
<file path=[Content_Types].xml><?xml version="1.0" encoding="utf-8"?>
<Types xmlns="http://schemas.openxmlformats.org/package/2006/content-types">
  <Default ContentType="application/vnd.openxmlformats-officedocument.spreadsheetml.printerSettings" Extension="bin"/>
  <Default ContentType="image/gif" Extension="gif"/>
  <Default ContentType="image/jpeg" Extension="jpeg"/>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customXmlProperties+xml" PartName="/customXml/itemProps2.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ms-excel.controlproperties+xml" PartName="/xl/ctrlProps/ctrlProp1.xml"/>
  <Override ContentType="application/vnd.ms-excel.controlproperties+xml" PartName="/xl/ctrlProps/ctrlProp2.xml"/>
  <Override ContentType="application/vnd.ms-excel.controlproperties+xml" PartName="/xl/ctrlProps/ctrlProp3.xml"/>
  <Override ContentType="application/vnd.ms-excel.controlproperties+xml" PartName="/xl/ctrlProps/ctrlProp4.xml"/>
  <Override ContentType="application/vnd.ms-excel.controlproperties+xml" PartName="/xl/ctrlProps/ctrlProp5.xml"/>
  <Override ContentType="application/vnd.ms-excel.controlproperties+xml" PartName="/xl/ctrlProps/ctrlProp6.xml"/>
  <Override ContentType="application/vnd.openxmlformats-officedocument.drawing+xml" PartName="/xl/drawings/drawing1.xml"/>
  <Override ContentType="application/vnd.openxmlformats-officedocument.drawing+xml" PartName="/xl/drawings/drawing2.xml"/>
  <Override ContentType="application/vnd.openxmlformats-officedocument.spreadsheetml.externalLink+xml" PartName="/xl/externalLinks/externalLink1.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Types>
</file>

<file path=_rels/.rels><?xml version="1.0" encoding="UTF-8" standalone="yes"?>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 Id="rId4" Target="docProps/custom.xml" Type="http://schemas.openxmlformats.org/officeDocument/2006/relationships/custom-properties"/>
</Relationships>

</file>

<file path=xl/workbook.xml><?xml version="1.0" encoding="utf-8"?>
<workbook xmlns="http://schemas.openxmlformats.org/spreadsheetml/2006/main" xmlns:r="http://schemas.openxmlformats.org/officeDocument/2006/relationships">
  <fileVersion appName="xl" lastEdited="5" lowestEdited="5" rupBuild="9303"/>
  <workbookPr codeName="ThisWorkbook"/>
  <bookViews>
    <workbookView xWindow="480" yWindow="225" windowWidth="25470" windowHeight="11850" tabRatio="842" firstSheet="2" activeTab="2"/>
  </bookViews>
  <sheets>
    <sheet name="__FDSCACHE__" sheetId="214" state="veryHidden" r:id="rId1"/>
    <sheet name="MW-Cache" sheetId="203" state="veryHidden" r:id="rId2"/>
    <sheet name="ImportantDisclosures" sheetId="245" r:id="rId3"/>
    <sheet name="INPUT" sheetId="1" r:id="rId4"/>
    <sheet name="FORECAST-CORE" sheetId="2" r:id="rId5"/>
    <sheet name="FORECAST-REPORTED" sheetId="198" r:id="rId6"/>
    <sheet name="__APW_ACTIVE_FIELD_RESTORE__" sheetId="215" state="veryHidden" r:id="rId7"/>
    <sheet name="SOTP" sheetId="228" r:id="rId8"/>
    <sheet name="Guidance" sheetId="225" r:id="rId9"/>
    <sheet name="IndexInformation" sheetId="246" r:id="rId10"/>
    <sheet name="ModPubIndex" sheetId="247" r:id="rId11"/>
    <sheet name="MainCode" sheetId="11" state="veryHidden" r:id="rId12"/>
    <sheet name="Module1" sheetId="12" state="veryHidden" r:id="rId13"/>
    <sheet name="Module2" sheetId="13" state="veryHidden" r:id="rId14"/>
  </sheets>
  <externalReferences>
    <externalReference r:id="rId15"/>
  </externalReferences>
  <definedNames>
    <definedName name="__FDS_HYPERLINK_TOGGLE_STATE__" hidden="1">"ON"</definedName>
    <definedName name="_1999">INPUT!$FE$5:$FE$784</definedName>
    <definedName name="_1Q00">INPUT!$C$4:$C$788</definedName>
    <definedName name="_1Q01">INPUT!$K$4:$K$788</definedName>
    <definedName name="_1Q02">INPUT!$S$4:$S$788</definedName>
    <definedName name="_1Q03">INPUT!$AA$4:$AA$788</definedName>
    <definedName name="_1Q04">INPUT!$AI$4:$AI$788</definedName>
    <definedName name="_1Q05">INPUT!$AQ$4:$AQ$788</definedName>
    <definedName name="_1Q06">INPUT!$AY$4:$AY$853</definedName>
    <definedName name="_1Q07">INPUT!$BG:$BG</definedName>
    <definedName name="_1Q08">INPUT!$BO:$BO</definedName>
    <definedName name="_1Q09">INPUT!$BW:$BW</definedName>
    <definedName name="_1Q10">INPUT!$CE:$CE</definedName>
    <definedName name="_1Q11">INPUT!$CM:$CM</definedName>
    <definedName name="_1Q12">INPUT!$CU:$CU</definedName>
    <definedName name="_1Q13">INPUT!$DC:$DC</definedName>
    <definedName name="_1Q14">INPUT!$DK:$DK</definedName>
    <definedName name="_1Q15">INPUT!$DS:$DS</definedName>
    <definedName name="_1Q16">INPUT!$EA:$EA</definedName>
    <definedName name="_1Q17">INPUT!$EI:$EI</definedName>
    <definedName name="_1Q18">INPUT!$EQ:$EQ</definedName>
    <definedName name="_2000">INPUT!$FG$5:$FG$784</definedName>
    <definedName name="_2001">INPUT!$FI$5:$FI$784</definedName>
    <definedName name="_2002">INPUT!$FK$5:$FK$784</definedName>
    <definedName name="_2Q00">INPUT!$E$4:$E$788</definedName>
    <definedName name="_2Q01">INPUT!$M$4:$M$788</definedName>
    <definedName name="_2Q02">INPUT!$U$4:$U$788</definedName>
    <definedName name="_2Q03">INPUT!$AC$4:$AC$788</definedName>
    <definedName name="_2Q04">INPUT!$AK$4:$AK$788</definedName>
    <definedName name="_2Q05">INPUT!$AS$4:$AS$788</definedName>
    <definedName name="_2Q06">INPUT!$BA$4:$BA$853</definedName>
    <definedName name="_2Q07">INPUT!$BI:$BI</definedName>
    <definedName name="_2Q08">INPUT!$BQ:$BQ</definedName>
    <definedName name="_2Q09">INPUT!$BY:$BY</definedName>
    <definedName name="_2Q10">INPUT!$CG:$CG</definedName>
    <definedName name="_2Q11">INPUT!$CO:$CO</definedName>
    <definedName name="_2Q12">INPUT!$CW:$CW</definedName>
    <definedName name="_2Q13">INPUT!$DE:$DE</definedName>
    <definedName name="_2Q14">INPUT!$DM:$DM</definedName>
    <definedName name="_2Q15">INPUT!$DU:$DU</definedName>
    <definedName name="_2Q16">INPUT!$EC:$EC</definedName>
    <definedName name="_2Q17">INPUT!$EK:$EK</definedName>
    <definedName name="_2Q18">INPUT!$ES:$ES</definedName>
    <definedName name="_3Q00">INPUT!$G$4:$G$788</definedName>
    <definedName name="_3Q01">INPUT!$O$4:$O$788</definedName>
    <definedName name="_3Q02">INPUT!$W$4:$W$788</definedName>
    <definedName name="_3Q03">INPUT!$AE$4:$AE$788</definedName>
    <definedName name="_3Q04">INPUT!$AM$4:$AM$788</definedName>
    <definedName name="_3Q05">INPUT!$AU$4:$AU$788</definedName>
    <definedName name="_3Q06">INPUT!$BC$4:$BC$853</definedName>
    <definedName name="_3Q07">INPUT!$BK$4:$BK$853</definedName>
    <definedName name="_3Q08">INPUT!$BS:$BS</definedName>
    <definedName name="_3Q09">INPUT!$CA:$CA</definedName>
    <definedName name="_3Q10">INPUT!$CI:$CI</definedName>
    <definedName name="_3Q11">INPUT!$CQ:$CQ</definedName>
    <definedName name="_3Q12">INPUT!$CY:$CY</definedName>
    <definedName name="_3Q13">INPUT!$DG:$DG</definedName>
    <definedName name="_3Q14">INPUT!$DO:$DO</definedName>
    <definedName name="_3Q15">INPUT!$DW:$DW</definedName>
    <definedName name="_3Q16">INPUT!$EE:$EE</definedName>
    <definedName name="_3Q17">INPUT!$EM:$EM</definedName>
    <definedName name="_3Q18">INPUT!$EU:$EU</definedName>
    <definedName name="_4Q00">INPUT!$I$4:$I$788</definedName>
    <definedName name="_4Q01">INPUT!$Q$4:$Q$788</definedName>
    <definedName name="_4Q02">INPUT!$Y$4:$Y$788</definedName>
    <definedName name="_4Q03">INPUT!$AG$4:$AG$788</definedName>
    <definedName name="_4Q04">INPUT!$AO$4:$AO$788</definedName>
    <definedName name="_4Q05">INPUT!$AW$4:$AW$788</definedName>
    <definedName name="_4Q06">INPUT!$BE$4:$BE$853</definedName>
    <definedName name="_4Q07">INPUT!$BM$4:$BM$853</definedName>
    <definedName name="_4Q08">INPUT!$BU:$BU</definedName>
    <definedName name="_4Q09">INPUT!$CC:$CC</definedName>
    <definedName name="_4Q10">INPUT!$CK:$CK</definedName>
    <definedName name="_4Q11">INPUT!$CS:$CS</definedName>
    <definedName name="_4Q12">INPUT!$DA:$DA</definedName>
    <definedName name="_4Q13">INPUT!$DI:$DI</definedName>
    <definedName name="_4Q14">INPUT!$DQ:$DQ</definedName>
    <definedName name="_4Q15">INPUT!$DY:$DY</definedName>
    <definedName name="_4Q16">INPUT!$EG:$EG</definedName>
    <definedName name="_4Q17">INPUT!$EO:$EO</definedName>
    <definedName name="_4Q18">INPUT!$EW:$EW</definedName>
    <definedName name="_5_Yr">INPUT!$FX$4:$FX$761</definedName>
    <definedName name="_bdm.104B7DFBE9F94B96A7C57A1E2D705FD0.edm" localSheetId="5" hidden="1">'FORECAST-REPORTED'!$A$57:$EM$62</definedName>
    <definedName name="_bdm.12C7FE64F15C4A4BACF2C4F61878B84A.edm" localSheetId="4" hidden="1">'FORECAST-CORE'!$A$65:$FS$105</definedName>
    <definedName name="_bdm.17C4E3C1450D4C2ABC0F49901BB125B7.edm" localSheetId="4" hidden="1">'FORECAST-CORE'!$A$246:$FS$281</definedName>
    <definedName name="_bdm.17C4E3C1450D4C2ABC0F49901BB125B7.edm" localSheetId="5" hidden="1">'FORECAST-REPORTED'!$A$239:$EM$274</definedName>
    <definedName name="_bdm.27FF30496DF3466AA33D136A06DB93AD.edm" localSheetId="5" hidden="1">'FORECAST-REPORTED'!$A$3:$EM$43</definedName>
    <definedName name="_bdm.2DBBD99CF34F4FACBA31EA286E8DAEEC.edm" localSheetId="4" hidden="1">'FORECAST-CORE'!$A$460:$FS$494</definedName>
    <definedName name="_bdm.2DBBD99CF34F4FACBA31EA286E8DAEEC.edm" localSheetId="5" hidden="1">'FORECAST-REPORTED'!$A$453:$EM$487</definedName>
    <definedName name="_bdm.393CE089FCB942978D11AEF3CDDA46D1.edm" localSheetId="4" hidden="1">'FORECAST-CORE'!$A$357:$FS$373</definedName>
    <definedName name="_bdm.393CE089FCB942978D11AEF3CDDA46D1.edm" localSheetId="5" hidden="1">'FORECAST-REPORTED'!$A$350:$EM$366</definedName>
    <definedName name="_bdm.41B11B9BF7FB48ACAEDB518E2732F08B.edm" localSheetId="5" hidden="1">'FORECAST-REPORTED'!$A$3:$EM$52</definedName>
    <definedName name="_bdm.50B0469111A948708BE5EDBC0CB74DA2.edm" localSheetId="4" hidden="1">'FORECAST-CORE'!$A$65:$FS$86</definedName>
    <definedName name="_bdm.50B0469111A948708BE5EDBC0CB74DA2.edm" localSheetId="5" hidden="1">'FORECAST-REPORTED'!$A$56:$EM$79</definedName>
    <definedName name="_bdm.59171180996946A19ECBAE79EC1AF816.edm" localSheetId="4" hidden="1">'FORECAST-CORE'!$A$2:$FS$51</definedName>
    <definedName name="_bdm.59171180996946A19ECBAE79EC1AF816.edm" localSheetId="5" hidden="1">'FORECAST-REPORTED'!$A$2:$EM$42</definedName>
    <definedName name="_bdm.5CE04A070F714AD788E5D3562E1BD62D.edm" hidden="1">'FORECAST-CORE'!$1:$1048576</definedName>
    <definedName name="_bdm.69AC70D5ADF84B55A1E7ECC1BFF9C072.edm" localSheetId="4" hidden="1">'FORECAST-CORE'!$A$3:$FS$51</definedName>
    <definedName name="_bdm.69AC70D5ADF84B55A1E7ECC1BFF9C072.edm" localSheetId="5" hidden="1">'FORECAST-REPORTED'!$A$3:$EM$42</definedName>
    <definedName name="_bdm.6D9BC9EDF55C4A66BB277C51768490A8.edm" localSheetId="4" hidden="1">'FORECAST-CORE'!$A$288:$FS$317</definedName>
    <definedName name="_bdm.6D9BC9EDF55C4A66BB277C51768490A8.edm" localSheetId="5" hidden="1">'FORECAST-REPORTED'!$A$281:$EM$310</definedName>
    <definedName name="_bdm.7633200408C441699E9E1CC3E3F302DF.edm" localSheetId="4" hidden="1">'FORECAST-CORE'!$A$420:$FS$453</definedName>
    <definedName name="_bdm.7633200408C441699E9E1CC3E3F302DF.edm" localSheetId="5" hidden="1">'FORECAST-REPORTED'!$A$413:$EM$446</definedName>
    <definedName name="_bdm.7740798B4BFE486FBCC7F8390231BF0B.edm" localSheetId="4" hidden="1">'FORECAST-CORE'!$A$89:$FS$105</definedName>
    <definedName name="_bdm.7740798B4BFE486FBCC7F8390231BF0B.edm" localSheetId="5" hidden="1">'FORECAST-REPORTED'!$A$81:$EM$98</definedName>
    <definedName name="_bdm.7E6084E49F404ED3B5EDDE2361F03E3B.edm" hidden="1">INPUT!$1:$1048576</definedName>
    <definedName name="_bdm.8D26155023314B53993C237B783B7862.edm" localSheetId="4" hidden="1">'FORECAST-CORE'!$A$65:$FS$71</definedName>
    <definedName name="_bdm.8D7B869858BB43A3B0C057845DEEB03F.edm" localSheetId="4" hidden="1">'FORECAST-CORE'!$A$3:$FS$62</definedName>
    <definedName name="_bdm.9357DEF2AC0242FEA4404D6E8E494A2E.edm" localSheetId="4" hidden="1">'FORECAST-CORE'!$A$1:$FS$51</definedName>
    <definedName name="_bdm.98DE0DFC025B419598B77B05F637978A.edm" hidden="1">'FORECAST-REPORTED'!$1:$1048576</definedName>
    <definedName name="_bdm.A4856D6C5A864D4A8974F115AA008B9B.edm" localSheetId="4" hidden="1">'FORECAST-CORE'!$A$111:$FS$149</definedName>
    <definedName name="_bdm.A4856D6C5A864D4A8974F115AA008B9B.edm" localSheetId="5" hidden="1">'FORECAST-REPORTED'!$A$104:$EM$142</definedName>
    <definedName name="_bdm.BB7044F5A7E944ADAB7DC60BA95B27E1.edm" localSheetId="4" hidden="1">'FORECAST-CORE'!$A$543:$FS$566</definedName>
    <definedName name="_bdm.BB7044F5A7E944ADAB7DC60BA95B27E1.edm" localSheetId="5" hidden="1">'FORECAST-REPORTED'!$A$536:$EM$559</definedName>
    <definedName name="_bdm.BD112AC55A064B9086DCB930AB19AFC2.edm" localSheetId="4" hidden="1">'FORECAST-CORE'!$A$3:$FS$61</definedName>
    <definedName name="_bdm.D061D6E602054225AE38195C812F42D6.edm" localSheetId="5" hidden="1">'FORECAST-REPORTED'!$A$1:$EM$42</definedName>
    <definedName name="_bdm.E15A2C2402384C6491AF343DAA2A9454.edm" localSheetId="4" hidden="1">'FORECAST-CORE'!$A$324:$FS$351</definedName>
    <definedName name="_bdm.E15A2C2402384C6491AF343DAA2A9454.edm" localSheetId="5" hidden="1">'FORECAST-REPORTED'!$A$317:$EM$344</definedName>
    <definedName name="_bdm.E1F18AF32B8348199BB2D5B01C830CCC.edm" localSheetId="4" hidden="1">'FORECAST-CORE'!$A$156:$FS$192</definedName>
    <definedName name="_bdm.E1F18AF32B8348199BB2D5B01C830CCC.edm" localSheetId="5" hidden="1">'FORECAST-REPORTED'!$A$149:$EM$185</definedName>
    <definedName name="_bdm.F5DAA2067244479487576AA8416828E4.edm" localSheetId="4" hidden="1">'FORECAST-CORE'!$A$501:$FS$536</definedName>
    <definedName name="_bdm.F5DAA2067244479487576AA8416828E4.edm" localSheetId="5" hidden="1">'FORECAST-REPORTED'!$A$494:$EM$529</definedName>
    <definedName name="_bdm.F5E81A7A6F414B019ADB48063E5884FB.edm" localSheetId="4" hidden="1">'FORECAST-CORE'!$A$199:$FS$239</definedName>
    <definedName name="_bdm.F5E81A7A6F414B019ADB48063E5884FB.edm" localSheetId="5" hidden="1">'FORECAST-REPORTED'!$A$192:$EM$232</definedName>
    <definedName name="_bdm.FC637921BE4A4DD49FDE0F992DC9B5E8.edm" localSheetId="4" hidden="1">'FORECAST-CORE'!$A$65:$FS$107</definedName>
    <definedName name="_bdm.FF37AE54E11A4C92846B08029F61BD74.edm" localSheetId="5" hidden="1">'FORECAST-REPORTED'!$A$56:$EM$62</definedName>
    <definedName name="_bdm.FF3D284B9A124222A8EC2437EE861351.edm" localSheetId="4" hidden="1">'FORECAST-CORE'!$A$380:$FS$413</definedName>
    <definedName name="_bdm.FF3D284B9A124222A8EC2437EE861351.edm" localSheetId="5" hidden="1">'FORECAST-REPORTED'!$A$373:$EM$406</definedName>
    <definedName name="aa">INPUT!$A$3:$HE$788</definedName>
    <definedName name="Abnormal_Annuity">INPUT!$96:$96</definedName>
    <definedName name="Abnormals">INPUT!$534:$534</definedName>
    <definedName name="AdditionalInstructions">IndexInformation!$B$42</definedName>
    <definedName name="Address" localSheetId="2">ImportantDisclosures!$A$2:$A$2</definedName>
    <definedName name="Adj_Core_ATEarns">INPUT!$561:$561</definedName>
    <definedName name="AM_AvgAUM">INPUT!$298:$298</definedName>
    <definedName name="AM_Expenses">INPUT!$311:$311</definedName>
    <definedName name="AM_Fees">INPUT!$302:$302</definedName>
    <definedName name="AM_NII">INPUT!$301:$301</definedName>
    <definedName name="AmtIssued">INPUT!$B$619:$HE$619</definedName>
    <definedName name="AmtRepurch">INPUT!$B$624:$HE$624</definedName>
    <definedName name="ANA" localSheetId="10">ModPubIndex!$A$7</definedName>
    <definedName name="Annuities_ATEarns">INPUT!$830:$830</definedName>
    <definedName name="Annuities_Bal_EOP">INPUT!$64:$64</definedName>
    <definedName name="Annuity_ROA">INPUT!$99:$99</definedName>
    <definedName name="anscount" hidden="1">1</definedName>
    <definedName name="AssetMgmt_ATEarns">INPUT!$832:$832</definedName>
    <definedName name="AssetMgmt_Deposits">INPUT!$789:$789</definedName>
    <definedName name="AssetMgmt_EOP_AUM">INPUT!$297:$297</definedName>
    <definedName name="AssetMgmt_Inst_Bal_EOP">INPUT!$270:$270</definedName>
    <definedName name="AssetMgmt_NetFlows">INPUT!$788:$788</definedName>
    <definedName name="AssetMgmt_Retail_Bal_EO">INPUT!$287:$287</definedName>
    <definedName name="AssetMgmt_Withdrawals">INPUT!$790:$790</definedName>
    <definedName name="AssetMgmtInst_NetFlows">INPUT!$274:$274</definedName>
    <definedName name="AssetMgmtRetail_NetFlows">INPUT!$291:$291</definedName>
    <definedName name="Assets_FeeRetirement">INPUT!$153:$153</definedName>
    <definedName name="Assets_Pension">INPUT!$B$181:$HE$181</definedName>
    <definedName name="Assets_SprdRetirement">INPUT!$169:$169</definedName>
    <definedName name="Authors" localSheetId="2">ImportantDisclosures!$A$7</definedName>
    <definedName name="Authors" localSheetId="9">IndexInformation!$B$18</definedName>
    <definedName name="Avg_Eq_ex115">INPUT!$B$679:$HE$679</definedName>
    <definedName name="Avg_Eq_ex115_exFX">INPUT!$681:$681</definedName>
    <definedName name="Avg_Eq_incl115">INPUT!$B$678:$HE$678</definedName>
    <definedName name="AvgShrsOut">INPUT!$636:$636</definedName>
    <definedName name="Benefits_Retirement">INPUT!$200:$200</definedName>
    <definedName name="BIG">INPUT!$B$661:$HE$661</definedName>
    <definedName name="BIG_FixPct">INPUT!$B$660:$HE$660</definedName>
    <definedName name="BIG_ShrEqPct">INPUT!$B$662:$HE$662</definedName>
    <definedName name="BRO" localSheetId="10">ModPubIndex!$A$1</definedName>
    <definedName name="Buybacks_AvgPrice">INPUT!$622:$622</definedName>
    <definedName name="BVPS_ex115">INPUT!$707:$707</definedName>
    <definedName name="BVPS_exAOCI_exFX">INPUT!$714:$714</definedName>
    <definedName name="BVPS_incl115">INPUT!$723:$723</definedName>
    <definedName name="CO_ATEarns">INPUT!$846:$846</definedName>
    <definedName name="Consolidated_NII">INPUT!$856:$856</definedName>
    <definedName name="Consolidated_OperatingExpenses">INPUT!$508:$508</definedName>
    <definedName name="Consolidated_OtherRevs">INPUT!$501:$501</definedName>
    <definedName name="Consolidated_PolicyFees">INPUT!$499:$499</definedName>
    <definedName name="Consolidated_Premiums">INPUT!$498:$498</definedName>
    <definedName name="Consolidated_Revenues">INPUT!$502:$502</definedName>
    <definedName name="CopyrightStamp">ImportantDisclosures!$A$27</definedName>
    <definedName name="Core_Annuities_ATEarns">INPUT!$806:$806</definedName>
    <definedName name="Core_Annuities_PTEarns">INPUT!$770:$770</definedName>
    <definedName name="Core_AssetMgmt_ATEarns">INPUT!$808:$808</definedName>
    <definedName name="Core_AssetMgmt_PTEarns">INPUT!$772:$772</definedName>
    <definedName name="Core_ATEarns">INPUT!$781:$781</definedName>
    <definedName name="Core_CO_ATEarns">INPUT!$822:$822</definedName>
    <definedName name="Core_CO_PTEarns">INPUT!$490:$490</definedName>
    <definedName name="Core_Gibraltar_PTEarns">INPUT!$428:$428</definedName>
    <definedName name="Core_Gibralter_ATEarns">INPUT!$817:$817</definedName>
    <definedName name="Core_Group_ATEarns">INPUT!$813:$813</definedName>
    <definedName name="Core_Group_PTEarns">INPUT!$771:$771</definedName>
    <definedName name="Core_IndLife_ATEarns">INPUT!$812:$812</definedName>
    <definedName name="Core_International_PTEarns">INPUT!$774:$774</definedName>
    <definedName name="Core_Intl_ATEarns">INPUT!$844:$844</definedName>
    <definedName name="Core_Intl_PTEarns">INPUT!$774:$774</definedName>
    <definedName name="Core_intlinvest_ATEarns">INPUT!$819:$819</definedName>
    <definedName name="Core_IntlInvest_PTEarns">INPUT!$457:$457</definedName>
    <definedName name="Core_Life_PTEarns">INPUT!$769:$769</definedName>
    <definedName name="Core_LifePlanner_ATEarns">INPUT!$818:$818</definedName>
    <definedName name="Core_LifePlanner_PTEarns">INPUT!$387:$387</definedName>
    <definedName name="Core_OpEPS">INPUT!$644:$644</definedName>
    <definedName name="Core_OpROE">INPUT!$783:$783</definedName>
    <definedName name="Core_Other_PTEarns">INPUT!$775:$775</definedName>
    <definedName name="Core_PT_Earnings">INPUT!$776:$776</definedName>
    <definedName name="Core_Retirement_ATEarns">INPUT!$807:$807</definedName>
    <definedName name="Core_Retirement_PTEarns">INPUT!$773:$773</definedName>
    <definedName name="Core_ROE">INPUT!$691:$691</definedName>
    <definedName name="Core_ROE_exFAS115_exFX">INPUT!$695:$695</definedName>
    <definedName name="Core_Tax">INPUT!$558:$558</definedName>
    <definedName name="CoreOp_EPS">INPUT!$644:$644</definedName>
    <definedName name="CoreOpEarns_AT">INPUT!$781:$781</definedName>
    <definedName name="CoreOpEarns_PT">INPUT!$533:$533</definedName>
    <definedName name="corePTEarns_Annuities">INPUT!$97:$97</definedName>
    <definedName name="CorePTEarns_Annuity">INPUT!$518:$518</definedName>
    <definedName name="CorePTEarns_Brokerage">INPUT!$B$524:$HE$524</definedName>
    <definedName name="CorePTEarns_CO">INPUT!$531:$531</definedName>
    <definedName name="CorePTEarns_Group">INPUT!$522:$522</definedName>
    <definedName name="CorePTEarns_Intl">INPUT!$B$530:$HE$530</definedName>
    <definedName name="CorePTEarns_Intl_exROCK">INPUT!$527:$527</definedName>
    <definedName name="CorePTEarns_Intl_ROCK">INPUT!$528:$528</definedName>
    <definedName name="CorePTEarns_InvMgmt">INPUT!$525:$525</definedName>
    <definedName name="CorePTEarns_LifeIns">INPUT!$519:$519</definedName>
    <definedName name="CorePTEarns_OtherIntl">INPUT!$B$529:$HE$529</definedName>
    <definedName name="corePTEarns_Pension">INPUT!$217:$217</definedName>
    <definedName name="COU" localSheetId="10">ModPubIndex!$A$5</definedName>
    <definedName name="CQEnd" localSheetId="9">IndexInformation!$B$31</definedName>
    <definedName name="Currency" localSheetId="9">IndexInformation!$B$24</definedName>
    <definedName name="CurrentStockPrice" localSheetId="9">IndexInformation!$B$23</definedName>
    <definedName name="CurrQtrEPS" localSheetId="9">IndexInformation!$B$29</definedName>
    <definedName name="CurrYearEPS" localSheetId="9">IndexInformation!$B$11</definedName>
    <definedName name="CurrYearTotalRevenue" localSheetId="9">IndexInformation!$B$10</definedName>
    <definedName name="CurrYearTotalRevenueActual" localSheetId="9">IndexInformation!$B$32</definedName>
    <definedName name="CUSIP" localSheetId="9">IndexInformation!$B$20</definedName>
    <definedName name="CYEnd" localSheetId="9">IndexInformation!$B$30</definedName>
    <definedName name="DAC_Asset">INPUT!$654:$654</definedName>
    <definedName name="Date" localSheetId="2">ImportantDisclosures!$A$8</definedName>
    <definedName name="Deleted" localSheetId="9">IndexInformation!$B$27</definedName>
    <definedName name="DemutExp">INPUT!$B$573:$HE$573</definedName>
    <definedName name="Description" localSheetId="9">IndexInformation!$B$7</definedName>
    <definedName name="Discipline" localSheetId="9">IndexInformation!$B$3</definedName>
    <definedName name="DISCIPLINE" localSheetId="10">ModPubIndex!$A$12</definedName>
    <definedName name="DisclosuresText">ImportantDisclosures!$A$22</definedName>
    <definedName name="DiscontOperations">INPUT!$581:$581</definedName>
    <definedName name="Distribution" localSheetId="9">IndexInformation!$B$26</definedName>
    <definedName name="DistTable" localSheetId="2">ImportantDisclosures!#REF!</definedName>
    <definedName name="DistTablePreamble" localSheetId="2">ImportantDisclosures!#REF!</definedName>
    <definedName name="DivAmt">INPUT!$B$613:$HE$613</definedName>
    <definedName name="DiviAmt">INPUT!$613:$613</definedName>
    <definedName name="DivPayout">INPUT!$B$612:$HE$612</definedName>
    <definedName name="DivPS">INPUT!$B$611:$HE$611</definedName>
    <definedName name="DOCDAT" localSheetId="10">ModPubIndex!$A$2</definedName>
    <definedName name="DOCTIME" localSheetId="10">ModPubIndex!$A$3</definedName>
    <definedName name="DocType" localSheetId="9">IndexInformation!$B$5</definedName>
    <definedName name="EMAIL_ALERT" localSheetId="10">ModPubIndex!$A$10</definedName>
    <definedName name="EmailAlert" localSheetId="9">IndexInformation!$B$28</definedName>
    <definedName name="EOP_Eq_ex115">INPUT!$677:$677</definedName>
    <definedName name="EOP_Eq_incl115">INPUT!$675:$675</definedName>
    <definedName name="EOPShrsOut">INPUT!$632:$632</definedName>
    <definedName name="EPS_ForConsensus">INPUT!$647:$647</definedName>
    <definedName name="EPS_ForConsesnsus">INPUT!$647:$647</definedName>
    <definedName name="EquityAdj">INPUT!$545:$545</definedName>
    <definedName name="EquityAdjustment">INPUT!$848:$848</definedName>
    <definedName name="F1998_">INPUT!$FB$4:$FB$788</definedName>
    <definedName name="F1999_">INPUT!$FD$4:$FD$788</definedName>
    <definedName name="F2000_">INPUT!$FF$4:$FF$788</definedName>
    <definedName name="F2001_">INPUT!$FH$4:$FH$788</definedName>
    <definedName name="F2002_">INPUT!$FJ$4:$FJ$788</definedName>
    <definedName name="F2003_">INPUT!$FL$4:$FL$788</definedName>
    <definedName name="F2004_">INPUT!$FN:$FN</definedName>
    <definedName name="F2005_">INPUT!$FP$4:$FP$853</definedName>
    <definedName name="F2006_">INPUT!$FR$4:$FR$853</definedName>
    <definedName name="F2007_">INPUT!$FT$4:$FT$853</definedName>
    <definedName name="F2008_">INPUT!$FV:$FV</definedName>
    <definedName name="F2009_">INPUT!$FX:$FX</definedName>
    <definedName name="F2010_">INPUT!$FZ:$FZ</definedName>
    <definedName name="F2011_">INPUT!$GB:$GB</definedName>
    <definedName name="F2012_">INPUT!$GD:$GD</definedName>
    <definedName name="F2013_">INPUT!$GF:$GF</definedName>
    <definedName name="F2014_">INPUT!$GH:$GH</definedName>
    <definedName name="F2015_">INPUT!$GJ:$GJ</definedName>
    <definedName name="F2016_">INPUT!$GL:$GL</definedName>
    <definedName name="F2017_">INPUT!$GN:$GN</definedName>
    <definedName name="F2018_">INPUT!$GP:$GP</definedName>
    <definedName name="F2019_">INPUT!$GR:$GR</definedName>
    <definedName name="F2020_">INPUT!$GT:$GT</definedName>
    <definedName name="F2021_">INPUT!$GV:$GV</definedName>
    <definedName name="F2022_">INPUT!$GX:$GX</definedName>
    <definedName name="FA_AvgAUM">INPUT!$57:$57</definedName>
    <definedName name="FA_Bal_BOP">INPUT!$B$50:$HE$50</definedName>
    <definedName name="FA_Bal_EOP">INPUT!$56:$56</definedName>
    <definedName name="FA_NetFlows">INPUT!$59:$59</definedName>
    <definedName name="FA_Spread">INPUT!$77:$77</definedName>
    <definedName name="FA_Withdrawal">INPUT!$B$52:$HE$52</definedName>
    <definedName name="FAS115_Adjmt">INPUT!$676:$676</definedName>
    <definedName name="FD_Adjt">INPUT!$634:$634</definedName>
    <definedName name="FDShare_EOP">INPUT!$637:$637</definedName>
    <definedName name="Fees_Group">INPUT!$229:$229</definedName>
    <definedName name="FiveYearGrowthRate" localSheetId="9">IndexInformation!$B$16</definedName>
    <definedName name="FollowingYearEPS" localSheetId="9">IndexInformation!$B$15</definedName>
    <definedName name="FollowingYearTotalRevenue" localSheetId="9">IndexInformation!$B$14</definedName>
    <definedName name="FollowingYearTotalRevenueActual" localSheetId="9">IndexInformation!$B$34</definedName>
    <definedName name="FS_MktImpact">INPUT!$152:$152</definedName>
    <definedName name="FullServ_NetFlows">INPUT!$B$156:$GI$156</definedName>
    <definedName name="FullServ_Sales">INPUT!$B$150:$GI$150</definedName>
    <definedName name="FullService_NetFlows">INPUT!$156:$156</definedName>
    <definedName name="FXRemeasurement">INPUT!$713:$713</definedName>
    <definedName name="GibLifeSales">INPUT!$B$434:$HE$434</definedName>
    <definedName name="Gibralter_ATEarns">INPUT!$841:$841</definedName>
    <definedName name="Group_ATEArns">INPUT!$837:$837</definedName>
    <definedName name="Group_BenefitRatio">INPUT!$B$787:$HE$787</definedName>
    <definedName name="Group_BenRatio">INPUT!$242:$242</definedName>
    <definedName name="group_Expenses">INPUT!$240:$240</definedName>
    <definedName name="group_FeeIncome">INPUT!$228:$228</definedName>
    <definedName name="Group_NII">INPUT!$230:$230</definedName>
    <definedName name="Group_OpExpenses">INPUT!$238:$238</definedName>
    <definedName name="HL" localSheetId="10">ModPubIndex!$A$8</definedName>
    <definedName name="IND" localSheetId="10">ModPubIndex!$A$9</definedName>
    <definedName name="Individual_BenRatio">INPUT!$122:$122</definedName>
    <definedName name="IndLife_ATEarns">INPUT!$836:$836</definedName>
    <definedName name="Industry" localSheetId="2">ImportantDisclosures!$A$12</definedName>
    <definedName name="IndustryId">IndexInformation!$B$40</definedName>
    <definedName name="IndustryRating" localSheetId="2">ImportantDisclosures!$A$13</definedName>
    <definedName name="Inst_NetFlows">INPUT!$172:$172</definedName>
    <definedName name="Institutional_MktImpact">INPUT!$268:$268</definedName>
    <definedName name="Int_Expense">INPUT!$507:$507</definedName>
    <definedName name="IntCred">INPUT!$506:$506</definedName>
    <definedName name="Interest_Credited">INPUT!$855:$855</definedName>
    <definedName name="InterestCredited_Annuities">INPUT!$69:$69</definedName>
    <definedName name="InterestCredited_Retirement">INPUT!$201:$201</definedName>
    <definedName name="Intl_exRock_Exp">INPUT!$378:$378</definedName>
    <definedName name="Intl_exRock_Fees">INPUT!$367:$367</definedName>
    <definedName name="Intl_exRock_NII">INPUT!$368:$368</definedName>
    <definedName name="Intl_Fees">INPUT!$442:$442</definedName>
    <definedName name="Intl_NII">INPUT!$801:$801</definedName>
    <definedName name="Intl_Revenues">INPUT!$800:$800</definedName>
    <definedName name="Intl_Rock_Exp">INPUT!$416:$416</definedName>
    <definedName name="Intl_Rock_Fees">INPUT!$405:$405</definedName>
    <definedName name="Intl_Rock_NII">INPUT!$406:$406</definedName>
    <definedName name="IntlInvest_ATEarns">INPUT!$843:$843</definedName>
    <definedName name="Inv_Income">INPUT!$854:$854</definedName>
    <definedName name="Investments">INPUT!$652:$652</definedName>
    <definedName name="invinc">INPUT!$B$500:$HE$500</definedName>
    <definedName name="IQ_ACCOUNT_CHANGE" hidden="1">"c1449"</definedName>
    <definedName name="IQ_ACCOUNTS_PAY" hidden="1">"c1343"</definedName>
    <definedName name="IQ_ACCR_INT_PAY" hidden="1">"c1"</definedName>
    <definedName name="IQ_ACCR_INT_PAY_CF" hidden="1">"c2"</definedName>
    <definedName name="IQ_ACCR_INT_RECEIV" hidden="1">"c3"</definedName>
    <definedName name="IQ_ACCR_INT_RECEIV_CF" hidden="1">"c4"</definedName>
    <definedName name="IQ_ACCRUED_EXP" hidden="1">"c1341"</definedName>
    <definedName name="IQ_ACCT_RECV_10YR_ANN_GROWTH" hidden="1">"c1924"</definedName>
    <definedName name="IQ_ACCT_RECV_1YR_ANN_GROWTH" hidden="1">"c1919"</definedName>
    <definedName name="IQ_ACCT_RECV_2YR_ANN_GROWTH" hidden="1">"c1920"</definedName>
    <definedName name="IQ_ACCT_RECV_3YR_ANN_GROWTH" hidden="1">"c1921"</definedName>
    <definedName name="IQ_ACCT_RECV_5YR_ANN_GROWTH" hidden="1">"c1922"</definedName>
    <definedName name="IQ_ACCT_RECV_7YR_ANN_GROWTH" hidden="1">"c1923"</definedName>
    <definedName name="IQ_ACCUM_DEP" hidden="1">"c1340"</definedName>
    <definedName name="IQ_ACCUMULATED_PENSION_OBLIGATION" hidden="1">"c2244"</definedName>
    <definedName name="IQ_ACCUMULATED_PENSION_OBLIGATION_DOMESTIC" hidden="1">"c2657"</definedName>
    <definedName name="IQ_ACCUMULATED_PENSION_OBLIGATION_FOREIGN" hidden="1">"c2665"</definedName>
    <definedName name="IQ_ACQ_COST_SUB" hidden="1">"c2125"</definedName>
    <definedName name="IQ_ACQ_COSTS_CAPITALIZED" hidden="1">"c5"</definedName>
    <definedName name="IQ_ACQUIRE_REAL_ESTATE_CF" hidden="1">"c6"</definedName>
    <definedName name="IQ_ACQUISITION_RE_ASSETS" hidden="1">"c1628"</definedName>
    <definedName name="IQ_AD" hidden="1">"c7"</definedName>
    <definedName name="IQ_ADD_PAID_IN" hidden="1">"c1344"</definedName>
    <definedName name="IQ_ADJ_AVG_BANK_ASSETS" hidden="1">"c2671"</definedName>
    <definedName name="IQ_ADMIN_RATIO" hidden="1">"c2784"</definedName>
    <definedName name="IQ_ADVERTISING" hidden="1">"c2246"</definedName>
    <definedName name="IQ_ADVERTISING_MARKETING" hidden="1">"c1566"</definedName>
    <definedName name="IQ_AE" hidden="1">"c8"</definedName>
    <definedName name="IQ_AE_BNK" hidden="1">"c9"</definedName>
    <definedName name="IQ_AE_BR" hidden="1">"c10"</definedName>
    <definedName name="IQ_AE_FIN" hidden="1">"c11"</definedName>
    <definedName name="IQ_AE_INS" hidden="1">"c12"</definedName>
    <definedName name="IQ_AE_REIT" hidden="1">"c13"</definedName>
    <definedName name="IQ_AE_UTI" hidden="1">"c14"</definedName>
    <definedName name="IQ_AH_EARNED" hidden="1">"c2744"</definedName>
    <definedName name="IQ_AH_POLICY_BENEFITS_EXP" hidden="1">"c2789"</definedName>
    <definedName name="IQ_AIR_AIRPLANES_NOT_IN_SERVICE" hidden="1">"c2842"</definedName>
    <definedName name="IQ_AIR_AIRPLANES_SUBLEASED" hidden="1">"c2841"</definedName>
    <definedName name="IQ_AIR_ASK" hidden="1">"c2813"</definedName>
    <definedName name="IQ_AIR_ASK_INCREASE" hidden="1">"c2826"</definedName>
    <definedName name="IQ_AIR_ASM" hidden="1">"c2812"</definedName>
    <definedName name="IQ_AIR_ASM_INCREASE" hidden="1">"c2825"</definedName>
    <definedName name="IQ_AIR_AVG_AGE" hidden="1">"c2843"</definedName>
    <definedName name="IQ_AIR_BREAK_EVEN_FACTOR" hidden="1">"c2822"</definedName>
    <definedName name="IQ_AIR_CAPITAL_LEASE" hidden="1">"c2833"</definedName>
    <definedName name="IQ_AIR_COMPLETION_FACTOR" hidden="1">"c2824"</definedName>
    <definedName name="IQ_AIR_ENPLANED_PSGRS" hidden="1">"c2809"</definedName>
    <definedName name="IQ_AIR_FUEL_CONSUMED" hidden="1">"c2806"</definedName>
    <definedName name="IQ_AIR_FUEL_CONSUMED_L" hidden="1">"c2807"</definedName>
    <definedName name="IQ_AIR_FUEL_COST" hidden="1">"c2803"</definedName>
    <definedName name="IQ_AIR_FUEL_COST_L" hidden="1">"c2804"</definedName>
    <definedName name="IQ_AIR_FUEL_EXP" hidden="1">"c2802"</definedName>
    <definedName name="IQ_AIR_FUEL_EXP_PERCENT" hidden="1">"c2805"</definedName>
    <definedName name="IQ_AIR_LEASED" hidden="1">"c2835"</definedName>
    <definedName name="IQ_AIR_LOAD_FACTOR" hidden="1">"c2823"</definedName>
    <definedName name="IQ_AIR_NEW_AIRPLANES" hidden="1">"c2839"</definedName>
    <definedName name="IQ_AIR_OPER_EXP_ASK" hidden="1">"c2821"</definedName>
    <definedName name="IQ_AIR_OPER_EXP_ASM" hidden="1">"c2820"</definedName>
    <definedName name="IQ_AIR_OPER_LEASE" hidden="1">"c2834"</definedName>
    <definedName name="IQ_AIR_OPER_REV_YIELD_ASK" hidden="1">"c2819"</definedName>
    <definedName name="IQ_AIR_OPER_REV_YIELD_ASM" hidden="1">"c2818"</definedName>
    <definedName name="IQ_AIR_OPTIONS" hidden="1">"c2837"</definedName>
    <definedName name="IQ_AIR_ORDERS" hidden="1">"c2836"</definedName>
    <definedName name="IQ_AIR_OWNED" hidden="1">"c2832"</definedName>
    <definedName name="IQ_AIR_PSGR_REV_YIELD_ASK" hidden="1">"c2817"</definedName>
    <definedName name="IQ_AIR_PSGR_REV_YIELD_ASM" hidden="1">"c2816"</definedName>
    <definedName name="IQ_AIR_PSGR_REV_YIELD_RPK" hidden="1">"c2815"</definedName>
    <definedName name="IQ_AIR_PSGR_REV_YIELD_RPM" hidden="1">"c2814"</definedName>
    <definedName name="IQ_AIR_PURCHASE_RIGHTS" hidden="1">"c2838"</definedName>
    <definedName name="IQ_AIR_RETIRED_AIRPLANES" hidden="1">"c2840"</definedName>
    <definedName name="IQ_AIR_REV_PSGRS_CARRIED" hidden="1">"c2808"</definedName>
    <definedName name="IQ_AIR_REV_SCHEDULED_SERVICE" hidden="1">"c2830"</definedName>
    <definedName name="IQ_AIR_RPK" hidden="1">"c2811"</definedName>
    <definedName name="IQ_AIR_RPM" hidden="1">"c2810"</definedName>
    <definedName name="IQ_AIR_STAGE_LENGTH" hidden="1">"c2828"</definedName>
    <definedName name="IQ_AIR_STAGE_LENGTH_KM" hidden="1">"c2829"</definedName>
    <definedName name="IQ_AIR_TOTAL" hidden="1">"c2831"</definedName>
    <definedName name="IQ_AIR_UTILIZATION" hidden="1">"c2827"</definedName>
    <definedName name="IQ_ALLOW_BORROW_CONST" hidden="1">"c15"</definedName>
    <definedName name="IQ_ALLOW_CONST" hidden="1">"c1342"</definedName>
    <definedName name="IQ_ALLOW_DOUBT_ACCT" hidden="1">"c2092"</definedName>
    <definedName name="IQ_ALLOW_EQUITY_CONST" hidden="1">"c16"</definedName>
    <definedName name="IQ_ALLOW_LL" hidden="1">"c17"</definedName>
    <definedName name="IQ_ALLOWANCE_10YR_ANN_GROWTH" hidden="1">"c18"</definedName>
    <definedName name="IQ_ALLOWANCE_1YR_ANN_GROWTH" hidden="1">"c19"</definedName>
    <definedName name="IQ_ALLOWANCE_2YR_ANN_GROWTH" hidden="1">"c20"</definedName>
    <definedName name="IQ_ALLOWANCE_3YR_ANN_GROWTH" hidden="1">"c21"</definedName>
    <definedName name="IQ_ALLOWANCE_5YR_ANN_GROWTH" hidden="1">"c22"</definedName>
    <definedName name="IQ_ALLOWANCE_7YR_ANN_GROWTH" hidden="1">"c23"</definedName>
    <definedName name="IQ_ALLOWANCE_CHARGE_OFFS" hidden="1">"c24"</definedName>
    <definedName name="IQ_ALLOWANCE_NON_PERF_LOANS" hidden="1">"c25"</definedName>
    <definedName name="IQ_ALLOWANCE_TOTAL_LOANS" hidden="1">"c26"</definedName>
    <definedName name="IQ_AMORTIZATION" hidden="1">"c1591"</definedName>
    <definedName name="IQ_AMT_OUT" hidden="1">"c2145"</definedName>
    <definedName name="IQ_ANNU_DISTRIBUTION_UNIT" hidden="1">"c3004"</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P" hidden="1">"c32"</definedName>
    <definedName name="IQ_AP_BNK" hidden="1">"c33"</definedName>
    <definedName name="IQ_AP_BR" hidden="1">"c34"</definedName>
    <definedName name="IQ_AP_FIN" hidden="1">"c35"</definedName>
    <definedName name="IQ_AP_INS" hidden="1">"c36"</definedName>
    <definedName name="IQ_AP_REIT" hidden="1">"c37"</definedName>
    <definedName name="IQ_AP_UTI" hidden="1">"c38"</definedName>
    <definedName name="IQ_APIC" hidden="1">"c39"</definedName>
    <definedName name="IQ_AR" hidden="1">"c40"</definedName>
    <definedName name="IQ_AR_BR" hidden="1">"c41"</definedName>
    <definedName name="IQ_AR_LT" hidden="1">"c42"</definedName>
    <definedName name="IQ_AR_REIT" hidden="1">"c43"</definedName>
    <definedName name="IQ_AR_TURNS" hidden="1">"c44"</definedName>
    <definedName name="IQ_AR_UTI" hidden="1">"c45"</definedName>
    <definedName name="IQ_ARPU" hidden="1">"c2126"</definedName>
    <definedName name="IQ_ASSET_MGMT_FEE" hidden="1">"c46"</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IT" hidden="1">"c60"</definedName>
    <definedName name="IQ_ASSET_WRITEDOWN_UTI" hidden="1">"c61"</definedName>
    <definedName name="IQ_ASSETS_CAP_LEASE_DEPR" hidden="1">"c2068"</definedName>
    <definedName name="IQ_ASSETS_CAP_LEASE_GROSS" hidden="1">"c2069"</definedName>
    <definedName name="IQ_ASSETS_OPER_LEASE_DEPR" hidden="1">"c2070"</definedName>
    <definedName name="IQ_ASSETS_OPER_LEASE_GROSS" hidden="1">"c2071"</definedName>
    <definedName name="IQ_ASSUMED_AH_EARNED" hidden="1">"c2741"</definedName>
    <definedName name="IQ_ASSUMED_EARNED" hidden="1">"c2731"</definedName>
    <definedName name="IQ_ASSUMED_LIFE_EARNED" hidden="1">"c2736"</definedName>
    <definedName name="IQ_ASSUMED_LIFE_IN_FORCE" hidden="1">"c2766"</definedName>
    <definedName name="IQ_ASSUMED_PC_EARNED" hidden="1">"c2746"</definedName>
    <definedName name="IQ_ASSUMED_WRITTEN" hidden="1">"c2725"</definedName>
    <definedName name="IQ_AUDITOR_NAME" hidden="1">"c1539"</definedName>
    <definedName name="IQ_AUDITOR_OPINION" hidden="1">"c1540"</definedName>
    <definedName name="IQ_AUTO_WRITTEN" hidden="1">"c62"</definedName>
    <definedName name="IQ_AVG_BANK_ASSETS" hidden="1">"c2072"</definedName>
    <definedName name="IQ_AVG_BANK_LOANS" hidden="1">"c2073"</definedName>
    <definedName name="IQ_AVG_BROKER_REC" hidden="1">"c63"</definedName>
    <definedName name="IQ_AVG_BROKER_REC_NO" hidden="1">"c64"</definedName>
    <definedName name="IQ_AVG_DAILY_VOL" hidden="1">"c65"</definedName>
    <definedName name="IQ_AVG_INT_BEAR_LIAB" hidden="1">"c66"</definedName>
    <definedName name="IQ_AVG_INT_BEAR_LIAB_10YR_ANN_GROWTH" hidden="1">"c67"</definedName>
    <definedName name="IQ_AVG_INT_BEAR_LIAB_1YR_ANN_GROWTH" hidden="1">"c68"</definedName>
    <definedName name="IQ_AVG_INT_BEAR_LIAB_2YR_ANN_GROWTH" hidden="1">"c69"</definedName>
    <definedName name="IQ_AVG_INT_BEAR_LIAB_3YR_ANN_GROWTH" hidden="1">"c70"</definedName>
    <definedName name="IQ_AVG_INT_BEAR_LIAB_5YR_ANN_GROWTH" hidden="1">"c71"</definedName>
    <definedName name="IQ_AVG_INT_BEAR_LIAB_7YR_ANN_GROWTH" hidden="1">"c72"</definedName>
    <definedName name="IQ_AVG_INT_EARN_ASSETS" hidden="1">"c73"</definedName>
    <definedName name="IQ_AVG_INT_EARN_ASSETS_10YR_ANN_GROWTH" hidden="1">"c74"</definedName>
    <definedName name="IQ_AVG_INT_EARN_ASSETS_1YR_ANN_GROWTH" hidden="1">"c75"</definedName>
    <definedName name="IQ_AVG_INT_EARN_ASSETS_2YR_ANN_GROWTH" hidden="1">"c76"</definedName>
    <definedName name="IQ_AVG_INT_EARN_ASSETS_3YR_ANN_GROWTH" hidden="1">"c77"</definedName>
    <definedName name="IQ_AVG_INT_EARN_ASSETS_5YR_ANN_GROWTH" hidden="1">"c78"</definedName>
    <definedName name="IQ_AVG_INT_EARN_ASSETS_7YR_ANN_GROWTH" hidden="1">"c79"</definedName>
    <definedName name="IQ_AVG_MKTCAP" hidden="1">"c80"</definedName>
    <definedName name="IQ_AVG_PRICE" hidden="1">"c81"</definedName>
    <definedName name="IQ_AVG_SHAREOUTSTANDING" hidden="1">"c83"</definedName>
    <definedName name="IQ_AVG_TEV" hidden="1">"c84"</definedName>
    <definedName name="IQ_AVG_VOLUME" hidden="1">"c1346"</definedName>
    <definedName name="IQ_BANK_DEBT" hidden="1">"c2544"</definedName>
    <definedName name="IQ_BANK_DEBT_PCT" hidden="1">"c2545"</definedName>
    <definedName name="IQ_BASIC_EPS_EXCL" hidden="1">"c85"</definedName>
    <definedName name="IQ_BASIC_EPS_INCL" hidden="1">"c86"</definedName>
    <definedName name="IQ_BASIC_NORMAL_EPS" hidden="1">"c1592"</definedName>
    <definedName name="IQ_BASIC_WEIGHT" hidden="1">"c87"</definedName>
    <definedName name="IQ_BENCHMARK_SECURITY" hidden="1">"c2154"</definedName>
    <definedName name="IQ_BENCHMARK_SPRD" hidden="1">"c2153"</definedName>
    <definedName name="IQ_BETA" hidden="1">"c2133"</definedName>
    <definedName name="IQ_BETA_1YR" hidden="1">"c1966"</definedName>
    <definedName name="IQ_BETA_1YR_RSQ" hidden="1">"c2132"</definedName>
    <definedName name="IQ_BETA_2YR" hidden="1">"c1965"</definedName>
    <definedName name="IQ_BETA_2YR_RSQ" hidden="1">"c2131"</definedName>
    <definedName name="IQ_BETA_5YR" hidden="1">"c88"</definedName>
    <definedName name="IQ_BETA_5YR_RSQ" hidden="1">"c2130"</definedName>
    <definedName name="IQ_BIG_INT_BEAR_CD" hidden="1">"c89"</definedName>
    <definedName name="IQ_BOARD_MEMBER" hidden="1">"c96"</definedName>
    <definedName name="IQ_BOARD_MEMBER_BACKGROUND" hidden="1">"c2101"</definedName>
    <definedName name="IQ_BOARD_MEMBER_TITLE" hidden="1">"c97"</definedName>
    <definedName name="IQ_BOND_COUPON" hidden="1">"c2183"</definedName>
    <definedName name="IQ_BOND_COUPON_TYPE" hidden="1">"c2184"</definedName>
    <definedName name="IQ_BOND_PRICE" hidden="1">"c2162"</definedName>
    <definedName name="IQ_BROK_COMISSION" hidden="1">"c98"</definedName>
    <definedName name="IQ_BUILDINGS" hidden="1">"c99"</definedName>
    <definedName name="IQ_BUSINESS_DESCRIPTION" hidden="1">"c322"</definedName>
    <definedName name="IQ_BV_OVER_SHARES" hidden="1">"c1349"</definedName>
    <definedName name="IQ_BV_SHARE" hidden="1">"c100"</definedName>
    <definedName name="IQ_CABLE_ARPU" hidden="1">"c2869"</definedName>
    <definedName name="IQ_CABLE_ARPU_ANALOG" hidden="1">"c2864"</definedName>
    <definedName name="IQ_CABLE_ARPU_BASIC" hidden="1">"c2866"</definedName>
    <definedName name="IQ_CABLE_ARPU_BBAND" hidden="1">"c2867"</definedName>
    <definedName name="IQ_CABLE_ARPU_DIG" hidden="1">"c2865"</definedName>
    <definedName name="IQ_CABLE_ARPU_PHONE" hidden="1">"c2868"</definedName>
    <definedName name="IQ_CABLE_BASIC_PENETRATION" hidden="1">"c2850"</definedName>
    <definedName name="IQ_CABLE_BBAND_PENETRATION" hidden="1">"c2852"</definedName>
    <definedName name="IQ_CABLE_BBAND_PENETRATION_THP" hidden="1">"c2851"</definedName>
    <definedName name="IQ_CABLE_CHURN" hidden="1">"c2874"</definedName>
    <definedName name="IQ_CABLE_CHURN_BASIC" hidden="1">"c2871"</definedName>
    <definedName name="IQ_CABLE_CHURN_BBAND" hidden="1">"c2872"</definedName>
    <definedName name="IQ_CABLE_CHURN_DIG" hidden="1">"c2870"</definedName>
    <definedName name="IQ_CABLE_CHURN_PHONE" hidden="1">"c2873"</definedName>
    <definedName name="IQ_CABLE_HOMES_PER_MILE" hidden="1">"c2849"</definedName>
    <definedName name="IQ_CABLE_HP_BBAND" hidden="1">"c2845"</definedName>
    <definedName name="IQ_CABLE_HP_DIG" hidden="1">"c2844"</definedName>
    <definedName name="IQ_CABLE_HP_PHONE" hidden="1">"c2846"</definedName>
    <definedName name="IQ_CABLE_MILES_PASSED" hidden="1">"c2848"</definedName>
    <definedName name="IQ_CABLE_OTHER_REV" hidden="1">"c2882"</definedName>
    <definedName name="IQ_CABLE_PHONE_PENETRATION" hidden="1">"c2853"</definedName>
    <definedName name="IQ_CABLE_PROGRAMMING_COSTS" hidden="1">"c2884"</definedName>
    <definedName name="IQ_CABLE_REV_ADVERT" hidden="1">"c2880"</definedName>
    <definedName name="IQ_CABLE_REV_ANALOG" hidden="1">"c2875"</definedName>
    <definedName name="IQ_CABLE_REV_BASIC" hidden="1">"c2877"</definedName>
    <definedName name="IQ_CABLE_REV_BBAND" hidden="1">"c2878"</definedName>
    <definedName name="IQ_CABLE_REV_COMMERCIAL" hidden="1">"c2881"</definedName>
    <definedName name="IQ_CABLE_REV_DIG" hidden="1">"c2876"</definedName>
    <definedName name="IQ_CABLE_REV_PHONE" hidden="1">"c2879"</definedName>
    <definedName name="IQ_CABLE_RGU" hidden="1">"c2863"</definedName>
    <definedName name="IQ_CABLE_SUBS_ANALOG" hidden="1">"c2855"</definedName>
    <definedName name="IQ_CABLE_SUBS_BASIC" hidden="1">"c2857"</definedName>
    <definedName name="IQ_CABLE_SUBS_BBAND" hidden="1">"c2858"</definedName>
    <definedName name="IQ_CABLE_SUBS_BUNDLED" hidden="1">"c2861"</definedName>
    <definedName name="IQ_CABLE_SUBS_DIG" hidden="1">"c2856"</definedName>
    <definedName name="IQ_CABLE_SUBS_NON_VIDEO" hidden="1">"c2860"</definedName>
    <definedName name="IQ_CABLE_SUBS_PHONE" hidden="1">"c2859"</definedName>
    <definedName name="IQ_CABLE_SUBS_TOTAL" hidden="1">"c2862"</definedName>
    <definedName name="IQ_CABLE_THP" hidden="1">"c2847"</definedName>
    <definedName name="IQ_CABLE_TOTAL_PENETRATION" hidden="1">"c2854"</definedName>
    <definedName name="IQ_CABLE_TOTAL_REV" hidden="1">"c2883"</definedName>
    <definedName name="IQ_CAL_Q" hidden="1">"c101"</definedName>
    <definedName name="IQ_CAL_Y" hidden="1">"c102"</definedName>
    <definedName name="IQ_CALL_DATE_SCHEDULE" hidden="1">"c2481"</definedName>
    <definedName name="IQ_CALL_FEATURE" hidden="1">"c2197"</definedName>
    <definedName name="IQ_CALL_PRICE_SCHEDULE" hidden="1">"c2482"</definedName>
    <definedName name="IQ_CALLABLE" hidden="1">"c2196"</definedName>
    <definedName name="IQ_CAPEX" hidden="1">"c103"</definedName>
    <definedName name="IQ_CAPEX_10YR_ANN_GROWTH" hidden="1">"c104"</definedName>
    <definedName name="IQ_CAPEX_1YR_ANN_GROWTH" hidden="1">"c105"</definedName>
    <definedName name="IQ_CAPEX_2YR_ANN_GROWTH" hidden="1">"c106"</definedName>
    <definedName name="IQ_CAPEX_3YR_ANN_GROWTH" hidden="1">"c107"</definedName>
    <definedName name="IQ_CAPEX_5YR_ANN_GROWTH" hidden="1">"c108"</definedName>
    <definedName name="IQ_CAPEX_7YR_ANN_GROWTH" hidden="1">"c109"</definedName>
    <definedName name="IQ_CAPEX_BNK" hidden="1">"c110"</definedName>
    <definedName name="IQ_CAPEX_BR" hidden="1">"c111"</definedName>
    <definedName name="IQ_CAPEX_FIN" hidden="1">"c112"</definedName>
    <definedName name="IQ_CAPEX_INS" hidden="1">"c113"</definedName>
    <definedName name="IQ_CAPEX_UTI" hidden="1">"c114"</definedName>
    <definedName name="IQ_CAPITAL_LEASE" hidden="1">"c1350"</definedName>
    <definedName name="IQ_CAPITAL_LEASES" hidden="1">"c115"</definedName>
    <definedName name="IQ_CAPITAL_LEASES_TOTAL" hidden="1">"c3031"</definedName>
    <definedName name="IQ_CAPITAL_LEASES_TOTAL_PCT" hidden="1">"c2506"</definedName>
    <definedName name="IQ_CAPITALIZED_INTEREST" hidden="1">"c2076"</definedName>
    <definedName name="IQ_CASH" hidden="1">"c1458"</definedName>
    <definedName name="IQ_CASH_ACQUIRE_CF" hidden="1">"c116"</definedName>
    <definedName name="IQ_CASH_CONVERSION" hidden="1">"c117"</definedName>
    <definedName name="IQ_CASH_DUE_BANKS" hidden="1">"c1351"</definedName>
    <definedName name="IQ_CASH_EQUIV" hidden="1">"c118"</definedName>
    <definedName name="IQ_CASH_FINAN" hidden="1">"c119"</definedName>
    <definedName name="IQ_CASH_INTEREST" hidden="1">"c120"</definedName>
    <definedName name="IQ_CASH_INVEST" hidden="1">"c121"</definedName>
    <definedName name="IQ_CASH_OPER" hidden="1">"c122"</definedName>
    <definedName name="IQ_CASH_SEGREG" hidden="1">"c123"</definedName>
    <definedName name="IQ_CASH_SHARE" hidden="1">"c1911"</definedName>
    <definedName name="IQ_CASH_ST" hidden="1">"c1355"</definedName>
    <definedName name="IQ_CASH_ST_INVEST" hidden="1">"c124"</definedName>
    <definedName name="IQ_CASH_TAXES" hidden="1">"c125"</definedName>
    <definedName name="IQ_CEDED_AH_EARNED" hidden="1">"c2743"</definedName>
    <definedName name="IQ_CEDED_CLAIM_EXP_INCUR" hidden="1">"c2756"</definedName>
    <definedName name="IQ_CEDED_CLAIM_EXP_PAID" hidden="1">"c2759"</definedName>
    <definedName name="IQ_CEDED_CLAIM_EXP_RES" hidden="1">"c2753"</definedName>
    <definedName name="IQ_CEDED_EARNED" hidden="1">"c2733"</definedName>
    <definedName name="IQ_CEDED_LIFE_EARNED" hidden="1">"c2738"</definedName>
    <definedName name="IQ_CEDED_LIFE_IN_FORCE" hidden="1">"c2768"</definedName>
    <definedName name="IQ_CEDED_PC_EARNED" hidden="1">"c2748"</definedName>
    <definedName name="IQ_CEDED_WRITTEN" hidden="1">"c2727"</definedName>
    <definedName name="IQ_CFO_10YR_ANN_GROWTH" hidden="1">"c126"</definedName>
    <definedName name="IQ_CFO_1YR_ANN_GROWTH" hidden="1">"c127"</definedName>
    <definedName name="IQ_CFO_2YR_ANN_GROWTH" hidden="1">"c128"</definedName>
    <definedName name="IQ_CFO_3YR_ANN_GROWTH" hidden="1">"c129"</definedName>
    <definedName name="IQ_CFO_5YR_ANN_GROWTH" hidden="1">"c130"</definedName>
    <definedName name="IQ_CFO_7YR_ANN_GROWTH" hidden="1">"c131"</definedName>
    <definedName name="IQ_CFO_CURRENT_LIAB" hidden="1">"c132"</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IT" hidden="1">"c145"</definedName>
    <definedName name="IQ_CHANGE_AR_UTI" hidden="1">"c146"</definedName>
    <definedName name="IQ_CHANGE_DEF_TAX" hidden="1">"c147"</definedName>
    <definedName name="IQ_CHANGE_DEPOSIT_ACCT" hidden="1">"c148"</definedName>
    <definedName name="IQ_CHANGE_INC_TAX" hidden="1">"c149"</definedName>
    <definedName name="IQ_CHANGE_INS_RES_LIAB" hidden="1">"c150"</definedName>
    <definedName name="IQ_CHANGE_INVENTORY" hidden="1">"c151"</definedName>
    <definedName name="IQ_CHANGE_NET_WORKING_CAPITAL" hidden="1">"c1909"</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TRADING_ASSETS" hidden="1">"c159"</definedName>
    <definedName name="IQ_CHANGE_UNEARN_REV" hidden="1">"c160"</definedName>
    <definedName name="IQ_CHANGE_WORK_CAP" hidden="1">"c161"</definedName>
    <definedName name="IQ_CHANGES_WORK_CAP" hidden="1">"c1357"</definedName>
    <definedName name="IQ_CHARGE_OFFS_GROSS" hidden="1">"c162"</definedName>
    <definedName name="IQ_CHARGE_OFFS_NET" hidden="1">"c163"</definedName>
    <definedName name="IQ_CHARGE_OFFS_RECOVERED" hidden="1">"c164"</definedName>
    <definedName name="IQ_CHARGE_OFFS_TOTAL_AVG_LOANS" hidden="1">"c165"</definedName>
    <definedName name="IQ_CITY" hidden="1">"c166"</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_OBLIGATION_IMMEDIATE" hidden="1">"c2253"</definedName>
    <definedName name="IQ_CLASSA_OPTIONS_BEG_OS" hidden="1">"c2679"</definedName>
    <definedName name="IQ_CLASSA_OPTIONS_CANCELLED" hidden="1">"c2682"</definedName>
    <definedName name="IQ_CLASSA_OPTIONS_END_OS" hidden="1">"c2683"</definedName>
    <definedName name="IQ_CLASSA_OPTIONS_EXERCISED" hidden="1">"c2681"</definedName>
    <definedName name="IQ_CLASSA_OPTIONS_GRANTED" hidden="1">"c2680"</definedName>
    <definedName name="IQ_CLASSA_OPTIONS_STRIKE_PRICE_OS" hidden="1">"c2684"</definedName>
    <definedName name="IQ_CLASSA_OUTSTANDING_BS_DATE" hidden="1">"c1971"</definedName>
    <definedName name="IQ_CLASSA_OUTSTANDING_FILING_DATE" hidden="1">"c1973"</definedName>
    <definedName name="IQ_CLASSA_STRIKE_PRICE_GRANTED" hidden="1">"c2685"</definedName>
    <definedName name="IQ_CLASSA_WARRANTS_BEG_OS" hidden="1">"c2705"</definedName>
    <definedName name="IQ_CLASSA_WARRANTS_CANCELLED" hidden="1">"c2708"</definedName>
    <definedName name="IQ_CLASSA_WARRANTS_END_OS" hidden="1">"c2709"</definedName>
    <definedName name="IQ_CLASSA_WARRANTS_EXERCISED" hidden="1">"c2707"</definedName>
    <definedName name="IQ_CLASSA_WARRANTS_ISSUED" hidden="1">"c2706"</definedName>
    <definedName name="IQ_CLASSA_WARRANTS_STRIKE_PRICE_ISSUED" hidden="1">"c2711"</definedName>
    <definedName name="IQ_CLASSA_WARRANTS_STRIKE_PRICE_OS" hidden="1">"c2710"</definedName>
    <definedName name="IQ_CLOSEPRICE" hidden="1">"c174"</definedName>
    <definedName name="IQ_CLOSEPRICE_ADJ" hidden="1">"c2115"</definedName>
    <definedName name="IQ_COGS" hidden="1">"c175"</definedName>
    <definedName name="IQ_COMBINED_RATIO" hidden="1">"c176"</definedName>
    <definedName name="IQ_COMMERCIAL_DOM" hidden="1">"c177"</definedName>
    <definedName name="IQ_COMMERCIAL_FIRE_WRITTEN" hidden="1">"c178"</definedName>
    <definedName name="IQ_COMMERCIAL_MORT" hidden="1">"c179"</definedName>
    <definedName name="IQ_COMMISS_FEES" hidden="1">"c180"</definedName>
    <definedName name="IQ_COMMISSION_DEF" hidden="1">"c181"</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IT" hidden="1">"c188"</definedName>
    <definedName name="IQ_COMMON_APIC_UTI" hidden="1">"c189"</definedName>
    <definedName name="IQ_COMMON_DIV" hidden="1">"c3006"</definedName>
    <definedName name="IQ_COMMON_DIV_CF" hidden="1">"c190"</definedName>
    <definedName name="IQ_COMMON_EQUITY_10YR_ANN_GROWTH" hidden="1">"c191"</definedName>
    <definedName name="IQ_COMMON_EQUITY_1YR_ANN_GROWTH" hidden="1">"c192"</definedName>
    <definedName name="IQ_COMMON_EQUITY_2YR_ANN_GROWTH" hidden="1">"c193"</definedName>
    <definedName name="IQ_COMMON_EQUITY_3YR_ANN_GROWTH" hidden="1">"c194"</definedName>
    <definedName name="IQ_COMMON_EQUITY_5YR_ANN_GROWTH" hidden="1">"c195"</definedName>
    <definedName name="IQ_COMMON_EQUITY_7YR_ANN_GROWTH" hidden="1">"c196"</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IT" hidden="1">"c202"</definedName>
    <definedName name="IQ_COMMON_ISSUED_UTI" hidden="1">"c203"</definedName>
    <definedName name="IQ_COMMON_PER_ADR" hidden="1">"c204"</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IT" hidden="1">"c211"</definedName>
    <definedName name="IQ_COMMON_REP_UTI" hidden="1">"c212"</definedName>
    <definedName name="IQ_COMMON_STOCK" hidden="1">"c1358"</definedName>
    <definedName name="IQ_COMP_BENEFITS" hidden="1">"c213"</definedName>
    <definedName name="IQ_COMPANY_ADDRESS" hidden="1">"c214"</definedName>
    <definedName name="IQ_COMPANY_NAME" hidden="1">"c215"</definedName>
    <definedName name="IQ_COMPANY_NAME_LONG" hidden="1">"c1585"</definedName>
    <definedName name="IQ_COMPANY_PHONE" hidden="1">"c216"</definedName>
    <definedName name="IQ_COMPANY_STATUS" hidden="1">"c2097"</definedName>
    <definedName name="IQ_COMPANY_STREET1" hidden="1">"c217"</definedName>
    <definedName name="IQ_COMPANY_STREET2" hidden="1">"c218"</definedName>
    <definedName name="IQ_COMPANY_TICKER" hidden="1">"c219"</definedName>
    <definedName name="IQ_COMPANY_TYPE" hidden="1">"c2096"</definedName>
    <definedName name="IQ_COMPANY_WEBSITE" hidden="1">"c220"</definedName>
    <definedName name="IQ_COMPANY_ZIP" hidden="1">"c221"</definedName>
    <definedName name="IQ_CONSTRUCTION_LOANS" hidden="1">"c222"</definedName>
    <definedName name="IQ_CONSUMER_LOANS" hidden="1">"c223"</definedName>
    <definedName name="IQ_CONV_DATE" hidden="1">"c2191"</definedName>
    <definedName name="IQ_CONV_EXP_DATE" hidden="1">"c3043"</definedName>
    <definedName name="IQ_CONV_PREMIUM" hidden="1">"c2195"</definedName>
    <definedName name="IQ_CONV_PRICE" hidden="1">"c2193"</definedName>
    <definedName name="IQ_CONV_RATIO" hidden="1">"c2192"</definedName>
    <definedName name="IQ_CONV_SECURITY" hidden="1">"c2189"</definedName>
    <definedName name="IQ_CONV_SECURITY_ISSUER" hidden="1">"c2190"</definedName>
    <definedName name="IQ_CONV_SECURITY_PRICE" hidden="1">"c2194"</definedName>
    <definedName name="IQ_CONVERT" hidden="1">"c2536"</definedName>
    <definedName name="IQ_CONVERT_PCT" hidden="1">"c2537"</definedName>
    <definedName name="IQ_CONVEXITY" hidden="1">"c2182"</definedName>
    <definedName name="IQ_COST_BORROWING" hidden="1">"c2936"</definedName>
    <definedName name="IQ_COST_BORROWINGS" hidden="1">"c225"</definedName>
    <definedName name="IQ_COST_REV" hidden="1">"c226"</definedName>
    <definedName name="IQ_COST_REVENUE" hidden="1">"c1359"</definedName>
    <definedName name="IQ_COST_SAVINGS" hidden="1">"c227"</definedName>
    <definedName name="IQ_COST_SERVICE" hidden="1">"c228"</definedName>
    <definedName name="IQ_COST_TOTAL_BORROWINGS" hidden="1">"c229"</definedName>
    <definedName name="IQ_COUNTRY_NAME" hidden="1">"c230"</definedName>
    <definedName name="IQ_COVERED_POPS" hidden="1">"c2124"</definedName>
    <definedName name="IQ_CP" hidden="1">"c2495"</definedName>
    <definedName name="IQ_CP_PCT" hidden="1">"c2496"</definedName>
    <definedName name="IQ_CQ" hidden="1">5000</definedName>
    <definedName name="IQ_CREDIT_CARD_FEE_BNK" hidden="1">"c231"</definedName>
    <definedName name="IQ_CREDIT_CARD_FEE_FIN" hidden="1">"c1583"</definedName>
    <definedName name="IQ_CREDIT_LOSS_CF" hidden="1">"c232"</definedName>
    <definedName name="IQ_CUMULATIVE_SPLIT_FACTOR" hidden="1">"c2094"</definedName>
    <definedName name="IQ_CURR_DOMESTIC_TAXES" hidden="1">"c2074"</definedName>
    <definedName name="IQ_CURR_FOREIGN_TAXES" hidden="1">"c2075"</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IT" hidden="1">"c239"</definedName>
    <definedName name="IQ_CURRENCY_GAIN_UTI" hidden="1">"c240"</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IT" hidden="1">"c1570"</definedName>
    <definedName name="IQ_CURRENT_PORT_DEBT_UTI" hidden="1">"c1571"</definedName>
    <definedName name="IQ_CURRENT_PORT_LEASES" hidden="1">"c245"</definedName>
    <definedName name="IQ_CURRENT_PORT_PCT" hidden="1">"c2541"</definedName>
    <definedName name="IQ_CURRENT_RATIO" hidden="1">"c246"</definedName>
    <definedName name="IQ_CUSIP" hidden="1">"c2245"</definedName>
    <definedName name="IQ_CY" hidden="1">10000</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IT" hidden="1">"c254"</definedName>
    <definedName name="IQ_DA_CF_UTI" hidden="1">"c255"</definedName>
    <definedName name="IQ_DA_FIN" hidden="1">"c256"</definedName>
    <definedName name="IQ_DA_INS" hidden="1">"c257"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IT" hidden="1">"c266"</definedName>
    <definedName name="IQ_DA_SUPPL_CF_UTI" hidden="1">"c267"</definedName>
    <definedName name="IQ_DA_SUPPL_FIN" hidden="1">"c268"</definedName>
    <definedName name="IQ_DA_SUPPL_INS" hidden="1">"c269"</definedName>
    <definedName name="IQ_DA_SUPPL_REIT" hidden="1">"c270"</definedName>
    <definedName name="IQ_DA_SUPPL_UTI" hidden="1">"c271"</definedName>
    <definedName name="IQ_DA_UTI" hidden="1">"c272"</definedName>
    <definedName name="IQ_DATED_DATE" hidden="1">"c2185"</definedName>
    <definedName name="IQ_DAY_COUNT" hidden="1">"c2161"</definedName>
    <definedName name="IQ_DAYS_COVER_SHORT" hidden="1">"c1578"</definedName>
    <definedName name="IQ_DAYS_INVENTORY_OUT" hidden="1">"c273"</definedName>
    <definedName name="IQ_DAYS_PAY_OUTST" hidden="1">"c1362"</definedName>
    <definedName name="IQ_DAYS_PAYABLE_OUT" hidden="1">"c274"</definedName>
    <definedName name="IQ_DAYS_SALES_OUT" hidden="1">"c275"</definedName>
    <definedName name="IQ_DAYS_SALES_OUTST" hidden="1">"c1363"</definedName>
    <definedName name="IQ_DEBT_ADJ" hidden="1">"c2515"</definedName>
    <definedName name="IQ_DEBT_ADJ_PCT" hidden="1">"c2516"</definedName>
    <definedName name="IQ_DEBT_EQUIV_NET_PBO" hidden="1">"c2938"</definedName>
    <definedName name="IQ_DEBT_EQUIV_OPER_LEASE" hidden="1">"c2935"</definedName>
    <definedName name="IQ_DEF_ACQ_CST" hidden="1">"c1364"</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INTEREST_COST_DOMESTIC" hidden="1">"c2652"</definedName>
    <definedName name="IQ_DEF_BENEFIT_INTEREST_COST_FOREIGN" hidden="1">"c2660"</definedName>
    <definedName name="IQ_DEF_BENEFIT_OTHER_COST" hidden="1">"c284"</definedName>
    <definedName name="IQ_DEF_BENEFIT_OTHER_COST_DOMESTIC" hidden="1">"c2654"</definedName>
    <definedName name="IQ_DEF_BENEFIT_OTHER_COST_FOREIGN" hidden="1">"c2662"</definedName>
    <definedName name="IQ_DEF_BENEFIT_ROA" hidden="1">"c285"</definedName>
    <definedName name="IQ_DEF_BENEFIT_ROA_DOMESTIC" hidden="1">"c2653"</definedName>
    <definedName name="IQ_DEF_BENEFIT_ROA_FOREIGN" hidden="1">"c2661"</definedName>
    <definedName name="IQ_DEF_BENEFIT_SERVICE_COST" hidden="1">"c286"</definedName>
    <definedName name="IQ_DEF_BENEFIT_SERVICE_COST_DOMESTIC" hidden="1">"c2651"</definedName>
    <definedName name="IQ_DEF_BENEFIT_SERVICE_COST_FOREIGN" hidden="1">"c2659"</definedName>
    <definedName name="IQ_DEF_BENEFIT_TOTAL_COST" hidden="1">"c287"</definedName>
    <definedName name="IQ_DEF_BENEFIT_TOTAL_COST_DOMESTIC" hidden="1">"c2655"</definedName>
    <definedName name="IQ_DEF_BENEFIT_TOTAL_COST_FOREIGN" hidden="1">"c2663"</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IT" hidden="1">"c297"</definedName>
    <definedName name="IQ_DEF_CHARGES_LT_UTI" hidden="1">"c298"</definedName>
    <definedName name="IQ_DEF_CHARGES_REIT" hidden="1">"c299"</definedName>
    <definedName name="IQ_DEF_CONTRIBUTION_TOTAL_COST" hidden="1">"c300"</definedName>
    <definedName name="IQ_DEF_INC_TAX" hidden="1">"c1365"</definedName>
    <definedName name="IQ_DEF_POLICY_ACQ_COSTS" hidden="1">"c301"</definedName>
    <definedName name="IQ_DEF_POLICY_ACQ_COSTS_CF" hidden="1">"c302"</definedName>
    <definedName name="IQ_DEF_POLICY_AMORT" hidden="1">"c303"</definedName>
    <definedName name="IQ_DEF_TAX_ASSET_LT_BR" hidden="1">"c304"</definedName>
    <definedName name="IQ_DEF_TAX_ASSET_LT_FIN" hidden="1">"c305"</definedName>
    <definedName name="IQ_DEF_TAX_ASSET_LT_INS" hidden="1">"c306"</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IT" hidden="1">"c318"</definedName>
    <definedName name="IQ_DEF_TAX_LIAB_LT_UTI" hidden="1">"c319"</definedName>
    <definedName name="IQ_DEFERRED_DOMESTIC_TAXES" hidden="1">"c2077"</definedName>
    <definedName name="IQ_DEFERRED_FOREIGN_TAXES" hidden="1">"c2078"</definedName>
    <definedName name="IQ_DEFERRED_INC_TAX" hidden="1">"c1447"</definedName>
    <definedName name="IQ_DEFERRED_TAXES" hidden="1">"c1356"</definedName>
    <definedName name="IQ_DEMAND_DEP" hidden="1">"c320"</definedName>
    <definedName name="IQ_DEPOSITS_FIN" hidden="1">"c321"</definedName>
    <definedName name="IQ_DEPRE_AMORT" hidden="1">"c1360"</definedName>
    <definedName name="IQ_DEPRE_AMORT_SUPPL" hidden="1">"c1593"</definedName>
    <definedName name="IQ_DEPRE_DEPLE" hidden="1">"c1361"</definedName>
    <definedName name="IQ_DEPRE_SUPP" hidden="1">"c1443"</definedName>
    <definedName name="IQ_DESCRIPTION_LONG" hidden="1">"c1520"</definedName>
    <definedName name="IQ_DEVELOP_LAND" hidden="1">"c323"</definedName>
    <definedName name="IQ_DILUT_ADJUST" hidden="1">"c1621"</definedName>
    <definedName name="IQ_DILUT_EPS_EXCL" hidden="1">"c324"</definedName>
    <definedName name="IQ_DILUT_EPS_INCL" hidden="1">"c325"</definedName>
    <definedName name="IQ_DILUT_EPS_NORM" hidden="1">"c1903"</definedName>
    <definedName name="IQ_DILUT_NI" hidden="1">"c2079"</definedName>
    <definedName name="IQ_DILUT_NORMAL_EPS" hidden="1">"c1594"</definedName>
    <definedName name="IQ_DILUT_WEIGHT" hidden="1">"c326"</definedName>
    <definedName name="IQ_DIRECT_AH_EARNED" hidden="1">"c2740"</definedName>
    <definedName name="IQ_DIRECT_EARNED" hidden="1">"c2730"</definedName>
    <definedName name="IQ_DIRECT_LIFE_EARNED" hidden="1">"c2735"</definedName>
    <definedName name="IQ_DIRECT_LIFE_IN_FORCE" hidden="1">"c2765"</definedName>
    <definedName name="IQ_DIRECT_PC_EARNED" hidden="1">"c2745"</definedName>
    <definedName name="IQ_DIRECT_WRITTEN" hidden="1">"c2724"</definedName>
    <definedName name="IQ_DISCONT_OPER" hidden="1">"c1367"</definedName>
    <definedName name="IQ_DISCOUNT_RATE_PENSION_DOMESTIC" hidden="1">"c327"</definedName>
    <definedName name="IQ_DISCOUNT_RATE_PENSION_FOREIGN" hidden="1">"c328"</definedName>
    <definedName name="IQ_DISTR_EXCESS_EARN" hidden="1">"c329"</definedName>
    <definedName name="IQ_DISTRIBUTABLE_CASH" hidden="1">"c3002"</definedName>
    <definedName name="IQ_DISTRIBUTABLE_CASH_PAYOUT" hidden="1">"c3005"</definedName>
    <definedName name="IQ_DISTRIBUTABLE_CASH_SHARE" hidden="1">"c3003"</definedName>
    <definedName name="IQ_DIV_AMOUNT" hidden="1">"c3041"</definedName>
    <definedName name="IQ_DIV_PAYMENT_DATE" hidden="1">"c2205"</definedName>
    <definedName name="IQ_DIV_RECORD_DATE" hidden="1">"c2204"</definedName>
    <definedName name="IQ_DIV_SHARE" hidden="1">"c330"</definedName>
    <definedName name="IQ_DIVEST_CF" hidden="1">"c331"</definedName>
    <definedName name="IQ_DIVID_SHARE" hidden="1">"c1366"</definedName>
    <definedName name="IQ_DIVIDEND_YIELD" hidden="1">"c332"</definedName>
    <definedName name="IQ_DO" hidden="1">"c333"</definedName>
    <definedName name="IQ_DO_ASSETS_CURRENT" hidden="1">"c334"</definedName>
    <definedName name="IQ_DO_ASSETS_LT" hidden="1">"c335"</definedName>
    <definedName name="IQ_DO_CF" hidden="1">"c336"</definedName>
    <definedName name="IQ_DPAC_ACC" hidden="1">"c2799"</definedName>
    <definedName name="IQ_DPAC_AMORT" hidden="1">"c2795"</definedName>
    <definedName name="IQ_DPAC_BEG" hidden="1">"c2791"</definedName>
    <definedName name="IQ_DPAC_COMMISSIONS" hidden="1">"c2792"</definedName>
    <definedName name="IQ_DPAC_END" hidden="1">"c2801"</definedName>
    <definedName name="IQ_DPAC_FX" hidden="1">"c2798"</definedName>
    <definedName name="IQ_DPAC_OTHER_ADJ" hidden="1">"c2800"</definedName>
    <definedName name="IQ_DPAC_OTHERS" hidden="1">"c2793"</definedName>
    <definedName name="IQ_DPAC_PERIOD" hidden="1">"c2794"</definedName>
    <definedName name="IQ_DPAC_REAL_GAIN" hidden="1">"c2797"</definedName>
    <definedName name="IQ_DPAC_UNREAL_GAIN" hidden="1">"c2796"</definedName>
    <definedName name="IQ_DPS_10YR_ANN_GROWTH" hidden="1">"c337"</definedName>
    <definedName name="IQ_DPS_1YR_ANN_GROWTH" hidden="1">"c338"</definedName>
    <definedName name="IQ_DPS_2YR_ANN_GROWTH" hidden="1">"c339"</definedName>
    <definedName name="IQ_DPS_3YR_ANN_GROWTH" hidden="1">"c340"</definedName>
    <definedName name="IQ_DPS_5YR_ANN_GROWTH" hidden="1">"c341"</definedName>
    <definedName name="IQ_DPS_7YR_ANN_GROWTH" hidden="1">"c342"</definedName>
    <definedName name="IQ_DURATION" hidden="1">"c2181"</definedName>
    <definedName name="IQ_EARNING_ASSET_YIELD" hidden="1">"c343"</definedName>
    <definedName name="IQ_EARNING_CO" hidden="1">"c344"</definedName>
    <definedName name="IQ_EARNING_CO_10YR_ANN_GROWTH" hidden="1">"c345"</definedName>
    <definedName name="IQ_EARNING_CO_1YR_ANN_GROWTH" hidden="1">"c346"</definedName>
    <definedName name="IQ_EARNING_CO_2YR_ANN_GROWTH" hidden="1">"c347"</definedName>
    <definedName name="IQ_EARNING_CO_3YR_ANN_GROWTH" hidden="1">"c348"</definedName>
    <definedName name="IQ_EARNING_CO_5YR_ANN_GROWTH" hidden="1">"c349"</definedName>
    <definedName name="IQ_EARNING_CO_7YR_ANN_GROWTH" hidden="1">"c350"</definedName>
    <definedName name="IQ_EARNING_CO_MARGIN" hidden="1">"c351"</definedName>
    <definedName name="IQ_EBIT" hidden="1">"c352"</definedName>
    <definedName name="IQ_EBIT_10YR_ANN_GROWTH" hidden="1">"c353"</definedName>
    <definedName name="IQ_EBIT_1YR_ANN_GROWTH" hidden="1">"c354"</definedName>
    <definedName name="IQ_EBIT_2YR_ANN_GROWTH" hidden="1">"c355"</definedName>
    <definedName name="IQ_EBIT_3YR_ANN_GROWTH" hidden="1">"c356"</definedName>
    <definedName name="IQ_EBIT_5YR_ANN_GROWTH" hidden="1">"c357"</definedName>
    <definedName name="IQ_EBIT_7YR_ANN_GROWTH" hidden="1">"c358"</definedName>
    <definedName name="IQ_EBIT_INT" hidden="1">"c360"</definedName>
    <definedName name="IQ_EBIT_MARGIN" hidden="1">"c359"</definedName>
    <definedName name="IQ_EBIT_OVER_IE" hidden="1">"c1369"</definedName>
    <definedName name="IQ_EBITA" hidden="1">"c1910"</definedName>
    <definedName name="IQ_EBITA_10YR_ANN_GROWTH" hidden="1">"c1954"</definedName>
    <definedName name="IQ_EBITA_1YR_ANN_GROWTH" hidden="1">"c1949"</definedName>
    <definedName name="IQ_EBITA_2YR_ANN_GROWTH" hidden="1">"c1950"</definedName>
    <definedName name="IQ_EBITA_3YR_ANN_GROWTH" hidden="1">"c1951"</definedName>
    <definedName name="IQ_EBITA_5YR_ANN_GROWTH" hidden="1">"c1952"</definedName>
    <definedName name="IQ_EBITA_7YR_ANN_GROWTH" hidden="1">"c1953"</definedName>
    <definedName name="IQ_EBITA_MARGIN" hidden="1">"c1963"</definedName>
    <definedName name="IQ_EBITDA" hidden="1">"c361"</definedName>
    <definedName name="IQ_EBITDA_10YR_ANN_GROWTH" hidden="1">"c362"</definedName>
    <definedName name="IQ_EBITDA_1YR_ANN_GROWTH" hidden="1">"c363"</definedName>
    <definedName name="IQ_EBITDA_2YR_ANN_GROWTH" hidden="1">"c364"</definedName>
    <definedName name="IQ_EBITDA_3YR_ANN_GROWTH" hidden="1">"c365"</definedName>
    <definedName name="IQ_EBITDA_5YR_ANN_GROWTH" hidden="1">"c366"</definedName>
    <definedName name="IQ_EBITDA_7YR_ANN_GROWTH" hidden="1">"c367"</definedName>
    <definedName name="IQ_EBITDA_CAPEX_INT" hidden="1">"c368"</definedName>
    <definedName name="IQ_EBITDA_CAPEX_OVER_TOTAL_IE" hidden="1">"c1370"</definedName>
    <definedName name="IQ_EBITDA_INT" hidden="1">"c373"</definedName>
    <definedName name="IQ_EBITDA_MARGIN" hidden="1">"c372"</definedName>
    <definedName name="IQ_EBITDA_OVER_TOTAL_IE" hidden="1">"c1371"</definedName>
    <definedName name="IQ_EBITDAR" hidden="1">"c2989"</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IT" hidden="1">"c384"</definedName>
    <definedName name="IQ_EBT_EXCL_UTI" hidden="1">"c385"</definedName>
    <definedName name="IQ_EBT_FIN" hidden="1">"c386"</definedName>
    <definedName name="IQ_EBT_INCL_MARGIN" hidden="1">"c387"</definedName>
    <definedName name="IQ_EBT_INS" hidden="1">"c388"</definedName>
    <definedName name="IQ_EBT_REIT" hidden="1">"c389"</definedName>
    <definedName name="IQ_EBT_UTI" hidden="1">"c390"</definedName>
    <definedName name="IQ_EFFECT_SPECIAL_CHARGE" hidden="1">"c1595"</definedName>
    <definedName name="IQ_EFFECT_TAX_RATE" hidden="1">"c1899"</definedName>
    <definedName name="IQ_EFFICIENCY_RATIO" hidden="1">"c391"</definedName>
    <definedName name="IQ_EMPLOYEES" hidden="1">"c392"</definedName>
    <definedName name="IQ_ENTERPRISE_VALUE" hidden="1">"c1348"</definedName>
    <definedName name="IQ_EPS_10YR_ANN_GROWTH" hidden="1">"c393"</definedName>
    <definedName name="IQ_EPS_1YR_ANN_GROWTH" hidden="1">"c394"</definedName>
    <definedName name="IQ_EPS_2YR_ANN_GROWTH" hidden="1">"c395"</definedName>
    <definedName name="IQ_EPS_3YR_ANN_GROWTH" hidden="1">"c396"</definedName>
    <definedName name="IQ_EPS_5YR_ANN_GROWTH" hidden="1">"c397"</definedName>
    <definedName name="IQ_EPS_7YR_ANN_GROWTH" hidden="1">"c398"</definedName>
    <definedName name="IQ_EPS_EST" hidden="1">"c399"</definedName>
    <definedName name="IQ_EPS_HIGH_EST" hidden="1">"c400"</definedName>
    <definedName name="IQ_EPS_LOW_EST" hidden="1">"c401"</definedName>
    <definedName name="IQ_EPS_MEDIAN_EST" hidden="1">"c1661"</definedName>
    <definedName name="IQ_EPS_NORM" hidden="1">"c1902"</definedName>
    <definedName name="IQ_EPS_NUM_EST" hidden="1">"c402"</definedName>
    <definedName name="IQ_EPS_STDDEV_EST" hidden="1">"c403"</definedName>
    <definedName name="IQ_EQUITY_AFFIL" hidden="1">"c1451"</definedName>
    <definedName name="IQ_EQUITY_METHOD" hidden="1">"c404"</definedName>
    <definedName name="IQ_EQV_OVER_BV" hidden="1">"c1596"</definedName>
    <definedName name="IQ_EQV_OVER_LTM_PRETAX_INC" hidden="1">"c1390"</definedName>
    <definedName name="IQ_ESOP_DEBT" hidden="1">"c1597"</definedName>
    <definedName name="IQ_EST_CURRENCY" hidden="1">"c2140"</definedName>
    <definedName name="IQ_EST_DATE" hidden="1">"c1634"</definedName>
    <definedName name="IQ_EST_EPS_GROWTH_1YR" hidden="1">"c1636"</definedName>
    <definedName name="IQ_EST_EPS_GROWTH_5YR" hidden="1">"c1655"</definedName>
    <definedName name="IQ_EST_EPS_GROWTH_Q_1YR" hidden="1">"c1641"</definedName>
    <definedName name="IQ_EV_OVER_EMPLOYEE" hidden="1">"c1428"</definedName>
    <definedName name="IQ_EV_OVER_LTM_EBIT" hidden="1">"c1426"</definedName>
    <definedName name="IQ_EV_OVER_LTM_EBITDA" hidden="1">"c1427"</definedName>
    <definedName name="IQ_EV_OVER_LTM_REVENUE" hidden="1">"c1429"</definedName>
    <definedName name="IQ_EVAL_DATE" hidden="1">"c2180"</definedName>
    <definedName name="IQ_EXCHANGE" hidden="1">"c405"</definedName>
    <definedName name="IQ_EXERCISE_PRICE" hidden="1">"c1897"</definedName>
    <definedName name="IQ_EXERCISED" hidden="1">"c406"</definedName>
    <definedName name="IQ_EXP_RETURN_PENSION_DOMESTIC" hidden="1">"c407"</definedName>
    <definedName name="IQ_EXP_RETURN_PENSION_FOREIGN" hidden="1">"c408"</definedName>
    <definedName name="IQ_EXPLORE_DRILL" hidden="1">"c409"</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IT" hidden="1">"c415"</definedName>
    <definedName name="IQ_EXTRA_ACC_ITEMS_UTI" hidden="1">"c416"</definedName>
    <definedName name="IQ_EXTRA_ITEMS" hidden="1">"c1459"</definedName>
    <definedName name="IQ_FDIC" hidden="1">"c417"</definedName>
    <definedName name="IQ_FEDFUNDS_SOLD" hidden="1">"c2256"</definedName>
    <definedName name="IQ_FFO" hidden="1">"c1574"</definedName>
    <definedName name="IQ_FHLB_DEBT" hidden="1">"c423"</definedName>
    <definedName name="IQ_FHLB_DUE_CY" hidden="1">"c2080"</definedName>
    <definedName name="IQ_FHLB_DUE_CY1" hidden="1">"c2081"</definedName>
    <definedName name="IQ_FHLB_DUE_CY2" hidden="1">"c2082"</definedName>
    <definedName name="IQ_FHLB_DUE_CY3" hidden="1">"c2083"</definedName>
    <definedName name="IQ_FHLB_DUE_CY4" hidden="1">"c2084"</definedName>
    <definedName name="IQ_FHLB_DUE_NEXT_FIVE" hidden="1">"c2085"</definedName>
    <definedName name="IQ_FILING_CURRENCY" hidden="1">"c2129"</definedName>
    <definedName name="IQ_FILINGDATE_BS" hidden="1">"c424"</definedName>
    <definedName name="IQ_FILINGDATE_CF" hidden="1">"c425"</definedName>
    <definedName name="IQ_FILINGDATE_IS" hidden="1">"c426"</definedName>
    <definedName name="IQ_FILM_RIGHTS" hidden="1">"c2254"</definedName>
    <definedName name="IQ_FIN_DIV_ASSETS_CURRENT" hidden="1">"c427"</definedName>
    <definedName name="IQ_FIN_DIV_ASSETS_LT" hidden="1">"c428"</definedName>
    <definedName name="IQ_FIN_DIV_DEBT_CURRENT" hidden="1">"c429"</definedName>
    <definedName name="IQ_FIN_DIV_DEBT_LT" hidden="1">"c430"</definedName>
    <definedName name="IQ_FIN_DIV_EXP" hidden="1">"c431"</definedName>
    <definedName name="IQ_FIN_DIV_INT_EXP" hidden="1">"c432"</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REV" hidden="1">"c437"</definedName>
    <definedName name="IQ_FINANCING_CASH" hidden="1">"c1405"</definedName>
    <definedName name="IQ_FINANCING_CASH_SUPPL" hidden="1">"c1406"</definedName>
    <definedName name="IQ_FINISHED_INV" hidden="1">"c438"</definedName>
    <definedName name="IQ_FIRST_INT_DATE" hidden="1">"c2186"</definedName>
    <definedName name="IQ_FIRST_YEAR_LIFE" hidden="1">"c439"</definedName>
    <definedName name="IQ_FIRST_YEAR_LIFE_PREM" hidden="1">"c2787"</definedName>
    <definedName name="IQ_FIRST_YEAR_PREM" hidden="1">"c2786"</definedName>
    <definedName name="IQ_FIRSTPRICINGDATE" hidden="1">"c3050"</definedName>
    <definedName name="IQ_FISCAL_Q" hidden="1">"c440"</definedName>
    <definedName name="IQ_FISCAL_Y" hidden="1">"c441"</definedName>
    <definedName name="IQ_FIVE_PERCENT_OWNER" hidden="1">"c442"</definedName>
    <definedName name="IQ_FIVEPERCENT_PERCENT" hidden="1">"c443"</definedName>
    <definedName name="IQ_FIVEPERCENT_SHARES" hidden="1">"c444"</definedName>
    <definedName name="IQ_FIXED_ASSET_TURNS" hidden="1">"c445"</definedName>
    <definedName name="IQ_FLOAT_PERCENT" hidden="1">"c1575"</definedName>
    <definedName name="IQ_FOREIGN_DEP_IB" hidden="1">"c446"</definedName>
    <definedName name="IQ_FOREIGN_DEP_NON_IB" hidden="1">"c447"</definedName>
    <definedName name="IQ_FOREIGN_EXCHANGE" hidden="1">"c1376"</definedName>
    <definedName name="IQ_FOREIGN_LOANS" hidden="1">"c448"</definedName>
    <definedName name="IQ_FQ" hidden="1">500</definedName>
    <definedName name="IQ_FUEL" hidden="1">"c449"</definedName>
    <definedName name="IQ_FULL_TIME" hidden="1">"c450"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X" hidden="1">"c451"</definedName>
    <definedName name="IQ_FY" hidden="1">1000</definedName>
    <definedName name="IQ_GA_EXP" hidden="1">"c2241"</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IT" hidden="1">"c477"</definedName>
    <definedName name="IQ_GAIN_ASSETS_REV_UTI" hidden="1">"c478"</definedName>
    <definedName name="IQ_GAIN_ASSETS_UTI" hidden="1">"c479"</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SALE_ASSETS" hidden="1">"c1377"</definedName>
    <definedName name="IQ_GOODWILL_NET" hidden="1">"c1380"</definedName>
    <definedName name="IQ_GP" hidden="1">"c511"</definedName>
    <definedName name="IQ_GP_10YR_ANN_GROWTH" hidden="1">"c512"</definedName>
    <definedName name="IQ_GP_1YR_ANN_GROWTH" hidden="1">"c513"</definedName>
    <definedName name="IQ_GP_2YR_ANN_GROWTH" hidden="1">"c514"</definedName>
    <definedName name="IQ_GP_3YR_ANN_GROWTH" hidden="1">"c515"</definedName>
    <definedName name="IQ_GP_5YR_ANN_GROWTH" hidden="1">"c516"</definedName>
    <definedName name="IQ_GP_7YR_ANN_GROWTH" hidden="1">"c517"</definedName>
    <definedName name="IQ_GPPE" hidden="1">"c518"</definedName>
    <definedName name="IQ_GROSS_AH_EARNED" hidden="1">"c2742"</definedName>
    <definedName name="IQ_GROSS_CLAIM_EXP_INCUR" hidden="1">"c2755"</definedName>
    <definedName name="IQ_GROSS_CLAIM_EXP_PAID" hidden="1">"c2758"</definedName>
    <definedName name="IQ_GROSS_CLAIM_EXP_RES" hidden="1">"c2752"</definedName>
    <definedName name="IQ_GROSS_DIVID" hidden="1">"c1446"</definedName>
    <definedName name="IQ_GROSS_EARNED" hidden="1">"c2732"</definedName>
    <definedName name="IQ_GROSS_LIFE_EARNED" hidden="1">"c2737"</definedName>
    <definedName name="IQ_GROSS_LIFE_IN_FORCE" hidden="1">"c2767"</definedName>
    <definedName name="IQ_GROSS_LOANS" hidden="1">"c521"</definedName>
    <definedName name="IQ_GROSS_LOANS_10YR_ANN_GROWTH" hidden="1">"c522"</definedName>
    <definedName name="IQ_GROSS_LOANS_1YR_ANN_GROWTH" hidden="1">"c523"</definedName>
    <definedName name="IQ_GROSS_LOANS_2YR_ANN_GROWTH" hidden="1">"c524"</definedName>
    <definedName name="IQ_GROSS_LOANS_3YR_ANN_GROWTH" hidden="1">"c525"</definedName>
    <definedName name="IQ_GROSS_LOANS_5YR_ANN_GROWTH" hidden="1">"c526"</definedName>
    <definedName name="IQ_GROSS_LOANS_7YR_ANN_GROWTH" hidden="1">"c527"</definedName>
    <definedName name="IQ_GROSS_LOANS_TOTAL_DEPOSITS" hidden="1">"c528"</definedName>
    <definedName name="IQ_GROSS_MARGIN" hidden="1">"c529"</definedName>
    <definedName name="IQ_GROSS_PC_EARNED" hidden="1">"c2747"</definedName>
    <definedName name="IQ_GROSS_PROFIT" hidden="1">"c1378"</definedName>
    <definedName name="IQ_GROSS_SPRD" hidden="1">"c2155"</definedName>
    <definedName name="IQ_GROSS_WRITTEN" hidden="1">"c2726"</definedName>
    <definedName name="IQ_GW" hidden="1">"c530"</definedName>
    <definedName name="IQ_GW_AMORT_BR" hidden="1">"c532"</definedName>
    <definedName name="IQ_GW_AMORT_FIN" hidden="1">"c540"</definedName>
    <definedName name="IQ_GW_AMORT_INS" hidden="1">"c541"</definedName>
    <definedName name="IQ_GW_AMORT_REIT" hidden="1">"c542"</definedName>
    <definedName name="IQ_GW_AMORT_UTI" hidden="1">"c543"</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IT" hidden="1">"c1480"</definedName>
    <definedName name="IQ_GW_INTAN_AMORT_UTI" hidden="1">"c1481"</definedName>
    <definedName name="IQ_HIGH_TARGET_PRICE" hidden="1">"c1651"</definedName>
    <definedName name="IQ_HIGHPRICE" hidden="1">"c545"</definedName>
    <definedName name="IQ_HOMEOWNERS_WRITTEN" hidden="1">"c546"</definedName>
    <definedName name="IQ_IMPAIR_OIL" hidden="1">"c547"</definedName>
    <definedName name="IQ_IMPAIRMENT_GW" hidden="1">"c548"</definedName>
    <definedName name="IQ_IMPUT_OPER_LEASE_DEPR" hidden="1">"c2987"</definedName>
    <definedName name="IQ_IMPUT_OPER_LEASE_INT_EXP" hidden="1">"c2986"</definedName>
    <definedName name="IQ_INC_AFTER_TAX" hidden="1">"c1598"</definedName>
    <definedName name="IQ_INC_AVAIL_EXCL" hidden="1">"c1395"</definedName>
    <definedName name="IQ_INC_AVAIL_INCL" hidden="1">"c1396"</definedName>
    <definedName name="IQ_INC_BEFORE_TAX" hidden="1">"c1375"</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hidden="1">"c560"</definedName>
    <definedName name="IQ_INC_TAX_EXCL" hidden="1">"c1599"</definedName>
    <definedName name="IQ_INC_TAX_PAY_CURRENT" hidden="1">"c561"</definedName>
    <definedName name="IQ_INC_TRADE_ACT" hidden="1">"c562"</definedName>
    <definedName name="IQ_INS_ANNUITY_LIAB" hidden="1">"c563"</definedName>
    <definedName name="IQ_INS_ANNUITY_REV" hidden="1">"c2788"</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IT" hidden="1">"c575"</definedName>
    <definedName name="IQ_INS_SETTLE_UTI" hidden="1">"c576"</definedName>
    <definedName name="IQ_INSIDER_3MTH_BOUGHT_PCT" hidden="1">"c1534"</definedName>
    <definedName name="IQ_INSIDER_3MTH_NET_PCT" hidden="1">"c1535"</definedName>
    <definedName name="IQ_INSIDER_3MTH_SOLD_PCT" hidden="1">"c1533"</definedName>
    <definedName name="IQ_INSIDER_6MTH_BOUGHT_PCT" hidden="1">"c1537"</definedName>
    <definedName name="IQ_INSIDER_6MTH_NET_PCT" hidden="1">"c1538"</definedName>
    <definedName name="IQ_INSIDER_6MTH_SOLD_PCT" hidden="1">"c1536"</definedName>
    <definedName name="IQ_INSIDER_OVER_TOTAL" hidden="1">"c1581"</definedName>
    <definedName name="IQ_INSIDER_OWNER" hidden="1">"c577"</definedName>
    <definedName name="IQ_INSIDER_PERCENT" hidden="1">"c578"</definedName>
    <definedName name="IQ_INSIDER_SHARES" hidden="1">"c579"</definedName>
    <definedName name="IQ_INSTITUTIONAL_OVER_TOTAL" hidden="1">"c1580"</definedName>
    <definedName name="IQ_INSTITUTIONAL_OWNER" hidden="1">"c580"</definedName>
    <definedName name="IQ_INSTITUTIONAL_PERCENT" hidden="1">"c581"</definedName>
    <definedName name="IQ_INSTITUTIONAL_SHARES" hidden="1">"c582"</definedName>
    <definedName name="IQ_INSUR_RECEIV" hidden="1">"c1600"</definedName>
    <definedName name="IQ_INT_BORROW" hidden="1">"c583"</definedName>
    <definedName name="IQ_INT_DEPOSITS" hidden="1">"c584"</definedName>
    <definedName name="IQ_INT_DIV_INC" hidden="1">"c585"</definedName>
    <definedName name="IQ_INT_EXP_BR" hidden="1">"c586"</definedName>
    <definedName name="IQ_INT_EXP_COVERAGE" hidden="1">"c587"</definedName>
    <definedName name="IQ_INT_EXP_FIN" hidden="1">"c588"</definedName>
    <definedName name="IQ_INT_EXP_INCL_CAP" hidden="1">"c2988"</definedName>
    <definedName name="IQ_INT_EXP_INS" hidden="1">"c589"</definedName>
    <definedName name="IQ_INT_EXP_LTD" hidden="1">"c2086"</definedName>
    <definedName name="IQ_INT_EXP_REIT" hidden="1">"c590"</definedName>
    <definedName name="IQ_INT_EXP_TOTAL" hidden="1">"c591"</definedName>
    <definedName name="IQ_INT_EXP_UTI" hidden="1">"c592"</definedName>
    <definedName name="IQ_INT_INC_BR" hidden="1">"c593"</definedName>
    <definedName name="IQ_INT_INC_FIN" hidden="1">"c594"</definedName>
    <definedName name="IQ_INT_INC_INVEST" hidden="1">"c595"</definedName>
    <definedName name="IQ_INT_INC_LOANS" hidden="1">"c596"</definedName>
    <definedName name="IQ_INT_INC_REIT" hidden="1">"c597"</definedName>
    <definedName name="IQ_INT_INC_TOTAL" hidden="1">"c598"</definedName>
    <definedName name="IQ_INT_INC_UTI" hidden="1">"c599"</definedName>
    <definedName name="IQ_INT_INV_INC" hidden="1">"c600"</definedName>
    <definedName name="IQ_INT_INV_INC_REIT" hidden="1">"c601"</definedName>
    <definedName name="IQ_INT_INV_INC_UTI" hidden="1">"c602"</definedName>
    <definedName name="IQ_INT_ON_BORROWING_COVERAGE" hidden="1">"c603"</definedName>
    <definedName name="IQ_INT_RATE_SPREAD" hidden="1">"c604"</definedName>
    <definedName name="IQ_INTANGIBLES_NET" hidden="1">"c1407"</definedName>
    <definedName name="IQ_INTEREST_CASH_DEPOSITS" hidden="1">"c2255"</definedName>
    <definedName name="IQ_INTEREST_EXP" hidden="1">"c618"</definedName>
    <definedName name="IQ_INTEREST_EXP_NET" hidden="1">"c1450"</definedName>
    <definedName name="IQ_INTEREST_EXP_NON" hidden="1">"c1383"</definedName>
    <definedName name="IQ_INTEREST_EXP_SUPPL" hidden="1">"c1460"</definedName>
    <definedName name="IQ_INTEREST_INC" hidden="1">"c1393"</definedName>
    <definedName name="IQ_INTEREST_INC_NON" hidden="1">"c1384"</definedName>
    <definedName name="IQ_INTEREST_INVEST_INC" hidden="1">"c619"</definedName>
    <definedName name="IQ_INV_10YR_ANN_GROWTH" hidden="1">"c1930"</definedName>
    <definedName name="IQ_INV_1YR_ANN_GROWTH" hidden="1">"c1925"</definedName>
    <definedName name="IQ_INV_2YR_ANN_GROWTH" hidden="1">"c1926"</definedName>
    <definedName name="IQ_INV_3YR_ANN_GROWTH" hidden="1">"c1927"</definedName>
    <definedName name="IQ_INV_5YR_ANN_GROWTH" hidden="1">"c1928"</definedName>
    <definedName name="IQ_INV_7YR_ANN_GROWTH" hidden="1">"c1929"</definedName>
    <definedName name="IQ_INV_BANKING_FEE" hidden="1">"c620"</definedName>
    <definedName name="IQ_INV_METHOD" hidden="1">"c621"</definedName>
    <definedName name="IQ_INVENTORY" hidden="1">"c622"</definedName>
    <definedName name="IQ_INVENTORY_TURNS" hidden="1">"c623"</definedName>
    <definedName name="IQ_INVENTORY_UTI" hidden="1">"c624"</definedName>
    <definedName name="IQ_INVEST_DEBT" hidden="1">"c625"</definedName>
    <definedName name="IQ_INVEST_EQUITY_PREF" hidden="1">"c626"</definedName>
    <definedName name="IQ_INVEST_FHLB" hidden="1">"c627"</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IT" hidden="1">"c633"</definedName>
    <definedName name="IQ_INVEST_LOANS_CF_UTI" hidden="1">"c634"</definedName>
    <definedName name="IQ_INVEST_REAL_ESTATE" hidden="1">"c635"</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IT" hidden="1">"c642"</definedName>
    <definedName name="IQ_INVEST_SECURITY_CF_UTI" hidden="1">"c643"</definedName>
    <definedName name="IQ_IPRD" hidden="1">"c644"</definedName>
    <definedName name="IQ_ISS_DEBT_NET" hidden="1">"c1391"</definedName>
    <definedName name="IQ_ISS_STOCK_NET" hidden="1">"c1601"</definedName>
    <definedName name="IQ_ISSUE_CURRENCY" hidden="1">"c2156"</definedName>
    <definedName name="IQ_ISSUE_NAME" hidden="1">"c2142"</definedName>
    <definedName name="IQ_ISSUER" hidden="1">"c2143"</definedName>
    <definedName name="IQ_ISSUER_CIQID" hidden="1">"c2258"</definedName>
    <definedName name="IQ_ISSUER_PARENT" hidden="1">"c2144"</definedName>
    <definedName name="IQ_ISSUER_PARENT_CIQID" hidden="1">"c2260"</definedName>
    <definedName name="IQ_ISSUER_PARENT_TICKER" hidden="1">"c2259"</definedName>
    <definedName name="IQ_ISSUER_TICKER" hidden="1">"c2252"</definedName>
    <definedName name="IQ_JR_SUB_DEBT" hidden="1">"c2534"</definedName>
    <definedName name="IQ_JR_SUB_DEBT_EBITDA" hidden="1">"c2560"</definedName>
    <definedName name="IQ_JR_SUB_DEBT_EBITDA_CAPEX" hidden="1">"c2561"</definedName>
    <definedName name="IQ_JR_SUB_DEBT_PCT" hidden="1">"c2535"</definedName>
    <definedName name="IQ_LAND" hidden="1">"c645"</definedName>
    <definedName name="IQ_LAST_PMT_DATE" hidden="1">"c2188"</definedName>
    <definedName name="IQ_LAST_SPLIT_DATE" hidden="1">"c2095"</definedName>
    <definedName name="IQ_LAST_SPLIT_FACTOR" hidden="1">"c2093"</definedName>
    <definedName name="IQ_LASTPRICINGDATE" hidden="1">"c3051"</definedName>
    <definedName name="IQ_LASTSALEPRICE" hidden="1">"c646"</definedName>
    <definedName name="IQ_LASTSALEPRICE_DATE" hidden="1">"c2109"</definedName>
    <definedName name="IQ_LATESTK" hidden="1">1000</definedName>
    <definedName name="IQ_LATESTQ" hidden="1">500</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IT" hidden="1">"c652"</definedName>
    <definedName name="IQ_LEGAL_SETTLE_UTI" hidden="1">"c653"</definedName>
    <definedName name="IQ_LEVERAGE_RATIO" hidden="1">"c654"</definedName>
    <definedName name="IQ_LEVERED_FCF" hidden="1">"c1907"</definedName>
    <definedName name="IQ_LFCF_10YR_ANN_GROWTH" hidden="1">"c1942"</definedName>
    <definedName name="IQ_LFCF_1YR_ANN_GROWTH" hidden="1">"c1937"</definedName>
    <definedName name="IQ_LFCF_2YR_ANN_GROWTH" hidden="1">"c1938"</definedName>
    <definedName name="IQ_LFCF_3YR_ANN_GROWTH" hidden="1">"c1939"</definedName>
    <definedName name="IQ_LFCF_5YR_ANN_GROWTH" hidden="1">"c1940"</definedName>
    <definedName name="IQ_LFCF_7YR_ANN_GROWTH" hidden="1">"c1941"</definedName>
    <definedName name="IQ_LFCF_MARGIN" hidden="1">"c1961"</definedName>
    <definedName name="IQ_LH_STATUTORY_SURPLUS" hidden="1">"c2771"</definedName>
    <definedName name="IQ_LICENSED_POPS" hidden="1">"c2123"</definedName>
    <definedName name="IQ_LIFE_EARNED" hidden="1">"c2739"</definedName>
    <definedName name="IQ_LIFOR" hidden="1">"c655"</definedName>
    <definedName name="IQ_LL" hidden="1">"c656"</definedName>
    <definedName name="IQ_LOAN_LEASE_RECEIV" hidden="1">"c657"</definedName>
    <definedName name="IQ_LOAN_LOSS" hidden="1">"c1386"</definedName>
    <definedName name="IQ_LOAN_SERVICE_REV" hidden="1">"c658"</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IT" hidden="1">"c664"</definedName>
    <definedName name="IQ_LOANS_CF_UTI" hidden="1">"c665"</definedName>
    <definedName name="IQ_LOANS_FOR_SALE" hidden="1">"c666"</definedName>
    <definedName name="IQ_LOANS_PAST_DUE" hidden="1">"c667"</definedName>
    <definedName name="IQ_LOANS_RECEIV_CURRENT" hidden="1">"c668"</definedName>
    <definedName name="IQ_LOANS_RECEIV_LT" hidden="1">"c669"</definedName>
    <definedName name="IQ_LOANS_RECEIV_LT_UTI" hidden="1">"c670"</definedName>
    <definedName name="IQ_LONG_TERM_DEBT" hidden="1">"c1387"</definedName>
    <definedName name="IQ_LONG_TERM_DEBT_OVER_TOTAL_CAP" hidden="1">"c1388"</definedName>
    <definedName name="IQ_LONG_TERM_GROWTH" hidden="1">"c671"</definedName>
    <definedName name="IQ_LONG_TERM_INV" hidden="1">"c1389"</definedName>
    <definedName name="IQ_LOSS_LOSS_EXP" hidden="1">"c672"</definedName>
    <definedName name="IQ_LOSS_TO_NET_EARNED" hidden="1">"c2751"</definedName>
    <definedName name="IQ_LOW_TARGET_PRICE" hidden="1">"c1652"</definedName>
    <definedName name="IQ_LOWPRICE" hidden="1">"c673"</definedName>
    <definedName name="IQ_LT_DEBT" hidden="1">"c674"</definedName>
    <definedName name="IQ_LT_DEBT_BNK" hidden="1">"c675"</definedName>
    <definedName name="IQ_LT_DEBT_BR" hidden="1">"c676"</definedName>
    <definedName name="IQ_LT_DEBT_CAPITAL" hidden="1">"c677"</definedName>
    <definedName name="IQ_LT_DEBT_CAPITAL_LEASES" hidden="1">"c2542"</definedName>
    <definedName name="IQ_LT_DEBT_CAPITAL_LEASES_PCT" hidden="1">"c2543"</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IT" hidden="1">"c686"</definedName>
    <definedName name="IQ_LT_DEBT_ISSUED_UTI" hidden="1">"c687"</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IT" hidden="1">"c694"</definedName>
    <definedName name="IQ_LT_DEBT_REPAID_UTI" hidden="1">"c695"</definedName>
    <definedName name="IQ_LT_DEBT_UTI" hidden="1">"c696"</definedName>
    <definedName name="IQ_LT_INVEST" hidden="1">"c697"</definedName>
    <definedName name="IQ_LT_INVEST_BR" hidden="1">"c698"</definedName>
    <definedName name="IQ_LT_INVEST_FIN" hidden="1">"c699"</definedName>
    <definedName name="IQ_LT_INVEST_REIT" hidden="1">"c700"</definedName>
    <definedName name="IQ_LT_INVEST_UTI" hidden="1">"c701"</definedName>
    <definedName name="IQ_LT_NOTE_RECEIV" hidden="1">"c1602"</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 hidden="1">2000</definedName>
    <definedName name="IQ_LTM_REVENUE_OVER_EMPLOYEES" hidden="1">"c1437"</definedName>
    <definedName name="IQ_MACHINERY" hidden="1">"c711"</definedName>
    <definedName name="IQ_MAINT_CAPEX" hidden="1">"c2947"</definedName>
    <definedName name="IQ_MAINT_REPAIR" hidden="1">"c2087"</definedName>
    <definedName name="IQ_MAKE_WHOLE_END_DATE" hidden="1">"c2493"</definedName>
    <definedName name="IQ_MAKE_WHOLE_SPREAD" hidden="1">"c2494"</definedName>
    <definedName name="IQ_MAKE_WHOLE_START_DATE" hidden="1">"c2492"</definedName>
    <definedName name="IQ_MARKET_CAP_LFCF" hidden="1">"c2209"</definedName>
    <definedName name="IQ_MARKETCAP" hidden="1">"c712"</definedName>
    <definedName name="IQ_MARKETING" hidden="1">"c2239"</definedName>
    <definedName name="IQ_MATURITY_DATE" hidden="1">"c2146"</definedName>
    <definedName name="IQ_MC_RATIO" hidden="1">"c2783"</definedName>
    <definedName name="IQ_MC_STATUTORY_SURPLUS" hidden="1">"c2772"</definedName>
    <definedName name="IQ_MEDIAN_TARGET_PRICE" hidden="1">"c1650"</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IT" hidden="1">"c724"</definedName>
    <definedName name="IQ_MERGER_RESTRUCTURE_UTI" hidden="1">"c725"</definedName>
    <definedName name="IQ_MERGER_UTI" hidden="1">"c726"</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hidden="1">"c733"</definedName>
    <definedName name="IQ_MINORITY_INTEREST_REIT" hidden="1">"c734"</definedName>
    <definedName name="IQ_MINORITY_INTEREST_TOTAL" hidden="1">"c1905"</definedName>
    <definedName name="IQ_MINORITY_INTEREST_UTI" hidden="1">"c735"</definedName>
    <definedName name="IQ_MISC_ADJUST_CF" hidden="1">"c736"</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M_ACCOUNT" hidden="1">"c743"</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MORTGAGE_SERV_RIGHTS" hidden="1">"c2242"</definedName>
    <definedName name="IQ_NET_CHANGE" hidden="1">"c749"</definedName>
    <definedName name="IQ_NET_CLAIM_EXP_INCUR" hidden="1">"c2757"</definedName>
    <definedName name="IQ_NET_CLAIM_EXP_INCUR_CY" hidden="1">"c2761"</definedName>
    <definedName name="IQ_NET_CLAIM_EXP_INCUR_PY" hidden="1">"c2762"</definedName>
    <definedName name="IQ_NET_CLAIM_EXP_PAID" hidden="1">"c2760"</definedName>
    <definedName name="IQ_NET_CLAIM_EXP_PAID_CY" hidden="1">"c2763"</definedName>
    <definedName name="IQ_NET_CLAIM_EXP_PAID_PY" hidden="1">"c2764"</definedName>
    <definedName name="IQ_NET_CLAIM_EXP_RES" hidden="1">"c2754"</definedName>
    <definedName name="IQ_NET_DEBT" hidden="1">"c1584"</definedName>
    <definedName name="IQ_NET_DEBT_EBITDA" hidden="1">"c750"</definedName>
    <definedName name="IQ_NET_DEBT_EBITDA_CAPEX" hidden="1">"c2949"</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IT" hidden="1">"c756"</definedName>
    <definedName name="IQ_NET_DEBT_ISSUED_UTI" hidden="1">"c757"</definedName>
    <definedName name="IQ_NET_EARNED" hidden="1">"c2734"</definedName>
    <definedName name="IQ_NET_INC" hidden="1">"c1394"</definedName>
    <definedName name="IQ_NET_INC_BEFORE" hidden="1">"c1368"</definedName>
    <definedName name="IQ_NET_INC_CF" hidden="1">"c1397"</definedName>
    <definedName name="IQ_NET_INC_MARGIN" hidden="1">"c1398"</definedName>
    <definedName name="IQ_NET_INT_INC_10YR_ANN_GROWTH" hidden="1">"c758"</definedName>
    <definedName name="IQ_NET_INT_INC_1YR_ANN_GROWTH" hidden="1">"c759"</definedName>
    <definedName name="IQ_NET_INT_INC_2YR_ANN_GROWTH" hidden="1">"c760"</definedName>
    <definedName name="IQ_NET_INT_INC_3YR_ANN_GROWTH" hidden="1">"c761"</definedName>
    <definedName name="IQ_NET_INT_INC_5YR_ANN_GROWTH" hidden="1">"c762"</definedName>
    <definedName name="IQ_NET_INT_INC_7YR_ANN_GROWTH" hidden="1">"c763"</definedName>
    <definedName name="IQ_NET_INT_INC_BNK" hidden="1">"c764"</definedName>
    <definedName name="IQ_NET_INT_INC_BR" hidden="1">"c765"</definedName>
    <definedName name="IQ_NET_INT_INC_FIN" hidden="1">"c766"</definedName>
    <definedName name="IQ_NET_INT_INC_TOTAL_REV" hidden="1">"c767"</definedName>
    <definedName name="IQ_NET_INT_MARGIN" hidden="1">"c768"</definedName>
    <definedName name="IQ_NET_INTEREST_EXP" hidden="1">"c769"</definedName>
    <definedName name="IQ_NET_INTEREST_EXP_REIT" hidden="1">"c770"</definedName>
    <definedName name="IQ_NET_INTEREST_EXP_UTI" hidden="1">"c771"</definedName>
    <definedName name="IQ_NET_INTEREST_INC" hidden="1">"c1392"</definedName>
    <definedName name="IQ_NET_INTEREST_INC_AFTER_LL" hidden="1">"c1604"</definedName>
    <definedName name="IQ_NET_LIFE_INS_IN_FORCE" hidden="1">"c2769"</definedName>
    <definedName name="IQ_NET_LOANS" hidden="1">"c772"</definedName>
    <definedName name="IQ_NET_LOANS_10YR_ANN_GROWTH" hidden="1">"c773"</definedName>
    <definedName name="IQ_NET_LOANS_1YR_ANN_GROWTH" hidden="1">"c774"</definedName>
    <definedName name="IQ_NET_LOANS_2YR_ANN_GROWTH" hidden="1">"c775"</definedName>
    <definedName name="IQ_NET_LOANS_3YR_ANN_GROWTH" hidden="1">"c776"</definedName>
    <definedName name="IQ_NET_LOANS_5YR_ANN_GROWTH" hidden="1">"c777"</definedName>
    <definedName name="IQ_NET_LOANS_7YR_ANN_GROWTH" hidden="1">"c778"</definedName>
    <definedName name="IQ_NET_LOANS_TOTAL_DEPOSITS" hidden="1">"c779"</definedName>
    <definedName name="IQ_NET_RENTAL_EXP_FN" hidden="1">"c780"</definedName>
    <definedName name="IQ_NET_TO_GROSS_EARNED" hidden="1">"c2750"</definedName>
    <definedName name="IQ_NET_TO_GROSS_WRITTEN" hidden="1">"c2729"</definedName>
    <definedName name="IQ_NET_WRITTEN" hidden="1">"c2728"</definedName>
    <definedName name="IQ_NEW_PREM" hidden="1">"c2785"</definedName>
    <definedName name="IQ_NEXT_CALL_DATE" hidden="1">"c2198"</definedName>
    <definedName name="IQ_NEXT_CALL_PRICE" hidden="1">"c2199"</definedName>
    <definedName name="IQ_NEXT_INT_DATE" hidden="1">"c2187"</definedName>
    <definedName name="IQ_NEXT_PUT_DATE" hidden="1">"c2200"</definedName>
    <definedName name="IQ_NEXT_PUT_PRICE" hidden="1">"c2201"</definedName>
    <definedName name="IQ_NEXT_SINK_FUND_AMOUNT" hidden="1">"c2490"</definedName>
    <definedName name="IQ_NEXT_SINK_FUND_DATE" hidden="1">"c2489"</definedName>
    <definedName name="IQ_NEXT_SINK_FUND_PRICE" hidden="1">"c2491"</definedName>
    <definedName name="IQ_NI" hidden="1">"c781"</definedName>
    <definedName name="IQ_NI_10YR_ANN_GROWTH" hidden="1">"c782"</definedName>
    <definedName name="IQ_NI_1YR_ANN_GROWTH" hidden="1">"c783"</definedName>
    <definedName name="IQ_NI_2YR_ANN_GROWTH" hidden="1">"c784"</definedName>
    <definedName name="IQ_NI_3YR_ANN_GROWTH" hidden="1">"c785"</definedName>
    <definedName name="IQ_NI_5YR_ANN_GROWTH" hidden="1">"c786"</definedName>
    <definedName name="IQ_NI_7YR_ANN_GROWTH" hidden="1">"c787"</definedName>
    <definedName name="IQ_NI_AFTER_CAPITALIZED" hidden="1">"c788"</definedName>
    <definedName name="IQ_NI_AVAIL_EXCL" hidden="1">"c789"</definedName>
    <definedName name="IQ_NI_AVAIL_EXCL_MARGIN" hidden="1">"c790"</definedName>
    <definedName name="IQ_NI_AVAIL_INCL" hidden="1">"c791"</definedName>
    <definedName name="IQ_NI_BEFORE_CAPITALIZED" hidden="1">"c792"</definedName>
    <definedName name="IQ_NI_CF" hidden="1">"c793"</definedName>
    <definedName name="IQ_NI_MARGIN" hidden="1">"c794"</definedName>
    <definedName name="IQ_NI_NORM" hidden="1">"c1901"</definedName>
    <definedName name="IQ_NI_NORM_10YR_ANN_GROWTH" hidden="1">"c1960"</definedName>
    <definedName name="IQ_NI_NORM_1YR_ANN_GROWTH" hidden="1">"c1955"</definedName>
    <definedName name="IQ_NI_NORM_2YR_ANN_GROWTH" hidden="1">"c1956"</definedName>
    <definedName name="IQ_NI_NORM_3YR_ANN_GROWTH" hidden="1">"c1957"</definedName>
    <definedName name="IQ_NI_NORM_5YR_ANN_GROWTH" hidden="1">"c1958"</definedName>
    <definedName name="IQ_NI_NORM_7YR_ANN_GROWTH" hidden="1">"c1959"</definedName>
    <definedName name="IQ_NI_NORM_MARGIN" hidden="1">"c1964"</definedName>
    <definedName name="IQ_NI_SFAS" hidden="1">"c795"</definedName>
    <definedName name="IQ_NON_ACCRUAL_LOANS" hidden="1">"c796"</definedName>
    <definedName name="IQ_NON_CASH" hidden="1">"c1399"</definedName>
    <definedName name="IQ_NON_CASH_ITEMS" hidden="1">"c797"</definedName>
    <definedName name="IQ_NON_INS_EXP" hidden="1">"c798"</definedName>
    <definedName name="IQ_NON_INS_REV" hidden="1">"c799"</definedName>
    <definedName name="IQ_NON_INT_BEAR_CD" hidden="1">"c800"</definedName>
    <definedName name="IQ_NON_INT_EXP" hidden="1">"c801"</definedName>
    <definedName name="IQ_NON_INT_INC" hidden="1">"c802"</definedName>
    <definedName name="IQ_NON_INT_INC_10YR_ANN_GROWTH" hidden="1">"c803"</definedName>
    <definedName name="IQ_NON_INT_INC_1YR_ANN_GROWTH" hidden="1">"c804"</definedName>
    <definedName name="IQ_NON_INT_INC_2YR_ANN_GROWTH" hidden="1">"c805"</definedName>
    <definedName name="IQ_NON_INT_INC_3YR_ANN_GROWTH" hidden="1">"c806"</definedName>
    <definedName name="IQ_NON_INT_INC_5YR_ANN_GROWTH" hidden="1">"c807"</definedName>
    <definedName name="IQ_NON_INT_INC_7YR_ANN_GROWTH" hidden="1">"c808"</definedName>
    <definedName name="IQ_NON_INTEREST_EXP" hidden="1">"c1400"</definedName>
    <definedName name="IQ_NON_INTEREST_INC" hidden="1">"c1401"</definedName>
    <definedName name="IQ_NON_OPER_EXP" hidden="1">"c809"</definedName>
    <definedName name="IQ_NON_OPER_INC" hidden="1">"c810"</definedName>
    <definedName name="IQ_NON_PERF_ASSETS_10YR_ANN_GROWTH" hidden="1">"c811"</definedName>
    <definedName name="IQ_NON_PERF_ASSETS_1YR_ANN_GROWTH" hidden="1">"c812"</definedName>
    <definedName name="IQ_NON_PERF_ASSETS_2YR_ANN_GROWTH" hidden="1">"c813"</definedName>
    <definedName name="IQ_NON_PERF_ASSETS_3YR_ANN_GROWTH" hidden="1">"c814"</definedName>
    <definedName name="IQ_NON_PERF_ASSETS_5YR_ANN_GROWTH" hidden="1">"c815"</definedName>
    <definedName name="IQ_NON_PERF_ASSETS_7YR_ANN_GROWTH" hidden="1">"c816"</definedName>
    <definedName name="IQ_NON_PERF_ASSETS_TOTAL_ASSETS" hidden="1">"c817"</definedName>
    <definedName name="IQ_NON_PERF_LOANS_10YR_ANN_GROWTH" hidden="1">"c818"</definedName>
    <definedName name="IQ_NON_PERF_LOANS_1YR_ANN_GROWTH" hidden="1">"c819"</definedName>
    <definedName name="IQ_NON_PERF_LOANS_2YR_ANN_GROWTH" hidden="1">"c820"</definedName>
    <definedName name="IQ_NON_PERF_LOANS_3YR_ANN_GROWTH" hidden="1">"c821"</definedName>
    <definedName name="IQ_NON_PERF_LOANS_5YR_ANN_GROWTH" hidden="1">"c822"</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LOANS" hidden="1">"c827"</definedName>
    <definedName name="IQ_NONCASH_PENSION_EXP" hidden="1">"c3000"</definedName>
    <definedName name="IQ_NONRECOURSE_DEBT" hidden="1">"c2550"</definedName>
    <definedName name="IQ_NONRECOURSE_DEBT_PCT" hidden="1">"c2551"</definedName>
    <definedName name="IQ_NONUTIL_REV" hidden="1">"c2089"</definedName>
    <definedName name="IQ_NORMAL_INC_AFTER" hidden="1">"c1605"</definedName>
    <definedName name="IQ_NORMAL_INC_AVAIL" hidden="1">"c1606"</definedName>
    <definedName name="IQ_NORMAL_INC_BEFORE" hidden="1">"c1607"</definedName>
    <definedName name="IQ_NOTES_PAY" hidden="1">"c1423"</definedName>
    <definedName name="IQ_NOW_ACCOUNT" hidden="1">"c828"</definedName>
    <definedName name="IQ_NPPE" hidden="1">"c829"</definedName>
    <definedName name="IQ_NPPE_10YR_ANN_GROWTH" hidden="1">"c830"</definedName>
    <definedName name="IQ_NPPE_1YR_ANN_GROWTH" hidden="1">"c831"</definedName>
    <definedName name="IQ_NPPE_2YR_ANN_GROWTH" hidden="1">"c832"</definedName>
    <definedName name="IQ_NPPE_3YR_ANN_GROWTH" hidden="1">"c833"</definedName>
    <definedName name="IQ_NPPE_5YR_ANN_GROWTH" hidden="1">"c834"</definedName>
    <definedName name="IQ_NPPE_7YR_ANN_GROWTH" hidden="1">"c835"</definedName>
    <definedName name="IQ_NTM" hidden="1">6000</definedName>
    <definedName name="IQ_NUKE" hidden="1">"c836"</definedName>
    <definedName name="IQ_NUKE_CF" hidden="1">"c837"</definedName>
    <definedName name="IQ_NUKE_CONTR" hidden="1">"c838"</definedName>
    <definedName name="IQ_NUM_BRANCHES" hidden="1">"c2088"</definedName>
    <definedName name="IQ_NUMBER_ADRHOLDERS" hidden="1">"c1970"</definedName>
    <definedName name="IQ_NUMBER_DAYS" hidden="1">"c1904"</definedName>
    <definedName name="IQ_NUMBER_SHAREHOLDERS" hidden="1">"c1967"</definedName>
    <definedName name="IQ_NUMBER_SHAREHOLDERS_CLASSA" hidden="1">"c1968"</definedName>
    <definedName name="IQ_NUMBER_SHAREHOLDERS_OTHER" hidden="1">"c1969"</definedName>
    <definedName name="IQ_OCCUPY_EXP" hidden="1">"c839"</definedName>
    <definedName name="IQ_OFFER_AMOUNT" hidden="1">"c2152"</definedName>
    <definedName name="IQ_OFFER_COUPON" hidden="1">"c2147"</definedName>
    <definedName name="IQ_OFFER_COUPON_TYPE" hidden="1">"c2148"</definedName>
    <definedName name="IQ_OFFER_DATE" hidden="1">"c2149"</definedName>
    <definedName name="IQ_OFFER_PRICE" hidden="1">"c2150"</definedName>
    <definedName name="IQ_OFFER_YIELD" hidden="1">"c2151"</definedName>
    <definedName name="IQ_OG_10DISC" hidden="1">"c1998"</definedName>
    <definedName name="IQ_OG_10DISC_GAS" hidden="1">"c2018"</definedName>
    <definedName name="IQ_OG_10DISC_OIL" hidden="1">"c2008"</definedName>
    <definedName name="IQ_OG_ACQ_COST_PROVED" hidden="1">"c1975"</definedName>
    <definedName name="IQ_OG_ACQ_COST_PROVED_GAS" hidden="1">"c1987"</definedName>
    <definedName name="IQ_OG_ACQ_COST_PROVED_OIL" hidden="1">"c1981"</definedName>
    <definedName name="IQ_OG_ACQ_COST_UNPROVED" hidden="1">"c1976"</definedName>
    <definedName name="IQ_OG_ACQ_COST_UNPROVED_GAS" hidden="1">"c1988"</definedName>
    <definedName name="IQ_OG_ACQ_COST_UNPROVED_OIL" hidden="1">"c1982"</definedName>
    <definedName name="IQ_OG_AVG_DAILY_PROD_GAS" hidden="1">"c2910"</definedName>
    <definedName name="IQ_OG_AVG_DAILY_PROD_NGL" hidden="1">"c2911"</definedName>
    <definedName name="IQ_OG_AVG_DAILY_PROD_OIL" hidden="1">"c2909"</definedName>
    <definedName name="IQ_OG_CLOSE_BALANCE_GAS" hidden="1">"c2049"</definedName>
    <definedName name="IQ_OG_CLOSE_BALANCE_NGL" hidden="1">"c2920"</definedName>
    <definedName name="IQ_OG_CLOSE_BALANCE_OIL" hidden="1">"c2037"</definedName>
    <definedName name="IQ_OG_DCF_BEFORE_TAXES" hidden="1">"c2023"</definedName>
    <definedName name="IQ_OG_DCF_BEFORE_TAXES_GAS" hidden="1">"c2025"</definedName>
    <definedName name="IQ_OG_DCF_BEFORE_TAXES_OIL" hidden="1">"c2024"</definedName>
    <definedName name="IQ_OG_DEVELOPED_RESERVES_GAS" hidden="1">"c2053"</definedName>
    <definedName name="IQ_OG_DEVELOPED_RESERVES_NGL" hidden="1">"c2922"</definedName>
    <definedName name="IQ_OG_DEVELOPED_RESERVES_OIL" hidden="1">"c2054"</definedName>
    <definedName name="IQ_OG_DEVELOPMENT_COSTS" hidden="1">"c1978"</definedName>
    <definedName name="IQ_OG_DEVELOPMENT_COSTS_GAS" hidden="1">"c1990"</definedName>
    <definedName name="IQ_OG_DEVELOPMENT_COSTS_OIL" hidden="1">"c1984"</definedName>
    <definedName name="IQ_OG_EQUITY_DCF" hidden="1">"c2002"</definedName>
    <definedName name="IQ_OG_EQUITY_DCF_GAS" hidden="1">"c2022"</definedName>
    <definedName name="IQ_OG_EQUITY_DCF_OIL" hidden="1">"c2012"</definedName>
    <definedName name="IQ_OG_EQUTY_RESERVES_GAS" hidden="1">"c2050"</definedName>
    <definedName name="IQ_OG_EQUTY_RESERVES_NGL" hidden="1">"c2921"</definedName>
    <definedName name="IQ_OG_EQUTY_RESERVES_OIL" hidden="1">"c2038"</definedName>
    <definedName name="IQ_OG_EXPLORATION_COSTS" hidden="1">"c1977"</definedName>
    <definedName name="IQ_OG_EXPLORATION_COSTS_GAS" hidden="1">"c1989"</definedName>
    <definedName name="IQ_OG_EXPLORATION_COSTS_OIL" hidden="1">"c1983"</definedName>
    <definedName name="IQ_OG_EXT_DISC_GAS" hidden="1">"c2043"</definedName>
    <definedName name="IQ_OG_EXT_DISC_NGL" hidden="1">"c2914"</definedName>
    <definedName name="IQ_OG_EXT_DISC_OIL" hidden="1">"c2031"</definedName>
    <definedName name="IQ_OG_FUTURE_CASH_INFLOWS" hidden="1">"c1993"</definedName>
    <definedName name="IQ_OG_FUTURE_CASH_INFLOWS_GAS" hidden="1">"c2013"</definedName>
    <definedName name="IQ_OG_FUTURE_CASH_INFLOWS_OIL" hidden="1">"c2003"</definedName>
    <definedName name="IQ_OG_FUTURE_DEVELOPMENT_COSTS" hidden="1">"c1995"</definedName>
    <definedName name="IQ_OG_FUTURE_DEVELOPMENT_COSTS_GAS" hidden="1">"c2015"</definedName>
    <definedName name="IQ_OG_FUTURE_DEVELOPMENT_COSTS_OIL" hidden="1">"c2005"</definedName>
    <definedName name="IQ_OG_FUTURE_INC_TAXES" hidden="1">"c1997"</definedName>
    <definedName name="IQ_OG_FUTURE_INC_TAXES_GAS" hidden="1">"c2017"</definedName>
    <definedName name="IQ_OG_FUTURE_INC_TAXES_OIL" hidden="1">"c2007"</definedName>
    <definedName name="IQ_OG_FUTURE_PRODUCTION_COSTS" hidden="1">"c1994"</definedName>
    <definedName name="IQ_OG_FUTURE_PRODUCTION_COSTS_GAS" hidden="1">"c2014"</definedName>
    <definedName name="IQ_OG_FUTURE_PRODUCTION_COSTS_OIL" hidden="1">"c2004"</definedName>
    <definedName name="IQ_OG_GAS_PRICE_HEDGED" hidden="1">"c2056"</definedName>
    <definedName name="IQ_OG_GAS_PRICE_UNHEDGED" hidden="1">"c2058"</definedName>
    <definedName name="IQ_OG_IMPROVED_RECOVERY_GAS" hidden="1">"c2044"</definedName>
    <definedName name="IQ_OG_IMPROVED_RECOVERY_NGL" hidden="1">"c2915"</definedName>
    <definedName name="IQ_OG_IMPROVED_RECOVERY_OIL" hidden="1">"c2032"</definedName>
    <definedName name="IQ_OG_LIQUID_GAS_PRICE_HEDGED" hidden="1">"c2233"</definedName>
    <definedName name="IQ_OG_LIQUID_GAS_PRICE_UNHEDGED" hidden="1">"c2234"</definedName>
    <definedName name="IQ_OG_NET_FUTURE_CASH_FLOWS" hidden="1">"c1996"</definedName>
    <definedName name="IQ_OG_NET_FUTURE_CASH_FLOWS_GAS" hidden="1">"c2016"</definedName>
    <definedName name="IQ_OG_NET_FUTURE_CASH_FLOWS_OIL" hidden="1">"c2006"</definedName>
    <definedName name="IQ_OG_OIL_PRICE_HEDGED" hidden="1">"c2055"</definedName>
    <definedName name="IQ_OG_OIL_PRICE_UNHEDGED" hidden="1">"c2057"</definedName>
    <definedName name="IQ_OG_OPEN_BALANCE_GAS" hidden="1">"c2041"</definedName>
    <definedName name="IQ_OG_OPEN_BALANCE_NGL" hidden="1">"c2912"</definedName>
    <definedName name="IQ_OG_OPEN_BALANCE_OIL" hidden="1">"c2029"</definedName>
    <definedName name="IQ_OG_OTHER_ADJ_FCF" hidden="1">"c1999"</definedName>
    <definedName name="IQ_OG_OTHER_ADJ_FCF_GAS" hidden="1">"c2019"</definedName>
    <definedName name="IQ_OG_OTHER_ADJ_FCF_OIL" hidden="1">"c2009"</definedName>
    <definedName name="IQ_OG_OTHER_ADJ_GAS" hidden="1">"c2048"</definedName>
    <definedName name="IQ_OG_OTHER_ADJ_NGL" hidden="1">"c2919"</definedName>
    <definedName name="IQ_OG_OTHER_ADJ_OIL" hidden="1">"c2036"</definedName>
    <definedName name="IQ_OG_OTHER_COSTS" hidden="1">"c1979"</definedName>
    <definedName name="IQ_OG_OTHER_COSTS_GAS" hidden="1">"c1991"</definedName>
    <definedName name="IQ_OG_OTHER_COSTS_OIL" hidden="1">"c1985"</definedName>
    <definedName name="IQ_OG_PRODUCTION_GAS" hidden="1">"c2047"</definedName>
    <definedName name="IQ_OG_PRODUCTION_NGL" hidden="1">"c2918"</definedName>
    <definedName name="IQ_OG_PRODUCTION_OIL" hidden="1">"c2035"</definedName>
    <definedName name="IQ_OG_PURCHASES_GAS" hidden="1">"c2045"</definedName>
    <definedName name="IQ_OG_PURCHASES_NGL" hidden="1">"c2916"</definedName>
    <definedName name="IQ_OG_PURCHASES_OIL" hidden="1">"c2033"</definedName>
    <definedName name="IQ_OG_REVISIONS_GAS" hidden="1">"c2042"</definedName>
    <definedName name="IQ_OG_REVISIONS_NGL" hidden="1">"c2913"</definedName>
    <definedName name="IQ_OG_REVISIONS_OIL" hidden="1">"c2030"</definedName>
    <definedName name="IQ_OG_SALES_IN_PLACE_GAS" hidden="1">"c2046"</definedName>
    <definedName name="IQ_OG_SALES_IN_PLACE_NGL" hidden="1">"c2917"</definedName>
    <definedName name="IQ_OG_SALES_IN_PLACE_OIL" hidden="1">"c2034"</definedName>
    <definedName name="IQ_OG_STANDARDIZED_DCF" hidden="1">"c2000"</definedName>
    <definedName name="IQ_OG_STANDARDIZED_DCF_GAS" hidden="1">"c2020"</definedName>
    <definedName name="IQ_OG_STANDARDIZED_DCF_HEDGED" hidden="1">"c2001"</definedName>
    <definedName name="IQ_OG_STANDARDIZED_DCF_HEDGED_GAS" hidden="1">"c2021"</definedName>
    <definedName name="IQ_OG_STANDARDIZED_DCF_HEDGED_OIL" hidden="1">"c2011"</definedName>
    <definedName name="IQ_OG_STANDARDIZED_DCF_OIL" hidden="1">"c2010"</definedName>
    <definedName name="IQ_OG_TAXES" hidden="1">"c2026"</definedName>
    <definedName name="IQ_OG_TAXES_GAS" hidden="1">"c2028"</definedName>
    <definedName name="IQ_OG_TAXES_OIL" hidden="1">"c2027"</definedName>
    <definedName name="IQ_OG_TOTAL_COSTS" hidden="1">"c1980"</definedName>
    <definedName name="IQ_OG_TOTAL_COSTS_GAS" hidden="1">"c1992"</definedName>
    <definedName name="IQ_OG_TOTAL_COSTS_OIL" hidden="1">"c1986"</definedName>
    <definedName name="IQ_OG_TOTAL_EST_PROVED_RESERVES_GAS" hidden="1">"c2052"</definedName>
    <definedName name="IQ_OG_TOTAL_GAS_PRODUCTION" hidden="1">"c2060"</definedName>
    <definedName name="IQ_OG_TOTAL_LIQUID_GAS_PRODUCTION" hidden="1">"c2235"</definedName>
    <definedName name="IQ_OG_TOTAL_OIL_PRODUCTION" hidden="1">"c2059"</definedName>
    <definedName name="IQ_OG_UNDEVELOPED_RESERVES_GAS" hidden="1">"c2051"</definedName>
    <definedName name="IQ_OG_UNDEVELOPED_RESERVES_NGL" hidden="1">"c2923"</definedName>
    <definedName name="IQ_OG_UNDEVELOPED_RESERVES_OIL" hidden="1">"c2039"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NPRICE" hidden="1">"c848"</definedName>
    <definedName name="IQ_OPER_INC" hidden="1">"c849"</definedName>
    <definedName name="IQ_OPER_INC_BR" hidden="1">"c850"</definedName>
    <definedName name="IQ_OPER_INC_FIN" hidden="1">"c851"</definedName>
    <definedName name="IQ_OPER_INC_INS" hidden="1">"c852"</definedName>
    <definedName name="IQ_OPER_INC_MARGIN" hidden="1">"c1448"</definedName>
    <definedName name="IQ_OPER_INC_REIT" hidden="1">"c853"</definedName>
    <definedName name="IQ_OPER_INC_UTI" hidden="1">"c854"</definedName>
    <definedName name="IQ_OPERATIONS_EXP" hidden="1">"c855"</definedName>
    <definedName name="IQ_OPTIONS_BEG_OS" hidden="1">"c1572"</definedName>
    <definedName name="IQ_OPTIONS_CANCELLED" hidden="1">"c856"</definedName>
    <definedName name="IQ_OPTIONS_END_OS" hidden="1">"c1573"</definedName>
    <definedName name="IQ_OPTIONS_EXERCISED" hidden="1">"c2116"</definedName>
    <definedName name="IQ_OPTIONS_GRANTED" hidden="1">"c2673"</definedName>
    <definedName name="IQ_OPTIONS_ISSUED" hidden="1">"c857"</definedName>
    <definedName name="IQ_OPTIONS_STRIKE_PRICE_GRANTED" hidden="1">"c2678"</definedName>
    <definedName name="IQ_OPTIONS_STRIKE_PRICE_OS" hidden="1">"c2677"</definedName>
    <definedName name="IQ_ORDER_BACKLOG" hidden="1">"c2090"</definedName>
    <definedName name="IQ_OTHER_ADJUST_GROSS_LOANS" hidden="1">"c859"</definedName>
    <definedName name="IQ_OTHER_ASSETS" hidden="1">"c860"</definedName>
    <definedName name="IQ_OTHER_ASSETS_BNK" hidden="1">"c861"</definedName>
    <definedName name="IQ_OTHER_ASSETS_BR" hidden="1">"c862"</definedName>
    <definedName name="IQ_OTHER_ASSETS_FIN" hidden="1">"c863"</definedName>
    <definedName name="IQ_OTHER_ASSETS_INS" hidden="1">"c864"</definedName>
    <definedName name="IQ_OTHER_ASSETS_REIT" hidden="1">"c865"</definedName>
    <definedName name="IQ_OTHER_ASSETS_SERV_RIGHTS" hidden="1">"c2243"</definedName>
    <definedName name="IQ_OTHER_ASSETS_UTI" hidden="1">"c866"</definedName>
    <definedName name="IQ_OTHER_BEARING_LIAB" hidden="1">"c1608"</definedName>
    <definedName name="IQ_OTHER_BENEFITS_OBLIGATION" hidden="1">"c867"</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REIT" hidden="1">"c882"</definedName>
    <definedName name="IQ_OTHER_CL_SUPPL_UTI" hidden="1">"c883"</definedName>
    <definedName name="IQ_OTHER_CL_UTI" hidden="1">"c884"</definedName>
    <definedName name="IQ_OTHER_CURRENT_ASSETS" hidden="1">"c1403"</definedName>
    <definedName name="IQ_OTHER_CURRENT_LIAB" hidden="1">"c1404"</definedName>
    <definedName name="IQ_OTHER_DEBT" hidden="1">"c2507"</definedName>
    <definedName name="IQ_OTHER_DEBT_PCT" hidden="1">"c2508"</definedName>
    <definedName name="IQ_OTHER_DEP" hidden="1">"c885"</definedName>
    <definedName name="IQ_OTHER_EARNING" hidden="1">"c1609"</definedName>
    <definedName name="IQ_OTHER_EQUITY" hidden="1">"c886"</definedName>
    <definedName name="IQ_OTHER_EQUITY_BNK" hidden="1">"c887"</definedName>
    <definedName name="IQ_OTHER_EQUITY_BR" hidden="1">"c888"</definedName>
    <definedName name="IQ_OTHER_EQUITY_FIN" hidden="1">"c889"</definedName>
    <definedName name="IQ_OTHER_EQUITY_INS" hidden="1">"c890"</definedName>
    <definedName name="IQ_OTHER_EQUITY_REIT" hidden="1">"c891"</definedName>
    <definedName name="IQ_OTHER_EQUITY_UTI" hidden="1">"c892"</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IT" hidden="1">"c904"</definedName>
    <definedName name="IQ_OTHER_FINANCE_ACT_SUPPL_UTI" hidden="1">"c905"</definedName>
    <definedName name="IQ_OTHER_FINANCE_ACT_UTI" hidden="1">"c906"</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IT" hidden="1">"c912"</definedName>
    <definedName name="IQ_OTHER_INTAN_UTI" hidden="1">"c913"</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IT" hidden="1">"c927"</definedName>
    <definedName name="IQ_OTHER_INVEST_ACT_SUPPL_UTI" hidden="1">"c928"</definedName>
    <definedName name="IQ_OTHER_INVEST_ACT_UTI" hidden="1">"c929"</definedName>
    <definedName name="IQ_OTHER_INVESTING" hidden="1">"c1408"</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IT" hidden="1">"c940"</definedName>
    <definedName name="IQ_OTHER_LIAB_LT_UTI" hidden="1">"c941"</definedName>
    <definedName name="IQ_OTHER_LIAB_REIT" hidden="1">"c942"</definedName>
    <definedName name="IQ_OTHER_LIAB_UTI" hidden="1">"c943"</definedName>
    <definedName name="IQ_OTHER_LIAB_WRITTEN" hidden="1">"c944"</definedName>
    <definedName name="IQ_OTHER_LOANS" hidden="1">"c945"</definedName>
    <definedName name="IQ_OTHER_LONG_TERM" hidden="1">"c1409"</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IT" hidden="1">"c951"</definedName>
    <definedName name="IQ_OTHER_LT_ASSETS_UTI" hidden="1">"c952"</definedName>
    <definedName name="IQ_OTHER_NET" hidden="1">"c1453"</definedName>
    <definedName name="IQ_OTHER_NON_INT_EXP" hidden="1">"c953"</definedName>
    <definedName name="IQ_OTHER_NON_INT_EXP_TOTAL" hidden="1">"c954"</definedName>
    <definedName name="IQ_OTHER_NON_INT_INC" hidden="1">"c955"</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IT" hidden="1">"c965"</definedName>
    <definedName name="IQ_OTHER_NON_OPER_EXP_SUPPL_UTI" hidden="1">"c966"</definedName>
    <definedName name="IQ_OTHER_NON_OPER_EXP_UTI" hidden="1">"c967"</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IT" hidden="1">"c1003"</definedName>
    <definedName name="IQ_OTHER_OPER_TOT_UTI" hidden="1">"c1004"</definedName>
    <definedName name="IQ_OTHER_OPER_UTI" hidden="1">"c1005"</definedName>
    <definedName name="IQ_OTHER_OPTIONS_BEG_OS" hidden="1">"c2686"</definedName>
    <definedName name="IQ_OTHER_OPTIONS_CANCELLED" hidden="1">"c2689"</definedName>
    <definedName name="IQ_OTHER_OPTIONS_END_OS" hidden="1">"c2690"</definedName>
    <definedName name="IQ_OTHER_OPTIONS_EXERCISED" hidden="1">"c2688"</definedName>
    <definedName name="IQ_OTHER_OPTIONS_GRANTED" hidden="1">"c2687"</definedName>
    <definedName name="IQ_OTHER_OPTIONS_STRIKE_PRICE_OS" hidden="1">"c2691"</definedName>
    <definedName name="IQ_OTHER_OUTSTANDING_BS_DATE" hidden="1">"c1972"</definedName>
    <definedName name="IQ_OTHER_OUTSTANDING_FILING_DATE" hidden="1">"c1974"</definedName>
    <definedName name="IQ_OTHER_PC_WRITTEN" hidden="1">"c1006"</definedName>
    <definedName name="IQ_OTHER_REAL_ESTATE" hidden="1">"c1007"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IT" hidden="1">"c1019"</definedName>
    <definedName name="IQ_OTHER_REV_SUPPL_UTI" hidden="1">"c1020"</definedName>
    <definedName name="IQ_OTHER_REV_UTI" hidden="1">"c1021"</definedName>
    <definedName name="IQ_OTHER_REVENUE" hidden="1">"c1410"</definedName>
    <definedName name="IQ_OTHER_STRIKE_PRICE_GRANTED" hidden="1">"c2692"</definedName>
    <definedName name="IQ_OTHER_UNDRAWN" hidden="1">"c2522"</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IT" hidden="1">"c1499"</definedName>
    <definedName name="IQ_OTHER_UNUSUAL_SUPPL_UTI" hidden="1">"c1500"</definedName>
    <definedName name="IQ_OTHER_UNUSUAL_UTI" hidden="1">"c1565"</definedName>
    <definedName name="IQ_OTHER_WARRANTS_BEG_OS" hidden="1">"c2712"</definedName>
    <definedName name="IQ_OTHER_WARRANTS_CANCELLED" hidden="1">"c2715"</definedName>
    <definedName name="IQ_OTHER_WARRANTS_END_OS" hidden="1">"c2716"</definedName>
    <definedName name="IQ_OTHER_WARRANTS_EXERCISED" hidden="1">"c2714"</definedName>
    <definedName name="IQ_OTHER_WARRANTS_ISSUED" hidden="1">"c2713"</definedName>
    <definedName name="IQ_OTHER_WARRANTS_STRIKE_PRICE_ISSUED" hidden="1">"c2718"</definedName>
    <definedName name="IQ_OTHER_WARRANTS_STRIKE_PRICE_OS" hidden="1">"c2717"</definedName>
    <definedName name="IQ_OUTSTANDING_BS_DATE" hidden="1">"c2128"</definedName>
    <definedName name="IQ_OUTSTANDING_FILING_DATE" hidden="1">"c1023"</definedName>
    <definedName name="IQ_OWNERSHIP" hidden="1">"c2160"</definedName>
    <definedName name="IQ_PART_TIME" hidden="1">"c1024"</definedName>
    <definedName name="IQ_PAY_ACCRUED" hidden="1">"c1457"</definedName>
    <definedName name="IQ_PAYOUT_RATIO" hidden="1">"c1900"</definedName>
    <definedName name="IQ_PBV" hidden="1">"c1025"</definedName>
    <definedName name="IQ_PBV_AVG" hidden="1">"c1026"</definedName>
    <definedName name="IQ_PC_EARNED" hidden="1">"c2749"</definedName>
    <definedName name="IQ_PC_GAAP_COMBINED_RATIO" hidden="1">"c2781"</definedName>
    <definedName name="IQ_PC_GAAP_COMBINED_RATIO_EXCL_CL" hidden="1">"c2782"</definedName>
    <definedName name="IQ_PC_GAAP_EXPENSE_RATIO" hidden="1">"c2780"</definedName>
    <definedName name="IQ_PC_GAAP_LOSS" hidden="1">"c2779"</definedName>
    <definedName name="IQ_PC_POLICY_BENEFITS_EXP" hidden="1">"c2790"</definedName>
    <definedName name="IQ_PC_STAT_COMBINED_RATIO" hidden="1">"c2778"</definedName>
    <definedName name="IQ_PC_STAT_COMBINED_RATIO_EXCL_DIV" hidden="1">"c2777"</definedName>
    <definedName name="IQ_PC_STAT_DIVIDEND_RATIO" hidden="1">"c2776"</definedName>
    <definedName name="IQ_PC_STAT_EXPENSE_RATIO" hidden="1">"c2775"</definedName>
    <definedName name="IQ_PC_STAT_LOSS_RATIO" hidden="1">"c2774"</definedName>
    <definedName name="IQ_PC_STATUTORY_SURPLUS" hidden="1">"c2770"</definedName>
    <definedName name="IQ_PC_WRITTEN" hidden="1">"c1027"</definedName>
    <definedName name="IQ_PE_EXCL" hidden="1">"c1028"</definedName>
    <definedName name="IQ_PE_EXCL_AVG" hidden="1">"c1029"</definedName>
    <definedName name="IQ_PE_EXCL_FWD" hidden="1">"c1030"</definedName>
    <definedName name="IQ_PE_NORMALIZED" hidden="1">"c2207"</definedName>
    <definedName name="IQ_PE_RATIO" hidden="1">"c1610"</definedName>
    <definedName name="IQ_PENSION" hidden="1">"c1031"</definedName>
    <definedName name="IQ_PERIODDATE" hidden="1">"c1414"</definedName>
    <definedName name="IQ_PERIODDATE_BS" hidden="1">"c1032"</definedName>
    <definedName name="IQ_PERIODDATE_CF" hidden="1">"c1033"</definedName>
    <definedName name="IQ_PERIODDATE_IS" hidden="1">"c1034"</definedName>
    <definedName name="IQ_PERIODLENGTH_CF" hidden="1">"c1502"</definedName>
    <definedName name="IQ_PERIODLENGTH_IS" hidden="1">"c1503"</definedName>
    <definedName name="IQ_PERTYPE" hidden="1">"c1611"</definedName>
    <definedName name="IQ_PLL" hidden="1">"c2114"</definedName>
    <definedName name="IQ_PMT_FREQ" hidden="1">"c2236"</definedName>
    <definedName name="IQ_POISON_PUT_EFFECT_DATE" hidden="1">"c2486"</definedName>
    <definedName name="IQ_POISON_PUT_EXPIRATION_DATE" hidden="1">"c2487"</definedName>
    <definedName name="IQ_POISON_PUT_PRICE" hidden="1">"c2488"</definedName>
    <definedName name="IQ_POLICY_BENEFITS" hidden="1">"c1036"</definedName>
    <definedName name="IQ_POLICY_COST" hidden="1">"c1037"</definedName>
    <definedName name="IQ_POLICY_LIAB" hidden="1">"c1612"</definedName>
    <definedName name="IQ_POLICY_LOANS" hidden="1">"c1038"</definedName>
    <definedName name="IQ_POST_RETIRE_EXP" hidden="1">"c1039"</definedName>
    <definedName name="IQ_POSTPAID_CHURN" hidden="1">"c2121"</definedName>
    <definedName name="IQ_POSTPAID_SUBS" hidden="1">"c2118"</definedName>
    <definedName name="IQ_PRE_OPEN_COST" hidden="1">"c1040"</definedName>
    <definedName name="IQ_PREF_CONVERT" hidden="1">"c1041"</definedName>
    <definedName name="IQ_PREF_DIV_CF" hidden="1">"c1042"</definedName>
    <definedName name="IQ_PREF_DIV_OTHER" hidden="1">"c1043"</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IT" hidden="1">"c1058"</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IT" hidden="1">"c1065"</definedName>
    <definedName name="IQ_PREF_REP_UTI" hidden="1">"c1066"</definedName>
    <definedName name="IQ_PREF_STOCK" hidden="1">"c1416"</definedName>
    <definedName name="IQ_PREF_TOT" hidden="1">"c1415"</definedName>
    <definedName name="IQ_PREMIUMS_ANNUITY_REV" hidden="1">"c1067"</definedName>
    <definedName name="IQ_PREPAID_CHURN" hidden="1">"c2120"</definedName>
    <definedName name="IQ_PREPAID_EXP" hidden="1">"c1068"</definedName>
    <definedName name="IQ_PREPAID_EXPEN" hidden="1">"c1418"</definedName>
    <definedName name="IQ_PREPAID_SUBS" hidden="1">"c2117"</definedName>
    <definedName name="IQ_PRICE_OVER_BVPS" hidden="1">"c1412"</definedName>
    <definedName name="IQ_PRICE_OVER_LTM_EPS" hidden="1">"c1413"</definedName>
    <definedName name="IQ_PRICE_TARGET" hidden="1">"c82"</definedName>
    <definedName name="IQ_PRICEDATE" hidden="1">"c1069"</definedName>
    <definedName name="IQ_PRICING_DATE" hidden="1">"c1613"</definedName>
    <definedName name="IQ_PRIMARY_INDUSTRY" hidden="1">"c1070"</definedName>
    <definedName name="IQ_PRINCIPAL_AMT" hidden="1">"c2157"</definedName>
    <definedName name="IQ_PRO_FORMA_BASIC_EPS" hidden="1">"c1614"</definedName>
    <definedName name="IQ_PRO_FORMA_DILUT_EPS" hidden="1">"c1615"</definedName>
    <definedName name="IQ_PRO_FORMA_NET_INC" hidden="1">"c1452"</definedName>
    <definedName name="IQ_PROFESSIONAL" hidden="1">"c1071"</definedName>
    <definedName name="IQ_PROFESSIONAL_TITLE" hidden="1">"c1072"</definedName>
    <definedName name="IQ_PROJECTED_PENSION_OBLIGATION" hidden="1">"c1292"</definedName>
    <definedName name="IQ_PROJECTED_PENSION_OBLIGATION_DOMESTIC" hidden="1">"c2656"</definedName>
    <definedName name="IQ_PROJECTED_PENSION_OBLIGATION_FOREIGN" hidden="1">"c2664"</definedName>
    <definedName name="IQ_PROPERTY_EXP" hidden="1">"c1073"</definedName>
    <definedName name="IQ_PROPERTY_GROSS" hidden="1">"c1379"</definedName>
    <definedName name="IQ_PROPERTY_MGMT_FEE" hidden="1">"c1074"</definedName>
    <definedName name="IQ_PROPERTY_NET" hidden="1">"c1402"</definedName>
    <definedName name="IQ_PROV_BAD_DEBTS" hidden="1">"c1075"</definedName>
    <definedName name="IQ_PROV_BAD_DEBTS_CF" hidden="1">"c1076"</definedName>
    <definedName name="IQ_PROVISION_10YR_ANN_GROWTH" hidden="1">"c1077"</definedName>
    <definedName name="IQ_PROVISION_1YR_ANN_GROWTH" hidden="1">"c1078"</definedName>
    <definedName name="IQ_PROVISION_2YR_ANN_GROWTH" hidden="1">"c1079"</definedName>
    <definedName name="IQ_PROVISION_3YR_ANN_GROWTH" hidden="1">"c1080"</definedName>
    <definedName name="IQ_PROVISION_5YR_ANN_GROWTH" hidden="1">"c1081"</definedName>
    <definedName name="IQ_PROVISION_7YR_ANN_GROWTH" hidden="1">"c1082"</definedName>
    <definedName name="IQ_PROVISION_CHARGE_OFFS" hidden="1">"c1083"</definedName>
    <definedName name="IQ_PTBV" hidden="1">"c1084"</definedName>
    <definedName name="IQ_PTBV_AVG" hidden="1">"c1085"</definedName>
    <definedName name="IQ_PUT_DATE_SCHEDULE" hidden="1">"c2483"</definedName>
    <definedName name="IQ_PUT_NOTIFICATION" hidden="1">"c2485"</definedName>
    <definedName name="IQ_PUT_PRICE_SCHEDULE" hidden="1">"c2484"</definedName>
    <definedName name="IQ_QUICK_RATIO" hidden="1">"c1086"</definedName>
    <definedName name="IQ_RATE_COMP_GROWTH_DOMESTIC" hidden="1">"c1087"</definedName>
    <definedName name="IQ_RATE_COMP_GROWTH_FOREIGN" hidden="1">"c1088"</definedName>
    <definedName name="IQ_RAW_INV" hidden="1">"c1089"</definedName>
    <definedName name="IQ_RC" hidden="1">"c2497"</definedName>
    <definedName name="IQ_RC_PCT" hidden="1">"c2498"</definedName>
    <definedName name="IQ_RD_EXP" hidden="1">"c1090"</definedName>
    <definedName name="IQ_RD_EXP_FN" hidden="1">"c1091"</definedName>
    <definedName name="IQ_RE" hidden="1">"c1092"</definedName>
    <definedName name="IQ_REAL_ESTATE" hidden="1">"c1093"</definedName>
    <definedName name="IQ_REAL_ESTATE_ASSETS" hidden="1">"c1094"</definedName>
    <definedName name="IQ_REDEEM_PREF_STOCK" hidden="1">"c1417"</definedName>
    <definedName name="IQ_REG_ASSETS" hidden="1">"c1095"</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NTAL_REV" hidden="1">"c1101"</definedName>
    <definedName name="IQ_RESEARCH_DEV" hidden="1">"c1419"</definedName>
    <definedName name="IQ_RESIDENTIAL_LOANS" hidden="1">"c1102"</definedName>
    <definedName name="IQ_RESTATEMENT_BS" hidden="1">"c1643"</definedName>
    <definedName name="IQ_RESTATEMENT_CF" hidden="1">"c1644"</definedName>
    <definedName name="IQ_RESTATEMENT_IS" hidden="1">"c1642"</definedName>
    <definedName name="IQ_RESTRICTED_CASH" hidden="1">"c1103"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IT" hidden="1">"c1110"</definedName>
    <definedName name="IQ_RESTRUCTURE_UTI" hidden="1">"c1111"</definedName>
    <definedName name="IQ_RESTRUCTURED_LOANS" hidden="1">"c1112"</definedName>
    <definedName name="IQ_RETAIL_ACQUIRED_FRANCHISE_STORES" hidden="1">"c2903"</definedName>
    <definedName name="IQ_RETAIL_ACQUIRED_OWNED_STORES" hidden="1">"c2895"</definedName>
    <definedName name="IQ_RETAIL_ACQUIRED_STORES" hidden="1">"c2887"</definedName>
    <definedName name="IQ_RETAIL_AVG_STORE_SIZE_GROSS" hidden="1">"c2066"</definedName>
    <definedName name="IQ_RETAIL_AVG_STORE_SIZE_NET" hidden="1">"c2067"</definedName>
    <definedName name="IQ_RETAIL_AVG_WK_SALES" hidden="1">"c2891"</definedName>
    <definedName name="IQ_RETAIL_AVG_WK_SALES_FRANCHISE" hidden="1">"c2899"</definedName>
    <definedName name="IQ_RETAIL_AVG_WK_SALES_OWNED" hidden="1">"c2907"</definedName>
    <definedName name="IQ_RETAIL_CLOSED_FRANCHISE_STORES" hidden="1">"c2896"</definedName>
    <definedName name="IQ_RETAIL_CLOSED_OWNED_STORES" hidden="1">"c2904"</definedName>
    <definedName name="IQ_RETAIL_CLOSED_STORES" hidden="1">"c2063"</definedName>
    <definedName name="IQ_RETAIL_FRANCHISE_STORES_BEG" hidden="1">"c2893"</definedName>
    <definedName name="IQ_RETAIL_OPENED_FRANCHISE_STORES" hidden="1">"c2894"</definedName>
    <definedName name="IQ_RETAIL_OPENED_OWNED_STORES" hidden="1">"c2902"</definedName>
    <definedName name="IQ_RETAIL_OPENED_STORES" hidden="1">"c2062"</definedName>
    <definedName name="IQ_RETAIL_OWNED_STORES_BEG" hidden="1">"c2901"</definedName>
    <definedName name="IQ_RETAIL_SALES_SQFT_ALL_GROSS" hidden="1">"c2138"</definedName>
    <definedName name="IQ_RETAIL_SALES_SQFT_ALL_NET" hidden="1">"c2139"</definedName>
    <definedName name="IQ_RETAIL_SALES_SQFT_COMPARABLE_GROSS" hidden="1">"c2136"</definedName>
    <definedName name="IQ_RETAIL_SALES_SQFT_COMPARABLE_NET" hidden="1">"c2137"</definedName>
    <definedName name="IQ_RETAIL_SALES_SQFT_OWNED_GROSS" hidden="1">"c2134"</definedName>
    <definedName name="IQ_RETAIL_SALES_SQFT_OWNED_NET" hidden="1">"c2135"</definedName>
    <definedName name="IQ_RETAIL_SOLD_FRANCHISE_STORES" hidden="1">"c2897"</definedName>
    <definedName name="IQ_RETAIL_SOLD_OWNED_STORES" hidden="1">"c2905"</definedName>
    <definedName name="IQ_RETAIL_SOLD_STORES" hidden="1">"c2889"</definedName>
    <definedName name="IQ_RETAIL_SQ_FOOTAGE" hidden="1">"c2064"</definedName>
    <definedName name="IQ_RETAIL_STORE_SELLING_AREA" hidden="1">"c2065"</definedName>
    <definedName name="IQ_RETAIL_STORES_BEG" hidden="1">"c2885"</definedName>
    <definedName name="IQ_RETAIL_TOTAL_FRANCHISE_STORES" hidden="1">"c2898"</definedName>
    <definedName name="IQ_RETAIL_TOTAL_OWNED_STORES" hidden="1">"c2906"</definedName>
    <definedName name="IQ_RETAIL_TOTAL_STORES" hidden="1">"c2061"</definedName>
    <definedName name="IQ_RETAINED_EARN" hidden="1">"c1420"</definedName>
    <definedName name="IQ_RETURN_ASSETS" hidden="1">"c1113"</definedName>
    <definedName name="IQ_RETURN_ASSETS_BANK" hidden="1">"c1114"</definedName>
    <definedName name="IQ_RETURN_ASSETS_BROK" hidden="1">"c1115"</definedName>
    <definedName name="IQ_RETURN_ASSETS_FS" hidden="1">"c1116"</definedName>
    <definedName name="IQ_RETURN_CAPITAL" hidden="1">"c1117"</definedName>
    <definedName name="IQ_RETURN_EQUITY" hidden="1">"c1118"</definedName>
    <definedName name="IQ_RETURN_EQUITY_BANK" hidden="1">"c1119"</definedName>
    <definedName name="IQ_RETURN_EQUITY_BROK" hidden="1">"c1120"</definedName>
    <definedName name="IQ_RETURN_EQUITY_FS" hidden="1">"c1121"</definedName>
    <definedName name="IQ_RETURN_INVESTMENT" hidden="1">"c1421"</definedName>
    <definedName name="IQ_REV" hidden="1">"c1122"</definedName>
    <definedName name="IQ_REV_BEFORE_LL" hidden="1">"c1123"</definedName>
    <definedName name="IQ_REV_UTI" hidden="1">"c1125"</definedName>
    <definedName name="IQ_REVENUE" hidden="1">"c1422"</definedName>
    <definedName name="IQ_REVISION_DATE_" hidden="1">39177.4967361111</definedName>
    <definedName name="IQ_RISK_ADJ_BANK_ASSETS" hidden="1">"c2670"</definedName>
    <definedName name="IQ_SALARY" hidden="1">"c1130"</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LES_MARKETING" hidden="1">"c2240"</definedName>
    <definedName name="IQ_SAME_STORE" hidden="1">"c1149"</definedName>
    <definedName name="IQ_SAME_STORE_FRANCHISE" hidden="1">"c2900"</definedName>
    <definedName name="IQ_SAME_STORE_OWNED" hidden="1">"c2908"</definedName>
    <definedName name="IQ_SAME_STORE_TOTAL" hidden="1">"c2892"</definedName>
    <definedName name="IQ_SAVING_DEP" hidden="1">"c1150"</definedName>
    <definedName name="IQ_SECUR_RECEIV" hidden="1">"c1151"</definedName>
    <definedName name="IQ_SECURED_DEBT" hidden="1">"c2546"</definedName>
    <definedName name="IQ_SECURED_DEBT_PCT" hidden="1">"c2547"</definedName>
    <definedName name="IQ_SECURITY_BORROW" hidden="1">"c1152"</definedName>
    <definedName name="IQ_SECURITY_LEVEL" hidden="1">"c2159"</definedName>
    <definedName name="IQ_SECURITY_NOTES" hidden="1">"c2202"</definedName>
    <definedName name="IQ_SECURITY_OWN" hidden="1">"c1153"</definedName>
    <definedName name="IQ_SECURITY_RESELL" hidden="1">"c1154"</definedName>
    <definedName name="IQ_SECURITY_TYPE" hidden="1">"c2158"</definedName>
    <definedName name="IQ_SEPARATE_ACCT_ASSETS" hidden="1">"c1155"</definedName>
    <definedName name="IQ_SEPARATE_ACCT_LIAB" hidden="1">"c1156"</definedName>
    <definedName name="IQ_SERV_CHARGE_DEPOSITS" hidden="1">"c1157"</definedName>
    <definedName name="IQ_SGA" hidden="1">"c1158"</definedName>
    <definedName name="IQ_SGA_BNK" hidden="1">"c1159"</definedName>
    <definedName name="IQ_SGA_INS" hidden="1">"c1160"</definedName>
    <definedName name="IQ_SGA_MARGIN" hidden="1">"c1898"</definedName>
    <definedName name="IQ_SGA_REIT" hidden="1">"c1161"</definedName>
    <definedName name="IQ_SGA_SUPPL" hidden="1">"c1162"</definedName>
    <definedName name="IQ_SGA_UTI" hidden="1">"c1163"</definedName>
    <definedName name="IQ_SHAREOUTSTANDING" hidden="1">"c1347"</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TERM_INVEST" hidden="1">"c1425"</definedName>
    <definedName name="IQ_SMALL_INT_BEAR_CD" hidden="1">"c1166"</definedName>
    <definedName name="IQ_SOFTWARE" hidden="1">"c1167"</definedName>
    <definedName name="IQ_SOURCE" hidden="1">"c1168"</definedName>
    <definedName name="IQ_SP" hidden="1">"c2171"</definedName>
    <definedName name="IQ_SP_BANK" hidden="1">"c2637"</definedName>
    <definedName name="IQ_SP_BANK_ACTION" hidden="1">"c2636"</definedName>
    <definedName name="IQ_SP_BANK_DATE" hidden="1">"c2635"</definedName>
    <definedName name="IQ_SP_DATE" hidden="1">"c2172"</definedName>
    <definedName name="IQ_SP_FIN_ENHANCE_FX" hidden="1">"c2631"</definedName>
    <definedName name="IQ_SP_FIN_ENHANCE_FX_ACTION" hidden="1">"c2630"</definedName>
    <definedName name="IQ_SP_FIN_ENHANCE_FX_DATE" hidden="1">"c2629"</definedName>
    <definedName name="IQ_SP_FIN_ENHANCE_LC" hidden="1">"c2634"</definedName>
    <definedName name="IQ_SP_FIN_ENHANCE_LC_ACTION" hidden="1">"c2633"</definedName>
    <definedName name="IQ_SP_FIN_ENHANCE_LC_DATE" hidden="1">"c2632"</definedName>
    <definedName name="IQ_SP_FIN_STRENGTH_LC_ACTION_LT" hidden="1">"c2625"</definedName>
    <definedName name="IQ_SP_FIN_STRENGTH_LC_ACTION_ST" hidden="1">"c2626"</definedName>
    <definedName name="IQ_SP_FIN_STRENGTH_LC_DATE_LT" hidden="1">"c2623"</definedName>
    <definedName name="IQ_SP_FIN_STRENGTH_LC_DATE_ST" hidden="1">"c2624"</definedName>
    <definedName name="IQ_SP_FIN_STRENGTH_LC_LT" hidden="1">"c2627"</definedName>
    <definedName name="IQ_SP_FIN_STRENGTH_LC_ST" hidden="1">"c2628"</definedName>
    <definedName name="IQ_SP_FX_ACTION_LT" hidden="1">"c2613"</definedName>
    <definedName name="IQ_SP_FX_ACTION_ST" hidden="1">"c2614"</definedName>
    <definedName name="IQ_SP_FX_DATE_LT" hidden="1">"c2611"</definedName>
    <definedName name="IQ_SP_FX_DATE_ST" hidden="1">"c2612"</definedName>
    <definedName name="IQ_SP_FX_LT" hidden="1">"c2615"</definedName>
    <definedName name="IQ_SP_FX_ST" hidden="1">"c2616"</definedName>
    <definedName name="IQ_SP_ISSUE_ACTION" hidden="1">"c2644"</definedName>
    <definedName name="IQ_SP_ISSUE_DATE" hidden="1">"c2643"</definedName>
    <definedName name="IQ_SP_ISSUE_LT" hidden="1">"c2645"</definedName>
    <definedName name="IQ_SP_ISSUE_OUTLOOK_WATCH" hidden="1">"c2650"</definedName>
    <definedName name="IQ_SP_ISSUE_OUTLOOK_WATCH_DATE" hidden="1">"c2649"</definedName>
    <definedName name="IQ_SP_ISSUE_RECOVER" hidden="1">"c2648"</definedName>
    <definedName name="IQ_SP_ISSUE_RECOVER_ACTION" hidden="1">"c2647"</definedName>
    <definedName name="IQ_SP_ISSUE_RECOVER_DATE" hidden="1">"c2646"</definedName>
    <definedName name="IQ_SP_LC_ACTION_LT" hidden="1">"c2619"</definedName>
    <definedName name="IQ_SP_LC_ACTION_ST" hidden="1">"c2620"</definedName>
    <definedName name="IQ_SP_LC_DATE_LT" hidden="1">"c2617"</definedName>
    <definedName name="IQ_SP_LC_DATE_ST" hidden="1">"c2618"</definedName>
    <definedName name="IQ_SP_LC_LT" hidden="1">"c2621"</definedName>
    <definedName name="IQ_SP_LC_ST" hidden="1">"c2622"</definedName>
    <definedName name="IQ_SP_OUTLOOK_WATCH" hidden="1">"c2639"</definedName>
    <definedName name="IQ_SP_OUTLOOK_WATCH_DATE" hidden="1">"c2638"</definedName>
    <definedName name="IQ_SP_REASON" hidden="1">"c2174"</definedName>
    <definedName name="IQ_SP_STATUS" hidden="1">"c2173"</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IT" hidden="1">"c1174"</definedName>
    <definedName name="IQ_SPECIAL_DIV_CF_UTI" hidden="1">"c1175"</definedName>
    <definedName name="IQ_SPECIAL_DIV_SHARE" hidden="1">"c3007"</definedName>
    <definedName name="IQ_SR_BONDS_NOTES" hidden="1">"c2501"</definedName>
    <definedName name="IQ_SR_BONDS_NOTES_PCT" hidden="1">"c2502"</definedName>
    <definedName name="IQ_SR_DEBT" hidden="1">"c2526"</definedName>
    <definedName name="IQ_SR_DEBT_EBITDA" hidden="1">"c2552"</definedName>
    <definedName name="IQ_SR_DEBT_EBITDA_CAPEX" hidden="1">"c2553"</definedName>
    <definedName name="IQ_SR_DEBT_PCT" hidden="1">"c2527"</definedName>
    <definedName name="IQ_SR_SUB_DEBT" hidden="1">"c2530"</definedName>
    <definedName name="IQ_SR_SUB_DEBT_EBITDA" hidden="1">"c2556"</definedName>
    <definedName name="IQ_SR_SUB_DEBT_EBITDA_CAPEX" hidden="1">"c2557"</definedName>
    <definedName name="IQ_SR_SUB_DEBT_PCT" hidden="1">"c2531"</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IT" hidden="1">"c1186"</definedName>
    <definedName name="IQ_ST_DEBT_ISSUED_UTI" hidden="1">"c1187"</definedName>
    <definedName name="IQ_ST_DEBT_PCT" hidden="1">"c2539"</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IT" hidden="1">"c1194"</definedName>
    <definedName name="IQ_ST_DEBT_REPAID_UTI" hidden="1">"c1195"</definedName>
    <definedName name="IQ_ST_DEBT_UTI" hidden="1">"c1196"</definedName>
    <definedName name="IQ_ST_INVEST" hidden="1">"c1197"</definedName>
    <definedName name="IQ_ST_INVEST_UTI" hidden="1">"c1198"</definedName>
    <definedName name="IQ_ST_NOTE_RECEIV" hidden="1">"c1199"</definedName>
    <definedName name="IQ_STATE" hidden="1">"c1200"</definedName>
    <definedName name="IQ_STATUTORY_SURPLUS" hidden="1">"c1201"</definedName>
    <definedName name="IQ_STOCK_BASED" hidden="1">"c1202"</definedName>
    <definedName name="IQ_STOCK_BASED_AT" hidden="1">"c2999"</definedName>
    <definedName name="IQ_STOCK_BASED_CF" hidden="1">"c1203"</definedName>
    <definedName name="IQ_STOCK_BASED_COGS" hidden="1">"c2990"</definedName>
    <definedName name="IQ_STOCK_BASED_GA" hidden="1">"c2993"</definedName>
    <definedName name="IQ_STOCK_BASED_OTHER" hidden="1">"c2995"</definedName>
    <definedName name="IQ_STOCK_BASED_RD" hidden="1">"c2991"</definedName>
    <definedName name="IQ_STOCK_BASED_SGA" hidden="1">"c2994"</definedName>
    <definedName name="IQ_STOCK_BASED_SM" hidden="1">"c2992"</definedName>
    <definedName name="IQ_STOCK_BASED_TOTAL" hidden="1">"c3040"</definedName>
    <definedName name="IQ_STRIKE_PRICE_ISSUED" hidden="1">"c1645"</definedName>
    <definedName name="IQ_STRIKE_PRICE_OS" hidden="1">"c1646"</definedName>
    <definedName name="IQ_STW" hidden="1">"c2166"</definedName>
    <definedName name="IQ_SUB_BONDS_NOTES" hidden="1">"c2503"</definedName>
    <definedName name="IQ_SUB_BONDS_NOTES_PCT" hidden="1">"c2504"</definedName>
    <definedName name="IQ_SUB_DEBT" hidden="1">"c2532"</definedName>
    <definedName name="IQ_SUB_DEBT_EBITDA" hidden="1">"c2558"</definedName>
    <definedName name="IQ_SUB_DEBT_EBITDA_CAPEX" hidden="1">"c2559"</definedName>
    <definedName name="IQ_SUB_DEBT_PCT" hidden="1">"c2533"</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VA" hidden="1">"c1214"</definedName>
    <definedName name="IQ_TARGET_PRICE_NUM" hidden="1">"c1653"</definedName>
    <definedName name="IQ_TARGET_PRICE_STDDEV" hidden="1">"c1654"</definedName>
    <definedName name="IQ_TAX_BENEFIT_OPTIONS" hidden="1">"c1215"</definedName>
    <definedName name="IQ_TAX_EQUIV_NET_INT_INC" hidden="1">"c1216"</definedName>
    <definedName name="IQ_TBV" hidden="1">"c1906"</definedName>
    <definedName name="IQ_TBV_10YR_ANN_GROWTH" hidden="1">"c1936"</definedName>
    <definedName name="IQ_TBV_1YR_ANN_GROWTH" hidden="1">"c1931"</definedName>
    <definedName name="IQ_TBV_2YR_ANN_GROWTH" hidden="1">"c1932"</definedName>
    <definedName name="IQ_TBV_3YR_ANN_GROWTH" hidden="1">"c1933"</definedName>
    <definedName name="IQ_TBV_5YR_ANN_GROWTH" hidden="1">"c1934"</definedName>
    <definedName name="IQ_TBV_7YR_ANN_GROWTH" hidden="1">"c1935"</definedName>
    <definedName name="IQ_TBV_SHARE" hidden="1">"c1217"</definedName>
    <definedName name="IQ_TEMPLATE" hidden="1">"c1521"</definedName>
    <definedName name="IQ_TENANT" hidden="1">"c1218"</definedName>
    <definedName name="IQ_TERM_LOANS" hidden="1">"c2499"</definedName>
    <definedName name="IQ_TERM_LOANS_PCT" hidden="1">"c2500"</definedName>
    <definedName name="IQ_TEV" hidden="1">"c1219"</definedName>
    <definedName name="IQ_TEV_EBIT" hidden="1">"c1220"</definedName>
    <definedName name="IQ_TEV_EBIT_AVG" hidden="1">"c1221"</definedName>
    <definedName name="IQ_TEV_EBITDA" hidden="1">"c1222"</definedName>
    <definedName name="IQ_TEV_EBITDA_AVG" hidden="1">"c1223"</definedName>
    <definedName name="IQ_TEV_EMPLOYEE_AVG" hidden="1">"c1225"</definedName>
    <definedName name="IQ_TEV_TOTAL_REV" hidden="1">"c1226"</definedName>
    <definedName name="IQ_TEV_TOTAL_REV_AVG" hidden="1">"c1227"</definedName>
    <definedName name="IQ_TEV_UFCF" hidden="1">"c2208"</definedName>
    <definedName name="IQ_TIER_ONE_CAPITAL" hidden="1">"c2667"</definedName>
    <definedName name="IQ_TIER_ONE_RATIO" hidden="1">"c1229"</definedName>
    <definedName name="IQ_TIER_TWO_CAPITAL" hidden="1">"c2669"</definedName>
    <definedName name="IQ_TIME_DEP" hidden="1">"c1230"</definedName>
    <definedName name="IQ_TODAY" hidden="1">0</definedName>
    <definedName name="IQ_TOT_ADJ_INC" hidden="1">"c1616"</definedName>
    <definedName name="IQ_TOTAL_AR_BR" hidden="1">"c1231"</definedName>
    <definedName name="IQ_TOTAL_AR_REIT" hidden="1">"c1232"</definedName>
    <definedName name="IQ_TOTAL_AR_UTI" hidden="1">"c1233"</definedName>
    <definedName name="IQ_TOTAL_ASSETS" hidden="1">"c1234"</definedName>
    <definedName name="IQ_TOTAL_ASSETS_10YR_ANN_GROWTH" hidden="1">"c1235"</definedName>
    <definedName name="IQ_TOTAL_ASSETS_1YR_ANN_GROWTH" hidden="1">"c1236"</definedName>
    <definedName name="IQ_TOTAL_ASSETS_2YR_ANN_GROWTH" hidden="1">"c1237"</definedName>
    <definedName name="IQ_TOTAL_ASSETS_3YR_ANN_GROWTH" hidden="1">"c1238"</definedName>
    <definedName name="IQ_TOTAL_ASSETS_5YR_ANN_GROWTH" hidden="1">"c1239"</definedName>
    <definedName name="IQ_TOTAL_ASSETS_7YR_ANN_GROWTH" hidden="1">"c1240"</definedName>
    <definedName name="IQ_TOTAL_AVG_CE_TOTAL_AVG_ASSETS" hidden="1">"c1241"</definedName>
    <definedName name="IQ_TOTAL_AVG_EQUITY_TOTAL_AVG_ASSETS" hidden="1">"c1242"</definedName>
    <definedName name="IQ_TOTAL_BANK_CAPITAL" hidden="1">"c2668"</definedName>
    <definedName name="IQ_TOTAL_CA" hidden="1">"c1243"</definedName>
    <definedName name="IQ_TOTAL_CAP" hidden="1">"c1507"</definedName>
    <definedName name="IQ_TOTAL_CAPITAL_RATIO" hidden="1">"c1244"</definedName>
    <definedName name="IQ_TOTAL_CASH_DIVID" hidden="1">"c1455"</definedName>
    <definedName name="IQ_TOTAL_CASH_FINAN" hidden="1">"c1352"</definedName>
    <definedName name="IQ_TOTAL_CASH_INVEST" hidden="1">"c1353"</definedName>
    <definedName name="IQ_TOTAL_CASH_OPER" hidden="1">"c1354"</definedName>
    <definedName name="IQ_TOTAL_CHURN" hidden="1">"c2122"</definedName>
    <definedName name="IQ_TOTAL_CL" hidden="1">"c1245"</definedName>
    <definedName name="IQ_TOTAL_COMMON" hidden="1">"c1411"</definedName>
    <definedName name="IQ_TOTAL_COMMON_EQUITY" hidden="1">"c1246"</definedName>
    <definedName name="IQ_TOTAL_CURRENT_ASSETS" hidden="1">"c1430"</definedName>
    <definedName name="IQ_TOTAL_CURRENT_LIAB" hidden="1">"c1431"</definedName>
    <definedName name="IQ_TOTAL_DEBT" hidden="1">"c1247"</definedName>
    <definedName name="IQ_TOTAL_DEBT_CAPITAL" hidden="1">"c1248"</definedName>
    <definedName name="IQ_TOTAL_DEBT_EBITDA" hidden="1">"c1249"</definedName>
    <definedName name="IQ_TOTAL_DEBT_EBITDA_CAPEX" hidden="1">"c2948"</definedName>
    <definedName name="IQ_TOTAL_DEBT_EQUITY" hidden="1">"c1250"</definedName>
    <definedName name="IQ_TOTAL_DEBT_EXCL_FIN" hidden="1">"c2937"</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IT" hidden="1">"c1255"</definedName>
    <definedName name="IQ_TOTAL_DEBT_ISSUED_UTI" hidden="1">"c1256"</definedName>
    <definedName name="IQ_TOTAL_DEBT_ISSUES_INS" hidden="1">"c1257"</definedName>
    <definedName name="IQ_TOTAL_DEBT_OVER_EBITDA" hidden="1">"c1433"</definedName>
    <definedName name="IQ_TOTAL_DEBT_OVER_TOTAL_BV" hidden="1">"c1434"</definedName>
    <definedName name="IQ_TOTAL_DEBT_OVER_TOTAL_CAP" hidden="1">"c1432"</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IT" hidden="1">"c1263"</definedName>
    <definedName name="IQ_TOTAL_DEBT_REPAID_UTI" hidden="1">"c1264"</definedName>
    <definedName name="IQ_TOTAL_DEPOSITS" hidden="1">"c1265"</definedName>
    <definedName name="IQ_TOTAL_DIV_PAID_CF" hidden="1">"c1266"</definedName>
    <definedName name="IQ_TOTAL_EMPLOYEE" hidden="1">"c2141"</definedName>
    <definedName name="IQ_TOTAL_EMPLOYEES" hidden="1">"c1522"</definedName>
    <definedName name="IQ_TOTAL_EQUITY" hidden="1">"c1267"</definedName>
    <definedName name="IQ_TOTAL_EQUITY_10YR_ANN_GROWTH" hidden="1">"c1268"</definedName>
    <definedName name="IQ_TOTAL_EQUITY_1YR_ANN_GROWTH" hidden="1">"c1269"</definedName>
    <definedName name="IQ_TOTAL_EQUITY_2YR_ANN_GROWTH" hidden="1">"c1270"</definedName>
    <definedName name="IQ_TOTAL_EQUITY_3YR_ANN_GROWTH" hidden="1">"c1271"</definedName>
    <definedName name="IQ_TOTAL_EQUITY_5YR_ANN_GROWTH" hidden="1">"c1272"</definedName>
    <definedName name="IQ_TOTAL_EQUITY_7YR_ANN_GROWTH" hidden="1">"c1273"</definedName>
    <definedName name="IQ_TOTAL_EQUITY_ALLOWANCE_TOTAL_LOANS" hidden="1">"c1274"</definedName>
    <definedName name="IQ_TOTAL_INTEREST_EXP" hidden="1">"c1382"</definedName>
    <definedName name="IQ_TOTAL_INVENTORY" hidden="1">"c1385"</definedName>
    <definedName name="IQ_TOTAL_INVEST" hidden="1">"c1275"</definedName>
    <definedName name="IQ_TOTAL_LIAB" hidden="1">"c1276"</definedName>
    <definedName name="IQ_TOTAL_LIAB_BNK" hidden="1">"c1277"</definedName>
    <definedName name="IQ_TOTAL_LIAB_BR" hidden="1">"c1278"</definedName>
    <definedName name="IQ_TOTAL_LIAB_EQUITY" hidden="1">"c1279"</definedName>
    <definedName name="IQ_TOTAL_LIAB_FIN" hidden="1">"c1280"</definedName>
    <definedName name="IQ_TOTAL_LIAB_INS" hidden="1">"c1281"</definedName>
    <definedName name="IQ_TOTAL_LIAB_REIT" hidden="1">"c1282"</definedName>
    <definedName name="IQ_TOTAL_LIAB_SHAREHOLD" hidden="1">"c1435"</definedName>
    <definedName name="IQ_TOTAL_LIAB_TOTAL_ASSETS" hidden="1">"c1283"</definedName>
    <definedName name="IQ_TOTAL_LONG_DEBT" hidden="1">"c1617"</definedName>
    <definedName name="IQ_TOTAL_NON_REC" hidden="1">"c1444"</definedName>
    <definedName name="IQ_TOTAL_OPER_EXP_BR" hidden="1">"c1284"</definedName>
    <definedName name="IQ_TOTAL_OPER_EXP_FIN" hidden="1">"c1285"</definedName>
    <definedName name="IQ_TOTAL_OPER_EXP_INS" hidden="1">"c1286"</definedName>
    <definedName name="IQ_TOTAL_OPER_EXP_REIT" hidden="1">"c1287"</definedName>
    <definedName name="IQ_TOTAL_OPER_EXP_UTI" hidden="1">"c1288"</definedName>
    <definedName name="IQ_TOTAL_OPER_EXPEN" hidden="1">"c1445"</definedName>
    <definedName name="IQ_TOTAL_OPTIONS_BEG_OS" hidden="1">"c2693"</definedName>
    <definedName name="IQ_TOTAL_OPTIONS_CANCELLED" hidden="1">"c2696"</definedName>
    <definedName name="IQ_TOTAL_OPTIONS_END_OS" hidden="1">"c2697"</definedName>
    <definedName name="IQ_TOTAL_OPTIONS_EXERCISED" hidden="1">"c2695"</definedName>
    <definedName name="IQ_TOTAL_OPTIONS_GRANTED" hidden="1">"c2694"</definedName>
    <definedName name="IQ_TOTAL_OTHER_OPER" hidden="1">"c1289"</definedName>
    <definedName name="IQ_TOTAL_OUTSTANDING_BS_DATE" hidden="1">"c1022"</definedName>
    <definedName name="IQ_TOTAL_OUTSTANDING_FILING_DATE" hidden="1">"c2107"</definedName>
    <definedName name="IQ_TOTAL_PENSION_ASSETS" hidden="1">"c1290"</definedName>
    <definedName name="IQ_TOTAL_PENSION_ASSETS_DOMESTIC" hidden="1">"c2658"</definedName>
    <definedName name="IQ_TOTAL_PENSION_ASSETS_FOREIGN" hidden="1">"c2666"</definedName>
    <definedName name="IQ_TOTAL_PENSION_EXP" hidden="1">"c1291"</definedName>
    <definedName name="IQ_TOTAL_PRINCIPAL" hidden="1">"c2509"</definedName>
    <definedName name="IQ_TOTAL_PRINCIPAL_PCT" hidden="1">"c2510"</definedName>
    <definedName name="IQ_TOTAL_PROVED_RESERVES_NGL" hidden="1">"c2924"</definedName>
    <definedName name="IQ_TOTAL_PROVED_RESERVES_OIL" hidden="1">"c2040"</definedName>
    <definedName name="IQ_TOTAL_RECEIV" hidden="1">"c1293"</definedName>
    <definedName name="IQ_TOTAL_REV" hidden="1">"c1294"</definedName>
    <definedName name="IQ_TOTAL_REV_10YR_ANN_GROWTH" hidden="1">"c1295"</definedName>
    <definedName name="IQ_TOTAL_REV_1YR_ANN_GROWTH" hidden="1">"c1296"</definedName>
    <definedName name="IQ_TOTAL_REV_2YR_ANN_GROWTH" hidden="1">"c1297"</definedName>
    <definedName name="IQ_TOTAL_REV_3YR_ANN_GROWTH" hidden="1">"c1298"</definedName>
    <definedName name="IQ_TOTAL_REV_5YR_ANN_GROWTH" hidden="1">"c1299"</definedName>
    <definedName name="IQ_TOTAL_REV_7YR_ANN_GROWTH" hidden="1">"c1300"</definedName>
    <definedName name="IQ_TOTAL_REV_AS_REPORTED" hidden="1">"c1301"</definedName>
    <definedName name="IQ_TOTAL_REV_BNK" hidden="1">"c1302"</definedName>
    <definedName name="IQ_TOTAL_REV_BR" hidden="1">"c1303"</definedName>
    <definedName name="IQ_TOTAL_REV_EMPLOYEE" hidden="1">"c1304"</definedName>
    <definedName name="IQ_TOTAL_REV_FIN" hidden="1">"c1305"</definedName>
    <definedName name="IQ_TOTAL_REV_INS" hidden="1">"c1306"</definedName>
    <definedName name="IQ_TOTAL_REV_REIT" hidden="1">"c1307"</definedName>
    <definedName name="IQ_TOTAL_REV_SHARE" hidden="1">"c1912"</definedName>
    <definedName name="IQ_TOTAL_REV_UTI" hidden="1">"c1308"</definedName>
    <definedName name="IQ_TOTAL_REVENUE" hidden="1">"c1436"</definedName>
    <definedName name="IQ_TOTAL_SPECIAL" hidden="1">"c1618"</definedName>
    <definedName name="IQ_TOTAL_ST_BORROW" hidden="1">"c1424"</definedName>
    <definedName name="IQ_TOTAL_SUB_DEBT" hidden="1">"c2528"</definedName>
    <definedName name="IQ_TOTAL_SUB_DEBT_EBITDA" hidden="1">"c2554"</definedName>
    <definedName name="IQ_TOTAL_SUB_DEBT_EBITDA_CAPEX" hidden="1">"c2555"</definedName>
    <definedName name="IQ_TOTAL_SUB_DEBT_PCT" hidden="1">"c2529"</definedName>
    <definedName name="IQ_TOTAL_SUBS" hidden="1">"c2119"</definedName>
    <definedName name="IQ_TOTAL_UNUSUAL" hidden="1">"c1508"</definedName>
    <definedName name="IQ_TOTAL_WARRANTS_BEG_OS" hidden="1">"c2719"</definedName>
    <definedName name="IQ_TOTAL_WARRANTS_CANCELLED" hidden="1">"c2722"</definedName>
    <definedName name="IQ_TOTAL_WARRANTS_END_OS" hidden="1">"c2723"</definedName>
    <definedName name="IQ_TOTAL_WARRANTS_EXERCISED" hidden="1">"c2721"</definedName>
    <definedName name="IQ_TOTAL_WARRANTS_ISSUED" hidden="1">"c2720"</definedName>
    <definedName name="IQ_TR_ACCT_METHOD" hidden="1">"c2363"</definedName>
    <definedName name="IQ_TR_ACQ_52_WK_HI_PCT" hidden="1">"c2348"</definedName>
    <definedName name="IQ_TR_ACQ_52_WK_LOW_PCT" hidden="1">"c2347"</definedName>
    <definedName name="IQ_TR_ACQ_CASH_ST_INVEST" hidden="1">"c2372"</definedName>
    <definedName name="IQ_TR_ACQ_CLOSEPRICE_1D" hidden="1">"c3027"</definedName>
    <definedName name="IQ_TR_ACQ_DILUT_EPS_EXCL" hidden="1">"c3028"</definedName>
    <definedName name="IQ_TR_ACQ_EARNING_CO" hidden="1">"c2379"</definedName>
    <definedName name="IQ_TR_ACQ_EBIT" hidden="1">"c2380"</definedName>
    <definedName name="IQ_TR_ACQ_EBITDA" hidden="1">"c2381"</definedName>
    <definedName name="IQ_TR_ACQ_FILING_CURRENCY" hidden="1">"c3033"</definedName>
    <definedName name="IQ_TR_ACQ_MCAP_1DAY" hidden="1">"c2345"</definedName>
    <definedName name="IQ_TR_ACQ_MIN_INT" hidden="1">"c2374"</definedName>
    <definedName name="IQ_TR_ACQ_NET_DEBT" hidden="1">"c2373"</definedName>
    <definedName name="IQ_TR_ACQ_NI" hidden="1">"c2378"</definedName>
    <definedName name="IQ_TR_ACQ_PRICEDATE_1D" hidden="1">"c2346"</definedName>
    <definedName name="IQ_TR_ACQ_RETURN" hidden="1">"c2349"</definedName>
    <definedName name="IQ_TR_ACQ_STOCKYEARHIGH_1D" hidden="1">"c2343"</definedName>
    <definedName name="IQ_TR_ACQ_STOCKYEARLOW_1D" hidden="1">"c2344"</definedName>
    <definedName name="IQ_TR_ACQ_TOTAL_ASSETS" hidden="1">"c2371"</definedName>
    <definedName name="IQ_TR_ACQ_TOTAL_COMMON_EQ" hidden="1">"c2377"</definedName>
    <definedName name="IQ_TR_ACQ_TOTAL_DEBT" hidden="1">"c2376"</definedName>
    <definedName name="IQ_TR_ACQ_TOTAL_PREF" hidden="1">"c2375"</definedName>
    <definedName name="IQ_TR_ACQ_TOTAL_REV" hidden="1">"c2382"</definedName>
    <definedName name="IQ_TR_ADJ_SIZE" hidden="1">"c3024"</definedName>
    <definedName name="IQ_TR_ANN_DATE" hidden="1">"c2395"</definedName>
    <definedName name="IQ_TR_ANN_DATE_BL" hidden="1">"c2394"</definedName>
    <definedName name="IQ_TR_BID_DATE" hidden="1">"c2357"</definedName>
    <definedName name="IQ_TR_BLUESKY_FEES" hidden="1">"c2277"</definedName>
    <definedName name="IQ_TR_BUY_ACC_ADVISORS" hidden="1">"c3048"</definedName>
    <definedName name="IQ_TR_BUY_FIN_ADVISORS" hidden="1">"c3045"</definedName>
    <definedName name="IQ_TR_BUY_LEG_ADVISORS" hidden="1">"c2387"</definedName>
    <definedName name="IQ_TR_BUYER_ID" hidden="1">"c2404"</definedName>
    <definedName name="IQ_TR_BUYERNAME" hidden="1">"c2401"</definedName>
    <definedName name="IQ_TR_CANCELLED_DATE" hidden="1">"c2284"</definedName>
    <definedName name="IQ_TR_CASH_CONSID_PCT" hidden="1">"c2296"</definedName>
    <definedName name="IQ_TR_CASH_ST_INVEST" hidden="1">"c3025"</definedName>
    <definedName name="IQ_TR_CHANGE_CONTROL" hidden="1">"c2365"</definedName>
    <definedName name="IQ_TR_CLOSED_DATE" hidden="1">"c2283"</definedName>
    <definedName name="IQ_TR_CO_NET_PROCEEDS" hidden="1">"c2268"</definedName>
    <definedName name="IQ_TR_CO_NET_PROCEEDS_PCT" hidden="1">"c2270"</definedName>
    <definedName name="IQ_TR_COMMENTS" hidden="1">"c2383"</definedName>
    <definedName name="IQ_TR_CURRENCY" hidden="1">"c3016"</definedName>
    <definedName name="IQ_TR_DEAL_ATTITUDE" hidden="1">"c2364"</definedName>
    <definedName name="IQ_TR_DEAL_CONDITIONS" hidden="1">"c2367"</definedName>
    <definedName name="IQ_TR_DEAL_RESOLUTION" hidden="1">"c2391"</definedName>
    <definedName name="IQ_TR_DEAL_RESPONSES" hidden="1">"c2366"</definedName>
    <definedName name="IQ_TR_DEBT_CONSID_PCT" hidden="1">"c2299"</definedName>
    <definedName name="IQ_TR_DEF_AGRMT_DATE" hidden="1">"c2285"</definedName>
    <definedName name="IQ_TR_DISCLOSED_FEES_EXP" hidden="1">"c2288"</definedName>
    <definedName name="IQ_TR_EARNOUTS" hidden="1">"c3023"</definedName>
    <definedName name="IQ_TR_EXPIRED_DATE" hidden="1">"c2412"</definedName>
    <definedName name="IQ_TR_GROSS_OFFERING_AMT" hidden="1">"c2262"</definedName>
    <definedName name="IQ_TR_HYBRID_CONSID_PCT" hidden="1">"c2300"</definedName>
    <definedName name="IQ_TR_IMPLIED_EQ" hidden="1">"c3018"</definedName>
    <definedName name="IQ_TR_IMPLIED_EQ_BV" hidden="1">"c3019"</definedName>
    <definedName name="IQ_TR_IMPLIED_EQ_NI_LTM" hidden="1">"c3020"</definedName>
    <definedName name="IQ_TR_IMPLIED_EV" hidden="1">"c2301"</definedName>
    <definedName name="IQ_TR_IMPLIED_EV_BV" hidden="1">"c2306"</definedName>
    <definedName name="IQ_TR_IMPLIED_EV_EBIT" hidden="1">"c2302"</definedName>
    <definedName name="IQ_TR_IMPLIED_EV_EBITDA" hidden="1">"c2303"</definedName>
    <definedName name="IQ_TR_IMPLIED_EV_NI_LTM" hidden="1">"c2307"</definedName>
    <definedName name="IQ_TR_IMPLIED_EV_REV" hidden="1">"c2304"</definedName>
    <definedName name="IQ_TR_LOI_DATE" hidden="1">"c2282"</definedName>
    <definedName name="IQ_TR_MAJ_MIN_STAKE" hidden="1">"c2389"</definedName>
    <definedName name="IQ_TR_NEGOTIATED_BUYBACK_PRICE" hidden="1">"c2414"</definedName>
    <definedName name="IQ_TR_NET_ASSUM_LIABILITIES" hidden="1">"c2308"</definedName>
    <definedName name="IQ_TR_NET_PROCEEDS" hidden="1">"c2267"</definedName>
    <definedName name="IQ_TR_OFFER_DATE" hidden="1">"c2265"</definedName>
    <definedName name="IQ_TR_OFFER_DATE_MA" hidden="1">"c3035"</definedName>
    <definedName name="IQ_TR_OFFER_PER_SHARE" hidden="1">"c3017"</definedName>
    <definedName name="IQ_TR_OPTIONS_CONSID_PCT" hidden="1">"c2311"</definedName>
    <definedName name="IQ_TR_OTHER_CONSID" hidden="1">"c3022"</definedName>
    <definedName name="IQ_TR_PCT_SOUGHT" hidden="1">"c2309"</definedName>
    <definedName name="IQ_TR_PFEATURES" hidden="1">"c2384"</definedName>
    <definedName name="IQ_TR_PIPE_CONV_PRICE_SHARE" hidden="1">"c2292"</definedName>
    <definedName name="IQ_TR_PIPE_CPN_PCT" hidden="1">"c2291"</definedName>
    <definedName name="IQ_TR_PIPE_NUMBER_SHARES" hidden="1">"c2293"</definedName>
    <definedName name="IQ_TR_PIPE_PPS" hidden="1">"c2290"</definedName>
    <definedName name="IQ_TR_POSTMONEY_VAL" hidden="1">"c2286"</definedName>
    <definedName name="IQ_TR_PREDEAL_SITUATION" hidden="1">"c2390"</definedName>
    <definedName name="IQ_TR_PREF_CONSID_PCT" hidden="1">"c2310"</definedName>
    <definedName name="IQ_TR_PREMONEY_VAL" hidden="1">"c2287"</definedName>
    <definedName name="IQ_TR_PRINTING_FEES" hidden="1">"c2276"</definedName>
    <definedName name="IQ_TR_PT_MONETARY_VALUES" hidden="1">"c2415"</definedName>
    <definedName name="IQ_TR_PT_NUMBER_SHARES" hidden="1">"c2417"</definedName>
    <definedName name="IQ_TR_PT_PCT_SHARES" hidden="1">"c2416"</definedName>
    <definedName name="IQ_TR_RATING_FEES" hidden="1">"c2275"</definedName>
    <definedName name="IQ_TR_REG_EFFECT_DATE" hidden="1">"c2264"</definedName>
    <definedName name="IQ_TR_REG_FILED_DATE" hidden="1">"c2263"</definedName>
    <definedName name="IQ_TR_RENEWAL_BUYBACK" hidden="1">"c2413"</definedName>
    <definedName name="IQ_TR_ROUND_NUMBER" hidden="1">"c2295"</definedName>
    <definedName name="IQ_TR_SEC_FEES" hidden="1">"c2274"</definedName>
    <definedName name="IQ_TR_SECURITY_TYPE_REG" hidden="1">"c2279"</definedName>
    <definedName name="IQ_TR_SELL_ACC_ADVISORS" hidden="1">"c3049"</definedName>
    <definedName name="IQ_TR_SELL_FIN_ADVISORS" hidden="1">"c3046"</definedName>
    <definedName name="IQ_TR_SELL_LEG_ADVISORS" hidden="1">"c2388"</definedName>
    <definedName name="IQ_TR_SELLER_ID" hidden="1">"c2406"</definedName>
    <definedName name="IQ_TR_SELLERNAME" hidden="1">"c2402"</definedName>
    <definedName name="IQ_TR_SFEATURES" hidden="1">"c2385"</definedName>
    <definedName name="IQ_TR_SH_NET_PROCEEDS" hidden="1">"c2269"</definedName>
    <definedName name="IQ_TR_SH_NET_PROCEEDS_PCT" hidden="1">"c2271"</definedName>
    <definedName name="IQ_TR_SPECIAL_COMMITTEE" hidden="1">"c2362"</definedName>
    <definedName name="IQ_TR_STATUS" hidden="1">"c2399"</definedName>
    <definedName name="IQ_TR_STOCK_CONSID_PCT" hidden="1">"c2312"</definedName>
    <definedName name="IQ_TR_SUSPENDED_DATE" hidden="1">"c2407"</definedName>
    <definedName name="IQ_TR_TARGET_52WKHI_PCT" hidden="1">"c2351"</definedName>
    <definedName name="IQ_TR_TARGET_52WKLOW_PCT" hidden="1">"c2350"</definedName>
    <definedName name="IQ_TR_TARGET_ACC_ADVISORS" hidden="1">"c3047"</definedName>
    <definedName name="IQ_TR_TARGET_CASH_ST_INVEST" hidden="1">"c2327"</definedName>
    <definedName name="IQ_TR_TARGET_CLOSEPRICE_1D" hidden="1">"c2352"</definedName>
    <definedName name="IQ_TR_TARGET_CLOSEPRICE_1M" hidden="1">"c2354"</definedName>
    <definedName name="IQ_TR_TARGET_CLOSEPRICE_1W" hidden="1">"c2353"</definedName>
    <definedName name="IQ_TR_TARGET_DILUT_EPS_EXCL" hidden="1">"c2324"</definedName>
    <definedName name="IQ_TR_TARGET_EARNING_CO" hidden="1">"c2332"</definedName>
    <definedName name="IQ_TR_TARGET_EBIT" hidden="1">"c2333"</definedName>
    <definedName name="IQ_TR_TARGET_EBITDA" hidden="1">"c2334"</definedName>
    <definedName name="IQ_TR_TARGET_FILING_CURRENCY" hidden="1">"c3034"</definedName>
    <definedName name="IQ_TR_TARGET_FIN_ADVISORS" hidden="1">"c3044"</definedName>
    <definedName name="IQ_TR_TARGET_ID" hidden="1">"c2405"</definedName>
    <definedName name="IQ_TR_TARGET_LEG_ADVISORS" hidden="1">"c2386"</definedName>
    <definedName name="IQ_TR_TARGET_MARKETCAP" hidden="1">"c2342"</definedName>
    <definedName name="IQ_TR_TARGET_MIN_INT" hidden="1">"c2328"</definedName>
    <definedName name="IQ_TR_TARGET_NET_DEBT" hidden="1">"c2326"</definedName>
    <definedName name="IQ_TR_TARGET_NI" hidden="1">"c2331"</definedName>
    <definedName name="IQ_TR_TARGET_PRICEDATE_1D" hidden="1">"c2341"</definedName>
    <definedName name="IQ_TR_TARGET_RETURN" hidden="1">"c2355"</definedName>
    <definedName name="IQ_TR_TARGET_SEC_DETAIL" hidden="1">"c3021"</definedName>
    <definedName name="IQ_TR_TARGET_SEC_TI_ID" hidden="1">"c2368"</definedName>
    <definedName name="IQ_TR_TARGET_SEC_TYPE" hidden="1">"c2369"</definedName>
    <definedName name="IQ_TR_TARGET_SPD" hidden="1">"c2313"</definedName>
    <definedName name="IQ_TR_TARGET_SPD_PCT" hidden="1">"c2314"</definedName>
    <definedName name="IQ_TR_TARGET_STOCKPREMIUM_1D" hidden="1">"c2336"</definedName>
    <definedName name="IQ_TR_TARGET_STOCKPREMIUM_1M" hidden="1">"c2337"</definedName>
    <definedName name="IQ_TR_TARGET_STOCKPREMIUM_1W" hidden="1">"c2338"</definedName>
    <definedName name="IQ_TR_TARGET_STOCKYEARHIGH_1D" hidden="1">"c2339"</definedName>
    <definedName name="IQ_TR_TARGET_STOCKYEARLOW_1D" hidden="1">"c2340"</definedName>
    <definedName name="IQ_TR_TARGET_TOTAL_ASSETS" hidden="1">"c2325"</definedName>
    <definedName name="IQ_TR_TARGET_TOTAL_COMMON_EQ" hidden="1">"c2421"</definedName>
    <definedName name="IQ_TR_TARGET_TOTAL_DEBT" hidden="1">"c2330"</definedName>
    <definedName name="IQ_TR_TARGET_TOTAL_PREF" hidden="1">"c2329"</definedName>
    <definedName name="IQ_TR_TARGET_TOTAL_REV" hidden="1">"c2335"</definedName>
    <definedName name="IQ_TR_TARGETNAME" hidden="1">"c2403"</definedName>
    <definedName name="IQ_TR_TERM_FEE" hidden="1">"c2298"</definedName>
    <definedName name="IQ_TR_TERM_FEE_PCT" hidden="1">"c2297"</definedName>
    <definedName name="IQ_TR_TODATE" hidden="1">"c3036"</definedName>
    <definedName name="IQ_TR_TODATE_MONETARY_VALUE" hidden="1">"c2418"</definedName>
    <definedName name="IQ_TR_TODATE_NUMBER_SHARES" hidden="1">"c2420"</definedName>
    <definedName name="IQ_TR_TODATE_PCT_SHARES" hidden="1">"c2419"</definedName>
    <definedName name="IQ_TR_TOTAL_ACCT_FEES" hidden="1">"c2273"</definedName>
    <definedName name="IQ_TR_TOTAL_CASH" hidden="1">"c2315"</definedName>
    <definedName name="IQ_TR_TOTAL_CONSID_SH" hidden="1">"c2316"</definedName>
    <definedName name="IQ_TR_TOTAL_DEBT" hidden="1">"c2317"</definedName>
    <definedName name="IQ_TR_TOTAL_GROSS_TV" hidden="1">"c2318"</definedName>
    <definedName name="IQ_TR_TOTAL_HYBRID" hidden="1">"c2319"</definedName>
    <definedName name="IQ_TR_TOTAL_LEGAL_FEES" hidden="1">"c2272"</definedName>
    <definedName name="IQ_TR_TOTAL_NET_TV" hidden="1">"c2320"</definedName>
    <definedName name="IQ_TR_TOTAL_NEWMONEY" hidden="1">"c2289"</definedName>
    <definedName name="IQ_TR_TOTAL_OPTIONS" hidden="1">"c2322"</definedName>
    <definedName name="IQ_TR_TOTAL_OPTIONS_BUYER" hidden="1">"c3026"</definedName>
    <definedName name="IQ_TR_TOTAL_PREFERRED" hidden="1">"c2321"</definedName>
    <definedName name="IQ_TR_TOTAL_REG_AMT" hidden="1">"c2261"</definedName>
    <definedName name="IQ_TR_TOTAL_STOCK" hidden="1">"c2323"</definedName>
    <definedName name="IQ_TR_TOTAL_TAKEDOWNS" hidden="1">"c2278"</definedName>
    <definedName name="IQ_TR_TOTAL_UW_COMP" hidden="1">"c2280"</definedName>
    <definedName name="IQ_TR_TOTALVALUE" hidden="1">"c2400"</definedName>
    <definedName name="IQ_TR_TRANSACTION_TYPE" hidden="1">"c2398"</definedName>
    <definedName name="IQ_TR_WITHDRAWN_DTE" hidden="1">"c2266"</definedName>
    <definedName name="IQ_TRADE_AR" hidden="1">"c1345"</definedName>
    <definedName name="IQ_TRADE_PRINCIPAL" hidden="1">"c1309"</definedName>
    <definedName name="IQ_TRADING_ASSETS" hidden="1">"c1310"</definedName>
    <definedName name="IQ_TRADING_CURRENCY" hidden="1">"c2212"</definedName>
    <definedName name="IQ_TREASURY" hidden="1">"c1311"</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IT" hidden="1">"c1317"</definedName>
    <definedName name="IQ_TREASURY_OTHER_EQUITY_UTI" hidden="1">"c1318"</definedName>
    <definedName name="IQ_TREASURY_STOCK" hidden="1">"c1438"</definedName>
    <definedName name="IQ_TRUST_INC" hidden="1">"c1319"</definedName>
    <definedName name="IQ_TRUST_PREF" hidden="1">"c1320"</definedName>
    <definedName name="IQ_TRUST_PREFERRED" hidden="1">"c3029"</definedName>
    <definedName name="IQ_TRUST_PREFERRED_PCT" hidden="1">"c3030"</definedName>
    <definedName name="IQ_UFCF_10YR_ANN_GROWTH" hidden="1">"c1948"</definedName>
    <definedName name="IQ_UFCF_1YR_ANN_GROWTH" hidden="1">"c1943"</definedName>
    <definedName name="IQ_UFCF_2YR_ANN_GROWTH" hidden="1">"c1944"</definedName>
    <definedName name="IQ_UFCF_3YR_ANN_GROWTH" hidden="1">"c1945"</definedName>
    <definedName name="IQ_UFCF_5YR_ANN_GROWTH" hidden="1">"c1946"</definedName>
    <definedName name="IQ_UFCF_7YR_ANN_GROWTH" hidden="1">"c1947"</definedName>
    <definedName name="IQ_UFCF_MARGIN" hidden="1">"c1962"</definedName>
    <definedName name="IQ_ULT_PARENT" hidden="1">"c3037"</definedName>
    <definedName name="IQ_ULT_PARENT_CIQID" hidden="1">"c3039"</definedName>
    <definedName name="IQ_ULT_PARENT_TICKER" hidden="1">"c3038"</definedName>
    <definedName name="IQ_UNAMORT_DISC" hidden="1">"c2513"</definedName>
    <definedName name="IQ_UNAMORT_DISC_PCT" hidden="1">"c2514"</definedName>
    <definedName name="IQ_UNAMORT_PREMIUM" hidden="1">"c2511"</definedName>
    <definedName name="IQ_UNAMORT_PREMIUM_PCT" hidden="1">"c2512"</definedName>
    <definedName name="IQ_UNDRAWN_CP" hidden="1">"c2518"</definedName>
    <definedName name="IQ_UNDRAWN_CREDIT" hidden="1">"c3032"</definedName>
    <definedName name="IQ_UNDRAWN_RC" hidden="1">"c2517"</definedName>
    <definedName name="IQ_UNDRAWN_TL" hidden="1">"c2519"</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IT" hidden="1">"c1327"</definedName>
    <definedName name="IQ_UNEARN_REV_CURRENT_UTI" hidden="1">"c1328"</definedName>
    <definedName name="IQ_UNEARN_REV_LT" hidden="1">"c1329"</definedName>
    <definedName name="IQ_UNLEVERED_FCF" hidden="1">"c1908"</definedName>
    <definedName name="IQ_UNPAID_CLAIMS" hidden="1">"c1330"</definedName>
    <definedName name="IQ_UNREALIZED_GAIN" hidden="1">"c1619"</definedName>
    <definedName name="IQ_UNSECURED_DEBT" hidden="1">"c2548"</definedName>
    <definedName name="IQ_UNSECURED_DEBT_PCT" hidden="1">"c2549"</definedName>
    <definedName name="IQ_UNUSUAL_EXP" hidden="1">"c1456"</definedName>
    <definedName name="IQ_US_GAAP" hidden="1">"c1331"</definedName>
    <definedName name="IQ_US_GAAP_BASIC_EPS_EXCL" hidden="1">"c2984"</definedName>
    <definedName name="IQ_US_GAAP_BASIC_EPS_INCL" hidden="1">"c2982"</definedName>
    <definedName name="IQ_US_GAAP_BASIC_WEIGHT" hidden="1">"c2980"</definedName>
    <definedName name="IQ_US_GAAP_CA_ADJ" hidden="1">"c2925"</definedName>
    <definedName name="IQ_US_GAAP_CASH_FINAN" hidden="1">"c2945"</definedName>
    <definedName name="IQ_US_GAAP_CASH_FINAN_ADJ" hidden="1">"c2941"</definedName>
    <definedName name="IQ_US_GAAP_CASH_INVEST" hidden="1">"c2944"</definedName>
    <definedName name="IQ_US_GAAP_CASH_INVEST_ADJ" hidden="1">"c2940"</definedName>
    <definedName name="IQ_US_GAAP_CASH_OPER" hidden="1">"c2943"</definedName>
    <definedName name="IQ_US_GAAP_CASH_OPER_ADJ" hidden="1">"c2939"</definedName>
    <definedName name="IQ_US_GAAP_CL_ADJ" hidden="1">"c2927"</definedName>
    <definedName name="IQ_US_GAAP_DILUT_EPS_EXCL" hidden="1">"c2985"</definedName>
    <definedName name="IQ_US_GAAP_DILUT_EPS_INCL" hidden="1">"c2983"</definedName>
    <definedName name="IQ_US_GAAP_DILUT_NI" hidden="1">"c2979"</definedName>
    <definedName name="IQ_US_GAAP_DILUT_WEIGHT" hidden="1">"c2981"</definedName>
    <definedName name="IQ_US_GAAP_DO_ADJ" hidden="1">"c2959"</definedName>
    <definedName name="IQ_US_GAAP_EXTRA_ACC_ITEMS_ADJ" hidden="1">"c2958"</definedName>
    <definedName name="IQ_US_GAAP_INC_TAX_ADJ" hidden="1">"c2961"</definedName>
    <definedName name="IQ_US_GAAP_INTEREST_EXP_ADJ" hidden="1">"c2957"</definedName>
    <definedName name="IQ_US_GAAP_LIAB_LT_ADJ" hidden="1">"c2928"</definedName>
    <definedName name="IQ_US_GAAP_LIAB_TOTAL_LIAB" hidden="1">"c2933"</definedName>
    <definedName name="IQ_US_GAAP_MINORITY_INTEREST_IS_ADJ" hidden="1">"c2960"</definedName>
    <definedName name="IQ_US_GAAP_NCA_ADJ" hidden="1">"c2926"</definedName>
    <definedName name="IQ_US_GAAP_NET_CHANGE" hidden="1">"c2946"</definedName>
    <definedName name="IQ_US_GAAP_NET_CHANGE_ADJ" hidden="1">"c2942"</definedName>
    <definedName name="IQ_US_GAAP_NI" hidden="1">"c2976"</definedName>
    <definedName name="IQ_US_GAAP_NI_ADJ" hidden="1">"c2963"</definedName>
    <definedName name="IQ_US_GAAP_NI_AVAIL_INCL" hidden="1">"c2978"</definedName>
    <definedName name="IQ_US_GAAP_OTHER_ADJ_ADJ" hidden="1">"c2962"</definedName>
    <definedName name="IQ_US_GAAP_OTHER_NON_OPER_ADJ" hidden="1">"c2955"</definedName>
    <definedName name="IQ_US_GAAP_OTHER_OPER_ADJ" hidden="1">"c2954"</definedName>
    <definedName name="IQ_US_GAAP_RD_ADJ" hidden="1">"c2953"</definedName>
    <definedName name="IQ_US_GAAP_SGA_ADJ" hidden="1">"c2952"</definedName>
    <definedName name="IQ_US_GAAP_TOTAL_ASSETS" hidden="1">"c2931"</definedName>
    <definedName name="IQ_US_GAAP_TOTAL_EQUITY" hidden="1">"c2934"</definedName>
    <definedName name="IQ_US_GAAP_TOTAL_EQUITY_ADJ" hidden="1">"c2929"</definedName>
    <definedName name="IQ_US_GAAP_TOTAL_REV_ADJ" hidden="1">"c2950"</definedName>
    <definedName name="IQ_US_GAAP_TOTAL_UNUSUAL_ADJ" hidden="1">"c2956"</definedName>
    <definedName name="IQ_UTIL_PPE_NET" hidden="1">"c1620"</definedName>
    <definedName name="IQ_UTIL_REV" hidden="1">"c2091"</definedName>
    <definedName name="IQ_UV_PENSION_LIAB" hidden="1">"c1332"</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UME" hidden="1">"c1333"</definedName>
    <definedName name="IQ_WARRANTS_BEG_OS" hidden="1">"c2698"</definedName>
    <definedName name="IQ_WARRANTS_CANCELLED" hidden="1">"c2701"</definedName>
    <definedName name="IQ_WARRANTS_END_OS" hidden="1">"c2702"</definedName>
    <definedName name="IQ_WARRANTS_EXERCISED" hidden="1">"c2700"</definedName>
    <definedName name="IQ_WARRANTS_ISSUED" hidden="1">"c2699"</definedName>
    <definedName name="IQ_WARRANTS_STRIKE_PRICE_ISSUED" hidden="1">"c2704"</definedName>
    <definedName name="IQ_WARRANTS_STRIKE_PRICE_OS" hidden="1">"c2703"</definedName>
    <definedName name="IQ_WEIGHTED_AVG_PRICE" hidden="1">"c1334"</definedName>
    <definedName name="IQ_WIP_INV" hidden="1">"c1335"</definedName>
    <definedName name="IQ_WORKMEN_WRITTEN" hidden="1">"c1336"</definedName>
    <definedName name="IQ_XDIV_DATE" hidden="1">"c2203"</definedName>
    <definedName name="IQ_YEARHIGH" hidden="1">"c1337"</definedName>
    <definedName name="IQ_YEARHIGH_DATE" hidden="1">"c2250"</definedName>
    <definedName name="IQ_YEARLOW" hidden="1">"c1338"</definedName>
    <definedName name="IQ_YEARLOW_DATE" hidden="1">"c2251"</definedName>
    <definedName name="IQ_YTD" hidden="1">3000</definedName>
    <definedName name="IQ_YTW" hidden="1">"c2163"</definedName>
    <definedName name="IQ_YTW_DATE" hidden="1">"c2164"</definedName>
    <definedName name="IQ_YTW_DATE_TYPE" hidden="1">"c2165"</definedName>
    <definedName name="IQ_Z_SCORE" hidden="1">"c1339"</definedName>
    <definedName name="Issuance_Timing">INPUT!$618:$618</definedName>
    <definedName name="JapanLifeSales">INPUT!$B$436:$HE$436</definedName>
    <definedName name="KeepVersions" localSheetId="9">IndexInformation!$B$8</definedName>
    <definedName name="Label">INPUT!$B$4:$B$788</definedName>
    <definedName name="LanguageCode">IndexInformation!$B$38</definedName>
    <definedName name="LastCell" localSheetId="2">ImportantDisclosures!$A$22</definedName>
    <definedName name="Life_OpExpenses">INPUT!$118:$118</definedName>
    <definedName name="LifeIns_Expenses">INPUT!$120:$120</definedName>
    <definedName name="LifeIns_fees">INPUT!$108:$108</definedName>
    <definedName name="LifeIns_NII">INPUT!$110:$110</definedName>
    <definedName name="LifePlanner_ATEarns">INPUT!$842:$842</definedName>
    <definedName name="Linking_Range_10">'FORECAST-CORE'!$A$3:$FS$61</definedName>
    <definedName name="Linking_Range_11">'FORECAST-CORE'!$A$65:$FS$107</definedName>
    <definedName name="Linking_Range_20">SOTP!$A$2:$E$20</definedName>
    <definedName name="Linking_Range_6">'FORECAST-CORE'!$A$3:$FS$51</definedName>
    <definedName name="Linking_Range_7">'FORECAST-CORE'!$A$65:$FS$71</definedName>
    <definedName name="Linking_Range_8">'FORECAST-CORE'!$A$3:$FS$58</definedName>
    <definedName name="Linking_Range_9">'FORECAST-CORE'!$A$65:$FS$104</definedName>
    <definedName name="LTD_to_Cap_ex115">INPUT!$B$703:$HE$703</definedName>
    <definedName name="LTD_to_Cap_incl115">INPUT!$B$719:$HE$719</definedName>
    <definedName name="LTD_to_Eq_ex115">INPUT!$704:$704</definedName>
    <definedName name="LTD_to_LTCap_ex115">INPUT!$B$702:$HE$702</definedName>
    <definedName name="LTD_to_LTCap_incl115">INPUT!$B$718:$HE$718</definedName>
    <definedName name="LTDebt">INPUT!$B$666:$HE$666</definedName>
    <definedName name="MacroVersion" localSheetId="9">IndexInformation!$B$1</definedName>
    <definedName name="Margin_Intl">INPUT!$779:$779</definedName>
    <definedName name="ModelPrice" localSheetId="2">ImportantDisclosures!$A$14</definedName>
    <definedName name="Multiplier" localSheetId="9">IndexInformation!$B$35</definedName>
    <definedName name="Net_EPS">INPUT!$B$642:$HE$642</definedName>
    <definedName name="Net_Revenues">INPUT!$859:$859</definedName>
    <definedName name="NetEarns">INPUT!$B$582:$HB$582</definedName>
    <definedName name="NextYearEPS" localSheetId="9">IndexInformation!$B$13</definedName>
    <definedName name="NextYearTotalRevenue" localSheetId="9">IndexInformation!$B$12</definedName>
    <definedName name="NextYearTotalRevenueActual" localSheetId="9">IndexInformation!$B$33</definedName>
    <definedName name="NII_Retirement">INPUT!$189:$189</definedName>
    <definedName name="ObjectType">IndexInformation!$B$37</definedName>
    <definedName name="Op_EPS">INPUT!$640:$640</definedName>
    <definedName name="Op_EPSInclRestruct">INPUT!$640:$640</definedName>
    <definedName name="Op_ROA">INPUT!$694:$694</definedName>
    <definedName name="Op_ROE">INPUT!$690:$690</definedName>
    <definedName name="OpEarns_AT">INPUT!$B$546:$HE$546</definedName>
    <definedName name="OpEarns_ForConsensus">INPUT!$567:$567</definedName>
    <definedName name="OpEarns_PT">INPUT!$536:$536</definedName>
    <definedName name="Operating_Profit">INPUT!$539:$539</definedName>
    <definedName name="OpExp_Annuity">INPUT!$B$83:$HE$83</definedName>
    <definedName name="OpExp_AssetManagement">INPUT!$309:$309</definedName>
    <definedName name="OpExp_Retirement">INPUT!$203:$203</definedName>
    <definedName name="OpExpense_LifePlanner">INPUT!$376:$376</definedName>
    <definedName name="OpExpenses_Gibraltar">INPUT!$414:$414</definedName>
    <definedName name="PANA" localSheetId="10">ModPubIndex!$A$11</definedName>
    <definedName name="PathName" localSheetId="9">IndexInformation!$B$25</definedName>
    <definedName name="PctContrib_Annuity">INPUT!$B$590:$HE$590</definedName>
    <definedName name="PctContrib_C_O">INPUT!$B$605:$HE$605</definedName>
    <definedName name="PctContrib_Group">INPUT!$B$595:$HE$595</definedName>
    <definedName name="PctContrib_Intl">INPUT!$B$603:$HE$603</definedName>
    <definedName name="PctContrib_InvMgmt">INPUT!$B$597:$HE$597</definedName>
    <definedName name="PctContrib_LifeIns">INPUT!$B$591:$HE$591</definedName>
    <definedName name="PctContrib_Pension">INPUT!$B$594:$HE$594</definedName>
    <definedName name="PctGainLoss">INPUT!$586:$586</definedName>
    <definedName name="Pension_Expenses">INPUT!$205:$205</definedName>
    <definedName name="Pension_FeeIncome">INPUT!$188:$188</definedName>
    <definedName name="Pension_Fees">INPUT!$187:$187</definedName>
    <definedName name="Period">INPUT!$B$6:$HE$6</definedName>
    <definedName name="PfdStk">INPUT!$B$668:$HE$668</definedName>
    <definedName name="POJLifeSales">INPUT!$B$393:$HE$393</definedName>
    <definedName name="PolicyLiabilities">INPUT!$670:$670</definedName>
    <definedName name="Premiums_Gibraltar">INPUT!$402:$402</definedName>
    <definedName name="Premiums_Group">INPUT!$227:$227</definedName>
    <definedName name="Premiums_IntLife">INPUT!$364:$364</definedName>
    <definedName name="Premiums_Life">INPUT!$107:$107</definedName>
    <definedName name="Premiums_Total">INPUT!$852:$852</definedName>
    <definedName name="_xlnm.Print_Area" localSheetId="4">'FORECAST-CORE'!$A$1:$FS$570</definedName>
    <definedName name="_xlnm.Print_Area" localSheetId="5">'FORECAST-REPORTED'!$A$1:$EM$563</definedName>
    <definedName name="_xlnm.Print_Area" localSheetId="3">INPUT!$B$4:$FO$23</definedName>
    <definedName name="_xlnm.Print_Area">[1]CENMODEL!#REF!</definedName>
    <definedName name="_xlnm.Print_Titles" localSheetId="4">'FORECAST-CORE'!$A:$A</definedName>
    <definedName name="_xlnm.Print_Titles" localSheetId="5">'FORECAST-REPORTED'!$A:$A</definedName>
    <definedName name="_xlnm.Print_Titles" localSheetId="3">INPUT!$B:$B,INPUT!$4:$924</definedName>
    <definedName name="PRODUCT" localSheetId="10">ModPubIndex!$A$6</definedName>
    <definedName name="Prudential_Financial__Inc.">INPUT!$B$4:$B$784</definedName>
    <definedName name="PSYM" localSheetId="10">ModPubIndex!$A$4</definedName>
    <definedName name="PTEarns_Annuity">INPUT!$93:$93</definedName>
    <definedName name="PTEarns_Brokerage">INPUT!$B$346:$HE$346</definedName>
    <definedName name="PTEarns_C_O">INPUT!$B$531:$HE$531</definedName>
    <definedName name="PTEarns_CO">INPUT!$486:$486</definedName>
    <definedName name="PTEarns_Group">INPUT!$248:$248</definedName>
    <definedName name="PTEarns_Intl">INPUT!$426:$426</definedName>
    <definedName name="PTEarns_Intl_exROCK">INPUT!$383:$383</definedName>
    <definedName name="PTEarns_Intl_ROCK">INPUT!$B$422:$HE$422</definedName>
    <definedName name="PTEarns_InvMgmt">INPUT!$316:$316</definedName>
    <definedName name="PTEarns_LifeIns">INPUT!$128:$128</definedName>
    <definedName name="PTEarns_OtherIntl">INPUT!$B$453:$HE$453</definedName>
    <definedName name="PTEarns_PC_InvInc">INPUT!$B$463:$HE$463</definedName>
    <definedName name="PTEarns_Pension">INPUT!$213:$213</definedName>
    <definedName name="PublishDate" localSheetId="9">IndexInformation!$B$2</definedName>
    <definedName name="Rating" localSheetId="9">IndexInformation!$B$9</definedName>
    <definedName name="RatingsDefined" localSheetId="2">ImportantDisclosures!$A$21</definedName>
    <definedName name="RatingsDefs" localSheetId="2">ImportantDisclosures!#REF!</definedName>
    <definedName name="RealGainLoss">INPUT!$B$570:$HE$570</definedName>
    <definedName name="RegACDisclosure" localSheetId="2">ImportantDisclosures!#REF!</definedName>
    <definedName name="Rep_ROE_ex115">INPUT!$B$692:$HE$692</definedName>
    <definedName name="Rep_ROE_incl115">INPUT!$B$693:$HE$693</definedName>
    <definedName name="Rep_Timing">INPUT!$623:$623</definedName>
    <definedName name="reported_pretax_earnings">INPUT!$549:$549</definedName>
    <definedName name="ResearchTopic" localSheetId="9">IndexInformation!$B$4</definedName>
    <definedName name="Restructuring_NonOp">INPUT!$580:$580</definedName>
    <definedName name="RestructuringCosts_PT">INPUT!$425:$425</definedName>
    <definedName name="Ret_Spreads">INPUT!$197:$197</definedName>
    <definedName name="Retail_MktImpact">INPUT!$284:$284</definedName>
    <definedName name="Retirement_ATEarns">INPUT!$831:$831</definedName>
    <definedName name="Retirement_Avg_Bal">INPUT!$182:$182</definedName>
    <definedName name="Retirement_Netflows">INPUT!$184:$184</definedName>
    <definedName name="Retirement_SpreadAuM">INPUT!$179:$179</definedName>
    <definedName name="RetirementInst_MktValue">INPUT!$167:$167</definedName>
    <definedName name="Rev">INPUT!$502:$502</definedName>
    <definedName name="Rev_CO">INPUT!$480:$480</definedName>
    <definedName name="Rev_Group">INPUT!$232:$232</definedName>
    <definedName name="Rev_Intl_exRock">INPUT!$370:$370</definedName>
    <definedName name="Rev_Intl_Rock">INPUT!$408:$408</definedName>
    <definedName name="Rev_InvMgmt">INPUT!$303:$303</definedName>
    <definedName name="Rev_LifeIns">INPUT!$112:$112</definedName>
    <definedName name="Rev_OtherIntl">INPUT!$B$443:$HE$443</definedName>
    <definedName name="Rev_Pension">INPUT!$191:$191</definedName>
    <definedName name="Revenue_Annuity">INPUT!$72:$72</definedName>
    <definedName name="RIC" localSheetId="9">IndexInformation!$B$21</definedName>
    <definedName name="Sales_Banks">INPUT!$435:$435</definedName>
    <definedName name="Sales_COLI">INPUT!$B$141:$HE$141</definedName>
    <definedName name="Sales_FixLife">INPUT!$B$144:$HE$144</definedName>
    <definedName name="Sales_FullServRetire">INPUT!$150:$150</definedName>
    <definedName name="Sales_GrossFA">INPUT!$B$51:$HE$51</definedName>
    <definedName name="Sales_GrossVA">INPUT!$B$30:$HE$30</definedName>
    <definedName name="Sales_GroupDis">INPUT!$B$259:$HE$259</definedName>
    <definedName name="Sales_GroupLife">INPUT!$B$258:$HE$258</definedName>
    <definedName name="Sales_indivLife">INPUT!$143:$143</definedName>
    <definedName name="sales_institutional">INPUT!$165:$165</definedName>
    <definedName name="Sales_LifePlanner">INPUT!$393:$393</definedName>
    <definedName name="Sales_Term">INPUT!$B$142:$HE$142</definedName>
    <definedName name="Sales_UL">INPUT!$B$140:$HE$140</definedName>
    <definedName name="Sales_VL">INPUT!$B$139:$HE$139</definedName>
    <definedName name="Sales_VL_UL">INPUT!$B$139:$HI$139</definedName>
    <definedName name="SECSettlement" localSheetId="2">ImportantDisclosures!#REF!</definedName>
    <definedName name="SEDOL" localSheetId="9">IndexInformation!$B$22</definedName>
    <definedName name="SeptAcct">INPUT!$653:$653</definedName>
    <definedName name="ShareBuyback">INPUT!$624:$624</definedName>
    <definedName name="Shrsissued">INPUT!$B$616:$HE$616</definedName>
    <definedName name="ShrsRepurch">INPUT!$B$621:$HE$621</definedName>
    <definedName name="SOI_FAFlows">INPUT!$785:$785</definedName>
    <definedName name="SOI_Life_Sales">INPUT!$B$784:$HE$784</definedName>
    <definedName name="SOI_VAFlows">INPUT!$786:$786</definedName>
    <definedName name="SourceDefined" localSheetId="2">ImportantDisclosures!$A$19</definedName>
    <definedName name="STDebt">INPUT!$B$665:$HE$665</definedName>
    <definedName name="Stk_Opt">INPUT!$635:$635</definedName>
    <definedName name="StockRating" localSheetId="2">ImportantDisclosures!$A$11</definedName>
    <definedName name="SubjectCode" localSheetId="9">IndexInformation!$B$6</definedName>
    <definedName name="SubmitterUserId">IndexInformation!$B$39</definedName>
    <definedName name="SUPPRESSED" localSheetId="10">ModPubIndex!$A$13</definedName>
    <definedName name="TargetPrice" localSheetId="2">ImportantDisclosures!$A$15</definedName>
    <definedName name="Taxes">INPUT!$537:$537</definedName>
    <definedName name="TaxRate">INPUT!$538:$538</definedName>
    <definedName name="TBVPS_exAOCI">INPUT!$711:$711</definedName>
    <definedName name="TemplateRegion">IndexInformation!$B$36</definedName>
    <definedName name="Ticker" localSheetId="2">ImportantDisclosures!$A$10</definedName>
    <definedName name="TickerRegion">IndexInformation!$B$41</definedName>
    <definedName name="Tickers" localSheetId="9">IndexInformation!$B$19</definedName>
    <definedName name="Tot_Debt">INPUT!$667:$667</definedName>
    <definedName name="Total_Cap_ex115">INPUT!$B$701:$HE$701</definedName>
    <definedName name="Total_Cap_incl115">INPUT!$B$717:$HE$717</definedName>
    <definedName name="Total_Expenses">INPUT!$511:$511</definedName>
    <definedName name="TotalAssets">INPUT!$656:$656</definedName>
    <definedName name="TotalAssets_ExclAOCI">INPUT!$658:$658</definedName>
    <definedName name="TotalNonOpItems">INPUT!$577:$577</definedName>
    <definedName name="UpdateReason" localSheetId="9">IndexInformation!$B$17</definedName>
    <definedName name="USRegDisclosures" localSheetId="2">ImportantDisclosures!#REF!</definedName>
    <definedName name="VA_AvgAUM">INPUT!$39:$39</definedName>
    <definedName name="VA_Bal_EOP">INPUT!$38:$38</definedName>
    <definedName name="VA_BOP_AUM">INPUT!$29:$29</definedName>
    <definedName name="VA_Earns">INPUT!$794:$794</definedName>
    <definedName name="VA_Expenses">INPUT!$85:$85</definedName>
    <definedName name="VA_Fees">INPUT!$67:$67</definedName>
    <definedName name="VA_Lapses">INPUT!$43:$43</definedName>
    <definedName name="VA_MktImpact">INPUT!$35:$35</definedName>
    <definedName name="VA_NetFlows">INPUT!$41:$41</definedName>
    <definedName name="VA_NII">INPUT!$68:$68</definedName>
    <definedName name="VA_Redemptions">INPUT!$33:$33</definedName>
    <definedName name="VA_Sales">INPUT!$B$30:$GI$30</definedName>
    <definedName name="VARetire_Earns">INPUT!$798:$798</definedName>
    <definedName name="YenHedge">INPUT!$358:$358</definedName>
  </definedNames>
  <calcPr calcId="145621"/>
</workbook>
</file>

<file path=xl/calcChain.xml><?xml version="1.0" encoding="utf-8"?>
<calcChain xmlns="http://schemas.openxmlformats.org/spreadsheetml/2006/main">
  <c r="C62" i="228" l="1"/>
  <c r="C63" i="228" s="1"/>
  <c r="C64" i="228" s="1"/>
  <c r="C61" i="228"/>
  <c r="C60" i="228"/>
  <c r="E53" i="228" l="1"/>
  <c r="E54" i="228"/>
  <c r="E55" i="228"/>
  <c r="E56" i="228"/>
  <c r="E57" i="228" l="1"/>
  <c r="E49" i="228"/>
  <c r="E50" i="228" s="1"/>
  <c r="E44" i="228" l="1"/>
  <c r="E45" i="228"/>
  <c r="E46" i="228" l="1"/>
  <c r="E35" i="228"/>
  <c r="E36" i="228"/>
  <c r="E37" i="228"/>
  <c r="E38" i="228"/>
  <c r="E39" i="228"/>
  <c r="E40" i="228"/>
  <c r="E41" i="228" l="1"/>
  <c r="E29" i="228"/>
  <c r="E30" i="228"/>
  <c r="E31" i="228" l="1"/>
  <c r="D4" i="228" s="1"/>
  <c r="E25" i="228"/>
  <c r="E26" i="228" s="1"/>
  <c r="D3" i="228" s="1"/>
  <c r="E15" i="228"/>
  <c r="E11" i="228"/>
  <c r="B13" i="228"/>
  <c r="B10" i="228"/>
  <c r="A10" i="228"/>
  <c r="B9" i="228"/>
  <c r="A9" i="228"/>
  <c r="H3" i="228"/>
  <c r="D8" i="228"/>
  <c r="B8" i="228"/>
  <c r="A8" i="228"/>
  <c r="D7" i="228"/>
  <c r="B7" i="228"/>
  <c r="A7" i="228"/>
  <c r="A6" i="228"/>
  <c r="D5" i="228"/>
  <c r="B5" i="228"/>
  <c r="C5" i="228" s="1"/>
  <c r="A5" i="228"/>
  <c r="B4" i="228"/>
  <c r="A4" i="228"/>
  <c r="B3" i="228"/>
  <c r="C3" i="228" s="1"/>
  <c r="A3" i="228"/>
  <c r="C7" i="228" l="1"/>
  <c r="C13" i="228"/>
  <c r="C4" i="228"/>
  <c r="E4" i="228" s="1"/>
  <c r="C8" i="228"/>
  <c r="E8" i="228" s="1"/>
  <c r="C9" i="228"/>
  <c r="E9" i="228" s="1"/>
  <c r="E7" i="228"/>
  <c r="E5" i="228"/>
  <c r="B11" i="228"/>
  <c r="E3" i="228"/>
  <c r="C10" i="228"/>
  <c r="B6" i="228"/>
  <c r="ES480" i="1"/>
  <c r="EW418" i="1"/>
  <c r="ES418" i="1"/>
  <c r="EU418" i="1"/>
  <c r="EQ418" i="1"/>
  <c r="C6" i="228" l="1"/>
  <c r="B12" i="228"/>
  <c r="E6" i="228"/>
  <c r="E12" i="228" s="1"/>
  <c r="C11" i="228"/>
  <c r="D11" i="228" s="1"/>
  <c r="E10" i="228"/>
  <c r="EU381" i="1"/>
  <c r="EW381" i="1" s="1"/>
  <c r="GR358" i="1"/>
  <c r="D6" i="228" l="1"/>
  <c r="C12" i="228"/>
  <c r="D12" i="228" s="1"/>
  <c r="D13" i="228" s="1"/>
  <c r="E13" i="228" s="1"/>
  <c r="E14" i="228" s="1"/>
  <c r="E16" i="228" s="1"/>
  <c r="E18" i="228" s="1"/>
  <c r="E20" i="228" s="1"/>
  <c r="O27" i="225" l="1"/>
  <c r="E27" i="225"/>
  <c r="D27" i="225"/>
  <c r="C27" i="225"/>
  <c r="B27" i="225"/>
  <c r="T27" i="225"/>
  <c r="S27" i="225"/>
  <c r="R27" i="225"/>
  <c r="Q27" i="225"/>
  <c r="P27" i="225"/>
  <c r="T25" i="225"/>
  <c r="S25" i="225"/>
  <c r="R25" i="225"/>
  <c r="Q25" i="225"/>
  <c r="P25" i="225"/>
  <c r="O25" i="225"/>
  <c r="M27" i="225"/>
  <c r="L27" i="225"/>
  <c r="K27" i="225"/>
  <c r="J27" i="225"/>
  <c r="I27" i="225"/>
  <c r="H27" i="225"/>
  <c r="G27" i="225"/>
  <c r="F27" i="225"/>
  <c r="M25" i="225"/>
  <c r="L25" i="225"/>
  <c r="K25" i="225"/>
  <c r="J25" i="225"/>
  <c r="I25" i="225"/>
  <c r="H25" i="225"/>
  <c r="G25" i="225"/>
  <c r="F25" i="225"/>
  <c r="E25" i="225"/>
  <c r="D25" i="225"/>
  <c r="C25" i="225"/>
  <c r="B25" i="225"/>
  <c r="O22" i="225"/>
  <c r="E22" i="225"/>
  <c r="D22" i="225"/>
  <c r="C22" i="225"/>
  <c r="B22" i="225"/>
  <c r="O20" i="225"/>
  <c r="E20" i="225"/>
  <c r="D20" i="225"/>
  <c r="C20" i="225"/>
  <c r="B20" i="225"/>
  <c r="T22" i="225"/>
  <c r="S22" i="225"/>
  <c r="R22" i="225"/>
  <c r="Q22" i="225"/>
  <c r="P22" i="225"/>
  <c r="T20" i="225"/>
  <c r="S20" i="225"/>
  <c r="R20" i="225"/>
  <c r="Q20" i="225"/>
  <c r="P20" i="225"/>
  <c r="T18" i="225"/>
  <c r="S18" i="225"/>
  <c r="R18" i="225"/>
  <c r="Q18" i="225"/>
  <c r="P18" i="225"/>
  <c r="O18" i="225"/>
  <c r="M22" i="225"/>
  <c r="L22" i="225"/>
  <c r="K22" i="225"/>
  <c r="J22" i="225"/>
  <c r="I22" i="225"/>
  <c r="H22" i="225"/>
  <c r="G22" i="225"/>
  <c r="F22" i="225"/>
  <c r="M20" i="225"/>
  <c r="L20" i="225"/>
  <c r="K20" i="225"/>
  <c r="J20" i="225"/>
  <c r="I20" i="225"/>
  <c r="H20" i="225"/>
  <c r="G20" i="225"/>
  <c r="F20" i="225"/>
  <c r="M18" i="225"/>
  <c r="L18" i="225"/>
  <c r="K18" i="225"/>
  <c r="J18" i="225"/>
  <c r="I18" i="225"/>
  <c r="H18" i="225"/>
  <c r="G18" i="225"/>
  <c r="F18" i="225"/>
  <c r="E18" i="225"/>
  <c r="D18" i="225"/>
  <c r="C18" i="225"/>
  <c r="B18" i="225"/>
  <c r="O15" i="225"/>
  <c r="E15" i="225"/>
  <c r="D15" i="225"/>
  <c r="C15" i="225"/>
  <c r="B15" i="225"/>
  <c r="U15" i="225"/>
  <c r="T15" i="225"/>
  <c r="S15" i="225"/>
  <c r="R15" i="225"/>
  <c r="Q15" i="225"/>
  <c r="P15" i="225"/>
  <c r="U13" i="225"/>
  <c r="T13" i="225"/>
  <c r="S13" i="225"/>
  <c r="R13" i="225"/>
  <c r="Q13" i="225"/>
  <c r="P13" i="225"/>
  <c r="O13" i="225"/>
  <c r="M15" i="225"/>
  <c r="L15" i="225"/>
  <c r="K15" i="225"/>
  <c r="J15" i="225"/>
  <c r="I15" i="225"/>
  <c r="H15" i="225"/>
  <c r="G15" i="225"/>
  <c r="F15" i="225"/>
  <c r="M13" i="225"/>
  <c r="L13" i="225"/>
  <c r="K13" i="225"/>
  <c r="J13" i="225"/>
  <c r="I13" i="225"/>
  <c r="H13" i="225"/>
  <c r="G13" i="225"/>
  <c r="F13" i="225"/>
  <c r="E13" i="225"/>
  <c r="D13" i="225"/>
  <c r="C13" i="225"/>
  <c r="B13" i="225"/>
  <c r="AE12" i="225"/>
  <c r="AE10" i="225"/>
  <c r="O10" i="225"/>
  <c r="E10" i="225"/>
  <c r="D10" i="225"/>
  <c r="C10" i="225"/>
  <c r="B10" i="225"/>
  <c r="O8" i="225"/>
  <c r="E8" i="225"/>
  <c r="D8" i="225"/>
  <c r="C8" i="225"/>
  <c r="B8" i="225"/>
  <c r="AE7" i="225"/>
  <c r="T10" i="225"/>
  <c r="S10" i="225"/>
  <c r="R10" i="225"/>
  <c r="Q10" i="225"/>
  <c r="P10" i="225"/>
  <c r="T8" i="225"/>
  <c r="S8" i="225"/>
  <c r="R8" i="225"/>
  <c r="Q8" i="225"/>
  <c r="P8" i="225"/>
  <c r="T6" i="225"/>
  <c r="S6" i="225"/>
  <c r="R6" i="225"/>
  <c r="Q6" i="225"/>
  <c r="P6" i="225"/>
  <c r="O6" i="225"/>
  <c r="M10" i="225"/>
  <c r="L10" i="225"/>
  <c r="K10" i="225"/>
  <c r="J10" i="225"/>
  <c r="I10" i="225"/>
  <c r="H10" i="225"/>
  <c r="G10" i="225"/>
  <c r="F10" i="225"/>
  <c r="M8" i="225"/>
  <c r="L8" i="225"/>
  <c r="K8" i="225"/>
  <c r="J8" i="225"/>
  <c r="I8" i="225"/>
  <c r="H8" i="225"/>
  <c r="G8" i="225"/>
  <c r="F8" i="225"/>
  <c r="M6" i="225"/>
  <c r="L6" i="225"/>
  <c r="K6" i="225"/>
  <c r="J6" i="225"/>
  <c r="I6" i="225"/>
  <c r="H6" i="225"/>
  <c r="G6" i="225"/>
  <c r="F6" i="225"/>
  <c r="E6" i="225"/>
  <c r="D6" i="225"/>
  <c r="C6" i="225"/>
  <c r="B6" i="225"/>
  <c r="G9" i="225" l="1"/>
  <c r="G11" i="225"/>
  <c r="H9" i="225"/>
  <c r="G16" i="225"/>
  <c r="I23" i="225"/>
  <c r="P21" i="225"/>
  <c r="F9" i="225"/>
  <c r="P23" i="225"/>
  <c r="P11" i="225"/>
  <c r="G28" i="225"/>
  <c r="F21" i="225"/>
  <c r="G21" i="225"/>
  <c r="S23" i="225"/>
  <c r="I11" i="225"/>
  <c r="P9" i="225"/>
  <c r="I16" i="225"/>
  <c r="Q16" i="225"/>
  <c r="S21" i="225"/>
  <c r="I28" i="225"/>
  <c r="T9" i="225"/>
  <c r="S11" i="225"/>
  <c r="R14" i="225"/>
  <c r="P19" i="225"/>
  <c r="F11" i="225"/>
  <c r="Q23" i="225"/>
  <c r="Q28" i="225"/>
  <c r="Q7" i="225"/>
  <c r="S16" i="225"/>
  <c r="F23" i="225"/>
  <c r="Q21" i="225"/>
  <c r="T23" i="225"/>
  <c r="H28" i="225"/>
  <c r="H11" i="225"/>
  <c r="H16" i="225"/>
  <c r="T19" i="225"/>
  <c r="F28" i="225"/>
  <c r="P26" i="225"/>
  <c r="T26" i="225"/>
  <c r="S7" i="225"/>
  <c r="H23" i="225"/>
  <c r="Q19" i="225"/>
  <c r="Q26" i="225"/>
  <c r="M14" i="225"/>
  <c r="P7" i="225"/>
  <c r="T7" i="225"/>
  <c r="S9" i="225"/>
  <c r="T11" i="225"/>
  <c r="R16" i="225"/>
  <c r="I21" i="225"/>
  <c r="S19" i="225"/>
  <c r="T21" i="225"/>
  <c r="P28" i="225"/>
  <c r="G7" i="225"/>
  <c r="K7" i="225"/>
  <c r="K9" i="225"/>
  <c r="K11" i="225"/>
  <c r="H14" i="225"/>
  <c r="L14" i="225"/>
  <c r="L16" i="225"/>
  <c r="H19" i="225"/>
  <c r="L19" i="225"/>
  <c r="H21" i="225"/>
  <c r="L21" i="225"/>
  <c r="L23" i="225"/>
  <c r="I26" i="225"/>
  <c r="M26" i="225"/>
  <c r="M28" i="225"/>
  <c r="R26" i="225"/>
  <c r="T28" i="225"/>
  <c r="H7" i="225"/>
  <c r="I14" i="225"/>
  <c r="M19" i="225"/>
  <c r="M21" i="225"/>
  <c r="M23" i="225"/>
  <c r="F26" i="225"/>
  <c r="I7" i="225"/>
  <c r="M7" i="225"/>
  <c r="I9" i="225"/>
  <c r="M9" i="225"/>
  <c r="M11" i="225"/>
  <c r="R7" i="225"/>
  <c r="Q9" i="225"/>
  <c r="Q11" i="225"/>
  <c r="F14" i="225"/>
  <c r="J14" i="225"/>
  <c r="F16" i="225"/>
  <c r="J16" i="225"/>
  <c r="S14" i="225"/>
  <c r="F19" i="225"/>
  <c r="J19" i="225"/>
  <c r="J21" i="225"/>
  <c r="J23" i="225"/>
  <c r="G26" i="225"/>
  <c r="K26" i="225"/>
  <c r="K28" i="225"/>
  <c r="L7" i="225"/>
  <c r="L9" i="225"/>
  <c r="L11" i="225"/>
  <c r="M16" i="225"/>
  <c r="I19" i="225"/>
  <c r="J26" i="225"/>
  <c r="J28" i="225"/>
  <c r="F7" i="225"/>
  <c r="J7" i="225"/>
  <c r="J9" i="225"/>
  <c r="J11" i="225"/>
  <c r="G14" i="225"/>
  <c r="K14" i="225"/>
  <c r="K16" i="225"/>
  <c r="Q14" i="225"/>
  <c r="U14" i="225"/>
  <c r="G19" i="225"/>
  <c r="K19" i="225"/>
  <c r="K21" i="225"/>
  <c r="G23" i="225"/>
  <c r="K23" i="225"/>
  <c r="H26" i="225"/>
  <c r="L26" i="225"/>
  <c r="L28" i="225"/>
  <c r="R28" i="225"/>
  <c r="U16" i="225"/>
  <c r="R9" i="225"/>
  <c r="R11" i="225"/>
  <c r="P14" i="225"/>
  <c r="T14" i="225"/>
  <c r="P16" i="225"/>
  <c r="T16" i="225"/>
  <c r="R19" i="225"/>
  <c r="R21" i="225"/>
  <c r="R23" i="225"/>
  <c r="S26" i="225"/>
  <c r="S28" i="225"/>
  <c r="DJ559" i="198" l="1"/>
  <c r="DI559" i="198"/>
  <c r="DH559" i="198"/>
  <c r="DG559" i="198"/>
  <c r="DF559" i="198"/>
  <c r="DE559" i="198"/>
  <c r="DD559" i="198"/>
  <c r="DC559" i="198"/>
  <c r="Y559" i="198"/>
  <c r="X559" i="198"/>
  <c r="W559" i="198"/>
  <c r="V559" i="198"/>
  <c r="U559" i="198"/>
  <c r="T559" i="198"/>
  <c r="S559" i="198"/>
  <c r="R559" i="198"/>
  <c r="Q559" i="198"/>
  <c r="P559" i="198"/>
  <c r="O559" i="198"/>
  <c r="N559" i="198"/>
  <c r="M559" i="198"/>
  <c r="L559" i="198"/>
  <c r="K559" i="198"/>
  <c r="J559" i="198"/>
  <c r="I559" i="198"/>
  <c r="H559" i="198"/>
  <c r="G559" i="198"/>
  <c r="F559" i="198"/>
  <c r="E559" i="198"/>
  <c r="D559" i="198"/>
  <c r="C559" i="198"/>
  <c r="B559" i="198"/>
  <c r="A559" i="198"/>
  <c r="DJ556" i="198"/>
  <c r="DI556" i="198"/>
  <c r="DH556" i="198"/>
  <c r="DG556" i="198"/>
  <c r="DF556" i="198"/>
  <c r="DE556" i="198"/>
  <c r="DD556" i="198"/>
  <c r="DC556" i="198"/>
  <c r="Y556" i="198"/>
  <c r="X556" i="198"/>
  <c r="W556" i="198"/>
  <c r="V556" i="198"/>
  <c r="U556" i="198"/>
  <c r="T556" i="198"/>
  <c r="S556" i="198"/>
  <c r="R556" i="198"/>
  <c r="Q556" i="198"/>
  <c r="P556" i="198"/>
  <c r="O556" i="198"/>
  <c r="N556" i="198"/>
  <c r="M556" i="198"/>
  <c r="L556" i="198"/>
  <c r="K556" i="198"/>
  <c r="J556" i="198"/>
  <c r="I556" i="198"/>
  <c r="H556" i="198"/>
  <c r="G556" i="198"/>
  <c r="F556" i="198"/>
  <c r="E556" i="198"/>
  <c r="D556" i="198"/>
  <c r="C556" i="198"/>
  <c r="B556" i="198"/>
  <c r="DJ553" i="198"/>
  <c r="DI553" i="198"/>
  <c r="DH553" i="198"/>
  <c r="DG553" i="198"/>
  <c r="DF553" i="198"/>
  <c r="DE553" i="198"/>
  <c r="DD553" i="198"/>
  <c r="DC553" i="198"/>
  <c r="Y553" i="198"/>
  <c r="X553" i="198"/>
  <c r="W553" i="198"/>
  <c r="V553" i="198"/>
  <c r="U553" i="198"/>
  <c r="T553" i="198"/>
  <c r="S553" i="198"/>
  <c r="R553" i="198"/>
  <c r="Q553" i="198"/>
  <c r="P553" i="198"/>
  <c r="O553" i="198"/>
  <c r="N553" i="198"/>
  <c r="M553" i="198"/>
  <c r="L553" i="198"/>
  <c r="K553" i="198"/>
  <c r="J553" i="198"/>
  <c r="I553" i="198"/>
  <c r="H553" i="198"/>
  <c r="G553" i="198"/>
  <c r="F553" i="198"/>
  <c r="E553" i="198"/>
  <c r="D553" i="198"/>
  <c r="C553" i="198"/>
  <c r="B553" i="198"/>
  <c r="A553" i="198"/>
  <c r="DJ550" i="198"/>
  <c r="DI550" i="198"/>
  <c r="DH550" i="198"/>
  <c r="DG550" i="198"/>
  <c r="DF550" i="198"/>
  <c r="DE550" i="198"/>
  <c r="DD550" i="198"/>
  <c r="DC550" i="198"/>
  <c r="Y550" i="198"/>
  <c r="X550" i="198"/>
  <c r="W550" i="198"/>
  <c r="V550" i="198"/>
  <c r="U550" i="198"/>
  <c r="T550" i="198"/>
  <c r="S550" i="198"/>
  <c r="R550" i="198"/>
  <c r="Q550" i="198"/>
  <c r="P550" i="198"/>
  <c r="O550" i="198"/>
  <c r="N550" i="198"/>
  <c r="M550" i="198"/>
  <c r="L550" i="198"/>
  <c r="K550" i="198"/>
  <c r="J550" i="198"/>
  <c r="I550" i="198"/>
  <c r="H550" i="198"/>
  <c r="G550" i="198"/>
  <c r="F550" i="198"/>
  <c r="E550" i="198"/>
  <c r="D550" i="198"/>
  <c r="C550" i="198"/>
  <c r="B550" i="198"/>
  <c r="DJ548" i="198"/>
  <c r="DI548" i="198"/>
  <c r="DH548" i="198"/>
  <c r="DG548" i="198"/>
  <c r="DF548" i="198"/>
  <c r="DE548" i="198"/>
  <c r="DD548" i="198"/>
  <c r="DC548" i="198"/>
  <c r="DJ547" i="198"/>
  <c r="DI547" i="198"/>
  <c r="DH547" i="198"/>
  <c r="DG547" i="198"/>
  <c r="DF547" i="198"/>
  <c r="DE547" i="198"/>
  <c r="DD547" i="198"/>
  <c r="DC547" i="198"/>
  <c r="DJ546" i="198"/>
  <c r="DI546" i="198"/>
  <c r="DH546" i="198"/>
  <c r="DG546" i="198"/>
  <c r="DF546" i="198"/>
  <c r="DE546" i="198"/>
  <c r="DD546" i="198"/>
  <c r="DC546" i="198"/>
  <c r="Y548" i="198"/>
  <c r="X548" i="198"/>
  <c r="W548" i="198"/>
  <c r="V548" i="198"/>
  <c r="U548" i="198"/>
  <c r="T548" i="198"/>
  <c r="S548" i="198"/>
  <c r="R548" i="198"/>
  <c r="Q548" i="198"/>
  <c r="P548" i="198"/>
  <c r="O548" i="198"/>
  <c r="N548" i="198"/>
  <c r="M548" i="198"/>
  <c r="L548" i="198"/>
  <c r="K548" i="198"/>
  <c r="J548" i="198"/>
  <c r="I548" i="198"/>
  <c r="H548" i="198"/>
  <c r="G548" i="198"/>
  <c r="F548" i="198"/>
  <c r="E548" i="198"/>
  <c r="D548" i="198"/>
  <c r="C548" i="198"/>
  <c r="B548" i="198"/>
  <c r="A548" i="198"/>
  <c r="Y547" i="198"/>
  <c r="X547" i="198"/>
  <c r="W547" i="198"/>
  <c r="V547" i="198"/>
  <c r="U547" i="198"/>
  <c r="T547" i="198"/>
  <c r="S547" i="198"/>
  <c r="R547" i="198"/>
  <c r="Q547" i="198"/>
  <c r="P547" i="198"/>
  <c r="O547" i="198"/>
  <c r="N547" i="198"/>
  <c r="M547" i="198"/>
  <c r="L547" i="198"/>
  <c r="K547" i="198"/>
  <c r="J547" i="198"/>
  <c r="I547" i="198"/>
  <c r="H547" i="198"/>
  <c r="G547" i="198"/>
  <c r="F547" i="198"/>
  <c r="E547" i="198"/>
  <c r="D547" i="198"/>
  <c r="C547" i="198"/>
  <c r="B547" i="198"/>
  <c r="A547" i="198"/>
  <c r="Y546" i="198"/>
  <c r="X546" i="198"/>
  <c r="W546" i="198"/>
  <c r="V546" i="198"/>
  <c r="U546" i="198"/>
  <c r="T546" i="198"/>
  <c r="S546" i="198"/>
  <c r="R546" i="198"/>
  <c r="Q546" i="198"/>
  <c r="P546" i="198"/>
  <c r="O546" i="198"/>
  <c r="N546" i="198"/>
  <c r="M546" i="198"/>
  <c r="L546" i="198"/>
  <c r="K546" i="198"/>
  <c r="J546" i="198"/>
  <c r="I546" i="198"/>
  <c r="H546" i="198"/>
  <c r="G546" i="198"/>
  <c r="F546" i="198"/>
  <c r="E546" i="198"/>
  <c r="D546" i="198"/>
  <c r="C546" i="198"/>
  <c r="B546" i="198"/>
  <c r="A546" i="198"/>
  <c r="DJ543" i="198"/>
  <c r="DI543" i="198"/>
  <c r="DH543" i="198"/>
  <c r="DG543" i="198"/>
  <c r="DF543" i="198"/>
  <c r="DE543" i="198"/>
  <c r="DD543" i="198"/>
  <c r="DC543" i="198"/>
  <c r="DJ542" i="198"/>
  <c r="DI542" i="198"/>
  <c r="DH542" i="198"/>
  <c r="DG542" i="198"/>
  <c r="DF542" i="198"/>
  <c r="DE542" i="198"/>
  <c r="DD542" i="198"/>
  <c r="DC542" i="198"/>
  <c r="DJ541" i="198"/>
  <c r="DI541" i="198"/>
  <c r="DH541" i="198"/>
  <c r="DG541" i="198"/>
  <c r="DF541" i="198"/>
  <c r="DE541" i="198"/>
  <c r="DD541" i="198"/>
  <c r="DC541" i="198"/>
  <c r="Y543" i="198"/>
  <c r="X543" i="198"/>
  <c r="W543" i="198"/>
  <c r="V543" i="198"/>
  <c r="U543" i="198"/>
  <c r="T543" i="198"/>
  <c r="S543" i="198"/>
  <c r="R543" i="198"/>
  <c r="Q543" i="198"/>
  <c r="P543" i="198"/>
  <c r="O543" i="198"/>
  <c r="N543" i="198"/>
  <c r="M543" i="198"/>
  <c r="L543" i="198"/>
  <c r="K543" i="198"/>
  <c r="J543" i="198"/>
  <c r="I543" i="198"/>
  <c r="H543" i="198"/>
  <c r="G543" i="198"/>
  <c r="F543" i="198"/>
  <c r="E543" i="198"/>
  <c r="D543" i="198"/>
  <c r="C543" i="198"/>
  <c r="B543" i="198"/>
  <c r="A543" i="198"/>
  <c r="Y542" i="198"/>
  <c r="X542" i="198"/>
  <c r="W542" i="198"/>
  <c r="V542" i="198"/>
  <c r="U542" i="198"/>
  <c r="T542" i="198"/>
  <c r="S542" i="198"/>
  <c r="R542" i="198"/>
  <c r="Q542" i="198"/>
  <c r="P542" i="198"/>
  <c r="O542" i="198"/>
  <c r="N542" i="198"/>
  <c r="M542" i="198"/>
  <c r="L542" i="198"/>
  <c r="K542" i="198"/>
  <c r="J542" i="198"/>
  <c r="I542" i="198"/>
  <c r="H542" i="198"/>
  <c r="G542" i="198"/>
  <c r="F542" i="198"/>
  <c r="E542" i="198"/>
  <c r="D542" i="198"/>
  <c r="C542" i="198"/>
  <c r="B542" i="198"/>
  <c r="A542" i="198"/>
  <c r="Y541" i="198"/>
  <c r="X541" i="198"/>
  <c r="W541" i="198"/>
  <c r="V541" i="198"/>
  <c r="U541" i="198"/>
  <c r="T541" i="198"/>
  <c r="S541" i="198"/>
  <c r="R541" i="198"/>
  <c r="Q541" i="198"/>
  <c r="P541" i="198"/>
  <c r="O541" i="198"/>
  <c r="N541" i="198"/>
  <c r="M541" i="198"/>
  <c r="L541" i="198"/>
  <c r="K541" i="198"/>
  <c r="J541" i="198"/>
  <c r="I541" i="198"/>
  <c r="H541" i="198"/>
  <c r="G541" i="198"/>
  <c r="F541" i="198"/>
  <c r="E541" i="198"/>
  <c r="D541" i="198"/>
  <c r="C541" i="198"/>
  <c r="B541" i="198"/>
  <c r="A541" i="198"/>
  <c r="A536" i="198"/>
  <c r="EM529" i="198"/>
  <c r="EL529" i="198"/>
  <c r="EK529" i="198"/>
  <c r="EJ529" i="198"/>
  <c r="EI529" i="198"/>
  <c r="EH529" i="198"/>
  <c r="EG529" i="198"/>
  <c r="EF529" i="198"/>
  <c r="EE529" i="198"/>
  <c r="ED529" i="198"/>
  <c r="EC529" i="198"/>
  <c r="EB529" i="198"/>
  <c r="EA529" i="198"/>
  <c r="DZ529" i="198"/>
  <c r="DY529" i="198"/>
  <c r="DX529" i="198"/>
  <c r="DW529" i="198"/>
  <c r="DV529" i="198"/>
  <c r="DU529" i="198"/>
  <c r="DT529" i="198"/>
  <c r="DS529" i="198"/>
  <c r="DR529" i="198"/>
  <c r="DQ529" i="198"/>
  <c r="DP529" i="198"/>
  <c r="DO529" i="198"/>
  <c r="DN529" i="198"/>
  <c r="DM529" i="198"/>
  <c r="DL529" i="198"/>
  <c r="DK529" i="198"/>
  <c r="DJ529" i="198"/>
  <c r="DI529" i="198"/>
  <c r="DH529" i="198"/>
  <c r="DG529" i="198"/>
  <c r="DF529" i="198"/>
  <c r="DE529" i="198"/>
  <c r="DD529" i="198"/>
  <c r="DC529" i="198"/>
  <c r="EM528" i="198"/>
  <c r="EL528" i="198"/>
  <c r="EK528" i="198"/>
  <c r="EJ528" i="198"/>
  <c r="EI528" i="198"/>
  <c r="EH528" i="198"/>
  <c r="EG528" i="198"/>
  <c r="EF528" i="198"/>
  <c r="EE528" i="198"/>
  <c r="ED528" i="198"/>
  <c r="EC528" i="198"/>
  <c r="EB528" i="198"/>
  <c r="EA528" i="198"/>
  <c r="DZ528" i="198"/>
  <c r="DY528" i="198"/>
  <c r="DX528" i="198"/>
  <c r="DW528" i="198"/>
  <c r="DV528" i="198"/>
  <c r="DU528" i="198"/>
  <c r="DT528" i="198"/>
  <c r="DS528" i="198"/>
  <c r="DR528" i="198"/>
  <c r="DQ528" i="198"/>
  <c r="DP528" i="198"/>
  <c r="DO528" i="198"/>
  <c r="DN528" i="198"/>
  <c r="DM528" i="198"/>
  <c r="DL528" i="198"/>
  <c r="DK528" i="198"/>
  <c r="DJ528" i="198"/>
  <c r="DI528" i="198"/>
  <c r="DH528" i="198"/>
  <c r="DG528" i="198"/>
  <c r="DF528" i="198"/>
  <c r="DE528" i="198"/>
  <c r="DD528" i="198"/>
  <c r="DC528" i="198"/>
  <c r="EB527" i="198"/>
  <c r="EA527" i="198"/>
  <c r="DZ527" i="198"/>
  <c r="DY527" i="198"/>
  <c r="DX527" i="198"/>
  <c r="DW527" i="198"/>
  <c r="DV527" i="198"/>
  <c r="DU527" i="198"/>
  <c r="DT527" i="198"/>
  <c r="DS527" i="198"/>
  <c r="DR527" i="198"/>
  <c r="DQ527" i="198"/>
  <c r="DP527" i="198"/>
  <c r="DO527" i="198"/>
  <c r="DN527" i="198"/>
  <c r="DM527" i="198"/>
  <c r="DL527" i="198"/>
  <c r="DK527" i="198"/>
  <c r="DJ527" i="198"/>
  <c r="DI527" i="198"/>
  <c r="DH527" i="198"/>
  <c r="DG527" i="198"/>
  <c r="DF527" i="198"/>
  <c r="DE527" i="198"/>
  <c r="DD527" i="198"/>
  <c r="DC527" i="198"/>
  <c r="DA529" i="198"/>
  <c r="CZ529" i="198"/>
  <c r="CY529" i="198"/>
  <c r="CX529" i="198"/>
  <c r="CW529" i="198"/>
  <c r="CV529" i="198"/>
  <c r="CU529" i="198"/>
  <c r="CT529" i="198"/>
  <c r="CS529" i="198"/>
  <c r="CR529" i="198"/>
  <c r="CQ529" i="198"/>
  <c r="CP529" i="198"/>
  <c r="CO529" i="198"/>
  <c r="CN529" i="198"/>
  <c r="CM529" i="198"/>
  <c r="CL529" i="198"/>
  <c r="CK529" i="198"/>
  <c r="CJ529" i="198"/>
  <c r="CI529" i="198"/>
  <c r="CH529" i="198"/>
  <c r="CG529" i="198"/>
  <c r="CF529" i="198"/>
  <c r="CE529" i="198"/>
  <c r="CD529" i="198"/>
  <c r="CC529" i="198"/>
  <c r="CB529" i="198"/>
  <c r="CA529" i="198"/>
  <c r="BZ529" i="198"/>
  <c r="BY529" i="198"/>
  <c r="BX529" i="198"/>
  <c r="BW529" i="198"/>
  <c r="BV529" i="198"/>
  <c r="BU529" i="198"/>
  <c r="BT529" i="198"/>
  <c r="BS529" i="198"/>
  <c r="BR529" i="198"/>
  <c r="BQ529" i="198"/>
  <c r="BP529" i="198"/>
  <c r="BO529" i="198"/>
  <c r="BN529" i="198"/>
  <c r="BM529" i="198"/>
  <c r="BL529" i="198"/>
  <c r="BK529" i="198"/>
  <c r="BJ529" i="198"/>
  <c r="BI529" i="198"/>
  <c r="BH529" i="198"/>
  <c r="BG529" i="198"/>
  <c r="BF529" i="198"/>
  <c r="BE529" i="198"/>
  <c r="BD529" i="198"/>
  <c r="BC529" i="198"/>
  <c r="BB529" i="198"/>
  <c r="BA529" i="198"/>
  <c r="AZ529" i="198"/>
  <c r="AY529" i="198"/>
  <c r="AX529" i="198"/>
  <c r="AW529" i="198"/>
  <c r="AV529" i="198"/>
  <c r="AU529" i="198"/>
  <c r="AT529" i="198"/>
  <c r="AS529" i="198"/>
  <c r="AR529" i="198"/>
  <c r="AQ529" i="198"/>
  <c r="AP529" i="198"/>
  <c r="AO529" i="198"/>
  <c r="AN529" i="198"/>
  <c r="AM529" i="198"/>
  <c r="AL529" i="198"/>
  <c r="AK529" i="198"/>
  <c r="AJ529" i="198"/>
  <c r="AI529" i="198"/>
  <c r="AH529" i="198"/>
  <c r="AG529" i="198"/>
  <c r="AF529" i="198"/>
  <c r="AE529" i="198"/>
  <c r="AD529" i="198"/>
  <c r="AC529" i="198"/>
  <c r="AB529" i="198"/>
  <c r="AA529" i="198"/>
  <c r="Z529" i="198"/>
  <c r="Y529" i="198"/>
  <c r="X529" i="198"/>
  <c r="W529" i="198"/>
  <c r="V529" i="198"/>
  <c r="U529" i="198"/>
  <c r="T529" i="198"/>
  <c r="S529" i="198"/>
  <c r="R529" i="198"/>
  <c r="Q529" i="198"/>
  <c r="P529" i="198"/>
  <c r="O529" i="198"/>
  <c r="N529" i="198"/>
  <c r="M529" i="198"/>
  <c r="L529" i="198"/>
  <c r="K529" i="198"/>
  <c r="J529" i="198"/>
  <c r="I529" i="198"/>
  <c r="H529" i="198"/>
  <c r="G529" i="198"/>
  <c r="F529" i="198"/>
  <c r="E529" i="198"/>
  <c r="D529" i="198"/>
  <c r="C529" i="198"/>
  <c r="B529" i="198"/>
  <c r="A529" i="198"/>
  <c r="DA528" i="198"/>
  <c r="CZ528" i="198"/>
  <c r="CY528" i="198"/>
  <c r="CX528" i="198"/>
  <c r="CW528" i="198"/>
  <c r="CV528" i="198"/>
  <c r="CU528" i="198"/>
  <c r="CT528" i="198"/>
  <c r="CS528" i="198"/>
  <c r="CR528" i="198"/>
  <c r="CQ528" i="198"/>
  <c r="CP528" i="198"/>
  <c r="CO528" i="198"/>
  <c r="CN528" i="198"/>
  <c r="CM528" i="198"/>
  <c r="CL528" i="198"/>
  <c r="CK528" i="198"/>
  <c r="CJ528" i="198"/>
  <c r="CI528" i="198"/>
  <c r="CH528" i="198"/>
  <c r="CG528" i="198"/>
  <c r="CF528" i="198"/>
  <c r="CE528" i="198"/>
  <c r="CD528" i="198"/>
  <c r="CC528" i="198"/>
  <c r="CB528" i="198"/>
  <c r="CA528" i="198"/>
  <c r="BZ528" i="198"/>
  <c r="BY528" i="198"/>
  <c r="BX528" i="198"/>
  <c r="BW528" i="198"/>
  <c r="BV528" i="198"/>
  <c r="BU528" i="198"/>
  <c r="BT528" i="198"/>
  <c r="BS528" i="198"/>
  <c r="BR528" i="198"/>
  <c r="BQ528" i="198"/>
  <c r="BP528" i="198"/>
  <c r="BO528" i="198"/>
  <c r="BN528" i="198"/>
  <c r="BM528" i="198"/>
  <c r="BL528" i="198"/>
  <c r="BK528" i="198"/>
  <c r="BJ528" i="198"/>
  <c r="BI528" i="198"/>
  <c r="BH528" i="198"/>
  <c r="BG528" i="198"/>
  <c r="BF528" i="198"/>
  <c r="BE528" i="198"/>
  <c r="BD528" i="198"/>
  <c r="BC528" i="198"/>
  <c r="BB528" i="198"/>
  <c r="BA528" i="198"/>
  <c r="AZ528" i="198"/>
  <c r="AY528" i="198"/>
  <c r="AX528" i="198"/>
  <c r="AW528" i="198"/>
  <c r="AV528" i="198"/>
  <c r="AU528" i="198"/>
  <c r="AT528" i="198"/>
  <c r="AS528" i="198"/>
  <c r="AR528" i="198"/>
  <c r="AQ528" i="198"/>
  <c r="AP528" i="198"/>
  <c r="AO528" i="198"/>
  <c r="AN528" i="198"/>
  <c r="AM528" i="198"/>
  <c r="AL528" i="198"/>
  <c r="AK528" i="198"/>
  <c r="AJ528" i="198"/>
  <c r="AI528" i="198"/>
  <c r="AH528" i="198"/>
  <c r="AG528" i="198"/>
  <c r="AF528" i="198"/>
  <c r="AE528" i="198"/>
  <c r="AD528" i="198"/>
  <c r="AC528" i="198"/>
  <c r="AB528" i="198"/>
  <c r="AA528" i="198"/>
  <c r="Z528" i="198"/>
  <c r="Y528" i="198"/>
  <c r="X528" i="198"/>
  <c r="W528" i="198"/>
  <c r="V528" i="198"/>
  <c r="U528" i="198"/>
  <c r="T528" i="198"/>
  <c r="S528" i="198"/>
  <c r="R528" i="198"/>
  <c r="Q528" i="198"/>
  <c r="P528" i="198"/>
  <c r="O528" i="198"/>
  <c r="N528" i="198"/>
  <c r="M528" i="198"/>
  <c r="L528" i="198"/>
  <c r="K528" i="198"/>
  <c r="J528" i="198"/>
  <c r="I528" i="198"/>
  <c r="H528" i="198"/>
  <c r="G528" i="198"/>
  <c r="F528" i="198"/>
  <c r="E528" i="198"/>
  <c r="D528" i="198"/>
  <c r="C528" i="198"/>
  <c r="B528" i="198"/>
  <c r="A528" i="198"/>
  <c r="CX527" i="198"/>
  <c r="CV527" i="198"/>
  <c r="CT527" i="198"/>
  <c r="CS527" i="198"/>
  <c r="CR527" i="198"/>
  <c r="CQ527" i="198"/>
  <c r="CP527" i="198"/>
  <c r="CO527" i="198"/>
  <c r="CN527" i="198"/>
  <c r="CM527" i="198"/>
  <c r="CL527" i="198"/>
  <c r="CK527" i="198"/>
  <c r="CJ527" i="198"/>
  <c r="CI527" i="198"/>
  <c r="CH527" i="198"/>
  <c r="CG527" i="198"/>
  <c r="CF527" i="198"/>
  <c r="CE527" i="198"/>
  <c r="CD527" i="198"/>
  <c r="CC527" i="198"/>
  <c r="CB527" i="198"/>
  <c r="CA527" i="198"/>
  <c r="BZ527" i="198"/>
  <c r="BY527" i="198"/>
  <c r="BX527" i="198"/>
  <c r="BW527" i="198"/>
  <c r="BV527" i="198"/>
  <c r="BU527" i="198"/>
  <c r="BT527" i="198"/>
  <c r="BS527" i="198"/>
  <c r="BR527" i="198"/>
  <c r="BQ527" i="198"/>
  <c r="BP527" i="198"/>
  <c r="BO527" i="198"/>
  <c r="BN527" i="198"/>
  <c r="BM527" i="198"/>
  <c r="BL527" i="198"/>
  <c r="BK527" i="198"/>
  <c r="BJ527" i="198"/>
  <c r="BI527" i="198"/>
  <c r="BH527" i="198"/>
  <c r="BG527" i="198"/>
  <c r="BF527" i="198"/>
  <c r="BE527" i="198"/>
  <c r="BD527" i="198"/>
  <c r="BC527" i="198"/>
  <c r="BB527" i="198"/>
  <c r="BA527" i="198"/>
  <c r="AZ527" i="198"/>
  <c r="AY527" i="198"/>
  <c r="AX527" i="198"/>
  <c r="AW527" i="198"/>
  <c r="AV527" i="198"/>
  <c r="AU527" i="198"/>
  <c r="AT527" i="198"/>
  <c r="AS527" i="198"/>
  <c r="AR527" i="198"/>
  <c r="AQ527" i="198"/>
  <c r="AP527" i="198"/>
  <c r="AO527" i="198"/>
  <c r="AN527" i="198"/>
  <c r="AM527" i="198"/>
  <c r="AL527" i="198"/>
  <c r="AK527" i="198"/>
  <c r="AJ527" i="198"/>
  <c r="AI527" i="198"/>
  <c r="AH527" i="198"/>
  <c r="AG527" i="198"/>
  <c r="AF527" i="198"/>
  <c r="AE527" i="198"/>
  <c r="AD527" i="198"/>
  <c r="AC527" i="198"/>
  <c r="AB527" i="198"/>
  <c r="AA527" i="198"/>
  <c r="Z527" i="198"/>
  <c r="Y527" i="198"/>
  <c r="X527" i="198"/>
  <c r="W527" i="198"/>
  <c r="V527" i="198"/>
  <c r="U527" i="198"/>
  <c r="T527" i="198"/>
  <c r="S527" i="198"/>
  <c r="R527" i="198"/>
  <c r="Q527" i="198"/>
  <c r="P527" i="198"/>
  <c r="O527" i="198"/>
  <c r="N527" i="198"/>
  <c r="M527" i="198"/>
  <c r="L527" i="198"/>
  <c r="K527" i="198"/>
  <c r="J527" i="198"/>
  <c r="I527" i="198"/>
  <c r="H527" i="198"/>
  <c r="G527" i="198"/>
  <c r="F527" i="198"/>
  <c r="E527" i="198"/>
  <c r="D527" i="198"/>
  <c r="C527" i="198"/>
  <c r="B527" i="198"/>
  <c r="A527" i="198"/>
  <c r="EM524" i="198"/>
  <c r="EL524" i="198"/>
  <c r="EK524" i="198"/>
  <c r="EJ524" i="198"/>
  <c r="EI524" i="198"/>
  <c r="EH524" i="198"/>
  <c r="EG524" i="198"/>
  <c r="EF524" i="198"/>
  <c r="EE524" i="198"/>
  <c r="ED524" i="198"/>
  <c r="EC524" i="198"/>
  <c r="EB524" i="198"/>
  <c r="EA524" i="198"/>
  <c r="DZ524" i="198"/>
  <c r="DY524" i="198"/>
  <c r="DX524" i="198"/>
  <c r="DW524" i="198"/>
  <c r="DV524" i="198"/>
  <c r="DU524" i="198"/>
  <c r="DT524" i="198"/>
  <c r="DS524" i="198"/>
  <c r="DR524" i="198"/>
  <c r="DQ524" i="198"/>
  <c r="DP524" i="198"/>
  <c r="DO524" i="198"/>
  <c r="DN524" i="198"/>
  <c r="DM524" i="198"/>
  <c r="DL524" i="198"/>
  <c r="DK524" i="198"/>
  <c r="DJ524" i="198"/>
  <c r="DI524" i="198"/>
  <c r="DH524" i="198"/>
  <c r="DG524" i="198"/>
  <c r="DF524" i="198"/>
  <c r="DE524" i="198"/>
  <c r="DD524" i="198"/>
  <c r="DC524" i="198"/>
  <c r="DA524" i="198"/>
  <c r="CZ524" i="198"/>
  <c r="CY524" i="198"/>
  <c r="CX524" i="198"/>
  <c r="CW524" i="198"/>
  <c r="CV524" i="198"/>
  <c r="CU524" i="198"/>
  <c r="CT524" i="198"/>
  <c r="CS524" i="198"/>
  <c r="CR524" i="198"/>
  <c r="CQ524" i="198"/>
  <c r="CP524" i="198"/>
  <c r="CO524" i="198"/>
  <c r="CN524" i="198"/>
  <c r="CM524" i="198"/>
  <c r="CL524" i="198"/>
  <c r="CK524" i="198"/>
  <c r="CJ524" i="198"/>
  <c r="CI524" i="198"/>
  <c r="CH524" i="198"/>
  <c r="CG524" i="198"/>
  <c r="CF524" i="198"/>
  <c r="CE524" i="198"/>
  <c r="CD524" i="198"/>
  <c r="CC524" i="198"/>
  <c r="CB524" i="198"/>
  <c r="CA524" i="198"/>
  <c r="BZ524" i="198"/>
  <c r="BY524" i="198"/>
  <c r="BX524" i="198"/>
  <c r="BW524" i="198"/>
  <c r="BV524" i="198"/>
  <c r="BU524" i="198"/>
  <c r="BT524" i="198"/>
  <c r="BS524" i="198"/>
  <c r="BR524" i="198"/>
  <c r="BQ524" i="198"/>
  <c r="BP524" i="198"/>
  <c r="BO524" i="198"/>
  <c r="BN524" i="198"/>
  <c r="BM524" i="198"/>
  <c r="BL524" i="198"/>
  <c r="BK524" i="198"/>
  <c r="BJ524" i="198"/>
  <c r="BI524" i="198"/>
  <c r="BH524" i="198"/>
  <c r="BG524" i="198"/>
  <c r="BF524" i="198"/>
  <c r="BE524" i="198"/>
  <c r="BD524" i="198"/>
  <c r="BC524" i="198"/>
  <c r="BB524" i="198"/>
  <c r="BA524" i="198"/>
  <c r="AZ524" i="198"/>
  <c r="AY524" i="198"/>
  <c r="AX524" i="198"/>
  <c r="AW524" i="198"/>
  <c r="AV524" i="198"/>
  <c r="AU524" i="198"/>
  <c r="AT524" i="198"/>
  <c r="AS524" i="198"/>
  <c r="AR524" i="198"/>
  <c r="AQ524" i="198"/>
  <c r="AP524" i="198"/>
  <c r="AO524" i="198"/>
  <c r="AN524" i="198"/>
  <c r="AM524" i="198"/>
  <c r="AL524" i="198"/>
  <c r="AK524" i="198"/>
  <c r="AJ524" i="198"/>
  <c r="AI524" i="198"/>
  <c r="AH524" i="198"/>
  <c r="AG524" i="198"/>
  <c r="AF524" i="198"/>
  <c r="AE524" i="198"/>
  <c r="AD524" i="198"/>
  <c r="AC524" i="198"/>
  <c r="AB524" i="198"/>
  <c r="AA524" i="198"/>
  <c r="Z524" i="198"/>
  <c r="Y524" i="198"/>
  <c r="X524" i="198"/>
  <c r="W524" i="198"/>
  <c r="V524" i="198"/>
  <c r="U524" i="198"/>
  <c r="T524" i="198"/>
  <c r="S524" i="198"/>
  <c r="R524" i="198"/>
  <c r="Q524" i="198"/>
  <c r="P524" i="198"/>
  <c r="O524" i="198"/>
  <c r="N524" i="198"/>
  <c r="M524" i="198"/>
  <c r="L524" i="198"/>
  <c r="K524" i="198"/>
  <c r="J524" i="198"/>
  <c r="I524" i="198"/>
  <c r="H524" i="198"/>
  <c r="G524" i="198"/>
  <c r="F524" i="198"/>
  <c r="E524" i="198"/>
  <c r="D524" i="198"/>
  <c r="C524" i="198"/>
  <c r="B524" i="198"/>
  <c r="A524" i="198"/>
  <c r="EB521" i="198"/>
  <c r="EA521" i="198"/>
  <c r="DZ521" i="198"/>
  <c r="DY521" i="198"/>
  <c r="DX521" i="198"/>
  <c r="DW521" i="198"/>
  <c r="DV521" i="198"/>
  <c r="DU521" i="198"/>
  <c r="DT521" i="198"/>
  <c r="DS521" i="198"/>
  <c r="DR521" i="198"/>
  <c r="DQ521" i="198"/>
  <c r="DP521" i="198"/>
  <c r="DO521" i="198"/>
  <c r="DN521" i="198"/>
  <c r="DM521" i="198"/>
  <c r="DL521" i="198"/>
  <c r="DK521" i="198"/>
  <c r="DJ521" i="198"/>
  <c r="DI521" i="198"/>
  <c r="DH521" i="198"/>
  <c r="DG521" i="198"/>
  <c r="DF521" i="198"/>
  <c r="DE521" i="198"/>
  <c r="DD521" i="198"/>
  <c r="DC521" i="198"/>
  <c r="CS521" i="198"/>
  <c r="CR521" i="198"/>
  <c r="CQ521" i="198"/>
  <c r="CP521" i="198"/>
  <c r="CO521" i="198"/>
  <c r="CN521" i="198"/>
  <c r="CM521" i="198"/>
  <c r="CL521" i="198"/>
  <c r="CK521" i="198"/>
  <c r="CJ521" i="198"/>
  <c r="CI521" i="198"/>
  <c r="CH521" i="198"/>
  <c r="CG521" i="198"/>
  <c r="CF521" i="198"/>
  <c r="CE521" i="198"/>
  <c r="CD521" i="198"/>
  <c r="CC521" i="198"/>
  <c r="CB521" i="198"/>
  <c r="CA521" i="198"/>
  <c r="BZ521" i="198"/>
  <c r="BY521" i="198"/>
  <c r="BX521" i="198"/>
  <c r="BW521" i="198"/>
  <c r="BV521" i="198"/>
  <c r="BU521" i="198"/>
  <c r="BT521" i="198"/>
  <c r="BS521" i="198"/>
  <c r="BR521" i="198"/>
  <c r="BQ521" i="198"/>
  <c r="BP521" i="198"/>
  <c r="BO521" i="198"/>
  <c r="BN521" i="198"/>
  <c r="BM521" i="198"/>
  <c r="BL521" i="198"/>
  <c r="BK521" i="198"/>
  <c r="BJ521" i="198"/>
  <c r="BI521" i="198"/>
  <c r="BH521" i="198"/>
  <c r="BG521" i="198"/>
  <c r="BF521" i="198"/>
  <c r="BE521" i="198"/>
  <c r="BD521" i="198"/>
  <c r="BC521" i="198"/>
  <c r="BB521" i="198"/>
  <c r="BA521" i="198"/>
  <c r="AZ521" i="198"/>
  <c r="AY521" i="198"/>
  <c r="AX521" i="198"/>
  <c r="AW521" i="198"/>
  <c r="AV521" i="198"/>
  <c r="AU521" i="198"/>
  <c r="AT521" i="198"/>
  <c r="AS521" i="198"/>
  <c r="AR521" i="198"/>
  <c r="AQ521" i="198"/>
  <c r="AP521" i="198"/>
  <c r="AO521" i="198"/>
  <c r="AN521" i="198"/>
  <c r="AM521" i="198"/>
  <c r="AL521" i="198"/>
  <c r="AK521" i="198"/>
  <c r="AJ521" i="198"/>
  <c r="AI521" i="198"/>
  <c r="AH521" i="198"/>
  <c r="AG521" i="198"/>
  <c r="AF521" i="198"/>
  <c r="AE521" i="198"/>
  <c r="AD521" i="198"/>
  <c r="AC521" i="198"/>
  <c r="AB521" i="198"/>
  <c r="AA521" i="198"/>
  <c r="Z521" i="198"/>
  <c r="Y521" i="198"/>
  <c r="X521" i="198"/>
  <c r="W521" i="198"/>
  <c r="V521" i="198"/>
  <c r="U521" i="198"/>
  <c r="T521" i="198"/>
  <c r="S521" i="198"/>
  <c r="R521" i="198"/>
  <c r="Q521" i="198"/>
  <c r="P521" i="198"/>
  <c r="O521" i="198"/>
  <c r="N521" i="198"/>
  <c r="M521" i="198"/>
  <c r="L521" i="198"/>
  <c r="K521" i="198"/>
  <c r="J521" i="198"/>
  <c r="I521" i="198"/>
  <c r="H521" i="198"/>
  <c r="G521" i="198"/>
  <c r="F521" i="198"/>
  <c r="E521" i="198"/>
  <c r="D521" i="198"/>
  <c r="C521" i="198"/>
  <c r="B521" i="198"/>
  <c r="EB518" i="198"/>
  <c r="EA518" i="198"/>
  <c r="DZ518" i="198"/>
  <c r="DY518" i="198"/>
  <c r="DX518" i="198"/>
  <c r="DW518" i="198"/>
  <c r="DV518" i="198"/>
  <c r="DU518" i="198"/>
  <c r="DT518" i="198"/>
  <c r="DS518" i="198"/>
  <c r="DR518" i="198"/>
  <c r="DQ518" i="198"/>
  <c r="DP518" i="198"/>
  <c r="DO518" i="198"/>
  <c r="DN518" i="198"/>
  <c r="DM518" i="198"/>
  <c r="DL518" i="198"/>
  <c r="DK518" i="198"/>
  <c r="DJ518" i="198"/>
  <c r="DI518" i="198"/>
  <c r="DH518" i="198"/>
  <c r="DG518" i="198"/>
  <c r="DF518" i="198"/>
  <c r="DE518" i="198"/>
  <c r="DD518" i="198"/>
  <c r="DC518" i="198"/>
  <c r="CS518" i="198"/>
  <c r="CR518" i="198"/>
  <c r="CQ518" i="198"/>
  <c r="CP518" i="198"/>
  <c r="CO518" i="198"/>
  <c r="CN518" i="198"/>
  <c r="CM518" i="198"/>
  <c r="CL518" i="198"/>
  <c r="CK518" i="198"/>
  <c r="CJ518" i="198"/>
  <c r="CI518" i="198"/>
  <c r="CH518" i="198"/>
  <c r="CG518" i="198"/>
  <c r="CF518" i="198"/>
  <c r="CE518" i="198"/>
  <c r="CD518" i="198"/>
  <c r="CC518" i="198"/>
  <c r="CB518" i="198"/>
  <c r="CA518" i="198"/>
  <c r="BZ518" i="198"/>
  <c r="BY518" i="198"/>
  <c r="BX518" i="198"/>
  <c r="BW518" i="198"/>
  <c r="BV518" i="198"/>
  <c r="BU518" i="198"/>
  <c r="BT518" i="198"/>
  <c r="BS518" i="198"/>
  <c r="BR518" i="198"/>
  <c r="BQ518" i="198"/>
  <c r="BP518" i="198"/>
  <c r="BO518" i="198"/>
  <c r="BN518" i="198"/>
  <c r="BM518" i="198"/>
  <c r="BL518" i="198"/>
  <c r="BK518" i="198"/>
  <c r="BJ518" i="198"/>
  <c r="BI518" i="198"/>
  <c r="BH518" i="198"/>
  <c r="BG518" i="198"/>
  <c r="BF518" i="198"/>
  <c r="BE518" i="198"/>
  <c r="BD518" i="198"/>
  <c r="BC518" i="198"/>
  <c r="BB518" i="198"/>
  <c r="BA518" i="198"/>
  <c r="AZ518" i="198"/>
  <c r="AY518" i="198"/>
  <c r="AX518" i="198"/>
  <c r="AW518" i="198"/>
  <c r="AV518" i="198"/>
  <c r="AU518" i="198"/>
  <c r="AT518" i="198"/>
  <c r="AS518" i="198"/>
  <c r="AR518" i="198"/>
  <c r="AQ518" i="198"/>
  <c r="AP518" i="198"/>
  <c r="AO518" i="198"/>
  <c r="AN518" i="198"/>
  <c r="AM518" i="198"/>
  <c r="AL518" i="198"/>
  <c r="AK518" i="198"/>
  <c r="AJ518" i="198"/>
  <c r="AI518" i="198"/>
  <c r="AH518" i="198"/>
  <c r="AG518" i="198"/>
  <c r="AF518" i="198"/>
  <c r="AE518" i="198"/>
  <c r="AD518" i="198"/>
  <c r="AC518" i="198"/>
  <c r="AB518" i="198"/>
  <c r="AA518" i="198"/>
  <c r="Z518" i="198"/>
  <c r="Y518" i="198"/>
  <c r="X518" i="198"/>
  <c r="W518" i="198"/>
  <c r="V518" i="198"/>
  <c r="U518" i="198"/>
  <c r="T518" i="198"/>
  <c r="S518" i="198"/>
  <c r="R518" i="198"/>
  <c r="Q518" i="198"/>
  <c r="P518" i="198"/>
  <c r="O518" i="198"/>
  <c r="N518" i="198"/>
  <c r="M518" i="198"/>
  <c r="L518" i="198"/>
  <c r="K518" i="198"/>
  <c r="J518" i="198"/>
  <c r="I518" i="198"/>
  <c r="H518" i="198"/>
  <c r="G518" i="198"/>
  <c r="F518" i="198"/>
  <c r="E518" i="198"/>
  <c r="D518" i="198"/>
  <c r="C518" i="198"/>
  <c r="B518" i="198"/>
  <c r="A518" i="198"/>
  <c r="EA514" i="198"/>
  <c r="DY514" i="198"/>
  <c r="DW514" i="198"/>
  <c r="DU514" i="198"/>
  <c r="DS514" i="198"/>
  <c r="DQ514" i="198"/>
  <c r="DO514" i="198"/>
  <c r="DM514" i="198"/>
  <c r="DK514" i="198"/>
  <c r="DI514" i="198"/>
  <c r="DG514" i="198"/>
  <c r="DE514" i="198"/>
  <c r="DC514" i="198"/>
  <c r="CR514" i="198"/>
  <c r="CP514" i="198"/>
  <c r="CN514" i="198"/>
  <c r="CL514" i="198"/>
  <c r="CJ514" i="198"/>
  <c r="CH514" i="198"/>
  <c r="CF514" i="198"/>
  <c r="CD514" i="198"/>
  <c r="CB514" i="198"/>
  <c r="BZ514" i="198"/>
  <c r="BX514" i="198"/>
  <c r="BV514" i="198"/>
  <c r="BT514" i="198"/>
  <c r="BR514" i="198"/>
  <c r="BP514" i="198"/>
  <c r="BN514" i="198"/>
  <c r="BL514" i="198"/>
  <c r="BJ514" i="198"/>
  <c r="BH514" i="198"/>
  <c r="BF514" i="198"/>
  <c r="BD514" i="198"/>
  <c r="BB514" i="198"/>
  <c r="AZ514" i="198"/>
  <c r="AX514" i="198"/>
  <c r="AV514" i="198"/>
  <c r="AT514" i="198"/>
  <c r="AR514" i="198"/>
  <c r="AP514" i="198"/>
  <c r="AN514" i="198"/>
  <c r="AL514" i="198"/>
  <c r="AJ514" i="198"/>
  <c r="AH514" i="198"/>
  <c r="AF514" i="198"/>
  <c r="AD514" i="198"/>
  <c r="AB514" i="198"/>
  <c r="Z514" i="198"/>
  <c r="X514" i="198"/>
  <c r="V514" i="198"/>
  <c r="T514" i="198"/>
  <c r="R514" i="198"/>
  <c r="P514" i="198"/>
  <c r="N514" i="198"/>
  <c r="L514" i="198"/>
  <c r="J514" i="198"/>
  <c r="H514" i="198"/>
  <c r="F514" i="198"/>
  <c r="D514" i="198"/>
  <c r="B514" i="198"/>
  <c r="EB514" i="198"/>
  <c r="DZ514" i="198"/>
  <c r="DX514" i="198"/>
  <c r="DV514" i="198"/>
  <c r="DT514" i="198"/>
  <c r="DR514" i="198"/>
  <c r="DP514" i="198"/>
  <c r="DN514" i="198"/>
  <c r="DL514" i="198"/>
  <c r="DJ514" i="198"/>
  <c r="DH514" i="198"/>
  <c r="DF514" i="198"/>
  <c r="DD514" i="198"/>
  <c r="CS514" i="198"/>
  <c r="CQ514" i="198"/>
  <c r="CO514" i="198"/>
  <c r="CM514" i="198"/>
  <c r="CK514" i="198"/>
  <c r="CI514" i="198"/>
  <c r="CG514" i="198"/>
  <c r="CE514" i="198"/>
  <c r="CC514" i="198"/>
  <c r="CA514" i="198"/>
  <c r="BY514" i="198"/>
  <c r="BW514" i="198"/>
  <c r="BU514" i="198"/>
  <c r="BS514" i="198"/>
  <c r="BQ514" i="198"/>
  <c r="BO514" i="198"/>
  <c r="BM514" i="198"/>
  <c r="BK514" i="198"/>
  <c r="BI514" i="198"/>
  <c r="BG514" i="198"/>
  <c r="BE514" i="198"/>
  <c r="BC514" i="198"/>
  <c r="BA514" i="198"/>
  <c r="AY514" i="198"/>
  <c r="AW514" i="198"/>
  <c r="AU514" i="198"/>
  <c r="AS514" i="198"/>
  <c r="AQ514" i="198"/>
  <c r="AO514" i="198"/>
  <c r="AM514" i="198"/>
  <c r="AK514" i="198"/>
  <c r="AI514" i="198"/>
  <c r="AG514" i="198"/>
  <c r="AE514" i="198"/>
  <c r="AC514" i="198"/>
  <c r="AA514" i="198"/>
  <c r="Y514" i="198"/>
  <c r="W514" i="198"/>
  <c r="U514" i="198"/>
  <c r="S514" i="198"/>
  <c r="Q514" i="198"/>
  <c r="O514" i="198"/>
  <c r="M514" i="198"/>
  <c r="K514" i="198"/>
  <c r="I514" i="198"/>
  <c r="G514" i="198"/>
  <c r="E514" i="198"/>
  <c r="C514" i="198"/>
  <c r="EB512" i="198"/>
  <c r="EA512" i="198"/>
  <c r="DZ512" i="198"/>
  <c r="DY512" i="198"/>
  <c r="DX512" i="198"/>
  <c r="DW512" i="198"/>
  <c r="DV512" i="198"/>
  <c r="DU512" i="198"/>
  <c r="DT512" i="198"/>
  <c r="DS512" i="198"/>
  <c r="DR512" i="198"/>
  <c r="DQ512" i="198"/>
  <c r="DP512" i="198"/>
  <c r="DO512" i="198"/>
  <c r="DN512" i="198"/>
  <c r="DM512" i="198"/>
  <c r="DL512" i="198"/>
  <c r="DK512" i="198"/>
  <c r="DJ512" i="198"/>
  <c r="DI512" i="198"/>
  <c r="DH512" i="198"/>
  <c r="DG512" i="198"/>
  <c r="DF512" i="198"/>
  <c r="DE512" i="198"/>
  <c r="DD512" i="198"/>
  <c r="DC512" i="198"/>
  <c r="ED511" i="198"/>
  <c r="EC511" i="198"/>
  <c r="EB511" i="198"/>
  <c r="EA511" i="198"/>
  <c r="DZ511" i="198"/>
  <c r="DY511" i="198"/>
  <c r="DX511" i="198"/>
  <c r="DW511" i="198"/>
  <c r="DV511" i="198"/>
  <c r="DU511" i="198"/>
  <c r="DT511" i="198"/>
  <c r="DS511" i="198"/>
  <c r="DR511" i="198"/>
  <c r="DQ511" i="198"/>
  <c r="DP511" i="198"/>
  <c r="DO511" i="198"/>
  <c r="DN511" i="198"/>
  <c r="DM511" i="198"/>
  <c r="DL511" i="198"/>
  <c r="DK511" i="198"/>
  <c r="DJ511" i="198"/>
  <c r="DI511" i="198"/>
  <c r="DH511" i="198"/>
  <c r="DG511" i="198"/>
  <c r="DF511" i="198"/>
  <c r="DE511" i="198"/>
  <c r="DD511" i="198"/>
  <c r="DC511" i="198"/>
  <c r="ED510" i="198"/>
  <c r="EC510" i="198"/>
  <c r="EB510" i="198"/>
  <c r="EA510" i="198"/>
  <c r="DZ510" i="198"/>
  <c r="DY510" i="198"/>
  <c r="DX510" i="198"/>
  <c r="DW510" i="198"/>
  <c r="DV510" i="198"/>
  <c r="DU510" i="198"/>
  <c r="DT510" i="198"/>
  <c r="DS510" i="198"/>
  <c r="DR510" i="198"/>
  <c r="DQ510" i="198"/>
  <c r="DP510" i="198"/>
  <c r="DO510" i="198"/>
  <c r="DN510" i="198"/>
  <c r="DM510" i="198"/>
  <c r="DL510" i="198"/>
  <c r="DK510" i="198"/>
  <c r="DJ510" i="198"/>
  <c r="DI510" i="198"/>
  <c r="DH510" i="198"/>
  <c r="DG510" i="198"/>
  <c r="DF510" i="198"/>
  <c r="DE510" i="198"/>
  <c r="DD510" i="198"/>
  <c r="DC510" i="198"/>
  <c r="EM509" i="198"/>
  <c r="EL509" i="198"/>
  <c r="EK509" i="198"/>
  <c r="EJ509" i="198"/>
  <c r="EI509" i="198"/>
  <c r="EH509" i="198"/>
  <c r="EG509" i="198"/>
  <c r="EF509" i="198"/>
  <c r="EE509" i="198"/>
  <c r="ED509" i="198"/>
  <c r="EC509" i="198"/>
  <c r="EB509" i="198"/>
  <c r="EA509" i="198"/>
  <c r="DZ509" i="198"/>
  <c r="DY509" i="198"/>
  <c r="DX509" i="198"/>
  <c r="DW509" i="198"/>
  <c r="DV509" i="198"/>
  <c r="DU509" i="198"/>
  <c r="DT509" i="198"/>
  <c r="DS509" i="198"/>
  <c r="DR509" i="198"/>
  <c r="DQ509" i="198"/>
  <c r="DP509" i="198"/>
  <c r="DO509" i="198"/>
  <c r="DN509" i="198"/>
  <c r="DM509" i="198"/>
  <c r="DL509" i="198"/>
  <c r="DK509" i="198"/>
  <c r="DJ509" i="198"/>
  <c r="DI509" i="198"/>
  <c r="DH509" i="198"/>
  <c r="DG509" i="198"/>
  <c r="DF509" i="198"/>
  <c r="DE509" i="198"/>
  <c r="DD509" i="198"/>
  <c r="DC509" i="198"/>
  <c r="ED508" i="198"/>
  <c r="EC508" i="198"/>
  <c r="EB508" i="198"/>
  <c r="EA508" i="198"/>
  <c r="DZ508" i="198"/>
  <c r="DY508" i="198"/>
  <c r="DX508" i="198"/>
  <c r="DW508" i="198"/>
  <c r="DV508" i="198"/>
  <c r="DU508" i="198"/>
  <c r="DT508" i="198"/>
  <c r="DS508" i="198"/>
  <c r="DR508" i="198"/>
  <c r="DQ508" i="198"/>
  <c r="DP508" i="198"/>
  <c r="DO508" i="198"/>
  <c r="DN508" i="198"/>
  <c r="DM508" i="198"/>
  <c r="DL508" i="198"/>
  <c r="DK508" i="198"/>
  <c r="DJ508" i="198"/>
  <c r="DI508" i="198"/>
  <c r="DH508" i="198"/>
  <c r="DG508" i="198"/>
  <c r="DF508" i="198"/>
  <c r="DE508" i="198"/>
  <c r="DD508" i="198"/>
  <c r="DC508" i="198"/>
  <c r="EB507" i="198"/>
  <c r="EA507" i="198"/>
  <c r="DZ507" i="198"/>
  <c r="DY507" i="198"/>
  <c r="DX507" i="198"/>
  <c r="DW507" i="198"/>
  <c r="DV507" i="198"/>
  <c r="DU507" i="198"/>
  <c r="DT507" i="198"/>
  <c r="DS507" i="198"/>
  <c r="DR507" i="198"/>
  <c r="DQ507" i="198"/>
  <c r="DP507" i="198"/>
  <c r="DO507" i="198"/>
  <c r="DN507" i="198"/>
  <c r="DM507" i="198"/>
  <c r="DL507" i="198"/>
  <c r="DK507" i="198"/>
  <c r="DJ507" i="198"/>
  <c r="DI507" i="198"/>
  <c r="DH507" i="198"/>
  <c r="DG507" i="198"/>
  <c r="DF507" i="198"/>
  <c r="DE507" i="198"/>
  <c r="DD507" i="198"/>
  <c r="DC507" i="198"/>
  <c r="CS512" i="198"/>
  <c r="CR512" i="198"/>
  <c r="CQ512" i="198"/>
  <c r="CP512" i="198"/>
  <c r="CO512" i="198"/>
  <c r="CN512" i="198"/>
  <c r="CM512" i="198"/>
  <c r="CL512" i="198"/>
  <c r="CK512" i="198"/>
  <c r="CJ512" i="198"/>
  <c r="CI512" i="198"/>
  <c r="CH512" i="198"/>
  <c r="CG512" i="198"/>
  <c r="CF512" i="198"/>
  <c r="CE512" i="198"/>
  <c r="CD512" i="198"/>
  <c r="CC512" i="198"/>
  <c r="CB512" i="198"/>
  <c r="CA512" i="198"/>
  <c r="BZ512" i="198"/>
  <c r="BY512" i="198"/>
  <c r="BX512" i="198"/>
  <c r="BW512" i="198"/>
  <c r="BV512" i="198"/>
  <c r="BU512" i="198"/>
  <c r="BT512" i="198"/>
  <c r="BS512" i="198"/>
  <c r="BR512" i="198"/>
  <c r="BQ512" i="198"/>
  <c r="BP512" i="198"/>
  <c r="BO512" i="198"/>
  <c r="BN512" i="198"/>
  <c r="BM512" i="198"/>
  <c r="BL512" i="198"/>
  <c r="BK512" i="198"/>
  <c r="BJ512" i="198"/>
  <c r="BI512" i="198"/>
  <c r="BH512" i="198"/>
  <c r="BG512" i="198"/>
  <c r="BF512" i="198"/>
  <c r="BE512" i="198"/>
  <c r="BD512" i="198"/>
  <c r="BC512" i="198"/>
  <c r="BB512" i="198"/>
  <c r="BA512" i="198"/>
  <c r="AZ512" i="198"/>
  <c r="AY512" i="198"/>
  <c r="AX512" i="198"/>
  <c r="AW512" i="198"/>
  <c r="AV512" i="198"/>
  <c r="AU512" i="198"/>
  <c r="AT512" i="198"/>
  <c r="AS512" i="198"/>
  <c r="AR512" i="198"/>
  <c r="AQ512" i="198"/>
  <c r="AP512" i="198"/>
  <c r="AO512" i="198"/>
  <c r="AN512" i="198"/>
  <c r="AM512" i="198"/>
  <c r="AL512" i="198"/>
  <c r="AK512" i="198"/>
  <c r="AJ512" i="198"/>
  <c r="AI512" i="198"/>
  <c r="AH512" i="198"/>
  <c r="AG512" i="198"/>
  <c r="AF512" i="198"/>
  <c r="AE512" i="198"/>
  <c r="AD512" i="198"/>
  <c r="AC512" i="198"/>
  <c r="AB512" i="198"/>
  <c r="AA512" i="198"/>
  <c r="Z512" i="198"/>
  <c r="Y512" i="198"/>
  <c r="X512" i="198"/>
  <c r="W512" i="198"/>
  <c r="V512" i="198"/>
  <c r="U512" i="198"/>
  <c r="T512" i="198"/>
  <c r="S512" i="198"/>
  <c r="R512" i="198"/>
  <c r="Q512" i="198"/>
  <c r="P512" i="198"/>
  <c r="O512" i="198"/>
  <c r="N512" i="198"/>
  <c r="M512" i="198"/>
  <c r="L512" i="198"/>
  <c r="K512" i="198"/>
  <c r="J512" i="198"/>
  <c r="I512" i="198"/>
  <c r="H512" i="198"/>
  <c r="G512" i="198"/>
  <c r="F512" i="198"/>
  <c r="E512" i="198"/>
  <c r="D512" i="198"/>
  <c r="C512" i="198"/>
  <c r="B512" i="198"/>
  <c r="A512" i="198"/>
  <c r="DA511" i="198"/>
  <c r="CZ511" i="198"/>
  <c r="CY511" i="198"/>
  <c r="CX511" i="198"/>
  <c r="CW511" i="198"/>
  <c r="CV511" i="198"/>
  <c r="CU511" i="198"/>
  <c r="CT511" i="198"/>
  <c r="CS511" i="198"/>
  <c r="CR511" i="198"/>
  <c r="CQ511" i="198"/>
  <c r="CP511" i="198"/>
  <c r="CO511" i="198"/>
  <c r="CN511" i="198"/>
  <c r="CM511" i="198"/>
  <c r="CL511" i="198"/>
  <c r="CK511" i="198"/>
  <c r="CJ511" i="198"/>
  <c r="CI511" i="198"/>
  <c r="CH511" i="198"/>
  <c r="CG511" i="198"/>
  <c r="CF511" i="198"/>
  <c r="CE511" i="198"/>
  <c r="CD511" i="198"/>
  <c r="CC511" i="198"/>
  <c r="CB511" i="198"/>
  <c r="CA511" i="198"/>
  <c r="BZ511" i="198"/>
  <c r="BY511" i="198"/>
  <c r="BX511" i="198"/>
  <c r="BW511" i="198"/>
  <c r="BV511" i="198"/>
  <c r="BU511" i="198"/>
  <c r="BT511" i="198"/>
  <c r="BS511" i="198"/>
  <c r="BR511" i="198"/>
  <c r="BQ511" i="198"/>
  <c r="BP511" i="198"/>
  <c r="BO511" i="198"/>
  <c r="BN511" i="198"/>
  <c r="BM511" i="198"/>
  <c r="BL511" i="198"/>
  <c r="BK511" i="198"/>
  <c r="BJ511" i="198"/>
  <c r="BI511" i="198"/>
  <c r="BH511" i="198"/>
  <c r="BG511" i="198"/>
  <c r="BF511" i="198"/>
  <c r="BE511" i="198"/>
  <c r="BD511" i="198"/>
  <c r="BC511" i="198"/>
  <c r="BB511" i="198"/>
  <c r="BA511" i="198"/>
  <c r="AZ511" i="198"/>
  <c r="AY511" i="198"/>
  <c r="AX511" i="198"/>
  <c r="AW511" i="198"/>
  <c r="AV511" i="198"/>
  <c r="AU511" i="198"/>
  <c r="AT511" i="198"/>
  <c r="AS511" i="198"/>
  <c r="AR511" i="198"/>
  <c r="AQ511" i="198"/>
  <c r="AP511" i="198"/>
  <c r="AO511" i="198"/>
  <c r="AN511" i="198"/>
  <c r="AM511" i="198"/>
  <c r="AL511" i="198"/>
  <c r="AK511" i="198"/>
  <c r="AJ511" i="198"/>
  <c r="AI511" i="198"/>
  <c r="AH511" i="198"/>
  <c r="AG511" i="198"/>
  <c r="AF511" i="198"/>
  <c r="AE511" i="198"/>
  <c r="AD511" i="198"/>
  <c r="AC511" i="198"/>
  <c r="AB511" i="198"/>
  <c r="AA511" i="198"/>
  <c r="Z511" i="198"/>
  <c r="Y511" i="198"/>
  <c r="X511" i="198"/>
  <c r="W511" i="198"/>
  <c r="V511" i="198"/>
  <c r="U511" i="198"/>
  <c r="T511" i="198"/>
  <c r="S511" i="198"/>
  <c r="R511" i="198"/>
  <c r="Q511" i="198"/>
  <c r="P511" i="198"/>
  <c r="O511" i="198"/>
  <c r="N511" i="198"/>
  <c r="M511" i="198"/>
  <c r="L511" i="198"/>
  <c r="K511" i="198"/>
  <c r="J511" i="198"/>
  <c r="I511" i="198"/>
  <c r="H511" i="198"/>
  <c r="G511" i="198"/>
  <c r="F511" i="198"/>
  <c r="E511" i="198"/>
  <c r="D511" i="198"/>
  <c r="C511" i="198"/>
  <c r="B511" i="198"/>
  <c r="A511" i="198"/>
  <c r="DA510" i="198"/>
  <c r="CZ510" i="198"/>
  <c r="CY510" i="198"/>
  <c r="CX510" i="198"/>
  <c r="CW510" i="198"/>
  <c r="CV510" i="198"/>
  <c r="CU510" i="198"/>
  <c r="CT510" i="198"/>
  <c r="CS510" i="198"/>
  <c r="CR510" i="198"/>
  <c r="CQ510" i="198"/>
  <c r="CP510" i="198"/>
  <c r="CO510" i="198"/>
  <c r="CN510" i="198"/>
  <c r="CM510" i="198"/>
  <c r="CL510" i="198"/>
  <c r="CK510" i="198"/>
  <c r="CJ510" i="198"/>
  <c r="CI510" i="198"/>
  <c r="CH510" i="198"/>
  <c r="CG510" i="198"/>
  <c r="CF510" i="198"/>
  <c r="CE510" i="198"/>
  <c r="CD510" i="198"/>
  <c r="CC510" i="198"/>
  <c r="CB510" i="198"/>
  <c r="CA510" i="198"/>
  <c r="BZ510" i="198"/>
  <c r="BY510" i="198"/>
  <c r="BX510" i="198"/>
  <c r="BW510" i="198"/>
  <c r="BV510" i="198"/>
  <c r="BU510" i="198"/>
  <c r="BT510" i="198"/>
  <c r="BS510" i="198"/>
  <c r="BR510" i="198"/>
  <c r="BQ510" i="198"/>
  <c r="BP510" i="198"/>
  <c r="BO510" i="198"/>
  <c r="BN510" i="198"/>
  <c r="BM510" i="198"/>
  <c r="BL510" i="198"/>
  <c r="BK510" i="198"/>
  <c r="BJ510" i="198"/>
  <c r="BI510" i="198"/>
  <c r="BH510" i="198"/>
  <c r="BG510" i="198"/>
  <c r="BF510" i="198"/>
  <c r="BE510" i="198"/>
  <c r="BD510" i="198"/>
  <c r="BC510" i="198"/>
  <c r="BB510" i="198"/>
  <c r="BA510" i="198"/>
  <c r="AZ510" i="198"/>
  <c r="AY510" i="198"/>
  <c r="AX510" i="198"/>
  <c r="AW510" i="198"/>
  <c r="AV510" i="198"/>
  <c r="AU510" i="198"/>
  <c r="AT510" i="198"/>
  <c r="AS510" i="198"/>
  <c r="AR510" i="198"/>
  <c r="AQ510" i="198"/>
  <c r="AP510" i="198"/>
  <c r="AO510" i="198"/>
  <c r="AN510" i="198"/>
  <c r="AM510" i="198"/>
  <c r="AL510" i="198"/>
  <c r="AK510" i="198"/>
  <c r="AJ510" i="198"/>
  <c r="AI510" i="198"/>
  <c r="AH510" i="198"/>
  <c r="AG510" i="198"/>
  <c r="AF510" i="198"/>
  <c r="AE510" i="198"/>
  <c r="AD510" i="198"/>
  <c r="AC510" i="198"/>
  <c r="AB510" i="198"/>
  <c r="AA510" i="198"/>
  <c r="Z510" i="198"/>
  <c r="Y510" i="198"/>
  <c r="X510" i="198"/>
  <c r="W510" i="198"/>
  <c r="V510" i="198"/>
  <c r="U510" i="198"/>
  <c r="T510" i="198"/>
  <c r="S510" i="198"/>
  <c r="R510" i="198"/>
  <c r="Q510" i="198"/>
  <c r="P510" i="198"/>
  <c r="O510" i="198"/>
  <c r="N510" i="198"/>
  <c r="M510" i="198"/>
  <c r="L510" i="198"/>
  <c r="K510" i="198"/>
  <c r="J510" i="198"/>
  <c r="I510" i="198"/>
  <c r="H510" i="198"/>
  <c r="G510" i="198"/>
  <c r="F510" i="198"/>
  <c r="E510" i="198"/>
  <c r="D510" i="198"/>
  <c r="C510" i="198"/>
  <c r="B510" i="198"/>
  <c r="A510" i="198"/>
  <c r="DA509" i="198"/>
  <c r="CZ509" i="198"/>
  <c r="CY509" i="198"/>
  <c r="CX509" i="198"/>
  <c r="CW509" i="198"/>
  <c r="CV509" i="198"/>
  <c r="CU509" i="198"/>
  <c r="CT509" i="198"/>
  <c r="CS509" i="198"/>
  <c r="CR509" i="198"/>
  <c r="CQ509" i="198"/>
  <c r="CP509" i="198"/>
  <c r="CO509" i="198"/>
  <c r="CN509" i="198"/>
  <c r="CM509" i="198"/>
  <c r="CL509" i="198"/>
  <c r="CK509" i="198"/>
  <c r="CJ509" i="198"/>
  <c r="CI509" i="198"/>
  <c r="CH509" i="198"/>
  <c r="CG509" i="198"/>
  <c r="CF509" i="198"/>
  <c r="CE509" i="198"/>
  <c r="CD509" i="198"/>
  <c r="CC509" i="198"/>
  <c r="CB509" i="198"/>
  <c r="CA509" i="198"/>
  <c r="BZ509" i="198"/>
  <c r="BY509" i="198"/>
  <c r="BX509" i="198"/>
  <c r="BW509" i="198"/>
  <c r="BV509" i="198"/>
  <c r="BU509" i="198"/>
  <c r="BT509" i="198"/>
  <c r="BS509" i="198"/>
  <c r="BR509" i="198"/>
  <c r="BQ509" i="198"/>
  <c r="BP509" i="198"/>
  <c r="BO509" i="198"/>
  <c r="BN509" i="198"/>
  <c r="BM509" i="198"/>
  <c r="BL509" i="198"/>
  <c r="BK509" i="198"/>
  <c r="BJ509" i="198"/>
  <c r="BI509" i="198"/>
  <c r="BH509" i="198"/>
  <c r="BG509" i="198"/>
  <c r="BF509" i="198"/>
  <c r="BE509" i="198"/>
  <c r="BD509" i="198"/>
  <c r="BC509" i="198"/>
  <c r="BB509" i="198"/>
  <c r="BA509" i="198"/>
  <c r="AZ509" i="198"/>
  <c r="AY509" i="198"/>
  <c r="AX509" i="198"/>
  <c r="AW509" i="198"/>
  <c r="AV509" i="198"/>
  <c r="AU509" i="198"/>
  <c r="AT509" i="198"/>
  <c r="AS509" i="198"/>
  <c r="AR509" i="198"/>
  <c r="AQ509" i="198"/>
  <c r="AP509" i="198"/>
  <c r="AO509" i="198"/>
  <c r="AN509" i="198"/>
  <c r="AM509" i="198"/>
  <c r="AL509" i="198"/>
  <c r="AK509" i="198"/>
  <c r="AJ509" i="198"/>
  <c r="AI509" i="198"/>
  <c r="AH509" i="198"/>
  <c r="AG509" i="198"/>
  <c r="AF509" i="198"/>
  <c r="AE509" i="198"/>
  <c r="AD509" i="198"/>
  <c r="AC509" i="198"/>
  <c r="AB509" i="198"/>
  <c r="AA509" i="198"/>
  <c r="Z509" i="198"/>
  <c r="Y509" i="198"/>
  <c r="X509" i="198"/>
  <c r="W509" i="198"/>
  <c r="V509" i="198"/>
  <c r="U509" i="198"/>
  <c r="T509" i="198"/>
  <c r="S509" i="198"/>
  <c r="R509" i="198"/>
  <c r="Q509" i="198"/>
  <c r="P509" i="198"/>
  <c r="O509" i="198"/>
  <c r="N509" i="198"/>
  <c r="M509" i="198"/>
  <c r="L509" i="198"/>
  <c r="K509" i="198"/>
  <c r="J509" i="198"/>
  <c r="I509" i="198"/>
  <c r="H509" i="198"/>
  <c r="G509" i="198"/>
  <c r="F509" i="198"/>
  <c r="E509" i="198"/>
  <c r="D509" i="198"/>
  <c r="C509" i="198"/>
  <c r="B509" i="198"/>
  <c r="A509" i="198"/>
  <c r="DA508" i="198"/>
  <c r="CZ508" i="198"/>
  <c r="CY508" i="198"/>
  <c r="CX508" i="198"/>
  <c r="CW508" i="198"/>
  <c r="CV508" i="198"/>
  <c r="CU508" i="198"/>
  <c r="CT508" i="198"/>
  <c r="CS508" i="198"/>
  <c r="CR508" i="198"/>
  <c r="CQ508" i="198"/>
  <c r="CP508" i="198"/>
  <c r="CO508" i="198"/>
  <c r="CN508" i="198"/>
  <c r="CM508" i="198"/>
  <c r="CL508" i="198"/>
  <c r="CK508" i="198"/>
  <c r="CJ508" i="198"/>
  <c r="CI508" i="198"/>
  <c r="CH508" i="198"/>
  <c r="CG508" i="198"/>
  <c r="CF508" i="198"/>
  <c r="CE508" i="198"/>
  <c r="CD508" i="198"/>
  <c r="CC508" i="198"/>
  <c r="CB508" i="198"/>
  <c r="CA508" i="198"/>
  <c r="BZ508" i="198"/>
  <c r="BY508" i="198"/>
  <c r="BX508" i="198"/>
  <c r="BW508" i="198"/>
  <c r="BV508" i="198"/>
  <c r="BU508" i="198"/>
  <c r="BT508" i="198"/>
  <c r="BS508" i="198"/>
  <c r="BR508" i="198"/>
  <c r="BQ508" i="198"/>
  <c r="BP508" i="198"/>
  <c r="BO508" i="198"/>
  <c r="BN508" i="198"/>
  <c r="BM508" i="198"/>
  <c r="BL508" i="198"/>
  <c r="BK508" i="198"/>
  <c r="BJ508" i="198"/>
  <c r="BI508" i="198"/>
  <c r="BH508" i="198"/>
  <c r="BG508" i="198"/>
  <c r="BF508" i="198"/>
  <c r="BE508" i="198"/>
  <c r="BD508" i="198"/>
  <c r="BC508" i="198"/>
  <c r="BB508" i="198"/>
  <c r="BA508" i="198"/>
  <c r="AZ508" i="198"/>
  <c r="AY508" i="198"/>
  <c r="AX508" i="198"/>
  <c r="AW508" i="198"/>
  <c r="AV508" i="198"/>
  <c r="AU508" i="198"/>
  <c r="AT508" i="198"/>
  <c r="AS508" i="198"/>
  <c r="AR508" i="198"/>
  <c r="AQ508" i="198"/>
  <c r="AP508" i="198"/>
  <c r="AO508" i="198"/>
  <c r="AN508" i="198"/>
  <c r="AM508" i="198"/>
  <c r="AL508" i="198"/>
  <c r="AK508" i="198"/>
  <c r="AJ508" i="198"/>
  <c r="AI508" i="198"/>
  <c r="AH508" i="198"/>
  <c r="AG508" i="198"/>
  <c r="AF508" i="198"/>
  <c r="AE508" i="198"/>
  <c r="AD508" i="198"/>
  <c r="AC508" i="198"/>
  <c r="AB508" i="198"/>
  <c r="AA508" i="198"/>
  <c r="Z508" i="198"/>
  <c r="Y508" i="198"/>
  <c r="X508" i="198"/>
  <c r="W508" i="198"/>
  <c r="V508" i="198"/>
  <c r="U508" i="198"/>
  <c r="T508" i="198"/>
  <c r="S508" i="198"/>
  <c r="R508" i="198"/>
  <c r="Q508" i="198"/>
  <c r="P508" i="198"/>
  <c r="O508" i="198"/>
  <c r="N508" i="198"/>
  <c r="M508" i="198"/>
  <c r="L508" i="198"/>
  <c r="K508" i="198"/>
  <c r="J508" i="198"/>
  <c r="I508" i="198"/>
  <c r="H508" i="198"/>
  <c r="G508" i="198"/>
  <c r="F508" i="198"/>
  <c r="E508" i="198"/>
  <c r="D508" i="198"/>
  <c r="C508" i="198"/>
  <c r="B508" i="198"/>
  <c r="A508" i="198"/>
  <c r="CS507" i="198"/>
  <c r="CR507" i="198"/>
  <c r="CQ507" i="198"/>
  <c r="CP507" i="198"/>
  <c r="CO507" i="198"/>
  <c r="CN507" i="198"/>
  <c r="CM507" i="198"/>
  <c r="CL507" i="198"/>
  <c r="CK507" i="198"/>
  <c r="CJ507" i="198"/>
  <c r="CI507" i="198"/>
  <c r="CH507" i="198"/>
  <c r="CG507" i="198"/>
  <c r="CF507" i="198"/>
  <c r="CE507" i="198"/>
  <c r="CD507" i="198"/>
  <c r="CC507" i="198"/>
  <c r="CB507" i="198"/>
  <c r="CA507" i="198"/>
  <c r="BZ507" i="198"/>
  <c r="BY507" i="198"/>
  <c r="BX507" i="198"/>
  <c r="BW507" i="198"/>
  <c r="BV507" i="198"/>
  <c r="BU507" i="198"/>
  <c r="BT507" i="198"/>
  <c r="BS507" i="198"/>
  <c r="BR507" i="198"/>
  <c r="BQ507" i="198"/>
  <c r="BP507" i="198"/>
  <c r="BO507" i="198"/>
  <c r="BN507" i="198"/>
  <c r="BM507" i="198"/>
  <c r="BL507" i="198"/>
  <c r="BK507" i="198"/>
  <c r="BJ507" i="198"/>
  <c r="BI507" i="198"/>
  <c r="BH507" i="198"/>
  <c r="BG507" i="198"/>
  <c r="BF507" i="198"/>
  <c r="BE507" i="198"/>
  <c r="BD507" i="198"/>
  <c r="BC507" i="198"/>
  <c r="BB507" i="198"/>
  <c r="BA507" i="198"/>
  <c r="AZ507" i="198"/>
  <c r="AY507" i="198"/>
  <c r="AX507" i="198"/>
  <c r="AW507" i="198"/>
  <c r="AV507" i="198"/>
  <c r="AU507" i="198"/>
  <c r="AT507" i="198"/>
  <c r="AS507" i="198"/>
  <c r="AR507" i="198"/>
  <c r="AQ507" i="198"/>
  <c r="AP507" i="198"/>
  <c r="AO507" i="198"/>
  <c r="AN507" i="198"/>
  <c r="AM507" i="198"/>
  <c r="AL507" i="198"/>
  <c r="AK507" i="198"/>
  <c r="AJ507" i="198"/>
  <c r="AI507" i="198"/>
  <c r="AH507" i="198"/>
  <c r="AG507" i="198"/>
  <c r="AF507" i="198"/>
  <c r="AE507" i="198"/>
  <c r="AD507" i="198"/>
  <c r="AC507" i="198"/>
  <c r="AB507" i="198"/>
  <c r="AA507" i="198"/>
  <c r="Z507" i="198"/>
  <c r="Y507" i="198"/>
  <c r="X507" i="198"/>
  <c r="W507" i="198"/>
  <c r="V507" i="198"/>
  <c r="U507" i="198"/>
  <c r="T507" i="198"/>
  <c r="S507" i="198"/>
  <c r="R507" i="198"/>
  <c r="Q507" i="198"/>
  <c r="P507" i="198"/>
  <c r="O507" i="198"/>
  <c r="N507" i="198"/>
  <c r="M507" i="198"/>
  <c r="L507" i="198"/>
  <c r="K507" i="198"/>
  <c r="J507" i="198"/>
  <c r="I507" i="198"/>
  <c r="H507" i="198"/>
  <c r="G507" i="198"/>
  <c r="F507" i="198"/>
  <c r="E507" i="198"/>
  <c r="D507" i="198"/>
  <c r="C507" i="198"/>
  <c r="B507" i="198"/>
  <c r="A507" i="198"/>
  <c r="ED504" i="198"/>
  <c r="EC504" i="198"/>
  <c r="EB504" i="198"/>
  <c r="EA504" i="198"/>
  <c r="DZ504" i="198"/>
  <c r="DY504" i="198"/>
  <c r="DX504" i="198"/>
  <c r="DW504" i="198"/>
  <c r="DV504" i="198"/>
  <c r="DU504" i="198"/>
  <c r="DT504" i="198"/>
  <c r="DS504" i="198"/>
  <c r="DR504" i="198"/>
  <c r="DQ504" i="198"/>
  <c r="DP504" i="198"/>
  <c r="DO504" i="198"/>
  <c r="DN504" i="198"/>
  <c r="DM504" i="198"/>
  <c r="DL504" i="198"/>
  <c r="DK504" i="198"/>
  <c r="DJ504" i="198"/>
  <c r="DI504" i="198"/>
  <c r="DH504" i="198"/>
  <c r="DG504" i="198"/>
  <c r="DF504" i="198"/>
  <c r="DE504" i="198"/>
  <c r="DD504" i="198"/>
  <c r="DC504" i="198"/>
  <c r="ED503" i="198"/>
  <c r="EC503" i="198"/>
  <c r="EB503" i="198"/>
  <c r="EA503" i="198"/>
  <c r="DZ503" i="198"/>
  <c r="DY503" i="198"/>
  <c r="DX503" i="198"/>
  <c r="DW503" i="198"/>
  <c r="DV503" i="198"/>
  <c r="DU503" i="198"/>
  <c r="DT503" i="198"/>
  <c r="DS503" i="198"/>
  <c r="DR503" i="198"/>
  <c r="DQ503" i="198"/>
  <c r="DP503" i="198"/>
  <c r="DO503" i="198"/>
  <c r="DN503" i="198"/>
  <c r="DM503" i="198"/>
  <c r="DL503" i="198"/>
  <c r="DK503" i="198"/>
  <c r="DJ503" i="198"/>
  <c r="DI503" i="198"/>
  <c r="DH503" i="198"/>
  <c r="DG503" i="198"/>
  <c r="DF503" i="198"/>
  <c r="DE503" i="198"/>
  <c r="DD503" i="198"/>
  <c r="DC503" i="198"/>
  <c r="ED502" i="198"/>
  <c r="EC502" i="198"/>
  <c r="EB502" i="198"/>
  <c r="EA502" i="198"/>
  <c r="DZ502" i="198"/>
  <c r="DY502" i="198"/>
  <c r="DX502" i="198"/>
  <c r="DW502" i="198"/>
  <c r="DV502" i="198"/>
  <c r="DU502" i="198"/>
  <c r="DT502" i="198"/>
  <c r="DS502" i="198"/>
  <c r="DR502" i="198"/>
  <c r="DQ502" i="198"/>
  <c r="DP502" i="198"/>
  <c r="DO502" i="198"/>
  <c r="DN502" i="198"/>
  <c r="DM502" i="198"/>
  <c r="DL502" i="198"/>
  <c r="DK502" i="198"/>
  <c r="DJ502" i="198"/>
  <c r="DI502" i="198"/>
  <c r="DH502" i="198"/>
  <c r="DG502" i="198"/>
  <c r="DF502" i="198"/>
  <c r="DE502" i="198"/>
  <c r="DD502" i="198"/>
  <c r="DC502" i="198"/>
  <c r="ED501" i="198"/>
  <c r="EC501" i="198"/>
  <c r="EB501" i="198"/>
  <c r="EA501" i="198"/>
  <c r="DZ501" i="198"/>
  <c r="DY501" i="198"/>
  <c r="DX501" i="198"/>
  <c r="DW501" i="198"/>
  <c r="DV501" i="198"/>
  <c r="DU501" i="198"/>
  <c r="DT501" i="198"/>
  <c r="DS501" i="198"/>
  <c r="DR501" i="198"/>
  <c r="DQ501" i="198"/>
  <c r="DP501" i="198"/>
  <c r="DO501" i="198"/>
  <c r="DN501" i="198"/>
  <c r="DM501" i="198"/>
  <c r="DL501" i="198"/>
  <c r="DK501" i="198"/>
  <c r="DJ501" i="198"/>
  <c r="DI501" i="198"/>
  <c r="DH501" i="198"/>
  <c r="DG501" i="198"/>
  <c r="DF501" i="198"/>
  <c r="DE501" i="198"/>
  <c r="DD501" i="198"/>
  <c r="DC501" i="198"/>
  <c r="ED500" i="198"/>
  <c r="EC500" i="198"/>
  <c r="EB500" i="198"/>
  <c r="EA500" i="198"/>
  <c r="DZ500" i="198"/>
  <c r="DY500" i="198"/>
  <c r="DX500" i="198"/>
  <c r="DW500" i="198"/>
  <c r="DV500" i="198"/>
  <c r="DU500" i="198"/>
  <c r="DT500" i="198"/>
  <c r="DS500" i="198"/>
  <c r="DR500" i="198"/>
  <c r="DQ500" i="198"/>
  <c r="DP500" i="198"/>
  <c r="DO500" i="198"/>
  <c r="DN500" i="198"/>
  <c r="DM500" i="198"/>
  <c r="DL500" i="198"/>
  <c r="DK500" i="198"/>
  <c r="DJ500" i="198"/>
  <c r="DI500" i="198"/>
  <c r="DH500" i="198"/>
  <c r="DG500" i="198"/>
  <c r="DF500" i="198"/>
  <c r="DE500" i="198"/>
  <c r="DD500" i="198"/>
  <c r="DC500" i="198"/>
  <c r="DA504" i="198"/>
  <c r="CZ504" i="198"/>
  <c r="CY504" i="198"/>
  <c r="CX504" i="198"/>
  <c r="CW504" i="198"/>
  <c r="CV504" i="198"/>
  <c r="CU504" i="198"/>
  <c r="CT504" i="198"/>
  <c r="CS504" i="198"/>
  <c r="CR504" i="198"/>
  <c r="CQ504" i="198"/>
  <c r="CP504" i="198"/>
  <c r="CO504" i="198"/>
  <c r="CN504" i="198"/>
  <c r="CM504" i="198"/>
  <c r="CL504" i="198"/>
  <c r="CK504" i="198"/>
  <c r="CJ504" i="198"/>
  <c r="CI504" i="198"/>
  <c r="CH504" i="198"/>
  <c r="CG504" i="198"/>
  <c r="CF504" i="198"/>
  <c r="CE504" i="198"/>
  <c r="CD504" i="198"/>
  <c r="CC504" i="198"/>
  <c r="CB504" i="198"/>
  <c r="CA504" i="198"/>
  <c r="BZ504" i="198"/>
  <c r="BY504" i="198"/>
  <c r="BX504" i="198"/>
  <c r="BW504" i="198"/>
  <c r="BV504" i="198"/>
  <c r="BU504" i="198"/>
  <c r="BT504" i="198"/>
  <c r="BS504" i="198"/>
  <c r="BR504" i="198"/>
  <c r="BQ504" i="198"/>
  <c r="BP504" i="198"/>
  <c r="BO504" i="198"/>
  <c r="BN504" i="198"/>
  <c r="BM504" i="198"/>
  <c r="BL504" i="198"/>
  <c r="BK504" i="198"/>
  <c r="BJ504" i="198"/>
  <c r="BI504" i="198"/>
  <c r="BH504" i="198"/>
  <c r="BG504" i="198"/>
  <c r="BF504" i="198"/>
  <c r="BE504" i="198"/>
  <c r="BD504" i="198"/>
  <c r="BC504" i="198"/>
  <c r="BB504" i="198"/>
  <c r="BA504" i="198"/>
  <c r="AZ504" i="198"/>
  <c r="AY504" i="198"/>
  <c r="AX504" i="198"/>
  <c r="AW504" i="198"/>
  <c r="AV504" i="198"/>
  <c r="AU504" i="198"/>
  <c r="AT504" i="198"/>
  <c r="AS504" i="198"/>
  <c r="AR504" i="198"/>
  <c r="AQ504" i="198"/>
  <c r="AP504" i="198"/>
  <c r="AO504" i="198"/>
  <c r="AN504" i="198"/>
  <c r="AM504" i="198"/>
  <c r="AL504" i="198"/>
  <c r="AK504" i="198"/>
  <c r="AJ504" i="198"/>
  <c r="AI504" i="198"/>
  <c r="AH504" i="198"/>
  <c r="AG504" i="198"/>
  <c r="AF504" i="198"/>
  <c r="AE504" i="198"/>
  <c r="AD504" i="198"/>
  <c r="AC504" i="198"/>
  <c r="AB504" i="198"/>
  <c r="AA504" i="198"/>
  <c r="Z504" i="198"/>
  <c r="Y504" i="198"/>
  <c r="X504" i="198"/>
  <c r="W504" i="198"/>
  <c r="V504" i="198"/>
  <c r="U504" i="198"/>
  <c r="T504" i="198"/>
  <c r="S504" i="198"/>
  <c r="R504" i="198"/>
  <c r="Q504" i="198"/>
  <c r="P504" i="198"/>
  <c r="O504" i="198"/>
  <c r="N504" i="198"/>
  <c r="M504" i="198"/>
  <c r="L504" i="198"/>
  <c r="K504" i="198"/>
  <c r="J504" i="198"/>
  <c r="I504" i="198"/>
  <c r="H504" i="198"/>
  <c r="G504" i="198"/>
  <c r="F504" i="198"/>
  <c r="E504" i="198"/>
  <c r="D504" i="198"/>
  <c r="C504" i="198"/>
  <c r="B504" i="198"/>
  <c r="A504" i="198"/>
  <c r="DA503" i="198"/>
  <c r="CZ503" i="198"/>
  <c r="CY503" i="198"/>
  <c r="CX503" i="198"/>
  <c r="CW503" i="198"/>
  <c r="CV503" i="198"/>
  <c r="CU503" i="198"/>
  <c r="CT503" i="198"/>
  <c r="CS503" i="198"/>
  <c r="CR503" i="198"/>
  <c r="CQ503" i="198"/>
  <c r="CP503" i="198"/>
  <c r="CO503" i="198"/>
  <c r="CN503" i="198"/>
  <c r="CM503" i="198"/>
  <c r="CL503" i="198"/>
  <c r="CK503" i="198"/>
  <c r="CJ503" i="198"/>
  <c r="CI503" i="198"/>
  <c r="CH503" i="198"/>
  <c r="CG503" i="198"/>
  <c r="CF503" i="198"/>
  <c r="CE503" i="198"/>
  <c r="CD503" i="198"/>
  <c r="CC503" i="198"/>
  <c r="CB503" i="198"/>
  <c r="CA503" i="198"/>
  <c r="BZ503" i="198"/>
  <c r="BY503" i="198"/>
  <c r="BX503" i="198"/>
  <c r="BW503" i="198"/>
  <c r="BV503" i="198"/>
  <c r="BU503" i="198"/>
  <c r="BT503" i="198"/>
  <c r="BS503" i="198"/>
  <c r="BR503" i="198"/>
  <c r="BQ503" i="198"/>
  <c r="BP503" i="198"/>
  <c r="BO503" i="198"/>
  <c r="BN503" i="198"/>
  <c r="BM503" i="198"/>
  <c r="BL503" i="198"/>
  <c r="BK503" i="198"/>
  <c r="BJ503" i="198"/>
  <c r="BI503" i="198"/>
  <c r="BH503" i="198"/>
  <c r="BG503" i="198"/>
  <c r="BF503" i="198"/>
  <c r="BE503" i="198"/>
  <c r="BD503" i="198"/>
  <c r="BC503" i="198"/>
  <c r="BB503" i="198"/>
  <c r="BA503" i="198"/>
  <c r="AZ503" i="198"/>
  <c r="AY503" i="198"/>
  <c r="AX503" i="198"/>
  <c r="AW503" i="198"/>
  <c r="AV503" i="198"/>
  <c r="AU503" i="198"/>
  <c r="AT503" i="198"/>
  <c r="AS503" i="198"/>
  <c r="AR503" i="198"/>
  <c r="AQ503" i="198"/>
  <c r="AP503" i="198"/>
  <c r="AO503" i="198"/>
  <c r="AN503" i="198"/>
  <c r="AM503" i="198"/>
  <c r="AL503" i="198"/>
  <c r="AK503" i="198"/>
  <c r="AJ503" i="198"/>
  <c r="AI503" i="198"/>
  <c r="AH503" i="198"/>
  <c r="AG503" i="198"/>
  <c r="AF503" i="198"/>
  <c r="AE503" i="198"/>
  <c r="AD503" i="198"/>
  <c r="AC503" i="198"/>
  <c r="AB503" i="198"/>
  <c r="AA503" i="198"/>
  <c r="Z503" i="198"/>
  <c r="Y503" i="198"/>
  <c r="X503" i="198"/>
  <c r="W503" i="198"/>
  <c r="V503" i="198"/>
  <c r="U503" i="198"/>
  <c r="T503" i="198"/>
  <c r="S503" i="198"/>
  <c r="R503" i="198"/>
  <c r="Q503" i="198"/>
  <c r="P503" i="198"/>
  <c r="O503" i="198"/>
  <c r="N503" i="198"/>
  <c r="M503" i="198"/>
  <c r="L503" i="198"/>
  <c r="K503" i="198"/>
  <c r="J503" i="198"/>
  <c r="I503" i="198"/>
  <c r="H503" i="198"/>
  <c r="G503" i="198"/>
  <c r="F503" i="198"/>
  <c r="E503" i="198"/>
  <c r="D503" i="198"/>
  <c r="C503" i="198"/>
  <c r="B503" i="198"/>
  <c r="A503" i="198"/>
  <c r="DA502" i="198"/>
  <c r="CZ502" i="198"/>
  <c r="CY502" i="198"/>
  <c r="CX502" i="198"/>
  <c r="CW502" i="198"/>
  <c r="CV502" i="198"/>
  <c r="CU502" i="198"/>
  <c r="CT502" i="198"/>
  <c r="CS502" i="198"/>
  <c r="CR502" i="198"/>
  <c r="CQ502" i="198"/>
  <c r="CP502" i="198"/>
  <c r="CO502" i="198"/>
  <c r="CN502" i="198"/>
  <c r="CM502" i="198"/>
  <c r="CL502" i="198"/>
  <c r="CK502" i="198"/>
  <c r="CJ502" i="198"/>
  <c r="CI502" i="198"/>
  <c r="CH502" i="198"/>
  <c r="CG502" i="198"/>
  <c r="CF502" i="198"/>
  <c r="CE502" i="198"/>
  <c r="CD502" i="198"/>
  <c r="CC502" i="198"/>
  <c r="CB502" i="198"/>
  <c r="CA502" i="198"/>
  <c r="BZ502" i="198"/>
  <c r="BY502" i="198"/>
  <c r="BX502" i="198"/>
  <c r="BW502" i="198"/>
  <c r="BV502" i="198"/>
  <c r="BU502" i="198"/>
  <c r="BT502" i="198"/>
  <c r="BS502" i="198"/>
  <c r="BR502" i="198"/>
  <c r="BQ502" i="198"/>
  <c r="BP502" i="198"/>
  <c r="BO502" i="198"/>
  <c r="BN502" i="198"/>
  <c r="BM502" i="198"/>
  <c r="BL502" i="198"/>
  <c r="BK502" i="198"/>
  <c r="BJ502" i="198"/>
  <c r="BI502" i="198"/>
  <c r="BH502" i="198"/>
  <c r="BG502" i="198"/>
  <c r="BF502" i="198"/>
  <c r="BE502" i="198"/>
  <c r="BD502" i="198"/>
  <c r="BC502" i="198"/>
  <c r="BB502" i="198"/>
  <c r="BA502" i="198"/>
  <c r="AZ502" i="198"/>
  <c r="AY502" i="198"/>
  <c r="AX502" i="198"/>
  <c r="AW502" i="198"/>
  <c r="AV502" i="198"/>
  <c r="AU502" i="198"/>
  <c r="AT502" i="198"/>
  <c r="AS502" i="198"/>
  <c r="AR502" i="198"/>
  <c r="AQ502" i="198"/>
  <c r="AP502" i="198"/>
  <c r="AO502" i="198"/>
  <c r="AN502" i="198"/>
  <c r="AM502" i="198"/>
  <c r="AL502" i="198"/>
  <c r="AK502" i="198"/>
  <c r="AJ502" i="198"/>
  <c r="AI502" i="198"/>
  <c r="AH502" i="198"/>
  <c r="AG502" i="198"/>
  <c r="AF502" i="198"/>
  <c r="AE502" i="198"/>
  <c r="AD502" i="198"/>
  <c r="AC502" i="198"/>
  <c r="AB502" i="198"/>
  <c r="AA502" i="198"/>
  <c r="Z502" i="198"/>
  <c r="Y502" i="198"/>
  <c r="X502" i="198"/>
  <c r="W502" i="198"/>
  <c r="V502" i="198"/>
  <c r="U502" i="198"/>
  <c r="T502" i="198"/>
  <c r="S502" i="198"/>
  <c r="R502" i="198"/>
  <c r="Q502" i="198"/>
  <c r="P502" i="198"/>
  <c r="O502" i="198"/>
  <c r="N502" i="198"/>
  <c r="M502" i="198"/>
  <c r="L502" i="198"/>
  <c r="K502" i="198"/>
  <c r="J502" i="198"/>
  <c r="I502" i="198"/>
  <c r="H502" i="198"/>
  <c r="G502" i="198"/>
  <c r="F502" i="198"/>
  <c r="E502" i="198"/>
  <c r="D502" i="198"/>
  <c r="C502" i="198"/>
  <c r="B502" i="198"/>
  <c r="A502" i="198"/>
  <c r="DA501" i="198"/>
  <c r="CZ501" i="198"/>
  <c r="CY501" i="198"/>
  <c r="CX501" i="198"/>
  <c r="CW501" i="198"/>
  <c r="CV501" i="198"/>
  <c r="CU501" i="198"/>
  <c r="CT501" i="198"/>
  <c r="CS501" i="198"/>
  <c r="CR501" i="198"/>
  <c r="CQ501" i="198"/>
  <c r="CP501" i="198"/>
  <c r="CO501" i="198"/>
  <c r="CN501" i="198"/>
  <c r="CM501" i="198"/>
  <c r="CL501" i="198"/>
  <c r="CK501" i="198"/>
  <c r="CJ501" i="198"/>
  <c r="CI501" i="198"/>
  <c r="CH501" i="198"/>
  <c r="CG501" i="198"/>
  <c r="CF501" i="198"/>
  <c r="CE501" i="198"/>
  <c r="CD501" i="198"/>
  <c r="CC501" i="198"/>
  <c r="CB501" i="198"/>
  <c r="CA501" i="198"/>
  <c r="BZ501" i="198"/>
  <c r="BY501" i="198"/>
  <c r="BX501" i="198"/>
  <c r="BW501" i="198"/>
  <c r="BV501" i="198"/>
  <c r="BU501" i="198"/>
  <c r="BT501" i="198"/>
  <c r="BS501" i="198"/>
  <c r="BR501" i="198"/>
  <c r="BQ501" i="198"/>
  <c r="BP501" i="198"/>
  <c r="BO501" i="198"/>
  <c r="BN501" i="198"/>
  <c r="BM501" i="198"/>
  <c r="BL501" i="198"/>
  <c r="BK501" i="198"/>
  <c r="BJ501" i="198"/>
  <c r="BI501" i="198"/>
  <c r="BH501" i="198"/>
  <c r="BG501" i="198"/>
  <c r="BF501" i="198"/>
  <c r="BE501" i="198"/>
  <c r="BD501" i="198"/>
  <c r="BC501" i="198"/>
  <c r="BB501" i="198"/>
  <c r="BA501" i="198"/>
  <c r="AZ501" i="198"/>
  <c r="AY501" i="198"/>
  <c r="AX501" i="198"/>
  <c r="AW501" i="198"/>
  <c r="AV501" i="198"/>
  <c r="AU501" i="198"/>
  <c r="AT501" i="198"/>
  <c r="AS501" i="198"/>
  <c r="AR501" i="198"/>
  <c r="AQ501" i="198"/>
  <c r="AP501" i="198"/>
  <c r="AO501" i="198"/>
  <c r="AN501" i="198"/>
  <c r="AM501" i="198"/>
  <c r="AL501" i="198"/>
  <c r="AK501" i="198"/>
  <c r="AJ501" i="198"/>
  <c r="AI501" i="198"/>
  <c r="AH501" i="198"/>
  <c r="AG501" i="198"/>
  <c r="AF501" i="198"/>
  <c r="AE501" i="198"/>
  <c r="AD501" i="198"/>
  <c r="AC501" i="198"/>
  <c r="AB501" i="198"/>
  <c r="AA501" i="198"/>
  <c r="Z501" i="198"/>
  <c r="Y501" i="198"/>
  <c r="X501" i="198"/>
  <c r="W501" i="198"/>
  <c r="V501" i="198"/>
  <c r="U501" i="198"/>
  <c r="T501" i="198"/>
  <c r="S501" i="198"/>
  <c r="R501" i="198"/>
  <c r="Q501" i="198"/>
  <c r="P501" i="198"/>
  <c r="O501" i="198"/>
  <c r="N501" i="198"/>
  <c r="M501" i="198"/>
  <c r="L501" i="198"/>
  <c r="K501" i="198"/>
  <c r="J501" i="198"/>
  <c r="I501" i="198"/>
  <c r="H501" i="198"/>
  <c r="G501" i="198"/>
  <c r="F501" i="198"/>
  <c r="E501" i="198"/>
  <c r="D501" i="198"/>
  <c r="C501" i="198"/>
  <c r="B501" i="198"/>
  <c r="A501" i="198"/>
  <c r="DA500" i="198"/>
  <c r="CZ500" i="198"/>
  <c r="CY500" i="198"/>
  <c r="CX500" i="198"/>
  <c r="CW500" i="198"/>
  <c r="CV500" i="198"/>
  <c r="CU500" i="198"/>
  <c r="CT500" i="198"/>
  <c r="CS500" i="198"/>
  <c r="CR500" i="198"/>
  <c r="CQ500" i="198"/>
  <c r="CP500" i="198"/>
  <c r="CO500" i="198"/>
  <c r="CN500" i="198"/>
  <c r="CM500" i="198"/>
  <c r="CL500" i="198"/>
  <c r="CK500" i="198"/>
  <c r="CJ500" i="198"/>
  <c r="CI500" i="198"/>
  <c r="CH500" i="198"/>
  <c r="CG500" i="198"/>
  <c r="CF500" i="198"/>
  <c r="CE500" i="198"/>
  <c r="CD500" i="198"/>
  <c r="CC500" i="198"/>
  <c r="CB500" i="198"/>
  <c r="CA500" i="198"/>
  <c r="BZ500" i="198"/>
  <c r="BY500" i="198"/>
  <c r="BX500" i="198"/>
  <c r="BW500" i="198"/>
  <c r="BV500" i="198"/>
  <c r="BU500" i="198"/>
  <c r="BT500" i="198"/>
  <c r="BS500" i="198"/>
  <c r="BR500" i="198"/>
  <c r="BQ500" i="198"/>
  <c r="BP500" i="198"/>
  <c r="BO500" i="198"/>
  <c r="BN500" i="198"/>
  <c r="BM500" i="198"/>
  <c r="BL500" i="198"/>
  <c r="BK500" i="198"/>
  <c r="BJ500" i="198"/>
  <c r="BI500" i="198"/>
  <c r="BH500" i="198"/>
  <c r="BG500" i="198"/>
  <c r="BF500" i="198"/>
  <c r="BE500" i="198"/>
  <c r="BD500" i="198"/>
  <c r="BC500" i="198"/>
  <c r="BB500" i="198"/>
  <c r="BA500" i="198"/>
  <c r="AZ500" i="198"/>
  <c r="AY500" i="198"/>
  <c r="AX500" i="198"/>
  <c r="AW500" i="198"/>
  <c r="AV500" i="198"/>
  <c r="AU500" i="198"/>
  <c r="AT500" i="198"/>
  <c r="AS500" i="198"/>
  <c r="AR500" i="198"/>
  <c r="AQ500" i="198"/>
  <c r="AP500" i="198"/>
  <c r="AO500" i="198"/>
  <c r="AN500" i="198"/>
  <c r="AM500" i="198"/>
  <c r="AL500" i="198"/>
  <c r="AK500" i="198"/>
  <c r="AJ500" i="198"/>
  <c r="AI500" i="198"/>
  <c r="AH500" i="198"/>
  <c r="AG500" i="198"/>
  <c r="AF500" i="198"/>
  <c r="AE500" i="198"/>
  <c r="AD500" i="198"/>
  <c r="AC500" i="198"/>
  <c r="AB500" i="198"/>
  <c r="AA500" i="198"/>
  <c r="Z500" i="198"/>
  <c r="Y500" i="198"/>
  <c r="X500" i="198"/>
  <c r="W500" i="198"/>
  <c r="V500" i="198"/>
  <c r="U500" i="198"/>
  <c r="T500" i="198"/>
  <c r="S500" i="198"/>
  <c r="R500" i="198"/>
  <c r="Q500" i="198"/>
  <c r="P500" i="198"/>
  <c r="O500" i="198"/>
  <c r="N500" i="198"/>
  <c r="M500" i="198"/>
  <c r="L500" i="198"/>
  <c r="K500" i="198"/>
  <c r="J500" i="198"/>
  <c r="I500" i="198"/>
  <c r="H500" i="198"/>
  <c r="G500" i="198"/>
  <c r="F500" i="198"/>
  <c r="E500" i="198"/>
  <c r="D500" i="198"/>
  <c r="C500" i="198"/>
  <c r="B500" i="198"/>
  <c r="A500" i="198"/>
  <c r="A494" i="198"/>
  <c r="EB487" i="198"/>
  <c r="EA487" i="198"/>
  <c r="DZ487" i="198"/>
  <c r="DY487" i="198"/>
  <c r="DX487" i="198"/>
  <c r="DW487" i="198"/>
  <c r="DV487" i="198"/>
  <c r="DU487" i="198"/>
  <c r="DT487" i="198"/>
  <c r="DS487" i="198"/>
  <c r="DR487" i="198"/>
  <c r="DQ487" i="198"/>
  <c r="DP487" i="198"/>
  <c r="DO487" i="198"/>
  <c r="DN487" i="198"/>
  <c r="DM487" i="198"/>
  <c r="DL487" i="198"/>
  <c r="DK487" i="198"/>
  <c r="DJ487" i="198"/>
  <c r="DI487" i="198"/>
  <c r="DH487" i="198"/>
  <c r="DG487" i="198"/>
  <c r="DF487" i="198"/>
  <c r="DE487" i="198"/>
  <c r="DD487" i="198"/>
  <c r="DC487" i="198"/>
  <c r="EB486" i="198"/>
  <c r="EA486" i="198"/>
  <c r="DZ486" i="198"/>
  <c r="DY486" i="198"/>
  <c r="DX486" i="198"/>
  <c r="DW486" i="198"/>
  <c r="DV486" i="198"/>
  <c r="DU486" i="198"/>
  <c r="DT486" i="198"/>
  <c r="DS486" i="198"/>
  <c r="DR486" i="198"/>
  <c r="DQ486" i="198"/>
  <c r="DP486" i="198"/>
  <c r="DO486" i="198"/>
  <c r="DN486" i="198"/>
  <c r="DM486" i="198"/>
  <c r="DL486" i="198"/>
  <c r="DK486" i="198"/>
  <c r="DJ486" i="198"/>
  <c r="DI486" i="198"/>
  <c r="DH486" i="198"/>
  <c r="DG486" i="198"/>
  <c r="DF486" i="198"/>
  <c r="DE486" i="198"/>
  <c r="DD486" i="198"/>
  <c r="DC486" i="198"/>
  <c r="CZ487" i="198"/>
  <c r="CX487" i="198"/>
  <c r="CV487" i="198"/>
  <c r="CU487" i="198"/>
  <c r="CT487" i="198"/>
  <c r="CS487" i="198"/>
  <c r="CR487" i="198"/>
  <c r="CQ487" i="198"/>
  <c r="CP487" i="198"/>
  <c r="CO487" i="198"/>
  <c r="CN487" i="198"/>
  <c r="CM487" i="198"/>
  <c r="CL487" i="198"/>
  <c r="CK487" i="198"/>
  <c r="CJ487" i="198"/>
  <c r="CI487" i="198"/>
  <c r="CH487" i="198"/>
  <c r="CG487" i="198"/>
  <c r="CF487" i="198"/>
  <c r="CE487" i="198"/>
  <c r="CD487" i="198"/>
  <c r="CC487" i="198"/>
  <c r="CB487" i="198"/>
  <c r="CA487" i="198"/>
  <c r="BZ487" i="198"/>
  <c r="BY487" i="198"/>
  <c r="BX487" i="198"/>
  <c r="BW487" i="198"/>
  <c r="BV487" i="198"/>
  <c r="BU487" i="198"/>
  <c r="BT487" i="198"/>
  <c r="BS487" i="198"/>
  <c r="BR487" i="198"/>
  <c r="BQ487" i="198"/>
  <c r="BP487" i="198"/>
  <c r="BO487" i="198"/>
  <c r="BN487" i="198"/>
  <c r="BM487" i="198"/>
  <c r="BL487" i="198"/>
  <c r="BK487" i="198"/>
  <c r="BJ487" i="198"/>
  <c r="BI487" i="198"/>
  <c r="BH487" i="198"/>
  <c r="BG487" i="198"/>
  <c r="BF487" i="198"/>
  <c r="BE487" i="198"/>
  <c r="BD487" i="198"/>
  <c r="BC487" i="198"/>
  <c r="BB487" i="198"/>
  <c r="BA487" i="198"/>
  <c r="AZ487" i="198"/>
  <c r="AY487" i="198"/>
  <c r="AX487" i="198"/>
  <c r="AW487" i="198"/>
  <c r="AV487" i="198"/>
  <c r="AU487" i="198"/>
  <c r="AT487" i="198"/>
  <c r="AS487" i="198"/>
  <c r="AR487" i="198"/>
  <c r="AQ487" i="198"/>
  <c r="AP487" i="198"/>
  <c r="AO487" i="198"/>
  <c r="AN487" i="198"/>
  <c r="AM487" i="198"/>
  <c r="AL487" i="198"/>
  <c r="AK487" i="198"/>
  <c r="AJ487" i="198"/>
  <c r="AI487" i="198"/>
  <c r="AH487" i="198"/>
  <c r="AG487" i="198"/>
  <c r="AF487" i="198"/>
  <c r="AE487" i="198"/>
  <c r="AD487" i="198"/>
  <c r="AC487" i="198"/>
  <c r="AB487" i="198"/>
  <c r="AA487" i="198"/>
  <c r="Z487" i="198"/>
  <c r="Y487" i="198"/>
  <c r="X487" i="198"/>
  <c r="W487" i="198"/>
  <c r="V487" i="198"/>
  <c r="U487" i="198"/>
  <c r="T487" i="198"/>
  <c r="S487" i="198"/>
  <c r="R487" i="198"/>
  <c r="Q487" i="198"/>
  <c r="P487" i="198"/>
  <c r="O487" i="198"/>
  <c r="N487" i="198"/>
  <c r="M487" i="198"/>
  <c r="L487" i="198"/>
  <c r="K487" i="198"/>
  <c r="J487" i="198"/>
  <c r="I487" i="198"/>
  <c r="H487" i="198"/>
  <c r="G487" i="198"/>
  <c r="F487" i="198"/>
  <c r="E487" i="198"/>
  <c r="D487" i="198"/>
  <c r="C487" i="198"/>
  <c r="B487" i="198"/>
  <c r="A487" i="198"/>
  <c r="CZ486" i="198"/>
  <c r="CX486" i="198"/>
  <c r="CW486" i="198"/>
  <c r="CV486" i="198"/>
  <c r="CT486" i="198"/>
  <c r="CS486" i="198"/>
  <c r="CR486" i="198"/>
  <c r="CQ486" i="198"/>
  <c r="CP486" i="198"/>
  <c r="CO486" i="198"/>
  <c r="CN486" i="198"/>
  <c r="CM486" i="198"/>
  <c r="CL486" i="198"/>
  <c r="CK486" i="198"/>
  <c r="CJ486" i="198"/>
  <c r="CI486" i="198"/>
  <c r="CH486" i="198"/>
  <c r="CG486" i="198"/>
  <c r="CF486" i="198"/>
  <c r="CE486" i="198"/>
  <c r="CD486" i="198"/>
  <c r="CC486" i="198"/>
  <c r="CB486" i="198"/>
  <c r="CA486" i="198"/>
  <c r="BZ486" i="198"/>
  <c r="BY486" i="198"/>
  <c r="BX486" i="198"/>
  <c r="BW486" i="198"/>
  <c r="BV486" i="198"/>
  <c r="BU486" i="198"/>
  <c r="BT486" i="198"/>
  <c r="BS486" i="198"/>
  <c r="BR486" i="198"/>
  <c r="BQ486" i="198"/>
  <c r="BP486" i="198"/>
  <c r="BO486" i="198"/>
  <c r="BN486" i="198"/>
  <c r="BM486" i="198"/>
  <c r="BL486" i="198"/>
  <c r="BK486" i="198"/>
  <c r="BJ486" i="198"/>
  <c r="BI486" i="198"/>
  <c r="BH486" i="198"/>
  <c r="BG486" i="198"/>
  <c r="BF486" i="198"/>
  <c r="BE486" i="198"/>
  <c r="BD486" i="198"/>
  <c r="BC486" i="198"/>
  <c r="BB486" i="198"/>
  <c r="BA486" i="198"/>
  <c r="AZ486" i="198"/>
  <c r="AY486" i="198"/>
  <c r="AX486" i="198"/>
  <c r="AW486" i="198"/>
  <c r="AV486" i="198"/>
  <c r="AU486" i="198"/>
  <c r="AT486" i="198"/>
  <c r="AS486" i="198"/>
  <c r="AR486" i="198"/>
  <c r="AQ486" i="198"/>
  <c r="AP486" i="198"/>
  <c r="AO486" i="198"/>
  <c r="AN486" i="198"/>
  <c r="AM486" i="198"/>
  <c r="AL486" i="198"/>
  <c r="AK486" i="198"/>
  <c r="AJ486" i="198"/>
  <c r="AI486" i="198"/>
  <c r="AH486" i="198"/>
  <c r="AG486" i="198"/>
  <c r="AF486" i="198"/>
  <c r="AE486" i="198"/>
  <c r="AD486" i="198"/>
  <c r="AC486" i="198"/>
  <c r="AB486" i="198"/>
  <c r="AA486" i="198"/>
  <c r="Z486" i="198"/>
  <c r="Y486" i="198"/>
  <c r="X486" i="198"/>
  <c r="W486" i="198"/>
  <c r="V486" i="198"/>
  <c r="U486" i="198"/>
  <c r="T486" i="198"/>
  <c r="S486" i="198"/>
  <c r="R486" i="198"/>
  <c r="Q486" i="198"/>
  <c r="P486" i="198"/>
  <c r="O486" i="198"/>
  <c r="N486" i="198"/>
  <c r="M486" i="198"/>
  <c r="L486" i="198"/>
  <c r="K486" i="198"/>
  <c r="J486" i="198"/>
  <c r="I486" i="198"/>
  <c r="H486" i="198"/>
  <c r="G486" i="198"/>
  <c r="F486" i="198"/>
  <c r="E486" i="198"/>
  <c r="D486" i="198"/>
  <c r="C486" i="198"/>
  <c r="B486" i="198"/>
  <c r="A486" i="198"/>
  <c r="EM483" i="198"/>
  <c r="EL483" i="198"/>
  <c r="EK483" i="198"/>
  <c r="EJ483" i="198"/>
  <c r="EI483" i="198"/>
  <c r="EH483" i="198"/>
  <c r="EG483" i="198"/>
  <c r="EF483" i="198"/>
  <c r="EE483" i="198"/>
  <c r="ED483" i="198"/>
  <c r="EC483" i="198"/>
  <c r="EB483" i="198"/>
  <c r="EA483" i="198"/>
  <c r="DZ483" i="198"/>
  <c r="DY483" i="198"/>
  <c r="DX483" i="198"/>
  <c r="DW483" i="198"/>
  <c r="DV483" i="198"/>
  <c r="DU483" i="198"/>
  <c r="DT483" i="198"/>
  <c r="DS483" i="198"/>
  <c r="DR483" i="198"/>
  <c r="DQ483" i="198"/>
  <c r="DP483" i="198"/>
  <c r="DO483" i="198"/>
  <c r="DN483" i="198"/>
  <c r="DM483" i="198"/>
  <c r="DL483" i="198"/>
  <c r="DK483" i="198"/>
  <c r="DJ483" i="198"/>
  <c r="DI483" i="198"/>
  <c r="DH483" i="198"/>
  <c r="DG483" i="198"/>
  <c r="DF483" i="198"/>
  <c r="DE483" i="198"/>
  <c r="DD483" i="198"/>
  <c r="DC483" i="198"/>
  <c r="DA483" i="198"/>
  <c r="CZ483" i="198"/>
  <c r="CY483" i="198"/>
  <c r="CX483" i="198"/>
  <c r="CW483" i="198"/>
  <c r="CV483" i="198"/>
  <c r="CU483" i="198"/>
  <c r="CT483" i="198"/>
  <c r="CS483" i="198"/>
  <c r="CR483" i="198"/>
  <c r="CQ483" i="198"/>
  <c r="CP483" i="198"/>
  <c r="CO483" i="198"/>
  <c r="CN483" i="198"/>
  <c r="CM483" i="198"/>
  <c r="CL483" i="198"/>
  <c r="CK483" i="198"/>
  <c r="CJ483" i="198"/>
  <c r="CI483" i="198"/>
  <c r="CH483" i="198"/>
  <c r="CG483" i="198"/>
  <c r="CF483" i="198"/>
  <c r="CE483" i="198"/>
  <c r="CD483" i="198"/>
  <c r="CC483" i="198"/>
  <c r="CB483" i="198"/>
  <c r="CA483" i="198"/>
  <c r="BZ483" i="198"/>
  <c r="BY483" i="198"/>
  <c r="BX483" i="198"/>
  <c r="BW483" i="198"/>
  <c r="BV483" i="198"/>
  <c r="BU483" i="198"/>
  <c r="BT483" i="198"/>
  <c r="BS483" i="198"/>
  <c r="BR483" i="198"/>
  <c r="BQ483" i="198"/>
  <c r="BP483" i="198"/>
  <c r="BO483" i="198"/>
  <c r="BN483" i="198"/>
  <c r="BM483" i="198"/>
  <c r="BL483" i="198"/>
  <c r="BK483" i="198"/>
  <c r="BJ483" i="198"/>
  <c r="BI483" i="198"/>
  <c r="BH483" i="198"/>
  <c r="BG483" i="198"/>
  <c r="BF483" i="198"/>
  <c r="BE483" i="198"/>
  <c r="BD483" i="198"/>
  <c r="BC483" i="198"/>
  <c r="BB483" i="198"/>
  <c r="BA483" i="198"/>
  <c r="AZ483" i="198"/>
  <c r="AY483" i="198"/>
  <c r="AX483" i="198"/>
  <c r="AW483" i="198"/>
  <c r="AV483" i="198"/>
  <c r="AU483" i="198"/>
  <c r="AT483" i="198"/>
  <c r="AS483" i="198"/>
  <c r="AR483" i="198"/>
  <c r="AQ483" i="198"/>
  <c r="AP483" i="198"/>
  <c r="AO483" i="198"/>
  <c r="AN483" i="198"/>
  <c r="AM483" i="198"/>
  <c r="AL483" i="198"/>
  <c r="AK483" i="198"/>
  <c r="AJ483" i="198"/>
  <c r="AI483" i="198"/>
  <c r="AH483" i="198"/>
  <c r="AG483" i="198"/>
  <c r="AF483" i="198"/>
  <c r="AE483" i="198"/>
  <c r="AD483" i="198"/>
  <c r="AC483" i="198"/>
  <c r="AB483" i="198"/>
  <c r="AA483" i="198"/>
  <c r="Z483" i="198"/>
  <c r="Y483" i="198"/>
  <c r="X483" i="198"/>
  <c r="W483" i="198"/>
  <c r="V483" i="198"/>
  <c r="U483" i="198"/>
  <c r="T483" i="198"/>
  <c r="S483" i="198"/>
  <c r="R483" i="198"/>
  <c r="Q483" i="198"/>
  <c r="P483" i="198"/>
  <c r="O483" i="198"/>
  <c r="N483" i="198"/>
  <c r="M483" i="198"/>
  <c r="L483" i="198"/>
  <c r="K483" i="198"/>
  <c r="J483" i="198"/>
  <c r="I483" i="198"/>
  <c r="H483" i="198"/>
  <c r="G483" i="198"/>
  <c r="F483" i="198"/>
  <c r="E483" i="198"/>
  <c r="D483" i="198"/>
  <c r="C483" i="198"/>
  <c r="B483" i="198"/>
  <c r="A483" i="198"/>
  <c r="EM480" i="198"/>
  <c r="EL480" i="198"/>
  <c r="EK480" i="198"/>
  <c r="EJ480" i="198"/>
  <c r="EI480" i="198"/>
  <c r="EH480" i="198"/>
  <c r="EG480" i="198"/>
  <c r="EF480" i="198"/>
  <c r="EE480" i="198"/>
  <c r="ED480" i="198"/>
  <c r="EC480" i="198"/>
  <c r="EB480" i="198"/>
  <c r="EA480" i="198"/>
  <c r="DZ480" i="198"/>
  <c r="DY480" i="198"/>
  <c r="DX480" i="198"/>
  <c r="DW480" i="198"/>
  <c r="DV480" i="198"/>
  <c r="DU480" i="198"/>
  <c r="DT480" i="198"/>
  <c r="DS480" i="198"/>
  <c r="DR480" i="198"/>
  <c r="DQ480" i="198"/>
  <c r="DP480" i="198"/>
  <c r="DO480" i="198"/>
  <c r="DN480" i="198"/>
  <c r="DM480" i="198"/>
  <c r="DL480" i="198"/>
  <c r="DK480" i="198"/>
  <c r="DJ480" i="198"/>
  <c r="DI480" i="198"/>
  <c r="DH480" i="198"/>
  <c r="DG480" i="198"/>
  <c r="DF480" i="198"/>
  <c r="DE480" i="198"/>
  <c r="DD480" i="198"/>
  <c r="DC480" i="198"/>
  <c r="DA480" i="198"/>
  <c r="CZ480" i="198"/>
  <c r="CY480" i="198"/>
  <c r="CX480" i="198"/>
  <c r="CW480" i="198"/>
  <c r="CV480" i="198"/>
  <c r="CU480" i="198"/>
  <c r="CT480" i="198"/>
  <c r="CS480" i="198"/>
  <c r="CR480" i="198"/>
  <c r="CQ480" i="198"/>
  <c r="CP480" i="198"/>
  <c r="CO480" i="198"/>
  <c r="CN480" i="198"/>
  <c r="CM480" i="198"/>
  <c r="CL480" i="198"/>
  <c r="CK480" i="198"/>
  <c r="CJ480" i="198"/>
  <c r="CI480" i="198"/>
  <c r="CH480" i="198"/>
  <c r="CG480" i="198"/>
  <c r="CF480" i="198"/>
  <c r="CE480" i="198"/>
  <c r="CD480" i="198"/>
  <c r="CC480" i="198"/>
  <c r="CB480" i="198"/>
  <c r="CA480" i="198"/>
  <c r="BZ480" i="198"/>
  <c r="BY480" i="198"/>
  <c r="BX480" i="198"/>
  <c r="BW480" i="198"/>
  <c r="BV480" i="198"/>
  <c r="BU480" i="198"/>
  <c r="BT480" i="198"/>
  <c r="BS480" i="198"/>
  <c r="BR480" i="198"/>
  <c r="BQ480" i="198"/>
  <c r="BP480" i="198"/>
  <c r="BO480" i="198"/>
  <c r="BN480" i="198"/>
  <c r="BM480" i="198"/>
  <c r="BL480" i="198"/>
  <c r="BK480" i="198"/>
  <c r="BJ480" i="198"/>
  <c r="BI480" i="198"/>
  <c r="BH480" i="198"/>
  <c r="BG480" i="198"/>
  <c r="BF480" i="198"/>
  <c r="BE480" i="198"/>
  <c r="BD480" i="198"/>
  <c r="BC480" i="198"/>
  <c r="BB480" i="198"/>
  <c r="BA480" i="198"/>
  <c r="AZ480" i="198"/>
  <c r="AY480" i="198"/>
  <c r="AX480" i="198"/>
  <c r="AW480" i="198"/>
  <c r="AV480" i="198"/>
  <c r="AU480" i="198"/>
  <c r="AT480" i="198"/>
  <c r="AS480" i="198"/>
  <c r="AR480" i="198"/>
  <c r="AQ480" i="198"/>
  <c r="AP480" i="198"/>
  <c r="AO480" i="198"/>
  <c r="AN480" i="198"/>
  <c r="AM480" i="198"/>
  <c r="AL480" i="198"/>
  <c r="AK480" i="198"/>
  <c r="AJ480" i="198"/>
  <c r="AI480" i="198"/>
  <c r="AH480" i="198"/>
  <c r="AG480" i="198"/>
  <c r="AF480" i="198"/>
  <c r="AE480" i="198"/>
  <c r="AD480" i="198"/>
  <c r="AC480" i="198"/>
  <c r="AB480" i="198"/>
  <c r="AA480" i="198"/>
  <c r="Z480" i="198"/>
  <c r="Y480" i="198"/>
  <c r="X480" i="198"/>
  <c r="W480" i="198"/>
  <c r="V480" i="198"/>
  <c r="U480" i="198"/>
  <c r="T480" i="198"/>
  <c r="S480" i="198"/>
  <c r="R480" i="198"/>
  <c r="Q480" i="198"/>
  <c r="P480" i="198"/>
  <c r="O480" i="198"/>
  <c r="N480" i="198"/>
  <c r="M480" i="198"/>
  <c r="L480" i="198"/>
  <c r="K480" i="198"/>
  <c r="J480" i="198"/>
  <c r="I480" i="198"/>
  <c r="H480" i="198"/>
  <c r="G480" i="198"/>
  <c r="F480" i="198"/>
  <c r="E480" i="198"/>
  <c r="D480" i="198"/>
  <c r="C480" i="198"/>
  <c r="B480" i="198"/>
  <c r="EB477" i="198"/>
  <c r="EA477" i="198"/>
  <c r="DZ477" i="198"/>
  <c r="DY477" i="198"/>
  <c r="DX477" i="198"/>
  <c r="DW477" i="198"/>
  <c r="DV477" i="198"/>
  <c r="DU477" i="198"/>
  <c r="DT477" i="198"/>
  <c r="DS477" i="198"/>
  <c r="DR477" i="198"/>
  <c r="DQ477" i="198"/>
  <c r="DP477" i="198"/>
  <c r="DO477" i="198"/>
  <c r="DN477" i="198"/>
  <c r="DM477" i="198"/>
  <c r="DL477" i="198"/>
  <c r="DK477" i="198"/>
  <c r="DJ477" i="198"/>
  <c r="DI477" i="198"/>
  <c r="DH477" i="198"/>
  <c r="DG477" i="198"/>
  <c r="DF477" i="198"/>
  <c r="DE477" i="198"/>
  <c r="DD477" i="198"/>
  <c r="DC477" i="198"/>
  <c r="CS477" i="198"/>
  <c r="CR477" i="198"/>
  <c r="CQ477" i="198"/>
  <c r="CP477" i="198"/>
  <c r="CO477" i="198"/>
  <c r="CN477" i="198"/>
  <c r="CM477" i="198"/>
  <c r="CL477" i="198"/>
  <c r="CK477" i="198"/>
  <c r="CJ477" i="198"/>
  <c r="CI477" i="198"/>
  <c r="CH477" i="198"/>
  <c r="CG477" i="198"/>
  <c r="CF477" i="198"/>
  <c r="CE477" i="198"/>
  <c r="CD477" i="198"/>
  <c r="CC477" i="198"/>
  <c r="CB477" i="198"/>
  <c r="CA477" i="198"/>
  <c r="BZ477" i="198"/>
  <c r="BY477" i="198"/>
  <c r="BX477" i="198"/>
  <c r="BW477" i="198"/>
  <c r="BV477" i="198"/>
  <c r="BU477" i="198"/>
  <c r="BT477" i="198"/>
  <c r="BS477" i="198"/>
  <c r="BR477" i="198"/>
  <c r="BQ477" i="198"/>
  <c r="BP477" i="198"/>
  <c r="BO477" i="198"/>
  <c r="BN477" i="198"/>
  <c r="BM477" i="198"/>
  <c r="BL477" i="198"/>
  <c r="BK477" i="198"/>
  <c r="BJ477" i="198"/>
  <c r="BI477" i="198"/>
  <c r="BH477" i="198"/>
  <c r="BG477" i="198"/>
  <c r="BF477" i="198"/>
  <c r="BE477" i="198"/>
  <c r="BD477" i="198"/>
  <c r="BC477" i="198"/>
  <c r="BB477" i="198"/>
  <c r="BA477" i="198"/>
  <c r="AZ477" i="198"/>
  <c r="AY477" i="198"/>
  <c r="AX477" i="198"/>
  <c r="AW477" i="198"/>
  <c r="AV477" i="198"/>
  <c r="AU477" i="198"/>
  <c r="AT477" i="198"/>
  <c r="AS477" i="198"/>
  <c r="AR477" i="198"/>
  <c r="AQ477" i="198"/>
  <c r="AP477" i="198"/>
  <c r="AO477" i="198"/>
  <c r="AN477" i="198"/>
  <c r="AM477" i="198"/>
  <c r="AL477" i="198"/>
  <c r="AK477" i="198"/>
  <c r="AJ477" i="198"/>
  <c r="AI477" i="198"/>
  <c r="AH477" i="198"/>
  <c r="AG477" i="198"/>
  <c r="AF477" i="198"/>
  <c r="AE477" i="198"/>
  <c r="AD477" i="198"/>
  <c r="AC477" i="198"/>
  <c r="AB477" i="198"/>
  <c r="AA477" i="198"/>
  <c r="Z477" i="198"/>
  <c r="Y477" i="198"/>
  <c r="X477" i="198"/>
  <c r="W477" i="198"/>
  <c r="V477" i="198"/>
  <c r="U477" i="198"/>
  <c r="T477" i="198"/>
  <c r="S477" i="198"/>
  <c r="R477" i="198"/>
  <c r="Q477" i="198"/>
  <c r="P477" i="198"/>
  <c r="O477" i="198"/>
  <c r="N477" i="198"/>
  <c r="M477" i="198"/>
  <c r="L477" i="198"/>
  <c r="K477" i="198"/>
  <c r="J477" i="198"/>
  <c r="I477" i="198"/>
  <c r="H477" i="198"/>
  <c r="G477" i="198"/>
  <c r="F477" i="198"/>
  <c r="E477" i="198"/>
  <c r="D477" i="198"/>
  <c r="C477" i="198"/>
  <c r="B477" i="198"/>
  <c r="A477" i="198"/>
  <c r="EA473" i="198"/>
  <c r="DY473" i="198"/>
  <c r="DW473" i="198"/>
  <c r="DU473" i="198"/>
  <c r="DS473" i="198"/>
  <c r="DQ473" i="198"/>
  <c r="DO473" i="198"/>
  <c r="DM473" i="198"/>
  <c r="DK473" i="198"/>
  <c r="DI473" i="198"/>
  <c r="DG473" i="198"/>
  <c r="DE473" i="198"/>
  <c r="DC473" i="198"/>
  <c r="CR473" i="198"/>
  <c r="CP473" i="198"/>
  <c r="CN473" i="198"/>
  <c r="CL473" i="198"/>
  <c r="CJ473" i="198"/>
  <c r="CH473" i="198"/>
  <c r="CF473" i="198"/>
  <c r="CD473" i="198"/>
  <c r="CB473" i="198"/>
  <c r="BZ473" i="198"/>
  <c r="BX473" i="198"/>
  <c r="BV473" i="198"/>
  <c r="BT473" i="198"/>
  <c r="BR473" i="198"/>
  <c r="BP473" i="198"/>
  <c r="BN473" i="198"/>
  <c r="BL473" i="198"/>
  <c r="BJ473" i="198"/>
  <c r="BH473" i="198"/>
  <c r="BF473" i="198"/>
  <c r="BD473" i="198"/>
  <c r="BB473" i="198"/>
  <c r="AZ473" i="198"/>
  <c r="AX473" i="198"/>
  <c r="AV473" i="198"/>
  <c r="AT473" i="198"/>
  <c r="AR473" i="198"/>
  <c r="AP473" i="198"/>
  <c r="AN473" i="198"/>
  <c r="AL473" i="198"/>
  <c r="AJ473" i="198"/>
  <c r="AH473" i="198"/>
  <c r="AF473" i="198"/>
  <c r="AD473" i="198"/>
  <c r="AB473" i="198"/>
  <c r="Z473" i="198"/>
  <c r="X473" i="198"/>
  <c r="V473" i="198"/>
  <c r="T473" i="198"/>
  <c r="R473" i="198"/>
  <c r="P473" i="198"/>
  <c r="N473" i="198"/>
  <c r="L473" i="198"/>
  <c r="J473" i="198"/>
  <c r="H473" i="198"/>
  <c r="F473" i="198"/>
  <c r="D473" i="198"/>
  <c r="B473" i="198"/>
  <c r="EB473" i="198"/>
  <c r="DZ473" i="198"/>
  <c r="DX473" i="198"/>
  <c r="DV473" i="198"/>
  <c r="DT473" i="198"/>
  <c r="DR473" i="198"/>
  <c r="DP473" i="198"/>
  <c r="DN473" i="198"/>
  <c r="DL473" i="198"/>
  <c r="DJ473" i="198"/>
  <c r="DH473" i="198"/>
  <c r="DF473" i="198"/>
  <c r="DD473" i="198"/>
  <c r="CS473" i="198"/>
  <c r="CQ473" i="198"/>
  <c r="CO473" i="198"/>
  <c r="CM473" i="198"/>
  <c r="CK473" i="198"/>
  <c r="CI473" i="198"/>
  <c r="CG473" i="198"/>
  <c r="CE473" i="198"/>
  <c r="CC473" i="198"/>
  <c r="CA473" i="198"/>
  <c r="BY473" i="198"/>
  <c r="BW473" i="198"/>
  <c r="BU473" i="198"/>
  <c r="BS473" i="198"/>
  <c r="BQ473" i="198"/>
  <c r="BO473" i="198"/>
  <c r="BM473" i="198"/>
  <c r="BK473" i="198"/>
  <c r="BI473" i="198"/>
  <c r="BG473" i="198"/>
  <c r="BE473" i="198"/>
  <c r="BC473" i="198"/>
  <c r="BA473" i="198"/>
  <c r="AY473" i="198"/>
  <c r="AW473" i="198"/>
  <c r="AU473" i="198"/>
  <c r="AS473" i="198"/>
  <c r="AQ473" i="198"/>
  <c r="AO473" i="198"/>
  <c r="AM473" i="198"/>
  <c r="AK473" i="198"/>
  <c r="AI473" i="198"/>
  <c r="AG473" i="198"/>
  <c r="AE473" i="198"/>
  <c r="AC473" i="198"/>
  <c r="AA473" i="198"/>
  <c r="Y473" i="198"/>
  <c r="W473" i="198"/>
  <c r="U473" i="198"/>
  <c r="S473" i="198"/>
  <c r="Q473" i="198"/>
  <c r="O473" i="198"/>
  <c r="M473" i="198"/>
  <c r="K473" i="198"/>
  <c r="I473" i="198"/>
  <c r="G473" i="198"/>
  <c r="E473" i="198"/>
  <c r="C473" i="198"/>
  <c r="EB471" i="198"/>
  <c r="EA471" i="198"/>
  <c r="DZ471" i="198"/>
  <c r="DY471" i="198"/>
  <c r="DX471" i="198"/>
  <c r="DW471" i="198"/>
  <c r="DV471" i="198"/>
  <c r="DU471" i="198"/>
  <c r="DT471" i="198"/>
  <c r="DS471" i="198"/>
  <c r="DR471" i="198"/>
  <c r="DQ471" i="198"/>
  <c r="DP471" i="198"/>
  <c r="DO471" i="198"/>
  <c r="DN471" i="198"/>
  <c r="DM471" i="198"/>
  <c r="DL471" i="198"/>
  <c r="DK471" i="198"/>
  <c r="DJ471" i="198"/>
  <c r="DI471" i="198"/>
  <c r="DH471" i="198"/>
  <c r="DG471" i="198"/>
  <c r="DF471" i="198"/>
  <c r="DE471" i="198"/>
  <c r="DD471" i="198"/>
  <c r="DC471" i="198"/>
  <c r="ED470" i="198"/>
  <c r="EC470" i="198"/>
  <c r="EB470" i="198"/>
  <c r="EA470" i="198"/>
  <c r="DZ470" i="198"/>
  <c r="DY470" i="198"/>
  <c r="DX470" i="198"/>
  <c r="DW470" i="198"/>
  <c r="DV470" i="198"/>
  <c r="DU470" i="198"/>
  <c r="DT470" i="198"/>
  <c r="DS470" i="198"/>
  <c r="DR470" i="198"/>
  <c r="DQ470" i="198"/>
  <c r="DP470" i="198"/>
  <c r="DO470" i="198"/>
  <c r="DN470" i="198"/>
  <c r="DM470" i="198"/>
  <c r="DL470" i="198"/>
  <c r="DK470" i="198"/>
  <c r="DJ470" i="198"/>
  <c r="DI470" i="198"/>
  <c r="DH470" i="198"/>
  <c r="DG470" i="198"/>
  <c r="DF470" i="198"/>
  <c r="DE470" i="198"/>
  <c r="DD470" i="198"/>
  <c r="DC470" i="198"/>
  <c r="EB469" i="198"/>
  <c r="EA469" i="198"/>
  <c r="DZ469" i="198"/>
  <c r="DY469" i="198"/>
  <c r="DX469" i="198"/>
  <c r="DW469" i="198"/>
  <c r="DV469" i="198"/>
  <c r="DU469" i="198"/>
  <c r="DT469" i="198"/>
  <c r="DS469" i="198"/>
  <c r="DR469" i="198"/>
  <c r="DQ469" i="198"/>
  <c r="DP469" i="198"/>
  <c r="DO469" i="198"/>
  <c r="DN469" i="198"/>
  <c r="DM469" i="198"/>
  <c r="DL469" i="198"/>
  <c r="DK469" i="198"/>
  <c r="DJ469" i="198"/>
  <c r="DI469" i="198"/>
  <c r="DH469" i="198"/>
  <c r="DG469" i="198"/>
  <c r="DF469" i="198"/>
  <c r="DE469" i="198"/>
  <c r="DD469" i="198"/>
  <c r="DC469" i="198"/>
  <c r="EM468" i="198"/>
  <c r="EL468" i="198"/>
  <c r="EK468" i="198"/>
  <c r="EJ468" i="198"/>
  <c r="EI468" i="198"/>
  <c r="EH468" i="198"/>
  <c r="EG468" i="198"/>
  <c r="EF468" i="198"/>
  <c r="EE468" i="198"/>
  <c r="ED468" i="198"/>
  <c r="EC468" i="198"/>
  <c r="EB468" i="198"/>
  <c r="EA468" i="198"/>
  <c r="DZ468" i="198"/>
  <c r="DY468" i="198"/>
  <c r="DX468" i="198"/>
  <c r="DW468" i="198"/>
  <c r="DV468" i="198"/>
  <c r="DU468" i="198"/>
  <c r="DT468" i="198"/>
  <c r="DS468" i="198"/>
  <c r="DR468" i="198"/>
  <c r="DQ468" i="198"/>
  <c r="DP468" i="198"/>
  <c r="DO468" i="198"/>
  <c r="DN468" i="198"/>
  <c r="DM468" i="198"/>
  <c r="DL468" i="198"/>
  <c r="DK468" i="198"/>
  <c r="DJ468" i="198"/>
  <c r="DI468" i="198"/>
  <c r="DH468" i="198"/>
  <c r="DG468" i="198"/>
  <c r="DF468" i="198"/>
  <c r="DE468" i="198"/>
  <c r="DD468" i="198"/>
  <c r="DC468" i="198"/>
  <c r="ED467" i="198"/>
  <c r="EC467" i="198"/>
  <c r="EB467" i="198"/>
  <c r="EA467" i="198"/>
  <c r="DZ467" i="198"/>
  <c r="DY467" i="198"/>
  <c r="DX467" i="198"/>
  <c r="DW467" i="198"/>
  <c r="DV467" i="198"/>
  <c r="DU467" i="198"/>
  <c r="DT467" i="198"/>
  <c r="DS467" i="198"/>
  <c r="DR467" i="198"/>
  <c r="DQ467" i="198"/>
  <c r="DP467" i="198"/>
  <c r="DO467" i="198"/>
  <c r="DN467" i="198"/>
  <c r="DM467" i="198"/>
  <c r="DL467" i="198"/>
  <c r="DK467" i="198"/>
  <c r="DJ467" i="198"/>
  <c r="DI467" i="198"/>
  <c r="DH467" i="198"/>
  <c r="DG467" i="198"/>
  <c r="DF467" i="198"/>
  <c r="DE467" i="198"/>
  <c r="DD467" i="198"/>
  <c r="DC467" i="198"/>
  <c r="EB466" i="198"/>
  <c r="EA466" i="198"/>
  <c r="DZ466" i="198"/>
  <c r="DY466" i="198"/>
  <c r="DX466" i="198"/>
  <c r="DW466" i="198"/>
  <c r="DV466" i="198"/>
  <c r="DU466" i="198"/>
  <c r="DT466" i="198"/>
  <c r="DS466" i="198"/>
  <c r="DR466" i="198"/>
  <c r="DQ466" i="198"/>
  <c r="DP466" i="198"/>
  <c r="DO466" i="198"/>
  <c r="DN466" i="198"/>
  <c r="DM466" i="198"/>
  <c r="DL466" i="198"/>
  <c r="DK466" i="198"/>
  <c r="DJ466" i="198"/>
  <c r="DI466" i="198"/>
  <c r="DH466" i="198"/>
  <c r="DG466" i="198"/>
  <c r="DF466" i="198"/>
  <c r="DE466" i="198"/>
  <c r="DD466" i="198"/>
  <c r="DC466" i="198"/>
  <c r="CS471" i="198"/>
  <c r="CR471" i="198"/>
  <c r="CQ471" i="198"/>
  <c r="CP471" i="198"/>
  <c r="CO471" i="198"/>
  <c r="CN471" i="198"/>
  <c r="CM471" i="198"/>
  <c r="CL471" i="198"/>
  <c r="CK471" i="198"/>
  <c r="CJ471" i="198"/>
  <c r="CI471" i="198"/>
  <c r="CH471" i="198"/>
  <c r="CG471" i="198"/>
  <c r="CF471" i="198"/>
  <c r="CE471" i="198"/>
  <c r="CD471" i="198"/>
  <c r="CC471" i="198"/>
  <c r="CB471" i="198"/>
  <c r="CA471" i="198"/>
  <c r="BZ471" i="198"/>
  <c r="BY471" i="198"/>
  <c r="BX471" i="198"/>
  <c r="BW471" i="198"/>
  <c r="BV471" i="198"/>
  <c r="BU471" i="198"/>
  <c r="BT471" i="198"/>
  <c r="BS471" i="198"/>
  <c r="BR471" i="198"/>
  <c r="BQ471" i="198"/>
  <c r="BP471" i="198"/>
  <c r="BO471" i="198"/>
  <c r="BN471" i="198"/>
  <c r="BM471" i="198"/>
  <c r="BL471" i="198"/>
  <c r="BK471" i="198"/>
  <c r="BJ471" i="198"/>
  <c r="BI471" i="198"/>
  <c r="BH471" i="198"/>
  <c r="BG471" i="198"/>
  <c r="BF471" i="198"/>
  <c r="BE471" i="198"/>
  <c r="BD471" i="198"/>
  <c r="BC471" i="198"/>
  <c r="BB471" i="198"/>
  <c r="BA471" i="198"/>
  <c r="AZ471" i="198"/>
  <c r="AY471" i="198"/>
  <c r="AX471" i="198"/>
  <c r="AW471" i="198"/>
  <c r="AV471" i="198"/>
  <c r="AU471" i="198"/>
  <c r="AT471" i="198"/>
  <c r="AS471" i="198"/>
  <c r="AR471" i="198"/>
  <c r="AQ471" i="198"/>
  <c r="AP471" i="198"/>
  <c r="AO471" i="198"/>
  <c r="AN471" i="198"/>
  <c r="AM471" i="198"/>
  <c r="AL471" i="198"/>
  <c r="AK471" i="198"/>
  <c r="AJ471" i="198"/>
  <c r="AI471" i="198"/>
  <c r="AH471" i="198"/>
  <c r="AG471" i="198"/>
  <c r="AF471" i="198"/>
  <c r="AE471" i="198"/>
  <c r="AD471" i="198"/>
  <c r="AC471" i="198"/>
  <c r="AB471" i="198"/>
  <c r="AA471" i="198"/>
  <c r="Z471" i="198"/>
  <c r="Y471" i="198"/>
  <c r="X471" i="198"/>
  <c r="W471" i="198"/>
  <c r="V471" i="198"/>
  <c r="U471" i="198"/>
  <c r="T471" i="198"/>
  <c r="S471" i="198"/>
  <c r="R471" i="198"/>
  <c r="Q471" i="198"/>
  <c r="P471" i="198"/>
  <c r="O471" i="198"/>
  <c r="N471" i="198"/>
  <c r="M471" i="198"/>
  <c r="L471" i="198"/>
  <c r="K471" i="198"/>
  <c r="J471" i="198"/>
  <c r="I471" i="198"/>
  <c r="H471" i="198"/>
  <c r="G471" i="198"/>
  <c r="F471" i="198"/>
  <c r="E471" i="198"/>
  <c r="D471" i="198"/>
  <c r="C471" i="198"/>
  <c r="B471" i="198"/>
  <c r="A471" i="198"/>
  <c r="DA470" i="198"/>
  <c r="CZ470" i="198"/>
  <c r="CY470" i="198"/>
  <c r="CX470" i="198"/>
  <c r="CW470" i="198"/>
  <c r="CV470" i="198"/>
  <c r="CU470" i="198"/>
  <c r="CT470" i="198"/>
  <c r="CS470" i="198"/>
  <c r="CR470" i="198"/>
  <c r="CQ470" i="198"/>
  <c r="CP470" i="198"/>
  <c r="CO470" i="198"/>
  <c r="CN470" i="198"/>
  <c r="CM470" i="198"/>
  <c r="CL470" i="198"/>
  <c r="CK470" i="198"/>
  <c r="CJ470" i="198"/>
  <c r="CI470" i="198"/>
  <c r="CH470" i="198"/>
  <c r="CG470" i="198"/>
  <c r="CF470" i="198"/>
  <c r="CE470" i="198"/>
  <c r="CD470" i="198"/>
  <c r="CC470" i="198"/>
  <c r="CB470" i="198"/>
  <c r="CA470" i="198"/>
  <c r="BZ470" i="198"/>
  <c r="BY470" i="198"/>
  <c r="BX470" i="198"/>
  <c r="BW470" i="198"/>
  <c r="BV470" i="198"/>
  <c r="BU470" i="198"/>
  <c r="BT470" i="198"/>
  <c r="BS470" i="198"/>
  <c r="BR470" i="198"/>
  <c r="BQ470" i="198"/>
  <c r="BP470" i="198"/>
  <c r="BO470" i="198"/>
  <c r="BN470" i="198"/>
  <c r="BM470" i="198"/>
  <c r="BL470" i="198"/>
  <c r="BK470" i="198"/>
  <c r="BJ470" i="198"/>
  <c r="BI470" i="198"/>
  <c r="BH470" i="198"/>
  <c r="BG470" i="198"/>
  <c r="BF470" i="198"/>
  <c r="BE470" i="198"/>
  <c r="BD470" i="198"/>
  <c r="BC470" i="198"/>
  <c r="BB470" i="198"/>
  <c r="BA470" i="198"/>
  <c r="AZ470" i="198"/>
  <c r="AY470" i="198"/>
  <c r="AX470" i="198"/>
  <c r="AW470" i="198"/>
  <c r="AV470" i="198"/>
  <c r="AU470" i="198"/>
  <c r="AT470" i="198"/>
  <c r="AS470" i="198"/>
  <c r="AR470" i="198"/>
  <c r="AQ470" i="198"/>
  <c r="AP470" i="198"/>
  <c r="AO470" i="198"/>
  <c r="AN470" i="198"/>
  <c r="AM470" i="198"/>
  <c r="AL470" i="198"/>
  <c r="AK470" i="198"/>
  <c r="AJ470" i="198"/>
  <c r="AI470" i="198"/>
  <c r="AH470" i="198"/>
  <c r="AG470" i="198"/>
  <c r="AF470" i="198"/>
  <c r="AE470" i="198"/>
  <c r="AD470" i="198"/>
  <c r="AC470" i="198"/>
  <c r="AB470" i="198"/>
  <c r="AA470" i="198"/>
  <c r="Z470" i="198"/>
  <c r="Y470" i="198"/>
  <c r="X470" i="198"/>
  <c r="W470" i="198"/>
  <c r="V470" i="198"/>
  <c r="U470" i="198"/>
  <c r="T470" i="198"/>
  <c r="S470" i="198"/>
  <c r="R470" i="198"/>
  <c r="Q470" i="198"/>
  <c r="P470" i="198"/>
  <c r="O470" i="198"/>
  <c r="N470" i="198"/>
  <c r="M470" i="198"/>
  <c r="L470" i="198"/>
  <c r="K470" i="198"/>
  <c r="J470" i="198"/>
  <c r="I470" i="198"/>
  <c r="H470" i="198"/>
  <c r="G470" i="198"/>
  <c r="F470" i="198"/>
  <c r="E470" i="198"/>
  <c r="D470" i="198"/>
  <c r="C470" i="198"/>
  <c r="B470" i="198"/>
  <c r="A470" i="198"/>
  <c r="CU469" i="198"/>
  <c r="CT469" i="198"/>
  <c r="CS469" i="198"/>
  <c r="CR469" i="198"/>
  <c r="CQ469" i="198"/>
  <c r="CP469" i="198"/>
  <c r="CO469" i="198"/>
  <c r="CN469" i="198"/>
  <c r="CM469" i="198"/>
  <c r="CL469" i="198"/>
  <c r="CK469" i="198"/>
  <c r="CJ469" i="198"/>
  <c r="CI469" i="198"/>
  <c r="CH469" i="198"/>
  <c r="CG469" i="198"/>
  <c r="CF469" i="198"/>
  <c r="CE469" i="198"/>
  <c r="CD469" i="198"/>
  <c r="CC469" i="198"/>
  <c r="CB469" i="198"/>
  <c r="CA469" i="198"/>
  <c r="BZ469" i="198"/>
  <c r="BY469" i="198"/>
  <c r="BX469" i="198"/>
  <c r="BW469" i="198"/>
  <c r="BV469" i="198"/>
  <c r="BU469" i="198"/>
  <c r="BT469" i="198"/>
  <c r="BS469" i="198"/>
  <c r="BR469" i="198"/>
  <c r="BQ469" i="198"/>
  <c r="BP469" i="198"/>
  <c r="BO469" i="198"/>
  <c r="BN469" i="198"/>
  <c r="BM469" i="198"/>
  <c r="BL469" i="198"/>
  <c r="BK469" i="198"/>
  <c r="BJ469" i="198"/>
  <c r="BI469" i="198"/>
  <c r="BH469" i="198"/>
  <c r="BG469" i="198"/>
  <c r="BF469" i="198"/>
  <c r="BE469" i="198"/>
  <c r="BD469" i="198"/>
  <c r="BC469" i="198"/>
  <c r="BB469" i="198"/>
  <c r="BA469" i="198"/>
  <c r="AZ469" i="198"/>
  <c r="AY469" i="198"/>
  <c r="AX469" i="198"/>
  <c r="AW469" i="198"/>
  <c r="AV469" i="198"/>
  <c r="AU469" i="198"/>
  <c r="AT469" i="198"/>
  <c r="AS469" i="198"/>
  <c r="AR469" i="198"/>
  <c r="AQ469" i="198"/>
  <c r="AP469" i="198"/>
  <c r="AO469" i="198"/>
  <c r="AN469" i="198"/>
  <c r="AM469" i="198"/>
  <c r="AL469" i="198"/>
  <c r="AK469" i="198"/>
  <c r="AJ469" i="198"/>
  <c r="AI469" i="198"/>
  <c r="AH469" i="198"/>
  <c r="AG469" i="198"/>
  <c r="AF469" i="198"/>
  <c r="AE469" i="198"/>
  <c r="AD469" i="198"/>
  <c r="AC469" i="198"/>
  <c r="AB469" i="198"/>
  <c r="AA469" i="198"/>
  <c r="Z469" i="198"/>
  <c r="Y469" i="198"/>
  <c r="X469" i="198"/>
  <c r="W469" i="198"/>
  <c r="V469" i="198"/>
  <c r="U469" i="198"/>
  <c r="T469" i="198"/>
  <c r="S469" i="198"/>
  <c r="R469" i="198"/>
  <c r="Q469" i="198"/>
  <c r="P469" i="198"/>
  <c r="O469" i="198"/>
  <c r="N469" i="198"/>
  <c r="M469" i="198"/>
  <c r="L469" i="198"/>
  <c r="K469" i="198"/>
  <c r="J469" i="198"/>
  <c r="I469" i="198"/>
  <c r="H469" i="198"/>
  <c r="G469" i="198"/>
  <c r="F469" i="198"/>
  <c r="E469" i="198"/>
  <c r="D469" i="198"/>
  <c r="C469" i="198"/>
  <c r="B469" i="198"/>
  <c r="A469" i="198"/>
  <c r="DA468" i="198"/>
  <c r="CZ468" i="198"/>
  <c r="CY468" i="198"/>
  <c r="CX468" i="198"/>
  <c r="CW468" i="198"/>
  <c r="CV468" i="198"/>
  <c r="CU468" i="198"/>
  <c r="CT468" i="198"/>
  <c r="CS468" i="198"/>
  <c r="CR468" i="198"/>
  <c r="CQ468" i="198"/>
  <c r="CP468" i="198"/>
  <c r="CO468" i="198"/>
  <c r="CN468" i="198"/>
  <c r="CM468" i="198"/>
  <c r="CL468" i="198"/>
  <c r="CK468" i="198"/>
  <c r="CJ468" i="198"/>
  <c r="CI468" i="198"/>
  <c r="CH468" i="198"/>
  <c r="CG468" i="198"/>
  <c r="CF468" i="198"/>
  <c r="CE468" i="198"/>
  <c r="CD468" i="198"/>
  <c r="CC468" i="198"/>
  <c r="CB468" i="198"/>
  <c r="CA468" i="198"/>
  <c r="BZ468" i="198"/>
  <c r="BY468" i="198"/>
  <c r="BX468" i="198"/>
  <c r="BW468" i="198"/>
  <c r="BV468" i="198"/>
  <c r="BU468" i="198"/>
  <c r="BT468" i="198"/>
  <c r="BS468" i="198"/>
  <c r="BR468" i="198"/>
  <c r="BQ468" i="198"/>
  <c r="BP468" i="198"/>
  <c r="BO468" i="198"/>
  <c r="BN468" i="198"/>
  <c r="BM468" i="198"/>
  <c r="BL468" i="198"/>
  <c r="BK468" i="198"/>
  <c r="BJ468" i="198"/>
  <c r="BI468" i="198"/>
  <c r="BH468" i="198"/>
  <c r="BG468" i="198"/>
  <c r="BF468" i="198"/>
  <c r="BE468" i="198"/>
  <c r="BD468" i="198"/>
  <c r="BC468" i="198"/>
  <c r="BB468" i="198"/>
  <c r="BA468" i="198"/>
  <c r="AZ468" i="198"/>
  <c r="AY468" i="198"/>
  <c r="AX468" i="198"/>
  <c r="AW468" i="198"/>
  <c r="AV468" i="198"/>
  <c r="AU468" i="198"/>
  <c r="AT468" i="198"/>
  <c r="AS468" i="198"/>
  <c r="AR468" i="198"/>
  <c r="AQ468" i="198"/>
  <c r="AP468" i="198"/>
  <c r="AO468" i="198"/>
  <c r="AN468" i="198"/>
  <c r="AM468" i="198"/>
  <c r="AL468" i="198"/>
  <c r="AK468" i="198"/>
  <c r="AJ468" i="198"/>
  <c r="AI468" i="198"/>
  <c r="AH468" i="198"/>
  <c r="AG468" i="198"/>
  <c r="AF468" i="198"/>
  <c r="AE468" i="198"/>
  <c r="AD468" i="198"/>
  <c r="AC468" i="198"/>
  <c r="AB468" i="198"/>
  <c r="AA468" i="198"/>
  <c r="Z468" i="198"/>
  <c r="Y468" i="198"/>
  <c r="X468" i="198"/>
  <c r="W468" i="198"/>
  <c r="V468" i="198"/>
  <c r="U468" i="198"/>
  <c r="T468" i="198"/>
  <c r="S468" i="198"/>
  <c r="R468" i="198"/>
  <c r="Q468" i="198"/>
  <c r="P468" i="198"/>
  <c r="O468" i="198"/>
  <c r="N468" i="198"/>
  <c r="M468" i="198"/>
  <c r="L468" i="198"/>
  <c r="K468" i="198"/>
  <c r="J468" i="198"/>
  <c r="I468" i="198"/>
  <c r="H468" i="198"/>
  <c r="G468" i="198"/>
  <c r="F468" i="198"/>
  <c r="E468" i="198"/>
  <c r="D468" i="198"/>
  <c r="C468" i="198"/>
  <c r="B468" i="198"/>
  <c r="A468" i="198"/>
  <c r="DA467" i="198"/>
  <c r="CZ467" i="198"/>
  <c r="CY467" i="198"/>
  <c r="CX467" i="198"/>
  <c r="CW467" i="198"/>
  <c r="CV467" i="198"/>
  <c r="CU467" i="198"/>
  <c r="CT467" i="198"/>
  <c r="CS467" i="198"/>
  <c r="CR467" i="198"/>
  <c r="CQ467" i="198"/>
  <c r="CP467" i="198"/>
  <c r="CO467" i="198"/>
  <c r="CN467" i="198"/>
  <c r="CM467" i="198"/>
  <c r="CL467" i="198"/>
  <c r="CK467" i="198"/>
  <c r="CJ467" i="198"/>
  <c r="CI467" i="198"/>
  <c r="CH467" i="198"/>
  <c r="CG467" i="198"/>
  <c r="CF467" i="198"/>
  <c r="CE467" i="198"/>
  <c r="CD467" i="198"/>
  <c r="CC467" i="198"/>
  <c r="CB467" i="198"/>
  <c r="CA467" i="198"/>
  <c r="BZ467" i="198"/>
  <c r="BY467" i="198"/>
  <c r="BX467" i="198"/>
  <c r="BW467" i="198"/>
  <c r="BV467" i="198"/>
  <c r="BU467" i="198"/>
  <c r="BT467" i="198"/>
  <c r="BS467" i="198"/>
  <c r="BR467" i="198"/>
  <c r="BQ467" i="198"/>
  <c r="BP467" i="198"/>
  <c r="BO467" i="198"/>
  <c r="BN467" i="198"/>
  <c r="BM467" i="198"/>
  <c r="BL467" i="198"/>
  <c r="BK467" i="198"/>
  <c r="BJ467" i="198"/>
  <c r="BI467" i="198"/>
  <c r="BH467" i="198"/>
  <c r="BG467" i="198"/>
  <c r="BF467" i="198"/>
  <c r="BE467" i="198"/>
  <c r="BD467" i="198"/>
  <c r="BC467" i="198"/>
  <c r="BB467" i="198"/>
  <c r="BA467" i="198"/>
  <c r="AZ467" i="198"/>
  <c r="AY467" i="198"/>
  <c r="AX467" i="198"/>
  <c r="AW467" i="198"/>
  <c r="AV467" i="198"/>
  <c r="AU467" i="198"/>
  <c r="AT467" i="198"/>
  <c r="AS467" i="198"/>
  <c r="AR467" i="198"/>
  <c r="AQ467" i="198"/>
  <c r="AP467" i="198"/>
  <c r="AO467" i="198"/>
  <c r="AN467" i="198"/>
  <c r="AM467" i="198"/>
  <c r="AL467" i="198"/>
  <c r="AK467" i="198"/>
  <c r="AJ467" i="198"/>
  <c r="AI467" i="198"/>
  <c r="AH467" i="198"/>
  <c r="AG467" i="198"/>
  <c r="AF467" i="198"/>
  <c r="AE467" i="198"/>
  <c r="AD467" i="198"/>
  <c r="AC467" i="198"/>
  <c r="AB467" i="198"/>
  <c r="AA467" i="198"/>
  <c r="Z467" i="198"/>
  <c r="Y467" i="198"/>
  <c r="X467" i="198"/>
  <c r="W467" i="198"/>
  <c r="V467" i="198"/>
  <c r="U467" i="198"/>
  <c r="T467" i="198"/>
  <c r="S467" i="198"/>
  <c r="R467" i="198"/>
  <c r="Q467" i="198"/>
  <c r="P467" i="198"/>
  <c r="O467" i="198"/>
  <c r="N467" i="198"/>
  <c r="M467" i="198"/>
  <c r="L467" i="198"/>
  <c r="K467" i="198"/>
  <c r="J467" i="198"/>
  <c r="I467" i="198"/>
  <c r="H467" i="198"/>
  <c r="G467" i="198"/>
  <c r="F467" i="198"/>
  <c r="E467" i="198"/>
  <c r="D467" i="198"/>
  <c r="C467" i="198"/>
  <c r="B467" i="198"/>
  <c r="A467" i="198"/>
  <c r="CW466" i="198"/>
  <c r="CV466" i="198"/>
  <c r="CS466" i="198"/>
  <c r="CR466" i="198"/>
  <c r="CQ466" i="198"/>
  <c r="CP466" i="198"/>
  <c r="CO466" i="198"/>
  <c r="CN466" i="198"/>
  <c r="CM466" i="198"/>
  <c r="CL466" i="198"/>
  <c r="CK466" i="198"/>
  <c r="CJ466" i="198"/>
  <c r="CI466" i="198"/>
  <c r="CH466" i="198"/>
  <c r="CG466" i="198"/>
  <c r="CF466" i="198"/>
  <c r="CE466" i="198"/>
  <c r="CD466" i="198"/>
  <c r="CC466" i="198"/>
  <c r="CB466" i="198"/>
  <c r="CA466" i="198"/>
  <c r="BZ466" i="198"/>
  <c r="BY466" i="198"/>
  <c r="BX466" i="198"/>
  <c r="BW466" i="198"/>
  <c r="BV466" i="198"/>
  <c r="BU466" i="198"/>
  <c r="BT466" i="198"/>
  <c r="BS466" i="198"/>
  <c r="BR466" i="198"/>
  <c r="BQ466" i="198"/>
  <c r="BP466" i="198"/>
  <c r="BO466" i="198"/>
  <c r="BN466" i="198"/>
  <c r="BM466" i="198"/>
  <c r="BL466" i="198"/>
  <c r="BK466" i="198"/>
  <c r="BJ466" i="198"/>
  <c r="BI466" i="198"/>
  <c r="BH466" i="198"/>
  <c r="BG466" i="198"/>
  <c r="BF466" i="198"/>
  <c r="BE466" i="198"/>
  <c r="BD466" i="198"/>
  <c r="BC466" i="198"/>
  <c r="BB466" i="198"/>
  <c r="BA466" i="198"/>
  <c r="AZ466" i="198"/>
  <c r="AY466" i="198"/>
  <c r="AX466" i="198"/>
  <c r="AW466" i="198"/>
  <c r="AV466" i="198"/>
  <c r="AU466" i="198"/>
  <c r="AT466" i="198"/>
  <c r="AS466" i="198"/>
  <c r="AR466" i="198"/>
  <c r="AQ466" i="198"/>
  <c r="AP466" i="198"/>
  <c r="AO466" i="198"/>
  <c r="AN466" i="198"/>
  <c r="AM466" i="198"/>
  <c r="AL466" i="198"/>
  <c r="AK466" i="198"/>
  <c r="AJ466" i="198"/>
  <c r="AI466" i="198"/>
  <c r="AH466" i="198"/>
  <c r="AG466" i="198"/>
  <c r="AF466" i="198"/>
  <c r="AE466" i="198"/>
  <c r="AD466" i="198"/>
  <c r="AC466" i="198"/>
  <c r="AB466" i="198"/>
  <c r="AA466" i="198"/>
  <c r="Z466" i="198"/>
  <c r="Y466" i="198"/>
  <c r="X466" i="198"/>
  <c r="W466" i="198"/>
  <c r="V466" i="198"/>
  <c r="U466" i="198"/>
  <c r="T466" i="198"/>
  <c r="S466" i="198"/>
  <c r="R466" i="198"/>
  <c r="Q466" i="198"/>
  <c r="P466" i="198"/>
  <c r="O466" i="198"/>
  <c r="N466" i="198"/>
  <c r="M466" i="198"/>
  <c r="L466" i="198"/>
  <c r="K466" i="198"/>
  <c r="J466" i="198"/>
  <c r="I466" i="198"/>
  <c r="H466" i="198"/>
  <c r="G466" i="198"/>
  <c r="F466" i="198"/>
  <c r="E466" i="198"/>
  <c r="D466" i="198"/>
  <c r="C466" i="198"/>
  <c r="B466" i="198"/>
  <c r="A466" i="198"/>
  <c r="ED463" i="198"/>
  <c r="EC463" i="198"/>
  <c r="EB463" i="198"/>
  <c r="EA463" i="198"/>
  <c r="DZ463" i="198"/>
  <c r="DY463" i="198"/>
  <c r="DX463" i="198"/>
  <c r="DW463" i="198"/>
  <c r="DV463" i="198"/>
  <c r="DU463" i="198"/>
  <c r="DT463" i="198"/>
  <c r="DS463" i="198"/>
  <c r="DR463" i="198"/>
  <c r="DQ463" i="198"/>
  <c r="DP463" i="198"/>
  <c r="DO463" i="198"/>
  <c r="DN463" i="198"/>
  <c r="DM463" i="198"/>
  <c r="DL463" i="198"/>
  <c r="DK463" i="198"/>
  <c r="DJ463" i="198"/>
  <c r="DI463" i="198"/>
  <c r="DH463" i="198"/>
  <c r="DG463" i="198"/>
  <c r="DF463" i="198"/>
  <c r="DE463" i="198"/>
  <c r="DD463" i="198"/>
  <c r="DC463" i="198"/>
  <c r="ED462" i="198"/>
  <c r="EC462" i="198"/>
  <c r="EB462" i="198"/>
  <c r="EA462" i="198"/>
  <c r="DZ462" i="198"/>
  <c r="DY462" i="198"/>
  <c r="DX462" i="198"/>
  <c r="DW462" i="198"/>
  <c r="DV462" i="198"/>
  <c r="DU462" i="198"/>
  <c r="DT462" i="198"/>
  <c r="DS462" i="198"/>
  <c r="DR462" i="198"/>
  <c r="DQ462" i="198"/>
  <c r="DP462" i="198"/>
  <c r="DO462" i="198"/>
  <c r="DN462" i="198"/>
  <c r="DM462" i="198"/>
  <c r="DL462" i="198"/>
  <c r="DK462" i="198"/>
  <c r="DJ462" i="198"/>
  <c r="DI462" i="198"/>
  <c r="DH462" i="198"/>
  <c r="DG462" i="198"/>
  <c r="DF462" i="198"/>
  <c r="DE462" i="198"/>
  <c r="DD462" i="198"/>
  <c r="DC462" i="198"/>
  <c r="ED461" i="198"/>
  <c r="EC461" i="198"/>
  <c r="EB461" i="198"/>
  <c r="EA461" i="198"/>
  <c r="DZ461" i="198"/>
  <c r="DY461" i="198"/>
  <c r="DX461" i="198"/>
  <c r="DW461" i="198"/>
  <c r="DV461" i="198"/>
  <c r="DU461" i="198"/>
  <c r="DT461" i="198"/>
  <c r="DS461" i="198"/>
  <c r="DR461" i="198"/>
  <c r="DQ461" i="198"/>
  <c r="DP461" i="198"/>
  <c r="DO461" i="198"/>
  <c r="DN461" i="198"/>
  <c r="DM461" i="198"/>
  <c r="DL461" i="198"/>
  <c r="DK461" i="198"/>
  <c r="DJ461" i="198"/>
  <c r="DI461" i="198"/>
  <c r="DH461" i="198"/>
  <c r="DG461" i="198"/>
  <c r="DF461" i="198"/>
  <c r="DE461" i="198"/>
  <c r="DD461" i="198"/>
  <c r="DC461" i="198"/>
  <c r="ED460" i="198"/>
  <c r="EC460" i="198"/>
  <c r="EB460" i="198"/>
  <c r="EA460" i="198"/>
  <c r="DZ460" i="198"/>
  <c r="DY460" i="198"/>
  <c r="DX460" i="198"/>
  <c r="DW460" i="198"/>
  <c r="DV460" i="198"/>
  <c r="DU460" i="198"/>
  <c r="DT460" i="198"/>
  <c r="DS460" i="198"/>
  <c r="DR460" i="198"/>
  <c r="DQ460" i="198"/>
  <c r="DP460" i="198"/>
  <c r="DO460" i="198"/>
  <c r="DN460" i="198"/>
  <c r="DM460" i="198"/>
  <c r="DL460" i="198"/>
  <c r="DK460" i="198"/>
  <c r="DJ460" i="198"/>
  <c r="DI460" i="198"/>
  <c r="DH460" i="198"/>
  <c r="DG460" i="198"/>
  <c r="DF460" i="198"/>
  <c r="DE460" i="198"/>
  <c r="DD460" i="198"/>
  <c r="DC460" i="198"/>
  <c r="ED459" i="198"/>
  <c r="EC459" i="198"/>
  <c r="EB459" i="198"/>
  <c r="EA459" i="198"/>
  <c r="DZ459" i="198"/>
  <c r="DY459" i="198"/>
  <c r="DX459" i="198"/>
  <c r="DW459" i="198"/>
  <c r="DV459" i="198"/>
  <c r="DU459" i="198"/>
  <c r="DT459" i="198"/>
  <c r="DS459" i="198"/>
  <c r="DR459" i="198"/>
  <c r="DQ459" i="198"/>
  <c r="DP459" i="198"/>
  <c r="DO459" i="198"/>
  <c r="DN459" i="198"/>
  <c r="DM459" i="198"/>
  <c r="DL459" i="198"/>
  <c r="DK459" i="198"/>
  <c r="DJ459" i="198"/>
  <c r="DI459" i="198"/>
  <c r="DH459" i="198"/>
  <c r="DG459" i="198"/>
  <c r="DF459" i="198"/>
  <c r="DE459" i="198"/>
  <c r="DD459" i="198"/>
  <c r="DC459" i="198"/>
  <c r="ED458" i="198"/>
  <c r="EC458" i="198"/>
  <c r="EB458" i="198"/>
  <c r="EA458" i="198"/>
  <c r="DZ458" i="198"/>
  <c r="DY458" i="198"/>
  <c r="DX458" i="198"/>
  <c r="DW458" i="198"/>
  <c r="DV458" i="198"/>
  <c r="DU458" i="198"/>
  <c r="DT458" i="198"/>
  <c r="DS458" i="198"/>
  <c r="DR458" i="198"/>
  <c r="DQ458" i="198"/>
  <c r="DP458" i="198"/>
  <c r="DO458" i="198"/>
  <c r="DN458" i="198"/>
  <c r="DM458" i="198"/>
  <c r="DL458" i="198"/>
  <c r="DK458" i="198"/>
  <c r="DJ458" i="198"/>
  <c r="DI458" i="198"/>
  <c r="DH458" i="198"/>
  <c r="DG458" i="198"/>
  <c r="DF458" i="198"/>
  <c r="DE458" i="198"/>
  <c r="DD458" i="198"/>
  <c r="DC458" i="198"/>
  <c r="DA463" i="198"/>
  <c r="CZ463" i="198"/>
  <c r="CY463" i="198"/>
  <c r="CX463" i="198"/>
  <c r="CW463" i="198"/>
  <c r="CV463" i="198"/>
  <c r="CU463" i="198"/>
  <c r="CT463" i="198"/>
  <c r="CS463" i="198"/>
  <c r="CR463" i="198"/>
  <c r="CQ463" i="198"/>
  <c r="CP463" i="198"/>
  <c r="CO463" i="198"/>
  <c r="CN463" i="198"/>
  <c r="CM463" i="198"/>
  <c r="CL463" i="198"/>
  <c r="CK463" i="198"/>
  <c r="CJ463" i="198"/>
  <c r="CI463" i="198"/>
  <c r="CH463" i="198"/>
  <c r="CG463" i="198"/>
  <c r="CF463" i="198"/>
  <c r="CE463" i="198"/>
  <c r="CD463" i="198"/>
  <c r="CC463" i="198"/>
  <c r="CB463" i="198"/>
  <c r="CA463" i="198"/>
  <c r="BZ463" i="198"/>
  <c r="BY463" i="198"/>
  <c r="BX463" i="198"/>
  <c r="BW463" i="198"/>
  <c r="BV463" i="198"/>
  <c r="BU463" i="198"/>
  <c r="BT463" i="198"/>
  <c r="BS463" i="198"/>
  <c r="BR463" i="198"/>
  <c r="BQ463" i="198"/>
  <c r="BP463" i="198"/>
  <c r="BO463" i="198"/>
  <c r="BN463" i="198"/>
  <c r="BM463" i="198"/>
  <c r="BL463" i="198"/>
  <c r="BK463" i="198"/>
  <c r="BJ463" i="198"/>
  <c r="BI463" i="198"/>
  <c r="BH463" i="198"/>
  <c r="BG463" i="198"/>
  <c r="BF463" i="198"/>
  <c r="BE463" i="198"/>
  <c r="BD463" i="198"/>
  <c r="BC463" i="198"/>
  <c r="BB463" i="198"/>
  <c r="BA463" i="198"/>
  <c r="AZ463" i="198"/>
  <c r="AY463" i="198"/>
  <c r="AX463" i="198"/>
  <c r="AW463" i="198"/>
  <c r="AV463" i="198"/>
  <c r="AU463" i="198"/>
  <c r="AT463" i="198"/>
  <c r="AS463" i="198"/>
  <c r="AR463" i="198"/>
  <c r="AQ463" i="198"/>
  <c r="AP463" i="198"/>
  <c r="AO463" i="198"/>
  <c r="AN463" i="198"/>
  <c r="AM463" i="198"/>
  <c r="AL463" i="198"/>
  <c r="AK463" i="198"/>
  <c r="AJ463" i="198"/>
  <c r="AI463" i="198"/>
  <c r="AH463" i="198"/>
  <c r="AG463" i="198"/>
  <c r="AF463" i="198"/>
  <c r="AE463" i="198"/>
  <c r="AD463" i="198"/>
  <c r="AC463" i="198"/>
  <c r="AB463" i="198"/>
  <c r="AA463" i="198"/>
  <c r="Z463" i="198"/>
  <c r="Y463" i="198"/>
  <c r="X463" i="198"/>
  <c r="W463" i="198"/>
  <c r="V463" i="198"/>
  <c r="U463" i="198"/>
  <c r="T463" i="198"/>
  <c r="S463" i="198"/>
  <c r="R463" i="198"/>
  <c r="Q463" i="198"/>
  <c r="P463" i="198"/>
  <c r="O463" i="198"/>
  <c r="N463" i="198"/>
  <c r="M463" i="198"/>
  <c r="L463" i="198"/>
  <c r="K463" i="198"/>
  <c r="J463" i="198"/>
  <c r="I463" i="198"/>
  <c r="H463" i="198"/>
  <c r="G463" i="198"/>
  <c r="F463" i="198"/>
  <c r="E463" i="198"/>
  <c r="D463" i="198"/>
  <c r="C463" i="198"/>
  <c r="B463" i="198"/>
  <c r="A463" i="198"/>
  <c r="DA462" i="198"/>
  <c r="CZ462" i="198"/>
  <c r="CY462" i="198"/>
  <c r="CX462" i="198"/>
  <c r="CW462" i="198"/>
  <c r="CV462" i="198"/>
  <c r="CU462" i="198"/>
  <c r="CT462" i="198"/>
  <c r="CS462" i="198"/>
  <c r="CR462" i="198"/>
  <c r="CQ462" i="198"/>
  <c r="CP462" i="198"/>
  <c r="CO462" i="198"/>
  <c r="CN462" i="198"/>
  <c r="CM462" i="198"/>
  <c r="CL462" i="198"/>
  <c r="CK462" i="198"/>
  <c r="CJ462" i="198"/>
  <c r="CI462" i="198"/>
  <c r="CH462" i="198"/>
  <c r="CG462" i="198"/>
  <c r="CF462" i="198"/>
  <c r="CE462" i="198"/>
  <c r="CD462" i="198"/>
  <c r="CC462" i="198"/>
  <c r="CB462" i="198"/>
  <c r="CA462" i="198"/>
  <c r="BZ462" i="198"/>
  <c r="BY462" i="198"/>
  <c r="BX462" i="198"/>
  <c r="BW462" i="198"/>
  <c r="BV462" i="198"/>
  <c r="BU462" i="198"/>
  <c r="BT462" i="198"/>
  <c r="BS462" i="198"/>
  <c r="BR462" i="198"/>
  <c r="BQ462" i="198"/>
  <c r="BP462" i="198"/>
  <c r="BO462" i="198"/>
  <c r="BN462" i="198"/>
  <c r="BM462" i="198"/>
  <c r="BL462" i="198"/>
  <c r="BK462" i="198"/>
  <c r="BJ462" i="198"/>
  <c r="BI462" i="198"/>
  <c r="BH462" i="198"/>
  <c r="BG462" i="198"/>
  <c r="BF462" i="198"/>
  <c r="BE462" i="198"/>
  <c r="BD462" i="198"/>
  <c r="BC462" i="198"/>
  <c r="BB462" i="198"/>
  <c r="BA462" i="198"/>
  <c r="AZ462" i="198"/>
  <c r="AY462" i="198"/>
  <c r="AX462" i="198"/>
  <c r="AW462" i="198"/>
  <c r="AV462" i="198"/>
  <c r="AU462" i="198"/>
  <c r="AT462" i="198"/>
  <c r="AS462" i="198"/>
  <c r="AR462" i="198"/>
  <c r="AQ462" i="198"/>
  <c r="AP462" i="198"/>
  <c r="AO462" i="198"/>
  <c r="AN462" i="198"/>
  <c r="AM462" i="198"/>
  <c r="AL462" i="198"/>
  <c r="AK462" i="198"/>
  <c r="AJ462" i="198"/>
  <c r="AI462" i="198"/>
  <c r="AH462" i="198"/>
  <c r="AG462" i="198"/>
  <c r="AF462" i="198"/>
  <c r="AE462" i="198"/>
  <c r="AD462" i="198"/>
  <c r="AC462" i="198"/>
  <c r="AB462" i="198"/>
  <c r="AA462" i="198"/>
  <c r="Z462" i="198"/>
  <c r="Y462" i="198"/>
  <c r="X462" i="198"/>
  <c r="W462" i="198"/>
  <c r="V462" i="198"/>
  <c r="U462" i="198"/>
  <c r="T462" i="198"/>
  <c r="S462" i="198"/>
  <c r="R462" i="198"/>
  <c r="Q462" i="198"/>
  <c r="P462" i="198"/>
  <c r="O462" i="198"/>
  <c r="N462" i="198"/>
  <c r="M462" i="198"/>
  <c r="L462" i="198"/>
  <c r="K462" i="198"/>
  <c r="J462" i="198"/>
  <c r="I462" i="198"/>
  <c r="H462" i="198"/>
  <c r="G462" i="198"/>
  <c r="F462" i="198"/>
  <c r="E462" i="198"/>
  <c r="D462" i="198"/>
  <c r="C462" i="198"/>
  <c r="B462" i="198"/>
  <c r="A462" i="198"/>
  <c r="DA461" i="198"/>
  <c r="CZ461" i="198"/>
  <c r="CY461" i="198"/>
  <c r="CX461" i="198"/>
  <c r="CW461" i="198"/>
  <c r="CV461" i="198"/>
  <c r="CU461" i="198"/>
  <c r="CT461" i="198"/>
  <c r="CS461" i="198"/>
  <c r="CR461" i="198"/>
  <c r="CQ461" i="198"/>
  <c r="CP461" i="198"/>
  <c r="CO461" i="198"/>
  <c r="CN461" i="198"/>
  <c r="CM461" i="198"/>
  <c r="CL461" i="198"/>
  <c r="CK461" i="198"/>
  <c r="CJ461" i="198"/>
  <c r="CI461" i="198"/>
  <c r="CH461" i="198"/>
  <c r="CG461" i="198"/>
  <c r="CF461" i="198"/>
  <c r="CE461" i="198"/>
  <c r="CD461" i="198"/>
  <c r="CC461" i="198"/>
  <c r="CB461" i="198"/>
  <c r="CA461" i="198"/>
  <c r="BZ461" i="198"/>
  <c r="BY461" i="198"/>
  <c r="BX461" i="198"/>
  <c r="BW461" i="198"/>
  <c r="BV461" i="198"/>
  <c r="BU461" i="198"/>
  <c r="BT461" i="198"/>
  <c r="BS461" i="198"/>
  <c r="BR461" i="198"/>
  <c r="BQ461" i="198"/>
  <c r="BP461" i="198"/>
  <c r="BO461" i="198"/>
  <c r="BN461" i="198"/>
  <c r="BM461" i="198"/>
  <c r="BL461" i="198"/>
  <c r="BK461" i="198"/>
  <c r="BJ461" i="198"/>
  <c r="BI461" i="198"/>
  <c r="BH461" i="198"/>
  <c r="BG461" i="198"/>
  <c r="BF461" i="198"/>
  <c r="BE461" i="198"/>
  <c r="BD461" i="198"/>
  <c r="BC461" i="198"/>
  <c r="BB461" i="198"/>
  <c r="BA461" i="198"/>
  <c r="AZ461" i="198"/>
  <c r="AY461" i="198"/>
  <c r="AX461" i="198"/>
  <c r="AW461" i="198"/>
  <c r="AV461" i="198"/>
  <c r="AU461" i="198"/>
  <c r="AT461" i="198"/>
  <c r="AS461" i="198"/>
  <c r="AR461" i="198"/>
  <c r="AQ461" i="198"/>
  <c r="AP461" i="198"/>
  <c r="AO461" i="198"/>
  <c r="AN461" i="198"/>
  <c r="AM461" i="198"/>
  <c r="AL461" i="198"/>
  <c r="AK461" i="198"/>
  <c r="AJ461" i="198"/>
  <c r="AI461" i="198"/>
  <c r="AH461" i="198"/>
  <c r="AG461" i="198"/>
  <c r="AF461" i="198"/>
  <c r="AE461" i="198"/>
  <c r="AD461" i="198"/>
  <c r="AC461" i="198"/>
  <c r="AB461" i="198"/>
  <c r="AA461" i="198"/>
  <c r="Z461" i="198"/>
  <c r="Y461" i="198"/>
  <c r="X461" i="198"/>
  <c r="W461" i="198"/>
  <c r="V461" i="198"/>
  <c r="U461" i="198"/>
  <c r="T461" i="198"/>
  <c r="S461" i="198"/>
  <c r="R461" i="198"/>
  <c r="Q461" i="198"/>
  <c r="P461" i="198"/>
  <c r="O461" i="198"/>
  <c r="N461" i="198"/>
  <c r="M461" i="198"/>
  <c r="L461" i="198"/>
  <c r="K461" i="198"/>
  <c r="J461" i="198"/>
  <c r="I461" i="198"/>
  <c r="H461" i="198"/>
  <c r="G461" i="198"/>
  <c r="F461" i="198"/>
  <c r="E461" i="198"/>
  <c r="D461" i="198"/>
  <c r="C461" i="198"/>
  <c r="B461" i="198"/>
  <c r="A461" i="198"/>
  <c r="DA460" i="198"/>
  <c r="CZ460" i="198"/>
  <c r="CY460" i="198"/>
  <c r="CX460" i="198"/>
  <c r="CW460" i="198"/>
  <c r="CV460" i="198"/>
  <c r="CU460" i="198"/>
  <c r="CT460" i="198"/>
  <c r="CS460" i="198"/>
  <c r="CR460" i="198"/>
  <c r="CQ460" i="198"/>
  <c r="CP460" i="198"/>
  <c r="CO460" i="198"/>
  <c r="CN460" i="198"/>
  <c r="CM460" i="198"/>
  <c r="CL460" i="198"/>
  <c r="CK460" i="198"/>
  <c r="CJ460" i="198"/>
  <c r="CI460" i="198"/>
  <c r="CH460" i="198"/>
  <c r="CG460" i="198"/>
  <c r="CF460" i="198"/>
  <c r="CE460" i="198"/>
  <c r="CD460" i="198"/>
  <c r="CC460" i="198"/>
  <c r="CB460" i="198"/>
  <c r="CA460" i="198"/>
  <c r="BZ460" i="198"/>
  <c r="BY460" i="198"/>
  <c r="BX460" i="198"/>
  <c r="BW460" i="198"/>
  <c r="BV460" i="198"/>
  <c r="BU460" i="198"/>
  <c r="BT460" i="198"/>
  <c r="BS460" i="198"/>
  <c r="BR460" i="198"/>
  <c r="BQ460" i="198"/>
  <c r="BP460" i="198"/>
  <c r="BO460" i="198"/>
  <c r="BN460" i="198"/>
  <c r="BM460" i="198"/>
  <c r="BL460" i="198"/>
  <c r="BK460" i="198"/>
  <c r="BJ460" i="198"/>
  <c r="BI460" i="198"/>
  <c r="BH460" i="198"/>
  <c r="BG460" i="198"/>
  <c r="BF460" i="198"/>
  <c r="BE460" i="198"/>
  <c r="BD460" i="198"/>
  <c r="BC460" i="198"/>
  <c r="BB460" i="198"/>
  <c r="BA460" i="198"/>
  <c r="AZ460" i="198"/>
  <c r="AY460" i="198"/>
  <c r="AX460" i="198"/>
  <c r="AW460" i="198"/>
  <c r="AV460" i="198"/>
  <c r="AU460" i="198"/>
  <c r="AT460" i="198"/>
  <c r="AS460" i="198"/>
  <c r="AR460" i="198"/>
  <c r="AQ460" i="198"/>
  <c r="AP460" i="198"/>
  <c r="AO460" i="198"/>
  <c r="AN460" i="198"/>
  <c r="AM460" i="198"/>
  <c r="AL460" i="198"/>
  <c r="AK460" i="198"/>
  <c r="AJ460" i="198"/>
  <c r="AI460" i="198"/>
  <c r="AH460" i="198"/>
  <c r="AG460" i="198"/>
  <c r="AF460" i="198"/>
  <c r="AE460" i="198"/>
  <c r="AD460" i="198"/>
  <c r="AC460" i="198"/>
  <c r="AB460" i="198"/>
  <c r="AA460" i="198"/>
  <c r="Z460" i="198"/>
  <c r="Y460" i="198"/>
  <c r="X460" i="198"/>
  <c r="W460" i="198"/>
  <c r="V460" i="198"/>
  <c r="U460" i="198"/>
  <c r="T460" i="198"/>
  <c r="S460" i="198"/>
  <c r="R460" i="198"/>
  <c r="Q460" i="198"/>
  <c r="P460" i="198"/>
  <c r="O460" i="198"/>
  <c r="N460" i="198"/>
  <c r="M460" i="198"/>
  <c r="L460" i="198"/>
  <c r="K460" i="198"/>
  <c r="J460" i="198"/>
  <c r="I460" i="198"/>
  <c r="H460" i="198"/>
  <c r="G460" i="198"/>
  <c r="F460" i="198"/>
  <c r="E460" i="198"/>
  <c r="D460" i="198"/>
  <c r="C460" i="198"/>
  <c r="B460" i="198"/>
  <c r="A460" i="198"/>
  <c r="DA459" i="198"/>
  <c r="CZ459" i="198"/>
  <c r="CY459" i="198"/>
  <c r="CX459" i="198"/>
  <c r="CW459" i="198"/>
  <c r="CV459" i="198"/>
  <c r="CU459" i="198"/>
  <c r="CT459" i="198"/>
  <c r="CS459" i="198"/>
  <c r="CR459" i="198"/>
  <c r="CQ459" i="198"/>
  <c r="CP459" i="198"/>
  <c r="CO459" i="198"/>
  <c r="CN459" i="198"/>
  <c r="CM459" i="198"/>
  <c r="CL459" i="198"/>
  <c r="CK459" i="198"/>
  <c r="CJ459" i="198"/>
  <c r="CI459" i="198"/>
  <c r="CH459" i="198"/>
  <c r="CG459" i="198"/>
  <c r="CF459" i="198"/>
  <c r="CE459" i="198"/>
  <c r="CD459" i="198"/>
  <c r="CC459" i="198"/>
  <c r="CB459" i="198"/>
  <c r="CA459" i="198"/>
  <c r="BZ459" i="198"/>
  <c r="BY459" i="198"/>
  <c r="BX459" i="198"/>
  <c r="BW459" i="198"/>
  <c r="BV459" i="198"/>
  <c r="BU459" i="198"/>
  <c r="BT459" i="198"/>
  <c r="BS459" i="198"/>
  <c r="BR459" i="198"/>
  <c r="BQ459" i="198"/>
  <c r="BP459" i="198"/>
  <c r="BO459" i="198"/>
  <c r="BN459" i="198"/>
  <c r="BM459" i="198"/>
  <c r="BL459" i="198"/>
  <c r="BK459" i="198"/>
  <c r="BJ459" i="198"/>
  <c r="BI459" i="198"/>
  <c r="BH459" i="198"/>
  <c r="BG459" i="198"/>
  <c r="BF459" i="198"/>
  <c r="BE459" i="198"/>
  <c r="BD459" i="198"/>
  <c r="BC459" i="198"/>
  <c r="BB459" i="198"/>
  <c r="BA459" i="198"/>
  <c r="AZ459" i="198"/>
  <c r="AY459" i="198"/>
  <c r="AX459" i="198"/>
  <c r="AW459" i="198"/>
  <c r="AV459" i="198"/>
  <c r="AU459" i="198"/>
  <c r="AT459" i="198"/>
  <c r="AS459" i="198"/>
  <c r="AR459" i="198"/>
  <c r="AQ459" i="198"/>
  <c r="AP459" i="198"/>
  <c r="AO459" i="198"/>
  <c r="AN459" i="198"/>
  <c r="AM459" i="198"/>
  <c r="AL459" i="198"/>
  <c r="AK459" i="198"/>
  <c r="AJ459" i="198"/>
  <c r="AI459" i="198"/>
  <c r="AH459" i="198"/>
  <c r="AG459" i="198"/>
  <c r="AF459" i="198"/>
  <c r="AE459" i="198"/>
  <c r="AD459" i="198"/>
  <c r="AC459" i="198"/>
  <c r="AB459" i="198"/>
  <c r="AA459" i="198"/>
  <c r="Z459" i="198"/>
  <c r="Y459" i="198"/>
  <c r="X459" i="198"/>
  <c r="W459" i="198"/>
  <c r="V459" i="198"/>
  <c r="U459" i="198"/>
  <c r="T459" i="198"/>
  <c r="S459" i="198"/>
  <c r="R459" i="198"/>
  <c r="Q459" i="198"/>
  <c r="P459" i="198"/>
  <c r="O459" i="198"/>
  <c r="N459" i="198"/>
  <c r="M459" i="198"/>
  <c r="L459" i="198"/>
  <c r="K459" i="198"/>
  <c r="J459" i="198"/>
  <c r="I459" i="198"/>
  <c r="H459" i="198"/>
  <c r="G459" i="198"/>
  <c r="F459" i="198"/>
  <c r="E459" i="198"/>
  <c r="D459" i="198"/>
  <c r="C459" i="198"/>
  <c r="B459" i="198"/>
  <c r="A459" i="198"/>
  <c r="DA458" i="198"/>
  <c r="CZ458" i="198"/>
  <c r="CY458" i="198"/>
  <c r="CX458" i="198"/>
  <c r="CW458" i="198"/>
  <c r="CV458" i="198"/>
  <c r="CU458" i="198"/>
  <c r="CT458" i="198"/>
  <c r="CS458" i="198"/>
  <c r="CR458" i="198"/>
  <c r="CQ458" i="198"/>
  <c r="CP458" i="198"/>
  <c r="CO458" i="198"/>
  <c r="CN458" i="198"/>
  <c r="CM458" i="198"/>
  <c r="CL458" i="198"/>
  <c r="CK458" i="198"/>
  <c r="CJ458" i="198"/>
  <c r="CI458" i="198"/>
  <c r="CH458" i="198"/>
  <c r="CG458" i="198"/>
  <c r="CF458" i="198"/>
  <c r="CE458" i="198"/>
  <c r="CD458" i="198"/>
  <c r="CC458" i="198"/>
  <c r="CB458" i="198"/>
  <c r="CA458" i="198"/>
  <c r="BZ458" i="198"/>
  <c r="BY458" i="198"/>
  <c r="BX458" i="198"/>
  <c r="BW458" i="198"/>
  <c r="BV458" i="198"/>
  <c r="BU458" i="198"/>
  <c r="BT458" i="198"/>
  <c r="BS458" i="198"/>
  <c r="BR458" i="198"/>
  <c r="BQ458" i="198"/>
  <c r="BP458" i="198"/>
  <c r="BO458" i="198"/>
  <c r="BN458" i="198"/>
  <c r="BM458" i="198"/>
  <c r="BL458" i="198"/>
  <c r="BK458" i="198"/>
  <c r="BJ458" i="198"/>
  <c r="BI458" i="198"/>
  <c r="BH458" i="198"/>
  <c r="BG458" i="198"/>
  <c r="BF458" i="198"/>
  <c r="BE458" i="198"/>
  <c r="BD458" i="198"/>
  <c r="BC458" i="198"/>
  <c r="BB458" i="198"/>
  <c r="BA458" i="198"/>
  <c r="AZ458" i="198"/>
  <c r="AY458" i="198"/>
  <c r="AX458" i="198"/>
  <c r="AW458" i="198"/>
  <c r="AV458" i="198"/>
  <c r="AU458" i="198"/>
  <c r="AT458" i="198"/>
  <c r="AS458" i="198"/>
  <c r="AR458" i="198"/>
  <c r="AQ458" i="198"/>
  <c r="AP458" i="198"/>
  <c r="AO458" i="198"/>
  <c r="AN458" i="198"/>
  <c r="AM458" i="198"/>
  <c r="AL458" i="198"/>
  <c r="AK458" i="198"/>
  <c r="AJ458" i="198"/>
  <c r="AI458" i="198"/>
  <c r="AH458" i="198"/>
  <c r="AG458" i="198"/>
  <c r="AF458" i="198"/>
  <c r="AE458" i="198"/>
  <c r="AD458" i="198"/>
  <c r="AC458" i="198"/>
  <c r="AB458" i="198"/>
  <c r="AA458" i="198"/>
  <c r="Z458" i="198"/>
  <c r="Y458" i="198"/>
  <c r="X458" i="198"/>
  <c r="W458" i="198"/>
  <c r="V458" i="198"/>
  <c r="U458" i="198"/>
  <c r="T458" i="198"/>
  <c r="S458" i="198"/>
  <c r="R458" i="198"/>
  <c r="Q458" i="198"/>
  <c r="P458" i="198"/>
  <c r="O458" i="198"/>
  <c r="N458" i="198"/>
  <c r="M458" i="198"/>
  <c r="L458" i="198"/>
  <c r="K458" i="198"/>
  <c r="J458" i="198"/>
  <c r="I458" i="198"/>
  <c r="H458" i="198"/>
  <c r="G458" i="198"/>
  <c r="F458" i="198"/>
  <c r="E458" i="198"/>
  <c r="D458" i="198"/>
  <c r="C458" i="198"/>
  <c r="B458" i="198"/>
  <c r="A458" i="198"/>
  <c r="A453" i="198"/>
  <c r="EM446" i="198"/>
  <c r="EL446" i="198"/>
  <c r="EK446" i="198"/>
  <c r="EJ446" i="198"/>
  <c r="EI446" i="198"/>
  <c r="EH446" i="198"/>
  <c r="EG446" i="198"/>
  <c r="EF446" i="198"/>
  <c r="EE446" i="198"/>
  <c r="ED446" i="198"/>
  <c r="EC446" i="198"/>
  <c r="EB446" i="198"/>
  <c r="EA446" i="198"/>
  <c r="DZ446" i="198"/>
  <c r="DY446" i="198"/>
  <c r="DX446" i="198"/>
  <c r="DW446" i="198"/>
  <c r="DV446" i="198"/>
  <c r="DU446" i="198"/>
  <c r="DT446" i="198"/>
  <c r="DS446" i="198"/>
  <c r="DR446" i="198"/>
  <c r="DQ446" i="198"/>
  <c r="DP446" i="198"/>
  <c r="DO446" i="198"/>
  <c r="DN446" i="198"/>
  <c r="DM446" i="198"/>
  <c r="DL446" i="198"/>
  <c r="DK446" i="198"/>
  <c r="DJ446" i="198"/>
  <c r="DI446" i="198"/>
  <c r="DH446" i="198"/>
  <c r="DG446" i="198"/>
  <c r="DF446" i="198"/>
  <c r="DE446" i="198"/>
  <c r="DD446" i="198"/>
  <c r="DC446" i="198"/>
  <c r="EM445" i="198"/>
  <c r="EL445" i="198"/>
  <c r="EK445" i="198"/>
  <c r="EJ445" i="198"/>
  <c r="EI445" i="198"/>
  <c r="EH445" i="198"/>
  <c r="EG445" i="198"/>
  <c r="EF445" i="198"/>
  <c r="EE445" i="198"/>
  <c r="ED445" i="198"/>
  <c r="EC445" i="198"/>
  <c r="EB445" i="198"/>
  <c r="EA445" i="198"/>
  <c r="DZ445" i="198"/>
  <c r="DY445" i="198"/>
  <c r="DX445" i="198"/>
  <c r="DW445" i="198"/>
  <c r="DV445" i="198"/>
  <c r="DU445" i="198"/>
  <c r="DT445" i="198"/>
  <c r="DS445" i="198"/>
  <c r="DR445" i="198"/>
  <c r="DQ445" i="198"/>
  <c r="DP445" i="198"/>
  <c r="DO445" i="198"/>
  <c r="DN445" i="198"/>
  <c r="DM445" i="198"/>
  <c r="DL445" i="198"/>
  <c r="DK445" i="198"/>
  <c r="DJ445" i="198"/>
  <c r="DI445" i="198"/>
  <c r="DH445" i="198"/>
  <c r="DG445" i="198"/>
  <c r="DF445" i="198"/>
  <c r="DE445" i="198"/>
  <c r="DD445" i="198"/>
  <c r="DC445" i="198"/>
  <c r="EM444" i="198"/>
  <c r="EL444" i="198"/>
  <c r="EK444" i="198"/>
  <c r="EJ444" i="198"/>
  <c r="EI444" i="198"/>
  <c r="EH444" i="198"/>
  <c r="EG444" i="198"/>
  <c r="EF444" i="198"/>
  <c r="EE444" i="198"/>
  <c r="ED444" i="198"/>
  <c r="EC444" i="198"/>
  <c r="EB444" i="198"/>
  <c r="EA444" i="198"/>
  <c r="DZ444" i="198"/>
  <c r="DY444" i="198"/>
  <c r="DX444" i="198"/>
  <c r="DW444" i="198"/>
  <c r="DV444" i="198"/>
  <c r="DU444" i="198"/>
  <c r="DT444" i="198"/>
  <c r="DS444" i="198"/>
  <c r="DR444" i="198"/>
  <c r="DQ444" i="198"/>
  <c r="DP444" i="198"/>
  <c r="DO444" i="198"/>
  <c r="DN444" i="198"/>
  <c r="DM444" i="198"/>
  <c r="DL444" i="198"/>
  <c r="DK444" i="198"/>
  <c r="DJ444" i="198"/>
  <c r="DI444" i="198"/>
  <c r="DH444" i="198"/>
  <c r="DG444" i="198"/>
  <c r="DF444" i="198"/>
  <c r="DE444" i="198"/>
  <c r="DD444" i="198"/>
  <c r="DC444" i="198"/>
  <c r="EM443" i="198"/>
  <c r="EL443" i="198"/>
  <c r="EK443" i="198"/>
  <c r="EJ443" i="198"/>
  <c r="EI443" i="198"/>
  <c r="EH443" i="198"/>
  <c r="EG443" i="198"/>
  <c r="EF443" i="198"/>
  <c r="EE443" i="198"/>
  <c r="ED443" i="198"/>
  <c r="EC443" i="198"/>
  <c r="EB443" i="198"/>
  <c r="EA443" i="198"/>
  <c r="DZ443" i="198"/>
  <c r="DY443" i="198"/>
  <c r="DX443" i="198"/>
  <c r="DW443" i="198"/>
  <c r="DV443" i="198"/>
  <c r="DU443" i="198"/>
  <c r="DT443" i="198"/>
  <c r="DS443" i="198"/>
  <c r="DR443" i="198"/>
  <c r="DQ443" i="198"/>
  <c r="DP443" i="198"/>
  <c r="DO443" i="198"/>
  <c r="DN443" i="198"/>
  <c r="DM443" i="198"/>
  <c r="DL443" i="198"/>
  <c r="DK443" i="198"/>
  <c r="DJ443" i="198"/>
  <c r="DI443" i="198"/>
  <c r="DH443" i="198"/>
  <c r="DG443" i="198"/>
  <c r="DF443" i="198"/>
  <c r="DE443" i="198"/>
  <c r="DD443" i="198"/>
  <c r="DC443" i="198"/>
  <c r="DA446" i="198"/>
  <c r="CZ446" i="198"/>
  <c r="CY446" i="198"/>
  <c r="CX446" i="198"/>
  <c r="CW446" i="198"/>
  <c r="CV446" i="198"/>
  <c r="CU446" i="198"/>
  <c r="CT446" i="198"/>
  <c r="CS446" i="198"/>
  <c r="CR446" i="198"/>
  <c r="CQ446" i="198"/>
  <c r="CP446" i="198"/>
  <c r="CO446" i="198"/>
  <c r="CN446" i="198"/>
  <c r="CM446" i="198"/>
  <c r="CL446" i="198"/>
  <c r="CK446" i="198"/>
  <c r="CJ446" i="198"/>
  <c r="CI446" i="198"/>
  <c r="CH446" i="198"/>
  <c r="CG446" i="198"/>
  <c r="CF446" i="198"/>
  <c r="CE446" i="198"/>
  <c r="CD446" i="198"/>
  <c r="CC446" i="198"/>
  <c r="CB446" i="198"/>
  <c r="CA446" i="198"/>
  <c r="BZ446" i="198"/>
  <c r="BY446" i="198"/>
  <c r="BX446" i="198"/>
  <c r="BW446" i="198"/>
  <c r="BV446" i="198"/>
  <c r="BU446" i="198"/>
  <c r="BT446" i="198"/>
  <c r="BS446" i="198"/>
  <c r="BR446" i="198"/>
  <c r="BQ446" i="198"/>
  <c r="BP446" i="198"/>
  <c r="BO446" i="198"/>
  <c r="BN446" i="198"/>
  <c r="BM446" i="198"/>
  <c r="BL446" i="198"/>
  <c r="BK446" i="198"/>
  <c r="BJ446" i="198"/>
  <c r="BI446" i="198"/>
  <c r="BH446" i="198"/>
  <c r="BG446" i="198"/>
  <c r="BF446" i="198"/>
  <c r="BE446" i="198"/>
  <c r="BD446" i="198"/>
  <c r="BC446" i="198"/>
  <c r="BB446" i="198"/>
  <c r="BA446" i="198"/>
  <c r="AZ446" i="198"/>
  <c r="AY446" i="198"/>
  <c r="AX446" i="198"/>
  <c r="AW446" i="198"/>
  <c r="AV446" i="198"/>
  <c r="AU446" i="198"/>
  <c r="AT446" i="198"/>
  <c r="AS446" i="198"/>
  <c r="AR446" i="198"/>
  <c r="AQ446" i="198"/>
  <c r="AP446" i="198"/>
  <c r="AO446" i="198"/>
  <c r="AN446" i="198"/>
  <c r="AM446" i="198"/>
  <c r="AL446" i="198"/>
  <c r="AK446" i="198"/>
  <c r="AJ446" i="198"/>
  <c r="AI446" i="198"/>
  <c r="AH446" i="198"/>
  <c r="AG446" i="198"/>
  <c r="AF446" i="198"/>
  <c r="AE446" i="198"/>
  <c r="AD446" i="198"/>
  <c r="AC446" i="198"/>
  <c r="AB446" i="198"/>
  <c r="AA446" i="198"/>
  <c r="Z446" i="198"/>
  <c r="Y446" i="198"/>
  <c r="X446" i="198"/>
  <c r="W446" i="198"/>
  <c r="V446" i="198"/>
  <c r="U446" i="198"/>
  <c r="T446" i="198"/>
  <c r="S446" i="198"/>
  <c r="R446" i="198"/>
  <c r="Q446" i="198"/>
  <c r="P446" i="198"/>
  <c r="O446" i="198"/>
  <c r="N446" i="198"/>
  <c r="M446" i="198"/>
  <c r="L446" i="198"/>
  <c r="K446" i="198"/>
  <c r="J446" i="198"/>
  <c r="I446" i="198"/>
  <c r="H446" i="198"/>
  <c r="G446" i="198"/>
  <c r="F446" i="198"/>
  <c r="E446" i="198"/>
  <c r="D446" i="198"/>
  <c r="C446" i="198"/>
  <c r="B446" i="198"/>
  <c r="A446" i="198"/>
  <c r="DA445" i="198"/>
  <c r="CZ445" i="198"/>
  <c r="CY445" i="198"/>
  <c r="CX445" i="198"/>
  <c r="CW445" i="198"/>
  <c r="CV445" i="198"/>
  <c r="CU445" i="198"/>
  <c r="CT445" i="198"/>
  <c r="CS445" i="198"/>
  <c r="CR445" i="198"/>
  <c r="CQ445" i="198"/>
  <c r="CP445" i="198"/>
  <c r="CO445" i="198"/>
  <c r="CN445" i="198"/>
  <c r="CM445" i="198"/>
  <c r="CL445" i="198"/>
  <c r="CK445" i="198"/>
  <c r="CJ445" i="198"/>
  <c r="CI445" i="198"/>
  <c r="CH445" i="198"/>
  <c r="CG445" i="198"/>
  <c r="CF445" i="198"/>
  <c r="CE445" i="198"/>
  <c r="CD445" i="198"/>
  <c r="CC445" i="198"/>
  <c r="CB445" i="198"/>
  <c r="CA445" i="198"/>
  <c r="BZ445" i="198"/>
  <c r="BY445" i="198"/>
  <c r="BX445" i="198"/>
  <c r="BW445" i="198"/>
  <c r="BV445" i="198"/>
  <c r="BU445" i="198"/>
  <c r="BT445" i="198"/>
  <c r="BS445" i="198"/>
  <c r="BR445" i="198"/>
  <c r="BQ445" i="198"/>
  <c r="BP445" i="198"/>
  <c r="BO445" i="198"/>
  <c r="BN445" i="198"/>
  <c r="BM445" i="198"/>
  <c r="BL445" i="198"/>
  <c r="BK445" i="198"/>
  <c r="BJ445" i="198"/>
  <c r="BI445" i="198"/>
  <c r="BH445" i="198"/>
  <c r="BG445" i="198"/>
  <c r="BF445" i="198"/>
  <c r="BE445" i="198"/>
  <c r="BD445" i="198"/>
  <c r="BC445" i="198"/>
  <c r="BB445" i="198"/>
  <c r="BA445" i="198"/>
  <c r="AZ445" i="198"/>
  <c r="AY445" i="198"/>
  <c r="AX445" i="198"/>
  <c r="AW445" i="198"/>
  <c r="AV445" i="198"/>
  <c r="AU445" i="198"/>
  <c r="AT445" i="198"/>
  <c r="AS445" i="198"/>
  <c r="AR445" i="198"/>
  <c r="AQ445" i="198"/>
  <c r="AP445" i="198"/>
  <c r="AO445" i="198"/>
  <c r="AN445" i="198"/>
  <c r="AM445" i="198"/>
  <c r="AL445" i="198"/>
  <c r="AK445" i="198"/>
  <c r="AJ445" i="198"/>
  <c r="AI445" i="198"/>
  <c r="AH445" i="198"/>
  <c r="AG445" i="198"/>
  <c r="AF445" i="198"/>
  <c r="AE445" i="198"/>
  <c r="AD445" i="198"/>
  <c r="AC445" i="198"/>
  <c r="AB445" i="198"/>
  <c r="AA445" i="198"/>
  <c r="Z445" i="198"/>
  <c r="Y445" i="198"/>
  <c r="X445" i="198"/>
  <c r="W445" i="198"/>
  <c r="V445" i="198"/>
  <c r="U445" i="198"/>
  <c r="T445" i="198"/>
  <c r="S445" i="198"/>
  <c r="R445" i="198"/>
  <c r="Q445" i="198"/>
  <c r="P445" i="198"/>
  <c r="O445" i="198"/>
  <c r="N445" i="198"/>
  <c r="M445" i="198"/>
  <c r="L445" i="198"/>
  <c r="K445" i="198"/>
  <c r="J445" i="198"/>
  <c r="I445" i="198"/>
  <c r="H445" i="198"/>
  <c r="G445" i="198"/>
  <c r="F445" i="198"/>
  <c r="E445" i="198"/>
  <c r="D445" i="198"/>
  <c r="C445" i="198"/>
  <c r="B445" i="198"/>
  <c r="A445" i="198"/>
  <c r="DA444" i="198"/>
  <c r="CZ444" i="198"/>
  <c r="CY444" i="198"/>
  <c r="CX444" i="198"/>
  <c r="CW444" i="198"/>
  <c r="CV444" i="198"/>
  <c r="CU444" i="198"/>
  <c r="CT444" i="198"/>
  <c r="CS444" i="198"/>
  <c r="CR444" i="198"/>
  <c r="CQ444" i="198"/>
  <c r="CP444" i="198"/>
  <c r="CO444" i="198"/>
  <c r="CN444" i="198"/>
  <c r="CM444" i="198"/>
  <c r="CL444" i="198"/>
  <c r="CK444" i="198"/>
  <c r="CJ444" i="198"/>
  <c r="CI444" i="198"/>
  <c r="CH444" i="198"/>
  <c r="CG444" i="198"/>
  <c r="CF444" i="198"/>
  <c r="CE444" i="198"/>
  <c r="CD444" i="198"/>
  <c r="CC444" i="198"/>
  <c r="CB444" i="198"/>
  <c r="CA444" i="198"/>
  <c r="BZ444" i="198"/>
  <c r="BY444" i="198"/>
  <c r="BX444" i="198"/>
  <c r="BW444" i="198"/>
  <c r="BV444" i="198"/>
  <c r="BU444" i="198"/>
  <c r="BT444" i="198"/>
  <c r="BS444" i="198"/>
  <c r="BR444" i="198"/>
  <c r="BQ444" i="198"/>
  <c r="BP444" i="198"/>
  <c r="BO444" i="198"/>
  <c r="BN444" i="198"/>
  <c r="BM444" i="198"/>
  <c r="BL444" i="198"/>
  <c r="BK444" i="198"/>
  <c r="BJ444" i="198"/>
  <c r="BI444" i="198"/>
  <c r="BH444" i="198"/>
  <c r="BG444" i="198"/>
  <c r="BF444" i="198"/>
  <c r="BE444" i="198"/>
  <c r="BD444" i="198"/>
  <c r="BC444" i="198"/>
  <c r="BB444" i="198"/>
  <c r="BA444" i="198"/>
  <c r="AZ444" i="198"/>
  <c r="AY444" i="198"/>
  <c r="AX444" i="198"/>
  <c r="AW444" i="198"/>
  <c r="AV444" i="198"/>
  <c r="AU444" i="198"/>
  <c r="AT444" i="198"/>
  <c r="AS444" i="198"/>
  <c r="AR444" i="198"/>
  <c r="AQ444" i="198"/>
  <c r="AP444" i="198"/>
  <c r="AO444" i="198"/>
  <c r="AN444" i="198"/>
  <c r="AM444" i="198"/>
  <c r="AL444" i="198"/>
  <c r="AK444" i="198"/>
  <c r="AJ444" i="198"/>
  <c r="AI444" i="198"/>
  <c r="AH444" i="198"/>
  <c r="AG444" i="198"/>
  <c r="AF444" i="198"/>
  <c r="AE444" i="198"/>
  <c r="AD444" i="198"/>
  <c r="AC444" i="198"/>
  <c r="AB444" i="198"/>
  <c r="AA444" i="198"/>
  <c r="Z444" i="198"/>
  <c r="Y444" i="198"/>
  <c r="X444" i="198"/>
  <c r="W444" i="198"/>
  <c r="V444" i="198"/>
  <c r="U444" i="198"/>
  <c r="T444" i="198"/>
  <c r="S444" i="198"/>
  <c r="R444" i="198"/>
  <c r="Q444" i="198"/>
  <c r="P444" i="198"/>
  <c r="O444" i="198"/>
  <c r="N444" i="198"/>
  <c r="M444" i="198"/>
  <c r="L444" i="198"/>
  <c r="K444" i="198"/>
  <c r="J444" i="198"/>
  <c r="I444" i="198"/>
  <c r="H444" i="198"/>
  <c r="G444" i="198"/>
  <c r="F444" i="198"/>
  <c r="E444" i="198"/>
  <c r="D444" i="198"/>
  <c r="C444" i="198"/>
  <c r="B444" i="198"/>
  <c r="A444" i="198"/>
  <c r="DA443" i="198"/>
  <c r="CZ443" i="198"/>
  <c r="CY443" i="198"/>
  <c r="CX443" i="198"/>
  <c r="CW443" i="198"/>
  <c r="CV443" i="198"/>
  <c r="CU443" i="198"/>
  <c r="CT443" i="198"/>
  <c r="CS443" i="198"/>
  <c r="CR443" i="198"/>
  <c r="CQ443" i="198"/>
  <c r="CP443" i="198"/>
  <c r="CO443" i="198"/>
  <c r="CN443" i="198"/>
  <c r="CM443" i="198"/>
  <c r="CL443" i="198"/>
  <c r="CK443" i="198"/>
  <c r="CJ443" i="198"/>
  <c r="CI443" i="198"/>
  <c r="CH443" i="198"/>
  <c r="CG443" i="198"/>
  <c r="CF443" i="198"/>
  <c r="CE443" i="198"/>
  <c r="CD443" i="198"/>
  <c r="CC443" i="198"/>
  <c r="CB443" i="198"/>
  <c r="CA443" i="198"/>
  <c r="BZ443" i="198"/>
  <c r="BY443" i="198"/>
  <c r="BX443" i="198"/>
  <c r="BW443" i="198"/>
  <c r="BV443" i="198"/>
  <c r="BU443" i="198"/>
  <c r="BT443" i="198"/>
  <c r="BS443" i="198"/>
  <c r="BR443" i="198"/>
  <c r="BQ443" i="198"/>
  <c r="BP443" i="198"/>
  <c r="BO443" i="198"/>
  <c r="BN443" i="198"/>
  <c r="BM443" i="198"/>
  <c r="BL443" i="198"/>
  <c r="BK443" i="198"/>
  <c r="BJ443" i="198"/>
  <c r="BI443" i="198"/>
  <c r="BH443" i="198"/>
  <c r="BG443" i="198"/>
  <c r="BF443" i="198"/>
  <c r="BE443" i="198"/>
  <c r="BD443" i="198"/>
  <c r="BC443" i="198"/>
  <c r="BB443" i="198"/>
  <c r="BA443" i="198"/>
  <c r="AZ443" i="198"/>
  <c r="AY443" i="198"/>
  <c r="AX443" i="198"/>
  <c r="AW443" i="198"/>
  <c r="AV443" i="198"/>
  <c r="AU443" i="198"/>
  <c r="AT443" i="198"/>
  <c r="AS443" i="198"/>
  <c r="AR443" i="198"/>
  <c r="AQ443" i="198"/>
  <c r="AP443" i="198"/>
  <c r="AO443" i="198"/>
  <c r="AN443" i="198"/>
  <c r="AM443" i="198"/>
  <c r="AL443" i="198"/>
  <c r="AK443" i="198"/>
  <c r="AJ443" i="198"/>
  <c r="AI443" i="198"/>
  <c r="AH443" i="198"/>
  <c r="AG443" i="198"/>
  <c r="AF443" i="198"/>
  <c r="AE443" i="198"/>
  <c r="AD443" i="198"/>
  <c r="AC443" i="198"/>
  <c r="AB443" i="198"/>
  <c r="AA443" i="198"/>
  <c r="Z443" i="198"/>
  <c r="Y443" i="198"/>
  <c r="X443" i="198"/>
  <c r="W443" i="198"/>
  <c r="V443" i="198"/>
  <c r="U443" i="198"/>
  <c r="T443" i="198"/>
  <c r="S443" i="198"/>
  <c r="R443" i="198"/>
  <c r="Q443" i="198"/>
  <c r="P443" i="198"/>
  <c r="O443" i="198"/>
  <c r="N443" i="198"/>
  <c r="M443" i="198"/>
  <c r="L443" i="198"/>
  <c r="K443" i="198"/>
  <c r="J443" i="198"/>
  <c r="I443" i="198"/>
  <c r="H443" i="198"/>
  <c r="G443" i="198"/>
  <c r="F443" i="198"/>
  <c r="E443" i="198"/>
  <c r="D443" i="198"/>
  <c r="C443" i="198"/>
  <c r="B443" i="198"/>
  <c r="A443" i="198"/>
  <c r="EB440" i="198"/>
  <c r="EA440" i="198"/>
  <c r="DZ440" i="198"/>
  <c r="DY440" i="198"/>
  <c r="DX440" i="198"/>
  <c r="DW440" i="198"/>
  <c r="DV440" i="198"/>
  <c r="DU440" i="198"/>
  <c r="DT440" i="198"/>
  <c r="DS440" i="198"/>
  <c r="DR440" i="198"/>
  <c r="DQ440" i="198"/>
  <c r="DP440" i="198"/>
  <c r="DO440" i="198"/>
  <c r="DN440" i="198"/>
  <c r="DM440" i="198"/>
  <c r="DL440" i="198"/>
  <c r="DK440" i="198"/>
  <c r="DJ440" i="198"/>
  <c r="DI440" i="198"/>
  <c r="DH440" i="198"/>
  <c r="DG440" i="198"/>
  <c r="DF440" i="198"/>
  <c r="DE440" i="198"/>
  <c r="DD440" i="198"/>
  <c r="DC440" i="198"/>
  <c r="CS440" i="198"/>
  <c r="CR440" i="198"/>
  <c r="CQ440" i="198"/>
  <c r="CP440" i="198"/>
  <c r="CO440" i="198"/>
  <c r="CN440" i="198"/>
  <c r="CM440" i="198"/>
  <c r="CL440" i="198"/>
  <c r="CK440" i="198"/>
  <c r="CJ440" i="198"/>
  <c r="CI440" i="198"/>
  <c r="CH440" i="198"/>
  <c r="CG440" i="198"/>
  <c r="CF440" i="198"/>
  <c r="CE440" i="198"/>
  <c r="CD440" i="198"/>
  <c r="CC440" i="198"/>
  <c r="CB440" i="198"/>
  <c r="CA440" i="198"/>
  <c r="BZ440" i="198"/>
  <c r="BY440" i="198"/>
  <c r="BX440" i="198"/>
  <c r="BW440" i="198"/>
  <c r="BV440" i="198"/>
  <c r="BU440" i="198"/>
  <c r="BT440" i="198"/>
  <c r="BS440" i="198"/>
  <c r="BR440" i="198"/>
  <c r="BQ440" i="198"/>
  <c r="BP440" i="198"/>
  <c r="BO440" i="198"/>
  <c r="BN440" i="198"/>
  <c r="BM440" i="198"/>
  <c r="BL440" i="198"/>
  <c r="BK440" i="198"/>
  <c r="BJ440" i="198"/>
  <c r="BI440" i="198"/>
  <c r="BH440" i="198"/>
  <c r="BG440" i="198"/>
  <c r="BF440" i="198"/>
  <c r="BE440" i="198"/>
  <c r="BD440" i="198"/>
  <c r="BC440" i="198"/>
  <c r="BB440" i="198"/>
  <c r="BA440" i="198"/>
  <c r="AZ440" i="198"/>
  <c r="AY440" i="198"/>
  <c r="AX440" i="198"/>
  <c r="AW440" i="198"/>
  <c r="AV440" i="198"/>
  <c r="AU440" i="198"/>
  <c r="AT440" i="198"/>
  <c r="AS440" i="198"/>
  <c r="AR440" i="198"/>
  <c r="AQ440" i="198"/>
  <c r="AP440" i="198"/>
  <c r="AO440" i="198"/>
  <c r="AN440" i="198"/>
  <c r="AM440" i="198"/>
  <c r="AL440" i="198"/>
  <c r="AK440" i="198"/>
  <c r="AJ440" i="198"/>
  <c r="AI440" i="198"/>
  <c r="AH440" i="198"/>
  <c r="AG440" i="198"/>
  <c r="AF440" i="198"/>
  <c r="AE440" i="198"/>
  <c r="AD440" i="198"/>
  <c r="AC440" i="198"/>
  <c r="AB440" i="198"/>
  <c r="AA440" i="198"/>
  <c r="Z440" i="198"/>
  <c r="Y440" i="198"/>
  <c r="X440" i="198"/>
  <c r="W440" i="198"/>
  <c r="V440" i="198"/>
  <c r="U440" i="198"/>
  <c r="T440" i="198"/>
  <c r="S440" i="198"/>
  <c r="R440" i="198"/>
  <c r="Q440" i="198"/>
  <c r="P440" i="198"/>
  <c r="O440" i="198"/>
  <c r="N440" i="198"/>
  <c r="M440" i="198"/>
  <c r="L440" i="198"/>
  <c r="K440" i="198"/>
  <c r="J440" i="198"/>
  <c r="I440" i="198"/>
  <c r="H440" i="198"/>
  <c r="G440" i="198"/>
  <c r="F440" i="198"/>
  <c r="E440" i="198"/>
  <c r="D440" i="198"/>
  <c r="C440" i="198"/>
  <c r="B440" i="198"/>
  <c r="EM437" i="198"/>
  <c r="EL437" i="198"/>
  <c r="EK437" i="198"/>
  <c r="EJ437" i="198"/>
  <c r="EI437" i="198"/>
  <c r="EH437" i="198"/>
  <c r="EG437" i="198"/>
  <c r="EF437" i="198"/>
  <c r="EE437" i="198"/>
  <c r="ED437" i="198"/>
  <c r="EC437" i="198"/>
  <c r="EB437" i="198"/>
  <c r="EA437" i="198"/>
  <c r="DZ437" i="198"/>
  <c r="DY437" i="198"/>
  <c r="DX437" i="198"/>
  <c r="DW437" i="198"/>
  <c r="DV437" i="198"/>
  <c r="DU437" i="198"/>
  <c r="DT437" i="198"/>
  <c r="DS437" i="198"/>
  <c r="DR437" i="198"/>
  <c r="DQ437" i="198"/>
  <c r="DP437" i="198"/>
  <c r="DO437" i="198"/>
  <c r="DN437" i="198"/>
  <c r="DM437" i="198"/>
  <c r="DL437" i="198"/>
  <c r="DK437" i="198"/>
  <c r="DJ437" i="198"/>
  <c r="DI437" i="198"/>
  <c r="DH437" i="198"/>
  <c r="DG437" i="198"/>
  <c r="DF437" i="198"/>
  <c r="DE437" i="198"/>
  <c r="DD437" i="198"/>
  <c r="DC437" i="198"/>
  <c r="DA437" i="198"/>
  <c r="CZ437" i="198"/>
  <c r="CY437" i="198"/>
  <c r="CX437" i="198"/>
  <c r="CW437" i="198"/>
  <c r="CV437" i="198"/>
  <c r="CU437" i="198"/>
  <c r="CT437" i="198"/>
  <c r="CS437" i="198"/>
  <c r="CR437" i="198"/>
  <c r="CQ437" i="198"/>
  <c r="CP437" i="198"/>
  <c r="CO437" i="198"/>
  <c r="CN437" i="198"/>
  <c r="CM437" i="198"/>
  <c r="CL437" i="198"/>
  <c r="CK437" i="198"/>
  <c r="CJ437" i="198"/>
  <c r="CI437" i="198"/>
  <c r="CH437" i="198"/>
  <c r="CG437" i="198"/>
  <c r="CF437" i="198"/>
  <c r="CE437" i="198"/>
  <c r="CD437" i="198"/>
  <c r="CC437" i="198"/>
  <c r="CB437" i="198"/>
  <c r="CA437" i="198"/>
  <c r="BZ437" i="198"/>
  <c r="BY437" i="198"/>
  <c r="BX437" i="198"/>
  <c r="BW437" i="198"/>
  <c r="BV437" i="198"/>
  <c r="BU437" i="198"/>
  <c r="BT437" i="198"/>
  <c r="BS437" i="198"/>
  <c r="BR437" i="198"/>
  <c r="BQ437" i="198"/>
  <c r="BP437" i="198"/>
  <c r="BO437" i="198"/>
  <c r="BN437" i="198"/>
  <c r="BM437" i="198"/>
  <c r="BL437" i="198"/>
  <c r="BK437" i="198"/>
  <c r="BJ437" i="198"/>
  <c r="BI437" i="198"/>
  <c r="BH437" i="198"/>
  <c r="BG437" i="198"/>
  <c r="BF437" i="198"/>
  <c r="BE437" i="198"/>
  <c r="BD437" i="198"/>
  <c r="BC437" i="198"/>
  <c r="BB437" i="198"/>
  <c r="BA437" i="198"/>
  <c r="AZ437" i="198"/>
  <c r="AY437" i="198"/>
  <c r="AX437" i="198"/>
  <c r="AW437" i="198"/>
  <c r="AV437" i="198"/>
  <c r="AU437" i="198"/>
  <c r="AT437" i="198"/>
  <c r="AS437" i="198"/>
  <c r="AR437" i="198"/>
  <c r="AQ437" i="198"/>
  <c r="AP437" i="198"/>
  <c r="AO437" i="198"/>
  <c r="AN437" i="198"/>
  <c r="AM437" i="198"/>
  <c r="AL437" i="198"/>
  <c r="AK437" i="198"/>
  <c r="AJ437" i="198"/>
  <c r="AI437" i="198"/>
  <c r="AH437" i="198"/>
  <c r="AG437" i="198"/>
  <c r="AF437" i="198"/>
  <c r="AE437" i="198"/>
  <c r="AD437" i="198"/>
  <c r="AC437" i="198"/>
  <c r="AB437" i="198"/>
  <c r="AA437" i="198"/>
  <c r="Z437" i="198"/>
  <c r="Y437" i="198"/>
  <c r="X437" i="198"/>
  <c r="W437" i="198"/>
  <c r="V437" i="198"/>
  <c r="U437" i="198"/>
  <c r="T437" i="198"/>
  <c r="S437" i="198"/>
  <c r="R437" i="198"/>
  <c r="Q437" i="198"/>
  <c r="P437" i="198"/>
  <c r="O437" i="198"/>
  <c r="N437" i="198"/>
  <c r="M437" i="198"/>
  <c r="L437" i="198"/>
  <c r="K437" i="198"/>
  <c r="J437" i="198"/>
  <c r="I437" i="198"/>
  <c r="H437" i="198"/>
  <c r="G437" i="198"/>
  <c r="F437" i="198"/>
  <c r="E437" i="198"/>
  <c r="D437" i="198"/>
  <c r="C437" i="198"/>
  <c r="B437" i="198"/>
  <c r="A437" i="198"/>
  <c r="EK433" i="198"/>
  <c r="EI433" i="198"/>
  <c r="EG433" i="198"/>
  <c r="EE433" i="198"/>
  <c r="EC433" i="198"/>
  <c r="EA433" i="198"/>
  <c r="DY433" i="198"/>
  <c r="DW433" i="198"/>
  <c r="DU433" i="198"/>
  <c r="DS433" i="198"/>
  <c r="DQ433" i="198"/>
  <c r="DO433" i="198"/>
  <c r="DM433" i="198"/>
  <c r="DK433" i="198"/>
  <c r="DI433" i="198"/>
  <c r="DG433" i="198"/>
  <c r="DE433" i="198"/>
  <c r="DC433" i="198"/>
  <c r="CZ433" i="198"/>
  <c r="CX433" i="198"/>
  <c r="CV433" i="198"/>
  <c r="CT433" i="198"/>
  <c r="CR433" i="198"/>
  <c r="CP433" i="198"/>
  <c r="CN433" i="198"/>
  <c r="CL433" i="198"/>
  <c r="CJ433" i="198"/>
  <c r="CH433" i="198"/>
  <c r="CF433" i="198"/>
  <c r="CD433" i="198"/>
  <c r="CB433" i="198"/>
  <c r="BZ433" i="198"/>
  <c r="BX433" i="198"/>
  <c r="BV433" i="198"/>
  <c r="BT433" i="198"/>
  <c r="BR433" i="198"/>
  <c r="BP433" i="198"/>
  <c r="BN433" i="198"/>
  <c r="BL433" i="198"/>
  <c r="BJ433" i="198"/>
  <c r="BH433" i="198"/>
  <c r="BF433" i="198"/>
  <c r="BD433" i="198"/>
  <c r="BB433" i="198"/>
  <c r="AZ433" i="198"/>
  <c r="AX433" i="198"/>
  <c r="AV433" i="198"/>
  <c r="AT433" i="198"/>
  <c r="AR433" i="198"/>
  <c r="AP433" i="198"/>
  <c r="AN433" i="198"/>
  <c r="AL433" i="198"/>
  <c r="AJ433" i="198"/>
  <c r="AH433" i="198"/>
  <c r="AF433" i="198"/>
  <c r="AD433" i="198"/>
  <c r="AB433" i="198"/>
  <c r="Z433" i="198"/>
  <c r="X433" i="198"/>
  <c r="V433" i="198"/>
  <c r="T433" i="198"/>
  <c r="R433" i="198"/>
  <c r="P433" i="198"/>
  <c r="N433" i="198"/>
  <c r="L433" i="198"/>
  <c r="J433" i="198"/>
  <c r="H433" i="198"/>
  <c r="F433" i="198"/>
  <c r="D433" i="198"/>
  <c r="B433" i="198"/>
  <c r="EM433" i="198"/>
  <c r="EL433" i="198"/>
  <c r="EJ433" i="198"/>
  <c r="EH433" i="198"/>
  <c r="EF433" i="198"/>
  <c r="ED433" i="198"/>
  <c r="EB433" i="198"/>
  <c r="DZ433" i="198"/>
  <c r="DX433" i="198"/>
  <c r="DV433" i="198"/>
  <c r="DT433" i="198"/>
  <c r="DR433" i="198"/>
  <c r="DP433" i="198"/>
  <c r="DN433" i="198"/>
  <c r="DL433" i="198"/>
  <c r="DJ433" i="198"/>
  <c r="DH433" i="198"/>
  <c r="DF433" i="198"/>
  <c r="DD433" i="198"/>
  <c r="DA433" i="198"/>
  <c r="CY433" i="198"/>
  <c r="CW433" i="198"/>
  <c r="CU433" i="198"/>
  <c r="CS433" i="198"/>
  <c r="CQ433" i="198"/>
  <c r="CO433" i="198"/>
  <c r="CM433" i="198"/>
  <c r="CK433" i="198"/>
  <c r="CI433" i="198"/>
  <c r="CG433" i="198"/>
  <c r="CE433" i="198"/>
  <c r="CC433" i="198"/>
  <c r="CA433" i="198"/>
  <c r="BY433" i="198"/>
  <c r="BW433" i="198"/>
  <c r="BU433" i="198"/>
  <c r="BS433" i="198"/>
  <c r="BQ433" i="198"/>
  <c r="BO433" i="198"/>
  <c r="BM433" i="198"/>
  <c r="BK433" i="198"/>
  <c r="BI433" i="198"/>
  <c r="BG433" i="198"/>
  <c r="BE433" i="198"/>
  <c r="BC433" i="198"/>
  <c r="BA433" i="198"/>
  <c r="AY433" i="198"/>
  <c r="AW433" i="198"/>
  <c r="AU433" i="198"/>
  <c r="AS433" i="198"/>
  <c r="AQ433" i="198"/>
  <c r="AO433" i="198"/>
  <c r="AM433" i="198"/>
  <c r="AK433" i="198"/>
  <c r="AI433" i="198"/>
  <c r="AG433" i="198"/>
  <c r="AE433" i="198"/>
  <c r="AC433" i="198"/>
  <c r="AA433" i="198"/>
  <c r="Y433" i="198"/>
  <c r="W433" i="198"/>
  <c r="U433" i="198"/>
  <c r="S433" i="198"/>
  <c r="Q433" i="198"/>
  <c r="O433" i="198"/>
  <c r="M433" i="198"/>
  <c r="K433" i="198"/>
  <c r="I433" i="198"/>
  <c r="G433" i="198"/>
  <c r="E433" i="198"/>
  <c r="C433" i="198"/>
  <c r="EM431" i="198"/>
  <c r="EL431" i="198"/>
  <c r="EK431" i="198"/>
  <c r="EJ431" i="198"/>
  <c r="EI431" i="198"/>
  <c r="EH431" i="198"/>
  <c r="EG431" i="198"/>
  <c r="EF431" i="198"/>
  <c r="EE431" i="198"/>
  <c r="ED431" i="198"/>
  <c r="EC431" i="198"/>
  <c r="EB431" i="198"/>
  <c r="EA431" i="198"/>
  <c r="DZ431" i="198"/>
  <c r="DY431" i="198"/>
  <c r="DX431" i="198"/>
  <c r="DW431" i="198"/>
  <c r="DV431" i="198"/>
  <c r="DU431" i="198"/>
  <c r="DT431" i="198"/>
  <c r="DS431" i="198"/>
  <c r="DR431" i="198"/>
  <c r="DQ431" i="198"/>
  <c r="DP431" i="198"/>
  <c r="DO431" i="198"/>
  <c r="DN431" i="198"/>
  <c r="DM431" i="198"/>
  <c r="DL431" i="198"/>
  <c r="DK431" i="198"/>
  <c r="DJ431" i="198"/>
  <c r="DI431" i="198"/>
  <c r="DH431" i="198"/>
  <c r="DG431" i="198"/>
  <c r="DF431" i="198"/>
  <c r="DE431" i="198"/>
  <c r="DD431" i="198"/>
  <c r="DC431" i="198"/>
  <c r="EM430" i="198"/>
  <c r="EL430" i="198"/>
  <c r="EK430" i="198"/>
  <c r="EJ430" i="198"/>
  <c r="EI430" i="198"/>
  <c r="EH430" i="198"/>
  <c r="EG430" i="198"/>
  <c r="EF430" i="198"/>
  <c r="EE430" i="198"/>
  <c r="ED430" i="198"/>
  <c r="EC430" i="198"/>
  <c r="EB430" i="198"/>
  <c r="EA430" i="198"/>
  <c r="DZ430" i="198"/>
  <c r="DY430" i="198"/>
  <c r="DX430" i="198"/>
  <c r="DW430" i="198"/>
  <c r="DV430" i="198"/>
  <c r="DU430" i="198"/>
  <c r="DT430" i="198"/>
  <c r="DS430" i="198"/>
  <c r="DR430" i="198"/>
  <c r="DQ430" i="198"/>
  <c r="DP430" i="198"/>
  <c r="DO430" i="198"/>
  <c r="DN430" i="198"/>
  <c r="DM430" i="198"/>
  <c r="DL430" i="198"/>
  <c r="DK430" i="198"/>
  <c r="DJ430" i="198"/>
  <c r="DI430" i="198"/>
  <c r="DH430" i="198"/>
  <c r="DG430" i="198"/>
  <c r="DF430" i="198"/>
  <c r="DE430" i="198"/>
  <c r="DD430" i="198"/>
  <c r="DC430" i="198"/>
  <c r="EM429" i="198"/>
  <c r="EL429" i="198"/>
  <c r="EK429" i="198"/>
  <c r="EJ429" i="198"/>
  <c r="EI429" i="198"/>
  <c r="EH429" i="198"/>
  <c r="EG429" i="198"/>
  <c r="EF429" i="198"/>
  <c r="EE429" i="198"/>
  <c r="ED429" i="198"/>
  <c r="EC429" i="198"/>
  <c r="EB429" i="198"/>
  <c r="EA429" i="198"/>
  <c r="DZ429" i="198"/>
  <c r="DY429" i="198"/>
  <c r="DX429" i="198"/>
  <c r="DW429" i="198"/>
  <c r="DV429" i="198"/>
  <c r="DU429" i="198"/>
  <c r="DT429" i="198"/>
  <c r="DS429" i="198"/>
  <c r="DR429" i="198"/>
  <c r="DQ429" i="198"/>
  <c r="DP429" i="198"/>
  <c r="DO429" i="198"/>
  <c r="DN429" i="198"/>
  <c r="DM429" i="198"/>
  <c r="DL429" i="198"/>
  <c r="DK429" i="198"/>
  <c r="DJ429" i="198"/>
  <c r="DI429" i="198"/>
  <c r="DH429" i="198"/>
  <c r="DG429" i="198"/>
  <c r="DF429" i="198"/>
  <c r="DE429" i="198"/>
  <c r="DD429" i="198"/>
  <c r="DC429" i="198"/>
  <c r="EM428" i="198"/>
  <c r="EL428" i="198"/>
  <c r="EK428" i="198"/>
  <c r="EJ428" i="198"/>
  <c r="EI428" i="198"/>
  <c r="EH428" i="198"/>
  <c r="EG428" i="198"/>
  <c r="EF428" i="198"/>
  <c r="EE428" i="198"/>
  <c r="ED428" i="198"/>
  <c r="EC428" i="198"/>
  <c r="EB428" i="198"/>
  <c r="EA428" i="198"/>
  <c r="DZ428" i="198"/>
  <c r="DY428" i="198"/>
  <c r="DX428" i="198"/>
  <c r="DW428" i="198"/>
  <c r="DV428" i="198"/>
  <c r="DU428" i="198"/>
  <c r="DT428" i="198"/>
  <c r="DS428" i="198"/>
  <c r="DR428" i="198"/>
  <c r="DQ428" i="198"/>
  <c r="DP428" i="198"/>
  <c r="DO428" i="198"/>
  <c r="DN428" i="198"/>
  <c r="DM428" i="198"/>
  <c r="DL428" i="198"/>
  <c r="DK428" i="198"/>
  <c r="DJ428" i="198"/>
  <c r="DI428" i="198"/>
  <c r="DH428" i="198"/>
  <c r="DG428" i="198"/>
  <c r="DF428" i="198"/>
  <c r="DE428" i="198"/>
  <c r="DD428" i="198"/>
  <c r="DC428" i="198"/>
  <c r="EM427" i="198"/>
  <c r="EL427" i="198"/>
  <c r="EK427" i="198"/>
  <c r="EJ427" i="198"/>
  <c r="EI427" i="198"/>
  <c r="EH427" i="198"/>
  <c r="EG427" i="198"/>
  <c r="EF427" i="198"/>
  <c r="EE427" i="198"/>
  <c r="ED427" i="198"/>
  <c r="EC427" i="198"/>
  <c r="EB427" i="198"/>
  <c r="EA427" i="198"/>
  <c r="DZ427" i="198"/>
  <c r="DY427" i="198"/>
  <c r="DX427" i="198"/>
  <c r="DW427" i="198"/>
  <c r="DV427" i="198"/>
  <c r="DU427" i="198"/>
  <c r="DT427" i="198"/>
  <c r="DS427" i="198"/>
  <c r="DR427" i="198"/>
  <c r="DQ427" i="198"/>
  <c r="DP427" i="198"/>
  <c r="DO427" i="198"/>
  <c r="DN427" i="198"/>
  <c r="DM427" i="198"/>
  <c r="DL427" i="198"/>
  <c r="DK427" i="198"/>
  <c r="DJ427" i="198"/>
  <c r="DI427" i="198"/>
  <c r="DH427" i="198"/>
  <c r="DG427" i="198"/>
  <c r="DF427" i="198"/>
  <c r="DE427" i="198"/>
  <c r="DD427" i="198"/>
  <c r="DC427" i="198"/>
  <c r="EM426" i="198"/>
  <c r="EL426" i="198"/>
  <c r="EK426" i="198"/>
  <c r="EJ426" i="198"/>
  <c r="EI426" i="198"/>
  <c r="EH426" i="198"/>
  <c r="EG426" i="198"/>
  <c r="EF426" i="198"/>
  <c r="EE426" i="198"/>
  <c r="ED426" i="198"/>
  <c r="EC426" i="198"/>
  <c r="EB426" i="198"/>
  <c r="EA426" i="198"/>
  <c r="DZ426" i="198"/>
  <c r="DY426" i="198"/>
  <c r="DX426" i="198"/>
  <c r="DW426" i="198"/>
  <c r="DV426" i="198"/>
  <c r="DU426" i="198"/>
  <c r="DT426" i="198"/>
  <c r="DS426" i="198"/>
  <c r="DR426" i="198"/>
  <c r="DQ426" i="198"/>
  <c r="DP426" i="198"/>
  <c r="DO426" i="198"/>
  <c r="DN426" i="198"/>
  <c r="DM426" i="198"/>
  <c r="DL426" i="198"/>
  <c r="DK426" i="198"/>
  <c r="DJ426" i="198"/>
  <c r="DI426" i="198"/>
  <c r="DH426" i="198"/>
  <c r="DG426" i="198"/>
  <c r="DF426" i="198"/>
  <c r="DE426" i="198"/>
  <c r="DD426" i="198"/>
  <c r="DC426" i="198"/>
  <c r="DA431" i="198"/>
  <c r="CZ431" i="198"/>
  <c r="CY431" i="198"/>
  <c r="CX431" i="198"/>
  <c r="CW431" i="198"/>
  <c r="CV431" i="198"/>
  <c r="CU431" i="198"/>
  <c r="CT431" i="198"/>
  <c r="CS431" i="198"/>
  <c r="CR431" i="198"/>
  <c r="CQ431" i="198"/>
  <c r="CP431" i="198"/>
  <c r="CO431" i="198"/>
  <c r="CN431" i="198"/>
  <c r="CM431" i="198"/>
  <c r="CL431" i="198"/>
  <c r="CK431" i="198"/>
  <c r="CJ431" i="198"/>
  <c r="CI431" i="198"/>
  <c r="CH431" i="198"/>
  <c r="CG431" i="198"/>
  <c r="CF431" i="198"/>
  <c r="CE431" i="198"/>
  <c r="CD431" i="198"/>
  <c r="CC431" i="198"/>
  <c r="CB431" i="198"/>
  <c r="CA431" i="198"/>
  <c r="BZ431" i="198"/>
  <c r="BY431" i="198"/>
  <c r="BX431" i="198"/>
  <c r="BW431" i="198"/>
  <c r="BV431" i="198"/>
  <c r="BU431" i="198"/>
  <c r="BT431" i="198"/>
  <c r="BS431" i="198"/>
  <c r="BR431" i="198"/>
  <c r="BQ431" i="198"/>
  <c r="BP431" i="198"/>
  <c r="BO431" i="198"/>
  <c r="BN431" i="198"/>
  <c r="BM431" i="198"/>
  <c r="BL431" i="198"/>
  <c r="BK431" i="198"/>
  <c r="BJ431" i="198"/>
  <c r="BI431" i="198"/>
  <c r="BH431" i="198"/>
  <c r="BG431" i="198"/>
  <c r="BF431" i="198"/>
  <c r="BE431" i="198"/>
  <c r="BD431" i="198"/>
  <c r="BC431" i="198"/>
  <c r="BB431" i="198"/>
  <c r="BA431" i="198"/>
  <c r="AZ431" i="198"/>
  <c r="AY431" i="198"/>
  <c r="AX431" i="198"/>
  <c r="AW431" i="198"/>
  <c r="AV431" i="198"/>
  <c r="AU431" i="198"/>
  <c r="AT431" i="198"/>
  <c r="AS431" i="198"/>
  <c r="AR431" i="198"/>
  <c r="AQ431" i="198"/>
  <c r="AP431" i="198"/>
  <c r="AO431" i="198"/>
  <c r="AN431" i="198"/>
  <c r="AM431" i="198"/>
  <c r="AL431" i="198"/>
  <c r="AK431" i="198"/>
  <c r="AJ431" i="198"/>
  <c r="AI431" i="198"/>
  <c r="AH431" i="198"/>
  <c r="AG431" i="198"/>
  <c r="AF431" i="198"/>
  <c r="AE431" i="198"/>
  <c r="AD431" i="198"/>
  <c r="AC431" i="198"/>
  <c r="AB431" i="198"/>
  <c r="AA431" i="198"/>
  <c r="Z431" i="198"/>
  <c r="Y431" i="198"/>
  <c r="X431" i="198"/>
  <c r="W431" i="198"/>
  <c r="V431" i="198"/>
  <c r="U431" i="198"/>
  <c r="T431" i="198"/>
  <c r="S431" i="198"/>
  <c r="R431" i="198"/>
  <c r="Q431" i="198"/>
  <c r="P431" i="198"/>
  <c r="O431" i="198"/>
  <c r="N431" i="198"/>
  <c r="M431" i="198"/>
  <c r="L431" i="198"/>
  <c r="K431" i="198"/>
  <c r="J431" i="198"/>
  <c r="I431" i="198"/>
  <c r="H431" i="198"/>
  <c r="G431" i="198"/>
  <c r="F431" i="198"/>
  <c r="E431" i="198"/>
  <c r="D431" i="198"/>
  <c r="C431" i="198"/>
  <c r="B431" i="198"/>
  <c r="A431" i="198"/>
  <c r="DA430" i="198"/>
  <c r="CZ430" i="198"/>
  <c r="CY430" i="198"/>
  <c r="CX430" i="198"/>
  <c r="CW430" i="198"/>
  <c r="CV430" i="198"/>
  <c r="CU430" i="198"/>
  <c r="CT430" i="198"/>
  <c r="CS430" i="198"/>
  <c r="CR430" i="198"/>
  <c r="CQ430" i="198"/>
  <c r="CP430" i="198"/>
  <c r="CO430" i="198"/>
  <c r="CN430" i="198"/>
  <c r="CM430" i="198"/>
  <c r="CL430" i="198"/>
  <c r="CK430" i="198"/>
  <c r="CJ430" i="198"/>
  <c r="CI430" i="198"/>
  <c r="CH430" i="198"/>
  <c r="CG430" i="198"/>
  <c r="CF430" i="198"/>
  <c r="CE430" i="198"/>
  <c r="CD430" i="198"/>
  <c r="CC430" i="198"/>
  <c r="CB430" i="198"/>
  <c r="CA430" i="198"/>
  <c r="BZ430" i="198"/>
  <c r="BY430" i="198"/>
  <c r="BX430" i="198"/>
  <c r="BW430" i="198"/>
  <c r="BV430" i="198"/>
  <c r="BU430" i="198"/>
  <c r="BT430" i="198"/>
  <c r="BS430" i="198"/>
  <c r="BR430" i="198"/>
  <c r="BQ430" i="198"/>
  <c r="BP430" i="198"/>
  <c r="BO430" i="198"/>
  <c r="BN430" i="198"/>
  <c r="BM430" i="198"/>
  <c r="BL430" i="198"/>
  <c r="BK430" i="198"/>
  <c r="BJ430" i="198"/>
  <c r="BI430" i="198"/>
  <c r="BH430" i="198"/>
  <c r="BG430" i="198"/>
  <c r="BF430" i="198"/>
  <c r="BE430" i="198"/>
  <c r="BD430" i="198"/>
  <c r="BC430" i="198"/>
  <c r="BB430" i="198"/>
  <c r="BA430" i="198"/>
  <c r="AZ430" i="198"/>
  <c r="AY430" i="198"/>
  <c r="AX430" i="198"/>
  <c r="AW430" i="198"/>
  <c r="AV430" i="198"/>
  <c r="AU430" i="198"/>
  <c r="AT430" i="198"/>
  <c r="AS430" i="198"/>
  <c r="AR430" i="198"/>
  <c r="AQ430" i="198"/>
  <c r="AP430" i="198"/>
  <c r="AO430" i="198"/>
  <c r="AN430" i="198"/>
  <c r="AM430" i="198"/>
  <c r="AL430" i="198"/>
  <c r="AK430" i="198"/>
  <c r="AJ430" i="198"/>
  <c r="AI430" i="198"/>
  <c r="AH430" i="198"/>
  <c r="AG430" i="198"/>
  <c r="AF430" i="198"/>
  <c r="AE430" i="198"/>
  <c r="AD430" i="198"/>
  <c r="AC430" i="198"/>
  <c r="AB430" i="198"/>
  <c r="AA430" i="198"/>
  <c r="Z430" i="198"/>
  <c r="Y430" i="198"/>
  <c r="X430" i="198"/>
  <c r="W430" i="198"/>
  <c r="V430" i="198"/>
  <c r="U430" i="198"/>
  <c r="T430" i="198"/>
  <c r="S430" i="198"/>
  <c r="R430" i="198"/>
  <c r="Q430" i="198"/>
  <c r="P430" i="198"/>
  <c r="O430" i="198"/>
  <c r="N430" i="198"/>
  <c r="M430" i="198"/>
  <c r="L430" i="198"/>
  <c r="K430" i="198"/>
  <c r="J430" i="198"/>
  <c r="I430" i="198"/>
  <c r="H430" i="198"/>
  <c r="G430" i="198"/>
  <c r="F430" i="198"/>
  <c r="E430" i="198"/>
  <c r="D430" i="198"/>
  <c r="C430" i="198"/>
  <c r="B430" i="198"/>
  <c r="A430" i="198"/>
  <c r="DA429" i="198"/>
  <c r="CZ429" i="198"/>
  <c r="CY429" i="198"/>
  <c r="CX429" i="198"/>
  <c r="CW429" i="198"/>
  <c r="CV429" i="198"/>
  <c r="CU429" i="198"/>
  <c r="CT429" i="198"/>
  <c r="CS429" i="198"/>
  <c r="CR429" i="198"/>
  <c r="CQ429" i="198"/>
  <c r="CP429" i="198"/>
  <c r="CO429" i="198"/>
  <c r="CN429" i="198"/>
  <c r="CM429" i="198"/>
  <c r="CL429" i="198"/>
  <c r="CK429" i="198"/>
  <c r="CJ429" i="198"/>
  <c r="CI429" i="198"/>
  <c r="CH429" i="198"/>
  <c r="CG429" i="198"/>
  <c r="CF429" i="198"/>
  <c r="CE429" i="198"/>
  <c r="CD429" i="198"/>
  <c r="CC429" i="198"/>
  <c r="CB429" i="198"/>
  <c r="CA429" i="198"/>
  <c r="BZ429" i="198"/>
  <c r="BY429" i="198"/>
  <c r="BX429" i="198"/>
  <c r="BW429" i="198"/>
  <c r="BV429" i="198"/>
  <c r="BU429" i="198"/>
  <c r="BT429" i="198"/>
  <c r="BS429" i="198"/>
  <c r="BR429" i="198"/>
  <c r="BQ429" i="198"/>
  <c r="BP429" i="198"/>
  <c r="BO429" i="198"/>
  <c r="BN429" i="198"/>
  <c r="BM429" i="198"/>
  <c r="BL429" i="198"/>
  <c r="BK429" i="198"/>
  <c r="BJ429" i="198"/>
  <c r="BI429" i="198"/>
  <c r="BH429" i="198"/>
  <c r="BG429" i="198"/>
  <c r="BF429" i="198"/>
  <c r="BE429" i="198"/>
  <c r="BD429" i="198"/>
  <c r="BC429" i="198"/>
  <c r="BB429" i="198"/>
  <c r="BA429" i="198"/>
  <c r="AZ429" i="198"/>
  <c r="AY429" i="198"/>
  <c r="AX429" i="198"/>
  <c r="AW429" i="198"/>
  <c r="AV429" i="198"/>
  <c r="AU429" i="198"/>
  <c r="AT429" i="198"/>
  <c r="AS429" i="198"/>
  <c r="AR429" i="198"/>
  <c r="AQ429" i="198"/>
  <c r="AP429" i="198"/>
  <c r="AO429" i="198"/>
  <c r="AN429" i="198"/>
  <c r="AM429" i="198"/>
  <c r="AL429" i="198"/>
  <c r="AK429" i="198"/>
  <c r="AJ429" i="198"/>
  <c r="AI429" i="198"/>
  <c r="AH429" i="198"/>
  <c r="AG429" i="198"/>
  <c r="AF429" i="198"/>
  <c r="AE429" i="198"/>
  <c r="AD429" i="198"/>
  <c r="AC429" i="198"/>
  <c r="AB429" i="198"/>
  <c r="AA429" i="198"/>
  <c r="Z429" i="198"/>
  <c r="Y429" i="198"/>
  <c r="X429" i="198"/>
  <c r="W429" i="198"/>
  <c r="V429" i="198"/>
  <c r="U429" i="198"/>
  <c r="T429" i="198"/>
  <c r="S429" i="198"/>
  <c r="R429" i="198"/>
  <c r="Q429" i="198"/>
  <c r="P429" i="198"/>
  <c r="O429" i="198"/>
  <c r="N429" i="198"/>
  <c r="M429" i="198"/>
  <c r="L429" i="198"/>
  <c r="K429" i="198"/>
  <c r="J429" i="198"/>
  <c r="I429" i="198"/>
  <c r="H429" i="198"/>
  <c r="G429" i="198"/>
  <c r="F429" i="198"/>
  <c r="E429" i="198"/>
  <c r="D429" i="198"/>
  <c r="C429" i="198"/>
  <c r="B429" i="198"/>
  <c r="A429" i="198"/>
  <c r="DA428" i="198"/>
  <c r="CZ428" i="198"/>
  <c r="CY428" i="198"/>
  <c r="CX428" i="198"/>
  <c r="CW428" i="198"/>
  <c r="CV428" i="198"/>
  <c r="CU428" i="198"/>
  <c r="CT428" i="198"/>
  <c r="CS428" i="198"/>
  <c r="CR428" i="198"/>
  <c r="CQ428" i="198"/>
  <c r="CP428" i="198"/>
  <c r="CO428" i="198"/>
  <c r="CN428" i="198"/>
  <c r="CM428" i="198"/>
  <c r="CL428" i="198"/>
  <c r="CK428" i="198"/>
  <c r="CJ428" i="198"/>
  <c r="CI428" i="198"/>
  <c r="CH428" i="198"/>
  <c r="CG428" i="198"/>
  <c r="CF428" i="198"/>
  <c r="CE428" i="198"/>
  <c r="CD428" i="198"/>
  <c r="CC428" i="198"/>
  <c r="CB428" i="198"/>
  <c r="CA428" i="198"/>
  <c r="BZ428" i="198"/>
  <c r="BY428" i="198"/>
  <c r="BX428" i="198"/>
  <c r="BW428" i="198"/>
  <c r="BV428" i="198"/>
  <c r="BU428" i="198"/>
  <c r="BT428" i="198"/>
  <c r="BS428" i="198"/>
  <c r="BR428" i="198"/>
  <c r="BQ428" i="198"/>
  <c r="BP428" i="198"/>
  <c r="BO428" i="198"/>
  <c r="BN428" i="198"/>
  <c r="BM428" i="198"/>
  <c r="BL428" i="198"/>
  <c r="BK428" i="198"/>
  <c r="BJ428" i="198"/>
  <c r="BI428" i="198"/>
  <c r="BH428" i="198"/>
  <c r="BG428" i="198"/>
  <c r="BF428" i="198"/>
  <c r="BE428" i="198"/>
  <c r="BD428" i="198"/>
  <c r="BC428" i="198"/>
  <c r="BB428" i="198"/>
  <c r="BA428" i="198"/>
  <c r="AZ428" i="198"/>
  <c r="AY428" i="198"/>
  <c r="AX428" i="198"/>
  <c r="AW428" i="198"/>
  <c r="AV428" i="198"/>
  <c r="AU428" i="198"/>
  <c r="AT428" i="198"/>
  <c r="AS428" i="198"/>
  <c r="AR428" i="198"/>
  <c r="AQ428" i="198"/>
  <c r="AP428" i="198"/>
  <c r="AO428" i="198"/>
  <c r="AN428" i="198"/>
  <c r="AM428" i="198"/>
  <c r="AL428" i="198"/>
  <c r="AK428" i="198"/>
  <c r="AJ428" i="198"/>
  <c r="AI428" i="198"/>
  <c r="AH428" i="198"/>
  <c r="AG428" i="198"/>
  <c r="AF428" i="198"/>
  <c r="AE428" i="198"/>
  <c r="AD428" i="198"/>
  <c r="AC428" i="198"/>
  <c r="AB428" i="198"/>
  <c r="AA428" i="198"/>
  <c r="Z428" i="198"/>
  <c r="Y428" i="198"/>
  <c r="X428" i="198"/>
  <c r="W428" i="198"/>
  <c r="V428" i="198"/>
  <c r="U428" i="198"/>
  <c r="T428" i="198"/>
  <c r="S428" i="198"/>
  <c r="R428" i="198"/>
  <c r="Q428" i="198"/>
  <c r="P428" i="198"/>
  <c r="O428" i="198"/>
  <c r="N428" i="198"/>
  <c r="M428" i="198"/>
  <c r="L428" i="198"/>
  <c r="K428" i="198"/>
  <c r="J428" i="198"/>
  <c r="I428" i="198"/>
  <c r="H428" i="198"/>
  <c r="G428" i="198"/>
  <c r="F428" i="198"/>
  <c r="E428" i="198"/>
  <c r="D428" i="198"/>
  <c r="C428" i="198"/>
  <c r="B428" i="198"/>
  <c r="A428" i="198"/>
  <c r="DA427" i="198"/>
  <c r="CZ427" i="198"/>
  <c r="CY427" i="198"/>
  <c r="CX427" i="198"/>
  <c r="CW427" i="198"/>
  <c r="CV427" i="198"/>
  <c r="CU427" i="198"/>
  <c r="CT427" i="198"/>
  <c r="CS427" i="198"/>
  <c r="CR427" i="198"/>
  <c r="CQ427" i="198"/>
  <c r="CP427" i="198"/>
  <c r="CO427" i="198"/>
  <c r="CN427" i="198"/>
  <c r="CM427" i="198"/>
  <c r="CL427" i="198"/>
  <c r="CK427" i="198"/>
  <c r="CJ427" i="198"/>
  <c r="CI427" i="198"/>
  <c r="CH427" i="198"/>
  <c r="CG427" i="198"/>
  <c r="CF427" i="198"/>
  <c r="CE427" i="198"/>
  <c r="CD427" i="198"/>
  <c r="CC427" i="198"/>
  <c r="CB427" i="198"/>
  <c r="CA427" i="198"/>
  <c r="BZ427" i="198"/>
  <c r="BY427" i="198"/>
  <c r="BX427" i="198"/>
  <c r="BW427" i="198"/>
  <c r="BV427" i="198"/>
  <c r="BU427" i="198"/>
  <c r="BT427" i="198"/>
  <c r="BS427" i="198"/>
  <c r="BR427" i="198"/>
  <c r="BQ427" i="198"/>
  <c r="BP427" i="198"/>
  <c r="BO427" i="198"/>
  <c r="BN427" i="198"/>
  <c r="BM427" i="198"/>
  <c r="BL427" i="198"/>
  <c r="BK427" i="198"/>
  <c r="BJ427" i="198"/>
  <c r="BI427" i="198"/>
  <c r="BH427" i="198"/>
  <c r="BG427" i="198"/>
  <c r="BF427" i="198"/>
  <c r="BE427" i="198"/>
  <c r="BD427" i="198"/>
  <c r="BC427" i="198"/>
  <c r="BB427" i="198"/>
  <c r="BA427" i="198"/>
  <c r="AZ427" i="198"/>
  <c r="AY427" i="198"/>
  <c r="AX427" i="198"/>
  <c r="AW427" i="198"/>
  <c r="AV427" i="198"/>
  <c r="AU427" i="198"/>
  <c r="AT427" i="198"/>
  <c r="AS427" i="198"/>
  <c r="AR427" i="198"/>
  <c r="AQ427" i="198"/>
  <c r="AP427" i="198"/>
  <c r="AO427" i="198"/>
  <c r="AN427" i="198"/>
  <c r="AM427" i="198"/>
  <c r="AL427" i="198"/>
  <c r="AK427" i="198"/>
  <c r="AJ427" i="198"/>
  <c r="AI427" i="198"/>
  <c r="AH427" i="198"/>
  <c r="AG427" i="198"/>
  <c r="AF427" i="198"/>
  <c r="AE427" i="198"/>
  <c r="AD427" i="198"/>
  <c r="AC427" i="198"/>
  <c r="AB427" i="198"/>
  <c r="AA427" i="198"/>
  <c r="Z427" i="198"/>
  <c r="Y427" i="198"/>
  <c r="X427" i="198"/>
  <c r="W427" i="198"/>
  <c r="V427" i="198"/>
  <c r="U427" i="198"/>
  <c r="T427" i="198"/>
  <c r="S427" i="198"/>
  <c r="R427" i="198"/>
  <c r="Q427" i="198"/>
  <c r="P427" i="198"/>
  <c r="O427" i="198"/>
  <c r="N427" i="198"/>
  <c r="M427" i="198"/>
  <c r="L427" i="198"/>
  <c r="K427" i="198"/>
  <c r="J427" i="198"/>
  <c r="I427" i="198"/>
  <c r="H427" i="198"/>
  <c r="G427" i="198"/>
  <c r="F427" i="198"/>
  <c r="E427" i="198"/>
  <c r="D427" i="198"/>
  <c r="C427" i="198"/>
  <c r="B427" i="198"/>
  <c r="A427" i="198"/>
  <c r="DA426" i="198"/>
  <c r="CZ426" i="198"/>
  <c r="CY426" i="198"/>
  <c r="CX426" i="198"/>
  <c r="CW426" i="198"/>
  <c r="CV426" i="198"/>
  <c r="CU426" i="198"/>
  <c r="CT426" i="198"/>
  <c r="CS426" i="198"/>
  <c r="CR426" i="198"/>
  <c r="CQ426" i="198"/>
  <c r="CP426" i="198"/>
  <c r="CO426" i="198"/>
  <c r="CN426" i="198"/>
  <c r="CM426" i="198"/>
  <c r="CL426" i="198"/>
  <c r="CK426" i="198"/>
  <c r="CJ426" i="198"/>
  <c r="CI426" i="198"/>
  <c r="CH426" i="198"/>
  <c r="CG426" i="198"/>
  <c r="CF426" i="198"/>
  <c r="CE426" i="198"/>
  <c r="CD426" i="198"/>
  <c r="CC426" i="198"/>
  <c r="CB426" i="198"/>
  <c r="CA426" i="198"/>
  <c r="BZ426" i="198"/>
  <c r="BY426" i="198"/>
  <c r="BX426" i="198"/>
  <c r="BW426" i="198"/>
  <c r="BV426" i="198"/>
  <c r="BU426" i="198"/>
  <c r="BT426" i="198"/>
  <c r="BS426" i="198"/>
  <c r="BR426" i="198"/>
  <c r="BQ426" i="198"/>
  <c r="BP426" i="198"/>
  <c r="BO426" i="198"/>
  <c r="BN426" i="198"/>
  <c r="BM426" i="198"/>
  <c r="BL426" i="198"/>
  <c r="BK426" i="198"/>
  <c r="BJ426" i="198"/>
  <c r="BI426" i="198"/>
  <c r="BH426" i="198"/>
  <c r="BG426" i="198"/>
  <c r="BF426" i="198"/>
  <c r="BE426" i="198"/>
  <c r="BD426" i="198"/>
  <c r="BC426" i="198"/>
  <c r="BB426" i="198"/>
  <c r="BA426" i="198"/>
  <c r="AZ426" i="198"/>
  <c r="AY426" i="198"/>
  <c r="AX426" i="198"/>
  <c r="AW426" i="198"/>
  <c r="AV426" i="198"/>
  <c r="AU426" i="198"/>
  <c r="AT426" i="198"/>
  <c r="AS426" i="198"/>
  <c r="AR426" i="198"/>
  <c r="AQ426" i="198"/>
  <c r="AP426" i="198"/>
  <c r="AO426" i="198"/>
  <c r="AN426" i="198"/>
  <c r="AM426" i="198"/>
  <c r="AL426" i="198"/>
  <c r="AK426" i="198"/>
  <c r="AJ426" i="198"/>
  <c r="AI426" i="198"/>
  <c r="AH426" i="198"/>
  <c r="AG426" i="198"/>
  <c r="AF426" i="198"/>
  <c r="AE426" i="198"/>
  <c r="AD426" i="198"/>
  <c r="AC426" i="198"/>
  <c r="AB426" i="198"/>
  <c r="AA426" i="198"/>
  <c r="Z426" i="198"/>
  <c r="Y426" i="198"/>
  <c r="X426" i="198"/>
  <c r="W426" i="198"/>
  <c r="V426" i="198"/>
  <c r="U426" i="198"/>
  <c r="T426" i="198"/>
  <c r="S426" i="198"/>
  <c r="R426" i="198"/>
  <c r="Q426" i="198"/>
  <c r="P426" i="198"/>
  <c r="O426" i="198"/>
  <c r="N426" i="198"/>
  <c r="M426" i="198"/>
  <c r="L426" i="198"/>
  <c r="K426" i="198"/>
  <c r="J426" i="198"/>
  <c r="I426" i="198"/>
  <c r="H426" i="198"/>
  <c r="G426" i="198"/>
  <c r="F426" i="198"/>
  <c r="E426" i="198"/>
  <c r="D426" i="198"/>
  <c r="C426" i="198"/>
  <c r="B426" i="198"/>
  <c r="A426" i="198"/>
  <c r="EM423" i="198"/>
  <c r="EL423" i="198"/>
  <c r="EK423" i="198"/>
  <c r="EJ423" i="198"/>
  <c r="EI423" i="198"/>
  <c r="EH423" i="198"/>
  <c r="EG423" i="198"/>
  <c r="EF423" i="198"/>
  <c r="EE423" i="198"/>
  <c r="ED423" i="198"/>
  <c r="EC423" i="198"/>
  <c r="EB423" i="198"/>
  <c r="EA423" i="198"/>
  <c r="DZ423" i="198"/>
  <c r="DY423" i="198"/>
  <c r="DX423" i="198"/>
  <c r="DW423" i="198"/>
  <c r="DV423" i="198"/>
  <c r="DU423" i="198"/>
  <c r="DT423" i="198"/>
  <c r="DS423" i="198"/>
  <c r="DR423" i="198"/>
  <c r="DQ423" i="198"/>
  <c r="DP423" i="198"/>
  <c r="DO423" i="198"/>
  <c r="DN423" i="198"/>
  <c r="DM423" i="198"/>
  <c r="DL423" i="198"/>
  <c r="DK423" i="198"/>
  <c r="DJ423" i="198"/>
  <c r="DI423" i="198"/>
  <c r="DH423" i="198"/>
  <c r="DG423" i="198"/>
  <c r="DF423" i="198"/>
  <c r="DE423" i="198"/>
  <c r="DD423" i="198"/>
  <c r="DC423" i="198"/>
  <c r="EM422" i="198"/>
  <c r="EL422" i="198"/>
  <c r="EK422" i="198"/>
  <c r="EJ422" i="198"/>
  <c r="EI422" i="198"/>
  <c r="EH422" i="198"/>
  <c r="EG422" i="198"/>
  <c r="EF422" i="198"/>
  <c r="EE422" i="198"/>
  <c r="ED422" i="198"/>
  <c r="EC422" i="198"/>
  <c r="EB422" i="198"/>
  <c r="EA422" i="198"/>
  <c r="DZ422" i="198"/>
  <c r="DY422" i="198"/>
  <c r="DX422" i="198"/>
  <c r="DW422" i="198"/>
  <c r="DV422" i="198"/>
  <c r="DU422" i="198"/>
  <c r="DT422" i="198"/>
  <c r="DS422" i="198"/>
  <c r="DR422" i="198"/>
  <c r="DQ422" i="198"/>
  <c r="DP422" i="198"/>
  <c r="DO422" i="198"/>
  <c r="DN422" i="198"/>
  <c r="DM422" i="198"/>
  <c r="DL422" i="198"/>
  <c r="DK422" i="198"/>
  <c r="DJ422" i="198"/>
  <c r="DI422" i="198"/>
  <c r="DH422" i="198"/>
  <c r="DG422" i="198"/>
  <c r="DF422" i="198"/>
  <c r="DE422" i="198"/>
  <c r="DD422" i="198"/>
  <c r="DC422" i="198"/>
  <c r="EM421" i="198"/>
  <c r="EL421" i="198"/>
  <c r="EK421" i="198"/>
  <c r="EJ421" i="198"/>
  <c r="EI421" i="198"/>
  <c r="EH421" i="198"/>
  <c r="EG421" i="198"/>
  <c r="EF421" i="198"/>
  <c r="EE421" i="198"/>
  <c r="ED421" i="198"/>
  <c r="EC421" i="198"/>
  <c r="EB421" i="198"/>
  <c r="EA421" i="198"/>
  <c r="DZ421" i="198"/>
  <c r="DY421" i="198"/>
  <c r="DX421" i="198"/>
  <c r="DW421" i="198"/>
  <c r="DV421" i="198"/>
  <c r="DU421" i="198"/>
  <c r="DT421" i="198"/>
  <c r="DS421" i="198"/>
  <c r="DR421" i="198"/>
  <c r="DQ421" i="198"/>
  <c r="DP421" i="198"/>
  <c r="DO421" i="198"/>
  <c r="DN421" i="198"/>
  <c r="DM421" i="198"/>
  <c r="DL421" i="198"/>
  <c r="DK421" i="198"/>
  <c r="DJ421" i="198"/>
  <c r="DI421" i="198"/>
  <c r="DH421" i="198"/>
  <c r="DG421" i="198"/>
  <c r="DF421" i="198"/>
  <c r="DE421" i="198"/>
  <c r="DD421" i="198"/>
  <c r="DC421" i="198"/>
  <c r="EM420" i="198"/>
  <c r="EL420" i="198"/>
  <c r="EK420" i="198"/>
  <c r="EJ420" i="198"/>
  <c r="EI420" i="198"/>
  <c r="EH420" i="198"/>
  <c r="EG420" i="198"/>
  <c r="EF420" i="198"/>
  <c r="EE420" i="198"/>
  <c r="ED420" i="198"/>
  <c r="EC420" i="198"/>
  <c r="EB420" i="198"/>
  <c r="EA420" i="198"/>
  <c r="DZ420" i="198"/>
  <c r="DY420" i="198"/>
  <c r="DX420" i="198"/>
  <c r="DW420" i="198"/>
  <c r="DV420" i="198"/>
  <c r="DU420" i="198"/>
  <c r="DT420" i="198"/>
  <c r="DS420" i="198"/>
  <c r="DR420" i="198"/>
  <c r="DQ420" i="198"/>
  <c r="DP420" i="198"/>
  <c r="DO420" i="198"/>
  <c r="DN420" i="198"/>
  <c r="DM420" i="198"/>
  <c r="DL420" i="198"/>
  <c r="DK420" i="198"/>
  <c r="DJ420" i="198"/>
  <c r="DI420" i="198"/>
  <c r="DH420" i="198"/>
  <c r="DG420" i="198"/>
  <c r="DF420" i="198"/>
  <c r="DE420" i="198"/>
  <c r="DD420" i="198"/>
  <c r="DC420" i="198"/>
  <c r="EM419" i="198"/>
  <c r="EL419" i="198"/>
  <c r="EK419" i="198"/>
  <c r="EJ419" i="198"/>
  <c r="EI419" i="198"/>
  <c r="EH419" i="198"/>
  <c r="EG419" i="198"/>
  <c r="EF419" i="198"/>
  <c r="EE419" i="198"/>
  <c r="ED419" i="198"/>
  <c r="EC419" i="198"/>
  <c r="EB419" i="198"/>
  <c r="EA419" i="198"/>
  <c r="DZ419" i="198"/>
  <c r="DY419" i="198"/>
  <c r="DX419" i="198"/>
  <c r="DW419" i="198"/>
  <c r="DV419" i="198"/>
  <c r="DU419" i="198"/>
  <c r="DT419" i="198"/>
  <c r="DS419" i="198"/>
  <c r="DR419" i="198"/>
  <c r="DQ419" i="198"/>
  <c r="DP419" i="198"/>
  <c r="DO419" i="198"/>
  <c r="DN419" i="198"/>
  <c r="DM419" i="198"/>
  <c r="DL419" i="198"/>
  <c r="DK419" i="198"/>
  <c r="DJ419" i="198"/>
  <c r="DI419" i="198"/>
  <c r="DH419" i="198"/>
  <c r="DG419" i="198"/>
  <c r="DF419" i="198"/>
  <c r="DE419" i="198"/>
  <c r="DD419" i="198"/>
  <c r="DC419" i="198"/>
  <c r="EM418" i="198"/>
  <c r="EL418" i="198"/>
  <c r="EK418" i="198"/>
  <c r="EJ418" i="198"/>
  <c r="EI418" i="198"/>
  <c r="EH418" i="198"/>
  <c r="EG418" i="198"/>
  <c r="EF418" i="198"/>
  <c r="EE418" i="198"/>
  <c r="ED418" i="198"/>
  <c r="EC418" i="198"/>
  <c r="EB418" i="198"/>
  <c r="EA418" i="198"/>
  <c r="DZ418" i="198"/>
  <c r="DY418" i="198"/>
  <c r="DX418" i="198"/>
  <c r="DW418" i="198"/>
  <c r="DV418" i="198"/>
  <c r="DU418" i="198"/>
  <c r="DT418" i="198"/>
  <c r="DS418" i="198"/>
  <c r="DR418" i="198"/>
  <c r="DQ418" i="198"/>
  <c r="DP418" i="198"/>
  <c r="DO418" i="198"/>
  <c r="DN418" i="198"/>
  <c r="DM418" i="198"/>
  <c r="DL418" i="198"/>
  <c r="DK418" i="198"/>
  <c r="DJ418" i="198"/>
  <c r="DI418" i="198"/>
  <c r="DH418" i="198"/>
  <c r="DG418" i="198"/>
  <c r="DF418" i="198"/>
  <c r="DE418" i="198"/>
  <c r="DD418" i="198"/>
  <c r="DC418" i="198"/>
  <c r="DA423" i="198"/>
  <c r="CZ423" i="198"/>
  <c r="CY423" i="198"/>
  <c r="CX423" i="198"/>
  <c r="CW423" i="198"/>
  <c r="CV423" i="198"/>
  <c r="CU423" i="198"/>
  <c r="CT423" i="198"/>
  <c r="CS423" i="198"/>
  <c r="CR423" i="198"/>
  <c r="CQ423" i="198"/>
  <c r="CP423" i="198"/>
  <c r="CO423" i="198"/>
  <c r="CN423" i="198"/>
  <c r="CM423" i="198"/>
  <c r="CL423" i="198"/>
  <c r="CK423" i="198"/>
  <c r="CJ423" i="198"/>
  <c r="CI423" i="198"/>
  <c r="CH423" i="198"/>
  <c r="CG423" i="198"/>
  <c r="CF423" i="198"/>
  <c r="CE423" i="198"/>
  <c r="CD423" i="198"/>
  <c r="CC423" i="198"/>
  <c r="CB423" i="198"/>
  <c r="CA423" i="198"/>
  <c r="BZ423" i="198"/>
  <c r="BY423" i="198"/>
  <c r="BX423" i="198"/>
  <c r="BW423" i="198"/>
  <c r="BV423" i="198"/>
  <c r="BU423" i="198"/>
  <c r="BT423" i="198"/>
  <c r="BS423" i="198"/>
  <c r="BR423" i="198"/>
  <c r="BQ423" i="198"/>
  <c r="BP423" i="198"/>
  <c r="BO423" i="198"/>
  <c r="BN423" i="198"/>
  <c r="BM423" i="198"/>
  <c r="BL423" i="198"/>
  <c r="BK423" i="198"/>
  <c r="BJ423" i="198"/>
  <c r="BI423" i="198"/>
  <c r="BH423" i="198"/>
  <c r="BG423" i="198"/>
  <c r="BF423" i="198"/>
  <c r="BE423" i="198"/>
  <c r="BD423" i="198"/>
  <c r="BC423" i="198"/>
  <c r="BB423" i="198"/>
  <c r="BA423" i="198"/>
  <c r="AZ423" i="198"/>
  <c r="AY423" i="198"/>
  <c r="AX423" i="198"/>
  <c r="AW423" i="198"/>
  <c r="AV423" i="198"/>
  <c r="AU423" i="198"/>
  <c r="AT423" i="198"/>
  <c r="AS423" i="198"/>
  <c r="AR423" i="198"/>
  <c r="AQ423" i="198"/>
  <c r="AP423" i="198"/>
  <c r="AO423" i="198"/>
  <c r="AN423" i="198"/>
  <c r="AM423" i="198"/>
  <c r="AL423" i="198"/>
  <c r="AK423" i="198"/>
  <c r="AJ423" i="198"/>
  <c r="AI423" i="198"/>
  <c r="AH423" i="198"/>
  <c r="AG423" i="198"/>
  <c r="AF423" i="198"/>
  <c r="AE423" i="198"/>
  <c r="AD423" i="198"/>
  <c r="AC423" i="198"/>
  <c r="AB423" i="198"/>
  <c r="AA423" i="198"/>
  <c r="Z423" i="198"/>
  <c r="Y423" i="198"/>
  <c r="X423" i="198"/>
  <c r="W423" i="198"/>
  <c r="V423" i="198"/>
  <c r="U423" i="198"/>
  <c r="T423" i="198"/>
  <c r="S423" i="198"/>
  <c r="R423" i="198"/>
  <c r="Q423" i="198"/>
  <c r="P423" i="198"/>
  <c r="O423" i="198"/>
  <c r="N423" i="198"/>
  <c r="M423" i="198"/>
  <c r="L423" i="198"/>
  <c r="K423" i="198"/>
  <c r="J423" i="198"/>
  <c r="I423" i="198"/>
  <c r="H423" i="198"/>
  <c r="G423" i="198"/>
  <c r="F423" i="198"/>
  <c r="E423" i="198"/>
  <c r="D423" i="198"/>
  <c r="C423" i="198"/>
  <c r="B423" i="198"/>
  <c r="A423" i="198"/>
  <c r="DA422" i="198"/>
  <c r="CZ422" i="198"/>
  <c r="CY422" i="198"/>
  <c r="CX422" i="198"/>
  <c r="CW422" i="198"/>
  <c r="CV422" i="198"/>
  <c r="CU422" i="198"/>
  <c r="CT422" i="198"/>
  <c r="CS422" i="198"/>
  <c r="CR422" i="198"/>
  <c r="CQ422" i="198"/>
  <c r="CP422" i="198"/>
  <c r="CO422" i="198"/>
  <c r="CN422" i="198"/>
  <c r="CM422" i="198"/>
  <c r="CL422" i="198"/>
  <c r="CK422" i="198"/>
  <c r="CJ422" i="198"/>
  <c r="CI422" i="198"/>
  <c r="CH422" i="198"/>
  <c r="CG422" i="198"/>
  <c r="CF422" i="198"/>
  <c r="CE422" i="198"/>
  <c r="CD422" i="198"/>
  <c r="CC422" i="198"/>
  <c r="CB422" i="198"/>
  <c r="CA422" i="198"/>
  <c r="BZ422" i="198"/>
  <c r="BY422" i="198"/>
  <c r="BX422" i="198"/>
  <c r="BW422" i="198"/>
  <c r="BV422" i="198"/>
  <c r="BU422" i="198"/>
  <c r="BT422" i="198"/>
  <c r="BS422" i="198"/>
  <c r="BR422" i="198"/>
  <c r="BQ422" i="198"/>
  <c r="BP422" i="198"/>
  <c r="BO422" i="198"/>
  <c r="BN422" i="198"/>
  <c r="BM422" i="198"/>
  <c r="BL422" i="198"/>
  <c r="BK422" i="198"/>
  <c r="BJ422" i="198"/>
  <c r="BI422" i="198"/>
  <c r="BH422" i="198"/>
  <c r="BG422" i="198"/>
  <c r="BF422" i="198"/>
  <c r="BE422" i="198"/>
  <c r="BD422" i="198"/>
  <c r="BC422" i="198"/>
  <c r="BB422" i="198"/>
  <c r="BA422" i="198"/>
  <c r="AZ422" i="198"/>
  <c r="AY422" i="198"/>
  <c r="AX422" i="198"/>
  <c r="AW422" i="198"/>
  <c r="AV422" i="198"/>
  <c r="AU422" i="198"/>
  <c r="AT422" i="198"/>
  <c r="AS422" i="198"/>
  <c r="AR422" i="198"/>
  <c r="AQ422" i="198"/>
  <c r="AP422" i="198"/>
  <c r="AO422" i="198"/>
  <c r="AN422" i="198"/>
  <c r="AM422" i="198"/>
  <c r="AL422" i="198"/>
  <c r="AK422" i="198"/>
  <c r="AJ422" i="198"/>
  <c r="AI422" i="198"/>
  <c r="AH422" i="198"/>
  <c r="AG422" i="198"/>
  <c r="AF422" i="198"/>
  <c r="AE422" i="198"/>
  <c r="AD422" i="198"/>
  <c r="AC422" i="198"/>
  <c r="AB422" i="198"/>
  <c r="AA422" i="198"/>
  <c r="Z422" i="198"/>
  <c r="Y422" i="198"/>
  <c r="X422" i="198"/>
  <c r="W422" i="198"/>
  <c r="V422" i="198"/>
  <c r="U422" i="198"/>
  <c r="T422" i="198"/>
  <c r="S422" i="198"/>
  <c r="R422" i="198"/>
  <c r="Q422" i="198"/>
  <c r="P422" i="198"/>
  <c r="O422" i="198"/>
  <c r="N422" i="198"/>
  <c r="M422" i="198"/>
  <c r="L422" i="198"/>
  <c r="K422" i="198"/>
  <c r="J422" i="198"/>
  <c r="I422" i="198"/>
  <c r="H422" i="198"/>
  <c r="G422" i="198"/>
  <c r="F422" i="198"/>
  <c r="E422" i="198"/>
  <c r="D422" i="198"/>
  <c r="C422" i="198"/>
  <c r="B422" i="198"/>
  <c r="A422" i="198"/>
  <c r="DA421" i="198"/>
  <c r="CZ421" i="198"/>
  <c r="CY421" i="198"/>
  <c r="CX421" i="198"/>
  <c r="CW421" i="198"/>
  <c r="CV421" i="198"/>
  <c r="CU421" i="198"/>
  <c r="CT421" i="198"/>
  <c r="CS421" i="198"/>
  <c r="CR421" i="198"/>
  <c r="CQ421" i="198"/>
  <c r="CP421" i="198"/>
  <c r="CO421" i="198"/>
  <c r="CN421" i="198"/>
  <c r="CM421" i="198"/>
  <c r="CL421" i="198"/>
  <c r="CK421" i="198"/>
  <c r="CJ421" i="198"/>
  <c r="CI421" i="198"/>
  <c r="CH421" i="198"/>
  <c r="CG421" i="198"/>
  <c r="CF421" i="198"/>
  <c r="CE421" i="198"/>
  <c r="CD421" i="198"/>
  <c r="CC421" i="198"/>
  <c r="CB421" i="198"/>
  <c r="CA421" i="198"/>
  <c r="BZ421" i="198"/>
  <c r="BY421" i="198"/>
  <c r="BX421" i="198"/>
  <c r="BW421" i="198"/>
  <c r="BV421" i="198"/>
  <c r="BU421" i="198"/>
  <c r="BT421" i="198"/>
  <c r="BS421" i="198"/>
  <c r="BR421" i="198"/>
  <c r="BQ421" i="198"/>
  <c r="BP421" i="198"/>
  <c r="BO421" i="198"/>
  <c r="BN421" i="198"/>
  <c r="BM421" i="198"/>
  <c r="BL421" i="198"/>
  <c r="BK421" i="198"/>
  <c r="BJ421" i="198"/>
  <c r="BI421" i="198"/>
  <c r="BH421" i="198"/>
  <c r="BG421" i="198"/>
  <c r="BF421" i="198"/>
  <c r="BE421" i="198"/>
  <c r="BD421" i="198"/>
  <c r="BC421" i="198"/>
  <c r="BB421" i="198"/>
  <c r="BA421" i="198"/>
  <c r="AZ421" i="198"/>
  <c r="AY421" i="198"/>
  <c r="AX421" i="198"/>
  <c r="AW421" i="198"/>
  <c r="AV421" i="198"/>
  <c r="AU421" i="198"/>
  <c r="AT421" i="198"/>
  <c r="AS421" i="198"/>
  <c r="AR421" i="198"/>
  <c r="AQ421" i="198"/>
  <c r="AP421" i="198"/>
  <c r="AO421" i="198"/>
  <c r="AN421" i="198"/>
  <c r="AM421" i="198"/>
  <c r="AL421" i="198"/>
  <c r="AK421" i="198"/>
  <c r="AJ421" i="198"/>
  <c r="AI421" i="198"/>
  <c r="AH421" i="198"/>
  <c r="AG421" i="198"/>
  <c r="AF421" i="198"/>
  <c r="AE421" i="198"/>
  <c r="AD421" i="198"/>
  <c r="AC421" i="198"/>
  <c r="AB421" i="198"/>
  <c r="AA421" i="198"/>
  <c r="Z421" i="198"/>
  <c r="Y421" i="198"/>
  <c r="X421" i="198"/>
  <c r="W421" i="198"/>
  <c r="V421" i="198"/>
  <c r="U421" i="198"/>
  <c r="T421" i="198"/>
  <c r="S421" i="198"/>
  <c r="R421" i="198"/>
  <c r="Q421" i="198"/>
  <c r="P421" i="198"/>
  <c r="O421" i="198"/>
  <c r="N421" i="198"/>
  <c r="M421" i="198"/>
  <c r="L421" i="198"/>
  <c r="K421" i="198"/>
  <c r="J421" i="198"/>
  <c r="I421" i="198"/>
  <c r="H421" i="198"/>
  <c r="G421" i="198"/>
  <c r="F421" i="198"/>
  <c r="E421" i="198"/>
  <c r="D421" i="198"/>
  <c r="C421" i="198"/>
  <c r="B421" i="198"/>
  <c r="A421" i="198"/>
  <c r="DA420" i="198"/>
  <c r="CZ420" i="198"/>
  <c r="CY420" i="198"/>
  <c r="CX420" i="198"/>
  <c r="CW420" i="198"/>
  <c r="CV420" i="198"/>
  <c r="CU420" i="198"/>
  <c r="CT420" i="198"/>
  <c r="CS420" i="198"/>
  <c r="CR420" i="198"/>
  <c r="CQ420" i="198"/>
  <c r="CP420" i="198"/>
  <c r="CO420" i="198"/>
  <c r="CN420" i="198"/>
  <c r="CM420" i="198"/>
  <c r="CL420" i="198"/>
  <c r="CK420" i="198"/>
  <c r="CJ420" i="198"/>
  <c r="CI420" i="198"/>
  <c r="CH420" i="198"/>
  <c r="CG420" i="198"/>
  <c r="CF420" i="198"/>
  <c r="CE420" i="198"/>
  <c r="CD420" i="198"/>
  <c r="CC420" i="198"/>
  <c r="CB420" i="198"/>
  <c r="CA420" i="198"/>
  <c r="BZ420" i="198"/>
  <c r="BY420" i="198"/>
  <c r="BX420" i="198"/>
  <c r="BW420" i="198"/>
  <c r="BV420" i="198"/>
  <c r="BU420" i="198"/>
  <c r="BT420" i="198"/>
  <c r="BS420" i="198"/>
  <c r="BR420" i="198"/>
  <c r="BQ420" i="198"/>
  <c r="BP420" i="198"/>
  <c r="BO420" i="198"/>
  <c r="BN420" i="198"/>
  <c r="BM420" i="198"/>
  <c r="BL420" i="198"/>
  <c r="BK420" i="198"/>
  <c r="BJ420" i="198"/>
  <c r="BI420" i="198"/>
  <c r="BH420" i="198"/>
  <c r="BG420" i="198"/>
  <c r="BF420" i="198"/>
  <c r="BE420" i="198"/>
  <c r="BD420" i="198"/>
  <c r="BC420" i="198"/>
  <c r="BB420" i="198"/>
  <c r="BA420" i="198"/>
  <c r="AZ420" i="198"/>
  <c r="AY420" i="198"/>
  <c r="AX420" i="198"/>
  <c r="AW420" i="198"/>
  <c r="AV420" i="198"/>
  <c r="AU420" i="198"/>
  <c r="AT420" i="198"/>
  <c r="AS420" i="198"/>
  <c r="AR420" i="198"/>
  <c r="AQ420" i="198"/>
  <c r="AP420" i="198"/>
  <c r="AO420" i="198"/>
  <c r="AN420" i="198"/>
  <c r="AM420" i="198"/>
  <c r="AL420" i="198"/>
  <c r="AK420" i="198"/>
  <c r="AJ420" i="198"/>
  <c r="AI420" i="198"/>
  <c r="AH420" i="198"/>
  <c r="AG420" i="198"/>
  <c r="AF420" i="198"/>
  <c r="AE420" i="198"/>
  <c r="AD420" i="198"/>
  <c r="AC420" i="198"/>
  <c r="AB420" i="198"/>
  <c r="AA420" i="198"/>
  <c r="Z420" i="198"/>
  <c r="Y420" i="198"/>
  <c r="X420" i="198"/>
  <c r="W420" i="198"/>
  <c r="V420" i="198"/>
  <c r="U420" i="198"/>
  <c r="T420" i="198"/>
  <c r="S420" i="198"/>
  <c r="R420" i="198"/>
  <c r="Q420" i="198"/>
  <c r="P420" i="198"/>
  <c r="O420" i="198"/>
  <c r="N420" i="198"/>
  <c r="M420" i="198"/>
  <c r="L420" i="198"/>
  <c r="K420" i="198"/>
  <c r="J420" i="198"/>
  <c r="I420" i="198"/>
  <c r="H420" i="198"/>
  <c r="G420" i="198"/>
  <c r="F420" i="198"/>
  <c r="E420" i="198"/>
  <c r="D420" i="198"/>
  <c r="C420" i="198"/>
  <c r="B420" i="198"/>
  <c r="A420" i="198"/>
  <c r="DA419" i="198"/>
  <c r="CZ419" i="198"/>
  <c r="CY419" i="198"/>
  <c r="CX419" i="198"/>
  <c r="CW419" i="198"/>
  <c r="CV419" i="198"/>
  <c r="CU419" i="198"/>
  <c r="CT419" i="198"/>
  <c r="CS419" i="198"/>
  <c r="CR419" i="198"/>
  <c r="CQ419" i="198"/>
  <c r="CP419" i="198"/>
  <c r="CO419" i="198"/>
  <c r="CN419" i="198"/>
  <c r="CM419" i="198"/>
  <c r="CL419" i="198"/>
  <c r="CK419" i="198"/>
  <c r="CJ419" i="198"/>
  <c r="CI419" i="198"/>
  <c r="CH419" i="198"/>
  <c r="CG419" i="198"/>
  <c r="CF419" i="198"/>
  <c r="CE419" i="198"/>
  <c r="CD419" i="198"/>
  <c r="CC419" i="198"/>
  <c r="CB419" i="198"/>
  <c r="CA419" i="198"/>
  <c r="BZ419" i="198"/>
  <c r="BY419" i="198"/>
  <c r="BX419" i="198"/>
  <c r="BW419" i="198"/>
  <c r="BV419" i="198"/>
  <c r="BU419" i="198"/>
  <c r="BT419" i="198"/>
  <c r="BS419" i="198"/>
  <c r="BR419" i="198"/>
  <c r="BQ419" i="198"/>
  <c r="BP419" i="198"/>
  <c r="BO419" i="198"/>
  <c r="BN419" i="198"/>
  <c r="BM419" i="198"/>
  <c r="BL419" i="198"/>
  <c r="BK419" i="198"/>
  <c r="BJ419" i="198"/>
  <c r="BI419" i="198"/>
  <c r="BH419" i="198"/>
  <c r="BG419" i="198"/>
  <c r="BF419" i="198"/>
  <c r="BE419" i="198"/>
  <c r="BD419" i="198"/>
  <c r="BC419" i="198"/>
  <c r="BB419" i="198"/>
  <c r="BA419" i="198"/>
  <c r="AZ419" i="198"/>
  <c r="AY419" i="198"/>
  <c r="AX419" i="198"/>
  <c r="AW419" i="198"/>
  <c r="AV419" i="198"/>
  <c r="AU419" i="198"/>
  <c r="AT419" i="198"/>
  <c r="AS419" i="198"/>
  <c r="AR419" i="198"/>
  <c r="AQ419" i="198"/>
  <c r="AP419" i="198"/>
  <c r="AO419" i="198"/>
  <c r="AN419" i="198"/>
  <c r="AM419" i="198"/>
  <c r="AL419" i="198"/>
  <c r="AK419" i="198"/>
  <c r="AJ419" i="198"/>
  <c r="AI419" i="198"/>
  <c r="AH419" i="198"/>
  <c r="AG419" i="198"/>
  <c r="AF419" i="198"/>
  <c r="AE419" i="198"/>
  <c r="AD419" i="198"/>
  <c r="AC419" i="198"/>
  <c r="AB419" i="198"/>
  <c r="AA419" i="198"/>
  <c r="Z419" i="198"/>
  <c r="Y419" i="198"/>
  <c r="X419" i="198"/>
  <c r="W419" i="198"/>
  <c r="V419" i="198"/>
  <c r="U419" i="198"/>
  <c r="T419" i="198"/>
  <c r="S419" i="198"/>
  <c r="R419" i="198"/>
  <c r="Q419" i="198"/>
  <c r="P419" i="198"/>
  <c r="O419" i="198"/>
  <c r="N419" i="198"/>
  <c r="M419" i="198"/>
  <c r="L419" i="198"/>
  <c r="K419" i="198"/>
  <c r="J419" i="198"/>
  <c r="I419" i="198"/>
  <c r="H419" i="198"/>
  <c r="G419" i="198"/>
  <c r="F419" i="198"/>
  <c r="E419" i="198"/>
  <c r="D419" i="198"/>
  <c r="C419" i="198"/>
  <c r="B419" i="198"/>
  <c r="A419" i="198"/>
  <c r="DA418" i="198"/>
  <c r="CZ418" i="198"/>
  <c r="CY418" i="198"/>
  <c r="CX418" i="198"/>
  <c r="CW418" i="198"/>
  <c r="CV418" i="198"/>
  <c r="CU418" i="198"/>
  <c r="CT418" i="198"/>
  <c r="CS418" i="198"/>
  <c r="CR418" i="198"/>
  <c r="CQ418" i="198"/>
  <c r="CP418" i="198"/>
  <c r="CO418" i="198"/>
  <c r="CN418" i="198"/>
  <c r="CM418" i="198"/>
  <c r="CL418" i="198"/>
  <c r="CK418" i="198"/>
  <c r="CJ418" i="198"/>
  <c r="CI418" i="198"/>
  <c r="CH418" i="198"/>
  <c r="CG418" i="198"/>
  <c r="CF418" i="198"/>
  <c r="CE418" i="198"/>
  <c r="CD418" i="198"/>
  <c r="CC418" i="198"/>
  <c r="CB418" i="198"/>
  <c r="CA418" i="198"/>
  <c r="BZ418" i="198"/>
  <c r="BY418" i="198"/>
  <c r="BX418" i="198"/>
  <c r="BW418" i="198"/>
  <c r="BV418" i="198"/>
  <c r="BU418" i="198"/>
  <c r="BT418" i="198"/>
  <c r="BS418" i="198"/>
  <c r="BR418" i="198"/>
  <c r="BQ418" i="198"/>
  <c r="BP418" i="198"/>
  <c r="BO418" i="198"/>
  <c r="BN418" i="198"/>
  <c r="BM418" i="198"/>
  <c r="BL418" i="198"/>
  <c r="BK418" i="198"/>
  <c r="BJ418" i="198"/>
  <c r="BI418" i="198"/>
  <c r="BH418" i="198"/>
  <c r="BG418" i="198"/>
  <c r="BF418" i="198"/>
  <c r="BE418" i="198"/>
  <c r="BD418" i="198"/>
  <c r="BC418" i="198"/>
  <c r="BB418" i="198"/>
  <c r="BA418" i="198"/>
  <c r="AZ418" i="198"/>
  <c r="AY418" i="198"/>
  <c r="AX418" i="198"/>
  <c r="AW418" i="198"/>
  <c r="AV418" i="198"/>
  <c r="AU418" i="198"/>
  <c r="AT418" i="198"/>
  <c r="AS418" i="198"/>
  <c r="AR418" i="198"/>
  <c r="AQ418" i="198"/>
  <c r="AP418" i="198"/>
  <c r="AO418" i="198"/>
  <c r="AN418" i="198"/>
  <c r="AM418" i="198"/>
  <c r="AL418" i="198"/>
  <c r="AK418" i="198"/>
  <c r="AJ418" i="198"/>
  <c r="AI418" i="198"/>
  <c r="AH418" i="198"/>
  <c r="AG418" i="198"/>
  <c r="AF418" i="198"/>
  <c r="AE418" i="198"/>
  <c r="AD418" i="198"/>
  <c r="AC418" i="198"/>
  <c r="AB418" i="198"/>
  <c r="AA418" i="198"/>
  <c r="Z418" i="198"/>
  <c r="Y418" i="198"/>
  <c r="X418" i="198"/>
  <c r="W418" i="198"/>
  <c r="V418" i="198"/>
  <c r="U418" i="198"/>
  <c r="T418" i="198"/>
  <c r="S418" i="198"/>
  <c r="R418" i="198"/>
  <c r="Q418" i="198"/>
  <c r="P418" i="198"/>
  <c r="O418" i="198"/>
  <c r="N418" i="198"/>
  <c r="M418" i="198"/>
  <c r="L418" i="198"/>
  <c r="K418" i="198"/>
  <c r="J418" i="198"/>
  <c r="I418" i="198"/>
  <c r="H418" i="198"/>
  <c r="G418" i="198"/>
  <c r="F418" i="198"/>
  <c r="E418" i="198"/>
  <c r="D418" i="198"/>
  <c r="C418" i="198"/>
  <c r="B418" i="198"/>
  <c r="A418" i="198"/>
  <c r="A413" i="198"/>
  <c r="EM406" i="198"/>
  <c r="EL406" i="198"/>
  <c r="EK406" i="198"/>
  <c r="EJ406" i="198"/>
  <c r="EI406" i="198"/>
  <c r="EH406" i="198"/>
  <c r="EG406" i="198"/>
  <c r="EF406" i="198"/>
  <c r="EE406" i="198"/>
  <c r="ED406" i="198"/>
  <c r="EC406" i="198"/>
  <c r="EB406" i="198"/>
  <c r="EA406" i="198"/>
  <c r="DZ406" i="198"/>
  <c r="DY406" i="198"/>
  <c r="DX406" i="198"/>
  <c r="DW406" i="198"/>
  <c r="DV406" i="198"/>
  <c r="DU406" i="198"/>
  <c r="DT406" i="198"/>
  <c r="DS406" i="198"/>
  <c r="DR406" i="198"/>
  <c r="DQ406" i="198"/>
  <c r="DP406" i="198"/>
  <c r="DO406" i="198"/>
  <c r="DN406" i="198"/>
  <c r="DM406" i="198"/>
  <c r="DL406" i="198"/>
  <c r="DK406" i="198"/>
  <c r="DJ406" i="198"/>
  <c r="DI406" i="198"/>
  <c r="DH406" i="198"/>
  <c r="DG406" i="198"/>
  <c r="DF406" i="198"/>
  <c r="DE406" i="198"/>
  <c r="DD406" i="198"/>
  <c r="DC406" i="198"/>
  <c r="EM405" i="198"/>
  <c r="EL405" i="198"/>
  <c r="EK405" i="198"/>
  <c r="EJ405" i="198"/>
  <c r="EI405" i="198"/>
  <c r="EH405" i="198"/>
  <c r="EG405" i="198"/>
  <c r="EF405" i="198"/>
  <c r="EE405" i="198"/>
  <c r="ED405" i="198"/>
  <c r="EC405" i="198"/>
  <c r="EB405" i="198"/>
  <c r="EA405" i="198"/>
  <c r="DZ405" i="198"/>
  <c r="DY405" i="198"/>
  <c r="DX405" i="198"/>
  <c r="DW405" i="198"/>
  <c r="DV405" i="198"/>
  <c r="DU405" i="198"/>
  <c r="DT405" i="198"/>
  <c r="DS405" i="198"/>
  <c r="DR405" i="198"/>
  <c r="DQ405" i="198"/>
  <c r="DP405" i="198"/>
  <c r="DO405" i="198"/>
  <c r="DN405" i="198"/>
  <c r="DM405" i="198"/>
  <c r="DL405" i="198"/>
  <c r="DK405" i="198"/>
  <c r="DJ405" i="198"/>
  <c r="DI405" i="198"/>
  <c r="DH405" i="198"/>
  <c r="DG405" i="198"/>
  <c r="DF405" i="198"/>
  <c r="DE405" i="198"/>
  <c r="DD405" i="198"/>
  <c r="DC405" i="198"/>
  <c r="EM404" i="198"/>
  <c r="EL404" i="198"/>
  <c r="EK404" i="198"/>
  <c r="EJ404" i="198"/>
  <c r="EI404" i="198"/>
  <c r="EH404" i="198"/>
  <c r="EG404" i="198"/>
  <c r="EF404" i="198"/>
  <c r="EE404" i="198"/>
  <c r="ED404" i="198"/>
  <c r="EC404" i="198"/>
  <c r="EB404" i="198"/>
  <c r="EA404" i="198"/>
  <c r="DZ404" i="198"/>
  <c r="DY404" i="198"/>
  <c r="DX404" i="198"/>
  <c r="DW404" i="198"/>
  <c r="DV404" i="198"/>
  <c r="DU404" i="198"/>
  <c r="DT404" i="198"/>
  <c r="DS404" i="198"/>
  <c r="DR404" i="198"/>
  <c r="DQ404" i="198"/>
  <c r="DP404" i="198"/>
  <c r="DO404" i="198"/>
  <c r="DN404" i="198"/>
  <c r="DM404" i="198"/>
  <c r="DL404" i="198"/>
  <c r="DK404" i="198"/>
  <c r="DJ404" i="198"/>
  <c r="DI404" i="198"/>
  <c r="DH404" i="198"/>
  <c r="DG404" i="198"/>
  <c r="DF404" i="198"/>
  <c r="DE404" i="198"/>
  <c r="DD404" i="198"/>
  <c r="DC404" i="198"/>
  <c r="EM403" i="198"/>
  <c r="EL403" i="198"/>
  <c r="EK403" i="198"/>
  <c r="EJ403" i="198"/>
  <c r="EI403" i="198"/>
  <c r="EH403" i="198"/>
  <c r="EG403" i="198"/>
  <c r="EF403" i="198"/>
  <c r="EE403" i="198"/>
  <c r="ED403" i="198"/>
  <c r="EC403" i="198"/>
  <c r="EB403" i="198"/>
  <c r="EA403" i="198"/>
  <c r="DZ403" i="198"/>
  <c r="DY403" i="198"/>
  <c r="DX403" i="198"/>
  <c r="DW403" i="198"/>
  <c r="DV403" i="198"/>
  <c r="DU403" i="198"/>
  <c r="DT403" i="198"/>
  <c r="DS403" i="198"/>
  <c r="DR403" i="198"/>
  <c r="DQ403" i="198"/>
  <c r="DP403" i="198"/>
  <c r="DO403" i="198"/>
  <c r="DN403" i="198"/>
  <c r="DM403" i="198"/>
  <c r="DL403" i="198"/>
  <c r="DK403" i="198"/>
  <c r="DJ403" i="198"/>
  <c r="DI403" i="198"/>
  <c r="DH403" i="198"/>
  <c r="DG403" i="198"/>
  <c r="DF403" i="198"/>
  <c r="DE403" i="198"/>
  <c r="DD403" i="198"/>
  <c r="DC403" i="198"/>
  <c r="DA406" i="198"/>
  <c r="CZ406" i="198"/>
  <c r="CY406" i="198"/>
  <c r="CX406" i="198"/>
  <c r="CW406" i="198"/>
  <c r="CV406" i="198"/>
  <c r="CU406" i="198"/>
  <c r="CT406" i="198"/>
  <c r="CS406" i="198"/>
  <c r="CR406" i="198"/>
  <c r="CQ406" i="198"/>
  <c r="CP406" i="198"/>
  <c r="CO406" i="198"/>
  <c r="CN406" i="198"/>
  <c r="CM406" i="198"/>
  <c r="CL406" i="198"/>
  <c r="CK406" i="198"/>
  <c r="CJ406" i="198"/>
  <c r="CI406" i="198"/>
  <c r="CH406" i="198"/>
  <c r="CG406" i="198"/>
  <c r="CF406" i="198"/>
  <c r="CE406" i="198"/>
  <c r="CD406" i="198"/>
  <c r="CC406" i="198"/>
  <c r="CB406" i="198"/>
  <c r="CA406" i="198"/>
  <c r="BZ406" i="198"/>
  <c r="BY406" i="198"/>
  <c r="BX406" i="198"/>
  <c r="BW406" i="198"/>
  <c r="BV406" i="198"/>
  <c r="BU406" i="198"/>
  <c r="BT406" i="198"/>
  <c r="BS406" i="198"/>
  <c r="BR406" i="198"/>
  <c r="BQ406" i="198"/>
  <c r="BP406" i="198"/>
  <c r="BO406" i="198"/>
  <c r="BN406" i="198"/>
  <c r="BM406" i="198"/>
  <c r="BL406" i="198"/>
  <c r="BK406" i="198"/>
  <c r="BJ406" i="198"/>
  <c r="BI406" i="198"/>
  <c r="BH406" i="198"/>
  <c r="BG406" i="198"/>
  <c r="BF406" i="198"/>
  <c r="BE406" i="198"/>
  <c r="BD406" i="198"/>
  <c r="BC406" i="198"/>
  <c r="BB406" i="198"/>
  <c r="BA406" i="198"/>
  <c r="AZ406" i="198"/>
  <c r="AY406" i="198"/>
  <c r="AX406" i="198"/>
  <c r="AW406" i="198"/>
  <c r="AV406" i="198"/>
  <c r="AU406" i="198"/>
  <c r="AT406" i="198"/>
  <c r="AS406" i="198"/>
  <c r="AR406" i="198"/>
  <c r="AQ406" i="198"/>
  <c r="AP406" i="198"/>
  <c r="AO406" i="198"/>
  <c r="AN406" i="198"/>
  <c r="AM406" i="198"/>
  <c r="AL406" i="198"/>
  <c r="AK406" i="198"/>
  <c r="AJ406" i="198"/>
  <c r="AI406" i="198"/>
  <c r="AH406" i="198"/>
  <c r="AG406" i="198"/>
  <c r="AF406" i="198"/>
  <c r="AE406" i="198"/>
  <c r="AD406" i="198"/>
  <c r="AC406" i="198"/>
  <c r="AB406" i="198"/>
  <c r="AA406" i="198"/>
  <c r="Z406" i="198"/>
  <c r="Y406" i="198"/>
  <c r="X406" i="198"/>
  <c r="W406" i="198"/>
  <c r="V406" i="198"/>
  <c r="U406" i="198"/>
  <c r="T406" i="198"/>
  <c r="S406" i="198"/>
  <c r="R406" i="198"/>
  <c r="Q406" i="198"/>
  <c r="P406" i="198"/>
  <c r="O406" i="198"/>
  <c r="N406" i="198"/>
  <c r="M406" i="198"/>
  <c r="L406" i="198"/>
  <c r="K406" i="198"/>
  <c r="J406" i="198"/>
  <c r="I406" i="198"/>
  <c r="H406" i="198"/>
  <c r="G406" i="198"/>
  <c r="F406" i="198"/>
  <c r="E406" i="198"/>
  <c r="D406" i="198"/>
  <c r="C406" i="198"/>
  <c r="B406" i="198"/>
  <c r="A406" i="198"/>
  <c r="DA405" i="198"/>
  <c r="CZ405" i="198"/>
  <c r="CY405" i="198"/>
  <c r="CX405" i="198"/>
  <c r="CW405" i="198"/>
  <c r="CV405" i="198"/>
  <c r="CU405" i="198"/>
  <c r="CT405" i="198"/>
  <c r="CS405" i="198"/>
  <c r="CR405" i="198"/>
  <c r="CQ405" i="198"/>
  <c r="CP405" i="198"/>
  <c r="CO405" i="198"/>
  <c r="CN405" i="198"/>
  <c r="CM405" i="198"/>
  <c r="CL405" i="198"/>
  <c r="CK405" i="198"/>
  <c r="CJ405" i="198"/>
  <c r="CI405" i="198"/>
  <c r="CH405" i="198"/>
  <c r="CG405" i="198"/>
  <c r="CF405" i="198"/>
  <c r="CE405" i="198"/>
  <c r="CD405" i="198"/>
  <c r="CC405" i="198"/>
  <c r="CB405" i="198"/>
  <c r="CA405" i="198"/>
  <c r="BZ405" i="198"/>
  <c r="BY405" i="198"/>
  <c r="BX405" i="198"/>
  <c r="BW405" i="198"/>
  <c r="BV405" i="198"/>
  <c r="BU405" i="198"/>
  <c r="BT405" i="198"/>
  <c r="BS405" i="198"/>
  <c r="BR405" i="198"/>
  <c r="BQ405" i="198"/>
  <c r="BP405" i="198"/>
  <c r="BO405" i="198"/>
  <c r="BN405" i="198"/>
  <c r="BM405" i="198"/>
  <c r="BL405" i="198"/>
  <c r="BK405" i="198"/>
  <c r="BJ405" i="198"/>
  <c r="BI405" i="198"/>
  <c r="BH405" i="198"/>
  <c r="BG405" i="198"/>
  <c r="BF405" i="198"/>
  <c r="BE405" i="198"/>
  <c r="BD405" i="198"/>
  <c r="BC405" i="198"/>
  <c r="BB405" i="198"/>
  <c r="BA405" i="198"/>
  <c r="AZ405" i="198"/>
  <c r="AY405" i="198"/>
  <c r="AX405" i="198"/>
  <c r="AW405" i="198"/>
  <c r="AV405" i="198"/>
  <c r="AU405" i="198"/>
  <c r="AT405" i="198"/>
  <c r="AS405" i="198"/>
  <c r="AR405" i="198"/>
  <c r="AQ405" i="198"/>
  <c r="AP405" i="198"/>
  <c r="AO405" i="198"/>
  <c r="AN405" i="198"/>
  <c r="AM405" i="198"/>
  <c r="AL405" i="198"/>
  <c r="AK405" i="198"/>
  <c r="AJ405" i="198"/>
  <c r="AI405" i="198"/>
  <c r="AH405" i="198"/>
  <c r="AG405" i="198"/>
  <c r="AF405" i="198"/>
  <c r="AE405" i="198"/>
  <c r="AD405" i="198"/>
  <c r="AC405" i="198"/>
  <c r="AB405" i="198"/>
  <c r="AA405" i="198"/>
  <c r="Z405" i="198"/>
  <c r="Y405" i="198"/>
  <c r="X405" i="198"/>
  <c r="W405" i="198"/>
  <c r="V405" i="198"/>
  <c r="U405" i="198"/>
  <c r="T405" i="198"/>
  <c r="S405" i="198"/>
  <c r="R405" i="198"/>
  <c r="Q405" i="198"/>
  <c r="P405" i="198"/>
  <c r="O405" i="198"/>
  <c r="N405" i="198"/>
  <c r="M405" i="198"/>
  <c r="L405" i="198"/>
  <c r="K405" i="198"/>
  <c r="J405" i="198"/>
  <c r="I405" i="198"/>
  <c r="H405" i="198"/>
  <c r="G405" i="198"/>
  <c r="F405" i="198"/>
  <c r="E405" i="198"/>
  <c r="D405" i="198"/>
  <c r="C405" i="198"/>
  <c r="B405" i="198"/>
  <c r="A405" i="198"/>
  <c r="DA404" i="198"/>
  <c r="CZ404" i="198"/>
  <c r="CY404" i="198"/>
  <c r="CX404" i="198"/>
  <c r="CW404" i="198"/>
  <c r="CV404" i="198"/>
  <c r="CU404" i="198"/>
  <c r="CT404" i="198"/>
  <c r="CS404" i="198"/>
  <c r="CR404" i="198"/>
  <c r="CQ404" i="198"/>
  <c r="CP404" i="198"/>
  <c r="CO404" i="198"/>
  <c r="CN404" i="198"/>
  <c r="CM404" i="198"/>
  <c r="CL404" i="198"/>
  <c r="CK404" i="198"/>
  <c r="CJ404" i="198"/>
  <c r="CI404" i="198"/>
  <c r="CH404" i="198"/>
  <c r="CG404" i="198"/>
  <c r="CF404" i="198"/>
  <c r="CE404" i="198"/>
  <c r="CD404" i="198"/>
  <c r="CC404" i="198"/>
  <c r="CB404" i="198"/>
  <c r="CA404" i="198"/>
  <c r="BZ404" i="198"/>
  <c r="BY404" i="198"/>
  <c r="BX404" i="198"/>
  <c r="BW404" i="198"/>
  <c r="BV404" i="198"/>
  <c r="BU404" i="198"/>
  <c r="BT404" i="198"/>
  <c r="BS404" i="198"/>
  <c r="BR404" i="198"/>
  <c r="BQ404" i="198"/>
  <c r="BP404" i="198"/>
  <c r="BO404" i="198"/>
  <c r="BN404" i="198"/>
  <c r="BM404" i="198"/>
  <c r="BL404" i="198"/>
  <c r="BK404" i="198"/>
  <c r="BJ404" i="198"/>
  <c r="BI404" i="198"/>
  <c r="BH404" i="198"/>
  <c r="BG404" i="198"/>
  <c r="BF404" i="198"/>
  <c r="BE404" i="198"/>
  <c r="BD404" i="198"/>
  <c r="BC404" i="198"/>
  <c r="BB404" i="198"/>
  <c r="BA404" i="198"/>
  <c r="AZ404" i="198"/>
  <c r="AY404" i="198"/>
  <c r="AX404" i="198"/>
  <c r="AW404" i="198"/>
  <c r="AV404" i="198"/>
  <c r="AU404" i="198"/>
  <c r="AT404" i="198"/>
  <c r="AS404" i="198"/>
  <c r="AR404" i="198"/>
  <c r="AQ404" i="198"/>
  <c r="AP404" i="198"/>
  <c r="AO404" i="198"/>
  <c r="AN404" i="198"/>
  <c r="AM404" i="198"/>
  <c r="AL404" i="198"/>
  <c r="AK404" i="198"/>
  <c r="AJ404" i="198"/>
  <c r="AI404" i="198"/>
  <c r="AH404" i="198"/>
  <c r="AG404" i="198"/>
  <c r="AF404" i="198"/>
  <c r="AE404" i="198"/>
  <c r="AD404" i="198"/>
  <c r="AC404" i="198"/>
  <c r="AB404" i="198"/>
  <c r="AA404" i="198"/>
  <c r="Z404" i="198"/>
  <c r="Y404" i="198"/>
  <c r="X404" i="198"/>
  <c r="W404" i="198"/>
  <c r="V404" i="198"/>
  <c r="U404" i="198"/>
  <c r="T404" i="198"/>
  <c r="S404" i="198"/>
  <c r="R404" i="198"/>
  <c r="Q404" i="198"/>
  <c r="P404" i="198"/>
  <c r="O404" i="198"/>
  <c r="N404" i="198"/>
  <c r="M404" i="198"/>
  <c r="L404" i="198"/>
  <c r="K404" i="198"/>
  <c r="J404" i="198"/>
  <c r="I404" i="198"/>
  <c r="H404" i="198"/>
  <c r="G404" i="198"/>
  <c r="F404" i="198"/>
  <c r="E404" i="198"/>
  <c r="D404" i="198"/>
  <c r="C404" i="198"/>
  <c r="B404" i="198"/>
  <c r="A404" i="198"/>
  <c r="DA403" i="198"/>
  <c r="CZ403" i="198"/>
  <c r="CY403" i="198"/>
  <c r="CX403" i="198"/>
  <c r="CW403" i="198"/>
  <c r="CV403" i="198"/>
  <c r="CU403" i="198"/>
  <c r="CT403" i="198"/>
  <c r="CS403" i="198"/>
  <c r="CR403" i="198"/>
  <c r="CQ403" i="198"/>
  <c r="CP403" i="198"/>
  <c r="CO403" i="198"/>
  <c r="CN403" i="198"/>
  <c r="CM403" i="198"/>
  <c r="CL403" i="198"/>
  <c r="CK403" i="198"/>
  <c r="CJ403" i="198"/>
  <c r="CI403" i="198"/>
  <c r="CH403" i="198"/>
  <c r="CG403" i="198"/>
  <c r="CF403" i="198"/>
  <c r="CE403" i="198"/>
  <c r="CD403" i="198"/>
  <c r="CC403" i="198"/>
  <c r="CB403" i="198"/>
  <c r="CA403" i="198"/>
  <c r="BZ403" i="198"/>
  <c r="BY403" i="198"/>
  <c r="BX403" i="198"/>
  <c r="BW403" i="198"/>
  <c r="BV403" i="198"/>
  <c r="BU403" i="198"/>
  <c r="BT403" i="198"/>
  <c r="BS403" i="198"/>
  <c r="BR403" i="198"/>
  <c r="BQ403" i="198"/>
  <c r="BP403" i="198"/>
  <c r="BO403" i="198"/>
  <c r="BN403" i="198"/>
  <c r="BM403" i="198"/>
  <c r="BL403" i="198"/>
  <c r="BK403" i="198"/>
  <c r="BJ403" i="198"/>
  <c r="BI403" i="198"/>
  <c r="BH403" i="198"/>
  <c r="BG403" i="198"/>
  <c r="BF403" i="198"/>
  <c r="BE403" i="198"/>
  <c r="BD403" i="198"/>
  <c r="BC403" i="198"/>
  <c r="BB403" i="198"/>
  <c r="BA403" i="198"/>
  <c r="AZ403" i="198"/>
  <c r="AY403" i="198"/>
  <c r="AX403" i="198"/>
  <c r="AW403" i="198"/>
  <c r="AV403" i="198"/>
  <c r="AU403" i="198"/>
  <c r="AT403" i="198"/>
  <c r="AS403" i="198"/>
  <c r="AR403" i="198"/>
  <c r="AQ403" i="198"/>
  <c r="AP403" i="198"/>
  <c r="AO403" i="198"/>
  <c r="AN403" i="198"/>
  <c r="AM403" i="198"/>
  <c r="AL403" i="198"/>
  <c r="AK403" i="198"/>
  <c r="AJ403" i="198"/>
  <c r="AI403" i="198"/>
  <c r="AH403" i="198"/>
  <c r="AG403" i="198"/>
  <c r="AF403" i="198"/>
  <c r="AE403" i="198"/>
  <c r="AD403" i="198"/>
  <c r="AC403" i="198"/>
  <c r="AB403" i="198"/>
  <c r="AA403" i="198"/>
  <c r="Z403" i="198"/>
  <c r="Y403" i="198"/>
  <c r="X403" i="198"/>
  <c r="W403" i="198"/>
  <c r="V403" i="198"/>
  <c r="U403" i="198"/>
  <c r="T403" i="198"/>
  <c r="S403" i="198"/>
  <c r="R403" i="198"/>
  <c r="Q403" i="198"/>
  <c r="P403" i="198"/>
  <c r="O403" i="198"/>
  <c r="N403" i="198"/>
  <c r="M403" i="198"/>
  <c r="L403" i="198"/>
  <c r="K403" i="198"/>
  <c r="J403" i="198"/>
  <c r="I403" i="198"/>
  <c r="H403" i="198"/>
  <c r="G403" i="198"/>
  <c r="F403" i="198"/>
  <c r="E403" i="198"/>
  <c r="D403" i="198"/>
  <c r="C403" i="198"/>
  <c r="B403" i="198"/>
  <c r="A403" i="198"/>
  <c r="EB400" i="198"/>
  <c r="EA400" i="198"/>
  <c r="DZ400" i="198"/>
  <c r="DY400" i="198"/>
  <c r="DX400" i="198"/>
  <c r="DW400" i="198"/>
  <c r="DV400" i="198"/>
  <c r="DU400" i="198"/>
  <c r="DT400" i="198"/>
  <c r="DS400" i="198"/>
  <c r="DR400" i="198"/>
  <c r="DQ400" i="198"/>
  <c r="DP400" i="198"/>
  <c r="DO400" i="198"/>
  <c r="DN400" i="198"/>
  <c r="DM400" i="198"/>
  <c r="DL400" i="198"/>
  <c r="DK400" i="198"/>
  <c r="DJ400" i="198"/>
  <c r="DI400" i="198"/>
  <c r="DH400" i="198"/>
  <c r="DG400" i="198"/>
  <c r="DF400" i="198"/>
  <c r="DE400" i="198"/>
  <c r="DD400" i="198"/>
  <c r="DC400" i="198"/>
  <c r="CS400" i="198"/>
  <c r="CR400" i="198"/>
  <c r="CQ400" i="198"/>
  <c r="CP400" i="198"/>
  <c r="CO400" i="198"/>
  <c r="CN400" i="198"/>
  <c r="CM400" i="198"/>
  <c r="CL400" i="198"/>
  <c r="CK400" i="198"/>
  <c r="CJ400" i="198"/>
  <c r="CI400" i="198"/>
  <c r="CH400" i="198"/>
  <c r="CG400" i="198"/>
  <c r="CF400" i="198"/>
  <c r="CE400" i="198"/>
  <c r="CD400" i="198"/>
  <c r="CC400" i="198"/>
  <c r="CB400" i="198"/>
  <c r="CA400" i="198"/>
  <c r="BZ400" i="198"/>
  <c r="BY400" i="198"/>
  <c r="BX400" i="198"/>
  <c r="BW400" i="198"/>
  <c r="BV400" i="198"/>
  <c r="BU400" i="198"/>
  <c r="BT400" i="198"/>
  <c r="BS400" i="198"/>
  <c r="BR400" i="198"/>
  <c r="BQ400" i="198"/>
  <c r="BP400" i="198"/>
  <c r="BO400" i="198"/>
  <c r="BN400" i="198"/>
  <c r="BM400" i="198"/>
  <c r="BL400" i="198"/>
  <c r="BK400" i="198"/>
  <c r="BJ400" i="198"/>
  <c r="BI400" i="198"/>
  <c r="BH400" i="198"/>
  <c r="BG400" i="198"/>
  <c r="BF400" i="198"/>
  <c r="BE400" i="198"/>
  <c r="BD400" i="198"/>
  <c r="BC400" i="198"/>
  <c r="BB400" i="198"/>
  <c r="BA400" i="198"/>
  <c r="AZ400" i="198"/>
  <c r="AY400" i="198"/>
  <c r="AX400" i="198"/>
  <c r="AW400" i="198"/>
  <c r="AV400" i="198"/>
  <c r="AU400" i="198"/>
  <c r="AT400" i="198"/>
  <c r="AS400" i="198"/>
  <c r="AR400" i="198"/>
  <c r="AQ400" i="198"/>
  <c r="AP400" i="198"/>
  <c r="AO400" i="198"/>
  <c r="AN400" i="198"/>
  <c r="AM400" i="198"/>
  <c r="AL400" i="198"/>
  <c r="AK400" i="198"/>
  <c r="AJ400" i="198"/>
  <c r="AI400" i="198"/>
  <c r="AH400" i="198"/>
  <c r="AG400" i="198"/>
  <c r="AF400" i="198"/>
  <c r="AE400" i="198"/>
  <c r="AD400" i="198"/>
  <c r="AC400" i="198"/>
  <c r="AB400" i="198"/>
  <c r="AA400" i="198"/>
  <c r="Z400" i="198"/>
  <c r="Y400" i="198"/>
  <c r="X400" i="198"/>
  <c r="W400" i="198"/>
  <c r="V400" i="198"/>
  <c r="U400" i="198"/>
  <c r="T400" i="198"/>
  <c r="S400" i="198"/>
  <c r="R400" i="198"/>
  <c r="Q400" i="198"/>
  <c r="P400" i="198"/>
  <c r="O400" i="198"/>
  <c r="N400" i="198"/>
  <c r="M400" i="198"/>
  <c r="L400" i="198"/>
  <c r="K400" i="198"/>
  <c r="J400" i="198"/>
  <c r="I400" i="198"/>
  <c r="H400" i="198"/>
  <c r="G400" i="198"/>
  <c r="F400" i="198"/>
  <c r="E400" i="198"/>
  <c r="D400" i="198"/>
  <c r="C400" i="198"/>
  <c r="B400" i="198"/>
  <c r="EM397" i="198"/>
  <c r="EL397" i="198"/>
  <c r="EK397" i="198"/>
  <c r="EJ397" i="198"/>
  <c r="EI397" i="198"/>
  <c r="EH397" i="198"/>
  <c r="EG397" i="198"/>
  <c r="EF397" i="198"/>
  <c r="EE397" i="198"/>
  <c r="ED397" i="198"/>
  <c r="EC397" i="198"/>
  <c r="EB397" i="198"/>
  <c r="EA397" i="198"/>
  <c r="DZ397" i="198"/>
  <c r="DY397" i="198"/>
  <c r="DX397" i="198"/>
  <c r="DW397" i="198"/>
  <c r="DV397" i="198"/>
  <c r="DU397" i="198"/>
  <c r="DT397" i="198"/>
  <c r="DS397" i="198"/>
  <c r="DR397" i="198"/>
  <c r="DQ397" i="198"/>
  <c r="DP397" i="198"/>
  <c r="DO397" i="198"/>
  <c r="DN397" i="198"/>
  <c r="DM397" i="198"/>
  <c r="DL397" i="198"/>
  <c r="DK397" i="198"/>
  <c r="DJ397" i="198"/>
  <c r="DI397" i="198"/>
  <c r="DH397" i="198"/>
  <c r="DG397" i="198"/>
  <c r="DF397" i="198"/>
  <c r="DE397" i="198"/>
  <c r="DD397" i="198"/>
  <c r="DC397" i="198"/>
  <c r="DA397" i="198"/>
  <c r="CZ397" i="198"/>
  <c r="CY397" i="198"/>
  <c r="CX397" i="198"/>
  <c r="CW397" i="198"/>
  <c r="CV397" i="198"/>
  <c r="CU397" i="198"/>
  <c r="CT397" i="198"/>
  <c r="CS397" i="198"/>
  <c r="CR397" i="198"/>
  <c r="CQ397" i="198"/>
  <c r="CP397" i="198"/>
  <c r="CO397" i="198"/>
  <c r="CN397" i="198"/>
  <c r="CM397" i="198"/>
  <c r="CL397" i="198"/>
  <c r="CK397" i="198"/>
  <c r="CJ397" i="198"/>
  <c r="CI397" i="198"/>
  <c r="CH397" i="198"/>
  <c r="CG397" i="198"/>
  <c r="CF397" i="198"/>
  <c r="CE397" i="198"/>
  <c r="CD397" i="198"/>
  <c r="CC397" i="198"/>
  <c r="CB397" i="198"/>
  <c r="CA397" i="198"/>
  <c r="BZ397" i="198"/>
  <c r="BY397" i="198"/>
  <c r="BX397" i="198"/>
  <c r="BW397" i="198"/>
  <c r="BV397" i="198"/>
  <c r="BU397" i="198"/>
  <c r="BT397" i="198"/>
  <c r="BS397" i="198"/>
  <c r="BR397" i="198"/>
  <c r="BQ397" i="198"/>
  <c r="BP397" i="198"/>
  <c r="BO397" i="198"/>
  <c r="BN397" i="198"/>
  <c r="BM397" i="198"/>
  <c r="BL397" i="198"/>
  <c r="BK397" i="198"/>
  <c r="BJ397" i="198"/>
  <c r="BI397" i="198"/>
  <c r="BH397" i="198"/>
  <c r="BG397" i="198"/>
  <c r="BF397" i="198"/>
  <c r="BE397" i="198"/>
  <c r="BD397" i="198"/>
  <c r="BC397" i="198"/>
  <c r="BB397" i="198"/>
  <c r="BA397" i="198"/>
  <c r="AZ397" i="198"/>
  <c r="AY397" i="198"/>
  <c r="AX397" i="198"/>
  <c r="AW397" i="198"/>
  <c r="AV397" i="198"/>
  <c r="AU397" i="198"/>
  <c r="AT397" i="198"/>
  <c r="AS397" i="198"/>
  <c r="AR397" i="198"/>
  <c r="AQ397" i="198"/>
  <c r="AP397" i="198"/>
  <c r="AO397" i="198"/>
  <c r="AN397" i="198"/>
  <c r="AM397" i="198"/>
  <c r="AL397" i="198"/>
  <c r="AK397" i="198"/>
  <c r="AJ397" i="198"/>
  <c r="AI397" i="198"/>
  <c r="AH397" i="198"/>
  <c r="AG397" i="198"/>
  <c r="AF397" i="198"/>
  <c r="AE397" i="198"/>
  <c r="AD397" i="198"/>
  <c r="AC397" i="198"/>
  <c r="AB397" i="198"/>
  <c r="AA397" i="198"/>
  <c r="Z397" i="198"/>
  <c r="Y397" i="198"/>
  <c r="X397" i="198"/>
  <c r="W397" i="198"/>
  <c r="V397" i="198"/>
  <c r="U397" i="198"/>
  <c r="T397" i="198"/>
  <c r="S397" i="198"/>
  <c r="R397" i="198"/>
  <c r="Q397" i="198"/>
  <c r="P397" i="198"/>
  <c r="O397" i="198"/>
  <c r="N397" i="198"/>
  <c r="M397" i="198"/>
  <c r="L397" i="198"/>
  <c r="K397" i="198"/>
  <c r="J397" i="198"/>
  <c r="I397" i="198"/>
  <c r="H397" i="198"/>
  <c r="G397" i="198"/>
  <c r="F397" i="198"/>
  <c r="E397" i="198"/>
  <c r="D397" i="198"/>
  <c r="C397" i="198"/>
  <c r="B397" i="198"/>
  <c r="A397" i="198"/>
  <c r="EK393" i="198"/>
  <c r="EI393" i="198"/>
  <c r="EG393" i="198"/>
  <c r="EE393" i="198"/>
  <c r="EC393" i="198"/>
  <c r="EA393" i="198"/>
  <c r="DY393" i="198"/>
  <c r="DW393" i="198"/>
  <c r="DU393" i="198"/>
  <c r="DS393" i="198"/>
  <c r="DQ393" i="198"/>
  <c r="DO393" i="198"/>
  <c r="DM393" i="198"/>
  <c r="DK393" i="198"/>
  <c r="DI393" i="198"/>
  <c r="EM393" i="198"/>
  <c r="EL393" i="198"/>
  <c r="EJ393" i="198"/>
  <c r="EH393" i="198"/>
  <c r="EF393" i="198"/>
  <c r="ED393" i="198"/>
  <c r="EB393" i="198"/>
  <c r="DZ393" i="198"/>
  <c r="DX393" i="198"/>
  <c r="DV393" i="198"/>
  <c r="DT393" i="198"/>
  <c r="DR393" i="198"/>
  <c r="DP393" i="198"/>
  <c r="DN393" i="198"/>
  <c r="DL393" i="198"/>
  <c r="DJ393" i="198"/>
  <c r="DH393" i="198"/>
  <c r="DG393" i="198"/>
  <c r="DF393" i="198"/>
  <c r="DE393" i="198"/>
  <c r="DD393" i="198"/>
  <c r="DC393" i="198"/>
  <c r="DA393" i="198"/>
  <c r="CZ393" i="198"/>
  <c r="CY393" i="198"/>
  <c r="CX393" i="198"/>
  <c r="CW393" i="198"/>
  <c r="CV393" i="198"/>
  <c r="CU393" i="198"/>
  <c r="CT393" i="198"/>
  <c r="CS393" i="198"/>
  <c r="CR393" i="198"/>
  <c r="CQ393" i="198"/>
  <c r="CP393" i="198"/>
  <c r="CO393" i="198"/>
  <c r="CN393" i="198"/>
  <c r="CM393" i="198"/>
  <c r="CL393" i="198"/>
  <c r="CK393" i="198"/>
  <c r="CJ393" i="198"/>
  <c r="CI393" i="198"/>
  <c r="CH393" i="198"/>
  <c r="CG393" i="198"/>
  <c r="CF393" i="198"/>
  <c r="CE393" i="198"/>
  <c r="CD393" i="198"/>
  <c r="CC393" i="198"/>
  <c r="CB393" i="198"/>
  <c r="CA393" i="198"/>
  <c r="BZ393" i="198"/>
  <c r="BY393" i="198"/>
  <c r="BX393" i="198"/>
  <c r="BW393" i="198"/>
  <c r="BV393" i="198"/>
  <c r="BU393" i="198"/>
  <c r="BT393" i="198"/>
  <c r="BS393" i="198"/>
  <c r="BR393" i="198"/>
  <c r="BQ393" i="198"/>
  <c r="BP393" i="198"/>
  <c r="BO393" i="198"/>
  <c r="BN393" i="198"/>
  <c r="BM393" i="198"/>
  <c r="BL393" i="198"/>
  <c r="BK393" i="198"/>
  <c r="BJ393" i="198"/>
  <c r="BI393" i="198"/>
  <c r="BH393" i="198"/>
  <c r="BG393" i="198"/>
  <c r="BF393" i="198"/>
  <c r="BE393" i="198"/>
  <c r="BD393" i="198"/>
  <c r="BC393" i="198"/>
  <c r="BB393" i="198"/>
  <c r="BA393" i="198"/>
  <c r="AZ393" i="198"/>
  <c r="AY393" i="198"/>
  <c r="AX393" i="198"/>
  <c r="AW393" i="198"/>
  <c r="AV393" i="198"/>
  <c r="AU393" i="198"/>
  <c r="AT393" i="198"/>
  <c r="AS393" i="198"/>
  <c r="AR393" i="198"/>
  <c r="AQ393" i="198"/>
  <c r="AP393" i="198"/>
  <c r="AO393" i="198"/>
  <c r="AN393" i="198"/>
  <c r="AM393" i="198"/>
  <c r="AL393" i="198"/>
  <c r="AK393" i="198"/>
  <c r="AJ393" i="198"/>
  <c r="AI393" i="198"/>
  <c r="AH393" i="198"/>
  <c r="AG393" i="198"/>
  <c r="AF393" i="198"/>
  <c r="AE393" i="198"/>
  <c r="AD393" i="198"/>
  <c r="AC393" i="198"/>
  <c r="AB393" i="198"/>
  <c r="AA393" i="198"/>
  <c r="Z393" i="198"/>
  <c r="Y393" i="198"/>
  <c r="X393" i="198"/>
  <c r="W393" i="198"/>
  <c r="V393" i="198"/>
  <c r="U393" i="198"/>
  <c r="T393" i="198"/>
  <c r="S393" i="198"/>
  <c r="R393" i="198"/>
  <c r="Q393" i="198"/>
  <c r="P393" i="198"/>
  <c r="O393" i="198"/>
  <c r="N393" i="198"/>
  <c r="M393" i="198"/>
  <c r="L393" i="198"/>
  <c r="K393" i="198"/>
  <c r="J393" i="198"/>
  <c r="I393" i="198"/>
  <c r="H393" i="198"/>
  <c r="G393" i="198"/>
  <c r="F393" i="198"/>
  <c r="E393" i="198"/>
  <c r="D393" i="198"/>
  <c r="C393" i="198"/>
  <c r="B393" i="198"/>
  <c r="EM391" i="198"/>
  <c r="EL391" i="198"/>
  <c r="EK391" i="198"/>
  <c r="EJ391" i="198"/>
  <c r="EI391" i="198"/>
  <c r="EH391" i="198"/>
  <c r="EG391" i="198"/>
  <c r="EF391" i="198"/>
  <c r="EE391" i="198"/>
  <c r="ED391" i="198"/>
  <c r="EC391" i="198"/>
  <c r="EB391" i="198"/>
  <c r="EA391" i="198"/>
  <c r="DZ391" i="198"/>
  <c r="DY391" i="198"/>
  <c r="DX391" i="198"/>
  <c r="DW391" i="198"/>
  <c r="DV391" i="198"/>
  <c r="DU391" i="198"/>
  <c r="DT391" i="198"/>
  <c r="DS391" i="198"/>
  <c r="DR391" i="198"/>
  <c r="DQ391" i="198"/>
  <c r="DP391" i="198"/>
  <c r="DO391" i="198"/>
  <c r="DN391" i="198"/>
  <c r="DM391" i="198"/>
  <c r="DL391" i="198"/>
  <c r="DK391" i="198"/>
  <c r="DJ391" i="198"/>
  <c r="DI391" i="198"/>
  <c r="DH391" i="198"/>
  <c r="DG391" i="198"/>
  <c r="DF391" i="198"/>
  <c r="DE391" i="198"/>
  <c r="DD391" i="198"/>
  <c r="DC391" i="198"/>
  <c r="EM390" i="198"/>
  <c r="EL390" i="198"/>
  <c r="EK390" i="198"/>
  <c r="EJ390" i="198"/>
  <c r="EI390" i="198"/>
  <c r="EH390" i="198"/>
  <c r="EG390" i="198"/>
  <c r="EF390" i="198"/>
  <c r="EE390" i="198"/>
  <c r="ED390" i="198"/>
  <c r="EC390" i="198"/>
  <c r="EB390" i="198"/>
  <c r="EA390" i="198"/>
  <c r="DZ390" i="198"/>
  <c r="DY390" i="198"/>
  <c r="DX390" i="198"/>
  <c r="DW390" i="198"/>
  <c r="DV390" i="198"/>
  <c r="DU390" i="198"/>
  <c r="DT390" i="198"/>
  <c r="DS390" i="198"/>
  <c r="DR390" i="198"/>
  <c r="DQ390" i="198"/>
  <c r="DP390" i="198"/>
  <c r="DO390" i="198"/>
  <c r="DN390" i="198"/>
  <c r="DM390" i="198"/>
  <c r="DL390" i="198"/>
  <c r="DK390" i="198"/>
  <c r="DJ390" i="198"/>
  <c r="DI390" i="198"/>
  <c r="DH390" i="198"/>
  <c r="DG390" i="198"/>
  <c r="DF390" i="198"/>
  <c r="DE390" i="198"/>
  <c r="DD390" i="198"/>
  <c r="DC390" i="198"/>
  <c r="EM389" i="198"/>
  <c r="EL389" i="198"/>
  <c r="EK389" i="198"/>
  <c r="EJ389" i="198"/>
  <c r="EI389" i="198"/>
  <c r="EH389" i="198"/>
  <c r="EG389" i="198"/>
  <c r="EF389" i="198"/>
  <c r="EE389" i="198"/>
  <c r="ED389" i="198"/>
  <c r="EC389" i="198"/>
  <c r="EB389" i="198"/>
  <c r="EA389" i="198"/>
  <c r="DZ389" i="198"/>
  <c r="DY389" i="198"/>
  <c r="DX389" i="198"/>
  <c r="DW389" i="198"/>
  <c r="DV389" i="198"/>
  <c r="DU389" i="198"/>
  <c r="DT389" i="198"/>
  <c r="DS389" i="198"/>
  <c r="DR389" i="198"/>
  <c r="DQ389" i="198"/>
  <c r="DP389" i="198"/>
  <c r="DO389" i="198"/>
  <c r="DN389" i="198"/>
  <c r="DM389" i="198"/>
  <c r="DL389" i="198"/>
  <c r="DK389" i="198"/>
  <c r="DJ389" i="198"/>
  <c r="DI389" i="198"/>
  <c r="DH389" i="198"/>
  <c r="DG389" i="198"/>
  <c r="DF389" i="198"/>
  <c r="DE389" i="198"/>
  <c r="DD389" i="198"/>
  <c r="DC389" i="198"/>
  <c r="EM388" i="198"/>
  <c r="EL388" i="198"/>
  <c r="EK388" i="198"/>
  <c r="EJ388" i="198"/>
  <c r="EI388" i="198"/>
  <c r="EH388" i="198"/>
  <c r="EG388" i="198"/>
  <c r="EF388" i="198"/>
  <c r="EE388" i="198"/>
  <c r="ED388" i="198"/>
  <c r="EC388" i="198"/>
  <c r="EB388" i="198"/>
  <c r="EA388" i="198"/>
  <c r="DZ388" i="198"/>
  <c r="DY388" i="198"/>
  <c r="DX388" i="198"/>
  <c r="DW388" i="198"/>
  <c r="DV388" i="198"/>
  <c r="DU388" i="198"/>
  <c r="DT388" i="198"/>
  <c r="DS388" i="198"/>
  <c r="DR388" i="198"/>
  <c r="DQ388" i="198"/>
  <c r="DP388" i="198"/>
  <c r="DO388" i="198"/>
  <c r="DN388" i="198"/>
  <c r="DM388" i="198"/>
  <c r="DL388" i="198"/>
  <c r="DK388" i="198"/>
  <c r="DJ388" i="198"/>
  <c r="DI388" i="198"/>
  <c r="DH388" i="198"/>
  <c r="DG388" i="198"/>
  <c r="DF388" i="198"/>
  <c r="DE388" i="198"/>
  <c r="DD388" i="198"/>
  <c r="DC388" i="198"/>
  <c r="EM387" i="198"/>
  <c r="EL387" i="198"/>
  <c r="EK387" i="198"/>
  <c r="EJ387" i="198"/>
  <c r="EI387" i="198"/>
  <c r="EH387" i="198"/>
  <c r="EG387" i="198"/>
  <c r="EF387" i="198"/>
  <c r="EE387" i="198"/>
  <c r="ED387" i="198"/>
  <c r="EC387" i="198"/>
  <c r="EB387" i="198"/>
  <c r="EA387" i="198"/>
  <c r="DZ387" i="198"/>
  <c r="DY387" i="198"/>
  <c r="DX387" i="198"/>
  <c r="DW387" i="198"/>
  <c r="DV387" i="198"/>
  <c r="DU387" i="198"/>
  <c r="DT387" i="198"/>
  <c r="DS387" i="198"/>
  <c r="DR387" i="198"/>
  <c r="DQ387" i="198"/>
  <c r="DP387" i="198"/>
  <c r="DO387" i="198"/>
  <c r="DN387" i="198"/>
  <c r="DM387" i="198"/>
  <c r="DL387" i="198"/>
  <c r="DK387" i="198"/>
  <c r="DJ387" i="198"/>
  <c r="DI387" i="198"/>
  <c r="DH387" i="198"/>
  <c r="DG387" i="198"/>
  <c r="DF387" i="198"/>
  <c r="DE387" i="198"/>
  <c r="DD387" i="198"/>
  <c r="DC387" i="198"/>
  <c r="EM386" i="198"/>
  <c r="EL386" i="198"/>
  <c r="EK386" i="198"/>
  <c r="EJ386" i="198"/>
  <c r="EI386" i="198"/>
  <c r="EH386" i="198"/>
  <c r="EG386" i="198"/>
  <c r="EF386" i="198"/>
  <c r="EE386" i="198"/>
  <c r="ED386" i="198"/>
  <c r="EC386" i="198"/>
  <c r="EB386" i="198"/>
  <c r="EA386" i="198"/>
  <c r="DZ386" i="198"/>
  <c r="DY386" i="198"/>
  <c r="DX386" i="198"/>
  <c r="DW386" i="198"/>
  <c r="DV386" i="198"/>
  <c r="DU386" i="198"/>
  <c r="DT386" i="198"/>
  <c r="DS386" i="198"/>
  <c r="DR386" i="198"/>
  <c r="DQ386" i="198"/>
  <c r="DP386" i="198"/>
  <c r="DO386" i="198"/>
  <c r="DN386" i="198"/>
  <c r="DM386" i="198"/>
  <c r="DL386" i="198"/>
  <c r="DK386" i="198"/>
  <c r="DJ386" i="198"/>
  <c r="DI386" i="198"/>
  <c r="DH386" i="198"/>
  <c r="DG386" i="198"/>
  <c r="DF386" i="198"/>
  <c r="DE386" i="198"/>
  <c r="DD386" i="198"/>
  <c r="DC386" i="198"/>
  <c r="DA391" i="198"/>
  <c r="CZ391" i="198"/>
  <c r="CY391" i="198"/>
  <c r="CX391" i="198"/>
  <c r="CW391" i="198"/>
  <c r="CV391" i="198"/>
  <c r="CU391" i="198"/>
  <c r="CT391" i="198"/>
  <c r="CS391" i="198"/>
  <c r="CR391" i="198"/>
  <c r="CQ391" i="198"/>
  <c r="CP391" i="198"/>
  <c r="CO391" i="198"/>
  <c r="CN391" i="198"/>
  <c r="CM391" i="198"/>
  <c r="CL391" i="198"/>
  <c r="CK391" i="198"/>
  <c r="CJ391" i="198"/>
  <c r="CI391" i="198"/>
  <c r="CH391" i="198"/>
  <c r="CG391" i="198"/>
  <c r="CF391" i="198"/>
  <c r="CE391" i="198"/>
  <c r="CD391" i="198"/>
  <c r="CC391" i="198"/>
  <c r="CB391" i="198"/>
  <c r="CA391" i="198"/>
  <c r="BZ391" i="198"/>
  <c r="BY391" i="198"/>
  <c r="BX391" i="198"/>
  <c r="BW391" i="198"/>
  <c r="BV391" i="198"/>
  <c r="BU391" i="198"/>
  <c r="BT391" i="198"/>
  <c r="BS391" i="198"/>
  <c r="BR391" i="198"/>
  <c r="BQ391" i="198"/>
  <c r="BP391" i="198"/>
  <c r="BO391" i="198"/>
  <c r="BN391" i="198"/>
  <c r="BM391" i="198"/>
  <c r="BL391" i="198"/>
  <c r="BK391" i="198"/>
  <c r="BJ391" i="198"/>
  <c r="BI391" i="198"/>
  <c r="BH391" i="198"/>
  <c r="BG391" i="198"/>
  <c r="BF391" i="198"/>
  <c r="BE391" i="198"/>
  <c r="BD391" i="198"/>
  <c r="BC391" i="198"/>
  <c r="BB391" i="198"/>
  <c r="BA391" i="198"/>
  <c r="AZ391" i="198"/>
  <c r="AY391" i="198"/>
  <c r="AX391" i="198"/>
  <c r="AW391" i="198"/>
  <c r="AV391" i="198"/>
  <c r="AU391" i="198"/>
  <c r="AT391" i="198"/>
  <c r="AS391" i="198"/>
  <c r="AR391" i="198"/>
  <c r="AQ391" i="198"/>
  <c r="AP391" i="198"/>
  <c r="AO391" i="198"/>
  <c r="AN391" i="198"/>
  <c r="AM391" i="198"/>
  <c r="AL391" i="198"/>
  <c r="AK391" i="198"/>
  <c r="AJ391" i="198"/>
  <c r="AI391" i="198"/>
  <c r="AH391" i="198"/>
  <c r="AG391" i="198"/>
  <c r="AF391" i="198"/>
  <c r="AE391" i="198"/>
  <c r="AD391" i="198"/>
  <c r="AC391" i="198"/>
  <c r="AB391" i="198"/>
  <c r="AA391" i="198"/>
  <c r="Z391" i="198"/>
  <c r="Y391" i="198"/>
  <c r="X391" i="198"/>
  <c r="W391" i="198"/>
  <c r="V391" i="198"/>
  <c r="U391" i="198"/>
  <c r="T391" i="198"/>
  <c r="S391" i="198"/>
  <c r="R391" i="198"/>
  <c r="Q391" i="198"/>
  <c r="P391" i="198"/>
  <c r="O391" i="198"/>
  <c r="N391" i="198"/>
  <c r="M391" i="198"/>
  <c r="L391" i="198"/>
  <c r="K391" i="198"/>
  <c r="J391" i="198"/>
  <c r="I391" i="198"/>
  <c r="H391" i="198"/>
  <c r="G391" i="198"/>
  <c r="F391" i="198"/>
  <c r="E391" i="198"/>
  <c r="D391" i="198"/>
  <c r="C391" i="198"/>
  <c r="B391" i="198"/>
  <c r="A391" i="198"/>
  <c r="DA390" i="198"/>
  <c r="CZ390" i="198"/>
  <c r="CY390" i="198"/>
  <c r="CX390" i="198"/>
  <c r="CW390" i="198"/>
  <c r="CV390" i="198"/>
  <c r="CU390" i="198"/>
  <c r="CT390" i="198"/>
  <c r="CS390" i="198"/>
  <c r="CR390" i="198"/>
  <c r="CQ390" i="198"/>
  <c r="CP390" i="198"/>
  <c r="CO390" i="198"/>
  <c r="CN390" i="198"/>
  <c r="CM390" i="198"/>
  <c r="CL390" i="198"/>
  <c r="CK390" i="198"/>
  <c r="CJ390" i="198"/>
  <c r="CI390" i="198"/>
  <c r="CH390" i="198"/>
  <c r="CG390" i="198"/>
  <c r="CF390" i="198"/>
  <c r="CE390" i="198"/>
  <c r="CD390" i="198"/>
  <c r="CC390" i="198"/>
  <c r="CB390" i="198"/>
  <c r="CA390" i="198"/>
  <c r="BZ390" i="198"/>
  <c r="BY390" i="198"/>
  <c r="BX390" i="198"/>
  <c r="BW390" i="198"/>
  <c r="BV390" i="198"/>
  <c r="BU390" i="198"/>
  <c r="BT390" i="198"/>
  <c r="BS390" i="198"/>
  <c r="BR390" i="198"/>
  <c r="BQ390" i="198"/>
  <c r="BP390" i="198"/>
  <c r="BO390" i="198"/>
  <c r="BN390" i="198"/>
  <c r="BM390" i="198"/>
  <c r="BL390" i="198"/>
  <c r="BK390" i="198"/>
  <c r="BJ390" i="198"/>
  <c r="BI390" i="198"/>
  <c r="BH390" i="198"/>
  <c r="BG390" i="198"/>
  <c r="BF390" i="198"/>
  <c r="BE390" i="198"/>
  <c r="BD390" i="198"/>
  <c r="BC390" i="198"/>
  <c r="BB390" i="198"/>
  <c r="BA390" i="198"/>
  <c r="AZ390" i="198"/>
  <c r="AY390" i="198"/>
  <c r="AX390" i="198"/>
  <c r="AW390" i="198"/>
  <c r="AV390" i="198"/>
  <c r="AU390" i="198"/>
  <c r="AT390" i="198"/>
  <c r="AS390" i="198"/>
  <c r="AR390" i="198"/>
  <c r="AQ390" i="198"/>
  <c r="AP390" i="198"/>
  <c r="AO390" i="198"/>
  <c r="AN390" i="198"/>
  <c r="AM390" i="198"/>
  <c r="AL390" i="198"/>
  <c r="AK390" i="198"/>
  <c r="AJ390" i="198"/>
  <c r="AI390" i="198"/>
  <c r="AH390" i="198"/>
  <c r="AG390" i="198"/>
  <c r="AF390" i="198"/>
  <c r="AE390" i="198"/>
  <c r="AD390" i="198"/>
  <c r="AC390" i="198"/>
  <c r="AB390" i="198"/>
  <c r="AA390" i="198"/>
  <c r="Z390" i="198"/>
  <c r="Y390" i="198"/>
  <c r="X390" i="198"/>
  <c r="W390" i="198"/>
  <c r="V390" i="198"/>
  <c r="U390" i="198"/>
  <c r="T390" i="198"/>
  <c r="S390" i="198"/>
  <c r="R390" i="198"/>
  <c r="Q390" i="198"/>
  <c r="P390" i="198"/>
  <c r="O390" i="198"/>
  <c r="N390" i="198"/>
  <c r="M390" i="198"/>
  <c r="L390" i="198"/>
  <c r="K390" i="198"/>
  <c r="J390" i="198"/>
  <c r="I390" i="198"/>
  <c r="H390" i="198"/>
  <c r="G390" i="198"/>
  <c r="F390" i="198"/>
  <c r="E390" i="198"/>
  <c r="D390" i="198"/>
  <c r="C390" i="198"/>
  <c r="B390" i="198"/>
  <c r="A390" i="198"/>
  <c r="DA389" i="198"/>
  <c r="CZ389" i="198"/>
  <c r="CY389" i="198"/>
  <c r="CX389" i="198"/>
  <c r="CW389" i="198"/>
  <c r="CV389" i="198"/>
  <c r="CU389" i="198"/>
  <c r="CT389" i="198"/>
  <c r="CS389" i="198"/>
  <c r="CR389" i="198"/>
  <c r="CQ389" i="198"/>
  <c r="CP389" i="198"/>
  <c r="CO389" i="198"/>
  <c r="CN389" i="198"/>
  <c r="CM389" i="198"/>
  <c r="CL389" i="198"/>
  <c r="CK389" i="198"/>
  <c r="CJ389" i="198"/>
  <c r="CI389" i="198"/>
  <c r="CH389" i="198"/>
  <c r="CG389" i="198"/>
  <c r="CF389" i="198"/>
  <c r="CE389" i="198"/>
  <c r="CD389" i="198"/>
  <c r="CC389" i="198"/>
  <c r="CB389" i="198"/>
  <c r="CA389" i="198"/>
  <c r="BZ389" i="198"/>
  <c r="BY389" i="198"/>
  <c r="BX389" i="198"/>
  <c r="BW389" i="198"/>
  <c r="BV389" i="198"/>
  <c r="BU389" i="198"/>
  <c r="BT389" i="198"/>
  <c r="BS389" i="198"/>
  <c r="BR389" i="198"/>
  <c r="BQ389" i="198"/>
  <c r="BP389" i="198"/>
  <c r="BO389" i="198"/>
  <c r="BN389" i="198"/>
  <c r="BM389" i="198"/>
  <c r="BL389" i="198"/>
  <c r="BK389" i="198"/>
  <c r="BJ389" i="198"/>
  <c r="BI389" i="198"/>
  <c r="BH389" i="198"/>
  <c r="BG389" i="198"/>
  <c r="BF389" i="198"/>
  <c r="BE389" i="198"/>
  <c r="BD389" i="198"/>
  <c r="BC389" i="198"/>
  <c r="BB389" i="198"/>
  <c r="BA389" i="198"/>
  <c r="AZ389" i="198"/>
  <c r="AY389" i="198"/>
  <c r="AX389" i="198"/>
  <c r="AW389" i="198"/>
  <c r="AV389" i="198"/>
  <c r="AU389" i="198"/>
  <c r="AT389" i="198"/>
  <c r="AS389" i="198"/>
  <c r="AR389" i="198"/>
  <c r="AQ389" i="198"/>
  <c r="AP389" i="198"/>
  <c r="AO389" i="198"/>
  <c r="AN389" i="198"/>
  <c r="AM389" i="198"/>
  <c r="AL389" i="198"/>
  <c r="AK389" i="198"/>
  <c r="AJ389" i="198"/>
  <c r="AI389" i="198"/>
  <c r="AH389" i="198"/>
  <c r="AG389" i="198"/>
  <c r="AF389" i="198"/>
  <c r="AE389" i="198"/>
  <c r="AD389" i="198"/>
  <c r="AC389" i="198"/>
  <c r="AB389" i="198"/>
  <c r="AA389" i="198"/>
  <c r="Z389" i="198"/>
  <c r="Y389" i="198"/>
  <c r="X389" i="198"/>
  <c r="W389" i="198"/>
  <c r="V389" i="198"/>
  <c r="U389" i="198"/>
  <c r="T389" i="198"/>
  <c r="S389" i="198"/>
  <c r="R389" i="198"/>
  <c r="Q389" i="198"/>
  <c r="P389" i="198"/>
  <c r="O389" i="198"/>
  <c r="N389" i="198"/>
  <c r="M389" i="198"/>
  <c r="L389" i="198"/>
  <c r="K389" i="198"/>
  <c r="J389" i="198"/>
  <c r="I389" i="198"/>
  <c r="H389" i="198"/>
  <c r="G389" i="198"/>
  <c r="F389" i="198"/>
  <c r="E389" i="198"/>
  <c r="D389" i="198"/>
  <c r="C389" i="198"/>
  <c r="B389" i="198"/>
  <c r="A389" i="198"/>
  <c r="DA388" i="198"/>
  <c r="CZ388" i="198"/>
  <c r="CY388" i="198"/>
  <c r="CX388" i="198"/>
  <c r="CW388" i="198"/>
  <c r="CV388" i="198"/>
  <c r="CU388" i="198"/>
  <c r="CT388" i="198"/>
  <c r="CS388" i="198"/>
  <c r="CR388" i="198"/>
  <c r="CQ388" i="198"/>
  <c r="CP388" i="198"/>
  <c r="CO388" i="198"/>
  <c r="CN388" i="198"/>
  <c r="CM388" i="198"/>
  <c r="CL388" i="198"/>
  <c r="CK388" i="198"/>
  <c r="CJ388" i="198"/>
  <c r="CI388" i="198"/>
  <c r="CH388" i="198"/>
  <c r="CG388" i="198"/>
  <c r="CF388" i="198"/>
  <c r="CE388" i="198"/>
  <c r="CD388" i="198"/>
  <c r="CC388" i="198"/>
  <c r="CB388" i="198"/>
  <c r="CA388" i="198"/>
  <c r="BZ388" i="198"/>
  <c r="BY388" i="198"/>
  <c r="BX388" i="198"/>
  <c r="BW388" i="198"/>
  <c r="BV388" i="198"/>
  <c r="BU388" i="198"/>
  <c r="BT388" i="198"/>
  <c r="BS388" i="198"/>
  <c r="BR388" i="198"/>
  <c r="BQ388" i="198"/>
  <c r="BP388" i="198"/>
  <c r="BO388" i="198"/>
  <c r="BN388" i="198"/>
  <c r="BM388" i="198"/>
  <c r="BL388" i="198"/>
  <c r="BK388" i="198"/>
  <c r="BJ388" i="198"/>
  <c r="BI388" i="198"/>
  <c r="BH388" i="198"/>
  <c r="BG388" i="198"/>
  <c r="BF388" i="198"/>
  <c r="BE388" i="198"/>
  <c r="BD388" i="198"/>
  <c r="BC388" i="198"/>
  <c r="BB388" i="198"/>
  <c r="BA388" i="198"/>
  <c r="AZ388" i="198"/>
  <c r="AY388" i="198"/>
  <c r="AX388" i="198"/>
  <c r="AW388" i="198"/>
  <c r="AV388" i="198"/>
  <c r="AU388" i="198"/>
  <c r="AT388" i="198"/>
  <c r="AS388" i="198"/>
  <c r="AR388" i="198"/>
  <c r="AQ388" i="198"/>
  <c r="AP388" i="198"/>
  <c r="AO388" i="198"/>
  <c r="AN388" i="198"/>
  <c r="AM388" i="198"/>
  <c r="AL388" i="198"/>
  <c r="AK388" i="198"/>
  <c r="AJ388" i="198"/>
  <c r="AI388" i="198"/>
  <c r="AH388" i="198"/>
  <c r="AG388" i="198"/>
  <c r="AF388" i="198"/>
  <c r="AE388" i="198"/>
  <c r="AD388" i="198"/>
  <c r="AC388" i="198"/>
  <c r="AB388" i="198"/>
  <c r="AA388" i="198"/>
  <c r="Z388" i="198"/>
  <c r="Y388" i="198"/>
  <c r="X388" i="198"/>
  <c r="W388" i="198"/>
  <c r="V388" i="198"/>
  <c r="U388" i="198"/>
  <c r="T388" i="198"/>
  <c r="S388" i="198"/>
  <c r="R388" i="198"/>
  <c r="Q388" i="198"/>
  <c r="P388" i="198"/>
  <c r="O388" i="198"/>
  <c r="N388" i="198"/>
  <c r="M388" i="198"/>
  <c r="L388" i="198"/>
  <c r="K388" i="198"/>
  <c r="J388" i="198"/>
  <c r="I388" i="198"/>
  <c r="H388" i="198"/>
  <c r="G388" i="198"/>
  <c r="F388" i="198"/>
  <c r="E388" i="198"/>
  <c r="D388" i="198"/>
  <c r="C388" i="198"/>
  <c r="B388" i="198"/>
  <c r="A388" i="198"/>
  <c r="DA387" i="198"/>
  <c r="CZ387" i="198"/>
  <c r="CY387" i="198"/>
  <c r="CX387" i="198"/>
  <c r="CW387" i="198"/>
  <c r="CV387" i="198"/>
  <c r="CU387" i="198"/>
  <c r="CT387" i="198"/>
  <c r="CS387" i="198"/>
  <c r="CR387" i="198"/>
  <c r="CQ387" i="198"/>
  <c r="CP387" i="198"/>
  <c r="CO387" i="198"/>
  <c r="CN387" i="198"/>
  <c r="CM387" i="198"/>
  <c r="CL387" i="198"/>
  <c r="CK387" i="198"/>
  <c r="CJ387" i="198"/>
  <c r="CI387" i="198"/>
  <c r="CH387" i="198"/>
  <c r="CG387" i="198"/>
  <c r="CF387" i="198"/>
  <c r="CE387" i="198"/>
  <c r="CD387" i="198"/>
  <c r="CC387" i="198"/>
  <c r="CB387" i="198"/>
  <c r="CA387" i="198"/>
  <c r="BZ387" i="198"/>
  <c r="BY387" i="198"/>
  <c r="BX387" i="198"/>
  <c r="BW387" i="198"/>
  <c r="BV387" i="198"/>
  <c r="BU387" i="198"/>
  <c r="BT387" i="198"/>
  <c r="BS387" i="198"/>
  <c r="BR387" i="198"/>
  <c r="BQ387" i="198"/>
  <c r="BP387" i="198"/>
  <c r="BO387" i="198"/>
  <c r="BN387" i="198"/>
  <c r="BM387" i="198"/>
  <c r="BL387" i="198"/>
  <c r="BK387" i="198"/>
  <c r="BJ387" i="198"/>
  <c r="BI387" i="198"/>
  <c r="BH387" i="198"/>
  <c r="BG387" i="198"/>
  <c r="BF387" i="198"/>
  <c r="BE387" i="198"/>
  <c r="BD387" i="198"/>
  <c r="BC387" i="198"/>
  <c r="BB387" i="198"/>
  <c r="BA387" i="198"/>
  <c r="AZ387" i="198"/>
  <c r="AY387" i="198"/>
  <c r="AX387" i="198"/>
  <c r="AW387" i="198"/>
  <c r="AV387" i="198"/>
  <c r="AU387" i="198"/>
  <c r="AT387" i="198"/>
  <c r="AS387" i="198"/>
  <c r="AR387" i="198"/>
  <c r="AQ387" i="198"/>
  <c r="AP387" i="198"/>
  <c r="AO387" i="198"/>
  <c r="AN387" i="198"/>
  <c r="AM387" i="198"/>
  <c r="AL387" i="198"/>
  <c r="AK387" i="198"/>
  <c r="AJ387" i="198"/>
  <c r="AI387" i="198"/>
  <c r="AH387" i="198"/>
  <c r="AG387" i="198"/>
  <c r="AF387" i="198"/>
  <c r="AE387" i="198"/>
  <c r="AD387" i="198"/>
  <c r="AC387" i="198"/>
  <c r="AB387" i="198"/>
  <c r="AA387" i="198"/>
  <c r="Z387" i="198"/>
  <c r="Y387" i="198"/>
  <c r="X387" i="198"/>
  <c r="W387" i="198"/>
  <c r="V387" i="198"/>
  <c r="U387" i="198"/>
  <c r="T387" i="198"/>
  <c r="S387" i="198"/>
  <c r="R387" i="198"/>
  <c r="Q387" i="198"/>
  <c r="P387" i="198"/>
  <c r="O387" i="198"/>
  <c r="N387" i="198"/>
  <c r="M387" i="198"/>
  <c r="L387" i="198"/>
  <c r="K387" i="198"/>
  <c r="J387" i="198"/>
  <c r="I387" i="198"/>
  <c r="H387" i="198"/>
  <c r="G387" i="198"/>
  <c r="F387" i="198"/>
  <c r="E387" i="198"/>
  <c r="D387" i="198"/>
  <c r="C387" i="198"/>
  <c r="B387" i="198"/>
  <c r="A387" i="198"/>
  <c r="DA386" i="198"/>
  <c r="CZ386" i="198"/>
  <c r="CY386" i="198"/>
  <c r="CX386" i="198"/>
  <c r="CW386" i="198"/>
  <c r="CV386" i="198"/>
  <c r="CU386" i="198"/>
  <c r="CT386" i="198"/>
  <c r="CS386" i="198"/>
  <c r="CR386" i="198"/>
  <c r="CQ386" i="198"/>
  <c r="CP386" i="198"/>
  <c r="CO386" i="198"/>
  <c r="CN386" i="198"/>
  <c r="CM386" i="198"/>
  <c r="CL386" i="198"/>
  <c r="CK386" i="198"/>
  <c r="CJ386" i="198"/>
  <c r="CI386" i="198"/>
  <c r="CH386" i="198"/>
  <c r="CG386" i="198"/>
  <c r="CF386" i="198"/>
  <c r="CE386" i="198"/>
  <c r="CD386" i="198"/>
  <c r="CC386" i="198"/>
  <c r="CB386" i="198"/>
  <c r="CA386" i="198"/>
  <c r="BZ386" i="198"/>
  <c r="BY386" i="198"/>
  <c r="BX386" i="198"/>
  <c r="BW386" i="198"/>
  <c r="BV386" i="198"/>
  <c r="BU386" i="198"/>
  <c r="BT386" i="198"/>
  <c r="BS386" i="198"/>
  <c r="BR386" i="198"/>
  <c r="BQ386" i="198"/>
  <c r="BP386" i="198"/>
  <c r="BO386" i="198"/>
  <c r="BN386" i="198"/>
  <c r="BM386" i="198"/>
  <c r="BL386" i="198"/>
  <c r="BK386" i="198"/>
  <c r="BJ386" i="198"/>
  <c r="BI386" i="198"/>
  <c r="BH386" i="198"/>
  <c r="BG386" i="198"/>
  <c r="BF386" i="198"/>
  <c r="BE386" i="198"/>
  <c r="BD386" i="198"/>
  <c r="BC386" i="198"/>
  <c r="BB386" i="198"/>
  <c r="BA386" i="198"/>
  <c r="AZ386" i="198"/>
  <c r="AY386" i="198"/>
  <c r="AX386" i="198"/>
  <c r="AW386" i="198"/>
  <c r="AV386" i="198"/>
  <c r="AU386" i="198"/>
  <c r="AT386" i="198"/>
  <c r="AS386" i="198"/>
  <c r="AR386" i="198"/>
  <c r="AQ386" i="198"/>
  <c r="AP386" i="198"/>
  <c r="AO386" i="198"/>
  <c r="AN386" i="198"/>
  <c r="AM386" i="198"/>
  <c r="AL386" i="198"/>
  <c r="AK386" i="198"/>
  <c r="AJ386" i="198"/>
  <c r="AI386" i="198"/>
  <c r="AH386" i="198"/>
  <c r="AG386" i="198"/>
  <c r="AF386" i="198"/>
  <c r="AE386" i="198"/>
  <c r="AD386" i="198"/>
  <c r="AC386" i="198"/>
  <c r="AB386" i="198"/>
  <c r="AA386" i="198"/>
  <c r="Z386" i="198"/>
  <c r="Y386" i="198"/>
  <c r="X386" i="198"/>
  <c r="W386" i="198"/>
  <c r="V386" i="198"/>
  <c r="U386" i="198"/>
  <c r="T386" i="198"/>
  <c r="S386" i="198"/>
  <c r="R386" i="198"/>
  <c r="Q386" i="198"/>
  <c r="P386" i="198"/>
  <c r="O386" i="198"/>
  <c r="N386" i="198"/>
  <c r="M386" i="198"/>
  <c r="L386" i="198"/>
  <c r="K386" i="198"/>
  <c r="J386" i="198"/>
  <c r="I386" i="198"/>
  <c r="H386" i="198"/>
  <c r="G386" i="198"/>
  <c r="F386" i="198"/>
  <c r="E386" i="198"/>
  <c r="D386" i="198"/>
  <c r="C386" i="198"/>
  <c r="B386" i="198"/>
  <c r="A386" i="198"/>
  <c r="EM383" i="198"/>
  <c r="EL383" i="198"/>
  <c r="EK383" i="198"/>
  <c r="EJ383" i="198"/>
  <c r="EI383" i="198"/>
  <c r="EH383" i="198"/>
  <c r="EG383" i="198"/>
  <c r="EF383" i="198"/>
  <c r="EE383" i="198"/>
  <c r="ED383" i="198"/>
  <c r="EC383" i="198"/>
  <c r="EB383" i="198"/>
  <c r="EA383" i="198"/>
  <c r="DZ383" i="198"/>
  <c r="DY383" i="198"/>
  <c r="DX383" i="198"/>
  <c r="DW383" i="198"/>
  <c r="DV383" i="198"/>
  <c r="DU383" i="198"/>
  <c r="DT383" i="198"/>
  <c r="DS383" i="198"/>
  <c r="DR383" i="198"/>
  <c r="DQ383" i="198"/>
  <c r="DP383" i="198"/>
  <c r="DO383" i="198"/>
  <c r="DN383" i="198"/>
  <c r="DM383" i="198"/>
  <c r="DL383" i="198"/>
  <c r="DK383" i="198"/>
  <c r="DJ383" i="198"/>
  <c r="DI383" i="198"/>
  <c r="DH383" i="198"/>
  <c r="DG383" i="198"/>
  <c r="DF383" i="198"/>
  <c r="DE383" i="198"/>
  <c r="DD383" i="198"/>
  <c r="DC383" i="198"/>
  <c r="EM382" i="198"/>
  <c r="EL382" i="198"/>
  <c r="EK382" i="198"/>
  <c r="EJ382" i="198"/>
  <c r="EI382" i="198"/>
  <c r="EH382" i="198"/>
  <c r="EG382" i="198"/>
  <c r="EF382" i="198"/>
  <c r="EE382" i="198"/>
  <c r="ED382" i="198"/>
  <c r="EC382" i="198"/>
  <c r="EB382" i="198"/>
  <c r="EA382" i="198"/>
  <c r="DZ382" i="198"/>
  <c r="DY382" i="198"/>
  <c r="DX382" i="198"/>
  <c r="DW382" i="198"/>
  <c r="DV382" i="198"/>
  <c r="DU382" i="198"/>
  <c r="DT382" i="198"/>
  <c r="DS382" i="198"/>
  <c r="DR382" i="198"/>
  <c r="DQ382" i="198"/>
  <c r="DP382" i="198"/>
  <c r="DO382" i="198"/>
  <c r="DN382" i="198"/>
  <c r="DM382" i="198"/>
  <c r="DL382" i="198"/>
  <c r="DK382" i="198"/>
  <c r="DJ382" i="198"/>
  <c r="DI382" i="198"/>
  <c r="DH382" i="198"/>
  <c r="DG382" i="198"/>
  <c r="DF382" i="198"/>
  <c r="DE382" i="198"/>
  <c r="DD382" i="198"/>
  <c r="DC382" i="198"/>
  <c r="EM381" i="198"/>
  <c r="EL381" i="198"/>
  <c r="EK381" i="198"/>
  <c r="EJ381" i="198"/>
  <c r="EI381" i="198"/>
  <c r="EH381" i="198"/>
  <c r="EG381" i="198"/>
  <c r="EF381" i="198"/>
  <c r="EE381" i="198"/>
  <c r="ED381" i="198"/>
  <c r="EC381" i="198"/>
  <c r="EB381" i="198"/>
  <c r="EA381" i="198"/>
  <c r="DZ381" i="198"/>
  <c r="DY381" i="198"/>
  <c r="DX381" i="198"/>
  <c r="DW381" i="198"/>
  <c r="DV381" i="198"/>
  <c r="DU381" i="198"/>
  <c r="DT381" i="198"/>
  <c r="DS381" i="198"/>
  <c r="DR381" i="198"/>
  <c r="DQ381" i="198"/>
  <c r="DP381" i="198"/>
  <c r="DO381" i="198"/>
  <c r="DN381" i="198"/>
  <c r="DM381" i="198"/>
  <c r="DL381" i="198"/>
  <c r="DK381" i="198"/>
  <c r="DJ381" i="198"/>
  <c r="DI381" i="198"/>
  <c r="DH381" i="198"/>
  <c r="DG381" i="198"/>
  <c r="DF381" i="198"/>
  <c r="DE381" i="198"/>
  <c r="DD381" i="198"/>
  <c r="DC381" i="198"/>
  <c r="EM380" i="198"/>
  <c r="EL380" i="198"/>
  <c r="EK380" i="198"/>
  <c r="EJ380" i="198"/>
  <c r="EI380" i="198"/>
  <c r="EH380" i="198"/>
  <c r="EG380" i="198"/>
  <c r="EF380" i="198"/>
  <c r="EE380" i="198"/>
  <c r="ED380" i="198"/>
  <c r="EC380" i="198"/>
  <c r="EB380" i="198"/>
  <c r="EA380" i="198"/>
  <c r="DZ380" i="198"/>
  <c r="DY380" i="198"/>
  <c r="DX380" i="198"/>
  <c r="DW380" i="198"/>
  <c r="DV380" i="198"/>
  <c r="DU380" i="198"/>
  <c r="DT380" i="198"/>
  <c r="DS380" i="198"/>
  <c r="DR380" i="198"/>
  <c r="DQ380" i="198"/>
  <c r="DP380" i="198"/>
  <c r="DO380" i="198"/>
  <c r="DN380" i="198"/>
  <c r="DM380" i="198"/>
  <c r="DL380" i="198"/>
  <c r="DK380" i="198"/>
  <c r="DJ380" i="198"/>
  <c r="DI380" i="198"/>
  <c r="DH380" i="198"/>
  <c r="DG380" i="198"/>
  <c r="DF380" i="198"/>
  <c r="DE380" i="198"/>
  <c r="DD380" i="198"/>
  <c r="DC380" i="198"/>
  <c r="EM379" i="198"/>
  <c r="EL379" i="198"/>
  <c r="EK379" i="198"/>
  <c r="EJ379" i="198"/>
  <c r="EI379" i="198"/>
  <c r="EH379" i="198"/>
  <c r="EG379" i="198"/>
  <c r="EF379" i="198"/>
  <c r="EE379" i="198"/>
  <c r="ED379" i="198"/>
  <c r="EC379" i="198"/>
  <c r="EB379" i="198"/>
  <c r="EA379" i="198"/>
  <c r="DZ379" i="198"/>
  <c r="DY379" i="198"/>
  <c r="DX379" i="198"/>
  <c r="DW379" i="198"/>
  <c r="DV379" i="198"/>
  <c r="DU379" i="198"/>
  <c r="DT379" i="198"/>
  <c r="DS379" i="198"/>
  <c r="DR379" i="198"/>
  <c r="DQ379" i="198"/>
  <c r="DP379" i="198"/>
  <c r="DO379" i="198"/>
  <c r="DN379" i="198"/>
  <c r="DM379" i="198"/>
  <c r="DL379" i="198"/>
  <c r="DK379" i="198"/>
  <c r="DJ379" i="198"/>
  <c r="DI379" i="198"/>
  <c r="DH379" i="198"/>
  <c r="DG379" i="198"/>
  <c r="DF379" i="198"/>
  <c r="DE379" i="198"/>
  <c r="DD379" i="198"/>
  <c r="DC379" i="198"/>
  <c r="EM378" i="198"/>
  <c r="EL378" i="198"/>
  <c r="EK378" i="198"/>
  <c r="EJ378" i="198"/>
  <c r="EI378" i="198"/>
  <c r="EH378" i="198"/>
  <c r="EG378" i="198"/>
  <c r="EF378" i="198"/>
  <c r="EE378" i="198"/>
  <c r="ED378" i="198"/>
  <c r="EC378" i="198"/>
  <c r="EB378" i="198"/>
  <c r="EA378" i="198"/>
  <c r="DZ378" i="198"/>
  <c r="DY378" i="198"/>
  <c r="DX378" i="198"/>
  <c r="DW378" i="198"/>
  <c r="DV378" i="198"/>
  <c r="DU378" i="198"/>
  <c r="DT378" i="198"/>
  <c r="DS378" i="198"/>
  <c r="DR378" i="198"/>
  <c r="DQ378" i="198"/>
  <c r="DP378" i="198"/>
  <c r="DO378" i="198"/>
  <c r="DN378" i="198"/>
  <c r="DM378" i="198"/>
  <c r="DL378" i="198"/>
  <c r="DK378" i="198"/>
  <c r="DJ378" i="198"/>
  <c r="DI378" i="198"/>
  <c r="DH378" i="198"/>
  <c r="DG378" i="198"/>
  <c r="DF378" i="198"/>
  <c r="DE378" i="198"/>
  <c r="DD378" i="198"/>
  <c r="DC378" i="198"/>
  <c r="DA383" i="198"/>
  <c r="CZ383" i="198"/>
  <c r="CY383" i="198"/>
  <c r="CX383" i="198"/>
  <c r="CW383" i="198"/>
  <c r="CV383" i="198"/>
  <c r="CU383" i="198"/>
  <c r="CT383" i="198"/>
  <c r="CS383" i="198"/>
  <c r="CR383" i="198"/>
  <c r="CQ383" i="198"/>
  <c r="CP383" i="198"/>
  <c r="CO383" i="198"/>
  <c r="CN383" i="198"/>
  <c r="CM383" i="198"/>
  <c r="CL383" i="198"/>
  <c r="CK383" i="198"/>
  <c r="CJ383" i="198"/>
  <c r="CI383" i="198"/>
  <c r="CH383" i="198"/>
  <c r="CG383" i="198"/>
  <c r="CF383" i="198"/>
  <c r="CE383" i="198"/>
  <c r="CD383" i="198"/>
  <c r="CC383" i="198"/>
  <c r="CB383" i="198"/>
  <c r="CA383" i="198"/>
  <c r="BZ383" i="198"/>
  <c r="BY383" i="198"/>
  <c r="BX383" i="198"/>
  <c r="BW383" i="198"/>
  <c r="BV383" i="198"/>
  <c r="BU383" i="198"/>
  <c r="BT383" i="198"/>
  <c r="BS383" i="198"/>
  <c r="BR383" i="198"/>
  <c r="BQ383" i="198"/>
  <c r="BP383" i="198"/>
  <c r="BO383" i="198"/>
  <c r="BN383" i="198"/>
  <c r="BM383" i="198"/>
  <c r="BL383" i="198"/>
  <c r="BK383" i="198"/>
  <c r="BJ383" i="198"/>
  <c r="BI383" i="198"/>
  <c r="BH383" i="198"/>
  <c r="BG383" i="198"/>
  <c r="BF383" i="198"/>
  <c r="BE383" i="198"/>
  <c r="BD383" i="198"/>
  <c r="BC383" i="198"/>
  <c r="BB383" i="198"/>
  <c r="BA383" i="198"/>
  <c r="AZ383" i="198"/>
  <c r="AY383" i="198"/>
  <c r="AX383" i="198"/>
  <c r="AW383" i="198"/>
  <c r="AV383" i="198"/>
  <c r="AU383" i="198"/>
  <c r="AT383" i="198"/>
  <c r="AS383" i="198"/>
  <c r="AR383" i="198"/>
  <c r="AQ383" i="198"/>
  <c r="AP383" i="198"/>
  <c r="AO383" i="198"/>
  <c r="AN383" i="198"/>
  <c r="AM383" i="198"/>
  <c r="AL383" i="198"/>
  <c r="AK383" i="198"/>
  <c r="AJ383" i="198"/>
  <c r="AI383" i="198"/>
  <c r="AH383" i="198"/>
  <c r="AG383" i="198"/>
  <c r="AF383" i="198"/>
  <c r="AE383" i="198"/>
  <c r="AD383" i="198"/>
  <c r="AC383" i="198"/>
  <c r="AB383" i="198"/>
  <c r="AA383" i="198"/>
  <c r="Z383" i="198"/>
  <c r="Y383" i="198"/>
  <c r="X383" i="198"/>
  <c r="W383" i="198"/>
  <c r="V383" i="198"/>
  <c r="U383" i="198"/>
  <c r="T383" i="198"/>
  <c r="S383" i="198"/>
  <c r="R383" i="198"/>
  <c r="Q383" i="198"/>
  <c r="P383" i="198"/>
  <c r="O383" i="198"/>
  <c r="N383" i="198"/>
  <c r="M383" i="198"/>
  <c r="L383" i="198"/>
  <c r="K383" i="198"/>
  <c r="J383" i="198"/>
  <c r="I383" i="198"/>
  <c r="H383" i="198"/>
  <c r="G383" i="198"/>
  <c r="F383" i="198"/>
  <c r="E383" i="198"/>
  <c r="D383" i="198"/>
  <c r="C383" i="198"/>
  <c r="B383" i="198"/>
  <c r="A383" i="198"/>
  <c r="DA382" i="198"/>
  <c r="CZ382" i="198"/>
  <c r="CY382" i="198"/>
  <c r="CX382" i="198"/>
  <c r="CW382" i="198"/>
  <c r="CV382" i="198"/>
  <c r="CU382" i="198"/>
  <c r="CT382" i="198"/>
  <c r="CS382" i="198"/>
  <c r="CR382" i="198"/>
  <c r="CQ382" i="198"/>
  <c r="CP382" i="198"/>
  <c r="CO382" i="198"/>
  <c r="CN382" i="198"/>
  <c r="CM382" i="198"/>
  <c r="CL382" i="198"/>
  <c r="CK382" i="198"/>
  <c r="CJ382" i="198"/>
  <c r="CI382" i="198"/>
  <c r="CH382" i="198"/>
  <c r="CG382" i="198"/>
  <c r="CF382" i="198"/>
  <c r="CE382" i="198"/>
  <c r="CD382" i="198"/>
  <c r="CC382" i="198"/>
  <c r="CB382" i="198"/>
  <c r="CA382" i="198"/>
  <c r="BZ382" i="198"/>
  <c r="BY382" i="198"/>
  <c r="BX382" i="198"/>
  <c r="BW382" i="198"/>
  <c r="BV382" i="198"/>
  <c r="BU382" i="198"/>
  <c r="BT382" i="198"/>
  <c r="BS382" i="198"/>
  <c r="BR382" i="198"/>
  <c r="BQ382" i="198"/>
  <c r="BP382" i="198"/>
  <c r="BO382" i="198"/>
  <c r="BN382" i="198"/>
  <c r="BM382" i="198"/>
  <c r="BL382" i="198"/>
  <c r="BK382" i="198"/>
  <c r="BJ382" i="198"/>
  <c r="BI382" i="198"/>
  <c r="BH382" i="198"/>
  <c r="BG382" i="198"/>
  <c r="BF382" i="198"/>
  <c r="BE382" i="198"/>
  <c r="BD382" i="198"/>
  <c r="BC382" i="198"/>
  <c r="BB382" i="198"/>
  <c r="BA382" i="198"/>
  <c r="AZ382" i="198"/>
  <c r="AY382" i="198"/>
  <c r="AX382" i="198"/>
  <c r="AW382" i="198"/>
  <c r="AV382" i="198"/>
  <c r="AU382" i="198"/>
  <c r="AT382" i="198"/>
  <c r="AS382" i="198"/>
  <c r="AR382" i="198"/>
  <c r="AQ382" i="198"/>
  <c r="AP382" i="198"/>
  <c r="AO382" i="198"/>
  <c r="AN382" i="198"/>
  <c r="AM382" i="198"/>
  <c r="AL382" i="198"/>
  <c r="AK382" i="198"/>
  <c r="AJ382" i="198"/>
  <c r="AI382" i="198"/>
  <c r="AH382" i="198"/>
  <c r="AG382" i="198"/>
  <c r="AF382" i="198"/>
  <c r="AE382" i="198"/>
  <c r="AD382" i="198"/>
  <c r="AC382" i="198"/>
  <c r="AB382" i="198"/>
  <c r="AA382" i="198"/>
  <c r="Z382" i="198"/>
  <c r="Y382" i="198"/>
  <c r="X382" i="198"/>
  <c r="W382" i="198"/>
  <c r="V382" i="198"/>
  <c r="U382" i="198"/>
  <c r="T382" i="198"/>
  <c r="S382" i="198"/>
  <c r="R382" i="198"/>
  <c r="Q382" i="198"/>
  <c r="P382" i="198"/>
  <c r="O382" i="198"/>
  <c r="N382" i="198"/>
  <c r="M382" i="198"/>
  <c r="L382" i="198"/>
  <c r="K382" i="198"/>
  <c r="J382" i="198"/>
  <c r="I382" i="198"/>
  <c r="H382" i="198"/>
  <c r="G382" i="198"/>
  <c r="F382" i="198"/>
  <c r="E382" i="198"/>
  <c r="D382" i="198"/>
  <c r="C382" i="198"/>
  <c r="B382" i="198"/>
  <c r="A382" i="198"/>
  <c r="DA381" i="198"/>
  <c r="CZ381" i="198"/>
  <c r="CY381" i="198"/>
  <c r="CX381" i="198"/>
  <c r="CW381" i="198"/>
  <c r="CV381" i="198"/>
  <c r="CU381" i="198"/>
  <c r="CT381" i="198"/>
  <c r="CS381" i="198"/>
  <c r="CR381" i="198"/>
  <c r="CQ381" i="198"/>
  <c r="CP381" i="198"/>
  <c r="CO381" i="198"/>
  <c r="CN381" i="198"/>
  <c r="CM381" i="198"/>
  <c r="CL381" i="198"/>
  <c r="CK381" i="198"/>
  <c r="CJ381" i="198"/>
  <c r="CI381" i="198"/>
  <c r="CH381" i="198"/>
  <c r="CG381" i="198"/>
  <c r="CF381" i="198"/>
  <c r="CE381" i="198"/>
  <c r="CD381" i="198"/>
  <c r="CC381" i="198"/>
  <c r="CB381" i="198"/>
  <c r="CA381" i="198"/>
  <c r="BZ381" i="198"/>
  <c r="BY381" i="198"/>
  <c r="BX381" i="198"/>
  <c r="BW381" i="198"/>
  <c r="BV381" i="198"/>
  <c r="BU381" i="198"/>
  <c r="BT381" i="198"/>
  <c r="BS381" i="198"/>
  <c r="BR381" i="198"/>
  <c r="BQ381" i="198"/>
  <c r="BP381" i="198"/>
  <c r="BO381" i="198"/>
  <c r="BN381" i="198"/>
  <c r="BM381" i="198"/>
  <c r="BL381" i="198"/>
  <c r="BK381" i="198"/>
  <c r="BJ381" i="198"/>
  <c r="BI381" i="198"/>
  <c r="BH381" i="198"/>
  <c r="BG381" i="198"/>
  <c r="BF381" i="198"/>
  <c r="BE381" i="198"/>
  <c r="BD381" i="198"/>
  <c r="BC381" i="198"/>
  <c r="BB381" i="198"/>
  <c r="BA381" i="198"/>
  <c r="AZ381" i="198"/>
  <c r="AY381" i="198"/>
  <c r="AX381" i="198"/>
  <c r="AW381" i="198"/>
  <c r="AV381" i="198"/>
  <c r="AU381" i="198"/>
  <c r="AT381" i="198"/>
  <c r="AS381" i="198"/>
  <c r="AR381" i="198"/>
  <c r="AQ381" i="198"/>
  <c r="AP381" i="198"/>
  <c r="AO381" i="198"/>
  <c r="AN381" i="198"/>
  <c r="AM381" i="198"/>
  <c r="AL381" i="198"/>
  <c r="AK381" i="198"/>
  <c r="AJ381" i="198"/>
  <c r="AI381" i="198"/>
  <c r="AH381" i="198"/>
  <c r="AG381" i="198"/>
  <c r="AF381" i="198"/>
  <c r="AE381" i="198"/>
  <c r="AD381" i="198"/>
  <c r="AC381" i="198"/>
  <c r="AB381" i="198"/>
  <c r="AA381" i="198"/>
  <c r="Z381" i="198"/>
  <c r="Y381" i="198"/>
  <c r="X381" i="198"/>
  <c r="W381" i="198"/>
  <c r="V381" i="198"/>
  <c r="U381" i="198"/>
  <c r="T381" i="198"/>
  <c r="S381" i="198"/>
  <c r="R381" i="198"/>
  <c r="Q381" i="198"/>
  <c r="P381" i="198"/>
  <c r="O381" i="198"/>
  <c r="N381" i="198"/>
  <c r="M381" i="198"/>
  <c r="L381" i="198"/>
  <c r="K381" i="198"/>
  <c r="J381" i="198"/>
  <c r="I381" i="198"/>
  <c r="H381" i="198"/>
  <c r="G381" i="198"/>
  <c r="F381" i="198"/>
  <c r="E381" i="198"/>
  <c r="D381" i="198"/>
  <c r="C381" i="198"/>
  <c r="B381" i="198"/>
  <c r="A381" i="198"/>
  <c r="DA380" i="198"/>
  <c r="CZ380" i="198"/>
  <c r="CY380" i="198"/>
  <c r="CX380" i="198"/>
  <c r="CW380" i="198"/>
  <c r="CV380" i="198"/>
  <c r="CU380" i="198"/>
  <c r="CT380" i="198"/>
  <c r="CS380" i="198"/>
  <c r="CR380" i="198"/>
  <c r="CQ380" i="198"/>
  <c r="CP380" i="198"/>
  <c r="CO380" i="198"/>
  <c r="CN380" i="198"/>
  <c r="CM380" i="198"/>
  <c r="CL380" i="198"/>
  <c r="CK380" i="198"/>
  <c r="CJ380" i="198"/>
  <c r="CI380" i="198"/>
  <c r="CH380" i="198"/>
  <c r="CG380" i="198"/>
  <c r="CF380" i="198"/>
  <c r="CE380" i="198"/>
  <c r="CD380" i="198"/>
  <c r="CC380" i="198"/>
  <c r="CB380" i="198"/>
  <c r="CA380" i="198"/>
  <c r="BZ380" i="198"/>
  <c r="BY380" i="198"/>
  <c r="BX380" i="198"/>
  <c r="BW380" i="198"/>
  <c r="BV380" i="198"/>
  <c r="BU380" i="198"/>
  <c r="BT380" i="198"/>
  <c r="BS380" i="198"/>
  <c r="BR380" i="198"/>
  <c r="BQ380" i="198"/>
  <c r="BP380" i="198"/>
  <c r="BO380" i="198"/>
  <c r="BN380" i="198"/>
  <c r="BM380" i="198"/>
  <c r="BL380" i="198"/>
  <c r="BK380" i="198"/>
  <c r="BJ380" i="198"/>
  <c r="BI380" i="198"/>
  <c r="BH380" i="198"/>
  <c r="BG380" i="198"/>
  <c r="BF380" i="198"/>
  <c r="BE380" i="198"/>
  <c r="BD380" i="198"/>
  <c r="BC380" i="198"/>
  <c r="BB380" i="198"/>
  <c r="BA380" i="198"/>
  <c r="AZ380" i="198"/>
  <c r="AY380" i="198"/>
  <c r="AX380" i="198"/>
  <c r="AW380" i="198"/>
  <c r="AV380" i="198"/>
  <c r="AU380" i="198"/>
  <c r="AT380" i="198"/>
  <c r="AS380" i="198"/>
  <c r="AR380" i="198"/>
  <c r="AQ380" i="198"/>
  <c r="AP380" i="198"/>
  <c r="AO380" i="198"/>
  <c r="AN380" i="198"/>
  <c r="AM380" i="198"/>
  <c r="AL380" i="198"/>
  <c r="AK380" i="198"/>
  <c r="AJ380" i="198"/>
  <c r="AI380" i="198"/>
  <c r="AH380" i="198"/>
  <c r="AG380" i="198"/>
  <c r="AF380" i="198"/>
  <c r="AE380" i="198"/>
  <c r="AD380" i="198"/>
  <c r="AC380" i="198"/>
  <c r="AB380" i="198"/>
  <c r="AA380" i="198"/>
  <c r="Z380" i="198"/>
  <c r="Y380" i="198"/>
  <c r="X380" i="198"/>
  <c r="W380" i="198"/>
  <c r="V380" i="198"/>
  <c r="U380" i="198"/>
  <c r="T380" i="198"/>
  <c r="S380" i="198"/>
  <c r="R380" i="198"/>
  <c r="Q380" i="198"/>
  <c r="P380" i="198"/>
  <c r="O380" i="198"/>
  <c r="N380" i="198"/>
  <c r="M380" i="198"/>
  <c r="L380" i="198"/>
  <c r="K380" i="198"/>
  <c r="J380" i="198"/>
  <c r="I380" i="198"/>
  <c r="H380" i="198"/>
  <c r="G380" i="198"/>
  <c r="F380" i="198"/>
  <c r="E380" i="198"/>
  <c r="D380" i="198"/>
  <c r="C380" i="198"/>
  <c r="B380" i="198"/>
  <c r="A380" i="198"/>
  <c r="DA379" i="198"/>
  <c r="CZ379" i="198"/>
  <c r="CY379" i="198"/>
  <c r="CX379" i="198"/>
  <c r="CW379" i="198"/>
  <c r="CV379" i="198"/>
  <c r="CU379" i="198"/>
  <c r="CT379" i="198"/>
  <c r="CS379" i="198"/>
  <c r="CR379" i="198"/>
  <c r="CQ379" i="198"/>
  <c r="CP379" i="198"/>
  <c r="CO379" i="198"/>
  <c r="CN379" i="198"/>
  <c r="CM379" i="198"/>
  <c r="CL379" i="198"/>
  <c r="CK379" i="198"/>
  <c r="CJ379" i="198"/>
  <c r="CI379" i="198"/>
  <c r="CH379" i="198"/>
  <c r="CG379" i="198"/>
  <c r="CF379" i="198"/>
  <c r="CE379" i="198"/>
  <c r="CD379" i="198"/>
  <c r="CC379" i="198"/>
  <c r="CB379" i="198"/>
  <c r="CA379" i="198"/>
  <c r="BZ379" i="198"/>
  <c r="BY379" i="198"/>
  <c r="BX379" i="198"/>
  <c r="BW379" i="198"/>
  <c r="BV379" i="198"/>
  <c r="BU379" i="198"/>
  <c r="BT379" i="198"/>
  <c r="BS379" i="198"/>
  <c r="BR379" i="198"/>
  <c r="BQ379" i="198"/>
  <c r="BP379" i="198"/>
  <c r="BO379" i="198"/>
  <c r="BN379" i="198"/>
  <c r="BM379" i="198"/>
  <c r="BL379" i="198"/>
  <c r="BK379" i="198"/>
  <c r="BJ379" i="198"/>
  <c r="BI379" i="198"/>
  <c r="BH379" i="198"/>
  <c r="BG379" i="198"/>
  <c r="BF379" i="198"/>
  <c r="BE379" i="198"/>
  <c r="BD379" i="198"/>
  <c r="BC379" i="198"/>
  <c r="BB379" i="198"/>
  <c r="BA379" i="198"/>
  <c r="AZ379" i="198"/>
  <c r="AY379" i="198"/>
  <c r="AX379" i="198"/>
  <c r="AW379" i="198"/>
  <c r="AV379" i="198"/>
  <c r="AU379" i="198"/>
  <c r="AT379" i="198"/>
  <c r="AS379" i="198"/>
  <c r="AR379" i="198"/>
  <c r="AQ379" i="198"/>
  <c r="AP379" i="198"/>
  <c r="AO379" i="198"/>
  <c r="AN379" i="198"/>
  <c r="AM379" i="198"/>
  <c r="AL379" i="198"/>
  <c r="AK379" i="198"/>
  <c r="AJ379" i="198"/>
  <c r="AI379" i="198"/>
  <c r="AH379" i="198"/>
  <c r="AG379" i="198"/>
  <c r="AF379" i="198"/>
  <c r="AE379" i="198"/>
  <c r="AD379" i="198"/>
  <c r="AC379" i="198"/>
  <c r="AB379" i="198"/>
  <c r="AA379" i="198"/>
  <c r="Z379" i="198"/>
  <c r="Y379" i="198"/>
  <c r="X379" i="198"/>
  <c r="W379" i="198"/>
  <c r="V379" i="198"/>
  <c r="U379" i="198"/>
  <c r="T379" i="198"/>
  <c r="S379" i="198"/>
  <c r="R379" i="198"/>
  <c r="Q379" i="198"/>
  <c r="P379" i="198"/>
  <c r="O379" i="198"/>
  <c r="N379" i="198"/>
  <c r="M379" i="198"/>
  <c r="L379" i="198"/>
  <c r="K379" i="198"/>
  <c r="J379" i="198"/>
  <c r="I379" i="198"/>
  <c r="H379" i="198"/>
  <c r="G379" i="198"/>
  <c r="F379" i="198"/>
  <c r="E379" i="198"/>
  <c r="D379" i="198"/>
  <c r="C379" i="198"/>
  <c r="B379" i="198"/>
  <c r="A379" i="198"/>
  <c r="DA378" i="198"/>
  <c r="CZ378" i="198"/>
  <c r="CY378" i="198"/>
  <c r="CX378" i="198"/>
  <c r="CW378" i="198"/>
  <c r="CV378" i="198"/>
  <c r="CU378" i="198"/>
  <c r="CT378" i="198"/>
  <c r="CS378" i="198"/>
  <c r="CR378" i="198"/>
  <c r="CQ378" i="198"/>
  <c r="CP378" i="198"/>
  <c r="CO378" i="198"/>
  <c r="CN378" i="198"/>
  <c r="CM378" i="198"/>
  <c r="CL378" i="198"/>
  <c r="CK378" i="198"/>
  <c r="CJ378" i="198"/>
  <c r="CI378" i="198"/>
  <c r="CH378" i="198"/>
  <c r="CG378" i="198"/>
  <c r="CF378" i="198"/>
  <c r="CE378" i="198"/>
  <c r="CD378" i="198"/>
  <c r="CC378" i="198"/>
  <c r="CB378" i="198"/>
  <c r="CA378" i="198"/>
  <c r="BZ378" i="198"/>
  <c r="BY378" i="198"/>
  <c r="BX378" i="198"/>
  <c r="BW378" i="198"/>
  <c r="BV378" i="198"/>
  <c r="BU378" i="198"/>
  <c r="BT378" i="198"/>
  <c r="BS378" i="198"/>
  <c r="BR378" i="198"/>
  <c r="BQ378" i="198"/>
  <c r="BP378" i="198"/>
  <c r="BO378" i="198"/>
  <c r="BN378" i="198"/>
  <c r="BM378" i="198"/>
  <c r="BL378" i="198"/>
  <c r="BK378" i="198"/>
  <c r="BJ378" i="198"/>
  <c r="BI378" i="198"/>
  <c r="BH378" i="198"/>
  <c r="BG378" i="198"/>
  <c r="BF378" i="198"/>
  <c r="BE378" i="198"/>
  <c r="BD378" i="198"/>
  <c r="BC378" i="198"/>
  <c r="BB378" i="198"/>
  <c r="BA378" i="198"/>
  <c r="AZ378" i="198"/>
  <c r="AY378" i="198"/>
  <c r="AX378" i="198"/>
  <c r="AW378" i="198"/>
  <c r="AV378" i="198"/>
  <c r="AU378" i="198"/>
  <c r="AT378" i="198"/>
  <c r="AS378" i="198"/>
  <c r="AR378" i="198"/>
  <c r="AQ378" i="198"/>
  <c r="AP378" i="198"/>
  <c r="AO378" i="198"/>
  <c r="AN378" i="198"/>
  <c r="AM378" i="198"/>
  <c r="AL378" i="198"/>
  <c r="AK378" i="198"/>
  <c r="AJ378" i="198"/>
  <c r="AI378" i="198"/>
  <c r="AH378" i="198"/>
  <c r="AG378" i="198"/>
  <c r="AF378" i="198"/>
  <c r="AE378" i="198"/>
  <c r="AD378" i="198"/>
  <c r="AC378" i="198"/>
  <c r="AB378" i="198"/>
  <c r="AA378" i="198"/>
  <c r="Z378" i="198"/>
  <c r="Y378" i="198"/>
  <c r="X378" i="198"/>
  <c r="W378" i="198"/>
  <c r="V378" i="198"/>
  <c r="U378" i="198"/>
  <c r="T378" i="198"/>
  <c r="S378" i="198"/>
  <c r="R378" i="198"/>
  <c r="Q378" i="198"/>
  <c r="P378" i="198"/>
  <c r="O378" i="198"/>
  <c r="N378" i="198"/>
  <c r="M378" i="198"/>
  <c r="L378" i="198"/>
  <c r="K378" i="198"/>
  <c r="J378" i="198"/>
  <c r="I378" i="198"/>
  <c r="H378" i="198"/>
  <c r="G378" i="198"/>
  <c r="F378" i="198"/>
  <c r="E378" i="198"/>
  <c r="D378" i="198"/>
  <c r="C378" i="198"/>
  <c r="B378" i="198"/>
  <c r="A378" i="198"/>
  <c r="A373" i="198"/>
  <c r="DH366" i="198"/>
  <c r="DG366" i="198"/>
  <c r="DF366" i="198"/>
  <c r="DE366" i="198"/>
  <c r="DD366" i="198"/>
  <c r="DC366" i="198"/>
  <c r="M366" i="198"/>
  <c r="L366" i="198"/>
  <c r="K366" i="198"/>
  <c r="J366" i="198"/>
  <c r="I366" i="198"/>
  <c r="H366" i="198"/>
  <c r="G366" i="198"/>
  <c r="F366" i="198"/>
  <c r="E366" i="198"/>
  <c r="D366" i="198"/>
  <c r="C366" i="198"/>
  <c r="B366" i="198"/>
  <c r="DH363" i="198"/>
  <c r="DG363" i="198"/>
  <c r="DF363" i="198"/>
  <c r="DE363" i="198"/>
  <c r="DD363" i="198"/>
  <c r="DC363" i="198"/>
  <c r="M363" i="198"/>
  <c r="L363" i="198"/>
  <c r="K363" i="198"/>
  <c r="J363" i="198"/>
  <c r="I363" i="198"/>
  <c r="H363" i="198"/>
  <c r="G363" i="198"/>
  <c r="F363" i="198"/>
  <c r="E363" i="198"/>
  <c r="D363" i="198"/>
  <c r="C363" i="198"/>
  <c r="B363" i="198"/>
  <c r="DH361" i="198"/>
  <c r="DG361" i="198"/>
  <c r="DF361" i="198"/>
  <c r="DE361" i="198"/>
  <c r="DD361" i="198"/>
  <c r="DC361" i="198"/>
  <c r="M361" i="198"/>
  <c r="L361" i="198"/>
  <c r="K361" i="198"/>
  <c r="J361" i="198"/>
  <c r="I361" i="198"/>
  <c r="H361" i="198"/>
  <c r="G361" i="198"/>
  <c r="F361" i="198"/>
  <c r="E361" i="198"/>
  <c r="D361" i="198"/>
  <c r="C361" i="198"/>
  <c r="B361" i="198"/>
  <c r="A361" i="198"/>
  <c r="DH359" i="198"/>
  <c r="DG359" i="198"/>
  <c r="DF359" i="198"/>
  <c r="DE359" i="198"/>
  <c r="DD359" i="198"/>
  <c r="DC359" i="198"/>
  <c r="DH358" i="198"/>
  <c r="DG358" i="198"/>
  <c r="DF358" i="198"/>
  <c r="DE358" i="198"/>
  <c r="DD358" i="198"/>
  <c r="DC358" i="198"/>
  <c r="DH357" i="198"/>
  <c r="DG357" i="198"/>
  <c r="DF357" i="198"/>
  <c r="DE357" i="198"/>
  <c r="DD357" i="198"/>
  <c r="DC357" i="198"/>
  <c r="DH356" i="198"/>
  <c r="DG356" i="198"/>
  <c r="DF356" i="198"/>
  <c r="DE356" i="198"/>
  <c r="DD356" i="198"/>
  <c r="DC356" i="198"/>
  <c r="DH355" i="198"/>
  <c r="DG355" i="198"/>
  <c r="DF355" i="198"/>
  <c r="DE355" i="198"/>
  <c r="DD355" i="198"/>
  <c r="DC355" i="198"/>
  <c r="M359" i="198"/>
  <c r="L359" i="198"/>
  <c r="K359" i="198"/>
  <c r="J359" i="198"/>
  <c r="I359" i="198"/>
  <c r="H359" i="198"/>
  <c r="G359" i="198"/>
  <c r="F359" i="198"/>
  <c r="E359" i="198"/>
  <c r="D359" i="198"/>
  <c r="C359" i="198"/>
  <c r="B359" i="198"/>
  <c r="A359" i="198"/>
  <c r="M358" i="198"/>
  <c r="L358" i="198"/>
  <c r="K358" i="198"/>
  <c r="J358" i="198"/>
  <c r="I358" i="198"/>
  <c r="H358" i="198"/>
  <c r="G358" i="198"/>
  <c r="F358" i="198"/>
  <c r="E358" i="198"/>
  <c r="D358" i="198"/>
  <c r="C358" i="198"/>
  <c r="B358" i="198"/>
  <c r="A358" i="198"/>
  <c r="M357" i="198"/>
  <c r="L357" i="198"/>
  <c r="K357" i="198"/>
  <c r="J357" i="198"/>
  <c r="I357" i="198"/>
  <c r="H357" i="198"/>
  <c r="G357" i="198"/>
  <c r="F357" i="198"/>
  <c r="E357" i="198"/>
  <c r="D357" i="198"/>
  <c r="C357" i="198"/>
  <c r="B357" i="198"/>
  <c r="A357" i="198"/>
  <c r="M356" i="198"/>
  <c r="L356" i="198"/>
  <c r="K356" i="198"/>
  <c r="J356" i="198"/>
  <c r="I356" i="198"/>
  <c r="H356" i="198"/>
  <c r="G356" i="198"/>
  <c r="F356" i="198"/>
  <c r="E356" i="198"/>
  <c r="D356" i="198"/>
  <c r="C356" i="198"/>
  <c r="B356" i="198"/>
  <c r="A356" i="198"/>
  <c r="M355" i="198"/>
  <c r="L355" i="198"/>
  <c r="K355" i="198"/>
  <c r="J355" i="198"/>
  <c r="I355" i="198"/>
  <c r="H355" i="198"/>
  <c r="G355" i="198"/>
  <c r="F355" i="198"/>
  <c r="E355" i="198"/>
  <c r="D355" i="198"/>
  <c r="C355" i="198"/>
  <c r="B355" i="198"/>
  <c r="A355" i="198"/>
  <c r="A350" i="198"/>
  <c r="DC343" i="198"/>
  <c r="DC342" i="198"/>
  <c r="DC341" i="198"/>
  <c r="DC340" i="198"/>
  <c r="DC339" i="198"/>
  <c r="DC338" i="198"/>
  <c r="DC337" i="198"/>
  <c r="DC336" i="198"/>
  <c r="DC335" i="198"/>
  <c r="DC334" i="198"/>
  <c r="EB343" i="198"/>
  <c r="EA343" i="198"/>
  <c r="DZ343" i="198"/>
  <c r="DY343" i="198"/>
  <c r="DX343" i="198"/>
  <c r="DW343" i="198"/>
  <c r="DV343" i="198"/>
  <c r="DU343" i="198"/>
  <c r="DT343" i="198"/>
  <c r="DS343" i="198"/>
  <c r="DR343" i="198"/>
  <c r="DQ343" i="198"/>
  <c r="DP343" i="198"/>
  <c r="DO343" i="198"/>
  <c r="DN343" i="198"/>
  <c r="DM343" i="198"/>
  <c r="DL343" i="198"/>
  <c r="DK343" i="198"/>
  <c r="DJ343" i="198"/>
  <c r="DI343" i="198"/>
  <c r="DH343" i="198"/>
  <c r="DG343" i="198"/>
  <c r="DF343" i="198"/>
  <c r="DE343" i="198"/>
  <c r="EB342" i="198"/>
  <c r="EA342" i="198"/>
  <c r="DZ342" i="198"/>
  <c r="DY342" i="198"/>
  <c r="DX342" i="198"/>
  <c r="DW342" i="198"/>
  <c r="DV342" i="198"/>
  <c r="DU342" i="198"/>
  <c r="DT342" i="198"/>
  <c r="DS342" i="198"/>
  <c r="DR342" i="198"/>
  <c r="DQ342" i="198"/>
  <c r="DP342" i="198"/>
  <c r="DO342" i="198"/>
  <c r="DN342" i="198"/>
  <c r="DM342" i="198"/>
  <c r="DL342" i="198"/>
  <c r="DK342" i="198"/>
  <c r="DJ342" i="198"/>
  <c r="DI342" i="198"/>
  <c r="DH342" i="198"/>
  <c r="DG342" i="198"/>
  <c r="DF342" i="198"/>
  <c r="DE342" i="198"/>
  <c r="EM341" i="198"/>
  <c r="EL341" i="198"/>
  <c r="EK341" i="198"/>
  <c r="EJ341" i="198"/>
  <c r="EI341" i="198"/>
  <c r="EH341" i="198"/>
  <c r="EG341" i="198"/>
  <c r="EF341" i="198"/>
  <c r="EE341" i="198"/>
  <c r="ED341" i="198"/>
  <c r="EC341" i="198"/>
  <c r="EB341" i="198"/>
  <c r="EA341" i="198"/>
  <c r="DZ341" i="198"/>
  <c r="DY341" i="198"/>
  <c r="DX341" i="198"/>
  <c r="DW341" i="198"/>
  <c r="DV341" i="198"/>
  <c r="DU341" i="198"/>
  <c r="DT341" i="198"/>
  <c r="DS341" i="198"/>
  <c r="DR341" i="198"/>
  <c r="DQ341" i="198"/>
  <c r="DP341" i="198"/>
  <c r="DO341" i="198"/>
  <c r="DN341" i="198"/>
  <c r="DM341" i="198"/>
  <c r="DL341" i="198"/>
  <c r="DK341" i="198"/>
  <c r="DJ341" i="198"/>
  <c r="DI341" i="198"/>
  <c r="DH341" i="198"/>
  <c r="DG341" i="198"/>
  <c r="DF341" i="198"/>
  <c r="DE341" i="198"/>
  <c r="EB340" i="198"/>
  <c r="EA340" i="198"/>
  <c r="DZ340" i="198"/>
  <c r="DY340" i="198"/>
  <c r="DX340" i="198"/>
  <c r="DW340" i="198"/>
  <c r="DV340" i="198"/>
  <c r="DU340" i="198"/>
  <c r="DT340" i="198"/>
  <c r="DS340" i="198"/>
  <c r="DR340" i="198"/>
  <c r="DQ340" i="198"/>
  <c r="DP340" i="198"/>
  <c r="DO340" i="198"/>
  <c r="DN340" i="198"/>
  <c r="DM340" i="198"/>
  <c r="DL340" i="198"/>
  <c r="DK340" i="198"/>
  <c r="DJ340" i="198"/>
  <c r="DI340" i="198"/>
  <c r="DH340" i="198"/>
  <c r="DG340" i="198"/>
  <c r="DF340" i="198"/>
  <c r="DE340" i="198"/>
  <c r="EM339" i="198"/>
  <c r="EL339" i="198"/>
  <c r="EK339" i="198"/>
  <c r="EJ339" i="198"/>
  <c r="EI339" i="198"/>
  <c r="EH339" i="198"/>
  <c r="EG339" i="198"/>
  <c r="EF339" i="198"/>
  <c r="EE339" i="198"/>
  <c r="ED339" i="198"/>
  <c r="EC339" i="198"/>
  <c r="EB339" i="198"/>
  <c r="EA339" i="198"/>
  <c r="DZ339" i="198"/>
  <c r="DY339" i="198"/>
  <c r="DX339" i="198"/>
  <c r="DW339" i="198"/>
  <c r="DV339" i="198"/>
  <c r="DU339" i="198"/>
  <c r="DT339" i="198"/>
  <c r="DS339" i="198"/>
  <c r="DR339" i="198"/>
  <c r="DQ339" i="198"/>
  <c r="DP339" i="198"/>
  <c r="DO339" i="198"/>
  <c r="DN339" i="198"/>
  <c r="DM339" i="198"/>
  <c r="DL339" i="198"/>
  <c r="DK339" i="198"/>
  <c r="DJ339" i="198"/>
  <c r="DI339" i="198"/>
  <c r="DH339" i="198"/>
  <c r="DG339" i="198"/>
  <c r="DF339" i="198"/>
  <c r="DE339" i="198"/>
  <c r="EM338" i="198"/>
  <c r="EL338" i="198"/>
  <c r="EK338" i="198"/>
  <c r="EJ338" i="198"/>
  <c r="EI338" i="198"/>
  <c r="EH338" i="198"/>
  <c r="EG338" i="198"/>
  <c r="EF338" i="198"/>
  <c r="EE338" i="198"/>
  <c r="ED338" i="198"/>
  <c r="EC338" i="198"/>
  <c r="EB338" i="198"/>
  <c r="EA338" i="198"/>
  <c r="DZ338" i="198"/>
  <c r="DY338" i="198"/>
  <c r="DX338" i="198"/>
  <c r="DW338" i="198"/>
  <c r="DV338" i="198"/>
  <c r="DU338" i="198"/>
  <c r="DT338" i="198"/>
  <c r="DS338" i="198"/>
  <c r="DR338" i="198"/>
  <c r="DQ338" i="198"/>
  <c r="DP338" i="198"/>
  <c r="DO338" i="198"/>
  <c r="DN338" i="198"/>
  <c r="DM338" i="198"/>
  <c r="DL338" i="198"/>
  <c r="DK338" i="198"/>
  <c r="DJ338" i="198"/>
  <c r="DI338" i="198"/>
  <c r="DH338" i="198"/>
  <c r="DG338" i="198"/>
  <c r="DF338" i="198"/>
  <c r="DE338" i="198"/>
  <c r="EB337" i="198"/>
  <c r="EA337" i="198"/>
  <c r="DZ337" i="198"/>
  <c r="DY337" i="198"/>
  <c r="DX337" i="198"/>
  <c r="DW337" i="198"/>
  <c r="DV337" i="198"/>
  <c r="DU337" i="198"/>
  <c r="DT337" i="198"/>
  <c r="DS337" i="198"/>
  <c r="DR337" i="198"/>
  <c r="DQ337" i="198"/>
  <c r="DP337" i="198"/>
  <c r="DO337" i="198"/>
  <c r="DN337" i="198"/>
  <c r="DM337" i="198"/>
  <c r="DL337" i="198"/>
  <c r="DK337" i="198"/>
  <c r="DJ337" i="198"/>
  <c r="DI337" i="198"/>
  <c r="DH337" i="198"/>
  <c r="DG337" i="198"/>
  <c r="DF337" i="198"/>
  <c r="DE337" i="198"/>
  <c r="EB336" i="198"/>
  <c r="EA336" i="198"/>
  <c r="DZ336" i="198"/>
  <c r="DY336" i="198"/>
  <c r="DX336" i="198"/>
  <c r="DW336" i="198"/>
  <c r="DV336" i="198"/>
  <c r="DU336" i="198"/>
  <c r="DT336" i="198"/>
  <c r="DS336" i="198"/>
  <c r="DR336" i="198"/>
  <c r="DQ336" i="198"/>
  <c r="DP336" i="198"/>
  <c r="DO336" i="198"/>
  <c r="DN336" i="198"/>
  <c r="DM336" i="198"/>
  <c r="DL336" i="198"/>
  <c r="DK336" i="198"/>
  <c r="DJ336" i="198"/>
  <c r="DI336" i="198"/>
  <c r="DH336" i="198"/>
  <c r="DG336" i="198"/>
  <c r="DF336" i="198"/>
  <c r="DE336" i="198"/>
  <c r="EM335" i="198"/>
  <c r="EL335" i="198"/>
  <c r="EK335" i="198"/>
  <c r="EJ335" i="198"/>
  <c r="EI335" i="198"/>
  <c r="EH335" i="198"/>
  <c r="EG335" i="198"/>
  <c r="EF335" i="198"/>
  <c r="EE335" i="198"/>
  <c r="ED335" i="198"/>
  <c r="EC335" i="198"/>
  <c r="EB335" i="198"/>
  <c r="EA335" i="198"/>
  <c r="DZ335" i="198"/>
  <c r="DY335" i="198"/>
  <c r="DX335" i="198"/>
  <c r="DW335" i="198"/>
  <c r="DV335" i="198"/>
  <c r="DU335" i="198"/>
  <c r="DT335" i="198"/>
  <c r="DS335" i="198"/>
  <c r="DR335" i="198"/>
  <c r="DQ335" i="198"/>
  <c r="DP335" i="198"/>
  <c r="DO335" i="198"/>
  <c r="DN335" i="198"/>
  <c r="DM335" i="198"/>
  <c r="DL335" i="198"/>
  <c r="DK335" i="198"/>
  <c r="DJ335" i="198"/>
  <c r="DI335" i="198"/>
  <c r="DH335" i="198"/>
  <c r="DG335" i="198"/>
  <c r="DF335" i="198"/>
  <c r="DE335" i="198"/>
  <c r="ED334" i="198"/>
  <c r="EC334" i="198"/>
  <c r="EB334" i="198"/>
  <c r="EA334" i="198"/>
  <c r="DZ334" i="198"/>
  <c r="DY334" i="198"/>
  <c r="DX334" i="198"/>
  <c r="DW334" i="198"/>
  <c r="DV334" i="198"/>
  <c r="DU334" i="198"/>
  <c r="DT334" i="198"/>
  <c r="DS334" i="198"/>
  <c r="DR334" i="198"/>
  <c r="DQ334" i="198"/>
  <c r="DP334" i="198"/>
  <c r="DO334" i="198"/>
  <c r="DN334" i="198"/>
  <c r="DM334" i="198"/>
  <c r="DL334" i="198"/>
  <c r="DK334" i="198"/>
  <c r="DJ334" i="198"/>
  <c r="DI334" i="198"/>
  <c r="DH334" i="198"/>
  <c r="DG334" i="198"/>
  <c r="DF334" i="198"/>
  <c r="DE334" i="198"/>
  <c r="CU343" i="198"/>
  <c r="CT343" i="198"/>
  <c r="CS343" i="198"/>
  <c r="CR343" i="198"/>
  <c r="CQ343" i="198"/>
  <c r="CP343" i="198"/>
  <c r="CO343" i="198"/>
  <c r="CN343" i="198"/>
  <c r="CM343" i="198"/>
  <c r="CL343" i="198"/>
  <c r="CK343" i="198"/>
  <c r="CJ343" i="198"/>
  <c r="CI343" i="198"/>
  <c r="CH343" i="198"/>
  <c r="CG343" i="198"/>
  <c r="CF343" i="198"/>
  <c r="CE343" i="198"/>
  <c r="CD343" i="198"/>
  <c r="CC343" i="198"/>
  <c r="CB343" i="198"/>
  <c r="CA343" i="198"/>
  <c r="BZ343" i="198"/>
  <c r="BY343" i="198"/>
  <c r="BX343" i="198"/>
  <c r="BW343" i="198"/>
  <c r="BV343" i="198"/>
  <c r="BU343" i="198"/>
  <c r="BT343" i="198"/>
  <c r="BS343" i="198"/>
  <c r="BR343" i="198"/>
  <c r="BQ343" i="198"/>
  <c r="BP343" i="198"/>
  <c r="BO343" i="198"/>
  <c r="BN343" i="198"/>
  <c r="BM343" i="198"/>
  <c r="BL343" i="198"/>
  <c r="BK343" i="198"/>
  <c r="BJ343" i="198"/>
  <c r="BI343" i="198"/>
  <c r="BH343" i="198"/>
  <c r="BG343" i="198"/>
  <c r="BF343" i="198"/>
  <c r="BE343" i="198"/>
  <c r="BD343" i="198"/>
  <c r="BC343" i="198"/>
  <c r="BB343" i="198"/>
  <c r="BA343" i="198"/>
  <c r="AZ343" i="198"/>
  <c r="AY343" i="198"/>
  <c r="AX343" i="198"/>
  <c r="AW343" i="198"/>
  <c r="AV343" i="198"/>
  <c r="AU343" i="198"/>
  <c r="AT343" i="198"/>
  <c r="AS343" i="198"/>
  <c r="AR343" i="198"/>
  <c r="AQ343" i="198"/>
  <c r="AP343" i="198"/>
  <c r="AO343" i="198"/>
  <c r="AN343" i="198"/>
  <c r="AM343" i="198"/>
  <c r="AL343" i="198"/>
  <c r="AK343" i="198"/>
  <c r="AJ343" i="198"/>
  <c r="AI343" i="198"/>
  <c r="AH343" i="198"/>
  <c r="AG343" i="198"/>
  <c r="AF343" i="198"/>
  <c r="AE343" i="198"/>
  <c r="AD343" i="198"/>
  <c r="AC343" i="198"/>
  <c r="AB343" i="198"/>
  <c r="AA343" i="198"/>
  <c r="Z343" i="198"/>
  <c r="Y343" i="198"/>
  <c r="X343" i="198"/>
  <c r="W343" i="198"/>
  <c r="V343" i="198"/>
  <c r="U343" i="198"/>
  <c r="T343" i="198"/>
  <c r="S343" i="198"/>
  <c r="R343" i="198"/>
  <c r="Q343" i="198"/>
  <c r="P343" i="198"/>
  <c r="O343" i="198"/>
  <c r="N343" i="198"/>
  <c r="M343" i="198"/>
  <c r="L343" i="198"/>
  <c r="K343" i="198"/>
  <c r="J343" i="198"/>
  <c r="I343" i="198"/>
  <c r="H343" i="198"/>
  <c r="G343" i="198"/>
  <c r="F343" i="198"/>
  <c r="E343" i="198"/>
  <c r="D343" i="198"/>
  <c r="C343" i="198"/>
  <c r="B343" i="198"/>
  <c r="A343" i="198"/>
  <c r="CS342" i="198"/>
  <c r="CR342" i="198"/>
  <c r="CQ342" i="198"/>
  <c r="CP342" i="198"/>
  <c r="CO342" i="198"/>
  <c r="CN342" i="198"/>
  <c r="CM342" i="198"/>
  <c r="CL342" i="198"/>
  <c r="CK342" i="198"/>
  <c r="CJ342" i="198"/>
  <c r="CI342" i="198"/>
  <c r="CH342" i="198"/>
  <c r="CG342" i="198"/>
  <c r="CF342" i="198"/>
  <c r="CE342" i="198"/>
  <c r="CD342" i="198"/>
  <c r="CC342" i="198"/>
  <c r="CB342" i="198"/>
  <c r="CA342" i="198"/>
  <c r="BZ342" i="198"/>
  <c r="BY342" i="198"/>
  <c r="BX342" i="198"/>
  <c r="BW342" i="198"/>
  <c r="BV342" i="198"/>
  <c r="BU342" i="198"/>
  <c r="BT342" i="198"/>
  <c r="BS342" i="198"/>
  <c r="BR342" i="198"/>
  <c r="BQ342" i="198"/>
  <c r="BP342" i="198"/>
  <c r="BO342" i="198"/>
  <c r="BN342" i="198"/>
  <c r="BM342" i="198"/>
  <c r="BL342" i="198"/>
  <c r="BK342" i="198"/>
  <c r="BJ342" i="198"/>
  <c r="BI342" i="198"/>
  <c r="BH342" i="198"/>
  <c r="BG342" i="198"/>
  <c r="BF342" i="198"/>
  <c r="BE342" i="198"/>
  <c r="BD342" i="198"/>
  <c r="BC342" i="198"/>
  <c r="BB342" i="198"/>
  <c r="BA342" i="198"/>
  <c r="AZ342" i="198"/>
  <c r="AY342" i="198"/>
  <c r="AX342" i="198"/>
  <c r="AW342" i="198"/>
  <c r="AV342" i="198"/>
  <c r="AU342" i="198"/>
  <c r="AT342" i="198"/>
  <c r="AS342" i="198"/>
  <c r="AR342" i="198"/>
  <c r="AQ342" i="198"/>
  <c r="AP342" i="198"/>
  <c r="AO342" i="198"/>
  <c r="AN342" i="198"/>
  <c r="AM342" i="198"/>
  <c r="AL342" i="198"/>
  <c r="AK342" i="198"/>
  <c r="AJ342" i="198"/>
  <c r="AI342" i="198"/>
  <c r="AH342" i="198"/>
  <c r="AG342" i="198"/>
  <c r="AF342" i="198"/>
  <c r="AE342" i="198"/>
  <c r="AD342" i="198"/>
  <c r="AC342" i="198"/>
  <c r="AB342" i="198"/>
  <c r="AA342" i="198"/>
  <c r="Z342" i="198"/>
  <c r="Y342" i="198"/>
  <c r="X342" i="198"/>
  <c r="W342" i="198"/>
  <c r="V342" i="198"/>
  <c r="U342" i="198"/>
  <c r="T342" i="198"/>
  <c r="S342" i="198"/>
  <c r="R342" i="198"/>
  <c r="Q342" i="198"/>
  <c r="P342" i="198"/>
  <c r="O342" i="198"/>
  <c r="N342" i="198"/>
  <c r="M342" i="198"/>
  <c r="L342" i="198"/>
  <c r="K342" i="198"/>
  <c r="J342" i="198"/>
  <c r="I342" i="198"/>
  <c r="H342" i="198"/>
  <c r="G342" i="198"/>
  <c r="F342" i="198"/>
  <c r="E342" i="198"/>
  <c r="D342" i="198"/>
  <c r="C342" i="198"/>
  <c r="B342" i="198"/>
  <c r="A342" i="198"/>
  <c r="DA341" i="198"/>
  <c r="CZ341" i="198"/>
  <c r="CY341" i="198"/>
  <c r="CX341" i="198"/>
  <c r="CW341" i="198"/>
  <c r="CV341" i="198"/>
  <c r="CU341" i="198"/>
  <c r="CT341" i="198"/>
  <c r="CS341" i="198"/>
  <c r="CR341" i="198"/>
  <c r="CQ341" i="198"/>
  <c r="CP341" i="198"/>
  <c r="CO341" i="198"/>
  <c r="CN341" i="198"/>
  <c r="CM341" i="198"/>
  <c r="CL341" i="198"/>
  <c r="CK341" i="198"/>
  <c r="CJ341" i="198"/>
  <c r="CI341" i="198"/>
  <c r="CH341" i="198"/>
  <c r="CG341" i="198"/>
  <c r="CF341" i="198"/>
  <c r="CE341" i="198"/>
  <c r="CD341" i="198"/>
  <c r="CC341" i="198"/>
  <c r="CB341" i="198"/>
  <c r="CA341" i="198"/>
  <c r="BZ341" i="198"/>
  <c r="BY341" i="198"/>
  <c r="BX341" i="198"/>
  <c r="BW341" i="198"/>
  <c r="BV341" i="198"/>
  <c r="BU341" i="198"/>
  <c r="BT341" i="198"/>
  <c r="BS341" i="198"/>
  <c r="BR341" i="198"/>
  <c r="BQ341" i="198"/>
  <c r="BP341" i="198"/>
  <c r="BO341" i="198"/>
  <c r="BN341" i="198"/>
  <c r="BM341" i="198"/>
  <c r="BL341" i="198"/>
  <c r="BK341" i="198"/>
  <c r="BJ341" i="198"/>
  <c r="BI341" i="198"/>
  <c r="BH341" i="198"/>
  <c r="BG341" i="198"/>
  <c r="BF341" i="198"/>
  <c r="BE341" i="198"/>
  <c r="BD341" i="198"/>
  <c r="BC341" i="198"/>
  <c r="BB341" i="198"/>
  <c r="BA341" i="198"/>
  <c r="AZ341" i="198"/>
  <c r="AY341" i="198"/>
  <c r="AX341" i="198"/>
  <c r="AW341" i="198"/>
  <c r="AV341" i="198"/>
  <c r="AU341" i="198"/>
  <c r="AT341" i="198"/>
  <c r="AS341" i="198"/>
  <c r="AR341" i="198"/>
  <c r="AQ341" i="198"/>
  <c r="AP341" i="198"/>
  <c r="AO341" i="198"/>
  <c r="AN341" i="198"/>
  <c r="AM341" i="198"/>
  <c r="AL341" i="198"/>
  <c r="AK341" i="198"/>
  <c r="AJ341" i="198"/>
  <c r="AI341" i="198"/>
  <c r="AH341" i="198"/>
  <c r="AG341" i="198"/>
  <c r="AF341" i="198"/>
  <c r="AE341" i="198"/>
  <c r="AD341" i="198"/>
  <c r="AC341" i="198"/>
  <c r="AB341" i="198"/>
  <c r="AA341" i="198"/>
  <c r="Z341" i="198"/>
  <c r="Y341" i="198"/>
  <c r="X341" i="198"/>
  <c r="W341" i="198"/>
  <c r="V341" i="198"/>
  <c r="U341" i="198"/>
  <c r="T341" i="198"/>
  <c r="S341" i="198"/>
  <c r="R341" i="198"/>
  <c r="Q341" i="198"/>
  <c r="P341" i="198"/>
  <c r="O341" i="198"/>
  <c r="N341" i="198"/>
  <c r="M341" i="198"/>
  <c r="L341" i="198"/>
  <c r="K341" i="198"/>
  <c r="J341" i="198"/>
  <c r="I341" i="198"/>
  <c r="H341" i="198"/>
  <c r="G341" i="198"/>
  <c r="F341" i="198"/>
  <c r="E341" i="198"/>
  <c r="D341" i="198"/>
  <c r="C341" i="198"/>
  <c r="B341" i="198"/>
  <c r="A341" i="198"/>
  <c r="CS340" i="198"/>
  <c r="CR340" i="198"/>
  <c r="CQ340" i="198"/>
  <c r="CP340" i="198"/>
  <c r="CO340" i="198"/>
  <c r="CN340" i="198"/>
  <c r="CM340" i="198"/>
  <c r="CL340" i="198"/>
  <c r="CK340" i="198"/>
  <c r="CJ340" i="198"/>
  <c r="CI340" i="198"/>
  <c r="CH340" i="198"/>
  <c r="CG340" i="198"/>
  <c r="CF340" i="198"/>
  <c r="CE340" i="198"/>
  <c r="CD340" i="198"/>
  <c r="CC340" i="198"/>
  <c r="CB340" i="198"/>
  <c r="CA340" i="198"/>
  <c r="BZ340" i="198"/>
  <c r="BY340" i="198"/>
  <c r="BX340" i="198"/>
  <c r="BW340" i="198"/>
  <c r="BV340" i="198"/>
  <c r="BU340" i="198"/>
  <c r="BT340" i="198"/>
  <c r="BS340" i="198"/>
  <c r="BR340" i="198"/>
  <c r="BQ340" i="198"/>
  <c r="BP340" i="198"/>
  <c r="BO340" i="198"/>
  <c r="BN340" i="198"/>
  <c r="BM340" i="198"/>
  <c r="BL340" i="198"/>
  <c r="BK340" i="198"/>
  <c r="BJ340" i="198"/>
  <c r="BI340" i="198"/>
  <c r="BH340" i="198"/>
  <c r="BG340" i="198"/>
  <c r="BF340" i="198"/>
  <c r="BE340" i="198"/>
  <c r="BD340" i="198"/>
  <c r="BC340" i="198"/>
  <c r="BB340" i="198"/>
  <c r="BA340" i="198"/>
  <c r="AZ340" i="198"/>
  <c r="AY340" i="198"/>
  <c r="AX340" i="198"/>
  <c r="AW340" i="198"/>
  <c r="AV340" i="198"/>
  <c r="AU340" i="198"/>
  <c r="AT340" i="198"/>
  <c r="AS340" i="198"/>
  <c r="AR340" i="198"/>
  <c r="AQ340" i="198"/>
  <c r="AP340" i="198"/>
  <c r="AO340" i="198"/>
  <c r="AN340" i="198"/>
  <c r="AM340" i="198"/>
  <c r="AL340" i="198"/>
  <c r="AK340" i="198"/>
  <c r="AJ340" i="198"/>
  <c r="AI340" i="198"/>
  <c r="AH340" i="198"/>
  <c r="AG340" i="198"/>
  <c r="AF340" i="198"/>
  <c r="AE340" i="198"/>
  <c r="AD340" i="198"/>
  <c r="AC340" i="198"/>
  <c r="AB340" i="198"/>
  <c r="AA340" i="198"/>
  <c r="Z340" i="198"/>
  <c r="Y340" i="198"/>
  <c r="X340" i="198"/>
  <c r="W340" i="198"/>
  <c r="V340" i="198"/>
  <c r="U340" i="198"/>
  <c r="T340" i="198"/>
  <c r="S340" i="198"/>
  <c r="R340" i="198"/>
  <c r="Q340" i="198"/>
  <c r="P340" i="198"/>
  <c r="O340" i="198"/>
  <c r="N340" i="198"/>
  <c r="M340" i="198"/>
  <c r="L340" i="198"/>
  <c r="K340" i="198"/>
  <c r="J340" i="198"/>
  <c r="I340" i="198"/>
  <c r="H340" i="198"/>
  <c r="G340" i="198"/>
  <c r="F340" i="198"/>
  <c r="E340" i="198"/>
  <c r="D340" i="198"/>
  <c r="C340" i="198"/>
  <c r="B340" i="198"/>
  <c r="A340" i="198"/>
  <c r="DA339" i="198"/>
  <c r="CZ339" i="198"/>
  <c r="CY339" i="198"/>
  <c r="CX339" i="198"/>
  <c r="CW339" i="198"/>
  <c r="CV339" i="198"/>
  <c r="CU339" i="198"/>
  <c r="CT339" i="198"/>
  <c r="CS339" i="198"/>
  <c r="CR339" i="198"/>
  <c r="CQ339" i="198"/>
  <c r="CP339" i="198"/>
  <c r="CO339" i="198"/>
  <c r="CN339" i="198"/>
  <c r="CM339" i="198"/>
  <c r="CL339" i="198"/>
  <c r="CK339" i="198"/>
  <c r="CJ339" i="198"/>
  <c r="CI339" i="198"/>
  <c r="CH339" i="198"/>
  <c r="CG339" i="198"/>
  <c r="CF339" i="198"/>
  <c r="CE339" i="198"/>
  <c r="CD339" i="198"/>
  <c r="CC339" i="198"/>
  <c r="CB339" i="198"/>
  <c r="CA339" i="198"/>
  <c r="BZ339" i="198"/>
  <c r="BY339" i="198"/>
  <c r="BX339" i="198"/>
  <c r="BW339" i="198"/>
  <c r="BV339" i="198"/>
  <c r="BU339" i="198"/>
  <c r="BT339" i="198"/>
  <c r="BS339" i="198"/>
  <c r="BR339" i="198"/>
  <c r="BQ339" i="198"/>
  <c r="BP339" i="198"/>
  <c r="BO339" i="198"/>
  <c r="BN339" i="198"/>
  <c r="BM339" i="198"/>
  <c r="BL339" i="198"/>
  <c r="BK339" i="198"/>
  <c r="BJ339" i="198"/>
  <c r="BI339" i="198"/>
  <c r="BH339" i="198"/>
  <c r="BG339" i="198"/>
  <c r="BF339" i="198"/>
  <c r="BE339" i="198"/>
  <c r="BD339" i="198"/>
  <c r="BC339" i="198"/>
  <c r="BB339" i="198"/>
  <c r="BA339" i="198"/>
  <c r="AZ339" i="198"/>
  <c r="AY339" i="198"/>
  <c r="AX339" i="198"/>
  <c r="AW339" i="198"/>
  <c r="AV339" i="198"/>
  <c r="AU339" i="198"/>
  <c r="AT339" i="198"/>
  <c r="AS339" i="198"/>
  <c r="AR339" i="198"/>
  <c r="AQ339" i="198"/>
  <c r="AP339" i="198"/>
  <c r="AO339" i="198"/>
  <c r="AN339" i="198"/>
  <c r="AM339" i="198"/>
  <c r="AL339" i="198"/>
  <c r="AK339" i="198"/>
  <c r="AJ339" i="198"/>
  <c r="AI339" i="198"/>
  <c r="AH339" i="198"/>
  <c r="AG339" i="198"/>
  <c r="AF339" i="198"/>
  <c r="AE339" i="198"/>
  <c r="AD339" i="198"/>
  <c r="AC339" i="198"/>
  <c r="AB339" i="198"/>
  <c r="AA339" i="198"/>
  <c r="Z339" i="198"/>
  <c r="Y339" i="198"/>
  <c r="X339" i="198"/>
  <c r="W339" i="198"/>
  <c r="V339" i="198"/>
  <c r="U339" i="198"/>
  <c r="T339" i="198"/>
  <c r="S339" i="198"/>
  <c r="R339" i="198"/>
  <c r="Q339" i="198"/>
  <c r="P339" i="198"/>
  <c r="O339" i="198"/>
  <c r="N339" i="198"/>
  <c r="M339" i="198"/>
  <c r="L339" i="198"/>
  <c r="K339" i="198"/>
  <c r="J339" i="198"/>
  <c r="I339" i="198"/>
  <c r="H339" i="198"/>
  <c r="G339" i="198"/>
  <c r="F339" i="198"/>
  <c r="E339" i="198"/>
  <c r="D339" i="198"/>
  <c r="C339" i="198"/>
  <c r="B339" i="198"/>
  <c r="A339" i="198"/>
  <c r="DA338" i="198"/>
  <c r="CZ338" i="198"/>
  <c r="CY338" i="198"/>
  <c r="CX338" i="198"/>
  <c r="CW338" i="198"/>
  <c r="CV338" i="198"/>
  <c r="CU338" i="198"/>
  <c r="CT338" i="198"/>
  <c r="CS338" i="198"/>
  <c r="CR338" i="198"/>
  <c r="CQ338" i="198"/>
  <c r="CP338" i="198"/>
  <c r="CO338" i="198"/>
  <c r="CN338" i="198"/>
  <c r="CM338" i="198"/>
  <c r="CL338" i="198"/>
  <c r="CK338" i="198"/>
  <c r="CJ338" i="198"/>
  <c r="CI338" i="198"/>
  <c r="CH338" i="198"/>
  <c r="CG338" i="198"/>
  <c r="CF338" i="198"/>
  <c r="CE338" i="198"/>
  <c r="CD338" i="198"/>
  <c r="CC338" i="198"/>
  <c r="CB338" i="198"/>
  <c r="CA338" i="198"/>
  <c r="BZ338" i="198"/>
  <c r="BY338" i="198"/>
  <c r="BX338" i="198"/>
  <c r="BW338" i="198"/>
  <c r="BV338" i="198"/>
  <c r="BU338" i="198"/>
  <c r="BT338" i="198"/>
  <c r="BS338" i="198"/>
  <c r="BR338" i="198"/>
  <c r="BQ338" i="198"/>
  <c r="BP338" i="198"/>
  <c r="BO338" i="198"/>
  <c r="BN338" i="198"/>
  <c r="BM338" i="198"/>
  <c r="BL338" i="198"/>
  <c r="BK338" i="198"/>
  <c r="BJ338" i="198"/>
  <c r="BI338" i="198"/>
  <c r="BH338" i="198"/>
  <c r="BG338" i="198"/>
  <c r="BF338" i="198"/>
  <c r="BE338" i="198"/>
  <c r="BD338" i="198"/>
  <c r="BC338" i="198"/>
  <c r="BB338" i="198"/>
  <c r="BA338" i="198"/>
  <c r="AZ338" i="198"/>
  <c r="AY338" i="198"/>
  <c r="AX338" i="198"/>
  <c r="AW338" i="198"/>
  <c r="AV338" i="198"/>
  <c r="AU338" i="198"/>
  <c r="AT338" i="198"/>
  <c r="AS338" i="198"/>
  <c r="AR338" i="198"/>
  <c r="AQ338" i="198"/>
  <c r="AP338" i="198"/>
  <c r="AO338" i="198"/>
  <c r="AN338" i="198"/>
  <c r="AM338" i="198"/>
  <c r="AL338" i="198"/>
  <c r="AK338" i="198"/>
  <c r="AJ338" i="198"/>
  <c r="AI338" i="198"/>
  <c r="AH338" i="198"/>
  <c r="AG338" i="198"/>
  <c r="AF338" i="198"/>
  <c r="AE338" i="198"/>
  <c r="AD338" i="198"/>
  <c r="AC338" i="198"/>
  <c r="AB338" i="198"/>
  <c r="AA338" i="198"/>
  <c r="Z338" i="198"/>
  <c r="Y338" i="198"/>
  <c r="X338" i="198"/>
  <c r="W338" i="198"/>
  <c r="V338" i="198"/>
  <c r="U338" i="198"/>
  <c r="T338" i="198"/>
  <c r="S338" i="198"/>
  <c r="R338" i="198"/>
  <c r="Q338" i="198"/>
  <c r="P338" i="198"/>
  <c r="O338" i="198"/>
  <c r="N338" i="198"/>
  <c r="M338" i="198"/>
  <c r="L338" i="198"/>
  <c r="K338" i="198"/>
  <c r="J338" i="198"/>
  <c r="I338" i="198"/>
  <c r="H338" i="198"/>
  <c r="G338" i="198"/>
  <c r="F338" i="198"/>
  <c r="E338" i="198"/>
  <c r="D338" i="198"/>
  <c r="C338" i="198"/>
  <c r="B338" i="198"/>
  <c r="A338" i="198"/>
  <c r="CS337" i="198"/>
  <c r="CR337" i="198"/>
  <c r="CQ337" i="198"/>
  <c r="CP337" i="198"/>
  <c r="CO337" i="198"/>
  <c r="CN337" i="198"/>
  <c r="CM337" i="198"/>
  <c r="CL337" i="198"/>
  <c r="CK337" i="198"/>
  <c r="CJ337" i="198"/>
  <c r="CI337" i="198"/>
  <c r="CH337" i="198"/>
  <c r="CG337" i="198"/>
  <c r="CF337" i="198"/>
  <c r="CE337" i="198"/>
  <c r="CD337" i="198"/>
  <c r="CC337" i="198"/>
  <c r="CB337" i="198"/>
  <c r="CA337" i="198"/>
  <c r="BZ337" i="198"/>
  <c r="BY337" i="198"/>
  <c r="BX337" i="198"/>
  <c r="BW337" i="198"/>
  <c r="BV337" i="198"/>
  <c r="BU337" i="198"/>
  <c r="BT337" i="198"/>
  <c r="BS337" i="198"/>
  <c r="BR337" i="198"/>
  <c r="BQ337" i="198"/>
  <c r="BP337" i="198"/>
  <c r="BO337" i="198"/>
  <c r="BN337" i="198"/>
  <c r="BM337" i="198"/>
  <c r="BL337" i="198"/>
  <c r="BK337" i="198"/>
  <c r="BJ337" i="198"/>
  <c r="BI337" i="198"/>
  <c r="BH337" i="198"/>
  <c r="BG337" i="198"/>
  <c r="BF337" i="198"/>
  <c r="BE337" i="198"/>
  <c r="BD337" i="198"/>
  <c r="BC337" i="198"/>
  <c r="BB337" i="198"/>
  <c r="BA337" i="198"/>
  <c r="AZ337" i="198"/>
  <c r="AY337" i="198"/>
  <c r="AX337" i="198"/>
  <c r="AW337" i="198"/>
  <c r="AV337" i="198"/>
  <c r="AU337" i="198"/>
  <c r="AT337" i="198"/>
  <c r="AS337" i="198"/>
  <c r="AR337" i="198"/>
  <c r="AQ337" i="198"/>
  <c r="AP337" i="198"/>
  <c r="AO337" i="198"/>
  <c r="AN337" i="198"/>
  <c r="AM337" i="198"/>
  <c r="AL337" i="198"/>
  <c r="AK337" i="198"/>
  <c r="AJ337" i="198"/>
  <c r="AI337" i="198"/>
  <c r="AH337" i="198"/>
  <c r="AG337" i="198"/>
  <c r="AF337" i="198"/>
  <c r="AE337" i="198"/>
  <c r="AD337" i="198"/>
  <c r="AC337" i="198"/>
  <c r="AB337" i="198"/>
  <c r="AA337" i="198"/>
  <c r="Z337" i="198"/>
  <c r="Y337" i="198"/>
  <c r="X337" i="198"/>
  <c r="W337" i="198"/>
  <c r="V337" i="198"/>
  <c r="U337" i="198"/>
  <c r="T337" i="198"/>
  <c r="S337" i="198"/>
  <c r="R337" i="198"/>
  <c r="Q337" i="198"/>
  <c r="P337" i="198"/>
  <c r="O337" i="198"/>
  <c r="N337" i="198"/>
  <c r="M337" i="198"/>
  <c r="L337" i="198"/>
  <c r="K337" i="198"/>
  <c r="J337" i="198"/>
  <c r="I337" i="198"/>
  <c r="H337" i="198"/>
  <c r="G337" i="198"/>
  <c r="F337" i="198"/>
  <c r="E337" i="198"/>
  <c r="D337" i="198"/>
  <c r="C337" i="198"/>
  <c r="B337" i="198"/>
  <c r="A337" i="198"/>
  <c r="CU336" i="198"/>
  <c r="CT336" i="198"/>
  <c r="CS336" i="198"/>
  <c r="CR336" i="198"/>
  <c r="CQ336" i="198"/>
  <c r="CP336" i="198"/>
  <c r="CO336" i="198"/>
  <c r="CN336" i="198"/>
  <c r="CM336" i="198"/>
  <c r="CL336" i="198"/>
  <c r="CK336" i="198"/>
  <c r="CJ336" i="198"/>
  <c r="CI336" i="198"/>
  <c r="CH336" i="198"/>
  <c r="CG336" i="198"/>
  <c r="CF336" i="198"/>
  <c r="CE336" i="198"/>
  <c r="CD336" i="198"/>
  <c r="CC336" i="198"/>
  <c r="CB336" i="198"/>
  <c r="CA336" i="198"/>
  <c r="BZ336" i="198"/>
  <c r="BY336" i="198"/>
  <c r="BX336" i="198"/>
  <c r="BW336" i="198"/>
  <c r="BV336" i="198"/>
  <c r="BU336" i="198"/>
  <c r="BT336" i="198"/>
  <c r="BS336" i="198"/>
  <c r="BR336" i="198"/>
  <c r="BQ336" i="198"/>
  <c r="BP336" i="198"/>
  <c r="BO336" i="198"/>
  <c r="BN336" i="198"/>
  <c r="BM336" i="198"/>
  <c r="BL336" i="198"/>
  <c r="BK336" i="198"/>
  <c r="BJ336" i="198"/>
  <c r="BI336" i="198"/>
  <c r="BH336" i="198"/>
  <c r="BG336" i="198"/>
  <c r="BF336" i="198"/>
  <c r="BE336" i="198"/>
  <c r="BD336" i="198"/>
  <c r="BC336" i="198"/>
  <c r="BB336" i="198"/>
  <c r="BA336" i="198"/>
  <c r="AZ336" i="198"/>
  <c r="AY336" i="198"/>
  <c r="AX336" i="198"/>
  <c r="AW336" i="198"/>
  <c r="AV336" i="198"/>
  <c r="AU336" i="198"/>
  <c r="AT336" i="198"/>
  <c r="AS336" i="198"/>
  <c r="AR336" i="198"/>
  <c r="AQ336" i="198"/>
  <c r="AP336" i="198"/>
  <c r="AO336" i="198"/>
  <c r="AN336" i="198"/>
  <c r="AM336" i="198"/>
  <c r="AL336" i="198"/>
  <c r="AK336" i="198"/>
  <c r="AJ336" i="198"/>
  <c r="AI336" i="198"/>
  <c r="AH336" i="198"/>
  <c r="AG336" i="198"/>
  <c r="AF336" i="198"/>
  <c r="AE336" i="198"/>
  <c r="AD336" i="198"/>
  <c r="AC336" i="198"/>
  <c r="AB336" i="198"/>
  <c r="AA336" i="198"/>
  <c r="Z336" i="198"/>
  <c r="Y336" i="198"/>
  <c r="X336" i="198"/>
  <c r="W336" i="198"/>
  <c r="V336" i="198"/>
  <c r="U336" i="198"/>
  <c r="T336" i="198"/>
  <c r="S336" i="198"/>
  <c r="R336" i="198"/>
  <c r="Q336" i="198"/>
  <c r="P336" i="198"/>
  <c r="O336" i="198"/>
  <c r="N336" i="198"/>
  <c r="M336" i="198"/>
  <c r="L336" i="198"/>
  <c r="K336" i="198"/>
  <c r="J336" i="198"/>
  <c r="I336" i="198"/>
  <c r="H336" i="198"/>
  <c r="G336" i="198"/>
  <c r="F336" i="198"/>
  <c r="E336" i="198"/>
  <c r="D336" i="198"/>
  <c r="C336" i="198"/>
  <c r="B336" i="198"/>
  <c r="A336" i="198"/>
  <c r="DA335" i="198"/>
  <c r="CZ335" i="198"/>
  <c r="CY335" i="198"/>
  <c r="CX335" i="198"/>
  <c r="CW335" i="198"/>
  <c r="CV335" i="198"/>
  <c r="CU335" i="198"/>
  <c r="CT335" i="198"/>
  <c r="CS335" i="198"/>
  <c r="CR335" i="198"/>
  <c r="CQ335" i="198"/>
  <c r="CP335" i="198"/>
  <c r="CO335" i="198"/>
  <c r="CN335" i="198"/>
  <c r="CM335" i="198"/>
  <c r="CL335" i="198"/>
  <c r="CK335" i="198"/>
  <c r="CJ335" i="198"/>
  <c r="CI335" i="198"/>
  <c r="CH335" i="198"/>
  <c r="CG335" i="198"/>
  <c r="CF335" i="198"/>
  <c r="CE335" i="198"/>
  <c r="CD335" i="198"/>
  <c r="CC335" i="198"/>
  <c r="CB335" i="198"/>
  <c r="CA335" i="198"/>
  <c r="BZ335" i="198"/>
  <c r="BY335" i="198"/>
  <c r="BX335" i="198"/>
  <c r="BW335" i="198"/>
  <c r="BV335" i="198"/>
  <c r="BU335" i="198"/>
  <c r="BT335" i="198"/>
  <c r="BS335" i="198"/>
  <c r="BR335" i="198"/>
  <c r="BQ335" i="198"/>
  <c r="BP335" i="198"/>
  <c r="BO335" i="198"/>
  <c r="BN335" i="198"/>
  <c r="BM335" i="198"/>
  <c r="BL335" i="198"/>
  <c r="BK335" i="198"/>
  <c r="BJ335" i="198"/>
  <c r="BI335" i="198"/>
  <c r="BH335" i="198"/>
  <c r="BG335" i="198"/>
  <c r="BF335" i="198"/>
  <c r="BE335" i="198"/>
  <c r="BD335" i="198"/>
  <c r="BC335" i="198"/>
  <c r="BB335" i="198"/>
  <c r="BA335" i="198"/>
  <c r="AZ335" i="198"/>
  <c r="AY335" i="198"/>
  <c r="AX335" i="198"/>
  <c r="AW335" i="198"/>
  <c r="AV335" i="198"/>
  <c r="AU335" i="198"/>
  <c r="AT335" i="198"/>
  <c r="AS335" i="198"/>
  <c r="AR335" i="198"/>
  <c r="AQ335" i="198"/>
  <c r="AP335" i="198"/>
  <c r="AO335" i="198"/>
  <c r="AN335" i="198"/>
  <c r="AM335" i="198"/>
  <c r="AL335" i="198"/>
  <c r="AK335" i="198"/>
  <c r="AJ335" i="198"/>
  <c r="AI335" i="198"/>
  <c r="AH335" i="198"/>
  <c r="AG335" i="198"/>
  <c r="AF335" i="198"/>
  <c r="AE335" i="198"/>
  <c r="AD335" i="198"/>
  <c r="AC335" i="198"/>
  <c r="AB335" i="198"/>
  <c r="AA335" i="198"/>
  <c r="Z335" i="198"/>
  <c r="Y335" i="198"/>
  <c r="X335" i="198"/>
  <c r="W335" i="198"/>
  <c r="V335" i="198"/>
  <c r="U335" i="198"/>
  <c r="T335" i="198"/>
  <c r="S335" i="198"/>
  <c r="R335" i="198"/>
  <c r="Q335" i="198"/>
  <c r="P335" i="198"/>
  <c r="O335" i="198"/>
  <c r="N335" i="198"/>
  <c r="M335" i="198"/>
  <c r="L335" i="198"/>
  <c r="K335" i="198"/>
  <c r="J335" i="198"/>
  <c r="I335" i="198"/>
  <c r="H335" i="198"/>
  <c r="G335" i="198"/>
  <c r="F335" i="198"/>
  <c r="E335" i="198"/>
  <c r="D335" i="198"/>
  <c r="C335" i="198"/>
  <c r="B335" i="198"/>
  <c r="A335" i="198"/>
  <c r="CU334" i="198"/>
  <c r="CT334" i="198"/>
  <c r="CS334" i="198"/>
  <c r="CR334" i="198"/>
  <c r="CQ334" i="198"/>
  <c r="CP334" i="198"/>
  <c r="CO334" i="198"/>
  <c r="CN334" i="198"/>
  <c r="CM334" i="198"/>
  <c r="CL334" i="198"/>
  <c r="CK334" i="198"/>
  <c r="CJ334" i="198"/>
  <c r="CI334" i="198"/>
  <c r="CH334" i="198"/>
  <c r="CG334" i="198"/>
  <c r="CF334" i="198"/>
  <c r="CE334" i="198"/>
  <c r="CD334" i="198"/>
  <c r="CC334" i="198"/>
  <c r="CB334" i="198"/>
  <c r="CA334" i="198"/>
  <c r="BZ334" i="198"/>
  <c r="BY334" i="198"/>
  <c r="BX334" i="198"/>
  <c r="BW334" i="198"/>
  <c r="BV334" i="198"/>
  <c r="BU334" i="198"/>
  <c r="BT334" i="198"/>
  <c r="BS334" i="198"/>
  <c r="BR334" i="198"/>
  <c r="BQ334" i="198"/>
  <c r="BP334" i="198"/>
  <c r="BO334" i="198"/>
  <c r="BN334" i="198"/>
  <c r="BM334" i="198"/>
  <c r="BL334" i="198"/>
  <c r="BK334" i="198"/>
  <c r="BJ334" i="198"/>
  <c r="BI334" i="198"/>
  <c r="BH334" i="198"/>
  <c r="BG334" i="198"/>
  <c r="BF334" i="198"/>
  <c r="BE334" i="198"/>
  <c r="BD334" i="198"/>
  <c r="BC334" i="198"/>
  <c r="BB334" i="198"/>
  <c r="BA334" i="198"/>
  <c r="AZ334" i="198"/>
  <c r="AY334" i="198"/>
  <c r="AX334" i="198"/>
  <c r="AW334" i="198"/>
  <c r="AV334" i="198"/>
  <c r="AU334" i="198"/>
  <c r="AT334" i="198"/>
  <c r="AS334" i="198"/>
  <c r="AR334" i="198"/>
  <c r="AQ334" i="198"/>
  <c r="AP334" i="198"/>
  <c r="AO334" i="198"/>
  <c r="AN334" i="198"/>
  <c r="AM334" i="198"/>
  <c r="AL334" i="198"/>
  <c r="AK334" i="198"/>
  <c r="AJ334" i="198"/>
  <c r="AI334" i="198"/>
  <c r="AH334" i="198"/>
  <c r="AG334" i="198"/>
  <c r="AF334" i="198"/>
  <c r="AE334" i="198"/>
  <c r="AD334" i="198"/>
  <c r="AC334" i="198"/>
  <c r="AB334" i="198"/>
  <c r="AA334" i="198"/>
  <c r="Z334" i="198"/>
  <c r="Y334" i="198"/>
  <c r="X334" i="198"/>
  <c r="W334" i="198"/>
  <c r="V334" i="198"/>
  <c r="U334" i="198"/>
  <c r="T334" i="198"/>
  <c r="S334" i="198"/>
  <c r="R334" i="198"/>
  <c r="Q334" i="198"/>
  <c r="P334" i="198"/>
  <c r="O334" i="198"/>
  <c r="N334" i="198"/>
  <c r="M334" i="198"/>
  <c r="L334" i="198"/>
  <c r="K334" i="198"/>
  <c r="J334" i="198"/>
  <c r="I334" i="198"/>
  <c r="H334" i="198"/>
  <c r="G334" i="198"/>
  <c r="F334" i="198"/>
  <c r="E334" i="198"/>
  <c r="D334" i="198"/>
  <c r="C334" i="198"/>
  <c r="B334" i="198"/>
  <c r="A334" i="198"/>
  <c r="A333" i="198"/>
  <c r="DC331" i="198"/>
  <c r="DC330" i="198"/>
  <c r="DC329" i="198"/>
  <c r="DC328" i="198"/>
  <c r="DC327" i="198"/>
  <c r="DC326" i="198"/>
  <c r="DC325" i="198"/>
  <c r="DC324" i="198"/>
  <c r="DC323" i="198"/>
  <c r="EM331" i="198"/>
  <c r="EL331" i="198"/>
  <c r="EK331" i="198"/>
  <c r="EJ331" i="198"/>
  <c r="EI331" i="198"/>
  <c r="EH331" i="198"/>
  <c r="EG331" i="198"/>
  <c r="EF331" i="198"/>
  <c r="EE331" i="198"/>
  <c r="ED331" i="198"/>
  <c r="EC331" i="198"/>
  <c r="EB331" i="198"/>
  <c r="EA331" i="198"/>
  <c r="DZ331" i="198"/>
  <c r="DY331" i="198"/>
  <c r="DX331" i="198"/>
  <c r="DW331" i="198"/>
  <c r="DV331" i="198"/>
  <c r="DU331" i="198"/>
  <c r="DT331" i="198"/>
  <c r="DS331" i="198"/>
  <c r="DR331" i="198"/>
  <c r="DQ331" i="198"/>
  <c r="DP331" i="198"/>
  <c r="DO331" i="198"/>
  <c r="DN331" i="198"/>
  <c r="DM331" i="198"/>
  <c r="DL331" i="198"/>
  <c r="DK331" i="198"/>
  <c r="DJ331" i="198"/>
  <c r="DI331" i="198"/>
  <c r="DH331" i="198"/>
  <c r="DG331" i="198"/>
  <c r="DF331" i="198"/>
  <c r="DE331" i="198"/>
  <c r="EB330" i="198"/>
  <c r="EA330" i="198"/>
  <c r="DZ330" i="198"/>
  <c r="DY330" i="198"/>
  <c r="DX330" i="198"/>
  <c r="DW330" i="198"/>
  <c r="DV330" i="198"/>
  <c r="DU330" i="198"/>
  <c r="DT330" i="198"/>
  <c r="DS330" i="198"/>
  <c r="DR330" i="198"/>
  <c r="DQ330" i="198"/>
  <c r="DP330" i="198"/>
  <c r="DO330" i="198"/>
  <c r="DN330" i="198"/>
  <c r="DM330" i="198"/>
  <c r="DL330" i="198"/>
  <c r="DK330" i="198"/>
  <c r="DJ330" i="198"/>
  <c r="DI330" i="198"/>
  <c r="DH330" i="198"/>
  <c r="DG330" i="198"/>
  <c r="DF330" i="198"/>
  <c r="DE330" i="198"/>
  <c r="EM329" i="198"/>
  <c r="EL329" i="198"/>
  <c r="EK329" i="198"/>
  <c r="EJ329" i="198"/>
  <c r="EI329" i="198"/>
  <c r="EH329" i="198"/>
  <c r="EG329" i="198"/>
  <c r="EF329" i="198"/>
  <c r="EE329" i="198"/>
  <c r="ED329" i="198"/>
  <c r="EC329" i="198"/>
  <c r="EB329" i="198"/>
  <c r="EA329" i="198"/>
  <c r="DZ329" i="198"/>
  <c r="DY329" i="198"/>
  <c r="DX329" i="198"/>
  <c r="DW329" i="198"/>
  <c r="DV329" i="198"/>
  <c r="DU329" i="198"/>
  <c r="DT329" i="198"/>
  <c r="DS329" i="198"/>
  <c r="DR329" i="198"/>
  <c r="DQ329" i="198"/>
  <c r="DP329" i="198"/>
  <c r="DO329" i="198"/>
  <c r="DN329" i="198"/>
  <c r="DM329" i="198"/>
  <c r="DL329" i="198"/>
  <c r="DK329" i="198"/>
  <c r="DJ329" i="198"/>
  <c r="DI329" i="198"/>
  <c r="DH329" i="198"/>
  <c r="DG329" i="198"/>
  <c r="DF329" i="198"/>
  <c r="DE329" i="198"/>
  <c r="EB328" i="198"/>
  <c r="EA328" i="198"/>
  <c r="DZ328" i="198"/>
  <c r="DY328" i="198"/>
  <c r="DX328" i="198"/>
  <c r="DW328" i="198"/>
  <c r="DV328" i="198"/>
  <c r="DU328" i="198"/>
  <c r="DT328" i="198"/>
  <c r="DS328" i="198"/>
  <c r="DR328" i="198"/>
  <c r="DQ328" i="198"/>
  <c r="DP328" i="198"/>
  <c r="DO328" i="198"/>
  <c r="DN328" i="198"/>
  <c r="DM328" i="198"/>
  <c r="DL328" i="198"/>
  <c r="DK328" i="198"/>
  <c r="DJ328" i="198"/>
  <c r="DI328" i="198"/>
  <c r="DH328" i="198"/>
  <c r="DG328" i="198"/>
  <c r="DF328" i="198"/>
  <c r="DE328" i="198"/>
  <c r="EM327" i="198"/>
  <c r="EL327" i="198"/>
  <c r="EK327" i="198"/>
  <c r="EJ327" i="198"/>
  <c r="EI327" i="198"/>
  <c r="EH327" i="198"/>
  <c r="EG327" i="198"/>
  <c r="EF327" i="198"/>
  <c r="EE327" i="198"/>
  <c r="ED327" i="198"/>
  <c r="EC327" i="198"/>
  <c r="EB327" i="198"/>
  <c r="EA327" i="198"/>
  <c r="DZ327" i="198"/>
  <c r="DY327" i="198"/>
  <c r="DX327" i="198"/>
  <c r="DW327" i="198"/>
  <c r="DV327" i="198"/>
  <c r="DU327" i="198"/>
  <c r="DT327" i="198"/>
  <c r="DS327" i="198"/>
  <c r="DR327" i="198"/>
  <c r="DQ327" i="198"/>
  <c r="DP327" i="198"/>
  <c r="DO327" i="198"/>
  <c r="DN327" i="198"/>
  <c r="DM327" i="198"/>
  <c r="DL327" i="198"/>
  <c r="DK327" i="198"/>
  <c r="DJ327" i="198"/>
  <c r="DI327" i="198"/>
  <c r="DH327" i="198"/>
  <c r="DG327" i="198"/>
  <c r="DF327" i="198"/>
  <c r="DE327" i="198"/>
  <c r="EB326" i="198"/>
  <c r="EA326" i="198"/>
  <c r="DZ326" i="198"/>
  <c r="DY326" i="198"/>
  <c r="DX326" i="198"/>
  <c r="DW326" i="198"/>
  <c r="DV326" i="198"/>
  <c r="DU326" i="198"/>
  <c r="DT326" i="198"/>
  <c r="DS326" i="198"/>
  <c r="DR326" i="198"/>
  <c r="DQ326" i="198"/>
  <c r="DP326" i="198"/>
  <c r="DO326" i="198"/>
  <c r="DN326" i="198"/>
  <c r="DM326" i="198"/>
  <c r="DL326" i="198"/>
  <c r="DK326" i="198"/>
  <c r="DJ326" i="198"/>
  <c r="DI326" i="198"/>
  <c r="DH326" i="198"/>
  <c r="DG326" i="198"/>
  <c r="DF326" i="198"/>
  <c r="DE326" i="198"/>
  <c r="EB325" i="198"/>
  <c r="EA325" i="198"/>
  <c r="DZ325" i="198"/>
  <c r="DY325" i="198"/>
  <c r="DX325" i="198"/>
  <c r="DW325" i="198"/>
  <c r="DV325" i="198"/>
  <c r="DU325" i="198"/>
  <c r="DT325" i="198"/>
  <c r="DS325" i="198"/>
  <c r="DR325" i="198"/>
  <c r="DQ325" i="198"/>
  <c r="DP325" i="198"/>
  <c r="DO325" i="198"/>
  <c r="DN325" i="198"/>
  <c r="DM325" i="198"/>
  <c r="DL325" i="198"/>
  <c r="DK325" i="198"/>
  <c r="DJ325" i="198"/>
  <c r="DI325" i="198"/>
  <c r="DH325" i="198"/>
  <c r="DG325" i="198"/>
  <c r="DF325" i="198"/>
  <c r="DE325" i="198"/>
  <c r="EM324" i="198"/>
  <c r="EL324" i="198"/>
  <c r="EK324" i="198"/>
  <c r="EJ324" i="198"/>
  <c r="EI324" i="198"/>
  <c r="EH324" i="198"/>
  <c r="EG324" i="198"/>
  <c r="EF324" i="198"/>
  <c r="EE324" i="198"/>
  <c r="ED324" i="198"/>
  <c r="EC324" i="198"/>
  <c r="EB324" i="198"/>
  <c r="EA324" i="198"/>
  <c r="DZ324" i="198"/>
  <c r="DY324" i="198"/>
  <c r="DX324" i="198"/>
  <c r="DW324" i="198"/>
  <c r="DV324" i="198"/>
  <c r="DU324" i="198"/>
  <c r="DT324" i="198"/>
  <c r="DS324" i="198"/>
  <c r="DR324" i="198"/>
  <c r="DQ324" i="198"/>
  <c r="DP324" i="198"/>
  <c r="DO324" i="198"/>
  <c r="DN324" i="198"/>
  <c r="DM324" i="198"/>
  <c r="DL324" i="198"/>
  <c r="DK324" i="198"/>
  <c r="DJ324" i="198"/>
  <c r="DI324" i="198"/>
  <c r="DH324" i="198"/>
  <c r="DG324" i="198"/>
  <c r="DF324" i="198"/>
  <c r="DE324" i="198"/>
  <c r="ED323" i="198"/>
  <c r="EC323" i="198"/>
  <c r="EB323" i="198"/>
  <c r="EA323" i="198"/>
  <c r="DZ323" i="198"/>
  <c r="DY323" i="198"/>
  <c r="DX323" i="198"/>
  <c r="DW323" i="198"/>
  <c r="DV323" i="198"/>
  <c r="DU323" i="198"/>
  <c r="DT323" i="198"/>
  <c r="DS323" i="198"/>
  <c r="DR323" i="198"/>
  <c r="DQ323" i="198"/>
  <c r="DP323" i="198"/>
  <c r="DO323" i="198"/>
  <c r="DN323" i="198"/>
  <c r="DM323" i="198"/>
  <c r="DL323" i="198"/>
  <c r="DK323" i="198"/>
  <c r="DJ323" i="198"/>
  <c r="DI323" i="198"/>
  <c r="DH323" i="198"/>
  <c r="DG323" i="198"/>
  <c r="DF323" i="198"/>
  <c r="DE323" i="198"/>
  <c r="DA331" i="198"/>
  <c r="CZ331" i="198"/>
  <c r="CY331" i="198"/>
  <c r="CX331" i="198"/>
  <c r="CW331" i="198"/>
  <c r="CV331" i="198"/>
  <c r="CU331" i="198"/>
  <c r="CT331" i="198"/>
  <c r="CS331" i="198"/>
  <c r="CR331" i="198"/>
  <c r="CQ331" i="198"/>
  <c r="CP331" i="198"/>
  <c r="CO331" i="198"/>
  <c r="CN331" i="198"/>
  <c r="CM331" i="198"/>
  <c r="CL331" i="198"/>
  <c r="CK331" i="198"/>
  <c r="CJ331" i="198"/>
  <c r="CI331" i="198"/>
  <c r="CH331" i="198"/>
  <c r="CG331" i="198"/>
  <c r="CF331" i="198"/>
  <c r="CE331" i="198"/>
  <c r="CD331" i="198"/>
  <c r="CC331" i="198"/>
  <c r="CB331" i="198"/>
  <c r="CA331" i="198"/>
  <c r="BZ331" i="198"/>
  <c r="BY331" i="198"/>
  <c r="BX331" i="198"/>
  <c r="BW331" i="198"/>
  <c r="BV331" i="198"/>
  <c r="BU331" i="198"/>
  <c r="BT331" i="198"/>
  <c r="BS331" i="198"/>
  <c r="BR331" i="198"/>
  <c r="BQ331" i="198"/>
  <c r="BP331" i="198"/>
  <c r="BO331" i="198"/>
  <c r="BN331" i="198"/>
  <c r="BM331" i="198"/>
  <c r="BL331" i="198"/>
  <c r="BK331" i="198"/>
  <c r="BJ331" i="198"/>
  <c r="BI331" i="198"/>
  <c r="BH331" i="198"/>
  <c r="BG331" i="198"/>
  <c r="BF331" i="198"/>
  <c r="BE331" i="198"/>
  <c r="BD331" i="198"/>
  <c r="BC331" i="198"/>
  <c r="BB331" i="198"/>
  <c r="BA331" i="198"/>
  <c r="AZ331" i="198"/>
  <c r="AY331" i="198"/>
  <c r="AX331" i="198"/>
  <c r="AW331" i="198"/>
  <c r="AV331" i="198"/>
  <c r="AU331" i="198"/>
  <c r="AT331" i="198"/>
  <c r="AS331" i="198"/>
  <c r="AR331" i="198"/>
  <c r="AQ331" i="198"/>
  <c r="AP331" i="198"/>
  <c r="AO331" i="198"/>
  <c r="AN331" i="198"/>
  <c r="AM331" i="198"/>
  <c r="AL331" i="198"/>
  <c r="AK331" i="198"/>
  <c r="AJ331" i="198"/>
  <c r="AI331" i="198"/>
  <c r="AH331" i="198"/>
  <c r="AG331" i="198"/>
  <c r="AF331" i="198"/>
  <c r="AE331" i="198"/>
  <c r="AD331" i="198"/>
  <c r="AC331" i="198"/>
  <c r="AB331" i="198"/>
  <c r="AA331" i="198"/>
  <c r="Z331" i="198"/>
  <c r="Y331" i="198"/>
  <c r="X331" i="198"/>
  <c r="W331" i="198"/>
  <c r="V331" i="198"/>
  <c r="U331" i="198"/>
  <c r="T331" i="198"/>
  <c r="S331" i="198"/>
  <c r="R331" i="198"/>
  <c r="Q331" i="198"/>
  <c r="P331" i="198"/>
  <c r="O331" i="198"/>
  <c r="N331" i="198"/>
  <c r="M331" i="198"/>
  <c r="L331" i="198"/>
  <c r="K331" i="198"/>
  <c r="J331" i="198"/>
  <c r="I331" i="198"/>
  <c r="H331" i="198"/>
  <c r="G331" i="198"/>
  <c r="F331" i="198"/>
  <c r="E331" i="198"/>
  <c r="D331" i="198"/>
  <c r="C331" i="198"/>
  <c r="B331" i="198"/>
  <c r="A331" i="198"/>
  <c r="CS330" i="198"/>
  <c r="CR330" i="198"/>
  <c r="CQ330" i="198"/>
  <c r="CP330" i="198"/>
  <c r="CO330" i="198"/>
  <c r="CN330" i="198"/>
  <c r="CM330" i="198"/>
  <c r="CL330" i="198"/>
  <c r="CK330" i="198"/>
  <c r="CJ330" i="198"/>
  <c r="CI330" i="198"/>
  <c r="CH330" i="198"/>
  <c r="CG330" i="198"/>
  <c r="CF330" i="198"/>
  <c r="CE330" i="198"/>
  <c r="CD330" i="198"/>
  <c r="CC330" i="198"/>
  <c r="CB330" i="198"/>
  <c r="CA330" i="198"/>
  <c r="BZ330" i="198"/>
  <c r="BY330" i="198"/>
  <c r="BX330" i="198"/>
  <c r="BW330" i="198"/>
  <c r="BV330" i="198"/>
  <c r="BU330" i="198"/>
  <c r="BT330" i="198"/>
  <c r="BS330" i="198"/>
  <c r="BR330" i="198"/>
  <c r="BQ330" i="198"/>
  <c r="BP330" i="198"/>
  <c r="BO330" i="198"/>
  <c r="BN330" i="198"/>
  <c r="BM330" i="198"/>
  <c r="BL330" i="198"/>
  <c r="BK330" i="198"/>
  <c r="BJ330" i="198"/>
  <c r="BI330" i="198"/>
  <c r="BH330" i="198"/>
  <c r="BG330" i="198"/>
  <c r="BF330" i="198"/>
  <c r="BE330" i="198"/>
  <c r="BD330" i="198"/>
  <c r="BC330" i="198"/>
  <c r="BB330" i="198"/>
  <c r="BA330" i="198"/>
  <c r="AZ330" i="198"/>
  <c r="AY330" i="198"/>
  <c r="AX330" i="198"/>
  <c r="AW330" i="198"/>
  <c r="AV330" i="198"/>
  <c r="AU330" i="198"/>
  <c r="AT330" i="198"/>
  <c r="AS330" i="198"/>
  <c r="AR330" i="198"/>
  <c r="AQ330" i="198"/>
  <c r="AP330" i="198"/>
  <c r="AO330" i="198"/>
  <c r="AN330" i="198"/>
  <c r="AM330" i="198"/>
  <c r="AL330" i="198"/>
  <c r="AK330" i="198"/>
  <c r="AJ330" i="198"/>
  <c r="AI330" i="198"/>
  <c r="AH330" i="198"/>
  <c r="AG330" i="198"/>
  <c r="AF330" i="198"/>
  <c r="AE330" i="198"/>
  <c r="AD330" i="198"/>
  <c r="AC330" i="198"/>
  <c r="AB330" i="198"/>
  <c r="AA330" i="198"/>
  <c r="Z330" i="198"/>
  <c r="Y330" i="198"/>
  <c r="X330" i="198"/>
  <c r="W330" i="198"/>
  <c r="V330" i="198"/>
  <c r="U330" i="198"/>
  <c r="T330" i="198"/>
  <c r="S330" i="198"/>
  <c r="R330" i="198"/>
  <c r="Q330" i="198"/>
  <c r="P330" i="198"/>
  <c r="O330" i="198"/>
  <c r="N330" i="198"/>
  <c r="M330" i="198"/>
  <c r="L330" i="198"/>
  <c r="K330" i="198"/>
  <c r="J330" i="198"/>
  <c r="I330" i="198"/>
  <c r="H330" i="198"/>
  <c r="G330" i="198"/>
  <c r="F330" i="198"/>
  <c r="E330" i="198"/>
  <c r="D330" i="198"/>
  <c r="C330" i="198"/>
  <c r="B330" i="198"/>
  <c r="A330" i="198"/>
  <c r="DA329" i="198"/>
  <c r="CZ329" i="198"/>
  <c r="CY329" i="198"/>
  <c r="CX329" i="198"/>
  <c r="CW329" i="198"/>
  <c r="CV329" i="198"/>
  <c r="CU329" i="198"/>
  <c r="CT329" i="198"/>
  <c r="CS329" i="198"/>
  <c r="CR329" i="198"/>
  <c r="CQ329" i="198"/>
  <c r="CP329" i="198"/>
  <c r="CO329" i="198"/>
  <c r="CN329" i="198"/>
  <c r="CM329" i="198"/>
  <c r="CL329" i="198"/>
  <c r="CK329" i="198"/>
  <c r="CJ329" i="198"/>
  <c r="CI329" i="198"/>
  <c r="CH329" i="198"/>
  <c r="CG329" i="198"/>
  <c r="CF329" i="198"/>
  <c r="CE329" i="198"/>
  <c r="CD329" i="198"/>
  <c r="CC329" i="198"/>
  <c r="CB329" i="198"/>
  <c r="CA329" i="198"/>
  <c r="BZ329" i="198"/>
  <c r="BY329" i="198"/>
  <c r="BX329" i="198"/>
  <c r="BW329" i="198"/>
  <c r="BV329" i="198"/>
  <c r="BU329" i="198"/>
  <c r="BT329" i="198"/>
  <c r="BS329" i="198"/>
  <c r="BR329" i="198"/>
  <c r="BQ329" i="198"/>
  <c r="BP329" i="198"/>
  <c r="BO329" i="198"/>
  <c r="BN329" i="198"/>
  <c r="BM329" i="198"/>
  <c r="BL329" i="198"/>
  <c r="BK329" i="198"/>
  <c r="BJ329" i="198"/>
  <c r="BI329" i="198"/>
  <c r="BH329" i="198"/>
  <c r="BG329" i="198"/>
  <c r="BF329" i="198"/>
  <c r="BE329" i="198"/>
  <c r="BD329" i="198"/>
  <c r="BC329" i="198"/>
  <c r="BB329" i="198"/>
  <c r="BA329" i="198"/>
  <c r="AZ329" i="198"/>
  <c r="AY329" i="198"/>
  <c r="AX329" i="198"/>
  <c r="AW329" i="198"/>
  <c r="AV329" i="198"/>
  <c r="AU329" i="198"/>
  <c r="AT329" i="198"/>
  <c r="AS329" i="198"/>
  <c r="AR329" i="198"/>
  <c r="AQ329" i="198"/>
  <c r="AP329" i="198"/>
  <c r="AO329" i="198"/>
  <c r="AN329" i="198"/>
  <c r="AM329" i="198"/>
  <c r="AL329" i="198"/>
  <c r="AK329" i="198"/>
  <c r="AJ329" i="198"/>
  <c r="AI329" i="198"/>
  <c r="AH329" i="198"/>
  <c r="AG329" i="198"/>
  <c r="AF329" i="198"/>
  <c r="AE329" i="198"/>
  <c r="AD329" i="198"/>
  <c r="AC329" i="198"/>
  <c r="AB329" i="198"/>
  <c r="AA329" i="198"/>
  <c r="Z329" i="198"/>
  <c r="Y329" i="198"/>
  <c r="X329" i="198"/>
  <c r="W329" i="198"/>
  <c r="V329" i="198"/>
  <c r="U329" i="198"/>
  <c r="T329" i="198"/>
  <c r="S329" i="198"/>
  <c r="R329" i="198"/>
  <c r="Q329" i="198"/>
  <c r="P329" i="198"/>
  <c r="O329" i="198"/>
  <c r="N329" i="198"/>
  <c r="M329" i="198"/>
  <c r="L329" i="198"/>
  <c r="K329" i="198"/>
  <c r="J329" i="198"/>
  <c r="I329" i="198"/>
  <c r="H329" i="198"/>
  <c r="G329" i="198"/>
  <c r="F329" i="198"/>
  <c r="E329" i="198"/>
  <c r="D329" i="198"/>
  <c r="C329" i="198"/>
  <c r="B329" i="198"/>
  <c r="A329" i="198"/>
  <c r="CS328" i="198"/>
  <c r="CR328" i="198"/>
  <c r="CQ328" i="198"/>
  <c r="CP328" i="198"/>
  <c r="CO328" i="198"/>
  <c r="CN328" i="198"/>
  <c r="CM328" i="198"/>
  <c r="CL328" i="198"/>
  <c r="CK328" i="198"/>
  <c r="CJ328" i="198"/>
  <c r="CI328" i="198"/>
  <c r="CH328" i="198"/>
  <c r="CG328" i="198"/>
  <c r="CF328" i="198"/>
  <c r="CE328" i="198"/>
  <c r="CD328" i="198"/>
  <c r="CC328" i="198"/>
  <c r="CB328" i="198"/>
  <c r="CA328" i="198"/>
  <c r="BZ328" i="198"/>
  <c r="BY328" i="198"/>
  <c r="BX328" i="198"/>
  <c r="BW328" i="198"/>
  <c r="BV328" i="198"/>
  <c r="BU328" i="198"/>
  <c r="BT328" i="198"/>
  <c r="BS328" i="198"/>
  <c r="BR328" i="198"/>
  <c r="BQ328" i="198"/>
  <c r="BP328" i="198"/>
  <c r="BO328" i="198"/>
  <c r="BN328" i="198"/>
  <c r="BM328" i="198"/>
  <c r="BL328" i="198"/>
  <c r="BK328" i="198"/>
  <c r="BJ328" i="198"/>
  <c r="BI328" i="198"/>
  <c r="BH328" i="198"/>
  <c r="BG328" i="198"/>
  <c r="BF328" i="198"/>
  <c r="BE328" i="198"/>
  <c r="BD328" i="198"/>
  <c r="BC328" i="198"/>
  <c r="BB328" i="198"/>
  <c r="BA328" i="198"/>
  <c r="AZ328" i="198"/>
  <c r="AY328" i="198"/>
  <c r="AX328" i="198"/>
  <c r="AW328" i="198"/>
  <c r="AV328" i="198"/>
  <c r="AU328" i="198"/>
  <c r="AT328" i="198"/>
  <c r="AS328" i="198"/>
  <c r="AR328" i="198"/>
  <c r="AQ328" i="198"/>
  <c r="AP328" i="198"/>
  <c r="AO328" i="198"/>
  <c r="AN328" i="198"/>
  <c r="AM328" i="198"/>
  <c r="AL328" i="198"/>
  <c r="AK328" i="198"/>
  <c r="AJ328" i="198"/>
  <c r="AI328" i="198"/>
  <c r="AH328" i="198"/>
  <c r="AG328" i="198"/>
  <c r="AF328" i="198"/>
  <c r="AE328" i="198"/>
  <c r="AD328" i="198"/>
  <c r="AC328" i="198"/>
  <c r="AB328" i="198"/>
  <c r="AA328" i="198"/>
  <c r="Z328" i="198"/>
  <c r="Y328" i="198"/>
  <c r="X328" i="198"/>
  <c r="W328" i="198"/>
  <c r="V328" i="198"/>
  <c r="U328" i="198"/>
  <c r="T328" i="198"/>
  <c r="S328" i="198"/>
  <c r="R328" i="198"/>
  <c r="Q328" i="198"/>
  <c r="P328" i="198"/>
  <c r="O328" i="198"/>
  <c r="N328" i="198"/>
  <c r="M328" i="198"/>
  <c r="L328" i="198"/>
  <c r="K328" i="198"/>
  <c r="J328" i="198"/>
  <c r="I328" i="198"/>
  <c r="H328" i="198"/>
  <c r="G328" i="198"/>
  <c r="F328" i="198"/>
  <c r="E328" i="198"/>
  <c r="D328" i="198"/>
  <c r="C328" i="198"/>
  <c r="B328" i="198"/>
  <c r="A328" i="198"/>
  <c r="DA327" i="198"/>
  <c r="CZ327" i="198"/>
  <c r="CY327" i="198"/>
  <c r="CX327" i="198"/>
  <c r="CW327" i="198"/>
  <c r="CV327" i="198"/>
  <c r="CU327" i="198"/>
  <c r="CT327" i="198"/>
  <c r="CS327" i="198"/>
  <c r="CR327" i="198"/>
  <c r="CQ327" i="198"/>
  <c r="CP327" i="198"/>
  <c r="CO327" i="198"/>
  <c r="CN327" i="198"/>
  <c r="CM327" i="198"/>
  <c r="CL327" i="198"/>
  <c r="CK327" i="198"/>
  <c r="CJ327" i="198"/>
  <c r="CI327" i="198"/>
  <c r="CH327" i="198"/>
  <c r="CG327" i="198"/>
  <c r="CF327" i="198"/>
  <c r="CE327" i="198"/>
  <c r="CD327" i="198"/>
  <c r="CC327" i="198"/>
  <c r="CB327" i="198"/>
  <c r="CA327" i="198"/>
  <c r="BZ327" i="198"/>
  <c r="BY327" i="198"/>
  <c r="BX327" i="198"/>
  <c r="BW327" i="198"/>
  <c r="BV327" i="198"/>
  <c r="BU327" i="198"/>
  <c r="BT327" i="198"/>
  <c r="BS327" i="198"/>
  <c r="BR327" i="198"/>
  <c r="BQ327" i="198"/>
  <c r="BP327" i="198"/>
  <c r="BO327" i="198"/>
  <c r="BN327" i="198"/>
  <c r="BM327" i="198"/>
  <c r="BL327" i="198"/>
  <c r="BK327" i="198"/>
  <c r="BJ327" i="198"/>
  <c r="BI327" i="198"/>
  <c r="BH327" i="198"/>
  <c r="BG327" i="198"/>
  <c r="BF327" i="198"/>
  <c r="BE327" i="198"/>
  <c r="BD327" i="198"/>
  <c r="BC327" i="198"/>
  <c r="BB327" i="198"/>
  <c r="BA327" i="198"/>
  <c r="AZ327" i="198"/>
  <c r="AY327" i="198"/>
  <c r="AX327" i="198"/>
  <c r="AW327" i="198"/>
  <c r="AV327" i="198"/>
  <c r="AU327" i="198"/>
  <c r="AT327" i="198"/>
  <c r="AS327" i="198"/>
  <c r="AR327" i="198"/>
  <c r="AQ327" i="198"/>
  <c r="AP327" i="198"/>
  <c r="AO327" i="198"/>
  <c r="AN327" i="198"/>
  <c r="AM327" i="198"/>
  <c r="AL327" i="198"/>
  <c r="AK327" i="198"/>
  <c r="AJ327" i="198"/>
  <c r="AI327" i="198"/>
  <c r="AH327" i="198"/>
  <c r="AG327" i="198"/>
  <c r="AF327" i="198"/>
  <c r="AE327" i="198"/>
  <c r="AD327" i="198"/>
  <c r="AC327" i="198"/>
  <c r="AB327" i="198"/>
  <c r="AA327" i="198"/>
  <c r="Z327" i="198"/>
  <c r="Y327" i="198"/>
  <c r="X327" i="198"/>
  <c r="W327" i="198"/>
  <c r="V327" i="198"/>
  <c r="U327" i="198"/>
  <c r="T327" i="198"/>
  <c r="S327" i="198"/>
  <c r="R327" i="198"/>
  <c r="Q327" i="198"/>
  <c r="P327" i="198"/>
  <c r="O327" i="198"/>
  <c r="N327" i="198"/>
  <c r="M327" i="198"/>
  <c r="L327" i="198"/>
  <c r="K327" i="198"/>
  <c r="J327" i="198"/>
  <c r="I327" i="198"/>
  <c r="H327" i="198"/>
  <c r="G327" i="198"/>
  <c r="F327" i="198"/>
  <c r="E327" i="198"/>
  <c r="D327" i="198"/>
  <c r="C327" i="198"/>
  <c r="B327" i="198"/>
  <c r="A327" i="198"/>
  <c r="CS326" i="198"/>
  <c r="CR326" i="198"/>
  <c r="CQ326" i="198"/>
  <c r="CP326" i="198"/>
  <c r="CO326" i="198"/>
  <c r="CN326" i="198"/>
  <c r="CM326" i="198"/>
  <c r="CL326" i="198"/>
  <c r="CK326" i="198"/>
  <c r="CJ326" i="198"/>
  <c r="CI326" i="198"/>
  <c r="CH326" i="198"/>
  <c r="CG326" i="198"/>
  <c r="CF326" i="198"/>
  <c r="CE326" i="198"/>
  <c r="CD326" i="198"/>
  <c r="CC326" i="198"/>
  <c r="CB326" i="198"/>
  <c r="CA326" i="198"/>
  <c r="BZ326" i="198"/>
  <c r="BY326" i="198"/>
  <c r="BX326" i="198"/>
  <c r="BW326" i="198"/>
  <c r="BV326" i="198"/>
  <c r="BU326" i="198"/>
  <c r="BT326" i="198"/>
  <c r="BS326" i="198"/>
  <c r="BR326" i="198"/>
  <c r="BQ326" i="198"/>
  <c r="BP326" i="198"/>
  <c r="BO326" i="198"/>
  <c r="BN326" i="198"/>
  <c r="BM326" i="198"/>
  <c r="BL326" i="198"/>
  <c r="BK326" i="198"/>
  <c r="BJ326" i="198"/>
  <c r="BI326" i="198"/>
  <c r="BH326" i="198"/>
  <c r="BG326" i="198"/>
  <c r="BF326" i="198"/>
  <c r="BE326" i="198"/>
  <c r="BD326" i="198"/>
  <c r="BC326" i="198"/>
  <c r="BB326" i="198"/>
  <c r="BA326" i="198"/>
  <c r="AZ326" i="198"/>
  <c r="AY326" i="198"/>
  <c r="AX326" i="198"/>
  <c r="AW326" i="198"/>
  <c r="AV326" i="198"/>
  <c r="AU326" i="198"/>
  <c r="AT326" i="198"/>
  <c r="AS326" i="198"/>
  <c r="AR326" i="198"/>
  <c r="AQ326" i="198"/>
  <c r="AP326" i="198"/>
  <c r="AO326" i="198"/>
  <c r="AN326" i="198"/>
  <c r="AM326" i="198"/>
  <c r="AL326" i="198"/>
  <c r="AK326" i="198"/>
  <c r="AJ326" i="198"/>
  <c r="AI326" i="198"/>
  <c r="AH326" i="198"/>
  <c r="AG326" i="198"/>
  <c r="AF326" i="198"/>
  <c r="AE326" i="198"/>
  <c r="AD326" i="198"/>
  <c r="AC326" i="198"/>
  <c r="AB326" i="198"/>
  <c r="AA326" i="198"/>
  <c r="Z326" i="198"/>
  <c r="Y326" i="198"/>
  <c r="X326" i="198"/>
  <c r="W326" i="198"/>
  <c r="V326" i="198"/>
  <c r="U326" i="198"/>
  <c r="T326" i="198"/>
  <c r="S326" i="198"/>
  <c r="R326" i="198"/>
  <c r="Q326" i="198"/>
  <c r="P326" i="198"/>
  <c r="O326" i="198"/>
  <c r="N326" i="198"/>
  <c r="M326" i="198"/>
  <c r="L326" i="198"/>
  <c r="K326" i="198"/>
  <c r="J326" i="198"/>
  <c r="I326" i="198"/>
  <c r="H326" i="198"/>
  <c r="G326" i="198"/>
  <c r="F326" i="198"/>
  <c r="E326" i="198"/>
  <c r="D326" i="198"/>
  <c r="C326" i="198"/>
  <c r="B326" i="198"/>
  <c r="A326" i="198"/>
  <c r="CU325" i="198"/>
  <c r="CT325" i="198"/>
  <c r="CS325" i="198"/>
  <c r="CR325" i="198"/>
  <c r="CQ325" i="198"/>
  <c r="CP325" i="198"/>
  <c r="CO325" i="198"/>
  <c r="CN325" i="198"/>
  <c r="CM325" i="198"/>
  <c r="CL325" i="198"/>
  <c r="CK325" i="198"/>
  <c r="CJ325" i="198"/>
  <c r="CI325" i="198"/>
  <c r="CH325" i="198"/>
  <c r="CG325" i="198"/>
  <c r="CF325" i="198"/>
  <c r="CE325" i="198"/>
  <c r="CD325" i="198"/>
  <c r="CC325" i="198"/>
  <c r="CB325" i="198"/>
  <c r="CA325" i="198"/>
  <c r="BZ325" i="198"/>
  <c r="BY325" i="198"/>
  <c r="BX325" i="198"/>
  <c r="BW325" i="198"/>
  <c r="BV325" i="198"/>
  <c r="BU325" i="198"/>
  <c r="BT325" i="198"/>
  <c r="BS325" i="198"/>
  <c r="BR325" i="198"/>
  <c r="BQ325" i="198"/>
  <c r="BP325" i="198"/>
  <c r="BO325" i="198"/>
  <c r="BN325" i="198"/>
  <c r="BM325" i="198"/>
  <c r="BL325" i="198"/>
  <c r="BK325" i="198"/>
  <c r="BJ325" i="198"/>
  <c r="BI325" i="198"/>
  <c r="BH325" i="198"/>
  <c r="BG325" i="198"/>
  <c r="BF325" i="198"/>
  <c r="BE325" i="198"/>
  <c r="BD325" i="198"/>
  <c r="BC325" i="198"/>
  <c r="BB325" i="198"/>
  <c r="BA325" i="198"/>
  <c r="AZ325" i="198"/>
  <c r="AY325" i="198"/>
  <c r="AX325" i="198"/>
  <c r="AW325" i="198"/>
  <c r="AV325" i="198"/>
  <c r="AU325" i="198"/>
  <c r="AT325" i="198"/>
  <c r="AS325" i="198"/>
  <c r="AR325" i="198"/>
  <c r="AQ325" i="198"/>
  <c r="AP325" i="198"/>
  <c r="AO325" i="198"/>
  <c r="AN325" i="198"/>
  <c r="AM325" i="198"/>
  <c r="AL325" i="198"/>
  <c r="AK325" i="198"/>
  <c r="AJ325" i="198"/>
  <c r="AI325" i="198"/>
  <c r="AH325" i="198"/>
  <c r="AG325" i="198"/>
  <c r="AF325" i="198"/>
  <c r="AE325" i="198"/>
  <c r="AD325" i="198"/>
  <c r="AC325" i="198"/>
  <c r="AB325" i="198"/>
  <c r="AA325" i="198"/>
  <c r="Z325" i="198"/>
  <c r="Y325" i="198"/>
  <c r="X325" i="198"/>
  <c r="W325" i="198"/>
  <c r="V325" i="198"/>
  <c r="U325" i="198"/>
  <c r="T325" i="198"/>
  <c r="S325" i="198"/>
  <c r="R325" i="198"/>
  <c r="Q325" i="198"/>
  <c r="P325" i="198"/>
  <c r="O325" i="198"/>
  <c r="N325" i="198"/>
  <c r="M325" i="198"/>
  <c r="L325" i="198"/>
  <c r="K325" i="198"/>
  <c r="J325" i="198"/>
  <c r="I325" i="198"/>
  <c r="H325" i="198"/>
  <c r="G325" i="198"/>
  <c r="F325" i="198"/>
  <c r="E325" i="198"/>
  <c r="D325" i="198"/>
  <c r="C325" i="198"/>
  <c r="B325" i="198"/>
  <c r="A325" i="198"/>
  <c r="DA324" i="198"/>
  <c r="CZ324" i="198"/>
  <c r="CY324" i="198"/>
  <c r="CX324" i="198"/>
  <c r="CW324" i="198"/>
  <c r="CV324" i="198"/>
  <c r="CU324" i="198"/>
  <c r="CT324" i="198"/>
  <c r="CS324" i="198"/>
  <c r="CR324" i="198"/>
  <c r="CQ324" i="198"/>
  <c r="CP324" i="198"/>
  <c r="CO324" i="198"/>
  <c r="CN324" i="198"/>
  <c r="CM324" i="198"/>
  <c r="CL324" i="198"/>
  <c r="CK324" i="198"/>
  <c r="CJ324" i="198"/>
  <c r="CI324" i="198"/>
  <c r="CH324" i="198"/>
  <c r="CG324" i="198"/>
  <c r="CF324" i="198"/>
  <c r="CE324" i="198"/>
  <c r="CD324" i="198"/>
  <c r="CC324" i="198"/>
  <c r="CB324" i="198"/>
  <c r="CA324" i="198"/>
  <c r="BZ324" i="198"/>
  <c r="BY324" i="198"/>
  <c r="BX324" i="198"/>
  <c r="BW324" i="198"/>
  <c r="BV324" i="198"/>
  <c r="BU324" i="198"/>
  <c r="BT324" i="198"/>
  <c r="BS324" i="198"/>
  <c r="BR324" i="198"/>
  <c r="BQ324" i="198"/>
  <c r="BP324" i="198"/>
  <c r="BO324" i="198"/>
  <c r="BN324" i="198"/>
  <c r="BM324" i="198"/>
  <c r="BL324" i="198"/>
  <c r="BK324" i="198"/>
  <c r="BJ324" i="198"/>
  <c r="BI324" i="198"/>
  <c r="BH324" i="198"/>
  <c r="BG324" i="198"/>
  <c r="BF324" i="198"/>
  <c r="BE324" i="198"/>
  <c r="BD324" i="198"/>
  <c r="BC324" i="198"/>
  <c r="BB324" i="198"/>
  <c r="BA324" i="198"/>
  <c r="AZ324" i="198"/>
  <c r="AY324" i="198"/>
  <c r="AX324" i="198"/>
  <c r="AW324" i="198"/>
  <c r="AV324" i="198"/>
  <c r="AU324" i="198"/>
  <c r="AT324" i="198"/>
  <c r="AS324" i="198"/>
  <c r="AR324" i="198"/>
  <c r="AQ324" i="198"/>
  <c r="AP324" i="198"/>
  <c r="AO324" i="198"/>
  <c r="AN324" i="198"/>
  <c r="AM324" i="198"/>
  <c r="AL324" i="198"/>
  <c r="AK324" i="198"/>
  <c r="AJ324" i="198"/>
  <c r="AI324" i="198"/>
  <c r="AH324" i="198"/>
  <c r="AG324" i="198"/>
  <c r="AF324" i="198"/>
  <c r="AE324" i="198"/>
  <c r="AD324" i="198"/>
  <c r="AC324" i="198"/>
  <c r="AB324" i="198"/>
  <c r="AA324" i="198"/>
  <c r="Z324" i="198"/>
  <c r="Y324" i="198"/>
  <c r="X324" i="198"/>
  <c r="W324" i="198"/>
  <c r="V324" i="198"/>
  <c r="U324" i="198"/>
  <c r="T324" i="198"/>
  <c r="S324" i="198"/>
  <c r="R324" i="198"/>
  <c r="Q324" i="198"/>
  <c r="P324" i="198"/>
  <c r="O324" i="198"/>
  <c r="N324" i="198"/>
  <c r="M324" i="198"/>
  <c r="L324" i="198"/>
  <c r="K324" i="198"/>
  <c r="J324" i="198"/>
  <c r="I324" i="198"/>
  <c r="H324" i="198"/>
  <c r="G324" i="198"/>
  <c r="F324" i="198"/>
  <c r="E324" i="198"/>
  <c r="D324" i="198"/>
  <c r="C324" i="198"/>
  <c r="B324" i="198"/>
  <c r="A324" i="198"/>
  <c r="CU323" i="198"/>
  <c r="CT323" i="198"/>
  <c r="CS323" i="198"/>
  <c r="CR323" i="198"/>
  <c r="CQ323" i="198"/>
  <c r="CP323" i="198"/>
  <c r="CO323" i="198"/>
  <c r="CN323" i="198"/>
  <c r="CM323" i="198"/>
  <c r="CL323" i="198"/>
  <c r="CK323" i="198"/>
  <c r="CJ323" i="198"/>
  <c r="CI323" i="198"/>
  <c r="CH323" i="198"/>
  <c r="CG323" i="198"/>
  <c r="CF323" i="198"/>
  <c r="CE323" i="198"/>
  <c r="CD323" i="198"/>
  <c r="CC323" i="198"/>
  <c r="CB323" i="198"/>
  <c r="CA323" i="198"/>
  <c r="BZ323" i="198"/>
  <c r="BY323" i="198"/>
  <c r="BX323" i="198"/>
  <c r="BW323" i="198"/>
  <c r="BV323" i="198"/>
  <c r="BU323" i="198"/>
  <c r="BT323" i="198"/>
  <c r="BS323" i="198"/>
  <c r="BR323" i="198"/>
  <c r="BQ323" i="198"/>
  <c r="BP323" i="198"/>
  <c r="BO323" i="198"/>
  <c r="BN323" i="198"/>
  <c r="BM323" i="198"/>
  <c r="BL323" i="198"/>
  <c r="BK323" i="198"/>
  <c r="BJ323" i="198"/>
  <c r="BI323" i="198"/>
  <c r="BH323" i="198"/>
  <c r="BG323" i="198"/>
  <c r="BF323" i="198"/>
  <c r="BE323" i="198"/>
  <c r="BD323" i="198"/>
  <c r="BC323" i="198"/>
  <c r="BB323" i="198"/>
  <c r="BA323" i="198"/>
  <c r="AZ323" i="198"/>
  <c r="AY323" i="198"/>
  <c r="AX323" i="198"/>
  <c r="AW323" i="198"/>
  <c r="AV323" i="198"/>
  <c r="AU323" i="198"/>
  <c r="AT323" i="198"/>
  <c r="AS323" i="198"/>
  <c r="AR323" i="198"/>
  <c r="AQ323" i="198"/>
  <c r="AP323" i="198"/>
  <c r="AO323" i="198"/>
  <c r="AN323" i="198"/>
  <c r="AM323" i="198"/>
  <c r="AL323" i="198"/>
  <c r="AK323" i="198"/>
  <c r="AJ323" i="198"/>
  <c r="AI323" i="198"/>
  <c r="AH323" i="198"/>
  <c r="AG323" i="198"/>
  <c r="AF323" i="198"/>
  <c r="AE323" i="198"/>
  <c r="AD323" i="198"/>
  <c r="AC323" i="198"/>
  <c r="AB323" i="198"/>
  <c r="AA323" i="198"/>
  <c r="Z323" i="198"/>
  <c r="Y323" i="198"/>
  <c r="X323" i="198"/>
  <c r="W323" i="198"/>
  <c r="V323" i="198"/>
  <c r="U323" i="198"/>
  <c r="T323" i="198"/>
  <c r="S323" i="198"/>
  <c r="R323" i="198"/>
  <c r="Q323" i="198"/>
  <c r="P323" i="198"/>
  <c r="O323" i="198"/>
  <c r="N323" i="198"/>
  <c r="M323" i="198"/>
  <c r="L323" i="198"/>
  <c r="K323" i="198"/>
  <c r="J323" i="198"/>
  <c r="I323" i="198"/>
  <c r="H323" i="198"/>
  <c r="G323" i="198"/>
  <c r="F323" i="198"/>
  <c r="E323" i="198"/>
  <c r="D323" i="198"/>
  <c r="C323" i="198"/>
  <c r="B323" i="198"/>
  <c r="A323" i="198"/>
  <c r="A322" i="198"/>
  <c r="A317" i="198"/>
  <c r="EB310" i="198"/>
  <c r="EA310" i="198"/>
  <c r="DZ310" i="198"/>
  <c r="DY310" i="198"/>
  <c r="DX310" i="198"/>
  <c r="DW310" i="198"/>
  <c r="DV310" i="198"/>
  <c r="DU310" i="198"/>
  <c r="DT310" i="198"/>
  <c r="DS310" i="198"/>
  <c r="DR310" i="198"/>
  <c r="DQ310" i="198"/>
  <c r="DP310" i="198"/>
  <c r="DO310" i="198"/>
  <c r="DN310" i="198"/>
  <c r="DM310" i="198"/>
  <c r="DL310" i="198"/>
  <c r="DK310" i="198"/>
  <c r="DJ310" i="198"/>
  <c r="DI310" i="198"/>
  <c r="DH310" i="198"/>
  <c r="DG310" i="198"/>
  <c r="DF310" i="198"/>
  <c r="DE310" i="198"/>
  <c r="DD310" i="198"/>
  <c r="DC310" i="198"/>
  <c r="EB309" i="198"/>
  <c r="EA309" i="198"/>
  <c r="DZ309" i="198"/>
  <c r="DY309" i="198"/>
  <c r="DX309" i="198"/>
  <c r="DW309" i="198"/>
  <c r="DV309" i="198"/>
  <c r="DU309" i="198"/>
  <c r="DT309" i="198"/>
  <c r="DS309" i="198"/>
  <c r="DR309" i="198"/>
  <c r="DQ309" i="198"/>
  <c r="DP309" i="198"/>
  <c r="DO309" i="198"/>
  <c r="DN309" i="198"/>
  <c r="DM309" i="198"/>
  <c r="DL309" i="198"/>
  <c r="DK309" i="198"/>
  <c r="DJ309" i="198"/>
  <c r="DI309" i="198"/>
  <c r="DH309" i="198"/>
  <c r="DG309" i="198"/>
  <c r="DF309" i="198"/>
  <c r="DE309" i="198"/>
  <c r="DD309" i="198"/>
  <c r="DC309" i="198"/>
  <c r="DA310" i="198"/>
  <c r="CZ310" i="198"/>
  <c r="CY310" i="198"/>
  <c r="CX310" i="198"/>
  <c r="CW310" i="198"/>
  <c r="CV310" i="198"/>
  <c r="CU310" i="198"/>
  <c r="CT310" i="198"/>
  <c r="CS310" i="198"/>
  <c r="CR310" i="198"/>
  <c r="CQ310" i="198"/>
  <c r="CP310" i="198"/>
  <c r="CO310" i="198"/>
  <c r="CN310" i="198"/>
  <c r="CM310" i="198"/>
  <c r="CL310" i="198"/>
  <c r="CK310" i="198"/>
  <c r="CJ310" i="198"/>
  <c r="CI310" i="198"/>
  <c r="CH310" i="198"/>
  <c r="CG310" i="198"/>
  <c r="CF310" i="198"/>
  <c r="CE310" i="198"/>
  <c r="CD310" i="198"/>
  <c r="CC310" i="198"/>
  <c r="CB310" i="198"/>
  <c r="CA310" i="198"/>
  <c r="BZ310" i="198"/>
  <c r="BY310" i="198"/>
  <c r="BX310" i="198"/>
  <c r="BW310" i="198"/>
  <c r="BV310" i="198"/>
  <c r="BU310" i="198"/>
  <c r="BT310" i="198"/>
  <c r="BS310" i="198"/>
  <c r="BR310" i="198"/>
  <c r="BQ310" i="198"/>
  <c r="BP310" i="198"/>
  <c r="BO310" i="198"/>
  <c r="BN310" i="198"/>
  <c r="BM310" i="198"/>
  <c r="BL310" i="198"/>
  <c r="BK310" i="198"/>
  <c r="BJ310" i="198"/>
  <c r="BI310" i="198"/>
  <c r="BH310" i="198"/>
  <c r="BG310" i="198"/>
  <c r="BF310" i="198"/>
  <c r="BE310" i="198"/>
  <c r="BD310" i="198"/>
  <c r="BC310" i="198"/>
  <c r="BB310" i="198"/>
  <c r="BA310" i="198"/>
  <c r="AZ310" i="198"/>
  <c r="AY310" i="198"/>
  <c r="AX310" i="198"/>
  <c r="AW310" i="198"/>
  <c r="AV310" i="198"/>
  <c r="AU310" i="198"/>
  <c r="AT310" i="198"/>
  <c r="AS310" i="198"/>
  <c r="AR310" i="198"/>
  <c r="AQ310" i="198"/>
  <c r="AP310" i="198"/>
  <c r="AO310" i="198"/>
  <c r="AN310" i="198"/>
  <c r="AM310" i="198"/>
  <c r="AL310" i="198"/>
  <c r="AK310" i="198"/>
  <c r="AJ310" i="198"/>
  <c r="AI310" i="198"/>
  <c r="AH310" i="198"/>
  <c r="AG310" i="198"/>
  <c r="AF310" i="198"/>
  <c r="AE310" i="198"/>
  <c r="AD310" i="198"/>
  <c r="AC310" i="198"/>
  <c r="AB310" i="198"/>
  <c r="AA310" i="198"/>
  <c r="Z310" i="198"/>
  <c r="Y310" i="198"/>
  <c r="X310" i="198"/>
  <c r="W310" i="198"/>
  <c r="V310" i="198"/>
  <c r="U310" i="198"/>
  <c r="T310" i="198"/>
  <c r="S310" i="198"/>
  <c r="R310" i="198"/>
  <c r="Q310" i="198"/>
  <c r="P310" i="198"/>
  <c r="O310" i="198"/>
  <c r="N310" i="198"/>
  <c r="M310" i="198"/>
  <c r="L310" i="198"/>
  <c r="K310" i="198"/>
  <c r="J310" i="198"/>
  <c r="I310" i="198"/>
  <c r="H310" i="198"/>
  <c r="G310" i="198"/>
  <c r="F310" i="198"/>
  <c r="E310" i="198"/>
  <c r="D310" i="198"/>
  <c r="C310" i="198"/>
  <c r="B310" i="198"/>
  <c r="A310" i="198"/>
  <c r="DA309" i="198"/>
  <c r="CZ309" i="198"/>
  <c r="CY309" i="198"/>
  <c r="CX309" i="198"/>
  <c r="CW309" i="198"/>
  <c r="CV309" i="198"/>
  <c r="CU309" i="198"/>
  <c r="CT309" i="198"/>
  <c r="CS309" i="198"/>
  <c r="CR309" i="198"/>
  <c r="CQ309" i="198"/>
  <c r="CP309" i="198"/>
  <c r="CO309" i="198"/>
  <c r="CN309" i="198"/>
  <c r="CM309" i="198"/>
  <c r="CL309" i="198"/>
  <c r="CK309" i="198"/>
  <c r="CJ309" i="198"/>
  <c r="CI309" i="198"/>
  <c r="CH309" i="198"/>
  <c r="CG309" i="198"/>
  <c r="CF309" i="198"/>
  <c r="CE309" i="198"/>
  <c r="CD309" i="198"/>
  <c r="CC309" i="198"/>
  <c r="CB309" i="198"/>
  <c r="CA309" i="198"/>
  <c r="BZ309" i="198"/>
  <c r="BY309" i="198"/>
  <c r="BX309" i="198"/>
  <c r="BW309" i="198"/>
  <c r="BV309" i="198"/>
  <c r="BU309" i="198"/>
  <c r="BT309" i="198"/>
  <c r="BS309" i="198"/>
  <c r="BR309" i="198"/>
  <c r="BQ309" i="198"/>
  <c r="BP309" i="198"/>
  <c r="BO309" i="198"/>
  <c r="BN309" i="198"/>
  <c r="BM309" i="198"/>
  <c r="BL309" i="198"/>
  <c r="BK309" i="198"/>
  <c r="BJ309" i="198"/>
  <c r="BI309" i="198"/>
  <c r="BH309" i="198"/>
  <c r="BG309" i="198"/>
  <c r="BF309" i="198"/>
  <c r="BE309" i="198"/>
  <c r="BD309" i="198"/>
  <c r="BC309" i="198"/>
  <c r="BB309" i="198"/>
  <c r="BA309" i="198"/>
  <c r="AZ309" i="198"/>
  <c r="AY309" i="198"/>
  <c r="AX309" i="198"/>
  <c r="AW309" i="198"/>
  <c r="AV309" i="198"/>
  <c r="AU309" i="198"/>
  <c r="AT309" i="198"/>
  <c r="AS309" i="198"/>
  <c r="AR309" i="198"/>
  <c r="AQ309" i="198"/>
  <c r="AP309" i="198"/>
  <c r="AO309" i="198"/>
  <c r="AN309" i="198"/>
  <c r="AM309" i="198"/>
  <c r="AL309" i="198"/>
  <c r="AK309" i="198"/>
  <c r="AJ309" i="198"/>
  <c r="AI309" i="198"/>
  <c r="AH309" i="198"/>
  <c r="AG309" i="198"/>
  <c r="AF309" i="198"/>
  <c r="AE309" i="198"/>
  <c r="AD309" i="198"/>
  <c r="AC309" i="198"/>
  <c r="AB309" i="198"/>
  <c r="AA309" i="198"/>
  <c r="Z309" i="198"/>
  <c r="Y309" i="198"/>
  <c r="X309" i="198"/>
  <c r="W309" i="198"/>
  <c r="V309" i="198"/>
  <c r="U309" i="198"/>
  <c r="T309" i="198"/>
  <c r="S309" i="198"/>
  <c r="R309" i="198"/>
  <c r="Q309" i="198"/>
  <c r="P309" i="198"/>
  <c r="O309" i="198"/>
  <c r="N309" i="198"/>
  <c r="M309" i="198"/>
  <c r="L309" i="198"/>
  <c r="K309" i="198"/>
  <c r="J309" i="198"/>
  <c r="I309" i="198"/>
  <c r="H309" i="198"/>
  <c r="G309" i="198"/>
  <c r="F309" i="198"/>
  <c r="E309" i="198"/>
  <c r="D309" i="198"/>
  <c r="C309" i="198"/>
  <c r="B309" i="198"/>
  <c r="A309" i="198"/>
  <c r="EB306" i="198"/>
  <c r="EA306" i="198"/>
  <c r="DZ306" i="198"/>
  <c r="DY306" i="198"/>
  <c r="DX306" i="198"/>
  <c r="DW306" i="198"/>
  <c r="DV306" i="198"/>
  <c r="DU306" i="198"/>
  <c r="DT306" i="198"/>
  <c r="DS306" i="198"/>
  <c r="DR306" i="198"/>
  <c r="DQ306" i="198"/>
  <c r="DP306" i="198"/>
  <c r="DO306" i="198"/>
  <c r="DN306" i="198"/>
  <c r="DM306" i="198"/>
  <c r="DL306" i="198"/>
  <c r="DK306" i="198"/>
  <c r="DJ306" i="198"/>
  <c r="DI306" i="198"/>
  <c r="DH306" i="198"/>
  <c r="DG306" i="198"/>
  <c r="DF306" i="198"/>
  <c r="DE306" i="198"/>
  <c r="DD306" i="198"/>
  <c r="DC306" i="198"/>
  <c r="DA306" i="198"/>
  <c r="CZ306" i="198"/>
  <c r="CY306" i="198"/>
  <c r="CX306" i="198"/>
  <c r="CW306" i="198"/>
  <c r="CV306" i="198"/>
  <c r="CU306" i="198"/>
  <c r="CT306" i="198"/>
  <c r="CS306" i="198"/>
  <c r="CR306" i="198"/>
  <c r="CQ306" i="198"/>
  <c r="CP306" i="198"/>
  <c r="CO306" i="198"/>
  <c r="CN306" i="198"/>
  <c r="CM306" i="198"/>
  <c r="CL306" i="198"/>
  <c r="CK306" i="198"/>
  <c r="CJ306" i="198"/>
  <c r="CI306" i="198"/>
  <c r="CH306" i="198"/>
  <c r="CG306" i="198"/>
  <c r="CF306" i="198"/>
  <c r="CE306" i="198"/>
  <c r="CD306" i="198"/>
  <c r="CC306" i="198"/>
  <c r="CB306" i="198"/>
  <c r="CA306" i="198"/>
  <c r="BZ306" i="198"/>
  <c r="BY306" i="198"/>
  <c r="BX306" i="198"/>
  <c r="BW306" i="198"/>
  <c r="BV306" i="198"/>
  <c r="BU306" i="198"/>
  <c r="BT306" i="198"/>
  <c r="BS306" i="198"/>
  <c r="BR306" i="198"/>
  <c r="BQ306" i="198"/>
  <c r="BP306" i="198"/>
  <c r="BO306" i="198"/>
  <c r="BN306" i="198"/>
  <c r="BM306" i="198"/>
  <c r="BL306" i="198"/>
  <c r="BK306" i="198"/>
  <c r="BJ306" i="198"/>
  <c r="BI306" i="198"/>
  <c r="BH306" i="198"/>
  <c r="BG306" i="198"/>
  <c r="BF306" i="198"/>
  <c r="BE306" i="198"/>
  <c r="BD306" i="198"/>
  <c r="BC306" i="198"/>
  <c r="BB306" i="198"/>
  <c r="BA306" i="198"/>
  <c r="AZ306" i="198"/>
  <c r="AY306" i="198"/>
  <c r="AX306" i="198"/>
  <c r="AW306" i="198"/>
  <c r="AV306" i="198"/>
  <c r="AU306" i="198"/>
  <c r="AT306" i="198"/>
  <c r="AS306" i="198"/>
  <c r="AR306" i="198"/>
  <c r="AQ306" i="198"/>
  <c r="AP306" i="198"/>
  <c r="AO306" i="198"/>
  <c r="AN306" i="198"/>
  <c r="AM306" i="198"/>
  <c r="AL306" i="198"/>
  <c r="AK306" i="198"/>
  <c r="AJ306" i="198"/>
  <c r="AI306" i="198"/>
  <c r="AH306" i="198"/>
  <c r="AG306" i="198"/>
  <c r="AF306" i="198"/>
  <c r="AE306" i="198"/>
  <c r="AD306" i="198"/>
  <c r="AC306" i="198"/>
  <c r="AB306" i="198"/>
  <c r="AA306" i="198"/>
  <c r="Z306" i="198"/>
  <c r="Y306" i="198"/>
  <c r="X306" i="198"/>
  <c r="W306" i="198"/>
  <c r="V306" i="198"/>
  <c r="U306" i="198"/>
  <c r="T306" i="198"/>
  <c r="S306" i="198"/>
  <c r="R306" i="198"/>
  <c r="Q306" i="198"/>
  <c r="P306" i="198"/>
  <c r="O306" i="198"/>
  <c r="N306" i="198"/>
  <c r="M306" i="198"/>
  <c r="L306" i="198"/>
  <c r="K306" i="198"/>
  <c r="J306" i="198"/>
  <c r="I306" i="198"/>
  <c r="H306" i="198"/>
  <c r="G306" i="198"/>
  <c r="F306" i="198"/>
  <c r="E306" i="198"/>
  <c r="D306" i="198"/>
  <c r="C306" i="198"/>
  <c r="B306" i="198"/>
  <c r="A306" i="198"/>
  <c r="EM303" i="198"/>
  <c r="EL303" i="198"/>
  <c r="EK303" i="198"/>
  <c r="EJ303" i="198"/>
  <c r="EI303" i="198"/>
  <c r="EH303" i="198"/>
  <c r="EG303" i="198"/>
  <c r="EF303" i="198"/>
  <c r="EE303" i="198"/>
  <c r="ED303" i="198"/>
  <c r="EC303" i="198"/>
  <c r="EB303" i="198"/>
  <c r="EA303" i="198"/>
  <c r="DZ303" i="198"/>
  <c r="DY303" i="198"/>
  <c r="DX303" i="198"/>
  <c r="DW303" i="198"/>
  <c r="DV303" i="198"/>
  <c r="DU303" i="198"/>
  <c r="DT303" i="198"/>
  <c r="DS303" i="198"/>
  <c r="DR303" i="198"/>
  <c r="DQ303" i="198"/>
  <c r="DP303" i="198"/>
  <c r="DO303" i="198"/>
  <c r="DN303" i="198"/>
  <c r="DM303" i="198"/>
  <c r="DL303" i="198"/>
  <c r="DK303" i="198"/>
  <c r="DJ303" i="198"/>
  <c r="DI303" i="198"/>
  <c r="DH303" i="198"/>
  <c r="DG303" i="198"/>
  <c r="DF303" i="198"/>
  <c r="DE303" i="198"/>
  <c r="DD303" i="198"/>
  <c r="DC303" i="198"/>
  <c r="DA303" i="198"/>
  <c r="CZ303" i="198"/>
  <c r="CY303" i="198"/>
  <c r="CX303" i="198"/>
  <c r="CW303" i="198"/>
  <c r="CV303" i="198"/>
  <c r="CU303" i="198"/>
  <c r="CT303" i="198"/>
  <c r="CS303" i="198"/>
  <c r="CR303" i="198"/>
  <c r="CQ303" i="198"/>
  <c r="CP303" i="198"/>
  <c r="CO303" i="198"/>
  <c r="CN303" i="198"/>
  <c r="CM303" i="198"/>
  <c r="CL303" i="198"/>
  <c r="CK303" i="198"/>
  <c r="CJ303" i="198"/>
  <c r="CI303" i="198"/>
  <c r="CH303" i="198"/>
  <c r="CG303" i="198"/>
  <c r="CF303" i="198"/>
  <c r="CE303" i="198"/>
  <c r="CD303" i="198"/>
  <c r="CC303" i="198"/>
  <c r="CB303" i="198"/>
  <c r="CA303" i="198"/>
  <c r="BZ303" i="198"/>
  <c r="BY303" i="198"/>
  <c r="BX303" i="198"/>
  <c r="BW303" i="198"/>
  <c r="BV303" i="198"/>
  <c r="BU303" i="198"/>
  <c r="BT303" i="198"/>
  <c r="BS303" i="198"/>
  <c r="BR303" i="198"/>
  <c r="BQ303" i="198"/>
  <c r="BP303" i="198"/>
  <c r="BO303" i="198"/>
  <c r="BN303" i="198"/>
  <c r="BM303" i="198"/>
  <c r="BL303" i="198"/>
  <c r="BK303" i="198"/>
  <c r="BJ303" i="198"/>
  <c r="BI303" i="198"/>
  <c r="BH303" i="198"/>
  <c r="BG303" i="198"/>
  <c r="BF303" i="198"/>
  <c r="BE303" i="198"/>
  <c r="BD303" i="198"/>
  <c r="BC303" i="198"/>
  <c r="BB303" i="198"/>
  <c r="BA303" i="198"/>
  <c r="AZ303" i="198"/>
  <c r="AY303" i="198"/>
  <c r="AX303" i="198"/>
  <c r="AW303" i="198"/>
  <c r="AV303" i="198"/>
  <c r="AU303" i="198"/>
  <c r="AT303" i="198"/>
  <c r="AS303" i="198"/>
  <c r="AR303" i="198"/>
  <c r="AQ303" i="198"/>
  <c r="AP303" i="198"/>
  <c r="AO303" i="198"/>
  <c r="AN303" i="198"/>
  <c r="AM303" i="198"/>
  <c r="AL303" i="198"/>
  <c r="AK303" i="198"/>
  <c r="AJ303" i="198"/>
  <c r="AI303" i="198"/>
  <c r="AH303" i="198"/>
  <c r="AG303" i="198"/>
  <c r="AF303" i="198"/>
  <c r="AE303" i="198"/>
  <c r="AD303" i="198"/>
  <c r="AC303" i="198"/>
  <c r="AB303" i="198"/>
  <c r="AA303" i="198"/>
  <c r="Z303" i="198"/>
  <c r="Y303" i="198"/>
  <c r="X303" i="198"/>
  <c r="W303" i="198"/>
  <c r="V303" i="198"/>
  <c r="U303" i="198"/>
  <c r="T303" i="198"/>
  <c r="S303" i="198"/>
  <c r="R303" i="198"/>
  <c r="Q303" i="198"/>
  <c r="P303" i="198"/>
  <c r="O303" i="198"/>
  <c r="N303" i="198"/>
  <c r="M303" i="198"/>
  <c r="L303" i="198"/>
  <c r="K303" i="198"/>
  <c r="J303" i="198"/>
  <c r="I303" i="198"/>
  <c r="H303" i="198"/>
  <c r="G303" i="198"/>
  <c r="F303" i="198"/>
  <c r="E303" i="198"/>
  <c r="D303" i="198"/>
  <c r="C303" i="198"/>
  <c r="B303" i="198"/>
  <c r="EB300" i="198"/>
  <c r="EA300" i="198"/>
  <c r="DZ300" i="198"/>
  <c r="DY300" i="198"/>
  <c r="DX300" i="198"/>
  <c r="DW300" i="198"/>
  <c r="DV300" i="198"/>
  <c r="DU300" i="198"/>
  <c r="DT300" i="198"/>
  <c r="DS300" i="198"/>
  <c r="DR300" i="198"/>
  <c r="DQ300" i="198"/>
  <c r="DP300" i="198"/>
  <c r="DO300" i="198"/>
  <c r="DN300" i="198"/>
  <c r="DM300" i="198"/>
  <c r="DL300" i="198"/>
  <c r="DK300" i="198"/>
  <c r="DJ300" i="198"/>
  <c r="DI300" i="198"/>
  <c r="DH300" i="198"/>
  <c r="DG300" i="198"/>
  <c r="DF300" i="198"/>
  <c r="DE300" i="198"/>
  <c r="DD300" i="198"/>
  <c r="DC300" i="198"/>
  <c r="CS300" i="198"/>
  <c r="CR300" i="198"/>
  <c r="CQ300" i="198"/>
  <c r="CP300" i="198"/>
  <c r="CO300" i="198"/>
  <c r="CN300" i="198"/>
  <c r="CM300" i="198"/>
  <c r="CL300" i="198"/>
  <c r="CK300" i="198"/>
  <c r="CJ300" i="198"/>
  <c r="CI300" i="198"/>
  <c r="CH300" i="198"/>
  <c r="CG300" i="198"/>
  <c r="CF300" i="198"/>
  <c r="CE300" i="198"/>
  <c r="CD300" i="198"/>
  <c r="CC300" i="198"/>
  <c r="CB300" i="198"/>
  <c r="CA300" i="198"/>
  <c r="BZ300" i="198"/>
  <c r="BY300" i="198"/>
  <c r="BX300" i="198"/>
  <c r="BW300" i="198"/>
  <c r="BV300" i="198"/>
  <c r="BU300" i="198"/>
  <c r="BT300" i="198"/>
  <c r="BS300" i="198"/>
  <c r="BR300" i="198"/>
  <c r="BQ300" i="198"/>
  <c r="BP300" i="198"/>
  <c r="BO300" i="198"/>
  <c r="BN300" i="198"/>
  <c r="BM300" i="198"/>
  <c r="BL300" i="198"/>
  <c r="BK300" i="198"/>
  <c r="BJ300" i="198"/>
  <c r="BI300" i="198"/>
  <c r="BH300" i="198"/>
  <c r="BG300" i="198"/>
  <c r="BF300" i="198"/>
  <c r="BE300" i="198"/>
  <c r="BD300" i="198"/>
  <c r="BC300" i="198"/>
  <c r="BB300" i="198"/>
  <c r="BA300" i="198"/>
  <c r="AZ300" i="198"/>
  <c r="AY300" i="198"/>
  <c r="AX300" i="198"/>
  <c r="AW300" i="198"/>
  <c r="AV300" i="198"/>
  <c r="AU300" i="198"/>
  <c r="AT300" i="198"/>
  <c r="AS300" i="198"/>
  <c r="AR300" i="198"/>
  <c r="AQ300" i="198"/>
  <c r="AP300" i="198"/>
  <c r="AO300" i="198"/>
  <c r="AN300" i="198"/>
  <c r="AM300" i="198"/>
  <c r="AL300" i="198"/>
  <c r="AK300" i="198"/>
  <c r="AJ300" i="198"/>
  <c r="AI300" i="198"/>
  <c r="AH300" i="198"/>
  <c r="AG300" i="198"/>
  <c r="AF300" i="198"/>
  <c r="AE300" i="198"/>
  <c r="AD300" i="198"/>
  <c r="AC300" i="198"/>
  <c r="AB300" i="198"/>
  <c r="AA300" i="198"/>
  <c r="Z300" i="198"/>
  <c r="Y300" i="198"/>
  <c r="X300" i="198"/>
  <c r="W300" i="198"/>
  <c r="V300" i="198"/>
  <c r="U300" i="198"/>
  <c r="T300" i="198"/>
  <c r="S300" i="198"/>
  <c r="R300" i="198"/>
  <c r="Q300" i="198"/>
  <c r="P300" i="198"/>
  <c r="O300" i="198"/>
  <c r="N300" i="198"/>
  <c r="M300" i="198"/>
  <c r="L300" i="198"/>
  <c r="K300" i="198"/>
  <c r="J300" i="198"/>
  <c r="I300" i="198"/>
  <c r="H300" i="198"/>
  <c r="G300" i="198"/>
  <c r="F300" i="198"/>
  <c r="E300" i="198"/>
  <c r="D300" i="198"/>
  <c r="C300" i="198"/>
  <c r="B300" i="198"/>
  <c r="A300" i="198"/>
  <c r="EA296" i="198"/>
  <c r="DY296" i="198"/>
  <c r="DW296" i="198"/>
  <c r="DU296" i="198"/>
  <c r="DS296" i="198"/>
  <c r="DQ296" i="198"/>
  <c r="DO296" i="198"/>
  <c r="DM296" i="198"/>
  <c r="DK296" i="198"/>
  <c r="DI296" i="198"/>
  <c r="DG296" i="198"/>
  <c r="DE296" i="198"/>
  <c r="DC296" i="198"/>
  <c r="CR296" i="198"/>
  <c r="CP296" i="198"/>
  <c r="CN296" i="198"/>
  <c r="CL296" i="198"/>
  <c r="CJ296" i="198"/>
  <c r="CH296" i="198"/>
  <c r="CF296" i="198"/>
  <c r="CD296" i="198"/>
  <c r="CB296" i="198"/>
  <c r="BZ296" i="198"/>
  <c r="BX296" i="198"/>
  <c r="BV296" i="198"/>
  <c r="BT296" i="198"/>
  <c r="BR296" i="198"/>
  <c r="BP296" i="198"/>
  <c r="BN296" i="198"/>
  <c r="BL296" i="198"/>
  <c r="BJ296" i="198"/>
  <c r="BH296" i="198"/>
  <c r="BF296" i="198"/>
  <c r="BD296" i="198"/>
  <c r="BB296" i="198"/>
  <c r="AZ296" i="198"/>
  <c r="AX296" i="198"/>
  <c r="AV296" i="198"/>
  <c r="AT296" i="198"/>
  <c r="AR296" i="198"/>
  <c r="AP296" i="198"/>
  <c r="AN296" i="198"/>
  <c r="AL296" i="198"/>
  <c r="AJ296" i="198"/>
  <c r="AH296" i="198"/>
  <c r="AF296" i="198"/>
  <c r="AD296" i="198"/>
  <c r="AB296" i="198"/>
  <c r="Z296" i="198"/>
  <c r="X296" i="198"/>
  <c r="V296" i="198"/>
  <c r="T296" i="198"/>
  <c r="R296" i="198"/>
  <c r="P296" i="198"/>
  <c r="N296" i="198"/>
  <c r="L296" i="198"/>
  <c r="J296" i="198"/>
  <c r="H296" i="198"/>
  <c r="F296" i="198"/>
  <c r="D296" i="198"/>
  <c r="B296" i="198"/>
  <c r="EB296" i="198"/>
  <c r="DZ296" i="198"/>
  <c r="DX296" i="198"/>
  <c r="DV296" i="198"/>
  <c r="DT296" i="198"/>
  <c r="DR296" i="198"/>
  <c r="DP296" i="198"/>
  <c r="DN296" i="198"/>
  <c r="DL296" i="198"/>
  <c r="DJ296" i="198"/>
  <c r="DH296" i="198"/>
  <c r="DF296" i="198"/>
  <c r="DD296" i="198"/>
  <c r="CS296" i="198"/>
  <c r="CQ296" i="198"/>
  <c r="CO296" i="198"/>
  <c r="CM296" i="198"/>
  <c r="CK296" i="198"/>
  <c r="CI296" i="198"/>
  <c r="CG296" i="198"/>
  <c r="CE296" i="198"/>
  <c r="CC296" i="198"/>
  <c r="CA296" i="198"/>
  <c r="BY296" i="198"/>
  <c r="BW296" i="198"/>
  <c r="BU296" i="198"/>
  <c r="BS296" i="198"/>
  <c r="BQ296" i="198"/>
  <c r="BO296" i="198"/>
  <c r="BM296" i="198"/>
  <c r="BK296" i="198"/>
  <c r="BI296" i="198"/>
  <c r="BG296" i="198"/>
  <c r="BE296" i="198"/>
  <c r="BC296" i="198"/>
  <c r="BA296" i="198"/>
  <c r="AY296" i="198"/>
  <c r="AW296" i="198"/>
  <c r="AU296" i="198"/>
  <c r="AS296" i="198"/>
  <c r="AQ296" i="198"/>
  <c r="AO296" i="198"/>
  <c r="AM296" i="198"/>
  <c r="AK296" i="198"/>
  <c r="AI296" i="198"/>
  <c r="AG296" i="198"/>
  <c r="AE296" i="198"/>
  <c r="AC296" i="198"/>
  <c r="AA296" i="198"/>
  <c r="Y296" i="198"/>
  <c r="W296" i="198"/>
  <c r="U296" i="198"/>
  <c r="S296" i="198"/>
  <c r="Q296" i="198"/>
  <c r="O296" i="198"/>
  <c r="M296" i="198"/>
  <c r="K296" i="198"/>
  <c r="I296" i="198"/>
  <c r="G296" i="198"/>
  <c r="E296" i="198"/>
  <c r="C296" i="198"/>
  <c r="EB294" i="198"/>
  <c r="EA294" i="198"/>
  <c r="DZ294" i="198"/>
  <c r="DY294" i="198"/>
  <c r="DX294" i="198"/>
  <c r="DW294" i="198"/>
  <c r="DV294" i="198"/>
  <c r="DU294" i="198"/>
  <c r="DT294" i="198"/>
  <c r="DS294" i="198"/>
  <c r="DR294" i="198"/>
  <c r="DQ294" i="198"/>
  <c r="DP294" i="198"/>
  <c r="DO294" i="198"/>
  <c r="DN294" i="198"/>
  <c r="DM294" i="198"/>
  <c r="DL294" i="198"/>
  <c r="DK294" i="198"/>
  <c r="DJ294" i="198"/>
  <c r="DI294" i="198"/>
  <c r="DH294" i="198"/>
  <c r="DG294" i="198"/>
  <c r="DF294" i="198"/>
  <c r="DE294" i="198"/>
  <c r="DD294" i="198"/>
  <c r="DC294" i="198"/>
  <c r="EB293" i="198"/>
  <c r="EA293" i="198"/>
  <c r="DZ293" i="198"/>
  <c r="DY293" i="198"/>
  <c r="DX293" i="198"/>
  <c r="DW293" i="198"/>
  <c r="DV293" i="198"/>
  <c r="DU293" i="198"/>
  <c r="DT293" i="198"/>
  <c r="DS293" i="198"/>
  <c r="DR293" i="198"/>
  <c r="DQ293" i="198"/>
  <c r="DP293" i="198"/>
  <c r="DO293" i="198"/>
  <c r="DN293" i="198"/>
  <c r="DM293" i="198"/>
  <c r="DL293" i="198"/>
  <c r="DK293" i="198"/>
  <c r="DJ293" i="198"/>
  <c r="DI293" i="198"/>
  <c r="DH293" i="198"/>
  <c r="DG293" i="198"/>
  <c r="DF293" i="198"/>
  <c r="DE293" i="198"/>
  <c r="DD293" i="198"/>
  <c r="DC293" i="198"/>
  <c r="EB292" i="198"/>
  <c r="EA292" i="198"/>
  <c r="DZ292" i="198"/>
  <c r="DY292" i="198"/>
  <c r="DX292" i="198"/>
  <c r="DW292" i="198"/>
  <c r="DV292" i="198"/>
  <c r="DU292" i="198"/>
  <c r="DT292" i="198"/>
  <c r="DS292" i="198"/>
  <c r="DR292" i="198"/>
  <c r="DQ292" i="198"/>
  <c r="DP292" i="198"/>
  <c r="DO292" i="198"/>
  <c r="DN292" i="198"/>
  <c r="DM292" i="198"/>
  <c r="DL292" i="198"/>
  <c r="DK292" i="198"/>
  <c r="DJ292" i="198"/>
  <c r="DI292" i="198"/>
  <c r="DH292" i="198"/>
  <c r="DG292" i="198"/>
  <c r="DF292" i="198"/>
  <c r="DE292" i="198"/>
  <c r="DD292" i="198"/>
  <c r="DC292" i="198"/>
  <c r="EM291" i="198"/>
  <c r="EL291" i="198"/>
  <c r="EK291" i="198"/>
  <c r="EJ291" i="198"/>
  <c r="EI291" i="198"/>
  <c r="EH291" i="198"/>
  <c r="EG291" i="198"/>
  <c r="EF291" i="198"/>
  <c r="EE291" i="198"/>
  <c r="ED291" i="198"/>
  <c r="EC291" i="198"/>
  <c r="EB291" i="198"/>
  <c r="EA291" i="198"/>
  <c r="DZ291" i="198"/>
  <c r="DY291" i="198"/>
  <c r="DX291" i="198"/>
  <c r="DW291" i="198"/>
  <c r="DV291" i="198"/>
  <c r="DU291" i="198"/>
  <c r="DT291" i="198"/>
  <c r="DS291" i="198"/>
  <c r="DR291" i="198"/>
  <c r="DQ291" i="198"/>
  <c r="DP291" i="198"/>
  <c r="DO291" i="198"/>
  <c r="DN291" i="198"/>
  <c r="DM291" i="198"/>
  <c r="DL291" i="198"/>
  <c r="DK291" i="198"/>
  <c r="DJ291" i="198"/>
  <c r="DI291" i="198"/>
  <c r="DH291" i="198"/>
  <c r="DG291" i="198"/>
  <c r="DF291" i="198"/>
  <c r="DE291" i="198"/>
  <c r="DD291" i="198"/>
  <c r="DC291" i="198"/>
  <c r="CS294" i="198"/>
  <c r="CR294" i="198"/>
  <c r="CQ294" i="198"/>
  <c r="CP294" i="198"/>
  <c r="CO294" i="198"/>
  <c r="CN294" i="198"/>
  <c r="CM294" i="198"/>
  <c r="CL294" i="198"/>
  <c r="CK294" i="198"/>
  <c r="CJ294" i="198"/>
  <c r="CI294" i="198"/>
  <c r="CH294" i="198"/>
  <c r="CG294" i="198"/>
  <c r="CF294" i="198"/>
  <c r="CE294" i="198"/>
  <c r="CD294" i="198"/>
  <c r="CC294" i="198"/>
  <c r="CB294" i="198"/>
  <c r="CA294" i="198"/>
  <c r="BZ294" i="198"/>
  <c r="BY294" i="198"/>
  <c r="BX294" i="198"/>
  <c r="BW294" i="198"/>
  <c r="BV294" i="198"/>
  <c r="BU294" i="198"/>
  <c r="BT294" i="198"/>
  <c r="BS294" i="198"/>
  <c r="BR294" i="198"/>
  <c r="BQ294" i="198"/>
  <c r="BP294" i="198"/>
  <c r="BO294" i="198"/>
  <c r="BN294" i="198"/>
  <c r="BM294" i="198"/>
  <c r="BL294" i="198"/>
  <c r="BK294" i="198"/>
  <c r="BJ294" i="198"/>
  <c r="BI294" i="198"/>
  <c r="BH294" i="198"/>
  <c r="BG294" i="198"/>
  <c r="BF294" i="198"/>
  <c r="BE294" i="198"/>
  <c r="BD294" i="198"/>
  <c r="BC294" i="198"/>
  <c r="BB294" i="198"/>
  <c r="BA294" i="198"/>
  <c r="AZ294" i="198"/>
  <c r="AY294" i="198"/>
  <c r="AX294" i="198"/>
  <c r="AW294" i="198"/>
  <c r="AV294" i="198"/>
  <c r="AU294" i="198"/>
  <c r="AT294" i="198"/>
  <c r="AS294" i="198"/>
  <c r="AR294" i="198"/>
  <c r="AQ294" i="198"/>
  <c r="AP294" i="198"/>
  <c r="AO294" i="198"/>
  <c r="AN294" i="198"/>
  <c r="AM294" i="198"/>
  <c r="AL294" i="198"/>
  <c r="AK294" i="198"/>
  <c r="AJ294" i="198"/>
  <c r="AI294" i="198"/>
  <c r="AH294" i="198"/>
  <c r="AG294" i="198"/>
  <c r="AF294" i="198"/>
  <c r="AE294" i="198"/>
  <c r="AD294" i="198"/>
  <c r="AC294" i="198"/>
  <c r="AB294" i="198"/>
  <c r="AA294" i="198"/>
  <c r="Z294" i="198"/>
  <c r="Y294" i="198"/>
  <c r="X294" i="198"/>
  <c r="W294" i="198"/>
  <c r="V294" i="198"/>
  <c r="U294" i="198"/>
  <c r="T294" i="198"/>
  <c r="S294" i="198"/>
  <c r="R294" i="198"/>
  <c r="Q294" i="198"/>
  <c r="P294" i="198"/>
  <c r="O294" i="198"/>
  <c r="N294" i="198"/>
  <c r="M294" i="198"/>
  <c r="L294" i="198"/>
  <c r="K294" i="198"/>
  <c r="J294" i="198"/>
  <c r="I294" i="198"/>
  <c r="H294" i="198"/>
  <c r="G294" i="198"/>
  <c r="F294" i="198"/>
  <c r="E294" i="198"/>
  <c r="D294" i="198"/>
  <c r="C294" i="198"/>
  <c r="B294" i="198"/>
  <c r="A294" i="198"/>
  <c r="CS293" i="198"/>
  <c r="CR293" i="198"/>
  <c r="CQ293" i="198"/>
  <c r="CP293" i="198"/>
  <c r="CO293" i="198"/>
  <c r="CN293" i="198"/>
  <c r="CM293" i="198"/>
  <c r="CL293" i="198"/>
  <c r="CK293" i="198"/>
  <c r="CJ293" i="198"/>
  <c r="CI293" i="198"/>
  <c r="CH293" i="198"/>
  <c r="CG293" i="198"/>
  <c r="CF293" i="198"/>
  <c r="CE293" i="198"/>
  <c r="CD293" i="198"/>
  <c r="CC293" i="198"/>
  <c r="CB293" i="198"/>
  <c r="CA293" i="198"/>
  <c r="BZ293" i="198"/>
  <c r="BY293" i="198"/>
  <c r="BX293" i="198"/>
  <c r="BW293" i="198"/>
  <c r="BV293" i="198"/>
  <c r="BU293" i="198"/>
  <c r="BT293" i="198"/>
  <c r="BS293" i="198"/>
  <c r="BR293" i="198"/>
  <c r="BQ293" i="198"/>
  <c r="BP293" i="198"/>
  <c r="BO293" i="198"/>
  <c r="BN293" i="198"/>
  <c r="BM293" i="198"/>
  <c r="BL293" i="198"/>
  <c r="BK293" i="198"/>
  <c r="BJ293" i="198"/>
  <c r="BI293" i="198"/>
  <c r="BH293" i="198"/>
  <c r="BG293" i="198"/>
  <c r="BF293" i="198"/>
  <c r="BE293" i="198"/>
  <c r="BD293" i="198"/>
  <c r="BC293" i="198"/>
  <c r="BB293" i="198"/>
  <c r="BA293" i="198"/>
  <c r="AZ293" i="198"/>
  <c r="AY293" i="198"/>
  <c r="AX293" i="198"/>
  <c r="AW293" i="198"/>
  <c r="AV293" i="198"/>
  <c r="AU293" i="198"/>
  <c r="AT293" i="198"/>
  <c r="AS293" i="198"/>
  <c r="AR293" i="198"/>
  <c r="AQ293" i="198"/>
  <c r="AP293" i="198"/>
  <c r="AO293" i="198"/>
  <c r="AN293" i="198"/>
  <c r="AM293" i="198"/>
  <c r="AL293" i="198"/>
  <c r="AK293" i="198"/>
  <c r="AJ293" i="198"/>
  <c r="AI293" i="198"/>
  <c r="AH293" i="198"/>
  <c r="AG293" i="198"/>
  <c r="AF293" i="198"/>
  <c r="AE293" i="198"/>
  <c r="AD293" i="198"/>
  <c r="AC293" i="198"/>
  <c r="AB293" i="198"/>
  <c r="AA293" i="198"/>
  <c r="Z293" i="198"/>
  <c r="Y293" i="198"/>
  <c r="X293" i="198"/>
  <c r="W293" i="198"/>
  <c r="V293" i="198"/>
  <c r="U293" i="198"/>
  <c r="T293" i="198"/>
  <c r="S293" i="198"/>
  <c r="R293" i="198"/>
  <c r="Q293" i="198"/>
  <c r="P293" i="198"/>
  <c r="O293" i="198"/>
  <c r="N293" i="198"/>
  <c r="M293" i="198"/>
  <c r="L293" i="198"/>
  <c r="K293" i="198"/>
  <c r="J293" i="198"/>
  <c r="I293" i="198"/>
  <c r="H293" i="198"/>
  <c r="G293" i="198"/>
  <c r="F293" i="198"/>
  <c r="E293" i="198"/>
  <c r="D293" i="198"/>
  <c r="C293" i="198"/>
  <c r="B293" i="198"/>
  <c r="A293" i="198"/>
  <c r="CS292" i="198"/>
  <c r="CR292" i="198"/>
  <c r="CQ292" i="198"/>
  <c r="CP292" i="198"/>
  <c r="CO292" i="198"/>
  <c r="CN292" i="198"/>
  <c r="CM292" i="198"/>
  <c r="CL292" i="198"/>
  <c r="CK292" i="198"/>
  <c r="CJ292" i="198"/>
  <c r="CI292" i="198"/>
  <c r="CH292" i="198"/>
  <c r="CG292" i="198"/>
  <c r="CF292" i="198"/>
  <c r="CE292" i="198"/>
  <c r="CD292" i="198"/>
  <c r="CC292" i="198"/>
  <c r="CB292" i="198"/>
  <c r="CA292" i="198"/>
  <c r="BZ292" i="198"/>
  <c r="BY292" i="198"/>
  <c r="BX292" i="198"/>
  <c r="BW292" i="198"/>
  <c r="BV292" i="198"/>
  <c r="BU292" i="198"/>
  <c r="BT292" i="198"/>
  <c r="BS292" i="198"/>
  <c r="BR292" i="198"/>
  <c r="BQ292" i="198"/>
  <c r="BP292" i="198"/>
  <c r="BO292" i="198"/>
  <c r="BN292" i="198"/>
  <c r="BM292" i="198"/>
  <c r="BL292" i="198"/>
  <c r="BK292" i="198"/>
  <c r="BJ292" i="198"/>
  <c r="BI292" i="198"/>
  <c r="BH292" i="198"/>
  <c r="BG292" i="198"/>
  <c r="BF292" i="198"/>
  <c r="BE292" i="198"/>
  <c r="BD292" i="198"/>
  <c r="BC292" i="198"/>
  <c r="BB292" i="198"/>
  <c r="BA292" i="198"/>
  <c r="AZ292" i="198"/>
  <c r="AY292" i="198"/>
  <c r="AX292" i="198"/>
  <c r="AW292" i="198"/>
  <c r="AV292" i="198"/>
  <c r="AU292" i="198"/>
  <c r="AT292" i="198"/>
  <c r="AS292" i="198"/>
  <c r="AR292" i="198"/>
  <c r="AQ292" i="198"/>
  <c r="AP292" i="198"/>
  <c r="AO292" i="198"/>
  <c r="AN292" i="198"/>
  <c r="AM292" i="198"/>
  <c r="AL292" i="198"/>
  <c r="AK292" i="198"/>
  <c r="AJ292" i="198"/>
  <c r="AI292" i="198"/>
  <c r="AH292" i="198"/>
  <c r="AG292" i="198"/>
  <c r="AF292" i="198"/>
  <c r="AE292" i="198"/>
  <c r="AD292" i="198"/>
  <c r="AC292" i="198"/>
  <c r="AB292" i="198"/>
  <c r="AA292" i="198"/>
  <c r="Z292" i="198"/>
  <c r="Y292" i="198"/>
  <c r="X292" i="198"/>
  <c r="W292" i="198"/>
  <c r="V292" i="198"/>
  <c r="U292" i="198"/>
  <c r="T292" i="198"/>
  <c r="S292" i="198"/>
  <c r="R292" i="198"/>
  <c r="Q292" i="198"/>
  <c r="P292" i="198"/>
  <c r="O292" i="198"/>
  <c r="N292" i="198"/>
  <c r="M292" i="198"/>
  <c r="L292" i="198"/>
  <c r="K292" i="198"/>
  <c r="J292" i="198"/>
  <c r="I292" i="198"/>
  <c r="H292" i="198"/>
  <c r="G292" i="198"/>
  <c r="F292" i="198"/>
  <c r="E292" i="198"/>
  <c r="D292" i="198"/>
  <c r="C292" i="198"/>
  <c r="B292" i="198"/>
  <c r="A292" i="198"/>
  <c r="DA291" i="198"/>
  <c r="CZ291" i="198"/>
  <c r="CY291" i="198"/>
  <c r="CX291" i="198"/>
  <c r="CW291" i="198"/>
  <c r="CV291" i="198"/>
  <c r="CU291" i="198"/>
  <c r="CT291" i="198"/>
  <c r="CS291" i="198"/>
  <c r="CR291" i="198"/>
  <c r="CQ291" i="198"/>
  <c r="CP291" i="198"/>
  <c r="CO291" i="198"/>
  <c r="CN291" i="198"/>
  <c r="CM291" i="198"/>
  <c r="CL291" i="198"/>
  <c r="CK291" i="198"/>
  <c r="CJ291" i="198"/>
  <c r="CI291" i="198"/>
  <c r="CH291" i="198"/>
  <c r="CG291" i="198"/>
  <c r="CF291" i="198"/>
  <c r="CE291" i="198"/>
  <c r="CD291" i="198"/>
  <c r="CC291" i="198"/>
  <c r="CB291" i="198"/>
  <c r="CA291" i="198"/>
  <c r="BZ291" i="198"/>
  <c r="BY291" i="198"/>
  <c r="BX291" i="198"/>
  <c r="BW291" i="198"/>
  <c r="BV291" i="198"/>
  <c r="BU291" i="198"/>
  <c r="BT291" i="198"/>
  <c r="BS291" i="198"/>
  <c r="BR291" i="198"/>
  <c r="BQ291" i="198"/>
  <c r="BP291" i="198"/>
  <c r="BO291" i="198"/>
  <c r="BN291" i="198"/>
  <c r="BM291" i="198"/>
  <c r="BL291" i="198"/>
  <c r="BK291" i="198"/>
  <c r="BJ291" i="198"/>
  <c r="BI291" i="198"/>
  <c r="BH291" i="198"/>
  <c r="BG291" i="198"/>
  <c r="BF291" i="198"/>
  <c r="BE291" i="198"/>
  <c r="BD291" i="198"/>
  <c r="BC291" i="198"/>
  <c r="BB291" i="198"/>
  <c r="BA291" i="198"/>
  <c r="AZ291" i="198"/>
  <c r="AY291" i="198"/>
  <c r="AX291" i="198"/>
  <c r="AW291" i="198"/>
  <c r="AV291" i="198"/>
  <c r="AU291" i="198"/>
  <c r="AT291" i="198"/>
  <c r="AS291" i="198"/>
  <c r="AR291" i="198"/>
  <c r="AQ291" i="198"/>
  <c r="AP291" i="198"/>
  <c r="AO291" i="198"/>
  <c r="AN291" i="198"/>
  <c r="AM291" i="198"/>
  <c r="AL291" i="198"/>
  <c r="AK291" i="198"/>
  <c r="AJ291" i="198"/>
  <c r="AI291" i="198"/>
  <c r="AH291" i="198"/>
  <c r="AG291" i="198"/>
  <c r="AF291" i="198"/>
  <c r="AE291" i="198"/>
  <c r="AD291" i="198"/>
  <c r="AC291" i="198"/>
  <c r="AB291" i="198"/>
  <c r="AA291" i="198"/>
  <c r="Z291" i="198"/>
  <c r="Y291" i="198"/>
  <c r="X291" i="198"/>
  <c r="W291" i="198"/>
  <c r="V291" i="198"/>
  <c r="U291" i="198"/>
  <c r="T291" i="198"/>
  <c r="S291" i="198"/>
  <c r="R291" i="198"/>
  <c r="Q291" i="198"/>
  <c r="P291" i="198"/>
  <c r="O291" i="198"/>
  <c r="N291" i="198"/>
  <c r="M291" i="198"/>
  <c r="L291" i="198"/>
  <c r="K291" i="198"/>
  <c r="J291" i="198"/>
  <c r="I291" i="198"/>
  <c r="H291" i="198"/>
  <c r="G291" i="198"/>
  <c r="F291" i="198"/>
  <c r="E291" i="198"/>
  <c r="D291" i="198"/>
  <c r="C291" i="198"/>
  <c r="B291" i="198"/>
  <c r="A291" i="198"/>
  <c r="EB288" i="198"/>
  <c r="EA288" i="198"/>
  <c r="DZ288" i="198"/>
  <c r="DY288" i="198"/>
  <c r="DX288" i="198"/>
  <c r="DW288" i="198"/>
  <c r="DV288" i="198"/>
  <c r="DU288" i="198"/>
  <c r="DT288" i="198"/>
  <c r="DS288" i="198"/>
  <c r="DR288" i="198"/>
  <c r="DQ288" i="198"/>
  <c r="DP288" i="198"/>
  <c r="DO288" i="198"/>
  <c r="DN288" i="198"/>
  <c r="DM288" i="198"/>
  <c r="DL288" i="198"/>
  <c r="DK288" i="198"/>
  <c r="DJ288" i="198"/>
  <c r="DI288" i="198"/>
  <c r="DH288" i="198"/>
  <c r="DG288" i="198"/>
  <c r="DF288" i="198"/>
  <c r="DE288" i="198"/>
  <c r="DD288" i="198"/>
  <c r="DC288" i="198"/>
  <c r="EB287" i="198"/>
  <c r="EA287" i="198"/>
  <c r="DZ287" i="198"/>
  <c r="DY287" i="198"/>
  <c r="DX287" i="198"/>
  <c r="DW287" i="198"/>
  <c r="DV287" i="198"/>
  <c r="DU287" i="198"/>
  <c r="DT287" i="198"/>
  <c r="DS287" i="198"/>
  <c r="DR287" i="198"/>
  <c r="DQ287" i="198"/>
  <c r="DP287" i="198"/>
  <c r="DO287" i="198"/>
  <c r="DN287" i="198"/>
  <c r="DM287" i="198"/>
  <c r="DL287" i="198"/>
  <c r="DK287" i="198"/>
  <c r="DJ287" i="198"/>
  <c r="DI287" i="198"/>
  <c r="DH287" i="198"/>
  <c r="DG287" i="198"/>
  <c r="DF287" i="198"/>
  <c r="DE287" i="198"/>
  <c r="DD287" i="198"/>
  <c r="DC287" i="198"/>
  <c r="EM286" i="198"/>
  <c r="EL286" i="198"/>
  <c r="EK286" i="198"/>
  <c r="EJ286" i="198"/>
  <c r="EI286" i="198"/>
  <c r="EH286" i="198"/>
  <c r="EG286" i="198"/>
  <c r="EF286" i="198"/>
  <c r="EE286" i="198"/>
  <c r="ED286" i="198"/>
  <c r="EC286" i="198"/>
  <c r="EB286" i="198"/>
  <c r="EA286" i="198"/>
  <c r="DZ286" i="198"/>
  <c r="DY286" i="198"/>
  <c r="DX286" i="198"/>
  <c r="DW286" i="198"/>
  <c r="DV286" i="198"/>
  <c r="DU286" i="198"/>
  <c r="DT286" i="198"/>
  <c r="DS286" i="198"/>
  <c r="DR286" i="198"/>
  <c r="DQ286" i="198"/>
  <c r="DP286" i="198"/>
  <c r="DO286" i="198"/>
  <c r="DN286" i="198"/>
  <c r="DM286" i="198"/>
  <c r="DL286" i="198"/>
  <c r="DK286" i="198"/>
  <c r="DJ286" i="198"/>
  <c r="DI286" i="198"/>
  <c r="DH286" i="198"/>
  <c r="DG286" i="198"/>
  <c r="DF286" i="198"/>
  <c r="DE286" i="198"/>
  <c r="DD286" i="198"/>
  <c r="DC286" i="198"/>
  <c r="CS288" i="198"/>
  <c r="CR288" i="198"/>
  <c r="CQ288" i="198"/>
  <c r="CP288" i="198"/>
  <c r="CO288" i="198"/>
  <c r="CN288" i="198"/>
  <c r="CM288" i="198"/>
  <c r="CL288" i="198"/>
  <c r="CK288" i="198"/>
  <c r="CJ288" i="198"/>
  <c r="CI288" i="198"/>
  <c r="CH288" i="198"/>
  <c r="CG288" i="198"/>
  <c r="CF288" i="198"/>
  <c r="CE288" i="198"/>
  <c r="CD288" i="198"/>
  <c r="CC288" i="198"/>
  <c r="CB288" i="198"/>
  <c r="CA288" i="198"/>
  <c r="BZ288" i="198"/>
  <c r="BY288" i="198"/>
  <c r="BX288" i="198"/>
  <c r="BW288" i="198"/>
  <c r="BV288" i="198"/>
  <c r="BU288" i="198"/>
  <c r="BT288" i="198"/>
  <c r="BS288" i="198"/>
  <c r="BR288" i="198"/>
  <c r="BQ288" i="198"/>
  <c r="BP288" i="198"/>
  <c r="BO288" i="198"/>
  <c r="BN288" i="198"/>
  <c r="BM288" i="198"/>
  <c r="BL288" i="198"/>
  <c r="BK288" i="198"/>
  <c r="BJ288" i="198"/>
  <c r="BI288" i="198"/>
  <c r="BH288" i="198"/>
  <c r="BG288" i="198"/>
  <c r="BF288" i="198"/>
  <c r="BE288" i="198"/>
  <c r="BD288" i="198"/>
  <c r="BC288" i="198"/>
  <c r="BB288" i="198"/>
  <c r="BA288" i="198"/>
  <c r="AZ288" i="198"/>
  <c r="AY288" i="198"/>
  <c r="AX288" i="198"/>
  <c r="AW288" i="198"/>
  <c r="AV288" i="198"/>
  <c r="AU288" i="198"/>
  <c r="AT288" i="198"/>
  <c r="AS288" i="198"/>
  <c r="AR288" i="198"/>
  <c r="AQ288" i="198"/>
  <c r="AP288" i="198"/>
  <c r="AO288" i="198"/>
  <c r="AN288" i="198"/>
  <c r="AM288" i="198"/>
  <c r="AL288" i="198"/>
  <c r="AK288" i="198"/>
  <c r="AJ288" i="198"/>
  <c r="AI288" i="198"/>
  <c r="AH288" i="198"/>
  <c r="AG288" i="198"/>
  <c r="AF288" i="198"/>
  <c r="AE288" i="198"/>
  <c r="AD288" i="198"/>
  <c r="AC288" i="198"/>
  <c r="AB288" i="198"/>
  <c r="AA288" i="198"/>
  <c r="Z288" i="198"/>
  <c r="Y288" i="198"/>
  <c r="X288" i="198"/>
  <c r="W288" i="198"/>
  <c r="V288" i="198"/>
  <c r="U288" i="198"/>
  <c r="T288" i="198"/>
  <c r="S288" i="198"/>
  <c r="R288" i="198"/>
  <c r="Q288" i="198"/>
  <c r="P288" i="198"/>
  <c r="O288" i="198"/>
  <c r="N288" i="198"/>
  <c r="M288" i="198"/>
  <c r="L288" i="198"/>
  <c r="K288" i="198"/>
  <c r="J288" i="198"/>
  <c r="I288" i="198"/>
  <c r="H288" i="198"/>
  <c r="G288" i="198"/>
  <c r="F288" i="198"/>
  <c r="E288" i="198"/>
  <c r="D288" i="198"/>
  <c r="C288" i="198"/>
  <c r="B288" i="198"/>
  <c r="A288" i="198"/>
  <c r="CS287" i="198"/>
  <c r="CR287" i="198"/>
  <c r="CQ287" i="198"/>
  <c r="CP287" i="198"/>
  <c r="CO287" i="198"/>
  <c r="CN287" i="198"/>
  <c r="CM287" i="198"/>
  <c r="CL287" i="198"/>
  <c r="CK287" i="198"/>
  <c r="CJ287" i="198"/>
  <c r="CI287" i="198"/>
  <c r="CH287" i="198"/>
  <c r="CG287" i="198"/>
  <c r="CF287" i="198"/>
  <c r="CE287" i="198"/>
  <c r="CD287" i="198"/>
  <c r="CC287" i="198"/>
  <c r="CB287" i="198"/>
  <c r="CA287" i="198"/>
  <c r="BZ287" i="198"/>
  <c r="BY287" i="198"/>
  <c r="BX287" i="198"/>
  <c r="BW287" i="198"/>
  <c r="BV287" i="198"/>
  <c r="BU287" i="198"/>
  <c r="BT287" i="198"/>
  <c r="BS287" i="198"/>
  <c r="BR287" i="198"/>
  <c r="BQ287" i="198"/>
  <c r="BP287" i="198"/>
  <c r="BO287" i="198"/>
  <c r="BN287" i="198"/>
  <c r="BM287" i="198"/>
  <c r="BL287" i="198"/>
  <c r="BK287" i="198"/>
  <c r="BJ287" i="198"/>
  <c r="BI287" i="198"/>
  <c r="BH287" i="198"/>
  <c r="BG287" i="198"/>
  <c r="BF287" i="198"/>
  <c r="BE287" i="198"/>
  <c r="BD287" i="198"/>
  <c r="BC287" i="198"/>
  <c r="BB287" i="198"/>
  <c r="BA287" i="198"/>
  <c r="AZ287" i="198"/>
  <c r="AY287" i="198"/>
  <c r="AX287" i="198"/>
  <c r="AW287" i="198"/>
  <c r="AV287" i="198"/>
  <c r="AU287" i="198"/>
  <c r="AT287" i="198"/>
  <c r="AS287" i="198"/>
  <c r="AR287" i="198"/>
  <c r="AQ287" i="198"/>
  <c r="AP287" i="198"/>
  <c r="AO287" i="198"/>
  <c r="AN287" i="198"/>
  <c r="AM287" i="198"/>
  <c r="AL287" i="198"/>
  <c r="AK287" i="198"/>
  <c r="AJ287" i="198"/>
  <c r="AI287" i="198"/>
  <c r="AH287" i="198"/>
  <c r="AG287" i="198"/>
  <c r="AF287" i="198"/>
  <c r="AE287" i="198"/>
  <c r="AD287" i="198"/>
  <c r="AC287" i="198"/>
  <c r="AB287" i="198"/>
  <c r="AA287" i="198"/>
  <c r="Z287" i="198"/>
  <c r="Y287" i="198"/>
  <c r="X287" i="198"/>
  <c r="W287" i="198"/>
  <c r="V287" i="198"/>
  <c r="U287" i="198"/>
  <c r="T287" i="198"/>
  <c r="S287" i="198"/>
  <c r="R287" i="198"/>
  <c r="Q287" i="198"/>
  <c r="P287" i="198"/>
  <c r="O287" i="198"/>
  <c r="N287" i="198"/>
  <c r="M287" i="198"/>
  <c r="L287" i="198"/>
  <c r="K287" i="198"/>
  <c r="J287" i="198"/>
  <c r="I287" i="198"/>
  <c r="H287" i="198"/>
  <c r="G287" i="198"/>
  <c r="F287" i="198"/>
  <c r="E287" i="198"/>
  <c r="D287" i="198"/>
  <c r="C287" i="198"/>
  <c r="B287" i="198"/>
  <c r="A287" i="198"/>
  <c r="DA286" i="198"/>
  <c r="CZ286" i="198"/>
  <c r="CY286" i="198"/>
  <c r="CX286" i="198"/>
  <c r="CW286" i="198"/>
  <c r="CV286" i="198"/>
  <c r="CU286" i="198"/>
  <c r="CT286" i="198"/>
  <c r="CS286" i="198"/>
  <c r="CR286" i="198"/>
  <c r="CQ286" i="198"/>
  <c r="CP286" i="198"/>
  <c r="CO286" i="198"/>
  <c r="CN286" i="198"/>
  <c r="CM286" i="198"/>
  <c r="CL286" i="198"/>
  <c r="CK286" i="198"/>
  <c r="CJ286" i="198"/>
  <c r="CI286" i="198"/>
  <c r="CH286" i="198"/>
  <c r="CG286" i="198"/>
  <c r="CF286" i="198"/>
  <c r="CE286" i="198"/>
  <c r="CD286" i="198"/>
  <c r="CC286" i="198"/>
  <c r="CB286" i="198"/>
  <c r="CA286" i="198"/>
  <c r="BZ286" i="198"/>
  <c r="BY286" i="198"/>
  <c r="BX286" i="198"/>
  <c r="BW286" i="198"/>
  <c r="BV286" i="198"/>
  <c r="BU286" i="198"/>
  <c r="BT286" i="198"/>
  <c r="BS286" i="198"/>
  <c r="BR286" i="198"/>
  <c r="BQ286" i="198"/>
  <c r="BP286" i="198"/>
  <c r="BO286" i="198"/>
  <c r="BN286" i="198"/>
  <c r="BM286" i="198"/>
  <c r="BL286" i="198"/>
  <c r="BK286" i="198"/>
  <c r="BJ286" i="198"/>
  <c r="BI286" i="198"/>
  <c r="BH286" i="198"/>
  <c r="BG286" i="198"/>
  <c r="BF286" i="198"/>
  <c r="BE286" i="198"/>
  <c r="BD286" i="198"/>
  <c r="BC286" i="198"/>
  <c r="BB286" i="198"/>
  <c r="BA286" i="198"/>
  <c r="AZ286" i="198"/>
  <c r="AY286" i="198"/>
  <c r="AX286" i="198"/>
  <c r="AW286" i="198"/>
  <c r="AV286" i="198"/>
  <c r="AU286" i="198"/>
  <c r="AT286" i="198"/>
  <c r="AS286" i="198"/>
  <c r="AR286" i="198"/>
  <c r="AQ286" i="198"/>
  <c r="AP286" i="198"/>
  <c r="AO286" i="198"/>
  <c r="AN286" i="198"/>
  <c r="AM286" i="198"/>
  <c r="AL286" i="198"/>
  <c r="AK286" i="198"/>
  <c r="AJ286" i="198"/>
  <c r="AI286" i="198"/>
  <c r="AH286" i="198"/>
  <c r="AG286" i="198"/>
  <c r="AF286" i="198"/>
  <c r="AE286" i="198"/>
  <c r="AD286" i="198"/>
  <c r="AC286" i="198"/>
  <c r="AB286" i="198"/>
  <c r="AA286" i="198"/>
  <c r="Z286" i="198"/>
  <c r="Y286" i="198"/>
  <c r="X286" i="198"/>
  <c r="W286" i="198"/>
  <c r="V286" i="198"/>
  <c r="U286" i="198"/>
  <c r="T286" i="198"/>
  <c r="S286" i="198"/>
  <c r="R286" i="198"/>
  <c r="Q286" i="198"/>
  <c r="P286" i="198"/>
  <c r="O286" i="198"/>
  <c r="N286" i="198"/>
  <c r="M286" i="198"/>
  <c r="L286" i="198"/>
  <c r="K286" i="198"/>
  <c r="J286" i="198"/>
  <c r="I286" i="198"/>
  <c r="H286" i="198"/>
  <c r="G286" i="198"/>
  <c r="F286" i="198"/>
  <c r="E286" i="198"/>
  <c r="D286" i="198"/>
  <c r="C286" i="198"/>
  <c r="B286" i="198"/>
  <c r="A286" i="198"/>
  <c r="A281" i="198"/>
  <c r="EB274" i="198"/>
  <c r="EA274" i="198"/>
  <c r="DZ274" i="198"/>
  <c r="DY274" i="198"/>
  <c r="DX274" i="198"/>
  <c r="DW274" i="198"/>
  <c r="DV274" i="198"/>
  <c r="DU274" i="198"/>
  <c r="DT274" i="198"/>
  <c r="DS274" i="198"/>
  <c r="DR274" i="198"/>
  <c r="DQ274" i="198"/>
  <c r="DP274" i="198"/>
  <c r="DO274" i="198"/>
  <c r="DN274" i="198"/>
  <c r="DM274" i="198"/>
  <c r="DL274" i="198"/>
  <c r="DK274" i="198"/>
  <c r="DJ274" i="198"/>
  <c r="DI274" i="198"/>
  <c r="DH274" i="198"/>
  <c r="DG274" i="198"/>
  <c r="DF274" i="198"/>
  <c r="DE274" i="198"/>
  <c r="DD274" i="198"/>
  <c r="DC274" i="198"/>
  <c r="CU274" i="198"/>
  <c r="CT274" i="198"/>
  <c r="CS274" i="198"/>
  <c r="CR274" i="198"/>
  <c r="CQ274" i="198"/>
  <c r="CP274" i="198"/>
  <c r="CO274" i="198"/>
  <c r="CN274" i="198"/>
  <c r="CM274" i="198"/>
  <c r="CL274" i="198"/>
  <c r="CK274" i="198"/>
  <c r="CJ274" i="198"/>
  <c r="CI274" i="198"/>
  <c r="CH274" i="198"/>
  <c r="CG274" i="198"/>
  <c r="CF274" i="198"/>
  <c r="CE274" i="198"/>
  <c r="CD274" i="198"/>
  <c r="CC274" i="198"/>
  <c r="CB274" i="198"/>
  <c r="CA274" i="198"/>
  <c r="BZ274" i="198"/>
  <c r="BY274" i="198"/>
  <c r="BX274" i="198"/>
  <c r="BW274" i="198"/>
  <c r="BV274" i="198"/>
  <c r="BU274" i="198"/>
  <c r="BT274" i="198"/>
  <c r="BS274" i="198"/>
  <c r="BR274" i="198"/>
  <c r="BQ274" i="198"/>
  <c r="BP274" i="198"/>
  <c r="BO274" i="198"/>
  <c r="BN274" i="198"/>
  <c r="BM274" i="198"/>
  <c r="BL274" i="198"/>
  <c r="BK274" i="198"/>
  <c r="BJ274" i="198"/>
  <c r="BI274" i="198"/>
  <c r="BH274" i="198"/>
  <c r="BG274" i="198"/>
  <c r="BF274" i="198"/>
  <c r="BE274" i="198"/>
  <c r="BD274" i="198"/>
  <c r="BC274" i="198"/>
  <c r="BB274" i="198"/>
  <c r="BA274" i="198"/>
  <c r="AZ274" i="198"/>
  <c r="AY274" i="198"/>
  <c r="AX274" i="198"/>
  <c r="AW274" i="198"/>
  <c r="AV274" i="198"/>
  <c r="AU274" i="198"/>
  <c r="AT274" i="198"/>
  <c r="AS274" i="198"/>
  <c r="AR274" i="198"/>
  <c r="AQ274" i="198"/>
  <c r="AP274" i="198"/>
  <c r="AO274" i="198"/>
  <c r="AN274" i="198"/>
  <c r="AM274" i="198"/>
  <c r="AL274" i="198"/>
  <c r="AK274" i="198"/>
  <c r="AJ274" i="198"/>
  <c r="AI274" i="198"/>
  <c r="AH274" i="198"/>
  <c r="AG274" i="198"/>
  <c r="AF274" i="198"/>
  <c r="AE274" i="198"/>
  <c r="AD274" i="198"/>
  <c r="AC274" i="198"/>
  <c r="AB274" i="198"/>
  <c r="AA274" i="198"/>
  <c r="Z274" i="198"/>
  <c r="Y274" i="198"/>
  <c r="X274" i="198"/>
  <c r="W274" i="198"/>
  <c r="V274" i="198"/>
  <c r="U274" i="198"/>
  <c r="T274" i="198"/>
  <c r="S274" i="198"/>
  <c r="R274" i="198"/>
  <c r="Q274" i="198"/>
  <c r="P274" i="198"/>
  <c r="O274" i="198"/>
  <c r="N274" i="198"/>
  <c r="M274" i="198"/>
  <c r="L274" i="198"/>
  <c r="K274" i="198"/>
  <c r="J274" i="198"/>
  <c r="I274" i="198"/>
  <c r="H274" i="198"/>
  <c r="G274" i="198"/>
  <c r="F274" i="198"/>
  <c r="E274" i="198"/>
  <c r="D274" i="198"/>
  <c r="C274" i="198"/>
  <c r="B274" i="198"/>
  <c r="A274" i="198"/>
  <c r="EM272" i="198"/>
  <c r="EB272" i="198"/>
  <c r="EA272" i="198"/>
  <c r="DZ272" i="198"/>
  <c r="DY272" i="198"/>
  <c r="DX272" i="198"/>
  <c r="DW272" i="198"/>
  <c r="DV272" i="198"/>
  <c r="DU272" i="198"/>
  <c r="DT272" i="198"/>
  <c r="DS272" i="198"/>
  <c r="DR272" i="198"/>
  <c r="DQ272" i="198"/>
  <c r="DP272" i="198"/>
  <c r="DO272" i="198"/>
  <c r="DN272" i="198"/>
  <c r="DM272" i="198"/>
  <c r="DL272" i="198"/>
  <c r="DK272" i="198"/>
  <c r="DJ272" i="198"/>
  <c r="DI272" i="198"/>
  <c r="DH272" i="198"/>
  <c r="DG272" i="198"/>
  <c r="DF272" i="198"/>
  <c r="DE272" i="198"/>
  <c r="DD272" i="198"/>
  <c r="DC272" i="198"/>
  <c r="EM271" i="198"/>
  <c r="EL271" i="198"/>
  <c r="EK271" i="198"/>
  <c r="EJ271" i="198"/>
  <c r="EI271" i="198"/>
  <c r="EH271" i="198"/>
  <c r="EG271" i="198"/>
  <c r="EE271" i="198"/>
  <c r="EB271" i="198"/>
  <c r="EA271" i="198"/>
  <c r="DZ271" i="198"/>
  <c r="DY271" i="198"/>
  <c r="DX271" i="198"/>
  <c r="DW271" i="198"/>
  <c r="DV271" i="198"/>
  <c r="DU271" i="198"/>
  <c r="DT271" i="198"/>
  <c r="DS271" i="198"/>
  <c r="DR271" i="198"/>
  <c r="DQ271" i="198"/>
  <c r="DP271" i="198"/>
  <c r="DO271" i="198"/>
  <c r="DN271" i="198"/>
  <c r="DM271" i="198"/>
  <c r="DL271" i="198"/>
  <c r="DK271" i="198"/>
  <c r="DJ271" i="198"/>
  <c r="DI271" i="198"/>
  <c r="DH271" i="198"/>
  <c r="DG271" i="198"/>
  <c r="DF271" i="198"/>
  <c r="DE271" i="198"/>
  <c r="DD271" i="198"/>
  <c r="DC271" i="198"/>
  <c r="EM270" i="198"/>
  <c r="EL270" i="198"/>
  <c r="EK270" i="198"/>
  <c r="EJ270" i="198"/>
  <c r="EI270" i="198"/>
  <c r="EH270" i="198"/>
  <c r="EG270" i="198"/>
  <c r="EE270" i="198"/>
  <c r="EB270" i="198"/>
  <c r="EA270" i="198"/>
  <c r="DZ270" i="198"/>
  <c r="DY270" i="198"/>
  <c r="DX270" i="198"/>
  <c r="DW270" i="198"/>
  <c r="DV270" i="198"/>
  <c r="DU270" i="198"/>
  <c r="DT270" i="198"/>
  <c r="DS270" i="198"/>
  <c r="DR270" i="198"/>
  <c r="DQ270" i="198"/>
  <c r="DP270" i="198"/>
  <c r="DO270" i="198"/>
  <c r="DN270" i="198"/>
  <c r="DM270" i="198"/>
  <c r="DL270" i="198"/>
  <c r="DK270" i="198"/>
  <c r="DJ270" i="198"/>
  <c r="DI270" i="198"/>
  <c r="DH270" i="198"/>
  <c r="DG270" i="198"/>
  <c r="DF270" i="198"/>
  <c r="DE270" i="198"/>
  <c r="DD270" i="198"/>
  <c r="DC270" i="198"/>
  <c r="EB269" i="198"/>
  <c r="EA269" i="198"/>
  <c r="DZ269" i="198"/>
  <c r="DY269" i="198"/>
  <c r="DX269" i="198"/>
  <c r="DW269" i="198"/>
  <c r="DV269" i="198"/>
  <c r="DU269" i="198"/>
  <c r="DT269" i="198"/>
  <c r="DS269" i="198"/>
  <c r="DR269" i="198"/>
  <c r="DQ269" i="198"/>
  <c r="DP269" i="198"/>
  <c r="DO269" i="198"/>
  <c r="DN269" i="198"/>
  <c r="DM269" i="198"/>
  <c r="DL269" i="198"/>
  <c r="DK269" i="198"/>
  <c r="DJ269" i="198"/>
  <c r="DI269" i="198"/>
  <c r="DH269" i="198"/>
  <c r="DG269" i="198"/>
  <c r="DF269" i="198"/>
  <c r="DE269" i="198"/>
  <c r="DD269" i="198"/>
  <c r="DC269" i="198"/>
  <c r="CS272" i="198"/>
  <c r="CR272" i="198"/>
  <c r="CQ272" i="198"/>
  <c r="CP272" i="198"/>
  <c r="CO272" i="198"/>
  <c r="CN272" i="198"/>
  <c r="CM272" i="198"/>
  <c r="CL272" i="198"/>
  <c r="CK272" i="198"/>
  <c r="CJ272" i="198"/>
  <c r="CI272" i="198"/>
  <c r="CH272" i="198"/>
  <c r="CG272" i="198"/>
  <c r="CF272" i="198"/>
  <c r="CE272" i="198"/>
  <c r="CD272" i="198"/>
  <c r="CC272" i="198"/>
  <c r="CB272" i="198"/>
  <c r="CA272" i="198"/>
  <c r="BZ272" i="198"/>
  <c r="BY272" i="198"/>
  <c r="BX272" i="198"/>
  <c r="BW272" i="198"/>
  <c r="BV272" i="198"/>
  <c r="BU272" i="198"/>
  <c r="BT272" i="198"/>
  <c r="BS272" i="198"/>
  <c r="BR272" i="198"/>
  <c r="BQ272" i="198"/>
  <c r="BP272" i="198"/>
  <c r="BO272" i="198"/>
  <c r="BN272" i="198"/>
  <c r="BM272" i="198"/>
  <c r="BL272" i="198"/>
  <c r="BK272" i="198"/>
  <c r="BJ272" i="198"/>
  <c r="BI272" i="198"/>
  <c r="BH272" i="198"/>
  <c r="BG272" i="198"/>
  <c r="BF272" i="198"/>
  <c r="BE272" i="198"/>
  <c r="BD272" i="198"/>
  <c r="BC272" i="198"/>
  <c r="BB272" i="198"/>
  <c r="BA272" i="198"/>
  <c r="AZ272" i="198"/>
  <c r="AY272" i="198"/>
  <c r="AX272" i="198"/>
  <c r="AW272" i="198"/>
  <c r="AV272" i="198"/>
  <c r="AU272" i="198"/>
  <c r="AT272" i="198"/>
  <c r="AS272" i="198"/>
  <c r="AR272" i="198"/>
  <c r="AQ272" i="198"/>
  <c r="AP272" i="198"/>
  <c r="AO272" i="198"/>
  <c r="AN272" i="198"/>
  <c r="AM272" i="198"/>
  <c r="AL272" i="198"/>
  <c r="AK272" i="198"/>
  <c r="AJ272" i="198"/>
  <c r="AI272" i="198"/>
  <c r="AH272" i="198"/>
  <c r="AG272" i="198"/>
  <c r="AF272" i="198"/>
  <c r="AE272" i="198"/>
  <c r="AD272" i="198"/>
  <c r="AC272" i="198"/>
  <c r="AB272" i="198"/>
  <c r="AA272" i="198"/>
  <c r="Z272" i="198"/>
  <c r="Y272" i="198"/>
  <c r="X272" i="198"/>
  <c r="W272" i="198"/>
  <c r="V272" i="198"/>
  <c r="U272" i="198"/>
  <c r="T272" i="198"/>
  <c r="S272" i="198"/>
  <c r="R272" i="198"/>
  <c r="Q272" i="198"/>
  <c r="P272" i="198"/>
  <c r="O272" i="198"/>
  <c r="N272" i="198"/>
  <c r="M272" i="198"/>
  <c r="L272" i="198"/>
  <c r="K272" i="198"/>
  <c r="J272" i="198"/>
  <c r="I272" i="198"/>
  <c r="H272" i="198"/>
  <c r="G272" i="198"/>
  <c r="F272" i="198"/>
  <c r="E272" i="198"/>
  <c r="D272" i="198"/>
  <c r="C272" i="198"/>
  <c r="B272" i="198"/>
  <c r="A272" i="198"/>
  <c r="DA271" i="198"/>
  <c r="CZ271" i="198"/>
  <c r="CY271" i="198"/>
  <c r="CX271" i="198"/>
  <c r="CW271" i="198"/>
  <c r="CV271" i="198"/>
  <c r="CU271" i="198"/>
  <c r="CT271" i="198"/>
  <c r="CS271" i="198"/>
  <c r="CR271" i="198"/>
  <c r="CQ271" i="198"/>
  <c r="CP271" i="198"/>
  <c r="CO271" i="198"/>
  <c r="CN271" i="198"/>
  <c r="CM271" i="198"/>
  <c r="CL271" i="198"/>
  <c r="CK271" i="198"/>
  <c r="CJ271" i="198"/>
  <c r="CI271" i="198"/>
  <c r="CH271" i="198"/>
  <c r="CG271" i="198"/>
  <c r="CF271" i="198"/>
  <c r="CE271" i="198"/>
  <c r="CD271" i="198"/>
  <c r="CC271" i="198"/>
  <c r="CB271" i="198"/>
  <c r="CA271" i="198"/>
  <c r="BZ271" i="198"/>
  <c r="BY271" i="198"/>
  <c r="BX271" i="198"/>
  <c r="BW271" i="198"/>
  <c r="BV271" i="198"/>
  <c r="BU271" i="198"/>
  <c r="BT271" i="198"/>
  <c r="BS271" i="198"/>
  <c r="BR271" i="198"/>
  <c r="BQ271" i="198"/>
  <c r="BP271" i="198"/>
  <c r="BO271" i="198"/>
  <c r="BN271" i="198"/>
  <c r="BM271" i="198"/>
  <c r="BL271" i="198"/>
  <c r="BK271" i="198"/>
  <c r="BJ271" i="198"/>
  <c r="BI271" i="198"/>
  <c r="BH271" i="198"/>
  <c r="BG271" i="198"/>
  <c r="BF271" i="198"/>
  <c r="BE271" i="198"/>
  <c r="BD271" i="198"/>
  <c r="BC271" i="198"/>
  <c r="BB271" i="198"/>
  <c r="BA271" i="198"/>
  <c r="AZ271" i="198"/>
  <c r="AY271" i="198"/>
  <c r="AX271" i="198"/>
  <c r="AW271" i="198"/>
  <c r="AV271" i="198"/>
  <c r="AU271" i="198"/>
  <c r="AT271" i="198"/>
  <c r="AS271" i="198"/>
  <c r="AR271" i="198"/>
  <c r="AQ271" i="198"/>
  <c r="AP271" i="198"/>
  <c r="AO271" i="198"/>
  <c r="AN271" i="198"/>
  <c r="AM271" i="198"/>
  <c r="AL271" i="198"/>
  <c r="AK271" i="198"/>
  <c r="AJ271" i="198"/>
  <c r="AI271" i="198"/>
  <c r="AH271" i="198"/>
  <c r="AG271" i="198"/>
  <c r="AF271" i="198"/>
  <c r="AE271" i="198"/>
  <c r="AD271" i="198"/>
  <c r="AC271" i="198"/>
  <c r="AB271" i="198"/>
  <c r="AA271" i="198"/>
  <c r="Z271" i="198"/>
  <c r="Y271" i="198"/>
  <c r="X271" i="198"/>
  <c r="W271" i="198"/>
  <c r="V271" i="198"/>
  <c r="U271" i="198"/>
  <c r="T271" i="198"/>
  <c r="S271" i="198"/>
  <c r="R271" i="198"/>
  <c r="Q271" i="198"/>
  <c r="P271" i="198"/>
  <c r="O271" i="198"/>
  <c r="N271" i="198"/>
  <c r="M271" i="198"/>
  <c r="L271" i="198"/>
  <c r="K271" i="198"/>
  <c r="J271" i="198"/>
  <c r="I271" i="198"/>
  <c r="H271" i="198"/>
  <c r="G271" i="198"/>
  <c r="F271" i="198"/>
  <c r="E271" i="198"/>
  <c r="D271" i="198"/>
  <c r="C271" i="198"/>
  <c r="B271" i="198"/>
  <c r="A271" i="198"/>
  <c r="DA270" i="198"/>
  <c r="CZ270" i="198"/>
  <c r="CY270" i="198"/>
  <c r="CX270" i="198"/>
  <c r="CW270" i="198"/>
  <c r="CV270" i="198"/>
  <c r="CU270" i="198"/>
  <c r="CT270" i="198"/>
  <c r="CS270" i="198"/>
  <c r="CR270" i="198"/>
  <c r="CQ270" i="198"/>
  <c r="CP270" i="198"/>
  <c r="CO270" i="198"/>
  <c r="CN270" i="198"/>
  <c r="CM270" i="198"/>
  <c r="CL270" i="198"/>
  <c r="CK270" i="198"/>
  <c r="CJ270" i="198"/>
  <c r="CI270" i="198"/>
  <c r="CH270" i="198"/>
  <c r="CG270" i="198"/>
  <c r="CF270" i="198"/>
  <c r="CE270" i="198"/>
  <c r="CD270" i="198"/>
  <c r="CC270" i="198"/>
  <c r="CB270" i="198"/>
  <c r="CA270" i="198"/>
  <c r="BZ270" i="198"/>
  <c r="BY270" i="198"/>
  <c r="BX270" i="198"/>
  <c r="BW270" i="198"/>
  <c r="BV270" i="198"/>
  <c r="BU270" i="198"/>
  <c r="BT270" i="198"/>
  <c r="BS270" i="198"/>
  <c r="BR270" i="198"/>
  <c r="BQ270" i="198"/>
  <c r="BP270" i="198"/>
  <c r="BO270" i="198"/>
  <c r="BN270" i="198"/>
  <c r="BM270" i="198"/>
  <c r="BL270" i="198"/>
  <c r="BK270" i="198"/>
  <c r="BJ270" i="198"/>
  <c r="BI270" i="198"/>
  <c r="BH270" i="198"/>
  <c r="BG270" i="198"/>
  <c r="BF270" i="198"/>
  <c r="BE270" i="198"/>
  <c r="BD270" i="198"/>
  <c r="BC270" i="198"/>
  <c r="BB270" i="198"/>
  <c r="BA270" i="198"/>
  <c r="AZ270" i="198"/>
  <c r="AY270" i="198"/>
  <c r="AX270" i="198"/>
  <c r="AW270" i="198"/>
  <c r="AV270" i="198"/>
  <c r="AU270" i="198"/>
  <c r="AT270" i="198"/>
  <c r="AS270" i="198"/>
  <c r="AR270" i="198"/>
  <c r="AQ270" i="198"/>
  <c r="AP270" i="198"/>
  <c r="AO270" i="198"/>
  <c r="AN270" i="198"/>
  <c r="AM270" i="198"/>
  <c r="AL270" i="198"/>
  <c r="AK270" i="198"/>
  <c r="AJ270" i="198"/>
  <c r="AI270" i="198"/>
  <c r="AH270" i="198"/>
  <c r="AG270" i="198"/>
  <c r="AF270" i="198"/>
  <c r="AE270" i="198"/>
  <c r="AD270" i="198"/>
  <c r="AC270" i="198"/>
  <c r="AB270" i="198"/>
  <c r="AA270" i="198"/>
  <c r="Z270" i="198"/>
  <c r="Y270" i="198"/>
  <c r="X270" i="198"/>
  <c r="W270" i="198"/>
  <c r="V270" i="198"/>
  <c r="U270" i="198"/>
  <c r="T270" i="198"/>
  <c r="S270" i="198"/>
  <c r="R270" i="198"/>
  <c r="Q270" i="198"/>
  <c r="P270" i="198"/>
  <c r="O270" i="198"/>
  <c r="N270" i="198"/>
  <c r="M270" i="198"/>
  <c r="L270" i="198"/>
  <c r="K270" i="198"/>
  <c r="J270" i="198"/>
  <c r="I270" i="198"/>
  <c r="H270" i="198"/>
  <c r="G270" i="198"/>
  <c r="F270" i="198"/>
  <c r="E270" i="198"/>
  <c r="D270" i="198"/>
  <c r="C270" i="198"/>
  <c r="B270" i="198"/>
  <c r="A270" i="198"/>
  <c r="CU269" i="198"/>
  <c r="CT269" i="198"/>
  <c r="CS269" i="198"/>
  <c r="CR269" i="198"/>
  <c r="CQ269" i="198"/>
  <c r="CP269" i="198"/>
  <c r="CO269" i="198"/>
  <c r="CN269" i="198"/>
  <c r="CM269" i="198"/>
  <c r="CL269" i="198"/>
  <c r="CK269" i="198"/>
  <c r="CJ269" i="198"/>
  <c r="CI269" i="198"/>
  <c r="CH269" i="198"/>
  <c r="CG269" i="198"/>
  <c r="CF269" i="198"/>
  <c r="CE269" i="198"/>
  <c r="CD269" i="198"/>
  <c r="CC269" i="198"/>
  <c r="CB269" i="198"/>
  <c r="CA269" i="198"/>
  <c r="BZ269" i="198"/>
  <c r="BY269" i="198"/>
  <c r="BX269" i="198"/>
  <c r="BW269" i="198"/>
  <c r="BV269" i="198"/>
  <c r="BU269" i="198"/>
  <c r="BT269" i="198"/>
  <c r="BS269" i="198"/>
  <c r="BR269" i="198"/>
  <c r="BQ269" i="198"/>
  <c r="BP269" i="198"/>
  <c r="BO269" i="198"/>
  <c r="BN269" i="198"/>
  <c r="BM269" i="198"/>
  <c r="BL269" i="198"/>
  <c r="BK269" i="198"/>
  <c r="BJ269" i="198"/>
  <c r="BI269" i="198"/>
  <c r="BH269" i="198"/>
  <c r="BG269" i="198"/>
  <c r="BF269" i="198"/>
  <c r="BE269" i="198"/>
  <c r="BD269" i="198"/>
  <c r="BC269" i="198"/>
  <c r="BB269" i="198"/>
  <c r="BA269" i="198"/>
  <c r="AZ269" i="198"/>
  <c r="AY269" i="198"/>
  <c r="AX269" i="198"/>
  <c r="AW269" i="198"/>
  <c r="AV269" i="198"/>
  <c r="AU269" i="198"/>
  <c r="AT269" i="198"/>
  <c r="AS269" i="198"/>
  <c r="AR269" i="198"/>
  <c r="AQ269" i="198"/>
  <c r="AP269" i="198"/>
  <c r="AO269" i="198"/>
  <c r="AN269" i="198"/>
  <c r="AM269" i="198"/>
  <c r="AL269" i="198"/>
  <c r="AK269" i="198"/>
  <c r="AJ269" i="198"/>
  <c r="AI269" i="198"/>
  <c r="AH269" i="198"/>
  <c r="AG269" i="198"/>
  <c r="AF269" i="198"/>
  <c r="AE269" i="198"/>
  <c r="AD269" i="198"/>
  <c r="AC269" i="198"/>
  <c r="AB269" i="198"/>
  <c r="AA269" i="198"/>
  <c r="Z269" i="198"/>
  <c r="Y269" i="198"/>
  <c r="X269" i="198"/>
  <c r="W269" i="198"/>
  <c r="V269" i="198"/>
  <c r="U269" i="198"/>
  <c r="T269" i="198"/>
  <c r="S269" i="198"/>
  <c r="R269" i="198"/>
  <c r="Q269" i="198"/>
  <c r="P269" i="198"/>
  <c r="O269" i="198"/>
  <c r="N269" i="198"/>
  <c r="M269" i="198"/>
  <c r="L269" i="198"/>
  <c r="K269" i="198"/>
  <c r="J269" i="198"/>
  <c r="I269" i="198"/>
  <c r="H269" i="198"/>
  <c r="G269" i="198"/>
  <c r="F269" i="198"/>
  <c r="E269" i="198"/>
  <c r="D269" i="198"/>
  <c r="C269" i="198"/>
  <c r="B269" i="198"/>
  <c r="A269" i="198"/>
  <c r="EB267" i="198"/>
  <c r="EA267" i="198"/>
  <c r="DZ267" i="198"/>
  <c r="DY267" i="198"/>
  <c r="DX267" i="198"/>
  <c r="DW267" i="198"/>
  <c r="DV267" i="198"/>
  <c r="DU267" i="198"/>
  <c r="DT267" i="198"/>
  <c r="DS267" i="198"/>
  <c r="DR267" i="198"/>
  <c r="DQ267" i="198"/>
  <c r="DP267" i="198"/>
  <c r="DO267" i="198"/>
  <c r="DN267" i="198"/>
  <c r="DM267" i="198"/>
  <c r="DL267" i="198"/>
  <c r="DK267" i="198"/>
  <c r="DJ267" i="198"/>
  <c r="DI267" i="198"/>
  <c r="DH267" i="198"/>
  <c r="DG267" i="198"/>
  <c r="DF267" i="198"/>
  <c r="DE267" i="198"/>
  <c r="DD267" i="198"/>
  <c r="DC267" i="198"/>
  <c r="EB266" i="198"/>
  <c r="EA266" i="198"/>
  <c r="DZ266" i="198"/>
  <c r="DY266" i="198"/>
  <c r="DX266" i="198"/>
  <c r="DW266" i="198"/>
  <c r="DV266" i="198"/>
  <c r="DU266" i="198"/>
  <c r="DT266" i="198"/>
  <c r="DS266" i="198"/>
  <c r="DR266" i="198"/>
  <c r="DQ266" i="198"/>
  <c r="DP266" i="198"/>
  <c r="DO266" i="198"/>
  <c r="DN266" i="198"/>
  <c r="DM266" i="198"/>
  <c r="DL266" i="198"/>
  <c r="DK266" i="198"/>
  <c r="DJ266" i="198"/>
  <c r="DI266" i="198"/>
  <c r="DH266" i="198"/>
  <c r="DG266" i="198"/>
  <c r="DF266" i="198"/>
  <c r="DE266" i="198"/>
  <c r="DD266" i="198"/>
  <c r="DC266" i="198"/>
  <c r="EB265" i="198"/>
  <c r="EA265" i="198"/>
  <c r="DZ265" i="198"/>
  <c r="DY265" i="198"/>
  <c r="DX265" i="198"/>
  <c r="DW265" i="198"/>
  <c r="DV265" i="198"/>
  <c r="DU265" i="198"/>
  <c r="DT265" i="198"/>
  <c r="DS265" i="198"/>
  <c r="DR265" i="198"/>
  <c r="DQ265" i="198"/>
  <c r="DP265" i="198"/>
  <c r="DO265" i="198"/>
  <c r="DN265" i="198"/>
  <c r="DM265" i="198"/>
  <c r="DL265" i="198"/>
  <c r="DK265" i="198"/>
  <c r="DJ265" i="198"/>
  <c r="DI265" i="198"/>
  <c r="DH265" i="198"/>
  <c r="DG265" i="198"/>
  <c r="DF265" i="198"/>
  <c r="DE265" i="198"/>
  <c r="DD265" i="198"/>
  <c r="DC265" i="198"/>
  <c r="EB264" i="198"/>
  <c r="EA264" i="198"/>
  <c r="DZ264" i="198"/>
  <c r="DY264" i="198"/>
  <c r="DX264" i="198"/>
  <c r="DW264" i="198"/>
  <c r="DV264" i="198"/>
  <c r="DU264" i="198"/>
  <c r="DT264" i="198"/>
  <c r="DS264" i="198"/>
  <c r="DR264" i="198"/>
  <c r="DQ264" i="198"/>
  <c r="DP264" i="198"/>
  <c r="DO264" i="198"/>
  <c r="DN264" i="198"/>
  <c r="DM264" i="198"/>
  <c r="DL264" i="198"/>
  <c r="DK264" i="198"/>
  <c r="DJ264" i="198"/>
  <c r="DI264" i="198"/>
  <c r="DH264" i="198"/>
  <c r="DG264" i="198"/>
  <c r="DF264" i="198"/>
  <c r="DE264" i="198"/>
  <c r="DD264" i="198"/>
  <c r="DC264" i="198"/>
  <c r="CS267" i="198"/>
  <c r="CR267" i="198"/>
  <c r="CQ267" i="198"/>
  <c r="CP267" i="198"/>
  <c r="CO267" i="198"/>
  <c r="CN267" i="198"/>
  <c r="CM267" i="198"/>
  <c r="CL267" i="198"/>
  <c r="CK267" i="198"/>
  <c r="CJ267" i="198"/>
  <c r="CI267" i="198"/>
  <c r="CH267" i="198"/>
  <c r="CG267" i="198"/>
  <c r="CF267" i="198"/>
  <c r="CE267" i="198"/>
  <c r="CD267" i="198"/>
  <c r="CC267" i="198"/>
  <c r="CB267" i="198"/>
  <c r="CA267" i="198"/>
  <c r="BZ267" i="198"/>
  <c r="BY267" i="198"/>
  <c r="BX267" i="198"/>
  <c r="BW267" i="198"/>
  <c r="BV267" i="198"/>
  <c r="BU267" i="198"/>
  <c r="BT267" i="198"/>
  <c r="BS267" i="198"/>
  <c r="BR267" i="198"/>
  <c r="BQ267" i="198"/>
  <c r="BP267" i="198"/>
  <c r="BO267" i="198"/>
  <c r="BN267" i="198"/>
  <c r="BM267" i="198"/>
  <c r="BL267" i="198"/>
  <c r="BK267" i="198"/>
  <c r="BJ267" i="198"/>
  <c r="BI267" i="198"/>
  <c r="BH267" i="198"/>
  <c r="BG267" i="198"/>
  <c r="BF267" i="198"/>
  <c r="BE267" i="198"/>
  <c r="BD267" i="198"/>
  <c r="BC267" i="198"/>
  <c r="BB267" i="198"/>
  <c r="BA267" i="198"/>
  <c r="AZ267" i="198"/>
  <c r="AY267" i="198"/>
  <c r="AX267" i="198"/>
  <c r="AW267" i="198"/>
  <c r="AV267" i="198"/>
  <c r="AU267" i="198"/>
  <c r="AT267" i="198"/>
  <c r="AS267" i="198"/>
  <c r="AR267" i="198"/>
  <c r="AQ267" i="198"/>
  <c r="AP267" i="198"/>
  <c r="AO267" i="198"/>
  <c r="AN267" i="198"/>
  <c r="AM267" i="198"/>
  <c r="AL267" i="198"/>
  <c r="AK267" i="198"/>
  <c r="AJ267" i="198"/>
  <c r="AI267" i="198"/>
  <c r="AH267" i="198"/>
  <c r="AG267" i="198"/>
  <c r="AF267" i="198"/>
  <c r="AE267" i="198"/>
  <c r="AD267" i="198"/>
  <c r="AC267" i="198"/>
  <c r="AB267" i="198"/>
  <c r="AA267" i="198"/>
  <c r="Z267" i="198"/>
  <c r="Y267" i="198"/>
  <c r="X267" i="198"/>
  <c r="W267" i="198"/>
  <c r="V267" i="198"/>
  <c r="U267" i="198"/>
  <c r="T267" i="198"/>
  <c r="S267" i="198"/>
  <c r="R267" i="198"/>
  <c r="Q267" i="198"/>
  <c r="P267" i="198"/>
  <c r="O267" i="198"/>
  <c r="N267" i="198"/>
  <c r="M267" i="198"/>
  <c r="L267" i="198"/>
  <c r="K267" i="198"/>
  <c r="J267" i="198"/>
  <c r="I267" i="198"/>
  <c r="H267" i="198"/>
  <c r="G267" i="198"/>
  <c r="F267" i="198"/>
  <c r="E267" i="198"/>
  <c r="D267" i="198"/>
  <c r="C267" i="198"/>
  <c r="B267" i="198"/>
  <c r="A267" i="198"/>
  <c r="CS266" i="198"/>
  <c r="CR266" i="198"/>
  <c r="CQ266" i="198"/>
  <c r="CP266" i="198"/>
  <c r="CO266" i="198"/>
  <c r="CN266" i="198"/>
  <c r="CM266" i="198"/>
  <c r="CL266" i="198"/>
  <c r="CK266" i="198"/>
  <c r="CJ266" i="198"/>
  <c r="CI266" i="198"/>
  <c r="CH266" i="198"/>
  <c r="CG266" i="198"/>
  <c r="CF266" i="198"/>
  <c r="CE266" i="198"/>
  <c r="CD266" i="198"/>
  <c r="CC266" i="198"/>
  <c r="CB266" i="198"/>
  <c r="CA266" i="198"/>
  <c r="BZ266" i="198"/>
  <c r="BY266" i="198"/>
  <c r="BX266" i="198"/>
  <c r="BW266" i="198"/>
  <c r="BV266" i="198"/>
  <c r="BU266" i="198"/>
  <c r="BT266" i="198"/>
  <c r="BS266" i="198"/>
  <c r="BR266" i="198"/>
  <c r="BQ266" i="198"/>
  <c r="BP266" i="198"/>
  <c r="BO266" i="198"/>
  <c r="BN266" i="198"/>
  <c r="BM266" i="198"/>
  <c r="BL266" i="198"/>
  <c r="BK266" i="198"/>
  <c r="BJ266" i="198"/>
  <c r="BI266" i="198"/>
  <c r="BH266" i="198"/>
  <c r="BG266" i="198"/>
  <c r="BF266" i="198"/>
  <c r="BE266" i="198"/>
  <c r="BD266" i="198"/>
  <c r="BC266" i="198"/>
  <c r="BB266" i="198"/>
  <c r="BA266" i="198"/>
  <c r="AZ266" i="198"/>
  <c r="AY266" i="198"/>
  <c r="AX266" i="198"/>
  <c r="AW266" i="198"/>
  <c r="AV266" i="198"/>
  <c r="AU266" i="198"/>
  <c r="AT266" i="198"/>
  <c r="AS266" i="198"/>
  <c r="AR266" i="198"/>
  <c r="AQ266" i="198"/>
  <c r="AP266" i="198"/>
  <c r="AO266" i="198"/>
  <c r="AN266" i="198"/>
  <c r="AM266" i="198"/>
  <c r="AL266" i="198"/>
  <c r="AK266" i="198"/>
  <c r="AJ266" i="198"/>
  <c r="AI266" i="198"/>
  <c r="AH266" i="198"/>
  <c r="AG266" i="198"/>
  <c r="AF266" i="198"/>
  <c r="AE266" i="198"/>
  <c r="AD266" i="198"/>
  <c r="AC266" i="198"/>
  <c r="AB266" i="198"/>
  <c r="AA266" i="198"/>
  <c r="Z266" i="198"/>
  <c r="Y266" i="198"/>
  <c r="X266" i="198"/>
  <c r="W266" i="198"/>
  <c r="V266" i="198"/>
  <c r="U266" i="198"/>
  <c r="T266" i="198"/>
  <c r="S266" i="198"/>
  <c r="R266" i="198"/>
  <c r="Q266" i="198"/>
  <c r="P266" i="198"/>
  <c r="O266" i="198"/>
  <c r="N266" i="198"/>
  <c r="M266" i="198"/>
  <c r="L266" i="198"/>
  <c r="K266" i="198"/>
  <c r="J266" i="198"/>
  <c r="I266" i="198"/>
  <c r="H266" i="198"/>
  <c r="G266" i="198"/>
  <c r="F266" i="198"/>
  <c r="E266" i="198"/>
  <c r="D266" i="198"/>
  <c r="C266" i="198"/>
  <c r="B266" i="198"/>
  <c r="A266" i="198"/>
  <c r="CS265" i="198"/>
  <c r="CR265" i="198"/>
  <c r="CQ265" i="198"/>
  <c r="CP265" i="198"/>
  <c r="CO265" i="198"/>
  <c r="CN265" i="198"/>
  <c r="CM265" i="198"/>
  <c r="CL265" i="198"/>
  <c r="CK265" i="198"/>
  <c r="CJ265" i="198"/>
  <c r="CI265" i="198"/>
  <c r="CH265" i="198"/>
  <c r="CG265" i="198"/>
  <c r="CF265" i="198"/>
  <c r="CE265" i="198"/>
  <c r="CD265" i="198"/>
  <c r="CC265" i="198"/>
  <c r="CB265" i="198"/>
  <c r="CA265" i="198"/>
  <c r="BZ265" i="198"/>
  <c r="BY265" i="198"/>
  <c r="BX265" i="198"/>
  <c r="BW265" i="198"/>
  <c r="BV265" i="198"/>
  <c r="BU265" i="198"/>
  <c r="BT265" i="198"/>
  <c r="BS265" i="198"/>
  <c r="BR265" i="198"/>
  <c r="BQ265" i="198"/>
  <c r="BP265" i="198"/>
  <c r="BO265" i="198"/>
  <c r="BN265" i="198"/>
  <c r="BM265" i="198"/>
  <c r="BL265" i="198"/>
  <c r="BK265" i="198"/>
  <c r="BJ265" i="198"/>
  <c r="BI265" i="198"/>
  <c r="BH265" i="198"/>
  <c r="BG265" i="198"/>
  <c r="BF265" i="198"/>
  <c r="BE265" i="198"/>
  <c r="BD265" i="198"/>
  <c r="BC265" i="198"/>
  <c r="BB265" i="198"/>
  <c r="BA265" i="198"/>
  <c r="AZ265" i="198"/>
  <c r="AY265" i="198"/>
  <c r="AX265" i="198"/>
  <c r="AW265" i="198"/>
  <c r="AV265" i="198"/>
  <c r="AU265" i="198"/>
  <c r="AT265" i="198"/>
  <c r="AS265" i="198"/>
  <c r="AR265" i="198"/>
  <c r="AQ265" i="198"/>
  <c r="AP265" i="198"/>
  <c r="AO265" i="198"/>
  <c r="AN265" i="198"/>
  <c r="AM265" i="198"/>
  <c r="AL265" i="198"/>
  <c r="AK265" i="198"/>
  <c r="AJ265" i="198"/>
  <c r="AI265" i="198"/>
  <c r="AH265" i="198"/>
  <c r="AG265" i="198"/>
  <c r="AF265" i="198"/>
  <c r="AE265" i="198"/>
  <c r="AD265" i="198"/>
  <c r="AC265" i="198"/>
  <c r="AB265" i="198"/>
  <c r="AA265" i="198"/>
  <c r="Z265" i="198"/>
  <c r="Y265" i="198"/>
  <c r="X265" i="198"/>
  <c r="W265" i="198"/>
  <c r="V265" i="198"/>
  <c r="U265" i="198"/>
  <c r="T265" i="198"/>
  <c r="S265" i="198"/>
  <c r="R265" i="198"/>
  <c r="Q265" i="198"/>
  <c r="P265" i="198"/>
  <c r="O265" i="198"/>
  <c r="N265" i="198"/>
  <c r="M265" i="198"/>
  <c r="L265" i="198"/>
  <c r="K265" i="198"/>
  <c r="J265" i="198"/>
  <c r="I265" i="198"/>
  <c r="H265" i="198"/>
  <c r="G265" i="198"/>
  <c r="F265" i="198"/>
  <c r="E265" i="198"/>
  <c r="D265" i="198"/>
  <c r="C265" i="198"/>
  <c r="B265" i="198"/>
  <c r="A265" i="198"/>
  <c r="CS264" i="198"/>
  <c r="CR264" i="198"/>
  <c r="CQ264" i="198"/>
  <c r="CP264" i="198"/>
  <c r="CO264" i="198"/>
  <c r="CN264" i="198"/>
  <c r="CM264" i="198"/>
  <c r="CL264" i="198"/>
  <c r="CK264" i="198"/>
  <c r="CJ264" i="198"/>
  <c r="CI264" i="198"/>
  <c r="CH264" i="198"/>
  <c r="CG264" i="198"/>
  <c r="CF264" i="198"/>
  <c r="CE264" i="198"/>
  <c r="CD264" i="198"/>
  <c r="CC264" i="198"/>
  <c r="CB264" i="198"/>
  <c r="CA264" i="198"/>
  <c r="BZ264" i="198"/>
  <c r="BY264" i="198"/>
  <c r="BX264" i="198"/>
  <c r="BW264" i="198"/>
  <c r="BV264" i="198"/>
  <c r="BU264" i="198"/>
  <c r="BT264" i="198"/>
  <c r="BS264" i="198"/>
  <c r="BR264" i="198"/>
  <c r="BQ264" i="198"/>
  <c r="BP264" i="198"/>
  <c r="BO264" i="198"/>
  <c r="BN264" i="198"/>
  <c r="BM264" i="198"/>
  <c r="BL264" i="198"/>
  <c r="BK264" i="198"/>
  <c r="BJ264" i="198"/>
  <c r="BI264" i="198"/>
  <c r="BH264" i="198"/>
  <c r="BG264" i="198"/>
  <c r="BF264" i="198"/>
  <c r="BE264" i="198"/>
  <c r="BD264" i="198"/>
  <c r="BC264" i="198"/>
  <c r="BB264" i="198"/>
  <c r="BA264" i="198"/>
  <c r="AZ264" i="198"/>
  <c r="AY264" i="198"/>
  <c r="AX264" i="198"/>
  <c r="AW264" i="198"/>
  <c r="AV264" i="198"/>
  <c r="AU264" i="198"/>
  <c r="AT264" i="198"/>
  <c r="AS264" i="198"/>
  <c r="AR264" i="198"/>
  <c r="AQ264" i="198"/>
  <c r="AP264" i="198"/>
  <c r="AO264" i="198"/>
  <c r="AN264" i="198"/>
  <c r="AM264" i="198"/>
  <c r="AL264" i="198"/>
  <c r="AK264" i="198"/>
  <c r="AJ264" i="198"/>
  <c r="AI264" i="198"/>
  <c r="AH264" i="198"/>
  <c r="AG264" i="198"/>
  <c r="AF264" i="198"/>
  <c r="AE264" i="198"/>
  <c r="AD264" i="198"/>
  <c r="AC264" i="198"/>
  <c r="AB264" i="198"/>
  <c r="AA264" i="198"/>
  <c r="Z264" i="198"/>
  <c r="Y264" i="198"/>
  <c r="X264" i="198"/>
  <c r="W264" i="198"/>
  <c r="V264" i="198"/>
  <c r="U264" i="198"/>
  <c r="T264" i="198"/>
  <c r="S264" i="198"/>
  <c r="R264" i="198"/>
  <c r="Q264" i="198"/>
  <c r="P264" i="198"/>
  <c r="O264" i="198"/>
  <c r="N264" i="198"/>
  <c r="M264" i="198"/>
  <c r="L264" i="198"/>
  <c r="K264" i="198"/>
  <c r="J264" i="198"/>
  <c r="I264" i="198"/>
  <c r="H264" i="198"/>
  <c r="G264" i="198"/>
  <c r="F264" i="198"/>
  <c r="E264" i="198"/>
  <c r="D264" i="198"/>
  <c r="C264" i="198"/>
  <c r="B264" i="198"/>
  <c r="A264" i="198"/>
  <c r="EB262" i="198"/>
  <c r="EA262" i="198"/>
  <c r="DZ262" i="198"/>
  <c r="DY262" i="198"/>
  <c r="DX262" i="198"/>
  <c r="DW262" i="198"/>
  <c r="DV262" i="198"/>
  <c r="DU262" i="198"/>
  <c r="DT262" i="198"/>
  <c r="DS262" i="198"/>
  <c r="DR262" i="198"/>
  <c r="DQ262" i="198"/>
  <c r="DP262" i="198"/>
  <c r="DO262" i="198"/>
  <c r="DN262" i="198"/>
  <c r="DM262" i="198"/>
  <c r="DL262" i="198"/>
  <c r="DK262" i="198"/>
  <c r="DJ262" i="198"/>
  <c r="DI262" i="198"/>
  <c r="DH262" i="198"/>
  <c r="DG262" i="198"/>
  <c r="DF262" i="198"/>
  <c r="DE262" i="198"/>
  <c r="DD262" i="198"/>
  <c r="DC262" i="198"/>
  <c r="EM261" i="198"/>
  <c r="EL261" i="198"/>
  <c r="EK261" i="198"/>
  <c r="EJ261" i="198"/>
  <c r="EI261" i="198"/>
  <c r="EH261" i="198"/>
  <c r="EG261" i="198"/>
  <c r="EF261" i="198"/>
  <c r="EE261" i="198"/>
  <c r="ED261" i="198"/>
  <c r="EC261" i="198"/>
  <c r="EB261" i="198"/>
  <c r="EA261" i="198"/>
  <c r="DZ261" i="198"/>
  <c r="DY261" i="198"/>
  <c r="DX261" i="198"/>
  <c r="DW261" i="198"/>
  <c r="DV261" i="198"/>
  <c r="DU261" i="198"/>
  <c r="DT261" i="198"/>
  <c r="DS261" i="198"/>
  <c r="DR261" i="198"/>
  <c r="DQ261" i="198"/>
  <c r="DP261" i="198"/>
  <c r="DO261" i="198"/>
  <c r="DN261" i="198"/>
  <c r="DM261" i="198"/>
  <c r="DL261" i="198"/>
  <c r="DK261" i="198"/>
  <c r="DJ261" i="198"/>
  <c r="DI261" i="198"/>
  <c r="DH261" i="198"/>
  <c r="DG261" i="198"/>
  <c r="DF261" i="198"/>
  <c r="DE261" i="198"/>
  <c r="DD261" i="198"/>
  <c r="DC261" i="198"/>
  <c r="EB260" i="198"/>
  <c r="EA260" i="198"/>
  <c r="DZ260" i="198"/>
  <c r="DY260" i="198"/>
  <c r="DX260" i="198"/>
  <c r="DW260" i="198"/>
  <c r="DV260" i="198"/>
  <c r="DU260" i="198"/>
  <c r="DT260" i="198"/>
  <c r="DS260" i="198"/>
  <c r="DR260" i="198"/>
  <c r="DQ260" i="198"/>
  <c r="DP260" i="198"/>
  <c r="DO260" i="198"/>
  <c r="DN260" i="198"/>
  <c r="DM260" i="198"/>
  <c r="DL260" i="198"/>
  <c r="DK260" i="198"/>
  <c r="DJ260" i="198"/>
  <c r="DI260" i="198"/>
  <c r="DH260" i="198"/>
  <c r="DG260" i="198"/>
  <c r="DF260" i="198"/>
  <c r="DE260" i="198"/>
  <c r="DD260" i="198"/>
  <c r="DC260" i="198"/>
  <c r="EB259" i="198"/>
  <c r="EA259" i="198"/>
  <c r="DZ259" i="198"/>
  <c r="DY259" i="198"/>
  <c r="DX259" i="198"/>
  <c r="DW259" i="198"/>
  <c r="DV259" i="198"/>
  <c r="DU259" i="198"/>
  <c r="DT259" i="198"/>
  <c r="DS259" i="198"/>
  <c r="DR259" i="198"/>
  <c r="DQ259" i="198"/>
  <c r="DP259" i="198"/>
  <c r="DO259" i="198"/>
  <c r="DN259" i="198"/>
  <c r="DM259" i="198"/>
  <c r="DL259" i="198"/>
  <c r="DK259" i="198"/>
  <c r="DJ259" i="198"/>
  <c r="DI259" i="198"/>
  <c r="DH259" i="198"/>
  <c r="DG259" i="198"/>
  <c r="DF259" i="198"/>
  <c r="DE259" i="198"/>
  <c r="DD259" i="198"/>
  <c r="DC259" i="198"/>
  <c r="EB258" i="198"/>
  <c r="EA258" i="198"/>
  <c r="DZ258" i="198"/>
  <c r="DY258" i="198"/>
  <c r="DX258" i="198"/>
  <c r="DW258" i="198"/>
  <c r="DV258" i="198"/>
  <c r="DU258" i="198"/>
  <c r="DT258" i="198"/>
  <c r="DS258" i="198"/>
  <c r="DR258" i="198"/>
  <c r="DQ258" i="198"/>
  <c r="DP258" i="198"/>
  <c r="DO258" i="198"/>
  <c r="DN258" i="198"/>
  <c r="DM258" i="198"/>
  <c r="DL258" i="198"/>
  <c r="DK258" i="198"/>
  <c r="DJ258" i="198"/>
  <c r="DI258" i="198"/>
  <c r="DH258" i="198"/>
  <c r="DG258" i="198"/>
  <c r="DF258" i="198"/>
  <c r="DE258" i="198"/>
  <c r="DD258" i="198"/>
  <c r="DC258" i="198"/>
  <c r="ED257" i="198"/>
  <c r="EC257" i="198"/>
  <c r="EB257" i="198"/>
  <c r="EA257" i="198"/>
  <c r="DZ257" i="198"/>
  <c r="DY257" i="198"/>
  <c r="DX257" i="198"/>
  <c r="DW257" i="198"/>
  <c r="DV257" i="198"/>
  <c r="DU257" i="198"/>
  <c r="DT257" i="198"/>
  <c r="DS257" i="198"/>
  <c r="DR257" i="198"/>
  <c r="DQ257" i="198"/>
  <c r="DP257" i="198"/>
  <c r="DO257" i="198"/>
  <c r="DN257" i="198"/>
  <c r="DM257" i="198"/>
  <c r="DL257" i="198"/>
  <c r="DK257" i="198"/>
  <c r="DJ257" i="198"/>
  <c r="DI257" i="198"/>
  <c r="DH257" i="198"/>
  <c r="DG257" i="198"/>
  <c r="DF257" i="198"/>
  <c r="DE257" i="198"/>
  <c r="DD257" i="198"/>
  <c r="DC257" i="198"/>
  <c r="CS262" i="198"/>
  <c r="CR262" i="198"/>
  <c r="CQ262" i="198"/>
  <c r="CP262" i="198"/>
  <c r="CO262" i="198"/>
  <c r="CN262" i="198"/>
  <c r="CM262" i="198"/>
  <c r="CL262" i="198"/>
  <c r="CK262" i="198"/>
  <c r="CJ262" i="198"/>
  <c r="CI262" i="198"/>
  <c r="CH262" i="198"/>
  <c r="CG262" i="198"/>
  <c r="CF262" i="198"/>
  <c r="CE262" i="198"/>
  <c r="CD262" i="198"/>
  <c r="CC262" i="198"/>
  <c r="CB262" i="198"/>
  <c r="CA262" i="198"/>
  <c r="BZ262" i="198"/>
  <c r="BY262" i="198"/>
  <c r="BX262" i="198"/>
  <c r="BW262" i="198"/>
  <c r="BV262" i="198"/>
  <c r="BU262" i="198"/>
  <c r="BT262" i="198"/>
  <c r="BS262" i="198"/>
  <c r="BR262" i="198"/>
  <c r="BQ262" i="198"/>
  <c r="BP262" i="198"/>
  <c r="BO262" i="198"/>
  <c r="BN262" i="198"/>
  <c r="BM262" i="198"/>
  <c r="BL262" i="198"/>
  <c r="BK262" i="198"/>
  <c r="BJ262" i="198"/>
  <c r="BI262" i="198"/>
  <c r="BH262" i="198"/>
  <c r="BG262" i="198"/>
  <c r="BF262" i="198"/>
  <c r="BE262" i="198"/>
  <c r="BD262" i="198"/>
  <c r="BC262" i="198"/>
  <c r="BB262" i="198"/>
  <c r="BA262" i="198"/>
  <c r="AZ262" i="198"/>
  <c r="AY262" i="198"/>
  <c r="AX262" i="198"/>
  <c r="AW262" i="198"/>
  <c r="AV262" i="198"/>
  <c r="AU262" i="198"/>
  <c r="AT262" i="198"/>
  <c r="AS262" i="198"/>
  <c r="AR262" i="198"/>
  <c r="AQ262" i="198"/>
  <c r="AP262" i="198"/>
  <c r="AO262" i="198"/>
  <c r="AN262" i="198"/>
  <c r="AM262" i="198"/>
  <c r="AL262" i="198"/>
  <c r="AK262" i="198"/>
  <c r="AJ262" i="198"/>
  <c r="AI262" i="198"/>
  <c r="AH262" i="198"/>
  <c r="AG262" i="198"/>
  <c r="AF262" i="198"/>
  <c r="AE262" i="198"/>
  <c r="AD262" i="198"/>
  <c r="AC262" i="198"/>
  <c r="AB262" i="198"/>
  <c r="AA262" i="198"/>
  <c r="Z262" i="198"/>
  <c r="Y262" i="198"/>
  <c r="X262" i="198"/>
  <c r="W262" i="198"/>
  <c r="V262" i="198"/>
  <c r="U262" i="198"/>
  <c r="T262" i="198"/>
  <c r="S262" i="198"/>
  <c r="R262" i="198"/>
  <c r="Q262" i="198"/>
  <c r="P262" i="198"/>
  <c r="O262" i="198"/>
  <c r="N262" i="198"/>
  <c r="M262" i="198"/>
  <c r="L262" i="198"/>
  <c r="K262" i="198"/>
  <c r="J262" i="198"/>
  <c r="I262" i="198"/>
  <c r="H262" i="198"/>
  <c r="G262" i="198"/>
  <c r="F262" i="198"/>
  <c r="E262" i="198"/>
  <c r="D262" i="198"/>
  <c r="C262" i="198"/>
  <c r="B262" i="198"/>
  <c r="A262" i="198"/>
  <c r="DA261" i="198"/>
  <c r="CZ261" i="198"/>
  <c r="CY261" i="198"/>
  <c r="CX261" i="198"/>
  <c r="CW261" i="198"/>
  <c r="CV261" i="198"/>
  <c r="CU261" i="198"/>
  <c r="CT261" i="198"/>
  <c r="CS261" i="198"/>
  <c r="CR261" i="198"/>
  <c r="CQ261" i="198"/>
  <c r="CP261" i="198"/>
  <c r="CO261" i="198"/>
  <c r="CN261" i="198"/>
  <c r="CM261" i="198"/>
  <c r="CL261" i="198"/>
  <c r="CK261" i="198"/>
  <c r="CJ261" i="198"/>
  <c r="CI261" i="198"/>
  <c r="CH261" i="198"/>
  <c r="CG261" i="198"/>
  <c r="CF261" i="198"/>
  <c r="CE261" i="198"/>
  <c r="CD261" i="198"/>
  <c r="CC261" i="198"/>
  <c r="CB261" i="198"/>
  <c r="CA261" i="198"/>
  <c r="BZ261" i="198"/>
  <c r="BY261" i="198"/>
  <c r="BX261" i="198"/>
  <c r="BW261" i="198"/>
  <c r="BV261" i="198"/>
  <c r="BU261" i="198"/>
  <c r="BT261" i="198"/>
  <c r="BS261" i="198"/>
  <c r="BR261" i="198"/>
  <c r="BQ261" i="198"/>
  <c r="BP261" i="198"/>
  <c r="BO261" i="198"/>
  <c r="BN261" i="198"/>
  <c r="BM261" i="198"/>
  <c r="BL261" i="198"/>
  <c r="BK261" i="198"/>
  <c r="BJ261" i="198"/>
  <c r="BI261" i="198"/>
  <c r="BH261" i="198"/>
  <c r="BG261" i="198"/>
  <c r="BF261" i="198"/>
  <c r="BE261" i="198"/>
  <c r="BD261" i="198"/>
  <c r="BC261" i="198"/>
  <c r="BB261" i="198"/>
  <c r="BA261" i="198"/>
  <c r="AZ261" i="198"/>
  <c r="AY261" i="198"/>
  <c r="AX261" i="198"/>
  <c r="AW261" i="198"/>
  <c r="AV261" i="198"/>
  <c r="AU261" i="198"/>
  <c r="AT261" i="198"/>
  <c r="AS261" i="198"/>
  <c r="AR261" i="198"/>
  <c r="AQ261" i="198"/>
  <c r="AP261" i="198"/>
  <c r="AO261" i="198"/>
  <c r="AN261" i="198"/>
  <c r="AM261" i="198"/>
  <c r="AL261" i="198"/>
  <c r="AK261" i="198"/>
  <c r="AJ261" i="198"/>
  <c r="AI261" i="198"/>
  <c r="AH261" i="198"/>
  <c r="AG261" i="198"/>
  <c r="AF261" i="198"/>
  <c r="AE261" i="198"/>
  <c r="AD261" i="198"/>
  <c r="AC261" i="198"/>
  <c r="AB261" i="198"/>
  <c r="AA261" i="198"/>
  <c r="Z261" i="198"/>
  <c r="Y261" i="198"/>
  <c r="X261" i="198"/>
  <c r="W261" i="198"/>
  <c r="V261" i="198"/>
  <c r="U261" i="198"/>
  <c r="T261" i="198"/>
  <c r="S261" i="198"/>
  <c r="R261" i="198"/>
  <c r="Q261" i="198"/>
  <c r="P261" i="198"/>
  <c r="O261" i="198"/>
  <c r="N261" i="198"/>
  <c r="M261" i="198"/>
  <c r="L261" i="198"/>
  <c r="K261" i="198"/>
  <c r="J261" i="198"/>
  <c r="I261" i="198"/>
  <c r="H261" i="198"/>
  <c r="G261" i="198"/>
  <c r="F261" i="198"/>
  <c r="E261" i="198"/>
  <c r="D261" i="198"/>
  <c r="C261" i="198"/>
  <c r="B261" i="198"/>
  <c r="A261" i="198"/>
  <c r="CS260" i="198"/>
  <c r="CR260" i="198"/>
  <c r="CQ260" i="198"/>
  <c r="CP260" i="198"/>
  <c r="CO260" i="198"/>
  <c r="CN260" i="198"/>
  <c r="CM260" i="198"/>
  <c r="CL260" i="198"/>
  <c r="CK260" i="198"/>
  <c r="CJ260" i="198"/>
  <c r="CI260" i="198"/>
  <c r="CH260" i="198"/>
  <c r="CG260" i="198"/>
  <c r="CF260" i="198"/>
  <c r="CE260" i="198"/>
  <c r="CD260" i="198"/>
  <c r="CC260" i="198"/>
  <c r="CB260" i="198"/>
  <c r="CA260" i="198"/>
  <c r="BZ260" i="198"/>
  <c r="BY260" i="198"/>
  <c r="BX260" i="198"/>
  <c r="BW260" i="198"/>
  <c r="BV260" i="198"/>
  <c r="BU260" i="198"/>
  <c r="BT260" i="198"/>
  <c r="BS260" i="198"/>
  <c r="BR260" i="198"/>
  <c r="BQ260" i="198"/>
  <c r="BP260" i="198"/>
  <c r="BO260" i="198"/>
  <c r="BN260" i="198"/>
  <c r="BM260" i="198"/>
  <c r="BL260" i="198"/>
  <c r="BK260" i="198"/>
  <c r="BJ260" i="198"/>
  <c r="BI260" i="198"/>
  <c r="BH260" i="198"/>
  <c r="BG260" i="198"/>
  <c r="BF260" i="198"/>
  <c r="BE260" i="198"/>
  <c r="BD260" i="198"/>
  <c r="BC260" i="198"/>
  <c r="BB260" i="198"/>
  <c r="BA260" i="198"/>
  <c r="AZ260" i="198"/>
  <c r="AY260" i="198"/>
  <c r="AX260" i="198"/>
  <c r="AW260" i="198"/>
  <c r="AV260" i="198"/>
  <c r="AU260" i="198"/>
  <c r="AT260" i="198"/>
  <c r="AS260" i="198"/>
  <c r="AR260" i="198"/>
  <c r="AQ260" i="198"/>
  <c r="AP260" i="198"/>
  <c r="AO260" i="198"/>
  <c r="AN260" i="198"/>
  <c r="AM260" i="198"/>
  <c r="AL260" i="198"/>
  <c r="AK260" i="198"/>
  <c r="AJ260" i="198"/>
  <c r="AI260" i="198"/>
  <c r="AH260" i="198"/>
  <c r="AG260" i="198"/>
  <c r="AF260" i="198"/>
  <c r="AE260" i="198"/>
  <c r="AD260" i="198"/>
  <c r="AC260" i="198"/>
  <c r="AB260" i="198"/>
  <c r="AA260" i="198"/>
  <c r="Z260" i="198"/>
  <c r="Y260" i="198"/>
  <c r="X260" i="198"/>
  <c r="W260" i="198"/>
  <c r="V260" i="198"/>
  <c r="U260" i="198"/>
  <c r="T260" i="198"/>
  <c r="S260" i="198"/>
  <c r="R260" i="198"/>
  <c r="Q260" i="198"/>
  <c r="P260" i="198"/>
  <c r="O260" i="198"/>
  <c r="N260" i="198"/>
  <c r="M260" i="198"/>
  <c r="L260" i="198"/>
  <c r="K260" i="198"/>
  <c r="J260" i="198"/>
  <c r="I260" i="198"/>
  <c r="H260" i="198"/>
  <c r="G260" i="198"/>
  <c r="F260" i="198"/>
  <c r="E260" i="198"/>
  <c r="D260" i="198"/>
  <c r="C260" i="198"/>
  <c r="B260" i="198"/>
  <c r="A260" i="198"/>
  <c r="CU259" i="198"/>
  <c r="CT259" i="198"/>
  <c r="CS259" i="198"/>
  <c r="CR259" i="198"/>
  <c r="CQ259" i="198"/>
  <c r="CP259" i="198"/>
  <c r="CO259" i="198"/>
  <c r="CN259" i="198"/>
  <c r="CM259" i="198"/>
  <c r="CL259" i="198"/>
  <c r="CK259" i="198"/>
  <c r="CJ259" i="198"/>
  <c r="CI259" i="198"/>
  <c r="CH259" i="198"/>
  <c r="CG259" i="198"/>
  <c r="CF259" i="198"/>
  <c r="CE259" i="198"/>
  <c r="CD259" i="198"/>
  <c r="CC259" i="198"/>
  <c r="CB259" i="198"/>
  <c r="CA259" i="198"/>
  <c r="BZ259" i="198"/>
  <c r="BY259" i="198"/>
  <c r="BX259" i="198"/>
  <c r="BW259" i="198"/>
  <c r="BV259" i="198"/>
  <c r="BU259" i="198"/>
  <c r="BT259" i="198"/>
  <c r="BS259" i="198"/>
  <c r="BR259" i="198"/>
  <c r="BQ259" i="198"/>
  <c r="BP259" i="198"/>
  <c r="BO259" i="198"/>
  <c r="BN259" i="198"/>
  <c r="BM259" i="198"/>
  <c r="BL259" i="198"/>
  <c r="BK259" i="198"/>
  <c r="BJ259" i="198"/>
  <c r="BI259" i="198"/>
  <c r="BH259" i="198"/>
  <c r="BG259" i="198"/>
  <c r="BF259" i="198"/>
  <c r="BE259" i="198"/>
  <c r="BD259" i="198"/>
  <c r="BC259" i="198"/>
  <c r="BB259" i="198"/>
  <c r="BA259" i="198"/>
  <c r="AZ259" i="198"/>
  <c r="AY259" i="198"/>
  <c r="AX259" i="198"/>
  <c r="AW259" i="198"/>
  <c r="AV259" i="198"/>
  <c r="AU259" i="198"/>
  <c r="AT259" i="198"/>
  <c r="AS259" i="198"/>
  <c r="AR259" i="198"/>
  <c r="AQ259" i="198"/>
  <c r="AP259" i="198"/>
  <c r="AO259" i="198"/>
  <c r="AN259" i="198"/>
  <c r="AM259" i="198"/>
  <c r="AL259" i="198"/>
  <c r="AK259" i="198"/>
  <c r="AJ259" i="198"/>
  <c r="AI259" i="198"/>
  <c r="AH259" i="198"/>
  <c r="AG259" i="198"/>
  <c r="AF259" i="198"/>
  <c r="AE259" i="198"/>
  <c r="AD259" i="198"/>
  <c r="AC259" i="198"/>
  <c r="AB259" i="198"/>
  <c r="AA259" i="198"/>
  <c r="Z259" i="198"/>
  <c r="Y259" i="198"/>
  <c r="X259" i="198"/>
  <c r="W259" i="198"/>
  <c r="V259" i="198"/>
  <c r="U259" i="198"/>
  <c r="T259" i="198"/>
  <c r="S259" i="198"/>
  <c r="R259" i="198"/>
  <c r="Q259" i="198"/>
  <c r="P259" i="198"/>
  <c r="O259" i="198"/>
  <c r="N259" i="198"/>
  <c r="M259" i="198"/>
  <c r="L259" i="198"/>
  <c r="K259" i="198"/>
  <c r="J259" i="198"/>
  <c r="I259" i="198"/>
  <c r="H259" i="198"/>
  <c r="G259" i="198"/>
  <c r="F259" i="198"/>
  <c r="E259" i="198"/>
  <c r="D259" i="198"/>
  <c r="C259" i="198"/>
  <c r="B259" i="198"/>
  <c r="A259" i="198"/>
  <c r="CU258" i="198"/>
  <c r="CT258" i="198"/>
  <c r="CS258" i="198"/>
  <c r="CR258" i="198"/>
  <c r="CQ258" i="198"/>
  <c r="CP258" i="198"/>
  <c r="CO258" i="198"/>
  <c r="CN258" i="198"/>
  <c r="CM258" i="198"/>
  <c r="CL258" i="198"/>
  <c r="CK258" i="198"/>
  <c r="CJ258" i="198"/>
  <c r="CI258" i="198"/>
  <c r="CH258" i="198"/>
  <c r="CG258" i="198"/>
  <c r="CF258" i="198"/>
  <c r="CE258" i="198"/>
  <c r="CD258" i="198"/>
  <c r="CC258" i="198"/>
  <c r="CB258" i="198"/>
  <c r="CA258" i="198"/>
  <c r="BZ258" i="198"/>
  <c r="BY258" i="198"/>
  <c r="BX258" i="198"/>
  <c r="BW258" i="198"/>
  <c r="BV258" i="198"/>
  <c r="BU258" i="198"/>
  <c r="BT258" i="198"/>
  <c r="BS258" i="198"/>
  <c r="BR258" i="198"/>
  <c r="BQ258" i="198"/>
  <c r="BP258" i="198"/>
  <c r="BO258" i="198"/>
  <c r="BN258" i="198"/>
  <c r="BM258" i="198"/>
  <c r="BL258" i="198"/>
  <c r="BK258" i="198"/>
  <c r="BJ258" i="198"/>
  <c r="BI258" i="198"/>
  <c r="BH258" i="198"/>
  <c r="BG258" i="198"/>
  <c r="BF258" i="198"/>
  <c r="BE258" i="198"/>
  <c r="BD258" i="198"/>
  <c r="BC258" i="198"/>
  <c r="BB258" i="198"/>
  <c r="BA258" i="198"/>
  <c r="AZ258" i="198"/>
  <c r="AY258" i="198"/>
  <c r="AX258" i="198"/>
  <c r="AW258" i="198"/>
  <c r="AV258" i="198"/>
  <c r="AU258" i="198"/>
  <c r="AT258" i="198"/>
  <c r="AS258" i="198"/>
  <c r="AR258" i="198"/>
  <c r="AQ258" i="198"/>
  <c r="AP258" i="198"/>
  <c r="AO258" i="198"/>
  <c r="AN258" i="198"/>
  <c r="AM258" i="198"/>
  <c r="AL258" i="198"/>
  <c r="AK258" i="198"/>
  <c r="AJ258" i="198"/>
  <c r="AI258" i="198"/>
  <c r="AH258" i="198"/>
  <c r="AG258" i="198"/>
  <c r="AF258" i="198"/>
  <c r="AE258" i="198"/>
  <c r="AD258" i="198"/>
  <c r="AC258" i="198"/>
  <c r="AB258" i="198"/>
  <c r="AA258" i="198"/>
  <c r="Z258" i="198"/>
  <c r="Y258" i="198"/>
  <c r="X258" i="198"/>
  <c r="W258" i="198"/>
  <c r="V258" i="198"/>
  <c r="U258" i="198"/>
  <c r="T258" i="198"/>
  <c r="S258" i="198"/>
  <c r="R258" i="198"/>
  <c r="Q258" i="198"/>
  <c r="P258" i="198"/>
  <c r="O258" i="198"/>
  <c r="N258" i="198"/>
  <c r="M258" i="198"/>
  <c r="L258" i="198"/>
  <c r="K258" i="198"/>
  <c r="J258" i="198"/>
  <c r="I258" i="198"/>
  <c r="H258" i="198"/>
  <c r="G258" i="198"/>
  <c r="F258" i="198"/>
  <c r="E258" i="198"/>
  <c r="D258" i="198"/>
  <c r="C258" i="198"/>
  <c r="B258" i="198"/>
  <c r="A258" i="198"/>
  <c r="CU257" i="198"/>
  <c r="CT257" i="198"/>
  <c r="CS257" i="198"/>
  <c r="CR257" i="198"/>
  <c r="CQ257" i="198"/>
  <c r="CP257" i="198"/>
  <c r="CO257" i="198"/>
  <c r="CN257" i="198"/>
  <c r="CM257" i="198"/>
  <c r="CL257" i="198"/>
  <c r="CK257" i="198"/>
  <c r="CJ257" i="198"/>
  <c r="CI257" i="198"/>
  <c r="CH257" i="198"/>
  <c r="CG257" i="198"/>
  <c r="CF257" i="198"/>
  <c r="CE257" i="198"/>
  <c r="CD257" i="198"/>
  <c r="CC257" i="198"/>
  <c r="CB257" i="198"/>
  <c r="CA257" i="198"/>
  <c r="BZ257" i="198"/>
  <c r="BY257" i="198"/>
  <c r="BX257" i="198"/>
  <c r="BW257" i="198"/>
  <c r="BV257" i="198"/>
  <c r="BU257" i="198"/>
  <c r="BT257" i="198"/>
  <c r="BS257" i="198"/>
  <c r="BR257" i="198"/>
  <c r="BQ257" i="198"/>
  <c r="BP257" i="198"/>
  <c r="BO257" i="198"/>
  <c r="BN257" i="198"/>
  <c r="BM257" i="198"/>
  <c r="BL257" i="198"/>
  <c r="BK257" i="198"/>
  <c r="BJ257" i="198"/>
  <c r="BI257" i="198"/>
  <c r="BH257" i="198"/>
  <c r="BG257" i="198"/>
  <c r="BF257" i="198"/>
  <c r="BE257" i="198"/>
  <c r="BD257" i="198"/>
  <c r="BC257" i="198"/>
  <c r="BB257" i="198"/>
  <c r="BA257" i="198"/>
  <c r="AZ257" i="198"/>
  <c r="AY257" i="198"/>
  <c r="AX257" i="198"/>
  <c r="AW257" i="198"/>
  <c r="AV257" i="198"/>
  <c r="AU257" i="198"/>
  <c r="AT257" i="198"/>
  <c r="AS257" i="198"/>
  <c r="AR257" i="198"/>
  <c r="AQ257" i="198"/>
  <c r="AP257" i="198"/>
  <c r="AO257" i="198"/>
  <c r="AN257" i="198"/>
  <c r="AM257" i="198"/>
  <c r="AL257" i="198"/>
  <c r="AK257" i="198"/>
  <c r="AJ257" i="198"/>
  <c r="AI257" i="198"/>
  <c r="AH257" i="198"/>
  <c r="AG257" i="198"/>
  <c r="AF257" i="198"/>
  <c r="AE257" i="198"/>
  <c r="AD257" i="198"/>
  <c r="AC257" i="198"/>
  <c r="AB257" i="198"/>
  <c r="AA257" i="198"/>
  <c r="Z257" i="198"/>
  <c r="Y257" i="198"/>
  <c r="X257" i="198"/>
  <c r="W257" i="198"/>
  <c r="V257" i="198"/>
  <c r="U257" i="198"/>
  <c r="T257" i="198"/>
  <c r="S257" i="198"/>
  <c r="R257" i="198"/>
  <c r="Q257" i="198"/>
  <c r="P257" i="198"/>
  <c r="O257" i="198"/>
  <c r="N257" i="198"/>
  <c r="M257" i="198"/>
  <c r="L257" i="198"/>
  <c r="K257" i="198"/>
  <c r="J257" i="198"/>
  <c r="I257" i="198"/>
  <c r="H257" i="198"/>
  <c r="G257" i="198"/>
  <c r="F257" i="198"/>
  <c r="E257" i="198"/>
  <c r="D257" i="198"/>
  <c r="C257" i="198"/>
  <c r="B257" i="198"/>
  <c r="A257" i="198"/>
  <c r="A256" i="198"/>
  <c r="EM254" i="198"/>
  <c r="EB254" i="198"/>
  <c r="EA254" i="198"/>
  <c r="DZ254" i="198"/>
  <c r="DY254" i="198"/>
  <c r="DX254" i="198"/>
  <c r="DW254" i="198"/>
  <c r="DV254" i="198"/>
  <c r="DU254" i="198"/>
  <c r="DT254" i="198"/>
  <c r="DS254" i="198"/>
  <c r="DR254" i="198"/>
  <c r="DQ254" i="198"/>
  <c r="DP254" i="198"/>
  <c r="DO254" i="198"/>
  <c r="DN254" i="198"/>
  <c r="DM254" i="198"/>
  <c r="DL254" i="198"/>
  <c r="DK254" i="198"/>
  <c r="DJ254" i="198"/>
  <c r="DI254" i="198"/>
  <c r="DH254" i="198"/>
  <c r="DG254" i="198"/>
  <c r="DF254" i="198"/>
  <c r="DE254" i="198"/>
  <c r="DD254" i="198"/>
  <c r="DC254" i="198"/>
  <c r="EM253" i="198"/>
  <c r="EB253" i="198"/>
  <c r="EA253" i="198"/>
  <c r="DZ253" i="198"/>
  <c r="DY253" i="198"/>
  <c r="DX253" i="198"/>
  <c r="DW253" i="198"/>
  <c r="DV253" i="198"/>
  <c r="DU253" i="198"/>
  <c r="DT253" i="198"/>
  <c r="DS253" i="198"/>
  <c r="DR253" i="198"/>
  <c r="DQ253" i="198"/>
  <c r="DP253" i="198"/>
  <c r="DO253" i="198"/>
  <c r="DN253" i="198"/>
  <c r="DM253" i="198"/>
  <c r="DL253" i="198"/>
  <c r="DK253" i="198"/>
  <c r="DJ253" i="198"/>
  <c r="DI253" i="198"/>
  <c r="DH253" i="198"/>
  <c r="DG253" i="198"/>
  <c r="DF253" i="198"/>
  <c r="DE253" i="198"/>
  <c r="DD253" i="198"/>
  <c r="DC253" i="198"/>
  <c r="EM252" i="198"/>
  <c r="EB252" i="198"/>
  <c r="EA252" i="198"/>
  <c r="DZ252" i="198"/>
  <c r="DY252" i="198"/>
  <c r="DX252" i="198"/>
  <c r="DW252" i="198"/>
  <c r="DV252" i="198"/>
  <c r="DU252" i="198"/>
  <c r="DT252" i="198"/>
  <c r="DS252" i="198"/>
  <c r="DR252" i="198"/>
  <c r="DQ252" i="198"/>
  <c r="DP252" i="198"/>
  <c r="DO252" i="198"/>
  <c r="DN252" i="198"/>
  <c r="DM252" i="198"/>
  <c r="DL252" i="198"/>
  <c r="DK252" i="198"/>
  <c r="DJ252" i="198"/>
  <c r="DI252" i="198"/>
  <c r="DH252" i="198"/>
  <c r="DG252" i="198"/>
  <c r="DF252" i="198"/>
  <c r="DE252" i="198"/>
  <c r="DD252" i="198"/>
  <c r="DC252" i="198"/>
  <c r="EB251" i="198"/>
  <c r="EA251" i="198"/>
  <c r="DZ251" i="198"/>
  <c r="DY251" i="198"/>
  <c r="DX251" i="198"/>
  <c r="DW251" i="198"/>
  <c r="DV251" i="198"/>
  <c r="DU251" i="198"/>
  <c r="DT251" i="198"/>
  <c r="DS251" i="198"/>
  <c r="DR251" i="198"/>
  <c r="DQ251" i="198"/>
  <c r="DP251" i="198"/>
  <c r="DO251" i="198"/>
  <c r="DN251" i="198"/>
  <c r="DM251" i="198"/>
  <c r="DL251" i="198"/>
  <c r="DK251" i="198"/>
  <c r="DJ251" i="198"/>
  <c r="DI251" i="198"/>
  <c r="DH251" i="198"/>
  <c r="DG251" i="198"/>
  <c r="DF251" i="198"/>
  <c r="DE251" i="198"/>
  <c r="DD251" i="198"/>
  <c r="DC251" i="198"/>
  <c r="CS254" i="198"/>
  <c r="CR254" i="198"/>
  <c r="CQ254" i="198"/>
  <c r="CP254" i="198"/>
  <c r="CO254" i="198"/>
  <c r="CN254" i="198"/>
  <c r="CM254" i="198"/>
  <c r="CL254" i="198"/>
  <c r="CK254" i="198"/>
  <c r="CJ254" i="198"/>
  <c r="CI254" i="198"/>
  <c r="CH254" i="198"/>
  <c r="CG254" i="198"/>
  <c r="CF254" i="198"/>
  <c r="CE254" i="198"/>
  <c r="CD254" i="198"/>
  <c r="CC254" i="198"/>
  <c r="CB254" i="198"/>
  <c r="CA254" i="198"/>
  <c r="BZ254" i="198"/>
  <c r="BY254" i="198"/>
  <c r="BX254" i="198"/>
  <c r="BW254" i="198"/>
  <c r="BV254" i="198"/>
  <c r="BU254" i="198"/>
  <c r="BT254" i="198"/>
  <c r="BS254" i="198"/>
  <c r="BR254" i="198"/>
  <c r="BQ254" i="198"/>
  <c r="BP254" i="198"/>
  <c r="BO254" i="198"/>
  <c r="BN254" i="198"/>
  <c r="BM254" i="198"/>
  <c r="BL254" i="198"/>
  <c r="BK254" i="198"/>
  <c r="BJ254" i="198"/>
  <c r="BI254" i="198"/>
  <c r="BH254" i="198"/>
  <c r="BG254" i="198"/>
  <c r="BF254" i="198"/>
  <c r="BE254" i="198"/>
  <c r="BD254" i="198"/>
  <c r="BC254" i="198"/>
  <c r="BB254" i="198"/>
  <c r="BA254" i="198"/>
  <c r="AZ254" i="198"/>
  <c r="AY254" i="198"/>
  <c r="AX254" i="198"/>
  <c r="AW254" i="198"/>
  <c r="AV254" i="198"/>
  <c r="AU254" i="198"/>
  <c r="AT254" i="198"/>
  <c r="AS254" i="198"/>
  <c r="AR254" i="198"/>
  <c r="AQ254" i="198"/>
  <c r="AP254" i="198"/>
  <c r="AO254" i="198"/>
  <c r="AN254" i="198"/>
  <c r="AM254" i="198"/>
  <c r="AL254" i="198"/>
  <c r="AK254" i="198"/>
  <c r="AJ254" i="198"/>
  <c r="AI254" i="198"/>
  <c r="AH254" i="198"/>
  <c r="AG254" i="198"/>
  <c r="AF254" i="198"/>
  <c r="AE254" i="198"/>
  <c r="AD254" i="198"/>
  <c r="AC254" i="198"/>
  <c r="AB254" i="198"/>
  <c r="AA254" i="198"/>
  <c r="Z254" i="198"/>
  <c r="Y254" i="198"/>
  <c r="X254" i="198"/>
  <c r="W254" i="198"/>
  <c r="V254" i="198"/>
  <c r="U254" i="198"/>
  <c r="T254" i="198"/>
  <c r="S254" i="198"/>
  <c r="R254" i="198"/>
  <c r="Q254" i="198"/>
  <c r="P254" i="198"/>
  <c r="O254" i="198"/>
  <c r="N254" i="198"/>
  <c r="M254" i="198"/>
  <c r="L254" i="198"/>
  <c r="K254" i="198"/>
  <c r="J254" i="198"/>
  <c r="I254" i="198"/>
  <c r="H254" i="198"/>
  <c r="G254" i="198"/>
  <c r="F254" i="198"/>
  <c r="E254" i="198"/>
  <c r="D254" i="198"/>
  <c r="C254" i="198"/>
  <c r="B254" i="198"/>
  <c r="A254" i="198"/>
  <c r="DA253" i="198"/>
  <c r="CZ253" i="198"/>
  <c r="CY253" i="198"/>
  <c r="CX253" i="198"/>
  <c r="CW253" i="198"/>
  <c r="CV253" i="198"/>
  <c r="CU253" i="198"/>
  <c r="CT253" i="198"/>
  <c r="CS253" i="198"/>
  <c r="CR253" i="198"/>
  <c r="CQ253" i="198"/>
  <c r="CP253" i="198"/>
  <c r="CO253" i="198"/>
  <c r="CN253" i="198"/>
  <c r="CM253" i="198"/>
  <c r="CL253" i="198"/>
  <c r="CK253" i="198"/>
  <c r="CJ253" i="198"/>
  <c r="CI253" i="198"/>
  <c r="CH253" i="198"/>
  <c r="CG253" i="198"/>
  <c r="CF253" i="198"/>
  <c r="CE253" i="198"/>
  <c r="CD253" i="198"/>
  <c r="CC253" i="198"/>
  <c r="CB253" i="198"/>
  <c r="CA253" i="198"/>
  <c r="BZ253" i="198"/>
  <c r="BY253" i="198"/>
  <c r="BX253" i="198"/>
  <c r="BW253" i="198"/>
  <c r="BV253" i="198"/>
  <c r="BU253" i="198"/>
  <c r="BT253" i="198"/>
  <c r="BS253" i="198"/>
  <c r="BR253" i="198"/>
  <c r="BQ253" i="198"/>
  <c r="BP253" i="198"/>
  <c r="BO253" i="198"/>
  <c r="BN253" i="198"/>
  <c r="BM253" i="198"/>
  <c r="BL253" i="198"/>
  <c r="BK253" i="198"/>
  <c r="BJ253" i="198"/>
  <c r="BI253" i="198"/>
  <c r="BH253" i="198"/>
  <c r="BG253" i="198"/>
  <c r="BF253" i="198"/>
  <c r="BE253" i="198"/>
  <c r="BD253" i="198"/>
  <c r="BC253" i="198"/>
  <c r="BB253" i="198"/>
  <c r="BA253" i="198"/>
  <c r="AZ253" i="198"/>
  <c r="AY253" i="198"/>
  <c r="AX253" i="198"/>
  <c r="AW253" i="198"/>
  <c r="AV253" i="198"/>
  <c r="AU253" i="198"/>
  <c r="AT253" i="198"/>
  <c r="AS253" i="198"/>
  <c r="AR253" i="198"/>
  <c r="AQ253" i="198"/>
  <c r="AP253" i="198"/>
  <c r="AO253" i="198"/>
  <c r="AN253" i="198"/>
  <c r="AM253" i="198"/>
  <c r="AL253" i="198"/>
  <c r="AK253" i="198"/>
  <c r="AJ253" i="198"/>
  <c r="AI253" i="198"/>
  <c r="AH253" i="198"/>
  <c r="AG253" i="198"/>
  <c r="AF253" i="198"/>
  <c r="AE253" i="198"/>
  <c r="AD253" i="198"/>
  <c r="AC253" i="198"/>
  <c r="AB253" i="198"/>
  <c r="AA253" i="198"/>
  <c r="Z253" i="198"/>
  <c r="Y253" i="198"/>
  <c r="X253" i="198"/>
  <c r="W253" i="198"/>
  <c r="V253" i="198"/>
  <c r="U253" i="198"/>
  <c r="T253" i="198"/>
  <c r="S253" i="198"/>
  <c r="R253" i="198"/>
  <c r="Q253" i="198"/>
  <c r="P253" i="198"/>
  <c r="O253" i="198"/>
  <c r="N253" i="198"/>
  <c r="M253" i="198"/>
  <c r="L253" i="198"/>
  <c r="K253" i="198"/>
  <c r="J253" i="198"/>
  <c r="I253" i="198"/>
  <c r="H253" i="198"/>
  <c r="G253" i="198"/>
  <c r="F253" i="198"/>
  <c r="E253" i="198"/>
  <c r="D253" i="198"/>
  <c r="C253" i="198"/>
  <c r="B253" i="198"/>
  <c r="A253" i="198"/>
  <c r="DA252" i="198"/>
  <c r="CZ252" i="198"/>
  <c r="CY252" i="198"/>
  <c r="CX252" i="198"/>
  <c r="CW252" i="198"/>
  <c r="CV252" i="198"/>
  <c r="CU252" i="198"/>
  <c r="CT252" i="198"/>
  <c r="CS252" i="198"/>
  <c r="CR252" i="198"/>
  <c r="CQ252" i="198"/>
  <c r="CP252" i="198"/>
  <c r="CO252" i="198"/>
  <c r="CN252" i="198"/>
  <c r="CM252" i="198"/>
  <c r="CL252" i="198"/>
  <c r="CK252" i="198"/>
  <c r="CJ252" i="198"/>
  <c r="CI252" i="198"/>
  <c r="CH252" i="198"/>
  <c r="CG252" i="198"/>
  <c r="CF252" i="198"/>
  <c r="CE252" i="198"/>
  <c r="CD252" i="198"/>
  <c r="CC252" i="198"/>
  <c r="CB252" i="198"/>
  <c r="CA252" i="198"/>
  <c r="BZ252" i="198"/>
  <c r="BY252" i="198"/>
  <c r="BX252" i="198"/>
  <c r="BW252" i="198"/>
  <c r="BV252" i="198"/>
  <c r="BU252" i="198"/>
  <c r="BT252" i="198"/>
  <c r="BS252" i="198"/>
  <c r="BR252" i="198"/>
  <c r="BQ252" i="198"/>
  <c r="BP252" i="198"/>
  <c r="BO252" i="198"/>
  <c r="BN252" i="198"/>
  <c r="BM252" i="198"/>
  <c r="BL252" i="198"/>
  <c r="BK252" i="198"/>
  <c r="BJ252" i="198"/>
  <c r="BI252" i="198"/>
  <c r="BH252" i="198"/>
  <c r="BG252" i="198"/>
  <c r="BF252" i="198"/>
  <c r="BE252" i="198"/>
  <c r="BD252" i="198"/>
  <c r="BC252" i="198"/>
  <c r="BB252" i="198"/>
  <c r="BA252" i="198"/>
  <c r="AZ252" i="198"/>
  <c r="AY252" i="198"/>
  <c r="AX252" i="198"/>
  <c r="AW252" i="198"/>
  <c r="AV252" i="198"/>
  <c r="AU252" i="198"/>
  <c r="AT252" i="198"/>
  <c r="AS252" i="198"/>
  <c r="AR252" i="198"/>
  <c r="AQ252" i="198"/>
  <c r="AP252" i="198"/>
  <c r="AO252" i="198"/>
  <c r="AN252" i="198"/>
  <c r="AM252" i="198"/>
  <c r="AL252" i="198"/>
  <c r="AK252" i="198"/>
  <c r="AJ252" i="198"/>
  <c r="AI252" i="198"/>
  <c r="AH252" i="198"/>
  <c r="AG252" i="198"/>
  <c r="AF252" i="198"/>
  <c r="AE252" i="198"/>
  <c r="AD252" i="198"/>
  <c r="AC252" i="198"/>
  <c r="AB252" i="198"/>
  <c r="AA252" i="198"/>
  <c r="Z252" i="198"/>
  <c r="Y252" i="198"/>
  <c r="X252" i="198"/>
  <c r="W252" i="198"/>
  <c r="V252" i="198"/>
  <c r="U252" i="198"/>
  <c r="T252" i="198"/>
  <c r="S252" i="198"/>
  <c r="R252" i="198"/>
  <c r="Q252" i="198"/>
  <c r="P252" i="198"/>
  <c r="O252" i="198"/>
  <c r="N252" i="198"/>
  <c r="M252" i="198"/>
  <c r="L252" i="198"/>
  <c r="K252" i="198"/>
  <c r="J252" i="198"/>
  <c r="I252" i="198"/>
  <c r="H252" i="198"/>
  <c r="G252" i="198"/>
  <c r="F252" i="198"/>
  <c r="E252" i="198"/>
  <c r="D252" i="198"/>
  <c r="C252" i="198"/>
  <c r="B252" i="198"/>
  <c r="A252" i="198"/>
  <c r="CU251" i="198"/>
  <c r="CT251" i="198"/>
  <c r="CS251" i="198"/>
  <c r="CR251" i="198"/>
  <c r="CQ251" i="198"/>
  <c r="CP251" i="198"/>
  <c r="CO251" i="198"/>
  <c r="CN251" i="198"/>
  <c r="CM251" i="198"/>
  <c r="CL251" i="198"/>
  <c r="CK251" i="198"/>
  <c r="CJ251" i="198"/>
  <c r="CI251" i="198"/>
  <c r="CH251" i="198"/>
  <c r="CG251" i="198"/>
  <c r="CF251" i="198"/>
  <c r="CE251" i="198"/>
  <c r="CD251" i="198"/>
  <c r="CC251" i="198"/>
  <c r="CB251" i="198"/>
  <c r="CA251" i="198"/>
  <c r="BZ251" i="198"/>
  <c r="BY251" i="198"/>
  <c r="BX251" i="198"/>
  <c r="BW251" i="198"/>
  <c r="BV251" i="198"/>
  <c r="BU251" i="198"/>
  <c r="BT251" i="198"/>
  <c r="BS251" i="198"/>
  <c r="BR251" i="198"/>
  <c r="BQ251" i="198"/>
  <c r="BP251" i="198"/>
  <c r="BO251" i="198"/>
  <c r="BN251" i="198"/>
  <c r="BM251" i="198"/>
  <c r="BL251" i="198"/>
  <c r="BK251" i="198"/>
  <c r="BJ251" i="198"/>
  <c r="BI251" i="198"/>
  <c r="BH251" i="198"/>
  <c r="BG251" i="198"/>
  <c r="BF251" i="198"/>
  <c r="BE251" i="198"/>
  <c r="BD251" i="198"/>
  <c r="BC251" i="198"/>
  <c r="BB251" i="198"/>
  <c r="BA251" i="198"/>
  <c r="AZ251" i="198"/>
  <c r="AY251" i="198"/>
  <c r="AX251" i="198"/>
  <c r="AW251" i="198"/>
  <c r="AV251" i="198"/>
  <c r="AU251" i="198"/>
  <c r="AT251" i="198"/>
  <c r="AS251" i="198"/>
  <c r="AR251" i="198"/>
  <c r="AQ251" i="198"/>
  <c r="AP251" i="198"/>
  <c r="AO251" i="198"/>
  <c r="AN251" i="198"/>
  <c r="AM251" i="198"/>
  <c r="AL251" i="198"/>
  <c r="AK251" i="198"/>
  <c r="AJ251" i="198"/>
  <c r="AI251" i="198"/>
  <c r="AH251" i="198"/>
  <c r="AG251" i="198"/>
  <c r="AF251" i="198"/>
  <c r="AE251" i="198"/>
  <c r="AD251" i="198"/>
  <c r="AC251" i="198"/>
  <c r="AB251" i="198"/>
  <c r="AA251" i="198"/>
  <c r="Z251" i="198"/>
  <c r="Y251" i="198"/>
  <c r="X251" i="198"/>
  <c r="W251" i="198"/>
  <c r="V251" i="198"/>
  <c r="U251" i="198"/>
  <c r="T251" i="198"/>
  <c r="S251" i="198"/>
  <c r="R251" i="198"/>
  <c r="Q251" i="198"/>
  <c r="P251" i="198"/>
  <c r="O251" i="198"/>
  <c r="N251" i="198"/>
  <c r="M251" i="198"/>
  <c r="L251" i="198"/>
  <c r="K251" i="198"/>
  <c r="J251" i="198"/>
  <c r="I251" i="198"/>
  <c r="H251" i="198"/>
  <c r="G251" i="198"/>
  <c r="F251" i="198"/>
  <c r="E251" i="198"/>
  <c r="D251" i="198"/>
  <c r="C251" i="198"/>
  <c r="B251" i="198"/>
  <c r="A251" i="198"/>
  <c r="EB249" i="198"/>
  <c r="EA249" i="198"/>
  <c r="DZ249" i="198"/>
  <c r="DY249" i="198"/>
  <c r="DX249" i="198"/>
  <c r="DW249" i="198"/>
  <c r="DV249" i="198"/>
  <c r="DU249" i="198"/>
  <c r="DT249" i="198"/>
  <c r="DS249" i="198"/>
  <c r="DR249" i="198"/>
  <c r="DQ249" i="198"/>
  <c r="DP249" i="198"/>
  <c r="DO249" i="198"/>
  <c r="DN249" i="198"/>
  <c r="DM249" i="198"/>
  <c r="DL249" i="198"/>
  <c r="DK249" i="198"/>
  <c r="DJ249" i="198"/>
  <c r="DI249" i="198"/>
  <c r="DH249" i="198"/>
  <c r="DG249" i="198"/>
  <c r="DF249" i="198"/>
  <c r="DE249" i="198"/>
  <c r="DD249" i="198"/>
  <c r="DC249" i="198"/>
  <c r="EB248" i="198"/>
  <c r="EA248" i="198"/>
  <c r="DZ248" i="198"/>
  <c r="DY248" i="198"/>
  <c r="DX248" i="198"/>
  <c r="DW248" i="198"/>
  <c r="DV248" i="198"/>
  <c r="DU248" i="198"/>
  <c r="DT248" i="198"/>
  <c r="DS248" i="198"/>
  <c r="DR248" i="198"/>
  <c r="DQ248" i="198"/>
  <c r="DP248" i="198"/>
  <c r="DO248" i="198"/>
  <c r="DN248" i="198"/>
  <c r="DM248" i="198"/>
  <c r="DL248" i="198"/>
  <c r="DK248" i="198"/>
  <c r="DJ248" i="198"/>
  <c r="DI248" i="198"/>
  <c r="DH248" i="198"/>
  <c r="DG248" i="198"/>
  <c r="DF248" i="198"/>
  <c r="DE248" i="198"/>
  <c r="DD248" i="198"/>
  <c r="DC248" i="198"/>
  <c r="EB247" i="198"/>
  <c r="EA247" i="198"/>
  <c r="DZ247" i="198"/>
  <c r="DY247" i="198"/>
  <c r="DX247" i="198"/>
  <c r="DW247" i="198"/>
  <c r="DV247" i="198"/>
  <c r="DU247" i="198"/>
  <c r="DT247" i="198"/>
  <c r="DS247" i="198"/>
  <c r="DR247" i="198"/>
  <c r="DQ247" i="198"/>
  <c r="DP247" i="198"/>
  <c r="DO247" i="198"/>
  <c r="DN247" i="198"/>
  <c r="DM247" i="198"/>
  <c r="DL247" i="198"/>
  <c r="DK247" i="198"/>
  <c r="DJ247" i="198"/>
  <c r="DI247" i="198"/>
  <c r="DH247" i="198"/>
  <c r="DG247" i="198"/>
  <c r="DF247" i="198"/>
  <c r="DE247" i="198"/>
  <c r="DD247" i="198"/>
  <c r="DC247" i="198"/>
  <c r="EB246" i="198"/>
  <c r="EA246" i="198"/>
  <c r="DZ246" i="198"/>
  <c r="DY246" i="198"/>
  <c r="DX246" i="198"/>
  <c r="DW246" i="198"/>
  <c r="DV246" i="198"/>
  <c r="DU246" i="198"/>
  <c r="DT246" i="198"/>
  <c r="DS246" i="198"/>
  <c r="DR246" i="198"/>
  <c r="DQ246" i="198"/>
  <c r="DP246" i="198"/>
  <c r="DO246" i="198"/>
  <c r="DN246" i="198"/>
  <c r="DM246" i="198"/>
  <c r="DL246" i="198"/>
  <c r="DK246" i="198"/>
  <c r="DJ246" i="198"/>
  <c r="DI246" i="198"/>
  <c r="DH246" i="198"/>
  <c r="DG246" i="198"/>
  <c r="DF246" i="198"/>
  <c r="DE246" i="198"/>
  <c r="DD246" i="198"/>
  <c r="DC246" i="198"/>
  <c r="EB245" i="198"/>
  <c r="EA245" i="198"/>
  <c r="DZ245" i="198"/>
  <c r="DY245" i="198"/>
  <c r="DX245" i="198"/>
  <c r="DW245" i="198"/>
  <c r="DV245" i="198"/>
  <c r="DU245" i="198"/>
  <c r="DT245" i="198"/>
  <c r="DS245" i="198"/>
  <c r="DR245" i="198"/>
  <c r="DQ245" i="198"/>
  <c r="DP245" i="198"/>
  <c r="DO245" i="198"/>
  <c r="DN245" i="198"/>
  <c r="DM245" i="198"/>
  <c r="DL245" i="198"/>
  <c r="DK245" i="198"/>
  <c r="DJ245" i="198"/>
  <c r="DI245" i="198"/>
  <c r="DH245" i="198"/>
  <c r="DG245" i="198"/>
  <c r="DF245" i="198"/>
  <c r="DE245" i="198"/>
  <c r="DD245" i="198"/>
  <c r="DC245" i="198"/>
  <c r="ED244" i="198"/>
  <c r="EC244" i="198"/>
  <c r="EB244" i="198"/>
  <c r="EA244" i="198"/>
  <c r="DZ244" i="198"/>
  <c r="DY244" i="198"/>
  <c r="DX244" i="198"/>
  <c r="DW244" i="198"/>
  <c r="DV244" i="198"/>
  <c r="DU244" i="198"/>
  <c r="DT244" i="198"/>
  <c r="DS244" i="198"/>
  <c r="DR244" i="198"/>
  <c r="DQ244" i="198"/>
  <c r="DP244" i="198"/>
  <c r="DO244" i="198"/>
  <c r="DN244" i="198"/>
  <c r="DM244" i="198"/>
  <c r="DL244" i="198"/>
  <c r="DK244" i="198"/>
  <c r="DJ244" i="198"/>
  <c r="DI244" i="198"/>
  <c r="DH244" i="198"/>
  <c r="DG244" i="198"/>
  <c r="DF244" i="198"/>
  <c r="DE244" i="198"/>
  <c r="DD244" i="198"/>
  <c r="DC244" i="198"/>
  <c r="CS249" i="198"/>
  <c r="CR249" i="198"/>
  <c r="CQ249" i="198"/>
  <c r="CP249" i="198"/>
  <c r="CO249" i="198"/>
  <c r="CN249" i="198"/>
  <c r="CM249" i="198"/>
  <c r="CL249" i="198"/>
  <c r="CK249" i="198"/>
  <c r="CJ249" i="198"/>
  <c r="CI249" i="198"/>
  <c r="CH249" i="198"/>
  <c r="CG249" i="198"/>
  <c r="CF249" i="198"/>
  <c r="CE249" i="198"/>
  <c r="CD249" i="198"/>
  <c r="CC249" i="198"/>
  <c r="CB249" i="198"/>
  <c r="CA249" i="198"/>
  <c r="BZ249" i="198"/>
  <c r="BY249" i="198"/>
  <c r="BX249" i="198"/>
  <c r="BW249" i="198"/>
  <c r="BV249" i="198"/>
  <c r="BU249" i="198"/>
  <c r="BT249" i="198"/>
  <c r="BS249" i="198"/>
  <c r="BR249" i="198"/>
  <c r="BQ249" i="198"/>
  <c r="BP249" i="198"/>
  <c r="BO249" i="198"/>
  <c r="BN249" i="198"/>
  <c r="BM249" i="198"/>
  <c r="BL249" i="198"/>
  <c r="BK249" i="198"/>
  <c r="BJ249" i="198"/>
  <c r="BI249" i="198"/>
  <c r="BH249" i="198"/>
  <c r="BG249" i="198"/>
  <c r="BF249" i="198"/>
  <c r="BE249" i="198"/>
  <c r="BD249" i="198"/>
  <c r="BC249" i="198"/>
  <c r="BB249" i="198"/>
  <c r="BA249" i="198"/>
  <c r="AZ249" i="198"/>
  <c r="AY249" i="198"/>
  <c r="AX249" i="198"/>
  <c r="AW249" i="198"/>
  <c r="AV249" i="198"/>
  <c r="AU249" i="198"/>
  <c r="AT249" i="198"/>
  <c r="AS249" i="198"/>
  <c r="AR249" i="198"/>
  <c r="AQ249" i="198"/>
  <c r="AP249" i="198"/>
  <c r="AO249" i="198"/>
  <c r="AN249" i="198"/>
  <c r="AM249" i="198"/>
  <c r="AL249" i="198"/>
  <c r="AK249" i="198"/>
  <c r="AJ249" i="198"/>
  <c r="AI249" i="198"/>
  <c r="AH249" i="198"/>
  <c r="AG249" i="198"/>
  <c r="AF249" i="198"/>
  <c r="AE249" i="198"/>
  <c r="AD249" i="198"/>
  <c r="AC249" i="198"/>
  <c r="AB249" i="198"/>
  <c r="AA249" i="198"/>
  <c r="Z249" i="198"/>
  <c r="Y249" i="198"/>
  <c r="X249" i="198"/>
  <c r="W249" i="198"/>
  <c r="V249" i="198"/>
  <c r="U249" i="198"/>
  <c r="T249" i="198"/>
  <c r="S249" i="198"/>
  <c r="R249" i="198"/>
  <c r="Q249" i="198"/>
  <c r="P249" i="198"/>
  <c r="O249" i="198"/>
  <c r="N249" i="198"/>
  <c r="M249" i="198"/>
  <c r="L249" i="198"/>
  <c r="K249" i="198"/>
  <c r="J249" i="198"/>
  <c r="I249" i="198"/>
  <c r="H249" i="198"/>
  <c r="G249" i="198"/>
  <c r="F249" i="198"/>
  <c r="E249" i="198"/>
  <c r="D249" i="198"/>
  <c r="C249" i="198"/>
  <c r="B249" i="198"/>
  <c r="A249" i="198"/>
  <c r="CS248" i="198"/>
  <c r="CR248" i="198"/>
  <c r="CQ248" i="198"/>
  <c r="CP248" i="198"/>
  <c r="CO248" i="198"/>
  <c r="CN248" i="198"/>
  <c r="CM248" i="198"/>
  <c r="CL248" i="198"/>
  <c r="CK248" i="198"/>
  <c r="CJ248" i="198"/>
  <c r="CI248" i="198"/>
  <c r="CH248" i="198"/>
  <c r="CG248" i="198"/>
  <c r="CF248" i="198"/>
  <c r="CE248" i="198"/>
  <c r="CD248" i="198"/>
  <c r="CC248" i="198"/>
  <c r="CB248" i="198"/>
  <c r="CA248" i="198"/>
  <c r="BZ248" i="198"/>
  <c r="BY248" i="198"/>
  <c r="BX248" i="198"/>
  <c r="BW248" i="198"/>
  <c r="BV248" i="198"/>
  <c r="BU248" i="198"/>
  <c r="BT248" i="198"/>
  <c r="BS248" i="198"/>
  <c r="BR248" i="198"/>
  <c r="BQ248" i="198"/>
  <c r="BP248" i="198"/>
  <c r="BO248" i="198"/>
  <c r="BN248" i="198"/>
  <c r="BM248" i="198"/>
  <c r="BL248" i="198"/>
  <c r="BK248" i="198"/>
  <c r="BJ248" i="198"/>
  <c r="BI248" i="198"/>
  <c r="BH248" i="198"/>
  <c r="BG248" i="198"/>
  <c r="BF248" i="198"/>
  <c r="BE248" i="198"/>
  <c r="BD248" i="198"/>
  <c r="BC248" i="198"/>
  <c r="BB248" i="198"/>
  <c r="BA248" i="198"/>
  <c r="AZ248" i="198"/>
  <c r="AY248" i="198"/>
  <c r="AX248" i="198"/>
  <c r="AW248" i="198"/>
  <c r="AV248" i="198"/>
  <c r="AU248" i="198"/>
  <c r="AT248" i="198"/>
  <c r="AS248" i="198"/>
  <c r="AR248" i="198"/>
  <c r="AQ248" i="198"/>
  <c r="AP248" i="198"/>
  <c r="AO248" i="198"/>
  <c r="AN248" i="198"/>
  <c r="AM248" i="198"/>
  <c r="AL248" i="198"/>
  <c r="AK248" i="198"/>
  <c r="AJ248" i="198"/>
  <c r="AI248" i="198"/>
  <c r="AH248" i="198"/>
  <c r="AG248" i="198"/>
  <c r="AF248" i="198"/>
  <c r="AE248" i="198"/>
  <c r="AD248" i="198"/>
  <c r="AC248" i="198"/>
  <c r="AB248" i="198"/>
  <c r="AA248" i="198"/>
  <c r="Z248" i="198"/>
  <c r="Y248" i="198"/>
  <c r="X248" i="198"/>
  <c r="W248" i="198"/>
  <c r="V248" i="198"/>
  <c r="U248" i="198"/>
  <c r="T248" i="198"/>
  <c r="S248" i="198"/>
  <c r="R248" i="198"/>
  <c r="Q248" i="198"/>
  <c r="P248" i="198"/>
  <c r="O248" i="198"/>
  <c r="N248" i="198"/>
  <c r="M248" i="198"/>
  <c r="L248" i="198"/>
  <c r="K248" i="198"/>
  <c r="J248" i="198"/>
  <c r="I248" i="198"/>
  <c r="H248" i="198"/>
  <c r="G248" i="198"/>
  <c r="F248" i="198"/>
  <c r="E248" i="198"/>
  <c r="D248" i="198"/>
  <c r="C248" i="198"/>
  <c r="B248" i="198"/>
  <c r="A248" i="198"/>
  <c r="CS247" i="198"/>
  <c r="CR247" i="198"/>
  <c r="CQ247" i="198"/>
  <c r="CP247" i="198"/>
  <c r="CO247" i="198"/>
  <c r="CN247" i="198"/>
  <c r="CM247" i="198"/>
  <c r="CL247" i="198"/>
  <c r="CK247" i="198"/>
  <c r="CJ247" i="198"/>
  <c r="CI247" i="198"/>
  <c r="CH247" i="198"/>
  <c r="CG247" i="198"/>
  <c r="CF247" i="198"/>
  <c r="CE247" i="198"/>
  <c r="CD247" i="198"/>
  <c r="CC247" i="198"/>
  <c r="CB247" i="198"/>
  <c r="CA247" i="198"/>
  <c r="BZ247" i="198"/>
  <c r="BY247" i="198"/>
  <c r="BX247" i="198"/>
  <c r="BW247" i="198"/>
  <c r="BV247" i="198"/>
  <c r="BU247" i="198"/>
  <c r="BT247" i="198"/>
  <c r="BS247" i="198"/>
  <c r="BR247" i="198"/>
  <c r="BQ247" i="198"/>
  <c r="BP247" i="198"/>
  <c r="BO247" i="198"/>
  <c r="BN247" i="198"/>
  <c r="BM247" i="198"/>
  <c r="BL247" i="198"/>
  <c r="BK247" i="198"/>
  <c r="BJ247" i="198"/>
  <c r="BI247" i="198"/>
  <c r="BH247" i="198"/>
  <c r="BG247" i="198"/>
  <c r="BF247" i="198"/>
  <c r="BE247" i="198"/>
  <c r="BD247" i="198"/>
  <c r="BC247" i="198"/>
  <c r="BB247" i="198"/>
  <c r="BA247" i="198"/>
  <c r="AZ247" i="198"/>
  <c r="AY247" i="198"/>
  <c r="AX247" i="198"/>
  <c r="AW247" i="198"/>
  <c r="AV247" i="198"/>
  <c r="AU247" i="198"/>
  <c r="AT247" i="198"/>
  <c r="AS247" i="198"/>
  <c r="AR247" i="198"/>
  <c r="AQ247" i="198"/>
  <c r="AP247" i="198"/>
  <c r="AO247" i="198"/>
  <c r="AN247" i="198"/>
  <c r="AM247" i="198"/>
  <c r="AL247" i="198"/>
  <c r="AK247" i="198"/>
  <c r="AJ247" i="198"/>
  <c r="AI247" i="198"/>
  <c r="AH247" i="198"/>
  <c r="AG247" i="198"/>
  <c r="AF247" i="198"/>
  <c r="AE247" i="198"/>
  <c r="AD247" i="198"/>
  <c r="AC247" i="198"/>
  <c r="AB247" i="198"/>
  <c r="AA247" i="198"/>
  <c r="Z247" i="198"/>
  <c r="Y247" i="198"/>
  <c r="X247" i="198"/>
  <c r="W247" i="198"/>
  <c r="V247" i="198"/>
  <c r="U247" i="198"/>
  <c r="T247" i="198"/>
  <c r="S247" i="198"/>
  <c r="R247" i="198"/>
  <c r="Q247" i="198"/>
  <c r="P247" i="198"/>
  <c r="O247" i="198"/>
  <c r="N247" i="198"/>
  <c r="M247" i="198"/>
  <c r="L247" i="198"/>
  <c r="K247" i="198"/>
  <c r="J247" i="198"/>
  <c r="I247" i="198"/>
  <c r="H247" i="198"/>
  <c r="G247" i="198"/>
  <c r="F247" i="198"/>
  <c r="E247" i="198"/>
  <c r="D247" i="198"/>
  <c r="C247" i="198"/>
  <c r="B247" i="198"/>
  <c r="A247" i="198"/>
  <c r="CU246" i="198"/>
  <c r="CT246" i="198"/>
  <c r="CS246" i="198"/>
  <c r="CR246" i="198"/>
  <c r="CQ246" i="198"/>
  <c r="CP246" i="198"/>
  <c r="CO246" i="198"/>
  <c r="CN246" i="198"/>
  <c r="CM246" i="198"/>
  <c r="CL246" i="198"/>
  <c r="CK246" i="198"/>
  <c r="CJ246" i="198"/>
  <c r="CI246" i="198"/>
  <c r="CH246" i="198"/>
  <c r="CG246" i="198"/>
  <c r="CF246" i="198"/>
  <c r="CE246" i="198"/>
  <c r="CD246" i="198"/>
  <c r="CC246" i="198"/>
  <c r="CB246" i="198"/>
  <c r="CA246" i="198"/>
  <c r="BZ246" i="198"/>
  <c r="BY246" i="198"/>
  <c r="BX246" i="198"/>
  <c r="BW246" i="198"/>
  <c r="BV246" i="198"/>
  <c r="BU246" i="198"/>
  <c r="BT246" i="198"/>
  <c r="BS246" i="198"/>
  <c r="BR246" i="198"/>
  <c r="BQ246" i="198"/>
  <c r="BP246" i="198"/>
  <c r="BO246" i="198"/>
  <c r="BN246" i="198"/>
  <c r="BM246" i="198"/>
  <c r="BL246" i="198"/>
  <c r="BK246" i="198"/>
  <c r="BJ246" i="198"/>
  <c r="BI246" i="198"/>
  <c r="BH246" i="198"/>
  <c r="BG246" i="198"/>
  <c r="BF246" i="198"/>
  <c r="BE246" i="198"/>
  <c r="BD246" i="198"/>
  <c r="BC246" i="198"/>
  <c r="BB246" i="198"/>
  <c r="BA246" i="198"/>
  <c r="AZ246" i="198"/>
  <c r="AY246" i="198"/>
  <c r="AX246" i="198"/>
  <c r="AW246" i="198"/>
  <c r="AV246" i="198"/>
  <c r="AU246" i="198"/>
  <c r="AT246" i="198"/>
  <c r="AS246" i="198"/>
  <c r="AR246" i="198"/>
  <c r="AQ246" i="198"/>
  <c r="AP246" i="198"/>
  <c r="AO246" i="198"/>
  <c r="AN246" i="198"/>
  <c r="AM246" i="198"/>
  <c r="AL246" i="198"/>
  <c r="AK246" i="198"/>
  <c r="AJ246" i="198"/>
  <c r="AI246" i="198"/>
  <c r="AH246" i="198"/>
  <c r="AG246" i="198"/>
  <c r="AF246" i="198"/>
  <c r="AE246" i="198"/>
  <c r="AD246" i="198"/>
  <c r="AC246" i="198"/>
  <c r="AB246" i="198"/>
  <c r="AA246" i="198"/>
  <c r="Z246" i="198"/>
  <c r="Y246" i="198"/>
  <c r="X246" i="198"/>
  <c r="W246" i="198"/>
  <c r="V246" i="198"/>
  <c r="U246" i="198"/>
  <c r="T246" i="198"/>
  <c r="S246" i="198"/>
  <c r="R246" i="198"/>
  <c r="Q246" i="198"/>
  <c r="P246" i="198"/>
  <c r="O246" i="198"/>
  <c r="N246" i="198"/>
  <c r="M246" i="198"/>
  <c r="L246" i="198"/>
  <c r="K246" i="198"/>
  <c r="J246" i="198"/>
  <c r="I246" i="198"/>
  <c r="H246" i="198"/>
  <c r="G246" i="198"/>
  <c r="F246" i="198"/>
  <c r="E246" i="198"/>
  <c r="D246" i="198"/>
  <c r="C246" i="198"/>
  <c r="B246" i="198"/>
  <c r="A246" i="198"/>
  <c r="CU245" i="198"/>
  <c r="CT245" i="198"/>
  <c r="CS245" i="198"/>
  <c r="CR245" i="198"/>
  <c r="CQ245" i="198"/>
  <c r="CP245" i="198"/>
  <c r="CO245" i="198"/>
  <c r="CN245" i="198"/>
  <c r="CM245" i="198"/>
  <c r="CL245" i="198"/>
  <c r="CK245" i="198"/>
  <c r="CJ245" i="198"/>
  <c r="CI245" i="198"/>
  <c r="CH245" i="198"/>
  <c r="CG245" i="198"/>
  <c r="CF245" i="198"/>
  <c r="CE245" i="198"/>
  <c r="CD245" i="198"/>
  <c r="CC245" i="198"/>
  <c r="CB245" i="198"/>
  <c r="CA245" i="198"/>
  <c r="BZ245" i="198"/>
  <c r="BY245" i="198"/>
  <c r="BX245" i="198"/>
  <c r="BW245" i="198"/>
  <c r="BV245" i="198"/>
  <c r="BU245" i="198"/>
  <c r="BT245" i="198"/>
  <c r="BS245" i="198"/>
  <c r="BR245" i="198"/>
  <c r="BQ245" i="198"/>
  <c r="BP245" i="198"/>
  <c r="BO245" i="198"/>
  <c r="BN245" i="198"/>
  <c r="BM245" i="198"/>
  <c r="BL245" i="198"/>
  <c r="BK245" i="198"/>
  <c r="BJ245" i="198"/>
  <c r="BI245" i="198"/>
  <c r="BH245" i="198"/>
  <c r="BG245" i="198"/>
  <c r="BF245" i="198"/>
  <c r="BE245" i="198"/>
  <c r="BD245" i="198"/>
  <c r="BC245" i="198"/>
  <c r="BB245" i="198"/>
  <c r="BA245" i="198"/>
  <c r="AZ245" i="198"/>
  <c r="AY245" i="198"/>
  <c r="AX245" i="198"/>
  <c r="AW245" i="198"/>
  <c r="AV245" i="198"/>
  <c r="AU245" i="198"/>
  <c r="AT245" i="198"/>
  <c r="AS245" i="198"/>
  <c r="AR245" i="198"/>
  <c r="AQ245" i="198"/>
  <c r="AP245" i="198"/>
  <c r="AO245" i="198"/>
  <c r="AN245" i="198"/>
  <c r="AM245" i="198"/>
  <c r="AL245" i="198"/>
  <c r="AK245" i="198"/>
  <c r="AJ245" i="198"/>
  <c r="AI245" i="198"/>
  <c r="AH245" i="198"/>
  <c r="AG245" i="198"/>
  <c r="AF245" i="198"/>
  <c r="AE245" i="198"/>
  <c r="AD245" i="198"/>
  <c r="AC245" i="198"/>
  <c r="AB245" i="198"/>
  <c r="AA245" i="198"/>
  <c r="Z245" i="198"/>
  <c r="Y245" i="198"/>
  <c r="X245" i="198"/>
  <c r="W245" i="198"/>
  <c r="V245" i="198"/>
  <c r="U245" i="198"/>
  <c r="T245" i="198"/>
  <c r="S245" i="198"/>
  <c r="R245" i="198"/>
  <c r="Q245" i="198"/>
  <c r="P245" i="198"/>
  <c r="O245" i="198"/>
  <c r="N245" i="198"/>
  <c r="M245" i="198"/>
  <c r="L245" i="198"/>
  <c r="K245" i="198"/>
  <c r="J245" i="198"/>
  <c r="I245" i="198"/>
  <c r="H245" i="198"/>
  <c r="G245" i="198"/>
  <c r="F245" i="198"/>
  <c r="E245" i="198"/>
  <c r="D245" i="198"/>
  <c r="C245" i="198"/>
  <c r="B245" i="198"/>
  <c r="A245" i="198"/>
  <c r="CU244" i="198"/>
  <c r="CT244" i="198"/>
  <c r="CS244" i="198"/>
  <c r="CR244" i="198"/>
  <c r="CQ244" i="198"/>
  <c r="CP244" i="198"/>
  <c r="CO244" i="198"/>
  <c r="CN244" i="198"/>
  <c r="CM244" i="198"/>
  <c r="CL244" i="198"/>
  <c r="CK244" i="198"/>
  <c r="CJ244" i="198"/>
  <c r="CI244" i="198"/>
  <c r="CH244" i="198"/>
  <c r="CG244" i="198"/>
  <c r="CF244" i="198"/>
  <c r="CE244" i="198"/>
  <c r="CD244" i="198"/>
  <c r="CC244" i="198"/>
  <c r="CB244" i="198"/>
  <c r="CA244" i="198"/>
  <c r="BZ244" i="198"/>
  <c r="BY244" i="198"/>
  <c r="BX244" i="198"/>
  <c r="BW244" i="198"/>
  <c r="BV244" i="198"/>
  <c r="BU244" i="198"/>
  <c r="BT244" i="198"/>
  <c r="BS244" i="198"/>
  <c r="BR244" i="198"/>
  <c r="BQ244" i="198"/>
  <c r="BP244" i="198"/>
  <c r="BO244" i="198"/>
  <c r="BN244" i="198"/>
  <c r="BM244" i="198"/>
  <c r="BL244" i="198"/>
  <c r="BK244" i="198"/>
  <c r="BJ244" i="198"/>
  <c r="BI244" i="198"/>
  <c r="BH244" i="198"/>
  <c r="BG244" i="198"/>
  <c r="BF244" i="198"/>
  <c r="BE244" i="198"/>
  <c r="BD244" i="198"/>
  <c r="BC244" i="198"/>
  <c r="BB244" i="198"/>
  <c r="BA244" i="198"/>
  <c r="AZ244" i="198"/>
  <c r="AY244" i="198"/>
  <c r="AX244" i="198"/>
  <c r="AW244" i="198"/>
  <c r="AV244" i="198"/>
  <c r="AU244" i="198"/>
  <c r="AT244" i="198"/>
  <c r="AS244" i="198"/>
  <c r="AR244" i="198"/>
  <c r="AQ244" i="198"/>
  <c r="AP244" i="198"/>
  <c r="AO244" i="198"/>
  <c r="AN244" i="198"/>
  <c r="AM244" i="198"/>
  <c r="AL244" i="198"/>
  <c r="AK244" i="198"/>
  <c r="AJ244" i="198"/>
  <c r="AI244" i="198"/>
  <c r="AH244" i="198"/>
  <c r="AG244" i="198"/>
  <c r="AF244" i="198"/>
  <c r="AE244" i="198"/>
  <c r="AD244" i="198"/>
  <c r="AC244" i="198"/>
  <c r="AB244" i="198"/>
  <c r="AA244" i="198"/>
  <c r="Z244" i="198"/>
  <c r="Y244" i="198"/>
  <c r="X244" i="198"/>
  <c r="W244" i="198"/>
  <c r="V244" i="198"/>
  <c r="U244" i="198"/>
  <c r="T244" i="198"/>
  <c r="S244" i="198"/>
  <c r="R244" i="198"/>
  <c r="Q244" i="198"/>
  <c r="P244" i="198"/>
  <c r="O244" i="198"/>
  <c r="N244" i="198"/>
  <c r="M244" i="198"/>
  <c r="L244" i="198"/>
  <c r="K244" i="198"/>
  <c r="J244" i="198"/>
  <c r="I244" i="198"/>
  <c r="H244" i="198"/>
  <c r="G244" i="198"/>
  <c r="F244" i="198"/>
  <c r="E244" i="198"/>
  <c r="D244" i="198"/>
  <c r="C244" i="198"/>
  <c r="B244" i="198"/>
  <c r="A244" i="198"/>
  <c r="A243" i="198"/>
  <c r="A239" i="198"/>
  <c r="EB232" i="198"/>
  <c r="EA232" i="198"/>
  <c r="DZ232" i="198"/>
  <c r="DY232" i="198"/>
  <c r="DX232" i="198"/>
  <c r="DW232" i="198"/>
  <c r="DV232" i="198"/>
  <c r="DU232" i="198"/>
  <c r="DT232" i="198"/>
  <c r="DS232" i="198"/>
  <c r="DR232" i="198"/>
  <c r="DQ232" i="198"/>
  <c r="DP232" i="198"/>
  <c r="DO232" i="198"/>
  <c r="DN232" i="198"/>
  <c r="DM232" i="198"/>
  <c r="DL232" i="198"/>
  <c r="DK232" i="198"/>
  <c r="DJ232" i="198"/>
  <c r="DI232" i="198"/>
  <c r="DH232" i="198"/>
  <c r="DG232" i="198"/>
  <c r="DF232" i="198"/>
  <c r="DE232" i="198"/>
  <c r="DD232" i="198"/>
  <c r="DC232" i="198"/>
  <c r="EB231" i="198"/>
  <c r="EA231" i="198"/>
  <c r="DZ231" i="198"/>
  <c r="DY231" i="198"/>
  <c r="DX231" i="198"/>
  <c r="DW231" i="198"/>
  <c r="DV231" i="198"/>
  <c r="DU231" i="198"/>
  <c r="DT231" i="198"/>
  <c r="DS231" i="198"/>
  <c r="DR231" i="198"/>
  <c r="DQ231" i="198"/>
  <c r="DP231" i="198"/>
  <c r="DO231" i="198"/>
  <c r="DN231" i="198"/>
  <c r="DM231" i="198"/>
  <c r="DL231" i="198"/>
  <c r="DK231" i="198"/>
  <c r="DJ231" i="198"/>
  <c r="DI231" i="198"/>
  <c r="DH231" i="198"/>
  <c r="DG231" i="198"/>
  <c r="DF231" i="198"/>
  <c r="DE231" i="198"/>
  <c r="DD231" i="198"/>
  <c r="DC231" i="198"/>
  <c r="EB230" i="198"/>
  <c r="EA230" i="198"/>
  <c r="DZ230" i="198"/>
  <c r="DY230" i="198"/>
  <c r="DX230" i="198"/>
  <c r="DW230" i="198"/>
  <c r="DV230" i="198"/>
  <c r="DU230" i="198"/>
  <c r="DT230" i="198"/>
  <c r="DS230" i="198"/>
  <c r="DR230" i="198"/>
  <c r="DQ230" i="198"/>
  <c r="DP230" i="198"/>
  <c r="DO230" i="198"/>
  <c r="DN230" i="198"/>
  <c r="DM230" i="198"/>
  <c r="DL230" i="198"/>
  <c r="DK230" i="198"/>
  <c r="DJ230" i="198"/>
  <c r="DI230" i="198"/>
  <c r="DH230" i="198"/>
  <c r="DG230" i="198"/>
  <c r="DF230" i="198"/>
  <c r="DE230" i="198"/>
  <c r="DD230" i="198"/>
  <c r="DC230" i="198"/>
  <c r="DA232" i="198"/>
  <c r="CZ232" i="198"/>
  <c r="CY232" i="198"/>
  <c r="CX232" i="198"/>
  <c r="CW232" i="198"/>
  <c r="CV232" i="198"/>
  <c r="CU232" i="198"/>
  <c r="CT232" i="198"/>
  <c r="CS232" i="198"/>
  <c r="CR232" i="198"/>
  <c r="CQ232" i="198"/>
  <c r="CP232" i="198"/>
  <c r="CO232" i="198"/>
  <c r="CN232" i="198"/>
  <c r="CM232" i="198"/>
  <c r="CL232" i="198"/>
  <c r="CK232" i="198"/>
  <c r="CJ232" i="198"/>
  <c r="CI232" i="198"/>
  <c r="CH232" i="198"/>
  <c r="CG232" i="198"/>
  <c r="CF232" i="198"/>
  <c r="CE232" i="198"/>
  <c r="CD232" i="198"/>
  <c r="CC232" i="198"/>
  <c r="CB232" i="198"/>
  <c r="CA232" i="198"/>
  <c r="BZ232" i="198"/>
  <c r="BY232" i="198"/>
  <c r="BX232" i="198"/>
  <c r="BW232" i="198"/>
  <c r="BV232" i="198"/>
  <c r="BU232" i="198"/>
  <c r="BT232" i="198"/>
  <c r="BS232" i="198"/>
  <c r="BR232" i="198"/>
  <c r="BQ232" i="198"/>
  <c r="BP232" i="198"/>
  <c r="BO232" i="198"/>
  <c r="BN232" i="198"/>
  <c r="BM232" i="198"/>
  <c r="BL232" i="198"/>
  <c r="BK232" i="198"/>
  <c r="BJ232" i="198"/>
  <c r="BI232" i="198"/>
  <c r="BH232" i="198"/>
  <c r="BG232" i="198"/>
  <c r="BF232" i="198"/>
  <c r="BE232" i="198"/>
  <c r="BD232" i="198"/>
  <c r="BC232" i="198"/>
  <c r="BB232" i="198"/>
  <c r="BA232" i="198"/>
  <c r="AZ232" i="198"/>
  <c r="AY232" i="198"/>
  <c r="AX232" i="198"/>
  <c r="AW232" i="198"/>
  <c r="AV232" i="198"/>
  <c r="AU232" i="198"/>
  <c r="AT232" i="198"/>
  <c r="AS232" i="198"/>
  <c r="AR232" i="198"/>
  <c r="AQ232" i="198"/>
  <c r="AP232" i="198"/>
  <c r="AO232" i="198"/>
  <c r="AN232" i="198"/>
  <c r="AM232" i="198"/>
  <c r="AL232" i="198"/>
  <c r="AK232" i="198"/>
  <c r="AJ232" i="198"/>
  <c r="AI232" i="198"/>
  <c r="AH232" i="198"/>
  <c r="AG232" i="198"/>
  <c r="AF232" i="198"/>
  <c r="AE232" i="198"/>
  <c r="AD232" i="198"/>
  <c r="AC232" i="198"/>
  <c r="AB232" i="198"/>
  <c r="AA232" i="198"/>
  <c r="Z232" i="198"/>
  <c r="Y232" i="198"/>
  <c r="X232" i="198"/>
  <c r="W232" i="198"/>
  <c r="V232" i="198"/>
  <c r="U232" i="198"/>
  <c r="T232" i="198"/>
  <c r="S232" i="198"/>
  <c r="R232" i="198"/>
  <c r="Q232" i="198"/>
  <c r="P232" i="198"/>
  <c r="O232" i="198"/>
  <c r="N232" i="198"/>
  <c r="M232" i="198"/>
  <c r="L232" i="198"/>
  <c r="K232" i="198"/>
  <c r="J232" i="198"/>
  <c r="I232" i="198"/>
  <c r="H232" i="198"/>
  <c r="G232" i="198"/>
  <c r="F232" i="198"/>
  <c r="E232" i="198"/>
  <c r="D232" i="198"/>
  <c r="C232" i="198"/>
  <c r="B232" i="198"/>
  <c r="A232" i="198"/>
  <c r="DA231" i="198"/>
  <c r="CZ231" i="198"/>
  <c r="CY231" i="198"/>
  <c r="CX231" i="198"/>
  <c r="CW231" i="198"/>
  <c r="CV231" i="198"/>
  <c r="CU231" i="198"/>
  <c r="CT231" i="198"/>
  <c r="CS231" i="198"/>
  <c r="CR231" i="198"/>
  <c r="CQ231" i="198"/>
  <c r="CP231" i="198"/>
  <c r="CO231" i="198"/>
  <c r="CN231" i="198"/>
  <c r="CM231" i="198"/>
  <c r="CL231" i="198"/>
  <c r="CK231" i="198"/>
  <c r="CJ231" i="198"/>
  <c r="CI231" i="198"/>
  <c r="CH231" i="198"/>
  <c r="CG231" i="198"/>
  <c r="CF231" i="198"/>
  <c r="CE231" i="198"/>
  <c r="CD231" i="198"/>
  <c r="CC231" i="198"/>
  <c r="CB231" i="198"/>
  <c r="CA231" i="198"/>
  <c r="BZ231" i="198"/>
  <c r="BY231" i="198"/>
  <c r="BX231" i="198"/>
  <c r="BW231" i="198"/>
  <c r="BV231" i="198"/>
  <c r="BU231" i="198"/>
  <c r="BT231" i="198"/>
  <c r="BS231" i="198"/>
  <c r="BR231" i="198"/>
  <c r="BQ231" i="198"/>
  <c r="BP231" i="198"/>
  <c r="BO231" i="198"/>
  <c r="BN231" i="198"/>
  <c r="BM231" i="198"/>
  <c r="BL231" i="198"/>
  <c r="BK231" i="198"/>
  <c r="BJ231" i="198"/>
  <c r="BI231" i="198"/>
  <c r="BH231" i="198"/>
  <c r="BG231" i="198"/>
  <c r="BF231" i="198"/>
  <c r="BE231" i="198"/>
  <c r="BD231" i="198"/>
  <c r="BC231" i="198"/>
  <c r="BB231" i="198"/>
  <c r="BA231" i="198"/>
  <c r="AZ231" i="198"/>
  <c r="AY231" i="198"/>
  <c r="AX231" i="198"/>
  <c r="AW231" i="198"/>
  <c r="AV231" i="198"/>
  <c r="AU231" i="198"/>
  <c r="AT231" i="198"/>
  <c r="AS231" i="198"/>
  <c r="AR231" i="198"/>
  <c r="AQ231" i="198"/>
  <c r="AP231" i="198"/>
  <c r="AO231" i="198"/>
  <c r="AN231" i="198"/>
  <c r="AM231" i="198"/>
  <c r="AL231" i="198"/>
  <c r="AK231" i="198"/>
  <c r="AJ231" i="198"/>
  <c r="AI231" i="198"/>
  <c r="AH231" i="198"/>
  <c r="AG231" i="198"/>
  <c r="AF231" i="198"/>
  <c r="AE231" i="198"/>
  <c r="AD231" i="198"/>
  <c r="AC231" i="198"/>
  <c r="AB231" i="198"/>
  <c r="AA231" i="198"/>
  <c r="Z231" i="198"/>
  <c r="Y231" i="198"/>
  <c r="X231" i="198"/>
  <c r="W231" i="198"/>
  <c r="V231" i="198"/>
  <c r="U231" i="198"/>
  <c r="T231" i="198"/>
  <c r="S231" i="198"/>
  <c r="R231" i="198"/>
  <c r="Q231" i="198"/>
  <c r="P231" i="198"/>
  <c r="O231" i="198"/>
  <c r="N231" i="198"/>
  <c r="M231" i="198"/>
  <c r="L231" i="198"/>
  <c r="K231" i="198"/>
  <c r="J231" i="198"/>
  <c r="I231" i="198"/>
  <c r="H231" i="198"/>
  <c r="G231" i="198"/>
  <c r="F231" i="198"/>
  <c r="E231" i="198"/>
  <c r="D231" i="198"/>
  <c r="C231" i="198"/>
  <c r="B231" i="198"/>
  <c r="A231" i="198"/>
  <c r="DA230" i="198"/>
  <c r="CZ230" i="198"/>
  <c r="CY230" i="198"/>
  <c r="CX230" i="198"/>
  <c r="CW230" i="198"/>
  <c r="CV230" i="198"/>
  <c r="CU230" i="198"/>
  <c r="CT230" i="198"/>
  <c r="CS230" i="198"/>
  <c r="CR230" i="198"/>
  <c r="CQ230" i="198"/>
  <c r="CP230" i="198"/>
  <c r="CO230" i="198"/>
  <c r="CN230" i="198"/>
  <c r="CM230" i="198"/>
  <c r="CL230" i="198"/>
  <c r="CK230" i="198"/>
  <c r="CJ230" i="198"/>
  <c r="CI230" i="198"/>
  <c r="CH230" i="198"/>
  <c r="CG230" i="198"/>
  <c r="CF230" i="198"/>
  <c r="CE230" i="198"/>
  <c r="CD230" i="198"/>
  <c r="CC230" i="198"/>
  <c r="CB230" i="198"/>
  <c r="CA230" i="198"/>
  <c r="BZ230" i="198"/>
  <c r="BY230" i="198"/>
  <c r="BX230" i="198"/>
  <c r="BW230" i="198"/>
  <c r="BV230" i="198"/>
  <c r="BU230" i="198"/>
  <c r="BT230" i="198"/>
  <c r="BS230" i="198"/>
  <c r="BR230" i="198"/>
  <c r="BQ230" i="198"/>
  <c r="BP230" i="198"/>
  <c r="BO230" i="198"/>
  <c r="BN230" i="198"/>
  <c r="BM230" i="198"/>
  <c r="BL230" i="198"/>
  <c r="BK230" i="198"/>
  <c r="BJ230" i="198"/>
  <c r="BI230" i="198"/>
  <c r="BH230" i="198"/>
  <c r="BG230" i="198"/>
  <c r="BF230" i="198"/>
  <c r="BE230" i="198"/>
  <c r="BD230" i="198"/>
  <c r="BC230" i="198"/>
  <c r="BB230" i="198"/>
  <c r="BA230" i="198"/>
  <c r="AZ230" i="198"/>
  <c r="AY230" i="198"/>
  <c r="AX230" i="198"/>
  <c r="AW230" i="198"/>
  <c r="AV230" i="198"/>
  <c r="AU230" i="198"/>
  <c r="AT230" i="198"/>
  <c r="AS230" i="198"/>
  <c r="AR230" i="198"/>
  <c r="AQ230" i="198"/>
  <c r="AP230" i="198"/>
  <c r="AO230" i="198"/>
  <c r="AN230" i="198"/>
  <c r="AM230" i="198"/>
  <c r="AL230" i="198"/>
  <c r="AK230" i="198"/>
  <c r="AJ230" i="198"/>
  <c r="AI230" i="198"/>
  <c r="AH230" i="198"/>
  <c r="AG230" i="198"/>
  <c r="AF230" i="198"/>
  <c r="AE230" i="198"/>
  <c r="AD230" i="198"/>
  <c r="AC230" i="198"/>
  <c r="AB230" i="198"/>
  <c r="AA230" i="198"/>
  <c r="Z230" i="198"/>
  <c r="Y230" i="198"/>
  <c r="X230" i="198"/>
  <c r="W230" i="198"/>
  <c r="V230" i="198"/>
  <c r="U230" i="198"/>
  <c r="T230" i="198"/>
  <c r="S230" i="198"/>
  <c r="R230" i="198"/>
  <c r="Q230" i="198"/>
  <c r="P230" i="198"/>
  <c r="O230" i="198"/>
  <c r="N230" i="198"/>
  <c r="M230" i="198"/>
  <c r="L230" i="198"/>
  <c r="K230" i="198"/>
  <c r="J230" i="198"/>
  <c r="I230" i="198"/>
  <c r="H230" i="198"/>
  <c r="G230" i="198"/>
  <c r="F230" i="198"/>
  <c r="E230" i="198"/>
  <c r="D230" i="198"/>
  <c r="C230" i="198"/>
  <c r="B230" i="198"/>
  <c r="A230" i="198"/>
  <c r="EB227" i="198"/>
  <c r="EA227" i="198"/>
  <c r="DZ227" i="198"/>
  <c r="DY227" i="198"/>
  <c r="DX227" i="198"/>
  <c r="DW227" i="198"/>
  <c r="DV227" i="198"/>
  <c r="DU227" i="198"/>
  <c r="DT227" i="198"/>
  <c r="DS227" i="198"/>
  <c r="DR227" i="198"/>
  <c r="DQ227" i="198"/>
  <c r="DP227" i="198"/>
  <c r="DO227" i="198"/>
  <c r="DN227" i="198"/>
  <c r="DM227" i="198"/>
  <c r="DL227" i="198"/>
  <c r="DK227" i="198"/>
  <c r="DJ227" i="198"/>
  <c r="DI227" i="198"/>
  <c r="DH227" i="198"/>
  <c r="DG227" i="198"/>
  <c r="DF227" i="198"/>
  <c r="DE227" i="198"/>
  <c r="DD227" i="198"/>
  <c r="DC227" i="198"/>
  <c r="EB226" i="198"/>
  <c r="EA226" i="198"/>
  <c r="DZ226" i="198"/>
  <c r="DY226" i="198"/>
  <c r="DX226" i="198"/>
  <c r="DW226" i="198"/>
  <c r="DV226" i="198"/>
  <c r="DU226" i="198"/>
  <c r="DT226" i="198"/>
  <c r="DS226" i="198"/>
  <c r="DR226" i="198"/>
  <c r="DQ226" i="198"/>
  <c r="DP226" i="198"/>
  <c r="DO226" i="198"/>
  <c r="DN226" i="198"/>
  <c r="DM226" i="198"/>
  <c r="DL226" i="198"/>
  <c r="DK226" i="198"/>
  <c r="DJ226" i="198"/>
  <c r="DI226" i="198"/>
  <c r="DH226" i="198"/>
  <c r="DG226" i="198"/>
  <c r="DF226" i="198"/>
  <c r="DE226" i="198"/>
  <c r="DD226" i="198"/>
  <c r="DC226" i="198"/>
  <c r="EB225" i="198"/>
  <c r="EA225" i="198"/>
  <c r="DZ225" i="198"/>
  <c r="DY225" i="198"/>
  <c r="DX225" i="198"/>
  <c r="DW225" i="198"/>
  <c r="DV225" i="198"/>
  <c r="DU225" i="198"/>
  <c r="DT225" i="198"/>
  <c r="DS225" i="198"/>
  <c r="DR225" i="198"/>
  <c r="DQ225" i="198"/>
  <c r="DP225" i="198"/>
  <c r="DO225" i="198"/>
  <c r="DN225" i="198"/>
  <c r="DM225" i="198"/>
  <c r="DL225" i="198"/>
  <c r="DK225" i="198"/>
  <c r="DJ225" i="198"/>
  <c r="DI225" i="198"/>
  <c r="DH225" i="198"/>
  <c r="DG225" i="198"/>
  <c r="DF225" i="198"/>
  <c r="DE225" i="198"/>
  <c r="DD225" i="198"/>
  <c r="DC225" i="198"/>
  <c r="CS227" i="198"/>
  <c r="CR227" i="198"/>
  <c r="CQ227" i="198"/>
  <c r="CP227" i="198"/>
  <c r="CO227" i="198"/>
  <c r="CN227" i="198"/>
  <c r="CM227" i="198"/>
  <c r="CL227" i="198"/>
  <c r="CK227" i="198"/>
  <c r="CJ227" i="198"/>
  <c r="CI227" i="198"/>
  <c r="CH227" i="198"/>
  <c r="CG227" i="198"/>
  <c r="CF227" i="198"/>
  <c r="CE227" i="198"/>
  <c r="CD227" i="198"/>
  <c r="CC227" i="198"/>
  <c r="CB227" i="198"/>
  <c r="CA227" i="198"/>
  <c r="BZ227" i="198"/>
  <c r="BY227" i="198"/>
  <c r="BX227" i="198"/>
  <c r="BW227" i="198"/>
  <c r="BV227" i="198"/>
  <c r="BU227" i="198"/>
  <c r="BT227" i="198"/>
  <c r="BS227" i="198"/>
  <c r="BR227" i="198"/>
  <c r="BQ227" i="198"/>
  <c r="BP227" i="198"/>
  <c r="BO227" i="198"/>
  <c r="BN227" i="198"/>
  <c r="BM227" i="198"/>
  <c r="BL227" i="198"/>
  <c r="BK227" i="198"/>
  <c r="BJ227" i="198"/>
  <c r="BI227" i="198"/>
  <c r="BH227" i="198"/>
  <c r="BG227" i="198"/>
  <c r="BF227" i="198"/>
  <c r="BE227" i="198"/>
  <c r="BD227" i="198"/>
  <c r="BC227" i="198"/>
  <c r="BB227" i="198"/>
  <c r="BA227" i="198"/>
  <c r="AZ227" i="198"/>
  <c r="AY227" i="198"/>
  <c r="AX227" i="198"/>
  <c r="AW227" i="198"/>
  <c r="AV227" i="198"/>
  <c r="AU227" i="198"/>
  <c r="AT227" i="198"/>
  <c r="AS227" i="198"/>
  <c r="AR227" i="198"/>
  <c r="AQ227" i="198"/>
  <c r="AP227" i="198"/>
  <c r="AO227" i="198"/>
  <c r="AN227" i="198"/>
  <c r="AM227" i="198"/>
  <c r="AL227" i="198"/>
  <c r="AK227" i="198"/>
  <c r="AJ227" i="198"/>
  <c r="AI227" i="198"/>
  <c r="AH227" i="198"/>
  <c r="AG227" i="198"/>
  <c r="AF227" i="198"/>
  <c r="AE227" i="198"/>
  <c r="AD227" i="198"/>
  <c r="AC227" i="198"/>
  <c r="AB227" i="198"/>
  <c r="AA227" i="198"/>
  <c r="Z227" i="198"/>
  <c r="Y227" i="198"/>
  <c r="X227" i="198"/>
  <c r="W227" i="198"/>
  <c r="V227" i="198"/>
  <c r="U227" i="198"/>
  <c r="T227" i="198"/>
  <c r="S227" i="198"/>
  <c r="R227" i="198"/>
  <c r="Q227" i="198"/>
  <c r="P227" i="198"/>
  <c r="O227" i="198"/>
  <c r="N227" i="198"/>
  <c r="M227" i="198"/>
  <c r="L227" i="198"/>
  <c r="K227" i="198"/>
  <c r="J227" i="198"/>
  <c r="I227" i="198"/>
  <c r="H227" i="198"/>
  <c r="G227" i="198"/>
  <c r="F227" i="198"/>
  <c r="E227" i="198"/>
  <c r="D227" i="198"/>
  <c r="C227" i="198"/>
  <c r="B227" i="198"/>
  <c r="A227" i="198"/>
  <c r="DA226" i="198"/>
  <c r="CZ226" i="198"/>
  <c r="CY226" i="198"/>
  <c r="CX226" i="198"/>
  <c r="CW226" i="198"/>
  <c r="CV226" i="198"/>
  <c r="CU226" i="198"/>
  <c r="CT226" i="198"/>
  <c r="CS226" i="198"/>
  <c r="CR226" i="198"/>
  <c r="CQ226" i="198"/>
  <c r="CP226" i="198"/>
  <c r="CO226" i="198"/>
  <c r="CN226" i="198"/>
  <c r="CM226" i="198"/>
  <c r="CL226" i="198"/>
  <c r="CK226" i="198"/>
  <c r="CJ226" i="198"/>
  <c r="CI226" i="198"/>
  <c r="CH226" i="198"/>
  <c r="CG226" i="198"/>
  <c r="CF226" i="198"/>
  <c r="CE226" i="198"/>
  <c r="CD226" i="198"/>
  <c r="CC226" i="198"/>
  <c r="CB226" i="198"/>
  <c r="CA226" i="198"/>
  <c r="BZ226" i="198"/>
  <c r="BY226" i="198"/>
  <c r="BX226" i="198"/>
  <c r="BW226" i="198"/>
  <c r="BV226" i="198"/>
  <c r="BU226" i="198"/>
  <c r="BT226" i="198"/>
  <c r="BS226" i="198"/>
  <c r="BR226" i="198"/>
  <c r="BQ226" i="198"/>
  <c r="BP226" i="198"/>
  <c r="BO226" i="198"/>
  <c r="BN226" i="198"/>
  <c r="BM226" i="198"/>
  <c r="BL226" i="198"/>
  <c r="BK226" i="198"/>
  <c r="BJ226" i="198"/>
  <c r="BI226" i="198"/>
  <c r="BH226" i="198"/>
  <c r="BG226" i="198"/>
  <c r="BF226" i="198"/>
  <c r="BE226" i="198"/>
  <c r="BD226" i="198"/>
  <c r="BC226" i="198"/>
  <c r="BB226" i="198"/>
  <c r="BA226" i="198"/>
  <c r="AZ226" i="198"/>
  <c r="AY226" i="198"/>
  <c r="AX226" i="198"/>
  <c r="AW226" i="198"/>
  <c r="AV226" i="198"/>
  <c r="AU226" i="198"/>
  <c r="AT226" i="198"/>
  <c r="AS226" i="198"/>
  <c r="AR226" i="198"/>
  <c r="AQ226" i="198"/>
  <c r="AP226" i="198"/>
  <c r="AO226" i="198"/>
  <c r="AN226" i="198"/>
  <c r="AM226" i="198"/>
  <c r="AL226" i="198"/>
  <c r="AK226" i="198"/>
  <c r="AJ226" i="198"/>
  <c r="AI226" i="198"/>
  <c r="AH226" i="198"/>
  <c r="AG226" i="198"/>
  <c r="AF226" i="198"/>
  <c r="AE226" i="198"/>
  <c r="AD226" i="198"/>
  <c r="AC226" i="198"/>
  <c r="AB226" i="198"/>
  <c r="AA226" i="198"/>
  <c r="Z226" i="198"/>
  <c r="Y226" i="198"/>
  <c r="X226" i="198"/>
  <c r="W226" i="198"/>
  <c r="V226" i="198"/>
  <c r="U226" i="198"/>
  <c r="T226" i="198"/>
  <c r="S226" i="198"/>
  <c r="R226" i="198"/>
  <c r="Q226" i="198"/>
  <c r="P226" i="198"/>
  <c r="O226" i="198"/>
  <c r="N226" i="198"/>
  <c r="M226" i="198"/>
  <c r="L226" i="198"/>
  <c r="K226" i="198"/>
  <c r="J226" i="198"/>
  <c r="I226" i="198"/>
  <c r="H226" i="198"/>
  <c r="G226" i="198"/>
  <c r="F226" i="198"/>
  <c r="E226" i="198"/>
  <c r="D226" i="198"/>
  <c r="C226" i="198"/>
  <c r="B226" i="198"/>
  <c r="A226" i="198"/>
  <c r="DA225" i="198"/>
  <c r="CZ225" i="198"/>
  <c r="CY225" i="198"/>
  <c r="CX225" i="198"/>
  <c r="CW225" i="198"/>
  <c r="CV225" i="198"/>
  <c r="CU225" i="198"/>
  <c r="CT225" i="198"/>
  <c r="CS225" i="198"/>
  <c r="CR225" i="198"/>
  <c r="CQ225" i="198"/>
  <c r="CP225" i="198"/>
  <c r="CO225" i="198"/>
  <c r="CN225" i="198"/>
  <c r="CM225" i="198"/>
  <c r="CL225" i="198"/>
  <c r="CK225" i="198"/>
  <c r="CJ225" i="198"/>
  <c r="CI225" i="198"/>
  <c r="CH225" i="198"/>
  <c r="CG225" i="198"/>
  <c r="CF225" i="198"/>
  <c r="CE225" i="198"/>
  <c r="CD225" i="198"/>
  <c r="CC225" i="198"/>
  <c r="CB225" i="198"/>
  <c r="CA225" i="198"/>
  <c r="BZ225" i="198"/>
  <c r="BY225" i="198"/>
  <c r="BX225" i="198"/>
  <c r="BW225" i="198"/>
  <c r="BV225" i="198"/>
  <c r="BU225" i="198"/>
  <c r="BT225" i="198"/>
  <c r="BS225" i="198"/>
  <c r="BR225" i="198"/>
  <c r="BQ225" i="198"/>
  <c r="BP225" i="198"/>
  <c r="BO225" i="198"/>
  <c r="BN225" i="198"/>
  <c r="BM225" i="198"/>
  <c r="BL225" i="198"/>
  <c r="BK225" i="198"/>
  <c r="BJ225" i="198"/>
  <c r="BI225" i="198"/>
  <c r="BH225" i="198"/>
  <c r="BG225" i="198"/>
  <c r="BF225" i="198"/>
  <c r="BE225" i="198"/>
  <c r="BD225" i="198"/>
  <c r="BC225" i="198"/>
  <c r="BB225" i="198"/>
  <c r="BA225" i="198"/>
  <c r="AZ225" i="198"/>
  <c r="AY225" i="198"/>
  <c r="AX225" i="198"/>
  <c r="AW225" i="198"/>
  <c r="AV225" i="198"/>
  <c r="AU225" i="198"/>
  <c r="AT225" i="198"/>
  <c r="AS225" i="198"/>
  <c r="AR225" i="198"/>
  <c r="AQ225" i="198"/>
  <c r="AP225" i="198"/>
  <c r="AO225" i="198"/>
  <c r="AN225" i="198"/>
  <c r="AM225" i="198"/>
  <c r="AL225" i="198"/>
  <c r="AK225" i="198"/>
  <c r="AJ225" i="198"/>
  <c r="AI225" i="198"/>
  <c r="AH225" i="198"/>
  <c r="AG225" i="198"/>
  <c r="AF225" i="198"/>
  <c r="AE225" i="198"/>
  <c r="AD225" i="198"/>
  <c r="AC225" i="198"/>
  <c r="AB225" i="198"/>
  <c r="AA225" i="198"/>
  <c r="Z225" i="198"/>
  <c r="Y225" i="198"/>
  <c r="X225" i="198"/>
  <c r="W225" i="198"/>
  <c r="V225" i="198"/>
  <c r="U225" i="198"/>
  <c r="T225" i="198"/>
  <c r="S225" i="198"/>
  <c r="R225" i="198"/>
  <c r="Q225" i="198"/>
  <c r="P225" i="198"/>
  <c r="O225" i="198"/>
  <c r="N225" i="198"/>
  <c r="M225" i="198"/>
  <c r="L225" i="198"/>
  <c r="K225" i="198"/>
  <c r="J225" i="198"/>
  <c r="I225" i="198"/>
  <c r="H225" i="198"/>
  <c r="G225" i="198"/>
  <c r="F225" i="198"/>
  <c r="E225" i="198"/>
  <c r="D225" i="198"/>
  <c r="C225" i="198"/>
  <c r="B225" i="198"/>
  <c r="A225" i="198"/>
  <c r="EB222" i="198"/>
  <c r="EA222" i="198"/>
  <c r="DZ222" i="198"/>
  <c r="DY222" i="198"/>
  <c r="DX222" i="198"/>
  <c r="DW222" i="198"/>
  <c r="DV222" i="198"/>
  <c r="DU222" i="198"/>
  <c r="DT222" i="198"/>
  <c r="DS222" i="198"/>
  <c r="DR222" i="198"/>
  <c r="DQ222" i="198"/>
  <c r="DP222" i="198"/>
  <c r="DO222" i="198"/>
  <c r="DN222" i="198"/>
  <c r="DM222" i="198"/>
  <c r="DL222" i="198"/>
  <c r="DK222" i="198"/>
  <c r="DJ222" i="198"/>
  <c r="DI222" i="198"/>
  <c r="DH222" i="198"/>
  <c r="DG222" i="198"/>
  <c r="DF222" i="198"/>
  <c r="DE222" i="198"/>
  <c r="DD222" i="198"/>
  <c r="DC222" i="198"/>
  <c r="EB221" i="198"/>
  <c r="EA221" i="198"/>
  <c r="DZ221" i="198"/>
  <c r="DY221" i="198"/>
  <c r="DX221" i="198"/>
  <c r="DW221" i="198"/>
  <c r="DV221" i="198"/>
  <c r="DU221" i="198"/>
  <c r="DT221" i="198"/>
  <c r="DS221" i="198"/>
  <c r="DR221" i="198"/>
  <c r="DQ221" i="198"/>
  <c r="DP221" i="198"/>
  <c r="DO221" i="198"/>
  <c r="DN221" i="198"/>
  <c r="DM221" i="198"/>
  <c r="DL221" i="198"/>
  <c r="DK221" i="198"/>
  <c r="DJ221" i="198"/>
  <c r="DI221" i="198"/>
  <c r="DH221" i="198"/>
  <c r="DG221" i="198"/>
  <c r="DF221" i="198"/>
  <c r="DE221" i="198"/>
  <c r="DD221" i="198"/>
  <c r="DC221" i="198"/>
  <c r="DA222" i="198"/>
  <c r="CZ222" i="198"/>
  <c r="CY222" i="198"/>
  <c r="CX222" i="198"/>
  <c r="CW222" i="198"/>
  <c r="CV222" i="198"/>
  <c r="CU222" i="198"/>
  <c r="CT222" i="198"/>
  <c r="CS222" i="198"/>
  <c r="CR222" i="198"/>
  <c r="CQ222" i="198"/>
  <c r="CP222" i="198"/>
  <c r="CO222" i="198"/>
  <c r="CN222" i="198"/>
  <c r="CM222" i="198"/>
  <c r="CL222" i="198"/>
  <c r="CK222" i="198"/>
  <c r="CJ222" i="198"/>
  <c r="CI222" i="198"/>
  <c r="CH222" i="198"/>
  <c r="CG222" i="198"/>
  <c r="CF222" i="198"/>
  <c r="CE222" i="198"/>
  <c r="CD222" i="198"/>
  <c r="CC222" i="198"/>
  <c r="CB222" i="198"/>
  <c r="CA222" i="198"/>
  <c r="BZ222" i="198"/>
  <c r="BY222" i="198"/>
  <c r="BX222" i="198"/>
  <c r="BW222" i="198"/>
  <c r="BV222" i="198"/>
  <c r="BU222" i="198"/>
  <c r="BT222" i="198"/>
  <c r="BS222" i="198"/>
  <c r="BR222" i="198"/>
  <c r="BQ222" i="198"/>
  <c r="BP222" i="198"/>
  <c r="BO222" i="198"/>
  <c r="BN222" i="198"/>
  <c r="BM222" i="198"/>
  <c r="BL222" i="198"/>
  <c r="BK222" i="198"/>
  <c r="BJ222" i="198"/>
  <c r="BI222" i="198"/>
  <c r="BH222" i="198"/>
  <c r="BG222" i="198"/>
  <c r="BF222" i="198"/>
  <c r="BE222" i="198"/>
  <c r="BD222" i="198"/>
  <c r="BC222" i="198"/>
  <c r="BB222" i="198"/>
  <c r="BA222" i="198"/>
  <c r="AZ222" i="198"/>
  <c r="AY222" i="198"/>
  <c r="AX222" i="198"/>
  <c r="AW222" i="198"/>
  <c r="AV222" i="198"/>
  <c r="AU222" i="198"/>
  <c r="AT222" i="198"/>
  <c r="AS222" i="198"/>
  <c r="AR222" i="198"/>
  <c r="AQ222" i="198"/>
  <c r="AP222" i="198"/>
  <c r="AO222" i="198"/>
  <c r="AN222" i="198"/>
  <c r="AM222" i="198"/>
  <c r="AL222" i="198"/>
  <c r="AK222" i="198"/>
  <c r="AJ222" i="198"/>
  <c r="AI222" i="198"/>
  <c r="AH222" i="198"/>
  <c r="AG222" i="198"/>
  <c r="AF222" i="198"/>
  <c r="AE222" i="198"/>
  <c r="AD222" i="198"/>
  <c r="AC222" i="198"/>
  <c r="AB222" i="198"/>
  <c r="AA222" i="198"/>
  <c r="Z222" i="198"/>
  <c r="Y222" i="198"/>
  <c r="X222" i="198"/>
  <c r="W222" i="198"/>
  <c r="V222" i="198"/>
  <c r="U222" i="198"/>
  <c r="T222" i="198"/>
  <c r="S222" i="198"/>
  <c r="R222" i="198"/>
  <c r="Q222" i="198"/>
  <c r="P222" i="198"/>
  <c r="O222" i="198"/>
  <c r="N222" i="198"/>
  <c r="M222" i="198"/>
  <c r="L222" i="198"/>
  <c r="K222" i="198"/>
  <c r="J222" i="198"/>
  <c r="I222" i="198"/>
  <c r="H222" i="198"/>
  <c r="G222" i="198"/>
  <c r="F222" i="198"/>
  <c r="E222" i="198"/>
  <c r="D222" i="198"/>
  <c r="C222" i="198"/>
  <c r="B222" i="198"/>
  <c r="A222" i="198"/>
  <c r="DA221" i="198"/>
  <c r="CZ221" i="198"/>
  <c r="CY221" i="198"/>
  <c r="CX221" i="198"/>
  <c r="CW221" i="198"/>
  <c r="CV221" i="198"/>
  <c r="CU221" i="198"/>
  <c r="CT221" i="198"/>
  <c r="CS221" i="198"/>
  <c r="CR221" i="198"/>
  <c r="CQ221" i="198"/>
  <c r="CP221" i="198"/>
  <c r="CO221" i="198"/>
  <c r="CN221" i="198"/>
  <c r="CM221" i="198"/>
  <c r="CL221" i="198"/>
  <c r="CK221" i="198"/>
  <c r="CJ221" i="198"/>
  <c r="CI221" i="198"/>
  <c r="CH221" i="198"/>
  <c r="CG221" i="198"/>
  <c r="CF221" i="198"/>
  <c r="CE221" i="198"/>
  <c r="CD221" i="198"/>
  <c r="CC221" i="198"/>
  <c r="CB221" i="198"/>
  <c r="CA221" i="198"/>
  <c r="BZ221" i="198"/>
  <c r="BY221" i="198"/>
  <c r="BX221" i="198"/>
  <c r="BW221" i="198"/>
  <c r="BV221" i="198"/>
  <c r="BU221" i="198"/>
  <c r="BT221" i="198"/>
  <c r="BS221" i="198"/>
  <c r="BR221" i="198"/>
  <c r="BQ221" i="198"/>
  <c r="BP221" i="198"/>
  <c r="BO221" i="198"/>
  <c r="BN221" i="198"/>
  <c r="BM221" i="198"/>
  <c r="BL221" i="198"/>
  <c r="BK221" i="198"/>
  <c r="BJ221" i="198"/>
  <c r="BI221" i="198"/>
  <c r="BH221" i="198"/>
  <c r="BG221" i="198"/>
  <c r="BF221" i="198"/>
  <c r="BE221" i="198"/>
  <c r="BD221" i="198"/>
  <c r="BC221" i="198"/>
  <c r="BB221" i="198"/>
  <c r="BA221" i="198"/>
  <c r="AZ221" i="198"/>
  <c r="AY221" i="198"/>
  <c r="AX221" i="198"/>
  <c r="AW221" i="198"/>
  <c r="AV221" i="198"/>
  <c r="AU221" i="198"/>
  <c r="AT221" i="198"/>
  <c r="AS221" i="198"/>
  <c r="AR221" i="198"/>
  <c r="AQ221" i="198"/>
  <c r="AP221" i="198"/>
  <c r="AO221" i="198"/>
  <c r="AN221" i="198"/>
  <c r="AM221" i="198"/>
  <c r="AL221" i="198"/>
  <c r="AK221" i="198"/>
  <c r="AJ221" i="198"/>
  <c r="AI221" i="198"/>
  <c r="AH221" i="198"/>
  <c r="AG221" i="198"/>
  <c r="AF221" i="198"/>
  <c r="AE221" i="198"/>
  <c r="AD221" i="198"/>
  <c r="AC221" i="198"/>
  <c r="AB221" i="198"/>
  <c r="AA221" i="198"/>
  <c r="Z221" i="198"/>
  <c r="Y221" i="198"/>
  <c r="X221" i="198"/>
  <c r="W221" i="198"/>
  <c r="V221" i="198"/>
  <c r="U221" i="198"/>
  <c r="T221" i="198"/>
  <c r="S221" i="198"/>
  <c r="R221" i="198"/>
  <c r="Q221" i="198"/>
  <c r="P221" i="198"/>
  <c r="O221" i="198"/>
  <c r="N221" i="198"/>
  <c r="M221" i="198"/>
  <c r="L221" i="198"/>
  <c r="K221" i="198"/>
  <c r="J221" i="198"/>
  <c r="I221" i="198"/>
  <c r="H221" i="198"/>
  <c r="G221" i="198"/>
  <c r="F221" i="198"/>
  <c r="E221" i="198"/>
  <c r="D221" i="198"/>
  <c r="C221" i="198"/>
  <c r="B221" i="198"/>
  <c r="A221" i="198"/>
  <c r="EB218" i="198"/>
  <c r="EA218" i="198"/>
  <c r="DZ218" i="198"/>
  <c r="DY218" i="198"/>
  <c r="DX218" i="198"/>
  <c r="DW218" i="198"/>
  <c r="DV218" i="198"/>
  <c r="DU218" i="198"/>
  <c r="DT218" i="198"/>
  <c r="DS218" i="198"/>
  <c r="DR218" i="198"/>
  <c r="DQ218" i="198"/>
  <c r="DP218" i="198"/>
  <c r="DO218" i="198"/>
  <c r="DN218" i="198"/>
  <c r="DM218" i="198"/>
  <c r="DL218" i="198"/>
  <c r="DK218" i="198"/>
  <c r="DJ218" i="198"/>
  <c r="DI218" i="198"/>
  <c r="DH218" i="198"/>
  <c r="DG218" i="198"/>
  <c r="DF218" i="198"/>
  <c r="DE218" i="198"/>
  <c r="DD218" i="198"/>
  <c r="DC218" i="198"/>
  <c r="CS218" i="198"/>
  <c r="CR218" i="198"/>
  <c r="CQ218" i="198"/>
  <c r="CP218" i="198"/>
  <c r="CO218" i="198"/>
  <c r="CN218" i="198"/>
  <c r="CM218" i="198"/>
  <c r="CL218" i="198"/>
  <c r="CK218" i="198"/>
  <c r="CJ218" i="198"/>
  <c r="CI218" i="198"/>
  <c r="CH218" i="198"/>
  <c r="CG218" i="198"/>
  <c r="CF218" i="198"/>
  <c r="CE218" i="198"/>
  <c r="CD218" i="198"/>
  <c r="CC218" i="198"/>
  <c r="CB218" i="198"/>
  <c r="CA218" i="198"/>
  <c r="BZ218" i="198"/>
  <c r="BY218" i="198"/>
  <c r="BX218" i="198"/>
  <c r="BW218" i="198"/>
  <c r="BV218" i="198"/>
  <c r="BU218" i="198"/>
  <c r="BT218" i="198"/>
  <c r="BS218" i="198"/>
  <c r="BR218" i="198"/>
  <c r="BQ218" i="198"/>
  <c r="BP218" i="198"/>
  <c r="BO218" i="198"/>
  <c r="BN218" i="198"/>
  <c r="BM218" i="198"/>
  <c r="BL218" i="198"/>
  <c r="BK218" i="198"/>
  <c r="BJ218" i="198"/>
  <c r="BI218" i="198"/>
  <c r="BH218" i="198"/>
  <c r="BG218" i="198"/>
  <c r="BF218" i="198"/>
  <c r="BE218" i="198"/>
  <c r="BD218" i="198"/>
  <c r="BC218" i="198"/>
  <c r="BB218" i="198"/>
  <c r="BA218" i="198"/>
  <c r="AZ218" i="198"/>
  <c r="AY218" i="198"/>
  <c r="AX218" i="198"/>
  <c r="AW218" i="198"/>
  <c r="AV218" i="198"/>
  <c r="AU218" i="198"/>
  <c r="AT218" i="198"/>
  <c r="AS218" i="198"/>
  <c r="AR218" i="198"/>
  <c r="AQ218" i="198"/>
  <c r="AP218" i="198"/>
  <c r="AO218" i="198"/>
  <c r="AN218" i="198"/>
  <c r="AM218" i="198"/>
  <c r="AL218" i="198"/>
  <c r="AK218" i="198"/>
  <c r="AJ218" i="198"/>
  <c r="AI218" i="198"/>
  <c r="AH218" i="198"/>
  <c r="AG218" i="198"/>
  <c r="AF218" i="198"/>
  <c r="AE218" i="198"/>
  <c r="AD218" i="198"/>
  <c r="AC218" i="198"/>
  <c r="AB218" i="198"/>
  <c r="AA218" i="198"/>
  <c r="Z218" i="198"/>
  <c r="Y218" i="198"/>
  <c r="X218" i="198"/>
  <c r="W218" i="198"/>
  <c r="V218" i="198"/>
  <c r="U218" i="198"/>
  <c r="T218" i="198"/>
  <c r="S218" i="198"/>
  <c r="R218" i="198"/>
  <c r="Q218" i="198"/>
  <c r="P218" i="198"/>
  <c r="O218" i="198"/>
  <c r="N218" i="198"/>
  <c r="M218" i="198"/>
  <c r="L218" i="198"/>
  <c r="K218" i="198"/>
  <c r="J218" i="198"/>
  <c r="I218" i="198"/>
  <c r="H218" i="198"/>
  <c r="G218" i="198"/>
  <c r="F218" i="198"/>
  <c r="E218" i="198"/>
  <c r="D218" i="198"/>
  <c r="C218" i="198"/>
  <c r="B218" i="198"/>
  <c r="EB215" i="198"/>
  <c r="EA215" i="198"/>
  <c r="DZ215" i="198"/>
  <c r="DY215" i="198"/>
  <c r="DX215" i="198"/>
  <c r="DW215" i="198"/>
  <c r="DV215" i="198"/>
  <c r="DU215" i="198"/>
  <c r="DT215" i="198"/>
  <c r="DS215" i="198"/>
  <c r="DR215" i="198"/>
  <c r="DQ215" i="198"/>
  <c r="DP215" i="198"/>
  <c r="DO215" i="198"/>
  <c r="DN215" i="198"/>
  <c r="DM215" i="198"/>
  <c r="DL215" i="198"/>
  <c r="DK215" i="198"/>
  <c r="DJ215" i="198"/>
  <c r="DI215" i="198"/>
  <c r="DH215" i="198"/>
  <c r="DG215" i="198"/>
  <c r="DF215" i="198"/>
  <c r="DE215" i="198"/>
  <c r="DD215" i="198"/>
  <c r="DC215" i="198"/>
  <c r="CS215" i="198"/>
  <c r="CR215" i="198"/>
  <c r="CQ215" i="198"/>
  <c r="CP215" i="198"/>
  <c r="CO215" i="198"/>
  <c r="CN215" i="198"/>
  <c r="CM215" i="198"/>
  <c r="CL215" i="198"/>
  <c r="CK215" i="198"/>
  <c r="CJ215" i="198"/>
  <c r="CI215" i="198"/>
  <c r="CH215" i="198"/>
  <c r="CG215" i="198"/>
  <c r="CF215" i="198"/>
  <c r="CE215" i="198"/>
  <c r="CD215" i="198"/>
  <c r="CC215" i="198"/>
  <c r="CB215" i="198"/>
  <c r="CA215" i="198"/>
  <c r="BZ215" i="198"/>
  <c r="BY215" i="198"/>
  <c r="BX215" i="198"/>
  <c r="BW215" i="198"/>
  <c r="BV215" i="198"/>
  <c r="BU215" i="198"/>
  <c r="BT215" i="198"/>
  <c r="BS215" i="198"/>
  <c r="BR215" i="198"/>
  <c r="BQ215" i="198"/>
  <c r="BP215" i="198"/>
  <c r="BO215" i="198"/>
  <c r="BN215" i="198"/>
  <c r="BM215" i="198"/>
  <c r="BL215" i="198"/>
  <c r="BK215" i="198"/>
  <c r="BJ215" i="198"/>
  <c r="BI215" i="198"/>
  <c r="BH215" i="198"/>
  <c r="BG215" i="198"/>
  <c r="BF215" i="198"/>
  <c r="BE215" i="198"/>
  <c r="BD215" i="198"/>
  <c r="BC215" i="198"/>
  <c r="BB215" i="198"/>
  <c r="BA215" i="198"/>
  <c r="AZ215" i="198"/>
  <c r="AY215" i="198"/>
  <c r="AX215" i="198"/>
  <c r="AW215" i="198"/>
  <c r="AV215" i="198"/>
  <c r="AU215" i="198"/>
  <c r="AT215" i="198"/>
  <c r="AS215" i="198"/>
  <c r="AR215" i="198"/>
  <c r="AQ215" i="198"/>
  <c r="AP215" i="198"/>
  <c r="AO215" i="198"/>
  <c r="AN215" i="198"/>
  <c r="AM215" i="198"/>
  <c r="AL215" i="198"/>
  <c r="AK215" i="198"/>
  <c r="AJ215" i="198"/>
  <c r="AI215" i="198"/>
  <c r="AH215" i="198"/>
  <c r="AG215" i="198"/>
  <c r="AF215" i="198"/>
  <c r="AE215" i="198"/>
  <c r="AD215" i="198"/>
  <c r="AC215" i="198"/>
  <c r="AB215" i="198"/>
  <c r="AA215" i="198"/>
  <c r="Z215" i="198"/>
  <c r="Y215" i="198"/>
  <c r="X215" i="198"/>
  <c r="W215" i="198"/>
  <c r="V215" i="198"/>
  <c r="U215" i="198"/>
  <c r="T215" i="198"/>
  <c r="S215" i="198"/>
  <c r="R215" i="198"/>
  <c r="Q215" i="198"/>
  <c r="P215" i="198"/>
  <c r="O215" i="198"/>
  <c r="N215" i="198"/>
  <c r="M215" i="198"/>
  <c r="L215" i="198"/>
  <c r="K215" i="198"/>
  <c r="J215" i="198"/>
  <c r="I215" i="198"/>
  <c r="H215" i="198"/>
  <c r="G215" i="198"/>
  <c r="F215" i="198"/>
  <c r="E215" i="198"/>
  <c r="D215" i="198"/>
  <c r="C215" i="198"/>
  <c r="B215" i="198"/>
  <c r="A215" i="198"/>
  <c r="EA211" i="198"/>
  <c r="DY211" i="198"/>
  <c r="DW211" i="198"/>
  <c r="DU211" i="198"/>
  <c r="DS211" i="198"/>
  <c r="DQ211" i="198"/>
  <c r="DO211" i="198"/>
  <c r="DM211" i="198"/>
  <c r="DK211" i="198"/>
  <c r="DI211" i="198"/>
  <c r="DG211" i="198"/>
  <c r="DE211" i="198"/>
  <c r="DC211" i="198"/>
  <c r="CR211" i="198"/>
  <c r="CP211" i="198"/>
  <c r="CN211" i="198"/>
  <c r="CL211" i="198"/>
  <c r="CJ211" i="198"/>
  <c r="CH211" i="198"/>
  <c r="CF211" i="198"/>
  <c r="CD211" i="198"/>
  <c r="CB211" i="198"/>
  <c r="BZ211" i="198"/>
  <c r="BX211" i="198"/>
  <c r="BV211" i="198"/>
  <c r="BT211" i="198"/>
  <c r="BR211" i="198"/>
  <c r="BP211" i="198"/>
  <c r="BN211" i="198"/>
  <c r="BL211" i="198"/>
  <c r="BJ211" i="198"/>
  <c r="BH211" i="198"/>
  <c r="BF211" i="198"/>
  <c r="BD211" i="198"/>
  <c r="BB211" i="198"/>
  <c r="AZ211" i="198"/>
  <c r="AX211" i="198"/>
  <c r="AV211" i="198"/>
  <c r="AT211" i="198"/>
  <c r="AR211" i="198"/>
  <c r="AP211" i="198"/>
  <c r="AN211" i="198"/>
  <c r="AL211" i="198"/>
  <c r="AJ211" i="198"/>
  <c r="AH211" i="198"/>
  <c r="AF211" i="198"/>
  <c r="AD211" i="198"/>
  <c r="AB211" i="198"/>
  <c r="Z211" i="198"/>
  <c r="X211" i="198"/>
  <c r="V211" i="198"/>
  <c r="T211" i="198"/>
  <c r="R211" i="198"/>
  <c r="P211" i="198"/>
  <c r="N211" i="198"/>
  <c r="L211" i="198"/>
  <c r="J211" i="198"/>
  <c r="H211" i="198"/>
  <c r="F211" i="198"/>
  <c r="D211" i="198"/>
  <c r="B211" i="198"/>
  <c r="EB211" i="198"/>
  <c r="DZ211" i="198"/>
  <c r="DX211" i="198"/>
  <c r="DV211" i="198"/>
  <c r="DT211" i="198"/>
  <c r="DR211" i="198"/>
  <c r="DP211" i="198"/>
  <c r="DN211" i="198"/>
  <c r="DL211" i="198"/>
  <c r="DJ211" i="198"/>
  <c r="DH211" i="198"/>
  <c r="DF211" i="198"/>
  <c r="DD211" i="198"/>
  <c r="CS211" i="198"/>
  <c r="CQ211" i="198"/>
  <c r="CO211" i="198"/>
  <c r="CM211" i="198"/>
  <c r="CK211" i="198"/>
  <c r="CI211" i="198"/>
  <c r="CG211" i="198"/>
  <c r="CE211" i="198"/>
  <c r="CC211" i="198"/>
  <c r="CA211" i="198"/>
  <c r="BY211" i="198"/>
  <c r="BW211" i="198"/>
  <c r="BU211" i="198"/>
  <c r="BS211" i="198"/>
  <c r="BQ211" i="198"/>
  <c r="BO211" i="198"/>
  <c r="BM211" i="198"/>
  <c r="BK211" i="198"/>
  <c r="BI211" i="198"/>
  <c r="BG211" i="198"/>
  <c r="BE211" i="198"/>
  <c r="BC211" i="198"/>
  <c r="BA211" i="198"/>
  <c r="AY211" i="198"/>
  <c r="AW211" i="198"/>
  <c r="AU211" i="198"/>
  <c r="AS211" i="198"/>
  <c r="AQ211" i="198"/>
  <c r="AO211" i="198"/>
  <c r="AM211" i="198"/>
  <c r="AK211" i="198"/>
  <c r="AI211" i="198"/>
  <c r="AG211" i="198"/>
  <c r="AE211" i="198"/>
  <c r="AC211" i="198"/>
  <c r="AA211" i="198"/>
  <c r="Y211" i="198"/>
  <c r="W211" i="198"/>
  <c r="U211" i="198"/>
  <c r="S211" i="198"/>
  <c r="Q211" i="198"/>
  <c r="O211" i="198"/>
  <c r="M211" i="198"/>
  <c r="K211" i="198"/>
  <c r="I211" i="198"/>
  <c r="G211" i="198"/>
  <c r="E211" i="198"/>
  <c r="C211" i="198"/>
  <c r="EB209" i="198"/>
  <c r="EA209" i="198"/>
  <c r="DZ209" i="198"/>
  <c r="DY209" i="198"/>
  <c r="DX209" i="198"/>
  <c r="DW209" i="198"/>
  <c r="DV209" i="198"/>
  <c r="DU209" i="198"/>
  <c r="DT209" i="198"/>
  <c r="DS209" i="198"/>
  <c r="DR209" i="198"/>
  <c r="DQ209" i="198"/>
  <c r="DP209" i="198"/>
  <c r="DO209" i="198"/>
  <c r="DN209" i="198"/>
  <c r="DM209" i="198"/>
  <c r="DL209" i="198"/>
  <c r="DK209" i="198"/>
  <c r="DJ209" i="198"/>
  <c r="DI209" i="198"/>
  <c r="DH209" i="198"/>
  <c r="DG209" i="198"/>
  <c r="DF209" i="198"/>
  <c r="DE209" i="198"/>
  <c r="DD209" i="198"/>
  <c r="DC209" i="198"/>
  <c r="EB208" i="198"/>
  <c r="EA208" i="198"/>
  <c r="DZ208" i="198"/>
  <c r="DY208" i="198"/>
  <c r="DX208" i="198"/>
  <c r="DW208" i="198"/>
  <c r="DV208" i="198"/>
  <c r="DU208" i="198"/>
  <c r="DT208" i="198"/>
  <c r="DS208" i="198"/>
  <c r="DR208" i="198"/>
  <c r="DQ208" i="198"/>
  <c r="DP208" i="198"/>
  <c r="DO208" i="198"/>
  <c r="DN208" i="198"/>
  <c r="DM208" i="198"/>
  <c r="DL208" i="198"/>
  <c r="DK208" i="198"/>
  <c r="DJ208" i="198"/>
  <c r="DI208" i="198"/>
  <c r="DH208" i="198"/>
  <c r="DG208" i="198"/>
  <c r="DF208" i="198"/>
  <c r="DE208" i="198"/>
  <c r="DD208" i="198"/>
  <c r="DC208" i="198"/>
  <c r="EB207" i="198"/>
  <c r="EA207" i="198"/>
  <c r="DZ207" i="198"/>
  <c r="DY207" i="198"/>
  <c r="DX207" i="198"/>
  <c r="DW207" i="198"/>
  <c r="DV207" i="198"/>
  <c r="DU207" i="198"/>
  <c r="DT207" i="198"/>
  <c r="DS207" i="198"/>
  <c r="DR207" i="198"/>
  <c r="DQ207" i="198"/>
  <c r="DP207" i="198"/>
  <c r="DO207" i="198"/>
  <c r="DN207" i="198"/>
  <c r="DM207" i="198"/>
  <c r="DL207" i="198"/>
  <c r="DK207" i="198"/>
  <c r="DJ207" i="198"/>
  <c r="DI207" i="198"/>
  <c r="DH207" i="198"/>
  <c r="DG207" i="198"/>
  <c r="DF207" i="198"/>
  <c r="DE207" i="198"/>
  <c r="DD207" i="198"/>
  <c r="DC207" i="198"/>
  <c r="EM206" i="198"/>
  <c r="EL206" i="198"/>
  <c r="EK206" i="198"/>
  <c r="EJ206" i="198"/>
  <c r="EI206" i="198"/>
  <c r="EH206" i="198"/>
  <c r="EG206" i="198"/>
  <c r="EF206" i="198"/>
  <c r="EE206" i="198"/>
  <c r="ED206" i="198"/>
  <c r="EC206" i="198"/>
  <c r="EB206" i="198"/>
  <c r="EA206" i="198"/>
  <c r="DZ206" i="198"/>
  <c r="DY206" i="198"/>
  <c r="DX206" i="198"/>
  <c r="DW206" i="198"/>
  <c r="DV206" i="198"/>
  <c r="DU206" i="198"/>
  <c r="DT206" i="198"/>
  <c r="DS206" i="198"/>
  <c r="DR206" i="198"/>
  <c r="DQ206" i="198"/>
  <c r="DP206" i="198"/>
  <c r="DO206" i="198"/>
  <c r="DN206" i="198"/>
  <c r="DM206" i="198"/>
  <c r="DL206" i="198"/>
  <c r="DK206" i="198"/>
  <c r="DJ206" i="198"/>
  <c r="DI206" i="198"/>
  <c r="DH206" i="198"/>
  <c r="DG206" i="198"/>
  <c r="DF206" i="198"/>
  <c r="DE206" i="198"/>
  <c r="DD206" i="198"/>
  <c r="DC206" i="198"/>
  <c r="EB205" i="198"/>
  <c r="EA205" i="198"/>
  <c r="DZ205" i="198"/>
  <c r="DY205" i="198"/>
  <c r="DX205" i="198"/>
  <c r="DW205" i="198"/>
  <c r="DV205" i="198"/>
  <c r="DU205" i="198"/>
  <c r="DT205" i="198"/>
  <c r="DS205" i="198"/>
  <c r="DR205" i="198"/>
  <c r="DQ205" i="198"/>
  <c r="DP205" i="198"/>
  <c r="DO205" i="198"/>
  <c r="DN205" i="198"/>
  <c r="DM205" i="198"/>
  <c r="DL205" i="198"/>
  <c r="DK205" i="198"/>
  <c r="DJ205" i="198"/>
  <c r="DI205" i="198"/>
  <c r="DH205" i="198"/>
  <c r="DG205" i="198"/>
  <c r="DF205" i="198"/>
  <c r="DE205" i="198"/>
  <c r="DD205" i="198"/>
  <c r="DC205" i="198"/>
  <c r="EB204" i="198"/>
  <c r="EA204" i="198"/>
  <c r="DZ204" i="198"/>
  <c r="DY204" i="198"/>
  <c r="DX204" i="198"/>
  <c r="DW204" i="198"/>
  <c r="DV204" i="198"/>
  <c r="DU204" i="198"/>
  <c r="DT204" i="198"/>
  <c r="DS204" i="198"/>
  <c r="DR204" i="198"/>
  <c r="DQ204" i="198"/>
  <c r="DP204" i="198"/>
  <c r="DO204" i="198"/>
  <c r="DN204" i="198"/>
  <c r="DM204" i="198"/>
  <c r="DL204" i="198"/>
  <c r="DK204" i="198"/>
  <c r="DJ204" i="198"/>
  <c r="DI204" i="198"/>
  <c r="DH204" i="198"/>
  <c r="DG204" i="198"/>
  <c r="DF204" i="198"/>
  <c r="DE204" i="198"/>
  <c r="DD204" i="198"/>
  <c r="DC204" i="198"/>
  <c r="CS209" i="198"/>
  <c r="CR209" i="198"/>
  <c r="CQ209" i="198"/>
  <c r="CP209" i="198"/>
  <c r="CO209" i="198"/>
  <c r="CN209" i="198"/>
  <c r="CM209" i="198"/>
  <c r="CL209" i="198"/>
  <c r="CK209" i="198"/>
  <c r="CJ209" i="198"/>
  <c r="CI209" i="198"/>
  <c r="CH209" i="198"/>
  <c r="CG209" i="198"/>
  <c r="CF209" i="198"/>
  <c r="CE209" i="198"/>
  <c r="CD209" i="198"/>
  <c r="CC209" i="198"/>
  <c r="CB209" i="198"/>
  <c r="CA209" i="198"/>
  <c r="BZ209" i="198"/>
  <c r="BY209" i="198"/>
  <c r="BX209" i="198"/>
  <c r="BW209" i="198"/>
  <c r="BV209" i="198"/>
  <c r="BU209" i="198"/>
  <c r="BT209" i="198"/>
  <c r="BS209" i="198"/>
  <c r="BR209" i="198"/>
  <c r="BQ209" i="198"/>
  <c r="BP209" i="198"/>
  <c r="BO209" i="198"/>
  <c r="BN209" i="198"/>
  <c r="BM209" i="198"/>
  <c r="BL209" i="198"/>
  <c r="BK209" i="198"/>
  <c r="BJ209" i="198"/>
  <c r="BI209" i="198"/>
  <c r="BH209" i="198"/>
  <c r="BG209" i="198"/>
  <c r="BF209" i="198"/>
  <c r="BE209" i="198"/>
  <c r="BD209" i="198"/>
  <c r="BC209" i="198"/>
  <c r="BB209" i="198"/>
  <c r="BA209" i="198"/>
  <c r="AZ209" i="198"/>
  <c r="AY209" i="198"/>
  <c r="AX209" i="198"/>
  <c r="AW209" i="198"/>
  <c r="AV209" i="198"/>
  <c r="AU209" i="198"/>
  <c r="AT209" i="198"/>
  <c r="AS209" i="198"/>
  <c r="AR209" i="198"/>
  <c r="AQ209" i="198"/>
  <c r="AP209" i="198"/>
  <c r="AO209" i="198"/>
  <c r="AN209" i="198"/>
  <c r="AM209" i="198"/>
  <c r="AL209" i="198"/>
  <c r="AK209" i="198"/>
  <c r="AJ209" i="198"/>
  <c r="AI209" i="198"/>
  <c r="AH209" i="198"/>
  <c r="AG209" i="198"/>
  <c r="AF209" i="198"/>
  <c r="AE209" i="198"/>
  <c r="AD209" i="198"/>
  <c r="AC209" i="198"/>
  <c r="AB209" i="198"/>
  <c r="AA209" i="198"/>
  <c r="Z209" i="198"/>
  <c r="Y209" i="198"/>
  <c r="X209" i="198"/>
  <c r="W209" i="198"/>
  <c r="V209" i="198"/>
  <c r="U209" i="198"/>
  <c r="T209" i="198"/>
  <c r="S209" i="198"/>
  <c r="R209" i="198"/>
  <c r="Q209" i="198"/>
  <c r="P209" i="198"/>
  <c r="O209" i="198"/>
  <c r="N209" i="198"/>
  <c r="M209" i="198"/>
  <c r="L209" i="198"/>
  <c r="K209" i="198"/>
  <c r="J209" i="198"/>
  <c r="I209" i="198"/>
  <c r="H209" i="198"/>
  <c r="G209" i="198"/>
  <c r="F209" i="198"/>
  <c r="E209" i="198"/>
  <c r="D209" i="198"/>
  <c r="C209" i="198"/>
  <c r="B209" i="198"/>
  <c r="A209" i="198"/>
  <c r="CS208" i="198"/>
  <c r="CR208" i="198"/>
  <c r="CQ208" i="198"/>
  <c r="CP208" i="198"/>
  <c r="CO208" i="198"/>
  <c r="CN208" i="198"/>
  <c r="CM208" i="198"/>
  <c r="CL208" i="198"/>
  <c r="CK208" i="198"/>
  <c r="CJ208" i="198"/>
  <c r="CI208" i="198"/>
  <c r="CH208" i="198"/>
  <c r="CG208" i="198"/>
  <c r="CF208" i="198"/>
  <c r="CE208" i="198"/>
  <c r="CD208" i="198"/>
  <c r="CC208" i="198"/>
  <c r="CB208" i="198"/>
  <c r="CA208" i="198"/>
  <c r="BZ208" i="198"/>
  <c r="BY208" i="198"/>
  <c r="BX208" i="198"/>
  <c r="BW208" i="198"/>
  <c r="BV208" i="198"/>
  <c r="BU208" i="198"/>
  <c r="BT208" i="198"/>
  <c r="BS208" i="198"/>
  <c r="BR208" i="198"/>
  <c r="BQ208" i="198"/>
  <c r="BP208" i="198"/>
  <c r="BO208" i="198"/>
  <c r="BN208" i="198"/>
  <c r="BM208" i="198"/>
  <c r="BL208" i="198"/>
  <c r="BK208" i="198"/>
  <c r="BJ208" i="198"/>
  <c r="BI208" i="198"/>
  <c r="BH208" i="198"/>
  <c r="BG208" i="198"/>
  <c r="BF208" i="198"/>
  <c r="BE208" i="198"/>
  <c r="BD208" i="198"/>
  <c r="BC208" i="198"/>
  <c r="BB208" i="198"/>
  <c r="BA208" i="198"/>
  <c r="AZ208" i="198"/>
  <c r="AY208" i="198"/>
  <c r="AX208" i="198"/>
  <c r="AW208" i="198"/>
  <c r="AV208" i="198"/>
  <c r="AU208" i="198"/>
  <c r="AT208" i="198"/>
  <c r="AS208" i="198"/>
  <c r="AR208" i="198"/>
  <c r="AQ208" i="198"/>
  <c r="AP208" i="198"/>
  <c r="AO208" i="198"/>
  <c r="AN208" i="198"/>
  <c r="AM208" i="198"/>
  <c r="AL208" i="198"/>
  <c r="AK208" i="198"/>
  <c r="AJ208" i="198"/>
  <c r="AI208" i="198"/>
  <c r="AH208" i="198"/>
  <c r="AG208" i="198"/>
  <c r="AF208" i="198"/>
  <c r="AE208" i="198"/>
  <c r="AD208" i="198"/>
  <c r="AC208" i="198"/>
  <c r="AB208" i="198"/>
  <c r="AA208" i="198"/>
  <c r="Z208" i="198"/>
  <c r="Y208" i="198"/>
  <c r="X208" i="198"/>
  <c r="W208" i="198"/>
  <c r="V208" i="198"/>
  <c r="U208" i="198"/>
  <c r="T208" i="198"/>
  <c r="S208" i="198"/>
  <c r="R208" i="198"/>
  <c r="Q208" i="198"/>
  <c r="P208" i="198"/>
  <c r="O208" i="198"/>
  <c r="N208" i="198"/>
  <c r="M208" i="198"/>
  <c r="L208" i="198"/>
  <c r="K208" i="198"/>
  <c r="J208" i="198"/>
  <c r="I208" i="198"/>
  <c r="H208" i="198"/>
  <c r="G208" i="198"/>
  <c r="F208" i="198"/>
  <c r="E208" i="198"/>
  <c r="D208" i="198"/>
  <c r="C208" i="198"/>
  <c r="B208" i="198"/>
  <c r="A208" i="198"/>
  <c r="CS207" i="198"/>
  <c r="CR207" i="198"/>
  <c r="CQ207" i="198"/>
  <c r="CP207" i="198"/>
  <c r="CO207" i="198"/>
  <c r="CN207" i="198"/>
  <c r="CM207" i="198"/>
  <c r="CL207" i="198"/>
  <c r="CK207" i="198"/>
  <c r="CJ207" i="198"/>
  <c r="CI207" i="198"/>
  <c r="CH207" i="198"/>
  <c r="CG207" i="198"/>
  <c r="CF207" i="198"/>
  <c r="CE207" i="198"/>
  <c r="CD207" i="198"/>
  <c r="CC207" i="198"/>
  <c r="CB207" i="198"/>
  <c r="CA207" i="198"/>
  <c r="BZ207" i="198"/>
  <c r="BY207" i="198"/>
  <c r="BX207" i="198"/>
  <c r="BW207" i="198"/>
  <c r="BV207" i="198"/>
  <c r="BU207" i="198"/>
  <c r="BT207" i="198"/>
  <c r="BS207" i="198"/>
  <c r="BR207" i="198"/>
  <c r="BQ207" i="198"/>
  <c r="BP207" i="198"/>
  <c r="BO207" i="198"/>
  <c r="BN207" i="198"/>
  <c r="BM207" i="198"/>
  <c r="BL207" i="198"/>
  <c r="BK207" i="198"/>
  <c r="BJ207" i="198"/>
  <c r="BI207" i="198"/>
  <c r="BH207" i="198"/>
  <c r="BG207" i="198"/>
  <c r="BF207" i="198"/>
  <c r="BE207" i="198"/>
  <c r="BD207" i="198"/>
  <c r="BC207" i="198"/>
  <c r="BB207" i="198"/>
  <c r="BA207" i="198"/>
  <c r="AZ207" i="198"/>
  <c r="AY207" i="198"/>
  <c r="AX207" i="198"/>
  <c r="AW207" i="198"/>
  <c r="AV207" i="198"/>
  <c r="AU207" i="198"/>
  <c r="AT207" i="198"/>
  <c r="AS207" i="198"/>
  <c r="AR207" i="198"/>
  <c r="AQ207" i="198"/>
  <c r="AP207" i="198"/>
  <c r="AO207" i="198"/>
  <c r="AN207" i="198"/>
  <c r="AM207" i="198"/>
  <c r="AL207" i="198"/>
  <c r="AK207" i="198"/>
  <c r="AJ207" i="198"/>
  <c r="AI207" i="198"/>
  <c r="AH207" i="198"/>
  <c r="AG207" i="198"/>
  <c r="AF207" i="198"/>
  <c r="AE207" i="198"/>
  <c r="AD207" i="198"/>
  <c r="AC207" i="198"/>
  <c r="AB207" i="198"/>
  <c r="AA207" i="198"/>
  <c r="Z207" i="198"/>
  <c r="Y207" i="198"/>
  <c r="X207" i="198"/>
  <c r="W207" i="198"/>
  <c r="V207" i="198"/>
  <c r="U207" i="198"/>
  <c r="T207" i="198"/>
  <c r="S207" i="198"/>
  <c r="R207" i="198"/>
  <c r="Q207" i="198"/>
  <c r="P207" i="198"/>
  <c r="O207" i="198"/>
  <c r="N207" i="198"/>
  <c r="M207" i="198"/>
  <c r="L207" i="198"/>
  <c r="K207" i="198"/>
  <c r="J207" i="198"/>
  <c r="I207" i="198"/>
  <c r="H207" i="198"/>
  <c r="G207" i="198"/>
  <c r="F207" i="198"/>
  <c r="E207" i="198"/>
  <c r="D207" i="198"/>
  <c r="C207" i="198"/>
  <c r="B207" i="198"/>
  <c r="A207" i="198"/>
  <c r="DA206" i="198"/>
  <c r="CZ206" i="198"/>
  <c r="CY206" i="198"/>
  <c r="CX206" i="198"/>
  <c r="CW206" i="198"/>
  <c r="CV206" i="198"/>
  <c r="CU206" i="198"/>
  <c r="CT206" i="198"/>
  <c r="CS206" i="198"/>
  <c r="CR206" i="198"/>
  <c r="CQ206" i="198"/>
  <c r="CP206" i="198"/>
  <c r="CO206" i="198"/>
  <c r="CN206" i="198"/>
  <c r="CM206" i="198"/>
  <c r="CL206" i="198"/>
  <c r="CK206" i="198"/>
  <c r="CJ206" i="198"/>
  <c r="CI206" i="198"/>
  <c r="CH206" i="198"/>
  <c r="CG206" i="198"/>
  <c r="CF206" i="198"/>
  <c r="CE206" i="198"/>
  <c r="CD206" i="198"/>
  <c r="CC206" i="198"/>
  <c r="CB206" i="198"/>
  <c r="CA206" i="198"/>
  <c r="BZ206" i="198"/>
  <c r="BY206" i="198"/>
  <c r="BX206" i="198"/>
  <c r="BW206" i="198"/>
  <c r="BV206" i="198"/>
  <c r="BU206" i="198"/>
  <c r="BT206" i="198"/>
  <c r="BS206" i="198"/>
  <c r="BR206" i="198"/>
  <c r="BQ206" i="198"/>
  <c r="BP206" i="198"/>
  <c r="BO206" i="198"/>
  <c r="BN206" i="198"/>
  <c r="BM206" i="198"/>
  <c r="BL206" i="198"/>
  <c r="BK206" i="198"/>
  <c r="BJ206" i="198"/>
  <c r="BI206" i="198"/>
  <c r="BH206" i="198"/>
  <c r="BG206" i="198"/>
  <c r="BF206" i="198"/>
  <c r="BE206" i="198"/>
  <c r="BD206" i="198"/>
  <c r="BC206" i="198"/>
  <c r="BB206" i="198"/>
  <c r="BA206" i="198"/>
  <c r="AZ206" i="198"/>
  <c r="AY206" i="198"/>
  <c r="AX206" i="198"/>
  <c r="AW206" i="198"/>
  <c r="AV206" i="198"/>
  <c r="AU206" i="198"/>
  <c r="AT206" i="198"/>
  <c r="AS206" i="198"/>
  <c r="AR206" i="198"/>
  <c r="AQ206" i="198"/>
  <c r="AP206" i="198"/>
  <c r="AO206" i="198"/>
  <c r="AN206" i="198"/>
  <c r="AM206" i="198"/>
  <c r="AL206" i="198"/>
  <c r="AK206" i="198"/>
  <c r="AJ206" i="198"/>
  <c r="AI206" i="198"/>
  <c r="AH206" i="198"/>
  <c r="AG206" i="198"/>
  <c r="AF206" i="198"/>
  <c r="AE206" i="198"/>
  <c r="AD206" i="198"/>
  <c r="AC206" i="198"/>
  <c r="AB206" i="198"/>
  <c r="AA206" i="198"/>
  <c r="Z206" i="198"/>
  <c r="Y206" i="198"/>
  <c r="X206" i="198"/>
  <c r="W206" i="198"/>
  <c r="V206" i="198"/>
  <c r="U206" i="198"/>
  <c r="T206" i="198"/>
  <c r="S206" i="198"/>
  <c r="R206" i="198"/>
  <c r="Q206" i="198"/>
  <c r="P206" i="198"/>
  <c r="O206" i="198"/>
  <c r="N206" i="198"/>
  <c r="M206" i="198"/>
  <c r="L206" i="198"/>
  <c r="K206" i="198"/>
  <c r="J206" i="198"/>
  <c r="I206" i="198"/>
  <c r="H206" i="198"/>
  <c r="G206" i="198"/>
  <c r="F206" i="198"/>
  <c r="E206" i="198"/>
  <c r="D206" i="198"/>
  <c r="C206" i="198"/>
  <c r="B206" i="198"/>
  <c r="A206" i="198"/>
  <c r="CS205" i="198"/>
  <c r="CR205" i="198"/>
  <c r="CQ205" i="198"/>
  <c r="CP205" i="198"/>
  <c r="CO205" i="198"/>
  <c r="CN205" i="198"/>
  <c r="CM205" i="198"/>
  <c r="CL205" i="198"/>
  <c r="CK205" i="198"/>
  <c r="CJ205" i="198"/>
  <c r="CI205" i="198"/>
  <c r="CH205" i="198"/>
  <c r="CG205" i="198"/>
  <c r="CF205" i="198"/>
  <c r="CE205" i="198"/>
  <c r="CD205" i="198"/>
  <c r="CC205" i="198"/>
  <c r="CB205" i="198"/>
  <c r="CA205" i="198"/>
  <c r="BZ205" i="198"/>
  <c r="BY205" i="198"/>
  <c r="BX205" i="198"/>
  <c r="BW205" i="198"/>
  <c r="BV205" i="198"/>
  <c r="BU205" i="198"/>
  <c r="BT205" i="198"/>
  <c r="BS205" i="198"/>
  <c r="BR205" i="198"/>
  <c r="BQ205" i="198"/>
  <c r="BP205" i="198"/>
  <c r="BO205" i="198"/>
  <c r="BN205" i="198"/>
  <c r="BM205" i="198"/>
  <c r="BL205" i="198"/>
  <c r="BK205" i="198"/>
  <c r="BJ205" i="198"/>
  <c r="BI205" i="198"/>
  <c r="BH205" i="198"/>
  <c r="BG205" i="198"/>
  <c r="BF205" i="198"/>
  <c r="BE205" i="198"/>
  <c r="BD205" i="198"/>
  <c r="BC205" i="198"/>
  <c r="BB205" i="198"/>
  <c r="BA205" i="198"/>
  <c r="AZ205" i="198"/>
  <c r="AY205" i="198"/>
  <c r="AX205" i="198"/>
  <c r="AW205" i="198"/>
  <c r="AV205" i="198"/>
  <c r="AU205" i="198"/>
  <c r="AT205" i="198"/>
  <c r="AS205" i="198"/>
  <c r="AR205" i="198"/>
  <c r="AQ205" i="198"/>
  <c r="AP205" i="198"/>
  <c r="AO205" i="198"/>
  <c r="AN205" i="198"/>
  <c r="AM205" i="198"/>
  <c r="AL205" i="198"/>
  <c r="AK205" i="198"/>
  <c r="AJ205" i="198"/>
  <c r="AI205" i="198"/>
  <c r="AH205" i="198"/>
  <c r="AG205" i="198"/>
  <c r="AF205" i="198"/>
  <c r="AE205" i="198"/>
  <c r="AD205" i="198"/>
  <c r="AC205" i="198"/>
  <c r="AB205" i="198"/>
  <c r="AA205" i="198"/>
  <c r="Z205" i="198"/>
  <c r="Y205" i="198"/>
  <c r="X205" i="198"/>
  <c r="W205" i="198"/>
  <c r="V205" i="198"/>
  <c r="U205" i="198"/>
  <c r="T205" i="198"/>
  <c r="S205" i="198"/>
  <c r="R205" i="198"/>
  <c r="Q205" i="198"/>
  <c r="P205" i="198"/>
  <c r="O205" i="198"/>
  <c r="N205" i="198"/>
  <c r="M205" i="198"/>
  <c r="L205" i="198"/>
  <c r="K205" i="198"/>
  <c r="J205" i="198"/>
  <c r="I205" i="198"/>
  <c r="H205" i="198"/>
  <c r="G205" i="198"/>
  <c r="F205" i="198"/>
  <c r="E205" i="198"/>
  <c r="D205" i="198"/>
  <c r="C205" i="198"/>
  <c r="B205" i="198"/>
  <c r="A205" i="198"/>
  <c r="CS204" i="198"/>
  <c r="CR204" i="198"/>
  <c r="CQ204" i="198"/>
  <c r="CP204" i="198"/>
  <c r="CO204" i="198"/>
  <c r="CN204" i="198"/>
  <c r="CM204" i="198"/>
  <c r="CL204" i="198"/>
  <c r="CK204" i="198"/>
  <c r="CJ204" i="198"/>
  <c r="CI204" i="198"/>
  <c r="CH204" i="198"/>
  <c r="CG204" i="198"/>
  <c r="CF204" i="198"/>
  <c r="CE204" i="198"/>
  <c r="CD204" i="198"/>
  <c r="CC204" i="198"/>
  <c r="CB204" i="198"/>
  <c r="CA204" i="198"/>
  <c r="BZ204" i="198"/>
  <c r="BY204" i="198"/>
  <c r="BX204" i="198"/>
  <c r="BW204" i="198"/>
  <c r="BV204" i="198"/>
  <c r="BU204" i="198"/>
  <c r="BT204" i="198"/>
  <c r="BS204" i="198"/>
  <c r="BR204" i="198"/>
  <c r="BQ204" i="198"/>
  <c r="BP204" i="198"/>
  <c r="BO204" i="198"/>
  <c r="BN204" i="198"/>
  <c r="BM204" i="198"/>
  <c r="BL204" i="198"/>
  <c r="BK204" i="198"/>
  <c r="BJ204" i="198"/>
  <c r="BI204" i="198"/>
  <c r="BH204" i="198"/>
  <c r="BG204" i="198"/>
  <c r="BF204" i="198"/>
  <c r="BE204" i="198"/>
  <c r="BD204" i="198"/>
  <c r="BC204" i="198"/>
  <c r="BB204" i="198"/>
  <c r="BA204" i="198"/>
  <c r="AZ204" i="198"/>
  <c r="AY204" i="198"/>
  <c r="AX204" i="198"/>
  <c r="AW204" i="198"/>
  <c r="AV204" i="198"/>
  <c r="AU204" i="198"/>
  <c r="AT204" i="198"/>
  <c r="AS204" i="198"/>
  <c r="AR204" i="198"/>
  <c r="AQ204" i="198"/>
  <c r="AP204" i="198"/>
  <c r="AO204" i="198"/>
  <c r="AN204" i="198"/>
  <c r="AM204" i="198"/>
  <c r="AL204" i="198"/>
  <c r="AK204" i="198"/>
  <c r="AJ204" i="198"/>
  <c r="AI204" i="198"/>
  <c r="AH204" i="198"/>
  <c r="AG204" i="198"/>
  <c r="AF204" i="198"/>
  <c r="AE204" i="198"/>
  <c r="AD204" i="198"/>
  <c r="AC204" i="198"/>
  <c r="AB204" i="198"/>
  <c r="AA204" i="198"/>
  <c r="Z204" i="198"/>
  <c r="Y204" i="198"/>
  <c r="X204" i="198"/>
  <c r="W204" i="198"/>
  <c r="V204" i="198"/>
  <c r="U204" i="198"/>
  <c r="T204" i="198"/>
  <c r="S204" i="198"/>
  <c r="R204" i="198"/>
  <c r="Q204" i="198"/>
  <c r="P204" i="198"/>
  <c r="O204" i="198"/>
  <c r="N204" i="198"/>
  <c r="M204" i="198"/>
  <c r="L204" i="198"/>
  <c r="K204" i="198"/>
  <c r="J204" i="198"/>
  <c r="I204" i="198"/>
  <c r="H204" i="198"/>
  <c r="G204" i="198"/>
  <c r="F204" i="198"/>
  <c r="E204" i="198"/>
  <c r="D204" i="198"/>
  <c r="C204" i="198"/>
  <c r="B204" i="198"/>
  <c r="A204" i="198"/>
  <c r="EB201" i="198"/>
  <c r="EA201" i="198"/>
  <c r="DZ201" i="198"/>
  <c r="DY201" i="198"/>
  <c r="DX201" i="198"/>
  <c r="DW201" i="198"/>
  <c r="DV201" i="198"/>
  <c r="DU201" i="198"/>
  <c r="DT201" i="198"/>
  <c r="DS201" i="198"/>
  <c r="DR201" i="198"/>
  <c r="DQ201" i="198"/>
  <c r="DP201" i="198"/>
  <c r="DO201" i="198"/>
  <c r="DN201" i="198"/>
  <c r="DM201" i="198"/>
  <c r="DL201" i="198"/>
  <c r="DK201" i="198"/>
  <c r="DJ201" i="198"/>
  <c r="DI201" i="198"/>
  <c r="DH201" i="198"/>
  <c r="DG201" i="198"/>
  <c r="DF201" i="198"/>
  <c r="DE201" i="198"/>
  <c r="DD201" i="198"/>
  <c r="DC201" i="198"/>
  <c r="EB200" i="198"/>
  <c r="EA200" i="198"/>
  <c r="DZ200" i="198"/>
  <c r="DY200" i="198"/>
  <c r="DX200" i="198"/>
  <c r="DW200" i="198"/>
  <c r="DV200" i="198"/>
  <c r="DU200" i="198"/>
  <c r="DT200" i="198"/>
  <c r="DS200" i="198"/>
  <c r="DR200" i="198"/>
  <c r="DQ200" i="198"/>
  <c r="DP200" i="198"/>
  <c r="DO200" i="198"/>
  <c r="DN200" i="198"/>
  <c r="DM200" i="198"/>
  <c r="DL200" i="198"/>
  <c r="DK200" i="198"/>
  <c r="DJ200" i="198"/>
  <c r="DI200" i="198"/>
  <c r="DH200" i="198"/>
  <c r="DG200" i="198"/>
  <c r="DF200" i="198"/>
  <c r="DE200" i="198"/>
  <c r="DD200" i="198"/>
  <c r="DC200" i="198"/>
  <c r="EB199" i="198"/>
  <c r="EA199" i="198"/>
  <c r="DZ199" i="198"/>
  <c r="DY199" i="198"/>
  <c r="DX199" i="198"/>
  <c r="DW199" i="198"/>
  <c r="DV199" i="198"/>
  <c r="DU199" i="198"/>
  <c r="DT199" i="198"/>
  <c r="DS199" i="198"/>
  <c r="DR199" i="198"/>
  <c r="DQ199" i="198"/>
  <c r="DP199" i="198"/>
  <c r="DO199" i="198"/>
  <c r="DN199" i="198"/>
  <c r="DM199" i="198"/>
  <c r="DL199" i="198"/>
  <c r="DK199" i="198"/>
  <c r="DJ199" i="198"/>
  <c r="DI199" i="198"/>
  <c r="DH199" i="198"/>
  <c r="DG199" i="198"/>
  <c r="DF199" i="198"/>
  <c r="DE199" i="198"/>
  <c r="DD199" i="198"/>
  <c r="DC199" i="198"/>
  <c r="EB198" i="198"/>
  <c r="EA198" i="198"/>
  <c r="DZ198" i="198"/>
  <c r="DY198" i="198"/>
  <c r="DX198" i="198"/>
  <c r="DW198" i="198"/>
  <c r="DV198" i="198"/>
  <c r="DU198" i="198"/>
  <c r="DT198" i="198"/>
  <c r="DS198" i="198"/>
  <c r="DR198" i="198"/>
  <c r="DQ198" i="198"/>
  <c r="DP198" i="198"/>
  <c r="DO198" i="198"/>
  <c r="DN198" i="198"/>
  <c r="DM198" i="198"/>
  <c r="DL198" i="198"/>
  <c r="DK198" i="198"/>
  <c r="DJ198" i="198"/>
  <c r="DI198" i="198"/>
  <c r="DH198" i="198"/>
  <c r="DG198" i="198"/>
  <c r="DF198" i="198"/>
  <c r="DE198" i="198"/>
  <c r="DD198" i="198"/>
  <c r="DC198" i="198"/>
  <c r="EM197" i="198"/>
  <c r="EL197" i="198"/>
  <c r="EK197" i="198"/>
  <c r="EJ197" i="198"/>
  <c r="EI197" i="198"/>
  <c r="EH197" i="198"/>
  <c r="EG197" i="198"/>
  <c r="EF197" i="198"/>
  <c r="EE197" i="198"/>
  <c r="ED197" i="198"/>
  <c r="EC197" i="198"/>
  <c r="EB197" i="198"/>
  <c r="EA197" i="198"/>
  <c r="EA212" i="198" s="1"/>
  <c r="DZ197" i="198"/>
  <c r="DY197" i="198"/>
  <c r="DX197" i="198"/>
  <c r="DW197" i="198"/>
  <c r="DW212" i="198" s="1"/>
  <c r="DV197" i="198"/>
  <c r="DU197" i="198"/>
  <c r="DT197" i="198"/>
  <c r="DS197" i="198"/>
  <c r="DS212" i="198" s="1"/>
  <c r="DR197" i="198"/>
  <c r="DQ197" i="198"/>
  <c r="DP197" i="198"/>
  <c r="DO197" i="198"/>
  <c r="DO212" i="198" s="1"/>
  <c r="DN197" i="198"/>
  <c r="DM197" i="198"/>
  <c r="DL197" i="198"/>
  <c r="DK197" i="198"/>
  <c r="DK212" i="198" s="1"/>
  <c r="DJ197" i="198"/>
  <c r="DI197" i="198"/>
  <c r="DH197" i="198"/>
  <c r="DG197" i="198"/>
  <c r="DG212" i="198" s="1"/>
  <c r="DF197" i="198"/>
  <c r="DE197" i="198"/>
  <c r="DD197" i="198"/>
  <c r="DC197" i="198"/>
  <c r="DC212" i="198" s="1"/>
  <c r="CS201" i="198"/>
  <c r="CR201" i="198"/>
  <c r="CQ201" i="198"/>
  <c r="CP201" i="198"/>
  <c r="CO201" i="198"/>
  <c r="CN201" i="198"/>
  <c r="CM201" i="198"/>
  <c r="CL201" i="198"/>
  <c r="CK201" i="198"/>
  <c r="CJ201" i="198"/>
  <c r="CI201" i="198"/>
  <c r="CH201" i="198"/>
  <c r="CG201" i="198"/>
  <c r="CF201" i="198"/>
  <c r="CE201" i="198"/>
  <c r="CD201" i="198"/>
  <c r="CC201" i="198"/>
  <c r="CB201" i="198"/>
  <c r="CA201" i="198"/>
  <c r="BZ201" i="198"/>
  <c r="BY201" i="198"/>
  <c r="BX201" i="198"/>
  <c r="BW201" i="198"/>
  <c r="BV201" i="198"/>
  <c r="BU201" i="198"/>
  <c r="BT201" i="198"/>
  <c r="BS201" i="198"/>
  <c r="BR201" i="198"/>
  <c r="BQ201" i="198"/>
  <c r="BP201" i="198"/>
  <c r="BO201" i="198"/>
  <c r="BN201" i="198"/>
  <c r="BM201" i="198"/>
  <c r="BL201" i="198"/>
  <c r="BK201" i="198"/>
  <c r="BJ201" i="198"/>
  <c r="BI201" i="198"/>
  <c r="BH201" i="198"/>
  <c r="BG201" i="198"/>
  <c r="BF201" i="198"/>
  <c r="BE201" i="198"/>
  <c r="BD201" i="198"/>
  <c r="BC201" i="198"/>
  <c r="BB201" i="198"/>
  <c r="BA201" i="198"/>
  <c r="AZ201" i="198"/>
  <c r="AY201" i="198"/>
  <c r="AX201" i="198"/>
  <c r="AW201" i="198"/>
  <c r="AV201" i="198"/>
  <c r="AU201" i="198"/>
  <c r="AT201" i="198"/>
  <c r="AS201" i="198"/>
  <c r="AR201" i="198"/>
  <c r="AQ201" i="198"/>
  <c r="AP201" i="198"/>
  <c r="AO201" i="198"/>
  <c r="AN201" i="198"/>
  <c r="AM201" i="198"/>
  <c r="AL201" i="198"/>
  <c r="AK201" i="198"/>
  <c r="AJ201" i="198"/>
  <c r="AI201" i="198"/>
  <c r="AH201" i="198"/>
  <c r="AG201" i="198"/>
  <c r="AF201" i="198"/>
  <c r="AE201" i="198"/>
  <c r="AD201" i="198"/>
  <c r="AC201" i="198"/>
  <c r="AB201" i="198"/>
  <c r="AA201" i="198"/>
  <c r="Z201" i="198"/>
  <c r="Y201" i="198"/>
  <c r="X201" i="198"/>
  <c r="W201" i="198"/>
  <c r="V201" i="198"/>
  <c r="U201" i="198"/>
  <c r="T201" i="198"/>
  <c r="S201" i="198"/>
  <c r="R201" i="198"/>
  <c r="Q201" i="198"/>
  <c r="P201" i="198"/>
  <c r="O201" i="198"/>
  <c r="N201" i="198"/>
  <c r="M201" i="198"/>
  <c r="L201" i="198"/>
  <c r="K201" i="198"/>
  <c r="J201" i="198"/>
  <c r="I201" i="198"/>
  <c r="H201" i="198"/>
  <c r="G201" i="198"/>
  <c r="F201" i="198"/>
  <c r="E201" i="198"/>
  <c r="D201" i="198"/>
  <c r="C201" i="198"/>
  <c r="B201" i="198"/>
  <c r="A201" i="198"/>
  <c r="CS200" i="198"/>
  <c r="CR200" i="198"/>
  <c r="CQ200" i="198"/>
  <c r="CP200" i="198"/>
  <c r="CO200" i="198"/>
  <c r="CN200" i="198"/>
  <c r="CM200" i="198"/>
  <c r="CL200" i="198"/>
  <c r="CK200" i="198"/>
  <c r="CJ200" i="198"/>
  <c r="CI200" i="198"/>
  <c r="CH200" i="198"/>
  <c r="CG200" i="198"/>
  <c r="CF200" i="198"/>
  <c r="CE200" i="198"/>
  <c r="CD200" i="198"/>
  <c r="CC200" i="198"/>
  <c r="CB200" i="198"/>
  <c r="CA200" i="198"/>
  <c r="BZ200" i="198"/>
  <c r="BY200" i="198"/>
  <c r="BX200" i="198"/>
  <c r="BW200" i="198"/>
  <c r="BV200" i="198"/>
  <c r="BU200" i="198"/>
  <c r="BT200" i="198"/>
  <c r="BS200" i="198"/>
  <c r="BR200" i="198"/>
  <c r="BQ200" i="198"/>
  <c r="BP200" i="198"/>
  <c r="BO200" i="198"/>
  <c r="BN200" i="198"/>
  <c r="BM200" i="198"/>
  <c r="BL200" i="198"/>
  <c r="BK200" i="198"/>
  <c r="BJ200" i="198"/>
  <c r="BI200" i="198"/>
  <c r="BH200" i="198"/>
  <c r="BG200" i="198"/>
  <c r="BF200" i="198"/>
  <c r="BE200" i="198"/>
  <c r="BD200" i="198"/>
  <c r="BC200" i="198"/>
  <c r="BB200" i="198"/>
  <c r="BA200" i="198"/>
  <c r="AZ200" i="198"/>
  <c r="AY200" i="198"/>
  <c r="AX200" i="198"/>
  <c r="AW200" i="198"/>
  <c r="AV200" i="198"/>
  <c r="AU200" i="198"/>
  <c r="AT200" i="198"/>
  <c r="AS200" i="198"/>
  <c r="AR200" i="198"/>
  <c r="AQ200" i="198"/>
  <c r="AP200" i="198"/>
  <c r="AO200" i="198"/>
  <c r="AN200" i="198"/>
  <c r="AM200" i="198"/>
  <c r="AL200" i="198"/>
  <c r="AK200" i="198"/>
  <c r="AJ200" i="198"/>
  <c r="AI200" i="198"/>
  <c r="AH200" i="198"/>
  <c r="AG200" i="198"/>
  <c r="AF200" i="198"/>
  <c r="AE200" i="198"/>
  <c r="AD200" i="198"/>
  <c r="AC200" i="198"/>
  <c r="AB200" i="198"/>
  <c r="AA200" i="198"/>
  <c r="Z200" i="198"/>
  <c r="Y200" i="198"/>
  <c r="X200" i="198"/>
  <c r="W200" i="198"/>
  <c r="V200" i="198"/>
  <c r="U200" i="198"/>
  <c r="T200" i="198"/>
  <c r="S200" i="198"/>
  <c r="R200" i="198"/>
  <c r="Q200" i="198"/>
  <c r="P200" i="198"/>
  <c r="O200" i="198"/>
  <c r="N200" i="198"/>
  <c r="M200" i="198"/>
  <c r="L200" i="198"/>
  <c r="K200" i="198"/>
  <c r="J200" i="198"/>
  <c r="I200" i="198"/>
  <c r="H200" i="198"/>
  <c r="G200" i="198"/>
  <c r="F200" i="198"/>
  <c r="E200" i="198"/>
  <c r="D200" i="198"/>
  <c r="C200" i="198"/>
  <c r="B200" i="198"/>
  <c r="A200" i="198"/>
  <c r="CS199" i="198"/>
  <c r="CR199" i="198"/>
  <c r="CQ199" i="198"/>
  <c r="CP199" i="198"/>
  <c r="CO199" i="198"/>
  <c r="CN199" i="198"/>
  <c r="CM199" i="198"/>
  <c r="CL199" i="198"/>
  <c r="CK199" i="198"/>
  <c r="CJ199" i="198"/>
  <c r="CI199" i="198"/>
  <c r="CH199" i="198"/>
  <c r="CG199" i="198"/>
  <c r="CF199" i="198"/>
  <c r="CE199" i="198"/>
  <c r="CD199" i="198"/>
  <c r="CC199" i="198"/>
  <c r="CB199" i="198"/>
  <c r="CA199" i="198"/>
  <c r="BZ199" i="198"/>
  <c r="BY199" i="198"/>
  <c r="BX199" i="198"/>
  <c r="BW199" i="198"/>
  <c r="BV199" i="198"/>
  <c r="BU199" i="198"/>
  <c r="BT199" i="198"/>
  <c r="BS199" i="198"/>
  <c r="BR199" i="198"/>
  <c r="BQ199" i="198"/>
  <c r="BP199" i="198"/>
  <c r="BO199" i="198"/>
  <c r="BN199" i="198"/>
  <c r="BM199" i="198"/>
  <c r="BL199" i="198"/>
  <c r="BK199" i="198"/>
  <c r="BJ199" i="198"/>
  <c r="BI199" i="198"/>
  <c r="BH199" i="198"/>
  <c r="BG199" i="198"/>
  <c r="BF199" i="198"/>
  <c r="BE199" i="198"/>
  <c r="BD199" i="198"/>
  <c r="BC199" i="198"/>
  <c r="BB199" i="198"/>
  <c r="BA199" i="198"/>
  <c r="AZ199" i="198"/>
  <c r="AY199" i="198"/>
  <c r="AX199" i="198"/>
  <c r="AW199" i="198"/>
  <c r="AV199" i="198"/>
  <c r="AU199" i="198"/>
  <c r="AT199" i="198"/>
  <c r="AS199" i="198"/>
  <c r="AR199" i="198"/>
  <c r="AQ199" i="198"/>
  <c r="AP199" i="198"/>
  <c r="AO199" i="198"/>
  <c r="AN199" i="198"/>
  <c r="AM199" i="198"/>
  <c r="AL199" i="198"/>
  <c r="AK199" i="198"/>
  <c r="AJ199" i="198"/>
  <c r="AI199" i="198"/>
  <c r="AH199" i="198"/>
  <c r="AG199" i="198"/>
  <c r="AF199" i="198"/>
  <c r="AE199" i="198"/>
  <c r="AD199" i="198"/>
  <c r="AC199" i="198"/>
  <c r="AB199" i="198"/>
  <c r="AA199" i="198"/>
  <c r="Z199" i="198"/>
  <c r="Y199" i="198"/>
  <c r="X199" i="198"/>
  <c r="W199" i="198"/>
  <c r="V199" i="198"/>
  <c r="U199" i="198"/>
  <c r="T199" i="198"/>
  <c r="S199" i="198"/>
  <c r="R199" i="198"/>
  <c r="Q199" i="198"/>
  <c r="P199" i="198"/>
  <c r="O199" i="198"/>
  <c r="N199" i="198"/>
  <c r="M199" i="198"/>
  <c r="L199" i="198"/>
  <c r="K199" i="198"/>
  <c r="J199" i="198"/>
  <c r="I199" i="198"/>
  <c r="H199" i="198"/>
  <c r="G199" i="198"/>
  <c r="F199" i="198"/>
  <c r="E199" i="198"/>
  <c r="D199" i="198"/>
  <c r="C199" i="198"/>
  <c r="B199" i="198"/>
  <c r="A199" i="198"/>
  <c r="CS198" i="198"/>
  <c r="CR198" i="198"/>
  <c r="CQ198" i="198"/>
  <c r="CP198" i="198"/>
  <c r="CO198" i="198"/>
  <c r="CN198" i="198"/>
  <c r="CM198" i="198"/>
  <c r="CL198" i="198"/>
  <c r="CK198" i="198"/>
  <c r="CJ198" i="198"/>
  <c r="CI198" i="198"/>
  <c r="CH198" i="198"/>
  <c r="CG198" i="198"/>
  <c r="CF198" i="198"/>
  <c r="CE198" i="198"/>
  <c r="CD198" i="198"/>
  <c r="CC198" i="198"/>
  <c r="CB198" i="198"/>
  <c r="CA198" i="198"/>
  <c r="BZ198" i="198"/>
  <c r="BY198" i="198"/>
  <c r="BX198" i="198"/>
  <c r="BW198" i="198"/>
  <c r="BV198" i="198"/>
  <c r="BU198" i="198"/>
  <c r="BT198" i="198"/>
  <c r="BS198" i="198"/>
  <c r="BR198" i="198"/>
  <c r="BQ198" i="198"/>
  <c r="BP198" i="198"/>
  <c r="BO198" i="198"/>
  <c r="BN198" i="198"/>
  <c r="BM198" i="198"/>
  <c r="BL198" i="198"/>
  <c r="BK198" i="198"/>
  <c r="BJ198" i="198"/>
  <c r="BI198" i="198"/>
  <c r="BH198" i="198"/>
  <c r="BG198" i="198"/>
  <c r="BF198" i="198"/>
  <c r="BE198" i="198"/>
  <c r="BD198" i="198"/>
  <c r="BC198" i="198"/>
  <c r="BB198" i="198"/>
  <c r="BA198" i="198"/>
  <c r="AZ198" i="198"/>
  <c r="AY198" i="198"/>
  <c r="AX198" i="198"/>
  <c r="AW198" i="198"/>
  <c r="AV198" i="198"/>
  <c r="AU198" i="198"/>
  <c r="AT198" i="198"/>
  <c r="AS198" i="198"/>
  <c r="AR198" i="198"/>
  <c r="AQ198" i="198"/>
  <c r="AP198" i="198"/>
  <c r="AO198" i="198"/>
  <c r="AN198" i="198"/>
  <c r="AM198" i="198"/>
  <c r="AL198" i="198"/>
  <c r="AK198" i="198"/>
  <c r="AJ198" i="198"/>
  <c r="AI198" i="198"/>
  <c r="AH198" i="198"/>
  <c r="AG198" i="198"/>
  <c r="AF198" i="198"/>
  <c r="AE198" i="198"/>
  <c r="AD198" i="198"/>
  <c r="AC198" i="198"/>
  <c r="AB198" i="198"/>
  <c r="AA198" i="198"/>
  <c r="Z198" i="198"/>
  <c r="Y198" i="198"/>
  <c r="X198" i="198"/>
  <c r="W198" i="198"/>
  <c r="V198" i="198"/>
  <c r="U198" i="198"/>
  <c r="T198" i="198"/>
  <c r="S198" i="198"/>
  <c r="R198" i="198"/>
  <c r="Q198" i="198"/>
  <c r="P198" i="198"/>
  <c r="O198" i="198"/>
  <c r="N198" i="198"/>
  <c r="M198" i="198"/>
  <c r="L198" i="198"/>
  <c r="K198" i="198"/>
  <c r="J198" i="198"/>
  <c r="I198" i="198"/>
  <c r="H198" i="198"/>
  <c r="G198" i="198"/>
  <c r="F198" i="198"/>
  <c r="E198" i="198"/>
  <c r="D198" i="198"/>
  <c r="C198" i="198"/>
  <c r="B198" i="198"/>
  <c r="A198" i="198"/>
  <c r="DA197" i="198"/>
  <c r="CZ197" i="198"/>
  <c r="CY197" i="198"/>
  <c r="CX197" i="198"/>
  <c r="CW197" i="198"/>
  <c r="CV197" i="198"/>
  <c r="CU197" i="198"/>
  <c r="CT197" i="198"/>
  <c r="CS197" i="198"/>
  <c r="CR197" i="198"/>
  <c r="CQ197" i="198"/>
  <c r="CP197" i="198"/>
  <c r="CP212" i="198" s="1"/>
  <c r="CO197" i="198"/>
  <c r="CN197" i="198"/>
  <c r="CM197" i="198"/>
  <c r="CL197" i="198"/>
  <c r="CL212" i="198" s="1"/>
  <c r="CK197" i="198"/>
  <c r="CJ197" i="198"/>
  <c r="CI197" i="198"/>
  <c r="CH197" i="198"/>
  <c r="CH212" i="198" s="1"/>
  <c r="CG197" i="198"/>
  <c r="CF197" i="198"/>
  <c r="CE197" i="198"/>
  <c r="CD197" i="198"/>
  <c r="CD212" i="198" s="1"/>
  <c r="CC197" i="198"/>
  <c r="CB197" i="198"/>
  <c r="CA197" i="198"/>
  <c r="BZ197" i="198"/>
  <c r="BZ212" i="198" s="1"/>
  <c r="BY197" i="198"/>
  <c r="BX197" i="198"/>
  <c r="BW197" i="198"/>
  <c r="BV197" i="198"/>
  <c r="BV212" i="198" s="1"/>
  <c r="BU197" i="198"/>
  <c r="BT197" i="198"/>
  <c r="BS197" i="198"/>
  <c r="BR197" i="198"/>
  <c r="BR212" i="198" s="1"/>
  <c r="BQ197" i="198"/>
  <c r="BP197" i="198"/>
  <c r="BO197" i="198"/>
  <c r="BN197" i="198"/>
  <c r="BN212" i="198" s="1"/>
  <c r="BM197" i="198"/>
  <c r="BL197" i="198"/>
  <c r="BK197" i="198"/>
  <c r="BJ197" i="198"/>
  <c r="BJ212" i="198" s="1"/>
  <c r="BI197" i="198"/>
  <c r="BH197" i="198"/>
  <c r="BG197" i="198"/>
  <c r="BF197" i="198"/>
  <c r="BF212" i="198" s="1"/>
  <c r="BE197" i="198"/>
  <c r="BD197" i="198"/>
  <c r="BC197" i="198"/>
  <c r="BB197" i="198"/>
  <c r="BB212" i="198" s="1"/>
  <c r="BA197" i="198"/>
  <c r="AZ197" i="198"/>
  <c r="AY197" i="198"/>
  <c r="AX197" i="198"/>
  <c r="AX212" i="198" s="1"/>
  <c r="AW197" i="198"/>
  <c r="AV197" i="198"/>
  <c r="AU197" i="198"/>
  <c r="AT197" i="198"/>
  <c r="AT212" i="198" s="1"/>
  <c r="AS197" i="198"/>
  <c r="AR197" i="198"/>
  <c r="AQ197" i="198"/>
  <c r="AP197" i="198"/>
  <c r="AP212" i="198" s="1"/>
  <c r="AO197" i="198"/>
  <c r="AN197" i="198"/>
  <c r="AM197" i="198"/>
  <c r="AL197" i="198"/>
  <c r="AL212" i="198" s="1"/>
  <c r="AK197" i="198"/>
  <c r="AJ197" i="198"/>
  <c r="AI197" i="198"/>
  <c r="AH197" i="198"/>
  <c r="AH212" i="198" s="1"/>
  <c r="AG197" i="198"/>
  <c r="AF197" i="198"/>
  <c r="AE197" i="198"/>
  <c r="AD197" i="198"/>
  <c r="AD212" i="198" s="1"/>
  <c r="AC197" i="198"/>
  <c r="AB197" i="198"/>
  <c r="AA197" i="198"/>
  <c r="Z197" i="198"/>
  <c r="Z212" i="198" s="1"/>
  <c r="Y197" i="198"/>
  <c r="X197" i="198"/>
  <c r="W197" i="198"/>
  <c r="V197" i="198"/>
  <c r="V212" i="198" s="1"/>
  <c r="U197" i="198"/>
  <c r="T197" i="198"/>
  <c r="S197" i="198"/>
  <c r="R197" i="198"/>
  <c r="R212" i="198" s="1"/>
  <c r="Q197" i="198"/>
  <c r="P197" i="198"/>
  <c r="O197" i="198"/>
  <c r="N197" i="198"/>
  <c r="N212" i="198" s="1"/>
  <c r="M197" i="198"/>
  <c r="L197" i="198"/>
  <c r="K197" i="198"/>
  <c r="J197" i="198"/>
  <c r="J212" i="198" s="1"/>
  <c r="I197" i="198"/>
  <c r="H197" i="198"/>
  <c r="G197" i="198"/>
  <c r="F197" i="198"/>
  <c r="F212" i="198" s="1"/>
  <c r="E197" i="198"/>
  <c r="D197" i="198"/>
  <c r="C197" i="198"/>
  <c r="B197" i="198"/>
  <c r="B212" i="198" s="1"/>
  <c r="A197" i="198"/>
  <c r="A192" i="198"/>
  <c r="EM185" i="198"/>
  <c r="EL185" i="198"/>
  <c r="EK185" i="198"/>
  <c r="EJ185" i="198"/>
  <c r="EI185" i="198"/>
  <c r="EH185" i="198"/>
  <c r="EG185" i="198"/>
  <c r="EF185" i="198"/>
  <c r="EE185" i="198"/>
  <c r="ED185" i="198"/>
  <c r="EC185" i="198"/>
  <c r="EB185" i="198"/>
  <c r="EA185" i="198"/>
  <c r="DZ185" i="198"/>
  <c r="DY185" i="198"/>
  <c r="DX185" i="198"/>
  <c r="DW185" i="198"/>
  <c r="DV185" i="198"/>
  <c r="DU185" i="198"/>
  <c r="DT185" i="198"/>
  <c r="DS185" i="198"/>
  <c r="DR185" i="198"/>
  <c r="DQ185" i="198"/>
  <c r="DP185" i="198"/>
  <c r="DO185" i="198"/>
  <c r="DN185" i="198"/>
  <c r="DM185" i="198"/>
  <c r="DL185" i="198"/>
  <c r="DK185" i="198"/>
  <c r="DJ185" i="198"/>
  <c r="DI185" i="198"/>
  <c r="DH185" i="198"/>
  <c r="DG185" i="198"/>
  <c r="DF185" i="198"/>
  <c r="DE185" i="198"/>
  <c r="DD185" i="198"/>
  <c r="DC185" i="198"/>
  <c r="EM184" i="198"/>
  <c r="EL184" i="198"/>
  <c r="EK184" i="198"/>
  <c r="EJ184" i="198"/>
  <c r="EI184" i="198"/>
  <c r="EH184" i="198"/>
  <c r="EG184" i="198"/>
  <c r="EF184" i="198"/>
  <c r="EE184" i="198"/>
  <c r="ED184" i="198"/>
  <c r="EC184" i="198"/>
  <c r="EB184" i="198"/>
  <c r="EA184" i="198"/>
  <c r="DZ184" i="198"/>
  <c r="DY184" i="198"/>
  <c r="DX184" i="198"/>
  <c r="DW184" i="198"/>
  <c r="DV184" i="198"/>
  <c r="DU184" i="198"/>
  <c r="DT184" i="198"/>
  <c r="DS184" i="198"/>
  <c r="DR184" i="198"/>
  <c r="DQ184" i="198"/>
  <c r="DP184" i="198"/>
  <c r="DO184" i="198"/>
  <c r="DN184" i="198"/>
  <c r="DM184" i="198"/>
  <c r="DL184" i="198"/>
  <c r="DK184" i="198"/>
  <c r="DJ184" i="198"/>
  <c r="DI184" i="198"/>
  <c r="DH184" i="198"/>
  <c r="DG184" i="198"/>
  <c r="DF184" i="198"/>
  <c r="DE184" i="198"/>
  <c r="DD184" i="198"/>
  <c r="DC184" i="198"/>
  <c r="EM183" i="198"/>
  <c r="EL183" i="198"/>
  <c r="EK183" i="198"/>
  <c r="EJ183" i="198"/>
  <c r="EI183" i="198"/>
  <c r="EH183" i="198"/>
  <c r="EG183" i="198"/>
  <c r="EF183" i="198"/>
  <c r="EE183" i="198"/>
  <c r="ED183" i="198"/>
  <c r="EC183" i="198"/>
  <c r="EB183" i="198"/>
  <c r="EA183" i="198"/>
  <c r="DZ183" i="198"/>
  <c r="DY183" i="198"/>
  <c r="DX183" i="198"/>
  <c r="DW183" i="198"/>
  <c r="DV183" i="198"/>
  <c r="DU183" i="198"/>
  <c r="DT183" i="198"/>
  <c r="DS183" i="198"/>
  <c r="DR183" i="198"/>
  <c r="DQ183" i="198"/>
  <c r="DP183" i="198"/>
  <c r="DO183" i="198"/>
  <c r="DN183" i="198"/>
  <c r="DM183" i="198"/>
  <c r="DL183" i="198"/>
  <c r="DK183" i="198"/>
  <c r="DJ183" i="198"/>
  <c r="DI183" i="198"/>
  <c r="DH183" i="198"/>
  <c r="DG183" i="198"/>
  <c r="DF183" i="198"/>
  <c r="DE183" i="198"/>
  <c r="DD183" i="198"/>
  <c r="DC183" i="198"/>
  <c r="EM182" i="198"/>
  <c r="EL182" i="198"/>
  <c r="EK182" i="198"/>
  <c r="EJ182" i="198"/>
  <c r="EI182" i="198"/>
  <c r="EH182" i="198"/>
  <c r="EG182" i="198"/>
  <c r="EF182" i="198"/>
  <c r="EE182" i="198"/>
  <c r="ED182" i="198"/>
  <c r="EC182" i="198"/>
  <c r="EB182" i="198"/>
  <c r="EA182" i="198"/>
  <c r="DZ182" i="198"/>
  <c r="DY182" i="198"/>
  <c r="DX182" i="198"/>
  <c r="DW182" i="198"/>
  <c r="DV182" i="198"/>
  <c r="DU182" i="198"/>
  <c r="DT182" i="198"/>
  <c r="DS182" i="198"/>
  <c r="DR182" i="198"/>
  <c r="DQ182" i="198"/>
  <c r="DP182" i="198"/>
  <c r="DO182" i="198"/>
  <c r="DN182" i="198"/>
  <c r="DM182" i="198"/>
  <c r="DL182" i="198"/>
  <c r="DK182" i="198"/>
  <c r="DJ182" i="198"/>
  <c r="DI182" i="198"/>
  <c r="DH182" i="198"/>
  <c r="DG182" i="198"/>
  <c r="DF182" i="198"/>
  <c r="DE182" i="198"/>
  <c r="DD182" i="198"/>
  <c r="DC182" i="198"/>
  <c r="DA185" i="198"/>
  <c r="CZ185" i="198"/>
  <c r="CY185" i="198"/>
  <c r="CX185" i="198"/>
  <c r="CW185" i="198"/>
  <c r="CV185" i="198"/>
  <c r="CU185" i="198"/>
  <c r="CT185" i="198"/>
  <c r="CS185" i="198"/>
  <c r="CR185" i="198"/>
  <c r="CQ185" i="198"/>
  <c r="CP185" i="198"/>
  <c r="CO185" i="198"/>
  <c r="CN185" i="198"/>
  <c r="CM185" i="198"/>
  <c r="CL185" i="198"/>
  <c r="CK185" i="198"/>
  <c r="CJ185" i="198"/>
  <c r="CI185" i="198"/>
  <c r="CH185" i="198"/>
  <c r="CG185" i="198"/>
  <c r="CF185" i="198"/>
  <c r="CE185" i="198"/>
  <c r="CD185" i="198"/>
  <c r="CC185" i="198"/>
  <c r="CB185" i="198"/>
  <c r="CA185" i="198"/>
  <c r="BZ185" i="198"/>
  <c r="BY185" i="198"/>
  <c r="BX185" i="198"/>
  <c r="BW185" i="198"/>
  <c r="BV185" i="198"/>
  <c r="BU185" i="198"/>
  <c r="BT185" i="198"/>
  <c r="BS185" i="198"/>
  <c r="BR185" i="198"/>
  <c r="BQ185" i="198"/>
  <c r="BP185" i="198"/>
  <c r="BO185" i="198"/>
  <c r="BN185" i="198"/>
  <c r="BM185" i="198"/>
  <c r="BL185" i="198"/>
  <c r="BK185" i="198"/>
  <c r="BJ185" i="198"/>
  <c r="BI185" i="198"/>
  <c r="BH185" i="198"/>
  <c r="BG185" i="198"/>
  <c r="BF185" i="198"/>
  <c r="BE185" i="198"/>
  <c r="BD185" i="198"/>
  <c r="BC185" i="198"/>
  <c r="BB185" i="198"/>
  <c r="BA185" i="198"/>
  <c r="AZ185" i="198"/>
  <c r="AY185" i="198"/>
  <c r="AX185" i="198"/>
  <c r="AW185" i="198"/>
  <c r="AV185" i="198"/>
  <c r="AU185" i="198"/>
  <c r="AT185" i="198"/>
  <c r="AS185" i="198"/>
  <c r="AR185" i="198"/>
  <c r="AQ185" i="198"/>
  <c r="AP185" i="198"/>
  <c r="AO185" i="198"/>
  <c r="AN185" i="198"/>
  <c r="AM185" i="198"/>
  <c r="AL185" i="198"/>
  <c r="AK185" i="198"/>
  <c r="AJ185" i="198"/>
  <c r="AI185" i="198"/>
  <c r="AH185" i="198"/>
  <c r="AG185" i="198"/>
  <c r="AF185" i="198"/>
  <c r="AE185" i="198"/>
  <c r="AD185" i="198"/>
  <c r="AC185" i="198"/>
  <c r="AB185" i="198"/>
  <c r="AA185" i="198"/>
  <c r="Z185" i="198"/>
  <c r="Y185" i="198"/>
  <c r="X185" i="198"/>
  <c r="W185" i="198"/>
  <c r="V185" i="198"/>
  <c r="U185" i="198"/>
  <c r="T185" i="198"/>
  <c r="S185" i="198"/>
  <c r="R185" i="198"/>
  <c r="Q185" i="198"/>
  <c r="P185" i="198"/>
  <c r="O185" i="198"/>
  <c r="N185" i="198"/>
  <c r="M185" i="198"/>
  <c r="L185" i="198"/>
  <c r="K185" i="198"/>
  <c r="J185" i="198"/>
  <c r="I185" i="198"/>
  <c r="H185" i="198"/>
  <c r="G185" i="198"/>
  <c r="F185" i="198"/>
  <c r="E185" i="198"/>
  <c r="D185" i="198"/>
  <c r="C185" i="198"/>
  <c r="B185" i="198"/>
  <c r="A185" i="198"/>
  <c r="DA184" i="198"/>
  <c r="CZ184" i="198"/>
  <c r="CY184" i="198"/>
  <c r="CX184" i="198"/>
  <c r="CW184" i="198"/>
  <c r="CV184" i="198"/>
  <c r="CU184" i="198"/>
  <c r="CT184" i="198"/>
  <c r="CS184" i="198"/>
  <c r="CR184" i="198"/>
  <c r="CQ184" i="198"/>
  <c r="CP184" i="198"/>
  <c r="CO184" i="198"/>
  <c r="CN184" i="198"/>
  <c r="CM184" i="198"/>
  <c r="CL184" i="198"/>
  <c r="CK184" i="198"/>
  <c r="CJ184" i="198"/>
  <c r="CI184" i="198"/>
  <c r="CH184" i="198"/>
  <c r="CG184" i="198"/>
  <c r="CF184" i="198"/>
  <c r="CE184" i="198"/>
  <c r="CD184" i="198"/>
  <c r="CC184" i="198"/>
  <c r="CB184" i="198"/>
  <c r="CA184" i="198"/>
  <c r="BZ184" i="198"/>
  <c r="BY184" i="198"/>
  <c r="BX184" i="198"/>
  <c r="BW184" i="198"/>
  <c r="BV184" i="198"/>
  <c r="BU184" i="198"/>
  <c r="BT184" i="198"/>
  <c r="BS184" i="198"/>
  <c r="BR184" i="198"/>
  <c r="BQ184" i="198"/>
  <c r="BP184" i="198"/>
  <c r="BO184" i="198"/>
  <c r="BN184" i="198"/>
  <c r="BM184" i="198"/>
  <c r="BL184" i="198"/>
  <c r="BK184" i="198"/>
  <c r="BJ184" i="198"/>
  <c r="BI184" i="198"/>
  <c r="BH184" i="198"/>
  <c r="BG184" i="198"/>
  <c r="BF184" i="198"/>
  <c r="BE184" i="198"/>
  <c r="BD184" i="198"/>
  <c r="BC184" i="198"/>
  <c r="BB184" i="198"/>
  <c r="BA184" i="198"/>
  <c r="AZ184" i="198"/>
  <c r="AY184" i="198"/>
  <c r="AX184" i="198"/>
  <c r="AW184" i="198"/>
  <c r="AV184" i="198"/>
  <c r="AU184" i="198"/>
  <c r="AT184" i="198"/>
  <c r="AS184" i="198"/>
  <c r="AR184" i="198"/>
  <c r="AQ184" i="198"/>
  <c r="AP184" i="198"/>
  <c r="AO184" i="198"/>
  <c r="AN184" i="198"/>
  <c r="AM184" i="198"/>
  <c r="AL184" i="198"/>
  <c r="AK184" i="198"/>
  <c r="AJ184" i="198"/>
  <c r="AI184" i="198"/>
  <c r="AH184" i="198"/>
  <c r="AG184" i="198"/>
  <c r="AF184" i="198"/>
  <c r="AE184" i="198"/>
  <c r="AD184" i="198"/>
  <c r="AC184" i="198"/>
  <c r="AB184" i="198"/>
  <c r="AA184" i="198"/>
  <c r="Z184" i="198"/>
  <c r="Y184" i="198"/>
  <c r="X184" i="198"/>
  <c r="W184" i="198"/>
  <c r="V184" i="198"/>
  <c r="U184" i="198"/>
  <c r="T184" i="198"/>
  <c r="S184" i="198"/>
  <c r="R184" i="198"/>
  <c r="Q184" i="198"/>
  <c r="P184" i="198"/>
  <c r="O184" i="198"/>
  <c r="N184" i="198"/>
  <c r="M184" i="198"/>
  <c r="L184" i="198"/>
  <c r="K184" i="198"/>
  <c r="J184" i="198"/>
  <c r="I184" i="198"/>
  <c r="H184" i="198"/>
  <c r="G184" i="198"/>
  <c r="F184" i="198"/>
  <c r="E184" i="198"/>
  <c r="D184" i="198"/>
  <c r="C184" i="198"/>
  <c r="B184" i="198"/>
  <c r="A184" i="198"/>
  <c r="DA183" i="198"/>
  <c r="CZ183" i="198"/>
  <c r="CY183" i="198"/>
  <c r="CX183" i="198"/>
  <c r="CW183" i="198"/>
  <c r="CV183" i="198"/>
  <c r="CU183" i="198"/>
  <c r="CT183" i="198"/>
  <c r="CS183" i="198"/>
  <c r="CR183" i="198"/>
  <c r="CQ183" i="198"/>
  <c r="CP183" i="198"/>
  <c r="CO183" i="198"/>
  <c r="CN183" i="198"/>
  <c r="CM183" i="198"/>
  <c r="CL183" i="198"/>
  <c r="CK183" i="198"/>
  <c r="CJ183" i="198"/>
  <c r="CI183" i="198"/>
  <c r="CH183" i="198"/>
  <c r="CG183" i="198"/>
  <c r="CF183" i="198"/>
  <c r="CE183" i="198"/>
  <c r="CD183" i="198"/>
  <c r="CC183" i="198"/>
  <c r="CB183" i="198"/>
  <c r="CA183" i="198"/>
  <c r="BZ183" i="198"/>
  <c r="BY183" i="198"/>
  <c r="BX183" i="198"/>
  <c r="BW183" i="198"/>
  <c r="BV183" i="198"/>
  <c r="BU183" i="198"/>
  <c r="BT183" i="198"/>
  <c r="BS183" i="198"/>
  <c r="BR183" i="198"/>
  <c r="BQ183" i="198"/>
  <c r="BP183" i="198"/>
  <c r="BO183" i="198"/>
  <c r="BN183" i="198"/>
  <c r="BM183" i="198"/>
  <c r="BL183" i="198"/>
  <c r="BK183" i="198"/>
  <c r="BJ183" i="198"/>
  <c r="BI183" i="198"/>
  <c r="BH183" i="198"/>
  <c r="BG183" i="198"/>
  <c r="BF183" i="198"/>
  <c r="BE183" i="198"/>
  <c r="BD183" i="198"/>
  <c r="BC183" i="198"/>
  <c r="BB183" i="198"/>
  <c r="BA183" i="198"/>
  <c r="AZ183" i="198"/>
  <c r="AY183" i="198"/>
  <c r="AX183" i="198"/>
  <c r="AW183" i="198"/>
  <c r="AV183" i="198"/>
  <c r="AU183" i="198"/>
  <c r="AT183" i="198"/>
  <c r="AS183" i="198"/>
  <c r="AR183" i="198"/>
  <c r="AQ183" i="198"/>
  <c r="AP183" i="198"/>
  <c r="AO183" i="198"/>
  <c r="AN183" i="198"/>
  <c r="AM183" i="198"/>
  <c r="AL183" i="198"/>
  <c r="AK183" i="198"/>
  <c r="AJ183" i="198"/>
  <c r="AI183" i="198"/>
  <c r="AH183" i="198"/>
  <c r="AG183" i="198"/>
  <c r="AF183" i="198"/>
  <c r="AE183" i="198"/>
  <c r="AD183" i="198"/>
  <c r="AC183" i="198"/>
  <c r="AB183" i="198"/>
  <c r="AA183" i="198"/>
  <c r="Z183" i="198"/>
  <c r="Y183" i="198"/>
  <c r="X183" i="198"/>
  <c r="W183" i="198"/>
  <c r="V183" i="198"/>
  <c r="U183" i="198"/>
  <c r="T183" i="198"/>
  <c r="S183" i="198"/>
  <c r="R183" i="198"/>
  <c r="Q183" i="198"/>
  <c r="P183" i="198"/>
  <c r="O183" i="198"/>
  <c r="N183" i="198"/>
  <c r="M183" i="198"/>
  <c r="L183" i="198"/>
  <c r="K183" i="198"/>
  <c r="J183" i="198"/>
  <c r="I183" i="198"/>
  <c r="H183" i="198"/>
  <c r="G183" i="198"/>
  <c r="F183" i="198"/>
  <c r="E183" i="198"/>
  <c r="D183" i="198"/>
  <c r="C183" i="198"/>
  <c r="B183" i="198"/>
  <c r="A183" i="198"/>
  <c r="DA182" i="198"/>
  <c r="CZ182" i="198"/>
  <c r="CY182" i="198"/>
  <c r="CX182" i="198"/>
  <c r="CW182" i="198"/>
  <c r="CV182" i="198"/>
  <c r="CU182" i="198"/>
  <c r="CT182" i="198"/>
  <c r="CS182" i="198"/>
  <c r="CR182" i="198"/>
  <c r="CQ182" i="198"/>
  <c r="CP182" i="198"/>
  <c r="CO182" i="198"/>
  <c r="CN182" i="198"/>
  <c r="CM182" i="198"/>
  <c r="CL182" i="198"/>
  <c r="CK182" i="198"/>
  <c r="CJ182" i="198"/>
  <c r="CI182" i="198"/>
  <c r="CH182" i="198"/>
  <c r="CG182" i="198"/>
  <c r="CF182" i="198"/>
  <c r="CE182" i="198"/>
  <c r="CD182" i="198"/>
  <c r="CC182" i="198"/>
  <c r="CB182" i="198"/>
  <c r="CA182" i="198"/>
  <c r="BZ182" i="198"/>
  <c r="BY182" i="198"/>
  <c r="BX182" i="198"/>
  <c r="BW182" i="198"/>
  <c r="BV182" i="198"/>
  <c r="BU182" i="198"/>
  <c r="BT182" i="198"/>
  <c r="BS182" i="198"/>
  <c r="BR182" i="198"/>
  <c r="BQ182" i="198"/>
  <c r="BP182" i="198"/>
  <c r="BO182" i="198"/>
  <c r="BN182" i="198"/>
  <c r="BM182" i="198"/>
  <c r="BL182" i="198"/>
  <c r="BK182" i="198"/>
  <c r="BJ182" i="198"/>
  <c r="BI182" i="198"/>
  <c r="BH182" i="198"/>
  <c r="BG182" i="198"/>
  <c r="BF182" i="198"/>
  <c r="BE182" i="198"/>
  <c r="BD182" i="198"/>
  <c r="BC182" i="198"/>
  <c r="BB182" i="198"/>
  <c r="BA182" i="198"/>
  <c r="AZ182" i="198"/>
  <c r="AY182" i="198"/>
  <c r="AX182" i="198"/>
  <c r="AW182" i="198"/>
  <c r="AV182" i="198"/>
  <c r="AU182" i="198"/>
  <c r="AT182" i="198"/>
  <c r="AS182" i="198"/>
  <c r="AR182" i="198"/>
  <c r="AQ182" i="198"/>
  <c r="AP182" i="198"/>
  <c r="AO182" i="198"/>
  <c r="AN182" i="198"/>
  <c r="AM182" i="198"/>
  <c r="AL182" i="198"/>
  <c r="AK182" i="198"/>
  <c r="AJ182" i="198"/>
  <c r="AI182" i="198"/>
  <c r="AH182" i="198"/>
  <c r="AG182" i="198"/>
  <c r="AF182" i="198"/>
  <c r="AE182" i="198"/>
  <c r="AD182" i="198"/>
  <c r="AC182" i="198"/>
  <c r="AB182" i="198"/>
  <c r="AA182" i="198"/>
  <c r="Z182" i="198"/>
  <c r="Y182" i="198"/>
  <c r="X182" i="198"/>
  <c r="W182" i="198"/>
  <c r="V182" i="198"/>
  <c r="U182" i="198"/>
  <c r="T182" i="198"/>
  <c r="S182" i="198"/>
  <c r="R182" i="198"/>
  <c r="Q182" i="198"/>
  <c r="P182" i="198"/>
  <c r="O182" i="198"/>
  <c r="N182" i="198"/>
  <c r="M182" i="198"/>
  <c r="L182" i="198"/>
  <c r="K182" i="198"/>
  <c r="J182" i="198"/>
  <c r="I182" i="198"/>
  <c r="H182" i="198"/>
  <c r="G182" i="198"/>
  <c r="F182" i="198"/>
  <c r="E182" i="198"/>
  <c r="D182" i="198"/>
  <c r="C182" i="198"/>
  <c r="B182" i="198"/>
  <c r="A182" i="198"/>
  <c r="EM179" i="198"/>
  <c r="EL179" i="198"/>
  <c r="EK179" i="198"/>
  <c r="EJ179" i="198"/>
  <c r="EI179" i="198"/>
  <c r="EH179" i="198"/>
  <c r="EG179" i="198"/>
  <c r="EF179" i="198"/>
  <c r="EE179" i="198"/>
  <c r="ED179" i="198"/>
  <c r="EC179" i="198"/>
  <c r="EB179" i="198"/>
  <c r="EA179" i="198"/>
  <c r="DZ179" i="198"/>
  <c r="DY179" i="198"/>
  <c r="DX179" i="198"/>
  <c r="DW179" i="198"/>
  <c r="DV179" i="198"/>
  <c r="DU179" i="198"/>
  <c r="DT179" i="198"/>
  <c r="DS179" i="198"/>
  <c r="DR179" i="198"/>
  <c r="DQ179" i="198"/>
  <c r="DP179" i="198"/>
  <c r="DO179" i="198"/>
  <c r="DN179" i="198"/>
  <c r="DM179" i="198"/>
  <c r="DL179" i="198"/>
  <c r="DK179" i="198"/>
  <c r="DJ179" i="198"/>
  <c r="DI179" i="198"/>
  <c r="DH179" i="198"/>
  <c r="DG179" i="198"/>
  <c r="DF179" i="198"/>
  <c r="DE179" i="198"/>
  <c r="DD179" i="198"/>
  <c r="DC179" i="198"/>
  <c r="EM178" i="198"/>
  <c r="EL178" i="198"/>
  <c r="EK178" i="198"/>
  <c r="EJ178" i="198"/>
  <c r="EI178" i="198"/>
  <c r="EH178" i="198"/>
  <c r="EG178" i="198"/>
  <c r="EF178" i="198"/>
  <c r="EE178" i="198"/>
  <c r="ED178" i="198"/>
  <c r="EC178" i="198"/>
  <c r="EB178" i="198"/>
  <c r="EA178" i="198"/>
  <c r="DZ178" i="198"/>
  <c r="DY178" i="198"/>
  <c r="DX178" i="198"/>
  <c r="DW178" i="198"/>
  <c r="DV178" i="198"/>
  <c r="DU178" i="198"/>
  <c r="DT178" i="198"/>
  <c r="DS178" i="198"/>
  <c r="DR178" i="198"/>
  <c r="DQ178" i="198"/>
  <c r="DP178" i="198"/>
  <c r="DO178" i="198"/>
  <c r="DN178" i="198"/>
  <c r="DM178" i="198"/>
  <c r="DL178" i="198"/>
  <c r="DK178" i="198"/>
  <c r="DJ178" i="198"/>
  <c r="DI178" i="198"/>
  <c r="DH178" i="198"/>
  <c r="DG178" i="198"/>
  <c r="DF178" i="198"/>
  <c r="DE178" i="198"/>
  <c r="DD178" i="198"/>
  <c r="DC178" i="198"/>
  <c r="EM177" i="198"/>
  <c r="EL177" i="198"/>
  <c r="EK177" i="198"/>
  <c r="EJ177" i="198"/>
  <c r="EI177" i="198"/>
  <c r="EH177" i="198"/>
  <c r="EG177" i="198"/>
  <c r="EF177" i="198"/>
  <c r="EE177" i="198"/>
  <c r="ED177" i="198"/>
  <c r="EC177" i="198"/>
  <c r="EB177" i="198"/>
  <c r="EA177" i="198"/>
  <c r="DZ177" i="198"/>
  <c r="DY177" i="198"/>
  <c r="DX177" i="198"/>
  <c r="DW177" i="198"/>
  <c r="DV177" i="198"/>
  <c r="DU177" i="198"/>
  <c r="DT177" i="198"/>
  <c r="DS177" i="198"/>
  <c r="DR177" i="198"/>
  <c r="DQ177" i="198"/>
  <c r="DP177" i="198"/>
  <c r="DO177" i="198"/>
  <c r="DN177" i="198"/>
  <c r="DM177" i="198"/>
  <c r="DL177" i="198"/>
  <c r="DK177" i="198"/>
  <c r="DJ177" i="198"/>
  <c r="DI177" i="198"/>
  <c r="DH177" i="198"/>
  <c r="DG177" i="198"/>
  <c r="DF177" i="198"/>
  <c r="DE177" i="198"/>
  <c r="DD177" i="198"/>
  <c r="DC177" i="198"/>
  <c r="EM176" i="198"/>
  <c r="EL176" i="198"/>
  <c r="EK176" i="198"/>
  <c r="EJ176" i="198"/>
  <c r="EI176" i="198"/>
  <c r="EH176" i="198"/>
  <c r="EG176" i="198"/>
  <c r="EF176" i="198"/>
  <c r="EE176" i="198"/>
  <c r="ED176" i="198"/>
  <c r="EC176" i="198"/>
  <c r="EB176" i="198"/>
  <c r="EA176" i="198"/>
  <c r="DZ176" i="198"/>
  <c r="DY176" i="198"/>
  <c r="DX176" i="198"/>
  <c r="DW176" i="198"/>
  <c r="DV176" i="198"/>
  <c r="DU176" i="198"/>
  <c r="DT176" i="198"/>
  <c r="DS176" i="198"/>
  <c r="DR176" i="198"/>
  <c r="DQ176" i="198"/>
  <c r="DP176" i="198"/>
  <c r="DO176" i="198"/>
  <c r="DN176" i="198"/>
  <c r="DM176" i="198"/>
  <c r="DL176" i="198"/>
  <c r="DK176" i="198"/>
  <c r="DJ176" i="198"/>
  <c r="DI176" i="198"/>
  <c r="DH176" i="198"/>
  <c r="DG176" i="198"/>
  <c r="DF176" i="198"/>
  <c r="DE176" i="198"/>
  <c r="DD176" i="198"/>
  <c r="DC176" i="198"/>
  <c r="EM175" i="198"/>
  <c r="EL175" i="198"/>
  <c r="EK175" i="198"/>
  <c r="EJ175" i="198"/>
  <c r="EI175" i="198"/>
  <c r="EH175" i="198"/>
  <c r="EG175" i="198"/>
  <c r="EF175" i="198"/>
  <c r="EE175" i="198"/>
  <c r="ED175" i="198"/>
  <c r="EC175" i="198"/>
  <c r="EB175" i="198"/>
  <c r="EA175" i="198"/>
  <c r="DZ175" i="198"/>
  <c r="DY175" i="198"/>
  <c r="DX175" i="198"/>
  <c r="DW175" i="198"/>
  <c r="DV175" i="198"/>
  <c r="DU175" i="198"/>
  <c r="DT175" i="198"/>
  <c r="DS175" i="198"/>
  <c r="DR175" i="198"/>
  <c r="DQ175" i="198"/>
  <c r="DP175" i="198"/>
  <c r="DO175" i="198"/>
  <c r="DN175" i="198"/>
  <c r="DM175" i="198"/>
  <c r="DL175" i="198"/>
  <c r="DK175" i="198"/>
  <c r="DJ175" i="198"/>
  <c r="DI175" i="198"/>
  <c r="DH175" i="198"/>
  <c r="DG175" i="198"/>
  <c r="DF175" i="198"/>
  <c r="DE175" i="198"/>
  <c r="DD175" i="198"/>
  <c r="DC175" i="198"/>
  <c r="EM174" i="198"/>
  <c r="EL174" i="198"/>
  <c r="EK174" i="198"/>
  <c r="EJ174" i="198"/>
  <c r="EI174" i="198"/>
  <c r="EH174" i="198"/>
  <c r="EG174" i="198"/>
  <c r="EF174" i="198"/>
  <c r="EE174" i="198"/>
  <c r="ED174" i="198"/>
  <c r="EC174" i="198"/>
  <c r="EB174" i="198"/>
  <c r="EA174" i="198"/>
  <c r="DZ174" i="198"/>
  <c r="DY174" i="198"/>
  <c r="DX174" i="198"/>
  <c r="DW174" i="198"/>
  <c r="DV174" i="198"/>
  <c r="DU174" i="198"/>
  <c r="DT174" i="198"/>
  <c r="DS174" i="198"/>
  <c r="DR174" i="198"/>
  <c r="DQ174" i="198"/>
  <c r="DP174" i="198"/>
  <c r="DO174" i="198"/>
  <c r="DN174" i="198"/>
  <c r="DM174" i="198"/>
  <c r="DL174" i="198"/>
  <c r="DK174" i="198"/>
  <c r="DJ174" i="198"/>
  <c r="DI174" i="198"/>
  <c r="DH174" i="198"/>
  <c r="DG174" i="198"/>
  <c r="DF174" i="198"/>
  <c r="DE174" i="198"/>
  <c r="DD174" i="198"/>
  <c r="DC174" i="198"/>
  <c r="EM173" i="198"/>
  <c r="EL173" i="198"/>
  <c r="EK173" i="198"/>
  <c r="EJ173" i="198"/>
  <c r="EI173" i="198"/>
  <c r="EH173" i="198"/>
  <c r="EG173" i="198"/>
  <c r="EF173" i="198"/>
  <c r="EE173" i="198"/>
  <c r="ED173" i="198"/>
  <c r="EC173" i="198"/>
  <c r="EB173" i="198"/>
  <c r="EA173" i="198"/>
  <c r="DZ173" i="198"/>
  <c r="DY173" i="198"/>
  <c r="DX173" i="198"/>
  <c r="DW173" i="198"/>
  <c r="DV173" i="198"/>
  <c r="DU173" i="198"/>
  <c r="DT173" i="198"/>
  <c r="DS173" i="198"/>
  <c r="DR173" i="198"/>
  <c r="DQ173" i="198"/>
  <c r="DP173" i="198"/>
  <c r="DO173" i="198"/>
  <c r="DN173" i="198"/>
  <c r="DM173" i="198"/>
  <c r="DL173" i="198"/>
  <c r="DK173" i="198"/>
  <c r="DJ173" i="198"/>
  <c r="DI173" i="198"/>
  <c r="DH173" i="198"/>
  <c r="DG173" i="198"/>
  <c r="DF173" i="198"/>
  <c r="DE173" i="198"/>
  <c r="DD173" i="198"/>
  <c r="DC173" i="198"/>
  <c r="EM172" i="198"/>
  <c r="EL172" i="198"/>
  <c r="EK172" i="198"/>
  <c r="EJ172" i="198"/>
  <c r="EI172" i="198"/>
  <c r="EH172" i="198"/>
  <c r="EG172" i="198"/>
  <c r="EF172" i="198"/>
  <c r="EE172" i="198"/>
  <c r="ED172" i="198"/>
  <c r="EC172" i="198"/>
  <c r="EB172" i="198"/>
  <c r="EA172" i="198"/>
  <c r="DZ172" i="198"/>
  <c r="DY172" i="198"/>
  <c r="DX172" i="198"/>
  <c r="DW172" i="198"/>
  <c r="DV172" i="198"/>
  <c r="DU172" i="198"/>
  <c r="DT172" i="198"/>
  <c r="DS172" i="198"/>
  <c r="DR172" i="198"/>
  <c r="DQ172" i="198"/>
  <c r="DP172" i="198"/>
  <c r="DO172" i="198"/>
  <c r="DN172" i="198"/>
  <c r="DM172" i="198"/>
  <c r="DL172" i="198"/>
  <c r="DK172" i="198"/>
  <c r="DJ172" i="198"/>
  <c r="DI172" i="198"/>
  <c r="DH172" i="198"/>
  <c r="DG172" i="198"/>
  <c r="DF172" i="198"/>
  <c r="DE172" i="198"/>
  <c r="DD172" i="198"/>
  <c r="DC172" i="198"/>
  <c r="DA179" i="198"/>
  <c r="CZ179" i="198"/>
  <c r="CY179" i="198"/>
  <c r="CX179" i="198"/>
  <c r="CW179" i="198"/>
  <c r="CV179" i="198"/>
  <c r="CU179" i="198"/>
  <c r="CT179" i="198"/>
  <c r="CS179" i="198"/>
  <c r="CR179" i="198"/>
  <c r="CQ179" i="198"/>
  <c r="CP179" i="198"/>
  <c r="CO179" i="198"/>
  <c r="CN179" i="198"/>
  <c r="CM179" i="198"/>
  <c r="CL179" i="198"/>
  <c r="CK179" i="198"/>
  <c r="CJ179" i="198"/>
  <c r="CI179" i="198"/>
  <c r="CH179" i="198"/>
  <c r="CG179" i="198"/>
  <c r="CF179" i="198"/>
  <c r="CE179" i="198"/>
  <c r="CD179" i="198"/>
  <c r="CC179" i="198"/>
  <c r="CB179" i="198"/>
  <c r="CA179" i="198"/>
  <c r="BZ179" i="198"/>
  <c r="BY179" i="198"/>
  <c r="BX179" i="198"/>
  <c r="BW179" i="198"/>
  <c r="BV179" i="198"/>
  <c r="BU179" i="198"/>
  <c r="BT179" i="198"/>
  <c r="BS179" i="198"/>
  <c r="BR179" i="198"/>
  <c r="BQ179" i="198"/>
  <c r="BP179" i="198"/>
  <c r="BO179" i="198"/>
  <c r="BN179" i="198"/>
  <c r="BM179" i="198"/>
  <c r="BL179" i="198"/>
  <c r="BK179" i="198"/>
  <c r="BJ179" i="198"/>
  <c r="BI179" i="198"/>
  <c r="BH179" i="198"/>
  <c r="BG179" i="198"/>
  <c r="BF179" i="198"/>
  <c r="BE179" i="198"/>
  <c r="BD179" i="198"/>
  <c r="BC179" i="198"/>
  <c r="BB179" i="198"/>
  <c r="BA179" i="198"/>
  <c r="AZ179" i="198"/>
  <c r="AY179" i="198"/>
  <c r="AX179" i="198"/>
  <c r="AW179" i="198"/>
  <c r="AV179" i="198"/>
  <c r="AU179" i="198"/>
  <c r="AT179" i="198"/>
  <c r="AS179" i="198"/>
  <c r="AR179" i="198"/>
  <c r="AQ179" i="198"/>
  <c r="AP179" i="198"/>
  <c r="AO179" i="198"/>
  <c r="AN179" i="198"/>
  <c r="AM179" i="198"/>
  <c r="AL179" i="198"/>
  <c r="AK179" i="198"/>
  <c r="AJ179" i="198"/>
  <c r="AI179" i="198"/>
  <c r="AH179" i="198"/>
  <c r="AG179" i="198"/>
  <c r="AF179" i="198"/>
  <c r="AE179" i="198"/>
  <c r="AD179" i="198"/>
  <c r="AC179" i="198"/>
  <c r="AB179" i="198"/>
  <c r="AA179" i="198"/>
  <c r="Z179" i="198"/>
  <c r="Y179" i="198"/>
  <c r="X179" i="198"/>
  <c r="W179" i="198"/>
  <c r="V179" i="198"/>
  <c r="U179" i="198"/>
  <c r="T179" i="198"/>
  <c r="S179" i="198"/>
  <c r="R179" i="198"/>
  <c r="Q179" i="198"/>
  <c r="P179" i="198"/>
  <c r="O179" i="198"/>
  <c r="N179" i="198"/>
  <c r="M179" i="198"/>
  <c r="L179" i="198"/>
  <c r="K179" i="198"/>
  <c r="J179" i="198"/>
  <c r="I179" i="198"/>
  <c r="H179" i="198"/>
  <c r="G179" i="198"/>
  <c r="F179" i="198"/>
  <c r="E179" i="198"/>
  <c r="D179" i="198"/>
  <c r="C179" i="198"/>
  <c r="B179" i="198"/>
  <c r="A179" i="198"/>
  <c r="DA178" i="198"/>
  <c r="CZ178" i="198"/>
  <c r="CY178" i="198"/>
  <c r="CX178" i="198"/>
  <c r="CW178" i="198"/>
  <c r="CV178" i="198"/>
  <c r="CU178" i="198"/>
  <c r="CT178" i="198"/>
  <c r="CS178" i="198"/>
  <c r="CR178" i="198"/>
  <c r="CQ178" i="198"/>
  <c r="CP178" i="198"/>
  <c r="CO178" i="198"/>
  <c r="CN178" i="198"/>
  <c r="CM178" i="198"/>
  <c r="CL178" i="198"/>
  <c r="CK178" i="198"/>
  <c r="CJ178" i="198"/>
  <c r="CI178" i="198"/>
  <c r="CH178" i="198"/>
  <c r="CG178" i="198"/>
  <c r="CF178" i="198"/>
  <c r="CE178" i="198"/>
  <c r="CD178" i="198"/>
  <c r="CC178" i="198"/>
  <c r="CB178" i="198"/>
  <c r="CA178" i="198"/>
  <c r="BZ178" i="198"/>
  <c r="BY178" i="198"/>
  <c r="BX178" i="198"/>
  <c r="BW178" i="198"/>
  <c r="BV178" i="198"/>
  <c r="BU178" i="198"/>
  <c r="BT178" i="198"/>
  <c r="BS178" i="198"/>
  <c r="BR178" i="198"/>
  <c r="BQ178" i="198"/>
  <c r="BP178" i="198"/>
  <c r="BO178" i="198"/>
  <c r="BN178" i="198"/>
  <c r="BM178" i="198"/>
  <c r="BL178" i="198"/>
  <c r="BK178" i="198"/>
  <c r="BJ178" i="198"/>
  <c r="BI178" i="198"/>
  <c r="BH178" i="198"/>
  <c r="BG178" i="198"/>
  <c r="BF178" i="198"/>
  <c r="BE178" i="198"/>
  <c r="BD178" i="198"/>
  <c r="BC178" i="198"/>
  <c r="BB178" i="198"/>
  <c r="BA178" i="198"/>
  <c r="AZ178" i="198"/>
  <c r="AY178" i="198"/>
  <c r="AX178" i="198"/>
  <c r="AW178" i="198"/>
  <c r="AV178" i="198"/>
  <c r="AU178" i="198"/>
  <c r="AT178" i="198"/>
  <c r="AS178" i="198"/>
  <c r="AR178" i="198"/>
  <c r="AQ178" i="198"/>
  <c r="AP178" i="198"/>
  <c r="AO178" i="198"/>
  <c r="AN178" i="198"/>
  <c r="AM178" i="198"/>
  <c r="AL178" i="198"/>
  <c r="AK178" i="198"/>
  <c r="AJ178" i="198"/>
  <c r="AI178" i="198"/>
  <c r="AH178" i="198"/>
  <c r="AG178" i="198"/>
  <c r="AF178" i="198"/>
  <c r="AE178" i="198"/>
  <c r="AD178" i="198"/>
  <c r="AC178" i="198"/>
  <c r="AB178" i="198"/>
  <c r="AA178" i="198"/>
  <c r="Z178" i="198"/>
  <c r="Y178" i="198"/>
  <c r="X178" i="198"/>
  <c r="W178" i="198"/>
  <c r="V178" i="198"/>
  <c r="U178" i="198"/>
  <c r="T178" i="198"/>
  <c r="S178" i="198"/>
  <c r="R178" i="198"/>
  <c r="Q178" i="198"/>
  <c r="P178" i="198"/>
  <c r="O178" i="198"/>
  <c r="N178" i="198"/>
  <c r="M178" i="198"/>
  <c r="L178" i="198"/>
  <c r="K178" i="198"/>
  <c r="J178" i="198"/>
  <c r="I178" i="198"/>
  <c r="H178" i="198"/>
  <c r="G178" i="198"/>
  <c r="F178" i="198"/>
  <c r="E178" i="198"/>
  <c r="D178" i="198"/>
  <c r="C178" i="198"/>
  <c r="B178" i="198"/>
  <c r="A178" i="198"/>
  <c r="DA177" i="198"/>
  <c r="CZ177" i="198"/>
  <c r="CY177" i="198"/>
  <c r="CX177" i="198"/>
  <c r="CW177" i="198"/>
  <c r="CV177" i="198"/>
  <c r="CU177" i="198"/>
  <c r="CT177" i="198"/>
  <c r="CS177" i="198"/>
  <c r="CR177" i="198"/>
  <c r="CQ177" i="198"/>
  <c r="CP177" i="198"/>
  <c r="CO177" i="198"/>
  <c r="CN177" i="198"/>
  <c r="CM177" i="198"/>
  <c r="CL177" i="198"/>
  <c r="CK177" i="198"/>
  <c r="CJ177" i="198"/>
  <c r="CI177" i="198"/>
  <c r="CH177" i="198"/>
  <c r="CG177" i="198"/>
  <c r="CF177" i="198"/>
  <c r="CE177" i="198"/>
  <c r="CD177" i="198"/>
  <c r="CC177" i="198"/>
  <c r="CB177" i="198"/>
  <c r="CA177" i="198"/>
  <c r="BZ177" i="198"/>
  <c r="BY177" i="198"/>
  <c r="BX177" i="198"/>
  <c r="BW177" i="198"/>
  <c r="BV177" i="198"/>
  <c r="BU177" i="198"/>
  <c r="BT177" i="198"/>
  <c r="BS177" i="198"/>
  <c r="BR177" i="198"/>
  <c r="BQ177" i="198"/>
  <c r="BP177" i="198"/>
  <c r="BO177" i="198"/>
  <c r="BN177" i="198"/>
  <c r="BM177" i="198"/>
  <c r="BL177" i="198"/>
  <c r="BK177" i="198"/>
  <c r="BJ177" i="198"/>
  <c r="BI177" i="198"/>
  <c r="BH177" i="198"/>
  <c r="BG177" i="198"/>
  <c r="BF177" i="198"/>
  <c r="BE177" i="198"/>
  <c r="BD177" i="198"/>
  <c r="BC177" i="198"/>
  <c r="BB177" i="198"/>
  <c r="BA177" i="198"/>
  <c r="AZ177" i="198"/>
  <c r="AY177" i="198"/>
  <c r="AX177" i="198"/>
  <c r="AW177" i="198"/>
  <c r="AV177" i="198"/>
  <c r="AU177" i="198"/>
  <c r="AT177" i="198"/>
  <c r="AS177" i="198"/>
  <c r="AR177" i="198"/>
  <c r="AQ177" i="198"/>
  <c r="AP177" i="198"/>
  <c r="AO177" i="198"/>
  <c r="AN177" i="198"/>
  <c r="AM177" i="198"/>
  <c r="AL177" i="198"/>
  <c r="AK177" i="198"/>
  <c r="AJ177" i="198"/>
  <c r="AI177" i="198"/>
  <c r="AH177" i="198"/>
  <c r="AG177" i="198"/>
  <c r="AF177" i="198"/>
  <c r="AE177" i="198"/>
  <c r="AD177" i="198"/>
  <c r="AC177" i="198"/>
  <c r="AB177" i="198"/>
  <c r="AA177" i="198"/>
  <c r="Z177" i="198"/>
  <c r="Y177" i="198"/>
  <c r="X177" i="198"/>
  <c r="W177" i="198"/>
  <c r="V177" i="198"/>
  <c r="U177" i="198"/>
  <c r="T177" i="198"/>
  <c r="S177" i="198"/>
  <c r="R177" i="198"/>
  <c r="Q177" i="198"/>
  <c r="P177" i="198"/>
  <c r="O177" i="198"/>
  <c r="N177" i="198"/>
  <c r="M177" i="198"/>
  <c r="L177" i="198"/>
  <c r="K177" i="198"/>
  <c r="J177" i="198"/>
  <c r="I177" i="198"/>
  <c r="H177" i="198"/>
  <c r="G177" i="198"/>
  <c r="F177" i="198"/>
  <c r="E177" i="198"/>
  <c r="D177" i="198"/>
  <c r="C177" i="198"/>
  <c r="B177" i="198"/>
  <c r="A177" i="198"/>
  <c r="DA176" i="198"/>
  <c r="CZ176" i="198"/>
  <c r="CY176" i="198"/>
  <c r="CX176" i="198"/>
  <c r="CW176" i="198"/>
  <c r="CV176" i="198"/>
  <c r="CU176" i="198"/>
  <c r="CT176" i="198"/>
  <c r="CS176" i="198"/>
  <c r="CR176" i="198"/>
  <c r="CQ176" i="198"/>
  <c r="CP176" i="198"/>
  <c r="CO176" i="198"/>
  <c r="CN176" i="198"/>
  <c r="CM176" i="198"/>
  <c r="CL176" i="198"/>
  <c r="CK176" i="198"/>
  <c r="CJ176" i="198"/>
  <c r="CI176" i="198"/>
  <c r="CH176" i="198"/>
  <c r="CG176" i="198"/>
  <c r="CF176" i="198"/>
  <c r="CE176" i="198"/>
  <c r="CD176" i="198"/>
  <c r="CC176" i="198"/>
  <c r="CB176" i="198"/>
  <c r="CA176" i="198"/>
  <c r="BZ176" i="198"/>
  <c r="BY176" i="198"/>
  <c r="BX176" i="198"/>
  <c r="BW176" i="198"/>
  <c r="BV176" i="198"/>
  <c r="BU176" i="198"/>
  <c r="BT176" i="198"/>
  <c r="BS176" i="198"/>
  <c r="BR176" i="198"/>
  <c r="BQ176" i="198"/>
  <c r="BP176" i="198"/>
  <c r="BO176" i="198"/>
  <c r="BN176" i="198"/>
  <c r="BM176" i="198"/>
  <c r="BL176" i="198"/>
  <c r="BK176" i="198"/>
  <c r="BJ176" i="198"/>
  <c r="BI176" i="198"/>
  <c r="BH176" i="198"/>
  <c r="BG176" i="198"/>
  <c r="BF176" i="198"/>
  <c r="BE176" i="198"/>
  <c r="BD176" i="198"/>
  <c r="BC176" i="198"/>
  <c r="BB176" i="198"/>
  <c r="BA176" i="198"/>
  <c r="AZ176" i="198"/>
  <c r="AY176" i="198"/>
  <c r="AX176" i="198"/>
  <c r="AW176" i="198"/>
  <c r="AV176" i="198"/>
  <c r="AU176" i="198"/>
  <c r="AT176" i="198"/>
  <c r="AS176" i="198"/>
  <c r="AR176" i="198"/>
  <c r="AQ176" i="198"/>
  <c r="AP176" i="198"/>
  <c r="AO176" i="198"/>
  <c r="AN176" i="198"/>
  <c r="AM176" i="198"/>
  <c r="AL176" i="198"/>
  <c r="AK176" i="198"/>
  <c r="AJ176" i="198"/>
  <c r="AI176" i="198"/>
  <c r="AH176" i="198"/>
  <c r="AG176" i="198"/>
  <c r="AF176" i="198"/>
  <c r="AE176" i="198"/>
  <c r="AD176" i="198"/>
  <c r="AC176" i="198"/>
  <c r="AB176" i="198"/>
  <c r="AA176" i="198"/>
  <c r="Z176" i="198"/>
  <c r="Y176" i="198"/>
  <c r="X176" i="198"/>
  <c r="W176" i="198"/>
  <c r="V176" i="198"/>
  <c r="U176" i="198"/>
  <c r="T176" i="198"/>
  <c r="S176" i="198"/>
  <c r="R176" i="198"/>
  <c r="Q176" i="198"/>
  <c r="P176" i="198"/>
  <c r="O176" i="198"/>
  <c r="N176" i="198"/>
  <c r="M176" i="198"/>
  <c r="L176" i="198"/>
  <c r="K176" i="198"/>
  <c r="J176" i="198"/>
  <c r="I176" i="198"/>
  <c r="H176" i="198"/>
  <c r="G176" i="198"/>
  <c r="F176" i="198"/>
  <c r="E176" i="198"/>
  <c r="D176" i="198"/>
  <c r="C176" i="198"/>
  <c r="B176" i="198"/>
  <c r="A176" i="198"/>
  <c r="DA175" i="198"/>
  <c r="CZ175" i="198"/>
  <c r="CY175" i="198"/>
  <c r="CX175" i="198"/>
  <c r="CW175" i="198"/>
  <c r="CV175" i="198"/>
  <c r="CU175" i="198"/>
  <c r="CT175" i="198"/>
  <c r="CS175" i="198"/>
  <c r="CR175" i="198"/>
  <c r="CQ175" i="198"/>
  <c r="CP175" i="198"/>
  <c r="CO175" i="198"/>
  <c r="CN175" i="198"/>
  <c r="CM175" i="198"/>
  <c r="CL175" i="198"/>
  <c r="CK175" i="198"/>
  <c r="CJ175" i="198"/>
  <c r="CI175" i="198"/>
  <c r="CH175" i="198"/>
  <c r="CG175" i="198"/>
  <c r="CF175" i="198"/>
  <c r="CE175" i="198"/>
  <c r="CD175" i="198"/>
  <c r="CC175" i="198"/>
  <c r="CB175" i="198"/>
  <c r="CA175" i="198"/>
  <c r="BZ175" i="198"/>
  <c r="BY175" i="198"/>
  <c r="BX175" i="198"/>
  <c r="BW175" i="198"/>
  <c r="BV175" i="198"/>
  <c r="BU175" i="198"/>
  <c r="BT175" i="198"/>
  <c r="BS175" i="198"/>
  <c r="BR175" i="198"/>
  <c r="BQ175" i="198"/>
  <c r="BP175" i="198"/>
  <c r="BO175" i="198"/>
  <c r="BN175" i="198"/>
  <c r="BM175" i="198"/>
  <c r="BL175" i="198"/>
  <c r="BK175" i="198"/>
  <c r="BJ175" i="198"/>
  <c r="BI175" i="198"/>
  <c r="BH175" i="198"/>
  <c r="BG175" i="198"/>
  <c r="BF175" i="198"/>
  <c r="BE175" i="198"/>
  <c r="BD175" i="198"/>
  <c r="BC175" i="198"/>
  <c r="BB175" i="198"/>
  <c r="BA175" i="198"/>
  <c r="AZ175" i="198"/>
  <c r="AY175" i="198"/>
  <c r="AX175" i="198"/>
  <c r="AW175" i="198"/>
  <c r="AV175" i="198"/>
  <c r="AU175" i="198"/>
  <c r="AT175" i="198"/>
  <c r="AS175" i="198"/>
  <c r="AR175" i="198"/>
  <c r="AQ175" i="198"/>
  <c r="AP175" i="198"/>
  <c r="AO175" i="198"/>
  <c r="AN175" i="198"/>
  <c r="AM175" i="198"/>
  <c r="AL175" i="198"/>
  <c r="AK175" i="198"/>
  <c r="AJ175" i="198"/>
  <c r="AI175" i="198"/>
  <c r="AH175" i="198"/>
  <c r="AG175" i="198"/>
  <c r="AF175" i="198"/>
  <c r="AE175" i="198"/>
  <c r="AD175" i="198"/>
  <c r="AC175" i="198"/>
  <c r="AB175" i="198"/>
  <c r="AA175" i="198"/>
  <c r="Z175" i="198"/>
  <c r="Y175" i="198"/>
  <c r="X175" i="198"/>
  <c r="W175" i="198"/>
  <c r="V175" i="198"/>
  <c r="U175" i="198"/>
  <c r="T175" i="198"/>
  <c r="S175" i="198"/>
  <c r="R175" i="198"/>
  <c r="Q175" i="198"/>
  <c r="P175" i="198"/>
  <c r="O175" i="198"/>
  <c r="N175" i="198"/>
  <c r="M175" i="198"/>
  <c r="L175" i="198"/>
  <c r="K175" i="198"/>
  <c r="J175" i="198"/>
  <c r="I175" i="198"/>
  <c r="H175" i="198"/>
  <c r="G175" i="198"/>
  <c r="F175" i="198"/>
  <c r="E175" i="198"/>
  <c r="D175" i="198"/>
  <c r="C175" i="198"/>
  <c r="B175" i="198"/>
  <c r="A175" i="198"/>
  <c r="DA174" i="198"/>
  <c r="CZ174" i="198"/>
  <c r="CY174" i="198"/>
  <c r="CX174" i="198"/>
  <c r="CW174" i="198"/>
  <c r="CV174" i="198"/>
  <c r="CU174" i="198"/>
  <c r="CT174" i="198"/>
  <c r="CS174" i="198"/>
  <c r="CR174" i="198"/>
  <c r="CQ174" i="198"/>
  <c r="CP174" i="198"/>
  <c r="CO174" i="198"/>
  <c r="CN174" i="198"/>
  <c r="CM174" i="198"/>
  <c r="CL174" i="198"/>
  <c r="CK174" i="198"/>
  <c r="CJ174" i="198"/>
  <c r="CI174" i="198"/>
  <c r="CH174" i="198"/>
  <c r="CG174" i="198"/>
  <c r="CF174" i="198"/>
  <c r="CE174" i="198"/>
  <c r="CD174" i="198"/>
  <c r="CC174" i="198"/>
  <c r="CB174" i="198"/>
  <c r="CA174" i="198"/>
  <c r="BZ174" i="198"/>
  <c r="BY174" i="198"/>
  <c r="BX174" i="198"/>
  <c r="BW174" i="198"/>
  <c r="BV174" i="198"/>
  <c r="BU174" i="198"/>
  <c r="BT174" i="198"/>
  <c r="BS174" i="198"/>
  <c r="BR174" i="198"/>
  <c r="BQ174" i="198"/>
  <c r="BP174" i="198"/>
  <c r="BO174" i="198"/>
  <c r="BN174" i="198"/>
  <c r="BM174" i="198"/>
  <c r="BL174" i="198"/>
  <c r="BK174" i="198"/>
  <c r="BJ174" i="198"/>
  <c r="BI174" i="198"/>
  <c r="BH174" i="198"/>
  <c r="BG174" i="198"/>
  <c r="BF174" i="198"/>
  <c r="BE174" i="198"/>
  <c r="BD174" i="198"/>
  <c r="BC174" i="198"/>
  <c r="BB174" i="198"/>
  <c r="BA174" i="198"/>
  <c r="AZ174" i="198"/>
  <c r="AY174" i="198"/>
  <c r="AX174" i="198"/>
  <c r="AW174" i="198"/>
  <c r="AV174" i="198"/>
  <c r="AU174" i="198"/>
  <c r="AT174" i="198"/>
  <c r="AS174" i="198"/>
  <c r="AR174" i="198"/>
  <c r="AQ174" i="198"/>
  <c r="AP174" i="198"/>
  <c r="AO174" i="198"/>
  <c r="AN174" i="198"/>
  <c r="AM174" i="198"/>
  <c r="AL174" i="198"/>
  <c r="AK174" i="198"/>
  <c r="AJ174" i="198"/>
  <c r="AI174" i="198"/>
  <c r="AH174" i="198"/>
  <c r="AG174" i="198"/>
  <c r="AF174" i="198"/>
  <c r="AE174" i="198"/>
  <c r="AD174" i="198"/>
  <c r="AC174" i="198"/>
  <c r="AB174" i="198"/>
  <c r="AA174" i="198"/>
  <c r="Z174" i="198"/>
  <c r="Y174" i="198"/>
  <c r="X174" i="198"/>
  <c r="W174" i="198"/>
  <c r="V174" i="198"/>
  <c r="U174" i="198"/>
  <c r="T174" i="198"/>
  <c r="S174" i="198"/>
  <c r="R174" i="198"/>
  <c r="Q174" i="198"/>
  <c r="P174" i="198"/>
  <c r="O174" i="198"/>
  <c r="N174" i="198"/>
  <c r="M174" i="198"/>
  <c r="L174" i="198"/>
  <c r="K174" i="198"/>
  <c r="J174" i="198"/>
  <c r="I174" i="198"/>
  <c r="H174" i="198"/>
  <c r="G174" i="198"/>
  <c r="F174" i="198"/>
  <c r="E174" i="198"/>
  <c r="D174" i="198"/>
  <c r="C174" i="198"/>
  <c r="B174" i="198"/>
  <c r="A174" i="198"/>
  <c r="DA173" i="198"/>
  <c r="CZ173" i="198"/>
  <c r="CY173" i="198"/>
  <c r="CX173" i="198"/>
  <c r="CW173" i="198"/>
  <c r="CV173" i="198"/>
  <c r="CU173" i="198"/>
  <c r="CT173" i="198"/>
  <c r="CS173" i="198"/>
  <c r="CR173" i="198"/>
  <c r="CQ173" i="198"/>
  <c r="CP173" i="198"/>
  <c r="CO173" i="198"/>
  <c r="CN173" i="198"/>
  <c r="CM173" i="198"/>
  <c r="CL173" i="198"/>
  <c r="CK173" i="198"/>
  <c r="CJ173" i="198"/>
  <c r="CI173" i="198"/>
  <c r="CH173" i="198"/>
  <c r="CG173" i="198"/>
  <c r="CF173" i="198"/>
  <c r="CE173" i="198"/>
  <c r="CD173" i="198"/>
  <c r="CC173" i="198"/>
  <c r="CB173" i="198"/>
  <c r="CA173" i="198"/>
  <c r="BZ173" i="198"/>
  <c r="BY173" i="198"/>
  <c r="BX173" i="198"/>
  <c r="BW173" i="198"/>
  <c r="BV173" i="198"/>
  <c r="BU173" i="198"/>
  <c r="BT173" i="198"/>
  <c r="BS173" i="198"/>
  <c r="BR173" i="198"/>
  <c r="BQ173" i="198"/>
  <c r="BP173" i="198"/>
  <c r="BO173" i="198"/>
  <c r="BN173" i="198"/>
  <c r="BM173" i="198"/>
  <c r="BL173" i="198"/>
  <c r="BK173" i="198"/>
  <c r="BJ173" i="198"/>
  <c r="BI173" i="198"/>
  <c r="BH173" i="198"/>
  <c r="BG173" i="198"/>
  <c r="BF173" i="198"/>
  <c r="BE173" i="198"/>
  <c r="BD173" i="198"/>
  <c r="BC173" i="198"/>
  <c r="BB173" i="198"/>
  <c r="BA173" i="198"/>
  <c r="AZ173" i="198"/>
  <c r="AY173" i="198"/>
  <c r="AX173" i="198"/>
  <c r="AW173" i="198"/>
  <c r="AV173" i="198"/>
  <c r="AU173" i="198"/>
  <c r="AT173" i="198"/>
  <c r="AS173" i="198"/>
  <c r="AR173" i="198"/>
  <c r="AQ173" i="198"/>
  <c r="AP173" i="198"/>
  <c r="AO173" i="198"/>
  <c r="AN173" i="198"/>
  <c r="AM173" i="198"/>
  <c r="AL173" i="198"/>
  <c r="AK173" i="198"/>
  <c r="AJ173" i="198"/>
  <c r="AI173" i="198"/>
  <c r="AH173" i="198"/>
  <c r="AG173" i="198"/>
  <c r="AF173" i="198"/>
  <c r="AE173" i="198"/>
  <c r="AD173" i="198"/>
  <c r="AC173" i="198"/>
  <c r="AB173" i="198"/>
  <c r="AA173" i="198"/>
  <c r="Z173" i="198"/>
  <c r="Y173" i="198"/>
  <c r="X173" i="198"/>
  <c r="W173" i="198"/>
  <c r="V173" i="198"/>
  <c r="U173" i="198"/>
  <c r="T173" i="198"/>
  <c r="S173" i="198"/>
  <c r="R173" i="198"/>
  <c r="Q173" i="198"/>
  <c r="P173" i="198"/>
  <c r="O173" i="198"/>
  <c r="N173" i="198"/>
  <c r="M173" i="198"/>
  <c r="L173" i="198"/>
  <c r="K173" i="198"/>
  <c r="J173" i="198"/>
  <c r="I173" i="198"/>
  <c r="H173" i="198"/>
  <c r="G173" i="198"/>
  <c r="F173" i="198"/>
  <c r="E173" i="198"/>
  <c r="D173" i="198"/>
  <c r="C173" i="198"/>
  <c r="B173" i="198"/>
  <c r="A173" i="198"/>
  <c r="DA172" i="198"/>
  <c r="CZ172" i="198"/>
  <c r="CY172" i="198"/>
  <c r="CX172" i="198"/>
  <c r="CW172" i="198"/>
  <c r="CV172" i="198"/>
  <c r="CU172" i="198"/>
  <c r="CT172" i="198"/>
  <c r="CS172" i="198"/>
  <c r="CR172" i="198"/>
  <c r="CQ172" i="198"/>
  <c r="CP172" i="198"/>
  <c r="CO172" i="198"/>
  <c r="CN172" i="198"/>
  <c r="CM172" i="198"/>
  <c r="CL172" i="198"/>
  <c r="CK172" i="198"/>
  <c r="CJ172" i="198"/>
  <c r="CI172" i="198"/>
  <c r="CH172" i="198"/>
  <c r="CG172" i="198"/>
  <c r="CF172" i="198"/>
  <c r="CE172" i="198"/>
  <c r="CD172" i="198"/>
  <c r="CC172" i="198"/>
  <c r="CB172" i="198"/>
  <c r="CA172" i="198"/>
  <c r="BZ172" i="198"/>
  <c r="BY172" i="198"/>
  <c r="BX172" i="198"/>
  <c r="BW172" i="198"/>
  <c r="BV172" i="198"/>
  <c r="BU172" i="198"/>
  <c r="BT172" i="198"/>
  <c r="BS172" i="198"/>
  <c r="BR172" i="198"/>
  <c r="BQ172" i="198"/>
  <c r="BP172" i="198"/>
  <c r="BO172" i="198"/>
  <c r="BN172" i="198"/>
  <c r="BM172" i="198"/>
  <c r="BL172" i="198"/>
  <c r="BK172" i="198"/>
  <c r="BJ172" i="198"/>
  <c r="BI172" i="198"/>
  <c r="BH172" i="198"/>
  <c r="BG172" i="198"/>
  <c r="BF172" i="198"/>
  <c r="BE172" i="198"/>
  <c r="BD172" i="198"/>
  <c r="BC172" i="198"/>
  <c r="BB172" i="198"/>
  <c r="BA172" i="198"/>
  <c r="AZ172" i="198"/>
  <c r="AY172" i="198"/>
  <c r="AX172" i="198"/>
  <c r="AW172" i="198"/>
  <c r="AV172" i="198"/>
  <c r="AU172" i="198"/>
  <c r="AT172" i="198"/>
  <c r="AS172" i="198"/>
  <c r="AR172" i="198"/>
  <c r="AQ172" i="198"/>
  <c r="AP172" i="198"/>
  <c r="AO172" i="198"/>
  <c r="AN172" i="198"/>
  <c r="AM172" i="198"/>
  <c r="AL172" i="198"/>
  <c r="AK172" i="198"/>
  <c r="AJ172" i="198"/>
  <c r="AI172" i="198"/>
  <c r="AH172" i="198"/>
  <c r="AG172" i="198"/>
  <c r="AF172" i="198"/>
  <c r="AE172" i="198"/>
  <c r="AD172" i="198"/>
  <c r="AC172" i="198"/>
  <c r="AB172" i="198"/>
  <c r="AA172" i="198"/>
  <c r="Z172" i="198"/>
  <c r="Y172" i="198"/>
  <c r="X172" i="198"/>
  <c r="W172" i="198"/>
  <c r="V172" i="198"/>
  <c r="U172" i="198"/>
  <c r="T172" i="198"/>
  <c r="S172" i="198"/>
  <c r="R172" i="198"/>
  <c r="Q172" i="198"/>
  <c r="P172" i="198"/>
  <c r="O172" i="198"/>
  <c r="N172" i="198"/>
  <c r="M172" i="198"/>
  <c r="L172" i="198"/>
  <c r="K172" i="198"/>
  <c r="J172" i="198"/>
  <c r="I172" i="198"/>
  <c r="H172" i="198"/>
  <c r="G172" i="198"/>
  <c r="F172" i="198"/>
  <c r="E172" i="198"/>
  <c r="D172" i="198"/>
  <c r="C172" i="198"/>
  <c r="B172" i="198"/>
  <c r="A172" i="198"/>
  <c r="EM169" i="198"/>
  <c r="EB169" i="198"/>
  <c r="EA169" i="198"/>
  <c r="DZ169" i="198"/>
  <c r="DY169" i="198"/>
  <c r="DX169" i="198"/>
  <c r="DW169" i="198"/>
  <c r="DV169" i="198"/>
  <c r="DU169" i="198"/>
  <c r="DT169" i="198"/>
  <c r="DS169" i="198"/>
  <c r="DR169" i="198"/>
  <c r="DQ169" i="198"/>
  <c r="DP169" i="198"/>
  <c r="DO169" i="198"/>
  <c r="DN169" i="198"/>
  <c r="DM169" i="198"/>
  <c r="DL169" i="198"/>
  <c r="DK169" i="198"/>
  <c r="DJ169" i="198"/>
  <c r="DI169" i="198"/>
  <c r="DH169" i="198"/>
  <c r="DG169" i="198"/>
  <c r="DF169" i="198"/>
  <c r="DE169" i="198"/>
  <c r="DD169" i="198"/>
  <c r="DC169" i="198"/>
  <c r="EM168" i="198"/>
  <c r="EB168" i="198"/>
  <c r="EA168" i="198"/>
  <c r="DZ168" i="198"/>
  <c r="DY168" i="198"/>
  <c r="DX168" i="198"/>
  <c r="DW168" i="198"/>
  <c r="DV168" i="198"/>
  <c r="DU168" i="198"/>
  <c r="DT168" i="198"/>
  <c r="DS168" i="198"/>
  <c r="DR168" i="198"/>
  <c r="DQ168" i="198"/>
  <c r="DP168" i="198"/>
  <c r="DO168" i="198"/>
  <c r="DN168" i="198"/>
  <c r="DM168" i="198"/>
  <c r="DL168" i="198"/>
  <c r="DK168" i="198"/>
  <c r="DJ168" i="198"/>
  <c r="DI168" i="198"/>
  <c r="DH168" i="198"/>
  <c r="DG168" i="198"/>
  <c r="DF168" i="198"/>
  <c r="DE168" i="198"/>
  <c r="DD168" i="198"/>
  <c r="DC168" i="198"/>
  <c r="EM167" i="198"/>
  <c r="EB167" i="198"/>
  <c r="EA167" i="198"/>
  <c r="DZ167" i="198"/>
  <c r="DY167" i="198"/>
  <c r="DX167" i="198"/>
  <c r="DW167" i="198"/>
  <c r="DV167" i="198"/>
  <c r="DU167" i="198"/>
  <c r="DT167" i="198"/>
  <c r="DS167" i="198"/>
  <c r="DR167" i="198"/>
  <c r="DQ167" i="198"/>
  <c r="DP167" i="198"/>
  <c r="DO167" i="198"/>
  <c r="DN167" i="198"/>
  <c r="DM167" i="198"/>
  <c r="DL167" i="198"/>
  <c r="DK167" i="198"/>
  <c r="DJ167" i="198"/>
  <c r="DI167" i="198"/>
  <c r="DH167" i="198"/>
  <c r="DG167" i="198"/>
  <c r="DF167" i="198"/>
  <c r="DE167" i="198"/>
  <c r="DD167" i="198"/>
  <c r="DC167" i="198"/>
  <c r="EM166" i="198"/>
  <c r="EB166" i="198"/>
  <c r="EA166" i="198"/>
  <c r="DZ166" i="198"/>
  <c r="DY166" i="198"/>
  <c r="DX166" i="198"/>
  <c r="DW166" i="198"/>
  <c r="DV166" i="198"/>
  <c r="DU166" i="198"/>
  <c r="DT166" i="198"/>
  <c r="DS166" i="198"/>
  <c r="DR166" i="198"/>
  <c r="DQ166" i="198"/>
  <c r="DP166" i="198"/>
  <c r="DO166" i="198"/>
  <c r="DN166" i="198"/>
  <c r="DM166" i="198"/>
  <c r="DL166" i="198"/>
  <c r="DK166" i="198"/>
  <c r="DJ166" i="198"/>
  <c r="DI166" i="198"/>
  <c r="DH166" i="198"/>
  <c r="DG166" i="198"/>
  <c r="DF166" i="198"/>
  <c r="DE166" i="198"/>
  <c r="DD166" i="198"/>
  <c r="DC166" i="198"/>
  <c r="EB165" i="198"/>
  <c r="EA165" i="198"/>
  <c r="DZ165" i="198"/>
  <c r="DY165" i="198"/>
  <c r="DX165" i="198"/>
  <c r="DW165" i="198"/>
  <c r="DV165" i="198"/>
  <c r="DU165" i="198"/>
  <c r="DT165" i="198"/>
  <c r="DS165" i="198"/>
  <c r="DR165" i="198"/>
  <c r="DQ165" i="198"/>
  <c r="DP165" i="198"/>
  <c r="DO165" i="198"/>
  <c r="DN165" i="198"/>
  <c r="DM165" i="198"/>
  <c r="DL165" i="198"/>
  <c r="DK165" i="198"/>
  <c r="DJ165" i="198"/>
  <c r="DI165" i="198"/>
  <c r="DH165" i="198"/>
  <c r="DG165" i="198"/>
  <c r="DF165" i="198"/>
  <c r="DE165" i="198"/>
  <c r="DD165" i="198"/>
  <c r="DC165" i="198"/>
  <c r="CS169" i="198"/>
  <c r="CR169" i="198"/>
  <c r="CQ169" i="198"/>
  <c r="CP169" i="198"/>
  <c r="CO169" i="198"/>
  <c r="CN169" i="198"/>
  <c r="CM169" i="198"/>
  <c r="CL169" i="198"/>
  <c r="CK169" i="198"/>
  <c r="CJ169" i="198"/>
  <c r="CI169" i="198"/>
  <c r="CH169" i="198"/>
  <c r="CG169" i="198"/>
  <c r="CF169" i="198"/>
  <c r="CE169" i="198"/>
  <c r="CD169" i="198"/>
  <c r="CC169" i="198"/>
  <c r="CB169" i="198"/>
  <c r="CA169" i="198"/>
  <c r="BZ169" i="198"/>
  <c r="BY169" i="198"/>
  <c r="BX169" i="198"/>
  <c r="BW169" i="198"/>
  <c r="BV169" i="198"/>
  <c r="BU169" i="198"/>
  <c r="BT169" i="198"/>
  <c r="BS169" i="198"/>
  <c r="BR169" i="198"/>
  <c r="BQ169" i="198"/>
  <c r="BP169" i="198"/>
  <c r="BO169" i="198"/>
  <c r="BN169" i="198"/>
  <c r="BM169" i="198"/>
  <c r="BL169" i="198"/>
  <c r="BK169" i="198"/>
  <c r="BJ169" i="198"/>
  <c r="BI169" i="198"/>
  <c r="BH169" i="198"/>
  <c r="BG169" i="198"/>
  <c r="BF169" i="198"/>
  <c r="BE169" i="198"/>
  <c r="BD169" i="198"/>
  <c r="BC169" i="198"/>
  <c r="BB169" i="198"/>
  <c r="BA169" i="198"/>
  <c r="AZ169" i="198"/>
  <c r="AY169" i="198"/>
  <c r="AX169" i="198"/>
  <c r="AW169" i="198"/>
  <c r="AV169" i="198"/>
  <c r="AU169" i="198"/>
  <c r="AT169" i="198"/>
  <c r="AS169" i="198"/>
  <c r="AR169" i="198"/>
  <c r="AQ169" i="198"/>
  <c r="AP169" i="198"/>
  <c r="AO169" i="198"/>
  <c r="AN169" i="198"/>
  <c r="AM169" i="198"/>
  <c r="AL169" i="198"/>
  <c r="AK169" i="198"/>
  <c r="AJ169" i="198"/>
  <c r="AI169" i="198"/>
  <c r="AH169" i="198"/>
  <c r="AG169" i="198"/>
  <c r="AF169" i="198"/>
  <c r="AE169" i="198"/>
  <c r="AD169" i="198"/>
  <c r="AC169" i="198"/>
  <c r="AB169" i="198"/>
  <c r="AA169" i="198"/>
  <c r="Z169" i="198"/>
  <c r="Y169" i="198"/>
  <c r="X169" i="198"/>
  <c r="W169" i="198"/>
  <c r="V169" i="198"/>
  <c r="U169" i="198"/>
  <c r="T169" i="198"/>
  <c r="S169" i="198"/>
  <c r="R169" i="198"/>
  <c r="Q169" i="198"/>
  <c r="P169" i="198"/>
  <c r="O169" i="198"/>
  <c r="N169" i="198"/>
  <c r="M169" i="198"/>
  <c r="L169" i="198"/>
  <c r="K169" i="198"/>
  <c r="J169" i="198"/>
  <c r="I169" i="198"/>
  <c r="H169" i="198"/>
  <c r="G169" i="198"/>
  <c r="F169" i="198"/>
  <c r="E169" i="198"/>
  <c r="D169" i="198"/>
  <c r="C169" i="198"/>
  <c r="B169" i="198"/>
  <c r="A169" i="198"/>
  <c r="DA168" i="198"/>
  <c r="CZ168" i="198"/>
  <c r="CY168" i="198"/>
  <c r="CX168" i="198"/>
  <c r="CW168" i="198"/>
  <c r="CV168" i="198"/>
  <c r="CU168" i="198"/>
  <c r="CT168" i="198"/>
  <c r="CS168" i="198"/>
  <c r="CR168" i="198"/>
  <c r="CQ168" i="198"/>
  <c r="CP168" i="198"/>
  <c r="CO168" i="198"/>
  <c r="CN168" i="198"/>
  <c r="CM168" i="198"/>
  <c r="CL168" i="198"/>
  <c r="CK168" i="198"/>
  <c r="CJ168" i="198"/>
  <c r="CI168" i="198"/>
  <c r="CH168" i="198"/>
  <c r="CG168" i="198"/>
  <c r="CF168" i="198"/>
  <c r="CE168" i="198"/>
  <c r="CD168" i="198"/>
  <c r="CC168" i="198"/>
  <c r="CB168" i="198"/>
  <c r="CA168" i="198"/>
  <c r="BZ168" i="198"/>
  <c r="BY168" i="198"/>
  <c r="BX168" i="198"/>
  <c r="BW168" i="198"/>
  <c r="BV168" i="198"/>
  <c r="BU168" i="198"/>
  <c r="BT168" i="198"/>
  <c r="BS168" i="198"/>
  <c r="BR168" i="198"/>
  <c r="BQ168" i="198"/>
  <c r="BP168" i="198"/>
  <c r="BO168" i="198"/>
  <c r="BN168" i="198"/>
  <c r="BM168" i="198"/>
  <c r="BL168" i="198"/>
  <c r="BK168" i="198"/>
  <c r="BJ168" i="198"/>
  <c r="BI168" i="198"/>
  <c r="BH168" i="198"/>
  <c r="BG168" i="198"/>
  <c r="BF168" i="198"/>
  <c r="BE168" i="198"/>
  <c r="BD168" i="198"/>
  <c r="BC168" i="198"/>
  <c r="BB168" i="198"/>
  <c r="BA168" i="198"/>
  <c r="AZ168" i="198"/>
  <c r="AY168" i="198"/>
  <c r="AX168" i="198"/>
  <c r="AW168" i="198"/>
  <c r="AV168" i="198"/>
  <c r="AU168" i="198"/>
  <c r="AT168" i="198"/>
  <c r="AS168" i="198"/>
  <c r="AR168" i="198"/>
  <c r="AQ168" i="198"/>
  <c r="AP168" i="198"/>
  <c r="AO168" i="198"/>
  <c r="AN168" i="198"/>
  <c r="AM168" i="198"/>
  <c r="AL168" i="198"/>
  <c r="AK168" i="198"/>
  <c r="AJ168" i="198"/>
  <c r="AI168" i="198"/>
  <c r="AH168" i="198"/>
  <c r="AG168" i="198"/>
  <c r="AF168" i="198"/>
  <c r="AE168" i="198"/>
  <c r="AD168" i="198"/>
  <c r="AC168" i="198"/>
  <c r="AB168" i="198"/>
  <c r="AA168" i="198"/>
  <c r="Z168" i="198"/>
  <c r="Y168" i="198"/>
  <c r="X168" i="198"/>
  <c r="W168" i="198"/>
  <c r="V168" i="198"/>
  <c r="U168" i="198"/>
  <c r="T168" i="198"/>
  <c r="S168" i="198"/>
  <c r="R168" i="198"/>
  <c r="Q168" i="198"/>
  <c r="P168" i="198"/>
  <c r="O168" i="198"/>
  <c r="N168" i="198"/>
  <c r="M168" i="198"/>
  <c r="L168" i="198"/>
  <c r="K168" i="198"/>
  <c r="J168" i="198"/>
  <c r="I168" i="198"/>
  <c r="H168" i="198"/>
  <c r="G168" i="198"/>
  <c r="F168" i="198"/>
  <c r="E168" i="198"/>
  <c r="D168" i="198"/>
  <c r="C168" i="198"/>
  <c r="B168" i="198"/>
  <c r="A168" i="198"/>
  <c r="DA167" i="198"/>
  <c r="CZ167" i="198"/>
  <c r="CY167" i="198"/>
  <c r="CX167" i="198"/>
  <c r="CW167" i="198"/>
  <c r="CV167" i="198"/>
  <c r="CU167" i="198"/>
  <c r="CT167" i="198"/>
  <c r="CS167" i="198"/>
  <c r="CR167" i="198"/>
  <c r="CQ167" i="198"/>
  <c r="CP167" i="198"/>
  <c r="CO167" i="198"/>
  <c r="CN167" i="198"/>
  <c r="CM167" i="198"/>
  <c r="CL167" i="198"/>
  <c r="CK167" i="198"/>
  <c r="CJ167" i="198"/>
  <c r="CI167" i="198"/>
  <c r="CH167" i="198"/>
  <c r="CG167" i="198"/>
  <c r="CF167" i="198"/>
  <c r="CE167" i="198"/>
  <c r="CD167" i="198"/>
  <c r="CC167" i="198"/>
  <c r="CB167" i="198"/>
  <c r="CA167" i="198"/>
  <c r="BZ167" i="198"/>
  <c r="BY167" i="198"/>
  <c r="BX167" i="198"/>
  <c r="BW167" i="198"/>
  <c r="BV167" i="198"/>
  <c r="BU167" i="198"/>
  <c r="BT167" i="198"/>
  <c r="BS167" i="198"/>
  <c r="BR167" i="198"/>
  <c r="BQ167" i="198"/>
  <c r="BP167" i="198"/>
  <c r="BO167" i="198"/>
  <c r="BN167" i="198"/>
  <c r="BM167" i="198"/>
  <c r="BL167" i="198"/>
  <c r="BK167" i="198"/>
  <c r="BJ167" i="198"/>
  <c r="BI167" i="198"/>
  <c r="BH167" i="198"/>
  <c r="BG167" i="198"/>
  <c r="BF167" i="198"/>
  <c r="BE167" i="198"/>
  <c r="BD167" i="198"/>
  <c r="BC167" i="198"/>
  <c r="BB167" i="198"/>
  <c r="BA167" i="198"/>
  <c r="AZ167" i="198"/>
  <c r="AY167" i="198"/>
  <c r="AX167" i="198"/>
  <c r="AW167" i="198"/>
  <c r="AV167" i="198"/>
  <c r="AU167" i="198"/>
  <c r="AT167" i="198"/>
  <c r="AS167" i="198"/>
  <c r="AR167" i="198"/>
  <c r="AQ167" i="198"/>
  <c r="AP167" i="198"/>
  <c r="AO167" i="198"/>
  <c r="AN167" i="198"/>
  <c r="AM167" i="198"/>
  <c r="AL167" i="198"/>
  <c r="AK167" i="198"/>
  <c r="AJ167" i="198"/>
  <c r="AI167" i="198"/>
  <c r="AH167" i="198"/>
  <c r="AG167" i="198"/>
  <c r="AF167" i="198"/>
  <c r="AE167" i="198"/>
  <c r="AD167" i="198"/>
  <c r="AC167" i="198"/>
  <c r="AB167" i="198"/>
  <c r="AA167" i="198"/>
  <c r="Z167" i="198"/>
  <c r="Y167" i="198"/>
  <c r="X167" i="198"/>
  <c r="W167" i="198"/>
  <c r="V167" i="198"/>
  <c r="U167" i="198"/>
  <c r="T167" i="198"/>
  <c r="S167" i="198"/>
  <c r="R167" i="198"/>
  <c r="Q167" i="198"/>
  <c r="P167" i="198"/>
  <c r="O167" i="198"/>
  <c r="N167" i="198"/>
  <c r="M167" i="198"/>
  <c r="L167" i="198"/>
  <c r="K167" i="198"/>
  <c r="J167" i="198"/>
  <c r="I167" i="198"/>
  <c r="H167" i="198"/>
  <c r="G167" i="198"/>
  <c r="F167" i="198"/>
  <c r="E167" i="198"/>
  <c r="D167" i="198"/>
  <c r="C167" i="198"/>
  <c r="B167" i="198"/>
  <c r="A167" i="198"/>
  <c r="DA166" i="198"/>
  <c r="CZ166" i="198"/>
  <c r="CY166" i="198"/>
  <c r="CX166" i="198"/>
  <c r="CW166" i="198"/>
  <c r="CV166" i="198"/>
  <c r="CU166" i="198"/>
  <c r="CT166" i="198"/>
  <c r="CS166" i="198"/>
  <c r="CR166" i="198"/>
  <c r="CQ166" i="198"/>
  <c r="CP166" i="198"/>
  <c r="CO166" i="198"/>
  <c r="CN166" i="198"/>
  <c r="CM166" i="198"/>
  <c r="CL166" i="198"/>
  <c r="CK166" i="198"/>
  <c r="CJ166" i="198"/>
  <c r="CI166" i="198"/>
  <c r="CH166" i="198"/>
  <c r="CG166" i="198"/>
  <c r="CF166" i="198"/>
  <c r="CE166" i="198"/>
  <c r="CD166" i="198"/>
  <c r="CC166" i="198"/>
  <c r="CB166" i="198"/>
  <c r="CA166" i="198"/>
  <c r="BZ166" i="198"/>
  <c r="BY166" i="198"/>
  <c r="BX166" i="198"/>
  <c r="BW166" i="198"/>
  <c r="BV166" i="198"/>
  <c r="BU166" i="198"/>
  <c r="BT166" i="198"/>
  <c r="BS166" i="198"/>
  <c r="BR166" i="198"/>
  <c r="BQ166" i="198"/>
  <c r="BP166" i="198"/>
  <c r="BO166" i="198"/>
  <c r="BN166" i="198"/>
  <c r="BM166" i="198"/>
  <c r="BL166" i="198"/>
  <c r="BK166" i="198"/>
  <c r="BJ166" i="198"/>
  <c r="BI166" i="198"/>
  <c r="BH166" i="198"/>
  <c r="BG166" i="198"/>
  <c r="BF166" i="198"/>
  <c r="BE166" i="198"/>
  <c r="BD166" i="198"/>
  <c r="BC166" i="198"/>
  <c r="BB166" i="198"/>
  <c r="BA166" i="198"/>
  <c r="AZ166" i="198"/>
  <c r="AY166" i="198"/>
  <c r="AX166" i="198"/>
  <c r="AW166" i="198"/>
  <c r="AV166" i="198"/>
  <c r="AU166" i="198"/>
  <c r="AT166" i="198"/>
  <c r="AS166" i="198"/>
  <c r="AR166" i="198"/>
  <c r="AQ166" i="198"/>
  <c r="AP166" i="198"/>
  <c r="AO166" i="198"/>
  <c r="AN166" i="198"/>
  <c r="AM166" i="198"/>
  <c r="AL166" i="198"/>
  <c r="AK166" i="198"/>
  <c r="AJ166" i="198"/>
  <c r="AI166" i="198"/>
  <c r="AH166" i="198"/>
  <c r="AG166" i="198"/>
  <c r="AF166" i="198"/>
  <c r="AE166" i="198"/>
  <c r="AD166" i="198"/>
  <c r="AC166" i="198"/>
  <c r="AB166" i="198"/>
  <c r="AA166" i="198"/>
  <c r="Z166" i="198"/>
  <c r="Y166" i="198"/>
  <c r="X166" i="198"/>
  <c r="W166" i="198"/>
  <c r="V166" i="198"/>
  <c r="U166" i="198"/>
  <c r="T166" i="198"/>
  <c r="S166" i="198"/>
  <c r="R166" i="198"/>
  <c r="Q166" i="198"/>
  <c r="P166" i="198"/>
  <c r="O166" i="198"/>
  <c r="N166" i="198"/>
  <c r="M166" i="198"/>
  <c r="L166" i="198"/>
  <c r="K166" i="198"/>
  <c r="J166" i="198"/>
  <c r="I166" i="198"/>
  <c r="H166" i="198"/>
  <c r="G166" i="198"/>
  <c r="F166" i="198"/>
  <c r="E166" i="198"/>
  <c r="D166" i="198"/>
  <c r="C166" i="198"/>
  <c r="B166" i="198"/>
  <c r="A166" i="198"/>
  <c r="CU165" i="198"/>
  <c r="CT165" i="198"/>
  <c r="CS165" i="198"/>
  <c r="CR165" i="198"/>
  <c r="CQ165" i="198"/>
  <c r="CP165" i="198"/>
  <c r="CO165" i="198"/>
  <c r="CN165" i="198"/>
  <c r="CM165" i="198"/>
  <c r="CL165" i="198"/>
  <c r="CK165" i="198"/>
  <c r="CJ165" i="198"/>
  <c r="CI165" i="198"/>
  <c r="CH165" i="198"/>
  <c r="CG165" i="198"/>
  <c r="CF165" i="198"/>
  <c r="CE165" i="198"/>
  <c r="CD165" i="198"/>
  <c r="CC165" i="198"/>
  <c r="CB165" i="198"/>
  <c r="CA165" i="198"/>
  <c r="BZ165" i="198"/>
  <c r="BY165" i="198"/>
  <c r="BX165" i="198"/>
  <c r="BW165" i="198"/>
  <c r="BV165" i="198"/>
  <c r="BU165" i="198"/>
  <c r="BT165" i="198"/>
  <c r="BS165" i="198"/>
  <c r="BR165" i="198"/>
  <c r="BQ165" i="198"/>
  <c r="BP165" i="198"/>
  <c r="BO165" i="198"/>
  <c r="BN165" i="198"/>
  <c r="BM165" i="198"/>
  <c r="BL165" i="198"/>
  <c r="BK165" i="198"/>
  <c r="BJ165" i="198"/>
  <c r="BI165" i="198"/>
  <c r="BH165" i="198"/>
  <c r="BG165" i="198"/>
  <c r="BF165" i="198"/>
  <c r="BE165" i="198"/>
  <c r="BD165" i="198"/>
  <c r="BC165" i="198"/>
  <c r="BB165" i="198"/>
  <c r="BA165" i="198"/>
  <c r="AZ165" i="198"/>
  <c r="AY165" i="198"/>
  <c r="AX165" i="198"/>
  <c r="AW165" i="198"/>
  <c r="AV165" i="198"/>
  <c r="AU165" i="198"/>
  <c r="AT165" i="198"/>
  <c r="AS165" i="198"/>
  <c r="AR165" i="198"/>
  <c r="AQ165" i="198"/>
  <c r="AP165" i="198"/>
  <c r="AO165" i="198"/>
  <c r="AN165" i="198"/>
  <c r="AM165" i="198"/>
  <c r="AL165" i="198"/>
  <c r="AK165" i="198"/>
  <c r="AJ165" i="198"/>
  <c r="AI165" i="198"/>
  <c r="AH165" i="198"/>
  <c r="AG165" i="198"/>
  <c r="AF165" i="198"/>
  <c r="AE165" i="198"/>
  <c r="AD165" i="198"/>
  <c r="AC165" i="198"/>
  <c r="AB165" i="198"/>
  <c r="AA165" i="198"/>
  <c r="Z165" i="198"/>
  <c r="Y165" i="198"/>
  <c r="X165" i="198"/>
  <c r="W165" i="198"/>
  <c r="V165" i="198"/>
  <c r="U165" i="198"/>
  <c r="T165" i="198"/>
  <c r="S165" i="198"/>
  <c r="R165" i="198"/>
  <c r="Q165" i="198"/>
  <c r="P165" i="198"/>
  <c r="O165" i="198"/>
  <c r="N165" i="198"/>
  <c r="M165" i="198"/>
  <c r="L165" i="198"/>
  <c r="K165" i="198"/>
  <c r="J165" i="198"/>
  <c r="I165" i="198"/>
  <c r="H165" i="198"/>
  <c r="G165" i="198"/>
  <c r="F165" i="198"/>
  <c r="E165" i="198"/>
  <c r="D165" i="198"/>
  <c r="C165" i="198"/>
  <c r="B165" i="198"/>
  <c r="A165" i="198"/>
  <c r="EB162" i="198"/>
  <c r="EA162" i="198"/>
  <c r="DZ162" i="198"/>
  <c r="DY162" i="198"/>
  <c r="DX162" i="198"/>
  <c r="DW162" i="198"/>
  <c r="DV162" i="198"/>
  <c r="DU162" i="198"/>
  <c r="DT162" i="198"/>
  <c r="DS162" i="198"/>
  <c r="DR162" i="198"/>
  <c r="DQ162" i="198"/>
  <c r="DP162" i="198"/>
  <c r="DO162" i="198"/>
  <c r="DN162" i="198"/>
  <c r="DM162" i="198"/>
  <c r="DL162" i="198"/>
  <c r="DK162" i="198"/>
  <c r="DJ162" i="198"/>
  <c r="DI162" i="198"/>
  <c r="DH162" i="198"/>
  <c r="DG162" i="198"/>
  <c r="DF162" i="198"/>
  <c r="DE162" i="198"/>
  <c r="DD162" i="198"/>
  <c r="DC162" i="198"/>
  <c r="EB161" i="198"/>
  <c r="EA161" i="198"/>
  <c r="DZ161" i="198"/>
  <c r="DY161" i="198"/>
  <c r="DX161" i="198"/>
  <c r="DW161" i="198"/>
  <c r="DV161" i="198"/>
  <c r="DU161" i="198"/>
  <c r="DT161" i="198"/>
  <c r="DS161" i="198"/>
  <c r="DR161" i="198"/>
  <c r="DQ161" i="198"/>
  <c r="DP161" i="198"/>
  <c r="DO161" i="198"/>
  <c r="DN161" i="198"/>
  <c r="DM161" i="198"/>
  <c r="DL161" i="198"/>
  <c r="DK161" i="198"/>
  <c r="DJ161" i="198"/>
  <c r="DI161" i="198"/>
  <c r="DH161" i="198"/>
  <c r="DG161" i="198"/>
  <c r="DF161" i="198"/>
  <c r="DE161" i="198"/>
  <c r="DD161" i="198"/>
  <c r="DC161" i="198"/>
  <c r="EM160" i="198"/>
  <c r="EL160" i="198"/>
  <c r="EK160" i="198"/>
  <c r="EJ160" i="198"/>
  <c r="EI160" i="198"/>
  <c r="EH160" i="198"/>
  <c r="EG160" i="198"/>
  <c r="EF160" i="198"/>
  <c r="EE160" i="198"/>
  <c r="ED160" i="198"/>
  <c r="EC160" i="198"/>
  <c r="EB160" i="198"/>
  <c r="EA160" i="198"/>
  <c r="DZ160" i="198"/>
  <c r="DY160" i="198"/>
  <c r="DX160" i="198"/>
  <c r="DW160" i="198"/>
  <c r="DV160" i="198"/>
  <c r="DU160" i="198"/>
  <c r="DT160" i="198"/>
  <c r="DS160" i="198"/>
  <c r="DR160" i="198"/>
  <c r="DQ160" i="198"/>
  <c r="DP160" i="198"/>
  <c r="DO160" i="198"/>
  <c r="DN160" i="198"/>
  <c r="DM160" i="198"/>
  <c r="DL160" i="198"/>
  <c r="DK160" i="198"/>
  <c r="DJ160" i="198"/>
  <c r="DI160" i="198"/>
  <c r="DH160" i="198"/>
  <c r="DG160" i="198"/>
  <c r="DF160" i="198"/>
  <c r="DE160" i="198"/>
  <c r="DD160" i="198"/>
  <c r="DC160" i="198"/>
  <c r="EB159" i="198"/>
  <c r="EA159" i="198"/>
  <c r="DZ159" i="198"/>
  <c r="DY159" i="198"/>
  <c r="DX159" i="198"/>
  <c r="DW159" i="198"/>
  <c r="DV159" i="198"/>
  <c r="DU159" i="198"/>
  <c r="DT159" i="198"/>
  <c r="DS159" i="198"/>
  <c r="DR159" i="198"/>
  <c r="DQ159" i="198"/>
  <c r="DP159" i="198"/>
  <c r="DO159" i="198"/>
  <c r="DN159" i="198"/>
  <c r="DM159" i="198"/>
  <c r="DL159" i="198"/>
  <c r="DK159" i="198"/>
  <c r="DJ159" i="198"/>
  <c r="DI159" i="198"/>
  <c r="DH159" i="198"/>
  <c r="DG159" i="198"/>
  <c r="DF159" i="198"/>
  <c r="DE159" i="198"/>
  <c r="DD159" i="198"/>
  <c r="DC159" i="198"/>
  <c r="EB158" i="198"/>
  <c r="EA158" i="198"/>
  <c r="DZ158" i="198"/>
  <c r="DY158" i="198"/>
  <c r="DX158" i="198"/>
  <c r="DW158" i="198"/>
  <c r="DV158" i="198"/>
  <c r="DU158" i="198"/>
  <c r="DT158" i="198"/>
  <c r="DS158" i="198"/>
  <c r="DR158" i="198"/>
  <c r="DQ158" i="198"/>
  <c r="DP158" i="198"/>
  <c r="DO158" i="198"/>
  <c r="DN158" i="198"/>
  <c r="DM158" i="198"/>
  <c r="DL158" i="198"/>
  <c r="DK158" i="198"/>
  <c r="DJ158" i="198"/>
  <c r="DI158" i="198"/>
  <c r="DH158" i="198"/>
  <c r="DG158" i="198"/>
  <c r="DF158" i="198"/>
  <c r="DE158" i="198"/>
  <c r="DD158" i="198"/>
  <c r="DC158" i="198"/>
  <c r="EB157" i="198"/>
  <c r="EA157" i="198"/>
  <c r="DZ157" i="198"/>
  <c r="DY157" i="198"/>
  <c r="DX157" i="198"/>
  <c r="DW157" i="198"/>
  <c r="DV157" i="198"/>
  <c r="DU157" i="198"/>
  <c r="DT157" i="198"/>
  <c r="DS157" i="198"/>
  <c r="DR157" i="198"/>
  <c r="DQ157" i="198"/>
  <c r="DP157" i="198"/>
  <c r="DO157" i="198"/>
  <c r="DN157" i="198"/>
  <c r="DM157" i="198"/>
  <c r="DL157" i="198"/>
  <c r="DK157" i="198"/>
  <c r="DJ157" i="198"/>
  <c r="DI157" i="198"/>
  <c r="DH157" i="198"/>
  <c r="DG157" i="198"/>
  <c r="DF157" i="198"/>
  <c r="DE157" i="198"/>
  <c r="DD157" i="198"/>
  <c r="DC157" i="198"/>
  <c r="EB156" i="198"/>
  <c r="EA156" i="198"/>
  <c r="DZ156" i="198"/>
  <c r="DY156" i="198"/>
  <c r="DX156" i="198"/>
  <c r="DW156" i="198"/>
  <c r="DV156" i="198"/>
  <c r="DU156" i="198"/>
  <c r="DT156" i="198"/>
  <c r="DS156" i="198"/>
  <c r="DR156" i="198"/>
  <c r="DQ156" i="198"/>
  <c r="DP156" i="198"/>
  <c r="DO156" i="198"/>
  <c r="DN156" i="198"/>
  <c r="DM156" i="198"/>
  <c r="DL156" i="198"/>
  <c r="DK156" i="198"/>
  <c r="DJ156" i="198"/>
  <c r="DI156" i="198"/>
  <c r="DH156" i="198"/>
  <c r="DG156" i="198"/>
  <c r="DF156" i="198"/>
  <c r="DE156" i="198"/>
  <c r="DD156" i="198"/>
  <c r="DC156" i="198"/>
  <c r="EM155" i="198"/>
  <c r="EL155" i="198"/>
  <c r="EK155" i="198"/>
  <c r="EJ155" i="198"/>
  <c r="EI155" i="198"/>
  <c r="EH155" i="198"/>
  <c r="EG155" i="198"/>
  <c r="EF155" i="198"/>
  <c r="EE155" i="198"/>
  <c r="ED155" i="198"/>
  <c r="EC155" i="198"/>
  <c r="EB155" i="198"/>
  <c r="EA155" i="198"/>
  <c r="DZ155" i="198"/>
  <c r="DY155" i="198"/>
  <c r="DX155" i="198"/>
  <c r="DW155" i="198"/>
  <c r="DV155" i="198"/>
  <c r="DU155" i="198"/>
  <c r="DT155" i="198"/>
  <c r="DS155" i="198"/>
  <c r="DR155" i="198"/>
  <c r="DQ155" i="198"/>
  <c r="DP155" i="198"/>
  <c r="DO155" i="198"/>
  <c r="DN155" i="198"/>
  <c r="DM155" i="198"/>
  <c r="DL155" i="198"/>
  <c r="DK155" i="198"/>
  <c r="DJ155" i="198"/>
  <c r="DI155" i="198"/>
  <c r="DH155" i="198"/>
  <c r="DG155" i="198"/>
  <c r="DF155" i="198"/>
  <c r="DE155" i="198"/>
  <c r="DD155" i="198"/>
  <c r="DC155" i="198"/>
  <c r="ED154" i="198"/>
  <c r="EC154" i="198"/>
  <c r="EB154" i="198"/>
  <c r="EA154" i="198"/>
  <c r="DZ154" i="198"/>
  <c r="DY154" i="198"/>
  <c r="DX154" i="198"/>
  <c r="DW154" i="198"/>
  <c r="DV154" i="198"/>
  <c r="DU154" i="198"/>
  <c r="DT154" i="198"/>
  <c r="DS154" i="198"/>
  <c r="DR154" i="198"/>
  <c r="DQ154" i="198"/>
  <c r="DP154" i="198"/>
  <c r="DO154" i="198"/>
  <c r="DN154" i="198"/>
  <c r="DM154" i="198"/>
  <c r="DL154" i="198"/>
  <c r="DK154" i="198"/>
  <c r="DJ154" i="198"/>
  <c r="DI154" i="198"/>
  <c r="DH154" i="198"/>
  <c r="DG154" i="198"/>
  <c r="DF154" i="198"/>
  <c r="DE154" i="198"/>
  <c r="DD154" i="198"/>
  <c r="DC154" i="198"/>
  <c r="CS162" i="198"/>
  <c r="CR162" i="198"/>
  <c r="CQ162" i="198"/>
  <c r="CP162" i="198"/>
  <c r="CO162" i="198"/>
  <c r="CN162" i="198"/>
  <c r="CM162" i="198"/>
  <c r="CL162" i="198"/>
  <c r="CK162" i="198"/>
  <c r="CJ162" i="198"/>
  <c r="CI162" i="198"/>
  <c r="CH162" i="198"/>
  <c r="CG162" i="198"/>
  <c r="CF162" i="198"/>
  <c r="CE162" i="198"/>
  <c r="CD162" i="198"/>
  <c r="CC162" i="198"/>
  <c r="CB162" i="198"/>
  <c r="CA162" i="198"/>
  <c r="BZ162" i="198"/>
  <c r="BY162" i="198"/>
  <c r="BX162" i="198"/>
  <c r="BW162" i="198"/>
  <c r="BV162" i="198"/>
  <c r="BU162" i="198"/>
  <c r="BT162" i="198"/>
  <c r="BS162" i="198"/>
  <c r="BR162" i="198"/>
  <c r="BQ162" i="198"/>
  <c r="BP162" i="198"/>
  <c r="BO162" i="198"/>
  <c r="BN162" i="198"/>
  <c r="BM162" i="198"/>
  <c r="BL162" i="198"/>
  <c r="BK162" i="198"/>
  <c r="BJ162" i="198"/>
  <c r="BI162" i="198"/>
  <c r="BH162" i="198"/>
  <c r="BG162" i="198"/>
  <c r="BF162" i="198"/>
  <c r="BE162" i="198"/>
  <c r="BD162" i="198"/>
  <c r="BC162" i="198"/>
  <c r="BB162" i="198"/>
  <c r="BA162" i="198"/>
  <c r="AZ162" i="198"/>
  <c r="AY162" i="198"/>
  <c r="AX162" i="198"/>
  <c r="AW162" i="198"/>
  <c r="AV162" i="198"/>
  <c r="AU162" i="198"/>
  <c r="AT162" i="198"/>
  <c r="AS162" i="198"/>
  <c r="AR162" i="198"/>
  <c r="AQ162" i="198"/>
  <c r="AP162" i="198"/>
  <c r="AO162" i="198"/>
  <c r="AN162" i="198"/>
  <c r="AM162" i="198"/>
  <c r="AL162" i="198"/>
  <c r="AK162" i="198"/>
  <c r="AJ162" i="198"/>
  <c r="AI162" i="198"/>
  <c r="AH162" i="198"/>
  <c r="AG162" i="198"/>
  <c r="AF162" i="198"/>
  <c r="AE162" i="198"/>
  <c r="AD162" i="198"/>
  <c r="AC162" i="198"/>
  <c r="AB162" i="198"/>
  <c r="AA162" i="198"/>
  <c r="Z162" i="198"/>
  <c r="Y162" i="198"/>
  <c r="X162" i="198"/>
  <c r="W162" i="198"/>
  <c r="V162" i="198"/>
  <c r="U162" i="198"/>
  <c r="T162" i="198"/>
  <c r="S162" i="198"/>
  <c r="R162" i="198"/>
  <c r="Q162" i="198"/>
  <c r="P162" i="198"/>
  <c r="O162" i="198"/>
  <c r="N162" i="198"/>
  <c r="M162" i="198"/>
  <c r="L162" i="198"/>
  <c r="K162" i="198"/>
  <c r="J162" i="198"/>
  <c r="I162" i="198"/>
  <c r="H162" i="198"/>
  <c r="G162" i="198"/>
  <c r="F162" i="198"/>
  <c r="E162" i="198"/>
  <c r="D162" i="198"/>
  <c r="C162" i="198"/>
  <c r="B162" i="198"/>
  <c r="A162" i="198"/>
  <c r="CS161" i="198"/>
  <c r="CR161" i="198"/>
  <c r="CQ161" i="198"/>
  <c r="CP161" i="198"/>
  <c r="CO161" i="198"/>
  <c r="CN161" i="198"/>
  <c r="CM161" i="198"/>
  <c r="CL161" i="198"/>
  <c r="CK161" i="198"/>
  <c r="CJ161" i="198"/>
  <c r="CI161" i="198"/>
  <c r="CH161" i="198"/>
  <c r="CG161" i="198"/>
  <c r="CF161" i="198"/>
  <c r="CE161" i="198"/>
  <c r="CD161" i="198"/>
  <c r="CC161" i="198"/>
  <c r="CB161" i="198"/>
  <c r="CA161" i="198"/>
  <c r="BZ161" i="198"/>
  <c r="BY161" i="198"/>
  <c r="BX161" i="198"/>
  <c r="BW161" i="198"/>
  <c r="BV161" i="198"/>
  <c r="BU161" i="198"/>
  <c r="BT161" i="198"/>
  <c r="BS161" i="198"/>
  <c r="BR161" i="198"/>
  <c r="BQ161" i="198"/>
  <c r="BP161" i="198"/>
  <c r="BO161" i="198"/>
  <c r="BN161" i="198"/>
  <c r="BM161" i="198"/>
  <c r="BL161" i="198"/>
  <c r="BK161" i="198"/>
  <c r="BJ161" i="198"/>
  <c r="BI161" i="198"/>
  <c r="BH161" i="198"/>
  <c r="BG161" i="198"/>
  <c r="BF161" i="198"/>
  <c r="BE161" i="198"/>
  <c r="BD161" i="198"/>
  <c r="BC161" i="198"/>
  <c r="BB161" i="198"/>
  <c r="BA161" i="198"/>
  <c r="AZ161" i="198"/>
  <c r="AY161" i="198"/>
  <c r="AX161" i="198"/>
  <c r="AW161" i="198"/>
  <c r="AV161" i="198"/>
  <c r="AU161" i="198"/>
  <c r="AT161" i="198"/>
  <c r="AS161" i="198"/>
  <c r="AR161" i="198"/>
  <c r="AQ161" i="198"/>
  <c r="AP161" i="198"/>
  <c r="AO161" i="198"/>
  <c r="AN161" i="198"/>
  <c r="AM161" i="198"/>
  <c r="AL161" i="198"/>
  <c r="AK161" i="198"/>
  <c r="AJ161" i="198"/>
  <c r="AI161" i="198"/>
  <c r="AH161" i="198"/>
  <c r="AG161" i="198"/>
  <c r="AF161" i="198"/>
  <c r="AE161" i="198"/>
  <c r="AD161" i="198"/>
  <c r="AC161" i="198"/>
  <c r="AB161" i="198"/>
  <c r="AA161" i="198"/>
  <c r="Z161" i="198"/>
  <c r="Y161" i="198"/>
  <c r="X161" i="198"/>
  <c r="W161" i="198"/>
  <c r="V161" i="198"/>
  <c r="U161" i="198"/>
  <c r="T161" i="198"/>
  <c r="S161" i="198"/>
  <c r="R161" i="198"/>
  <c r="Q161" i="198"/>
  <c r="P161" i="198"/>
  <c r="O161" i="198"/>
  <c r="N161" i="198"/>
  <c r="M161" i="198"/>
  <c r="L161" i="198"/>
  <c r="K161" i="198"/>
  <c r="J161" i="198"/>
  <c r="I161" i="198"/>
  <c r="H161" i="198"/>
  <c r="G161" i="198"/>
  <c r="F161" i="198"/>
  <c r="E161" i="198"/>
  <c r="D161" i="198"/>
  <c r="C161" i="198"/>
  <c r="B161" i="198"/>
  <c r="A161" i="198"/>
  <c r="DA160" i="198"/>
  <c r="CZ160" i="198"/>
  <c r="CY160" i="198"/>
  <c r="CX160" i="198"/>
  <c r="CW160" i="198"/>
  <c r="CV160" i="198"/>
  <c r="CU160" i="198"/>
  <c r="CT160" i="198"/>
  <c r="CS160" i="198"/>
  <c r="CR160" i="198"/>
  <c r="CQ160" i="198"/>
  <c r="CP160" i="198"/>
  <c r="CO160" i="198"/>
  <c r="CN160" i="198"/>
  <c r="CM160" i="198"/>
  <c r="CL160" i="198"/>
  <c r="CK160" i="198"/>
  <c r="CJ160" i="198"/>
  <c r="CI160" i="198"/>
  <c r="CH160" i="198"/>
  <c r="CG160" i="198"/>
  <c r="CF160" i="198"/>
  <c r="CE160" i="198"/>
  <c r="CD160" i="198"/>
  <c r="CC160" i="198"/>
  <c r="CB160" i="198"/>
  <c r="CA160" i="198"/>
  <c r="BZ160" i="198"/>
  <c r="BY160" i="198"/>
  <c r="BX160" i="198"/>
  <c r="BW160" i="198"/>
  <c r="BV160" i="198"/>
  <c r="BU160" i="198"/>
  <c r="BT160" i="198"/>
  <c r="BS160" i="198"/>
  <c r="BR160" i="198"/>
  <c r="BQ160" i="198"/>
  <c r="BP160" i="198"/>
  <c r="BO160" i="198"/>
  <c r="BN160" i="198"/>
  <c r="BM160" i="198"/>
  <c r="BL160" i="198"/>
  <c r="BK160" i="198"/>
  <c r="BJ160" i="198"/>
  <c r="BI160" i="198"/>
  <c r="BH160" i="198"/>
  <c r="BG160" i="198"/>
  <c r="BF160" i="198"/>
  <c r="BE160" i="198"/>
  <c r="BD160" i="198"/>
  <c r="BC160" i="198"/>
  <c r="BB160" i="198"/>
  <c r="BA160" i="198"/>
  <c r="AZ160" i="198"/>
  <c r="AY160" i="198"/>
  <c r="AX160" i="198"/>
  <c r="AW160" i="198"/>
  <c r="AV160" i="198"/>
  <c r="AU160" i="198"/>
  <c r="AT160" i="198"/>
  <c r="AS160" i="198"/>
  <c r="AR160" i="198"/>
  <c r="AQ160" i="198"/>
  <c r="AP160" i="198"/>
  <c r="AO160" i="198"/>
  <c r="AN160" i="198"/>
  <c r="AM160" i="198"/>
  <c r="AL160" i="198"/>
  <c r="AK160" i="198"/>
  <c r="AJ160" i="198"/>
  <c r="AI160" i="198"/>
  <c r="AH160" i="198"/>
  <c r="AG160" i="198"/>
  <c r="AF160" i="198"/>
  <c r="AE160" i="198"/>
  <c r="AD160" i="198"/>
  <c r="AC160" i="198"/>
  <c r="AB160" i="198"/>
  <c r="AA160" i="198"/>
  <c r="Z160" i="198"/>
  <c r="Y160" i="198"/>
  <c r="X160" i="198"/>
  <c r="W160" i="198"/>
  <c r="V160" i="198"/>
  <c r="U160" i="198"/>
  <c r="T160" i="198"/>
  <c r="S160" i="198"/>
  <c r="R160" i="198"/>
  <c r="Q160" i="198"/>
  <c r="P160" i="198"/>
  <c r="O160" i="198"/>
  <c r="N160" i="198"/>
  <c r="M160" i="198"/>
  <c r="L160" i="198"/>
  <c r="K160" i="198"/>
  <c r="J160" i="198"/>
  <c r="I160" i="198"/>
  <c r="H160" i="198"/>
  <c r="G160" i="198"/>
  <c r="F160" i="198"/>
  <c r="E160" i="198"/>
  <c r="D160" i="198"/>
  <c r="C160" i="198"/>
  <c r="B160" i="198"/>
  <c r="A160" i="198"/>
  <c r="CU159" i="198"/>
  <c r="CT159" i="198"/>
  <c r="CS159" i="198"/>
  <c r="CR159" i="198"/>
  <c r="CQ159" i="198"/>
  <c r="CP159" i="198"/>
  <c r="CO159" i="198"/>
  <c r="CN159" i="198"/>
  <c r="CM159" i="198"/>
  <c r="CL159" i="198"/>
  <c r="CK159" i="198"/>
  <c r="CJ159" i="198"/>
  <c r="CI159" i="198"/>
  <c r="CH159" i="198"/>
  <c r="CG159" i="198"/>
  <c r="CF159" i="198"/>
  <c r="CE159" i="198"/>
  <c r="CD159" i="198"/>
  <c r="CC159" i="198"/>
  <c r="CB159" i="198"/>
  <c r="CA159" i="198"/>
  <c r="BZ159" i="198"/>
  <c r="BY159" i="198"/>
  <c r="BX159" i="198"/>
  <c r="BW159" i="198"/>
  <c r="BV159" i="198"/>
  <c r="BU159" i="198"/>
  <c r="BT159" i="198"/>
  <c r="BS159" i="198"/>
  <c r="BR159" i="198"/>
  <c r="BQ159" i="198"/>
  <c r="BP159" i="198"/>
  <c r="BO159" i="198"/>
  <c r="BN159" i="198"/>
  <c r="BM159" i="198"/>
  <c r="BL159" i="198"/>
  <c r="BK159" i="198"/>
  <c r="BJ159" i="198"/>
  <c r="BI159" i="198"/>
  <c r="BH159" i="198"/>
  <c r="BG159" i="198"/>
  <c r="BF159" i="198"/>
  <c r="BE159" i="198"/>
  <c r="BD159" i="198"/>
  <c r="BC159" i="198"/>
  <c r="BB159" i="198"/>
  <c r="BA159" i="198"/>
  <c r="AZ159" i="198"/>
  <c r="AY159" i="198"/>
  <c r="AX159" i="198"/>
  <c r="AW159" i="198"/>
  <c r="AV159" i="198"/>
  <c r="AU159" i="198"/>
  <c r="AT159" i="198"/>
  <c r="AS159" i="198"/>
  <c r="AR159" i="198"/>
  <c r="AQ159" i="198"/>
  <c r="AP159" i="198"/>
  <c r="AO159" i="198"/>
  <c r="AN159" i="198"/>
  <c r="AM159" i="198"/>
  <c r="AL159" i="198"/>
  <c r="AK159" i="198"/>
  <c r="AJ159" i="198"/>
  <c r="AI159" i="198"/>
  <c r="AH159" i="198"/>
  <c r="AG159" i="198"/>
  <c r="AF159" i="198"/>
  <c r="AE159" i="198"/>
  <c r="AD159" i="198"/>
  <c r="AC159" i="198"/>
  <c r="AB159" i="198"/>
  <c r="AA159" i="198"/>
  <c r="Z159" i="198"/>
  <c r="Y159" i="198"/>
  <c r="X159" i="198"/>
  <c r="W159" i="198"/>
  <c r="V159" i="198"/>
  <c r="U159" i="198"/>
  <c r="T159" i="198"/>
  <c r="S159" i="198"/>
  <c r="R159" i="198"/>
  <c r="Q159" i="198"/>
  <c r="P159" i="198"/>
  <c r="O159" i="198"/>
  <c r="N159" i="198"/>
  <c r="M159" i="198"/>
  <c r="L159" i="198"/>
  <c r="K159" i="198"/>
  <c r="J159" i="198"/>
  <c r="I159" i="198"/>
  <c r="H159" i="198"/>
  <c r="G159" i="198"/>
  <c r="F159" i="198"/>
  <c r="E159" i="198"/>
  <c r="D159" i="198"/>
  <c r="C159" i="198"/>
  <c r="B159" i="198"/>
  <c r="A159" i="198"/>
  <c r="CS158" i="198"/>
  <c r="CR158" i="198"/>
  <c r="CQ158" i="198"/>
  <c r="CP158" i="198"/>
  <c r="CO158" i="198"/>
  <c r="CN158" i="198"/>
  <c r="CM158" i="198"/>
  <c r="CL158" i="198"/>
  <c r="CK158" i="198"/>
  <c r="CJ158" i="198"/>
  <c r="CI158" i="198"/>
  <c r="CH158" i="198"/>
  <c r="CG158" i="198"/>
  <c r="CF158" i="198"/>
  <c r="CE158" i="198"/>
  <c r="CD158" i="198"/>
  <c r="CC158" i="198"/>
  <c r="CB158" i="198"/>
  <c r="CA158" i="198"/>
  <c r="BZ158" i="198"/>
  <c r="BY158" i="198"/>
  <c r="BX158" i="198"/>
  <c r="BW158" i="198"/>
  <c r="BV158" i="198"/>
  <c r="BU158" i="198"/>
  <c r="BT158" i="198"/>
  <c r="BS158" i="198"/>
  <c r="BR158" i="198"/>
  <c r="BQ158" i="198"/>
  <c r="BP158" i="198"/>
  <c r="BO158" i="198"/>
  <c r="BN158" i="198"/>
  <c r="BM158" i="198"/>
  <c r="BL158" i="198"/>
  <c r="BK158" i="198"/>
  <c r="BJ158" i="198"/>
  <c r="BI158" i="198"/>
  <c r="BH158" i="198"/>
  <c r="BG158" i="198"/>
  <c r="BF158" i="198"/>
  <c r="BE158" i="198"/>
  <c r="BD158" i="198"/>
  <c r="BC158" i="198"/>
  <c r="BB158" i="198"/>
  <c r="BA158" i="198"/>
  <c r="AZ158" i="198"/>
  <c r="AY158" i="198"/>
  <c r="AX158" i="198"/>
  <c r="AW158" i="198"/>
  <c r="AV158" i="198"/>
  <c r="AU158" i="198"/>
  <c r="AT158" i="198"/>
  <c r="AS158" i="198"/>
  <c r="AR158" i="198"/>
  <c r="AQ158" i="198"/>
  <c r="AP158" i="198"/>
  <c r="AO158" i="198"/>
  <c r="AN158" i="198"/>
  <c r="AM158" i="198"/>
  <c r="AL158" i="198"/>
  <c r="AK158" i="198"/>
  <c r="AJ158" i="198"/>
  <c r="AI158" i="198"/>
  <c r="AH158" i="198"/>
  <c r="AG158" i="198"/>
  <c r="AF158" i="198"/>
  <c r="AE158" i="198"/>
  <c r="AD158" i="198"/>
  <c r="AC158" i="198"/>
  <c r="AB158" i="198"/>
  <c r="AA158" i="198"/>
  <c r="Z158" i="198"/>
  <c r="Y158" i="198"/>
  <c r="X158" i="198"/>
  <c r="W158" i="198"/>
  <c r="V158" i="198"/>
  <c r="U158" i="198"/>
  <c r="T158" i="198"/>
  <c r="S158" i="198"/>
  <c r="R158" i="198"/>
  <c r="Q158" i="198"/>
  <c r="P158" i="198"/>
  <c r="O158" i="198"/>
  <c r="N158" i="198"/>
  <c r="M158" i="198"/>
  <c r="L158" i="198"/>
  <c r="K158" i="198"/>
  <c r="J158" i="198"/>
  <c r="I158" i="198"/>
  <c r="H158" i="198"/>
  <c r="G158" i="198"/>
  <c r="F158" i="198"/>
  <c r="E158" i="198"/>
  <c r="D158" i="198"/>
  <c r="C158" i="198"/>
  <c r="B158" i="198"/>
  <c r="A158" i="198"/>
  <c r="CU157" i="198"/>
  <c r="CT157" i="198"/>
  <c r="CS157" i="198"/>
  <c r="CR157" i="198"/>
  <c r="CQ157" i="198"/>
  <c r="CP157" i="198"/>
  <c r="CO157" i="198"/>
  <c r="CN157" i="198"/>
  <c r="CM157" i="198"/>
  <c r="CL157" i="198"/>
  <c r="CK157" i="198"/>
  <c r="CJ157" i="198"/>
  <c r="CI157" i="198"/>
  <c r="CH157" i="198"/>
  <c r="CG157" i="198"/>
  <c r="CF157" i="198"/>
  <c r="CE157" i="198"/>
  <c r="CD157" i="198"/>
  <c r="CC157" i="198"/>
  <c r="CB157" i="198"/>
  <c r="CA157" i="198"/>
  <c r="BZ157" i="198"/>
  <c r="BY157" i="198"/>
  <c r="BX157" i="198"/>
  <c r="BW157" i="198"/>
  <c r="BV157" i="198"/>
  <c r="BU157" i="198"/>
  <c r="BT157" i="198"/>
  <c r="BS157" i="198"/>
  <c r="BR157" i="198"/>
  <c r="BQ157" i="198"/>
  <c r="BP157" i="198"/>
  <c r="BO157" i="198"/>
  <c r="BN157" i="198"/>
  <c r="BM157" i="198"/>
  <c r="BL157" i="198"/>
  <c r="BK157" i="198"/>
  <c r="BJ157" i="198"/>
  <c r="BI157" i="198"/>
  <c r="BH157" i="198"/>
  <c r="BG157" i="198"/>
  <c r="BF157" i="198"/>
  <c r="BE157" i="198"/>
  <c r="BD157" i="198"/>
  <c r="BC157" i="198"/>
  <c r="BB157" i="198"/>
  <c r="BA157" i="198"/>
  <c r="AZ157" i="198"/>
  <c r="AY157" i="198"/>
  <c r="AX157" i="198"/>
  <c r="AW157" i="198"/>
  <c r="AV157" i="198"/>
  <c r="AU157" i="198"/>
  <c r="AT157" i="198"/>
  <c r="AS157" i="198"/>
  <c r="AR157" i="198"/>
  <c r="AQ157" i="198"/>
  <c r="AP157" i="198"/>
  <c r="AO157" i="198"/>
  <c r="AN157" i="198"/>
  <c r="AM157" i="198"/>
  <c r="AL157" i="198"/>
  <c r="AK157" i="198"/>
  <c r="AJ157" i="198"/>
  <c r="AI157" i="198"/>
  <c r="AH157" i="198"/>
  <c r="AG157" i="198"/>
  <c r="AF157" i="198"/>
  <c r="AE157" i="198"/>
  <c r="AD157" i="198"/>
  <c r="AC157" i="198"/>
  <c r="AB157" i="198"/>
  <c r="AA157" i="198"/>
  <c r="Z157" i="198"/>
  <c r="Y157" i="198"/>
  <c r="X157" i="198"/>
  <c r="W157" i="198"/>
  <c r="V157" i="198"/>
  <c r="U157" i="198"/>
  <c r="T157" i="198"/>
  <c r="S157" i="198"/>
  <c r="R157" i="198"/>
  <c r="Q157" i="198"/>
  <c r="P157" i="198"/>
  <c r="O157" i="198"/>
  <c r="N157" i="198"/>
  <c r="M157" i="198"/>
  <c r="L157" i="198"/>
  <c r="K157" i="198"/>
  <c r="J157" i="198"/>
  <c r="I157" i="198"/>
  <c r="H157" i="198"/>
  <c r="G157" i="198"/>
  <c r="F157" i="198"/>
  <c r="E157" i="198"/>
  <c r="D157" i="198"/>
  <c r="C157" i="198"/>
  <c r="B157" i="198"/>
  <c r="A157" i="198"/>
  <c r="CU156" i="198"/>
  <c r="CT156" i="198"/>
  <c r="CS156" i="198"/>
  <c r="CR156" i="198"/>
  <c r="CQ156" i="198"/>
  <c r="CP156" i="198"/>
  <c r="CO156" i="198"/>
  <c r="CN156" i="198"/>
  <c r="CM156" i="198"/>
  <c r="CL156" i="198"/>
  <c r="CK156" i="198"/>
  <c r="CJ156" i="198"/>
  <c r="CI156" i="198"/>
  <c r="CH156" i="198"/>
  <c r="CG156" i="198"/>
  <c r="CF156" i="198"/>
  <c r="CE156" i="198"/>
  <c r="CD156" i="198"/>
  <c r="CC156" i="198"/>
  <c r="CB156" i="198"/>
  <c r="CA156" i="198"/>
  <c r="BZ156" i="198"/>
  <c r="BY156" i="198"/>
  <c r="BX156" i="198"/>
  <c r="BW156" i="198"/>
  <c r="BV156" i="198"/>
  <c r="BU156" i="198"/>
  <c r="BT156" i="198"/>
  <c r="BS156" i="198"/>
  <c r="BR156" i="198"/>
  <c r="BQ156" i="198"/>
  <c r="BP156" i="198"/>
  <c r="BO156" i="198"/>
  <c r="BN156" i="198"/>
  <c r="BM156" i="198"/>
  <c r="BL156" i="198"/>
  <c r="BK156" i="198"/>
  <c r="BJ156" i="198"/>
  <c r="BI156" i="198"/>
  <c r="BH156" i="198"/>
  <c r="BG156" i="198"/>
  <c r="BF156" i="198"/>
  <c r="BE156" i="198"/>
  <c r="BD156" i="198"/>
  <c r="BC156" i="198"/>
  <c r="BB156" i="198"/>
  <c r="BA156" i="198"/>
  <c r="AZ156" i="198"/>
  <c r="AY156" i="198"/>
  <c r="AX156" i="198"/>
  <c r="AW156" i="198"/>
  <c r="AV156" i="198"/>
  <c r="AU156" i="198"/>
  <c r="AT156" i="198"/>
  <c r="AS156" i="198"/>
  <c r="AR156" i="198"/>
  <c r="AQ156" i="198"/>
  <c r="AP156" i="198"/>
  <c r="AO156" i="198"/>
  <c r="AN156" i="198"/>
  <c r="AM156" i="198"/>
  <c r="AL156" i="198"/>
  <c r="AK156" i="198"/>
  <c r="AJ156" i="198"/>
  <c r="AI156" i="198"/>
  <c r="AH156" i="198"/>
  <c r="AG156" i="198"/>
  <c r="AF156" i="198"/>
  <c r="AE156" i="198"/>
  <c r="AD156" i="198"/>
  <c r="AC156" i="198"/>
  <c r="AB156" i="198"/>
  <c r="AA156" i="198"/>
  <c r="Z156" i="198"/>
  <c r="Y156" i="198"/>
  <c r="X156" i="198"/>
  <c r="W156" i="198"/>
  <c r="V156" i="198"/>
  <c r="U156" i="198"/>
  <c r="T156" i="198"/>
  <c r="S156" i="198"/>
  <c r="R156" i="198"/>
  <c r="Q156" i="198"/>
  <c r="P156" i="198"/>
  <c r="O156" i="198"/>
  <c r="N156" i="198"/>
  <c r="M156" i="198"/>
  <c r="L156" i="198"/>
  <c r="K156" i="198"/>
  <c r="J156" i="198"/>
  <c r="I156" i="198"/>
  <c r="H156" i="198"/>
  <c r="G156" i="198"/>
  <c r="F156" i="198"/>
  <c r="E156" i="198"/>
  <c r="D156" i="198"/>
  <c r="C156" i="198"/>
  <c r="B156" i="198"/>
  <c r="A156" i="198"/>
  <c r="DA155" i="198"/>
  <c r="CZ155" i="198"/>
  <c r="CY155" i="198"/>
  <c r="CX155" i="198"/>
  <c r="CW155" i="198"/>
  <c r="CV155" i="198"/>
  <c r="CU155" i="198"/>
  <c r="CT155" i="198"/>
  <c r="CS155" i="198"/>
  <c r="CR155" i="198"/>
  <c r="CQ155" i="198"/>
  <c r="CP155" i="198"/>
  <c r="CO155" i="198"/>
  <c r="CN155" i="198"/>
  <c r="CM155" i="198"/>
  <c r="CL155" i="198"/>
  <c r="CK155" i="198"/>
  <c r="CJ155" i="198"/>
  <c r="CI155" i="198"/>
  <c r="CH155" i="198"/>
  <c r="CG155" i="198"/>
  <c r="CF155" i="198"/>
  <c r="CE155" i="198"/>
  <c r="CD155" i="198"/>
  <c r="CC155" i="198"/>
  <c r="CB155" i="198"/>
  <c r="CA155" i="198"/>
  <c r="BZ155" i="198"/>
  <c r="BY155" i="198"/>
  <c r="BX155" i="198"/>
  <c r="BW155" i="198"/>
  <c r="BV155" i="198"/>
  <c r="BU155" i="198"/>
  <c r="BT155" i="198"/>
  <c r="BS155" i="198"/>
  <c r="BR155" i="198"/>
  <c r="BQ155" i="198"/>
  <c r="BP155" i="198"/>
  <c r="BO155" i="198"/>
  <c r="BN155" i="198"/>
  <c r="BM155" i="198"/>
  <c r="BL155" i="198"/>
  <c r="BK155" i="198"/>
  <c r="BJ155" i="198"/>
  <c r="BI155" i="198"/>
  <c r="BH155" i="198"/>
  <c r="BG155" i="198"/>
  <c r="BF155" i="198"/>
  <c r="BE155" i="198"/>
  <c r="BD155" i="198"/>
  <c r="BC155" i="198"/>
  <c r="BB155" i="198"/>
  <c r="BA155" i="198"/>
  <c r="AZ155" i="198"/>
  <c r="AY155" i="198"/>
  <c r="AX155" i="198"/>
  <c r="AW155" i="198"/>
  <c r="AV155" i="198"/>
  <c r="AU155" i="198"/>
  <c r="AT155" i="198"/>
  <c r="AS155" i="198"/>
  <c r="AR155" i="198"/>
  <c r="AQ155" i="198"/>
  <c r="AP155" i="198"/>
  <c r="AO155" i="198"/>
  <c r="AN155" i="198"/>
  <c r="AM155" i="198"/>
  <c r="AL155" i="198"/>
  <c r="AK155" i="198"/>
  <c r="AJ155" i="198"/>
  <c r="AI155" i="198"/>
  <c r="AH155" i="198"/>
  <c r="AG155" i="198"/>
  <c r="AF155" i="198"/>
  <c r="AE155" i="198"/>
  <c r="AD155" i="198"/>
  <c r="AC155" i="198"/>
  <c r="AB155" i="198"/>
  <c r="AA155" i="198"/>
  <c r="Z155" i="198"/>
  <c r="Y155" i="198"/>
  <c r="X155" i="198"/>
  <c r="W155" i="198"/>
  <c r="V155" i="198"/>
  <c r="U155" i="198"/>
  <c r="T155" i="198"/>
  <c r="S155" i="198"/>
  <c r="R155" i="198"/>
  <c r="Q155" i="198"/>
  <c r="P155" i="198"/>
  <c r="O155" i="198"/>
  <c r="N155" i="198"/>
  <c r="M155" i="198"/>
  <c r="L155" i="198"/>
  <c r="K155" i="198"/>
  <c r="J155" i="198"/>
  <c r="I155" i="198"/>
  <c r="H155" i="198"/>
  <c r="G155" i="198"/>
  <c r="F155" i="198"/>
  <c r="E155" i="198"/>
  <c r="D155" i="198"/>
  <c r="C155" i="198"/>
  <c r="B155" i="198"/>
  <c r="A155" i="198"/>
  <c r="CU154" i="198"/>
  <c r="CT154" i="198"/>
  <c r="CS154" i="198"/>
  <c r="CR154" i="198"/>
  <c r="CQ154" i="198"/>
  <c r="CP154" i="198"/>
  <c r="CO154" i="198"/>
  <c r="CN154" i="198"/>
  <c r="CM154" i="198"/>
  <c r="CL154" i="198"/>
  <c r="CK154" i="198"/>
  <c r="CJ154" i="198"/>
  <c r="CI154" i="198"/>
  <c r="CH154" i="198"/>
  <c r="CG154" i="198"/>
  <c r="CF154" i="198"/>
  <c r="CE154" i="198"/>
  <c r="CD154" i="198"/>
  <c r="CC154" i="198"/>
  <c r="CB154" i="198"/>
  <c r="CA154" i="198"/>
  <c r="BZ154" i="198"/>
  <c r="BY154" i="198"/>
  <c r="BX154" i="198"/>
  <c r="BW154" i="198"/>
  <c r="BV154" i="198"/>
  <c r="BU154" i="198"/>
  <c r="BT154" i="198"/>
  <c r="BS154" i="198"/>
  <c r="BR154" i="198"/>
  <c r="BQ154" i="198"/>
  <c r="BP154" i="198"/>
  <c r="BO154" i="198"/>
  <c r="BN154" i="198"/>
  <c r="BM154" i="198"/>
  <c r="BL154" i="198"/>
  <c r="BK154" i="198"/>
  <c r="BJ154" i="198"/>
  <c r="BI154" i="198"/>
  <c r="BH154" i="198"/>
  <c r="BG154" i="198"/>
  <c r="BF154" i="198"/>
  <c r="BE154" i="198"/>
  <c r="BD154" i="198"/>
  <c r="BC154" i="198"/>
  <c r="BB154" i="198"/>
  <c r="BA154" i="198"/>
  <c r="AZ154" i="198"/>
  <c r="AY154" i="198"/>
  <c r="AX154" i="198"/>
  <c r="AW154" i="198"/>
  <c r="AV154" i="198"/>
  <c r="AU154" i="198"/>
  <c r="AT154" i="198"/>
  <c r="AS154" i="198"/>
  <c r="AR154" i="198"/>
  <c r="AQ154" i="198"/>
  <c r="AP154" i="198"/>
  <c r="AO154" i="198"/>
  <c r="AN154" i="198"/>
  <c r="AM154" i="198"/>
  <c r="AL154" i="198"/>
  <c r="AK154" i="198"/>
  <c r="AJ154" i="198"/>
  <c r="AI154" i="198"/>
  <c r="AH154" i="198"/>
  <c r="AG154" i="198"/>
  <c r="AF154" i="198"/>
  <c r="AE154" i="198"/>
  <c r="AD154" i="198"/>
  <c r="AC154" i="198"/>
  <c r="AB154" i="198"/>
  <c r="AA154" i="198"/>
  <c r="Z154" i="198"/>
  <c r="Y154" i="198"/>
  <c r="X154" i="198"/>
  <c r="W154" i="198"/>
  <c r="V154" i="198"/>
  <c r="U154" i="198"/>
  <c r="T154" i="198"/>
  <c r="S154" i="198"/>
  <c r="R154" i="198"/>
  <c r="Q154" i="198"/>
  <c r="P154" i="198"/>
  <c r="O154" i="198"/>
  <c r="N154" i="198"/>
  <c r="M154" i="198"/>
  <c r="L154" i="198"/>
  <c r="K154" i="198"/>
  <c r="J154" i="198"/>
  <c r="I154" i="198"/>
  <c r="H154" i="198"/>
  <c r="G154" i="198"/>
  <c r="F154" i="198"/>
  <c r="E154" i="198"/>
  <c r="D154" i="198"/>
  <c r="C154" i="198"/>
  <c r="B154" i="198"/>
  <c r="A154" i="198"/>
  <c r="A149" i="198"/>
  <c r="EB142" i="198"/>
  <c r="EA142" i="198"/>
  <c r="DZ142" i="198"/>
  <c r="DY142" i="198"/>
  <c r="DX142" i="198"/>
  <c r="DW142" i="198"/>
  <c r="DV142" i="198"/>
  <c r="DU142" i="198"/>
  <c r="DT142" i="198"/>
  <c r="DS142" i="198"/>
  <c r="DR142" i="198"/>
  <c r="DQ142" i="198"/>
  <c r="DP142" i="198"/>
  <c r="DO142" i="198"/>
  <c r="DN142" i="198"/>
  <c r="DM142" i="198"/>
  <c r="DL142" i="198"/>
  <c r="DK142" i="198"/>
  <c r="DJ142" i="198"/>
  <c r="DI142" i="198"/>
  <c r="DH142" i="198"/>
  <c r="DG142" i="198"/>
  <c r="DF142" i="198"/>
  <c r="DE142" i="198"/>
  <c r="DD142" i="198"/>
  <c r="DC142" i="198"/>
  <c r="EB141" i="198"/>
  <c r="EA141" i="198"/>
  <c r="DZ141" i="198"/>
  <c r="DY141" i="198"/>
  <c r="DX141" i="198"/>
  <c r="DW141" i="198"/>
  <c r="DV141" i="198"/>
  <c r="DU141" i="198"/>
  <c r="DT141" i="198"/>
  <c r="DS141" i="198"/>
  <c r="DR141" i="198"/>
  <c r="DQ141" i="198"/>
  <c r="DP141" i="198"/>
  <c r="DO141" i="198"/>
  <c r="DN141" i="198"/>
  <c r="DM141" i="198"/>
  <c r="DL141" i="198"/>
  <c r="DK141" i="198"/>
  <c r="DJ141" i="198"/>
  <c r="DI141" i="198"/>
  <c r="DH141" i="198"/>
  <c r="DG141" i="198"/>
  <c r="DF141" i="198"/>
  <c r="DE141" i="198"/>
  <c r="DD141" i="198"/>
  <c r="DC141" i="198"/>
  <c r="EB140" i="198"/>
  <c r="EA140" i="198"/>
  <c r="DZ140" i="198"/>
  <c r="DY140" i="198"/>
  <c r="DX140" i="198"/>
  <c r="DW140" i="198"/>
  <c r="DV140" i="198"/>
  <c r="DU140" i="198"/>
  <c r="DT140" i="198"/>
  <c r="DS140" i="198"/>
  <c r="DR140" i="198"/>
  <c r="DQ140" i="198"/>
  <c r="DP140" i="198"/>
  <c r="DO140" i="198"/>
  <c r="DN140" i="198"/>
  <c r="DM140" i="198"/>
  <c r="DL140" i="198"/>
  <c r="DK140" i="198"/>
  <c r="DJ140" i="198"/>
  <c r="DI140" i="198"/>
  <c r="DH140" i="198"/>
  <c r="DG140" i="198"/>
  <c r="DF140" i="198"/>
  <c r="DE140" i="198"/>
  <c r="DD140" i="198"/>
  <c r="DC140" i="198"/>
  <c r="DA142" i="198"/>
  <c r="CZ142" i="198"/>
  <c r="CY142" i="198"/>
  <c r="CX142" i="198"/>
  <c r="CW142" i="198"/>
  <c r="CV142" i="198"/>
  <c r="CU142" i="198"/>
  <c r="CT142" i="198"/>
  <c r="CS142" i="198"/>
  <c r="CR142" i="198"/>
  <c r="CQ142" i="198"/>
  <c r="CP142" i="198"/>
  <c r="CO142" i="198"/>
  <c r="CN142" i="198"/>
  <c r="CM142" i="198"/>
  <c r="CL142" i="198"/>
  <c r="CK142" i="198"/>
  <c r="CJ142" i="198"/>
  <c r="CI142" i="198"/>
  <c r="CH142" i="198"/>
  <c r="CG142" i="198"/>
  <c r="CF142" i="198"/>
  <c r="CE142" i="198"/>
  <c r="CD142" i="198"/>
  <c r="CC142" i="198"/>
  <c r="CB142" i="198"/>
  <c r="CA142" i="198"/>
  <c r="BZ142" i="198"/>
  <c r="BY142" i="198"/>
  <c r="BX142" i="198"/>
  <c r="BW142" i="198"/>
  <c r="BV142" i="198"/>
  <c r="BU142" i="198"/>
  <c r="BT142" i="198"/>
  <c r="BS142" i="198"/>
  <c r="BR142" i="198"/>
  <c r="BQ142" i="198"/>
  <c r="BP142" i="198"/>
  <c r="BO142" i="198"/>
  <c r="BN142" i="198"/>
  <c r="BM142" i="198"/>
  <c r="BL142" i="198"/>
  <c r="BK142" i="198"/>
  <c r="BJ142" i="198"/>
  <c r="BI142" i="198"/>
  <c r="BH142" i="198"/>
  <c r="BG142" i="198"/>
  <c r="BF142" i="198"/>
  <c r="BE142" i="198"/>
  <c r="BD142" i="198"/>
  <c r="BC142" i="198"/>
  <c r="BB142" i="198"/>
  <c r="BA142" i="198"/>
  <c r="AZ142" i="198"/>
  <c r="AY142" i="198"/>
  <c r="AX142" i="198"/>
  <c r="AW142" i="198"/>
  <c r="AV142" i="198"/>
  <c r="AU142" i="198"/>
  <c r="AT142" i="198"/>
  <c r="AS142" i="198"/>
  <c r="AR142" i="198"/>
  <c r="AQ142" i="198"/>
  <c r="AP142" i="198"/>
  <c r="AO142" i="198"/>
  <c r="AN142" i="198"/>
  <c r="AM142" i="198"/>
  <c r="AL142" i="198"/>
  <c r="AK142" i="198"/>
  <c r="AJ142" i="198"/>
  <c r="AI142" i="198"/>
  <c r="AH142" i="198"/>
  <c r="AG142" i="198"/>
  <c r="AF142" i="198"/>
  <c r="AE142" i="198"/>
  <c r="AD142" i="198"/>
  <c r="AC142" i="198"/>
  <c r="AB142" i="198"/>
  <c r="AA142" i="198"/>
  <c r="Z142" i="198"/>
  <c r="Y142" i="198"/>
  <c r="X142" i="198"/>
  <c r="W142" i="198"/>
  <c r="V142" i="198"/>
  <c r="U142" i="198"/>
  <c r="T142" i="198"/>
  <c r="S142" i="198"/>
  <c r="R142" i="198"/>
  <c r="Q142" i="198"/>
  <c r="P142" i="198"/>
  <c r="O142" i="198"/>
  <c r="N142" i="198"/>
  <c r="M142" i="198"/>
  <c r="L142" i="198"/>
  <c r="K142" i="198"/>
  <c r="J142" i="198"/>
  <c r="I142" i="198"/>
  <c r="H142" i="198"/>
  <c r="G142" i="198"/>
  <c r="F142" i="198"/>
  <c r="E142" i="198"/>
  <c r="D142" i="198"/>
  <c r="C142" i="198"/>
  <c r="B142" i="198"/>
  <c r="A142" i="198"/>
  <c r="DA141" i="198"/>
  <c r="CZ141" i="198"/>
  <c r="CY141" i="198"/>
  <c r="CX141" i="198"/>
  <c r="CW141" i="198"/>
  <c r="CV141" i="198"/>
  <c r="CU141" i="198"/>
  <c r="CT141" i="198"/>
  <c r="CS141" i="198"/>
  <c r="CR141" i="198"/>
  <c r="CQ141" i="198"/>
  <c r="CP141" i="198"/>
  <c r="CO141" i="198"/>
  <c r="CN141" i="198"/>
  <c r="CM141" i="198"/>
  <c r="CL141" i="198"/>
  <c r="CK141" i="198"/>
  <c r="CJ141" i="198"/>
  <c r="CI141" i="198"/>
  <c r="CH141" i="198"/>
  <c r="CG141" i="198"/>
  <c r="CF141" i="198"/>
  <c r="CE141" i="198"/>
  <c r="CD141" i="198"/>
  <c r="CC141" i="198"/>
  <c r="CB141" i="198"/>
  <c r="CA141" i="198"/>
  <c r="BZ141" i="198"/>
  <c r="BY141" i="198"/>
  <c r="BX141" i="198"/>
  <c r="BW141" i="198"/>
  <c r="BV141" i="198"/>
  <c r="BU141" i="198"/>
  <c r="BT141" i="198"/>
  <c r="BS141" i="198"/>
  <c r="BR141" i="198"/>
  <c r="BQ141" i="198"/>
  <c r="BP141" i="198"/>
  <c r="BO141" i="198"/>
  <c r="BN141" i="198"/>
  <c r="BM141" i="198"/>
  <c r="BL141" i="198"/>
  <c r="BK141" i="198"/>
  <c r="BJ141" i="198"/>
  <c r="BI141" i="198"/>
  <c r="BH141" i="198"/>
  <c r="BG141" i="198"/>
  <c r="BF141" i="198"/>
  <c r="BE141" i="198"/>
  <c r="BD141" i="198"/>
  <c r="BC141" i="198"/>
  <c r="BB141" i="198"/>
  <c r="BA141" i="198"/>
  <c r="AZ141" i="198"/>
  <c r="AY141" i="198"/>
  <c r="AX141" i="198"/>
  <c r="AW141" i="198"/>
  <c r="AV141" i="198"/>
  <c r="AU141" i="198"/>
  <c r="AT141" i="198"/>
  <c r="AS141" i="198"/>
  <c r="AR141" i="198"/>
  <c r="AQ141" i="198"/>
  <c r="AP141" i="198"/>
  <c r="AO141" i="198"/>
  <c r="AN141" i="198"/>
  <c r="AM141" i="198"/>
  <c r="AL141" i="198"/>
  <c r="AK141" i="198"/>
  <c r="AJ141" i="198"/>
  <c r="AI141" i="198"/>
  <c r="AH141" i="198"/>
  <c r="AG141" i="198"/>
  <c r="AF141" i="198"/>
  <c r="AE141" i="198"/>
  <c r="AD141" i="198"/>
  <c r="AC141" i="198"/>
  <c r="AB141" i="198"/>
  <c r="AA141" i="198"/>
  <c r="Z141" i="198"/>
  <c r="Y141" i="198"/>
  <c r="X141" i="198"/>
  <c r="W141" i="198"/>
  <c r="V141" i="198"/>
  <c r="U141" i="198"/>
  <c r="T141" i="198"/>
  <c r="S141" i="198"/>
  <c r="R141" i="198"/>
  <c r="Q141" i="198"/>
  <c r="P141" i="198"/>
  <c r="O141" i="198"/>
  <c r="N141" i="198"/>
  <c r="M141" i="198"/>
  <c r="L141" i="198"/>
  <c r="K141" i="198"/>
  <c r="J141" i="198"/>
  <c r="I141" i="198"/>
  <c r="H141" i="198"/>
  <c r="G141" i="198"/>
  <c r="F141" i="198"/>
  <c r="E141" i="198"/>
  <c r="D141" i="198"/>
  <c r="C141" i="198"/>
  <c r="B141" i="198"/>
  <c r="A141" i="198"/>
  <c r="CT140" i="198"/>
  <c r="CS140" i="198"/>
  <c r="CR140" i="198"/>
  <c r="CQ140" i="198"/>
  <c r="CP140" i="198"/>
  <c r="CO140" i="198"/>
  <c r="CN140" i="198"/>
  <c r="CM140" i="198"/>
  <c r="CL140" i="198"/>
  <c r="CK140" i="198"/>
  <c r="CJ140" i="198"/>
  <c r="CI140" i="198"/>
  <c r="CH140" i="198"/>
  <c r="CG140" i="198"/>
  <c r="CF140" i="198"/>
  <c r="CE140" i="198"/>
  <c r="CD140" i="198"/>
  <c r="CC140" i="198"/>
  <c r="CB140" i="198"/>
  <c r="CA140" i="198"/>
  <c r="BZ140" i="198"/>
  <c r="BY140" i="198"/>
  <c r="BX140" i="198"/>
  <c r="BW140" i="198"/>
  <c r="BV140" i="198"/>
  <c r="BU140" i="198"/>
  <c r="BT140" i="198"/>
  <c r="BS140" i="198"/>
  <c r="BR140" i="198"/>
  <c r="BQ140" i="198"/>
  <c r="BP140" i="198"/>
  <c r="BO140" i="198"/>
  <c r="BN140" i="198"/>
  <c r="BM140" i="198"/>
  <c r="BL140" i="198"/>
  <c r="BK140" i="198"/>
  <c r="BJ140" i="198"/>
  <c r="BI140" i="198"/>
  <c r="BH140" i="198"/>
  <c r="BG140" i="198"/>
  <c r="BF140" i="198"/>
  <c r="BE140" i="198"/>
  <c r="BD140" i="198"/>
  <c r="BC140" i="198"/>
  <c r="BB140" i="198"/>
  <c r="BA140" i="198"/>
  <c r="AZ140" i="198"/>
  <c r="AY140" i="198"/>
  <c r="AX140" i="198"/>
  <c r="AW140" i="198"/>
  <c r="AV140" i="198"/>
  <c r="AU140" i="198"/>
  <c r="AT140" i="198"/>
  <c r="AS140" i="198"/>
  <c r="AR140" i="198"/>
  <c r="AQ140" i="198"/>
  <c r="AP140" i="198"/>
  <c r="AO140" i="198"/>
  <c r="AN140" i="198"/>
  <c r="AM140" i="198"/>
  <c r="AL140" i="198"/>
  <c r="AK140" i="198"/>
  <c r="AJ140" i="198"/>
  <c r="AI140" i="198"/>
  <c r="AH140" i="198"/>
  <c r="AG140" i="198"/>
  <c r="AF140" i="198"/>
  <c r="AE140" i="198"/>
  <c r="AD140" i="198"/>
  <c r="AC140" i="198"/>
  <c r="AB140" i="198"/>
  <c r="AA140" i="198"/>
  <c r="Z140" i="198"/>
  <c r="Y140" i="198"/>
  <c r="X140" i="198"/>
  <c r="W140" i="198"/>
  <c r="V140" i="198"/>
  <c r="U140" i="198"/>
  <c r="T140" i="198"/>
  <c r="S140" i="198"/>
  <c r="R140" i="198"/>
  <c r="Q140" i="198"/>
  <c r="P140" i="198"/>
  <c r="O140" i="198"/>
  <c r="N140" i="198"/>
  <c r="M140" i="198"/>
  <c r="L140" i="198"/>
  <c r="K140" i="198"/>
  <c r="J140" i="198"/>
  <c r="I140" i="198"/>
  <c r="H140" i="198"/>
  <c r="G140" i="198"/>
  <c r="F140" i="198"/>
  <c r="E140" i="198"/>
  <c r="D140" i="198"/>
  <c r="C140" i="198"/>
  <c r="B140" i="198"/>
  <c r="A140" i="198"/>
  <c r="EB137" i="198"/>
  <c r="EA137" i="198"/>
  <c r="DZ137" i="198"/>
  <c r="DY137" i="198"/>
  <c r="DX137" i="198"/>
  <c r="DW137" i="198"/>
  <c r="DV137" i="198"/>
  <c r="DU137" i="198"/>
  <c r="DT137" i="198"/>
  <c r="DS137" i="198"/>
  <c r="DR137" i="198"/>
  <c r="DQ137" i="198"/>
  <c r="DP137" i="198"/>
  <c r="DO137" i="198"/>
  <c r="DN137" i="198"/>
  <c r="DM137" i="198"/>
  <c r="DL137" i="198"/>
  <c r="DK137" i="198"/>
  <c r="DJ137" i="198"/>
  <c r="DI137" i="198"/>
  <c r="DH137" i="198"/>
  <c r="DG137" i="198"/>
  <c r="DF137" i="198"/>
  <c r="DE137" i="198"/>
  <c r="DD137" i="198"/>
  <c r="DC137" i="198"/>
  <c r="EB136" i="198"/>
  <c r="EA136" i="198"/>
  <c r="DZ136" i="198"/>
  <c r="DY136" i="198"/>
  <c r="DX136" i="198"/>
  <c r="DW136" i="198"/>
  <c r="DV136" i="198"/>
  <c r="DU136" i="198"/>
  <c r="DT136" i="198"/>
  <c r="DS136" i="198"/>
  <c r="DR136" i="198"/>
  <c r="DQ136" i="198"/>
  <c r="DP136" i="198"/>
  <c r="DO136" i="198"/>
  <c r="DN136" i="198"/>
  <c r="DM136" i="198"/>
  <c r="DL136" i="198"/>
  <c r="DK136" i="198"/>
  <c r="DJ136" i="198"/>
  <c r="DI136" i="198"/>
  <c r="DH136" i="198"/>
  <c r="DG136" i="198"/>
  <c r="DF136" i="198"/>
  <c r="DE136" i="198"/>
  <c r="DD136" i="198"/>
  <c r="DC136" i="198"/>
  <c r="EB135" i="198"/>
  <c r="EA135" i="198"/>
  <c r="DZ135" i="198"/>
  <c r="DY135" i="198"/>
  <c r="DX135" i="198"/>
  <c r="DW135" i="198"/>
  <c r="DV135" i="198"/>
  <c r="DU135" i="198"/>
  <c r="DT135" i="198"/>
  <c r="DS135" i="198"/>
  <c r="DR135" i="198"/>
  <c r="DQ135" i="198"/>
  <c r="DP135" i="198"/>
  <c r="DO135" i="198"/>
  <c r="DN135" i="198"/>
  <c r="DM135" i="198"/>
  <c r="DL135" i="198"/>
  <c r="DK135" i="198"/>
  <c r="DJ135" i="198"/>
  <c r="DI135" i="198"/>
  <c r="DH135" i="198"/>
  <c r="DG135" i="198"/>
  <c r="DF135" i="198"/>
  <c r="DE135" i="198"/>
  <c r="DD135" i="198"/>
  <c r="DC135" i="198"/>
  <c r="DA137" i="198"/>
  <c r="CZ137" i="198"/>
  <c r="CY137" i="198"/>
  <c r="CX137" i="198"/>
  <c r="CW137" i="198"/>
  <c r="CV137" i="198"/>
  <c r="CU137" i="198"/>
  <c r="CT137" i="198"/>
  <c r="CS137" i="198"/>
  <c r="CR137" i="198"/>
  <c r="CQ137" i="198"/>
  <c r="CP137" i="198"/>
  <c r="CO137" i="198"/>
  <c r="CN137" i="198"/>
  <c r="CM137" i="198"/>
  <c r="CL137" i="198"/>
  <c r="CK137" i="198"/>
  <c r="CJ137" i="198"/>
  <c r="CI137" i="198"/>
  <c r="CH137" i="198"/>
  <c r="CG137" i="198"/>
  <c r="CF137" i="198"/>
  <c r="CE137" i="198"/>
  <c r="CD137" i="198"/>
  <c r="CC137" i="198"/>
  <c r="CB137" i="198"/>
  <c r="CA137" i="198"/>
  <c r="BZ137" i="198"/>
  <c r="BY137" i="198"/>
  <c r="BX137" i="198"/>
  <c r="BW137" i="198"/>
  <c r="BV137" i="198"/>
  <c r="BU137" i="198"/>
  <c r="BT137" i="198"/>
  <c r="BS137" i="198"/>
  <c r="BR137" i="198"/>
  <c r="BQ137" i="198"/>
  <c r="BP137" i="198"/>
  <c r="BO137" i="198"/>
  <c r="BN137" i="198"/>
  <c r="BM137" i="198"/>
  <c r="BL137" i="198"/>
  <c r="BK137" i="198"/>
  <c r="BJ137" i="198"/>
  <c r="BI137" i="198"/>
  <c r="BH137" i="198"/>
  <c r="BG137" i="198"/>
  <c r="BF137" i="198"/>
  <c r="BE137" i="198"/>
  <c r="BD137" i="198"/>
  <c r="BC137" i="198"/>
  <c r="BB137" i="198"/>
  <c r="BA137" i="198"/>
  <c r="AZ137" i="198"/>
  <c r="AY137" i="198"/>
  <c r="AX137" i="198"/>
  <c r="AW137" i="198"/>
  <c r="AV137" i="198"/>
  <c r="AU137" i="198"/>
  <c r="AT137" i="198"/>
  <c r="AS137" i="198"/>
  <c r="AR137" i="198"/>
  <c r="AQ137" i="198"/>
  <c r="AP137" i="198"/>
  <c r="AO137" i="198"/>
  <c r="AN137" i="198"/>
  <c r="AM137" i="198"/>
  <c r="AL137" i="198"/>
  <c r="AK137" i="198"/>
  <c r="AJ137" i="198"/>
  <c r="AI137" i="198"/>
  <c r="AH137" i="198"/>
  <c r="AG137" i="198"/>
  <c r="AF137" i="198"/>
  <c r="AE137" i="198"/>
  <c r="AD137" i="198"/>
  <c r="AC137" i="198"/>
  <c r="AB137" i="198"/>
  <c r="AA137" i="198"/>
  <c r="Z137" i="198"/>
  <c r="Y137" i="198"/>
  <c r="X137" i="198"/>
  <c r="W137" i="198"/>
  <c r="V137" i="198"/>
  <c r="U137" i="198"/>
  <c r="T137" i="198"/>
  <c r="S137" i="198"/>
  <c r="R137" i="198"/>
  <c r="Q137" i="198"/>
  <c r="P137" i="198"/>
  <c r="O137" i="198"/>
  <c r="N137" i="198"/>
  <c r="M137" i="198"/>
  <c r="L137" i="198"/>
  <c r="K137" i="198"/>
  <c r="J137" i="198"/>
  <c r="I137" i="198"/>
  <c r="H137" i="198"/>
  <c r="G137" i="198"/>
  <c r="F137" i="198"/>
  <c r="E137" i="198"/>
  <c r="D137" i="198"/>
  <c r="C137" i="198"/>
  <c r="B137" i="198"/>
  <c r="A137" i="198"/>
  <c r="DA136" i="198"/>
  <c r="CZ136" i="198"/>
  <c r="CY136" i="198"/>
  <c r="CX136" i="198"/>
  <c r="CW136" i="198"/>
  <c r="CV136" i="198"/>
  <c r="CU136" i="198"/>
  <c r="CT136" i="198"/>
  <c r="CS136" i="198"/>
  <c r="CR136" i="198"/>
  <c r="CQ136" i="198"/>
  <c r="CP136" i="198"/>
  <c r="CO136" i="198"/>
  <c r="CN136" i="198"/>
  <c r="CM136" i="198"/>
  <c r="CL136" i="198"/>
  <c r="CK136" i="198"/>
  <c r="CJ136" i="198"/>
  <c r="CI136" i="198"/>
  <c r="CH136" i="198"/>
  <c r="CG136" i="198"/>
  <c r="CF136" i="198"/>
  <c r="CE136" i="198"/>
  <c r="CD136" i="198"/>
  <c r="CC136" i="198"/>
  <c r="CB136" i="198"/>
  <c r="CA136" i="198"/>
  <c r="BZ136" i="198"/>
  <c r="BY136" i="198"/>
  <c r="BX136" i="198"/>
  <c r="BW136" i="198"/>
  <c r="BV136" i="198"/>
  <c r="BU136" i="198"/>
  <c r="BT136" i="198"/>
  <c r="BS136" i="198"/>
  <c r="BR136" i="198"/>
  <c r="BQ136" i="198"/>
  <c r="BP136" i="198"/>
  <c r="BO136" i="198"/>
  <c r="BN136" i="198"/>
  <c r="BM136" i="198"/>
  <c r="BL136" i="198"/>
  <c r="BK136" i="198"/>
  <c r="BJ136" i="198"/>
  <c r="BI136" i="198"/>
  <c r="BH136" i="198"/>
  <c r="BG136" i="198"/>
  <c r="BF136" i="198"/>
  <c r="BE136" i="198"/>
  <c r="BD136" i="198"/>
  <c r="BC136" i="198"/>
  <c r="BB136" i="198"/>
  <c r="BA136" i="198"/>
  <c r="AZ136" i="198"/>
  <c r="AY136" i="198"/>
  <c r="AX136" i="198"/>
  <c r="AW136" i="198"/>
  <c r="AV136" i="198"/>
  <c r="AU136" i="198"/>
  <c r="AT136" i="198"/>
  <c r="AS136" i="198"/>
  <c r="AR136" i="198"/>
  <c r="AQ136" i="198"/>
  <c r="AP136" i="198"/>
  <c r="AO136" i="198"/>
  <c r="AN136" i="198"/>
  <c r="AM136" i="198"/>
  <c r="AL136" i="198"/>
  <c r="AK136" i="198"/>
  <c r="AJ136" i="198"/>
  <c r="AI136" i="198"/>
  <c r="AH136" i="198"/>
  <c r="AG136" i="198"/>
  <c r="AF136" i="198"/>
  <c r="AE136" i="198"/>
  <c r="AD136" i="198"/>
  <c r="AC136" i="198"/>
  <c r="AB136" i="198"/>
  <c r="AA136" i="198"/>
  <c r="Z136" i="198"/>
  <c r="Y136" i="198"/>
  <c r="X136" i="198"/>
  <c r="W136" i="198"/>
  <c r="V136" i="198"/>
  <c r="U136" i="198"/>
  <c r="T136" i="198"/>
  <c r="S136" i="198"/>
  <c r="R136" i="198"/>
  <c r="Q136" i="198"/>
  <c r="P136" i="198"/>
  <c r="O136" i="198"/>
  <c r="N136" i="198"/>
  <c r="M136" i="198"/>
  <c r="L136" i="198"/>
  <c r="K136" i="198"/>
  <c r="J136" i="198"/>
  <c r="I136" i="198"/>
  <c r="H136" i="198"/>
  <c r="G136" i="198"/>
  <c r="F136" i="198"/>
  <c r="E136" i="198"/>
  <c r="D136" i="198"/>
  <c r="C136" i="198"/>
  <c r="B136" i="198"/>
  <c r="A136" i="198"/>
  <c r="DA135" i="198"/>
  <c r="CZ135" i="198"/>
  <c r="CY135" i="198"/>
  <c r="CX135" i="198"/>
  <c r="CW135" i="198"/>
  <c r="CV135" i="198"/>
  <c r="CU135" i="198"/>
  <c r="CT135" i="198"/>
  <c r="CS135" i="198"/>
  <c r="CR135" i="198"/>
  <c r="CQ135" i="198"/>
  <c r="CP135" i="198"/>
  <c r="CO135" i="198"/>
  <c r="CN135" i="198"/>
  <c r="CM135" i="198"/>
  <c r="CL135" i="198"/>
  <c r="CK135" i="198"/>
  <c r="CJ135" i="198"/>
  <c r="CI135" i="198"/>
  <c r="CH135" i="198"/>
  <c r="CG135" i="198"/>
  <c r="CF135" i="198"/>
  <c r="CE135" i="198"/>
  <c r="CD135" i="198"/>
  <c r="CC135" i="198"/>
  <c r="CB135" i="198"/>
  <c r="CA135" i="198"/>
  <c r="BZ135" i="198"/>
  <c r="BY135" i="198"/>
  <c r="BX135" i="198"/>
  <c r="BW135" i="198"/>
  <c r="BV135" i="198"/>
  <c r="BU135" i="198"/>
  <c r="BT135" i="198"/>
  <c r="BS135" i="198"/>
  <c r="BR135" i="198"/>
  <c r="BQ135" i="198"/>
  <c r="BP135" i="198"/>
  <c r="BO135" i="198"/>
  <c r="BN135" i="198"/>
  <c r="BM135" i="198"/>
  <c r="BL135" i="198"/>
  <c r="BK135" i="198"/>
  <c r="BJ135" i="198"/>
  <c r="BI135" i="198"/>
  <c r="BH135" i="198"/>
  <c r="BG135" i="198"/>
  <c r="BF135" i="198"/>
  <c r="BE135" i="198"/>
  <c r="BD135" i="198"/>
  <c r="BC135" i="198"/>
  <c r="BB135" i="198"/>
  <c r="BA135" i="198"/>
  <c r="AZ135" i="198"/>
  <c r="AY135" i="198"/>
  <c r="AX135" i="198"/>
  <c r="AW135" i="198"/>
  <c r="AV135" i="198"/>
  <c r="AU135" i="198"/>
  <c r="AT135" i="198"/>
  <c r="AS135" i="198"/>
  <c r="AR135" i="198"/>
  <c r="AQ135" i="198"/>
  <c r="AP135" i="198"/>
  <c r="AO135" i="198"/>
  <c r="AN135" i="198"/>
  <c r="AM135" i="198"/>
  <c r="AL135" i="198"/>
  <c r="AK135" i="198"/>
  <c r="AJ135" i="198"/>
  <c r="AI135" i="198"/>
  <c r="AH135" i="198"/>
  <c r="AG135" i="198"/>
  <c r="AF135" i="198"/>
  <c r="AE135" i="198"/>
  <c r="AD135" i="198"/>
  <c r="AC135" i="198"/>
  <c r="AB135" i="198"/>
  <c r="AA135" i="198"/>
  <c r="Z135" i="198"/>
  <c r="Y135" i="198"/>
  <c r="X135" i="198"/>
  <c r="W135" i="198"/>
  <c r="V135" i="198"/>
  <c r="U135" i="198"/>
  <c r="T135" i="198"/>
  <c r="S135" i="198"/>
  <c r="R135" i="198"/>
  <c r="Q135" i="198"/>
  <c r="P135" i="198"/>
  <c r="O135" i="198"/>
  <c r="N135" i="198"/>
  <c r="M135" i="198"/>
  <c r="L135" i="198"/>
  <c r="K135" i="198"/>
  <c r="J135" i="198"/>
  <c r="I135" i="198"/>
  <c r="H135" i="198"/>
  <c r="G135" i="198"/>
  <c r="F135" i="198"/>
  <c r="E135" i="198"/>
  <c r="D135" i="198"/>
  <c r="C135" i="198"/>
  <c r="B135" i="198"/>
  <c r="A135" i="198"/>
  <c r="EB132" i="198"/>
  <c r="EA132" i="198"/>
  <c r="DZ132" i="198"/>
  <c r="DY132" i="198"/>
  <c r="DX132" i="198"/>
  <c r="DW132" i="198"/>
  <c r="DV132" i="198"/>
  <c r="DU132" i="198"/>
  <c r="DT132" i="198"/>
  <c r="DS132" i="198"/>
  <c r="DR132" i="198"/>
  <c r="DQ132" i="198"/>
  <c r="DP132" i="198"/>
  <c r="DO132" i="198"/>
  <c r="DN132" i="198"/>
  <c r="DM132" i="198"/>
  <c r="DL132" i="198"/>
  <c r="DK132" i="198"/>
  <c r="DJ132" i="198"/>
  <c r="DI132" i="198"/>
  <c r="DH132" i="198"/>
  <c r="DG132" i="198"/>
  <c r="DF132" i="198"/>
  <c r="DE132" i="198"/>
  <c r="DD132" i="198"/>
  <c r="DC132" i="198"/>
  <c r="DA132" i="198"/>
  <c r="CZ132" i="198"/>
  <c r="CY132" i="198"/>
  <c r="CX132" i="198"/>
  <c r="CW132" i="198"/>
  <c r="CV132" i="198"/>
  <c r="CU132" i="198"/>
  <c r="CT132" i="198"/>
  <c r="CS132" i="198"/>
  <c r="CR132" i="198"/>
  <c r="CQ132" i="198"/>
  <c r="CP132" i="198"/>
  <c r="CO132" i="198"/>
  <c r="CN132" i="198"/>
  <c r="CM132" i="198"/>
  <c r="CL132" i="198"/>
  <c r="CK132" i="198"/>
  <c r="CJ132" i="198"/>
  <c r="CI132" i="198"/>
  <c r="CH132" i="198"/>
  <c r="CG132" i="198"/>
  <c r="CF132" i="198"/>
  <c r="CE132" i="198"/>
  <c r="CD132" i="198"/>
  <c r="CC132" i="198"/>
  <c r="CB132" i="198"/>
  <c r="CA132" i="198"/>
  <c r="BZ132" i="198"/>
  <c r="BY132" i="198"/>
  <c r="BX132" i="198"/>
  <c r="BW132" i="198"/>
  <c r="BV132" i="198"/>
  <c r="BU132" i="198"/>
  <c r="BT132" i="198"/>
  <c r="BS132" i="198"/>
  <c r="BR132" i="198"/>
  <c r="BQ132" i="198"/>
  <c r="BP132" i="198"/>
  <c r="BO132" i="198"/>
  <c r="BN132" i="198"/>
  <c r="BM132" i="198"/>
  <c r="BL132" i="198"/>
  <c r="BK132" i="198"/>
  <c r="BJ132" i="198"/>
  <c r="BI132" i="198"/>
  <c r="BH132" i="198"/>
  <c r="BG132" i="198"/>
  <c r="BF132" i="198"/>
  <c r="BE132" i="198"/>
  <c r="BD132" i="198"/>
  <c r="BC132" i="198"/>
  <c r="BB132" i="198"/>
  <c r="BA132" i="198"/>
  <c r="AZ132" i="198"/>
  <c r="AY132" i="198"/>
  <c r="AX132" i="198"/>
  <c r="AW132" i="198"/>
  <c r="AV132" i="198"/>
  <c r="AU132" i="198"/>
  <c r="AT132" i="198"/>
  <c r="AS132" i="198"/>
  <c r="AR132" i="198"/>
  <c r="AQ132" i="198"/>
  <c r="AP132" i="198"/>
  <c r="AO132" i="198"/>
  <c r="AN132" i="198"/>
  <c r="AM132" i="198"/>
  <c r="AL132" i="198"/>
  <c r="AK132" i="198"/>
  <c r="AJ132" i="198"/>
  <c r="AI132" i="198"/>
  <c r="AH132" i="198"/>
  <c r="AG132" i="198"/>
  <c r="AF132" i="198"/>
  <c r="AE132" i="198"/>
  <c r="AD132" i="198"/>
  <c r="AC132" i="198"/>
  <c r="AB132" i="198"/>
  <c r="AA132" i="198"/>
  <c r="Z132" i="198"/>
  <c r="Y132" i="198"/>
  <c r="X132" i="198"/>
  <c r="W132" i="198"/>
  <c r="V132" i="198"/>
  <c r="U132" i="198"/>
  <c r="T132" i="198"/>
  <c r="S132" i="198"/>
  <c r="R132" i="198"/>
  <c r="Q132" i="198"/>
  <c r="P132" i="198"/>
  <c r="O132" i="198"/>
  <c r="N132" i="198"/>
  <c r="M132" i="198"/>
  <c r="L132" i="198"/>
  <c r="K132" i="198"/>
  <c r="J132" i="198"/>
  <c r="I132" i="198"/>
  <c r="H132" i="198"/>
  <c r="G132" i="198"/>
  <c r="F132" i="198"/>
  <c r="E132" i="198"/>
  <c r="D132" i="198"/>
  <c r="C132" i="198"/>
  <c r="B132" i="198"/>
  <c r="A132" i="198"/>
  <c r="EB129" i="198"/>
  <c r="EA129" i="198"/>
  <c r="DZ129" i="198"/>
  <c r="DY129" i="198"/>
  <c r="DX129" i="198"/>
  <c r="DW129" i="198"/>
  <c r="DV129" i="198"/>
  <c r="DU129" i="198"/>
  <c r="DT129" i="198"/>
  <c r="DS129" i="198"/>
  <c r="DR129" i="198"/>
  <c r="DQ129" i="198"/>
  <c r="DP129" i="198"/>
  <c r="DO129" i="198"/>
  <c r="DN129" i="198"/>
  <c r="DM129" i="198"/>
  <c r="DL129" i="198"/>
  <c r="DK129" i="198"/>
  <c r="DJ129" i="198"/>
  <c r="DI129" i="198"/>
  <c r="DH129" i="198"/>
  <c r="DG129" i="198"/>
  <c r="DF129" i="198"/>
  <c r="DE129" i="198"/>
  <c r="DD129" i="198"/>
  <c r="DC129" i="198"/>
  <c r="CS129" i="198"/>
  <c r="CR129" i="198"/>
  <c r="CQ129" i="198"/>
  <c r="CP129" i="198"/>
  <c r="CO129" i="198"/>
  <c r="CN129" i="198"/>
  <c r="CM129" i="198"/>
  <c r="CL129" i="198"/>
  <c r="CK129" i="198"/>
  <c r="CJ129" i="198"/>
  <c r="CI129" i="198"/>
  <c r="CH129" i="198"/>
  <c r="CG129" i="198"/>
  <c r="CF129" i="198"/>
  <c r="CE129" i="198"/>
  <c r="CD129" i="198"/>
  <c r="CC129" i="198"/>
  <c r="CB129" i="198"/>
  <c r="CA129" i="198"/>
  <c r="BZ129" i="198"/>
  <c r="BY129" i="198"/>
  <c r="BX129" i="198"/>
  <c r="BW129" i="198"/>
  <c r="BV129" i="198"/>
  <c r="BU129" i="198"/>
  <c r="BT129" i="198"/>
  <c r="BS129" i="198"/>
  <c r="BR129" i="198"/>
  <c r="BQ129" i="198"/>
  <c r="BP129" i="198"/>
  <c r="BO129" i="198"/>
  <c r="BN129" i="198"/>
  <c r="BM129" i="198"/>
  <c r="BL129" i="198"/>
  <c r="BK129" i="198"/>
  <c r="BJ129" i="198"/>
  <c r="BI129" i="198"/>
  <c r="BH129" i="198"/>
  <c r="BG129" i="198"/>
  <c r="BF129" i="198"/>
  <c r="BE129" i="198"/>
  <c r="BD129" i="198"/>
  <c r="BC129" i="198"/>
  <c r="BB129" i="198"/>
  <c r="BA129" i="198"/>
  <c r="AZ129" i="198"/>
  <c r="AY129" i="198"/>
  <c r="AX129" i="198"/>
  <c r="AW129" i="198"/>
  <c r="AV129" i="198"/>
  <c r="AU129" i="198"/>
  <c r="AT129" i="198"/>
  <c r="AS129" i="198"/>
  <c r="AR129" i="198"/>
  <c r="AQ129" i="198"/>
  <c r="AP129" i="198"/>
  <c r="AO129" i="198"/>
  <c r="AN129" i="198"/>
  <c r="AM129" i="198"/>
  <c r="AL129" i="198"/>
  <c r="AK129" i="198"/>
  <c r="AJ129" i="198"/>
  <c r="AI129" i="198"/>
  <c r="AH129" i="198"/>
  <c r="AG129" i="198"/>
  <c r="AF129" i="198"/>
  <c r="AE129" i="198"/>
  <c r="AD129" i="198"/>
  <c r="AC129" i="198"/>
  <c r="AB129" i="198"/>
  <c r="AA129" i="198"/>
  <c r="Z129" i="198"/>
  <c r="Y129" i="198"/>
  <c r="X129" i="198"/>
  <c r="W129" i="198"/>
  <c r="V129" i="198"/>
  <c r="U129" i="198"/>
  <c r="T129" i="198"/>
  <c r="S129" i="198"/>
  <c r="R129" i="198"/>
  <c r="Q129" i="198"/>
  <c r="P129" i="198"/>
  <c r="O129" i="198"/>
  <c r="N129" i="198"/>
  <c r="M129" i="198"/>
  <c r="L129" i="198"/>
  <c r="K129" i="198"/>
  <c r="J129" i="198"/>
  <c r="I129" i="198"/>
  <c r="H129" i="198"/>
  <c r="G129" i="198"/>
  <c r="F129" i="198"/>
  <c r="E129" i="198"/>
  <c r="D129" i="198"/>
  <c r="C129" i="198"/>
  <c r="B129" i="198"/>
  <c r="EB126" i="198"/>
  <c r="EA126" i="198"/>
  <c r="DZ126" i="198"/>
  <c r="DY126" i="198"/>
  <c r="DX126" i="198"/>
  <c r="DW126" i="198"/>
  <c r="DV126" i="198"/>
  <c r="DU126" i="198"/>
  <c r="DT126" i="198"/>
  <c r="DS126" i="198"/>
  <c r="DR126" i="198"/>
  <c r="DQ126" i="198"/>
  <c r="DP126" i="198"/>
  <c r="DO126" i="198"/>
  <c r="DN126" i="198"/>
  <c r="DM126" i="198"/>
  <c r="DL126" i="198"/>
  <c r="DK126" i="198"/>
  <c r="DJ126" i="198"/>
  <c r="DI126" i="198"/>
  <c r="DH126" i="198"/>
  <c r="DG126" i="198"/>
  <c r="DF126" i="198"/>
  <c r="DE126" i="198"/>
  <c r="DD126" i="198"/>
  <c r="DC126" i="198"/>
  <c r="CS126" i="198"/>
  <c r="CR126" i="198"/>
  <c r="CQ126" i="198"/>
  <c r="CP126" i="198"/>
  <c r="CO126" i="198"/>
  <c r="CN126" i="198"/>
  <c r="CM126" i="198"/>
  <c r="CL126" i="198"/>
  <c r="CK126" i="198"/>
  <c r="CJ126" i="198"/>
  <c r="CI126" i="198"/>
  <c r="CH126" i="198"/>
  <c r="CG126" i="198"/>
  <c r="CF126" i="198"/>
  <c r="CE126" i="198"/>
  <c r="CD126" i="198"/>
  <c r="CC126" i="198"/>
  <c r="CB126" i="198"/>
  <c r="CA126" i="198"/>
  <c r="BZ126" i="198"/>
  <c r="BY126" i="198"/>
  <c r="BX126" i="198"/>
  <c r="BW126" i="198"/>
  <c r="BV126" i="198"/>
  <c r="BU126" i="198"/>
  <c r="BT126" i="198"/>
  <c r="BS126" i="198"/>
  <c r="BR126" i="198"/>
  <c r="BQ126" i="198"/>
  <c r="BP126" i="198"/>
  <c r="BO126" i="198"/>
  <c r="BN126" i="198"/>
  <c r="BM126" i="198"/>
  <c r="BL126" i="198"/>
  <c r="BK126" i="198"/>
  <c r="BJ126" i="198"/>
  <c r="BI126" i="198"/>
  <c r="BH126" i="198"/>
  <c r="BG126" i="198"/>
  <c r="BF126" i="198"/>
  <c r="BE126" i="198"/>
  <c r="BD126" i="198"/>
  <c r="BC126" i="198"/>
  <c r="BB126" i="198"/>
  <c r="BA126" i="198"/>
  <c r="AZ126" i="198"/>
  <c r="AY126" i="198"/>
  <c r="AX126" i="198"/>
  <c r="AW126" i="198"/>
  <c r="AV126" i="198"/>
  <c r="AU126" i="198"/>
  <c r="AT126" i="198"/>
  <c r="AS126" i="198"/>
  <c r="AR126" i="198"/>
  <c r="AQ126" i="198"/>
  <c r="AP126" i="198"/>
  <c r="AO126" i="198"/>
  <c r="AN126" i="198"/>
  <c r="AM126" i="198"/>
  <c r="AL126" i="198"/>
  <c r="AK126" i="198"/>
  <c r="AJ126" i="198"/>
  <c r="AI126" i="198"/>
  <c r="AH126" i="198"/>
  <c r="AG126" i="198"/>
  <c r="AF126" i="198"/>
  <c r="AE126" i="198"/>
  <c r="AD126" i="198"/>
  <c r="AC126" i="198"/>
  <c r="AB126" i="198"/>
  <c r="AA126" i="198"/>
  <c r="Z126" i="198"/>
  <c r="Y126" i="198"/>
  <c r="X126" i="198"/>
  <c r="W126" i="198"/>
  <c r="V126" i="198"/>
  <c r="U126" i="198"/>
  <c r="T126" i="198"/>
  <c r="S126" i="198"/>
  <c r="R126" i="198"/>
  <c r="Q126" i="198"/>
  <c r="P126" i="198"/>
  <c r="O126" i="198"/>
  <c r="N126" i="198"/>
  <c r="M126" i="198"/>
  <c r="L126" i="198"/>
  <c r="K126" i="198"/>
  <c r="J126" i="198"/>
  <c r="I126" i="198"/>
  <c r="H126" i="198"/>
  <c r="G126" i="198"/>
  <c r="F126" i="198"/>
  <c r="E126" i="198"/>
  <c r="D126" i="198"/>
  <c r="C126" i="198"/>
  <c r="B126" i="198"/>
  <c r="A126" i="198"/>
  <c r="EA122" i="198"/>
  <c r="DY122" i="198"/>
  <c r="DW122" i="198"/>
  <c r="DU122" i="198"/>
  <c r="DS122" i="198"/>
  <c r="DQ122" i="198"/>
  <c r="DO122" i="198"/>
  <c r="DM122" i="198"/>
  <c r="DK122" i="198"/>
  <c r="DI122" i="198"/>
  <c r="DG122" i="198"/>
  <c r="DE122" i="198"/>
  <c r="DC122" i="198"/>
  <c r="CR122" i="198"/>
  <c r="CP122" i="198"/>
  <c r="CN122" i="198"/>
  <c r="CL122" i="198"/>
  <c r="CJ122" i="198"/>
  <c r="CH122" i="198"/>
  <c r="CF122" i="198"/>
  <c r="CD122" i="198"/>
  <c r="CB122" i="198"/>
  <c r="BZ122" i="198"/>
  <c r="BX122" i="198"/>
  <c r="BV122" i="198"/>
  <c r="BT122" i="198"/>
  <c r="BR122" i="198"/>
  <c r="BP122" i="198"/>
  <c r="BN122" i="198"/>
  <c r="BL122" i="198"/>
  <c r="BJ122" i="198"/>
  <c r="BH122" i="198"/>
  <c r="BF122" i="198"/>
  <c r="BD122" i="198"/>
  <c r="BB122" i="198"/>
  <c r="AZ122" i="198"/>
  <c r="AX122" i="198"/>
  <c r="AV122" i="198"/>
  <c r="AT122" i="198"/>
  <c r="AR122" i="198"/>
  <c r="AP122" i="198"/>
  <c r="AN122" i="198"/>
  <c r="AL122" i="198"/>
  <c r="AJ122" i="198"/>
  <c r="AH122" i="198"/>
  <c r="AF122" i="198"/>
  <c r="AD122" i="198"/>
  <c r="AB122" i="198"/>
  <c r="Z122" i="198"/>
  <c r="X122" i="198"/>
  <c r="V122" i="198"/>
  <c r="T122" i="198"/>
  <c r="R122" i="198"/>
  <c r="P122" i="198"/>
  <c r="N122" i="198"/>
  <c r="L122" i="198"/>
  <c r="J122" i="198"/>
  <c r="H122" i="198"/>
  <c r="F122" i="198"/>
  <c r="D122" i="198"/>
  <c r="B122" i="198"/>
  <c r="EB122" i="198"/>
  <c r="DZ122" i="198"/>
  <c r="DX122" i="198"/>
  <c r="DV122" i="198"/>
  <c r="DT122" i="198"/>
  <c r="DR122" i="198"/>
  <c r="DP122" i="198"/>
  <c r="DN122" i="198"/>
  <c r="DL122" i="198"/>
  <c r="DJ122" i="198"/>
  <c r="DH122" i="198"/>
  <c r="DF122" i="198"/>
  <c r="DD122" i="198"/>
  <c r="CS122" i="198"/>
  <c r="CQ122" i="198"/>
  <c r="CO122" i="198"/>
  <c r="CM122" i="198"/>
  <c r="CK122" i="198"/>
  <c r="CI122" i="198"/>
  <c r="CG122" i="198"/>
  <c r="CE122" i="198"/>
  <c r="CC122" i="198"/>
  <c r="CA122" i="198"/>
  <c r="BY122" i="198"/>
  <c r="BW122" i="198"/>
  <c r="BU122" i="198"/>
  <c r="BS122" i="198"/>
  <c r="BQ122" i="198"/>
  <c r="BO122" i="198"/>
  <c r="BM122" i="198"/>
  <c r="BK122" i="198"/>
  <c r="BI122" i="198"/>
  <c r="BG122" i="198"/>
  <c r="BE122" i="198"/>
  <c r="BC122" i="198"/>
  <c r="BA122" i="198"/>
  <c r="AY122" i="198"/>
  <c r="AW122" i="198"/>
  <c r="AU122" i="198"/>
  <c r="AS122" i="198"/>
  <c r="AQ122" i="198"/>
  <c r="AO122" i="198"/>
  <c r="AM122" i="198"/>
  <c r="AK122" i="198"/>
  <c r="AI122" i="198"/>
  <c r="AG122" i="198"/>
  <c r="AE122" i="198"/>
  <c r="AC122" i="198"/>
  <c r="AA122" i="198"/>
  <c r="Y122" i="198"/>
  <c r="W122" i="198"/>
  <c r="U122" i="198"/>
  <c r="S122" i="198"/>
  <c r="Q122" i="198"/>
  <c r="O122" i="198"/>
  <c r="M122" i="198"/>
  <c r="K122" i="198"/>
  <c r="I122" i="198"/>
  <c r="G122" i="198"/>
  <c r="E122" i="198"/>
  <c r="C122" i="198"/>
  <c r="EB120" i="198"/>
  <c r="EA120" i="198"/>
  <c r="DZ120" i="198"/>
  <c r="DY120" i="198"/>
  <c r="DX120" i="198"/>
  <c r="DW120" i="198"/>
  <c r="DV120" i="198"/>
  <c r="DU120" i="198"/>
  <c r="DT120" i="198"/>
  <c r="DS120" i="198"/>
  <c r="DR120" i="198"/>
  <c r="DQ120" i="198"/>
  <c r="DP120" i="198"/>
  <c r="DO120" i="198"/>
  <c r="DN120" i="198"/>
  <c r="DM120" i="198"/>
  <c r="DL120" i="198"/>
  <c r="DK120" i="198"/>
  <c r="DJ120" i="198"/>
  <c r="DI120" i="198"/>
  <c r="DH120" i="198"/>
  <c r="DG120" i="198"/>
  <c r="DF120" i="198"/>
  <c r="DE120" i="198"/>
  <c r="DD120" i="198"/>
  <c r="DC120" i="198"/>
  <c r="EB119" i="198"/>
  <c r="EA119" i="198"/>
  <c r="DZ119" i="198"/>
  <c r="DY119" i="198"/>
  <c r="DX119" i="198"/>
  <c r="DW119" i="198"/>
  <c r="DV119" i="198"/>
  <c r="DU119" i="198"/>
  <c r="DT119" i="198"/>
  <c r="DS119" i="198"/>
  <c r="DR119" i="198"/>
  <c r="DQ119" i="198"/>
  <c r="DP119" i="198"/>
  <c r="DO119" i="198"/>
  <c r="DN119" i="198"/>
  <c r="DM119" i="198"/>
  <c r="DL119" i="198"/>
  <c r="DK119" i="198"/>
  <c r="DJ119" i="198"/>
  <c r="DI119" i="198"/>
  <c r="DH119" i="198"/>
  <c r="DG119" i="198"/>
  <c r="DF119" i="198"/>
  <c r="DE119" i="198"/>
  <c r="DD119" i="198"/>
  <c r="DC119" i="198"/>
  <c r="EB118" i="198"/>
  <c r="EA118" i="198"/>
  <c r="DZ118" i="198"/>
  <c r="DY118" i="198"/>
  <c r="DX118" i="198"/>
  <c r="DW118" i="198"/>
  <c r="DV118" i="198"/>
  <c r="DU118" i="198"/>
  <c r="DT118" i="198"/>
  <c r="DS118" i="198"/>
  <c r="DR118" i="198"/>
  <c r="DQ118" i="198"/>
  <c r="DP118" i="198"/>
  <c r="DO118" i="198"/>
  <c r="DN118" i="198"/>
  <c r="DM118" i="198"/>
  <c r="DL118" i="198"/>
  <c r="DK118" i="198"/>
  <c r="DJ118" i="198"/>
  <c r="DI118" i="198"/>
  <c r="DH118" i="198"/>
  <c r="DG118" i="198"/>
  <c r="DF118" i="198"/>
  <c r="DE118" i="198"/>
  <c r="DD118" i="198"/>
  <c r="DC118" i="198"/>
  <c r="EM117" i="198"/>
  <c r="EL117" i="198"/>
  <c r="EK117" i="198"/>
  <c r="EJ117" i="198"/>
  <c r="EI117" i="198"/>
  <c r="EH117" i="198"/>
  <c r="EG117" i="198"/>
  <c r="EF117" i="198"/>
  <c r="EE117" i="198"/>
  <c r="ED117" i="198"/>
  <c r="EC117" i="198"/>
  <c r="EB117" i="198"/>
  <c r="EA117" i="198"/>
  <c r="DZ117" i="198"/>
  <c r="DY117" i="198"/>
  <c r="DX117" i="198"/>
  <c r="DW117" i="198"/>
  <c r="DV117" i="198"/>
  <c r="DU117" i="198"/>
  <c r="DT117" i="198"/>
  <c r="DS117" i="198"/>
  <c r="DR117" i="198"/>
  <c r="DQ117" i="198"/>
  <c r="DP117" i="198"/>
  <c r="DO117" i="198"/>
  <c r="DN117" i="198"/>
  <c r="DM117" i="198"/>
  <c r="DL117" i="198"/>
  <c r="DK117" i="198"/>
  <c r="DJ117" i="198"/>
  <c r="DI117" i="198"/>
  <c r="DH117" i="198"/>
  <c r="DG117" i="198"/>
  <c r="DF117" i="198"/>
  <c r="DE117" i="198"/>
  <c r="DD117" i="198"/>
  <c r="DC117" i="198"/>
  <c r="EB116" i="198"/>
  <c r="EA116" i="198"/>
  <c r="DZ116" i="198"/>
  <c r="DY116" i="198"/>
  <c r="DX116" i="198"/>
  <c r="DW116" i="198"/>
  <c r="DV116" i="198"/>
  <c r="DU116" i="198"/>
  <c r="DT116" i="198"/>
  <c r="DS116" i="198"/>
  <c r="DR116" i="198"/>
  <c r="DQ116" i="198"/>
  <c r="DP116" i="198"/>
  <c r="DO116" i="198"/>
  <c r="DN116" i="198"/>
  <c r="DM116" i="198"/>
  <c r="DL116" i="198"/>
  <c r="DK116" i="198"/>
  <c r="DJ116" i="198"/>
  <c r="DI116" i="198"/>
  <c r="DH116" i="198"/>
  <c r="DG116" i="198"/>
  <c r="DF116" i="198"/>
  <c r="DE116" i="198"/>
  <c r="DD116" i="198"/>
  <c r="DC116" i="198"/>
  <c r="EB115" i="198"/>
  <c r="EA115" i="198"/>
  <c r="DZ115" i="198"/>
  <c r="DY115" i="198"/>
  <c r="DX115" i="198"/>
  <c r="DW115" i="198"/>
  <c r="DV115" i="198"/>
  <c r="DU115" i="198"/>
  <c r="DT115" i="198"/>
  <c r="DS115" i="198"/>
  <c r="DR115" i="198"/>
  <c r="DQ115" i="198"/>
  <c r="DP115" i="198"/>
  <c r="DO115" i="198"/>
  <c r="DN115" i="198"/>
  <c r="DM115" i="198"/>
  <c r="DL115" i="198"/>
  <c r="DK115" i="198"/>
  <c r="DJ115" i="198"/>
  <c r="DI115" i="198"/>
  <c r="DH115" i="198"/>
  <c r="DG115" i="198"/>
  <c r="DF115" i="198"/>
  <c r="DE115" i="198"/>
  <c r="DD115" i="198"/>
  <c r="DC115" i="198"/>
  <c r="CS120" i="198"/>
  <c r="CR120" i="198"/>
  <c r="CQ120" i="198"/>
  <c r="CP120" i="198"/>
  <c r="CO120" i="198"/>
  <c r="CN120" i="198"/>
  <c r="CM120" i="198"/>
  <c r="CL120" i="198"/>
  <c r="CK120" i="198"/>
  <c r="CJ120" i="198"/>
  <c r="CI120" i="198"/>
  <c r="CH120" i="198"/>
  <c r="CG120" i="198"/>
  <c r="CF120" i="198"/>
  <c r="CE120" i="198"/>
  <c r="CD120" i="198"/>
  <c r="CC120" i="198"/>
  <c r="CB120" i="198"/>
  <c r="CA120" i="198"/>
  <c r="BZ120" i="198"/>
  <c r="BY120" i="198"/>
  <c r="BX120" i="198"/>
  <c r="BW120" i="198"/>
  <c r="BV120" i="198"/>
  <c r="BU120" i="198"/>
  <c r="BT120" i="198"/>
  <c r="BS120" i="198"/>
  <c r="BR120" i="198"/>
  <c r="BQ120" i="198"/>
  <c r="BP120" i="198"/>
  <c r="BO120" i="198"/>
  <c r="BN120" i="198"/>
  <c r="BM120" i="198"/>
  <c r="BL120" i="198"/>
  <c r="BK120" i="198"/>
  <c r="BJ120" i="198"/>
  <c r="BI120" i="198"/>
  <c r="BH120" i="198"/>
  <c r="BG120" i="198"/>
  <c r="BF120" i="198"/>
  <c r="BE120" i="198"/>
  <c r="BD120" i="198"/>
  <c r="BC120" i="198"/>
  <c r="BB120" i="198"/>
  <c r="BA120" i="198"/>
  <c r="AZ120" i="198"/>
  <c r="AY120" i="198"/>
  <c r="AX120" i="198"/>
  <c r="AW120" i="198"/>
  <c r="AV120" i="198"/>
  <c r="AU120" i="198"/>
  <c r="AT120" i="198"/>
  <c r="AS120" i="198"/>
  <c r="AR120" i="198"/>
  <c r="AQ120" i="198"/>
  <c r="AP120" i="198"/>
  <c r="AO120" i="198"/>
  <c r="AN120" i="198"/>
  <c r="AM120" i="198"/>
  <c r="AL120" i="198"/>
  <c r="AK120" i="198"/>
  <c r="AJ120" i="198"/>
  <c r="AI120" i="198"/>
  <c r="AH120" i="198"/>
  <c r="AG120" i="198"/>
  <c r="AF120" i="198"/>
  <c r="AE120" i="198"/>
  <c r="AD120" i="198"/>
  <c r="AC120" i="198"/>
  <c r="AB120" i="198"/>
  <c r="AA120" i="198"/>
  <c r="Z120" i="198"/>
  <c r="Y120" i="198"/>
  <c r="X120" i="198"/>
  <c r="W120" i="198"/>
  <c r="V120" i="198"/>
  <c r="U120" i="198"/>
  <c r="T120" i="198"/>
  <c r="S120" i="198"/>
  <c r="R120" i="198"/>
  <c r="Q120" i="198"/>
  <c r="P120" i="198"/>
  <c r="O120" i="198"/>
  <c r="N120" i="198"/>
  <c r="M120" i="198"/>
  <c r="L120" i="198"/>
  <c r="K120" i="198"/>
  <c r="J120" i="198"/>
  <c r="I120" i="198"/>
  <c r="H120" i="198"/>
  <c r="G120" i="198"/>
  <c r="F120" i="198"/>
  <c r="E120" i="198"/>
  <c r="D120" i="198"/>
  <c r="C120" i="198"/>
  <c r="B120" i="198"/>
  <c r="A120" i="198"/>
  <c r="CS119" i="198"/>
  <c r="CR119" i="198"/>
  <c r="CQ119" i="198"/>
  <c r="CP119" i="198"/>
  <c r="CO119" i="198"/>
  <c r="CN119" i="198"/>
  <c r="CM119" i="198"/>
  <c r="CL119" i="198"/>
  <c r="CK119" i="198"/>
  <c r="CJ119" i="198"/>
  <c r="CI119" i="198"/>
  <c r="CH119" i="198"/>
  <c r="CG119" i="198"/>
  <c r="CF119" i="198"/>
  <c r="CE119" i="198"/>
  <c r="CD119" i="198"/>
  <c r="CC119" i="198"/>
  <c r="CB119" i="198"/>
  <c r="CA119" i="198"/>
  <c r="BZ119" i="198"/>
  <c r="BY119" i="198"/>
  <c r="BX119" i="198"/>
  <c r="BW119" i="198"/>
  <c r="BV119" i="198"/>
  <c r="BU119" i="198"/>
  <c r="BT119" i="198"/>
  <c r="BS119" i="198"/>
  <c r="BR119" i="198"/>
  <c r="BQ119" i="198"/>
  <c r="BP119" i="198"/>
  <c r="BO119" i="198"/>
  <c r="BN119" i="198"/>
  <c r="BM119" i="198"/>
  <c r="BL119" i="198"/>
  <c r="BK119" i="198"/>
  <c r="BJ119" i="198"/>
  <c r="BI119" i="198"/>
  <c r="BH119" i="198"/>
  <c r="BG119" i="198"/>
  <c r="BF119" i="198"/>
  <c r="BE119" i="198"/>
  <c r="BD119" i="198"/>
  <c r="BC119" i="198"/>
  <c r="BB119" i="198"/>
  <c r="BA119" i="198"/>
  <c r="AZ119" i="198"/>
  <c r="AY119" i="198"/>
  <c r="AX119" i="198"/>
  <c r="AW119" i="198"/>
  <c r="AV119" i="198"/>
  <c r="AU119" i="198"/>
  <c r="AT119" i="198"/>
  <c r="AS119" i="198"/>
  <c r="AR119" i="198"/>
  <c r="AQ119" i="198"/>
  <c r="AP119" i="198"/>
  <c r="AO119" i="198"/>
  <c r="AN119" i="198"/>
  <c r="AM119" i="198"/>
  <c r="AL119" i="198"/>
  <c r="AK119" i="198"/>
  <c r="AJ119" i="198"/>
  <c r="AI119" i="198"/>
  <c r="AH119" i="198"/>
  <c r="AG119" i="198"/>
  <c r="AF119" i="198"/>
  <c r="AE119" i="198"/>
  <c r="AD119" i="198"/>
  <c r="AC119" i="198"/>
  <c r="AB119" i="198"/>
  <c r="AA119" i="198"/>
  <c r="Z119" i="198"/>
  <c r="Y119" i="198"/>
  <c r="X119" i="198"/>
  <c r="W119" i="198"/>
  <c r="V119" i="198"/>
  <c r="U119" i="198"/>
  <c r="T119" i="198"/>
  <c r="S119" i="198"/>
  <c r="R119" i="198"/>
  <c r="Q119" i="198"/>
  <c r="P119" i="198"/>
  <c r="O119" i="198"/>
  <c r="N119" i="198"/>
  <c r="M119" i="198"/>
  <c r="L119" i="198"/>
  <c r="K119" i="198"/>
  <c r="J119" i="198"/>
  <c r="I119" i="198"/>
  <c r="H119" i="198"/>
  <c r="G119" i="198"/>
  <c r="F119" i="198"/>
  <c r="E119" i="198"/>
  <c r="D119" i="198"/>
  <c r="C119" i="198"/>
  <c r="B119" i="198"/>
  <c r="A119" i="198"/>
  <c r="CS118" i="198"/>
  <c r="CR118" i="198"/>
  <c r="CQ118" i="198"/>
  <c r="CP118" i="198"/>
  <c r="CO118" i="198"/>
  <c r="CN118" i="198"/>
  <c r="CM118" i="198"/>
  <c r="CL118" i="198"/>
  <c r="CK118" i="198"/>
  <c r="CJ118" i="198"/>
  <c r="CI118" i="198"/>
  <c r="CH118" i="198"/>
  <c r="CG118" i="198"/>
  <c r="CF118" i="198"/>
  <c r="CE118" i="198"/>
  <c r="CD118" i="198"/>
  <c r="CC118" i="198"/>
  <c r="CB118" i="198"/>
  <c r="CA118" i="198"/>
  <c r="BZ118" i="198"/>
  <c r="BY118" i="198"/>
  <c r="BX118" i="198"/>
  <c r="BW118" i="198"/>
  <c r="BV118" i="198"/>
  <c r="BU118" i="198"/>
  <c r="BT118" i="198"/>
  <c r="BS118" i="198"/>
  <c r="BR118" i="198"/>
  <c r="BQ118" i="198"/>
  <c r="BP118" i="198"/>
  <c r="BO118" i="198"/>
  <c r="BN118" i="198"/>
  <c r="BM118" i="198"/>
  <c r="BL118" i="198"/>
  <c r="BK118" i="198"/>
  <c r="BJ118" i="198"/>
  <c r="BI118" i="198"/>
  <c r="BH118" i="198"/>
  <c r="BG118" i="198"/>
  <c r="BF118" i="198"/>
  <c r="BE118" i="198"/>
  <c r="BD118" i="198"/>
  <c r="BC118" i="198"/>
  <c r="BB118" i="198"/>
  <c r="BA118" i="198"/>
  <c r="AZ118" i="198"/>
  <c r="AY118" i="198"/>
  <c r="AX118" i="198"/>
  <c r="AW118" i="198"/>
  <c r="AV118" i="198"/>
  <c r="AU118" i="198"/>
  <c r="AT118" i="198"/>
  <c r="AS118" i="198"/>
  <c r="AR118" i="198"/>
  <c r="AQ118" i="198"/>
  <c r="AP118" i="198"/>
  <c r="AO118" i="198"/>
  <c r="AN118" i="198"/>
  <c r="AM118" i="198"/>
  <c r="AL118" i="198"/>
  <c r="AK118" i="198"/>
  <c r="AJ118" i="198"/>
  <c r="AI118" i="198"/>
  <c r="AH118" i="198"/>
  <c r="AG118" i="198"/>
  <c r="AF118" i="198"/>
  <c r="AE118" i="198"/>
  <c r="AD118" i="198"/>
  <c r="AC118" i="198"/>
  <c r="AB118" i="198"/>
  <c r="AA118" i="198"/>
  <c r="Z118" i="198"/>
  <c r="Y118" i="198"/>
  <c r="X118" i="198"/>
  <c r="W118" i="198"/>
  <c r="V118" i="198"/>
  <c r="U118" i="198"/>
  <c r="T118" i="198"/>
  <c r="S118" i="198"/>
  <c r="R118" i="198"/>
  <c r="Q118" i="198"/>
  <c r="P118" i="198"/>
  <c r="O118" i="198"/>
  <c r="N118" i="198"/>
  <c r="M118" i="198"/>
  <c r="L118" i="198"/>
  <c r="K118" i="198"/>
  <c r="J118" i="198"/>
  <c r="I118" i="198"/>
  <c r="H118" i="198"/>
  <c r="G118" i="198"/>
  <c r="F118" i="198"/>
  <c r="E118" i="198"/>
  <c r="D118" i="198"/>
  <c r="C118" i="198"/>
  <c r="B118" i="198"/>
  <c r="A118" i="198"/>
  <c r="DA117" i="198"/>
  <c r="CZ117" i="198"/>
  <c r="CY117" i="198"/>
  <c r="CX117" i="198"/>
  <c r="CW117" i="198"/>
  <c r="CV117" i="198"/>
  <c r="CU117" i="198"/>
  <c r="CT117" i="198"/>
  <c r="CS117" i="198"/>
  <c r="CR117" i="198"/>
  <c r="CQ117" i="198"/>
  <c r="CP117" i="198"/>
  <c r="CO117" i="198"/>
  <c r="CN117" i="198"/>
  <c r="CM117" i="198"/>
  <c r="CL117" i="198"/>
  <c r="CK117" i="198"/>
  <c r="CJ117" i="198"/>
  <c r="CI117" i="198"/>
  <c r="CH117" i="198"/>
  <c r="CG117" i="198"/>
  <c r="CF117" i="198"/>
  <c r="CE117" i="198"/>
  <c r="CD117" i="198"/>
  <c r="CC117" i="198"/>
  <c r="CB117" i="198"/>
  <c r="CA117" i="198"/>
  <c r="BZ117" i="198"/>
  <c r="BY117" i="198"/>
  <c r="BX117" i="198"/>
  <c r="BW117" i="198"/>
  <c r="BV117" i="198"/>
  <c r="BU117" i="198"/>
  <c r="BT117" i="198"/>
  <c r="BS117" i="198"/>
  <c r="BR117" i="198"/>
  <c r="BQ117" i="198"/>
  <c r="BP117" i="198"/>
  <c r="BO117" i="198"/>
  <c r="BN117" i="198"/>
  <c r="BM117" i="198"/>
  <c r="BL117" i="198"/>
  <c r="BK117" i="198"/>
  <c r="BJ117" i="198"/>
  <c r="BI117" i="198"/>
  <c r="BH117" i="198"/>
  <c r="BG117" i="198"/>
  <c r="BF117" i="198"/>
  <c r="BE117" i="198"/>
  <c r="BD117" i="198"/>
  <c r="BC117" i="198"/>
  <c r="BB117" i="198"/>
  <c r="BA117" i="198"/>
  <c r="AZ117" i="198"/>
  <c r="AY117" i="198"/>
  <c r="AX117" i="198"/>
  <c r="AW117" i="198"/>
  <c r="AV117" i="198"/>
  <c r="AU117" i="198"/>
  <c r="AT117" i="198"/>
  <c r="AS117" i="198"/>
  <c r="AR117" i="198"/>
  <c r="AQ117" i="198"/>
  <c r="AP117" i="198"/>
  <c r="AO117" i="198"/>
  <c r="AN117" i="198"/>
  <c r="AM117" i="198"/>
  <c r="AL117" i="198"/>
  <c r="AK117" i="198"/>
  <c r="AJ117" i="198"/>
  <c r="AI117" i="198"/>
  <c r="AH117" i="198"/>
  <c r="AG117" i="198"/>
  <c r="AF117" i="198"/>
  <c r="AE117" i="198"/>
  <c r="AD117" i="198"/>
  <c r="AC117" i="198"/>
  <c r="AB117" i="198"/>
  <c r="AA117" i="198"/>
  <c r="Z117" i="198"/>
  <c r="Y117" i="198"/>
  <c r="X117" i="198"/>
  <c r="W117" i="198"/>
  <c r="V117" i="198"/>
  <c r="U117" i="198"/>
  <c r="T117" i="198"/>
  <c r="S117" i="198"/>
  <c r="R117" i="198"/>
  <c r="Q117" i="198"/>
  <c r="P117" i="198"/>
  <c r="O117" i="198"/>
  <c r="N117" i="198"/>
  <c r="M117" i="198"/>
  <c r="L117" i="198"/>
  <c r="K117" i="198"/>
  <c r="J117" i="198"/>
  <c r="I117" i="198"/>
  <c r="H117" i="198"/>
  <c r="G117" i="198"/>
  <c r="F117" i="198"/>
  <c r="E117" i="198"/>
  <c r="D117" i="198"/>
  <c r="C117" i="198"/>
  <c r="B117" i="198"/>
  <c r="A117" i="198"/>
  <c r="CS116" i="198"/>
  <c r="CR116" i="198"/>
  <c r="CQ116" i="198"/>
  <c r="CP116" i="198"/>
  <c r="CO116" i="198"/>
  <c r="CN116" i="198"/>
  <c r="CM116" i="198"/>
  <c r="CL116" i="198"/>
  <c r="CK116" i="198"/>
  <c r="CJ116" i="198"/>
  <c r="CI116" i="198"/>
  <c r="CH116" i="198"/>
  <c r="CG116" i="198"/>
  <c r="CF116" i="198"/>
  <c r="CE116" i="198"/>
  <c r="CD116" i="198"/>
  <c r="CC116" i="198"/>
  <c r="CB116" i="198"/>
  <c r="CA116" i="198"/>
  <c r="BZ116" i="198"/>
  <c r="BY116" i="198"/>
  <c r="BX116" i="198"/>
  <c r="BW116" i="198"/>
  <c r="BV116" i="198"/>
  <c r="BU116" i="198"/>
  <c r="BT116" i="198"/>
  <c r="BS116" i="198"/>
  <c r="BR116" i="198"/>
  <c r="BQ116" i="198"/>
  <c r="BP116" i="198"/>
  <c r="BO116" i="198"/>
  <c r="BN116" i="198"/>
  <c r="BM116" i="198"/>
  <c r="BL116" i="198"/>
  <c r="BK116" i="198"/>
  <c r="BJ116" i="198"/>
  <c r="BI116" i="198"/>
  <c r="BH116" i="198"/>
  <c r="BG116" i="198"/>
  <c r="BF116" i="198"/>
  <c r="BE116" i="198"/>
  <c r="BD116" i="198"/>
  <c r="BC116" i="198"/>
  <c r="BB116" i="198"/>
  <c r="BA116" i="198"/>
  <c r="AZ116" i="198"/>
  <c r="AY116" i="198"/>
  <c r="AX116" i="198"/>
  <c r="AW116" i="198"/>
  <c r="AV116" i="198"/>
  <c r="AU116" i="198"/>
  <c r="AT116" i="198"/>
  <c r="AS116" i="198"/>
  <c r="AR116" i="198"/>
  <c r="AQ116" i="198"/>
  <c r="AP116" i="198"/>
  <c r="AO116" i="198"/>
  <c r="AN116" i="198"/>
  <c r="AM116" i="198"/>
  <c r="AL116" i="198"/>
  <c r="AK116" i="198"/>
  <c r="AJ116" i="198"/>
  <c r="AI116" i="198"/>
  <c r="AH116" i="198"/>
  <c r="AG116" i="198"/>
  <c r="AF116" i="198"/>
  <c r="AE116" i="198"/>
  <c r="AD116" i="198"/>
  <c r="AC116" i="198"/>
  <c r="AB116" i="198"/>
  <c r="AA116" i="198"/>
  <c r="Z116" i="198"/>
  <c r="Y116" i="198"/>
  <c r="X116" i="198"/>
  <c r="W116" i="198"/>
  <c r="V116" i="198"/>
  <c r="U116" i="198"/>
  <c r="T116" i="198"/>
  <c r="S116" i="198"/>
  <c r="R116" i="198"/>
  <c r="Q116" i="198"/>
  <c r="P116" i="198"/>
  <c r="O116" i="198"/>
  <c r="N116" i="198"/>
  <c r="M116" i="198"/>
  <c r="L116" i="198"/>
  <c r="K116" i="198"/>
  <c r="J116" i="198"/>
  <c r="I116" i="198"/>
  <c r="H116" i="198"/>
  <c r="G116" i="198"/>
  <c r="F116" i="198"/>
  <c r="E116" i="198"/>
  <c r="D116" i="198"/>
  <c r="C116" i="198"/>
  <c r="B116" i="198"/>
  <c r="A116" i="198"/>
  <c r="CS115" i="198"/>
  <c r="CR115" i="198"/>
  <c r="CQ115" i="198"/>
  <c r="CP115" i="198"/>
  <c r="CO115" i="198"/>
  <c r="CN115" i="198"/>
  <c r="CM115" i="198"/>
  <c r="CL115" i="198"/>
  <c r="CK115" i="198"/>
  <c r="CJ115" i="198"/>
  <c r="CI115" i="198"/>
  <c r="CH115" i="198"/>
  <c r="CG115" i="198"/>
  <c r="CF115" i="198"/>
  <c r="CE115" i="198"/>
  <c r="CD115" i="198"/>
  <c r="CC115" i="198"/>
  <c r="CB115" i="198"/>
  <c r="CA115" i="198"/>
  <c r="BZ115" i="198"/>
  <c r="BY115" i="198"/>
  <c r="BX115" i="198"/>
  <c r="BW115" i="198"/>
  <c r="BV115" i="198"/>
  <c r="BU115" i="198"/>
  <c r="BT115" i="198"/>
  <c r="BS115" i="198"/>
  <c r="BR115" i="198"/>
  <c r="BQ115" i="198"/>
  <c r="BP115" i="198"/>
  <c r="BO115" i="198"/>
  <c r="BN115" i="198"/>
  <c r="BM115" i="198"/>
  <c r="BL115" i="198"/>
  <c r="BK115" i="198"/>
  <c r="BJ115" i="198"/>
  <c r="BI115" i="198"/>
  <c r="BH115" i="198"/>
  <c r="BG115" i="198"/>
  <c r="BF115" i="198"/>
  <c r="BE115" i="198"/>
  <c r="BD115" i="198"/>
  <c r="BC115" i="198"/>
  <c r="BB115" i="198"/>
  <c r="BA115" i="198"/>
  <c r="AZ115" i="198"/>
  <c r="AY115" i="198"/>
  <c r="AX115" i="198"/>
  <c r="AW115" i="198"/>
  <c r="AV115" i="198"/>
  <c r="AU115" i="198"/>
  <c r="AT115" i="198"/>
  <c r="AS115" i="198"/>
  <c r="AR115" i="198"/>
  <c r="AQ115" i="198"/>
  <c r="AP115" i="198"/>
  <c r="AO115" i="198"/>
  <c r="AN115" i="198"/>
  <c r="AM115" i="198"/>
  <c r="AL115" i="198"/>
  <c r="AK115" i="198"/>
  <c r="AJ115" i="198"/>
  <c r="AI115" i="198"/>
  <c r="AH115" i="198"/>
  <c r="AG115" i="198"/>
  <c r="AF115" i="198"/>
  <c r="AE115" i="198"/>
  <c r="AD115" i="198"/>
  <c r="AC115" i="198"/>
  <c r="AB115" i="198"/>
  <c r="AA115" i="198"/>
  <c r="Z115" i="198"/>
  <c r="Y115" i="198"/>
  <c r="X115" i="198"/>
  <c r="W115" i="198"/>
  <c r="V115" i="198"/>
  <c r="U115" i="198"/>
  <c r="T115" i="198"/>
  <c r="S115" i="198"/>
  <c r="R115" i="198"/>
  <c r="Q115" i="198"/>
  <c r="P115" i="198"/>
  <c r="O115" i="198"/>
  <c r="N115" i="198"/>
  <c r="M115" i="198"/>
  <c r="L115" i="198"/>
  <c r="K115" i="198"/>
  <c r="J115" i="198"/>
  <c r="I115" i="198"/>
  <c r="H115" i="198"/>
  <c r="G115" i="198"/>
  <c r="F115" i="198"/>
  <c r="E115" i="198"/>
  <c r="D115" i="198"/>
  <c r="C115" i="198"/>
  <c r="B115" i="198"/>
  <c r="A115" i="198"/>
  <c r="EB112" i="198"/>
  <c r="EA112" i="198"/>
  <c r="DZ112" i="198"/>
  <c r="DY112" i="198"/>
  <c r="DX112" i="198"/>
  <c r="DW112" i="198"/>
  <c r="DV112" i="198"/>
  <c r="DU112" i="198"/>
  <c r="DT112" i="198"/>
  <c r="DS112" i="198"/>
  <c r="DR112" i="198"/>
  <c r="DQ112" i="198"/>
  <c r="DP112" i="198"/>
  <c r="DO112" i="198"/>
  <c r="DN112" i="198"/>
  <c r="DM112" i="198"/>
  <c r="DL112" i="198"/>
  <c r="DK112" i="198"/>
  <c r="DJ112" i="198"/>
  <c r="DI112" i="198"/>
  <c r="DH112" i="198"/>
  <c r="DG112" i="198"/>
  <c r="DF112" i="198"/>
  <c r="DE112" i="198"/>
  <c r="DD112" i="198"/>
  <c r="DC112" i="198"/>
  <c r="EM111" i="198"/>
  <c r="EL111" i="198"/>
  <c r="EK111" i="198"/>
  <c r="EJ111" i="198"/>
  <c r="EI111" i="198"/>
  <c r="EH111" i="198"/>
  <c r="EG111" i="198"/>
  <c r="EF111" i="198"/>
  <c r="EE111" i="198"/>
  <c r="ED111" i="198"/>
  <c r="EC111" i="198"/>
  <c r="EB111" i="198"/>
  <c r="EA111" i="198"/>
  <c r="DZ111" i="198"/>
  <c r="DY111" i="198"/>
  <c r="DX111" i="198"/>
  <c r="DW111" i="198"/>
  <c r="DV111" i="198"/>
  <c r="DU111" i="198"/>
  <c r="DT111" i="198"/>
  <c r="DS111" i="198"/>
  <c r="DR111" i="198"/>
  <c r="DQ111" i="198"/>
  <c r="DP111" i="198"/>
  <c r="DO111" i="198"/>
  <c r="DN111" i="198"/>
  <c r="DM111" i="198"/>
  <c r="DL111" i="198"/>
  <c r="DK111" i="198"/>
  <c r="DJ111" i="198"/>
  <c r="DI111" i="198"/>
  <c r="DH111" i="198"/>
  <c r="DG111" i="198"/>
  <c r="DF111" i="198"/>
  <c r="DE111" i="198"/>
  <c r="DD111" i="198"/>
  <c r="DC111" i="198"/>
  <c r="EB110" i="198"/>
  <c r="EA110" i="198"/>
  <c r="DZ110" i="198"/>
  <c r="DY110" i="198"/>
  <c r="DX110" i="198"/>
  <c r="DW110" i="198"/>
  <c r="DV110" i="198"/>
  <c r="DU110" i="198"/>
  <c r="DT110" i="198"/>
  <c r="DS110" i="198"/>
  <c r="DR110" i="198"/>
  <c r="DQ110" i="198"/>
  <c r="DP110" i="198"/>
  <c r="DO110" i="198"/>
  <c r="DN110" i="198"/>
  <c r="DM110" i="198"/>
  <c r="DL110" i="198"/>
  <c r="DK110" i="198"/>
  <c r="DJ110" i="198"/>
  <c r="DI110" i="198"/>
  <c r="DH110" i="198"/>
  <c r="DG110" i="198"/>
  <c r="DF110" i="198"/>
  <c r="DE110" i="198"/>
  <c r="DD110" i="198"/>
  <c r="DC110" i="198"/>
  <c r="EB109" i="198"/>
  <c r="EA109" i="198"/>
  <c r="DZ109" i="198"/>
  <c r="DY109" i="198"/>
  <c r="DX109" i="198"/>
  <c r="DW109" i="198"/>
  <c r="DV109" i="198"/>
  <c r="DU109" i="198"/>
  <c r="DT109" i="198"/>
  <c r="DS109" i="198"/>
  <c r="DR109" i="198"/>
  <c r="DQ109" i="198"/>
  <c r="DP109" i="198"/>
  <c r="DO109" i="198"/>
  <c r="DN109" i="198"/>
  <c r="DM109" i="198"/>
  <c r="DL109" i="198"/>
  <c r="DK109" i="198"/>
  <c r="DJ109" i="198"/>
  <c r="DI109" i="198"/>
  <c r="DH109" i="198"/>
  <c r="DG109" i="198"/>
  <c r="DF109" i="198"/>
  <c r="DE109" i="198"/>
  <c r="DD109" i="198"/>
  <c r="DC109" i="198"/>
  <c r="CS112" i="198"/>
  <c r="CR112" i="198"/>
  <c r="CQ112" i="198"/>
  <c r="CP112" i="198"/>
  <c r="CO112" i="198"/>
  <c r="CN112" i="198"/>
  <c r="CM112" i="198"/>
  <c r="CL112" i="198"/>
  <c r="CK112" i="198"/>
  <c r="CJ112" i="198"/>
  <c r="CI112" i="198"/>
  <c r="CH112" i="198"/>
  <c r="CG112" i="198"/>
  <c r="CF112" i="198"/>
  <c r="CE112" i="198"/>
  <c r="CD112" i="198"/>
  <c r="CC112" i="198"/>
  <c r="CB112" i="198"/>
  <c r="CA112" i="198"/>
  <c r="BZ112" i="198"/>
  <c r="BY112" i="198"/>
  <c r="BX112" i="198"/>
  <c r="BW112" i="198"/>
  <c r="BV112" i="198"/>
  <c r="BU112" i="198"/>
  <c r="BT112" i="198"/>
  <c r="BS112" i="198"/>
  <c r="BR112" i="198"/>
  <c r="BQ112" i="198"/>
  <c r="BP112" i="198"/>
  <c r="BO112" i="198"/>
  <c r="BN112" i="198"/>
  <c r="BM112" i="198"/>
  <c r="BL112" i="198"/>
  <c r="BK112" i="198"/>
  <c r="BJ112" i="198"/>
  <c r="BI112" i="198"/>
  <c r="BH112" i="198"/>
  <c r="BG112" i="198"/>
  <c r="BF112" i="198"/>
  <c r="BE112" i="198"/>
  <c r="BD112" i="198"/>
  <c r="BC112" i="198"/>
  <c r="BB112" i="198"/>
  <c r="BA112" i="198"/>
  <c r="AZ112" i="198"/>
  <c r="AY112" i="198"/>
  <c r="AX112" i="198"/>
  <c r="AW112" i="198"/>
  <c r="AV112" i="198"/>
  <c r="AU112" i="198"/>
  <c r="AT112" i="198"/>
  <c r="AS112" i="198"/>
  <c r="AR112" i="198"/>
  <c r="AQ112" i="198"/>
  <c r="AP112" i="198"/>
  <c r="AO112" i="198"/>
  <c r="AN112" i="198"/>
  <c r="AM112" i="198"/>
  <c r="AL112" i="198"/>
  <c r="AK112" i="198"/>
  <c r="AJ112" i="198"/>
  <c r="AI112" i="198"/>
  <c r="AH112" i="198"/>
  <c r="AG112" i="198"/>
  <c r="AF112" i="198"/>
  <c r="AE112" i="198"/>
  <c r="AD112" i="198"/>
  <c r="AC112" i="198"/>
  <c r="AB112" i="198"/>
  <c r="AA112" i="198"/>
  <c r="Z112" i="198"/>
  <c r="Y112" i="198"/>
  <c r="X112" i="198"/>
  <c r="W112" i="198"/>
  <c r="V112" i="198"/>
  <c r="U112" i="198"/>
  <c r="T112" i="198"/>
  <c r="S112" i="198"/>
  <c r="R112" i="198"/>
  <c r="Q112" i="198"/>
  <c r="P112" i="198"/>
  <c r="O112" i="198"/>
  <c r="N112" i="198"/>
  <c r="M112" i="198"/>
  <c r="L112" i="198"/>
  <c r="K112" i="198"/>
  <c r="J112" i="198"/>
  <c r="I112" i="198"/>
  <c r="H112" i="198"/>
  <c r="G112" i="198"/>
  <c r="F112" i="198"/>
  <c r="E112" i="198"/>
  <c r="D112" i="198"/>
  <c r="C112" i="198"/>
  <c r="B112" i="198"/>
  <c r="A112" i="198"/>
  <c r="DA111" i="198"/>
  <c r="CZ111" i="198"/>
  <c r="CY111" i="198"/>
  <c r="CX111" i="198"/>
  <c r="CW111" i="198"/>
  <c r="CV111" i="198"/>
  <c r="CU111" i="198"/>
  <c r="CT111" i="198"/>
  <c r="CS111" i="198"/>
  <c r="CR111" i="198"/>
  <c r="CQ111" i="198"/>
  <c r="CP111" i="198"/>
  <c r="CO111" i="198"/>
  <c r="CN111" i="198"/>
  <c r="CM111" i="198"/>
  <c r="CL111" i="198"/>
  <c r="CK111" i="198"/>
  <c r="CJ111" i="198"/>
  <c r="CI111" i="198"/>
  <c r="CH111" i="198"/>
  <c r="CG111" i="198"/>
  <c r="CF111" i="198"/>
  <c r="CE111" i="198"/>
  <c r="CD111" i="198"/>
  <c r="CC111" i="198"/>
  <c r="CB111" i="198"/>
  <c r="CA111" i="198"/>
  <c r="BZ111" i="198"/>
  <c r="BY111" i="198"/>
  <c r="BX111" i="198"/>
  <c r="BW111" i="198"/>
  <c r="BV111" i="198"/>
  <c r="BU111" i="198"/>
  <c r="BT111" i="198"/>
  <c r="BS111" i="198"/>
  <c r="BR111" i="198"/>
  <c r="BQ111" i="198"/>
  <c r="BP111" i="198"/>
  <c r="BO111" i="198"/>
  <c r="BN111" i="198"/>
  <c r="BM111" i="198"/>
  <c r="BL111" i="198"/>
  <c r="BK111" i="198"/>
  <c r="BJ111" i="198"/>
  <c r="BI111" i="198"/>
  <c r="BH111" i="198"/>
  <c r="BG111" i="198"/>
  <c r="BF111" i="198"/>
  <c r="BE111" i="198"/>
  <c r="BD111" i="198"/>
  <c r="BC111" i="198"/>
  <c r="BB111" i="198"/>
  <c r="BA111" i="198"/>
  <c r="AZ111" i="198"/>
  <c r="AY111" i="198"/>
  <c r="AX111" i="198"/>
  <c r="AW111" i="198"/>
  <c r="AV111" i="198"/>
  <c r="AU111" i="198"/>
  <c r="AT111" i="198"/>
  <c r="AS111" i="198"/>
  <c r="AR111" i="198"/>
  <c r="AQ111" i="198"/>
  <c r="AP111" i="198"/>
  <c r="AO111" i="198"/>
  <c r="AN111" i="198"/>
  <c r="AM111" i="198"/>
  <c r="AL111" i="198"/>
  <c r="AK111" i="198"/>
  <c r="AJ111" i="198"/>
  <c r="AI111" i="198"/>
  <c r="AH111" i="198"/>
  <c r="AG111" i="198"/>
  <c r="AF111" i="198"/>
  <c r="AE111" i="198"/>
  <c r="AD111" i="198"/>
  <c r="AC111" i="198"/>
  <c r="AB111" i="198"/>
  <c r="AA111" i="198"/>
  <c r="Z111" i="198"/>
  <c r="Y111" i="198"/>
  <c r="X111" i="198"/>
  <c r="W111" i="198"/>
  <c r="V111" i="198"/>
  <c r="U111" i="198"/>
  <c r="T111" i="198"/>
  <c r="S111" i="198"/>
  <c r="R111" i="198"/>
  <c r="Q111" i="198"/>
  <c r="P111" i="198"/>
  <c r="O111" i="198"/>
  <c r="N111" i="198"/>
  <c r="M111" i="198"/>
  <c r="L111" i="198"/>
  <c r="K111" i="198"/>
  <c r="J111" i="198"/>
  <c r="I111" i="198"/>
  <c r="H111" i="198"/>
  <c r="G111" i="198"/>
  <c r="F111" i="198"/>
  <c r="E111" i="198"/>
  <c r="D111" i="198"/>
  <c r="C111" i="198"/>
  <c r="B111" i="198"/>
  <c r="A111" i="198"/>
  <c r="CS110" i="198"/>
  <c r="CR110" i="198"/>
  <c r="CQ110" i="198"/>
  <c r="CP110" i="198"/>
  <c r="CO110" i="198"/>
  <c r="CN110" i="198"/>
  <c r="CM110" i="198"/>
  <c r="CL110" i="198"/>
  <c r="CK110" i="198"/>
  <c r="CJ110" i="198"/>
  <c r="CI110" i="198"/>
  <c r="CH110" i="198"/>
  <c r="CG110" i="198"/>
  <c r="CF110" i="198"/>
  <c r="CE110" i="198"/>
  <c r="CD110" i="198"/>
  <c r="CC110" i="198"/>
  <c r="CB110" i="198"/>
  <c r="CA110" i="198"/>
  <c r="BZ110" i="198"/>
  <c r="BY110" i="198"/>
  <c r="BX110" i="198"/>
  <c r="BW110" i="198"/>
  <c r="BV110" i="198"/>
  <c r="BU110" i="198"/>
  <c r="BT110" i="198"/>
  <c r="BS110" i="198"/>
  <c r="BR110" i="198"/>
  <c r="BQ110" i="198"/>
  <c r="BP110" i="198"/>
  <c r="BO110" i="198"/>
  <c r="BN110" i="198"/>
  <c r="BM110" i="198"/>
  <c r="BL110" i="198"/>
  <c r="BK110" i="198"/>
  <c r="BJ110" i="198"/>
  <c r="BI110" i="198"/>
  <c r="BH110" i="198"/>
  <c r="BG110" i="198"/>
  <c r="BF110" i="198"/>
  <c r="BE110" i="198"/>
  <c r="BD110" i="198"/>
  <c r="BC110" i="198"/>
  <c r="BB110" i="198"/>
  <c r="BA110" i="198"/>
  <c r="AZ110" i="198"/>
  <c r="AY110" i="198"/>
  <c r="AX110" i="198"/>
  <c r="AW110" i="198"/>
  <c r="AV110" i="198"/>
  <c r="AU110" i="198"/>
  <c r="AT110" i="198"/>
  <c r="AS110" i="198"/>
  <c r="AR110" i="198"/>
  <c r="AQ110" i="198"/>
  <c r="AP110" i="198"/>
  <c r="AO110" i="198"/>
  <c r="AN110" i="198"/>
  <c r="AM110" i="198"/>
  <c r="AL110" i="198"/>
  <c r="AK110" i="198"/>
  <c r="AJ110" i="198"/>
  <c r="AI110" i="198"/>
  <c r="AH110" i="198"/>
  <c r="AG110" i="198"/>
  <c r="AF110" i="198"/>
  <c r="AE110" i="198"/>
  <c r="AD110" i="198"/>
  <c r="AC110" i="198"/>
  <c r="AB110" i="198"/>
  <c r="AA110" i="198"/>
  <c r="Z110" i="198"/>
  <c r="Y110" i="198"/>
  <c r="X110" i="198"/>
  <c r="W110" i="198"/>
  <c r="V110" i="198"/>
  <c r="U110" i="198"/>
  <c r="T110" i="198"/>
  <c r="S110" i="198"/>
  <c r="R110" i="198"/>
  <c r="Q110" i="198"/>
  <c r="P110" i="198"/>
  <c r="O110" i="198"/>
  <c r="N110" i="198"/>
  <c r="M110" i="198"/>
  <c r="L110" i="198"/>
  <c r="K110" i="198"/>
  <c r="J110" i="198"/>
  <c r="I110" i="198"/>
  <c r="H110" i="198"/>
  <c r="G110" i="198"/>
  <c r="F110" i="198"/>
  <c r="E110" i="198"/>
  <c r="D110" i="198"/>
  <c r="C110" i="198"/>
  <c r="B110" i="198"/>
  <c r="A110" i="198"/>
  <c r="CS109" i="198"/>
  <c r="CR109" i="198"/>
  <c r="CQ109" i="198"/>
  <c r="CP109" i="198"/>
  <c r="CO109" i="198"/>
  <c r="CN109" i="198"/>
  <c r="CM109" i="198"/>
  <c r="CL109" i="198"/>
  <c r="CK109" i="198"/>
  <c r="CJ109" i="198"/>
  <c r="CI109" i="198"/>
  <c r="CH109" i="198"/>
  <c r="CG109" i="198"/>
  <c r="CF109" i="198"/>
  <c r="CE109" i="198"/>
  <c r="CD109" i="198"/>
  <c r="CC109" i="198"/>
  <c r="CB109" i="198"/>
  <c r="CA109" i="198"/>
  <c r="BZ109" i="198"/>
  <c r="BY109" i="198"/>
  <c r="BX109" i="198"/>
  <c r="BW109" i="198"/>
  <c r="BV109" i="198"/>
  <c r="BU109" i="198"/>
  <c r="BT109" i="198"/>
  <c r="BS109" i="198"/>
  <c r="BR109" i="198"/>
  <c r="BQ109" i="198"/>
  <c r="BP109" i="198"/>
  <c r="BO109" i="198"/>
  <c r="BN109" i="198"/>
  <c r="BM109" i="198"/>
  <c r="BL109" i="198"/>
  <c r="BK109" i="198"/>
  <c r="BJ109" i="198"/>
  <c r="BI109" i="198"/>
  <c r="BH109" i="198"/>
  <c r="BG109" i="198"/>
  <c r="BF109" i="198"/>
  <c r="BE109" i="198"/>
  <c r="BD109" i="198"/>
  <c r="BC109" i="198"/>
  <c r="BB109" i="198"/>
  <c r="BA109" i="198"/>
  <c r="AZ109" i="198"/>
  <c r="AY109" i="198"/>
  <c r="AX109" i="198"/>
  <c r="AW109" i="198"/>
  <c r="AV109" i="198"/>
  <c r="AU109" i="198"/>
  <c r="AT109" i="198"/>
  <c r="AS109" i="198"/>
  <c r="AR109" i="198"/>
  <c r="AQ109" i="198"/>
  <c r="AP109" i="198"/>
  <c r="AO109" i="198"/>
  <c r="AN109" i="198"/>
  <c r="AM109" i="198"/>
  <c r="AL109" i="198"/>
  <c r="AK109" i="198"/>
  <c r="AJ109" i="198"/>
  <c r="AI109" i="198"/>
  <c r="AH109" i="198"/>
  <c r="AG109" i="198"/>
  <c r="AF109" i="198"/>
  <c r="AE109" i="198"/>
  <c r="AD109" i="198"/>
  <c r="AC109" i="198"/>
  <c r="AB109" i="198"/>
  <c r="AA109" i="198"/>
  <c r="Z109" i="198"/>
  <c r="Y109" i="198"/>
  <c r="X109" i="198"/>
  <c r="W109" i="198"/>
  <c r="V109" i="198"/>
  <c r="U109" i="198"/>
  <c r="T109" i="198"/>
  <c r="S109" i="198"/>
  <c r="R109" i="198"/>
  <c r="Q109" i="198"/>
  <c r="P109" i="198"/>
  <c r="O109" i="198"/>
  <c r="N109" i="198"/>
  <c r="M109" i="198"/>
  <c r="L109" i="198"/>
  <c r="K109" i="198"/>
  <c r="J109" i="198"/>
  <c r="I109" i="198"/>
  <c r="H109" i="198"/>
  <c r="G109" i="198"/>
  <c r="F109" i="198"/>
  <c r="E109" i="198"/>
  <c r="D109" i="198"/>
  <c r="C109" i="198"/>
  <c r="B109" i="198"/>
  <c r="A109" i="198"/>
  <c r="A104" i="198"/>
  <c r="EB97" i="198"/>
  <c r="EA97" i="198"/>
  <c r="DZ97" i="198"/>
  <c r="DY97" i="198"/>
  <c r="DX97" i="198"/>
  <c r="DW97" i="198"/>
  <c r="DV97" i="198"/>
  <c r="DU97" i="198"/>
  <c r="DT97" i="198"/>
  <c r="DS97" i="198"/>
  <c r="DR97" i="198"/>
  <c r="DQ97" i="198"/>
  <c r="DP97" i="198"/>
  <c r="DO97" i="198"/>
  <c r="DN97" i="198"/>
  <c r="DM97" i="198"/>
  <c r="DL97" i="198"/>
  <c r="DK97" i="198"/>
  <c r="DJ97" i="198"/>
  <c r="DI97" i="198"/>
  <c r="DH97" i="198"/>
  <c r="DG97" i="198"/>
  <c r="DF97" i="198"/>
  <c r="DE97" i="198"/>
  <c r="DD97" i="198"/>
  <c r="DC97" i="198"/>
  <c r="EB96" i="198"/>
  <c r="EA96" i="198"/>
  <c r="DZ96" i="198"/>
  <c r="DY96" i="198"/>
  <c r="DX96" i="198"/>
  <c r="DW96" i="198"/>
  <c r="DV96" i="198"/>
  <c r="DU96" i="198"/>
  <c r="DT96" i="198"/>
  <c r="DS96" i="198"/>
  <c r="DR96" i="198"/>
  <c r="DQ96" i="198"/>
  <c r="DP96" i="198"/>
  <c r="DO96" i="198"/>
  <c r="DN96" i="198"/>
  <c r="DM96" i="198"/>
  <c r="DL96" i="198"/>
  <c r="DK96" i="198"/>
  <c r="DJ96" i="198"/>
  <c r="DI96" i="198"/>
  <c r="DH96" i="198"/>
  <c r="DG96" i="198"/>
  <c r="DF96" i="198"/>
  <c r="DE96" i="198"/>
  <c r="DD96" i="198"/>
  <c r="DC96" i="198"/>
  <c r="EB95" i="198"/>
  <c r="EA95" i="198"/>
  <c r="DZ95" i="198"/>
  <c r="DY95" i="198"/>
  <c r="DX95" i="198"/>
  <c r="DW95" i="198"/>
  <c r="DV95" i="198"/>
  <c r="DU95" i="198"/>
  <c r="DT95" i="198"/>
  <c r="DS95" i="198"/>
  <c r="DR95" i="198"/>
  <c r="DQ95" i="198"/>
  <c r="DP95" i="198"/>
  <c r="DO95" i="198"/>
  <c r="DN95" i="198"/>
  <c r="DM95" i="198"/>
  <c r="DL95" i="198"/>
  <c r="DK95" i="198"/>
  <c r="DJ95" i="198"/>
  <c r="DI95" i="198"/>
  <c r="DH95" i="198"/>
  <c r="DG95" i="198"/>
  <c r="DF95" i="198"/>
  <c r="DE95" i="198"/>
  <c r="DD95" i="198"/>
  <c r="DC95" i="198"/>
  <c r="EB94" i="198"/>
  <c r="EA94" i="198"/>
  <c r="DZ94" i="198"/>
  <c r="DY94" i="198"/>
  <c r="DX94" i="198"/>
  <c r="DW94" i="198"/>
  <c r="DV94" i="198"/>
  <c r="DU94" i="198"/>
  <c r="DT94" i="198"/>
  <c r="DS94" i="198"/>
  <c r="DR94" i="198"/>
  <c r="DQ94" i="198"/>
  <c r="DP94" i="198"/>
  <c r="DO94" i="198"/>
  <c r="DN94" i="198"/>
  <c r="DM94" i="198"/>
  <c r="DL94" i="198"/>
  <c r="DK94" i="198"/>
  <c r="DJ94" i="198"/>
  <c r="DI94" i="198"/>
  <c r="DH94" i="198"/>
  <c r="DG94" i="198"/>
  <c r="DF94" i="198"/>
  <c r="DE94" i="198"/>
  <c r="DD94" i="198"/>
  <c r="DC94" i="198"/>
  <c r="EB93" i="198"/>
  <c r="EA93" i="198"/>
  <c r="DZ93" i="198"/>
  <c r="DY93" i="198"/>
  <c r="DX93" i="198"/>
  <c r="DW93" i="198"/>
  <c r="DV93" i="198"/>
  <c r="DU93" i="198"/>
  <c r="DT93" i="198"/>
  <c r="DS93" i="198"/>
  <c r="DR93" i="198"/>
  <c r="DQ93" i="198"/>
  <c r="DP93" i="198"/>
  <c r="DO93" i="198"/>
  <c r="DN93" i="198"/>
  <c r="DM93" i="198"/>
  <c r="DL93" i="198"/>
  <c r="DK93" i="198"/>
  <c r="DJ93" i="198"/>
  <c r="DI93" i="198"/>
  <c r="DH93" i="198"/>
  <c r="DG93" i="198"/>
  <c r="DF93" i="198"/>
  <c r="DE93" i="198"/>
  <c r="DD93" i="198"/>
  <c r="DC93" i="198"/>
  <c r="EB92" i="198"/>
  <c r="EA92" i="198"/>
  <c r="DZ92" i="198"/>
  <c r="DY92" i="198"/>
  <c r="DX92" i="198"/>
  <c r="DW92" i="198"/>
  <c r="DV92" i="198"/>
  <c r="DU92" i="198"/>
  <c r="DT92" i="198"/>
  <c r="DS92" i="198"/>
  <c r="DR92" i="198"/>
  <c r="DQ92" i="198"/>
  <c r="DP92" i="198"/>
  <c r="DO92" i="198"/>
  <c r="DN92" i="198"/>
  <c r="DM92" i="198"/>
  <c r="DL92" i="198"/>
  <c r="DK92" i="198"/>
  <c r="DJ92" i="198"/>
  <c r="DI92" i="198"/>
  <c r="DH92" i="198"/>
  <c r="DG92" i="198"/>
  <c r="DF92" i="198"/>
  <c r="DE92" i="198"/>
  <c r="DD92" i="198"/>
  <c r="DC92" i="198"/>
  <c r="CS97" i="198"/>
  <c r="CR97" i="198"/>
  <c r="CQ97" i="198"/>
  <c r="CP97" i="198"/>
  <c r="CO97" i="198"/>
  <c r="CN97" i="198"/>
  <c r="CM97" i="198"/>
  <c r="CL97" i="198"/>
  <c r="CK97" i="198"/>
  <c r="CJ97" i="198"/>
  <c r="CI97" i="198"/>
  <c r="CH97" i="198"/>
  <c r="CG97" i="198"/>
  <c r="CF97" i="198"/>
  <c r="CE97" i="198"/>
  <c r="CD97" i="198"/>
  <c r="CC97" i="198"/>
  <c r="CB97" i="198"/>
  <c r="CA97" i="198"/>
  <c r="BZ97" i="198"/>
  <c r="BY97" i="198"/>
  <c r="BX97" i="198"/>
  <c r="BW97" i="198"/>
  <c r="BV97" i="198"/>
  <c r="BU97" i="198"/>
  <c r="BT97" i="198"/>
  <c r="BS97" i="198"/>
  <c r="BR97" i="198"/>
  <c r="BQ97" i="198"/>
  <c r="BP97" i="198"/>
  <c r="BO97" i="198"/>
  <c r="BN97" i="198"/>
  <c r="BM97" i="198"/>
  <c r="BL97" i="198"/>
  <c r="BK97" i="198"/>
  <c r="BJ97" i="198"/>
  <c r="BI97" i="198"/>
  <c r="BH97" i="198"/>
  <c r="BG97" i="198"/>
  <c r="BF97" i="198"/>
  <c r="BE97" i="198"/>
  <c r="BD97" i="198"/>
  <c r="BC97" i="198"/>
  <c r="BB97" i="198"/>
  <c r="BA97" i="198"/>
  <c r="AZ97" i="198"/>
  <c r="AY97" i="198"/>
  <c r="AX97" i="198"/>
  <c r="AW97" i="198"/>
  <c r="AV97" i="198"/>
  <c r="AU97" i="198"/>
  <c r="AT97" i="198"/>
  <c r="AS97" i="198"/>
  <c r="AR97" i="198"/>
  <c r="AQ97" i="198"/>
  <c r="AP97" i="198"/>
  <c r="AO97" i="198"/>
  <c r="AN97" i="198"/>
  <c r="AM97" i="198"/>
  <c r="AL97" i="198"/>
  <c r="AK97" i="198"/>
  <c r="AJ97" i="198"/>
  <c r="AI97" i="198"/>
  <c r="AH97" i="198"/>
  <c r="AG97" i="198"/>
  <c r="AF97" i="198"/>
  <c r="AE97" i="198"/>
  <c r="AD97" i="198"/>
  <c r="AC97" i="198"/>
  <c r="AB97" i="198"/>
  <c r="AA97" i="198"/>
  <c r="Z97" i="198"/>
  <c r="Y97" i="198"/>
  <c r="X97" i="198"/>
  <c r="W97" i="198"/>
  <c r="V97" i="198"/>
  <c r="U97" i="198"/>
  <c r="T97" i="198"/>
  <c r="S97" i="198"/>
  <c r="R97" i="198"/>
  <c r="Q97" i="198"/>
  <c r="P97" i="198"/>
  <c r="O97" i="198"/>
  <c r="N97" i="198"/>
  <c r="M97" i="198"/>
  <c r="L97" i="198"/>
  <c r="K97" i="198"/>
  <c r="J97" i="198"/>
  <c r="I97" i="198"/>
  <c r="H97" i="198"/>
  <c r="G97" i="198"/>
  <c r="F97" i="198"/>
  <c r="E97" i="198"/>
  <c r="D97" i="198"/>
  <c r="C97" i="198"/>
  <c r="B97" i="198"/>
  <c r="A97" i="198"/>
  <c r="CS96" i="198"/>
  <c r="CR96" i="198"/>
  <c r="CQ96" i="198"/>
  <c r="CP96" i="198"/>
  <c r="CO96" i="198"/>
  <c r="CN96" i="198"/>
  <c r="CM96" i="198"/>
  <c r="CL96" i="198"/>
  <c r="CK96" i="198"/>
  <c r="CJ96" i="198"/>
  <c r="CI96" i="198"/>
  <c r="CH96" i="198"/>
  <c r="CG96" i="198"/>
  <c r="CF96" i="198"/>
  <c r="CE96" i="198"/>
  <c r="CD96" i="198"/>
  <c r="CC96" i="198"/>
  <c r="CB96" i="198"/>
  <c r="CA96" i="198"/>
  <c r="BZ96" i="198"/>
  <c r="BY96" i="198"/>
  <c r="BX96" i="198"/>
  <c r="BW96" i="198"/>
  <c r="BV96" i="198"/>
  <c r="BU96" i="198"/>
  <c r="BT96" i="198"/>
  <c r="BS96" i="198"/>
  <c r="BR96" i="198"/>
  <c r="BQ96" i="198"/>
  <c r="BP96" i="198"/>
  <c r="BO96" i="198"/>
  <c r="BN96" i="198"/>
  <c r="BM96" i="198"/>
  <c r="BL96" i="198"/>
  <c r="BK96" i="198"/>
  <c r="BJ96" i="198"/>
  <c r="BI96" i="198"/>
  <c r="BH96" i="198"/>
  <c r="BG96" i="198"/>
  <c r="BF96" i="198"/>
  <c r="BE96" i="198"/>
  <c r="BD96" i="198"/>
  <c r="BC96" i="198"/>
  <c r="BB96" i="198"/>
  <c r="BA96" i="198"/>
  <c r="AZ96" i="198"/>
  <c r="AY96" i="198"/>
  <c r="AX96" i="198"/>
  <c r="AW96" i="198"/>
  <c r="AV96" i="198"/>
  <c r="AU96" i="198"/>
  <c r="AT96" i="198"/>
  <c r="AS96" i="198"/>
  <c r="AR96" i="198"/>
  <c r="AQ96" i="198"/>
  <c r="AP96" i="198"/>
  <c r="AO96" i="198"/>
  <c r="AN96" i="198"/>
  <c r="AM96" i="198"/>
  <c r="AL96" i="198"/>
  <c r="AK96" i="198"/>
  <c r="AJ96" i="198"/>
  <c r="AI96" i="198"/>
  <c r="AH96" i="198"/>
  <c r="AG96" i="198"/>
  <c r="AF96" i="198"/>
  <c r="AE96" i="198"/>
  <c r="AD96" i="198"/>
  <c r="AC96" i="198"/>
  <c r="AB96" i="198"/>
  <c r="AA96" i="198"/>
  <c r="Z96" i="198"/>
  <c r="Y96" i="198"/>
  <c r="X96" i="198"/>
  <c r="W96" i="198"/>
  <c r="V96" i="198"/>
  <c r="U96" i="198"/>
  <c r="T96" i="198"/>
  <c r="S96" i="198"/>
  <c r="R96" i="198"/>
  <c r="Q96" i="198"/>
  <c r="P96" i="198"/>
  <c r="O96" i="198"/>
  <c r="N96" i="198"/>
  <c r="M96" i="198"/>
  <c r="L96" i="198"/>
  <c r="K96" i="198"/>
  <c r="J96" i="198"/>
  <c r="I96" i="198"/>
  <c r="H96" i="198"/>
  <c r="G96" i="198"/>
  <c r="F96" i="198"/>
  <c r="E96" i="198"/>
  <c r="D96" i="198"/>
  <c r="C96" i="198"/>
  <c r="B96" i="198"/>
  <c r="A96" i="198"/>
  <c r="CS95" i="198"/>
  <c r="CR95" i="198"/>
  <c r="CQ95" i="198"/>
  <c r="CP95" i="198"/>
  <c r="CO95" i="198"/>
  <c r="CN95" i="198"/>
  <c r="CM95" i="198"/>
  <c r="CL95" i="198"/>
  <c r="CK95" i="198"/>
  <c r="CJ95" i="198"/>
  <c r="CI95" i="198"/>
  <c r="CH95" i="198"/>
  <c r="CG95" i="198"/>
  <c r="CF95" i="198"/>
  <c r="CE95" i="198"/>
  <c r="CD95" i="198"/>
  <c r="CC95" i="198"/>
  <c r="CB95" i="198"/>
  <c r="CA95" i="198"/>
  <c r="BZ95" i="198"/>
  <c r="BY95" i="198"/>
  <c r="BX95" i="198"/>
  <c r="BW95" i="198"/>
  <c r="BV95" i="198"/>
  <c r="BU95" i="198"/>
  <c r="BT95" i="198"/>
  <c r="BS95" i="198"/>
  <c r="BR95" i="198"/>
  <c r="BQ95" i="198"/>
  <c r="BP95" i="198"/>
  <c r="BO95" i="198"/>
  <c r="BN95" i="198"/>
  <c r="BM95" i="198"/>
  <c r="BL95" i="198"/>
  <c r="BK95" i="198"/>
  <c r="BJ95" i="198"/>
  <c r="BI95" i="198"/>
  <c r="BH95" i="198"/>
  <c r="BG95" i="198"/>
  <c r="BF95" i="198"/>
  <c r="BE95" i="198"/>
  <c r="BD95" i="198"/>
  <c r="BC95" i="198"/>
  <c r="BB95" i="198"/>
  <c r="BA95" i="198"/>
  <c r="AZ95" i="198"/>
  <c r="AY95" i="198"/>
  <c r="AX95" i="198"/>
  <c r="AW95" i="198"/>
  <c r="AV95" i="198"/>
  <c r="AU95" i="198"/>
  <c r="AT95" i="198"/>
  <c r="AS95" i="198"/>
  <c r="AR95" i="198"/>
  <c r="AQ95" i="198"/>
  <c r="AP95" i="198"/>
  <c r="AO95" i="198"/>
  <c r="AN95" i="198"/>
  <c r="AM95" i="198"/>
  <c r="AL95" i="198"/>
  <c r="AK95" i="198"/>
  <c r="AJ95" i="198"/>
  <c r="AI95" i="198"/>
  <c r="AH95" i="198"/>
  <c r="AG95" i="198"/>
  <c r="AF95" i="198"/>
  <c r="AE95" i="198"/>
  <c r="AD95" i="198"/>
  <c r="AC95" i="198"/>
  <c r="AB95" i="198"/>
  <c r="AA95" i="198"/>
  <c r="Z95" i="198"/>
  <c r="Y95" i="198"/>
  <c r="X95" i="198"/>
  <c r="W95" i="198"/>
  <c r="V95" i="198"/>
  <c r="U95" i="198"/>
  <c r="T95" i="198"/>
  <c r="S95" i="198"/>
  <c r="R95" i="198"/>
  <c r="Q95" i="198"/>
  <c r="P95" i="198"/>
  <c r="O95" i="198"/>
  <c r="N95" i="198"/>
  <c r="M95" i="198"/>
  <c r="L95" i="198"/>
  <c r="K95" i="198"/>
  <c r="J95" i="198"/>
  <c r="I95" i="198"/>
  <c r="H95" i="198"/>
  <c r="G95" i="198"/>
  <c r="F95" i="198"/>
  <c r="E95" i="198"/>
  <c r="D95" i="198"/>
  <c r="C95" i="198"/>
  <c r="B95" i="198"/>
  <c r="A95" i="198"/>
  <c r="CS94" i="198"/>
  <c r="CR94" i="198"/>
  <c r="CQ94" i="198"/>
  <c r="CP94" i="198"/>
  <c r="CO94" i="198"/>
  <c r="CN94" i="198"/>
  <c r="CM94" i="198"/>
  <c r="CL94" i="198"/>
  <c r="CK94" i="198"/>
  <c r="CJ94" i="198"/>
  <c r="CI94" i="198"/>
  <c r="CH94" i="198"/>
  <c r="CG94" i="198"/>
  <c r="CF94" i="198"/>
  <c r="CE94" i="198"/>
  <c r="CD94" i="198"/>
  <c r="CC94" i="198"/>
  <c r="CB94" i="198"/>
  <c r="CA94" i="198"/>
  <c r="BZ94" i="198"/>
  <c r="BY94" i="198"/>
  <c r="BX94" i="198"/>
  <c r="BW94" i="198"/>
  <c r="BV94" i="198"/>
  <c r="BU94" i="198"/>
  <c r="BT94" i="198"/>
  <c r="BS94" i="198"/>
  <c r="BR94" i="198"/>
  <c r="BQ94" i="198"/>
  <c r="BP94" i="198"/>
  <c r="BO94" i="198"/>
  <c r="BN94" i="198"/>
  <c r="BM94" i="198"/>
  <c r="BL94" i="198"/>
  <c r="BK94" i="198"/>
  <c r="BJ94" i="198"/>
  <c r="BI94" i="198"/>
  <c r="BH94" i="198"/>
  <c r="BG94" i="198"/>
  <c r="BF94" i="198"/>
  <c r="BE94" i="198"/>
  <c r="BD94" i="198"/>
  <c r="BC94" i="198"/>
  <c r="BB94" i="198"/>
  <c r="BA94" i="198"/>
  <c r="AZ94" i="198"/>
  <c r="AY94" i="198"/>
  <c r="AX94" i="198"/>
  <c r="AW94" i="198"/>
  <c r="AV94" i="198"/>
  <c r="AU94" i="198"/>
  <c r="AT94" i="198"/>
  <c r="AS94" i="198"/>
  <c r="AR94" i="198"/>
  <c r="AQ94" i="198"/>
  <c r="AP94" i="198"/>
  <c r="AO94" i="198"/>
  <c r="AN94" i="198"/>
  <c r="AM94" i="198"/>
  <c r="AL94" i="198"/>
  <c r="AK94" i="198"/>
  <c r="AJ94" i="198"/>
  <c r="AI94" i="198"/>
  <c r="AH94" i="198"/>
  <c r="AG94" i="198"/>
  <c r="AF94" i="198"/>
  <c r="AE94" i="198"/>
  <c r="AD94" i="198"/>
  <c r="AC94" i="198"/>
  <c r="AB94" i="198"/>
  <c r="AA94" i="198"/>
  <c r="Z94" i="198"/>
  <c r="Y94" i="198"/>
  <c r="X94" i="198"/>
  <c r="W94" i="198"/>
  <c r="V94" i="198"/>
  <c r="U94" i="198"/>
  <c r="T94" i="198"/>
  <c r="S94" i="198"/>
  <c r="R94" i="198"/>
  <c r="Q94" i="198"/>
  <c r="P94" i="198"/>
  <c r="O94" i="198"/>
  <c r="N94" i="198"/>
  <c r="M94" i="198"/>
  <c r="L94" i="198"/>
  <c r="K94" i="198"/>
  <c r="J94" i="198"/>
  <c r="I94" i="198"/>
  <c r="H94" i="198"/>
  <c r="G94" i="198"/>
  <c r="F94" i="198"/>
  <c r="E94" i="198"/>
  <c r="D94" i="198"/>
  <c r="C94" i="198"/>
  <c r="B94" i="198"/>
  <c r="A94" i="198"/>
  <c r="CS93" i="198"/>
  <c r="CR93" i="198"/>
  <c r="CQ93" i="198"/>
  <c r="CP93" i="198"/>
  <c r="CO93" i="198"/>
  <c r="CN93" i="198"/>
  <c r="CM93" i="198"/>
  <c r="CL93" i="198"/>
  <c r="CK93" i="198"/>
  <c r="CJ93" i="198"/>
  <c r="CI93" i="198"/>
  <c r="CH93" i="198"/>
  <c r="CG93" i="198"/>
  <c r="CF93" i="198"/>
  <c r="CE93" i="198"/>
  <c r="CD93" i="198"/>
  <c r="CC93" i="198"/>
  <c r="CB93" i="198"/>
  <c r="CA93" i="198"/>
  <c r="BZ93" i="198"/>
  <c r="BY93" i="198"/>
  <c r="BX93" i="198"/>
  <c r="BW93" i="198"/>
  <c r="BV93" i="198"/>
  <c r="BU93" i="198"/>
  <c r="BT93" i="198"/>
  <c r="BS93" i="198"/>
  <c r="BR93" i="198"/>
  <c r="BQ93" i="198"/>
  <c r="BP93" i="198"/>
  <c r="BO93" i="198"/>
  <c r="BN93" i="198"/>
  <c r="BM93" i="198"/>
  <c r="BL93" i="198"/>
  <c r="BK93" i="198"/>
  <c r="BJ93" i="198"/>
  <c r="BI93" i="198"/>
  <c r="BH93" i="198"/>
  <c r="BG93" i="198"/>
  <c r="BF93" i="198"/>
  <c r="BE93" i="198"/>
  <c r="BD93" i="198"/>
  <c r="BC93" i="198"/>
  <c r="BB93" i="198"/>
  <c r="BA93" i="198"/>
  <c r="AZ93" i="198"/>
  <c r="AY93" i="198"/>
  <c r="AX93" i="198"/>
  <c r="AW93" i="198"/>
  <c r="AV93" i="198"/>
  <c r="AU93" i="198"/>
  <c r="AT93" i="198"/>
  <c r="AS93" i="198"/>
  <c r="AR93" i="198"/>
  <c r="AQ93" i="198"/>
  <c r="AP93" i="198"/>
  <c r="AO93" i="198"/>
  <c r="AN93" i="198"/>
  <c r="AM93" i="198"/>
  <c r="AL93" i="198"/>
  <c r="AK93" i="198"/>
  <c r="AJ93" i="198"/>
  <c r="AI93" i="198"/>
  <c r="AH93" i="198"/>
  <c r="AG93" i="198"/>
  <c r="AF93" i="198"/>
  <c r="AE93" i="198"/>
  <c r="AD93" i="198"/>
  <c r="AC93" i="198"/>
  <c r="AB93" i="198"/>
  <c r="AA93" i="198"/>
  <c r="Z93" i="198"/>
  <c r="Y93" i="198"/>
  <c r="X93" i="198"/>
  <c r="W93" i="198"/>
  <c r="V93" i="198"/>
  <c r="U93" i="198"/>
  <c r="T93" i="198"/>
  <c r="S93" i="198"/>
  <c r="R93" i="198"/>
  <c r="Q93" i="198"/>
  <c r="P93" i="198"/>
  <c r="O93" i="198"/>
  <c r="N93" i="198"/>
  <c r="M93" i="198"/>
  <c r="L93" i="198"/>
  <c r="K93" i="198"/>
  <c r="J93" i="198"/>
  <c r="I93" i="198"/>
  <c r="H93" i="198"/>
  <c r="G93" i="198"/>
  <c r="F93" i="198"/>
  <c r="E93" i="198"/>
  <c r="D93" i="198"/>
  <c r="C93" i="198"/>
  <c r="B93" i="198"/>
  <c r="A93" i="198"/>
  <c r="CS92" i="198"/>
  <c r="CR92" i="198"/>
  <c r="CQ92" i="198"/>
  <c r="CP92" i="198"/>
  <c r="CO92" i="198"/>
  <c r="CN92" i="198"/>
  <c r="CM92" i="198"/>
  <c r="CL92" i="198"/>
  <c r="CK92" i="198"/>
  <c r="CJ92" i="198"/>
  <c r="CI92" i="198"/>
  <c r="CH92" i="198"/>
  <c r="CG92" i="198"/>
  <c r="CF92" i="198"/>
  <c r="CE92" i="198"/>
  <c r="CD92" i="198"/>
  <c r="CC92" i="198"/>
  <c r="CB92" i="198"/>
  <c r="CA92" i="198"/>
  <c r="BZ92" i="198"/>
  <c r="BY92" i="198"/>
  <c r="BX92" i="198"/>
  <c r="BW92" i="198"/>
  <c r="BV92" i="198"/>
  <c r="BU92" i="198"/>
  <c r="BT92" i="198"/>
  <c r="BS92" i="198"/>
  <c r="BR92" i="198"/>
  <c r="BQ92" i="198"/>
  <c r="BP92" i="198"/>
  <c r="BO92" i="198"/>
  <c r="BN92" i="198"/>
  <c r="BM92" i="198"/>
  <c r="BL92" i="198"/>
  <c r="BK92" i="198"/>
  <c r="BJ92" i="198"/>
  <c r="BI92" i="198"/>
  <c r="BH92" i="198"/>
  <c r="BG92" i="198"/>
  <c r="BF92" i="198"/>
  <c r="BE92" i="198"/>
  <c r="BD92" i="198"/>
  <c r="BC92" i="198"/>
  <c r="BB92" i="198"/>
  <c r="BA92" i="198"/>
  <c r="AZ92" i="198"/>
  <c r="AY92" i="198"/>
  <c r="AX92" i="198"/>
  <c r="AW92" i="198"/>
  <c r="AV92" i="198"/>
  <c r="AU92" i="198"/>
  <c r="AT92" i="198"/>
  <c r="AS92" i="198"/>
  <c r="AR92" i="198"/>
  <c r="AQ92" i="198"/>
  <c r="AP92" i="198"/>
  <c r="AO92" i="198"/>
  <c r="AN92" i="198"/>
  <c r="AM92" i="198"/>
  <c r="AL92" i="198"/>
  <c r="AK92" i="198"/>
  <c r="AJ92" i="198"/>
  <c r="AI92" i="198"/>
  <c r="AH92" i="198"/>
  <c r="AG92" i="198"/>
  <c r="AF92" i="198"/>
  <c r="AE92" i="198"/>
  <c r="AD92" i="198"/>
  <c r="AC92" i="198"/>
  <c r="AB92" i="198"/>
  <c r="AA92" i="198"/>
  <c r="Z92" i="198"/>
  <c r="Y92" i="198"/>
  <c r="X92" i="198"/>
  <c r="W92" i="198"/>
  <c r="V92" i="198"/>
  <c r="U92" i="198"/>
  <c r="T92" i="198"/>
  <c r="S92" i="198"/>
  <c r="R92" i="198"/>
  <c r="Q92" i="198"/>
  <c r="P92" i="198"/>
  <c r="O92" i="198"/>
  <c r="N92" i="198"/>
  <c r="M92" i="198"/>
  <c r="L92" i="198"/>
  <c r="K92" i="198"/>
  <c r="J92" i="198"/>
  <c r="I92" i="198"/>
  <c r="H92" i="198"/>
  <c r="G92" i="198"/>
  <c r="F92" i="198"/>
  <c r="E92" i="198"/>
  <c r="D92" i="198"/>
  <c r="C92" i="198"/>
  <c r="B92" i="198"/>
  <c r="A92" i="198"/>
  <c r="A91" i="198"/>
  <c r="EB89" i="198"/>
  <c r="EA89" i="198"/>
  <c r="DZ89" i="198"/>
  <c r="DY89" i="198"/>
  <c r="DX89" i="198"/>
  <c r="DW89" i="198"/>
  <c r="DV89" i="198"/>
  <c r="DU89" i="198"/>
  <c r="DT89" i="198"/>
  <c r="DS89" i="198"/>
  <c r="DR89" i="198"/>
  <c r="DQ89" i="198"/>
  <c r="DP89" i="198"/>
  <c r="DO89" i="198"/>
  <c r="DN89" i="198"/>
  <c r="DM89" i="198"/>
  <c r="DL89" i="198"/>
  <c r="DK89" i="198"/>
  <c r="DJ89" i="198"/>
  <c r="DI89" i="198"/>
  <c r="DH89" i="198"/>
  <c r="DG89" i="198"/>
  <c r="DF89" i="198"/>
  <c r="DE89" i="198"/>
  <c r="DD89" i="198"/>
  <c r="DC89" i="198"/>
  <c r="EB88" i="198"/>
  <c r="EA88" i="198"/>
  <c r="DZ88" i="198"/>
  <c r="DY88" i="198"/>
  <c r="DX88" i="198"/>
  <c r="DW88" i="198"/>
  <c r="DV88" i="198"/>
  <c r="DU88" i="198"/>
  <c r="DT88" i="198"/>
  <c r="DS88" i="198"/>
  <c r="DR88" i="198"/>
  <c r="DQ88" i="198"/>
  <c r="DP88" i="198"/>
  <c r="DO88" i="198"/>
  <c r="DN88" i="198"/>
  <c r="DM88" i="198"/>
  <c r="DL88" i="198"/>
  <c r="DK88" i="198"/>
  <c r="DJ88" i="198"/>
  <c r="DI88" i="198"/>
  <c r="DH88" i="198"/>
  <c r="DG88" i="198"/>
  <c r="DF88" i="198"/>
  <c r="DE88" i="198"/>
  <c r="DD88" i="198"/>
  <c r="DC88" i="198"/>
  <c r="EB87" i="198"/>
  <c r="EA87" i="198"/>
  <c r="DZ87" i="198"/>
  <c r="DY87" i="198"/>
  <c r="DX87" i="198"/>
  <c r="DW87" i="198"/>
  <c r="DV87" i="198"/>
  <c r="DU87" i="198"/>
  <c r="DT87" i="198"/>
  <c r="DS87" i="198"/>
  <c r="DR87" i="198"/>
  <c r="DQ87" i="198"/>
  <c r="DP87" i="198"/>
  <c r="DO87" i="198"/>
  <c r="DN87" i="198"/>
  <c r="DM87" i="198"/>
  <c r="DL87" i="198"/>
  <c r="DK87" i="198"/>
  <c r="DJ87" i="198"/>
  <c r="DI87" i="198"/>
  <c r="DH87" i="198"/>
  <c r="DG87" i="198"/>
  <c r="DF87" i="198"/>
  <c r="DE87" i="198"/>
  <c r="DD87" i="198"/>
  <c r="DC87" i="198"/>
  <c r="EB86" i="198"/>
  <c r="EA86" i="198"/>
  <c r="DZ86" i="198"/>
  <c r="DY86" i="198"/>
  <c r="DX86" i="198"/>
  <c r="DW86" i="198"/>
  <c r="DV86" i="198"/>
  <c r="DU86" i="198"/>
  <c r="DT86" i="198"/>
  <c r="DS86" i="198"/>
  <c r="DR86" i="198"/>
  <c r="DQ86" i="198"/>
  <c r="DP86" i="198"/>
  <c r="DO86" i="198"/>
  <c r="DN86" i="198"/>
  <c r="DM86" i="198"/>
  <c r="DL86" i="198"/>
  <c r="DK86" i="198"/>
  <c r="DJ86" i="198"/>
  <c r="DI86" i="198"/>
  <c r="DH86" i="198"/>
  <c r="DG86" i="198"/>
  <c r="DF86" i="198"/>
  <c r="DE86" i="198"/>
  <c r="DD86" i="198"/>
  <c r="DC86" i="198"/>
  <c r="EB85" i="198"/>
  <c r="EA85" i="198"/>
  <c r="DZ85" i="198"/>
  <c r="DY85" i="198"/>
  <c r="DX85" i="198"/>
  <c r="DW85" i="198"/>
  <c r="DV85" i="198"/>
  <c r="DU85" i="198"/>
  <c r="DT85" i="198"/>
  <c r="DS85" i="198"/>
  <c r="DR85" i="198"/>
  <c r="DQ85" i="198"/>
  <c r="DP85" i="198"/>
  <c r="DO85" i="198"/>
  <c r="DN85" i="198"/>
  <c r="DM85" i="198"/>
  <c r="DL85" i="198"/>
  <c r="DK85" i="198"/>
  <c r="DJ85" i="198"/>
  <c r="DI85" i="198"/>
  <c r="DH85" i="198"/>
  <c r="DG85" i="198"/>
  <c r="DF85" i="198"/>
  <c r="DE85" i="198"/>
  <c r="DD85" i="198"/>
  <c r="DC85" i="198"/>
  <c r="EB84" i="198"/>
  <c r="EA84" i="198"/>
  <c r="DZ84" i="198"/>
  <c r="DY84" i="198"/>
  <c r="DX84" i="198"/>
  <c r="DW84" i="198"/>
  <c r="DV84" i="198"/>
  <c r="DU84" i="198"/>
  <c r="DT84" i="198"/>
  <c r="DS84" i="198"/>
  <c r="DR84" i="198"/>
  <c r="DQ84" i="198"/>
  <c r="DP84" i="198"/>
  <c r="DO84" i="198"/>
  <c r="DN84" i="198"/>
  <c r="DM84" i="198"/>
  <c r="DL84" i="198"/>
  <c r="DK84" i="198"/>
  <c r="DJ84" i="198"/>
  <c r="DI84" i="198"/>
  <c r="DH84" i="198"/>
  <c r="DG84" i="198"/>
  <c r="DF84" i="198"/>
  <c r="DE84" i="198"/>
  <c r="DD84" i="198"/>
  <c r="DC84" i="198"/>
  <c r="EB83" i="198"/>
  <c r="EA83" i="198"/>
  <c r="DZ83" i="198"/>
  <c r="DY83" i="198"/>
  <c r="DX83" i="198"/>
  <c r="DW83" i="198"/>
  <c r="DV83" i="198"/>
  <c r="DU83" i="198"/>
  <c r="DT83" i="198"/>
  <c r="DS83" i="198"/>
  <c r="DR83" i="198"/>
  <c r="DQ83" i="198"/>
  <c r="DP83" i="198"/>
  <c r="DO83" i="198"/>
  <c r="DN83" i="198"/>
  <c r="DM83" i="198"/>
  <c r="DL83" i="198"/>
  <c r="DK83" i="198"/>
  <c r="DJ83" i="198"/>
  <c r="DI83" i="198"/>
  <c r="DH83" i="198"/>
  <c r="DG83" i="198"/>
  <c r="DF83" i="198"/>
  <c r="DE83" i="198"/>
  <c r="DD83" i="198"/>
  <c r="DC83" i="198"/>
  <c r="CS89" i="198"/>
  <c r="CR89" i="198"/>
  <c r="CQ89" i="198"/>
  <c r="CP89" i="198"/>
  <c r="CO89" i="198"/>
  <c r="CN89" i="198"/>
  <c r="CM89" i="198"/>
  <c r="CL89" i="198"/>
  <c r="CK89" i="198"/>
  <c r="CJ89" i="198"/>
  <c r="CI89" i="198"/>
  <c r="CH89" i="198"/>
  <c r="CG89" i="198"/>
  <c r="CF89" i="198"/>
  <c r="CE89" i="198"/>
  <c r="CD89" i="198"/>
  <c r="CC89" i="198"/>
  <c r="CB89" i="198"/>
  <c r="CA89" i="198"/>
  <c r="BZ89" i="198"/>
  <c r="BY89" i="198"/>
  <c r="BX89" i="198"/>
  <c r="BW89" i="198"/>
  <c r="BV89" i="198"/>
  <c r="BU89" i="198"/>
  <c r="BT89" i="198"/>
  <c r="BS89" i="198"/>
  <c r="BR89" i="198"/>
  <c r="BQ89" i="198"/>
  <c r="BP89" i="198"/>
  <c r="BO89" i="198"/>
  <c r="BN89" i="198"/>
  <c r="BM89" i="198"/>
  <c r="BL89" i="198"/>
  <c r="BK89" i="198"/>
  <c r="BJ89" i="198"/>
  <c r="BI89" i="198"/>
  <c r="BH89" i="198"/>
  <c r="BG89" i="198"/>
  <c r="BF89" i="198"/>
  <c r="BE89" i="198"/>
  <c r="BD89" i="198"/>
  <c r="BC89" i="198"/>
  <c r="BB89" i="198"/>
  <c r="BA89" i="198"/>
  <c r="AZ89" i="198"/>
  <c r="AY89" i="198"/>
  <c r="AX89" i="198"/>
  <c r="AW89" i="198"/>
  <c r="AV89" i="198"/>
  <c r="AU89" i="198"/>
  <c r="AT89" i="198"/>
  <c r="AS89" i="198"/>
  <c r="AR89" i="198"/>
  <c r="AQ89" i="198"/>
  <c r="AP89" i="198"/>
  <c r="AO89" i="198"/>
  <c r="AN89" i="198"/>
  <c r="AM89" i="198"/>
  <c r="AL89" i="198"/>
  <c r="AK89" i="198"/>
  <c r="AJ89" i="198"/>
  <c r="AI89" i="198"/>
  <c r="AH89" i="198"/>
  <c r="AG89" i="198"/>
  <c r="AF89" i="198"/>
  <c r="AE89" i="198"/>
  <c r="AD89" i="198"/>
  <c r="AC89" i="198"/>
  <c r="AB89" i="198"/>
  <c r="AA89" i="198"/>
  <c r="Z89" i="198"/>
  <c r="Y89" i="198"/>
  <c r="X89" i="198"/>
  <c r="W89" i="198"/>
  <c r="V89" i="198"/>
  <c r="U89" i="198"/>
  <c r="T89" i="198"/>
  <c r="S89" i="198"/>
  <c r="R89" i="198"/>
  <c r="Q89" i="198"/>
  <c r="P89" i="198"/>
  <c r="O89" i="198"/>
  <c r="N89" i="198"/>
  <c r="M89" i="198"/>
  <c r="L89" i="198"/>
  <c r="K89" i="198"/>
  <c r="J89" i="198"/>
  <c r="I89" i="198"/>
  <c r="H89" i="198"/>
  <c r="G89" i="198"/>
  <c r="F89" i="198"/>
  <c r="E89" i="198"/>
  <c r="D89" i="198"/>
  <c r="C89" i="198"/>
  <c r="B89" i="198"/>
  <c r="A89" i="198"/>
  <c r="CS88" i="198"/>
  <c r="CR88" i="198"/>
  <c r="CQ88" i="198"/>
  <c r="CP88" i="198"/>
  <c r="CO88" i="198"/>
  <c r="CN88" i="198"/>
  <c r="CM88" i="198"/>
  <c r="CL88" i="198"/>
  <c r="CK88" i="198"/>
  <c r="CJ88" i="198"/>
  <c r="CI88" i="198"/>
  <c r="CH88" i="198"/>
  <c r="CG88" i="198"/>
  <c r="CF88" i="198"/>
  <c r="CE88" i="198"/>
  <c r="CD88" i="198"/>
  <c r="CC88" i="198"/>
  <c r="CB88" i="198"/>
  <c r="CA88" i="198"/>
  <c r="BZ88" i="198"/>
  <c r="BY88" i="198"/>
  <c r="BX88" i="198"/>
  <c r="BW88" i="198"/>
  <c r="BV88" i="198"/>
  <c r="BU88" i="198"/>
  <c r="BT88" i="198"/>
  <c r="BS88" i="198"/>
  <c r="BR88" i="198"/>
  <c r="BQ88" i="198"/>
  <c r="BP88" i="198"/>
  <c r="BO88" i="198"/>
  <c r="BN88" i="198"/>
  <c r="BM88" i="198"/>
  <c r="BL88" i="198"/>
  <c r="BK88" i="198"/>
  <c r="BJ88" i="198"/>
  <c r="BI88" i="198"/>
  <c r="BH88" i="198"/>
  <c r="BG88" i="198"/>
  <c r="BF88" i="198"/>
  <c r="BE88" i="198"/>
  <c r="BD88" i="198"/>
  <c r="BC88" i="198"/>
  <c r="BB88" i="198"/>
  <c r="BA88" i="198"/>
  <c r="AZ88" i="198"/>
  <c r="AY88" i="198"/>
  <c r="AX88" i="198"/>
  <c r="AW88" i="198"/>
  <c r="AV88" i="198"/>
  <c r="AU88" i="198"/>
  <c r="AT88" i="198"/>
  <c r="AS88" i="198"/>
  <c r="AR88" i="198"/>
  <c r="AQ88" i="198"/>
  <c r="AP88" i="198"/>
  <c r="AO88" i="198"/>
  <c r="AN88" i="198"/>
  <c r="AM88" i="198"/>
  <c r="AL88" i="198"/>
  <c r="AK88" i="198"/>
  <c r="AJ88" i="198"/>
  <c r="AI88" i="198"/>
  <c r="AH88" i="198"/>
  <c r="AG88" i="198"/>
  <c r="AF88" i="198"/>
  <c r="AE88" i="198"/>
  <c r="AD88" i="198"/>
  <c r="AC88" i="198"/>
  <c r="AB88" i="198"/>
  <c r="AA88" i="198"/>
  <c r="Z88" i="198"/>
  <c r="Y88" i="198"/>
  <c r="X88" i="198"/>
  <c r="W88" i="198"/>
  <c r="V88" i="198"/>
  <c r="U88" i="198"/>
  <c r="T88" i="198"/>
  <c r="S88" i="198"/>
  <c r="R88" i="198"/>
  <c r="Q88" i="198"/>
  <c r="P88" i="198"/>
  <c r="O88" i="198"/>
  <c r="N88" i="198"/>
  <c r="M88" i="198"/>
  <c r="L88" i="198"/>
  <c r="K88" i="198"/>
  <c r="J88" i="198"/>
  <c r="I88" i="198"/>
  <c r="H88" i="198"/>
  <c r="G88" i="198"/>
  <c r="F88" i="198"/>
  <c r="E88" i="198"/>
  <c r="D88" i="198"/>
  <c r="C88" i="198"/>
  <c r="B88" i="198"/>
  <c r="A88" i="198"/>
  <c r="CS87" i="198"/>
  <c r="CR87" i="198"/>
  <c r="CQ87" i="198"/>
  <c r="CP87" i="198"/>
  <c r="CO87" i="198"/>
  <c r="CN87" i="198"/>
  <c r="CM87" i="198"/>
  <c r="CL87" i="198"/>
  <c r="CK87" i="198"/>
  <c r="CJ87" i="198"/>
  <c r="CI87" i="198"/>
  <c r="CH87" i="198"/>
  <c r="CG87" i="198"/>
  <c r="CF87" i="198"/>
  <c r="CE87" i="198"/>
  <c r="CD87" i="198"/>
  <c r="CC87" i="198"/>
  <c r="CB87" i="198"/>
  <c r="CA87" i="198"/>
  <c r="BZ87" i="198"/>
  <c r="BY87" i="198"/>
  <c r="BX87" i="198"/>
  <c r="BW87" i="198"/>
  <c r="BV87" i="198"/>
  <c r="BU87" i="198"/>
  <c r="BT87" i="198"/>
  <c r="BS87" i="198"/>
  <c r="BR87" i="198"/>
  <c r="BQ87" i="198"/>
  <c r="BP87" i="198"/>
  <c r="BO87" i="198"/>
  <c r="BN87" i="198"/>
  <c r="BM87" i="198"/>
  <c r="BL87" i="198"/>
  <c r="BK87" i="198"/>
  <c r="BJ87" i="198"/>
  <c r="BI87" i="198"/>
  <c r="BH87" i="198"/>
  <c r="BG87" i="198"/>
  <c r="BF87" i="198"/>
  <c r="BE87" i="198"/>
  <c r="BD87" i="198"/>
  <c r="BC87" i="198"/>
  <c r="BB87" i="198"/>
  <c r="BA87" i="198"/>
  <c r="AZ87" i="198"/>
  <c r="AY87" i="198"/>
  <c r="AX87" i="198"/>
  <c r="AW87" i="198"/>
  <c r="AV87" i="198"/>
  <c r="AU87" i="198"/>
  <c r="AT87" i="198"/>
  <c r="AS87" i="198"/>
  <c r="AR87" i="198"/>
  <c r="AQ87" i="198"/>
  <c r="AP87" i="198"/>
  <c r="AO87" i="198"/>
  <c r="AN87" i="198"/>
  <c r="AM87" i="198"/>
  <c r="AL87" i="198"/>
  <c r="AK87" i="198"/>
  <c r="AJ87" i="198"/>
  <c r="AI87" i="198"/>
  <c r="AH87" i="198"/>
  <c r="AG87" i="198"/>
  <c r="AF87" i="198"/>
  <c r="AE87" i="198"/>
  <c r="AD87" i="198"/>
  <c r="AC87" i="198"/>
  <c r="AB87" i="198"/>
  <c r="AA87" i="198"/>
  <c r="Z87" i="198"/>
  <c r="Y87" i="198"/>
  <c r="X87" i="198"/>
  <c r="W87" i="198"/>
  <c r="V87" i="198"/>
  <c r="U87" i="198"/>
  <c r="T87" i="198"/>
  <c r="S87" i="198"/>
  <c r="R87" i="198"/>
  <c r="Q87" i="198"/>
  <c r="P87" i="198"/>
  <c r="O87" i="198"/>
  <c r="N87" i="198"/>
  <c r="M87" i="198"/>
  <c r="L87" i="198"/>
  <c r="K87" i="198"/>
  <c r="J87" i="198"/>
  <c r="I87" i="198"/>
  <c r="H87" i="198"/>
  <c r="G87" i="198"/>
  <c r="F87" i="198"/>
  <c r="E87" i="198"/>
  <c r="D87" i="198"/>
  <c r="C87" i="198"/>
  <c r="B87" i="198"/>
  <c r="A87" i="198"/>
  <c r="CS86" i="198"/>
  <c r="CR86" i="198"/>
  <c r="CQ86" i="198"/>
  <c r="CP86" i="198"/>
  <c r="CO86" i="198"/>
  <c r="CN86" i="198"/>
  <c r="CM86" i="198"/>
  <c r="CL86" i="198"/>
  <c r="CK86" i="198"/>
  <c r="CJ86" i="198"/>
  <c r="CI86" i="198"/>
  <c r="CH86" i="198"/>
  <c r="CG86" i="198"/>
  <c r="CF86" i="198"/>
  <c r="CE86" i="198"/>
  <c r="CD86" i="198"/>
  <c r="CC86" i="198"/>
  <c r="CB86" i="198"/>
  <c r="CA86" i="198"/>
  <c r="BZ86" i="198"/>
  <c r="BY86" i="198"/>
  <c r="BX86" i="198"/>
  <c r="BW86" i="198"/>
  <c r="BV86" i="198"/>
  <c r="BU86" i="198"/>
  <c r="BT86" i="198"/>
  <c r="BS86" i="198"/>
  <c r="BR86" i="198"/>
  <c r="BQ86" i="198"/>
  <c r="BP86" i="198"/>
  <c r="BO86" i="198"/>
  <c r="BN86" i="198"/>
  <c r="BM86" i="198"/>
  <c r="BL86" i="198"/>
  <c r="BK86" i="198"/>
  <c r="BJ86" i="198"/>
  <c r="BI86" i="198"/>
  <c r="BH86" i="198"/>
  <c r="BG86" i="198"/>
  <c r="BF86" i="198"/>
  <c r="BE86" i="198"/>
  <c r="BD86" i="198"/>
  <c r="BC86" i="198"/>
  <c r="BB86" i="198"/>
  <c r="BA86" i="198"/>
  <c r="AZ86" i="198"/>
  <c r="AY86" i="198"/>
  <c r="AX86" i="198"/>
  <c r="AW86" i="198"/>
  <c r="AV86" i="198"/>
  <c r="AU86" i="198"/>
  <c r="AT86" i="198"/>
  <c r="AS86" i="198"/>
  <c r="AR86" i="198"/>
  <c r="AQ86" i="198"/>
  <c r="AP86" i="198"/>
  <c r="AO86" i="198"/>
  <c r="AN86" i="198"/>
  <c r="AM86" i="198"/>
  <c r="AL86" i="198"/>
  <c r="AK86" i="198"/>
  <c r="AJ86" i="198"/>
  <c r="AI86" i="198"/>
  <c r="AH86" i="198"/>
  <c r="AG86" i="198"/>
  <c r="AF86" i="198"/>
  <c r="AE86" i="198"/>
  <c r="AD86" i="198"/>
  <c r="AC86" i="198"/>
  <c r="AB86" i="198"/>
  <c r="AA86" i="198"/>
  <c r="Z86" i="198"/>
  <c r="Y86" i="198"/>
  <c r="X86" i="198"/>
  <c r="W86" i="198"/>
  <c r="V86" i="198"/>
  <c r="U86" i="198"/>
  <c r="T86" i="198"/>
  <c r="S86" i="198"/>
  <c r="R86" i="198"/>
  <c r="Q86" i="198"/>
  <c r="P86" i="198"/>
  <c r="O86" i="198"/>
  <c r="N86" i="198"/>
  <c r="M86" i="198"/>
  <c r="L86" i="198"/>
  <c r="K86" i="198"/>
  <c r="J86" i="198"/>
  <c r="I86" i="198"/>
  <c r="H86" i="198"/>
  <c r="G86" i="198"/>
  <c r="F86" i="198"/>
  <c r="E86" i="198"/>
  <c r="D86" i="198"/>
  <c r="C86" i="198"/>
  <c r="B86" i="198"/>
  <c r="A86" i="198"/>
  <c r="CS85" i="198"/>
  <c r="CR85" i="198"/>
  <c r="CQ85" i="198"/>
  <c r="CP85" i="198"/>
  <c r="CO85" i="198"/>
  <c r="CN85" i="198"/>
  <c r="CM85" i="198"/>
  <c r="CL85" i="198"/>
  <c r="CK85" i="198"/>
  <c r="CJ85" i="198"/>
  <c r="CI85" i="198"/>
  <c r="CH85" i="198"/>
  <c r="CG85" i="198"/>
  <c r="CF85" i="198"/>
  <c r="CE85" i="198"/>
  <c r="CD85" i="198"/>
  <c r="CC85" i="198"/>
  <c r="CB85" i="198"/>
  <c r="CA85" i="198"/>
  <c r="BZ85" i="198"/>
  <c r="BY85" i="198"/>
  <c r="BX85" i="198"/>
  <c r="BW85" i="198"/>
  <c r="BV85" i="198"/>
  <c r="BU85" i="198"/>
  <c r="BT85" i="198"/>
  <c r="BS85" i="198"/>
  <c r="BR85" i="198"/>
  <c r="BQ85" i="198"/>
  <c r="BP85" i="198"/>
  <c r="BO85" i="198"/>
  <c r="BN85" i="198"/>
  <c r="BM85" i="198"/>
  <c r="BL85" i="198"/>
  <c r="BK85" i="198"/>
  <c r="BJ85" i="198"/>
  <c r="BI85" i="198"/>
  <c r="BH85" i="198"/>
  <c r="BG85" i="198"/>
  <c r="BF85" i="198"/>
  <c r="BE85" i="198"/>
  <c r="BD85" i="198"/>
  <c r="BC85" i="198"/>
  <c r="BB85" i="198"/>
  <c r="BA85" i="198"/>
  <c r="AZ85" i="198"/>
  <c r="AY85" i="198"/>
  <c r="AX85" i="198"/>
  <c r="AW85" i="198"/>
  <c r="AV85" i="198"/>
  <c r="AU85" i="198"/>
  <c r="AT85" i="198"/>
  <c r="AS85" i="198"/>
  <c r="AR85" i="198"/>
  <c r="AQ85" i="198"/>
  <c r="AP85" i="198"/>
  <c r="AO85" i="198"/>
  <c r="AN85" i="198"/>
  <c r="AM85" i="198"/>
  <c r="AL85" i="198"/>
  <c r="AK85" i="198"/>
  <c r="AJ85" i="198"/>
  <c r="AI85" i="198"/>
  <c r="AH85" i="198"/>
  <c r="AG85" i="198"/>
  <c r="AF85" i="198"/>
  <c r="AE85" i="198"/>
  <c r="AD85" i="198"/>
  <c r="AC85" i="198"/>
  <c r="AB85" i="198"/>
  <c r="AA85" i="198"/>
  <c r="Z85" i="198"/>
  <c r="Y85" i="198"/>
  <c r="X85" i="198"/>
  <c r="W85" i="198"/>
  <c r="V85" i="198"/>
  <c r="U85" i="198"/>
  <c r="T85" i="198"/>
  <c r="S85" i="198"/>
  <c r="R85" i="198"/>
  <c r="Q85" i="198"/>
  <c r="P85" i="198"/>
  <c r="O85" i="198"/>
  <c r="N85" i="198"/>
  <c r="M85" i="198"/>
  <c r="L85" i="198"/>
  <c r="K85" i="198"/>
  <c r="J85" i="198"/>
  <c r="I85" i="198"/>
  <c r="H85" i="198"/>
  <c r="G85" i="198"/>
  <c r="F85" i="198"/>
  <c r="E85" i="198"/>
  <c r="D85" i="198"/>
  <c r="C85" i="198"/>
  <c r="B85" i="198"/>
  <c r="A85" i="198"/>
  <c r="CS84" i="198"/>
  <c r="CR84" i="198"/>
  <c r="CQ84" i="198"/>
  <c r="CP84" i="198"/>
  <c r="CO84" i="198"/>
  <c r="CN84" i="198"/>
  <c r="CM84" i="198"/>
  <c r="CL84" i="198"/>
  <c r="CK84" i="198"/>
  <c r="CJ84" i="198"/>
  <c r="CI84" i="198"/>
  <c r="CH84" i="198"/>
  <c r="CG84" i="198"/>
  <c r="CF84" i="198"/>
  <c r="CE84" i="198"/>
  <c r="CD84" i="198"/>
  <c r="CC84" i="198"/>
  <c r="CB84" i="198"/>
  <c r="CA84" i="198"/>
  <c r="BZ84" i="198"/>
  <c r="BY84" i="198"/>
  <c r="BX84" i="198"/>
  <c r="BW84" i="198"/>
  <c r="BV84" i="198"/>
  <c r="BU84" i="198"/>
  <c r="BT84" i="198"/>
  <c r="BS84" i="198"/>
  <c r="BR84" i="198"/>
  <c r="BQ84" i="198"/>
  <c r="BP84" i="198"/>
  <c r="BO84" i="198"/>
  <c r="BN84" i="198"/>
  <c r="BM84" i="198"/>
  <c r="BL84" i="198"/>
  <c r="BK84" i="198"/>
  <c r="BJ84" i="198"/>
  <c r="BI84" i="198"/>
  <c r="BH84" i="198"/>
  <c r="BG84" i="198"/>
  <c r="BF84" i="198"/>
  <c r="BE84" i="198"/>
  <c r="BD84" i="198"/>
  <c r="BC84" i="198"/>
  <c r="BB84" i="198"/>
  <c r="BA84" i="198"/>
  <c r="AZ84" i="198"/>
  <c r="AY84" i="198"/>
  <c r="AX84" i="198"/>
  <c r="AW84" i="198"/>
  <c r="AV84" i="198"/>
  <c r="AU84" i="198"/>
  <c r="AT84" i="198"/>
  <c r="AS84" i="198"/>
  <c r="AR84" i="198"/>
  <c r="AQ84" i="198"/>
  <c r="AP84" i="198"/>
  <c r="AO84" i="198"/>
  <c r="AN84" i="198"/>
  <c r="AM84" i="198"/>
  <c r="AL84" i="198"/>
  <c r="AK84" i="198"/>
  <c r="AJ84" i="198"/>
  <c r="AI84" i="198"/>
  <c r="AH84" i="198"/>
  <c r="AG84" i="198"/>
  <c r="AF84" i="198"/>
  <c r="AE84" i="198"/>
  <c r="AD84" i="198"/>
  <c r="AC84" i="198"/>
  <c r="AB84" i="198"/>
  <c r="AA84" i="198"/>
  <c r="Z84" i="198"/>
  <c r="Y84" i="198"/>
  <c r="X84" i="198"/>
  <c r="W84" i="198"/>
  <c r="V84" i="198"/>
  <c r="U84" i="198"/>
  <c r="T84" i="198"/>
  <c r="S84" i="198"/>
  <c r="R84" i="198"/>
  <c r="Q84" i="198"/>
  <c r="P84" i="198"/>
  <c r="O84" i="198"/>
  <c r="N84" i="198"/>
  <c r="M84" i="198"/>
  <c r="L84" i="198"/>
  <c r="K84" i="198"/>
  <c r="J84" i="198"/>
  <c r="I84" i="198"/>
  <c r="H84" i="198"/>
  <c r="G84" i="198"/>
  <c r="F84" i="198"/>
  <c r="E84" i="198"/>
  <c r="D84" i="198"/>
  <c r="C84" i="198"/>
  <c r="B84" i="198"/>
  <c r="A84" i="198"/>
  <c r="CS83" i="198"/>
  <c r="CR83" i="198"/>
  <c r="CQ83" i="198"/>
  <c r="CP83" i="198"/>
  <c r="CO83" i="198"/>
  <c r="CN83" i="198"/>
  <c r="CM83" i="198"/>
  <c r="CL83" i="198"/>
  <c r="CK83" i="198"/>
  <c r="CJ83" i="198"/>
  <c r="CI83" i="198"/>
  <c r="CH83" i="198"/>
  <c r="CG83" i="198"/>
  <c r="CF83" i="198"/>
  <c r="CE83" i="198"/>
  <c r="CD83" i="198"/>
  <c r="CC83" i="198"/>
  <c r="CB83" i="198"/>
  <c r="CA83" i="198"/>
  <c r="BZ83" i="198"/>
  <c r="BY83" i="198"/>
  <c r="BX83" i="198"/>
  <c r="BW83" i="198"/>
  <c r="BV83" i="198"/>
  <c r="BU83" i="198"/>
  <c r="BT83" i="198"/>
  <c r="BS83" i="198"/>
  <c r="BR83" i="198"/>
  <c r="BQ83" i="198"/>
  <c r="BP83" i="198"/>
  <c r="BO83" i="198"/>
  <c r="BN83" i="198"/>
  <c r="BM83" i="198"/>
  <c r="BL83" i="198"/>
  <c r="BK83" i="198"/>
  <c r="BJ83" i="198"/>
  <c r="BI83" i="198"/>
  <c r="BH83" i="198"/>
  <c r="BG83" i="198"/>
  <c r="BF83" i="198"/>
  <c r="BE83" i="198"/>
  <c r="BD83" i="198"/>
  <c r="BC83" i="198"/>
  <c r="BB83" i="198"/>
  <c r="BA83" i="198"/>
  <c r="AZ83" i="198"/>
  <c r="AY83" i="198"/>
  <c r="AX83" i="198"/>
  <c r="AW83" i="198"/>
  <c r="AV83" i="198"/>
  <c r="AU83" i="198"/>
  <c r="AT83" i="198"/>
  <c r="AS83" i="198"/>
  <c r="AR83" i="198"/>
  <c r="AQ83" i="198"/>
  <c r="AP83" i="198"/>
  <c r="AO83" i="198"/>
  <c r="AN83" i="198"/>
  <c r="AM83" i="198"/>
  <c r="AL83" i="198"/>
  <c r="AK83" i="198"/>
  <c r="AJ83" i="198"/>
  <c r="AI83" i="198"/>
  <c r="AH83" i="198"/>
  <c r="AG83" i="198"/>
  <c r="AF83" i="198"/>
  <c r="AE83" i="198"/>
  <c r="AD83" i="198"/>
  <c r="AC83" i="198"/>
  <c r="AB83" i="198"/>
  <c r="AA83" i="198"/>
  <c r="Z83" i="198"/>
  <c r="Y83" i="198"/>
  <c r="X83" i="198"/>
  <c r="W83" i="198"/>
  <c r="V83" i="198"/>
  <c r="U83" i="198"/>
  <c r="T83" i="198"/>
  <c r="S83" i="198"/>
  <c r="R83" i="198"/>
  <c r="Q83" i="198"/>
  <c r="P83" i="198"/>
  <c r="O83" i="198"/>
  <c r="N83" i="198"/>
  <c r="M83" i="198"/>
  <c r="L83" i="198"/>
  <c r="K83" i="198"/>
  <c r="J83" i="198"/>
  <c r="I83" i="198"/>
  <c r="H83" i="198"/>
  <c r="G83" i="198"/>
  <c r="F83" i="198"/>
  <c r="E83" i="198"/>
  <c r="D83" i="198"/>
  <c r="C83" i="198"/>
  <c r="B83" i="198"/>
  <c r="A83" i="198"/>
  <c r="A82" i="198"/>
  <c r="EJ80" i="198"/>
  <c r="EH80" i="198"/>
  <c r="EF80" i="198"/>
  <c r="ED80" i="198"/>
  <c r="EB80" i="198"/>
  <c r="DZ80" i="198"/>
  <c r="DX80" i="198"/>
  <c r="DV80" i="198"/>
  <c r="DT80" i="198"/>
  <c r="DR80" i="198"/>
  <c r="DP80" i="198"/>
  <c r="DN80" i="198"/>
  <c r="DL80" i="198"/>
  <c r="DJ80" i="198"/>
  <c r="DH80" i="198"/>
  <c r="DF80" i="198"/>
  <c r="DD80" i="198"/>
  <c r="DB80" i="198"/>
  <c r="DA80" i="198"/>
  <c r="CY80" i="198"/>
  <c r="CW80" i="198"/>
  <c r="CU80" i="198"/>
  <c r="CS80" i="198"/>
  <c r="CQ80" i="198"/>
  <c r="CO80" i="198"/>
  <c r="CM80" i="198"/>
  <c r="A79" i="198"/>
  <c r="A78" i="198"/>
  <c r="A77" i="198"/>
  <c r="A76" i="198"/>
  <c r="A75" i="198"/>
  <c r="A74" i="198"/>
  <c r="A73" i="198"/>
  <c r="A72" i="198"/>
  <c r="A71" i="198"/>
  <c r="A70" i="198"/>
  <c r="A69" i="198"/>
  <c r="EB62" i="198"/>
  <c r="EA62" i="198"/>
  <c r="DZ62" i="198"/>
  <c r="DY62" i="198"/>
  <c r="DX62" i="198"/>
  <c r="DW62" i="198"/>
  <c r="DV62" i="198"/>
  <c r="DU62" i="198"/>
  <c r="DT62" i="198"/>
  <c r="DS62" i="198"/>
  <c r="DR62" i="198"/>
  <c r="DQ62" i="198"/>
  <c r="DP62" i="198"/>
  <c r="DO62" i="198"/>
  <c r="DN62" i="198"/>
  <c r="DM62" i="198"/>
  <c r="DL62" i="198"/>
  <c r="DK62" i="198"/>
  <c r="DJ62" i="198"/>
  <c r="DI62" i="198"/>
  <c r="DH62" i="198"/>
  <c r="DG62" i="198"/>
  <c r="DF62" i="198"/>
  <c r="DE62" i="198"/>
  <c r="DD62" i="198"/>
  <c r="DC62" i="198"/>
  <c r="EB61" i="198"/>
  <c r="EA61" i="198"/>
  <c r="DZ61" i="198"/>
  <c r="DY61" i="198"/>
  <c r="DX61" i="198"/>
  <c r="DW61" i="198"/>
  <c r="DV61" i="198"/>
  <c r="DU61" i="198"/>
  <c r="DT61" i="198"/>
  <c r="DS61" i="198"/>
  <c r="DR61" i="198"/>
  <c r="DQ61" i="198"/>
  <c r="DP61" i="198"/>
  <c r="DO61" i="198"/>
  <c r="DN61" i="198"/>
  <c r="DM61" i="198"/>
  <c r="DL61" i="198"/>
  <c r="DK61" i="198"/>
  <c r="DJ61" i="198"/>
  <c r="DI61" i="198"/>
  <c r="DH61" i="198"/>
  <c r="DG61" i="198"/>
  <c r="DF61" i="198"/>
  <c r="DE61" i="198"/>
  <c r="DD61" i="198"/>
  <c r="DC61" i="198"/>
  <c r="CS62" i="198"/>
  <c r="CR62" i="198"/>
  <c r="CQ62" i="198"/>
  <c r="CP62" i="198"/>
  <c r="CO62" i="198"/>
  <c r="CN62" i="198"/>
  <c r="CM62" i="198"/>
  <c r="CL62" i="198"/>
  <c r="CK62" i="198"/>
  <c r="CJ62" i="198"/>
  <c r="CI62" i="198"/>
  <c r="CH62" i="198"/>
  <c r="CG62" i="198"/>
  <c r="CF62" i="198"/>
  <c r="CE62" i="198"/>
  <c r="CD62" i="198"/>
  <c r="CC62" i="198"/>
  <c r="CB62" i="198"/>
  <c r="CA62" i="198"/>
  <c r="BZ62" i="198"/>
  <c r="BY62" i="198"/>
  <c r="BX62" i="198"/>
  <c r="BW62" i="198"/>
  <c r="BV62" i="198"/>
  <c r="BU62" i="198"/>
  <c r="BT62" i="198"/>
  <c r="BS62" i="198"/>
  <c r="BR62" i="198"/>
  <c r="BQ62" i="198"/>
  <c r="BP62" i="198"/>
  <c r="BO62" i="198"/>
  <c r="BN62" i="198"/>
  <c r="BM62" i="198"/>
  <c r="BL62" i="198"/>
  <c r="BK62" i="198"/>
  <c r="BJ62" i="198"/>
  <c r="BI62" i="198"/>
  <c r="BH62" i="198"/>
  <c r="BG62" i="198"/>
  <c r="BF62" i="198"/>
  <c r="BE62" i="198"/>
  <c r="BD62" i="198"/>
  <c r="BC62" i="198"/>
  <c r="BB62" i="198"/>
  <c r="BA62" i="198"/>
  <c r="AZ62" i="198"/>
  <c r="AY62" i="198"/>
  <c r="AX62" i="198"/>
  <c r="AW62" i="198"/>
  <c r="AV62" i="198"/>
  <c r="AU62" i="198"/>
  <c r="AT62" i="198"/>
  <c r="AS62" i="198"/>
  <c r="AR62" i="198"/>
  <c r="AQ62" i="198"/>
  <c r="AP62" i="198"/>
  <c r="AO62" i="198"/>
  <c r="AN62" i="198"/>
  <c r="AM62" i="198"/>
  <c r="AL62" i="198"/>
  <c r="AK62" i="198"/>
  <c r="AJ62" i="198"/>
  <c r="AI62" i="198"/>
  <c r="AH62" i="198"/>
  <c r="AG62" i="198"/>
  <c r="AF62" i="198"/>
  <c r="AE62" i="198"/>
  <c r="AD62" i="198"/>
  <c r="AC62" i="198"/>
  <c r="AB62" i="198"/>
  <c r="AA62" i="198"/>
  <c r="Z62" i="198"/>
  <c r="Y62" i="198"/>
  <c r="X62" i="198"/>
  <c r="W62" i="198"/>
  <c r="V62" i="198"/>
  <c r="U62" i="198"/>
  <c r="T62" i="198"/>
  <c r="S62" i="198"/>
  <c r="R62" i="198"/>
  <c r="Q62" i="198"/>
  <c r="P62" i="198"/>
  <c r="O62" i="198"/>
  <c r="N62" i="198"/>
  <c r="M62" i="198"/>
  <c r="L62" i="198"/>
  <c r="K62" i="198"/>
  <c r="J62" i="198"/>
  <c r="I62" i="198"/>
  <c r="H62" i="198"/>
  <c r="G62" i="198"/>
  <c r="F62" i="198"/>
  <c r="E62" i="198"/>
  <c r="D62" i="198"/>
  <c r="C62" i="198"/>
  <c r="B62" i="198"/>
  <c r="A62" i="198"/>
  <c r="CS61" i="198"/>
  <c r="CR61" i="198"/>
  <c r="CQ61" i="198"/>
  <c r="CP61" i="198"/>
  <c r="CO61" i="198"/>
  <c r="CN61" i="198"/>
  <c r="CM61" i="198"/>
  <c r="CL61" i="198"/>
  <c r="CK61" i="198"/>
  <c r="CJ61" i="198"/>
  <c r="CI61" i="198"/>
  <c r="CH61" i="198"/>
  <c r="CG61" i="198"/>
  <c r="CF61" i="198"/>
  <c r="CE61" i="198"/>
  <c r="CD61" i="198"/>
  <c r="CC61" i="198"/>
  <c r="CB61" i="198"/>
  <c r="CA61" i="198"/>
  <c r="BZ61" i="198"/>
  <c r="BY61" i="198"/>
  <c r="BX61" i="198"/>
  <c r="BW61" i="198"/>
  <c r="BV61" i="198"/>
  <c r="BU61" i="198"/>
  <c r="BT61" i="198"/>
  <c r="BS61" i="198"/>
  <c r="BR61" i="198"/>
  <c r="BQ61" i="198"/>
  <c r="BP61" i="198"/>
  <c r="BO61" i="198"/>
  <c r="BN61" i="198"/>
  <c r="BM61" i="198"/>
  <c r="BL61" i="198"/>
  <c r="BK61" i="198"/>
  <c r="BJ61" i="198"/>
  <c r="BI61" i="198"/>
  <c r="BH61" i="198"/>
  <c r="BG61" i="198"/>
  <c r="BF61" i="198"/>
  <c r="BE61" i="198"/>
  <c r="BD61" i="198"/>
  <c r="BC61" i="198"/>
  <c r="BB61" i="198"/>
  <c r="BA61" i="198"/>
  <c r="AZ61" i="198"/>
  <c r="AY61" i="198"/>
  <c r="AX61" i="198"/>
  <c r="AW61" i="198"/>
  <c r="AV61" i="198"/>
  <c r="AU61" i="198"/>
  <c r="AT61" i="198"/>
  <c r="AS61" i="198"/>
  <c r="AR61" i="198"/>
  <c r="AQ61" i="198"/>
  <c r="AP61" i="198"/>
  <c r="AO61" i="198"/>
  <c r="AN61" i="198"/>
  <c r="AM61" i="198"/>
  <c r="AL61" i="198"/>
  <c r="AK61" i="198"/>
  <c r="AJ61" i="198"/>
  <c r="AI61" i="198"/>
  <c r="AH61" i="198"/>
  <c r="AG61" i="198"/>
  <c r="AF61" i="198"/>
  <c r="AE61" i="198"/>
  <c r="AD61" i="198"/>
  <c r="AC61" i="198"/>
  <c r="AB61" i="198"/>
  <c r="AA61" i="198"/>
  <c r="Z61" i="198"/>
  <c r="Y61" i="198"/>
  <c r="X61" i="198"/>
  <c r="W61" i="198"/>
  <c r="V61" i="198"/>
  <c r="U61" i="198"/>
  <c r="T61" i="198"/>
  <c r="S61" i="198"/>
  <c r="R61" i="198"/>
  <c r="Q61" i="198"/>
  <c r="P61" i="198"/>
  <c r="O61" i="198"/>
  <c r="N61" i="198"/>
  <c r="M61" i="198"/>
  <c r="L61" i="198"/>
  <c r="K61" i="198"/>
  <c r="J61" i="198"/>
  <c r="I61" i="198"/>
  <c r="H61" i="198"/>
  <c r="G61" i="198"/>
  <c r="F61" i="198"/>
  <c r="E61" i="198"/>
  <c r="D61" i="198"/>
  <c r="C61" i="198"/>
  <c r="B61" i="198"/>
  <c r="A61" i="198"/>
  <c r="A56" i="198"/>
  <c r="EB49" i="198"/>
  <c r="EA49" i="198"/>
  <c r="DZ49" i="198"/>
  <c r="DY49" i="198"/>
  <c r="DX49" i="198"/>
  <c r="DW49" i="198"/>
  <c r="DV49" i="198"/>
  <c r="DU49" i="198"/>
  <c r="DT49" i="198"/>
  <c r="DS49" i="198"/>
  <c r="DR49" i="198"/>
  <c r="DQ49" i="198"/>
  <c r="DP49" i="198"/>
  <c r="DO49" i="198"/>
  <c r="DN49" i="198"/>
  <c r="DM49" i="198"/>
  <c r="DL49" i="198"/>
  <c r="DK49" i="198"/>
  <c r="DJ49" i="198"/>
  <c r="DI49" i="198"/>
  <c r="DH49" i="198"/>
  <c r="DG49" i="198"/>
  <c r="DF49" i="198"/>
  <c r="DE49" i="198"/>
  <c r="DD49" i="198"/>
  <c r="DC49" i="198"/>
  <c r="EM48" i="198"/>
  <c r="EL48" i="198"/>
  <c r="EK48" i="198"/>
  <c r="EJ48" i="198"/>
  <c r="EI48" i="198"/>
  <c r="EH48" i="198"/>
  <c r="EG48" i="198"/>
  <c r="EF48" i="198"/>
  <c r="EE48" i="198"/>
  <c r="ED48" i="198"/>
  <c r="EC48" i="198"/>
  <c r="EB48" i="198"/>
  <c r="EA48" i="198"/>
  <c r="DZ48" i="198"/>
  <c r="DY48" i="198"/>
  <c r="DX48" i="198"/>
  <c r="DW48" i="198"/>
  <c r="DV48" i="198"/>
  <c r="DU48" i="198"/>
  <c r="DT48" i="198"/>
  <c r="DS48" i="198"/>
  <c r="DR48" i="198"/>
  <c r="DQ48" i="198"/>
  <c r="DP48" i="198"/>
  <c r="DO48" i="198"/>
  <c r="DN48" i="198"/>
  <c r="DM48" i="198"/>
  <c r="DL48" i="198"/>
  <c r="DK48" i="198"/>
  <c r="DJ48" i="198"/>
  <c r="DI48" i="198"/>
  <c r="DH48" i="198"/>
  <c r="DG48" i="198"/>
  <c r="DF48" i="198"/>
  <c r="DE48" i="198"/>
  <c r="DD48" i="198"/>
  <c r="DC48" i="198"/>
  <c r="CS49" i="198"/>
  <c r="CR49" i="198"/>
  <c r="CQ49" i="198"/>
  <c r="CP49" i="198"/>
  <c r="CO49" i="198"/>
  <c r="CN49" i="198"/>
  <c r="CM49" i="198"/>
  <c r="CL49" i="198"/>
  <c r="CK49" i="198"/>
  <c r="CJ49" i="198"/>
  <c r="CI49" i="198"/>
  <c r="CH49" i="198"/>
  <c r="CG49" i="198"/>
  <c r="CF49" i="198"/>
  <c r="CE49" i="198"/>
  <c r="CD49" i="198"/>
  <c r="CC49" i="198"/>
  <c r="CB49" i="198"/>
  <c r="CA49" i="198"/>
  <c r="BZ49" i="198"/>
  <c r="BY49" i="198"/>
  <c r="BX49" i="198"/>
  <c r="BW49" i="198"/>
  <c r="BV49" i="198"/>
  <c r="BU49" i="198"/>
  <c r="BT49" i="198"/>
  <c r="BS49" i="198"/>
  <c r="BR49" i="198"/>
  <c r="BQ49" i="198"/>
  <c r="BP49" i="198"/>
  <c r="BO49" i="198"/>
  <c r="BN49" i="198"/>
  <c r="BM49" i="198"/>
  <c r="BL49" i="198"/>
  <c r="BK49" i="198"/>
  <c r="BJ49" i="198"/>
  <c r="BI49" i="198"/>
  <c r="BH49" i="198"/>
  <c r="BG49" i="198"/>
  <c r="BF49" i="198"/>
  <c r="BE49" i="198"/>
  <c r="BD49" i="198"/>
  <c r="BC49" i="198"/>
  <c r="BB49" i="198"/>
  <c r="BA49" i="198"/>
  <c r="AZ49" i="198"/>
  <c r="AY49" i="198"/>
  <c r="AX49" i="198"/>
  <c r="AW49" i="198"/>
  <c r="AV49" i="198"/>
  <c r="AU49" i="198"/>
  <c r="AT49" i="198"/>
  <c r="AS49" i="198"/>
  <c r="AR49" i="198"/>
  <c r="AQ49" i="198"/>
  <c r="AP49" i="198"/>
  <c r="AO49" i="198"/>
  <c r="AN49" i="198"/>
  <c r="AM49" i="198"/>
  <c r="AL49" i="198"/>
  <c r="AK49" i="198"/>
  <c r="AJ49" i="198"/>
  <c r="AI49" i="198"/>
  <c r="AH49" i="198"/>
  <c r="AG49" i="198"/>
  <c r="AF49" i="198"/>
  <c r="AE49" i="198"/>
  <c r="AD49" i="198"/>
  <c r="AC49" i="198"/>
  <c r="AB49" i="198"/>
  <c r="AA49" i="198"/>
  <c r="Z49" i="198"/>
  <c r="Y49" i="198"/>
  <c r="X49" i="198"/>
  <c r="W49" i="198"/>
  <c r="V49" i="198"/>
  <c r="U49" i="198"/>
  <c r="T49" i="198"/>
  <c r="S49" i="198"/>
  <c r="R49" i="198"/>
  <c r="Q49" i="198"/>
  <c r="P49" i="198"/>
  <c r="O49" i="198"/>
  <c r="N49" i="198"/>
  <c r="M49" i="198"/>
  <c r="L49" i="198"/>
  <c r="K49" i="198"/>
  <c r="J49" i="198"/>
  <c r="I49" i="198"/>
  <c r="H49" i="198"/>
  <c r="G49" i="198"/>
  <c r="F49" i="198"/>
  <c r="E49" i="198"/>
  <c r="D49" i="198"/>
  <c r="C49" i="198"/>
  <c r="B49" i="198"/>
  <c r="A49" i="198"/>
  <c r="DA48" i="198"/>
  <c r="CZ48" i="198"/>
  <c r="CY48" i="198"/>
  <c r="CX48" i="198"/>
  <c r="CW48" i="198"/>
  <c r="CV48" i="198"/>
  <c r="CU48" i="198"/>
  <c r="CT48" i="198"/>
  <c r="CS48" i="198"/>
  <c r="CR48" i="198"/>
  <c r="CQ48" i="198"/>
  <c r="CP48" i="198"/>
  <c r="CO48" i="198"/>
  <c r="CN48" i="198"/>
  <c r="CM48" i="198"/>
  <c r="CL48" i="198"/>
  <c r="CK48" i="198"/>
  <c r="CJ48" i="198"/>
  <c r="CI48" i="198"/>
  <c r="CH48" i="198"/>
  <c r="CG48" i="198"/>
  <c r="CF48" i="198"/>
  <c r="CE48" i="198"/>
  <c r="CD48" i="198"/>
  <c r="CC48" i="198"/>
  <c r="CB48" i="198"/>
  <c r="CA48" i="198"/>
  <c r="BZ48" i="198"/>
  <c r="BY48" i="198"/>
  <c r="BX48" i="198"/>
  <c r="BW48" i="198"/>
  <c r="BV48" i="198"/>
  <c r="BU48" i="198"/>
  <c r="BT48" i="198"/>
  <c r="BS48" i="198"/>
  <c r="BR48" i="198"/>
  <c r="BQ48" i="198"/>
  <c r="BP48" i="198"/>
  <c r="BO48" i="198"/>
  <c r="BN48" i="198"/>
  <c r="BM48" i="198"/>
  <c r="BL48" i="198"/>
  <c r="BK48" i="198"/>
  <c r="BJ48" i="198"/>
  <c r="BI48" i="198"/>
  <c r="BH48" i="198"/>
  <c r="BG48" i="198"/>
  <c r="BF48" i="198"/>
  <c r="BE48" i="198"/>
  <c r="BD48" i="198"/>
  <c r="BC48" i="198"/>
  <c r="BB48" i="198"/>
  <c r="BA48" i="198"/>
  <c r="AZ48" i="198"/>
  <c r="AY48" i="198"/>
  <c r="AX48" i="198"/>
  <c r="AW48" i="198"/>
  <c r="AV48" i="198"/>
  <c r="AU48" i="198"/>
  <c r="AT48" i="198"/>
  <c r="AS48" i="198"/>
  <c r="AR48" i="198"/>
  <c r="AQ48" i="198"/>
  <c r="AP48" i="198"/>
  <c r="AO48" i="198"/>
  <c r="AN48" i="198"/>
  <c r="AM48" i="198"/>
  <c r="AL48" i="198"/>
  <c r="AK48" i="198"/>
  <c r="AJ48" i="198"/>
  <c r="AI48" i="198"/>
  <c r="AH48" i="198"/>
  <c r="AG48" i="198"/>
  <c r="AF48" i="198"/>
  <c r="AE48" i="198"/>
  <c r="AD48" i="198"/>
  <c r="AC48" i="198"/>
  <c r="AB48" i="198"/>
  <c r="AA48" i="198"/>
  <c r="Z48" i="198"/>
  <c r="Y48" i="198"/>
  <c r="X48" i="198"/>
  <c r="W48" i="198"/>
  <c r="V48" i="198"/>
  <c r="U48" i="198"/>
  <c r="T48" i="198"/>
  <c r="S48" i="198"/>
  <c r="R48" i="198"/>
  <c r="Q48" i="198"/>
  <c r="P48" i="198"/>
  <c r="O48" i="198"/>
  <c r="N48" i="198"/>
  <c r="M48" i="198"/>
  <c r="L48" i="198"/>
  <c r="K48" i="198"/>
  <c r="J48" i="198"/>
  <c r="I48" i="198"/>
  <c r="H48" i="198"/>
  <c r="G48" i="198"/>
  <c r="F48" i="198"/>
  <c r="E48" i="198"/>
  <c r="D48" i="198"/>
  <c r="C48" i="198"/>
  <c r="B48" i="198"/>
  <c r="A48" i="198"/>
  <c r="EB45" i="198"/>
  <c r="EA45" i="198"/>
  <c r="DZ45" i="198"/>
  <c r="DY45" i="198"/>
  <c r="DX45" i="198"/>
  <c r="DW45" i="198"/>
  <c r="DV45" i="198"/>
  <c r="DU45" i="198"/>
  <c r="DT45" i="198"/>
  <c r="DS45" i="198"/>
  <c r="DR45" i="198"/>
  <c r="DQ45" i="198"/>
  <c r="DP45" i="198"/>
  <c r="DO45" i="198"/>
  <c r="DN45" i="198"/>
  <c r="DM45" i="198"/>
  <c r="DL45" i="198"/>
  <c r="DK45" i="198"/>
  <c r="DJ45" i="198"/>
  <c r="DI45" i="198"/>
  <c r="DH45" i="198"/>
  <c r="DG45" i="198"/>
  <c r="DF45" i="198"/>
  <c r="DE45" i="198"/>
  <c r="DD45" i="198"/>
  <c r="DC45" i="198"/>
  <c r="EB44" i="198"/>
  <c r="EA44" i="198"/>
  <c r="DZ44" i="198"/>
  <c r="DY44" i="198"/>
  <c r="DX44" i="198"/>
  <c r="DW44" i="198"/>
  <c r="DV44" i="198"/>
  <c r="DU44" i="198"/>
  <c r="DT44" i="198"/>
  <c r="DS44" i="198"/>
  <c r="DR44" i="198"/>
  <c r="DQ44" i="198"/>
  <c r="DP44" i="198"/>
  <c r="DO44" i="198"/>
  <c r="DN44" i="198"/>
  <c r="DM44" i="198"/>
  <c r="DL44" i="198"/>
  <c r="DK44" i="198"/>
  <c r="DJ44" i="198"/>
  <c r="DI44" i="198"/>
  <c r="DH44" i="198"/>
  <c r="DG44" i="198"/>
  <c r="DF44" i="198"/>
  <c r="DE44" i="198"/>
  <c r="DD44" i="198"/>
  <c r="DC44" i="198"/>
  <c r="CS45" i="198"/>
  <c r="CR45" i="198"/>
  <c r="CQ45" i="198"/>
  <c r="CP45" i="198"/>
  <c r="CO45" i="198"/>
  <c r="CN45" i="198"/>
  <c r="CM45" i="198"/>
  <c r="CL45" i="198"/>
  <c r="CK45" i="198"/>
  <c r="CJ45" i="198"/>
  <c r="CI45" i="198"/>
  <c r="CH45" i="198"/>
  <c r="CG45" i="198"/>
  <c r="CF45" i="198"/>
  <c r="CE45" i="198"/>
  <c r="CD45" i="198"/>
  <c r="CC45" i="198"/>
  <c r="CB45" i="198"/>
  <c r="CA45" i="198"/>
  <c r="BZ45" i="198"/>
  <c r="BY45" i="198"/>
  <c r="BX45" i="198"/>
  <c r="BW45" i="198"/>
  <c r="BV45" i="198"/>
  <c r="BU45" i="198"/>
  <c r="BT45" i="198"/>
  <c r="BS45" i="198"/>
  <c r="BR45" i="198"/>
  <c r="BQ45" i="198"/>
  <c r="BP45" i="198"/>
  <c r="BO45" i="198"/>
  <c r="BN45" i="198"/>
  <c r="BM45" i="198"/>
  <c r="BL45" i="198"/>
  <c r="BK45" i="198"/>
  <c r="BJ45" i="198"/>
  <c r="BI45" i="198"/>
  <c r="BH45" i="198"/>
  <c r="BG45" i="198"/>
  <c r="BF45" i="198"/>
  <c r="BE45" i="198"/>
  <c r="BD45" i="198"/>
  <c r="BC45" i="198"/>
  <c r="BB45" i="198"/>
  <c r="BA45" i="198"/>
  <c r="AZ45" i="198"/>
  <c r="AY45" i="198"/>
  <c r="AX45" i="198"/>
  <c r="AW45" i="198"/>
  <c r="AV45" i="198"/>
  <c r="AU45" i="198"/>
  <c r="AT45" i="198"/>
  <c r="AS45" i="198"/>
  <c r="AR45" i="198"/>
  <c r="AQ45" i="198"/>
  <c r="AP45" i="198"/>
  <c r="AO45" i="198"/>
  <c r="AN45" i="198"/>
  <c r="AM45" i="198"/>
  <c r="AL45" i="198"/>
  <c r="AK45" i="198"/>
  <c r="AJ45" i="198"/>
  <c r="AI45" i="198"/>
  <c r="AH45" i="198"/>
  <c r="AG45" i="198"/>
  <c r="AF45" i="198"/>
  <c r="AE45" i="198"/>
  <c r="AD45" i="198"/>
  <c r="AC45" i="198"/>
  <c r="AB45" i="198"/>
  <c r="AA45" i="198"/>
  <c r="Z45" i="198"/>
  <c r="Y45" i="198"/>
  <c r="X45" i="198"/>
  <c r="W45" i="198"/>
  <c r="V45" i="198"/>
  <c r="U45" i="198"/>
  <c r="T45" i="198"/>
  <c r="S45" i="198"/>
  <c r="R45" i="198"/>
  <c r="Q45" i="198"/>
  <c r="P45" i="198"/>
  <c r="O45" i="198"/>
  <c r="N45" i="198"/>
  <c r="M45" i="198"/>
  <c r="L45" i="198"/>
  <c r="K45" i="198"/>
  <c r="J45" i="198"/>
  <c r="I45" i="198"/>
  <c r="H45" i="198"/>
  <c r="G45" i="198"/>
  <c r="F45" i="198"/>
  <c r="E45" i="198"/>
  <c r="D45" i="198"/>
  <c r="C45" i="198"/>
  <c r="B45" i="198"/>
  <c r="A45" i="198"/>
  <c r="CS44" i="198"/>
  <c r="CR44" i="198"/>
  <c r="CQ44" i="198"/>
  <c r="CP44" i="198"/>
  <c r="CO44" i="198"/>
  <c r="CN44" i="198"/>
  <c r="CM44" i="198"/>
  <c r="CL44" i="198"/>
  <c r="CK44" i="198"/>
  <c r="CJ44" i="198"/>
  <c r="CI44" i="198"/>
  <c r="CH44" i="198"/>
  <c r="CG44" i="198"/>
  <c r="CF44" i="198"/>
  <c r="CE44" i="198"/>
  <c r="CD44" i="198"/>
  <c r="CC44" i="198"/>
  <c r="CB44" i="198"/>
  <c r="CA44" i="198"/>
  <c r="BZ44" i="198"/>
  <c r="BY44" i="198"/>
  <c r="BX44" i="198"/>
  <c r="BW44" i="198"/>
  <c r="BV44" i="198"/>
  <c r="BU44" i="198"/>
  <c r="BT44" i="198"/>
  <c r="BS44" i="198"/>
  <c r="BR44" i="198"/>
  <c r="BQ44" i="198"/>
  <c r="BP44" i="198"/>
  <c r="BO44" i="198"/>
  <c r="BN44" i="198"/>
  <c r="BM44" i="198"/>
  <c r="BL44" i="198"/>
  <c r="BK44" i="198"/>
  <c r="BJ44" i="198"/>
  <c r="BI44" i="198"/>
  <c r="BH44" i="198"/>
  <c r="BG44" i="198"/>
  <c r="BF44" i="198"/>
  <c r="BE44" i="198"/>
  <c r="BD44" i="198"/>
  <c r="BC44" i="198"/>
  <c r="BB44" i="198"/>
  <c r="BA44" i="198"/>
  <c r="AZ44" i="198"/>
  <c r="AY44" i="198"/>
  <c r="AX44" i="198"/>
  <c r="AW44" i="198"/>
  <c r="AV44" i="198"/>
  <c r="AU44" i="198"/>
  <c r="AT44" i="198"/>
  <c r="AS44" i="198"/>
  <c r="AR44" i="198"/>
  <c r="AQ44" i="198"/>
  <c r="AP44" i="198"/>
  <c r="AO44" i="198"/>
  <c r="AN44" i="198"/>
  <c r="AM44" i="198"/>
  <c r="AL44" i="198"/>
  <c r="AK44" i="198"/>
  <c r="AJ44" i="198"/>
  <c r="AI44" i="198"/>
  <c r="AH44" i="198"/>
  <c r="AG44" i="198"/>
  <c r="AF44" i="198"/>
  <c r="AE44" i="198"/>
  <c r="AD44" i="198"/>
  <c r="AC44" i="198"/>
  <c r="AB44" i="198"/>
  <c r="AA44" i="198"/>
  <c r="Z44" i="198"/>
  <c r="Y44" i="198"/>
  <c r="X44" i="198"/>
  <c r="W44" i="198"/>
  <c r="V44" i="198"/>
  <c r="U44" i="198"/>
  <c r="T44" i="198"/>
  <c r="S44" i="198"/>
  <c r="R44" i="198"/>
  <c r="Q44" i="198"/>
  <c r="P44" i="198"/>
  <c r="O44" i="198"/>
  <c r="N44" i="198"/>
  <c r="M44" i="198"/>
  <c r="L44" i="198"/>
  <c r="K44" i="198"/>
  <c r="J44" i="198"/>
  <c r="I44" i="198"/>
  <c r="H44" i="198"/>
  <c r="G44" i="198"/>
  <c r="F44" i="198"/>
  <c r="E44" i="198"/>
  <c r="D44" i="198"/>
  <c r="C44" i="198"/>
  <c r="B44" i="198"/>
  <c r="A44" i="198"/>
  <c r="EB42" i="198"/>
  <c r="EA42" i="198"/>
  <c r="DZ42" i="198"/>
  <c r="DY42" i="198"/>
  <c r="DX42" i="198"/>
  <c r="DW42" i="198"/>
  <c r="DV42" i="198"/>
  <c r="DU42" i="198"/>
  <c r="DT42" i="198"/>
  <c r="DS42" i="198"/>
  <c r="DR42" i="198"/>
  <c r="DQ42" i="198"/>
  <c r="DP42" i="198"/>
  <c r="DO42" i="198"/>
  <c r="DN42" i="198"/>
  <c r="DM42" i="198"/>
  <c r="DL42" i="198"/>
  <c r="DK42" i="198"/>
  <c r="DJ42" i="198"/>
  <c r="DI42" i="198"/>
  <c r="DH42" i="198"/>
  <c r="DG42" i="198"/>
  <c r="DF42" i="198"/>
  <c r="DE42" i="198"/>
  <c r="DD42" i="198"/>
  <c r="DC42" i="198"/>
  <c r="EB41" i="198"/>
  <c r="EA41" i="198"/>
  <c r="DZ41" i="198"/>
  <c r="DY41" i="198"/>
  <c r="DX41" i="198"/>
  <c r="DW41" i="198"/>
  <c r="DV41" i="198"/>
  <c r="DU41" i="198"/>
  <c r="DT41" i="198"/>
  <c r="DS41" i="198"/>
  <c r="DR41" i="198"/>
  <c r="DQ41" i="198"/>
  <c r="DP41" i="198"/>
  <c r="DO41" i="198"/>
  <c r="DN41" i="198"/>
  <c r="DM41" i="198"/>
  <c r="DL41" i="198"/>
  <c r="DK41" i="198"/>
  <c r="DJ41" i="198"/>
  <c r="DI41" i="198"/>
  <c r="DH41" i="198"/>
  <c r="DG41" i="198"/>
  <c r="DF41" i="198"/>
  <c r="DE41" i="198"/>
  <c r="DD41" i="198"/>
  <c r="DC41" i="198"/>
  <c r="EB40" i="198"/>
  <c r="EA40" i="198"/>
  <c r="DZ40" i="198"/>
  <c r="DY40" i="198"/>
  <c r="DX40" i="198"/>
  <c r="DW40" i="198"/>
  <c r="DV40" i="198"/>
  <c r="DU40" i="198"/>
  <c r="DT40" i="198"/>
  <c r="DS40" i="198"/>
  <c r="DR40" i="198"/>
  <c r="DQ40" i="198"/>
  <c r="DP40" i="198"/>
  <c r="DO40" i="198"/>
  <c r="DN40" i="198"/>
  <c r="DM40" i="198"/>
  <c r="DL40" i="198"/>
  <c r="DK40" i="198"/>
  <c r="DJ40" i="198"/>
  <c r="DI40" i="198"/>
  <c r="DH40" i="198"/>
  <c r="DG40" i="198"/>
  <c r="DF40" i="198"/>
  <c r="DE40" i="198"/>
  <c r="DD40" i="198"/>
  <c r="DC40" i="198"/>
  <c r="CS42" i="198"/>
  <c r="CR42" i="198"/>
  <c r="CQ42" i="198"/>
  <c r="CP42" i="198"/>
  <c r="CO42" i="198"/>
  <c r="CN42" i="198"/>
  <c r="CM42" i="198"/>
  <c r="CL42" i="198"/>
  <c r="CK42" i="198"/>
  <c r="CJ42" i="198"/>
  <c r="CI42" i="198"/>
  <c r="CH42" i="198"/>
  <c r="CG42" i="198"/>
  <c r="CF42" i="198"/>
  <c r="CE42" i="198"/>
  <c r="CD42" i="198"/>
  <c r="CC42" i="198"/>
  <c r="CB42" i="198"/>
  <c r="CA42" i="198"/>
  <c r="BZ42" i="198"/>
  <c r="BY42" i="198"/>
  <c r="BX42" i="198"/>
  <c r="BW42" i="198"/>
  <c r="BV42" i="198"/>
  <c r="BU42" i="198"/>
  <c r="BT42" i="198"/>
  <c r="BS42" i="198"/>
  <c r="BR42" i="198"/>
  <c r="BQ42" i="198"/>
  <c r="BP42" i="198"/>
  <c r="BO42" i="198"/>
  <c r="BN42" i="198"/>
  <c r="BM42" i="198"/>
  <c r="BL42" i="198"/>
  <c r="BK42" i="198"/>
  <c r="BJ42" i="198"/>
  <c r="BI42" i="198"/>
  <c r="BH42" i="198"/>
  <c r="BG42" i="198"/>
  <c r="BF42" i="198"/>
  <c r="BE42" i="198"/>
  <c r="BD42" i="198"/>
  <c r="BC42" i="198"/>
  <c r="BB42" i="198"/>
  <c r="BA42" i="198"/>
  <c r="AZ42" i="198"/>
  <c r="AY42" i="198"/>
  <c r="AX42" i="198"/>
  <c r="AW42" i="198"/>
  <c r="AV42" i="198"/>
  <c r="AU42" i="198"/>
  <c r="AT42" i="198"/>
  <c r="AS42" i="198"/>
  <c r="AR42" i="198"/>
  <c r="AQ42" i="198"/>
  <c r="AP42" i="198"/>
  <c r="AO42" i="198"/>
  <c r="AN42" i="198"/>
  <c r="AM42" i="198"/>
  <c r="AL42" i="198"/>
  <c r="AK42" i="198"/>
  <c r="AJ42" i="198"/>
  <c r="AI42" i="198"/>
  <c r="AH42" i="198"/>
  <c r="AG42" i="198"/>
  <c r="AF42" i="198"/>
  <c r="AE42" i="198"/>
  <c r="AD42" i="198"/>
  <c r="AC42" i="198"/>
  <c r="AB42" i="198"/>
  <c r="AA42" i="198"/>
  <c r="Z42" i="198"/>
  <c r="Y42" i="198"/>
  <c r="X42" i="198"/>
  <c r="W42" i="198"/>
  <c r="V42" i="198"/>
  <c r="U42" i="198"/>
  <c r="T42" i="198"/>
  <c r="S42" i="198"/>
  <c r="R42" i="198"/>
  <c r="Q42" i="198"/>
  <c r="P42" i="198"/>
  <c r="O42" i="198"/>
  <c r="N42" i="198"/>
  <c r="M42" i="198"/>
  <c r="L42" i="198"/>
  <c r="K42" i="198"/>
  <c r="J42" i="198"/>
  <c r="I42" i="198"/>
  <c r="H42" i="198"/>
  <c r="G42" i="198"/>
  <c r="F42" i="198"/>
  <c r="E42" i="198"/>
  <c r="D42" i="198"/>
  <c r="C42" i="198"/>
  <c r="B42" i="198"/>
  <c r="A42" i="198"/>
  <c r="CS41" i="198"/>
  <c r="CR41" i="198"/>
  <c r="CQ41" i="198"/>
  <c r="CP41" i="198"/>
  <c r="CO41" i="198"/>
  <c r="CN41" i="198"/>
  <c r="CM41" i="198"/>
  <c r="CL41" i="198"/>
  <c r="CK41" i="198"/>
  <c r="CJ41" i="198"/>
  <c r="CI41" i="198"/>
  <c r="CH41" i="198"/>
  <c r="CG41" i="198"/>
  <c r="CF41" i="198"/>
  <c r="CE41" i="198"/>
  <c r="CD41" i="198"/>
  <c r="CC41" i="198"/>
  <c r="CB41" i="198"/>
  <c r="CA41" i="198"/>
  <c r="BZ41" i="198"/>
  <c r="BY41" i="198"/>
  <c r="BX41" i="198"/>
  <c r="BW41" i="198"/>
  <c r="BV41" i="198"/>
  <c r="BU41" i="198"/>
  <c r="BT41" i="198"/>
  <c r="BS41" i="198"/>
  <c r="BR41" i="198"/>
  <c r="BQ41" i="198"/>
  <c r="BP41" i="198"/>
  <c r="BO41" i="198"/>
  <c r="BN41" i="198"/>
  <c r="BM41" i="198"/>
  <c r="BL41" i="198"/>
  <c r="BK41" i="198"/>
  <c r="BJ41" i="198"/>
  <c r="BI41" i="198"/>
  <c r="BH41" i="198"/>
  <c r="BG41" i="198"/>
  <c r="BF41" i="198"/>
  <c r="BE41" i="198"/>
  <c r="BD41" i="198"/>
  <c r="BC41" i="198"/>
  <c r="BB41" i="198"/>
  <c r="BA41" i="198"/>
  <c r="AZ41" i="198"/>
  <c r="AY41" i="198"/>
  <c r="AX41" i="198"/>
  <c r="AW41" i="198"/>
  <c r="AV41" i="198"/>
  <c r="AU41" i="198"/>
  <c r="AT41" i="198"/>
  <c r="AS41" i="198"/>
  <c r="AR41" i="198"/>
  <c r="AQ41" i="198"/>
  <c r="AP41" i="198"/>
  <c r="AO41" i="198"/>
  <c r="AN41" i="198"/>
  <c r="AM41" i="198"/>
  <c r="AL41" i="198"/>
  <c r="AK41" i="198"/>
  <c r="AJ41" i="198"/>
  <c r="AI41" i="198"/>
  <c r="AH41" i="198"/>
  <c r="AG41" i="198"/>
  <c r="AF41" i="198"/>
  <c r="AE41" i="198"/>
  <c r="AD41" i="198"/>
  <c r="AC41" i="198"/>
  <c r="AB41" i="198"/>
  <c r="AA41" i="198"/>
  <c r="Z41" i="198"/>
  <c r="Y41" i="198"/>
  <c r="X41" i="198"/>
  <c r="W41" i="198"/>
  <c r="V41" i="198"/>
  <c r="U41" i="198"/>
  <c r="T41" i="198"/>
  <c r="S41" i="198"/>
  <c r="R41" i="198"/>
  <c r="Q41" i="198"/>
  <c r="P41" i="198"/>
  <c r="O41" i="198"/>
  <c r="N41" i="198"/>
  <c r="M41" i="198"/>
  <c r="L41" i="198"/>
  <c r="K41" i="198"/>
  <c r="J41" i="198"/>
  <c r="I41" i="198"/>
  <c r="H41" i="198"/>
  <c r="G41" i="198"/>
  <c r="F41" i="198"/>
  <c r="E41" i="198"/>
  <c r="D41" i="198"/>
  <c r="C41" i="198"/>
  <c r="B41" i="198"/>
  <c r="A41" i="198"/>
  <c r="CS40" i="198"/>
  <c r="CR40" i="198"/>
  <c r="CQ40" i="198"/>
  <c r="CP40" i="198"/>
  <c r="CO40" i="198"/>
  <c r="CN40" i="198"/>
  <c r="CM40" i="198"/>
  <c r="CL40" i="198"/>
  <c r="CK40" i="198"/>
  <c r="CJ40" i="198"/>
  <c r="CI40" i="198"/>
  <c r="CH40" i="198"/>
  <c r="CG40" i="198"/>
  <c r="CF40" i="198"/>
  <c r="CE40" i="198"/>
  <c r="CD40" i="198"/>
  <c r="CC40" i="198"/>
  <c r="CB40" i="198"/>
  <c r="CA40" i="198"/>
  <c r="BZ40" i="198"/>
  <c r="BY40" i="198"/>
  <c r="BX40" i="198"/>
  <c r="BW40" i="198"/>
  <c r="BV40" i="198"/>
  <c r="BU40" i="198"/>
  <c r="BT40" i="198"/>
  <c r="BS40" i="198"/>
  <c r="BR40" i="198"/>
  <c r="BQ40" i="198"/>
  <c r="BP40" i="198"/>
  <c r="BO40" i="198"/>
  <c r="BN40" i="198"/>
  <c r="BM40" i="198"/>
  <c r="BL40" i="198"/>
  <c r="BK40" i="198"/>
  <c r="BJ40" i="198"/>
  <c r="BI40" i="198"/>
  <c r="BH40" i="198"/>
  <c r="BG40" i="198"/>
  <c r="BF40" i="198"/>
  <c r="BE40" i="198"/>
  <c r="BD40" i="198"/>
  <c r="BC40" i="198"/>
  <c r="BB40" i="198"/>
  <c r="BA40" i="198"/>
  <c r="AZ40" i="198"/>
  <c r="AY40" i="198"/>
  <c r="AX40" i="198"/>
  <c r="AW40" i="198"/>
  <c r="AV40" i="198"/>
  <c r="AU40" i="198"/>
  <c r="AT40" i="198"/>
  <c r="AS40" i="198"/>
  <c r="AR40" i="198"/>
  <c r="AQ40" i="198"/>
  <c r="AP40" i="198"/>
  <c r="AO40" i="198"/>
  <c r="AN40" i="198"/>
  <c r="AM40" i="198"/>
  <c r="AL40" i="198"/>
  <c r="AK40" i="198"/>
  <c r="AJ40" i="198"/>
  <c r="AI40" i="198"/>
  <c r="AH40" i="198"/>
  <c r="AG40" i="198"/>
  <c r="AF40" i="198"/>
  <c r="AE40" i="198"/>
  <c r="AD40" i="198"/>
  <c r="AC40" i="198"/>
  <c r="AB40" i="198"/>
  <c r="AA40" i="198"/>
  <c r="Z40" i="198"/>
  <c r="Y40" i="198"/>
  <c r="X40" i="198"/>
  <c r="W40" i="198"/>
  <c r="V40" i="198"/>
  <c r="U40" i="198"/>
  <c r="T40" i="198"/>
  <c r="S40" i="198"/>
  <c r="R40" i="198"/>
  <c r="Q40" i="198"/>
  <c r="P40" i="198"/>
  <c r="O40" i="198"/>
  <c r="N40" i="198"/>
  <c r="M40" i="198"/>
  <c r="L40" i="198"/>
  <c r="K40" i="198"/>
  <c r="J40" i="198"/>
  <c r="I40" i="198"/>
  <c r="H40" i="198"/>
  <c r="G40" i="198"/>
  <c r="F40" i="198"/>
  <c r="E40" i="198"/>
  <c r="D40" i="198"/>
  <c r="C40" i="198"/>
  <c r="B40" i="198"/>
  <c r="A40" i="198"/>
  <c r="A39" i="198"/>
  <c r="EA36" i="198"/>
  <c r="DY36" i="198"/>
  <c r="DW36" i="198"/>
  <c r="DU36" i="198"/>
  <c r="DS36" i="198"/>
  <c r="DQ36" i="198"/>
  <c r="DO36" i="198"/>
  <c r="CR36" i="198"/>
  <c r="CP36" i="198"/>
  <c r="CN36" i="198"/>
  <c r="CL36" i="198"/>
  <c r="CJ36" i="198"/>
  <c r="CH36" i="198"/>
  <c r="CF36" i="198"/>
  <c r="CD36" i="198"/>
  <c r="CB36" i="198"/>
  <c r="BZ36" i="198"/>
  <c r="BX36" i="198"/>
  <c r="BV36" i="198"/>
  <c r="BT36" i="198"/>
  <c r="BR36" i="198"/>
  <c r="BP36" i="198"/>
  <c r="BN36" i="198"/>
  <c r="BL36" i="198"/>
  <c r="BJ36" i="198"/>
  <c r="BH36" i="198"/>
  <c r="BF36" i="198"/>
  <c r="BD36" i="198"/>
  <c r="BB36" i="198"/>
  <c r="AZ36" i="198"/>
  <c r="AX36" i="198"/>
  <c r="AV36" i="198"/>
  <c r="AT36" i="198"/>
  <c r="AR36" i="198"/>
  <c r="AP36" i="198"/>
  <c r="EB36" i="198"/>
  <c r="DZ36" i="198"/>
  <c r="DX36" i="198"/>
  <c r="DV36" i="198"/>
  <c r="DT36" i="198"/>
  <c r="DR36" i="198"/>
  <c r="DP36" i="198"/>
  <c r="DN36" i="198"/>
  <c r="DM36" i="198"/>
  <c r="DL36" i="198"/>
  <c r="DK36" i="198"/>
  <c r="DJ36" i="198"/>
  <c r="DI36" i="198"/>
  <c r="DH36" i="198"/>
  <c r="DG36" i="198"/>
  <c r="DF36" i="198"/>
  <c r="DE36" i="198"/>
  <c r="DD36" i="198"/>
  <c r="DC36" i="198"/>
  <c r="CS36" i="198"/>
  <c r="CQ36" i="198"/>
  <c r="CO36" i="198"/>
  <c r="CM36" i="198"/>
  <c r="CK36" i="198"/>
  <c r="CI36" i="198"/>
  <c r="CG36" i="198"/>
  <c r="CE36" i="198"/>
  <c r="CC36" i="198"/>
  <c r="CA36" i="198"/>
  <c r="BY36" i="198"/>
  <c r="BW36" i="198"/>
  <c r="BU36" i="198"/>
  <c r="BS36" i="198"/>
  <c r="BQ36" i="198"/>
  <c r="BO36" i="198"/>
  <c r="BM36" i="198"/>
  <c r="BK36" i="198"/>
  <c r="BI36" i="198"/>
  <c r="BG36" i="198"/>
  <c r="BE36" i="198"/>
  <c r="BC36" i="198"/>
  <c r="BA36" i="198"/>
  <c r="AY36" i="198"/>
  <c r="AW36" i="198"/>
  <c r="AU36" i="198"/>
  <c r="AS36" i="198"/>
  <c r="AQ36" i="198"/>
  <c r="AO36" i="198"/>
  <c r="AN36" i="198"/>
  <c r="AM36" i="198"/>
  <c r="AL36" i="198"/>
  <c r="AK36" i="198"/>
  <c r="AJ36" i="198"/>
  <c r="AI36" i="198"/>
  <c r="AH36" i="198"/>
  <c r="AG36" i="198"/>
  <c r="AF36" i="198"/>
  <c r="AE36" i="198"/>
  <c r="AD36" i="198"/>
  <c r="AC36" i="198"/>
  <c r="AB36" i="198"/>
  <c r="AA36" i="198"/>
  <c r="Z36" i="198"/>
  <c r="Y36" i="198"/>
  <c r="X36" i="198"/>
  <c r="W36" i="198"/>
  <c r="V36" i="198"/>
  <c r="U36" i="198"/>
  <c r="T36" i="198"/>
  <c r="S36" i="198"/>
  <c r="R36" i="198"/>
  <c r="Q36" i="198"/>
  <c r="P36" i="198"/>
  <c r="O36" i="198"/>
  <c r="N36" i="198"/>
  <c r="M36" i="198"/>
  <c r="L36" i="198"/>
  <c r="K36" i="198"/>
  <c r="J36" i="198"/>
  <c r="I36" i="198"/>
  <c r="H36" i="198"/>
  <c r="G36" i="198"/>
  <c r="F36" i="198"/>
  <c r="E36" i="198"/>
  <c r="D36" i="198"/>
  <c r="C36" i="198"/>
  <c r="B36" i="198"/>
  <c r="A36" i="198"/>
  <c r="EB34" i="198"/>
  <c r="EA34" i="198"/>
  <c r="DZ34" i="198"/>
  <c r="DY34" i="198"/>
  <c r="DX34" i="198"/>
  <c r="DW34" i="198"/>
  <c r="DV34" i="198"/>
  <c r="DU34" i="198"/>
  <c r="DT34" i="198"/>
  <c r="DS34" i="198"/>
  <c r="DR34" i="198"/>
  <c r="DQ34" i="198"/>
  <c r="DP34" i="198"/>
  <c r="DO34" i="198"/>
  <c r="DN34" i="198"/>
  <c r="DM34" i="198"/>
  <c r="DL34" i="198"/>
  <c r="DK34" i="198"/>
  <c r="DJ34" i="198"/>
  <c r="DI34" i="198"/>
  <c r="DH34" i="198"/>
  <c r="DG34" i="198"/>
  <c r="DF34" i="198"/>
  <c r="DE34" i="198"/>
  <c r="DD34" i="198"/>
  <c r="DC34" i="198"/>
  <c r="CS34" i="198"/>
  <c r="CR34" i="198"/>
  <c r="CQ34" i="198"/>
  <c r="CP34" i="198"/>
  <c r="CO34" i="198"/>
  <c r="CN34" i="198"/>
  <c r="CM34" i="198"/>
  <c r="CL34" i="198"/>
  <c r="CK34" i="198"/>
  <c r="CJ34" i="198"/>
  <c r="CI34" i="198"/>
  <c r="CH34" i="198"/>
  <c r="CG34" i="198"/>
  <c r="CF34" i="198"/>
  <c r="CE34" i="198"/>
  <c r="CD34" i="198"/>
  <c r="CC34" i="198"/>
  <c r="CB34" i="198"/>
  <c r="CA34" i="198"/>
  <c r="BZ34" i="198"/>
  <c r="BY34" i="198"/>
  <c r="BX34" i="198"/>
  <c r="BW34" i="198"/>
  <c r="BV34" i="198"/>
  <c r="BU34" i="198"/>
  <c r="BT34" i="198"/>
  <c r="BS34" i="198"/>
  <c r="BR34" i="198"/>
  <c r="BQ34" i="198"/>
  <c r="BP34" i="198"/>
  <c r="BO34" i="198"/>
  <c r="BN34" i="198"/>
  <c r="BM34" i="198"/>
  <c r="BL34" i="198"/>
  <c r="BK34" i="198"/>
  <c r="BJ34" i="198"/>
  <c r="BI34" i="198"/>
  <c r="BH34" i="198"/>
  <c r="BG34" i="198"/>
  <c r="BF34" i="198"/>
  <c r="BE34" i="198"/>
  <c r="BD34" i="198"/>
  <c r="BC34" i="198"/>
  <c r="BB34" i="198"/>
  <c r="BA34" i="198"/>
  <c r="AZ34" i="198"/>
  <c r="AY34" i="198"/>
  <c r="AX34" i="198"/>
  <c r="AW34" i="198"/>
  <c r="AV34" i="198"/>
  <c r="AU34" i="198"/>
  <c r="AT34" i="198"/>
  <c r="AS34" i="198"/>
  <c r="AR34" i="198"/>
  <c r="AQ34" i="198"/>
  <c r="AP34" i="198"/>
  <c r="AO34" i="198"/>
  <c r="AN34" i="198"/>
  <c r="AM34" i="198"/>
  <c r="AL34" i="198"/>
  <c r="AK34" i="198"/>
  <c r="AJ34" i="198"/>
  <c r="AI34" i="198"/>
  <c r="AH34" i="198"/>
  <c r="AG34" i="198"/>
  <c r="AF34" i="198"/>
  <c r="AE34" i="198"/>
  <c r="AD34" i="198"/>
  <c r="AC34" i="198"/>
  <c r="AB34" i="198"/>
  <c r="AA34" i="198"/>
  <c r="Z34" i="198"/>
  <c r="Y34" i="198"/>
  <c r="X34" i="198"/>
  <c r="W34" i="198"/>
  <c r="V34" i="198"/>
  <c r="U34" i="198"/>
  <c r="T34" i="198"/>
  <c r="S34" i="198"/>
  <c r="R34" i="198"/>
  <c r="Q34" i="198"/>
  <c r="P34" i="198"/>
  <c r="O34" i="198"/>
  <c r="N34" i="198"/>
  <c r="M34" i="198"/>
  <c r="L34" i="198"/>
  <c r="K34" i="198"/>
  <c r="J34" i="198"/>
  <c r="I34" i="198"/>
  <c r="H34" i="198"/>
  <c r="G34" i="198"/>
  <c r="F34" i="198"/>
  <c r="E34" i="198"/>
  <c r="D34" i="198"/>
  <c r="C34" i="198"/>
  <c r="B34" i="198"/>
  <c r="A34" i="198"/>
  <c r="EA31" i="198"/>
  <c r="EA30" i="198"/>
  <c r="DY31" i="198"/>
  <c r="DY30" i="198"/>
  <c r="DW31" i="198"/>
  <c r="DW30" i="198"/>
  <c r="DU31" i="198"/>
  <c r="DU30" i="198"/>
  <c r="DS31" i="198"/>
  <c r="DS30" i="198"/>
  <c r="DQ31" i="198"/>
  <c r="DQ30" i="198"/>
  <c r="DO31" i="198"/>
  <c r="DO30" i="198"/>
  <c r="CR31" i="198"/>
  <c r="CR30" i="198"/>
  <c r="CP31" i="198"/>
  <c r="CP30" i="198"/>
  <c r="CN31" i="198"/>
  <c r="CN30" i="198"/>
  <c r="CL31" i="198"/>
  <c r="CL30" i="198"/>
  <c r="CJ31" i="198"/>
  <c r="CJ30" i="198"/>
  <c r="CH31" i="198"/>
  <c r="CH30" i="198"/>
  <c r="CF31" i="198"/>
  <c r="CF30" i="198"/>
  <c r="CD31" i="198"/>
  <c r="CD30" i="198"/>
  <c r="CB31" i="198"/>
  <c r="CB30" i="198"/>
  <c r="BZ31" i="198"/>
  <c r="BZ30" i="198"/>
  <c r="BX31" i="198"/>
  <c r="BX30" i="198"/>
  <c r="BV32" i="198"/>
  <c r="BV31" i="198"/>
  <c r="BV30" i="198"/>
  <c r="BT31" i="198"/>
  <c r="BT30" i="198"/>
  <c r="BR31" i="198"/>
  <c r="BR30" i="198"/>
  <c r="BP31" i="198"/>
  <c r="BP30" i="198"/>
  <c r="BN31" i="198"/>
  <c r="BN30" i="198"/>
  <c r="BL31" i="198"/>
  <c r="BL30" i="198"/>
  <c r="BJ31" i="198"/>
  <c r="BJ30" i="198"/>
  <c r="BH31" i="198"/>
  <c r="BH30" i="198"/>
  <c r="BF31" i="198"/>
  <c r="BF30" i="198"/>
  <c r="BD31" i="198"/>
  <c r="BD30" i="198"/>
  <c r="BB31" i="198"/>
  <c r="BB30" i="198"/>
  <c r="AZ31" i="198"/>
  <c r="AZ30" i="198"/>
  <c r="AX31" i="198"/>
  <c r="AX30" i="198"/>
  <c r="AV31" i="198"/>
  <c r="AV30" i="198"/>
  <c r="AT31" i="198"/>
  <c r="AT30" i="198"/>
  <c r="AR31" i="198"/>
  <c r="AR30" i="198"/>
  <c r="AP31" i="198"/>
  <c r="AP30" i="198"/>
  <c r="EB31" i="198"/>
  <c r="EB30" i="198"/>
  <c r="DZ31" i="198"/>
  <c r="DZ30" i="198"/>
  <c r="DX31" i="198"/>
  <c r="DX30" i="198"/>
  <c r="DV31" i="198"/>
  <c r="DV30" i="198"/>
  <c r="DT31" i="198"/>
  <c r="DT30" i="198"/>
  <c r="DR31" i="198"/>
  <c r="DR30" i="198"/>
  <c r="DP31" i="198"/>
  <c r="DP30" i="198"/>
  <c r="CS31" i="198"/>
  <c r="CS30" i="198"/>
  <c r="CQ31" i="198"/>
  <c r="CQ30" i="198"/>
  <c r="CO31" i="198"/>
  <c r="CO30" i="198"/>
  <c r="CM31" i="198"/>
  <c r="CM30" i="198"/>
  <c r="CK31" i="198"/>
  <c r="CK30" i="198"/>
  <c r="CI31" i="198"/>
  <c r="CI30" i="198"/>
  <c r="CG31" i="198"/>
  <c r="CG30" i="198"/>
  <c r="CE31" i="198"/>
  <c r="CE30" i="198"/>
  <c r="CC31" i="198"/>
  <c r="CC30" i="198"/>
  <c r="CA31" i="198"/>
  <c r="CA30" i="198"/>
  <c r="BY31" i="198"/>
  <c r="BY30" i="198"/>
  <c r="BW31" i="198"/>
  <c r="BW30" i="198"/>
  <c r="BU31" i="198"/>
  <c r="BU30" i="198"/>
  <c r="BS31" i="198"/>
  <c r="BS30" i="198"/>
  <c r="BQ31" i="198"/>
  <c r="BQ30" i="198"/>
  <c r="BO31" i="198"/>
  <c r="BO30" i="198"/>
  <c r="BM31" i="198"/>
  <c r="BM30" i="198"/>
  <c r="BK31" i="198"/>
  <c r="BK30" i="198"/>
  <c r="BI31" i="198"/>
  <c r="BI30" i="198"/>
  <c r="BG31" i="198"/>
  <c r="BG30" i="198"/>
  <c r="BE31" i="198"/>
  <c r="BE30" i="198"/>
  <c r="BC31" i="198"/>
  <c r="BC30" i="198"/>
  <c r="BA31" i="198"/>
  <c r="BA30" i="198"/>
  <c r="AY31" i="198"/>
  <c r="AY30" i="198"/>
  <c r="AW31" i="198"/>
  <c r="AW30" i="198"/>
  <c r="AU31" i="198"/>
  <c r="AU30" i="198"/>
  <c r="AS31" i="198"/>
  <c r="AS30" i="198"/>
  <c r="AQ31" i="198"/>
  <c r="AQ30" i="198"/>
  <c r="DN31" i="198"/>
  <c r="DM31" i="198"/>
  <c r="DL31" i="198"/>
  <c r="DK31" i="198"/>
  <c r="DJ31" i="198"/>
  <c r="DI31" i="198"/>
  <c r="DH31" i="198"/>
  <c r="DG31" i="198"/>
  <c r="DF31" i="198"/>
  <c r="DE31" i="198"/>
  <c r="DD31" i="198"/>
  <c r="DC31" i="198"/>
  <c r="DN30" i="198"/>
  <c r="DM30" i="198"/>
  <c r="DL30" i="198"/>
  <c r="DK30" i="198"/>
  <c r="DJ30" i="198"/>
  <c r="DI30" i="198"/>
  <c r="DH30" i="198"/>
  <c r="DG30" i="198"/>
  <c r="DF30" i="198"/>
  <c r="DE30" i="198"/>
  <c r="DD30" i="198"/>
  <c r="DC30" i="198"/>
  <c r="AO31" i="198"/>
  <c r="AN31" i="198"/>
  <c r="AM31" i="198"/>
  <c r="AL31" i="198"/>
  <c r="AK31" i="198"/>
  <c r="AJ31" i="198"/>
  <c r="AI31" i="198"/>
  <c r="AH31" i="198"/>
  <c r="AG31" i="198"/>
  <c r="AF31" i="198"/>
  <c r="AE31" i="198"/>
  <c r="AD31" i="198"/>
  <c r="AC31" i="198"/>
  <c r="AB31" i="198"/>
  <c r="AA31" i="198"/>
  <c r="Z31" i="198"/>
  <c r="Y31" i="198"/>
  <c r="X31" i="198"/>
  <c r="W31" i="198"/>
  <c r="V31" i="198"/>
  <c r="U31" i="198"/>
  <c r="T31" i="198"/>
  <c r="S31" i="198"/>
  <c r="R31" i="198"/>
  <c r="Q31" i="198"/>
  <c r="P31" i="198"/>
  <c r="O31" i="198"/>
  <c r="N31" i="198"/>
  <c r="M31" i="198"/>
  <c r="L31" i="198"/>
  <c r="K31" i="198"/>
  <c r="J31" i="198"/>
  <c r="I31" i="198"/>
  <c r="H31" i="198"/>
  <c r="G31" i="198"/>
  <c r="F31" i="198"/>
  <c r="E31" i="198"/>
  <c r="D31" i="198"/>
  <c r="C31" i="198"/>
  <c r="B31" i="198"/>
  <c r="A31" i="198"/>
  <c r="AO30" i="198"/>
  <c r="AN30" i="198"/>
  <c r="AM30" i="198"/>
  <c r="AL30" i="198"/>
  <c r="AK30" i="198"/>
  <c r="AJ30" i="198"/>
  <c r="AI30" i="198"/>
  <c r="AH30" i="198"/>
  <c r="AG30" i="198"/>
  <c r="AF30" i="198"/>
  <c r="AE30" i="198"/>
  <c r="AD30" i="198"/>
  <c r="AC30" i="198"/>
  <c r="AB30" i="198"/>
  <c r="AA30" i="198"/>
  <c r="Z30" i="198"/>
  <c r="Y30" i="198"/>
  <c r="X30" i="198"/>
  <c r="W30" i="198"/>
  <c r="V30" i="198"/>
  <c r="U30" i="198"/>
  <c r="T30" i="198"/>
  <c r="S30" i="198"/>
  <c r="R30" i="198"/>
  <c r="Q30" i="198"/>
  <c r="P30" i="198"/>
  <c r="O30" i="198"/>
  <c r="N30" i="198"/>
  <c r="M30" i="198"/>
  <c r="L30" i="198"/>
  <c r="K30" i="198"/>
  <c r="J30" i="198"/>
  <c r="I30" i="198"/>
  <c r="H30" i="198"/>
  <c r="G30" i="198"/>
  <c r="F30" i="198"/>
  <c r="E30" i="198"/>
  <c r="D30" i="198"/>
  <c r="C30" i="198"/>
  <c r="B30" i="198"/>
  <c r="A30" i="198"/>
  <c r="DU27" i="198"/>
  <c r="DU32" i="198" s="1"/>
  <c r="DU26" i="198"/>
  <c r="DU25" i="198"/>
  <c r="DU24" i="198"/>
  <c r="DS27" i="198"/>
  <c r="DS26" i="198"/>
  <c r="DS25" i="198"/>
  <c r="DS24" i="198"/>
  <c r="DQ27" i="198"/>
  <c r="DQ32" i="198" s="1"/>
  <c r="DQ26" i="198"/>
  <c r="DQ25" i="198"/>
  <c r="DQ24" i="198"/>
  <c r="DO27" i="198"/>
  <c r="DO26" i="198"/>
  <c r="DO25" i="198"/>
  <c r="DO24" i="198"/>
  <c r="CJ27" i="198"/>
  <c r="CJ26" i="198"/>
  <c r="CJ25" i="198"/>
  <c r="CJ24" i="198"/>
  <c r="CH27" i="198"/>
  <c r="CH26" i="198"/>
  <c r="CH25" i="198"/>
  <c r="CH24" i="198"/>
  <c r="CF27" i="198"/>
  <c r="CF26" i="198"/>
  <c r="CF25" i="198"/>
  <c r="CF24" i="198"/>
  <c r="CD27" i="198"/>
  <c r="CD26" i="198"/>
  <c r="CD25" i="198"/>
  <c r="CD24" i="198"/>
  <c r="CB27" i="198"/>
  <c r="CB26" i="198"/>
  <c r="CB25" i="198"/>
  <c r="CB24" i="198"/>
  <c r="BZ27" i="198"/>
  <c r="BZ26" i="198"/>
  <c r="BZ25" i="198"/>
  <c r="BZ24" i="198"/>
  <c r="BX27" i="198"/>
  <c r="BX26" i="198"/>
  <c r="BX25" i="198"/>
  <c r="BX24" i="198"/>
  <c r="BV27" i="198"/>
  <c r="BV26" i="198"/>
  <c r="BV25" i="198"/>
  <c r="BV24" i="198"/>
  <c r="BT27" i="198"/>
  <c r="BT32" i="198" s="1"/>
  <c r="BT26" i="198"/>
  <c r="BT25" i="198"/>
  <c r="BT24" i="198"/>
  <c r="BR27" i="198"/>
  <c r="BR32" i="198" s="1"/>
  <c r="BR26" i="198"/>
  <c r="BR25" i="198"/>
  <c r="BR24" i="198"/>
  <c r="BP27" i="198"/>
  <c r="BP32" i="198" s="1"/>
  <c r="BP26" i="198"/>
  <c r="BP25" i="198"/>
  <c r="BP24" i="198"/>
  <c r="BN27" i="198"/>
  <c r="BN32" i="198" s="1"/>
  <c r="BN26" i="198"/>
  <c r="BN25" i="198"/>
  <c r="BN24" i="198"/>
  <c r="BL27" i="198"/>
  <c r="BL26" i="198"/>
  <c r="BL25" i="198"/>
  <c r="BL24" i="198"/>
  <c r="BJ27" i="198"/>
  <c r="BJ32" i="198" s="1"/>
  <c r="BJ26" i="198"/>
  <c r="BJ25" i="198"/>
  <c r="BJ24" i="198"/>
  <c r="BH27" i="198"/>
  <c r="BH26" i="198"/>
  <c r="BH25" i="198"/>
  <c r="BH24" i="198"/>
  <c r="BF27" i="198"/>
  <c r="BF32" i="198" s="1"/>
  <c r="BF26" i="198"/>
  <c r="BF25" i="198"/>
  <c r="BF24" i="198"/>
  <c r="BD27" i="198"/>
  <c r="BD26" i="198"/>
  <c r="BD25" i="198"/>
  <c r="BD24" i="198"/>
  <c r="BB27" i="198"/>
  <c r="BB32" i="198" s="1"/>
  <c r="BB26" i="198"/>
  <c r="BB25" i="198"/>
  <c r="BB24" i="198"/>
  <c r="AZ27" i="198"/>
  <c r="AZ26" i="198"/>
  <c r="AZ25" i="198"/>
  <c r="AZ24" i="198"/>
  <c r="AX27" i="198"/>
  <c r="AX32" i="198" s="1"/>
  <c r="AX26" i="198"/>
  <c r="AX25" i="198"/>
  <c r="AX24" i="198"/>
  <c r="AV27" i="198"/>
  <c r="AV26" i="198"/>
  <c r="AV25" i="198"/>
  <c r="AV24" i="198"/>
  <c r="AT27" i="198"/>
  <c r="AT32" i="198" s="1"/>
  <c r="AT26" i="198"/>
  <c r="AT25" i="198"/>
  <c r="AT24" i="198"/>
  <c r="AR27" i="198"/>
  <c r="AR26" i="198"/>
  <c r="AR25" i="198"/>
  <c r="AR24" i="198"/>
  <c r="AP27" i="198"/>
  <c r="AP32" i="198" s="1"/>
  <c r="AP26" i="198"/>
  <c r="AP25" i="198"/>
  <c r="AP24" i="198"/>
  <c r="DT27" i="198"/>
  <c r="DT26" i="198"/>
  <c r="DT25" i="198"/>
  <c r="DT24" i="198"/>
  <c r="DR27" i="198"/>
  <c r="DR26" i="198"/>
  <c r="DR25" i="198"/>
  <c r="DR24" i="198"/>
  <c r="DP27" i="198"/>
  <c r="DP26" i="198"/>
  <c r="DP25" i="198"/>
  <c r="DP24" i="198"/>
  <c r="CI27" i="198"/>
  <c r="CI26" i="198"/>
  <c r="CI25" i="198"/>
  <c r="CI24" i="198"/>
  <c r="CG27" i="198"/>
  <c r="CG26" i="198"/>
  <c r="CG25" i="198"/>
  <c r="CG24" i="198"/>
  <c r="CE27" i="198"/>
  <c r="CE26" i="198"/>
  <c r="CE25" i="198"/>
  <c r="CE24" i="198"/>
  <c r="CC27" i="198"/>
  <c r="CC26" i="198"/>
  <c r="CC25" i="198"/>
  <c r="CC24" i="198"/>
  <c r="CA27" i="198"/>
  <c r="CA26" i="198"/>
  <c r="CA25" i="198"/>
  <c r="CA24" i="198"/>
  <c r="BY27" i="198"/>
  <c r="BY26" i="198"/>
  <c r="BY25" i="198"/>
  <c r="BY24" i="198"/>
  <c r="BW27" i="198"/>
  <c r="BW26" i="198"/>
  <c r="BW25" i="198"/>
  <c r="BW24" i="198"/>
  <c r="BU27" i="198"/>
  <c r="BU26" i="198"/>
  <c r="BU25" i="198"/>
  <c r="BU24" i="198"/>
  <c r="BS27" i="198"/>
  <c r="BS26" i="198"/>
  <c r="BS25" i="198"/>
  <c r="BS24" i="198"/>
  <c r="BQ27" i="198"/>
  <c r="BQ26" i="198"/>
  <c r="BQ25" i="198"/>
  <c r="BQ24" i="198"/>
  <c r="BO27" i="198"/>
  <c r="BO26" i="198"/>
  <c r="BO25" i="198"/>
  <c r="BO24" i="198"/>
  <c r="BM27" i="198"/>
  <c r="BM26" i="198"/>
  <c r="BM25" i="198"/>
  <c r="BM24" i="198"/>
  <c r="BK27" i="198"/>
  <c r="BK26" i="198"/>
  <c r="BK25" i="198"/>
  <c r="BK24" i="198"/>
  <c r="BI27" i="198"/>
  <c r="BI26" i="198"/>
  <c r="BI25" i="198"/>
  <c r="BI24" i="198"/>
  <c r="BG27" i="198"/>
  <c r="BG26" i="198"/>
  <c r="BG25" i="198"/>
  <c r="BG24" i="198"/>
  <c r="BE27" i="198"/>
  <c r="BE26" i="198"/>
  <c r="BE25" i="198"/>
  <c r="BE24" i="198"/>
  <c r="BC27" i="198"/>
  <c r="BC26" i="198"/>
  <c r="BC25" i="198"/>
  <c r="BC24" i="198"/>
  <c r="BA27" i="198"/>
  <c r="BA26" i="198"/>
  <c r="BA25" i="198"/>
  <c r="BA24" i="198"/>
  <c r="AY27" i="198"/>
  <c r="AY26" i="198"/>
  <c r="AY25" i="198"/>
  <c r="AY24" i="198"/>
  <c r="AW27" i="198"/>
  <c r="AW26" i="198"/>
  <c r="AW25" i="198"/>
  <c r="AW24" i="198"/>
  <c r="AU27" i="198"/>
  <c r="AU26" i="198"/>
  <c r="AU25" i="198"/>
  <c r="AU24" i="198"/>
  <c r="AS27" i="198"/>
  <c r="AS26" i="198"/>
  <c r="AS25" i="198"/>
  <c r="AS24" i="198"/>
  <c r="AQ27" i="198"/>
  <c r="AQ26" i="198"/>
  <c r="AQ25" i="198"/>
  <c r="AQ24" i="198"/>
  <c r="A26" i="198"/>
  <c r="EB27" i="198"/>
  <c r="EA27" i="198"/>
  <c r="DZ27" i="198"/>
  <c r="DY27" i="198"/>
  <c r="DX27" i="198"/>
  <c r="DW27" i="198"/>
  <c r="DW32" i="198" s="1"/>
  <c r="DV27" i="198"/>
  <c r="EM26" i="198"/>
  <c r="EL26" i="198"/>
  <c r="EK26" i="198"/>
  <c r="EJ26" i="198"/>
  <c r="EI26" i="198"/>
  <c r="EH26" i="198"/>
  <c r="EG26" i="198"/>
  <c r="EF26" i="198"/>
  <c r="EE26" i="198"/>
  <c r="ED26" i="198"/>
  <c r="EC26" i="198"/>
  <c r="EB26" i="198"/>
  <c r="EA26" i="198"/>
  <c r="DZ26" i="198"/>
  <c r="DY26" i="198"/>
  <c r="DX26" i="198"/>
  <c r="DW26" i="198"/>
  <c r="DV26" i="198"/>
  <c r="EB25" i="198"/>
  <c r="EA25" i="198"/>
  <c r="DZ25" i="198"/>
  <c r="DY25" i="198"/>
  <c r="DX25" i="198"/>
  <c r="DW25" i="198"/>
  <c r="DV25" i="198"/>
  <c r="EB24" i="198"/>
  <c r="EA24" i="198"/>
  <c r="DZ24" i="198"/>
  <c r="DY24" i="198"/>
  <c r="DX24" i="198"/>
  <c r="DW24" i="198"/>
  <c r="DV24" i="198"/>
  <c r="DN27" i="198"/>
  <c r="DM27" i="198"/>
  <c r="DL27" i="198"/>
  <c r="DK27" i="198"/>
  <c r="DJ27" i="198"/>
  <c r="DI27" i="198"/>
  <c r="DH27" i="198"/>
  <c r="DG27" i="198"/>
  <c r="DF27" i="198"/>
  <c r="DE27" i="198"/>
  <c r="DD27" i="198"/>
  <c r="DC27" i="198"/>
  <c r="DB27" i="198"/>
  <c r="CS27" i="198"/>
  <c r="CR27" i="198"/>
  <c r="CQ27" i="198"/>
  <c r="CP27" i="198"/>
  <c r="CP32" i="198" s="1"/>
  <c r="CO27" i="198"/>
  <c r="CN27" i="198"/>
  <c r="CM27" i="198"/>
  <c r="CL27" i="198"/>
  <c r="CL32" i="198" s="1"/>
  <c r="CK27" i="198"/>
  <c r="DN26" i="198"/>
  <c r="DM26" i="198"/>
  <c r="DL26" i="198"/>
  <c r="DK26" i="198"/>
  <c r="DJ26" i="198"/>
  <c r="DI26" i="198"/>
  <c r="DH26" i="198"/>
  <c r="DG26" i="198"/>
  <c r="DF26" i="198"/>
  <c r="DE26" i="198"/>
  <c r="DD26" i="198"/>
  <c r="DC26" i="198"/>
  <c r="DB26" i="198"/>
  <c r="DA26" i="198"/>
  <c r="CZ26" i="198"/>
  <c r="CY26" i="198"/>
  <c r="CX26" i="198"/>
  <c r="CW26" i="198"/>
  <c r="CV26" i="198"/>
  <c r="CU26" i="198"/>
  <c r="CT26" i="198"/>
  <c r="CS26" i="198"/>
  <c r="CR26" i="198"/>
  <c r="CQ26" i="198"/>
  <c r="CP26" i="198"/>
  <c r="CO26" i="198"/>
  <c r="CN26" i="198"/>
  <c r="CM26" i="198"/>
  <c r="CL26" i="198"/>
  <c r="CK26" i="198"/>
  <c r="DN25" i="198"/>
  <c r="DM25" i="198"/>
  <c r="DL25" i="198"/>
  <c r="DK25" i="198"/>
  <c r="DJ25" i="198"/>
  <c r="DI25" i="198"/>
  <c r="DH25" i="198"/>
  <c r="DG25" i="198"/>
  <c r="DF25" i="198"/>
  <c r="DE25" i="198"/>
  <c r="DD25" i="198"/>
  <c r="DC25" i="198"/>
  <c r="DB25" i="198"/>
  <c r="DA25" i="198"/>
  <c r="CZ25" i="198"/>
  <c r="CY25" i="198"/>
  <c r="CX25" i="198"/>
  <c r="CW25" i="198"/>
  <c r="CV25" i="198"/>
  <c r="CU25" i="198"/>
  <c r="CT25" i="198"/>
  <c r="CS25" i="198"/>
  <c r="CR25" i="198"/>
  <c r="CQ25" i="198"/>
  <c r="CP25" i="198"/>
  <c r="CO25" i="198"/>
  <c r="CN25" i="198"/>
  <c r="CM25" i="198"/>
  <c r="CL25" i="198"/>
  <c r="CK25" i="198"/>
  <c r="DN24" i="198"/>
  <c r="DM24" i="198"/>
  <c r="DL24" i="198"/>
  <c r="DK24" i="198"/>
  <c r="DJ24" i="198"/>
  <c r="DI24" i="198"/>
  <c r="DH24" i="198"/>
  <c r="DG24" i="198"/>
  <c r="DF24" i="198"/>
  <c r="DE24" i="198"/>
  <c r="DD24" i="198"/>
  <c r="DC24" i="198"/>
  <c r="DB24" i="198"/>
  <c r="CS24" i="198"/>
  <c r="CR24" i="198"/>
  <c r="CQ24" i="198"/>
  <c r="CP24" i="198"/>
  <c r="CO24" i="198"/>
  <c r="CN24" i="198"/>
  <c r="CM24" i="198"/>
  <c r="CL24" i="198"/>
  <c r="CK24" i="198"/>
  <c r="AO27" i="198"/>
  <c r="AN27" i="198"/>
  <c r="AM27" i="198"/>
  <c r="AL27" i="198"/>
  <c r="AK27" i="198"/>
  <c r="AJ27" i="198"/>
  <c r="AI27" i="198"/>
  <c r="AH27" i="198"/>
  <c r="AG27" i="198"/>
  <c r="AF27" i="198"/>
  <c r="AE27" i="198"/>
  <c r="AD27" i="198"/>
  <c r="AC27" i="198"/>
  <c r="AB27" i="198"/>
  <c r="AA27" i="198"/>
  <c r="Z27" i="198"/>
  <c r="Y27" i="198"/>
  <c r="X27" i="198"/>
  <c r="W27" i="198"/>
  <c r="V27" i="198"/>
  <c r="U27" i="198"/>
  <c r="T27" i="198"/>
  <c r="S27" i="198"/>
  <c r="R27" i="198"/>
  <c r="Q27" i="198"/>
  <c r="P27" i="198"/>
  <c r="O27" i="198"/>
  <c r="N27" i="198"/>
  <c r="M27" i="198"/>
  <c r="L27" i="198"/>
  <c r="K27" i="198"/>
  <c r="J27" i="198"/>
  <c r="I27" i="198"/>
  <c r="H27" i="198"/>
  <c r="G27" i="198"/>
  <c r="F27" i="198"/>
  <c r="E27" i="198"/>
  <c r="D27" i="198"/>
  <c r="C27" i="198"/>
  <c r="B27" i="198"/>
  <c r="AO26" i="198"/>
  <c r="AN26" i="198"/>
  <c r="AM26" i="198"/>
  <c r="AL26" i="198"/>
  <c r="AK26" i="198"/>
  <c r="AJ26" i="198"/>
  <c r="AI26" i="198"/>
  <c r="AH26" i="198"/>
  <c r="AG26" i="198"/>
  <c r="AF26" i="198"/>
  <c r="AE26" i="198"/>
  <c r="AD26" i="198"/>
  <c r="AC26" i="198"/>
  <c r="AB26" i="198"/>
  <c r="AA26" i="198"/>
  <c r="Z26" i="198"/>
  <c r="Y26" i="198"/>
  <c r="X26" i="198"/>
  <c r="W26" i="198"/>
  <c r="V26" i="198"/>
  <c r="U26" i="198"/>
  <c r="T26" i="198"/>
  <c r="S26" i="198"/>
  <c r="R26" i="198"/>
  <c r="Q26" i="198"/>
  <c r="P26" i="198"/>
  <c r="O26" i="198"/>
  <c r="N26" i="198"/>
  <c r="M26" i="198"/>
  <c r="L26" i="198"/>
  <c r="K26" i="198"/>
  <c r="J26" i="198"/>
  <c r="I26" i="198"/>
  <c r="H26" i="198"/>
  <c r="G26" i="198"/>
  <c r="F26" i="198"/>
  <c r="E26" i="198"/>
  <c r="D26" i="198"/>
  <c r="C26" i="198"/>
  <c r="B26" i="198"/>
  <c r="AO25" i="198"/>
  <c r="AN25" i="198"/>
  <c r="AM25" i="198"/>
  <c r="AL25" i="198"/>
  <c r="AK25" i="198"/>
  <c r="AJ25" i="198"/>
  <c r="AI25" i="198"/>
  <c r="AH25" i="198"/>
  <c r="AG25" i="198"/>
  <c r="AF25" i="198"/>
  <c r="AE25" i="198"/>
  <c r="AD25" i="198"/>
  <c r="AC25" i="198"/>
  <c r="AB25" i="198"/>
  <c r="AA25" i="198"/>
  <c r="Z25" i="198"/>
  <c r="Y25" i="198"/>
  <c r="X25" i="198"/>
  <c r="W25" i="198"/>
  <c r="V25" i="198"/>
  <c r="U25" i="198"/>
  <c r="T25" i="198"/>
  <c r="S25" i="198"/>
  <c r="R25" i="198"/>
  <c r="Q25" i="198"/>
  <c r="P25" i="198"/>
  <c r="O25" i="198"/>
  <c r="N25" i="198"/>
  <c r="M25" i="198"/>
  <c r="L25" i="198"/>
  <c r="K25" i="198"/>
  <c r="J25" i="198"/>
  <c r="I25" i="198"/>
  <c r="H25" i="198"/>
  <c r="G25" i="198"/>
  <c r="F25" i="198"/>
  <c r="E25" i="198"/>
  <c r="D25" i="198"/>
  <c r="C25" i="198"/>
  <c r="B25" i="198"/>
  <c r="AO24" i="198"/>
  <c r="AN24" i="198"/>
  <c r="AM24" i="198"/>
  <c r="AL24" i="198"/>
  <c r="AK24" i="198"/>
  <c r="AJ24" i="198"/>
  <c r="AI24" i="198"/>
  <c r="AH24" i="198"/>
  <c r="AG24" i="198"/>
  <c r="AF24" i="198"/>
  <c r="AE24" i="198"/>
  <c r="AD24" i="198"/>
  <c r="AC24" i="198"/>
  <c r="AB24" i="198"/>
  <c r="AA24" i="198"/>
  <c r="Z24" i="198"/>
  <c r="Y24" i="198"/>
  <c r="X24" i="198"/>
  <c r="W24" i="198"/>
  <c r="V24" i="198"/>
  <c r="U24" i="198"/>
  <c r="T24" i="198"/>
  <c r="S24" i="198"/>
  <c r="R24" i="198"/>
  <c r="Q24" i="198"/>
  <c r="P24" i="198"/>
  <c r="O24" i="198"/>
  <c r="N24" i="198"/>
  <c r="M24" i="198"/>
  <c r="L24" i="198"/>
  <c r="K24" i="198"/>
  <c r="J24" i="198"/>
  <c r="I24" i="198"/>
  <c r="H24" i="198"/>
  <c r="G24" i="198"/>
  <c r="F24" i="198"/>
  <c r="E24" i="198"/>
  <c r="D24" i="198"/>
  <c r="C24" i="198"/>
  <c r="B24" i="198"/>
  <c r="EB20" i="198"/>
  <c r="EA20" i="198"/>
  <c r="DZ20" i="198"/>
  <c r="DY20" i="198"/>
  <c r="DX20" i="198"/>
  <c r="DW20" i="198"/>
  <c r="DV20" i="198"/>
  <c r="DU20" i="198"/>
  <c r="DT20" i="198"/>
  <c r="DS20" i="198"/>
  <c r="DR20" i="198"/>
  <c r="DQ20" i="198"/>
  <c r="DP20" i="198"/>
  <c r="DO20" i="198"/>
  <c r="DN20" i="198"/>
  <c r="DM20" i="198"/>
  <c r="DL20" i="198"/>
  <c r="DK20" i="198"/>
  <c r="DJ20" i="198"/>
  <c r="DI20" i="198"/>
  <c r="DH20" i="198"/>
  <c r="DG20" i="198"/>
  <c r="DF20" i="198"/>
  <c r="DE20" i="198"/>
  <c r="DD20" i="198"/>
  <c r="DC20" i="198"/>
  <c r="DB20" i="198"/>
  <c r="CU20" i="198"/>
  <c r="CT20" i="198"/>
  <c r="CS20" i="198"/>
  <c r="CR20" i="198"/>
  <c r="CQ20" i="198"/>
  <c r="CP20" i="198"/>
  <c r="CO20" i="198"/>
  <c r="CN20" i="198"/>
  <c r="CM20" i="198"/>
  <c r="CL20" i="198"/>
  <c r="CK20" i="198"/>
  <c r="CJ20" i="198"/>
  <c r="CI20" i="198"/>
  <c r="CH20" i="198"/>
  <c r="CG20" i="198"/>
  <c r="CF20" i="198"/>
  <c r="CE20" i="198"/>
  <c r="CD20" i="198"/>
  <c r="CC20" i="198"/>
  <c r="CB20" i="198"/>
  <c r="CA20" i="198"/>
  <c r="BZ20" i="198"/>
  <c r="BY20" i="198"/>
  <c r="BX20" i="198"/>
  <c r="BW20" i="198"/>
  <c r="BV20" i="198"/>
  <c r="BU20" i="198"/>
  <c r="BT20" i="198"/>
  <c r="BS20" i="198"/>
  <c r="BR20" i="198"/>
  <c r="BQ20" i="198"/>
  <c r="BP20" i="198"/>
  <c r="BO20" i="198"/>
  <c r="BN20" i="198"/>
  <c r="BM20" i="198"/>
  <c r="BL20" i="198"/>
  <c r="BK20" i="198"/>
  <c r="BJ20" i="198"/>
  <c r="BI20" i="198"/>
  <c r="BH20" i="198"/>
  <c r="BG20" i="198"/>
  <c r="BF20" i="198"/>
  <c r="BE20" i="198"/>
  <c r="BD20" i="198"/>
  <c r="BC20" i="198"/>
  <c r="BB20" i="198"/>
  <c r="BA20" i="198"/>
  <c r="AZ20" i="198"/>
  <c r="AY20" i="198"/>
  <c r="AX20" i="198"/>
  <c r="AW20" i="198"/>
  <c r="AV20" i="198"/>
  <c r="AU20" i="198"/>
  <c r="AT20" i="198"/>
  <c r="AS20" i="198"/>
  <c r="AR20" i="198"/>
  <c r="AQ20" i="198"/>
  <c r="AP20" i="198"/>
  <c r="AO20" i="198"/>
  <c r="AN20" i="198"/>
  <c r="AM20" i="198"/>
  <c r="AL20" i="198"/>
  <c r="AK20" i="198"/>
  <c r="AJ20" i="198"/>
  <c r="AI20" i="198"/>
  <c r="AH20" i="198"/>
  <c r="AG20" i="198"/>
  <c r="AF20" i="198"/>
  <c r="AE20" i="198"/>
  <c r="AD20" i="198"/>
  <c r="AC20" i="198"/>
  <c r="AB20" i="198"/>
  <c r="AA20" i="198"/>
  <c r="Z20" i="198"/>
  <c r="Y20" i="198"/>
  <c r="X20" i="198"/>
  <c r="W20" i="198"/>
  <c r="V20" i="198"/>
  <c r="U20" i="198"/>
  <c r="T20" i="198"/>
  <c r="S20" i="198"/>
  <c r="R20" i="198"/>
  <c r="Q20" i="198"/>
  <c r="P20" i="198"/>
  <c r="O20" i="198"/>
  <c r="N20" i="198"/>
  <c r="M20" i="198"/>
  <c r="L20" i="198"/>
  <c r="K20" i="198"/>
  <c r="J20" i="198"/>
  <c r="I20" i="198"/>
  <c r="H20" i="198"/>
  <c r="G20" i="198"/>
  <c r="F20" i="198"/>
  <c r="E20" i="198"/>
  <c r="D20" i="198"/>
  <c r="C20" i="198"/>
  <c r="B20" i="198"/>
  <c r="H18" i="198"/>
  <c r="H17" i="198"/>
  <c r="H16" i="198"/>
  <c r="H14" i="198"/>
  <c r="H13" i="198"/>
  <c r="H11" i="198"/>
  <c r="H10" i="198"/>
  <c r="H9" i="198"/>
  <c r="H8" i="198"/>
  <c r="F18" i="198"/>
  <c r="F17" i="198"/>
  <c r="F16" i="198"/>
  <c r="F14" i="198"/>
  <c r="F13" i="198"/>
  <c r="F11" i="198"/>
  <c r="F10" i="198"/>
  <c r="F9" i="198"/>
  <c r="F8" i="198"/>
  <c r="D18" i="198"/>
  <c r="D17" i="198"/>
  <c r="D16" i="198"/>
  <c r="D14" i="198"/>
  <c r="D13" i="198"/>
  <c r="D11" i="198"/>
  <c r="D10" i="198"/>
  <c r="D9" i="198"/>
  <c r="D8" i="198"/>
  <c r="B18" i="198"/>
  <c r="B17" i="198"/>
  <c r="B16" i="198"/>
  <c r="B14" i="198"/>
  <c r="B13" i="198"/>
  <c r="B11" i="198"/>
  <c r="B10" i="198"/>
  <c r="B9" i="198"/>
  <c r="B8" i="198"/>
  <c r="DH18" i="198"/>
  <c r="DG18" i="198"/>
  <c r="DF18" i="198"/>
  <c r="DE18" i="198"/>
  <c r="DD18" i="198"/>
  <c r="DC18" i="198"/>
  <c r="DB18" i="198"/>
  <c r="CS18" i="198"/>
  <c r="CR18" i="198"/>
  <c r="CQ18" i="198"/>
  <c r="CP18" i="198"/>
  <c r="CO18" i="198"/>
  <c r="CN18" i="198"/>
  <c r="CM18" i="198"/>
  <c r="CL18" i="198"/>
  <c r="CK18" i="198"/>
  <c r="CJ18" i="198"/>
  <c r="CI18" i="198"/>
  <c r="CH18" i="198"/>
  <c r="CG18" i="198"/>
  <c r="CF18" i="198"/>
  <c r="CE18" i="198"/>
  <c r="CD18" i="198"/>
  <c r="CC18" i="198"/>
  <c r="CB18" i="198"/>
  <c r="CA18" i="198"/>
  <c r="BZ18" i="198"/>
  <c r="BY18" i="198"/>
  <c r="BX18" i="198"/>
  <c r="BW18" i="198"/>
  <c r="BV18" i="198"/>
  <c r="BU18" i="198"/>
  <c r="BT18" i="198"/>
  <c r="BS18" i="198"/>
  <c r="BR18" i="198"/>
  <c r="BQ18" i="198"/>
  <c r="BP18" i="198"/>
  <c r="BO18" i="198"/>
  <c r="BN18" i="198"/>
  <c r="BM18" i="198"/>
  <c r="BL18" i="198"/>
  <c r="BK18" i="198"/>
  <c r="BJ18" i="198"/>
  <c r="BI18" i="198"/>
  <c r="BH18" i="198"/>
  <c r="BG18" i="198"/>
  <c r="BF18" i="198"/>
  <c r="BE18" i="198"/>
  <c r="BD18" i="198"/>
  <c r="BC18" i="198"/>
  <c r="BB18" i="198"/>
  <c r="BA18" i="198"/>
  <c r="AZ18" i="198"/>
  <c r="AY18" i="198"/>
  <c r="AX18" i="198"/>
  <c r="AW18" i="198"/>
  <c r="AV18" i="198"/>
  <c r="AU18" i="198"/>
  <c r="AT18" i="198"/>
  <c r="AS18" i="198"/>
  <c r="AR18" i="198"/>
  <c r="AQ18" i="198"/>
  <c r="AP18" i="198"/>
  <c r="AO18" i="198"/>
  <c r="AN18" i="198"/>
  <c r="AM18" i="198"/>
  <c r="AL18" i="198"/>
  <c r="AK18" i="198"/>
  <c r="AJ18" i="198"/>
  <c r="AI18" i="198"/>
  <c r="AH18" i="198"/>
  <c r="AG18" i="198"/>
  <c r="AF18" i="198"/>
  <c r="AE18" i="198"/>
  <c r="AD18" i="198"/>
  <c r="AC18" i="198"/>
  <c r="AB18" i="198"/>
  <c r="AA18" i="198"/>
  <c r="Z18" i="198"/>
  <c r="Y18" i="198"/>
  <c r="X18" i="198"/>
  <c r="W18" i="198"/>
  <c r="V18" i="198"/>
  <c r="U18" i="198"/>
  <c r="T18" i="198"/>
  <c r="S18" i="198"/>
  <c r="R18" i="198"/>
  <c r="Q18" i="198"/>
  <c r="P18" i="198"/>
  <c r="O18" i="198"/>
  <c r="N18" i="198"/>
  <c r="M18" i="198"/>
  <c r="L18" i="198"/>
  <c r="K18" i="198"/>
  <c r="J18" i="198"/>
  <c r="I18" i="198"/>
  <c r="G18" i="198"/>
  <c r="G17" i="198"/>
  <c r="G16" i="198"/>
  <c r="E18" i="198"/>
  <c r="E17" i="198"/>
  <c r="E16" i="198"/>
  <c r="C18" i="198"/>
  <c r="C17" i="198"/>
  <c r="C16" i="198"/>
  <c r="DV17" i="198"/>
  <c r="DU17" i="198"/>
  <c r="DT17" i="198"/>
  <c r="DS17" i="198"/>
  <c r="DR17" i="198"/>
  <c r="DQ17" i="198"/>
  <c r="DP17" i="198"/>
  <c r="DO17" i="198"/>
  <c r="DN17" i="198"/>
  <c r="DM17" i="198"/>
  <c r="DL17" i="198"/>
  <c r="DK17" i="198"/>
  <c r="DJ17" i="198"/>
  <c r="DI17" i="198"/>
  <c r="DH17" i="198"/>
  <c r="DG17" i="198"/>
  <c r="DF17" i="198"/>
  <c r="DE17" i="198"/>
  <c r="DD17" i="198"/>
  <c r="DC17" i="198"/>
  <c r="DB17" i="198"/>
  <c r="DB19" i="198" s="1"/>
  <c r="CS17" i="198"/>
  <c r="CR17" i="198"/>
  <c r="CQ17" i="198"/>
  <c r="CP17" i="198"/>
  <c r="CO17" i="198"/>
  <c r="CN17" i="198"/>
  <c r="CM17" i="198"/>
  <c r="CM19" i="198" s="1"/>
  <c r="CL17" i="198"/>
  <c r="CK17" i="198"/>
  <c r="CJ17" i="198"/>
  <c r="CI17" i="198"/>
  <c r="CH17" i="198"/>
  <c r="CG17" i="198"/>
  <c r="CF17" i="198"/>
  <c r="CE17" i="198"/>
  <c r="CD17" i="198"/>
  <c r="CC17" i="198"/>
  <c r="CB17" i="198"/>
  <c r="CA17" i="198"/>
  <c r="BZ17" i="198"/>
  <c r="BY17" i="198"/>
  <c r="BX17" i="198"/>
  <c r="BW17" i="198"/>
  <c r="BV17" i="198"/>
  <c r="BU17" i="198"/>
  <c r="BT17" i="198"/>
  <c r="BS17" i="198"/>
  <c r="BR17" i="198"/>
  <c r="BQ17" i="198"/>
  <c r="BP17" i="198"/>
  <c r="BO17" i="198"/>
  <c r="BN17" i="198"/>
  <c r="BM17" i="198"/>
  <c r="BL17" i="198"/>
  <c r="BK17" i="198"/>
  <c r="BJ17" i="198"/>
  <c r="BI17" i="198"/>
  <c r="BH17" i="198"/>
  <c r="BG17" i="198"/>
  <c r="BF17" i="198"/>
  <c r="BE17" i="198"/>
  <c r="BD17" i="198"/>
  <c r="BC17" i="198"/>
  <c r="BB17" i="198"/>
  <c r="BA17" i="198"/>
  <c r="AZ17" i="198"/>
  <c r="AY17" i="198"/>
  <c r="AX17" i="198"/>
  <c r="AW17" i="198"/>
  <c r="AV17" i="198"/>
  <c r="AU17" i="198"/>
  <c r="AT17" i="198"/>
  <c r="AS17" i="198"/>
  <c r="AR17" i="198"/>
  <c r="AQ17" i="198"/>
  <c r="AP17" i="198"/>
  <c r="AO17" i="198"/>
  <c r="AN17" i="198"/>
  <c r="AM17" i="198"/>
  <c r="AL17" i="198"/>
  <c r="AK17" i="198"/>
  <c r="AJ17" i="198"/>
  <c r="AI17" i="198"/>
  <c r="AH17" i="198"/>
  <c r="AG17" i="198"/>
  <c r="AF17" i="198"/>
  <c r="AE17" i="198"/>
  <c r="AD17" i="198"/>
  <c r="AC17" i="198"/>
  <c r="AB17" i="198"/>
  <c r="AA17" i="198"/>
  <c r="Z17" i="198"/>
  <c r="Y17" i="198"/>
  <c r="X17" i="198"/>
  <c r="W17" i="198"/>
  <c r="V17" i="198"/>
  <c r="U17" i="198"/>
  <c r="T17" i="198"/>
  <c r="S17" i="198"/>
  <c r="R17" i="198"/>
  <c r="Q17" i="198"/>
  <c r="P17" i="198"/>
  <c r="O17" i="198"/>
  <c r="N17" i="198"/>
  <c r="M17" i="198"/>
  <c r="L17" i="198"/>
  <c r="K17" i="198"/>
  <c r="J17" i="198"/>
  <c r="I17" i="198"/>
  <c r="DV16" i="198"/>
  <c r="DU16" i="198"/>
  <c r="DT16" i="198"/>
  <c r="DS16" i="198"/>
  <c r="DR16" i="198"/>
  <c r="DQ16" i="198"/>
  <c r="DP16" i="198"/>
  <c r="DO16" i="198"/>
  <c r="DN16" i="198"/>
  <c r="DM16" i="198"/>
  <c r="DL16" i="198"/>
  <c r="DK16" i="198"/>
  <c r="DJ16" i="198"/>
  <c r="DI16" i="198"/>
  <c r="DH16" i="198"/>
  <c r="DG16" i="198"/>
  <c r="DF16" i="198"/>
  <c r="DE16" i="198"/>
  <c r="DD16" i="198"/>
  <c r="DC16" i="198"/>
  <c r="CR16" i="198"/>
  <c r="CN16" i="198"/>
  <c r="CK16" i="198"/>
  <c r="CJ16" i="198"/>
  <c r="CI16" i="198"/>
  <c r="CH16" i="198"/>
  <c r="CG16" i="198"/>
  <c r="CF16" i="198"/>
  <c r="CE16" i="198"/>
  <c r="CD16" i="198"/>
  <c r="CC16" i="198"/>
  <c r="CB16" i="198"/>
  <c r="CA16" i="198"/>
  <c r="BZ16" i="198"/>
  <c r="BY16" i="198"/>
  <c r="BX16" i="198"/>
  <c r="BW16" i="198"/>
  <c r="BV16" i="198"/>
  <c r="BU16" i="198"/>
  <c r="BT16" i="198"/>
  <c r="BS16" i="198"/>
  <c r="BR16" i="198"/>
  <c r="BQ16" i="198"/>
  <c r="BP16" i="198"/>
  <c r="BO16" i="198"/>
  <c r="BN16" i="198"/>
  <c r="BM16" i="198"/>
  <c r="BL16" i="198"/>
  <c r="BK16" i="198"/>
  <c r="BJ16" i="198"/>
  <c r="BI16" i="198"/>
  <c r="BH16" i="198"/>
  <c r="BG16" i="198"/>
  <c r="BF16" i="198"/>
  <c r="BE16" i="198"/>
  <c r="BD16" i="198"/>
  <c r="BC16" i="198"/>
  <c r="BB16" i="198"/>
  <c r="BA16" i="198"/>
  <c r="AZ16" i="198"/>
  <c r="AY16" i="198"/>
  <c r="AX16" i="198"/>
  <c r="AW16" i="198"/>
  <c r="AV16" i="198"/>
  <c r="AU16" i="198"/>
  <c r="AT16" i="198"/>
  <c r="AS16" i="198"/>
  <c r="AR16" i="198"/>
  <c r="AQ16" i="198"/>
  <c r="AP16" i="198"/>
  <c r="AO16" i="198"/>
  <c r="AN16" i="198"/>
  <c r="AM16" i="198"/>
  <c r="AL16" i="198"/>
  <c r="AK16" i="198"/>
  <c r="AJ16" i="198"/>
  <c r="AI16" i="198"/>
  <c r="AH16" i="198"/>
  <c r="AG16" i="198"/>
  <c r="AF16" i="198"/>
  <c r="AE16" i="198"/>
  <c r="AD16" i="198"/>
  <c r="AC16" i="198"/>
  <c r="AB16" i="198"/>
  <c r="AA16" i="198"/>
  <c r="Z16" i="198"/>
  <c r="Y16" i="198"/>
  <c r="X16" i="198"/>
  <c r="W16" i="198"/>
  <c r="V16" i="198"/>
  <c r="U16" i="198"/>
  <c r="T16" i="198"/>
  <c r="S16" i="198"/>
  <c r="R16" i="198"/>
  <c r="Q16" i="198"/>
  <c r="P16" i="198"/>
  <c r="O16" i="198"/>
  <c r="N16" i="198"/>
  <c r="M16" i="198"/>
  <c r="L16" i="198"/>
  <c r="K16" i="198"/>
  <c r="J16" i="198"/>
  <c r="I16" i="198"/>
  <c r="DB15" i="198"/>
  <c r="DB16" i="198" s="1"/>
  <c r="CS15" i="198"/>
  <c r="CS16" i="198" s="1"/>
  <c r="CR15" i="198"/>
  <c r="CQ15" i="198"/>
  <c r="CQ16" i="198" s="1"/>
  <c r="CP15" i="198"/>
  <c r="CO15" i="198"/>
  <c r="CO16" i="198" s="1"/>
  <c r="CN15" i="198"/>
  <c r="CM15" i="198"/>
  <c r="CM16" i="198" s="1"/>
  <c r="CL15" i="198"/>
  <c r="G14" i="198"/>
  <c r="G13" i="198"/>
  <c r="E14" i="198"/>
  <c r="E13" i="198"/>
  <c r="C14" i="198"/>
  <c r="C13" i="198"/>
  <c r="DD14" i="198"/>
  <c r="DC14" i="198"/>
  <c r="CK14" i="198"/>
  <c r="CJ14" i="198"/>
  <c r="CI14" i="198"/>
  <c r="CH14" i="198"/>
  <c r="CG14" i="198"/>
  <c r="CF14" i="198"/>
  <c r="CE14" i="198"/>
  <c r="CD14" i="198"/>
  <c r="CC14" i="198"/>
  <c r="CB14" i="198"/>
  <c r="CA14" i="198"/>
  <c r="BZ14" i="198"/>
  <c r="BY14" i="198"/>
  <c r="BX14" i="198"/>
  <c r="BW14" i="198"/>
  <c r="BV14" i="198"/>
  <c r="BU14" i="198"/>
  <c r="BT14" i="198"/>
  <c r="BS14" i="198"/>
  <c r="BR14" i="198"/>
  <c r="BQ14" i="198"/>
  <c r="BP14" i="198"/>
  <c r="BO14" i="198"/>
  <c r="BN14" i="198"/>
  <c r="BM14" i="198"/>
  <c r="BL14" i="198"/>
  <c r="BK14" i="198"/>
  <c r="BJ14" i="198"/>
  <c r="BI14" i="198"/>
  <c r="BH14" i="198"/>
  <c r="BG14" i="198"/>
  <c r="BF14" i="198"/>
  <c r="BE14" i="198"/>
  <c r="BD14" i="198"/>
  <c r="BC14" i="198"/>
  <c r="BB14" i="198"/>
  <c r="BA14" i="198"/>
  <c r="AZ14" i="198"/>
  <c r="AY14" i="198"/>
  <c r="AX14" i="198"/>
  <c r="AW14" i="198"/>
  <c r="AV14" i="198"/>
  <c r="AU14" i="198"/>
  <c r="AT14" i="198"/>
  <c r="AS14" i="198"/>
  <c r="AR14" i="198"/>
  <c r="AQ14" i="198"/>
  <c r="AP14" i="198"/>
  <c r="AO14" i="198"/>
  <c r="AN14" i="198"/>
  <c r="AM14" i="198"/>
  <c r="AL14" i="198"/>
  <c r="AK14" i="198"/>
  <c r="AJ14" i="198"/>
  <c r="AI14" i="198"/>
  <c r="AH14" i="198"/>
  <c r="AG14" i="198"/>
  <c r="AF14" i="198"/>
  <c r="AE14" i="198"/>
  <c r="AD14" i="198"/>
  <c r="AC14" i="198"/>
  <c r="AB14" i="198"/>
  <c r="AA14" i="198"/>
  <c r="Z14" i="198"/>
  <c r="Y14" i="198"/>
  <c r="X14" i="198"/>
  <c r="W14" i="198"/>
  <c r="V14" i="198"/>
  <c r="U14" i="198"/>
  <c r="T14" i="198"/>
  <c r="S14" i="198"/>
  <c r="R14" i="198"/>
  <c r="Q14" i="198"/>
  <c r="P14" i="198"/>
  <c r="O14" i="198"/>
  <c r="N14" i="198"/>
  <c r="M14" i="198"/>
  <c r="L14" i="198"/>
  <c r="K14" i="198"/>
  <c r="J14" i="198"/>
  <c r="I14" i="198"/>
  <c r="DD13" i="198"/>
  <c r="DC13" i="198"/>
  <c r="DC15" i="198" s="1"/>
  <c r="DB13" i="198"/>
  <c r="DA13" i="198"/>
  <c r="CZ13" i="198"/>
  <c r="CY13" i="198"/>
  <c r="CX13" i="198"/>
  <c r="CW13" i="198"/>
  <c r="CV13" i="198"/>
  <c r="CU13" i="198"/>
  <c r="CT13" i="198"/>
  <c r="CS13" i="198"/>
  <c r="CR13" i="198"/>
  <c r="CQ13" i="198"/>
  <c r="CP13" i="198"/>
  <c r="CO13" i="198"/>
  <c r="CN13" i="198"/>
  <c r="CM13" i="198"/>
  <c r="CL13" i="198"/>
  <c r="CK13" i="198"/>
  <c r="CJ13" i="198"/>
  <c r="CI13" i="198"/>
  <c r="CH13" i="198"/>
  <c r="CG13" i="198"/>
  <c r="CF13" i="198"/>
  <c r="CE13" i="198"/>
  <c r="CD13" i="198"/>
  <c r="CD15" i="198" s="1"/>
  <c r="CC13" i="198"/>
  <c r="CB13" i="198"/>
  <c r="CA13" i="198"/>
  <c r="BZ13" i="198"/>
  <c r="BZ15" i="198" s="1"/>
  <c r="BY13" i="198"/>
  <c r="BX13" i="198"/>
  <c r="BW13" i="198"/>
  <c r="BV13" i="198"/>
  <c r="BV15" i="198" s="1"/>
  <c r="BU13" i="198"/>
  <c r="BT13" i="198"/>
  <c r="BS13" i="198"/>
  <c r="BR13" i="198"/>
  <c r="BQ13" i="198"/>
  <c r="BP13" i="198"/>
  <c r="BO13" i="198"/>
  <c r="BN13" i="198"/>
  <c r="BN15" i="198" s="1"/>
  <c r="BM13" i="198"/>
  <c r="BL13" i="198"/>
  <c r="BK13" i="198"/>
  <c r="BJ13" i="198"/>
  <c r="BJ15" i="198" s="1"/>
  <c r="BI13" i="198"/>
  <c r="BH13" i="198"/>
  <c r="BG13" i="198"/>
  <c r="BF13" i="198"/>
  <c r="BF15" i="198" s="1"/>
  <c r="BE13" i="198"/>
  <c r="BD13" i="198"/>
  <c r="BC13" i="198"/>
  <c r="BB13" i="198"/>
  <c r="BB15" i="198" s="1"/>
  <c r="BA13" i="198"/>
  <c r="AZ13" i="198"/>
  <c r="AY13" i="198"/>
  <c r="AX13" i="198"/>
  <c r="AX15" i="198" s="1"/>
  <c r="AW13" i="198"/>
  <c r="AV13" i="198"/>
  <c r="AU13" i="198"/>
  <c r="AT13" i="198"/>
  <c r="AT15" i="198" s="1"/>
  <c r="AS13" i="198"/>
  <c r="AR13" i="198"/>
  <c r="AQ13" i="198"/>
  <c r="AP13" i="198"/>
  <c r="AP15" i="198" s="1"/>
  <c r="AO13" i="198"/>
  <c r="AN13" i="198"/>
  <c r="AM13" i="198"/>
  <c r="AL13" i="198"/>
  <c r="AK13" i="198"/>
  <c r="AJ13" i="198"/>
  <c r="AI13" i="198"/>
  <c r="AH13" i="198"/>
  <c r="AH15" i="198" s="1"/>
  <c r="AG13" i="198"/>
  <c r="AF13" i="198"/>
  <c r="AE13" i="198"/>
  <c r="AD13" i="198"/>
  <c r="AC13" i="198"/>
  <c r="AB13" i="198"/>
  <c r="AA13" i="198"/>
  <c r="Z13" i="198"/>
  <c r="Z15" i="198" s="1"/>
  <c r="Y13" i="198"/>
  <c r="X13" i="198"/>
  <c r="W13" i="198"/>
  <c r="V13" i="198"/>
  <c r="V15" i="198" s="1"/>
  <c r="U13" i="198"/>
  <c r="T13" i="198"/>
  <c r="S13" i="198"/>
  <c r="R13" i="198"/>
  <c r="R15" i="198" s="1"/>
  <c r="Q13" i="198"/>
  <c r="P13" i="198"/>
  <c r="O13" i="198"/>
  <c r="N13" i="198"/>
  <c r="M13" i="198"/>
  <c r="L13" i="198"/>
  <c r="K13" i="198"/>
  <c r="J13" i="198"/>
  <c r="I13" i="198"/>
  <c r="EB18" i="198"/>
  <c r="EA18" i="198"/>
  <c r="DZ18" i="198"/>
  <c r="DY18" i="198"/>
  <c r="DX18" i="198"/>
  <c r="DW18" i="198"/>
  <c r="EB17" i="198"/>
  <c r="EA17" i="198"/>
  <c r="DZ17" i="198"/>
  <c r="DY17" i="198"/>
  <c r="DX17" i="198"/>
  <c r="DW17" i="198"/>
  <c r="EB15" i="198"/>
  <c r="EB16" i="198" s="1"/>
  <c r="EA15" i="198"/>
  <c r="EA16" i="198" s="1"/>
  <c r="DZ15" i="198"/>
  <c r="DZ16" i="198" s="1"/>
  <c r="DY15" i="198"/>
  <c r="DY16" i="198" s="1"/>
  <c r="DX15" i="198"/>
  <c r="DX16" i="198" s="1"/>
  <c r="DW15" i="198"/>
  <c r="DW16" i="198" s="1"/>
  <c r="DW14" i="198"/>
  <c r="EM13" i="198"/>
  <c r="EL13" i="198"/>
  <c r="EK13" i="198"/>
  <c r="EJ13" i="198"/>
  <c r="EI13" i="198"/>
  <c r="EH13" i="198"/>
  <c r="EG13" i="198"/>
  <c r="EF13" i="198"/>
  <c r="EE13" i="198"/>
  <c r="ED13" i="198"/>
  <c r="EC13" i="198"/>
  <c r="EB13" i="198"/>
  <c r="EA13" i="198"/>
  <c r="DZ13" i="198"/>
  <c r="DY13" i="198"/>
  <c r="DX13" i="198"/>
  <c r="DW13" i="198"/>
  <c r="EB12" i="198"/>
  <c r="EA12" i="198"/>
  <c r="DZ12" i="198"/>
  <c r="DZ14" i="198" s="1"/>
  <c r="DY12" i="198"/>
  <c r="DX12" i="198"/>
  <c r="DW12" i="198"/>
  <c r="DV14" i="198"/>
  <c r="DU14" i="198"/>
  <c r="DT14" i="198"/>
  <c r="DS14" i="198"/>
  <c r="DR14" i="198"/>
  <c r="DQ14" i="198"/>
  <c r="DQ15" i="198" s="1"/>
  <c r="DP14" i="198"/>
  <c r="DO14" i="198"/>
  <c r="DN14" i="198"/>
  <c r="DM14" i="198"/>
  <c r="DM15" i="198" s="1"/>
  <c r="DL14" i="198"/>
  <c r="DK14" i="198"/>
  <c r="DJ14" i="198"/>
  <c r="DI14" i="198"/>
  <c r="DH14" i="198"/>
  <c r="DG14" i="198"/>
  <c r="DF14" i="198"/>
  <c r="DE14" i="198"/>
  <c r="DV13" i="198"/>
  <c r="DU13" i="198"/>
  <c r="DT13" i="198"/>
  <c r="DS13" i="198"/>
  <c r="DR13" i="198"/>
  <c r="DQ13" i="198"/>
  <c r="DP13" i="198"/>
  <c r="DO13" i="198"/>
  <c r="DN13" i="198"/>
  <c r="DM13" i="198"/>
  <c r="DL13" i="198"/>
  <c r="DK13" i="198"/>
  <c r="DJ13" i="198"/>
  <c r="DI13" i="198"/>
  <c r="DH13" i="198"/>
  <c r="DG13" i="198"/>
  <c r="DG15" i="198" s="1"/>
  <c r="DF13" i="198"/>
  <c r="DE13" i="198"/>
  <c r="DB12" i="198"/>
  <c r="CS12" i="198"/>
  <c r="CR12" i="198"/>
  <c r="CR14" i="198" s="1"/>
  <c r="CQ12" i="198"/>
  <c r="CP12" i="198"/>
  <c r="CO12" i="198"/>
  <c r="CN12" i="198"/>
  <c r="CM12" i="198"/>
  <c r="CL12" i="198"/>
  <c r="DF11" i="198"/>
  <c r="DE11" i="198"/>
  <c r="DD11" i="198"/>
  <c r="DC11" i="198"/>
  <c r="I11" i="198"/>
  <c r="I10" i="198"/>
  <c r="I9" i="198"/>
  <c r="I8" i="198"/>
  <c r="G11" i="198"/>
  <c r="G10" i="198"/>
  <c r="G9" i="198"/>
  <c r="G8" i="198"/>
  <c r="E11" i="198"/>
  <c r="E10" i="198"/>
  <c r="E9" i="198"/>
  <c r="E8" i="198"/>
  <c r="C11" i="198"/>
  <c r="C10" i="198"/>
  <c r="C9" i="198"/>
  <c r="C8" i="198"/>
  <c r="A68" i="198"/>
  <c r="A67" i="198"/>
  <c r="A66" i="198"/>
  <c r="DV10" i="198"/>
  <c r="DU10" i="198"/>
  <c r="DT10" i="198"/>
  <c r="DS10" i="198"/>
  <c r="DR10" i="198"/>
  <c r="DQ10" i="198"/>
  <c r="DP10" i="198"/>
  <c r="DO10" i="198"/>
  <c r="DN10" i="198"/>
  <c r="DM10" i="198"/>
  <c r="DL10" i="198"/>
  <c r="DK10" i="198"/>
  <c r="DJ10" i="198"/>
  <c r="DI10" i="198"/>
  <c r="DH10" i="198"/>
  <c r="DG10" i="198"/>
  <c r="DF10" i="198"/>
  <c r="DE10" i="198"/>
  <c r="DD10" i="198"/>
  <c r="DC10" i="198"/>
  <c r="CM10" i="198"/>
  <c r="CK10" i="198"/>
  <c r="CJ10" i="198"/>
  <c r="CI10" i="198"/>
  <c r="CH10" i="198"/>
  <c r="CG10" i="198"/>
  <c r="CF10" i="198"/>
  <c r="CE10" i="198"/>
  <c r="CD10" i="198"/>
  <c r="CC10" i="198"/>
  <c r="CB10" i="198"/>
  <c r="CA10" i="198"/>
  <c r="BZ10" i="198"/>
  <c r="BY10" i="198"/>
  <c r="BX10" i="198"/>
  <c r="BW10" i="198"/>
  <c r="BV10" i="198"/>
  <c r="BU10" i="198"/>
  <c r="BT10" i="198"/>
  <c r="BS10" i="198"/>
  <c r="BR10" i="198"/>
  <c r="BQ10" i="198"/>
  <c r="BP10" i="198"/>
  <c r="BO10" i="198"/>
  <c r="BN10" i="198"/>
  <c r="BM10" i="198"/>
  <c r="BL10" i="198"/>
  <c r="BK10" i="198"/>
  <c r="BJ10" i="198"/>
  <c r="BI10" i="198"/>
  <c r="BH10" i="198"/>
  <c r="BG10" i="198"/>
  <c r="BF10" i="198"/>
  <c r="BE10" i="198"/>
  <c r="BD10" i="198"/>
  <c r="BC10" i="198"/>
  <c r="BB10" i="198"/>
  <c r="BA10" i="198"/>
  <c r="AZ10" i="198"/>
  <c r="AY10" i="198"/>
  <c r="AX10" i="198"/>
  <c r="AW10" i="198"/>
  <c r="AV10" i="198"/>
  <c r="AU10" i="198"/>
  <c r="AT10" i="198"/>
  <c r="AS10" i="198"/>
  <c r="AR10" i="198"/>
  <c r="AQ10" i="198"/>
  <c r="AP10" i="198"/>
  <c r="AO10" i="198"/>
  <c r="AN10" i="198"/>
  <c r="AM10" i="198"/>
  <c r="AL10" i="198"/>
  <c r="AK10" i="198"/>
  <c r="AJ10" i="198"/>
  <c r="AI10" i="198"/>
  <c r="AH10" i="198"/>
  <c r="AG10" i="198"/>
  <c r="AF10" i="198"/>
  <c r="AE10" i="198"/>
  <c r="AD10" i="198"/>
  <c r="AC10" i="198"/>
  <c r="AB10" i="198"/>
  <c r="AA10" i="198"/>
  <c r="Z10" i="198"/>
  <c r="Y10" i="198"/>
  <c r="X10" i="198"/>
  <c r="W10" i="198"/>
  <c r="V10" i="198"/>
  <c r="U10" i="198"/>
  <c r="T10" i="198"/>
  <c r="S10" i="198"/>
  <c r="R10" i="198"/>
  <c r="Q10" i="198"/>
  <c r="P10" i="198"/>
  <c r="O10" i="198"/>
  <c r="N10" i="198"/>
  <c r="M10" i="198"/>
  <c r="L10" i="198"/>
  <c r="K10" i="198"/>
  <c r="J10" i="198"/>
  <c r="EM9" i="198"/>
  <c r="EL9" i="198"/>
  <c r="EK9" i="198"/>
  <c r="EJ9" i="198"/>
  <c r="EI9" i="198"/>
  <c r="EH9" i="198"/>
  <c r="EG9" i="198"/>
  <c r="EF9" i="198"/>
  <c r="EE9" i="198"/>
  <c r="ED9" i="198"/>
  <c r="EC9" i="198"/>
  <c r="EB9" i="198"/>
  <c r="EA9" i="198"/>
  <c r="DZ9" i="198"/>
  <c r="DY9" i="198"/>
  <c r="DX9" i="198"/>
  <c r="DW9" i="198"/>
  <c r="DV9" i="198"/>
  <c r="DU9" i="198"/>
  <c r="DT9" i="198"/>
  <c r="DS9" i="198"/>
  <c r="DR9" i="198"/>
  <c r="DQ9" i="198"/>
  <c r="DP9" i="198"/>
  <c r="DO9" i="198"/>
  <c r="DN9" i="198"/>
  <c r="DM9" i="198"/>
  <c r="DL9" i="198"/>
  <c r="DK9" i="198"/>
  <c r="DJ9" i="198"/>
  <c r="DI9" i="198"/>
  <c r="DH9" i="198"/>
  <c r="DG9" i="198"/>
  <c r="DF9" i="198"/>
  <c r="DE9" i="198"/>
  <c r="DD9" i="198"/>
  <c r="DC9" i="198"/>
  <c r="DB9" i="198"/>
  <c r="DA9" i="198"/>
  <c r="CZ9" i="198"/>
  <c r="CY9" i="198"/>
  <c r="CX9" i="198"/>
  <c r="CW9" i="198"/>
  <c r="CV9" i="198"/>
  <c r="CU9" i="198"/>
  <c r="CT9" i="198"/>
  <c r="CS9" i="198"/>
  <c r="CR9" i="198"/>
  <c r="CQ9" i="198"/>
  <c r="CP9" i="198"/>
  <c r="CO9" i="198"/>
  <c r="CN9" i="198"/>
  <c r="CM9" i="198"/>
  <c r="CL9" i="198"/>
  <c r="CK9" i="198"/>
  <c r="CJ9" i="198"/>
  <c r="CI9" i="198"/>
  <c r="CH9" i="198"/>
  <c r="CG9" i="198"/>
  <c r="CF9" i="198"/>
  <c r="CE9" i="198"/>
  <c r="CD9" i="198"/>
  <c r="CC9" i="198"/>
  <c r="CB9" i="198"/>
  <c r="CA9" i="198"/>
  <c r="BZ9" i="198"/>
  <c r="BY9" i="198"/>
  <c r="BX9" i="198"/>
  <c r="BW9" i="198"/>
  <c r="BV9" i="198"/>
  <c r="BU9" i="198"/>
  <c r="BT9" i="198"/>
  <c r="BS9" i="198"/>
  <c r="BR9" i="198"/>
  <c r="BQ9" i="198"/>
  <c r="BP9" i="198"/>
  <c r="BO9" i="198"/>
  <c r="BN9" i="198"/>
  <c r="BM9" i="198"/>
  <c r="BL9" i="198"/>
  <c r="BK9" i="198"/>
  <c r="BJ9" i="198"/>
  <c r="BI9" i="198"/>
  <c r="BH9" i="198"/>
  <c r="BG9" i="198"/>
  <c r="BF9" i="198"/>
  <c r="BE9" i="198"/>
  <c r="BD9" i="198"/>
  <c r="BC9" i="198"/>
  <c r="BB9" i="198"/>
  <c r="BA9" i="198"/>
  <c r="AZ9" i="198"/>
  <c r="AY9" i="198"/>
  <c r="AX9" i="198"/>
  <c r="AW9" i="198"/>
  <c r="AV9" i="198"/>
  <c r="AU9" i="198"/>
  <c r="AT9" i="198"/>
  <c r="AS9" i="198"/>
  <c r="AR9" i="198"/>
  <c r="AQ9" i="198"/>
  <c r="AP9" i="198"/>
  <c r="AO9" i="198"/>
  <c r="AN9" i="198"/>
  <c r="AM9" i="198"/>
  <c r="AL9" i="198"/>
  <c r="AK9" i="198"/>
  <c r="AJ9" i="198"/>
  <c r="AI9" i="198"/>
  <c r="AH9" i="198"/>
  <c r="AG9" i="198"/>
  <c r="AF9" i="198"/>
  <c r="AE9" i="198"/>
  <c r="AD9" i="198"/>
  <c r="AC9" i="198"/>
  <c r="AB9" i="198"/>
  <c r="AA9" i="198"/>
  <c r="Z9" i="198"/>
  <c r="Y9" i="198"/>
  <c r="X9" i="198"/>
  <c r="W9" i="198"/>
  <c r="V9" i="198"/>
  <c r="U9" i="198"/>
  <c r="T9" i="198"/>
  <c r="S9" i="198"/>
  <c r="R9" i="198"/>
  <c r="Q9" i="198"/>
  <c r="P9" i="198"/>
  <c r="O9" i="198"/>
  <c r="N9" i="198"/>
  <c r="M9" i="198"/>
  <c r="L9" i="198"/>
  <c r="K9" i="198"/>
  <c r="J9" i="198"/>
  <c r="EB8" i="198"/>
  <c r="EA8" i="198"/>
  <c r="DZ8" i="198"/>
  <c r="DY8" i="198"/>
  <c r="DX8" i="198"/>
  <c r="DW8" i="198"/>
  <c r="DW10" i="198" s="1"/>
  <c r="DV8" i="198"/>
  <c r="DU8" i="198"/>
  <c r="DT8" i="198"/>
  <c r="DS8" i="198"/>
  <c r="DR8" i="198"/>
  <c r="DQ8" i="198"/>
  <c r="DP8" i="198"/>
  <c r="DO8" i="198"/>
  <c r="DO12" i="198" s="1"/>
  <c r="DN8" i="198"/>
  <c r="DM8" i="198"/>
  <c r="DL8" i="198"/>
  <c r="DK8" i="198"/>
  <c r="DJ8" i="198"/>
  <c r="DI8" i="198"/>
  <c r="DH8" i="198"/>
  <c r="DG8" i="198"/>
  <c r="DF8" i="198"/>
  <c r="DE8" i="198"/>
  <c r="DD8" i="198"/>
  <c r="DC8" i="198"/>
  <c r="DB8" i="198"/>
  <c r="CS8" i="198"/>
  <c r="CR8" i="198"/>
  <c r="CQ8" i="198"/>
  <c r="CP8" i="198"/>
  <c r="CO8" i="198"/>
  <c r="CN8" i="198"/>
  <c r="CM8" i="198"/>
  <c r="CL8" i="198"/>
  <c r="CK8" i="198"/>
  <c r="CJ8" i="198"/>
  <c r="CI8" i="198"/>
  <c r="CH8" i="198"/>
  <c r="CH12" i="198" s="1"/>
  <c r="CG8" i="198"/>
  <c r="CF8" i="198"/>
  <c r="CE8" i="198"/>
  <c r="CD8" i="198"/>
  <c r="CD12" i="198" s="1"/>
  <c r="CC8" i="198"/>
  <c r="CB8" i="198"/>
  <c r="CA8" i="198"/>
  <c r="BZ8" i="198"/>
  <c r="BZ12" i="198" s="1"/>
  <c r="BY8" i="198"/>
  <c r="BX8" i="198"/>
  <c r="BW8" i="198"/>
  <c r="BV8" i="198"/>
  <c r="BV12" i="198" s="1"/>
  <c r="BU8" i="198"/>
  <c r="BT8" i="198"/>
  <c r="BS8" i="198"/>
  <c r="BR8" i="198"/>
  <c r="BR12" i="198" s="1"/>
  <c r="BQ8" i="198"/>
  <c r="BP8" i="198"/>
  <c r="BO8" i="198"/>
  <c r="BN8" i="198"/>
  <c r="BN12" i="198" s="1"/>
  <c r="BM8" i="198"/>
  <c r="BL8" i="198"/>
  <c r="BK8" i="198"/>
  <c r="BJ8" i="198"/>
  <c r="BJ12" i="198" s="1"/>
  <c r="BI8" i="198"/>
  <c r="BH8" i="198"/>
  <c r="BG8" i="198"/>
  <c r="BF8" i="198"/>
  <c r="BF12" i="198" s="1"/>
  <c r="BE8" i="198"/>
  <c r="BD8" i="198"/>
  <c r="BC8" i="198"/>
  <c r="BB8" i="198"/>
  <c r="BB12" i="198" s="1"/>
  <c r="BA8" i="198"/>
  <c r="AZ8" i="198"/>
  <c r="AY8" i="198"/>
  <c r="AX8" i="198"/>
  <c r="AX12" i="198" s="1"/>
  <c r="AW8" i="198"/>
  <c r="AV8" i="198"/>
  <c r="AU8" i="198"/>
  <c r="AT8" i="198"/>
  <c r="AT12" i="198" s="1"/>
  <c r="AS8" i="198"/>
  <c r="AR8" i="198"/>
  <c r="AQ8" i="198"/>
  <c r="AP8" i="198"/>
  <c r="AP12" i="198" s="1"/>
  <c r="AO8" i="198"/>
  <c r="AN8" i="198"/>
  <c r="AM8" i="198"/>
  <c r="AL8" i="198"/>
  <c r="AL12" i="198" s="1"/>
  <c r="AK8" i="198"/>
  <c r="AJ8" i="198"/>
  <c r="AI8" i="198"/>
  <c r="AH8" i="198"/>
  <c r="AH12" i="198" s="1"/>
  <c r="AG8" i="198"/>
  <c r="AF8" i="198"/>
  <c r="AE8" i="198"/>
  <c r="AD8" i="198"/>
  <c r="AD12" i="198" s="1"/>
  <c r="AC8" i="198"/>
  <c r="AB8" i="198"/>
  <c r="AA8" i="198"/>
  <c r="Z8" i="198"/>
  <c r="Z12" i="198" s="1"/>
  <c r="Y8" i="198"/>
  <c r="X8" i="198"/>
  <c r="W8" i="198"/>
  <c r="V8" i="198"/>
  <c r="V12" i="198" s="1"/>
  <c r="U8" i="198"/>
  <c r="T8" i="198"/>
  <c r="S8" i="198"/>
  <c r="R8" i="198"/>
  <c r="R12" i="198" s="1"/>
  <c r="Q8" i="198"/>
  <c r="P8" i="198"/>
  <c r="O8" i="198"/>
  <c r="N8" i="198"/>
  <c r="N12" i="198" s="1"/>
  <c r="M8" i="198"/>
  <c r="L8" i="198"/>
  <c r="K8" i="198"/>
  <c r="J8" i="198"/>
  <c r="J12" i="198" s="1"/>
  <c r="EM5" i="198"/>
  <c r="EL5" i="198"/>
  <c r="EL58" i="198" s="1"/>
  <c r="EK5" i="198"/>
  <c r="EJ5" i="198"/>
  <c r="EI5" i="198"/>
  <c r="EH5" i="198"/>
  <c r="EH151" i="198" s="1"/>
  <c r="EG5" i="198"/>
  <c r="EF5" i="198"/>
  <c r="EE5" i="198"/>
  <c r="ED5" i="198"/>
  <c r="EC5" i="198"/>
  <c r="EB5" i="198"/>
  <c r="EA5" i="198"/>
  <c r="EA106" i="198" s="1"/>
  <c r="DZ5" i="198"/>
  <c r="DZ58" i="198" s="1"/>
  <c r="DY5" i="198"/>
  <c r="DX5" i="198"/>
  <c r="DW5" i="198"/>
  <c r="DV5" i="198"/>
  <c r="DV58" i="198" s="1"/>
  <c r="DU5" i="198"/>
  <c r="DT5" i="198"/>
  <c r="DS5" i="198"/>
  <c r="DR5" i="198"/>
  <c r="DQ5" i="198"/>
  <c r="DP5" i="198"/>
  <c r="DO5" i="198"/>
  <c r="DN5" i="198"/>
  <c r="DM5" i="198"/>
  <c r="DL5" i="198"/>
  <c r="DK5" i="198"/>
  <c r="DJ5" i="198"/>
  <c r="DJ58" i="198" s="1"/>
  <c r="DI5" i="198"/>
  <c r="DH5" i="198"/>
  <c r="DG5" i="198"/>
  <c r="DF5" i="198"/>
  <c r="DF58" i="198" s="1"/>
  <c r="DE5" i="198"/>
  <c r="DD5" i="198"/>
  <c r="DC5" i="198"/>
  <c r="DA5" i="198"/>
  <c r="DA151" i="198" s="1"/>
  <c r="CZ5" i="198"/>
  <c r="CY5" i="198"/>
  <c r="CX5" i="198"/>
  <c r="CW5" i="198"/>
  <c r="CV5" i="198"/>
  <c r="CU5" i="198"/>
  <c r="CT5" i="198"/>
  <c r="CT106" i="198" s="1"/>
  <c r="CS5" i="198"/>
  <c r="CS58" i="198" s="1"/>
  <c r="CR5" i="198"/>
  <c r="CQ5" i="198"/>
  <c r="CP5" i="198"/>
  <c r="CO5" i="198"/>
  <c r="CO58" i="198" s="1"/>
  <c r="CN5" i="198"/>
  <c r="CM5" i="198"/>
  <c r="CL5" i="198"/>
  <c r="CK5" i="198"/>
  <c r="CJ5" i="198"/>
  <c r="CI5" i="198"/>
  <c r="CH5" i="198"/>
  <c r="CG5" i="198"/>
  <c r="CF5" i="198"/>
  <c r="CE5" i="198"/>
  <c r="CD5" i="198"/>
  <c r="CC5" i="198"/>
  <c r="CC58" i="198" s="1"/>
  <c r="CB5" i="198"/>
  <c r="CA5" i="198"/>
  <c r="BZ5" i="198"/>
  <c r="BY5" i="198"/>
  <c r="BY58" i="198" s="1"/>
  <c r="BX5" i="198"/>
  <c r="BW5" i="198"/>
  <c r="BV5" i="198"/>
  <c r="BU5" i="198"/>
  <c r="BT5" i="198"/>
  <c r="BS5" i="198"/>
  <c r="BR5" i="198"/>
  <c r="BQ5" i="198"/>
  <c r="BP5" i="198"/>
  <c r="BO5" i="198"/>
  <c r="BN5" i="198"/>
  <c r="BM5" i="198"/>
  <c r="BM58" i="198" s="1"/>
  <c r="BL5" i="198"/>
  <c r="BK5" i="198"/>
  <c r="BJ5" i="198"/>
  <c r="BI5" i="198"/>
  <c r="BI58" i="198" s="1"/>
  <c r="BH5" i="198"/>
  <c r="BG5" i="198"/>
  <c r="BF5" i="198"/>
  <c r="BE5" i="198"/>
  <c r="BD5" i="198"/>
  <c r="BC5" i="198"/>
  <c r="BB5" i="198"/>
  <c r="BA5" i="198"/>
  <c r="AZ5" i="198"/>
  <c r="AY5" i="198"/>
  <c r="AX5" i="198"/>
  <c r="AW5" i="198"/>
  <c r="AW58" i="198" s="1"/>
  <c r="AV5" i="198"/>
  <c r="AU5" i="198"/>
  <c r="AT5" i="198"/>
  <c r="AS5" i="198"/>
  <c r="AS58" i="198" s="1"/>
  <c r="AR5" i="198"/>
  <c r="AQ5" i="198"/>
  <c r="AP5" i="198"/>
  <c r="AP106" i="198" s="1"/>
  <c r="AO5" i="198"/>
  <c r="AN5" i="198"/>
  <c r="AM5" i="198"/>
  <c r="AL5" i="198"/>
  <c r="AK5" i="198"/>
  <c r="AJ5" i="198"/>
  <c r="AI5" i="198"/>
  <c r="AH5" i="198"/>
  <c r="AG5" i="198"/>
  <c r="AG58" i="198" s="1"/>
  <c r="AF5" i="198"/>
  <c r="AE5" i="198"/>
  <c r="AD5" i="198"/>
  <c r="AC5" i="198"/>
  <c r="AC58" i="198" s="1"/>
  <c r="AB5" i="198"/>
  <c r="AA5" i="198"/>
  <c r="Z5" i="198"/>
  <c r="Z106" i="198" s="1"/>
  <c r="Y5" i="198"/>
  <c r="X5" i="198"/>
  <c r="W5" i="198"/>
  <c r="V5" i="198"/>
  <c r="U5" i="198"/>
  <c r="T5" i="198"/>
  <c r="S5" i="198"/>
  <c r="R5" i="198"/>
  <c r="Q5" i="198"/>
  <c r="Q58" i="198" s="1"/>
  <c r="P5" i="198"/>
  <c r="O5" i="198"/>
  <c r="N5" i="198"/>
  <c r="M5" i="198"/>
  <c r="M58" i="198" s="1"/>
  <c r="L5" i="198"/>
  <c r="K5" i="198"/>
  <c r="J5" i="198"/>
  <c r="J106" i="198" s="1"/>
  <c r="I5" i="198"/>
  <c r="I151" i="198" s="1"/>
  <c r="H5" i="198"/>
  <c r="G5" i="198"/>
  <c r="F5" i="198"/>
  <c r="E5" i="198"/>
  <c r="D5" i="198"/>
  <c r="C5" i="198"/>
  <c r="B5" i="198"/>
  <c r="EJ4" i="198"/>
  <c r="EJ57" i="198" s="1"/>
  <c r="EJ3" i="198"/>
  <c r="EH4" i="198"/>
  <c r="EH3" i="198"/>
  <c r="EF4" i="198"/>
  <c r="EF57" i="198" s="1"/>
  <c r="EF3" i="198"/>
  <c r="ED4" i="198"/>
  <c r="ED3" i="198"/>
  <c r="EB4" i="198"/>
  <c r="EB3" i="198"/>
  <c r="DZ4" i="198"/>
  <c r="DZ3" i="198"/>
  <c r="DX4" i="198"/>
  <c r="DX3" i="198"/>
  <c r="DV4" i="198"/>
  <c r="DV3" i="198"/>
  <c r="DT4" i="198"/>
  <c r="DT57" i="198" s="1"/>
  <c r="DT3" i="198"/>
  <c r="DR4" i="198"/>
  <c r="DR3" i="198"/>
  <c r="DP4" i="198"/>
  <c r="DP57" i="198" s="1"/>
  <c r="DP3" i="198"/>
  <c r="DN4" i="198"/>
  <c r="DN3" i="198"/>
  <c r="DN104" i="198" s="1"/>
  <c r="DL4" i="198"/>
  <c r="DL150" i="198" s="1"/>
  <c r="DL3" i="198"/>
  <c r="DJ4" i="198"/>
  <c r="DJ3" i="198"/>
  <c r="DH4" i="198"/>
  <c r="DH3" i="198"/>
  <c r="DF4" i="198"/>
  <c r="DF3" i="198"/>
  <c r="DD4" i="198"/>
  <c r="DD57" i="198" s="1"/>
  <c r="DD3" i="198"/>
  <c r="DA4" i="198"/>
  <c r="DA3" i="198"/>
  <c r="CY4" i="198"/>
  <c r="CY57" i="198" s="1"/>
  <c r="CY3" i="198"/>
  <c r="CW4" i="198"/>
  <c r="CW3" i="198"/>
  <c r="CW104" i="198" s="1"/>
  <c r="CU4" i="198"/>
  <c r="CU3" i="198"/>
  <c r="CS4" i="198"/>
  <c r="CS3" i="198"/>
  <c r="CQ4" i="198"/>
  <c r="CQ3" i="198"/>
  <c r="CO4" i="198"/>
  <c r="CO3" i="198"/>
  <c r="CM4" i="198"/>
  <c r="CM57" i="198" s="1"/>
  <c r="CM3" i="198"/>
  <c r="CK4" i="198"/>
  <c r="CK3" i="198"/>
  <c r="CI4" i="198"/>
  <c r="CI57" i="198" s="1"/>
  <c r="CI3" i="198"/>
  <c r="CG4" i="198"/>
  <c r="CG3" i="198"/>
  <c r="CG104" i="198" s="1"/>
  <c r="CE4" i="198"/>
  <c r="CE3" i="198"/>
  <c r="CC4" i="198"/>
  <c r="CC3" i="198"/>
  <c r="CA4" i="198"/>
  <c r="CA3" i="198"/>
  <c r="BY4" i="198"/>
  <c r="BY3" i="198"/>
  <c r="BW4" i="198"/>
  <c r="BW57" i="198" s="1"/>
  <c r="BW3" i="198"/>
  <c r="BU4" i="198"/>
  <c r="BU3" i="198"/>
  <c r="BS4" i="198"/>
  <c r="BS57" i="198" s="1"/>
  <c r="BS3" i="198"/>
  <c r="BQ4" i="198"/>
  <c r="BQ3" i="198"/>
  <c r="BO4" i="198"/>
  <c r="BO3" i="198"/>
  <c r="BM4" i="198"/>
  <c r="BM3" i="198"/>
  <c r="BK4" i="198"/>
  <c r="BK3" i="198"/>
  <c r="BI4" i="198"/>
  <c r="BI3" i="198"/>
  <c r="BG4" i="198"/>
  <c r="BG57" i="198" s="1"/>
  <c r="BG3" i="198"/>
  <c r="BE4" i="198"/>
  <c r="BE3" i="198"/>
  <c r="BC4" i="198"/>
  <c r="BC57" i="198" s="1"/>
  <c r="BC3" i="198"/>
  <c r="BA4" i="198"/>
  <c r="BA3" i="198"/>
  <c r="AY4" i="198"/>
  <c r="AY3" i="198"/>
  <c r="AW4" i="198"/>
  <c r="AW3" i="198"/>
  <c r="AW104" i="198" s="1"/>
  <c r="AU4" i="198"/>
  <c r="AU3" i="198"/>
  <c r="AS4" i="198"/>
  <c r="AS3" i="198"/>
  <c r="AQ4" i="198"/>
  <c r="AQ57" i="198" s="1"/>
  <c r="AQ3" i="198"/>
  <c r="AO4" i="198"/>
  <c r="AO3" i="198"/>
  <c r="AM4" i="198"/>
  <c r="AM57" i="198" s="1"/>
  <c r="AM3" i="198"/>
  <c r="AK4" i="198"/>
  <c r="AK3" i="198"/>
  <c r="AI4" i="198"/>
  <c r="AI3" i="198"/>
  <c r="AG4" i="198"/>
  <c r="AG3" i="198"/>
  <c r="AE4" i="198"/>
  <c r="AE3" i="198"/>
  <c r="AC4" i="198"/>
  <c r="AC3" i="198"/>
  <c r="AA4" i="198"/>
  <c r="AA57" i="198" s="1"/>
  <c r="AA3" i="198"/>
  <c r="Y4" i="198"/>
  <c r="Y3" i="198"/>
  <c r="W4" i="198"/>
  <c r="W57" i="198" s="1"/>
  <c r="W3" i="198"/>
  <c r="U4" i="198"/>
  <c r="U282" i="198" s="1"/>
  <c r="U3" i="198"/>
  <c r="S4" i="198"/>
  <c r="S150" i="198" s="1"/>
  <c r="S3" i="198"/>
  <c r="Q4" i="198"/>
  <c r="Q3" i="198"/>
  <c r="Q104" i="198" s="1"/>
  <c r="O4" i="198"/>
  <c r="O3" i="198"/>
  <c r="M4" i="198"/>
  <c r="M3" i="198"/>
  <c r="K4" i="198"/>
  <c r="K57" i="198" s="1"/>
  <c r="K3" i="198"/>
  <c r="I4" i="198"/>
  <c r="I3" i="198"/>
  <c r="G4" i="198"/>
  <c r="G57" i="198" s="1"/>
  <c r="G3" i="198"/>
  <c r="E4" i="198"/>
  <c r="E105" i="198" s="1"/>
  <c r="E3" i="198"/>
  <c r="C4" i="198"/>
  <c r="C3" i="198"/>
  <c r="EM4" i="198"/>
  <c r="EL4" i="198"/>
  <c r="EM3" i="198"/>
  <c r="EL3" i="198"/>
  <c r="A1" i="198"/>
  <c r="EP566" i="2"/>
  <c r="EO566" i="2"/>
  <c r="EN566" i="2"/>
  <c r="EM566" i="2"/>
  <c r="EL566" i="2"/>
  <c r="EK566" i="2"/>
  <c r="EJ566" i="2"/>
  <c r="EI566" i="2"/>
  <c r="EH566" i="2"/>
  <c r="EG566" i="2"/>
  <c r="EF566" i="2"/>
  <c r="EE566" i="2"/>
  <c r="ED566" i="2"/>
  <c r="EC566" i="2"/>
  <c r="EB566" i="2"/>
  <c r="AW566" i="2"/>
  <c r="AV566" i="2"/>
  <c r="AU566" i="2"/>
  <c r="AT566" i="2"/>
  <c r="AS566" i="2"/>
  <c r="AR566" i="2"/>
  <c r="AQ566" i="2"/>
  <c r="AP566" i="2"/>
  <c r="AO566" i="2"/>
  <c r="AN566" i="2"/>
  <c r="AM566" i="2"/>
  <c r="AL566" i="2"/>
  <c r="AK566" i="2"/>
  <c r="AJ566" i="2"/>
  <c r="AI566" i="2"/>
  <c r="AH566" i="2"/>
  <c r="AG566" i="2"/>
  <c r="AF566" i="2"/>
  <c r="AE566" i="2"/>
  <c r="AD566" i="2"/>
  <c r="AC566" i="2"/>
  <c r="AB566" i="2"/>
  <c r="AA566" i="2"/>
  <c r="Z566" i="2"/>
  <c r="Y566" i="2"/>
  <c r="X566" i="2"/>
  <c r="W566" i="2"/>
  <c r="V566" i="2"/>
  <c r="U566" i="2"/>
  <c r="T566" i="2"/>
  <c r="S566" i="2"/>
  <c r="R566" i="2"/>
  <c r="Q566" i="2"/>
  <c r="P566" i="2"/>
  <c r="O566" i="2"/>
  <c r="N566" i="2"/>
  <c r="M566" i="2"/>
  <c r="L566" i="2"/>
  <c r="K566" i="2"/>
  <c r="J566" i="2"/>
  <c r="I566" i="2"/>
  <c r="H566" i="2"/>
  <c r="G566" i="2"/>
  <c r="F566" i="2"/>
  <c r="E566" i="2"/>
  <c r="D566" i="2"/>
  <c r="C566" i="2"/>
  <c r="B566" i="2"/>
  <c r="A566" i="2"/>
  <c r="EP563" i="2"/>
  <c r="EO563" i="2"/>
  <c r="EN563" i="2"/>
  <c r="EM563" i="2"/>
  <c r="EL563" i="2"/>
  <c r="EK563" i="2"/>
  <c r="EJ563" i="2"/>
  <c r="EI563" i="2"/>
  <c r="EH563" i="2"/>
  <c r="EG563" i="2"/>
  <c r="EF563" i="2"/>
  <c r="EE563" i="2"/>
  <c r="ED563" i="2"/>
  <c r="EC563" i="2"/>
  <c r="EB563" i="2"/>
  <c r="AW563" i="2"/>
  <c r="AV563" i="2"/>
  <c r="AU563" i="2"/>
  <c r="AT563" i="2"/>
  <c r="AS563" i="2"/>
  <c r="AR563" i="2"/>
  <c r="AQ563" i="2"/>
  <c r="AP563" i="2"/>
  <c r="AO563" i="2"/>
  <c r="AN563" i="2"/>
  <c r="AM563" i="2"/>
  <c r="AL563" i="2"/>
  <c r="AK563" i="2"/>
  <c r="AJ563" i="2"/>
  <c r="AI563" i="2"/>
  <c r="AH563" i="2"/>
  <c r="AG563" i="2"/>
  <c r="AF563" i="2"/>
  <c r="AE563" i="2"/>
  <c r="AD563" i="2"/>
  <c r="AC563" i="2"/>
  <c r="AB563" i="2"/>
  <c r="AA563" i="2"/>
  <c r="Z563" i="2"/>
  <c r="Y563" i="2"/>
  <c r="X563" i="2"/>
  <c r="W563" i="2"/>
  <c r="V563" i="2"/>
  <c r="U563" i="2"/>
  <c r="T563" i="2"/>
  <c r="S563" i="2"/>
  <c r="R563" i="2"/>
  <c r="Q563" i="2"/>
  <c r="P563" i="2"/>
  <c r="O563" i="2"/>
  <c r="N563" i="2"/>
  <c r="M563" i="2"/>
  <c r="L563" i="2"/>
  <c r="K563" i="2"/>
  <c r="J563" i="2"/>
  <c r="I563" i="2"/>
  <c r="H563" i="2"/>
  <c r="G563" i="2"/>
  <c r="F563" i="2"/>
  <c r="E563" i="2"/>
  <c r="D563" i="2"/>
  <c r="C563" i="2"/>
  <c r="B563" i="2"/>
  <c r="EP560" i="2"/>
  <c r="EO560" i="2"/>
  <c r="EN560" i="2"/>
  <c r="EM560" i="2"/>
  <c r="EL560" i="2"/>
  <c r="EK560" i="2"/>
  <c r="EJ560" i="2"/>
  <c r="EI560" i="2"/>
  <c r="EH560" i="2"/>
  <c r="EG560" i="2"/>
  <c r="EF560" i="2"/>
  <c r="EE560" i="2"/>
  <c r="ED560" i="2"/>
  <c r="EC560" i="2"/>
  <c r="EB560" i="2"/>
  <c r="AW560" i="2"/>
  <c r="AV560" i="2"/>
  <c r="AU560" i="2"/>
  <c r="AT560" i="2"/>
  <c r="AS560" i="2"/>
  <c r="AR560" i="2"/>
  <c r="AQ560" i="2"/>
  <c r="AP560" i="2"/>
  <c r="AO560" i="2"/>
  <c r="AN560" i="2"/>
  <c r="AM560" i="2"/>
  <c r="AL560" i="2"/>
  <c r="AK560" i="2"/>
  <c r="AJ560" i="2"/>
  <c r="AI560" i="2"/>
  <c r="AH560" i="2"/>
  <c r="AG560" i="2"/>
  <c r="AF560" i="2"/>
  <c r="AE560" i="2"/>
  <c r="AD560" i="2"/>
  <c r="AC560" i="2"/>
  <c r="AB560" i="2"/>
  <c r="AA560" i="2"/>
  <c r="Z560" i="2"/>
  <c r="Y560" i="2"/>
  <c r="X560" i="2"/>
  <c r="W560" i="2"/>
  <c r="V560" i="2"/>
  <c r="U560" i="2"/>
  <c r="T560" i="2"/>
  <c r="S560" i="2"/>
  <c r="R560" i="2"/>
  <c r="Q560" i="2"/>
  <c r="P560" i="2"/>
  <c r="O560" i="2"/>
  <c r="N560" i="2"/>
  <c r="M560" i="2"/>
  <c r="L560" i="2"/>
  <c r="K560" i="2"/>
  <c r="J560" i="2"/>
  <c r="I560" i="2"/>
  <c r="H560" i="2"/>
  <c r="G560" i="2"/>
  <c r="F560" i="2"/>
  <c r="E560" i="2"/>
  <c r="D560" i="2"/>
  <c r="C560" i="2"/>
  <c r="B560" i="2"/>
  <c r="A560" i="2"/>
  <c r="EP557" i="2"/>
  <c r="EO557" i="2"/>
  <c r="EN557" i="2"/>
  <c r="EM557" i="2"/>
  <c r="EL557" i="2"/>
  <c r="EK557" i="2"/>
  <c r="EJ557" i="2"/>
  <c r="EI557" i="2"/>
  <c r="EH557" i="2"/>
  <c r="EG557" i="2"/>
  <c r="EF557" i="2"/>
  <c r="EE557" i="2"/>
  <c r="ED557" i="2"/>
  <c r="EC557" i="2"/>
  <c r="EB557" i="2"/>
  <c r="AW557" i="2"/>
  <c r="AV557" i="2"/>
  <c r="AU557" i="2"/>
  <c r="AT557" i="2"/>
  <c r="AS557" i="2"/>
  <c r="AR557" i="2"/>
  <c r="AQ557" i="2"/>
  <c r="AP557" i="2"/>
  <c r="AO557" i="2"/>
  <c r="AN557" i="2"/>
  <c r="AM557" i="2"/>
  <c r="AL557" i="2"/>
  <c r="AK557" i="2"/>
  <c r="AJ557" i="2"/>
  <c r="AI557" i="2"/>
  <c r="AH557" i="2"/>
  <c r="AG557" i="2"/>
  <c r="AF557" i="2"/>
  <c r="AE557" i="2"/>
  <c r="AD557" i="2"/>
  <c r="AC557" i="2"/>
  <c r="AB557" i="2"/>
  <c r="AA557" i="2"/>
  <c r="Z557" i="2"/>
  <c r="Y557" i="2"/>
  <c r="X557" i="2"/>
  <c r="W557" i="2"/>
  <c r="V557" i="2"/>
  <c r="U557" i="2"/>
  <c r="T557" i="2"/>
  <c r="S557" i="2"/>
  <c r="R557" i="2"/>
  <c r="Q557" i="2"/>
  <c r="P557" i="2"/>
  <c r="O557" i="2"/>
  <c r="N557" i="2"/>
  <c r="M557" i="2"/>
  <c r="L557" i="2"/>
  <c r="K557" i="2"/>
  <c r="J557" i="2"/>
  <c r="I557" i="2"/>
  <c r="H557" i="2"/>
  <c r="G557" i="2"/>
  <c r="F557" i="2"/>
  <c r="E557" i="2"/>
  <c r="D557" i="2"/>
  <c r="C557" i="2"/>
  <c r="B557" i="2"/>
  <c r="EP555" i="2"/>
  <c r="EO555" i="2"/>
  <c r="EN555" i="2"/>
  <c r="EM555" i="2"/>
  <c r="EL555" i="2"/>
  <c r="EK555" i="2"/>
  <c r="EJ555" i="2"/>
  <c r="EI555" i="2"/>
  <c r="EH555" i="2"/>
  <c r="EG555" i="2"/>
  <c r="EF555" i="2"/>
  <c r="EE555" i="2"/>
  <c r="ED555" i="2"/>
  <c r="EC555" i="2"/>
  <c r="EB555" i="2"/>
  <c r="EP554" i="2"/>
  <c r="EO554" i="2"/>
  <c r="EN554" i="2"/>
  <c r="EM554" i="2"/>
  <c r="EL554" i="2"/>
  <c r="EK554" i="2"/>
  <c r="EJ554" i="2"/>
  <c r="EI554" i="2"/>
  <c r="EH554" i="2"/>
  <c r="EG554" i="2"/>
  <c r="EF554" i="2"/>
  <c r="EE554" i="2"/>
  <c r="ED554" i="2"/>
  <c r="EC554" i="2"/>
  <c r="EB554" i="2"/>
  <c r="EP553" i="2"/>
  <c r="EO553" i="2"/>
  <c r="EN553" i="2"/>
  <c r="EM553" i="2"/>
  <c r="EL553" i="2"/>
  <c r="EK553" i="2"/>
  <c r="EJ553" i="2"/>
  <c r="EI553" i="2"/>
  <c r="EH553" i="2"/>
  <c r="EG553" i="2"/>
  <c r="EF553" i="2"/>
  <c r="EE553" i="2"/>
  <c r="ED553" i="2"/>
  <c r="EC553" i="2"/>
  <c r="EB553" i="2"/>
  <c r="AW555" i="2"/>
  <c r="AV555" i="2"/>
  <c r="AU555" i="2"/>
  <c r="AT555" i="2"/>
  <c r="AS555" i="2"/>
  <c r="AR555" i="2"/>
  <c r="AQ555" i="2"/>
  <c r="AP555" i="2"/>
  <c r="AO555" i="2"/>
  <c r="AN555" i="2"/>
  <c r="AM555" i="2"/>
  <c r="AL555" i="2"/>
  <c r="AK555" i="2"/>
  <c r="AJ555" i="2"/>
  <c r="AI555" i="2"/>
  <c r="AH555" i="2"/>
  <c r="AG555" i="2"/>
  <c r="AF555" i="2"/>
  <c r="AE555" i="2"/>
  <c r="AD555" i="2"/>
  <c r="AC555" i="2"/>
  <c r="AB555" i="2"/>
  <c r="AA555" i="2"/>
  <c r="Z555" i="2"/>
  <c r="Y555" i="2"/>
  <c r="X555" i="2"/>
  <c r="W555" i="2"/>
  <c r="V555" i="2"/>
  <c r="U555" i="2"/>
  <c r="T555" i="2"/>
  <c r="S555" i="2"/>
  <c r="R555" i="2"/>
  <c r="Q555" i="2"/>
  <c r="P555" i="2"/>
  <c r="O555" i="2"/>
  <c r="N555" i="2"/>
  <c r="M555" i="2"/>
  <c r="L555" i="2"/>
  <c r="K555" i="2"/>
  <c r="J555" i="2"/>
  <c r="I555" i="2"/>
  <c r="H555" i="2"/>
  <c r="G555" i="2"/>
  <c r="F555" i="2"/>
  <c r="E555" i="2"/>
  <c r="D555" i="2"/>
  <c r="C555" i="2"/>
  <c r="B555" i="2"/>
  <c r="A555" i="2"/>
  <c r="AW554" i="2"/>
  <c r="AV554" i="2"/>
  <c r="AU554" i="2"/>
  <c r="AT554" i="2"/>
  <c r="AS554" i="2"/>
  <c r="AR554" i="2"/>
  <c r="AQ554" i="2"/>
  <c r="AP554" i="2"/>
  <c r="AO554" i="2"/>
  <c r="AN554" i="2"/>
  <c r="AM554" i="2"/>
  <c r="AL554" i="2"/>
  <c r="AK554" i="2"/>
  <c r="AJ554" i="2"/>
  <c r="AI554" i="2"/>
  <c r="AH554" i="2"/>
  <c r="AG554" i="2"/>
  <c r="AF554" i="2"/>
  <c r="AE554" i="2"/>
  <c r="AD554" i="2"/>
  <c r="AC554" i="2"/>
  <c r="AB554" i="2"/>
  <c r="AA554" i="2"/>
  <c r="Z554" i="2"/>
  <c r="Y554" i="2"/>
  <c r="X554" i="2"/>
  <c r="W554" i="2"/>
  <c r="V554" i="2"/>
  <c r="U554" i="2"/>
  <c r="T554" i="2"/>
  <c r="S554" i="2"/>
  <c r="R554" i="2"/>
  <c r="Q554" i="2"/>
  <c r="P554" i="2"/>
  <c r="O554" i="2"/>
  <c r="N554" i="2"/>
  <c r="M554" i="2"/>
  <c r="L554" i="2"/>
  <c r="K554" i="2"/>
  <c r="J554" i="2"/>
  <c r="I554" i="2"/>
  <c r="H554" i="2"/>
  <c r="G554" i="2"/>
  <c r="F554" i="2"/>
  <c r="E554" i="2"/>
  <c r="D554" i="2"/>
  <c r="C554" i="2"/>
  <c r="B554" i="2"/>
  <c r="A554" i="2"/>
  <c r="AW553" i="2"/>
  <c r="AV553" i="2"/>
  <c r="AU553" i="2"/>
  <c r="AT553" i="2"/>
  <c r="AS553" i="2"/>
  <c r="AR553" i="2"/>
  <c r="AQ553" i="2"/>
  <c r="AP553" i="2"/>
  <c r="AO553" i="2"/>
  <c r="AN553" i="2"/>
  <c r="AM553" i="2"/>
  <c r="AL553" i="2"/>
  <c r="AK553" i="2"/>
  <c r="AJ553" i="2"/>
  <c r="AI553" i="2"/>
  <c r="AH553" i="2"/>
  <c r="AG553" i="2"/>
  <c r="AF553" i="2"/>
  <c r="AE553" i="2"/>
  <c r="AD553" i="2"/>
  <c r="AC553" i="2"/>
  <c r="AB553" i="2"/>
  <c r="AA553" i="2"/>
  <c r="Z553" i="2"/>
  <c r="Y553" i="2"/>
  <c r="X553" i="2"/>
  <c r="W553" i="2"/>
  <c r="V553" i="2"/>
  <c r="U553" i="2"/>
  <c r="T553" i="2"/>
  <c r="S553" i="2"/>
  <c r="R553" i="2"/>
  <c r="Q553" i="2"/>
  <c r="P553" i="2"/>
  <c r="O553" i="2"/>
  <c r="N553" i="2"/>
  <c r="M553" i="2"/>
  <c r="L553" i="2"/>
  <c r="K553" i="2"/>
  <c r="J553" i="2"/>
  <c r="I553" i="2"/>
  <c r="H553" i="2"/>
  <c r="G553" i="2"/>
  <c r="F553" i="2"/>
  <c r="E553" i="2"/>
  <c r="D553" i="2"/>
  <c r="C553" i="2"/>
  <c r="B553" i="2"/>
  <c r="A553" i="2"/>
  <c r="EP550" i="2"/>
  <c r="EO550" i="2"/>
  <c r="EN550" i="2"/>
  <c r="EM550" i="2"/>
  <c r="EL550" i="2"/>
  <c r="EK550" i="2"/>
  <c r="EJ550" i="2"/>
  <c r="EI550" i="2"/>
  <c r="EH550" i="2"/>
  <c r="EG550" i="2"/>
  <c r="EF550" i="2"/>
  <c r="EE550" i="2"/>
  <c r="ED550" i="2"/>
  <c r="EC550" i="2"/>
  <c r="EB550" i="2"/>
  <c r="EP549" i="2"/>
  <c r="EO549" i="2"/>
  <c r="EN549" i="2"/>
  <c r="EM549" i="2"/>
  <c r="EL549" i="2"/>
  <c r="EK549" i="2"/>
  <c r="EJ549" i="2"/>
  <c r="EI549" i="2"/>
  <c r="EH549" i="2"/>
  <c r="EG549" i="2"/>
  <c r="EF549" i="2"/>
  <c r="EE549" i="2"/>
  <c r="ED549" i="2"/>
  <c r="EC549" i="2"/>
  <c r="EB549" i="2"/>
  <c r="EP548" i="2"/>
  <c r="EO548" i="2"/>
  <c r="EN548" i="2"/>
  <c r="EM548" i="2"/>
  <c r="EL548" i="2"/>
  <c r="EK548" i="2"/>
  <c r="EJ548" i="2"/>
  <c r="EI548" i="2"/>
  <c r="EH548" i="2"/>
  <c r="EG548" i="2"/>
  <c r="EF548" i="2"/>
  <c r="EE548" i="2"/>
  <c r="ED548" i="2"/>
  <c r="EC548" i="2"/>
  <c r="EB548" i="2"/>
  <c r="AW550" i="2"/>
  <c r="AV550" i="2"/>
  <c r="AU550" i="2"/>
  <c r="AT550" i="2"/>
  <c r="AS550" i="2"/>
  <c r="AR550" i="2"/>
  <c r="AQ550" i="2"/>
  <c r="AP550" i="2"/>
  <c r="AO550" i="2"/>
  <c r="AN550" i="2"/>
  <c r="AM550" i="2"/>
  <c r="AL550" i="2"/>
  <c r="AK550" i="2"/>
  <c r="AJ550" i="2"/>
  <c r="AI550" i="2"/>
  <c r="AH550" i="2"/>
  <c r="AG550" i="2"/>
  <c r="AF550" i="2"/>
  <c r="AE550" i="2"/>
  <c r="AD550" i="2"/>
  <c r="AC550" i="2"/>
  <c r="AB550" i="2"/>
  <c r="AA550" i="2"/>
  <c r="Z550" i="2"/>
  <c r="Y550" i="2"/>
  <c r="X550" i="2"/>
  <c r="W550" i="2"/>
  <c r="V550" i="2"/>
  <c r="U550" i="2"/>
  <c r="T550" i="2"/>
  <c r="S550" i="2"/>
  <c r="R550" i="2"/>
  <c r="Q550" i="2"/>
  <c r="P550" i="2"/>
  <c r="O550" i="2"/>
  <c r="N550" i="2"/>
  <c r="M550" i="2"/>
  <c r="L550" i="2"/>
  <c r="K550" i="2"/>
  <c r="J550" i="2"/>
  <c r="I550" i="2"/>
  <c r="H550" i="2"/>
  <c r="G550" i="2"/>
  <c r="F550" i="2"/>
  <c r="E550" i="2"/>
  <c r="D550" i="2"/>
  <c r="C550" i="2"/>
  <c r="B550" i="2"/>
  <c r="A550" i="2"/>
  <c r="AW549" i="2"/>
  <c r="AV549" i="2"/>
  <c r="AU549" i="2"/>
  <c r="AT549" i="2"/>
  <c r="AS549" i="2"/>
  <c r="AR549" i="2"/>
  <c r="AQ549" i="2"/>
  <c r="AP549" i="2"/>
  <c r="AO549" i="2"/>
  <c r="AN549" i="2"/>
  <c r="AM549" i="2"/>
  <c r="AL549" i="2"/>
  <c r="AK549" i="2"/>
  <c r="AJ549" i="2"/>
  <c r="AI549" i="2"/>
  <c r="AH549" i="2"/>
  <c r="AG549" i="2"/>
  <c r="AF549" i="2"/>
  <c r="AE549" i="2"/>
  <c r="AD549" i="2"/>
  <c r="AC549" i="2"/>
  <c r="AB549" i="2"/>
  <c r="AA549" i="2"/>
  <c r="Z549" i="2"/>
  <c r="Y549" i="2"/>
  <c r="X549" i="2"/>
  <c r="W549" i="2"/>
  <c r="V549" i="2"/>
  <c r="U549" i="2"/>
  <c r="T549" i="2"/>
  <c r="S549" i="2"/>
  <c r="R549" i="2"/>
  <c r="Q549" i="2"/>
  <c r="P549" i="2"/>
  <c r="O549" i="2"/>
  <c r="N549" i="2"/>
  <c r="M549" i="2"/>
  <c r="L549" i="2"/>
  <c r="K549" i="2"/>
  <c r="J549" i="2"/>
  <c r="I549" i="2"/>
  <c r="H549" i="2"/>
  <c r="G549" i="2"/>
  <c r="F549" i="2"/>
  <c r="E549" i="2"/>
  <c r="D549" i="2"/>
  <c r="C549" i="2"/>
  <c r="B549" i="2"/>
  <c r="A549" i="2"/>
  <c r="AW548" i="2"/>
  <c r="AV548" i="2"/>
  <c r="AU548" i="2"/>
  <c r="AT548" i="2"/>
  <c r="AS548" i="2"/>
  <c r="AR548" i="2"/>
  <c r="AQ548" i="2"/>
  <c r="AP548" i="2"/>
  <c r="AO548" i="2"/>
  <c r="AN548" i="2"/>
  <c r="AM548" i="2"/>
  <c r="AL548" i="2"/>
  <c r="AK548" i="2"/>
  <c r="AJ548" i="2"/>
  <c r="AI548" i="2"/>
  <c r="AH548" i="2"/>
  <c r="AG548" i="2"/>
  <c r="AF548" i="2"/>
  <c r="AE548" i="2"/>
  <c r="AD548" i="2"/>
  <c r="AC548" i="2"/>
  <c r="AB548" i="2"/>
  <c r="AA548" i="2"/>
  <c r="Z548" i="2"/>
  <c r="Y548" i="2"/>
  <c r="X548" i="2"/>
  <c r="W548" i="2"/>
  <c r="V548" i="2"/>
  <c r="U548" i="2"/>
  <c r="T548" i="2"/>
  <c r="S548" i="2"/>
  <c r="R548" i="2"/>
  <c r="Q548" i="2"/>
  <c r="P548" i="2"/>
  <c r="O548" i="2"/>
  <c r="N548" i="2"/>
  <c r="M548" i="2"/>
  <c r="L548" i="2"/>
  <c r="K548" i="2"/>
  <c r="J548" i="2"/>
  <c r="I548" i="2"/>
  <c r="H548" i="2"/>
  <c r="G548" i="2"/>
  <c r="F548" i="2"/>
  <c r="E548" i="2"/>
  <c r="D548" i="2"/>
  <c r="C548" i="2"/>
  <c r="B548" i="2"/>
  <c r="A548" i="2"/>
  <c r="A543" i="2"/>
  <c r="FS536" i="2"/>
  <c r="FR536" i="2"/>
  <c r="FQ536" i="2"/>
  <c r="FP536" i="2"/>
  <c r="FO536" i="2"/>
  <c r="FN536" i="2"/>
  <c r="FM536" i="2"/>
  <c r="FL536" i="2"/>
  <c r="FK536" i="2"/>
  <c r="FJ536" i="2"/>
  <c r="FI536" i="2"/>
  <c r="FH536" i="2"/>
  <c r="FG536" i="2"/>
  <c r="FF536" i="2"/>
  <c r="FE536" i="2"/>
  <c r="FD536" i="2"/>
  <c r="FC536" i="2"/>
  <c r="FB536" i="2"/>
  <c r="FA536" i="2"/>
  <c r="EZ536" i="2"/>
  <c r="EY536" i="2"/>
  <c r="EX536" i="2"/>
  <c r="EW536" i="2"/>
  <c r="EV536" i="2"/>
  <c r="EU536" i="2"/>
  <c r="ET536" i="2"/>
  <c r="ES536" i="2"/>
  <c r="ER536" i="2"/>
  <c r="EQ536" i="2"/>
  <c r="EP536" i="2"/>
  <c r="EO536" i="2"/>
  <c r="EN536" i="2"/>
  <c r="EM536" i="2"/>
  <c r="EL536" i="2"/>
  <c r="EK536" i="2"/>
  <c r="EJ536" i="2"/>
  <c r="EI536" i="2"/>
  <c r="EH536" i="2"/>
  <c r="EG536" i="2"/>
  <c r="EF536" i="2"/>
  <c r="EE536" i="2"/>
  <c r="ED536" i="2"/>
  <c r="EC536" i="2"/>
  <c r="EB536" i="2"/>
  <c r="FS535" i="2"/>
  <c r="FR535" i="2"/>
  <c r="FQ535" i="2"/>
  <c r="FP535" i="2"/>
  <c r="FO535" i="2"/>
  <c r="FN535" i="2"/>
  <c r="FM535" i="2"/>
  <c r="FL535" i="2"/>
  <c r="FK535" i="2"/>
  <c r="FJ535" i="2"/>
  <c r="FI535" i="2"/>
  <c r="FH535" i="2"/>
  <c r="FG535" i="2"/>
  <c r="FF535" i="2"/>
  <c r="FE535" i="2"/>
  <c r="FD535" i="2"/>
  <c r="FC535" i="2"/>
  <c r="FB535" i="2"/>
  <c r="FA535" i="2"/>
  <c r="EZ535" i="2"/>
  <c r="EY535" i="2"/>
  <c r="EX535" i="2"/>
  <c r="EW535" i="2"/>
  <c r="EV535" i="2"/>
  <c r="EU535" i="2"/>
  <c r="ET535" i="2"/>
  <c r="ES535" i="2"/>
  <c r="ER535" i="2"/>
  <c r="EQ535" i="2"/>
  <c r="EP535" i="2"/>
  <c r="EO535" i="2"/>
  <c r="EN535" i="2"/>
  <c r="EM535" i="2"/>
  <c r="EL535" i="2"/>
  <c r="EK535" i="2"/>
  <c r="EJ535" i="2"/>
  <c r="EI535" i="2"/>
  <c r="EH535" i="2"/>
  <c r="EG535" i="2"/>
  <c r="EF535" i="2"/>
  <c r="EE535" i="2"/>
  <c r="ED535" i="2"/>
  <c r="EC535" i="2"/>
  <c r="EB535" i="2"/>
  <c r="FH534" i="2"/>
  <c r="FG534" i="2"/>
  <c r="FF534" i="2"/>
  <c r="FE534" i="2"/>
  <c r="FD534" i="2"/>
  <c r="FC534" i="2"/>
  <c r="FB534" i="2"/>
  <c r="FA534" i="2"/>
  <c r="EZ534" i="2"/>
  <c r="EY534" i="2"/>
  <c r="EX534" i="2"/>
  <c r="EW534" i="2"/>
  <c r="EV534" i="2"/>
  <c r="EU534" i="2"/>
  <c r="ET534" i="2"/>
  <c r="ES534" i="2"/>
  <c r="ER534" i="2"/>
  <c r="EQ534" i="2"/>
  <c r="EP534" i="2"/>
  <c r="EO534" i="2"/>
  <c r="EN534" i="2"/>
  <c r="EM534" i="2"/>
  <c r="EL534" i="2"/>
  <c r="EK534" i="2"/>
  <c r="EJ534" i="2"/>
  <c r="EI534" i="2"/>
  <c r="EH534" i="2"/>
  <c r="EG534" i="2"/>
  <c r="EF534" i="2"/>
  <c r="EE534" i="2"/>
  <c r="ED534" i="2"/>
  <c r="EC534" i="2"/>
  <c r="EB534" i="2"/>
  <c r="DY536" i="2"/>
  <c r="DX536" i="2"/>
  <c r="DW536" i="2"/>
  <c r="DV536" i="2"/>
  <c r="DU536" i="2"/>
  <c r="DT536" i="2"/>
  <c r="DS536" i="2"/>
  <c r="DR536" i="2"/>
  <c r="DQ536" i="2"/>
  <c r="DP536" i="2"/>
  <c r="DO536" i="2"/>
  <c r="DN536" i="2"/>
  <c r="DM536" i="2"/>
  <c r="DL536" i="2"/>
  <c r="DK536" i="2"/>
  <c r="DJ536" i="2"/>
  <c r="DI536" i="2"/>
  <c r="DH536" i="2"/>
  <c r="DG536" i="2"/>
  <c r="DF536" i="2"/>
  <c r="DE536" i="2"/>
  <c r="DD536" i="2"/>
  <c r="DC536" i="2"/>
  <c r="DB536" i="2"/>
  <c r="DA536" i="2"/>
  <c r="CZ536" i="2"/>
  <c r="CY536" i="2"/>
  <c r="CX536" i="2"/>
  <c r="CW536" i="2"/>
  <c r="CV536" i="2"/>
  <c r="CU536" i="2"/>
  <c r="CT536" i="2"/>
  <c r="CS536" i="2"/>
  <c r="CR536" i="2"/>
  <c r="CQ536" i="2"/>
  <c r="CP536" i="2"/>
  <c r="CO536" i="2"/>
  <c r="CN536" i="2"/>
  <c r="CM536" i="2"/>
  <c r="CL536" i="2"/>
  <c r="CK536" i="2"/>
  <c r="CJ536" i="2"/>
  <c r="CI536" i="2"/>
  <c r="CH536" i="2"/>
  <c r="CG536" i="2"/>
  <c r="CF536" i="2"/>
  <c r="CE536" i="2"/>
  <c r="CD536" i="2"/>
  <c r="CC536" i="2"/>
  <c r="CB536" i="2"/>
  <c r="CA536" i="2"/>
  <c r="BZ536" i="2"/>
  <c r="BY536" i="2"/>
  <c r="BX536" i="2"/>
  <c r="BW536" i="2"/>
  <c r="BV536" i="2"/>
  <c r="BU536" i="2"/>
  <c r="BT536" i="2"/>
  <c r="BS536" i="2"/>
  <c r="BR536" i="2"/>
  <c r="BQ536" i="2"/>
  <c r="BP536" i="2"/>
  <c r="BO536" i="2"/>
  <c r="BN536" i="2"/>
  <c r="BM536" i="2"/>
  <c r="BL536" i="2"/>
  <c r="BK536" i="2"/>
  <c r="BJ536" i="2"/>
  <c r="BI536" i="2"/>
  <c r="BH536" i="2"/>
  <c r="BG536" i="2"/>
  <c r="BF536" i="2"/>
  <c r="BE536" i="2"/>
  <c r="BD536" i="2"/>
  <c r="BC536" i="2"/>
  <c r="BB536" i="2"/>
  <c r="BA536" i="2"/>
  <c r="AZ536" i="2"/>
  <c r="AY536" i="2"/>
  <c r="AX536" i="2"/>
  <c r="AW536" i="2"/>
  <c r="AV536" i="2"/>
  <c r="AU536" i="2"/>
  <c r="AT536" i="2"/>
  <c r="AS536" i="2"/>
  <c r="AR536" i="2"/>
  <c r="AQ536" i="2"/>
  <c r="AP536" i="2"/>
  <c r="AO536" i="2"/>
  <c r="AN536" i="2"/>
  <c r="AM536" i="2"/>
  <c r="AL536" i="2"/>
  <c r="AK536" i="2"/>
  <c r="AJ536" i="2"/>
  <c r="AI536" i="2"/>
  <c r="AH536" i="2"/>
  <c r="AG536" i="2"/>
  <c r="AF536" i="2"/>
  <c r="AE536" i="2"/>
  <c r="AD536" i="2"/>
  <c r="AC536" i="2"/>
  <c r="AB536" i="2"/>
  <c r="AA536" i="2"/>
  <c r="Z536" i="2"/>
  <c r="Y536" i="2"/>
  <c r="X536" i="2"/>
  <c r="W536" i="2"/>
  <c r="V536" i="2"/>
  <c r="U536" i="2"/>
  <c r="T536" i="2"/>
  <c r="S536" i="2"/>
  <c r="R536" i="2"/>
  <c r="Q536" i="2"/>
  <c r="P536" i="2"/>
  <c r="O536" i="2"/>
  <c r="N536" i="2"/>
  <c r="M536" i="2"/>
  <c r="L536" i="2"/>
  <c r="K536" i="2"/>
  <c r="J536" i="2"/>
  <c r="I536" i="2"/>
  <c r="H536" i="2"/>
  <c r="G536" i="2"/>
  <c r="F536" i="2"/>
  <c r="E536" i="2"/>
  <c r="D536" i="2"/>
  <c r="C536" i="2"/>
  <c r="B536" i="2"/>
  <c r="A536" i="2"/>
  <c r="DY535" i="2"/>
  <c r="DX535" i="2"/>
  <c r="DW535" i="2"/>
  <c r="DV535" i="2"/>
  <c r="DU535" i="2"/>
  <c r="DT535" i="2"/>
  <c r="DS535" i="2"/>
  <c r="DR535" i="2"/>
  <c r="DQ535" i="2"/>
  <c r="DP535" i="2"/>
  <c r="DO535" i="2"/>
  <c r="DN535" i="2"/>
  <c r="DM535" i="2"/>
  <c r="DL535" i="2"/>
  <c r="DK535" i="2"/>
  <c r="DJ535" i="2"/>
  <c r="DI535" i="2"/>
  <c r="DH535" i="2"/>
  <c r="DG535" i="2"/>
  <c r="DF535" i="2"/>
  <c r="DE535" i="2"/>
  <c r="DD535" i="2"/>
  <c r="DC535" i="2"/>
  <c r="DB535" i="2"/>
  <c r="DA535" i="2"/>
  <c r="CZ535" i="2"/>
  <c r="CY535" i="2"/>
  <c r="CX535" i="2"/>
  <c r="CW535" i="2"/>
  <c r="CV535" i="2"/>
  <c r="CU535" i="2"/>
  <c r="CT535" i="2"/>
  <c r="CS535" i="2"/>
  <c r="CR535" i="2"/>
  <c r="CQ535" i="2"/>
  <c r="CP535" i="2"/>
  <c r="CO535" i="2"/>
  <c r="CN535" i="2"/>
  <c r="CM535" i="2"/>
  <c r="CL535" i="2"/>
  <c r="CK535" i="2"/>
  <c r="CJ535" i="2"/>
  <c r="CI535" i="2"/>
  <c r="CH535" i="2"/>
  <c r="CG535" i="2"/>
  <c r="CF535" i="2"/>
  <c r="CE535" i="2"/>
  <c r="CD535" i="2"/>
  <c r="CC535" i="2"/>
  <c r="CB535" i="2"/>
  <c r="CA535" i="2"/>
  <c r="BZ535" i="2"/>
  <c r="BY535" i="2"/>
  <c r="BX535" i="2"/>
  <c r="BW535" i="2"/>
  <c r="BV535" i="2"/>
  <c r="BU535" i="2"/>
  <c r="BT535" i="2"/>
  <c r="BS535" i="2"/>
  <c r="BR535" i="2"/>
  <c r="BQ535" i="2"/>
  <c r="BP535" i="2"/>
  <c r="BO535" i="2"/>
  <c r="BN535" i="2"/>
  <c r="BM535" i="2"/>
  <c r="BL535" i="2"/>
  <c r="BK535" i="2"/>
  <c r="BJ535" i="2"/>
  <c r="BI535" i="2"/>
  <c r="BH535" i="2"/>
  <c r="BG535" i="2"/>
  <c r="BF535" i="2"/>
  <c r="BE535" i="2"/>
  <c r="BD535" i="2"/>
  <c r="BC535" i="2"/>
  <c r="BB535" i="2"/>
  <c r="BA535" i="2"/>
  <c r="AZ535" i="2"/>
  <c r="AY535" i="2"/>
  <c r="AX535" i="2"/>
  <c r="AW535" i="2"/>
  <c r="AV535" i="2"/>
  <c r="AU535" i="2"/>
  <c r="AT535" i="2"/>
  <c r="AS535" i="2"/>
  <c r="AR535" i="2"/>
  <c r="AQ535" i="2"/>
  <c r="AP535" i="2"/>
  <c r="AO535" i="2"/>
  <c r="AN535" i="2"/>
  <c r="AM535" i="2"/>
  <c r="AL535" i="2"/>
  <c r="AK535" i="2"/>
  <c r="AJ535" i="2"/>
  <c r="AI535" i="2"/>
  <c r="AH535" i="2"/>
  <c r="AG535" i="2"/>
  <c r="AF535" i="2"/>
  <c r="AE535" i="2"/>
  <c r="AD535" i="2"/>
  <c r="AC535" i="2"/>
  <c r="AB535" i="2"/>
  <c r="AA535" i="2"/>
  <c r="Z535" i="2"/>
  <c r="Y535" i="2"/>
  <c r="X535" i="2"/>
  <c r="W535" i="2"/>
  <c r="V535" i="2"/>
  <c r="U535" i="2"/>
  <c r="T535" i="2"/>
  <c r="S535" i="2"/>
  <c r="R535" i="2"/>
  <c r="Q535" i="2"/>
  <c r="P535" i="2"/>
  <c r="O535" i="2"/>
  <c r="N535" i="2"/>
  <c r="M535" i="2"/>
  <c r="L535" i="2"/>
  <c r="K535" i="2"/>
  <c r="J535" i="2"/>
  <c r="I535" i="2"/>
  <c r="H535" i="2"/>
  <c r="G535" i="2"/>
  <c r="F535" i="2"/>
  <c r="E535" i="2"/>
  <c r="D535" i="2"/>
  <c r="C535" i="2"/>
  <c r="B535" i="2"/>
  <c r="A535" i="2"/>
  <c r="DV534" i="2"/>
  <c r="DT534" i="2"/>
  <c r="DR534" i="2"/>
  <c r="DQ534" i="2"/>
  <c r="DP534" i="2"/>
  <c r="DO534" i="2"/>
  <c r="DN534" i="2"/>
  <c r="DM534" i="2"/>
  <c r="DL534" i="2"/>
  <c r="DK534" i="2"/>
  <c r="DJ534" i="2"/>
  <c r="DI534" i="2"/>
  <c r="DH534" i="2"/>
  <c r="DG534" i="2"/>
  <c r="DF534" i="2"/>
  <c r="DE534" i="2"/>
  <c r="DD534" i="2"/>
  <c r="DC534" i="2"/>
  <c r="DB534" i="2"/>
  <c r="DA534" i="2"/>
  <c r="CZ534" i="2"/>
  <c r="CY534" i="2"/>
  <c r="CX534" i="2"/>
  <c r="CW534" i="2"/>
  <c r="CV534" i="2"/>
  <c r="CU534" i="2"/>
  <c r="CT534" i="2"/>
  <c r="CS534" i="2"/>
  <c r="CR534" i="2"/>
  <c r="CQ534" i="2"/>
  <c r="CP534" i="2"/>
  <c r="CO534" i="2"/>
  <c r="CN534" i="2"/>
  <c r="CM534" i="2"/>
  <c r="CL534" i="2"/>
  <c r="CK534" i="2"/>
  <c r="CJ534" i="2"/>
  <c r="CI534" i="2"/>
  <c r="CH534" i="2"/>
  <c r="CG534" i="2"/>
  <c r="CF534" i="2"/>
  <c r="CE534" i="2"/>
  <c r="CD534" i="2"/>
  <c r="CC534" i="2"/>
  <c r="CB534" i="2"/>
  <c r="CA534" i="2"/>
  <c r="BZ534" i="2"/>
  <c r="BY534" i="2"/>
  <c r="BX534" i="2"/>
  <c r="BW534" i="2"/>
  <c r="BV534" i="2"/>
  <c r="BU534" i="2"/>
  <c r="BT534" i="2"/>
  <c r="BS534" i="2"/>
  <c r="BR534" i="2"/>
  <c r="BQ534" i="2"/>
  <c r="BP534" i="2"/>
  <c r="BO534" i="2"/>
  <c r="BN534" i="2"/>
  <c r="BM534" i="2"/>
  <c r="BL534" i="2"/>
  <c r="BK534" i="2"/>
  <c r="BJ534" i="2"/>
  <c r="BI534" i="2"/>
  <c r="BH534" i="2"/>
  <c r="BG534" i="2"/>
  <c r="BF534" i="2"/>
  <c r="BE534" i="2"/>
  <c r="BD534" i="2"/>
  <c r="BC534" i="2"/>
  <c r="BB534" i="2"/>
  <c r="BA534" i="2"/>
  <c r="AZ534" i="2"/>
  <c r="AY534" i="2"/>
  <c r="AX534" i="2"/>
  <c r="AW534" i="2"/>
  <c r="AV534" i="2"/>
  <c r="AU534" i="2"/>
  <c r="AT534" i="2"/>
  <c r="AS534" i="2"/>
  <c r="AR534" i="2"/>
  <c r="AQ534" i="2"/>
  <c r="AP534" i="2"/>
  <c r="AO534" i="2"/>
  <c r="AN534" i="2"/>
  <c r="AM534" i="2"/>
  <c r="AL534" i="2"/>
  <c r="AK534" i="2"/>
  <c r="AJ534" i="2"/>
  <c r="AI534" i="2"/>
  <c r="AH534" i="2"/>
  <c r="AG534" i="2"/>
  <c r="AF534" i="2"/>
  <c r="AE534" i="2"/>
  <c r="AD534" i="2"/>
  <c r="AC534" i="2"/>
  <c r="AB534" i="2"/>
  <c r="AA534" i="2"/>
  <c r="Z534" i="2"/>
  <c r="Y534" i="2"/>
  <c r="X534" i="2"/>
  <c r="W534" i="2"/>
  <c r="V534" i="2"/>
  <c r="U534" i="2"/>
  <c r="T534" i="2"/>
  <c r="S534" i="2"/>
  <c r="R534" i="2"/>
  <c r="Q534" i="2"/>
  <c r="P534" i="2"/>
  <c r="O534" i="2"/>
  <c r="N534" i="2"/>
  <c r="M534" i="2"/>
  <c r="L534" i="2"/>
  <c r="K534" i="2"/>
  <c r="J534" i="2"/>
  <c r="I534" i="2"/>
  <c r="H534" i="2"/>
  <c r="G534" i="2"/>
  <c r="F534" i="2"/>
  <c r="E534" i="2"/>
  <c r="D534" i="2"/>
  <c r="C534" i="2"/>
  <c r="B534" i="2"/>
  <c r="A534" i="2"/>
  <c r="FS531" i="2"/>
  <c r="FR531" i="2"/>
  <c r="FQ531" i="2"/>
  <c r="FP531" i="2"/>
  <c r="FO531" i="2"/>
  <c r="FN531" i="2"/>
  <c r="FM531" i="2"/>
  <c r="FL531" i="2"/>
  <c r="FK531" i="2"/>
  <c r="FJ531" i="2"/>
  <c r="FI531" i="2"/>
  <c r="FH531" i="2"/>
  <c r="FG531" i="2"/>
  <c r="FF531" i="2"/>
  <c r="FE531" i="2"/>
  <c r="FD531" i="2"/>
  <c r="FC531" i="2"/>
  <c r="FB531" i="2"/>
  <c r="FA531" i="2"/>
  <c r="EZ531" i="2"/>
  <c r="EY531" i="2"/>
  <c r="EX531" i="2"/>
  <c r="EW531" i="2"/>
  <c r="EV531" i="2"/>
  <c r="EU531" i="2"/>
  <c r="ET531" i="2"/>
  <c r="ES531" i="2"/>
  <c r="ER531" i="2"/>
  <c r="EQ531" i="2"/>
  <c r="EP531" i="2"/>
  <c r="EO531" i="2"/>
  <c r="EN531" i="2"/>
  <c r="EM531" i="2"/>
  <c r="EL531" i="2"/>
  <c r="EK531" i="2"/>
  <c r="EJ531" i="2"/>
  <c r="EI531" i="2"/>
  <c r="EH531" i="2"/>
  <c r="EG531" i="2"/>
  <c r="EF531" i="2"/>
  <c r="EE531" i="2"/>
  <c r="ED531" i="2"/>
  <c r="EC531" i="2"/>
  <c r="EB531" i="2"/>
  <c r="DY531" i="2"/>
  <c r="DX531" i="2"/>
  <c r="DW531" i="2"/>
  <c r="DV531" i="2"/>
  <c r="DU531" i="2"/>
  <c r="DT531" i="2"/>
  <c r="DS531" i="2"/>
  <c r="DR531" i="2"/>
  <c r="DQ531" i="2"/>
  <c r="DP531" i="2"/>
  <c r="DO531" i="2"/>
  <c r="DN531" i="2"/>
  <c r="DM531" i="2"/>
  <c r="DL531" i="2"/>
  <c r="DK531" i="2"/>
  <c r="DJ531" i="2"/>
  <c r="DI531" i="2"/>
  <c r="DH531" i="2"/>
  <c r="DG531" i="2"/>
  <c r="DF531" i="2"/>
  <c r="DE531" i="2"/>
  <c r="DD531" i="2"/>
  <c r="DC531" i="2"/>
  <c r="DB531" i="2"/>
  <c r="DA531" i="2"/>
  <c r="CZ531" i="2"/>
  <c r="CY531" i="2"/>
  <c r="CX531" i="2"/>
  <c r="CW531" i="2"/>
  <c r="CV531" i="2"/>
  <c r="CU531" i="2"/>
  <c r="CT531" i="2"/>
  <c r="CS531" i="2"/>
  <c r="CR531" i="2"/>
  <c r="CQ531" i="2"/>
  <c r="CP531" i="2"/>
  <c r="CO531" i="2"/>
  <c r="CN531" i="2"/>
  <c r="CM531" i="2"/>
  <c r="CL531" i="2"/>
  <c r="CK531" i="2"/>
  <c r="CJ531" i="2"/>
  <c r="CI531" i="2"/>
  <c r="CH531" i="2"/>
  <c r="CG531" i="2"/>
  <c r="CF531" i="2"/>
  <c r="CE531" i="2"/>
  <c r="CD531" i="2"/>
  <c r="CC531" i="2"/>
  <c r="CB531" i="2"/>
  <c r="CA531" i="2"/>
  <c r="BZ531" i="2"/>
  <c r="BY531" i="2"/>
  <c r="BX531" i="2"/>
  <c r="BW531" i="2"/>
  <c r="BV531" i="2"/>
  <c r="BU531" i="2"/>
  <c r="BT531" i="2"/>
  <c r="BS531" i="2"/>
  <c r="BR531" i="2"/>
  <c r="BQ531" i="2"/>
  <c r="BP531" i="2"/>
  <c r="BO531" i="2"/>
  <c r="BN531" i="2"/>
  <c r="BM531" i="2"/>
  <c r="BL531" i="2"/>
  <c r="BK531" i="2"/>
  <c r="BJ531" i="2"/>
  <c r="BI531" i="2"/>
  <c r="BH531" i="2"/>
  <c r="BG531" i="2"/>
  <c r="BF531" i="2"/>
  <c r="BE531" i="2"/>
  <c r="BD531" i="2"/>
  <c r="BC531" i="2"/>
  <c r="BB531" i="2"/>
  <c r="BA531" i="2"/>
  <c r="AZ531" i="2"/>
  <c r="AY531" i="2"/>
  <c r="AX531" i="2"/>
  <c r="AW531" i="2"/>
  <c r="AV531" i="2"/>
  <c r="AU531" i="2"/>
  <c r="AT531" i="2"/>
  <c r="AS531" i="2"/>
  <c r="AR531" i="2"/>
  <c r="AQ531" i="2"/>
  <c r="AP531" i="2"/>
  <c r="AO531" i="2"/>
  <c r="AN531" i="2"/>
  <c r="AM531" i="2"/>
  <c r="AL531" i="2"/>
  <c r="AK531" i="2"/>
  <c r="AJ531" i="2"/>
  <c r="AI531" i="2"/>
  <c r="AH531" i="2"/>
  <c r="AG531" i="2"/>
  <c r="AF531" i="2"/>
  <c r="AE531" i="2"/>
  <c r="AD531" i="2"/>
  <c r="AC531" i="2"/>
  <c r="AB531" i="2"/>
  <c r="AA531" i="2"/>
  <c r="Z531" i="2"/>
  <c r="Y531" i="2"/>
  <c r="X531" i="2"/>
  <c r="W531" i="2"/>
  <c r="V531" i="2"/>
  <c r="U531" i="2"/>
  <c r="T531" i="2"/>
  <c r="S531" i="2"/>
  <c r="R531" i="2"/>
  <c r="Q531" i="2"/>
  <c r="P531" i="2"/>
  <c r="O531" i="2"/>
  <c r="N531" i="2"/>
  <c r="M531" i="2"/>
  <c r="L531" i="2"/>
  <c r="K531" i="2"/>
  <c r="J531" i="2"/>
  <c r="I531" i="2"/>
  <c r="H531" i="2"/>
  <c r="G531" i="2"/>
  <c r="F531" i="2"/>
  <c r="E531" i="2"/>
  <c r="D531" i="2"/>
  <c r="C531" i="2"/>
  <c r="B531" i="2"/>
  <c r="A531" i="2"/>
  <c r="FH528" i="2"/>
  <c r="FG528" i="2"/>
  <c r="FF528" i="2"/>
  <c r="FE528" i="2"/>
  <c r="FD528" i="2"/>
  <c r="FC528" i="2"/>
  <c r="FB528" i="2"/>
  <c r="FA528" i="2"/>
  <c r="EZ528" i="2"/>
  <c r="EY528" i="2"/>
  <c r="EX528" i="2"/>
  <c r="EW528" i="2"/>
  <c r="EV528" i="2"/>
  <c r="EU528" i="2"/>
  <c r="ET528" i="2"/>
  <c r="ES528" i="2"/>
  <c r="ER528" i="2"/>
  <c r="EQ528" i="2"/>
  <c r="EP528" i="2"/>
  <c r="EO528" i="2"/>
  <c r="EN528" i="2"/>
  <c r="EM528" i="2"/>
  <c r="EL528" i="2"/>
  <c r="EK528" i="2"/>
  <c r="EJ528" i="2"/>
  <c r="EI528" i="2"/>
  <c r="EH528" i="2"/>
  <c r="EG528" i="2"/>
  <c r="EF528" i="2"/>
  <c r="EE528" i="2"/>
  <c r="ED528" i="2"/>
  <c r="EC528" i="2"/>
  <c r="EB528" i="2"/>
  <c r="DQ528" i="2"/>
  <c r="DP528" i="2"/>
  <c r="DO528" i="2"/>
  <c r="DN528" i="2"/>
  <c r="DM528" i="2"/>
  <c r="DL528" i="2"/>
  <c r="DK528" i="2"/>
  <c r="DJ528" i="2"/>
  <c r="DI528" i="2"/>
  <c r="DH528" i="2"/>
  <c r="DG528" i="2"/>
  <c r="DF528" i="2"/>
  <c r="DE528" i="2"/>
  <c r="DD528" i="2"/>
  <c r="DC528" i="2"/>
  <c r="DB528" i="2"/>
  <c r="DA528" i="2"/>
  <c r="CZ528" i="2"/>
  <c r="CY528" i="2"/>
  <c r="CX528" i="2"/>
  <c r="CW528" i="2"/>
  <c r="CV528" i="2"/>
  <c r="CU528" i="2"/>
  <c r="CT528" i="2"/>
  <c r="CS528" i="2"/>
  <c r="CR528" i="2"/>
  <c r="CQ528" i="2"/>
  <c r="CP528" i="2"/>
  <c r="CO528" i="2"/>
  <c r="CN528" i="2"/>
  <c r="CM528" i="2"/>
  <c r="CL528" i="2"/>
  <c r="CK528" i="2"/>
  <c r="CJ528" i="2"/>
  <c r="CI528" i="2"/>
  <c r="CH528" i="2"/>
  <c r="CG528" i="2"/>
  <c r="CF528" i="2"/>
  <c r="CE528" i="2"/>
  <c r="CD528" i="2"/>
  <c r="CC528" i="2"/>
  <c r="CB528" i="2"/>
  <c r="CA528" i="2"/>
  <c r="BZ528" i="2"/>
  <c r="BY528" i="2"/>
  <c r="BX528" i="2"/>
  <c r="BW528" i="2"/>
  <c r="BV528" i="2"/>
  <c r="BU528" i="2"/>
  <c r="BT528" i="2"/>
  <c r="BS528" i="2"/>
  <c r="BR528" i="2"/>
  <c r="BQ528" i="2"/>
  <c r="BP528" i="2"/>
  <c r="BO528" i="2"/>
  <c r="BN528" i="2"/>
  <c r="BM528" i="2"/>
  <c r="BL528" i="2"/>
  <c r="BK528" i="2"/>
  <c r="BJ528" i="2"/>
  <c r="BI528" i="2"/>
  <c r="BH528" i="2"/>
  <c r="BG528" i="2"/>
  <c r="BF528" i="2"/>
  <c r="BE528" i="2"/>
  <c r="BD528" i="2"/>
  <c r="BC528" i="2"/>
  <c r="BB528" i="2"/>
  <c r="BA528" i="2"/>
  <c r="AZ528" i="2"/>
  <c r="AY528" i="2"/>
  <c r="AX528" i="2"/>
  <c r="AW528" i="2"/>
  <c r="AV528" i="2"/>
  <c r="AU528" i="2"/>
  <c r="AT528" i="2"/>
  <c r="AS528" i="2"/>
  <c r="AR528" i="2"/>
  <c r="AQ528" i="2"/>
  <c r="AP528" i="2"/>
  <c r="AO528" i="2"/>
  <c r="AN528" i="2"/>
  <c r="AM528" i="2"/>
  <c r="AL528" i="2"/>
  <c r="AK528" i="2"/>
  <c r="AJ528" i="2"/>
  <c r="AI528" i="2"/>
  <c r="AH528" i="2"/>
  <c r="AG528" i="2"/>
  <c r="AF528" i="2"/>
  <c r="AE528" i="2"/>
  <c r="AD528" i="2"/>
  <c r="AC528" i="2"/>
  <c r="AB528" i="2"/>
  <c r="AA528" i="2"/>
  <c r="Z528" i="2"/>
  <c r="Y528" i="2"/>
  <c r="X528" i="2"/>
  <c r="W528" i="2"/>
  <c r="V528" i="2"/>
  <c r="U528" i="2"/>
  <c r="T528" i="2"/>
  <c r="S528" i="2"/>
  <c r="R528" i="2"/>
  <c r="Q528" i="2"/>
  <c r="P528" i="2"/>
  <c r="O528" i="2"/>
  <c r="N528" i="2"/>
  <c r="M528" i="2"/>
  <c r="L528" i="2"/>
  <c r="K528" i="2"/>
  <c r="J528" i="2"/>
  <c r="I528" i="2"/>
  <c r="H528" i="2"/>
  <c r="G528" i="2"/>
  <c r="F528" i="2"/>
  <c r="E528" i="2"/>
  <c r="D528" i="2"/>
  <c r="C528" i="2"/>
  <c r="B528" i="2"/>
  <c r="FH525" i="2"/>
  <c r="FG525" i="2"/>
  <c r="FF525" i="2"/>
  <c r="FE525" i="2"/>
  <c r="FD525" i="2"/>
  <c r="FC525" i="2"/>
  <c r="FB525" i="2"/>
  <c r="FA525" i="2"/>
  <c r="EZ525" i="2"/>
  <c r="EY525" i="2"/>
  <c r="EX525" i="2"/>
  <c r="EW525" i="2"/>
  <c r="EV525" i="2"/>
  <c r="EU525" i="2"/>
  <c r="ET525" i="2"/>
  <c r="ES525" i="2"/>
  <c r="ER525" i="2"/>
  <c r="EQ525" i="2"/>
  <c r="EP525" i="2"/>
  <c r="EO525" i="2"/>
  <c r="EN525" i="2"/>
  <c r="EM525" i="2"/>
  <c r="EL525" i="2"/>
  <c r="EK525" i="2"/>
  <c r="EJ525" i="2"/>
  <c r="EI525" i="2"/>
  <c r="EH525" i="2"/>
  <c r="EG525" i="2"/>
  <c r="EF525" i="2"/>
  <c r="EE525" i="2"/>
  <c r="ED525" i="2"/>
  <c r="EC525" i="2"/>
  <c r="EB525" i="2"/>
  <c r="DQ525" i="2"/>
  <c r="DP525" i="2"/>
  <c r="DO525" i="2"/>
  <c r="DN525" i="2"/>
  <c r="DM525" i="2"/>
  <c r="DL525" i="2"/>
  <c r="DK525" i="2"/>
  <c r="DJ525" i="2"/>
  <c r="DI525" i="2"/>
  <c r="DH525" i="2"/>
  <c r="DG525" i="2"/>
  <c r="DF525" i="2"/>
  <c r="DE525" i="2"/>
  <c r="DD525" i="2"/>
  <c r="DC525" i="2"/>
  <c r="DB525" i="2"/>
  <c r="DA525" i="2"/>
  <c r="CZ525" i="2"/>
  <c r="CY525" i="2"/>
  <c r="CX525" i="2"/>
  <c r="CW525" i="2"/>
  <c r="CV525" i="2"/>
  <c r="CU525" i="2"/>
  <c r="CT525" i="2"/>
  <c r="CS525" i="2"/>
  <c r="CR525" i="2"/>
  <c r="CQ525" i="2"/>
  <c r="CP525" i="2"/>
  <c r="CO525" i="2"/>
  <c r="CN525" i="2"/>
  <c r="CM525" i="2"/>
  <c r="CL525" i="2"/>
  <c r="CK525" i="2"/>
  <c r="CJ525" i="2"/>
  <c r="CI525" i="2"/>
  <c r="CH525" i="2"/>
  <c r="CG525" i="2"/>
  <c r="CF525" i="2"/>
  <c r="CE525" i="2"/>
  <c r="CD525" i="2"/>
  <c r="CC525" i="2"/>
  <c r="CB525" i="2"/>
  <c r="CA525" i="2"/>
  <c r="BZ525" i="2"/>
  <c r="BY525" i="2"/>
  <c r="BX525" i="2"/>
  <c r="BW525" i="2"/>
  <c r="BV525" i="2"/>
  <c r="BU525" i="2"/>
  <c r="BT525" i="2"/>
  <c r="BS525" i="2"/>
  <c r="BR525" i="2"/>
  <c r="BQ525" i="2"/>
  <c r="BP525" i="2"/>
  <c r="BO525" i="2"/>
  <c r="BN525" i="2"/>
  <c r="BM525" i="2"/>
  <c r="BL525" i="2"/>
  <c r="BK525" i="2"/>
  <c r="BJ525" i="2"/>
  <c r="BI525" i="2"/>
  <c r="BH525" i="2"/>
  <c r="BG525" i="2"/>
  <c r="BF525" i="2"/>
  <c r="BE525" i="2"/>
  <c r="BD525" i="2"/>
  <c r="BC525" i="2"/>
  <c r="BB525" i="2"/>
  <c r="BA525" i="2"/>
  <c r="AZ525" i="2"/>
  <c r="AY525" i="2"/>
  <c r="AX525" i="2"/>
  <c r="AW525" i="2"/>
  <c r="AV525" i="2"/>
  <c r="AU525" i="2"/>
  <c r="AT525" i="2"/>
  <c r="AS525" i="2"/>
  <c r="AR525" i="2"/>
  <c r="AQ525" i="2"/>
  <c r="AP525" i="2"/>
  <c r="AO525" i="2"/>
  <c r="AN525" i="2"/>
  <c r="AM525" i="2"/>
  <c r="AL525" i="2"/>
  <c r="AK525" i="2"/>
  <c r="AJ525" i="2"/>
  <c r="AI525" i="2"/>
  <c r="AH525" i="2"/>
  <c r="AG525" i="2"/>
  <c r="AF525" i="2"/>
  <c r="AE525" i="2"/>
  <c r="AD525" i="2"/>
  <c r="AC525" i="2"/>
  <c r="AB525" i="2"/>
  <c r="AA525" i="2"/>
  <c r="Z525" i="2"/>
  <c r="Y525" i="2"/>
  <c r="X525" i="2"/>
  <c r="W525" i="2"/>
  <c r="V525" i="2"/>
  <c r="U525" i="2"/>
  <c r="T525" i="2"/>
  <c r="S525" i="2"/>
  <c r="R525" i="2"/>
  <c r="Q525" i="2"/>
  <c r="P525" i="2"/>
  <c r="O525" i="2"/>
  <c r="N525" i="2"/>
  <c r="M525" i="2"/>
  <c r="L525" i="2"/>
  <c r="K525" i="2"/>
  <c r="J525" i="2"/>
  <c r="I525" i="2"/>
  <c r="H525" i="2"/>
  <c r="G525" i="2"/>
  <c r="F525" i="2"/>
  <c r="E525" i="2"/>
  <c r="D525" i="2"/>
  <c r="C525" i="2"/>
  <c r="B525" i="2"/>
  <c r="A525" i="2"/>
  <c r="FG521" i="2"/>
  <c r="FE521" i="2"/>
  <c r="FC521" i="2"/>
  <c r="FA521" i="2"/>
  <c r="EY521" i="2"/>
  <c r="EW521" i="2"/>
  <c r="EU521" i="2"/>
  <c r="ES521" i="2"/>
  <c r="EQ521" i="2"/>
  <c r="EO521" i="2"/>
  <c r="EM521" i="2"/>
  <c r="EK521" i="2"/>
  <c r="EI521" i="2"/>
  <c r="EG521" i="2"/>
  <c r="EE521" i="2"/>
  <c r="EC521" i="2"/>
  <c r="DP521" i="2"/>
  <c r="DN521" i="2"/>
  <c r="DL521" i="2"/>
  <c r="DJ521" i="2"/>
  <c r="DH521" i="2"/>
  <c r="DF521" i="2"/>
  <c r="DD521" i="2"/>
  <c r="DB521" i="2"/>
  <c r="CZ521" i="2"/>
  <c r="CX521" i="2"/>
  <c r="CV521" i="2"/>
  <c r="CT521" i="2"/>
  <c r="CR521" i="2"/>
  <c r="CP521" i="2"/>
  <c r="CN521" i="2"/>
  <c r="CL521" i="2"/>
  <c r="CJ521" i="2"/>
  <c r="CH521" i="2"/>
  <c r="CF521" i="2"/>
  <c r="CD521" i="2"/>
  <c r="CB521" i="2"/>
  <c r="BZ521" i="2"/>
  <c r="BX521" i="2"/>
  <c r="BV521" i="2"/>
  <c r="BT521" i="2"/>
  <c r="BR521" i="2"/>
  <c r="BP521" i="2"/>
  <c r="BN521" i="2"/>
  <c r="BL521" i="2"/>
  <c r="BJ521" i="2"/>
  <c r="BH521" i="2"/>
  <c r="BF521" i="2"/>
  <c r="BD521" i="2"/>
  <c r="BB521" i="2"/>
  <c r="AZ521" i="2"/>
  <c r="AX521" i="2"/>
  <c r="AV521" i="2"/>
  <c r="AT521" i="2"/>
  <c r="AR521" i="2"/>
  <c r="AP521" i="2"/>
  <c r="AN521" i="2"/>
  <c r="AL521" i="2"/>
  <c r="AJ521" i="2"/>
  <c r="AH521" i="2"/>
  <c r="AF521" i="2"/>
  <c r="AD521" i="2"/>
  <c r="AB521" i="2"/>
  <c r="Z521" i="2"/>
  <c r="X521" i="2"/>
  <c r="V521" i="2"/>
  <c r="T521" i="2"/>
  <c r="R521" i="2"/>
  <c r="P521" i="2"/>
  <c r="N521" i="2"/>
  <c r="L521" i="2"/>
  <c r="J521" i="2"/>
  <c r="H521" i="2"/>
  <c r="F521" i="2"/>
  <c r="D521" i="2"/>
  <c r="B521" i="2"/>
  <c r="FH521" i="2"/>
  <c r="FF521" i="2"/>
  <c r="FD521" i="2"/>
  <c r="FB521" i="2"/>
  <c r="EZ521" i="2"/>
  <c r="EX521" i="2"/>
  <c r="EV521" i="2"/>
  <c r="ET521" i="2"/>
  <c r="ER521" i="2"/>
  <c r="EP521" i="2"/>
  <c r="EN521" i="2"/>
  <c r="EL521" i="2"/>
  <c r="EJ521" i="2"/>
  <c r="EH521" i="2"/>
  <c r="EF521" i="2"/>
  <c r="ED521" i="2"/>
  <c r="EB521" i="2"/>
  <c r="DQ521" i="2"/>
  <c r="DO521" i="2"/>
  <c r="DM521" i="2"/>
  <c r="DK521" i="2"/>
  <c r="DI521" i="2"/>
  <c r="DG521" i="2"/>
  <c r="DE521" i="2"/>
  <c r="DC521" i="2"/>
  <c r="DA521" i="2"/>
  <c r="CY521" i="2"/>
  <c r="CW521" i="2"/>
  <c r="CU521" i="2"/>
  <c r="CS521" i="2"/>
  <c r="CQ521" i="2"/>
  <c r="CO521" i="2"/>
  <c r="CM521" i="2"/>
  <c r="CK521" i="2"/>
  <c r="CI521" i="2"/>
  <c r="CG521" i="2"/>
  <c r="CE521" i="2"/>
  <c r="CC521" i="2"/>
  <c r="CA521" i="2"/>
  <c r="BY521" i="2"/>
  <c r="BW521" i="2"/>
  <c r="BU521" i="2"/>
  <c r="BS521" i="2"/>
  <c r="BQ521" i="2"/>
  <c r="BO521" i="2"/>
  <c r="BM521" i="2"/>
  <c r="BK521" i="2"/>
  <c r="BI521" i="2"/>
  <c r="BG521" i="2"/>
  <c r="BE521" i="2"/>
  <c r="BC521" i="2"/>
  <c r="BA521" i="2"/>
  <c r="AY521" i="2"/>
  <c r="AW521" i="2"/>
  <c r="AU521" i="2"/>
  <c r="AS521" i="2"/>
  <c r="AQ521" i="2"/>
  <c r="AO521" i="2"/>
  <c r="AM521" i="2"/>
  <c r="AK521" i="2"/>
  <c r="AI521" i="2"/>
  <c r="AG521" i="2"/>
  <c r="AE521" i="2"/>
  <c r="AC521" i="2"/>
  <c r="AA521" i="2"/>
  <c r="Y521" i="2"/>
  <c r="W521" i="2"/>
  <c r="U521" i="2"/>
  <c r="S521" i="2"/>
  <c r="Q521" i="2"/>
  <c r="O521" i="2"/>
  <c r="M521" i="2"/>
  <c r="K521" i="2"/>
  <c r="I521" i="2"/>
  <c r="G521" i="2"/>
  <c r="E521" i="2"/>
  <c r="C521" i="2"/>
  <c r="DQ519" i="2"/>
  <c r="DP519" i="2"/>
  <c r="DO519" i="2"/>
  <c r="DN519" i="2"/>
  <c r="DM519" i="2"/>
  <c r="DL519" i="2"/>
  <c r="DK519" i="2"/>
  <c r="DJ519" i="2"/>
  <c r="DI519" i="2"/>
  <c r="DH519" i="2"/>
  <c r="DG519" i="2"/>
  <c r="DF519" i="2"/>
  <c r="DE519" i="2"/>
  <c r="DD519" i="2"/>
  <c r="DC519" i="2"/>
  <c r="DB519" i="2"/>
  <c r="DA519" i="2"/>
  <c r="CZ519" i="2"/>
  <c r="CY519" i="2"/>
  <c r="CX519" i="2"/>
  <c r="CW519" i="2"/>
  <c r="CV519" i="2"/>
  <c r="CU519" i="2"/>
  <c r="CT519" i="2"/>
  <c r="CS519" i="2"/>
  <c r="CR519" i="2"/>
  <c r="CQ519" i="2"/>
  <c r="CP519" i="2"/>
  <c r="CO519" i="2"/>
  <c r="CN519" i="2"/>
  <c r="CM519" i="2"/>
  <c r="CL519" i="2"/>
  <c r="CK519" i="2"/>
  <c r="CJ519" i="2"/>
  <c r="CI519" i="2"/>
  <c r="CH519" i="2"/>
  <c r="CG519" i="2"/>
  <c r="CF519" i="2"/>
  <c r="CE519" i="2"/>
  <c r="CD519" i="2"/>
  <c r="CC519" i="2"/>
  <c r="CB519" i="2"/>
  <c r="CA519" i="2"/>
  <c r="BZ519" i="2"/>
  <c r="BY519" i="2"/>
  <c r="BX519" i="2"/>
  <c r="BW519" i="2"/>
  <c r="BV519" i="2"/>
  <c r="BU519" i="2"/>
  <c r="BT519" i="2"/>
  <c r="BS519" i="2"/>
  <c r="BR519" i="2"/>
  <c r="BQ519" i="2"/>
  <c r="BP519" i="2"/>
  <c r="BO519" i="2"/>
  <c r="BN519" i="2"/>
  <c r="BM519" i="2"/>
  <c r="BL519" i="2"/>
  <c r="BK519" i="2"/>
  <c r="BJ519" i="2"/>
  <c r="BI519" i="2"/>
  <c r="BH519" i="2"/>
  <c r="BG519" i="2"/>
  <c r="BF519" i="2"/>
  <c r="BE519" i="2"/>
  <c r="BD519" i="2"/>
  <c r="BC519" i="2"/>
  <c r="BB519" i="2"/>
  <c r="BA519" i="2"/>
  <c r="AZ519" i="2"/>
  <c r="AY519" i="2"/>
  <c r="AX519" i="2"/>
  <c r="AW519" i="2"/>
  <c r="AV519" i="2"/>
  <c r="AU519" i="2"/>
  <c r="AT519" i="2"/>
  <c r="AS519" i="2"/>
  <c r="AR519" i="2"/>
  <c r="AQ519" i="2"/>
  <c r="AP519" i="2"/>
  <c r="AO519" i="2"/>
  <c r="AN519" i="2"/>
  <c r="AM519" i="2"/>
  <c r="AL519" i="2"/>
  <c r="AK519" i="2"/>
  <c r="AJ519" i="2"/>
  <c r="AI519" i="2"/>
  <c r="AH519" i="2"/>
  <c r="AG519" i="2"/>
  <c r="AF519" i="2"/>
  <c r="AE519" i="2"/>
  <c r="AD519" i="2"/>
  <c r="AC519" i="2"/>
  <c r="AB519" i="2"/>
  <c r="AA519" i="2"/>
  <c r="Z519" i="2"/>
  <c r="Y519" i="2"/>
  <c r="X519" i="2"/>
  <c r="W519" i="2"/>
  <c r="V519" i="2"/>
  <c r="U519" i="2"/>
  <c r="T519" i="2"/>
  <c r="S519" i="2"/>
  <c r="R519" i="2"/>
  <c r="Q519" i="2"/>
  <c r="P519" i="2"/>
  <c r="O519" i="2"/>
  <c r="N519" i="2"/>
  <c r="M519" i="2"/>
  <c r="L519" i="2"/>
  <c r="K519" i="2"/>
  <c r="J519" i="2"/>
  <c r="I519" i="2"/>
  <c r="H519" i="2"/>
  <c r="G519" i="2"/>
  <c r="F519" i="2"/>
  <c r="E519" i="2"/>
  <c r="D519" i="2"/>
  <c r="C519" i="2"/>
  <c r="B519" i="2"/>
  <c r="A519" i="2"/>
  <c r="DY518" i="2"/>
  <c r="DX518" i="2"/>
  <c r="DW518" i="2"/>
  <c r="DV518" i="2"/>
  <c r="DU518" i="2"/>
  <c r="DT518" i="2"/>
  <c r="DS518" i="2"/>
  <c r="DR518" i="2"/>
  <c r="DQ518" i="2"/>
  <c r="DP518" i="2"/>
  <c r="DO518" i="2"/>
  <c r="DN518" i="2"/>
  <c r="DM518" i="2"/>
  <c r="DL518" i="2"/>
  <c r="DK518" i="2"/>
  <c r="DJ518" i="2"/>
  <c r="DI518" i="2"/>
  <c r="DH518" i="2"/>
  <c r="DG518" i="2"/>
  <c r="DF518" i="2"/>
  <c r="DE518" i="2"/>
  <c r="DD518" i="2"/>
  <c r="DC518" i="2"/>
  <c r="DB518" i="2"/>
  <c r="DA518" i="2"/>
  <c r="CZ518" i="2"/>
  <c r="CY518" i="2"/>
  <c r="CX518" i="2"/>
  <c r="CW518" i="2"/>
  <c r="CV518" i="2"/>
  <c r="CU518" i="2"/>
  <c r="CT518" i="2"/>
  <c r="CS518" i="2"/>
  <c r="CR518" i="2"/>
  <c r="CQ518" i="2"/>
  <c r="CP518" i="2"/>
  <c r="CO518" i="2"/>
  <c r="CN518" i="2"/>
  <c r="CM518" i="2"/>
  <c r="CL518" i="2"/>
  <c r="CK518" i="2"/>
  <c r="CJ518" i="2"/>
  <c r="CI518" i="2"/>
  <c r="CH518" i="2"/>
  <c r="CG518" i="2"/>
  <c r="CF518" i="2"/>
  <c r="CE518" i="2"/>
  <c r="CD518" i="2"/>
  <c r="CC518" i="2"/>
  <c r="CB518" i="2"/>
  <c r="CA518" i="2"/>
  <c r="BZ518" i="2"/>
  <c r="BY518" i="2"/>
  <c r="BX518" i="2"/>
  <c r="BW518" i="2"/>
  <c r="BV518" i="2"/>
  <c r="BU518" i="2"/>
  <c r="BT518" i="2"/>
  <c r="BS518" i="2"/>
  <c r="BR518" i="2"/>
  <c r="BQ518" i="2"/>
  <c r="BP518" i="2"/>
  <c r="BO518" i="2"/>
  <c r="BN518" i="2"/>
  <c r="BM518" i="2"/>
  <c r="BL518" i="2"/>
  <c r="BK518" i="2"/>
  <c r="BJ518" i="2"/>
  <c r="BI518" i="2"/>
  <c r="BH518" i="2"/>
  <c r="BG518" i="2"/>
  <c r="BF518" i="2"/>
  <c r="BE518" i="2"/>
  <c r="BD518" i="2"/>
  <c r="BC518" i="2"/>
  <c r="BB518" i="2"/>
  <c r="BA518" i="2"/>
  <c r="AZ518" i="2"/>
  <c r="AY518" i="2"/>
  <c r="AX518" i="2"/>
  <c r="AW518" i="2"/>
  <c r="AV518" i="2"/>
  <c r="AU518" i="2"/>
  <c r="AT518" i="2"/>
  <c r="AS518" i="2"/>
  <c r="AR518" i="2"/>
  <c r="AQ518" i="2"/>
  <c r="AP518" i="2"/>
  <c r="AO518" i="2"/>
  <c r="AN518" i="2"/>
  <c r="AM518" i="2"/>
  <c r="AL518" i="2"/>
  <c r="AK518" i="2"/>
  <c r="AJ518" i="2"/>
  <c r="AI518" i="2"/>
  <c r="AH518" i="2"/>
  <c r="AG518" i="2"/>
  <c r="AF518" i="2"/>
  <c r="AE518" i="2"/>
  <c r="AD518" i="2"/>
  <c r="AC518" i="2"/>
  <c r="AB518" i="2"/>
  <c r="AA518" i="2"/>
  <c r="Z518" i="2"/>
  <c r="Y518" i="2"/>
  <c r="X518" i="2"/>
  <c r="W518" i="2"/>
  <c r="V518" i="2"/>
  <c r="U518" i="2"/>
  <c r="T518" i="2"/>
  <c r="S518" i="2"/>
  <c r="R518" i="2"/>
  <c r="Q518" i="2"/>
  <c r="P518" i="2"/>
  <c r="O518" i="2"/>
  <c r="N518" i="2"/>
  <c r="M518" i="2"/>
  <c r="L518" i="2"/>
  <c r="K518" i="2"/>
  <c r="J518" i="2"/>
  <c r="I518" i="2"/>
  <c r="H518" i="2"/>
  <c r="G518" i="2"/>
  <c r="F518" i="2"/>
  <c r="E518" i="2"/>
  <c r="D518" i="2"/>
  <c r="C518" i="2"/>
  <c r="B518" i="2"/>
  <c r="A518" i="2"/>
  <c r="DY517" i="2"/>
  <c r="DX517" i="2"/>
  <c r="DW517" i="2"/>
  <c r="DV517" i="2"/>
  <c r="DU517" i="2"/>
  <c r="DT517" i="2"/>
  <c r="DS517" i="2"/>
  <c r="DR517" i="2"/>
  <c r="DQ517" i="2"/>
  <c r="DP517" i="2"/>
  <c r="DO517" i="2"/>
  <c r="DN517" i="2"/>
  <c r="DM517" i="2"/>
  <c r="DL517" i="2"/>
  <c r="DK517" i="2"/>
  <c r="DJ517" i="2"/>
  <c r="DI517" i="2"/>
  <c r="DH517" i="2"/>
  <c r="DG517" i="2"/>
  <c r="DF517" i="2"/>
  <c r="DE517" i="2"/>
  <c r="DD517" i="2"/>
  <c r="DC517" i="2"/>
  <c r="DB517" i="2"/>
  <c r="DA517" i="2"/>
  <c r="CZ517" i="2"/>
  <c r="CY517" i="2"/>
  <c r="CX517" i="2"/>
  <c r="CW517" i="2"/>
  <c r="CV517" i="2"/>
  <c r="CU517" i="2"/>
  <c r="CT517" i="2"/>
  <c r="CS517" i="2"/>
  <c r="CR517" i="2"/>
  <c r="CQ517" i="2"/>
  <c r="CP517" i="2"/>
  <c r="CO517" i="2"/>
  <c r="CN517" i="2"/>
  <c r="CM517" i="2"/>
  <c r="CL517" i="2"/>
  <c r="CK517" i="2"/>
  <c r="CJ517" i="2"/>
  <c r="CI517" i="2"/>
  <c r="CH517" i="2"/>
  <c r="CG517" i="2"/>
  <c r="CF517" i="2"/>
  <c r="CE517" i="2"/>
  <c r="CD517" i="2"/>
  <c r="CC517" i="2"/>
  <c r="CB517" i="2"/>
  <c r="CA517" i="2"/>
  <c r="BZ517" i="2"/>
  <c r="BY517" i="2"/>
  <c r="BX517" i="2"/>
  <c r="BW517" i="2"/>
  <c r="BV517" i="2"/>
  <c r="BU517" i="2"/>
  <c r="BT517" i="2"/>
  <c r="BS517" i="2"/>
  <c r="BR517" i="2"/>
  <c r="BQ517" i="2"/>
  <c r="BP517" i="2"/>
  <c r="BO517" i="2"/>
  <c r="BN517" i="2"/>
  <c r="BM517" i="2"/>
  <c r="BL517" i="2"/>
  <c r="BK517" i="2"/>
  <c r="BJ517" i="2"/>
  <c r="BI517" i="2"/>
  <c r="BH517" i="2"/>
  <c r="BG517" i="2"/>
  <c r="BF517" i="2"/>
  <c r="BE517" i="2"/>
  <c r="BD517" i="2"/>
  <c r="BC517" i="2"/>
  <c r="BB517" i="2"/>
  <c r="BA517" i="2"/>
  <c r="AZ517" i="2"/>
  <c r="AY517" i="2"/>
  <c r="AX517" i="2"/>
  <c r="AW517" i="2"/>
  <c r="AV517" i="2"/>
  <c r="AU517" i="2"/>
  <c r="AT517" i="2"/>
  <c r="AS517" i="2"/>
  <c r="AR517" i="2"/>
  <c r="AQ517" i="2"/>
  <c r="AP517" i="2"/>
  <c r="AO517" i="2"/>
  <c r="AN517" i="2"/>
  <c r="AM517" i="2"/>
  <c r="AL517" i="2"/>
  <c r="AK517" i="2"/>
  <c r="AJ517" i="2"/>
  <c r="AI517" i="2"/>
  <c r="AH517" i="2"/>
  <c r="AG517" i="2"/>
  <c r="AF517" i="2"/>
  <c r="AE517" i="2"/>
  <c r="AD517" i="2"/>
  <c r="AC517" i="2"/>
  <c r="AB517" i="2"/>
  <c r="AA517" i="2"/>
  <c r="Z517" i="2"/>
  <c r="Y517" i="2"/>
  <c r="X517" i="2"/>
  <c r="W517" i="2"/>
  <c r="V517" i="2"/>
  <c r="U517" i="2"/>
  <c r="T517" i="2"/>
  <c r="S517" i="2"/>
  <c r="R517" i="2"/>
  <c r="Q517" i="2"/>
  <c r="P517" i="2"/>
  <c r="O517" i="2"/>
  <c r="N517" i="2"/>
  <c r="M517" i="2"/>
  <c r="L517" i="2"/>
  <c r="K517" i="2"/>
  <c r="J517" i="2"/>
  <c r="I517" i="2"/>
  <c r="H517" i="2"/>
  <c r="G517" i="2"/>
  <c r="F517" i="2"/>
  <c r="E517" i="2"/>
  <c r="D517" i="2"/>
  <c r="C517" i="2"/>
  <c r="B517" i="2"/>
  <c r="A517" i="2"/>
  <c r="DY516" i="2"/>
  <c r="DX516" i="2"/>
  <c r="DW516" i="2"/>
  <c r="DV516" i="2"/>
  <c r="DU516" i="2"/>
  <c r="DT516" i="2"/>
  <c r="DS516" i="2"/>
  <c r="DR516" i="2"/>
  <c r="DQ516" i="2"/>
  <c r="DP516" i="2"/>
  <c r="DO516" i="2"/>
  <c r="DN516" i="2"/>
  <c r="DM516" i="2"/>
  <c r="DL516" i="2"/>
  <c r="DK516" i="2"/>
  <c r="DJ516" i="2"/>
  <c r="DI516" i="2"/>
  <c r="DH516" i="2"/>
  <c r="DG516" i="2"/>
  <c r="DF516" i="2"/>
  <c r="DE516" i="2"/>
  <c r="DD516" i="2"/>
  <c r="DC516" i="2"/>
  <c r="DB516" i="2"/>
  <c r="DA516" i="2"/>
  <c r="CZ516" i="2"/>
  <c r="CY516" i="2"/>
  <c r="CX516" i="2"/>
  <c r="CW516" i="2"/>
  <c r="CV516" i="2"/>
  <c r="CU516" i="2"/>
  <c r="CT516" i="2"/>
  <c r="CS516" i="2"/>
  <c r="CR516" i="2"/>
  <c r="CQ516" i="2"/>
  <c r="CP516" i="2"/>
  <c r="CO516" i="2"/>
  <c r="CN516" i="2"/>
  <c r="CM516" i="2"/>
  <c r="CL516" i="2"/>
  <c r="CK516" i="2"/>
  <c r="CJ516" i="2"/>
  <c r="CI516" i="2"/>
  <c r="CH516" i="2"/>
  <c r="CG516" i="2"/>
  <c r="CF516" i="2"/>
  <c r="CE516" i="2"/>
  <c r="CD516" i="2"/>
  <c r="CC516" i="2"/>
  <c r="CB516" i="2"/>
  <c r="CA516" i="2"/>
  <c r="BZ516" i="2"/>
  <c r="BY516" i="2"/>
  <c r="BX516" i="2"/>
  <c r="BW516" i="2"/>
  <c r="BV516" i="2"/>
  <c r="BU516" i="2"/>
  <c r="BT516" i="2"/>
  <c r="BS516" i="2"/>
  <c r="BR516" i="2"/>
  <c r="BQ516" i="2"/>
  <c r="BP516" i="2"/>
  <c r="BO516" i="2"/>
  <c r="BN516" i="2"/>
  <c r="BM516" i="2"/>
  <c r="BL516" i="2"/>
  <c r="BK516" i="2"/>
  <c r="BJ516" i="2"/>
  <c r="BI516" i="2"/>
  <c r="BH516" i="2"/>
  <c r="BG516" i="2"/>
  <c r="BF516" i="2"/>
  <c r="BE516" i="2"/>
  <c r="BD516" i="2"/>
  <c r="BC516" i="2"/>
  <c r="BB516" i="2"/>
  <c r="BA516" i="2"/>
  <c r="AZ516" i="2"/>
  <c r="AY516" i="2"/>
  <c r="AX516" i="2"/>
  <c r="AW516" i="2"/>
  <c r="AV516" i="2"/>
  <c r="AU516" i="2"/>
  <c r="AT516" i="2"/>
  <c r="AS516" i="2"/>
  <c r="AR516" i="2"/>
  <c r="AQ516" i="2"/>
  <c r="AP516" i="2"/>
  <c r="AO516" i="2"/>
  <c r="AN516" i="2"/>
  <c r="AM516" i="2"/>
  <c r="AL516" i="2"/>
  <c r="AK516" i="2"/>
  <c r="AJ516" i="2"/>
  <c r="AI516" i="2"/>
  <c r="AH516" i="2"/>
  <c r="AG516" i="2"/>
  <c r="AF516" i="2"/>
  <c r="AE516" i="2"/>
  <c r="AD516" i="2"/>
  <c r="AC516" i="2"/>
  <c r="AB516" i="2"/>
  <c r="AA516" i="2"/>
  <c r="Z516" i="2"/>
  <c r="Y516" i="2"/>
  <c r="X516" i="2"/>
  <c r="W516" i="2"/>
  <c r="V516" i="2"/>
  <c r="U516" i="2"/>
  <c r="T516" i="2"/>
  <c r="S516" i="2"/>
  <c r="R516" i="2"/>
  <c r="Q516" i="2"/>
  <c r="P516" i="2"/>
  <c r="O516" i="2"/>
  <c r="N516" i="2"/>
  <c r="M516" i="2"/>
  <c r="L516" i="2"/>
  <c r="K516" i="2"/>
  <c r="J516" i="2"/>
  <c r="I516" i="2"/>
  <c r="H516" i="2"/>
  <c r="G516" i="2"/>
  <c r="F516" i="2"/>
  <c r="E516" i="2"/>
  <c r="D516" i="2"/>
  <c r="C516" i="2"/>
  <c r="B516" i="2"/>
  <c r="A516" i="2"/>
  <c r="DY515" i="2"/>
  <c r="DX515" i="2"/>
  <c r="DW515" i="2"/>
  <c r="DV515" i="2"/>
  <c r="DU515" i="2"/>
  <c r="DT515" i="2"/>
  <c r="DS515" i="2"/>
  <c r="DR515" i="2"/>
  <c r="DQ515" i="2"/>
  <c r="DP515" i="2"/>
  <c r="DO515" i="2"/>
  <c r="DN515" i="2"/>
  <c r="DM515" i="2"/>
  <c r="DL515" i="2"/>
  <c r="DK515" i="2"/>
  <c r="DJ515" i="2"/>
  <c r="DI515" i="2"/>
  <c r="DH515" i="2"/>
  <c r="DG515" i="2"/>
  <c r="DF515" i="2"/>
  <c r="DE515" i="2"/>
  <c r="DD515" i="2"/>
  <c r="DC515" i="2"/>
  <c r="DB515" i="2"/>
  <c r="DA515" i="2"/>
  <c r="CZ515" i="2"/>
  <c r="CY515" i="2"/>
  <c r="CX515" i="2"/>
  <c r="CW515" i="2"/>
  <c r="CV515" i="2"/>
  <c r="CU515" i="2"/>
  <c r="CT515" i="2"/>
  <c r="CS515" i="2"/>
  <c r="CR515" i="2"/>
  <c r="CQ515" i="2"/>
  <c r="CP515" i="2"/>
  <c r="CO515" i="2"/>
  <c r="CN515" i="2"/>
  <c r="CM515" i="2"/>
  <c r="CL515" i="2"/>
  <c r="CK515" i="2"/>
  <c r="CJ515" i="2"/>
  <c r="CI515" i="2"/>
  <c r="CH515" i="2"/>
  <c r="CG515" i="2"/>
  <c r="CF515" i="2"/>
  <c r="CE515" i="2"/>
  <c r="CD515" i="2"/>
  <c r="CC515" i="2"/>
  <c r="CB515" i="2"/>
  <c r="CA515" i="2"/>
  <c r="BZ515" i="2"/>
  <c r="BY515" i="2"/>
  <c r="BX515" i="2"/>
  <c r="BW515" i="2"/>
  <c r="BV515" i="2"/>
  <c r="BU515" i="2"/>
  <c r="BT515" i="2"/>
  <c r="BS515" i="2"/>
  <c r="BR515" i="2"/>
  <c r="BQ515" i="2"/>
  <c r="BP515" i="2"/>
  <c r="BO515" i="2"/>
  <c r="BN515" i="2"/>
  <c r="BM515" i="2"/>
  <c r="BL515" i="2"/>
  <c r="BK515" i="2"/>
  <c r="BJ515" i="2"/>
  <c r="BI515" i="2"/>
  <c r="BH515" i="2"/>
  <c r="BG515" i="2"/>
  <c r="BF515" i="2"/>
  <c r="BE515" i="2"/>
  <c r="BD515" i="2"/>
  <c r="BC515" i="2"/>
  <c r="BB515" i="2"/>
  <c r="BA515" i="2"/>
  <c r="AZ515" i="2"/>
  <c r="AY515" i="2"/>
  <c r="AX515" i="2"/>
  <c r="AW515" i="2"/>
  <c r="AV515" i="2"/>
  <c r="AU515" i="2"/>
  <c r="AT515" i="2"/>
  <c r="AS515" i="2"/>
  <c r="AR515" i="2"/>
  <c r="AQ515" i="2"/>
  <c r="AP515" i="2"/>
  <c r="AO515" i="2"/>
  <c r="AN515" i="2"/>
  <c r="AM515" i="2"/>
  <c r="AL515" i="2"/>
  <c r="AK515" i="2"/>
  <c r="AJ515" i="2"/>
  <c r="AI515" i="2"/>
  <c r="AH515" i="2"/>
  <c r="AG515" i="2"/>
  <c r="AF515" i="2"/>
  <c r="AE515" i="2"/>
  <c r="AD515" i="2"/>
  <c r="AC515" i="2"/>
  <c r="AB515" i="2"/>
  <c r="AA515" i="2"/>
  <c r="Z515" i="2"/>
  <c r="Y515" i="2"/>
  <c r="X515" i="2"/>
  <c r="W515" i="2"/>
  <c r="V515" i="2"/>
  <c r="U515" i="2"/>
  <c r="T515" i="2"/>
  <c r="S515" i="2"/>
  <c r="R515" i="2"/>
  <c r="Q515" i="2"/>
  <c r="P515" i="2"/>
  <c r="O515" i="2"/>
  <c r="N515" i="2"/>
  <c r="M515" i="2"/>
  <c r="L515" i="2"/>
  <c r="K515" i="2"/>
  <c r="J515" i="2"/>
  <c r="I515" i="2"/>
  <c r="H515" i="2"/>
  <c r="G515" i="2"/>
  <c r="F515" i="2"/>
  <c r="E515" i="2"/>
  <c r="D515" i="2"/>
  <c r="C515" i="2"/>
  <c r="B515" i="2"/>
  <c r="A515" i="2"/>
  <c r="DQ514" i="2"/>
  <c r="DP514" i="2"/>
  <c r="DO514" i="2"/>
  <c r="DN514" i="2"/>
  <c r="DM514" i="2"/>
  <c r="DL514" i="2"/>
  <c r="DK514" i="2"/>
  <c r="DJ514" i="2"/>
  <c r="DI514" i="2"/>
  <c r="DH514" i="2"/>
  <c r="DG514" i="2"/>
  <c r="DF514" i="2"/>
  <c r="DE514" i="2"/>
  <c r="DD514" i="2"/>
  <c r="DC514" i="2"/>
  <c r="DB514" i="2"/>
  <c r="DA514" i="2"/>
  <c r="CZ514" i="2"/>
  <c r="CY514" i="2"/>
  <c r="CX514" i="2"/>
  <c r="CW514" i="2"/>
  <c r="CV514" i="2"/>
  <c r="CU514" i="2"/>
  <c r="CT514" i="2"/>
  <c r="CS514" i="2"/>
  <c r="CR514" i="2"/>
  <c r="CQ514" i="2"/>
  <c r="CP514" i="2"/>
  <c r="CO514" i="2"/>
  <c r="CN514" i="2"/>
  <c r="CM514" i="2"/>
  <c r="CL514" i="2"/>
  <c r="CK514" i="2"/>
  <c r="CJ514" i="2"/>
  <c r="CI514" i="2"/>
  <c r="CH514" i="2"/>
  <c r="CG514" i="2"/>
  <c r="CF514" i="2"/>
  <c r="CE514" i="2"/>
  <c r="CD514" i="2"/>
  <c r="CC514" i="2"/>
  <c r="CB514" i="2"/>
  <c r="CA514" i="2"/>
  <c r="BZ514" i="2"/>
  <c r="BY514" i="2"/>
  <c r="BX514" i="2"/>
  <c r="BW514" i="2"/>
  <c r="BV514" i="2"/>
  <c r="BU514" i="2"/>
  <c r="BT514" i="2"/>
  <c r="BS514" i="2"/>
  <c r="BR514" i="2"/>
  <c r="BQ514" i="2"/>
  <c r="BP514" i="2"/>
  <c r="BO514" i="2"/>
  <c r="BN514" i="2"/>
  <c r="BM514" i="2"/>
  <c r="BL514" i="2"/>
  <c r="BK514" i="2"/>
  <c r="BJ514" i="2"/>
  <c r="BI514" i="2"/>
  <c r="BH514" i="2"/>
  <c r="BG514" i="2"/>
  <c r="BF514" i="2"/>
  <c r="BE514" i="2"/>
  <c r="BD514" i="2"/>
  <c r="BC514" i="2"/>
  <c r="BB514" i="2"/>
  <c r="BA514" i="2"/>
  <c r="AZ514" i="2"/>
  <c r="AY514" i="2"/>
  <c r="AX514" i="2"/>
  <c r="AW514" i="2"/>
  <c r="AV514" i="2"/>
  <c r="AU514" i="2"/>
  <c r="AT514" i="2"/>
  <c r="AS514" i="2"/>
  <c r="AR514" i="2"/>
  <c r="AQ514" i="2"/>
  <c r="AP514" i="2"/>
  <c r="AO514" i="2"/>
  <c r="AN514" i="2"/>
  <c r="AM514" i="2"/>
  <c r="AL514" i="2"/>
  <c r="AK514" i="2"/>
  <c r="AJ514" i="2"/>
  <c r="AI514" i="2"/>
  <c r="AH514" i="2"/>
  <c r="AG514" i="2"/>
  <c r="AF514" i="2"/>
  <c r="AE514" i="2"/>
  <c r="AD514" i="2"/>
  <c r="AC514" i="2"/>
  <c r="AB514" i="2"/>
  <c r="AA514" i="2"/>
  <c r="Z514" i="2"/>
  <c r="Y514" i="2"/>
  <c r="X514" i="2"/>
  <c r="W514" i="2"/>
  <c r="V514" i="2"/>
  <c r="U514" i="2"/>
  <c r="T514" i="2"/>
  <c r="S514" i="2"/>
  <c r="R514" i="2"/>
  <c r="Q514" i="2"/>
  <c r="P514" i="2"/>
  <c r="O514" i="2"/>
  <c r="N514" i="2"/>
  <c r="M514" i="2"/>
  <c r="L514" i="2"/>
  <c r="K514" i="2"/>
  <c r="J514" i="2"/>
  <c r="I514" i="2"/>
  <c r="H514" i="2"/>
  <c r="G514" i="2"/>
  <c r="F514" i="2"/>
  <c r="E514" i="2"/>
  <c r="D514" i="2"/>
  <c r="C514" i="2"/>
  <c r="B514" i="2"/>
  <c r="A514" i="2"/>
  <c r="FH519" i="2"/>
  <c r="FG519" i="2"/>
  <c r="FF519" i="2"/>
  <c r="FE519" i="2"/>
  <c r="FD519" i="2"/>
  <c r="FC519" i="2"/>
  <c r="FB519" i="2"/>
  <c r="FA519" i="2"/>
  <c r="EZ519" i="2"/>
  <c r="EY519" i="2"/>
  <c r="EX519" i="2"/>
  <c r="EW519" i="2"/>
  <c r="EV519" i="2"/>
  <c r="EU519" i="2"/>
  <c r="ET519" i="2"/>
  <c r="ES519" i="2"/>
  <c r="ER519" i="2"/>
  <c r="EQ519" i="2"/>
  <c r="EP519" i="2"/>
  <c r="EO519" i="2"/>
  <c r="EN519" i="2"/>
  <c r="EM519" i="2"/>
  <c r="EL519" i="2"/>
  <c r="EK519" i="2"/>
  <c r="EJ519" i="2"/>
  <c r="EI519" i="2"/>
  <c r="EH519" i="2"/>
  <c r="EG519" i="2"/>
  <c r="EF519" i="2"/>
  <c r="EE519" i="2"/>
  <c r="ED519" i="2"/>
  <c r="EC519" i="2"/>
  <c r="EB519" i="2"/>
  <c r="FJ518" i="2"/>
  <c r="FI518" i="2"/>
  <c r="FH518" i="2"/>
  <c r="FG518" i="2"/>
  <c r="FF518" i="2"/>
  <c r="FE518" i="2"/>
  <c r="FD518" i="2"/>
  <c r="FC518" i="2"/>
  <c r="FB518" i="2"/>
  <c r="FA518" i="2"/>
  <c r="EZ518" i="2"/>
  <c r="EY518" i="2"/>
  <c r="EX518" i="2"/>
  <c r="EW518" i="2"/>
  <c r="EV518" i="2"/>
  <c r="EU518" i="2"/>
  <c r="ET518" i="2"/>
  <c r="ES518" i="2"/>
  <c r="ER518" i="2"/>
  <c r="EQ518" i="2"/>
  <c r="EP518" i="2"/>
  <c r="EO518" i="2"/>
  <c r="EN518" i="2"/>
  <c r="EM518" i="2"/>
  <c r="EL518" i="2"/>
  <c r="EK518" i="2"/>
  <c r="EJ518" i="2"/>
  <c r="EI518" i="2"/>
  <c r="EH518" i="2"/>
  <c r="EG518" i="2"/>
  <c r="EF518" i="2"/>
  <c r="EE518" i="2"/>
  <c r="ED518" i="2"/>
  <c r="EC518" i="2"/>
  <c r="EB518" i="2"/>
  <c r="FJ517" i="2"/>
  <c r="FI517" i="2"/>
  <c r="FH517" i="2"/>
  <c r="FG517" i="2"/>
  <c r="FF517" i="2"/>
  <c r="FE517" i="2"/>
  <c r="FD517" i="2"/>
  <c r="FC517" i="2"/>
  <c r="FB517" i="2"/>
  <c r="FA517" i="2"/>
  <c r="EZ517" i="2"/>
  <c r="EY517" i="2"/>
  <c r="EX517" i="2"/>
  <c r="EW517" i="2"/>
  <c r="EV517" i="2"/>
  <c r="EU517" i="2"/>
  <c r="ET517" i="2"/>
  <c r="ES517" i="2"/>
  <c r="ER517" i="2"/>
  <c r="EQ517" i="2"/>
  <c r="EP517" i="2"/>
  <c r="EO517" i="2"/>
  <c r="EN517" i="2"/>
  <c r="EM517" i="2"/>
  <c r="EL517" i="2"/>
  <c r="EK517" i="2"/>
  <c r="EJ517" i="2"/>
  <c r="EI517" i="2"/>
  <c r="EH517" i="2"/>
  <c r="EG517" i="2"/>
  <c r="EF517" i="2"/>
  <c r="EE517" i="2"/>
  <c r="ED517" i="2"/>
  <c r="EC517" i="2"/>
  <c r="EB517" i="2"/>
  <c r="FS516" i="2"/>
  <c r="FR516" i="2"/>
  <c r="FQ516" i="2"/>
  <c r="FP516" i="2"/>
  <c r="FO516" i="2"/>
  <c r="FN516" i="2"/>
  <c r="FM516" i="2"/>
  <c r="FL516" i="2"/>
  <c r="FK516" i="2"/>
  <c r="FJ516" i="2"/>
  <c r="FI516" i="2"/>
  <c r="FH516" i="2"/>
  <c r="FG516" i="2"/>
  <c r="FF516" i="2"/>
  <c r="FE516" i="2"/>
  <c r="FD516" i="2"/>
  <c r="FC516" i="2"/>
  <c r="FB516" i="2"/>
  <c r="FA516" i="2"/>
  <c r="EZ516" i="2"/>
  <c r="EY516" i="2"/>
  <c r="EX516" i="2"/>
  <c r="EW516" i="2"/>
  <c r="EV516" i="2"/>
  <c r="EU516" i="2"/>
  <c r="ET516" i="2"/>
  <c r="ES516" i="2"/>
  <c r="ER516" i="2"/>
  <c r="EQ516" i="2"/>
  <c r="EP516" i="2"/>
  <c r="EO516" i="2"/>
  <c r="EN516" i="2"/>
  <c r="EM516" i="2"/>
  <c r="EL516" i="2"/>
  <c r="EK516" i="2"/>
  <c r="EJ516" i="2"/>
  <c r="EI516" i="2"/>
  <c r="EH516" i="2"/>
  <c r="EG516" i="2"/>
  <c r="EF516" i="2"/>
  <c r="EE516" i="2"/>
  <c r="ED516" i="2"/>
  <c r="EC516" i="2"/>
  <c r="EB516" i="2"/>
  <c r="FJ515" i="2"/>
  <c r="FI515" i="2"/>
  <c r="FH515" i="2"/>
  <c r="FG515" i="2"/>
  <c r="FF515" i="2"/>
  <c r="FE515" i="2"/>
  <c r="FD515" i="2"/>
  <c r="FC515" i="2"/>
  <c r="FB515" i="2"/>
  <c r="FA515" i="2"/>
  <c r="EZ515" i="2"/>
  <c r="EY515" i="2"/>
  <c r="EX515" i="2"/>
  <c r="EW515" i="2"/>
  <c r="EV515" i="2"/>
  <c r="EU515" i="2"/>
  <c r="ET515" i="2"/>
  <c r="ES515" i="2"/>
  <c r="ER515" i="2"/>
  <c r="EQ515" i="2"/>
  <c r="EP515" i="2"/>
  <c r="EO515" i="2"/>
  <c r="EN515" i="2"/>
  <c r="EM515" i="2"/>
  <c r="EL515" i="2"/>
  <c r="EK515" i="2"/>
  <c r="EJ515" i="2"/>
  <c r="EI515" i="2"/>
  <c r="EH515" i="2"/>
  <c r="EG515" i="2"/>
  <c r="EF515" i="2"/>
  <c r="EE515" i="2"/>
  <c r="ED515" i="2"/>
  <c r="EC515" i="2"/>
  <c r="EB515" i="2"/>
  <c r="FH514" i="2"/>
  <c r="FG514" i="2"/>
  <c r="FF514" i="2"/>
  <c r="FE514" i="2"/>
  <c r="FD514" i="2"/>
  <c r="FC514" i="2"/>
  <c r="FB514" i="2"/>
  <c r="FA514" i="2"/>
  <c r="EZ514" i="2"/>
  <c r="EY514" i="2"/>
  <c r="EX514" i="2"/>
  <c r="EW514" i="2"/>
  <c r="EV514" i="2"/>
  <c r="EU514" i="2"/>
  <c r="ET514" i="2"/>
  <c r="ES514" i="2"/>
  <c r="ER514" i="2"/>
  <c r="EQ514" i="2"/>
  <c r="EP514" i="2"/>
  <c r="EO514" i="2"/>
  <c r="EN514" i="2"/>
  <c r="EM514" i="2"/>
  <c r="EL514" i="2"/>
  <c r="EK514" i="2"/>
  <c r="EJ514" i="2"/>
  <c r="EI514" i="2"/>
  <c r="EH514" i="2"/>
  <c r="EG514" i="2"/>
  <c r="EF514" i="2"/>
  <c r="EE514" i="2"/>
  <c r="ED514" i="2"/>
  <c r="EC514" i="2"/>
  <c r="EB514" i="2"/>
  <c r="FJ511" i="2"/>
  <c r="FI511" i="2"/>
  <c r="FH511" i="2"/>
  <c r="FG511" i="2"/>
  <c r="FF511" i="2"/>
  <c r="FE511" i="2"/>
  <c r="FD511" i="2"/>
  <c r="FC511" i="2"/>
  <c r="FB511" i="2"/>
  <c r="FA511" i="2"/>
  <c r="EZ511" i="2"/>
  <c r="EY511" i="2"/>
  <c r="EX511" i="2"/>
  <c r="EW511" i="2"/>
  <c r="EV511" i="2"/>
  <c r="EU511" i="2"/>
  <c r="ET511" i="2"/>
  <c r="ES511" i="2"/>
  <c r="ER511" i="2"/>
  <c r="EQ511" i="2"/>
  <c r="EP511" i="2"/>
  <c r="EO511" i="2"/>
  <c r="EN511" i="2"/>
  <c r="EM511" i="2"/>
  <c r="EL511" i="2"/>
  <c r="EK511" i="2"/>
  <c r="EJ511" i="2"/>
  <c r="EI511" i="2"/>
  <c r="EH511" i="2"/>
  <c r="EG511" i="2"/>
  <c r="EF511" i="2"/>
  <c r="EE511" i="2"/>
  <c r="ED511" i="2"/>
  <c r="EC511" i="2"/>
  <c r="EB511" i="2"/>
  <c r="FJ510" i="2"/>
  <c r="FI510" i="2"/>
  <c r="FH510" i="2"/>
  <c r="FG510" i="2"/>
  <c r="FF510" i="2"/>
  <c r="FE510" i="2"/>
  <c r="FD510" i="2"/>
  <c r="FC510" i="2"/>
  <c r="FB510" i="2"/>
  <c r="FA510" i="2"/>
  <c r="EZ510" i="2"/>
  <c r="EY510" i="2"/>
  <c r="EX510" i="2"/>
  <c r="EW510" i="2"/>
  <c r="EV510" i="2"/>
  <c r="EU510" i="2"/>
  <c r="ET510" i="2"/>
  <c r="ES510" i="2"/>
  <c r="ER510" i="2"/>
  <c r="EQ510" i="2"/>
  <c r="EP510" i="2"/>
  <c r="EO510" i="2"/>
  <c r="EN510" i="2"/>
  <c r="EM510" i="2"/>
  <c r="EL510" i="2"/>
  <c r="EK510" i="2"/>
  <c r="EJ510" i="2"/>
  <c r="EI510" i="2"/>
  <c r="EH510" i="2"/>
  <c r="EG510" i="2"/>
  <c r="EF510" i="2"/>
  <c r="EE510" i="2"/>
  <c r="ED510" i="2"/>
  <c r="EC510" i="2"/>
  <c r="EB510" i="2"/>
  <c r="FJ509" i="2"/>
  <c r="FI509" i="2"/>
  <c r="FH509" i="2"/>
  <c r="FG509" i="2"/>
  <c r="FF509" i="2"/>
  <c r="FE509" i="2"/>
  <c r="FD509" i="2"/>
  <c r="FC509" i="2"/>
  <c r="FB509" i="2"/>
  <c r="FA509" i="2"/>
  <c r="EZ509" i="2"/>
  <c r="EY509" i="2"/>
  <c r="EX509" i="2"/>
  <c r="EW509" i="2"/>
  <c r="EV509" i="2"/>
  <c r="EU509" i="2"/>
  <c r="ET509" i="2"/>
  <c r="ES509" i="2"/>
  <c r="ER509" i="2"/>
  <c r="EQ509" i="2"/>
  <c r="EP509" i="2"/>
  <c r="EO509" i="2"/>
  <c r="EN509" i="2"/>
  <c r="EM509" i="2"/>
  <c r="EL509" i="2"/>
  <c r="EK509" i="2"/>
  <c r="EJ509" i="2"/>
  <c r="EI509" i="2"/>
  <c r="EH509" i="2"/>
  <c r="EG509" i="2"/>
  <c r="EF509" i="2"/>
  <c r="EE509" i="2"/>
  <c r="ED509" i="2"/>
  <c r="EC509" i="2"/>
  <c r="EB509" i="2"/>
  <c r="FJ508" i="2"/>
  <c r="FI508" i="2"/>
  <c r="FH508" i="2"/>
  <c r="FG508" i="2"/>
  <c r="FF508" i="2"/>
  <c r="FE508" i="2"/>
  <c r="FD508" i="2"/>
  <c r="FC508" i="2"/>
  <c r="FB508" i="2"/>
  <c r="FA508" i="2"/>
  <c r="EZ508" i="2"/>
  <c r="EY508" i="2"/>
  <c r="EX508" i="2"/>
  <c r="EW508" i="2"/>
  <c r="EV508" i="2"/>
  <c r="EU508" i="2"/>
  <c r="ET508" i="2"/>
  <c r="ES508" i="2"/>
  <c r="ER508" i="2"/>
  <c r="EQ508" i="2"/>
  <c r="EP508" i="2"/>
  <c r="EO508" i="2"/>
  <c r="EN508" i="2"/>
  <c r="EM508" i="2"/>
  <c r="EL508" i="2"/>
  <c r="EK508" i="2"/>
  <c r="EJ508" i="2"/>
  <c r="EI508" i="2"/>
  <c r="EH508" i="2"/>
  <c r="EG508" i="2"/>
  <c r="EF508" i="2"/>
  <c r="EE508" i="2"/>
  <c r="ED508" i="2"/>
  <c r="EC508" i="2"/>
  <c r="EB508" i="2"/>
  <c r="FJ507" i="2"/>
  <c r="FI507" i="2"/>
  <c r="FH507" i="2"/>
  <c r="FG507" i="2"/>
  <c r="FF507" i="2"/>
  <c r="FE507" i="2"/>
  <c r="FD507" i="2"/>
  <c r="FC507" i="2"/>
  <c r="FB507" i="2"/>
  <c r="FA507" i="2"/>
  <c r="EZ507" i="2"/>
  <c r="EY507" i="2"/>
  <c r="EX507" i="2"/>
  <c r="EW507" i="2"/>
  <c r="EV507" i="2"/>
  <c r="EU507" i="2"/>
  <c r="ET507" i="2"/>
  <c r="ES507" i="2"/>
  <c r="ER507" i="2"/>
  <c r="EQ507" i="2"/>
  <c r="EP507" i="2"/>
  <c r="EO507" i="2"/>
  <c r="EN507" i="2"/>
  <c r="EM507" i="2"/>
  <c r="EL507" i="2"/>
  <c r="EK507" i="2"/>
  <c r="EJ507" i="2"/>
  <c r="EI507" i="2"/>
  <c r="EH507" i="2"/>
  <c r="EG507" i="2"/>
  <c r="EF507" i="2"/>
  <c r="EE507" i="2"/>
  <c r="ED507" i="2"/>
  <c r="EC507" i="2"/>
  <c r="EB507" i="2"/>
  <c r="FJ506" i="2"/>
  <c r="FI506" i="2"/>
  <c r="FH506" i="2"/>
  <c r="FG506" i="2"/>
  <c r="FG522" i="2" s="1"/>
  <c r="FF506" i="2"/>
  <c r="FE506" i="2"/>
  <c r="FD506" i="2"/>
  <c r="FC506" i="2"/>
  <c r="FB506" i="2"/>
  <c r="FA506" i="2"/>
  <c r="FA522" i="2" s="1"/>
  <c r="EZ506" i="2"/>
  <c r="EY506" i="2"/>
  <c r="EY522" i="2" s="1"/>
  <c r="EX506" i="2"/>
  <c r="EW506" i="2"/>
  <c r="EV506" i="2"/>
  <c r="EU506" i="2"/>
  <c r="ET506" i="2"/>
  <c r="ES506" i="2"/>
  <c r="ES522" i="2" s="1"/>
  <c r="ER506" i="2"/>
  <c r="EQ506" i="2"/>
  <c r="EQ522" i="2" s="1"/>
  <c r="EP506" i="2"/>
  <c r="EO506" i="2"/>
  <c r="EN506" i="2"/>
  <c r="EM506" i="2"/>
  <c r="EL506" i="2"/>
  <c r="EK506" i="2"/>
  <c r="EK522" i="2" s="1"/>
  <c r="EJ506" i="2"/>
  <c r="EI506" i="2"/>
  <c r="EI522" i="2" s="1"/>
  <c r="EH506" i="2"/>
  <c r="EG506" i="2"/>
  <c r="EF506" i="2"/>
  <c r="EE506" i="2"/>
  <c r="ED506" i="2"/>
  <c r="EC506" i="2"/>
  <c r="EC522" i="2" s="1"/>
  <c r="EB506" i="2"/>
  <c r="DY511" i="2"/>
  <c r="DX511" i="2"/>
  <c r="DW511" i="2"/>
  <c r="DV511" i="2"/>
  <c r="DU511" i="2"/>
  <c r="DT511" i="2"/>
  <c r="DS511" i="2"/>
  <c r="DR511" i="2"/>
  <c r="DQ511" i="2"/>
  <c r="DP511" i="2"/>
  <c r="DO511" i="2"/>
  <c r="DN511" i="2"/>
  <c r="DM511" i="2"/>
  <c r="DL511" i="2"/>
  <c r="DK511" i="2"/>
  <c r="DJ511" i="2"/>
  <c r="DI511" i="2"/>
  <c r="DH511" i="2"/>
  <c r="DG511" i="2"/>
  <c r="DF511" i="2"/>
  <c r="DE511" i="2"/>
  <c r="DD511" i="2"/>
  <c r="DC511" i="2"/>
  <c r="DB511" i="2"/>
  <c r="DA511" i="2"/>
  <c r="CZ511" i="2"/>
  <c r="CY511" i="2"/>
  <c r="CX511" i="2"/>
  <c r="CW511" i="2"/>
  <c r="CV511" i="2"/>
  <c r="CU511" i="2"/>
  <c r="CT511" i="2"/>
  <c r="CS511" i="2"/>
  <c r="CR511" i="2"/>
  <c r="CQ511" i="2"/>
  <c r="CP511" i="2"/>
  <c r="CO511" i="2"/>
  <c r="CN511" i="2"/>
  <c r="CM511" i="2"/>
  <c r="CL511" i="2"/>
  <c r="CK511" i="2"/>
  <c r="CJ511" i="2"/>
  <c r="CI511" i="2"/>
  <c r="CH511" i="2"/>
  <c r="CG511" i="2"/>
  <c r="CF511" i="2"/>
  <c r="CE511" i="2"/>
  <c r="CD511" i="2"/>
  <c r="CC511" i="2"/>
  <c r="CB511" i="2"/>
  <c r="CA511" i="2"/>
  <c r="BZ511" i="2"/>
  <c r="BY511" i="2"/>
  <c r="BX511" i="2"/>
  <c r="BW511" i="2"/>
  <c r="BV511" i="2"/>
  <c r="BU511" i="2"/>
  <c r="BT511" i="2"/>
  <c r="BS511" i="2"/>
  <c r="BR511" i="2"/>
  <c r="BQ511" i="2"/>
  <c r="BP511" i="2"/>
  <c r="BO511" i="2"/>
  <c r="BN511" i="2"/>
  <c r="BM511" i="2"/>
  <c r="BL511" i="2"/>
  <c r="BK511" i="2"/>
  <c r="BJ511" i="2"/>
  <c r="BI511" i="2"/>
  <c r="BH511" i="2"/>
  <c r="BG511" i="2"/>
  <c r="BF511" i="2"/>
  <c r="BE511" i="2"/>
  <c r="BD511" i="2"/>
  <c r="BC511" i="2"/>
  <c r="BB511" i="2"/>
  <c r="BA511" i="2"/>
  <c r="AZ511" i="2"/>
  <c r="AY511" i="2"/>
  <c r="AX511" i="2"/>
  <c r="AW511" i="2"/>
  <c r="AV511" i="2"/>
  <c r="AU511" i="2"/>
  <c r="AT511" i="2"/>
  <c r="AS511" i="2"/>
  <c r="AR511" i="2"/>
  <c r="AQ511" i="2"/>
  <c r="AP511" i="2"/>
  <c r="AO511" i="2"/>
  <c r="AN511" i="2"/>
  <c r="AM511" i="2"/>
  <c r="AL511" i="2"/>
  <c r="AK511" i="2"/>
  <c r="AJ511" i="2"/>
  <c r="AI511" i="2"/>
  <c r="AH511" i="2"/>
  <c r="AG511" i="2"/>
  <c r="AF511" i="2"/>
  <c r="AE511" i="2"/>
  <c r="AD511" i="2"/>
  <c r="AC511" i="2"/>
  <c r="AB511" i="2"/>
  <c r="AA511" i="2"/>
  <c r="Z511" i="2"/>
  <c r="Y511" i="2"/>
  <c r="X511" i="2"/>
  <c r="W511" i="2"/>
  <c r="V511" i="2"/>
  <c r="U511" i="2"/>
  <c r="T511" i="2"/>
  <c r="S511" i="2"/>
  <c r="R511" i="2"/>
  <c r="Q511" i="2"/>
  <c r="P511" i="2"/>
  <c r="O511" i="2"/>
  <c r="N511" i="2"/>
  <c r="M511" i="2"/>
  <c r="L511" i="2"/>
  <c r="K511" i="2"/>
  <c r="J511" i="2"/>
  <c r="I511" i="2"/>
  <c r="H511" i="2"/>
  <c r="G511" i="2"/>
  <c r="F511" i="2"/>
  <c r="E511" i="2"/>
  <c r="D511" i="2"/>
  <c r="C511" i="2"/>
  <c r="B511" i="2"/>
  <c r="A511" i="2"/>
  <c r="DY510" i="2"/>
  <c r="DX510" i="2"/>
  <c r="DW510" i="2"/>
  <c r="DV510" i="2"/>
  <c r="DU510" i="2"/>
  <c r="DT510" i="2"/>
  <c r="DS510" i="2"/>
  <c r="DR510" i="2"/>
  <c r="DQ510" i="2"/>
  <c r="DP510" i="2"/>
  <c r="DO510" i="2"/>
  <c r="DN510" i="2"/>
  <c r="DM510" i="2"/>
  <c r="DL510" i="2"/>
  <c r="DK510" i="2"/>
  <c r="DJ510" i="2"/>
  <c r="DI510" i="2"/>
  <c r="DH510" i="2"/>
  <c r="DG510" i="2"/>
  <c r="DF510" i="2"/>
  <c r="DE510" i="2"/>
  <c r="DD510" i="2"/>
  <c r="DC510" i="2"/>
  <c r="DB510" i="2"/>
  <c r="DA510" i="2"/>
  <c r="CZ510" i="2"/>
  <c r="CY510" i="2"/>
  <c r="CX510" i="2"/>
  <c r="CW510" i="2"/>
  <c r="CV510" i="2"/>
  <c r="CU510" i="2"/>
  <c r="CT510" i="2"/>
  <c r="CS510" i="2"/>
  <c r="CR510" i="2"/>
  <c r="CQ510" i="2"/>
  <c r="CP510" i="2"/>
  <c r="CO510" i="2"/>
  <c r="CN510" i="2"/>
  <c r="CM510" i="2"/>
  <c r="CL510" i="2"/>
  <c r="CK510" i="2"/>
  <c r="CJ510" i="2"/>
  <c r="CI510" i="2"/>
  <c r="CH510" i="2"/>
  <c r="CG510" i="2"/>
  <c r="CF510" i="2"/>
  <c r="CE510" i="2"/>
  <c r="CD510" i="2"/>
  <c r="CC510" i="2"/>
  <c r="CB510" i="2"/>
  <c r="CA510" i="2"/>
  <c r="BZ510" i="2"/>
  <c r="BY510" i="2"/>
  <c r="BX510" i="2"/>
  <c r="BW510" i="2"/>
  <c r="BV510" i="2"/>
  <c r="BU510" i="2"/>
  <c r="BT510" i="2"/>
  <c r="BS510" i="2"/>
  <c r="BR510" i="2"/>
  <c r="BQ510" i="2"/>
  <c r="BP510" i="2"/>
  <c r="BO510" i="2"/>
  <c r="BN510" i="2"/>
  <c r="BM510" i="2"/>
  <c r="BL510" i="2"/>
  <c r="BK510" i="2"/>
  <c r="BJ510" i="2"/>
  <c r="BI510" i="2"/>
  <c r="BH510" i="2"/>
  <c r="BG510" i="2"/>
  <c r="BF510" i="2"/>
  <c r="BE510" i="2"/>
  <c r="BD510" i="2"/>
  <c r="BC510" i="2"/>
  <c r="BB510" i="2"/>
  <c r="BA510" i="2"/>
  <c r="AZ510" i="2"/>
  <c r="AY510" i="2"/>
  <c r="AX510" i="2"/>
  <c r="AW510" i="2"/>
  <c r="AV510" i="2"/>
  <c r="AU510" i="2"/>
  <c r="AT510" i="2"/>
  <c r="AS510" i="2"/>
  <c r="AR510" i="2"/>
  <c r="AQ510" i="2"/>
  <c r="AP510" i="2"/>
  <c r="AO510" i="2"/>
  <c r="AN510" i="2"/>
  <c r="AM510" i="2"/>
  <c r="AL510" i="2"/>
  <c r="AK510" i="2"/>
  <c r="AJ510" i="2"/>
  <c r="AI510" i="2"/>
  <c r="AH510" i="2"/>
  <c r="AG510" i="2"/>
  <c r="AF510" i="2"/>
  <c r="AE510" i="2"/>
  <c r="AD510" i="2"/>
  <c r="AC510" i="2"/>
  <c r="AB510" i="2"/>
  <c r="AA510" i="2"/>
  <c r="Z510" i="2"/>
  <c r="Y510" i="2"/>
  <c r="X510" i="2"/>
  <c r="W510" i="2"/>
  <c r="V510" i="2"/>
  <c r="U510" i="2"/>
  <c r="T510" i="2"/>
  <c r="S510" i="2"/>
  <c r="R510" i="2"/>
  <c r="Q510" i="2"/>
  <c r="P510" i="2"/>
  <c r="O510" i="2"/>
  <c r="N510" i="2"/>
  <c r="M510" i="2"/>
  <c r="L510" i="2"/>
  <c r="K510" i="2"/>
  <c r="J510" i="2"/>
  <c r="I510" i="2"/>
  <c r="H510" i="2"/>
  <c r="G510" i="2"/>
  <c r="F510" i="2"/>
  <c r="E510" i="2"/>
  <c r="D510" i="2"/>
  <c r="C510" i="2"/>
  <c r="B510" i="2"/>
  <c r="A510" i="2"/>
  <c r="DY509" i="2"/>
  <c r="DX509" i="2"/>
  <c r="DW509" i="2"/>
  <c r="DV509" i="2"/>
  <c r="DU509" i="2"/>
  <c r="DT509" i="2"/>
  <c r="DS509" i="2"/>
  <c r="DR509" i="2"/>
  <c r="DQ509" i="2"/>
  <c r="DP509" i="2"/>
  <c r="DO509" i="2"/>
  <c r="DN509" i="2"/>
  <c r="DM509" i="2"/>
  <c r="DL509" i="2"/>
  <c r="DK509" i="2"/>
  <c r="DJ509" i="2"/>
  <c r="DI509" i="2"/>
  <c r="DH509" i="2"/>
  <c r="DG509" i="2"/>
  <c r="DF509" i="2"/>
  <c r="DE509" i="2"/>
  <c r="DD509" i="2"/>
  <c r="DC509" i="2"/>
  <c r="DB509" i="2"/>
  <c r="DA509" i="2"/>
  <c r="CZ509" i="2"/>
  <c r="CY509" i="2"/>
  <c r="CX509" i="2"/>
  <c r="CW509" i="2"/>
  <c r="CV509" i="2"/>
  <c r="CU509" i="2"/>
  <c r="CT509" i="2"/>
  <c r="CS509" i="2"/>
  <c r="CR509" i="2"/>
  <c r="CQ509" i="2"/>
  <c r="CP509" i="2"/>
  <c r="CO509" i="2"/>
  <c r="CN509" i="2"/>
  <c r="CM509" i="2"/>
  <c r="CL509" i="2"/>
  <c r="CK509" i="2"/>
  <c r="CJ509" i="2"/>
  <c r="CI509" i="2"/>
  <c r="CH509" i="2"/>
  <c r="CG509" i="2"/>
  <c r="CF509" i="2"/>
  <c r="CE509" i="2"/>
  <c r="CD509" i="2"/>
  <c r="CC509" i="2"/>
  <c r="CB509" i="2"/>
  <c r="CA509" i="2"/>
  <c r="BZ509" i="2"/>
  <c r="BY509" i="2"/>
  <c r="BX509" i="2"/>
  <c r="BW509" i="2"/>
  <c r="BV509" i="2"/>
  <c r="BU509" i="2"/>
  <c r="BT509" i="2"/>
  <c r="BS509" i="2"/>
  <c r="BR509" i="2"/>
  <c r="BQ509" i="2"/>
  <c r="BP509" i="2"/>
  <c r="BO509" i="2"/>
  <c r="BN509" i="2"/>
  <c r="BM509" i="2"/>
  <c r="BL509" i="2"/>
  <c r="BK509" i="2"/>
  <c r="BJ509" i="2"/>
  <c r="BI509" i="2"/>
  <c r="BH509" i="2"/>
  <c r="BG509" i="2"/>
  <c r="BF509" i="2"/>
  <c r="BE509" i="2"/>
  <c r="BD509" i="2"/>
  <c r="BC509" i="2"/>
  <c r="BB509" i="2"/>
  <c r="BA509" i="2"/>
  <c r="AZ509" i="2"/>
  <c r="AY509" i="2"/>
  <c r="AX509" i="2"/>
  <c r="AW509" i="2"/>
  <c r="AV509" i="2"/>
  <c r="AU509" i="2"/>
  <c r="AT509" i="2"/>
  <c r="AS509" i="2"/>
  <c r="AR509" i="2"/>
  <c r="AQ509" i="2"/>
  <c r="AP509" i="2"/>
  <c r="AO509" i="2"/>
  <c r="AN509" i="2"/>
  <c r="AM509" i="2"/>
  <c r="AL509" i="2"/>
  <c r="AK509" i="2"/>
  <c r="AJ509" i="2"/>
  <c r="AI509" i="2"/>
  <c r="AH509" i="2"/>
  <c r="AG509" i="2"/>
  <c r="AF509" i="2"/>
  <c r="AE509" i="2"/>
  <c r="AD509" i="2"/>
  <c r="AC509" i="2"/>
  <c r="AB509" i="2"/>
  <c r="AA509" i="2"/>
  <c r="Z509" i="2"/>
  <c r="Y509" i="2"/>
  <c r="X509" i="2"/>
  <c r="W509" i="2"/>
  <c r="V509" i="2"/>
  <c r="U509" i="2"/>
  <c r="T509" i="2"/>
  <c r="S509" i="2"/>
  <c r="R509" i="2"/>
  <c r="Q509" i="2"/>
  <c r="P509" i="2"/>
  <c r="O509" i="2"/>
  <c r="N509" i="2"/>
  <c r="M509" i="2"/>
  <c r="L509" i="2"/>
  <c r="K509" i="2"/>
  <c r="J509" i="2"/>
  <c r="I509" i="2"/>
  <c r="H509" i="2"/>
  <c r="G509" i="2"/>
  <c r="F509" i="2"/>
  <c r="E509" i="2"/>
  <c r="D509" i="2"/>
  <c r="C509" i="2"/>
  <c r="B509" i="2"/>
  <c r="A509" i="2"/>
  <c r="DY508" i="2"/>
  <c r="DX508" i="2"/>
  <c r="DW508" i="2"/>
  <c r="DV508" i="2"/>
  <c r="DU508" i="2"/>
  <c r="DT508" i="2"/>
  <c r="DS508" i="2"/>
  <c r="DR508" i="2"/>
  <c r="DQ508" i="2"/>
  <c r="DP508" i="2"/>
  <c r="DO508" i="2"/>
  <c r="DN508" i="2"/>
  <c r="DM508" i="2"/>
  <c r="DL508" i="2"/>
  <c r="DK508" i="2"/>
  <c r="DJ508" i="2"/>
  <c r="DI508" i="2"/>
  <c r="DH508" i="2"/>
  <c r="DG508" i="2"/>
  <c r="DF508" i="2"/>
  <c r="DE508" i="2"/>
  <c r="DD508" i="2"/>
  <c r="DC508" i="2"/>
  <c r="DB508" i="2"/>
  <c r="DA508" i="2"/>
  <c r="CZ508" i="2"/>
  <c r="CY508" i="2"/>
  <c r="CX508" i="2"/>
  <c r="CW508" i="2"/>
  <c r="CV508" i="2"/>
  <c r="CU508" i="2"/>
  <c r="CT508" i="2"/>
  <c r="CS508" i="2"/>
  <c r="CR508" i="2"/>
  <c r="CQ508" i="2"/>
  <c r="CP508" i="2"/>
  <c r="CO508" i="2"/>
  <c r="CN508" i="2"/>
  <c r="CM508" i="2"/>
  <c r="CL508" i="2"/>
  <c r="CK508" i="2"/>
  <c r="CJ508" i="2"/>
  <c r="CI508" i="2"/>
  <c r="CH508" i="2"/>
  <c r="CG508" i="2"/>
  <c r="CF508" i="2"/>
  <c r="CE508" i="2"/>
  <c r="CD508" i="2"/>
  <c r="CC508" i="2"/>
  <c r="CB508" i="2"/>
  <c r="CA508" i="2"/>
  <c r="BZ508" i="2"/>
  <c r="BY508" i="2"/>
  <c r="BX508" i="2"/>
  <c r="BW508" i="2"/>
  <c r="BV508" i="2"/>
  <c r="BU508" i="2"/>
  <c r="BT508" i="2"/>
  <c r="BS508" i="2"/>
  <c r="BR508" i="2"/>
  <c r="BQ508" i="2"/>
  <c r="BP508" i="2"/>
  <c r="BO508" i="2"/>
  <c r="BN508" i="2"/>
  <c r="BM508" i="2"/>
  <c r="BL508" i="2"/>
  <c r="BK508" i="2"/>
  <c r="BJ508" i="2"/>
  <c r="BI508" i="2"/>
  <c r="BH508" i="2"/>
  <c r="BG508" i="2"/>
  <c r="BF508" i="2"/>
  <c r="BE508" i="2"/>
  <c r="BD508" i="2"/>
  <c r="BC508" i="2"/>
  <c r="BB508" i="2"/>
  <c r="BA508" i="2"/>
  <c r="AZ508" i="2"/>
  <c r="AY508" i="2"/>
  <c r="AX508" i="2"/>
  <c r="AW508" i="2"/>
  <c r="AV508" i="2"/>
  <c r="AU508" i="2"/>
  <c r="AT508" i="2"/>
  <c r="AS508" i="2"/>
  <c r="AR508" i="2"/>
  <c r="AQ508" i="2"/>
  <c r="AP508" i="2"/>
  <c r="AO508" i="2"/>
  <c r="AN508" i="2"/>
  <c r="AM508" i="2"/>
  <c r="AL508" i="2"/>
  <c r="AK508" i="2"/>
  <c r="AJ508" i="2"/>
  <c r="AI508" i="2"/>
  <c r="AH508" i="2"/>
  <c r="AG508" i="2"/>
  <c r="AF508" i="2"/>
  <c r="AE508" i="2"/>
  <c r="AD508" i="2"/>
  <c r="AC508" i="2"/>
  <c r="AB508" i="2"/>
  <c r="AA508" i="2"/>
  <c r="Z508" i="2"/>
  <c r="Y508" i="2"/>
  <c r="X508" i="2"/>
  <c r="W508" i="2"/>
  <c r="V508" i="2"/>
  <c r="U508" i="2"/>
  <c r="T508" i="2"/>
  <c r="S508" i="2"/>
  <c r="R508" i="2"/>
  <c r="Q508" i="2"/>
  <c r="P508" i="2"/>
  <c r="O508" i="2"/>
  <c r="N508" i="2"/>
  <c r="M508" i="2"/>
  <c r="L508" i="2"/>
  <c r="K508" i="2"/>
  <c r="J508" i="2"/>
  <c r="I508" i="2"/>
  <c r="H508" i="2"/>
  <c r="G508" i="2"/>
  <c r="F508" i="2"/>
  <c r="E508" i="2"/>
  <c r="D508" i="2"/>
  <c r="C508" i="2"/>
  <c r="B508" i="2"/>
  <c r="A508" i="2"/>
  <c r="DY507" i="2"/>
  <c r="DX507" i="2"/>
  <c r="DW507" i="2"/>
  <c r="DV507" i="2"/>
  <c r="DU507" i="2"/>
  <c r="DT507" i="2"/>
  <c r="DS507" i="2"/>
  <c r="DR507" i="2"/>
  <c r="DQ507" i="2"/>
  <c r="DP507" i="2"/>
  <c r="DO507" i="2"/>
  <c r="DN507" i="2"/>
  <c r="DM507" i="2"/>
  <c r="DL507" i="2"/>
  <c r="DK507" i="2"/>
  <c r="DJ507" i="2"/>
  <c r="DI507" i="2"/>
  <c r="DH507" i="2"/>
  <c r="DG507" i="2"/>
  <c r="DF507" i="2"/>
  <c r="DE507" i="2"/>
  <c r="DD507" i="2"/>
  <c r="DC507" i="2"/>
  <c r="DB507" i="2"/>
  <c r="DA507" i="2"/>
  <c r="CZ507" i="2"/>
  <c r="CY507" i="2"/>
  <c r="CX507" i="2"/>
  <c r="CW507" i="2"/>
  <c r="CV507" i="2"/>
  <c r="CU507" i="2"/>
  <c r="CT507" i="2"/>
  <c r="CS507" i="2"/>
  <c r="CR507" i="2"/>
  <c r="CQ507" i="2"/>
  <c r="CP507" i="2"/>
  <c r="CO507" i="2"/>
  <c r="CN507" i="2"/>
  <c r="CM507" i="2"/>
  <c r="CL507" i="2"/>
  <c r="CK507" i="2"/>
  <c r="CJ507" i="2"/>
  <c r="CI507" i="2"/>
  <c r="CH507" i="2"/>
  <c r="CG507" i="2"/>
  <c r="CF507" i="2"/>
  <c r="CE507" i="2"/>
  <c r="CD507" i="2"/>
  <c r="CC507" i="2"/>
  <c r="CB507" i="2"/>
  <c r="CA507" i="2"/>
  <c r="BZ507" i="2"/>
  <c r="BY507" i="2"/>
  <c r="BX507" i="2"/>
  <c r="BW507" i="2"/>
  <c r="BV507" i="2"/>
  <c r="BU507" i="2"/>
  <c r="BT507" i="2"/>
  <c r="BS507" i="2"/>
  <c r="BR507" i="2"/>
  <c r="BQ507" i="2"/>
  <c r="BP507" i="2"/>
  <c r="BO507" i="2"/>
  <c r="BN507" i="2"/>
  <c r="BM507" i="2"/>
  <c r="BL507" i="2"/>
  <c r="BK507" i="2"/>
  <c r="BJ507" i="2"/>
  <c r="BI507" i="2"/>
  <c r="BH507" i="2"/>
  <c r="BG507" i="2"/>
  <c r="BF507" i="2"/>
  <c r="BE507" i="2"/>
  <c r="BD507" i="2"/>
  <c r="BC507" i="2"/>
  <c r="BB507" i="2"/>
  <c r="BA507" i="2"/>
  <c r="AZ507" i="2"/>
  <c r="AY507" i="2"/>
  <c r="AX507" i="2"/>
  <c r="AW507" i="2"/>
  <c r="AV507" i="2"/>
  <c r="AU507" i="2"/>
  <c r="AT507" i="2"/>
  <c r="AS507" i="2"/>
  <c r="AR507" i="2"/>
  <c r="AQ507" i="2"/>
  <c r="AP507" i="2"/>
  <c r="AO507" i="2"/>
  <c r="AN507" i="2"/>
  <c r="AM507" i="2"/>
  <c r="AL507" i="2"/>
  <c r="AK507" i="2"/>
  <c r="AJ507" i="2"/>
  <c r="AI507" i="2"/>
  <c r="AH507" i="2"/>
  <c r="AG507" i="2"/>
  <c r="AF507" i="2"/>
  <c r="AE507" i="2"/>
  <c r="AD507" i="2"/>
  <c r="AC507" i="2"/>
  <c r="AB507" i="2"/>
  <c r="AA507" i="2"/>
  <c r="Z507" i="2"/>
  <c r="Y507" i="2"/>
  <c r="X507" i="2"/>
  <c r="W507" i="2"/>
  <c r="V507" i="2"/>
  <c r="U507" i="2"/>
  <c r="T507" i="2"/>
  <c r="S507" i="2"/>
  <c r="R507" i="2"/>
  <c r="Q507" i="2"/>
  <c r="P507" i="2"/>
  <c r="O507" i="2"/>
  <c r="N507" i="2"/>
  <c r="M507" i="2"/>
  <c r="L507" i="2"/>
  <c r="K507" i="2"/>
  <c r="J507" i="2"/>
  <c r="I507" i="2"/>
  <c r="H507" i="2"/>
  <c r="G507" i="2"/>
  <c r="F507" i="2"/>
  <c r="E507" i="2"/>
  <c r="D507" i="2"/>
  <c r="C507" i="2"/>
  <c r="B507" i="2"/>
  <c r="A507" i="2"/>
  <c r="DY506" i="2"/>
  <c r="DX506" i="2"/>
  <c r="DW506" i="2"/>
  <c r="DV506" i="2"/>
  <c r="DU506" i="2"/>
  <c r="DT506" i="2"/>
  <c r="DS506" i="2"/>
  <c r="DR506" i="2"/>
  <c r="DQ506" i="2"/>
  <c r="DP506" i="2"/>
  <c r="DO506" i="2"/>
  <c r="DN506" i="2"/>
  <c r="DM506" i="2"/>
  <c r="DL506" i="2"/>
  <c r="DK506" i="2"/>
  <c r="DJ506" i="2"/>
  <c r="DI506" i="2"/>
  <c r="DH506" i="2"/>
  <c r="DG506" i="2"/>
  <c r="DF506" i="2"/>
  <c r="DE506" i="2"/>
  <c r="DD506" i="2"/>
  <c r="DC506" i="2"/>
  <c r="DB506" i="2"/>
  <c r="DA506" i="2"/>
  <c r="CZ506" i="2"/>
  <c r="CY506" i="2"/>
  <c r="CX506" i="2"/>
  <c r="CW506" i="2"/>
  <c r="CV506" i="2"/>
  <c r="CU506" i="2"/>
  <c r="CT506" i="2"/>
  <c r="CS506" i="2"/>
  <c r="CR506" i="2"/>
  <c r="CQ506" i="2"/>
  <c r="CP506" i="2"/>
  <c r="CO506" i="2"/>
  <c r="CN506" i="2"/>
  <c r="CM506" i="2"/>
  <c r="CL506" i="2"/>
  <c r="CK506" i="2"/>
  <c r="CJ506" i="2"/>
  <c r="CI506" i="2"/>
  <c r="CH506" i="2"/>
  <c r="CG506" i="2"/>
  <c r="CF506" i="2"/>
  <c r="CE506" i="2"/>
  <c r="CD506" i="2"/>
  <c r="CC506" i="2"/>
  <c r="CB506" i="2"/>
  <c r="CA506" i="2"/>
  <c r="BZ506" i="2"/>
  <c r="BY506" i="2"/>
  <c r="BX506" i="2"/>
  <c r="BW506" i="2"/>
  <c r="BV506" i="2"/>
  <c r="BU506" i="2"/>
  <c r="BT506" i="2"/>
  <c r="BS506" i="2"/>
  <c r="BR506" i="2"/>
  <c r="BQ506" i="2"/>
  <c r="BP506" i="2"/>
  <c r="BO506" i="2"/>
  <c r="BN506" i="2"/>
  <c r="BM506" i="2"/>
  <c r="BL506" i="2"/>
  <c r="BK506" i="2"/>
  <c r="BJ506" i="2"/>
  <c r="BI506" i="2"/>
  <c r="BH506" i="2"/>
  <c r="BG506" i="2"/>
  <c r="BF506" i="2"/>
  <c r="BE506" i="2"/>
  <c r="BD506" i="2"/>
  <c r="BC506" i="2"/>
  <c r="BB506" i="2"/>
  <c r="BA506" i="2"/>
  <c r="AZ506" i="2"/>
  <c r="AY506" i="2"/>
  <c r="AX506" i="2"/>
  <c r="AW506" i="2"/>
  <c r="AV506" i="2"/>
  <c r="AU506" i="2"/>
  <c r="AT506" i="2"/>
  <c r="AS506" i="2"/>
  <c r="AR506" i="2"/>
  <c r="AQ506" i="2"/>
  <c r="AP506" i="2"/>
  <c r="AO506" i="2"/>
  <c r="AN506" i="2"/>
  <c r="AM506" i="2"/>
  <c r="AL506" i="2"/>
  <c r="AK506" i="2"/>
  <c r="AJ506" i="2"/>
  <c r="AI506" i="2"/>
  <c r="AH506" i="2"/>
  <c r="AG506" i="2"/>
  <c r="AF506" i="2"/>
  <c r="AE506" i="2"/>
  <c r="AD506" i="2"/>
  <c r="AC506" i="2"/>
  <c r="AB506" i="2"/>
  <c r="AA506" i="2"/>
  <c r="Z506" i="2"/>
  <c r="Y506" i="2"/>
  <c r="X506" i="2"/>
  <c r="W506" i="2"/>
  <c r="V506" i="2"/>
  <c r="U506" i="2"/>
  <c r="T506" i="2"/>
  <c r="S506" i="2"/>
  <c r="R506" i="2"/>
  <c r="Q506" i="2"/>
  <c r="P506" i="2"/>
  <c r="O506" i="2"/>
  <c r="N506" i="2"/>
  <c r="M506" i="2"/>
  <c r="L506" i="2"/>
  <c r="K506" i="2"/>
  <c r="J506" i="2"/>
  <c r="I506" i="2"/>
  <c r="H506" i="2"/>
  <c r="G506" i="2"/>
  <c r="F506" i="2"/>
  <c r="E506" i="2"/>
  <c r="D506" i="2"/>
  <c r="C506" i="2"/>
  <c r="B506" i="2"/>
  <c r="A506" i="2"/>
  <c r="A501" i="2"/>
  <c r="FH494" i="2"/>
  <c r="FG494" i="2"/>
  <c r="FF494" i="2"/>
  <c r="FE494" i="2"/>
  <c r="FD494" i="2"/>
  <c r="FC494" i="2"/>
  <c r="FB494" i="2"/>
  <c r="FA494" i="2"/>
  <c r="EZ494" i="2"/>
  <c r="EY494" i="2"/>
  <c r="EX494" i="2"/>
  <c r="EW494" i="2"/>
  <c r="EV494" i="2"/>
  <c r="EU494" i="2"/>
  <c r="ET494" i="2"/>
  <c r="ES494" i="2"/>
  <c r="ER494" i="2"/>
  <c r="EQ494" i="2"/>
  <c r="EP494" i="2"/>
  <c r="EO494" i="2"/>
  <c r="EN494" i="2"/>
  <c r="EM494" i="2"/>
  <c r="EL494" i="2"/>
  <c r="EK494" i="2"/>
  <c r="EJ494" i="2"/>
  <c r="EI494" i="2"/>
  <c r="EH494" i="2"/>
  <c r="EG494" i="2"/>
  <c r="EF494" i="2"/>
  <c r="EE494" i="2"/>
  <c r="ED494" i="2"/>
  <c r="EC494" i="2"/>
  <c r="EB494" i="2"/>
  <c r="FH493" i="2"/>
  <c r="FG493" i="2"/>
  <c r="FF493" i="2"/>
  <c r="FE493" i="2"/>
  <c r="FD493" i="2"/>
  <c r="FC493" i="2"/>
  <c r="FB493" i="2"/>
  <c r="FA493" i="2"/>
  <c r="EZ493" i="2"/>
  <c r="EY493" i="2"/>
  <c r="EX493" i="2"/>
  <c r="EW493" i="2"/>
  <c r="EV493" i="2"/>
  <c r="EU493" i="2"/>
  <c r="ET493" i="2"/>
  <c r="ES493" i="2"/>
  <c r="ER493" i="2"/>
  <c r="EQ493" i="2"/>
  <c r="EP493" i="2"/>
  <c r="EO493" i="2"/>
  <c r="EN493" i="2"/>
  <c r="EM493" i="2"/>
  <c r="EL493" i="2"/>
  <c r="EK493" i="2"/>
  <c r="EJ493" i="2"/>
  <c r="EI493" i="2"/>
  <c r="EH493" i="2"/>
  <c r="EG493" i="2"/>
  <c r="EF493" i="2"/>
  <c r="EE493" i="2"/>
  <c r="ED493" i="2"/>
  <c r="EC493" i="2"/>
  <c r="EB493" i="2"/>
  <c r="DX494" i="2"/>
  <c r="DV494" i="2"/>
  <c r="DT494" i="2"/>
  <c r="DS494" i="2"/>
  <c r="DR494" i="2"/>
  <c r="DQ494" i="2"/>
  <c r="DP494" i="2"/>
  <c r="DO494" i="2"/>
  <c r="DN494" i="2"/>
  <c r="DM494" i="2"/>
  <c r="DL494" i="2"/>
  <c r="DK494" i="2"/>
  <c r="DJ494" i="2"/>
  <c r="DI494" i="2"/>
  <c r="DH494" i="2"/>
  <c r="DG494" i="2"/>
  <c r="DF494" i="2"/>
  <c r="DE494" i="2"/>
  <c r="DD494" i="2"/>
  <c r="DC494" i="2"/>
  <c r="DB494" i="2"/>
  <c r="DA494" i="2"/>
  <c r="CZ494" i="2"/>
  <c r="CY494" i="2"/>
  <c r="CX494" i="2"/>
  <c r="CW494" i="2"/>
  <c r="CV494" i="2"/>
  <c r="CU494" i="2"/>
  <c r="CT494" i="2"/>
  <c r="CS494" i="2"/>
  <c r="CR494" i="2"/>
  <c r="CQ494" i="2"/>
  <c r="CP494" i="2"/>
  <c r="CO494" i="2"/>
  <c r="CN494" i="2"/>
  <c r="CM494" i="2"/>
  <c r="CL494" i="2"/>
  <c r="CK494" i="2"/>
  <c r="CJ494" i="2"/>
  <c r="CI494" i="2"/>
  <c r="CH494" i="2"/>
  <c r="CG494" i="2"/>
  <c r="CF494" i="2"/>
  <c r="CE494" i="2"/>
  <c r="CD494" i="2"/>
  <c r="CC494" i="2"/>
  <c r="CB494" i="2"/>
  <c r="CA494" i="2"/>
  <c r="BZ494" i="2"/>
  <c r="BY494" i="2"/>
  <c r="BX494" i="2"/>
  <c r="BW494" i="2"/>
  <c r="BV494" i="2"/>
  <c r="BU494" i="2"/>
  <c r="BT494" i="2"/>
  <c r="BS494" i="2"/>
  <c r="BR494" i="2"/>
  <c r="BQ494" i="2"/>
  <c r="BP494" i="2"/>
  <c r="BO494" i="2"/>
  <c r="BN494" i="2"/>
  <c r="BM494" i="2"/>
  <c r="BL494" i="2"/>
  <c r="BK494" i="2"/>
  <c r="BJ494" i="2"/>
  <c r="BI494" i="2"/>
  <c r="BH494" i="2"/>
  <c r="BG494" i="2"/>
  <c r="BF494" i="2"/>
  <c r="BE494" i="2"/>
  <c r="BD494" i="2"/>
  <c r="BC494" i="2"/>
  <c r="BB494" i="2"/>
  <c r="BA494" i="2"/>
  <c r="AZ494" i="2"/>
  <c r="AY494" i="2"/>
  <c r="AX494" i="2"/>
  <c r="AW494" i="2"/>
  <c r="AV494" i="2"/>
  <c r="AU494" i="2"/>
  <c r="AT494" i="2"/>
  <c r="AS494" i="2"/>
  <c r="AR494" i="2"/>
  <c r="AQ494" i="2"/>
  <c r="AP494" i="2"/>
  <c r="AO494" i="2"/>
  <c r="AN494" i="2"/>
  <c r="AM494" i="2"/>
  <c r="AL494" i="2"/>
  <c r="AK494" i="2"/>
  <c r="AJ494" i="2"/>
  <c r="AI494" i="2"/>
  <c r="AH494" i="2"/>
  <c r="AG494" i="2"/>
  <c r="AF494" i="2"/>
  <c r="AE494" i="2"/>
  <c r="AD494" i="2"/>
  <c r="AC494" i="2"/>
  <c r="AB494" i="2"/>
  <c r="AA494" i="2"/>
  <c r="Z494" i="2"/>
  <c r="Y494" i="2"/>
  <c r="X494" i="2"/>
  <c r="W494" i="2"/>
  <c r="V494" i="2"/>
  <c r="U494" i="2"/>
  <c r="T494" i="2"/>
  <c r="S494" i="2"/>
  <c r="R494" i="2"/>
  <c r="Q494" i="2"/>
  <c r="P494" i="2"/>
  <c r="O494" i="2"/>
  <c r="N494" i="2"/>
  <c r="M494" i="2"/>
  <c r="L494" i="2"/>
  <c r="K494" i="2"/>
  <c r="J494" i="2"/>
  <c r="I494" i="2"/>
  <c r="H494" i="2"/>
  <c r="G494" i="2"/>
  <c r="F494" i="2"/>
  <c r="E494" i="2"/>
  <c r="D494" i="2"/>
  <c r="C494" i="2"/>
  <c r="B494" i="2"/>
  <c r="A494" i="2"/>
  <c r="DX493" i="2"/>
  <c r="DV493" i="2"/>
  <c r="DU493" i="2"/>
  <c r="DT493" i="2"/>
  <c r="DR493" i="2"/>
  <c r="DQ493" i="2"/>
  <c r="DP493" i="2"/>
  <c r="DO493" i="2"/>
  <c r="DN493" i="2"/>
  <c r="DM493" i="2"/>
  <c r="DL493" i="2"/>
  <c r="DK493" i="2"/>
  <c r="DJ493" i="2"/>
  <c r="DI493" i="2"/>
  <c r="DH493" i="2"/>
  <c r="DG493" i="2"/>
  <c r="DF493" i="2"/>
  <c r="DE493" i="2"/>
  <c r="DD493" i="2"/>
  <c r="DC493" i="2"/>
  <c r="DB493" i="2"/>
  <c r="DA493" i="2"/>
  <c r="CZ493" i="2"/>
  <c r="CY493" i="2"/>
  <c r="CX493" i="2"/>
  <c r="CW493" i="2"/>
  <c r="CV493" i="2"/>
  <c r="CU493" i="2"/>
  <c r="CT493" i="2"/>
  <c r="CS493" i="2"/>
  <c r="CR493" i="2"/>
  <c r="CQ493" i="2"/>
  <c r="CP493" i="2"/>
  <c r="CO493" i="2"/>
  <c r="CN493" i="2"/>
  <c r="CM493" i="2"/>
  <c r="CL493" i="2"/>
  <c r="CK493" i="2"/>
  <c r="CJ493" i="2"/>
  <c r="CI493" i="2"/>
  <c r="CH493" i="2"/>
  <c r="CG493" i="2"/>
  <c r="CF493" i="2"/>
  <c r="CE493" i="2"/>
  <c r="CD493" i="2"/>
  <c r="CC493" i="2"/>
  <c r="CB493" i="2"/>
  <c r="CA493" i="2"/>
  <c r="BZ493" i="2"/>
  <c r="BY493" i="2"/>
  <c r="BX493" i="2"/>
  <c r="BW493" i="2"/>
  <c r="BV493" i="2"/>
  <c r="BU493" i="2"/>
  <c r="BT493" i="2"/>
  <c r="BS493" i="2"/>
  <c r="BR493" i="2"/>
  <c r="BQ493" i="2"/>
  <c r="BP493" i="2"/>
  <c r="BO493" i="2"/>
  <c r="BN493" i="2"/>
  <c r="BM493" i="2"/>
  <c r="BL493" i="2"/>
  <c r="BK493" i="2"/>
  <c r="BJ493" i="2"/>
  <c r="BI493" i="2"/>
  <c r="BH493" i="2"/>
  <c r="BG493" i="2"/>
  <c r="BF493" i="2"/>
  <c r="BE493" i="2"/>
  <c r="BD493" i="2"/>
  <c r="BC493" i="2"/>
  <c r="BB493" i="2"/>
  <c r="BA493" i="2"/>
  <c r="AZ493" i="2"/>
  <c r="AY493" i="2"/>
  <c r="AX493" i="2"/>
  <c r="AW493" i="2"/>
  <c r="AV493" i="2"/>
  <c r="AU493" i="2"/>
  <c r="AT493" i="2"/>
  <c r="AS493" i="2"/>
  <c r="AR493" i="2"/>
  <c r="AQ493" i="2"/>
  <c r="AP493" i="2"/>
  <c r="AO493" i="2"/>
  <c r="AN493" i="2"/>
  <c r="AM493" i="2"/>
  <c r="AL493" i="2"/>
  <c r="AK493" i="2"/>
  <c r="AJ493" i="2"/>
  <c r="AI493" i="2"/>
  <c r="AH493" i="2"/>
  <c r="AG493" i="2"/>
  <c r="AF493" i="2"/>
  <c r="AE493" i="2"/>
  <c r="AD493" i="2"/>
  <c r="AC493" i="2"/>
  <c r="AB493" i="2"/>
  <c r="AA493" i="2"/>
  <c r="Z493" i="2"/>
  <c r="Y493" i="2"/>
  <c r="X493" i="2"/>
  <c r="W493" i="2"/>
  <c r="V493" i="2"/>
  <c r="U493" i="2"/>
  <c r="T493" i="2"/>
  <c r="S493" i="2"/>
  <c r="R493" i="2"/>
  <c r="Q493" i="2"/>
  <c r="P493" i="2"/>
  <c r="O493" i="2"/>
  <c r="N493" i="2"/>
  <c r="M493" i="2"/>
  <c r="L493" i="2"/>
  <c r="K493" i="2"/>
  <c r="J493" i="2"/>
  <c r="I493" i="2"/>
  <c r="H493" i="2"/>
  <c r="G493" i="2"/>
  <c r="F493" i="2"/>
  <c r="E493" i="2"/>
  <c r="D493" i="2"/>
  <c r="C493" i="2"/>
  <c r="B493" i="2"/>
  <c r="A493" i="2"/>
  <c r="FS490" i="2"/>
  <c r="FR490" i="2"/>
  <c r="FQ490" i="2"/>
  <c r="FP490" i="2"/>
  <c r="FO490" i="2"/>
  <c r="FN490" i="2"/>
  <c r="FM490" i="2"/>
  <c r="FL490" i="2"/>
  <c r="FK490" i="2"/>
  <c r="FJ490" i="2"/>
  <c r="FI490" i="2"/>
  <c r="FH490" i="2"/>
  <c r="FG490" i="2"/>
  <c r="FF490" i="2"/>
  <c r="FE490" i="2"/>
  <c r="FD490" i="2"/>
  <c r="FC490" i="2"/>
  <c r="FB490" i="2"/>
  <c r="FA490" i="2"/>
  <c r="EZ490" i="2"/>
  <c r="EY490" i="2"/>
  <c r="EX490" i="2"/>
  <c r="EW490" i="2"/>
  <c r="EV490" i="2"/>
  <c r="EU490" i="2"/>
  <c r="ET490" i="2"/>
  <c r="ES490" i="2"/>
  <c r="ER490" i="2"/>
  <c r="EQ490" i="2"/>
  <c r="EP490" i="2"/>
  <c r="EO490" i="2"/>
  <c r="EN490" i="2"/>
  <c r="EM490" i="2"/>
  <c r="EL490" i="2"/>
  <c r="EK490" i="2"/>
  <c r="EJ490" i="2"/>
  <c r="EI490" i="2"/>
  <c r="EH490" i="2"/>
  <c r="EG490" i="2"/>
  <c r="EF490" i="2"/>
  <c r="EE490" i="2"/>
  <c r="ED490" i="2"/>
  <c r="EC490" i="2"/>
  <c r="EB490" i="2"/>
  <c r="DY490" i="2"/>
  <c r="DX490" i="2"/>
  <c r="DW490" i="2"/>
  <c r="DV490" i="2"/>
  <c r="DU490" i="2"/>
  <c r="DT490" i="2"/>
  <c r="DS490" i="2"/>
  <c r="DR490" i="2"/>
  <c r="DQ490" i="2"/>
  <c r="DP490" i="2"/>
  <c r="DO490" i="2"/>
  <c r="DN490" i="2"/>
  <c r="DM490" i="2"/>
  <c r="DL490" i="2"/>
  <c r="DK490" i="2"/>
  <c r="DJ490" i="2"/>
  <c r="DI490" i="2"/>
  <c r="DH490" i="2"/>
  <c r="DG490" i="2"/>
  <c r="DF490" i="2"/>
  <c r="DE490" i="2"/>
  <c r="DD490" i="2"/>
  <c r="DC490" i="2"/>
  <c r="DB490" i="2"/>
  <c r="DA490" i="2"/>
  <c r="CZ490" i="2"/>
  <c r="CY490" i="2"/>
  <c r="CX490" i="2"/>
  <c r="CW490" i="2"/>
  <c r="CV490" i="2"/>
  <c r="CU490" i="2"/>
  <c r="CT490" i="2"/>
  <c r="CS490" i="2"/>
  <c r="CR490" i="2"/>
  <c r="CQ490" i="2"/>
  <c r="CP490" i="2"/>
  <c r="CO490" i="2"/>
  <c r="CN490" i="2"/>
  <c r="CM490" i="2"/>
  <c r="CL490" i="2"/>
  <c r="CK490" i="2"/>
  <c r="CJ490" i="2"/>
  <c r="CI490" i="2"/>
  <c r="CH490" i="2"/>
  <c r="CG490" i="2"/>
  <c r="CF490" i="2"/>
  <c r="CE490" i="2"/>
  <c r="CD490" i="2"/>
  <c r="CC490" i="2"/>
  <c r="CB490" i="2"/>
  <c r="CA490" i="2"/>
  <c r="BZ490" i="2"/>
  <c r="BY490" i="2"/>
  <c r="BX490" i="2"/>
  <c r="BW490" i="2"/>
  <c r="BV490" i="2"/>
  <c r="BU490" i="2"/>
  <c r="BT490" i="2"/>
  <c r="BS490" i="2"/>
  <c r="BR490" i="2"/>
  <c r="BQ490" i="2"/>
  <c r="BP490" i="2"/>
  <c r="BO490" i="2"/>
  <c r="BN490" i="2"/>
  <c r="BM490" i="2"/>
  <c r="BL490" i="2"/>
  <c r="BK490" i="2"/>
  <c r="BJ490" i="2"/>
  <c r="BI490" i="2"/>
  <c r="BH490" i="2"/>
  <c r="BG490" i="2"/>
  <c r="BF490" i="2"/>
  <c r="BE490" i="2"/>
  <c r="BD490" i="2"/>
  <c r="BC490" i="2"/>
  <c r="BB490" i="2"/>
  <c r="BA490" i="2"/>
  <c r="AZ490" i="2"/>
  <c r="AY490" i="2"/>
  <c r="AX490" i="2"/>
  <c r="AW490" i="2"/>
  <c r="AV490" i="2"/>
  <c r="AU490" i="2"/>
  <c r="AT490" i="2"/>
  <c r="AS490" i="2"/>
  <c r="AR490" i="2"/>
  <c r="AQ490" i="2"/>
  <c r="AP490" i="2"/>
  <c r="AO490" i="2"/>
  <c r="AN490" i="2"/>
  <c r="AM490" i="2"/>
  <c r="AL490" i="2"/>
  <c r="AK490" i="2"/>
  <c r="AJ490" i="2"/>
  <c r="AI490" i="2"/>
  <c r="AH490" i="2"/>
  <c r="AG490" i="2"/>
  <c r="AF490" i="2"/>
  <c r="AE490" i="2"/>
  <c r="AD490" i="2"/>
  <c r="AC490" i="2"/>
  <c r="AB490" i="2"/>
  <c r="AA490" i="2"/>
  <c r="Z490" i="2"/>
  <c r="Y490" i="2"/>
  <c r="X490" i="2"/>
  <c r="W490" i="2"/>
  <c r="V490" i="2"/>
  <c r="U490" i="2"/>
  <c r="T490" i="2"/>
  <c r="S490" i="2"/>
  <c r="R490" i="2"/>
  <c r="Q490" i="2"/>
  <c r="P490" i="2"/>
  <c r="O490" i="2"/>
  <c r="N490" i="2"/>
  <c r="M490" i="2"/>
  <c r="L490" i="2"/>
  <c r="K490" i="2"/>
  <c r="J490" i="2"/>
  <c r="I490" i="2"/>
  <c r="H490" i="2"/>
  <c r="G490" i="2"/>
  <c r="F490" i="2"/>
  <c r="E490" i="2"/>
  <c r="D490" i="2"/>
  <c r="C490" i="2"/>
  <c r="B490" i="2"/>
  <c r="A490" i="2"/>
  <c r="FS487" i="2"/>
  <c r="FR487" i="2"/>
  <c r="FQ487" i="2"/>
  <c r="FP487" i="2"/>
  <c r="FO487" i="2"/>
  <c r="FN487" i="2"/>
  <c r="FM487" i="2"/>
  <c r="FL487" i="2"/>
  <c r="FK487" i="2"/>
  <c r="FJ487" i="2"/>
  <c r="FI487" i="2"/>
  <c r="FH487" i="2"/>
  <c r="FG487" i="2"/>
  <c r="FF487" i="2"/>
  <c r="FE487" i="2"/>
  <c r="FD487" i="2"/>
  <c r="FC487" i="2"/>
  <c r="FB487" i="2"/>
  <c r="FA487" i="2"/>
  <c r="EZ487" i="2"/>
  <c r="EY487" i="2"/>
  <c r="EX487" i="2"/>
  <c r="EW487" i="2"/>
  <c r="EV487" i="2"/>
  <c r="EU487" i="2"/>
  <c r="ET487" i="2"/>
  <c r="ES487" i="2"/>
  <c r="ER487" i="2"/>
  <c r="EQ487" i="2"/>
  <c r="EP487" i="2"/>
  <c r="EO487" i="2"/>
  <c r="EN487" i="2"/>
  <c r="EM487" i="2"/>
  <c r="EL487" i="2"/>
  <c r="EK487" i="2"/>
  <c r="EJ487" i="2"/>
  <c r="EI487" i="2"/>
  <c r="EH487" i="2"/>
  <c r="EG487" i="2"/>
  <c r="EF487" i="2"/>
  <c r="EE487" i="2"/>
  <c r="ED487" i="2"/>
  <c r="EC487" i="2"/>
  <c r="EB487" i="2"/>
  <c r="DY487" i="2"/>
  <c r="DX487" i="2"/>
  <c r="DW487" i="2"/>
  <c r="DV487" i="2"/>
  <c r="DU487" i="2"/>
  <c r="DT487" i="2"/>
  <c r="DS487" i="2"/>
  <c r="DR487" i="2"/>
  <c r="DQ487" i="2"/>
  <c r="DP487" i="2"/>
  <c r="DO487" i="2"/>
  <c r="DN487" i="2"/>
  <c r="DM487" i="2"/>
  <c r="DL487" i="2"/>
  <c r="DK487" i="2"/>
  <c r="DJ487" i="2"/>
  <c r="DI487" i="2"/>
  <c r="DH487" i="2"/>
  <c r="DG487" i="2"/>
  <c r="DF487" i="2"/>
  <c r="DE487" i="2"/>
  <c r="DD487" i="2"/>
  <c r="DC487" i="2"/>
  <c r="DB487" i="2"/>
  <c r="DA487" i="2"/>
  <c r="CZ487" i="2"/>
  <c r="CY487" i="2"/>
  <c r="CX487" i="2"/>
  <c r="CW487" i="2"/>
  <c r="CV487" i="2"/>
  <c r="CU487" i="2"/>
  <c r="CT487" i="2"/>
  <c r="CS487" i="2"/>
  <c r="CR487" i="2"/>
  <c r="CQ487" i="2"/>
  <c r="CP487" i="2"/>
  <c r="CO487" i="2"/>
  <c r="CN487" i="2"/>
  <c r="CM487" i="2"/>
  <c r="CL487" i="2"/>
  <c r="CK487" i="2"/>
  <c r="CJ487" i="2"/>
  <c r="CI487" i="2"/>
  <c r="CH487" i="2"/>
  <c r="CG487" i="2"/>
  <c r="CF487" i="2"/>
  <c r="CE487" i="2"/>
  <c r="CD487" i="2"/>
  <c r="CC487" i="2"/>
  <c r="CB487" i="2"/>
  <c r="CA487" i="2"/>
  <c r="BZ487" i="2"/>
  <c r="BY487" i="2"/>
  <c r="BX487" i="2"/>
  <c r="BW487" i="2"/>
  <c r="BV487" i="2"/>
  <c r="BU487" i="2"/>
  <c r="BT487" i="2"/>
  <c r="BS487" i="2"/>
  <c r="BR487" i="2"/>
  <c r="BQ487" i="2"/>
  <c r="BP487" i="2"/>
  <c r="BO487" i="2"/>
  <c r="BN487" i="2"/>
  <c r="BM487" i="2"/>
  <c r="BL487" i="2"/>
  <c r="BK487" i="2"/>
  <c r="BJ487" i="2"/>
  <c r="BI487" i="2"/>
  <c r="BH487" i="2"/>
  <c r="BG487" i="2"/>
  <c r="BF487" i="2"/>
  <c r="BE487" i="2"/>
  <c r="BD487" i="2"/>
  <c r="BC487" i="2"/>
  <c r="BB487" i="2"/>
  <c r="BA487" i="2"/>
  <c r="AZ487" i="2"/>
  <c r="AY487" i="2"/>
  <c r="AX487" i="2"/>
  <c r="AW487" i="2"/>
  <c r="AV487" i="2"/>
  <c r="AU487" i="2"/>
  <c r="AT487" i="2"/>
  <c r="AS487" i="2"/>
  <c r="AR487" i="2"/>
  <c r="AQ487" i="2"/>
  <c r="AP487" i="2"/>
  <c r="AO487" i="2"/>
  <c r="AN487" i="2"/>
  <c r="AM487" i="2"/>
  <c r="AL487" i="2"/>
  <c r="AK487" i="2"/>
  <c r="AJ487" i="2"/>
  <c r="AI487" i="2"/>
  <c r="AH487" i="2"/>
  <c r="AG487" i="2"/>
  <c r="AF487" i="2"/>
  <c r="AE487" i="2"/>
  <c r="AD487" i="2"/>
  <c r="AC487" i="2"/>
  <c r="AB487" i="2"/>
  <c r="AA487" i="2"/>
  <c r="Z487" i="2"/>
  <c r="Y487" i="2"/>
  <c r="X487" i="2"/>
  <c r="W487" i="2"/>
  <c r="V487" i="2"/>
  <c r="U487" i="2"/>
  <c r="T487" i="2"/>
  <c r="S487" i="2"/>
  <c r="R487" i="2"/>
  <c r="Q487" i="2"/>
  <c r="P487" i="2"/>
  <c r="O487" i="2"/>
  <c r="N487" i="2"/>
  <c r="M487" i="2"/>
  <c r="L487" i="2"/>
  <c r="K487" i="2"/>
  <c r="J487" i="2"/>
  <c r="I487" i="2"/>
  <c r="H487" i="2"/>
  <c r="G487" i="2"/>
  <c r="F487" i="2"/>
  <c r="E487" i="2"/>
  <c r="D487" i="2"/>
  <c r="C487" i="2"/>
  <c r="B487" i="2"/>
  <c r="FH484" i="2"/>
  <c r="FG484" i="2"/>
  <c r="FF484" i="2"/>
  <c r="FE484" i="2"/>
  <c r="FD484" i="2"/>
  <c r="FC484" i="2"/>
  <c r="FB484" i="2"/>
  <c r="FA484" i="2"/>
  <c r="EZ484" i="2"/>
  <c r="EY484" i="2"/>
  <c r="EX484" i="2"/>
  <c r="EW484" i="2"/>
  <c r="EV484" i="2"/>
  <c r="EU484" i="2"/>
  <c r="ET484" i="2"/>
  <c r="ES484" i="2"/>
  <c r="ER484" i="2"/>
  <c r="EQ484" i="2"/>
  <c r="EP484" i="2"/>
  <c r="EO484" i="2"/>
  <c r="EN484" i="2"/>
  <c r="EM484" i="2"/>
  <c r="EL484" i="2"/>
  <c r="EK484" i="2"/>
  <c r="EJ484" i="2"/>
  <c r="EI484" i="2"/>
  <c r="EH484" i="2"/>
  <c r="EG484" i="2"/>
  <c r="EF484" i="2"/>
  <c r="EE484" i="2"/>
  <c r="ED484" i="2"/>
  <c r="EC484" i="2"/>
  <c r="EB484" i="2"/>
  <c r="DQ484" i="2"/>
  <c r="DP484" i="2"/>
  <c r="DO484" i="2"/>
  <c r="DN484" i="2"/>
  <c r="DM484" i="2"/>
  <c r="DL484" i="2"/>
  <c r="DK484" i="2"/>
  <c r="DJ484" i="2"/>
  <c r="DI484" i="2"/>
  <c r="DH484" i="2"/>
  <c r="DG484" i="2"/>
  <c r="DF484" i="2"/>
  <c r="DE484" i="2"/>
  <c r="DD484" i="2"/>
  <c r="DC484" i="2"/>
  <c r="DB484" i="2"/>
  <c r="DA484" i="2"/>
  <c r="CZ484" i="2"/>
  <c r="CY484" i="2"/>
  <c r="CX484" i="2"/>
  <c r="CW484" i="2"/>
  <c r="CV484" i="2"/>
  <c r="CU484" i="2"/>
  <c r="CT484" i="2"/>
  <c r="CS484" i="2"/>
  <c r="CR484" i="2"/>
  <c r="CQ484" i="2"/>
  <c r="CP484" i="2"/>
  <c r="CO484" i="2"/>
  <c r="CN484" i="2"/>
  <c r="CM484" i="2"/>
  <c r="CL484" i="2"/>
  <c r="CK484" i="2"/>
  <c r="CJ484" i="2"/>
  <c r="CI484" i="2"/>
  <c r="CH484" i="2"/>
  <c r="CG484" i="2"/>
  <c r="CF484" i="2"/>
  <c r="CE484" i="2"/>
  <c r="CD484" i="2"/>
  <c r="CC484" i="2"/>
  <c r="CB484" i="2"/>
  <c r="CA484" i="2"/>
  <c r="BZ484" i="2"/>
  <c r="BY484" i="2"/>
  <c r="BX484" i="2"/>
  <c r="BW484" i="2"/>
  <c r="BV484" i="2"/>
  <c r="BU484" i="2"/>
  <c r="BT484" i="2"/>
  <c r="BS484" i="2"/>
  <c r="BR484" i="2"/>
  <c r="BQ484" i="2"/>
  <c r="BP484" i="2"/>
  <c r="BO484" i="2"/>
  <c r="BN484" i="2"/>
  <c r="BM484" i="2"/>
  <c r="BL484" i="2"/>
  <c r="BK484" i="2"/>
  <c r="BJ484" i="2"/>
  <c r="BI484" i="2"/>
  <c r="BH484" i="2"/>
  <c r="BG484" i="2"/>
  <c r="BF484" i="2"/>
  <c r="BE484" i="2"/>
  <c r="BD484" i="2"/>
  <c r="BC484" i="2"/>
  <c r="BB484" i="2"/>
  <c r="BA484" i="2"/>
  <c r="AZ484" i="2"/>
  <c r="AY484" i="2"/>
  <c r="AX484" i="2"/>
  <c r="AW484" i="2"/>
  <c r="AV484" i="2"/>
  <c r="AU484" i="2"/>
  <c r="AT484" i="2"/>
  <c r="AS484" i="2"/>
  <c r="AR484" i="2"/>
  <c r="AQ484" i="2"/>
  <c r="AP484" i="2"/>
  <c r="AO484" i="2"/>
  <c r="AN484" i="2"/>
  <c r="AM484" i="2"/>
  <c r="AL484" i="2"/>
  <c r="AK484" i="2"/>
  <c r="AJ484" i="2"/>
  <c r="AI484" i="2"/>
  <c r="AH484" i="2"/>
  <c r="AG484" i="2"/>
  <c r="AF484" i="2"/>
  <c r="AE484" i="2"/>
  <c r="AD484" i="2"/>
  <c r="AC484" i="2"/>
  <c r="AB484" i="2"/>
  <c r="AA484" i="2"/>
  <c r="Z484" i="2"/>
  <c r="Y484" i="2"/>
  <c r="X484" i="2"/>
  <c r="W484" i="2"/>
  <c r="V484" i="2"/>
  <c r="U484" i="2"/>
  <c r="T484" i="2"/>
  <c r="S484" i="2"/>
  <c r="R484" i="2"/>
  <c r="Q484" i="2"/>
  <c r="P484" i="2"/>
  <c r="O484" i="2"/>
  <c r="N484" i="2"/>
  <c r="M484" i="2"/>
  <c r="L484" i="2"/>
  <c r="K484" i="2"/>
  <c r="J484" i="2"/>
  <c r="I484" i="2"/>
  <c r="H484" i="2"/>
  <c r="G484" i="2"/>
  <c r="F484" i="2"/>
  <c r="E484" i="2"/>
  <c r="D484" i="2"/>
  <c r="C484" i="2"/>
  <c r="B484" i="2"/>
  <c r="A484" i="2"/>
  <c r="FG480" i="2"/>
  <c r="FE480" i="2"/>
  <c r="FC480" i="2"/>
  <c r="FA480" i="2"/>
  <c r="EY480" i="2"/>
  <c r="EW480" i="2"/>
  <c r="EU480" i="2"/>
  <c r="ES480" i="2"/>
  <c r="EQ480" i="2"/>
  <c r="EO480" i="2"/>
  <c r="EM480" i="2"/>
  <c r="EK480" i="2"/>
  <c r="EI480" i="2"/>
  <c r="EG480" i="2"/>
  <c r="EE480" i="2"/>
  <c r="EC480" i="2"/>
  <c r="DP480" i="2"/>
  <c r="DN480" i="2"/>
  <c r="DL480" i="2"/>
  <c r="DJ480" i="2"/>
  <c r="DH480" i="2"/>
  <c r="DF480" i="2"/>
  <c r="DD480" i="2"/>
  <c r="DB480" i="2"/>
  <c r="CZ480" i="2"/>
  <c r="CX480" i="2"/>
  <c r="CV480" i="2"/>
  <c r="CT480" i="2"/>
  <c r="CR480" i="2"/>
  <c r="CP480" i="2"/>
  <c r="CN480" i="2"/>
  <c r="CL480" i="2"/>
  <c r="CJ480" i="2"/>
  <c r="CH480" i="2"/>
  <c r="CF480" i="2"/>
  <c r="CD480" i="2"/>
  <c r="CB480" i="2"/>
  <c r="BZ480" i="2"/>
  <c r="BX480" i="2"/>
  <c r="BV480" i="2"/>
  <c r="BT480" i="2"/>
  <c r="BR480" i="2"/>
  <c r="BP480" i="2"/>
  <c r="BN480" i="2"/>
  <c r="BL480" i="2"/>
  <c r="BJ480" i="2"/>
  <c r="BH480" i="2"/>
  <c r="BF480" i="2"/>
  <c r="BD480" i="2"/>
  <c r="BB480" i="2"/>
  <c r="AZ480" i="2"/>
  <c r="AX480" i="2"/>
  <c r="AV480" i="2"/>
  <c r="AT480" i="2"/>
  <c r="AR480" i="2"/>
  <c r="AP480" i="2"/>
  <c r="AN480" i="2"/>
  <c r="AL480" i="2"/>
  <c r="AJ480" i="2"/>
  <c r="AH480" i="2"/>
  <c r="AF480" i="2"/>
  <c r="AD480" i="2"/>
  <c r="AB480" i="2"/>
  <c r="Z480" i="2"/>
  <c r="X480" i="2"/>
  <c r="V480" i="2"/>
  <c r="T480" i="2"/>
  <c r="R480" i="2"/>
  <c r="P480" i="2"/>
  <c r="N480" i="2"/>
  <c r="L480" i="2"/>
  <c r="J480" i="2"/>
  <c r="H480" i="2"/>
  <c r="F480" i="2"/>
  <c r="D480" i="2"/>
  <c r="B480" i="2"/>
  <c r="FH480" i="2"/>
  <c r="FF480" i="2"/>
  <c r="FD480" i="2"/>
  <c r="FB480" i="2"/>
  <c r="EZ480" i="2"/>
  <c r="EX480" i="2"/>
  <c r="EV480" i="2"/>
  <c r="ET480" i="2"/>
  <c r="ER480" i="2"/>
  <c r="EP480" i="2"/>
  <c r="EN480" i="2"/>
  <c r="EL480" i="2"/>
  <c r="EJ480" i="2"/>
  <c r="EH480" i="2"/>
  <c r="EF480" i="2"/>
  <c r="ED480" i="2"/>
  <c r="EB480" i="2"/>
  <c r="DQ480" i="2"/>
  <c r="DO480" i="2"/>
  <c r="DM480" i="2"/>
  <c r="DK480" i="2"/>
  <c r="DI480" i="2"/>
  <c r="DG480" i="2"/>
  <c r="DE480" i="2"/>
  <c r="DC480" i="2"/>
  <c r="DA480" i="2"/>
  <c r="CY480" i="2"/>
  <c r="CW480" i="2"/>
  <c r="CU480" i="2"/>
  <c r="CS480" i="2"/>
  <c r="CQ480" i="2"/>
  <c r="CO480" i="2"/>
  <c r="CM480" i="2"/>
  <c r="CK480" i="2"/>
  <c r="CI480" i="2"/>
  <c r="CG480" i="2"/>
  <c r="CE480" i="2"/>
  <c r="CC480" i="2"/>
  <c r="CA480" i="2"/>
  <c r="BY480" i="2"/>
  <c r="BW480" i="2"/>
  <c r="BU480" i="2"/>
  <c r="BS480" i="2"/>
  <c r="BQ480" i="2"/>
  <c r="BO480" i="2"/>
  <c r="BM480" i="2"/>
  <c r="BK480" i="2"/>
  <c r="BI480" i="2"/>
  <c r="BG480" i="2"/>
  <c r="BE480" i="2"/>
  <c r="BC480" i="2"/>
  <c r="BA480" i="2"/>
  <c r="AY480" i="2"/>
  <c r="AW480" i="2"/>
  <c r="AU480" i="2"/>
  <c r="AS480" i="2"/>
  <c r="AQ480" i="2"/>
  <c r="AO480" i="2"/>
  <c r="AM480" i="2"/>
  <c r="AK480" i="2"/>
  <c r="AI480" i="2"/>
  <c r="AG480" i="2"/>
  <c r="AE480" i="2"/>
  <c r="AC480" i="2"/>
  <c r="AA480" i="2"/>
  <c r="Y480" i="2"/>
  <c r="W480" i="2"/>
  <c r="U480" i="2"/>
  <c r="S480" i="2"/>
  <c r="Q480" i="2"/>
  <c r="O480" i="2"/>
  <c r="M480" i="2"/>
  <c r="K480" i="2"/>
  <c r="I480" i="2"/>
  <c r="G480" i="2"/>
  <c r="E480" i="2"/>
  <c r="C480" i="2"/>
  <c r="FH478" i="2"/>
  <c r="FG478" i="2"/>
  <c r="FF478" i="2"/>
  <c r="FE478" i="2"/>
  <c r="FD478" i="2"/>
  <c r="FC478" i="2"/>
  <c r="FB478" i="2"/>
  <c r="FA478" i="2"/>
  <c r="EZ478" i="2"/>
  <c r="EY478" i="2"/>
  <c r="EX478" i="2"/>
  <c r="EW478" i="2"/>
  <c r="EV478" i="2"/>
  <c r="EU478" i="2"/>
  <c r="ET478" i="2"/>
  <c r="ES478" i="2"/>
  <c r="ER478" i="2"/>
  <c r="EQ478" i="2"/>
  <c r="EP478" i="2"/>
  <c r="EO478" i="2"/>
  <c r="EN478" i="2"/>
  <c r="EM478" i="2"/>
  <c r="EL478" i="2"/>
  <c r="EK478" i="2"/>
  <c r="EJ478" i="2"/>
  <c r="EI478" i="2"/>
  <c r="EH478" i="2"/>
  <c r="EG478" i="2"/>
  <c r="EF478" i="2"/>
  <c r="EE478" i="2"/>
  <c r="ED478" i="2"/>
  <c r="EC478" i="2"/>
  <c r="EB478" i="2"/>
  <c r="FJ477" i="2"/>
  <c r="FI477" i="2"/>
  <c r="FH477" i="2"/>
  <c r="FG477" i="2"/>
  <c r="FF477" i="2"/>
  <c r="FE477" i="2"/>
  <c r="FD477" i="2"/>
  <c r="FC477" i="2"/>
  <c r="FB477" i="2"/>
  <c r="FA477" i="2"/>
  <c r="EZ477" i="2"/>
  <c r="EY477" i="2"/>
  <c r="EX477" i="2"/>
  <c r="EW477" i="2"/>
  <c r="EV477" i="2"/>
  <c r="EU477" i="2"/>
  <c r="ET477" i="2"/>
  <c r="ES477" i="2"/>
  <c r="ER477" i="2"/>
  <c r="EQ477" i="2"/>
  <c r="EP477" i="2"/>
  <c r="EO477" i="2"/>
  <c r="EN477" i="2"/>
  <c r="EM477" i="2"/>
  <c r="EL477" i="2"/>
  <c r="EK477" i="2"/>
  <c r="EJ477" i="2"/>
  <c r="EI477" i="2"/>
  <c r="EH477" i="2"/>
  <c r="EG477" i="2"/>
  <c r="EF477" i="2"/>
  <c r="EE477" i="2"/>
  <c r="ED477" i="2"/>
  <c r="EC477" i="2"/>
  <c r="EB477" i="2"/>
  <c r="FH476" i="2"/>
  <c r="FG476" i="2"/>
  <c r="FF476" i="2"/>
  <c r="FE476" i="2"/>
  <c r="FD476" i="2"/>
  <c r="FC476" i="2"/>
  <c r="FB476" i="2"/>
  <c r="FA476" i="2"/>
  <c r="EZ476" i="2"/>
  <c r="EY476" i="2"/>
  <c r="EX476" i="2"/>
  <c r="EW476" i="2"/>
  <c r="EV476" i="2"/>
  <c r="EU476" i="2"/>
  <c r="ET476" i="2"/>
  <c r="ES476" i="2"/>
  <c r="ER476" i="2"/>
  <c r="EQ476" i="2"/>
  <c r="EP476" i="2"/>
  <c r="EO476" i="2"/>
  <c r="EN476" i="2"/>
  <c r="EM476" i="2"/>
  <c r="EL476" i="2"/>
  <c r="EK476" i="2"/>
  <c r="EJ476" i="2"/>
  <c r="EI476" i="2"/>
  <c r="EH476" i="2"/>
  <c r="EG476" i="2"/>
  <c r="EF476" i="2"/>
  <c r="EE476" i="2"/>
  <c r="ED476" i="2"/>
  <c r="EC476" i="2"/>
  <c r="EB476" i="2"/>
  <c r="FS475" i="2"/>
  <c r="FR475" i="2"/>
  <c r="FQ475" i="2"/>
  <c r="FP475" i="2"/>
  <c r="FO475" i="2"/>
  <c r="FN475" i="2"/>
  <c r="FM475" i="2"/>
  <c r="FL475" i="2"/>
  <c r="FK475" i="2"/>
  <c r="FJ475" i="2"/>
  <c r="FI475" i="2"/>
  <c r="FH475" i="2"/>
  <c r="FG475" i="2"/>
  <c r="FF475" i="2"/>
  <c r="FE475" i="2"/>
  <c r="FD475" i="2"/>
  <c r="FC475" i="2"/>
  <c r="FB475" i="2"/>
  <c r="FA475" i="2"/>
  <c r="EZ475" i="2"/>
  <c r="EY475" i="2"/>
  <c r="EX475" i="2"/>
  <c r="EW475" i="2"/>
  <c r="EV475" i="2"/>
  <c r="EU475" i="2"/>
  <c r="ET475" i="2"/>
  <c r="ES475" i="2"/>
  <c r="ER475" i="2"/>
  <c r="EQ475" i="2"/>
  <c r="EP475" i="2"/>
  <c r="EO475" i="2"/>
  <c r="EN475" i="2"/>
  <c r="EM475" i="2"/>
  <c r="EL475" i="2"/>
  <c r="EK475" i="2"/>
  <c r="EJ475" i="2"/>
  <c r="EI475" i="2"/>
  <c r="EH475" i="2"/>
  <c r="EG475" i="2"/>
  <c r="EF475" i="2"/>
  <c r="EE475" i="2"/>
  <c r="ED475" i="2"/>
  <c r="EC475" i="2"/>
  <c r="EB475" i="2"/>
  <c r="FJ474" i="2"/>
  <c r="FI474" i="2"/>
  <c r="FH474" i="2"/>
  <c r="FG474" i="2"/>
  <c r="FF474" i="2"/>
  <c r="FE474" i="2"/>
  <c r="FD474" i="2"/>
  <c r="FC474" i="2"/>
  <c r="FB474" i="2"/>
  <c r="FA474" i="2"/>
  <c r="EZ474" i="2"/>
  <c r="EY474" i="2"/>
  <c r="EX474" i="2"/>
  <c r="EW474" i="2"/>
  <c r="EV474" i="2"/>
  <c r="EU474" i="2"/>
  <c r="ET474" i="2"/>
  <c r="ES474" i="2"/>
  <c r="ER474" i="2"/>
  <c r="EQ474" i="2"/>
  <c r="EP474" i="2"/>
  <c r="EO474" i="2"/>
  <c r="EN474" i="2"/>
  <c r="EM474" i="2"/>
  <c r="EL474" i="2"/>
  <c r="EK474" i="2"/>
  <c r="EJ474" i="2"/>
  <c r="EI474" i="2"/>
  <c r="EH474" i="2"/>
  <c r="EG474" i="2"/>
  <c r="EF474" i="2"/>
  <c r="EE474" i="2"/>
  <c r="ED474" i="2"/>
  <c r="EC474" i="2"/>
  <c r="EB474" i="2"/>
  <c r="FH473" i="2"/>
  <c r="FG473" i="2"/>
  <c r="FF473" i="2"/>
  <c r="FE473" i="2"/>
  <c r="FD473" i="2"/>
  <c r="FC473" i="2"/>
  <c r="FB473" i="2"/>
  <c r="FA473" i="2"/>
  <c r="EZ473" i="2"/>
  <c r="EY473" i="2"/>
  <c r="EX473" i="2"/>
  <c r="EW473" i="2"/>
  <c r="EV473" i="2"/>
  <c r="EU473" i="2"/>
  <c r="ET473" i="2"/>
  <c r="ES473" i="2"/>
  <c r="ER473" i="2"/>
  <c r="EQ473" i="2"/>
  <c r="EP473" i="2"/>
  <c r="EO473" i="2"/>
  <c r="EN473" i="2"/>
  <c r="EM473" i="2"/>
  <c r="EL473" i="2"/>
  <c r="EK473" i="2"/>
  <c r="EJ473" i="2"/>
  <c r="EI473" i="2"/>
  <c r="EH473" i="2"/>
  <c r="EG473" i="2"/>
  <c r="EF473" i="2"/>
  <c r="EE473" i="2"/>
  <c r="ED473" i="2"/>
  <c r="EC473" i="2"/>
  <c r="EB473" i="2"/>
  <c r="DQ478" i="2"/>
  <c r="DP478" i="2"/>
  <c r="DO478" i="2"/>
  <c r="DN478" i="2"/>
  <c r="DM478" i="2"/>
  <c r="DL478" i="2"/>
  <c r="DK478" i="2"/>
  <c r="DJ478" i="2"/>
  <c r="DI478" i="2"/>
  <c r="DH478" i="2"/>
  <c r="DG478" i="2"/>
  <c r="DF478" i="2"/>
  <c r="DE478" i="2"/>
  <c r="DD478" i="2"/>
  <c r="DC478" i="2"/>
  <c r="DB478" i="2"/>
  <c r="DA478" i="2"/>
  <c r="CZ478" i="2"/>
  <c r="CY478" i="2"/>
  <c r="CX478" i="2"/>
  <c r="CW478" i="2"/>
  <c r="CV478" i="2"/>
  <c r="CU478" i="2"/>
  <c r="CT478" i="2"/>
  <c r="CS478" i="2"/>
  <c r="CR478" i="2"/>
  <c r="CQ478" i="2"/>
  <c r="CP478" i="2"/>
  <c r="CO478" i="2"/>
  <c r="CN478" i="2"/>
  <c r="CM478" i="2"/>
  <c r="CL478" i="2"/>
  <c r="CK478" i="2"/>
  <c r="CJ478" i="2"/>
  <c r="CI478" i="2"/>
  <c r="CH478" i="2"/>
  <c r="CG478" i="2"/>
  <c r="CF478" i="2"/>
  <c r="CE478" i="2"/>
  <c r="CD478" i="2"/>
  <c r="CC478" i="2"/>
  <c r="CB478" i="2"/>
  <c r="CA478" i="2"/>
  <c r="BZ478" i="2"/>
  <c r="BY478" i="2"/>
  <c r="BX478" i="2"/>
  <c r="BW478" i="2"/>
  <c r="BV478" i="2"/>
  <c r="BU478" i="2"/>
  <c r="BT478" i="2"/>
  <c r="BS478" i="2"/>
  <c r="BR478" i="2"/>
  <c r="BQ478" i="2"/>
  <c r="BP478" i="2"/>
  <c r="BO478" i="2"/>
  <c r="BN478" i="2"/>
  <c r="BM478" i="2"/>
  <c r="BL478" i="2"/>
  <c r="BK478" i="2"/>
  <c r="BJ478" i="2"/>
  <c r="BI478" i="2"/>
  <c r="BH478" i="2"/>
  <c r="BG478" i="2"/>
  <c r="BF478" i="2"/>
  <c r="BE478" i="2"/>
  <c r="BD478" i="2"/>
  <c r="BC478" i="2"/>
  <c r="BB478" i="2"/>
  <c r="BA478" i="2"/>
  <c r="AZ478" i="2"/>
  <c r="AY478" i="2"/>
  <c r="AX478" i="2"/>
  <c r="AW478" i="2"/>
  <c r="AV478" i="2"/>
  <c r="AU478" i="2"/>
  <c r="AT478" i="2"/>
  <c r="AS478" i="2"/>
  <c r="AR478" i="2"/>
  <c r="AQ478" i="2"/>
  <c r="AP478" i="2"/>
  <c r="AO478" i="2"/>
  <c r="AN478" i="2"/>
  <c r="AM478" i="2"/>
  <c r="AL478" i="2"/>
  <c r="AK478" i="2"/>
  <c r="AJ478" i="2"/>
  <c r="AI478" i="2"/>
  <c r="AH478" i="2"/>
  <c r="AG478" i="2"/>
  <c r="AF478" i="2"/>
  <c r="AE478" i="2"/>
  <c r="AD478" i="2"/>
  <c r="AC478" i="2"/>
  <c r="AB478" i="2"/>
  <c r="AA478" i="2"/>
  <c r="Z478" i="2"/>
  <c r="Y478" i="2"/>
  <c r="X478" i="2"/>
  <c r="W478" i="2"/>
  <c r="V478" i="2"/>
  <c r="U478" i="2"/>
  <c r="T478" i="2"/>
  <c r="S478" i="2"/>
  <c r="R478" i="2"/>
  <c r="Q478" i="2"/>
  <c r="P478" i="2"/>
  <c r="O478" i="2"/>
  <c r="N478" i="2"/>
  <c r="M478" i="2"/>
  <c r="L478" i="2"/>
  <c r="K478" i="2"/>
  <c r="J478" i="2"/>
  <c r="I478" i="2"/>
  <c r="H478" i="2"/>
  <c r="G478" i="2"/>
  <c r="F478" i="2"/>
  <c r="E478" i="2"/>
  <c r="D478" i="2"/>
  <c r="C478" i="2"/>
  <c r="B478" i="2"/>
  <c r="A478" i="2"/>
  <c r="DY477" i="2"/>
  <c r="DX477" i="2"/>
  <c r="DW477" i="2"/>
  <c r="DV477" i="2"/>
  <c r="DU477" i="2"/>
  <c r="DT477" i="2"/>
  <c r="DS477" i="2"/>
  <c r="DR477" i="2"/>
  <c r="DQ477" i="2"/>
  <c r="DP477" i="2"/>
  <c r="DO477" i="2"/>
  <c r="DN477" i="2"/>
  <c r="DM477" i="2"/>
  <c r="DL477" i="2"/>
  <c r="DK477" i="2"/>
  <c r="DJ477" i="2"/>
  <c r="DI477" i="2"/>
  <c r="DH477" i="2"/>
  <c r="DG477" i="2"/>
  <c r="DF477" i="2"/>
  <c r="DE477" i="2"/>
  <c r="DD477" i="2"/>
  <c r="DC477" i="2"/>
  <c r="DB477" i="2"/>
  <c r="DA477" i="2"/>
  <c r="CZ477" i="2"/>
  <c r="CY477" i="2"/>
  <c r="CX477" i="2"/>
  <c r="CW477" i="2"/>
  <c r="CV477" i="2"/>
  <c r="CU477" i="2"/>
  <c r="CT477" i="2"/>
  <c r="CS477" i="2"/>
  <c r="CR477" i="2"/>
  <c r="CQ477" i="2"/>
  <c r="CP477" i="2"/>
  <c r="CO477" i="2"/>
  <c r="CN477" i="2"/>
  <c r="CM477" i="2"/>
  <c r="CL477" i="2"/>
  <c r="CK477" i="2"/>
  <c r="CJ477" i="2"/>
  <c r="CI477" i="2"/>
  <c r="CH477" i="2"/>
  <c r="CG477" i="2"/>
  <c r="CF477" i="2"/>
  <c r="CE477" i="2"/>
  <c r="CD477" i="2"/>
  <c r="CC477" i="2"/>
  <c r="CB477" i="2"/>
  <c r="CA477" i="2"/>
  <c r="BZ477" i="2"/>
  <c r="BY477" i="2"/>
  <c r="BX477" i="2"/>
  <c r="BW477" i="2"/>
  <c r="BV477" i="2"/>
  <c r="BU477" i="2"/>
  <c r="BT477" i="2"/>
  <c r="BS477" i="2"/>
  <c r="BR477" i="2"/>
  <c r="BQ477" i="2"/>
  <c r="BP477" i="2"/>
  <c r="BO477" i="2"/>
  <c r="BN477" i="2"/>
  <c r="BM477" i="2"/>
  <c r="BL477" i="2"/>
  <c r="BK477" i="2"/>
  <c r="BJ477" i="2"/>
  <c r="BI477" i="2"/>
  <c r="BH477" i="2"/>
  <c r="BG477" i="2"/>
  <c r="BF477" i="2"/>
  <c r="BE477" i="2"/>
  <c r="BD477" i="2"/>
  <c r="BC477" i="2"/>
  <c r="BB477" i="2"/>
  <c r="BA477" i="2"/>
  <c r="AZ477" i="2"/>
  <c r="AY477" i="2"/>
  <c r="AX477" i="2"/>
  <c r="AW477" i="2"/>
  <c r="AV477" i="2"/>
  <c r="AU477" i="2"/>
  <c r="AT477" i="2"/>
  <c r="AS477" i="2"/>
  <c r="AR477" i="2"/>
  <c r="AQ477" i="2"/>
  <c r="AP477" i="2"/>
  <c r="AO477" i="2"/>
  <c r="AN477" i="2"/>
  <c r="AM477" i="2"/>
  <c r="AL477" i="2"/>
  <c r="AK477" i="2"/>
  <c r="AJ477" i="2"/>
  <c r="AI477" i="2"/>
  <c r="AH477" i="2"/>
  <c r="AG477" i="2"/>
  <c r="AF477" i="2"/>
  <c r="AE477" i="2"/>
  <c r="AD477" i="2"/>
  <c r="AC477" i="2"/>
  <c r="AB477" i="2"/>
  <c r="AA477" i="2"/>
  <c r="Z477" i="2"/>
  <c r="Y477" i="2"/>
  <c r="X477" i="2"/>
  <c r="W477" i="2"/>
  <c r="V477" i="2"/>
  <c r="U477" i="2"/>
  <c r="T477" i="2"/>
  <c r="S477" i="2"/>
  <c r="R477" i="2"/>
  <c r="Q477" i="2"/>
  <c r="P477" i="2"/>
  <c r="O477" i="2"/>
  <c r="N477" i="2"/>
  <c r="M477" i="2"/>
  <c r="L477" i="2"/>
  <c r="K477" i="2"/>
  <c r="J477" i="2"/>
  <c r="I477" i="2"/>
  <c r="H477" i="2"/>
  <c r="G477" i="2"/>
  <c r="F477" i="2"/>
  <c r="E477" i="2"/>
  <c r="D477" i="2"/>
  <c r="C477" i="2"/>
  <c r="B477" i="2"/>
  <c r="A477" i="2"/>
  <c r="DS476" i="2"/>
  <c r="DR476" i="2"/>
  <c r="DQ476" i="2"/>
  <c r="DP476" i="2"/>
  <c r="DO476" i="2"/>
  <c r="DN476" i="2"/>
  <c r="DM476" i="2"/>
  <c r="DL476" i="2"/>
  <c r="DK476" i="2"/>
  <c r="DJ476" i="2"/>
  <c r="DI476" i="2"/>
  <c r="DH476" i="2"/>
  <c r="DG476" i="2"/>
  <c r="DF476" i="2"/>
  <c r="DE476" i="2"/>
  <c r="DD476" i="2"/>
  <c r="DC476" i="2"/>
  <c r="DB476" i="2"/>
  <c r="DA476" i="2"/>
  <c r="CZ476" i="2"/>
  <c r="CY476" i="2"/>
  <c r="CX476" i="2"/>
  <c r="CW476" i="2"/>
  <c r="CV476" i="2"/>
  <c r="CU476" i="2"/>
  <c r="CT476" i="2"/>
  <c r="CS476" i="2"/>
  <c r="CR476" i="2"/>
  <c r="CQ476" i="2"/>
  <c r="CP476" i="2"/>
  <c r="CO476" i="2"/>
  <c r="CN476" i="2"/>
  <c r="CM476" i="2"/>
  <c r="CL476" i="2"/>
  <c r="CK476" i="2"/>
  <c r="CJ476" i="2"/>
  <c r="CI476" i="2"/>
  <c r="CH476" i="2"/>
  <c r="CG476" i="2"/>
  <c r="CF476" i="2"/>
  <c r="CE476" i="2"/>
  <c r="CD476" i="2"/>
  <c r="CC476" i="2"/>
  <c r="CB476" i="2"/>
  <c r="CA476" i="2"/>
  <c r="BZ476" i="2"/>
  <c r="BY476" i="2"/>
  <c r="BX476" i="2"/>
  <c r="BW476" i="2"/>
  <c r="BV476" i="2"/>
  <c r="BU476" i="2"/>
  <c r="BT476" i="2"/>
  <c r="BS476" i="2"/>
  <c r="BR476" i="2"/>
  <c r="BQ476" i="2"/>
  <c r="BP476" i="2"/>
  <c r="BO476" i="2"/>
  <c r="BN476" i="2"/>
  <c r="BM476" i="2"/>
  <c r="BL476" i="2"/>
  <c r="BK476" i="2"/>
  <c r="BJ476" i="2"/>
  <c r="BI476" i="2"/>
  <c r="BH476" i="2"/>
  <c r="BG476" i="2"/>
  <c r="BF476" i="2"/>
  <c r="BE476" i="2"/>
  <c r="BD476" i="2"/>
  <c r="BC476" i="2"/>
  <c r="BB476" i="2"/>
  <c r="BA476" i="2"/>
  <c r="AZ476" i="2"/>
  <c r="AY476" i="2"/>
  <c r="AX476" i="2"/>
  <c r="AW476" i="2"/>
  <c r="AV476" i="2"/>
  <c r="AU476" i="2"/>
  <c r="AT476" i="2"/>
  <c r="AS476" i="2"/>
  <c r="AR476" i="2"/>
  <c r="AQ476" i="2"/>
  <c r="AP476" i="2"/>
  <c r="AO476" i="2"/>
  <c r="AN476" i="2"/>
  <c r="AM476" i="2"/>
  <c r="AL476" i="2"/>
  <c r="AK476" i="2"/>
  <c r="AJ476" i="2"/>
  <c r="AI476" i="2"/>
  <c r="AH476" i="2"/>
  <c r="AG476" i="2"/>
  <c r="AF476" i="2"/>
  <c r="AE476" i="2"/>
  <c r="AD476" i="2"/>
  <c r="AC476" i="2"/>
  <c r="AB476" i="2"/>
  <c r="AA476" i="2"/>
  <c r="Z476" i="2"/>
  <c r="Y476" i="2"/>
  <c r="X476" i="2"/>
  <c r="W476" i="2"/>
  <c r="V476" i="2"/>
  <c r="U476" i="2"/>
  <c r="T476" i="2"/>
  <c r="S476" i="2"/>
  <c r="R476" i="2"/>
  <c r="Q476" i="2"/>
  <c r="P476" i="2"/>
  <c r="O476" i="2"/>
  <c r="N476" i="2"/>
  <c r="M476" i="2"/>
  <c r="L476" i="2"/>
  <c r="K476" i="2"/>
  <c r="J476" i="2"/>
  <c r="I476" i="2"/>
  <c r="H476" i="2"/>
  <c r="G476" i="2"/>
  <c r="F476" i="2"/>
  <c r="E476" i="2"/>
  <c r="D476" i="2"/>
  <c r="C476" i="2"/>
  <c r="B476" i="2"/>
  <c r="A476" i="2"/>
  <c r="DY475" i="2"/>
  <c r="DX475" i="2"/>
  <c r="DW475" i="2"/>
  <c r="DV475" i="2"/>
  <c r="DU475" i="2"/>
  <c r="DT475" i="2"/>
  <c r="DS475" i="2"/>
  <c r="DR475" i="2"/>
  <c r="DQ475" i="2"/>
  <c r="DP475" i="2"/>
  <c r="DO475" i="2"/>
  <c r="DN475" i="2"/>
  <c r="DM475" i="2"/>
  <c r="DL475" i="2"/>
  <c r="DK475" i="2"/>
  <c r="DJ475" i="2"/>
  <c r="DI475" i="2"/>
  <c r="DH475" i="2"/>
  <c r="DG475" i="2"/>
  <c r="DF475" i="2"/>
  <c r="DE475" i="2"/>
  <c r="DD475" i="2"/>
  <c r="DC475" i="2"/>
  <c r="DB475" i="2"/>
  <c r="DA475" i="2"/>
  <c r="CZ475" i="2"/>
  <c r="CY475" i="2"/>
  <c r="CX475" i="2"/>
  <c r="CW475" i="2"/>
  <c r="CV475" i="2"/>
  <c r="CU475" i="2"/>
  <c r="CT475" i="2"/>
  <c r="CS475" i="2"/>
  <c r="CR475" i="2"/>
  <c r="CQ475" i="2"/>
  <c r="CP475" i="2"/>
  <c r="CO475" i="2"/>
  <c r="CN475" i="2"/>
  <c r="CM475" i="2"/>
  <c r="CL475" i="2"/>
  <c r="CK475" i="2"/>
  <c r="CJ475" i="2"/>
  <c r="CI475" i="2"/>
  <c r="CH475" i="2"/>
  <c r="CG475" i="2"/>
  <c r="CF475" i="2"/>
  <c r="CE475" i="2"/>
  <c r="CD475" i="2"/>
  <c r="CC475" i="2"/>
  <c r="CB475" i="2"/>
  <c r="CA475" i="2"/>
  <c r="BZ475" i="2"/>
  <c r="BY475" i="2"/>
  <c r="BX475" i="2"/>
  <c r="BW475" i="2"/>
  <c r="BV475" i="2"/>
  <c r="BU475" i="2"/>
  <c r="BT475" i="2"/>
  <c r="BS475" i="2"/>
  <c r="BR475" i="2"/>
  <c r="BQ475" i="2"/>
  <c r="BP475" i="2"/>
  <c r="BO475" i="2"/>
  <c r="BN475" i="2"/>
  <c r="BM475" i="2"/>
  <c r="BL475" i="2"/>
  <c r="BK475" i="2"/>
  <c r="BJ475" i="2"/>
  <c r="BI475" i="2"/>
  <c r="BH475" i="2"/>
  <c r="BG475" i="2"/>
  <c r="BF475" i="2"/>
  <c r="BE475" i="2"/>
  <c r="BD475" i="2"/>
  <c r="BC475" i="2"/>
  <c r="BB475" i="2"/>
  <c r="BA475" i="2"/>
  <c r="AZ475" i="2"/>
  <c r="AY475" i="2"/>
  <c r="AX475" i="2"/>
  <c r="AW475" i="2"/>
  <c r="AV475" i="2"/>
  <c r="AU475" i="2"/>
  <c r="AT475" i="2"/>
  <c r="AS475" i="2"/>
  <c r="AR475" i="2"/>
  <c r="AQ475" i="2"/>
  <c r="AP475" i="2"/>
  <c r="AO475" i="2"/>
  <c r="AN475" i="2"/>
  <c r="AM475" i="2"/>
  <c r="AL475" i="2"/>
  <c r="AK475" i="2"/>
  <c r="AJ475" i="2"/>
  <c r="AI475" i="2"/>
  <c r="AH475" i="2"/>
  <c r="AG475" i="2"/>
  <c r="AF475" i="2"/>
  <c r="AE475" i="2"/>
  <c r="AD475" i="2"/>
  <c r="AC475" i="2"/>
  <c r="AB475" i="2"/>
  <c r="AA475" i="2"/>
  <c r="Z475" i="2"/>
  <c r="Y475" i="2"/>
  <c r="X475" i="2"/>
  <c r="W475" i="2"/>
  <c r="V475" i="2"/>
  <c r="U475" i="2"/>
  <c r="T475" i="2"/>
  <c r="S475" i="2"/>
  <c r="R475" i="2"/>
  <c r="Q475" i="2"/>
  <c r="P475" i="2"/>
  <c r="O475" i="2"/>
  <c r="N475" i="2"/>
  <c r="M475" i="2"/>
  <c r="L475" i="2"/>
  <c r="K475" i="2"/>
  <c r="J475" i="2"/>
  <c r="I475" i="2"/>
  <c r="H475" i="2"/>
  <c r="G475" i="2"/>
  <c r="F475" i="2"/>
  <c r="E475" i="2"/>
  <c r="D475" i="2"/>
  <c r="C475" i="2"/>
  <c r="B475" i="2"/>
  <c r="A475" i="2"/>
  <c r="DY474" i="2"/>
  <c r="DX474" i="2"/>
  <c r="DW474" i="2"/>
  <c r="DV474" i="2"/>
  <c r="DU474" i="2"/>
  <c r="DT474" i="2"/>
  <c r="DS474" i="2"/>
  <c r="DR474" i="2"/>
  <c r="DQ474" i="2"/>
  <c r="DP474" i="2"/>
  <c r="DO474" i="2"/>
  <c r="DN474" i="2"/>
  <c r="DM474" i="2"/>
  <c r="DL474" i="2"/>
  <c r="DK474" i="2"/>
  <c r="DJ474" i="2"/>
  <c r="DI474" i="2"/>
  <c r="DH474" i="2"/>
  <c r="DG474" i="2"/>
  <c r="DF474" i="2"/>
  <c r="DE474" i="2"/>
  <c r="DD474" i="2"/>
  <c r="DC474" i="2"/>
  <c r="DB474" i="2"/>
  <c r="DA474" i="2"/>
  <c r="CZ474" i="2"/>
  <c r="CY474" i="2"/>
  <c r="CX474" i="2"/>
  <c r="CW474" i="2"/>
  <c r="CV474" i="2"/>
  <c r="CU474" i="2"/>
  <c r="CT474" i="2"/>
  <c r="CS474" i="2"/>
  <c r="CR474" i="2"/>
  <c r="CQ474" i="2"/>
  <c r="CP474" i="2"/>
  <c r="CO474" i="2"/>
  <c r="CN474" i="2"/>
  <c r="CM474" i="2"/>
  <c r="CL474" i="2"/>
  <c r="CK474" i="2"/>
  <c r="CJ474" i="2"/>
  <c r="CI474" i="2"/>
  <c r="CH474" i="2"/>
  <c r="CG474" i="2"/>
  <c r="CF474" i="2"/>
  <c r="CE474" i="2"/>
  <c r="CD474" i="2"/>
  <c r="CC474" i="2"/>
  <c r="CB474" i="2"/>
  <c r="CA474" i="2"/>
  <c r="BZ474" i="2"/>
  <c r="BY474" i="2"/>
  <c r="BX474" i="2"/>
  <c r="BW474" i="2"/>
  <c r="BV474" i="2"/>
  <c r="BU474" i="2"/>
  <c r="BT474" i="2"/>
  <c r="BS474" i="2"/>
  <c r="BR474" i="2"/>
  <c r="BQ474" i="2"/>
  <c r="BP474" i="2"/>
  <c r="BO474" i="2"/>
  <c r="BN474" i="2"/>
  <c r="BM474" i="2"/>
  <c r="BL474" i="2"/>
  <c r="BK474" i="2"/>
  <c r="BJ474" i="2"/>
  <c r="BI474" i="2"/>
  <c r="BH474" i="2"/>
  <c r="BG474" i="2"/>
  <c r="BF474" i="2"/>
  <c r="BE474" i="2"/>
  <c r="BD474" i="2"/>
  <c r="BC474" i="2"/>
  <c r="BB474" i="2"/>
  <c r="BA474" i="2"/>
  <c r="AZ474" i="2"/>
  <c r="AY474" i="2"/>
  <c r="AX474" i="2"/>
  <c r="AW474" i="2"/>
  <c r="AV474" i="2"/>
  <c r="AU474" i="2"/>
  <c r="AT474" i="2"/>
  <c r="AS474" i="2"/>
  <c r="AR474" i="2"/>
  <c r="AQ474" i="2"/>
  <c r="AP474" i="2"/>
  <c r="AO474" i="2"/>
  <c r="AN474" i="2"/>
  <c r="AM474" i="2"/>
  <c r="AL474" i="2"/>
  <c r="AK474" i="2"/>
  <c r="AJ474" i="2"/>
  <c r="AI474" i="2"/>
  <c r="AH474" i="2"/>
  <c r="AG474" i="2"/>
  <c r="AF474" i="2"/>
  <c r="AE474" i="2"/>
  <c r="AD474" i="2"/>
  <c r="AC474" i="2"/>
  <c r="AB474" i="2"/>
  <c r="AA474" i="2"/>
  <c r="Z474" i="2"/>
  <c r="Y474" i="2"/>
  <c r="X474" i="2"/>
  <c r="W474" i="2"/>
  <c r="V474" i="2"/>
  <c r="U474" i="2"/>
  <c r="T474" i="2"/>
  <c r="S474" i="2"/>
  <c r="R474" i="2"/>
  <c r="Q474" i="2"/>
  <c r="P474" i="2"/>
  <c r="O474" i="2"/>
  <c r="N474" i="2"/>
  <c r="M474" i="2"/>
  <c r="L474" i="2"/>
  <c r="K474" i="2"/>
  <c r="J474" i="2"/>
  <c r="I474" i="2"/>
  <c r="H474" i="2"/>
  <c r="G474" i="2"/>
  <c r="F474" i="2"/>
  <c r="E474" i="2"/>
  <c r="D474" i="2"/>
  <c r="C474" i="2"/>
  <c r="B474" i="2"/>
  <c r="A474" i="2"/>
  <c r="DU473" i="2"/>
  <c r="DT473" i="2"/>
  <c r="DQ473" i="2"/>
  <c r="DP473" i="2"/>
  <c r="DO473" i="2"/>
  <c r="DN473" i="2"/>
  <c r="DM473" i="2"/>
  <c r="DL473" i="2"/>
  <c r="DK473" i="2"/>
  <c r="DJ473" i="2"/>
  <c r="DI473" i="2"/>
  <c r="DH473" i="2"/>
  <c r="DG473" i="2"/>
  <c r="DF473" i="2"/>
  <c r="DE473" i="2"/>
  <c r="DD473" i="2"/>
  <c r="DC473" i="2"/>
  <c r="DB473" i="2"/>
  <c r="DA473" i="2"/>
  <c r="CZ473" i="2"/>
  <c r="CY473" i="2"/>
  <c r="CX473" i="2"/>
  <c r="CW473" i="2"/>
  <c r="CV473" i="2"/>
  <c r="CU473" i="2"/>
  <c r="CT473" i="2"/>
  <c r="CS473" i="2"/>
  <c r="CR473" i="2"/>
  <c r="CQ473" i="2"/>
  <c r="CP473" i="2"/>
  <c r="CO473" i="2"/>
  <c r="CN473" i="2"/>
  <c r="CM473" i="2"/>
  <c r="CL473" i="2"/>
  <c r="CK473" i="2"/>
  <c r="CJ473" i="2"/>
  <c r="CI473" i="2"/>
  <c r="CH473" i="2"/>
  <c r="CG473" i="2"/>
  <c r="CF473" i="2"/>
  <c r="CE473" i="2"/>
  <c r="CD473" i="2"/>
  <c r="CC473" i="2"/>
  <c r="CB473" i="2"/>
  <c r="CA473" i="2"/>
  <c r="BZ473" i="2"/>
  <c r="BY473" i="2"/>
  <c r="BX473" i="2"/>
  <c r="BW473" i="2"/>
  <c r="BV473" i="2"/>
  <c r="BU473" i="2"/>
  <c r="BT473" i="2"/>
  <c r="BS473" i="2"/>
  <c r="BR473" i="2"/>
  <c r="BQ473" i="2"/>
  <c r="BP473" i="2"/>
  <c r="BO473" i="2"/>
  <c r="BN473" i="2"/>
  <c r="BM473" i="2"/>
  <c r="BL473" i="2"/>
  <c r="BK473" i="2"/>
  <c r="BJ473" i="2"/>
  <c r="BI473" i="2"/>
  <c r="BH473" i="2"/>
  <c r="BG473" i="2"/>
  <c r="BF473" i="2"/>
  <c r="BE473" i="2"/>
  <c r="BD473" i="2"/>
  <c r="BC473" i="2"/>
  <c r="BB473" i="2"/>
  <c r="BA473" i="2"/>
  <c r="AZ473" i="2"/>
  <c r="AY473" i="2"/>
  <c r="AX473" i="2"/>
  <c r="AW473" i="2"/>
  <c r="AV473" i="2"/>
  <c r="AU473" i="2"/>
  <c r="AT473" i="2"/>
  <c r="AS473" i="2"/>
  <c r="AR473" i="2"/>
  <c r="AQ473" i="2"/>
  <c r="AP473" i="2"/>
  <c r="AO473" i="2"/>
  <c r="AN473" i="2"/>
  <c r="AM473" i="2"/>
  <c r="AL473" i="2"/>
  <c r="AK473" i="2"/>
  <c r="AJ473" i="2"/>
  <c r="AI473" i="2"/>
  <c r="AH473" i="2"/>
  <c r="AG473" i="2"/>
  <c r="AF473" i="2"/>
  <c r="AE473" i="2"/>
  <c r="AD473" i="2"/>
  <c r="AC473" i="2"/>
  <c r="AB473" i="2"/>
  <c r="AA473" i="2"/>
  <c r="Z473" i="2"/>
  <c r="Y473" i="2"/>
  <c r="X473" i="2"/>
  <c r="W473" i="2"/>
  <c r="V473" i="2"/>
  <c r="U473" i="2"/>
  <c r="T473" i="2"/>
  <c r="S473" i="2"/>
  <c r="R473" i="2"/>
  <c r="Q473" i="2"/>
  <c r="P473" i="2"/>
  <c r="O473" i="2"/>
  <c r="N473" i="2"/>
  <c r="M473" i="2"/>
  <c r="L473" i="2"/>
  <c r="K473" i="2"/>
  <c r="J473" i="2"/>
  <c r="I473" i="2"/>
  <c r="H473" i="2"/>
  <c r="G473" i="2"/>
  <c r="F473" i="2"/>
  <c r="E473" i="2"/>
  <c r="D473" i="2"/>
  <c r="C473" i="2"/>
  <c r="B473" i="2"/>
  <c r="A473" i="2"/>
  <c r="FJ470" i="2"/>
  <c r="FI470" i="2"/>
  <c r="FH470" i="2"/>
  <c r="FG470" i="2"/>
  <c r="FF470" i="2"/>
  <c r="FE470" i="2"/>
  <c r="FD470" i="2"/>
  <c r="FC470" i="2"/>
  <c r="FB470" i="2"/>
  <c r="FA470" i="2"/>
  <c r="EZ470" i="2"/>
  <c r="EY470" i="2"/>
  <c r="EX470" i="2"/>
  <c r="EW470" i="2"/>
  <c r="EV470" i="2"/>
  <c r="EU470" i="2"/>
  <c r="ET470" i="2"/>
  <c r="ES470" i="2"/>
  <c r="ER470" i="2"/>
  <c r="EQ470" i="2"/>
  <c r="EP470" i="2"/>
  <c r="EO470" i="2"/>
  <c r="EN470" i="2"/>
  <c r="EM470" i="2"/>
  <c r="EL470" i="2"/>
  <c r="EK470" i="2"/>
  <c r="EJ470" i="2"/>
  <c r="EI470" i="2"/>
  <c r="EH470" i="2"/>
  <c r="EG470" i="2"/>
  <c r="EF470" i="2"/>
  <c r="EE470" i="2"/>
  <c r="ED470" i="2"/>
  <c r="EC470" i="2"/>
  <c r="EB470" i="2"/>
  <c r="FJ469" i="2"/>
  <c r="FI469" i="2"/>
  <c r="FH469" i="2"/>
  <c r="FG469" i="2"/>
  <c r="FF469" i="2"/>
  <c r="FE469" i="2"/>
  <c r="FD469" i="2"/>
  <c r="FC469" i="2"/>
  <c r="FB469" i="2"/>
  <c r="FA469" i="2"/>
  <c r="EZ469" i="2"/>
  <c r="EY469" i="2"/>
  <c r="EX469" i="2"/>
  <c r="EW469" i="2"/>
  <c r="EV469" i="2"/>
  <c r="EU469" i="2"/>
  <c r="ET469" i="2"/>
  <c r="ES469" i="2"/>
  <c r="ER469" i="2"/>
  <c r="EQ469" i="2"/>
  <c r="EP469" i="2"/>
  <c r="EO469" i="2"/>
  <c r="EN469" i="2"/>
  <c r="EM469" i="2"/>
  <c r="EL469" i="2"/>
  <c r="EK469" i="2"/>
  <c r="EJ469" i="2"/>
  <c r="EI469" i="2"/>
  <c r="EH469" i="2"/>
  <c r="EG469" i="2"/>
  <c r="EF469" i="2"/>
  <c r="EE469" i="2"/>
  <c r="ED469" i="2"/>
  <c r="EC469" i="2"/>
  <c r="EB469" i="2"/>
  <c r="FJ468" i="2"/>
  <c r="FI468" i="2"/>
  <c r="FH468" i="2"/>
  <c r="FG468" i="2"/>
  <c r="FF468" i="2"/>
  <c r="FE468" i="2"/>
  <c r="FD468" i="2"/>
  <c r="FC468" i="2"/>
  <c r="FB468" i="2"/>
  <c r="FA468" i="2"/>
  <c r="EZ468" i="2"/>
  <c r="EY468" i="2"/>
  <c r="EX468" i="2"/>
  <c r="EW468" i="2"/>
  <c r="EV468" i="2"/>
  <c r="EU468" i="2"/>
  <c r="ET468" i="2"/>
  <c r="ES468" i="2"/>
  <c r="ER468" i="2"/>
  <c r="EQ468" i="2"/>
  <c r="EP468" i="2"/>
  <c r="EO468" i="2"/>
  <c r="EN468" i="2"/>
  <c r="EM468" i="2"/>
  <c r="EL468" i="2"/>
  <c r="EK468" i="2"/>
  <c r="EJ468" i="2"/>
  <c r="EI468" i="2"/>
  <c r="EH468" i="2"/>
  <c r="EG468" i="2"/>
  <c r="EF468" i="2"/>
  <c r="EE468" i="2"/>
  <c r="ED468" i="2"/>
  <c r="EC468" i="2"/>
  <c r="EB468" i="2"/>
  <c r="FJ467" i="2"/>
  <c r="FI467" i="2"/>
  <c r="FH467" i="2"/>
  <c r="FG467" i="2"/>
  <c r="FF467" i="2"/>
  <c r="FE467" i="2"/>
  <c r="FD467" i="2"/>
  <c r="FC467" i="2"/>
  <c r="FB467" i="2"/>
  <c r="FA467" i="2"/>
  <c r="EZ467" i="2"/>
  <c r="EY467" i="2"/>
  <c r="EX467" i="2"/>
  <c r="EW467" i="2"/>
  <c r="EV467" i="2"/>
  <c r="EU467" i="2"/>
  <c r="ET467" i="2"/>
  <c r="ES467" i="2"/>
  <c r="ER467" i="2"/>
  <c r="EQ467" i="2"/>
  <c r="EP467" i="2"/>
  <c r="EO467" i="2"/>
  <c r="EN467" i="2"/>
  <c r="EM467" i="2"/>
  <c r="EL467" i="2"/>
  <c r="EK467" i="2"/>
  <c r="EJ467" i="2"/>
  <c r="EI467" i="2"/>
  <c r="EH467" i="2"/>
  <c r="EG467" i="2"/>
  <c r="EF467" i="2"/>
  <c r="EE467" i="2"/>
  <c r="ED467" i="2"/>
  <c r="EC467" i="2"/>
  <c r="EB467" i="2"/>
  <c r="FJ466" i="2"/>
  <c r="FI466" i="2"/>
  <c r="FH466" i="2"/>
  <c r="FG466" i="2"/>
  <c r="FF466" i="2"/>
  <c r="FE466" i="2"/>
  <c r="FD466" i="2"/>
  <c r="FC466" i="2"/>
  <c r="FB466" i="2"/>
  <c r="FA466" i="2"/>
  <c r="EZ466" i="2"/>
  <c r="EY466" i="2"/>
  <c r="EX466" i="2"/>
  <c r="EW466" i="2"/>
  <c r="EV466" i="2"/>
  <c r="EU466" i="2"/>
  <c r="ET466" i="2"/>
  <c r="ES466" i="2"/>
  <c r="ER466" i="2"/>
  <c r="EQ466" i="2"/>
  <c r="EP466" i="2"/>
  <c r="EO466" i="2"/>
  <c r="EN466" i="2"/>
  <c r="EM466" i="2"/>
  <c r="EL466" i="2"/>
  <c r="EK466" i="2"/>
  <c r="EJ466" i="2"/>
  <c r="EI466" i="2"/>
  <c r="EH466" i="2"/>
  <c r="EG466" i="2"/>
  <c r="EF466" i="2"/>
  <c r="EE466" i="2"/>
  <c r="ED466" i="2"/>
  <c r="EC466" i="2"/>
  <c r="EB466" i="2"/>
  <c r="FJ465" i="2"/>
  <c r="FI465" i="2"/>
  <c r="FH465" i="2"/>
  <c r="FG465" i="2"/>
  <c r="FF465" i="2"/>
  <c r="FE465" i="2"/>
  <c r="FE481" i="2" s="1"/>
  <c r="FD465" i="2"/>
  <c r="FC465" i="2"/>
  <c r="FB465" i="2"/>
  <c r="FA465" i="2"/>
  <c r="FA481" i="2" s="1"/>
  <c r="EZ465" i="2"/>
  <c r="EY465" i="2"/>
  <c r="EX465" i="2"/>
  <c r="EW465" i="2"/>
  <c r="EW481" i="2" s="1"/>
  <c r="EV465" i="2"/>
  <c r="EU465" i="2"/>
  <c r="ET465" i="2"/>
  <c r="ES465" i="2"/>
  <c r="ER465" i="2"/>
  <c r="EQ465" i="2"/>
  <c r="EP465" i="2"/>
  <c r="EO465" i="2"/>
  <c r="EO481" i="2" s="1"/>
  <c r="EN465" i="2"/>
  <c r="EM465" i="2"/>
  <c r="EL465" i="2"/>
  <c r="EK465" i="2"/>
  <c r="EK481" i="2" s="1"/>
  <c r="EJ465" i="2"/>
  <c r="EI465" i="2"/>
  <c r="EH465" i="2"/>
  <c r="EG465" i="2"/>
  <c r="EG481" i="2" s="1"/>
  <c r="EF465" i="2"/>
  <c r="EE465" i="2"/>
  <c r="ED465" i="2"/>
  <c r="EC465" i="2"/>
  <c r="EC481" i="2" s="1"/>
  <c r="EB465" i="2"/>
  <c r="DY470" i="2"/>
  <c r="DX470" i="2"/>
  <c r="DW470" i="2"/>
  <c r="DV470" i="2"/>
  <c r="DU470" i="2"/>
  <c r="DT470" i="2"/>
  <c r="DS470" i="2"/>
  <c r="DR470" i="2"/>
  <c r="DQ470" i="2"/>
  <c r="DP470" i="2"/>
  <c r="DO470" i="2"/>
  <c r="DN470" i="2"/>
  <c r="DM470" i="2"/>
  <c r="DL470" i="2"/>
  <c r="DK470" i="2"/>
  <c r="DJ470" i="2"/>
  <c r="DI470" i="2"/>
  <c r="DH470" i="2"/>
  <c r="DG470" i="2"/>
  <c r="DF470" i="2"/>
  <c r="DE470" i="2"/>
  <c r="DD470" i="2"/>
  <c r="DC470" i="2"/>
  <c r="DB470" i="2"/>
  <c r="DA470" i="2"/>
  <c r="CZ470" i="2"/>
  <c r="CY470" i="2"/>
  <c r="CX470" i="2"/>
  <c r="CW470" i="2"/>
  <c r="CV470" i="2"/>
  <c r="CU470" i="2"/>
  <c r="CT470" i="2"/>
  <c r="CS470" i="2"/>
  <c r="CR470" i="2"/>
  <c r="CQ470" i="2"/>
  <c r="CP470" i="2"/>
  <c r="CO470" i="2"/>
  <c r="CN470" i="2"/>
  <c r="CM470" i="2"/>
  <c r="CL470" i="2"/>
  <c r="CK470" i="2"/>
  <c r="CJ470" i="2"/>
  <c r="CI470" i="2"/>
  <c r="CH470" i="2"/>
  <c r="CG470" i="2"/>
  <c r="CF470" i="2"/>
  <c r="CE470" i="2"/>
  <c r="CD470" i="2"/>
  <c r="CC470" i="2"/>
  <c r="CB470" i="2"/>
  <c r="CA470" i="2"/>
  <c r="BZ470" i="2"/>
  <c r="BY470" i="2"/>
  <c r="BX470" i="2"/>
  <c r="BW470" i="2"/>
  <c r="BV470" i="2"/>
  <c r="BU470" i="2"/>
  <c r="BT470" i="2"/>
  <c r="BS470" i="2"/>
  <c r="BR470" i="2"/>
  <c r="BQ470" i="2"/>
  <c r="BP470" i="2"/>
  <c r="BO470" i="2"/>
  <c r="BN470" i="2"/>
  <c r="BM470" i="2"/>
  <c r="BL470" i="2"/>
  <c r="BK470" i="2"/>
  <c r="BJ470" i="2"/>
  <c r="BI470" i="2"/>
  <c r="BH470" i="2"/>
  <c r="BG470" i="2"/>
  <c r="BF470" i="2"/>
  <c r="BE470" i="2"/>
  <c r="BD470" i="2"/>
  <c r="BC470" i="2"/>
  <c r="BB470" i="2"/>
  <c r="BA470" i="2"/>
  <c r="AZ470" i="2"/>
  <c r="AY470" i="2"/>
  <c r="AX470" i="2"/>
  <c r="AW470" i="2"/>
  <c r="AV470" i="2"/>
  <c r="AU470" i="2"/>
  <c r="AT470" i="2"/>
  <c r="AS470" i="2"/>
  <c r="AR470" i="2"/>
  <c r="AQ470" i="2"/>
  <c r="AP470" i="2"/>
  <c r="AO470" i="2"/>
  <c r="AN470" i="2"/>
  <c r="AM470" i="2"/>
  <c r="AL470" i="2"/>
  <c r="AK470" i="2"/>
  <c r="AJ470" i="2"/>
  <c r="AI470" i="2"/>
  <c r="AH470" i="2"/>
  <c r="AG470" i="2"/>
  <c r="AF470" i="2"/>
  <c r="AE470" i="2"/>
  <c r="AD470" i="2"/>
  <c r="AC470" i="2"/>
  <c r="AB470" i="2"/>
  <c r="AA470" i="2"/>
  <c r="Z470" i="2"/>
  <c r="Y470" i="2"/>
  <c r="X470" i="2"/>
  <c r="W470" i="2"/>
  <c r="V470" i="2"/>
  <c r="U470" i="2"/>
  <c r="T470" i="2"/>
  <c r="S470" i="2"/>
  <c r="R470" i="2"/>
  <c r="Q470" i="2"/>
  <c r="P470" i="2"/>
  <c r="O470" i="2"/>
  <c r="N470" i="2"/>
  <c r="M470" i="2"/>
  <c r="L470" i="2"/>
  <c r="K470" i="2"/>
  <c r="J470" i="2"/>
  <c r="I470" i="2"/>
  <c r="H470" i="2"/>
  <c r="G470" i="2"/>
  <c r="F470" i="2"/>
  <c r="E470" i="2"/>
  <c r="D470" i="2"/>
  <c r="C470" i="2"/>
  <c r="B470" i="2"/>
  <c r="A470" i="2"/>
  <c r="DY469" i="2"/>
  <c r="DX469" i="2"/>
  <c r="DW469" i="2"/>
  <c r="DV469" i="2"/>
  <c r="DU469" i="2"/>
  <c r="DT469" i="2"/>
  <c r="DS469" i="2"/>
  <c r="DR469" i="2"/>
  <c r="DQ469" i="2"/>
  <c r="DP469" i="2"/>
  <c r="DO469" i="2"/>
  <c r="DN469" i="2"/>
  <c r="DM469" i="2"/>
  <c r="DL469" i="2"/>
  <c r="DK469" i="2"/>
  <c r="DJ469" i="2"/>
  <c r="DI469" i="2"/>
  <c r="DH469" i="2"/>
  <c r="DG469" i="2"/>
  <c r="DF469" i="2"/>
  <c r="DE469" i="2"/>
  <c r="DD469" i="2"/>
  <c r="DC469" i="2"/>
  <c r="DB469" i="2"/>
  <c r="DA469" i="2"/>
  <c r="CZ469" i="2"/>
  <c r="CY469" i="2"/>
  <c r="CX469" i="2"/>
  <c r="CW469" i="2"/>
  <c r="CV469" i="2"/>
  <c r="CU469" i="2"/>
  <c r="CT469" i="2"/>
  <c r="CS469" i="2"/>
  <c r="CR469" i="2"/>
  <c r="CQ469" i="2"/>
  <c r="CP469" i="2"/>
  <c r="CO469" i="2"/>
  <c r="CN469" i="2"/>
  <c r="CM469" i="2"/>
  <c r="CL469" i="2"/>
  <c r="CK469" i="2"/>
  <c r="CJ469" i="2"/>
  <c r="CI469" i="2"/>
  <c r="CH469" i="2"/>
  <c r="CG469" i="2"/>
  <c r="CF469" i="2"/>
  <c r="CE469" i="2"/>
  <c r="CD469" i="2"/>
  <c r="CC469" i="2"/>
  <c r="CB469" i="2"/>
  <c r="CA469" i="2"/>
  <c r="BZ469" i="2"/>
  <c r="BY469" i="2"/>
  <c r="BX469" i="2"/>
  <c r="BW469" i="2"/>
  <c r="BV469" i="2"/>
  <c r="BU469" i="2"/>
  <c r="BT469" i="2"/>
  <c r="BS469" i="2"/>
  <c r="BR469" i="2"/>
  <c r="BQ469" i="2"/>
  <c r="BP469" i="2"/>
  <c r="BO469" i="2"/>
  <c r="BN469" i="2"/>
  <c r="BM469" i="2"/>
  <c r="BL469" i="2"/>
  <c r="BK469" i="2"/>
  <c r="BJ469" i="2"/>
  <c r="BI469" i="2"/>
  <c r="BH469" i="2"/>
  <c r="BG469" i="2"/>
  <c r="BF469" i="2"/>
  <c r="BE469" i="2"/>
  <c r="BD469" i="2"/>
  <c r="BC469" i="2"/>
  <c r="BB469" i="2"/>
  <c r="BA469" i="2"/>
  <c r="AZ469" i="2"/>
  <c r="AY469" i="2"/>
  <c r="AX469" i="2"/>
  <c r="AW469" i="2"/>
  <c r="AV469" i="2"/>
  <c r="AU469" i="2"/>
  <c r="AT469" i="2"/>
  <c r="AS469" i="2"/>
  <c r="AR469" i="2"/>
  <c r="AQ469" i="2"/>
  <c r="AP469" i="2"/>
  <c r="AO469" i="2"/>
  <c r="AN469" i="2"/>
  <c r="AM469" i="2"/>
  <c r="AL469" i="2"/>
  <c r="AK469" i="2"/>
  <c r="AJ469" i="2"/>
  <c r="AI469" i="2"/>
  <c r="AH469" i="2"/>
  <c r="AG469" i="2"/>
  <c r="AF469" i="2"/>
  <c r="AE469" i="2"/>
  <c r="AD469" i="2"/>
  <c r="AC469" i="2"/>
  <c r="AB469" i="2"/>
  <c r="AA469" i="2"/>
  <c r="Z469" i="2"/>
  <c r="Y469" i="2"/>
  <c r="X469" i="2"/>
  <c r="W469" i="2"/>
  <c r="V469" i="2"/>
  <c r="U469" i="2"/>
  <c r="T469" i="2"/>
  <c r="S469" i="2"/>
  <c r="R469" i="2"/>
  <c r="Q469" i="2"/>
  <c r="P469" i="2"/>
  <c r="O469" i="2"/>
  <c r="N469" i="2"/>
  <c r="M469" i="2"/>
  <c r="L469" i="2"/>
  <c r="K469" i="2"/>
  <c r="J469" i="2"/>
  <c r="I469" i="2"/>
  <c r="H469" i="2"/>
  <c r="G469" i="2"/>
  <c r="F469" i="2"/>
  <c r="E469" i="2"/>
  <c r="D469" i="2"/>
  <c r="C469" i="2"/>
  <c r="B469" i="2"/>
  <c r="A469" i="2"/>
  <c r="DY468" i="2"/>
  <c r="DX468" i="2"/>
  <c r="DW468" i="2"/>
  <c r="DV468" i="2"/>
  <c r="DU468" i="2"/>
  <c r="DT468" i="2"/>
  <c r="DS468" i="2"/>
  <c r="DR468" i="2"/>
  <c r="DQ468" i="2"/>
  <c r="DP468" i="2"/>
  <c r="DO468" i="2"/>
  <c r="DN468" i="2"/>
  <c r="DM468" i="2"/>
  <c r="DL468" i="2"/>
  <c r="DK468" i="2"/>
  <c r="DJ468" i="2"/>
  <c r="DI468" i="2"/>
  <c r="DH468" i="2"/>
  <c r="DG468" i="2"/>
  <c r="DF468" i="2"/>
  <c r="DE468" i="2"/>
  <c r="DD468" i="2"/>
  <c r="DC468" i="2"/>
  <c r="DB468" i="2"/>
  <c r="DA468" i="2"/>
  <c r="CZ468" i="2"/>
  <c r="CY468" i="2"/>
  <c r="CX468" i="2"/>
  <c r="CW468" i="2"/>
  <c r="CV468" i="2"/>
  <c r="CU468" i="2"/>
  <c r="CT468" i="2"/>
  <c r="CS468" i="2"/>
  <c r="CR468" i="2"/>
  <c r="CQ468" i="2"/>
  <c r="CP468" i="2"/>
  <c r="CO468" i="2"/>
  <c r="CN468" i="2"/>
  <c r="CM468" i="2"/>
  <c r="CL468" i="2"/>
  <c r="CK468" i="2"/>
  <c r="CJ468" i="2"/>
  <c r="CI468" i="2"/>
  <c r="CH468" i="2"/>
  <c r="CG468" i="2"/>
  <c r="CF468" i="2"/>
  <c r="CE468" i="2"/>
  <c r="CD468" i="2"/>
  <c r="CC468" i="2"/>
  <c r="CB468" i="2"/>
  <c r="CA468" i="2"/>
  <c r="BZ468" i="2"/>
  <c r="BY468" i="2"/>
  <c r="BX468" i="2"/>
  <c r="BW468" i="2"/>
  <c r="BV468" i="2"/>
  <c r="BU468" i="2"/>
  <c r="BT468" i="2"/>
  <c r="BS468" i="2"/>
  <c r="BR468" i="2"/>
  <c r="BQ468" i="2"/>
  <c r="BP468" i="2"/>
  <c r="BO468" i="2"/>
  <c r="BN468" i="2"/>
  <c r="BM468" i="2"/>
  <c r="BL468" i="2"/>
  <c r="BK468" i="2"/>
  <c r="BJ468" i="2"/>
  <c r="BI468" i="2"/>
  <c r="BH468" i="2"/>
  <c r="BG468" i="2"/>
  <c r="BF468" i="2"/>
  <c r="BE468" i="2"/>
  <c r="BD468" i="2"/>
  <c r="BC468" i="2"/>
  <c r="BB468" i="2"/>
  <c r="BA468" i="2"/>
  <c r="AZ468" i="2"/>
  <c r="AY468" i="2"/>
  <c r="AX468" i="2"/>
  <c r="AW468" i="2"/>
  <c r="AV468" i="2"/>
  <c r="AU468" i="2"/>
  <c r="AT468" i="2"/>
  <c r="AS468" i="2"/>
  <c r="AR468" i="2"/>
  <c r="AQ468" i="2"/>
  <c r="AP468" i="2"/>
  <c r="AO468" i="2"/>
  <c r="AN468" i="2"/>
  <c r="AM468" i="2"/>
  <c r="AL468" i="2"/>
  <c r="AK468" i="2"/>
  <c r="AJ468" i="2"/>
  <c r="AI468" i="2"/>
  <c r="AH468" i="2"/>
  <c r="AG468" i="2"/>
  <c r="AF468" i="2"/>
  <c r="AE468" i="2"/>
  <c r="AD468" i="2"/>
  <c r="AC468" i="2"/>
  <c r="AB468" i="2"/>
  <c r="AA468" i="2"/>
  <c r="Z468" i="2"/>
  <c r="Y468" i="2"/>
  <c r="X468" i="2"/>
  <c r="W468" i="2"/>
  <c r="V468" i="2"/>
  <c r="U468" i="2"/>
  <c r="T468" i="2"/>
  <c r="S468" i="2"/>
  <c r="R468" i="2"/>
  <c r="Q468" i="2"/>
  <c r="P468" i="2"/>
  <c r="O468" i="2"/>
  <c r="N468" i="2"/>
  <c r="M468" i="2"/>
  <c r="L468" i="2"/>
  <c r="K468" i="2"/>
  <c r="J468" i="2"/>
  <c r="I468" i="2"/>
  <c r="H468" i="2"/>
  <c r="G468" i="2"/>
  <c r="F468" i="2"/>
  <c r="E468" i="2"/>
  <c r="D468" i="2"/>
  <c r="C468" i="2"/>
  <c r="B468" i="2"/>
  <c r="A468" i="2"/>
  <c r="DY467" i="2"/>
  <c r="DX467" i="2"/>
  <c r="DW467" i="2"/>
  <c r="DV467" i="2"/>
  <c r="DU467" i="2"/>
  <c r="DT467" i="2"/>
  <c r="DS467" i="2"/>
  <c r="DR467" i="2"/>
  <c r="DQ467" i="2"/>
  <c r="DP467" i="2"/>
  <c r="DO467" i="2"/>
  <c r="DN467" i="2"/>
  <c r="DM467" i="2"/>
  <c r="DL467" i="2"/>
  <c r="DK467" i="2"/>
  <c r="DJ467" i="2"/>
  <c r="DI467" i="2"/>
  <c r="DH467" i="2"/>
  <c r="DG467" i="2"/>
  <c r="DF467" i="2"/>
  <c r="DE467" i="2"/>
  <c r="DD467" i="2"/>
  <c r="DC467" i="2"/>
  <c r="DB467" i="2"/>
  <c r="DA467" i="2"/>
  <c r="CZ467" i="2"/>
  <c r="CY467" i="2"/>
  <c r="CX467" i="2"/>
  <c r="CW467" i="2"/>
  <c r="CV467" i="2"/>
  <c r="CU467" i="2"/>
  <c r="CT467" i="2"/>
  <c r="CS467" i="2"/>
  <c r="CR467" i="2"/>
  <c r="CQ467" i="2"/>
  <c r="CP467" i="2"/>
  <c r="CO467" i="2"/>
  <c r="CN467" i="2"/>
  <c r="CM467" i="2"/>
  <c r="CL467" i="2"/>
  <c r="CK467" i="2"/>
  <c r="CJ467" i="2"/>
  <c r="CI467" i="2"/>
  <c r="CH467" i="2"/>
  <c r="CG467" i="2"/>
  <c r="CF467" i="2"/>
  <c r="CE467" i="2"/>
  <c r="CD467" i="2"/>
  <c r="CC467" i="2"/>
  <c r="CB467" i="2"/>
  <c r="CA467" i="2"/>
  <c r="BZ467" i="2"/>
  <c r="BY467" i="2"/>
  <c r="BX467" i="2"/>
  <c r="BW467" i="2"/>
  <c r="BV467" i="2"/>
  <c r="BU467" i="2"/>
  <c r="BT467" i="2"/>
  <c r="BS467" i="2"/>
  <c r="BR467" i="2"/>
  <c r="BQ467" i="2"/>
  <c r="BP467" i="2"/>
  <c r="BO467" i="2"/>
  <c r="BN467" i="2"/>
  <c r="BM467" i="2"/>
  <c r="BL467" i="2"/>
  <c r="BK467" i="2"/>
  <c r="BJ467" i="2"/>
  <c r="BI467" i="2"/>
  <c r="BH467" i="2"/>
  <c r="BG467" i="2"/>
  <c r="BF467" i="2"/>
  <c r="BE467" i="2"/>
  <c r="BD467" i="2"/>
  <c r="BC467" i="2"/>
  <c r="BB467" i="2"/>
  <c r="BA467" i="2"/>
  <c r="AZ467" i="2"/>
  <c r="AY467" i="2"/>
  <c r="AX467" i="2"/>
  <c r="AW467" i="2"/>
  <c r="AV467" i="2"/>
  <c r="AU467" i="2"/>
  <c r="AT467" i="2"/>
  <c r="AS467" i="2"/>
  <c r="AR467" i="2"/>
  <c r="AQ467" i="2"/>
  <c r="AP467" i="2"/>
  <c r="AO467" i="2"/>
  <c r="AN467" i="2"/>
  <c r="AM467" i="2"/>
  <c r="AL467" i="2"/>
  <c r="AK467" i="2"/>
  <c r="AJ467" i="2"/>
  <c r="AI467" i="2"/>
  <c r="AH467" i="2"/>
  <c r="AG467" i="2"/>
  <c r="AF467" i="2"/>
  <c r="AE467" i="2"/>
  <c r="AD467" i="2"/>
  <c r="AC467" i="2"/>
  <c r="AB467" i="2"/>
  <c r="AA467" i="2"/>
  <c r="Z467" i="2"/>
  <c r="Y467" i="2"/>
  <c r="X467" i="2"/>
  <c r="W467" i="2"/>
  <c r="V467" i="2"/>
  <c r="U467" i="2"/>
  <c r="T467" i="2"/>
  <c r="S467" i="2"/>
  <c r="R467" i="2"/>
  <c r="Q467" i="2"/>
  <c r="P467" i="2"/>
  <c r="O467" i="2"/>
  <c r="N467" i="2"/>
  <c r="M467" i="2"/>
  <c r="L467" i="2"/>
  <c r="K467" i="2"/>
  <c r="J467" i="2"/>
  <c r="I467" i="2"/>
  <c r="H467" i="2"/>
  <c r="G467" i="2"/>
  <c r="F467" i="2"/>
  <c r="E467" i="2"/>
  <c r="D467" i="2"/>
  <c r="C467" i="2"/>
  <c r="B467" i="2"/>
  <c r="A467" i="2"/>
  <c r="DY466" i="2"/>
  <c r="DX466" i="2"/>
  <c r="DW466" i="2"/>
  <c r="DV466" i="2"/>
  <c r="DU466" i="2"/>
  <c r="DT466" i="2"/>
  <c r="DS466" i="2"/>
  <c r="DR466" i="2"/>
  <c r="DQ466" i="2"/>
  <c r="DP466" i="2"/>
  <c r="DO466" i="2"/>
  <c r="DN466" i="2"/>
  <c r="DM466" i="2"/>
  <c r="DL466" i="2"/>
  <c r="DK466" i="2"/>
  <c r="DJ466" i="2"/>
  <c r="DI466" i="2"/>
  <c r="DH466" i="2"/>
  <c r="DG466" i="2"/>
  <c r="DF466" i="2"/>
  <c r="DE466" i="2"/>
  <c r="DD466" i="2"/>
  <c r="DC466" i="2"/>
  <c r="DB466" i="2"/>
  <c r="DA466" i="2"/>
  <c r="CZ466" i="2"/>
  <c r="CY466" i="2"/>
  <c r="CX466" i="2"/>
  <c r="CW466" i="2"/>
  <c r="CV466" i="2"/>
  <c r="CU466" i="2"/>
  <c r="CT466" i="2"/>
  <c r="CS466" i="2"/>
  <c r="CR466" i="2"/>
  <c r="CQ466" i="2"/>
  <c r="CP466" i="2"/>
  <c r="CO466" i="2"/>
  <c r="CN466" i="2"/>
  <c r="CM466" i="2"/>
  <c r="CL466" i="2"/>
  <c r="CK466" i="2"/>
  <c r="CJ466" i="2"/>
  <c r="CI466" i="2"/>
  <c r="CH466" i="2"/>
  <c r="CG466" i="2"/>
  <c r="CF466" i="2"/>
  <c r="CE466" i="2"/>
  <c r="CD466" i="2"/>
  <c r="CC466" i="2"/>
  <c r="CB466" i="2"/>
  <c r="CA466" i="2"/>
  <c r="BZ466" i="2"/>
  <c r="BY466" i="2"/>
  <c r="BX466" i="2"/>
  <c r="BW466" i="2"/>
  <c r="BV466" i="2"/>
  <c r="BU466" i="2"/>
  <c r="BT466" i="2"/>
  <c r="BS466" i="2"/>
  <c r="BR466" i="2"/>
  <c r="BQ466" i="2"/>
  <c r="BP466" i="2"/>
  <c r="BO466" i="2"/>
  <c r="BN466" i="2"/>
  <c r="BM466" i="2"/>
  <c r="BL466" i="2"/>
  <c r="BK466" i="2"/>
  <c r="BJ466" i="2"/>
  <c r="BI466" i="2"/>
  <c r="BH466" i="2"/>
  <c r="BG466" i="2"/>
  <c r="BF466" i="2"/>
  <c r="BE466" i="2"/>
  <c r="BD466" i="2"/>
  <c r="BC466" i="2"/>
  <c r="BB466" i="2"/>
  <c r="BA466" i="2"/>
  <c r="AZ466" i="2"/>
  <c r="AY466" i="2"/>
  <c r="AX466" i="2"/>
  <c r="AW466" i="2"/>
  <c r="AV466" i="2"/>
  <c r="AU466" i="2"/>
  <c r="AT466" i="2"/>
  <c r="AS466" i="2"/>
  <c r="AR466" i="2"/>
  <c r="AQ466" i="2"/>
  <c r="AP466" i="2"/>
  <c r="AO466" i="2"/>
  <c r="AN466" i="2"/>
  <c r="AM466" i="2"/>
  <c r="AL466" i="2"/>
  <c r="AK466" i="2"/>
  <c r="AJ466" i="2"/>
  <c r="AI466" i="2"/>
  <c r="AH466" i="2"/>
  <c r="AG466" i="2"/>
  <c r="AF466" i="2"/>
  <c r="AE466" i="2"/>
  <c r="AD466" i="2"/>
  <c r="AC466" i="2"/>
  <c r="AB466" i="2"/>
  <c r="AA466" i="2"/>
  <c r="Z466" i="2"/>
  <c r="Y466" i="2"/>
  <c r="X466" i="2"/>
  <c r="W466" i="2"/>
  <c r="V466" i="2"/>
  <c r="U466" i="2"/>
  <c r="T466" i="2"/>
  <c r="S466" i="2"/>
  <c r="R466" i="2"/>
  <c r="Q466" i="2"/>
  <c r="P466" i="2"/>
  <c r="O466" i="2"/>
  <c r="N466" i="2"/>
  <c r="M466" i="2"/>
  <c r="L466" i="2"/>
  <c r="K466" i="2"/>
  <c r="J466" i="2"/>
  <c r="I466" i="2"/>
  <c r="H466" i="2"/>
  <c r="G466" i="2"/>
  <c r="F466" i="2"/>
  <c r="E466" i="2"/>
  <c r="D466" i="2"/>
  <c r="C466" i="2"/>
  <c r="B466" i="2"/>
  <c r="A466" i="2"/>
  <c r="DY465" i="2"/>
  <c r="DX465" i="2"/>
  <c r="DW465" i="2"/>
  <c r="DV465" i="2"/>
  <c r="DU465" i="2"/>
  <c r="DT465" i="2"/>
  <c r="DS465" i="2"/>
  <c r="DR465" i="2"/>
  <c r="DQ465" i="2"/>
  <c r="DP465" i="2"/>
  <c r="DO465" i="2"/>
  <c r="DN465" i="2"/>
  <c r="DM465" i="2"/>
  <c r="DL465" i="2"/>
  <c r="DK465" i="2"/>
  <c r="DJ465" i="2"/>
  <c r="DI465" i="2"/>
  <c r="DH465" i="2"/>
  <c r="DG465" i="2"/>
  <c r="DF465" i="2"/>
  <c r="DE465" i="2"/>
  <c r="DD465" i="2"/>
  <c r="DC465" i="2"/>
  <c r="DB465" i="2"/>
  <c r="DA465" i="2"/>
  <c r="CZ465" i="2"/>
  <c r="CY465" i="2"/>
  <c r="CX465" i="2"/>
  <c r="CW465" i="2"/>
  <c r="CV465" i="2"/>
  <c r="CU465" i="2"/>
  <c r="CT465" i="2"/>
  <c r="CS465" i="2"/>
  <c r="CR465" i="2"/>
  <c r="CQ465" i="2"/>
  <c r="CP465" i="2"/>
  <c r="CO465" i="2"/>
  <c r="CN465" i="2"/>
  <c r="CM465" i="2"/>
  <c r="CL465" i="2"/>
  <c r="CK465" i="2"/>
  <c r="CJ465" i="2"/>
  <c r="CI465" i="2"/>
  <c r="CH465" i="2"/>
  <c r="CG465" i="2"/>
  <c r="CF465" i="2"/>
  <c r="CE465" i="2"/>
  <c r="CD465" i="2"/>
  <c r="CC465" i="2"/>
  <c r="CB465" i="2"/>
  <c r="CA465" i="2"/>
  <c r="BZ465" i="2"/>
  <c r="BY465" i="2"/>
  <c r="BX465" i="2"/>
  <c r="BW465" i="2"/>
  <c r="BV465" i="2"/>
  <c r="BU465" i="2"/>
  <c r="BT465" i="2"/>
  <c r="BS465" i="2"/>
  <c r="BR465" i="2"/>
  <c r="BQ465" i="2"/>
  <c r="BP465" i="2"/>
  <c r="BO465" i="2"/>
  <c r="BN465" i="2"/>
  <c r="BM465" i="2"/>
  <c r="BL465" i="2"/>
  <c r="BK465" i="2"/>
  <c r="BJ465" i="2"/>
  <c r="BI465" i="2"/>
  <c r="BH465" i="2"/>
  <c r="BG465" i="2"/>
  <c r="BF465" i="2"/>
  <c r="BE465" i="2"/>
  <c r="BD465" i="2"/>
  <c r="BC465" i="2"/>
  <c r="BB465" i="2"/>
  <c r="BA465" i="2"/>
  <c r="AZ465" i="2"/>
  <c r="AY465" i="2"/>
  <c r="AX465" i="2"/>
  <c r="AW465" i="2"/>
  <c r="AV465" i="2"/>
  <c r="AU465" i="2"/>
  <c r="AT465" i="2"/>
  <c r="AS465" i="2"/>
  <c r="AR465" i="2"/>
  <c r="AQ465" i="2"/>
  <c r="AP465" i="2"/>
  <c r="AO465" i="2"/>
  <c r="AN465" i="2"/>
  <c r="AM465" i="2"/>
  <c r="AL465" i="2"/>
  <c r="AK465" i="2"/>
  <c r="AJ465" i="2"/>
  <c r="AI465" i="2"/>
  <c r="AH465" i="2"/>
  <c r="AG465" i="2"/>
  <c r="AF465" i="2"/>
  <c r="AE465" i="2"/>
  <c r="AD465" i="2"/>
  <c r="AC465" i="2"/>
  <c r="AB465" i="2"/>
  <c r="AA465" i="2"/>
  <c r="Z465" i="2"/>
  <c r="Y465" i="2"/>
  <c r="X465" i="2"/>
  <c r="W465" i="2"/>
  <c r="V465" i="2"/>
  <c r="U465" i="2"/>
  <c r="T465" i="2"/>
  <c r="S465" i="2"/>
  <c r="R465" i="2"/>
  <c r="Q465" i="2"/>
  <c r="P465" i="2"/>
  <c r="O465" i="2"/>
  <c r="N465" i="2"/>
  <c r="M465" i="2"/>
  <c r="L465" i="2"/>
  <c r="K465" i="2"/>
  <c r="J465" i="2"/>
  <c r="I465" i="2"/>
  <c r="H465" i="2"/>
  <c r="G465" i="2"/>
  <c r="F465" i="2"/>
  <c r="E465" i="2"/>
  <c r="D465" i="2"/>
  <c r="C465" i="2"/>
  <c r="B465" i="2"/>
  <c r="A465" i="2"/>
  <c r="A460" i="2"/>
  <c r="FS453" i="2"/>
  <c r="FR453" i="2"/>
  <c r="FQ453" i="2"/>
  <c r="FP453" i="2"/>
  <c r="FO453" i="2"/>
  <c r="FN453" i="2"/>
  <c r="FM453" i="2"/>
  <c r="FL453" i="2"/>
  <c r="FK453" i="2"/>
  <c r="FJ453" i="2"/>
  <c r="FI453" i="2"/>
  <c r="FH453" i="2"/>
  <c r="FG453" i="2"/>
  <c r="FF453" i="2"/>
  <c r="FE453" i="2"/>
  <c r="FD453" i="2"/>
  <c r="FC453" i="2"/>
  <c r="FB453" i="2"/>
  <c r="FA453" i="2"/>
  <c r="EZ453" i="2"/>
  <c r="EY453" i="2"/>
  <c r="EX453" i="2"/>
  <c r="EW453" i="2"/>
  <c r="EV453" i="2"/>
  <c r="EU453" i="2"/>
  <c r="ET453" i="2"/>
  <c r="ES453" i="2"/>
  <c r="ER453" i="2"/>
  <c r="EQ453" i="2"/>
  <c r="EP453" i="2"/>
  <c r="EO453" i="2"/>
  <c r="EN453" i="2"/>
  <c r="EM453" i="2"/>
  <c r="EL453" i="2"/>
  <c r="EK453" i="2"/>
  <c r="EJ453" i="2"/>
  <c r="EI453" i="2"/>
  <c r="EH453" i="2"/>
  <c r="EG453" i="2"/>
  <c r="EF453" i="2"/>
  <c r="EE453" i="2"/>
  <c r="ED453" i="2"/>
  <c r="EC453" i="2"/>
  <c r="EB453" i="2"/>
  <c r="FS452" i="2"/>
  <c r="FR452" i="2"/>
  <c r="FQ452" i="2"/>
  <c r="FP452" i="2"/>
  <c r="FO452" i="2"/>
  <c r="FN452" i="2"/>
  <c r="FM452" i="2"/>
  <c r="FL452" i="2"/>
  <c r="FK452" i="2"/>
  <c r="FJ452" i="2"/>
  <c r="FI452" i="2"/>
  <c r="FH452" i="2"/>
  <c r="FG452" i="2"/>
  <c r="FF452" i="2"/>
  <c r="FE452" i="2"/>
  <c r="FD452" i="2"/>
  <c r="FC452" i="2"/>
  <c r="FB452" i="2"/>
  <c r="FA452" i="2"/>
  <c r="EZ452" i="2"/>
  <c r="EY452" i="2"/>
  <c r="EX452" i="2"/>
  <c r="EW452" i="2"/>
  <c r="EV452" i="2"/>
  <c r="EU452" i="2"/>
  <c r="ET452" i="2"/>
  <c r="ES452" i="2"/>
  <c r="ER452" i="2"/>
  <c r="EQ452" i="2"/>
  <c r="EP452" i="2"/>
  <c r="EO452" i="2"/>
  <c r="EN452" i="2"/>
  <c r="EM452" i="2"/>
  <c r="EL452" i="2"/>
  <c r="EK452" i="2"/>
  <c r="EJ452" i="2"/>
  <c r="EI452" i="2"/>
  <c r="EH452" i="2"/>
  <c r="EG452" i="2"/>
  <c r="EF452" i="2"/>
  <c r="EE452" i="2"/>
  <c r="ED452" i="2"/>
  <c r="EC452" i="2"/>
  <c r="EB452" i="2"/>
  <c r="FS451" i="2"/>
  <c r="FR451" i="2"/>
  <c r="FQ451" i="2"/>
  <c r="FP451" i="2"/>
  <c r="FO451" i="2"/>
  <c r="FN451" i="2"/>
  <c r="FM451" i="2"/>
  <c r="FL451" i="2"/>
  <c r="FK451" i="2"/>
  <c r="FJ451" i="2"/>
  <c r="FI451" i="2"/>
  <c r="FH451" i="2"/>
  <c r="FG451" i="2"/>
  <c r="FF451" i="2"/>
  <c r="FE451" i="2"/>
  <c r="FD451" i="2"/>
  <c r="FC451" i="2"/>
  <c r="FB451" i="2"/>
  <c r="FA451" i="2"/>
  <c r="EZ451" i="2"/>
  <c r="EY451" i="2"/>
  <c r="EX451" i="2"/>
  <c r="EW451" i="2"/>
  <c r="EV451" i="2"/>
  <c r="EU451" i="2"/>
  <c r="ET451" i="2"/>
  <c r="ES451" i="2"/>
  <c r="ER451" i="2"/>
  <c r="EQ451" i="2"/>
  <c r="EP451" i="2"/>
  <c r="EO451" i="2"/>
  <c r="EN451" i="2"/>
  <c r="EM451" i="2"/>
  <c r="EL451" i="2"/>
  <c r="EK451" i="2"/>
  <c r="EJ451" i="2"/>
  <c r="EI451" i="2"/>
  <c r="EH451" i="2"/>
  <c r="EG451" i="2"/>
  <c r="EF451" i="2"/>
  <c r="EE451" i="2"/>
  <c r="ED451" i="2"/>
  <c r="EC451" i="2"/>
  <c r="EB451" i="2"/>
  <c r="FS450" i="2"/>
  <c r="FR450" i="2"/>
  <c r="FQ450" i="2"/>
  <c r="FP450" i="2"/>
  <c r="FO450" i="2"/>
  <c r="FN450" i="2"/>
  <c r="FM450" i="2"/>
  <c r="FL450" i="2"/>
  <c r="FK450" i="2"/>
  <c r="FJ450" i="2"/>
  <c r="FI450" i="2"/>
  <c r="FH450" i="2"/>
  <c r="FG450" i="2"/>
  <c r="FF450" i="2"/>
  <c r="FE450" i="2"/>
  <c r="FD450" i="2"/>
  <c r="FC450" i="2"/>
  <c r="FB450" i="2"/>
  <c r="FA450" i="2"/>
  <c r="EZ450" i="2"/>
  <c r="EY450" i="2"/>
  <c r="EX450" i="2"/>
  <c r="EW450" i="2"/>
  <c r="EV450" i="2"/>
  <c r="EU450" i="2"/>
  <c r="ET450" i="2"/>
  <c r="ES450" i="2"/>
  <c r="ER450" i="2"/>
  <c r="EQ450" i="2"/>
  <c r="EP450" i="2"/>
  <c r="EO450" i="2"/>
  <c r="EN450" i="2"/>
  <c r="EM450" i="2"/>
  <c r="EL450" i="2"/>
  <c r="EK450" i="2"/>
  <c r="EJ450" i="2"/>
  <c r="EI450" i="2"/>
  <c r="EH450" i="2"/>
  <c r="EG450" i="2"/>
  <c r="EF450" i="2"/>
  <c r="EE450" i="2"/>
  <c r="ED450" i="2"/>
  <c r="EC450" i="2"/>
  <c r="EB450" i="2"/>
  <c r="DY453" i="2"/>
  <c r="DX453" i="2"/>
  <c r="DW453" i="2"/>
  <c r="DV453" i="2"/>
  <c r="DU453" i="2"/>
  <c r="DT453" i="2"/>
  <c r="DS453" i="2"/>
  <c r="DR453" i="2"/>
  <c r="DQ453" i="2"/>
  <c r="DP453" i="2"/>
  <c r="DO453" i="2"/>
  <c r="DN453" i="2"/>
  <c r="DM453" i="2"/>
  <c r="DL453" i="2"/>
  <c r="DK453" i="2"/>
  <c r="DJ453" i="2"/>
  <c r="DI453" i="2"/>
  <c r="DH453" i="2"/>
  <c r="DG453" i="2"/>
  <c r="DF453" i="2"/>
  <c r="DE453" i="2"/>
  <c r="DD453" i="2"/>
  <c r="DC453" i="2"/>
  <c r="DB453" i="2"/>
  <c r="DA453" i="2"/>
  <c r="CZ453" i="2"/>
  <c r="CY453" i="2"/>
  <c r="CX453" i="2"/>
  <c r="CW453" i="2"/>
  <c r="CV453" i="2"/>
  <c r="CU453" i="2"/>
  <c r="CT453" i="2"/>
  <c r="CS453" i="2"/>
  <c r="CR453" i="2"/>
  <c r="CQ453" i="2"/>
  <c r="CP453" i="2"/>
  <c r="CO453" i="2"/>
  <c r="CN453" i="2"/>
  <c r="CM453" i="2"/>
  <c r="CL453" i="2"/>
  <c r="CK453" i="2"/>
  <c r="CJ453" i="2"/>
  <c r="CI453" i="2"/>
  <c r="CH453" i="2"/>
  <c r="CG453" i="2"/>
  <c r="CF453" i="2"/>
  <c r="CE453" i="2"/>
  <c r="CD453" i="2"/>
  <c r="CC453" i="2"/>
  <c r="CB453" i="2"/>
  <c r="CA453" i="2"/>
  <c r="BZ453" i="2"/>
  <c r="BY453" i="2"/>
  <c r="BX453" i="2"/>
  <c r="BW453" i="2"/>
  <c r="BV453" i="2"/>
  <c r="BU453" i="2"/>
  <c r="BT453" i="2"/>
  <c r="BS453" i="2"/>
  <c r="BR453" i="2"/>
  <c r="BQ453" i="2"/>
  <c r="BP453" i="2"/>
  <c r="BO453" i="2"/>
  <c r="BN453" i="2"/>
  <c r="BM453" i="2"/>
  <c r="BL453" i="2"/>
  <c r="BK453" i="2"/>
  <c r="BJ453" i="2"/>
  <c r="BI453" i="2"/>
  <c r="BH453" i="2"/>
  <c r="BG453" i="2"/>
  <c r="BF453" i="2"/>
  <c r="BE453" i="2"/>
  <c r="BD453" i="2"/>
  <c r="BC453" i="2"/>
  <c r="BB453" i="2"/>
  <c r="BA453" i="2"/>
  <c r="AZ453" i="2"/>
  <c r="AY453" i="2"/>
  <c r="AX453" i="2"/>
  <c r="AW453" i="2"/>
  <c r="AV453" i="2"/>
  <c r="AU453" i="2"/>
  <c r="AT453" i="2"/>
  <c r="AS453" i="2"/>
  <c r="AR453" i="2"/>
  <c r="AQ453" i="2"/>
  <c r="AP453" i="2"/>
  <c r="AO453" i="2"/>
  <c r="AN453" i="2"/>
  <c r="AM453" i="2"/>
  <c r="AL453" i="2"/>
  <c r="AK453" i="2"/>
  <c r="AJ453" i="2"/>
  <c r="AI453" i="2"/>
  <c r="AH453" i="2"/>
  <c r="AG453" i="2"/>
  <c r="AF453" i="2"/>
  <c r="AE453" i="2"/>
  <c r="AD453" i="2"/>
  <c r="AC453" i="2"/>
  <c r="AB453" i="2"/>
  <c r="AA453" i="2"/>
  <c r="Z453" i="2"/>
  <c r="Y453" i="2"/>
  <c r="X453" i="2"/>
  <c r="W453" i="2"/>
  <c r="V453" i="2"/>
  <c r="U453" i="2"/>
  <c r="T453" i="2"/>
  <c r="S453" i="2"/>
  <c r="R453" i="2"/>
  <c r="Q453" i="2"/>
  <c r="P453" i="2"/>
  <c r="O453" i="2"/>
  <c r="N453" i="2"/>
  <c r="M453" i="2"/>
  <c r="L453" i="2"/>
  <c r="K453" i="2"/>
  <c r="J453" i="2"/>
  <c r="I453" i="2"/>
  <c r="H453" i="2"/>
  <c r="G453" i="2"/>
  <c r="F453" i="2"/>
  <c r="E453" i="2"/>
  <c r="D453" i="2"/>
  <c r="C453" i="2"/>
  <c r="B453" i="2"/>
  <c r="A453" i="2"/>
  <c r="DY452" i="2"/>
  <c r="DX452" i="2"/>
  <c r="DW452" i="2"/>
  <c r="DV452" i="2"/>
  <c r="DU452" i="2"/>
  <c r="DT452" i="2"/>
  <c r="DS452" i="2"/>
  <c r="DR452" i="2"/>
  <c r="DQ452" i="2"/>
  <c r="DP452" i="2"/>
  <c r="DO452" i="2"/>
  <c r="DN452" i="2"/>
  <c r="DM452" i="2"/>
  <c r="DL452" i="2"/>
  <c r="DK452" i="2"/>
  <c r="DJ452" i="2"/>
  <c r="DI452" i="2"/>
  <c r="DH452" i="2"/>
  <c r="DG452" i="2"/>
  <c r="DF452" i="2"/>
  <c r="DE452" i="2"/>
  <c r="DD452" i="2"/>
  <c r="DC452" i="2"/>
  <c r="DB452" i="2"/>
  <c r="DA452" i="2"/>
  <c r="CZ452" i="2"/>
  <c r="CY452" i="2"/>
  <c r="CX452" i="2"/>
  <c r="CW452" i="2"/>
  <c r="CV452" i="2"/>
  <c r="CU452" i="2"/>
  <c r="CT452" i="2"/>
  <c r="CS452" i="2"/>
  <c r="CR452" i="2"/>
  <c r="CQ452" i="2"/>
  <c r="CP452" i="2"/>
  <c r="CO452" i="2"/>
  <c r="CN452" i="2"/>
  <c r="CM452" i="2"/>
  <c r="CL452" i="2"/>
  <c r="CK452" i="2"/>
  <c r="CJ452" i="2"/>
  <c r="CI452" i="2"/>
  <c r="CH452" i="2"/>
  <c r="CG452" i="2"/>
  <c r="CF452" i="2"/>
  <c r="CE452" i="2"/>
  <c r="CD452" i="2"/>
  <c r="CC452" i="2"/>
  <c r="CB452" i="2"/>
  <c r="CA452" i="2"/>
  <c r="BZ452" i="2"/>
  <c r="BY452" i="2"/>
  <c r="BX452" i="2"/>
  <c r="BW452" i="2"/>
  <c r="BV452" i="2"/>
  <c r="BU452" i="2"/>
  <c r="BT452" i="2"/>
  <c r="BS452" i="2"/>
  <c r="BR452" i="2"/>
  <c r="BQ452" i="2"/>
  <c r="BP452" i="2"/>
  <c r="BO452" i="2"/>
  <c r="BN452" i="2"/>
  <c r="BM452" i="2"/>
  <c r="BL452" i="2"/>
  <c r="BK452" i="2"/>
  <c r="BJ452" i="2"/>
  <c r="BI452" i="2"/>
  <c r="BH452" i="2"/>
  <c r="BG452" i="2"/>
  <c r="BF452" i="2"/>
  <c r="BE452" i="2"/>
  <c r="BD452" i="2"/>
  <c r="BC452" i="2"/>
  <c r="BB452" i="2"/>
  <c r="BA452" i="2"/>
  <c r="AZ452" i="2"/>
  <c r="AY452" i="2"/>
  <c r="AX452" i="2"/>
  <c r="AW452" i="2"/>
  <c r="AV452" i="2"/>
  <c r="AU452" i="2"/>
  <c r="AT452" i="2"/>
  <c r="AS452" i="2"/>
  <c r="AR452" i="2"/>
  <c r="AQ452" i="2"/>
  <c r="AP452" i="2"/>
  <c r="AO452" i="2"/>
  <c r="AN452" i="2"/>
  <c r="AM452" i="2"/>
  <c r="AL452" i="2"/>
  <c r="AK452" i="2"/>
  <c r="AJ452" i="2"/>
  <c r="AI452" i="2"/>
  <c r="AH452" i="2"/>
  <c r="AG452" i="2"/>
  <c r="AF452" i="2"/>
  <c r="AE452" i="2"/>
  <c r="AD452" i="2"/>
  <c r="AC452" i="2"/>
  <c r="AB452" i="2"/>
  <c r="AA452" i="2"/>
  <c r="Z452" i="2"/>
  <c r="Y452" i="2"/>
  <c r="X452" i="2"/>
  <c r="W452" i="2"/>
  <c r="V452" i="2"/>
  <c r="U452" i="2"/>
  <c r="T452" i="2"/>
  <c r="S452" i="2"/>
  <c r="R452" i="2"/>
  <c r="Q452" i="2"/>
  <c r="P452" i="2"/>
  <c r="O452" i="2"/>
  <c r="N452" i="2"/>
  <c r="M452" i="2"/>
  <c r="L452" i="2"/>
  <c r="K452" i="2"/>
  <c r="J452" i="2"/>
  <c r="I452" i="2"/>
  <c r="H452" i="2"/>
  <c r="G452" i="2"/>
  <c r="F452" i="2"/>
  <c r="E452" i="2"/>
  <c r="D452" i="2"/>
  <c r="C452" i="2"/>
  <c r="B452" i="2"/>
  <c r="A452" i="2"/>
  <c r="DY451" i="2"/>
  <c r="DX451" i="2"/>
  <c r="DW451" i="2"/>
  <c r="DV451" i="2"/>
  <c r="DU451" i="2"/>
  <c r="DT451" i="2"/>
  <c r="DS451" i="2"/>
  <c r="DR451" i="2"/>
  <c r="DQ451" i="2"/>
  <c r="DP451" i="2"/>
  <c r="DO451" i="2"/>
  <c r="DN451" i="2"/>
  <c r="DM451" i="2"/>
  <c r="DL451" i="2"/>
  <c r="DK451" i="2"/>
  <c r="DJ451" i="2"/>
  <c r="DI451" i="2"/>
  <c r="DH451" i="2"/>
  <c r="DG451" i="2"/>
  <c r="DF451" i="2"/>
  <c r="DE451" i="2"/>
  <c r="DD451" i="2"/>
  <c r="DC451" i="2"/>
  <c r="DB451" i="2"/>
  <c r="DA451" i="2"/>
  <c r="CZ451" i="2"/>
  <c r="CY451" i="2"/>
  <c r="CX451" i="2"/>
  <c r="CW451" i="2"/>
  <c r="CV451" i="2"/>
  <c r="CU451" i="2"/>
  <c r="CT451" i="2"/>
  <c r="CS451" i="2"/>
  <c r="CR451" i="2"/>
  <c r="CQ451" i="2"/>
  <c r="CP451" i="2"/>
  <c r="CO451" i="2"/>
  <c r="CN451" i="2"/>
  <c r="CM451" i="2"/>
  <c r="CL451" i="2"/>
  <c r="CK451" i="2"/>
  <c r="CJ451" i="2"/>
  <c r="CI451" i="2"/>
  <c r="CH451" i="2"/>
  <c r="CG451" i="2"/>
  <c r="CF451" i="2"/>
  <c r="CE451" i="2"/>
  <c r="CD451" i="2"/>
  <c r="CC451" i="2"/>
  <c r="CB451" i="2"/>
  <c r="CA451" i="2"/>
  <c r="BZ451" i="2"/>
  <c r="BY451" i="2"/>
  <c r="BX451" i="2"/>
  <c r="BW451" i="2"/>
  <c r="BV451" i="2"/>
  <c r="BU451" i="2"/>
  <c r="BT451" i="2"/>
  <c r="BS451" i="2"/>
  <c r="BR451" i="2"/>
  <c r="BQ451" i="2"/>
  <c r="BP451" i="2"/>
  <c r="BO451" i="2"/>
  <c r="BN451" i="2"/>
  <c r="BM451" i="2"/>
  <c r="BL451" i="2"/>
  <c r="BK451" i="2"/>
  <c r="BJ451" i="2"/>
  <c r="BI451" i="2"/>
  <c r="BH451" i="2"/>
  <c r="BG451" i="2"/>
  <c r="BF451" i="2"/>
  <c r="BE451" i="2"/>
  <c r="BD451" i="2"/>
  <c r="BC451" i="2"/>
  <c r="BB451" i="2"/>
  <c r="BA451" i="2"/>
  <c r="AZ451" i="2"/>
  <c r="AY451" i="2"/>
  <c r="AX451" i="2"/>
  <c r="AW451" i="2"/>
  <c r="AV451" i="2"/>
  <c r="AU451" i="2"/>
  <c r="AT451" i="2"/>
  <c r="AS451" i="2"/>
  <c r="AR451" i="2"/>
  <c r="AQ451" i="2"/>
  <c r="AP451" i="2"/>
  <c r="AO451" i="2"/>
  <c r="AN451" i="2"/>
  <c r="AM451" i="2"/>
  <c r="AL451" i="2"/>
  <c r="AK451" i="2"/>
  <c r="AJ451" i="2"/>
  <c r="AI451" i="2"/>
  <c r="AH451" i="2"/>
  <c r="AG451" i="2"/>
  <c r="AF451" i="2"/>
  <c r="AE451" i="2"/>
  <c r="AD451" i="2"/>
  <c r="AC451" i="2"/>
  <c r="AB451" i="2"/>
  <c r="AA451" i="2"/>
  <c r="Z451" i="2"/>
  <c r="Y451" i="2"/>
  <c r="X451" i="2"/>
  <c r="W451" i="2"/>
  <c r="V451" i="2"/>
  <c r="U451" i="2"/>
  <c r="T451" i="2"/>
  <c r="S451" i="2"/>
  <c r="R451" i="2"/>
  <c r="Q451" i="2"/>
  <c r="P451" i="2"/>
  <c r="O451" i="2"/>
  <c r="N451" i="2"/>
  <c r="M451" i="2"/>
  <c r="L451" i="2"/>
  <c r="K451" i="2"/>
  <c r="J451" i="2"/>
  <c r="I451" i="2"/>
  <c r="H451" i="2"/>
  <c r="G451" i="2"/>
  <c r="F451" i="2"/>
  <c r="E451" i="2"/>
  <c r="D451" i="2"/>
  <c r="C451" i="2"/>
  <c r="B451" i="2"/>
  <c r="A451" i="2"/>
  <c r="DY450" i="2"/>
  <c r="DX450" i="2"/>
  <c r="DW450" i="2"/>
  <c r="DV450" i="2"/>
  <c r="DU450" i="2"/>
  <c r="DT450" i="2"/>
  <c r="DS450" i="2"/>
  <c r="DR450" i="2"/>
  <c r="DQ450" i="2"/>
  <c r="DP450" i="2"/>
  <c r="DO450" i="2"/>
  <c r="DN450" i="2"/>
  <c r="DM450" i="2"/>
  <c r="DL450" i="2"/>
  <c r="DK450" i="2"/>
  <c r="DJ450" i="2"/>
  <c r="DI450" i="2"/>
  <c r="DH450" i="2"/>
  <c r="DG450" i="2"/>
  <c r="DF450" i="2"/>
  <c r="DE450" i="2"/>
  <c r="DD450" i="2"/>
  <c r="DC450" i="2"/>
  <c r="DB450" i="2"/>
  <c r="DA450" i="2"/>
  <c r="CZ450" i="2"/>
  <c r="CY450" i="2"/>
  <c r="CX450" i="2"/>
  <c r="CW450" i="2"/>
  <c r="CV450" i="2"/>
  <c r="CU450" i="2"/>
  <c r="CT450" i="2"/>
  <c r="CS450" i="2"/>
  <c r="CR450" i="2"/>
  <c r="CQ450" i="2"/>
  <c r="CP450" i="2"/>
  <c r="CO450" i="2"/>
  <c r="CN450" i="2"/>
  <c r="CM450" i="2"/>
  <c r="CL450" i="2"/>
  <c r="CK450" i="2"/>
  <c r="CJ450" i="2"/>
  <c r="CI450" i="2"/>
  <c r="CH450" i="2"/>
  <c r="CG450" i="2"/>
  <c r="CF450" i="2"/>
  <c r="CE450" i="2"/>
  <c r="CD450" i="2"/>
  <c r="CC450" i="2"/>
  <c r="CB450" i="2"/>
  <c r="CA450" i="2"/>
  <c r="BZ450" i="2"/>
  <c r="BY450" i="2"/>
  <c r="BX450" i="2"/>
  <c r="BW450" i="2"/>
  <c r="BV450" i="2"/>
  <c r="BU450" i="2"/>
  <c r="BT450" i="2"/>
  <c r="BS450" i="2"/>
  <c r="BR450" i="2"/>
  <c r="BQ450" i="2"/>
  <c r="BP450" i="2"/>
  <c r="BO450" i="2"/>
  <c r="BN450" i="2"/>
  <c r="BM450" i="2"/>
  <c r="BL450" i="2"/>
  <c r="BK450" i="2"/>
  <c r="BJ450" i="2"/>
  <c r="BI450" i="2"/>
  <c r="BH450" i="2"/>
  <c r="BG450" i="2"/>
  <c r="BF450" i="2"/>
  <c r="BE450" i="2"/>
  <c r="BD450" i="2"/>
  <c r="BC450" i="2"/>
  <c r="BB450" i="2"/>
  <c r="BA450" i="2"/>
  <c r="AZ450" i="2"/>
  <c r="AY450" i="2"/>
  <c r="AX450" i="2"/>
  <c r="AW450" i="2"/>
  <c r="AV450" i="2"/>
  <c r="AU450" i="2"/>
  <c r="AT450" i="2"/>
  <c r="AS450" i="2"/>
  <c r="AR450" i="2"/>
  <c r="AQ450" i="2"/>
  <c r="AP450" i="2"/>
  <c r="AO450" i="2"/>
  <c r="AN450" i="2"/>
  <c r="AM450" i="2"/>
  <c r="AL450" i="2"/>
  <c r="AK450" i="2"/>
  <c r="AJ450" i="2"/>
  <c r="AI450" i="2"/>
  <c r="AH450" i="2"/>
  <c r="AG450" i="2"/>
  <c r="AF450" i="2"/>
  <c r="AE450" i="2"/>
  <c r="AD450" i="2"/>
  <c r="AC450" i="2"/>
  <c r="AB450" i="2"/>
  <c r="AA450" i="2"/>
  <c r="Z450" i="2"/>
  <c r="Y450" i="2"/>
  <c r="X450" i="2"/>
  <c r="W450" i="2"/>
  <c r="V450" i="2"/>
  <c r="U450" i="2"/>
  <c r="T450" i="2"/>
  <c r="S450" i="2"/>
  <c r="R450" i="2"/>
  <c r="Q450" i="2"/>
  <c r="P450" i="2"/>
  <c r="O450" i="2"/>
  <c r="N450" i="2"/>
  <c r="M450" i="2"/>
  <c r="L450" i="2"/>
  <c r="K450" i="2"/>
  <c r="J450" i="2"/>
  <c r="I450" i="2"/>
  <c r="H450" i="2"/>
  <c r="G450" i="2"/>
  <c r="F450" i="2"/>
  <c r="E450" i="2"/>
  <c r="D450" i="2"/>
  <c r="C450" i="2"/>
  <c r="B450" i="2"/>
  <c r="A450" i="2"/>
  <c r="FH447" i="2"/>
  <c r="FG447" i="2"/>
  <c r="FF447" i="2"/>
  <c r="FE447" i="2"/>
  <c r="FD447" i="2"/>
  <c r="FC447" i="2"/>
  <c r="FB447" i="2"/>
  <c r="FA447" i="2"/>
  <c r="EZ447" i="2"/>
  <c r="EY447" i="2"/>
  <c r="EX447" i="2"/>
  <c r="EW447" i="2"/>
  <c r="EV447" i="2"/>
  <c r="EU447" i="2"/>
  <c r="ET447" i="2"/>
  <c r="ES447" i="2"/>
  <c r="ER447" i="2"/>
  <c r="EQ447" i="2"/>
  <c r="EP447" i="2"/>
  <c r="EO447" i="2"/>
  <c r="EN447" i="2"/>
  <c r="EM447" i="2"/>
  <c r="EL447" i="2"/>
  <c r="EK447" i="2"/>
  <c r="EJ447" i="2"/>
  <c r="EI447" i="2"/>
  <c r="EH447" i="2"/>
  <c r="EG447" i="2"/>
  <c r="EF447" i="2"/>
  <c r="EE447" i="2"/>
  <c r="ED447" i="2"/>
  <c r="EC447" i="2"/>
  <c r="EB447" i="2"/>
  <c r="DQ447" i="2"/>
  <c r="DP447" i="2"/>
  <c r="DO447" i="2"/>
  <c r="DN447" i="2"/>
  <c r="DM447" i="2"/>
  <c r="DL447" i="2"/>
  <c r="DK447" i="2"/>
  <c r="DJ447" i="2"/>
  <c r="DI447" i="2"/>
  <c r="DH447" i="2"/>
  <c r="DG447" i="2"/>
  <c r="DF447" i="2"/>
  <c r="DE447" i="2"/>
  <c r="DD447" i="2"/>
  <c r="DC447" i="2"/>
  <c r="DB447" i="2"/>
  <c r="DA447" i="2"/>
  <c r="CZ447" i="2"/>
  <c r="CY447" i="2"/>
  <c r="CX447" i="2"/>
  <c r="CW447" i="2"/>
  <c r="CV447" i="2"/>
  <c r="CU447" i="2"/>
  <c r="CT447" i="2"/>
  <c r="CS447" i="2"/>
  <c r="CR447" i="2"/>
  <c r="CQ447" i="2"/>
  <c r="CP447" i="2"/>
  <c r="CO447" i="2"/>
  <c r="CN447" i="2"/>
  <c r="CM447" i="2"/>
  <c r="CL447" i="2"/>
  <c r="CK447" i="2"/>
  <c r="CJ447" i="2"/>
  <c r="CI447" i="2"/>
  <c r="CH447" i="2"/>
  <c r="CG447" i="2"/>
  <c r="CF447" i="2"/>
  <c r="CE447" i="2"/>
  <c r="CD447" i="2"/>
  <c r="CC447" i="2"/>
  <c r="CB447" i="2"/>
  <c r="CA447" i="2"/>
  <c r="BZ447" i="2"/>
  <c r="BY447" i="2"/>
  <c r="BX447" i="2"/>
  <c r="BW447" i="2"/>
  <c r="BV447" i="2"/>
  <c r="BU447" i="2"/>
  <c r="BT447" i="2"/>
  <c r="BS447" i="2"/>
  <c r="BR447" i="2"/>
  <c r="BQ447" i="2"/>
  <c r="BP447" i="2"/>
  <c r="BO447" i="2"/>
  <c r="BN447" i="2"/>
  <c r="BM447" i="2"/>
  <c r="BL447" i="2"/>
  <c r="BK447" i="2"/>
  <c r="BJ447" i="2"/>
  <c r="BI447" i="2"/>
  <c r="BH447" i="2"/>
  <c r="BG447" i="2"/>
  <c r="BF447" i="2"/>
  <c r="BE447" i="2"/>
  <c r="BD447" i="2"/>
  <c r="BC447" i="2"/>
  <c r="BB447" i="2"/>
  <c r="BA447" i="2"/>
  <c r="AZ447" i="2"/>
  <c r="AY447" i="2"/>
  <c r="AX447" i="2"/>
  <c r="AW447" i="2"/>
  <c r="AV447" i="2"/>
  <c r="AU447" i="2"/>
  <c r="AT447" i="2"/>
  <c r="AS447" i="2"/>
  <c r="AR447" i="2"/>
  <c r="AQ447" i="2"/>
  <c r="AP447" i="2"/>
  <c r="AO447" i="2"/>
  <c r="AN447" i="2"/>
  <c r="AM447" i="2"/>
  <c r="AL447" i="2"/>
  <c r="AK447" i="2"/>
  <c r="AJ447" i="2"/>
  <c r="AI447" i="2"/>
  <c r="AH447" i="2"/>
  <c r="AG447" i="2"/>
  <c r="AF447" i="2"/>
  <c r="AE447" i="2"/>
  <c r="AD447" i="2"/>
  <c r="AC447" i="2"/>
  <c r="AB447" i="2"/>
  <c r="AA447" i="2"/>
  <c r="Z447" i="2"/>
  <c r="Y447" i="2"/>
  <c r="X447" i="2"/>
  <c r="W447" i="2"/>
  <c r="V447" i="2"/>
  <c r="U447" i="2"/>
  <c r="T447" i="2"/>
  <c r="S447" i="2"/>
  <c r="R447" i="2"/>
  <c r="Q447" i="2"/>
  <c r="P447" i="2"/>
  <c r="O447" i="2"/>
  <c r="N447" i="2"/>
  <c r="M447" i="2"/>
  <c r="L447" i="2"/>
  <c r="K447" i="2"/>
  <c r="J447" i="2"/>
  <c r="I447" i="2"/>
  <c r="H447" i="2"/>
  <c r="G447" i="2"/>
  <c r="F447" i="2"/>
  <c r="E447" i="2"/>
  <c r="D447" i="2"/>
  <c r="C447" i="2"/>
  <c r="B447" i="2"/>
  <c r="FS444" i="2"/>
  <c r="FR444" i="2"/>
  <c r="FQ444" i="2"/>
  <c r="FP444" i="2"/>
  <c r="FO444" i="2"/>
  <c r="FN444" i="2"/>
  <c r="FM444" i="2"/>
  <c r="FL444" i="2"/>
  <c r="FK444" i="2"/>
  <c r="FJ444" i="2"/>
  <c r="FI444" i="2"/>
  <c r="FH444" i="2"/>
  <c r="FG444" i="2"/>
  <c r="FF444" i="2"/>
  <c r="FE444" i="2"/>
  <c r="FD444" i="2"/>
  <c r="FC444" i="2"/>
  <c r="FB444" i="2"/>
  <c r="FA444" i="2"/>
  <c r="EZ444" i="2"/>
  <c r="EY444" i="2"/>
  <c r="EX444" i="2"/>
  <c r="EW444" i="2"/>
  <c r="EV444" i="2"/>
  <c r="EU444" i="2"/>
  <c r="ET444" i="2"/>
  <c r="ES444" i="2"/>
  <c r="ER444" i="2"/>
  <c r="EQ444" i="2"/>
  <c r="EP444" i="2"/>
  <c r="EO444" i="2"/>
  <c r="EN444" i="2"/>
  <c r="EM444" i="2"/>
  <c r="EL444" i="2"/>
  <c r="EK444" i="2"/>
  <c r="EJ444" i="2"/>
  <c r="EI444" i="2"/>
  <c r="EH444" i="2"/>
  <c r="EG444" i="2"/>
  <c r="EF444" i="2"/>
  <c r="EE444" i="2"/>
  <c r="ED444" i="2"/>
  <c r="EC444" i="2"/>
  <c r="EB444" i="2"/>
  <c r="DY444" i="2"/>
  <c r="DX444" i="2"/>
  <c r="DW444" i="2"/>
  <c r="DV444" i="2"/>
  <c r="DU444" i="2"/>
  <c r="DT444" i="2"/>
  <c r="DS444" i="2"/>
  <c r="DR444" i="2"/>
  <c r="DQ444" i="2"/>
  <c r="DP444" i="2"/>
  <c r="DO444" i="2"/>
  <c r="DN444" i="2"/>
  <c r="DM444" i="2"/>
  <c r="DL444" i="2"/>
  <c r="DK444" i="2"/>
  <c r="DJ444" i="2"/>
  <c r="DI444" i="2"/>
  <c r="DH444" i="2"/>
  <c r="DG444" i="2"/>
  <c r="DF444" i="2"/>
  <c r="DE444" i="2"/>
  <c r="DD444" i="2"/>
  <c r="DC444" i="2"/>
  <c r="DB444" i="2"/>
  <c r="DA444" i="2"/>
  <c r="CZ444" i="2"/>
  <c r="CY444" i="2"/>
  <c r="CX444" i="2"/>
  <c r="CW444" i="2"/>
  <c r="CV444" i="2"/>
  <c r="CU444" i="2"/>
  <c r="CT444" i="2"/>
  <c r="CS444" i="2"/>
  <c r="CR444" i="2"/>
  <c r="CQ444" i="2"/>
  <c r="CP444" i="2"/>
  <c r="CO444" i="2"/>
  <c r="CN444" i="2"/>
  <c r="CM444" i="2"/>
  <c r="CL444" i="2"/>
  <c r="CK444" i="2"/>
  <c r="CJ444" i="2"/>
  <c r="CI444" i="2"/>
  <c r="CH444" i="2"/>
  <c r="CG444" i="2"/>
  <c r="CF444" i="2"/>
  <c r="CE444" i="2"/>
  <c r="CD444" i="2"/>
  <c r="CC444" i="2"/>
  <c r="CB444" i="2"/>
  <c r="CA444" i="2"/>
  <c r="BZ444" i="2"/>
  <c r="BY444" i="2"/>
  <c r="BX444" i="2"/>
  <c r="BW444" i="2"/>
  <c r="BV444" i="2"/>
  <c r="BU444" i="2"/>
  <c r="BT444" i="2"/>
  <c r="BS444" i="2"/>
  <c r="BR444" i="2"/>
  <c r="BQ444" i="2"/>
  <c r="BP444" i="2"/>
  <c r="BO444" i="2"/>
  <c r="BN444" i="2"/>
  <c r="BM444" i="2"/>
  <c r="BL444" i="2"/>
  <c r="BK444" i="2"/>
  <c r="BJ444" i="2"/>
  <c r="BI444" i="2"/>
  <c r="BH444" i="2"/>
  <c r="BG444" i="2"/>
  <c r="BF444" i="2"/>
  <c r="BE444" i="2"/>
  <c r="BD444" i="2"/>
  <c r="BC444" i="2"/>
  <c r="BB444" i="2"/>
  <c r="BA444" i="2"/>
  <c r="AZ444" i="2"/>
  <c r="AY444" i="2"/>
  <c r="AX444" i="2"/>
  <c r="AW444" i="2"/>
  <c r="AV444" i="2"/>
  <c r="AU444" i="2"/>
  <c r="AT444" i="2"/>
  <c r="AS444" i="2"/>
  <c r="AR444" i="2"/>
  <c r="AQ444" i="2"/>
  <c r="AP444" i="2"/>
  <c r="AO444" i="2"/>
  <c r="AN444" i="2"/>
  <c r="AM444" i="2"/>
  <c r="AL444" i="2"/>
  <c r="AK444" i="2"/>
  <c r="AJ444" i="2"/>
  <c r="AI444" i="2"/>
  <c r="AH444" i="2"/>
  <c r="AG444" i="2"/>
  <c r="AF444" i="2"/>
  <c r="AE444" i="2"/>
  <c r="AD444" i="2"/>
  <c r="AC444" i="2"/>
  <c r="AB444" i="2"/>
  <c r="AA444" i="2"/>
  <c r="Z444" i="2"/>
  <c r="Y444" i="2"/>
  <c r="X444" i="2"/>
  <c r="W444" i="2"/>
  <c r="V444" i="2"/>
  <c r="U444" i="2"/>
  <c r="T444" i="2"/>
  <c r="S444" i="2"/>
  <c r="R444" i="2"/>
  <c r="Q444" i="2"/>
  <c r="P444" i="2"/>
  <c r="O444" i="2"/>
  <c r="N444" i="2"/>
  <c r="M444" i="2"/>
  <c r="L444" i="2"/>
  <c r="K444" i="2"/>
  <c r="J444" i="2"/>
  <c r="I444" i="2"/>
  <c r="H444" i="2"/>
  <c r="G444" i="2"/>
  <c r="F444" i="2"/>
  <c r="E444" i="2"/>
  <c r="D444" i="2"/>
  <c r="C444" i="2"/>
  <c r="B444" i="2"/>
  <c r="A444" i="2"/>
  <c r="FQ440" i="2"/>
  <c r="FO440" i="2"/>
  <c r="FM440" i="2"/>
  <c r="FK440" i="2"/>
  <c r="FI440" i="2"/>
  <c r="FG440" i="2"/>
  <c r="FE440" i="2"/>
  <c r="FC440" i="2"/>
  <c r="FA440" i="2"/>
  <c r="EY440" i="2"/>
  <c r="EW440" i="2"/>
  <c r="EU440" i="2"/>
  <c r="ES440" i="2"/>
  <c r="EQ440" i="2"/>
  <c r="EO440" i="2"/>
  <c r="EM440" i="2"/>
  <c r="EK440" i="2"/>
  <c r="EI440" i="2"/>
  <c r="EG440" i="2"/>
  <c r="EE440" i="2"/>
  <c r="EC440" i="2"/>
  <c r="DX440" i="2"/>
  <c r="DV440" i="2"/>
  <c r="DT440" i="2"/>
  <c r="DR440" i="2"/>
  <c r="DP440" i="2"/>
  <c r="DN440" i="2"/>
  <c r="DL440" i="2"/>
  <c r="DJ440" i="2"/>
  <c r="DH440" i="2"/>
  <c r="DF440" i="2"/>
  <c r="DD440" i="2"/>
  <c r="DB440" i="2"/>
  <c r="CZ440" i="2"/>
  <c r="CX440" i="2"/>
  <c r="CV440" i="2"/>
  <c r="CT440" i="2"/>
  <c r="CR440" i="2"/>
  <c r="CP440" i="2"/>
  <c r="CN440" i="2"/>
  <c r="CL440" i="2"/>
  <c r="CJ440" i="2"/>
  <c r="CH440" i="2"/>
  <c r="CF440" i="2"/>
  <c r="CD440" i="2"/>
  <c r="CB440" i="2"/>
  <c r="BZ440" i="2"/>
  <c r="BX440" i="2"/>
  <c r="BV440" i="2"/>
  <c r="BT440" i="2"/>
  <c r="BR440" i="2"/>
  <c r="BP440" i="2"/>
  <c r="BN440" i="2"/>
  <c r="BL440" i="2"/>
  <c r="BJ440" i="2"/>
  <c r="BH440" i="2"/>
  <c r="BF440" i="2"/>
  <c r="BD440" i="2"/>
  <c r="BB440" i="2"/>
  <c r="AZ440" i="2"/>
  <c r="AX440" i="2"/>
  <c r="AV440" i="2"/>
  <c r="AT440" i="2"/>
  <c r="AR440" i="2"/>
  <c r="AP440" i="2"/>
  <c r="AN440" i="2"/>
  <c r="AL440" i="2"/>
  <c r="AJ440" i="2"/>
  <c r="AH440" i="2"/>
  <c r="AF440" i="2"/>
  <c r="AD440" i="2"/>
  <c r="AB440" i="2"/>
  <c r="Z440" i="2"/>
  <c r="X440" i="2"/>
  <c r="V440" i="2"/>
  <c r="T440" i="2"/>
  <c r="R440" i="2"/>
  <c r="P440" i="2"/>
  <c r="N440" i="2"/>
  <c r="L440" i="2"/>
  <c r="J440" i="2"/>
  <c r="H440" i="2"/>
  <c r="F440" i="2"/>
  <c r="D440" i="2"/>
  <c r="B440" i="2"/>
  <c r="FS440" i="2"/>
  <c r="FR440" i="2"/>
  <c r="FP440" i="2"/>
  <c r="FN440" i="2"/>
  <c r="FL440" i="2"/>
  <c r="FJ440" i="2"/>
  <c r="FH440" i="2"/>
  <c r="FF440" i="2"/>
  <c r="FD440" i="2"/>
  <c r="FB440" i="2"/>
  <c r="EZ440" i="2"/>
  <c r="EX440" i="2"/>
  <c r="EV440" i="2"/>
  <c r="ET440" i="2"/>
  <c r="ER440" i="2"/>
  <c r="EP440" i="2"/>
  <c r="EN440" i="2"/>
  <c r="EL440" i="2"/>
  <c r="EJ440" i="2"/>
  <c r="EH440" i="2"/>
  <c r="EF440" i="2"/>
  <c r="ED440" i="2"/>
  <c r="EB440" i="2"/>
  <c r="DY440" i="2"/>
  <c r="DW440" i="2"/>
  <c r="DU440" i="2"/>
  <c r="DS440" i="2"/>
  <c r="DQ440" i="2"/>
  <c r="DO440" i="2"/>
  <c r="DM440" i="2"/>
  <c r="DK440" i="2"/>
  <c r="DI440" i="2"/>
  <c r="DG440" i="2"/>
  <c r="DE440" i="2"/>
  <c r="DC440" i="2"/>
  <c r="DA440" i="2"/>
  <c r="CY440" i="2"/>
  <c r="CW440" i="2"/>
  <c r="CU440" i="2"/>
  <c r="CS440" i="2"/>
  <c r="CQ440" i="2"/>
  <c r="CO440" i="2"/>
  <c r="CM440" i="2"/>
  <c r="CK440" i="2"/>
  <c r="CI440" i="2"/>
  <c r="CG440" i="2"/>
  <c r="CE440" i="2"/>
  <c r="CC440" i="2"/>
  <c r="CA440" i="2"/>
  <c r="BY440" i="2"/>
  <c r="BW440" i="2"/>
  <c r="BU440" i="2"/>
  <c r="BS440" i="2"/>
  <c r="BQ440" i="2"/>
  <c r="BO440" i="2"/>
  <c r="BM440" i="2"/>
  <c r="BK440" i="2"/>
  <c r="BI440" i="2"/>
  <c r="BG440" i="2"/>
  <c r="BE440" i="2"/>
  <c r="BC440" i="2"/>
  <c r="BA440" i="2"/>
  <c r="AY440" i="2"/>
  <c r="AW440" i="2"/>
  <c r="AU440" i="2"/>
  <c r="AS440" i="2"/>
  <c r="AQ440" i="2"/>
  <c r="AO440" i="2"/>
  <c r="AM440" i="2"/>
  <c r="AK440" i="2"/>
  <c r="AI440" i="2"/>
  <c r="AG440" i="2"/>
  <c r="AE440" i="2"/>
  <c r="AC440" i="2"/>
  <c r="AA440" i="2"/>
  <c r="Y440" i="2"/>
  <c r="W440" i="2"/>
  <c r="U440" i="2"/>
  <c r="S440" i="2"/>
  <c r="Q440" i="2"/>
  <c r="O440" i="2"/>
  <c r="M440" i="2"/>
  <c r="K440" i="2"/>
  <c r="I440" i="2"/>
  <c r="G440" i="2"/>
  <c r="E440" i="2"/>
  <c r="C440" i="2"/>
  <c r="FS438" i="2"/>
  <c r="FR438" i="2"/>
  <c r="FQ438" i="2"/>
  <c r="FP438" i="2"/>
  <c r="FO438" i="2"/>
  <c r="FN438" i="2"/>
  <c r="FM438" i="2"/>
  <c r="FL438" i="2"/>
  <c r="FK438" i="2"/>
  <c r="FJ438" i="2"/>
  <c r="FI438" i="2"/>
  <c r="FH438" i="2"/>
  <c r="FG438" i="2"/>
  <c r="FF438" i="2"/>
  <c r="FE438" i="2"/>
  <c r="FD438" i="2"/>
  <c r="FC438" i="2"/>
  <c r="FB438" i="2"/>
  <c r="FA438" i="2"/>
  <c r="EZ438" i="2"/>
  <c r="EY438" i="2"/>
  <c r="EX438" i="2"/>
  <c r="EW438" i="2"/>
  <c r="EV438" i="2"/>
  <c r="EU438" i="2"/>
  <c r="ET438" i="2"/>
  <c r="ES438" i="2"/>
  <c r="ER438" i="2"/>
  <c r="EQ438" i="2"/>
  <c r="EP438" i="2"/>
  <c r="EO438" i="2"/>
  <c r="EN438" i="2"/>
  <c r="EM438" i="2"/>
  <c r="EL438" i="2"/>
  <c r="EK438" i="2"/>
  <c r="EJ438" i="2"/>
  <c r="EI438" i="2"/>
  <c r="EH438" i="2"/>
  <c r="EG438" i="2"/>
  <c r="EF438" i="2"/>
  <c r="EE438" i="2"/>
  <c r="ED438" i="2"/>
  <c r="EC438" i="2"/>
  <c r="EB438" i="2"/>
  <c r="FS437" i="2"/>
  <c r="FR437" i="2"/>
  <c r="FQ437" i="2"/>
  <c r="FP437" i="2"/>
  <c r="FO437" i="2"/>
  <c r="FN437" i="2"/>
  <c r="FM437" i="2"/>
  <c r="FL437" i="2"/>
  <c r="FK437" i="2"/>
  <c r="FJ437" i="2"/>
  <c r="FI437" i="2"/>
  <c r="FH437" i="2"/>
  <c r="FG437" i="2"/>
  <c r="FF437" i="2"/>
  <c r="FE437" i="2"/>
  <c r="FD437" i="2"/>
  <c r="FC437" i="2"/>
  <c r="FB437" i="2"/>
  <c r="FA437" i="2"/>
  <c r="EZ437" i="2"/>
  <c r="EY437" i="2"/>
  <c r="EX437" i="2"/>
  <c r="EW437" i="2"/>
  <c r="EV437" i="2"/>
  <c r="EU437" i="2"/>
  <c r="ET437" i="2"/>
  <c r="ES437" i="2"/>
  <c r="ER437" i="2"/>
  <c r="EQ437" i="2"/>
  <c r="EP437" i="2"/>
  <c r="EO437" i="2"/>
  <c r="EN437" i="2"/>
  <c r="EM437" i="2"/>
  <c r="EL437" i="2"/>
  <c r="EK437" i="2"/>
  <c r="EJ437" i="2"/>
  <c r="EI437" i="2"/>
  <c r="EH437" i="2"/>
  <c r="EG437" i="2"/>
  <c r="EF437" i="2"/>
  <c r="EE437" i="2"/>
  <c r="ED437" i="2"/>
  <c r="EC437" i="2"/>
  <c r="EB437" i="2"/>
  <c r="FS436" i="2"/>
  <c r="FR436" i="2"/>
  <c r="FQ436" i="2"/>
  <c r="FP436" i="2"/>
  <c r="FO436" i="2"/>
  <c r="FN436" i="2"/>
  <c r="FM436" i="2"/>
  <c r="FL436" i="2"/>
  <c r="FK436" i="2"/>
  <c r="FJ436" i="2"/>
  <c r="FI436" i="2"/>
  <c r="FH436" i="2"/>
  <c r="FG436" i="2"/>
  <c r="FF436" i="2"/>
  <c r="FE436" i="2"/>
  <c r="FD436" i="2"/>
  <c r="FC436" i="2"/>
  <c r="FB436" i="2"/>
  <c r="FA436" i="2"/>
  <c r="EZ436" i="2"/>
  <c r="EY436" i="2"/>
  <c r="EX436" i="2"/>
  <c r="EW436" i="2"/>
  <c r="EV436" i="2"/>
  <c r="EU436" i="2"/>
  <c r="ET436" i="2"/>
  <c r="ES436" i="2"/>
  <c r="ER436" i="2"/>
  <c r="EQ436" i="2"/>
  <c r="EP436" i="2"/>
  <c r="EO436" i="2"/>
  <c r="EN436" i="2"/>
  <c r="EM436" i="2"/>
  <c r="EL436" i="2"/>
  <c r="EK436" i="2"/>
  <c r="EJ436" i="2"/>
  <c r="EI436" i="2"/>
  <c r="EH436" i="2"/>
  <c r="EG436" i="2"/>
  <c r="EF436" i="2"/>
  <c r="EE436" i="2"/>
  <c r="ED436" i="2"/>
  <c r="EC436" i="2"/>
  <c r="EB436" i="2"/>
  <c r="FS435" i="2"/>
  <c r="FR435" i="2"/>
  <c r="FQ435" i="2"/>
  <c r="FP435" i="2"/>
  <c r="FO435" i="2"/>
  <c r="FN435" i="2"/>
  <c r="FM435" i="2"/>
  <c r="FL435" i="2"/>
  <c r="FK435" i="2"/>
  <c r="FJ435" i="2"/>
  <c r="FI435" i="2"/>
  <c r="FH435" i="2"/>
  <c r="FG435" i="2"/>
  <c r="FF435" i="2"/>
  <c r="FE435" i="2"/>
  <c r="FD435" i="2"/>
  <c r="FC435" i="2"/>
  <c r="FB435" i="2"/>
  <c r="FA435" i="2"/>
  <c r="EZ435" i="2"/>
  <c r="EY435" i="2"/>
  <c r="EX435" i="2"/>
  <c r="EW435" i="2"/>
  <c r="EV435" i="2"/>
  <c r="EU435" i="2"/>
  <c r="ET435" i="2"/>
  <c r="ES435" i="2"/>
  <c r="ER435" i="2"/>
  <c r="EQ435" i="2"/>
  <c r="EP435" i="2"/>
  <c r="EO435" i="2"/>
  <c r="EN435" i="2"/>
  <c r="EM435" i="2"/>
  <c r="EL435" i="2"/>
  <c r="EK435" i="2"/>
  <c r="EJ435" i="2"/>
  <c r="EI435" i="2"/>
  <c r="EH435" i="2"/>
  <c r="EG435" i="2"/>
  <c r="EF435" i="2"/>
  <c r="EE435" i="2"/>
  <c r="ED435" i="2"/>
  <c r="EC435" i="2"/>
  <c r="EB435" i="2"/>
  <c r="FS434" i="2"/>
  <c r="FR434" i="2"/>
  <c r="FQ434" i="2"/>
  <c r="FP434" i="2"/>
  <c r="FO434" i="2"/>
  <c r="FN434" i="2"/>
  <c r="FM434" i="2"/>
  <c r="FL434" i="2"/>
  <c r="FK434" i="2"/>
  <c r="FJ434" i="2"/>
  <c r="FI434" i="2"/>
  <c r="FH434" i="2"/>
  <c r="FG434" i="2"/>
  <c r="FF434" i="2"/>
  <c r="FE434" i="2"/>
  <c r="FD434" i="2"/>
  <c r="FC434" i="2"/>
  <c r="FB434" i="2"/>
  <c r="FA434" i="2"/>
  <c r="EZ434" i="2"/>
  <c r="EY434" i="2"/>
  <c r="EX434" i="2"/>
  <c r="EW434" i="2"/>
  <c r="EV434" i="2"/>
  <c r="EU434" i="2"/>
  <c r="ET434" i="2"/>
  <c r="ES434" i="2"/>
  <c r="ER434" i="2"/>
  <c r="EQ434" i="2"/>
  <c r="EP434" i="2"/>
  <c r="EO434" i="2"/>
  <c r="EN434" i="2"/>
  <c r="EM434" i="2"/>
  <c r="EL434" i="2"/>
  <c r="EK434" i="2"/>
  <c r="EJ434" i="2"/>
  <c r="EI434" i="2"/>
  <c r="EH434" i="2"/>
  <c r="EG434" i="2"/>
  <c r="EF434" i="2"/>
  <c r="EE434" i="2"/>
  <c r="ED434" i="2"/>
  <c r="EC434" i="2"/>
  <c r="EB434" i="2"/>
  <c r="FS433" i="2"/>
  <c r="FR433" i="2"/>
  <c r="FQ433" i="2"/>
  <c r="FP433" i="2"/>
  <c r="FO433" i="2"/>
  <c r="FN433" i="2"/>
  <c r="FM433" i="2"/>
  <c r="FL433" i="2"/>
  <c r="FK433" i="2"/>
  <c r="FJ433" i="2"/>
  <c r="FI433" i="2"/>
  <c r="FH433" i="2"/>
  <c r="FG433" i="2"/>
  <c r="FF433" i="2"/>
  <c r="FE433" i="2"/>
  <c r="FD433" i="2"/>
  <c r="FC433" i="2"/>
  <c r="FB433" i="2"/>
  <c r="FA433" i="2"/>
  <c r="EZ433" i="2"/>
  <c r="EY433" i="2"/>
  <c r="EX433" i="2"/>
  <c r="EW433" i="2"/>
  <c r="EV433" i="2"/>
  <c r="EU433" i="2"/>
  <c r="ET433" i="2"/>
  <c r="ES433" i="2"/>
  <c r="ER433" i="2"/>
  <c r="EQ433" i="2"/>
  <c r="EP433" i="2"/>
  <c r="EO433" i="2"/>
  <c r="EN433" i="2"/>
  <c r="EM433" i="2"/>
  <c r="EL433" i="2"/>
  <c r="EK433" i="2"/>
  <c r="EJ433" i="2"/>
  <c r="EI433" i="2"/>
  <c r="EH433" i="2"/>
  <c r="EG433" i="2"/>
  <c r="EF433" i="2"/>
  <c r="EE433" i="2"/>
  <c r="ED433" i="2"/>
  <c r="EC433" i="2"/>
  <c r="EB433" i="2"/>
  <c r="DY438" i="2"/>
  <c r="DX438" i="2"/>
  <c r="DW438" i="2"/>
  <c r="DV438" i="2"/>
  <c r="DU438" i="2"/>
  <c r="DT438" i="2"/>
  <c r="DS438" i="2"/>
  <c r="DR438" i="2"/>
  <c r="DQ438" i="2"/>
  <c r="DP438" i="2"/>
  <c r="DO438" i="2"/>
  <c r="DN438" i="2"/>
  <c r="DM438" i="2"/>
  <c r="DL438" i="2"/>
  <c r="DK438" i="2"/>
  <c r="DJ438" i="2"/>
  <c r="DI438" i="2"/>
  <c r="DH438" i="2"/>
  <c r="DG438" i="2"/>
  <c r="DF438" i="2"/>
  <c r="DE438" i="2"/>
  <c r="DD438" i="2"/>
  <c r="DC438" i="2"/>
  <c r="DB438" i="2"/>
  <c r="DA438" i="2"/>
  <c r="CZ438" i="2"/>
  <c r="CY438" i="2"/>
  <c r="CX438" i="2"/>
  <c r="CW438" i="2"/>
  <c r="CV438" i="2"/>
  <c r="CU438" i="2"/>
  <c r="CT438" i="2"/>
  <c r="CS438" i="2"/>
  <c r="CR438" i="2"/>
  <c r="CQ438" i="2"/>
  <c r="CP438" i="2"/>
  <c r="CO438" i="2"/>
  <c r="CN438" i="2"/>
  <c r="CM438" i="2"/>
  <c r="CL438" i="2"/>
  <c r="CK438" i="2"/>
  <c r="CJ438" i="2"/>
  <c r="CI438" i="2"/>
  <c r="CH438" i="2"/>
  <c r="CG438" i="2"/>
  <c r="CF438" i="2"/>
  <c r="CE438" i="2"/>
  <c r="CD438" i="2"/>
  <c r="CC438" i="2"/>
  <c r="CB438" i="2"/>
  <c r="CA438" i="2"/>
  <c r="BZ438" i="2"/>
  <c r="BY438" i="2"/>
  <c r="BX438" i="2"/>
  <c r="BW438" i="2"/>
  <c r="BV438" i="2"/>
  <c r="BU438" i="2"/>
  <c r="BT438" i="2"/>
  <c r="BS438" i="2"/>
  <c r="BR438" i="2"/>
  <c r="BQ438" i="2"/>
  <c r="BP438" i="2"/>
  <c r="BO438" i="2"/>
  <c r="BN438" i="2"/>
  <c r="BM438" i="2"/>
  <c r="BL438" i="2"/>
  <c r="BK438" i="2"/>
  <c r="BJ438" i="2"/>
  <c r="BI438" i="2"/>
  <c r="BH438" i="2"/>
  <c r="BG438" i="2"/>
  <c r="BF438" i="2"/>
  <c r="BE438" i="2"/>
  <c r="BD438" i="2"/>
  <c r="BC438" i="2"/>
  <c r="BB438" i="2"/>
  <c r="BA438" i="2"/>
  <c r="AZ438" i="2"/>
  <c r="AY438" i="2"/>
  <c r="AX438" i="2"/>
  <c r="AW438" i="2"/>
  <c r="AV438" i="2"/>
  <c r="AU438" i="2"/>
  <c r="AT438" i="2"/>
  <c r="AS438" i="2"/>
  <c r="AR438" i="2"/>
  <c r="AQ438" i="2"/>
  <c r="AP438" i="2"/>
  <c r="AO438" i="2"/>
  <c r="AN438" i="2"/>
  <c r="AM438" i="2"/>
  <c r="AL438" i="2"/>
  <c r="AK438" i="2"/>
  <c r="AJ438" i="2"/>
  <c r="AI438" i="2"/>
  <c r="AH438" i="2"/>
  <c r="AG438" i="2"/>
  <c r="AF438" i="2"/>
  <c r="AE438" i="2"/>
  <c r="AD438" i="2"/>
  <c r="AC438" i="2"/>
  <c r="AB438" i="2"/>
  <c r="AA438" i="2"/>
  <c r="Z438" i="2"/>
  <c r="Y438" i="2"/>
  <c r="X438" i="2"/>
  <c r="W438" i="2"/>
  <c r="V438" i="2"/>
  <c r="U438" i="2"/>
  <c r="T438" i="2"/>
  <c r="S438" i="2"/>
  <c r="R438" i="2"/>
  <c r="Q438" i="2"/>
  <c r="P438" i="2"/>
  <c r="O438" i="2"/>
  <c r="N438" i="2"/>
  <c r="M438" i="2"/>
  <c r="L438" i="2"/>
  <c r="K438" i="2"/>
  <c r="J438" i="2"/>
  <c r="I438" i="2"/>
  <c r="H438" i="2"/>
  <c r="G438" i="2"/>
  <c r="F438" i="2"/>
  <c r="E438" i="2"/>
  <c r="D438" i="2"/>
  <c r="C438" i="2"/>
  <c r="B438" i="2"/>
  <c r="A438" i="2"/>
  <c r="DY437" i="2"/>
  <c r="DX437" i="2"/>
  <c r="DW437" i="2"/>
  <c r="DV437" i="2"/>
  <c r="DU437" i="2"/>
  <c r="DT437" i="2"/>
  <c r="DS437" i="2"/>
  <c r="DR437" i="2"/>
  <c r="DQ437" i="2"/>
  <c r="DP437" i="2"/>
  <c r="DO437" i="2"/>
  <c r="DN437" i="2"/>
  <c r="DM437" i="2"/>
  <c r="DL437" i="2"/>
  <c r="DK437" i="2"/>
  <c r="DJ437" i="2"/>
  <c r="DI437" i="2"/>
  <c r="DH437" i="2"/>
  <c r="DG437" i="2"/>
  <c r="DF437" i="2"/>
  <c r="DE437" i="2"/>
  <c r="DD437" i="2"/>
  <c r="DC437" i="2"/>
  <c r="DB437" i="2"/>
  <c r="DA437" i="2"/>
  <c r="CZ437" i="2"/>
  <c r="CY437" i="2"/>
  <c r="CX437" i="2"/>
  <c r="CW437" i="2"/>
  <c r="CV437" i="2"/>
  <c r="CU437" i="2"/>
  <c r="CT437" i="2"/>
  <c r="CS437" i="2"/>
  <c r="CR437" i="2"/>
  <c r="CQ437" i="2"/>
  <c r="CP437" i="2"/>
  <c r="CO437" i="2"/>
  <c r="CN437" i="2"/>
  <c r="CM437" i="2"/>
  <c r="CL437" i="2"/>
  <c r="CK437" i="2"/>
  <c r="CJ437" i="2"/>
  <c r="CI437" i="2"/>
  <c r="CH437" i="2"/>
  <c r="CG437" i="2"/>
  <c r="CF437" i="2"/>
  <c r="CE437" i="2"/>
  <c r="CD437" i="2"/>
  <c r="CC437" i="2"/>
  <c r="CB437" i="2"/>
  <c r="CA437" i="2"/>
  <c r="BZ437" i="2"/>
  <c r="BY437" i="2"/>
  <c r="BX437" i="2"/>
  <c r="BW437" i="2"/>
  <c r="BV437" i="2"/>
  <c r="BU437" i="2"/>
  <c r="BT437" i="2"/>
  <c r="BS437" i="2"/>
  <c r="BR437" i="2"/>
  <c r="BQ437" i="2"/>
  <c r="BP437" i="2"/>
  <c r="BO437" i="2"/>
  <c r="BN437" i="2"/>
  <c r="BM437" i="2"/>
  <c r="BL437" i="2"/>
  <c r="BK437" i="2"/>
  <c r="BJ437" i="2"/>
  <c r="BI437" i="2"/>
  <c r="BH437" i="2"/>
  <c r="BG437" i="2"/>
  <c r="BF437" i="2"/>
  <c r="BE437" i="2"/>
  <c r="BD437" i="2"/>
  <c r="BC437" i="2"/>
  <c r="BB437" i="2"/>
  <c r="BA437" i="2"/>
  <c r="AZ437" i="2"/>
  <c r="AY437" i="2"/>
  <c r="AX437" i="2"/>
  <c r="AW437" i="2"/>
  <c r="AV437" i="2"/>
  <c r="AU437" i="2"/>
  <c r="AT437" i="2"/>
  <c r="AS437" i="2"/>
  <c r="AR437" i="2"/>
  <c r="AQ437" i="2"/>
  <c r="AP437" i="2"/>
  <c r="AO437" i="2"/>
  <c r="AN437" i="2"/>
  <c r="AM437" i="2"/>
  <c r="AL437" i="2"/>
  <c r="AK437" i="2"/>
  <c r="AJ437" i="2"/>
  <c r="AI437" i="2"/>
  <c r="AH437" i="2"/>
  <c r="AG437" i="2"/>
  <c r="AF437" i="2"/>
  <c r="AE437" i="2"/>
  <c r="AD437" i="2"/>
  <c r="AC437" i="2"/>
  <c r="AB437" i="2"/>
  <c r="AA437" i="2"/>
  <c r="Z437" i="2"/>
  <c r="Y437" i="2"/>
  <c r="X437" i="2"/>
  <c r="W437" i="2"/>
  <c r="V437" i="2"/>
  <c r="U437" i="2"/>
  <c r="T437" i="2"/>
  <c r="S437" i="2"/>
  <c r="R437" i="2"/>
  <c r="Q437" i="2"/>
  <c r="P437" i="2"/>
  <c r="O437" i="2"/>
  <c r="N437" i="2"/>
  <c r="M437" i="2"/>
  <c r="L437" i="2"/>
  <c r="K437" i="2"/>
  <c r="J437" i="2"/>
  <c r="I437" i="2"/>
  <c r="H437" i="2"/>
  <c r="G437" i="2"/>
  <c r="F437" i="2"/>
  <c r="E437" i="2"/>
  <c r="D437" i="2"/>
  <c r="C437" i="2"/>
  <c r="B437" i="2"/>
  <c r="A437" i="2"/>
  <c r="DY436" i="2"/>
  <c r="DX436" i="2"/>
  <c r="DW436" i="2"/>
  <c r="DV436" i="2"/>
  <c r="DU436" i="2"/>
  <c r="DT436" i="2"/>
  <c r="DS436" i="2"/>
  <c r="DR436" i="2"/>
  <c r="DQ436" i="2"/>
  <c r="DP436" i="2"/>
  <c r="DO436" i="2"/>
  <c r="DN436" i="2"/>
  <c r="DM436" i="2"/>
  <c r="DL436" i="2"/>
  <c r="DK436" i="2"/>
  <c r="DJ436" i="2"/>
  <c r="DI436" i="2"/>
  <c r="DH436" i="2"/>
  <c r="DG436" i="2"/>
  <c r="DF436" i="2"/>
  <c r="DE436" i="2"/>
  <c r="DD436" i="2"/>
  <c r="DC436" i="2"/>
  <c r="DB436" i="2"/>
  <c r="DA436" i="2"/>
  <c r="CZ436" i="2"/>
  <c r="CY436" i="2"/>
  <c r="CX436" i="2"/>
  <c r="CW436" i="2"/>
  <c r="CV436" i="2"/>
  <c r="CU436" i="2"/>
  <c r="CT436" i="2"/>
  <c r="CS436" i="2"/>
  <c r="CR436" i="2"/>
  <c r="CQ436" i="2"/>
  <c r="CP436" i="2"/>
  <c r="CO436" i="2"/>
  <c r="CN436" i="2"/>
  <c r="CM436" i="2"/>
  <c r="CL436" i="2"/>
  <c r="CK436" i="2"/>
  <c r="CJ436" i="2"/>
  <c r="CI436" i="2"/>
  <c r="CH436" i="2"/>
  <c r="CG436" i="2"/>
  <c r="CF436" i="2"/>
  <c r="CE436" i="2"/>
  <c r="CD436" i="2"/>
  <c r="CC436" i="2"/>
  <c r="CB436" i="2"/>
  <c r="CA436" i="2"/>
  <c r="BZ436" i="2"/>
  <c r="BY436" i="2"/>
  <c r="BX436" i="2"/>
  <c r="BW436" i="2"/>
  <c r="BV436" i="2"/>
  <c r="BU436" i="2"/>
  <c r="BT436" i="2"/>
  <c r="BS436" i="2"/>
  <c r="BR436" i="2"/>
  <c r="BQ436" i="2"/>
  <c r="BP436" i="2"/>
  <c r="BO436" i="2"/>
  <c r="BN436" i="2"/>
  <c r="BM436" i="2"/>
  <c r="BL436" i="2"/>
  <c r="BK436" i="2"/>
  <c r="BJ436" i="2"/>
  <c r="BI436" i="2"/>
  <c r="BH436" i="2"/>
  <c r="BG436" i="2"/>
  <c r="BF436" i="2"/>
  <c r="BE436" i="2"/>
  <c r="BD436" i="2"/>
  <c r="BC436" i="2"/>
  <c r="BB436" i="2"/>
  <c r="BA436" i="2"/>
  <c r="AZ436" i="2"/>
  <c r="AY436" i="2"/>
  <c r="AX436" i="2"/>
  <c r="AW436" i="2"/>
  <c r="AV436" i="2"/>
  <c r="AU436" i="2"/>
  <c r="AT436" i="2"/>
  <c r="AS436" i="2"/>
  <c r="AR436" i="2"/>
  <c r="AQ436" i="2"/>
  <c r="AP436" i="2"/>
  <c r="AO436" i="2"/>
  <c r="AN436" i="2"/>
  <c r="AM436" i="2"/>
  <c r="AL436" i="2"/>
  <c r="AK436" i="2"/>
  <c r="AJ436" i="2"/>
  <c r="AI436" i="2"/>
  <c r="AH436" i="2"/>
  <c r="AG436" i="2"/>
  <c r="AF436" i="2"/>
  <c r="AE436" i="2"/>
  <c r="AD436" i="2"/>
  <c r="AC436" i="2"/>
  <c r="AB436" i="2"/>
  <c r="AA436" i="2"/>
  <c r="Z436" i="2"/>
  <c r="Y436" i="2"/>
  <c r="X436" i="2"/>
  <c r="W436" i="2"/>
  <c r="V436" i="2"/>
  <c r="U436" i="2"/>
  <c r="T436" i="2"/>
  <c r="S436" i="2"/>
  <c r="R436" i="2"/>
  <c r="Q436" i="2"/>
  <c r="P436" i="2"/>
  <c r="O436" i="2"/>
  <c r="N436" i="2"/>
  <c r="M436" i="2"/>
  <c r="L436" i="2"/>
  <c r="K436" i="2"/>
  <c r="J436" i="2"/>
  <c r="I436" i="2"/>
  <c r="H436" i="2"/>
  <c r="G436" i="2"/>
  <c r="F436" i="2"/>
  <c r="E436" i="2"/>
  <c r="D436" i="2"/>
  <c r="C436" i="2"/>
  <c r="B436" i="2"/>
  <c r="A436" i="2"/>
  <c r="DY435" i="2"/>
  <c r="DX435" i="2"/>
  <c r="DW435" i="2"/>
  <c r="DV435" i="2"/>
  <c r="DU435" i="2"/>
  <c r="DT435" i="2"/>
  <c r="DS435" i="2"/>
  <c r="DR435" i="2"/>
  <c r="DQ435" i="2"/>
  <c r="DP435" i="2"/>
  <c r="DO435" i="2"/>
  <c r="DN435" i="2"/>
  <c r="DM435" i="2"/>
  <c r="DL435" i="2"/>
  <c r="DK435" i="2"/>
  <c r="DJ435" i="2"/>
  <c r="DI435" i="2"/>
  <c r="DH435" i="2"/>
  <c r="DG435" i="2"/>
  <c r="DF435" i="2"/>
  <c r="DE435" i="2"/>
  <c r="DD435" i="2"/>
  <c r="DC435" i="2"/>
  <c r="DB435" i="2"/>
  <c r="DA435" i="2"/>
  <c r="CZ435" i="2"/>
  <c r="CY435" i="2"/>
  <c r="CX435" i="2"/>
  <c r="CW435" i="2"/>
  <c r="CV435" i="2"/>
  <c r="CU435" i="2"/>
  <c r="CT435" i="2"/>
  <c r="CS435" i="2"/>
  <c r="CR435" i="2"/>
  <c r="CQ435" i="2"/>
  <c r="CP435" i="2"/>
  <c r="CO435" i="2"/>
  <c r="CN435" i="2"/>
  <c r="CM435" i="2"/>
  <c r="CL435" i="2"/>
  <c r="CK435" i="2"/>
  <c r="CJ435" i="2"/>
  <c r="CI435" i="2"/>
  <c r="CH435" i="2"/>
  <c r="CG435" i="2"/>
  <c r="CF435" i="2"/>
  <c r="CE435" i="2"/>
  <c r="CD435" i="2"/>
  <c r="CC435" i="2"/>
  <c r="CB435" i="2"/>
  <c r="CA435" i="2"/>
  <c r="BZ435" i="2"/>
  <c r="BY435" i="2"/>
  <c r="BX435" i="2"/>
  <c r="BW435" i="2"/>
  <c r="BV435" i="2"/>
  <c r="BU435" i="2"/>
  <c r="BT435" i="2"/>
  <c r="BS435" i="2"/>
  <c r="BR435" i="2"/>
  <c r="BQ435" i="2"/>
  <c r="BP435" i="2"/>
  <c r="BO435" i="2"/>
  <c r="BN435" i="2"/>
  <c r="BM435" i="2"/>
  <c r="BL435" i="2"/>
  <c r="BK435" i="2"/>
  <c r="BJ435" i="2"/>
  <c r="BI435" i="2"/>
  <c r="BH435" i="2"/>
  <c r="BG435" i="2"/>
  <c r="BF435" i="2"/>
  <c r="BE435" i="2"/>
  <c r="BD435" i="2"/>
  <c r="BC435" i="2"/>
  <c r="BB435" i="2"/>
  <c r="BA435" i="2"/>
  <c r="AZ435" i="2"/>
  <c r="AY435" i="2"/>
  <c r="AX435" i="2"/>
  <c r="AW435" i="2"/>
  <c r="AV435" i="2"/>
  <c r="AU435" i="2"/>
  <c r="AT435" i="2"/>
  <c r="AS435" i="2"/>
  <c r="AR435" i="2"/>
  <c r="AQ435" i="2"/>
  <c r="AP435" i="2"/>
  <c r="AO435" i="2"/>
  <c r="AN435" i="2"/>
  <c r="AM435" i="2"/>
  <c r="AL435" i="2"/>
  <c r="AK435" i="2"/>
  <c r="AJ435" i="2"/>
  <c r="AI435" i="2"/>
  <c r="AH435" i="2"/>
  <c r="AG435" i="2"/>
  <c r="AF435" i="2"/>
  <c r="AE435" i="2"/>
  <c r="AD435" i="2"/>
  <c r="AC435" i="2"/>
  <c r="AB435" i="2"/>
  <c r="AA435" i="2"/>
  <c r="Z435" i="2"/>
  <c r="Y435" i="2"/>
  <c r="X435" i="2"/>
  <c r="W435" i="2"/>
  <c r="V435" i="2"/>
  <c r="U435" i="2"/>
  <c r="T435" i="2"/>
  <c r="S435" i="2"/>
  <c r="R435" i="2"/>
  <c r="Q435" i="2"/>
  <c r="P435" i="2"/>
  <c r="O435" i="2"/>
  <c r="N435" i="2"/>
  <c r="M435" i="2"/>
  <c r="L435" i="2"/>
  <c r="K435" i="2"/>
  <c r="J435" i="2"/>
  <c r="I435" i="2"/>
  <c r="H435" i="2"/>
  <c r="G435" i="2"/>
  <c r="F435" i="2"/>
  <c r="E435" i="2"/>
  <c r="D435" i="2"/>
  <c r="C435" i="2"/>
  <c r="B435" i="2"/>
  <c r="A435" i="2"/>
  <c r="DY434" i="2"/>
  <c r="DX434" i="2"/>
  <c r="DW434" i="2"/>
  <c r="DV434" i="2"/>
  <c r="DU434" i="2"/>
  <c r="DT434" i="2"/>
  <c r="DS434" i="2"/>
  <c r="DR434" i="2"/>
  <c r="DQ434" i="2"/>
  <c r="DP434" i="2"/>
  <c r="DO434" i="2"/>
  <c r="DN434" i="2"/>
  <c r="DM434" i="2"/>
  <c r="DL434" i="2"/>
  <c r="DK434" i="2"/>
  <c r="DJ434" i="2"/>
  <c r="DI434" i="2"/>
  <c r="DH434" i="2"/>
  <c r="DG434" i="2"/>
  <c r="DF434" i="2"/>
  <c r="DE434" i="2"/>
  <c r="DD434" i="2"/>
  <c r="DC434" i="2"/>
  <c r="DB434" i="2"/>
  <c r="DA434" i="2"/>
  <c r="CZ434" i="2"/>
  <c r="CY434" i="2"/>
  <c r="CX434" i="2"/>
  <c r="CW434" i="2"/>
  <c r="CV434" i="2"/>
  <c r="CU434" i="2"/>
  <c r="CT434" i="2"/>
  <c r="CS434" i="2"/>
  <c r="CR434" i="2"/>
  <c r="CQ434" i="2"/>
  <c r="CP434" i="2"/>
  <c r="CO434" i="2"/>
  <c r="CN434" i="2"/>
  <c r="CM434" i="2"/>
  <c r="CL434" i="2"/>
  <c r="CK434" i="2"/>
  <c r="CJ434" i="2"/>
  <c r="CI434" i="2"/>
  <c r="CH434" i="2"/>
  <c r="CG434" i="2"/>
  <c r="CF434" i="2"/>
  <c r="CE434" i="2"/>
  <c r="CD434" i="2"/>
  <c r="CC434" i="2"/>
  <c r="CB434" i="2"/>
  <c r="CA434" i="2"/>
  <c r="BZ434" i="2"/>
  <c r="BY434" i="2"/>
  <c r="BX434" i="2"/>
  <c r="BW434" i="2"/>
  <c r="BV434" i="2"/>
  <c r="BU434" i="2"/>
  <c r="BT434" i="2"/>
  <c r="BS434" i="2"/>
  <c r="BR434" i="2"/>
  <c r="BQ434" i="2"/>
  <c r="BP434" i="2"/>
  <c r="BO434" i="2"/>
  <c r="BN434" i="2"/>
  <c r="BM434" i="2"/>
  <c r="BL434" i="2"/>
  <c r="BK434" i="2"/>
  <c r="BJ434" i="2"/>
  <c r="BI434" i="2"/>
  <c r="BH434" i="2"/>
  <c r="BG434" i="2"/>
  <c r="BF434" i="2"/>
  <c r="BE434" i="2"/>
  <c r="BD434" i="2"/>
  <c r="BC434" i="2"/>
  <c r="BB434" i="2"/>
  <c r="BA434" i="2"/>
  <c r="AZ434" i="2"/>
  <c r="AY434" i="2"/>
  <c r="AX434" i="2"/>
  <c r="AW434" i="2"/>
  <c r="AV434" i="2"/>
  <c r="AU434" i="2"/>
  <c r="AT434" i="2"/>
  <c r="AS434" i="2"/>
  <c r="AR434" i="2"/>
  <c r="AQ434" i="2"/>
  <c r="AP434" i="2"/>
  <c r="AO434" i="2"/>
  <c r="AN434" i="2"/>
  <c r="AM434" i="2"/>
  <c r="AL434" i="2"/>
  <c r="AK434" i="2"/>
  <c r="AJ434" i="2"/>
  <c r="AI434" i="2"/>
  <c r="AH434" i="2"/>
  <c r="AG434" i="2"/>
  <c r="AF434" i="2"/>
  <c r="AE434" i="2"/>
  <c r="AD434" i="2"/>
  <c r="AC434" i="2"/>
  <c r="AB434" i="2"/>
  <c r="AA434" i="2"/>
  <c r="Z434" i="2"/>
  <c r="Y434" i="2"/>
  <c r="X434" i="2"/>
  <c r="W434" i="2"/>
  <c r="V434" i="2"/>
  <c r="U434" i="2"/>
  <c r="T434" i="2"/>
  <c r="S434" i="2"/>
  <c r="R434" i="2"/>
  <c r="Q434" i="2"/>
  <c r="P434" i="2"/>
  <c r="O434" i="2"/>
  <c r="N434" i="2"/>
  <c r="M434" i="2"/>
  <c r="L434" i="2"/>
  <c r="K434" i="2"/>
  <c r="J434" i="2"/>
  <c r="I434" i="2"/>
  <c r="H434" i="2"/>
  <c r="G434" i="2"/>
  <c r="F434" i="2"/>
  <c r="E434" i="2"/>
  <c r="D434" i="2"/>
  <c r="C434" i="2"/>
  <c r="B434" i="2"/>
  <c r="A434" i="2"/>
  <c r="DY433" i="2"/>
  <c r="DX433" i="2"/>
  <c r="DW433" i="2"/>
  <c r="DV433" i="2"/>
  <c r="DU433" i="2"/>
  <c r="DT433" i="2"/>
  <c r="DS433" i="2"/>
  <c r="DR433" i="2"/>
  <c r="DQ433" i="2"/>
  <c r="DP433" i="2"/>
  <c r="DO433" i="2"/>
  <c r="DN433" i="2"/>
  <c r="DM433" i="2"/>
  <c r="DL433" i="2"/>
  <c r="DK433" i="2"/>
  <c r="DJ433" i="2"/>
  <c r="DI433" i="2"/>
  <c r="DH433" i="2"/>
  <c r="DG433" i="2"/>
  <c r="DF433" i="2"/>
  <c r="DE433" i="2"/>
  <c r="DD433" i="2"/>
  <c r="DC433" i="2"/>
  <c r="DB433" i="2"/>
  <c r="DA433" i="2"/>
  <c r="CZ433" i="2"/>
  <c r="CY433" i="2"/>
  <c r="CX433" i="2"/>
  <c r="CW433" i="2"/>
  <c r="CV433" i="2"/>
  <c r="CU433" i="2"/>
  <c r="CT433" i="2"/>
  <c r="CS433" i="2"/>
  <c r="CR433" i="2"/>
  <c r="CQ433" i="2"/>
  <c r="CP433" i="2"/>
  <c r="CO433" i="2"/>
  <c r="CN433" i="2"/>
  <c r="CM433" i="2"/>
  <c r="CL433" i="2"/>
  <c r="CK433" i="2"/>
  <c r="CJ433" i="2"/>
  <c r="CI433" i="2"/>
  <c r="CH433" i="2"/>
  <c r="CG433" i="2"/>
  <c r="CF433" i="2"/>
  <c r="CE433" i="2"/>
  <c r="CD433" i="2"/>
  <c r="CC433" i="2"/>
  <c r="CB433" i="2"/>
  <c r="CA433" i="2"/>
  <c r="BZ433" i="2"/>
  <c r="BY433" i="2"/>
  <c r="BX433" i="2"/>
  <c r="BW433" i="2"/>
  <c r="BV433" i="2"/>
  <c r="BU433" i="2"/>
  <c r="BT433" i="2"/>
  <c r="BS433" i="2"/>
  <c r="BR433" i="2"/>
  <c r="BQ433" i="2"/>
  <c r="BP433" i="2"/>
  <c r="BO433" i="2"/>
  <c r="BN433" i="2"/>
  <c r="BM433" i="2"/>
  <c r="BL433" i="2"/>
  <c r="BK433" i="2"/>
  <c r="BJ433" i="2"/>
  <c r="BI433" i="2"/>
  <c r="BH433" i="2"/>
  <c r="BG433" i="2"/>
  <c r="BF433" i="2"/>
  <c r="BE433" i="2"/>
  <c r="BD433" i="2"/>
  <c r="BC433" i="2"/>
  <c r="BB433" i="2"/>
  <c r="BA433" i="2"/>
  <c r="AZ433" i="2"/>
  <c r="AY433" i="2"/>
  <c r="AX433" i="2"/>
  <c r="AW433" i="2"/>
  <c r="AV433" i="2"/>
  <c r="AU433" i="2"/>
  <c r="AT433" i="2"/>
  <c r="AS433" i="2"/>
  <c r="AR433" i="2"/>
  <c r="AQ433" i="2"/>
  <c r="AP433" i="2"/>
  <c r="AO433" i="2"/>
  <c r="AN433" i="2"/>
  <c r="AM433" i="2"/>
  <c r="AL433" i="2"/>
  <c r="AK433" i="2"/>
  <c r="AJ433" i="2"/>
  <c r="AI433" i="2"/>
  <c r="AH433" i="2"/>
  <c r="AG433" i="2"/>
  <c r="AF433" i="2"/>
  <c r="AE433" i="2"/>
  <c r="AD433" i="2"/>
  <c r="AC433" i="2"/>
  <c r="AB433" i="2"/>
  <c r="AA433" i="2"/>
  <c r="Z433" i="2"/>
  <c r="Y433" i="2"/>
  <c r="X433" i="2"/>
  <c r="W433" i="2"/>
  <c r="V433" i="2"/>
  <c r="U433" i="2"/>
  <c r="T433" i="2"/>
  <c r="S433" i="2"/>
  <c r="R433" i="2"/>
  <c r="Q433" i="2"/>
  <c r="P433" i="2"/>
  <c r="O433" i="2"/>
  <c r="N433" i="2"/>
  <c r="M433" i="2"/>
  <c r="L433" i="2"/>
  <c r="K433" i="2"/>
  <c r="J433" i="2"/>
  <c r="I433" i="2"/>
  <c r="H433" i="2"/>
  <c r="G433" i="2"/>
  <c r="F433" i="2"/>
  <c r="E433" i="2"/>
  <c r="D433" i="2"/>
  <c r="C433" i="2"/>
  <c r="B433" i="2"/>
  <c r="A433" i="2"/>
  <c r="FS430" i="2"/>
  <c r="FR430" i="2"/>
  <c r="FQ430" i="2"/>
  <c r="FP430" i="2"/>
  <c r="FO430" i="2"/>
  <c r="FN430" i="2"/>
  <c r="FM430" i="2"/>
  <c r="FL430" i="2"/>
  <c r="FK430" i="2"/>
  <c r="FJ430" i="2"/>
  <c r="FI430" i="2"/>
  <c r="FH430" i="2"/>
  <c r="FG430" i="2"/>
  <c r="FF430" i="2"/>
  <c r="FE430" i="2"/>
  <c r="FD430" i="2"/>
  <c r="FC430" i="2"/>
  <c r="FB430" i="2"/>
  <c r="FA430" i="2"/>
  <c r="EZ430" i="2"/>
  <c r="EY430" i="2"/>
  <c r="EX430" i="2"/>
  <c r="EW430" i="2"/>
  <c r="EV430" i="2"/>
  <c r="EU430" i="2"/>
  <c r="ET430" i="2"/>
  <c r="ES430" i="2"/>
  <c r="ER430" i="2"/>
  <c r="EQ430" i="2"/>
  <c r="EP430" i="2"/>
  <c r="EO430" i="2"/>
  <c r="EN430" i="2"/>
  <c r="EM430" i="2"/>
  <c r="EL430" i="2"/>
  <c r="EK430" i="2"/>
  <c r="EJ430" i="2"/>
  <c r="EI430" i="2"/>
  <c r="EH430" i="2"/>
  <c r="EG430" i="2"/>
  <c r="EF430" i="2"/>
  <c r="EE430" i="2"/>
  <c r="ED430" i="2"/>
  <c r="EC430" i="2"/>
  <c r="EB430" i="2"/>
  <c r="FS429" i="2"/>
  <c r="FR429" i="2"/>
  <c r="FQ429" i="2"/>
  <c r="FP429" i="2"/>
  <c r="FO429" i="2"/>
  <c r="FN429" i="2"/>
  <c r="FM429" i="2"/>
  <c r="FL429" i="2"/>
  <c r="FK429" i="2"/>
  <c r="FJ429" i="2"/>
  <c r="FI429" i="2"/>
  <c r="FH429" i="2"/>
  <c r="FG429" i="2"/>
  <c r="FF429" i="2"/>
  <c r="FE429" i="2"/>
  <c r="FD429" i="2"/>
  <c r="FC429" i="2"/>
  <c r="FB429" i="2"/>
  <c r="FA429" i="2"/>
  <c r="EZ429" i="2"/>
  <c r="EY429" i="2"/>
  <c r="EX429" i="2"/>
  <c r="EW429" i="2"/>
  <c r="EV429" i="2"/>
  <c r="EU429" i="2"/>
  <c r="ET429" i="2"/>
  <c r="ES429" i="2"/>
  <c r="ER429" i="2"/>
  <c r="EQ429" i="2"/>
  <c r="EP429" i="2"/>
  <c r="EO429" i="2"/>
  <c r="EN429" i="2"/>
  <c r="EM429" i="2"/>
  <c r="EL429" i="2"/>
  <c r="EK429" i="2"/>
  <c r="EJ429" i="2"/>
  <c r="EI429" i="2"/>
  <c r="EH429" i="2"/>
  <c r="EG429" i="2"/>
  <c r="EF429" i="2"/>
  <c r="EE429" i="2"/>
  <c r="ED429" i="2"/>
  <c r="EC429" i="2"/>
  <c r="EB429" i="2"/>
  <c r="FS428" i="2"/>
  <c r="FR428" i="2"/>
  <c r="FQ428" i="2"/>
  <c r="FP428" i="2"/>
  <c r="FO428" i="2"/>
  <c r="FN428" i="2"/>
  <c r="FM428" i="2"/>
  <c r="FL428" i="2"/>
  <c r="FK428" i="2"/>
  <c r="FJ428" i="2"/>
  <c r="FI428" i="2"/>
  <c r="FH428" i="2"/>
  <c r="FG428" i="2"/>
  <c r="FF428" i="2"/>
  <c r="FE428" i="2"/>
  <c r="FD428" i="2"/>
  <c r="FC428" i="2"/>
  <c r="FB428" i="2"/>
  <c r="FA428" i="2"/>
  <c r="EZ428" i="2"/>
  <c r="EY428" i="2"/>
  <c r="EX428" i="2"/>
  <c r="EW428" i="2"/>
  <c r="EV428" i="2"/>
  <c r="EU428" i="2"/>
  <c r="ET428" i="2"/>
  <c r="ES428" i="2"/>
  <c r="ER428" i="2"/>
  <c r="EQ428" i="2"/>
  <c r="EP428" i="2"/>
  <c r="EO428" i="2"/>
  <c r="EN428" i="2"/>
  <c r="EM428" i="2"/>
  <c r="EL428" i="2"/>
  <c r="EK428" i="2"/>
  <c r="EJ428" i="2"/>
  <c r="EI428" i="2"/>
  <c r="EH428" i="2"/>
  <c r="EG428" i="2"/>
  <c r="EF428" i="2"/>
  <c r="EE428" i="2"/>
  <c r="ED428" i="2"/>
  <c r="EC428" i="2"/>
  <c r="EB428" i="2"/>
  <c r="FS427" i="2"/>
  <c r="FR427" i="2"/>
  <c r="FQ427" i="2"/>
  <c r="FP427" i="2"/>
  <c r="FO427" i="2"/>
  <c r="FN427" i="2"/>
  <c r="FM427" i="2"/>
  <c r="FL427" i="2"/>
  <c r="FK427" i="2"/>
  <c r="FJ427" i="2"/>
  <c r="FI427" i="2"/>
  <c r="FH427" i="2"/>
  <c r="FG427" i="2"/>
  <c r="FF427" i="2"/>
  <c r="FE427" i="2"/>
  <c r="FD427" i="2"/>
  <c r="FC427" i="2"/>
  <c r="FB427" i="2"/>
  <c r="FA427" i="2"/>
  <c r="EZ427" i="2"/>
  <c r="EY427" i="2"/>
  <c r="EX427" i="2"/>
  <c r="EW427" i="2"/>
  <c r="EV427" i="2"/>
  <c r="EU427" i="2"/>
  <c r="ET427" i="2"/>
  <c r="ES427" i="2"/>
  <c r="ER427" i="2"/>
  <c r="EQ427" i="2"/>
  <c r="EP427" i="2"/>
  <c r="EO427" i="2"/>
  <c r="EN427" i="2"/>
  <c r="EM427" i="2"/>
  <c r="EL427" i="2"/>
  <c r="EK427" i="2"/>
  <c r="EJ427" i="2"/>
  <c r="EI427" i="2"/>
  <c r="EH427" i="2"/>
  <c r="EG427" i="2"/>
  <c r="EF427" i="2"/>
  <c r="EE427" i="2"/>
  <c r="ED427" i="2"/>
  <c r="EC427" i="2"/>
  <c r="EB427" i="2"/>
  <c r="FS426" i="2"/>
  <c r="FR426" i="2"/>
  <c r="FQ426" i="2"/>
  <c r="FP426" i="2"/>
  <c r="FO426" i="2"/>
  <c r="FN426" i="2"/>
  <c r="FM426" i="2"/>
  <c r="FL426" i="2"/>
  <c r="FK426" i="2"/>
  <c r="FJ426" i="2"/>
  <c r="FI426" i="2"/>
  <c r="FH426" i="2"/>
  <c r="FG426" i="2"/>
  <c r="FF426" i="2"/>
  <c r="FE426" i="2"/>
  <c r="FD426" i="2"/>
  <c r="FC426" i="2"/>
  <c r="FB426" i="2"/>
  <c r="FA426" i="2"/>
  <c r="EZ426" i="2"/>
  <c r="EY426" i="2"/>
  <c r="EX426" i="2"/>
  <c r="EW426" i="2"/>
  <c r="EV426" i="2"/>
  <c r="EU426" i="2"/>
  <c r="ET426" i="2"/>
  <c r="ES426" i="2"/>
  <c r="ER426" i="2"/>
  <c r="EQ426" i="2"/>
  <c r="EP426" i="2"/>
  <c r="EO426" i="2"/>
  <c r="EN426" i="2"/>
  <c r="EM426" i="2"/>
  <c r="EL426" i="2"/>
  <c r="EK426" i="2"/>
  <c r="EJ426" i="2"/>
  <c r="EI426" i="2"/>
  <c r="EH426" i="2"/>
  <c r="EG426" i="2"/>
  <c r="EF426" i="2"/>
  <c r="EE426" i="2"/>
  <c r="ED426" i="2"/>
  <c r="EC426" i="2"/>
  <c r="EB426" i="2"/>
  <c r="FS425" i="2"/>
  <c r="FR425" i="2"/>
  <c r="FQ425" i="2"/>
  <c r="FP425" i="2"/>
  <c r="FO425" i="2"/>
  <c r="FN425" i="2"/>
  <c r="FM425" i="2"/>
  <c r="FL425" i="2"/>
  <c r="FK425" i="2"/>
  <c r="FK441" i="2" s="1"/>
  <c r="FJ425" i="2"/>
  <c r="FI425" i="2"/>
  <c r="FH425" i="2"/>
  <c r="FG425" i="2"/>
  <c r="FF425" i="2"/>
  <c r="FE425" i="2"/>
  <c r="FD425" i="2"/>
  <c r="FC425" i="2"/>
  <c r="FB425" i="2"/>
  <c r="FA425" i="2"/>
  <c r="EZ425" i="2"/>
  <c r="EY425" i="2"/>
  <c r="EX425" i="2"/>
  <c r="EW425" i="2"/>
  <c r="EV425" i="2"/>
  <c r="EU425" i="2"/>
  <c r="ET425" i="2"/>
  <c r="ES425" i="2"/>
  <c r="ER425" i="2"/>
  <c r="EQ425" i="2"/>
  <c r="EP425" i="2"/>
  <c r="EO425" i="2"/>
  <c r="EN425" i="2"/>
  <c r="EM425" i="2"/>
  <c r="EL425" i="2"/>
  <c r="EK425" i="2"/>
  <c r="EJ425" i="2"/>
  <c r="EI425" i="2"/>
  <c r="EH425" i="2"/>
  <c r="EG425" i="2"/>
  <c r="EF425" i="2"/>
  <c r="EE425" i="2"/>
  <c r="ED425" i="2"/>
  <c r="EC425" i="2"/>
  <c r="EB425" i="2"/>
  <c r="DY430" i="2"/>
  <c r="DX430" i="2"/>
  <c r="DW430" i="2"/>
  <c r="DV430" i="2"/>
  <c r="DU430" i="2"/>
  <c r="DT430" i="2"/>
  <c r="DS430" i="2"/>
  <c r="DR430" i="2"/>
  <c r="DQ430" i="2"/>
  <c r="DP430" i="2"/>
  <c r="DO430" i="2"/>
  <c r="DN430" i="2"/>
  <c r="DM430" i="2"/>
  <c r="DL430" i="2"/>
  <c r="DK430" i="2"/>
  <c r="DJ430" i="2"/>
  <c r="DI430" i="2"/>
  <c r="DH430" i="2"/>
  <c r="DG430" i="2"/>
  <c r="DF430" i="2"/>
  <c r="DE430" i="2"/>
  <c r="DD430" i="2"/>
  <c r="DC430" i="2"/>
  <c r="DB430" i="2"/>
  <c r="DA430" i="2"/>
  <c r="CZ430" i="2"/>
  <c r="CY430" i="2"/>
  <c r="CX430" i="2"/>
  <c r="CW430" i="2"/>
  <c r="CV430" i="2"/>
  <c r="CU430" i="2"/>
  <c r="CT430" i="2"/>
  <c r="CS430" i="2"/>
  <c r="CR430" i="2"/>
  <c r="CQ430" i="2"/>
  <c r="CP430" i="2"/>
  <c r="CO430" i="2"/>
  <c r="CN430" i="2"/>
  <c r="CM430" i="2"/>
  <c r="CL430" i="2"/>
  <c r="CK430" i="2"/>
  <c r="CJ430" i="2"/>
  <c r="CI430" i="2"/>
  <c r="CH430" i="2"/>
  <c r="CG430" i="2"/>
  <c r="CF430" i="2"/>
  <c r="CE430" i="2"/>
  <c r="CD430" i="2"/>
  <c r="CC430" i="2"/>
  <c r="CB430" i="2"/>
  <c r="CA430" i="2"/>
  <c r="BZ430" i="2"/>
  <c r="BY430" i="2"/>
  <c r="BX430" i="2"/>
  <c r="BW430" i="2"/>
  <c r="BV430" i="2"/>
  <c r="BU430" i="2"/>
  <c r="BT430" i="2"/>
  <c r="BS430" i="2"/>
  <c r="BR430" i="2"/>
  <c r="BQ430" i="2"/>
  <c r="BP430" i="2"/>
  <c r="BO430" i="2"/>
  <c r="BN430" i="2"/>
  <c r="BM430" i="2"/>
  <c r="BL430" i="2"/>
  <c r="BK430" i="2"/>
  <c r="BJ430" i="2"/>
  <c r="BI430" i="2"/>
  <c r="BH430" i="2"/>
  <c r="BG430" i="2"/>
  <c r="BF430" i="2"/>
  <c r="BE430" i="2"/>
  <c r="BD430" i="2"/>
  <c r="BC430" i="2"/>
  <c r="BB430" i="2"/>
  <c r="BA430" i="2"/>
  <c r="AZ430" i="2"/>
  <c r="AY430" i="2"/>
  <c r="AX430" i="2"/>
  <c r="AW430" i="2"/>
  <c r="AV430" i="2"/>
  <c r="AU430" i="2"/>
  <c r="AT430" i="2"/>
  <c r="AS430" i="2"/>
  <c r="AR430" i="2"/>
  <c r="AQ430" i="2"/>
  <c r="AP430" i="2"/>
  <c r="AO430" i="2"/>
  <c r="AN430" i="2"/>
  <c r="AM430" i="2"/>
  <c r="AL430" i="2"/>
  <c r="AK430" i="2"/>
  <c r="AJ430" i="2"/>
  <c r="AI430" i="2"/>
  <c r="AH430" i="2"/>
  <c r="AG430" i="2"/>
  <c r="AF430" i="2"/>
  <c r="AE430" i="2"/>
  <c r="AD430" i="2"/>
  <c r="AC430" i="2"/>
  <c r="AB430" i="2"/>
  <c r="AA430" i="2"/>
  <c r="Z430" i="2"/>
  <c r="Y430" i="2"/>
  <c r="X430" i="2"/>
  <c r="W430" i="2"/>
  <c r="V430" i="2"/>
  <c r="U430" i="2"/>
  <c r="T430" i="2"/>
  <c r="S430" i="2"/>
  <c r="R430" i="2"/>
  <c r="Q430" i="2"/>
  <c r="P430" i="2"/>
  <c r="O430" i="2"/>
  <c r="N430" i="2"/>
  <c r="M430" i="2"/>
  <c r="L430" i="2"/>
  <c r="K430" i="2"/>
  <c r="J430" i="2"/>
  <c r="I430" i="2"/>
  <c r="H430" i="2"/>
  <c r="G430" i="2"/>
  <c r="F430" i="2"/>
  <c r="E430" i="2"/>
  <c r="D430" i="2"/>
  <c r="C430" i="2"/>
  <c r="B430" i="2"/>
  <c r="A430" i="2"/>
  <c r="DY429" i="2"/>
  <c r="DX429" i="2"/>
  <c r="DW429" i="2"/>
  <c r="DV429" i="2"/>
  <c r="DU429" i="2"/>
  <c r="DT429" i="2"/>
  <c r="DS429" i="2"/>
  <c r="DR429" i="2"/>
  <c r="DQ429" i="2"/>
  <c r="DP429" i="2"/>
  <c r="DO429" i="2"/>
  <c r="DN429" i="2"/>
  <c r="DM429" i="2"/>
  <c r="DL429" i="2"/>
  <c r="DK429" i="2"/>
  <c r="DJ429" i="2"/>
  <c r="DI429" i="2"/>
  <c r="DH429" i="2"/>
  <c r="DG429" i="2"/>
  <c r="DF429" i="2"/>
  <c r="DE429" i="2"/>
  <c r="DD429" i="2"/>
  <c r="DC429" i="2"/>
  <c r="DB429" i="2"/>
  <c r="DA429" i="2"/>
  <c r="CZ429" i="2"/>
  <c r="CY429" i="2"/>
  <c r="CX429" i="2"/>
  <c r="CW429" i="2"/>
  <c r="CV429" i="2"/>
  <c r="CU429" i="2"/>
  <c r="CT429" i="2"/>
  <c r="CS429" i="2"/>
  <c r="CR429" i="2"/>
  <c r="CQ429" i="2"/>
  <c r="CP429" i="2"/>
  <c r="CO429" i="2"/>
  <c r="CN429" i="2"/>
  <c r="CM429" i="2"/>
  <c r="CL429" i="2"/>
  <c r="CK429" i="2"/>
  <c r="CJ429" i="2"/>
  <c r="CI429" i="2"/>
  <c r="CH429" i="2"/>
  <c r="CG429" i="2"/>
  <c r="CF429" i="2"/>
  <c r="CE429" i="2"/>
  <c r="CD429" i="2"/>
  <c r="CC429" i="2"/>
  <c r="CB429" i="2"/>
  <c r="CA429" i="2"/>
  <c r="BZ429" i="2"/>
  <c r="BY429" i="2"/>
  <c r="BX429" i="2"/>
  <c r="BW429" i="2"/>
  <c r="BV429" i="2"/>
  <c r="BU429" i="2"/>
  <c r="BT429" i="2"/>
  <c r="BS429" i="2"/>
  <c r="BR429" i="2"/>
  <c r="BQ429" i="2"/>
  <c r="BP429" i="2"/>
  <c r="BO429" i="2"/>
  <c r="BN429" i="2"/>
  <c r="BM429" i="2"/>
  <c r="BL429" i="2"/>
  <c r="BK429" i="2"/>
  <c r="BJ429" i="2"/>
  <c r="BI429" i="2"/>
  <c r="BH429" i="2"/>
  <c r="BG429" i="2"/>
  <c r="BF429" i="2"/>
  <c r="BE429" i="2"/>
  <c r="BD429" i="2"/>
  <c r="BC429" i="2"/>
  <c r="BB429" i="2"/>
  <c r="BA429" i="2"/>
  <c r="AZ429" i="2"/>
  <c r="AY429" i="2"/>
  <c r="AX429" i="2"/>
  <c r="AW429" i="2"/>
  <c r="AV429" i="2"/>
  <c r="AU429" i="2"/>
  <c r="AT429" i="2"/>
  <c r="AS429" i="2"/>
  <c r="AR429" i="2"/>
  <c r="AQ429" i="2"/>
  <c r="AP429" i="2"/>
  <c r="AO429" i="2"/>
  <c r="AN429" i="2"/>
  <c r="AM429" i="2"/>
  <c r="AL429" i="2"/>
  <c r="AK429" i="2"/>
  <c r="AJ429" i="2"/>
  <c r="AI429" i="2"/>
  <c r="AH429" i="2"/>
  <c r="AG429" i="2"/>
  <c r="AF429" i="2"/>
  <c r="AE429" i="2"/>
  <c r="AD429" i="2"/>
  <c r="AC429" i="2"/>
  <c r="AB429" i="2"/>
  <c r="AA429" i="2"/>
  <c r="Z429" i="2"/>
  <c r="Y429" i="2"/>
  <c r="X429" i="2"/>
  <c r="W429" i="2"/>
  <c r="V429" i="2"/>
  <c r="U429" i="2"/>
  <c r="T429" i="2"/>
  <c r="S429" i="2"/>
  <c r="R429" i="2"/>
  <c r="Q429" i="2"/>
  <c r="P429" i="2"/>
  <c r="O429" i="2"/>
  <c r="N429" i="2"/>
  <c r="M429" i="2"/>
  <c r="L429" i="2"/>
  <c r="K429" i="2"/>
  <c r="J429" i="2"/>
  <c r="I429" i="2"/>
  <c r="H429" i="2"/>
  <c r="G429" i="2"/>
  <c r="F429" i="2"/>
  <c r="E429" i="2"/>
  <c r="D429" i="2"/>
  <c r="C429" i="2"/>
  <c r="B429" i="2"/>
  <c r="A429" i="2"/>
  <c r="DY428" i="2"/>
  <c r="DX428" i="2"/>
  <c r="DW428" i="2"/>
  <c r="DV428" i="2"/>
  <c r="DU428" i="2"/>
  <c r="DT428" i="2"/>
  <c r="DS428" i="2"/>
  <c r="DR428" i="2"/>
  <c r="DQ428" i="2"/>
  <c r="DP428" i="2"/>
  <c r="DO428" i="2"/>
  <c r="DN428" i="2"/>
  <c r="DM428" i="2"/>
  <c r="DL428" i="2"/>
  <c r="DK428" i="2"/>
  <c r="DJ428" i="2"/>
  <c r="DI428" i="2"/>
  <c r="DH428" i="2"/>
  <c r="DG428" i="2"/>
  <c r="DF428" i="2"/>
  <c r="DE428" i="2"/>
  <c r="DD428" i="2"/>
  <c r="DC428" i="2"/>
  <c r="DB428" i="2"/>
  <c r="DA428" i="2"/>
  <c r="CZ428" i="2"/>
  <c r="CY428" i="2"/>
  <c r="CX428" i="2"/>
  <c r="CW428" i="2"/>
  <c r="CV428" i="2"/>
  <c r="CU428" i="2"/>
  <c r="CT428" i="2"/>
  <c r="CS428" i="2"/>
  <c r="CR428" i="2"/>
  <c r="CQ428" i="2"/>
  <c r="CP428" i="2"/>
  <c r="CO428" i="2"/>
  <c r="CN428" i="2"/>
  <c r="CM428" i="2"/>
  <c r="CL428" i="2"/>
  <c r="CK428" i="2"/>
  <c r="CJ428" i="2"/>
  <c r="CI428" i="2"/>
  <c r="CH428" i="2"/>
  <c r="CG428" i="2"/>
  <c r="CF428" i="2"/>
  <c r="CE428" i="2"/>
  <c r="CD428" i="2"/>
  <c r="CC428" i="2"/>
  <c r="CB428" i="2"/>
  <c r="CA428" i="2"/>
  <c r="BZ428" i="2"/>
  <c r="BY428" i="2"/>
  <c r="BX428" i="2"/>
  <c r="BW428" i="2"/>
  <c r="BV428" i="2"/>
  <c r="BU428" i="2"/>
  <c r="BT428" i="2"/>
  <c r="BS428" i="2"/>
  <c r="BR428" i="2"/>
  <c r="BQ428" i="2"/>
  <c r="BP428" i="2"/>
  <c r="BO428" i="2"/>
  <c r="BN428" i="2"/>
  <c r="BM428" i="2"/>
  <c r="BL428" i="2"/>
  <c r="BK428" i="2"/>
  <c r="BJ428" i="2"/>
  <c r="BI428" i="2"/>
  <c r="BH428" i="2"/>
  <c r="BG428" i="2"/>
  <c r="BF428" i="2"/>
  <c r="BE428" i="2"/>
  <c r="BD428" i="2"/>
  <c r="BC428" i="2"/>
  <c r="BB428" i="2"/>
  <c r="BA428" i="2"/>
  <c r="AZ428" i="2"/>
  <c r="AY428" i="2"/>
  <c r="AX428" i="2"/>
  <c r="AW428" i="2"/>
  <c r="AV428" i="2"/>
  <c r="AU428" i="2"/>
  <c r="AT428" i="2"/>
  <c r="AS428" i="2"/>
  <c r="AR428" i="2"/>
  <c r="AQ428" i="2"/>
  <c r="AP428" i="2"/>
  <c r="AO428" i="2"/>
  <c r="AN428" i="2"/>
  <c r="AM428" i="2"/>
  <c r="AL428" i="2"/>
  <c r="AK428" i="2"/>
  <c r="AJ428" i="2"/>
  <c r="AI428" i="2"/>
  <c r="AH428" i="2"/>
  <c r="AG428" i="2"/>
  <c r="AF428" i="2"/>
  <c r="AE428" i="2"/>
  <c r="AD428" i="2"/>
  <c r="AC428" i="2"/>
  <c r="AB428" i="2"/>
  <c r="AA428" i="2"/>
  <c r="Z428" i="2"/>
  <c r="Y428" i="2"/>
  <c r="X428" i="2"/>
  <c r="W428" i="2"/>
  <c r="V428" i="2"/>
  <c r="U428" i="2"/>
  <c r="T428" i="2"/>
  <c r="S428" i="2"/>
  <c r="R428" i="2"/>
  <c r="Q428" i="2"/>
  <c r="P428" i="2"/>
  <c r="O428" i="2"/>
  <c r="N428" i="2"/>
  <c r="M428" i="2"/>
  <c r="L428" i="2"/>
  <c r="K428" i="2"/>
  <c r="J428" i="2"/>
  <c r="I428" i="2"/>
  <c r="H428" i="2"/>
  <c r="G428" i="2"/>
  <c r="F428" i="2"/>
  <c r="E428" i="2"/>
  <c r="D428" i="2"/>
  <c r="C428" i="2"/>
  <c r="B428" i="2"/>
  <c r="A428" i="2"/>
  <c r="DY427" i="2"/>
  <c r="DX427" i="2"/>
  <c r="DW427" i="2"/>
  <c r="DV427" i="2"/>
  <c r="DU427" i="2"/>
  <c r="DT427" i="2"/>
  <c r="DS427" i="2"/>
  <c r="DR427" i="2"/>
  <c r="DQ427" i="2"/>
  <c r="DP427" i="2"/>
  <c r="DO427" i="2"/>
  <c r="DN427" i="2"/>
  <c r="DM427" i="2"/>
  <c r="DL427" i="2"/>
  <c r="DK427" i="2"/>
  <c r="DJ427" i="2"/>
  <c r="DI427" i="2"/>
  <c r="DH427" i="2"/>
  <c r="DG427" i="2"/>
  <c r="DF427" i="2"/>
  <c r="DE427" i="2"/>
  <c r="DD427" i="2"/>
  <c r="DC427" i="2"/>
  <c r="DB427" i="2"/>
  <c r="DA427" i="2"/>
  <c r="CZ427" i="2"/>
  <c r="CY427" i="2"/>
  <c r="CX427" i="2"/>
  <c r="CW427" i="2"/>
  <c r="CV427" i="2"/>
  <c r="CU427" i="2"/>
  <c r="CT427" i="2"/>
  <c r="CS427" i="2"/>
  <c r="CR427" i="2"/>
  <c r="CQ427" i="2"/>
  <c r="CP427" i="2"/>
  <c r="CO427" i="2"/>
  <c r="CN427" i="2"/>
  <c r="CM427" i="2"/>
  <c r="CL427" i="2"/>
  <c r="CK427" i="2"/>
  <c r="CJ427" i="2"/>
  <c r="CI427" i="2"/>
  <c r="CH427" i="2"/>
  <c r="CG427" i="2"/>
  <c r="CF427" i="2"/>
  <c r="CE427" i="2"/>
  <c r="CD427" i="2"/>
  <c r="CC427" i="2"/>
  <c r="CB427" i="2"/>
  <c r="CA427" i="2"/>
  <c r="BZ427" i="2"/>
  <c r="BY427" i="2"/>
  <c r="BX427" i="2"/>
  <c r="BW427" i="2"/>
  <c r="BV427" i="2"/>
  <c r="BU427" i="2"/>
  <c r="BT427" i="2"/>
  <c r="BS427" i="2"/>
  <c r="BR427" i="2"/>
  <c r="BQ427" i="2"/>
  <c r="BP427" i="2"/>
  <c r="BO427" i="2"/>
  <c r="BN427" i="2"/>
  <c r="BM427" i="2"/>
  <c r="BL427" i="2"/>
  <c r="BK427" i="2"/>
  <c r="BJ427" i="2"/>
  <c r="BI427" i="2"/>
  <c r="BH427" i="2"/>
  <c r="BG427" i="2"/>
  <c r="BF427" i="2"/>
  <c r="BE427" i="2"/>
  <c r="BD427" i="2"/>
  <c r="BC427" i="2"/>
  <c r="BB427" i="2"/>
  <c r="BA427" i="2"/>
  <c r="AZ427" i="2"/>
  <c r="AY427" i="2"/>
  <c r="AX427" i="2"/>
  <c r="AW427" i="2"/>
  <c r="AV427" i="2"/>
  <c r="AU427" i="2"/>
  <c r="AT427" i="2"/>
  <c r="AS427" i="2"/>
  <c r="AR427" i="2"/>
  <c r="AQ427" i="2"/>
  <c r="AP427" i="2"/>
  <c r="AO427" i="2"/>
  <c r="AN427" i="2"/>
  <c r="AM427" i="2"/>
  <c r="AL427" i="2"/>
  <c r="AK427" i="2"/>
  <c r="AJ427" i="2"/>
  <c r="AI427" i="2"/>
  <c r="AH427" i="2"/>
  <c r="AG427" i="2"/>
  <c r="AF427" i="2"/>
  <c r="AE427" i="2"/>
  <c r="AD427" i="2"/>
  <c r="AC427" i="2"/>
  <c r="AB427" i="2"/>
  <c r="AA427" i="2"/>
  <c r="Z427" i="2"/>
  <c r="Y427" i="2"/>
  <c r="X427" i="2"/>
  <c r="W427" i="2"/>
  <c r="V427" i="2"/>
  <c r="U427" i="2"/>
  <c r="T427" i="2"/>
  <c r="S427" i="2"/>
  <c r="R427" i="2"/>
  <c r="Q427" i="2"/>
  <c r="P427" i="2"/>
  <c r="O427" i="2"/>
  <c r="N427" i="2"/>
  <c r="M427" i="2"/>
  <c r="L427" i="2"/>
  <c r="K427" i="2"/>
  <c r="J427" i="2"/>
  <c r="I427" i="2"/>
  <c r="H427" i="2"/>
  <c r="G427" i="2"/>
  <c r="F427" i="2"/>
  <c r="E427" i="2"/>
  <c r="D427" i="2"/>
  <c r="C427" i="2"/>
  <c r="B427" i="2"/>
  <c r="A427" i="2"/>
  <c r="DY426" i="2"/>
  <c r="DX426" i="2"/>
  <c r="DW426" i="2"/>
  <c r="DV426" i="2"/>
  <c r="DU426" i="2"/>
  <c r="DT426" i="2"/>
  <c r="DS426" i="2"/>
  <c r="DR426" i="2"/>
  <c r="DQ426" i="2"/>
  <c r="DP426" i="2"/>
  <c r="DO426" i="2"/>
  <c r="DN426" i="2"/>
  <c r="DM426" i="2"/>
  <c r="DL426" i="2"/>
  <c r="DK426" i="2"/>
  <c r="DJ426" i="2"/>
  <c r="DI426" i="2"/>
  <c r="DH426" i="2"/>
  <c r="DG426" i="2"/>
  <c r="DF426" i="2"/>
  <c r="DE426" i="2"/>
  <c r="DD426" i="2"/>
  <c r="DC426" i="2"/>
  <c r="DB426" i="2"/>
  <c r="DA426" i="2"/>
  <c r="CZ426" i="2"/>
  <c r="CY426" i="2"/>
  <c r="CX426" i="2"/>
  <c r="CW426" i="2"/>
  <c r="CV426" i="2"/>
  <c r="CU426" i="2"/>
  <c r="CT426" i="2"/>
  <c r="CS426" i="2"/>
  <c r="CR426" i="2"/>
  <c r="CQ426" i="2"/>
  <c r="CP426" i="2"/>
  <c r="CO426" i="2"/>
  <c r="CN426" i="2"/>
  <c r="CM426" i="2"/>
  <c r="CL426" i="2"/>
  <c r="CK426" i="2"/>
  <c r="CJ426" i="2"/>
  <c r="CI426" i="2"/>
  <c r="CH426" i="2"/>
  <c r="CG426" i="2"/>
  <c r="CF426" i="2"/>
  <c r="CE426" i="2"/>
  <c r="CD426" i="2"/>
  <c r="CC426" i="2"/>
  <c r="CB426" i="2"/>
  <c r="CA426" i="2"/>
  <c r="BZ426" i="2"/>
  <c r="BY426" i="2"/>
  <c r="BX426" i="2"/>
  <c r="BW426" i="2"/>
  <c r="BV426" i="2"/>
  <c r="BU426" i="2"/>
  <c r="BT426" i="2"/>
  <c r="BS426" i="2"/>
  <c r="BR426" i="2"/>
  <c r="BQ426" i="2"/>
  <c r="BP426" i="2"/>
  <c r="BO426" i="2"/>
  <c r="BN426" i="2"/>
  <c r="BM426" i="2"/>
  <c r="BL426" i="2"/>
  <c r="BK426" i="2"/>
  <c r="BJ426" i="2"/>
  <c r="BI426" i="2"/>
  <c r="BH426" i="2"/>
  <c r="BG426" i="2"/>
  <c r="BF426" i="2"/>
  <c r="BE426" i="2"/>
  <c r="BD426" i="2"/>
  <c r="BC426" i="2"/>
  <c r="BB426" i="2"/>
  <c r="BA426" i="2"/>
  <c r="AZ426" i="2"/>
  <c r="AY426" i="2"/>
  <c r="AX426" i="2"/>
  <c r="AW426" i="2"/>
  <c r="AV426" i="2"/>
  <c r="AU426" i="2"/>
  <c r="AT426" i="2"/>
  <c r="AS426" i="2"/>
  <c r="AR426" i="2"/>
  <c r="AQ426" i="2"/>
  <c r="AP426" i="2"/>
  <c r="AO426" i="2"/>
  <c r="AN426" i="2"/>
  <c r="AM426" i="2"/>
  <c r="AL426" i="2"/>
  <c r="AK426" i="2"/>
  <c r="AJ426" i="2"/>
  <c r="AI426" i="2"/>
  <c r="AH426" i="2"/>
  <c r="AG426" i="2"/>
  <c r="AF426" i="2"/>
  <c r="AE426" i="2"/>
  <c r="AD426" i="2"/>
  <c r="AC426" i="2"/>
  <c r="AB426" i="2"/>
  <c r="AA426" i="2"/>
  <c r="Z426" i="2"/>
  <c r="Y426" i="2"/>
  <c r="X426" i="2"/>
  <c r="W426" i="2"/>
  <c r="V426" i="2"/>
  <c r="U426" i="2"/>
  <c r="T426" i="2"/>
  <c r="S426" i="2"/>
  <c r="R426" i="2"/>
  <c r="Q426" i="2"/>
  <c r="P426" i="2"/>
  <c r="O426" i="2"/>
  <c r="N426" i="2"/>
  <c r="M426" i="2"/>
  <c r="L426" i="2"/>
  <c r="K426" i="2"/>
  <c r="J426" i="2"/>
  <c r="I426" i="2"/>
  <c r="H426" i="2"/>
  <c r="G426" i="2"/>
  <c r="F426" i="2"/>
  <c r="E426" i="2"/>
  <c r="D426" i="2"/>
  <c r="C426" i="2"/>
  <c r="B426" i="2"/>
  <c r="A426" i="2"/>
  <c r="DY425" i="2"/>
  <c r="DX425" i="2"/>
  <c r="DW425" i="2"/>
  <c r="DV425" i="2"/>
  <c r="DU425" i="2"/>
  <c r="DT425" i="2"/>
  <c r="DS425" i="2"/>
  <c r="DR425" i="2"/>
  <c r="DQ425" i="2"/>
  <c r="DP425" i="2"/>
  <c r="DO425" i="2"/>
  <c r="DN425" i="2"/>
  <c r="DM425" i="2"/>
  <c r="DL425" i="2"/>
  <c r="DK425" i="2"/>
  <c r="DJ425" i="2"/>
  <c r="DI425" i="2"/>
  <c r="DH425" i="2"/>
  <c r="DG425" i="2"/>
  <c r="DF425" i="2"/>
  <c r="DE425" i="2"/>
  <c r="DD425" i="2"/>
  <c r="DC425" i="2"/>
  <c r="DB425" i="2"/>
  <c r="DA425" i="2"/>
  <c r="CZ425" i="2"/>
  <c r="CY425" i="2"/>
  <c r="CX425" i="2"/>
  <c r="CW425" i="2"/>
  <c r="CV425" i="2"/>
  <c r="CU425" i="2"/>
  <c r="CT425" i="2"/>
  <c r="CS425" i="2"/>
  <c r="CR425" i="2"/>
  <c r="CQ425" i="2"/>
  <c r="CP425" i="2"/>
  <c r="CO425" i="2"/>
  <c r="CN425" i="2"/>
  <c r="CM425" i="2"/>
  <c r="CL425" i="2"/>
  <c r="CK425" i="2"/>
  <c r="CJ425" i="2"/>
  <c r="CI425" i="2"/>
  <c r="CH425" i="2"/>
  <c r="CG425" i="2"/>
  <c r="CF425" i="2"/>
  <c r="CE425" i="2"/>
  <c r="CD425" i="2"/>
  <c r="CC425" i="2"/>
  <c r="CB425" i="2"/>
  <c r="CA425" i="2"/>
  <c r="BZ425" i="2"/>
  <c r="BY425" i="2"/>
  <c r="BX425" i="2"/>
  <c r="BW425" i="2"/>
  <c r="BV425" i="2"/>
  <c r="BU425" i="2"/>
  <c r="BT425" i="2"/>
  <c r="BS425" i="2"/>
  <c r="BR425" i="2"/>
  <c r="BQ425" i="2"/>
  <c r="BP425" i="2"/>
  <c r="BO425" i="2"/>
  <c r="BN425" i="2"/>
  <c r="BM425" i="2"/>
  <c r="BL425" i="2"/>
  <c r="BK425" i="2"/>
  <c r="BJ425" i="2"/>
  <c r="BI425" i="2"/>
  <c r="BH425" i="2"/>
  <c r="BG425" i="2"/>
  <c r="BF425" i="2"/>
  <c r="BE425" i="2"/>
  <c r="BD425" i="2"/>
  <c r="BC425" i="2"/>
  <c r="BB425" i="2"/>
  <c r="BA425" i="2"/>
  <c r="AZ425" i="2"/>
  <c r="AY425" i="2"/>
  <c r="AX425" i="2"/>
  <c r="AW425" i="2"/>
  <c r="AV425" i="2"/>
  <c r="AU425" i="2"/>
  <c r="AT425" i="2"/>
  <c r="AS425" i="2"/>
  <c r="AR425" i="2"/>
  <c r="AQ425" i="2"/>
  <c r="AP425" i="2"/>
  <c r="AO425" i="2"/>
  <c r="AN425" i="2"/>
  <c r="AM425" i="2"/>
  <c r="AL425" i="2"/>
  <c r="AK425" i="2"/>
  <c r="AJ425" i="2"/>
  <c r="AI425" i="2"/>
  <c r="AH425" i="2"/>
  <c r="AG425" i="2"/>
  <c r="AF425" i="2"/>
  <c r="AE425" i="2"/>
  <c r="AD425" i="2"/>
  <c r="AC425" i="2"/>
  <c r="AB425" i="2"/>
  <c r="AA425" i="2"/>
  <c r="Z425" i="2"/>
  <c r="Y425" i="2"/>
  <c r="X425" i="2"/>
  <c r="W425" i="2"/>
  <c r="V425" i="2"/>
  <c r="U425" i="2"/>
  <c r="T425" i="2"/>
  <c r="S425" i="2"/>
  <c r="R425" i="2"/>
  <c r="Q425" i="2"/>
  <c r="P425" i="2"/>
  <c r="O425" i="2"/>
  <c r="N425" i="2"/>
  <c r="M425" i="2"/>
  <c r="L425" i="2"/>
  <c r="K425" i="2"/>
  <c r="J425" i="2"/>
  <c r="I425" i="2"/>
  <c r="H425" i="2"/>
  <c r="G425" i="2"/>
  <c r="F425" i="2"/>
  <c r="E425" i="2"/>
  <c r="D425" i="2"/>
  <c r="C425" i="2"/>
  <c r="B425" i="2"/>
  <c r="A425" i="2"/>
  <c r="A420" i="2"/>
  <c r="FS413" i="2"/>
  <c r="FR413" i="2"/>
  <c r="FQ413" i="2"/>
  <c r="FP413" i="2"/>
  <c r="FO413" i="2"/>
  <c r="FN413" i="2"/>
  <c r="FM413" i="2"/>
  <c r="FL413" i="2"/>
  <c r="FK413" i="2"/>
  <c r="FJ413" i="2"/>
  <c r="FI413" i="2"/>
  <c r="FH413" i="2"/>
  <c r="FG413" i="2"/>
  <c r="FF413" i="2"/>
  <c r="FE413" i="2"/>
  <c r="FD413" i="2"/>
  <c r="FC413" i="2"/>
  <c r="FB413" i="2"/>
  <c r="FA413" i="2"/>
  <c r="EZ413" i="2"/>
  <c r="EY413" i="2"/>
  <c r="EX413" i="2"/>
  <c r="EW413" i="2"/>
  <c r="EV413" i="2"/>
  <c r="EU413" i="2"/>
  <c r="ET413" i="2"/>
  <c r="ES413" i="2"/>
  <c r="ER413" i="2"/>
  <c r="EQ413" i="2"/>
  <c r="EP413" i="2"/>
  <c r="EO413" i="2"/>
  <c r="EN413" i="2"/>
  <c r="EM413" i="2"/>
  <c r="EL413" i="2"/>
  <c r="EK413" i="2"/>
  <c r="EJ413" i="2"/>
  <c r="EI413" i="2"/>
  <c r="EH413" i="2"/>
  <c r="EG413" i="2"/>
  <c r="EF413" i="2"/>
  <c r="EE413" i="2"/>
  <c r="ED413" i="2"/>
  <c r="EC413" i="2"/>
  <c r="EB413" i="2"/>
  <c r="FS412" i="2"/>
  <c r="FR412" i="2"/>
  <c r="FQ412" i="2"/>
  <c r="FP412" i="2"/>
  <c r="FO412" i="2"/>
  <c r="FN412" i="2"/>
  <c r="FM412" i="2"/>
  <c r="FL412" i="2"/>
  <c r="FK412" i="2"/>
  <c r="FJ412" i="2"/>
  <c r="FI412" i="2"/>
  <c r="FH412" i="2"/>
  <c r="FG412" i="2"/>
  <c r="FF412" i="2"/>
  <c r="FE412" i="2"/>
  <c r="FD412" i="2"/>
  <c r="FC412" i="2"/>
  <c r="FB412" i="2"/>
  <c r="FA412" i="2"/>
  <c r="EZ412" i="2"/>
  <c r="EY412" i="2"/>
  <c r="EX412" i="2"/>
  <c r="EW412" i="2"/>
  <c r="EV412" i="2"/>
  <c r="EU412" i="2"/>
  <c r="ET412" i="2"/>
  <c r="ES412" i="2"/>
  <c r="ER412" i="2"/>
  <c r="EQ412" i="2"/>
  <c r="EP412" i="2"/>
  <c r="EO412" i="2"/>
  <c r="EN412" i="2"/>
  <c r="EM412" i="2"/>
  <c r="EL412" i="2"/>
  <c r="EK412" i="2"/>
  <c r="EJ412" i="2"/>
  <c r="EI412" i="2"/>
  <c r="EH412" i="2"/>
  <c r="EG412" i="2"/>
  <c r="EF412" i="2"/>
  <c r="EE412" i="2"/>
  <c r="ED412" i="2"/>
  <c r="EC412" i="2"/>
  <c r="EB412" i="2"/>
  <c r="FS411" i="2"/>
  <c r="FR411" i="2"/>
  <c r="FQ411" i="2"/>
  <c r="FP411" i="2"/>
  <c r="FO411" i="2"/>
  <c r="FN411" i="2"/>
  <c r="FM411" i="2"/>
  <c r="FL411" i="2"/>
  <c r="FK411" i="2"/>
  <c r="FJ411" i="2"/>
  <c r="FI411" i="2"/>
  <c r="FH411" i="2"/>
  <c r="FG411" i="2"/>
  <c r="FF411" i="2"/>
  <c r="FE411" i="2"/>
  <c r="FD411" i="2"/>
  <c r="FC411" i="2"/>
  <c r="FB411" i="2"/>
  <c r="FA411" i="2"/>
  <c r="EZ411" i="2"/>
  <c r="EY411" i="2"/>
  <c r="EX411" i="2"/>
  <c r="EW411" i="2"/>
  <c r="EV411" i="2"/>
  <c r="EU411" i="2"/>
  <c r="ET411" i="2"/>
  <c r="ES411" i="2"/>
  <c r="ER411" i="2"/>
  <c r="EQ411" i="2"/>
  <c r="EP411" i="2"/>
  <c r="EO411" i="2"/>
  <c r="EN411" i="2"/>
  <c r="EM411" i="2"/>
  <c r="EL411" i="2"/>
  <c r="EK411" i="2"/>
  <c r="EJ411" i="2"/>
  <c r="EI411" i="2"/>
  <c r="EH411" i="2"/>
  <c r="EG411" i="2"/>
  <c r="EF411" i="2"/>
  <c r="EE411" i="2"/>
  <c r="ED411" i="2"/>
  <c r="EC411" i="2"/>
  <c r="EB411" i="2"/>
  <c r="FS410" i="2"/>
  <c r="FR410" i="2"/>
  <c r="FQ410" i="2"/>
  <c r="FP410" i="2"/>
  <c r="FO410" i="2"/>
  <c r="FN410" i="2"/>
  <c r="FM410" i="2"/>
  <c r="FL410" i="2"/>
  <c r="FK410" i="2"/>
  <c r="FJ410" i="2"/>
  <c r="FI410" i="2"/>
  <c r="FH410" i="2"/>
  <c r="FG410" i="2"/>
  <c r="FF410" i="2"/>
  <c r="FE410" i="2"/>
  <c r="FD410" i="2"/>
  <c r="FC410" i="2"/>
  <c r="FB410" i="2"/>
  <c r="FA410" i="2"/>
  <c r="EZ410" i="2"/>
  <c r="EY410" i="2"/>
  <c r="EX410" i="2"/>
  <c r="EW410" i="2"/>
  <c r="EV410" i="2"/>
  <c r="EU410" i="2"/>
  <c r="ET410" i="2"/>
  <c r="ES410" i="2"/>
  <c r="ER410" i="2"/>
  <c r="EQ410" i="2"/>
  <c r="EP410" i="2"/>
  <c r="EO410" i="2"/>
  <c r="EN410" i="2"/>
  <c r="EM410" i="2"/>
  <c r="EL410" i="2"/>
  <c r="EK410" i="2"/>
  <c r="EJ410" i="2"/>
  <c r="EI410" i="2"/>
  <c r="EH410" i="2"/>
  <c r="EG410" i="2"/>
  <c r="EF410" i="2"/>
  <c r="EE410" i="2"/>
  <c r="ED410" i="2"/>
  <c r="EC410" i="2"/>
  <c r="EB410" i="2"/>
  <c r="DY413" i="2"/>
  <c r="DX413" i="2"/>
  <c r="DW413" i="2"/>
  <c r="DV413" i="2"/>
  <c r="DU413" i="2"/>
  <c r="DT413" i="2"/>
  <c r="DS413" i="2"/>
  <c r="DR413" i="2"/>
  <c r="DQ413" i="2"/>
  <c r="DP413" i="2"/>
  <c r="DO413" i="2"/>
  <c r="DN413" i="2"/>
  <c r="DM413" i="2"/>
  <c r="DL413" i="2"/>
  <c r="DK413" i="2"/>
  <c r="DJ413" i="2"/>
  <c r="DI413" i="2"/>
  <c r="DH413" i="2"/>
  <c r="DG413" i="2"/>
  <c r="DF413" i="2"/>
  <c r="DE413" i="2"/>
  <c r="DD413" i="2"/>
  <c r="DC413" i="2"/>
  <c r="DB413" i="2"/>
  <c r="DA413" i="2"/>
  <c r="CZ413" i="2"/>
  <c r="CY413" i="2"/>
  <c r="CX413" i="2"/>
  <c r="CW413" i="2"/>
  <c r="CV413" i="2"/>
  <c r="CU413" i="2"/>
  <c r="CT413" i="2"/>
  <c r="CS413" i="2"/>
  <c r="CR413" i="2"/>
  <c r="CQ413" i="2"/>
  <c r="CP413" i="2"/>
  <c r="CO413" i="2"/>
  <c r="CN413" i="2"/>
  <c r="CM413" i="2"/>
  <c r="CL413" i="2"/>
  <c r="CK413" i="2"/>
  <c r="CJ413" i="2"/>
  <c r="CI413" i="2"/>
  <c r="CH413" i="2"/>
  <c r="CG413" i="2"/>
  <c r="CF413" i="2"/>
  <c r="CE413" i="2"/>
  <c r="CD413" i="2"/>
  <c r="CC413" i="2"/>
  <c r="CB413" i="2"/>
  <c r="CA413" i="2"/>
  <c r="BZ413" i="2"/>
  <c r="BY413" i="2"/>
  <c r="BX413" i="2"/>
  <c r="BW413" i="2"/>
  <c r="BV413" i="2"/>
  <c r="BU413" i="2"/>
  <c r="BT413" i="2"/>
  <c r="BS413" i="2"/>
  <c r="BR413" i="2"/>
  <c r="BQ413" i="2"/>
  <c r="BP413" i="2"/>
  <c r="BO413" i="2"/>
  <c r="BN413" i="2"/>
  <c r="BM413" i="2"/>
  <c r="BL413" i="2"/>
  <c r="BK413" i="2"/>
  <c r="BJ413" i="2"/>
  <c r="BI413" i="2"/>
  <c r="BH413" i="2"/>
  <c r="BG413" i="2"/>
  <c r="BF413" i="2"/>
  <c r="BE413" i="2"/>
  <c r="BD413" i="2"/>
  <c r="BC413" i="2"/>
  <c r="BB413" i="2"/>
  <c r="BA413" i="2"/>
  <c r="AZ413" i="2"/>
  <c r="AY413" i="2"/>
  <c r="AX413" i="2"/>
  <c r="AW413" i="2"/>
  <c r="AV413" i="2"/>
  <c r="AU413" i="2"/>
  <c r="AT413" i="2"/>
  <c r="AS413" i="2"/>
  <c r="AR413" i="2"/>
  <c r="AQ413" i="2"/>
  <c r="AP413" i="2"/>
  <c r="AO413" i="2"/>
  <c r="AN413" i="2"/>
  <c r="AM413" i="2"/>
  <c r="AL413" i="2"/>
  <c r="AK413" i="2"/>
  <c r="AJ413" i="2"/>
  <c r="AI413" i="2"/>
  <c r="AH413" i="2"/>
  <c r="AG413" i="2"/>
  <c r="AF413" i="2"/>
  <c r="AE413" i="2"/>
  <c r="AD413" i="2"/>
  <c r="AC413" i="2"/>
  <c r="AB413" i="2"/>
  <c r="AA413" i="2"/>
  <c r="Z413" i="2"/>
  <c r="Y413" i="2"/>
  <c r="X413" i="2"/>
  <c r="W413" i="2"/>
  <c r="V413" i="2"/>
  <c r="U413" i="2"/>
  <c r="T413" i="2"/>
  <c r="S413" i="2"/>
  <c r="R413" i="2"/>
  <c r="Q413" i="2"/>
  <c r="P413" i="2"/>
  <c r="O413" i="2"/>
  <c r="N413" i="2"/>
  <c r="M413" i="2"/>
  <c r="L413" i="2"/>
  <c r="K413" i="2"/>
  <c r="J413" i="2"/>
  <c r="I413" i="2"/>
  <c r="H413" i="2"/>
  <c r="G413" i="2"/>
  <c r="F413" i="2"/>
  <c r="E413" i="2"/>
  <c r="D413" i="2"/>
  <c r="C413" i="2"/>
  <c r="B413" i="2"/>
  <c r="A413" i="2"/>
  <c r="DY412" i="2"/>
  <c r="DX412" i="2"/>
  <c r="DW412" i="2"/>
  <c r="DV412" i="2"/>
  <c r="DU412" i="2"/>
  <c r="DT412" i="2"/>
  <c r="DS412" i="2"/>
  <c r="DR412" i="2"/>
  <c r="DQ412" i="2"/>
  <c r="DP412" i="2"/>
  <c r="DO412" i="2"/>
  <c r="DN412" i="2"/>
  <c r="DM412" i="2"/>
  <c r="DL412" i="2"/>
  <c r="DK412" i="2"/>
  <c r="DJ412" i="2"/>
  <c r="DI412" i="2"/>
  <c r="DH412" i="2"/>
  <c r="DG412" i="2"/>
  <c r="DF412" i="2"/>
  <c r="DE412" i="2"/>
  <c r="DD412" i="2"/>
  <c r="DC412" i="2"/>
  <c r="DB412" i="2"/>
  <c r="DA412" i="2"/>
  <c r="CZ412" i="2"/>
  <c r="CY412" i="2"/>
  <c r="CX412" i="2"/>
  <c r="CW412" i="2"/>
  <c r="CV412" i="2"/>
  <c r="CU412" i="2"/>
  <c r="CT412" i="2"/>
  <c r="CS412" i="2"/>
  <c r="CR412" i="2"/>
  <c r="CQ412" i="2"/>
  <c r="CP412" i="2"/>
  <c r="CO412" i="2"/>
  <c r="CN412" i="2"/>
  <c r="CM412" i="2"/>
  <c r="CL412" i="2"/>
  <c r="CK412" i="2"/>
  <c r="CJ412" i="2"/>
  <c r="CI412" i="2"/>
  <c r="CH412" i="2"/>
  <c r="CG412" i="2"/>
  <c r="CF412" i="2"/>
  <c r="CE412" i="2"/>
  <c r="CD412" i="2"/>
  <c r="CC412" i="2"/>
  <c r="CB412" i="2"/>
  <c r="CA412" i="2"/>
  <c r="BZ412" i="2"/>
  <c r="BY412" i="2"/>
  <c r="BX412" i="2"/>
  <c r="BW412" i="2"/>
  <c r="BV412" i="2"/>
  <c r="BU412" i="2"/>
  <c r="BT412" i="2"/>
  <c r="BS412" i="2"/>
  <c r="BR412" i="2"/>
  <c r="BQ412" i="2"/>
  <c r="BP412" i="2"/>
  <c r="BO412" i="2"/>
  <c r="BN412" i="2"/>
  <c r="BM412" i="2"/>
  <c r="BL412" i="2"/>
  <c r="BK412" i="2"/>
  <c r="BJ412" i="2"/>
  <c r="BI412" i="2"/>
  <c r="BH412" i="2"/>
  <c r="BG412" i="2"/>
  <c r="BF412" i="2"/>
  <c r="BE412" i="2"/>
  <c r="BD412" i="2"/>
  <c r="BC412" i="2"/>
  <c r="BB412" i="2"/>
  <c r="BA412" i="2"/>
  <c r="AZ412" i="2"/>
  <c r="AY412" i="2"/>
  <c r="AX412" i="2"/>
  <c r="AW412" i="2"/>
  <c r="AV412" i="2"/>
  <c r="AU412" i="2"/>
  <c r="AT412" i="2"/>
  <c r="AS412" i="2"/>
  <c r="AR412" i="2"/>
  <c r="AQ412" i="2"/>
  <c r="AP412" i="2"/>
  <c r="AO412" i="2"/>
  <c r="AN412" i="2"/>
  <c r="AM412" i="2"/>
  <c r="AL412" i="2"/>
  <c r="AK412" i="2"/>
  <c r="AJ412" i="2"/>
  <c r="AI412" i="2"/>
  <c r="AH412" i="2"/>
  <c r="AG412" i="2"/>
  <c r="AF412" i="2"/>
  <c r="AE412" i="2"/>
  <c r="AD412" i="2"/>
  <c r="AC412" i="2"/>
  <c r="AB412" i="2"/>
  <c r="AA412" i="2"/>
  <c r="Z412" i="2"/>
  <c r="Y412" i="2"/>
  <c r="X412" i="2"/>
  <c r="W412" i="2"/>
  <c r="V412" i="2"/>
  <c r="U412" i="2"/>
  <c r="T412" i="2"/>
  <c r="S412" i="2"/>
  <c r="R412" i="2"/>
  <c r="Q412" i="2"/>
  <c r="P412" i="2"/>
  <c r="O412" i="2"/>
  <c r="N412" i="2"/>
  <c r="M412" i="2"/>
  <c r="L412" i="2"/>
  <c r="K412" i="2"/>
  <c r="J412" i="2"/>
  <c r="I412" i="2"/>
  <c r="H412" i="2"/>
  <c r="G412" i="2"/>
  <c r="F412" i="2"/>
  <c r="E412" i="2"/>
  <c r="D412" i="2"/>
  <c r="C412" i="2"/>
  <c r="B412" i="2"/>
  <c r="A412" i="2"/>
  <c r="DY411" i="2"/>
  <c r="DX411" i="2"/>
  <c r="DW411" i="2"/>
  <c r="DV411" i="2"/>
  <c r="DU411" i="2"/>
  <c r="DT411" i="2"/>
  <c r="DS411" i="2"/>
  <c r="DR411" i="2"/>
  <c r="DQ411" i="2"/>
  <c r="DP411" i="2"/>
  <c r="DO411" i="2"/>
  <c r="DN411" i="2"/>
  <c r="DM411" i="2"/>
  <c r="DL411" i="2"/>
  <c r="DK411" i="2"/>
  <c r="DJ411" i="2"/>
  <c r="DI411" i="2"/>
  <c r="DH411" i="2"/>
  <c r="DG411" i="2"/>
  <c r="DF411" i="2"/>
  <c r="DE411" i="2"/>
  <c r="DD411" i="2"/>
  <c r="DC411" i="2"/>
  <c r="DB411" i="2"/>
  <c r="DA411" i="2"/>
  <c r="CZ411" i="2"/>
  <c r="CY411" i="2"/>
  <c r="CX411" i="2"/>
  <c r="CW411" i="2"/>
  <c r="CV411" i="2"/>
  <c r="CU411" i="2"/>
  <c r="CT411" i="2"/>
  <c r="CS411" i="2"/>
  <c r="CR411" i="2"/>
  <c r="CQ411" i="2"/>
  <c r="CP411" i="2"/>
  <c r="CO411" i="2"/>
  <c r="CN411" i="2"/>
  <c r="CM411" i="2"/>
  <c r="CL411" i="2"/>
  <c r="CK411" i="2"/>
  <c r="CJ411" i="2"/>
  <c r="CI411" i="2"/>
  <c r="CH411" i="2"/>
  <c r="CG411" i="2"/>
  <c r="CF411" i="2"/>
  <c r="CE411" i="2"/>
  <c r="CD411" i="2"/>
  <c r="CC411" i="2"/>
  <c r="CB411" i="2"/>
  <c r="CA411" i="2"/>
  <c r="BZ411" i="2"/>
  <c r="BY411" i="2"/>
  <c r="BX411" i="2"/>
  <c r="BW411" i="2"/>
  <c r="BV411" i="2"/>
  <c r="BU411" i="2"/>
  <c r="BT411" i="2"/>
  <c r="BS411" i="2"/>
  <c r="BR411" i="2"/>
  <c r="BQ411" i="2"/>
  <c r="BP411" i="2"/>
  <c r="BO411" i="2"/>
  <c r="BN411" i="2"/>
  <c r="BM411" i="2"/>
  <c r="BL411" i="2"/>
  <c r="BK411" i="2"/>
  <c r="BJ411" i="2"/>
  <c r="BI411" i="2"/>
  <c r="BH411" i="2"/>
  <c r="BG411" i="2"/>
  <c r="BF411" i="2"/>
  <c r="BE411" i="2"/>
  <c r="BD411" i="2"/>
  <c r="BC411" i="2"/>
  <c r="BB411" i="2"/>
  <c r="BA411" i="2"/>
  <c r="AZ411" i="2"/>
  <c r="AY411" i="2"/>
  <c r="AX411" i="2"/>
  <c r="AW411" i="2"/>
  <c r="AV411" i="2"/>
  <c r="AU411" i="2"/>
  <c r="AT411" i="2"/>
  <c r="AS411" i="2"/>
  <c r="AR411" i="2"/>
  <c r="AQ411" i="2"/>
  <c r="AP411" i="2"/>
  <c r="AO411" i="2"/>
  <c r="AN411" i="2"/>
  <c r="AM411" i="2"/>
  <c r="AL411" i="2"/>
  <c r="AK411" i="2"/>
  <c r="AJ411" i="2"/>
  <c r="AI411" i="2"/>
  <c r="AH411" i="2"/>
  <c r="AG411" i="2"/>
  <c r="AF411" i="2"/>
  <c r="AE411" i="2"/>
  <c r="AD411" i="2"/>
  <c r="AC411" i="2"/>
  <c r="AB411" i="2"/>
  <c r="AA411" i="2"/>
  <c r="Z411" i="2"/>
  <c r="Y411" i="2"/>
  <c r="X411" i="2"/>
  <c r="W411" i="2"/>
  <c r="V411" i="2"/>
  <c r="U411" i="2"/>
  <c r="T411" i="2"/>
  <c r="S411" i="2"/>
  <c r="R411" i="2"/>
  <c r="Q411" i="2"/>
  <c r="P411" i="2"/>
  <c r="O411" i="2"/>
  <c r="N411" i="2"/>
  <c r="M411" i="2"/>
  <c r="L411" i="2"/>
  <c r="K411" i="2"/>
  <c r="J411" i="2"/>
  <c r="I411" i="2"/>
  <c r="H411" i="2"/>
  <c r="G411" i="2"/>
  <c r="F411" i="2"/>
  <c r="E411" i="2"/>
  <c r="D411" i="2"/>
  <c r="C411" i="2"/>
  <c r="B411" i="2"/>
  <c r="A411" i="2"/>
  <c r="DY410" i="2"/>
  <c r="DX410" i="2"/>
  <c r="DW410" i="2"/>
  <c r="DV410" i="2"/>
  <c r="DU410" i="2"/>
  <c r="DT410" i="2"/>
  <c r="DS410" i="2"/>
  <c r="DR410" i="2"/>
  <c r="DQ410" i="2"/>
  <c r="DP410" i="2"/>
  <c r="DO410" i="2"/>
  <c r="DN410" i="2"/>
  <c r="DM410" i="2"/>
  <c r="DL410" i="2"/>
  <c r="DK410" i="2"/>
  <c r="DJ410" i="2"/>
  <c r="DI410" i="2"/>
  <c r="DH410" i="2"/>
  <c r="DG410" i="2"/>
  <c r="DF410" i="2"/>
  <c r="DE410" i="2"/>
  <c r="DD410" i="2"/>
  <c r="DC410" i="2"/>
  <c r="DB410" i="2"/>
  <c r="DA410" i="2"/>
  <c r="CZ410" i="2"/>
  <c r="CY410" i="2"/>
  <c r="CX410" i="2"/>
  <c r="CW410" i="2"/>
  <c r="CV410" i="2"/>
  <c r="CU410" i="2"/>
  <c r="CT410" i="2"/>
  <c r="CS410" i="2"/>
  <c r="CR410" i="2"/>
  <c r="CQ410" i="2"/>
  <c r="CP410" i="2"/>
  <c r="CO410" i="2"/>
  <c r="CN410" i="2"/>
  <c r="CM410" i="2"/>
  <c r="CL410" i="2"/>
  <c r="CK410" i="2"/>
  <c r="CJ410" i="2"/>
  <c r="CI410" i="2"/>
  <c r="CH410" i="2"/>
  <c r="CG410" i="2"/>
  <c r="CF410" i="2"/>
  <c r="CE410" i="2"/>
  <c r="CD410" i="2"/>
  <c r="CC410" i="2"/>
  <c r="CB410" i="2"/>
  <c r="CA410" i="2"/>
  <c r="BZ410" i="2"/>
  <c r="BY410" i="2"/>
  <c r="BX410" i="2"/>
  <c r="BW410" i="2"/>
  <c r="BV410" i="2"/>
  <c r="BU410" i="2"/>
  <c r="BT410" i="2"/>
  <c r="BS410" i="2"/>
  <c r="BR410" i="2"/>
  <c r="BQ410" i="2"/>
  <c r="BP410" i="2"/>
  <c r="BO410" i="2"/>
  <c r="BN410" i="2"/>
  <c r="BM410" i="2"/>
  <c r="BL410" i="2"/>
  <c r="BK410" i="2"/>
  <c r="BJ410" i="2"/>
  <c r="BI410" i="2"/>
  <c r="BH410" i="2"/>
  <c r="BG410" i="2"/>
  <c r="BF410" i="2"/>
  <c r="BE410" i="2"/>
  <c r="BD410" i="2"/>
  <c r="BC410" i="2"/>
  <c r="BB410" i="2"/>
  <c r="BA410" i="2"/>
  <c r="AZ410" i="2"/>
  <c r="AY410" i="2"/>
  <c r="AX410" i="2"/>
  <c r="AW410" i="2"/>
  <c r="AV410" i="2"/>
  <c r="AU410" i="2"/>
  <c r="AT410" i="2"/>
  <c r="AS410" i="2"/>
  <c r="AR410" i="2"/>
  <c r="AQ410" i="2"/>
  <c r="AP410" i="2"/>
  <c r="AO410" i="2"/>
  <c r="AN410" i="2"/>
  <c r="AM410" i="2"/>
  <c r="AL410" i="2"/>
  <c r="AK410" i="2"/>
  <c r="AJ410" i="2"/>
  <c r="AI410" i="2"/>
  <c r="AH410" i="2"/>
  <c r="AG410" i="2"/>
  <c r="AF410" i="2"/>
  <c r="AE410" i="2"/>
  <c r="AD410" i="2"/>
  <c r="AC410" i="2"/>
  <c r="AB410" i="2"/>
  <c r="AA410" i="2"/>
  <c r="Z410" i="2"/>
  <c r="Y410" i="2"/>
  <c r="X410" i="2"/>
  <c r="W410" i="2"/>
  <c r="V410" i="2"/>
  <c r="U410" i="2"/>
  <c r="T410" i="2"/>
  <c r="S410" i="2"/>
  <c r="R410" i="2"/>
  <c r="Q410" i="2"/>
  <c r="P410" i="2"/>
  <c r="O410" i="2"/>
  <c r="N410" i="2"/>
  <c r="M410" i="2"/>
  <c r="L410" i="2"/>
  <c r="K410" i="2"/>
  <c r="J410" i="2"/>
  <c r="I410" i="2"/>
  <c r="H410" i="2"/>
  <c r="G410" i="2"/>
  <c r="F410" i="2"/>
  <c r="E410" i="2"/>
  <c r="D410" i="2"/>
  <c r="C410" i="2"/>
  <c r="B410" i="2"/>
  <c r="A410" i="2"/>
  <c r="FH407" i="2"/>
  <c r="FG407" i="2"/>
  <c r="FF407" i="2"/>
  <c r="FE407" i="2"/>
  <c r="FD407" i="2"/>
  <c r="FC407" i="2"/>
  <c r="FB407" i="2"/>
  <c r="FA407" i="2"/>
  <c r="EZ407" i="2"/>
  <c r="EY407" i="2"/>
  <c r="EX407" i="2"/>
  <c r="EW407" i="2"/>
  <c r="EV407" i="2"/>
  <c r="EU407" i="2"/>
  <c r="ET407" i="2"/>
  <c r="ES407" i="2"/>
  <c r="ER407" i="2"/>
  <c r="EQ407" i="2"/>
  <c r="EP407" i="2"/>
  <c r="EO407" i="2"/>
  <c r="EN407" i="2"/>
  <c r="EM407" i="2"/>
  <c r="EL407" i="2"/>
  <c r="EK407" i="2"/>
  <c r="EJ407" i="2"/>
  <c r="EI407" i="2"/>
  <c r="EH407" i="2"/>
  <c r="EG407" i="2"/>
  <c r="EF407" i="2"/>
  <c r="EE407" i="2"/>
  <c r="ED407" i="2"/>
  <c r="EC407" i="2"/>
  <c r="EB407" i="2"/>
  <c r="DQ407" i="2"/>
  <c r="DP407" i="2"/>
  <c r="DO407" i="2"/>
  <c r="DN407" i="2"/>
  <c r="DM407" i="2"/>
  <c r="DL407" i="2"/>
  <c r="DK407" i="2"/>
  <c r="DJ407" i="2"/>
  <c r="DI407" i="2"/>
  <c r="DH407" i="2"/>
  <c r="DG407" i="2"/>
  <c r="DF407" i="2"/>
  <c r="DE407" i="2"/>
  <c r="DD407" i="2"/>
  <c r="DC407" i="2"/>
  <c r="DB407" i="2"/>
  <c r="DA407" i="2"/>
  <c r="CZ407" i="2"/>
  <c r="CY407" i="2"/>
  <c r="CX407" i="2"/>
  <c r="CW407" i="2"/>
  <c r="CV407" i="2"/>
  <c r="CU407" i="2"/>
  <c r="CT407" i="2"/>
  <c r="CS407" i="2"/>
  <c r="CR407" i="2"/>
  <c r="CQ407" i="2"/>
  <c r="CP407" i="2"/>
  <c r="CO407" i="2"/>
  <c r="CN407" i="2"/>
  <c r="CM407" i="2"/>
  <c r="CL407" i="2"/>
  <c r="CK407" i="2"/>
  <c r="CJ407" i="2"/>
  <c r="CI407" i="2"/>
  <c r="CH407" i="2"/>
  <c r="CG407" i="2"/>
  <c r="CF407" i="2"/>
  <c r="CE407" i="2"/>
  <c r="CD407" i="2"/>
  <c r="CC407" i="2"/>
  <c r="CB407" i="2"/>
  <c r="CA407" i="2"/>
  <c r="BZ407" i="2"/>
  <c r="BY407" i="2"/>
  <c r="BX407" i="2"/>
  <c r="BW407" i="2"/>
  <c r="BV407" i="2"/>
  <c r="BU407" i="2"/>
  <c r="BT407" i="2"/>
  <c r="BS407" i="2"/>
  <c r="BR407" i="2"/>
  <c r="BQ407" i="2"/>
  <c r="BP407" i="2"/>
  <c r="BO407" i="2"/>
  <c r="BN407" i="2"/>
  <c r="BM407" i="2"/>
  <c r="BL407" i="2"/>
  <c r="BK407" i="2"/>
  <c r="BJ407" i="2"/>
  <c r="BI407" i="2"/>
  <c r="BH407" i="2"/>
  <c r="BG407" i="2"/>
  <c r="BF407" i="2"/>
  <c r="BE407" i="2"/>
  <c r="BD407" i="2"/>
  <c r="BC407" i="2"/>
  <c r="BB407" i="2"/>
  <c r="BA407" i="2"/>
  <c r="AZ407" i="2"/>
  <c r="AY407" i="2"/>
  <c r="AX407" i="2"/>
  <c r="AW407" i="2"/>
  <c r="AV407" i="2"/>
  <c r="AU407" i="2"/>
  <c r="AT407" i="2"/>
  <c r="AS407" i="2"/>
  <c r="AR407" i="2"/>
  <c r="AQ407" i="2"/>
  <c r="AP407" i="2"/>
  <c r="AO407" i="2"/>
  <c r="AN407" i="2"/>
  <c r="AM407" i="2"/>
  <c r="AL407" i="2"/>
  <c r="AK407" i="2"/>
  <c r="AJ407" i="2"/>
  <c r="AI407" i="2"/>
  <c r="AH407" i="2"/>
  <c r="AG407" i="2"/>
  <c r="AF407" i="2"/>
  <c r="AE407" i="2"/>
  <c r="AD407" i="2"/>
  <c r="AC407" i="2"/>
  <c r="AB407" i="2"/>
  <c r="AA407" i="2"/>
  <c r="Z407" i="2"/>
  <c r="Y407" i="2"/>
  <c r="X407" i="2"/>
  <c r="W407" i="2"/>
  <c r="V407" i="2"/>
  <c r="U407" i="2"/>
  <c r="T407" i="2"/>
  <c r="S407" i="2"/>
  <c r="R407" i="2"/>
  <c r="Q407" i="2"/>
  <c r="P407" i="2"/>
  <c r="O407" i="2"/>
  <c r="N407" i="2"/>
  <c r="M407" i="2"/>
  <c r="L407" i="2"/>
  <c r="K407" i="2"/>
  <c r="J407" i="2"/>
  <c r="I407" i="2"/>
  <c r="H407" i="2"/>
  <c r="G407" i="2"/>
  <c r="F407" i="2"/>
  <c r="E407" i="2"/>
  <c r="D407" i="2"/>
  <c r="C407" i="2"/>
  <c r="B407" i="2"/>
  <c r="FS404" i="2"/>
  <c r="FR404" i="2"/>
  <c r="FQ404" i="2"/>
  <c r="FP404" i="2"/>
  <c r="FO404" i="2"/>
  <c r="FN404" i="2"/>
  <c r="FM404" i="2"/>
  <c r="FL404" i="2"/>
  <c r="FK404" i="2"/>
  <c r="FJ404" i="2"/>
  <c r="FI404" i="2"/>
  <c r="FH404" i="2"/>
  <c r="FG404" i="2"/>
  <c r="FF404" i="2"/>
  <c r="FE404" i="2"/>
  <c r="FD404" i="2"/>
  <c r="FC404" i="2"/>
  <c r="FB404" i="2"/>
  <c r="FA404" i="2"/>
  <c r="EZ404" i="2"/>
  <c r="EY404" i="2"/>
  <c r="EX404" i="2"/>
  <c r="EW404" i="2"/>
  <c r="EV404" i="2"/>
  <c r="EU404" i="2"/>
  <c r="ET404" i="2"/>
  <c r="ES404" i="2"/>
  <c r="ER404" i="2"/>
  <c r="EQ404" i="2"/>
  <c r="EP404" i="2"/>
  <c r="EO404" i="2"/>
  <c r="EN404" i="2"/>
  <c r="EM404" i="2"/>
  <c r="EL404" i="2"/>
  <c r="EK404" i="2"/>
  <c r="EJ404" i="2"/>
  <c r="EI404" i="2"/>
  <c r="EH404" i="2"/>
  <c r="EG404" i="2"/>
  <c r="EF404" i="2"/>
  <c r="EE404" i="2"/>
  <c r="ED404" i="2"/>
  <c r="EC404" i="2"/>
  <c r="EB404" i="2"/>
  <c r="DY404" i="2"/>
  <c r="DX404" i="2"/>
  <c r="DW404" i="2"/>
  <c r="DV404" i="2"/>
  <c r="DU404" i="2"/>
  <c r="DT404" i="2"/>
  <c r="DS404" i="2"/>
  <c r="DR404" i="2"/>
  <c r="DQ404" i="2"/>
  <c r="DP404" i="2"/>
  <c r="DO404" i="2"/>
  <c r="DN404" i="2"/>
  <c r="DM404" i="2"/>
  <c r="DL404" i="2"/>
  <c r="DK404" i="2"/>
  <c r="DJ404" i="2"/>
  <c r="DI404" i="2"/>
  <c r="DH404" i="2"/>
  <c r="DG404" i="2"/>
  <c r="DF404" i="2"/>
  <c r="DE404" i="2"/>
  <c r="DD404" i="2"/>
  <c r="DC404" i="2"/>
  <c r="DB404" i="2"/>
  <c r="DA404" i="2"/>
  <c r="CZ404" i="2"/>
  <c r="CY404" i="2"/>
  <c r="CX404" i="2"/>
  <c r="CW404" i="2"/>
  <c r="CV404" i="2"/>
  <c r="CU404" i="2"/>
  <c r="CT404" i="2"/>
  <c r="CS404" i="2"/>
  <c r="CR404" i="2"/>
  <c r="CQ404" i="2"/>
  <c r="CP404" i="2"/>
  <c r="CO404" i="2"/>
  <c r="CN404" i="2"/>
  <c r="CM404" i="2"/>
  <c r="CL404" i="2"/>
  <c r="CK404" i="2"/>
  <c r="CJ404" i="2"/>
  <c r="CI404" i="2"/>
  <c r="CH404" i="2"/>
  <c r="CG404" i="2"/>
  <c r="CF404" i="2"/>
  <c r="CE404" i="2"/>
  <c r="CD404" i="2"/>
  <c r="CC404" i="2"/>
  <c r="CB404" i="2"/>
  <c r="CA404" i="2"/>
  <c r="BZ404" i="2"/>
  <c r="BY404" i="2"/>
  <c r="BX404" i="2"/>
  <c r="BW404" i="2"/>
  <c r="BV404" i="2"/>
  <c r="BU404" i="2"/>
  <c r="BT404" i="2"/>
  <c r="BS404" i="2"/>
  <c r="BR404" i="2"/>
  <c r="BQ404" i="2"/>
  <c r="BP404" i="2"/>
  <c r="BO404" i="2"/>
  <c r="BN404" i="2"/>
  <c r="BM404" i="2"/>
  <c r="BL404" i="2"/>
  <c r="BK404" i="2"/>
  <c r="BJ404" i="2"/>
  <c r="BI404" i="2"/>
  <c r="BH404" i="2"/>
  <c r="BG404" i="2"/>
  <c r="BF404" i="2"/>
  <c r="BE404" i="2"/>
  <c r="BD404" i="2"/>
  <c r="BC404" i="2"/>
  <c r="BB404" i="2"/>
  <c r="BA404" i="2"/>
  <c r="AZ404" i="2"/>
  <c r="AY404" i="2"/>
  <c r="AX404" i="2"/>
  <c r="AW404" i="2"/>
  <c r="AV404" i="2"/>
  <c r="AU404" i="2"/>
  <c r="AT404" i="2"/>
  <c r="AS404" i="2"/>
  <c r="AR404" i="2"/>
  <c r="AQ404" i="2"/>
  <c r="AP404" i="2"/>
  <c r="AO404" i="2"/>
  <c r="AN404" i="2"/>
  <c r="AM404" i="2"/>
  <c r="AL404" i="2"/>
  <c r="AK404" i="2"/>
  <c r="AJ404" i="2"/>
  <c r="AI404" i="2"/>
  <c r="AH404" i="2"/>
  <c r="AG404" i="2"/>
  <c r="AF404" i="2"/>
  <c r="AE404" i="2"/>
  <c r="AD404" i="2"/>
  <c r="AC404" i="2"/>
  <c r="AB404" i="2"/>
  <c r="AA404" i="2"/>
  <c r="Z404" i="2"/>
  <c r="Y404" i="2"/>
  <c r="X404" i="2"/>
  <c r="W404" i="2"/>
  <c r="V404" i="2"/>
  <c r="U404" i="2"/>
  <c r="T404" i="2"/>
  <c r="S404" i="2"/>
  <c r="R404" i="2"/>
  <c r="Q404" i="2"/>
  <c r="P404" i="2"/>
  <c r="O404" i="2"/>
  <c r="N404" i="2"/>
  <c r="M404" i="2"/>
  <c r="L404" i="2"/>
  <c r="K404" i="2"/>
  <c r="J404" i="2"/>
  <c r="I404" i="2"/>
  <c r="H404" i="2"/>
  <c r="G404" i="2"/>
  <c r="F404" i="2"/>
  <c r="E404" i="2"/>
  <c r="D404" i="2"/>
  <c r="C404" i="2"/>
  <c r="B404" i="2"/>
  <c r="A404" i="2"/>
  <c r="FQ400" i="2"/>
  <c r="FO400" i="2"/>
  <c r="FM400" i="2"/>
  <c r="FK400" i="2"/>
  <c r="FI400" i="2"/>
  <c r="FG400" i="2"/>
  <c r="FE400" i="2"/>
  <c r="FC400" i="2"/>
  <c r="FA400" i="2"/>
  <c r="EY400" i="2"/>
  <c r="EW400" i="2"/>
  <c r="EU400" i="2"/>
  <c r="ES400" i="2"/>
  <c r="EQ400" i="2"/>
  <c r="EO400" i="2"/>
  <c r="EM400" i="2"/>
  <c r="EK400" i="2"/>
  <c r="EI400" i="2"/>
  <c r="EG400" i="2"/>
  <c r="EE400" i="2"/>
  <c r="EC400" i="2"/>
  <c r="DX400" i="2"/>
  <c r="DV400" i="2"/>
  <c r="DT400" i="2"/>
  <c r="DR400" i="2"/>
  <c r="DP400" i="2"/>
  <c r="DN400" i="2"/>
  <c r="DL400" i="2"/>
  <c r="DJ400" i="2"/>
  <c r="DH400" i="2"/>
  <c r="DF400" i="2"/>
  <c r="DD400" i="2"/>
  <c r="DB400" i="2"/>
  <c r="CZ400" i="2"/>
  <c r="CX400" i="2"/>
  <c r="CV400" i="2"/>
  <c r="CT400" i="2"/>
  <c r="CR400" i="2"/>
  <c r="CP400" i="2"/>
  <c r="CN400" i="2"/>
  <c r="CL400" i="2"/>
  <c r="CJ400" i="2"/>
  <c r="CH400" i="2"/>
  <c r="CF400" i="2"/>
  <c r="CD400" i="2"/>
  <c r="CB400" i="2"/>
  <c r="BZ400" i="2"/>
  <c r="BX400" i="2"/>
  <c r="BV400" i="2"/>
  <c r="BT400" i="2"/>
  <c r="BR400" i="2"/>
  <c r="BP400" i="2"/>
  <c r="BN400" i="2"/>
  <c r="BL400" i="2"/>
  <c r="BJ400" i="2"/>
  <c r="BH400" i="2"/>
  <c r="BF400" i="2"/>
  <c r="BD400" i="2"/>
  <c r="BB400" i="2"/>
  <c r="AZ400" i="2"/>
  <c r="AX400" i="2"/>
  <c r="AV400" i="2"/>
  <c r="AT400" i="2"/>
  <c r="AR400" i="2"/>
  <c r="AP400" i="2"/>
  <c r="AN400" i="2"/>
  <c r="AL400" i="2"/>
  <c r="AJ400" i="2"/>
  <c r="AH400" i="2"/>
  <c r="AF400" i="2"/>
  <c r="AD400" i="2"/>
  <c r="AB400" i="2"/>
  <c r="Z400" i="2"/>
  <c r="X400" i="2"/>
  <c r="V400" i="2"/>
  <c r="T400" i="2"/>
  <c r="R400" i="2"/>
  <c r="P400" i="2"/>
  <c r="N400" i="2"/>
  <c r="L400" i="2"/>
  <c r="J400" i="2"/>
  <c r="H400" i="2"/>
  <c r="F400" i="2"/>
  <c r="D400" i="2"/>
  <c r="B400" i="2"/>
  <c r="FS400" i="2"/>
  <c r="FR400" i="2"/>
  <c r="FP400" i="2"/>
  <c r="FN400" i="2"/>
  <c r="FL400" i="2"/>
  <c r="FJ400" i="2"/>
  <c r="FH400" i="2"/>
  <c r="FF400" i="2"/>
  <c r="FD400" i="2"/>
  <c r="FB400" i="2"/>
  <c r="EZ400" i="2"/>
  <c r="EX400" i="2"/>
  <c r="EV400" i="2"/>
  <c r="ET400" i="2"/>
  <c r="ER400" i="2"/>
  <c r="EP400" i="2"/>
  <c r="EN400" i="2"/>
  <c r="EL400" i="2"/>
  <c r="EJ400" i="2"/>
  <c r="EH400" i="2"/>
  <c r="EF400" i="2"/>
  <c r="ED400" i="2"/>
  <c r="EB400" i="2"/>
  <c r="DY400" i="2"/>
  <c r="DW400" i="2"/>
  <c r="DU400" i="2"/>
  <c r="DS400" i="2"/>
  <c r="DQ400" i="2"/>
  <c r="DO400" i="2"/>
  <c r="DM400" i="2"/>
  <c r="DK400" i="2"/>
  <c r="DI400" i="2"/>
  <c r="DG400" i="2"/>
  <c r="DE400" i="2"/>
  <c r="DC400" i="2"/>
  <c r="DA400" i="2"/>
  <c r="CY400" i="2"/>
  <c r="CW400" i="2"/>
  <c r="CU400" i="2"/>
  <c r="CS400" i="2"/>
  <c r="CQ400" i="2"/>
  <c r="CO400" i="2"/>
  <c r="CM400" i="2"/>
  <c r="CK400" i="2"/>
  <c r="CI400" i="2"/>
  <c r="CG400" i="2"/>
  <c r="CE400" i="2"/>
  <c r="CC400" i="2"/>
  <c r="CA400" i="2"/>
  <c r="BY400" i="2"/>
  <c r="BW400" i="2"/>
  <c r="BU400" i="2"/>
  <c r="BS400" i="2"/>
  <c r="BQ400" i="2"/>
  <c r="BO400" i="2"/>
  <c r="BM400" i="2"/>
  <c r="BK400" i="2"/>
  <c r="BI400" i="2"/>
  <c r="BG400" i="2"/>
  <c r="BE400" i="2"/>
  <c r="BC400" i="2"/>
  <c r="BA400" i="2"/>
  <c r="AY400" i="2"/>
  <c r="AW400" i="2"/>
  <c r="AU400" i="2"/>
  <c r="AS400" i="2"/>
  <c r="AQ400" i="2"/>
  <c r="AO400" i="2"/>
  <c r="AM400" i="2"/>
  <c r="AK400" i="2"/>
  <c r="AI400" i="2"/>
  <c r="AG400" i="2"/>
  <c r="AE400" i="2"/>
  <c r="AC400" i="2"/>
  <c r="AA400" i="2"/>
  <c r="Y400" i="2"/>
  <c r="W400" i="2"/>
  <c r="U400" i="2"/>
  <c r="S400" i="2"/>
  <c r="Q400" i="2"/>
  <c r="O400" i="2"/>
  <c r="M400" i="2"/>
  <c r="K400" i="2"/>
  <c r="I400" i="2"/>
  <c r="G400" i="2"/>
  <c r="E400" i="2"/>
  <c r="C400" i="2"/>
  <c r="FS398" i="2"/>
  <c r="FR398" i="2"/>
  <c r="FQ398" i="2"/>
  <c r="FP398" i="2"/>
  <c r="FO398" i="2"/>
  <c r="FN398" i="2"/>
  <c r="FM398" i="2"/>
  <c r="FL398" i="2"/>
  <c r="FK398" i="2"/>
  <c r="FJ398" i="2"/>
  <c r="FI398" i="2"/>
  <c r="FH398" i="2"/>
  <c r="FG398" i="2"/>
  <c r="FF398" i="2"/>
  <c r="FE398" i="2"/>
  <c r="FD398" i="2"/>
  <c r="FC398" i="2"/>
  <c r="FB398" i="2"/>
  <c r="FA398" i="2"/>
  <c r="EZ398" i="2"/>
  <c r="EY398" i="2"/>
  <c r="EX398" i="2"/>
  <c r="EW398" i="2"/>
  <c r="EV398" i="2"/>
  <c r="EU398" i="2"/>
  <c r="ET398" i="2"/>
  <c r="ES398" i="2"/>
  <c r="ER398" i="2"/>
  <c r="EQ398" i="2"/>
  <c r="EP398" i="2"/>
  <c r="EO398" i="2"/>
  <c r="EN398" i="2"/>
  <c r="EM398" i="2"/>
  <c r="EL398" i="2"/>
  <c r="EK398" i="2"/>
  <c r="EJ398" i="2"/>
  <c r="EI398" i="2"/>
  <c r="EH398" i="2"/>
  <c r="EG398" i="2"/>
  <c r="EF398" i="2"/>
  <c r="EE398" i="2"/>
  <c r="ED398" i="2"/>
  <c r="EC398" i="2"/>
  <c r="EB398" i="2"/>
  <c r="FS397" i="2"/>
  <c r="FR397" i="2"/>
  <c r="FQ397" i="2"/>
  <c r="FP397" i="2"/>
  <c r="FO397" i="2"/>
  <c r="FN397" i="2"/>
  <c r="FM397" i="2"/>
  <c r="FL397" i="2"/>
  <c r="FK397" i="2"/>
  <c r="FJ397" i="2"/>
  <c r="FI397" i="2"/>
  <c r="FH397" i="2"/>
  <c r="FG397" i="2"/>
  <c r="FF397" i="2"/>
  <c r="FE397" i="2"/>
  <c r="FD397" i="2"/>
  <c r="FC397" i="2"/>
  <c r="FB397" i="2"/>
  <c r="FA397" i="2"/>
  <c r="EZ397" i="2"/>
  <c r="EY397" i="2"/>
  <c r="EX397" i="2"/>
  <c r="EW397" i="2"/>
  <c r="EV397" i="2"/>
  <c r="EU397" i="2"/>
  <c r="ET397" i="2"/>
  <c r="ES397" i="2"/>
  <c r="ER397" i="2"/>
  <c r="EQ397" i="2"/>
  <c r="EP397" i="2"/>
  <c r="EO397" i="2"/>
  <c r="EN397" i="2"/>
  <c r="EM397" i="2"/>
  <c r="EL397" i="2"/>
  <c r="EK397" i="2"/>
  <c r="EJ397" i="2"/>
  <c r="EI397" i="2"/>
  <c r="EH397" i="2"/>
  <c r="EG397" i="2"/>
  <c r="EF397" i="2"/>
  <c r="EE397" i="2"/>
  <c r="ED397" i="2"/>
  <c r="EC397" i="2"/>
  <c r="EB397" i="2"/>
  <c r="FS396" i="2"/>
  <c r="FR396" i="2"/>
  <c r="FQ396" i="2"/>
  <c r="FP396" i="2"/>
  <c r="FO396" i="2"/>
  <c r="FN396" i="2"/>
  <c r="FM396" i="2"/>
  <c r="FL396" i="2"/>
  <c r="FK396" i="2"/>
  <c r="FJ396" i="2"/>
  <c r="FI396" i="2"/>
  <c r="FH396" i="2"/>
  <c r="FG396" i="2"/>
  <c r="FF396" i="2"/>
  <c r="FE396" i="2"/>
  <c r="FD396" i="2"/>
  <c r="FC396" i="2"/>
  <c r="FB396" i="2"/>
  <c r="FA396" i="2"/>
  <c r="EZ396" i="2"/>
  <c r="EY396" i="2"/>
  <c r="EX396" i="2"/>
  <c r="EW396" i="2"/>
  <c r="EV396" i="2"/>
  <c r="EU396" i="2"/>
  <c r="ET396" i="2"/>
  <c r="ES396" i="2"/>
  <c r="ER396" i="2"/>
  <c r="EQ396" i="2"/>
  <c r="EP396" i="2"/>
  <c r="EO396" i="2"/>
  <c r="EN396" i="2"/>
  <c r="EM396" i="2"/>
  <c r="EL396" i="2"/>
  <c r="EK396" i="2"/>
  <c r="EJ396" i="2"/>
  <c r="EI396" i="2"/>
  <c r="EH396" i="2"/>
  <c r="EG396" i="2"/>
  <c r="EF396" i="2"/>
  <c r="EE396" i="2"/>
  <c r="ED396" i="2"/>
  <c r="EC396" i="2"/>
  <c r="EB396" i="2"/>
  <c r="FS395" i="2"/>
  <c r="FR395" i="2"/>
  <c r="FQ395" i="2"/>
  <c r="FP395" i="2"/>
  <c r="FO395" i="2"/>
  <c r="FN395" i="2"/>
  <c r="FM395" i="2"/>
  <c r="FL395" i="2"/>
  <c r="FK395" i="2"/>
  <c r="FJ395" i="2"/>
  <c r="FI395" i="2"/>
  <c r="FH395" i="2"/>
  <c r="FG395" i="2"/>
  <c r="FF395" i="2"/>
  <c r="FE395" i="2"/>
  <c r="FD395" i="2"/>
  <c r="FC395" i="2"/>
  <c r="FB395" i="2"/>
  <c r="FA395" i="2"/>
  <c r="EZ395" i="2"/>
  <c r="EY395" i="2"/>
  <c r="EX395" i="2"/>
  <c r="EW395" i="2"/>
  <c r="EV395" i="2"/>
  <c r="EU395" i="2"/>
  <c r="ET395" i="2"/>
  <c r="ES395" i="2"/>
  <c r="ER395" i="2"/>
  <c r="EQ395" i="2"/>
  <c r="EP395" i="2"/>
  <c r="EO395" i="2"/>
  <c r="EN395" i="2"/>
  <c r="EM395" i="2"/>
  <c r="EL395" i="2"/>
  <c r="EK395" i="2"/>
  <c r="EJ395" i="2"/>
  <c r="EI395" i="2"/>
  <c r="EH395" i="2"/>
  <c r="EG395" i="2"/>
  <c r="EF395" i="2"/>
  <c r="EE395" i="2"/>
  <c r="ED395" i="2"/>
  <c r="EC395" i="2"/>
  <c r="EB395" i="2"/>
  <c r="FS394" i="2"/>
  <c r="FR394" i="2"/>
  <c r="FQ394" i="2"/>
  <c r="FP394" i="2"/>
  <c r="FO394" i="2"/>
  <c r="FN394" i="2"/>
  <c r="FM394" i="2"/>
  <c r="FL394" i="2"/>
  <c r="FK394" i="2"/>
  <c r="FJ394" i="2"/>
  <c r="FI394" i="2"/>
  <c r="FH394" i="2"/>
  <c r="FG394" i="2"/>
  <c r="FF394" i="2"/>
  <c r="FE394" i="2"/>
  <c r="FD394" i="2"/>
  <c r="FC394" i="2"/>
  <c r="FB394" i="2"/>
  <c r="FA394" i="2"/>
  <c r="EZ394" i="2"/>
  <c r="EY394" i="2"/>
  <c r="EX394" i="2"/>
  <c r="EW394" i="2"/>
  <c r="EV394" i="2"/>
  <c r="EU394" i="2"/>
  <c r="ET394" i="2"/>
  <c r="ES394" i="2"/>
  <c r="ER394" i="2"/>
  <c r="EQ394" i="2"/>
  <c r="EP394" i="2"/>
  <c r="EO394" i="2"/>
  <c r="EN394" i="2"/>
  <c r="EM394" i="2"/>
  <c r="EL394" i="2"/>
  <c r="EK394" i="2"/>
  <c r="EJ394" i="2"/>
  <c r="EI394" i="2"/>
  <c r="EH394" i="2"/>
  <c r="EG394" i="2"/>
  <c r="EF394" i="2"/>
  <c r="EE394" i="2"/>
  <c r="ED394" i="2"/>
  <c r="EC394" i="2"/>
  <c r="EB394" i="2"/>
  <c r="FS393" i="2"/>
  <c r="FR393" i="2"/>
  <c r="FQ393" i="2"/>
  <c r="FP393" i="2"/>
  <c r="FO393" i="2"/>
  <c r="FN393" i="2"/>
  <c r="FM393" i="2"/>
  <c r="FL393" i="2"/>
  <c r="FK393" i="2"/>
  <c r="FJ393" i="2"/>
  <c r="FI393" i="2"/>
  <c r="FH393" i="2"/>
  <c r="FG393" i="2"/>
  <c r="FF393" i="2"/>
  <c r="FE393" i="2"/>
  <c r="FD393" i="2"/>
  <c r="FC393" i="2"/>
  <c r="FB393" i="2"/>
  <c r="FA393" i="2"/>
  <c r="EZ393" i="2"/>
  <c r="EY393" i="2"/>
  <c r="EX393" i="2"/>
  <c r="EW393" i="2"/>
  <c r="EV393" i="2"/>
  <c r="EU393" i="2"/>
  <c r="ET393" i="2"/>
  <c r="ES393" i="2"/>
  <c r="ER393" i="2"/>
  <c r="EQ393" i="2"/>
  <c r="EP393" i="2"/>
  <c r="EO393" i="2"/>
  <c r="EN393" i="2"/>
  <c r="EM393" i="2"/>
  <c r="EL393" i="2"/>
  <c r="EK393" i="2"/>
  <c r="EJ393" i="2"/>
  <c r="EI393" i="2"/>
  <c r="EH393" i="2"/>
  <c r="EG393" i="2"/>
  <c r="EF393" i="2"/>
  <c r="EE393" i="2"/>
  <c r="ED393" i="2"/>
  <c r="EC393" i="2"/>
  <c r="EB393" i="2"/>
  <c r="DY398" i="2"/>
  <c r="DX398" i="2"/>
  <c r="DW398" i="2"/>
  <c r="DV398" i="2"/>
  <c r="DU398" i="2"/>
  <c r="DT398" i="2"/>
  <c r="DS398" i="2"/>
  <c r="DR398" i="2"/>
  <c r="DQ398" i="2"/>
  <c r="DP398" i="2"/>
  <c r="DO398" i="2"/>
  <c r="DN398" i="2"/>
  <c r="DM398" i="2"/>
  <c r="DL398" i="2"/>
  <c r="DK398" i="2"/>
  <c r="DJ398" i="2"/>
  <c r="DI398" i="2"/>
  <c r="DH398" i="2"/>
  <c r="DG398" i="2"/>
  <c r="DF398" i="2"/>
  <c r="DE398" i="2"/>
  <c r="DD398" i="2"/>
  <c r="DC398" i="2"/>
  <c r="DB398" i="2"/>
  <c r="DA398" i="2"/>
  <c r="CZ398" i="2"/>
  <c r="CY398" i="2"/>
  <c r="CX398" i="2"/>
  <c r="CW398" i="2"/>
  <c r="CV398" i="2"/>
  <c r="CU398" i="2"/>
  <c r="CT398" i="2"/>
  <c r="CS398" i="2"/>
  <c r="CR398" i="2"/>
  <c r="CQ398" i="2"/>
  <c r="CP398" i="2"/>
  <c r="CO398" i="2"/>
  <c r="CN398" i="2"/>
  <c r="CM398" i="2"/>
  <c r="CL398" i="2"/>
  <c r="CK398" i="2"/>
  <c r="CJ398" i="2"/>
  <c r="CI398" i="2"/>
  <c r="CH398" i="2"/>
  <c r="CG398" i="2"/>
  <c r="CF398" i="2"/>
  <c r="CE398" i="2"/>
  <c r="CD398" i="2"/>
  <c r="CC398" i="2"/>
  <c r="CB398" i="2"/>
  <c r="CA398" i="2"/>
  <c r="BZ398" i="2"/>
  <c r="BY398" i="2"/>
  <c r="BX398" i="2"/>
  <c r="BW398" i="2"/>
  <c r="BV398" i="2"/>
  <c r="BU398" i="2"/>
  <c r="BT398" i="2"/>
  <c r="BS398" i="2"/>
  <c r="BR398" i="2"/>
  <c r="BQ398" i="2"/>
  <c r="BP398" i="2"/>
  <c r="BO398" i="2"/>
  <c r="BN398" i="2"/>
  <c r="BM398" i="2"/>
  <c r="BL398" i="2"/>
  <c r="BK398" i="2"/>
  <c r="BJ398" i="2"/>
  <c r="BI398" i="2"/>
  <c r="BH398" i="2"/>
  <c r="BG398" i="2"/>
  <c r="BF398" i="2"/>
  <c r="BE398" i="2"/>
  <c r="BD398" i="2"/>
  <c r="BC398" i="2"/>
  <c r="BB398" i="2"/>
  <c r="BA398" i="2"/>
  <c r="AZ398" i="2"/>
  <c r="AY398" i="2"/>
  <c r="AX398" i="2"/>
  <c r="AW398" i="2"/>
  <c r="AV398" i="2"/>
  <c r="AU398" i="2"/>
  <c r="AT398" i="2"/>
  <c r="AS398" i="2"/>
  <c r="AR398" i="2"/>
  <c r="AQ398" i="2"/>
  <c r="AP398" i="2"/>
  <c r="AO398" i="2"/>
  <c r="AN398" i="2"/>
  <c r="AM398" i="2"/>
  <c r="AL398" i="2"/>
  <c r="AK398" i="2"/>
  <c r="AJ398" i="2"/>
  <c r="AI398" i="2"/>
  <c r="AH398" i="2"/>
  <c r="AG398" i="2"/>
  <c r="AF398" i="2"/>
  <c r="AE398" i="2"/>
  <c r="AD398" i="2"/>
  <c r="AC398" i="2"/>
  <c r="AB398" i="2"/>
  <c r="AA398" i="2"/>
  <c r="Z398" i="2"/>
  <c r="Y398" i="2"/>
  <c r="X398" i="2"/>
  <c r="W398" i="2"/>
  <c r="V398" i="2"/>
  <c r="U398" i="2"/>
  <c r="T398" i="2"/>
  <c r="S398" i="2"/>
  <c r="R398" i="2"/>
  <c r="Q398" i="2"/>
  <c r="P398" i="2"/>
  <c r="O398" i="2"/>
  <c r="N398" i="2"/>
  <c r="M398" i="2"/>
  <c r="L398" i="2"/>
  <c r="K398" i="2"/>
  <c r="J398" i="2"/>
  <c r="I398" i="2"/>
  <c r="H398" i="2"/>
  <c r="G398" i="2"/>
  <c r="F398" i="2"/>
  <c r="E398" i="2"/>
  <c r="D398" i="2"/>
  <c r="C398" i="2"/>
  <c r="B398" i="2"/>
  <c r="A398" i="2"/>
  <c r="DY397" i="2"/>
  <c r="DX397" i="2"/>
  <c r="DW397" i="2"/>
  <c r="DV397" i="2"/>
  <c r="DU397" i="2"/>
  <c r="DT397" i="2"/>
  <c r="DS397" i="2"/>
  <c r="DR397" i="2"/>
  <c r="DQ397" i="2"/>
  <c r="DP397" i="2"/>
  <c r="DO397" i="2"/>
  <c r="DN397" i="2"/>
  <c r="DM397" i="2"/>
  <c r="DL397" i="2"/>
  <c r="DK397" i="2"/>
  <c r="DJ397" i="2"/>
  <c r="DI397" i="2"/>
  <c r="DH397" i="2"/>
  <c r="DG397" i="2"/>
  <c r="DF397" i="2"/>
  <c r="DE397" i="2"/>
  <c r="DD397" i="2"/>
  <c r="DC397" i="2"/>
  <c r="DB397" i="2"/>
  <c r="DA397" i="2"/>
  <c r="CZ397" i="2"/>
  <c r="CY397" i="2"/>
  <c r="CX397" i="2"/>
  <c r="CW397" i="2"/>
  <c r="CV397" i="2"/>
  <c r="CU397" i="2"/>
  <c r="CT397" i="2"/>
  <c r="CS397" i="2"/>
  <c r="CR397" i="2"/>
  <c r="CQ397" i="2"/>
  <c r="CP397" i="2"/>
  <c r="CO397" i="2"/>
  <c r="CN397" i="2"/>
  <c r="CM397" i="2"/>
  <c r="CL397" i="2"/>
  <c r="CK397" i="2"/>
  <c r="CJ397" i="2"/>
  <c r="CI397" i="2"/>
  <c r="CH397" i="2"/>
  <c r="CG397" i="2"/>
  <c r="CF397" i="2"/>
  <c r="CE397" i="2"/>
  <c r="CD397" i="2"/>
  <c r="CC397" i="2"/>
  <c r="CB397" i="2"/>
  <c r="CA397" i="2"/>
  <c r="BZ397" i="2"/>
  <c r="BY397" i="2"/>
  <c r="BX397" i="2"/>
  <c r="BW397" i="2"/>
  <c r="BV397" i="2"/>
  <c r="BU397" i="2"/>
  <c r="BT397" i="2"/>
  <c r="BS397" i="2"/>
  <c r="BR397" i="2"/>
  <c r="BQ397" i="2"/>
  <c r="BP397" i="2"/>
  <c r="BO397" i="2"/>
  <c r="BN397" i="2"/>
  <c r="BM397" i="2"/>
  <c r="BL397" i="2"/>
  <c r="BK397" i="2"/>
  <c r="BJ397" i="2"/>
  <c r="BI397" i="2"/>
  <c r="BH397" i="2"/>
  <c r="BG397" i="2"/>
  <c r="BF397" i="2"/>
  <c r="BE397" i="2"/>
  <c r="BD397" i="2"/>
  <c r="BC397" i="2"/>
  <c r="BB397" i="2"/>
  <c r="BA397" i="2"/>
  <c r="AZ397" i="2"/>
  <c r="AY397" i="2"/>
  <c r="AX397" i="2"/>
  <c r="AW397" i="2"/>
  <c r="AV397" i="2"/>
  <c r="AU397" i="2"/>
  <c r="AT397" i="2"/>
  <c r="AS397" i="2"/>
  <c r="AR397" i="2"/>
  <c r="AQ397" i="2"/>
  <c r="AP397" i="2"/>
  <c r="AO397" i="2"/>
  <c r="AN397" i="2"/>
  <c r="AM397" i="2"/>
  <c r="AL397" i="2"/>
  <c r="AK397" i="2"/>
  <c r="AJ397" i="2"/>
  <c r="AI397" i="2"/>
  <c r="AH397" i="2"/>
  <c r="AG397" i="2"/>
  <c r="AF397" i="2"/>
  <c r="AE397" i="2"/>
  <c r="AD397" i="2"/>
  <c r="AC397" i="2"/>
  <c r="AB397" i="2"/>
  <c r="AA397" i="2"/>
  <c r="Z397" i="2"/>
  <c r="Y397" i="2"/>
  <c r="X397" i="2"/>
  <c r="W397" i="2"/>
  <c r="V397" i="2"/>
  <c r="U397" i="2"/>
  <c r="T397" i="2"/>
  <c r="S397" i="2"/>
  <c r="R397" i="2"/>
  <c r="Q397" i="2"/>
  <c r="P397" i="2"/>
  <c r="O397" i="2"/>
  <c r="N397" i="2"/>
  <c r="M397" i="2"/>
  <c r="L397" i="2"/>
  <c r="K397" i="2"/>
  <c r="J397" i="2"/>
  <c r="I397" i="2"/>
  <c r="H397" i="2"/>
  <c r="G397" i="2"/>
  <c r="F397" i="2"/>
  <c r="E397" i="2"/>
  <c r="D397" i="2"/>
  <c r="C397" i="2"/>
  <c r="B397" i="2"/>
  <c r="A397" i="2"/>
  <c r="DY396" i="2"/>
  <c r="DX396" i="2"/>
  <c r="DW396" i="2"/>
  <c r="DV396" i="2"/>
  <c r="DU396" i="2"/>
  <c r="DT396" i="2"/>
  <c r="DS396" i="2"/>
  <c r="DR396" i="2"/>
  <c r="DQ396" i="2"/>
  <c r="DP396" i="2"/>
  <c r="DO396" i="2"/>
  <c r="DN396" i="2"/>
  <c r="DM396" i="2"/>
  <c r="DL396" i="2"/>
  <c r="DK396" i="2"/>
  <c r="DJ396" i="2"/>
  <c r="DI396" i="2"/>
  <c r="DH396" i="2"/>
  <c r="DG396" i="2"/>
  <c r="DF396" i="2"/>
  <c r="DE396" i="2"/>
  <c r="DD396" i="2"/>
  <c r="DC396" i="2"/>
  <c r="DB396" i="2"/>
  <c r="DA396" i="2"/>
  <c r="CZ396" i="2"/>
  <c r="CY396" i="2"/>
  <c r="CX396" i="2"/>
  <c r="CW396" i="2"/>
  <c r="CV396" i="2"/>
  <c r="CU396" i="2"/>
  <c r="CT396" i="2"/>
  <c r="CS396" i="2"/>
  <c r="CR396" i="2"/>
  <c r="CQ396" i="2"/>
  <c r="CP396" i="2"/>
  <c r="CO396" i="2"/>
  <c r="CN396" i="2"/>
  <c r="CM396" i="2"/>
  <c r="CL396" i="2"/>
  <c r="CK396" i="2"/>
  <c r="CJ396" i="2"/>
  <c r="CI396" i="2"/>
  <c r="CH396" i="2"/>
  <c r="CG396" i="2"/>
  <c r="CF396" i="2"/>
  <c r="CE396" i="2"/>
  <c r="CD396" i="2"/>
  <c r="CC396" i="2"/>
  <c r="CB396" i="2"/>
  <c r="CA396" i="2"/>
  <c r="BZ396" i="2"/>
  <c r="BY396" i="2"/>
  <c r="BX396" i="2"/>
  <c r="BW396" i="2"/>
  <c r="BV396" i="2"/>
  <c r="BU396" i="2"/>
  <c r="BT396" i="2"/>
  <c r="BS396" i="2"/>
  <c r="BR396" i="2"/>
  <c r="BQ396" i="2"/>
  <c r="BP396" i="2"/>
  <c r="BO396" i="2"/>
  <c r="BN396" i="2"/>
  <c r="BM396" i="2"/>
  <c r="BL396" i="2"/>
  <c r="BK396" i="2"/>
  <c r="BJ396" i="2"/>
  <c r="BI396" i="2"/>
  <c r="BH396" i="2"/>
  <c r="BG396" i="2"/>
  <c r="BF396" i="2"/>
  <c r="BE396" i="2"/>
  <c r="BD396" i="2"/>
  <c r="BC396" i="2"/>
  <c r="BB396" i="2"/>
  <c r="BA396" i="2"/>
  <c r="AZ396" i="2"/>
  <c r="AY396" i="2"/>
  <c r="AX396" i="2"/>
  <c r="AW396" i="2"/>
  <c r="AV396" i="2"/>
  <c r="AU396" i="2"/>
  <c r="AT396" i="2"/>
  <c r="AS396" i="2"/>
  <c r="AR396" i="2"/>
  <c r="AQ396" i="2"/>
  <c r="AP396" i="2"/>
  <c r="AO396" i="2"/>
  <c r="AN396" i="2"/>
  <c r="AM396" i="2"/>
  <c r="AL396" i="2"/>
  <c r="AK396" i="2"/>
  <c r="AJ396" i="2"/>
  <c r="AI396" i="2"/>
  <c r="AH396" i="2"/>
  <c r="AG396" i="2"/>
  <c r="AF396" i="2"/>
  <c r="AE396" i="2"/>
  <c r="AD396" i="2"/>
  <c r="AC396" i="2"/>
  <c r="AB396" i="2"/>
  <c r="AA396" i="2"/>
  <c r="Z396" i="2"/>
  <c r="Y396" i="2"/>
  <c r="X396" i="2"/>
  <c r="W396" i="2"/>
  <c r="V396" i="2"/>
  <c r="U396" i="2"/>
  <c r="T396" i="2"/>
  <c r="S396" i="2"/>
  <c r="R396" i="2"/>
  <c r="Q396" i="2"/>
  <c r="P396" i="2"/>
  <c r="O396" i="2"/>
  <c r="N396" i="2"/>
  <c r="M396" i="2"/>
  <c r="L396" i="2"/>
  <c r="K396" i="2"/>
  <c r="J396" i="2"/>
  <c r="I396" i="2"/>
  <c r="H396" i="2"/>
  <c r="G396" i="2"/>
  <c r="F396" i="2"/>
  <c r="E396" i="2"/>
  <c r="D396" i="2"/>
  <c r="C396" i="2"/>
  <c r="B396" i="2"/>
  <c r="A396" i="2"/>
  <c r="DY395" i="2"/>
  <c r="DX395" i="2"/>
  <c r="DW395" i="2"/>
  <c r="DV395" i="2"/>
  <c r="DU395" i="2"/>
  <c r="DT395" i="2"/>
  <c r="DS395" i="2"/>
  <c r="DR395" i="2"/>
  <c r="DQ395" i="2"/>
  <c r="DP395" i="2"/>
  <c r="DO395" i="2"/>
  <c r="DN395" i="2"/>
  <c r="DM395" i="2"/>
  <c r="DL395" i="2"/>
  <c r="DK395" i="2"/>
  <c r="DJ395" i="2"/>
  <c r="DI395" i="2"/>
  <c r="DH395" i="2"/>
  <c r="DG395" i="2"/>
  <c r="DF395" i="2"/>
  <c r="DE395" i="2"/>
  <c r="DD395" i="2"/>
  <c r="DC395" i="2"/>
  <c r="DB395" i="2"/>
  <c r="DA395" i="2"/>
  <c r="CZ395" i="2"/>
  <c r="CY395" i="2"/>
  <c r="CX395" i="2"/>
  <c r="CW395" i="2"/>
  <c r="CV395" i="2"/>
  <c r="CU395" i="2"/>
  <c r="CT395" i="2"/>
  <c r="CS395" i="2"/>
  <c r="CR395" i="2"/>
  <c r="CQ395" i="2"/>
  <c r="CP395" i="2"/>
  <c r="CO395" i="2"/>
  <c r="CN395" i="2"/>
  <c r="CM395" i="2"/>
  <c r="CL395" i="2"/>
  <c r="CK395" i="2"/>
  <c r="CJ395" i="2"/>
  <c r="CI395" i="2"/>
  <c r="CH395" i="2"/>
  <c r="CG395" i="2"/>
  <c r="CF395" i="2"/>
  <c r="CE395" i="2"/>
  <c r="CD395" i="2"/>
  <c r="CC395" i="2"/>
  <c r="CB395" i="2"/>
  <c r="CA395" i="2"/>
  <c r="BZ395" i="2"/>
  <c r="BY395" i="2"/>
  <c r="BX395" i="2"/>
  <c r="BW395" i="2"/>
  <c r="BV395" i="2"/>
  <c r="BU395" i="2"/>
  <c r="BT395" i="2"/>
  <c r="BS395" i="2"/>
  <c r="BR395" i="2"/>
  <c r="BQ395" i="2"/>
  <c r="BP395" i="2"/>
  <c r="BO395" i="2"/>
  <c r="BN395" i="2"/>
  <c r="BM395" i="2"/>
  <c r="BL395" i="2"/>
  <c r="BK395" i="2"/>
  <c r="BJ395" i="2"/>
  <c r="BI395" i="2"/>
  <c r="BH395" i="2"/>
  <c r="BG395" i="2"/>
  <c r="BF395" i="2"/>
  <c r="BE395" i="2"/>
  <c r="BD395" i="2"/>
  <c r="BC395" i="2"/>
  <c r="BB395" i="2"/>
  <c r="BA395" i="2"/>
  <c r="AZ395" i="2"/>
  <c r="AY395" i="2"/>
  <c r="AX395" i="2"/>
  <c r="AW395" i="2"/>
  <c r="AV395" i="2"/>
  <c r="AU395" i="2"/>
  <c r="AT395" i="2"/>
  <c r="AS395" i="2"/>
  <c r="AR395" i="2"/>
  <c r="AQ395" i="2"/>
  <c r="AP395" i="2"/>
  <c r="AO395" i="2"/>
  <c r="AN395" i="2"/>
  <c r="AM395" i="2"/>
  <c r="AL395" i="2"/>
  <c r="AK395" i="2"/>
  <c r="AJ395" i="2"/>
  <c r="AI395" i="2"/>
  <c r="AH395" i="2"/>
  <c r="AG395" i="2"/>
  <c r="AF395" i="2"/>
  <c r="AE395" i="2"/>
  <c r="AD395" i="2"/>
  <c r="AC395" i="2"/>
  <c r="AB395" i="2"/>
  <c r="AA395" i="2"/>
  <c r="Z395" i="2"/>
  <c r="Y395" i="2"/>
  <c r="X395" i="2"/>
  <c r="W395" i="2"/>
  <c r="V395" i="2"/>
  <c r="U395" i="2"/>
  <c r="T395" i="2"/>
  <c r="S395" i="2"/>
  <c r="R395" i="2"/>
  <c r="Q395" i="2"/>
  <c r="P395" i="2"/>
  <c r="O395" i="2"/>
  <c r="N395" i="2"/>
  <c r="M395" i="2"/>
  <c r="L395" i="2"/>
  <c r="K395" i="2"/>
  <c r="J395" i="2"/>
  <c r="I395" i="2"/>
  <c r="H395" i="2"/>
  <c r="G395" i="2"/>
  <c r="F395" i="2"/>
  <c r="E395" i="2"/>
  <c r="D395" i="2"/>
  <c r="C395" i="2"/>
  <c r="B395" i="2"/>
  <c r="A395" i="2"/>
  <c r="DY394" i="2"/>
  <c r="DX394" i="2"/>
  <c r="DW394" i="2"/>
  <c r="DV394" i="2"/>
  <c r="DU394" i="2"/>
  <c r="DT394" i="2"/>
  <c r="DS394" i="2"/>
  <c r="DR394" i="2"/>
  <c r="DQ394" i="2"/>
  <c r="DP394" i="2"/>
  <c r="DO394" i="2"/>
  <c r="DN394" i="2"/>
  <c r="DM394" i="2"/>
  <c r="DL394" i="2"/>
  <c r="DK394" i="2"/>
  <c r="DJ394" i="2"/>
  <c r="DI394" i="2"/>
  <c r="DH394" i="2"/>
  <c r="DG394" i="2"/>
  <c r="DF394" i="2"/>
  <c r="DE394" i="2"/>
  <c r="DD394" i="2"/>
  <c r="DC394" i="2"/>
  <c r="DB394" i="2"/>
  <c r="DA394" i="2"/>
  <c r="CZ394" i="2"/>
  <c r="CY394" i="2"/>
  <c r="CX394" i="2"/>
  <c r="CW394" i="2"/>
  <c r="CV394" i="2"/>
  <c r="CU394" i="2"/>
  <c r="CT394" i="2"/>
  <c r="CS394" i="2"/>
  <c r="CR394" i="2"/>
  <c r="CQ394" i="2"/>
  <c r="CP394" i="2"/>
  <c r="CO394" i="2"/>
  <c r="CN394" i="2"/>
  <c r="CM394" i="2"/>
  <c r="CL394" i="2"/>
  <c r="CK394" i="2"/>
  <c r="CJ394" i="2"/>
  <c r="CI394" i="2"/>
  <c r="CH394" i="2"/>
  <c r="CG394" i="2"/>
  <c r="CF394" i="2"/>
  <c r="CE394" i="2"/>
  <c r="CD394" i="2"/>
  <c r="CC394" i="2"/>
  <c r="CB394" i="2"/>
  <c r="CA394" i="2"/>
  <c r="BZ394" i="2"/>
  <c r="BY394" i="2"/>
  <c r="BX394" i="2"/>
  <c r="BW394" i="2"/>
  <c r="BV394" i="2"/>
  <c r="BU394" i="2"/>
  <c r="BT394" i="2"/>
  <c r="BS394" i="2"/>
  <c r="BR394" i="2"/>
  <c r="BQ394" i="2"/>
  <c r="BP394" i="2"/>
  <c r="BO394" i="2"/>
  <c r="BN394" i="2"/>
  <c r="BM394" i="2"/>
  <c r="BL394" i="2"/>
  <c r="BK394" i="2"/>
  <c r="BJ394" i="2"/>
  <c r="BI394" i="2"/>
  <c r="BH394" i="2"/>
  <c r="BG394" i="2"/>
  <c r="BF394" i="2"/>
  <c r="BE394" i="2"/>
  <c r="BD394" i="2"/>
  <c r="BC394" i="2"/>
  <c r="BB394" i="2"/>
  <c r="BA394" i="2"/>
  <c r="AZ394" i="2"/>
  <c r="AY394" i="2"/>
  <c r="AX394" i="2"/>
  <c r="AW394" i="2"/>
  <c r="AV394" i="2"/>
  <c r="AU394" i="2"/>
  <c r="AT394" i="2"/>
  <c r="AS394" i="2"/>
  <c r="AR394" i="2"/>
  <c r="AQ394" i="2"/>
  <c r="AP394" i="2"/>
  <c r="AO394" i="2"/>
  <c r="AN394" i="2"/>
  <c r="AM394" i="2"/>
  <c r="AL394" i="2"/>
  <c r="AK394" i="2"/>
  <c r="AJ394" i="2"/>
  <c r="AI394" i="2"/>
  <c r="AH394" i="2"/>
  <c r="AG394" i="2"/>
  <c r="AF394" i="2"/>
  <c r="AE394" i="2"/>
  <c r="AD394" i="2"/>
  <c r="AC394" i="2"/>
  <c r="AB394" i="2"/>
  <c r="AA394" i="2"/>
  <c r="Z394" i="2"/>
  <c r="Y394" i="2"/>
  <c r="X394" i="2"/>
  <c r="W394" i="2"/>
  <c r="V394" i="2"/>
  <c r="U394" i="2"/>
  <c r="T394" i="2"/>
  <c r="S394" i="2"/>
  <c r="R394" i="2"/>
  <c r="Q394" i="2"/>
  <c r="P394" i="2"/>
  <c r="O394" i="2"/>
  <c r="N394" i="2"/>
  <c r="M394" i="2"/>
  <c r="L394" i="2"/>
  <c r="K394" i="2"/>
  <c r="J394" i="2"/>
  <c r="I394" i="2"/>
  <c r="H394" i="2"/>
  <c r="G394" i="2"/>
  <c r="F394" i="2"/>
  <c r="E394" i="2"/>
  <c r="D394" i="2"/>
  <c r="C394" i="2"/>
  <c r="B394" i="2"/>
  <c r="A394" i="2"/>
  <c r="DY393" i="2"/>
  <c r="DX393" i="2"/>
  <c r="DW393" i="2"/>
  <c r="DV393" i="2"/>
  <c r="DU393" i="2"/>
  <c r="DT393" i="2"/>
  <c r="DS393" i="2"/>
  <c r="DR393" i="2"/>
  <c r="DQ393" i="2"/>
  <c r="DP393" i="2"/>
  <c r="DO393" i="2"/>
  <c r="DN393" i="2"/>
  <c r="DM393" i="2"/>
  <c r="DL393" i="2"/>
  <c r="DK393" i="2"/>
  <c r="DJ393" i="2"/>
  <c r="DI393" i="2"/>
  <c r="DH393" i="2"/>
  <c r="DG393" i="2"/>
  <c r="DF393" i="2"/>
  <c r="DE393" i="2"/>
  <c r="DD393" i="2"/>
  <c r="DC393" i="2"/>
  <c r="DB393" i="2"/>
  <c r="DA393" i="2"/>
  <c r="CZ393" i="2"/>
  <c r="CY393" i="2"/>
  <c r="CX393" i="2"/>
  <c r="CW393" i="2"/>
  <c r="CV393" i="2"/>
  <c r="CU393" i="2"/>
  <c r="CT393" i="2"/>
  <c r="CS393" i="2"/>
  <c r="CR393" i="2"/>
  <c r="CQ393" i="2"/>
  <c r="CP393" i="2"/>
  <c r="CO393" i="2"/>
  <c r="CN393" i="2"/>
  <c r="CM393" i="2"/>
  <c r="CL393" i="2"/>
  <c r="CK393" i="2"/>
  <c r="CJ393" i="2"/>
  <c r="CI393" i="2"/>
  <c r="CH393" i="2"/>
  <c r="CG393" i="2"/>
  <c r="CF393" i="2"/>
  <c r="CE393" i="2"/>
  <c r="CD393" i="2"/>
  <c r="CC393" i="2"/>
  <c r="CB393" i="2"/>
  <c r="CA393" i="2"/>
  <c r="BZ393" i="2"/>
  <c r="BY393" i="2"/>
  <c r="BX393" i="2"/>
  <c r="BW393" i="2"/>
  <c r="BV393" i="2"/>
  <c r="BU393" i="2"/>
  <c r="BT393" i="2"/>
  <c r="BS393" i="2"/>
  <c r="BR393" i="2"/>
  <c r="BQ393" i="2"/>
  <c r="BP393" i="2"/>
  <c r="BO393" i="2"/>
  <c r="BN393" i="2"/>
  <c r="BM393" i="2"/>
  <c r="BL393" i="2"/>
  <c r="BK393" i="2"/>
  <c r="BJ393" i="2"/>
  <c r="BI393" i="2"/>
  <c r="BH393" i="2"/>
  <c r="BG393" i="2"/>
  <c r="BF393" i="2"/>
  <c r="BE393" i="2"/>
  <c r="BD393" i="2"/>
  <c r="BC393" i="2"/>
  <c r="BB393" i="2"/>
  <c r="BA393" i="2"/>
  <c r="AZ393" i="2"/>
  <c r="AY393" i="2"/>
  <c r="AX393" i="2"/>
  <c r="AW393" i="2"/>
  <c r="AV393" i="2"/>
  <c r="AU393" i="2"/>
  <c r="AT393" i="2"/>
  <c r="AS393" i="2"/>
  <c r="AR393" i="2"/>
  <c r="AQ393" i="2"/>
  <c r="AP393" i="2"/>
  <c r="AO393" i="2"/>
  <c r="AN393" i="2"/>
  <c r="AM393" i="2"/>
  <c r="AL393" i="2"/>
  <c r="AK393" i="2"/>
  <c r="AJ393" i="2"/>
  <c r="AI393" i="2"/>
  <c r="AH393" i="2"/>
  <c r="AG393" i="2"/>
  <c r="AF393" i="2"/>
  <c r="AE393" i="2"/>
  <c r="AD393" i="2"/>
  <c r="AC393" i="2"/>
  <c r="AB393" i="2"/>
  <c r="AA393" i="2"/>
  <c r="Z393" i="2"/>
  <c r="Y393" i="2"/>
  <c r="X393" i="2"/>
  <c r="W393" i="2"/>
  <c r="V393" i="2"/>
  <c r="U393" i="2"/>
  <c r="T393" i="2"/>
  <c r="S393" i="2"/>
  <c r="R393" i="2"/>
  <c r="Q393" i="2"/>
  <c r="P393" i="2"/>
  <c r="O393" i="2"/>
  <c r="N393" i="2"/>
  <c r="M393" i="2"/>
  <c r="L393" i="2"/>
  <c r="K393" i="2"/>
  <c r="J393" i="2"/>
  <c r="I393" i="2"/>
  <c r="H393" i="2"/>
  <c r="G393" i="2"/>
  <c r="F393" i="2"/>
  <c r="E393" i="2"/>
  <c r="D393" i="2"/>
  <c r="C393" i="2"/>
  <c r="B393" i="2"/>
  <c r="A393" i="2"/>
  <c r="FS390" i="2"/>
  <c r="FR390" i="2"/>
  <c r="FQ390" i="2"/>
  <c r="FP390" i="2"/>
  <c r="FO390" i="2"/>
  <c r="FN390" i="2"/>
  <c r="FM390" i="2"/>
  <c r="FL390" i="2"/>
  <c r="FK390" i="2"/>
  <c r="FJ390" i="2"/>
  <c r="FI390" i="2"/>
  <c r="FH390" i="2"/>
  <c r="FG390" i="2"/>
  <c r="FF390" i="2"/>
  <c r="FE390" i="2"/>
  <c r="FD390" i="2"/>
  <c r="FC390" i="2"/>
  <c r="FB390" i="2"/>
  <c r="FA390" i="2"/>
  <c r="EZ390" i="2"/>
  <c r="EY390" i="2"/>
  <c r="EX390" i="2"/>
  <c r="EW390" i="2"/>
  <c r="EV390" i="2"/>
  <c r="EU390" i="2"/>
  <c r="ET390" i="2"/>
  <c r="ES390" i="2"/>
  <c r="ER390" i="2"/>
  <c r="EQ390" i="2"/>
  <c r="EP390" i="2"/>
  <c r="EO390" i="2"/>
  <c r="EN390" i="2"/>
  <c r="EM390" i="2"/>
  <c r="EL390" i="2"/>
  <c r="EK390" i="2"/>
  <c r="EJ390" i="2"/>
  <c r="EI390" i="2"/>
  <c r="EH390" i="2"/>
  <c r="EG390" i="2"/>
  <c r="EF390" i="2"/>
  <c r="EE390" i="2"/>
  <c r="ED390" i="2"/>
  <c r="EC390" i="2"/>
  <c r="EB390" i="2"/>
  <c r="FS389" i="2"/>
  <c r="FR389" i="2"/>
  <c r="FQ389" i="2"/>
  <c r="FP389" i="2"/>
  <c r="FO389" i="2"/>
  <c r="FN389" i="2"/>
  <c r="FM389" i="2"/>
  <c r="FL389" i="2"/>
  <c r="FK389" i="2"/>
  <c r="FJ389" i="2"/>
  <c r="FI389" i="2"/>
  <c r="FH389" i="2"/>
  <c r="FG389" i="2"/>
  <c r="FF389" i="2"/>
  <c r="FE389" i="2"/>
  <c r="FD389" i="2"/>
  <c r="FC389" i="2"/>
  <c r="FB389" i="2"/>
  <c r="FA389" i="2"/>
  <c r="EZ389" i="2"/>
  <c r="EY389" i="2"/>
  <c r="EX389" i="2"/>
  <c r="EW389" i="2"/>
  <c r="EV389" i="2"/>
  <c r="EU389" i="2"/>
  <c r="ET389" i="2"/>
  <c r="ES389" i="2"/>
  <c r="ER389" i="2"/>
  <c r="EQ389" i="2"/>
  <c r="EP389" i="2"/>
  <c r="EO389" i="2"/>
  <c r="EN389" i="2"/>
  <c r="EM389" i="2"/>
  <c r="EL389" i="2"/>
  <c r="EK389" i="2"/>
  <c r="EJ389" i="2"/>
  <c r="EI389" i="2"/>
  <c r="EH389" i="2"/>
  <c r="EG389" i="2"/>
  <c r="EF389" i="2"/>
  <c r="EE389" i="2"/>
  <c r="ED389" i="2"/>
  <c r="EC389" i="2"/>
  <c r="EB389" i="2"/>
  <c r="FS388" i="2"/>
  <c r="FR388" i="2"/>
  <c r="FQ388" i="2"/>
  <c r="FP388" i="2"/>
  <c r="FO388" i="2"/>
  <c r="FN388" i="2"/>
  <c r="FM388" i="2"/>
  <c r="FL388" i="2"/>
  <c r="FK388" i="2"/>
  <c r="FJ388" i="2"/>
  <c r="FI388" i="2"/>
  <c r="FH388" i="2"/>
  <c r="FG388" i="2"/>
  <c r="FF388" i="2"/>
  <c r="FE388" i="2"/>
  <c r="FD388" i="2"/>
  <c r="FC388" i="2"/>
  <c r="FB388" i="2"/>
  <c r="FA388" i="2"/>
  <c r="EZ388" i="2"/>
  <c r="EY388" i="2"/>
  <c r="EX388" i="2"/>
  <c r="EW388" i="2"/>
  <c r="EV388" i="2"/>
  <c r="EU388" i="2"/>
  <c r="ET388" i="2"/>
  <c r="ES388" i="2"/>
  <c r="ER388" i="2"/>
  <c r="EQ388" i="2"/>
  <c r="EP388" i="2"/>
  <c r="EO388" i="2"/>
  <c r="EN388" i="2"/>
  <c r="EM388" i="2"/>
  <c r="EL388" i="2"/>
  <c r="EK388" i="2"/>
  <c r="EJ388" i="2"/>
  <c r="EI388" i="2"/>
  <c r="EH388" i="2"/>
  <c r="EG388" i="2"/>
  <c r="EF388" i="2"/>
  <c r="EE388" i="2"/>
  <c r="ED388" i="2"/>
  <c r="EC388" i="2"/>
  <c r="EB388" i="2"/>
  <c r="FS387" i="2"/>
  <c r="FR387" i="2"/>
  <c r="FQ387" i="2"/>
  <c r="FP387" i="2"/>
  <c r="FO387" i="2"/>
  <c r="FN387" i="2"/>
  <c r="FM387" i="2"/>
  <c r="FL387" i="2"/>
  <c r="FK387" i="2"/>
  <c r="FJ387" i="2"/>
  <c r="FI387" i="2"/>
  <c r="FH387" i="2"/>
  <c r="FG387" i="2"/>
  <c r="FF387" i="2"/>
  <c r="FE387" i="2"/>
  <c r="FD387" i="2"/>
  <c r="FC387" i="2"/>
  <c r="FB387" i="2"/>
  <c r="FA387" i="2"/>
  <c r="EZ387" i="2"/>
  <c r="EY387" i="2"/>
  <c r="EX387" i="2"/>
  <c r="EW387" i="2"/>
  <c r="EV387" i="2"/>
  <c r="EU387" i="2"/>
  <c r="ET387" i="2"/>
  <c r="ES387" i="2"/>
  <c r="ER387" i="2"/>
  <c r="EQ387" i="2"/>
  <c r="EP387" i="2"/>
  <c r="EO387" i="2"/>
  <c r="EN387" i="2"/>
  <c r="EM387" i="2"/>
  <c r="EL387" i="2"/>
  <c r="EK387" i="2"/>
  <c r="EJ387" i="2"/>
  <c r="EI387" i="2"/>
  <c r="EH387" i="2"/>
  <c r="EG387" i="2"/>
  <c r="EF387" i="2"/>
  <c r="EE387" i="2"/>
  <c r="ED387" i="2"/>
  <c r="EC387" i="2"/>
  <c r="EB387" i="2"/>
  <c r="FS386" i="2"/>
  <c r="FR386" i="2"/>
  <c r="FQ386" i="2"/>
  <c r="FP386" i="2"/>
  <c r="FO386" i="2"/>
  <c r="FN386" i="2"/>
  <c r="FM386" i="2"/>
  <c r="FL386" i="2"/>
  <c r="FK386" i="2"/>
  <c r="FJ386" i="2"/>
  <c r="FI386" i="2"/>
  <c r="FH386" i="2"/>
  <c r="FG386" i="2"/>
  <c r="FF386" i="2"/>
  <c r="FE386" i="2"/>
  <c r="FD386" i="2"/>
  <c r="FC386" i="2"/>
  <c r="FB386" i="2"/>
  <c r="FA386" i="2"/>
  <c r="EZ386" i="2"/>
  <c r="EY386" i="2"/>
  <c r="EX386" i="2"/>
  <c r="EW386" i="2"/>
  <c r="EV386" i="2"/>
  <c r="EU386" i="2"/>
  <c r="ET386" i="2"/>
  <c r="ES386" i="2"/>
  <c r="ER386" i="2"/>
  <c r="EQ386" i="2"/>
  <c r="EP386" i="2"/>
  <c r="EO386" i="2"/>
  <c r="EN386" i="2"/>
  <c r="EM386" i="2"/>
  <c r="EL386" i="2"/>
  <c r="EK386" i="2"/>
  <c r="EJ386" i="2"/>
  <c r="EI386" i="2"/>
  <c r="EH386" i="2"/>
  <c r="EG386" i="2"/>
  <c r="EF386" i="2"/>
  <c r="EE386" i="2"/>
  <c r="ED386" i="2"/>
  <c r="EC386" i="2"/>
  <c r="EB386" i="2"/>
  <c r="FS385" i="2"/>
  <c r="FR385" i="2"/>
  <c r="FQ385" i="2"/>
  <c r="FP385" i="2"/>
  <c r="FO385" i="2"/>
  <c r="FN385" i="2"/>
  <c r="FM385" i="2"/>
  <c r="FL385" i="2"/>
  <c r="FK385" i="2"/>
  <c r="FJ385" i="2"/>
  <c r="FI385" i="2"/>
  <c r="FH385" i="2"/>
  <c r="FG385" i="2"/>
  <c r="FF385" i="2"/>
  <c r="FE385" i="2"/>
  <c r="FD385" i="2"/>
  <c r="FC385" i="2"/>
  <c r="FB385" i="2"/>
  <c r="FA385" i="2"/>
  <c r="EZ385" i="2"/>
  <c r="EY385" i="2"/>
  <c r="EX385" i="2"/>
  <c r="EW385" i="2"/>
  <c r="EV385" i="2"/>
  <c r="EU385" i="2"/>
  <c r="ET385" i="2"/>
  <c r="ES385" i="2"/>
  <c r="ER385" i="2"/>
  <c r="EQ385" i="2"/>
  <c r="EP385" i="2"/>
  <c r="EO385" i="2"/>
  <c r="EN385" i="2"/>
  <c r="EM385" i="2"/>
  <c r="EL385" i="2"/>
  <c r="EK385" i="2"/>
  <c r="EJ385" i="2"/>
  <c r="EI385" i="2"/>
  <c r="EH385" i="2"/>
  <c r="EG385" i="2"/>
  <c r="EF385" i="2"/>
  <c r="EE385" i="2"/>
  <c r="ED385" i="2"/>
  <c r="EC385" i="2"/>
  <c r="EB385" i="2"/>
  <c r="DY390" i="2"/>
  <c r="DX390" i="2"/>
  <c r="DW390" i="2"/>
  <c r="DV390" i="2"/>
  <c r="DU390" i="2"/>
  <c r="DT390" i="2"/>
  <c r="DS390" i="2"/>
  <c r="DR390" i="2"/>
  <c r="DQ390" i="2"/>
  <c r="DP390" i="2"/>
  <c r="DO390" i="2"/>
  <c r="DN390" i="2"/>
  <c r="DM390" i="2"/>
  <c r="DL390" i="2"/>
  <c r="DK390" i="2"/>
  <c r="DJ390" i="2"/>
  <c r="DI390" i="2"/>
  <c r="DH390" i="2"/>
  <c r="DG390" i="2"/>
  <c r="DF390" i="2"/>
  <c r="DE390" i="2"/>
  <c r="DD390" i="2"/>
  <c r="DC390" i="2"/>
  <c r="DB390" i="2"/>
  <c r="DA390" i="2"/>
  <c r="CZ390" i="2"/>
  <c r="CY390" i="2"/>
  <c r="CX390" i="2"/>
  <c r="CW390" i="2"/>
  <c r="CV390" i="2"/>
  <c r="CU390" i="2"/>
  <c r="CT390" i="2"/>
  <c r="CS390" i="2"/>
  <c r="CR390" i="2"/>
  <c r="CQ390" i="2"/>
  <c r="CP390" i="2"/>
  <c r="CO390" i="2"/>
  <c r="CN390" i="2"/>
  <c r="CM390" i="2"/>
  <c r="CL390" i="2"/>
  <c r="CK390" i="2"/>
  <c r="CJ390" i="2"/>
  <c r="CI390" i="2"/>
  <c r="CH390" i="2"/>
  <c r="CG390" i="2"/>
  <c r="CF390" i="2"/>
  <c r="CE390" i="2"/>
  <c r="CD390" i="2"/>
  <c r="CC390" i="2"/>
  <c r="CB390" i="2"/>
  <c r="CA390" i="2"/>
  <c r="BZ390" i="2"/>
  <c r="BY390" i="2"/>
  <c r="BX390" i="2"/>
  <c r="BW390" i="2"/>
  <c r="BV390" i="2"/>
  <c r="BU390" i="2"/>
  <c r="BT390" i="2"/>
  <c r="BS390" i="2"/>
  <c r="BR390" i="2"/>
  <c r="BQ390" i="2"/>
  <c r="BP390" i="2"/>
  <c r="BO390" i="2"/>
  <c r="BN390" i="2"/>
  <c r="BM390" i="2"/>
  <c r="BL390" i="2"/>
  <c r="BK390" i="2"/>
  <c r="BJ390" i="2"/>
  <c r="BI390" i="2"/>
  <c r="BH390" i="2"/>
  <c r="BG390" i="2"/>
  <c r="BF390" i="2"/>
  <c r="BE390" i="2"/>
  <c r="BD390" i="2"/>
  <c r="BC390" i="2"/>
  <c r="BB390" i="2"/>
  <c r="BA390" i="2"/>
  <c r="AZ390" i="2"/>
  <c r="AY390" i="2"/>
  <c r="AX390" i="2"/>
  <c r="AW390" i="2"/>
  <c r="AV390" i="2"/>
  <c r="AU390" i="2"/>
  <c r="AT390" i="2"/>
  <c r="AS390" i="2"/>
  <c r="AR390" i="2"/>
  <c r="AQ390" i="2"/>
  <c r="AP390" i="2"/>
  <c r="AO390" i="2"/>
  <c r="AN390" i="2"/>
  <c r="AM390" i="2"/>
  <c r="AL390" i="2"/>
  <c r="AK390" i="2"/>
  <c r="AJ390" i="2"/>
  <c r="AI390" i="2"/>
  <c r="AH390" i="2"/>
  <c r="AG390" i="2"/>
  <c r="AF390" i="2"/>
  <c r="AE390" i="2"/>
  <c r="AD390" i="2"/>
  <c r="AC390" i="2"/>
  <c r="AB390" i="2"/>
  <c r="AA390" i="2"/>
  <c r="Z390" i="2"/>
  <c r="Y390" i="2"/>
  <c r="X390" i="2"/>
  <c r="W390" i="2"/>
  <c r="V390" i="2"/>
  <c r="U390" i="2"/>
  <c r="T390" i="2"/>
  <c r="S390" i="2"/>
  <c r="R390" i="2"/>
  <c r="Q390" i="2"/>
  <c r="P390" i="2"/>
  <c r="O390" i="2"/>
  <c r="N390" i="2"/>
  <c r="M390" i="2"/>
  <c r="L390" i="2"/>
  <c r="K390" i="2"/>
  <c r="J390" i="2"/>
  <c r="I390" i="2"/>
  <c r="H390" i="2"/>
  <c r="G390" i="2"/>
  <c r="F390" i="2"/>
  <c r="E390" i="2"/>
  <c r="D390" i="2"/>
  <c r="C390" i="2"/>
  <c r="B390" i="2"/>
  <c r="A390" i="2"/>
  <c r="DY389" i="2"/>
  <c r="DX389" i="2"/>
  <c r="DW389" i="2"/>
  <c r="DV389" i="2"/>
  <c r="DU389" i="2"/>
  <c r="DT389" i="2"/>
  <c r="DS389" i="2"/>
  <c r="DR389" i="2"/>
  <c r="DQ389" i="2"/>
  <c r="DP389" i="2"/>
  <c r="DO389" i="2"/>
  <c r="DN389" i="2"/>
  <c r="DM389" i="2"/>
  <c r="DL389" i="2"/>
  <c r="DK389" i="2"/>
  <c r="DJ389" i="2"/>
  <c r="DI389" i="2"/>
  <c r="DH389" i="2"/>
  <c r="DG389" i="2"/>
  <c r="DF389" i="2"/>
  <c r="DE389" i="2"/>
  <c r="DD389" i="2"/>
  <c r="DC389" i="2"/>
  <c r="DB389" i="2"/>
  <c r="DA389" i="2"/>
  <c r="CZ389" i="2"/>
  <c r="CY389" i="2"/>
  <c r="CX389" i="2"/>
  <c r="CW389" i="2"/>
  <c r="CV389" i="2"/>
  <c r="CU389" i="2"/>
  <c r="CT389" i="2"/>
  <c r="CS389" i="2"/>
  <c r="CR389" i="2"/>
  <c r="CQ389" i="2"/>
  <c r="CP389" i="2"/>
  <c r="CO389" i="2"/>
  <c r="CN389" i="2"/>
  <c r="CM389" i="2"/>
  <c r="CL389" i="2"/>
  <c r="CK389" i="2"/>
  <c r="CJ389" i="2"/>
  <c r="CI389" i="2"/>
  <c r="CH389" i="2"/>
  <c r="CG389" i="2"/>
  <c r="CF389" i="2"/>
  <c r="CE389" i="2"/>
  <c r="CD389" i="2"/>
  <c r="CC389" i="2"/>
  <c r="CB389" i="2"/>
  <c r="CA389" i="2"/>
  <c r="BZ389" i="2"/>
  <c r="BY389" i="2"/>
  <c r="BX389" i="2"/>
  <c r="BW389" i="2"/>
  <c r="BV389" i="2"/>
  <c r="BU389" i="2"/>
  <c r="BT389" i="2"/>
  <c r="BS389" i="2"/>
  <c r="BR389" i="2"/>
  <c r="BQ389" i="2"/>
  <c r="BP389" i="2"/>
  <c r="BO389" i="2"/>
  <c r="BN389" i="2"/>
  <c r="BM389" i="2"/>
  <c r="BL389" i="2"/>
  <c r="BK389" i="2"/>
  <c r="BJ389" i="2"/>
  <c r="BI389" i="2"/>
  <c r="BH389" i="2"/>
  <c r="BG389" i="2"/>
  <c r="BF389" i="2"/>
  <c r="BE389" i="2"/>
  <c r="BD389" i="2"/>
  <c r="BC389" i="2"/>
  <c r="BB389" i="2"/>
  <c r="BA389" i="2"/>
  <c r="AZ389" i="2"/>
  <c r="AY389" i="2"/>
  <c r="AX389" i="2"/>
  <c r="AW389" i="2"/>
  <c r="AV389" i="2"/>
  <c r="AU389" i="2"/>
  <c r="AT389" i="2"/>
  <c r="AS389" i="2"/>
  <c r="AR389" i="2"/>
  <c r="AQ389" i="2"/>
  <c r="AP389" i="2"/>
  <c r="AO389" i="2"/>
  <c r="AN389" i="2"/>
  <c r="AM389" i="2"/>
  <c r="AL389" i="2"/>
  <c r="AK389" i="2"/>
  <c r="AJ389" i="2"/>
  <c r="AI389" i="2"/>
  <c r="AH389" i="2"/>
  <c r="AG389" i="2"/>
  <c r="AF389" i="2"/>
  <c r="AE389" i="2"/>
  <c r="AD389" i="2"/>
  <c r="AC389" i="2"/>
  <c r="AB389" i="2"/>
  <c r="AA389" i="2"/>
  <c r="Z389" i="2"/>
  <c r="Y389" i="2"/>
  <c r="X389" i="2"/>
  <c r="W389" i="2"/>
  <c r="V389" i="2"/>
  <c r="U389" i="2"/>
  <c r="T389" i="2"/>
  <c r="S389" i="2"/>
  <c r="R389" i="2"/>
  <c r="Q389" i="2"/>
  <c r="P389" i="2"/>
  <c r="O389" i="2"/>
  <c r="N389" i="2"/>
  <c r="M389" i="2"/>
  <c r="L389" i="2"/>
  <c r="K389" i="2"/>
  <c r="J389" i="2"/>
  <c r="I389" i="2"/>
  <c r="H389" i="2"/>
  <c r="G389" i="2"/>
  <c r="F389" i="2"/>
  <c r="E389" i="2"/>
  <c r="D389" i="2"/>
  <c r="C389" i="2"/>
  <c r="B389" i="2"/>
  <c r="A389" i="2"/>
  <c r="DY388" i="2"/>
  <c r="DX388" i="2"/>
  <c r="DW388" i="2"/>
  <c r="DV388" i="2"/>
  <c r="DU388" i="2"/>
  <c r="DT388" i="2"/>
  <c r="DS388" i="2"/>
  <c r="DR388" i="2"/>
  <c r="DQ388" i="2"/>
  <c r="DP388" i="2"/>
  <c r="DO388" i="2"/>
  <c r="DN388" i="2"/>
  <c r="DM388" i="2"/>
  <c r="DL388" i="2"/>
  <c r="DK388" i="2"/>
  <c r="DJ388" i="2"/>
  <c r="DI388" i="2"/>
  <c r="DH388" i="2"/>
  <c r="DG388" i="2"/>
  <c r="DF388" i="2"/>
  <c r="DE388" i="2"/>
  <c r="DD388" i="2"/>
  <c r="DC388" i="2"/>
  <c r="DB388" i="2"/>
  <c r="DA388" i="2"/>
  <c r="CZ388" i="2"/>
  <c r="CY388" i="2"/>
  <c r="CX388" i="2"/>
  <c r="CW388" i="2"/>
  <c r="CV388" i="2"/>
  <c r="CU388" i="2"/>
  <c r="CT388" i="2"/>
  <c r="CS388" i="2"/>
  <c r="CR388" i="2"/>
  <c r="CQ388" i="2"/>
  <c r="CP388" i="2"/>
  <c r="CO388" i="2"/>
  <c r="CN388" i="2"/>
  <c r="CM388" i="2"/>
  <c r="CL388" i="2"/>
  <c r="CK388" i="2"/>
  <c r="CJ388" i="2"/>
  <c r="CI388" i="2"/>
  <c r="CH388" i="2"/>
  <c r="CG388" i="2"/>
  <c r="CF388" i="2"/>
  <c r="CE388" i="2"/>
  <c r="CD388" i="2"/>
  <c r="CC388" i="2"/>
  <c r="CB388" i="2"/>
  <c r="CA388" i="2"/>
  <c r="BZ388" i="2"/>
  <c r="BY388" i="2"/>
  <c r="BX388" i="2"/>
  <c r="BW388" i="2"/>
  <c r="BV388" i="2"/>
  <c r="BU388" i="2"/>
  <c r="BT388" i="2"/>
  <c r="BS388" i="2"/>
  <c r="BR388" i="2"/>
  <c r="BQ388" i="2"/>
  <c r="BP388" i="2"/>
  <c r="BO388" i="2"/>
  <c r="BN388" i="2"/>
  <c r="BM388" i="2"/>
  <c r="BL388" i="2"/>
  <c r="BK388" i="2"/>
  <c r="BJ388" i="2"/>
  <c r="BI388" i="2"/>
  <c r="BH388" i="2"/>
  <c r="BG388" i="2"/>
  <c r="BF388" i="2"/>
  <c r="BE388" i="2"/>
  <c r="BD388" i="2"/>
  <c r="BC388" i="2"/>
  <c r="BB388" i="2"/>
  <c r="BA388" i="2"/>
  <c r="AZ388" i="2"/>
  <c r="AY388" i="2"/>
  <c r="AX388" i="2"/>
  <c r="AW388" i="2"/>
  <c r="AV388" i="2"/>
  <c r="AU388" i="2"/>
  <c r="AT388" i="2"/>
  <c r="AS388" i="2"/>
  <c r="AR388" i="2"/>
  <c r="AQ388" i="2"/>
  <c r="AP388" i="2"/>
  <c r="AO388" i="2"/>
  <c r="AN388" i="2"/>
  <c r="AM388" i="2"/>
  <c r="AL388" i="2"/>
  <c r="AK388" i="2"/>
  <c r="AJ388" i="2"/>
  <c r="AI388" i="2"/>
  <c r="AH388" i="2"/>
  <c r="AG388" i="2"/>
  <c r="AF388" i="2"/>
  <c r="AE388" i="2"/>
  <c r="AD388" i="2"/>
  <c r="AC388" i="2"/>
  <c r="AB388" i="2"/>
  <c r="AA388" i="2"/>
  <c r="Z388" i="2"/>
  <c r="Y388" i="2"/>
  <c r="X388" i="2"/>
  <c r="W388" i="2"/>
  <c r="V388" i="2"/>
  <c r="U388" i="2"/>
  <c r="T388" i="2"/>
  <c r="S388" i="2"/>
  <c r="R388" i="2"/>
  <c r="Q388" i="2"/>
  <c r="P388" i="2"/>
  <c r="O388" i="2"/>
  <c r="N388" i="2"/>
  <c r="M388" i="2"/>
  <c r="L388" i="2"/>
  <c r="K388" i="2"/>
  <c r="J388" i="2"/>
  <c r="I388" i="2"/>
  <c r="H388" i="2"/>
  <c r="G388" i="2"/>
  <c r="F388" i="2"/>
  <c r="E388" i="2"/>
  <c r="D388" i="2"/>
  <c r="C388" i="2"/>
  <c r="B388" i="2"/>
  <c r="A388" i="2"/>
  <c r="DY387" i="2"/>
  <c r="DX387" i="2"/>
  <c r="DW387" i="2"/>
  <c r="DV387" i="2"/>
  <c r="DU387" i="2"/>
  <c r="DT387" i="2"/>
  <c r="DS387" i="2"/>
  <c r="DR387" i="2"/>
  <c r="DQ387" i="2"/>
  <c r="DP387" i="2"/>
  <c r="DO387" i="2"/>
  <c r="DN387" i="2"/>
  <c r="DM387" i="2"/>
  <c r="DL387" i="2"/>
  <c r="DK387" i="2"/>
  <c r="DJ387" i="2"/>
  <c r="DI387" i="2"/>
  <c r="DH387" i="2"/>
  <c r="DG387" i="2"/>
  <c r="DF387" i="2"/>
  <c r="DE387" i="2"/>
  <c r="DD387" i="2"/>
  <c r="DC387" i="2"/>
  <c r="DB387" i="2"/>
  <c r="DA387" i="2"/>
  <c r="CZ387" i="2"/>
  <c r="CY387" i="2"/>
  <c r="CX387" i="2"/>
  <c r="CW387" i="2"/>
  <c r="CV387" i="2"/>
  <c r="CU387" i="2"/>
  <c r="CT387" i="2"/>
  <c r="CS387" i="2"/>
  <c r="CR387" i="2"/>
  <c r="CQ387" i="2"/>
  <c r="CP387" i="2"/>
  <c r="CO387" i="2"/>
  <c r="CN387" i="2"/>
  <c r="CM387" i="2"/>
  <c r="CL387" i="2"/>
  <c r="CK387" i="2"/>
  <c r="CJ387" i="2"/>
  <c r="CI387" i="2"/>
  <c r="CH387" i="2"/>
  <c r="CG387" i="2"/>
  <c r="CF387" i="2"/>
  <c r="CE387" i="2"/>
  <c r="CD387" i="2"/>
  <c r="CC387" i="2"/>
  <c r="CB387" i="2"/>
  <c r="CA387" i="2"/>
  <c r="BZ387" i="2"/>
  <c r="BY387" i="2"/>
  <c r="BX387" i="2"/>
  <c r="BW387" i="2"/>
  <c r="BV387" i="2"/>
  <c r="BU387" i="2"/>
  <c r="BT387" i="2"/>
  <c r="BS387" i="2"/>
  <c r="BR387" i="2"/>
  <c r="BQ387" i="2"/>
  <c r="BP387" i="2"/>
  <c r="BO387" i="2"/>
  <c r="BN387" i="2"/>
  <c r="BM387" i="2"/>
  <c r="BL387" i="2"/>
  <c r="BK387" i="2"/>
  <c r="BJ387" i="2"/>
  <c r="BI387" i="2"/>
  <c r="BH387" i="2"/>
  <c r="BG387" i="2"/>
  <c r="BF387" i="2"/>
  <c r="BE387" i="2"/>
  <c r="BD387" i="2"/>
  <c r="BC387" i="2"/>
  <c r="BB387" i="2"/>
  <c r="BA387" i="2"/>
  <c r="AZ387" i="2"/>
  <c r="AY387" i="2"/>
  <c r="AX387" i="2"/>
  <c r="AW387" i="2"/>
  <c r="AV387" i="2"/>
  <c r="AU387" i="2"/>
  <c r="AT387" i="2"/>
  <c r="AS387" i="2"/>
  <c r="AR387" i="2"/>
  <c r="AQ387" i="2"/>
  <c r="AP387" i="2"/>
  <c r="AO387" i="2"/>
  <c r="AN387" i="2"/>
  <c r="AM387" i="2"/>
  <c r="AL387" i="2"/>
  <c r="AK387" i="2"/>
  <c r="AJ387" i="2"/>
  <c r="AI387" i="2"/>
  <c r="AH387" i="2"/>
  <c r="AG387" i="2"/>
  <c r="AF387" i="2"/>
  <c r="AE387" i="2"/>
  <c r="AD387" i="2"/>
  <c r="AC387" i="2"/>
  <c r="AB387" i="2"/>
  <c r="AA387" i="2"/>
  <c r="Z387" i="2"/>
  <c r="Y387" i="2"/>
  <c r="X387" i="2"/>
  <c r="W387" i="2"/>
  <c r="V387" i="2"/>
  <c r="U387" i="2"/>
  <c r="T387" i="2"/>
  <c r="S387" i="2"/>
  <c r="R387" i="2"/>
  <c r="Q387" i="2"/>
  <c r="P387" i="2"/>
  <c r="O387" i="2"/>
  <c r="N387" i="2"/>
  <c r="M387" i="2"/>
  <c r="L387" i="2"/>
  <c r="K387" i="2"/>
  <c r="J387" i="2"/>
  <c r="I387" i="2"/>
  <c r="H387" i="2"/>
  <c r="G387" i="2"/>
  <c r="F387" i="2"/>
  <c r="E387" i="2"/>
  <c r="D387" i="2"/>
  <c r="C387" i="2"/>
  <c r="B387" i="2"/>
  <c r="A387" i="2"/>
  <c r="DY386" i="2"/>
  <c r="DX386" i="2"/>
  <c r="DW386" i="2"/>
  <c r="DV386" i="2"/>
  <c r="DU386" i="2"/>
  <c r="DT386" i="2"/>
  <c r="DS386" i="2"/>
  <c r="DR386" i="2"/>
  <c r="DQ386" i="2"/>
  <c r="DP386" i="2"/>
  <c r="DO386" i="2"/>
  <c r="DN386" i="2"/>
  <c r="DM386" i="2"/>
  <c r="DL386" i="2"/>
  <c r="DK386" i="2"/>
  <c r="DJ386" i="2"/>
  <c r="DI386" i="2"/>
  <c r="DH386" i="2"/>
  <c r="DG386" i="2"/>
  <c r="DF386" i="2"/>
  <c r="DE386" i="2"/>
  <c r="DD386" i="2"/>
  <c r="DC386" i="2"/>
  <c r="DB386" i="2"/>
  <c r="DA386" i="2"/>
  <c r="CZ386" i="2"/>
  <c r="CY386" i="2"/>
  <c r="CX386" i="2"/>
  <c r="CW386" i="2"/>
  <c r="CV386" i="2"/>
  <c r="CU386" i="2"/>
  <c r="CT386" i="2"/>
  <c r="CS386" i="2"/>
  <c r="CR386" i="2"/>
  <c r="CQ386" i="2"/>
  <c r="CP386" i="2"/>
  <c r="CO386" i="2"/>
  <c r="CN386" i="2"/>
  <c r="CM386" i="2"/>
  <c r="CL386" i="2"/>
  <c r="CK386" i="2"/>
  <c r="CJ386" i="2"/>
  <c r="CI386" i="2"/>
  <c r="CH386" i="2"/>
  <c r="CG386" i="2"/>
  <c r="CF386" i="2"/>
  <c r="CE386" i="2"/>
  <c r="CD386" i="2"/>
  <c r="CC386" i="2"/>
  <c r="CB386" i="2"/>
  <c r="CA386" i="2"/>
  <c r="BZ386" i="2"/>
  <c r="BY386" i="2"/>
  <c r="BX386" i="2"/>
  <c r="BW386" i="2"/>
  <c r="BV386" i="2"/>
  <c r="BU386" i="2"/>
  <c r="BT386" i="2"/>
  <c r="BS386" i="2"/>
  <c r="BR386" i="2"/>
  <c r="BQ386" i="2"/>
  <c r="BP386" i="2"/>
  <c r="BO386" i="2"/>
  <c r="BN386" i="2"/>
  <c r="BM386" i="2"/>
  <c r="BL386" i="2"/>
  <c r="BK386" i="2"/>
  <c r="BJ386" i="2"/>
  <c r="BI386" i="2"/>
  <c r="BH386" i="2"/>
  <c r="BG386" i="2"/>
  <c r="BF386" i="2"/>
  <c r="BE386" i="2"/>
  <c r="BD386" i="2"/>
  <c r="BC386" i="2"/>
  <c r="BB386" i="2"/>
  <c r="BA386" i="2"/>
  <c r="AZ386" i="2"/>
  <c r="AY386" i="2"/>
  <c r="AX386" i="2"/>
  <c r="AW386" i="2"/>
  <c r="AV386" i="2"/>
  <c r="AU386" i="2"/>
  <c r="AT386" i="2"/>
  <c r="AS386" i="2"/>
  <c r="AR386" i="2"/>
  <c r="AQ386" i="2"/>
  <c r="AP386" i="2"/>
  <c r="AO386" i="2"/>
  <c r="AN386" i="2"/>
  <c r="AM386" i="2"/>
  <c r="AL386" i="2"/>
  <c r="AK386" i="2"/>
  <c r="AJ386" i="2"/>
  <c r="AI386" i="2"/>
  <c r="AH386" i="2"/>
  <c r="AG386" i="2"/>
  <c r="AF386" i="2"/>
  <c r="AE386" i="2"/>
  <c r="AD386" i="2"/>
  <c r="AC386" i="2"/>
  <c r="AB386" i="2"/>
  <c r="AA386" i="2"/>
  <c r="Z386" i="2"/>
  <c r="Y386" i="2"/>
  <c r="X386" i="2"/>
  <c r="W386" i="2"/>
  <c r="V386" i="2"/>
  <c r="U386" i="2"/>
  <c r="T386" i="2"/>
  <c r="S386" i="2"/>
  <c r="R386" i="2"/>
  <c r="Q386" i="2"/>
  <c r="P386" i="2"/>
  <c r="O386" i="2"/>
  <c r="N386" i="2"/>
  <c r="M386" i="2"/>
  <c r="L386" i="2"/>
  <c r="K386" i="2"/>
  <c r="J386" i="2"/>
  <c r="I386" i="2"/>
  <c r="H386" i="2"/>
  <c r="G386" i="2"/>
  <c r="F386" i="2"/>
  <c r="E386" i="2"/>
  <c r="D386" i="2"/>
  <c r="C386" i="2"/>
  <c r="B386" i="2"/>
  <c r="A386" i="2"/>
  <c r="DY385" i="2"/>
  <c r="DX385" i="2"/>
  <c r="DW385" i="2"/>
  <c r="DV385" i="2"/>
  <c r="DU385" i="2"/>
  <c r="DT385" i="2"/>
  <c r="DS385" i="2"/>
  <c r="DR385" i="2"/>
  <c r="DQ385" i="2"/>
  <c r="DP385" i="2"/>
  <c r="DO385" i="2"/>
  <c r="DN385" i="2"/>
  <c r="DM385" i="2"/>
  <c r="DL385" i="2"/>
  <c r="DK385" i="2"/>
  <c r="DJ385" i="2"/>
  <c r="DI385" i="2"/>
  <c r="DH385" i="2"/>
  <c r="DG385" i="2"/>
  <c r="DF385" i="2"/>
  <c r="DE385" i="2"/>
  <c r="DD385" i="2"/>
  <c r="DC385" i="2"/>
  <c r="DB385" i="2"/>
  <c r="DA385" i="2"/>
  <c r="CZ385" i="2"/>
  <c r="CY385" i="2"/>
  <c r="CX385" i="2"/>
  <c r="CW385" i="2"/>
  <c r="CV385" i="2"/>
  <c r="CU385" i="2"/>
  <c r="CT385" i="2"/>
  <c r="CS385" i="2"/>
  <c r="CR385" i="2"/>
  <c r="CQ385" i="2"/>
  <c r="CP385" i="2"/>
  <c r="CO385" i="2"/>
  <c r="CN385" i="2"/>
  <c r="CM385" i="2"/>
  <c r="CL385" i="2"/>
  <c r="CK385" i="2"/>
  <c r="CJ385" i="2"/>
  <c r="CI385" i="2"/>
  <c r="CH385" i="2"/>
  <c r="CG385" i="2"/>
  <c r="CF385" i="2"/>
  <c r="CE385" i="2"/>
  <c r="CD385" i="2"/>
  <c r="CC385" i="2"/>
  <c r="CB385" i="2"/>
  <c r="CA385" i="2"/>
  <c r="BZ385" i="2"/>
  <c r="BY385" i="2"/>
  <c r="BX385" i="2"/>
  <c r="BW385" i="2"/>
  <c r="BV385" i="2"/>
  <c r="BU385" i="2"/>
  <c r="BT385" i="2"/>
  <c r="BS385" i="2"/>
  <c r="BR385" i="2"/>
  <c r="BQ385" i="2"/>
  <c r="BP385" i="2"/>
  <c r="BO385" i="2"/>
  <c r="BN385" i="2"/>
  <c r="BM385" i="2"/>
  <c r="BL385" i="2"/>
  <c r="BK385" i="2"/>
  <c r="BJ385" i="2"/>
  <c r="BI385" i="2"/>
  <c r="BH385" i="2"/>
  <c r="BG385" i="2"/>
  <c r="BF385" i="2"/>
  <c r="BE385" i="2"/>
  <c r="BD385" i="2"/>
  <c r="BC385" i="2"/>
  <c r="BB385" i="2"/>
  <c r="BA385" i="2"/>
  <c r="AZ385" i="2"/>
  <c r="AY385" i="2"/>
  <c r="AX385" i="2"/>
  <c r="AW385" i="2"/>
  <c r="AV385" i="2"/>
  <c r="AU385" i="2"/>
  <c r="AT385" i="2"/>
  <c r="AS385" i="2"/>
  <c r="AR385" i="2"/>
  <c r="AQ385" i="2"/>
  <c r="AP385" i="2"/>
  <c r="AO385" i="2"/>
  <c r="AN385" i="2"/>
  <c r="AM385" i="2"/>
  <c r="AL385" i="2"/>
  <c r="AK385" i="2"/>
  <c r="AJ385" i="2"/>
  <c r="AI385" i="2"/>
  <c r="AH385" i="2"/>
  <c r="AG385" i="2"/>
  <c r="AF385" i="2"/>
  <c r="AE385" i="2"/>
  <c r="AD385" i="2"/>
  <c r="AC385" i="2"/>
  <c r="AB385" i="2"/>
  <c r="AA385" i="2"/>
  <c r="Z385" i="2"/>
  <c r="Y385" i="2"/>
  <c r="X385" i="2"/>
  <c r="W385" i="2"/>
  <c r="V385" i="2"/>
  <c r="U385" i="2"/>
  <c r="T385" i="2"/>
  <c r="S385" i="2"/>
  <c r="R385" i="2"/>
  <c r="Q385" i="2"/>
  <c r="P385" i="2"/>
  <c r="O385" i="2"/>
  <c r="N385" i="2"/>
  <c r="M385" i="2"/>
  <c r="L385" i="2"/>
  <c r="K385" i="2"/>
  <c r="J385" i="2"/>
  <c r="I385" i="2"/>
  <c r="H385" i="2"/>
  <c r="G385" i="2"/>
  <c r="F385" i="2"/>
  <c r="E385" i="2"/>
  <c r="D385" i="2"/>
  <c r="C385" i="2"/>
  <c r="B385" i="2"/>
  <c r="A385" i="2"/>
  <c r="A380" i="2"/>
  <c r="EN373" i="2"/>
  <c r="EM373" i="2"/>
  <c r="EL373" i="2"/>
  <c r="EK373" i="2"/>
  <c r="EJ373" i="2"/>
  <c r="EI373" i="2"/>
  <c r="EH373" i="2"/>
  <c r="EG373" i="2"/>
  <c r="EF373" i="2"/>
  <c r="EE373" i="2"/>
  <c r="ED373" i="2"/>
  <c r="EC373" i="2"/>
  <c r="EB373" i="2"/>
  <c r="AK373" i="2"/>
  <c r="AJ373" i="2"/>
  <c r="AI373" i="2"/>
  <c r="AH373" i="2"/>
  <c r="AG373" i="2"/>
  <c r="AF373" i="2"/>
  <c r="AE373" i="2"/>
  <c r="AD373" i="2"/>
  <c r="AC373" i="2"/>
  <c r="AB373" i="2"/>
  <c r="AA373" i="2"/>
  <c r="Z373" i="2"/>
  <c r="Y373" i="2"/>
  <c r="X373" i="2"/>
  <c r="W373" i="2"/>
  <c r="V373" i="2"/>
  <c r="U373" i="2"/>
  <c r="T373" i="2"/>
  <c r="S373" i="2"/>
  <c r="R373" i="2"/>
  <c r="Q373" i="2"/>
  <c r="P373" i="2"/>
  <c r="O373" i="2"/>
  <c r="N373" i="2"/>
  <c r="M373" i="2"/>
  <c r="L373" i="2"/>
  <c r="K373" i="2"/>
  <c r="J373" i="2"/>
  <c r="I373" i="2"/>
  <c r="H373" i="2"/>
  <c r="G373" i="2"/>
  <c r="F373" i="2"/>
  <c r="E373" i="2"/>
  <c r="D373" i="2"/>
  <c r="C373" i="2"/>
  <c r="B373" i="2"/>
  <c r="EN370" i="2"/>
  <c r="EM370" i="2"/>
  <c r="EL370" i="2"/>
  <c r="EK370" i="2"/>
  <c r="EJ370" i="2"/>
  <c r="EI370" i="2"/>
  <c r="EH370" i="2"/>
  <c r="EG370" i="2"/>
  <c r="EF370" i="2"/>
  <c r="EE370" i="2"/>
  <c r="ED370" i="2"/>
  <c r="EC370" i="2"/>
  <c r="EB370" i="2"/>
  <c r="AK370" i="2"/>
  <c r="AJ370" i="2"/>
  <c r="AI370" i="2"/>
  <c r="AH370" i="2"/>
  <c r="AG370" i="2"/>
  <c r="AF370" i="2"/>
  <c r="AE370" i="2"/>
  <c r="AD370" i="2"/>
  <c r="AC370" i="2"/>
  <c r="AB370" i="2"/>
  <c r="AA370" i="2"/>
  <c r="Z370" i="2"/>
  <c r="Y370" i="2"/>
  <c r="X370" i="2"/>
  <c r="W370" i="2"/>
  <c r="V370" i="2"/>
  <c r="U370" i="2"/>
  <c r="T370" i="2"/>
  <c r="S370" i="2"/>
  <c r="R370" i="2"/>
  <c r="Q370" i="2"/>
  <c r="P370" i="2"/>
  <c r="O370" i="2"/>
  <c r="N370" i="2"/>
  <c r="M370" i="2"/>
  <c r="L370" i="2"/>
  <c r="K370" i="2"/>
  <c r="J370" i="2"/>
  <c r="I370" i="2"/>
  <c r="H370" i="2"/>
  <c r="G370" i="2"/>
  <c r="F370" i="2"/>
  <c r="E370" i="2"/>
  <c r="D370" i="2"/>
  <c r="C370" i="2"/>
  <c r="B370" i="2"/>
  <c r="EN368" i="2"/>
  <c r="EM368" i="2"/>
  <c r="EL368" i="2"/>
  <c r="EK368" i="2"/>
  <c r="EJ368" i="2"/>
  <c r="EI368" i="2"/>
  <c r="EH368" i="2"/>
  <c r="EG368" i="2"/>
  <c r="EF368" i="2"/>
  <c r="EE368" i="2"/>
  <c r="AK368" i="2"/>
  <c r="AJ368" i="2"/>
  <c r="AI368" i="2"/>
  <c r="AH368" i="2"/>
  <c r="AG368" i="2"/>
  <c r="AF368" i="2"/>
  <c r="AE368" i="2"/>
  <c r="AD368" i="2"/>
  <c r="AC368" i="2"/>
  <c r="AB368" i="2"/>
  <c r="AA368" i="2"/>
  <c r="Z368" i="2"/>
  <c r="Y368" i="2"/>
  <c r="X368" i="2"/>
  <c r="W368" i="2"/>
  <c r="V368" i="2"/>
  <c r="U368" i="2"/>
  <c r="T368" i="2"/>
  <c r="S368" i="2"/>
  <c r="R368" i="2"/>
  <c r="Q368" i="2"/>
  <c r="P368" i="2"/>
  <c r="O368" i="2"/>
  <c r="N368" i="2"/>
  <c r="M368" i="2"/>
  <c r="L368" i="2"/>
  <c r="K368" i="2"/>
  <c r="J368" i="2"/>
  <c r="I368" i="2"/>
  <c r="H368" i="2"/>
  <c r="G368" i="2"/>
  <c r="F368" i="2"/>
  <c r="A368" i="2"/>
  <c r="A366" i="2"/>
  <c r="A365" i="2"/>
  <c r="A364" i="2"/>
  <c r="A363" i="2"/>
  <c r="A362" i="2"/>
  <c r="EN366" i="2"/>
  <c r="EM366" i="2"/>
  <c r="EL366" i="2"/>
  <c r="EK366" i="2"/>
  <c r="EJ366" i="2"/>
  <c r="EI366" i="2"/>
  <c r="EH366" i="2"/>
  <c r="EG366" i="2"/>
  <c r="EF366" i="2"/>
  <c r="EE366" i="2"/>
  <c r="EN365" i="2"/>
  <c r="EM365" i="2"/>
  <c r="EL365" i="2"/>
  <c r="EK365" i="2"/>
  <c r="EJ365" i="2"/>
  <c r="EI365" i="2"/>
  <c r="EH365" i="2"/>
  <c r="EG365" i="2"/>
  <c r="EF365" i="2"/>
  <c r="EE365" i="2"/>
  <c r="EN364" i="2"/>
  <c r="EM364" i="2"/>
  <c r="EL364" i="2"/>
  <c r="EK364" i="2"/>
  <c r="EJ364" i="2"/>
  <c r="EI364" i="2"/>
  <c r="EH364" i="2"/>
  <c r="EG364" i="2"/>
  <c r="EF364" i="2"/>
  <c r="EE364" i="2"/>
  <c r="EN363" i="2"/>
  <c r="EM363" i="2"/>
  <c r="EL363" i="2"/>
  <c r="EK363" i="2"/>
  <c r="EJ363" i="2"/>
  <c r="EI363" i="2"/>
  <c r="EH363" i="2"/>
  <c r="EG363" i="2"/>
  <c r="EF363" i="2"/>
  <c r="EE363" i="2"/>
  <c r="EN362" i="2"/>
  <c r="EM362" i="2"/>
  <c r="EL362" i="2"/>
  <c r="EK362" i="2"/>
  <c r="EJ362" i="2"/>
  <c r="EI362" i="2"/>
  <c r="EH362" i="2"/>
  <c r="EG362" i="2"/>
  <c r="EF362" i="2"/>
  <c r="EE362" i="2"/>
  <c r="AK366" i="2"/>
  <c r="AJ366" i="2"/>
  <c r="AI366" i="2"/>
  <c r="AH366" i="2"/>
  <c r="AG366" i="2"/>
  <c r="AF366" i="2"/>
  <c r="AE366" i="2"/>
  <c r="AD366" i="2"/>
  <c r="AC366" i="2"/>
  <c r="AB366" i="2"/>
  <c r="AA366" i="2"/>
  <c r="Z366" i="2"/>
  <c r="Y366" i="2"/>
  <c r="X366" i="2"/>
  <c r="W366" i="2"/>
  <c r="V366" i="2"/>
  <c r="U366" i="2"/>
  <c r="T366" i="2"/>
  <c r="S366" i="2"/>
  <c r="R366" i="2"/>
  <c r="Q366" i="2"/>
  <c r="P366" i="2"/>
  <c r="O366" i="2"/>
  <c r="N366" i="2"/>
  <c r="M366" i="2"/>
  <c r="L366" i="2"/>
  <c r="K366" i="2"/>
  <c r="J366" i="2"/>
  <c r="I366" i="2"/>
  <c r="H366" i="2"/>
  <c r="G366" i="2"/>
  <c r="F366" i="2"/>
  <c r="AK365" i="2"/>
  <c r="AJ365" i="2"/>
  <c r="AI365" i="2"/>
  <c r="AH365" i="2"/>
  <c r="AG365" i="2"/>
  <c r="AF365" i="2"/>
  <c r="AE365" i="2"/>
  <c r="AD365" i="2"/>
  <c r="AC365" i="2"/>
  <c r="AB365" i="2"/>
  <c r="AA365" i="2"/>
  <c r="Z365" i="2"/>
  <c r="Y365" i="2"/>
  <c r="X365" i="2"/>
  <c r="W365" i="2"/>
  <c r="V365" i="2"/>
  <c r="U365" i="2"/>
  <c r="T365" i="2"/>
  <c r="S365" i="2"/>
  <c r="R365" i="2"/>
  <c r="Q365" i="2"/>
  <c r="P365" i="2"/>
  <c r="O365" i="2"/>
  <c r="N365" i="2"/>
  <c r="M365" i="2"/>
  <c r="L365" i="2"/>
  <c r="K365" i="2"/>
  <c r="J365" i="2"/>
  <c r="I365" i="2"/>
  <c r="H365" i="2"/>
  <c r="G365" i="2"/>
  <c r="F365" i="2"/>
  <c r="AK364" i="2"/>
  <c r="AJ364" i="2"/>
  <c r="AI364" i="2"/>
  <c r="AH364" i="2"/>
  <c r="AG364" i="2"/>
  <c r="AF364" i="2"/>
  <c r="AE364" i="2"/>
  <c r="AD364" i="2"/>
  <c r="AC364" i="2"/>
  <c r="AB364" i="2"/>
  <c r="AA364" i="2"/>
  <c r="Z364" i="2"/>
  <c r="Y364" i="2"/>
  <c r="X364" i="2"/>
  <c r="W364" i="2"/>
  <c r="V364" i="2"/>
  <c r="U364" i="2"/>
  <c r="T364" i="2"/>
  <c r="S364" i="2"/>
  <c r="R364" i="2"/>
  <c r="Q364" i="2"/>
  <c r="P364" i="2"/>
  <c r="O364" i="2"/>
  <c r="N364" i="2"/>
  <c r="M364" i="2"/>
  <c r="L364" i="2"/>
  <c r="K364" i="2"/>
  <c r="J364" i="2"/>
  <c r="I364" i="2"/>
  <c r="H364" i="2"/>
  <c r="G364" i="2"/>
  <c r="F364" i="2"/>
  <c r="AK363" i="2"/>
  <c r="AJ363" i="2"/>
  <c r="AI363" i="2"/>
  <c r="AH363" i="2"/>
  <c r="AG363" i="2"/>
  <c r="AF363" i="2"/>
  <c r="AE363" i="2"/>
  <c r="AD363" i="2"/>
  <c r="AC363" i="2"/>
  <c r="AB363" i="2"/>
  <c r="AA363" i="2"/>
  <c r="Z363" i="2"/>
  <c r="Y363" i="2"/>
  <c r="X363" i="2"/>
  <c r="W363" i="2"/>
  <c r="V363" i="2"/>
  <c r="U363" i="2"/>
  <c r="T363" i="2"/>
  <c r="S363" i="2"/>
  <c r="R363" i="2"/>
  <c r="Q363" i="2"/>
  <c r="P363" i="2"/>
  <c r="O363" i="2"/>
  <c r="N363" i="2"/>
  <c r="M363" i="2"/>
  <c r="L363" i="2"/>
  <c r="K363" i="2"/>
  <c r="J363" i="2"/>
  <c r="I363" i="2"/>
  <c r="H363" i="2"/>
  <c r="G363" i="2"/>
  <c r="F363" i="2"/>
  <c r="AK362" i="2"/>
  <c r="AJ362" i="2"/>
  <c r="AI362" i="2"/>
  <c r="AH362" i="2"/>
  <c r="AG362" i="2"/>
  <c r="AF362" i="2"/>
  <c r="AE362" i="2"/>
  <c r="AD362" i="2"/>
  <c r="AC362" i="2"/>
  <c r="AB362" i="2"/>
  <c r="AA362" i="2"/>
  <c r="Z362" i="2"/>
  <c r="Y362" i="2"/>
  <c r="X362" i="2"/>
  <c r="W362" i="2"/>
  <c r="V362" i="2"/>
  <c r="U362" i="2"/>
  <c r="T362" i="2"/>
  <c r="S362" i="2"/>
  <c r="R362" i="2"/>
  <c r="Q362" i="2"/>
  <c r="P362" i="2"/>
  <c r="O362" i="2"/>
  <c r="N362" i="2"/>
  <c r="M362" i="2"/>
  <c r="L362" i="2"/>
  <c r="K362" i="2"/>
  <c r="J362" i="2"/>
  <c r="I362" i="2"/>
  <c r="H362" i="2"/>
  <c r="G362" i="2"/>
  <c r="F362" i="2"/>
  <c r="A357" i="2"/>
  <c r="A350" i="2"/>
  <c r="A349" i="2"/>
  <c r="A348" i="2"/>
  <c r="A347" i="2"/>
  <c r="A346" i="2"/>
  <c r="A345" i="2"/>
  <c r="A344" i="2"/>
  <c r="A343" i="2"/>
  <c r="A342" i="2"/>
  <c r="A341" i="2"/>
  <c r="A340" i="2"/>
  <c r="FH350" i="2"/>
  <c r="FG350" i="2"/>
  <c r="FF350" i="2"/>
  <c r="FE350" i="2"/>
  <c r="FD350" i="2"/>
  <c r="FC350" i="2"/>
  <c r="FB350" i="2"/>
  <c r="FA350" i="2"/>
  <c r="EZ350" i="2"/>
  <c r="EY350" i="2"/>
  <c r="EX350" i="2"/>
  <c r="EW350" i="2"/>
  <c r="EV350" i="2"/>
  <c r="EU350" i="2"/>
  <c r="ET350" i="2"/>
  <c r="ES350" i="2"/>
  <c r="ER350" i="2"/>
  <c r="EQ350" i="2"/>
  <c r="EP350" i="2"/>
  <c r="EO350" i="2"/>
  <c r="EN350" i="2"/>
  <c r="EM350" i="2"/>
  <c r="EL350" i="2"/>
  <c r="EK350" i="2"/>
  <c r="EJ350" i="2"/>
  <c r="EI350" i="2"/>
  <c r="FH349" i="2"/>
  <c r="FG349" i="2"/>
  <c r="FF349" i="2"/>
  <c r="FE349" i="2"/>
  <c r="FD349" i="2"/>
  <c r="FC349" i="2"/>
  <c r="FB349" i="2"/>
  <c r="FA349" i="2"/>
  <c r="EZ349" i="2"/>
  <c r="EY349" i="2"/>
  <c r="EX349" i="2"/>
  <c r="EW349" i="2"/>
  <c r="EV349" i="2"/>
  <c r="EU349" i="2"/>
  <c r="ET349" i="2"/>
  <c r="ES349" i="2"/>
  <c r="ER349" i="2"/>
  <c r="EQ349" i="2"/>
  <c r="EP349" i="2"/>
  <c r="EO349" i="2"/>
  <c r="EN349" i="2"/>
  <c r="EM349" i="2"/>
  <c r="EL349" i="2"/>
  <c r="EK349" i="2"/>
  <c r="EJ349" i="2"/>
  <c r="EI349" i="2"/>
  <c r="FS348" i="2"/>
  <c r="FR348" i="2"/>
  <c r="FQ348" i="2"/>
  <c r="FP348" i="2"/>
  <c r="FO348" i="2"/>
  <c r="FN348" i="2"/>
  <c r="FM348" i="2"/>
  <c r="FL348" i="2"/>
  <c r="FK348" i="2"/>
  <c r="FJ348" i="2"/>
  <c r="FI348" i="2"/>
  <c r="FH348" i="2"/>
  <c r="FG348" i="2"/>
  <c r="FF348" i="2"/>
  <c r="FE348" i="2"/>
  <c r="FD348" i="2"/>
  <c r="FC348" i="2"/>
  <c r="FB348" i="2"/>
  <c r="FA348" i="2"/>
  <c r="EZ348" i="2"/>
  <c r="EY348" i="2"/>
  <c r="EX348" i="2"/>
  <c r="EW348" i="2"/>
  <c r="EV348" i="2"/>
  <c r="EU348" i="2"/>
  <c r="ET348" i="2"/>
  <c r="ES348" i="2"/>
  <c r="ER348" i="2"/>
  <c r="EQ348" i="2"/>
  <c r="EP348" i="2"/>
  <c r="EO348" i="2"/>
  <c r="EN348" i="2"/>
  <c r="EM348" i="2"/>
  <c r="EL348" i="2"/>
  <c r="EK348" i="2"/>
  <c r="EJ348" i="2"/>
  <c r="EI348" i="2"/>
  <c r="FH347" i="2"/>
  <c r="FG347" i="2"/>
  <c r="FF347" i="2"/>
  <c r="FE347" i="2"/>
  <c r="FD347" i="2"/>
  <c r="FC347" i="2"/>
  <c r="FB347" i="2"/>
  <c r="FA347" i="2"/>
  <c r="EZ347" i="2"/>
  <c r="EY347" i="2"/>
  <c r="EX347" i="2"/>
  <c r="EW347" i="2"/>
  <c r="EV347" i="2"/>
  <c r="EU347" i="2"/>
  <c r="ET347" i="2"/>
  <c r="ES347" i="2"/>
  <c r="ER347" i="2"/>
  <c r="EQ347" i="2"/>
  <c r="EP347" i="2"/>
  <c r="EO347" i="2"/>
  <c r="EN347" i="2"/>
  <c r="EM347" i="2"/>
  <c r="EL347" i="2"/>
  <c r="EK347" i="2"/>
  <c r="EJ347" i="2"/>
  <c r="EI347" i="2"/>
  <c r="FS346" i="2"/>
  <c r="FR346" i="2"/>
  <c r="FQ346" i="2"/>
  <c r="FP346" i="2"/>
  <c r="FO346" i="2"/>
  <c r="FN346" i="2"/>
  <c r="FM346" i="2"/>
  <c r="FL346" i="2"/>
  <c r="FK346" i="2"/>
  <c r="FJ346" i="2"/>
  <c r="FI346" i="2"/>
  <c r="FH346" i="2"/>
  <c r="FG346" i="2"/>
  <c r="FF346" i="2"/>
  <c r="FE346" i="2"/>
  <c r="FD346" i="2"/>
  <c r="FC346" i="2"/>
  <c r="FB346" i="2"/>
  <c r="FA346" i="2"/>
  <c r="EZ346" i="2"/>
  <c r="EY346" i="2"/>
  <c r="EX346" i="2"/>
  <c r="EW346" i="2"/>
  <c r="EV346" i="2"/>
  <c r="EU346" i="2"/>
  <c r="ET346" i="2"/>
  <c r="ES346" i="2"/>
  <c r="ER346" i="2"/>
  <c r="EQ346" i="2"/>
  <c r="EP346" i="2"/>
  <c r="EO346" i="2"/>
  <c r="EN346" i="2"/>
  <c r="EM346" i="2"/>
  <c r="EL346" i="2"/>
  <c r="EK346" i="2"/>
  <c r="EJ346" i="2"/>
  <c r="EI346" i="2"/>
  <c r="FS345" i="2"/>
  <c r="FR345" i="2"/>
  <c r="FQ345" i="2"/>
  <c r="FP345" i="2"/>
  <c r="FO345" i="2"/>
  <c r="FN345" i="2"/>
  <c r="FM345" i="2"/>
  <c r="FL345" i="2"/>
  <c r="FK345" i="2"/>
  <c r="FJ345" i="2"/>
  <c r="FI345" i="2"/>
  <c r="FH345" i="2"/>
  <c r="FG345" i="2"/>
  <c r="FF345" i="2"/>
  <c r="FE345" i="2"/>
  <c r="FD345" i="2"/>
  <c r="FC345" i="2"/>
  <c r="FB345" i="2"/>
  <c r="FA345" i="2"/>
  <c r="EZ345" i="2"/>
  <c r="EY345" i="2"/>
  <c r="EX345" i="2"/>
  <c r="EW345" i="2"/>
  <c r="EV345" i="2"/>
  <c r="EU345" i="2"/>
  <c r="ET345" i="2"/>
  <c r="ES345" i="2"/>
  <c r="ER345" i="2"/>
  <c r="EQ345" i="2"/>
  <c r="EP345" i="2"/>
  <c r="EO345" i="2"/>
  <c r="EN345" i="2"/>
  <c r="EM345" i="2"/>
  <c r="EL345" i="2"/>
  <c r="EK345" i="2"/>
  <c r="EJ345" i="2"/>
  <c r="EI345" i="2"/>
  <c r="FH344" i="2"/>
  <c r="FG344" i="2"/>
  <c r="FF344" i="2"/>
  <c r="FE344" i="2"/>
  <c r="FD344" i="2"/>
  <c r="FC344" i="2"/>
  <c r="FB344" i="2"/>
  <c r="FA344" i="2"/>
  <c r="EZ344" i="2"/>
  <c r="EY344" i="2"/>
  <c r="EX344" i="2"/>
  <c r="EW344" i="2"/>
  <c r="EV344" i="2"/>
  <c r="EU344" i="2"/>
  <c r="ET344" i="2"/>
  <c r="ES344" i="2"/>
  <c r="ER344" i="2"/>
  <c r="EQ344" i="2"/>
  <c r="EP344" i="2"/>
  <c r="EO344" i="2"/>
  <c r="EN344" i="2"/>
  <c r="EM344" i="2"/>
  <c r="EL344" i="2"/>
  <c r="EK344" i="2"/>
  <c r="EJ344" i="2"/>
  <c r="EI344" i="2"/>
  <c r="FH343" i="2"/>
  <c r="FG343" i="2"/>
  <c r="FF343" i="2"/>
  <c r="FE343" i="2"/>
  <c r="FD343" i="2"/>
  <c r="FC343" i="2"/>
  <c r="FB343" i="2"/>
  <c r="FA343" i="2"/>
  <c r="EZ343" i="2"/>
  <c r="EY343" i="2"/>
  <c r="EX343" i="2"/>
  <c r="EW343" i="2"/>
  <c r="EV343" i="2"/>
  <c r="EU343" i="2"/>
  <c r="ET343" i="2"/>
  <c r="ES343" i="2"/>
  <c r="ER343" i="2"/>
  <c r="EQ343" i="2"/>
  <c r="EP343" i="2"/>
  <c r="EO343" i="2"/>
  <c r="EN343" i="2"/>
  <c r="EM343" i="2"/>
  <c r="EL343" i="2"/>
  <c r="EK343" i="2"/>
  <c r="EJ343" i="2"/>
  <c r="EI343" i="2"/>
  <c r="FS342" i="2"/>
  <c r="FR342" i="2"/>
  <c r="FQ342" i="2"/>
  <c r="FP342" i="2"/>
  <c r="FO342" i="2"/>
  <c r="FN342" i="2"/>
  <c r="FM342" i="2"/>
  <c r="FL342" i="2"/>
  <c r="FK342" i="2"/>
  <c r="FJ342" i="2"/>
  <c r="FI342" i="2"/>
  <c r="FH342" i="2"/>
  <c r="FG342" i="2"/>
  <c r="FF342" i="2"/>
  <c r="FE342" i="2"/>
  <c r="FD342" i="2"/>
  <c r="FC342" i="2"/>
  <c r="FB342" i="2"/>
  <c r="FA342" i="2"/>
  <c r="EZ342" i="2"/>
  <c r="EY342" i="2"/>
  <c r="EX342" i="2"/>
  <c r="EW342" i="2"/>
  <c r="EV342" i="2"/>
  <c r="EU342" i="2"/>
  <c r="ET342" i="2"/>
  <c r="ES342" i="2"/>
  <c r="ER342" i="2"/>
  <c r="EQ342" i="2"/>
  <c r="EP342" i="2"/>
  <c r="EO342" i="2"/>
  <c r="EN342" i="2"/>
  <c r="EM342" i="2"/>
  <c r="EL342" i="2"/>
  <c r="EK342" i="2"/>
  <c r="EJ342" i="2"/>
  <c r="EI342" i="2"/>
  <c r="FJ341" i="2"/>
  <c r="FI341" i="2"/>
  <c r="FH341" i="2"/>
  <c r="FG341" i="2"/>
  <c r="FF341" i="2"/>
  <c r="FE341" i="2"/>
  <c r="FD341" i="2"/>
  <c r="FC341" i="2"/>
  <c r="FB341" i="2"/>
  <c r="FA341" i="2"/>
  <c r="EZ341" i="2"/>
  <c r="EY341" i="2"/>
  <c r="EX341" i="2"/>
  <c r="EW341" i="2"/>
  <c r="EV341" i="2"/>
  <c r="EU341" i="2"/>
  <c r="ET341" i="2"/>
  <c r="ES341" i="2"/>
  <c r="ER341" i="2"/>
  <c r="EQ341" i="2"/>
  <c r="EP341" i="2"/>
  <c r="EO341" i="2"/>
  <c r="EN341" i="2"/>
  <c r="EM341" i="2"/>
  <c r="EL341" i="2"/>
  <c r="EK341" i="2"/>
  <c r="EJ341" i="2"/>
  <c r="EI341" i="2"/>
  <c r="DY350" i="2"/>
  <c r="DW350" i="2"/>
  <c r="DU350" i="2"/>
  <c r="DS350" i="2"/>
  <c r="DR350" i="2"/>
  <c r="DQ350" i="2"/>
  <c r="DP350" i="2"/>
  <c r="DO350" i="2"/>
  <c r="DN350" i="2"/>
  <c r="DM350" i="2"/>
  <c r="DL350" i="2"/>
  <c r="DK350" i="2"/>
  <c r="DJ350" i="2"/>
  <c r="DI350" i="2"/>
  <c r="DH350" i="2"/>
  <c r="DG350" i="2"/>
  <c r="DF350" i="2"/>
  <c r="DE350" i="2"/>
  <c r="DD350" i="2"/>
  <c r="DC350" i="2"/>
  <c r="DB350" i="2"/>
  <c r="DA350" i="2"/>
  <c r="CZ350" i="2"/>
  <c r="CY350" i="2"/>
  <c r="CX350" i="2"/>
  <c r="CW350" i="2"/>
  <c r="CV350" i="2"/>
  <c r="CU350" i="2"/>
  <c r="CT350" i="2"/>
  <c r="CS350" i="2"/>
  <c r="CR350" i="2"/>
  <c r="CQ350" i="2"/>
  <c r="CP350" i="2"/>
  <c r="CO350" i="2"/>
  <c r="CN350" i="2"/>
  <c r="CM350" i="2"/>
  <c r="CL350" i="2"/>
  <c r="CK350" i="2"/>
  <c r="CJ350" i="2"/>
  <c r="CI350" i="2"/>
  <c r="CH350" i="2"/>
  <c r="CG350" i="2"/>
  <c r="CF350" i="2"/>
  <c r="CE350" i="2"/>
  <c r="CD350" i="2"/>
  <c r="CC350" i="2"/>
  <c r="CB350" i="2"/>
  <c r="CA350" i="2"/>
  <c r="BZ350" i="2"/>
  <c r="BY350" i="2"/>
  <c r="BX350" i="2"/>
  <c r="BW350" i="2"/>
  <c r="BV350" i="2"/>
  <c r="BU350" i="2"/>
  <c r="BT350" i="2"/>
  <c r="BS350" i="2"/>
  <c r="BR350" i="2"/>
  <c r="BQ350" i="2"/>
  <c r="BP350" i="2"/>
  <c r="BO350" i="2"/>
  <c r="BN350" i="2"/>
  <c r="BM350" i="2"/>
  <c r="BL350" i="2"/>
  <c r="BK350" i="2"/>
  <c r="BJ350" i="2"/>
  <c r="BI350" i="2"/>
  <c r="BH350" i="2"/>
  <c r="BG350" i="2"/>
  <c r="BF350" i="2"/>
  <c r="BE350" i="2"/>
  <c r="BD350" i="2"/>
  <c r="BC350" i="2"/>
  <c r="BB350" i="2"/>
  <c r="BA350" i="2"/>
  <c r="AZ350" i="2"/>
  <c r="AY350" i="2"/>
  <c r="AX350" i="2"/>
  <c r="AW350" i="2"/>
  <c r="AV350" i="2"/>
  <c r="AU350" i="2"/>
  <c r="AT350" i="2"/>
  <c r="AS350" i="2"/>
  <c r="AR350" i="2"/>
  <c r="AQ350" i="2"/>
  <c r="AP350" i="2"/>
  <c r="AO350" i="2"/>
  <c r="AN350" i="2"/>
  <c r="AM350" i="2"/>
  <c r="AL350" i="2"/>
  <c r="AK350" i="2"/>
  <c r="AJ350" i="2"/>
  <c r="AI350" i="2"/>
  <c r="AH350" i="2"/>
  <c r="AG350" i="2"/>
  <c r="AF350" i="2"/>
  <c r="AE350" i="2"/>
  <c r="AD350" i="2"/>
  <c r="AC350" i="2"/>
  <c r="AB350" i="2"/>
  <c r="AA350" i="2"/>
  <c r="Z350" i="2"/>
  <c r="Y350" i="2"/>
  <c r="X350" i="2"/>
  <c r="W350" i="2"/>
  <c r="V350" i="2"/>
  <c r="DQ349" i="2"/>
  <c r="DP349" i="2"/>
  <c r="DO349" i="2"/>
  <c r="DN349" i="2"/>
  <c r="DM349" i="2"/>
  <c r="DL349" i="2"/>
  <c r="DK349" i="2"/>
  <c r="DJ349" i="2"/>
  <c r="DI349" i="2"/>
  <c r="DH349" i="2"/>
  <c r="DG349" i="2"/>
  <c r="DF349" i="2"/>
  <c r="DE349" i="2"/>
  <c r="DD349" i="2"/>
  <c r="DC349" i="2"/>
  <c r="DB349" i="2"/>
  <c r="DA349" i="2"/>
  <c r="CZ349" i="2"/>
  <c r="CY349" i="2"/>
  <c r="CX349" i="2"/>
  <c r="CW349" i="2"/>
  <c r="CV349" i="2"/>
  <c r="CU349" i="2"/>
  <c r="CT349" i="2"/>
  <c r="CS349" i="2"/>
  <c r="CR349" i="2"/>
  <c r="CQ349" i="2"/>
  <c r="CP349" i="2"/>
  <c r="CO349" i="2"/>
  <c r="CN349" i="2"/>
  <c r="CM349" i="2"/>
  <c r="CL349" i="2"/>
  <c r="CK349" i="2"/>
  <c r="CJ349" i="2"/>
  <c r="CI349" i="2"/>
  <c r="CH349" i="2"/>
  <c r="CG349" i="2"/>
  <c r="CF349" i="2"/>
  <c r="CE349" i="2"/>
  <c r="CD349" i="2"/>
  <c r="CC349" i="2"/>
  <c r="CB349" i="2"/>
  <c r="CA349" i="2"/>
  <c r="BZ349" i="2"/>
  <c r="BY349" i="2"/>
  <c r="BX349" i="2"/>
  <c r="BW349" i="2"/>
  <c r="BV349" i="2"/>
  <c r="BU349" i="2"/>
  <c r="BT349" i="2"/>
  <c r="BS349" i="2"/>
  <c r="BR349" i="2"/>
  <c r="BQ349" i="2"/>
  <c r="BP349" i="2"/>
  <c r="BO349" i="2"/>
  <c r="BN349" i="2"/>
  <c r="BM349" i="2"/>
  <c r="BL349" i="2"/>
  <c r="BK349" i="2"/>
  <c r="BJ349" i="2"/>
  <c r="BI349" i="2"/>
  <c r="BH349" i="2"/>
  <c r="BG349" i="2"/>
  <c r="BF349" i="2"/>
  <c r="BE349" i="2"/>
  <c r="BD349" i="2"/>
  <c r="BC349" i="2"/>
  <c r="BB349" i="2"/>
  <c r="BA349" i="2"/>
  <c r="AZ349" i="2"/>
  <c r="AY349" i="2"/>
  <c r="AX349" i="2"/>
  <c r="AW349" i="2"/>
  <c r="AV349" i="2"/>
  <c r="AU349" i="2"/>
  <c r="AT349" i="2"/>
  <c r="AS349" i="2"/>
  <c r="AR349" i="2"/>
  <c r="AQ349" i="2"/>
  <c r="AP349" i="2"/>
  <c r="AO349" i="2"/>
  <c r="AN349" i="2"/>
  <c r="AM349" i="2"/>
  <c r="AL349" i="2"/>
  <c r="AK349" i="2"/>
  <c r="AJ349" i="2"/>
  <c r="AI349" i="2"/>
  <c r="AH349" i="2"/>
  <c r="AG349" i="2"/>
  <c r="AF349" i="2"/>
  <c r="AE349" i="2"/>
  <c r="AD349" i="2"/>
  <c r="AC349" i="2"/>
  <c r="AB349" i="2"/>
  <c r="AA349" i="2"/>
  <c r="Z349" i="2"/>
  <c r="Y349" i="2"/>
  <c r="X349" i="2"/>
  <c r="W349" i="2"/>
  <c r="V349" i="2"/>
  <c r="DY348" i="2"/>
  <c r="DX348" i="2"/>
  <c r="DW348" i="2"/>
  <c r="DV348" i="2"/>
  <c r="DU348" i="2"/>
  <c r="DT348" i="2"/>
  <c r="DS348" i="2"/>
  <c r="DR348" i="2"/>
  <c r="DQ348" i="2"/>
  <c r="DP348" i="2"/>
  <c r="DO348" i="2"/>
  <c r="DN348" i="2"/>
  <c r="DM348" i="2"/>
  <c r="DL348" i="2"/>
  <c r="DK348" i="2"/>
  <c r="DJ348" i="2"/>
  <c r="DI348" i="2"/>
  <c r="DH348" i="2"/>
  <c r="DG348" i="2"/>
  <c r="DF348" i="2"/>
  <c r="DE348" i="2"/>
  <c r="DD348" i="2"/>
  <c r="DC348" i="2"/>
  <c r="DB348" i="2"/>
  <c r="DA348" i="2"/>
  <c r="CZ348" i="2"/>
  <c r="CY348" i="2"/>
  <c r="CX348" i="2"/>
  <c r="CW348" i="2"/>
  <c r="CV348" i="2"/>
  <c r="CU348" i="2"/>
  <c r="CT348" i="2"/>
  <c r="CS348" i="2"/>
  <c r="CR348" i="2"/>
  <c r="CQ348" i="2"/>
  <c r="CP348" i="2"/>
  <c r="CO348" i="2"/>
  <c r="CN348" i="2"/>
  <c r="CM348" i="2"/>
  <c r="CL348" i="2"/>
  <c r="CK348" i="2"/>
  <c r="CJ348" i="2"/>
  <c r="CI348" i="2"/>
  <c r="CH348" i="2"/>
  <c r="CG348" i="2"/>
  <c r="CF348" i="2"/>
  <c r="CE348" i="2"/>
  <c r="CD348" i="2"/>
  <c r="CC348" i="2"/>
  <c r="CB348" i="2"/>
  <c r="CA348" i="2"/>
  <c r="BZ348" i="2"/>
  <c r="BY348" i="2"/>
  <c r="BX348" i="2"/>
  <c r="BW348" i="2"/>
  <c r="BV348" i="2"/>
  <c r="BU348" i="2"/>
  <c r="BT348" i="2"/>
  <c r="BS348" i="2"/>
  <c r="BR348" i="2"/>
  <c r="BQ348" i="2"/>
  <c r="BP348" i="2"/>
  <c r="BO348" i="2"/>
  <c r="BN348" i="2"/>
  <c r="BM348" i="2"/>
  <c r="BL348" i="2"/>
  <c r="BK348" i="2"/>
  <c r="BJ348" i="2"/>
  <c r="BI348" i="2"/>
  <c r="BH348" i="2"/>
  <c r="BG348" i="2"/>
  <c r="BF348" i="2"/>
  <c r="BE348" i="2"/>
  <c r="BD348" i="2"/>
  <c r="BC348" i="2"/>
  <c r="BB348" i="2"/>
  <c r="BA348" i="2"/>
  <c r="AZ348" i="2"/>
  <c r="AY348" i="2"/>
  <c r="AX348" i="2"/>
  <c r="AW348" i="2"/>
  <c r="AV348" i="2"/>
  <c r="AU348" i="2"/>
  <c r="AT348" i="2"/>
  <c r="AS348" i="2"/>
  <c r="AR348" i="2"/>
  <c r="AQ348" i="2"/>
  <c r="AP348" i="2"/>
  <c r="AO348" i="2"/>
  <c r="AN348" i="2"/>
  <c r="AM348" i="2"/>
  <c r="AL348" i="2"/>
  <c r="AK348" i="2"/>
  <c r="AJ348" i="2"/>
  <c r="AI348" i="2"/>
  <c r="AH348" i="2"/>
  <c r="AG348" i="2"/>
  <c r="AF348" i="2"/>
  <c r="AE348" i="2"/>
  <c r="AD348" i="2"/>
  <c r="AC348" i="2"/>
  <c r="AB348" i="2"/>
  <c r="AA348" i="2"/>
  <c r="Z348" i="2"/>
  <c r="Y348" i="2"/>
  <c r="X348" i="2"/>
  <c r="W348" i="2"/>
  <c r="V348" i="2"/>
  <c r="DQ347" i="2"/>
  <c r="DP347" i="2"/>
  <c r="DO347" i="2"/>
  <c r="DN347" i="2"/>
  <c r="DM347" i="2"/>
  <c r="DL347" i="2"/>
  <c r="DK347" i="2"/>
  <c r="DJ347" i="2"/>
  <c r="DI347" i="2"/>
  <c r="DH347" i="2"/>
  <c r="DG347" i="2"/>
  <c r="DF347" i="2"/>
  <c r="DE347" i="2"/>
  <c r="DD347" i="2"/>
  <c r="DC347" i="2"/>
  <c r="DB347" i="2"/>
  <c r="DA347" i="2"/>
  <c r="CZ347" i="2"/>
  <c r="CY347" i="2"/>
  <c r="CX347" i="2"/>
  <c r="CW347" i="2"/>
  <c r="CV347" i="2"/>
  <c r="CU347" i="2"/>
  <c r="CT347" i="2"/>
  <c r="CS347" i="2"/>
  <c r="CR347" i="2"/>
  <c r="CQ347" i="2"/>
  <c r="CP347" i="2"/>
  <c r="CO347" i="2"/>
  <c r="CN347" i="2"/>
  <c r="CM347" i="2"/>
  <c r="CL347" i="2"/>
  <c r="CK347" i="2"/>
  <c r="CJ347" i="2"/>
  <c r="CI347" i="2"/>
  <c r="CH347" i="2"/>
  <c r="CG347" i="2"/>
  <c r="CF347" i="2"/>
  <c r="CE347" i="2"/>
  <c r="CD347" i="2"/>
  <c r="CC347" i="2"/>
  <c r="CB347" i="2"/>
  <c r="CA347" i="2"/>
  <c r="BZ347" i="2"/>
  <c r="BY347" i="2"/>
  <c r="BX347" i="2"/>
  <c r="BW347" i="2"/>
  <c r="BV347" i="2"/>
  <c r="BU347" i="2"/>
  <c r="BT347" i="2"/>
  <c r="BS347" i="2"/>
  <c r="BR347" i="2"/>
  <c r="BQ347" i="2"/>
  <c r="BP347" i="2"/>
  <c r="BO347" i="2"/>
  <c r="BN347" i="2"/>
  <c r="BM347" i="2"/>
  <c r="BL347" i="2"/>
  <c r="BK347" i="2"/>
  <c r="BJ347" i="2"/>
  <c r="BI347" i="2"/>
  <c r="BH347" i="2"/>
  <c r="BG347" i="2"/>
  <c r="BF347" i="2"/>
  <c r="BE347" i="2"/>
  <c r="BD347" i="2"/>
  <c r="BC347" i="2"/>
  <c r="BB347" i="2"/>
  <c r="BA347" i="2"/>
  <c r="AZ347" i="2"/>
  <c r="AY347" i="2"/>
  <c r="AX347" i="2"/>
  <c r="AW347" i="2"/>
  <c r="AV347" i="2"/>
  <c r="AU347" i="2"/>
  <c r="AT347" i="2"/>
  <c r="AS347" i="2"/>
  <c r="AR347" i="2"/>
  <c r="AQ347" i="2"/>
  <c r="AP347" i="2"/>
  <c r="AO347" i="2"/>
  <c r="AN347" i="2"/>
  <c r="AM347" i="2"/>
  <c r="AL347" i="2"/>
  <c r="AK347" i="2"/>
  <c r="AJ347" i="2"/>
  <c r="AI347" i="2"/>
  <c r="AH347" i="2"/>
  <c r="AG347" i="2"/>
  <c r="AF347" i="2"/>
  <c r="AE347" i="2"/>
  <c r="AD347" i="2"/>
  <c r="AC347" i="2"/>
  <c r="AB347" i="2"/>
  <c r="AA347" i="2"/>
  <c r="Z347" i="2"/>
  <c r="Y347" i="2"/>
  <c r="X347" i="2"/>
  <c r="W347" i="2"/>
  <c r="V347" i="2"/>
  <c r="DY346" i="2"/>
  <c r="DX346" i="2"/>
  <c r="DW346" i="2"/>
  <c r="DV346" i="2"/>
  <c r="DU346" i="2"/>
  <c r="DT346" i="2"/>
  <c r="DS346" i="2"/>
  <c r="DR346" i="2"/>
  <c r="DQ346" i="2"/>
  <c r="DP346" i="2"/>
  <c r="DO346" i="2"/>
  <c r="DN346" i="2"/>
  <c r="DM346" i="2"/>
  <c r="DL346" i="2"/>
  <c r="DK346" i="2"/>
  <c r="DJ346" i="2"/>
  <c r="DI346" i="2"/>
  <c r="DH346" i="2"/>
  <c r="DG346" i="2"/>
  <c r="DF346" i="2"/>
  <c r="DE346" i="2"/>
  <c r="DD346" i="2"/>
  <c r="DC346" i="2"/>
  <c r="DB346" i="2"/>
  <c r="DA346" i="2"/>
  <c r="CZ346" i="2"/>
  <c r="CY346" i="2"/>
  <c r="CX346" i="2"/>
  <c r="CW346" i="2"/>
  <c r="CV346" i="2"/>
  <c r="CU346" i="2"/>
  <c r="CT346" i="2"/>
  <c r="CS346" i="2"/>
  <c r="CR346" i="2"/>
  <c r="CQ346" i="2"/>
  <c r="CP346" i="2"/>
  <c r="CO346" i="2"/>
  <c r="CN346" i="2"/>
  <c r="CM346" i="2"/>
  <c r="CL346" i="2"/>
  <c r="CK346" i="2"/>
  <c r="CJ346" i="2"/>
  <c r="CI346" i="2"/>
  <c r="CH346" i="2"/>
  <c r="CG346" i="2"/>
  <c r="CF346" i="2"/>
  <c r="CE346" i="2"/>
  <c r="CD346" i="2"/>
  <c r="CC346" i="2"/>
  <c r="CB346" i="2"/>
  <c r="CA346" i="2"/>
  <c r="BZ346" i="2"/>
  <c r="BY346" i="2"/>
  <c r="BX346" i="2"/>
  <c r="BW346" i="2"/>
  <c r="BV346" i="2"/>
  <c r="BU346" i="2"/>
  <c r="BT346" i="2"/>
  <c r="BS346" i="2"/>
  <c r="BR346" i="2"/>
  <c r="BQ346" i="2"/>
  <c r="BP346" i="2"/>
  <c r="BO346" i="2"/>
  <c r="BN346" i="2"/>
  <c r="BM346" i="2"/>
  <c r="BL346" i="2"/>
  <c r="BK346" i="2"/>
  <c r="BJ346" i="2"/>
  <c r="BI346" i="2"/>
  <c r="BH346" i="2"/>
  <c r="BG346" i="2"/>
  <c r="BF346" i="2"/>
  <c r="BE346" i="2"/>
  <c r="BD346" i="2"/>
  <c r="BC346" i="2"/>
  <c r="BB346" i="2"/>
  <c r="BA346" i="2"/>
  <c r="AZ346" i="2"/>
  <c r="AY346" i="2"/>
  <c r="AX346" i="2"/>
  <c r="AW346" i="2"/>
  <c r="AV346" i="2"/>
  <c r="AU346" i="2"/>
  <c r="AT346" i="2"/>
  <c r="AS346" i="2"/>
  <c r="AR346" i="2"/>
  <c r="AQ346" i="2"/>
  <c r="AP346" i="2"/>
  <c r="AO346" i="2"/>
  <c r="AN346" i="2"/>
  <c r="AM346" i="2"/>
  <c r="AL346" i="2"/>
  <c r="AK346" i="2"/>
  <c r="AJ346" i="2"/>
  <c r="AI346" i="2"/>
  <c r="AH346" i="2"/>
  <c r="AG346" i="2"/>
  <c r="AF346" i="2"/>
  <c r="AE346" i="2"/>
  <c r="AD346" i="2"/>
  <c r="AC346" i="2"/>
  <c r="AB346" i="2"/>
  <c r="AA346" i="2"/>
  <c r="Z346" i="2"/>
  <c r="Y346" i="2"/>
  <c r="X346" i="2"/>
  <c r="W346" i="2"/>
  <c r="V346" i="2"/>
  <c r="DY345" i="2"/>
  <c r="DX345" i="2"/>
  <c r="DW345" i="2"/>
  <c r="DV345" i="2"/>
  <c r="DU345" i="2"/>
  <c r="DT345" i="2"/>
  <c r="DS345" i="2"/>
  <c r="DR345" i="2"/>
  <c r="DQ345" i="2"/>
  <c r="DP345" i="2"/>
  <c r="DO345" i="2"/>
  <c r="DN345" i="2"/>
  <c r="DM345" i="2"/>
  <c r="DL345" i="2"/>
  <c r="DK345" i="2"/>
  <c r="DJ345" i="2"/>
  <c r="DI345" i="2"/>
  <c r="DH345" i="2"/>
  <c r="DG345" i="2"/>
  <c r="DF345" i="2"/>
  <c r="DE345" i="2"/>
  <c r="DD345" i="2"/>
  <c r="DC345" i="2"/>
  <c r="DB345" i="2"/>
  <c r="DA345" i="2"/>
  <c r="CZ345" i="2"/>
  <c r="CY345" i="2"/>
  <c r="CX345" i="2"/>
  <c r="CW345" i="2"/>
  <c r="CV345" i="2"/>
  <c r="CU345" i="2"/>
  <c r="CT345" i="2"/>
  <c r="CS345" i="2"/>
  <c r="CR345" i="2"/>
  <c r="CQ345" i="2"/>
  <c r="CP345" i="2"/>
  <c r="CO345" i="2"/>
  <c r="CN345" i="2"/>
  <c r="CM345" i="2"/>
  <c r="CL345" i="2"/>
  <c r="CK345" i="2"/>
  <c r="CJ345" i="2"/>
  <c r="CI345" i="2"/>
  <c r="CH345" i="2"/>
  <c r="CG345" i="2"/>
  <c r="CF345" i="2"/>
  <c r="CE345" i="2"/>
  <c r="CD345" i="2"/>
  <c r="CC345" i="2"/>
  <c r="CB345" i="2"/>
  <c r="CA345" i="2"/>
  <c r="BZ345" i="2"/>
  <c r="BY345" i="2"/>
  <c r="BX345" i="2"/>
  <c r="BW345" i="2"/>
  <c r="BV345" i="2"/>
  <c r="BU345" i="2"/>
  <c r="BT345" i="2"/>
  <c r="BS345" i="2"/>
  <c r="BR345" i="2"/>
  <c r="BQ345" i="2"/>
  <c r="BP345" i="2"/>
  <c r="BO345" i="2"/>
  <c r="BN345" i="2"/>
  <c r="BM345" i="2"/>
  <c r="BL345" i="2"/>
  <c r="BK345" i="2"/>
  <c r="BJ345" i="2"/>
  <c r="BI345" i="2"/>
  <c r="BH345" i="2"/>
  <c r="BG345" i="2"/>
  <c r="BF345" i="2"/>
  <c r="BE345" i="2"/>
  <c r="BD345" i="2"/>
  <c r="BC345" i="2"/>
  <c r="BB345" i="2"/>
  <c r="BA345" i="2"/>
  <c r="AZ345" i="2"/>
  <c r="AY345" i="2"/>
  <c r="AX345" i="2"/>
  <c r="AW345" i="2"/>
  <c r="AV345" i="2"/>
  <c r="AU345" i="2"/>
  <c r="AT345" i="2"/>
  <c r="AS345" i="2"/>
  <c r="AR345" i="2"/>
  <c r="AQ345" i="2"/>
  <c r="AP345" i="2"/>
  <c r="AO345" i="2"/>
  <c r="AN345" i="2"/>
  <c r="AM345" i="2"/>
  <c r="AL345" i="2"/>
  <c r="AK345" i="2"/>
  <c r="AJ345" i="2"/>
  <c r="AI345" i="2"/>
  <c r="AH345" i="2"/>
  <c r="AG345" i="2"/>
  <c r="AF345" i="2"/>
  <c r="AE345" i="2"/>
  <c r="AD345" i="2"/>
  <c r="AC345" i="2"/>
  <c r="AB345" i="2"/>
  <c r="AA345" i="2"/>
  <c r="Z345" i="2"/>
  <c r="Y345" i="2"/>
  <c r="X345" i="2"/>
  <c r="W345" i="2"/>
  <c r="V345" i="2"/>
  <c r="DQ344" i="2"/>
  <c r="DP344" i="2"/>
  <c r="DO344" i="2"/>
  <c r="DN344" i="2"/>
  <c r="DM344" i="2"/>
  <c r="DL344" i="2"/>
  <c r="DK344" i="2"/>
  <c r="DJ344" i="2"/>
  <c r="DI344" i="2"/>
  <c r="DH344" i="2"/>
  <c r="DG344" i="2"/>
  <c r="DF344" i="2"/>
  <c r="DE344" i="2"/>
  <c r="DD344" i="2"/>
  <c r="DC344" i="2"/>
  <c r="DB344" i="2"/>
  <c r="DA344" i="2"/>
  <c r="CZ344" i="2"/>
  <c r="CY344" i="2"/>
  <c r="CX344" i="2"/>
  <c r="CW344" i="2"/>
  <c r="CV344" i="2"/>
  <c r="CU344" i="2"/>
  <c r="CT344" i="2"/>
  <c r="CS344" i="2"/>
  <c r="CR344" i="2"/>
  <c r="CQ344" i="2"/>
  <c r="CP344" i="2"/>
  <c r="CO344" i="2"/>
  <c r="CN344" i="2"/>
  <c r="CM344" i="2"/>
  <c r="CL344" i="2"/>
  <c r="CK344" i="2"/>
  <c r="CJ344" i="2"/>
  <c r="CI344" i="2"/>
  <c r="CH344" i="2"/>
  <c r="CG344" i="2"/>
  <c r="CF344" i="2"/>
  <c r="CE344" i="2"/>
  <c r="CD344" i="2"/>
  <c r="CC344" i="2"/>
  <c r="CB344" i="2"/>
  <c r="CA344" i="2"/>
  <c r="BZ344" i="2"/>
  <c r="BY344" i="2"/>
  <c r="BX344" i="2"/>
  <c r="BW344" i="2"/>
  <c r="BV344" i="2"/>
  <c r="BU344" i="2"/>
  <c r="BT344" i="2"/>
  <c r="BS344" i="2"/>
  <c r="BR344" i="2"/>
  <c r="BQ344" i="2"/>
  <c r="BP344" i="2"/>
  <c r="BO344" i="2"/>
  <c r="BN344" i="2"/>
  <c r="BM344" i="2"/>
  <c r="BL344" i="2"/>
  <c r="BK344" i="2"/>
  <c r="BJ344" i="2"/>
  <c r="BI344" i="2"/>
  <c r="BH344" i="2"/>
  <c r="BG344" i="2"/>
  <c r="BF344" i="2"/>
  <c r="BE344" i="2"/>
  <c r="BD344" i="2"/>
  <c r="BC344" i="2"/>
  <c r="BB344" i="2"/>
  <c r="BA344" i="2"/>
  <c r="AZ344" i="2"/>
  <c r="AY344" i="2"/>
  <c r="AX344" i="2"/>
  <c r="AW344" i="2"/>
  <c r="AV344" i="2"/>
  <c r="AU344" i="2"/>
  <c r="AT344" i="2"/>
  <c r="AS344" i="2"/>
  <c r="AR344" i="2"/>
  <c r="AQ344" i="2"/>
  <c r="AP344" i="2"/>
  <c r="AO344" i="2"/>
  <c r="AN344" i="2"/>
  <c r="AM344" i="2"/>
  <c r="AL344" i="2"/>
  <c r="AK344" i="2"/>
  <c r="AJ344" i="2"/>
  <c r="AI344" i="2"/>
  <c r="AH344" i="2"/>
  <c r="AG344" i="2"/>
  <c r="AF344" i="2"/>
  <c r="AE344" i="2"/>
  <c r="AD344" i="2"/>
  <c r="AC344" i="2"/>
  <c r="AB344" i="2"/>
  <c r="AA344" i="2"/>
  <c r="Z344" i="2"/>
  <c r="Y344" i="2"/>
  <c r="X344" i="2"/>
  <c r="W344" i="2"/>
  <c r="V344" i="2"/>
  <c r="DS343" i="2"/>
  <c r="DR343" i="2"/>
  <c r="DQ343" i="2"/>
  <c r="DP343" i="2"/>
  <c r="DO343" i="2"/>
  <c r="DN343" i="2"/>
  <c r="DM343" i="2"/>
  <c r="DL343" i="2"/>
  <c r="DK343" i="2"/>
  <c r="DJ343" i="2"/>
  <c r="DI343" i="2"/>
  <c r="DH343" i="2"/>
  <c r="DG343" i="2"/>
  <c r="DF343" i="2"/>
  <c r="DE343" i="2"/>
  <c r="DD343" i="2"/>
  <c r="DC343" i="2"/>
  <c r="DB343" i="2"/>
  <c r="DA343" i="2"/>
  <c r="CZ343" i="2"/>
  <c r="CY343" i="2"/>
  <c r="CX343" i="2"/>
  <c r="CW343" i="2"/>
  <c r="CV343" i="2"/>
  <c r="CU343" i="2"/>
  <c r="CT343" i="2"/>
  <c r="CS343" i="2"/>
  <c r="CR343" i="2"/>
  <c r="CQ343" i="2"/>
  <c r="CP343" i="2"/>
  <c r="CO343" i="2"/>
  <c r="CN343" i="2"/>
  <c r="CM343" i="2"/>
  <c r="CL343" i="2"/>
  <c r="CK343" i="2"/>
  <c r="CJ343" i="2"/>
  <c r="CI343" i="2"/>
  <c r="CH343" i="2"/>
  <c r="CG343" i="2"/>
  <c r="CF343" i="2"/>
  <c r="CE343" i="2"/>
  <c r="CD343" i="2"/>
  <c r="CC343" i="2"/>
  <c r="CB343" i="2"/>
  <c r="CA343" i="2"/>
  <c r="BZ343" i="2"/>
  <c r="BY343" i="2"/>
  <c r="BX343" i="2"/>
  <c r="BW343" i="2"/>
  <c r="BV343" i="2"/>
  <c r="BU343" i="2"/>
  <c r="BT343" i="2"/>
  <c r="BS343" i="2"/>
  <c r="BR343" i="2"/>
  <c r="BQ343" i="2"/>
  <c r="BP343" i="2"/>
  <c r="BO343" i="2"/>
  <c r="BN343" i="2"/>
  <c r="BM343" i="2"/>
  <c r="BL343" i="2"/>
  <c r="BK343" i="2"/>
  <c r="BJ343" i="2"/>
  <c r="BI343" i="2"/>
  <c r="BH343" i="2"/>
  <c r="BG343" i="2"/>
  <c r="BF343" i="2"/>
  <c r="BE343" i="2"/>
  <c r="BD343" i="2"/>
  <c r="BC343" i="2"/>
  <c r="BB343" i="2"/>
  <c r="BA343" i="2"/>
  <c r="AZ343" i="2"/>
  <c r="AY343" i="2"/>
  <c r="AX343" i="2"/>
  <c r="AW343" i="2"/>
  <c r="AV343" i="2"/>
  <c r="AU343" i="2"/>
  <c r="AT343" i="2"/>
  <c r="AS343" i="2"/>
  <c r="AR343" i="2"/>
  <c r="AQ343" i="2"/>
  <c r="AP343" i="2"/>
  <c r="AO343" i="2"/>
  <c r="AN343" i="2"/>
  <c r="AM343" i="2"/>
  <c r="AL343" i="2"/>
  <c r="AK343" i="2"/>
  <c r="AJ343" i="2"/>
  <c r="AI343" i="2"/>
  <c r="AH343" i="2"/>
  <c r="AG343" i="2"/>
  <c r="AF343" i="2"/>
  <c r="AE343" i="2"/>
  <c r="AD343" i="2"/>
  <c r="AC343" i="2"/>
  <c r="AB343" i="2"/>
  <c r="AA343" i="2"/>
  <c r="Z343" i="2"/>
  <c r="Y343" i="2"/>
  <c r="X343" i="2"/>
  <c r="W343" i="2"/>
  <c r="V343" i="2"/>
  <c r="DY342" i="2"/>
  <c r="DX342" i="2"/>
  <c r="DW342" i="2"/>
  <c r="DV342" i="2"/>
  <c r="DU342" i="2"/>
  <c r="DT342" i="2"/>
  <c r="DS342" i="2"/>
  <c r="DR342" i="2"/>
  <c r="DQ342" i="2"/>
  <c r="DP342" i="2"/>
  <c r="DO342" i="2"/>
  <c r="DN342" i="2"/>
  <c r="DM342" i="2"/>
  <c r="DL342" i="2"/>
  <c r="DK342" i="2"/>
  <c r="DJ342" i="2"/>
  <c r="DI342" i="2"/>
  <c r="DH342" i="2"/>
  <c r="DG342" i="2"/>
  <c r="DF342" i="2"/>
  <c r="DE342" i="2"/>
  <c r="DD342" i="2"/>
  <c r="DC342" i="2"/>
  <c r="DB342" i="2"/>
  <c r="DA342" i="2"/>
  <c r="CZ342" i="2"/>
  <c r="CY342" i="2"/>
  <c r="CX342" i="2"/>
  <c r="CW342" i="2"/>
  <c r="CV342" i="2"/>
  <c r="CU342" i="2"/>
  <c r="CT342" i="2"/>
  <c r="CS342" i="2"/>
  <c r="CR342" i="2"/>
  <c r="CQ342" i="2"/>
  <c r="CP342" i="2"/>
  <c r="CO342" i="2"/>
  <c r="CN342" i="2"/>
  <c r="CM342" i="2"/>
  <c r="CL342" i="2"/>
  <c r="CK342" i="2"/>
  <c r="CJ342" i="2"/>
  <c r="CI342" i="2"/>
  <c r="CH342" i="2"/>
  <c r="CG342" i="2"/>
  <c r="CF342" i="2"/>
  <c r="CE342" i="2"/>
  <c r="CD342" i="2"/>
  <c r="CC342" i="2"/>
  <c r="CB342" i="2"/>
  <c r="CA342" i="2"/>
  <c r="BZ342" i="2"/>
  <c r="BY342" i="2"/>
  <c r="BX342" i="2"/>
  <c r="BW342" i="2"/>
  <c r="BV342" i="2"/>
  <c r="BU342" i="2"/>
  <c r="BT342" i="2"/>
  <c r="BS342" i="2"/>
  <c r="BR342" i="2"/>
  <c r="BQ342" i="2"/>
  <c r="BP342" i="2"/>
  <c r="BO342" i="2"/>
  <c r="BN342" i="2"/>
  <c r="BM342" i="2"/>
  <c r="BL342" i="2"/>
  <c r="BK342" i="2"/>
  <c r="BJ342" i="2"/>
  <c r="BI342" i="2"/>
  <c r="BH342" i="2"/>
  <c r="BG342" i="2"/>
  <c r="BF342" i="2"/>
  <c r="BE342" i="2"/>
  <c r="BD342" i="2"/>
  <c r="BC342" i="2"/>
  <c r="BB342" i="2"/>
  <c r="BA342" i="2"/>
  <c r="AZ342" i="2"/>
  <c r="AY342" i="2"/>
  <c r="AX342" i="2"/>
  <c r="AW342" i="2"/>
  <c r="AV342" i="2"/>
  <c r="AU342" i="2"/>
  <c r="AT342" i="2"/>
  <c r="AS342" i="2"/>
  <c r="AR342" i="2"/>
  <c r="AQ342" i="2"/>
  <c r="AP342" i="2"/>
  <c r="AO342" i="2"/>
  <c r="AN342" i="2"/>
  <c r="AM342" i="2"/>
  <c r="AL342" i="2"/>
  <c r="AK342" i="2"/>
  <c r="AJ342" i="2"/>
  <c r="AI342" i="2"/>
  <c r="AH342" i="2"/>
  <c r="AG342" i="2"/>
  <c r="AF342" i="2"/>
  <c r="AE342" i="2"/>
  <c r="AD342" i="2"/>
  <c r="AC342" i="2"/>
  <c r="AB342" i="2"/>
  <c r="AA342" i="2"/>
  <c r="Z342" i="2"/>
  <c r="Y342" i="2"/>
  <c r="X342" i="2"/>
  <c r="W342" i="2"/>
  <c r="V342" i="2"/>
  <c r="DS341" i="2"/>
  <c r="DR341" i="2"/>
  <c r="DQ341" i="2"/>
  <c r="DP341" i="2"/>
  <c r="DO341" i="2"/>
  <c r="DN341" i="2"/>
  <c r="DM341" i="2"/>
  <c r="DL341" i="2"/>
  <c r="DK341" i="2"/>
  <c r="DJ341" i="2"/>
  <c r="DI341" i="2"/>
  <c r="DH341" i="2"/>
  <c r="DG341" i="2"/>
  <c r="DF341" i="2"/>
  <c r="DE341" i="2"/>
  <c r="DD341" i="2"/>
  <c r="DC341" i="2"/>
  <c r="DB341" i="2"/>
  <c r="DA341" i="2"/>
  <c r="CZ341" i="2"/>
  <c r="CY341" i="2"/>
  <c r="CX341" i="2"/>
  <c r="CW341" i="2"/>
  <c r="CV341" i="2"/>
  <c r="CU341" i="2"/>
  <c r="CT341" i="2"/>
  <c r="CS341" i="2"/>
  <c r="CR341" i="2"/>
  <c r="CQ341" i="2"/>
  <c r="CP341" i="2"/>
  <c r="CO341" i="2"/>
  <c r="CN341" i="2"/>
  <c r="CM341" i="2"/>
  <c r="CL341" i="2"/>
  <c r="CK341" i="2"/>
  <c r="CJ341" i="2"/>
  <c r="CI341" i="2"/>
  <c r="CH341" i="2"/>
  <c r="CG341" i="2"/>
  <c r="CF341" i="2"/>
  <c r="CE341" i="2"/>
  <c r="CD341" i="2"/>
  <c r="CC341" i="2"/>
  <c r="CB341" i="2"/>
  <c r="CA341" i="2"/>
  <c r="BZ341" i="2"/>
  <c r="BY341" i="2"/>
  <c r="BX341" i="2"/>
  <c r="BW341" i="2"/>
  <c r="BV341" i="2"/>
  <c r="BU341" i="2"/>
  <c r="BT341" i="2"/>
  <c r="BS341" i="2"/>
  <c r="BR341" i="2"/>
  <c r="BQ341" i="2"/>
  <c r="BP341" i="2"/>
  <c r="BO341" i="2"/>
  <c r="BN341" i="2"/>
  <c r="BM341" i="2"/>
  <c r="BL341" i="2"/>
  <c r="BK341" i="2"/>
  <c r="BJ341" i="2"/>
  <c r="BI341" i="2"/>
  <c r="BH341" i="2"/>
  <c r="BG341" i="2"/>
  <c r="BF341" i="2"/>
  <c r="BE341" i="2"/>
  <c r="BD341" i="2"/>
  <c r="BC341" i="2"/>
  <c r="BB341" i="2"/>
  <c r="BA341" i="2"/>
  <c r="AZ341" i="2"/>
  <c r="AY341" i="2"/>
  <c r="AX341" i="2"/>
  <c r="AW341" i="2"/>
  <c r="AV341" i="2"/>
  <c r="AU341" i="2"/>
  <c r="AT341" i="2"/>
  <c r="AS341" i="2"/>
  <c r="AR341" i="2"/>
  <c r="AQ341" i="2"/>
  <c r="AP341" i="2"/>
  <c r="AO341" i="2"/>
  <c r="AN341" i="2"/>
  <c r="AM341" i="2"/>
  <c r="AL341" i="2"/>
  <c r="AK341" i="2"/>
  <c r="AJ341" i="2"/>
  <c r="AI341" i="2"/>
  <c r="AH341" i="2"/>
  <c r="AG341" i="2"/>
  <c r="AF341" i="2"/>
  <c r="AE341" i="2"/>
  <c r="AD341" i="2"/>
  <c r="AC341" i="2"/>
  <c r="AB341" i="2"/>
  <c r="AA341" i="2"/>
  <c r="Z341" i="2"/>
  <c r="Y341" i="2"/>
  <c r="X341" i="2"/>
  <c r="W341" i="2"/>
  <c r="V341" i="2"/>
  <c r="A338" i="2"/>
  <c r="A337" i="2"/>
  <c r="A336" i="2"/>
  <c r="A335" i="2"/>
  <c r="A334" i="2"/>
  <c r="A333" i="2"/>
  <c r="A332" i="2"/>
  <c r="A331" i="2"/>
  <c r="A330" i="2"/>
  <c r="A329" i="2"/>
  <c r="FH338" i="2"/>
  <c r="FG338" i="2"/>
  <c r="FF338" i="2"/>
  <c r="FE338" i="2"/>
  <c r="FD338" i="2"/>
  <c r="FC338" i="2"/>
  <c r="FB338" i="2"/>
  <c r="FA338" i="2"/>
  <c r="EZ338" i="2"/>
  <c r="EY338" i="2"/>
  <c r="EX338" i="2"/>
  <c r="EW338" i="2"/>
  <c r="EV338" i="2"/>
  <c r="EU338" i="2"/>
  <c r="ET338" i="2"/>
  <c r="ES338" i="2"/>
  <c r="ER338" i="2"/>
  <c r="EQ338" i="2"/>
  <c r="EP338" i="2"/>
  <c r="EO338" i="2"/>
  <c r="EN338" i="2"/>
  <c r="EM338" i="2"/>
  <c r="EL338" i="2"/>
  <c r="EK338" i="2"/>
  <c r="EJ338" i="2"/>
  <c r="EI338" i="2"/>
  <c r="FH337" i="2"/>
  <c r="FG337" i="2"/>
  <c r="FF337" i="2"/>
  <c r="FE337" i="2"/>
  <c r="FD337" i="2"/>
  <c r="FC337" i="2"/>
  <c r="FB337" i="2"/>
  <c r="FA337" i="2"/>
  <c r="EZ337" i="2"/>
  <c r="EY337" i="2"/>
  <c r="EX337" i="2"/>
  <c r="EW337" i="2"/>
  <c r="EV337" i="2"/>
  <c r="EU337" i="2"/>
  <c r="ET337" i="2"/>
  <c r="ES337" i="2"/>
  <c r="ER337" i="2"/>
  <c r="EQ337" i="2"/>
  <c r="EP337" i="2"/>
  <c r="EO337" i="2"/>
  <c r="EN337" i="2"/>
  <c r="EM337" i="2"/>
  <c r="EL337" i="2"/>
  <c r="EK337" i="2"/>
  <c r="EJ337" i="2"/>
  <c r="EI337" i="2"/>
  <c r="FS336" i="2"/>
  <c r="FR336" i="2"/>
  <c r="FQ336" i="2"/>
  <c r="FP336" i="2"/>
  <c r="FO336" i="2"/>
  <c r="FN336" i="2"/>
  <c r="FM336" i="2"/>
  <c r="FL336" i="2"/>
  <c r="FK336" i="2"/>
  <c r="FJ336" i="2"/>
  <c r="FI336" i="2"/>
  <c r="FH336" i="2"/>
  <c r="FG336" i="2"/>
  <c r="FF336" i="2"/>
  <c r="FE336" i="2"/>
  <c r="FD336" i="2"/>
  <c r="FC336" i="2"/>
  <c r="FB336" i="2"/>
  <c r="FA336" i="2"/>
  <c r="EZ336" i="2"/>
  <c r="EY336" i="2"/>
  <c r="EX336" i="2"/>
  <c r="EW336" i="2"/>
  <c r="EV336" i="2"/>
  <c r="EU336" i="2"/>
  <c r="ET336" i="2"/>
  <c r="ES336" i="2"/>
  <c r="ER336" i="2"/>
  <c r="EQ336" i="2"/>
  <c r="EP336" i="2"/>
  <c r="EO336" i="2"/>
  <c r="EN336" i="2"/>
  <c r="EM336" i="2"/>
  <c r="EL336" i="2"/>
  <c r="EK336" i="2"/>
  <c r="EJ336" i="2"/>
  <c r="EI336" i="2"/>
  <c r="FH335" i="2"/>
  <c r="FG335" i="2"/>
  <c r="FF335" i="2"/>
  <c r="FE335" i="2"/>
  <c r="FD335" i="2"/>
  <c r="FC335" i="2"/>
  <c r="FB335" i="2"/>
  <c r="FA335" i="2"/>
  <c r="EZ335" i="2"/>
  <c r="EY335" i="2"/>
  <c r="EX335" i="2"/>
  <c r="EW335" i="2"/>
  <c r="EV335" i="2"/>
  <c r="EU335" i="2"/>
  <c r="ET335" i="2"/>
  <c r="ES335" i="2"/>
  <c r="ER335" i="2"/>
  <c r="EQ335" i="2"/>
  <c r="EP335" i="2"/>
  <c r="EO335" i="2"/>
  <c r="EN335" i="2"/>
  <c r="EM335" i="2"/>
  <c r="EL335" i="2"/>
  <c r="EK335" i="2"/>
  <c r="EJ335" i="2"/>
  <c r="EI335" i="2"/>
  <c r="FS334" i="2"/>
  <c r="FR334" i="2"/>
  <c r="FQ334" i="2"/>
  <c r="FP334" i="2"/>
  <c r="FO334" i="2"/>
  <c r="FN334" i="2"/>
  <c r="FM334" i="2"/>
  <c r="FL334" i="2"/>
  <c r="FK334" i="2"/>
  <c r="FJ334" i="2"/>
  <c r="FI334" i="2"/>
  <c r="FH334" i="2"/>
  <c r="FG334" i="2"/>
  <c r="FF334" i="2"/>
  <c r="FE334" i="2"/>
  <c r="FD334" i="2"/>
  <c r="FC334" i="2"/>
  <c r="FB334" i="2"/>
  <c r="FA334" i="2"/>
  <c r="EZ334" i="2"/>
  <c r="EY334" i="2"/>
  <c r="EX334" i="2"/>
  <c r="EW334" i="2"/>
  <c r="EV334" i="2"/>
  <c r="EU334" i="2"/>
  <c r="ET334" i="2"/>
  <c r="ES334" i="2"/>
  <c r="ER334" i="2"/>
  <c r="EQ334" i="2"/>
  <c r="EP334" i="2"/>
  <c r="EO334" i="2"/>
  <c r="EN334" i="2"/>
  <c r="EM334" i="2"/>
  <c r="EL334" i="2"/>
  <c r="EK334" i="2"/>
  <c r="EJ334" i="2"/>
  <c r="EI334" i="2"/>
  <c r="FH333" i="2"/>
  <c r="FG333" i="2"/>
  <c r="FF333" i="2"/>
  <c r="FE333" i="2"/>
  <c r="FD333" i="2"/>
  <c r="FC333" i="2"/>
  <c r="FB333" i="2"/>
  <c r="FA333" i="2"/>
  <c r="EZ333" i="2"/>
  <c r="EY333" i="2"/>
  <c r="EX333" i="2"/>
  <c r="EW333" i="2"/>
  <c r="EV333" i="2"/>
  <c r="EU333" i="2"/>
  <c r="ET333" i="2"/>
  <c r="ES333" i="2"/>
  <c r="ER333" i="2"/>
  <c r="EQ333" i="2"/>
  <c r="EP333" i="2"/>
  <c r="EO333" i="2"/>
  <c r="EN333" i="2"/>
  <c r="EM333" i="2"/>
  <c r="EL333" i="2"/>
  <c r="EK333" i="2"/>
  <c r="EJ333" i="2"/>
  <c r="EI333" i="2"/>
  <c r="FH332" i="2"/>
  <c r="FG332" i="2"/>
  <c r="FF332" i="2"/>
  <c r="FE332" i="2"/>
  <c r="FD332" i="2"/>
  <c r="FC332" i="2"/>
  <c r="FB332" i="2"/>
  <c r="FA332" i="2"/>
  <c r="EZ332" i="2"/>
  <c r="EY332" i="2"/>
  <c r="EX332" i="2"/>
  <c r="EW332" i="2"/>
  <c r="EV332" i="2"/>
  <c r="EU332" i="2"/>
  <c r="ET332" i="2"/>
  <c r="ES332" i="2"/>
  <c r="ER332" i="2"/>
  <c r="EQ332" i="2"/>
  <c r="EP332" i="2"/>
  <c r="EO332" i="2"/>
  <c r="EN332" i="2"/>
  <c r="EM332" i="2"/>
  <c r="EL332" i="2"/>
  <c r="EK332" i="2"/>
  <c r="EJ332" i="2"/>
  <c r="EI332" i="2"/>
  <c r="FS331" i="2"/>
  <c r="FR331" i="2"/>
  <c r="FQ331" i="2"/>
  <c r="FP331" i="2"/>
  <c r="FO331" i="2"/>
  <c r="FN331" i="2"/>
  <c r="FM331" i="2"/>
  <c r="FL331" i="2"/>
  <c r="FK331" i="2"/>
  <c r="FJ331" i="2"/>
  <c r="FI331" i="2"/>
  <c r="FH331" i="2"/>
  <c r="FG331" i="2"/>
  <c r="FF331" i="2"/>
  <c r="FE331" i="2"/>
  <c r="FD331" i="2"/>
  <c r="FC331" i="2"/>
  <c r="FB331" i="2"/>
  <c r="FA331" i="2"/>
  <c r="EZ331" i="2"/>
  <c r="EY331" i="2"/>
  <c r="EX331" i="2"/>
  <c r="EW331" i="2"/>
  <c r="EV331" i="2"/>
  <c r="EU331" i="2"/>
  <c r="ET331" i="2"/>
  <c r="ES331" i="2"/>
  <c r="ER331" i="2"/>
  <c r="EQ331" i="2"/>
  <c r="EP331" i="2"/>
  <c r="EO331" i="2"/>
  <c r="EN331" i="2"/>
  <c r="EM331" i="2"/>
  <c r="EL331" i="2"/>
  <c r="EK331" i="2"/>
  <c r="EJ331" i="2"/>
  <c r="EI331" i="2"/>
  <c r="FJ330" i="2"/>
  <c r="FI330" i="2"/>
  <c r="FH330" i="2"/>
  <c r="FG330" i="2"/>
  <c r="FF330" i="2"/>
  <c r="FE330" i="2"/>
  <c r="FD330" i="2"/>
  <c r="FC330" i="2"/>
  <c r="FB330" i="2"/>
  <c r="FA330" i="2"/>
  <c r="EZ330" i="2"/>
  <c r="EY330" i="2"/>
  <c r="EX330" i="2"/>
  <c r="EW330" i="2"/>
  <c r="EV330" i="2"/>
  <c r="EU330" i="2"/>
  <c r="ET330" i="2"/>
  <c r="ES330" i="2"/>
  <c r="ER330" i="2"/>
  <c r="EQ330" i="2"/>
  <c r="EP330" i="2"/>
  <c r="EO330" i="2"/>
  <c r="EN330" i="2"/>
  <c r="EM330" i="2"/>
  <c r="EL330" i="2"/>
  <c r="EK330" i="2"/>
  <c r="EJ330" i="2"/>
  <c r="EI330" i="2"/>
  <c r="DY338" i="2"/>
  <c r="DW338" i="2"/>
  <c r="DU338" i="2"/>
  <c r="DS338" i="2"/>
  <c r="DR338" i="2"/>
  <c r="DQ338" i="2"/>
  <c r="DP338" i="2"/>
  <c r="DO338" i="2"/>
  <c r="DN338" i="2"/>
  <c r="DM338" i="2"/>
  <c r="DL338" i="2"/>
  <c r="DK338" i="2"/>
  <c r="DJ338" i="2"/>
  <c r="DI338" i="2"/>
  <c r="DH338" i="2"/>
  <c r="DG338" i="2"/>
  <c r="DF338" i="2"/>
  <c r="DE338" i="2"/>
  <c r="DD338" i="2"/>
  <c r="DC338" i="2"/>
  <c r="DB338" i="2"/>
  <c r="DA338" i="2"/>
  <c r="CZ338" i="2"/>
  <c r="CY338" i="2"/>
  <c r="CX338" i="2"/>
  <c r="CW338" i="2"/>
  <c r="CV338" i="2"/>
  <c r="CU338" i="2"/>
  <c r="CT338" i="2"/>
  <c r="CS338" i="2"/>
  <c r="CR338" i="2"/>
  <c r="CQ338" i="2"/>
  <c r="CP338" i="2"/>
  <c r="CO338" i="2"/>
  <c r="CN338" i="2"/>
  <c r="CM338" i="2"/>
  <c r="CL338" i="2"/>
  <c r="CK338" i="2"/>
  <c r="CJ338" i="2"/>
  <c r="CI338" i="2"/>
  <c r="CH338" i="2"/>
  <c r="CG338" i="2"/>
  <c r="CF338" i="2"/>
  <c r="CE338" i="2"/>
  <c r="CD338" i="2"/>
  <c r="CC338" i="2"/>
  <c r="CB338" i="2"/>
  <c r="CA338" i="2"/>
  <c r="BZ338" i="2"/>
  <c r="BY338" i="2"/>
  <c r="BX338" i="2"/>
  <c r="BW338" i="2"/>
  <c r="BV338" i="2"/>
  <c r="BU338" i="2"/>
  <c r="BT338" i="2"/>
  <c r="BS338" i="2"/>
  <c r="BR338" i="2"/>
  <c r="BQ338" i="2"/>
  <c r="BP338" i="2"/>
  <c r="BO338" i="2"/>
  <c r="BN338" i="2"/>
  <c r="BM338" i="2"/>
  <c r="BL338" i="2"/>
  <c r="BK338" i="2"/>
  <c r="BJ338" i="2"/>
  <c r="BI338" i="2"/>
  <c r="BH338" i="2"/>
  <c r="BG338" i="2"/>
  <c r="BF338" i="2"/>
  <c r="BE338" i="2"/>
  <c r="BD338" i="2"/>
  <c r="BC338" i="2"/>
  <c r="BB338" i="2"/>
  <c r="BA338" i="2"/>
  <c r="AZ338" i="2"/>
  <c r="AY338" i="2"/>
  <c r="AX338" i="2"/>
  <c r="AW338" i="2"/>
  <c r="AV338" i="2"/>
  <c r="AU338" i="2"/>
  <c r="AT338" i="2"/>
  <c r="AS338" i="2"/>
  <c r="AR338" i="2"/>
  <c r="AQ338" i="2"/>
  <c r="AP338" i="2"/>
  <c r="AO338" i="2"/>
  <c r="AN338" i="2"/>
  <c r="AM338" i="2"/>
  <c r="AL338" i="2"/>
  <c r="AK338" i="2"/>
  <c r="AJ338" i="2"/>
  <c r="AI338" i="2"/>
  <c r="AH338" i="2"/>
  <c r="AG338" i="2"/>
  <c r="AF338" i="2"/>
  <c r="AE338" i="2"/>
  <c r="AD338" i="2"/>
  <c r="AC338" i="2"/>
  <c r="AB338" i="2"/>
  <c r="AA338" i="2"/>
  <c r="Z338" i="2"/>
  <c r="Y338" i="2"/>
  <c r="X338" i="2"/>
  <c r="W338" i="2"/>
  <c r="V338" i="2"/>
  <c r="DQ337" i="2"/>
  <c r="DP337" i="2"/>
  <c r="DO337" i="2"/>
  <c r="DN337" i="2"/>
  <c r="DM337" i="2"/>
  <c r="DL337" i="2"/>
  <c r="DK337" i="2"/>
  <c r="DJ337" i="2"/>
  <c r="DI337" i="2"/>
  <c r="DH337" i="2"/>
  <c r="DG337" i="2"/>
  <c r="DF337" i="2"/>
  <c r="DE337" i="2"/>
  <c r="DD337" i="2"/>
  <c r="DC337" i="2"/>
  <c r="DB337" i="2"/>
  <c r="DA337" i="2"/>
  <c r="CZ337" i="2"/>
  <c r="CY337" i="2"/>
  <c r="CX337" i="2"/>
  <c r="CW337" i="2"/>
  <c r="CV337" i="2"/>
  <c r="CU337" i="2"/>
  <c r="CT337" i="2"/>
  <c r="CS337" i="2"/>
  <c r="CR337" i="2"/>
  <c r="CQ337" i="2"/>
  <c r="CP337" i="2"/>
  <c r="CO337" i="2"/>
  <c r="CN337" i="2"/>
  <c r="CM337" i="2"/>
  <c r="CL337" i="2"/>
  <c r="CK337" i="2"/>
  <c r="CJ337" i="2"/>
  <c r="CI337" i="2"/>
  <c r="CH337" i="2"/>
  <c r="CG337" i="2"/>
  <c r="CF337" i="2"/>
  <c r="CE337" i="2"/>
  <c r="CD337" i="2"/>
  <c r="CC337" i="2"/>
  <c r="CB337" i="2"/>
  <c r="CA337" i="2"/>
  <c r="BZ337" i="2"/>
  <c r="BY337" i="2"/>
  <c r="BX337" i="2"/>
  <c r="BW337" i="2"/>
  <c r="BV337" i="2"/>
  <c r="BU337" i="2"/>
  <c r="BT337" i="2"/>
  <c r="BS337" i="2"/>
  <c r="BR337" i="2"/>
  <c r="BQ337" i="2"/>
  <c r="BP337" i="2"/>
  <c r="BO337" i="2"/>
  <c r="BN337" i="2"/>
  <c r="BM337" i="2"/>
  <c r="BL337" i="2"/>
  <c r="BK337" i="2"/>
  <c r="BJ337" i="2"/>
  <c r="BI337" i="2"/>
  <c r="BH337" i="2"/>
  <c r="BG337" i="2"/>
  <c r="BF337" i="2"/>
  <c r="BE337" i="2"/>
  <c r="BD337" i="2"/>
  <c r="BC337" i="2"/>
  <c r="BB337" i="2"/>
  <c r="BA337" i="2"/>
  <c r="AZ337" i="2"/>
  <c r="AY337" i="2"/>
  <c r="AX337" i="2"/>
  <c r="AW337" i="2"/>
  <c r="AV337" i="2"/>
  <c r="AU337" i="2"/>
  <c r="AT337" i="2"/>
  <c r="AS337" i="2"/>
  <c r="AR337" i="2"/>
  <c r="AQ337" i="2"/>
  <c r="AP337" i="2"/>
  <c r="AO337" i="2"/>
  <c r="AN337" i="2"/>
  <c r="AM337" i="2"/>
  <c r="AL337" i="2"/>
  <c r="AK337" i="2"/>
  <c r="AJ337" i="2"/>
  <c r="AI337" i="2"/>
  <c r="AH337" i="2"/>
  <c r="AG337" i="2"/>
  <c r="AF337" i="2"/>
  <c r="AE337" i="2"/>
  <c r="AD337" i="2"/>
  <c r="AC337" i="2"/>
  <c r="AB337" i="2"/>
  <c r="AA337" i="2"/>
  <c r="Z337" i="2"/>
  <c r="Y337" i="2"/>
  <c r="X337" i="2"/>
  <c r="W337" i="2"/>
  <c r="V337" i="2"/>
  <c r="DY336" i="2"/>
  <c r="DX336" i="2"/>
  <c r="DW336" i="2"/>
  <c r="DV336" i="2"/>
  <c r="DU336" i="2"/>
  <c r="DT336" i="2"/>
  <c r="DS336" i="2"/>
  <c r="DR336" i="2"/>
  <c r="DQ336" i="2"/>
  <c r="DP336" i="2"/>
  <c r="DO336" i="2"/>
  <c r="DN336" i="2"/>
  <c r="DM336" i="2"/>
  <c r="DL336" i="2"/>
  <c r="DK336" i="2"/>
  <c r="DJ336" i="2"/>
  <c r="DI336" i="2"/>
  <c r="DH336" i="2"/>
  <c r="DG336" i="2"/>
  <c r="DF336" i="2"/>
  <c r="DE336" i="2"/>
  <c r="DD336" i="2"/>
  <c r="DC336" i="2"/>
  <c r="DB336" i="2"/>
  <c r="DA336" i="2"/>
  <c r="CZ336" i="2"/>
  <c r="CY336" i="2"/>
  <c r="CX336" i="2"/>
  <c r="CW336" i="2"/>
  <c r="CV336" i="2"/>
  <c r="CU336" i="2"/>
  <c r="CT336" i="2"/>
  <c r="CS336" i="2"/>
  <c r="CR336" i="2"/>
  <c r="CQ336" i="2"/>
  <c r="CP336" i="2"/>
  <c r="CO336" i="2"/>
  <c r="CN336" i="2"/>
  <c r="CM336" i="2"/>
  <c r="CL336" i="2"/>
  <c r="CK336" i="2"/>
  <c r="CJ336" i="2"/>
  <c r="CI336" i="2"/>
  <c r="CH336" i="2"/>
  <c r="CG336" i="2"/>
  <c r="CF336" i="2"/>
  <c r="CE336" i="2"/>
  <c r="CD336" i="2"/>
  <c r="CC336" i="2"/>
  <c r="CB336" i="2"/>
  <c r="CA336" i="2"/>
  <c r="BZ336" i="2"/>
  <c r="BY336" i="2"/>
  <c r="BX336" i="2"/>
  <c r="BW336" i="2"/>
  <c r="BV336" i="2"/>
  <c r="BU336" i="2"/>
  <c r="BT336" i="2"/>
  <c r="BS336" i="2"/>
  <c r="BR336" i="2"/>
  <c r="BQ336" i="2"/>
  <c r="BP336" i="2"/>
  <c r="BO336" i="2"/>
  <c r="BN336" i="2"/>
  <c r="BM336" i="2"/>
  <c r="BL336" i="2"/>
  <c r="BK336" i="2"/>
  <c r="BJ336" i="2"/>
  <c r="BI336" i="2"/>
  <c r="BH336" i="2"/>
  <c r="BG336" i="2"/>
  <c r="BF336" i="2"/>
  <c r="BE336" i="2"/>
  <c r="BD336" i="2"/>
  <c r="BC336" i="2"/>
  <c r="BB336" i="2"/>
  <c r="BA336" i="2"/>
  <c r="AZ336" i="2"/>
  <c r="AY336" i="2"/>
  <c r="AX336" i="2"/>
  <c r="AW336" i="2"/>
  <c r="AV336" i="2"/>
  <c r="AU336" i="2"/>
  <c r="AT336" i="2"/>
  <c r="AS336" i="2"/>
  <c r="AR336" i="2"/>
  <c r="AQ336" i="2"/>
  <c r="AP336" i="2"/>
  <c r="AO336" i="2"/>
  <c r="AN336" i="2"/>
  <c r="AM336" i="2"/>
  <c r="AL336" i="2"/>
  <c r="AK336" i="2"/>
  <c r="AJ336" i="2"/>
  <c r="AI336" i="2"/>
  <c r="AH336" i="2"/>
  <c r="AG336" i="2"/>
  <c r="AF336" i="2"/>
  <c r="AE336" i="2"/>
  <c r="AD336" i="2"/>
  <c r="AC336" i="2"/>
  <c r="AB336" i="2"/>
  <c r="AA336" i="2"/>
  <c r="Z336" i="2"/>
  <c r="Y336" i="2"/>
  <c r="X336" i="2"/>
  <c r="W336" i="2"/>
  <c r="V336" i="2"/>
  <c r="DQ335" i="2"/>
  <c r="DP335" i="2"/>
  <c r="DO335" i="2"/>
  <c r="DN335" i="2"/>
  <c r="DM335" i="2"/>
  <c r="DL335" i="2"/>
  <c r="DK335" i="2"/>
  <c r="DJ335" i="2"/>
  <c r="DI335" i="2"/>
  <c r="DH335" i="2"/>
  <c r="DG335" i="2"/>
  <c r="DF335" i="2"/>
  <c r="DE335" i="2"/>
  <c r="DD335" i="2"/>
  <c r="DC335" i="2"/>
  <c r="DB335" i="2"/>
  <c r="DA335" i="2"/>
  <c r="CZ335" i="2"/>
  <c r="CY335" i="2"/>
  <c r="CX335" i="2"/>
  <c r="CW335" i="2"/>
  <c r="CV335" i="2"/>
  <c r="CU335" i="2"/>
  <c r="CT335" i="2"/>
  <c r="CS335" i="2"/>
  <c r="CR335" i="2"/>
  <c r="CQ335" i="2"/>
  <c r="CP335" i="2"/>
  <c r="CO335" i="2"/>
  <c r="CN335" i="2"/>
  <c r="CM335" i="2"/>
  <c r="CL335" i="2"/>
  <c r="CK335" i="2"/>
  <c r="CJ335" i="2"/>
  <c r="CI335" i="2"/>
  <c r="CH335" i="2"/>
  <c r="CG335" i="2"/>
  <c r="CF335" i="2"/>
  <c r="CE335" i="2"/>
  <c r="CD335" i="2"/>
  <c r="CC335" i="2"/>
  <c r="CB335" i="2"/>
  <c r="CA335" i="2"/>
  <c r="BZ335" i="2"/>
  <c r="BY335" i="2"/>
  <c r="BX335" i="2"/>
  <c r="BW335" i="2"/>
  <c r="BV335" i="2"/>
  <c r="BU335" i="2"/>
  <c r="BT335" i="2"/>
  <c r="BS335" i="2"/>
  <c r="BR335" i="2"/>
  <c r="BQ335" i="2"/>
  <c r="BP335" i="2"/>
  <c r="BO335" i="2"/>
  <c r="BN335" i="2"/>
  <c r="BM335" i="2"/>
  <c r="BL335" i="2"/>
  <c r="BK335" i="2"/>
  <c r="BJ335" i="2"/>
  <c r="BI335" i="2"/>
  <c r="BH335" i="2"/>
  <c r="BG335" i="2"/>
  <c r="BF335" i="2"/>
  <c r="BE335" i="2"/>
  <c r="BD335" i="2"/>
  <c r="BC335" i="2"/>
  <c r="BB335" i="2"/>
  <c r="BA335" i="2"/>
  <c r="AZ335" i="2"/>
  <c r="AY335" i="2"/>
  <c r="AX335" i="2"/>
  <c r="AW335" i="2"/>
  <c r="AV335" i="2"/>
  <c r="AU335" i="2"/>
  <c r="AT335" i="2"/>
  <c r="AS335" i="2"/>
  <c r="AR335" i="2"/>
  <c r="AQ335" i="2"/>
  <c r="AP335" i="2"/>
  <c r="AO335" i="2"/>
  <c r="AN335" i="2"/>
  <c r="AM335" i="2"/>
  <c r="AL335" i="2"/>
  <c r="AK335" i="2"/>
  <c r="AJ335" i="2"/>
  <c r="AI335" i="2"/>
  <c r="AH335" i="2"/>
  <c r="AG335" i="2"/>
  <c r="AF335" i="2"/>
  <c r="AE335" i="2"/>
  <c r="AD335" i="2"/>
  <c r="AC335" i="2"/>
  <c r="AB335" i="2"/>
  <c r="AA335" i="2"/>
  <c r="Z335" i="2"/>
  <c r="Y335" i="2"/>
  <c r="X335" i="2"/>
  <c r="W335" i="2"/>
  <c r="V335" i="2"/>
  <c r="DY334" i="2"/>
  <c r="DX334" i="2"/>
  <c r="DW334" i="2"/>
  <c r="DV334" i="2"/>
  <c r="DU334" i="2"/>
  <c r="DT334" i="2"/>
  <c r="DS334" i="2"/>
  <c r="DR334" i="2"/>
  <c r="DQ334" i="2"/>
  <c r="DP334" i="2"/>
  <c r="DO334" i="2"/>
  <c r="DN334" i="2"/>
  <c r="DM334" i="2"/>
  <c r="DL334" i="2"/>
  <c r="DK334" i="2"/>
  <c r="DJ334" i="2"/>
  <c r="DI334" i="2"/>
  <c r="DH334" i="2"/>
  <c r="DG334" i="2"/>
  <c r="DF334" i="2"/>
  <c r="DE334" i="2"/>
  <c r="DD334" i="2"/>
  <c r="DC334" i="2"/>
  <c r="DB334" i="2"/>
  <c r="DA334" i="2"/>
  <c r="CZ334" i="2"/>
  <c r="CY334" i="2"/>
  <c r="CX334" i="2"/>
  <c r="CW334" i="2"/>
  <c r="CV334" i="2"/>
  <c r="CU334" i="2"/>
  <c r="CT334" i="2"/>
  <c r="CS334" i="2"/>
  <c r="CR334" i="2"/>
  <c r="CQ334" i="2"/>
  <c r="CP334" i="2"/>
  <c r="CO334" i="2"/>
  <c r="CN334" i="2"/>
  <c r="CM334" i="2"/>
  <c r="CL334" i="2"/>
  <c r="CK334" i="2"/>
  <c r="CJ334" i="2"/>
  <c r="CI334" i="2"/>
  <c r="CH334" i="2"/>
  <c r="CG334" i="2"/>
  <c r="CF334" i="2"/>
  <c r="CE334" i="2"/>
  <c r="CD334" i="2"/>
  <c r="CC334" i="2"/>
  <c r="CB334" i="2"/>
  <c r="CA334" i="2"/>
  <c r="BZ334" i="2"/>
  <c r="BY334" i="2"/>
  <c r="BX334" i="2"/>
  <c r="BW334" i="2"/>
  <c r="BV334" i="2"/>
  <c r="BU334" i="2"/>
  <c r="BT334" i="2"/>
  <c r="BS334" i="2"/>
  <c r="BR334" i="2"/>
  <c r="BQ334" i="2"/>
  <c r="BP334" i="2"/>
  <c r="BO334" i="2"/>
  <c r="BN334" i="2"/>
  <c r="BM334" i="2"/>
  <c r="BL334" i="2"/>
  <c r="BK334" i="2"/>
  <c r="BJ334" i="2"/>
  <c r="BI334" i="2"/>
  <c r="BH334" i="2"/>
  <c r="BG334" i="2"/>
  <c r="BF334" i="2"/>
  <c r="BE334" i="2"/>
  <c r="BD334" i="2"/>
  <c r="BC334" i="2"/>
  <c r="BB334" i="2"/>
  <c r="BA334" i="2"/>
  <c r="AZ334" i="2"/>
  <c r="AY334" i="2"/>
  <c r="AX334" i="2"/>
  <c r="AW334" i="2"/>
  <c r="AV334" i="2"/>
  <c r="AU334" i="2"/>
  <c r="AT334" i="2"/>
  <c r="AS334" i="2"/>
  <c r="AR334" i="2"/>
  <c r="AQ334" i="2"/>
  <c r="AP334" i="2"/>
  <c r="AO334" i="2"/>
  <c r="AN334" i="2"/>
  <c r="AM334" i="2"/>
  <c r="AL334" i="2"/>
  <c r="AK334" i="2"/>
  <c r="AJ334" i="2"/>
  <c r="AI334" i="2"/>
  <c r="AH334" i="2"/>
  <c r="AG334" i="2"/>
  <c r="AF334" i="2"/>
  <c r="AE334" i="2"/>
  <c r="AD334" i="2"/>
  <c r="AC334" i="2"/>
  <c r="AB334" i="2"/>
  <c r="AA334" i="2"/>
  <c r="Z334" i="2"/>
  <c r="Y334" i="2"/>
  <c r="X334" i="2"/>
  <c r="W334" i="2"/>
  <c r="V334" i="2"/>
  <c r="DQ333" i="2"/>
  <c r="DP333" i="2"/>
  <c r="DO333" i="2"/>
  <c r="DN333" i="2"/>
  <c r="DM333" i="2"/>
  <c r="DL333" i="2"/>
  <c r="DK333" i="2"/>
  <c r="DJ333" i="2"/>
  <c r="DI333" i="2"/>
  <c r="DH333" i="2"/>
  <c r="DG333" i="2"/>
  <c r="DF333" i="2"/>
  <c r="DE333" i="2"/>
  <c r="DD333" i="2"/>
  <c r="DC333" i="2"/>
  <c r="DB333" i="2"/>
  <c r="DA333" i="2"/>
  <c r="CZ333" i="2"/>
  <c r="CY333" i="2"/>
  <c r="CX333" i="2"/>
  <c r="CW333" i="2"/>
  <c r="CV333" i="2"/>
  <c r="CU333" i="2"/>
  <c r="CT333" i="2"/>
  <c r="CS333" i="2"/>
  <c r="CR333" i="2"/>
  <c r="CQ333" i="2"/>
  <c r="CP333" i="2"/>
  <c r="CO333" i="2"/>
  <c r="CN333" i="2"/>
  <c r="CM333" i="2"/>
  <c r="CL333" i="2"/>
  <c r="CK333" i="2"/>
  <c r="CJ333" i="2"/>
  <c r="CI333" i="2"/>
  <c r="CH333" i="2"/>
  <c r="CG333" i="2"/>
  <c r="CF333" i="2"/>
  <c r="CE333" i="2"/>
  <c r="CD333" i="2"/>
  <c r="CC333" i="2"/>
  <c r="CB333" i="2"/>
  <c r="CA333" i="2"/>
  <c r="BZ333" i="2"/>
  <c r="BY333" i="2"/>
  <c r="BX333" i="2"/>
  <c r="BW333" i="2"/>
  <c r="BV333" i="2"/>
  <c r="BU333" i="2"/>
  <c r="BT333" i="2"/>
  <c r="BS333" i="2"/>
  <c r="BR333" i="2"/>
  <c r="BQ333" i="2"/>
  <c r="BP333" i="2"/>
  <c r="BO333" i="2"/>
  <c r="BN333" i="2"/>
  <c r="BM333" i="2"/>
  <c r="BL333" i="2"/>
  <c r="BK333" i="2"/>
  <c r="BJ333" i="2"/>
  <c r="BI333" i="2"/>
  <c r="BH333" i="2"/>
  <c r="BG333" i="2"/>
  <c r="BF333" i="2"/>
  <c r="BE333" i="2"/>
  <c r="BD333" i="2"/>
  <c r="BC333" i="2"/>
  <c r="BB333" i="2"/>
  <c r="BA333" i="2"/>
  <c r="AZ333" i="2"/>
  <c r="AY333" i="2"/>
  <c r="AX333" i="2"/>
  <c r="AW333" i="2"/>
  <c r="AV333" i="2"/>
  <c r="AU333" i="2"/>
  <c r="AT333" i="2"/>
  <c r="AS333" i="2"/>
  <c r="AR333" i="2"/>
  <c r="AQ333" i="2"/>
  <c r="AP333" i="2"/>
  <c r="AO333" i="2"/>
  <c r="AN333" i="2"/>
  <c r="AM333" i="2"/>
  <c r="AL333" i="2"/>
  <c r="AK333" i="2"/>
  <c r="AJ333" i="2"/>
  <c r="AI333" i="2"/>
  <c r="AH333" i="2"/>
  <c r="AG333" i="2"/>
  <c r="AF333" i="2"/>
  <c r="AE333" i="2"/>
  <c r="AD333" i="2"/>
  <c r="AC333" i="2"/>
  <c r="AB333" i="2"/>
  <c r="AA333" i="2"/>
  <c r="Z333" i="2"/>
  <c r="Y333" i="2"/>
  <c r="X333" i="2"/>
  <c r="W333" i="2"/>
  <c r="V333" i="2"/>
  <c r="DS332" i="2"/>
  <c r="DR332" i="2"/>
  <c r="DQ332" i="2"/>
  <c r="DP332" i="2"/>
  <c r="DO332" i="2"/>
  <c r="DN332" i="2"/>
  <c r="DM332" i="2"/>
  <c r="DL332" i="2"/>
  <c r="DK332" i="2"/>
  <c r="DJ332" i="2"/>
  <c r="DI332" i="2"/>
  <c r="DH332" i="2"/>
  <c r="DG332" i="2"/>
  <c r="DF332" i="2"/>
  <c r="DE332" i="2"/>
  <c r="DD332" i="2"/>
  <c r="DC332" i="2"/>
  <c r="DB332" i="2"/>
  <c r="DA332" i="2"/>
  <c r="CZ332" i="2"/>
  <c r="CY332" i="2"/>
  <c r="CX332" i="2"/>
  <c r="CW332" i="2"/>
  <c r="CV332" i="2"/>
  <c r="CU332" i="2"/>
  <c r="CT332" i="2"/>
  <c r="CS332" i="2"/>
  <c r="CR332" i="2"/>
  <c r="CQ332" i="2"/>
  <c r="CP332" i="2"/>
  <c r="CO332" i="2"/>
  <c r="CN332" i="2"/>
  <c r="CM332" i="2"/>
  <c r="CL332" i="2"/>
  <c r="CK332" i="2"/>
  <c r="CJ332" i="2"/>
  <c r="CI332" i="2"/>
  <c r="CH332" i="2"/>
  <c r="CG332" i="2"/>
  <c r="CF332" i="2"/>
  <c r="CE332" i="2"/>
  <c r="CD332" i="2"/>
  <c r="CC332" i="2"/>
  <c r="CB332" i="2"/>
  <c r="CA332" i="2"/>
  <c r="BZ332" i="2"/>
  <c r="BY332" i="2"/>
  <c r="BX332" i="2"/>
  <c r="BW332" i="2"/>
  <c r="BV332" i="2"/>
  <c r="BU332" i="2"/>
  <c r="BT332" i="2"/>
  <c r="BS332" i="2"/>
  <c r="BR332" i="2"/>
  <c r="BQ332" i="2"/>
  <c r="BP332" i="2"/>
  <c r="BO332" i="2"/>
  <c r="BN332" i="2"/>
  <c r="BM332" i="2"/>
  <c r="BL332" i="2"/>
  <c r="BK332" i="2"/>
  <c r="BJ332" i="2"/>
  <c r="BI332" i="2"/>
  <c r="BH332" i="2"/>
  <c r="BG332" i="2"/>
  <c r="BF332" i="2"/>
  <c r="BE332" i="2"/>
  <c r="BD332" i="2"/>
  <c r="BC332" i="2"/>
  <c r="BB332" i="2"/>
  <c r="BA332" i="2"/>
  <c r="AZ332" i="2"/>
  <c r="AY332" i="2"/>
  <c r="AX332" i="2"/>
  <c r="AW332" i="2"/>
  <c r="AV332" i="2"/>
  <c r="AU332" i="2"/>
  <c r="AT332" i="2"/>
  <c r="AS332" i="2"/>
  <c r="AR332" i="2"/>
  <c r="AQ332" i="2"/>
  <c r="AP332" i="2"/>
  <c r="AO332" i="2"/>
  <c r="AN332" i="2"/>
  <c r="AM332" i="2"/>
  <c r="AL332" i="2"/>
  <c r="AK332" i="2"/>
  <c r="AJ332" i="2"/>
  <c r="AI332" i="2"/>
  <c r="AH332" i="2"/>
  <c r="AG332" i="2"/>
  <c r="AF332" i="2"/>
  <c r="AE332" i="2"/>
  <c r="AD332" i="2"/>
  <c r="AC332" i="2"/>
  <c r="AB332" i="2"/>
  <c r="AA332" i="2"/>
  <c r="Z332" i="2"/>
  <c r="Y332" i="2"/>
  <c r="X332" i="2"/>
  <c r="W332" i="2"/>
  <c r="V332" i="2"/>
  <c r="DY331" i="2"/>
  <c r="DX331" i="2"/>
  <c r="DW331" i="2"/>
  <c r="DV331" i="2"/>
  <c r="DU331" i="2"/>
  <c r="DT331" i="2"/>
  <c r="DS331" i="2"/>
  <c r="DR331" i="2"/>
  <c r="DQ331" i="2"/>
  <c r="DP331" i="2"/>
  <c r="DO331" i="2"/>
  <c r="DN331" i="2"/>
  <c r="DM331" i="2"/>
  <c r="DL331" i="2"/>
  <c r="DK331" i="2"/>
  <c r="DJ331" i="2"/>
  <c r="DI331" i="2"/>
  <c r="DH331" i="2"/>
  <c r="DG331" i="2"/>
  <c r="DF331" i="2"/>
  <c r="DE331" i="2"/>
  <c r="DD331" i="2"/>
  <c r="DC331" i="2"/>
  <c r="DB331" i="2"/>
  <c r="DA331" i="2"/>
  <c r="CZ331" i="2"/>
  <c r="CY331" i="2"/>
  <c r="CX331" i="2"/>
  <c r="CW331" i="2"/>
  <c r="CV331" i="2"/>
  <c r="CU331" i="2"/>
  <c r="CT331" i="2"/>
  <c r="CS331" i="2"/>
  <c r="CR331" i="2"/>
  <c r="CQ331" i="2"/>
  <c r="CP331" i="2"/>
  <c r="CO331" i="2"/>
  <c r="CN331" i="2"/>
  <c r="CM331" i="2"/>
  <c r="CL331" i="2"/>
  <c r="CK331" i="2"/>
  <c r="CJ331" i="2"/>
  <c r="CI331" i="2"/>
  <c r="CH331" i="2"/>
  <c r="CG331" i="2"/>
  <c r="CF331" i="2"/>
  <c r="CE331" i="2"/>
  <c r="CD331" i="2"/>
  <c r="CC331" i="2"/>
  <c r="CB331" i="2"/>
  <c r="CA331" i="2"/>
  <c r="BZ331" i="2"/>
  <c r="BY331" i="2"/>
  <c r="BX331" i="2"/>
  <c r="BW331" i="2"/>
  <c r="BV331" i="2"/>
  <c r="BU331" i="2"/>
  <c r="BT331" i="2"/>
  <c r="BS331" i="2"/>
  <c r="BR331" i="2"/>
  <c r="BQ331" i="2"/>
  <c r="BP331" i="2"/>
  <c r="BO331" i="2"/>
  <c r="BN331" i="2"/>
  <c r="BM331" i="2"/>
  <c r="BL331" i="2"/>
  <c r="BK331" i="2"/>
  <c r="BJ331" i="2"/>
  <c r="BI331" i="2"/>
  <c r="BH331" i="2"/>
  <c r="BG331" i="2"/>
  <c r="BF331" i="2"/>
  <c r="BE331" i="2"/>
  <c r="BD331" i="2"/>
  <c r="BC331" i="2"/>
  <c r="BB331" i="2"/>
  <c r="BA331" i="2"/>
  <c r="AZ331" i="2"/>
  <c r="AY331" i="2"/>
  <c r="AX331" i="2"/>
  <c r="AW331" i="2"/>
  <c r="AV331" i="2"/>
  <c r="AU331" i="2"/>
  <c r="AT331" i="2"/>
  <c r="AS331" i="2"/>
  <c r="AR331" i="2"/>
  <c r="AQ331" i="2"/>
  <c r="AP331" i="2"/>
  <c r="AO331" i="2"/>
  <c r="AN331" i="2"/>
  <c r="AM331" i="2"/>
  <c r="AL331" i="2"/>
  <c r="AK331" i="2"/>
  <c r="AJ331" i="2"/>
  <c r="AI331" i="2"/>
  <c r="AH331" i="2"/>
  <c r="AG331" i="2"/>
  <c r="AF331" i="2"/>
  <c r="AE331" i="2"/>
  <c r="AD331" i="2"/>
  <c r="AC331" i="2"/>
  <c r="AB331" i="2"/>
  <c r="AA331" i="2"/>
  <c r="Z331" i="2"/>
  <c r="Y331" i="2"/>
  <c r="X331" i="2"/>
  <c r="W331" i="2"/>
  <c r="V331" i="2"/>
  <c r="DS330" i="2"/>
  <c r="DR330" i="2"/>
  <c r="DQ330" i="2"/>
  <c r="DP330" i="2"/>
  <c r="DO330" i="2"/>
  <c r="DN330" i="2"/>
  <c r="DM330" i="2"/>
  <c r="DL330" i="2"/>
  <c r="DK330" i="2"/>
  <c r="DJ330" i="2"/>
  <c r="DI330" i="2"/>
  <c r="DH330" i="2"/>
  <c r="DG330" i="2"/>
  <c r="DF330" i="2"/>
  <c r="DE330" i="2"/>
  <c r="DD330" i="2"/>
  <c r="DC330" i="2"/>
  <c r="DB330" i="2"/>
  <c r="DA330" i="2"/>
  <c r="CZ330" i="2"/>
  <c r="CY330" i="2"/>
  <c r="CX330" i="2"/>
  <c r="CW330" i="2"/>
  <c r="CV330" i="2"/>
  <c r="CU330" i="2"/>
  <c r="CT330" i="2"/>
  <c r="CS330" i="2"/>
  <c r="CR330" i="2"/>
  <c r="CQ330" i="2"/>
  <c r="CP330" i="2"/>
  <c r="CO330" i="2"/>
  <c r="CN330" i="2"/>
  <c r="CM330" i="2"/>
  <c r="CL330" i="2"/>
  <c r="CK330" i="2"/>
  <c r="CJ330" i="2"/>
  <c r="CI330" i="2"/>
  <c r="CH330" i="2"/>
  <c r="CG330" i="2"/>
  <c r="CF330" i="2"/>
  <c r="CE330" i="2"/>
  <c r="CD330" i="2"/>
  <c r="CC330" i="2"/>
  <c r="CB330" i="2"/>
  <c r="CA330" i="2"/>
  <c r="BZ330" i="2"/>
  <c r="BY330" i="2"/>
  <c r="BX330" i="2"/>
  <c r="BW330" i="2"/>
  <c r="BV330" i="2"/>
  <c r="BU330" i="2"/>
  <c r="BT330" i="2"/>
  <c r="BS330" i="2"/>
  <c r="BR330" i="2"/>
  <c r="BQ330" i="2"/>
  <c r="BP330" i="2"/>
  <c r="BO330" i="2"/>
  <c r="BN330" i="2"/>
  <c r="BM330" i="2"/>
  <c r="BL330" i="2"/>
  <c r="BK330" i="2"/>
  <c r="BJ330" i="2"/>
  <c r="BI330" i="2"/>
  <c r="BH330" i="2"/>
  <c r="BG330" i="2"/>
  <c r="BF330" i="2"/>
  <c r="BE330" i="2"/>
  <c r="BD330" i="2"/>
  <c r="BC330" i="2"/>
  <c r="BB330" i="2"/>
  <c r="BA330" i="2"/>
  <c r="AZ330" i="2"/>
  <c r="AY330" i="2"/>
  <c r="AX330" i="2"/>
  <c r="AW330" i="2"/>
  <c r="AV330" i="2"/>
  <c r="AU330" i="2"/>
  <c r="AT330" i="2"/>
  <c r="AS330" i="2"/>
  <c r="AR330" i="2"/>
  <c r="AQ330" i="2"/>
  <c r="AP330" i="2"/>
  <c r="AO330" i="2"/>
  <c r="AN330" i="2"/>
  <c r="AM330" i="2"/>
  <c r="AL330" i="2"/>
  <c r="AK330" i="2"/>
  <c r="AJ330" i="2"/>
  <c r="AI330" i="2"/>
  <c r="AH330" i="2"/>
  <c r="AG330" i="2"/>
  <c r="AF330" i="2"/>
  <c r="AE330" i="2"/>
  <c r="AD330" i="2"/>
  <c r="AC330" i="2"/>
  <c r="AB330" i="2"/>
  <c r="AA330" i="2"/>
  <c r="Z330" i="2"/>
  <c r="Y330" i="2"/>
  <c r="X330" i="2"/>
  <c r="W330" i="2"/>
  <c r="V330" i="2"/>
  <c r="A324" i="2"/>
  <c r="FH317" i="2"/>
  <c r="FG317" i="2"/>
  <c r="FF317" i="2"/>
  <c r="FE317" i="2"/>
  <c r="FD317" i="2"/>
  <c r="FC317" i="2"/>
  <c r="FB317" i="2"/>
  <c r="FA317" i="2"/>
  <c r="EZ317" i="2"/>
  <c r="EY317" i="2"/>
  <c r="EX317" i="2"/>
  <c r="EW317" i="2"/>
  <c r="EV317" i="2"/>
  <c r="EU317" i="2"/>
  <c r="ET317" i="2"/>
  <c r="ES317" i="2"/>
  <c r="ER317" i="2"/>
  <c r="EQ317" i="2"/>
  <c r="EP317" i="2"/>
  <c r="EO317" i="2"/>
  <c r="EN317" i="2"/>
  <c r="EM317" i="2"/>
  <c r="EL317" i="2"/>
  <c r="EK317" i="2"/>
  <c r="EJ317" i="2"/>
  <c r="EI317" i="2"/>
  <c r="EH317" i="2"/>
  <c r="EG317" i="2"/>
  <c r="EF317" i="2"/>
  <c r="EE317" i="2"/>
  <c r="ED317" i="2"/>
  <c r="EC317" i="2"/>
  <c r="EB317" i="2"/>
  <c r="FH316" i="2"/>
  <c r="FG316" i="2"/>
  <c r="FF316" i="2"/>
  <c r="FE316" i="2"/>
  <c r="FD316" i="2"/>
  <c r="FC316" i="2"/>
  <c r="FB316" i="2"/>
  <c r="FA316" i="2"/>
  <c r="EZ316" i="2"/>
  <c r="EY316" i="2"/>
  <c r="EX316" i="2"/>
  <c r="EW316" i="2"/>
  <c r="EV316" i="2"/>
  <c r="EU316" i="2"/>
  <c r="ET316" i="2"/>
  <c r="ES316" i="2"/>
  <c r="ER316" i="2"/>
  <c r="EQ316" i="2"/>
  <c r="EP316" i="2"/>
  <c r="EO316" i="2"/>
  <c r="EN316" i="2"/>
  <c r="EM316" i="2"/>
  <c r="EL316" i="2"/>
  <c r="EK316" i="2"/>
  <c r="EJ316" i="2"/>
  <c r="EI316" i="2"/>
  <c r="EH316" i="2"/>
  <c r="EG316" i="2"/>
  <c r="EF316" i="2"/>
  <c r="EE316" i="2"/>
  <c r="ED316" i="2"/>
  <c r="EC316" i="2"/>
  <c r="EB316" i="2"/>
  <c r="DY317" i="2"/>
  <c r="DX317" i="2"/>
  <c r="DW317" i="2"/>
  <c r="DV317" i="2"/>
  <c r="DU317" i="2"/>
  <c r="DT317" i="2"/>
  <c r="DS317" i="2"/>
  <c r="DR317" i="2"/>
  <c r="DQ317" i="2"/>
  <c r="DP317" i="2"/>
  <c r="DO317" i="2"/>
  <c r="DN317" i="2"/>
  <c r="DM317" i="2"/>
  <c r="DL317" i="2"/>
  <c r="DK317" i="2"/>
  <c r="DJ317" i="2"/>
  <c r="DI317" i="2"/>
  <c r="DH317" i="2"/>
  <c r="DG317" i="2"/>
  <c r="DF317" i="2"/>
  <c r="DE317" i="2"/>
  <c r="DD317" i="2"/>
  <c r="DC317" i="2"/>
  <c r="DB317" i="2"/>
  <c r="DA317" i="2"/>
  <c r="CZ317" i="2"/>
  <c r="CY317" i="2"/>
  <c r="CX317" i="2"/>
  <c r="CW317" i="2"/>
  <c r="CV317" i="2"/>
  <c r="CU317" i="2"/>
  <c r="CT317" i="2"/>
  <c r="CS317" i="2"/>
  <c r="CR317" i="2"/>
  <c r="CQ317" i="2"/>
  <c r="CP317" i="2"/>
  <c r="CO317" i="2"/>
  <c r="CN317" i="2"/>
  <c r="CM317" i="2"/>
  <c r="CL317" i="2"/>
  <c r="CK317" i="2"/>
  <c r="CJ317" i="2"/>
  <c r="CI317" i="2"/>
  <c r="CH317" i="2"/>
  <c r="CG317" i="2"/>
  <c r="CF317" i="2"/>
  <c r="CE317" i="2"/>
  <c r="CD317" i="2"/>
  <c r="CC317" i="2"/>
  <c r="CB317" i="2"/>
  <c r="CA317" i="2"/>
  <c r="BZ317" i="2"/>
  <c r="BY317" i="2"/>
  <c r="BX317" i="2"/>
  <c r="BW317" i="2"/>
  <c r="BV317" i="2"/>
  <c r="BU317" i="2"/>
  <c r="BT317" i="2"/>
  <c r="BS317" i="2"/>
  <c r="BR317" i="2"/>
  <c r="BQ317" i="2"/>
  <c r="BP317" i="2"/>
  <c r="BO317" i="2"/>
  <c r="BN317" i="2"/>
  <c r="BM317" i="2"/>
  <c r="BL317" i="2"/>
  <c r="BK317" i="2"/>
  <c r="BJ317" i="2"/>
  <c r="BI317" i="2"/>
  <c r="BH317" i="2"/>
  <c r="BG317" i="2"/>
  <c r="BF317" i="2"/>
  <c r="BE317" i="2"/>
  <c r="BD317" i="2"/>
  <c r="BC317" i="2"/>
  <c r="BB317" i="2"/>
  <c r="BA317" i="2"/>
  <c r="AZ317" i="2"/>
  <c r="AY317" i="2"/>
  <c r="AX317" i="2"/>
  <c r="AW317" i="2"/>
  <c r="AV317" i="2"/>
  <c r="AU317" i="2"/>
  <c r="AT317" i="2"/>
  <c r="AS317" i="2"/>
  <c r="AR317" i="2"/>
  <c r="AQ317" i="2"/>
  <c r="AP317" i="2"/>
  <c r="AO317" i="2"/>
  <c r="AN317" i="2"/>
  <c r="AM317" i="2"/>
  <c r="AL317" i="2"/>
  <c r="AK317" i="2"/>
  <c r="AJ317" i="2"/>
  <c r="AI317" i="2"/>
  <c r="AH317" i="2"/>
  <c r="AG317" i="2"/>
  <c r="AF317" i="2"/>
  <c r="AE317" i="2"/>
  <c r="AD317" i="2"/>
  <c r="AC317" i="2"/>
  <c r="AB317" i="2"/>
  <c r="AA317" i="2"/>
  <c r="Z317" i="2"/>
  <c r="Y317" i="2"/>
  <c r="X317" i="2"/>
  <c r="W317" i="2"/>
  <c r="V317" i="2"/>
  <c r="U317" i="2"/>
  <c r="T317" i="2"/>
  <c r="S317" i="2"/>
  <c r="R317" i="2"/>
  <c r="Q317" i="2"/>
  <c r="P317" i="2"/>
  <c r="O317" i="2"/>
  <c r="N317" i="2"/>
  <c r="M317" i="2"/>
  <c r="L317" i="2"/>
  <c r="K317" i="2"/>
  <c r="J317" i="2"/>
  <c r="I317" i="2"/>
  <c r="H317" i="2"/>
  <c r="G317" i="2"/>
  <c r="F317" i="2"/>
  <c r="E317" i="2"/>
  <c r="D317" i="2"/>
  <c r="C317" i="2"/>
  <c r="B317" i="2"/>
  <c r="A317" i="2"/>
  <c r="DY316" i="2"/>
  <c r="DX316" i="2"/>
  <c r="DW316" i="2"/>
  <c r="DV316" i="2"/>
  <c r="DU316" i="2"/>
  <c r="DT316" i="2"/>
  <c r="DS316" i="2"/>
  <c r="DR316" i="2"/>
  <c r="DQ316" i="2"/>
  <c r="DP316" i="2"/>
  <c r="DO316" i="2"/>
  <c r="DN316" i="2"/>
  <c r="DM316" i="2"/>
  <c r="DL316" i="2"/>
  <c r="DK316" i="2"/>
  <c r="DJ316" i="2"/>
  <c r="DI316" i="2"/>
  <c r="DH316" i="2"/>
  <c r="DG316" i="2"/>
  <c r="DF316" i="2"/>
  <c r="DE316" i="2"/>
  <c r="DD316" i="2"/>
  <c r="DC316" i="2"/>
  <c r="DB316" i="2"/>
  <c r="DA316" i="2"/>
  <c r="CZ316" i="2"/>
  <c r="CY316" i="2"/>
  <c r="CX316" i="2"/>
  <c r="CW316" i="2"/>
  <c r="CV316" i="2"/>
  <c r="CU316" i="2"/>
  <c r="CT316" i="2"/>
  <c r="CS316" i="2"/>
  <c r="CR316" i="2"/>
  <c r="CQ316" i="2"/>
  <c r="CP316" i="2"/>
  <c r="CO316" i="2"/>
  <c r="CN316" i="2"/>
  <c r="CM316" i="2"/>
  <c r="CL316" i="2"/>
  <c r="CK316" i="2"/>
  <c r="CJ316" i="2"/>
  <c r="CI316" i="2"/>
  <c r="CH316" i="2"/>
  <c r="CG316" i="2"/>
  <c r="CF316" i="2"/>
  <c r="CE316" i="2"/>
  <c r="CD316" i="2"/>
  <c r="CC316" i="2"/>
  <c r="CB316" i="2"/>
  <c r="CA316" i="2"/>
  <c r="BZ316" i="2"/>
  <c r="BY316" i="2"/>
  <c r="BX316" i="2"/>
  <c r="BW316" i="2"/>
  <c r="BV316" i="2"/>
  <c r="BU316" i="2"/>
  <c r="BT316" i="2"/>
  <c r="BS316" i="2"/>
  <c r="BR316" i="2"/>
  <c r="BQ316" i="2"/>
  <c r="BP316" i="2"/>
  <c r="BO316" i="2"/>
  <c r="BN316" i="2"/>
  <c r="BM316" i="2"/>
  <c r="BL316" i="2"/>
  <c r="BK316" i="2"/>
  <c r="BJ316" i="2"/>
  <c r="BI316" i="2"/>
  <c r="BH316" i="2"/>
  <c r="BG316" i="2"/>
  <c r="BF316" i="2"/>
  <c r="BE316" i="2"/>
  <c r="BD316" i="2"/>
  <c r="BC316" i="2"/>
  <c r="BB316" i="2"/>
  <c r="BA316" i="2"/>
  <c r="AZ316" i="2"/>
  <c r="AY316" i="2"/>
  <c r="AX316" i="2"/>
  <c r="AW316" i="2"/>
  <c r="AV316" i="2"/>
  <c r="AU316" i="2"/>
  <c r="AT316" i="2"/>
  <c r="AS316" i="2"/>
  <c r="AR316" i="2"/>
  <c r="AQ316" i="2"/>
  <c r="AP316" i="2"/>
  <c r="AO316" i="2"/>
  <c r="AN316" i="2"/>
  <c r="AM316" i="2"/>
  <c r="AL316" i="2"/>
  <c r="AK316" i="2"/>
  <c r="AJ316" i="2"/>
  <c r="AI316" i="2"/>
  <c r="AH316" i="2"/>
  <c r="AG316" i="2"/>
  <c r="AF316" i="2"/>
  <c r="AE316" i="2"/>
  <c r="AD316" i="2"/>
  <c r="AC316" i="2"/>
  <c r="AB316" i="2"/>
  <c r="AA316" i="2"/>
  <c r="Z316" i="2"/>
  <c r="Y316" i="2"/>
  <c r="X316" i="2"/>
  <c r="W316" i="2"/>
  <c r="V316" i="2"/>
  <c r="U316" i="2"/>
  <c r="T316" i="2"/>
  <c r="S316" i="2"/>
  <c r="R316" i="2"/>
  <c r="Q316" i="2"/>
  <c r="P316" i="2"/>
  <c r="O316" i="2"/>
  <c r="N316" i="2"/>
  <c r="M316" i="2"/>
  <c r="L316" i="2"/>
  <c r="K316" i="2"/>
  <c r="J316" i="2"/>
  <c r="I316" i="2"/>
  <c r="H316" i="2"/>
  <c r="G316" i="2"/>
  <c r="F316" i="2"/>
  <c r="E316" i="2"/>
  <c r="D316" i="2"/>
  <c r="C316" i="2"/>
  <c r="B316" i="2"/>
  <c r="A316" i="2"/>
  <c r="FH313" i="2"/>
  <c r="FG313" i="2"/>
  <c r="FF313" i="2"/>
  <c r="FE313" i="2"/>
  <c r="FD313" i="2"/>
  <c r="FC313" i="2"/>
  <c r="FB313" i="2"/>
  <c r="FA313" i="2"/>
  <c r="EZ313" i="2"/>
  <c r="EY313" i="2"/>
  <c r="EX313" i="2"/>
  <c r="EW313" i="2"/>
  <c r="EV313" i="2"/>
  <c r="EU313" i="2"/>
  <c r="ET313" i="2"/>
  <c r="ES313" i="2"/>
  <c r="ER313" i="2"/>
  <c r="EQ313" i="2"/>
  <c r="EP313" i="2"/>
  <c r="EO313" i="2"/>
  <c r="EN313" i="2"/>
  <c r="EM313" i="2"/>
  <c r="EL313" i="2"/>
  <c r="EK313" i="2"/>
  <c r="EJ313" i="2"/>
  <c r="EI313" i="2"/>
  <c r="EH313" i="2"/>
  <c r="EG313" i="2"/>
  <c r="EF313" i="2"/>
  <c r="EE313" i="2"/>
  <c r="ED313" i="2"/>
  <c r="EC313" i="2"/>
  <c r="EB313" i="2"/>
  <c r="DY313" i="2"/>
  <c r="DX313" i="2"/>
  <c r="DW313" i="2"/>
  <c r="DV313" i="2"/>
  <c r="DU313" i="2"/>
  <c r="DT313" i="2"/>
  <c r="DS313" i="2"/>
  <c r="DR313" i="2"/>
  <c r="DQ313" i="2"/>
  <c r="DP313" i="2"/>
  <c r="DO313" i="2"/>
  <c r="DN313" i="2"/>
  <c r="DM313" i="2"/>
  <c r="DL313" i="2"/>
  <c r="DK313" i="2"/>
  <c r="DJ313" i="2"/>
  <c r="DI313" i="2"/>
  <c r="DH313" i="2"/>
  <c r="DG313" i="2"/>
  <c r="DF313" i="2"/>
  <c r="DE313" i="2"/>
  <c r="DD313" i="2"/>
  <c r="DC313" i="2"/>
  <c r="DB313" i="2"/>
  <c r="DA313" i="2"/>
  <c r="CZ313" i="2"/>
  <c r="CY313" i="2"/>
  <c r="CX313" i="2"/>
  <c r="CW313" i="2"/>
  <c r="CV313" i="2"/>
  <c r="CU313" i="2"/>
  <c r="CT313" i="2"/>
  <c r="CS313" i="2"/>
  <c r="CR313" i="2"/>
  <c r="CQ313" i="2"/>
  <c r="CP313" i="2"/>
  <c r="CO313" i="2"/>
  <c r="CN313" i="2"/>
  <c r="CM313" i="2"/>
  <c r="CL313" i="2"/>
  <c r="CK313" i="2"/>
  <c r="CJ313" i="2"/>
  <c r="CI313" i="2"/>
  <c r="CH313" i="2"/>
  <c r="CG313" i="2"/>
  <c r="CF313" i="2"/>
  <c r="CE313" i="2"/>
  <c r="CD313" i="2"/>
  <c r="CC313" i="2"/>
  <c r="CB313" i="2"/>
  <c r="CA313" i="2"/>
  <c r="BZ313" i="2"/>
  <c r="BY313" i="2"/>
  <c r="BX313" i="2"/>
  <c r="BW313" i="2"/>
  <c r="BV313" i="2"/>
  <c r="BU313" i="2"/>
  <c r="BT313" i="2"/>
  <c r="BS313" i="2"/>
  <c r="BR313" i="2"/>
  <c r="BQ313" i="2"/>
  <c r="BP313" i="2"/>
  <c r="BO313" i="2"/>
  <c r="BN313" i="2"/>
  <c r="BM313" i="2"/>
  <c r="BL313" i="2"/>
  <c r="BK313" i="2"/>
  <c r="BJ313" i="2"/>
  <c r="BI313" i="2"/>
  <c r="BH313" i="2"/>
  <c r="BG313" i="2"/>
  <c r="BF313" i="2"/>
  <c r="BE313" i="2"/>
  <c r="BD313" i="2"/>
  <c r="BC313" i="2"/>
  <c r="BB313" i="2"/>
  <c r="BA313" i="2"/>
  <c r="AZ313" i="2"/>
  <c r="AY313" i="2"/>
  <c r="AX313" i="2"/>
  <c r="AW313" i="2"/>
  <c r="AV313" i="2"/>
  <c r="AU313" i="2"/>
  <c r="AT313" i="2"/>
  <c r="AS313" i="2"/>
  <c r="AR313" i="2"/>
  <c r="AQ313" i="2"/>
  <c r="AP313" i="2"/>
  <c r="AO313" i="2"/>
  <c r="AN313" i="2"/>
  <c r="AM313" i="2"/>
  <c r="AL313" i="2"/>
  <c r="AK313" i="2"/>
  <c r="AJ313" i="2"/>
  <c r="AI313" i="2"/>
  <c r="AH313" i="2"/>
  <c r="AG313" i="2"/>
  <c r="AF313" i="2"/>
  <c r="AE313" i="2"/>
  <c r="AD313" i="2"/>
  <c r="AC313" i="2"/>
  <c r="AB313" i="2"/>
  <c r="AA313" i="2"/>
  <c r="Z313" i="2"/>
  <c r="Y313" i="2"/>
  <c r="X313" i="2"/>
  <c r="W313" i="2"/>
  <c r="V313" i="2"/>
  <c r="U313" i="2"/>
  <c r="T313" i="2"/>
  <c r="S313" i="2"/>
  <c r="R313" i="2"/>
  <c r="Q313" i="2"/>
  <c r="P313" i="2"/>
  <c r="O313" i="2"/>
  <c r="N313" i="2"/>
  <c r="M313" i="2"/>
  <c r="L313" i="2"/>
  <c r="K313" i="2"/>
  <c r="J313" i="2"/>
  <c r="I313" i="2"/>
  <c r="H313" i="2"/>
  <c r="G313" i="2"/>
  <c r="F313" i="2"/>
  <c r="E313" i="2"/>
  <c r="D313" i="2"/>
  <c r="C313" i="2"/>
  <c r="B313" i="2"/>
  <c r="A313" i="2"/>
  <c r="FS310" i="2"/>
  <c r="FR310" i="2"/>
  <c r="FQ310" i="2"/>
  <c r="FP310" i="2"/>
  <c r="FO310" i="2"/>
  <c r="FN310" i="2"/>
  <c r="FM310" i="2"/>
  <c r="FL310" i="2"/>
  <c r="FK310" i="2"/>
  <c r="FJ310" i="2"/>
  <c r="FI310" i="2"/>
  <c r="FH310" i="2"/>
  <c r="FG310" i="2"/>
  <c r="FF310" i="2"/>
  <c r="FE310" i="2"/>
  <c r="FD310" i="2"/>
  <c r="FC310" i="2"/>
  <c r="FB310" i="2"/>
  <c r="FA310" i="2"/>
  <c r="EZ310" i="2"/>
  <c r="EY310" i="2"/>
  <c r="EX310" i="2"/>
  <c r="EW310" i="2"/>
  <c r="EV310" i="2"/>
  <c r="EU310" i="2"/>
  <c r="ET310" i="2"/>
  <c r="ES310" i="2"/>
  <c r="ER310" i="2"/>
  <c r="EQ310" i="2"/>
  <c r="EP310" i="2"/>
  <c r="EO310" i="2"/>
  <c r="EN310" i="2"/>
  <c r="EM310" i="2"/>
  <c r="EL310" i="2"/>
  <c r="EK310" i="2"/>
  <c r="EJ310" i="2"/>
  <c r="EI310" i="2"/>
  <c r="EH310" i="2"/>
  <c r="EG310" i="2"/>
  <c r="EF310" i="2"/>
  <c r="EE310" i="2"/>
  <c r="ED310" i="2"/>
  <c r="EC310" i="2"/>
  <c r="EB310" i="2"/>
  <c r="DY310" i="2"/>
  <c r="DX310" i="2"/>
  <c r="DW310" i="2"/>
  <c r="DV310" i="2"/>
  <c r="DU310" i="2"/>
  <c r="DT310" i="2"/>
  <c r="DS310" i="2"/>
  <c r="DR310" i="2"/>
  <c r="DQ310" i="2"/>
  <c r="DP310" i="2"/>
  <c r="DO310" i="2"/>
  <c r="DN310" i="2"/>
  <c r="DM310" i="2"/>
  <c r="DL310" i="2"/>
  <c r="DK310" i="2"/>
  <c r="DJ310" i="2"/>
  <c r="DI310" i="2"/>
  <c r="DH310" i="2"/>
  <c r="DG310" i="2"/>
  <c r="DF310" i="2"/>
  <c r="DE310" i="2"/>
  <c r="DD310" i="2"/>
  <c r="DC310" i="2"/>
  <c r="DB310" i="2"/>
  <c r="DA310" i="2"/>
  <c r="CZ310" i="2"/>
  <c r="CY310" i="2"/>
  <c r="CX310" i="2"/>
  <c r="CW310" i="2"/>
  <c r="CV310" i="2"/>
  <c r="CU310" i="2"/>
  <c r="CT310" i="2"/>
  <c r="CS310" i="2"/>
  <c r="CR310" i="2"/>
  <c r="CQ310" i="2"/>
  <c r="CP310" i="2"/>
  <c r="CO310" i="2"/>
  <c r="CN310" i="2"/>
  <c r="CM310" i="2"/>
  <c r="CL310" i="2"/>
  <c r="CK310" i="2"/>
  <c r="CJ310" i="2"/>
  <c r="CI310" i="2"/>
  <c r="CH310" i="2"/>
  <c r="CG310" i="2"/>
  <c r="CF310" i="2"/>
  <c r="CE310" i="2"/>
  <c r="CD310" i="2"/>
  <c r="CC310" i="2"/>
  <c r="CB310" i="2"/>
  <c r="CA310" i="2"/>
  <c r="BZ310" i="2"/>
  <c r="BY310" i="2"/>
  <c r="BX310" i="2"/>
  <c r="BW310" i="2"/>
  <c r="BV310" i="2"/>
  <c r="BU310" i="2"/>
  <c r="BT310" i="2"/>
  <c r="BS310" i="2"/>
  <c r="BR310" i="2"/>
  <c r="BQ310" i="2"/>
  <c r="BP310" i="2"/>
  <c r="BO310" i="2"/>
  <c r="BN310" i="2"/>
  <c r="BM310" i="2"/>
  <c r="BL310" i="2"/>
  <c r="BK310" i="2"/>
  <c r="BJ310" i="2"/>
  <c r="BI310" i="2"/>
  <c r="BH310" i="2"/>
  <c r="BG310" i="2"/>
  <c r="BF310" i="2"/>
  <c r="BE310" i="2"/>
  <c r="BD310" i="2"/>
  <c r="BC310" i="2"/>
  <c r="BB310" i="2"/>
  <c r="BA310" i="2"/>
  <c r="AZ310" i="2"/>
  <c r="AY310" i="2"/>
  <c r="AX310" i="2"/>
  <c r="AW310" i="2"/>
  <c r="AV310" i="2"/>
  <c r="AU310" i="2"/>
  <c r="AT310" i="2"/>
  <c r="AS310" i="2"/>
  <c r="AR310" i="2"/>
  <c r="AQ310" i="2"/>
  <c r="AP310" i="2"/>
  <c r="AO310" i="2"/>
  <c r="AN310" i="2"/>
  <c r="AM310" i="2"/>
  <c r="AL310" i="2"/>
  <c r="AK310" i="2"/>
  <c r="AJ310" i="2"/>
  <c r="AI310" i="2"/>
  <c r="AH310" i="2"/>
  <c r="AG310" i="2"/>
  <c r="AF310" i="2"/>
  <c r="AE310" i="2"/>
  <c r="AD310" i="2"/>
  <c r="AC310" i="2"/>
  <c r="AB310" i="2"/>
  <c r="AA310" i="2"/>
  <c r="Z310" i="2"/>
  <c r="Y310" i="2"/>
  <c r="X310" i="2"/>
  <c r="W310" i="2"/>
  <c r="V310" i="2"/>
  <c r="U310" i="2"/>
  <c r="T310" i="2"/>
  <c r="S310" i="2"/>
  <c r="R310" i="2"/>
  <c r="Q310" i="2"/>
  <c r="P310" i="2"/>
  <c r="O310" i="2"/>
  <c r="N310" i="2"/>
  <c r="M310" i="2"/>
  <c r="L310" i="2"/>
  <c r="K310" i="2"/>
  <c r="J310" i="2"/>
  <c r="I310" i="2"/>
  <c r="H310" i="2"/>
  <c r="G310" i="2"/>
  <c r="F310" i="2"/>
  <c r="E310" i="2"/>
  <c r="D310" i="2"/>
  <c r="C310" i="2"/>
  <c r="B310" i="2"/>
  <c r="FH307" i="2"/>
  <c r="FG307" i="2"/>
  <c r="FF307" i="2"/>
  <c r="FE307" i="2"/>
  <c r="FD307" i="2"/>
  <c r="FC307" i="2"/>
  <c r="FB307" i="2"/>
  <c r="FA307" i="2"/>
  <c r="EZ307" i="2"/>
  <c r="EY307" i="2"/>
  <c r="EX307" i="2"/>
  <c r="EW307" i="2"/>
  <c r="EV307" i="2"/>
  <c r="EU307" i="2"/>
  <c r="ET307" i="2"/>
  <c r="ES307" i="2"/>
  <c r="ER307" i="2"/>
  <c r="EQ307" i="2"/>
  <c r="EP307" i="2"/>
  <c r="EO307" i="2"/>
  <c r="EN307" i="2"/>
  <c r="EM307" i="2"/>
  <c r="EL307" i="2"/>
  <c r="EK307" i="2"/>
  <c r="EJ307" i="2"/>
  <c r="EI307" i="2"/>
  <c r="EH307" i="2"/>
  <c r="EG307" i="2"/>
  <c r="EF307" i="2"/>
  <c r="EE307" i="2"/>
  <c r="ED307" i="2"/>
  <c r="EC307" i="2"/>
  <c r="EB307" i="2"/>
  <c r="DQ307" i="2"/>
  <c r="DP307" i="2"/>
  <c r="DO307" i="2"/>
  <c r="DN307" i="2"/>
  <c r="DM307" i="2"/>
  <c r="DL307" i="2"/>
  <c r="DK307" i="2"/>
  <c r="DJ307" i="2"/>
  <c r="DI307" i="2"/>
  <c r="DH307" i="2"/>
  <c r="DG307" i="2"/>
  <c r="DF307" i="2"/>
  <c r="DE307" i="2"/>
  <c r="DD307" i="2"/>
  <c r="DC307" i="2"/>
  <c r="DB307" i="2"/>
  <c r="DA307" i="2"/>
  <c r="CZ307" i="2"/>
  <c r="CY307" i="2"/>
  <c r="CX307" i="2"/>
  <c r="CW307" i="2"/>
  <c r="CV307" i="2"/>
  <c r="CU307" i="2"/>
  <c r="CT307" i="2"/>
  <c r="CS307" i="2"/>
  <c r="CR307" i="2"/>
  <c r="CQ307" i="2"/>
  <c r="CP307" i="2"/>
  <c r="CO307" i="2"/>
  <c r="CN307" i="2"/>
  <c r="CM307" i="2"/>
  <c r="CL307" i="2"/>
  <c r="CK307" i="2"/>
  <c r="CJ307" i="2"/>
  <c r="CI307" i="2"/>
  <c r="CH307" i="2"/>
  <c r="CG307" i="2"/>
  <c r="CF307" i="2"/>
  <c r="CE307" i="2"/>
  <c r="CD307" i="2"/>
  <c r="CC307" i="2"/>
  <c r="CB307" i="2"/>
  <c r="CA307" i="2"/>
  <c r="BZ307" i="2"/>
  <c r="BY307" i="2"/>
  <c r="BX307" i="2"/>
  <c r="BW307" i="2"/>
  <c r="BV307" i="2"/>
  <c r="BU307" i="2"/>
  <c r="BT307" i="2"/>
  <c r="BS307" i="2"/>
  <c r="BR307" i="2"/>
  <c r="BQ307" i="2"/>
  <c r="BP307" i="2"/>
  <c r="BO307" i="2"/>
  <c r="BN307" i="2"/>
  <c r="BM307" i="2"/>
  <c r="BL307" i="2"/>
  <c r="BK307" i="2"/>
  <c r="BJ307" i="2"/>
  <c r="BI307" i="2"/>
  <c r="BH307" i="2"/>
  <c r="BG307" i="2"/>
  <c r="BF307" i="2"/>
  <c r="BE307" i="2"/>
  <c r="BD307" i="2"/>
  <c r="BC307" i="2"/>
  <c r="BB307" i="2"/>
  <c r="BA307" i="2"/>
  <c r="AZ307" i="2"/>
  <c r="AY307" i="2"/>
  <c r="AX307" i="2"/>
  <c r="AW307" i="2"/>
  <c r="AV307" i="2"/>
  <c r="AU307" i="2"/>
  <c r="AT307" i="2"/>
  <c r="AS307" i="2"/>
  <c r="AR307" i="2"/>
  <c r="AQ307" i="2"/>
  <c r="AP307" i="2"/>
  <c r="AO307" i="2"/>
  <c r="AN307" i="2"/>
  <c r="AM307" i="2"/>
  <c r="AL307" i="2"/>
  <c r="AK307" i="2"/>
  <c r="AJ307" i="2"/>
  <c r="AI307" i="2"/>
  <c r="AH307" i="2"/>
  <c r="AG307" i="2"/>
  <c r="AF307" i="2"/>
  <c r="AE307" i="2"/>
  <c r="AD307" i="2"/>
  <c r="AC307" i="2"/>
  <c r="AB307" i="2"/>
  <c r="AA307" i="2"/>
  <c r="Z307" i="2"/>
  <c r="Y307" i="2"/>
  <c r="X307" i="2"/>
  <c r="W307" i="2"/>
  <c r="V307" i="2"/>
  <c r="U307" i="2"/>
  <c r="T307" i="2"/>
  <c r="S307" i="2"/>
  <c r="R307" i="2"/>
  <c r="Q307" i="2"/>
  <c r="P307" i="2"/>
  <c r="O307" i="2"/>
  <c r="N307" i="2"/>
  <c r="M307" i="2"/>
  <c r="L307" i="2"/>
  <c r="K307" i="2"/>
  <c r="J307" i="2"/>
  <c r="I307" i="2"/>
  <c r="H307" i="2"/>
  <c r="G307" i="2"/>
  <c r="F307" i="2"/>
  <c r="E307" i="2"/>
  <c r="D307" i="2"/>
  <c r="C307" i="2"/>
  <c r="B307" i="2"/>
  <c r="A307" i="2"/>
  <c r="FG303" i="2"/>
  <c r="FE303" i="2"/>
  <c r="FC303" i="2"/>
  <c r="FA303" i="2"/>
  <c r="EY303" i="2"/>
  <c r="EW303" i="2"/>
  <c r="EU303" i="2"/>
  <c r="ES303" i="2"/>
  <c r="EQ303" i="2"/>
  <c r="EO303" i="2"/>
  <c r="EM303" i="2"/>
  <c r="EK303" i="2"/>
  <c r="EI303" i="2"/>
  <c r="EG303" i="2"/>
  <c r="EE303" i="2"/>
  <c r="EC303" i="2"/>
  <c r="DP303" i="2"/>
  <c r="DN303" i="2"/>
  <c r="DL303" i="2"/>
  <c r="DJ303" i="2"/>
  <c r="DH303" i="2"/>
  <c r="DF303" i="2"/>
  <c r="DD303" i="2"/>
  <c r="DB303" i="2"/>
  <c r="CZ303" i="2"/>
  <c r="CX303" i="2"/>
  <c r="CV303" i="2"/>
  <c r="CT303" i="2"/>
  <c r="CR303" i="2"/>
  <c r="CP303" i="2"/>
  <c r="CN303" i="2"/>
  <c r="CL303" i="2"/>
  <c r="CJ303" i="2"/>
  <c r="CH303" i="2"/>
  <c r="CF303" i="2"/>
  <c r="CD303" i="2"/>
  <c r="CB303" i="2"/>
  <c r="BZ303" i="2"/>
  <c r="BX303" i="2"/>
  <c r="BV303" i="2"/>
  <c r="BT303" i="2"/>
  <c r="BR303" i="2"/>
  <c r="BP303" i="2"/>
  <c r="BN303" i="2"/>
  <c r="BL303" i="2"/>
  <c r="BJ303" i="2"/>
  <c r="BH303" i="2"/>
  <c r="BF303" i="2"/>
  <c r="BD303" i="2"/>
  <c r="BB303" i="2"/>
  <c r="AZ303" i="2"/>
  <c r="AX303" i="2"/>
  <c r="AV303" i="2"/>
  <c r="AT303" i="2"/>
  <c r="AR303" i="2"/>
  <c r="AP303" i="2"/>
  <c r="AN303" i="2"/>
  <c r="AL303" i="2"/>
  <c r="AJ303" i="2"/>
  <c r="AH303" i="2"/>
  <c r="AF303" i="2"/>
  <c r="AD303" i="2"/>
  <c r="AB303" i="2"/>
  <c r="Z303" i="2"/>
  <c r="X303" i="2"/>
  <c r="V303" i="2"/>
  <c r="T303" i="2"/>
  <c r="R303" i="2"/>
  <c r="P303" i="2"/>
  <c r="N303" i="2"/>
  <c r="L303" i="2"/>
  <c r="J303" i="2"/>
  <c r="H303" i="2"/>
  <c r="F303" i="2"/>
  <c r="D303" i="2"/>
  <c r="B303" i="2"/>
  <c r="FH303" i="2"/>
  <c r="FF303" i="2"/>
  <c r="FD303" i="2"/>
  <c r="FB303" i="2"/>
  <c r="EZ303" i="2"/>
  <c r="EX303" i="2"/>
  <c r="EV303" i="2"/>
  <c r="ET303" i="2"/>
  <c r="ER303" i="2"/>
  <c r="EP303" i="2"/>
  <c r="EN303" i="2"/>
  <c r="EL303" i="2"/>
  <c r="EJ303" i="2"/>
  <c r="EH303" i="2"/>
  <c r="EF303" i="2"/>
  <c r="ED303" i="2"/>
  <c r="EB303" i="2"/>
  <c r="DQ303" i="2"/>
  <c r="DO303" i="2"/>
  <c r="DM303" i="2"/>
  <c r="DK303" i="2"/>
  <c r="DI303" i="2"/>
  <c r="DG303" i="2"/>
  <c r="DE303" i="2"/>
  <c r="DC303" i="2"/>
  <c r="DA303" i="2"/>
  <c r="CY303" i="2"/>
  <c r="CW303" i="2"/>
  <c r="CU303" i="2"/>
  <c r="CS303" i="2"/>
  <c r="CQ303" i="2"/>
  <c r="CO303" i="2"/>
  <c r="CM303" i="2"/>
  <c r="CK303" i="2"/>
  <c r="CI303" i="2"/>
  <c r="CG303" i="2"/>
  <c r="CE303" i="2"/>
  <c r="CC303" i="2"/>
  <c r="CA303" i="2"/>
  <c r="BY303" i="2"/>
  <c r="BW303" i="2"/>
  <c r="BU303" i="2"/>
  <c r="BS303" i="2"/>
  <c r="BQ303" i="2"/>
  <c r="BO303" i="2"/>
  <c r="BM303" i="2"/>
  <c r="BK303" i="2"/>
  <c r="BI303" i="2"/>
  <c r="BG303" i="2"/>
  <c r="BE303" i="2"/>
  <c r="BC303" i="2"/>
  <c r="BA303" i="2"/>
  <c r="AY303" i="2"/>
  <c r="AW303" i="2"/>
  <c r="AU303" i="2"/>
  <c r="AS303" i="2"/>
  <c r="AQ303" i="2"/>
  <c r="AO303" i="2"/>
  <c r="AM303" i="2"/>
  <c r="AK303" i="2"/>
  <c r="AI303" i="2"/>
  <c r="AG303" i="2"/>
  <c r="AE303" i="2"/>
  <c r="AC303" i="2"/>
  <c r="AA303" i="2"/>
  <c r="Y303" i="2"/>
  <c r="W303" i="2"/>
  <c r="U303" i="2"/>
  <c r="S303" i="2"/>
  <c r="Q303" i="2"/>
  <c r="O303" i="2"/>
  <c r="M303" i="2"/>
  <c r="K303" i="2"/>
  <c r="I303" i="2"/>
  <c r="G303" i="2"/>
  <c r="E303" i="2"/>
  <c r="C303" i="2"/>
  <c r="FH301" i="2"/>
  <c r="FG301" i="2"/>
  <c r="FF301" i="2"/>
  <c r="FE301" i="2"/>
  <c r="FD301" i="2"/>
  <c r="FC301" i="2"/>
  <c r="FB301" i="2"/>
  <c r="FA301" i="2"/>
  <c r="EZ301" i="2"/>
  <c r="EY301" i="2"/>
  <c r="EX301" i="2"/>
  <c r="EW301" i="2"/>
  <c r="EV301" i="2"/>
  <c r="EU301" i="2"/>
  <c r="ET301" i="2"/>
  <c r="ES301" i="2"/>
  <c r="ER301" i="2"/>
  <c r="EQ301" i="2"/>
  <c r="EP301" i="2"/>
  <c r="EO301" i="2"/>
  <c r="EN301" i="2"/>
  <c r="EM301" i="2"/>
  <c r="EL301" i="2"/>
  <c r="EK301" i="2"/>
  <c r="EJ301" i="2"/>
  <c r="EI301" i="2"/>
  <c r="EH301" i="2"/>
  <c r="EG301" i="2"/>
  <c r="EF301" i="2"/>
  <c r="EE301" i="2"/>
  <c r="ED301" i="2"/>
  <c r="EC301" i="2"/>
  <c r="EB301" i="2"/>
  <c r="FH300" i="2"/>
  <c r="FG300" i="2"/>
  <c r="FF300" i="2"/>
  <c r="FE300" i="2"/>
  <c r="FD300" i="2"/>
  <c r="FC300" i="2"/>
  <c r="FB300" i="2"/>
  <c r="FA300" i="2"/>
  <c r="EZ300" i="2"/>
  <c r="EY300" i="2"/>
  <c r="EX300" i="2"/>
  <c r="EW300" i="2"/>
  <c r="EV300" i="2"/>
  <c r="EU300" i="2"/>
  <c r="ET300" i="2"/>
  <c r="ES300" i="2"/>
  <c r="ER300" i="2"/>
  <c r="EQ300" i="2"/>
  <c r="EP300" i="2"/>
  <c r="EO300" i="2"/>
  <c r="EN300" i="2"/>
  <c r="EM300" i="2"/>
  <c r="EL300" i="2"/>
  <c r="EK300" i="2"/>
  <c r="EJ300" i="2"/>
  <c r="EI300" i="2"/>
  <c r="EH300" i="2"/>
  <c r="EG300" i="2"/>
  <c r="EF300" i="2"/>
  <c r="EE300" i="2"/>
  <c r="ED300" i="2"/>
  <c r="EC300" i="2"/>
  <c r="EB300" i="2"/>
  <c r="FH299" i="2"/>
  <c r="FG299" i="2"/>
  <c r="FF299" i="2"/>
  <c r="FE299" i="2"/>
  <c r="FD299" i="2"/>
  <c r="FC299" i="2"/>
  <c r="FB299" i="2"/>
  <c r="FA299" i="2"/>
  <c r="EZ299" i="2"/>
  <c r="EY299" i="2"/>
  <c r="EX299" i="2"/>
  <c r="EW299" i="2"/>
  <c r="EV299" i="2"/>
  <c r="EU299" i="2"/>
  <c r="ET299" i="2"/>
  <c r="ES299" i="2"/>
  <c r="ER299" i="2"/>
  <c r="EQ299" i="2"/>
  <c r="EP299" i="2"/>
  <c r="EO299" i="2"/>
  <c r="EN299" i="2"/>
  <c r="EM299" i="2"/>
  <c r="EL299" i="2"/>
  <c r="EK299" i="2"/>
  <c r="EJ299" i="2"/>
  <c r="EI299" i="2"/>
  <c r="EH299" i="2"/>
  <c r="EG299" i="2"/>
  <c r="EF299" i="2"/>
  <c r="EE299" i="2"/>
  <c r="ED299" i="2"/>
  <c r="EC299" i="2"/>
  <c r="EB299" i="2"/>
  <c r="FS298" i="2"/>
  <c r="FR298" i="2"/>
  <c r="FQ298" i="2"/>
  <c r="FP298" i="2"/>
  <c r="FO298" i="2"/>
  <c r="FN298" i="2"/>
  <c r="FM298" i="2"/>
  <c r="FL298" i="2"/>
  <c r="FK298" i="2"/>
  <c r="FJ298" i="2"/>
  <c r="FI298" i="2"/>
  <c r="FH298" i="2"/>
  <c r="FG298" i="2"/>
  <c r="FF298" i="2"/>
  <c r="FE298" i="2"/>
  <c r="FD298" i="2"/>
  <c r="FC298" i="2"/>
  <c r="FB298" i="2"/>
  <c r="FA298" i="2"/>
  <c r="EZ298" i="2"/>
  <c r="EY298" i="2"/>
  <c r="EX298" i="2"/>
  <c r="EW298" i="2"/>
  <c r="EV298" i="2"/>
  <c r="EU298" i="2"/>
  <c r="ET298" i="2"/>
  <c r="ES298" i="2"/>
  <c r="ER298" i="2"/>
  <c r="EQ298" i="2"/>
  <c r="EP298" i="2"/>
  <c r="EO298" i="2"/>
  <c r="EN298" i="2"/>
  <c r="EM298" i="2"/>
  <c r="EL298" i="2"/>
  <c r="EK298" i="2"/>
  <c r="EJ298" i="2"/>
  <c r="EI298" i="2"/>
  <c r="EH298" i="2"/>
  <c r="EG298" i="2"/>
  <c r="EF298" i="2"/>
  <c r="EE298" i="2"/>
  <c r="ED298" i="2"/>
  <c r="EC298" i="2"/>
  <c r="EB298" i="2"/>
  <c r="DQ301" i="2"/>
  <c r="DP301" i="2"/>
  <c r="DO301" i="2"/>
  <c r="DN301" i="2"/>
  <c r="DM301" i="2"/>
  <c r="DL301" i="2"/>
  <c r="DK301" i="2"/>
  <c r="DJ301" i="2"/>
  <c r="DI301" i="2"/>
  <c r="DH301" i="2"/>
  <c r="DG301" i="2"/>
  <c r="DF301" i="2"/>
  <c r="DE301" i="2"/>
  <c r="DD301" i="2"/>
  <c r="DC301" i="2"/>
  <c r="DB301" i="2"/>
  <c r="DA301" i="2"/>
  <c r="CZ301" i="2"/>
  <c r="CY301" i="2"/>
  <c r="CX301" i="2"/>
  <c r="CW301" i="2"/>
  <c r="CV301" i="2"/>
  <c r="CU301" i="2"/>
  <c r="CT301" i="2"/>
  <c r="CS301" i="2"/>
  <c r="CR301" i="2"/>
  <c r="CQ301" i="2"/>
  <c r="CP301" i="2"/>
  <c r="CO301" i="2"/>
  <c r="CN301" i="2"/>
  <c r="CM301" i="2"/>
  <c r="CL301" i="2"/>
  <c r="CK301" i="2"/>
  <c r="CJ301" i="2"/>
  <c r="CI301" i="2"/>
  <c r="CH301" i="2"/>
  <c r="CG301" i="2"/>
  <c r="CF301" i="2"/>
  <c r="CE301" i="2"/>
  <c r="CD301" i="2"/>
  <c r="CC301" i="2"/>
  <c r="CB301" i="2"/>
  <c r="CA301" i="2"/>
  <c r="BZ301" i="2"/>
  <c r="BY301" i="2"/>
  <c r="BX301" i="2"/>
  <c r="BW301" i="2"/>
  <c r="BV301" i="2"/>
  <c r="BU301" i="2"/>
  <c r="BT301" i="2"/>
  <c r="BS301" i="2"/>
  <c r="BR301" i="2"/>
  <c r="BQ301" i="2"/>
  <c r="BP301" i="2"/>
  <c r="BO301" i="2"/>
  <c r="BN301" i="2"/>
  <c r="BM301" i="2"/>
  <c r="BL301" i="2"/>
  <c r="BK301" i="2"/>
  <c r="BJ301" i="2"/>
  <c r="BI301" i="2"/>
  <c r="BH301" i="2"/>
  <c r="BG301" i="2"/>
  <c r="BF301" i="2"/>
  <c r="BE301" i="2"/>
  <c r="BD301" i="2"/>
  <c r="BC301" i="2"/>
  <c r="BB301" i="2"/>
  <c r="BA301" i="2"/>
  <c r="AZ301" i="2"/>
  <c r="AY301" i="2"/>
  <c r="AX301" i="2"/>
  <c r="AW301" i="2"/>
  <c r="AV301" i="2"/>
  <c r="AU301" i="2"/>
  <c r="AT301" i="2"/>
  <c r="AS301" i="2"/>
  <c r="AR301" i="2"/>
  <c r="AQ301" i="2"/>
  <c r="AP301" i="2"/>
  <c r="AO301" i="2"/>
  <c r="AN301" i="2"/>
  <c r="AM301" i="2"/>
  <c r="AL301" i="2"/>
  <c r="AK301" i="2"/>
  <c r="AJ301" i="2"/>
  <c r="AI301" i="2"/>
  <c r="AH301" i="2"/>
  <c r="AG301" i="2"/>
  <c r="AF301" i="2"/>
  <c r="AE301" i="2"/>
  <c r="AD301" i="2"/>
  <c r="AC301" i="2"/>
  <c r="AB301" i="2"/>
  <c r="AA301" i="2"/>
  <c r="Z301" i="2"/>
  <c r="Y301" i="2"/>
  <c r="X301" i="2"/>
  <c r="W301" i="2"/>
  <c r="V301" i="2"/>
  <c r="U301" i="2"/>
  <c r="T301" i="2"/>
  <c r="S301" i="2"/>
  <c r="R301" i="2"/>
  <c r="Q301" i="2"/>
  <c r="P301" i="2"/>
  <c r="O301" i="2"/>
  <c r="N301" i="2"/>
  <c r="M301" i="2"/>
  <c r="L301" i="2"/>
  <c r="K301" i="2"/>
  <c r="J301" i="2"/>
  <c r="I301" i="2"/>
  <c r="H301" i="2"/>
  <c r="G301" i="2"/>
  <c r="F301" i="2"/>
  <c r="E301" i="2"/>
  <c r="D301" i="2"/>
  <c r="C301" i="2"/>
  <c r="B301" i="2"/>
  <c r="A301" i="2"/>
  <c r="DQ300" i="2"/>
  <c r="DP300" i="2"/>
  <c r="DO300" i="2"/>
  <c r="DN300" i="2"/>
  <c r="DM300" i="2"/>
  <c r="DL300" i="2"/>
  <c r="DK300" i="2"/>
  <c r="DJ300" i="2"/>
  <c r="DI300" i="2"/>
  <c r="DH300" i="2"/>
  <c r="DG300" i="2"/>
  <c r="DF300" i="2"/>
  <c r="DE300" i="2"/>
  <c r="DD300" i="2"/>
  <c r="DC300" i="2"/>
  <c r="DB300" i="2"/>
  <c r="DA300" i="2"/>
  <c r="CZ300" i="2"/>
  <c r="CY300" i="2"/>
  <c r="CX300" i="2"/>
  <c r="CW300" i="2"/>
  <c r="CV300" i="2"/>
  <c r="CU300" i="2"/>
  <c r="CT300" i="2"/>
  <c r="CS300" i="2"/>
  <c r="CR300" i="2"/>
  <c r="CQ300" i="2"/>
  <c r="CP300" i="2"/>
  <c r="CO300" i="2"/>
  <c r="CN300" i="2"/>
  <c r="CM300" i="2"/>
  <c r="CL300" i="2"/>
  <c r="CK300" i="2"/>
  <c r="CJ300" i="2"/>
  <c r="CI300" i="2"/>
  <c r="CH300" i="2"/>
  <c r="CG300" i="2"/>
  <c r="CF300" i="2"/>
  <c r="CE300" i="2"/>
  <c r="CD300" i="2"/>
  <c r="CC300" i="2"/>
  <c r="CB300" i="2"/>
  <c r="CA300" i="2"/>
  <c r="BZ300" i="2"/>
  <c r="BY300" i="2"/>
  <c r="BX300" i="2"/>
  <c r="BW300" i="2"/>
  <c r="BV300" i="2"/>
  <c r="BU300" i="2"/>
  <c r="BT300" i="2"/>
  <c r="BS300" i="2"/>
  <c r="BR300" i="2"/>
  <c r="BQ300" i="2"/>
  <c r="BP300" i="2"/>
  <c r="BO300" i="2"/>
  <c r="BN300" i="2"/>
  <c r="BM300" i="2"/>
  <c r="BL300" i="2"/>
  <c r="BK300" i="2"/>
  <c r="BJ300" i="2"/>
  <c r="BI300" i="2"/>
  <c r="BH300" i="2"/>
  <c r="BG300" i="2"/>
  <c r="BF300" i="2"/>
  <c r="BE300" i="2"/>
  <c r="BD300" i="2"/>
  <c r="BC300" i="2"/>
  <c r="BB300" i="2"/>
  <c r="BA300" i="2"/>
  <c r="AZ300" i="2"/>
  <c r="AY300" i="2"/>
  <c r="AX300" i="2"/>
  <c r="AW300" i="2"/>
  <c r="AV300" i="2"/>
  <c r="AU300" i="2"/>
  <c r="AT300" i="2"/>
  <c r="AS300" i="2"/>
  <c r="AR300" i="2"/>
  <c r="AQ300" i="2"/>
  <c r="AP300" i="2"/>
  <c r="AO300" i="2"/>
  <c r="AN300" i="2"/>
  <c r="AM300" i="2"/>
  <c r="AL300" i="2"/>
  <c r="AK300" i="2"/>
  <c r="AJ300" i="2"/>
  <c r="AI300" i="2"/>
  <c r="AH300" i="2"/>
  <c r="AG300" i="2"/>
  <c r="AF300" i="2"/>
  <c r="AE300" i="2"/>
  <c r="AD300" i="2"/>
  <c r="AC300" i="2"/>
  <c r="AB300" i="2"/>
  <c r="AA300" i="2"/>
  <c r="Z300" i="2"/>
  <c r="Y300" i="2"/>
  <c r="X300" i="2"/>
  <c r="W300" i="2"/>
  <c r="V300" i="2"/>
  <c r="U300" i="2"/>
  <c r="T300" i="2"/>
  <c r="S300" i="2"/>
  <c r="R300" i="2"/>
  <c r="Q300" i="2"/>
  <c r="P300" i="2"/>
  <c r="O300" i="2"/>
  <c r="N300" i="2"/>
  <c r="M300" i="2"/>
  <c r="L300" i="2"/>
  <c r="K300" i="2"/>
  <c r="J300" i="2"/>
  <c r="I300" i="2"/>
  <c r="H300" i="2"/>
  <c r="G300" i="2"/>
  <c r="F300" i="2"/>
  <c r="E300" i="2"/>
  <c r="D300" i="2"/>
  <c r="C300" i="2"/>
  <c r="B300" i="2"/>
  <c r="A300" i="2"/>
  <c r="DQ299" i="2"/>
  <c r="DP299" i="2"/>
  <c r="DO299" i="2"/>
  <c r="DN299" i="2"/>
  <c r="DM299" i="2"/>
  <c r="DL299" i="2"/>
  <c r="DK299" i="2"/>
  <c r="DJ299" i="2"/>
  <c r="DI299" i="2"/>
  <c r="DH299" i="2"/>
  <c r="DG299" i="2"/>
  <c r="DF299" i="2"/>
  <c r="DE299" i="2"/>
  <c r="DD299" i="2"/>
  <c r="DC299" i="2"/>
  <c r="DB299" i="2"/>
  <c r="DA299" i="2"/>
  <c r="CZ299" i="2"/>
  <c r="CY299" i="2"/>
  <c r="CX299" i="2"/>
  <c r="CW299" i="2"/>
  <c r="CV299" i="2"/>
  <c r="CU299" i="2"/>
  <c r="CT299" i="2"/>
  <c r="CS299" i="2"/>
  <c r="CR299" i="2"/>
  <c r="CQ299" i="2"/>
  <c r="CP299" i="2"/>
  <c r="CO299" i="2"/>
  <c r="CN299" i="2"/>
  <c r="CM299" i="2"/>
  <c r="CL299" i="2"/>
  <c r="CK299" i="2"/>
  <c r="CJ299" i="2"/>
  <c r="CI299" i="2"/>
  <c r="CH299" i="2"/>
  <c r="CG299" i="2"/>
  <c r="CF299" i="2"/>
  <c r="CE299" i="2"/>
  <c r="CD299" i="2"/>
  <c r="CC299" i="2"/>
  <c r="CB299" i="2"/>
  <c r="CA299" i="2"/>
  <c r="BZ299" i="2"/>
  <c r="BY299" i="2"/>
  <c r="BX299" i="2"/>
  <c r="BW299" i="2"/>
  <c r="BV299" i="2"/>
  <c r="BU299" i="2"/>
  <c r="BT299" i="2"/>
  <c r="BS299" i="2"/>
  <c r="BR299" i="2"/>
  <c r="BQ299" i="2"/>
  <c r="BP299" i="2"/>
  <c r="BO299" i="2"/>
  <c r="BN299" i="2"/>
  <c r="BM299" i="2"/>
  <c r="BL299" i="2"/>
  <c r="BK299" i="2"/>
  <c r="BJ299" i="2"/>
  <c r="BI299" i="2"/>
  <c r="BH299" i="2"/>
  <c r="BG299" i="2"/>
  <c r="BF299" i="2"/>
  <c r="BE299" i="2"/>
  <c r="BD299" i="2"/>
  <c r="BC299" i="2"/>
  <c r="BB299" i="2"/>
  <c r="BA299" i="2"/>
  <c r="AZ299" i="2"/>
  <c r="AY299" i="2"/>
  <c r="AX299" i="2"/>
  <c r="AW299" i="2"/>
  <c r="AV299" i="2"/>
  <c r="AU299" i="2"/>
  <c r="AT299" i="2"/>
  <c r="AS299" i="2"/>
  <c r="AR299" i="2"/>
  <c r="AQ299" i="2"/>
  <c r="AP299" i="2"/>
  <c r="AO299" i="2"/>
  <c r="AN299" i="2"/>
  <c r="AM299" i="2"/>
  <c r="AL299" i="2"/>
  <c r="AK299" i="2"/>
  <c r="AJ299" i="2"/>
  <c r="AI299" i="2"/>
  <c r="AH299" i="2"/>
  <c r="AG299" i="2"/>
  <c r="AF299" i="2"/>
  <c r="AE299" i="2"/>
  <c r="AD299" i="2"/>
  <c r="AC299" i="2"/>
  <c r="AB299" i="2"/>
  <c r="AA299" i="2"/>
  <c r="Z299" i="2"/>
  <c r="Y299" i="2"/>
  <c r="X299" i="2"/>
  <c r="W299" i="2"/>
  <c r="V299" i="2"/>
  <c r="U299" i="2"/>
  <c r="T299" i="2"/>
  <c r="S299" i="2"/>
  <c r="R299" i="2"/>
  <c r="Q299" i="2"/>
  <c r="P299" i="2"/>
  <c r="O299" i="2"/>
  <c r="N299" i="2"/>
  <c r="M299" i="2"/>
  <c r="L299" i="2"/>
  <c r="K299" i="2"/>
  <c r="J299" i="2"/>
  <c r="I299" i="2"/>
  <c r="H299" i="2"/>
  <c r="G299" i="2"/>
  <c r="F299" i="2"/>
  <c r="E299" i="2"/>
  <c r="D299" i="2"/>
  <c r="C299" i="2"/>
  <c r="B299" i="2"/>
  <c r="A299" i="2"/>
  <c r="DY298" i="2"/>
  <c r="DX298" i="2"/>
  <c r="DW298" i="2"/>
  <c r="DV298" i="2"/>
  <c r="DU298" i="2"/>
  <c r="DT298" i="2"/>
  <c r="DS298" i="2"/>
  <c r="DR298" i="2"/>
  <c r="DQ298" i="2"/>
  <c r="DP298" i="2"/>
  <c r="DO298" i="2"/>
  <c r="DN298" i="2"/>
  <c r="DM298" i="2"/>
  <c r="DL298" i="2"/>
  <c r="DK298" i="2"/>
  <c r="DJ298" i="2"/>
  <c r="DI298" i="2"/>
  <c r="DH298" i="2"/>
  <c r="DG298" i="2"/>
  <c r="DF298" i="2"/>
  <c r="DE298" i="2"/>
  <c r="DD298" i="2"/>
  <c r="DC298" i="2"/>
  <c r="DB298" i="2"/>
  <c r="DA298" i="2"/>
  <c r="CZ298" i="2"/>
  <c r="CY298" i="2"/>
  <c r="CX298" i="2"/>
  <c r="CW298" i="2"/>
  <c r="CV298" i="2"/>
  <c r="CU298" i="2"/>
  <c r="CT298" i="2"/>
  <c r="CS298" i="2"/>
  <c r="CR298" i="2"/>
  <c r="CQ298" i="2"/>
  <c r="CP298" i="2"/>
  <c r="CO298" i="2"/>
  <c r="CN298" i="2"/>
  <c r="CM298" i="2"/>
  <c r="CL298" i="2"/>
  <c r="CK298" i="2"/>
  <c r="CJ298" i="2"/>
  <c r="CI298" i="2"/>
  <c r="CH298" i="2"/>
  <c r="CG298" i="2"/>
  <c r="CF298" i="2"/>
  <c r="CE298" i="2"/>
  <c r="CD298" i="2"/>
  <c r="CC298" i="2"/>
  <c r="CB298" i="2"/>
  <c r="CA298" i="2"/>
  <c r="BZ298" i="2"/>
  <c r="BY298" i="2"/>
  <c r="BX298" i="2"/>
  <c r="BW298" i="2"/>
  <c r="BV298" i="2"/>
  <c r="BU298" i="2"/>
  <c r="BT298" i="2"/>
  <c r="BS298" i="2"/>
  <c r="BR298" i="2"/>
  <c r="BQ298" i="2"/>
  <c r="BP298" i="2"/>
  <c r="BO298" i="2"/>
  <c r="BN298" i="2"/>
  <c r="BM298" i="2"/>
  <c r="BL298" i="2"/>
  <c r="BK298" i="2"/>
  <c r="BJ298" i="2"/>
  <c r="BI298" i="2"/>
  <c r="BH298" i="2"/>
  <c r="BG298" i="2"/>
  <c r="BF298" i="2"/>
  <c r="BE298" i="2"/>
  <c r="BD298" i="2"/>
  <c r="BC298" i="2"/>
  <c r="BB298" i="2"/>
  <c r="BA298" i="2"/>
  <c r="AZ298" i="2"/>
  <c r="AY298" i="2"/>
  <c r="AX298" i="2"/>
  <c r="AW298" i="2"/>
  <c r="AV298" i="2"/>
  <c r="AU298" i="2"/>
  <c r="AT298" i="2"/>
  <c r="AS298" i="2"/>
  <c r="AR298" i="2"/>
  <c r="AQ298" i="2"/>
  <c r="AP298" i="2"/>
  <c r="AO298" i="2"/>
  <c r="AN298" i="2"/>
  <c r="AM298" i="2"/>
  <c r="AL298" i="2"/>
  <c r="AK298" i="2"/>
  <c r="AJ298" i="2"/>
  <c r="AI298" i="2"/>
  <c r="AH298" i="2"/>
  <c r="AG298" i="2"/>
  <c r="AF298" i="2"/>
  <c r="AE298" i="2"/>
  <c r="AD298" i="2"/>
  <c r="AC298" i="2"/>
  <c r="AB298" i="2"/>
  <c r="AA298" i="2"/>
  <c r="Z298" i="2"/>
  <c r="Y298" i="2"/>
  <c r="X298" i="2"/>
  <c r="W298" i="2"/>
  <c r="V298" i="2"/>
  <c r="U298" i="2"/>
  <c r="T298" i="2"/>
  <c r="S298" i="2"/>
  <c r="R298" i="2"/>
  <c r="Q298" i="2"/>
  <c r="P298" i="2"/>
  <c r="O298" i="2"/>
  <c r="N298" i="2"/>
  <c r="M298" i="2"/>
  <c r="L298" i="2"/>
  <c r="K298" i="2"/>
  <c r="J298" i="2"/>
  <c r="I298" i="2"/>
  <c r="H298" i="2"/>
  <c r="G298" i="2"/>
  <c r="F298" i="2"/>
  <c r="E298" i="2"/>
  <c r="D298" i="2"/>
  <c r="C298" i="2"/>
  <c r="B298" i="2"/>
  <c r="A298" i="2"/>
  <c r="FH295" i="2"/>
  <c r="FG295" i="2"/>
  <c r="FF295" i="2"/>
  <c r="FE295" i="2"/>
  <c r="FD295" i="2"/>
  <c r="FC295" i="2"/>
  <c r="FB295" i="2"/>
  <c r="FA295" i="2"/>
  <c r="EZ295" i="2"/>
  <c r="EY295" i="2"/>
  <c r="EX295" i="2"/>
  <c r="EW295" i="2"/>
  <c r="EV295" i="2"/>
  <c r="EU295" i="2"/>
  <c r="ET295" i="2"/>
  <c r="ES295" i="2"/>
  <c r="ER295" i="2"/>
  <c r="EQ295" i="2"/>
  <c r="EP295" i="2"/>
  <c r="EO295" i="2"/>
  <c r="EN295" i="2"/>
  <c r="EM295" i="2"/>
  <c r="EL295" i="2"/>
  <c r="EK295" i="2"/>
  <c r="EJ295" i="2"/>
  <c r="EI295" i="2"/>
  <c r="EH295" i="2"/>
  <c r="EG295" i="2"/>
  <c r="EF295" i="2"/>
  <c r="EE295" i="2"/>
  <c r="ED295" i="2"/>
  <c r="EC295" i="2"/>
  <c r="EB295" i="2"/>
  <c r="FH294" i="2"/>
  <c r="FG294" i="2"/>
  <c r="FF294" i="2"/>
  <c r="FE294" i="2"/>
  <c r="FD294" i="2"/>
  <c r="FC294" i="2"/>
  <c r="FB294" i="2"/>
  <c r="FA294" i="2"/>
  <c r="EZ294" i="2"/>
  <c r="EY294" i="2"/>
  <c r="EX294" i="2"/>
  <c r="EW294" i="2"/>
  <c r="EV294" i="2"/>
  <c r="EU294" i="2"/>
  <c r="ET294" i="2"/>
  <c r="ES294" i="2"/>
  <c r="ER294" i="2"/>
  <c r="EQ294" i="2"/>
  <c r="EP294" i="2"/>
  <c r="EO294" i="2"/>
  <c r="EN294" i="2"/>
  <c r="EM294" i="2"/>
  <c r="EL294" i="2"/>
  <c r="EK294" i="2"/>
  <c r="EJ294" i="2"/>
  <c r="EI294" i="2"/>
  <c r="EH294" i="2"/>
  <c r="EG294" i="2"/>
  <c r="EF294" i="2"/>
  <c r="EE294" i="2"/>
  <c r="ED294" i="2"/>
  <c r="EC294" i="2"/>
  <c r="EB294" i="2"/>
  <c r="FS293" i="2"/>
  <c r="FR293" i="2"/>
  <c r="FQ293" i="2"/>
  <c r="FP293" i="2"/>
  <c r="FO293" i="2"/>
  <c r="FN293" i="2"/>
  <c r="FM293" i="2"/>
  <c r="FL293" i="2"/>
  <c r="FK293" i="2"/>
  <c r="FJ293" i="2"/>
  <c r="FI293" i="2"/>
  <c r="FH293" i="2"/>
  <c r="FG293" i="2"/>
  <c r="FF293" i="2"/>
  <c r="FE293" i="2"/>
  <c r="FE304" i="2" s="1"/>
  <c r="FD293" i="2"/>
  <c r="FC293" i="2"/>
  <c r="FC304" i="2" s="1"/>
  <c r="FB293" i="2"/>
  <c r="FA293" i="2"/>
  <c r="EZ293" i="2"/>
  <c r="EY293" i="2"/>
  <c r="EX293" i="2"/>
  <c r="EW293" i="2"/>
  <c r="EW304" i="2" s="1"/>
  <c r="EV293" i="2"/>
  <c r="EU293" i="2"/>
  <c r="EU304" i="2" s="1"/>
  <c r="ET293" i="2"/>
  <c r="ES293" i="2"/>
  <c r="ER293" i="2"/>
  <c r="EQ293" i="2"/>
  <c r="EP293" i="2"/>
  <c r="EO293" i="2"/>
  <c r="EO304" i="2" s="1"/>
  <c r="EN293" i="2"/>
  <c r="EM293" i="2"/>
  <c r="EM304" i="2" s="1"/>
  <c r="EL293" i="2"/>
  <c r="EK293" i="2"/>
  <c r="EJ293" i="2"/>
  <c r="EI293" i="2"/>
  <c r="EH293" i="2"/>
  <c r="EG293" i="2"/>
  <c r="EG304" i="2" s="1"/>
  <c r="EF293" i="2"/>
  <c r="EE293" i="2"/>
  <c r="EE304" i="2" s="1"/>
  <c r="ED293" i="2"/>
  <c r="EC293" i="2"/>
  <c r="EB293" i="2"/>
  <c r="DQ295" i="2"/>
  <c r="DP295" i="2"/>
  <c r="DO295" i="2"/>
  <c r="DN295" i="2"/>
  <c r="DM295" i="2"/>
  <c r="DL295" i="2"/>
  <c r="DK295" i="2"/>
  <c r="DJ295" i="2"/>
  <c r="DI295" i="2"/>
  <c r="DH295" i="2"/>
  <c r="DG295" i="2"/>
  <c r="DF295" i="2"/>
  <c r="DE295" i="2"/>
  <c r="DD295" i="2"/>
  <c r="DC295" i="2"/>
  <c r="DB295" i="2"/>
  <c r="DA295" i="2"/>
  <c r="CZ295" i="2"/>
  <c r="CY295" i="2"/>
  <c r="CX295" i="2"/>
  <c r="CW295" i="2"/>
  <c r="CV295" i="2"/>
  <c r="CU295" i="2"/>
  <c r="CT295" i="2"/>
  <c r="CS295" i="2"/>
  <c r="CR295" i="2"/>
  <c r="CQ295" i="2"/>
  <c r="CP295" i="2"/>
  <c r="CO295" i="2"/>
  <c r="CN295" i="2"/>
  <c r="CM295" i="2"/>
  <c r="CL295" i="2"/>
  <c r="CK295" i="2"/>
  <c r="CJ295" i="2"/>
  <c r="CI295" i="2"/>
  <c r="CH295" i="2"/>
  <c r="CG295" i="2"/>
  <c r="CF295" i="2"/>
  <c r="CE295" i="2"/>
  <c r="CD295" i="2"/>
  <c r="CC295" i="2"/>
  <c r="CB295" i="2"/>
  <c r="CA295" i="2"/>
  <c r="BZ295" i="2"/>
  <c r="BY295" i="2"/>
  <c r="BX295" i="2"/>
  <c r="BW295" i="2"/>
  <c r="BV295" i="2"/>
  <c r="BU295" i="2"/>
  <c r="BT295" i="2"/>
  <c r="BS295" i="2"/>
  <c r="BR295" i="2"/>
  <c r="BQ295" i="2"/>
  <c r="BP295" i="2"/>
  <c r="BO295" i="2"/>
  <c r="BN295" i="2"/>
  <c r="BM295" i="2"/>
  <c r="BL295" i="2"/>
  <c r="BK295" i="2"/>
  <c r="BJ295" i="2"/>
  <c r="BI295" i="2"/>
  <c r="BH295" i="2"/>
  <c r="BG295" i="2"/>
  <c r="BF295" i="2"/>
  <c r="BE295" i="2"/>
  <c r="BD295" i="2"/>
  <c r="BC295" i="2"/>
  <c r="BB295" i="2"/>
  <c r="BA295" i="2"/>
  <c r="AZ295" i="2"/>
  <c r="AY295" i="2"/>
  <c r="AX295" i="2"/>
  <c r="AW295" i="2"/>
  <c r="AV295" i="2"/>
  <c r="AU295" i="2"/>
  <c r="AT295" i="2"/>
  <c r="AS295" i="2"/>
  <c r="AR295" i="2"/>
  <c r="AQ295" i="2"/>
  <c r="AP295" i="2"/>
  <c r="AO295" i="2"/>
  <c r="AN295" i="2"/>
  <c r="AM295" i="2"/>
  <c r="AL295" i="2"/>
  <c r="AK295" i="2"/>
  <c r="AJ295" i="2"/>
  <c r="AI295" i="2"/>
  <c r="AH295" i="2"/>
  <c r="AG295" i="2"/>
  <c r="AF295" i="2"/>
  <c r="AE295" i="2"/>
  <c r="AD295" i="2"/>
  <c r="AC295" i="2"/>
  <c r="AB295" i="2"/>
  <c r="AA295" i="2"/>
  <c r="Z295" i="2"/>
  <c r="Y295" i="2"/>
  <c r="X295" i="2"/>
  <c r="W295" i="2"/>
  <c r="V295" i="2"/>
  <c r="U295" i="2"/>
  <c r="T295" i="2"/>
  <c r="S295" i="2"/>
  <c r="R295" i="2"/>
  <c r="Q295" i="2"/>
  <c r="P295" i="2"/>
  <c r="O295" i="2"/>
  <c r="N295" i="2"/>
  <c r="M295" i="2"/>
  <c r="L295" i="2"/>
  <c r="K295" i="2"/>
  <c r="J295" i="2"/>
  <c r="I295" i="2"/>
  <c r="H295" i="2"/>
  <c r="G295" i="2"/>
  <c r="F295" i="2"/>
  <c r="E295" i="2"/>
  <c r="D295" i="2"/>
  <c r="C295" i="2"/>
  <c r="B295" i="2"/>
  <c r="A295" i="2"/>
  <c r="DQ294" i="2"/>
  <c r="DP294" i="2"/>
  <c r="DO294" i="2"/>
  <c r="DN294" i="2"/>
  <c r="DM294" i="2"/>
  <c r="DL294" i="2"/>
  <c r="DK294" i="2"/>
  <c r="DJ294" i="2"/>
  <c r="DI294" i="2"/>
  <c r="DH294" i="2"/>
  <c r="DG294" i="2"/>
  <c r="DF294" i="2"/>
  <c r="DE294" i="2"/>
  <c r="DD294" i="2"/>
  <c r="DC294" i="2"/>
  <c r="DB294" i="2"/>
  <c r="DA294" i="2"/>
  <c r="CZ294" i="2"/>
  <c r="CY294" i="2"/>
  <c r="CX294" i="2"/>
  <c r="CW294" i="2"/>
  <c r="CV294" i="2"/>
  <c r="CU294" i="2"/>
  <c r="CT294" i="2"/>
  <c r="CS294" i="2"/>
  <c r="CR294" i="2"/>
  <c r="CQ294" i="2"/>
  <c r="CP294" i="2"/>
  <c r="CO294" i="2"/>
  <c r="CN294" i="2"/>
  <c r="CM294" i="2"/>
  <c r="CL294" i="2"/>
  <c r="CK294" i="2"/>
  <c r="CJ294" i="2"/>
  <c r="CI294" i="2"/>
  <c r="CH294" i="2"/>
  <c r="CG294" i="2"/>
  <c r="CF294" i="2"/>
  <c r="CE294" i="2"/>
  <c r="CD294" i="2"/>
  <c r="CC294" i="2"/>
  <c r="CB294" i="2"/>
  <c r="CA294" i="2"/>
  <c r="BZ294" i="2"/>
  <c r="BY294" i="2"/>
  <c r="BX294" i="2"/>
  <c r="BW294" i="2"/>
  <c r="BV294" i="2"/>
  <c r="BU294" i="2"/>
  <c r="BT294" i="2"/>
  <c r="BS294" i="2"/>
  <c r="BR294" i="2"/>
  <c r="BQ294" i="2"/>
  <c r="BP294" i="2"/>
  <c r="BO294" i="2"/>
  <c r="BN294" i="2"/>
  <c r="BM294" i="2"/>
  <c r="BL294" i="2"/>
  <c r="BK294" i="2"/>
  <c r="BJ294" i="2"/>
  <c r="BI294" i="2"/>
  <c r="BH294" i="2"/>
  <c r="BG294" i="2"/>
  <c r="BF294" i="2"/>
  <c r="BE294" i="2"/>
  <c r="BD294" i="2"/>
  <c r="BC294" i="2"/>
  <c r="BB294" i="2"/>
  <c r="BA294" i="2"/>
  <c r="AZ294" i="2"/>
  <c r="AY294" i="2"/>
  <c r="AX294" i="2"/>
  <c r="AW294" i="2"/>
  <c r="AV294" i="2"/>
  <c r="AU294" i="2"/>
  <c r="AT294" i="2"/>
  <c r="AS294" i="2"/>
  <c r="AR294" i="2"/>
  <c r="AQ294" i="2"/>
  <c r="AP294" i="2"/>
  <c r="AO294" i="2"/>
  <c r="AN294" i="2"/>
  <c r="AM294" i="2"/>
  <c r="AL294" i="2"/>
  <c r="AK294" i="2"/>
  <c r="AJ294" i="2"/>
  <c r="AI294" i="2"/>
  <c r="AH294" i="2"/>
  <c r="AG294" i="2"/>
  <c r="AF294" i="2"/>
  <c r="AE294" i="2"/>
  <c r="AD294" i="2"/>
  <c r="AC294" i="2"/>
  <c r="AB294" i="2"/>
  <c r="AA294" i="2"/>
  <c r="Z294" i="2"/>
  <c r="Y294" i="2"/>
  <c r="X294" i="2"/>
  <c r="W294" i="2"/>
  <c r="V294" i="2"/>
  <c r="U294" i="2"/>
  <c r="T294" i="2"/>
  <c r="S294" i="2"/>
  <c r="R294" i="2"/>
  <c r="Q294" i="2"/>
  <c r="P294" i="2"/>
  <c r="O294" i="2"/>
  <c r="N294" i="2"/>
  <c r="M294" i="2"/>
  <c r="L294" i="2"/>
  <c r="K294" i="2"/>
  <c r="J294" i="2"/>
  <c r="I294" i="2"/>
  <c r="H294" i="2"/>
  <c r="G294" i="2"/>
  <c r="F294" i="2"/>
  <c r="E294" i="2"/>
  <c r="D294" i="2"/>
  <c r="C294" i="2"/>
  <c r="B294" i="2"/>
  <c r="A294" i="2"/>
  <c r="DY293" i="2"/>
  <c r="DX293" i="2"/>
  <c r="DW293" i="2"/>
  <c r="DV293" i="2"/>
  <c r="DU293" i="2"/>
  <c r="DT293" i="2"/>
  <c r="DS293" i="2"/>
  <c r="DR293" i="2"/>
  <c r="DQ293" i="2"/>
  <c r="DP293" i="2"/>
  <c r="DO293" i="2"/>
  <c r="DN293" i="2"/>
  <c r="DM293" i="2"/>
  <c r="DL293" i="2"/>
  <c r="DK293" i="2"/>
  <c r="DJ293" i="2"/>
  <c r="DI293" i="2"/>
  <c r="DH293" i="2"/>
  <c r="DG293" i="2"/>
  <c r="DF293" i="2"/>
  <c r="DE293" i="2"/>
  <c r="DD293" i="2"/>
  <c r="DC293" i="2"/>
  <c r="DB293" i="2"/>
  <c r="DA293" i="2"/>
  <c r="CZ293" i="2"/>
  <c r="CY293" i="2"/>
  <c r="CX293" i="2"/>
  <c r="CW293" i="2"/>
  <c r="CV293" i="2"/>
  <c r="CU293" i="2"/>
  <c r="CT293" i="2"/>
  <c r="CS293" i="2"/>
  <c r="CR293" i="2"/>
  <c r="CQ293" i="2"/>
  <c r="CP293" i="2"/>
  <c r="CO293" i="2"/>
  <c r="CN293" i="2"/>
  <c r="CM293" i="2"/>
  <c r="CL293" i="2"/>
  <c r="CK293" i="2"/>
  <c r="CJ293" i="2"/>
  <c r="CI293" i="2"/>
  <c r="CH293" i="2"/>
  <c r="CG293" i="2"/>
  <c r="CF293" i="2"/>
  <c r="CE293" i="2"/>
  <c r="CD293" i="2"/>
  <c r="CC293" i="2"/>
  <c r="CB293" i="2"/>
  <c r="CA293" i="2"/>
  <c r="BZ293" i="2"/>
  <c r="BY293" i="2"/>
  <c r="BX293" i="2"/>
  <c r="BW293" i="2"/>
  <c r="BV293" i="2"/>
  <c r="BU293" i="2"/>
  <c r="BT293" i="2"/>
  <c r="BS293" i="2"/>
  <c r="BR293" i="2"/>
  <c r="BQ293" i="2"/>
  <c r="BP293" i="2"/>
  <c r="BO293" i="2"/>
  <c r="BN293" i="2"/>
  <c r="BM293" i="2"/>
  <c r="BL293" i="2"/>
  <c r="BK293" i="2"/>
  <c r="BJ293" i="2"/>
  <c r="BI293" i="2"/>
  <c r="BH293" i="2"/>
  <c r="BG293" i="2"/>
  <c r="BF293" i="2"/>
  <c r="BE293" i="2"/>
  <c r="BD293" i="2"/>
  <c r="BC293" i="2"/>
  <c r="BB293" i="2"/>
  <c r="BA293" i="2"/>
  <c r="AZ293" i="2"/>
  <c r="AY293" i="2"/>
  <c r="AX293" i="2"/>
  <c r="AW293" i="2"/>
  <c r="AV293" i="2"/>
  <c r="AU293" i="2"/>
  <c r="AT293" i="2"/>
  <c r="AS293" i="2"/>
  <c r="AR293" i="2"/>
  <c r="AQ293" i="2"/>
  <c r="AP293" i="2"/>
  <c r="AO293" i="2"/>
  <c r="AN293" i="2"/>
  <c r="AM293" i="2"/>
  <c r="AL293" i="2"/>
  <c r="AK293" i="2"/>
  <c r="AJ293" i="2"/>
  <c r="AI293" i="2"/>
  <c r="AH293" i="2"/>
  <c r="AG293" i="2"/>
  <c r="AF293" i="2"/>
  <c r="AE293" i="2"/>
  <c r="AD293" i="2"/>
  <c r="AC293" i="2"/>
  <c r="AB293" i="2"/>
  <c r="AA293" i="2"/>
  <c r="Z293" i="2"/>
  <c r="Y293" i="2"/>
  <c r="X293" i="2"/>
  <c r="W293" i="2"/>
  <c r="V293" i="2"/>
  <c r="U293" i="2"/>
  <c r="T293" i="2"/>
  <c r="S293" i="2"/>
  <c r="R293" i="2"/>
  <c r="Q293" i="2"/>
  <c r="P293" i="2"/>
  <c r="O293" i="2"/>
  <c r="N293" i="2"/>
  <c r="M293" i="2"/>
  <c r="L293" i="2"/>
  <c r="K293" i="2"/>
  <c r="J293" i="2"/>
  <c r="I293" i="2"/>
  <c r="H293" i="2"/>
  <c r="G293" i="2"/>
  <c r="F293" i="2"/>
  <c r="E293" i="2"/>
  <c r="D293" i="2"/>
  <c r="C293" i="2"/>
  <c r="B293" i="2"/>
  <c r="A293" i="2"/>
  <c r="A288" i="2"/>
  <c r="FH281" i="2"/>
  <c r="FG281" i="2"/>
  <c r="FF281" i="2"/>
  <c r="FE281" i="2"/>
  <c r="FD281" i="2"/>
  <c r="FC281" i="2"/>
  <c r="FB281" i="2"/>
  <c r="FA281" i="2"/>
  <c r="EZ281" i="2"/>
  <c r="EY281" i="2"/>
  <c r="EX281" i="2"/>
  <c r="EW281" i="2"/>
  <c r="EV281" i="2"/>
  <c r="EU281" i="2"/>
  <c r="ET281" i="2"/>
  <c r="ES281" i="2"/>
  <c r="ER281" i="2"/>
  <c r="EQ281" i="2"/>
  <c r="EP281" i="2"/>
  <c r="EO281" i="2"/>
  <c r="EN281" i="2"/>
  <c r="EM281" i="2"/>
  <c r="EL281" i="2"/>
  <c r="EK281" i="2"/>
  <c r="EJ281" i="2"/>
  <c r="EI281" i="2"/>
  <c r="EH281" i="2"/>
  <c r="EG281" i="2"/>
  <c r="EF281" i="2"/>
  <c r="EE281" i="2"/>
  <c r="ED281" i="2"/>
  <c r="EC281" i="2"/>
  <c r="EB281" i="2"/>
  <c r="DS281" i="2"/>
  <c r="DR281" i="2"/>
  <c r="DQ281" i="2"/>
  <c r="DP281" i="2"/>
  <c r="DO281" i="2"/>
  <c r="DN281" i="2"/>
  <c r="DM281" i="2"/>
  <c r="DL281" i="2"/>
  <c r="DK281" i="2"/>
  <c r="DJ281" i="2"/>
  <c r="DI281" i="2"/>
  <c r="DH281" i="2"/>
  <c r="DG281" i="2"/>
  <c r="DF281" i="2"/>
  <c r="DE281" i="2"/>
  <c r="DD281" i="2"/>
  <c r="DC281" i="2"/>
  <c r="DB281" i="2"/>
  <c r="DA281" i="2"/>
  <c r="CZ281" i="2"/>
  <c r="CY281" i="2"/>
  <c r="CX281" i="2"/>
  <c r="CW281" i="2"/>
  <c r="CV281" i="2"/>
  <c r="CU281" i="2"/>
  <c r="CT281" i="2"/>
  <c r="CS281" i="2"/>
  <c r="CR281" i="2"/>
  <c r="CQ281" i="2"/>
  <c r="CP281" i="2"/>
  <c r="CO281" i="2"/>
  <c r="CN281" i="2"/>
  <c r="CM281" i="2"/>
  <c r="CL281" i="2"/>
  <c r="CK281" i="2"/>
  <c r="CJ281" i="2"/>
  <c r="CI281" i="2"/>
  <c r="CH281" i="2"/>
  <c r="CG281" i="2"/>
  <c r="CF281" i="2"/>
  <c r="CE281" i="2"/>
  <c r="CD281" i="2"/>
  <c r="CC281" i="2"/>
  <c r="CB281" i="2"/>
  <c r="CA281" i="2"/>
  <c r="BZ281" i="2"/>
  <c r="BY281" i="2"/>
  <c r="BX281" i="2"/>
  <c r="BW281" i="2"/>
  <c r="BV281" i="2"/>
  <c r="BU281" i="2"/>
  <c r="BT281" i="2"/>
  <c r="BS281" i="2"/>
  <c r="BR281" i="2"/>
  <c r="BQ281" i="2"/>
  <c r="BP281" i="2"/>
  <c r="BO281" i="2"/>
  <c r="BN281" i="2"/>
  <c r="BM281" i="2"/>
  <c r="BL281" i="2"/>
  <c r="BK281" i="2"/>
  <c r="BJ281" i="2"/>
  <c r="BI281" i="2"/>
  <c r="BH281" i="2"/>
  <c r="BG281" i="2"/>
  <c r="BF281" i="2"/>
  <c r="BE281" i="2"/>
  <c r="BD281" i="2"/>
  <c r="BC281" i="2"/>
  <c r="BB281" i="2"/>
  <c r="BA281" i="2"/>
  <c r="AZ281" i="2"/>
  <c r="AY281" i="2"/>
  <c r="AX281" i="2"/>
  <c r="AW281" i="2"/>
  <c r="AV281" i="2"/>
  <c r="AU281" i="2"/>
  <c r="AT281" i="2"/>
  <c r="AS281" i="2"/>
  <c r="AR281" i="2"/>
  <c r="AQ281" i="2"/>
  <c r="AP281" i="2"/>
  <c r="AO281" i="2"/>
  <c r="AN281" i="2"/>
  <c r="AM281" i="2"/>
  <c r="AL281" i="2"/>
  <c r="AK281" i="2"/>
  <c r="AJ281" i="2"/>
  <c r="AI281" i="2"/>
  <c r="AH281" i="2"/>
  <c r="AG281" i="2"/>
  <c r="AF281" i="2"/>
  <c r="AE281" i="2"/>
  <c r="AD281" i="2"/>
  <c r="AC281" i="2"/>
  <c r="AB281" i="2"/>
  <c r="AA281" i="2"/>
  <c r="Z281" i="2"/>
  <c r="Y281" i="2"/>
  <c r="X281" i="2"/>
  <c r="W281" i="2"/>
  <c r="V281" i="2"/>
  <c r="U281" i="2"/>
  <c r="T281" i="2"/>
  <c r="S281" i="2"/>
  <c r="R281" i="2"/>
  <c r="Q281" i="2"/>
  <c r="P281" i="2"/>
  <c r="O281" i="2"/>
  <c r="N281" i="2"/>
  <c r="M281" i="2"/>
  <c r="L281" i="2"/>
  <c r="K281" i="2"/>
  <c r="J281" i="2"/>
  <c r="A281" i="2"/>
  <c r="A279" i="2"/>
  <c r="A278" i="2"/>
  <c r="A277" i="2"/>
  <c r="A276" i="2"/>
  <c r="FS279" i="2"/>
  <c r="FH279" i="2"/>
  <c r="FG279" i="2"/>
  <c r="FF279" i="2"/>
  <c r="FE279" i="2"/>
  <c r="FD279" i="2"/>
  <c r="FC279" i="2"/>
  <c r="FB279" i="2"/>
  <c r="FA279" i="2"/>
  <c r="EZ279" i="2"/>
  <c r="EY279" i="2"/>
  <c r="EX279" i="2"/>
  <c r="EW279" i="2"/>
  <c r="EV279" i="2"/>
  <c r="EU279" i="2"/>
  <c r="ET279" i="2"/>
  <c r="ES279" i="2"/>
  <c r="ER279" i="2"/>
  <c r="EQ279" i="2"/>
  <c r="EP279" i="2"/>
  <c r="EO279" i="2"/>
  <c r="EN279" i="2"/>
  <c r="EM279" i="2"/>
  <c r="EL279" i="2"/>
  <c r="EK279" i="2"/>
  <c r="EJ279" i="2"/>
  <c r="EI279" i="2"/>
  <c r="EH279" i="2"/>
  <c r="EG279" i="2"/>
  <c r="EF279" i="2"/>
  <c r="EE279" i="2"/>
  <c r="ED279" i="2"/>
  <c r="EC279" i="2"/>
  <c r="EB279" i="2"/>
  <c r="FS278" i="2"/>
  <c r="FR278" i="2"/>
  <c r="FQ278" i="2"/>
  <c r="FP278" i="2"/>
  <c r="FO278" i="2"/>
  <c r="FN278" i="2"/>
  <c r="FM278" i="2"/>
  <c r="FK278" i="2"/>
  <c r="FH278" i="2"/>
  <c r="FG278" i="2"/>
  <c r="FF278" i="2"/>
  <c r="FE278" i="2"/>
  <c r="FD278" i="2"/>
  <c r="FC278" i="2"/>
  <c r="FB278" i="2"/>
  <c r="FA278" i="2"/>
  <c r="EZ278" i="2"/>
  <c r="EY278" i="2"/>
  <c r="EX278" i="2"/>
  <c r="EW278" i="2"/>
  <c r="EV278" i="2"/>
  <c r="EU278" i="2"/>
  <c r="ET278" i="2"/>
  <c r="ES278" i="2"/>
  <c r="ER278" i="2"/>
  <c r="EQ278" i="2"/>
  <c r="EP278" i="2"/>
  <c r="EO278" i="2"/>
  <c r="EN278" i="2"/>
  <c r="EM278" i="2"/>
  <c r="EL278" i="2"/>
  <c r="EK278" i="2"/>
  <c r="EJ278" i="2"/>
  <c r="EI278" i="2"/>
  <c r="EH278" i="2"/>
  <c r="EG278" i="2"/>
  <c r="EF278" i="2"/>
  <c r="EE278" i="2"/>
  <c r="ED278" i="2"/>
  <c r="EC278" i="2"/>
  <c r="EB278" i="2"/>
  <c r="FS277" i="2"/>
  <c r="FR277" i="2"/>
  <c r="FQ277" i="2"/>
  <c r="FP277" i="2"/>
  <c r="FO277" i="2"/>
  <c r="FN277" i="2"/>
  <c r="FM277" i="2"/>
  <c r="FK277" i="2"/>
  <c r="FH277" i="2"/>
  <c r="FG277" i="2"/>
  <c r="FF277" i="2"/>
  <c r="FE277" i="2"/>
  <c r="FD277" i="2"/>
  <c r="FC277" i="2"/>
  <c r="FB277" i="2"/>
  <c r="FA277" i="2"/>
  <c r="EZ277" i="2"/>
  <c r="EY277" i="2"/>
  <c r="EX277" i="2"/>
  <c r="EW277" i="2"/>
  <c r="EV277" i="2"/>
  <c r="EU277" i="2"/>
  <c r="ET277" i="2"/>
  <c r="ES277" i="2"/>
  <c r="ER277" i="2"/>
  <c r="EQ277" i="2"/>
  <c r="EP277" i="2"/>
  <c r="EO277" i="2"/>
  <c r="EN277" i="2"/>
  <c r="EM277" i="2"/>
  <c r="EL277" i="2"/>
  <c r="EK277" i="2"/>
  <c r="EJ277" i="2"/>
  <c r="EI277" i="2"/>
  <c r="EH277" i="2"/>
  <c r="EG277" i="2"/>
  <c r="EF277" i="2"/>
  <c r="EE277" i="2"/>
  <c r="ED277" i="2"/>
  <c r="EC277" i="2"/>
  <c r="EB277" i="2"/>
  <c r="FH276" i="2"/>
  <c r="FG276" i="2"/>
  <c r="FF276" i="2"/>
  <c r="FE276" i="2"/>
  <c r="FD276" i="2"/>
  <c r="FC276" i="2"/>
  <c r="FB276" i="2"/>
  <c r="FA276" i="2"/>
  <c r="EZ276" i="2"/>
  <c r="EY276" i="2"/>
  <c r="EX276" i="2"/>
  <c r="EW276" i="2"/>
  <c r="EV276" i="2"/>
  <c r="EU276" i="2"/>
  <c r="ET276" i="2"/>
  <c r="ES276" i="2"/>
  <c r="ER276" i="2"/>
  <c r="EQ276" i="2"/>
  <c r="EP276" i="2"/>
  <c r="EO276" i="2"/>
  <c r="EN276" i="2"/>
  <c r="EM276" i="2"/>
  <c r="EL276" i="2"/>
  <c r="EK276" i="2"/>
  <c r="EJ276" i="2"/>
  <c r="EI276" i="2"/>
  <c r="EH276" i="2"/>
  <c r="EG276" i="2"/>
  <c r="EF276" i="2"/>
  <c r="EE276" i="2"/>
  <c r="ED276" i="2"/>
  <c r="EC276" i="2"/>
  <c r="EB276" i="2"/>
  <c r="DQ279" i="2"/>
  <c r="DP279" i="2"/>
  <c r="DO279" i="2"/>
  <c r="DN279" i="2"/>
  <c r="DM279" i="2"/>
  <c r="DL279" i="2"/>
  <c r="DK279" i="2"/>
  <c r="DJ279" i="2"/>
  <c r="DI279" i="2"/>
  <c r="DH279" i="2"/>
  <c r="DG279" i="2"/>
  <c r="DF279" i="2"/>
  <c r="DE279" i="2"/>
  <c r="DD279" i="2"/>
  <c r="DC279" i="2"/>
  <c r="DB279" i="2"/>
  <c r="DA279" i="2"/>
  <c r="CZ279" i="2"/>
  <c r="CY279" i="2"/>
  <c r="CX279" i="2"/>
  <c r="CW279" i="2"/>
  <c r="CV279" i="2"/>
  <c r="CU279" i="2"/>
  <c r="CT279" i="2"/>
  <c r="CS279" i="2"/>
  <c r="CR279" i="2"/>
  <c r="CQ279" i="2"/>
  <c r="CP279" i="2"/>
  <c r="CO279" i="2"/>
  <c r="CN279" i="2"/>
  <c r="CM279" i="2"/>
  <c r="CL279" i="2"/>
  <c r="CK279" i="2"/>
  <c r="CJ279" i="2"/>
  <c r="CI279" i="2"/>
  <c r="CH279" i="2"/>
  <c r="CG279" i="2"/>
  <c r="CF279" i="2"/>
  <c r="CE279" i="2"/>
  <c r="CD279" i="2"/>
  <c r="CC279" i="2"/>
  <c r="CB279" i="2"/>
  <c r="CA279" i="2"/>
  <c r="BZ279" i="2"/>
  <c r="BY279" i="2"/>
  <c r="BX279" i="2"/>
  <c r="BW279" i="2"/>
  <c r="BV279" i="2"/>
  <c r="BU279" i="2"/>
  <c r="BT279" i="2"/>
  <c r="BS279" i="2"/>
  <c r="BR279" i="2"/>
  <c r="BQ279" i="2"/>
  <c r="BP279" i="2"/>
  <c r="BO279" i="2"/>
  <c r="BN279" i="2"/>
  <c r="BM279" i="2"/>
  <c r="BL279" i="2"/>
  <c r="BK279" i="2"/>
  <c r="BJ279" i="2"/>
  <c r="BI279" i="2"/>
  <c r="BH279" i="2"/>
  <c r="BG279" i="2"/>
  <c r="BF279" i="2"/>
  <c r="BE279" i="2"/>
  <c r="BD279" i="2"/>
  <c r="BC279" i="2"/>
  <c r="BB279" i="2"/>
  <c r="BA279" i="2"/>
  <c r="AZ279" i="2"/>
  <c r="AY279" i="2"/>
  <c r="AX279" i="2"/>
  <c r="AW279" i="2"/>
  <c r="AV279" i="2"/>
  <c r="AU279" i="2"/>
  <c r="AT279" i="2"/>
  <c r="AS279" i="2"/>
  <c r="AR279" i="2"/>
  <c r="AQ279" i="2"/>
  <c r="AP279" i="2"/>
  <c r="AO279" i="2"/>
  <c r="AN279" i="2"/>
  <c r="AM279" i="2"/>
  <c r="AL279" i="2"/>
  <c r="AK279" i="2"/>
  <c r="AJ279" i="2"/>
  <c r="AI279" i="2"/>
  <c r="AH279" i="2"/>
  <c r="AG279" i="2"/>
  <c r="AF279" i="2"/>
  <c r="AE279" i="2"/>
  <c r="AD279" i="2"/>
  <c r="AC279" i="2"/>
  <c r="AB279" i="2"/>
  <c r="AA279" i="2"/>
  <c r="Z279" i="2"/>
  <c r="Y279" i="2"/>
  <c r="X279" i="2"/>
  <c r="W279" i="2"/>
  <c r="V279" i="2"/>
  <c r="U279" i="2"/>
  <c r="T279" i="2"/>
  <c r="S279" i="2"/>
  <c r="R279" i="2"/>
  <c r="Q279" i="2"/>
  <c r="P279" i="2"/>
  <c r="O279" i="2"/>
  <c r="N279" i="2"/>
  <c r="M279" i="2"/>
  <c r="L279" i="2"/>
  <c r="K279" i="2"/>
  <c r="J279" i="2"/>
  <c r="DY278" i="2"/>
  <c r="DX278" i="2"/>
  <c r="DW278" i="2"/>
  <c r="DV278" i="2"/>
  <c r="DU278" i="2"/>
  <c r="DT278" i="2"/>
  <c r="DS278" i="2"/>
  <c r="DR278" i="2"/>
  <c r="DQ278" i="2"/>
  <c r="DP278" i="2"/>
  <c r="DO278" i="2"/>
  <c r="DN278" i="2"/>
  <c r="DM278" i="2"/>
  <c r="DL278" i="2"/>
  <c r="DK278" i="2"/>
  <c r="DJ278" i="2"/>
  <c r="DI278" i="2"/>
  <c r="DH278" i="2"/>
  <c r="DG278" i="2"/>
  <c r="DF278" i="2"/>
  <c r="DE278" i="2"/>
  <c r="DD278" i="2"/>
  <c r="DC278" i="2"/>
  <c r="DB278" i="2"/>
  <c r="DA278" i="2"/>
  <c r="CZ278" i="2"/>
  <c r="CY278" i="2"/>
  <c r="CX278" i="2"/>
  <c r="CW278" i="2"/>
  <c r="CV278" i="2"/>
  <c r="CU278" i="2"/>
  <c r="CT278" i="2"/>
  <c r="CS278" i="2"/>
  <c r="CR278" i="2"/>
  <c r="CQ278" i="2"/>
  <c r="CP278" i="2"/>
  <c r="CO278" i="2"/>
  <c r="CN278" i="2"/>
  <c r="CM278" i="2"/>
  <c r="CL278" i="2"/>
  <c r="CK278" i="2"/>
  <c r="CJ278" i="2"/>
  <c r="CI278" i="2"/>
  <c r="CH278" i="2"/>
  <c r="CG278" i="2"/>
  <c r="CF278" i="2"/>
  <c r="CE278" i="2"/>
  <c r="CD278" i="2"/>
  <c r="CC278" i="2"/>
  <c r="CB278" i="2"/>
  <c r="CA278" i="2"/>
  <c r="BZ278" i="2"/>
  <c r="BY278" i="2"/>
  <c r="BX278" i="2"/>
  <c r="BW278" i="2"/>
  <c r="BV278" i="2"/>
  <c r="BU278" i="2"/>
  <c r="BT278" i="2"/>
  <c r="BS278" i="2"/>
  <c r="BR278" i="2"/>
  <c r="BQ278" i="2"/>
  <c r="BP278" i="2"/>
  <c r="BO278" i="2"/>
  <c r="BN278" i="2"/>
  <c r="BM278" i="2"/>
  <c r="BL278" i="2"/>
  <c r="BK278" i="2"/>
  <c r="BJ278" i="2"/>
  <c r="BI278" i="2"/>
  <c r="BH278" i="2"/>
  <c r="BG278" i="2"/>
  <c r="BF278" i="2"/>
  <c r="BE278" i="2"/>
  <c r="BD278" i="2"/>
  <c r="BC278" i="2"/>
  <c r="BB278" i="2"/>
  <c r="BA278" i="2"/>
  <c r="AZ278" i="2"/>
  <c r="AY278" i="2"/>
  <c r="AX278" i="2"/>
  <c r="AW278" i="2"/>
  <c r="AV278" i="2"/>
  <c r="AU278" i="2"/>
  <c r="AT278" i="2"/>
  <c r="AS278" i="2"/>
  <c r="AR278" i="2"/>
  <c r="AQ278" i="2"/>
  <c r="AP278" i="2"/>
  <c r="AO278" i="2"/>
  <c r="AN278" i="2"/>
  <c r="AM278" i="2"/>
  <c r="AL278" i="2"/>
  <c r="AK278" i="2"/>
  <c r="AJ278" i="2"/>
  <c r="AI278" i="2"/>
  <c r="AH278" i="2"/>
  <c r="AG278" i="2"/>
  <c r="AF278" i="2"/>
  <c r="AE278" i="2"/>
  <c r="AD278" i="2"/>
  <c r="AC278" i="2"/>
  <c r="AB278" i="2"/>
  <c r="AA278" i="2"/>
  <c r="Z278" i="2"/>
  <c r="Y278" i="2"/>
  <c r="X278" i="2"/>
  <c r="W278" i="2"/>
  <c r="V278" i="2"/>
  <c r="U278" i="2"/>
  <c r="T278" i="2"/>
  <c r="S278" i="2"/>
  <c r="R278" i="2"/>
  <c r="Q278" i="2"/>
  <c r="P278" i="2"/>
  <c r="O278" i="2"/>
  <c r="N278" i="2"/>
  <c r="M278" i="2"/>
  <c r="L278" i="2"/>
  <c r="K278" i="2"/>
  <c r="J278" i="2"/>
  <c r="DY277" i="2"/>
  <c r="DX277" i="2"/>
  <c r="DW277" i="2"/>
  <c r="DV277" i="2"/>
  <c r="DU277" i="2"/>
  <c r="DT277" i="2"/>
  <c r="DS277" i="2"/>
  <c r="DR277" i="2"/>
  <c r="DQ277" i="2"/>
  <c r="DP277" i="2"/>
  <c r="DO277" i="2"/>
  <c r="DN277" i="2"/>
  <c r="DM277" i="2"/>
  <c r="DL277" i="2"/>
  <c r="DK277" i="2"/>
  <c r="DJ277" i="2"/>
  <c r="DI277" i="2"/>
  <c r="DH277" i="2"/>
  <c r="DG277" i="2"/>
  <c r="DF277" i="2"/>
  <c r="DE277" i="2"/>
  <c r="DD277" i="2"/>
  <c r="DC277" i="2"/>
  <c r="DB277" i="2"/>
  <c r="DA277" i="2"/>
  <c r="CZ277" i="2"/>
  <c r="CY277" i="2"/>
  <c r="CX277" i="2"/>
  <c r="CW277" i="2"/>
  <c r="CV277" i="2"/>
  <c r="CU277" i="2"/>
  <c r="CT277" i="2"/>
  <c r="CS277" i="2"/>
  <c r="CR277" i="2"/>
  <c r="CQ277" i="2"/>
  <c r="CP277" i="2"/>
  <c r="CO277" i="2"/>
  <c r="CN277" i="2"/>
  <c r="CM277" i="2"/>
  <c r="CL277" i="2"/>
  <c r="CK277" i="2"/>
  <c r="CJ277" i="2"/>
  <c r="CI277" i="2"/>
  <c r="CH277" i="2"/>
  <c r="CG277" i="2"/>
  <c r="CF277" i="2"/>
  <c r="CE277" i="2"/>
  <c r="CD277" i="2"/>
  <c r="CC277" i="2"/>
  <c r="CB277" i="2"/>
  <c r="CA277" i="2"/>
  <c r="BZ277" i="2"/>
  <c r="BY277" i="2"/>
  <c r="BX277" i="2"/>
  <c r="BW277" i="2"/>
  <c r="BV277" i="2"/>
  <c r="BU277" i="2"/>
  <c r="BT277" i="2"/>
  <c r="BS277" i="2"/>
  <c r="BR277" i="2"/>
  <c r="BQ277" i="2"/>
  <c r="BP277" i="2"/>
  <c r="BO277" i="2"/>
  <c r="BN277" i="2"/>
  <c r="BM277" i="2"/>
  <c r="BL277" i="2"/>
  <c r="BK277" i="2"/>
  <c r="BJ277" i="2"/>
  <c r="BI277" i="2"/>
  <c r="BH277" i="2"/>
  <c r="BG277" i="2"/>
  <c r="BF277" i="2"/>
  <c r="BE277" i="2"/>
  <c r="BD277" i="2"/>
  <c r="BC277" i="2"/>
  <c r="BB277" i="2"/>
  <c r="BA277" i="2"/>
  <c r="AZ277" i="2"/>
  <c r="AY277" i="2"/>
  <c r="AX277" i="2"/>
  <c r="AW277" i="2"/>
  <c r="AV277" i="2"/>
  <c r="AU277" i="2"/>
  <c r="AT277" i="2"/>
  <c r="AS277" i="2"/>
  <c r="AR277" i="2"/>
  <c r="AQ277" i="2"/>
  <c r="AP277" i="2"/>
  <c r="AO277" i="2"/>
  <c r="AN277" i="2"/>
  <c r="AM277" i="2"/>
  <c r="AL277" i="2"/>
  <c r="AK277" i="2"/>
  <c r="AJ277" i="2"/>
  <c r="AI277" i="2"/>
  <c r="AH277" i="2"/>
  <c r="AG277" i="2"/>
  <c r="AF277" i="2"/>
  <c r="AE277" i="2"/>
  <c r="AD277" i="2"/>
  <c r="AC277" i="2"/>
  <c r="AB277" i="2"/>
  <c r="AA277" i="2"/>
  <c r="Z277" i="2"/>
  <c r="Y277" i="2"/>
  <c r="X277" i="2"/>
  <c r="W277" i="2"/>
  <c r="V277" i="2"/>
  <c r="U277" i="2"/>
  <c r="T277" i="2"/>
  <c r="S277" i="2"/>
  <c r="R277" i="2"/>
  <c r="Q277" i="2"/>
  <c r="P277" i="2"/>
  <c r="O277" i="2"/>
  <c r="N277" i="2"/>
  <c r="M277" i="2"/>
  <c r="L277" i="2"/>
  <c r="K277" i="2"/>
  <c r="J277" i="2"/>
  <c r="DS276" i="2"/>
  <c r="DR276" i="2"/>
  <c r="DQ276" i="2"/>
  <c r="DP276" i="2"/>
  <c r="DO276" i="2"/>
  <c r="DN276" i="2"/>
  <c r="DM276" i="2"/>
  <c r="DL276" i="2"/>
  <c r="DK276" i="2"/>
  <c r="DJ276" i="2"/>
  <c r="DI276" i="2"/>
  <c r="DH276" i="2"/>
  <c r="DG276" i="2"/>
  <c r="DF276" i="2"/>
  <c r="DE276" i="2"/>
  <c r="DD276" i="2"/>
  <c r="DC276" i="2"/>
  <c r="DB276" i="2"/>
  <c r="DA276" i="2"/>
  <c r="CZ276" i="2"/>
  <c r="CY276" i="2"/>
  <c r="CX276" i="2"/>
  <c r="CW276" i="2"/>
  <c r="CV276" i="2"/>
  <c r="CU276" i="2"/>
  <c r="CT276" i="2"/>
  <c r="CS276" i="2"/>
  <c r="CR276" i="2"/>
  <c r="CQ276" i="2"/>
  <c r="CP276" i="2"/>
  <c r="CO276" i="2"/>
  <c r="CN276" i="2"/>
  <c r="CM276" i="2"/>
  <c r="CL276" i="2"/>
  <c r="CK276" i="2"/>
  <c r="CJ276" i="2"/>
  <c r="CI276" i="2"/>
  <c r="CH276" i="2"/>
  <c r="CG276" i="2"/>
  <c r="CF276" i="2"/>
  <c r="CE276" i="2"/>
  <c r="CD276" i="2"/>
  <c r="CC276" i="2"/>
  <c r="CB276" i="2"/>
  <c r="CA276" i="2"/>
  <c r="BZ276" i="2"/>
  <c r="BY276" i="2"/>
  <c r="BX276" i="2"/>
  <c r="BW276" i="2"/>
  <c r="BV276" i="2"/>
  <c r="BU276" i="2"/>
  <c r="BT276" i="2"/>
  <c r="BS276" i="2"/>
  <c r="BR276" i="2"/>
  <c r="BQ276" i="2"/>
  <c r="BP276" i="2"/>
  <c r="BO276" i="2"/>
  <c r="BN276" i="2"/>
  <c r="BM276" i="2"/>
  <c r="BL276" i="2"/>
  <c r="BK276" i="2"/>
  <c r="BJ276" i="2"/>
  <c r="BI276" i="2"/>
  <c r="BH276" i="2"/>
  <c r="BG276" i="2"/>
  <c r="BF276" i="2"/>
  <c r="BE276" i="2"/>
  <c r="BD276" i="2"/>
  <c r="BC276" i="2"/>
  <c r="BB276" i="2"/>
  <c r="BA276" i="2"/>
  <c r="AZ276" i="2"/>
  <c r="AY276" i="2"/>
  <c r="AX276" i="2"/>
  <c r="AW276" i="2"/>
  <c r="AV276" i="2"/>
  <c r="AU276" i="2"/>
  <c r="AT276" i="2"/>
  <c r="AS276" i="2"/>
  <c r="AR276" i="2"/>
  <c r="AQ276" i="2"/>
  <c r="AP276" i="2"/>
  <c r="AO276" i="2"/>
  <c r="AN276" i="2"/>
  <c r="AM276" i="2"/>
  <c r="AL276" i="2"/>
  <c r="AK276" i="2"/>
  <c r="AJ276" i="2"/>
  <c r="AI276" i="2"/>
  <c r="AH276" i="2"/>
  <c r="AG276" i="2"/>
  <c r="AF276" i="2"/>
  <c r="AE276" i="2"/>
  <c r="AD276" i="2"/>
  <c r="AC276" i="2"/>
  <c r="AB276" i="2"/>
  <c r="AA276" i="2"/>
  <c r="Z276" i="2"/>
  <c r="Y276" i="2"/>
  <c r="X276" i="2"/>
  <c r="W276" i="2"/>
  <c r="V276" i="2"/>
  <c r="U276" i="2"/>
  <c r="T276" i="2"/>
  <c r="S276" i="2"/>
  <c r="R276" i="2"/>
  <c r="Q276" i="2"/>
  <c r="P276" i="2"/>
  <c r="O276" i="2"/>
  <c r="N276" i="2"/>
  <c r="M276" i="2"/>
  <c r="L276" i="2"/>
  <c r="K276" i="2"/>
  <c r="J276" i="2"/>
  <c r="A274" i="2"/>
  <c r="A273" i="2"/>
  <c r="A272" i="2"/>
  <c r="A271" i="2"/>
  <c r="FH274" i="2"/>
  <c r="FG274" i="2"/>
  <c r="FF274" i="2"/>
  <c r="FE274" i="2"/>
  <c r="FD274" i="2"/>
  <c r="FC274" i="2"/>
  <c r="FB274" i="2"/>
  <c r="FA274" i="2"/>
  <c r="EZ274" i="2"/>
  <c r="EY274" i="2"/>
  <c r="EX274" i="2"/>
  <c r="EW274" i="2"/>
  <c r="EV274" i="2"/>
  <c r="EU274" i="2"/>
  <c r="ET274" i="2"/>
  <c r="ES274" i="2"/>
  <c r="ER274" i="2"/>
  <c r="EQ274" i="2"/>
  <c r="EP274" i="2"/>
  <c r="EO274" i="2"/>
  <c r="EN274" i="2"/>
  <c r="EM274" i="2"/>
  <c r="EL274" i="2"/>
  <c r="EK274" i="2"/>
  <c r="EJ274" i="2"/>
  <c r="EI274" i="2"/>
  <c r="EH274" i="2"/>
  <c r="EG274" i="2"/>
  <c r="EF274" i="2"/>
  <c r="EE274" i="2"/>
  <c r="ED274" i="2"/>
  <c r="EC274" i="2"/>
  <c r="EB274" i="2"/>
  <c r="FH273" i="2"/>
  <c r="FG273" i="2"/>
  <c r="FF273" i="2"/>
  <c r="FE273" i="2"/>
  <c r="FD273" i="2"/>
  <c r="FC273" i="2"/>
  <c r="FB273" i="2"/>
  <c r="FA273" i="2"/>
  <c r="EZ273" i="2"/>
  <c r="EY273" i="2"/>
  <c r="EX273" i="2"/>
  <c r="EW273" i="2"/>
  <c r="EV273" i="2"/>
  <c r="EU273" i="2"/>
  <c r="ET273" i="2"/>
  <c r="ES273" i="2"/>
  <c r="ER273" i="2"/>
  <c r="EQ273" i="2"/>
  <c r="EP273" i="2"/>
  <c r="EO273" i="2"/>
  <c r="EN273" i="2"/>
  <c r="EM273" i="2"/>
  <c r="EL273" i="2"/>
  <c r="EK273" i="2"/>
  <c r="EJ273" i="2"/>
  <c r="EI273" i="2"/>
  <c r="EH273" i="2"/>
  <c r="EG273" i="2"/>
  <c r="EF273" i="2"/>
  <c r="EE273" i="2"/>
  <c r="ED273" i="2"/>
  <c r="EC273" i="2"/>
  <c r="EB273" i="2"/>
  <c r="FH272" i="2"/>
  <c r="FG272" i="2"/>
  <c r="FF272" i="2"/>
  <c r="FE272" i="2"/>
  <c r="FD272" i="2"/>
  <c r="FC272" i="2"/>
  <c r="FB272" i="2"/>
  <c r="FA272" i="2"/>
  <c r="EZ272" i="2"/>
  <c r="EY272" i="2"/>
  <c r="EX272" i="2"/>
  <c r="EW272" i="2"/>
  <c r="EV272" i="2"/>
  <c r="EU272" i="2"/>
  <c r="ET272" i="2"/>
  <c r="ES272" i="2"/>
  <c r="ER272" i="2"/>
  <c r="EQ272" i="2"/>
  <c r="EP272" i="2"/>
  <c r="EO272" i="2"/>
  <c r="EN272" i="2"/>
  <c r="EM272" i="2"/>
  <c r="EL272" i="2"/>
  <c r="EK272" i="2"/>
  <c r="EJ272" i="2"/>
  <c r="EI272" i="2"/>
  <c r="EH272" i="2"/>
  <c r="EG272" i="2"/>
  <c r="EF272" i="2"/>
  <c r="EE272" i="2"/>
  <c r="ED272" i="2"/>
  <c r="EC272" i="2"/>
  <c r="EB272" i="2"/>
  <c r="FH271" i="2"/>
  <c r="FG271" i="2"/>
  <c r="FF271" i="2"/>
  <c r="FE271" i="2"/>
  <c r="FD271" i="2"/>
  <c r="FC271" i="2"/>
  <c r="FB271" i="2"/>
  <c r="FA271" i="2"/>
  <c r="EZ271" i="2"/>
  <c r="EY271" i="2"/>
  <c r="EX271" i="2"/>
  <c r="EW271" i="2"/>
  <c r="EV271" i="2"/>
  <c r="EU271" i="2"/>
  <c r="ET271" i="2"/>
  <c r="ES271" i="2"/>
  <c r="ER271" i="2"/>
  <c r="EQ271" i="2"/>
  <c r="EP271" i="2"/>
  <c r="EO271" i="2"/>
  <c r="EN271" i="2"/>
  <c r="EM271" i="2"/>
  <c r="EL271" i="2"/>
  <c r="EK271" i="2"/>
  <c r="EJ271" i="2"/>
  <c r="EI271" i="2"/>
  <c r="EH271" i="2"/>
  <c r="EG271" i="2"/>
  <c r="EF271" i="2"/>
  <c r="EE271" i="2"/>
  <c r="ED271" i="2"/>
  <c r="EC271" i="2"/>
  <c r="EB271" i="2"/>
  <c r="DQ274" i="2"/>
  <c r="DP274" i="2"/>
  <c r="DO274" i="2"/>
  <c r="DN274" i="2"/>
  <c r="DM274" i="2"/>
  <c r="DL274" i="2"/>
  <c r="DK274" i="2"/>
  <c r="DJ274" i="2"/>
  <c r="DI274" i="2"/>
  <c r="DH274" i="2"/>
  <c r="DG274" i="2"/>
  <c r="DF274" i="2"/>
  <c r="DE274" i="2"/>
  <c r="DD274" i="2"/>
  <c r="DC274" i="2"/>
  <c r="DB274" i="2"/>
  <c r="DA274" i="2"/>
  <c r="CZ274" i="2"/>
  <c r="CY274" i="2"/>
  <c r="CX274" i="2"/>
  <c r="CW274" i="2"/>
  <c r="CV274" i="2"/>
  <c r="CU274" i="2"/>
  <c r="CT274" i="2"/>
  <c r="CS274" i="2"/>
  <c r="CR274" i="2"/>
  <c r="CQ274" i="2"/>
  <c r="CP274" i="2"/>
  <c r="CO274" i="2"/>
  <c r="CN274" i="2"/>
  <c r="CM274" i="2"/>
  <c r="CL274" i="2"/>
  <c r="CK274" i="2"/>
  <c r="CJ274" i="2"/>
  <c r="CI274" i="2"/>
  <c r="CH274" i="2"/>
  <c r="CG274" i="2"/>
  <c r="CF274" i="2"/>
  <c r="CE274" i="2"/>
  <c r="CD274" i="2"/>
  <c r="CC274" i="2"/>
  <c r="CB274" i="2"/>
  <c r="CA274" i="2"/>
  <c r="BZ274" i="2"/>
  <c r="BY274" i="2"/>
  <c r="BX274" i="2"/>
  <c r="BW274" i="2"/>
  <c r="BV274" i="2"/>
  <c r="BU274" i="2"/>
  <c r="BT274" i="2"/>
  <c r="BS274" i="2"/>
  <c r="BR274" i="2"/>
  <c r="BQ274" i="2"/>
  <c r="BP274" i="2"/>
  <c r="BO274" i="2"/>
  <c r="BN274" i="2"/>
  <c r="BM274" i="2"/>
  <c r="BL274" i="2"/>
  <c r="BK274" i="2"/>
  <c r="BJ274" i="2"/>
  <c r="BI274" i="2"/>
  <c r="BH274" i="2"/>
  <c r="BG274" i="2"/>
  <c r="BF274" i="2"/>
  <c r="BE274" i="2"/>
  <c r="BD274" i="2"/>
  <c r="BC274" i="2"/>
  <c r="BB274" i="2"/>
  <c r="BA274" i="2"/>
  <c r="AZ274" i="2"/>
  <c r="AY274" i="2"/>
  <c r="AX274" i="2"/>
  <c r="AW274" i="2"/>
  <c r="AV274" i="2"/>
  <c r="AU274" i="2"/>
  <c r="AT274" i="2"/>
  <c r="AS274" i="2"/>
  <c r="AR274" i="2"/>
  <c r="AQ274" i="2"/>
  <c r="AP274" i="2"/>
  <c r="AO274" i="2"/>
  <c r="AN274" i="2"/>
  <c r="AM274" i="2"/>
  <c r="AL274" i="2"/>
  <c r="AK274" i="2"/>
  <c r="AJ274" i="2"/>
  <c r="AI274" i="2"/>
  <c r="AH274" i="2"/>
  <c r="AG274" i="2"/>
  <c r="AF274" i="2"/>
  <c r="AE274" i="2"/>
  <c r="AD274" i="2"/>
  <c r="AC274" i="2"/>
  <c r="AB274" i="2"/>
  <c r="AA274" i="2"/>
  <c r="Z274" i="2"/>
  <c r="Y274" i="2"/>
  <c r="X274" i="2"/>
  <c r="W274" i="2"/>
  <c r="V274" i="2"/>
  <c r="U274" i="2"/>
  <c r="T274" i="2"/>
  <c r="S274" i="2"/>
  <c r="R274" i="2"/>
  <c r="Q274" i="2"/>
  <c r="P274" i="2"/>
  <c r="O274" i="2"/>
  <c r="N274" i="2"/>
  <c r="M274" i="2"/>
  <c r="L274" i="2"/>
  <c r="K274" i="2"/>
  <c r="J274" i="2"/>
  <c r="DQ273" i="2"/>
  <c r="DP273" i="2"/>
  <c r="DO273" i="2"/>
  <c r="DN273" i="2"/>
  <c r="DM273" i="2"/>
  <c r="DL273" i="2"/>
  <c r="DK273" i="2"/>
  <c r="DJ273" i="2"/>
  <c r="DI273" i="2"/>
  <c r="DH273" i="2"/>
  <c r="DG273" i="2"/>
  <c r="DF273" i="2"/>
  <c r="DE273" i="2"/>
  <c r="DD273" i="2"/>
  <c r="DC273" i="2"/>
  <c r="DB273" i="2"/>
  <c r="DA273" i="2"/>
  <c r="CZ273" i="2"/>
  <c r="CY273" i="2"/>
  <c r="CX273" i="2"/>
  <c r="CW273" i="2"/>
  <c r="CV273" i="2"/>
  <c r="CU273" i="2"/>
  <c r="CT273" i="2"/>
  <c r="CS273" i="2"/>
  <c r="CR273" i="2"/>
  <c r="CQ273" i="2"/>
  <c r="CP273" i="2"/>
  <c r="CO273" i="2"/>
  <c r="CN273" i="2"/>
  <c r="CM273" i="2"/>
  <c r="CL273" i="2"/>
  <c r="CK273" i="2"/>
  <c r="CJ273" i="2"/>
  <c r="CI273" i="2"/>
  <c r="CH273" i="2"/>
  <c r="CG273" i="2"/>
  <c r="CF273" i="2"/>
  <c r="CE273" i="2"/>
  <c r="CD273" i="2"/>
  <c r="CC273" i="2"/>
  <c r="CB273" i="2"/>
  <c r="CA273" i="2"/>
  <c r="BZ273" i="2"/>
  <c r="BY273" i="2"/>
  <c r="BX273" i="2"/>
  <c r="BW273" i="2"/>
  <c r="BV273" i="2"/>
  <c r="BU273" i="2"/>
  <c r="BT273" i="2"/>
  <c r="BS273" i="2"/>
  <c r="BR273" i="2"/>
  <c r="BQ273" i="2"/>
  <c r="BP273" i="2"/>
  <c r="BO273" i="2"/>
  <c r="BN273" i="2"/>
  <c r="BM273" i="2"/>
  <c r="BL273" i="2"/>
  <c r="BK273" i="2"/>
  <c r="BJ273" i="2"/>
  <c r="BI273" i="2"/>
  <c r="BH273" i="2"/>
  <c r="BG273" i="2"/>
  <c r="BF273" i="2"/>
  <c r="BE273" i="2"/>
  <c r="BD273" i="2"/>
  <c r="BC273" i="2"/>
  <c r="BB273" i="2"/>
  <c r="BA273" i="2"/>
  <c r="AZ273" i="2"/>
  <c r="AY273" i="2"/>
  <c r="AX273" i="2"/>
  <c r="AW273" i="2"/>
  <c r="AV273" i="2"/>
  <c r="AU273" i="2"/>
  <c r="AT273" i="2"/>
  <c r="AS273" i="2"/>
  <c r="AR273" i="2"/>
  <c r="AQ273" i="2"/>
  <c r="AP273" i="2"/>
  <c r="AO273" i="2"/>
  <c r="AN273" i="2"/>
  <c r="AM273" i="2"/>
  <c r="AL273" i="2"/>
  <c r="AK273" i="2"/>
  <c r="AJ273" i="2"/>
  <c r="AI273" i="2"/>
  <c r="AH273" i="2"/>
  <c r="AG273" i="2"/>
  <c r="AF273" i="2"/>
  <c r="AE273" i="2"/>
  <c r="AD273" i="2"/>
  <c r="AC273" i="2"/>
  <c r="AB273" i="2"/>
  <c r="AA273" i="2"/>
  <c r="Z273" i="2"/>
  <c r="Y273" i="2"/>
  <c r="X273" i="2"/>
  <c r="W273" i="2"/>
  <c r="V273" i="2"/>
  <c r="U273" i="2"/>
  <c r="T273" i="2"/>
  <c r="S273" i="2"/>
  <c r="R273" i="2"/>
  <c r="Q273" i="2"/>
  <c r="P273" i="2"/>
  <c r="O273" i="2"/>
  <c r="N273" i="2"/>
  <c r="M273" i="2"/>
  <c r="L273" i="2"/>
  <c r="K273" i="2"/>
  <c r="J273" i="2"/>
  <c r="DQ272" i="2"/>
  <c r="DP272" i="2"/>
  <c r="DO272" i="2"/>
  <c r="DN272" i="2"/>
  <c r="DM272" i="2"/>
  <c r="DL272" i="2"/>
  <c r="DK272" i="2"/>
  <c r="DJ272" i="2"/>
  <c r="DI272" i="2"/>
  <c r="DH272" i="2"/>
  <c r="DG272" i="2"/>
  <c r="DF272" i="2"/>
  <c r="DE272" i="2"/>
  <c r="DD272" i="2"/>
  <c r="DC272" i="2"/>
  <c r="DB272" i="2"/>
  <c r="DA272" i="2"/>
  <c r="CZ272" i="2"/>
  <c r="CY272" i="2"/>
  <c r="CX272" i="2"/>
  <c r="CW272" i="2"/>
  <c r="CV272" i="2"/>
  <c r="CU272" i="2"/>
  <c r="CT272" i="2"/>
  <c r="CS272" i="2"/>
  <c r="CR272" i="2"/>
  <c r="CQ272" i="2"/>
  <c r="CP272" i="2"/>
  <c r="CO272" i="2"/>
  <c r="CN272" i="2"/>
  <c r="CM272" i="2"/>
  <c r="CL272" i="2"/>
  <c r="CK272" i="2"/>
  <c r="CJ272" i="2"/>
  <c r="CI272" i="2"/>
  <c r="CH272" i="2"/>
  <c r="CG272" i="2"/>
  <c r="CF272" i="2"/>
  <c r="CE272" i="2"/>
  <c r="CD272" i="2"/>
  <c r="CC272" i="2"/>
  <c r="CB272" i="2"/>
  <c r="CA272" i="2"/>
  <c r="BZ272" i="2"/>
  <c r="BY272" i="2"/>
  <c r="BX272" i="2"/>
  <c r="BW272" i="2"/>
  <c r="BV272" i="2"/>
  <c r="BU272" i="2"/>
  <c r="BT272" i="2"/>
  <c r="BS272" i="2"/>
  <c r="BR272" i="2"/>
  <c r="BQ272" i="2"/>
  <c r="BP272" i="2"/>
  <c r="BO272" i="2"/>
  <c r="BN272" i="2"/>
  <c r="BM272" i="2"/>
  <c r="BL272" i="2"/>
  <c r="BK272" i="2"/>
  <c r="BJ272" i="2"/>
  <c r="BI272" i="2"/>
  <c r="BH272" i="2"/>
  <c r="BG272" i="2"/>
  <c r="BF272" i="2"/>
  <c r="BE272" i="2"/>
  <c r="BD272" i="2"/>
  <c r="BC272" i="2"/>
  <c r="BB272" i="2"/>
  <c r="BA272" i="2"/>
  <c r="AZ272" i="2"/>
  <c r="AY272" i="2"/>
  <c r="AX272" i="2"/>
  <c r="AW272" i="2"/>
  <c r="AV272" i="2"/>
  <c r="AU272" i="2"/>
  <c r="AT272" i="2"/>
  <c r="AS272" i="2"/>
  <c r="AR272" i="2"/>
  <c r="AQ272" i="2"/>
  <c r="AP272" i="2"/>
  <c r="AO272" i="2"/>
  <c r="AN272" i="2"/>
  <c r="AM272" i="2"/>
  <c r="AL272" i="2"/>
  <c r="AK272" i="2"/>
  <c r="AJ272" i="2"/>
  <c r="AI272" i="2"/>
  <c r="AH272" i="2"/>
  <c r="AG272" i="2"/>
  <c r="AF272" i="2"/>
  <c r="AE272" i="2"/>
  <c r="AD272" i="2"/>
  <c r="AC272" i="2"/>
  <c r="AB272" i="2"/>
  <c r="AA272" i="2"/>
  <c r="Z272" i="2"/>
  <c r="Y272" i="2"/>
  <c r="X272" i="2"/>
  <c r="W272" i="2"/>
  <c r="V272" i="2"/>
  <c r="U272" i="2"/>
  <c r="T272" i="2"/>
  <c r="S272" i="2"/>
  <c r="R272" i="2"/>
  <c r="Q272" i="2"/>
  <c r="P272" i="2"/>
  <c r="O272" i="2"/>
  <c r="N272" i="2"/>
  <c r="M272" i="2"/>
  <c r="L272" i="2"/>
  <c r="K272" i="2"/>
  <c r="J272" i="2"/>
  <c r="DQ271" i="2"/>
  <c r="DP271" i="2"/>
  <c r="DO271" i="2"/>
  <c r="DN271" i="2"/>
  <c r="DM271" i="2"/>
  <c r="DL271" i="2"/>
  <c r="DK271" i="2"/>
  <c r="DJ271" i="2"/>
  <c r="DI271" i="2"/>
  <c r="DH271" i="2"/>
  <c r="DG271" i="2"/>
  <c r="DF271" i="2"/>
  <c r="DE271" i="2"/>
  <c r="DD271" i="2"/>
  <c r="DC271" i="2"/>
  <c r="DB271" i="2"/>
  <c r="DA271" i="2"/>
  <c r="CZ271" i="2"/>
  <c r="CY271" i="2"/>
  <c r="CX271" i="2"/>
  <c r="CW271" i="2"/>
  <c r="CV271" i="2"/>
  <c r="CU271" i="2"/>
  <c r="CT271" i="2"/>
  <c r="CS271" i="2"/>
  <c r="CR271" i="2"/>
  <c r="CQ271" i="2"/>
  <c r="CP271" i="2"/>
  <c r="CO271" i="2"/>
  <c r="CN271" i="2"/>
  <c r="CM271" i="2"/>
  <c r="CL271" i="2"/>
  <c r="CK271" i="2"/>
  <c r="CJ271" i="2"/>
  <c r="CI271" i="2"/>
  <c r="CH271" i="2"/>
  <c r="CG271" i="2"/>
  <c r="CF271" i="2"/>
  <c r="CE271" i="2"/>
  <c r="CD271" i="2"/>
  <c r="CC271" i="2"/>
  <c r="CB271" i="2"/>
  <c r="CA271" i="2"/>
  <c r="BZ271" i="2"/>
  <c r="BY271" i="2"/>
  <c r="BX271" i="2"/>
  <c r="BW271" i="2"/>
  <c r="BV271" i="2"/>
  <c r="BU271" i="2"/>
  <c r="BT271" i="2"/>
  <c r="BS271" i="2"/>
  <c r="BR271" i="2"/>
  <c r="BQ271" i="2"/>
  <c r="BP271" i="2"/>
  <c r="BO271" i="2"/>
  <c r="BN271" i="2"/>
  <c r="BM271" i="2"/>
  <c r="BL271" i="2"/>
  <c r="BK271" i="2"/>
  <c r="BJ271" i="2"/>
  <c r="BI271" i="2"/>
  <c r="BH271" i="2"/>
  <c r="BG271" i="2"/>
  <c r="BF271" i="2"/>
  <c r="BE271" i="2"/>
  <c r="BD271" i="2"/>
  <c r="BC271" i="2"/>
  <c r="BB271" i="2"/>
  <c r="BA271" i="2"/>
  <c r="AZ271" i="2"/>
  <c r="AY271" i="2"/>
  <c r="AX271" i="2"/>
  <c r="AW271" i="2"/>
  <c r="AV271" i="2"/>
  <c r="AU271" i="2"/>
  <c r="AT271" i="2"/>
  <c r="AS271" i="2"/>
  <c r="AR271" i="2"/>
  <c r="AQ271" i="2"/>
  <c r="AP271" i="2"/>
  <c r="AO271" i="2"/>
  <c r="AN271" i="2"/>
  <c r="AM271" i="2"/>
  <c r="AL271" i="2"/>
  <c r="AK271" i="2"/>
  <c r="AJ271" i="2"/>
  <c r="AI271" i="2"/>
  <c r="AH271" i="2"/>
  <c r="AG271" i="2"/>
  <c r="AF271" i="2"/>
  <c r="AE271" i="2"/>
  <c r="AD271" i="2"/>
  <c r="AC271" i="2"/>
  <c r="AB271" i="2"/>
  <c r="AA271" i="2"/>
  <c r="Z271" i="2"/>
  <c r="Y271" i="2"/>
  <c r="X271" i="2"/>
  <c r="W271" i="2"/>
  <c r="V271" i="2"/>
  <c r="U271" i="2"/>
  <c r="T271" i="2"/>
  <c r="S271" i="2"/>
  <c r="R271" i="2"/>
  <c r="Q271" i="2"/>
  <c r="P271" i="2"/>
  <c r="O271" i="2"/>
  <c r="N271" i="2"/>
  <c r="M271" i="2"/>
  <c r="L271" i="2"/>
  <c r="K271" i="2"/>
  <c r="J271" i="2"/>
  <c r="A269" i="2"/>
  <c r="A268" i="2"/>
  <c r="A267" i="2"/>
  <c r="A266" i="2"/>
  <c r="A265" i="2"/>
  <c r="A264" i="2"/>
  <c r="A263" i="2"/>
  <c r="FH269" i="2"/>
  <c r="FG269" i="2"/>
  <c r="FF269" i="2"/>
  <c r="FE269" i="2"/>
  <c r="FD269" i="2"/>
  <c r="FC269" i="2"/>
  <c r="FB269" i="2"/>
  <c r="FA269" i="2"/>
  <c r="EZ269" i="2"/>
  <c r="EY269" i="2"/>
  <c r="EX269" i="2"/>
  <c r="EW269" i="2"/>
  <c r="EV269" i="2"/>
  <c r="EU269" i="2"/>
  <c r="ET269" i="2"/>
  <c r="ES269" i="2"/>
  <c r="ER269" i="2"/>
  <c r="EQ269" i="2"/>
  <c r="EP269" i="2"/>
  <c r="EO269" i="2"/>
  <c r="EN269" i="2"/>
  <c r="EM269" i="2"/>
  <c r="EL269" i="2"/>
  <c r="EK269" i="2"/>
  <c r="EJ269" i="2"/>
  <c r="EI269" i="2"/>
  <c r="EH269" i="2"/>
  <c r="EG269" i="2"/>
  <c r="EF269" i="2"/>
  <c r="EE269" i="2"/>
  <c r="ED269" i="2"/>
  <c r="EC269" i="2"/>
  <c r="EB269" i="2"/>
  <c r="FS268" i="2"/>
  <c r="FR268" i="2"/>
  <c r="FQ268" i="2"/>
  <c r="FP268" i="2"/>
  <c r="FO268" i="2"/>
  <c r="FN268" i="2"/>
  <c r="FM268" i="2"/>
  <c r="FL268" i="2"/>
  <c r="FK268" i="2"/>
  <c r="FJ268" i="2"/>
  <c r="FI268" i="2"/>
  <c r="FH268" i="2"/>
  <c r="FG268" i="2"/>
  <c r="FF268" i="2"/>
  <c r="FE268" i="2"/>
  <c r="FD268" i="2"/>
  <c r="FC268" i="2"/>
  <c r="FB268" i="2"/>
  <c r="FA268" i="2"/>
  <c r="EZ268" i="2"/>
  <c r="EY268" i="2"/>
  <c r="EX268" i="2"/>
  <c r="EW268" i="2"/>
  <c r="EV268" i="2"/>
  <c r="EU268" i="2"/>
  <c r="ET268" i="2"/>
  <c r="ES268" i="2"/>
  <c r="ER268" i="2"/>
  <c r="EQ268" i="2"/>
  <c r="EP268" i="2"/>
  <c r="EO268" i="2"/>
  <c r="EN268" i="2"/>
  <c r="EM268" i="2"/>
  <c r="EL268" i="2"/>
  <c r="EK268" i="2"/>
  <c r="EJ268" i="2"/>
  <c r="EI268" i="2"/>
  <c r="EH268" i="2"/>
  <c r="EG268" i="2"/>
  <c r="EF268" i="2"/>
  <c r="EE268" i="2"/>
  <c r="ED268" i="2"/>
  <c r="EC268" i="2"/>
  <c r="EB268" i="2"/>
  <c r="FH267" i="2"/>
  <c r="FG267" i="2"/>
  <c r="FF267" i="2"/>
  <c r="FE267" i="2"/>
  <c r="FD267" i="2"/>
  <c r="FC267" i="2"/>
  <c r="FB267" i="2"/>
  <c r="FA267" i="2"/>
  <c r="EZ267" i="2"/>
  <c r="EY267" i="2"/>
  <c r="EX267" i="2"/>
  <c r="EW267" i="2"/>
  <c r="EV267" i="2"/>
  <c r="EU267" i="2"/>
  <c r="ET267" i="2"/>
  <c r="ES267" i="2"/>
  <c r="ER267" i="2"/>
  <c r="EQ267" i="2"/>
  <c r="EP267" i="2"/>
  <c r="EO267" i="2"/>
  <c r="EN267" i="2"/>
  <c r="EM267" i="2"/>
  <c r="EL267" i="2"/>
  <c r="EK267" i="2"/>
  <c r="EJ267" i="2"/>
  <c r="EI267" i="2"/>
  <c r="EH267" i="2"/>
  <c r="EG267" i="2"/>
  <c r="EF267" i="2"/>
  <c r="EE267" i="2"/>
  <c r="ED267" i="2"/>
  <c r="EC267" i="2"/>
  <c r="EB267" i="2"/>
  <c r="FH266" i="2"/>
  <c r="FG266" i="2"/>
  <c r="FF266" i="2"/>
  <c r="FE266" i="2"/>
  <c r="FD266" i="2"/>
  <c r="FC266" i="2"/>
  <c r="FB266" i="2"/>
  <c r="FA266" i="2"/>
  <c r="EZ266" i="2"/>
  <c r="EY266" i="2"/>
  <c r="EX266" i="2"/>
  <c r="EW266" i="2"/>
  <c r="EV266" i="2"/>
  <c r="EU266" i="2"/>
  <c r="ET266" i="2"/>
  <c r="ES266" i="2"/>
  <c r="ER266" i="2"/>
  <c r="EQ266" i="2"/>
  <c r="EP266" i="2"/>
  <c r="EO266" i="2"/>
  <c r="EN266" i="2"/>
  <c r="EM266" i="2"/>
  <c r="EL266" i="2"/>
  <c r="EK266" i="2"/>
  <c r="EJ266" i="2"/>
  <c r="EI266" i="2"/>
  <c r="EH266" i="2"/>
  <c r="EG266" i="2"/>
  <c r="EF266" i="2"/>
  <c r="EE266" i="2"/>
  <c r="ED266" i="2"/>
  <c r="EC266" i="2"/>
  <c r="EB266" i="2"/>
  <c r="FH265" i="2"/>
  <c r="FG265" i="2"/>
  <c r="FF265" i="2"/>
  <c r="FE265" i="2"/>
  <c r="FD265" i="2"/>
  <c r="FC265" i="2"/>
  <c r="FB265" i="2"/>
  <c r="FA265" i="2"/>
  <c r="EZ265" i="2"/>
  <c r="EY265" i="2"/>
  <c r="EX265" i="2"/>
  <c r="EW265" i="2"/>
  <c r="EV265" i="2"/>
  <c r="EU265" i="2"/>
  <c r="ET265" i="2"/>
  <c r="ES265" i="2"/>
  <c r="ER265" i="2"/>
  <c r="EQ265" i="2"/>
  <c r="EP265" i="2"/>
  <c r="EO265" i="2"/>
  <c r="EN265" i="2"/>
  <c r="EM265" i="2"/>
  <c r="EL265" i="2"/>
  <c r="EK265" i="2"/>
  <c r="EJ265" i="2"/>
  <c r="EI265" i="2"/>
  <c r="EH265" i="2"/>
  <c r="EG265" i="2"/>
  <c r="EF265" i="2"/>
  <c r="EE265" i="2"/>
  <c r="ED265" i="2"/>
  <c r="EC265" i="2"/>
  <c r="EB265" i="2"/>
  <c r="FJ264" i="2"/>
  <c r="FI264" i="2"/>
  <c r="FH264" i="2"/>
  <c r="FG264" i="2"/>
  <c r="FF264" i="2"/>
  <c r="FE264" i="2"/>
  <c r="FD264" i="2"/>
  <c r="FC264" i="2"/>
  <c r="FB264" i="2"/>
  <c r="FA264" i="2"/>
  <c r="EZ264" i="2"/>
  <c r="EY264" i="2"/>
  <c r="EX264" i="2"/>
  <c r="EW264" i="2"/>
  <c r="EV264" i="2"/>
  <c r="EU264" i="2"/>
  <c r="ET264" i="2"/>
  <c r="ES264" i="2"/>
  <c r="ER264" i="2"/>
  <c r="EQ264" i="2"/>
  <c r="EP264" i="2"/>
  <c r="EO264" i="2"/>
  <c r="EN264" i="2"/>
  <c r="EM264" i="2"/>
  <c r="EL264" i="2"/>
  <c r="EK264" i="2"/>
  <c r="EJ264" i="2"/>
  <c r="EI264" i="2"/>
  <c r="EH264" i="2"/>
  <c r="EG264" i="2"/>
  <c r="EF264" i="2"/>
  <c r="EE264" i="2"/>
  <c r="ED264" i="2"/>
  <c r="EC264" i="2"/>
  <c r="EB264" i="2"/>
  <c r="DQ269" i="2"/>
  <c r="DP269" i="2"/>
  <c r="DO269" i="2"/>
  <c r="DN269" i="2"/>
  <c r="DM269" i="2"/>
  <c r="DL269" i="2"/>
  <c r="DK269" i="2"/>
  <c r="DJ269" i="2"/>
  <c r="DI269" i="2"/>
  <c r="DH269" i="2"/>
  <c r="DG269" i="2"/>
  <c r="DF269" i="2"/>
  <c r="DE269" i="2"/>
  <c r="DD269" i="2"/>
  <c r="DC269" i="2"/>
  <c r="DB269" i="2"/>
  <c r="DA269" i="2"/>
  <c r="CZ269" i="2"/>
  <c r="CY269" i="2"/>
  <c r="CX269" i="2"/>
  <c r="CW269" i="2"/>
  <c r="CV269" i="2"/>
  <c r="CU269" i="2"/>
  <c r="CT269" i="2"/>
  <c r="CS269" i="2"/>
  <c r="CR269" i="2"/>
  <c r="CQ269" i="2"/>
  <c r="CP269" i="2"/>
  <c r="CO269" i="2"/>
  <c r="CN269" i="2"/>
  <c r="CM269" i="2"/>
  <c r="CL269" i="2"/>
  <c r="CK269" i="2"/>
  <c r="CJ269" i="2"/>
  <c r="CI269" i="2"/>
  <c r="CH269" i="2"/>
  <c r="CG269" i="2"/>
  <c r="CF269" i="2"/>
  <c r="CE269" i="2"/>
  <c r="CD269" i="2"/>
  <c r="CC269" i="2"/>
  <c r="CB269" i="2"/>
  <c r="CA269" i="2"/>
  <c r="BZ269" i="2"/>
  <c r="BY269" i="2"/>
  <c r="BX269" i="2"/>
  <c r="BW269" i="2"/>
  <c r="BV269" i="2"/>
  <c r="BU269" i="2"/>
  <c r="BT269" i="2"/>
  <c r="BS269" i="2"/>
  <c r="BR269" i="2"/>
  <c r="BQ269" i="2"/>
  <c r="BP269" i="2"/>
  <c r="BO269" i="2"/>
  <c r="BN269" i="2"/>
  <c r="BM269" i="2"/>
  <c r="BL269" i="2"/>
  <c r="BK269" i="2"/>
  <c r="BJ269" i="2"/>
  <c r="BI269" i="2"/>
  <c r="BH269" i="2"/>
  <c r="BG269" i="2"/>
  <c r="BF269" i="2"/>
  <c r="BE269" i="2"/>
  <c r="BD269" i="2"/>
  <c r="BC269" i="2"/>
  <c r="BB269" i="2"/>
  <c r="BA269" i="2"/>
  <c r="AZ269" i="2"/>
  <c r="AY269" i="2"/>
  <c r="AX269" i="2"/>
  <c r="AW269" i="2"/>
  <c r="AV269" i="2"/>
  <c r="AU269" i="2"/>
  <c r="AT269" i="2"/>
  <c r="AS269" i="2"/>
  <c r="AR269" i="2"/>
  <c r="AQ269" i="2"/>
  <c r="AP269" i="2"/>
  <c r="AO269" i="2"/>
  <c r="AN269" i="2"/>
  <c r="AM269" i="2"/>
  <c r="AL269" i="2"/>
  <c r="AK269" i="2"/>
  <c r="AJ269" i="2"/>
  <c r="AI269" i="2"/>
  <c r="AH269" i="2"/>
  <c r="AG269" i="2"/>
  <c r="AF269" i="2"/>
  <c r="AE269" i="2"/>
  <c r="AD269" i="2"/>
  <c r="AC269" i="2"/>
  <c r="AB269" i="2"/>
  <c r="AA269" i="2"/>
  <c r="Z269" i="2"/>
  <c r="Y269" i="2"/>
  <c r="X269" i="2"/>
  <c r="W269" i="2"/>
  <c r="V269" i="2"/>
  <c r="U269" i="2"/>
  <c r="T269" i="2"/>
  <c r="S269" i="2"/>
  <c r="R269" i="2"/>
  <c r="Q269" i="2"/>
  <c r="P269" i="2"/>
  <c r="O269" i="2"/>
  <c r="N269" i="2"/>
  <c r="M269" i="2"/>
  <c r="L269" i="2"/>
  <c r="K269" i="2"/>
  <c r="J269" i="2"/>
  <c r="DY268" i="2"/>
  <c r="DX268" i="2"/>
  <c r="DW268" i="2"/>
  <c r="DV268" i="2"/>
  <c r="DU268" i="2"/>
  <c r="DT268" i="2"/>
  <c r="DS268" i="2"/>
  <c r="DR268" i="2"/>
  <c r="DQ268" i="2"/>
  <c r="DP268" i="2"/>
  <c r="DO268" i="2"/>
  <c r="DN268" i="2"/>
  <c r="DM268" i="2"/>
  <c r="DL268" i="2"/>
  <c r="DK268" i="2"/>
  <c r="DJ268" i="2"/>
  <c r="DI268" i="2"/>
  <c r="DH268" i="2"/>
  <c r="DG268" i="2"/>
  <c r="DF268" i="2"/>
  <c r="DE268" i="2"/>
  <c r="DD268" i="2"/>
  <c r="DC268" i="2"/>
  <c r="DB268" i="2"/>
  <c r="DA268" i="2"/>
  <c r="CZ268" i="2"/>
  <c r="CY268" i="2"/>
  <c r="CX268" i="2"/>
  <c r="CW268" i="2"/>
  <c r="CV268" i="2"/>
  <c r="CU268" i="2"/>
  <c r="CT268" i="2"/>
  <c r="CS268" i="2"/>
  <c r="CR268" i="2"/>
  <c r="CQ268" i="2"/>
  <c r="CP268" i="2"/>
  <c r="CO268" i="2"/>
  <c r="CN268" i="2"/>
  <c r="CM268" i="2"/>
  <c r="CL268" i="2"/>
  <c r="CK268" i="2"/>
  <c r="CJ268" i="2"/>
  <c r="CI268" i="2"/>
  <c r="CH268" i="2"/>
  <c r="CG268" i="2"/>
  <c r="CF268" i="2"/>
  <c r="CE268" i="2"/>
  <c r="CD268" i="2"/>
  <c r="CC268" i="2"/>
  <c r="CB268" i="2"/>
  <c r="CA268" i="2"/>
  <c r="BZ268" i="2"/>
  <c r="BY268" i="2"/>
  <c r="BX268" i="2"/>
  <c r="BW268" i="2"/>
  <c r="BV268" i="2"/>
  <c r="BU268" i="2"/>
  <c r="BT268" i="2"/>
  <c r="BS268" i="2"/>
  <c r="BR268" i="2"/>
  <c r="BQ268" i="2"/>
  <c r="BP268" i="2"/>
  <c r="BO268" i="2"/>
  <c r="BN268" i="2"/>
  <c r="BM268" i="2"/>
  <c r="BL268" i="2"/>
  <c r="BK268" i="2"/>
  <c r="BJ268" i="2"/>
  <c r="BI268" i="2"/>
  <c r="BH268" i="2"/>
  <c r="BG268" i="2"/>
  <c r="BF268" i="2"/>
  <c r="BE268" i="2"/>
  <c r="BD268" i="2"/>
  <c r="BC268" i="2"/>
  <c r="BB268" i="2"/>
  <c r="BA268" i="2"/>
  <c r="AZ268" i="2"/>
  <c r="AY268" i="2"/>
  <c r="AX268" i="2"/>
  <c r="AW268" i="2"/>
  <c r="AV268" i="2"/>
  <c r="AU268" i="2"/>
  <c r="AT268" i="2"/>
  <c r="AS268" i="2"/>
  <c r="AR268" i="2"/>
  <c r="AQ268" i="2"/>
  <c r="AP268" i="2"/>
  <c r="AO268" i="2"/>
  <c r="AN268" i="2"/>
  <c r="AM268" i="2"/>
  <c r="AL268" i="2"/>
  <c r="AK268" i="2"/>
  <c r="AJ268" i="2"/>
  <c r="AI268" i="2"/>
  <c r="AH268" i="2"/>
  <c r="AG268" i="2"/>
  <c r="AF268" i="2"/>
  <c r="AE268" i="2"/>
  <c r="AD268" i="2"/>
  <c r="AC268" i="2"/>
  <c r="AB268" i="2"/>
  <c r="AA268" i="2"/>
  <c r="Z268" i="2"/>
  <c r="Y268" i="2"/>
  <c r="X268" i="2"/>
  <c r="W268" i="2"/>
  <c r="V268" i="2"/>
  <c r="U268" i="2"/>
  <c r="T268" i="2"/>
  <c r="S268" i="2"/>
  <c r="R268" i="2"/>
  <c r="Q268" i="2"/>
  <c r="P268" i="2"/>
  <c r="O268" i="2"/>
  <c r="N268" i="2"/>
  <c r="M268" i="2"/>
  <c r="L268" i="2"/>
  <c r="K268" i="2"/>
  <c r="J268" i="2"/>
  <c r="DQ267" i="2"/>
  <c r="DP267" i="2"/>
  <c r="DO267" i="2"/>
  <c r="DN267" i="2"/>
  <c r="DM267" i="2"/>
  <c r="DL267" i="2"/>
  <c r="DK267" i="2"/>
  <c r="DJ267" i="2"/>
  <c r="DI267" i="2"/>
  <c r="DH267" i="2"/>
  <c r="DG267" i="2"/>
  <c r="DF267" i="2"/>
  <c r="DE267" i="2"/>
  <c r="DD267" i="2"/>
  <c r="DC267" i="2"/>
  <c r="DB267" i="2"/>
  <c r="DA267" i="2"/>
  <c r="CZ267" i="2"/>
  <c r="CY267" i="2"/>
  <c r="CX267" i="2"/>
  <c r="CW267" i="2"/>
  <c r="CV267" i="2"/>
  <c r="CU267" i="2"/>
  <c r="CT267" i="2"/>
  <c r="CS267" i="2"/>
  <c r="CR267" i="2"/>
  <c r="CQ267" i="2"/>
  <c r="CP267" i="2"/>
  <c r="CO267" i="2"/>
  <c r="CN267" i="2"/>
  <c r="CM267" i="2"/>
  <c r="CL267" i="2"/>
  <c r="CK267" i="2"/>
  <c r="CJ267" i="2"/>
  <c r="CI267" i="2"/>
  <c r="CH267" i="2"/>
  <c r="CG267" i="2"/>
  <c r="CF267" i="2"/>
  <c r="CE267" i="2"/>
  <c r="CD267" i="2"/>
  <c r="CC267" i="2"/>
  <c r="CB267" i="2"/>
  <c r="CA267" i="2"/>
  <c r="BZ267" i="2"/>
  <c r="BY267" i="2"/>
  <c r="BX267" i="2"/>
  <c r="BW267" i="2"/>
  <c r="BV267" i="2"/>
  <c r="BU267" i="2"/>
  <c r="BT267" i="2"/>
  <c r="BS267" i="2"/>
  <c r="BR267" i="2"/>
  <c r="BQ267" i="2"/>
  <c r="BP267" i="2"/>
  <c r="BO267" i="2"/>
  <c r="BN267" i="2"/>
  <c r="BM267" i="2"/>
  <c r="BL267" i="2"/>
  <c r="BK267" i="2"/>
  <c r="BJ267" i="2"/>
  <c r="BI267" i="2"/>
  <c r="BH267" i="2"/>
  <c r="BG267" i="2"/>
  <c r="BF267" i="2"/>
  <c r="BE267" i="2"/>
  <c r="BD267" i="2"/>
  <c r="BC267" i="2"/>
  <c r="BB267" i="2"/>
  <c r="BA267" i="2"/>
  <c r="AZ267" i="2"/>
  <c r="AY267" i="2"/>
  <c r="AX267" i="2"/>
  <c r="AW267" i="2"/>
  <c r="AV267" i="2"/>
  <c r="AU267" i="2"/>
  <c r="AT267" i="2"/>
  <c r="AS267" i="2"/>
  <c r="AR267" i="2"/>
  <c r="AQ267" i="2"/>
  <c r="AP267" i="2"/>
  <c r="AO267" i="2"/>
  <c r="AN267" i="2"/>
  <c r="AM267" i="2"/>
  <c r="AL267" i="2"/>
  <c r="AK267" i="2"/>
  <c r="AJ267" i="2"/>
  <c r="AI267" i="2"/>
  <c r="AH267" i="2"/>
  <c r="AG267" i="2"/>
  <c r="AF267" i="2"/>
  <c r="AE267" i="2"/>
  <c r="AD267" i="2"/>
  <c r="AC267" i="2"/>
  <c r="AB267" i="2"/>
  <c r="AA267" i="2"/>
  <c r="Z267" i="2"/>
  <c r="Y267" i="2"/>
  <c r="X267" i="2"/>
  <c r="W267" i="2"/>
  <c r="V267" i="2"/>
  <c r="U267" i="2"/>
  <c r="T267" i="2"/>
  <c r="S267" i="2"/>
  <c r="R267" i="2"/>
  <c r="Q267" i="2"/>
  <c r="P267" i="2"/>
  <c r="O267" i="2"/>
  <c r="N267" i="2"/>
  <c r="M267" i="2"/>
  <c r="L267" i="2"/>
  <c r="K267" i="2"/>
  <c r="J267" i="2"/>
  <c r="DS266" i="2"/>
  <c r="DR266" i="2"/>
  <c r="DQ266" i="2"/>
  <c r="DP266" i="2"/>
  <c r="DO266" i="2"/>
  <c r="DN266" i="2"/>
  <c r="DM266" i="2"/>
  <c r="DL266" i="2"/>
  <c r="DK266" i="2"/>
  <c r="DJ266" i="2"/>
  <c r="DI266" i="2"/>
  <c r="DH266" i="2"/>
  <c r="DG266" i="2"/>
  <c r="DF266" i="2"/>
  <c r="DE266" i="2"/>
  <c r="DD266" i="2"/>
  <c r="DC266" i="2"/>
  <c r="DB266" i="2"/>
  <c r="DA266" i="2"/>
  <c r="CZ266" i="2"/>
  <c r="CY266" i="2"/>
  <c r="CX266" i="2"/>
  <c r="CW266" i="2"/>
  <c r="CV266" i="2"/>
  <c r="CU266" i="2"/>
  <c r="CT266" i="2"/>
  <c r="CS266" i="2"/>
  <c r="CR266" i="2"/>
  <c r="CQ266" i="2"/>
  <c r="CP266" i="2"/>
  <c r="CO266" i="2"/>
  <c r="CN266" i="2"/>
  <c r="CM266" i="2"/>
  <c r="CL266" i="2"/>
  <c r="CK266" i="2"/>
  <c r="CJ266" i="2"/>
  <c r="CI266" i="2"/>
  <c r="CH266" i="2"/>
  <c r="CG266" i="2"/>
  <c r="CF266" i="2"/>
  <c r="CE266" i="2"/>
  <c r="CD266" i="2"/>
  <c r="CC266" i="2"/>
  <c r="CB266" i="2"/>
  <c r="CA266" i="2"/>
  <c r="BZ266" i="2"/>
  <c r="BY266" i="2"/>
  <c r="BX266" i="2"/>
  <c r="BW266" i="2"/>
  <c r="BV266" i="2"/>
  <c r="BU266" i="2"/>
  <c r="BT266" i="2"/>
  <c r="BS266" i="2"/>
  <c r="BR266" i="2"/>
  <c r="BQ266" i="2"/>
  <c r="BP266" i="2"/>
  <c r="BO266" i="2"/>
  <c r="BN266" i="2"/>
  <c r="BM266" i="2"/>
  <c r="BL266" i="2"/>
  <c r="BK266" i="2"/>
  <c r="BJ266" i="2"/>
  <c r="BI266" i="2"/>
  <c r="BH266" i="2"/>
  <c r="BG266" i="2"/>
  <c r="BF266" i="2"/>
  <c r="BE266" i="2"/>
  <c r="BD266" i="2"/>
  <c r="BC266" i="2"/>
  <c r="BB266" i="2"/>
  <c r="BA266" i="2"/>
  <c r="AZ266" i="2"/>
  <c r="AY266" i="2"/>
  <c r="AX266" i="2"/>
  <c r="AW266" i="2"/>
  <c r="AV266" i="2"/>
  <c r="AU266" i="2"/>
  <c r="AT266" i="2"/>
  <c r="AS266" i="2"/>
  <c r="AR266" i="2"/>
  <c r="AQ266" i="2"/>
  <c r="AP266" i="2"/>
  <c r="AO266" i="2"/>
  <c r="AN266" i="2"/>
  <c r="AM266" i="2"/>
  <c r="AL266" i="2"/>
  <c r="AK266" i="2"/>
  <c r="AJ266" i="2"/>
  <c r="AI266" i="2"/>
  <c r="AH266" i="2"/>
  <c r="AG266" i="2"/>
  <c r="AF266" i="2"/>
  <c r="AE266" i="2"/>
  <c r="AD266" i="2"/>
  <c r="AC266" i="2"/>
  <c r="AB266" i="2"/>
  <c r="AA266" i="2"/>
  <c r="Z266" i="2"/>
  <c r="Y266" i="2"/>
  <c r="X266" i="2"/>
  <c r="W266" i="2"/>
  <c r="V266" i="2"/>
  <c r="U266" i="2"/>
  <c r="T266" i="2"/>
  <c r="S266" i="2"/>
  <c r="R266" i="2"/>
  <c r="Q266" i="2"/>
  <c r="P266" i="2"/>
  <c r="O266" i="2"/>
  <c r="N266" i="2"/>
  <c r="M266" i="2"/>
  <c r="L266" i="2"/>
  <c r="K266" i="2"/>
  <c r="J266" i="2"/>
  <c r="DS265" i="2"/>
  <c r="DR265" i="2"/>
  <c r="DQ265" i="2"/>
  <c r="DP265" i="2"/>
  <c r="DO265" i="2"/>
  <c r="DN265" i="2"/>
  <c r="DM265" i="2"/>
  <c r="DL265" i="2"/>
  <c r="DK265" i="2"/>
  <c r="DJ265" i="2"/>
  <c r="DI265" i="2"/>
  <c r="DH265" i="2"/>
  <c r="DG265" i="2"/>
  <c r="DF265" i="2"/>
  <c r="DE265" i="2"/>
  <c r="DD265" i="2"/>
  <c r="DC265" i="2"/>
  <c r="DB265" i="2"/>
  <c r="DA265" i="2"/>
  <c r="CZ265" i="2"/>
  <c r="CY265" i="2"/>
  <c r="CX265" i="2"/>
  <c r="CW265" i="2"/>
  <c r="CV265" i="2"/>
  <c r="CU265" i="2"/>
  <c r="CT265" i="2"/>
  <c r="CS265" i="2"/>
  <c r="CR265" i="2"/>
  <c r="CQ265" i="2"/>
  <c r="CP265" i="2"/>
  <c r="CO265" i="2"/>
  <c r="CN265" i="2"/>
  <c r="CM265" i="2"/>
  <c r="CL265" i="2"/>
  <c r="CK265" i="2"/>
  <c r="CJ265" i="2"/>
  <c r="CI265" i="2"/>
  <c r="CH265" i="2"/>
  <c r="CG265" i="2"/>
  <c r="CF265" i="2"/>
  <c r="CE265" i="2"/>
  <c r="CD265" i="2"/>
  <c r="CC265" i="2"/>
  <c r="CB265" i="2"/>
  <c r="CA265" i="2"/>
  <c r="BZ265" i="2"/>
  <c r="BY265" i="2"/>
  <c r="BX265" i="2"/>
  <c r="BW265" i="2"/>
  <c r="BV265" i="2"/>
  <c r="BU265" i="2"/>
  <c r="BT265" i="2"/>
  <c r="BS265" i="2"/>
  <c r="BR265" i="2"/>
  <c r="BQ265" i="2"/>
  <c r="BP265" i="2"/>
  <c r="BO265" i="2"/>
  <c r="BN265" i="2"/>
  <c r="BM265" i="2"/>
  <c r="BL265" i="2"/>
  <c r="BK265" i="2"/>
  <c r="BJ265" i="2"/>
  <c r="BI265" i="2"/>
  <c r="BH265" i="2"/>
  <c r="BG265" i="2"/>
  <c r="BF265" i="2"/>
  <c r="BE265" i="2"/>
  <c r="BD265" i="2"/>
  <c r="BC265" i="2"/>
  <c r="BB265" i="2"/>
  <c r="BA265" i="2"/>
  <c r="AZ265" i="2"/>
  <c r="AY265" i="2"/>
  <c r="AX265" i="2"/>
  <c r="AW265" i="2"/>
  <c r="AV265" i="2"/>
  <c r="AU265" i="2"/>
  <c r="AT265" i="2"/>
  <c r="AS265" i="2"/>
  <c r="AR265" i="2"/>
  <c r="AQ265" i="2"/>
  <c r="AP265" i="2"/>
  <c r="AO265" i="2"/>
  <c r="AN265" i="2"/>
  <c r="AM265" i="2"/>
  <c r="AL265" i="2"/>
  <c r="AK265" i="2"/>
  <c r="AJ265" i="2"/>
  <c r="AI265" i="2"/>
  <c r="AH265" i="2"/>
  <c r="AG265" i="2"/>
  <c r="AF265" i="2"/>
  <c r="AE265" i="2"/>
  <c r="AD265" i="2"/>
  <c r="AC265" i="2"/>
  <c r="AB265" i="2"/>
  <c r="AA265" i="2"/>
  <c r="Z265" i="2"/>
  <c r="Y265" i="2"/>
  <c r="X265" i="2"/>
  <c r="W265" i="2"/>
  <c r="V265" i="2"/>
  <c r="U265" i="2"/>
  <c r="T265" i="2"/>
  <c r="S265" i="2"/>
  <c r="R265" i="2"/>
  <c r="Q265" i="2"/>
  <c r="P265" i="2"/>
  <c r="O265" i="2"/>
  <c r="N265" i="2"/>
  <c r="M265" i="2"/>
  <c r="L265" i="2"/>
  <c r="K265" i="2"/>
  <c r="J265" i="2"/>
  <c r="DS264" i="2"/>
  <c r="DR264" i="2"/>
  <c r="DQ264" i="2"/>
  <c r="DP264" i="2"/>
  <c r="DO264" i="2"/>
  <c r="DN264" i="2"/>
  <c r="DM264" i="2"/>
  <c r="DL264" i="2"/>
  <c r="DK264" i="2"/>
  <c r="DJ264" i="2"/>
  <c r="DI264" i="2"/>
  <c r="DH264" i="2"/>
  <c r="DG264" i="2"/>
  <c r="DF264" i="2"/>
  <c r="DE264" i="2"/>
  <c r="DD264" i="2"/>
  <c r="DC264" i="2"/>
  <c r="DB264" i="2"/>
  <c r="DA264" i="2"/>
  <c r="CZ264" i="2"/>
  <c r="CY264" i="2"/>
  <c r="CX264" i="2"/>
  <c r="CW264" i="2"/>
  <c r="CV264" i="2"/>
  <c r="CU264" i="2"/>
  <c r="CT264" i="2"/>
  <c r="CS264" i="2"/>
  <c r="CR264" i="2"/>
  <c r="CQ264" i="2"/>
  <c r="CP264" i="2"/>
  <c r="CO264" i="2"/>
  <c r="CN264" i="2"/>
  <c r="CM264" i="2"/>
  <c r="CL264" i="2"/>
  <c r="CK264" i="2"/>
  <c r="CJ264" i="2"/>
  <c r="CI264" i="2"/>
  <c r="CH264" i="2"/>
  <c r="CG264" i="2"/>
  <c r="CF264" i="2"/>
  <c r="CE264" i="2"/>
  <c r="CD264" i="2"/>
  <c r="CC264" i="2"/>
  <c r="CB264" i="2"/>
  <c r="CA264" i="2"/>
  <c r="BZ264" i="2"/>
  <c r="BY264" i="2"/>
  <c r="BX264" i="2"/>
  <c r="BW264" i="2"/>
  <c r="BV264" i="2"/>
  <c r="BU264" i="2"/>
  <c r="BT264" i="2"/>
  <c r="BS264" i="2"/>
  <c r="BR264" i="2"/>
  <c r="BQ264" i="2"/>
  <c r="BP264" i="2"/>
  <c r="BO264" i="2"/>
  <c r="BN264" i="2"/>
  <c r="BM264" i="2"/>
  <c r="BL264" i="2"/>
  <c r="BK264" i="2"/>
  <c r="BJ264" i="2"/>
  <c r="BI264" i="2"/>
  <c r="BH264" i="2"/>
  <c r="BG264" i="2"/>
  <c r="BF264" i="2"/>
  <c r="BE264" i="2"/>
  <c r="BD264" i="2"/>
  <c r="BC264" i="2"/>
  <c r="BB264" i="2"/>
  <c r="BA264" i="2"/>
  <c r="AZ264" i="2"/>
  <c r="AY264" i="2"/>
  <c r="AX264" i="2"/>
  <c r="AW264" i="2"/>
  <c r="AV264" i="2"/>
  <c r="AU264" i="2"/>
  <c r="AT264" i="2"/>
  <c r="AS264" i="2"/>
  <c r="AR264" i="2"/>
  <c r="AQ264" i="2"/>
  <c r="AP264" i="2"/>
  <c r="AO264" i="2"/>
  <c r="AN264" i="2"/>
  <c r="AM264" i="2"/>
  <c r="AL264" i="2"/>
  <c r="AK264" i="2"/>
  <c r="AJ264" i="2"/>
  <c r="AI264" i="2"/>
  <c r="AH264" i="2"/>
  <c r="AG264" i="2"/>
  <c r="AF264" i="2"/>
  <c r="AE264" i="2"/>
  <c r="AD264" i="2"/>
  <c r="AC264" i="2"/>
  <c r="AB264" i="2"/>
  <c r="AA264" i="2"/>
  <c r="Z264" i="2"/>
  <c r="Y264" i="2"/>
  <c r="X264" i="2"/>
  <c r="W264" i="2"/>
  <c r="V264" i="2"/>
  <c r="U264" i="2"/>
  <c r="T264" i="2"/>
  <c r="S264" i="2"/>
  <c r="R264" i="2"/>
  <c r="Q264" i="2"/>
  <c r="P264" i="2"/>
  <c r="O264" i="2"/>
  <c r="N264" i="2"/>
  <c r="M264" i="2"/>
  <c r="L264" i="2"/>
  <c r="K264" i="2"/>
  <c r="J264" i="2"/>
  <c r="A261" i="2"/>
  <c r="A260" i="2"/>
  <c r="A259" i="2"/>
  <c r="A258" i="2"/>
  <c r="FS261" i="2"/>
  <c r="FH261" i="2"/>
  <c r="FG261" i="2"/>
  <c r="FF261" i="2"/>
  <c r="FE261" i="2"/>
  <c r="FD261" i="2"/>
  <c r="FC261" i="2"/>
  <c r="FB261" i="2"/>
  <c r="FA261" i="2"/>
  <c r="EZ261" i="2"/>
  <c r="EY261" i="2"/>
  <c r="EX261" i="2"/>
  <c r="EW261" i="2"/>
  <c r="EV261" i="2"/>
  <c r="EU261" i="2"/>
  <c r="ET261" i="2"/>
  <c r="ES261" i="2"/>
  <c r="ER261" i="2"/>
  <c r="EQ261" i="2"/>
  <c r="EP261" i="2"/>
  <c r="EO261" i="2"/>
  <c r="EN261" i="2"/>
  <c r="EM261" i="2"/>
  <c r="EL261" i="2"/>
  <c r="EK261" i="2"/>
  <c r="EJ261" i="2"/>
  <c r="EI261" i="2"/>
  <c r="EH261" i="2"/>
  <c r="EG261" i="2"/>
  <c r="EF261" i="2"/>
  <c r="EE261" i="2"/>
  <c r="ED261" i="2"/>
  <c r="EC261" i="2"/>
  <c r="EB261" i="2"/>
  <c r="FS260" i="2"/>
  <c r="FH260" i="2"/>
  <c r="FG260" i="2"/>
  <c r="FF260" i="2"/>
  <c r="FE260" i="2"/>
  <c r="FD260" i="2"/>
  <c r="FC260" i="2"/>
  <c r="FB260" i="2"/>
  <c r="FA260" i="2"/>
  <c r="EZ260" i="2"/>
  <c r="EY260" i="2"/>
  <c r="EX260" i="2"/>
  <c r="EW260" i="2"/>
  <c r="EV260" i="2"/>
  <c r="EU260" i="2"/>
  <c r="ET260" i="2"/>
  <c r="ES260" i="2"/>
  <c r="ER260" i="2"/>
  <c r="EQ260" i="2"/>
  <c r="EP260" i="2"/>
  <c r="EO260" i="2"/>
  <c r="EN260" i="2"/>
  <c r="EM260" i="2"/>
  <c r="EL260" i="2"/>
  <c r="EK260" i="2"/>
  <c r="EJ260" i="2"/>
  <c r="EI260" i="2"/>
  <c r="EH260" i="2"/>
  <c r="EG260" i="2"/>
  <c r="EF260" i="2"/>
  <c r="EE260" i="2"/>
  <c r="ED260" i="2"/>
  <c r="EC260" i="2"/>
  <c r="EB260" i="2"/>
  <c r="FS259" i="2"/>
  <c r="FH259" i="2"/>
  <c r="FG259" i="2"/>
  <c r="FF259" i="2"/>
  <c r="FE259" i="2"/>
  <c r="FD259" i="2"/>
  <c r="FC259" i="2"/>
  <c r="FB259" i="2"/>
  <c r="FA259" i="2"/>
  <c r="EZ259" i="2"/>
  <c r="EY259" i="2"/>
  <c r="EX259" i="2"/>
  <c r="EW259" i="2"/>
  <c r="EV259" i="2"/>
  <c r="EU259" i="2"/>
  <c r="ET259" i="2"/>
  <c r="ES259" i="2"/>
  <c r="ER259" i="2"/>
  <c r="EQ259" i="2"/>
  <c r="EP259" i="2"/>
  <c r="EO259" i="2"/>
  <c r="EN259" i="2"/>
  <c r="EM259" i="2"/>
  <c r="EL259" i="2"/>
  <c r="EK259" i="2"/>
  <c r="EJ259" i="2"/>
  <c r="EI259" i="2"/>
  <c r="EH259" i="2"/>
  <c r="EG259" i="2"/>
  <c r="EF259" i="2"/>
  <c r="EE259" i="2"/>
  <c r="ED259" i="2"/>
  <c r="EC259" i="2"/>
  <c r="EB259" i="2"/>
  <c r="FH258" i="2"/>
  <c r="FG258" i="2"/>
  <c r="FF258" i="2"/>
  <c r="FE258" i="2"/>
  <c r="FD258" i="2"/>
  <c r="FC258" i="2"/>
  <c r="FB258" i="2"/>
  <c r="FA258" i="2"/>
  <c r="EZ258" i="2"/>
  <c r="EY258" i="2"/>
  <c r="EX258" i="2"/>
  <c r="EW258" i="2"/>
  <c r="EV258" i="2"/>
  <c r="EU258" i="2"/>
  <c r="ET258" i="2"/>
  <c r="ES258" i="2"/>
  <c r="ER258" i="2"/>
  <c r="EQ258" i="2"/>
  <c r="EP258" i="2"/>
  <c r="EO258" i="2"/>
  <c r="EN258" i="2"/>
  <c r="EM258" i="2"/>
  <c r="EL258" i="2"/>
  <c r="EK258" i="2"/>
  <c r="EJ258" i="2"/>
  <c r="EI258" i="2"/>
  <c r="EH258" i="2"/>
  <c r="EG258" i="2"/>
  <c r="EF258" i="2"/>
  <c r="EE258" i="2"/>
  <c r="ED258" i="2"/>
  <c r="EC258" i="2"/>
  <c r="EB258" i="2"/>
  <c r="DQ261" i="2"/>
  <c r="DP261" i="2"/>
  <c r="DO261" i="2"/>
  <c r="DN261" i="2"/>
  <c r="DM261" i="2"/>
  <c r="DL261" i="2"/>
  <c r="DK261" i="2"/>
  <c r="DJ261" i="2"/>
  <c r="DI261" i="2"/>
  <c r="DH261" i="2"/>
  <c r="DG261" i="2"/>
  <c r="DF261" i="2"/>
  <c r="DE261" i="2"/>
  <c r="DD261" i="2"/>
  <c r="DC261" i="2"/>
  <c r="DB261" i="2"/>
  <c r="DA261" i="2"/>
  <c r="CZ261" i="2"/>
  <c r="CY261" i="2"/>
  <c r="CX261" i="2"/>
  <c r="CW261" i="2"/>
  <c r="CV261" i="2"/>
  <c r="CU261" i="2"/>
  <c r="CT261" i="2"/>
  <c r="CS261" i="2"/>
  <c r="CR261" i="2"/>
  <c r="CQ261" i="2"/>
  <c r="CP261" i="2"/>
  <c r="CO261" i="2"/>
  <c r="CN261" i="2"/>
  <c r="CM261" i="2"/>
  <c r="CL261" i="2"/>
  <c r="CK261" i="2"/>
  <c r="CJ261" i="2"/>
  <c r="CI261" i="2"/>
  <c r="CH261" i="2"/>
  <c r="CG261" i="2"/>
  <c r="CF261" i="2"/>
  <c r="CE261" i="2"/>
  <c r="CD261" i="2"/>
  <c r="CC261" i="2"/>
  <c r="CB261" i="2"/>
  <c r="CA261" i="2"/>
  <c r="BZ261" i="2"/>
  <c r="BY261" i="2"/>
  <c r="BX261" i="2"/>
  <c r="BW261" i="2"/>
  <c r="BV261" i="2"/>
  <c r="BU261" i="2"/>
  <c r="BT261" i="2"/>
  <c r="BS261" i="2"/>
  <c r="BR261" i="2"/>
  <c r="BQ261" i="2"/>
  <c r="BP261" i="2"/>
  <c r="BO261" i="2"/>
  <c r="BN261" i="2"/>
  <c r="BM261" i="2"/>
  <c r="BL261" i="2"/>
  <c r="BK261" i="2"/>
  <c r="BJ261" i="2"/>
  <c r="BI261" i="2"/>
  <c r="BH261" i="2"/>
  <c r="BG261" i="2"/>
  <c r="BF261" i="2"/>
  <c r="BE261" i="2"/>
  <c r="BD261" i="2"/>
  <c r="BC261" i="2"/>
  <c r="BB261" i="2"/>
  <c r="BA261" i="2"/>
  <c r="AZ261" i="2"/>
  <c r="AY261" i="2"/>
  <c r="AX261" i="2"/>
  <c r="AW261" i="2"/>
  <c r="AV261" i="2"/>
  <c r="AU261" i="2"/>
  <c r="AT261" i="2"/>
  <c r="AS261" i="2"/>
  <c r="AR261" i="2"/>
  <c r="AQ261" i="2"/>
  <c r="AP261" i="2"/>
  <c r="AO261" i="2"/>
  <c r="AN261" i="2"/>
  <c r="AM261" i="2"/>
  <c r="AL261" i="2"/>
  <c r="AK261" i="2"/>
  <c r="AJ261" i="2"/>
  <c r="AI261" i="2"/>
  <c r="AH261" i="2"/>
  <c r="AG261" i="2"/>
  <c r="AF261" i="2"/>
  <c r="AE261" i="2"/>
  <c r="AD261" i="2"/>
  <c r="AC261" i="2"/>
  <c r="AB261" i="2"/>
  <c r="AA261" i="2"/>
  <c r="Z261" i="2"/>
  <c r="Y261" i="2"/>
  <c r="X261" i="2"/>
  <c r="W261" i="2"/>
  <c r="V261" i="2"/>
  <c r="U261" i="2"/>
  <c r="T261" i="2"/>
  <c r="S261" i="2"/>
  <c r="R261" i="2"/>
  <c r="Q261" i="2"/>
  <c r="P261" i="2"/>
  <c r="O261" i="2"/>
  <c r="N261" i="2"/>
  <c r="M261" i="2"/>
  <c r="L261" i="2"/>
  <c r="K261" i="2"/>
  <c r="J261" i="2"/>
  <c r="DY260" i="2"/>
  <c r="DX260" i="2"/>
  <c r="DW260" i="2"/>
  <c r="DV260" i="2"/>
  <c r="DU260" i="2"/>
  <c r="DT260" i="2"/>
  <c r="DS260" i="2"/>
  <c r="DR260" i="2"/>
  <c r="DQ260" i="2"/>
  <c r="DP260" i="2"/>
  <c r="DO260" i="2"/>
  <c r="DN260" i="2"/>
  <c r="DM260" i="2"/>
  <c r="DL260" i="2"/>
  <c r="DK260" i="2"/>
  <c r="DJ260" i="2"/>
  <c r="DI260" i="2"/>
  <c r="DH260" i="2"/>
  <c r="DG260" i="2"/>
  <c r="DF260" i="2"/>
  <c r="DE260" i="2"/>
  <c r="DD260" i="2"/>
  <c r="DC260" i="2"/>
  <c r="DB260" i="2"/>
  <c r="DA260" i="2"/>
  <c r="CZ260" i="2"/>
  <c r="CY260" i="2"/>
  <c r="CX260" i="2"/>
  <c r="CW260" i="2"/>
  <c r="CV260" i="2"/>
  <c r="CU260" i="2"/>
  <c r="CT260" i="2"/>
  <c r="CS260" i="2"/>
  <c r="CR260" i="2"/>
  <c r="CQ260" i="2"/>
  <c r="CP260" i="2"/>
  <c r="CO260" i="2"/>
  <c r="CN260" i="2"/>
  <c r="CM260" i="2"/>
  <c r="CL260" i="2"/>
  <c r="CK260" i="2"/>
  <c r="CJ260" i="2"/>
  <c r="CI260" i="2"/>
  <c r="CH260" i="2"/>
  <c r="CG260" i="2"/>
  <c r="CF260" i="2"/>
  <c r="CE260" i="2"/>
  <c r="CD260" i="2"/>
  <c r="CC260" i="2"/>
  <c r="CB260" i="2"/>
  <c r="CA260" i="2"/>
  <c r="BZ260" i="2"/>
  <c r="BY260" i="2"/>
  <c r="BX260" i="2"/>
  <c r="BW260" i="2"/>
  <c r="BV260" i="2"/>
  <c r="BU260" i="2"/>
  <c r="BT260" i="2"/>
  <c r="BS260" i="2"/>
  <c r="BR260" i="2"/>
  <c r="BQ260" i="2"/>
  <c r="BP260" i="2"/>
  <c r="BO260" i="2"/>
  <c r="BN260" i="2"/>
  <c r="BM260" i="2"/>
  <c r="BL260" i="2"/>
  <c r="BK260" i="2"/>
  <c r="BJ260" i="2"/>
  <c r="BI260" i="2"/>
  <c r="BH260" i="2"/>
  <c r="BG260" i="2"/>
  <c r="BF260" i="2"/>
  <c r="BE260" i="2"/>
  <c r="BD260" i="2"/>
  <c r="BC260" i="2"/>
  <c r="BB260" i="2"/>
  <c r="BA260" i="2"/>
  <c r="AZ260" i="2"/>
  <c r="AY260" i="2"/>
  <c r="AX260" i="2"/>
  <c r="AW260" i="2"/>
  <c r="AV260" i="2"/>
  <c r="AU260" i="2"/>
  <c r="AT260" i="2"/>
  <c r="AS260" i="2"/>
  <c r="AR260" i="2"/>
  <c r="AQ260" i="2"/>
  <c r="AP260" i="2"/>
  <c r="AO260" i="2"/>
  <c r="AN260" i="2"/>
  <c r="AM260" i="2"/>
  <c r="AL260" i="2"/>
  <c r="AK260" i="2"/>
  <c r="AJ260" i="2"/>
  <c r="AI260" i="2"/>
  <c r="AH260" i="2"/>
  <c r="AG260" i="2"/>
  <c r="AF260" i="2"/>
  <c r="AE260" i="2"/>
  <c r="AD260" i="2"/>
  <c r="AC260" i="2"/>
  <c r="AB260" i="2"/>
  <c r="AA260" i="2"/>
  <c r="Z260" i="2"/>
  <c r="Y260" i="2"/>
  <c r="X260" i="2"/>
  <c r="W260" i="2"/>
  <c r="V260" i="2"/>
  <c r="U260" i="2"/>
  <c r="T260" i="2"/>
  <c r="S260" i="2"/>
  <c r="R260" i="2"/>
  <c r="Q260" i="2"/>
  <c r="P260" i="2"/>
  <c r="O260" i="2"/>
  <c r="N260" i="2"/>
  <c r="M260" i="2"/>
  <c r="L260" i="2"/>
  <c r="K260" i="2"/>
  <c r="J260" i="2"/>
  <c r="DY259" i="2"/>
  <c r="DX259" i="2"/>
  <c r="DW259" i="2"/>
  <c r="DV259" i="2"/>
  <c r="DU259" i="2"/>
  <c r="DT259" i="2"/>
  <c r="DS259" i="2"/>
  <c r="DR259" i="2"/>
  <c r="DQ259" i="2"/>
  <c r="DP259" i="2"/>
  <c r="DO259" i="2"/>
  <c r="DN259" i="2"/>
  <c r="DM259" i="2"/>
  <c r="DL259" i="2"/>
  <c r="DK259" i="2"/>
  <c r="DJ259" i="2"/>
  <c r="DI259" i="2"/>
  <c r="DH259" i="2"/>
  <c r="DG259" i="2"/>
  <c r="DF259" i="2"/>
  <c r="DE259" i="2"/>
  <c r="DD259" i="2"/>
  <c r="DC259" i="2"/>
  <c r="DB259" i="2"/>
  <c r="DA259" i="2"/>
  <c r="CZ259" i="2"/>
  <c r="CY259" i="2"/>
  <c r="CX259" i="2"/>
  <c r="CW259" i="2"/>
  <c r="CV259" i="2"/>
  <c r="CU259" i="2"/>
  <c r="CT259" i="2"/>
  <c r="CS259" i="2"/>
  <c r="CR259" i="2"/>
  <c r="CQ259" i="2"/>
  <c r="CP259" i="2"/>
  <c r="CO259" i="2"/>
  <c r="CN259" i="2"/>
  <c r="CM259" i="2"/>
  <c r="CL259" i="2"/>
  <c r="CK259" i="2"/>
  <c r="CJ259" i="2"/>
  <c r="CI259" i="2"/>
  <c r="CH259" i="2"/>
  <c r="CG259" i="2"/>
  <c r="CF259" i="2"/>
  <c r="CE259" i="2"/>
  <c r="CD259" i="2"/>
  <c r="CC259" i="2"/>
  <c r="CB259" i="2"/>
  <c r="CA259" i="2"/>
  <c r="BZ259" i="2"/>
  <c r="BY259" i="2"/>
  <c r="BX259" i="2"/>
  <c r="BW259" i="2"/>
  <c r="BV259" i="2"/>
  <c r="BU259" i="2"/>
  <c r="BT259" i="2"/>
  <c r="BS259" i="2"/>
  <c r="BR259" i="2"/>
  <c r="BQ259" i="2"/>
  <c r="BP259" i="2"/>
  <c r="BO259" i="2"/>
  <c r="BN259" i="2"/>
  <c r="BM259" i="2"/>
  <c r="BL259" i="2"/>
  <c r="BK259" i="2"/>
  <c r="BJ259" i="2"/>
  <c r="BI259" i="2"/>
  <c r="BH259" i="2"/>
  <c r="BG259" i="2"/>
  <c r="BF259" i="2"/>
  <c r="BE259" i="2"/>
  <c r="BD259" i="2"/>
  <c r="BC259" i="2"/>
  <c r="BB259" i="2"/>
  <c r="BA259" i="2"/>
  <c r="AZ259" i="2"/>
  <c r="AY259" i="2"/>
  <c r="AX259" i="2"/>
  <c r="AW259" i="2"/>
  <c r="AV259" i="2"/>
  <c r="AU259" i="2"/>
  <c r="AT259" i="2"/>
  <c r="AS259" i="2"/>
  <c r="AR259" i="2"/>
  <c r="AQ259" i="2"/>
  <c r="AP259" i="2"/>
  <c r="AO259" i="2"/>
  <c r="AN259" i="2"/>
  <c r="AM259" i="2"/>
  <c r="AL259" i="2"/>
  <c r="AK259" i="2"/>
  <c r="AJ259" i="2"/>
  <c r="AI259" i="2"/>
  <c r="AH259" i="2"/>
  <c r="AG259" i="2"/>
  <c r="AF259" i="2"/>
  <c r="AE259" i="2"/>
  <c r="AD259" i="2"/>
  <c r="AC259" i="2"/>
  <c r="AB259" i="2"/>
  <c r="AA259" i="2"/>
  <c r="Z259" i="2"/>
  <c r="Y259" i="2"/>
  <c r="X259" i="2"/>
  <c r="W259" i="2"/>
  <c r="V259" i="2"/>
  <c r="U259" i="2"/>
  <c r="T259" i="2"/>
  <c r="S259" i="2"/>
  <c r="R259" i="2"/>
  <c r="Q259" i="2"/>
  <c r="P259" i="2"/>
  <c r="O259" i="2"/>
  <c r="N259" i="2"/>
  <c r="M259" i="2"/>
  <c r="L259" i="2"/>
  <c r="K259" i="2"/>
  <c r="J259" i="2"/>
  <c r="DS258" i="2"/>
  <c r="DR258" i="2"/>
  <c r="DQ258" i="2"/>
  <c r="DP258" i="2"/>
  <c r="DO258" i="2"/>
  <c r="DN258" i="2"/>
  <c r="DM258" i="2"/>
  <c r="DL258" i="2"/>
  <c r="DK258" i="2"/>
  <c r="DJ258" i="2"/>
  <c r="DI258" i="2"/>
  <c r="DH258" i="2"/>
  <c r="DG258" i="2"/>
  <c r="DF258" i="2"/>
  <c r="DE258" i="2"/>
  <c r="DD258" i="2"/>
  <c r="DC258" i="2"/>
  <c r="DB258" i="2"/>
  <c r="DA258" i="2"/>
  <c r="CZ258" i="2"/>
  <c r="CY258" i="2"/>
  <c r="CX258" i="2"/>
  <c r="CW258" i="2"/>
  <c r="CV258" i="2"/>
  <c r="CU258" i="2"/>
  <c r="CT258" i="2"/>
  <c r="CS258" i="2"/>
  <c r="CR258" i="2"/>
  <c r="CQ258" i="2"/>
  <c r="CP258" i="2"/>
  <c r="CO258" i="2"/>
  <c r="CN258" i="2"/>
  <c r="CM258" i="2"/>
  <c r="CL258" i="2"/>
  <c r="CK258" i="2"/>
  <c r="CJ258" i="2"/>
  <c r="CI258" i="2"/>
  <c r="CH258" i="2"/>
  <c r="CG258" i="2"/>
  <c r="CF258" i="2"/>
  <c r="CE258" i="2"/>
  <c r="CD258" i="2"/>
  <c r="CC258" i="2"/>
  <c r="CB258" i="2"/>
  <c r="CA258" i="2"/>
  <c r="BZ258" i="2"/>
  <c r="BY258" i="2"/>
  <c r="BX258" i="2"/>
  <c r="BW258" i="2"/>
  <c r="BV258" i="2"/>
  <c r="BU258" i="2"/>
  <c r="BT258" i="2"/>
  <c r="BS258" i="2"/>
  <c r="BR258" i="2"/>
  <c r="BQ258" i="2"/>
  <c r="BP258" i="2"/>
  <c r="BO258" i="2"/>
  <c r="BN258" i="2"/>
  <c r="BM258" i="2"/>
  <c r="BL258" i="2"/>
  <c r="BK258" i="2"/>
  <c r="BJ258" i="2"/>
  <c r="BI258" i="2"/>
  <c r="BH258" i="2"/>
  <c r="BG258" i="2"/>
  <c r="BF258" i="2"/>
  <c r="BE258" i="2"/>
  <c r="BD258" i="2"/>
  <c r="BC258" i="2"/>
  <c r="BB258" i="2"/>
  <c r="BA258" i="2"/>
  <c r="AZ258" i="2"/>
  <c r="AY258" i="2"/>
  <c r="AX258" i="2"/>
  <c r="AW258" i="2"/>
  <c r="AV258" i="2"/>
  <c r="AU258" i="2"/>
  <c r="AT258" i="2"/>
  <c r="AS258" i="2"/>
  <c r="AR258" i="2"/>
  <c r="AQ258" i="2"/>
  <c r="AP258" i="2"/>
  <c r="AO258" i="2"/>
  <c r="AN258" i="2"/>
  <c r="AM258" i="2"/>
  <c r="AL258" i="2"/>
  <c r="AK258" i="2"/>
  <c r="AJ258" i="2"/>
  <c r="AI258" i="2"/>
  <c r="AH258" i="2"/>
  <c r="AG258" i="2"/>
  <c r="AF258" i="2"/>
  <c r="AE258" i="2"/>
  <c r="AD258" i="2"/>
  <c r="AC258" i="2"/>
  <c r="AB258" i="2"/>
  <c r="AA258" i="2"/>
  <c r="Z258" i="2"/>
  <c r="Y258" i="2"/>
  <c r="X258" i="2"/>
  <c r="W258" i="2"/>
  <c r="V258" i="2"/>
  <c r="U258" i="2"/>
  <c r="T258" i="2"/>
  <c r="S258" i="2"/>
  <c r="R258" i="2"/>
  <c r="Q258" i="2"/>
  <c r="P258" i="2"/>
  <c r="O258" i="2"/>
  <c r="N258" i="2"/>
  <c r="M258" i="2"/>
  <c r="L258" i="2"/>
  <c r="K258" i="2"/>
  <c r="J258" i="2"/>
  <c r="A255" i="2"/>
  <c r="A254" i="2"/>
  <c r="A253" i="2"/>
  <c r="A252" i="2"/>
  <c r="A251" i="2"/>
  <c r="A250" i="2"/>
  <c r="FH255" i="2"/>
  <c r="FG255" i="2"/>
  <c r="FF255" i="2"/>
  <c r="FE255" i="2"/>
  <c r="FD255" i="2"/>
  <c r="FC255" i="2"/>
  <c r="FB255" i="2"/>
  <c r="FA255" i="2"/>
  <c r="EZ255" i="2"/>
  <c r="EY255" i="2"/>
  <c r="EX255" i="2"/>
  <c r="EW255" i="2"/>
  <c r="EV255" i="2"/>
  <c r="EU255" i="2"/>
  <c r="ET255" i="2"/>
  <c r="ES255" i="2"/>
  <c r="ER255" i="2"/>
  <c r="EQ255" i="2"/>
  <c r="EP255" i="2"/>
  <c r="EO255" i="2"/>
  <c r="EN255" i="2"/>
  <c r="EM255" i="2"/>
  <c r="EL255" i="2"/>
  <c r="EK255" i="2"/>
  <c r="EJ255" i="2"/>
  <c r="EI255" i="2"/>
  <c r="EH255" i="2"/>
  <c r="EG255" i="2"/>
  <c r="EF255" i="2"/>
  <c r="EE255" i="2"/>
  <c r="ED255" i="2"/>
  <c r="EC255" i="2"/>
  <c r="EB255" i="2"/>
  <c r="FH254" i="2"/>
  <c r="FG254" i="2"/>
  <c r="FF254" i="2"/>
  <c r="FE254" i="2"/>
  <c r="FD254" i="2"/>
  <c r="FC254" i="2"/>
  <c r="FB254" i="2"/>
  <c r="FA254" i="2"/>
  <c r="EZ254" i="2"/>
  <c r="EY254" i="2"/>
  <c r="EX254" i="2"/>
  <c r="EW254" i="2"/>
  <c r="EV254" i="2"/>
  <c r="EU254" i="2"/>
  <c r="ET254" i="2"/>
  <c r="ES254" i="2"/>
  <c r="ER254" i="2"/>
  <c r="EQ254" i="2"/>
  <c r="EP254" i="2"/>
  <c r="EO254" i="2"/>
  <c r="EN254" i="2"/>
  <c r="EM254" i="2"/>
  <c r="EL254" i="2"/>
  <c r="EK254" i="2"/>
  <c r="EJ254" i="2"/>
  <c r="EI254" i="2"/>
  <c r="EH254" i="2"/>
  <c r="EG254" i="2"/>
  <c r="EF254" i="2"/>
  <c r="EE254" i="2"/>
  <c r="ED254" i="2"/>
  <c r="EC254" i="2"/>
  <c r="EB254" i="2"/>
  <c r="FH253" i="2"/>
  <c r="FG253" i="2"/>
  <c r="FF253" i="2"/>
  <c r="FE253" i="2"/>
  <c r="FD253" i="2"/>
  <c r="FC253" i="2"/>
  <c r="FB253" i="2"/>
  <c r="FA253" i="2"/>
  <c r="EZ253" i="2"/>
  <c r="EY253" i="2"/>
  <c r="EX253" i="2"/>
  <c r="EW253" i="2"/>
  <c r="EV253" i="2"/>
  <c r="EU253" i="2"/>
  <c r="ET253" i="2"/>
  <c r="ES253" i="2"/>
  <c r="ER253" i="2"/>
  <c r="EQ253" i="2"/>
  <c r="EP253" i="2"/>
  <c r="EO253" i="2"/>
  <c r="EN253" i="2"/>
  <c r="EM253" i="2"/>
  <c r="EL253" i="2"/>
  <c r="EK253" i="2"/>
  <c r="EJ253" i="2"/>
  <c r="EI253" i="2"/>
  <c r="EH253" i="2"/>
  <c r="EG253" i="2"/>
  <c r="EF253" i="2"/>
  <c r="EE253" i="2"/>
  <c r="ED253" i="2"/>
  <c r="EC253" i="2"/>
  <c r="EB253" i="2"/>
  <c r="FH252" i="2"/>
  <c r="FG252" i="2"/>
  <c r="FF252" i="2"/>
  <c r="FE252" i="2"/>
  <c r="FD252" i="2"/>
  <c r="FC252" i="2"/>
  <c r="FB252" i="2"/>
  <c r="FA252" i="2"/>
  <c r="EZ252" i="2"/>
  <c r="EY252" i="2"/>
  <c r="EX252" i="2"/>
  <c r="EW252" i="2"/>
  <c r="EV252" i="2"/>
  <c r="EU252" i="2"/>
  <c r="ET252" i="2"/>
  <c r="ES252" i="2"/>
  <c r="ER252" i="2"/>
  <c r="EQ252" i="2"/>
  <c r="EP252" i="2"/>
  <c r="EO252" i="2"/>
  <c r="EN252" i="2"/>
  <c r="EM252" i="2"/>
  <c r="EL252" i="2"/>
  <c r="EK252" i="2"/>
  <c r="EJ252" i="2"/>
  <c r="EI252" i="2"/>
  <c r="EH252" i="2"/>
  <c r="EG252" i="2"/>
  <c r="EF252" i="2"/>
  <c r="EE252" i="2"/>
  <c r="ED252" i="2"/>
  <c r="EC252" i="2"/>
  <c r="EB252" i="2"/>
  <c r="FJ251" i="2"/>
  <c r="FI251" i="2"/>
  <c r="FH251" i="2"/>
  <c r="FG251" i="2"/>
  <c r="FF251" i="2"/>
  <c r="FE251" i="2"/>
  <c r="FD251" i="2"/>
  <c r="FC251" i="2"/>
  <c r="FB251" i="2"/>
  <c r="FA251" i="2"/>
  <c r="EZ251" i="2"/>
  <c r="EY251" i="2"/>
  <c r="EX251" i="2"/>
  <c r="EW251" i="2"/>
  <c r="EV251" i="2"/>
  <c r="EU251" i="2"/>
  <c r="ET251" i="2"/>
  <c r="ES251" i="2"/>
  <c r="ER251" i="2"/>
  <c r="EQ251" i="2"/>
  <c r="EP251" i="2"/>
  <c r="EO251" i="2"/>
  <c r="EN251" i="2"/>
  <c r="EM251" i="2"/>
  <c r="EL251" i="2"/>
  <c r="EK251" i="2"/>
  <c r="EJ251" i="2"/>
  <c r="EI251" i="2"/>
  <c r="EH251" i="2"/>
  <c r="EG251" i="2"/>
  <c r="EF251" i="2"/>
  <c r="EE251" i="2"/>
  <c r="ED251" i="2"/>
  <c r="EC251" i="2"/>
  <c r="EB251" i="2"/>
  <c r="DQ255" i="2"/>
  <c r="DP255" i="2"/>
  <c r="DO255" i="2"/>
  <c r="DN255" i="2"/>
  <c r="DM255" i="2"/>
  <c r="DL255" i="2"/>
  <c r="DK255" i="2"/>
  <c r="DJ255" i="2"/>
  <c r="DI255" i="2"/>
  <c r="DH255" i="2"/>
  <c r="DG255" i="2"/>
  <c r="DF255" i="2"/>
  <c r="DE255" i="2"/>
  <c r="DD255" i="2"/>
  <c r="DC255" i="2"/>
  <c r="DB255" i="2"/>
  <c r="DA255" i="2"/>
  <c r="CZ255" i="2"/>
  <c r="CY255" i="2"/>
  <c r="CX255" i="2"/>
  <c r="CW255" i="2"/>
  <c r="CV255" i="2"/>
  <c r="CU255" i="2"/>
  <c r="CT255" i="2"/>
  <c r="CS255" i="2"/>
  <c r="CR255" i="2"/>
  <c r="CQ255" i="2"/>
  <c r="CP255" i="2"/>
  <c r="CO255" i="2"/>
  <c r="CN255" i="2"/>
  <c r="CM255" i="2"/>
  <c r="CL255" i="2"/>
  <c r="CK255" i="2"/>
  <c r="CJ255" i="2"/>
  <c r="CI255" i="2"/>
  <c r="CH255" i="2"/>
  <c r="CG255" i="2"/>
  <c r="CF255" i="2"/>
  <c r="CE255" i="2"/>
  <c r="CD255" i="2"/>
  <c r="CC255" i="2"/>
  <c r="CB255" i="2"/>
  <c r="CA255" i="2"/>
  <c r="BZ255" i="2"/>
  <c r="BY255" i="2"/>
  <c r="BX255" i="2"/>
  <c r="BW255" i="2"/>
  <c r="BV255" i="2"/>
  <c r="BU255" i="2"/>
  <c r="BT255" i="2"/>
  <c r="BS255" i="2"/>
  <c r="BR255" i="2"/>
  <c r="BQ255" i="2"/>
  <c r="BP255" i="2"/>
  <c r="BO255" i="2"/>
  <c r="BN255" i="2"/>
  <c r="BM255" i="2"/>
  <c r="BL255" i="2"/>
  <c r="BK255" i="2"/>
  <c r="BJ255" i="2"/>
  <c r="BI255" i="2"/>
  <c r="BH255" i="2"/>
  <c r="BG255" i="2"/>
  <c r="BF255" i="2"/>
  <c r="BE255" i="2"/>
  <c r="BD255" i="2"/>
  <c r="BC255" i="2"/>
  <c r="BB255" i="2"/>
  <c r="BA255" i="2"/>
  <c r="AZ255" i="2"/>
  <c r="AY255" i="2"/>
  <c r="AX255" i="2"/>
  <c r="AW255" i="2"/>
  <c r="AV255" i="2"/>
  <c r="AU255" i="2"/>
  <c r="AT255" i="2"/>
  <c r="AS255" i="2"/>
  <c r="AR255" i="2"/>
  <c r="AQ255" i="2"/>
  <c r="AP255" i="2"/>
  <c r="AO255" i="2"/>
  <c r="AN255" i="2"/>
  <c r="AM255" i="2"/>
  <c r="AL255" i="2"/>
  <c r="AK255" i="2"/>
  <c r="AJ255" i="2"/>
  <c r="AI255" i="2"/>
  <c r="AH255" i="2"/>
  <c r="AG255" i="2"/>
  <c r="AF255" i="2"/>
  <c r="AE255" i="2"/>
  <c r="AD255" i="2"/>
  <c r="AC255" i="2"/>
  <c r="AB255" i="2"/>
  <c r="AA255" i="2"/>
  <c r="Z255" i="2"/>
  <c r="Y255" i="2"/>
  <c r="X255" i="2"/>
  <c r="W255" i="2"/>
  <c r="V255" i="2"/>
  <c r="U255" i="2"/>
  <c r="T255" i="2"/>
  <c r="S255" i="2"/>
  <c r="R255" i="2"/>
  <c r="Q255" i="2"/>
  <c r="P255" i="2"/>
  <c r="O255" i="2"/>
  <c r="N255" i="2"/>
  <c r="M255" i="2"/>
  <c r="L255" i="2"/>
  <c r="K255" i="2"/>
  <c r="J255" i="2"/>
  <c r="DQ254" i="2"/>
  <c r="DP254" i="2"/>
  <c r="DO254" i="2"/>
  <c r="DN254" i="2"/>
  <c r="DM254" i="2"/>
  <c r="DL254" i="2"/>
  <c r="DK254" i="2"/>
  <c r="DJ254" i="2"/>
  <c r="DI254" i="2"/>
  <c r="DH254" i="2"/>
  <c r="DG254" i="2"/>
  <c r="DF254" i="2"/>
  <c r="DE254" i="2"/>
  <c r="DD254" i="2"/>
  <c r="DC254" i="2"/>
  <c r="DB254" i="2"/>
  <c r="DA254" i="2"/>
  <c r="CZ254" i="2"/>
  <c r="CY254" i="2"/>
  <c r="CX254" i="2"/>
  <c r="CW254" i="2"/>
  <c r="CV254" i="2"/>
  <c r="CU254" i="2"/>
  <c r="CT254" i="2"/>
  <c r="CS254" i="2"/>
  <c r="CR254" i="2"/>
  <c r="CQ254" i="2"/>
  <c r="CP254" i="2"/>
  <c r="CO254" i="2"/>
  <c r="CN254" i="2"/>
  <c r="CM254" i="2"/>
  <c r="CL254" i="2"/>
  <c r="CK254" i="2"/>
  <c r="CJ254" i="2"/>
  <c r="CI254" i="2"/>
  <c r="CH254" i="2"/>
  <c r="CG254" i="2"/>
  <c r="CF254" i="2"/>
  <c r="CE254" i="2"/>
  <c r="CD254" i="2"/>
  <c r="CC254" i="2"/>
  <c r="CB254" i="2"/>
  <c r="CA254" i="2"/>
  <c r="BZ254" i="2"/>
  <c r="BY254" i="2"/>
  <c r="BX254" i="2"/>
  <c r="BW254" i="2"/>
  <c r="BV254" i="2"/>
  <c r="BU254" i="2"/>
  <c r="BT254" i="2"/>
  <c r="BS254" i="2"/>
  <c r="BR254" i="2"/>
  <c r="BQ254" i="2"/>
  <c r="BP254" i="2"/>
  <c r="BO254" i="2"/>
  <c r="BN254" i="2"/>
  <c r="BM254" i="2"/>
  <c r="BL254" i="2"/>
  <c r="BK254" i="2"/>
  <c r="BJ254" i="2"/>
  <c r="BI254" i="2"/>
  <c r="BH254" i="2"/>
  <c r="BG254" i="2"/>
  <c r="BF254" i="2"/>
  <c r="BE254" i="2"/>
  <c r="BD254" i="2"/>
  <c r="BC254" i="2"/>
  <c r="BB254" i="2"/>
  <c r="BA254" i="2"/>
  <c r="AZ254" i="2"/>
  <c r="AY254" i="2"/>
  <c r="AX254" i="2"/>
  <c r="AW254" i="2"/>
  <c r="AV254" i="2"/>
  <c r="AU254" i="2"/>
  <c r="AT254" i="2"/>
  <c r="AS254" i="2"/>
  <c r="AR254" i="2"/>
  <c r="AQ254" i="2"/>
  <c r="AP254" i="2"/>
  <c r="AO254" i="2"/>
  <c r="AN254" i="2"/>
  <c r="AM254" i="2"/>
  <c r="AL254" i="2"/>
  <c r="AK254" i="2"/>
  <c r="AJ254" i="2"/>
  <c r="AI254" i="2"/>
  <c r="AH254" i="2"/>
  <c r="AG254" i="2"/>
  <c r="AF254" i="2"/>
  <c r="AE254" i="2"/>
  <c r="AD254" i="2"/>
  <c r="AC254" i="2"/>
  <c r="AB254" i="2"/>
  <c r="AA254" i="2"/>
  <c r="Z254" i="2"/>
  <c r="Y254" i="2"/>
  <c r="X254" i="2"/>
  <c r="W254" i="2"/>
  <c r="V254" i="2"/>
  <c r="U254" i="2"/>
  <c r="T254" i="2"/>
  <c r="S254" i="2"/>
  <c r="R254" i="2"/>
  <c r="Q254" i="2"/>
  <c r="P254" i="2"/>
  <c r="O254" i="2"/>
  <c r="N254" i="2"/>
  <c r="M254" i="2"/>
  <c r="L254" i="2"/>
  <c r="K254" i="2"/>
  <c r="J254" i="2"/>
  <c r="DS253" i="2"/>
  <c r="DR253" i="2"/>
  <c r="DQ253" i="2"/>
  <c r="DP253" i="2"/>
  <c r="DO253" i="2"/>
  <c r="DN253" i="2"/>
  <c r="DM253" i="2"/>
  <c r="DL253" i="2"/>
  <c r="DK253" i="2"/>
  <c r="DJ253" i="2"/>
  <c r="DI253" i="2"/>
  <c r="DH253" i="2"/>
  <c r="DG253" i="2"/>
  <c r="DF253" i="2"/>
  <c r="DE253" i="2"/>
  <c r="DD253" i="2"/>
  <c r="DC253" i="2"/>
  <c r="DB253" i="2"/>
  <c r="DA253" i="2"/>
  <c r="CZ253" i="2"/>
  <c r="CY253" i="2"/>
  <c r="CX253" i="2"/>
  <c r="CW253" i="2"/>
  <c r="CV253" i="2"/>
  <c r="CU253" i="2"/>
  <c r="CT253" i="2"/>
  <c r="CS253" i="2"/>
  <c r="CR253" i="2"/>
  <c r="CQ253" i="2"/>
  <c r="CP253" i="2"/>
  <c r="CO253" i="2"/>
  <c r="CN253" i="2"/>
  <c r="CM253" i="2"/>
  <c r="CL253" i="2"/>
  <c r="CK253" i="2"/>
  <c r="CJ253" i="2"/>
  <c r="CI253" i="2"/>
  <c r="CH253" i="2"/>
  <c r="CG253" i="2"/>
  <c r="CF253" i="2"/>
  <c r="CE253" i="2"/>
  <c r="CD253" i="2"/>
  <c r="CC253" i="2"/>
  <c r="CB253" i="2"/>
  <c r="CA253" i="2"/>
  <c r="BZ253" i="2"/>
  <c r="BY253" i="2"/>
  <c r="BX253" i="2"/>
  <c r="BW253" i="2"/>
  <c r="BV253" i="2"/>
  <c r="BU253" i="2"/>
  <c r="BT253" i="2"/>
  <c r="BS253" i="2"/>
  <c r="BR253" i="2"/>
  <c r="BQ253" i="2"/>
  <c r="BP253" i="2"/>
  <c r="BO253" i="2"/>
  <c r="BN253" i="2"/>
  <c r="BM253" i="2"/>
  <c r="BL253" i="2"/>
  <c r="BK253" i="2"/>
  <c r="BJ253" i="2"/>
  <c r="BI253" i="2"/>
  <c r="BH253" i="2"/>
  <c r="BG253" i="2"/>
  <c r="BF253" i="2"/>
  <c r="BE253" i="2"/>
  <c r="BD253" i="2"/>
  <c r="BC253" i="2"/>
  <c r="BB253" i="2"/>
  <c r="BA253" i="2"/>
  <c r="AZ253" i="2"/>
  <c r="AY253" i="2"/>
  <c r="AX253" i="2"/>
  <c r="AW253" i="2"/>
  <c r="AV253" i="2"/>
  <c r="AU253" i="2"/>
  <c r="AT253" i="2"/>
  <c r="AS253" i="2"/>
  <c r="AR253" i="2"/>
  <c r="AQ253" i="2"/>
  <c r="AP253" i="2"/>
  <c r="AO253" i="2"/>
  <c r="AN253" i="2"/>
  <c r="AM253" i="2"/>
  <c r="AL253" i="2"/>
  <c r="AK253" i="2"/>
  <c r="AJ253" i="2"/>
  <c r="AI253" i="2"/>
  <c r="AH253" i="2"/>
  <c r="AG253" i="2"/>
  <c r="AF253" i="2"/>
  <c r="AE253" i="2"/>
  <c r="AD253" i="2"/>
  <c r="AC253" i="2"/>
  <c r="AB253" i="2"/>
  <c r="AA253" i="2"/>
  <c r="Z253" i="2"/>
  <c r="Y253" i="2"/>
  <c r="X253" i="2"/>
  <c r="W253" i="2"/>
  <c r="V253" i="2"/>
  <c r="U253" i="2"/>
  <c r="T253" i="2"/>
  <c r="S253" i="2"/>
  <c r="R253" i="2"/>
  <c r="Q253" i="2"/>
  <c r="P253" i="2"/>
  <c r="O253" i="2"/>
  <c r="N253" i="2"/>
  <c r="M253" i="2"/>
  <c r="L253" i="2"/>
  <c r="K253" i="2"/>
  <c r="J253" i="2"/>
  <c r="DS252" i="2"/>
  <c r="DR252" i="2"/>
  <c r="DQ252" i="2"/>
  <c r="DP252" i="2"/>
  <c r="DO252" i="2"/>
  <c r="DN252" i="2"/>
  <c r="DM252" i="2"/>
  <c r="DL252" i="2"/>
  <c r="DK252" i="2"/>
  <c r="DJ252" i="2"/>
  <c r="DI252" i="2"/>
  <c r="DH252" i="2"/>
  <c r="DG252" i="2"/>
  <c r="DF252" i="2"/>
  <c r="DE252" i="2"/>
  <c r="DD252" i="2"/>
  <c r="DC252" i="2"/>
  <c r="DB252" i="2"/>
  <c r="DA252" i="2"/>
  <c r="CZ252" i="2"/>
  <c r="CY252" i="2"/>
  <c r="CX252" i="2"/>
  <c r="CW252" i="2"/>
  <c r="CV252" i="2"/>
  <c r="CU252" i="2"/>
  <c r="CT252" i="2"/>
  <c r="CS252" i="2"/>
  <c r="CR252" i="2"/>
  <c r="CQ252" i="2"/>
  <c r="CP252" i="2"/>
  <c r="CO252" i="2"/>
  <c r="CN252" i="2"/>
  <c r="CM252" i="2"/>
  <c r="CL252" i="2"/>
  <c r="CK252" i="2"/>
  <c r="CJ252" i="2"/>
  <c r="CI252" i="2"/>
  <c r="CH252" i="2"/>
  <c r="CG252" i="2"/>
  <c r="CF252" i="2"/>
  <c r="CE252" i="2"/>
  <c r="CD252" i="2"/>
  <c r="CC252" i="2"/>
  <c r="CB252" i="2"/>
  <c r="CA252" i="2"/>
  <c r="BZ252" i="2"/>
  <c r="BY252" i="2"/>
  <c r="BX252" i="2"/>
  <c r="BW252" i="2"/>
  <c r="BV252" i="2"/>
  <c r="BU252" i="2"/>
  <c r="BT252" i="2"/>
  <c r="BS252" i="2"/>
  <c r="BR252" i="2"/>
  <c r="BQ252" i="2"/>
  <c r="BP252" i="2"/>
  <c r="BO252" i="2"/>
  <c r="BN252" i="2"/>
  <c r="BM252" i="2"/>
  <c r="BL252" i="2"/>
  <c r="BK252" i="2"/>
  <c r="BJ252" i="2"/>
  <c r="BI252" i="2"/>
  <c r="BH252" i="2"/>
  <c r="BG252" i="2"/>
  <c r="BF252" i="2"/>
  <c r="BE252" i="2"/>
  <c r="BD252" i="2"/>
  <c r="BC252" i="2"/>
  <c r="BB252" i="2"/>
  <c r="BA252" i="2"/>
  <c r="AZ252" i="2"/>
  <c r="AY252" i="2"/>
  <c r="AX252" i="2"/>
  <c r="AW252" i="2"/>
  <c r="AV252" i="2"/>
  <c r="AU252" i="2"/>
  <c r="AT252" i="2"/>
  <c r="AS252" i="2"/>
  <c r="AR252" i="2"/>
  <c r="AQ252" i="2"/>
  <c r="AP252" i="2"/>
  <c r="AO252" i="2"/>
  <c r="AN252" i="2"/>
  <c r="AM252" i="2"/>
  <c r="AL252" i="2"/>
  <c r="AK252" i="2"/>
  <c r="AJ252" i="2"/>
  <c r="AI252" i="2"/>
  <c r="AH252" i="2"/>
  <c r="AG252" i="2"/>
  <c r="AF252" i="2"/>
  <c r="AE252" i="2"/>
  <c r="AD252" i="2"/>
  <c r="AC252" i="2"/>
  <c r="AB252" i="2"/>
  <c r="AA252" i="2"/>
  <c r="Z252" i="2"/>
  <c r="Y252" i="2"/>
  <c r="X252" i="2"/>
  <c r="W252" i="2"/>
  <c r="V252" i="2"/>
  <c r="U252" i="2"/>
  <c r="T252" i="2"/>
  <c r="S252" i="2"/>
  <c r="R252" i="2"/>
  <c r="Q252" i="2"/>
  <c r="P252" i="2"/>
  <c r="O252" i="2"/>
  <c r="N252" i="2"/>
  <c r="M252" i="2"/>
  <c r="L252" i="2"/>
  <c r="K252" i="2"/>
  <c r="J252" i="2"/>
  <c r="DS251" i="2"/>
  <c r="DR251" i="2"/>
  <c r="DQ251" i="2"/>
  <c r="DP251" i="2"/>
  <c r="DO251" i="2"/>
  <c r="DN251" i="2"/>
  <c r="DM251" i="2"/>
  <c r="DL251" i="2"/>
  <c r="DK251" i="2"/>
  <c r="DJ251" i="2"/>
  <c r="DI251" i="2"/>
  <c r="DH251" i="2"/>
  <c r="DG251" i="2"/>
  <c r="DF251" i="2"/>
  <c r="DE251" i="2"/>
  <c r="DD251" i="2"/>
  <c r="DC251" i="2"/>
  <c r="DB251" i="2"/>
  <c r="DA251" i="2"/>
  <c r="CZ251" i="2"/>
  <c r="CY251" i="2"/>
  <c r="CX251" i="2"/>
  <c r="CW251" i="2"/>
  <c r="CV251" i="2"/>
  <c r="CU251" i="2"/>
  <c r="CT251" i="2"/>
  <c r="CS251" i="2"/>
  <c r="CR251" i="2"/>
  <c r="CQ251" i="2"/>
  <c r="CP251" i="2"/>
  <c r="CO251" i="2"/>
  <c r="CN251" i="2"/>
  <c r="CM251" i="2"/>
  <c r="CL251" i="2"/>
  <c r="CK251" i="2"/>
  <c r="CJ251" i="2"/>
  <c r="CI251" i="2"/>
  <c r="CH251" i="2"/>
  <c r="CG251" i="2"/>
  <c r="CF251" i="2"/>
  <c r="CE251" i="2"/>
  <c r="CD251" i="2"/>
  <c r="CC251" i="2"/>
  <c r="CB251" i="2"/>
  <c r="CA251" i="2"/>
  <c r="BZ251" i="2"/>
  <c r="BY251" i="2"/>
  <c r="BX251" i="2"/>
  <c r="BW251" i="2"/>
  <c r="BV251" i="2"/>
  <c r="BU251" i="2"/>
  <c r="BT251" i="2"/>
  <c r="BS251" i="2"/>
  <c r="BR251" i="2"/>
  <c r="BQ251" i="2"/>
  <c r="BP251" i="2"/>
  <c r="BO251" i="2"/>
  <c r="BN251" i="2"/>
  <c r="BM251" i="2"/>
  <c r="BL251" i="2"/>
  <c r="BK251" i="2"/>
  <c r="BJ251" i="2"/>
  <c r="BI251" i="2"/>
  <c r="BH251" i="2"/>
  <c r="BG251" i="2"/>
  <c r="BF251" i="2"/>
  <c r="BE251" i="2"/>
  <c r="BD251" i="2"/>
  <c r="BC251" i="2"/>
  <c r="BB251" i="2"/>
  <c r="BA251" i="2"/>
  <c r="AZ251" i="2"/>
  <c r="AY251" i="2"/>
  <c r="AX251" i="2"/>
  <c r="AW251" i="2"/>
  <c r="AV251" i="2"/>
  <c r="AU251" i="2"/>
  <c r="AT251" i="2"/>
  <c r="AS251" i="2"/>
  <c r="AR251" i="2"/>
  <c r="AQ251" i="2"/>
  <c r="AP251" i="2"/>
  <c r="AO251" i="2"/>
  <c r="AN251" i="2"/>
  <c r="AM251" i="2"/>
  <c r="AL251" i="2"/>
  <c r="AK251" i="2"/>
  <c r="AJ251" i="2"/>
  <c r="AI251" i="2"/>
  <c r="AH251" i="2"/>
  <c r="AG251" i="2"/>
  <c r="AF251" i="2"/>
  <c r="AE251" i="2"/>
  <c r="AD251" i="2"/>
  <c r="AC251" i="2"/>
  <c r="AB251" i="2"/>
  <c r="AA251" i="2"/>
  <c r="Z251" i="2"/>
  <c r="Y251" i="2"/>
  <c r="X251" i="2"/>
  <c r="W251" i="2"/>
  <c r="V251" i="2"/>
  <c r="U251" i="2"/>
  <c r="T251" i="2"/>
  <c r="S251" i="2"/>
  <c r="R251" i="2"/>
  <c r="Q251" i="2"/>
  <c r="P251" i="2"/>
  <c r="O251" i="2"/>
  <c r="N251" i="2"/>
  <c r="M251" i="2"/>
  <c r="L251" i="2"/>
  <c r="K251" i="2"/>
  <c r="J251" i="2"/>
  <c r="A246" i="2"/>
  <c r="FH239" i="2"/>
  <c r="FG239" i="2"/>
  <c r="FF239" i="2"/>
  <c r="FE239" i="2"/>
  <c r="FD239" i="2"/>
  <c r="FC239" i="2"/>
  <c r="FB239" i="2"/>
  <c r="FA239" i="2"/>
  <c r="EZ239" i="2"/>
  <c r="EY239" i="2"/>
  <c r="EX239" i="2"/>
  <c r="EW239" i="2"/>
  <c r="EV239" i="2"/>
  <c r="EU239" i="2"/>
  <c r="ET239" i="2"/>
  <c r="ES239" i="2"/>
  <c r="ER239" i="2"/>
  <c r="EQ239" i="2"/>
  <c r="EP239" i="2"/>
  <c r="EO239" i="2"/>
  <c r="EN239" i="2"/>
  <c r="EM239" i="2"/>
  <c r="EL239" i="2"/>
  <c r="EK239" i="2"/>
  <c r="EJ239" i="2"/>
  <c r="EI239" i="2"/>
  <c r="EH239" i="2"/>
  <c r="EG239" i="2"/>
  <c r="EF239" i="2"/>
  <c r="EE239" i="2"/>
  <c r="ED239" i="2"/>
  <c r="EC239" i="2"/>
  <c r="EB239" i="2"/>
  <c r="FH238" i="2"/>
  <c r="FG238" i="2"/>
  <c r="FF238" i="2"/>
  <c r="FE238" i="2"/>
  <c r="FD238" i="2"/>
  <c r="FC238" i="2"/>
  <c r="FB238" i="2"/>
  <c r="FA238" i="2"/>
  <c r="EZ238" i="2"/>
  <c r="EY238" i="2"/>
  <c r="EX238" i="2"/>
  <c r="EW238" i="2"/>
  <c r="EV238" i="2"/>
  <c r="EU238" i="2"/>
  <c r="ET238" i="2"/>
  <c r="ES238" i="2"/>
  <c r="ER238" i="2"/>
  <c r="EQ238" i="2"/>
  <c r="EP238" i="2"/>
  <c r="EO238" i="2"/>
  <c r="EN238" i="2"/>
  <c r="EM238" i="2"/>
  <c r="EL238" i="2"/>
  <c r="EK238" i="2"/>
  <c r="EJ238" i="2"/>
  <c r="EI238" i="2"/>
  <c r="EH238" i="2"/>
  <c r="EG238" i="2"/>
  <c r="EF238" i="2"/>
  <c r="EE238" i="2"/>
  <c r="ED238" i="2"/>
  <c r="EC238" i="2"/>
  <c r="EB238" i="2"/>
  <c r="FH237" i="2"/>
  <c r="FG237" i="2"/>
  <c r="FF237" i="2"/>
  <c r="FE237" i="2"/>
  <c r="FD237" i="2"/>
  <c r="FC237" i="2"/>
  <c r="FB237" i="2"/>
  <c r="FA237" i="2"/>
  <c r="EZ237" i="2"/>
  <c r="EY237" i="2"/>
  <c r="EX237" i="2"/>
  <c r="EW237" i="2"/>
  <c r="EV237" i="2"/>
  <c r="EU237" i="2"/>
  <c r="ET237" i="2"/>
  <c r="ES237" i="2"/>
  <c r="ER237" i="2"/>
  <c r="EQ237" i="2"/>
  <c r="EP237" i="2"/>
  <c r="EO237" i="2"/>
  <c r="EN237" i="2"/>
  <c r="EM237" i="2"/>
  <c r="EL237" i="2"/>
  <c r="EK237" i="2"/>
  <c r="EJ237" i="2"/>
  <c r="EI237" i="2"/>
  <c r="EH237" i="2"/>
  <c r="EG237" i="2"/>
  <c r="EF237" i="2"/>
  <c r="EE237" i="2"/>
  <c r="ED237" i="2"/>
  <c r="EC237" i="2"/>
  <c r="EB237" i="2"/>
  <c r="DY239" i="2"/>
  <c r="DX239" i="2"/>
  <c r="DW239" i="2"/>
  <c r="DV239" i="2"/>
  <c r="DU239" i="2"/>
  <c r="DT239" i="2"/>
  <c r="DS239" i="2"/>
  <c r="DR239" i="2"/>
  <c r="DQ239" i="2"/>
  <c r="DP239" i="2"/>
  <c r="DO239" i="2"/>
  <c r="DN239" i="2"/>
  <c r="DM239" i="2"/>
  <c r="DL239" i="2"/>
  <c r="DK239" i="2"/>
  <c r="DJ239" i="2"/>
  <c r="DI239" i="2"/>
  <c r="DH239" i="2"/>
  <c r="DG239" i="2"/>
  <c r="DF239" i="2"/>
  <c r="DE239" i="2"/>
  <c r="DD239" i="2"/>
  <c r="DC239" i="2"/>
  <c r="DB239" i="2"/>
  <c r="DA239" i="2"/>
  <c r="CZ239" i="2"/>
  <c r="CY239" i="2"/>
  <c r="CX239" i="2"/>
  <c r="CW239" i="2"/>
  <c r="CV239" i="2"/>
  <c r="CU239" i="2"/>
  <c r="CT239" i="2"/>
  <c r="CS239" i="2"/>
  <c r="CR239" i="2"/>
  <c r="CQ239" i="2"/>
  <c r="CP239" i="2"/>
  <c r="CO239" i="2"/>
  <c r="CN239" i="2"/>
  <c r="CM239" i="2"/>
  <c r="CL239" i="2"/>
  <c r="CK239" i="2"/>
  <c r="CJ239" i="2"/>
  <c r="CI239" i="2"/>
  <c r="CH239" i="2"/>
  <c r="CG239" i="2"/>
  <c r="CF239" i="2"/>
  <c r="CE239" i="2"/>
  <c r="CD239" i="2"/>
  <c r="CC239" i="2"/>
  <c r="CB239" i="2"/>
  <c r="CA239" i="2"/>
  <c r="BZ239" i="2"/>
  <c r="BY239" i="2"/>
  <c r="BX239" i="2"/>
  <c r="BW239" i="2"/>
  <c r="BV239" i="2"/>
  <c r="BU239" i="2"/>
  <c r="BT239" i="2"/>
  <c r="BS239" i="2"/>
  <c r="BR239" i="2"/>
  <c r="BQ239" i="2"/>
  <c r="BP239" i="2"/>
  <c r="BO239" i="2"/>
  <c r="BN239" i="2"/>
  <c r="BM239" i="2"/>
  <c r="BL239" i="2"/>
  <c r="BK239" i="2"/>
  <c r="BJ239" i="2"/>
  <c r="BI239" i="2"/>
  <c r="BH239" i="2"/>
  <c r="BG239" i="2"/>
  <c r="BF239" i="2"/>
  <c r="BE239" i="2"/>
  <c r="BD239" i="2"/>
  <c r="BC239" i="2"/>
  <c r="BB239" i="2"/>
  <c r="BA239" i="2"/>
  <c r="AZ239" i="2"/>
  <c r="AY239" i="2"/>
  <c r="AX239" i="2"/>
  <c r="AW239" i="2"/>
  <c r="AV239" i="2"/>
  <c r="AU239" i="2"/>
  <c r="AT239" i="2"/>
  <c r="AS239" i="2"/>
  <c r="AR239" i="2"/>
  <c r="AQ239" i="2"/>
  <c r="AP239" i="2"/>
  <c r="AO239" i="2"/>
  <c r="AN239" i="2"/>
  <c r="AM239" i="2"/>
  <c r="AL239" i="2"/>
  <c r="AK239" i="2"/>
  <c r="AJ239" i="2"/>
  <c r="AI239" i="2"/>
  <c r="AH239" i="2"/>
  <c r="AG239" i="2"/>
  <c r="AF239" i="2"/>
  <c r="AE239" i="2"/>
  <c r="AD239" i="2"/>
  <c r="AC239" i="2"/>
  <c r="AB239" i="2"/>
  <c r="AA239" i="2"/>
  <c r="Z239" i="2"/>
  <c r="Y239" i="2"/>
  <c r="X239" i="2"/>
  <c r="W239" i="2"/>
  <c r="V239" i="2"/>
  <c r="U239" i="2"/>
  <c r="T239" i="2"/>
  <c r="S239" i="2"/>
  <c r="R239" i="2"/>
  <c r="Q239" i="2"/>
  <c r="P239" i="2"/>
  <c r="O239" i="2"/>
  <c r="N239" i="2"/>
  <c r="M239" i="2"/>
  <c r="L239" i="2"/>
  <c r="K239" i="2"/>
  <c r="J239" i="2"/>
  <c r="I239" i="2"/>
  <c r="H239" i="2"/>
  <c r="G239" i="2"/>
  <c r="F239" i="2"/>
  <c r="E239" i="2"/>
  <c r="D239" i="2"/>
  <c r="C239" i="2"/>
  <c r="B239" i="2"/>
  <c r="A239" i="2"/>
  <c r="DY238" i="2"/>
  <c r="DX238" i="2"/>
  <c r="DW238" i="2"/>
  <c r="DV238" i="2"/>
  <c r="DU238" i="2"/>
  <c r="DT238" i="2"/>
  <c r="DS238" i="2"/>
  <c r="DR238" i="2"/>
  <c r="DQ238" i="2"/>
  <c r="DP238" i="2"/>
  <c r="DO238" i="2"/>
  <c r="DN238" i="2"/>
  <c r="DM238" i="2"/>
  <c r="DL238" i="2"/>
  <c r="DK238" i="2"/>
  <c r="DJ238" i="2"/>
  <c r="DI238" i="2"/>
  <c r="DH238" i="2"/>
  <c r="DG238" i="2"/>
  <c r="DF238" i="2"/>
  <c r="DE238" i="2"/>
  <c r="DD238" i="2"/>
  <c r="DC238" i="2"/>
  <c r="DB238" i="2"/>
  <c r="DA238" i="2"/>
  <c r="CZ238" i="2"/>
  <c r="CY238" i="2"/>
  <c r="CX238" i="2"/>
  <c r="CW238" i="2"/>
  <c r="CV238" i="2"/>
  <c r="CU238" i="2"/>
  <c r="CT238" i="2"/>
  <c r="CS238" i="2"/>
  <c r="CR238" i="2"/>
  <c r="CQ238" i="2"/>
  <c r="CP238" i="2"/>
  <c r="CO238" i="2"/>
  <c r="CN238" i="2"/>
  <c r="CM238" i="2"/>
  <c r="CL238" i="2"/>
  <c r="CK238" i="2"/>
  <c r="CJ238" i="2"/>
  <c r="CI238" i="2"/>
  <c r="CH238" i="2"/>
  <c r="CG238" i="2"/>
  <c r="CF238" i="2"/>
  <c r="CE238" i="2"/>
  <c r="CD238" i="2"/>
  <c r="CC238" i="2"/>
  <c r="CB238" i="2"/>
  <c r="CA238" i="2"/>
  <c r="BZ238" i="2"/>
  <c r="BY238" i="2"/>
  <c r="BX238" i="2"/>
  <c r="BW238" i="2"/>
  <c r="BV238" i="2"/>
  <c r="BU238" i="2"/>
  <c r="BT238" i="2"/>
  <c r="BS238" i="2"/>
  <c r="BR238" i="2"/>
  <c r="BQ238" i="2"/>
  <c r="BP238" i="2"/>
  <c r="BO238" i="2"/>
  <c r="BN238" i="2"/>
  <c r="BM238" i="2"/>
  <c r="BL238" i="2"/>
  <c r="BK238" i="2"/>
  <c r="BJ238" i="2"/>
  <c r="BI238" i="2"/>
  <c r="BH238" i="2"/>
  <c r="BG238" i="2"/>
  <c r="BF238" i="2"/>
  <c r="BE238" i="2"/>
  <c r="BD238" i="2"/>
  <c r="BC238" i="2"/>
  <c r="BB238" i="2"/>
  <c r="BA238" i="2"/>
  <c r="AZ238" i="2"/>
  <c r="AY238" i="2"/>
  <c r="AX238" i="2"/>
  <c r="AW238" i="2"/>
  <c r="AV238" i="2"/>
  <c r="AU238" i="2"/>
  <c r="AT238" i="2"/>
  <c r="AS238" i="2"/>
  <c r="AR238" i="2"/>
  <c r="AQ238" i="2"/>
  <c r="AP238" i="2"/>
  <c r="AO238" i="2"/>
  <c r="AN238" i="2"/>
  <c r="AM238" i="2"/>
  <c r="AL238" i="2"/>
  <c r="AK238" i="2"/>
  <c r="AJ238" i="2"/>
  <c r="AI238" i="2"/>
  <c r="AH238" i="2"/>
  <c r="AG238" i="2"/>
  <c r="AF238" i="2"/>
  <c r="AE238" i="2"/>
  <c r="AD238" i="2"/>
  <c r="AC238" i="2"/>
  <c r="AB238" i="2"/>
  <c r="AA238" i="2"/>
  <c r="Z238" i="2"/>
  <c r="Y238" i="2"/>
  <c r="X238" i="2"/>
  <c r="W238" i="2"/>
  <c r="V238" i="2"/>
  <c r="U238" i="2"/>
  <c r="T238" i="2"/>
  <c r="S238" i="2"/>
  <c r="R238" i="2"/>
  <c r="Q238" i="2"/>
  <c r="P238" i="2"/>
  <c r="O238" i="2"/>
  <c r="N238" i="2"/>
  <c r="M238" i="2"/>
  <c r="L238" i="2"/>
  <c r="K238" i="2"/>
  <c r="J238" i="2"/>
  <c r="I238" i="2"/>
  <c r="H238" i="2"/>
  <c r="G238" i="2"/>
  <c r="F238" i="2"/>
  <c r="E238" i="2"/>
  <c r="D238" i="2"/>
  <c r="C238" i="2"/>
  <c r="B238" i="2"/>
  <c r="A238" i="2"/>
  <c r="DY237" i="2"/>
  <c r="DX237" i="2"/>
  <c r="DW237" i="2"/>
  <c r="DV237" i="2"/>
  <c r="DU237" i="2"/>
  <c r="DT237" i="2"/>
  <c r="DS237" i="2"/>
  <c r="DR237" i="2"/>
  <c r="DQ237" i="2"/>
  <c r="DP237" i="2"/>
  <c r="DO237" i="2"/>
  <c r="DN237" i="2"/>
  <c r="DM237" i="2"/>
  <c r="DL237" i="2"/>
  <c r="DK237" i="2"/>
  <c r="DJ237" i="2"/>
  <c r="DI237" i="2"/>
  <c r="DH237" i="2"/>
  <c r="DG237" i="2"/>
  <c r="DF237" i="2"/>
  <c r="DE237" i="2"/>
  <c r="DD237" i="2"/>
  <c r="DC237" i="2"/>
  <c r="DB237" i="2"/>
  <c r="DA237" i="2"/>
  <c r="CZ237" i="2"/>
  <c r="CY237" i="2"/>
  <c r="CX237" i="2"/>
  <c r="CW237" i="2"/>
  <c r="CV237" i="2"/>
  <c r="CU237" i="2"/>
  <c r="CT237" i="2"/>
  <c r="CS237" i="2"/>
  <c r="CR237" i="2"/>
  <c r="CQ237" i="2"/>
  <c r="CP237" i="2"/>
  <c r="CO237" i="2"/>
  <c r="CN237" i="2"/>
  <c r="CM237" i="2"/>
  <c r="CL237" i="2"/>
  <c r="CK237" i="2"/>
  <c r="CJ237" i="2"/>
  <c r="CI237" i="2"/>
  <c r="CH237" i="2"/>
  <c r="CG237" i="2"/>
  <c r="CF237" i="2"/>
  <c r="CE237" i="2"/>
  <c r="CD237" i="2"/>
  <c r="CC237" i="2"/>
  <c r="CB237" i="2"/>
  <c r="CA237" i="2"/>
  <c r="BZ237" i="2"/>
  <c r="BY237" i="2"/>
  <c r="BX237" i="2"/>
  <c r="BW237" i="2"/>
  <c r="BV237" i="2"/>
  <c r="BU237" i="2"/>
  <c r="BT237" i="2"/>
  <c r="BS237" i="2"/>
  <c r="BR237" i="2"/>
  <c r="BQ237" i="2"/>
  <c r="BP237" i="2"/>
  <c r="BO237" i="2"/>
  <c r="BN237" i="2"/>
  <c r="BM237" i="2"/>
  <c r="BL237" i="2"/>
  <c r="BK237" i="2"/>
  <c r="BJ237" i="2"/>
  <c r="BI237" i="2"/>
  <c r="BH237" i="2"/>
  <c r="BG237" i="2"/>
  <c r="BF237" i="2"/>
  <c r="BE237" i="2"/>
  <c r="BD237" i="2"/>
  <c r="BC237" i="2"/>
  <c r="BB237" i="2"/>
  <c r="BA237" i="2"/>
  <c r="AZ237" i="2"/>
  <c r="AY237" i="2"/>
  <c r="AX237" i="2"/>
  <c r="AW237" i="2"/>
  <c r="AV237" i="2"/>
  <c r="AU237" i="2"/>
  <c r="AT237" i="2"/>
  <c r="AS237" i="2"/>
  <c r="AR237" i="2"/>
  <c r="AQ237" i="2"/>
  <c r="AP237" i="2"/>
  <c r="AO237" i="2"/>
  <c r="AN237" i="2"/>
  <c r="AM237" i="2"/>
  <c r="AL237" i="2"/>
  <c r="AK237" i="2"/>
  <c r="AJ237" i="2"/>
  <c r="AI237" i="2"/>
  <c r="AH237" i="2"/>
  <c r="AG237" i="2"/>
  <c r="AF237" i="2"/>
  <c r="AE237" i="2"/>
  <c r="AD237" i="2"/>
  <c r="AC237" i="2"/>
  <c r="AB237" i="2"/>
  <c r="AA237" i="2"/>
  <c r="Z237" i="2"/>
  <c r="Y237" i="2"/>
  <c r="X237" i="2"/>
  <c r="W237" i="2"/>
  <c r="V237" i="2"/>
  <c r="U237" i="2"/>
  <c r="T237" i="2"/>
  <c r="S237" i="2"/>
  <c r="R237" i="2"/>
  <c r="Q237" i="2"/>
  <c r="P237" i="2"/>
  <c r="O237" i="2"/>
  <c r="N237" i="2"/>
  <c r="M237" i="2"/>
  <c r="L237" i="2"/>
  <c r="K237" i="2"/>
  <c r="J237" i="2"/>
  <c r="I237" i="2"/>
  <c r="H237" i="2"/>
  <c r="G237" i="2"/>
  <c r="F237" i="2"/>
  <c r="E237" i="2"/>
  <c r="D237" i="2"/>
  <c r="C237" i="2"/>
  <c r="B237" i="2"/>
  <c r="A237" i="2"/>
  <c r="FH234" i="2"/>
  <c r="FG234" i="2"/>
  <c r="FF234" i="2"/>
  <c r="FE234" i="2"/>
  <c r="FD234" i="2"/>
  <c r="FC234" i="2"/>
  <c r="FB234" i="2"/>
  <c r="FA234" i="2"/>
  <c r="EZ234" i="2"/>
  <c r="EY234" i="2"/>
  <c r="EX234" i="2"/>
  <c r="EW234" i="2"/>
  <c r="EV234" i="2"/>
  <c r="EU234" i="2"/>
  <c r="ET234" i="2"/>
  <c r="ES234" i="2"/>
  <c r="ER234" i="2"/>
  <c r="EQ234" i="2"/>
  <c r="EP234" i="2"/>
  <c r="EO234" i="2"/>
  <c r="EN234" i="2"/>
  <c r="EM234" i="2"/>
  <c r="EL234" i="2"/>
  <c r="EK234" i="2"/>
  <c r="EJ234" i="2"/>
  <c r="EI234" i="2"/>
  <c r="EH234" i="2"/>
  <c r="EG234" i="2"/>
  <c r="EF234" i="2"/>
  <c r="EE234" i="2"/>
  <c r="ED234" i="2"/>
  <c r="EC234" i="2"/>
  <c r="EB234" i="2"/>
  <c r="FH233" i="2"/>
  <c r="FG233" i="2"/>
  <c r="FF233" i="2"/>
  <c r="FE233" i="2"/>
  <c r="FD233" i="2"/>
  <c r="FC233" i="2"/>
  <c r="FB233" i="2"/>
  <c r="FA233" i="2"/>
  <c r="EZ233" i="2"/>
  <c r="EY233" i="2"/>
  <c r="EX233" i="2"/>
  <c r="EW233" i="2"/>
  <c r="EV233" i="2"/>
  <c r="EU233" i="2"/>
  <c r="ET233" i="2"/>
  <c r="ES233" i="2"/>
  <c r="ER233" i="2"/>
  <c r="EQ233" i="2"/>
  <c r="EP233" i="2"/>
  <c r="EO233" i="2"/>
  <c r="EN233" i="2"/>
  <c r="EM233" i="2"/>
  <c r="EL233" i="2"/>
  <c r="EK233" i="2"/>
  <c r="EJ233" i="2"/>
  <c r="EI233" i="2"/>
  <c r="EH233" i="2"/>
  <c r="EG233" i="2"/>
  <c r="EF233" i="2"/>
  <c r="EE233" i="2"/>
  <c r="ED233" i="2"/>
  <c r="EC233" i="2"/>
  <c r="EB233" i="2"/>
  <c r="FH232" i="2"/>
  <c r="FG232" i="2"/>
  <c r="FF232" i="2"/>
  <c r="FE232" i="2"/>
  <c r="FD232" i="2"/>
  <c r="FC232" i="2"/>
  <c r="FB232" i="2"/>
  <c r="FA232" i="2"/>
  <c r="EZ232" i="2"/>
  <c r="EY232" i="2"/>
  <c r="EX232" i="2"/>
  <c r="EW232" i="2"/>
  <c r="EV232" i="2"/>
  <c r="EU232" i="2"/>
  <c r="ET232" i="2"/>
  <c r="ES232" i="2"/>
  <c r="ER232" i="2"/>
  <c r="EQ232" i="2"/>
  <c r="EP232" i="2"/>
  <c r="EO232" i="2"/>
  <c r="EN232" i="2"/>
  <c r="EM232" i="2"/>
  <c r="EL232" i="2"/>
  <c r="EK232" i="2"/>
  <c r="EJ232" i="2"/>
  <c r="EI232" i="2"/>
  <c r="EH232" i="2"/>
  <c r="EG232" i="2"/>
  <c r="EF232" i="2"/>
  <c r="EE232" i="2"/>
  <c r="ED232" i="2"/>
  <c r="EC232" i="2"/>
  <c r="EB232" i="2"/>
  <c r="DQ234" i="2"/>
  <c r="DP234" i="2"/>
  <c r="DO234" i="2"/>
  <c r="DN234" i="2"/>
  <c r="DM234" i="2"/>
  <c r="DL234" i="2"/>
  <c r="DK234" i="2"/>
  <c r="DJ234" i="2"/>
  <c r="DI234" i="2"/>
  <c r="DH234" i="2"/>
  <c r="DG234" i="2"/>
  <c r="DF234" i="2"/>
  <c r="DE234" i="2"/>
  <c r="DD234" i="2"/>
  <c r="DC234" i="2"/>
  <c r="DB234" i="2"/>
  <c r="DA234" i="2"/>
  <c r="CZ234" i="2"/>
  <c r="CY234" i="2"/>
  <c r="CX234" i="2"/>
  <c r="CW234" i="2"/>
  <c r="CV234" i="2"/>
  <c r="CU234" i="2"/>
  <c r="CT234" i="2"/>
  <c r="CS234" i="2"/>
  <c r="CR234" i="2"/>
  <c r="CQ234" i="2"/>
  <c r="CP234" i="2"/>
  <c r="CO234" i="2"/>
  <c r="CN234" i="2"/>
  <c r="CM234" i="2"/>
  <c r="CL234" i="2"/>
  <c r="CK234" i="2"/>
  <c r="CJ234" i="2"/>
  <c r="CI234" i="2"/>
  <c r="CH234" i="2"/>
  <c r="CG234" i="2"/>
  <c r="CF234" i="2"/>
  <c r="CE234" i="2"/>
  <c r="CD234" i="2"/>
  <c r="CC234" i="2"/>
  <c r="CB234" i="2"/>
  <c r="CA234" i="2"/>
  <c r="BZ234" i="2"/>
  <c r="BY234" i="2"/>
  <c r="BX234" i="2"/>
  <c r="BW234" i="2"/>
  <c r="BV234" i="2"/>
  <c r="BU234" i="2"/>
  <c r="BT234" i="2"/>
  <c r="BS234" i="2"/>
  <c r="BR234" i="2"/>
  <c r="BQ234" i="2"/>
  <c r="BP234" i="2"/>
  <c r="BO234" i="2"/>
  <c r="BN234" i="2"/>
  <c r="BM234" i="2"/>
  <c r="BL234" i="2"/>
  <c r="BK234" i="2"/>
  <c r="BJ234" i="2"/>
  <c r="BI234" i="2"/>
  <c r="BH234" i="2"/>
  <c r="BG234" i="2"/>
  <c r="BF234" i="2"/>
  <c r="BE234" i="2"/>
  <c r="BD234" i="2"/>
  <c r="BC234" i="2"/>
  <c r="BB234" i="2"/>
  <c r="BA234" i="2"/>
  <c r="AZ234" i="2"/>
  <c r="AY234" i="2"/>
  <c r="AX234" i="2"/>
  <c r="AW234" i="2"/>
  <c r="AV234" i="2"/>
  <c r="AU234" i="2"/>
  <c r="AT234" i="2"/>
  <c r="AS234" i="2"/>
  <c r="AR234" i="2"/>
  <c r="AQ234" i="2"/>
  <c r="AP234" i="2"/>
  <c r="AO234" i="2"/>
  <c r="AN234" i="2"/>
  <c r="AM234" i="2"/>
  <c r="AL234" i="2"/>
  <c r="AK234" i="2"/>
  <c r="AJ234" i="2"/>
  <c r="AI234" i="2"/>
  <c r="AH234" i="2"/>
  <c r="AG234" i="2"/>
  <c r="AF234" i="2"/>
  <c r="AE234" i="2"/>
  <c r="AD234" i="2"/>
  <c r="AC234" i="2"/>
  <c r="AB234" i="2"/>
  <c r="AA234" i="2"/>
  <c r="Z234" i="2"/>
  <c r="Y234" i="2"/>
  <c r="X234" i="2"/>
  <c r="W234" i="2"/>
  <c r="V234" i="2"/>
  <c r="U234" i="2"/>
  <c r="T234" i="2"/>
  <c r="S234" i="2"/>
  <c r="R234" i="2"/>
  <c r="Q234" i="2"/>
  <c r="P234" i="2"/>
  <c r="O234" i="2"/>
  <c r="N234" i="2"/>
  <c r="M234" i="2"/>
  <c r="L234" i="2"/>
  <c r="K234" i="2"/>
  <c r="J234" i="2"/>
  <c r="I234" i="2"/>
  <c r="H234" i="2"/>
  <c r="G234" i="2"/>
  <c r="F234" i="2"/>
  <c r="E234" i="2"/>
  <c r="D234" i="2"/>
  <c r="C234" i="2"/>
  <c r="B234" i="2"/>
  <c r="A234" i="2"/>
  <c r="DY233" i="2"/>
  <c r="DX233" i="2"/>
  <c r="DW233" i="2"/>
  <c r="DV233" i="2"/>
  <c r="DU233" i="2"/>
  <c r="DT233" i="2"/>
  <c r="DS233" i="2"/>
  <c r="DR233" i="2"/>
  <c r="DQ233" i="2"/>
  <c r="DP233" i="2"/>
  <c r="DO233" i="2"/>
  <c r="DN233" i="2"/>
  <c r="DM233" i="2"/>
  <c r="DL233" i="2"/>
  <c r="DK233" i="2"/>
  <c r="DJ233" i="2"/>
  <c r="DI233" i="2"/>
  <c r="DH233" i="2"/>
  <c r="DG233" i="2"/>
  <c r="DF233" i="2"/>
  <c r="DE233" i="2"/>
  <c r="DD233" i="2"/>
  <c r="DC233" i="2"/>
  <c r="DB233" i="2"/>
  <c r="DA233" i="2"/>
  <c r="CZ233" i="2"/>
  <c r="CY233" i="2"/>
  <c r="CX233" i="2"/>
  <c r="CW233" i="2"/>
  <c r="CV233" i="2"/>
  <c r="CU233" i="2"/>
  <c r="CT233" i="2"/>
  <c r="CS233" i="2"/>
  <c r="CR233" i="2"/>
  <c r="CQ233" i="2"/>
  <c r="CP233" i="2"/>
  <c r="CO233" i="2"/>
  <c r="CN233" i="2"/>
  <c r="CM233" i="2"/>
  <c r="CL233" i="2"/>
  <c r="CK233" i="2"/>
  <c r="CJ233" i="2"/>
  <c r="CI233" i="2"/>
  <c r="CH233" i="2"/>
  <c r="CG233" i="2"/>
  <c r="CF233" i="2"/>
  <c r="CE233" i="2"/>
  <c r="CD233" i="2"/>
  <c r="CC233" i="2"/>
  <c r="CB233" i="2"/>
  <c r="CA233" i="2"/>
  <c r="BZ233" i="2"/>
  <c r="BY233" i="2"/>
  <c r="BX233" i="2"/>
  <c r="BW233" i="2"/>
  <c r="BV233" i="2"/>
  <c r="BU233" i="2"/>
  <c r="BT233" i="2"/>
  <c r="BS233" i="2"/>
  <c r="BR233" i="2"/>
  <c r="BQ233" i="2"/>
  <c r="BP233" i="2"/>
  <c r="BO233" i="2"/>
  <c r="BN233" i="2"/>
  <c r="BM233" i="2"/>
  <c r="BL233" i="2"/>
  <c r="BK233" i="2"/>
  <c r="BJ233" i="2"/>
  <c r="BI233" i="2"/>
  <c r="BH233" i="2"/>
  <c r="BG233" i="2"/>
  <c r="BF233" i="2"/>
  <c r="BE233" i="2"/>
  <c r="BD233" i="2"/>
  <c r="BC233" i="2"/>
  <c r="BB233" i="2"/>
  <c r="BA233" i="2"/>
  <c r="AZ233" i="2"/>
  <c r="AY233" i="2"/>
  <c r="AX233" i="2"/>
  <c r="AW233" i="2"/>
  <c r="AV233" i="2"/>
  <c r="AU233" i="2"/>
  <c r="AT233" i="2"/>
  <c r="AS233" i="2"/>
  <c r="AR233" i="2"/>
  <c r="AQ233" i="2"/>
  <c r="AP233" i="2"/>
  <c r="AO233" i="2"/>
  <c r="AN233" i="2"/>
  <c r="AM233" i="2"/>
  <c r="AL233" i="2"/>
  <c r="AK233" i="2"/>
  <c r="AJ233" i="2"/>
  <c r="AI233" i="2"/>
  <c r="AH233" i="2"/>
  <c r="AG233" i="2"/>
  <c r="AF233" i="2"/>
  <c r="AE233" i="2"/>
  <c r="AD233" i="2"/>
  <c r="AC233" i="2"/>
  <c r="AB233" i="2"/>
  <c r="AA233" i="2"/>
  <c r="Z233" i="2"/>
  <c r="Y233" i="2"/>
  <c r="X233" i="2"/>
  <c r="W233" i="2"/>
  <c r="V233" i="2"/>
  <c r="U233" i="2"/>
  <c r="T233" i="2"/>
  <c r="S233" i="2"/>
  <c r="R233" i="2"/>
  <c r="Q233" i="2"/>
  <c r="P233" i="2"/>
  <c r="O233" i="2"/>
  <c r="N233" i="2"/>
  <c r="M233" i="2"/>
  <c r="L233" i="2"/>
  <c r="K233" i="2"/>
  <c r="J233" i="2"/>
  <c r="I233" i="2"/>
  <c r="H233" i="2"/>
  <c r="G233" i="2"/>
  <c r="F233" i="2"/>
  <c r="E233" i="2"/>
  <c r="D233" i="2"/>
  <c r="C233" i="2"/>
  <c r="B233" i="2"/>
  <c r="A233" i="2"/>
  <c r="DY232" i="2"/>
  <c r="DX232" i="2"/>
  <c r="DW232" i="2"/>
  <c r="DV232" i="2"/>
  <c r="DU232" i="2"/>
  <c r="DT232" i="2"/>
  <c r="DS232" i="2"/>
  <c r="DR232" i="2"/>
  <c r="DQ232" i="2"/>
  <c r="DP232" i="2"/>
  <c r="DO232" i="2"/>
  <c r="DN232" i="2"/>
  <c r="DM232" i="2"/>
  <c r="DL232" i="2"/>
  <c r="DK232" i="2"/>
  <c r="DJ232" i="2"/>
  <c r="DI232" i="2"/>
  <c r="DH232" i="2"/>
  <c r="DG232" i="2"/>
  <c r="DF232" i="2"/>
  <c r="DE232" i="2"/>
  <c r="DD232" i="2"/>
  <c r="DC232" i="2"/>
  <c r="DB232" i="2"/>
  <c r="DA232" i="2"/>
  <c r="CZ232" i="2"/>
  <c r="CY232" i="2"/>
  <c r="CX232" i="2"/>
  <c r="CW232" i="2"/>
  <c r="CV232" i="2"/>
  <c r="CU232" i="2"/>
  <c r="CT232" i="2"/>
  <c r="CS232" i="2"/>
  <c r="CR232" i="2"/>
  <c r="CQ232" i="2"/>
  <c r="CP232" i="2"/>
  <c r="CO232" i="2"/>
  <c r="CN232" i="2"/>
  <c r="CM232" i="2"/>
  <c r="CL232" i="2"/>
  <c r="CK232" i="2"/>
  <c r="CJ232" i="2"/>
  <c r="CI232" i="2"/>
  <c r="CH232" i="2"/>
  <c r="CG232" i="2"/>
  <c r="CF232" i="2"/>
  <c r="CE232" i="2"/>
  <c r="CD232" i="2"/>
  <c r="CC232" i="2"/>
  <c r="CB232" i="2"/>
  <c r="CA232" i="2"/>
  <c r="BZ232" i="2"/>
  <c r="BY232" i="2"/>
  <c r="BX232" i="2"/>
  <c r="BW232" i="2"/>
  <c r="BV232" i="2"/>
  <c r="BU232" i="2"/>
  <c r="BT232" i="2"/>
  <c r="BS232" i="2"/>
  <c r="BR232" i="2"/>
  <c r="BQ232" i="2"/>
  <c r="BP232" i="2"/>
  <c r="BO232" i="2"/>
  <c r="BN232" i="2"/>
  <c r="BM232" i="2"/>
  <c r="BL232" i="2"/>
  <c r="BK232" i="2"/>
  <c r="BJ232" i="2"/>
  <c r="BI232" i="2"/>
  <c r="BH232" i="2"/>
  <c r="BG232" i="2"/>
  <c r="BF232" i="2"/>
  <c r="BE232" i="2"/>
  <c r="BD232" i="2"/>
  <c r="BC232" i="2"/>
  <c r="BB232" i="2"/>
  <c r="BA232" i="2"/>
  <c r="AZ232" i="2"/>
  <c r="AY232" i="2"/>
  <c r="AX232" i="2"/>
  <c r="AW232" i="2"/>
  <c r="AV232" i="2"/>
  <c r="AU232" i="2"/>
  <c r="AT232" i="2"/>
  <c r="AS232" i="2"/>
  <c r="AR232" i="2"/>
  <c r="AQ232" i="2"/>
  <c r="AP232" i="2"/>
  <c r="AO232" i="2"/>
  <c r="AN232" i="2"/>
  <c r="AM232" i="2"/>
  <c r="AL232" i="2"/>
  <c r="AK232" i="2"/>
  <c r="AJ232" i="2"/>
  <c r="AI232" i="2"/>
  <c r="AH232" i="2"/>
  <c r="AG232" i="2"/>
  <c r="AF232" i="2"/>
  <c r="AE232" i="2"/>
  <c r="AD232" i="2"/>
  <c r="AC232" i="2"/>
  <c r="AB232" i="2"/>
  <c r="AA232" i="2"/>
  <c r="Z232" i="2"/>
  <c r="Y232" i="2"/>
  <c r="X232" i="2"/>
  <c r="W232" i="2"/>
  <c r="V232" i="2"/>
  <c r="U232" i="2"/>
  <c r="T232" i="2"/>
  <c r="S232" i="2"/>
  <c r="R232" i="2"/>
  <c r="Q232" i="2"/>
  <c r="P232" i="2"/>
  <c r="O232" i="2"/>
  <c r="N232" i="2"/>
  <c r="M232" i="2"/>
  <c r="L232" i="2"/>
  <c r="K232" i="2"/>
  <c r="J232" i="2"/>
  <c r="I232" i="2"/>
  <c r="H232" i="2"/>
  <c r="G232" i="2"/>
  <c r="F232" i="2"/>
  <c r="E232" i="2"/>
  <c r="D232" i="2"/>
  <c r="C232" i="2"/>
  <c r="B232" i="2"/>
  <c r="A232" i="2"/>
  <c r="FH229" i="2"/>
  <c r="FG229" i="2"/>
  <c r="FF229" i="2"/>
  <c r="FE229" i="2"/>
  <c r="FD229" i="2"/>
  <c r="FC229" i="2"/>
  <c r="FB229" i="2"/>
  <c r="FA229" i="2"/>
  <c r="EZ229" i="2"/>
  <c r="EY229" i="2"/>
  <c r="EX229" i="2"/>
  <c r="EW229" i="2"/>
  <c r="EV229" i="2"/>
  <c r="EU229" i="2"/>
  <c r="ET229" i="2"/>
  <c r="ES229" i="2"/>
  <c r="ER229" i="2"/>
  <c r="EQ229" i="2"/>
  <c r="EP229" i="2"/>
  <c r="EO229" i="2"/>
  <c r="EN229" i="2"/>
  <c r="EM229" i="2"/>
  <c r="EL229" i="2"/>
  <c r="EK229" i="2"/>
  <c r="EJ229" i="2"/>
  <c r="EI229" i="2"/>
  <c r="EH229" i="2"/>
  <c r="EG229" i="2"/>
  <c r="EF229" i="2"/>
  <c r="EE229" i="2"/>
  <c r="ED229" i="2"/>
  <c r="EC229" i="2"/>
  <c r="EB229" i="2"/>
  <c r="FH228" i="2"/>
  <c r="FG228" i="2"/>
  <c r="FF228" i="2"/>
  <c r="FE228" i="2"/>
  <c r="FD228" i="2"/>
  <c r="FC228" i="2"/>
  <c r="FB228" i="2"/>
  <c r="FA228" i="2"/>
  <c r="EZ228" i="2"/>
  <c r="EY228" i="2"/>
  <c r="EX228" i="2"/>
  <c r="EW228" i="2"/>
  <c r="EV228" i="2"/>
  <c r="EU228" i="2"/>
  <c r="ET228" i="2"/>
  <c r="ES228" i="2"/>
  <c r="ER228" i="2"/>
  <c r="EQ228" i="2"/>
  <c r="EP228" i="2"/>
  <c r="EO228" i="2"/>
  <c r="EN228" i="2"/>
  <c r="EM228" i="2"/>
  <c r="EL228" i="2"/>
  <c r="EK228" i="2"/>
  <c r="EJ228" i="2"/>
  <c r="EI228" i="2"/>
  <c r="EH228" i="2"/>
  <c r="EG228" i="2"/>
  <c r="EF228" i="2"/>
  <c r="EE228" i="2"/>
  <c r="ED228" i="2"/>
  <c r="EC228" i="2"/>
  <c r="EB228" i="2"/>
  <c r="DY229" i="2"/>
  <c r="DX229" i="2"/>
  <c r="DW229" i="2"/>
  <c r="DV229" i="2"/>
  <c r="DU229" i="2"/>
  <c r="DT229" i="2"/>
  <c r="DS229" i="2"/>
  <c r="DR229" i="2"/>
  <c r="DQ229" i="2"/>
  <c r="DP229" i="2"/>
  <c r="DO229" i="2"/>
  <c r="DN229" i="2"/>
  <c r="DM229" i="2"/>
  <c r="DL229" i="2"/>
  <c r="DK229" i="2"/>
  <c r="DJ229" i="2"/>
  <c r="DI229" i="2"/>
  <c r="DH229" i="2"/>
  <c r="DG229" i="2"/>
  <c r="DF229" i="2"/>
  <c r="DE229" i="2"/>
  <c r="DD229" i="2"/>
  <c r="DC229" i="2"/>
  <c r="DB229" i="2"/>
  <c r="DA229" i="2"/>
  <c r="CZ229" i="2"/>
  <c r="CY229" i="2"/>
  <c r="CX229" i="2"/>
  <c r="CW229" i="2"/>
  <c r="CV229" i="2"/>
  <c r="CU229" i="2"/>
  <c r="CT229" i="2"/>
  <c r="CS229" i="2"/>
  <c r="CR229" i="2"/>
  <c r="CQ229" i="2"/>
  <c r="CP229" i="2"/>
  <c r="CO229" i="2"/>
  <c r="CN229" i="2"/>
  <c r="CM229" i="2"/>
  <c r="CL229" i="2"/>
  <c r="CK229" i="2"/>
  <c r="CJ229" i="2"/>
  <c r="CI229" i="2"/>
  <c r="CH229" i="2"/>
  <c r="CG229" i="2"/>
  <c r="CF229" i="2"/>
  <c r="CE229" i="2"/>
  <c r="CD229" i="2"/>
  <c r="CC229" i="2"/>
  <c r="CB229" i="2"/>
  <c r="CA229" i="2"/>
  <c r="BZ229" i="2"/>
  <c r="BY229" i="2"/>
  <c r="BX229" i="2"/>
  <c r="BW229" i="2"/>
  <c r="BV229" i="2"/>
  <c r="BU229" i="2"/>
  <c r="BT229" i="2"/>
  <c r="BS229" i="2"/>
  <c r="BR229" i="2"/>
  <c r="BQ229" i="2"/>
  <c r="BP229" i="2"/>
  <c r="BO229" i="2"/>
  <c r="BN229" i="2"/>
  <c r="BM229" i="2"/>
  <c r="BL229" i="2"/>
  <c r="BK229" i="2"/>
  <c r="BJ229" i="2"/>
  <c r="BI229" i="2"/>
  <c r="BH229" i="2"/>
  <c r="BG229" i="2"/>
  <c r="BF229" i="2"/>
  <c r="BE229" i="2"/>
  <c r="BD229" i="2"/>
  <c r="BC229" i="2"/>
  <c r="BB229" i="2"/>
  <c r="BA229" i="2"/>
  <c r="AZ229" i="2"/>
  <c r="AY229" i="2"/>
  <c r="AX229" i="2"/>
  <c r="AW229" i="2"/>
  <c r="AV229" i="2"/>
  <c r="AU229" i="2"/>
  <c r="AT229" i="2"/>
  <c r="AS229" i="2"/>
  <c r="AR229" i="2"/>
  <c r="AQ229" i="2"/>
  <c r="AP229" i="2"/>
  <c r="AO229" i="2"/>
  <c r="AN229" i="2"/>
  <c r="AM229" i="2"/>
  <c r="AL229" i="2"/>
  <c r="AK229" i="2"/>
  <c r="AJ229" i="2"/>
  <c r="AI229" i="2"/>
  <c r="AH229" i="2"/>
  <c r="AG229" i="2"/>
  <c r="AF229" i="2"/>
  <c r="AE229" i="2"/>
  <c r="AD229" i="2"/>
  <c r="AC229" i="2"/>
  <c r="AB229" i="2"/>
  <c r="AA229" i="2"/>
  <c r="Z229" i="2"/>
  <c r="Y229" i="2"/>
  <c r="X229" i="2"/>
  <c r="W229" i="2"/>
  <c r="V229" i="2"/>
  <c r="U229" i="2"/>
  <c r="T229" i="2"/>
  <c r="S229" i="2"/>
  <c r="R229" i="2"/>
  <c r="Q229" i="2"/>
  <c r="P229" i="2"/>
  <c r="O229" i="2"/>
  <c r="N229" i="2"/>
  <c r="M229" i="2"/>
  <c r="L229" i="2"/>
  <c r="K229" i="2"/>
  <c r="J229" i="2"/>
  <c r="I229" i="2"/>
  <c r="H229" i="2"/>
  <c r="G229" i="2"/>
  <c r="F229" i="2"/>
  <c r="E229" i="2"/>
  <c r="D229" i="2"/>
  <c r="C229" i="2"/>
  <c r="B229" i="2"/>
  <c r="A229" i="2"/>
  <c r="DY228" i="2"/>
  <c r="DX228" i="2"/>
  <c r="DW228" i="2"/>
  <c r="DV228" i="2"/>
  <c r="DU228" i="2"/>
  <c r="DT228" i="2"/>
  <c r="DS228" i="2"/>
  <c r="DR228" i="2"/>
  <c r="DQ228" i="2"/>
  <c r="DP228" i="2"/>
  <c r="DO228" i="2"/>
  <c r="DN228" i="2"/>
  <c r="DM228" i="2"/>
  <c r="DL228" i="2"/>
  <c r="DK228" i="2"/>
  <c r="DJ228" i="2"/>
  <c r="DI228" i="2"/>
  <c r="DH228" i="2"/>
  <c r="DG228" i="2"/>
  <c r="DF228" i="2"/>
  <c r="DE228" i="2"/>
  <c r="DD228" i="2"/>
  <c r="DC228" i="2"/>
  <c r="DB228" i="2"/>
  <c r="DA228" i="2"/>
  <c r="CZ228" i="2"/>
  <c r="CY228" i="2"/>
  <c r="CX228" i="2"/>
  <c r="CW228" i="2"/>
  <c r="CV228" i="2"/>
  <c r="CU228" i="2"/>
  <c r="CT228" i="2"/>
  <c r="CS228" i="2"/>
  <c r="CR228" i="2"/>
  <c r="CQ228" i="2"/>
  <c r="CP228" i="2"/>
  <c r="CO228" i="2"/>
  <c r="CN228" i="2"/>
  <c r="CM228" i="2"/>
  <c r="CL228" i="2"/>
  <c r="CK228" i="2"/>
  <c r="CJ228" i="2"/>
  <c r="CI228" i="2"/>
  <c r="CH228" i="2"/>
  <c r="CG228" i="2"/>
  <c r="CF228" i="2"/>
  <c r="CE228" i="2"/>
  <c r="CD228" i="2"/>
  <c r="CC228" i="2"/>
  <c r="CB228" i="2"/>
  <c r="CA228" i="2"/>
  <c r="BZ228" i="2"/>
  <c r="BY228" i="2"/>
  <c r="BX228" i="2"/>
  <c r="BW228" i="2"/>
  <c r="BV228" i="2"/>
  <c r="BU228" i="2"/>
  <c r="BT228" i="2"/>
  <c r="BS228" i="2"/>
  <c r="BR228" i="2"/>
  <c r="BQ228" i="2"/>
  <c r="BP228" i="2"/>
  <c r="BO228" i="2"/>
  <c r="BN228" i="2"/>
  <c r="BM228" i="2"/>
  <c r="BL228" i="2"/>
  <c r="BK228" i="2"/>
  <c r="BJ228" i="2"/>
  <c r="BI228" i="2"/>
  <c r="BH228" i="2"/>
  <c r="BG228" i="2"/>
  <c r="BF228" i="2"/>
  <c r="BE228" i="2"/>
  <c r="BD228" i="2"/>
  <c r="BC228" i="2"/>
  <c r="BB228" i="2"/>
  <c r="BA228" i="2"/>
  <c r="AZ228" i="2"/>
  <c r="AY228" i="2"/>
  <c r="AX228" i="2"/>
  <c r="AW228" i="2"/>
  <c r="AV228" i="2"/>
  <c r="AU228" i="2"/>
  <c r="AT228" i="2"/>
  <c r="AS228" i="2"/>
  <c r="AR228" i="2"/>
  <c r="AQ228" i="2"/>
  <c r="AP228" i="2"/>
  <c r="AO228" i="2"/>
  <c r="AN228" i="2"/>
  <c r="AM228" i="2"/>
  <c r="AL228" i="2"/>
  <c r="AK228" i="2"/>
  <c r="AJ228" i="2"/>
  <c r="AI228" i="2"/>
  <c r="AH228" i="2"/>
  <c r="AG228" i="2"/>
  <c r="AF228" i="2"/>
  <c r="AE228" i="2"/>
  <c r="AD228" i="2"/>
  <c r="AC228" i="2"/>
  <c r="AB228" i="2"/>
  <c r="AA228" i="2"/>
  <c r="Z228" i="2"/>
  <c r="Y228" i="2"/>
  <c r="X228" i="2"/>
  <c r="W228" i="2"/>
  <c r="V228" i="2"/>
  <c r="U228" i="2"/>
  <c r="T228" i="2"/>
  <c r="S228" i="2"/>
  <c r="R228" i="2"/>
  <c r="Q228" i="2"/>
  <c r="P228" i="2"/>
  <c r="O228" i="2"/>
  <c r="N228" i="2"/>
  <c r="M228" i="2"/>
  <c r="L228" i="2"/>
  <c r="K228" i="2"/>
  <c r="J228" i="2"/>
  <c r="I228" i="2"/>
  <c r="H228" i="2"/>
  <c r="G228" i="2"/>
  <c r="F228" i="2"/>
  <c r="E228" i="2"/>
  <c r="D228" i="2"/>
  <c r="C228" i="2"/>
  <c r="B228" i="2"/>
  <c r="A228" i="2"/>
  <c r="FH225" i="2"/>
  <c r="FG225" i="2"/>
  <c r="FF225" i="2"/>
  <c r="FE225" i="2"/>
  <c r="FD225" i="2"/>
  <c r="FC225" i="2"/>
  <c r="FB225" i="2"/>
  <c r="FA225" i="2"/>
  <c r="EZ225" i="2"/>
  <c r="EY225" i="2"/>
  <c r="EX225" i="2"/>
  <c r="EW225" i="2"/>
  <c r="EV225" i="2"/>
  <c r="EU225" i="2"/>
  <c r="ET225" i="2"/>
  <c r="ES225" i="2"/>
  <c r="ER225" i="2"/>
  <c r="EQ225" i="2"/>
  <c r="EP225" i="2"/>
  <c r="EO225" i="2"/>
  <c r="EN225" i="2"/>
  <c r="EM225" i="2"/>
  <c r="EL225" i="2"/>
  <c r="EK225" i="2"/>
  <c r="EJ225" i="2"/>
  <c r="EI225" i="2"/>
  <c r="EH225" i="2"/>
  <c r="EG225" i="2"/>
  <c r="EF225" i="2"/>
  <c r="EE225" i="2"/>
  <c r="ED225" i="2"/>
  <c r="EC225" i="2"/>
  <c r="EB225" i="2"/>
  <c r="DQ225" i="2"/>
  <c r="DP225" i="2"/>
  <c r="DO225" i="2"/>
  <c r="DN225" i="2"/>
  <c r="DM225" i="2"/>
  <c r="DL225" i="2"/>
  <c r="DK225" i="2"/>
  <c r="DJ225" i="2"/>
  <c r="DI225" i="2"/>
  <c r="DH225" i="2"/>
  <c r="DG225" i="2"/>
  <c r="DF225" i="2"/>
  <c r="DE225" i="2"/>
  <c r="DD225" i="2"/>
  <c r="DC225" i="2"/>
  <c r="DB225" i="2"/>
  <c r="DA225" i="2"/>
  <c r="CZ225" i="2"/>
  <c r="CY225" i="2"/>
  <c r="CX225" i="2"/>
  <c r="CW225" i="2"/>
  <c r="CV225" i="2"/>
  <c r="CU225" i="2"/>
  <c r="CT225" i="2"/>
  <c r="CS225" i="2"/>
  <c r="CR225" i="2"/>
  <c r="CQ225" i="2"/>
  <c r="CP225" i="2"/>
  <c r="CO225" i="2"/>
  <c r="CN225" i="2"/>
  <c r="CM225" i="2"/>
  <c r="CL225" i="2"/>
  <c r="CK225" i="2"/>
  <c r="CJ225" i="2"/>
  <c r="CI225" i="2"/>
  <c r="CH225" i="2"/>
  <c r="CG225" i="2"/>
  <c r="CF225" i="2"/>
  <c r="CE225" i="2"/>
  <c r="CD225" i="2"/>
  <c r="CC225" i="2"/>
  <c r="CB225" i="2"/>
  <c r="CA225" i="2"/>
  <c r="BZ225" i="2"/>
  <c r="BY225" i="2"/>
  <c r="BX225" i="2"/>
  <c r="BW225" i="2"/>
  <c r="BV225" i="2"/>
  <c r="BU225" i="2"/>
  <c r="BT225" i="2"/>
  <c r="BS225" i="2"/>
  <c r="BR225" i="2"/>
  <c r="BQ225" i="2"/>
  <c r="BP225" i="2"/>
  <c r="BO225" i="2"/>
  <c r="BN225" i="2"/>
  <c r="BM225" i="2"/>
  <c r="BL225" i="2"/>
  <c r="BK225" i="2"/>
  <c r="BJ225" i="2"/>
  <c r="BI225" i="2"/>
  <c r="BH225" i="2"/>
  <c r="BG225" i="2"/>
  <c r="BF225" i="2"/>
  <c r="BE225" i="2"/>
  <c r="BD225" i="2"/>
  <c r="BC225" i="2"/>
  <c r="BB225" i="2"/>
  <c r="BA225" i="2"/>
  <c r="AZ225" i="2"/>
  <c r="AY225" i="2"/>
  <c r="AX225" i="2"/>
  <c r="AW225" i="2"/>
  <c r="AV225" i="2"/>
  <c r="AU225" i="2"/>
  <c r="AT225" i="2"/>
  <c r="AS225" i="2"/>
  <c r="AR225" i="2"/>
  <c r="AQ225" i="2"/>
  <c r="AP225" i="2"/>
  <c r="AO225" i="2"/>
  <c r="AN225" i="2"/>
  <c r="AM225" i="2"/>
  <c r="AL225" i="2"/>
  <c r="AK225" i="2"/>
  <c r="AJ225" i="2"/>
  <c r="AI225" i="2"/>
  <c r="AH225" i="2"/>
  <c r="AG225" i="2"/>
  <c r="AF225" i="2"/>
  <c r="AE225" i="2"/>
  <c r="AD225" i="2"/>
  <c r="AC225" i="2"/>
  <c r="AB225" i="2"/>
  <c r="AA225" i="2"/>
  <c r="Z225" i="2"/>
  <c r="Y225" i="2"/>
  <c r="X225" i="2"/>
  <c r="W225" i="2"/>
  <c r="V225" i="2"/>
  <c r="U225" i="2"/>
  <c r="T225" i="2"/>
  <c r="S225" i="2"/>
  <c r="R225" i="2"/>
  <c r="Q225" i="2"/>
  <c r="P225" i="2"/>
  <c r="O225" i="2"/>
  <c r="N225" i="2"/>
  <c r="M225" i="2"/>
  <c r="L225" i="2"/>
  <c r="K225" i="2"/>
  <c r="J225" i="2"/>
  <c r="I225" i="2"/>
  <c r="H225" i="2"/>
  <c r="G225" i="2"/>
  <c r="F225" i="2"/>
  <c r="E225" i="2"/>
  <c r="D225" i="2"/>
  <c r="C225" i="2"/>
  <c r="B225" i="2"/>
  <c r="FH222" i="2"/>
  <c r="FG222" i="2"/>
  <c r="FF222" i="2"/>
  <c r="FE222" i="2"/>
  <c r="FD222" i="2"/>
  <c r="FC222" i="2"/>
  <c r="FB222" i="2"/>
  <c r="FA222" i="2"/>
  <c r="EZ222" i="2"/>
  <c r="EY222" i="2"/>
  <c r="EX222" i="2"/>
  <c r="EW222" i="2"/>
  <c r="EV222" i="2"/>
  <c r="EU222" i="2"/>
  <c r="ET222" i="2"/>
  <c r="ES222" i="2"/>
  <c r="ER222" i="2"/>
  <c r="EQ222" i="2"/>
  <c r="EP222" i="2"/>
  <c r="EO222" i="2"/>
  <c r="EN222" i="2"/>
  <c r="EM222" i="2"/>
  <c r="EL222" i="2"/>
  <c r="EK222" i="2"/>
  <c r="EJ222" i="2"/>
  <c r="EI222" i="2"/>
  <c r="EH222" i="2"/>
  <c r="EG222" i="2"/>
  <c r="EF222" i="2"/>
  <c r="EE222" i="2"/>
  <c r="ED222" i="2"/>
  <c r="EC222" i="2"/>
  <c r="EB222" i="2"/>
  <c r="DQ222" i="2"/>
  <c r="DP222" i="2"/>
  <c r="DO222" i="2"/>
  <c r="DN222" i="2"/>
  <c r="DM222" i="2"/>
  <c r="DL222" i="2"/>
  <c r="DK222" i="2"/>
  <c r="DJ222" i="2"/>
  <c r="DI222" i="2"/>
  <c r="DH222" i="2"/>
  <c r="DG222" i="2"/>
  <c r="DF222" i="2"/>
  <c r="DE222" i="2"/>
  <c r="DD222" i="2"/>
  <c r="DC222" i="2"/>
  <c r="DB222" i="2"/>
  <c r="DA222" i="2"/>
  <c r="CZ222" i="2"/>
  <c r="CY222" i="2"/>
  <c r="CX222" i="2"/>
  <c r="CW222" i="2"/>
  <c r="CV222" i="2"/>
  <c r="CU222" i="2"/>
  <c r="CT222" i="2"/>
  <c r="CS222" i="2"/>
  <c r="CR222" i="2"/>
  <c r="CQ222" i="2"/>
  <c r="CP222" i="2"/>
  <c r="CO222" i="2"/>
  <c r="CN222" i="2"/>
  <c r="CM222" i="2"/>
  <c r="CL222" i="2"/>
  <c r="CK222" i="2"/>
  <c r="CJ222" i="2"/>
  <c r="CI222" i="2"/>
  <c r="CH222" i="2"/>
  <c r="CG222" i="2"/>
  <c r="CF222" i="2"/>
  <c r="CE222" i="2"/>
  <c r="CD222" i="2"/>
  <c r="CC222" i="2"/>
  <c r="CB222" i="2"/>
  <c r="CA222" i="2"/>
  <c r="BZ222" i="2"/>
  <c r="BY222" i="2"/>
  <c r="BX222" i="2"/>
  <c r="BW222" i="2"/>
  <c r="BV222" i="2"/>
  <c r="BU222" i="2"/>
  <c r="BT222" i="2"/>
  <c r="BS222" i="2"/>
  <c r="BR222" i="2"/>
  <c r="BQ222" i="2"/>
  <c r="BP222" i="2"/>
  <c r="BO222" i="2"/>
  <c r="BN222" i="2"/>
  <c r="BM222" i="2"/>
  <c r="BL222" i="2"/>
  <c r="BK222" i="2"/>
  <c r="BJ222" i="2"/>
  <c r="BI222" i="2"/>
  <c r="BH222" i="2"/>
  <c r="BG222" i="2"/>
  <c r="BF222" i="2"/>
  <c r="BE222" i="2"/>
  <c r="BD222" i="2"/>
  <c r="BC222" i="2"/>
  <c r="BB222" i="2"/>
  <c r="BA222" i="2"/>
  <c r="AZ222" i="2"/>
  <c r="AY222" i="2"/>
  <c r="AX222" i="2"/>
  <c r="AW222" i="2"/>
  <c r="AV222" i="2"/>
  <c r="AU222" i="2"/>
  <c r="AT222" i="2"/>
  <c r="AS222" i="2"/>
  <c r="AR222" i="2"/>
  <c r="AQ222" i="2"/>
  <c r="AP222" i="2"/>
  <c r="AO222" i="2"/>
  <c r="AN222" i="2"/>
  <c r="AM222" i="2"/>
  <c r="AL222" i="2"/>
  <c r="AK222" i="2"/>
  <c r="AJ222" i="2"/>
  <c r="AI222" i="2"/>
  <c r="AH222" i="2"/>
  <c r="AG222" i="2"/>
  <c r="AF222" i="2"/>
  <c r="AE222" i="2"/>
  <c r="AD222" i="2"/>
  <c r="AC222" i="2"/>
  <c r="AB222" i="2"/>
  <c r="AA222" i="2"/>
  <c r="Z222" i="2"/>
  <c r="Y222" i="2"/>
  <c r="X222" i="2"/>
  <c r="W222" i="2"/>
  <c r="V222" i="2"/>
  <c r="U222" i="2"/>
  <c r="T222" i="2"/>
  <c r="S222" i="2"/>
  <c r="R222" i="2"/>
  <c r="Q222" i="2"/>
  <c r="P222" i="2"/>
  <c r="O222" i="2"/>
  <c r="N222" i="2"/>
  <c r="M222" i="2"/>
  <c r="L222" i="2"/>
  <c r="K222" i="2"/>
  <c r="J222" i="2"/>
  <c r="I222" i="2"/>
  <c r="H222" i="2"/>
  <c r="G222" i="2"/>
  <c r="F222" i="2"/>
  <c r="E222" i="2"/>
  <c r="D222" i="2"/>
  <c r="C222" i="2"/>
  <c r="B222" i="2"/>
  <c r="A222" i="2"/>
  <c r="FG218" i="2"/>
  <c r="FE218" i="2"/>
  <c r="FC218" i="2"/>
  <c r="FA218" i="2"/>
  <c r="EY218" i="2"/>
  <c r="EW218" i="2"/>
  <c r="EU218" i="2"/>
  <c r="ES218" i="2"/>
  <c r="EQ218" i="2"/>
  <c r="EO218" i="2"/>
  <c r="EM218" i="2"/>
  <c r="EK218" i="2"/>
  <c r="EI218" i="2"/>
  <c r="EG218" i="2"/>
  <c r="EE218" i="2"/>
  <c r="EC218" i="2"/>
  <c r="DP218" i="2"/>
  <c r="DN218" i="2"/>
  <c r="DL218" i="2"/>
  <c r="DJ218" i="2"/>
  <c r="DH218" i="2"/>
  <c r="DF218" i="2"/>
  <c r="DD218" i="2"/>
  <c r="DB218" i="2"/>
  <c r="CZ218" i="2"/>
  <c r="CX218" i="2"/>
  <c r="CV218" i="2"/>
  <c r="CT218" i="2"/>
  <c r="CR218" i="2"/>
  <c r="CP218" i="2"/>
  <c r="CN218" i="2"/>
  <c r="CL218" i="2"/>
  <c r="CJ218" i="2"/>
  <c r="CH218" i="2"/>
  <c r="CF218" i="2"/>
  <c r="CD218" i="2"/>
  <c r="CB218" i="2"/>
  <c r="BZ218" i="2"/>
  <c r="BX218" i="2"/>
  <c r="BV218" i="2"/>
  <c r="BT218" i="2"/>
  <c r="BR218" i="2"/>
  <c r="BP218" i="2"/>
  <c r="BN218" i="2"/>
  <c r="BL218" i="2"/>
  <c r="BJ218" i="2"/>
  <c r="BH218" i="2"/>
  <c r="BF218" i="2"/>
  <c r="BD218" i="2"/>
  <c r="BB218" i="2"/>
  <c r="AZ218" i="2"/>
  <c r="AX218" i="2"/>
  <c r="AV218" i="2"/>
  <c r="AT218" i="2"/>
  <c r="AR218" i="2"/>
  <c r="AP218" i="2"/>
  <c r="AN218" i="2"/>
  <c r="AL218" i="2"/>
  <c r="AJ218" i="2"/>
  <c r="AH218" i="2"/>
  <c r="AF218" i="2"/>
  <c r="AD218" i="2"/>
  <c r="AB218" i="2"/>
  <c r="Z218" i="2"/>
  <c r="X218" i="2"/>
  <c r="V218" i="2"/>
  <c r="T218" i="2"/>
  <c r="R218" i="2"/>
  <c r="P218" i="2"/>
  <c r="N218" i="2"/>
  <c r="L218" i="2"/>
  <c r="J218" i="2"/>
  <c r="H218" i="2"/>
  <c r="F218" i="2"/>
  <c r="D218" i="2"/>
  <c r="B218" i="2"/>
  <c r="FH218" i="2"/>
  <c r="FF218" i="2"/>
  <c r="FD218" i="2"/>
  <c r="FB218" i="2"/>
  <c r="EZ218" i="2"/>
  <c r="EX218" i="2"/>
  <c r="EV218" i="2"/>
  <c r="ET218" i="2"/>
  <c r="ER218" i="2"/>
  <c r="EP218" i="2"/>
  <c r="EN218" i="2"/>
  <c r="EL218" i="2"/>
  <c r="EJ218" i="2"/>
  <c r="EH218" i="2"/>
  <c r="EF218" i="2"/>
  <c r="ED218" i="2"/>
  <c r="EB218" i="2"/>
  <c r="DQ218" i="2"/>
  <c r="DO218" i="2"/>
  <c r="DM218" i="2"/>
  <c r="DK218" i="2"/>
  <c r="DI218" i="2"/>
  <c r="DG218" i="2"/>
  <c r="DE218" i="2"/>
  <c r="DC218" i="2"/>
  <c r="DA218" i="2"/>
  <c r="CY218" i="2"/>
  <c r="CW218" i="2"/>
  <c r="CU218" i="2"/>
  <c r="CS218" i="2"/>
  <c r="CQ218" i="2"/>
  <c r="CO218" i="2"/>
  <c r="CM218" i="2"/>
  <c r="CK218" i="2"/>
  <c r="CI218" i="2"/>
  <c r="CG218" i="2"/>
  <c r="CE218" i="2"/>
  <c r="CC218" i="2"/>
  <c r="CA218" i="2"/>
  <c r="BY218" i="2"/>
  <c r="BW218" i="2"/>
  <c r="BU218" i="2"/>
  <c r="BS218" i="2"/>
  <c r="BQ218" i="2"/>
  <c r="BO218" i="2"/>
  <c r="BM218" i="2"/>
  <c r="BK218" i="2"/>
  <c r="BI218" i="2"/>
  <c r="BG218" i="2"/>
  <c r="BE218" i="2"/>
  <c r="BC218" i="2"/>
  <c r="BA218" i="2"/>
  <c r="AY218" i="2"/>
  <c r="AW218" i="2"/>
  <c r="AU218" i="2"/>
  <c r="AS218" i="2"/>
  <c r="AQ218" i="2"/>
  <c r="AO218" i="2"/>
  <c r="AM218" i="2"/>
  <c r="AK218" i="2"/>
  <c r="AI218" i="2"/>
  <c r="AG218" i="2"/>
  <c r="AE218" i="2"/>
  <c r="AC218" i="2"/>
  <c r="AA218" i="2"/>
  <c r="Y218" i="2"/>
  <c r="W218" i="2"/>
  <c r="U218" i="2"/>
  <c r="S218" i="2"/>
  <c r="Q218" i="2"/>
  <c r="O218" i="2"/>
  <c r="M218" i="2"/>
  <c r="K218" i="2"/>
  <c r="I218" i="2"/>
  <c r="G218" i="2"/>
  <c r="E218" i="2"/>
  <c r="C218" i="2"/>
  <c r="FH216" i="2"/>
  <c r="FG216" i="2"/>
  <c r="FF216" i="2"/>
  <c r="FE216" i="2"/>
  <c r="FD216" i="2"/>
  <c r="FC216" i="2"/>
  <c r="FB216" i="2"/>
  <c r="FA216" i="2"/>
  <c r="EZ216" i="2"/>
  <c r="EY216" i="2"/>
  <c r="EX216" i="2"/>
  <c r="EW216" i="2"/>
  <c r="EV216" i="2"/>
  <c r="EU216" i="2"/>
  <c r="ET216" i="2"/>
  <c r="ES216" i="2"/>
  <c r="ER216" i="2"/>
  <c r="EQ216" i="2"/>
  <c r="EP216" i="2"/>
  <c r="EO216" i="2"/>
  <c r="EN216" i="2"/>
  <c r="EM216" i="2"/>
  <c r="EL216" i="2"/>
  <c r="EK216" i="2"/>
  <c r="EJ216" i="2"/>
  <c r="EI216" i="2"/>
  <c r="EH216" i="2"/>
  <c r="EG216" i="2"/>
  <c r="EF216" i="2"/>
  <c r="EE216" i="2"/>
  <c r="ED216" i="2"/>
  <c r="EC216" i="2"/>
  <c r="EB216" i="2"/>
  <c r="FH215" i="2"/>
  <c r="FG215" i="2"/>
  <c r="FF215" i="2"/>
  <c r="FE215" i="2"/>
  <c r="FD215" i="2"/>
  <c r="FC215" i="2"/>
  <c r="FB215" i="2"/>
  <c r="FA215" i="2"/>
  <c r="EZ215" i="2"/>
  <c r="EY215" i="2"/>
  <c r="EX215" i="2"/>
  <c r="EW215" i="2"/>
  <c r="EV215" i="2"/>
  <c r="EU215" i="2"/>
  <c r="ET215" i="2"/>
  <c r="ES215" i="2"/>
  <c r="ER215" i="2"/>
  <c r="EQ215" i="2"/>
  <c r="EP215" i="2"/>
  <c r="EO215" i="2"/>
  <c r="EN215" i="2"/>
  <c r="EM215" i="2"/>
  <c r="EL215" i="2"/>
  <c r="EK215" i="2"/>
  <c r="EJ215" i="2"/>
  <c r="EI215" i="2"/>
  <c r="EH215" i="2"/>
  <c r="EG215" i="2"/>
  <c r="EF215" i="2"/>
  <c r="EE215" i="2"/>
  <c r="ED215" i="2"/>
  <c r="EC215" i="2"/>
  <c r="EB215" i="2"/>
  <c r="FH214" i="2"/>
  <c r="FG214" i="2"/>
  <c r="FF214" i="2"/>
  <c r="FE214" i="2"/>
  <c r="FD214" i="2"/>
  <c r="FC214" i="2"/>
  <c r="FB214" i="2"/>
  <c r="FA214" i="2"/>
  <c r="EZ214" i="2"/>
  <c r="EY214" i="2"/>
  <c r="EX214" i="2"/>
  <c r="EW214" i="2"/>
  <c r="EV214" i="2"/>
  <c r="EU214" i="2"/>
  <c r="ET214" i="2"/>
  <c r="ES214" i="2"/>
  <c r="ER214" i="2"/>
  <c r="EQ214" i="2"/>
  <c r="EP214" i="2"/>
  <c r="EO214" i="2"/>
  <c r="EN214" i="2"/>
  <c r="EM214" i="2"/>
  <c r="EL214" i="2"/>
  <c r="EK214" i="2"/>
  <c r="EJ214" i="2"/>
  <c r="EI214" i="2"/>
  <c r="EH214" i="2"/>
  <c r="EG214" i="2"/>
  <c r="EF214" i="2"/>
  <c r="EE214" i="2"/>
  <c r="ED214" i="2"/>
  <c r="EC214" i="2"/>
  <c r="EB214" i="2"/>
  <c r="FS213" i="2"/>
  <c r="FR213" i="2"/>
  <c r="FQ213" i="2"/>
  <c r="FP213" i="2"/>
  <c r="FO213" i="2"/>
  <c r="FN213" i="2"/>
  <c r="FM213" i="2"/>
  <c r="FL213" i="2"/>
  <c r="FK213" i="2"/>
  <c r="FJ213" i="2"/>
  <c r="FI213" i="2"/>
  <c r="FH213" i="2"/>
  <c r="FG213" i="2"/>
  <c r="FF213" i="2"/>
  <c r="FE213" i="2"/>
  <c r="FD213" i="2"/>
  <c r="FC213" i="2"/>
  <c r="FB213" i="2"/>
  <c r="FA213" i="2"/>
  <c r="EZ213" i="2"/>
  <c r="EY213" i="2"/>
  <c r="EX213" i="2"/>
  <c r="EW213" i="2"/>
  <c r="EV213" i="2"/>
  <c r="EU213" i="2"/>
  <c r="ET213" i="2"/>
  <c r="ES213" i="2"/>
  <c r="ER213" i="2"/>
  <c r="EQ213" i="2"/>
  <c r="EP213" i="2"/>
  <c r="EO213" i="2"/>
  <c r="EN213" i="2"/>
  <c r="EM213" i="2"/>
  <c r="EL213" i="2"/>
  <c r="EK213" i="2"/>
  <c r="EJ213" i="2"/>
  <c r="EI213" i="2"/>
  <c r="EH213" i="2"/>
  <c r="EG213" i="2"/>
  <c r="EF213" i="2"/>
  <c r="EE213" i="2"/>
  <c r="ED213" i="2"/>
  <c r="EC213" i="2"/>
  <c r="EB213" i="2"/>
  <c r="FH212" i="2"/>
  <c r="FG212" i="2"/>
  <c r="FF212" i="2"/>
  <c r="FE212" i="2"/>
  <c r="FD212" i="2"/>
  <c r="FC212" i="2"/>
  <c r="FB212" i="2"/>
  <c r="FA212" i="2"/>
  <c r="EZ212" i="2"/>
  <c r="EY212" i="2"/>
  <c r="EX212" i="2"/>
  <c r="EW212" i="2"/>
  <c r="EV212" i="2"/>
  <c r="EU212" i="2"/>
  <c r="ET212" i="2"/>
  <c r="ES212" i="2"/>
  <c r="ER212" i="2"/>
  <c r="EQ212" i="2"/>
  <c r="EP212" i="2"/>
  <c r="EO212" i="2"/>
  <c r="EN212" i="2"/>
  <c r="EM212" i="2"/>
  <c r="EL212" i="2"/>
  <c r="EK212" i="2"/>
  <c r="EJ212" i="2"/>
  <c r="EI212" i="2"/>
  <c r="EH212" i="2"/>
  <c r="EG212" i="2"/>
  <c r="EF212" i="2"/>
  <c r="EE212" i="2"/>
  <c r="ED212" i="2"/>
  <c r="EC212" i="2"/>
  <c r="EB212" i="2"/>
  <c r="FH211" i="2"/>
  <c r="FG211" i="2"/>
  <c r="FG219" i="2" s="1"/>
  <c r="FF211" i="2"/>
  <c r="FE211" i="2"/>
  <c r="FD211" i="2"/>
  <c r="FC211" i="2"/>
  <c r="FC219" i="2" s="1"/>
  <c r="FB211" i="2"/>
  <c r="FA211" i="2"/>
  <c r="EZ211" i="2"/>
  <c r="EY211" i="2"/>
  <c r="EY219" i="2" s="1"/>
  <c r="EX211" i="2"/>
  <c r="EW211" i="2"/>
  <c r="EV211" i="2"/>
  <c r="EU211" i="2"/>
  <c r="EU219" i="2" s="1"/>
  <c r="ET211" i="2"/>
  <c r="ES211" i="2"/>
  <c r="ER211" i="2"/>
  <c r="EQ211" i="2"/>
  <c r="EQ219" i="2" s="1"/>
  <c r="EP211" i="2"/>
  <c r="EO211" i="2"/>
  <c r="EN211" i="2"/>
  <c r="EM211" i="2"/>
  <c r="EM219" i="2" s="1"/>
  <c r="EL211" i="2"/>
  <c r="EK211" i="2"/>
  <c r="EJ211" i="2"/>
  <c r="EI211" i="2"/>
  <c r="EI219" i="2" s="1"/>
  <c r="EH211" i="2"/>
  <c r="EG211" i="2"/>
  <c r="EF211" i="2"/>
  <c r="EE211" i="2"/>
  <c r="EE219" i="2" s="1"/>
  <c r="ED211" i="2"/>
  <c r="EC211" i="2"/>
  <c r="EB211" i="2"/>
  <c r="DQ216" i="2"/>
  <c r="DP216" i="2"/>
  <c r="DO216" i="2"/>
  <c r="DN216" i="2"/>
  <c r="DM216" i="2"/>
  <c r="DL216" i="2"/>
  <c r="DK216" i="2"/>
  <c r="DJ216" i="2"/>
  <c r="DI216" i="2"/>
  <c r="DH216" i="2"/>
  <c r="DG216" i="2"/>
  <c r="DF216" i="2"/>
  <c r="DE216" i="2"/>
  <c r="DD216" i="2"/>
  <c r="DC216" i="2"/>
  <c r="DB216" i="2"/>
  <c r="DA216" i="2"/>
  <c r="CZ216" i="2"/>
  <c r="CY216" i="2"/>
  <c r="CX216" i="2"/>
  <c r="CW216" i="2"/>
  <c r="CV216" i="2"/>
  <c r="CU216" i="2"/>
  <c r="CT216" i="2"/>
  <c r="CS216" i="2"/>
  <c r="CR216" i="2"/>
  <c r="CQ216" i="2"/>
  <c r="CP216" i="2"/>
  <c r="CO216" i="2"/>
  <c r="CN216" i="2"/>
  <c r="CM216" i="2"/>
  <c r="CL216" i="2"/>
  <c r="CK216" i="2"/>
  <c r="CJ216" i="2"/>
  <c r="CI216" i="2"/>
  <c r="CH216" i="2"/>
  <c r="CG216" i="2"/>
  <c r="CF216" i="2"/>
  <c r="CE216" i="2"/>
  <c r="CD216" i="2"/>
  <c r="CC216" i="2"/>
  <c r="CB216" i="2"/>
  <c r="CA216" i="2"/>
  <c r="BZ216" i="2"/>
  <c r="BY216" i="2"/>
  <c r="BX216" i="2"/>
  <c r="BW216" i="2"/>
  <c r="BV216" i="2"/>
  <c r="BU216" i="2"/>
  <c r="BT216" i="2"/>
  <c r="BS216" i="2"/>
  <c r="BR216" i="2"/>
  <c r="BQ216" i="2"/>
  <c r="BP216" i="2"/>
  <c r="BO216" i="2"/>
  <c r="BN216" i="2"/>
  <c r="BM216" i="2"/>
  <c r="BL216" i="2"/>
  <c r="BK216" i="2"/>
  <c r="BJ216" i="2"/>
  <c r="BI216" i="2"/>
  <c r="BH216" i="2"/>
  <c r="BG216" i="2"/>
  <c r="BF216" i="2"/>
  <c r="BE216" i="2"/>
  <c r="BD216" i="2"/>
  <c r="BC216" i="2"/>
  <c r="BB216" i="2"/>
  <c r="BA216" i="2"/>
  <c r="AZ216" i="2"/>
  <c r="AY216" i="2"/>
  <c r="AX216" i="2"/>
  <c r="AW216" i="2"/>
  <c r="AV216" i="2"/>
  <c r="AU216" i="2"/>
  <c r="AT216" i="2"/>
  <c r="AS216" i="2"/>
  <c r="AR216" i="2"/>
  <c r="AQ216" i="2"/>
  <c r="AP216" i="2"/>
  <c r="AO216" i="2"/>
  <c r="AN216" i="2"/>
  <c r="AM216" i="2"/>
  <c r="AL216" i="2"/>
  <c r="AK216" i="2"/>
  <c r="AJ216" i="2"/>
  <c r="AI216" i="2"/>
  <c r="AH216" i="2"/>
  <c r="AG216" i="2"/>
  <c r="AF216" i="2"/>
  <c r="AE216" i="2"/>
  <c r="AD216" i="2"/>
  <c r="AC216" i="2"/>
  <c r="AB216" i="2"/>
  <c r="AA216" i="2"/>
  <c r="Z216" i="2"/>
  <c r="Y216" i="2"/>
  <c r="X216" i="2"/>
  <c r="W216" i="2"/>
  <c r="V216" i="2"/>
  <c r="U216" i="2"/>
  <c r="T216" i="2"/>
  <c r="S216" i="2"/>
  <c r="R216" i="2"/>
  <c r="Q216" i="2"/>
  <c r="P216" i="2"/>
  <c r="O216" i="2"/>
  <c r="N216" i="2"/>
  <c r="M216" i="2"/>
  <c r="L216" i="2"/>
  <c r="K216" i="2"/>
  <c r="J216" i="2"/>
  <c r="I216" i="2"/>
  <c r="H216" i="2"/>
  <c r="G216" i="2"/>
  <c r="F216" i="2"/>
  <c r="E216" i="2"/>
  <c r="D216" i="2"/>
  <c r="C216" i="2"/>
  <c r="B216" i="2"/>
  <c r="A216" i="2"/>
  <c r="DQ215" i="2"/>
  <c r="DP215" i="2"/>
  <c r="DO215" i="2"/>
  <c r="DN215" i="2"/>
  <c r="DM215" i="2"/>
  <c r="DL215" i="2"/>
  <c r="DK215" i="2"/>
  <c r="DJ215" i="2"/>
  <c r="DI215" i="2"/>
  <c r="DH215" i="2"/>
  <c r="DG215" i="2"/>
  <c r="DF215" i="2"/>
  <c r="DE215" i="2"/>
  <c r="DD215" i="2"/>
  <c r="DC215" i="2"/>
  <c r="DB215" i="2"/>
  <c r="DA215" i="2"/>
  <c r="CZ215" i="2"/>
  <c r="CY215" i="2"/>
  <c r="CX215" i="2"/>
  <c r="CW215" i="2"/>
  <c r="CV215" i="2"/>
  <c r="CU215" i="2"/>
  <c r="CT215" i="2"/>
  <c r="CS215" i="2"/>
  <c r="CR215" i="2"/>
  <c r="CQ215" i="2"/>
  <c r="CP215" i="2"/>
  <c r="CO215" i="2"/>
  <c r="CN215" i="2"/>
  <c r="CM215" i="2"/>
  <c r="CL215" i="2"/>
  <c r="CK215" i="2"/>
  <c r="CJ215" i="2"/>
  <c r="CI215" i="2"/>
  <c r="CH215" i="2"/>
  <c r="CG215" i="2"/>
  <c r="CF215" i="2"/>
  <c r="CE215" i="2"/>
  <c r="CD215" i="2"/>
  <c r="CC215" i="2"/>
  <c r="CB215" i="2"/>
  <c r="CA215" i="2"/>
  <c r="BZ215" i="2"/>
  <c r="BY215" i="2"/>
  <c r="BX215" i="2"/>
  <c r="BW215" i="2"/>
  <c r="BV215" i="2"/>
  <c r="BU215" i="2"/>
  <c r="BT215" i="2"/>
  <c r="BS215" i="2"/>
  <c r="BR215" i="2"/>
  <c r="BQ215" i="2"/>
  <c r="BP215" i="2"/>
  <c r="BO215" i="2"/>
  <c r="BN215" i="2"/>
  <c r="BM215" i="2"/>
  <c r="BL215" i="2"/>
  <c r="BK215" i="2"/>
  <c r="BJ215" i="2"/>
  <c r="BI215" i="2"/>
  <c r="BH215" i="2"/>
  <c r="BG215" i="2"/>
  <c r="BF215" i="2"/>
  <c r="BE215" i="2"/>
  <c r="BD215" i="2"/>
  <c r="BC215" i="2"/>
  <c r="BB215" i="2"/>
  <c r="BA215" i="2"/>
  <c r="AZ215" i="2"/>
  <c r="AY215" i="2"/>
  <c r="AX215" i="2"/>
  <c r="AW215" i="2"/>
  <c r="AV215" i="2"/>
  <c r="AU215" i="2"/>
  <c r="AT215" i="2"/>
  <c r="AS215" i="2"/>
  <c r="AR215" i="2"/>
  <c r="AQ215" i="2"/>
  <c r="AP215" i="2"/>
  <c r="AO215" i="2"/>
  <c r="AN215" i="2"/>
  <c r="AM215" i="2"/>
  <c r="AL215" i="2"/>
  <c r="AK215" i="2"/>
  <c r="AJ215" i="2"/>
  <c r="AI215" i="2"/>
  <c r="AH215" i="2"/>
  <c r="AG215" i="2"/>
  <c r="AF215" i="2"/>
  <c r="AE215" i="2"/>
  <c r="AD215" i="2"/>
  <c r="AC215" i="2"/>
  <c r="AB215" i="2"/>
  <c r="AA215" i="2"/>
  <c r="Z215" i="2"/>
  <c r="Y215" i="2"/>
  <c r="X215" i="2"/>
  <c r="W215" i="2"/>
  <c r="V215" i="2"/>
  <c r="U215" i="2"/>
  <c r="T215" i="2"/>
  <c r="S215" i="2"/>
  <c r="R215" i="2"/>
  <c r="Q215" i="2"/>
  <c r="P215" i="2"/>
  <c r="O215" i="2"/>
  <c r="N215" i="2"/>
  <c r="M215" i="2"/>
  <c r="L215" i="2"/>
  <c r="K215" i="2"/>
  <c r="J215" i="2"/>
  <c r="I215" i="2"/>
  <c r="H215" i="2"/>
  <c r="G215" i="2"/>
  <c r="F215" i="2"/>
  <c r="E215" i="2"/>
  <c r="D215" i="2"/>
  <c r="C215" i="2"/>
  <c r="B215" i="2"/>
  <c r="A215" i="2"/>
  <c r="DQ214" i="2"/>
  <c r="DP214" i="2"/>
  <c r="DO214" i="2"/>
  <c r="DN214" i="2"/>
  <c r="DM214" i="2"/>
  <c r="DL214" i="2"/>
  <c r="DK214" i="2"/>
  <c r="DJ214" i="2"/>
  <c r="DI214" i="2"/>
  <c r="DH214" i="2"/>
  <c r="DG214" i="2"/>
  <c r="DF214" i="2"/>
  <c r="DE214" i="2"/>
  <c r="DD214" i="2"/>
  <c r="DC214" i="2"/>
  <c r="DB214" i="2"/>
  <c r="DA214" i="2"/>
  <c r="CZ214" i="2"/>
  <c r="CY214" i="2"/>
  <c r="CX214" i="2"/>
  <c r="CW214" i="2"/>
  <c r="CV214" i="2"/>
  <c r="CU214" i="2"/>
  <c r="CT214" i="2"/>
  <c r="CS214" i="2"/>
  <c r="CR214" i="2"/>
  <c r="CQ214" i="2"/>
  <c r="CP214" i="2"/>
  <c r="CO214" i="2"/>
  <c r="CN214" i="2"/>
  <c r="CM214" i="2"/>
  <c r="CL214" i="2"/>
  <c r="CK214" i="2"/>
  <c r="CJ214" i="2"/>
  <c r="CI214" i="2"/>
  <c r="CH214" i="2"/>
  <c r="CG214" i="2"/>
  <c r="CF214" i="2"/>
  <c r="CE214" i="2"/>
  <c r="CD214" i="2"/>
  <c r="CC214" i="2"/>
  <c r="CB214" i="2"/>
  <c r="CA214" i="2"/>
  <c r="BZ214" i="2"/>
  <c r="BY214" i="2"/>
  <c r="BX214" i="2"/>
  <c r="BW214" i="2"/>
  <c r="BV214" i="2"/>
  <c r="BU214" i="2"/>
  <c r="BT214" i="2"/>
  <c r="BS214" i="2"/>
  <c r="BR214" i="2"/>
  <c r="BQ214" i="2"/>
  <c r="BP214" i="2"/>
  <c r="BO214" i="2"/>
  <c r="BN214" i="2"/>
  <c r="BM214" i="2"/>
  <c r="BL214" i="2"/>
  <c r="BK214" i="2"/>
  <c r="BJ214" i="2"/>
  <c r="BI214" i="2"/>
  <c r="BH214" i="2"/>
  <c r="BG214" i="2"/>
  <c r="BF214" i="2"/>
  <c r="BE214" i="2"/>
  <c r="BD214" i="2"/>
  <c r="BC214" i="2"/>
  <c r="BB214" i="2"/>
  <c r="BA214" i="2"/>
  <c r="AZ214" i="2"/>
  <c r="AY214" i="2"/>
  <c r="AX214" i="2"/>
  <c r="AW214" i="2"/>
  <c r="AV214" i="2"/>
  <c r="AU214" i="2"/>
  <c r="AT214" i="2"/>
  <c r="AS214" i="2"/>
  <c r="AR214" i="2"/>
  <c r="AQ214" i="2"/>
  <c r="AP214" i="2"/>
  <c r="AO214" i="2"/>
  <c r="AN214" i="2"/>
  <c r="AM214" i="2"/>
  <c r="AL214" i="2"/>
  <c r="AK214" i="2"/>
  <c r="AJ214" i="2"/>
  <c r="AI214" i="2"/>
  <c r="AH214" i="2"/>
  <c r="AG214" i="2"/>
  <c r="AF214" i="2"/>
  <c r="AE214" i="2"/>
  <c r="AD214" i="2"/>
  <c r="AC214" i="2"/>
  <c r="AB214" i="2"/>
  <c r="AA214" i="2"/>
  <c r="Z214" i="2"/>
  <c r="Y214" i="2"/>
  <c r="X214" i="2"/>
  <c r="W214" i="2"/>
  <c r="V214" i="2"/>
  <c r="U214" i="2"/>
  <c r="T214" i="2"/>
  <c r="S214" i="2"/>
  <c r="R214" i="2"/>
  <c r="Q214" i="2"/>
  <c r="P214" i="2"/>
  <c r="O214" i="2"/>
  <c r="N214" i="2"/>
  <c r="M214" i="2"/>
  <c r="L214" i="2"/>
  <c r="K214" i="2"/>
  <c r="J214" i="2"/>
  <c r="I214" i="2"/>
  <c r="H214" i="2"/>
  <c r="G214" i="2"/>
  <c r="F214" i="2"/>
  <c r="E214" i="2"/>
  <c r="D214" i="2"/>
  <c r="C214" i="2"/>
  <c r="B214" i="2"/>
  <c r="A214" i="2"/>
  <c r="DY213" i="2"/>
  <c r="DX213" i="2"/>
  <c r="DW213" i="2"/>
  <c r="DV213" i="2"/>
  <c r="DU213" i="2"/>
  <c r="DT213" i="2"/>
  <c r="DS213" i="2"/>
  <c r="DR213" i="2"/>
  <c r="DQ213" i="2"/>
  <c r="DP213" i="2"/>
  <c r="DO213" i="2"/>
  <c r="DN213" i="2"/>
  <c r="DM213" i="2"/>
  <c r="DL213" i="2"/>
  <c r="DK213" i="2"/>
  <c r="DJ213" i="2"/>
  <c r="DI213" i="2"/>
  <c r="DH213" i="2"/>
  <c r="DG213" i="2"/>
  <c r="DF213" i="2"/>
  <c r="DE213" i="2"/>
  <c r="DD213" i="2"/>
  <c r="DC213" i="2"/>
  <c r="DB213" i="2"/>
  <c r="DA213" i="2"/>
  <c r="CZ213" i="2"/>
  <c r="CY213" i="2"/>
  <c r="CX213" i="2"/>
  <c r="CW213" i="2"/>
  <c r="CV213" i="2"/>
  <c r="CU213" i="2"/>
  <c r="CT213" i="2"/>
  <c r="CS213" i="2"/>
  <c r="CR213" i="2"/>
  <c r="CQ213" i="2"/>
  <c r="CP213" i="2"/>
  <c r="CO213" i="2"/>
  <c r="CN213" i="2"/>
  <c r="CM213" i="2"/>
  <c r="CL213" i="2"/>
  <c r="CK213" i="2"/>
  <c r="CJ213" i="2"/>
  <c r="CI213" i="2"/>
  <c r="CH213" i="2"/>
  <c r="CG213" i="2"/>
  <c r="CF213" i="2"/>
  <c r="CE213" i="2"/>
  <c r="CD213" i="2"/>
  <c r="CC213" i="2"/>
  <c r="CB213" i="2"/>
  <c r="CA213" i="2"/>
  <c r="BZ213" i="2"/>
  <c r="BY213" i="2"/>
  <c r="BX213" i="2"/>
  <c r="BW213" i="2"/>
  <c r="BV213" i="2"/>
  <c r="BU213" i="2"/>
  <c r="BT213" i="2"/>
  <c r="BS213" i="2"/>
  <c r="BR213" i="2"/>
  <c r="BQ213" i="2"/>
  <c r="BP213" i="2"/>
  <c r="BO213" i="2"/>
  <c r="BN213" i="2"/>
  <c r="BM213" i="2"/>
  <c r="BL213" i="2"/>
  <c r="BK213" i="2"/>
  <c r="BJ213" i="2"/>
  <c r="BI213" i="2"/>
  <c r="BH213" i="2"/>
  <c r="BG213" i="2"/>
  <c r="BF213" i="2"/>
  <c r="BE213" i="2"/>
  <c r="BD213" i="2"/>
  <c r="BC213" i="2"/>
  <c r="BB213" i="2"/>
  <c r="BA213" i="2"/>
  <c r="AZ213" i="2"/>
  <c r="AY213" i="2"/>
  <c r="AX213" i="2"/>
  <c r="AW213" i="2"/>
  <c r="AV213" i="2"/>
  <c r="AU213" i="2"/>
  <c r="AT213" i="2"/>
  <c r="AS213" i="2"/>
  <c r="AR213" i="2"/>
  <c r="AQ213" i="2"/>
  <c r="AP213" i="2"/>
  <c r="AO213" i="2"/>
  <c r="AN213" i="2"/>
  <c r="AM213" i="2"/>
  <c r="AL213" i="2"/>
  <c r="AK213" i="2"/>
  <c r="AJ213" i="2"/>
  <c r="AI213" i="2"/>
  <c r="AH213" i="2"/>
  <c r="AG213" i="2"/>
  <c r="AF213" i="2"/>
  <c r="AE213" i="2"/>
  <c r="AD213" i="2"/>
  <c r="AC213" i="2"/>
  <c r="AB213" i="2"/>
  <c r="AA213" i="2"/>
  <c r="Z213" i="2"/>
  <c r="Y213" i="2"/>
  <c r="X213" i="2"/>
  <c r="W213" i="2"/>
  <c r="V213" i="2"/>
  <c r="U213" i="2"/>
  <c r="T213" i="2"/>
  <c r="S213" i="2"/>
  <c r="R213" i="2"/>
  <c r="Q213" i="2"/>
  <c r="P213" i="2"/>
  <c r="O213" i="2"/>
  <c r="N213" i="2"/>
  <c r="M213" i="2"/>
  <c r="L213" i="2"/>
  <c r="K213" i="2"/>
  <c r="J213" i="2"/>
  <c r="I213" i="2"/>
  <c r="H213" i="2"/>
  <c r="G213" i="2"/>
  <c r="F213" i="2"/>
  <c r="E213" i="2"/>
  <c r="D213" i="2"/>
  <c r="C213" i="2"/>
  <c r="B213" i="2"/>
  <c r="A213" i="2"/>
  <c r="DQ212" i="2"/>
  <c r="DP212" i="2"/>
  <c r="DO212" i="2"/>
  <c r="DN212" i="2"/>
  <c r="DM212" i="2"/>
  <c r="DL212" i="2"/>
  <c r="DK212" i="2"/>
  <c r="DJ212" i="2"/>
  <c r="DI212" i="2"/>
  <c r="DH212" i="2"/>
  <c r="DG212" i="2"/>
  <c r="DF212" i="2"/>
  <c r="DE212" i="2"/>
  <c r="DD212" i="2"/>
  <c r="DC212" i="2"/>
  <c r="DB212" i="2"/>
  <c r="DA212" i="2"/>
  <c r="CZ212" i="2"/>
  <c r="CY212" i="2"/>
  <c r="CX212" i="2"/>
  <c r="CW212" i="2"/>
  <c r="CV212" i="2"/>
  <c r="CU212" i="2"/>
  <c r="CT212" i="2"/>
  <c r="CS212" i="2"/>
  <c r="CR212" i="2"/>
  <c r="CQ212" i="2"/>
  <c r="CP212" i="2"/>
  <c r="CO212" i="2"/>
  <c r="CN212" i="2"/>
  <c r="CM212" i="2"/>
  <c r="CL212" i="2"/>
  <c r="CK212" i="2"/>
  <c r="CJ212" i="2"/>
  <c r="CI212" i="2"/>
  <c r="CH212" i="2"/>
  <c r="CG212" i="2"/>
  <c r="CF212" i="2"/>
  <c r="CE212" i="2"/>
  <c r="CD212" i="2"/>
  <c r="CC212" i="2"/>
  <c r="CB212" i="2"/>
  <c r="CA212" i="2"/>
  <c r="BZ212" i="2"/>
  <c r="BY212" i="2"/>
  <c r="BX212" i="2"/>
  <c r="BW212" i="2"/>
  <c r="BV212" i="2"/>
  <c r="BU212" i="2"/>
  <c r="BT212" i="2"/>
  <c r="BS212" i="2"/>
  <c r="BR212" i="2"/>
  <c r="BQ212" i="2"/>
  <c r="BP212" i="2"/>
  <c r="BO212" i="2"/>
  <c r="BN212" i="2"/>
  <c r="BM212" i="2"/>
  <c r="BL212" i="2"/>
  <c r="BK212" i="2"/>
  <c r="BJ212" i="2"/>
  <c r="BI212" i="2"/>
  <c r="BH212" i="2"/>
  <c r="BG212" i="2"/>
  <c r="BF212" i="2"/>
  <c r="BE212" i="2"/>
  <c r="BD212" i="2"/>
  <c r="BC212" i="2"/>
  <c r="BB212" i="2"/>
  <c r="BA212" i="2"/>
  <c r="AZ212" i="2"/>
  <c r="AY212" i="2"/>
  <c r="AX212" i="2"/>
  <c r="AW212" i="2"/>
  <c r="AV212" i="2"/>
  <c r="AU212" i="2"/>
  <c r="AT212" i="2"/>
  <c r="AS212" i="2"/>
  <c r="AR212" i="2"/>
  <c r="AQ212" i="2"/>
  <c r="AP212" i="2"/>
  <c r="AO212" i="2"/>
  <c r="AN212" i="2"/>
  <c r="AM212" i="2"/>
  <c r="AL212" i="2"/>
  <c r="AK212" i="2"/>
  <c r="AJ212" i="2"/>
  <c r="AI212" i="2"/>
  <c r="AH212" i="2"/>
  <c r="AG212" i="2"/>
  <c r="AF212" i="2"/>
  <c r="AE212" i="2"/>
  <c r="AD212" i="2"/>
  <c r="AC212" i="2"/>
  <c r="AB212" i="2"/>
  <c r="AA212" i="2"/>
  <c r="Z212" i="2"/>
  <c r="Y212" i="2"/>
  <c r="X212" i="2"/>
  <c r="W212" i="2"/>
  <c r="V212" i="2"/>
  <c r="U212" i="2"/>
  <c r="T212" i="2"/>
  <c r="S212" i="2"/>
  <c r="R212" i="2"/>
  <c r="Q212" i="2"/>
  <c r="P212" i="2"/>
  <c r="O212" i="2"/>
  <c r="N212" i="2"/>
  <c r="M212" i="2"/>
  <c r="L212" i="2"/>
  <c r="K212" i="2"/>
  <c r="J212" i="2"/>
  <c r="I212" i="2"/>
  <c r="H212" i="2"/>
  <c r="G212" i="2"/>
  <c r="F212" i="2"/>
  <c r="E212" i="2"/>
  <c r="D212" i="2"/>
  <c r="C212" i="2"/>
  <c r="B212" i="2"/>
  <c r="A212" i="2"/>
  <c r="DQ211" i="2"/>
  <c r="DP211" i="2"/>
  <c r="DO211" i="2"/>
  <c r="DN211" i="2"/>
  <c r="DM211" i="2"/>
  <c r="DL211" i="2"/>
  <c r="DK211" i="2"/>
  <c r="DJ211" i="2"/>
  <c r="DI211" i="2"/>
  <c r="DH211" i="2"/>
  <c r="DG211" i="2"/>
  <c r="DF211" i="2"/>
  <c r="DE211" i="2"/>
  <c r="DD211" i="2"/>
  <c r="DC211" i="2"/>
  <c r="DB211" i="2"/>
  <c r="DA211" i="2"/>
  <c r="CZ211" i="2"/>
  <c r="CY211" i="2"/>
  <c r="CX211" i="2"/>
  <c r="CW211" i="2"/>
  <c r="CV211" i="2"/>
  <c r="CU211" i="2"/>
  <c r="CT211" i="2"/>
  <c r="CS211" i="2"/>
  <c r="CR211" i="2"/>
  <c r="CQ211" i="2"/>
  <c r="CP211" i="2"/>
  <c r="CO211" i="2"/>
  <c r="CN211" i="2"/>
  <c r="CM211" i="2"/>
  <c r="CL211" i="2"/>
  <c r="CK211" i="2"/>
  <c r="CJ211" i="2"/>
  <c r="CI211" i="2"/>
  <c r="CH211" i="2"/>
  <c r="CG211" i="2"/>
  <c r="CF211" i="2"/>
  <c r="CE211" i="2"/>
  <c r="CD211" i="2"/>
  <c r="CC211" i="2"/>
  <c r="CB211" i="2"/>
  <c r="CA211" i="2"/>
  <c r="BZ211" i="2"/>
  <c r="BY211" i="2"/>
  <c r="BX211" i="2"/>
  <c r="BW211" i="2"/>
  <c r="BV211" i="2"/>
  <c r="BU211" i="2"/>
  <c r="BT211" i="2"/>
  <c r="BS211" i="2"/>
  <c r="BR211" i="2"/>
  <c r="BQ211" i="2"/>
  <c r="BP211" i="2"/>
  <c r="BO211" i="2"/>
  <c r="BN211" i="2"/>
  <c r="BM211" i="2"/>
  <c r="BL211" i="2"/>
  <c r="BK211" i="2"/>
  <c r="BJ211" i="2"/>
  <c r="BI211" i="2"/>
  <c r="BH211" i="2"/>
  <c r="BG211" i="2"/>
  <c r="BF211" i="2"/>
  <c r="BE211" i="2"/>
  <c r="BD211" i="2"/>
  <c r="BC211" i="2"/>
  <c r="BB211" i="2"/>
  <c r="BA211" i="2"/>
  <c r="AZ211" i="2"/>
  <c r="AY211" i="2"/>
  <c r="AX211" i="2"/>
  <c r="AW211" i="2"/>
  <c r="AV211" i="2"/>
  <c r="AU211" i="2"/>
  <c r="AT211" i="2"/>
  <c r="AS211" i="2"/>
  <c r="AR211" i="2"/>
  <c r="AQ211" i="2"/>
  <c r="AP211" i="2"/>
  <c r="AO211" i="2"/>
  <c r="AN211" i="2"/>
  <c r="AM211" i="2"/>
  <c r="AL211" i="2"/>
  <c r="AK211" i="2"/>
  <c r="AJ211" i="2"/>
  <c r="AI211" i="2"/>
  <c r="AH211" i="2"/>
  <c r="AG211" i="2"/>
  <c r="AF211" i="2"/>
  <c r="AE211" i="2"/>
  <c r="AD211" i="2"/>
  <c r="AC211" i="2"/>
  <c r="AB211" i="2"/>
  <c r="AA211" i="2"/>
  <c r="Z211" i="2"/>
  <c r="Y211" i="2"/>
  <c r="X211" i="2"/>
  <c r="W211" i="2"/>
  <c r="V211" i="2"/>
  <c r="U211" i="2"/>
  <c r="T211" i="2"/>
  <c r="S211" i="2"/>
  <c r="R211" i="2"/>
  <c r="Q211" i="2"/>
  <c r="P211" i="2"/>
  <c r="O211" i="2"/>
  <c r="N211" i="2"/>
  <c r="M211" i="2"/>
  <c r="L211" i="2"/>
  <c r="K211" i="2"/>
  <c r="J211" i="2"/>
  <c r="I211" i="2"/>
  <c r="H211" i="2"/>
  <c r="G211" i="2"/>
  <c r="F211" i="2"/>
  <c r="E211" i="2"/>
  <c r="D211" i="2"/>
  <c r="C211" i="2"/>
  <c r="B211" i="2"/>
  <c r="A211" i="2"/>
  <c r="FH208" i="2"/>
  <c r="FG208" i="2"/>
  <c r="FF208" i="2"/>
  <c r="FE208" i="2"/>
  <c r="FD208" i="2"/>
  <c r="FC208" i="2"/>
  <c r="FB208" i="2"/>
  <c r="FA208" i="2"/>
  <c r="EZ208" i="2"/>
  <c r="EY208" i="2"/>
  <c r="EX208" i="2"/>
  <c r="EW208" i="2"/>
  <c r="EV208" i="2"/>
  <c r="EU208" i="2"/>
  <c r="ET208" i="2"/>
  <c r="ES208" i="2"/>
  <c r="ER208" i="2"/>
  <c r="EQ208" i="2"/>
  <c r="EP208" i="2"/>
  <c r="EO208" i="2"/>
  <c r="EN208" i="2"/>
  <c r="EM208" i="2"/>
  <c r="EL208" i="2"/>
  <c r="EK208" i="2"/>
  <c r="EJ208" i="2"/>
  <c r="EI208" i="2"/>
  <c r="EH208" i="2"/>
  <c r="EG208" i="2"/>
  <c r="EF208" i="2"/>
  <c r="EE208" i="2"/>
  <c r="ED208" i="2"/>
  <c r="EC208" i="2"/>
  <c r="EB208" i="2"/>
  <c r="FH207" i="2"/>
  <c r="FG207" i="2"/>
  <c r="FF207" i="2"/>
  <c r="FE207" i="2"/>
  <c r="FD207" i="2"/>
  <c r="FC207" i="2"/>
  <c r="FB207" i="2"/>
  <c r="FA207" i="2"/>
  <c r="EZ207" i="2"/>
  <c r="EY207" i="2"/>
  <c r="EX207" i="2"/>
  <c r="EW207" i="2"/>
  <c r="EV207" i="2"/>
  <c r="EU207" i="2"/>
  <c r="ET207" i="2"/>
  <c r="ES207" i="2"/>
  <c r="ER207" i="2"/>
  <c r="EQ207" i="2"/>
  <c r="EP207" i="2"/>
  <c r="EO207" i="2"/>
  <c r="EN207" i="2"/>
  <c r="EM207" i="2"/>
  <c r="EL207" i="2"/>
  <c r="EK207" i="2"/>
  <c r="EJ207" i="2"/>
  <c r="EI207" i="2"/>
  <c r="EH207" i="2"/>
  <c r="EG207" i="2"/>
  <c r="EF207" i="2"/>
  <c r="EE207" i="2"/>
  <c r="ED207" i="2"/>
  <c r="EC207" i="2"/>
  <c r="EB207" i="2"/>
  <c r="FH206" i="2"/>
  <c r="FG206" i="2"/>
  <c r="FF206" i="2"/>
  <c r="FE206" i="2"/>
  <c r="FD206" i="2"/>
  <c r="FC206" i="2"/>
  <c r="FB206" i="2"/>
  <c r="FA206" i="2"/>
  <c r="EZ206" i="2"/>
  <c r="EY206" i="2"/>
  <c r="EX206" i="2"/>
  <c r="EW206" i="2"/>
  <c r="EV206" i="2"/>
  <c r="EU206" i="2"/>
  <c r="ET206" i="2"/>
  <c r="ES206" i="2"/>
  <c r="ER206" i="2"/>
  <c r="EQ206" i="2"/>
  <c r="EP206" i="2"/>
  <c r="EO206" i="2"/>
  <c r="EN206" i="2"/>
  <c r="EM206" i="2"/>
  <c r="EL206" i="2"/>
  <c r="EK206" i="2"/>
  <c r="EJ206" i="2"/>
  <c r="EI206" i="2"/>
  <c r="EH206" i="2"/>
  <c r="EG206" i="2"/>
  <c r="EF206" i="2"/>
  <c r="EE206" i="2"/>
  <c r="ED206" i="2"/>
  <c r="EC206" i="2"/>
  <c r="EB206" i="2"/>
  <c r="FH205" i="2"/>
  <c r="FG205" i="2"/>
  <c r="FF205" i="2"/>
  <c r="FE205" i="2"/>
  <c r="FD205" i="2"/>
  <c r="FC205" i="2"/>
  <c r="FB205" i="2"/>
  <c r="FA205" i="2"/>
  <c r="EZ205" i="2"/>
  <c r="EY205" i="2"/>
  <c r="EX205" i="2"/>
  <c r="EW205" i="2"/>
  <c r="EV205" i="2"/>
  <c r="EU205" i="2"/>
  <c r="ET205" i="2"/>
  <c r="ES205" i="2"/>
  <c r="ER205" i="2"/>
  <c r="EQ205" i="2"/>
  <c r="EP205" i="2"/>
  <c r="EO205" i="2"/>
  <c r="EN205" i="2"/>
  <c r="EM205" i="2"/>
  <c r="EL205" i="2"/>
  <c r="EK205" i="2"/>
  <c r="EJ205" i="2"/>
  <c r="EI205" i="2"/>
  <c r="EH205" i="2"/>
  <c r="EG205" i="2"/>
  <c r="EF205" i="2"/>
  <c r="EE205" i="2"/>
  <c r="ED205" i="2"/>
  <c r="EC205" i="2"/>
  <c r="EB205" i="2"/>
  <c r="FS204" i="2"/>
  <c r="FR204" i="2"/>
  <c r="FQ204" i="2"/>
  <c r="FP204" i="2"/>
  <c r="FO204" i="2"/>
  <c r="FN204" i="2"/>
  <c r="FM204" i="2"/>
  <c r="FL204" i="2"/>
  <c r="FK204" i="2"/>
  <c r="FJ204" i="2"/>
  <c r="FI204" i="2"/>
  <c r="FH204" i="2"/>
  <c r="FG204" i="2"/>
  <c r="FF204" i="2"/>
  <c r="FE204" i="2"/>
  <c r="FE219" i="2" s="1"/>
  <c r="FD204" i="2"/>
  <c r="FC204" i="2"/>
  <c r="FB204" i="2"/>
  <c r="FA204" i="2"/>
  <c r="FA219" i="2" s="1"/>
  <c r="EZ204" i="2"/>
  <c r="EY204" i="2"/>
  <c r="EX204" i="2"/>
  <c r="EW204" i="2"/>
  <c r="EW219" i="2" s="1"/>
  <c r="EV204" i="2"/>
  <c r="EU204" i="2"/>
  <c r="ET204" i="2"/>
  <c r="ES204" i="2"/>
  <c r="ES219" i="2" s="1"/>
  <c r="ER204" i="2"/>
  <c r="EQ204" i="2"/>
  <c r="EP204" i="2"/>
  <c r="EO204" i="2"/>
  <c r="EO219" i="2" s="1"/>
  <c r="EN204" i="2"/>
  <c r="EM204" i="2"/>
  <c r="EL204" i="2"/>
  <c r="EK204" i="2"/>
  <c r="EK219" i="2" s="1"/>
  <c r="EJ204" i="2"/>
  <c r="EI204" i="2"/>
  <c r="EH204" i="2"/>
  <c r="EG204" i="2"/>
  <c r="EG219" i="2" s="1"/>
  <c r="EF204" i="2"/>
  <c r="EE204" i="2"/>
  <c r="ED204" i="2"/>
  <c r="EC204" i="2"/>
  <c r="EC219" i="2" s="1"/>
  <c r="EB204" i="2"/>
  <c r="DQ208" i="2"/>
  <c r="DP208" i="2"/>
  <c r="DO208" i="2"/>
  <c r="DN208" i="2"/>
  <c r="DM208" i="2"/>
  <c r="DL208" i="2"/>
  <c r="DK208" i="2"/>
  <c r="DJ208" i="2"/>
  <c r="DI208" i="2"/>
  <c r="DH208" i="2"/>
  <c r="DG208" i="2"/>
  <c r="DF208" i="2"/>
  <c r="DE208" i="2"/>
  <c r="DD208" i="2"/>
  <c r="DC208" i="2"/>
  <c r="DB208" i="2"/>
  <c r="DA208" i="2"/>
  <c r="CZ208" i="2"/>
  <c r="CY208" i="2"/>
  <c r="CX208" i="2"/>
  <c r="CW208" i="2"/>
  <c r="CV208" i="2"/>
  <c r="CU208" i="2"/>
  <c r="CT208" i="2"/>
  <c r="CS208" i="2"/>
  <c r="CR208" i="2"/>
  <c r="CQ208" i="2"/>
  <c r="CP208" i="2"/>
  <c r="CO208" i="2"/>
  <c r="CN208" i="2"/>
  <c r="CM208" i="2"/>
  <c r="CL208" i="2"/>
  <c r="CK208" i="2"/>
  <c r="CJ208" i="2"/>
  <c r="CI208" i="2"/>
  <c r="CH208" i="2"/>
  <c r="CG208" i="2"/>
  <c r="CF208" i="2"/>
  <c r="CE208" i="2"/>
  <c r="CD208" i="2"/>
  <c r="CC208" i="2"/>
  <c r="CB208" i="2"/>
  <c r="CA208" i="2"/>
  <c r="BZ208" i="2"/>
  <c r="BY208" i="2"/>
  <c r="BX208" i="2"/>
  <c r="BW208" i="2"/>
  <c r="BV208" i="2"/>
  <c r="BU208" i="2"/>
  <c r="BT208" i="2"/>
  <c r="BS208" i="2"/>
  <c r="BR208" i="2"/>
  <c r="BQ208" i="2"/>
  <c r="BP208" i="2"/>
  <c r="BO208" i="2"/>
  <c r="BN208" i="2"/>
  <c r="BM208" i="2"/>
  <c r="BL208" i="2"/>
  <c r="BK208" i="2"/>
  <c r="BJ208" i="2"/>
  <c r="BI208" i="2"/>
  <c r="BH208" i="2"/>
  <c r="BG208" i="2"/>
  <c r="BF208" i="2"/>
  <c r="BE208" i="2"/>
  <c r="BD208" i="2"/>
  <c r="BC208" i="2"/>
  <c r="BB208" i="2"/>
  <c r="BA208" i="2"/>
  <c r="AZ208" i="2"/>
  <c r="AY208" i="2"/>
  <c r="AX208" i="2"/>
  <c r="AW208" i="2"/>
  <c r="AV208" i="2"/>
  <c r="AU208" i="2"/>
  <c r="AT208" i="2"/>
  <c r="AS208" i="2"/>
  <c r="AR208" i="2"/>
  <c r="AQ208" i="2"/>
  <c r="AP208" i="2"/>
  <c r="AO208" i="2"/>
  <c r="AN208" i="2"/>
  <c r="AM208" i="2"/>
  <c r="AL208" i="2"/>
  <c r="AK208" i="2"/>
  <c r="AJ208" i="2"/>
  <c r="AI208" i="2"/>
  <c r="AH208" i="2"/>
  <c r="AG208" i="2"/>
  <c r="AF208" i="2"/>
  <c r="AE208" i="2"/>
  <c r="AD208" i="2"/>
  <c r="AC208" i="2"/>
  <c r="AB208" i="2"/>
  <c r="AA208" i="2"/>
  <c r="Z208" i="2"/>
  <c r="Y208" i="2"/>
  <c r="X208" i="2"/>
  <c r="W208" i="2"/>
  <c r="V208" i="2"/>
  <c r="U208" i="2"/>
  <c r="T208" i="2"/>
  <c r="S208" i="2"/>
  <c r="R208" i="2"/>
  <c r="Q208" i="2"/>
  <c r="P208" i="2"/>
  <c r="O208" i="2"/>
  <c r="N208" i="2"/>
  <c r="M208" i="2"/>
  <c r="L208" i="2"/>
  <c r="K208" i="2"/>
  <c r="J208" i="2"/>
  <c r="I208" i="2"/>
  <c r="H208" i="2"/>
  <c r="G208" i="2"/>
  <c r="F208" i="2"/>
  <c r="E208" i="2"/>
  <c r="D208" i="2"/>
  <c r="C208" i="2"/>
  <c r="B208" i="2"/>
  <c r="A208" i="2"/>
  <c r="DQ207" i="2"/>
  <c r="DP207" i="2"/>
  <c r="DO207" i="2"/>
  <c r="DN207" i="2"/>
  <c r="DM207" i="2"/>
  <c r="DL207" i="2"/>
  <c r="DK207" i="2"/>
  <c r="DJ207" i="2"/>
  <c r="DI207" i="2"/>
  <c r="DH207" i="2"/>
  <c r="DG207" i="2"/>
  <c r="DF207" i="2"/>
  <c r="DE207" i="2"/>
  <c r="DD207" i="2"/>
  <c r="DC207" i="2"/>
  <c r="DB207" i="2"/>
  <c r="DA207" i="2"/>
  <c r="CZ207" i="2"/>
  <c r="CY207" i="2"/>
  <c r="CX207" i="2"/>
  <c r="CW207" i="2"/>
  <c r="CV207" i="2"/>
  <c r="CU207" i="2"/>
  <c r="CT207" i="2"/>
  <c r="CS207" i="2"/>
  <c r="CR207" i="2"/>
  <c r="CQ207" i="2"/>
  <c r="CP207" i="2"/>
  <c r="CO207" i="2"/>
  <c r="CN207" i="2"/>
  <c r="CM207" i="2"/>
  <c r="CL207" i="2"/>
  <c r="CK207" i="2"/>
  <c r="CJ207" i="2"/>
  <c r="CI207" i="2"/>
  <c r="CH207" i="2"/>
  <c r="CG207" i="2"/>
  <c r="CF207" i="2"/>
  <c r="CE207" i="2"/>
  <c r="CD207" i="2"/>
  <c r="CC207" i="2"/>
  <c r="CB207" i="2"/>
  <c r="CA207" i="2"/>
  <c r="BZ207" i="2"/>
  <c r="BY207" i="2"/>
  <c r="BX207" i="2"/>
  <c r="BW207" i="2"/>
  <c r="BV207" i="2"/>
  <c r="BU207" i="2"/>
  <c r="BT207" i="2"/>
  <c r="BS207" i="2"/>
  <c r="BR207" i="2"/>
  <c r="BQ207" i="2"/>
  <c r="BP207" i="2"/>
  <c r="BO207" i="2"/>
  <c r="BN207" i="2"/>
  <c r="BM207" i="2"/>
  <c r="BL207" i="2"/>
  <c r="BK207" i="2"/>
  <c r="BJ207" i="2"/>
  <c r="BI207" i="2"/>
  <c r="BH207" i="2"/>
  <c r="BG207" i="2"/>
  <c r="BF207" i="2"/>
  <c r="BE207" i="2"/>
  <c r="BD207" i="2"/>
  <c r="BC207" i="2"/>
  <c r="BB207" i="2"/>
  <c r="BA207" i="2"/>
  <c r="AZ207" i="2"/>
  <c r="AY207" i="2"/>
  <c r="AX207" i="2"/>
  <c r="AW207" i="2"/>
  <c r="AV207" i="2"/>
  <c r="AU207" i="2"/>
  <c r="AT207" i="2"/>
  <c r="AS207" i="2"/>
  <c r="AR207" i="2"/>
  <c r="AQ207" i="2"/>
  <c r="AP207" i="2"/>
  <c r="AO207" i="2"/>
  <c r="AN207" i="2"/>
  <c r="AM207" i="2"/>
  <c r="AL207" i="2"/>
  <c r="AK207" i="2"/>
  <c r="AJ207" i="2"/>
  <c r="AI207" i="2"/>
  <c r="AH207" i="2"/>
  <c r="AG207" i="2"/>
  <c r="AF207" i="2"/>
  <c r="AE207" i="2"/>
  <c r="AD207" i="2"/>
  <c r="AC207" i="2"/>
  <c r="AB207" i="2"/>
  <c r="AA207" i="2"/>
  <c r="Z207" i="2"/>
  <c r="Y207" i="2"/>
  <c r="X207" i="2"/>
  <c r="W207" i="2"/>
  <c r="V207" i="2"/>
  <c r="U207" i="2"/>
  <c r="T207" i="2"/>
  <c r="S207" i="2"/>
  <c r="R207" i="2"/>
  <c r="Q207" i="2"/>
  <c r="P207" i="2"/>
  <c r="O207" i="2"/>
  <c r="N207" i="2"/>
  <c r="M207" i="2"/>
  <c r="L207" i="2"/>
  <c r="K207" i="2"/>
  <c r="J207" i="2"/>
  <c r="I207" i="2"/>
  <c r="H207" i="2"/>
  <c r="G207" i="2"/>
  <c r="F207" i="2"/>
  <c r="E207" i="2"/>
  <c r="D207" i="2"/>
  <c r="C207" i="2"/>
  <c r="B207" i="2"/>
  <c r="A207" i="2"/>
  <c r="DQ206" i="2"/>
  <c r="DP206" i="2"/>
  <c r="DO206" i="2"/>
  <c r="DN206" i="2"/>
  <c r="DM206" i="2"/>
  <c r="DL206" i="2"/>
  <c r="DK206" i="2"/>
  <c r="DJ206" i="2"/>
  <c r="DI206" i="2"/>
  <c r="DH206" i="2"/>
  <c r="DG206" i="2"/>
  <c r="DF206" i="2"/>
  <c r="DE206" i="2"/>
  <c r="DD206" i="2"/>
  <c r="DC206" i="2"/>
  <c r="DB206" i="2"/>
  <c r="DA206" i="2"/>
  <c r="CZ206" i="2"/>
  <c r="CY206" i="2"/>
  <c r="CX206" i="2"/>
  <c r="CW206" i="2"/>
  <c r="CV206" i="2"/>
  <c r="CU206" i="2"/>
  <c r="CT206" i="2"/>
  <c r="CS206" i="2"/>
  <c r="CR206" i="2"/>
  <c r="CQ206" i="2"/>
  <c r="CP206" i="2"/>
  <c r="CO206" i="2"/>
  <c r="CN206" i="2"/>
  <c r="CM206" i="2"/>
  <c r="CL206" i="2"/>
  <c r="CK206" i="2"/>
  <c r="CJ206" i="2"/>
  <c r="CI206" i="2"/>
  <c r="CH206" i="2"/>
  <c r="CG206" i="2"/>
  <c r="CF206" i="2"/>
  <c r="CE206" i="2"/>
  <c r="CD206" i="2"/>
  <c r="CC206" i="2"/>
  <c r="CB206" i="2"/>
  <c r="CA206" i="2"/>
  <c r="BZ206" i="2"/>
  <c r="BY206" i="2"/>
  <c r="BX206" i="2"/>
  <c r="BW206" i="2"/>
  <c r="BV206" i="2"/>
  <c r="BU206" i="2"/>
  <c r="BT206" i="2"/>
  <c r="BS206" i="2"/>
  <c r="BR206" i="2"/>
  <c r="BQ206" i="2"/>
  <c r="BP206" i="2"/>
  <c r="BO206" i="2"/>
  <c r="BN206" i="2"/>
  <c r="BM206" i="2"/>
  <c r="BL206" i="2"/>
  <c r="BK206" i="2"/>
  <c r="BJ206" i="2"/>
  <c r="BI206" i="2"/>
  <c r="BH206" i="2"/>
  <c r="BG206" i="2"/>
  <c r="BF206" i="2"/>
  <c r="BE206" i="2"/>
  <c r="BD206" i="2"/>
  <c r="BC206" i="2"/>
  <c r="BB206" i="2"/>
  <c r="BA206" i="2"/>
  <c r="AZ206" i="2"/>
  <c r="AY206" i="2"/>
  <c r="AX206" i="2"/>
  <c r="AW206" i="2"/>
  <c r="AV206" i="2"/>
  <c r="AU206" i="2"/>
  <c r="AT206" i="2"/>
  <c r="AS206" i="2"/>
  <c r="AR206" i="2"/>
  <c r="AQ206" i="2"/>
  <c r="AP206" i="2"/>
  <c r="AO206" i="2"/>
  <c r="AN206" i="2"/>
  <c r="AM206" i="2"/>
  <c r="AL206" i="2"/>
  <c r="AK206" i="2"/>
  <c r="AJ206" i="2"/>
  <c r="AI206" i="2"/>
  <c r="AH206" i="2"/>
  <c r="AG206" i="2"/>
  <c r="AF206" i="2"/>
  <c r="AE206" i="2"/>
  <c r="AD206" i="2"/>
  <c r="AC206" i="2"/>
  <c r="AB206" i="2"/>
  <c r="AA206" i="2"/>
  <c r="Z206" i="2"/>
  <c r="Y206" i="2"/>
  <c r="X206" i="2"/>
  <c r="W206" i="2"/>
  <c r="V206" i="2"/>
  <c r="U206" i="2"/>
  <c r="T206" i="2"/>
  <c r="S206" i="2"/>
  <c r="R206" i="2"/>
  <c r="Q206" i="2"/>
  <c r="P206" i="2"/>
  <c r="O206" i="2"/>
  <c r="N206" i="2"/>
  <c r="M206" i="2"/>
  <c r="L206" i="2"/>
  <c r="K206" i="2"/>
  <c r="J206" i="2"/>
  <c r="I206" i="2"/>
  <c r="H206" i="2"/>
  <c r="G206" i="2"/>
  <c r="F206" i="2"/>
  <c r="E206" i="2"/>
  <c r="D206" i="2"/>
  <c r="C206" i="2"/>
  <c r="B206" i="2"/>
  <c r="A206" i="2"/>
  <c r="DQ205" i="2"/>
  <c r="DP205" i="2"/>
  <c r="DO205" i="2"/>
  <c r="DN205" i="2"/>
  <c r="DM205" i="2"/>
  <c r="DL205" i="2"/>
  <c r="DK205" i="2"/>
  <c r="DJ205" i="2"/>
  <c r="DI205" i="2"/>
  <c r="DH205" i="2"/>
  <c r="DG205" i="2"/>
  <c r="DF205" i="2"/>
  <c r="DE205" i="2"/>
  <c r="DD205" i="2"/>
  <c r="DC205" i="2"/>
  <c r="DB205" i="2"/>
  <c r="DA205" i="2"/>
  <c r="CZ205" i="2"/>
  <c r="CY205" i="2"/>
  <c r="CX205" i="2"/>
  <c r="CW205" i="2"/>
  <c r="CV205" i="2"/>
  <c r="CU205" i="2"/>
  <c r="CT205" i="2"/>
  <c r="CS205" i="2"/>
  <c r="CR205" i="2"/>
  <c r="CQ205" i="2"/>
  <c r="CP205" i="2"/>
  <c r="CO205" i="2"/>
  <c r="CN205" i="2"/>
  <c r="CM205" i="2"/>
  <c r="CL205" i="2"/>
  <c r="CK205" i="2"/>
  <c r="CJ205" i="2"/>
  <c r="CI205" i="2"/>
  <c r="CH205" i="2"/>
  <c r="CG205" i="2"/>
  <c r="CF205" i="2"/>
  <c r="CE205" i="2"/>
  <c r="CD205" i="2"/>
  <c r="CC205" i="2"/>
  <c r="CB205" i="2"/>
  <c r="CA205" i="2"/>
  <c r="BZ205" i="2"/>
  <c r="BY205" i="2"/>
  <c r="BX205" i="2"/>
  <c r="BW205" i="2"/>
  <c r="BV205" i="2"/>
  <c r="BU205" i="2"/>
  <c r="BT205" i="2"/>
  <c r="BS205" i="2"/>
  <c r="BR205" i="2"/>
  <c r="BQ205" i="2"/>
  <c r="BP205" i="2"/>
  <c r="BO205" i="2"/>
  <c r="BN205" i="2"/>
  <c r="BM205" i="2"/>
  <c r="BL205" i="2"/>
  <c r="BK205" i="2"/>
  <c r="BJ205" i="2"/>
  <c r="BI205" i="2"/>
  <c r="BH205" i="2"/>
  <c r="BG205" i="2"/>
  <c r="BF205" i="2"/>
  <c r="BE205" i="2"/>
  <c r="BD205" i="2"/>
  <c r="BC205" i="2"/>
  <c r="BB205" i="2"/>
  <c r="BA205" i="2"/>
  <c r="AZ205" i="2"/>
  <c r="AY205" i="2"/>
  <c r="AX205" i="2"/>
  <c r="AW205" i="2"/>
  <c r="AV205" i="2"/>
  <c r="AU205" i="2"/>
  <c r="AT205" i="2"/>
  <c r="AS205" i="2"/>
  <c r="AR205" i="2"/>
  <c r="AQ205" i="2"/>
  <c r="AP205" i="2"/>
  <c r="AO205" i="2"/>
  <c r="AN205" i="2"/>
  <c r="AM205" i="2"/>
  <c r="AL205" i="2"/>
  <c r="AK205" i="2"/>
  <c r="AJ205" i="2"/>
  <c r="AI205" i="2"/>
  <c r="AH205" i="2"/>
  <c r="AG205" i="2"/>
  <c r="AF205" i="2"/>
  <c r="AE205" i="2"/>
  <c r="AD205" i="2"/>
  <c r="AC205" i="2"/>
  <c r="AB205" i="2"/>
  <c r="AA205" i="2"/>
  <c r="Z205" i="2"/>
  <c r="Y205" i="2"/>
  <c r="X205" i="2"/>
  <c r="W205" i="2"/>
  <c r="V205" i="2"/>
  <c r="U205" i="2"/>
  <c r="T205" i="2"/>
  <c r="S205" i="2"/>
  <c r="R205" i="2"/>
  <c r="Q205" i="2"/>
  <c r="P205" i="2"/>
  <c r="O205" i="2"/>
  <c r="N205" i="2"/>
  <c r="M205" i="2"/>
  <c r="L205" i="2"/>
  <c r="K205" i="2"/>
  <c r="J205" i="2"/>
  <c r="I205" i="2"/>
  <c r="H205" i="2"/>
  <c r="G205" i="2"/>
  <c r="F205" i="2"/>
  <c r="E205" i="2"/>
  <c r="D205" i="2"/>
  <c r="C205" i="2"/>
  <c r="B205" i="2"/>
  <c r="A205" i="2"/>
  <c r="DY204" i="2"/>
  <c r="DX204" i="2"/>
  <c r="DW204" i="2"/>
  <c r="DV204" i="2"/>
  <c r="DU204" i="2"/>
  <c r="DT204" i="2"/>
  <c r="DS204" i="2"/>
  <c r="DR204" i="2"/>
  <c r="DQ204" i="2"/>
  <c r="DP204" i="2"/>
  <c r="DO204" i="2"/>
  <c r="DN204" i="2"/>
  <c r="DM204" i="2"/>
  <c r="DL204" i="2"/>
  <c r="DK204" i="2"/>
  <c r="DJ204" i="2"/>
  <c r="DI204" i="2"/>
  <c r="DH204" i="2"/>
  <c r="DG204" i="2"/>
  <c r="DF204" i="2"/>
  <c r="DE204" i="2"/>
  <c r="DD204" i="2"/>
  <c r="DC204" i="2"/>
  <c r="DB204" i="2"/>
  <c r="DA204" i="2"/>
  <c r="CZ204" i="2"/>
  <c r="CY204" i="2"/>
  <c r="CX204" i="2"/>
  <c r="CW204" i="2"/>
  <c r="CV204" i="2"/>
  <c r="CU204" i="2"/>
  <c r="CT204" i="2"/>
  <c r="CS204" i="2"/>
  <c r="CR204" i="2"/>
  <c r="CQ204" i="2"/>
  <c r="CP204" i="2"/>
  <c r="CO204" i="2"/>
  <c r="CN204" i="2"/>
  <c r="CM204" i="2"/>
  <c r="CL204" i="2"/>
  <c r="CK204" i="2"/>
  <c r="CJ204" i="2"/>
  <c r="CI204" i="2"/>
  <c r="CH204" i="2"/>
  <c r="CG204" i="2"/>
  <c r="CF204" i="2"/>
  <c r="CE204" i="2"/>
  <c r="CD204" i="2"/>
  <c r="CC204" i="2"/>
  <c r="CB204" i="2"/>
  <c r="CA204" i="2"/>
  <c r="BZ204" i="2"/>
  <c r="BY204" i="2"/>
  <c r="BX204" i="2"/>
  <c r="BW204" i="2"/>
  <c r="BV204" i="2"/>
  <c r="BU204" i="2"/>
  <c r="BT204" i="2"/>
  <c r="BS204" i="2"/>
  <c r="BR204" i="2"/>
  <c r="BQ204" i="2"/>
  <c r="BP204" i="2"/>
  <c r="BO204" i="2"/>
  <c r="BN204" i="2"/>
  <c r="BM204" i="2"/>
  <c r="BL204" i="2"/>
  <c r="BK204" i="2"/>
  <c r="BJ204" i="2"/>
  <c r="BI204" i="2"/>
  <c r="BH204" i="2"/>
  <c r="BG204" i="2"/>
  <c r="BF204" i="2"/>
  <c r="BE204" i="2"/>
  <c r="BD204" i="2"/>
  <c r="BC204" i="2"/>
  <c r="BB204" i="2"/>
  <c r="BA204" i="2"/>
  <c r="AZ204" i="2"/>
  <c r="AY204" i="2"/>
  <c r="AX204" i="2"/>
  <c r="AW204" i="2"/>
  <c r="AV204" i="2"/>
  <c r="AU204" i="2"/>
  <c r="AT204" i="2"/>
  <c r="AS204" i="2"/>
  <c r="AR204" i="2"/>
  <c r="AQ204" i="2"/>
  <c r="AP204" i="2"/>
  <c r="AO204" i="2"/>
  <c r="AN204" i="2"/>
  <c r="AM204" i="2"/>
  <c r="AL204" i="2"/>
  <c r="AK204" i="2"/>
  <c r="AJ204" i="2"/>
  <c r="AI204" i="2"/>
  <c r="AH204" i="2"/>
  <c r="AG204" i="2"/>
  <c r="AF204" i="2"/>
  <c r="AE204" i="2"/>
  <c r="AD204" i="2"/>
  <c r="AC204" i="2"/>
  <c r="AB204" i="2"/>
  <c r="AA204" i="2"/>
  <c r="Z204" i="2"/>
  <c r="Y204" i="2"/>
  <c r="X204" i="2"/>
  <c r="W204" i="2"/>
  <c r="V204" i="2"/>
  <c r="U204" i="2"/>
  <c r="T204" i="2"/>
  <c r="S204" i="2"/>
  <c r="R204" i="2"/>
  <c r="Q204" i="2"/>
  <c r="P204" i="2"/>
  <c r="O204" i="2"/>
  <c r="N204" i="2"/>
  <c r="M204" i="2"/>
  <c r="L204" i="2"/>
  <c r="K204" i="2"/>
  <c r="J204" i="2"/>
  <c r="I204" i="2"/>
  <c r="H204" i="2"/>
  <c r="G204" i="2"/>
  <c r="F204" i="2"/>
  <c r="E204" i="2"/>
  <c r="D204" i="2"/>
  <c r="C204" i="2"/>
  <c r="B204" i="2"/>
  <c r="A204" i="2"/>
  <c r="A199" i="2"/>
  <c r="FS192" i="2"/>
  <c r="FR192" i="2"/>
  <c r="FQ192" i="2"/>
  <c r="FP192" i="2"/>
  <c r="FO192" i="2"/>
  <c r="FN192" i="2"/>
  <c r="FM192" i="2"/>
  <c r="FL192" i="2"/>
  <c r="FK192" i="2"/>
  <c r="FJ192" i="2"/>
  <c r="FI192" i="2"/>
  <c r="FH192" i="2"/>
  <c r="FG192" i="2"/>
  <c r="FF192" i="2"/>
  <c r="FE192" i="2"/>
  <c r="FD192" i="2"/>
  <c r="FC192" i="2"/>
  <c r="FB192" i="2"/>
  <c r="FA192" i="2"/>
  <c r="EZ192" i="2"/>
  <c r="EY192" i="2"/>
  <c r="EX192" i="2"/>
  <c r="EW192" i="2"/>
  <c r="EV192" i="2"/>
  <c r="EU192" i="2"/>
  <c r="ET192" i="2"/>
  <c r="ES192" i="2"/>
  <c r="ER192" i="2"/>
  <c r="EQ192" i="2"/>
  <c r="EP192" i="2"/>
  <c r="EO192" i="2"/>
  <c r="EN192" i="2"/>
  <c r="EM192" i="2"/>
  <c r="EL192" i="2"/>
  <c r="EK192" i="2"/>
  <c r="EJ192" i="2"/>
  <c r="EI192" i="2"/>
  <c r="EH192" i="2"/>
  <c r="EG192" i="2"/>
  <c r="EF192" i="2"/>
  <c r="EE192" i="2"/>
  <c r="ED192" i="2"/>
  <c r="EC192" i="2"/>
  <c r="EB192" i="2"/>
  <c r="FS191" i="2"/>
  <c r="FR191" i="2"/>
  <c r="FQ191" i="2"/>
  <c r="FP191" i="2"/>
  <c r="FO191" i="2"/>
  <c r="FN191" i="2"/>
  <c r="FM191" i="2"/>
  <c r="FL191" i="2"/>
  <c r="FK191" i="2"/>
  <c r="FJ191" i="2"/>
  <c r="FI191" i="2"/>
  <c r="FH191" i="2"/>
  <c r="FG191" i="2"/>
  <c r="FF191" i="2"/>
  <c r="FE191" i="2"/>
  <c r="FD191" i="2"/>
  <c r="FC191" i="2"/>
  <c r="FB191" i="2"/>
  <c r="FA191" i="2"/>
  <c r="EZ191" i="2"/>
  <c r="EY191" i="2"/>
  <c r="EX191" i="2"/>
  <c r="EW191" i="2"/>
  <c r="EV191" i="2"/>
  <c r="EU191" i="2"/>
  <c r="ET191" i="2"/>
  <c r="ES191" i="2"/>
  <c r="ER191" i="2"/>
  <c r="EQ191" i="2"/>
  <c r="EP191" i="2"/>
  <c r="EO191" i="2"/>
  <c r="EN191" i="2"/>
  <c r="EM191" i="2"/>
  <c r="EL191" i="2"/>
  <c r="EK191" i="2"/>
  <c r="EJ191" i="2"/>
  <c r="EI191" i="2"/>
  <c r="EH191" i="2"/>
  <c r="EG191" i="2"/>
  <c r="EF191" i="2"/>
  <c r="EE191" i="2"/>
  <c r="ED191" i="2"/>
  <c r="EC191" i="2"/>
  <c r="EB191" i="2"/>
  <c r="FS190" i="2"/>
  <c r="FR190" i="2"/>
  <c r="FQ190" i="2"/>
  <c r="FP190" i="2"/>
  <c r="FO190" i="2"/>
  <c r="FN190" i="2"/>
  <c r="FM190" i="2"/>
  <c r="FL190" i="2"/>
  <c r="FK190" i="2"/>
  <c r="FJ190" i="2"/>
  <c r="FI190" i="2"/>
  <c r="FH190" i="2"/>
  <c r="FG190" i="2"/>
  <c r="FF190" i="2"/>
  <c r="FE190" i="2"/>
  <c r="FD190" i="2"/>
  <c r="FC190" i="2"/>
  <c r="FB190" i="2"/>
  <c r="FA190" i="2"/>
  <c r="EZ190" i="2"/>
  <c r="EY190" i="2"/>
  <c r="EX190" i="2"/>
  <c r="EW190" i="2"/>
  <c r="EV190" i="2"/>
  <c r="EU190" i="2"/>
  <c r="ET190" i="2"/>
  <c r="ES190" i="2"/>
  <c r="ER190" i="2"/>
  <c r="EQ190" i="2"/>
  <c r="EP190" i="2"/>
  <c r="EO190" i="2"/>
  <c r="EN190" i="2"/>
  <c r="EM190" i="2"/>
  <c r="EL190" i="2"/>
  <c r="EK190" i="2"/>
  <c r="EJ190" i="2"/>
  <c r="EI190" i="2"/>
  <c r="EH190" i="2"/>
  <c r="EG190" i="2"/>
  <c r="EF190" i="2"/>
  <c r="EE190" i="2"/>
  <c r="ED190" i="2"/>
  <c r="EC190" i="2"/>
  <c r="EB190" i="2"/>
  <c r="FS189" i="2"/>
  <c r="FR189" i="2"/>
  <c r="FQ189" i="2"/>
  <c r="FP189" i="2"/>
  <c r="FO189" i="2"/>
  <c r="FN189" i="2"/>
  <c r="FM189" i="2"/>
  <c r="FL189" i="2"/>
  <c r="FK189" i="2"/>
  <c r="FJ189" i="2"/>
  <c r="FI189" i="2"/>
  <c r="FH189" i="2"/>
  <c r="FG189" i="2"/>
  <c r="FF189" i="2"/>
  <c r="FE189" i="2"/>
  <c r="FD189" i="2"/>
  <c r="FC189" i="2"/>
  <c r="FB189" i="2"/>
  <c r="FA189" i="2"/>
  <c r="EZ189" i="2"/>
  <c r="EY189" i="2"/>
  <c r="EX189" i="2"/>
  <c r="EW189" i="2"/>
  <c r="EV189" i="2"/>
  <c r="EU189" i="2"/>
  <c r="ET189" i="2"/>
  <c r="ES189" i="2"/>
  <c r="ER189" i="2"/>
  <c r="EQ189" i="2"/>
  <c r="EP189" i="2"/>
  <c r="EO189" i="2"/>
  <c r="EN189" i="2"/>
  <c r="EM189" i="2"/>
  <c r="EL189" i="2"/>
  <c r="EK189" i="2"/>
  <c r="EJ189" i="2"/>
  <c r="EI189" i="2"/>
  <c r="EH189" i="2"/>
  <c r="EG189" i="2"/>
  <c r="EF189" i="2"/>
  <c r="EE189" i="2"/>
  <c r="ED189" i="2"/>
  <c r="EC189" i="2"/>
  <c r="EB189" i="2"/>
  <c r="DY192" i="2"/>
  <c r="DX192" i="2"/>
  <c r="DW192" i="2"/>
  <c r="DV192" i="2"/>
  <c r="DU192" i="2"/>
  <c r="DT192" i="2"/>
  <c r="DS192" i="2"/>
  <c r="DR192" i="2"/>
  <c r="DQ192" i="2"/>
  <c r="DP192" i="2"/>
  <c r="DO192" i="2"/>
  <c r="DN192" i="2"/>
  <c r="DM192" i="2"/>
  <c r="DL192" i="2"/>
  <c r="DK192" i="2"/>
  <c r="DJ192" i="2"/>
  <c r="DI192" i="2"/>
  <c r="DH192" i="2"/>
  <c r="DG192" i="2"/>
  <c r="DF192" i="2"/>
  <c r="DE192" i="2"/>
  <c r="DD192" i="2"/>
  <c r="DC192" i="2"/>
  <c r="DB192" i="2"/>
  <c r="DA192" i="2"/>
  <c r="CZ192" i="2"/>
  <c r="CY192" i="2"/>
  <c r="CX192" i="2"/>
  <c r="CW192" i="2"/>
  <c r="CV192" i="2"/>
  <c r="CU192" i="2"/>
  <c r="CT192" i="2"/>
  <c r="CS192" i="2"/>
  <c r="CR192" i="2"/>
  <c r="CQ192" i="2"/>
  <c r="CP192" i="2"/>
  <c r="CO192" i="2"/>
  <c r="CN192" i="2"/>
  <c r="CM192" i="2"/>
  <c r="CL192" i="2"/>
  <c r="CK192" i="2"/>
  <c r="CJ192" i="2"/>
  <c r="CI192" i="2"/>
  <c r="CH192" i="2"/>
  <c r="CG192" i="2"/>
  <c r="CF192" i="2"/>
  <c r="CE192" i="2"/>
  <c r="CD192" i="2"/>
  <c r="CC192" i="2"/>
  <c r="CB192" i="2"/>
  <c r="CA192" i="2"/>
  <c r="BZ192" i="2"/>
  <c r="BY192" i="2"/>
  <c r="BX192" i="2"/>
  <c r="BW192" i="2"/>
  <c r="BV192" i="2"/>
  <c r="BU192" i="2"/>
  <c r="BT192" i="2"/>
  <c r="BS192" i="2"/>
  <c r="BR192" i="2"/>
  <c r="BQ192" i="2"/>
  <c r="BP192" i="2"/>
  <c r="BO192" i="2"/>
  <c r="BN192" i="2"/>
  <c r="BM192" i="2"/>
  <c r="BL192" i="2"/>
  <c r="BK192" i="2"/>
  <c r="BJ192" i="2"/>
  <c r="BI192" i="2"/>
  <c r="BH192" i="2"/>
  <c r="BG192" i="2"/>
  <c r="BF192" i="2"/>
  <c r="BE192" i="2"/>
  <c r="BD192" i="2"/>
  <c r="BC192" i="2"/>
  <c r="BB192" i="2"/>
  <c r="BA192" i="2"/>
  <c r="AZ192" i="2"/>
  <c r="AY192" i="2"/>
  <c r="AX192" i="2"/>
  <c r="AW192" i="2"/>
  <c r="AV192" i="2"/>
  <c r="AU192" i="2"/>
  <c r="AT192" i="2"/>
  <c r="AS192" i="2"/>
  <c r="AR192" i="2"/>
  <c r="AQ192" i="2"/>
  <c r="AP192" i="2"/>
  <c r="AO192" i="2"/>
  <c r="AN192" i="2"/>
  <c r="AM192" i="2"/>
  <c r="AL192" i="2"/>
  <c r="AK192" i="2"/>
  <c r="AJ192" i="2"/>
  <c r="AI192" i="2"/>
  <c r="AH192" i="2"/>
  <c r="AG192" i="2"/>
  <c r="AF192" i="2"/>
  <c r="AE192" i="2"/>
  <c r="AD192" i="2"/>
  <c r="AC192" i="2"/>
  <c r="AB192" i="2"/>
  <c r="AA192" i="2"/>
  <c r="Z192" i="2"/>
  <c r="Y192" i="2"/>
  <c r="X192" i="2"/>
  <c r="W192" i="2"/>
  <c r="V192" i="2"/>
  <c r="U192" i="2"/>
  <c r="T192" i="2"/>
  <c r="S192" i="2"/>
  <c r="R192" i="2"/>
  <c r="Q192" i="2"/>
  <c r="P192" i="2"/>
  <c r="O192" i="2"/>
  <c r="N192" i="2"/>
  <c r="M192" i="2"/>
  <c r="L192" i="2"/>
  <c r="K192" i="2"/>
  <c r="J192" i="2"/>
  <c r="I192" i="2"/>
  <c r="H192" i="2"/>
  <c r="G192" i="2"/>
  <c r="F192" i="2"/>
  <c r="E192" i="2"/>
  <c r="D192" i="2"/>
  <c r="C192" i="2"/>
  <c r="B192" i="2"/>
  <c r="A192" i="2"/>
  <c r="DY191" i="2"/>
  <c r="DX191" i="2"/>
  <c r="DW191" i="2"/>
  <c r="DV191" i="2"/>
  <c r="DU191" i="2"/>
  <c r="DT191" i="2"/>
  <c r="DS191" i="2"/>
  <c r="DR191" i="2"/>
  <c r="DQ191" i="2"/>
  <c r="DP191" i="2"/>
  <c r="DO191" i="2"/>
  <c r="DN191" i="2"/>
  <c r="DM191" i="2"/>
  <c r="DL191" i="2"/>
  <c r="DK191" i="2"/>
  <c r="DJ191" i="2"/>
  <c r="DI191" i="2"/>
  <c r="DH191" i="2"/>
  <c r="DG191" i="2"/>
  <c r="DF191" i="2"/>
  <c r="DE191" i="2"/>
  <c r="DD191" i="2"/>
  <c r="DC191" i="2"/>
  <c r="DB191" i="2"/>
  <c r="DA191" i="2"/>
  <c r="CZ191" i="2"/>
  <c r="CY191" i="2"/>
  <c r="CX191" i="2"/>
  <c r="CW191" i="2"/>
  <c r="CV191" i="2"/>
  <c r="CU191" i="2"/>
  <c r="CT191" i="2"/>
  <c r="CS191" i="2"/>
  <c r="CR191" i="2"/>
  <c r="CQ191" i="2"/>
  <c r="CP191" i="2"/>
  <c r="CO191" i="2"/>
  <c r="CN191" i="2"/>
  <c r="CM191" i="2"/>
  <c r="CL191" i="2"/>
  <c r="CK191" i="2"/>
  <c r="CJ191" i="2"/>
  <c r="CI191" i="2"/>
  <c r="CH191" i="2"/>
  <c r="CG191" i="2"/>
  <c r="CF191" i="2"/>
  <c r="CE191" i="2"/>
  <c r="CD191" i="2"/>
  <c r="CC191" i="2"/>
  <c r="CB191" i="2"/>
  <c r="CA191" i="2"/>
  <c r="BZ191" i="2"/>
  <c r="BY191" i="2"/>
  <c r="BX191" i="2"/>
  <c r="BW191" i="2"/>
  <c r="BV191" i="2"/>
  <c r="BU191" i="2"/>
  <c r="BT191" i="2"/>
  <c r="BS191" i="2"/>
  <c r="BR191" i="2"/>
  <c r="BQ191" i="2"/>
  <c r="BP191" i="2"/>
  <c r="BO191" i="2"/>
  <c r="BN191" i="2"/>
  <c r="BM191" i="2"/>
  <c r="BL191" i="2"/>
  <c r="BK191" i="2"/>
  <c r="BJ191" i="2"/>
  <c r="BI191" i="2"/>
  <c r="BH191" i="2"/>
  <c r="BG191" i="2"/>
  <c r="BF191" i="2"/>
  <c r="BE191" i="2"/>
  <c r="BD191" i="2"/>
  <c r="BC191" i="2"/>
  <c r="BB191" i="2"/>
  <c r="BA191" i="2"/>
  <c r="AZ191" i="2"/>
  <c r="AY191" i="2"/>
  <c r="AX191" i="2"/>
  <c r="AW191" i="2"/>
  <c r="AV191" i="2"/>
  <c r="AU191" i="2"/>
  <c r="AT191" i="2"/>
  <c r="AS191" i="2"/>
  <c r="AR191" i="2"/>
  <c r="AQ191" i="2"/>
  <c r="AP191" i="2"/>
  <c r="AO191" i="2"/>
  <c r="AN191" i="2"/>
  <c r="AM191" i="2"/>
  <c r="AL191" i="2"/>
  <c r="AK191" i="2"/>
  <c r="AJ191" i="2"/>
  <c r="AI191" i="2"/>
  <c r="AH191" i="2"/>
  <c r="AG191" i="2"/>
  <c r="AF191" i="2"/>
  <c r="AE191" i="2"/>
  <c r="AD191" i="2"/>
  <c r="AC191" i="2"/>
  <c r="AB191" i="2"/>
  <c r="AA191" i="2"/>
  <c r="Z191" i="2"/>
  <c r="Y191" i="2"/>
  <c r="X191" i="2"/>
  <c r="W191" i="2"/>
  <c r="V191" i="2"/>
  <c r="U191" i="2"/>
  <c r="T191" i="2"/>
  <c r="S191" i="2"/>
  <c r="R191" i="2"/>
  <c r="Q191" i="2"/>
  <c r="P191" i="2"/>
  <c r="O191" i="2"/>
  <c r="N191" i="2"/>
  <c r="M191" i="2"/>
  <c r="L191" i="2"/>
  <c r="K191" i="2"/>
  <c r="J191" i="2"/>
  <c r="I191" i="2"/>
  <c r="H191" i="2"/>
  <c r="G191" i="2"/>
  <c r="F191" i="2"/>
  <c r="E191" i="2"/>
  <c r="D191" i="2"/>
  <c r="C191" i="2"/>
  <c r="B191" i="2"/>
  <c r="A191" i="2"/>
  <c r="DY190" i="2"/>
  <c r="DX190" i="2"/>
  <c r="DW190" i="2"/>
  <c r="DV190" i="2"/>
  <c r="DU190" i="2"/>
  <c r="DT190" i="2"/>
  <c r="DS190" i="2"/>
  <c r="DR190" i="2"/>
  <c r="DQ190" i="2"/>
  <c r="DP190" i="2"/>
  <c r="DO190" i="2"/>
  <c r="DN190" i="2"/>
  <c r="DM190" i="2"/>
  <c r="DL190" i="2"/>
  <c r="DK190" i="2"/>
  <c r="DJ190" i="2"/>
  <c r="DI190" i="2"/>
  <c r="DH190" i="2"/>
  <c r="DG190" i="2"/>
  <c r="DF190" i="2"/>
  <c r="DE190" i="2"/>
  <c r="DD190" i="2"/>
  <c r="DC190" i="2"/>
  <c r="DB190" i="2"/>
  <c r="DA190" i="2"/>
  <c r="CZ190" i="2"/>
  <c r="CY190" i="2"/>
  <c r="CX190" i="2"/>
  <c r="CW190" i="2"/>
  <c r="CV190" i="2"/>
  <c r="CU190" i="2"/>
  <c r="CT190" i="2"/>
  <c r="CS190" i="2"/>
  <c r="CR190" i="2"/>
  <c r="CQ190" i="2"/>
  <c r="CP190" i="2"/>
  <c r="CO190" i="2"/>
  <c r="CN190" i="2"/>
  <c r="CM190" i="2"/>
  <c r="CL190" i="2"/>
  <c r="CK190" i="2"/>
  <c r="CJ190" i="2"/>
  <c r="CI190" i="2"/>
  <c r="CH190" i="2"/>
  <c r="CG190" i="2"/>
  <c r="CF190" i="2"/>
  <c r="CE190" i="2"/>
  <c r="CD190" i="2"/>
  <c r="CC190" i="2"/>
  <c r="CB190" i="2"/>
  <c r="CA190" i="2"/>
  <c r="BZ190" i="2"/>
  <c r="BY190" i="2"/>
  <c r="BX190" i="2"/>
  <c r="BW190" i="2"/>
  <c r="BV190" i="2"/>
  <c r="BU190" i="2"/>
  <c r="BT190" i="2"/>
  <c r="BS190" i="2"/>
  <c r="BR190" i="2"/>
  <c r="BQ190" i="2"/>
  <c r="BP190" i="2"/>
  <c r="BO190" i="2"/>
  <c r="BN190" i="2"/>
  <c r="BM190" i="2"/>
  <c r="BL190" i="2"/>
  <c r="BK190" i="2"/>
  <c r="BJ190" i="2"/>
  <c r="BI190" i="2"/>
  <c r="BH190" i="2"/>
  <c r="BG190" i="2"/>
  <c r="BF190" i="2"/>
  <c r="BE190" i="2"/>
  <c r="BD190" i="2"/>
  <c r="BC190" i="2"/>
  <c r="BB190" i="2"/>
  <c r="BA190" i="2"/>
  <c r="AZ190" i="2"/>
  <c r="AY190" i="2"/>
  <c r="AX190" i="2"/>
  <c r="AW190" i="2"/>
  <c r="AV190" i="2"/>
  <c r="AU190" i="2"/>
  <c r="AT190" i="2"/>
  <c r="AS190" i="2"/>
  <c r="AR190" i="2"/>
  <c r="AQ190" i="2"/>
  <c r="AP190" i="2"/>
  <c r="AO190" i="2"/>
  <c r="AN190" i="2"/>
  <c r="AM190" i="2"/>
  <c r="AL190" i="2"/>
  <c r="AK190" i="2"/>
  <c r="AJ190" i="2"/>
  <c r="AI190" i="2"/>
  <c r="AH190" i="2"/>
  <c r="AG190" i="2"/>
  <c r="AF190" i="2"/>
  <c r="AE190" i="2"/>
  <c r="AD190" i="2"/>
  <c r="AC190" i="2"/>
  <c r="AB190" i="2"/>
  <c r="AA190" i="2"/>
  <c r="Z190" i="2"/>
  <c r="Y190" i="2"/>
  <c r="X190" i="2"/>
  <c r="W190" i="2"/>
  <c r="V190" i="2"/>
  <c r="U190" i="2"/>
  <c r="T190" i="2"/>
  <c r="S190" i="2"/>
  <c r="R190" i="2"/>
  <c r="Q190" i="2"/>
  <c r="P190" i="2"/>
  <c r="O190" i="2"/>
  <c r="N190" i="2"/>
  <c r="M190" i="2"/>
  <c r="L190" i="2"/>
  <c r="K190" i="2"/>
  <c r="J190" i="2"/>
  <c r="I190" i="2"/>
  <c r="H190" i="2"/>
  <c r="G190" i="2"/>
  <c r="F190" i="2"/>
  <c r="E190" i="2"/>
  <c r="D190" i="2"/>
  <c r="C190" i="2"/>
  <c r="B190" i="2"/>
  <c r="A190" i="2"/>
  <c r="DY189" i="2"/>
  <c r="DX189" i="2"/>
  <c r="DW189" i="2"/>
  <c r="DV189" i="2"/>
  <c r="DU189" i="2"/>
  <c r="DT189" i="2"/>
  <c r="DS189" i="2"/>
  <c r="DR189" i="2"/>
  <c r="DQ189" i="2"/>
  <c r="DP189" i="2"/>
  <c r="DO189" i="2"/>
  <c r="DN189" i="2"/>
  <c r="DM189" i="2"/>
  <c r="DL189" i="2"/>
  <c r="DK189" i="2"/>
  <c r="DJ189" i="2"/>
  <c r="DI189" i="2"/>
  <c r="DH189" i="2"/>
  <c r="DG189" i="2"/>
  <c r="DF189" i="2"/>
  <c r="DE189" i="2"/>
  <c r="DD189" i="2"/>
  <c r="DC189" i="2"/>
  <c r="DB189" i="2"/>
  <c r="DA189" i="2"/>
  <c r="CZ189" i="2"/>
  <c r="CY189" i="2"/>
  <c r="CX189" i="2"/>
  <c r="CW189" i="2"/>
  <c r="CV189" i="2"/>
  <c r="CU189" i="2"/>
  <c r="CT189" i="2"/>
  <c r="CS189" i="2"/>
  <c r="CR189" i="2"/>
  <c r="CQ189" i="2"/>
  <c r="CP189" i="2"/>
  <c r="CO189" i="2"/>
  <c r="CN189" i="2"/>
  <c r="CM189" i="2"/>
  <c r="CL189" i="2"/>
  <c r="CK189" i="2"/>
  <c r="CJ189" i="2"/>
  <c r="CI189" i="2"/>
  <c r="CH189" i="2"/>
  <c r="CG189" i="2"/>
  <c r="CF189" i="2"/>
  <c r="CE189" i="2"/>
  <c r="CD189" i="2"/>
  <c r="CC189" i="2"/>
  <c r="CB189" i="2"/>
  <c r="CA189" i="2"/>
  <c r="BZ189" i="2"/>
  <c r="BY189" i="2"/>
  <c r="BX189" i="2"/>
  <c r="BW189" i="2"/>
  <c r="BV189" i="2"/>
  <c r="BU189" i="2"/>
  <c r="BT189" i="2"/>
  <c r="BS189" i="2"/>
  <c r="BR189" i="2"/>
  <c r="BQ189" i="2"/>
  <c r="BP189" i="2"/>
  <c r="BO189" i="2"/>
  <c r="BN189" i="2"/>
  <c r="BM189" i="2"/>
  <c r="BL189" i="2"/>
  <c r="BK189" i="2"/>
  <c r="BJ189" i="2"/>
  <c r="BI189" i="2"/>
  <c r="BH189" i="2"/>
  <c r="BG189" i="2"/>
  <c r="BF189" i="2"/>
  <c r="BE189" i="2"/>
  <c r="BD189" i="2"/>
  <c r="BC189" i="2"/>
  <c r="BB189" i="2"/>
  <c r="BA189" i="2"/>
  <c r="AZ189" i="2"/>
  <c r="AY189" i="2"/>
  <c r="AX189" i="2"/>
  <c r="AW189" i="2"/>
  <c r="AV189" i="2"/>
  <c r="AU189" i="2"/>
  <c r="AT189" i="2"/>
  <c r="AS189" i="2"/>
  <c r="AR189" i="2"/>
  <c r="AQ189" i="2"/>
  <c r="AP189" i="2"/>
  <c r="AO189" i="2"/>
  <c r="AN189" i="2"/>
  <c r="AM189" i="2"/>
  <c r="AL189" i="2"/>
  <c r="AK189" i="2"/>
  <c r="AJ189" i="2"/>
  <c r="AI189" i="2"/>
  <c r="AH189" i="2"/>
  <c r="AG189" i="2"/>
  <c r="AF189" i="2"/>
  <c r="AE189" i="2"/>
  <c r="AD189" i="2"/>
  <c r="AC189" i="2"/>
  <c r="AB189" i="2"/>
  <c r="AA189" i="2"/>
  <c r="Z189" i="2"/>
  <c r="Y189" i="2"/>
  <c r="X189" i="2"/>
  <c r="W189" i="2"/>
  <c r="V189" i="2"/>
  <c r="U189" i="2"/>
  <c r="T189" i="2"/>
  <c r="S189" i="2"/>
  <c r="R189" i="2"/>
  <c r="Q189" i="2"/>
  <c r="P189" i="2"/>
  <c r="O189" i="2"/>
  <c r="N189" i="2"/>
  <c r="M189" i="2"/>
  <c r="L189" i="2"/>
  <c r="K189" i="2"/>
  <c r="J189" i="2"/>
  <c r="I189" i="2"/>
  <c r="H189" i="2"/>
  <c r="G189" i="2"/>
  <c r="F189" i="2"/>
  <c r="E189" i="2"/>
  <c r="D189" i="2"/>
  <c r="C189" i="2"/>
  <c r="B189" i="2"/>
  <c r="A189" i="2"/>
  <c r="FS186" i="2"/>
  <c r="FR186" i="2"/>
  <c r="FQ186" i="2"/>
  <c r="FP186" i="2"/>
  <c r="FO186" i="2"/>
  <c r="FN186" i="2"/>
  <c r="FM186" i="2"/>
  <c r="FL186" i="2"/>
  <c r="FK186" i="2"/>
  <c r="FJ186" i="2"/>
  <c r="FI186" i="2"/>
  <c r="FH186" i="2"/>
  <c r="FG186" i="2"/>
  <c r="FF186" i="2"/>
  <c r="FE186" i="2"/>
  <c r="FD186" i="2"/>
  <c r="FC186" i="2"/>
  <c r="FB186" i="2"/>
  <c r="FA186" i="2"/>
  <c r="EZ186" i="2"/>
  <c r="EY186" i="2"/>
  <c r="EX186" i="2"/>
  <c r="EW186" i="2"/>
  <c r="EV186" i="2"/>
  <c r="EU186" i="2"/>
  <c r="ET186" i="2"/>
  <c r="ES186" i="2"/>
  <c r="ER186" i="2"/>
  <c r="EQ186" i="2"/>
  <c r="EP186" i="2"/>
  <c r="EO186" i="2"/>
  <c r="EN186" i="2"/>
  <c r="EM186" i="2"/>
  <c r="EL186" i="2"/>
  <c r="EK186" i="2"/>
  <c r="EJ186" i="2"/>
  <c r="EI186" i="2"/>
  <c r="EH186" i="2"/>
  <c r="EG186" i="2"/>
  <c r="EF186" i="2"/>
  <c r="EE186" i="2"/>
  <c r="ED186" i="2"/>
  <c r="EC186" i="2"/>
  <c r="EB186" i="2"/>
  <c r="FS185" i="2"/>
  <c r="FR185" i="2"/>
  <c r="FQ185" i="2"/>
  <c r="FP185" i="2"/>
  <c r="FO185" i="2"/>
  <c r="FN185" i="2"/>
  <c r="FM185" i="2"/>
  <c r="FL185" i="2"/>
  <c r="FK185" i="2"/>
  <c r="FJ185" i="2"/>
  <c r="FI185" i="2"/>
  <c r="FH185" i="2"/>
  <c r="FG185" i="2"/>
  <c r="FF185" i="2"/>
  <c r="FE185" i="2"/>
  <c r="FD185" i="2"/>
  <c r="FC185" i="2"/>
  <c r="FB185" i="2"/>
  <c r="FA185" i="2"/>
  <c r="EZ185" i="2"/>
  <c r="EY185" i="2"/>
  <c r="EX185" i="2"/>
  <c r="EW185" i="2"/>
  <c r="EV185" i="2"/>
  <c r="EU185" i="2"/>
  <c r="ET185" i="2"/>
  <c r="ES185" i="2"/>
  <c r="ER185" i="2"/>
  <c r="EQ185" i="2"/>
  <c r="EP185" i="2"/>
  <c r="EO185" i="2"/>
  <c r="EN185" i="2"/>
  <c r="EM185" i="2"/>
  <c r="EL185" i="2"/>
  <c r="EK185" i="2"/>
  <c r="EJ185" i="2"/>
  <c r="EI185" i="2"/>
  <c r="EH185" i="2"/>
  <c r="EG185" i="2"/>
  <c r="EF185" i="2"/>
  <c r="EE185" i="2"/>
  <c r="ED185" i="2"/>
  <c r="EC185" i="2"/>
  <c r="EB185" i="2"/>
  <c r="FS184" i="2"/>
  <c r="FR184" i="2"/>
  <c r="FQ184" i="2"/>
  <c r="FP184" i="2"/>
  <c r="FO184" i="2"/>
  <c r="FN184" i="2"/>
  <c r="FM184" i="2"/>
  <c r="FL184" i="2"/>
  <c r="FK184" i="2"/>
  <c r="FJ184" i="2"/>
  <c r="FI184" i="2"/>
  <c r="FH184" i="2"/>
  <c r="FG184" i="2"/>
  <c r="FF184" i="2"/>
  <c r="FE184" i="2"/>
  <c r="FD184" i="2"/>
  <c r="FC184" i="2"/>
  <c r="FB184" i="2"/>
  <c r="FA184" i="2"/>
  <c r="EZ184" i="2"/>
  <c r="EY184" i="2"/>
  <c r="EX184" i="2"/>
  <c r="EW184" i="2"/>
  <c r="EV184" i="2"/>
  <c r="EU184" i="2"/>
  <c r="ET184" i="2"/>
  <c r="ES184" i="2"/>
  <c r="ER184" i="2"/>
  <c r="EQ184" i="2"/>
  <c r="EP184" i="2"/>
  <c r="EO184" i="2"/>
  <c r="EN184" i="2"/>
  <c r="EM184" i="2"/>
  <c r="EL184" i="2"/>
  <c r="EK184" i="2"/>
  <c r="EJ184" i="2"/>
  <c r="EI184" i="2"/>
  <c r="EH184" i="2"/>
  <c r="EG184" i="2"/>
  <c r="EF184" i="2"/>
  <c r="EE184" i="2"/>
  <c r="ED184" i="2"/>
  <c r="EC184" i="2"/>
  <c r="EB184" i="2"/>
  <c r="FS183" i="2"/>
  <c r="FR183" i="2"/>
  <c r="FQ183" i="2"/>
  <c r="FP183" i="2"/>
  <c r="FO183" i="2"/>
  <c r="FN183" i="2"/>
  <c r="FM183" i="2"/>
  <c r="FL183" i="2"/>
  <c r="FK183" i="2"/>
  <c r="FJ183" i="2"/>
  <c r="FI183" i="2"/>
  <c r="FH183" i="2"/>
  <c r="FG183" i="2"/>
  <c r="FF183" i="2"/>
  <c r="FE183" i="2"/>
  <c r="FD183" i="2"/>
  <c r="FC183" i="2"/>
  <c r="FB183" i="2"/>
  <c r="FA183" i="2"/>
  <c r="EZ183" i="2"/>
  <c r="EY183" i="2"/>
  <c r="EX183" i="2"/>
  <c r="EW183" i="2"/>
  <c r="EV183" i="2"/>
  <c r="EU183" i="2"/>
  <c r="ET183" i="2"/>
  <c r="ES183" i="2"/>
  <c r="ER183" i="2"/>
  <c r="EQ183" i="2"/>
  <c r="EP183" i="2"/>
  <c r="EO183" i="2"/>
  <c r="EN183" i="2"/>
  <c r="EM183" i="2"/>
  <c r="EL183" i="2"/>
  <c r="EK183" i="2"/>
  <c r="EJ183" i="2"/>
  <c r="EI183" i="2"/>
  <c r="EH183" i="2"/>
  <c r="EG183" i="2"/>
  <c r="EF183" i="2"/>
  <c r="EE183" i="2"/>
  <c r="ED183" i="2"/>
  <c r="EC183" i="2"/>
  <c r="EB183" i="2"/>
  <c r="FS182" i="2"/>
  <c r="FR182" i="2"/>
  <c r="FQ182" i="2"/>
  <c r="FP182" i="2"/>
  <c r="FO182" i="2"/>
  <c r="FN182" i="2"/>
  <c r="FM182" i="2"/>
  <c r="FL182" i="2"/>
  <c r="FK182" i="2"/>
  <c r="FJ182" i="2"/>
  <c r="FI182" i="2"/>
  <c r="FH182" i="2"/>
  <c r="FG182" i="2"/>
  <c r="FF182" i="2"/>
  <c r="FE182" i="2"/>
  <c r="FD182" i="2"/>
  <c r="FC182" i="2"/>
  <c r="FB182" i="2"/>
  <c r="FA182" i="2"/>
  <c r="EZ182" i="2"/>
  <c r="EY182" i="2"/>
  <c r="EX182" i="2"/>
  <c r="EW182" i="2"/>
  <c r="EV182" i="2"/>
  <c r="EU182" i="2"/>
  <c r="ET182" i="2"/>
  <c r="ES182" i="2"/>
  <c r="ER182" i="2"/>
  <c r="EQ182" i="2"/>
  <c r="EP182" i="2"/>
  <c r="EO182" i="2"/>
  <c r="EN182" i="2"/>
  <c r="EM182" i="2"/>
  <c r="EL182" i="2"/>
  <c r="EK182" i="2"/>
  <c r="EJ182" i="2"/>
  <c r="EI182" i="2"/>
  <c r="EH182" i="2"/>
  <c r="EG182" i="2"/>
  <c r="EF182" i="2"/>
  <c r="EE182" i="2"/>
  <c r="ED182" i="2"/>
  <c r="EC182" i="2"/>
  <c r="EB182" i="2"/>
  <c r="FS181" i="2"/>
  <c r="FR181" i="2"/>
  <c r="FQ181" i="2"/>
  <c r="FP181" i="2"/>
  <c r="FO181" i="2"/>
  <c r="FN181" i="2"/>
  <c r="FM181" i="2"/>
  <c r="FL181" i="2"/>
  <c r="FK181" i="2"/>
  <c r="FJ181" i="2"/>
  <c r="FI181" i="2"/>
  <c r="FH181" i="2"/>
  <c r="FG181" i="2"/>
  <c r="FF181" i="2"/>
  <c r="FE181" i="2"/>
  <c r="FD181" i="2"/>
  <c r="FC181" i="2"/>
  <c r="FB181" i="2"/>
  <c r="FA181" i="2"/>
  <c r="EZ181" i="2"/>
  <c r="EY181" i="2"/>
  <c r="EX181" i="2"/>
  <c r="EW181" i="2"/>
  <c r="EV181" i="2"/>
  <c r="EU181" i="2"/>
  <c r="ET181" i="2"/>
  <c r="ES181" i="2"/>
  <c r="ER181" i="2"/>
  <c r="EQ181" i="2"/>
  <c r="EP181" i="2"/>
  <c r="EO181" i="2"/>
  <c r="EN181" i="2"/>
  <c r="EM181" i="2"/>
  <c r="EL181" i="2"/>
  <c r="EK181" i="2"/>
  <c r="EJ181" i="2"/>
  <c r="EI181" i="2"/>
  <c r="EH181" i="2"/>
  <c r="EG181" i="2"/>
  <c r="EF181" i="2"/>
  <c r="EE181" i="2"/>
  <c r="ED181" i="2"/>
  <c r="EC181" i="2"/>
  <c r="EB181" i="2"/>
  <c r="FS180" i="2"/>
  <c r="FR180" i="2"/>
  <c r="FQ180" i="2"/>
  <c r="FP180" i="2"/>
  <c r="FO180" i="2"/>
  <c r="FN180" i="2"/>
  <c r="FM180" i="2"/>
  <c r="FL180" i="2"/>
  <c r="FK180" i="2"/>
  <c r="FJ180" i="2"/>
  <c r="FI180" i="2"/>
  <c r="FH180" i="2"/>
  <c r="FG180" i="2"/>
  <c r="FF180" i="2"/>
  <c r="FE180" i="2"/>
  <c r="FD180" i="2"/>
  <c r="FC180" i="2"/>
  <c r="FB180" i="2"/>
  <c r="FA180" i="2"/>
  <c r="EZ180" i="2"/>
  <c r="EY180" i="2"/>
  <c r="EX180" i="2"/>
  <c r="EW180" i="2"/>
  <c r="EV180" i="2"/>
  <c r="EU180" i="2"/>
  <c r="ET180" i="2"/>
  <c r="ES180" i="2"/>
  <c r="ER180" i="2"/>
  <c r="EQ180" i="2"/>
  <c r="EP180" i="2"/>
  <c r="EO180" i="2"/>
  <c r="EN180" i="2"/>
  <c r="EM180" i="2"/>
  <c r="EL180" i="2"/>
  <c r="EK180" i="2"/>
  <c r="EJ180" i="2"/>
  <c r="EI180" i="2"/>
  <c r="EH180" i="2"/>
  <c r="EG180" i="2"/>
  <c r="EF180" i="2"/>
  <c r="EE180" i="2"/>
  <c r="ED180" i="2"/>
  <c r="EC180" i="2"/>
  <c r="EB180" i="2"/>
  <c r="FS179" i="2"/>
  <c r="FR179" i="2"/>
  <c r="FQ179" i="2"/>
  <c r="FP179" i="2"/>
  <c r="FO179" i="2"/>
  <c r="FN179" i="2"/>
  <c r="FM179" i="2"/>
  <c r="FL179" i="2"/>
  <c r="FK179" i="2"/>
  <c r="FJ179" i="2"/>
  <c r="FI179" i="2"/>
  <c r="FH179" i="2"/>
  <c r="FG179" i="2"/>
  <c r="FF179" i="2"/>
  <c r="FE179" i="2"/>
  <c r="FD179" i="2"/>
  <c r="FC179" i="2"/>
  <c r="FB179" i="2"/>
  <c r="FA179" i="2"/>
  <c r="EZ179" i="2"/>
  <c r="EY179" i="2"/>
  <c r="EX179" i="2"/>
  <c r="EW179" i="2"/>
  <c r="EV179" i="2"/>
  <c r="EU179" i="2"/>
  <c r="ET179" i="2"/>
  <c r="ES179" i="2"/>
  <c r="ER179" i="2"/>
  <c r="EQ179" i="2"/>
  <c r="EP179" i="2"/>
  <c r="EO179" i="2"/>
  <c r="EN179" i="2"/>
  <c r="EM179" i="2"/>
  <c r="EL179" i="2"/>
  <c r="EK179" i="2"/>
  <c r="EJ179" i="2"/>
  <c r="EI179" i="2"/>
  <c r="EH179" i="2"/>
  <c r="EG179" i="2"/>
  <c r="EF179" i="2"/>
  <c r="EE179" i="2"/>
  <c r="ED179" i="2"/>
  <c r="EC179" i="2"/>
  <c r="EB179" i="2"/>
  <c r="DY186" i="2"/>
  <c r="DX186" i="2"/>
  <c r="DW186" i="2"/>
  <c r="DV186" i="2"/>
  <c r="DU186" i="2"/>
  <c r="DT186" i="2"/>
  <c r="DS186" i="2"/>
  <c r="DR186" i="2"/>
  <c r="DQ186" i="2"/>
  <c r="DP186" i="2"/>
  <c r="DO186" i="2"/>
  <c r="DN186" i="2"/>
  <c r="DM186" i="2"/>
  <c r="DL186" i="2"/>
  <c r="DK186" i="2"/>
  <c r="DJ186" i="2"/>
  <c r="DI186" i="2"/>
  <c r="DH186" i="2"/>
  <c r="DG186" i="2"/>
  <c r="DF186" i="2"/>
  <c r="DE186" i="2"/>
  <c r="DD186" i="2"/>
  <c r="DC186" i="2"/>
  <c r="DB186" i="2"/>
  <c r="DA186" i="2"/>
  <c r="CZ186" i="2"/>
  <c r="CY186" i="2"/>
  <c r="CX186" i="2"/>
  <c r="CW186" i="2"/>
  <c r="CV186" i="2"/>
  <c r="CU186" i="2"/>
  <c r="CT186" i="2"/>
  <c r="CS186" i="2"/>
  <c r="CR186" i="2"/>
  <c r="CQ186" i="2"/>
  <c r="CP186" i="2"/>
  <c r="CO186" i="2"/>
  <c r="CN186" i="2"/>
  <c r="CM186" i="2"/>
  <c r="CL186" i="2"/>
  <c r="CK186" i="2"/>
  <c r="CJ186" i="2"/>
  <c r="CI186" i="2"/>
  <c r="CH186" i="2"/>
  <c r="CG186" i="2"/>
  <c r="CF186" i="2"/>
  <c r="CE186" i="2"/>
  <c r="CD186" i="2"/>
  <c r="CC186" i="2"/>
  <c r="CB186" i="2"/>
  <c r="CA186" i="2"/>
  <c r="BZ186" i="2"/>
  <c r="BY186" i="2"/>
  <c r="BX186" i="2"/>
  <c r="BW186" i="2"/>
  <c r="BV186" i="2"/>
  <c r="BU186" i="2"/>
  <c r="BT186" i="2"/>
  <c r="BS186" i="2"/>
  <c r="BR186" i="2"/>
  <c r="BQ186" i="2"/>
  <c r="BP186" i="2"/>
  <c r="BO186" i="2"/>
  <c r="BN186" i="2"/>
  <c r="BM186" i="2"/>
  <c r="BL186" i="2"/>
  <c r="BK186" i="2"/>
  <c r="BJ186" i="2"/>
  <c r="BI186" i="2"/>
  <c r="BH186" i="2"/>
  <c r="BG186" i="2"/>
  <c r="BF186" i="2"/>
  <c r="BE186" i="2"/>
  <c r="BD186" i="2"/>
  <c r="BC186" i="2"/>
  <c r="BB186" i="2"/>
  <c r="BA186" i="2"/>
  <c r="AZ186" i="2"/>
  <c r="AY186" i="2"/>
  <c r="AX186" i="2"/>
  <c r="AW186" i="2"/>
  <c r="AV186" i="2"/>
  <c r="AU186" i="2"/>
  <c r="AT186" i="2"/>
  <c r="AS186" i="2"/>
  <c r="AR186" i="2"/>
  <c r="AQ186" i="2"/>
  <c r="AP186" i="2"/>
  <c r="AO186" i="2"/>
  <c r="AN186" i="2"/>
  <c r="AM186" i="2"/>
  <c r="AL186" i="2"/>
  <c r="AK186" i="2"/>
  <c r="AJ186" i="2"/>
  <c r="AI186" i="2"/>
  <c r="AH186" i="2"/>
  <c r="AG186" i="2"/>
  <c r="AF186" i="2"/>
  <c r="AE186" i="2"/>
  <c r="AD186" i="2"/>
  <c r="AC186" i="2"/>
  <c r="AB186" i="2"/>
  <c r="AA186" i="2"/>
  <c r="Z186" i="2"/>
  <c r="Y186" i="2"/>
  <c r="X186" i="2"/>
  <c r="W186" i="2"/>
  <c r="V186" i="2"/>
  <c r="U186" i="2"/>
  <c r="T186" i="2"/>
  <c r="S186" i="2"/>
  <c r="R186" i="2"/>
  <c r="Q186" i="2"/>
  <c r="P186" i="2"/>
  <c r="O186" i="2"/>
  <c r="N186" i="2"/>
  <c r="M186" i="2"/>
  <c r="L186" i="2"/>
  <c r="K186" i="2"/>
  <c r="J186" i="2"/>
  <c r="I186" i="2"/>
  <c r="H186" i="2"/>
  <c r="G186" i="2"/>
  <c r="F186" i="2"/>
  <c r="E186" i="2"/>
  <c r="D186" i="2"/>
  <c r="C186" i="2"/>
  <c r="B186" i="2"/>
  <c r="A186" i="2"/>
  <c r="DY185" i="2"/>
  <c r="DX185" i="2"/>
  <c r="DW185" i="2"/>
  <c r="DV185" i="2"/>
  <c r="DU185" i="2"/>
  <c r="DT185" i="2"/>
  <c r="DS185" i="2"/>
  <c r="DR185" i="2"/>
  <c r="DQ185" i="2"/>
  <c r="DP185" i="2"/>
  <c r="DO185" i="2"/>
  <c r="DN185" i="2"/>
  <c r="DM185" i="2"/>
  <c r="DL185" i="2"/>
  <c r="DK185" i="2"/>
  <c r="DJ185" i="2"/>
  <c r="DI185" i="2"/>
  <c r="DH185" i="2"/>
  <c r="DG185" i="2"/>
  <c r="DF185" i="2"/>
  <c r="DE185" i="2"/>
  <c r="DD185" i="2"/>
  <c r="DC185" i="2"/>
  <c r="DB185" i="2"/>
  <c r="DA185" i="2"/>
  <c r="CZ185" i="2"/>
  <c r="CY185" i="2"/>
  <c r="CX185" i="2"/>
  <c r="CW185" i="2"/>
  <c r="CV185" i="2"/>
  <c r="CU185" i="2"/>
  <c r="CT185" i="2"/>
  <c r="CS185" i="2"/>
  <c r="CR185" i="2"/>
  <c r="CQ185" i="2"/>
  <c r="CP185" i="2"/>
  <c r="CO185" i="2"/>
  <c r="CN185" i="2"/>
  <c r="CM185" i="2"/>
  <c r="CL185" i="2"/>
  <c r="CK185" i="2"/>
  <c r="CJ185" i="2"/>
  <c r="CI185" i="2"/>
  <c r="CH185" i="2"/>
  <c r="CG185" i="2"/>
  <c r="CF185" i="2"/>
  <c r="CE185" i="2"/>
  <c r="CD185" i="2"/>
  <c r="CC185" i="2"/>
  <c r="CB185" i="2"/>
  <c r="CA185" i="2"/>
  <c r="BZ185" i="2"/>
  <c r="BY185" i="2"/>
  <c r="BX185" i="2"/>
  <c r="BW185" i="2"/>
  <c r="BV185" i="2"/>
  <c r="BU185" i="2"/>
  <c r="BT185" i="2"/>
  <c r="BS185" i="2"/>
  <c r="BR185" i="2"/>
  <c r="BQ185" i="2"/>
  <c r="BP185" i="2"/>
  <c r="BO185" i="2"/>
  <c r="BN185" i="2"/>
  <c r="BM185" i="2"/>
  <c r="BL185" i="2"/>
  <c r="BK185" i="2"/>
  <c r="BJ185" i="2"/>
  <c r="BI185" i="2"/>
  <c r="BH185" i="2"/>
  <c r="BG185" i="2"/>
  <c r="BF185" i="2"/>
  <c r="BE185" i="2"/>
  <c r="BD185" i="2"/>
  <c r="BC185" i="2"/>
  <c r="BB185" i="2"/>
  <c r="BA185" i="2"/>
  <c r="AZ185" i="2"/>
  <c r="AY185" i="2"/>
  <c r="AX185" i="2"/>
  <c r="AW185" i="2"/>
  <c r="AV185" i="2"/>
  <c r="AU185" i="2"/>
  <c r="AT185" i="2"/>
  <c r="AS185" i="2"/>
  <c r="AR185" i="2"/>
  <c r="AQ185" i="2"/>
  <c r="AP185" i="2"/>
  <c r="AO185" i="2"/>
  <c r="AN185" i="2"/>
  <c r="AM185" i="2"/>
  <c r="AL185" i="2"/>
  <c r="AK185" i="2"/>
  <c r="AJ185" i="2"/>
  <c r="AI185" i="2"/>
  <c r="AH185" i="2"/>
  <c r="AG185" i="2"/>
  <c r="AF185" i="2"/>
  <c r="AE185" i="2"/>
  <c r="AD185" i="2"/>
  <c r="AC185" i="2"/>
  <c r="AB185" i="2"/>
  <c r="AA185" i="2"/>
  <c r="Z185" i="2"/>
  <c r="Y185" i="2"/>
  <c r="X185" i="2"/>
  <c r="W185" i="2"/>
  <c r="V185" i="2"/>
  <c r="U185" i="2"/>
  <c r="T185" i="2"/>
  <c r="S185" i="2"/>
  <c r="R185" i="2"/>
  <c r="Q185" i="2"/>
  <c r="P185" i="2"/>
  <c r="O185" i="2"/>
  <c r="N185" i="2"/>
  <c r="M185" i="2"/>
  <c r="L185" i="2"/>
  <c r="K185" i="2"/>
  <c r="J185" i="2"/>
  <c r="I185" i="2"/>
  <c r="H185" i="2"/>
  <c r="G185" i="2"/>
  <c r="F185" i="2"/>
  <c r="E185" i="2"/>
  <c r="D185" i="2"/>
  <c r="C185" i="2"/>
  <c r="B185" i="2"/>
  <c r="A185" i="2"/>
  <c r="DY184" i="2"/>
  <c r="DX184" i="2"/>
  <c r="DW184" i="2"/>
  <c r="DV184" i="2"/>
  <c r="DU184" i="2"/>
  <c r="DT184" i="2"/>
  <c r="DS184" i="2"/>
  <c r="DR184" i="2"/>
  <c r="DQ184" i="2"/>
  <c r="DP184" i="2"/>
  <c r="DO184" i="2"/>
  <c r="DN184" i="2"/>
  <c r="DM184" i="2"/>
  <c r="DL184" i="2"/>
  <c r="DK184" i="2"/>
  <c r="DJ184" i="2"/>
  <c r="DI184" i="2"/>
  <c r="DH184" i="2"/>
  <c r="DG184" i="2"/>
  <c r="DF184" i="2"/>
  <c r="DE184" i="2"/>
  <c r="DD184" i="2"/>
  <c r="DC184" i="2"/>
  <c r="DB184" i="2"/>
  <c r="DA184" i="2"/>
  <c r="CZ184" i="2"/>
  <c r="CY184" i="2"/>
  <c r="CX184" i="2"/>
  <c r="CW184" i="2"/>
  <c r="CV184" i="2"/>
  <c r="CU184" i="2"/>
  <c r="CT184" i="2"/>
  <c r="CS184" i="2"/>
  <c r="CR184" i="2"/>
  <c r="CQ184" i="2"/>
  <c r="CP184" i="2"/>
  <c r="CO184" i="2"/>
  <c r="CN184" i="2"/>
  <c r="CM184" i="2"/>
  <c r="CL184" i="2"/>
  <c r="CK184" i="2"/>
  <c r="CJ184" i="2"/>
  <c r="CI184" i="2"/>
  <c r="CH184" i="2"/>
  <c r="CG184" i="2"/>
  <c r="CF184" i="2"/>
  <c r="CE184" i="2"/>
  <c r="CD184" i="2"/>
  <c r="CC184" i="2"/>
  <c r="CB184" i="2"/>
  <c r="CA184" i="2"/>
  <c r="BZ184" i="2"/>
  <c r="BY184" i="2"/>
  <c r="BX184" i="2"/>
  <c r="BW184" i="2"/>
  <c r="BV184" i="2"/>
  <c r="BU184" i="2"/>
  <c r="BT184" i="2"/>
  <c r="BS184" i="2"/>
  <c r="BR184" i="2"/>
  <c r="BQ184" i="2"/>
  <c r="BP184" i="2"/>
  <c r="BO184" i="2"/>
  <c r="BN184" i="2"/>
  <c r="BM184" i="2"/>
  <c r="BL184" i="2"/>
  <c r="BK184" i="2"/>
  <c r="BJ184" i="2"/>
  <c r="BI184" i="2"/>
  <c r="BH184" i="2"/>
  <c r="BG184" i="2"/>
  <c r="BF184" i="2"/>
  <c r="BE184" i="2"/>
  <c r="BD184" i="2"/>
  <c r="BC184" i="2"/>
  <c r="BB184" i="2"/>
  <c r="BA184" i="2"/>
  <c r="AZ184" i="2"/>
  <c r="AY184" i="2"/>
  <c r="AX184" i="2"/>
  <c r="AW184" i="2"/>
  <c r="AV184" i="2"/>
  <c r="AU184" i="2"/>
  <c r="AT184" i="2"/>
  <c r="AS184" i="2"/>
  <c r="AR184" i="2"/>
  <c r="AQ184" i="2"/>
  <c r="AP184" i="2"/>
  <c r="AO184" i="2"/>
  <c r="AN184" i="2"/>
  <c r="AM184" i="2"/>
  <c r="AL184" i="2"/>
  <c r="AK184" i="2"/>
  <c r="AJ184" i="2"/>
  <c r="AI184" i="2"/>
  <c r="AH184" i="2"/>
  <c r="AG184" i="2"/>
  <c r="AF184" i="2"/>
  <c r="AE184" i="2"/>
  <c r="AD184" i="2"/>
  <c r="AC184" i="2"/>
  <c r="AB184" i="2"/>
  <c r="AA184" i="2"/>
  <c r="Z184" i="2"/>
  <c r="Y184" i="2"/>
  <c r="X184" i="2"/>
  <c r="W184" i="2"/>
  <c r="V184" i="2"/>
  <c r="U184" i="2"/>
  <c r="T184" i="2"/>
  <c r="S184" i="2"/>
  <c r="R184" i="2"/>
  <c r="Q184" i="2"/>
  <c r="P184" i="2"/>
  <c r="O184" i="2"/>
  <c r="N184" i="2"/>
  <c r="M184" i="2"/>
  <c r="L184" i="2"/>
  <c r="K184" i="2"/>
  <c r="J184" i="2"/>
  <c r="I184" i="2"/>
  <c r="H184" i="2"/>
  <c r="G184" i="2"/>
  <c r="F184" i="2"/>
  <c r="E184" i="2"/>
  <c r="D184" i="2"/>
  <c r="C184" i="2"/>
  <c r="B184" i="2"/>
  <c r="A184" i="2"/>
  <c r="DY183" i="2"/>
  <c r="DX183" i="2"/>
  <c r="DW183" i="2"/>
  <c r="DV183" i="2"/>
  <c r="DU183" i="2"/>
  <c r="DT183" i="2"/>
  <c r="DS183" i="2"/>
  <c r="DR183" i="2"/>
  <c r="DQ183" i="2"/>
  <c r="DP183" i="2"/>
  <c r="DO183" i="2"/>
  <c r="DN183" i="2"/>
  <c r="DM183" i="2"/>
  <c r="DL183" i="2"/>
  <c r="DK183" i="2"/>
  <c r="DJ183" i="2"/>
  <c r="DI183" i="2"/>
  <c r="DH183" i="2"/>
  <c r="DG183" i="2"/>
  <c r="DF183" i="2"/>
  <c r="DE183" i="2"/>
  <c r="DD183" i="2"/>
  <c r="DC183" i="2"/>
  <c r="DB183" i="2"/>
  <c r="DA183" i="2"/>
  <c r="CZ183" i="2"/>
  <c r="CY183" i="2"/>
  <c r="CX183" i="2"/>
  <c r="CW183" i="2"/>
  <c r="CV183" i="2"/>
  <c r="CU183" i="2"/>
  <c r="CT183" i="2"/>
  <c r="CS183" i="2"/>
  <c r="CR183" i="2"/>
  <c r="CQ183" i="2"/>
  <c r="CP183" i="2"/>
  <c r="CO183" i="2"/>
  <c r="CN183" i="2"/>
  <c r="CM183" i="2"/>
  <c r="CL183" i="2"/>
  <c r="CK183" i="2"/>
  <c r="CJ183" i="2"/>
  <c r="CI183" i="2"/>
  <c r="CH183" i="2"/>
  <c r="CG183" i="2"/>
  <c r="CF183" i="2"/>
  <c r="CE183" i="2"/>
  <c r="CD183" i="2"/>
  <c r="CC183" i="2"/>
  <c r="CB183" i="2"/>
  <c r="CA183" i="2"/>
  <c r="BZ183" i="2"/>
  <c r="BY183" i="2"/>
  <c r="BX183" i="2"/>
  <c r="BW183" i="2"/>
  <c r="BV183" i="2"/>
  <c r="BU183" i="2"/>
  <c r="BT183" i="2"/>
  <c r="BS183" i="2"/>
  <c r="BR183" i="2"/>
  <c r="BQ183" i="2"/>
  <c r="BP183" i="2"/>
  <c r="BO183" i="2"/>
  <c r="BN183" i="2"/>
  <c r="BM183" i="2"/>
  <c r="BL183" i="2"/>
  <c r="BK183" i="2"/>
  <c r="BJ183" i="2"/>
  <c r="BI183" i="2"/>
  <c r="BH183" i="2"/>
  <c r="BG183" i="2"/>
  <c r="BF183" i="2"/>
  <c r="BE183" i="2"/>
  <c r="BD183" i="2"/>
  <c r="BC183" i="2"/>
  <c r="BB183" i="2"/>
  <c r="BA183" i="2"/>
  <c r="AZ183" i="2"/>
  <c r="AY183" i="2"/>
  <c r="AX183" i="2"/>
  <c r="AW183" i="2"/>
  <c r="AV183" i="2"/>
  <c r="AU183" i="2"/>
  <c r="AT183" i="2"/>
  <c r="AS183" i="2"/>
  <c r="AR183" i="2"/>
  <c r="AQ183" i="2"/>
  <c r="AP183" i="2"/>
  <c r="AO183" i="2"/>
  <c r="AN183" i="2"/>
  <c r="AM183" i="2"/>
  <c r="AL183" i="2"/>
  <c r="AK183" i="2"/>
  <c r="AJ183" i="2"/>
  <c r="AI183" i="2"/>
  <c r="AH183" i="2"/>
  <c r="AG183" i="2"/>
  <c r="AF183" i="2"/>
  <c r="AE183" i="2"/>
  <c r="AD183" i="2"/>
  <c r="AC183" i="2"/>
  <c r="AB183" i="2"/>
  <c r="AA183" i="2"/>
  <c r="Z183" i="2"/>
  <c r="Y183" i="2"/>
  <c r="X183" i="2"/>
  <c r="W183" i="2"/>
  <c r="V183" i="2"/>
  <c r="U183" i="2"/>
  <c r="T183" i="2"/>
  <c r="S183" i="2"/>
  <c r="R183" i="2"/>
  <c r="Q183" i="2"/>
  <c r="P183" i="2"/>
  <c r="O183" i="2"/>
  <c r="N183" i="2"/>
  <c r="M183" i="2"/>
  <c r="L183" i="2"/>
  <c r="K183" i="2"/>
  <c r="J183" i="2"/>
  <c r="I183" i="2"/>
  <c r="H183" i="2"/>
  <c r="G183" i="2"/>
  <c r="F183" i="2"/>
  <c r="E183" i="2"/>
  <c r="D183" i="2"/>
  <c r="C183" i="2"/>
  <c r="B183" i="2"/>
  <c r="A183" i="2"/>
  <c r="DY182" i="2"/>
  <c r="DX182" i="2"/>
  <c r="DW182" i="2"/>
  <c r="DV182" i="2"/>
  <c r="DU182" i="2"/>
  <c r="DT182" i="2"/>
  <c r="DS182" i="2"/>
  <c r="DR182" i="2"/>
  <c r="DQ182" i="2"/>
  <c r="DP182" i="2"/>
  <c r="DO182" i="2"/>
  <c r="DN182" i="2"/>
  <c r="DM182" i="2"/>
  <c r="DL182" i="2"/>
  <c r="DK182" i="2"/>
  <c r="DJ182" i="2"/>
  <c r="DI182" i="2"/>
  <c r="DH182" i="2"/>
  <c r="DG182" i="2"/>
  <c r="DF182" i="2"/>
  <c r="DE182" i="2"/>
  <c r="DD182" i="2"/>
  <c r="DC182" i="2"/>
  <c r="DB182" i="2"/>
  <c r="DA182" i="2"/>
  <c r="CZ182" i="2"/>
  <c r="CY182" i="2"/>
  <c r="CX182" i="2"/>
  <c r="CW182" i="2"/>
  <c r="CV182" i="2"/>
  <c r="CU182" i="2"/>
  <c r="CT182" i="2"/>
  <c r="CS182" i="2"/>
  <c r="CR182" i="2"/>
  <c r="CQ182" i="2"/>
  <c r="CP182" i="2"/>
  <c r="CO182" i="2"/>
  <c r="CN182" i="2"/>
  <c r="CM182" i="2"/>
  <c r="CL182" i="2"/>
  <c r="CK182" i="2"/>
  <c r="CJ182" i="2"/>
  <c r="CI182" i="2"/>
  <c r="CH182" i="2"/>
  <c r="CG182" i="2"/>
  <c r="CF182" i="2"/>
  <c r="CE182" i="2"/>
  <c r="CD182" i="2"/>
  <c r="CC182" i="2"/>
  <c r="CB182" i="2"/>
  <c r="CA182" i="2"/>
  <c r="BZ182" i="2"/>
  <c r="BY182" i="2"/>
  <c r="BX182" i="2"/>
  <c r="BW182" i="2"/>
  <c r="BV182" i="2"/>
  <c r="BU182" i="2"/>
  <c r="BT182" i="2"/>
  <c r="BS182" i="2"/>
  <c r="BR182" i="2"/>
  <c r="BQ182" i="2"/>
  <c r="BP182" i="2"/>
  <c r="BO182" i="2"/>
  <c r="BN182" i="2"/>
  <c r="BM182" i="2"/>
  <c r="BL182" i="2"/>
  <c r="BK182" i="2"/>
  <c r="BJ182" i="2"/>
  <c r="BI182" i="2"/>
  <c r="BH182" i="2"/>
  <c r="BG182" i="2"/>
  <c r="BF182" i="2"/>
  <c r="BE182" i="2"/>
  <c r="BD182" i="2"/>
  <c r="BC182" i="2"/>
  <c r="BB182" i="2"/>
  <c r="BA182" i="2"/>
  <c r="AZ182" i="2"/>
  <c r="AY182" i="2"/>
  <c r="AX182" i="2"/>
  <c r="AW182" i="2"/>
  <c r="AV182" i="2"/>
  <c r="AU182" i="2"/>
  <c r="AT182" i="2"/>
  <c r="AS182" i="2"/>
  <c r="AR182" i="2"/>
  <c r="AQ182" i="2"/>
  <c r="AP182" i="2"/>
  <c r="AO182" i="2"/>
  <c r="AN182" i="2"/>
  <c r="AM182" i="2"/>
  <c r="AL182" i="2"/>
  <c r="AK182" i="2"/>
  <c r="AJ182" i="2"/>
  <c r="AI182" i="2"/>
  <c r="AH182" i="2"/>
  <c r="AG182" i="2"/>
  <c r="AF182" i="2"/>
  <c r="AE182" i="2"/>
  <c r="AD182" i="2"/>
  <c r="AC182" i="2"/>
  <c r="AB182" i="2"/>
  <c r="AA182" i="2"/>
  <c r="Z182" i="2"/>
  <c r="Y182" i="2"/>
  <c r="X182" i="2"/>
  <c r="W182" i="2"/>
  <c r="V182" i="2"/>
  <c r="U182" i="2"/>
  <c r="T182" i="2"/>
  <c r="S182" i="2"/>
  <c r="R182" i="2"/>
  <c r="Q182" i="2"/>
  <c r="P182" i="2"/>
  <c r="O182" i="2"/>
  <c r="N182" i="2"/>
  <c r="M182" i="2"/>
  <c r="L182" i="2"/>
  <c r="K182" i="2"/>
  <c r="J182" i="2"/>
  <c r="I182" i="2"/>
  <c r="H182" i="2"/>
  <c r="G182" i="2"/>
  <c r="F182" i="2"/>
  <c r="E182" i="2"/>
  <c r="D182" i="2"/>
  <c r="C182" i="2"/>
  <c r="B182" i="2"/>
  <c r="A182" i="2"/>
  <c r="DY181" i="2"/>
  <c r="DX181" i="2"/>
  <c r="DW181" i="2"/>
  <c r="DV181" i="2"/>
  <c r="DU181" i="2"/>
  <c r="DT181" i="2"/>
  <c r="DS181" i="2"/>
  <c r="DR181" i="2"/>
  <c r="DQ181" i="2"/>
  <c r="DP181" i="2"/>
  <c r="DO181" i="2"/>
  <c r="DN181" i="2"/>
  <c r="DM181" i="2"/>
  <c r="DL181" i="2"/>
  <c r="DK181" i="2"/>
  <c r="DJ181" i="2"/>
  <c r="DI181" i="2"/>
  <c r="DH181" i="2"/>
  <c r="DG181" i="2"/>
  <c r="DF181" i="2"/>
  <c r="DE181" i="2"/>
  <c r="DD181" i="2"/>
  <c r="DC181" i="2"/>
  <c r="DB181" i="2"/>
  <c r="DA181" i="2"/>
  <c r="CZ181" i="2"/>
  <c r="CY181" i="2"/>
  <c r="CX181" i="2"/>
  <c r="CW181" i="2"/>
  <c r="CV181" i="2"/>
  <c r="CU181" i="2"/>
  <c r="CT181" i="2"/>
  <c r="CS181" i="2"/>
  <c r="CR181" i="2"/>
  <c r="CQ181" i="2"/>
  <c r="CP181" i="2"/>
  <c r="CO181" i="2"/>
  <c r="CN181" i="2"/>
  <c r="CM181" i="2"/>
  <c r="CL181" i="2"/>
  <c r="CK181" i="2"/>
  <c r="CJ181" i="2"/>
  <c r="CI181" i="2"/>
  <c r="CH181" i="2"/>
  <c r="CG181" i="2"/>
  <c r="CF181" i="2"/>
  <c r="CE181" i="2"/>
  <c r="CD181" i="2"/>
  <c r="CC181" i="2"/>
  <c r="CB181" i="2"/>
  <c r="CA181" i="2"/>
  <c r="BZ181" i="2"/>
  <c r="BY181" i="2"/>
  <c r="BX181" i="2"/>
  <c r="BW181" i="2"/>
  <c r="BV181" i="2"/>
  <c r="BU181" i="2"/>
  <c r="BT181" i="2"/>
  <c r="BS181" i="2"/>
  <c r="BR181" i="2"/>
  <c r="BQ181" i="2"/>
  <c r="BP181" i="2"/>
  <c r="BO181" i="2"/>
  <c r="BN181" i="2"/>
  <c r="BM181" i="2"/>
  <c r="BL181" i="2"/>
  <c r="BK181" i="2"/>
  <c r="BJ181" i="2"/>
  <c r="BI181" i="2"/>
  <c r="BH181" i="2"/>
  <c r="BG181" i="2"/>
  <c r="BF181" i="2"/>
  <c r="BE181" i="2"/>
  <c r="BD181" i="2"/>
  <c r="BC181" i="2"/>
  <c r="BB181" i="2"/>
  <c r="BA181" i="2"/>
  <c r="AZ181" i="2"/>
  <c r="AY181" i="2"/>
  <c r="AX181" i="2"/>
  <c r="AW181" i="2"/>
  <c r="AV181" i="2"/>
  <c r="AU181" i="2"/>
  <c r="AT181" i="2"/>
  <c r="AS181" i="2"/>
  <c r="AR181" i="2"/>
  <c r="AQ181" i="2"/>
  <c r="AP181" i="2"/>
  <c r="AO181" i="2"/>
  <c r="AN181" i="2"/>
  <c r="AM181" i="2"/>
  <c r="AL181" i="2"/>
  <c r="AK181" i="2"/>
  <c r="AJ181" i="2"/>
  <c r="AI181" i="2"/>
  <c r="AH181" i="2"/>
  <c r="AG181" i="2"/>
  <c r="AF181" i="2"/>
  <c r="AE181" i="2"/>
  <c r="AD181" i="2"/>
  <c r="AC181" i="2"/>
  <c r="AB181" i="2"/>
  <c r="AA181" i="2"/>
  <c r="Z181" i="2"/>
  <c r="Y181" i="2"/>
  <c r="X181" i="2"/>
  <c r="W181" i="2"/>
  <c r="V181" i="2"/>
  <c r="U181" i="2"/>
  <c r="T181" i="2"/>
  <c r="S181" i="2"/>
  <c r="R181" i="2"/>
  <c r="Q181" i="2"/>
  <c r="P181" i="2"/>
  <c r="O181" i="2"/>
  <c r="N181" i="2"/>
  <c r="M181" i="2"/>
  <c r="L181" i="2"/>
  <c r="K181" i="2"/>
  <c r="J181" i="2"/>
  <c r="I181" i="2"/>
  <c r="H181" i="2"/>
  <c r="G181" i="2"/>
  <c r="F181" i="2"/>
  <c r="E181" i="2"/>
  <c r="D181" i="2"/>
  <c r="C181" i="2"/>
  <c r="B181" i="2"/>
  <c r="A181" i="2"/>
  <c r="DY180" i="2"/>
  <c r="DX180" i="2"/>
  <c r="DW180" i="2"/>
  <c r="DV180" i="2"/>
  <c r="DU180" i="2"/>
  <c r="DT180" i="2"/>
  <c r="DS180" i="2"/>
  <c r="DR180" i="2"/>
  <c r="DQ180" i="2"/>
  <c r="DP180" i="2"/>
  <c r="DO180" i="2"/>
  <c r="DN180" i="2"/>
  <c r="DM180" i="2"/>
  <c r="DL180" i="2"/>
  <c r="DK180" i="2"/>
  <c r="DJ180" i="2"/>
  <c r="DI180" i="2"/>
  <c r="DH180" i="2"/>
  <c r="DG180" i="2"/>
  <c r="DF180" i="2"/>
  <c r="DE180" i="2"/>
  <c r="DD180" i="2"/>
  <c r="DC180" i="2"/>
  <c r="DB180" i="2"/>
  <c r="DA180" i="2"/>
  <c r="CZ180" i="2"/>
  <c r="CY180" i="2"/>
  <c r="CX180" i="2"/>
  <c r="CW180" i="2"/>
  <c r="CV180" i="2"/>
  <c r="CU180" i="2"/>
  <c r="CT180" i="2"/>
  <c r="CS180" i="2"/>
  <c r="CR180" i="2"/>
  <c r="CQ180" i="2"/>
  <c r="CP180" i="2"/>
  <c r="CO180" i="2"/>
  <c r="CN180" i="2"/>
  <c r="CM180" i="2"/>
  <c r="CL180" i="2"/>
  <c r="CK180" i="2"/>
  <c r="CJ180" i="2"/>
  <c r="CI180" i="2"/>
  <c r="CH180" i="2"/>
  <c r="CG180" i="2"/>
  <c r="CF180" i="2"/>
  <c r="CE180" i="2"/>
  <c r="CD180" i="2"/>
  <c r="CC180" i="2"/>
  <c r="CB180" i="2"/>
  <c r="CA180" i="2"/>
  <c r="BZ180" i="2"/>
  <c r="BY180" i="2"/>
  <c r="BX180" i="2"/>
  <c r="BW180" i="2"/>
  <c r="BV180" i="2"/>
  <c r="BU180" i="2"/>
  <c r="BT180" i="2"/>
  <c r="BS180" i="2"/>
  <c r="BR180" i="2"/>
  <c r="BQ180" i="2"/>
  <c r="BP180" i="2"/>
  <c r="BO180" i="2"/>
  <c r="BN180" i="2"/>
  <c r="BM180" i="2"/>
  <c r="BL180" i="2"/>
  <c r="BK180" i="2"/>
  <c r="BJ180" i="2"/>
  <c r="BI180" i="2"/>
  <c r="BH180" i="2"/>
  <c r="BG180" i="2"/>
  <c r="BF180" i="2"/>
  <c r="BE180" i="2"/>
  <c r="BD180" i="2"/>
  <c r="BC180" i="2"/>
  <c r="BB180" i="2"/>
  <c r="BA180" i="2"/>
  <c r="AZ180" i="2"/>
  <c r="AY180" i="2"/>
  <c r="AX180" i="2"/>
  <c r="AW180" i="2"/>
  <c r="AV180" i="2"/>
  <c r="AU180" i="2"/>
  <c r="AT180" i="2"/>
  <c r="AS180" i="2"/>
  <c r="AR180" i="2"/>
  <c r="AQ180" i="2"/>
  <c r="AP180" i="2"/>
  <c r="AO180" i="2"/>
  <c r="AN180" i="2"/>
  <c r="AM180" i="2"/>
  <c r="AL180" i="2"/>
  <c r="AK180" i="2"/>
  <c r="AJ180" i="2"/>
  <c r="AI180" i="2"/>
  <c r="AH180" i="2"/>
  <c r="AG180" i="2"/>
  <c r="AF180" i="2"/>
  <c r="AE180" i="2"/>
  <c r="AD180" i="2"/>
  <c r="AC180" i="2"/>
  <c r="AB180" i="2"/>
  <c r="AA180" i="2"/>
  <c r="Z180" i="2"/>
  <c r="Y180" i="2"/>
  <c r="X180" i="2"/>
  <c r="W180" i="2"/>
  <c r="V180" i="2"/>
  <c r="U180" i="2"/>
  <c r="T180" i="2"/>
  <c r="S180" i="2"/>
  <c r="R180" i="2"/>
  <c r="Q180" i="2"/>
  <c r="P180" i="2"/>
  <c r="O180" i="2"/>
  <c r="N180" i="2"/>
  <c r="M180" i="2"/>
  <c r="L180" i="2"/>
  <c r="K180" i="2"/>
  <c r="J180" i="2"/>
  <c r="I180" i="2"/>
  <c r="H180" i="2"/>
  <c r="G180" i="2"/>
  <c r="F180" i="2"/>
  <c r="E180" i="2"/>
  <c r="D180" i="2"/>
  <c r="C180" i="2"/>
  <c r="B180" i="2"/>
  <c r="A180" i="2"/>
  <c r="DY179" i="2"/>
  <c r="DX179" i="2"/>
  <c r="DW179" i="2"/>
  <c r="DV179" i="2"/>
  <c r="DU179" i="2"/>
  <c r="DT179" i="2"/>
  <c r="DS179" i="2"/>
  <c r="DR179" i="2"/>
  <c r="DQ179" i="2"/>
  <c r="DP179" i="2"/>
  <c r="DO179" i="2"/>
  <c r="DN179" i="2"/>
  <c r="DM179" i="2"/>
  <c r="DL179" i="2"/>
  <c r="DK179" i="2"/>
  <c r="DJ179" i="2"/>
  <c r="DI179" i="2"/>
  <c r="DH179" i="2"/>
  <c r="DG179" i="2"/>
  <c r="DF179" i="2"/>
  <c r="DE179" i="2"/>
  <c r="DD179" i="2"/>
  <c r="DC179" i="2"/>
  <c r="DB179" i="2"/>
  <c r="DA179" i="2"/>
  <c r="CZ179" i="2"/>
  <c r="CY179" i="2"/>
  <c r="CX179" i="2"/>
  <c r="CW179" i="2"/>
  <c r="CV179" i="2"/>
  <c r="CU179" i="2"/>
  <c r="CT179" i="2"/>
  <c r="CS179" i="2"/>
  <c r="CR179" i="2"/>
  <c r="CQ179" i="2"/>
  <c r="CP179" i="2"/>
  <c r="CO179" i="2"/>
  <c r="CN179" i="2"/>
  <c r="CM179" i="2"/>
  <c r="CL179" i="2"/>
  <c r="CK179" i="2"/>
  <c r="CJ179" i="2"/>
  <c r="CI179" i="2"/>
  <c r="CH179" i="2"/>
  <c r="CG179" i="2"/>
  <c r="CF179" i="2"/>
  <c r="CE179" i="2"/>
  <c r="CD179" i="2"/>
  <c r="CC179" i="2"/>
  <c r="CB179" i="2"/>
  <c r="CA179" i="2"/>
  <c r="BZ179" i="2"/>
  <c r="BY179" i="2"/>
  <c r="BX179" i="2"/>
  <c r="BW179" i="2"/>
  <c r="BV179" i="2"/>
  <c r="BU179" i="2"/>
  <c r="BT179" i="2"/>
  <c r="BS179" i="2"/>
  <c r="BR179" i="2"/>
  <c r="BQ179" i="2"/>
  <c r="BP179" i="2"/>
  <c r="BO179" i="2"/>
  <c r="BN179" i="2"/>
  <c r="BM179" i="2"/>
  <c r="BL179" i="2"/>
  <c r="BK179" i="2"/>
  <c r="BJ179" i="2"/>
  <c r="BI179" i="2"/>
  <c r="BH179" i="2"/>
  <c r="BG179" i="2"/>
  <c r="BF179" i="2"/>
  <c r="BE179" i="2"/>
  <c r="BD179" i="2"/>
  <c r="BC179" i="2"/>
  <c r="BB179" i="2"/>
  <c r="BA179" i="2"/>
  <c r="AZ179" i="2"/>
  <c r="AY179" i="2"/>
  <c r="AX179" i="2"/>
  <c r="AW179" i="2"/>
  <c r="AV179" i="2"/>
  <c r="AU179" i="2"/>
  <c r="AT179" i="2"/>
  <c r="AS179" i="2"/>
  <c r="AR179" i="2"/>
  <c r="AQ179" i="2"/>
  <c r="AP179" i="2"/>
  <c r="AO179" i="2"/>
  <c r="AN179" i="2"/>
  <c r="AM179" i="2"/>
  <c r="AL179" i="2"/>
  <c r="AK179" i="2"/>
  <c r="AJ179" i="2"/>
  <c r="AI179" i="2"/>
  <c r="AH179" i="2"/>
  <c r="AG179" i="2"/>
  <c r="AF179" i="2"/>
  <c r="AE179" i="2"/>
  <c r="AD179" i="2"/>
  <c r="AC179" i="2"/>
  <c r="AB179" i="2"/>
  <c r="AA179" i="2"/>
  <c r="Z179" i="2"/>
  <c r="Y179" i="2"/>
  <c r="X179" i="2"/>
  <c r="W179" i="2"/>
  <c r="V179" i="2"/>
  <c r="U179" i="2"/>
  <c r="T179" i="2"/>
  <c r="S179" i="2"/>
  <c r="R179" i="2"/>
  <c r="Q179" i="2"/>
  <c r="P179" i="2"/>
  <c r="O179" i="2"/>
  <c r="N179" i="2"/>
  <c r="M179" i="2"/>
  <c r="L179" i="2"/>
  <c r="K179" i="2"/>
  <c r="J179" i="2"/>
  <c r="I179" i="2"/>
  <c r="H179" i="2"/>
  <c r="G179" i="2"/>
  <c r="F179" i="2"/>
  <c r="E179" i="2"/>
  <c r="D179" i="2"/>
  <c r="C179" i="2"/>
  <c r="B179" i="2"/>
  <c r="A179" i="2"/>
  <c r="FS176" i="2"/>
  <c r="FH176" i="2"/>
  <c r="FG176" i="2"/>
  <c r="FF176" i="2"/>
  <c r="FE176" i="2"/>
  <c r="FD176" i="2"/>
  <c r="FC176" i="2"/>
  <c r="FB176" i="2"/>
  <c r="FA176" i="2"/>
  <c r="EZ176" i="2"/>
  <c r="EY176" i="2"/>
  <c r="EX176" i="2"/>
  <c r="EW176" i="2"/>
  <c r="EV176" i="2"/>
  <c r="EU176" i="2"/>
  <c r="ET176" i="2"/>
  <c r="ES176" i="2"/>
  <c r="ER176" i="2"/>
  <c r="EQ176" i="2"/>
  <c r="EP176" i="2"/>
  <c r="EO176" i="2"/>
  <c r="EN176" i="2"/>
  <c r="EM176" i="2"/>
  <c r="EL176" i="2"/>
  <c r="EK176" i="2"/>
  <c r="EJ176" i="2"/>
  <c r="EI176" i="2"/>
  <c r="EH176" i="2"/>
  <c r="EG176" i="2"/>
  <c r="EF176" i="2"/>
  <c r="EE176" i="2"/>
  <c r="ED176" i="2"/>
  <c r="EC176" i="2"/>
  <c r="EB176" i="2"/>
  <c r="FS175" i="2"/>
  <c r="FH175" i="2"/>
  <c r="FG175" i="2"/>
  <c r="FF175" i="2"/>
  <c r="FE175" i="2"/>
  <c r="FD175" i="2"/>
  <c r="FC175" i="2"/>
  <c r="FB175" i="2"/>
  <c r="FA175" i="2"/>
  <c r="EZ175" i="2"/>
  <c r="EY175" i="2"/>
  <c r="EX175" i="2"/>
  <c r="EW175" i="2"/>
  <c r="EV175" i="2"/>
  <c r="EU175" i="2"/>
  <c r="ET175" i="2"/>
  <c r="ES175" i="2"/>
  <c r="ER175" i="2"/>
  <c r="EQ175" i="2"/>
  <c r="EP175" i="2"/>
  <c r="EO175" i="2"/>
  <c r="EN175" i="2"/>
  <c r="EM175" i="2"/>
  <c r="EL175" i="2"/>
  <c r="EK175" i="2"/>
  <c r="EJ175" i="2"/>
  <c r="EI175" i="2"/>
  <c r="EH175" i="2"/>
  <c r="EG175" i="2"/>
  <c r="EF175" i="2"/>
  <c r="EE175" i="2"/>
  <c r="ED175" i="2"/>
  <c r="EC175" i="2"/>
  <c r="EB175" i="2"/>
  <c r="FS174" i="2"/>
  <c r="FH174" i="2"/>
  <c r="FG174" i="2"/>
  <c r="FF174" i="2"/>
  <c r="FE174" i="2"/>
  <c r="FD174" i="2"/>
  <c r="FC174" i="2"/>
  <c r="FB174" i="2"/>
  <c r="FA174" i="2"/>
  <c r="EZ174" i="2"/>
  <c r="EY174" i="2"/>
  <c r="EX174" i="2"/>
  <c r="EW174" i="2"/>
  <c r="EV174" i="2"/>
  <c r="EU174" i="2"/>
  <c r="ET174" i="2"/>
  <c r="ES174" i="2"/>
  <c r="ER174" i="2"/>
  <c r="EQ174" i="2"/>
  <c r="EP174" i="2"/>
  <c r="EO174" i="2"/>
  <c r="EN174" i="2"/>
  <c r="EM174" i="2"/>
  <c r="EL174" i="2"/>
  <c r="EK174" i="2"/>
  <c r="EJ174" i="2"/>
  <c r="EI174" i="2"/>
  <c r="EH174" i="2"/>
  <c r="EG174" i="2"/>
  <c r="EF174" i="2"/>
  <c r="EE174" i="2"/>
  <c r="ED174" i="2"/>
  <c r="EC174" i="2"/>
  <c r="EB174" i="2"/>
  <c r="FS173" i="2"/>
  <c r="FH173" i="2"/>
  <c r="FG173" i="2"/>
  <c r="FF173" i="2"/>
  <c r="FE173" i="2"/>
  <c r="FD173" i="2"/>
  <c r="FC173" i="2"/>
  <c r="FB173" i="2"/>
  <c r="FA173" i="2"/>
  <c r="EZ173" i="2"/>
  <c r="EY173" i="2"/>
  <c r="EX173" i="2"/>
  <c r="EW173" i="2"/>
  <c r="EV173" i="2"/>
  <c r="EU173" i="2"/>
  <c r="ET173" i="2"/>
  <c r="ES173" i="2"/>
  <c r="ER173" i="2"/>
  <c r="EQ173" i="2"/>
  <c r="EP173" i="2"/>
  <c r="EO173" i="2"/>
  <c r="EN173" i="2"/>
  <c r="EM173" i="2"/>
  <c r="EL173" i="2"/>
  <c r="EK173" i="2"/>
  <c r="EJ173" i="2"/>
  <c r="EI173" i="2"/>
  <c r="EH173" i="2"/>
  <c r="EG173" i="2"/>
  <c r="EF173" i="2"/>
  <c r="EE173" i="2"/>
  <c r="ED173" i="2"/>
  <c r="EC173" i="2"/>
  <c r="EB173" i="2"/>
  <c r="FH172" i="2"/>
  <c r="FG172" i="2"/>
  <c r="FF172" i="2"/>
  <c r="FE172" i="2"/>
  <c r="FD172" i="2"/>
  <c r="FC172" i="2"/>
  <c r="FB172" i="2"/>
  <c r="FA172" i="2"/>
  <c r="EZ172" i="2"/>
  <c r="EY172" i="2"/>
  <c r="EX172" i="2"/>
  <c r="EW172" i="2"/>
  <c r="EV172" i="2"/>
  <c r="EU172" i="2"/>
  <c r="ET172" i="2"/>
  <c r="ES172" i="2"/>
  <c r="ER172" i="2"/>
  <c r="EQ172" i="2"/>
  <c r="EP172" i="2"/>
  <c r="EO172" i="2"/>
  <c r="EN172" i="2"/>
  <c r="EM172" i="2"/>
  <c r="EL172" i="2"/>
  <c r="EK172" i="2"/>
  <c r="EJ172" i="2"/>
  <c r="EI172" i="2"/>
  <c r="EH172" i="2"/>
  <c r="EG172" i="2"/>
  <c r="EF172" i="2"/>
  <c r="EE172" i="2"/>
  <c r="ED172" i="2"/>
  <c r="EC172" i="2"/>
  <c r="EB172" i="2"/>
  <c r="DQ176" i="2"/>
  <c r="DP176" i="2"/>
  <c r="DO176" i="2"/>
  <c r="DN176" i="2"/>
  <c r="DM176" i="2"/>
  <c r="DL176" i="2"/>
  <c r="DK176" i="2"/>
  <c r="DJ176" i="2"/>
  <c r="DI176" i="2"/>
  <c r="DH176" i="2"/>
  <c r="DG176" i="2"/>
  <c r="DF176" i="2"/>
  <c r="DE176" i="2"/>
  <c r="DD176" i="2"/>
  <c r="DC176" i="2"/>
  <c r="DB176" i="2"/>
  <c r="DA176" i="2"/>
  <c r="CZ176" i="2"/>
  <c r="CY176" i="2"/>
  <c r="CX176" i="2"/>
  <c r="CW176" i="2"/>
  <c r="CV176" i="2"/>
  <c r="CU176" i="2"/>
  <c r="CT176" i="2"/>
  <c r="CS176" i="2"/>
  <c r="CR176" i="2"/>
  <c r="CQ176" i="2"/>
  <c r="CP176" i="2"/>
  <c r="CO176" i="2"/>
  <c r="CN176" i="2"/>
  <c r="CM176" i="2"/>
  <c r="CL176" i="2"/>
  <c r="CK176" i="2"/>
  <c r="CJ176" i="2"/>
  <c r="CI176" i="2"/>
  <c r="CH176" i="2"/>
  <c r="CG176" i="2"/>
  <c r="CF176" i="2"/>
  <c r="CE176" i="2"/>
  <c r="CD176" i="2"/>
  <c r="CC176" i="2"/>
  <c r="CB176" i="2"/>
  <c r="CA176" i="2"/>
  <c r="BZ176" i="2"/>
  <c r="BY176" i="2"/>
  <c r="BX176" i="2"/>
  <c r="BW176" i="2"/>
  <c r="BV176" i="2"/>
  <c r="BU176" i="2"/>
  <c r="BT176" i="2"/>
  <c r="BS176" i="2"/>
  <c r="BR176" i="2"/>
  <c r="BQ176" i="2"/>
  <c r="BP176" i="2"/>
  <c r="BO176" i="2"/>
  <c r="BN176" i="2"/>
  <c r="BM176" i="2"/>
  <c r="BL176" i="2"/>
  <c r="BK176" i="2"/>
  <c r="BJ176" i="2"/>
  <c r="BI176" i="2"/>
  <c r="BH176" i="2"/>
  <c r="BG176" i="2"/>
  <c r="BF176" i="2"/>
  <c r="BE176" i="2"/>
  <c r="BD176" i="2"/>
  <c r="BC176" i="2"/>
  <c r="BB176" i="2"/>
  <c r="BA176" i="2"/>
  <c r="AZ176" i="2"/>
  <c r="AY176" i="2"/>
  <c r="AX176" i="2"/>
  <c r="AW176" i="2"/>
  <c r="AV176" i="2"/>
  <c r="AU176" i="2"/>
  <c r="AT176" i="2"/>
  <c r="AS176" i="2"/>
  <c r="AR176" i="2"/>
  <c r="AQ176" i="2"/>
  <c r="AP176" i="2"/>
  <c r="AO176" i="2"/>
  <c r="AN176" i="2"/>
  <c r="AM176" i="2"/>
  <c r="AL176" i="2"/>
  <c r="AK176" i="2"/>
  <c r="AJ176" i="2"/>
  <c r="AI176" i="2"/>
  <c r="AH176" i="2"/>
  <c r="AG176" i="2"/>
  <c r="AF176" i="2"/>
  <c r="AE176" i="2"/>
  <c r="AD176" i="2"/>
  <c r="AC176" i="2"/>
  <c r="AB176" i="2"/>
  <c r="AA176" i="2"/>
  <c r="Z176" i="2"/>
  <c r="Y176" i="2"/>
  <c r="X176" i="2"/>
  <c r="W176" i="2"/>
  <c r="V176" i="2"/>
  <c r="U176" i="2"/>
  <c r="T176" i="2"/>
  <c r="S176" i="2"/>
  <c r="R176" i="2"/>
  <c r="Q176" i="2"/>
  <c r="P176" i="2"/>
  <c r="O176" i="2"/>
  <c r="N176" i="2"/>
  <c r="M176" i="2"/>
  <c r="L176" i="2"/>
  <c r="K176" i="2"/>
  <c r="J176" i="2"/>
  <c r="I176" i="2"/>
  <c r="H176" i="2"/>
  <c r="G176" i="2"/>
  <c r="F176" i="2"/>
  <c r="E176" i="2"/>
  <c r="D176" i="2"/>
  <c r="C176" i="2"/>
  <c r="B176" i="2"/>
  <c r="A176" i="2"/>
  <c r="DY175" i="2"/>
  <c r="DX175" i="2"/>
  <c r="DW175" i="2"/>
  <c r="DV175" i="2"/>
  <c r="DU175" i="2"/>
  <c r="DT175" i="2"/>
  <c r="DS175" i="2"/>
  <c r="DR175" i="2"/>
  <c r="DQ175" i="2"/>
  <c r="DP175" i="2"/>
  <c r="DO175" i="2"/>
  <c r="DN175" i="2"/>
  <c r="DM175" i="2"/>
  <c r="DL175" i="2"/>
  <c r="DK175" i="2"/>
  <c r="DJ175" i="2"/>
  <c r="DI175" i="2"/>
  <c r="DH175" i="2"/>
  <c r="DG175" i="2"/>
  <c r="DF175" i="2"/>
  <c r="DE175" i="2"/>
  <c r="DD175" i="2"/>
  <c r="DC175" i="2"/>
  <c r="DB175" i="2"/>
  <c r="DA175" i="2"/>
  <c r="CZ175" i="2"/>
  <c r="CY175" i="2"/>
  <c r="CX175" i="2"/>
  <c r="CW175" i="2"/>
  <c r="CV175" i="2"/>
  <c r="CU175" i="2"/>
  <c r="CT175" i="2"/>
  <c r="CS175" i="2"/>
  <c r="CR175" i="2"/>
  <c r="CQ175" i="2"/>
  <c r="CP175" i="2"/>
  <c r="CO175" i="2"/>
  <c r="CN175" i="2"/>
  <c r="CM175" i="2"/>
  <c r="CL175" i="2"/>
  <c r="CK175" i="2"/>
  <c r="CJ175" i="2"/>
  <c r="CI175" i="2"/>
  <c r="CH175" i="2"/>
  <c r="CG175" i="2"/>
  <c r="CF175" i="2"/>
  <c r="CE175" i="2"/>
  <c r="CD175" i="2"/>
  <c r="CC175" i="2"/>
  <c r="CB175" i="2"/>
  <c r="CA175" i="2"/>
  <c r="BZ175" i="2"/>
  <c r="BY175" i="2"/>
  <c r="BX175" i="2"/>
  <c r="BW175" i="2"/>
  <c r="BV175" i="2"/>
  <c r="BU175" i="2"/>
  <c r="BT175" i="2"/>
  <c r="BS175" i="2"/>
  <c r="BR175" i="2"/>
  <c r="BQ175" i="2"/>
  <c r="BP175" i="2"/>
  <c r="BO175" i="2"/>
  <c r="BN175" i="2"/>
  <c r="BM175" i="2"/>
  <c r="BL175" i="2"/>
  <c r="BK175" i="2"/>
  <c r="BJ175" i="2"/>
  <c r="BI175" i="2"/>
  <c r="BH175" i="2"/>
  <c r="BG175" i="2"/>
  <c r="BF175" i="2"/>
  <c r="BE175" i="2"/>
  <c r="BD175" i="2"/>
  <c r="BC175" i="2"/>
  <c r="BB175" i="2"/>
  <c r="BA175" i="2"/>
  <c r="AZ175" i="2"/>
  <c r="AY175" i="2"/>
  <c r="AX175" i="2"/>
  <c r="AW175" i="2"/>
  <c r="AV175" i="2"/>
  <c r="AU175" i="2"/>
  <c r="AT175" i="2"/>
  <c r="AS175" i="2"/>
  <c r="AR175" i="2"/>
  <c r="AQ175" i="2"/>
  <c r="AP175" i="2"/>
  <c r="AO175" i="2"/>
  <c r="AN175" i="2"/>
  <c r="AM175" i="2"/>
  <c r="AL175" i="2"/>
  <c r="AK175" i="2"/>
  <c r="AJ175" i="2"/>
  <c r="AI175" i="2"/>
  <c r="AH175" i="2"/>
  <c r="AG175" i="2"/>
  <c r="AF175" i="2"/>
  <c r="AE175" i="2"/>
  <c r="AD175" i="2"/>
  <c r="AC175" i="2"/>
  <c r="AB175" i="2"/>
  <c r="AA175" i="2"/>
  <c r="Z175" i="2"/>
  <c r="Y175" i="2"/>
  <c r="X175" i="2"/>
  <c r="W175" i="2"/>
  <c r="V175" i="2"/>
  <c r="U175" i="2"/>
  <c r="T175" i="2"/>
  <c r="S175" i="2"/>
  <c r="R175" i="2"/>
  <c r="Q175" i="2"/>
  <c r="P175" i="2"/>
  <c r="O175" i="2"/>
  <c r="N175" i="2"/>
  <c r="M175" i="2"/>
  <c r="L175" i="2"/>
  <c r="K175" i="2"/>
  <c r="J175" i="2"/>
  <c r="I175" i="2"/>
  <c r="H175" i="2"/>
  <c r="G175" i="2"/>
  <c r="F175" i="2"/>
  <c r="E175" i="2"/>
  <c r="D175" i="2"/>
  <c r="C175" i="2"/>
  <c r="B175" i="2"/>
  <c r="A175" i="2"/>
  <c r="DY174" i="2"/>
  <c r="DX174" i="2"/>
  <c r="DW174" i="2"/>
  <c r="DV174" i="2"/>
  <c r="DU174" i="2"/>
  <c r="DT174" i="2"/>
  <c r="DS174" i="2"/>
  <c r="DR174" i="2"/>
  <c r="DQ174" i="2"/>
  <c r="DP174" i="2"/>
  <c r="DO174" i="2"/>
  <c r="DN174" i="2"/>
  <c r="DM174" i="2"/>
  <c r="DL174" i="2"/>
  <c r="DK174" i="2"/>
  <c r="DJ174" i="2"/>
  <c r="DI174" i="2"/>
  <c r="DH174" i="2"/>
  <c r="DG174" i="2"/>
  <c r="DF174" i="2"/>
  <c r="DE174" i="2"/>
  <c r="DD174" i="2"/>
  <c r="DC174" i="2"/>
  <c r="DB174" i="2"/>
  <c r="DA174" i="2"/>
  <c r="CZ174" i="2"/>
  <c r="CY174" i="2"/>
  <c r="CX174" i="2"/>
  <c r="CW174" i="2"/>
  <c r="CV174" i="2"/>
  <c r="CU174" i="2"/>
  <c r="CT174" i="2"/>
  <c r="CS174" i="2"/>
  <c r="CR174" i="2"/>
  <c r="CQ174" i="2"/>
  <c r="CP174" i="2"/>
  <c r="CO174" i="2"/>
  <c r="CN174" i="2"/>
  <c r="CM174" i="2"/>
  <c r="CL174" i="2"/>
  <c r="CK174" i="2"/>
  <c r="CJ174" i="2"/>
  <c r="CI174" i="2"/>
  <c r="CH174" i="2"/>
  <c r="CG174" i="2"/>
  <c r="CF174" i="2"/>
  <c r="CE174" i="2"/>
  <c r="CD174" i="2"/>
  <c r="CC174" i="2"/>
  <c r="CB174" i="2"/>
  <c r="CA174" i="2"/>
  <c r="BZ174" i="2"/>
  <c r="BY174" i="2"/>
  <c r="BX174" i="2"/>
  <c r="BW174" i="2"/>
  <c r="BV174" i="2"/>
  <c r="BU174" i="2"/>
  <c r="BT174" i="2"/>
  <c r="BS174" i="2"/>
  <c r="BR174" i="2"/>
  <c r="BQ174" i="2"/>
  <c r="BP174" i="2"/>
  <c r="BO174" i="2"/>
  <c r="BN174" i="2"/>
  <c r="BM174" i="2"/>
  <c r="BL174" i="2"/>
  <c r="BK174" i="2"/>
  <c r="BJ174" i="2"/>
  <c r="BI174" i="2"/>
  <c r="BH174" i="2"/>
  <c r="BG174" i="2"/>
  <c r="BF174" i="2"/>
  <c r="BE174" i="2"/>
  <c r="BD174" i="2"/>
  <c r="BC174" i="2"/>
  <c r="BB174" i="2"/>
  <c r="BA174" i="2"/>
  <c r="AZ174" i="2"/>
  <c r="AY174" i="2"/>
  <c r="AX174" i="2"/>
  <c r="AW174" i="2"/>
  <c r="AV174" i="2"/>
  <c r="AU174" i="2"/>
  <c r="AT174" i="2"/>
  <c r="AS174" i="2"/>
  <c r="AR174" i="2"/>
  <c r="AQ174" i="2"/>
  <c r="AP174" i="2"/>
  <c r="AO174" i="2"/>
  <c r="AN174" i="2"/>
  <c r="AM174" i="2"/>
  <c r="AL174" i="2"/>
  <c r="AK174" i="2"/>
  <c r="AJ174" i="2"/>
  <c r="AI174" i="2"/>
  <c r="AH174" i="2"/>
  <c r="AG174" i="2"/>
  <c r="AF174" i="2"/>
  <c r="AE174" i="2"/>
  <c r="AD174" i="2"/>
  <c r="AC174" i="2"/>
  <c r="AB174" i="2"/>
  <c r="AA174" i="2"/>
  <c r="Z174" i="2"/>
  <c r="Y174" i="2"/>
  <c r="X174" i="2"/>
  <c r="W174" i="2"/>
  <c r="V174" i="2"/>
  <c r="U174" i="2"/>
  <c r="T174" i="2"/>
  <c r="S174" i="2"/>
  <c r="R174" i="2"/>
  <c r="Q174" i="2"/>
  <c r="P174" i="2"/>
  <c r="O174" i="2"/>
  <c r="N174" i="2"/>
  <c r="M174" i="2"/>
  <c r="L174" i="2"/>
  <c r="K174" i="2"/>
  <c r="J174" i="2"/>
  <c r="I174" i="2"/>
  <c r="H174" i="2"/>
  <c r="G174" i="2"/>
  <c r="F174" i="2"/>
  <c r="E174" i="2"/>
  <c r="D174" i="2"/>
  <c r="C174" i="2"/>
  <c r="B174" i="2"/>
  <c r="A174" i="2"/>
  <c r="DY173" i="2"/>
  <c r="DX173" i="2"/>
  <c r="DW173" i="2"/>
  <c r="DV173" i="2"/>
  <c r="DU173" i="2"/>
  <c r="DT173" i="2"/>
  <c r="DS173" i="2"/>
  <c r="DR173" i="2"/>
  <c r="DQ173" i="2"/>
  <c r="DP173" i="2"/>
  <c r="DO173" i="2"/>
  <c r="DN173" i="2"/>
  <c r="DM173" i="2"/>
  <c r="DL173" i="2"/>
  <c r="DK173" i="2"/>
  <c r="DJ173" i="2"/>
  <c r="DI173" i="2"/>
  <c r="DH173" i="2"/>
  <c r="DG173" i="2"/>
  <c r="DF173" i="2"/>
  <c r="DE173" i="2"/>
  <c r="DD173" i="2"/>
  <c r="DC173" i="2"/>
  <c r="DB173" i="2"/>
  <c r="DA173" i="2"/>
  <c r="CZ173" i="2"/>
  <c r="CY173" i="2"/>
  <c r="CX173" i="2"/>
  <c r="CW173" i="2"/>
  <c r="CV173" i="2"/>
  <c r="CU173" i="2"/>
  <c r="CT173" i="2"/>
  <c r="CS173" i="2"/>
  <c r="CR173" i="2"/>
  <c r="CQ173" i="2"/>
  <c r="CP173" i="2"/>
  <c r="CO173" i="2"/>
  <c r="CN173" i="2"/>
  <c r="CM173" i="2"/>
  <c r="CL173" i="2"/>
  <c r="CK173" i="2"/>
  <c r="CJ173" i="2"/>
  <c r="CI173" i="2"/>
  <c r="CH173" i="2"/>
  <c r="CG173" i="2"/>
  <c r="CF173" i="2"/>
  <c r="CE173" i="2"/>
  <c r="CD173" i="2"/>
  <c r="CC173" i="2"/>
  <c r="CB173" i="2"/>
  <c r="CA173" i="2"/>
  <c r="BZ173" i="2"/>
  <c r="BY173" i="2"/>
  <c r="BX173" i="2"/>
  <c r="BW173" i="2"/>
  <c r="BV173" i="2"/>
  <c r="BU173" i="2"/>
  <c r="BT173" i="2"/>
  <c r="BS173" i="2"/>
  <c r="BR173" i="2"/>
  <c r="BQ173" i="2"/>
  <c r="BP173" i="2"/>
  <c r="BO173" i="2"/>
  <c r="BN173" i="2"/>
  <c r="BM173" i="2"/>
  <c r="BL173" i="2"/>
  <c r="BK173" i="2"/>
  <c r="BJ173" i="2"/>
  <c r="BI173" i="2"/>
  <c r="BH173" i="2"/>
  <c r="BG173" i="2"/>
  <c r="BF173" i="2"/>
  <c r="BE173" i="2"/>
  <c r="BD173" i="2"/>
  <c r="BC173" i="2"/>
  <c r="BB173" i="2"/>
  <c r="BA173" i="2"/>
  <c r="AZ173" i="2"/>
  <c r="AY173" i="2"/>
  <c r="AX173" i="2"/>
  <c r="AW173" i="2"/>
  <c r="AV173" i="2"/>
  <c r="AU173" i="2"/>
  <c r="AT173" i="2"/>
  <c r="AS173" i="2"/>
  <c r="AR173" i="2"/>
  <c r="AQ173" i="2"/>
  <c r="AP173" i="2"/>
  <c r="AO173" i="2"/>
  <c r="AN173" i="2"/>
  <c r="AM173" i="2"/>
  <c r="AL173" i="2"/>
  <c r="AK173" i="2"/>
  <c r="AJ173" i="2"/>
  <c r="AI173" i="2"/>
  <c r="AH173" i="2"/>
  <c r="AG173" i="2"/>
  <c r="AF173" i="2"/>
  <c r="AE173" i="2"/>
  <c r="AD173" i="2"/>
  <c r="AC173" i="2"/>
  <c r="AB173" i="2"/>
  <c r="AA173" i="2"/>
  <c r="Z173" i="2"/>
  <c r="Y173" i="2"/>
  <c r="X173" i="2"/>
  <c r="W173" i="2"/>
  <c r="V173" i="2"/>
  <c r="U173" i="2"/>
  <c r="T173" i="2"/>
  <c r="S173" i="2"/>
  <c r="R173" i="2"/>
  <c r="Q173" i="2"/>
  <c r="P173" i="2"/>
  <c r="O173" i="2"/>
  <c r="N173" i="2"/>
  <c r="M173" i="2"/>
  <c r="L173" i="2"/>
  <c r="K173" i="2"/>
  <c r="J173" i="2"/>
  <c r="I173" i="2"/>
  <c r="H173" i="2"/>
  <c r="G173" i="2"/>
  <c r="F173" i="2"/>
  <c r="E173" i="2"/>
  <c r="D173" i="2"/>
  <c r="C173" i="2"/>
  <c r="B173" i="2"/>
  <c r="A173" i="2"/>
  <c r="DS172" i="2"/>
  <c r="DR172" i="2"/>
  <c r="DQ172" i="2"/>
  <c r="DP172" i="2"/>
  <c r="DO172" i="2"/>
  <c r="DN172" i="2"/>
  <c r="DM172" i="2"/>
  <c r="DL172" i="2"/>
  <c r="DK172" i="2"/>
  <c r="DJ172" i="2"/>
  <c r="DI172" i="2"/>
  <c r="DH172" i="2"/>
  <c r="DG172" i="2"/>
  <c r="DF172" i="2"/>
  <c r="DE172" i="2"/>
  <c r="DD172" i="2"/>
  <c r="DC172" i="2"/>
  <c r="DB172" i="2"/>
  <c r="DA172" i="2"/>
  <c r="CZ172" i="2"/>
  <c r="CY172" i="2"/>
  <c r="CX172" i="2"/>
  <c r="CW172" i="2"/>
  <c r="CV172" i="2"/>
  <c r="CU172" i="2"/>
  <c r="CT172" i="2"/>
  <c r="CS172" i="2"/>
  <c r="CR172" i="2"/>
  <c r="CQ172" i="2"/>
  <c r="CP172" i="2"/>
  <c r="CO172" i="2"/>
  <c r="CN172" i="2"/>
  <c r="CM172" i="2"/>
  <c r="CL172" i="2"/>
  <c r="CK172" i="2"/>
  <c r="CJ172" i="2"/>
  <c r="CI172" i="2"/>
  <c r="CH172" i="2"/>
  <c r="CG172" i="2"/>
  <c r="CF172" i="2"/>
  <c r="CE172" i="2"/>
  <c r="CD172" i="2"/>
  <c r="CC172" i="2"/>
  <c r="CB172" i="2"/>
  <c r="CA172" i="2"/>
  <c r="BZ172" i="2"/>
  <c r="BY172" i="2"/>
  <c r="BX172" i="2"/>
  <c r="BW172" i="2"/>
  <c r="BV172" i="2"/>
  <c r="BU172" i="2"/>
  <c r="BT172" i="2"/>
  <c r="BS172" i="2"/>
  <c r="BR172" i="2"/>
  <c r="BQ172" i="2"/>
  <c r="BP172" i="2"/>
  <c r="BO172" i="2"/>
  <c r="BN172" i="2"/>
  <c r="BM172" i="2"/>
  <c r="BL172" i="2"/>
  <c r="BK172" i="2"/>
  <c r="BJ172" i="2"/>
  <c r="BI172" i="2"/>
  <c r="BH172" i="2"/>
  <c r="BG172" i="2"/>
  <c r="BF172" i="2"/>
  <c r="BE172" i="2"/>
  <c r="BD172" i="2"/>
  <c r="BC172" i="2"/>
  <c r="BB172" i="2"/>
  <c r="BA172" i="2"/>
  <c r="AZ172" i="2"/>
  <c r="AY172" i="2"/>
  <c r="AX172" i="2"/>
  <c r="AW172" i="2"/>
  <c r="AV172" i="2"/>
  <c r="AU172" i="2"/>
  <c r="AT172" i="2"/>
  <c r="AS172" i="2"/>
  <c r="AR172" i="2"/>
  <c r="AQ172" i="2"/>
  <c r="AP172" i="2"/>
  <c r="AO172" i="2"/>
  <c r="AN172" i="2"/>
  <c r="AM172" i="2"/>
  <c r="AL172" i="2"/>
  <c r="AK172" i="2"/>
  <c r="AJ172" i="2"/>
  <c r="AI172" i="2"/>
  <c r="AH172" i="2"/>
  <c r="AG172" i="2"/>
  <c r="AF172" i="2"/>
  <c r="AE172" i="2"/>
  <c r="AD172" i="2"/>
  <c r="AC172" i="2"/>
  <c r="AB172" i="2"/>
  <c r="AA172" i="2"/>
  <c r="Z172" i="2"/>
  <c r="Y172" i="2"/>
  <c r="X172" i="2"/>
  <c r="W172" i="2"/>
  <c r="V172" i="2"/>
  <c r="U172" i="2"/>
  <c r="T172" i="2"/>
  <c r="S172" i="2"/>
  <c r="R172" i="2"/>
  <c r="Q172" i="2"/>
  <c r="P172" i="2"/>
  <c r="O172" i="2"/>
  <c r="N172" i="2"/>
  <c r="M172" i="2"/>
  <c r="L172" i="2"/>
  <c r="K172" i="2"/>
  <c r="J172" i="2"/>
  <c r="I172" i="2"/>
  <c r="H172" i="2"/>
  <c r="G172" i="2"/>
  <c r="F172" i="2"/>
  <c r="E172" i="2"/>
  <c r="D172" i="2"/>
  <c r="C172" i="2"/>
  <c r="B172" i="2"/>
  <c r="A172" i="2"/>
  <c r="FH169" i="2"/>
  <c r="FG169" i="2"/>
  <c r="FF169" i="2"/>
  <c r="FE169" i="2"/>
  <c r="FD169" i="2"/>
  <c r="FC169" i="2"/>
  <c r="FB169" i="2"/>
  <c r="FA169" i="2"/>
  <c r="EZ169" i="2"/>
  <c r="EY169" i="2"/>
  <c r="EX169" i="2"/>
  <c r="EW169" i="2"/>
  <c r="EV169" i="2"/>
  <c r="EU169" i="2"/>
  <c r="ET169" i="2"/>
  <c r="ES169" i="2"/>
  <c r="ER169" i="2"/>
  <c r="EQ169" i="2"/>
  <c r="EP169" i="2"/>
  <c r="EO169" i="2"/>
  <c r="EN169" i="2"/>
  <c r="EM169" i="2"/>
  <c r="EL169" i="2"/>
  <c r="EK169" i="2"/>
  <c r="EJ169" i="2"/>
  <c r="EI169" i="2"/>
  <c r="EH169" i="2"/>
  <c r="EG169" i="2"/>
  <c r="EF169" i="2"/>
  <c r="EE169" i="2"/>
  <c r="ED169" i="2"/>
  <c r="EC169" i="2"/>
  <c r="EB169" i="2"/>
  <c r="FH168" i="2"/>
  <c r="FG168" i="2"/>
  <c r="FF168" i="2"/>
  <c r="FE168" i="2"/>
  <c r="FD168" i="2"/>
  <c r="FC168" i="2"/>
  <c r="FB168" i="2"/>
  <c r="FA168" i="2"/>
  <c r="EZ168" i="2"/>
  <c r="EY168" i="2"/>
  <c r="EX168" i="2"/>
  <c r="EW168" i="2"/>
  <c r="EV168" i="2"/>
  <c r="EU168" i="2"/>
  <c r="ET168" i="2"/>
  <c r="ES168" i="2"/>
  <c r="ER168" i="2"/>
  <c r="EQ168" i="2"/>
  <c r="EP168" i="2"/>
  <c r="EO168" i="2"/>
  <c r="EN168" i="2"/>
  <c r="EM168" i="2"/>
  <c r="EL168" i="2"/>
  <c r="EK168" i="2"/>
  <c r="EJ168" i="2"/>
  <c r="EI168" i="2"/>
  <c r="EH168" i="2"/>
  <c r="EG168" i="2"/>
  <c r="EF168" i="2"/>
  <c r="EE168" i="2"/>
  <c r="ED168" i="2"/>
  <c r="EC168" i="2"/>
  <c r="EB168" i="2"/>
  <c r="FS167" i="2"/>
  <c r="FR167" i="2"/>
  <c r="FQ167" i="2"/>
  <c r="FP167" i="2"/>
  <c r="FO167" i="2"/>
  <c r="FN167" i="2"/>
  <c r="FM167" i="2"/>
  <c r="FL167" i="2"/>
  <c r="FK167" i="2"/>
  <c r="FJ167" i="2"/>
  <c r="FI167" i="2"/>
  <c r="FH167" i="2"/>
  <c r="FG167" i="2"/>
  <c r="FF167" i="2"/>
  <c r="FE167" i="2"/>
  <c r="FD167" i="2"/>
  <c r="FC167" i="2"/>
  <c r="FB167" i="2"/>
  <c r="FA167" i="2"/>
  <c r="EZ167" i="2"/>
  <c r="EY167" i="2"/>
  <c r="EX167" i="2"/>
  <c r="EW167" i="2"/>
  <c r="EV167" i="2"/>
  <c r="EU167" i="2"/>
  <c r="ET167" i="2"/>
  <c r="ES167" i="2"/>
  <c r="ER167" i="2"/>
  <c r="EQ167" i="2"/>
  <c r="EP167" i="2"/>
  <c r="EO167" i="2"/>
  <c r="EN167" i="2"/>
  <c r="EM167" i="2"/>
  <c r="EL167" i="2"/>
  <c r="EK167" i="2"/>
  <c r="EJ167" i="2"/>
  <c r="EI167" i="2"/>
  <c r="EH167" i="2"/>
  <c r="EG167" i="2"/>
  <c r="EF167" i="2"/>
  <c r="EE167" i="2"/>
  <c r="ED167" i="2"/>
  <c r="EC167" i="2"/>
  <c r="EB167" i="2"/>
  <c r="FH166" i="2"/>
  <c r="FG166" i="2"/>
  <c r="FF166" i="2"/>
  <c r="FE166" i="2"/>
  <c r="FD166" i="2"/>
  <c r="FC166" i="2"/>
  <c r="FB166" i="2"/>
  <c r="FA166" i="2"/>
  <c r="EZ166" i="2"/>
  <c r="EY166" i="2"/>
  <c r="EX166" i="2"/>
  <c r="EW166" i="2"/>
  <c r="EV166" i="2"/>
  <c r="EU166" i="2"/>
  <c r="ET166" i="2"/>
  <c r="ES166" i="2"/>
  <c r="ER166" i="2"/>
  <c r="EQ166" i="2"/>
  <c r="EP166" i="2"/>
  <c r="EO166" i="2"/>
  <c r="EN166" i="2"/>
  <c r="EM166" i="2"/>
  <c r="EL166" i="2"/>
  <c r="EK166" i="2"/>
  <c r="EJ166" i="2"/>
  <c r="EI166" i="2"/>
  <c r="EH166" i="2"/>
  <c r="EG166" i="2"/>
  <c r="EF166" i="2"/>
  <c r="EE166" i="2"/>
  <c r="ED166" i="2"/>
  <c r="EC166" i="2"/>
  <c r="EB166" i="2"/>
  <c r="FH165" i="2"/>
  <c r="FG165" i="2"/>
  <c r="FF165" i="2"/>
  <c r="FE165" i="2"/>
  <c r="FD165" i="2"/>
  <c r="FC165" i="2"/>
  <c r="FB165" i="2"/>
  <c r="FA165" i="2"/>
  <c r="EZ165" i="2"/>
  <c r="EY165" i="2"/>
  <c r="EX165" i="2"/>
  <c r="EW165" i="2"/>
  <c r="EV165" i="2"/>
  <c r="EU165" i="2"/>
  <c r="ET165" i="2"/>
  <c r="ES165" i="2"/>
  <c r="ER165" i="2"/>
  <c r="EQ165" i="2"/>
  <c r="EP165" i="2"/>
  <c r="EO165" i="2"/>
  <c r="EN165" i="2"/>
  <c r="EM165" i="2"/>
  <c r="EL165" i="2"/>
  <c r="EK165" i="2"/>
  <c r="EJ165" i="2"/>
  <c r="EI165" i="2"/>
  <c r="EH165" i="2"/>
  <c r="EG165" i="2"/>
  <c r="EF165" i="2"/>
  <c r="EE165" i="2"/>
  <c r="ED165" i="2"/>
  <c r="EC165" i="2"/>
  <c r="EB165" i="2"/>
  <c r="FH164" i="2"/>
  <c r="FG164" i="2"/>
  <c r="FF164" i="2"/>
  <c r="FE164" i="2"/>
  <c r="FD164" i="2"/>
  <c r="FC164" i="2"/>
  <c r="FB164" i="2"/>
  <c r="FA164" i="2"/>
  <c r="EZ164" i="2"/>
  <c r="EY164" i="2"/>
  <c r="EX164" i="2"/>
  <c r="EW164" i="2"/>
  <c r="EV164" i="2"/>
  <c r="EU164" i="2"/>
  <c r="ET164" i="2"/>
  <c r="ES164" i="2"/>
  <c r="ER164" i="2"/>
  <c r="EQ164" i="2"/>
  <c r="EP164" i="2"/>
  <c r="EO164" i="2"/>
  <c r="EN164" i="2"/>
  <c r="EM164" i="2"/>
  <c r="EL164" i="2"/>
  <c r="EK164" i="2"/>
  <c r="EJ164" i="2"/>
  <c r="EI164" i="2"/>
  <c r="EH164" i="2"/>
  <c r="EG164" i="2"/>
  <c r="EF164" i="2"/>
  <c r="EE164" i="2"/>
  <c r="ED164" i="2"/>
  <c r="EC164" i="2"/>
  <c r="EB164" i="2"/>
  <c r="FH163" i="2"/>
  <c r="FG163" i="2"/>
  <c r="FF163" i="2"/>
  <c r="FE163" i="2"/>
  <c r="FD163" i="2"/>
  <c r="FC163" i="2"/>
  <c r="FB163" i="2"/>
  <c r="FA163" i="2"/>
  <c r="EZ163" i="2"/>
  <c r="EY163" i="2"/>
  <c r="EX163" i="2"/>
  <c r="EW163" i="2"/>
  <c r="EV163" i="2"/>
  <c r="EU163" i="2"/>
  <c r="ET163" i="2"/>
  <c r="ES163" i="2"/>
  <c r="ER163" i="2"/>
  <c r="EQ163" i="2"/>
  <c r="EP163" i="2"/>
  <c r="EO163" i="2"/>
  <c r="EN163" i="2"/>
  <c r="EM163" i="2"/>
  <c r="EL163" i="2"/>
  <c r="EK163" i="2"/>
  <c r="EJ163" i="2"/>
  <c r="EI163" i="2"/>
  <c r="EH163" i="2"/>
  <c r="EG163" i="2"/>
  <c r="EF163" i="2"/>
  <c r="EE163" i="2"/>
  <c r="ED163" i="2"/>
  <c r="EC163" i="2"/>
  <c r="EB163" i="2"/>
  <c r="FS162" i="2"/>
  <c r="FR162" i="2"/>
  <c r="FQ162" i="2"/>
  <c r="FP162" i="2"/>
  <c r="FO162" i="2"/>
  <c r="FN162" i="2"/>
  <c r="FM162" i="2"/>
  <c r="FL162" i="2"/>
  <c r="FK162" i="2"/>
  <c r="FJ162" i="2"/>
  <c r="FI162" i="2"/>
  <c r="FH162" i="2"/>
  <c r="FG162" i="2"/>
  <c r="FF162" i="2"/>
  <c r="FE162" i="2"/>
  <c r="FD162" i="2"/>
  <c r="FC162" i="2"/>
  <c r="FB162" i="2"/>
  <c r="FA162" i="2"/>
  <c r="EZ162" i="2"/>
  <c r="EY162" i="2"/>
  <c r="EX162" i="2"/>
  <c r="EW162" i="2"/>
  <c r="EV162" i="2"/>
  <c r="EU162" i="2"/>
  <c r="ET162" i="2"/>
  <c r="ES162" i="2"/>
  <c r="ER162" i="2"/>
  <c r="EQ162" i="2"/>
  <c r="EP162" i="2"/>
  <c r="EO162" i="2"/>
  <c r="EN162" i="2"/>
  <c r="EM162" i="2"/>
  <c r="EL162" i="2"/>
  <c r="EK162" i="2"/>
  <c r="EJ162" i="2"/>
  <c r="EI162" i="2"/>
  <c r="EH162" i="2"/>
  <c r="EG162" i="2"/>
  <c r="EF162" i="2"/>
  <c r="EE162" i="2"/>
  <c r="ED162" i="2"/>
  <c r="EC162" i="2"/>
  <c r="EB162" i="2"/>
  <c r="FJ161" i="2"/>
  <c r="FI161" i="2"/>
  <c r="FH161" i="2"/>
  <c r="FG161" i="2"/>
  <c r="FF161" i="2"/>
  <c r="FE161" i="2"/>
  <c r="FD161" i="2"/>
  <c r="FC161" i="2"/>
  <c r="FB161" i="2"/>
  <c r="FA161" i="2"/>
  <c r="EZ161" i="2"/>
  <c r="EY161" i="2"/>
  <c r="EX161" i="2"/>
  <c r="EW161" i="2"/>
  <c r="EV161" i="2"/>
  <c r="EU161" i="2"/>
  <c r="ET161" i="2"/>
  <c r="ES161" i="2"/>
  <c r="ER161" i="2"/>
  <c r="EQ161" i="2"/>
  <c r="EP161" i="2"/>
  <c r="EO161" i="2"/>
  <c r="EN161" i="2"/>
  <c r="EM161" i="2"/>
  <c r="EL161" i="2"/>
  <c r="EK161" i="2"/>
  <c r="EJ161" i="2"/>
  <c r="EI161" i="2"/>
  <c r="EH161" i="2"/>
  <c r="EG161" i="2"/>
  <c r="EF161" i="2"/>
  <c r="EE161" i="2"/>
  <c r="ED161" i="2"/>
  <c r="EC161" i="2"/>
  <c r="EB161" i="2"/>
  <c r="DQ169" i="2"/>
  <c r="DP169" i="2"/>
  <c r="DO169" i="2"/>
  <c r="DN169" i="2"/>
  <c r="DM169" i="2"/>
  <c r="DL169" i="2"/>
  <c r="DK169" i="2"/>
  <c r="DJ169" i="2"/>
  <c r="DI169" i="2"/>
  <c r="DH169" i="2"/>
  <c r="DG169" i="2"/>
  <c r="DF169" i="2"/>
  <c r="DE169" i="2"/>
  <c r="DD169" i="2"/>
  <c r="DC169" i="2"/>
  <c r="DB169" i="2"/>
  <c r="DA169" i="2"/>
  <c r="CZ169" i="2"/>
  <c r="CY169" i="2"/>
  <c r="CX169" i="2"/>
  <c r="CW169" i="2"/>
  <c r="CV169" i="2"/>
  <c r="CU169" i="2"/>
  <c r="CT169" i="2"/>
  <c r="CS169" i="2"/>
  <c r="CR169" i="2"/>
  <c r="CQ169" i="2"/>
  <c r="CP169" i="2"/>
  <c r="CO169" i="2"/>
  <c r="CN169" i="2"/>
  <c r="CM169" i="2"/>
  <c r="CL169" i="2"/>
  <c r="CK169" i="2"/>
  <c r="CJ169" i="2"/>
  <c r="CI169" i="2"/>
  <c r="CH169" i="2"/>
  <c r="CG169" i="2"/>
  <c r="CF169" i="2"/>
  <c r="CE169" i="2"/>
  <c r="CD169" i="2"/>
  <c r="CC169" i="2"/>
  <c r="CB169" i="2"/>
  <c r="CA169" i="2"/>
  <c r="BZ169" i="2"/>
  <c r="BY169" i="2"/>
  <c r="BX169" i="2"/>
  <c r="BW169" i="2"/>
  <c r="BV169" i="2"/>
  <c r="BU169" i="2"/>
  <c r="BT169" i="2"/>
  <c r="BS169" i="2"/>
  <c r="BR169" i="2"/>
  <c r="BQ169" i="2"/>
  <c r="BP169" i="2"/>
  <c r="BO169" i="2"/>
  <c r="BN169" i="2"/>
  <c r="BM169" i="2"/>
  <c r="BL169" i="2"/>
  <c r="BK169" i="2"/>
  <c r="BJ169" i="2"/>
  <c r="BI169" i="2"/>
  <c r="BH169" i="2"/>
  <c r="BG169" i="2"/>
  <c r="BF169" i="2"/>
  <c r="BE169" i="2"/>
  <c r="BD169" i="2"/>
  <c r="BC169" i="2"/>
  <c r="BB169" i="2"/>
  <c r="BA169" i="2"/>
  <c r="AZ169" i="2"/>
  <c r="AY169" i="2"/>
  <c r="AX169" i="2"/>
  <c r="AW169" i="2"/>
  <c r="AV169" i="2"/>
  <c r="AU169" i="2"/>
  <c r="AT169" i="2"/>
  <c r="AS169" i="2"/>
  <c r="AR169" i="2"/>
  <c r="AQ169" i="2"/>
  <c r="AP169" i="2"/>
  <c r="AO169" i="2"/>
  <c r="AN169" i="2"/>
  <c r="AM169" i="2"/>
  <c r="AL169" i="2"/>
  <c r="AK169" i="2"/>
  <c r="AJ169" i="2"/>
  <c r="AI169" i="2"/>
  <c r="AH169" i="2"/>
  <c r="AG169" i="2"/>
  <c r="AF169" i="2"/>
  <c r="AE169" i="2"/>
  <c r="AD169" i="2"/>
  <c r="AC169" i="2"/>
  <c r="AB169" i="2"/>
  <c r="AA169" i="2"/>
  <c r="Z169" i="2"/>
  <c r="Y169" i="2"/>
  <c r="X169" i="2"/>
  <c r="W169" i="2"/>
  <c r="V169" i="2"/>
  <c r="U169" i="2"/>
  <c r="T169" i="2"/>
  <c r="S169" i="2"/>
  <c r="R169" i="2"/>
  <c r="Q169" i="2"/>
  <c r="P169" i="2"/>
  <c r="O169" i="2"/>
  <c r="N169" i="2"/>
  <c r="M169" i="2"/>
  <c r="L169" i="2"/>
  <c r="K169" i="2"/>
  <c r="J169" i="2"/>
  <c r="I169" i="2"/>
  <c r="H169" i="2"/>
  <c r="G169" i="2"/>
  <c r="F169" i="2"/>
  <c r="E169" i="2"/>
  <c r="D169" i="2"/>
  <c r="C169" i="2"/>
  <c r="B169" i="2"/>
  <c r="A169" i="2"/>
  <c r="DQ168" i="2"/>
  <c r="DP168" i="2"/>
  <c r="DO168" i="2"/>
  <c r="DN168" i="2"/>
  <c r="DM168" i="2"/>
  <c r="DL168" i="2"/>
  <c r="DK168" i="2"/>
  <c r="DJ168" i="2"/>
  <c r="DI168" i="2"/>
  <c r="DH168" i="2"/>
  <c r="DG168" i="2"/>
  <c r="DF168" i="2"/>
  <c r="DE168" i="2"/>
  <c r="DD168" i="2"/>
  <c r="DC168" i="2"/>
  <c r="DB168" i="2"/>
  <c r="DA168" i="2"/>
  <c r="CZ168" i="2"/>
  <c r="CY168" i="2"/>
  <c r="CX168" i="2"/>
  <c r="CW168" i="2"/>
  <c r="CV168" i="2"/>
  <c r="CU168" i="2"/>
  <c r="CT168" i="2"/>
  <c r="CS168" i="2"/>
  <c r="CR168" i="2"/>
  <c r="CQ168" i="2"/>
  <c r="CP168" i="2"/>
  <c r="CO168" i="2"/>
  <c r="CN168" i="2"/>
  <c r="CM168" i="2"/>
  <c r="CL168" i="2"/>
  <c r="CK168" i="2"/>
  <c r="CJ168" i="2"/>
  <c r="CI168" i="2"/>
  <c r="CH168" i="2"/>
  <c r="CG168" i="2"/>
  <c r="CF168" i="2"/>
  <c r="CE168" i="2"/>
  <c r="CD168" i="2"/>
  <c r="CC168" i="2"/>
  <c r="CB168" i="2"/>
  <c r="CA168" i="2"/>
  <c r="BZ168" i="2"/>
  <c r="BY168" i="2"/>
  <c r="BX168" i="2"/>
  <c r="BW168" i="2"/>
  <c r="BV168" i="2"/>
  <c r="BU168" i="2"/>
  <c r="BT168" i="2"/>
  <c r="BS168" i="2"/>
  <c r="BR168" i="2"/>
  <c r="BQ168" i="2"/>
  <c r="BP168" i="2"/>
  <c r="BO168" i="2"/>
  <c r="BN168" i="2"/>
  <c r="BM168" i="2"/>
  <c r="BL168" i="2"/>
  <c r="BK168" i="2"/>
  <c r="BJ168" i="2"/>
  <c r="BI168" i="2"/>
  <c r="BH168" i="2"/>
  <c r="BG168" i="2"/>
  <c r="BF168" i="2"/>
  <c r="BE168" i="2"/>
  <c r="BD168" i="2"/>
  <c r="BC168" i="2"/>
  <c r="BB168" i="2"/>
  <c r="BA168" i="2"/>
  <c r="AZ168" i="2"/>
  <c r="AY168" i="2"/>
  <c r="AX168" i="2"/>
  <c r="AW168" i="2"/>
  <c r="AV168" i="2"/>
  <c r="AU168" i="2"/>
  <c r="AT168" i="2"/>
  <c r="AS168" i="2"/>
  <c r="AR168" i="2"/>
  <c r="AQ168" i="2"/>
  <c r="AP168" i="2"/>
  <c r="AO168" i="2"/>
  <c r="AN168" i="2"/>
  <c r="AM168" i="2"/>
  <c r="AL168" i="2"/>
  <c r="AK168" i="2"/>
  <c r="AJ168" i="2"/>
  <c r="AI168" i="2"/>
  <c r="AH168" i="2"/>
  <c r="AG168" i="2"/>
  <c r="AF168" i="2"/>
  <c r="AE168" i="2"/>
  <c r="AD168" i="2"/>
  <c r="AC168" i="2"/>
  <c r="AB168" i="2"/>
  <c r="AA168" i="2"/>
  <c r="Z168" i="2"/>
  <c r="Y168" i="2"/>
  <c r="X168" i="2"/>
  <c r="W168" i="2"/>
  <c r="V168" i="2"/>
  <c r="U168" i="2"/>
  <c r="T168" i="2"/>
  <c r="S168" i="2"/>
  <c r="R168" i="2"/>
  <c r="Q168" i="2"/>
  <c r="P168" i="2"/>
  <c r="O168" i="2"/>
  <c r="N168" i="2"/>
  <c r="M168" i="2"/>
  <c r="L168" i="2"/>
  <c r="K168" i="2"/>
  <c r="J168" i="2"/>
  <c r="I168" i="2"/>
  <c r="H168" i="2"/>
  <c r="G168" i="2"/>
  <c r="F168" i="2"/>
  <c r="E168" i="2"/>
  <c r="D168" i="2"/>
  <c r="C168" i="2"/>
  <c r="B168" i="2"/>
  <c r="A168" i="2"/>
  <c r="DY167" i="2"/>
  <c r="DX167" i="2"/>
  <c r="DW167" i="2"/>
  <c r="DV167" i="2"/>
  <c r="DU167" i="2"/>
  <c r="DT167" i="2"/>
  <c r="DS167" i="2"/>
  <c r="DR167" i="2"/>
  <c r="DQ167" i="2"/>
  <c r="DP167" i="2"/>
  <c r="DO167" i="2"/>
  <c r="DN167" i="2"/>
  <c r="DM167" i="2"/>
  <c r="DL167" i="2"/>
  <c r="DK167" i="2"/>
  <c r="DJ167" i="2"/>
  <c r="DI167" i="2"/>
  <c r="DH167" i="2"/>
  <c r="DG167" i="2"/>
  <c r="DF167" i="2"/>
  <c r="DE167" i="2"/>
  <c r="DD167" i="2"/>
  <c r="DC167" i="2"/>
  <c r="DB167" i="2"/>
  <c r="DA167" i="2"/>
  <c r="CZ167" i="2"/>
  <c r="CY167" i="2"/>
  <c r="CX167" i="2"/>
  <c r="CW167" i="2"/>
  <c r="CV167" i="2"/>
  <c r="CU167" i="2"/>
  <c r="CT167" i="2"/>
  <c r="CS167" i="2"/>
  <c r="CR167" i="2"/>
  <c r="CQ167" i="2"/>
  <c r="CP167" i="2"/>
  <c r="CO167" i="2"/>
  <c r="CN167" i="2"/>
  <c r="CM167" i="2"/>
  <c r="CL167" i="2"/>
  <c r="CK167" i="2"/>
  <c r="CJ167" i="2"/>
  <c r="CI167" i="2"/>
  <c r="CH167" i="2"/>
  <c r="CG167" i="2"/>
  <c r="CF167" i="2"/>
  <c r="CE167" i="2"/>
  <c r="CD167" i="2"/>
  <c r="CC167" i="2"/>
  <c r="CB167" i="2"/>
  <c r="CA167" i="2"/>
  <c r="BZ167" i="2"/>
  <c r="BY167" i="2"/>
  <c r="BX167" i="2"/>
  <c r="BW167" i="2"/>
  <c r="BV167" i="2"/>
  <c r="BU167" i="2"/>
  <c r="BT167" i="2"/>
  <c r="BS167" i="2"/>
  <c r="BR167" i="2"/>
  <c r="BQ167" i="2"/>
  <c r="BP167" i="2"/>
  <c r="BO167" i="2"/>
  <c r="BN167" i="2"/>
  <c r="BM167" i="2"/>
  <c r="BL167" i="2"/>
  <c r="BK167" i="2"/>
  <c r="BJ167" i="2"/>
  <c r="BI167" i="2"/>
  <c r="BH167" i="2"/>
  <c r="BG167" i="2"/>
  <c r="BF167" i="2"/>
  <c r="BE167" i="2"/>
  <c r="BD167" i="2"/>
  <c r="BC167" i="2"/>
  <c r="BB167" i="2"/>
  <c r="BA167" i="2"/>
  <c r="AZ167" i="2"/>
  <c r="AY167" i="2"/>
  <c r="AX167" i="2"/>
  <c r="AW167" i="2"/>
  <c r="AV167" i="2"/>
  <c r="AU167" i="2"/>
  <c r="AT167" i="2"/>
  <c r="AS167" i="2"/>
  <c r="AR167" i="2"/>
  <c r="AQ167" i="2"/>
  <c r="AP167" i="2"/>
  <c r="AO167" i="2"/>
  <c r="AN167" i="2"/>
  <c r="AM167" i="2"/>
  <c r="AL167" i="2"/>
  <c r="AK167" i="2"/>
  <c r="AJ167" i="2"/>
  <c r="AI167" i="2"/>
  <c r="AH167" i="2"/>
  <c r="AG167" i="2"/>
  <c r="AF167" i="2"/>
  <c r="AE167" i="2"/>
  <c r="AD167" i="2"/>
  <c r="AC167" i="2"/>
  <c r="AB167" i="2"/>
  <c r="AA167" i="2"/>
  <c r="Z167" i="2"/>
  <c r="Y167" i="2"/>
  <c r="X167" i="2"/>
  <c r="W167" i="2"/>
  <c r="V167" i="2"/>
  <c r="U167" i="2"/>
  <c r="T167" i="2"/>
  <c r="S167" i="2"/>
  <c r="R167" i="2"/>
  <c r="Q167" i="2"/>
  <c r="P167" i="2"/>
  <c r="O167" i="2"/>
  <c r="N167" i="2"/>
  <c r="M167" i="2"/>
  <c r="L167" i="2"/>
  <c r="K167" i="2"/>
  <c r="J167" i="2"/>
  <c r="I167" i="2"/>
  <c r="H167" i="2"/>
  <c r="G167" i="2"/>
  <c r="F167" i="2"/>
  <c r="E167" i="2"/>
  <c r="D167" i="2"/>
  <c r="C167" i="2"/>
  <c r="B167" i="2"/>
  <c r="A167" i="2"/>
  <c r="DS166" i="2"/>
  <c r="DR166" i="2"/>
  <c r="DQ166" i="2"/>
  <c r="DP166" i="2"/>
  <c r="DO166" i="2"/>
  <c r="DN166" i="2"/>
  <c r="DM166" i="2"/>
  <c r="DL166" i="2"/>
  <c r="DK166" i="2"/>
  <c r="DJ166" i="2"/>
  <c r="DI166" i="2"/>
  <c r="DH166" i="2"/>
  <c r="DG166" i="2"/>
  <c r="DF166" i="2"/>
  <c r="DE166" i="2"/>
  <c r="DD166" i="2"/>
  <c r="DC166" i="2"/>
  <c r="DB166" i="2"/>
  <c r="DA166" i="2"/>
  <c r="CZ166" i="2"/>
  <c r="CY166" i="2"/>
  <c r="CX166" i="2"/>
  <c r="CW166" i="2"/>
  <c r="CV166" i="2"/>
  <c r="CU166" i="2"/>
  <c r="CT166" i="2"/>
  <c r="CS166" i="2"/>
  <c r="CR166" i="2"/>
  <c r="CQ166" i="2"/>
  <c r="CP166" i="2"/>
  <c r="CO166" i="2"/>
  <c r="CN166" i="2"/>
  <c r="CM166" i="2"/>
  <c r="CL166" i="2"/>
  <c r="CK166" i="2"/>
  <c r="CJ166" i="2"/>
  <c r="CI166" i="2"/>
  <c r="CH166" i="2"/>
  <c r="CG166" i="2"/>
  <c r="CF166" i="2"/>
  <c r="CE166" i="2"/>
  <c r="CD166" i="2"/>
  <c r="CC166" i="2"/>
  <c r="CB166" i="2"/>
  <c r="CA166" i="2"/>
  <c r="BZ166" i="2"/>
  <c r="BY166" i="2"/>
  <c r="BX166" i="2"/>
  <c r="BW166" i="2"/>
  <c r="BV166" i="2"/>
  <c r="BU166" i="2"/>
  <c r="BT166" i="2"/>
  <c r="BS166" i="2"/>
  <c r="BR166" i="2"/>
  <c r="BQ166" i="2"/>
  <c r="BP166" i="2"/>
  <c r="BO166" i="2"/>
  <c r="BN166" i="2"/>
  <c r="BM166" i="2"/>
  <c r="BL166" i="2"/>
  <c r="BK166" i="2"/>
  <c r="BJ166" i="2"/>
  <c r="BI166" i="2"/>
  <c r="BH166" i="2"/>
  <c r="BG166" i="2"/>
  <c r="BF166" i="2"/>
  <c r="BE166" i="2"/>
  <c r="BD166" i="2"/>
  <c r="BC166" i="2"/>
  <c r="BB166" i="2"/>
  <c r="BA166" i="2"/>
  <c r="AZ166" i="2"/>
  <c r="AY166" i="2"/>
  <c r="AX166" i="2"/>
  <c r="AW166" i="2"/>
  <c r="AV166" i="2"/>
  <c r="AU166" i="2"/>
  <c r="AT166" i="2"/>
  <c r="AS166" i="2"/>
  <c r="AR166" i="2"/>
  <c r="AQ166" i="2"/>
  <c r="AP166" i="2"/>
  <c r="AO166" i="2"/>
  <c r="AN166" i="2"/>
  <c r="AM166" i="2"/>
  <c r="AL166" i="2"/>
  <c r="AK166" i="2"/>
  <c r="AJ166" i="2"/>
  <c r="AI166" i="2"/>
  <c r="AH166" i="2"/>
  <c r="AG166" i="2"/>
  <c r="AF166" i="2"/>
  <c r="AE166" i="2"/>
  <c r="AD166" i="2"/>
  <c r="AC166" i="2"/>
  <c r="AB166" i="2"/>
  <c r="AA166" i="2"/>
  <c r="Z166" i="2"/>
  <c r="Y166" i="2"/>
  <c r="X166" i="2"/>
  <c r="W166" i="2"/>
  <c r="V166" i="2"/>
  <c r="U166" i="2"/>
  <c r="T166" i="2"/>
  <c r="S166" i="2"/>
  <c r="R166" i="2"/>
  <c r="Q166" i="2"/>
  <c r="P166" i="2"/>
  <c r="O166" i="2"/>
  <c r="N166" i="2"/>
  <c r="M166" i="2"/>
  <c r="L166" i="2"/>
  <c r="K166" i="2"/>
  <c r="J166" i="2"/>
  <c r="I166" i="2"/>
  <c r="H166" i="2"/>
  <c r="G166" i="2"/>
  <c r="F166" i="2"/>
  <c r="E166" i="2"/>
  <c r="D166" i="2"/>
  <c r="C166" i="2"/>
  <c r="B166" i="2"/>
  <c r="A166" i="2"/>
  <c r="DQ165" i="2"/>
  <c r="DP165" i="2"/>
  <c r="DO165" i="2"/>
  <c r="DN165" i="2"/>
  <c r="DM165" i="2"/>
  <c r="DL165" i="2"/>
  <c r="DK165" i="2"/>
  <c r="DJ165" i="2"/>
  <c r="DI165" i="2"/>
  <c r="DH165" i="2"/>
  <c r="DG165" i="2"/>
  <c r="DF165" i="2"/>
  <c r="DE165" i="2"/>
  <c r="DD165" i="2"/>
  <c r="DC165" i="2"/>
  <c r="DB165" i="2"/>
  <c r="DA165" i="2"/>
  <c r="CZ165" i="2"/>
  <c r="CY165" i="2"/>
  <c r="CX165" i="2"/>
  <c r="CW165" i="2"/>
  <c r="CV165" i="2"/>
  <c r="CU165" i="2"/>
  <c r="CT165" i="2"/>
  <c r="CS165" i="2"/>
  <c r="CR165" i="2"/>
  <c r="CQ165" i="2"/>
  <c r="CP165" i="2"/>
  <c r="CO165" i="2"/>
  <c r="CN165" i="2"/>
  <c r="CM165" i="2"/>
  <c r="CL165" i="2"/>
  <c r="CK165" i="2"/>
  <c r="CJ165" i="2"/>
  <c r="CI165" i="2"/>
  <c r="CH165" i="2"/>
  <c r="CG165" i="2"/>
  <c r="CF165" i="2"/>
  <c r="CE165" i="2"/>
  <c r="CD165" i="2"/>
  <c r="CC165" i="2"/>
  <c r="CB165" i="2"/>
  <c r="CA165" i="2"/>
  <c r="BZ165" i="2"/>
  <c r="BY165" i="2"/>
  <c r="BX165" i="2"/>
  <c r="BW165" i="2"/>
  <c r="BV165" i="2"/>
  <c r="BU165" i="2"/>
  <c r="BT165" i="2"/>
  <c r="BS165" i="2"/>
  <c r="BR165" i="2"/>
  <c r="BQ165" i="2"/>
  <c r="BP165" i="2"/>
  <c r="BO165" i="2"/>
  <c r="BN165" i="2"/>
  <c r="BM165" i="2"/>
  <c r="BL165" i="2"/>
  <c r="BK165" i="2"/>
  <c r="BJ165" i="2"/>
  <c r="BI165" i="2"/>
  <c r="BH165" i="2"/>
  <c r="BG165" i="2"/>
  <c r="BF165" i="2"/>
  <c r="BE165" i="2"/>
  <c r="BD165" i="2"/>
  <c r="BC165" i="2"/>
  <c r="BB165" i="2"/>
  <c r="BA165" i="2"/>
  <c r="AZ165" i="2"/>
  <c r="AY165" i="2"/>
  <c r="AX165" i="2"/>
  <c r="AW165" i="2"/>
  <c r="AV165" i="2"/>
  <c r="AU165" i="2"/>
  <c r="AT165" i="2"/>
  <c r="AS165" i="2"/>
  <c r="AR165" i="2"/>
  <c r="AQ165" i="2"/>
  <c r="AP165" i="2"/>
  <c r="AO165" i="2"/>
  <c r="AN165" i="2"/>
  <c r="AM165" i="2"/>
  <c r="AL165" i="2"/>
  <c r="AK165" i="2"/>
  <c r="AJ165" i="2"/>
  <c r="AI165" i="2"/>
  <c r="AH165" i="2"/>
  <c r="AG165" i="2"/>
  <c r="AF165" i="2"/>
  <c r="AE165" i="2"/>
  <c r="AD165" i="2"/>
  <c r="AC165" i="2"/>
  <c r="AB165" i="2"/>
  <c r="AA165" i="2"/>
  <c r="Z165" i="2"/>
  <c r="Y165" i="2"/>
  <c r="X165" i="2"/>
  <c r="W165" i="2"/>
  <c r="V165" i="2"/>
  <c r="U165" i="2"/>
  <c r="T165" i="2"/>
  <c r="S165" i="2"/>
  <c r="R165" i="2"/>
  <c r="Q165" i="2"/>
  <c r="P165" i="2"/>
  <c r="O165" i="2"/>
  <c r="N165" i="2"/>
  <c r="M165" i="2"/>
  <c r="L165" i="2"/>
  <c r="K165" i="2"/>
  <c r="J165" i="2"/>
  <c r="I165" i="2"/>
  <c r="H165" i="2"/>
  <c r="G165" i="2"/>
  <c r="F165" i="2"/>
  <c r="E165" i="2"/>
  <c r="D165" i="2"/>
  <c r="C165" i="2"/>
  <c r="B165" i="2"/>
  <c r="A165" i="2"/>
  <c r="DS164" i="2"/>
  <c r="DR164" i="2"/>
  <c r="DQ164" i="2"/>
  <c r="DP164" i="2"/>
  <c r="DO164" i="2"/>
  <c r="DN164" i="2"/>
  <c r="DM164" i="2"/>
  <c r="DL164" i="2"/>
  <c r="DK164" i="2"/>
  <c r="DJ164" i="2"/>
  <c r="DI164" i="2"/>
  <c r="DH164" i="2"/>
  <c r="DG164" i="2"/>
  <c r="DF164" i="2"/>
  <c r="DE164" i="2"/>
  <c r="DD164" i="2"/>
  <c r="DC164" i="2"/>
  <c r="DB164" i="2"/>
  <c r="DA164" i="2"/>
  <c r="CZ164" i="2"/>
  <c r="CY164" i="2"/>
  <c r="CX164" i="2"/>
  <c r="CW164" i="2"/>
  <c r="CV164" i="2"/>
  <c r="CU164" i="2"/>
  <c r="CT164" i="2"/>
  <c r="CS164" i="2"/>
  <c r="CR164" i="2"/>
  <c r="CQ164" i="2"/>
  <c r="CP164" i="2"/>
  <c r="CO164" i="2"/>
  <c r="CN164" i="2"/>
  <c r="CM164" i="2"/>
  <c r="CL164" i="2"/>
  <c r="CK164" i="2"/>
  <c r="CJ164" i="2"/>
  <c r="CI164" i="2"/>
  <c r="CH164" i="2"/>
  <c r="CG164" i="2"/>
  <c r="CF164" i="2"/>
  <c r="CE164" i="2"/>
  <c r="CD164" i="2"/>
  <c r="CC164" i="2"/>
  <c r="CB164" i="2"/>
  <c r="CA164" i="2"/>
  <c r="BZ164" i="2"/>
  <c r="BY164" i="2"/>
  <c r="BX164" i="2"/>
  <c r="BW164" i="2"/>
  <c r="BV164" i="2"/>
  <c r="BU164" i="2"/>
  <c r="BT164" i="2"/>
  <c r="BS164" i="2"/>
  <c r="BR164" i="2"/>
  <c r="BQ164" i="2"/>
  <c r="BP164" i="2"/>
  <c r="BO164" i="2"/>
  <c r="BN164" i="2"/>
  <c r="BM164" i="2"/>
  <c r="BL164" i="2"/>
  <c r="BK164" i="2"/>
  <c r="BJ164" i="2"/>
  <c r="BI164" i="2"/>
  <c r="BH164" i="2"/>
  <c r="BG164" i="2"/>
  <c r="BF164" i="2"/>
  <c r="BE164" i="2"/>
  <c r="BD164" i="2"/>
  <c r="BC164" i="2"/>
  <c r="BB164" i="2"/>
  <c r="BA164" i="2"/>
  <c r="AZ164" i="2"/>
  <c r="AY164" i="2"/>
  <c r="AX164" i="2"/>
  <c r="AW164" i="2"/>
  <c r="AV164" i="2"/>
  <c r="AU164" i="2"/>
  <c r="AT164" i="2"/>
  <c r="AS164" i="2"/>
  <c r="AR164" i="2"/>
  <c r="AQ164" i="2"/>
  <c r="AP164" i="2"/>
  <c r="AO164" i="2"/>
  <c r="AN164" i="2"/>
  <c r="AM164" i="2"/>
  <c r="AL164" i="2"/>
  <c r="AK164" i="2"/>
  <c r="AJ164" i="2"/>
  <c r="AI164" i="2"/>
  <c r="AH164" i="2"/>
  <c r="AG164" i="2"/>
  <c r="AF164" i="2"/>
  <c r="AE164" i="2"/>
  <c r="AD164" i="2"/>
  <c r="AC164" i="2"/>
  <c r="AB164" i="2"/>
  <c r="AA164" i="2"/>
  <c r="Z164" i="2"/>
  <c r="Y164" i="2"/>
  <c r="X164" i="2"/>
  <c r="W164" i="2"/>
  <c r="V164" i="2"/>
  <c r="U164" i="2"/>
  <c r="T164" i="2"/>
  <c r="S164" i="2"/>
  <c r="R164" i="2"/>
  <c r="Q164" i="2"/>
  <c r="P164" i="2"/>
  <c r="O164" i="2"/>
  <c r="N164" i="2"/>
  <c r="M164" i="2"/>
  <c r="L164" i="2"/>
  <c r="K164" i="2"/>
  <c r="J164" i="2"/>
  <c r="I164" i="2"/>
  <c r="H164" i="2"/>
  <c r="G164" i="2"/>
  <c r="F164" i="2"/>
  <c r="E164" i="2"/>
  <c r="D164" i="2"/>
  <c r="C164" i="2"/>
  <c r="B164" i="2"/>
  <c r="A164" i="2"/>
  <c r="DS163" i="2"/>
  <c r="DR163" i="2"/>
  <c r="DQ163" i="2"/>
  <c r="DP163" i="2"/>
  <c r="DO163" i="2"/>
  <c r="DN163" i="2"/>
  <c r="DM163" i="2"/>
  <c r="DL163" i="2"/>
  <c r="DK163" i="2"/>
  <c r="DJ163" i="2"/>
  <c r="DI163" i="2"/>
  <c r="DH163" i="2"/>
  <c r="DG163" i="2"/>
  <c r="DF163" i="2"/>
  <c r="DE163" i="2"/>
  <c r="DD163" i="2"/>
  <c r="DC163" i="2"/>
  <c r="DB163" i="2"/>
  <c r="DA163" i="2"/>
  <c r="CZ163" i="2"/>
  <c r="CY163" i="2"/>
  <c r="CX163" i="2"/>
  <c r="CW163" i="2"/>
  <c r="CV163" i="2"/>
  <c r="CU163" i="2"/>
  <c r="CT163" i="2"/>
  <c r="CS163" i="2"/>
  <c r="CR163" i="2"/>
  <c r="CQ163" i="2"/>
  <c r="CP163" i="2"/>
  <c r="CO163" i="2"/>
  <c r="CN163" i="2"/>
  <c r="CM163" i="2"/>
  <c r="CL163" i="2"/>
  <c r="CK163" i="2"/>
  <c r="CJ163" i="2"/>
  <c r="CI163" i="2"/>
  <c r="CH163" i="2"/>
  <c r="CG163" i="2"/>
  <c r="CF163" i="2"/>
  <c r="CE163" i="2"/>
  <c r="CD163" i="2"/>
  <c r="CC163" i="2"/>
  <c r="CB163" i="2"/>
  <c r="CA163" i="2"/>
  <c r="BZ163" i="2"/>
  <c r="BY163" i="2"/>
  <c r="BX163" i="2"/>
  <c r="BW163" i="2"/>
  <c r="BV163" i="2"/>
  <c r="BU163" i="2"/>
  <c r="BT163" i="2"/>
  <c r="BS163" i="2"/>
  <c r="BR163" i="2"/>
  <c r="BQ163" i="2"/>
  <c r="BP163" i="2"/>
  <c r="BO163" i="2"/>
  <c r="BN163" i="2"/>
  <c r="BM163" i="2"/>
  <c r="BL163" i="2"/>
  <c r="BK163" i="2"/>
  <c r="BJ163" i="2"/>
  <c r="BI163" i="2"/>
  <c r="BH163" i="2"/>
  <c r="BG163" i="2"/>
  <c r="BF163" i="2"/>
  <c r="BE163" i="2"/>
  <c r="BD163" i="2"/>
  <c r="BC163" i="2"/>
  <c r="BB163" i="2"/>
  <c r="BA163" i="2"/>
  <c r="AZ163" i="2"/>
  <c r="AY163" i="2"/>
  <c r="AX163" i="2"/>
  <c r="AW163" i="2"/>
  <c r="AV163" i="2"/>
  <c r="AU163" i="2"/>
  <c r="AT163" i="2"/>
  <c r="AS163" i="2"/>
  <c r="AR163" i="2"/>
  <c r="AQ163" i="2"/>
  <c r="AP163" i="2"/>
  <c r="AO163" i="2"/>
  <c r="AN163" i="2"/>
  <c r="AM163" i="2"/>
  <c r="AL163" i="2"/>
  <c r="AK163" i="2"/>
  <c r="AJ163" i="2"/>
  <c r="AI163" i="2"/>
  <c r="AH163" i="2"/>
  <c r="AG163" i="2"/>
  <c r="AF163" i="2"/>
  <c r="AE163" i="2"/>
  <c r="AD163" i="2"/>
  <c r="AC163" i="2"/>
  <c r="AB163" i="2"/>
  <c r="AA163" i="2"/>
  <c r="Z163" i="2"/>
  <c r="Y163" i="2"/>
  <c r="X163" i="2"/>
  <c r="W163" i="2"/>
  <c r="V163" i="2"/>
  <c r="U163" i="2"/>
  <c r="T163" i="2"/>
  <c r="S163" i="2"/>
  <c r="R163" i="2"/>
  <c r="Q163" i="2"/>
  <c r="P163" i="2"/>
  <c r="O163" i="2"/>
  <c r="N163" i="2"/>
  <c r="M163" i="2"/>
  <c r="L163" i="2"/>
  <c r="K163" i="2"/>
  <c r="J163" i="2"/>
  <c r="I163" i="2"/>
  <c r="H163" i="2"/>
  <c r="G163" i="2"/>
  <c r="F163" i="2"/>
  <c r="E163" i="2"/>
  <c r="D163" i="2"/>
  <c r="C163" i="2"/>
  <c r="B163" i="2"/>
  <c r="A163" i="2"/>
  <c r="DY162" i="2"/>
  <c r="DX162" i="2"/>
  <c r="DW162" i="2"/>
  <c r="DV162" i="2"/>
  <c r="DU162" i="2"/>
  <c r="DT162" i="2"/>
  <c r="DS162" i="2"/>
  <c r="DR162" i="2"/>
  <c r="DQ162" i="2"/>
  <c r="DP162" i="2"/>
  <c r="DO162" i="2"/>
  <c r="DN162" i="2"/>
  <c r="DM162" i="2"/>
  <c r="DL162" i="2"/>
  <c r="DK162" i="2"/>
  <c r="DJ162" i="2"/>
  <c r="DI162" i="2"/>
  <c r="DH162" i="2"/>
  <c r="DG162" i="2"/>
  <c r="DF162" i="2"/>
  <c r="DE162" i="2"/>
  <c r="DD162" i="2"/>
  <c r="DC162" i="2"/>
  <c r="DB162" i="2"/>
  <c r="DA162" i="2"/>
  <c r="CZ162" i="2"/>
  <c r="CY162" i="2"/>
  <c r="CX162" i="2"/>
  <c r="CW162" i="2"/>
  <c r="CV162" i="2"/>
  <c r="CU162" i="2"/>
  <c r="CT162" i="2"/>
  <c r="CS162" i="2"/>
  <c r="CR162" i="2"/>
  <c r="CQ162" i="2"/>
  <c r="CP162" i="2"/>
  <c r="CO162" i="2"/>
  <c r="CN162" i="2"/>
  <c r="CM162" i="2"/>
  <c r="CL162" i="2"/>
  <c r="CK162" i="2"/>
  <c r="CJ162" i="2"/>
  <c r="CI162" i="2"/>
  <c r="CH162" i="2"/>
  <c r="CG162" i="2"/>
  <c r="CF162" i="2"/>
  <c r="CE162" i="2"/>
  <c r="CD162" i="2"/>
  <c r="CC162" i="2"/>
  <c r="CB162" i="2"/>
  <c r="CA162" i="2"/>
  <c r="BZ162" i="2"/>
  <c r="BY162" i="2"/>
  <c r="BX162" i="2"/>
  <c r="BW162" i="2"/>
  <c r="BV162" i="2"/>
  <c r="BU162" i="2"/>
  <c r="BT162" i="2"/>
  <c r="BS162" i="2"/>
  <c r="BR162" i="2"/>
  <c r="BQ162" i="2"/>
  <c r="BP162" i="2"/>
  <c r="BO162" i="2"/>
  <c r="BN162" i="2"/>
  <c r="BM162" i="2"/>
  <c r="BL162" i="2"/>
  <c r="BK162" i="2"/>
  <c r="BJ162" i="2"/>
  <c r="BI162" i="2"/>
  <c r="BH162" i="2"/>
  <c r="BG162" i="2"/>
  <c r="BF162" i="2"/>
  <c r="BE162" i="2"/>
  <c r="BD162" i="2"/>
  <c r="BC162" i="2"/>
  <c r="BB162" i="2"/>
  <c r="BA162" i="2"/>
  <c r="AZ162" i="2"/>
  <c r="AY162" i="2"/>
  <c r="AX162" i="2"/>
  <c r="AW162" i="2"/>
  <c r="AV162" i="2"/>
  <c r="AU162" i="2"/>
  <c r="AT162" i="2"/>
  <c r="AS162" i="2"/>
  <c r="AR162" i="2"/>
  <c r="AQ162" i="2"/>
  <c r="AP162" i="2"/>
  <c r="AO162" i="2"/>
  <c r="AN162" i="2"/>
  <c r="AM162" i="2"/>
  <c r="AL162" i="2"/>
  <c r="AK162" i="2"/>
  <c r="AJ162" i="2"/>
  <c r="AI162" i="2"/>
  <c r="AH162" i="2"/>
  <c r="AG162" i="2"/>
  <c r="AF162" i="2"/>
  <c r="AE162" i="2"/>
  <c r="AD162" i="2"/>
  <c r="AC162" i="2"/>
  <c r="AB162" i="2"/>
  <c r="AA162" i="2"/>
  <c r="Z162" i="2"/>
  <c r="Y162" i="2"/>
  <c r="X162" i="2"/>
  <c r="W162" i="2"/>
  <c r="V162" i="2"/>
  <c r="U162" i="2"/>
  <c r="T162" i="2"/>
  <c r="S162" i="2"/>
  <c r="R162" i="2"/>
  <c r="Q162" i="2"/>
  <c r="P162" i="2"/>
  <c r="O162" i="2"/>
  <c r="N162" i="2"/>
  <c r="M162" i="2"/>
  <c r="L162" i="2"/>
  <c r="K162" i="2"/>
  <c r="J162" i="2"/>
  <c r="I162" i="2"/>
  <c r="H162" i="2"/>
  <c r="G162" i="2"/>
  <c r="F162" i="2"/>
  <c r="E162" i="2"/>
  <c r="D162" i="2"/>
  <c r="C162" i="2"/>
  <c r="B162" i="2"/>
  <c r="A162" i="2"/>
  <c r="DS161" i="2"/>
  <c r="DR161" i="2"/>
  <c r="DQ161" i="2"/>
  <c r="DP161" i="2"/>
  <c r="DO161" i="2"/>
  <c r="DN161" i="2"/>
  <c r="DM161" i="2"/>
  <c r="DL161" i="2"/>
  <c r="DK161" i="2"/>
  <c r="DJ161" i="2"/>
  <c r="DI161" i="2"/>
  <c r="DH161" i="2"/>
  <c r="DG161" i="2"/>
  <c r="DF161" i="2"/>
  <c r="DE161" i="2"/>
  <c r="DD161" i="2"/>
  <c r="DC161" i="2"/>
  <c r="DB161" i="2"/>
  <c r="DA161" i="2"/>
  <c r="CZ161" i="2"/>
  <c r="CY161" i="2"/>
  <c r="CX161" i="2"/>
  <c r="CW161" i="2"/>
  <c r="CV161" i="2"/>
  <c r="CU161" i="2"/>
  <c r="CT161" i="2"/>
  <c r="CS161" i="2"/>
  <c r="CR161" i="2"/>
  <c r="CQ161" i="2"/>
  <c r="CP161" i="2"/>
  <c r="CO161" i="2"/>
  <c r="CN161" i="2"/>
  <c r="CM161" i="2"/>
  <c r="CL161" i="2"/>
  <c r="CK161" i="2"/>
  <c r="CJ161" i="2"/>
  <c r="CI161" i="2"/>
  <c r="CH161" i="2"/>
  <c r="CG161" i="2"/>
  <c r="CF161" i="2"/>
  <c r="CE161" i="2"/>
  <c r="CD161" i="2"/>
  <c r="CC161" i="2"/>
  <c r="CB161" i="2"/>
  <c r="CA161" i="2"/>
  <c r="BZ161" i="2"/>
  <c r="BY161" i="2"/>
  <c r="BX161" i="2"/>
  <c r="BW161" i="2"/>
  <c r="BV161" i="2"/>
  <c r="BU161" i="2"/>
  <c r="BT161" i="2"/>
  <c r="BS161" i="2"/>
  <c r="BR161" i="2"/>
  <c r="BQ161" i="2"/>
  <c r="BP161" i="2"/>
  <c r="BO161" i="2"/>
  <c r="BN161" i="2"/>
  <c r="BM161" i="2"/>
  <c r="BL161" i="2"/>
  <c r="BK161" i="2"/>
  <c r="BJ161" i="2"/>
  <c r="BI161" i="2"/>
  <c r="BH161" i="2"/>
  <c r="BG161" i="2"/>
  <c r="BF161" i="2"/>
  <c r="BE161" i="2"/>
  <c r="BD161" i="2"/>
  <c r="BC161" i="2"/>
  <c r="BB161" i="2"/>
  <c r="BA161" i="2"/>
  <c r="AZ161" i="2"/>
  <c r="AY161" i="2"/>
  <c r="AX161" i="2"/>
  <c r="AW161" i="2"/>
  <c r="AV161" i="2"/>
  <c r="AU161" i="2"/>
  <c r="AT161" i="2"/>
  <c r="AS161" i="2"/>
  <c r="AR161" i="2"/>
  <c r="AQ161" i="2"/>
  <c r="AP161" i="2"/>
  <c r="AO161" i="2"/>
  <c r="AN161" i="2"/>
  <c r="AM161" i="2"/>
  <c r="AL161" i="2"/>
  <c r="AK161" i="2"/>
  <c r="AJ161" i="2"/>
  <c r="AI161" i="2"/>
  <c r="AH161" i="2"/>
  <c r="AG161" i="2"/>
  <c r="AF161" i="2"/>
  <c r="AE161" i="2"/>
  <c r="AD161" i="2"/>
  <c r="AC161" i="2"/>
  <c r="AB161" i="2"/>
  <c r="AA161" i="2"/>
  <c r="Z161" i="2"/>
  <c r="Y161" i="2"/>
  <c r="X161" i="2"/>
  <c r="W161" i="2"/>
  <c r="V161" i="2"/>
  <c r="U161" i="2"/>
  <c r="T161" i="2"/>
  <c r="S161" i="2"/>
  <c r="R161" i="2"/>
  <c r="Q161" i="2"/>
  <c r="P161" i="2"/>
  <c r="O161" i="2"/>
  <c r="N161" i="2"/>
  <c r="M161" i="2"/>
  <c r="L161" i="2"/>
  <c r="K161" i="2"/>
  <c r="J161" i="2"/>
  <c r="I161" i="2"/>
  <c r="H161" i="2"/>
  <c r="G161" i="2"/>
  <c r="F161" i="2"/>
  <c r="E161" i="2"/>
  <c r="D161" i="2"/>
  <c r="C161" i="2"/>
  <c r="B161" i="2"/>
  <c r="A161" i="2"/>
  <c r="A156" i="2"/>
  <c r="FH149" i="2"/>
  <c r="FG149" i="2"/>
  <c r="FF149" i="2"/>
  <c r="FE149" i="2"/>
  <c r="FD149" i="2"/>
  <c r="FC149" i="2"/>
  <c r="FB149" i="2"/>
  <c r="FA149" i="2"/>
  <c r="EZ149" i="2"/>
  <c r="EY149" i="2"/>
  <c r="EX149" i="2"/>
  <c r="EW149" i="2"/>
  <c r="EV149" i="2"/>
  <c r="EU149" i="2"/>
  <c r="ET149" i="2"/>
  <c r="ES149" i="2"/>
  <c r="ER149" i="2"/>
  <c r="EQ149" i="2"/>
  <c r="EP149" i="2"/>
  <c r="EO149" i="2"/>
  <c r="EN149" i="2"/>
  <c r="EM149" i="2"/>
  <c r="EL149" i="2"/>
  <c r="EK149" i="2"/>
  <c r="EJ149" i="2"/>
  <c r="EI149" i="2"/>
  <c r="EH149" i="2"/>
  <c r="EG149" i="2"/>
  <c r="EF149" i="2"/>
  <c r="EE149" i="2"/>
  <c r="ED149" i="2"/>
  <c r="EC149" i="2"/>
  <c r="EB149" i="2"/>
  <c r="FH148" i="2"/>
  <c r="FG148" i="2"/>
  <c r="FF148" i="2"/>
  <c r="FE148" i="2"/>
  <c r="FD148" i="2"/>
  <c r="FC148" i="2"/>
  <c r="FB148" i="2"/>
  <c r="FA148" i="2"/>
  <c r="EZ148" i="2"/>
  <c r="EY148" i="2"/>
  <c r="EX148" i="2"/>
  <c r="EW148" i="2"/>
  <c r="EV148" i="2"/>
  <c r="EU148" i="2"/>
  <c r="ET148" i="2"/>
  <c r="ES148" i="2"/>
  <c r="ER148" i="2"/>
  <c r="EQ148" i="2"/>
  <c r="EP148" i="2"/>
  <c r="EO148" i="2"/>
  <c r="EN148" i="2"/>
  <c r="EM148" i="2"/>
  <c r="EL148" i="2"/>
  <c r="EK148" i="2"/>
  <c r="EJ148" i="2"/>
  <c r="EI148" i="2"/>
  <c r="EH148" i="2"/>
  <c r="EG148" i="2"/>
  <c r="EF148" i="2"/>
  <c r="EE148" i="2"/>
  <c r="ED148" i="2"/>
  <c r="EC148" i="2"/>
  <c r="EB148" i="2"/>
  <c r="FH147" i="2"/>
  <c r="FG147" i="2"/>
  <c r="FF147" i="2"/>
  <c r="FE147" i="2"/>
  <c r="FD147" i="2"/>
  <c r="FC147" i="2"/>
  <c r="FB147" i="2"/>
  <c r="FA147" i="2"/>
  <c r="EZ147" i="2"/>
  <c r="EY147" i="2"/>
  <c r="EX147" i="2"/>
  <c r="EW147" i="2"/>
  <c r="EV147" i="2"/>
  <c r="EU147" i="2"/>
  <c r="ET147" i="2"/>
  <c r="ES147" i="2"/>
  <c r="ER147" i="2"/>
  <c r="EQ147" i="2"/>
  <c r="EP147" i="2"/>
  <c r="EO147" i="2"/>
  <c r="EN147" i="2"/>
  <c r="EM147" i="2"/>
  <c r="EL147" i="2"/>
  <c r="EK147" i="2"/>
  <c r="EJ147" i="2"/>
  <c r="EI147" i="2"/>
  <c r="EH147" i="2"/>
  <c r="EG147" i="2"/>
  <c r="EF147" i="2"/>
  <c r="EE147" i="2"/>
  <c r="ED147" i="2"/>
  <c r="EC147" i="2"/>
  <c r="EB147" i="2"/>
  <c r="DY149" i="2"/>
  <c r="DX149" i="2"/>
  <c r="DW149" i="2"/>
  <c r="DV149" i="2"/>
  <c r="DU149" i="2"/>
  <c r="DT149" i="2"/>
  <c r="DS149" i="2"/>
  <c r="DR149" i="2"/>
  <c r="DQ149" i="2"/>
  <c r="DP149" i="2"/>
  <c r="DO149" i="2"/>
  <c r="DN149" i="2"/>
  <c r="DM149" i="2"/>
  <c r="DL149" i="2"/>
  <c r="DK149" i="2"/>
  <c r="DJ149" i="2"/>
  <c r="DI149" i="2"/>
  <c r="DH149" i="2"/>
  <c r="DG149" i="2"/>
  <c r="DF149" i="2"/>
  <c r="DE149" i="2"/>
  <c r="DD149" i="2"/>
  <c r="DC149" i="2"/>
  <c r="DB149" i="2"/>
  <c r="DA149" i="2"/>
  <c r="CZ149" i="2"/>
  <c r="CY149" i="2"/>
  <c r="CX149" i="2"/>
  <c r="CW149" i="2"/>
  <c r="CV149" i="2"/>
  <c r="CU149" i="2"/>
  <c r="CT149" i="2"/>
  <c r="CS149" i="2"/>
  <c r="CR149" i="2"/>
  <c r="CQ149" i="2"/>
  <c r="CP149" i="2"/>
  <c r="CO149" i="2"/>
  <c r="CN149" i="2"/>
  <c r="CM149" i="2"/>
  <c r="CL149" i="2"/>
  <c r="CK149" i="2"/>
  <c r="CJ149" i="2"/>
  <c r="CI149" i="2"/>
  <c r="CH149" i="2"/>
  <c r="CG149" i="2"/>
  <c r="CF149" i="2"/>
  <c r="CE149" i="2"/>
  <c r="CD149" i="2"/>
  <c r="CC149" i="2"/>
  <c r="CB149" i="2"/>
  <c r="CA149" i="2"/>
  <c r="BZ149" i="2"/>
  <c r="BY149" i="2"/>
  <c r="BX149" i="2"/>
  <c r="BW149" i="2"/>
  <c r="BV149" i="2"/>
  <c r="BU149" i="2"/>
  <c r="BT149" i="2"/>
  <c r="BS149" i="2"/>
  <c r="BR149" i="2"/>
  <c r="BQ149" i="2"/>
  <c r="BP149" i="2"/>
  <c r="BO149" i="2"/>
  <c r="BN149" i="2"/>
  <c r="BM149" i="2"/>
  <c r="BL149" i="2"/>
  <c r="BK149" i="2"/>
  <c r="BJ149" i="2"/>
  <c r="BI149" i="2"/>
  <c r="BH149" i="2"/>
  <c r="BG149" i="2"/>
  <c r="BF149" i="2"/>
  <c r="BE149" i="2"/>
  <c r="BD149" i="2"/>
  <c r="BC149" i="2"/>
  <c r="BB149" i="2"/>
  <c r="BA149" i="2"/>
  <c r="AZ149" i="2"/>
  <c r="AY149" i="2"/>
  <c r="AX149" i="2"/>
  <c r="AW149" i="2"/>
  <c r="AV149" i="2"/>
  <c r="AU149" i="2"/>
  <c r="AT149" i="2"/>
  <c r="AS149" i="2"/>
  <c r="AR149" i="2"/>
  <c r="AQ149" i="2"/>
  <c r="AP149" i="2"/>
  <c r="AO149" i="2"/>
  <c r="AN149" i="2"/>
  <c r="AM149" i="2"/>
  <c r="AL149" i="2"/>
  <c r="AK149" i="2"/>
  <c r="AJ149" i="2"/>
  <c r="AI149" i="2"/>
  <c r="AH149" i="2"/>
  <c r="AG149" i="2"/>
  <c r="AF149" i="2"/>
  <c r="AE149" i="2"/>
  <c r="AD149" i="2"/>
  <c r="AC149" i="2"/>
  <c r="AB149" i="2"/>
  <c r="AA149" i="2"/>
  <c r="Z149" i="2"/>
  <c r="Y149" i="2"/>
  <c r="X149" i="2"/>
  <c r="W149" i="2"/>
  <c r="V149" i="2"/>
  <c r="U149" i="2"/>
  <c r="T149" i="2"/>
  <c r="S149" i="2"/>
  <c r="R149" i="2"/>
  <c r="Q149" i="2"/>
  <c r="P149" i="2"/>
  <c r="O149" i="2"/>
  <c r="N149" i="2"/>
  <c r="M149" i="2"/>
  <c r="L149" i="2"/>
  <c r="K149" i="2"/>
  <c r="J149" i="2"/>
  <c r="I149" i="2"/>
  <c r="H149" i="2"/>
  <c r="G149" i="2"/>
  <c r="F149" i="2"/>
  <c r="E149" i="2"/>
  <c r="D149" i="2"/>
  <c r="C149" i="2"/>
  <c r="B149" i="2"/>
  <c r="A149" i="2"/>
  <c r="DY148" i="2"/>
  <c r="DX148" i="2"/>
  <c r="DW148" i="2"/>
  <c r="DV148" i="2"/>
  <c r="DU148" i="2"/>
  <c r="DT148" i="2"/>
  <c r="DS148" i="2"/>
  <c r="DR148" i="2"/>
  <c r="DQ148" i="2"/>
  <c r="DP148" i="2"/>
  <c r="DO148" i="2"/>
  <c r="DN148" i="2"/>
  <c r="DM148" i="2"/>
  <c r="DL148" i="2"/>
  <c r="DK148" i="2"/>
  <c r="DJ148" i="2"/>
  <c r="DI148" i="2"/>
  <c r="DH148" i="2"/>
  <c r="DG148" i="2"/>
  <c r="DF148" i="2"/>
  <c r="DE148" i="2"/>
  <c r="DD148" i="2"/>
  <c r="DC148" i="2"/>
  <c r="DB148" i="2"/>
  <c r="DA148" i="2"/>
  <c r="CZ148" i="2"/>
  <c r="CY148" i="2"/>
  <c r="CX148" i="2"/>
  <c r="CW148" i="2"/>
  <c r="CV148" i="2"/>
  <c r="CU148" i="2"/>
  <c r="CT148" i="2"/>
  <c r="CS148" i="2"/>
  <c r="CR148" i="2"/>
  <c r="CQ148" i="2"/>
  <c r="CP148" i="2"/>
  <c r="CO148" i="2"/>
  <c r="CN148" i="2"/>
  <c r="CM148" i="2"/>
  <c r="CL148" i="2"/>
  <c r="CK148" i="2"/>
  <c r="CJ148" i="2"/>
  <c r="CI148" i="2"/>
  <c r="CH148" i="2"/>
  <c r="CG148" i="2"/>
  <c r="CF148" i="2"/>
  <c r="CE148" i="2"/>
  <c r="CD148" i="2"/>
  <c r="CC148" i="2"/>
  <c r="CB148" i="2"/>
  <c r="CA148" i="2"/>
  <c r="BZ148" i="2"/>
  <c r="BY148" i="2"/>
  <c r="BX148" i="2"/>
  <c r="BW148" i="2"/>
  <c r="BV148" i="2"/>
  <c r="BU148" i="2"/>
  <c r="BT148" i="2"/>
  <c r="BS148" i="2"/>
  <c r="BR148" i="2"/>
  <c r="BQ148" i="2"/>
  <c r="BP148" i="2"/>
  <c r="BO148" i="2"/>
  <c r="BN148" i="2"/>
  <c r="BM148" i="2"/>
  <c r="BL148" i="2"/>
  <c r="BK148" i="2"/>
  <c r="BJ148" i="2"/>
  <c r="BI148" i="2"/>
  <c r="BH148" i="2"/>
  <c r="BG148" i="2"/>
  <c r="BF148" i="2"/>
  <c r="BE148" i="2"/>
  <c r="BD148" i="2"/>
  <c r="BC148" i="2"/>
  <c r="BB148" i="2"/>
  <c r="BA148" i="2"/>
  <c r="AZ148" i="2"/>
  <c r="AY148" i="2"/>
  <c r="AX148" i="2"/>
  <c r="AW148" i="2"/>
  <c r="AV148" i="2"/>
  <c r="AU148" i="2"/>
  <c r="AT148" i="2"/>
  <c r="AS148" i="2"/>
  <c r="AR148" i="2"/>
  <c r="AQ148" i="2"/>
  <c r="AP148" i="2"/>
  <c r="AO148" i="2"/>
  <c r="AN148" i="2"/>
  <c r="AM148" i="2"/>
  <c r="AL148" i="2"/>
  <c r="AK148" i="2"/>
  <c r="AJ148" i="2"/>
  <c r="AI148" i="2"/>
  <c r="AH148" i="2"/>
  <c r="AG148" i="2"/>
  <c r="AF148" i="2"/>
  <c r="AE148" i="2"/>
  <c r="AD148" i="2"/>
  <c r="AC148" i="2"/>
  <c r="AB148" i="2"/>
  <c r="AA148" i="2"/>
  <c r="Z148" i="2"/>
  <c r="Y148" i="2"/>
  <c r="X148" i="2"/>
  <c r="W148" i="2"/>
  <c r="V148" i="2"/>
  <c r="U148" i="2"/>
  <c r="T148" i="2"/>
  <c r="S148" i="2"/>
  <c r="R148" i="2"/>
  <c r="Q148" i="2"/>
  <c r="P148" i="2"/>
  <c r="O148" i="2"/>
  <c r="N148" i="2"/>
  <c r="M148" i="2"/>
  <c r="L148" i="2"/>
  <c r="K148" i="2"/>
  <c r="J148" i="2"/>
  <c r="I148" i="2"/>
  <c r="H148" i="2"/>
  <c r="G148" i="2"/>
  <c r="F148" i="2"/>
  <c r="E148" i="2"/>
  <c r="D148" i="2"/>
  <c r="C148" i="2"/>
  <c r="B148" i="2"/>
  <c r="A148" i="2"/>
  <c r="DR147" i="2"/>
  <c r="DQ147" i="2"/>
  <c r="DP147" i="2"/>
  <c r="DO147" i="2"/>
  <c r="DN147" i="2"/>
  <c r="DM147" i="2"/>
  <c r="DL147" i="2"/>
  <c r="DK147" i="2"/>
  <c r="DJ147" i="2"/>
  <c r="DI147" i="2"/>
  <c r="DH147" i="2"/>
  <c r="DG147" i="2"/>
  <c r="DF147" i="2"/>
  <c r="DE147" i="2"/>
  <c r="DD147" i="2"/>
  <c r="DC147" i="2"/>
  <c r="DB147" i="2"/>
  <c r="DA147" i="2"/>
  <c r="CZ147" i="2"/>
  <c r="CY147" i="2"/>
  <c r="CX147" i="2"/>
  <c r="CW147" i="2"/>
  <c r="CV147" i="2"/>
  <c r="CU147" i="2"/>
  <c r="CT147" i="2"/>
  <c r="CS147" i="2"/>
  <c r="CR147" i="2"/>
  <c r="CQ147" i="2"/>
  <c r="CP147" i="2"/>
  <c r="CO147" i="2"/>
  <c r="CN147" i="2"/>
  <c r="CM147" i="2"/>
  <c r="CL147" i="2"/>
  <c r="CK147" i="2"/>
  <c r="CJ147" i="2"/>
  <c r="CI147" i="2"/>
  <c r="CH147" i="2"/>
  <c r="CG147" i="2"/>
  <c r="CF147" i="2"/>
  <c r="CE147" i="2"/>
  <c r="CD147" i="2"/>
  <c r="CC147" i="2"/>
  <c r="CB147" i="2"/>
  <c r="CA147" i="2"/>
  <c r="BZ147" i="2"/>
  <c r="BY147" i="2"/>
  <c r="BX147" i="2"/>
  <c r="BW147" i="2"/>
  <c r="BV147" i="2"/>
  <c r="BU147" i="2"/>
  <c r="BT147" i="2"/>
  <c r="BS147" i="2"/>
  <c r="BR147" i="2"/>
  <c r="BQ147" i="2"/>
  <c r="BP147" i="2"/>
  <c r="BO147" i="2"/>
  <c r="BN147" i="2"/>
  <c r="BM147" i="2"/>
  <c r="BL147" i="2"/>
  <c r="BK147" i="2"/>
  <c r="BJ147" i="2"/>
  <c r="BI147" i="2"/>
  <c r="BH147" i="2"/>
  <c r="BG147" i="2"/>
  <c r="BF147" i="2"/>
  <c r="BE147" i="2"/>
  <c r="BD147" i="2"/>
  <c r="BC147" i="2"/>
  <c r="BB147" i="2"/>
  <c r="BA147" i="2"/>
  <c r="AZ147" i="2"/>
  <c r="AY147" i="2"/>
  <c r="AX147" i="2"/>
  <c r="AW147" i="2"/>
  <c r="AV147" i="2"/>
  <c r="AU147" i="2"/>
  <c r="AT147" i="2"/>
  <c r="AS147" i="2"/>
  <c r="AR147" i="2"/>
  <c r="AQ147" i="2"/>
  <c r="AP147" i="2"/>
  <c r="AO147" i="2"/>
  <c r="AN147" i="2"/>
  <c r="AM147" i="2"/>
  <c r="AL147" i="2"/>
  <c r="AK147" i="2"/>
  <c r="AJ147" i="2"/>
  <c r="AI147" i="2"/>
  <c r="AH147" i="2"/>
  <c r="AG147" i="2"/>
  <c r="AF147" i="2"/>
  <c r="AE147" i="2"/>
  <c r="AD147" i="2"/>
  <c r="AC147" i="2"/>
  <c r="AB147" i="2"/>
  <c r="AA147" i="2"/>
  <c r="Z147" i="2"/>
  <c r="Y147" i="2"/>
  <c r="X147" i="2"/>
  <c r="W147" i="2"/>
  <c r="V147" i="2"/>
  <c r="U147" i="2"/>
  <c r="T147" i="2"/>
  <c r="S147" i="2"/>
  <c r="R147" i="2"/>
  <c r="Q147" i="2"/>
  <c r="P147" i="2"/>
  <c r="O147" i="2"/>
  <c r="N147" i="2"/>
  <c r="M147" i="2"/>
  <c r="L147" i="2"/>
  <c r="K147" i="2"/>
  <c r="J147" i="2"/>
  <c r="I147" i="2"/>
  <c r="H147" i="2"/>
  <c r="G147" i="2"/>
  <c r="F147" i="2"/>
  <c r="E147" i="2"/>
  <c r="D147" i="2"/>
  <c r="C147" i="2"/>
  <c r="B147" i="2"/>
  <c r="A147" i="2"/>
  <c r="FH144" i="2"/>
  <c r="FG144" i="2"/>
  <c r="FF144" i="2"/>
  <c r="FE144" i="2"/>
  <c r="FD144" i="2"/>
  <c r="FC144" i="2"/>
  <c r="FB144" i="2"/>
  <c r="FA144" i="2"/>
  <c r="EZ144" i="2"/>
  <c r="EY144" i="2"/>
  <c r="EX144" i="2"/>
  <c r="EW144" i="2"/>
  <c r="EV144" i="2"/>
  <c r="EU144" i="2"/>
  <c r="ET144" i="2"/>
  <c r="ES144" i="2"/>
  <c r="ER144" i="2"/>
  <c r="EQ144" i="2"/>
  <c r="EP144" i="2"/>
  <c r="EO144" i="2"/>
  <c r="EN144" i="2"/>
  <c r="EM144" i="2"/>
  <c r="EL144" i="2"/>
  <c r="EK144" i="2"/>
  <c r="EJ144" i="2"/>
  <c r="EI144" i="2"/>
  <c r="EH144" i="2"/>
  <c r="EG144" i="2"/>
  <c r="EF144" i="2"/>
  <c r="EE144" i="2"/>
  <c r="ED144" i="2"/>
  <c r="EC144" i="2"/>
  <c r="EB144" i="2"/>
  <c r="FH143" i="2"/>
  <c r="FG143" i="2"/>
  <c r="FF143" i="2"/>
  <c r="FE143" i="2"/>
  <c r="FD143" i="2"/>
  <c r="FC143" i="2"/>
  <c r="FB143" i="2"/>
  <c r="FA143" i="2"/>
  <c r="EZ143" i="2"/>
  <c r="EY143" i="2"/>
  <c r="EX143" i="2"/>
  <c r="EW143" i="2"/>
  <c r="EV143" i="2"/>
  <c r="EU143" i="2"/>
  <c r="ET143" i="2"/>
  <c r="ES143" i="2"/>
  <c r="ER143" i="2"/>
  <c r="EQ143" i="2"/>
  <c r="EP143" i="2"/>
  <c r="EO143" i="2"/>
  <c r="EN143" i="2"/>
  <c r="EM143" i="2"/>
  <c r="EL143" i="2"/>
  <c r="EK143" i="2"/>
  <c r="EJ143" i="2"/>
  <c r="EI143" i="2"/>
  <c r="EH143" i="2"/>
  <c r="EG143" i="2"/>
  <c r="EF143" i="2"/>
  <c r="EE143" i="2"/>
  <c r="ED143" i="2"/>
  <c r="EC143" i="2"/>
  <c r="EB143" i="2"/>
  <c r="FH142" i="2"/>
  <c r="FG142" i="2"/>
  <c r="FF142" i="2"/>
  <c r="FE142" i="2"/>
  <c r="FD142" i="2"/>
  <c r="FC142" i="2"/>
  <c r="FB142" i="2"/>
  <c r="FA142" i="2"/>
  <c r="EZ142" i="2"/>
  <c r="EY142" i="2"/>
  <c r="EX142" i="2"/>
  <c r="EW142" i="2"/>
  <c r="EV142" i="2"/>
  <c r="EU142" i="2"/>
  <c r="ET142" i="2"/>
  <c r="ES142" i="2"/>
  <c r="ER142" i="2"/>
  <c r="EQ142" i="2"/>
  <c r="EP142" i="2"/>
  <c r="EO142" i="2"/>
  <c r="EN142" i="2"/>
  <c r="EM142" i="2"/>
  <c r="EL142" i="2"/>
  <c r="EK142" i="2"/>
  <c r="EJ142" i="2"/>
  <c r="EI142" i="2"/>
  <c r="EH142" i="2"/>
  <c r="EG142" i="2"/>
  <c r="EF142" i="2"/>
  <c r="EE142" i="2"/>
  <c r="ED142" i="2"/>
  <c r="EC142" i="2"/>
  <c r="EB142" i="2"/>
  <c r="DY144" i="2"/>
  <c r="DX144" i="2"/>
  <c r="DW144" i="2"/>
  <c r="DV144" i="2"/>
  <c r="DU144" i="2"/>
  <c r="DT144" i="2"/>
  <c r="DS144" i="2"/>
  <c r="DR144" i="2"/>
  <c r="DQ144" i="2"/>
  <c r="DP144" i="2"/>
  <c r="DO144" i="2"/>
  <c r="DN144" i="2"/>
  <c r="DM144" i="2"/>
  <c r="DL144" i="2"/>
  <c r="DK144" i="2"/>
  <c r="DJ144" i="2"/>
  <c r="DI144" i="2"/>
  <c r="DH144" i="2"/>
  <c r="DG144" i="2"/>
  <c r="DF144" i="2"/>
  <c r="DE144" i="2"/>
  <c r="DD144" i="2"/>
  <c r="DC144" i="2"/>
  <c r="DB144" i="2"/>
  <c r="DA144" i="2"/>
  <c r="CZ144" i="2"/>
  <c r="CY144" i="2"/>
  <c r="CX144" i="2"/>
  <c r="CW144" i="2"/>
  <c r="CV144" i="2"/>
  <c r="CU144" i="2"/>
  <c r="CT144" i="2"/>
  <c r="CS144" i="2"/>
  <c r="CR144" i="2"/>
  <c r="CQ144" i="2"/>
  <c r="CP144" i="2"/>
  <c r="CO144" i="2"/>
  <c r="CN144" i="2"/>
  <c r="CM144" i="2"/>
  <c r="CL144" i="2"/>
  <c r="CK144" i="2"/>
  <c r="CJ144" i="2"/>
  <c r="CI144" i="2"/>
  <c r="CH144" i="2"/>
  <c r="CG144" i="2"/>
  <c r="CF144" i="2"/>
  <c r="CE144" i="2"/>
  <c r="CD144" i="2"/>
  <c r="CC144" i="2"/>
  <c r="CB144" i="2"/>
  <c r="CA144" i="2"/>
  <c r="BZ144" i="2"/>
  <c r="BY144" i="2"/>
  <c r="BX144" i="2"/>
  <c r="BW144" i="2"/>
  <c r="BV144" i="2"/>
  <c r="BU144" i="2"/>
  <c r="BT144" i="2"/>
  <c r="BS144" i="2"/>
  <c r="BR144" i="2"/>
  <c r="BQ144" i="2"/>
  <c r="BP144" i="2"/>
  <c r="BO144" i="2"/>
  <c r="BN144" i="2"/>
  <c r="BM144" i="2"/>
  <c r="BL144" i="2"/>
  <c r="BK144" i="2"/>
  <c r="BJ144" i="2"/>
  <c r="BI144" i="2"/>
  <c r="BH144" i="2"/>
  <c r="BG144" i="2"/>
  <c r="BF144" i="2"/>
  <c r="BE144" i="2"/>
  <c r="BD144" i="2"/>
  <c r="BC144" i="2"/>
  <c r="BB144" i="2"/>
  <c r="BA144" i="2"/>
  <c r="AZ144" i="2"/>
  <c r="AY144" i="2"/>
  <c r="AX144" i="2"/>
  <c r="AW144" i="2"/>
  <c r="AV144" i="2"/>
  <c r="AU144" i="2"/>
  <c r="AT144" i="2"/>
  <c r="AS144" i="2"/>
  <c r="AR144" i="2"/>
  <c r="AQ144" i="2"/>
  <c r="AP144" i="2"/>
  <c r="AO144" i="2"/>
  <c r="AN144" i="2"/>
  <c r="AM144" i="2"/>
  <c r="AL144" i="2"/>
  <c r="AK144" i="2"/>
  <c r="AJ144" i="2"/>
  <c r="AI144" i="2"/>
  <c r="AH144" i="2"/>
  <c r="AG144" i="2"/>
  <c r="AF144" i="2"/>
  <c r="AE144" i="2"/>
  <c r="AD144" i="2"/>
  <c r="AC144" i="2"/>
  <c r="AB144" i="2"/>
  <c r="AA144" i="2"/>
  <c r="Z144" i="2"/>
  <c r="Y144" i="2"/>
  <c r="X144" i="2"/>
  <c r="W144" i="2"/>
  <c r="V144" i="2"/>
  <c r="U144" i="2"/>
  <c r="T144" i="2"/>
  <c r="S144" i="2"/>
  <c r="R144" i="2"/>
  <c r="Q144" i="2"/>
  <c r="P144" i="2"/>
  <c r="O144" i="2"/>
  <c r="N144" i="2"/>
  <c r="M144" i="2"/>
  <c r="L144" i="2"/>
  <c r="K144" i="2"/>
  <c r="J144" i="2"/>
  <c r="I144" i="2"/>
  <c r="H144" i="2"/>
  <c r="G144" i="2"/>
  <c r="F144" i="2"/>
  <c r="E144" i="2"/>
  <c r="D144" i="2"/>
  <c r="C144" i="2"/>
  <c r="B144" i="2"/>
  <c r="A144" i="2"/>
  <c r="DY143" i="2"/>
  <c r="DX143" i="2"/>
  <c r="DW143" i="2"/>
  <c r="DV143" i="2"/>
  <c r="DU143" i="2"/>
  <c r="DT143" i="2"/>
  <c r="DS143" i="2"/>
  <c r="DR143" i="2"/>
  <c r="DQ143" i="2"/>
  <c r="DP143" i="2"/>
  <c r="DO143" i="2"/>
  <c r="DN143" i="2"/>
  <c r="DM143" i="2"/>
  <c r="DL143" i="2"/>
  <c r="DK143" i="2"/>
  <c r="DJ143" i="2"/>
  <c r="DI143" i="2"/>
  <c r="DH143" i="2"/>
  <c r="DG143" i="2"/>
  <c r="DF143" i="2"/>
  <c r="DE143" i="2"/>
  <c r="DD143" i="2"/>
  <c r="DC143" i="2"/>
  <c r="DB143" i="2"/>
  <c r="DA143" i="2"/>
  <c r="CZ143" i="2"/>
  <c r="CY143" i="2"/>
  <c r="CX143" i="2"/>
  <c r="CW143" i="2"/>
  <c r="CV143" i="2"/>
  <c r="CU143" i="2"/>
  <c r="CT143" i="2"/>
  <c r="CS143" i="2"/>
  <c r="CR143" i="2"/>
  <c r="CQ143" i="2"/>
  <c r="CP143" i="2"/>
  <c r="CO143" i="2"/>
  <c r="CN143" i="2"/>
  <c r="CM143" i="2"/>
  <c r="CL143" i="2"/>
  <c r="CK143" i="2"/>
  <c r="CJ143" i="2"/>
  <c r="CI143" i="2"/>
  <c r="CH143" i="2"/>
  <c r="CG143" i="2"/>
  <c r="CF143" i="2"/>
  <c r="CE143" i="2"/>
  <c r="CD143" i="2"/>
  <c r="CC143" i="2"/>
  <c r="CB143" i="2"/>
  <c r="CA143" i="2"/>
  <c r="BZ143" i="2"/>
  <c r="BY143" i="2"/>
  <c r="BX143" i="2"/>
  <c r="BW143" i="2"/>
  <c r="BV143" i="2"/>
  <c r="BU143" i="2"/>
  <c r="BT143" i="2"/>
  <c r="BS143" i="2"/>
  <c r="BR143" i="2"/>
  <c r="BQ143" i="2"/>
  <c r="BP143" i="2"/>
  <c r="BO143" i="2"/>
  <c r="BN143" i="2"/>
  <c r="BM143" i="2"/>
  <c r="BL143" i="2"/>
  <c r="BK143" i="2"/>
  <c r="BJ143" i="2"/>
  <c r="BI143" i="2"/>
  <c r="BH143" i="2"/>
  <c r="BG143" i="2"/>
  <c r="BF143" i="2"/>
  <c r="BE143" i="2"/>
  <c r="BD143" i="2"/>
  <c r="BC143" i="2"/>
  <c r="BB143" i="2"/>
  <c r="BA143" i="2"/>
  <c r="AZ143" i="2"/>
  <c r="AY143" i="2"/>
  <c r="AX143" i="2"/>
  <c r="AW143" i="2"/>
  <c r="AV143" i="2"/>
  <c r="AU143" i="2"/>
  <c r="AT143" i="2"/>
  <c r="AS143" i="2"/>
  <c r="AR143" i="2"/>
  <c r="AQ143" i="2"/>
  <c r="AP143" i="2"/>
  <c r="AO143" i="2"/>
  <c r="AN143" i="2"/>
  <c r="AM143" i="2"/>
  <c r="AL143" i="2"/>
  <c r="AK143" i="2"/>
  <c r="AJ143" i="2"/>
  <c r="AI143" i="2"/>
  <c r="AH143" i="2"/>
  <c r="AG143" i="2"/>
  <c r="AF143" i="2"/>
  <c r="AE143" i="2"/>
  <c r="AD143" i="2"/>
  <c r="AC143" i="2"/>
  <c r="AB143" i="2"/>
  <c r="AA143" i="2"/>
  <c r="Z143" i="2"/>
  <c r="Y143" i="2"/>
  <c r="X143" i="2"/>
  <c r="W143" i="2"/>
  <c r="V143" i="2"/>
  <c r="U143" i="2"/>
  <c r="T143" i="2"/>
  <c r="S143" i="2"/>
  <c r="R143" i="2"/>
  <c r="Q143" i="2"/>
  <c r="P143" i="2"/>
  <c r="O143" i="2"/>
  <c r="N143" i="2"/>
  <c r="M143" i="2"/>
  <c r="L143" i="2"/>
  <c r="K143" i="2"/>
  <c r="J143" i="2"/>
  <c r="I143" i="2"/>
  <c r="H143" i="2"/>
  <c r="G143" i="2"/>
  <c r="F143" i="2"/>
  <c r="E143" i="2"/>
  <c r="D143" i="2"/>
  <c r="C143" i="2"/>
  <c r="B143" i="2"/>
  <c r="A143" i="2"/>
  <c r="DY142" i="2"/>
  <c r="DX142" i="2"/>
  <c r="DW142" i="2"/>
  <c r="DV142" i="2"/>
  <c r="DU142" i="2"/>
  <c r="DT142" i="2"/>
  <c r="DS142" i="2"/>
  <c r="DR142" i="2"/>
  <c r="DQ142" i="2"/>
  <c r="DP142" i="2"/>
  <c r="DO142" i="2"/>
  <c r="DN142" i="2"/>
  <c r="DM142" i="2"/>
  <c r="DL142" i="2"/>
  <c r="DK142" i="2"/>
  <c r="DJ142" i="2"/>
  <c r="DI142" i="2"/>
  <c r="DH142" i="2"/>
  <c r="DG142" i="2"/>
  <c r="DF142" i="2"/>
  <c r="DE142" i="2"/>
  <c r="DD142" i="2"/>
  <c r="DC142" i="2"/>
  <c r="DB142" i="2"/>
  <c r="DA142" i="2"/>
  <c r="CZ142" i="2"/>
  <c r="CY142" i="2"/>
  <c r="CX142" i="2"/>
  <c r="CW142" i="2"/>
  <c r="CV142" i="2"/>
  <c r="CU142" i="2"/>
  <c r="CT142" i="2"/>
  <c r="CS142" i="2"/>
  <c r="CR142" i="2"/>
  <c r="CQ142" i="2"/>
  <c r="CP142" i="2"/>
  <c r="CO142" i="2"/>
  <c r="CN142" i="2"/>
  <c r="CM142" i="2"/>
  <c r="CL142" i="2"/>
  <c r="CK142" i="2"/>
  <c r="CJ142" i="2"/>
  <c r="CI142" i="2"/>
  <c r="CH142" i="2"/>
  <c r="CG142" i="2"/>
  <c r="CF142" i="2"/>
  <c r="CE142" i="2"/>
  <c r="CD142" i="2"/>
  <c r="CC142" i="2"/>
  <c r="CB142" i="2"/>
  <c r="CA142" i="2"/>
  <c r="BZ142" i="2"/>
  <c r="BY142" i="2"/>
  <c r="BX142" i="2"/>
  <c r="BW142" i="2"/>
  <c r="BV142" i="2"/>
  <c r="BU142" i="2"/>
  <c r="BT142" i="2"/>
  <c r="BS142" i="2"/>
  <c r="BR142" i="2"/>
  <c r="BQ142" i="2"/>
  <c r="BP142" i="2"/>
  <c r="BO142" i="2"/>
  <c r="BN142" i="2"/>
  <c r="BM142" i="2"/>
  <c r="BL142" i="2"/>
  <c r="BK142" i="2"/>
  <c r="BJ142" i="2"/>
  <c r="BI142" i="2"/>
  <c r="BH142" i="2"/>
  <c r="BG142" i="2"/>
  <c r="BF142" i="2"/>
  <c r="BE142" i="2"/>
  <c r="BD142" i="2"/>
  <c r="BC142" i="2"/>
  <c r="BB142" i="2"/>
  <c r="BA142" i="2"/>
  <c r="AZ142" i="2"/>
  <c r="AY142" i="2"/>
  <c r="AX142" i="2"/>
  <c r="AW142" i="2"/>
  <c r="AV142" i="2"/>
  <c r="AU142" i="2"/>
  <c r="AT142" i="2"/>
  <c r="AS142" i="2"/>
  <c r="AR142" i="2"/>
  <c r="AQ142" i="2"/>
  <c r="AP142" i="2"/>
  <c r="AO142" i="2"/>
  <c r="AN142" i="2"/>
  <c r="AM142" i="2"/>
  <c r="AL142" i="2"/>
  <c r="AK142" i="2"/>
  <c r="AJ142" i="2"/>
  <c r="AI142" i="2"/>
  <c r="AH142" i="2"/>
  <c r="AG142" i="2"/>
  <c r="AF142" i="2"/>
  <c r="AE142" i="2"/>
  <c r="AD142" i="2"/>
  <c r="AC142" i="2"/>
  <c r="AB142" i="2"/>
  <c r="AA142" i="2"/>
  <c r="Z142" i="2"/>
  <c r="Y142" i="2"/>
  <c r="X142" i="2"/>
  <c r="W142" i="2"/>
  <c r="V142" i="2"/>
  <c r="U142" i="2"/>
  <c r="T142" i="2"/>
  <c r="S142" i="2"/>
  <c r="R142" i="2"/>
  <c r="Q142" i="2"/>
  <c r="P142" i="2"/>
  <c r="O142" i="2"/>
  <c r="N142" i="2"/>
  <c r="M142" i="2"/>
  <c r="L142" i="2"/>
  <c r="K142" i="2"/>
  <c r="J142" i="2"/>
  <c r="I142" i="2"/>
  <c r="H142" i="2"/>
  <c r="G142" i="2"/>
  <c r="F142" i="2"/>
  <c r="E142" i="2"/>
  <c r="D142" i="2"/>
  <c r="C142" i="2"/>
  <c r="B142" i="2"/>
  <c r="A142" i="2"/>
  <c r="FH139" i="2"/>
  <c r="FG139" i="2"/>
  <c r="FF139" i="2"/>
  <c r="FE139" i="2"/>
  <c r="FD139" i="2"/>
  <c r="FC139" i="2"/>
  <c r="FB139" i="2"/>
  <c r="FA139" i="2"/>
  <c r="EZ139" i="2"/>
  <c r="EY139" i="2"/>
  <c r="EX139" i="2"/>
  <c r="EW139" i="2"/>
  <c r="EV139" i="2"/>
  <c r="EU139" i="2"/>
  <c r="ET139" i="2"/>
  <c r="ES139" i="2"/>
  <c r="ER139" i="2"/>
  <c r="EQ139" i="2"/>
  <c r="EP139" i="2"/>
  <c r="EO139" i="2"/>
  <c r="EN139" i="2"/>
  <c r="EM139" i="2"/>
  <c r="EL139" i="2"/>
  <c r="EK139" i="2"/>
  <c r="EJ139" i="2"/>
  <c r="EI139" i="2"/>
  <c r="EH139" i="2"/>
  <c r="EG139" i="2"/>
  <c r="EF139" i="2"/>
  <c r="EE139" i="2"/>
  <c r="ED139" i="2"/>
  <c r="EC139" i="2"/>
  <c r="EB139" i="2"/>
  <c r="DY139" i="2"/>
  <c r="DX139" i="2"/>
  <c r="DW139" i="2"/>
  <c r="DV139" i="2"/>
  <c r="DU139" i="2"/>
  <c r="DT139" i="2"/>
  <c r="DS139" i="2"/>
  <c r="DR139" i="2"/>
  <c r="DQ139" i="2"/>
  <c r="DP139" i="2"/>
  <c r="DO139" i="2"/>
  <c r="DN139" i="2"/>
  <c r="DM139" i="2"/>
  <c r="DL139" i="2"/>
  <c r="DK139" i="2"/>
  <c r="DJ139" i="2"/>
  <c r="DI139" i="2"/>
  <c r="DH139" i="2"/>
  <c r="DG139" i="2"/>
  <c r="DF139" i="2"/>
  <c r="DE139" i="2"/>
  <c r="DD139" i="2"/>
  <c r="DC139" i="2"/>
  <c r="DB139" i="2"/>
  <c r="DA139" i="2"/>
  <c r="CZ139" i="2"/>
  <c r="CY139" i="2"/>
  <c r="CX139" i="2"/>
  <c r="CW139" i="2"/>
  <c r="CV139" i="2"/>
  <c r="CU139" i="2"/>
  <c r="CT139" i="2"/>
  <c r="CS139" i="2"/>
  <c r="CR139" i="2"/>
  <c r="CQ139" i="2"/>
  <c r="CP139" i="2"/>
  <c r="CO139" i="2"/>
  <c r="CN139" i="2"/>
  <c r="CM139" i="2"/>
  <c r="CL139" i="2"/>
  <c r="CK139" i="2"/>
  <c r="CJ139" i="2"/>
  <c r="CI139" i="2"/>
  <c r="CH139" i="2"/>
  <c r="CG139" i="2"/>
  <c r="CF139" i="2"/>
  <c r="CE139" i="2"/>
  <c r="CD139" i="2"/>
  <c r="CC139" i="2"/>
  <c r="CB139" i="2"/>
  <c r="CA139" i="2"/>
  <c r="BZ139" i="2"/>
  <c r="BY139" i="2"/>
  <c r="BX139" i="2"/>
  <c r="BW139" i="2"/>
  <c r="BV139" i="2"/>
  <c r="BU139" i="2"/>
  <c r="BT139" i="2"/>
  <c r="BS139" i="2"/>
  <c r="BR139" i="2"/>
  <c r="BQ139" i="2"/>
  <c r="BP139" i="2"/>
  <c r="BO139" i="2"/>
  <c r="BN139" i="2"/>
  <c r="BM139" i="2"/>
  <c r="BL139" i="2"/>
  <c r="BK139" i="2"/>
  <c r="BJ139" i="2"/>
  <c r="BI139" i="2"/>
  <c r="BH139" i="2"/>
  <c r="BG139" i="2"/>
  <c r="BF139" i="2"/>
  <c r="BE139" i="2"/>
  <c r="BD139" i="2"/>
  <c r="BC139" i="2"/>
  <c r="BB139" i="2"/>
  <c r="BA139" i="2"/>
  <c r="AZ139" i="2"/>
  <c r="AY139" i="2"/>
  <c r="AX139" i="2"/>
  <c r="AW139" i="2"/>
  <c r="AV139" i="2"/>
  <c r="AU139" i="2"/>
  <c r="AT139" i="2"/>
  <c r="AS139" i="2"/>
  <c r="AR139" i="2"/>
  <c r="AQ139" i="2"/>
  <c r="AP139" i="2"/>
  <c r="AO139" i="2"/>
  <c r="AN139" i="2"/>
  <c r="AM139" i="2"/>
  <c r="AL139" i="2"/>
  <c r="AK139" i="2"/>
  <c r="AJ139" i="2"/>
  <c r="AI139" i="2"/>
  <c r="AH139" i="2"/>
  <c r="AG139" i="2"/>
  <c r="AF139" i="2"/>
  <c r="AE139" i="2"/>
  <c r="AD139" i="2"/>
  <c r="AC139" i="2"/>
  <c r="AB139" i="2"/>
  <c r="AA139" i="2"/>
  <c r="Z139" i="2"/>
  <c r="Y139" i="2"/>
  <c r="X139" i="2"/>
  <c r="W139" i="2"/>
  <c r="V139" i="2"/>
  <c r="U139" i="2"/>
  <c r="T139" i="2"/>
  <c r="S139" i="2"/>
  <c r="R139" i="2"/>
  <c r="Q139" i="2"/>
  <c r="P139" i="2"/>
  <c r="O139" i="2"/>
  <c r="N139" i="2"/>
  <c r="M139" i="2"/>
  <c r="L139" i="2"/>
  <c r="K139" i="2"/>
  <c r="J139" i="2"/>
  <c r="I139" i="2"/>
  <c r="H139" i="2"/>
  <c r="G139" i="2"/>
  <c r="F139" i="2"/>
  <c r="E139" i="2"/>
  <c r="D139" i="2"/>
  <c r="C139" i="2"/>
  <c r="B139" i="2"/>
  <c r="A139" i="2"/>
  <c r="FH136" i="2"/>
  <c r="FG136" i="2"/>
  <c r="FF136" i="2"/>
  <c r="FE136" i="2"/>
  <c r="FD136" i="2"/>
  <c r="FC136" i="2"/>
  <c r="FB136" i="2"/>
  <c r="FA136" i="2"/>
  <c r="EZ136" i="2"/>
  <c r="EY136" i="2"/>
  <c r="EX136" i="2"/>
  <c r="EW136" i="2"/>
  <c r="EV136" i="2"/>
  <c r="EU136" i="2"/>
  <c r="ET136" i="2"/>
  <c r="ES136" i="2"/>
  <c r="ER136" i="2"/>
  <c r="EQ136" i="2"/>
  <c r="EP136" i="2"/>
  <c r="EO136" i="2"/>
  <c r="EN136" i="2"/>
  <c r="EM136" i="2"/>
  <c r="EL136" i="2"/>
  <c r="EK136" i="2"/>
  <c r="EJ136" i="2"/>
  <c r="EI136" i="2"/>
  <c r="EH136" i="2"/>
  <c r="EG136" i="2"/>
  <c r="EF136" i="2"/>
  <c r="EE136" i="2"/>
  <c r="ED136" i="2"/>
  <c r="EC136" i="2"/>
  <c r="EB136" i="2"/>
  <c r="DQ136" i="2"/>
  <c r="DP136" i="2"/>
  <c r="DO136" i="2"/>
  <c r="DN136" i="2"/>
  <c r="DM136" i="2"/>
  <c r="DL136" i="2"/>
  <c r="DK136" i="2"/>
  <c r="DJ136" i="2"/>
  <c r="DI136" i="2"/>
  <c r="DH136" i="2"/>
  <c r="DG136" i="2"/>
  <c r="DF136" i="2"/>
  <c r="DE136" i="2"/>
  <c r="DD136" i="2"/>
  <c r="DC136" i="2"/>
  <c r="DB136" i="2"/>
  <c r="DA136" i="2"/>
  <c r="CZ136" i="2"/>
  <c r="CY136" i="2"/>
  <c r="CX136" i="2"/>
  <c r="CW136" i="2"/>
  <c r="CV136" i="2"/>
  <c r="CU136" i="2"/>
  <c r="CT136" i="2"/>
  <c r="CS136" i="2"/>
  <c r="CR136" i="2"/>
  <c r="CQ136" i="2"/>
  <c r="CP136" i="2"/>
  <c r="CO136" i="2"/>
  <c r="CN136" i="2"/>
  <c r="CM136" i="2"/>
  <c r="CL136" i="2"/>
  <c r="CK136" i="2"/>
  <c r="CJ136" i="2"/>
  <c r="CI136" i="2"/>
  <c r="CH136" i="2"/>
  <c r="CG136" i="2"/>
  <c r="CF136" i="2"/>
  <c r="CE136" i="2"/>
  <c r="CD136" i="2"/>
  <c r="CC136" i="2"/>
  <c r="CB136" i="2"/>
  <c r="CA136" i="2"/>
  <c r="BZ136" i="2"/>
  <c r="BY136" i="2"/>
  <c r="BX136" i="2"/>
  <c r="BW136" i="2"/>
  <c r="BV136" i="2"/>
  <c r="BU136" i="2"/>
  <c r="BT136" i="2"/>
  <c r="BS136" i="2"/>
  <c r="BR136" i="2"/>
  <c r="BQ136" i="2"/>
  <c r="BP136" i="2"/>
  <c r="BO136" i="2"/>
  <c r="BN136" i="2"/>
  <c r="BM136" i="2"/>
  <c r="BL136" i="2"/>
  <c r="BK136" i="2"/>
  <c r="BJ136" i="2"/>
  <c r="BI136" i="2"/>
  <c r="BH136" i="2"/>
  <c r="BG136" i="2"/>
  <c r="BF136" i="2"/>
  <c r="BE136" i="2"/>
  <c r="BD136" i="2"/>
  <c r="BC136" i="2"/>
  <c r="BB136" i="2"/>
  <c r="BA136" i="2"/>
  <c r="AZ136" i="2"/>
  <c r="AY136" i="2"/>
  <c r="AX136" i="2"/>
  <c r="AW136" i="2"/>
  <c r="AV136" i="2"/>
  <c r="AU136" i="2"/>
  <c r="AT136" i="2"/>
  <c r="AS136" i="2"/>
  <c r="AR136" i="2"/>
  <c r="AQ136" i="2"/>
  <c r="AP136" i="2"/>
  <c r="AO136" i="2"/>
  <c r="AN136" i="2"/>
  <c r="AM136" i="2"/>
  <c r="AL136" i="2"/>
  <c r="AK136" i="2"/>
  <c r="AJ136" i="2"/>
  <c r="AI136" i="2"/>
  <c r="AH136" i="2"/>
  <c r="AG136" i="2"/>
  <c r="AF136" i="2"/>
  <c r="AE136" i="2"/>
  <c r="AD136" i="2"/>
  <c r="AC136" i="2"/>
  <c r="AB136" i="2"/>
  <c r="AA136" i="2"/>
  <c r="Z136" i="2"/>
  <c r="Y136" i="2"/>
  <c r="X136" i="2"/>
  <c r="W136" i="2"/>
  <c r="V136" i="2"/>
  <c r="U136" i="2"/>
  <c r="T136" i="2"/>
  <c r="S136" i="2"/>
  <c r="R136" i="2"/>
  <c r="Q136" i="2"/>
  <c r="P136" i="2"/>
  <c r="O136" i="2"/>
  <c r="N136" i="2"/>
  <c r="M136" i="2"/>
  <c r="L136" i="2"/>
  <c r="K136" i="2"/>
  <c r="J136" i="2"/>
  <c r="I136" i="2"/>
  <c r="H136" i="2"/>
  <c r="G136" i="2"/>
  <c r="F136" i="2"/>
  <c r="E136" i="2"/>
  <c r="D136" i="2"/>
  <c r="C136" i="2"/>
  <c r="B136" i="2"/>
  <c r="FH133" i="2"/>
  <c r="FG133" i="2"/>
  <c r="FF133" i="2"/>
  <c r="FE133" i="2"/>
  <c r="FD133" i="2"/>
  <c r="FC133" i="2"/>
  <c r="FB133" i="2"/>
  <c r="FA133" i="2"/>
  <c r="EZ133" i="2"/>
  <c r="EY133" i="2"/>
  <c r="EX133" i="2"/>
  <c r="EW133" i="2"/>
  <c r="EV133" i="2"/>
  <c r="EU133" i="2"/>
  <c r="ET133" i="2"/>
  <c r="ES133" i="2"/>
  <c r="ER133" i="2"/>
  <c r="EQ133" i="2"/>
  <c r="EP133" i="2"/>
  <c r="EO133" i="2"/>
  <c r="EN133" i="2"/>
  <c r="EM133" i="2"/>
  <c r="EL133" i="2"/>
  <c r="EK133" i="2"/>
  <c r="EJ133" i="2"/>
  <c r="EI133" i="2"/>
  <c r="EH133" i="2"/>
  <c r="EG133" i="2"/>
  <c r="EF133" i="2"/>
  <c r="EE133" i="2"/>
  <c r="ED133" i="2"/>
  <c r="EC133" i="2"/>
  <c r="EB133" i="2"/>
  <c r="DQ133" i="2"/>
  <c r="DP133" i="2"/>
  <c r="DO133" i="2"/>
  <c r="DN133" i="2"/>
  <c r="DM133" i="2"/>
  <c r="DL133" i="2"/>
  <c r="DK133" i="2"/>
  <c r="DJ133" i="2"/>
  <c r="DI133" i="2"/>
  <c r="DH133" i="2"/>
  <c r="DG133" i="2"/>
  <c r="DF133" i="2"/>
  <c r="DE133" i="2"/>
  <c r="DD133" i="2"/>
  <c r="DC133" i="2"/>
  <c r="DB133" i="2"/>
  <c r="DA133" i="2"/>
  <c r="CZ133" i="2"/>
  <c r="CY133" i="2"/>
  <c r="CX133" i="2"/>
  <c r="CW133" i="2"/>
  <c r="CV133" i="2"/>
  <c r="CU133" i="2"/>
  <c r="CT133" i="2"/>
  <c r="CS133" i="2"/>
  <c r="CR133" i="2"/>
  <c r="CQ133" i="2"/>
  <c r="CP133" i="2"/>
  <c r="CO133" i="2"/>
  <c r="CN133" i="2"/>
  <c r="CM133" i="2"/>
  <c r="CL133" i="2"/>
  <c r="CK133" i="2"/>
  <c r="CJ133" i="2"/>
  <c r="CI133" i="2"/>
  <c r="CH133" i="2"/>
  <c r="CG133" i="2"/>
  <c r="CF133" i="2"/>
  <c r="CE133" i="2"/>
  <c r="CD133" i="2"/>
  <c r="CC133" i="2"/>
  <c r="CB133" i="2"/>
  <c r="CA133" i="2"/>
  <c r="BZ133" i="2"/>
  <c r="BY133" i="2"/>
  <c r="BX133" i="2"/>
  <c r="BW133" i="2"/>
  <c r="BV133" i="2"/>
  <c r="BU133" i="2"/>
  <c r="BT133" i="2"/>
  <c r="BS133" i="2"/>
  <c r="BR133" i="2"/>
  <c r="BQ133" i="2"/>
  <c r="BP133" i="2"/>
  <c r="BO133" i="2"/>
  <c r="BN133" i="2"/>
  <c r="BM133" i="2"/>
  <c r="BL133" i="2"/>
  <c r="BK133" i="2"/>
  <c r="BJ133" i="2"/>
  <c r="BI133" i="2"/>
  <c r="BH133" i="2"/>
  <c r="BG133" i="2"/>
  <c r="BF133" i="2"/>
  <c r="BE133" i="2"/>
  <c r="BD133" i="2"/>
  <c r="BC133" i="2"/>
  <c r="BB133" i="2"/>
  <c r="BA133" i="2"/>
  <c r="AZ133" i="2"/>
  <c r="AY133" i="2"/>
  <c r="AX133" i="2"/>
  <c r="AW133" i="2"/>
  <c r="AV133" i="2"/>
  <c r="AU133" i="2"/>
  <c r="AT133" i="2"/>
  <c r="AS133" i="2"/>
  <c r="AR133" i="2"/>
  <c r="AQ133" i="2"/>
  <c r="AP133" i="2"/>
  <c r="AO133" i="2"/>
  <c r="AN133" i="2"/>
  <c r="AM133" i="2"/>
  <c r="AL133" i="2"/>
  <c r="AK133" i="2"/>
  <c r="AJ133" i="2"/>
  <c r="AI133" i="2"/>
  <c r="AH133" i="2"/>
  <c r="AG133" i="2"/>
  <c r="AF133" i="2"/>
  <c r="AE133" i="2"/>
  <c r="AD133" i="2"/>
  <c r="AC133" i="2"/>
  <c r="AB133" i="2"/>
  <c r="AA133" i="2"/>
  <c r="Z133" i="2"/>
  <c r="Y133" i="2"/>
  <c r="X133" i="2"/>
  <c r="W133" i="2"/>
  <c r="V133" i="2"/>
  <c r="U133" i="2"/>
  <c r="T133" i="2"/>
  <c r="S133" i="2"/>
  <c r="R133" i="2"/>
  <c r="Q133" i="2"/>
  <c r="P133" i="2"/>
  <c r="O133" i="2"/>
  <c r="N133" i="2"/>
  <c r="M133" i="2"/>
  <c r="L133" i="2"/>
  <c r="K133" i="2"/>
  <c r="J133" i="2"/>
  <c r="I133" i="2"/>
  <c r="H133" i="2"/>
  <c r="G133" i="2"/>
  <c r="F133" i="2"/>
  <c r="E133" i="2"/>
  <c r="D133" i="2"/>
  <c r="C133" i="2"/>
  <c r="B133" i="2"/>
  <c r="A133" i="2"/>
  <c r="FG129" i="2"/>
  <c r="FE129" i="2"/>
  <c r="FC129" i="2"/>
  <c r="FA129" i="2"/>
  <c r="EY129" i="2"/>
  <c r="EW129" i="2"/>
  <c r="EU129" i="2"/>
  <c r="ES129" i="2"/>
  <c r="EQ129" i="2"/>
  <c r="EO129" i="2"/>
  <c r="EM129" i="2"/>
  <c r="EK129" i="2"/>
  <c r="EI129" i="2"/>
  <c r="EG129" i="2"/>
  <c r="EE129" i="2"/>
  <c r="EC129" i="2"/>
  <c r="DP129" i="2"/>
  <c r="DN129" i="2"/>
  <c r="DL129" i="2"/>
  <c r="DJ129" i="2"/>
  <c r="DH129" i="2"/>
  <c r="DF129" i="2"/>
  <c r="DD129" i="2"/>
  <c r="DB129" i="2"/>
  <c r="CZ129" i="2"/>
  <c r="CX129" i="2"/>
  <c r="CV129" i="2"/>
  <c r="CT129" i="2"/>
  <c r="CR129" i="2"/>
  <c r="CP129" i="2"/>
  <c r="CN129" i="2"/>
  <c r="CL129" i="2"/>
  <c r="CJ129" i="2"/>
  <c r="CH129" i="2"/>
  <c r="CF129" i="2"/>
  <c r="CD129" i="2"/>
  <c r="CB129" i="2"/>
  <c r="BZ129" i="2"/>
  <c r="BX129" i="2"/>
  <c r="BV129" i="2"/>
  <c r="BT129" i="2"/>
  <c r="BR129" i="2"/>
  <c r="BP129" i="2"/>
  <c r="BN129" i="2"/>
  <c r="BL129" i="2"/>
  <c r="BJ129" i="2"/>
  <c r="BH129" i="2"/>
  <c r="BF129" i="2"/>
  <c r="BD129" i="2"/>
  <c r="BB129" i="2"/>
  <c r="AZ129" i="2"/>
  <c r="AX129" i="2"/>
  <c r="AV129" i="2"/>
  <c r="AT129" i="2"/>
  <c r="AR129" i="2"/>
  <c r="AP129" i="2"/>
  <c r="AN129" i="2"/>
  <c r="AL129" i="2"/>
  <c r="AJ129" i="2"/>
  <c r="AH129" i="2"/>
  <c r="AF129" i="2"/>
  <c r="AD129" i="2"/>
  <c r="AB129" i="2"/>
  <c r="Z129" i="2"/>
  <c r="X129" i="2"/>
  <c r="V129" i="2"/>
  <c r="T129" i="2"/>
  <c r="R129" i="2"/>
  <c r="P129" i="2"/>
  <c r="N129" i="2"/>
  <c r="L129" i="2"/>
  <c r="J129" i="2"/>
  <c r="H129" i="2"/>
  <c r="F129" i="2"/>
  <c r="D129" i="2"/>
  <c r="B129" i="2"/>
  <c r="FH129" i="2"/>
  <c r="FF129" i="2"/>
  <c r="FD129" i="2"/>
  <c r="FB129" i="2"/>
  <c r="EZ129" i="2"/>
  <c r="EX129" i="2"/>
  <c r="EV129" i="2"/>
  <c r="ET129" i="2"/>
  <c r="ER129" i="2"/>
  <c r="EP129" i="2"/>
  <c r="EN129" i="2"/>
  <c r="EL129" i="2"/>
  <c r="EJ129" i="2"/>
  <c r="EH129" i="2"/>
  <c r="EF129" i="2"/>
  <c r="ED129" i="2"/>
  <c r="EB129" i="2"/>
  <c r="DQ129" i="2"/>
  <c r="DO129" i="2"/>
  <c r="DM129" i="2"/>
  <c r="DK129" i="2"/>
  <c r="DI129" i="2"/>
  <c r="DG129" i="2"/>
  <c r="DE129" i="2"/>
  <c r="DC129" i="2"/>
  <c r="DA129" i="2"/>
  <c r="CY129" i="2"/>
  <c r="CW129" i="2"/>
  <c r="CU129" i="2"/>
  <c r="CS129" i="2"/>
  <c r="CQ129" i="2"/>
  <c r="CO129" i="2"/>
  <c r="CM129" i="2"/>
  <c r="CK129" i="2"/>
  <c r="CI129" i="2"/>
  <c r="CG129" i="2"/>
  <c r="CE129" i="2"/>
  <c r="CC129" i="2"/>
  <c r="CA129" i="2"/>
  <c r="BY129" i="2"/>
  <c r="BW129" i="2"/>
  <c r="BU129" i="2"/>
  <c r="BS129" i="2"/>
  <c r="BQ129" i="2"/>
  <c r="BO129" i="2"/>
  <c r="BM129" i="2"/>
  <c r="BK129" i="2"/>
  <c r="BI129" i="2"/>
  <c r="BG129" i="2"/>
  <c r="BE129" i="2"/>
  <c r="BC129" i="2"/>
  <c r="BA129" i="2"/>
  <c r="AY129" i="2"/>
  <c r="AW129" i="2"/>
  <c r="AU129" i="2"/>
  <c r="AS129" i="2"/>
  <c r="AQ129" i="2"/>
  <c r="AO129" i="2"/>
  <c r="AM129" i="2"/>
  <c r="AK129" i="2"/>
  <c r="AI129" i="2"/>
  <c r="AG129" i="2"/>
  <c r="AE129" i="2"/>
  <c r="AC129" i="2"/>
  <c r="AA129" i="2"/>
  <c r="Y129" i="2"/>
  <c r="W129" i="2"/>
  <c r="U129" i="2"/>
  <c r="S129" i="2"/>
  <c r="Q129" i="2"/>
  <c r="O129" i="2"/>
  <c r="M129" i="2"/>
  <c r="K129" i="2"/>
  <c r="I129" i="2"/>
  <c r="G129" i="2"/>
  <c r="E129" i="2"/>
  <c r="C129" i="2"/>
  <c r="FH127" i="2"/>
  <c r="FG127" i="2"/>
  <c r="FF127" i="2"/>
  <c r="FE127" i="2"/>
  <c r="FD127" i="2"/>
  <c r="FC127" i="2"/>
  <c r="FB127" i="2"/>
  <c r="FA127" i="2"/>
  <c r="EZ127" i="2"/>
  <c r="EY127" i="2"/>
  <c r="EX127" i="2"/>
  <c r="EW127" i="2"/>
  <c r="EV127" i="2"/>
  <c r="EU127" i="2"/>
  <c r="ET127" i="2"/>
  <c r="ES127" i="2"/>
  <c r="ER127" i="2"/>
  <c r="EQ127" i="2"/>
  <c r="EP127" i="2"/>
  <c r="EO127" i="2"/>
  <c r="EN127" i="2"/>
  <c r="EM127" i="2"/>
  <c r="EL127" i="2"/>
  <c r="EK127" i="2"/>
  <c r="EJ127" i="2"/>
  <c r="EI127" i="2"/>
  <c r="EH127" i="2"/>
  <c r="EG127" i="2"/>
  <c r="EF127" i="2"/>
  <c r="EE127" i="2"/>
  <c r="ED127" i="2"/>
  <c r="EC127" i="2"/>
  <c r="EB127" i="2"/>
  <c r="FH126" i="2"/>
  <c r="FG126" i="2"/>
  <c r="FF126" i="2"/>
  <c r="FE126" i="2"/>
  <c r="FD126" i="2"/>
  <c r="FC126" i="2"/>
  <c r="FB126" i="2"/>
  <c r="FA126" i="2"/>
  <c r="EZ126" i="2"/>
  <c r="EY126" i="2"/>
  <c r="EX126" i="2"/>
  <c r="EW126" i="2"/>
  <c r="EV126" i="2"/>
  <c r="EU126" i="2"/>
  <c r="ET126" i="2"/>
  <c r="ES126" i="2"/>
  <c r="ER126" i="2"/>
  <c r="EQ126" i="2"/>
  <c r="EP126" i="2"/>
  <c r="EO126" i="2"/>
  <c r="EN126" i="2"/>
  <c r="EM126" i="2"/>
  <c r="EL126" i="2"/>
  <c r="EK126" i="2"/>
  <c r="EJ126" i="2"/>
  <c r="EI126" i="2"/>
  <c r="EH126" i="2"/>
  <c r="EG126" i="2"/>
  <c r="EF126" i="2"/>
  <c r="EE126" i="2"/>
  <c r="ED126" i="2"/>
  <c r="EC126" i="2"/>
  <c r="EB126" i="2"/>
  <c r="FH125" i="2"/>
  <c r="FG125" i="2"/>
  <c r="FF125" i="2"/>
  <c r="FE125" i="2"/>
  <c r="FD125" i="2"/>
  <c r="FC125" i="2"/>
  <c r="FB125" i="2"/>
  <c r="FA125" i="2"/>
  <c r="EZ125" i="2"/>
  <c r="EY125" i="2"/>
  <c r="EX125" i="2"/>
  <c r="EW125" i="2"/>
  <c r="EV125" i="2"/>
  <c r="EU125" i="2"/>
  <c r="ET125" i="2"/>
  <c r="ES125" i="2"/>
  <c r="ER125" i="2"/>
  <c r="EQ125" i="2"/>
  <c r="EP125" i="2"/>
  <c r="EO125" i="2"/>
  <c r="EN125" i="2"/>
  <c r="EM125" i="2"/>
  <c r="EL125" i="2"/>
  <c r="EK125" i="2"/>
  <c r="EJ125" i="2"/>
  <c r="EI125" i="2"/>
  <c r="EH125" i="2"/>
  <c r="EG125" i="2"/>
  <c r="EF125" i="2"/>
  <c r="EE125" i="2"/>
  <c r="ED125" i="2"/>
  <c r="EC125" i="2"/>
  <c r="EB125" i="2"/>
  <c r="FS124" i="2"/>
  <c r="FR124" i="2"/>
  <c r="FQ124" i="2"/>
  <c r="FP124" i="2"/>
  <c r="FO124" i="2"/>
  <c r="FN124" i="2"/>
  <c r="FM124" i="2"/>
  <c r="FL124" i="2"/>
  <c r="FK124" i="2"/>
  <c r="FJ124" i="2"/>
  <c r="FI124" i="2"/>
  <c r="FH124" i="2"/>
  <c r="FG124" i="2"/>
  <c r="FF124" i="2"/>
  <c r="FE124" i="2"/>
  <c r="FD124" i="2"/>
  <c r="FC124" i="2"/>
  <c r="FB124" i="2"/>
  <c r="FA124" i="2"/>
  <c r="EZ124" i="2"/>
  <c r="EY124" i="2"/>
  <c r="EX124" i="2"/>
  <c r="EW124" i="2"/>
  <c r="EV124" i="2"/>
  <c r="EU124" i="2"/>
  <c r="ET124" i="2"/>
  <c r="ES124" i="2"/>
  <c r="ER124" i="2"/>
  <c r="EQ124" i="2"/>
  <c r="EP124" i="2"/>
  <c r="EO124" i="2"/>
  <c r="EN124" i="2"/>
  <c r="EM124" i="2"/>
  <c r="EL124" i="2"/>
  <c r="EK124" i="2"/>
  <c r="EJ124" i="2"/>
  <c r="EI124" i="2"/>
  <c r="EH124" i="2"/>
  <c r="EG124" i="2"/>
  <c r="EF124" i="2"/>
  <c r="EE124" i="2"/>
  <c r="ED124" i="2"/>
  <c r="EC124" i="2"/>
  <c r="EB124" i="2"/>
  <c r="FH123" i="2"/>
  <c r="FG123" i="2"/>
  <c r="FF123" i="2"/>
  <c r="FE123" i="2"/>
  <c r="FD123" i="2"/>
  <c r="FC123" i="2"/>
  <c r="FB123" i="2"/>
  <c r="FA123" i="2"/>
  <c r="EZ123" i="2"/>
  <c r="EY123" i="2"/>
  <c r="EX123" i="2"/>
  <c r="EW123" i="2"/>
  <c r="EV123" i="2"/>
  <c r="EU123" i="2"/>
  <c r="ET123" i="2"/>
  <c r="ES123" i="2"/>
  <c r="ER123" i="2"/>
  <c r="EQ123" i="2"/>
  <c r="EP123" i="2"/>
  <c r="EO123" i="2"/>
  <c r="EN123" i="2"/>
  <c r="EM123" i="2"/>
  <c r="EL123" i="2"/>
  <c r="EK123" i="2"/>
  <c r="EJ123" i="2"/>
  <c r="EI123" i="2"/>
  <c r="EH123" i="2"/>
  <c r="EG123" i="2"/>
  <c r="EF123" i="2"/>
  <c r="EE123" i="2"/>
  <c r="ED123" i="2"/>
  <c r="EC123" i="2"/>
  <c r="EB123" i="2"/>
  <c r="FH122" i="2"/>
  <c r="FG122" i="2"/>
  <c r="FF122" i="2"/>
  <c r="FE122" i="2"/>
  <c r="FD122" i="2"/>
  <c r="FC122" i="2"/>
  <c r="FB122" i="2"/>
  <c r="FA122" i="2"/>
  <c r="EZ122" i="2"/>
  <c r="EY122" i="2"/>
  <c r="EX122" i="2"/>
  <c r="EW122" i="2"/>
  <c r="EV122" i="2"/>
  <c r="EU122" i="2"/>
  <c r="ET122" i="2"/>
  <c r="ES122" i="2"/>
  <c r="ER122" i="2"/>
  <c r="EQ122" i="2"/>
  <c r="EP122" i="2"/>
  <c r="EO122" i="2"/>
  <c r="EN122" i="2"/>
  <c r="EM122" i="2"/>
  <c r="EL122" i="2"/>
  <c r="EK122" i="2"/>
  <c r="EJ122" i="2"/>
  <c r="EI122" i="2"/>
  <c r="EH122" i="2"/>
  <c r="EG122" i="2"/>
  <c r="EF122" i="2"/>
  <c r="EE122" i="2"/>
  <c r="ED122" i="2"/>
  <c r="EC122" i="2"/>
  <c r="EB122" i="2"/>
  <c r="DQ127" i="2"/>
  <c r="DP127" i="2"/>
  <c r="DO127" i="2"/>
  <c r="DN127" i="2"/>
  <c r="DM127" i="2"/>
  <c r="DL127" i="2"/>
  <c r="DK127" i="2"/>
  <c r="DJ127" i="2"/>
  <c r="DI127" i="2"/>
  <c r="DH127" i="2"/>
  <c r="DG127" i="2"/>
  <c r="DF127" i="2"/>
  <c r="DE127" i="2"/>
  <c r="DD127" i="2"/>
  <c r="DC127" i="2"/>
  <c r="DB127" i="2"/>
  <c r="DA127" i="2"/>
  <c r="CZ127" i="2"/>
  <c r="CY127" i="2"/>
  <c r="CX127" i="2"/>
  <c r="CW127" i="2"/>
  <c r="CV127" i="2"/>
  <c r="CU127" i="2"/>
  <c r="CT127" i="2"/>
  <c r="CS127" i="2"/>
  <c r="CR127" i="2"/>
  <c r="CQ127" i="2"/>
  <c r="CP127" i="2"/>
  <c r="CO127" i="2"/>
  <c r="CN127" i="2"/>
  <c r="CM127" i="2"/>
  <c r="CL127" i="2"/>
  <c r="CK127" i="2"/>
  <c r="CJ127" i="2"/>
  <c r="CI127" i="2"/>
  <c r="CH127" i="2"/>
  <c r="CG127" i="2"/>
  <c r="CF127" i="2"/>
  <c r="CE127" i="2"/>
  <c r="CD127" i="2"/>
  <c r="CC127" i="2"/>
  <c r="CB127" i="2"/>
  <c r="CA127" i="2"/>
  <c r="BZ127" i="2"/>
  <c r="BY127" i="2"/>
  <c r="BX127" i="2"/>
  <c r="BW127" i="2"/>
  <c r="BV127" i="2"/>
  <c r="BU127" i="2"/>
  <c r="BT127" i="2"/>
  <c r="BS127" i="2"/>
  <c r="BR127" i="2"/>
  <c r="BQ127" i="2"/>
  <c r="BP127" i="2"/>
  <c r="BO127" i="2"/>
  <c r="BN127" i="2"/>
  <c r="BM127" i="2"/>
  <c r="BL127" i="2"/>
  <c r="BK127" i="2"/>
  <c r="BJ127" i="2"/>
  <c r="BI127" i="2"/>
  <c r="BH127" i="2"/>
  <c r="BG127" i="2"/>
  <c r="BF127" i="2"/>
  <c r="BE127" i="2"/>
  <c r="BD127" i="2"/>
  <c r="BC127" i="2"/>
  <c r="BB127" i="2"/>
  <c r="BA127" i="2"/>
  <c r="AZ127" i="2"/>
  <c r="AY127" i="2"/>
  <c r="AX127" i="2"/>
  <c r="AW127" i="2"/>
  <c r="AV127" i="2"/>
  <c r="AU127" i="2"/>
  <c r="AT127" i="2"/>
  <c r="AS127" i="2"/>
  <c r="AR127" i="2"/>
  <c r="AQ127" i="2"/>
  <c r="AP127" i="2"/>
  <c r="AO127" i="2"/>
  <c r="AN127" i="2"/>
  <c r="AM127" i="2"/>
  <c r="AL127" i="2"/>
  <c r="AK127" i="2"/>
  <c r="AJ127" i="2"/>
  <c r="AI127" i="2"/>
  <c r="AH127" i="2"/>
  <c r="AG127" i="2"/>
  <c r="AF127" i="2"/>
  <c r="AE127" i="2"/>
  <c r="AD127" i="2"/>
  <c r="AC127" i="2"/>
  <c r="AB127" i="2"/>
  <c r="AA127" i="2"/>
  <c r="Z127" i="2"/>
  <c r="Y127" i="2"/>
  <c r="X127" i="2"/>
  <c r="W127" i="2"/>
  <c r="V127" i="2"/>
  <c r="U127" i="2"/>
  <c r="T127" i="2"/>
  <c r="S127" i="2"/>
  <c r="R127" i="2"/>
  <c r="Q127" i="2"/>
  <c r="P127" i="2"/>
  <c r="O127" i="2"/>
  <c r="N127" i="2"/>
  <c r="M127" i="2"/>
  <c r="L127" i="2"/>
  <c r="K127" i="2"/>
  <c r="J127" i="2"/>
  <c r="I127" i="2"/>
  <c r="H127" i="2"/>
  <c r="G127" i="2"/>
  <c r="F127" i="2"/>
  <c r="E127" i="2"/>
  <c r="D127" i="2"/>
  <c r="C127" i="2"/>
  <c r="B127" i="2"/>
  <c r="A127" i="2"/>
  <c r="DQ126" i="2"/>
  <c r="DP126" i="2"/>
  <c r="DO126" i="2"/>
  <c r="DN126" i="2"/>
  <c r="DM126" i="2"/>
  <c r="DL126" i="2"/>
  <c r="DK126" i="2"/>
  <c r="DJ126" i="2"/>
  <c r="DI126" i="2"/>
  <c r="DH126" i="2"/>
  <c r="DG126" i="2"/>
  <c r="DF126" i="2"/>
  <c r="DE126" i="2"/>
  <c r="DD126" i="2"/>
  <c r="DC126" i="2"/>
  <c r="DB126" i="2"/>
  <c r="DA126" i="2"/>
  <c r="CZ126" i="2"/>
  <c r="CY126" i="2"/>
  <c r="CX126" i="2"/>
  <c r="CW126" i="2"/>
  <c r="CV126" i="2"/>
  <c r="CU126" i="2"/>
  <c r="CT126" i="2"/>
  <c r="CS126" i="2"/>
  <c r="CR126" i="2"/>
  <c r="CQ126" i="2"/>
  <c r="CP126" i="2"/>
  <c r="CO126" i="2"/>
  <c r="CN126" i="2"/>
  <c r="CM126" i="2"/>
  <c r="CL126" i="2"/>
  <c r="CK126" i="2"/>
  <c r="CJ126" i="2"/>
  <c r="CI126" i="2"/>
  <c r="CH126" i="2"/>
  <c r="CG126" i="2"/>
  <c r="CF126" i="2"/>
  <c r="CE126" i="2"/>
  <c r="CD126" i="2"/>
  <c r="CC126" i="2"/>
  <c r="CB126" i="2"/>
  <c r="CA126" i="2"/>
  <c r="BZ126" i="2"/>
  <c r="BY126" i="2"/>
  <c r="BX126" i="2"/>
  <c r="BW126" i="2"/>
  <c r="BV126" i="2"/>
  <c r="BU126" i="2"/>
  <c r="BT126" i="2"/>
  <c r="BS126" i="2"/>
  <c r="BR126" i="2"/>
  <c r="BQ126" i="2"/>
  <c r="BP126" i="2"/>
  <c r="BO126" i="2"/>
  <c r="BN126" i="2"/>
  <c r="BM126" i="2"/>
  <c r="BL126" i="2"/>
  <c r="BK126" i="2"/>
  <c r="BJ126" i="2"/>
  <c r="BI126" i="2"/>
  <c r="BH126" i="2"/>
  <c r="BG126" i="2"/>
  <c r="BF126" i="2"/>
  <c r="BE126" i="2"/>
  <c r="BD126" i="2"/>
  <c r="BC126" i="2"/>
  <c r="BB126" i="2"/>
  <c r="BA126" i="2"/>
  <c r="AZ126" i="2"/>
  <c r="AY126" i="2"/>
  <c r="AX126" i="2"/>
  <c r="AW126" i="2"/>
  <c r="AV126" i="2"/>
  <c r="AU126" i="2"/>
  <c r="AT126" i="2"/>
  <c r="AS126" i="2"/>
  <c r="AR126" i="2"/>
  <c r="AQ126" i="2"/>
  <c r="AP126" i="2"/>
  <c r="AO126" i="2"/>
  <c r="AN126" i="2"/>
  <c r="AM126" i="2"/>
  <c r="AL126" i="2"/>
  <c r="AK126" i="2"/>
  <c r="AJ126" i="2"/>
  <c r="AI126" i="2"/>
  <c r="AH126" i="2"/>
  <c r="AG126" i="2"/>
  <c r="AF126" i="2"/>
  <c r="AE126" i="2"/>
  <c r="AD126" i="2"/>
  <c r="AC126" i="2"/>
  <c r="AB126" i="2"/>
  <c r="AA126" i="2"/>
  <c r="Z126" i="2"/>
  <c r="Y126" i="2"/>
  <c r="X126" i="2"/>
  <c r="W126" i="2"/>
  <c r="V126" i="2"/>
  <c r="U126" i="2"/>
  <c r="T126" i="2"/>
  <c r="S126" i="2"/>
  <c r="R126" i="2"/>
  <c r="Q126" i="2"/>
  <c r="P126" i="2"/>
  <c r="O126" i="2"/>
  <c r="N126" i="2"/>
  <c r="M126" i="2"/>
  <c r="L126" i="2"/>
  <c r="K126" i="2"/>
  <c r="J126" i="2"/>
  <c r="I126" i="2"/>
  <c r="H126" i="2"/>
  <c r="G126" i="2"/>
  <c r="F126" i="2"/>
  <c r="E126" i="2"/>
  <c r="D126" i="2"/>
  <c r="C126" i="2"/>
  <c r="B126" i="2"/>
  <c r="A126" i="2"/>
  <c r="DQ125" i="2"/>
  <c r="DP125" i="2"/>
  <c r="DO125" i="2"/>
  <c r="DN125" i="2"/>
  <c r="DM125" i="2"/>
  <c r="DL125" i="2"/>
  <c r="DK125" i="2"/>
  <c r="DJ125" i="2"/>
  <c r="DI125" i="2"/>
  <c r="DH125" i="2"/>
  <c r="DG125" i="2"/>
  <c r="DF125" i="2"/>
  <c r="DE125" i="2"/>
  <c r="DD125" i="2"/>
  <c r="DC125" i="2"/>
  <c r="DB125" i="2"/>
  <c r="DA125" i="2"/>
  <c r="CZ125" i="2"/>
  <c r="CY125" i="2"/>
  <c r="CX125" i="2"/>
  <c r="CW125" i="2"/>
  <c r="CV125" i="2"/>
  <c r="CU125" i="2"/>
  <c r="CT125" i="2"/>
  <c r="CS125" i="2"/>
  <c r="CR125" i="2"/>
  <c r="CQ125" i="2"/>
  <c r="CP125" i="2"/>
  <c r="CO125" i="2"/>
  <c r="CN125" i="2"/>
  <c r="CM125" i="2"/>
  <c r="CL125" i="2"/>
  <c r="CK125" i="2"/>
  <c r="CJ125" i="2"/>
  <c r="CI125" i="2"/>
  <c r="CH125" i="2"/>
  <c r="CG125" i="2"/>
  <c r="CF125" i="2"/>
  <c r="CE125" i="2"/>
  <c r="CD125" i="2"/>
  <c r="CC125" i="2"/>
  <c r="CB125" i="2"/>
  <c r="CA125" i="2"/>
  <c r="BZ125" i="2"/>
  <c r="BY125" i="2"/>
  <c r="BX125" i="2"/>
  <c r="BW125" i="2"/>
  <c r="BV125" i="2"/>
  <c r="BU125" i="2"/>
  <c r="BT125" i="2"/>
  <c r="BS125" i="2"/>
  <c r="BR125" i="2"/>
  <c r="BQ125" i="2"/>
  <c r="BP125" i="2"/>
  <c r="BO125" i="2"/>
  <c r="BN125" i="2"/>
  <c r="BM125" i="2"/>
  <c r="BL125" i="2"/>
  <c r="BK125" i="2"/>
  <c r="BJ125" i="2"/>
  <c r="BI125" i="2"/>
  <c r="BH125" i="2"/>
  <c r="BG125" i="2"/>
  <c r="BF125" i="2"/>
  <c r="BE125" i="2"/>
  <c r="BD125" i="2"/>
  <c r="BC125" i="2"/>
  <c r="BB125" i="2"/>
  <c r="BA125" i="2"/>
  <c r="AZ125" i="2"/>
  <c r="AY125" i="2"/>
  <c r="AX125" i="2"/>
  <c r="AW125" i="2"/>
  <c r="AV125" i="2"/>
  <c r="AU125" i="2"/>
  <c r="AT125" i="2"/>
  <c r="AS125" i="2"/>
  <c r="AR125" i="2"/>
  <c r="AQ125" i="2"/>
  <c r="AP125" i="2"/>
  <c r="AO125" i="2"/>
  <c r="AN125" i="2"/>
  <c r="AM125" i="2"/>
  <c r="AL125" i="2"/>
  <c r="AK125" i="2"/>
  <c r="AJ125" i="2"/>
  <c r="AI125" i="2"/>
  <c r="AH125" i="2"/>
  <c r="AG125" i="2"/>
  <c r="AF125" i="2"/>
  <c r="AE125" i="2"/>
  <c r="AD125" i="2"/>
  <c r="AC125" i="2"/>
  <c r="AB125" i="2"/>
  <c r="AA125" i="2"/>
  <c r="Z125" i="2"/>
  <c r="Y125" i="2"/>
  <c r="X125" i="2"/>
  <c r="W125" i="2"/>
  <c r="V125" i="2"/>
  <c r="U125" i="2"/>
  <c r="T125" i="2"/>
  <c r="S125" i="2"/>
  <c r="R125" i="2"/>
  <c r="Q125" i="2"/>
  <c r="P125" i="2"/>
  <c r="O125" i="2"/>
  <c r="N125" i="2"/>
  <c r="M125" i="2"/>
  <c r="L125" i="2"/>
  <c r="K125" i="2"/>
  <c r="J125" i="2"/>
  <c r="I125" i="2"/>
  <c r="H125" i="2"/>
  <c r="G125" i="2"/>
  <c r="F125" i="2"/>
  <c r="E125" i="2"/>
  <c r="D125" i="2"/>
  <c r="C125" i="2"/>
  <c r="B125" i="2"/>
  <c r="A125" i="2"/>
  <c r="DY124" i="2"/>
  <c r="DX124" i="2"/>
  <c r="DW124" i="2"/>
  <c r="DV124" i="2"/>
  <c r="DU124" i="2"/>
  <c r="DT124" i="2"/>
  <c r="DS124" i="2"/>
  <c r="DR124" i="2"/>
  <c r="DQ124" i="2"/>
  <c r="DP124" i="2"/>
  <c r="DO124" i="2"/>
  <c r="DN124" i="2"/>
  <c r="DM124" i="2"/>
  <c r="DL124" i="2"/>
  <c r="DK124" i="2"/>
  <c r="DJ124" i="2"/>
  <c r="DI124" i="2"/>
  <c r="DH124" i="2"/>
  <c r="DG124" i="2"/>
  <c r="DF124" i="2"/>
  <c r="DE124" i="2"/>
  <c r="DD124" i="2"/>
  <c r="DC124" i="2"/>
  <c r="DB124" i="2"/>
  <c r="DA124" i="2"/>
  <c r="CZ124" i="2"/>
  <c r="CY124" i="2"/>
  <c r="CX124" i="2"/>
  <c r="CW124" i="2"/>
  <c r="CV124" i="2"/>
  <c r="CU124" i="2"/>
  <c r="CT124" i="2"/>
  <c r="CS124" i="2"/>
  <c r="CR124" i="2"/>
  <c r="CQ124" i="2"/>
  <c r="CP124" i="2"/>
  <c r="CO124" i="2"/>
  <c r="CN124" i="2"/>
  <c r="CM124" i="2"/>
  <c r="CL124" i="2"/>
  <c r="CK124" i="2"/>
  <c r="CJ124" i="2"/>
  <c r="CI124" i="2"/>
  <c r="CH124" i="2"/>
  <c r="CG124" i="2"/>
  <c r="CF124" i="2"/>
  <c r="CE124" i="2"/>
  <c r="CD124" i="2"/>
  <c r="CC124" i="2"/>
  <c r="CB124" i="2"/>
  <c r="CA124" i="2"/>
  <c r="BZ124" i="2"/>
  <c r="BY124" i="2"/>
  <c r="BX124" i="2"/>
  <c r="BW124" i="2"/>
  <c r="BV124" i="2"/>
  <c r="BU124" i="2"/>
  <c r="BT124" i="2"/>
  <c r="BS124" i="2"/>
  <c r="BR124" i="2"/>
  <c r="BQ124" i="2"/>
  <c r="BP124" i="2"/>
  <c r="BO124" i="2"/>
  <c r="BN124" i="2"/>
  <c r="BM124" i="2"/>
  <c r="BL124" i="2"/>
  <c r="BK124" i="2"/>
  <c r="BJ124" i="2"/>
  <c r="BI124" i="2"/>
  <c r="BH124" i="2"/>
  <c r="BG124" i="2"/>
  <c r="BF124" i="2"/>
  <c r="BE124" i="2"/>
  <c r="BD124" i="2"/>
  <c r="BC124" i="2"/>
  <c r="BB124" i="2"/>
  <c r="BA124" i="2"/>
  <c r="AZ124" i="2"/>
  <c r="AY124" i="2"/>
  <c r="AX124" i="2"/>
  <c r="AW124" i="2"/>
  <c r="AV124" i="2"/>
  <c r="AU124" i="2"/>
  <c r="AT124" i="2"/>
  <c r="AS124" i="2"/>
  <c r="AR124" i="2"/>
  <c r="AQ124" i="2"/>
  <c r="AP124" i="2"/>
  <c r="AO124" i="2"/>
  <c r="AN124" i="2"/>
  <c r="AM124" i="2"/>
  <c r="AL124" i="2"/>
  <c r="AK124" i="2"/>
  <c r="AJ124" i="2"/>
  <c r="AI124" i="2"/>
  <c r="AH124" i="2"/>
  <c r="AG124" i="2"/>
  <c r="AF124" i="2"/>
  <c r="AE124" i="2"/>
  <c r="AD124" i="2"/>
  <c r="AC124" i="2"/>
  <c r="AB124" i="2"/>
  <c r="AA124" i="2"/>
  <c r="Z124" i="2"/>
  <c r="Y124" i="2"/>
  <c r="X124" i="2"/>
  <c r="W124" i="2"/>
  <c r="V124" i="2"/>
  <c r="U124" i="2"/>
  <c r="T124" i="2"/>
  <c r="S124" i="2"/>
  <c r="R124" i="2"/>
  <c r="Q124" i="2"/>
  <c r="P124" i="2"/>
  <c r="O124" i="2"/>
  <c r="N124" i="2"/>
  <c r="M124" i="2"/>
  <c r="L124" i="2"/>
  <c r="K124" i="2"/>
  <c r="J124" i="2"/>
  <c r="I124" i="2"/>
  <c r="H124" i="2"/>
  <c r="G124" i="2"/>
  <c r="F124" i="2"/>
  <c r="E124" i="2"/>
  <c r="D124" i="2"/>
  <c r="C124" i="2"/>
  <c r="B124" i="2"/>
  <c r="A124" i="2"/>
  <c r="DQ123" i="2"/>
  <c r="DP123" i="2"/>
  <c r="DO123" i="2"/>
  <c r="DN123" i="2"/>
  <c r="DM123" i="2"/>
  <c r="DL123" i="2"/>
  <c r="DK123" i="2"/>
  <c r="DJ123" i="2"/>
  <c r="DI123" i="2"/>
  <c r="DH123" i="2"/>
  <c r="DG123" i="2"/>
  <c r="DF123" i="2"/>
  <c r="DE123" i="2"/>
  <c r="DD123" i="2"/>
  <c r="DC123" i="2"/>
  <c r="DB123" i="2"/>
  <c r="DA123" i="2"/>
  <c r="CZ123" i="2"/>
  <c r="CY123" i="2"/>
  <c r="CX123" i="2"/>
  <c r="CW123" i="2"/>
  <c r="CV123" i="2"/>
  <c r="CU123" i="2"/>
  <c r="CT123" i="2"/>
  <c r="CS123" i="2"/>
  <c r="CR123" i="2"/>
  <c r="CQ123" i="2"/>
  <c r="CP123" i="2"/>
  <c r="CO123" i="2"/>
  <c r="CN123" i="2"/>
  <c r="CM123" i="2"/>
  <c r="CL123" i="2"/>
  <c r="CK123" i="2"/>
  <c r="CJ123" i="2"/>
  <c r="CI123" i="2"/>
  <c r="CH123" i="2"/>
  <c r="CG123" i="2"/>
  <c r="CF123" i="2"/>
  <c r="CE123" i="2"/>
  <c r="CD123" i="2"/>
  <c r="CC123" i="2"/>
  <c r="CB123" i="2"/>
  <c r="CA123" i="2"/>
  <c r="BZ123" i="2"/>
  <c r="BY123" i="2"/>
  <c r="BX123" i="2"/>
  <c r="BW123" i="2"/>
  <c r="BV123" i="2"/>
  <c r="BU123" i="2"/>
  <c r="BT123" i="2"/>
  <c r="BS123" i="2"/>
  <c r="BR123" i="2"/>
  <c r="BQ123" i="2"/>
  <c r="BP123" i="2"/>
  <c r="BO123" i="2"/>
  <c r="BN123" i="2"/>
  <c r="BM123" i="2"/>
  <c r="BL123" i="2"/>
  <c r="BK123" i="2"/>
  <c r="BJ123" i="2"/>
  <c r="BI123" i="2"/>
  <c r="BH123" i="2"/>
  <c r="BG123" i="2"/>
  <c r="BF123" i="2"/>
  <c r="BE123" i="2"/>
  <c r="BD123" i="2"/>
  <c r="BC123" i="2"/>
  <c r="BB123" i="2"/>
  <c r="BA123" i="2"/>
  <c r="AZ123" i="2"/>
  <c r="AY123" i="2"/>
  <c r="AX123" i="2"/>
  <c r="AW123" i="2"/>
  <c r="AV123" i="2"/>
  <c r="AU123" i="2"/>
  <c r="AT123" i="2"/>
  <c r="AS123" i="2"/>
  <c r="AR123" i="2"/>
  <c r="AQ123" i="2"/>
  <c r="AP123" i="2"/>
  <c r="AO123" i="2"/>
  <c r="AN123" i="2"/>
  <c r="AM123" i="2"/>
  <c r="AL123" i="2"/>
  <c r="AK123" i="2"/>
  <c r="AJ123" i="2"/>
  <c r="AI123" i="2"/>
  <c r="AH123" i="2"/>
  <c r="AG123" i="2"/>
  <c r="AF123" i="2"/>
  <c r="AE123" i="2"/>
  <c r="AD123" i="2"/>
  <c r="AC123" i="2"/>
  <c r="AB123" i="2"/>
  <c r="AA123" i="2"/>
  <c r="Z123" i="2"/>
  <c r="Y123" i="2"/>
  <c r="X123" i="2"/>
  <c r="W123" i="2"/>
  <c r="V123" i="2"/>
  <c r="U123" i="2"/>
  <c r="T123" i="2"/>
  <c r="S123" i="2"/>
  <c r="R123" i="2"/>
  <c r="Q123" i="2"/>
  <c r="P123" i="2"/>
  <c r="O123" i="2"/>
  <c r="N123" i="2"/>
  <c r="M123" i="2"/>
  <c r="L123" i="2"/>
  <c r="K123" i="2"/>
  <c r="J123" i="2"/>
  <c r="I123" i="2"/>
  <c r="H123" i="2"/>
  <c r="G123" i="2"/>
  <c r="F123" i="2"/>
  <c r="E123" i="2"/>
  <c r="D123" i="2"/>
  <c r="C123" i="2"/>
  <c r="B123" i="2"/>
  <c r="A123" i="2"/>
  <c r="DQ122" i="2"/>
  <c r="DP122" i="2"/>
  <c r="DO122" i="2"/>
  <c r="DN122" i="2"/>
  <c r="DM122" i="2"/>
  <c r="DL122" i="2"/>
  <c r="DK122" i="2"/>
  <c r="DJ122" i="2"/>
  <c r="DI122" i="2"/>
  <c r="DH122" i="2"/>
  <c r="DG122" i="2"/>
  <c r="DF122" i="2"/>
  <c r="DE122" i="2"/>
  <c r="DD122" i="2"/>
  <c r="DC122" i="2"/>
  <c r="DB122" i="2"/>
  <c r="DA122" i="2"/>
  <c r="CZ122" i="2"/>
  <c r="CY122" i="2"/>
  <c r="CX122" i="2"/>
  <c r="CW122" i="2"/>
  <c r="CV122" i="2"/>
  <c r="CU122" i="2"/>
  <c r="CT122" i="2"/>
  <c r="CS122" i="2"/>
  <c r="CR122" i="2"/>
  <c r="CQ122" i="2"/>
  <c r="CP122" i="2"/>
  <c r="CO122" i="2"/>
  <c r="CN122" i="2"/>
  <c r="CM122" i="2"/>
  <c r="CL122" i="2"/>
  <c r="CK122" i="2"/>
  <c r="CJ122" i="2"/>
  <c r="CI122" i="2"/>
  <c r="CH122" i="2"/>
  <c r="CG122" i="2"/>
  <c r="CF122" i="2"/>
  <c r="CE122" i="2"/>
  <c r="CD122" i="2"/>
  <c r="CC122" i="2"/>
  <c r="CB122" i="2"/>
  <c r="CA122" i="2"/>
  <c r="BZ122" i="2"/>
  <c r="BY122" i="2"/>
  <c r="BX122" i="2"/>
  <c r="BW122" i="2"/>
  <c r="BV122" i="2"/>
  <c r="BU122" i="2"/>
  <c r="BT122" i="2"/>
  <c r="BS122" i="2"/>
  <c r="BR122" i="2"/>
  <c r="BQ122" i="2"/>
  <c r="BP122" i="2"/>
  <c r="BO122" i="2"/>
  <c r="BN122" i="2"/>
  <c r="BM122" i="2"/>
  <c r="BL122" i="2"/>
  <c r="BK122" i="2"/>
  <c r="BJ122" i="2"/>
  <c r="BI122" i="2"/>
  <c r="BH122" i="2"/>
  <c r="BG122" i="2"/>
  <c r="BF122" i="2"/>
  <c r="BE122" i="2"/>
  <c r="BD122" i="2"/>
  <c r="BC122" i="2"/>
  <c r="BB122" i="2"/>
  <c r="BA122" i="2"/>
  <c r="AZ122" i="2"/>
  <c r="AY122" i="2"/>
  <c r="AX122" i="2"/>
  <c r="AW122" i="2"/>
  <c r="AV122" i="2"/>
  <c r="AU122" i="2"/>
  <c r="AT122" i="2"/>
  <c r="AS122" i="2"/>
  <c r="AR122" i="2"/>
  <c r="AQ122" i="2"/>
  <c r="AP122" i="2"/>
  <c r="AO122" i="2"/>
  <c r="AN122" i="2"/>
  <c r="AM122" i="2"/>
  <c r="AL122" i="2"/>
  <c r="AK122" i="2"/>
  <c r="AJ122" i="2"/>
  <c r="AI122" i="2"/>
  <c r="AH122" i="2"/>
  <c r="AG122" i="2"/>
  <c r="AF122" i="2"/>
  <c r="AE122" i="2"/>
  <c r="AD122" i="2"/>
  <c r="AC122" i="2"/>
  <c r="AB122" i="2"/>
  <c r="AA122" i="2"/>
  <c r="Z122" i="2"/>
  <c r="Y122" i="2"/>
  <c r="X122" i="2"/>
  <c r="W122" i="2"/>
  <c r="V122" i="2"/>
  <c r="U122" i="2"/>
  <c r="T122" i="2"/>
  <c r="S122" i="2"/>
  <c r="R122" i="2"/>
  <c r="Q122" i="2"/>
  <c r="P122" i="2"/>
  <c r="O122" i="2"/>
  <c r="N122" i="2"/>
  <c r="M122" i="2"/>
  <c r="L122" i="2"/>
  <c r="K122" i="2"/>
  <c r="J122" i="2"/>
  <c r="I122" i="2"/>
  <c r="H122" i="2"/>
  <c r="G122" i="2"/>
  <c r="F122" i="2"/>
  <c r="E122" i="2"/>
  <c r="D122" i="2"/>
  <c r="C122" i="2"/>
  <c r="B122" i="2"/>
  <c r="A122" i="2"/>
  <c r="FH119" i="2"/>
  <c r="FG119" i="2"/>
  <c r="FF119" i="2"/>
  <c r="FE119" i="2"/>
  <c r="FD119" i="2"/>
  <c r="FC119" i="2"/>
  <c r="FB119" i="2"/>
  <c r="FA119" i="2"/>
  <c r="EZ119" i="2"/>
  <c r="EY119" i="2"/>
  <c r="EX119" i="2"/>
  <c r="EW119" i="2"/>
  <c r="EV119" i="2"/>
  <c r="EU119" i="2"/>
  <c r="ET119" i="2"/>
  <c r="ES119" i="2"/>
  <c r="ER119" i="2"/>
  <c r="EQ119" i="2"/>
  <c r="EP119" i="2"/>
  <c r="EO119" i="2"/>
  <c r="EN119" i="2"/>
  <c r="EM119" i="2"/>
  <c r="EL119" i="2"/>
  <c r="EK119" i="2"/>
  <c r="EJ119" i="2"/>
  <c r="EI119" i="2"/>
  <c r="EH119" i="2"/>
  <c r="EG119" i="2"/>
  <c r="EF119" i="2"/>
  <c r="EE119" i="2"/>
  <c r="ED119" i="2"/>
  <c r="EC119" i="2"/>
  <c r="EB119" i="2"/>
  <c r="JB118" i="2"/>
  <c r="JA118" i="2"/>
  <c r="IZ118" i="2"/>
  <c r="IY118" i="2"/>
  <c r="IX118" i="2"/>
  <c r="IW118" i="2"/>
  <c r="IV118" i="2"/>
  <c r="IU118" i="2"/>
  <c r="IT118" i="2"/>
  <c r="IS118" i="2"/>
  <c r="IR118" i="2"/>
  <c r="IQ118" i="2"/>
  <c r="IP118" i="2"/>
  <c r="IO118" i="2"/>
  <c r="IN118" i="2"/>
  <c r="IM118" i="2"/>
  <c r="IL118" i="2"/>
  <c r="IK118" i="2"/>
  <c r="IJ118" i="2"/>
  <c r="II118" i="2"/>
  <c r="IH118" i="2"/>
  <c r="IG118" i="2"/>
  <c r="IF118" i="2"/>
  <c r="IE118" i="2"/>
  <c r="ID118" i="2"/>
  <c r="IC118" i="2"/>
  <c r="IB118" i="2"/>
  <c r="IA118" i="2"/>
  <c r="HZ118" i="2"/>
  <c r="HY118" i="2"/>
  <c r="HX118" i="2"/>
  <c r="HW118" i="2"/>
  <c r="HV118" i="2"/>
  <c r="HS118" i="2"/>
  <c r="HR118" i="2"/>
  <c r="HQ118" i="2"/>
  <c r="HP118" i="2"/>
  <c r="HO118" i="2"/>
  <c r="HN118" i="2"/>
  <c r="HM118" i="2"/>
  <c r="HL118" i="2"/>
  <c r="HK118" i="2"/>
  <c r="HJ118" i="2"/>
  <c r="HI118" i="2"/>
  <c r="HH118" i="2"/>
  <c r="HG118" i="2"/>
  <c r="HF118" i="2"/>
  <c r="HE118" i="2"/>
  <c r="HD118" i="2"/>
  <c r="HC118" i="2"/>
  <c r="HB118" i="2"/>
  <c r="HA118" i="2"/>
  <c r="GZ118" i="2"/>
  <c r="GY118" i="2"/>
  <c r="GX118" i="2"/>
  <c r="GW118" i="2"/>
  <c r="GV118" i="2"/>
  <c r="GU118" i="2"/>
  <c r="GT118" i="2"/>
  <c r="GS118" i="2"/>
  <c r="GR118" i="2"/>
  <c r="GQ118" i="2"/>
  <c r="GP118" i="2"/>
  <c r="GO118" i="2"/>
  <c r="GN118" i="2"/>
  <c r="GM118" i="2"/>
  <c r="GL118" i="2"/>
  <c r="GK118" i="2"/>
  <c r="GJ118" i="2"/>
  <c r="GI118" i="2"/>
  <c r="GH118" i="2"/>
  <c r="GG118" i="2"/>
  <c r="GF118" i="2"/>
  <c r="GE118" i="2"/>
  <c r="GD118" i="2"/>
  <c r="GC118" i="2"/>
  <c r="GB118" i="2"/>
  <c r="GA118" i="2"/>
  <c r="FZ118" i="2"/>
  <c r="FY118" i="2"/>
  <c r="FX118" i="2"/>
  <c r="FW118" i="2"/>
  <c r="FV118" i="2"/>
  <c r="FU118" i="2"/>
  <c r="FT118" i="2"/>
  <c r="FS118" i="2"/>
  <c r="FR118" i="2"/>
  <c r="FQ118" i="2"/>
  <c r="FP118" i="2"/>
  <c r="FO118" i="2"/>
  <c r="FN118" i="2"/>
  <c r="FM118" i="2"/>
  <c r="FL118" i="2"/>
  <c r="FK118" i="2"/>
  <c r="FJ118" i="2"/>
  <c r="FI118" i="2"/>
  <c r="FH118" i="2"/>
  <c r="FG118" i="2"/>
  <c r="FF118" i="2"/>
  <c r="FE118" i="2"/>
  <c r="FD118" i="2"/>
  <c r="FC118" i="2"/>
  <c r="FB118" i="2"/>
  <c r="FA118" i="2"/>
  <c r="EZ118" i="2"/>
  <c r="EY118" i="2"/>
  <c r="EX118" i="2"/>
  <c r="EW118" i="2"/>
  <c r="EV118" i="2"/>
  <c r="EU118" i="2"/>
  <c r="ET118" i="2"/>
  <c r="ES118" i="2"/>
  <c r="ER118" i="2"/>
  <c r="EQ118" i="2"/>
  <c r="EP118" i="2"/>
  <c r="EO118" i="2"/>
  <c r="EN118" i="2"/>
  <c r="EM118" i="2"/>
  <c r="EL118" i="2"/>
  <c r="EK118" i="2"/>
  <c r="EJ118" i="2"/>
  <c r="EI118" i="2"/>
  <c r="EH118" i="2"/>
  <c r="EG118" i="2"/>
  <c r="EF118" i="2"/>
  <c r="EE118" i="2"/>
  <c r="ED118" i="2"/>
  <c r="EC118" i="2"/>
  <c r="EB118" i="2"/>
  <c r="FH117" i="2"/>
  <c r="FG117" i="2"/>
  <c r="FF117" i="2"/>
  <c r="FE117" i="2"/>
  <c r="FD117" i="2"/>
  <c r="FC117" i="2"/>
  <c r="FB117" i="2"/>
  <c r="FA117" i="2"/>
  <c r="EZ117" i="2"/>
  <c r="EY117" i="2"/>
  <c r="EX117" i="2"/>
  <c r="EW117" i="2"/>
  <c r="EV117" i="2"/>
  <c r="EU117" i="2"/>
  <c r="ET117" i="2"/>
  <c r="ES117" i="2"/>
  <c r="ER117" i="2"/>
  <c r="EQ117" i="2"/>
  <c r="EP117" i="2"/>
  <c r="EO117" i="2"/>
  <c r="EN117" i="2"/>
  <c r="EM117" i="2"/>
  <c r="EL117" i="2"/>
  <c r="EK117" i="2"/>
  <c r="EJ117" i="2"/>
  <c r="EI117" i="2"/>
  <c r="EH117" i="2"/>
  <c r="EG117" i="2"/>
  <c r="EF117" i="2"/>
  <c r="EE117" i="2"/>
  <c r="ED117" i="2"/>
  <c r="EC117" i="2"/>
  <c r="EB117" i="2"/>
  <c r="FH116" i="2"/>
  <c r="FG116" i="2"/>
  <c r="FF116" i="2"/>
  <c r="FE116" i="2"/>
  <c r="FE130" i="2" s="1"/>
  <c r="FD116" i="2"/>
  <c r="FC116" i="2"/>
  <c r="FB116" i="2"/>
  <c r="FA116" i="2"/>
  <c r="FA130" i="2" s="1"/>
  <c r="EZ116" i="2"/>
  <c r="EY116" i="2"/>
  <c r="EX116" i="2"/>
  <c r="EW116" i="2"/>
  <c r="EW130" i="2" s="1"/>
  <c r="EV116" i="2"/>
  <c r="EU116" i="2"/>
  <c r="ET116" i="2"/>
  <c r="ES116" i="2"/>
  <c r="ES130" i="2" s="1"/>
  <c r="ER116" i="2"/>
  <c r="EQ116" i="2"/>
  <c r="EP116" i="2"/>
  <c r="EO116" i="2"/>
  <c r="EO130" i="2" s="1"/>
  <c r="EN116" i="2"/>
  <c r="EM116" i="2"/>
  <c r="EL116" i="2"/>
  <c r="EK116" i="2"/>
  <c r="EK130" i="2" s="1"/>
  <c r="EJ116" i="2"/>
  <c r="EI116" i="2"/>
  <c r="EH116" i="2"/>
  <c r="EG116" i="2"/>
  <c r="EG130" i="2" s="1"/>
  <c r="EF116" i="2"/>
  <c r="EE116" i="2"/>
  <c r="ED116" i="2"/>
  <c r="EC116" i="2"/>
  <c r="EC130" i="2" s="1"/>
  <c r="EB116" i="2"/>
  <c r="DQ119" i="2"/>
  <c r="DP119" i="2"/>
  <c r="DO119" i="2"/>
  <c r="DN119" i="2"/>
  <c r="DM119" i="2"/>
  <c r="DL119" i="2"/>
  <c r="DK119" i="2"/>
  <c r="DJ119" i="2"/>
  <c r="DI119" i="2"/>
  <c r="DH119" i="2"/>
  <c r="DG119" i="2"/>
  <c r="DF119" i="2"/>
  <c r="DE119" i="2"/>
  <c r="DD119" i="2"/>
  <c r="DC119" i="2"/>
  <c r="DB119" i="2"/>
  <c r="DA119" i="2"/>
  <c r="CZ119" i="2"/>
  <c r="CY119" i="2"/>
  <c r="CX119" i="2"/>
  <c r="CW119" i="2"/>
  <c r="CV119" i="2"/>
  <c r="CU119" i="2"/>
  <c r="CT119" i="2"/>
  <c r="CS119" i="2"/>
  <c r="CR119" i="2"/>
  <c r="CQ119" i="2"/>
  <c r="CP119" i="2"/>
  <c r="CO119" i="2"/>
  <c r="CN119" i="2"/>
  <c r="CM119" i="2"/>
  <c r="CL119" i="2"/>
  <c r="CK119" i="2"/>
  <c r="CJ119" i="2"/>
  <c r="CI119" i="2"/>
  <c r="CH119" i="2"/>
  <c r="CG119" i="2"/>
  <c r="CF119" i="2"/>
  <c r="CE119" i="2"/>
  <c r="CD119" i="2"/>
  <c r="CC119" i="2"/>
  <c r="CB119" i="2"/>
  <c r="CA119" i="2"/>
  <c r="BZ119" i="2"/>
  <c r="BY119" i="2"/>
  <c r="BX119" i="2"/>
  <c r="BW119" i="2"/>
  <c r="BV119" i="2"/>
  <c r="BU119" i="2"/>
  <c r="BT119" i="2"/>
  <c r="BS119" i="2"/>
  <c r="BR119" i="2"/>
  <c r="BQ119" i="2"/>
  <c r="BP119" i="2"/>
  <c r="BO119" i="2"/>
  <c r="BN119" i="2"/>
  <c r="BM119" i="2"/>
  <c r="BL119" i="2"/>
  <c r="BK119" i="2"/>
  <c r="BJ119" i="2"/>
  <c r="BI119" i="2"/>
  <c r="BH119" i="2"/>
  <c r="BG119" i="2"/>
  <c r="BF119" i="2"/>
  <c r="BE119" i="2"/>
  <c r="BD119" i="2"/>
  <c r="BC119" i="2"/>
  <c r="BB119" i="2"/>
  <c r="BA119" i="2"/>
  <c r="AZ119" i="2"/>
  <c r="AY119" i="2"/>
  <c r="AX119" i="2"/>
  <c r="AW119" i="2"/>
  <c r="AV119" i="2"/>
  <c r="AU119" i="2"/>
  <c r="AT119" i="2"/>
  <c r="AS119" i="2"/>
  <c r="AR119" i="2"/>
  <c r="AQ119" i="2"/>
  <c r="AP119" i="2"/>
  <c r="AO119" i="2"/>
  <c r="AN119" i="2"/>
  <c r="AM119" i="2"/>
  <c r="AL119" i="2"/>
  <c r="AK119" i="2"/>
  <c r="AJ119" i="2"/>
  <c r="AI119" i="2"/>
  <c r="AH119" i="2"/>
  <c r="AG119" i="2"/>
  <c r="AF119" i="2"/>
  <c r="AE119" i="2"/>
  <c r="AD119" i="2"/>
  <c r="AC119" i="2"/>
  <c r="AB119" i="2"/>
  <c r="AA119" i="2"/>
  <c r="Z119" i="2"/>
  <c r="Y119" i="2"/>
  <c r="X119" i="2"/>
  <c r="W119" i="2"/>
  <c r="V119" i="2"/>
  <c r="U119" i="2"/>
  <c r="T119" i="2"/>
  <c r="S119" i="2"/>
  <c r="R119" i="2"/>
  <c r="Q119" i="2"/>
  <c r="P119" i="2"/>
  <c r="O119" i="2"/>
  <c r="N119" i="2"/>
  <c r="M119" i="2"/>
  <c r="L119" i="2"/>
  <c r="K119" i="2"/>
  <c r="J119" i="2"/>
  <c r="I119" i="2"/>
  <c r="H119" i="2"/>
  <c r="G119" i="2"/>
  <c r="F119" i="2"/>
  <c r="E119" i="2"/>
  <c r="D119" i="2"/>
  <c r="C119" i="2"/>
  <c r="B119" i="2"/>
  <c r="A119" i="2"/>
  <c r="DY118" i="2"/>
  <c r="DX118" i="2"/>
  <c r="DW118" i="2"/>
  <c r="DV118" i="2"/>
  <c r="DU118" i="2"/>
  <c r="DT118" i="2"/>
  <c r="DS118" i="2"/>
  <c r="DR118" i="2"/>
  <c r="DQ118" i="2"/>
  <c r="DP118" i="2"/>
  <c r="DO118" i="2"/>
  <c r="DN118" i="2"/>
  <c r="DM118" i="2"/>
  <c r="DL118" i="2"/>
  <c r="DK118" i="2"/>
  <c r="DJ118" i="2"/>
  <c r="DI118" i="2"/>
  <c r="DH118" i="2"/>
  <c r="DG118" i="2"/>
  <c r="DF118" i="2"/>
  <c r="DE118" i="2"/>
  <c r="DD118" i="2"/>
  <c r="DC118" i="2"/>
  <c r="DB118" i="2"/>
  <c r="DA118" i="2"/>
  <c r="CZ118" i="2"/>
  <c r="CY118" i="2"/>
  <c r="CX118" i="2"/>
  <c r="CW118" i="2"/>
  <c r="CV118" i="2"/>
  <c r="CU118" i="2"/>
  <c r="CT118" i="2"/>
  <c r="CS118" i="2"/>
  <c r="CR118" i="2"/>
  <c r="CQ118" i="2"/>
  <c r="CP118" i="2"/>
  <c r="CO118" i="2"/>
  <c r="CN118" i="2"/>
  <c r="CM118" i="2"/>
  <c r="CL118" i="2"/>
  <c r="CK118" i="2"/>
  <c r="CJ118" i="2"/>
  <c r="CI118" i="2"/>
  <c r="CH118" i="2"/>
  <c r="CG118" i="2"/>
  <c r="CF118" i="2"/>
  <c r="CE118" i="2"/>
  <c r="CD118" i="2"/>
  <c r="CC118" i="2"/>
  <c r="CB118" i="2"/>
  <c r="CB130" i="2" s="1"/>
  <c r="CA118" i="2"/>
  <c r="BZ118" i="2"/>
  <c r="BY118" i="2"/>
  <c r="BX118" i="2"/>
  <c r="BW118" i="2"/>
  <c r="BV118" i="2"/>
  <c r="BU118" i="2"/>
  <c r="BT118" i="2"/>
  <c r="BS118" i="2"/>
  <c r="BR118" i="2"/>
  <c r="BQ118" i="2"/>
  <c r="BP118" i="2"/>
  <c r="BO118" i="2"/>
  <c r="BN118" i="2"/>
  <c r="BM118" i="2"/>
  <c r="BL118" i="2"/>
  <c r="BK118" i="2"/>
  <c r="BJ118" i="2"/>
  <c r="BI118" i="2"/>
  <c r="BH118" i="2"/>
  <c r="BG118" i="2"/>
  <c r="BF118" i="2"/>
  <c r="BE118" i="2"/>
  <c r="BD118" i="2"/>
  <c r="BC118" i="2"/>
  <c r="BB118" i="2"/>
  <c r="BA118" i="2"/>
  <c r="AZ118" i="2"/>
  <c r="AY118" i="2"/>
  <c r="AX118" i="2"/>
  <c r="AW118" i="2"/>
  <c r="AV118" i="2"/>
  <c r="AU118" i="2"/>
  <c r="AT118" i="2"/>
  <c r="AS118" i="2"/>
  <c r="AR118" i="2"/>
  <c r="AQ118" i="2"/>
  <c r="AP118" i="2"/>
  <c r="AO118" i="2"/>
  <c r="AN118" i="2"/>
  <c r="AM118" i="2"/>
  <c r="AL118" i="2"/>
  <c r="AK118" i="2"/>
  <c r="AJ118" i="2"/>
  <c r="AI118" i="2"/>
  <c r="AH118" i="2"/>
  <c r="AG118" i="2"/>
  <c r="AF118" i="2"/>
  <c r="AE118" i="2"/>
  <c r="AD118" i="2"/>
  <c r="AC118" i="2"/>
  <c r="AB118" i="2"/>
  <c r="AA118" i="2"/>
  <c r="Z118" i="2"/>
  <c r="Y118" i="2"/>
  <c r="X118" i="2"/>
  <c r="W118" i="2"/>
  <c r="V118" i="2"/>
  <c r="U118" i="2"/>
  <c r="T118" i="2"/>
  <c r="S118" i="2"/>
  <c r="R118" i="2"/>
  <c r="Q118" i="2"/>
  <c r="P118" i="2"/>
  <c r="P130" i="2" s="1"/>
  <c r="O118" i="2"/>
  <c r="N118" i="2"/>
  <c r="M118" i="2"/>
  <c r="L118" i="2"/>
  <c r="K118" i="2"/>
  <c r="J118" i="2"/>
  <c r="I118" i="2"/>
  <c r="H118" i="2"/>
  <c r="G118" i="2"/>
  <c r="F118" i="2"/>
  <c r="E118" i="2"/>
  <c r="D118" i="2"/>
  <c r="C118" i="2"/>
  <c r="B118" i="2"/>
  <c r="A118" i="2"/>
  <c r="DQ117" i="2"/>
  <c r="DP117" i="2"/>
  <c r="DO117" i="2"/>
  <c r="DN117" i="2"/>
  <c r="DM117" i="2"/>
  <c r="DL117" i="2"/>
  <c r="DK117" i="2"/>
  <c r="DJ117" i="2"/>
  <c r="DI117" i="2"/>
  <c r="DH117" i="2"/>
  <c r="DG117" i="2"/>
  <c r="DF117" i="2"/>
  <c r="DE117" i="2"/>
  <c r="DD117" i="2"/>
  <c r="DC117" i="2"/>
  <c r="DB117" i="2"/>
  <c r="DA117" i="2"/>
  <c r="CZ117" i="2"/>
  <c r="CY117" i="2"/>
  <c r="CX117" i="2"/>
  <c r="CW117" i="2"/>
  <c r="CV117" i="2"/>
  <c r="CU117" i="2"/>
  <c r="CT117" i="2"/>
  <c r="CS117" i="2"/>
  <c r="CR117" i="2"/>
  <c r="CQ117" i="2"/>
  <c r="CP117" i="2"/>
  <c r="CO117" i="2"/>
  <c r="CN117" i="2"/>
  <c r="CM117" i="2"/>
  <c r="CL117" i="2"/>
  <c r="CK117" i="2"/>
  <c r="CJ117" i="2"/>
  <c r="CI117" i="2"/>
  <c r="CH117" i="2"/>
  <c r="CG117" i="2"/>
  <c r="CF117" i="2"/>
  <c r="CE117" i="2"/>
  <c r="CD117" i="2"/>
  <c r="CC117" i="2"/>
  <c r="CB117" i="2"/>
  <c r="CA117" i="2"/>
  <c r="BZ117" i="2"/>
  <c r="BY117" i="2"/>
  <c r="BX117" i="2"/>
  <c r="BW117" i="2"/>
  <c r="BV117" i="2"/>
  <c r="BU117" i="2"/>
  <c r="BT117" i="2"/>
  <c r="BS117" i="2"/>
  <c r="BR117" i="2"/>
  <c r="BQ117" i="2"/>
  <c r="BP117" i="2"/>
  <c r="BO117" i="2"/>
  <c r="BN117" i="2"/>
  <c r="BM117" i="2"/>
  <c r="BL117" i="2"/>
  <c r="BK117" i="2"/>
  <c r="BJ117" i="2"/>
  <c r="BI117" i="2"/>
  <c r="BH117" i="2"/>
  <c r="BG117" i="2"/>
  <c r="BF117" i="2"/>
  <c r="BE117" i="2"/>
  <c r="BD117" i="2"/>
  <c r="BC117" i="2"/>
  <c r="BB117" i="2"/>
  <c r="BA117" i="2"/>
  <c r="AZ117" i="2"/>
  <c r="AY117" i="2"/>
  <c r="AX117" i="2"/>
  <c r="AW117" i="2"/>
  <c r="AV117" i="2"/>
  <c r="AU117" i="2"/>
  <c r="AT117" i="2"/>
  <c r="AS117" i="2"/>
  <c r="AR117" i="2"/>
  <c r="AQ117" i="2"/>
  <c r="AP117" i="2"/>
  <c r="AO117" i="2"/>
  <c r="AN117" i="2"/>
  <c r="AM117" i="2"/>
  <c r="AL117" i="2"/>
  <c r="AK117" i="2"/>
  <c r="AJ117" i="2"/>
  <c r="AI117" i="2"/>
  <c r="AH117" i="2"/>
  <c r="AG117" i="2"/>
  <c r="AF117" i="2"/>
  <c r="AE117" i="2"/>
  <c r="AD117" i="2"/>
  <c r="AC117" i="2"/>
  <c r="AB117" i="2"/>
  <c r="AA117" i="2"/>
  <c r="Z117" i="2"/>
  <c r="Y117" i="2"/>
  <c r="X117" i="2"/>
  <c r="W117" i="2"/>
  <c r="V117" i="2"/>
  <c r="U117" i="2"/>
  <c r="T117" i="2"/>
  <c r="S117" i="2"/>
  <c r="R117" i="2"/>
  <c r="Q117" i="2"/>
  <c r="P117" i="2"/>
  <c r="O117" i="2"/>
  <c r="N117" i="2"/>
  <c r="M117" i="2"/>
  <c r="L117" i="2"/>
  <c r="K117" i="2"/>
  <c r="J117" i="2"/>
  <c r="I117" i="2"/>
  <c r="H117" i="2"/>
  <c r="G117" i="2"/>
  <c r="F117" i="2"/>
  <c r="E117" i="2"/>
  <c r="D117" i="2"/>
  <c r="C117" i="2"/>
  <c r="B117" i="2"/>
  <c r="A117" i="2"/>
  <c r="DQ116" i="2"/>
  <c r="DP116" i="2"/>
  <c r="DO116" i="2"/>
  <c r="DN116" i="2"/>
  <c r="DM116" i="2"/>
  <c r="DL116" i="2"/>
  <c r="DK116" i="2"/>
  <c r="DJ116" i="2"/>
  <c r="DI116" i="2"/>
  <c r="DH116" i="2"/>
  <c r="DG116" i="2"/>
  <c r="DF116" i="2"/>
  <c r="DE116" i="2"/>
  <c r="DD116" i="2"/>
  <c r="DC116" i="2"/>
  <c r="DB116" i="2"/>
  <c r="DA116" i="2"/>
  <c r="CZ116" i="2"/>
  <c r="CY116" i="2"/>
  <c r="CX116" i="2"/>
  <c r="CW116" i="2"/>
  <c r="CV116" i="2"/>
  <c r="CU116" i="2"/>
  <c r="CT116" i="2"/>
  <c r="CS116" i="2"/>
  <c r="CR116" i="2"/>
  <c r="CQ116" i="2"/>
  <c r="CP116" i="2"/>
  <c r="CO116" i="2"/>
  <c r="CN116" i="2"/>
  <c r="CM116" i="2"/>
  <c r="CL116" i="2"/>
  <c r="CK116" i="2"/>
  <c r="CJ116" i="2"/>
  <c r="CI116" i="2"/>
  <c r="CH116" i="2"/>
  <c r="CG116" i="2"/>
  <c r="CF116" i="2"/>
  <c r="CE116" i="2"/>
  <c r="CD116" i="2"/>
  <c r="CC116" i="2"/>
  <c r="CB116" i="2"/>
  <c r="CA116" i="2"/>
  <c r="BZ116" i="2"/>
  <c r="BY116" i="2"/>
  <c r="BX116" i="2"/>
  <c r="BW116" i="2"/>
  <c r="BV116" i="2"/>
  <c r="BU116" i="2"/>
  <c r="BT116" i="2"/>
  <c r="BS116" i="2"/>
  <c r="BR116" i="2"/>
  <c r="BQ116" i="2"/>
  <c r="BP116" i="2"/>
  <c r="BO116" i="2"/>
  <c r="BN116" i="2"/>
  <c r="BM116" i="2"/>
  <c r="BL116" i="2"/>
  <c r="BK116" i="2"/>
  <c r="BJ116" i="2"/>
  <c r="BI116" i="2"/>
  <c r="BH116" i="2"/>
  <c r="BG116" i="2"/>
  <c r="BF116" i="2"/>
  <c r="BE116" i="2"/>
  <c r="BD116" i="2"/>
  <c r="BC116" i="2"/>
  <c r="BB116" i="2"/>
  <c r="BA116" i="2"/>
  <c r="AZ116" i="2"/>
  <c r="AY116" i="2"/>
  <c r="AX116" i="2"/>
  <c r="AW116" i="2"/>
  <c r="AV116" i="2"/>
  <c r="AU116" i="2"/>
  <c r="AT116" i="2"/>
  <c r="AS116" i="2"/>
  <c r="AR116" i="2"/>
  <c r="AQ116" i="2"/>
  <c r="AP116" i="2"/>
  <c r="AO116" i="2"/>
  <c r="AN116" i="2"/>
  <c r="AM116" i="2"/>
  <c r="AL116" i="2"/>
  <c r="AK116" i="2"/>
  <c r="AJ116" i="2"/>
  <c r="AI116" i="2"/>
  <c r="AH116" i="2"/>
  <c r="AG116" i="2"/>
  <c r="AF116" i="2"/>
  <c r="AE116" i="2"/>
  <c r="AD116" i="2"/>
  <c r="AC116" i="2"/>
  <c r="AB116" i="2"/>
  <c r="AA116" i="2"/>
  <c r="Z116" i="2"/>
  <c r="Y116" i="2"/>
  <c r="X116" i="2"/>
  <c r="W116" i="2"/>
  <c r="V116" i="2"/>
  <c r="U116" i="2"/>
  <c r="T116" i="2"/>
  <c r="S116" i="2"/>
  <c r="R116" i="2"/>
  <c r="Q116" i="2"/>
  <c r="P116" i="2"/>
  <c r="O116" i="2"/>
  <c r="N116" i="2"/>
  <c r="M116" i="2"/>
  <c r="L116" i="2"/>
  <c r="K116" i="2"/>
  <c r="J116" i="2"/>
  <c r="J130" i="2" s="1"/>
  <c r="I116" i="2"/>
  <c r="H116" i="2"/>
  <c r="G116" i="2"/>
  <c r="F116" i="2"/>
  <c r="F130" i="2" s="1"/>
  <c r="E116" i="2"/>
  <c r="D116" i="2"/>
  <c r="C116" i="2"/>
  <c r="B116" i="2"/>
  <c r="B130" i="2" s="1"/>
  <c r="A116" i="2"/>
  <c r="A111" i="2"/>
  <c r="FH104" i="2"/>
  <c r="FG104" i="2"/>
  <c r="FF104" i="2"/>
  <c r="FE104" i="2"/>
  <c r="FD104" i="2"/>
  <c r="FC104" i="2"/>
  <c r="FB104" i="2"/>
  <c r="FA104" i="2"/>
  <c r="EZ104" i="2"/>
  <c r="EY104" i="2"/>
  <c r="EX104" i="2"/>
  <c r="EW104" i="2"/>
  <c r="EV104" i="2"/>
  <c r="EU104" i="2"/>
  <c r="ET104" i="2"/>
  <c r="ES104" i="2"/>
  <c r="ER104" i="2"/>
  <c r="EQ104" i="2"/>
  <c r="EP104" i="2"/>
  <c r="EO104" i="2"/>
  <c r="EN104" i="2"/>
  <c r="EM104" i="2"/>
  <c r="EL104" i="2"/>
  <c r="EK104" i="2"/>
  <c r="EJ104" i="2"/>
  <c r="EI104" i="2"/>
  <c r="EH104" i="2"/>
  <c r="EG104" i="2"/>
  <c r="EF104" i="2"/>
  <c r="EE104" i="2"/>
  <c r="ED104" i="2"/>
  <c r="EC104" i="2"/>
  <c r="EB104" i="2"/>
  <c r="FH103" i="2"/>
  <c r="FG103" i="2"/>
  <c r="FF103" i="2"/>
  <c r="FE103" i="2"/>
  <c r="FD103" i="2"/>
  <c r="FC103" i="2"/>
  <c r="FB103" i="2"/>
  <c r="FA103" i="2"/>
  <c r="EZ103" i="2"/>
  <c r="EY103" i="2"/>
  <c r="EX103" i="2"/>
  <c r="EW103" i="2"/>
  <c r="EV103" i="2"/>
  <c r="EU103" i="2"/>
  <c r="ET103" i="2"/>
  <c r="ES103" i="2"/>
  <c r="ER103" i="2"/>
  <c r="EQ103" i="2"/>
  <c r="EP103" i="2"/>
  <c r="EO103" i="2"/>
  <c r="EN103" i="2"/>
  <c r="EM103" i="2"/>
  <c r="EL103" i="2"/>
  <c r="EK103" i="2"/>
  <c r="EJ103" i="2"/>
  <c r="EI103" i="2"/>
  <c r="EH103" i="2"/>
  <c r="EG103" i="2"/>
  <c r="EF103" i="2"/>
  <c r="EE103" i="2"/>
  <c r="ED103" i="2"/>
  <c r="EC103" i="2"/>
  <c r="EB103" i="2"/>
  <c r="FH102" i="2"/>
  <c r="FG102" i="2"/>
  <c r="FF102" i="2"/>
  <c r="FE102" i="2"/>
  <c r="FD102" i="2"/>
  <c r="FC102" i="2"/>
  <c r="FB102" i="2"/>
  <c r="FA102" i="2"/>
  <c r="EZ102" i="2"/>
  <c r="EY102" i="2"/>
  <c r="EX102" i="2"/>
  <c r="EW102" i="2"/>
  <c r="EV102" i="2"/>
  <c r="EU102" i="2"/>
  <c r="ET102" i="2"/>
  <c r="ES102" i="2"/>
  <c r="ER102" i="2"/>
  <c r="EQ102" i="2"/>
  <c r="EP102" i="2"/>
  <c r="EO102" i="2"/>
  <c r="EN102" i="2"/>
  <c r="EM102" i="2"/>
  <c r="EL102" i="2"/>
  <c r="EK102" i="2"/>
  <c r="EJ102" i="2"/>
  <c r="EI102" i="2"/>
  <c r="EH102" i="2"/>
  <c r="EG102" i="2"/>
  <c r="EF102" i="2"/>
  <c r="EE102" i="2"/>
  <c r="ED102" i="2"/>
  <c r="EC102" i="2"/>
  <c r="EB102" i="2"/>
  <c r="FH101" i="2"/>
  <c r="FG101" i="2"/>
  <c r="FF101" i="2"/>
  <c r="FE101" i="2"/>
  <c r="FD101" i="2"/>
  <c r="FC101" i="2"/>
  <c r="FB101" i="2"/>
  <c r="FA101" i="2"/>
  <c r="EZ101" i="2"/>
  <c r="EY101" i="2"/>
  <c r="EX101" i="2"/>
  <c r="EW101" i="2"/>
  <c r="EV101" i="2"/>
  <c r="EU101" i="2"/>
  <c r="ET101" i="2"/>
  <c r="ES101" i="2"/>
  <c r="ER101" i="2"/>
  <c r="EQ101" i="2"/>
  <c r="EP101" i="2"/>
  <c r="EO101" i="2"/>
  <c r="EN101" i="2"/>
  <c r="EM101" i="2"/>
  <c r="EL101" i="2"/>
  <c r="EK101" i="2"/>
  <c r="EJ101" i="2"/>
  <c r="EI101" i="2"/>
  <c r="EH101" i="2"/>
  <c r="EG101" i="2"/>
  <c r="EF101" i="2"/>
  <c r="EE101" i="2"/>
  <c r="ED101" i="2"/>
  <c r="EC101" i="2"/>
  <c r="EB101" i="2"/>
  <c r="FH100" i="2"/>
  <c r="FG100" i="2"/>
  <c r="FF100" i="2"/>
  <c r="FE100" i="2"/>
  <c r="FD100" i="2"/>
  <c r="FC100" i="2"/>
  <c r="FB100" i="2"/>
  <c r="FA100" i="2"/>
  <c r="EZ100" i="2"/>
  <c r="EY100" i="2"/>
  <c r="EX100" i="2"/>
  <c r="EW100" i="2"/>
  <c r="EV100" i="2"/>
  <c r="EU100" i="2"/>
  <c r="ET100" i="2"/>
  <c r="ES100" i="2"/>
  <c r="ER100" i="2"/>
  <c r="EQ100" i="2"/>
  <c r="EP100" i="2"/>
  <c r="EO100" i="2"/>
  <c r="EN100" i="2"/>
  <c r="EM100" i="2"/>
  <c r="EL100" i="2"/>
  <c r="EK100" i="2"/>
  <c r="EJ100" i="2"/>
  <c r="EI100" i="2"/>
  <c r="EH100" i="2"/>
  <c r="EG100" i="2"/>
  <c r="EF100" i="2"/>
  <c r="EE100" i="2"/>
  <c r="ED100" i="2"/>
  <c r="EC100" i="2"/>
  <c r="EB100" i="2"/>
  <c r="FH99" i="2"/>
  <c r="FG99" i="2"/>
  <c r="FF99" i="2"/>
  <c r="FE99" i="2"/>
  <c r="FD99" i="2"/>
  <c r="FC99" i="2"/>
  <c r="FB99" i="2"/>
  <c r="FA99" i="2"/>
  <c r="EZ99" i="2"/>
  <c r="EY99" i="2"/>
  <c r="EX99" i="2"/>
  <c r="EW99" i="2"/>
  <c r="EV99" i="2"/>
  <c r="EU99" i="2"/>
  <c r="ET99" i="2"/>
  <c r="ES99" i="2"/>
  <c r="ER99" i="2"/>
  <c r="EQ99" i="2"/>
  <c r="EP99" i="2"/>
  <c r="EO99" i="2"/>
  <c r="EN99" i="2"/>
  <c r="EM99" i="2"/>
  <c r="EL99" i="2"/>
  <c r="EK99" i="2"/>
  <c r="EJ99" i="2"/>
  <c r="EI99" i="2"/>
  <c r="EH99" i="2"/>
  <c r="EG99" i="2"/>
  <c r="EF99" i="2"/>
  <c r="EE99" i="2"/>
  <c r="ED99" i="2"/>
  <c r="EC99" i="2"/>
  <c r="EB99" i="2"/>
  <c r="DQ104" i="2"/>
  <c r="DP104" i="2"/>
  <c r="DO104" i="2"/>
  <c r="DN104" i="2"/>
  <c r="DM104" i="2"/>
  <c r="DL104" i="2"/>
  <c r="DK104" i="2"/>
  <c r="DJ104" i="2"/>
  <c r="DI104" i="2"/>
  <c r="DH104" i="2"/>
  <c r="DG104" i="2"/>
  <c r="DF104" i="2"/>
  <c r="DE104" i="2"/>
  <c r="DD104" i="2"/>
  <c r="DC104" i="2"/>
  <c r="DB104" i="2"/>
  <c r="DA104" i="2"/>
  <c r="CZ104" i="2"/>
  <c r="CY104" i="2"/>
  <c r="CX104" i="2"/>
  <c r="CW104" i="2"/>
  <c r="CV104" i="2"/>
  <c r="CU104" i="2"/>
  <c r="CT104" i="2"/>
  <c r="CS104" i="2"/>
  <c r="CR104" i="2"/>
  <c r="CQ104" i="2"/>
  <c r="CP104" i="2"/>
  <c r="CO104" i="2"/>
  <c r="CN104" i="2"/>
  <c r="CM104" i="2"/>
  <c r="CL104" i="2"/>
  <c r="CK104" i="2"/>
  <c r="CJ104" i="2"/>
  <c r="CI104" i="2"/>
  <c r="CH104" i="2"/>
  <c r="CG104" i="2"/>
  <c r="CF104" i="2"/>
  <c r="CE104" i="2"/>
  <c r="CD104" i="2"/>
  <c r="CC104" i="2"/>
  <c r="CB104" i="2"/>
  <c r="CA104" i="2"/>
  <c r="BZ104" i="2"/>
  <c r="BY104" i="2"/>
  <c r="BX104" i="2"/>
  <c r="BW104" i="2"/>
  <c r="BV104" i="2"/>
  <c r="BU104" i="2"/>
  <c r="BT104" i="2"/>
  <c r="BS104" i="2"/>
  <c r="BR104" i="2"/>
  <c r="BQ104" i="2"/>
  <c r="BP104" i="2"/>
  <c r="BO104" i="2"/>
  <c r="BN104" i="2"/>
  <c r="BM104" i="2"/>
  <c r="BL104" i="2"/>
  <c r="BK104" i="2"/>
  <c r="BJ104" i="2"/>
  <c r="BI104" i="2"/>
  <c r="BH104" i="2"/>
  <c r="BG104" i="2"/>
  <c r="BF104" i="2"/>
  <c r="BE104" i="2"/>
  <c r="BD104" i="2"/>
  <c r="BC104" i="2"/>
  <c r="BB104" i="2"/>
  <c r="BA104" i="2"/>
  <c r="AZ104" i="2"/>
  <c r="AY104" i="2"/>
  <c r="AX104" i="2"/>
  <c r="AW104" i="2"/>
  <c r="AV104" i="2"/>
  <c r="AU104" i="2"/>
  <c r="AT104" i="2"/>
  <c r="AS104" i="2"/>
  <c r="AR104" i="2"/>
  <c r="AQ104" i="2"/>
  <c r="AP104" i="2"/>
  <c r="AO104" i="2"/>
  <c r="AN104" i="2"/>
  <c r="AM104" i="2"/>
  <c r="AL104" i="2"/>
  <c r="AK104" i="2"/>
  <c r="AJ104" i="2"/>
  <c r="AI104" i="2"/>
  <c r="AH104" i="2"/>
  <c r="AG104" i="2"/>
  <c r="AF104" i="2"/>
  <c r="AE104" i="2"/>
  <c r="AD104" i="2"/>
  <c r="AC104" i="2"/>
  <c r="AB104" i="2"/>
  <c r="AA104" i="2"/>
  <c r="Z104" i="2"/>
  <c r="Y104" i="2"/>
  <c r="X104" i="2"/>
  <c r="W104" i="2"/>
  <c r="V104" i="2"/>
  <c r="U104" i="2"/>
  <c r="T104" i="2"/>
  <c r="S104" i="2"/>
  <c r="R104" i="2"/>
  <c r="Q104" i="2"/>
  <c r="P104" i="2"/>
  <c r="O104" i="2"/>
  <c r="N104" i="2"/>
  <c r="M104" i="2"/>
  <c r="L104" i="2"/>
  <c r="K104" i="2"/>
  <c r="J104" i="2"/>
  <c r="I104" i="2"/>
  <c r="H104" i="2"/>
  <c r="G104" i="2"/>
  <c r="F104" i="2"/>
  <c r="E104" i="2"/>
  <c r="D104" i="2"/>
  <c r="C104" i="2"/>
  <c r="B104" i="2"/>
  <c r="A104" i="2"/>
  <c r="DQ103" i="2"/>
  <c r="DP103" i="2"/>
  <c r="DO103" i="2"/>
  <c r="DN103" i="2"/>
  <c r="DM103" i="2"/>
  <c r="DL103" i="2"/>
  <c r="DK103" i="2"/>
  <c r="DJ103" i="2"/>
  <c r="DI103" i="2"/>
  <c r="DH103" i="2"/>
  <c r="DG103" i="2"/>
  <c r="DF103" i="2"/>
  <c r="DE103" i="2"/>
  <c r="DD103" i="2"/>
  <c r="DC103" i="2"/>
  <c r="DB103" i="2"/>
  <c r="DA103" i="2"/>
  <c r="CZ103" i="2"/>
  <c r="CY103" i="2"/>
  <c r="CX103" i="2"/>
  <c r="CW103" i="2"/>
  <c r="CV103" i="2"/>
  <c r="CU103" i="2"/>
  <c r="CT103" i="2"/>
  <c r="CS103" i="2"/>
  <c r="CR103" i="2"/>
  <c r="CQ103" i="2"/>
  <c r="CP103" i="2"/>
  <c r="CO103" i="2"/>
  <c r="CN103" i="2"/>
  <c r="CM103" i="2"/>
  <c r="CL103" i="2"/>
  <c r="CK103" i="2"/>
  <c r="CJ103" i="2"/>
  <c r="CI103" i="2"/>
  <c r="CH103" i="2"/>
  <c r="CG103" i="2"/>
  <c r="CF103" i="2"/>
  <c r="CE103" i="2"/>
  <c r="CD103" i="2"/>
  <c r="CC103" i="2"/>
  <c r="CB103" i="2"/>
  <c r="CA103" i="2"/>
  <c r="BZ103" i="2"/>
  <c r="BY103" i="2"/>
  <c r="BX103" i="2"/>
  <c r="BW103" i="2"/>
  <c r="BV103" i="2"/>
  <c r="BU103" i="2"/>
  <c r="BT103" i="2"/>
  <c r="BS103" i="2"/>
  <c r="BR103" i="2"/>
  <c r="BQ103" i="2"/>
  <c r="BP103" i="2"/>
  <c r="BO103" i="2"/>
  <c r="BN103" i="2"/>
  <c r="BM103" i="2"/>
  <c r="BL103" i="2"/>
  <c r="BK103" i="2"/>
  <c r="BJ103" i="2"/>
  <c r="BI103" i="2"/>
  <c r="BH103" i="2"/>
  <c r="BG103" i="2"/>
  <c r="BF103" i="2"/>
  <c r="BE103" i="2"/>
  <c r="BD103" i="2"/>
  <c r="BC103" i="2"/>
  <c r="BB103" i="2"/>
  <c r="BA103" i="2"/>
  <c r="AZ103" i="2"/>
  <c r="AY103" i="2"/>
  <c r="AX103" i="2"/>
  <c r="AW103" i="2"/>
  <c r="AV103" i="2"/>
  <c r="AU103" i="2"/>
  <c r="AT103" i="2"/>
  <c r="AS103" i="2"/>
  <c r="AR103" i="2"/>
  <c r="AQ103" i="2"/>
  <c r="AP103" i="2"/>
  <c r="AO103" i="2"/>
  <c r="AN103" i="2"/>
  <c r="AM103" i="2"/>
  <c r="AL103" i="2"/>
  <c r="AK103" i="2"/>
  <c r="AJ103" i="2"/>
  <c r="AI103" i="2"/>
  <c r="AH103" i="2"/>
  <c r="AG103" i="2"/>
  <c r="AF103" i="2"/>
  <c r="AE103" i="2"/>
  <c r="AD103" i="2"/>
  <c r="AC103" i="2"/>
  <c r="AB103" i="2"/>
  <c r="AA103" i="2"/>
  <c r="Z103" i="2"/>
  <c r="Y103" i="2"/>
  <c r="X103" i="2"/>
  <c r="W103" i="2"/>
  <c r="V103" i="2"/>
  <c r="U103" i="2"/>
  <c r="T103" i="2"/>
  <c r="S103" i="2"/>
  <c r="R103" i="2"/>
  <c r="Q103" i="2"/>
  <c r="P103" i="2"/>
  <c r="O103" i="2"/>
  <c r="N103" i="2"/>
  <c r="M103" i="2"/>
  <c r="L103" i="2"/>
  <c r="K103" i="2"/>
  <c r="J103" i="2"/>
  <c r="I103" i="2"/>
  <c r="H103" i="2"/>
  <c r="G103" i="2"/>
  <c r="F103" i="2"/>
  <c r="E103" i="2"/>
  <c r="D103" i="2"/>
  <c r="C103" i="2"/>
  <c r="B103" i="2"/>
  <c r="A103" i="2"/>
  <c r="DQ102" i="2"/>
  <c r="DP102" i="2"/>
  <c r="DO102" i="2"/>
  <c r="DN102" i="2"/>
  <c r="DM102" i="2"/>
  <c r="DL102" i="2"/>
  <c r="DK102" i="2"/>
  <c r="DJ102" i="2"/>
  <c r="DI102" i="2"/>
  <c r="DH102" i="2"/>
  <c r="DG102" i="2"/>
  <c r="DF102" i="2"/>
  <c r="DE102" i="2"/>
  <c r="DD102" i="2"/>
  <c r="DC102" i="2"/>
  <c r="DB102" i="2"/>
  <c r="DA102" i="2"/>
  <c r="CZ102" i="2"/>
  <c r="CY102" i="2"/>
  <c r="CX102" i="2"/>
  <c r="CW102" i="2"/>
  <c r="CV102" i="2"/>
  <c r="CU102" i="2"/>
  <c r="CT102" i="2"/>
  <c r="CS102" i="2"/>
  <c r="CR102" i="2"/>
  <c r="CQ102" i="2"/>
  <c r="CP102" i="2"/>
  <c r="CO102" i="2"/>
  <c r="CN102" i="2"/>
  <c r="CM102" i="2"/>
  <c r="CL102" i="2"/>
  <c r="CK102" i="2"/>
  <c r="CJ102" i="2"/>
  <c r="CI102" i="2"/>
  <c r="CH102" i="2"/>
  <c r="CG102" i="2"/>
  <c r="CF102" i="2"/>
  <c r="CE102" i="2"/>
  <c r="CD102" i="2"/>
  <c r="CC102" i="2"/>
  <c r="CB102" i="2"/>
  <c r="CA102" i="2"/>
  <c r="BZ102" i="2"/>
  <c r="BY102" i="2"/>
  <c r="BX102" i="2"/>
  <c r="BW102" i="2"/>
  <c r="BV102" i="2"/>
  <c r="BU102" i="2"/>
  <c r="BT102" i="2"/>
  <c r="BS102" i="2"/>
  <c r="BR102" i="2"/>
  <c r="BQ102" i="2"/>
  <c r="BP102" i="2"/>
  <c r="BO102" i="2"/>
  <c r="BN102" i="2"/>
  <c r="BM102" i="2"/>
  <c r="BL102" i="2"/>
  <c r="BK102" i="2"/>
  <c r="BJ102" i="2"/>
  <c r="BI102" i="2"/>
  <c r="BH102" i="2"/>
  <c r="BG102" i="2"/>
  <c r="BF102" i="2"/>
  <c r="BE102" i="2"/>
  <c r="BD102" i="2"/>
  <c r="BC102" i="2"/>
  <c r="BB102" i="2"/>
  <c r="BA102" i="2"/>
  <c r="AZ102" i="2"/>
  <c r="AY102" i="2"/>
  <c r="AX102" i="2"/>
  <c r="AW102" i="2"/>
  <c r="AV102" i="2"/>
  <c r="AU102" i="2"/>
  <c r="AT102" i="2"/>
  <c r="AS102" i="2"/>
  <c r="AR102" i="2"/>
  <c r="AQ102" i="2"/>
  <c r="AP102" i="2"/>
  <c r="AO102" i="2"/>
  <c r="AN102" i="2"/>
  <c r="AM102" i="2"/>
  <c r="AL102" i="2"/>
  <c r="AK102" i="2"/>
  <c r="AJ102" i="2"/>
  <c r="AI102" i="2"/>
  <c r="AH102" i="2"/>
  <c r="AG102" i="2"/>
  <c r="AF102" i="2"/>
  <c r="AE102" i="2"/>
  <c r="AD102" i="2"/>
  <c r="AC102" i="2"/>
  <c r="AB102" i="2"/>
  <c r="AA102" i="2"/>
  <c r="Z102" i="2"/>
  <c r="Y102" i="2"/>
  <c r="X102" i="2"/>
  <c r="W102" i="2"/>
  <c r="V102" i="2"/>
  <c r="U102" i="2"/>
  <c r="T102" i="2"/>
  <c r="S102" i="2"/>
  <c r="R102" i="2"/>
  <c r="Q102" i="2"/>
  <c r="P102" i="2"/>
  <c r="O102" i="2"/>
  <c r="N102" i="2"/>
  <c r="M102" i="2"/>
  <c r="L102" i="2"/>
  <c r="K102" i="2"/>
  <c r="J102" i="2"/>
  <c r="I102" i="2"/>
  <c r="H102" i="2"/>
  <c r="G102" i="2"/>
  <c r="F102" i="2"/>
  <c r="E102" i="2"/>
  <c r="D102" i="2"/>
  <c r="C102" i="2"/>
  <c r="B102" i="2"/>
  <c r="A102" i="2"/>
  <c r="DQ101" i="2"/>
  <c r="DP101" i="2"/>
  <c r="DO101" i="2"/>
  <c r="DN101" i="2"/>
  <c r="DM101" i="2"/>
  <c r="DL101" i="2"/>
  <c r="DK101" i="2"/>
  <c r="DJ101" i="2"/>
  <c r="DI101" i="2"/>
  <c r="DH101" i="2"/>
  <c r="DG101" i="2"/>
  <c r="DF101" i="2"/>
  <c r="DE101" i="2"/>
  <c r="DD101" i="2"/>
  <c r="DC101" i="2"/>
  <c r="DB101" i="2"/>
  <c r="DA101" i="2"/>
  <c r="CZ101" i="2"/>
  <c r="CY101" i="2"/>
  <c r="CX101" i="2"/>
  <c r="CW101" i="2"/>
  <c r="CV101" i="2"/>
  <c r="CU101" i="2"/>
  <c r="CT101" i="2"/>
  <c r="CS101" i="2"/>
  <c r="CR101" i="2"/>
  <c r="CQ101" i="2"/>
  <c r="CP101" i="2"/>
  <c r="CO101" i="2"/>
  <c r="CN101" i="2"/>
  <c r="CM101" i="2"/>
  <c r="CL101" i="2"/>
  <c r="CK101" i="2"/>
  <c r="CJ101" i="2"/>
  <c r="CI101" i="2"/>
  <c r="CH101" i="2"/>
  <c r="CG101" i="2"/>
  <c r="CF101" i="2"/>
  <c r="CE101" i="2"/>
  <c r="CD101" i="2"/>
  <c r="CC101" i="2"/>
  <c r="CB101" i="2"/>
  <c r="CA101" i="2"/>
  <c r="BZ101" i="2"/>
  <c r="BY101" i="2"/>
  <c r="BX101" i="2"/>
  <c r="BW101" i="2"/>
  <c r="BV101" i="2"/>
  <c r="BU101" i="2"/>
  <c r="BT101" i="2"/>
  <c r="BS101" i="2"/>
  <c r="BR101" i="2"/>
  <c r="BQ101" i="2"/>
  <c r="BP101" i="2"/>
  <c r="BO101" i="2"/>
  <c r="BN101" i="2"/>
  <c r="BM101" i="2"/>
  <c r="BL101" i="2"/>
  <c r="BK101" i="2"/>
  <c r="BJ101" i="2"/>
  <c r="BI101" i="2"/>
  <c r="BH101" i="2"/>
  <c r="BG101" i="2"/>
  <c r="BF101" i="2"/>
  <c r="BE101" i="2"/>
  <c r="BD101" i="2"/>
  <c r="BC101" i="2"/>
  <c r="BB101" i="2"/>
  <c r="BA101" i="2"/>
  <c r="AZ101" i="2"/>
  <c r="AY101" i="2"/>
  <c r="AX101" i="2"/>
  <c r="AW101" i="2"/>
  <c r="AV101" i="2"/>
  <c r="AU101" i="2"/>
  <c r="AT101" i="2"/>
  <c r="AS101" i="2"/>
  <c r="AR101" i="2"/>
  <c r="AQ101" i="2"/>
  <c r="AP101" i="2"/>
  <c r="AO101" i="2"/>
  <c r="AN101" i="2"/>
  <c r="AM101" i="2"/>
  <c r="AL101" i="2"/>
  <c r="AK101" i="2"/>
  <c r="AJ101" i="2"/>
  <c r="AI101" i="2"/>
  <c r="AH101" i="2"/>
  <c r="AG101" i="2"/>
  <c r="AF101" i="2"/>
  <c r="AE101" i="2"/>
  <c r="AD101" i="2"/>
  <c r="AC101" i="2"/>
  <c r="AB101" i="2"/>
  <c r="AA101" i="2"/>
  <c r="Z101" i="2"/>
  <c r="Y101" i="2"/>
  <c r="X101" i="2"/>
  <c r="W101" i="2"/>
  <c r="V101" i="2"/>
  <c r="U101" i="2"/>
  <c r="T101" i="2"/>
  <c r="S101" i="2"/>
  <c r="R101" i="2"/>
  <c r="Q101" i="2"/>
  <c r="P101" i="2"/>
  <c r="O101" i="2"/>
  <c r="N101" i="2"/>
  <c r="M101" i="2"/>
  <c r="L101" i="2"/>
  <c r="K101" i="2"/>
  <c r="J101" i="2"/>
  <c r="I101" i="2"/>
  <c r="H101" i="2"/>
  <c r="G101" i="2"/>
  <c r="F101" i="2"/>
  <c r="E101" i="2"/>
  <c r="D101" i="2"/>
  <c r="C101" i="2"/>
  <c r="B101" i="2"/>
  <c r="A101" i="2"/>
  <c r="DQ100" i="2"/>
  <c r="DP100" i="2"/>
  <c r="DO100" i="2"/>
  <c r="DN100" i="2"/>
  <c r="DM100" i="2"/>
  <c r="DL100" i="2"/>
  <c r="DK100" i="2"/>
  <c r="DJ100" i="2"/>
  <c r="DI100" i="2"/>
  <c r="DH100" i="2"/>
  <c r="DG100" i="2"/>
  <c r="DF100" i="2"/>
  <c r="DE100" i="2"/>
  <c r="DD100" i="2"/>
  <c r="DC100" i="2"/>
  <c r="DB100" i="2"/>
  <c r="DA100" i="2"/>
  <c r="CZ100" i="2"/>
  <c r="CY100" i="2"/>
  <c r="CX100" i="2"/>
  <c r="CW100" i="2"/>
  <c r="CV100" i="2"/>
  <c r="CU100" i="2"/>
  <c r="CT100" i="2"/>
  <c r="CS100" i="2"/>
  <c r="CR100" i="2"/>
  <c r="CQ100" i="2"/>
  <c r="CP100" i="2"/>
  <c r="CO100" i="2"/>
  <c r="CN100" i="2"/>
  <c r="CM100" i="2"/>
  <c r="CL100" i="2"/>
  <c r="CK100" i="2"/>
  <c r="CJ100" i="2"/>
  <c r="CI100" i="2"/>
  <c r="CH100" i="2"/>
  <c r="CG100" i="2"/>
  <c r="CF100" i="2"/>
  <c r="CE100" i="2"/>
  <c r="CD100" i="2"/>
  <c r="CC100" i="2"/>
  <c r="CB100" i="2"/>
  <c r="CA100" i="2"/>
  <c r="BZ100" i="2"/>
  <c r="BY100" i="2"/>
  <c r="BX100" i="2"/>
  <c r="BW100" i="2"/>
  <c r="BV100" i="2"/>
  <c r="BU100" i="2"/>
  <c r="BT100" i="2"/>
  <c r="BS100" i="2"/>
  <c r="BR100" i="2"/>
  <c r="BQ100" i="2"/>
  <c r="BP100" i="2"/>
  <c r="BO100" i="2"/>
  <c r="BN100" i="2"/>
  <c r="BM100" i="2"/>
  <c r="BL100" i="2"/>
  <c r="BK100" i="2"/>
  <c r="BJ100" i="2"/>
  <c r="BI100" i="2"/>
  <c r="BH100" i="2"/>
  <c r="BG100" i="2"/>
  <c r="BF100" i="2"/>
  <c r="BE100" i="2"/>
  <c r="BD100" i="2"/>
  <c r="BC100" i="2"/>
  <c r="BB100" i="2"/>
  <c r="BA100" i="2"/>
  <c r="AZ100" i="2"/>
  <c r="AY100" i="2"/>
  <c r="AX100" i="2"/>
  <c r="AW100" i="2"/>
  <c r="AV100" i="2"/>
  <c r="AU100" i="2"/>
  <c r="AT100" i="2"/>
  <c r="AS100" i="2"/>
  <c r="AR100" i="2"/>
  <c r="AQ100" i="2"/>
  <c r="AP100" i="2"/>
  <c r="AO100" i="2"/>
  <c r="AN100" i="2"/>
  <c r="AM100" i="2"/>
  <c r="AL100" i="2"/>
  <c r="AK100" i="2"/>
  <c r="AJ100" i="2"/>
  <c r="AI100" i="2"/>
  <c r="AH100" i="2"/>
  <c r="AG100" i="2"/>
  <c r="AF100" i="2"/>
  <c r="AE100" i="2"/>
  <c r="AD100" i="2"/>
  <c r="AC100" i="2"/>
  <c r="AB100" i="2"/>
  <c r="AA100" i="2"/>
  <c r="Z100" i="2"/>
  <c r="Y100" i="2"/>
  <c r="X100" i="2"/>
  <c r="W100" i="2"/>
  <c r="V100" i="2"/>
  <c r="U100" i="2"/>
  <c r="T100" i="2"/>
  <c r="S100" i="2"/>
  <c r="R100" i="2"/>
  <c r="Q100" i="2"/>
  <c r="P100" i="2"/>
  <c r="O100" i="2"/>
  <c r="N100" i="2"/>
  <c r="M100" i="2"/>
  <c r="L100" i="2"/>
  <c r="K100" i="2"/>
  <c r="J100" i="2"/>
  <c r="I100" i="2"/>
  <c r="H100" i="2"/>
  <c r="G100" i="2"/>
  <c r="F100" i="2"/>
  <c r="E100" i="2"/>
  <c r="D100" i="2"/>
  <c r="C100" i="2"/>
  <c r="B100" i="2"/>
  <c r="A100" i="2"/>
  <c r="DQ99" i="2"/>
  <c r="DP99" i="2"/>
  <c r="DO99" i="2"/>
  <c r="DN99" i="2"/>
  <c r="DM99" i="2"/>
  <c r="DL99" i="2"/>
  <c r="DK99" i="2"/>
  <c r="DJ99" i="2"/>
  <c r="DI99" i="2"/>
  <c r="DH99" i="2"/>
  <c r="DG99" i="2"/>
  <c r="DF99" i="2"/>
  <c r="DE99" i="2"/>
  <c r="DD99" i="2"/>
  <c r="DC99" i="2"/>
  <c r="DB99" i="2"/>
  <c r="DA99" i="2"/>
  <c r="CZ99" i="2"/>
  <c r="CY99" i="2"/>
  <c r="CX99" i="2"/>
  <c r="CW99" i="2"/>
  <c r="CV99" i="2"/>
  <c r="CU99" i="2"/>
  <c r="CT99" i="2"/>
  <c r="CS99" i="2"/>
  <c r="CR99" i="2"/>
  <c r="CQ99" i="2"/>
  <c r="CP99" i="2"/>
  <c r="CO99" i="2"/>
  <c r="CN99" i="2"/>
  <c r="CM99" i="2"/>
  <c r="CL99" i="2"/>
  <c r="CK99" i="2"/>
  <c r="CJ99" i="2"/>
  <c r="CI99" i="2"/>
  <c r="CH99" i="2"/>
  <c r="CG99" i="2"/>
  <c r="CF99" i="2"/>
  <c r="CE99" i="2"/>
  <c r="CD99" i="2"/>
  <c r="CC99" i="2"/>
  <c r="CB99" i="2"/>
  <c r="CA99" i="2"/>
  <c r="BZ99" i="2"/>
  <c r="BY99" i="2"/>
  <c r="BX99" i="2"/>
  <c r="BW99" i="2"/>
  <c r="BV99" i="2"/>
  <c r="BU99" i="2"/>
  <c r="BT99" i="2"/>
  <c r="BS99" i="2"/>
  <c r="BR99" i="2"/>
  <c r="BQ99" i="2"/>
  <c r="BP99" i="2"/>
  <c r="BO99" i="2"/>
  <c r="BN99" i="2"/>
  <c r="BM99" i="2"/>
  <c r="BL99" i="2"/>
  <c r="BK99" i="2"/>
  <c r="BJ99" i="2"/>
  <c r="BI99" i="2"/>
  <c r="BH99" i="2"/>
  <c r="BG99" i="2"/>
  <c r="BF99" i="2"/>
  <c r="BE99" i="2"/>
  <c r="BD99" i="2"/>
  <c r="BC99" i="2"/>
  <c r="BB99" i="2"/>
  <c r="BA99" i="2"/>
  <c r="AZ99" i="2"/>
  <c r="AY99" i="2"/>
  <c r="AX99" i="2"/>
  <c r="AW99" i="2"/>
  <c r="AV99" i="2"/>
  <c r="AU99" i="2"/>
  <c r="AT99" i="2"/>
  <c r="AS99" i="2"/>
  <c r="AR99" i="2"/>
  <c r="AQ99" i="2"/>
  <c r="AP99" i="2"/>
  <c r="AO99" i="2"/>
  <c r="AN99" i="2"/>
  <c r="AM99" i="2"/>
  <c r="AL99" i="2"/>
  <c r="AK99" i="2"/>
  <c r="AJ99" i="2"/>
  <c r="AI99" i="2"/>
  <c r="AH99" i="2"/>
  <c r="AG99" i="2"/>
  <c r="AF99" i="2"/>
  <c r="AE99" i="2"/>
  <c r="AD99" i="2"/>
  <c r="AC99" i="2"/>
  <c r="AB99" i="2"/>
  <c r="AA99" i="2"/>
  <c r="Z99" i="2"/>
  <c r="Y99" i="2"/>
  <c r="X99" i="2"/>
  <c r="W99" i="2"/>
  <c r="V99" i="2"/>
  <c r="U99" i="2"/>
  <c r="T99" i="2"/>
  <c r="S99" i="2"/>
  <c r="R99" i="2"/>
  <c r="Q99" i="2"/>
  <c r="P99" i="2"/>
  <c r="O99" i="2"/>
  <c r="N99" i="2"/>
  <c r="M99" i="2"/>
  <c r="L99" i="2"/>
  <c r="K99" i="2"/>
  <c r="J99" i="2"/>
  <c r="I99" i="2"/>
  <c r="H99" i="2"/>
  <c r="G99" i="2"/>
  <c r="F99" i="2"/>
  <c r="E99" i="2"/>
  <c r="D99" i="2"/>
  <c r="C99" i="2"/>
  <c r="B99" i="2"/>
  <c r="A99" i="2"/>
  <c r="A98" i="2"/>
  <c r="FH96" i="2"/>
  <c r="FG96" i="2"/>
  <c r="FF96" i="2"/>
  <c r="FE96" i="2"/>
  <c r="FD96" i="2"/>
  <c r="FC96" i="2"/>
  <c r="FB96" i="2"/>
  <c r="FA96" i="2"/>
  <c r="EZ96" i="2"/>
  <c r="EY96" i="2"/>
  <c r="EX96" i="2"/>
  <c r="EW96" i="2"/>
  <c r="EV96" i="2"/>
  <c r="EU96" i="2"/>
  <c r="ET96" i="2"/>
  <c r="ES96" i="2"/>
  <c r="ER96" i="2"/>
  <c r="EQ96" i="2"/>
  <c r="EP96" i="2"/>
  <c r="EO96" i="2"/>
  <c r="EN96" i="2"/>
  <c r="EM96" i="2"/>
  <c r="EL96" i="2"/>
  <c r="EK96" i="2"/>
  <c r="EJ96" i="2"/>
  <c r="EI96" i="2"/>
  <c r="EH96" i="2"/>
  <c r="EG96" i="2"/>
  <c r="EF96" i="2"/>
  <c r="EE96" i="2"/>
  <c r="ED96" i="2"/>
  <c r="EC96" i="2"/>
  <c r="EB96" i="2"/>
  <c r="FH95" i="2"/>
  <c r="FG95" i="2"/>
  <c r="FF95" i="2"/>
  <c r="FE95" i="2"/>
  <c r="FD95" i="2"/>
  <c r="FC95" i="2"/>
  <c r="FB95" i="2"/>
  <c r="FA95" i="2"/>
  <c r="EZ95" i="2"/>
  <c r="EY95" i="2"/>
  <c r="EX95" i="2"/>
  <c r="EW95" i="2"/>
  <c r="EV95" i="2"/>
  <c r="EU95" i="2"/>
  <c r="ET95" i="2"/>
  <c r="ES95" i="2"/>
  <c r="ER95" i="2"/>
  <c r="EQ95" i="2"/>
  <c r="EP95" i="2"/>
  <c r="EO95" i="2"/>
  <c r="EN95" i="2"/>
  <c r="EM95" i="2"/>
  <c r="EL95" i="2"/>
  <c r="EK95" i="2"/>
  <c r="EJ95" i="2"/>
  <c r="EI95" i="2"/>
  <c r="EH95" i="2"/>
  <c r="EG95" i="2"/>
  <c r="EF95" i="2"/>
  <c r="EE95" i="2"/>
  <c r="ED95" i="2"/>
  <c r="EC95" i="2"/>
  <c r="EB95" i="2"/>
  <c r="FH94" i="2"/>
  <c r="FG94" i="2"/>
  <c r="FF94" i="2"/>
  <c r="FE94" i="2"/>
  <c r="FD94" i="2"/>
  <c r="FC94" i="2"/>
  <c r="FB94" i="2"/>
  <c r="FA94" i="2"/>
  <c r="EZ94" i="2"/>
  <c r="EY94" i="2"/>
  <c r="EX94" i="2"/>
  <c r="EW94" i="2"/>
  <c r="EV94" i="2"/>
  <c r="EU94" i="2"/>
  <c r="ET94" i="2"/>
  <c r="ES94" i="2"/>
  <c r="ER94" i="2"/>
  <c r="EQ94" i="2"/>
  <c r="EP94" i="2"/>
  <c r="EO94" i="2"/>
  <c r="EN94" i="2"/>
  <c r="EM94" i="2"/>
  <c r="EL94" i="2"/>
  <c r="EK94" i="2"/>
  <c r="EJ94" i="2"/>
  <c r="EI94" i="2"/>
  <c r="EH94" i="2"/>
  <c r="EG94" i="2"/>
  <c r="EF94" i="2"/>
  <c r="EE94" i="2"/>
  <c r="ED94" i="2"/>
  <c r="EC94" i="2"/>
  <c r="EB94" i="2"/>
  <c r="FH93" i="2"/>
  <c r="FG93" i="2"/>
  <c r="FF93" i="2"/>
  <c r="FE93" i="2"/>
  <c r="FD93" i="2"/>
  <c r="FC93" i="2"/>
  <c r="FB93" i="2"/>
  <c r="FA93" i="2"/>
  <c r="EZ93" i="2"/>
  <c r="EY93" i="2"/>
  <c r="EX93" i="2"/>
  <c r="EW93" i="2"/>
  <c r="EV93" i="2"/>
  <c r="EU93" i="2"/>
  <c r="ET93" i="2"/>
  <c r="ES93" i="2"/>
  <c r="ER93" i="2"/>
  <c r="EQ93" i="2"/>
  <c r="EP93" i="2"/>
  <c r="EO93" i="2"/>
  <c r="EN93" i="2"/>
  <c r="EM93" i="2"/>
  <c r="EL93" i="2"/>
  <c r="EK93" i="2"/>
  <c r="EJ93" i="2"/>
  <c r="EI93" i="2"/>
  <c r="EH93" i="2"/>
  <c r="EG93" i="2"/>
  <c r="EF93" i="2"/>
  <c r="EE93" i="2"/>
  <c r="ED93" i="2"/>
  <c r="EC93" i="2"/>
  <c r="EB93" i="2"/>
  <c r="FH92" i="2"/>
  <c r="FG92" i="2"/>
  <c r="FF92" i="2"/>
  <c r="FE92" i="2"/>
  <c r="FD92" i="2"/>
  <c r="FC92" i="2"/>
  <c r="FB92" i="2"/>
  <c r="FA92" i="2"/>
  <c r="EZ92" i="2"/>
  <c r="EY92" i="2"/>
  <c r="EX92" i="2"/>
  <c r="EW92" i="2"/>
  <c r="EV92" i="2"/>
  <c r="EU92" i="2"/>
  <c r="ET92" i="2"/>
  <c r="ES92" i="2"/>
  <c r="ER92" i="2"/>
  <c r="EQ92" i="2"/>
  <c r="EP92" i="2"/>
  <c r="EO92" i="2"/>
  <c r="EN92" i="2"/>
  <c r="EM92" i="2"/>
  <c r="EL92" i="2"/>
  <c r="EK92" i="2"/>
  <c r="EJ92" i="2"/>
  <c r="EI92" i="2"/>
  <c r="EH92" i="2"/>
  <c r="EG92" i="2"/>
  <c r="EF92" i="2"/>
  <c r="EE92" i="2"/>
  <c r="ED92" i="2"/>
  <c r="EC92" i="2"/>
  <c r="EB92" i="2"/>
  <c r="FH91" i="2"/>
  <c r="FG91" i="2"/>
  <c r="FF91" i="2"/>
  <c r="FE91" i="2"/>
  <c r="FD91" i="2"/>
  <c r="FC91" i="2"/>
  <c r="FB91" i="2"/>
  <c r="FA91" i="2"/>
  <c r="EZ91" i="2"/>
  <c r="EY91" i="2"/>
  <c r="EX91" i="2"/>
  <c r="EW91" i="2"/>
  <c r="EV91" i="2"/>
  <c r="EU91" i="2"/>
  <c r="ET91" i="2"/>
  <c r="ES91" i="2"/>
  <c r="ER91" i="2"/>
  <c r="EQ91" i="2"/>
  <c r="EP91" i="2"/>
  <c r="EO91" i="2"/>
  <c r="EN91" i="2"/>
  <c r="EM91" i="2"/>
  <c r="EL91" i="2"/>
  <c r="EK91" i="2"/>
  <c r="EJ91" i="2"/>
  <c r="EI91" i="2"/>
  <c r="EH91" i="2"/>
  <c r="EG91" i="2"/>
  <c r="EF91" i="2"/>
  <c r="EE91" i="2"/>
  <c r="ED91" i="2"/>
  <c r="EC91" i="2"/>
  <c r="EB91" i="2"/>
  <c r="FH90" i="2"/>
  <c r="FG90" i="2"/>
  <c r="FF90" i="2"/>
  <c r="FE90" i="2"/>
  <c r="FD90" i="2"/>
  <c r="FC90" i="2"/>
  <c r="FB90" i="2"/>
  <c r="FA90" i="2"/>
  <c r="EZ90" i="2"/>
  <c r="EY90" i="2"/>
  <c r="EX90" i="2"/>
  <c r="EW90" i="2"/>
  <c r="EV90" i="2"/>
  <c r="EU90" i="2"/>
  <c r="ET90" i="2"/>
  <c r="ES90" i="2"/>
  <c r="ER90" i="2"/>
  <c r="EQ90" i="2"/>
  <c r="EP90" i="2"/>
  <c r="EO90" i="2"/>
  <c r="EN90" i="2"/>
  <c r="EM90" i="2"/>
  <c r="EL90" i="2"/>
  <c r="EK90" i="2"/>
  <c r="EJ90" i="2"/>
  <c r="EI90" i="2"/>
  <c r="EH90" i="2"/>
  <c r="EG90" i="2"/>
  <c r="EF90" i="2"/>
  <c r="EE90" i="2"/>
  <c r="ED90" i="2"/>
  <c r="EC90" i="2"/>
  <c r="EB90" i="2"/>
  <c r="DQ96" i="2"/>
  <c r="DP96" i="2"/>
  <c r="DO96" i="2"/>
  <c r="DN96" i="2"/>
  <c r="DM96" i="2"/>
  <c r="DL96" i="2"/>
  <c r="DK96" i="2"/>
  <c r="DJ96" i="2"/>
  <c r="DI96" i="2"/>
  <c r="DH96" i="2"/>
  <c r="DG96" i="2"/>
  <c r="DF96" i="2"/>
  <c r="DE96" i="2"/>
  <c r="DD96" i="2"/>
  <c r="DC96" i="2"/>
  <c r="DB96" i="2"/>
  <c r="DA96" i="2"/>
  <c r="CZ96" i="2"/>
  <c r="CY96" i="2"/>
  <c r="CX96" i="2"/>
  <c r="CW96" i="2"/>
  <c r="CV96" i="2"/>
  <c r="CU96" i="2"/>
  <c r="CT96" i="2"/>
  <c r="CS96" i="2"/>
  <c r="CR96" i="2"/>
  <c r="CQ96" i="2"/>
  <c r="CP96" i="2"/>
  <c r="CO96" i="2"/>
  <c r="CN96" i="2"/>
  <c r="CM96" i="2"/>
  <c r="CL96" i="2"/>
  <c r="CK96" i="2"/>
  <c r="CJ96" i="2"/>
  <c r="CI96" i="2"/>
  <c r="CH96" i="2"/>
  <c r="CG96" i="2"/>
  <c r="CF96" i="2"/>
  <c r="CE96" i="2"/>
  <c r="CD96" i="2"/>
  <c r="CC96" i="2"/>
  <c r="CB96" i="2"/>
  <c r="CA96" i="2"/>
  <c r="BZ96" i="2"/>
  <c r="BY96" i="2"/>
  <c r="BX96" i="2"/>
  <c r="BW96" i="2"/>
  <c r="BV96" i="2"/>
  <c r="BU96" i="2"/>
  <c r="BT96" i="2"/>
  <c r="BS96" i="2"/>
  <c r="BR96" i="2"/>
  <c r="BQ96" i="2"/>
  <c r="BP96" i="2"/>
  <c r="BO96" i="2"/>
  <c r="BN96" i="2"/>
  <c r="BM96" i="2"/>
  <c r="BL96" i="2"/>
  <c r="BK96" i="2"/>
  <c r="BJ96" i="2"/>
  <c r="BI96" i="2"/>
  <c r="BH96" i="2"/>
  <c r="BG96" i="2"/>
  <c r="BF96" i="2"/>
  <c r="BE96" i="2"/>
  <c r="BD96" i="2"/>
  <c r="BC96" i="2"/>
  <c r="BB96" i="2"/>
  <c r="BA96" i="2"/>
  <c r="AZ96" i="2"/>
  <c r="AY96" i="2"/>
  <c r="AX96" i="2"/>
  <c r="AW96" i="2"/>
  <c r="AV96" i="2"/>
  <c r="AU96" i="2"/>
  <c r="AT96" i="2"/>
  <c r="AS96" i="2"/>
  <c r="AR96" i="2"/>
  <c r="AQ96" i="2"/>
  <c r="AP96" i="2"/>
  <c r="AO96" i="2"/>
  <c r="AN96" i="2"/>
  <c r="AM96" i="2"/>
  <c r="AL96" i="2"/>
  <c r="AK96" i="2"/>
  <c r="AJ96" i="2"/>
  <c r="AI96" i="2"/>
  <c r="AH96" i="2"/>
  <c r="AG96" i="2"/>
  <c r="AF96" i="2"/>
  <c r="AE96" i="2"/>
  <c r="AD96" i="2"/>
  <c r="AC96" i="2"/>
  <c r="AB96" i="2"/>
  <c r="AA96" i="2"/>
  <c r="Z96" i="2"/>
  <c r="Y96" i="2"/>
  <c r="X96" i="2"/>
  <c r="W96" i="2"/>
  <c r="V96" i="2"/>
  <c r="U96" i="2"/>
  <c r="T96" i="2"/>
  <c r="S96" i="2"/>
  <c r="R96" i="2"/>
  <c r="Q96" i="2"/>
  <c r="P96" i="2"/>
  <c r="O96" i="2"/>
  <c r="N96" i="2"/>
  <c r="M96" i="2"/>
  <c r="L96" i="2"/>
  <c r="K96" i="2"/>
  <c r="J96" i="2"/>
  <c r="I96" i="2"/>
  <c r="H96" i="2"/>
  <c r="G96" i="2"/>
  <c r="F96" i="2"/>
  <c r="E96" i="2"/>
  <c r="D96" i="2"/>
  <c r="C96" i="2"/>
  <c r="B96" i="2"/>
  <c r="A96" i="2"/>
  <c r="DQ95" i="2"/>
  <c r="DP95" i="2"/>
  <c r="DO95" i="2"/>
  <c r="DN95" i="2"/>
  <c r="DM95" i="2"/>
  <c r="DL95" i="2"/>
  <c r="DK95" i="2"/>
  <c r="DJ95" i="2"/>
  <c r="DI95" i="2"/>
  <c r="DH95" i="2"/>
  <c r="DG95" i="2"/>
  <c r="DF95" i="2"/>
  <c r="DE95" i="2"/>
  <c r="DD95" i="2"/>
  <c r="DC95" i="2"/>
  <c r="DB95" i="2"/>
  <c r="DA95" i="2"/>
  <c r="CZ95" i="2"/>
  <c r="CY95" i="2"/>
  <c r="CX95" i="2"/>
  <c r="CW95" i="2"/>
  <c r="CV95" i="2"/>
  <c r="CU95" i="2"/>
  <c r="CT95" i="2"/>
  <c r="CS95" i="2"/>
  <c r="CR95" i="2"/>
  <c r="CQ95" i="2"/>
  <c r="CP95" i="2"/>
  <c r="CO95" i="2"/>
  <c r="CN95" i="2"/>
  <c r="CM95" i="2"/>
  <c r="CL95" i="2"/>
  <c r="CK95" i="2"/>
  <c r="CJ95" i="2"/>
  <c r="CI95" i="2"/>
  <c r="CH95" i="2"/>
  <c r="CG95" i="2"/>
  <c r="CF95" i="2"/>
  <c r="CE95" i="2"/>
  <c r="CD95" i="2"/>
  <c r="CC95" i="2"/>
  <c r="CB95" i="2"/>
  <c r="CA95" i="2"/>
  <c r="BZ95" i="2"/>
  <c r="BY95" i="2"/>
  <c r="BX95" i="2"/>
  <c r="BW95" i="2"/>
  <c r="BV95" i="2"/>
  <c r="BU95" i="2"/>
  <c r="BT95" i="2"/>
  <c r="BS95" i="2"/>
  <c r="BR95" i="2"/>
  <c r="BQ95" i="2"/>
  <c r="BP95" i="2"/>
  <c r="BO95" i="2"/>
  <c r="BN95" i="2"/>
  <c r="BM95" i="2"/>
  <c r="BL95" i="2"/>
  <c r="BK95" i="2"/>
  <c r="BJ95" i="2"/>
  <c r="BI95" i="2"/>
  <c r="BH95" i="2"/>
  <c r="BG95" i="2"/>
  <c r="BF95" i="2"/>
  <c r="BE95" i="2"/>
  <c r="BD95" i="2"/>
  <c r="BC95" i="2"/>
  <c r="BB95" i="2"/>
  <c r="BA95" i="2"/>
  <c r="AZ95" i="2"/>
  <c r="AY95" i="2"/>
  <c r="AX95" i="2"/>
  <c r="AW95" i="2"/>
  <c r="AV95" i="2"/>
  <c r="AU95" i="2"/>
  <c r="AT95" i="2"/>
  <c r="AS95" i="2"/>
  <c r="AR95" i="2"/>
  <c r="AQ95" i="2"/>
  <c r="AP95" i="2"/>
  <c r="AO95" i="2"/>
  <c r="AN95" i="2"/>
  <c r="AM95" i="2"/>
  <c r="AL95" i="2"/>
  <c r="AK95" i="2"/>
  <c r="AJ95" i="2"/>
  <c r="AI95" i="2"/>
  <c r="AH95" i="2"/>
  <c r="AG95" i="2"/>
  <c r="AF95" i="2"/>
  <c r="AE95" i="2"/>
  <c r="AD95" i="2"/>
  <c r="AC95" i="2"/>
  <c r="AB95" i="2"/>
  <c r="AA95" i="2"/>
  <c r="Z95" i="2"/>
  <c r="Y95" i="2"/>
  <c r="X95" i="2"/>
  <c r="W95" i="2"/>
  <c r="V95" i="2"/>
  <c r="U95" i="2"/>
  <c r="T95" i="2"/>
  <c r="S95" i="2"/>
  <c r="R95" i="2"/>
  <c r="Q95" i="2"/>
  <c r="P95" i="2"/>
  <c r="O95" i="2"/>
  <c r="N95" i="2"/>
  <c r="M95" i="2"/>
  <c r="L95" i="2"/>
  <c r="K95" i="2"/>
  <c r="J95" i="2"/>
  <c r="I95" i="2"/>
  <c r="H95" i="2"/>
  <c r="G95" i="2"/>
  <c r="F95" i="2"/>
  <c r="E95" i="2"/>
  <c r="D95" i="2"/>
  <c r="C95" i="2"/>
  <c r="B95" i="2"/>
  <c r="A95" i="2"/>
  <c r="DQ94" i="2"/>
  <c r="DP94" i="2"/>
  <c r="DO94" i="2"/>
  <c r="DN94" i="2"/>
  <c r="DM94" i="2"/>
  <c r="DL94" i="2"/>
  <c r="DK94" i="2"/>
  <c r="DJ94" i="2"/>
  <c r="DI94" i="2"/>
  <c r="DH94" i="2"/>
  <c r="DG94" i="2"/>
  <c r="DF94" i="2"/>
  <c r="DE94" i="2"/>
  <c r="DD94" i="2"/>
  <c r="DC94" i="2"/>
  <c r="DB94" i="2"/>
  <c r="DA94" i="2"/>
  <c r="CZ94" i="2"/>
  <c r="CY94" i="2"/>
  <c r="CX94" i="2"/>
  <c r="CW94" i="2"/>
  <c r="CV94" i="2"/>
  <c r="CU94" i="2"/>
  <c r="CT94" i="2"/>
  <c r="CS94" i="2"/>
  <c r="CR94" i="2"/>
  <c r="CQ94" i="2"/>
  <c r="CP94" i="2"/>
  <c r="CO94" i="2"/>
  <c r="CN94" i="2"/>
  <c r="CM94" i="2"/>
  <c r="CL94" i="2"/>
  <c r="CK94" i="2"/>
  <c r="CJ94" i="2"/>
  <c r="CI94" i="2"/>
  <c r="CH94" i="2"/>
  <c r="CG94" i="2"/>
  <c r="CF94" i="2"/>
  <c r="CE94" i="2"/>
  <c r="CD94" i="2"/>
  <c r="CC94" i="2"/>
  <c r="CB94" i="2"/>
  <c r="CA94" i="2"/>
  <c r="BZ94" i="2"/>
  <c r="BY94" i="2"/>
  <c r="BX94" i="2"/>
  <c r="BW94" i="2"/>
  <c r="BV94" i="2"/>
  <c r="BU94" i="2"/>
  <c r="BT94" i="2"/>
  <c r="BS94" i="2"/>
  <c r="BR94" i="2"/>
  <c r="BQ94" i="2"/>
  <c r="BP94" i="2"/>
  <c r="BO94" i="2"/>
  <c r="BN94" i="2"/>
  <c r="BM94" i="2"/>
  <c r="BL94" i="2"/>
  <c r="BK94" i="2"/>
  <c r="BJ94" i="2"/>
  <c r="BI94" i="2"/>
  <c r="BH94" i="2"/>
  <c r="BG94" i="2"/>
  <c r="BF94" i="2"/>
  <c r="BE94" i="2"/>
  <c r="BD94" i="2"/>
  <c r="BC94" i="2"/>
  <c r="BB94" i="2"/>
  <c r="BA94" i="2"/>
  <c r="AZ94" i="2"/>
  <c r="AY94" i="2"/>
  <c r="AX94" i="2"/>
  <c r="AW94" i="2"/>
  <c r="AV94" i="2"/>
  <c r="AU94" i="2"/>
  <c r="AT94" i="2"/>
  <c r="AS94" i="2"/>
  <c r="AR94" i="2"/>
  <c r="AQ94" i="2"/>
  <c r="AP94" i="2"/>
  <c r="AO94" i="2"/>
  <c r="AN94" i="2"/>
  <c r="AM94" i="2"/>
  <c r="AL94" i="2"/>
  <c r="AK94" i="2"/>
  <c r="AJ94" i="2"/>
  <c r="AI94" i="2"/>
  <c r="AH94" i="2"/>
  <c r="AG94" i="2"/>
  <c r="AF94" i="2"/>
  <c r="AE94" i="2"/>
  <c r="AD94" i="2"/>
  <c r="AC94" i="2"/>
  <c r="AB94" i="2"/>
  <c r="AA94" i="2"/>
  <c r="Z94" i="2"/>
  <c r="Y94" i="2"/>
  <c r="X94" i="2"/>
  <c r="W94" i="2"/>
  <c r="V94" i="2"/>
  <c r="U94" i="2"/>
  <c r="T94" i="2"/>
  <c r="S94" i="2"/>
  <c r="R94" i="2"/>
  <c r="Q94" i="2"/>
  <c r="P94" i="2"/>
  <c r="O94" i="2"/>
  <c r="N94" i="2"/>
  <c r="M94" i="2"/>
  <c r="L94" i="2"/>
  <c r="K94" i="2"/>
  <c r="J94" i="2"/>
  <c r="I94" i="2"/>
  <c r="H94" i="2"/>
  <c r="G94" i="2"/>
  <c r="F94" i="2"/>
  <c r="E94" i="2"/>
  <c r="D94" i="2"/>
  <c r="C94" i="2"/>
  <c r="B94" i="2"/>
  <c r="A94" i="2"/>
  <c r="DQ93" i="2"/>
  <c r="DP93" i="2"/>
  <c r="DO93" i="2"/>
  <c r="DN93" i="2"/>
  <c r="DM93" i="2"/>
  <c r="DL93" i="2"/>
  <c r="DK93" i="2"/>
  <c r="DJ93" i="2"/>
  <c r="DI93" i="2"/>
  <c r="DH93" i="2"/>
  <c r="DG93" i="2"/>
  <c r="DF93" i="2"/>
  <c r="DE93" i="2"/>
  <c r="DD93" i="2"/>
  <c r="DC93" i="2"/>
  <c r="DB93" i="2"/>
  <c r="DA93" i="2"/>
  <c r="CZ93" i="2"/>
  <c r="CY93" i="2"/>
  <c r="CX93" i="2"/>
  <c r="CW93" i="2"/>
  <c r="CV93" i="2"/>
  <c r="CU93" i="2"/>
  <c r="CT93" i="2"/>
  <c r="CS93" i="2"/>
  <c r="CR93" i="2"/>
  <c r="CQ93" i="2"/>
  <c r="CP93" i="2"/>
  <c r="CO93" i="2"/>
  <c r="CN93" i="2"/>
  <c r="CM93" i="2"/>
  <c r="CL93" i="2"/>
  <c r="CK93" i="2"/>
  <c r="CJ93" i="2"/>
  <c r="CI93" i="2"/>
  <c r="CH93" i="2"/>
  <c r="CG93" i="2"/>
  <c r="CF93" i="2"/>
  <c r="CE93" i="2"/>
  <c r="CD93" i="2"/>
  <c r="CC93" i="2"/>
  <c r="CB93" i="2"/>
  <c r="CA93" i="2"/>
  <c r="BZ93" i="2"/>
  <c r="BY93" i="2"/>
  <c r="BX93" i="2"/>
  <c r="BW93" i="2"/>
  <c r="BV93" i="2"/>
  <c r="BU93" i="2"/>
  <c r="BT93" i="2"/>
  <c r="BS93" i="2"/>
  <c r="BR93" i="2"/>
  <c r="BQ93" i="2"/>
  <c r="BP93" i="2"/>
  <c r="BO93" i="2"/>
  <c r="BN93" i="2"/>
  <c r="BM93" i="2"/>
  <c r="BL93" i="2"/>
  <c r="BK93" i="2"/>
  <c r="BJ93" i="2"/>
  <c r="BI93" i="2"/>
  <c r="BH93" i="2"/>
  <c r="BG93" i="2"/>
  <c r="BF93" i="2"/>
  <c r="BE93" i="2"/>
  <c r="BD93" i="2"/>
  <c r="BC93" i="2"/>
  <c r="BB93" i="2"/>
  <c r="BA93" i="2"/>
  <c r="AZ93" i="2"/>
  <c r="AY93" i="2"/>
  <c r="AX93" i="2"/>
  <c r="AW93" i="2"/>
  <c r="AV93" i="2"/>
  <c r="AU93" i="2"/>
  <c r="AT93" i="2"/>
  <c r="AS93" i="2"/>
  <c r="AR93" i="2"/>
  <c r="AQ93" i="2"/>
  <c r="AP93" i="2"/>
  <c r="AO93" i="2"/>
  <c r="AN93" i="2"/>
  <c r="AM93" i="2"/>
  <c r="AL93" i="2"/>
  <c r="AK93" i="2"/>
  <c r="AJ93" i="2"/>
  <c r="AI93" i="2"/>
  <c r="AH93" i="2"/>
  <c r="AG93" i="2"/>
  <c r="AF93" i="2"/>
  <c r="AE93" i="2"/>
  <c r="AD93" i="2"/>
  <c r="AC93" i="2"/>
  <c r="AB93" i="2"/>
  <c r="AA93" i="2"/>
  <c r="Z93" i="2"/>
  <c r="Y93" i="2"/>
  <c r="X93" i="2"/>
  <c r="W93" i="2"/>
  <c r="V93" i="2"/>
  <c r="U93" i="2"/>
  <c r="T93" i="2"/>
  <c r="S93" i="2"/>
  <c r="R93" i="2"/>
  <c r="Q93" i="2"/>
  <c r="P93" i="2"/>
  <c r="O93" i="2"/>
  <c r="N93" i="2"/>
  <c r="M93" i="2"/>
  <c r="L93" i="2"/>
  <c r="K93" i="2"/>
  <c r="J93" i="2"/>
  <c r="I93" i="2"/>
  <c r="H93" i="2"/>
  <c r="G93" i="2"/>
  <c r="F93" i="2"/>
  <c r="E93" i="2"/>
  <c r="D93" i="2"/>
  <c r="C93" i="2"/>
  <c r="B93" i="2"/>
  <c r="A93" i="2"/>
  <c r="DQ92" i="2"/>
  <c r="DP92" i="2"/>
  <c r="DO92" i="2"/>
  <c r="DN92" i="2"/>
  <c r="DM92" i="2"/>
  <c r="DL92" i="2"/>
  <c r="DK92" i="2"/>
  <c r="DJ92" i="2"/>
  <c r="DI92" i="2"/>
  <c r="DH92" i="2"/>
  <c r="DG92" i="2"/>
  <c r="DF92" i="2"/>
  <c r="DE92" i="2"/>
  <c r="DD92" i="2"/>
  <c r="DC92" i="2"/>
  <c r="DB92" i="2"/>
  <c r="DA92" i="2"/>
  <c r="CZ92" i="2"/>
  <c r="CY92" i="2"/>
  <c r="CX92" i="2"/>
  <c r="CW92" i="2"/>
  <c r="CV92" i="2"/>
  <c r="CU92" i="2"/>
  <c r="CT92" i="2"/>
  <c r="CS92" i="2"/>
  <c r="CR92" i="2"/>
  <c r="CQ92" i="2"/>
  <c r="CP92" i="2"/>
  <c r="CO92" i="2"/>
  <c r="CN92" i="2"/>
  <c r="CM92" i="2"/>
  <c r="CL92" i="2"/>
  <c r="CK92" i="2"/>
  <c r="CJ92" i="2"/>
  <c r="CI92" i="2"/>
  <c r="CH92" i="2"/>
  <c r="CG92" i="2"/>
  <c r="CF92" i="2"/>
  <c r="CE92" i="2"/>
  <c r="CD92" i="2"/>
  <c r="CC92" i="2"/>
  <c r="CB92" i="2"/>
  <c r="CA92" i="2"/>
  <c r="BZ92" i="2"/>
  <c r="BY92" i="2"/>
  <c r="BX92" i="2"/>
  <c r="BW92" i="2"/>
  <c r="BV92" i="2"/>
  <c r="BU92" i="2"/>
  <c r="BT92" i="2"/>
  <c r="BS92" i="2"/>
  <c r="BR92" i="2"/>
  <c r="BQ92" i="2"/>
  <c r="BP92" i="2"/>
  <c r="BO92" i="2"/>
  <c r="BN92" i="2"/>
  <c r="BM92" i="2"/>
  <c r="BL92" i="2"/>
  <c r="BK92" i="2"/>
  <c r="BJ92" i="2"/>
  <c r="BI92" i="2"/>
  <c r="BH92" i="2"/>
  <c r="BG92" i="2"/>
  <c r="BF92" i="2"/>
  <c r="BE92" i="2"/>
  <c r="BD92" i="2"/>
  <c r="BC92" i="2"/>
  <c r="BB92" i="2"/>
  <c r="BA92" i="2"/>
  <c r="AZ92" i="2"/>
  <c r="AY92" i="2"/>
  <c r="AX92" i="2"/>
  <c r="AW92" i="2"/>
  <c r="AV92" i="2"/>
  <c r="AU92" i="2"/>
  <c r="AT92" i="2"/>
  <c r="AS92" i="2"/>
  <c r="AR92" i="2"/>
  <c r="AQ92" i="2"/>
  <c r="AP92" i="2"/>
  <c r="AO92" i="2"/>
  <c r="AN92" i="2"/>
  <c r="AM92" i="2"/>
  <c r="AL92" i="2"/>
  <c r="AK92" i="2"/>
  <c r="AJ92" i="2"/>
  <c r="AI92" i="2"/>
  <c r="AH92" i="2"/>
  <c r="AG92" i="2"/>
  <c r="AF92" i="2"/>
  <c r="AE92" i="2"/>
  <c r="AD92" i="2"/>
  <c r="AC92" i="2"/>
  <c r="AB92" i="2"/>
  <c r="AA92" i="2"/>
  <c r="Z92" i="2"/>
  <c r="Y92" i="2"/>
  <c r="X92" i="2"/>
  <c r="W92" i="2"/>
  <c r="V92" i="2"/>
  <c r="U92" i="2"/>
  <c r="T92" i="2"/>
  <c r="S92" i="2"/>
  <c r="R92" i="2"/>
  <c r="Q92" i="2"/>
  <c r="P92" i="2"/>
  <c r="O92" i="2"/>
  <c r="N92" i="2"/>
  <c r="M92" i="2"/>
  <c r="L92" i="2"/>
  <c r="K92" i="2"/>
  <c r="J92" i="2"/>
  <c r="I92" i="2"/>
  <c r="H92" i="2"/>
  <c r="G92" i="2"/>
  <c r="F92" i="2"/>
  <c r="E92" i="2"/>
  <c r="D92" i="2"/>
  <c r="C92" i="2"/>
  <c r="B92" i="2"/>
  <c r="A92" i="2"/>
  <c r="DQ91" i="2"/>
  <c r="DP91" i="2"/>
  <c r="DO91" i="2"/>
  <c r="DN91" i="2"/>
  <c r="DM91" i="2"/>
  <c r="DL91" i="2"/>
  <c r="DK91" i="2"/>
  <c r="DJ91" i="2"/>
  <c r="DI91" i="2"/>
  <c r="DH91" i="2"/>
  <c r="DG91" i="2"/>
  <c r="DF91" i="2"/>
  <c r="DE91" i="2"/>
  <c r="DD91" i="2"/>
  <c r="DC91" i="2"/>
  <c r="DB91" i="2"/>
  <c r="DA91" i="2"/>
  <c r="CZ91" i="2"/>
  <c r="CY91" i="2"/>
  <c r="CX91" i="2"/>
  <c r="CW91" i="2"/>
  <c r="CV91" i="2"/>
  <c r="CU91" i="2"/>
  <c r="CT91" i="2"/>
  <c r="CS91" i="2"/>
  <c r="CR91" i="2"/>
  <c r="CQ91" i="2"/>
  <c r="CP91" i="2"/>
  <c r="CO91" i="2"/>
  <c r="CN91" i="2"/>
  <c r="CM91" i="2"/>
  <c r="CL91" i="2"/>
  <c r="CK91" i="2"/>
  <c r="CJ91" i="2"/>
  <c r="CI91" i="2"/>
  <c r="CH91" i="2"/>
  <c r="CG91" i="2"/>
  <c r="CF91" i="2"/>
  <c r="CE91" i="2"/>
  <c r="CD91" i="2"/>
  <c r="CC91" i="2"/>
  <c r="CB91" i="2"/>
  <c r="CA91" i="2"/>
  <c r="BZ91" i="2"/>
  <c r="BY91" i="2"/>
  <c r="BX91" i="2"/>
  <c r="BW91" i="2"/>
  <c r="BV91" i="2"/>
  <c r="BU91" i="2"/>
  <c r="BT91" i="2"/>
  <c r="BS91" i="2"/>
  <c r="BR91" i="2"/>
  <c r="BQ91" i="2"/>
  <c r="BP91" i="2"/>
  <c r="BO91" i="2"/>
  <c r="BN91" i="2"/>
  <c r="BM91" i="2"/>
  <c r="BL91" i="2"/>
  <c r="BK91" i="2"/>
  <c r="BJ91" i="2"/>
  <c r="BI91" i="2"/>
  <c r="BH91" i="2"/>
  <c r="BG91" i="2"/>
  <c r="BF91" i="2"/>
  <c r="BE91" i="2"/>
  <c r="BD91" i="2"/>
  <c r="BC91" i="2"/>
  <c r="BB91" i="2"/>
  <c r="BA91" i="2"/>
  <c r="AZ91" i="2"/>
  <c r="AY91" i="2"/>
  <c r="AX91" i="2"/>
  <c r="AW91" i="2"/>
  <c r="AV91" i="2"/>
  <c r="AU91" i="2"/>
  <c r="AT91" i="2"/>
  <c r="AS91" i="2"/>
  <c r="AR91" i="2"/>
  <c r="AQ91" i="2"/>
  <c r="AP91" i="2"/>
  <c r="AO91" i="2"/>
  <c r="AN91" i="2"/>
  <c r="AM91" i="2"/>
  <c r="AL91" i="2"/>
  <c r="AK91" i="2"/>
  <c r="AJ91" i="2"/>
  <c r="AI91" i="2"/>
  <c r="AH91" i="2"/>
  <c r="AG91" i="2"/>
  <c r="AF91" i="2"/>
  <c r="AE91" i="2"/>
  <c r="AD91" i="2"/>
  <c r="AC91" i="2"/>
  <c r="AB91" i="2"/>
  <c r="AA91" i="2"/>
  <c r="Z91" i="2"/>
  <c r="Y91" i="2"/>
  <c r="X91" i="2"/>
  <c r="W91" i="2"/>
  <c r="V91" i="2"/>
  <c r="U91" i="2"/>
  <c r="T91" i="2"/>
  <c r="S91" i="2"/>
  <c r="R91" i="2"/>
  <c r="Q91" i="2"/>
  <c r="P91" i="2"/>
  <c r="O91" i="2"/>
  <c r="N91" i="2"/>
  <c r="M91" i="2"/>
  <c r="L91" i="2"/>
  <c r="K91" i="2"/>
  <c r="J91" i="2"/>
  <c r="I91" i="2"/>
  <c r="H91" i="2"/>
  <c r="G91" i="2"/>
  <c r="F91" i="2"/>
  <c r="E91" i="2"/>
  <c r="D91" i="2"/>
  <c r="C91" i="2"/>
  <c r="B91" i="2"/>
  <c r="A91" i="2"/>
  <c r="DQ90" i="2"/>
  <c r="DP90" i="2"/>
  <c r="DO90" i="2"/>
  <c r="DN90" i="2"/>
  <c r="DM90" i="2"/>
  <c r="DL90" i="2"/>
  <c r="DK90" i="2"/>
  <c r="DJ90" i="2"/>
  <c r="DI90" i="2"/>
  <c r="DH90" i="2"/>
  <c r="DG90" i="2"/>
  <c r="DF90" i="2"/>
  <c r="DE90" i="2"/>
  <c r="DD90" i="2"/>
  <c r="DC90" i="2"/>
  <c r="DB90" i="2"/>
  <c r="DA90" i="2"/>
  <c r="CZ90" i="2"/>
  <c r="CY90" i="2"/>
  <c r="CX90" i="2"/>
  <c r="CW90" i="2"/>
  <c r="CV90" i="2"/>
  <c r="CU90" i="2"/>
  <c r="CT90" i="2"/>
  <c r="CS90" i="2"/>
  <c r="CR90" i="2"/>
  <c r="CQ90" i="2"/>
  <c r="CP90" i="2"/>
  <c r="CO90" i="2"/>
  <c r="CN90" i="2"/>
  <c r="CM90" i="2"/>
  <c r="CL90" i="2"/>
  <c r="CK90" i="2"/>
  <c r="CJ90" i="2"/>
  <c r="CI90" i="2"/>
  <c r="CH90" i="2"/>
  <c r="CG90" i="2"/>
  <c r="CF90" i="2"/>
  <c r="CE90" i="2"/>
  <c r="CD90" i="2"/>
  <c r="CC90" i="2"/>
  <c r="CB90" i="2"/>
  <c r="CA90" i="2"/>
  <c r="BZ90" i="2"/>
  <c r="BY90" i="2"/>
  <c r="BX90" i="2"/>
  <c r="BW90" i="2"/>
  <c r="BV90" i="2"/>
  <c r="BU90" i="2"/>
  <c r="BT90" i="2"/>
  <c r="BS90" i="2"/>
  <c r="BR90" i="2"/>
  <c r="BQ90" i="2"/>
  <c r="BP90" i="2"/>
  <c r="BO90" i="2"/>
  <c r="BN90" i="2"/>
  <c r="BM90" i="2"/>
  <c r="BL90" i="2"/>
  <c r="BK90" i="2"/>
  <c r="BJ90" i="2"/>
  <c r="BI90" i="2"/>
  <c r="BH90" i="2"/>
  <c r="BG90" i="2"/>
  <c r="BF90" i="2"/>
  <c r="BE90" i="2"/>
  <c r="BD90" i="2"/>
  <c r="BC90" i="2"/>
  <c r="BB90" i="2"/>
  <c r="BA90" i="2"/>
  <c r="AZ90" i="2"/>
  <c r="AY90" i="2"/>
  <c r="AX90" i="2"/>
  <c r="AW90" i="2"/>
  <c r="AV90" i="2"/>
  <c r="AU90" i="2"/>
  <c r="AT90" i="2"/>
  <c r="AS90" i="2"/>
  <c r="AR90" i="2"/>
  <c r="AQ90" i="2"/>
  <c r="AP90" i="2"/>
  <c r="AO90" i="2"/>
  <c r="AN90" i="2"/>
  <c r="AM90" i="2"/>
  <c r="AL90" i="2"/>
  <c r="AK90" i="2"/>
  <c r="AJ90" i="2"/>
  <c r="AI90" i="2"/>
  <c r="AH90" i="2"/>
  <c r="AG90" i="2"/>
  <c r="AF90" i="2"/>
  <c r="AE90" i="2"/>
  <c r="AD90" i="2"/>
  <c r="AC90" i="2"/>
  <c r="AB90" i="2"/>
  <c r="AA90" i="2"/>
  <c r="Z90" i="2"/>
  <c r="Y90" i="2"/>
  <c r="X90" i="2"/>
  <c r="W90" i="2"/>
  <c r="V90" i="2"/>
  <c r="U90" i="2"/>
  <c r="T90" i="2"/>
  <c r="S90" i="2"/>
  <c r="R90" i="2"/>
  <c r="Q90" i="2"/>
  <c r="P90" i="2"/>
  <c r="O90" i="2"/>
  <c r="N90" i="2"/>
  <c r="M90" i="2"/>
  <c r="L90" i="2"/>
  <c r="K90" i="2"/>
  <c r="J90" i="2"/>
  <c r="I90" i="2"/>
  <c r="H90" i="2"/>
  <c r="G90" i="2"/>
  <c r="F90" i="2"/>
  <c r="E90" i="2"/>
  <c r="D90" i="2"/>
  <c r="C90" i="2"/>
  <c r="B90" i="2"/>
  <c r="A90" i="2"/>
  <c r="A89" i="2"/>
  <c r="FG86" i="2"/>
  <c r="FG85" i="2"/>
  <c r="FG84" i="2"/>
  <c r="FG83" i="2"/>
  <c r="FG82" i="2"/>
  <c r="FG81" i="2"/>
  <c r="FG80" i="2"/>
  <c r="FE86" i="2"/>
  <c r="FE85" i="2"/>
  <c r="FE84" i="2"/>
  <c r="FE83" i="2"/>
  <c r="FE82" i="2"/>
  <c r="FE81" i="2"/>
  <c r="FE80" i="2"/>
  <c r="FC86" i="2"/>
  <c r="FC85" i="2"/>
  <c r="FC84" i="2"/>
  <c r="FC83" i="2"/>
  <c r="FC82" i="2"/>
  <c r="FC81" i="2"/>
  <c r="FC80" i="2"/>
  <c r="FA86" i="2"/>
  <c r="FA85" i="2"/>
  <c r="FA84" i="2"/>
  <c r="FA83" i="2"/>
  <c r="FA82" i="2"/>
  <c r="FA81" i="2"/>
  <c r="FA80" i="2"/>
  <c r="EY86" i="2"/>
  <c r="EY85" i="2"/>
  <c r="EY84" i="2"/>
  <c r="EY83" i="2"/>
  <c r="EY82" i="2"/>
  <c r="EY81" i="2"/>
  <c r="EY80" i="2"/>
  <c r="EW86" i="2"/>
  <c r="EW85" i="2"/>
  <c r="EW84" i="2"/>
  <c r="EW83" i="2"/>
  <c r="EW82" i="2"/>
  <c r="EW81" i="2"/>
  <c r="EU86" i="2"/>
  <c r="EU85" i="2"/>
  <c r="EU84" i="2"/>
  <c r="EU83" i="2"/>
  <c r="EU82" i="2"/>
  <c r="EU81" i="2"/>
  <c r="ES86" i="2"/>
  <c r="ES85" i="2"/>
  <c r="ES84" i="2"/>
  <c r="ES83" i="2"/>
  <c r="ES82" i="2"/>
  <c r="ES81" i="2"/>
  <c r="DP86" i="2"/>
  <c r="DP85" i="2"/>
  <c r="DP84" i="2"/>
  <c r="DP83" i="2"/>
  <c r="DP82" i="2"/>
  <c r="DP81" i="2"/>
  <c r="DN86" i="2"/>
  <c r="DN85" i="2"/>
  <c r="DN84" i="2"/>
  <c r="DN83" i="2"/>
  <c r="DN82" i="2"/>
  <c r="DN81" i="2"/>
  <c r="DL86" i="2"/>
  <c r="DL85" i="2"/>
  <c r="DL84" i="2"/>
  <c r="DL83" i="2"/>
  <c r="DL82" i="2"/>
  <c r="DL81" i="2"/>
  <c r="DJ86" i="2"/>
  <c r="DJ85" i="2"/>
  <c r="DJ84" i="2"/>
  <c r="DJ83" i="2"/>
  <c r="DJ82" i="2"/>
  <c r="DJ81" i="2"/>
  <c r="DH86" i="2"/>
  <c r="DH85" i="2"/>
  <c r="DH84" i="2"/>
  <c r="DH83" i="2"/>
  <c r="DH82" i="2"/>
  <c r="DH81" i="2"/>
  <c r="DF86" i="2"/>
  <c r="DF85" i="2"/>
  <c r="DF84" i="2"/>
  <c r="DF83" i="2"/>
  <c r="DF82" i="2"/>
  <c r="DF81" i="2"/>
  <c r="DD86" i="2"/>
  <c r="DD85" i="2"/>
  <c r="DD84" i="2"/>
  <c r="DD83" i="2"/>
  <c r="DD82" i="2"/>
  <c r="DD81" i="2"/>
  <c r="DB86" i="2"/>
  <c r="DB85" i="2"/>
  <c r="DB84" i="2"/>
  <c r="DB83" i="2"/>
  <c r="DB82" i="2"/>
  <c r="DB81" i="2"/>
  <c r="CZ86" i="2"/>
  <c r="CZ85" i="2"/>
  <c r="CZ84" i="2"/>
  <c r="CZ83" i="2"/>
  <c r="CZ82" i="2"/>
  <c r="CZ81" i="2"/>
  <c r="CX86" i="2"/>
  <c r="CX85" i="2"/>
  <c r="CX84" i="2"/>
  <c r="CX83" i="2"/>
  <c r="CX82" i="2"/>
  <c r="CX81" i="2"/>
  <c r="CV86" i="2"/>
  <c r="CV85" i="2"/>
  <c r="CV84" i="2"/>
  <c r="CV83" i="2"/>
  <c r="CV82" i="2"/>
  <c r="CV81" i="2"/>
  <c r="CT86" i="2"/>
  <c r="CT85" i="2"/>
  <c r="CT84" i="2"/>
  <c r="CT83" i="2"/>
  <c r="CT82" i="2"/>
  <c r="CT81" i="2"/>
  <c r="CR86" i="2"/>
  <c r="CR85" i="2"/>
  <c r="CR84" i="2"/>
  <c r="CR83" i="2"/>
  <c r="CR82" i="2"/>
  <c r="CR81" i="2"/>
  <c r="CP86" i="2"/>
  <c r="CP85" i="2"/>
  <c r="CP84" i="2"/>
  <c r="CP83" i="2"/>
  <c r="CP82" i="2"/>
  <c r="CP81" i="2"/>
  <c r="CN86" i="2"/>
  <c r="CN85" i="2"/>
  <c r="CN84" i="2"/>
  <c r="CN83" i="2"/>
  <c r="CN82" i="2"/>
  <c r="CN81" i="2"/>
  <c r="CL86" i="2"/>
  <c r="CL85" i="2"/>
  <c r="CL84" i="2"/>
  <c r="CL83" i="2"/>
  <c r="CL82" i="2"/>
  <c r="CL81" i="2"/>
  <c r="CJ86" i="2"/>
  <c r="CJ85" i="2"/>
  <c r="CJ84" i="2"/>
  <c r="CJ83" i="2"/>
  <c r="CJ82" i="2"/>
  <c r="CJ81" i="2"/>
  <c r="CH86" i="2"/>
  <c r="CH85" i="2"/>
  <c r="CH84" i="2"/>
  <c r="CH83" i="2"/>
  <c r="CH82" i="2"/>
  <c r="CH81" i="2"/>
  <c r="CF86" i="2"/>
  <c r="CF85" i="2"/>
  <c r="CF84" i="2"/>
  <c r="CF83" i="2"/>
  <c r="CF82" i="2"/>
  <c r="CF81" i="2"/>
  <c r="CD86" i="2"/>
  <c r="CD85" i="2"/>
  <c r="CD84" i="2"/>
  <c r="CD83" i="2"/>
  <c r="CD82" i="2"/>
  <c r="CD81" i="2"/>
  <c r="CB86" i="2"/>
  <c r="CB85" i="2"/>
  <c r="CB84" i="2"/>
  <c r="CB83" i="2"/>
  <c r="CB82" i="2"/>
  <c r="CB81" i="2"/>
  <c r="BZ86" i="2"/>
  <c r="BZ85" i="2"/>
  <c r="BZ84" i="2"/>
  <c r="BZ83" i="2"/>
  <c r="BZ82" i="2"/>
  <c r="BZ81" i="2"/>
  <c r="BX86" i="2"/>
  <c r="BX85" i="2"/>
  <c r="BX84" i="2"/>
  <c r="BX83" i="2"/>
  <c r="BX82" i="2"/>
  <c r="BX81" i="2"/>
  <c r="BV86" i="2"/>
  <c r="BV85" i="2"/>
  <c r="BV84" i="2"/>
  <c r="BV83" i="2"/>
  <c r="BV82" i="2"/>
  <c r="BV81" i="2"/>
  <c r="BT86" i="2"/>
  <c r="BT85" i="2"/>
  <c r="BT84" i="2"/>
  <c r="BT83" i="2"/>
  <c r="BT82" i="2"/>
  <c r="BT81" i="2"/>
  <c r="BR86" i="2"/>
  <c r="BR85" i="2"/>
  <c r="BR84" i="2"/>
  <c r="BR83" i="2"/>
  <c r="BR82" i="2"/>
  <c r="BR81" i="2"/>
  <c r="BP86" i="2"/>
  <c r="BP85" i="2"/>
  <c r="BP84" i="2"/>
  <c r="BP83" i="2"/>
  <c r="BP82" i="2"/>
  <c r="BP81" i="2"/>
  <c r="BN86" i="2"/>
  <c r="BN85" i="2"/>
  <c r="BN84" i="2"/>
  <c r="BN83" i="2"/>
  <c r="BN82" i="2"/>
  <c r="BN81" i="2"/>
  <c r="FH86" i="2"/>
  <c r="FH85" i="2"/>
  <c r="FH84" i="2"/>
  <c r="FH83" i="2"/>
  <c r="FH82" i="2"/>
  <c r="FH81" i="2"/>
  <c r="FH80" i="2"/>
  <c r="FF86" i="2"/>
  <c r="FF85" i="2"/>
  <c r="FF84" i="2"/>
  <c r="FF83" i="2"/>
  <c r="FF82" i="2"/>
  <c r="FF81" i="2"/>
  <c r="FF80" i="2"/>
  <c r="FD86" i="2"/>
  <c r="FD85" i="2"/>
  <c r="FD84" i="2"/>
  <c r="FD83" i="2"/>
  <c r="FD82" i="2"/>
  <c r="FD81" i="2"/>
  <c r="FD80" i="2"/>
  <c r="FB86" i="2"/>
  <c r="FB85" i="2"/>
  <c r="FB84" i="2"/>
  <c r="FB83" i="2"/>
  <c r="FB82" i="2"/>
  <c r="FB81" i="2"/>
  <c r="FB80" i="2"/>
  <c r="EZ86" i="2"/>
  <c r="EZ85" i="2"/>
  <c r="EZ84" i="2"/>
  <c r="EZ83" i="2"/>
  <c r="EZ82" i="2"/>
  <c r="EZ81" i="2"/>
  <c r="EZ80" i="2"/>
  <c r="EX86" i="2"/>
  <c r="EX85" i="2"/>
  <c r="EX84" i="2"/>
  <c r="EX83" i="2"/>
  <c r="EX82" i="2"/>
  <c r="EX81" i="2"/>
  <c r="EX80" i="2"/>
  <c r="EV86" i="2"/>
  <c r="EV85" i="2"/>
  <c r="EV84" i="2"/>
  <c r="EV83" i="2"/>
  <c r="EV82" i="2"/>
  <c r="EV81" i="2"/>
  <c r="ET86" i="2"/>
  <c r="ET85" i="2"/>
  <c r="ET84" i="2"/>
  <c r="ET83" i="2"/>
  <c r="ET82" i="2"/>
  <c r="ET81" i="2"/>
  <c r="DQ86" i="2"/>
  <c r="DQ85" i="2"/>
  <c r="DQ84" i="2"/>
  <c r="DQ83" i="2"/>
  <c r="DQ82" i="2"/>
  <c r="DQ81" i="2"/>
  <c r="DO86" i="2"/>
  <c r="DO85" i="2"/>
  <c r="DO84" i="2"/>
  <c r="DO83" i="2"/>
  <c r="DO82" i="2"/>
  <c r="DO81" i="2"/>
  <c r="DM86" i="2"/>
  <c r="DM85" i="2"/>
  <c r="DM84" i="2"/>
  <c r="DM83" i="2"/>
  <c r="DM82" i="2"/>
  <c r="DM81" i="2"/>
  <c r="DK86" i="2"/>
  <c r="DK85" i="2"/>
  <c r="DK84" i="2"/>
  <c r="DK83" i="2"/>
  <c r="DK82" i="2"/>
  <c r="DK81" i="2"/>
  <c r="DI86" i="2"/>
  <c r="DI85" i="2"/>
  <c r="DI84" i="2"/>
  <c r="DI83" i="2"/>
  <c r="DI82" i="2"/>
  <c r="DI81" i="2"/>
  <c r="DG86" i="2"/>
  <c r="DG85" i="2"/>
  <c r="DG84" i="2"/>
  <c r="DG83" i="2"/>
  <c r="DG82" i="2"/>
  <c r="DG81" i="2"/>
  <c r="DE86" i="2"/>
  <c r="DE85" i="2"/>
  <c r="DE84" i="2"/>
  <c r="DE83" i="2"/>
  <c r="DE82" i="2"/>
  <c r="DE81" i="2"/>
  <c r="DC86" i="2"/>
  <c r="DC85" i="2"/>
  <c r="DC84" i="2"/>
  <c r="DC83" i="2"/>
  <c r="DC82" i="2"/>
  <c r="DC81" i="2"/>
  <c r="DA86" i="2"/>
  <c r="DA85" i="2"/>
  <c r="DA84" i="2"/>
  <c r="DA83" i="2"/>
  <c r="DA82" i="2"/>
  <c r="DA81" i="2"/>
  <c r="CY86" i="2"/>
  <c r="CY85" i="2"/>
  <c r="CY84" i="2"/>
  <c r="CY83" i="2"/>
  <c r="CY82" i="2"/>
  <c r="CY81" i="2"/>
  <c r="CW86" i="2"/>
  <c r="CW85" i="2"/>
  <c r="CW84" i="2"/>
  <c r="CW83" i="2"/>
  <c r="CW82" i="2"/>
  <c r="CW81" i="2"/>
  <c r="CU86" i="2"/>
  <c r="CU85" i="2"/>
  <c r="CU84" i="2"/>
  <c r="CU83" i="2"/>
  <c r="CU82" i="2"/>
  <c r="CU81" i="2"/>
  <c r="CS86" i="2"/>
  <c r="CS85" i="2"/>
  <c r="CS84" i="2"/>
  <c r="CS83" i="2"/>
  <c r="CS82" i="2"/>
  <c r="CS81" i="2"/>
  <c r="CQ86" i="2"/>
  <c r="CQ85" i="2"/>
  <c r="CQ84" i="2"/>
  <c r="CQ83" i="2"/>
  <c r="CQ82" i="2"/>
  <c r="CQ81" i="2"/>
  <c r="CO86" i="2"/>
  <c r="CO85" i="2"/>
  <c r="CO84" i="2"/>
  <c r="CO83" i="2"/>
  <c r="CO82" i="2"/>
  <c r="CO81" i="2"/>
  <c r="CM86" i="2"/>
  <c r="CM85" i="2"/>
  <c r="CM84" i="2"/>
  <c r="CM83" i="2"/>
  <c r="CM82" i="2"/>
  <c r="CM81" i="2"/>
  <c r="CK86" i="2"/>
  <c r="CK85" i="2"/>
  <c r="CK84" i="2"/>
  <c r="CK83" i="2"/>
  <c r="CK82" i="2"/>
  <c r="CK81" i="2"/>
  <c r="CI86" i="2"/>
  <c r="CI85" i="2"/>
  <c r="CI84" i="2"/>
  <c r="CI83" i="2"/>
  <c r="CI82" i="2"/>
  <c r="CI81" i="2"/>
  <c r="CG86" i="2"/>
  <c r="CG85" i="2"/>
  <c r="CG84" i="2"/>
  <c r="CG83" i="2"/>
  <c r="CG82" i="2"/>
  <c r="CG81" i="2"/>
  <c r="CE86" i="2"/>
  <c r="CE85" i="2"/>
  <c r="CE84" i="2"/>
  <c r="CE83" i="2"/>
  <c r="CE82" i="2"/>
  <c r="CE81" i="2"/>
  <c r="CC86" i="2"/>
  <c r="CC85" i="2"/>
  <c r="CC84" i="2"/>
  <c r="CC83" i="2"/>
  <c r="CC82" i="2"/>
  <c r="CC81" i="2"/>
  <c r="CA86" i="2"/>
  <c r="CA85" i="2"/>
  <c r="CA84" i="2"/>
  <c r="CA83" i="2"/>
  <c r="CA82" i="2"/>
  <c r="CA81" i="2"/>
  <c r="BY86" i="2"/>
  <c r="BY85" i="2"/>
  <c r="BY84" i="2"/>
  <c r="BY83" i="2"/>
  <c r="BY82" i="2"/>
  <c r="BY81" i="2"/>
  <c r="BW86" i="2"/>
  <c r="BW85" i="2"/>
  <c r="BW84" i="2"/>
  <c r="BW83" i="2"/>
  <c r="BW82" i="2"/>
  <c r="BW81" i="2"/>
  <c r="BU86" i="2"/>
  <c r="BU85" i="2"/>
  <c r="BU84" i="2"/>
  <c r="BU83" i="2"/>
  <c r="BU82" i="2"/>
  <c r="BU81" i="2"/>
  <c r="BS86" i="2"/>
  <c r="BS85" i="2"/>
  <c r="BS84" i="2"/>
  <c r="BS83" i="2"/>
  <c r="BS82" i="2"/>
  <c r="BS81" i="2"/>
  <c r="BQ86" i="2"/>
  <c r="BQ85" i="2"/>
  <c r="BQ84" i="2"/>
  <c r="BQ83" i="2"/>
  <c r="BQ82" i="2"/>
  <c r="BQ81" i="2"/>
  <c r="BO86" i="2"/>
  <c r="BO85" i="2"/>
  <c r="BO84" i="2"/>
  <c r="BO83" i="2"/>
  <c r="BO82" i="2"/>
  <c r="BO81" i="2"/>
  <c r="BM86" i="2"/>
  <c r="BL86" i="2"/>
  <c r="BK86" i="2"/>
  <c r="BJ86" i="2"/>
  <c r="BI86" i="2"/>
  <c r="BH86" i="2"/>
  <c r="BG86" i="2"/>
  <c r="BF86" i="2"/>
  <c r="BE86" i="2"/>
  <c r="BD86" i="2"/>
  <c r="BC86" i="2"/>
  <c r="BB86" i="2"/>
  <c r="BA86" i="2"/>
  <c r="AZ86" i="2"/>
  <c r="AY86" i="2"/>
  <c r="AX86" i="2"/>
  <c r="AW86" i="2"/>
  <c r="AV86" i="2"/>
  <c r="AU86" i="2"/>
  <c r="AT86" i="2"/>
  <c r="AS86" i="2"/>
  <c r="AR86" i="2"/>
  <c r="AQ86" i="2"/>
  <c r="AP86" i="2"/>
  <c r="AO86" i="2"/>
  <c r="AN86" i="2"/>
  <c r="AM86" i="2"/>
  <c r="AL86" i="2"/>
  <c r="AK86" i="2"/>
  <c r="AJ86" i="2"/>
  <c r="AI86" i="2"/>
  <c r="AH86" i="2"/>
  <c r="AG86" i="2"/>
  <c r="AF86" i="2"/>
  <c r="AE86" i="2"/>
  <c r="AD86" i="2"/>
  <c r="AC86" i="2"/>
  <c r="AB86" i="2"/>
  <c r="AA86" i="2"/>
  <c r="Z86" i="2"/>
  <c r="Y86" i="2"/>
  <c r="X86" i="2"/>
  <c r="W86" i="2"/>
  <c r="V86" i="2"/>
  <c r="U86" i="2"/>
  <c r="T86" i="2"/>
  <c r="S86" i="2"/>
  <c r="R86" i="2"/>
  <c r="Q86" i="2"/>
  <c r="P86" i="2"/>
  <c r="O86" i="2"/>
  <c r="N86" i="2"/>
  <c r="M86" i="2"/>
  <c r="L86" i="2"/>
  <c r="K86" i="2"/>
  <c r="J86" i="2"/>
  <c r="I86" i="2"/>
  <c r="H86" i="2"/>
  <c r="G86" i="2"/>
  <c r="F86" i="2"/>
  <c r="E86" i="2"/>
  <c r="D86" i="2"/>
  <c r="C86" i="2"/>
  <c r="B86" i="2"/>
  <c r="A86" i="2"/>
  <c r="A84" i="2"/>
  <c r="A83" i="2"/>
  <c r="A82" i="2"/>
  <c r="A81" i="2"/>
  <c r="ER86" i="2"/>
  <c r="EQ86" i="2"/>
  <c r="EP86" i="2"/>
  <c r="EO86" i="2"/>
  <c r="EN86" i="2"/>
  <c r="EM86" i="2"/>
  <c r="EL86" i="2"/>
  <c r="EK86" i="2"/>
  <c r="EJ86" i="2"/>
  <c r="EI86" i="2"/>
  <c r="EH86" i="2"/>
  <c r="EG86" i="2"/>
  <c r="EF86" i="2"/>
  <c r="EE86" i="2"/>
  <c r="ED86" i="2"/>
  <c r="EC86" i="2"/>
  <c r="EB86" i="2"/>
  <c r="ER85" i="2"/>
  <c r="EQ85" i="2"/>
  <c r="EP85" i="2"/>
  <c r="EO85" i="2"/>
  <c r="EN85" i="2"/>
  <c r="EM85" i="2"/>
  <c r="EL85" i="2"/>
  <c r="EK85" i="2"/>
  <c r="EJ85" i="2"/>
  <c r="EI85" i="2"/>
  <c r="EH85" i="2"/>
  <c r="EG85" i="2"/>
  <c r="EF85" i="2"/>
  <c r="EE85" i="2"/>
  <c r="ED85" i="2"/>
  <c r="EC85" i="2"/>
  <c r="EB85" i="2"/>
  <c r="ER84" i="2"/>
  <c r="EQ84" i="2"/>
  <c r="EP84" i="2"/>
  <c r="EO84" i="2"/>
  <c r="EN84" i="2"/>
  <c r="EM84" i="2"/>
  <c r="EL84" i="2"/>
  <c r="EK84" i="2"/>
  <c r="EJ84" i="2"/>
  <c r="EI84" i="2"/>
  <c r="EH84" i="2"/>
  <c r="EG84" i="2"/>
  <c r="EF84" i="2"/>
  <c r="EE84" i="2"/>
  <c r="ED84" i="2"/>
  <c r="EC84" i="2"/>
  <c r="EB84" i="2"/>
  <c r="ER83" i="2"/>
  <c r="EQ83" i="2"/>
  <c r="EP83" i="2"/>
  <c r="EO83" i="2"/>
  <c r="EN83" i="2"/>
  <c r="EM83" i="2"/>
  <c r="EL83" i="2"/>
  <c r="EK83" i="2"/>
  <c r="EJ83" i="2"/>
  <c r="EI83" i="2"/>
  <c r="EH83" i="2"/>
  <c r="EG83" i="2"/>
  <c r="EF83" i="2"/>
  <c r="EE83" i="2"/>
  <c r="ED83" i="2"/>
  <c r="EC83" i="2"/>
  <c r="EB83" i="2"/>
  <c r="ER82" i="2"/>
  <c r="EQ82" i="2"/>
  <c r="EP82" i="2"/>
  <c r="EO82" i="2"/>
  <c r="EN82" i="2"/>
  <c r="EM82" i="2"/>
  <c r="EL82" i="2"/>
  <c r="EK82" i="2"/>
  <c r="EJ82" i="2"/>
  <c r="EI82" i="2"/>
  <c r="EH82" i="2"/>
  <c r="EG82" i="2"/>
  <c r="EF82" i="2"/>
  <c r="EE82" i="2"/>
  <c r="ED82" i="2"/>
  <c r="EC82" i="2"/>
  <c r="EB82" i="2"/>
  <c r="ER81" i="2"/>
  <c r="EQ81" i="2"/>
  <c r="EP81" i="2"/>
  <c r="EO81" i="2"/>
  <c r="EN81" i="2"/>
  <c r="EM81" i="2"/>
  <c r="EL81" i="2"/>
  <c r="EK81" i="2"/>
  <c r="EJ81" i="2"/>
  <c r="EI81" i="2"/>
  <c r="EH81" i="2"/>
  <c r="EG81" i="2"/>
  <c r="EF81" i="2"/>
  <c r="EE81" i="2"/>
  <c r="ED81" i="2"/>
  <c r="EC81" i="2"/>
  <c r="EB81" i="2"/>
  <c r="DZ86" i="2"/>
  <c r="DZ85" i="2"/>
  <c r="DZ84" i="2"/>
  <c r="DZ83" i="2"/>
  <c r="DZ82" i="2"/>
  <c r="DZ81" i="2"/>
  <c r="BM85" i="2"/>
  <c r="BL85" i="2"/>
  <c r="BK85" i="2"/>
  <c r="BJ85" i="2"/>
  <c r="BI85" i="2"/>
  <c r="BH85" i="2"/>
  <c r="BG85" i="2"/>
  <c r="BF85" i="2"/>
  <c r="BE85" i="2"/>
  <c r="BD85" i="2"/>
  <c r="BC85" i="2"/>
  <c r="BB85" i="2"/>
  <c r="BA85" i="2"/>
  <c r="AZ85" i="2"/>
  <c r="AY85" i="2"/>
  <c r="AX85" i="2"/>
  <c r="AW85" i="2"/>
  <c r="AV85" i="2"/>
  <c r="AU85" i="2"/>
  <c r="AT85" i="2"/>
  <c r="AS85" i="2"/>
  <c r="AR85" i="2"/>
  <c r="AQ85" i="2"/>
  <c r="AP85" i="2"/>
  <c r="AO85" i="2"/>
  <c r="AN85" i="2"/>
  <c r="AM85" i="2"/>
  <c r="AL85" i="2"/>
  <c r="AK85" i="2"/>
  <c r="AJ85" i="2"/>
  <c r="AI85" i="2"/>
  <c r="AH85" i="2"/>
  <c r="AG85" i="2"/>
  <c r="AF85" i="2"/>
  <c r="AE85" i="2"/>
  <c r="AD85" i="2"/>
  <c r="AC85" i="2"/>
  <c r="AB85" i="2"/>
  <c r="AA85" i="2"/>
  <c r="Z85" i="2"/>
  <c r="Y85" i="2"/>
  <c r="X85" i="2"/>
  <c r="W85" i="2"/>
  <c r="V85" i="2"/>
  <c r="U85" i="2"/>
  <c r="T85" i="2"/>
  <c r="S85" i="2"/>
  <c r="R85" i="2"/>
  <c r="Q85" i="2"/>
  <c r="P85" i="2"/>
  <c r="O85" i="2"/>
  <c r="N85" i="2"/>
  <c r="M85" i="2"/>
  <c r="L85" i="2"/>
  <c r="K85" i="2"/>
  <c r="J85" i="2"/>
  <c r="I85" i="2"/>
  <c r="H85" i="2"/>
  <c r="G85" i="2"/>
  <c r="F85" i="2"/>
  <c r="E85" i="2"/>
  <c r="D85" i="2"/>
  <c r="C85" i="2"/>
  <c r="B85" i="2"/>
  <c r="BM84" i="2"/>
  <c r="BL84" i="2"/>
  <c r="BK84" i="2"/>
  <c r="BJ84" i="2"/>
  <c r="BI84" i="2"/>
  <c r="BH84" i="2"/>
  <c r="BG84" i="2"/>
  <c r="BF84" i="2"/>
  <c r="BE84" i="2"/>
  <c r="BD84" i="2"/>
  <c r="BC84" i="2"/>
  <c r="BB84" i="2"/>
  <c r="BA84" i="2"/>
  <c r="AZ84" i="2"/>
  <c r="AY84" i="2"/>
  <c r="AX84" i="2"/>
  <c r="AW84" i="2"/>
  <c r="AV84" i="2"/>
  <c r="AU84" i="2"/>
  <c r="AT84" i="2"/>
  <c r="AS84" i="2"/>
  <c r="AR84" i="2"/>
  <c r="AQ84" i="2"/>
  <c r="AP84" i="2"/>
  <c r="AO84" i="2"/>
  <c r="AN84" i="2"/>
  <c r="AM84" i="2"/>
  <c r="AL84" i="2"/>
  <c r="AK84" i="2"/>
  <c r="AJ84" i="2"/>
  <c r="AI84" i="2"/>
  <c r="AH84" i="2"/>
  <c r="AG84" i="2"/>
  <c r="AF84" i="2"/>
  <c r="AE84" i="2"/>
  <c r="AD84" i="2"/>
  <c r="AC84" i="2"/>
  <c r="AB84" i="2"/>
  <c r="AA84" i="2"/>
  <c r="Z84" i="2"/>
  <c r="Y84" i="2"/>
  <c r="X84" i="2"/>
  <c r="W84" i="2"/>
  <c r="V84" i="2"/>
  <c r="U84" i="2"/>
  <c r="T84" i="2"/>
  <c r="S84" i="2"/>
  <c r="R84" i="2"/>
  <c r="Q84" i="2"/>
  <c r="P84" i="2"/>
  <c r="O84" i="2"/>
  <c r="N84" i="2"/>
  <c r="M84" i="2"/>
  <c r="L84" i="2"/>
  <c r="K84" i="2"/>
  <c r="J84" i="2"/>
  <c r="I84" i="2"/>
  <c r="H84" i="2"/>
  <c r="G84" i="2"/>
  <c r="F84" i="2"/>
  <c r="E84" i="2"/>
  <c r="D84" i="2"/>
  <c r="C84" i="2"/>
  <c r="B84" i="2"/>
  <c r="BM83" i="2"/>
  <c r="BL83" i="2"/>
  <c r="BK83" i="2"/>
  <c r="BJ83" i="2"/>
  <c r="BI83" i="2"/>
  <c r="BH83" i="2"/>
  <c r="BG83" i="2"/>
  <c r="BF83" i="2"/>
  <c r="BE83" i="2"/>
  <c r="BD83" i="2"/>
  <c r="BC83" i="2"/>
  <c r="BB83" i="2"/>
  <c r="BA83" i="2"/>
  <c r="AZ83" i="2"/>
  <c r="AY83" i="2"/>
  <c r="AX83" i="2"/>
  <c r="AW83" i="2"/>
  <c r="AV83" i="2"/>
  <c r="AU83" i="2"/>
  <c r="AT83" i="2"/>
  <c r="AS83" i="2"/>
  <c r="AR83" i="2"/>
  <c r="AQ83" i="2"/>
  <c r="AP83" i="2"/>
  <c r="AO83" i="2"/>
  <c r="AN83" i="2"/>
  <c r="AM83" i="2"/>
  <c r="AL83" i="2"/>
  <c r="AK83" i="2"/>
  <c r="AJ83" i="2"/>
  <c r="AI83" i="2"/>
  <c r="AH83" i="2"/>
  <c r="AG83" i="2"/>
  <c r="AF83" i="2"/>
  <c r="AE83" i="2"/>
  <c r="AD83" i="2"/>
  <c r="AC83" i="2"/>
  <c r="AB83" i="2"/>
  <c r="AA83" i="2"/>
  <c r="Z83" i="2"/>
  <c r="Y83" i="2"/>
  <c r="X83" i="2"/>
  <c r="W83" i="2"/>
  <c r="V83" i="2"/>
  <c r="U83" i="2"/>
  <c r="T83" i="2"/>
  <c r="S83" i="2"/>
  <c r="R83" i="2"/>
  <c r="Q83" i="2"/>
  <c r="P83" i="2"/>
  <c r="O83" i="2"/>
  <c r="N83" i="2"/>
  <c r="M83" i="2"/>
  <c r="L83" i="2"/>
  <c r="K83" i="2"/>
  <c r="J83" i="2"/>
  <c r="I83" i="2"/>
  <c r="H83" i="2"/>
  <c r="G83" i="2"/>
  <c r="F83" i="2"/>
  <c r="E83" i="2"/>
  <c r="D83" i="2"/>
  <c r="C83" i="2"/>
  <c r="B83" i="2"/>
  <c r="BM82" i="2"/>
  <c r="BL82" i="2"/>
  <c r="BK82" i="2"/>
  <c r="BJ82" i="2"/>
  <c r="BI82" i="2"/>
  <c r="BH82" i="2"/>
  <c r="BG82" i="2"/>
  <c r="BF82" i="2"/>
  <c r="BE82" i="2"/>
  <c r="BD82" i="2"/>
  <c r="BC82" i="2"/>
  <c r="BB82" i="2"/>
  <c r="BA82" i="2"/>
  <c r="AZ82" i="2"/>
  <c r="AY82" i="2"/>
  <c r="AX82" i="2"/>
  <c r="AW82" i="2"/>
  <c r="AV82" i="2"/>
  <c r="AU82" i="2"/>
  <c r="AT82" i="2"/>
  <c r="AS82" i="2"/>
  <c r="AR82" i="2"/>
  <c r="AQ82" i="2"/>
  <c r="AP82" i="2"/>
  <c r="AO82" i="2"/>
  <c r="AN82" i="2"/>
  <c r="AM82" i="2"/>
  <c r="AL82" i="2"/>
  <c r="AK82" i="2"/>
  <c r="AJ82" i="2"/>
  <c r="AI82" i="2"/>
  <c r="AH82" i="2"/>
  <c r="AG82" i="2"/>
  <c r="AF82" i="2"/>
  <c r="AE82" i="2"/>
  <c r="AD82" i="2"/>
  <c r="AC82" i="2"/>
  <c r="AB82" i="2"/>
  <c r="AA82" i="2"/>
  <c r="Z82" i="2"/>
  <c r="Y82" i="2"/>
  <c r="X82" i="2"/>
  <c r="W82" i="2"/>
  <c r="V82" i="2"/>
  <c r="U82" i="2"/>
  <c r="T82" i="2"/>
  <c r="S82" i="2"/>
  <c r="R82" i="2"/>
  <c r="Q82" i="2"/>
  <c r="P82" i="2"/>
  <c r="O82" i="2"/>
  <c r="N82" i="2"/>
  <c r="M82" i="2"/>
  <c r="L82" i="2"/>
  <c r="K82" i="2"/>
  <c r="J82" i="2"/>
  <c r="I82" i="2"/>
  <c r="H82" i="2"/>
  <c r="G82" i="2"/>
  <c r="F82" i="2"/>
  <c r="E82" i="2"/>
  <c r="D82" i="2"/>
  <c r="C82" i="2"/>
  <c r="B82" i="2"/>
  <c r="BM81" i="2"/>
  <c r="BL81" i="2"/>
  <c r="BK81" i="2"/>
  <c r="BJ81" i="2"/>
  <c r="BI81" i="2"/>
  <c r="BH81" i="2"/>
  <c r="BG81" i="2"/>
  <c r="BF81" i="2"/>
  <c r="BE81" i="2"/>
  <c r="BD81" i="2"/>
  <c r="BC81" i="2"/>
  <c r="BB81" i="2"/>
  <c r="BA81" i="2"/>
  <c r="AZ81" i="2"/>
  <c r="AY81" i="2"/>
  <c r="AX81" i="2"/>
  <c r="AW81" i="2"/>
  <c r="AV81" i="2"/>
  <c r="AU81" i="2"/>
  <c r="AT81" i="2"/>
  <c r="AS81" i="2"/>
  <c r="AR81" i="2"/>
  <c r="AQ81" i="2"/>
  <c r="AP81" i="2"/>
  <c r="AO81" i="2"/>
  <c r="AN81" i="2"/>
  <c r="AM81" i="2"/>
  <c r="AL81" i="2"/>
  <c r="AK81" i="2"/>
  <c r="AJ81" i="2"/>
  <c r="AI81" i="2"/>
  <c r="AH81" i="2"/>
  <c r="AG81" i="2"/>
  <c r="AF81" i="2"/>
  <c r="AE81" i="2"/>
  <c r="AD81" i="2"/>
  <c r="AC81" i="2"/>
  <c r="AB81" i="2"/>
  <c r="AA81" i="2"/>
  <c r="Z81" i="2"/>
  <c r="Y81" i="2"/>
  <c r="X81" i="2"/>
  <c r="W81" i="2"/>
  <c r="V81" i="2"/>
  <c r="U81" i="2"/>
  <c r="T81" i="2"/>
  <c r="S81" i="2"/>
  <c r="R81" i="2"/>
  <c r="Q81" i="2"/>
  <c r="P81" i="2"/>
  <c r="O81" i="2"/>
  <c r="N81" i="2"/>
  <c r="M81" i="2"/>
  <c r="L81" i="2"/>
  <c r="K81" i="2"/>
  <c r="J81" i="2"/>
  <c r="I81" i="2"/>
  <c r="H81" i="2"/>
  <c r="G81" i="2"/>
  <c r="F81" i="2"/>
  <c r="E81" i="2"/>
  <c r="D81" i="2"/>
  <c r="C81" i="2"/>
  <c r="B81" i="2"/>
  <c r="EW80" i="2"/>
  <c r="EV80" i="2"/>
  <c r="EU80" i="2"/>
  <c r="ET80" i="2"/>
  <c r="ES80" i="2"/>
  <c r="ER80" i="2"/>
  <c r="EQ80" i="2"/>
  <c r="EP80" i="2"/>
  <c r="EO80" i="2"/>
  <c r="EN80" i="2"/>
  <c r="EM80" i="2"/>
  <c r="EL80" i="2"/>
  <c r="EK80" i="2"/>
  <c r="EJ80" i="2"/>
  <c r="EI80" i="2"/>
  <c r="EH80" i="2"/>
  <c r="EG80" i="2"/>
  <c r="EF80" i="2"/>
  <c r="EE80" i="2"/>
  <c r="ED80" i="2"/>
  <c r="EC80" i="2"/>
  <c r="EB80" i="2"/>
  <c r="FH79" i="2"/>
  <c r="FG79" i="2"/>
  <c r="FF79" i="2"/>
  <c r="FE79" i="2"/>
  <c r="FD79" i="2"/>
  <c r="FC79" i="2"/>
  <c r="FB79" i="2"/>
  <c r="FA79" i="2"/>
  <c r="EZ79" i="2"/>
  <c r="EY79" i="2"/>
  <c r="EX79" i="2"/>
  <c r="EW79" i="2"/>
  <c r="EV79" i="2"/>
  <c r="EU79" i="2"/>
  <c r="ET79" i="2"/>
  <c r="ES79" i="2"/>
  <c r="ER79" i="2"/>
  <c r="EQ79" i="2"/>
  <c r="EP79" i="2"/>
  <c r="EO79" i="2"/>
  <c r="EN79" i="2"/>
  <c r="EM79" i="2"/>
  <c r="EL79" i="2"/>
  <c r="EK79" i="2"/>
  <c r="EJ79" i="2"/>
  <c r="EI79" i="2"/>
  <c r="EH79" i="2"/>
  <c r="EG79" i="2"/>
  <c r="EF79" i="2"/>
  <c r="EE79" i="2"/>
  <c r="ED79" i="2"/>
  <c r="EC79" i="2"/>
  <c r="EB79" i="2"/>
  <c r="FH78" i="2"/>
  <c r="FG78" i="2"/>
  <c r="FF78" i="2"/>
  <c r="FE78" i="2"/>
  <c r="FD78" i="2"/>
  <c r="FC78" i="2"/>
  <c r="FB78" i="2"/>
  <c r="FA78" i="2"/>
  <c r="EZ78" i="2"/>
  <c r="EY78" i="2"/>
  <c r="EX78" i="2"/>
  <c r="EW78" i="2"/>
  <c r="EV78" i="2"/>
  <c r="EU78" i="2"/>
  <c r="ET78" i="2"/>
  <c r="ES78" i="2"/>
  <c r="ER78" i="2"/>
  <c r="EQ78" i="2"/>
  <c r="EP78" i="2"/>
  <c r="EO78" i="2"/>
  <c r="EN78" i="2"/>
  <c r="EM78" i="2"/>
  <c r="EL78" i="2"/>
  <c r="EK78" i="2"/>
  <c r="EJ78" i="2"/>
  <c r="EI78" i="2"/>
  <c r="EH78" i="2"/>
  <c r="EG78" i="2"/>
  <c r="EF78" i="2"/>
  <c r="EE78" i="2"/>
  <c r="ED78" i="2"/>
  <c r="EC78" i="2"/>
  <c r="EB78" i="2"/>
  <c r="FS77" i="2"/>
  <c r="FR77" i="2"/>
  <c r="FQ77" i="2"/>
  <c r="FP77" i="2"/>
  <c r="FO77" i="2"/>
  <c r="FN77" i="2"/>
  <c r="FM77" i="2"/>
  <c r="FL77" i="2"/>
  <c r="FK77" i="2"/>
  <c r="FJ77" i="2"/>
  <c r="FI77" i="2"/>
  <c r="FH77" i="2"/>
  <c r="FG77" i="2"/>
  <c r="FF77" i="2"/>
  <c r="FE77" i="2"/>
  <c r="FD77" i="2"/>
  <c r="FC77" i="2"/>
  <c r="FB77" i="2"/>
  <c r="FA77" i="2"/>
  <c r="EZ77" i="2"/>
  <c r="EY77" i="2"/>
  <c r="EX77" i="2"/>
  <c r="EW77" i="2"/>
  <c r="EV77" i="2"/>
  <c r="EU77" i="2"/>
  <c r="ET77" i="2"/>
  <c r="ES77" i="2"/>
  <c r="ER77" i="2"/>
  <c r="EQ77" i="2"/>
  <c r="EP77" i="2"/>
  <c r="EO77" i="2"/>
  <c r="EN77" i="2"/>
  <c r="EM77" i="2"/>
  <c r="EL77" i="2"/>
  <c r="EK77" i="2"/>
  <c r="EJ77" i="2"/>
  <c r="EI77" i="2"/>
  <c r="EH77" i="2"/>
  <c r="EG77" i="2"/>
  <c r="EF77" i="2"/>
  <c r="EE77" i="2"/>
  <c r="ED77" i="2"/>
  <c r="EC77" i="2"/>
  <c r="EB77" i="2"/>
  <c r="FH76" i="2"/>
  <c r="FG76" i="2"/>
  <c r="FF76" i="2"/>
  <c r="FE76" i="2"/>
  <c r="FD76" i="2"/>
  <c r="FC76" i="2"/>
  <c r="FB76" i="2"/>
  <c r="FA76" i="2"/>
  <c r="EZ76" i="2"/>
  <c r="EY76" i="2"/>
  <c r="EX76" i="2"/>
  <c r="EW76" i="2"/>
  <c r="EV76" i="2"/>
  <c r="EU76" i="2"/>
  <c r="ET76" i="2"/>
  <c r="ES76" i="2"/>
  <c r="ER76" i="2"/>
  <c r="EQ76" i="2"/>
  <c r="EP76" i="2"/>
  <c r="EO76" i="2"/>
  <c r="EN76" i="2"/>
  <c r="EM76" i="2"/>
  <c r="EL76" i="2"/>
  <c r="EK76" i="2"/>
  <c r="EJ76" i="2"/>
  <c r="EI76" i="2"/>
  <c r="EH76" i="2"/>
  <c r="EG76" i="2"/>
  <c r="EF76" i="2"/>
  <c r="EE76" i="2"/>
  <c r="ED76" i="2"/>
  <c r="EC76" i="2"/>
  <c r="EB76" i="2"/>
  <c r="FH75" i="2"/>
  <c r="FG75" i="2"/>
  <c r="FF75" i="2"/>
  <c r="FE75" i="2"/>
  <c r="FD75" i="2"/>
  <c r="FC75" i="2"/>
  <c r="FB75" i="2"/>
  <c r="FA75" i="2"/>
  <c r="EZ75" i="2"/>
  <c r="EY75" i="2"/>
  <c r="EX75" i="2"/>
  <c r="EW75" i="2"/>
  <c r="EV75" i="2"/>
  <c r="EU75" i="2"/>
  <c r="ET75" i="2"/>
  <c r="ES75" i="2"/>
  <c r="ER75" i="2"/>
  <c r="EQ75" i="2"/>
  <c r="EP75" i="2"/>
  <c r="EO75" i="2"/>
  <c r="EN75" i="2"/>
  <c r="EM75" i="2"/>
  <c r="EL75" i="2"/>
  <c r="EK75" i="2"/>
  <c r="EJ75" i="2"/>
  <c r="EI75" i="2"/>
  <c r="EH75" i="2"/>
  <c r="EG75" i="2"/>
  <c r="EF75" i="2"/>
  <c r="EE75" i="2"/>
  <c r="ED75" i="2"/>
  <c r="EC75" i="2"/>
  <c r="EB75" i="2"/>
  <c r="FH74" i="2"/>
  <c r="FG74" i="2"/>
  <c r="FF74" i="2"/>
  <c r="FE74" i="2"/>
  <c r="FD74" i="2"/>
  <c r="FC74" i="2"/>
  <c r="FB74" i="2"/>
  <c r="FA74" i="2"/>
  <c r="EZ74" i="2"/>
  <c r="EY74" i="2"/>
  <c r="EX74" i="2"/>
  <c r="EW74" i="2"/>
  <c r="EV74" i="2"/>
  <c r="EU74" i="2"/>
  <c r="EU87" i="2" s="1"/>
  <c r="ET74" i="2"/>
  <c r="ES74" i="2"/>
  <c r="ER74" i="2"/>
  <c r="EQ74" i="2"/>
  <c r="EP74" i="2"/>
  <c r="EO74" i="2"/>
  <c r="EN74" i="2"/>
  <c r="EM74" i="2"/>
  <c r="EL74" i="2"/>
  <c r="EK74" i="2"/>
  <c r="EJ74" i="2"/>
  <c r="EI74" i="2"/>
  <c r="EH74" i="2"/>
  <c r="EG74" i="2"/>
  <c r="EF74" i="2"/>
  <c r="EE74" i="2"/>
  <c r="ED74" i="2"/>
  <c r="EC74" i="2"/>
  <c r="EB74" i="2"/>
  <c r="DZ80" i="2"/>
  <c r="DQ80" i="2"/>
  <c r="DP80" i="2"/>
  <c r="DO80" i="2"/>
  <c r="DN80" i="2"/>
  <c r="DM80" i="2"/>
  <c r="DL80" i="2"/>
  <c r="DK80" i="2"/>
  <c r="DJ80" i="2"/>
  <c r="DI80" i="2"/>
  <c r="DH80" i="2"/>
  <c r="DG80" i="2"/>
  <c r="DF80" i="2"/>
  <c r="DE80" i="2"/>
  <c r="DD80" i="2"/>
  <c r="DC80" i="2"/>
  <c r="DB80" i="2"/>
  <c r="DA80" i="2"/>
  <c r="CZ80" i="2"/>
  <c r="CY80" i="2"/>
  <c r="CX80" i="2"/>
  <c r="CW80" i="2"/>
  <c r="CV80" i="2"/>
  <c r="CU80" i="2"/>
  <c r="CT80" i="2"/>
  <c r="CS80" i="2"/>
  <c r="CR80" i="2"/>
  <c r="CQ80" i="2"/>
  <c r="CP80" i="2"/>
  <c r="CO80" i="2"/>
  <c r="CN80" i="2"/>
  <c r="CM80" i="2"/>
  <c r="CL80" i="2"/>
  <c r="CK80" i="2"/>
  <c r="CJ80" i="2"/>
  <c r="CI80" i="2"/>
  <c r="CH80" i="2"/>
  <c r="CG80" i="2"/>
  <c r="CF80" i="2"/>
  <c r="CE80" i="2"/>
  <c r="CD80" i="2"/>
  <c r="CC80" i="2"/>
  <c r="CB80" i="2"/>
  <c r="CA80" i="2"/>
  <c r="BZ80" i="2"/>
  <c r="BY80" i="2"/>
  <c r="BX80" i="2"/>
  <c r="BW80" i="2"/>
  <c r="BV80" i="2"/>
  <c r="BU80" i="2"/>
  <c r="BT80" i="2"/>
  <c r="BS80" i="2"/>
  <c r="BR80" i="2"/>
  <c r="BQ80" i="2"/>
  <c r="BP80" i="2"/>
  <c r="BO80" i="2"/>
  <c r="BN80" i="2"/>
  <c r="BM80" i="2"/>
  <c r="BL80" i="2"/>
  <c r="BK80" i="2"/>
  <c r="BJ80" i="2"/>
  <c r="BI80" i="2"/>
  <c r="BH80" i="2"/>
  <c r="BG80" i="2"/>
  <c r="BF80" i="2"/>
  <c r="BE80" i="2"/>
  <c r="BD80" i="2"/>
  <c r="BC80" i="2"/>
  <c r="BB80" i="2"/>
  <c r="BA80" i="2"/>
  <c r="AZ80" i="2"/>
  <c r="AY80" i="2"/>
  <c r="AX80" i="2"/>
  <c r="AW80" i="2"/>
  <c r="AV80" i="2"/>
  <c r="AU80" i="2"/>
  <c r="AT80" i="2"/>
  <c r="AS80" i="2"/>
  <c r="AR80" i="2"/>
  <c r="AQ80" i="2"/>
  <c r="AP80" i="2"/>
  <c r="AO80" i="2"/>
  <c r="AN80" i="2"/>
  <c r="AM80" i="2"/>
  <c r="AL80" i="2"/>
  <c r="AK80" i="2"/>
  <c r="AJ80" i="2"/>
  <c r="AI80" i="2"/>
  <c r="AH80" i="2"/>
  <c r="AG80" i="2"/>
  <c r="AF80" i="2"/>
  <c r="AE80" i="2"/>
  <c r="AD80" i="2"/>
  <c r="AC80" i="2"/>
  <c r="AB80" i="2"/>
  <c r="AA80" i="2"/>
  <c r="Z80" i="2"/>
  <c r="Y80" i="2"/>
  <c r="X80" i="2"/>
  <c r="W80" i="2"/>
  <c r="V80" i="2"/>
  <c r="U80" i="2"/>
  <c r="T80" i="2"/>
  <c r="S80" i="2"/>
  <c r="R80" i="2"/>
  <c r="Q80" i="2"/>
  <c r="P80" i="2"/>
  <c r="O80" i="2"/>
  <c r="N80" i="2"/>
  <c r="M80" i="2"/>
  <c r="L80" i="2"/>
  <c r="K80" i="2"/>
  <c r="J80" i="2"/>
  <c r="I80" i="2"/>
  <c r="H80" i="2"/>
  <c r="G80" i="2"/>
  <c r="F80" i="2"/>
  <c r="E80" i="2"/>
  <c r="D80" i="2"/>
  <c r="C80" i="2"/>
  <c r="B80" i="2"/>
  <c r="A80" i="2"/>
  <c r="DZ79" i="2"/>
  <c r="DQ79" i="2"/>
  <c r="DP79" i="2"/>
  <c r="DO79" i="2"/>
  <c r="DN79" i="2"/>
  <c r="DM79" i="2"/>
  <c r="DL79" i="2"/>
  <c r="DK79" i="2"/>
  <c r="DJ79" i="2"/>
  <c r="DI79" i="2"/>
  <c r="DH79" i="2"/>
  <c r="DG79" i="2"/>
  <c r="DF79" i="2"/>
  <c r="DE79" i="2"/>
  <c r="DD79" i="2"/>
  <c r="DC79" i="2"/>
  <c r="DB79" i="2"/>
  <c r="DA79" i="2"/>
  <c r="CZ79" i="2"/>
  <c r="CY79" i="2"/>
  <c r="CX79" i="2"/>
  <c r="CW79" i="2"/>
  <c r="CV79" i="2"/>
  <c r="CU79" i="2"/>
  <c r="CT79" i="2"/>
  <c r="CS79" i="2"/>
  <c r="CR79" i="2"/>
  <c r="CQ79" i="2"/>
  <c r="CP79" i="2"/>
  <c r="CO79" i="2"/>
  <c r="CN79" i="2"/>
  <c r="CM79" i="2"/>
  <c r="CL79" i="2"/>
  <c r="CK79" i="2"/>
  <c r="CJ79" i="2"/>
  <c r="CI79" i="2"/>
  <c r="CH79" i="2"/>
  <c r="CG79" i="2"/>
  <c r="CF79" i="2"/>
  <c r="CE79" i="2"/>
  <c r="CD79" i="2"/>
  <c r="CC79" i="2"/>
  <c r="CB79" i="2"/>
  <c r="CA79" i="2"/>
  <c r="BZ79" i="2"/>
  <c r="BY79" i="2"/>
  <c r="BX79" i="2"/>
  <c r="BW79" i="2"/>
  <c r="BV79" i="2"/>
  <c r="BU79" i="2"/>
  <c r="BT79" i="2"/>
  <c r="BS79" i="2"/>
  <c r="BR79" i="2"/>
  <c r="BQ79" i="2"/>
  <c r="BP79" i="2"/>
  <c r="BO79" i="2"/>
  <c r="BN79" i="2"/>
  <c r="BM79" i="2"/>
  <c r="BL79" i="2"/>
  <c r="BK79" i="2"/>
  <c r="BJ79" i="2"/>
  <c r="BI79" i="2"/>
  <c r="BH79" i="2"/>
  <c r="BG79" i="2"/>
  <c r="BF79" i="2"/>
  <c r="BE79" i="2"/>
  <c r="BD79" i="2"/>
  <c r="BC79" i="2"/>
  <c r="BB79" i="2"/>
  <c r="BA79" i="2"/>
  <c r="AZ79" i="2"/>
  <c r="AY79" i="2"/>
  <c r="AX79" i="2"/>
  <c r="AW79" i="2"/>
  <c r="AV79" i="2"/>
  <c r="AU79" i="2"/>
  <c r="AT79" i="2"/>
  <c r="AS79" i="2"/>
  <c r="AR79" i="2"/>
  <c r="AQ79" i="2"/>
  <c r="AP79" i="2"/>
  <c r="AO79" i="2"/>
  <c r="AN79" i="2"/>
  <c r="AM79" i="2"/>
  <c r="AL79" i="2"/>
  <c r="AK79" i="2"/>
  <c r="AJ79" i="2"/>
  <c r="AI79" i="2"/>
  <c r="AH79" i="2"/>
  <c r="AG79" i="2"/>
  <c r="AF79" i="2"/>
  <c r="AE79" i="2"/>
  <c r="AD79" i="2"/>
  <c r="AC79" i="2"/>
  <c r="AB79" i="2"/>
  <c r="AA79" i="2"/>
  <c r="Z79" i="2"/>
  <c r="Y79" i="2"/>
  <c r="X79" i="2"/>
  <c r="W79" i="2"/>
  <c r="V79" i="2"/>
  <c r="U79" i="2"/>
  <c r="T79" i="2"/>
  <c r="S79" i="2"/>
  <c r="R79" i="2"/>
  <c r="Q79" i="2"/>
  <c r="P79" i="2"/>
  <c r="O79" i="2"/>
  <c r="N79" i="2"/>
  <c r="M79" i="2"/>
  <c r="L79" i="2"/>
  <c r="K79" i="2"/>
  <c r="J79" i="2"/>
  <c r="I79" i="2"/>
  <c r="H79" i="2"/>
  <c r="G79" i="2"/>
  <c r="F79" i="2"/>
  <c r="E79" i="2"/>
  <c r="D79" i="2"/>
  <c r="C79" i="2"/>
  <c r="B79" i="2"/>
  <c r="A79" i="2"/>
  <c r="DZ78" i="2"/>
  <c r="DQ78" i="2"/>
  <c r="DP78" i="2"/>
  <c r="DO78" i="2"/>
  <c r="DN78" i="2"/>
  <c r="DM78" i="2"/>
  <c r="DL78" i="2"/>
  <c r="DK78" i="2"/>
  <c r="DJ78" i="2"/>
  <c r="DI78" i="2"/>
  <c r="DH78" i="2"/>
  <c r="DG78" i="2"/>
  <c r="DF78" i="2"/>
  <c r="DE78" i="2"/>
  <c r="DD78" i="2"/>
  <c r="DC78" i="2"/>
  <c r="DB78" i="2"/>
  <c r="DA78" i="2"/>
  <c r="CZ78" i="2"/>
  <c r="CY78" i="2"/>
  <c r="CX78" i="2"/>
  <c r="CW78" i="2"/>
  <c r="CV78" i="2"/>
  <c r="CU78" i="2"/>
  <c r="CT78" i="2"/>
  <c r="CS78" i="2"/>
  <c r="CR78" i="2"/>
  <c r="CQ78" i="2"/>
  <c r="CP78" i="2"/>
  <c r="CO78" i="2"/>
  <c r="CN78" i="2"/>
  <c r="CM78" i="2"/>
  <c r="CL78" i="2"/>
  <c r="CK78" i="2"/>
  <c r="CJ78" i="2"/>
  <c r="CI78" i="2"/>
  <c r="CH78" i="2"/>
  <c r="CG78" i="2"/>
  <c r="CF78" i="2"/>
  <c r="CE78" i="2"/>
  <c r="CD78" i="2"/>
  <c r="CC78" i="2"/>
  <c r="CB78" i="2"/>
  <c r="CA78" i="2"/>
  <c r="BZ78" i="2"/>
  <c r="BY78" i="2"/>
  <c r="BX78" i="2"/>
  <c r="BW78" i="2"/>
  <c r="BV78" i="2"/>
  <c r="BU78" i="2"/>
  <c r="BT78" i="2"/>
  <c r="BS78" i="2"/>
  <c r="BR78" i="2"/>
  <c r="BQ78" i="2"/>
  <c r="BP78" i="2"/>
  <c r="BO78" i="2"/>
  <c r="BN78" i="2"/>
  <c r="BM78" i="2"/>
  <c r="BL78" i="2"/>
  <c r="BK78" i="2"/>
  <c r="BJ78" i="2"/>
  <c r="BI78" i="2"/>
  <c r="BH78" i="2"/>
  <c r="BG78" i="2"/>
  <c r="BF78" i="2"/>
  <c r="BE78" i="2"/>
  <c r="BD78" i="2"/>
  <c r="BC78" i="2"/>
  <c r="BB78" i="2"/>
  <c r="BA78" i="2"/>
  <c r="AZ78" i="2"/>
  <c r="AY78" i="2"/>
  <c r="AX78" i="2"/>
  <c r="AW78" i="2"/>
  <c r="AV78" i="2"/>
  <c r="AU78" i="2"/>
  <c r="AT78" i="2"/>
  <c r="AS78" i="2"/>
  <c r="AR78" i="2"/>
  <c r="AQ78" i="2"/>
  <c r="AP78" i="2"/>
  <c r="AO78" i="2"/>
  <c r="AN78" i="2"/>
  <c r="AM78" i="2"/>
  <c r="AL78" i="2"/>
  <c r="AK78" i="2"/>
  <c r="AJ78" i="2"/>
  <c r="AI78" i="2"/>
  <c r="AH78" i="2"/>
  <c r="AG78" i="2"/>
  <c r="AF78" i="2"/>
  <c r="AE78" i="2"/>
  <c r="AD78" i="2"/>
  <c r="AC78" i="2"/>
  <c r="AB78" i="2"/>
  <c r="AA78" i="2"/>
  <c r="Z78" i="2"/>
  <c r="Y78" i="2"/>
  <c r="X78" i="2"/>
  <c r="W78" i="2"/>
  <c r="V78" i="2"/>
  <c r="U78" i="2"/>
  <c r="T78" i="2"/>
  <c r="S78" i="2"/>
  <c r="R78" i="2"/>
  <c r="Q78" i="2"/>
  <c r="P78" i="2"/>
  <c r="O78" i="2"/>
  <c r="N78" i="2"/>
  <c r="M78" i="2"/>
  <c r="L78" i="2"/>
  <c r="K78" i="2"/>
  <c r="J78" i="2"/>
  <c r="I78" i="2"/>
  <c r="H78" i="2"/>
  <c r="G78" i="2"/>
  <c r="F78" i="2"/>
  <c r="E78" i="2"/>
  <c r="D78" i="2"/>
  <c r="C78" i="2"/>
  <c r="B78" i="2"/>
  <c r="A78" i="2"/>
  <c r="DZ77" i="2"/>
  <c r="DY77" i="2"/>
  <c r="DX77" i="2"/>
  <c r="DW77" i="2"/>
  <c r="DV77" i="2"/>
  <c r="DU77" i="2"/>
  <c r="DT77" i="2"/>
  <c r="DS77" i="2"/>
  <c r="DR77" i="2"/>
  <c r="DQ77" i="2"/>
  <c r="DP77" i="2"/>
  <c r="DO77" i="2"/>
  <c r="DN77" i="2"/>
  <c r="DM77" i="2"/>
  <c r="DL77" i="2"/>
  <c r="DK77" i="2"/>
  <c r="DJ77" i="2"/>
  <c r="DI77" i="2"/>
  <c r="DH77" i="2"/>
  <c r="DG77" i="2"/>
  <c r="DF77" i="2"/>
  <c r="DE77" i="2"/>
  <c r="DD77" i="2"/>
  <c r="DC77" i="2"/>
  <c r="DB77" i="2"/>
  <c r="DA77" i="2"/>
  <c r="CZ77" i="2"/>
  <c r="CY77" i="2"/>
  <c r="CX77" i="2"/>
  <c r="CW77" i="2"/>
  <c r="CV77" i="2"/>
  <c r="CU77" i="2"/>
  <c r="CT77" i="2"/>
  <c r="CS77" i="2"/>
  <c r="CR77" i="2"/>
  <c r="CQ77" i="2"/>
  <c r="CP77" i="2"/>
  <c r="CO77" i="2"/>
  <c r="CN77" i="2"/>
  <c r="CM77" i="2"/>
  <c r="CL77" i="2"/>
  <c r="CK77" i="2"/>
  <c r="CJ77" i="2"/>
  <c r="CI77" i="2"/>
  <c r="CH77" i="2"/>
  <c r="CG77" i="2"/>
  <c r="CF77" i="2"/>
  <c r="CE77" i="2"/>
  <c r="CD77" i="2"/>
  <c r="CC77" i="2"/>
  <c r="CB77" i="2"/>
  <c r="CA77" i="2"/>
  <c r="BZ77" i="2"/>
  <c r="BY77" i="2"/>
  <c r="BX77" i="2"/>
  <c r="BW77" i="2"/>
  <c r="BV77" i="2"/>
  <c r="BU77" i="2"/>
  <c r="BT77" i="2"/>
  <c r="BS77" i="2"/>
  <c r="BR77" i="2"/>
  <c r="BQ77" i="2"/>
  <c r="BP77" i="2"/>
  <c r="BO77" i="2"/>
  <c r="BN77" i="2"/>
  <c r="BM77" i="2"/>
  <c r="BL77" i="2"/>
  <c r="BK77" i="2"/>
  <c r="BJ77" i="2"/>
  <c r="BI77" i="2"/>
  <c r="BH77" i="2"/>
  <c r="BG77" i="2"/>
  <c r="BF77" i="2"/>
  <c r="BE77" i="2"/>
  <c r="BD77" i="2"/>
  <c r="BC77" i="2"/>
  <c r="BB77" i="2"/>
  <c r="BA77" i="2"/>
  <c r="AZ77" i="2"/>
  <c r="AY77" i="2"/>
  <c r="AX77" i="2"/>
  <c r="AW77" i="2"/>
  <c r="AV77" i="2"/>
  <c r="AU77" i="2"/>
  <c r="AT77" i="2"/>
  <c r="AS77" i="2"/>
  <c r="AR77" i="2"/>
  <c r="AQ77" i="2"/>
  <c r="AP77" i="2"/>
  <c r="AO77" i="2"/>
  <c r="AN77" i="2"/>
  <c r="AM77" i="2"/>
  <c r="AL77" i="2"/>
  <c r="AK77" i="2"/>
  <c r="AJ77" i="2"/>
  <c r="AI77" i="2"/>
  <c r="AH77" i="2"/>
  <c r="AG77" i="2"/>
  <c r="AF77" i="2"/>
  <c r="AE77" i="2"/>
  <c r="AD77" i="2"/>
  <c r="AC77" i="2"/>
  <c r="AB77" i="2"/>
  <c r="AA77" i="2"/>
  <c r="Z77" i="2"/>
  <c r="Y77" i="2"/>
  <c r="X77" i="2"/>
  <c r="W77" i="2"/>
  <c r="V77" i="2"/>
  <c r="U77" i="2"/>
  <c r="T77" i="2"/>
  <c r="S77" i="2"/>
  <c r="R77" i="2"/>
  <c r="Q77" i="2"/>
  <c r="P77" i="2"/>
  <c r="O77" i="2"/>
  <c r="N77" i="2"/>
  <c r="M77" i="2"/>
  <c r="L77" i="2"/>
  <c r="K77" i="2"/>
  <c r="J77" i="2"/>
  <c r="I77" i="2"/>
  <c r="H77" i="2"/>
  <c r="G77" i="2"/>
  <c r="F77" i="2"/>
  <c r="E77" i="2"/>
  <c r="D77" i="2"/>
  <c r="C77" i="2"/>
  <c r="B77" i="2"/>
  <c r="A77" i="2"/>
  <c r="DZ76" i="2"/>
  <c r="DQ76" i="2"/>
  <c r="DP76" i="2"/>
  <c r="DO76" i="2"/>
  <c r="DN76" i="2"/>
  <c r="DM76" i="2"/>
  <c r="DL76" i="2"/>
  <c r="DK76" i="2"/>
  <c r="DJ76" i="2"/>
  <c r="DI76" i="2"/>
  <c r="DH76" i="2"/>
  <c r="DG76" i="2"/>
  <c r="DF76" i="2"/>
  <c r="DE76" i="2"/>
  <c r="DD76" i="2"/>
  <c r="DC76" i="2"/>
  <c r="DB76" i="2"/>
  <c r="DA76" i="2"/>
  <c r="CZ76" i="2"/>
  <c r="CY76" i="2"/>
  <c r="CX76" i="2"/>
  <c r="CW76" i="2"/>
  <c r="CV76" i="2"/>
  <c r="CU76" i="2"/>
  <c r="CT76" i="2"/>
  <c r="CS76" i="2"/>
  <c r="CR76" i="2"/>
  <c r="CQ76" i="2"/>
  <c r="CP76" i="2"/>
  <c r="CO76" i="2"/>
  <c r="CN76" i="2"/>
  <c r="CM76" i="2"/>
  <c r="CL76" i="2"/>
  <c r="CK76" i="2"/>
  <c r="CJ76" i="2"/>
  <c r="CI76" i="2"/>
  <c r="CH76" i="2"/>
  <c r="CG76" i="2"/>
  <c r="CF76" i="2"/>
  <c r="CE76" i="2"/>
  <c r="CD76" i="2"/>
  <c r="CC76" i="2"/>
  <c r="CB76" i="2"/>
  <c r="CA76" i="2"/>
  <c r="BZ76" i="2"/>
  <c r="BY76" i="2"/>
  <c r="BX76" i="2"/>
  <c r="BW76" i="2"/>
  <c r="BV76" i="2"/>
  <c r="BU76" i="2"/>
  <c r="BT76" i="2"/>
  <c r="BS76" i="2"/>
  <c r="BR76" i="2"/>
  <c r="BQ76" i="2"/>
  <c r="BP76" i="2"/>
  <c r="BO76" i="2"/>
  <c r="BN76" i="2"/>
  <c r="BM76" i="2"/>
  <c r="BL76" i="2"/>
  <c r="BK76" i="2"/>
  <c r="BJ76" i="2"/>
  <c r="BI76" i="2"/>
  <c r="BH76" i="2"/>
  <c r="BG76" i="2"/>
  <c r="BF76" i="2"/>
  <c r="BE76" i="2"/>
  <c r="BD76" i="2"/>
  <c r="BC76" i="2"/>
  <c r="BB76" i="2"/>
  <c r="BA76" i="2"/>
  <c r="AZ76" i="2"/>
  <c r="AY76" i="2"/>
  <c r="AX76" i="2"/>
  <c r="AW76" i="2"/>
  <c r="AV76" i="2"/>
  <c r="AU76" i="2"/>
  <c r="AT76" i="2"/>
  <c r="AS76" i="2"/>
  <c r="AR76" i="2"/>
  <c r="AQ76" i="2"/>
  <c r="AP76" i="2"/>
  <c r="AO76" i="2"/>
  <c r="AN76" i="2"/>
  <c r="AM76" i="2"/>
  <c r="AL76" i="2"/>
  <c r="AK76" i="2"/>
  <c r="AJ76" i="2"/>
  <c r="AI76" i="2"/>
  <c r="AH76" i="2"/>
  <c r="AG76" i="2"/>
  <c r="AF76" i="2"/>
  <c r="AE76" i="2"/>
  <c r="AD76" i="2"/>
  <c r="AC76" i="2"/>
  <c r="AB76" i="2"/>
  <c r="AA76" i="2"/>
  <c r="Z76" i="2"/>
  <c r="Y76" i="2"/>
  <c r="X76" i="2"/>
  <c r="W76" i="2"/>
  <c r="V76" i="2"/>
  <c r="U76" i="2"/>
  <c r="T76" i="2"/>
  <c r="S76" i="2"/>
  <c r="R76" i="2"/>
  <c r="Q76" i="2"/>
  <c r="P76" i="2"/>
  <c r="O76" i="2"/>
  <c r="N76" i="2"/>
  <c r="M76" i="2"/>
  <c r="L76" i="2"/>
  <c r="K76" i="2"/>
  <c r="J76" i="2"/>
  <c r="I76" i="2"/>
  <c r="H76" i="2"/>
  <c r="G76" i="2"/>
  <c r="F76" i="2"/>
  <c r="E76" i="2"/>
  <c r="D76" i="2"/>
  <c r="C76" i="2"/>
  <c r="B76" i="2"/>
  <c r="A76" i="2"/>
  <c r="DZ75" i="2"/>
  <c r="DQ75" i="2"/>
  <c r="DP75" i="2"/>
  <c r="DO75" i="2"/>
  <c r="DN75" i="2"/>
  <c r="DM75" i="2"/>
  <c r="DL75" i="2"/>
  <c r="DK75" i="2"/>
  <c r="DJ75" i="2"/>
  <c r="DI75" i="2"/>
  <c r="DH75" i="2"/>
  <c r="DG75" i="2"/>
  <c r="DF75" i="2"/>
  <c r="DE75" i="2"/>
  <c r="DD75" i="2"/>
  <c r="DC75" i="2"/>
  <c r="DB75" i="2"/>
  <c r="DA75" i="2"/>
  <c r="CZ75" i="2"/>
  <c r="CY75" i="2"/>
  <c r="CX75" i="2"/>
  <c r="CW75" i="2"/>
  <c r="CV75" i="2"/>
  <c r="CU75" i="2"/>
  <c r="CT75" i="2"/>
  <c r="CS75" i="2"/>
  <c r="CR75" i="2"/>
  <c r="CQ75" i="2"/>
  <c r="CP75" i="2"/>
  <c r="CO75" i="2"/>
  <c r="CN75" i="2"/>
  <c r="CM75" i="2"/>
  <c r="CL75" i="2"/>
  <c r="CK75" i="2"/>
  <c r="CJ75" i="2"/>
  <c r="CI75" i="2"/>
  <c r="CH75" i="2"/>
  <c r="CG75" i="2"/>
  <c r="CF75" i="2"/>
  <c r="CE75" i="2"/>
  <c r="CD75" i="2"/>
  <c r="CC75" i="2"/>
  <c r="CB75" i="2"/>
  <c r="CA75" i="2"/>
  <c r="BZ75" i="2"/>
  <c r="BY75" i="2"/>
  <c r="BX75" i="2"/>
  <c r="BW75" i="2"/>
  <c r="BV75" i="2"/>
  <c r="BU75" i="2"/>
  <c r="BT75" i="2"/>
  <c r="BS75" i="2"/>
  <c r="BR75" i="2"/>
  <c r="BQ75" i="2"/>
  <c r="BP75" i="2"/>
  <c r="BO75" i="2"/>
  <c r="BN75" i="2"/>
  <c r="BM75" i="2"/>
  <c r="BL75" i="2"/>
  <c r="BK75" i="2"/>
  <c r="BJ75" i="2"/>
  <c r="BI75" i="2"/>
  <c r="BH75" i="2"/>
  <c r="BG75" i="2"/>
  <c r="BF75" i="2"/>
  <c r="BE75" i="2"/>
  <c r="BD75" i="2"/>
  <c r="BC75" i="2"/>
  <c r="BB75" i="2"/>
  <c r="BA75" i="2"/>
  <c r="AZ75" i="2"/>
  <c r="AY75" i="2"/>
  <c r="AX75" i="2"/>
  <c r="AW75" i="2"/>
  <c r="AV75" i="2"/>
  <c r="AU75" i="2"/>
  <c r="AT75" i="2"/>
  <c r="AS75" i="2"/>
  <c r="AR75" i="2"/>
  <c r="AQ75" i="2"/>
  <c r="AP75" i="2"/>
  <c r="AO75" i="2"/>
  <c r="AN75" i="2"/>
  <c r="AM75" i="2"/>
  <c r="AL75" i="2"/>
  <c r="AK75" i="2"/>
  <c r="AJ75" i="2"/>
  <c r="AI75" i="2"/>
  <c r="AH75" i="2"/>
  <c r="AG75" i="2"/>
  <c r="AF75" i="2"/>
  <c r="AE75" i="2"/>
  <c r="AD75" i="2"/>
  <c r="AC75" i="2"/>
  <c r="AB75" i="2"/>
  <c r="AA75" i="2"/>
  <c r="Z75" i="2"/>
  <c r="Y75" i="2"/>
  <c r="X75" i="2"/>
  <c r="W75" i="2"/>
  <c r="V75" i="2"/>
  <c r="U75" i="2"/>
  <c r="T75" i="2"/>
  <c r="S75" i="2"/>
  <c r="R75" i="2"/>
  <c r="Q75" i="2"/>
  <c r="P75" i="2"/>
  <c r="O75" i="2"/>
  <c r="N75" i="2"/>
  <c r="M75" i="2"/>
  <c r="L75" i="2"/>
  <c r="K75" i="2"/>
  <c r="J75" i="2"/>
  <c r="I75" i="2"/>
  <c r="H75" i="2"/>
  <c r="G75" i="2"/>
  <c r="F75" i="2"/>
  <c r="E75" i="2"/>
  <c r="D75" i="2"/>
  <c r="C75" i="2"/>
  <c r="B75" i="2"/>
  <c r="A75" i="2"/>
  <c r="DZ74" i="2"/>
  <c r="DQ74" i="2"/>
  <c r="DP74" i="2"/>
  <c r="DO74" i="2"/>
  <c r="DN74" i="2"/>
  <c r="DM74" i="2"/>
  <c r="DL74" i="2"/>
  <c r="DK74" i="2"/>
  <c r="DJ74" i="2"/>
  <c r="DI74" i="2"/>
  <c r="DH74" i="2"/>
  <c r="DG74" i="2"/>
  <c r="DF74" i="2"/>
  <c r="DE74" i="2"/>
  <c r="DD74" i="2"/>
  <c r="DC74" i="2"/>
  <c r="DB74" i="2"/>
  <c r="DA74" i="2"/>
  <c r="CZ74" i="2"/>
  <c r="CY74" i="2"/>
  <c r="CX74" i="2"/>
  <c r="CW74" i="2"/>
  <c r="CV74" i="2"/>
  <c r="CU74" i="2"/>
  <c r="CT74" i="2"/>
  <c r="CS74" i="2"/>
  <c r="CR74" i="2"/>
  <c r="CQ74" i="2"/>
  <c r="CP74" i="2"/>
  <c r="CO74" i="2"/>
  <c r="CN74" i="2"/>
  <c r="CM74" i="2"/>
  <c r="CL74" i="2"/>
  <c r="CK74" i="2"/>
  <c r="CJ74" i="2"/>
  <c r="CI74" i="2"/>
  <c r="CH74" i="2"/>
  <c r="CG74" i="2"/>
  <c r="CF74" i="2"/>
  <c r="CE74" i="2"/>
  <c r="CD74" i="2"/>
  <c r="CC74" i="2"/>
  <c r="CB74" i="2"/>
  <c r="CA74" i="2"/>
  <c r="BZ74" i="2"/>
  <c r="BY74" i="2"/>
  <c r="BX74" i="2"/>
  <c r="BW74" i="2"/>
  <c r="BV74" i="2"/>
  <c r="BU74" i="2"/>
  <c r="BT74" i="2"/>
  <c r="BS74" i="2"/>
  <c r="BR74" i="2"/>
  <c r="BQ74" i="2"/>
  <c r="BP74" i="2"/>
  <c r="BO74" i="2"/>
  <c r="BN74" i="2"/>
  <c r="BM74" i="2"/>
  <c r="BL74" i="2"/>
  <c r="BK74" i="2"/>
  <c r="BJ74" i="2"/>
  <c r="BI74" i="2"/>
  <c r="BH74" i="2"/>
  <c r="BG74" i="2"/>
  <c r="BF74" i="2"/>
  <c r="BE74" i="2"/>
  <c r="BD74" i="2"/>
  <c r="BC74" i="2"/>
  <c r="BB74" i="2"/>
  <c r="BA74" i="2"/>
  <c r="AZ74" i="2"/>
  <c r="AY74" i="2"/>
  <c r="AX74" i="2"/>
  <c r="AW74" i="2"/>
  <c r="AV74" i="2"/>
  <c r="AU74" i="2"/>
  <c r="AT74" i="2"/>
  <c r="AS74" i="2"/>
  <c r="AR74" i="2"/>
  <c r="AQ74" i="2"/>
  <c r="AP74" i="2"/>
  <c r="AO74" i="2"/>
  <c r="AN74" i="2"/>
  <c r="AM74" i="2"/>
  <c r="AL74" i="2"/>
  <c r="AK74" i="2"/>
  <c r="AJ74" i="2"/>
  <c r="AI74" i="2"/>
  <c r="AH74" i="2"/>
  <c r="AG74" i="2"/>
  <c r="AF74" i="2"/>
  <c r="AE74" i="2"/>
  <c r="AD74" i="2"/>
  <c r="AC74" i="2"/>
  <c r="AB74" i="2"/>
  <c r="AA74" i="2"/>
  <c r="Z74" i="2"/>
  <c r="Y74" i="2"/>
  <c r="X74" i="2"/>
  <c r="W74" i="2"/>
  <c r="V74" i="2"/>
  <c r="U74" i="2"/>
  <c r="T74" i="2"/>
  <c r="S74" i="2"/>
  <c r="R74" i="2"/>
  <c r="Q74" i="2"/>
  <c r="P74" i="2"/>
  <c r="O74" i="2"/>
  <c r="N74" i="2"/>
  <c r="M74" i="2"/>
  <c r="L74" i="2"/>
  <c r="K74" i="2"/>
  <c r="J74" i="2"/>
  <c r="I74" i="2"/>
  <c r="H74" i="2"/>
  <c r="G74" i="2"/>
  <c r="F74" i="2"/>
  <c r="E74" i="2"/>
  <c r="D74" i="2"/>
  <c r="C74" i="2"/>
  <c r="B74" i="2"/>
  <c r="A74" i="2"/>
  <c r="FH71" i="2"/>
  <c r="FG71" i="2"/>
  <c r="FF71" i="2"/>
  <c r="FE71" i="2"/>
  <c r="FD71" i="2"/>
  <c r="FC71" i="2"/>
  <c r="FB71" i="2"/>
  <c r="FA71" i="2"/>
  <c r="EZ71" i="2"/>
  <c r="EY71" i="2"/>
  <c r="EX71" i="2"/>
  <c r="EW71" i="2"/>
  <c r="EV71" i="2"/>
  <c r="EU71" i="2"/>
  <c r="ET71" i="2"/>
  <c r="ES71" i="2"/>
  <c r="ER71" i="2"/>
  <c r="EQ71" i="2"/>
  <c r="EP71" i="2"/>
  <c r="EO71" i="2"/>
  <c r="EN71" i="2"/>
  <c r="EM71" i="2"/>
  <c r="EL71" i="2"/>
  <c r="EK71" i="2"/>
  <c r="EJ71" i="2"/>
  <c r="EI71" i="2"/>
  <c r="EH71" i="2"/>
  <c r="EG71" i="2"/>
  <c r="EF71" i="2"/>
  <c r="EE71" i="2"/>
  <c r="ED71" i="2"/>
  <c r="EC71" i="2"/>
  <c r="EB71" i="2"/>
  <c r="FH70" i="2"/>
  <c r="FG70" i="2"/>
  <c r="FF70" i="2"/>
  <c r="FE70" i="2"/>
  <c r="FD70" i="2"/>
  <c r="FC70" i="2"/>
  <c r="FB70" i="2"/>
  <c r="FA70" i="2"/>
  <c r="EZ70" i="2"/>
  <c r="EY70" i="2"/>
  <c r="EX70" i="2"/>
  <c r="EW70" i="2"/>
  <c r="EV70" i="2"/>
  <c r="EU70" i="2"/>
  <c r="ET70" i="2"/>
  <c r="ES70" i="2"/>
  <c r="ER70" i="2"/>
  <c r="EQ70" i="2"/>
  <c r="EP70" i="2"/>
  <c r="EO70" i="2"/>
  <c r="EN70" i="2"/>
  <c r="EM70" i="2"/>
  <c r="EL70" i="2"/>
  <c r="EK70" i="2"/>
  <c r="EJ70" i="2"/>
  <c r="EI70" i="2"/>
  <c r="EH70" i="2"/>
  <c r="EG70" i="2"/>
  <c r="EF70" i="2"/>
  <c r="EE70" i="2"/>
  <c r="ED70" i="2"/>
  <c r="EC70" i="2"/>
  <c r="EB70" i="2"/>
  <c r="DQ71" i="2"/>
  <c r="DP71" i="2"/>
  <c r="DO71" i="2"/>
  <c r="DN71" i="2"/>
  <c r="DM71" i="2"/>
  <c r="DL71" i="2"/>
  <c r="DK71" i="2"/>
  <c r="DJ71" i="2"/>
  <c r="DI71" i="2"/>
  <c r="DH71" i="2"/>
  <c r="DG71" i="2"/>
  <c r="DF71" i="2"/>
  <c r="DE71" i="2"/>
  <c r="DD71" i="2"/>
  <c r="DC71" i="2"/>
  <c r="DB71" i="2"/>
  <c r="DA71" i="2"/>
  <c r="CZ71" i="2"/>
  <c r="CY71" i="2"/>
  <c r="CX71" i="2"/>
  <c r="CW71" i="2"/>
  <c r="CV71" i="2"/>
  <c r="CU71" i="2"/>
  <c r="CT71" i="2"/>
  <c r="CS71" i="2"/>
  <c r="CR71" i="2"/>
  <c r="CQ71" i="2"/>
  <c r="CP71" i="2"/>
  <c r="CO71" i="2"/>
  <c r="CN71" i="2"/>
  <c r="CM71" i="2"/>
  <c r="CL71" i="2"/>
  <c r="CK71" i="2"/>
  <c r="CJ71" i="2"/>
  <c r="CI71" i="2"/>
  <c r="CH71" i="2"/>
  <c r="CG71" i="2"/>
  <c r="CF71" i="2"/>
  <c r="CE71" i="2"/>
  <c r="CD71" i="2"/>
  <c r="CC71" i="2"/>
  <c r="CB71" i="2"/>
  <c r="CA71" i="2"/>
  <c r="BZ71" i="2"/>
  <c r="BY71" i="2"/>
  <c r="BX71" i="2"/>
  <c r="BW71" i="2"/>
  <c r="BV71" i="2"/>
  <c r="BU71" i="2"/>
  <c r="BT71" i="2"/>
  <c r="BS71" i="2"/>
  <c r="BR71" i="2"/>
  <c r="BQ71" i="2"/>
  <c r="BP71" i="2"/>
  <c r="BO71" i="2"/>
  <c r="BN71" i="2"/>
  <c r="BM71" i="2"/>
  <c r="BL71" i="2"/>
  <c r="BK71" i="2"/>
  <c r="BJ71" i="2"/>
  <c r="BI71" i="2"/>
  <c r="BH71" i="2"/>
  <c r="BG71" i="2"/>
  <c r="BF71" i="2"/>
  <c r="BE71" i="2"/>
  <c r="BD71" i="2"/>
  <c r="BC71" i="2"/>
  <c r="BB71" i="2"/>
  <c r="BA71" i="2"/>
  <c r="AZ71" i="2"/>
  <c r="AY71" i="2"/>
  <c r="AX71" i="2"/>
  <c r="AW71" i="2"/>
  <c r="AV71" i="2"/>
  <c r="AU71" i="2"/>
  <c r="AT71" i="2"/>
  <c r="AS71" i="2"/>
  <c r="AR71" i="2"/>
  <c r="AQ71" i="2"/>
  <c r="AP71" i="2"/>
  <c r="AO71" i="2"/>
  <c r="AN71" i="2"/>
  <c r="AM71" i="2"/>
  <c r="AL71" i="2"/>
  <c r="AK71" i="2"/>
  <c r="AJ71" i="2"/>
  <c r="AI71" i="2"/>
  <c r="AH71" i="2"/>
  <c r="AG71" i="2"/>
  <c r="AF71" i="2"/>
  <c r="AE71" i="2"/>
  <c r="AD71" i="2"/>
  <c r="AC71" i="2"/>
  <c r="AB71" i="2"/>
  <c r="AA71" i="2"/>
  <c r="Z71" i="2"/>
  <c r="Y71" i="2"/>
  <c r="X71" i="2"/>
  <c r="W71" i="2"/>
  <c r="V71" i="2"/>
  <c r="U71" i="2"/>
  <c r="T71" i="2"/>
  <c r="S71" i="2"/>
  <c r="R71" i="2"/>
  <c r="Q71" i="2"/>
  <c r="P71" i="2"/>
  <c r="O71" i="2"/>
  <c r="N71" i="2"/>
  <c r="M71" i="2"/>
  <c r="L71" i="2"/>
  <c r="K71" i="2"/>
  <c r="J71" i="2"/>
  <c r="I71" i="2"/>
  <c r="H71" i="2"/>
  <c r="G71" i="2"/>
  <c r="F71" i="2"/>
  <c r="E71" i="2"/>
  <c r="D71" i="2"/>
  <c r="C71" i="2"/>
  <c r="B71" i="2"/>
  <c r="A71" i="2"/>
  <c r="DQ70" i="2"/>
  <c r="DP70" i="2"/>
  <c r="DO70" i="2"/>
  <c r="DN70" i="2"/>
  <c r="DM70" i="2"/>
  <c r="DL70" i="2"/>
  <c r="DK70" i="2"/>
  <c r="DJ70" i="2"/>
  <c r="DI70" i="2"/>
  <c r="DH70" i="2"/>
  <c r="DG70" i="2"/>
  <c r="DF70" i="2"/>
  <c r="DE70" i="2"/>
  <c r="DD70" i="2"/>
  <c r="DC70" i="2"/>
  <c r="DB70" i="2"/>
  <c r="DA70" i="2"/>
  <c r="CZ70" i="2"/>
  <c r="CY70" i="2"/>
  <c r="CX70" i="2"/>
  <c r="CW70" i="2"/>
  <c r="CV70" i="2"/>
  <c r="CU70" i="2"/>
  <c r="CT70" i="2"/>
  <c r="CS70" i="2"/>
  <c r="CR70" i="2"/>
  <c r="CQ70" i="2"/>
  <c r="CP70" i="2"/>
  <c r="CO70" i="2"/>
  <c r="CN70" i="2"/>
  <c r="CM70" i="2"/>
  <c r="CL70" i="2"/>
  <c r="CK70" i="2"/>
  <c r="CJ70" i="2"/>
  <c r="CI70" i="2"/>
  <c r="CH70" i="2"/>
  <c r="CG70" i="2"/>
  <c r="CF70" i="2"/>
  <c r="CE70" i="2"/>
  <c r="CD70" i="2"/>
  <c r="CC70" i="2"/>
  <c r="CB70" i="2"/>
  <c r="CA70" i="2"/>
  <c r="BZ70" i="2"/>
  <c r="BY70" i="2"/>
  <c r="BX70" i="2"/>
  <c r="BW70" i="2"/>
  <c r="BV70" i="2"/>
  <c r="BU70" i="2"/>
  <c r="BT70" i="2"/>
  <c r="BS70" i="2"/>
  <c r="BR70" i="2"/>
  <c r="BQ70" i="2"/>
  <c r="BP70" i="2"/>
  <c r="BO70" i="2"/>
  <c r="BN70" i="2"/>
  <c r="BM70" i="2"/>
  <c r="BL70" i="2"/>
  <c r="BK70" i="2"/>
  <c r="BJ70" i="2"/>
  <c r="BI70" i="2"/>
  <c r="BH70" i="2"/>
  <c r="BG70" i="2"/>
  <c r="BF70" i="2"/>
  <c r="BE70" i="2"/>
  <c r="BD70" i="2"/>
  <c r="BC70" i="2"/>
  <c r="BB70" i="2"/>
  <c r="BA70" i="2"/>
  <c r="AZ70" i="2"/>
  <c r="AY70" i="2"/>
  <c r="AX70" i="2"/>
  <c r="AW70" i="2"/>
  <c r="AV70" i="2"/>
  <c r="AU70" i="2"/>
  <c r="AT70" i="2"/>
  <c r="AS70" i="2"/>
  <c r="AR70" i="2"/>
  <c r="AQ70" i="2"/>
  <c r="AP70" i="2"/>
  <c r="AO70" i="2"/>
  <c r="AN70" i="2"/>
  <c r="AM70" i="2"/>
  <c r="AL70" i="2"/>
  <c r="AK70" i="2"/>
  <c r="AJ70" i="2"/>
  <c r="AI70" i="2"/>
  <c r="AH70" i="2"/>
  <c r="AG70" i="2"/>
  <c r="AF70" i="2"/>
  <c r="AE70" i="2"/>
  <c r="AD70" i="2"/>
  <c r="AC70" i="2"/>
  <c r="AB70" i="2"/>
  <c r="AA70" i="2"/>
  <c r="Z70" i="2"/>
  <c r="Y70" i="2"/>
  <c r="X70" i="2"/>
  <c r="W70" i="2"/>
  <c r="V70" i="2"/>
  <c r="U70" i="2"/>
  <c r="T70" i="2"/>
  <c r="S70" i="2"/>
  <c r="R70" i="2"/>
  <c r="Q70" i="2"/>
  <c r="P70" i="2"/>
  <c r="O70" i="2"/>
  <c r="N70" i="2"/>
  <c r="M70" i="2"/>
  <c r="L70" i="2"/>
  <c r="K70" i="2"/>
  <c r="J70" i="2"/>
  <c r="I70" i="2"/>
  <c r="H70" i="2"/>
  <c r="G70" i="2"/>
  <c r="F70" i="2"/>
  <c r="E70" i="2"/>
  <c r="D70" i="2"/>
  <c r="C70" i="2"/>
  <c r="B70" i="2"/>
  <c r="A70" i="2"/>
  <c r="A65" i="2"/>
  <c r="FH58" i="2"/>
  <c r="FG58" i="2"/>
  <c r="FF58" i="2"/>
  <c r="FE58" i="2"/>
  <c r="FD58" i="2"/>
  <c r="FC58" i="2"/>
  <c r="FB58" i="2"/>
  <c r="FA58" i="2"/>
  <c r="EZ58" i="2"/>
  <c r="EY58" i="2"/>
  <c r="EX58" i="2"/>
  <c r="EW58" i="2"/>
  <c r="EV58" i="2"/>
  <c r="EU58" i="2"/>
  <c r="ET58" i="2"/>
  <c r="ES58" i="2"/>
  <c r="ER58" i="2"/>
  <c r="EQ58" i="2"/>
  <c r="EP58" i="2"/>
  <c r="EO58" i="2"/>
  <c r="EN58" i="2"/>
  <c r="EM58" i="2"/>
  <c r="EL58" i="2"/>
  <c r="EK58" i="2"/>
  <c r="EJ58" i="2"/>
  <c r="EI58" i="2"/>
  <c r="EH58" i="2"/>
  <c r="EG58" i="2"/>
  <c r="EF58" i="2"/>
  <c r="EE58" i="2"/>
  <c r="ED58" i="2"/>
  <c r="EC58" i="2"/>
  <c r="EB58" i="2"/>
  <c r="FS57" i="2"/>
  <c r="FR57" i="2"/>
  <c r="FQ57" i="2"/>
  <c r="FP57" i="2"/>
  <c r="FO57" i="2"/>
  <c r="FN57" i="2"/>
  <c r="FM57" i="2"/>
  <c r="FL57" i="2"/>
  <c r="FK57" i="2"/>
  <c r="FJ57" i="2"/>
  <c r="FI57" i="2"/>
  <c r="FH57" i="2"/>
  <c r="FG57" i="2"/>
  <c r="FF57" i="2"/>
  <c r="FE57" i="2"/>
  <c r="FD57" i="2"/>
  <c r="FC57" i="2"/>
  <c r="FB57" i="2"/>
  <c r="FA57" i="2"/>
  <c r="EZ57" i="2"/>
  <c r="EY57" i="2"/>
  <c r="EX57" i="2"/>
  <c r="EW57" i="2"/>
  <c r="EV57" i="2"/>
  <c r="EU57" i="2"/>
  <c r="ET57" i="2"/>
  <c r="ES57" i="2"/>
  <c r="ER57" i="2"/>
  <c r="EQ57" i="2"/>
  <c r="EP57" i="2"/>
  <c r="EO57" i="2"/>
  <c r="EN57" i="2"/>
  <c r="EM57" i="2"/>
  <c r="EL57" i="2"/>
  <c r="EK57" i="2"/>
  <c r="EJ57" i="2"/>
  <c r="EI57" i="2"/>
  <c r="EH57" i="2"/>
  <c r="EG57" i="2"/>
  <c r="EF57" i="2"/>
  <c r="EE57" i="2"/>
  <c r="ED57" i="2"/>
  <c r="EC57" i="2"/>
  <c r="EB57" i="2"/>
  <c r="DQ58" i="2"/>
  <c r="DP58" i="2"/>
  <c r="DO58" i="2"/>
  <c r="DN58" i="2"/>
  <c r="DM58" i="2"/>
  <c r="DL58" i="2"/>
  <c r="DK58" i="2"/>
  <c r="DJ58" i="2"/>
  <c r="DI58" i="2"/>
  <c r="DH58" i="2"/>
  <c r="DG58" i="2"/>
  <c r="DF58" i="2"/>
  <c r="DE58" i="2"/>
  <c r="DD58" i="2"/>
  <c r="DC58" i="2"/>
  <c r="DB58" i="2"/>
  <c r="DA58" i="2"/>
  <c r="CZ58" i="2"/>
  <c r="CY58" i="2"/>
  <c r="CX58" i="2"/>
  <c r="CW58" i="2"/>
  <c r="CV58" i="2"/>
  <c r="CU58" i="2"/>
  <c r="CT58" i="2"/>
  <c r="CS58" i="2"/>
  <c r="CR58" i="2"/>
  <c r="CQ58" i="2"/>
  <c r="CP58" i="2"/>
  <c r="CO58" i="2"/>
  <c r="CN58" i="2"/>
  <c r="CM58" i="2"/>
  <c r="CL58" i="2"/>
  <c r="CK58" i="2"/>
  <c r="CJ58" i="2"/>
  <c r="CI58" i="2"/>
  <c r="CH58" i="2"/>
  <c r="CG58" i="2"/>
  <c r="CF58" i="2"/>
  <c r="CE58" i="2"/>
  <c r="CD58" i="2"/>
  <c r="CC58" i="2"/>
  <c r="CB58" i="2"/>
  <c r="CA58" i="2"/>
  <c r="BZ58" i="2"/>
  <c r="BY58" i="2"/>
  <c r="BX58" i="2"/>
  <c r="BW58" i="2"/>
  <c r="BV58" i="2"/>
  <c r="BU58" i="2"/>
  <c r="BT58" i="2"/>
  <c r="BS58" i="2"/>
  <c r="BR58" i="2"/>
  <c r="BQ58" i="2"/>
  <c r="BP58" i="2"/>
  <c r="BO58" i="2"/>
  <c r="BN58" i="2"/>
  <c r="BM58" i="2"/>
  <c r="BL58" i="2"/>
  <c r="BK58" i="2"/>
  <c r="BJ58" i="2"/>
  <c r="BI58" i="2"/>
  <c r="BH58" i="2"/>
  <c r="BG58" i="2"/>
  <c r="BF58" i="2"/>
  <c r="BE58" i="2"/>
  <c r="BD58" i="2"/>
  <c r="BC58" i="2"/>
  <c r="BB58" i="2"/>
  <c r="BA58" i="2"/>
  <c r="AZ58" i="2"/>
  <c r="AY58" i="2"/>
  <c r="AX58" i="2"/>
  <c r="AW58" i="2"/>
  <c r="AV58" i="2"/>
  <c r="AU58" i="2"/>
  <c r="AT58" i="2"/>
  <c r="AS58" i="2"/>
  <c r="AR58" i="2"/>
  <c r="AQ58" i="2"/>
  <c r="AP58" i="2"/>
  <c r="AO58" i="2"/>
  <c r="AN58" i="2"/>
  <c r="AM58" i="2"/>
  <c r="AL58" i="2"/>
  <c r="AK58" i="2"/>
  <c r="AJ58" i="2"/>
  <c r="AI58" i="2"/>
  <c r="AH58" i="2"/>
  <c r="AG58" i="2"/>
  <c r="AF58" i="2"/>
  <c r="AE58" i="2"/>
  <c r="AD58" i="2"/>
  <c r="AC58" i="2"/>
  <c r="AB58" i="2"/>
  <c r="AA58" i="2"/>
  <c r="Z58" i="2"/>
  <c r="Y58" i="2"/>
  <c r="X58" i="2"/>
  <c r="W58" i="2"/>
  <c r="V58" i="2"/>
  <c r="U58" i="2"/>
  <c r="T58" i="2"/>
  <c r="S58" i="2"/>
  <c r="R58" i="2"/>
  <c r="Q58" i="2"/>
  <c r="P58" i="2"/>
  <c r="O58" i="2"/>
  <c r="N58" i="2"/>
  <c r="M58" i="2"/>
  <c r="L58" i="2"/>
  <c r="K58" i="2"/>
  <c r="J58" i="2"/>
  <c r="I58" i="2"/>
  <c r="H58" i="2"/>
  <c r="G58" i="2"/>
  <c r="F58" i="2"/>
  <c r="E58" i="2"/>
  <c r="D58" i="2"/>
  <c r="C58" i="2"/>
  <c r="B58" i="2"/>
  <c r="A58" i="2"/>
  <c r="DY57" i="2"/>
  <c r="DX57" i="2"/>
  <c r="DW57" i="2"/>
  <c r="DV57" i="2"/>
  <c r="DU57" i="2"/>
  <c r="DT57" i="2"/>
  <c r="DS57" i="2"/>
  <c r="DR57" i="2"/>
  <c r="DQ57" i="2"/>
  <c r="DP57" i="2"/>
  <c r="DO57" i="2"/>
  <c r="DN57" i="2"/>
  <c r="DM57" i="2"/>
  <c r="DL57" i="2"/>
  <c r="DK57" i="2"/>
  <c r="DJ57" i="2"/>
  <c r="DI57" i="2"/>
  <c r="DH57" i="2"/>
  <c r="DG57" i="2"/>
  <c r="DF57" i="2"/>
  <c r="DE57" i="2"/>
  <c r="DD57" i="2"/>
  <c r="DC57" i="2"/>
  <c r="DB57" i="2"/>
  <c r="DA57" i="2"/>
  <c r="CZ57" i="2"/>
  <c r="CY57" i="2"/>
  <c r="CX57" i="2"/>
  <c r="CW57" i="2"/>
  <c r="CV57" i="2"/>
  <c r="CU57" i="2"/>
  <c r="CT57" i="2"/>
  <c r="CS57" i="2"/>
  <c r="CR57" i="2"/>
  <c r="CQ57" i="2"/>
  <c r="CP57" i="2"/>
  <c r="CO57" i="2"/>
  <c r="CN57" i="2"/>
  <c r="CM57" i="2"/>
  <c r="CL57" i="2"/>
  <c r="CK57" i="2"/>
  <c r="CJ57" i="2"/>
  <c r="CI57" i="2"/>
  <c r="CH57" i="2"/>
  <c r="CG57" i="2"/>
  <c r="CF57" i="2"/>
  <c r="CE57" i="2"/>
  <c r="CD57" i="2"/>
  <c r="CC57" i="2"/>
  <c r="CB57" i="2"/>
  <c r="CA57" i="2"/>
  <c r="BZ57" i="2"/>
  <c r="BY57" i="2"/>
  <c r="BX57" i="2"/>
  <c r="BW57" i="2"/>
  <c r="BV57" i="2"/>
  <c r="BU57" i="2"/>
  <c r="BT57" i="2"/>
  <c r="BS57" i="2"/>
  <c r="BR57" i="2"/>
  <c r="BQ57" i="2"/>
  <c r="BP57" i="2"/>
  <c r="BO57" i="2"/>
  <c r="BN57" i="2"/>
  <c r="BM57" i="2"/>
  <c r="BL57" i="2"/>
  <c r="BK57" i="2"/>
  <c r="BJ57" i="2"/>
  <c r="BI57" i="2"/>
  <c r="BH57" i="2"/>
  <c r="BG57" i="2"/>
  <c r="BF57" i="2"/>
  <c r="BE57" i="2"/>
  <c r="BD57" i="2"/>
  <c r="BC57" i="2"/>
  <c r="BB57" i="2"/>
  <c r="BA57" i="2"/>
  <c r="AZ57" i="2"/>
  <c r="AY57" i="2"/>
  <c r="AX57" i="2"/>
  <c r="AW57" i="2"/>
  <c r="AV57" i="2"/>
  <c r="AU57" i="2"/>
  <c r="AT57" i="2"/>
  <c r="AS57" i="2"/>
  <c r="AR57" i="2"/>
  <c r="AQ57" i="2"/>
  <c r="AP57" i="2"/>
  <c r="AO57" i="2"/>
  <c r="AN57" i="2"/>
  <c r="AM57" i="2"/>
  <c r="AL57" i="2"/>
  <c r="AK57" i="2"/>
  <c r="AJ57" i="2"/>
  <c r="AI57" i="2"/>
  <c r="AH57" i="2"/>
  <c r="AG57" i="2"/>
  <c r="AF57" i="2"/>
  <c r="AE57" i="2"/>
  <c r="AD57" i="2"/>
  <c r="AC57" i="2"/>
  <c r="AB57" i="2"/>
  <c r="AA57" i="2"/>
  <c r="Z57" i="2"/>
  <c r="Y57" i="2"/>
  <c r="X57" i="2"/>
  <c r="W57" i="2"/>
  <c r="V57" i="2"/>
  <c r="U57" i="2"/>
  <c r="T57" i="2"/>
  <c r="S57" i="2"/>
  <c r="R57" i="2"/>
  <c r="Q57" i="2"/>
  <c r="P57" i="2"/>
  <c r="O57" i="2"/>
  <c r="N57" i="2"/>
  <c r="M57" i="2"/>
  <c r="L57" i="2"/>
  <c r="K57" i="2"/>
  <c r="J57" i="2"/>
  <c r="I57" i="2"/>
  <c r="H57" i="2"/>
  <c r="G57" i="2"/>
  <c r="F57" i="2"/>
  <c r="E57" i="2"/>
  <c r="D57" i="2"/>
  <c r="C57" i="2"/>
  <c r="B57" i="2"/>
  <c r="A57" i="2"/>
  <c r="FH54" i="2"/>
  <c r="FG54" i="2"/>
  <c r="FF54" i="2"/>
  <c r="FE54" i="2"/>
  <c r="FD54" i="2"/>
  <c r="FC54" i="2"/>
  <c r="FB54" i="2"/>
  <c r="FA54" i="2"/>
  <c r="EZ54" i="2"/>
  <c r="EY54" i="2"/>
  <c r="EX54" i="2"/>
  <c r="EW54" i="2"/>
  <c r="EV54" i="2"/>
  <c r="EU54" i="2"/>
  <c r="ET54" i="2"/>
  <c r="ES54" i="2"/>
  <c r="ER54" i="2"/>
  <c r="EQ54" i="2"/>
  <c r="EP54" i="2"/>
  <c r="EO54" i="2"/>
  <c r="EN54" i="2"/>
  <c r="EM54" i="2"/>
  <c r="EL54" i="2"/>
  <c r="EK54" i="2"/>
  <c r="EJ54" i="2"/>
  <c r="EI54" i="2"/>
  <c r="EH54" i="2"/>
  <c r="EG54" i="2"/>
  <c r="EF54" i="2"/>
  <c r="EE54" i="2"/>
  <c r="ED54" i="2"/>
  <c r="EC54" i="2"/>
  <c r="EB54" i="2"/>
  <c r="FH53" i="2"/>
  <c r="FG53" i="2"/>
  <c r="FF53" i="2"/>
  <c r="FE53" i="2"/>
  <c r="FD53" i="2"/>
  <c r="FC53" i="2"/>
  <c r="FB53" i="2"/>
  <c r="FA53" i="2"/>
  <c r="EZ53" i="2"/>
  <c r="EY53" i="2"/>
  <c r="EX53" i="2"/>
  <c r="EW53" i="2"/>
  <c r="EV53" i="2"/>
  <c r="EU53" i="2"/>
  <c r="ET53" i="2"/>
  <c r="ES53" i="2"/>
  <c r="ER53" i="2"/>
  <c r="EQ53" i="2"/>
  <c r="EP53" i="2"/>
  <c r="EO53" i="2"/>
  <c r="EN53" i="2"/>
  <c r="EM53" i="2"/>
  <c r="EL53" i="2"/>
  <c r="EK53" i="2"/>
  <c r="EJ53" i="2"/>
  <c r="EI53" i="2"/>
  <c r="EH53" i="2"/>
  <c r="EG53" i="2"/>
  <c r="EF53" i="2"/>
  <c r="EE53" i="2"/>
  <c r="ED53" i="2"/>
  <c r="EC53" i="2"/>
  <c r="EB53" i="2"/>
  <c r="DQ54" i="2"/>
  <c r="DP54" i="2"/>
  <c r="DO54" i="2"/>
  <c r="DN54" i="2"/>
  <c r="DM54" i="2"/>
  <c r="DL54" i="2"/>
  <c r="DK54" i="2"/>
  <c r="DJ54" i="2"/>
  <c r="DI54" i="2"/>
  <c r="DH54" i="2"/>
  <c r="DG54" i="2"/>
  <c r="DF54" i="2"/>
  <c r="DE54" i="2"/>
  <c r="DD54" i="2"/>
  <c r="DC54" i="2"/>
  <c r="DB54" i="2"/>
  <c r="DA54" i="2"/>
  <c r="CZ54" i="2"/>
  <c r="CY54" i="2"/>
  <c r="CX54" i="2"/>
  <c r="CW54" i="2"/>
  <c r="CV54" i="2"/>
  <c r="CU54" i="2"/>
  <c r="CT54" i="2"/>
  <c r="CS54" i="2"/>
  <c r="CR54" i="2"/>
  <c r="CQ54" i="2"/>
  <c r="CP54" i="2"/>
  <c r="CO54" i="2"/>
  <c r="CN54" i="2"/>
  <c r="CM54" i="2"/>
  <c r="CL54" i="2"/>
  <c r="CK54" i="2"/>
  <c r="CJ54" i="2"/>
  <c r="CI54" i="2"/>
  <c r="CH54" i="2"/>
  <c r="CG54" i="2"/>
  <c r="CF54" i="2"/>
  <c r="CE54" i="2"/>
  <c r="CD54" i="2"/>
  <c r="CC54" i="2"/>
  <c r="CB54" i="2"/>
  <c r="CA54" i="2"/>
  <c r="BZ54" i="2"/>
  <c r="BY54" i="2"/>
  <c r="BX54" i="2"/>
  <c r="BW54" i="2"/>
  <c r="BV54" i="2"/>
  <c r="BU54" i="2"/>
  <c r="BT54" i="2"/>
  <c r="BS54" i="2"/>
  <c r="BR54" i="2"/>
  <c r="BQ54" i="2"/>
  <c r="BP54" i="2"/>
  <c r="BO54" i="2"/>
  <c r="BN54" i="2"/>
  <c r="BM54" i="2"/>
  <c r="BL54" i="2"/>
  <c r="BK54" i="2"/>
  <c r="BJ54" i="2"/>
  <c r="BI54" i="2"/>
  <c r="BH54" i="2"/>
  <c r="BG54" i="2"/>
  <c r="BF54" i="2"/>
  <c r="BE54" i="2"/>
  <c r="BD54" i="2"/>
  <c r="BC54" i="2"/>
  <c r="BB54" i="2"/>
  <c r="BA54" i="2"/>
  <c r="AZ54" i="2"/>
  <c r="AY54" i="2"/>
  <c r="AX54" i="2"/>
  <c r="AW54" i="2"/>
  <c r="AV54" i="2"/>
  <c r="AU54" i="2"/>
  <c r="AT54" i="2"/>
  <c r="AS54" i="2"/>
  <c r="AR54" i="2"/>
  <c r="AQ54" i="2"/>
  <c r="AP54" i="2"/>
  <c r="AO54" i="2"/>
  <c r="AN54" i="2"/>
  <c r="AM54" i="2"/>
  <c r="AL54" i="2"/>
  <c r="AK54" i="2"/>
  <c r="AJ54" i="2"/>
  <c r="AI54" i="2"/>
  <c r="AH54" i="2"/>
  <c r="AG54" i="2"/>
  <c r="AF54" i="2"/>
  <c r="AE54" i="2"/>
  <c r="AD54" i="2"/>
  <c r="AC54" i="2"/>
  <c r="AB54" i="2"/>
  <c r="AA54" i="2"/>
  <c r="Z54" i="2"/>
  <c r="Y54" i="2"/>
  <c r="X54" i="2"/>
  <c r="W54" i="2"/>
  <c r="V54" i="2"/>
  <c r="U54" i="2"/>
  <c r="T54" i="2"/>
  <c r="S54" i="2"/>
  <c r="R54" i="2"/>
  <c r="Q54" i="2"/>
  <c r="P54" i="2"/>
  <c r="O54" i="2"/>
  <c r="N54" i="2"/>
  <c r="M54" i="2"/>
  <c r="L54" i="2"/>
  <c r="K54" i="2"/>
  <c r="J54" i="2"/>
  <c r="I54" i="2"/>
  <c r="H54" i="2"/>
  <c r="G54" i="2"/>
  <c r="F54" i="2"/>
  <c r="E54" i="2"/>
  <c r="D54" i="2"/>
  <c r="C54" i="2"/>
  <c r="B54" i="2"/>
  <c r="A54" i="2"/>
  <c r="DQ53" i="2"/>
  <c r="DP53" i="2"/>
  <c r="DO53" i="2"/>
  <c r="DN53" i="2"/>
  <c r="DM53" i="2"/>
  <c r="DL53" i="2"/>
  <c r="DK53" i="2"/>
  <c r="DJ53" i="2"/>
  <c r="DI53" i="2"/>
  <c r="DH53" i="2"/>
  <c r="DG53" i="2"/>
  <c r="DF53" i="2"/>
  <c r="DE53" i="2"/>
  <c r="DD53" i="2"/>
  <c r="DC53" i="2"/>
  <c r="DB53" i="2"/>
  <c r="DA53" i="2"/>
  <c r="CZ53" i="2"/>
  <c r="CY53" i="2"/>
  <c r="CX53" i="2"/>
  <c r="CW53" i="2"/>
  <c r="CV53" i="2"/>
  <c r="CU53" i="2"/>
  <c r="CT53" i="2"/>
  <c r="CS53" i="2"/>
  <c r="CR53" i="2"/>
  <c r="CQ53" i="2"/>
  <c r="CP53" i="2"/>
  <c r="CO53" i="2"/>
  <c r="CN53" i="2"/>
  <c r="CM53" i="2"/>
  <c r="CL53" i="2"/>
  <c r="CK53" i="2"/>
  <c r="CJ53" i="2"/>
  <c r="CI53" i="2"/>
  <c r="CH53" i="2"/>
  <c r="CG53" i="2"/>
  <c r="CF53" i="2"/>
  <c r="CE53" i="2"/>
  <c r="CD53" i="2"/>
  <c r="CC53" i="2"/>
  <c r="CB53" i="2"/>
  <c r="CA53" i="2"/>
  <c r="BZ53" i="2"/>
  <c r="BY53" i="2"/>
  <c r="BX53" i="2"/>
  <c r="BW53" i="2"/>
  <c r="BV53" i="2"/>
  <c r="BU53" i="2"/>
  <c r="BT53" i="2"/>
  <c r="BS53" i="2"/>
  <c r="BR53" i="2"/>
  <c r="BQ53" i="2"/>
  <c r="BP53" i="2"/>
  <c r="BO53" i="2"/>
  <c r="BN53" i="2"/>
  <c r="BM53" i="2"/>
  <c r="BL53" i="2"/>
  <c r="BK53" i="2"/>
  <c r="BJ53" i="2"/>
  <c r="BI53" i="2"/>
  <c r="BH53" i="2"/>
  <c r="BG53" i="2"/>
  <c r="BF53" i="2"/>
  <c r="BE53" i="2"/>
  <c r="BD53" i="2"/>
  <c r="BC53" i="2"/>
  <c r="BB53" i="2"/>
  <c r="BA53" i="2"/>
  <c r="AZ53" i="2"/>
  <c r="AY53" i="2"/>
  <c r="AX53" i="2"/>
  <c r="AW53" i="2"/>
  <c r="AV53" i="2"/>
  <c r="AU53" i="2"/>
  <c r="AT53" i="2"/>
  <c r="AS53" i="2"/>
  <c r="AR53" i="2"/>
  <c r="AQ53" i="2"/>
  <c r="AP53" i="2"/>
  <c r="AO53" i="2"/>
  <c r="AN53" i="2"/>
  <c r="AM53" i="2"/>
  <c r="AL53" i="2"/>
  <c r="AK53" i="2"/>
  <c r="AJ53" i="2"/>
  <c r="AI53" i="2"/>
  <c r="AH53" i="2"/>
  <c r="AG53" i="2"/>
  <c r="AF53" i="2"/>
  <c r="AE53" i="2"/>
  <c r="AD53" i="2"/>
  <c r="AC53" i="2"/>
  <c r="AB53" i="2"/>
  <c r="AA53" i="2"/>
  <c r="Z53" i="2"/>
  <c r="Y53" i="2"/>
  <c r="X53" i="2"/>
  <c r="W53" i="2"/>
  <c r="V53" i="2"/>
  <c r="U53" i="2"/>
  <c r="T53" i="2"/>
  <c r="S53" i="2"/>
  <c r="R53" i="2"/>
  <c r="Q53" i="2"/>
  <c r="P53" i="2"/>
  <c r="O53" i="2"/>
  <c r="N53" i="2"/>
  <c r="M53" i="2"/>
  <c r="L53" i="2"/>
  <c r="K53" i="2"/>
  <c r="J53" i="2"/>
  <c r="I53" i="2"/>
  <c r="H53" i="2"/>
  <c r="G53" i="2"/>
  <c r="F53" i="2"/>
  <c r="E53" i="2"/>
  <c r="D53" i="2"/>
  <c r="C53" i="2"/>
  <c r="B53" i="2"/>
  <c r="A53" i="2"/>
  <c r="FH51" i="2"/>
  <c r="FG51" i="2"/>
  <c r="FF51" i="2"/>
  <c r="FE51" i="2"/>
  <c r="FD51" i="2"/>
  <c r="FC51" i="2"/>
  <c r="FB51" i="2"/>
  <c r="FA51" i="2"/>
  <c r="EZ51" i="2"/>
  <c r="EY51" i="2"/>
  <c r="EX51" i="2"/>
  <c r="EW51" i="2"/>
  <c r="EV51" i="2"/>
  <c r="EU51" i="2"/>
  <c r="ET51" i="2"/>
  <c r="ES51" i="2"/>
  <c r="ER51" i="2"/>
  <c r="EQ51" i="2"/>
  <c r="EP51" i="2"/>
  <c r="EO51" i="2"/>
  <c r="EN51" i="2"/>
  <c r="EM51" i="2"/>
  <c r="EL51" i="2"/>
  <c r="EK51" i="2"/>
  <c r="EJ51" i="2"/>
  <c r="EI51" i="2"/>
  <c r="EH51" i="2"/>
  <c r="EG51" i="2"/>
  <c r="EF51" i="2"/>
  <c r="EE51" i="2"/>
  <c r="ED51" i="2"/>
  <c r="EC51" i="2"/>
  <c r="EB51" i="2"/>
  <c r="FH50" i="2"/>
  <c r="FG50" i="2"/>
  <c r="FF50" i="2"/>
  <c r="FE50" i="2"/>
  <c r="FD50" i="2"/>
  <c r="FC50" i="2"/>
  <c r="FB50" i="2"/>
  <c r="FA50" i="2"/>
  <c r="EZ50" i="2"/>
  <c r="EY50" i="2"/>
  <c r="EX50" i="2"/>
  <c r="EW50" i="2"/>
  <c r="EV50" i="2"/>
  <c r="EU50" i="2"/>
  <c r="ET50" i="2"/>
  <c r="ES50" i="2"/>
  <c r="ER50" i="2"/>
  <c r="EQ50" i="2"/>
  <c r="EP50" i="2"/>
  <c r="EO50" i="2"/>
  <c r="EN50" i="2"/>
  <c r="EM50" i="2"/>
  <c r="EL50" i="2"/>
  <c r="EK50" i="2"/>
  <c r="EJ50" i="2"/>
  <c r="EI50" i="2"/>
  <c r="EH50" i="2"/>
  <c r="EG50" i="2"/>
  <c r="EF50" i="2"/>
  <c r="EE50" i="2"/>
  <c r="ED50" i="2"/>
  <c r="EC50" i="2"/>
  <c r="EB50" i="2"/>
  <c r="DQ51" i="2"/>
  <c r="DP51" i="2"/>
  <c r="DO51" i="2"/>
  <c r="DN51" i="2"/>
  <c r="DM51" i="2"/>
  <c r="DL51" i="2"/>
  <c r="DK51" i="2"/>
  <c r="DJ51" i="2"/>
  <c r="DI51" i="2"/>
  <c r="DH51" i="2"/>
  <c r="DG51" i="2"/>
  <c r="DF51" i="2"/>
  <c r="DE51" i="2"/>
  <c r="DD51" i="2"/>
  <c r="DC51" i="2"/>
  <c r="DB51" i="2"/>
  <c r="DA51" i="2"/>
  <c r="CZ51" i="2"/>
  <c r="CY51" i="2"/>
  <c r="CX51" i="2"/>
  <c r="CW51" i="2"/>
  <c r="CV51" i="2"/>
  <c r="CU51" i="2"/>
  <c r="CT51" i="2"/>
  <c r="CS51" i="2"/>
  <c r="CR51" i="2"/>
  <c r="CQ51" i="2"/>
  <c r="CP51" i="2"/>
  <c r="CO51" i="2"/>
  <c r="CN51" i="2"/>
  <c r="CM51" i="2"/>
  <c r="CL51" i="2"/>
  <c r="CK51" i="2"/>
  <c r="CJ51" i="2"/>
  <c r="CI51" i="2"/>
  <c r="CH51" i="2"/>
  <c r="CG51" i="2"/>
  <c r="CF51" i="2"/>
  <c r="CE51" i="2"/>
  <c r="CD51" i="2"/>
  <c r="CC51" i="2"/>
  <c r="CB51" i="2"/>
  <c r="CA51" i="2"/>
  <c r="BZ51" i="2"/>
  <c r="BY51" i="2"/>
  <c r="BX51" i="2"/>
  <c r="BW51" i="2"/>
  <c r="BV51" i="2"/>
  <c r="DQ50" i="2"/>
  <c r="DP50" i="2"/>
  <c r="DO50" i="2"/>
  <c r="DN50" i="2"/>
  <c r="DM50" i="2"/>
  <c r="DL50" i="2"/>
  <c r="DK50" i="2"/>
  <c r="DJ50" i="2"/>
  <c r="DI50" i="2"/>
  <c r="DH50" i="2"/>
  <c r="DG50" i="2"/>
  <c r="DF50" i="2"/>
  <c r="DE50" i="2"/>
  <c r="DD50" i="2"/>
  <c r="DC50" i="2"/>
  <c r="DB50" i="2"/>
  <c r="DA50" i="2"/>
  <c r="CZ50" i="2"/>
  <c r="CY50" i="2"/>
  <c r="CX50" i="2"/>
  <c r="CW50" i="2"/>
  <c r="CV50" i="2"/>
  <c r="CU50" i="2"/>
  <c r="CT50" i="2"/>
  <c r="CS50" i="2"/>
  <c r="CR50" i="2"/>
  <c r="CQ50" i="2"/>
  <c r="CP50" i="2"/>
  <c r="CO50" i="2"/>
  <c r="CN50" i="2"/>
  <c r="CM50" i="2"/>
  <c r="CL50" i="2"/>
  <c r="CK50" i="2"/>
  <c r="CJ50" i="2"/>
  <c r="CI50" i="2"/>
  <c r="CH50" i="2"/>
  <c r="CG50" i="2"/>
  <c r="CF50" i="2"/>
  <c r="CE50" i="2"/>
  <c r="CD50" i="2"/>
  <c r="CC50" i="2"/>
  <c r="CB50" i="2"/>
  <c r="CA50" i="2"/>
  <c r="BZ50" i="2"/>
  <c r="BY50" i="2"/>
  <c r="BX50" i="2"/>
  <c r="BW50" i="2"/>
  <c r="BV50" i="2"/>
  <c r="BU50" i="2"/>
  <c r="BT50" i="2"/>
  <c r="BS50" i="2"/>
  <c r="BR50" i="2"/>
  <c r="BQ50" i="2"/>
  <c r="BP50" i="2"/>
  <c r="BO50" i="2"/>
  <c r="BN50" i="2"/>
  <c r="BM50" i="2"/>
  <c r="BL50" i="2"/>
  <c r="BK50" i="2"/>
  <c r="BJ50" i="2"/>
  <c r="BI50" i="2"/>
  <c r="BH50" i="2"/>
  <c r="BG50" i="2"/>
  <c r="BF50" i="2"/>
  <c r="BE50" i="2"/>
  <c r="BD50" i="2"/>
  <c r="BC50" i="2"/>
  <c r="BB50" i="2"/>
  <c r="BA50" i="2"/>
  <c r="AZ50" i="2"/>
  <c r="AY50" i="2"/>
  <c r="AX50" i="2"/>
  <c r="AW50" i="2"/>
  <c r="AV50" i="2"/>
  <c r="AU50" i="2"/>
  <c r="AT50" i="2"/>
  <c r="AS50" i="2"/>
  <c r="AR50" i="2"/>
  <c r="AQ50" i="2"/>
  <c r="AP50" i="2"/>
  <c r="AO50" i="2"/>
  <c r="AN50" i="2"/>
  <c r="AM50" i="2"/>
  <c r="AL50" i="2"/>
  <c r="AK50" i="2"/>
  <c r="AJ50" i="2"/>
  <c r="AI50" i="2"/>
  <c r="AH50" i="2"/>
  <c r="AG50" i="2"/>
  <c r="AF50" i="2"/>
  <c r="AE50" i="2"/>
  <c r="AD50" i="2"/>
  <c r="AC50" i="2"/>
  <c r="AB50" i="2"/>
  <c r="AA50" i="2"/>
  <c r="Z50" i="2"/>
  <c r="Y50" i="2"/>
  <c r="X50" i="2"/>
  <c r="W50" i="2"/>
  <c r="V50" i="2"/>
  <c r="U50" i="2"/>
  <c r="T50" i="2"/>
  <c r="S50" i="2"/>
  <c r="R50" i="2"/>
  <c r="Q50" i="2"/>
  <c r="P50" i="2"/>
  <c r="O50" i="2"/>
  <c r="N50" i="2"/>
  <c r="M50" i="2"/>
  <c r="L50" i="2"/>
  <c r="K50" i="2"/>
  <c r="J50" i="2"/>
  <c r="I50" i="2"/>
  <c r="H50" i="2"/>
  <c r="G50" i="2"/>
  <c r="F50" i="2"/>
  <c r="E50" i="2"/>
  <c r="D50" i="2"/>
  <c r="C50" i="2"/>
  <c r="B50" i="2"/>
  <c r="A50" i="2"/>
  <c r="A49" i="2"/>
  <c r="FG46" i="2"/>
  <c r="FE46" i="2"/>
  <c r="FC46" i="2"/>
  <c r="FA46" i="2"/>
  <c r="EY46" i="2"/>
  <c r="EW46" i="2"/>
  <c r="EU46" i="2"/>
  <c r="ES46" i="2"/>
  <c r="DP46" i="2"/>
  <c r="DN46" i="2"/>
  <c r="DL46" i="2"/>
  <c r="DJ46" i="2"/>
  <c r="DH46" i="2"/>
  <c r="DF46" i="2"/>
  <c r="DD46" i="2"/>
  <c r="DB46" i="2"/>
  <c r="CZ46" i="2"/>
  <c r="CX46" i="2"/>
  <c r="CV46" i="2"/>
  <c r="CT46" i="2"/>
  <c r="CR46" i="2"/>
  <c r="CP46" i="2"/>
  <c r="CN46" i="2"/>
  <c r="CL46" i="2"/>
  <c r="CJ46" i="2"/>
  <c r="CH46" i="2"/>
  <c r="CF46" i="2"/>
  <c r="CD46" i="2"/>
  <c r="CB46" i="2"/>
  <c r="BZ46" i="2"/>
  <c r="BX46" i="2"/>
  <c r="BV46" i="2"/>
  <c r="BT46" i="2"/>
  <c r="BR46" i="2"/>
  <c r="BP46" i="2"/>
  <c r="BN46" i="2"/>
  <c r="FH46" i="2"/>
  <c r="FF46" i="2"/>
  <c r="FD46" i="2"/>
  <c r="FB46" i="2"/>
  <c r="EZ46" i="2"/>
  <c r="EX46" i="2"/>
  <c r="EV46" i="2"/>
  <c r="ET46" i="2"/>
  <c r="ER46" i="2"/>
  <c r="EQ46" i="2"/>
  <c r="EP46" i="2"/>
  <c r="EO46" i="2"/>
  <c r="EN46" i="2"/>
  <c r="EM46" i="2"/>
  <c r="EL46" i="2"/>
  <c r="EK46" i="2"/>
  <c r="EJ46" i="2"/>
  <c r="EI46" i="2"/>
  <c r="EH46" i="2"/>
  <c r="EG46" i="2"/>
  <c r="EF46" i="2"/>
  <c r="EE46" i="2"/>
  <c r="ED46" i="2"/>
  <c r="EC46" i="2"/>
  <c r="EB46" i="2"/>
  <c r="DQ46" i="2"/>
  <c r="DO46" i="2"/>
  <c r="DM46" i="2"/>
  <c r="DK46" i="2"/>
  <c r="DI46" i="2"/>
  <c r="DG46" i="2"/>
  <c r="DE46" i="2"/>
  <c r="DC46" i="2"/>
  <c r="DA46" i="2"/>
  <c r="CY46" i="2"/>
  <c r="CW46" i="2"/>
  <c r="CU46" i="2"/>
  <c r="CS46" i="2"/>
  <c r="CQ46" i="2"/>
  <c r="CO46" i="2"/>
  <c r="CM46" i="2"/>
  <c r="CK46" i="2"/>
  <c r="CI46" i="2"/>
  <c r="CG46" i="2"/>
  <c r="CE46" i="2"/>
  <c r="CC46" i="2"/>
  <c r="CA46" i="2"/>
  <c r="BY46" i="2"/>
  <c r="BW46" i="2"/>
  <c r="BU46" i="2"/>
  <c r="BS46" i="2"/>
  <c r="BQ46" i="2"/>
  <c r="BO46" i="2"/>
  <c r="BM46" i="2"/>
  <c r="BL46" i="2"/>
  <c r="BK46" i="2"/>
  <c r="BJ46" i="2"/>
  <c r="BI46" i="2"/>
  <c r="BH46" i="2"/>
  <c r="BG46" i="2"/>
  <c r="BF46" i="2"/>
  <c r="BE46" i="2"/>
  <c r="BD46" i="2"/>
  <c r="BC46" i="2"/>
  <c r="BB46" i="2"/>
  <c r="BA46" i="2"/>
  <c r="AZ46" i="2"/>
  <c r="AY46" i="2"/>
  <c r="AX46" i="2"/>
  <c r="AW46" i="2"/>
  <c r="AV46" i="2"/>
  <c r="AU46" i="2"/>
  <c r="AT46" i="2"/>
  <c r="AS46" i="2"/>
  <c r="AR46" i="2"/>
  <c r="AQ46" i="2"/>
  <c r="AP46" i="2"/>
  <c r="AO46" i="2"/>
  <c r="AN46" i="2"/>
  <c r="AM46" i="2"/>
  <c r="AL46" i="2"/>
  <c r="AK46" i="2"/>
  <c r="AJ46" i="2"/>
  <c r="AI46" i="2"/>
  <c r="AH46" i="2"/>
  <c r="AG46" i="2"/>
  <c r="AF46" i="2"/>
  <c r="AE46" i="2"/>
  <c r="AD46" i="2"/>
  <c r="AC46" i="2"/>
  <c r="AB46" i="2"/>
  <c r="AA46" i="2"/>
  <c r="Z46" i="2"/>
  <c r="Y46" i="2"/>
  <c r="X46" i="2"/>
  <c r="W46" i="2"/>
  <c r="V46" i="2"/>
  <c r="U46" i="2"/>
  <c r="T46" i="2"/>
  <c r="S46" i="2"/>
  <c r="R46" i="2"/>
  <c r="Q46" i="2"/>
  <c r="P46" i="2"/>
  <c r="O46" i="2"/>
  <c r="N46" i="2"/>
  <c r="M46" i="2"/>
  <c r="L46" i="2"/>
  <c r="K46" i="2"/>
  <c r="J46" i="2"/>
  <c r="I46" i="2"/>
  <c r="H46" i="2"/>
  <c r="G46" i="2"/>
  <c r="F46" i="2"/>
  <c r="E46" i="2"/>
  <c r="D46" i="2"/>
  <c r="C46" i="2"/>
  <c r="B46" i="2"/>
  <c r="A46" i="2"/>
  <c r="DQ44" i="2"/>
  <c r="DP44" i="2"/>
  <c r="DO44" i="2"/>
  <c r="DN44" i="2"/>
  <c r="DM44" i="2"/>
  <c r="DL44" i="2"/>
  <c r="DK44" i="2"/>
  <c r="DJ44" i="2"/>
  <c r="DI44" i="2"/>
  <c r="DH44" i="2"/>
  <c r="DG44" i="2"/>
  <c r="DF44" i="2"/>
  <c r="DE44" i="2"/>
  <c r="DD44" i="2"/>
  <c r="DC44" i="2"/>
  <c r="DB44" i="2"/>
  <c r="DA44" i="2"/>
  <c r="CZ44" i="2"/>
  <c r="CY44" i="2"/>
  <c r="CX44" i="2"/>
  <c r="CW44" i="2"/>
  <c r="CV44" i="2"/>
  <c r="CU44" i="2"/>
  <c r="CT44" i="2"/>
  <c r="CS44" i="2"/>
  <c r="CR44" i="2"/>
  <c r="CQ44" i="2"/>
  <c r="CP44" i="2"/>
  <c r="CO44" i="2"/>
  <c r="CN44" i="2"/>
  <c r="CM44" i="2"/>
  <c r="CL44" i="2"/>
  <c r="CK44" i="2"/>
  <c r="CJ44" i="2"/>
  <c r="CI44" i="2"/>
  <c r="CH44" i="2"/>
  <c r="CG44" i="2"/>
  <c r="CF44" i="2"/>
  <c r="CE44" i="2"/>
  <c r="CD44" i="2"/>
  <c r="CC44" i="2"/>
  <c r="CB44" i="2"/>
  <c r="CA44" i="2"/>
  <c r="BZ44" i="2"/>
  <c r="BY44" i="2"/>
  <c r="BX44" i="2"/>
  <c r="BW44" i="2"/>
  <c r="BV44" i="2"/>
  <c r="BU44" i="2"/>
  <c r="BT44" i="2"/>
  <c r="BS44" i="2"/>
  <c r="BR44" i="2"/>
  <c r="BQ44" i="2"/>
  <c r="BP44" i="2"/>
  <c r="BO44" i="2"/>
  <c r="BN44" i="2"/>
  <c r="BM44" i="2"/>
  <c r="BL44" i="2"/>
  <c r="BK44" i="2"/>
  <c r="BJ44" i="2"/>
  <c r="BI44" i="2"/>
  <c r="BH44" i="2"/>
  <c r="BG44" i="2"/>
  <c r="BF44" i="2"/>
  <c r="BE44" i="2"/>
  <c r="BD44" i="2"/>
  <c r="BC44" i="2"/>
  <c r="BB44" i="2"/>
  <c r="BA44" i="2"/>
  <c r="AZ44" i="2"/>
  <c r="AY44" i="2"/>
  <c r="AX44" i="2"/>
  <c r="AW44" i="2"/>
  <c r="AV44" i="2"/>
  <c r="AU44" i="2"/>
  <c r="AT44" i="2"/>
  <c r="AS44" i="2"/>
  <c r="AR44" i="2"/>
  <c r="AQ44" i="2"/>
  <c r="AP44" i="2"/>
  <c r="AO44" i="2"/>
  <c r="AN44" i="2"/>
  <c r="AM44" i="2"/>
  <c r="AL44" i="2"/>
  <c r="AK44" i="2"/>
  <c r="AJ44" i="2"/>
  <c r="AI44" i="2"/>
  <c r="AH44" i="2"/>
  <c r="AG44" i="2"/>
  <c r="AF44" i="2"/>
  <c r="AE44" i="2"/>
  <c r="AD44" i="2"/>
  <c r="AC44" i="2"/>
  <c r="AB44" i="2"/>
  <c r="AA44" i="2"/>
  <c r="Z44" i="2"/>
  <c r="Y44" i="2"/>
  <c r="X44" i="2"/>
  <c r="W44" i="2"/>
  <c r="V44" i="2"/>
  <c r="U44" i="2"/>
  <c r="T44" i="2"/>
  <c r="S44" i="2"/>
  <c r="R44" i="2"/>
  <c r="Q44" i="2"/>
  <c r="P44" i="2"/>
  <c r="O44" i="2"/>
  <c r="N44" i="2"/>
  <c r="M44" i="2"/>
  <c r="L44" i="2"/>
  <c r="K44" i="2"/>
  <c r="J44" i="2"/>
  <c r="I44" i="2"/>
  <c r="H44" i="2"/>
  <c r="G44" i="2"/>
  <c r="F44" i="2"/>
  <c r="E44" i="2"/>
  <c r="D44" i="2"/>
  <c r="C44" i="2"/>
  <c r="B44" i="2"/>
  <c r="A44" i="2"/>
  <c r="FH44" i="2"/>
  <c r="FG44" i="2"/>
  <c r="FF44" i="2"/>
  <c r="FE44" i="2"/>
  <c r="FD44" i="2"/>
  <c r="FC44" i="2"/>
  <c r="FB44" i="2"/>
  <c r="FA44" i="2"/>
  <c r="EZ44" i="2"/>
  <c r="EY44" i="2"/>
  <c r="EX44" i="2"/>
  <c r="EW44" i="2"/>
  <c r="EV44" i="2"/>
  <c r="EU44" i="2"/>
  <c r="ET44" i="2"/>
  <c r="ES44" i="2"/>
  <c r="ER44" i="2"/>
  <c r="EQ44" i="2"/>
  <c r="EP44" i="2"/>
  <c r="EO44" i="2"/>
  <c r="EN44" i="2"/>
  <c r="EM44" i="2"/>
  <c r="EL44" i="2"/>
  <c r="EK44" i="2"/>
  <c r="EJ44" i="2"/>
  <c r="EI44" i="2"/>
  <c r="EH44" i="2"/>
  <c r="EG44" i="2"/>
  <c r="EF44" i="2"/>
  <c r="EE44" i="2"/>
  <c r="ED44" i="2"/>
  <c r="EC44" i="2"/>
  <c r="EB44" i="2"/>
  <c r="FH43" i="2"/>
  <c r="FG43" i="2"/>
  <c r="FF43" i="2"/>
  <c r="FE43" i="2"/>
  <c r="FD43" i="2"/>
  <c r="FC43" i="2"/>
  <c r="FB43" i="2"/>
  <c r="FA43" i="2"/>
  <c r="EZ43" i="2"/>
  <c r="EY43" i="2"/>
  <c r="EX43" i="2"/>
  <c r="EW43" i="2"/>
  <c r="EV43" i="2"/>
  <c r="EU43" i="2"/>
  <c r="ET43" i="2"/>
  <c r="ES43" i="2"/>
  <c r="ER43" i="2"/>
  <c r="EQ43" i="2"/>
  <c r="EP43" i="2"/>
  <c r="EO43" i="2"/>
  <c r="EN43" i="2"/>
  <c r="EM43" i="2"/>
  <c r="EL43" i="2"/>
  <c r="EK43" i="2"/>
  <c r="EJ43" i="2"/>
  <c r="EI43" i="2"/>
  <c r="EH43" i="2"/>
  <c r="EG43" i="2"/>
  <c r="EF43" i="2"/>
  <c r="EE43" i="2"/>
  <c r="ED43" i="2"/>
  <c r="EC43" i="2"/>
  <c r="EB43" i="2"/>
  <c r="DQ43" i="2"/>
  <c r="DP43" i="2"/>
  <c r="DO43" i="2"/>
  <c r="DN43" i="2"/>
  <c r="DM43" i="2"/>
  <c r="DL43" i="2"/>
  <c r="DK43" i="2"/>
  <c r="DJ43" i="2"/>
  <c r="DI43" i="2"/>
  <c r="DH43" i="2"/>
  <c r="DG43" i="2"/>
  <c r="DF43" i="2"/>
  <c r="DE43" i="2"/>
  <c r="DD43" i="2"/>
  <c r="DC43" i="2"/>
  <c r="DB43" i="2"/>
  <c r="DA43" i="2"/>
  <c r="CZ43" i="2"/>
  <c r="CY43" i="2"/>
  <c r="CX43" i="2"/>
  <c r="CW43" i="2"/>
  <c r="CV43" i="2"/>
  <c r="CU43" i="2"/>
  <c r="CT43" i="2"/>
  <c r="CS43" i="2"/>
  <c r="CR43" i="2"/>
  <c r="CQ43" i="2"/>
  <c r="CP43" i="2"/>
  <c r="CO43" i="2"/>
  <c r="CN43" i="2"/>
  <c r="CM43" i="2"/>
  <c r="CL43" i="2"/>
  <c r="CK43" i="2"/>
  <c r="CJ43" i="2"/>
  <c r="CI43" i="2"/>
  <c r="CH43" i="2"/>
  <c r="CG43" i="2"/>
  <c r="CF43" i="2"/>
  <c r="CE43" i="2"/>
  <c r="CD43" i="2"/>
  <c r="CC43" i="2"/>
  <c r="CB43" i="2"/>
  <c r="CA43" i="2"/>
  <c r="BZ43" i="2"/>
  <c r="BY43" i="2"/>
  <c r="BX43" i="2"/>
  <c r="BW43" i="2"/>
  <c r="BV43" i="2"/>
  <c r="A43" i="2"/>
  <c r="FG41" i="2"/>
  <c r="FE41" i="2"/>
  <c r="FC41" i="2"/>
  <c r="FA41" i="2"/>
  <c r="EY41" i="2"/>
  <c r="EW41" i="2"/>
  <c r="EU41" i="2"/>
  <c r="ES41" i="2"/>
  <c r="DP41" i="2"/>
  <c r="DN41" i="2"/>
  <c r="DL41" i="2"/>
  <c r="DJ41" i="2"/>
  <c r="DH41" i="2"/>
  <c r="DF41" i="2"/>
  <c r="DD41" i="2"/>
  <c r="DB41" i="2"/>
  <c r="CZ41" i="2"/>
  <c r="CX41" i="2"/>
  <c r="CV41" i="2"/>
  <c r="CT41" i="2"/>
  <c r="CR41" i="2"/>
  <c r="CR39" i="2" s="1"/>
  <c r="CP41" i="2"/>
  <c r="CP39" i="2" s="1"/>
  <c r="CN41" i="2"/>
  <c r="CL41" i="2"/>
  <c r="CJ41" i="2"/>
  <c r="CH41" i="2"/>
  <c r="CH39" i="2" s="1"/>
  <c r="CF41" i="2"/>
  <c r="CD41" i="2"/>
  <c r="CB41" i="2"/>
  <c r="BZ41" i="2"/>
  <c r="BX41" i="2"/>
  <c r="BV41" i="2"/>
  <c r="BT41" i="2"/>
  <c r="BR41" i="2"/>
  <c r="BP41" i="2"/>
  <c r="BN41" i="2"/>
  <c r="FH41" i="2"/>
  <c r="FF41" i="2"/>
  <c r="FD41" i="2"/>
  <c r="FB41" i="2"/>
  <c r="EZ41" i="2"/>
  <c r="EX41" i="2"/>
  <c r="EV41" i="2"/>
  <c r="ET41" i="2"/>
  <c r="ER41" i="2"/>
  <c r="EQ41" i="2"/>
  <c r="EP41" i="2"/>
  <c r="EO41" i="2"/>
  <c r="EN41" i="2"/>
  <c r="EM41" i="2"/>
  <c r="EL41" i="2"/>
  <c r="EK41" i="2"/>
  <c r="EJ41" i="2"/>
  <c r="EI41" i="2"/>
  <c r="EH41" i="2"/>
  <c r="EG41" i="2"/>
  <c r="EF41" i="2"/>
  <c r="EE41" i="2"/>
  <c r="ED41" i="2"/>
  <c r="EC41" i="2"/>
  <c r="EB41" i="2"/>
  <c r="DQ41" i="2"/>
  <c r="DQ39" i="2" s="1"/>
  <c r="DO41" i="2"/>
  <c r="DM41" i="2"/>
  <c r="DK41" i="2"/>
  <c r="DI41" i="2"/>
  <c r="DG41" i="2"/>
  <c r="DE41" i="2"/>
  <c r="DC41" i="2"/>
  <c r="DA41" i="2"/>
  <c r="CY41" i="2"/>
  <c r="CW41" i="2"/>
  <c r="CU41" i="2"/>
  <c r="CS41" i="2"/>
  <c r="CQ41" i="2"/>
  <c r="CO41" i="2"/>
  <c r="CM41" i="2"/>
  <c r="CK41" i="2"/>
  <c r="CI41" i="2"/>
  <c r="CG41" i="2"/>
  <c r="CE41" i="2"/>
  <c r="CC41" i="2"/>
  <c r="CA41" i="2"/>
  <c r="BY41" i="2"/>
  <c r="BW41" i="2"/>
  <c r="BU41" i="2"/>
  <c r="BS41" i="2"/>
  <c r="BQ41" i="2"/>
  <c r="BO41" i="2"/>
  <c r="BM41" i="2"/>
  <c r="BL41" i="2"/>
  <c r="BK41" i="2"/>
  <c r="BJ41" i="2"/>
  <c r="BI41" i="2"/>
  <c r="BH41" i="2"/>
  <c r="BG41" i="2"/>
  <c r="BF41" i="2"/>
  <c r="BE41" i="2"/>
  <c r="BD41" i="2"/>
  <c r="BC41" i="2"/>
  <c r="BB41" i="2"/>
  <c r="BA41" i="2"/>
  <c r="AZ41" i="2"/>
  <c r="AY41" i="2"/>
  <c r="AX41" i="2"/>
  <c r="AW41" i="2"/>
  <c r="AV41" i="2"/>
  <c r="AU41" i="2"/>
  <c r="AT41" i="2"/>
  <c r="AS41" i="2"/>
  <c r="AR41" i="2"/>
  <c r="AQ41" i="2"/>
  <c r="AP41" i="2"/>
  <c r="AO41" i="2"/>
  <c r="AN41" i="2"/>
  <c r="AM41" i="2"/>
  <c r="AL41" i="2"/>
  <c r="AK41" i="2"/>
  <c r="AJ41" i="2"/>
  <c r="AI41" i="2"/>
  <c r="AH41" i="2"/>
  <c r="AG41" i="2"/>
  <c r="AF41" i="2"/>
  <c r="AE41" i="2"/>
  <c r="AD41" i="2"/>
  <c r="AC41" i="2"/>
  <c r="AB41" i="2"/>
  <c r="AA41" i="2"/>
  <c r="Z41" i="2"/>
  <c r="Y41" i="2"/>
  <c r="X41" i="2"/>
  <c r="W41" i="2"/>
  <c r="V41" i="2"/>
  <c r="U41" i="2"/>
  <c r="T41" i="2"/>
  <c r="S41" i="2"/>
  <c r="R41" i="2"/>
  <c r="Q41" i="2"/>
  <c r="P41" i="2"/>
  <c r="O41" i="2"/>
  <c r="N41" i="2"/>
  <c r="M41" i="2"/>
  <c r="L41" i="2"/>
  <c r="K41" i="2"/>
  <c r="J41" i="2"/>
  <c r="I41" i="2"/>
  <c r="H41" i="2"/>
  <c r="G41" i="2"/>
  <c r="F41" i="2"/>
  <c r="E41" i="2"/>
  <c r="D41" i="2"/>
  <c r="C41" i="2"/>
  <c r="B41" i="2"/>
  <c r="A41" i="2"/>
  <c r="CZ39" i="2"/>
  <c r="EU36" i="2"/>
  <c r="EU35" i="2"/>
  <c r="ES36" i="2"/>
  <c r="ES47" i="2" s="1"/>
  <c r="ES35" i="2"/>
  <c r="DH36" i="2"/>
  <c r="DH35" i="2"/>
  <c r="DF36" i="2"/>
  <c r="DF35" i="2"/>
  <c r="DD36" i="2"/>
  <c r="DD35" i="2"/>
  <c r="DB36" i="2"/>
  <c r="DB35" i="2"/>
  <c r="CZ36" i="2"/>
  <c r="CZ35" i="2"/>
  <c r="CX36" i="2"/>
  <c r="CX35" i="2"/>
  <c r="CV36" i="2"/>
  <c r="CV35" i="2"/>
  <c r="CT36" i="2"/>
  <c r="CT35" i="2"/>
  <c r="CR36" i="2"/>
  <c r="CR35" i="2"/>
  <c r="CP36" i="2"/>
  <c r="CP35" i="2"/>
  <c r="CN36" i="2"/>
  <c r="CN35" i="2"/>
  <c r="CL36" i="2"/>
  <c r="CL35" i="2"/>
  <c r="CJ36" i="2"/>
  <c r="CJ35" i="2"/>
  <c r="CH36" i="2"/>
  <c r="CH35" i="2"/>
  <c r="CF36" i="2"/>
  <c r="CF35" i="2"/>
  <c r="CD36" i="2"/>
  <c r="CD35" i="2"/>
  <c r="CB36" i="2"/>
  <c r="CB35" i="2"/>
  <c r="BZ36" i="2"/>
  <c r="BZ35" i="2"/>
  <c r="BX36" i="2"/>
  <c r="BX35" i="2"/>
  <c r="BV36" i="2"/>
  <c r="BV35" i="2"/>
  <c r="BT36" i="2"/>
  <c r="BT35" i="2"/>
  <c r="BR36" i="2"/>
  <c r="BR35" i="2"/>
  <c r="BP36" i="2"/>
  <c r="BP35" i="2"/>
  <c r="BN36" i="2"/>
  <c r="BN35" i="2"/>
  <c r="EV36" i="2"/>
  <c r="EV35" i="2"/>
  <c r="ET36" i="2"/>
  <c r="ET35" i="2"/>
  <c r="DI36" i="2"/>
  <c r="DI35" i="2"/>
  <c r="DG36" i="2"/>
  <c r="DG35" i="2"/>
  <c r="DE36" i="2"/>
  <c r="DE35" i="2"/>
  <c r="DC36" i="2"/>
  <c r="DC35" i="2"/>
  <c r="DA36" i="2"/>
  <c r="DA35" i="2"/>
  <c r="CY36" i="2"/>
  <c r="CY35" i="2"/>
  <c r="CW36" i="2"/>
  <c r="CW35" i="2"/>
  <c r="CU36" i="2"/>
  <c r="CU35" i="2"/>
  <c r="CS36" i="2"/>
  <c r="CS35" i="2"/>
  <c r="CQ36" i="2"/>
  <c r="CQ35" i="2"/>
  <c r="CO36" i="2"/>
  <c r="CO35" i="2"/>
  <c r="CM36" i="2"/>
  <c r="CM35" i="2"/>
  <c r="CK36" i="2"/>
  <c r="CK35" i="2"/>
  <c r="CI36" i="2"/>
  <c r="CI35" i="2"/>
  <c r="CG36" i="2"/>
  <c r="CG35" i="2"/>
  <c r="CE36" i="2"/>
  <c r="CE35" i="2"/>
  <c r="CC36" i="2"/>
  <c r="CC35" i="2"/>
  <c r="CA36" i="2"/>
  <c r="CA35" i="2"/>
  <c r="BY36" i="2"/>
  <c r="BY35" i="2"/>
  <c r="BW36" i="2"/>
  <c r="BW35" i="2"/>
  <c r="BU36" i="2"/>
  <c r="BU35" i="2"/>
  <c r="BS36" i="2"/>
  <c r="BS35" i="2"/>
  <c r="BQ36" i="2"/>
  <c r="BQ35" i="2"/>
  <c r="BO36" i="2"/>
  <c r="BO35" i="2"/>
  <c r="A36" i="2"/>
  <c r="A35" i="2"/>
  <c r="FH36" i="2"/>
  <c r="FG36" i="2"/>
  <c r="FF36" i="2"/>
  <c r="FF39" i="2" s="1"/>
  <c r="FE36" i="2"/>
  <c r="FD36" i="2"/>
  <c r="FC36" i="2"/>
  <c r="FB36" i="2"/>
  <c r="FB39" i="2" s="1"/>
  <c r="FA36" i="2"/>
  <c r="EZ36" i="2"/>
  <c r="EY36" i="2"/>
  <c r="EX36" i="2"/>
  <c r="EX39" i="2" s="1"/>
  <c r="EW36" i="2"/>
  <c r="FH35" i="2"/>
  <c r="FG35" i="2"/>
  <c r="FF35" i="2"/>
  <c r="FE35" i="2"/>
  <c r="FD35" i="2"/>
  <c r="FC35" i="2"/>
  <c r="FB35" i="2"/>
  <c r="FA35" i="2"/>
  <c r="EZ35" i="2"/>
  <c r="EY35" i="2"/>
  <c r="EX35" i="2"/>
  <c r="EW35" i="2"/>
  <c r="ER36" i="2"/>
  <c r="EQ36" i="2"/>
  <c r="EP36" i="2"/>
  <c r="EO36" i="2"/>
  <c r="EN36" i="2"/>
  <c r="EM36" i="2"/>
  <c r="EL36" i="2"/>
  <c r="EK36" i="2"/>
  <c r="EJ36" i="2"/>
  <c r="EI36" i="2"/>
  <c r="ER35" i="2"/>
  <c r="EQ35" i="2"/>
  <c r="EP35" i="2"/>
  <c r="EO35" i="2"/>
  <c r="EN35" i="2"/>
  <c r="EM35" i="2"/>
  <c r="EL35" i="2"/>
  <c r="EK35" i="2"/>
  <c r="EJ35" i="2"/>
  <c r="EI35" i="2"/>
  <c r="EH35" i="2"/>
  <c r="EG35" i="2"/>
  <c r="EF35" i="2"/>
  <c r="EE35" i="2"/>
  <c r="ED35" i="2"/>
  <c r="EC35" i="2"/>
  <c r="EB35" i="2"/>
  <c r="DZ36" i="2"/>
  <c r="DZ39" i="2" s="1"/>
  <c r="DQ36" i="2"/>
  <c r="DP36" i="2"/>
  <c r="DO36" i="2"/>
  <c r="DN36" i="2"/>
  <c r="DN39" i="2" s="1"/>
  <c r="DM36" i="2"/>
  <c r="DL36" i="2"/>
  <c r="DK36" i="2"/>
  <c r="DJ36" i="2"/>
  <c r="DZ35" i="2"/>
  <c r="DQ35" i="2"/>
  <c r="DP35" i="2"/>
  <c r="DO35" i="2"/>
  <c r="DN35" i="2"/>
  <c r="DM35" i="2"/>
  <c r="DL35" i="2"/>
  <c r="DK35" i="2"/>
  <c r="DJ35" i="2"/>
  <c r="BM36" i="2"/>
  <c r="BL36" i="2"/>
  <c r="BK36" i="2"/>
  <c r="BJ36" i="2"/>
  <c r="BI36" i="2"/>
  <c r="BH36" i="2"/>
  <c r="BG36" i="2"/>
  <c r="BF36" i="2"/>
  <c r="BE36" i="2"/>
  <c r="BD36" i="2"/>
  <c r="BC36" i="2"/>
  <c r="BB36" i="2"/>
  <c r="BA36" i="2"/>
  <c r="AZ36" i="2"/>
  <c r="AY36" i="2"/>
  <c r="AX36" i="2"/>
  <c r="AW36" i="2"/>
  <c r="AV36" i="2"/>
  <c r="AU36" i="2"/>
  <c r="AT36" i="2"/>
  <c r="AS36" i="2"/>
  <c r="AR36" i="2"/>
  <c r="AQ36" i="2"/>
  <c r="AP36" i="2"/>
  <c r="AO36" i="2"/>
  <c r="AN36" i="2"/>
  <c r="AM36" i="2"/>
  <c r="AL36" i="2"/>
  <c r="AK36" i="2"/>
  <c r="AJ36" i="2"/>
  <c r="AI36" i="2"/>
  <c r="AH36" i="2"/>
  <c r="AG36" i="2"/>
  <c r="AF36" i="2"/>
  <c r="AE36" i="2"/>
  <c r="AD36" i="2"/>
  <c r="AC36" i="2"/>
  <c r="AB36" i="2"/>
  <c r="AA36" i="2"/>
  <c r="Z36" i="2"/>
  <c r="Y36" i="2"/>
  <c r="X36" i="2"/>
  <c r="W36" i="2"/>
  <c r="V36" i="2"/>
  <c r="U36" i="2"/>
  <c r="T36" i="2"/>
  <c r="S36" i="2"/>
  <c r="R36" i="2"/>
  <c r="Q36" i="2"/>
  <c r="P36" i="2"/>
  <c r="BM35" i="2"/>
  <c r="BL35" i="2"/>
  <c r="BK35" i="2"/>
  <c r="BJ35" i="2"/>
  <c r="BI35" i="2"/>
  <c r="BH35" i="2"/>
  <c r="BG35" i="2"/>
  <c r="BF35" i="2"/>
  <c r="BE35" i="2"/>
  <c r="BD35" i="2"/>
  <c r="BC35" i="2"/>
  <c r="BB35" i="2"/>
  <c r="BA35" i="2"/>
  <c r="AZ35" i="2"/>
  <c r="AY35" i="2"/>
  <c r="AX35" i="2"/>
  <c r="AW35" i="2"/>
  <c r="AV35" i="2"/>
  <c r="AU35" i="2"/>
  <c r="AT35" i="2"/>
  <c r="AS35" i="2"/>
  <c r="AR35" i="2"/>
  <c r="AQ35" i="2"/>
  <c r="AP35" i="2"/>
  <c r="AO35" i="2"/>
  <c r="AN35" i="2"/>
  <c r="AM35" i="2"/>
  <c r="AL35" i="2"/>
  <c r="AK35" i="2"/>
  <c r="AJ35" i="2"/>
  <c r="AI35" i="2"/>
  <c r="AH35" i="2"/>
  <c r="AG35" i="2"/>
  <c r="AF35" i="2"/>
  <c r="AE35" i="2"/>
  <c r="AD35" i="2"/>
  <c r="AC35" i="2"/>
  <c r="AB35" i="2"/>
  <c r="AA35" i="2"/>
  <c r="Z35" i="2"/>
  <c r="Y35" i="2"/>
  <c r="X35" i="2"/>
  <c r="W35" i="2"/>
  <c r="V35" i="2"/>
  <c r="U35" i="2"/>
  <c r="T35" i="2"/>
  <c r="S35" i="2"/>
  <c r="R35" i="2"/>
  <c r="Q35" i="2"/>
  <c r="P35" i="2"/>
  <c r="O35" i="2"/>
  <c r="N35" i="2"/>
  <c r="M35" i="2"/>
  <c r="L35" i="2"/>
  <c r="K35" i="2"/>
  <c r="J35" i="2"/>
  <c r="I35" i="2"/>
  <c r="H35" i="2"/>
  <c r="G35" i="2"/>
  <c r="F35" i="2"/>
  <c r="E35" i="2"/>
  <c r="D35" i="2"/>
  <c r="C35" i="2"/>
  <c r="B35" i="2"/>
  <c r="EU32" i="2"/>
  <c r="EU31" i="2"/>
  <c r="EU30" i="2"/>
  <c r="EU29" i="2"/>
  <c r="ES32" i="2"/>
  <c r="ES31" i="2"/>
  <c r="ES30" i="2"/>
  <c r="ES29" i="2"/>
  <c r="DH32" i="2"/>
  <c r="DH31" i="2"/>
  <c r="DH30" i="2"/>
  <c r="DH29" i="2"/>
  <c r="DF32" i="2"/>
  <c r="DF42" i="2" s="1"/>
  <c r="DF31" i="2"/>
  <c r="DF30" i="2"/>
  <c r="DF29" i="2"/>
  <c r="DD32" i="2"/>
  <c r="DD37" i="2" s="1"/>
  <c r="DD31" i="2"/>
  <c r="DD30" i="2"/>
  <c r="DD29" i="2"/>
  <c r="DB32" i="2"/>
  <c r="DB31" i="2"/>
  <c r="DB30" i="2"/>
  <c r="DB29" i="2"/>
  <c r="CZ32" i="2"/>
  <c r="CZ31" i="2"/>
  <c r="CZ30" i="2"/>
  <c r="CZ29" i="2"/>
  <c r="CX32" i="2"/>
  <c r="CX42" i="2" s="1"/>
  <c r="CX31" i="2"/>
  <c r="CX30" i="2"/>
  <c r="CX29" i="2"/>
  <c r="CV32" i="2"/>
  <c r="CV37" i="2" s="1"/>
  <c r="CV31" i="2"/>
  <c r="CV30" i="2"/>
  <c r="CV29" i="2"/>
  <c r="CT32" i="2"/>
  <c r="CT31" i="2"/>
  <c r="CT30" i="2"/>
  <c r="CT29" i="2"/>
  <c r="CR32" i="2"/>
  <c r="CR31" i="2"/>
  <c r="CR30" i="2"/>
  <c r="CR29" i="2"/>
  <c r="CP32" i="2"/>
  <c r="CP42" i="2" s="1"/>
  <c r="CP31" i="2"/>
  <c r="CP30" i="2"/>
  <c r="CP29" i="2"/>
  <c r="CN32" i="2"/>
  <c r="CN31" i="2"/>
  <c r="CN30" i="2"/>
  <c r="CN29" i="2"/>
  <c r="CL32" i="2"/>
  <c r="CL31" i="2"/>
  <c r="CL30" i="2"/>
  <c r="CL29" i="2"/>
  <c r="CJ32" i="2"/>
  <c r="CJ31" i="2"/>
  <c r="CJ30" i="2"/>
  <c r="CJ29" i="2"/>
  <c r="CH32" i="2"/>
  <c r="CH42" i="2" s="1"/>
  <c r="CH31" i="2"/>
  <c r="CH30" i="2"/>
  <c r="CH29" i="2"/>
  <c r="CF32" i="2"/>
  <c r="CF37" i="2" s="1"/>
  <c r="CF31" i="2"/>
  <c r="CF30" i="2"/>
  <c r="CF29" i="2"/>
  <c r="CD32" i="2"/>
  <c r="CD31" i="2"/>
  <c r="CD30" i="2"/>
  <c r="CD29" i="2"/>
  <c r="CB32" i="2"/>
  <c r="CB31" i="2"/>
  <c r="CB30" i="2"/>
  <c r="CB29" i="2"/>
  <c r="BZ32" i="2"/>
  <c r="BZ42" i="2" s="1"/>
  <c r="BZ31" i="2"/>
  <c r="BZ30" i="2"/>
  <c r="BZ29" i="2"/>
  <c r="BX32" i="2"/>
  <c r="BX37" i="2" s="1"/>
  <c r="BX31" i="2"/>
  <c r="BX30" i="2"/>
  <c r="BX29" i="2"/>
  <c r="BV32" i="2"/>
  <c r="BV31" i="2"/>
  <c r="BV30" i="2"/>
  <c r="BV29" i="2"/>
  <c r="BT32" i="2"/>
  <c r="BT31" i="2"/>
  <c r="BT30" i="2"/>
  <c r="BT29" i="2"/>
  <c r="BR32" i="2"/>
  <c r="BR42" i="2" s="1"/>
  <c r="BR31" i="2"/>
  <c r="BR30" i="2"/>
  <c r="BR29" i="2"/>
  <c r="BP32" i="2"/>
  <c r="BP37" i="2" s="1"/>
  <c r="BP31" i="2"/>
  <c r="BP30" i="2"/>
  <c r="BP29" i="2"/>
  <c r="BN32" i="2"/>
  <c r="BN31" i="2"/>
  <c r="BN30" i="2"/>
  <c r="BN29" i="2"/>
  <c r="EV32" i="2"/>
  <c r="EV31" i="2"/>
  <c r="EV30" i="2"/>
  <c r="EV29" i="2"/>
  <c r="ET32" i="2"/>
  <c r="ET31" i="2"/>
  <c r="ET30" i="2"/>
  <c r="ET29" i="2"/>
  <c r="DI32" i="2"/>
  <c r="DI31" i="2"/>
  <c r="DI30" i="2"/>
  <c r="DI29" i="2"/>
  <c r="DG32" i="2"/>
  <c r="DG31" i="2"/>
  <c r="DG30" i="2"/>
  <c r="DG29" i="2"/>
  <c r="DE32" i="2"/>
  <c r="DE31" i="2"/>
  <c r="DE30" i="2"/>
  <c r="DE29" i="2"/>
  <c r="DC32" i="2"/>
  <c r="DC31" i="2"/>
  <c r="DC30" i="2"/>
  <c r="DC29" i="2"/>
  <c r="DA32" i="2"/>
  <c r="DA31" i="2"/>
  <c r="DA30" i="2"/>
  <c r="DA29" i="2"/>
  <c r="CY32" i="2"/>
  <c r="CY31" i="2"/>
  <c r="CY30" i="2"/>
  <c r="CY29" i="2"/>
  <c r="CW32" i="2"/>
  <c r="CW31" i="2"/>
  <c r="CW30" i="2"/>
  <c r="CW29" i="2"/>
  <c r="CU32" i="2"/>
  <c r="CU31" i="2"/>
  <c r="CU30" i="2"/>
  <c r="CU29" i="2"/>
  <c r="CS32" i="2"/>
  <c r="CS31" i="2"/>
  <c r="CS30" i="2"/>
  <c r="CS29" i="2"/>
  <c r="CQ32" i="2"/>
  <c r="CQ31" i="2"/>
  <c r="CQ30" i="2"/>
  <c r="CQ29" i="2"/>
  <c r="CO32" i="2"/>
  <c r="CO31" i="2"/>
  <c r="CO30" i="2"/>
  <c r="CO29" i="2"/>
  <c r="CM32" i="2"/>
  <c r="CM31" i="2"/>
  <c r="CM30" i="2"/>
  <c r="CM29" i="2"/>
  <c r="CK32" i="2"/>
  <c r="CK31" i="2"/>
  <c r="CK30" i="2"/>
  <c r="CK29" i="2"/>
  <c r="CI32" i="2"/>
  <c r="CI31" i="2"/>
  <c r="CI30" i="2"/>
  <c r="CI29" i="2"/>
  <c r="CG32" i="2"/>
  <c r="CG31" i="2"/>
  <c r="CG30" i="2"/>
  <c r="CG29" i="2"/>
  <c r="CE32" i="2"/>
  <c r="CE31" i="2"/>
  <c r="CE30" i="2"/>
  <c r="CE29" i="2"/>
  <c r="CC32" i="2"/>
  <c r="CC31" i="2"/>
  <c r="CC30" i="2"/>
  <c r="CC29" i="2"/>
  <c r="CA32" i="2"/>
  <c r="CA31" i="2"/>
  <c r="CA30" i="2"/>
  <c r="CA29" i="2"/>
  <c r="BY32" i="2"/>
  <c r="BY31" i="2"/>
  <c r="BY30" i="2"/>
  <c r="BY29" i="2"/>
  <c r="BW32" i="2"/>
  <c r="BW31" i="2"/>
  <c r="BW30" i="2"/>
  <c r="BW29" i="2"/>
  <c r="BU32" i="2"/>
  <c r="BU31" i="2"/>
  <c r="BU30" i="2"/>
  <c r="BU29" i="2"/>
  <c r="BS32" i="2"/>
  <c r="BS31" i="2"/>
  <c r="BS30" i="2"/>
  <c r="BS29" i="2"/>
  <c r="BQ32" i="2"/>
  <c r="BQ31" i="2"/>
  <c r="BQ30" i="2"/>
  <c r="BQ29" i="2"/>
  <c r="BO32" i="2"/>
  <c r="BO31" i="2"/>
  <c r="BO30" i="2"/>
  <c r="BO29" i="2"/>
  <c r="A31" i="2"/>
  <c r="A30" i="2"/>
  <c r="A29" i="2"/>
  <c r="FH32" i="2"/>
  <c r="FG32" i="2"/>
  <c r="FF32" i="2"/>
  <c r="FE32" i="2"/>
  <c r="FD32" i="2"/>
  <c r="FC32" i="2"/>
  <c r="FB32" i="2"/>
  <c r="FA32" i="2"/>
  <c r="EZ32" i="2"/>
  <c r="EY32" i="2"/>
  <c r="EX32" i="2"/>
  <c r="EW32" i="2"/>
  <c r="FS31" i="2"/>
  <c r="FR31" i="2"/>
  <c r="FQ31" i="2"/>
  <c r="FP31" i="2"/>
  <c r="FO31" i="2"/>
  <c r="FN31" i="2"/>
  <c r="FM31" i="2"/>
  <c r="FL31" i="2"/>
  <c r="FK31" i="2"/>
  <c r="FJ31" i="2"/>
  <c r="FI31" i="2"/>
  <c r="FH31" i="2"/>
  <c r="FG31" i="2"/>
  <c r="FF31" i="2"/>
  <c r="FE31" i="2"/>
  <c r="FD31" i="2"/>
  <c r="FC31" i="2"/>
  <c r="FB31" i="2"/>
  <c r="FA31" i="2"/>
  <c r="EZ31" i="2"/>
  <c r="EY31" i="2"/>
  <c r="EX31" i="2"/>
  <c r="EW31" i="2"/>
  <c r="FH30" i="2"/>
  <c r="FG30" i="2"/>
  <c r="FF30" i="2"/>
  <c r="FE30" i="2"/>
  <c r="FD30" i="2"/>
  <c r="FC30" i="2"/>
  <c r="FB30" i="2"/>
  <c r="FA30" i="2"/>
  <c r="EZ30" i="2"/>
  <c r="EY30" i="2"/>
  <c r="EX30" i="2"/>
  <c r="EW30" i="2"/>
  <c r="FH29" i="2"/>
  <c r="FG29" i="2"/>
  <c r="FF29" i="2"/>
  <c r="FE29" i="2"/>
  <c r="FD29" i="2"/>
  <c r="FC29" i="2"/>
  <c r="FB29" i="2"/>
  <c r="FA29" i="2"/>
  <c r="EZ29" i="2"/>
  <c r="EY29" i="2"/>
  <c r="EX29" i="2"/>
  <c r="EW29" i="2"/>
  <c r="ER32" i="2"/>
  <c r="EQ32" i="2"/>
  <c r="EP32" i="2"/>
  <c r="EO32" i="2"/>
  <c r="EN32" i="2"/>
  <c r="EM32" i="2"/>
  <c r="EL32" i="2"/>
  <c r="EK32" i="2"/>
  <c r="EJ32" i="2"/>
  <c r="EI32" i="2"/>
  <c r="EH32" i="2"/>
  <c r="EG32" i="2"/>
  <c r="EF32" i="2"/>
  <c r="EE32" i="2"/>
  <c r="ED32" i="2"/>
  <c r="EC32" i="2"/>
  <c r="EB32" i="2"/>
  <c r="ER31" i="2"/>
  <c r="EQ31" i="2"/>
  <c r="EP31" i="2"/>
  <c r="EO31" i="2"/>
  <c r="EN31" i="2"/>
  <c r="EM31" i="2"/>
  <c r="EL31" i="2"/>
  <c r="EK31" i="2"/>
  <c r="EJ31" i="2"/>
  <c r="EI31" i="2"/>
  <c r="EH31" i="2"/>
  <c r="EG31" i="2"/>
  <c r="EF31" i="2"/>
  <c r="EE31" i="2"/>
  <c r="ED31" i="2"/>
  <c r="EC31" i="2"/>
  <c r="EB31" i="2"/>
  <c r="ER30" i="2"/>
  <c r="EQ30" i="2"/>
  <c r="EP30" i="2"/>
  <c r="EO30" i="2"/>
  <c r="EN30" i="2"/>
  <c r="EM30" i="2"/>
  <c r="EL30" i="2"/>
  <c r="EK30" i="2"/>
  <c r="EJ30" i="2"/>
  <c r="EI30" i="2"/>
  <c r="EH30" i="2"/>
  <c r="EG30" i="2"/>
  <c r="EF30" i="2"/>
  <c r="EE30" i="2"/>
  <c r="ED30" i="2"/>
  <c r="EC30" i="2"/>
  <c r="EB30" i="2"/>
  <c r="ER29" i="2"/>
  <c r="EQ29" i="2"/>
  <c r="EP29" i="2"/>
  <c r="EO29" i="2"/>
  <c r="EN29" i="2"/>
  <c r="EM29" i="2"/>
  <c r="EL29" i="2"/>
  <c r="EK29" i="2"/>
  <c r="EJ29" i="2"/>
  <c r="EI29" i="2"/>
  <c r="EH29" i="2"/>
  <c r="EG29" i="2"/>
  <c r="EF29" i="2"/>
  <c r="EE29" i="2"/>
  <c r="ED29" i="2"/>
  <c r="EC29" i="2"/>
  <c r="EB29" i="2"/>
  <c r="DZ32" i="2"/>
  <c r="DQ32" i="2"/>
  <c r="DP32" i="2"/>
  <c r="DO32" i="2"/>
  <c r="DN32" i="2"/>
  <c r="DN42" i="2" s="1"/>
  <c r="DM32" i="2"/>
  <c r="DM37" i="2" s="1"/>
  <c r="DL32" i="2"/>
  <c r="DK32" i="2"/>
  <c r="DJ32" i="2"/>
  <c r="DZ31" i="2"/>
  <c r="DY31" i="2"/>
  <c r="DX31" i="2"/>
  <c r="DW31" i="2"/>
  <c r="DV31" i="2"/>
  <c r="DU31" i="2"/>
  <c r="DT31" i="2"/>
  <c r="DS31" i="2"/>
  <c r="DR31" i="2"/>
  <c r="DQ31" i="2"/>
  <c r="DP31" i="2"/>
  <c r="DO31" i="2"/>
  <c r="DN31" i="2"/>
  <c r="DN47" i="2" s="1"/>
  <c r="DM31" i="2"/>
  <c r="DL31" i="2"/>
  <c r="DK31" i="2"/>
  <c r="DJ31" i="2"/>
  <c r="DJ47" i="2" s="1"/>
  <c r="DZ30" i="2"/>
  <c r="DY30" i="2"/>
  <c r="DX30" i="2"/>
  <c r="DW30" i="2"/>
  <c r="DV30" i="2"/>
  <c r="DU30" i="2"/>
  <c r="DT30" i="2"/>
  <c r="DS30" i="2"/>
  <c r="DR30" i="2"/>
  <c r="DQ30" i="2"/>
  <c r="DP30" i="2"/>
  <c r="DO30" i="2"/>
  <c r="DN30" i="2"/>
  <c r="DM30" i="2"/>
  <c r="DL30" i="2"/>
  <c r="DK30" i="2"/>
  <c r="DJ30" i="2"/>
  <c r="DZ29" i="2"/>
  <c r="DQ29" i="2"/>
  <c r="DP29" i="2"/>
  <c r="DO29" i="2"/>
  <c r="DN29" i="2"/>
  <c r="DM29" i="2"/>
  <c r="DL29" i="2"/>
  <c r="DK29" i="2"/>
  <c r="DJ29" i="2"/>
  <c r="BM32" i="2"/>
  <c r="BL32" i="2"/>
  <c r="BK32" i="2"/>
  <c r="BJ32" i="2"/>
  <c r="BI32" i="2"/>
  <c r="BH32" i="2"/>
  <c r="BG32" i="2"/>
  <c r="BF32" i="2"/>
  <c r="BE32" i="2"/>
  <c r="BD32" i="2"/>
  <c r="BC32" i="2"/>
  <c r="BB32" i="2"/>
  <c r="BA32" i="2"/>
  <c r="AZ32" i="2"/>
  <c r="AY32" i="2"/>
  <c r="AX32" i="2"/>
  <c r="AW32" i="2"/>
  <c r="AV32" i="2"/>
  <c r="AU32" i="2"/>
  <c r="AT32" i="2"/>
  <c r="AS32" i="2"/>
  <c r="AR32" i="2"/>
  <c r="AQ32" i="2"/>
  <c r="AP32" i="2"/>
  <c r="AO32" i="2"/>
  <c r="AN32" i="2"/>
  <c r="AM32" i="2"/>
  <c r="AL32" i="2"/>
  <c r="AK32" i="2"/>
  <c r="AJ32" i="2"/>
  <c r="AI32" i="2"/>
  <c r="AH32" i="2"/>
  <c r="AG32" i="2"/>
  <c r="AF32" i="2"/>
  <c r="AE32" i="2"/>
  <c r="AD32" i="2"/>
  <c r="AC32" i="2"/>
  <c r="AB32" i="2"/>
  <c r="AA32" i="2"/>
  <c r="Z32" i="2"/>
  <c r="Y32" i="2"/>
  <c r="X32" i="2"/>
  <c r="W32" i="2"/>
  <c r="V32" i="2"/>
  <c r="U32" i="2"/>
  <c r="T32" i="2"/>
  <c r="S32" i="2"/>
  <c r="R32" i="2"/>
  <c r="Q32" i="2"/>
  <c r="P32" i="2"/>
  <c r="O32" i="2"/>
  <c r="N32" i="2"/>
  <c r="M32" i="2"/>
  <c r="L32" i="2"/>
  <c r="K32" i="2"/>
  <c r="J32" i="2"/>
  <c r="I32" i="2"/>
  <c r="H32" i="2"/>
  <c r="G32" i="2"/>
  <c r="F32" i="2"/>
  <c r="E32" i="2"/>
  <c r="D32" i="2"/>
  <c r="C32" i="2"/>
  <c r="B32" i="2"/>
  <c r="BM31" i="2"/>
  <c r="BL31" i="2"/>
  <c r="BK31" i="2"/>
  <c r="BJ31" i="2"/>
  <c r="BI31" i="2"/>
  <c r="BH31" i="2"/>
  <c r="BG31" i="2"/>
  <c r="BF31" i="2"/>
  <c r="BE31" i="2"/>
  <c r="BD31" i="2"/>
  <c r="BC31" i="2"/>
  <c r="BB31" i="2"/>
  <c r="BA31" i="2"/>
  <c r="AZ31" i="2"/>
  <c r="AY31" i="2"/>
  <c r="AX31" i="2"/>
  <c r="AW31" i="2"/>
  <c r="AV31" i="2"/>
  <c r="AU31" i="2"/>
  <c r="AT31" i="2"/>
  <c r="AS31" i="2"/>
  <c r="AR31" i="2"/>
  <c r="AQ31" i="2"/>
  <c r="AP31" i="2"/>
  <c r="AO31" i="2"/>
  <c r="AN31" i="2"/>
  <c r="AM31" i="2"/>
  <c r="AL31" i="2"/>
  <c r="AK31" i="2"/>
  <c r="AJ31" i="2"/>
  <c r="AI31" i="2"/>
  <c r="AH31" i="2"/>
  <c r="AG31" i="2"/>
  <c r="AF31" i="2"/>
  <c r="AE31" i="2"/>
  <c r="AD31" i="2"/>
  <c r="AC31" i="2"/>
  <c r="AB31" i="2"/>
  <c r="AA31" i="2"/>
  <c r="Z31" i="2"/>
  <c r="Y31" i="2"/>
  <c r="X31" i="2"/>
  <c r="W31" i="2"/>
  <c r="V31" i="2"/>
  <c r="U31" i="2"/>
  <c r="T31" i="2"/>
  <c r="S31" i="2"/>
  <c r="R31" i="2"/>
  <c r="Q31" i="2"/>
  <c r="P31" i="2"/>
  <c r="O31" i="2"/>
  <c r="N31" i="2"/>
  <c r="M31" i="2"/>
  <c r="L31" i="2"/>
  <c r="K31" i="2"/>
  <c r="J31" i="2"/>
  <c r="I31" i="2"/>
  <c r="H31" i="2"/>
  <c r="G31" i="2"/>
  <c r="F31" i="2"/>
  <c r="E31" i="2"/>
  <c r="D31" i="2"/>
  <c r="C31" i="2"/>
  <c r="B31" i="2"/>
  <c r="BM30" i="2"/>
  <c r="BL30" i="2"/>
  <c r="BK30" i="2"/>
  <c r="BJ30" i="2"/>
  <c r="BI30" i="2"/>
  <c r="BH30" i="2"/>
  <c r="BG30" i="2"/>
  <c r="BF30" i="2"/>
  <c r="BE30" i="2"/>
  <c r="BD30" i="2"/>
  <c r="BC30" i="2"/>
  <c r="BB30" i="2"/>
  <c r="BA30" i="2"/>
  <c r="AZ30" i="2"/>
  <c r="AY30" i="2"/>
  <c r="AX30" i="2"/>
  <c r="AW30" i="2"/>
  <c r="AV30" i="2"/>
  <c r="AU30" i="2"/>
  <c r="AT30" i="2"/>
  <c r="AS30" i="2"/>
  <c r="AR30" i="2"/>
  <c r="AQ30" i="2"/>
  <c r="AP30" i="2"/>
  <c r="AO30" i="2"/>
  <c r="AN30" i="2"/>
  <c r="AM30" i="2"/>
  <c r="AL30" i="2"/>
  <c r="AK30" i="2"/>
  <c r="AJ30" i="2"/>
  <c r="AI30" i="2"/>
  <c r="AH30" i="2"/>
  <c r="AG30" i="2"/>
  <c r="AF30" i="2"/>
  <c r="AE30" i="2"/>
  <c r="AD30" i="2"/>
  <c r="AC30" i="2"/>
  <c r="AB30" i="2"/>
  <c r="AA30" i="2"/>
  <c r="Z30" i="2"/>
  <c r="Y30" i="2"/>
  <c r="X30" i="2"/>
  <c r="W30" i="2"/>
  <c r="V30" i="2"/>
  <c r="U30" i="2"/>
  <c r="T30" i="2"/>
  <c r="S30" i="2"/>
  <c r="R30" i="2"/>
  <c r="Q30" i="2"/>
  <c r="P30" i="2"/>
  <c r="O30" i="2"/>
  <c r="N30" i="2"/>
  <c r="M30" i="2"/>
  <c r="L30" i="2"/>
  <c r="K30" i="2"/>
  <c r="J30" i="2"/>
  <c r="I30" i="2"/>
  <c r="H30" i="2"/>
  <c r="G30" i="2"/>
  <c r="F30" i="2"/>
  <c r="E30" i="2"/>
  <c r="D30" i="2"/>
  <c r="C30" i="2"/>
  <c r="B30" i="2"/>
  <c r="BM29" i="2"/>
  <c r="BL29" i="2"/>
  <c r="BK29" i="2"/>
  <c r="BJ29" i="2"/>
  <c r="BI29" i="2"/>
  <c r="BH29" i="2"/>
  <c r="BG29" i="2"/>
  <c r="BF29" i="2"/>
  <c r="BE29" i="2"/>
  <c r="BD29" i="2"/>
  <c r="BC29" i="2"/>
  <c r="BB29" i="2"/>
  <c r="BA29" i="2"/>
  <c r="AZ29" i="2"/>
  <c r="AY29" i="2"/>
  <c r="AX29" i="2"/>
  <c r="AW29" i="2"/>
  <c r="AV29" i="2"/>
  <c r="AU29" i="2"/>
  <c r="AT29" i="2"/>
  <c r="AS29" i="2"/>
  <c r="AR29" i="2"/>
  <c r="AQ29" i="2"/>
  <c r="AP29" i="2"/>
  <c r="AO29" i="2"/>
  <c r="AN29" i="2"/>
  <c r="AM29" i="2"/>
  <c r="AL29" i="2"/>
  <c r="AK29" i="2"/>
  <c r="AJ29" i="2"/>
  <c r="AI29" i="2"/>
  <c r="AH29" i="2"/>
  <c r="AG29" i="2"/>
  <c r="AF29" i="2"/>
  <c r="AE29" i="2"/>
  <c r="AD29" i="2"/>
  <c r="AC29" i="2"/>
  <c r="AB29" i="2"/>
  <c r="AA29" i="2"/>
  <c r="Z29" i="2"/>
  <c r="Y29" i="2"/>
  <c r="X29" i="2"/>
  <c r="W29" i="2"/>
  <c r="V29" i="2"/>
  <c r="U29" i="2"/>
  <c r="T29" i="2"/>
  <c r="S29" i="2"/>
  <c r="R29" i="2"/>
  <c r="Q29" i="2"/>
  <c r="P29" i="2"/>
  <c r="O29" i="2"/>
  <c r="N29" i="2"/>
  <c r="M29" i="2"/>
  <c r="L29" i="2"/>
  <c r="K29" i="2"/>
  <c r="J29" i="2"/>
  <c r="I29" i="2"/>
  <c r="H29" i="2"/>
  <c r="G29" i="2"/>
  <c r="F29" i="2"/>
  <c r="E29" i="2"/>
  <c r="D29" i="2"/>
  <c r="C29" i="2"/>
  <c r="B29" i="2"/>
  <c r="DZ27" i="2"/>
  <c r="DQ27" i="2"/>
  <c r="DP27" i="2"/>
  <c r="DO27" i="2"/>
  <c r="DN27" i="2"/>
  <c r="DM27" i="2"/>
  <c r="DL27" i="2"/>
  <c r="DK27" i="2"/>
  <c r="DJ27" i="2"/>
  <c r="DI27" i="2"/>
  <c r="DH27" i="2"/>
  <c r="DG27" i="2"/>
  <c r="DF27" i="2"/>
  <c r="DE27" i="2"/>
  <c r="DD27" i="2"/>
  <c r="DC27" i="2"/>
  <c r="DB27" i="2"/>
  <c r="DA27" i="2"/>
  <c r="CZ27" i="2"/>
  <c r="CY27" i="2"/>
  <c r="CX27" i="2"/>
  <c r="CW27" i="2"/>
  <c r="CV27" i="2"/>
  <c r="CU27" i="2"/>
  <c r="CT27" i="2"/>
  <c r="CS27" i="2"/>
  <c r="CR27" i="2"/>
  <c r="CQ27" i="2"/>
  <c r="CP27" i="2"/>
  <c r="CO27" i="2"/>
  <c r="CN27" i="2"/>
  <c r="CM27" i="2"/>
  <c r="CL27" i="2"/>
  <c r="CK27" i="2"/>
  <c r="CJ27" i="2"/>
  <c r="CI27" i="2"/>
  <c r="CH27" i="2"/>
  <c r="CG27" i="2"/>
  <c r="CF27" i="2"/>
  <c r="CE27" i="2"/>
  <c r="CD27" i="2"/>
  <c r="CC27" i="2"/>
  <c r="CB27" i="2"/>
  <c r="CA27" i="2"/>
  <c r="BZ27" i="2"/>
  <c r="BY27" i="2"/>
  <c r="BX27" i="2"/>
  <c r="BW27" i="2"/>
  <c r="BV27" i="2"/>
  <c r="BU27" i="2"/>
  <c r="BT27" i="2"/>
  <c r="BS27" i="2"/>
  <c r="BR27" i="2"/>
  <c r="BQ27" i="2"/>
  <c r="BP27" i="2"/>
  <c r="BO27" i="2"/>
  <c r="BN27" i="2"/>
  <c r="BM27" i="2"/>
  <c r="BL27" i="2"/>
  <c r="BK27" i="2"/>
  <c r="BJ27" i="2"/>
  <c r="BI27" i="2"/>
  <c r="BH27" i="2"/>
  <c r="BG27" i="2"/>
  <c r="BF27" i="2"/>
  <c r="BE27" i="2"/>
  <c r="BD27" i="2"/>
  <c r="BC27" i="2"/>
  <c r="BB27" i="2"/>
  <c r="BA27" i="2"/>
  <c r="AZ27" i="2"/>
  <c r="AY27" i="2"/>
  <c r="AX27" i="2"/>
  <c r="AW27" i="2"/>
  <c r="AV27" i="2"/>
  <c r="AU27" i="2"/>
  <c r="AT27" i="2"/>
  <c r="AS27" i="2"/>
  <c r="AR27" i="2"/>
  <c r="AQ27" i="2"/>
  <c r="AP27" i="2"/>
  <c r="AO27" i="2"/>
  <c r="AN27" i="2"/>
  <c r="AM27" i="2"/>
  <c r="AL27" i="2"/>
  <c r="AK27" i="2"/>
  <c r="AJ27" i="2"/>
  <c r="AI27" i="2"/>
  <c r="AH27" i="2"/>
  <c r="AG27" i="2"/>
  <c r="AF27" i="2"/>
  <c r="AE27" i="2"/>
  <c r="AD27" i="2"/>
  <c r="AC27" i="2"/>
  <c r="AB27" i="2"/>
  <c r="AA27" i="2"/>
  <c r="Z27" i="2"/>
  <c r="Y27" i="2"/>
  <c r="X27" i="2"/>
  <c r="W27" i="2"/>
  <c r="V27" i="2"/>
  <c r="U27" i="2"/>
  <c r="T27" i="2"/>
  <c r="S27" i="2"/>
  <c r="R27" i="2"/>
  <c r="Q27" i="2"/>
  <c r="P27" i="2"/>
  <c r="O27" i="2"/>
  <c r="N27" i="2"/>
  <c r="M27" i="2"/>
  <c r="L27" i="2"/>
  <c r="K27" i="2"/>
  <c r="J27" i="2"/>
  <c r="I27" i="2"/>
  <c r="H27" i="2"/>
  <c r="G27" i="2"/>
  <c r="F27" i="2"/>
  <c r="E27" i="2"/>
  <c r="D27" i="2"/>
  <c r="C27" i="2"/>
  <c r="B27" i="2"/>
  <c r="A27" i="2"/>
  <c r="FH27" i="2"/>
  <c r="FG27" i="2"/>
  <c r="FF27" i="2"/>
  <c r="FE27" i="2"/>
  <c r="FD27" i="2"/>
  <c r="FC27" i="2"/>
  <c r="FB27" i="2"/>
  <c r="FA27" i="2"/>
  <c r="EZ27" i="2"/>
  <c r="EY27" i="2"/>
  <c r="EX27" i="2"/>
  <c r="EW27" i="2"/>
  <c r="EV27" i="2"/>
  <c r="EU27" i="2"/>
  <c r="ET27" i="2"/>
  <c r="ES27" i="2"/>
  <c r="ER27" i="2"/>
  <c r="EQ27" i="2"/>
  <c r="EP27" i="2"/>
  <c r="EO27" i="2"/>
  <c r="EN27" i="2"/>
  <c r="EM27" i="2"/>
  <c r="EL27" i="2"/>
  <c r="EK27" i="2"/>
  <c r="EJ27" i="2"/>
  <c r="EI27" i="2"/>
  <c r="EH27" i="2"/>
  <c r="EG27" i="2"/>
  <c r="EF27" i="2"/>
  <c r="EE27" i="2"/>
  <c r="ED27" i="2"/>
  <c r="EC27" i="2"/>
  <c r="EB27" i="2"/>
  <c r="FS26" i="2"/>
  <c r="FR26" i="2"/>
  <c r="FP26" i="2"/>
  <c r="FN26" i="2"/>
  <c r="FL26" i="2"/>
  <c r="FJ26" i="2"/>
  <c r="FH26" i="2"/>
  <c r="FF26" i="2"/>
  <c r="FD26" i="2"/>
  <c r="FB26" i="2"/>
  <c r="EZ26" i="2"/>
  <c r="EX26" i="2"/>
  <c r="EV26" i="2"/>
  <c r="ET26" i="2"/>
  <c r="ER26" i="2"/>
  <c r="EP26" i="2"/>
  <c r="EN26" i="2"/>
  <c r="EL26" i="2"/>
  <c r="EJ26" i="2"/>
  <c r="EI26" i="2"/>
  <c r="EH26" i="2"/>
  <c r="EF26" i="2"/>
  <c r="ED26" i="2"/>
  <c r="EB26" i="2"/>
  <c r="DY26" i="2"/>
  <c r="DW26" i="2"/>
  <c r="DU26" i="2"/>
  <c r="DS26" i="2"/>
  <c r="DQ26" i="2"/>
  <c r="DO26" i="2"/>
  <c r="DM26" i="2"/>
  <c r="DK26" i="2"/>
  <c r="FH24" i="2"/>
  <c r="FG24" i="2"/>
  <c r="FF24" i="2"/>
  <c r="FE24" i="2"/>
  <c r="FD24" i="2"/>
  <c r="FC24" i="2"/>
  <c r="FB24" i="2"/>
  <c r="FA24" i="2"/>
  <c r="EZ24" i="2"/>
  <c r="EY24" i="2"/>
  <c r="EX24" i="2"/>
  <c r="DZ24" i="2"/>
  <c r="DQ24" i="2"/>
  <c r="DP24" i="2"/>
  <c r="DO24" i="2"/>
  <c r="DN24" i="2"/>
  <c r="DM24" i="2"/>
  <c r="DL24" i="2"/>
  <c r="DK24" i="2"/>
  <c r="DJ24" i="2"/>
  <c r="DI24" i="2"/>
  <c r="DH24" i="2"/>
  <c r="DG24" i="2"/>
  <c r="DF24" i="2"/>
  <c r="DE24" i="2"/>
  <c r="DD24" i="2"/>
  <c r="DC24" i="2"/>
  <c r="DB24" i="2"/>
  <c r="DA24" i="2"/>
  <c r="CZ24" i="2"/>
  <c r="CY24" i="2"/>
  <c r="CX24" i="2"/>
  <c r="CW24" i="2"/>
  <c r="CV24" i="2"/>
  <c r="CU24" i="2"/>
  <c r="CT24" i="2"/>
  <c r="CS24" i="2"/>
  <c r="CR24" i="2"/>
  <c r="CQ24" i="2"/>
  <c r="CP24" i="2"/>
  <c r="CO24" i="2"/>
  <c r="CN24" i="2"/>
  <c r="CM24" i="2"/>
  <c r="CL24" i="2"/>
  <c r="CK24" i="2"/>
  <c r="CJ24" i="2"/>
  <c r="CI24" i="2"/>
  <c r="CH24" i="2"/>
  <c r="CG24" i="2"/>
  <c r="CF24" i="2"/>
  <c r="CE24" i="2"/>
  <c r="CD24" i="2"/>
  <c r="CC24" i="2"/>
  <c r="CB24" i="2"/>
  <c r="CA24" i="2"/>
  <c r="BZ24" i="2"/>
  <c r="BY24" i="2"/>
  <c r="BX24" i="2"/>
  <c r="BW24" i="2"/>
  <c r="BV24" i="2"/>
  <c r="BU24" i="2"/>
  <c r="BT24" i="2"/>
  <c r="BS24" i="2"/>
  <c r="BR24" i="2"/>
  <c r="BQ24" i="2"/>
  <c r="BP24" i="2"/>
  <c r="BO24" i="2"/>
  <c r="BN24" i="2"/>
  <c r="BM24" i="2"/>
  <c r="BL24" i="2"/>
  <c r="BK24" i="2"/>
  <c r="BJ24" i="2"/>
  <c r="BI24" i="2"/>
  <c r="BH24" i="2"/>
  <c r="BG24" i="2"/>
  <c r="BF24" i="2"/>
  <c r="BE24" i="2"/>
  <c r="BD24" i="2"/>
  <c r="BC24" i="2"/>
  <c r="BB24" i="2"/>
  <c r="BA24" i="2"/>
  <c r="AZ24" i="2"/>
  <c r="AY24" i="2"/>
  <c r="AX24" i="2"/>
  <c r="AW24" i="2"/>
  <c r="AV24" i="2"/>
  <c r="AU24" i="2"/>
  <c r="AT24" i="2"/>
  <c r="AS24" i="2"/>
  <c r="AR24" i="2"/>
  <c r="AQ24" i="2"/>
  <c r="AP24" i="2"/>
  <c r="AO24" i="2"/>
  <c r="AN24" i="2"/>
  <c r="AM24" i="2"/>
  <c r="AL24" i="2"/>
  <c r="AK24" i="2"/>
  <c r="AJ24" i="2"/>
  <c r="AI24" i="2"/>
  <c r="AH24" i="2"/>
  <c r="AG24" i="2"/>
  <c r="AF24" i="2"/>
  <c r="AE24" i="2"/>
  <c r="AD24" i="2"/>
  <c r="AC24" i="2"/>
  <c r="AB24" i="2"/>
  <c r="AA24" i="2"/>
  <c r="Z24" i="2"/>
  <c r="Y24" i="2"/>
  <c r="X24" i="2"/>
  <c r="W24" i="2"/>
  <c r="V24" i="2"/>
  <c r="U24" i="2"/>
  <c r="T24" i="2"/>
  <c r="S24" i="2"/>
  <c r="R24" i="2"/>
  <c r="Q24" i="2"/>
  <c r="P24" i="2"/>
  <c r="O24" i="2"/>
  <c r="N24" i="2"/>
  <c r="M24" i="2"/>
  <c r="L24" i="2"/>
  <c r="K24" i="2"/>
  <c r="J24" i="2"/>
  <c r="I24" i="2"/>
  <c r="H24" i="2"/>
  <c r="G24" i="2"/>
  <c r="F24" i="2"/>
  <c r="E24" i="2"/>
  <c r="D24" i="2"/>
  <c r="C24" i="2"/>
  <c r="B24" i="2"/>
  <c r="A24" i="2"/>
  <c r="FS21" i="2"/>
  <c r="FR21" i="2"/>
  <c r="FQ21" i="2"/>
  <c r="FQ26" i="2" s="1"/>
  <c r="FP21" i="2"/>
  <c r="FO21" i="2"/>
  <c r="FO26" i="2" s="1"/>
  <c r="FN21" i="2"/>
  <c r="FM21" i="2"/>
  <c r="FM26" i="2" s="1"/>
  <c r="FL21" i="2"/>
  <c r="FK21" i="2"/>
  <c r="FK26" i="2" s="1"/>
  <c r="FJ21" i="2"/>
  <c r="FI21" i="2"/>
  <c r="FI26" i="2" s="1"/>
  <c r="FH21" i="2"/>
  <c r="FG21" i="2"/>
  <c r="FG26" i="2" s="1"/>
  <c r="FF21" i="2"/>
  <c r="FE21" i="2"/>
  <c r="FE26" i="2" s="1"/>
  <c r="FD21" i="2"/>
  <c r="FC21" i="2"/>
  <c r="FC26" i="2" s="1"/>
  <c r="FB21" i="2"/>
  <c r="FA21" i="2"/>
  <c r="FA26" i="2" s="1"/>
  <c r="EZ21" i="2"/>
  <c r="EY21" i="2"/>
  <c r="EY26" i="2" s="1"/>
  <c r="EX21" i="2"/>
  <c r="EW21" i="2"/>
  <c r="EW26" i="2" s="1"/>
  <c r="EV21" i="2"/>
  <c r="EU21" i="2"/>
  <c r="EU26" i="2" s="1"/>
  <c r="ET21" i="2"/>
  <c r="ES21" i="2"/>
  <c r="ES26" i="2" s="1"/>
  <c r="ER21" i="2"/>
  <c r="EQ21" i="2"/>
  <c r="EQ26" i="2" s="1"/>
  <c r="FH20" i="2"/>
  <c r="FG20" i="2"/>
  <c r="FF20" i="2"/>
  <c r="FE20" i="2"/>
  <c r="FE22" i="2" s="1"/>
  <c r="FD20" i="2"/>
  <c r="FC20" i="2"/>
  <c r="FB20" i="2"/>
  <c r="FA20" i="2"/>
  <c r="FA22" i="2" s="1"/>
  <c r="EZ20" i="2"/>
  <c r="EY20" i="2"/>
  <c r="EX20" i="2"/>
  <c r="EW20" i="2"/>
  <c r="EW22" i="2" s="1"/>
  <c r="EV20" i="2"/>
  <c r="EU20" i="2"/>
  <c r="ET20" i="2"/>
  <c r="ES20" i="2"/>
  <c r="ES22" i="2" s="1"/>
  <c r="ER20" i="2"/>
  <c r="EQ20" i="2"/>
  <c r="EP21" i="2"/>
  <c r="EO21" i="2"/>
  <c r="EO26" i="2" s="1"/>
  <c r="EN21" i="2"/>
  <c r="EM21" i="2"/>
  <c r="EM26" i="2" s="1"/>
  <c r="EL21" i="2"/>
  <c r="EK21" i="2"/>
  <c r="EK26" i="2" s="1"/>
  <c r="EJ21" i="2"/>
  <c r="EI21" i="2"/>
  <c r="EH21" i="2"/>
  <c r="EG21" i="2"/>
  <c r="EG26" i="2" s="1"/>
  <c r="EF21" i="2"/>
  <c r="EE21" i="2"/>
  <c r="EE26" i="2" s="1"/>
  <c r="ED21" i="2"/>
  <c r="EC21" i="2"/>
  <c r="EC26" i="2" s="1"/>
  <c r="EB21" i="2"/>
  <c r="EP20" i="2"/>
  <c r="EO20" i="2"/>
  <c r="EN20" i="2"/>
  <c r="EM20" i="2"/>
  <c r="EL20" i="2"/>
  <c r="EK20" i="2"/>
  <c r="EJ20" i="2"/>
  <c r="EI20" i="2"/>
  <c r="EH20" i="2"/>
  <c r="EG20" i="2"/>
  <c r="EF20" i="2"/>
  <c r="EE20" i="2"/>
  <c r="ED20" i="2"/>
  <c r="EC20" i="2"/>
  <c r="EB20" i="2"/>
  <c r="A20" i="2"/>
  <c r="A18" i="2"/>
  <c r="A17" i="2"/>
  <c r="A16" i="2"/>
  <c r="A15" i="2"/>
  <c r="A14" i="2"/>
  <c r="A13" i="2"/>
  <c r="A12" i="2"/>
  <c r="A11" i="2"/>
  <c r="A10" i="2"/>
  <c r="A9" i="2"/>
  <c r="A8" i="2"/>
  <c r="FH19" i="2"/>
  <c r="FG19" i="2"/>
  <c r="FF19" i="2"/>
  <c r="FE19" i="2"/>
  <c r="FD19" i="2"/>
  <c r="FC19" i="2"/>
  <c r="FB19" i="2"/>
  <c r="FA19" i="2"/>
  <c r="EZ19" i="2"/>
  <c r="EY19" i="2"/>
  <c r="EX19" i="2"/>
  <c r="FH18" i="2"/>
  <c r="FG18" i="2"/>
  <c r="FF18" i="2"/>
  <c r="FE18" i="2"/>
  <c r="FD18" i="2"/>
  <c r="FC18" i="2"/>
  <c r="FB18" i="2"/>
  <c r="FA18" i="2"/>
  <c r="EZ18" i="2"/>
  <c r="EY18" i="2"/>
  <c r="EX18" i="2"/>
  <c r="FH17" i="2"/>
  <c r="FG17" i="2"/>
  <c r="FF17" i="2"/>
  <c r="FE17" i="2"/>
  <c r="FD17" i="2"/>
  <c r="FC17" i="2"/>
  <c r="FB17" i="2"/>
  <c r="FA17" i="2"/>
  <c r="EZ17" i="2"/>
  <c r="EY17" i="2"/>
  <c r="EX17" i="2"/>
  <c r="FH16" i="2"/>
  <c r="FG16" i="2"/>
  <c r="FF16" i="2"/>
  <c r="FE16" i="2"/>
  <c r="FD16" i="2"/>
  <c r="FC16" i="2"/>
  <c r="FB16" i="2"/>
  <c r="FA16" i="2"/>
  <c r="EZ16" i="2"/>
  <c r="EY16" i="2"/>
  <c r="EX16" i="2"/>
  <c r="FH15" i="2"/>
  <c r="FG15" i="2"/>
  <c r="FF15" i="2"/>
  <c r="FE15" i="2"/>
  <c r="FD15" i="2"/>
  <c r="FC15" i="2"/>
  <c r="FB15" i="2"/>
  <c r="FA15" i="2"/>
  <c r="EZ15" i="2"/>
  <c r="EY15" i="2"/>
  <c r="EX15" i="2"/>
  <c r="FH14" i="2"/>
  <c r="FG14" i="2"/>
  <c r="FF14" i="2"/>
  <c r="FE14" i="2"/>
  <c r="FD14" i="2"/>
  <c r="FC14" i="2"/>
  <c r="FB14" i="2"/>
  <c r="FA14" i="2"/>
  <c r="EZ14" i="2"/>
  <c r="EY14" i="2"/>
  <c r="EX14" i="2"/>
  <c r="FR13" i="2"/>
  <c r="FP13" i="2"/>
  <c r="FN13" i="2"/>
  <c r="FL13" i="2"/>
  <c r="FJ13" i="2"/>
  <c r="FH13" i="2"/>
  <c r="FG13" i="2"/>
  <c r="FF13" i="2"/>
  <c r="FE13" i="2"/>
  <c r="FD13" i="2"/>
  <c r="FC13" i="2"/>
  <c r="FB13" i="2"/>
  <c r="FA13" i="2"/>
  <c r="EZ13" i="2"/>
  <c r="EY13" i="2"/>
  <c r="EX13" i="2"/>
  <c r="FS12" i="2"/>
  <c r="FR12" i="2"/>
  <c r="FQ12" i="2"/>
  <c r="FP12" i="2"/>
  <c r="FO12" i="2"/>
  <c r="FN12" i="2"/>
  <c r="FM12" i="2"/>
  <c r="FL12" i="2"/>
  <c r="FK12" i="2"/>
  <c r="FJ12" i="2"/>
  <c r="FI12" i="2"/>
  <c r="FH12" i="2"/>
  <c r="FG12" i="2"/>
  <c r="FF12" i="2"/>
  <c r="FE12" i="2"/>
  <c r="FD12" i="2"/>
  <c r="FC12" i="2"/>
  <c r="FB12" i="2"/>
  <c r="FA12" i="2"/>
  <c r="EZ12" i="2"/>
  <c r="EY12" i="2"/>
  <c r="EX12" i="2"/>
  <c r="FH11" i="2"/>
  <c r="FG11" i="2"/>
  <c r="FF11" i="2"/>
  <c r="FE11" i="2"/>
  <c r="FD11" i="2"/>
  <c r="FC11" i="2"/>
  <c r="FB11" i="2"/>
  <c r="FA11" i="2"/>
  <c r="EZ11" i="2"/>
  <c r="EY11" i="2"/>
  <c r="EX11" i="2"/>
  <c r="FR10" i="2"/>
  <c r="FP10" i="2"/>
  <c r="FN10" i="2"/>
  <c r="FL10" i="2"/>
  <c r="FJ10" i="2"/>
  <c r="FH10" i="2"/>
  <c r="FG10" i="2"/>
  <c r="FF10" i="2"/>
  <c r="FE10" i="2"/>
  <c r="FD10" i="2"/>
  <c r="FC10" i="2"/>
  <c r="FB10" i="2"/>
  <c r="FA10" i="2"/>
  <c r="EZ10" i="2"/>
  <c r="EY10" i="2"/>
  <c r="EX10" i="2"/>
  <c r="FS9" i="2"/>
  <c r="FR9" i="2"/>
  <c r="FQ9" i="2"/>
  <c r="FP9" i="2"/>
  <c r="FO9" i="2"/>
  <c r="FN9" i="2"/>
  <c r="FM9" i="2"/>
  <c r="FL9" i="2"/>
  <c r="FK9" i="2"/>
  <c r="FJ9" i="2"/>
  <c r="FI9" i="2"/>
  <c r="FH9" i="2"/>
  <c r="FG9" i="2"/>
  <c r="FF9" i="2"/>
  <c r="FE9" i="2"/>
  <c r="FD9" i="2"/>
  <c r="FC9" i="2"/>
  <c r="FB9" i="2"/>
  <c r="FA9" i="2"/>
  <c r="EZ9" i="2"/>
  <c r="EY9" i="2"/>
  <c r="EX9" i="2"/>
  <c r="FH8" i="2"/>
  <c r="FG8" i="2"/>
  <c r="FF8" i="2"/>
  <c r="FE8" i="2"/>
  <c r="FD8" i="2"/>
  <c r="FC8" i="2"/>
  <c r="FB8" i="2"/>
  <c r="FA8" i="2"/>
  <c r="EZ8" i="2"/>
  <c r="EY8" i="2"/>
  <c r="EX8" i="2"/>
  <c r="EW18" i="2"/>
  <c r="EV18" i="2"/>
  <c r="EU18" i="2"/>
  <c r="ET18" i="2"/>
  <c r="ES18" i="2"/>
  <c r="ER18" i="2"/>
  <c r="EQ18" i="2"/>
  <c r="EP18" i="2"/>
  <c r="EO18" i="2"/>
  <c r="EN18" i="2"/>
  <c r="EM18" i="2"/>
  <c r="EL18" i="2"/>
  <c r="EK18" i="2"/>
  <c r="EJ18" i="2"/>
  <c r="EI18" i="2"/>
  <c r="EH18" i="2"/>
  <c r="EG18" i="2"/>
  <c r="EF18" i="2"/>
  <c r="EE18" i="2"/>
  <c r="ED18" i="2"/>
  <c r="EC18" i="2"/>
  <c r="EB18" i="2"/>
  <c r="EW17" i="2"/>
  <c r="EV17" i="2"/>
  <c r="EU17" i="2"/>
  <c r="ET17" i="2"/>
  <c r="ES17" i="2"/>
  <c r="ER17" i="2"/>
  <c r="EQ17" i="2"/>
  <c r="EP17" i="2"/>
  <c r="EO17" i="2"/>
  <c r="EN17" i="2"/>
  <c r="EM17" i="2"/>
  <c r="EL17" i="2"/>
  <c r="EK17" i="2"/>
  <c r="EJ17" i="2"/>
  <c r="EI17" i="2"/>
  <c r="EH17" i="2"/>
  <c r="EG17" i="2"/>
  <c r="EF17" i="2"/>
  <c r="EE17" i="2"/>
  <c r="ED17" i="2"/>
  <c r="EC17" i="2"/>
  <c r="EB17" i="2"/>
  <c r="EW16" i="2"/>
  <c r="EV16" i="2"/>
  <c r="EU16" i="2"/>
  <c r="ET16" i="2"/>
  <c r="ES16" i="2"/>
  <c r="ER16" i="2"/>
  <c r="EQ16" i="2"/>
  <c r="EP16" i="2"/>
  <c r="EO16" i="2"/>
  <c r="EN16" i="2"/>
  <c r="EM16" i="2"/>
  <c r="EL16" i="2"/>
  <c r="EK16" i="2"/>
  <c r="EJ16" i="2"/>
  <c r="EI16" i="2"/>
  <c r="EH16" i="2"/>
  <c r="EG16" i="2"/>
  <c r="EF16" i="2"/>
  <c r="EE16" i="2"/>
  <c r="ED16" i="2"/>
  <c r="EC16" i="2"/>
  <c r="EB16" i="2"/>
  <c r="EW15" i="2"/>
  <c r="EV15" i="2"/>
  <c r="EU15" i="2"/>
  <c r="ET15" i="2"/>
  <c r="ES15" i="2"/>
  <c r="ER15" i="2"/>
  <c r="EQ15" i="2"/>
  <c r="EP15" i="2"/>
  <c r="EO15" i="2"/>
  <c r="EN15" i="2"/>
  <c r="EM15" i="2"/>
  <c r="EL15" i="2"/>
  <c r="EK15" i="2"/>
  <c r="EJ15" i="2"/>
  <c r="EI15" i="2"/>
  <c r="EH15" i="2"/>
  <c r="EG15" i="2"/>
  <c r="EF15" i="2"/>
  <c r="EE15" i="2"/>
  <c r="ED15" i="2"/>
  <c r="EC15" i="2"/>
  <c r="EB15" i="2"/>
  <c r="EW14" i="2"/>
  <c r="EV14" i="2"/>
  <c r="EU14" i="2"/>
  <c r="ET14" i="2"/>
  <c r="ES14" i="2"/>
  <c r="ER14" i="2"/>
  <c r="EQ14" i="2"/>
  <c r="EP14" i="2"/>
  <c r="EO14" i="2"/>
  <c r="EN14" i="2"/>
  <c r="EM14" i="2"/>
  <c r="EL14" i="2"/>
  <c r="EK14" i="2"/>
  <c r="EJ14" i="2"/>
  <c r="EI14" i="2"/>
  <c r="EH14" i="2"/>
  <c r="EG14" i="2"/>
  <c r="EF14" i="2"/>
  <c r="EE14" i="2"/>
  <c r="ED14" i="2"/>
  <c r="EC14" i="2"/>
  <c r="EB14" i="2"/>
  <c r="EW13" i="2"/>
  <c r="EV13" i="2"/>
  <c r="EU13" i="2"/>
  <c r="ET13" i="2"/>
  <c r="ES13" i="2"/>
  <c r="ER13" i="2"/>
  <c r="EQ13" i="2"/>
  <c r="EP13" i="2"/>
  <c r="EO13" i="2"/>
  <c r="EN13" i="2"/>
  <c r="EM13" i="2"/>
  <c r="EL13" i="2"/>
  <c r="EK13" i="2"/>
  <c r="EJ13" i="2"/>
  <c r="EI13" i="2"/>
  <c r="EH13" i="2"/>
  <c r="EG13" i="2"/>
  <c r="EF13" i="2"/>
  <c r="EE13" i="2"/>
  <c r="ED13" i="2"/>
  <c r="EC13" i="2"/>
  <c r="EB13" i="2"/>
  <c r="EW12" i="2"/>
  <c r="EV12" i="2"/>
  <c r="EU12" i="2"/>
  <c r="ET12" i="2"/>
  <c r="ES12" i="2"/>
  <c r="ER12" i="2"/>
  <c r="EQ12" i="2"/>
  <c r="EP12" i="2"/>
  <c r="EO12" i="2"/>
  <c r="EN12" i="2"/>
  <c r="EM12" i="2"/>
  <c r="EL12" i="2"/>
  <c r="EK12" i="2"/>
  <c r="EJ12" i="2"/>
  <c r="EI12" i="2"/>
  <c r="EH12" i="2"/>
  <c r="EG12" i="2"/>
  <c r="EF12" i="2"/>
  <c r="EE12" i="2"/>
  <c r="ED12" i="2"/>
  <c r="EC12" i="2"/>
  <c r="EB12" i="2"/>
  <c r="EW11" i="2"/>
  <c r="EV11" i="2"/>
  <c r="EU11" i="2"/>
  <c r="ET11" i="2"/>
  <c r="ES11" i="2"/>
  <c r="ER11" i="2"/>
  <c r="EQ11" i="2"/>
  <c r="EP11" i="2"/>
  <c r="EO11" i="2"/>
  <c r="EN11" i="2"/>
  <c r="EM11" i="2"/>
  <c r="EL11" i="2"/>
  <c r="EK11" i="2"/>
  <c r="EJ11" i="2"/>
  <c r="EI11" i="2"/>
  <c r="EH11" i="2"/>
  <c r="EG11" i="2"/>
  <c r="EF11" i="2"/>
  <c r="EE11" i="2"/>
  <c r="ED11" i="2"/>
  <c r="EC11" i="2"/>
  <c r="EB11" i="2"/>
  <c r="EW10" i="2"/>
  <c r="EV10" i="2"/>
  <c r="EU10" i="2"/>
  <c r="ET10" i="2"/>
  <c r="ES10" i="2"/>
  <c r="ER10" i="2"/>
  <c r="EQ10" i="2"/>
  <c r="EP10" i="2"/>
  <c r="EO10" i="2"/>
  <c r="EN10" i="2"/>
  <c r="EM10" i="2"/>
  <c r="EL10" i="2"/>
  <c r="EK10" i="2"/>
  <c r="EJ10" i="2"/>
  <c r="EI10" i="2"/>
  <c r="EH10" i="2"/>
  <c r="EG10" i="2"/>
  <c r="EF10" i="2"/>
  <c r="EE10" i="2"/>
  <c r="ED10" i="2"/>
  <c r="EC10" i="2"/>
  <c r="EB10" i="2"/>
  <c r="EW9" i="2"/>
  <c r="EV9" i="2"/>
  <c r="EU9" i="2"/>
  <c r="ET9" i="2"/>
  <c r="ES9" i="2"/>
  <c r="ER9" i="2"/>
  <c r="EQ9" i="2"/>
  <c r="EP9" i="2"/>
  <c r="EO9" i="2"/>
  <c r="EN9" i="2"/>
  <c r="EM9" i="2"/>
  <c r="EL9" i="2"/>
  <c r="EK9" i="2"/>
  <c r="EJ9" i="2"/>
  <c r="EI9" i="2"/>
  <c r="EH9" i="2"/>
  <c r="EG9" i="2"/>
  <c r="EF9" i="2"/>
  <c r="EE9" i="2"/>
  <c r="ED9" i="2"/>
  <c r="EC9" i="2"/>
  <c r="EB9" i="2"/>
  <c r="EW8" i="2"/>
  <c r="EV8" i="2"/>
  <c r="EU8" i="2"/>
  <c r="ET8" i="2"/>
  <c r="ES8" i="2"/>
  <c r="ER8" i="2"/>
  <c r="EQ8" i="2"/>
  <c r="EP8" i="2"/>
  <c r="EO8" i="2"/>
  <c r="EN8" i="2"/>
  <c r="EM8" i="2"/>
  <c r="EL8" i="2"/>
  <c r="EK8" i="2"/>
  <c r="EJ8" i="2"/>
  <c r="EI8" i="2"/>
  <c r="EH8" i="2"/>
  <c r="EG8" i="2"/>
  <c r="EF8" i="2"/>
  <c r="EE8" i="2"/>
  <c r="ED8" i="2"/>
  <c r="EC8" i="2"/>
  <c r="EB8" i="2"/>
  <c r="DZ21" i="2"/>
  <c r="DY21" i="2"/>
  <c r="DX21" i="2"/>
  <c r="DX26" i="2" s="1"/>
  <c r="DW21" i="2"/>
  <c r="DV21" i="2"/>
  <c r="DV26" i="2" s="1"/>
  <c r="DU21" i="2"/>
  <c r="DT21" i="2"/>
  <c r="DT26" i="2" s="1"/>
  <c r="DS21" i="2"/>
  <c r="DR21" i="2"/>
  <c r="DR26" i="2" s="1"/>
  <c r="DQ21" i="2"/>
  <c r="DP21" i="2"/>
  <c r="DP26" i="2" s="1"/>
  <c r="DO21" i="2"/>
  <c r="DN21" i="2"/>
  <c r="DM21" i="2"/>
  <c r="DL21" i="2"/>
  <c r="DL26" i="2" s="1"/>
  <c r="DK21" i="2"/>
  <c r="DJ21" i="2"/>
  <c r="DI21" i="2"/>
  <c r="DI26" i="2" s="1"/>
  <c r="DH21" i="2"/>
  <c r="DH26" i="2" s="1"/>
  <c r="DG21" i="2"/>
  <c r="DG26" i="2" s="1"/>
  <c r="DF21" i="2"/>
  <c r="DF26" i="2" s="1"/>
  <c r="DE21" i="2"/>
  <c r="DE26" i="2" s="1"/>
  <c r="DD21" i="2"/>
  <c r="DD26" i="2" s="1"/>
  <c r="DC21" i="2"/>
  <c r="DC26" i="2" s="1"/>
  <c r="DB21" i="2"/>
  <c r="DB26" i="2" s="1"/>
  <c r="DA21" i="2"/>
  <c r="DA26" i="2" s="1"/>
  <c r="CZ21" i="2"/>
  <c r="CZ26" i="2" s="1"/>
  <c r="CY21" i="2"/>
  <c r="CY26" i="2" s="1"/>
  <c r="CX21" i="2"/>
  <c r="CX26" i="2" s="1"/>
  <c r="CW21" i="2"/>
  <c r="CW26" i="2" s="1"/>
  <c r="CV21" i="2"/>
  <c r="CV26" i="2" s="1"/>
  <c r="CU21" i="2"/>
  <c r="CU26" i="2" s="1"/>
  <c r="CT21" i="2"/>
  <c r="CS21" i="2"/>
  <c r="CS26" i="2" s="1"/>
  <c r="CR21" i="2"/>
  <c r="CR26" i="2" s="1"/>
  <c r="CQ21" i="2"/>
  <c r="CQ26" i="2" s="1"/>
  <c r="CP21" i="2"/>
  <c r="CP26" i="2" s="1"/>
  <c r="CO21" i="2"/>
  <c r="CO26" i="2" s="1"/>
  <c r="CN21" i="2"/>
  <c r="CN26" i="2" s="1"/>
  <c r="CM21" i="2"/>
  <c r="CM26" i="2" s="1"/>
  <c r="CL21" i="2"/>
  <c r="CL26" i="2" s="1"/>
  <c r="CK21" i="2"/>
  <c r="CK26" i="2" s="1"/>
  <c r="CJ21" i="2"/>
  <c r="CJ26" i="2" s="1"/>
  <c r="CI21" i="2"/>
  <c r="CI26" i="2" s="1"/>
  <c r="CH21" i="2"/>
  <c r="CH26" i="2" s="1"/>
  <c r="CG21" i="2"/>
  <c r="CG26" i="2" s="1"/>
  <c r="CF21" i="2"/>
  <c r="CF26" i="2" s="1"/>
  <c r="CE21" i="2"/>
  <c r="CE26" i="2" s="1"/>
  <c r="CD21" i="2"/>
  <c r="CD26" i="2" s="1"/>
  <c r="CC21" i="2"/>
  <c r="CC26" i="2" s="1"/>
  <c r="CB21" i="2"/>
  <c r="CB26" i="2" s="1"/>
  <c r="CA21" i="2"/>
  <c r="CA26" i="2" s="1"/>
  <c r="BZ21" i="2"/>
  <c r="BZ26" i="2" s="1"/>
  <c r="BY21" i="2"/>
  <c r="BY26" i="2" s="1"/>
  <c r="BX21" i="2"/>
  <c r="BX26" i="2" s="1"/>
  <c r="BW21" i="2"/>
  <c r="BW26" i="2" s="1"/>
  <c r="BV21" i="2"/>
  <c r="BV26" i="2" s="1"/>
  <c r="BU21" i="2"/>
  <c r="BU26" i="2" s="1"/>
  <c r="BT21" i="2"/>
  <c r="BT26" i="2" s="1"/>
  <c r="BS21" i="2"/>
  <c r="BS26" i="2" s="1"/>
  <c r="BR21" i="2"/>
  <c r="BR26" i="2" s="1"/>
  <c r="BQ21" i="2"/>
  <c r="BQ26" i="2" s="1"/>
  <c r="BP21" i="2"/>
  <c r="BP26" i="2" s="1"/>
  <c r="BO21" i="2"/>
  <c r="BO26" i="2" s="1"/>
  <c r="BN21" i="2"/>
  <c r="BN26" i="2" s="1"/>
  <c r="BM21" i="2"/>
  <c r="BM26" i="2" s="1"/>
  <c r="BL21" i="2"/>
  <c r="BL26" i="2" s="1"/>
  <c r="BK21" i="2"/>
  <c r="BK26" i="2" s="1"/>
  <c r="BJ21" i="2"/>
  <c r="BJ26" i="2" s="1"/>
  <c r="BI21" i="2"/>
  <c r="BI26" i="2" s="1"/>
  <c r="BH21" i="2"/>
  <c r="BH26" i="2" s="1"/>
  <c r="BG21" i="2"/>
  <c r="BG26" i="2" s="1"/>
  <c r="BF21" i="2"/>
  <c r="BF26" i="2" s="1"/>
  <c r="BE21" i="2"/>
  <c r="BE26" i="2" s="1"/>
  <c r="BD21" i="2"/>
  <c r="BD26" i="2" s="1"/>
  <c r="BC21" i="2"/>
  <c r="BC26" i="2" s="1"/>
  <c r="BB21" i="2"/>
  <c r="BB26" i="2" s="1"/>
  <c r="BA21" i="2"/>
  <c r="BA26" i="2" s="1"/>
  <c r="AZ21" i="2"/>
  <c r="AZ26" i="2" s="1"/>
  <c r="AY21" i="2"/>
  <c r="AY26" i="2" s="1"/>
  <c r="AX21" i="2"/>
  <c r="AX26" i="2" s="1"/>
  <c r="AW21" i="2"/>
  <c r="AW26" i="2" s="1"/>
  <c r="AV21" i="2"/>
  <c r="AV26" i="2" s="1"/>
  <c r="AU21" i="2"/>
  <c r="AU26" i="2" s="1"/>
  <c r="AT21" i="2"/>
  <c r="AT26" i="2" s="1"/>
  <c r="AS21" i="2"/>
  <c r="AS26" i="2" s="1"/>
  <c r="AR21" i="2"/>
  <c r="AR26" i="2" s="1"/>
  <c r="AQ21" i="2"/>
  <c r="AQ26" i="2" s="1"/>
  <c r="AP21" i="2"/>
  <c r="AP26" i="2" s="1"/>
  <c r="AO21" i="2"/>
  <c r="AO26" i="2" s="1"/>
  <c r="AN21" i="2"/>
  <c r="AN26" i="2" s="1"/>
  <c r="AM21" i="2"/>
  <c r="AM26" i="2" s="1"/>
  <c r="AL21" i="2"/>
  <c r="AL26" i="2" s="1"/>
  <c r="AK21" i="2"/>
  <c r="AK26" i="2" s="1"/>
  <c r="AJ21" i="2"/>
  <c r="AJ26" i="2" s="1"/>
  <c r="AI21" i="2"/>
  <c r="AI26" i="2" s="1"/>
  <c r="AH21" i="2"/>
  <c r="AH26" i="2" s="1"/>
  <c r="AG21" i="2"/>
  <c r="AG26" i="2" s="1"/>
  <c r="AF21" i="2"/>
  <c r="AF26" i="2" s="1"/>
  <c r="AE21" i="2"/>
  <c r="AE26" i="2" s="1"/>
  <c r="AD21" i="2"/>
  <c r="AC21" i="2"/>
  <c r="AC26" i="2" s="1"/>
  <c r="AB21" i="2"/>
  <c r="AB26" i="2" s="1"/>
  <c r="AA21" i="2"/>
  <c r="AA26" i="2" s="1"/>
  <c r="Z21" i="2"/>
  <c r="Z26" i="2" s="1"/>
  <c r="Y21" i="2"/>
  <c r="Y26" i="2" s="1"/>
  <c r="X21" i="2"/>
  <c r="X26" i="2" s="1"/>
  <c r="W21" i="2"/>
  <c r="W26" i="2" s="1"/>
  <c r="V21" i="2"/>
  <c r="V26" i="2" s="1"/>
  <c r="U21" i="2"/>
  <c r="U26" i="2" s="1"/>
  <c r="T21" i="2"/>
  <c r="T26" i="2" s="1"/>
  <c r="S21" i="2"/>
  <c r="S26" i="2" s="1"/>
  <c r="R21" i="2"/>
  <c r="R26" i="2" s="1"/>
  <c r="Q21" i="2"/>
  <c r="Q26" i="2" s="1"/>
  <c r="P21" i="2"/>
  <c r="P26" i="2" s="1"/>
  <c r="O21" i="2"/>
  <c r="O26" i="2" s="1"/>
  <c r="N21" i="2"/>
  <c r="N26" i="2" s="1"/>
  <c r="M21" i="2"/>
  <c r="M26" i="2" s="1"/>
  <c r="L21" i="2"/>
  <c r="L26" i="2" s="1"/>
  <c r="K21" i="2"/>
  <c r="K26" i="2" s="1"/>
  <c r="J21" i="2"/>
  <c r="J26" i="2" s="1"/>
  <c r="I21" i="2"/>
  <c r="I26" i="2" s="1"/>
  <c r="H21" i="2"/>
  <c r="H26" i="2" s="1"/>
  <c r="G21" i="2"/>
  <c r="G26" i="2" s="1"/>
  <c r="F21" i="2"/>
  <c r="F26" i="2" s="1"/>
  <c r="E21" i="2"/>
  <c r="E26" i="2" s="1"/>
  <c r="D21" i="2"/>
  <c r="D26" i="2" s="1"/>
  <c r="C21" i="2"/>
  <c r="C26" i="2" s="1"/>
  <c r="B21" i="2"/>
  <c r="B26" i="2" s="1"/>
  <c r="DZ20" i="2"/>
  <c r="DS20" i="2"/>
  <c r="DR20" i="2"/>
  <c r="DR22" i="2" s="1"/>
  <c r="DQ20" i="2"/>
  <c r="DP20" i="2"/>
  <c r="DO20" i="2"/>
  <c r="DN20" i="2"/>
  <c r="DM20" i="2"/>
  <c r="DL20" i="2"/>
  <c r="DK20" i="2"/>
  <c r="DJ20" i="2"/>
  <c r="DI20" i="2"/>
  <c r="DH20" i="2"/>
  <c r="DG20" i="2"/>
  <c r="DF20" i="2"/>
  <c r="DF22" i="2" s="1"/>
  <c r="DE20" i="2"/>
  <c r="DD20" i="2"/>
  <c r="DC20" i="2"/>
  <c r="DB20" i="2"/>
  <c r="DB22" i="2" s="1"/>
  <c r="DA20" i="2"/>
  <c r="CZ20" i="2"/>
  <c r="CY20" i="2"/>
  <c r="CX20" i="2"/>
  <c r="CX22" i="2" s="1"/>
  <c r="CW20" i="2"/>
  <c r="CV20" i="2"/>
  <c r="CU20" i="2"/>
  <c r="CT20" i="2"/>
  <c r="CS20" i="2"/>
  <c r="CR20" i="2"/>
  <c r="CQ20" i="2"/>
  <c r="CP20" i="2"/>
  <c r="CO20" i="2"/>
  <c r="CN20" i="2"/>
  <c r="CM20" i="2"/>
  <c r="CL20" i="2"/>
  <c r="CK20" i="2"/>
  <c r="CJ20" i="2"/>
  <c r="CI20" i="2"/>
  <c r="CH20" i="2"/>
  <c r="CG20" i="2"/>
  <c r="CF20" i="2"/>
  <c r="CE20" i="2"/>
  <c r="CD20" i="2"/>
  <c r="CC20" i="2"/>
  <c r="CB20" i="2"/>
  <c r="CA20" i="2"/>
  <c r="BZ20" i="2"/>
  <c r="BY20" i="2"/>
  <c r="BX20" i="2"/>
  <c r="BW20" i="2"/>
  <c r="BV20" i="2"/>
  <c r="BU20" i="2"/>
  <c r="BT20" i="2"/>
  <c r="BS20" i="2"/>
  <c r="BR20" i="2"/>
  <c r="BR22" i="2" s="1"/>
  <c r="BQ20" i="2"/>
  <c r="BP20" i="2"/>
  <c r="BO20" i="2"/>
  <c r="BN20" i="2"/>
  <c r="BM20" i="2"/>
  <c r="BL20" i="2"/>
  <c r="BK20" i="2"/>
  <c r="BJ20" i="2"/>
  <c r="BI20" i="2"/>
  <c r="BH20" i="2"/>
  <c r="BG20" i="2"/>
  <c r="BF20" i="2"/>
  <c r="BE20" i="2"/>
  <c r="BD20" i="2"/>
  <c r="BC20" i="2"/>
  <c r="BB20" i="2"/>
  <c r="BB22" i="2" s="1"/>
  <c r="BA20" i="2"/>
  <c r="AZ20" i="2"/>
  <c r="AY20" i="2"/>
  <c r="AX20" i="2"/>
  <c r="AW20" i="2"/>
  <c r="AV20" i="2"/>
  <c r="AU20" i="2"/>
  <c r="AT20" i="2"/>
  <c r="AS20" i="2"/>
  <c r="AR20" i="2"/>
  <c r="AQ20" i="2"/>
  <c r="AP20" i="2"/>
  <c r="AO20" i="2"/>
  <c r="AN20" i="2"/>
  <c r="AM20" i="2"/>
  <c r="AL20" i="2"/>
  <c r="AL22" i="2" s="1"/>
  <c r="AK20" i="2"/>
  <c r="AJ20" i="2"/>
  <c r="AI20" i="2"/>
  <c r="AI22" i="2" s="1"/>
  <c r="AH20" i="2"/>
  <c r="AG20" i="2"/>
  <c r="AF20" i="2"/>
  <c r="AE20" i="2"/>
  <c r="AD20" i="2"/>
  <c r="AC20" i="2"/>
  <c r="AB20" i="2"/>
  <c r="AA20" i="2"/>
  <c r="AA22" i="2" s="1"/>
  <c r="Z20" i="2"/>
  <c r="Y20" i="2"/>
  <c r="X20" i="2"/>
  <c r="W20" i="2"/>
  <c r="V20" i="2"/>
  <c r="U20" i="2"/>
  <c r="T20" i="2"/>
  <c r="S20" i="2"/>
  <c r="R20" i="2"/>
  <c r="R22" i="2" s="1"/>
  <c r="Q20" i="2"/>
  <c r="P20" i="2"/>
  <c r="O20" i="2"/>
  <c r="N20" i="2"/>
  <c r="M20" i="2"/>
  <c r="L20" i="2"/>
  <c r="K20" i="2"/>
  <c r="K22" i="2" s="1"/>
  <c r="J20" i="2"/>
  <c r="I20" i="2"/>
  <c r="H20" i="2"/>
  <c r="G20" i="2"/>
  <c r="F20" i="2"/>
  <c r="E20" i="2"/>
  <c r="D20" i="2"/>
  <c r="C20" i="2"/>
  <c r="B20" i="2"/>
  <c r="B22" i="2" s="1"/>
  <c r="DZ19" i="2"/>
  <c r="DS19" i="2"/>
  <c r="DR19" i="2"/>
  <c r="DQ19" i="2"/>
  <c r="DP19" i="2"/>
  <c r="DO19" i="2"/>
  <c r="DN19" i="2"/>
  <c r="DM19" i="2"/>
  <c r="DL19" i="2"/>
  <c r="DK19" i="2"/>
  <c r="DJ19" i="2"/>
  <c r="DI19" i="2"/>
  <c r="DH19" i="2"/>
  <c r="DG19" i="2"/>
  <c r="DF19" i="2"/>
  <c r="DE19" i="2"/>
  <c r="DD19" i="2"/>
  <c r="DC19" i="2"/>
  <c r="DB19" i="2"/>
  <c r="DA19" i="2"/>
  <c r="CZ19" i="2"/>
  <c r="CY19" i="2"/>
  <c r="CX19" i="2"/>
  <c r="CW19" i="2"/>
  <c r="CV19" i="2"/>
  <c r="CU19" i="2"/>
  <c r="CT19" i="2"/>
  <c r="CS19" i="2"/>
  <c r="CR19" i="2"/>
  <c r="CQ19" i="2"/>
  <c r="CP19" i="2"/>
  <c r="CO19" i="2"/>
  <c r="CN19" i="2"/>
  <c r="CM19" i="2"/>
  <c r="CL19" i="2"/>
  <c r="CK19" i="2"/>
  <c r="CJ19" i="2"/>
  <c r="CI19" i="2"/>
  <c r="CH19" i="2"/>
  <c r="CG19" i="2"/>
  <c r="CF19" i="2"/>
  <c r="CE19" i="2"/>
  <c r="CD19" i="2"/>
  <c r="CC19" i="2"/>
  <c r="CB19" i="2"/>
  <c r="CA19" i="2"/>
  <c r="BZ19" i="2"/>
  <c r="BY19" i="2"/>
  <c r="BX19" i="2"/>
  <c r="BW19" i="2"/>
  <c r="BV19" i="2"/>
  <c r="BU19" i="2"/>
  <c r="BT19" i="2"/>
  <c r="BS19" i="2"/>
  <c r="BR19" i="2"/>
  <c r="BQ19" i="2"/>
  <c r="BP19" i="2"/>
  <c r="BO19" i="2"/>
  <c r="BN19" i="2"/>
  <c r="BM19" i="2"/>
  <c r="BL19" i="2"/>
  <c r="BK19" i="2"/>
  <c r="BJ19" i="2"/>
  <c r="BI19" i="2"/>
  <c r="BH19" i="2"/>
  <c r="BG19" i="2"/>
  <c r="BF19" i="2"/>
  <c r="BE19" i="2"/>
  <c r="BD19" i="2"/>
  <c r="BC19" i="2"/>
  <c r="BB19" i="2"/>
  <c r="BA19" i="2"/>
  <c r="AZ19" i="2"/>
  <c r="AY19" i="2"/>
  <c r="AX19" i="2"/>
  <c r="AW19" i="2"/>
  <c r="AV19" i="2"/>
  <c r="AU19" i="2"/>
  <c r="AT19" i="2"/>
  <c r="AS19" i="2"/>
  <c r="AR19" i="2"/>
  <c r="AQ19" i="2"/>
  <c r="AP19" i="2"/>
  <c r="AO19" i="2"/>
  <c r="AN19" i="2"/>
  <c r="AM19" i="2"/>
  <c r="AL19" i="2"/>
  <c r="AK19" i="2"/>
  <c r="AJ19" i="2"/>
  <c r="AI19" i="2"/>
  <c r="AH19" i="2"/>
  <c r="AG19" i="2"/>
  <c r="AF19" i="2"/>
  <c r="AE19" i="2"/>
  <c r="AD19" i="2"/>
  <c r="AC19" i="2"/>
  <c r="AB19" i="2"/>
  <c r="AA19" i="2"/>
  <c r="Z19" i="2"/>
  <c r="Y19" i="2"/>
  <c r="X19" i="2"/>
  <c r="W19" i="2"/>
  <c r="V19" i="2"/>
  <c r="U19" i="2"/>
  <c r="T19" i="2"/>
  <c r="S19" i="2"/>
  <c r="R19" i="2"/>
  <c r="Q19" i="2"/>
  <c r="P19" i="2"/>
  <c r="O19" i="2"/>
  <c r="N19" i="2"/>
  <c r="M19" i="2"/>
  <c r="L19" i="2"/>
  <c r="K19" i="2"/>
  <c r="J19" i="2"/>
  <c r="I19" i="2"/>
  <c r="H19" i="2"/>
  <c r="G19" i="2"/>
  <c r="F19" i="2"/>
  <c r="E19" i="2"/>
  <c r="D19" i="2"/>
  <c r="C19" i="2"/>
  <c r="B19" i="2"/>
  <c r="DZ18" i="2"/>
  <c r="DQ18" i="2"/>
  <c r="DP18" i="2"/>
  <c r="DO18" i="2"/>
  <c r="DN18" i="2"/>
  <c r="DM18" i="2"/>
  <c r="DL18" i="2"/>
  <c r="DK18" i="2"/>
  <c r="DJ18" i="2"/>
  <c r="DI18" i="2"/>
  <c r="DH18" i="2"/>
  <c r="DG18" i="2"/>
  <c r="DF18" i="2"/>
  <c r="DE18" i="2"/>
  <c r="DD18" i="2"/>
  <c r="DC18" i="2"/>
  <c r="DB18" i="2"/>
  <c r="DA18" i="2"/>
  <c r="CZ18" i="2"/>
  <c r="CY18" i="2"/>
  <c r="CX18" i="2"/>
  <c r="CW18" i="2"/>
  <c r="CV18" i="2"/>
  <c r="CU18" i="2"/>
  <c r="CT18" i="2"/>
  <c r="CS18" i="2"/>
  <c r="CR18" i="2"/>
  <c r="CQ18" i="2"/>
  <c r="CP18" i="2"/>
  <c r="CO18" i="2"/>
  <c r="CN18" i="2"/>
  <c r="CM18" i="2"/>
  <c r="CL18" i="2"/>
  <c r="CK18" i="2"/>
  <c r="CJ18" i="2"/>
  <c r="CI18" i="2"/>
  <c r="CH18" i="2"/>
  <c r="CG18" i="2"/>
  <c r="CF18" i="2"/>
  <c r="CE18" i="2"/>
  <c r="CD18" i="2"/>
  <c r="CC18" i="2"/>
  <c r="CB18" i="2"/>
  <c r="CA18" i="2"/>
  <c r="BZ18" i="2"/>
  <c r="BY18" i="2"/>
  <c r="BX18" i="2"/>
  <c r="BW18" i="2"/>
  <c r="BV18" i="2"/>
  <c r="BU18" i="2"/>
  <c r="BT18" i="2"/>
  <c r="BS18" i="2"/>
  <c r="BR18" i="2"/>
  <c r="BQ18" i="2"/>
  <c r="BP18" i="2"/>
  <c r="BO18" i="2"/>
  <c r="BN18" i="2"/>
  <c r="BM18" i="2"/>
  <c r="BL18" i="2"/>
  <c r="BK18" i="2"/>
  <c r="BJ18" i="2"/>
  <c r="BI18" i="2"/>
  <c r="BH18" i="2"/>
  <c r="BG18" i="2"/>
  <c r="BF18" i="2"/>
  <c r="BE18" i="2"/>
  <c r="BD18" i="2"/>
  <c r="BC18" i="2"/>
  <c r="BB18" i="2"/>
  <c r="BA18" i="2"/>
  <c r="AZ18" i="2"/>
  <c r="AY18" i="2"/>
  <c r="AX18" i="2"/>
  <c r="AW18" i="2"/>
  <c r="AV18" i="2"/>
  <c r="AU18" i="2"/>
  <c r="AT18" i="2"/>
  <c r="AS18" i="2"/>
  <c r="AR18" i="2"/>
  <c r="AQ18" i="2"/>
  <c r="AP18" i="2"/>
  <c r="AO18" i="2"/>
  <c r="AN18" i="2"/>
  <c r="AM18" i="2"/>
  <c r="AL18" i="2"/>
  <c r="AK18" i="2"/>
  <c r="AJ18" i="2"/>
  <c r="AI18" i="2"/>
  <c r="AH18" i="2"/>
  <c r="AG18" i="2"/>
  <c r="AF18" i="2"/>
  <c r="AE18" i="2"/>
  <c r="AD18" i="2"/>
  <c r="AC18" i="2"/>
  <c r="AB18" i="2"/>
  <c r="AA18" i="2"/>
  <c r="Z18" i="2"/>
  <c r="Y18" i="2"/>
  <c r="X18" i="2"/>
  <c r="W18" i="2"/>
  <c r="V18" i="2"/>
  <c r="U18" i="2"/>
  <c r="T18" i="2"/>
  <c r="S18" i="2"/>
  <c r="R18" i="2"/>
  <c r="Q18" i="2"/>
  <c r="P18" i="2"/>
  <c r="O18" i="2"/>
  <c r="N18" i="2"/>
  <c r="M18" i="2"/>
  <c r="L18" i="2"/>
  <c r="K18" i="2"/>
  <c r="J18" i="2"/>
  <c r="I18" i="2"/>
  <c r="H18" i="2"/>
  <c r="G18" i="2"/>
  <c r="F18" i="2"/>
  <c r="E18" i="2"/>
  <c r="D18" i="2"/>
  <c r="C18" i="2"/>
  <c r="B18" i="2"/>
  <c r="DZ17" i="2"/>
  <c r="DQ17" i="2"/>
  <c r="DP17" i="2"/>
  <c r="DO17" i="2"/>
  <c r="DN17" i="2"/>
  <c r="DM17" i="2"/>
  <c r="DL17" i="2"/>
  <c r="DK17" i="2"/>
  <c r="DJ17" i="2"/>
  <c r="DI17" i="2"/>
  <c r="DH17" i="2"/>
  <c r="DG17" i="2"/>
  <c r="DF17" i="2"/>
  <c r="DE17" i="2"/>
  <c r="DD17" i="2"/>
  <c r="DC17" i="2"/>
  <c r="DB17" i="2"/>
  <c r="DA17" i="2"/>
  <c r="CZ17" i="2"/>
  <c r="CY17" i="2"/>
  <c r="CX17" i="2"/>
  <c r="CW17" i="2"/>
  <c r="CV17" i="2"/>
  <c r="CU17" i="2"/>
  <c r="CT17" i="2"/>
  <c r="CS17" i="2"/>
  <c r="CR17" i="2"/>
  <c r="CQ17" i="2"/>
  <c r="CP17" i="2"/>
  <c r="CO17" i="2"/>
  <c r="CN17" i="2"/>
  <c r="CM17" i="2"/>
  <c r="CL17" i="2"/>
  <c r="CK17" i="2"/>
  <c r="CJ17" i="2"/>
  <c r="CI17" i="2"/>
  <c r="CH17" i="2"/>
  <c r="CG17" i="2"/>
  <c r="CF17" i="2"/>
  <c r="CE17" i="2"/>
  <c r="CD17" i="2"/>
  <c r="CC17" i="2"/>
  <c r="CB17" i="2"/>
  <c r="CA17" i="2"/>
  <c r="BZ17" i="2"/>
  <c r="BY17" i="2"/>
  <c r="BX17" i="2"/>
  <c r="BW17" i="2"/>
  <c r="BV17" i="2"/>
  <c r="BU17" i="2"/>
  <c r="BT17" i="2"/>
  <c r="BS17" i="2"/>
  <c r="BR17" i="2"/>
  <c r="BQ17" i="2"/>
  <c r="BP17" i="2"/>
  <c r="BO17" i="2"/>
  <c r="BN17" i="2"/>
  <c r="BM17" i="2"/>
  <c r="BL17" i="2"/>
  <c r="BK17" i="2"/>
  <c r="BJ17" i="2"/>
  <c r="BI17" i="2"/>
  <c r="BH17" i="2"/>
  <c r="BG17" i="2"/>
  <c r="BF17" i="2"/>
  <c r="BE17" i="2"/>
  <c r="BD17" i="2"/>
  <c r="BC17" i="2"/>
  <c r="BB17" i="2"/>
  <c r="BA17" i="2"/>
  <c r="AZ17" i="2"/>
  <c r="AY17" i="2"/>
  <c r="AX17" i="2"/>
  <c r="AW17" i="2"/>
  <c r="AV17" i="2"/>
  <c r="AU17" i="2"/>
  <c r="AT17" i="2"/>
  <c r="AS17" i="2"/>
  <c r="AR17" i="2"/>
  <c r="AQ17" i="2"/>
  <c r="AP17" i="2"/>
  <c r="AO17" i="2"/>
  <c r="AN17" i="2"/>
  <c r="AM17" i="2"/>
  <c r="AL17" i="2"/>
  <c r="AK17" i="2"/>
  <c r="AJ17" i="2"/>
  <c r="AI17" i="2"/>
  <c r="AH17" i="2"/>
  <c r="AG17" i="2"/>
  <c r="AF17" i="2"/>
  <c r="AE17" i="2"/>
  <c r="AD17" i="2"/>
  <c r="AC17" i="2"/>
  <c r="AB17" i="2"/>
  <c r="AA17" i="2"/>
  <c r="Z17" i="2"/>
  <c r="Y17" i="2"/>
  <c r="X17" i="2"/>
  <c r="W17" i="2"/>
  <c r="V17" i="2"/>
  <c r="U17" i="2"/>
  <c r="T17" i="2"/>
  <c r="S17" i="2"/>
  <c r="R17" i="2"/>
  <c r="Q17" i="2"/>
  <c r="P17" i="2"/>
  <c r="O17" i="2"/>
  <c r="N17" i="2"/>
  <c r="M17" i="2"/>
  <c r="L17" i="2"/>
  <c r="K17" i="2"/>
  <c r="J17" i="2"/>
  <c r="I17" i="2"/>
  <c r="H17" i="2"/>
  <c r="G17" i="2"/>
  <c r="F17" i="2"/>
  <c r="E17" i="2"/>
  <c r="D17" i="2"/>
  <c r="C17" i="2"/>
  <c r="B17" i="2"/>
  <c r="DZ16" i="2"/>
  <c r="DQ16" i="2"/>
  <c r="DP16" i="2"/>
  <c r="DO16" i="2"/>
  <c r="DN16" i="2"/>
  <c r="DM16" i="2"/>
  <c r="DL16" i="2"/>
  <c r="DK16" i="2"/>
  <c r="DJ16" i="2"/>
  <c r="DI16" i="2"/>
  <c r="DH16" i="2"/>
  <c r="DG16" i="2"/>
  <c r="DF16" i="2"/>
  <c r="DE16" i="2"/>
  <c r="DD16" i="2"/>
  <c r="DC16" i="2"/>
  <c r="DB16" i="2"/>
  <c r="DA16" i="2"/>
  <c r="CZ16" i="2"/>
  <c r="CY16" i="2"/>
  <c r="CX16" i="2"/>
  <c r="CW16" i="2"/>
  <c r="CV16" i="2"/>
  <c r="CU16" i="2"/>
  <c r="CT16" i="2"/>
  <c r="CS16" i="2"/>
  <c r="CR16" i="2"/>
  <c r="CQ16" i="2"/>
  <c r="CP16" i="2"/>
  <c r="CO16" i="2"/>
  <c r="CN16" i="2"/>
  <c r="CM16" i="2"/>
  <c r="CL16" i="2"/>
  <c r="CK16" i="2"/>
  <c r="CJ16" i="2"/>
  <c r="CI16" i="2"/>
  <c r="CH16" i="2"/>
  <c r="CG16" i="2"/>
  <c r="CF16" i="2"/>
  <c r="CE16" i="2"/>
  <c r="CD16" i="2"/>
  <c r="CC16" i="2"/>
  <c r="CB16" i="2"/>
  <c r="CA16" i="2"/>
  <c r="BZ16" i="2"/>
  <c r="BY16" i="2"/>
  <c r="BX16" i="2"/>
  <c r="BW16" i="2"/>
  <c r="BV16" i="2"/>
  <c r="BU16" i="2"/>
  <c r="BT16" i="2"/>
  <c r="BS16" i="2"/>
  <c r="BR16" i="2"/>
  <c r="BQ16" i="2"/>
  <c r="BP16" i="2"/>
  <c r="BO16" i="2"/>
  <c r="BN16" i="2"/>
  <c r="BM16" i="2"/>
  <c r="BL16" i="2"/>
  <c r="BK16" i="2"/>
  <c r="BJ16" i="2"/>
  <c r="BI16" i="2"/>
  <c r="BH16" i="2"/>
  <c r="BG16" i="2"/>
  <c r="BF16" i="2"/>
  <c r="BE16" i="2"/>
  <c r="BD16" i="2"/>
  <c r="BC16" i="2"/>
  <c r="BB16" i="2"/>
  <c r="BA16" i="2"/>
  <c r="AZ16" i="2"/>
  <c r="AY16" i="2"/>
  <c r="AX16" i="2"/>
  <c r="AW16" i="2"/>
  <c r="AV16" i="2"/>
  <c r="AU16" i="2"/>
  <c r="AT16" i="2"/>
  <c r="AS16" i="2"/>
  <c r="AR16" i="2"/>
  <c r="AQ16" i="2"/>
  <c r="AP16" i="2"/>
  <c r="AO16" i="2"/>
  <c r="AN16" i="2"/>
  <c r="AM16" i="2"/>
  <c r="AL16" i="2"/>
  <c r="AK16" i="2"/>
  <c r="AJ16" i="2"/>
  <c r="AI16" i="2"/>
  <c r="AH16" i="2"/>
  <c r="AG16" i="2"/>
  <c r="AF16" i="2"/>
  <c r="AE16" i="2"/>
  <c r="AD16" i="2"/>
  <c r="AC16" i="2"/>
  <c r="AB16" i="2"/>
  <c r="AA16" i="2"/>
  <c r="Z16" i="2"/>
  <c r="Y16" i="2"/>
  <c r="X16" i="2"/>
  <c r="W16" i="2"/>
  <c r="V16" i="2"/>
  <c r="U16" i="2"/>
  <c r="T16" i="2"/>
  <c r="S16" i="2"/>
  <c r="R16" i="2"/>
  <c r="Q16" i="2"/>
  <c r="P16" i="2"/>
  <c r="O16" i="2"/>
  <c r="N16" i="2"/>
  <c r="M16" i="2"/>
  <c r="L16" i="2"/>
  <c r="K16" i="2"/>
  <c r="J16" i="2"/>
  <c r="I16" i="2"/>
  <c r="H16" i="2"/>
  <c r="G16" i="2"/>
  <c r="F16" i="2"/>
  <c r="E16" i="2"/>
  <c r="D16" i="2"/>
  <c r="C16" i="2"/>
  <c r="B16" i="2"/>
  <c r="DZ15" i="2"/>
  <c r="DQ15" i="2"/>
  <c r="DP15" i="2"/>
  <c r="DO15" i="2"/>
  <c r="DN15" i="2"/>
  <c r="DM15" i="2"/>
  <c r="DL15" i="2"/>
  <c r="DK15" i="2"/>
  <c r="DJ15" i="2"/>
  <c r="DI15" i="2"/>
  <c r="DH15" i="2"/>
  <c r="DG15" i="2"/>
  <c r="DF15" i="2"/>
  <c r="DE15" i="2"/>
  <c r="DD15" i="2"/>
  <c r="DC15" i="2"/>
  <c r="DB15" i="2"/>
  <c r="DA15" i="2"/>
  <c r="CZ15" i="2"/>
  <c r="CY15" i="2"/>
  <c r="CX15" i="2"/>
  <c r="CW15" i="2"/>
  <c r="CV15" i="2"/>
  <c r="CU15" i="2"/>
  <c r="CT15" i="2"/>
  <c r="CS15" i="2"/>
  <c r="CR15" i="2"/>
  <c r="CQ15" i="2"/>
  <c r="CP15" i="2"/>
  <c r="CO15" i="2"/>
  <c r="CN15" i="2"/>
  <c r="CM15" i="2"/>
  <c r="CL15" i="2"/>
  <c r="CK15" i="2"/>
  <c r="CJ15" i="2"/>
  <c r="CI15" i="2"/>
  <c r="CH15" i="2"/>
  <c r="CG15" i="2"/>
  <c r="CF15" i="2"/>
  <c r="CE15" i="2"/>
  <c r="CD15" i="2"/>
  <c r="CC15" i="2"/>
  <c r="CB15" i="2"/>
  <c r="CA15" i="2"/>
  <c r="BZ15" i="2"/>
  <c r="BY15" i="2"/>
  <c r="BX15" i="2"/>
  <c r="BW15" i="2"/>
  <c r="BV15" i="2"/>
  <c r="BU15" i="2"/>
  <c r="BT15" i="2"/>
  <c r="BS15" i="2"/>
  <c r="BR15" i="2"/>
  <c r="BQ15" i="2"/>
  <c r="BP15" i="2"/>
  <c r="BO15" i="2"/>
  <c r="BN15" i="2"/>
  <c r="BM15" i="2"/>
  <c r="BL15" i="2"/>
  <c r="BK15" i="2"/>
  <c r="BJ15" i="2"/>
  <c r="BI15" i="2"/>
  <c r="BH15" i="2"/>
  <c r="BG15" i="2"/>
  <c r="BF15" i="2"/>
  <c r="BE15" i="2"/>
  <c r="BD15" i="2"/>
  <c r="BC15" i="2"/>
  <c r="BB15" i="2"/>
  <c r="BA15" i="2"/>
  <c r="AZ15" i="2"/>
  <c r="AY15" i="2"/>
  <c r="AX15" i="2"/>
  <c r="AW15" i="2"/>
  <c r="AV15" i="2"/>
  <c r="AU15" i="2"/>
  <c r="AT15" i="2"/>
  <c r="AS15" i="2"/>
  <c r="AR15" i="2"/>
  <c r="AQ15" i="2"/>
  <c r="AP15" i="2"/>
  <c r="AO15" i="2"/>
  <c r="AN15" i="2"/>
  <c r="AM15" i="2"/>
  <c r="AL15" i="2"/>
  <c r="AK15" i="2"/>
  <c r="AJ15" i="2"/>
  <c r="AI15" i="2"/>
  <c r="AH15" i="2"/>
  <c r="AG15" i="2"/>
  <c r="AF15" i="2"/>
  <c r="AE15" i="2"/>
  <c r="AD15" i="2"/>
  <c r="AC15" i="2"/>
  <c r="AB15" i="2"/>
  <c r="AA15" i="2"/>
  <c r="Z15" i="2"/>
  <c r="Y15" i="2"/>
  <c r="X15" i="2"/>
  <c r="W15" i="2"/>
  <c r="V15" i="2"/>
  <c r="U15" i="2"/>
  <c r="T15" i="2"/>
  <c r="S15" i="2"/>
  <c r="R15" i="2"/>
  <c r="Q15" i="2"/>
  <c r="P15" i="2"/>
  <c r="O15" i="2"/>
  <c r="N15" i="2"/>
  <c r="M15" i="2"/>
  <c r="L15" i="2"/>
  <c r="K15" i="2"/>
  <c r="J15" i="2"/>
  <c r="I15" i="2"/>
  <c r="H15" i="2"/>
  <c r="G15" i="2"/>
  <c r="F15" i="2"/>
  <c r="E15" i="2"/>
  <c r="D15" i="2"/>
  <c r="C15" i="2"/>
  <c r="B15" i="2"/>
  <c r="DZ14" i="2"/>
  <c r="DQ14" i="2"/>
  <c r="DP14" i="2"/>
  <c r="DO14" i="2"/>
  <c r="DN14" i="2"/>
  <c r="DM14" i="2"/>
  <c r="DL14" i="2"/>
  <c r="DK14" i="2"/>
  <c r="DJ14" i="2"/>
  <c r="DI14" i="2"/>
  <c r="DH14" i="2"/>
  <c r="DG14" i="2"/>
  <c r="DF14" i="2"/>
  <c r="DE14" i="2"/>
  <c r="DD14" i="2"/>
  <c r="DC14" i="2"/>
  <c r="DB14" i="2"/>
  <c r="DA14" i="2"/>
  <c r="CZ14" i="2"/>
  <c r="CY14" i="2"/>
  <c r="CX14" i="2"/>
  <c r="CW14" i="2"/>
  <c r="CV14" i="2"/>
  <c r="CU14" i="2"/>
  <c r="CT14" i="2"/>
  <c r="CS14" i="2"/>
  <c r="CR14" i="2"/>
  <c r="CQ14" i="2"/>
  <c r="CP14" i="2"/>
  <c r="CO14" i="2"/>
  <c r="CN14" i="2"/>
  <c r="CM14" i="2"/>
  <c r="CL14" i="2"/>
  <c r="CK14" i="2"/>
  <c r="CJ14" i="2"/>
  <c r="CI14" i="2"/>
  <c r="CH14" i="2"/>
  <c r="CG14" i="2"/>
  <c r="CF14" i="2"/>
  <c r="CE14" i="2"/>
  <c r="CD14" i="2"/>
  <c r="CC14" i="2"/>
  <c r="CB14" i="2"/>
  <c r="CA14" i="2"/>
  <c r="BZ14" i="2"/>
  <c r="BY14" i="2"/>
  <c r="BX14" i="2"/>
  <c r="BW14" i="2"/>
  <c r="BV14" i="2"/>
  <c r="BU14" i="2"/>
  <c r="BT14" i="2"/>
  <c r="BS14" i="2"/>
  <c r="BR14" i="2"/>
  <c r="BQ14" i="2"/>
  <c r="BP14" i="2"/>
  <c r="BO14" i="2"/>
  <c r="BN14" i="2"/>
  <c r="BM14" i="2"/>
  <c r="BL14" i="2"/>
  <c r="BK14" i="2"/>
  <c r="BJ14" i="2"/>
  <c r="BI14" i="2"/>
  <c r="BH14" i="2"/>
  <c r="BG14" i="2"/>
  <c r="BF14" i="2"/>
  <c r="BE14" i="2"/>
  <c r="BD14" i="2"/>
  <c r="BC14" i="2"/>
  <c r="BB14" i="2"/>
  <c r="BA14" i="2"/>
  <c r="AZ14" i="2"/>
  <c r="AY14" i="2"/>
  <c r="AX14" i="2"/>
  <c r="AW14" i="2"/>
  <c r="AV14" i="2"/>
  <c r="AU14" i="2"/>
  <c r="AT14" i="2"/>
  <c r="AS14" i="2"/>
  <c r="AR14" i="2"/>
  <c r="AQ14" i="2"/>
  <c r="AP14" i="2"/>
  <c r="AO14" i="2"/>
  <c r="AN14" i="2"/>
  <c r="AM14" i="2"/>
  <c r="AL14" i="2"/>
  <c r="AK14" i="2"/>
  <c r="AJ14" i="2"/>
  <c r="AI14" i="2"/>
  <c r="AH14" i="2"/>
  <c r="AG14" i="2"/>
  <c r="AF14" i="2"/>
  <c r="AE14" i="2"/>
  <c r="AD14" i="2"/>
  <c r="AC14" i="2"/>
  <c r="AB14" i="2"/>
  <c r="AA14" i="2"/>
  <c r="Z14" i="2"/>
  <c r="Y14" i="2"/>
  <c r="X14" i="2"/>
  <c r="W14" i="2"/>
  <c r="V14" i="2"/>
  <c r="U14" i="2"/>
  <c r="T14" i="2"/>
  <c r="S14" i="2"/>
  <c r="R14" i="2"/>
  <c r="Q14" i="2"/>
  <c r="P14" i="2"/>
  <c r="O14" i="2"/>
  <c r="N14" i="2"/>
  <c r="M14" i="2"/>
  <c r="L14" i="2"/>
  <c r="K14" i="2"/>
  <c r="J14" i="2"/>
  <c r="I14" i="2"/>
  <c r="H14" i="2"/>
  <c r="G14" i="2"/>
  <c r="F14" i="2"/>
  <c r="E14" i="2"/>
  <c r="D14" i="2"/>
  <c r="C14" i="2"/>
  <c r="B14" i="2"/>
  <c r="DZ13" i="2"/>
  <c r="DY13" i="2"/>
  <c r="DW13" i="2"/>
  <c r="DU13" i="2"/>
  <c r="DS13" i="2"/>
  <c r="DQ13" i="2"/>
  <c r="DP13" i="2"/>
  <c r="DO13" i="2"/>
  <c r="DN13" i="2"/>
  <c r="DM13" i="2"/>
  <c r="DL13" i="2"/>
  <c r="DK13" i="2"/>
  <c r="DJ13" i="2"/>
  <c r="DI13" i="2"/>
  <c r="DH13" i="2"/>
  <c r="DG13" i="2"/>
  <c r="DF13" i="2"/>
  <c r="DE13" i="2"/>
  <c r="DD13" i="2"/>
  <c r="DC13" i="2"/>
  <c r="DB13" i="2"/>
  <c r="DA13" i="2"/>
  <c r="CZ13" i="2"/>
  <c r="CY13" i="2"/>
  <c r="CX13" i="2"/>
  <c r="CW13" i="2"/>
  <c r="CV13" i="2"/>
  <c r="CU13" i="2"/>
  <c r="CT13" i="2"/>
  <c r="CS13" i="2"/>
  <c r="CR13" i="2"/>
  <c r="CQ13" i="2"/>
  <c r="CP13" i="2"/>
  <c r="CO13" i="2"/>
  <c r="CN13" i="2"/>
  <c r="CM13" i="2"/>
  <c r="CL13" i="2"/>
  <c r="CK13" i="2"/>
  <c r="CJ13" i="2"/>
  <c r="CI13" i="2"/>
  <c r="CH13" i="2"/>
  <c r="CG13" i="2"/>
  <c r="CF13" i="2"/>
  <c r="CE13" i="2"/>
  <c r="CD13" i="2"/>
  <c r="CC13" i="2"/>
  <c r="CB13" i="2"/>
  <c r="CA13" i="2"/>
  <c r="BZ13" i="2"/>
  <c r="BY13" i="2"/>
  <c r="BX13" i="2"/>
  <c r="BW13" i="2"/>
  <c r="BV13" i="2"/>
  <c r="BU13" i="2"/>
  <c r="BT13" i="2"/>
  <c r="BS13" i="2"/>
  <c r="BR13" i="2"/>
  <c r="BQ13" i="2"/>
  <c r="BP13" i="2"/>
  <c r="BO13" i="2"/>
  <c r="BN13" i="2"/>
  <c r="BM13" i="2"/>
  <c r="BL13" i="2"/>
  <c r="BK13" i="2"/>
  <c r="BJ13" i="2"/>
  <c r="BI13" i="2"/>
  <c r="BH13" i="2"/>
  <c r="BG13" i="2"/>
  <c r="BF13" i="2"/>
  <c r="BE13" i="2"/>
  <c r="BD13" i="2"/>
  <c r="BC13" i="2"/>
  <c r="BB13" i="2"/>
  <c r="BA13" i="2"/>
  <c r="AZ13" i="2"/>
  <c r="AY13" i="2"/>
  <c r="AX13" i="2"/>
  <c r="AW13" i="2"/>
  <c r="AV13" i="2"/>
  <c r="AU13" i="2"/>
  <c r="AT13" i="2"/>
  <c r="AS13" i="2"/>
  <c r="AR13" i="2"/>
  <c r="AQ13" i="2"/>
  <c r="AP13" i="2"/>
  <c r="AO13" i="2"/>
  <c r="AN13" i="2"/>
  <c r="AM13" i="2"/>
  <c r="AL13" i="2"/>
  <c r="AK13" i="2"/>
  <c r="AJ13" i="2"/>
  <c r="AI13" i="2"/>
  <c r="AH13" i="2"/>
  <c r="AG13" i="2"/>
  <c r="AF13" i="2"/>
  <c r="AE13" i="2"/>
  <c r="AD13" i="2"/>
  <c r="AC13" i="2"/>
  <c r="AB13" i="2"/>
  <c r="AA13" i="2"/>
  <c r="Z13" i="2"/>
  <c r="Y13" i="2"/>
  <c r="X13" i="2"/>
  <c r="W13" i="2"/>
  <c r="V13" i="2"/>
  <c r="U13" i="2"/>
  <c r="T13" i="2"/>
  <c r="S13" i="2"/>
  <c r="R13" i="2"/>
  <c r="Q13" i="2"/>
  <c r="P13" i="2"/>
  <c r="O13" i="2"/>
  <c r="N13" i="2"/>
  <c r="M13" i="2"/>
  <c r="L13" i="2"/>
  <c r="K13" i="2"/>
  <c r="J13" i="2"/>
  <c r="I13" i="2"/>
  <c r="H13" i="2"/>
  <c r="G13" i="2"/>
  <c r="F13" i="2"/>
  <c r="E13" i="2"/>
  <c r="D13" i="2"/>
  <c r="C13" i="2"/>
  <c r="B13" i="2"/>
  <c r="DZ12" i="2"/>
  <c r="DY12" i="2"/>
  <c r="DX12" i="2"/>
  <c r="DW12" i="2"/>
  <c r="DV12" i="2"/>
  <c r="DU12" i="2"/>
  <c r="DT12" i="2"/>
  <c r="DS12" i="2"/>
  <c r="DR12" i="2"/>
  <c r="DQ12" i="2"/>
  <c r="DP12" i="2"/>
  <c r="DO12" i="2"/>
  <c r="DN12" i="2"/>
  <c r="DM12" i="2"/>
  <c r="DL12" i="2"/>
  <c r="DK12" i="2"/>
  <c r="DJ12" i="2"/>
  <c r="DI12" i="2"/>
  <c r="DH12" i="2"/>
  <c r="DG12" i="2"/>
  <c r="DF12" i="2"/>
  <c r="DE12" i="2"/>
  <c r="DD12" i="2"/>
  <c r="DC12" i="2"/>
  <c r="DB12" i="2"/>
  <c r="DA12" i="2"/>
  <c r="CZ12" i="2"/>
  <c r="CY12" i="2"/>
  <c r="CX12" i="2"/>
  <c r="CW12" i="2"/>
  <c r="CV12" i="2"/>
  <c r="CU12" i="2"/>
  <c r="CT12" i="2"/>
  <c r="CS12" i="2"/>
  <c r="CR12" i="2"/>
  <c r="CQ12" i="2"/>
  <c r="CP12" i="2"/>
  <c r="CO12" i="2"/>
  <c r="CN12" i="2"/>
  <c r="CM12" i="2"/>
  <c r="CL12" i="2"/>
  <c r="CK12" i="2"/>
  <c r="CJ12" i="2"/>
  <c r="CI12" i="2"/>
  <c r="CH12" i="2"/>
  <c r="CG12" i="2"/>
  <c r="CF12" i="2"/>
  <c r="CE12" i="2"/>
  <c r="CD12" i="2"/>
  <c r="CC12" i="2"/>
  <c r="CB12" i="2"/>
  <c r="CA12" i="2"/>
  <c r="BZ12" i="2"/>
  <c r="BY12" i="2"/>
  <c r="BX12" i="2"/>
  <c r="BW12" i="2"/>
  <c r="BV12" i="2"/>
  <c r="BU12" i="2"/>
  <c r="BT12" i="2"/>
  <c r="BS12" i="2"/>
  <c r="BR12" i="2"/>
  <c r="BQ12" i="2"/>
  <c r="BP12" i="2"/>
  <c r="BO12" i="2"/>
  <c r="BN12" i="2"/>
  <c r="BM12" i="2"/>
  <c r="BL12" i="2"/>
  <c r="BK12" i="2"/>
  <c r="BJ12" i="2"/>
  <c r="BI12" i="2"/>
  <c r="BH12" i="2"/>
  <c r="BG12" i="2"/>
  <c r="BF12" i="2"/>
  <c r="BE12" i="2"/>
  <c r="BD12" i="2"/>
  <c r="BC12" i="2"/>
  <c r="BB12" i="2"/>
  <c r="BA12" i="2"/>
  <c r="AZ12" i="2"/>
  <c r="AY12" i="2"/>
  <c r="AX12" i="2"/>
  <c r="AW12" i="2"/>
  <c r="AV12" i="2"/>
  <c r="AU12" i="2"/>
  <c r="AT12" i="2"/>
  <c r="AS12" i="2"/>
  <c r="AR12" i="2"/>
  <c r="AQ12" i="2"/>
  <c r="AP12" i="2"/>
  <c r="AO12" i="2"/>
  <c r="AN12" i="2"/>
  <c r="AM12" i="2"/>
  <c r="AL12" i="2"/>
  <c r="AK12" i="2"/>
  <c r="AJ12" i="2"/>
  <c r="AI12" i="2"/>
  <c r="AH12" i="2"/>
  <c r="AG12" i="2"/>
  <c r="AF12" i="2"/>
  <c r="AE12" i="2"/>
  <c r="AD12" i="2"/>
  <c r="AC12" i="2"/>
  <c r="AB12" i="2"/>
  <c r="AA12" i="2"/>
  <c r="Z12" i="2"/>
  <c r="Y12" i="2"/>
  <c r="X12" i="2"/>
  <c r="W12" i="2"/>
  <c r="V12" i="2"/>
  <c r="U12" i="2"/>
  <c r="T12" i="2"/>
  <c r="S12" i="2"/>
  <c r="R12" i="2"/>
  <c r="Q12" i="2"/>
  <c r="P12" i="2"/>
  <c r="O12" i="2"/>
  <c r="N12" i="2"/>
  <c r="M12" i="2"/>
  <c r="L12" i="2"/>
  <c r="K12" i="2"/>
  <c r="J12" i="2"/>
  <c r="I12" i="2"/>
  <c r="H12" i="2"/>
  <c r="G12" i="2"/>
  <c r="F12" i="2"/>
  <c r="E12" i="2"/>
  <c r="D12" i="2"/>
  <c r="C12" i="2"/>
  <c r="B12" i="2"/>
  <c r="DZ11" i="2"/>
  <c r="DQ11" i="2"/>
  <c r="DP11" i="2"/>
  <c r="DO11" i="2"/>
  <c r="DN11" i="2"/>
  <c r="DM11" i="2"/>
  <c r="DL11" i="2"/>
  <c r="DK11" i="2"/>
  <c r="DJ11" i="2"/>
  <c r="DI11" i="2"/>
  <c r="DH11" i="2"/>
  <c r="DG11" i="2"/>
  <c r="DF11" i="2"/>
  <c r="DE11" i="2"/>
  <c r="DD11" i="2"/>
  <c r="DC11" i="2"/>
  <c r="DB11" i="2"/>
  <c r="DA11" i="2"/>
  <c r="CZ11" i="2"/>
  <c r="CY11" i="2"/>
  <c r="CX11" i="2"/>
  <c r="CW11" i="2"/>
  <c r="CV11" i="2"/>
  <c r="CU11" i="2"/>
  <c r="CT11" i="2"/>
  <c r="CS11" i="2"/>
  <c r="CR11" i="2"/>
  <c r="CQ11" i="2"/>
  <c r="CP11" i="2"/>
  <c r="CO11" i="2"/>
  <c r="CN11" i="2"/>
  <c r="CM11" i="2"/>
  <c r="CL11" i="2"/>
  <c r="CK11" i="2"/>
  <c r="CJ11" i="2"/>
  <c r="CI11" i="2"/>
  <c r="CH11" i="2"/>
  <c r="CG11" i="2"/>
  <c r="CF11" i="2"/>
  <c r="CE11" i="2"/>
  <c r="CD11" i="2"/>
  <c r="CC11" i="2"/>
  <c r="CB11" i="2"/>
  <c r="CA11" i="2"/>
  <c r="BZ11" i="2"/>
  <c r="BY11" i="2"/>
  <c r="BX11" i="2"/>
  <c r="BW11" i="2"/>
  <c r="BV11" i="2"/>
  <c r="BU11" i="2"/>
  <c r="BT11" i="2"/>
  <c r="BS11" i="2"/>
  <c r="BR11" i="2"/>
  <c r="BQ11" i="2"/>
  <c r="BP11" i="2"/>
  <c r="BO11" i="2"/>
  <c r="BN11" i="2"/>
  <c r="BM11" i="2"/>
  <c r="BL11" i="2"/>
  <c r="BK11" i="2"/>
  <c r="BJ11" i="2"/>
  <c r="BI11" i="2"/>
  <c r="BH11" i="2"/>
  <c r="BG11" i="2"/>
  <c r="BF11" i="2"/>
  <c r="BE11" i="2"/>
  <c r="BD11" i="2"/>
  <c r="BC11" i="2"/>
  <c r="BB11" i="2"/>
  <c r="BA11" i="2"/>
  <c r="AZ11" i="2"/>
  <c r="AY11" i="2"/>
  <c r="AX11" i="2"/>
  <c r="AW11" i="2"/>
  <c r="AV11" i="2"/>
  <c r="AU11" i="2"/>
  <c r="AT11" i="2"/>
  <c r="AS11" i="2"/>
  <c r="AR11" i="2"/>
  <c r="AQ11" i="2"/>
  <c r="AP11" i="2"/>
  <c r="AO11" i="2"/>
  <c r="AN11" i="2"/>
  <c r="AM11" i="2"/>
  <c r="AL11" i="2"/>
  <c r="AK11" i="2"/>
  <c r="AJ11" i="2"/>
  <c r="AI11" i="2"/>
  <c r="AH11" i="2"/>
  <c r="AG11" i="2"/>
  <c r="AF11" i="2"/>
  <c r="AE11" i="2"/>
  <c r="AD11" i="2"/>
  <c r="AC11" i="2"/>
  <c r="AB11" i="2"/>
  <c r="AA11" i="2"/>
  <c r="Z11" i="2"/>
  <c r="Y11" i="2"/>
  <c r="X11" i="2"/>
  <c r="W11" i="2"/>
  <c r="V11" i="2"/>
  <c r="U11" i="2"/>
  <c r="T11" i="2"/>
  <c r="S11" i="2"/>
  <c r="R11" i="2"/>
  <c r="Q11" i="2"/>
  <c r="P11" i="2"/>
  <c r="O11" i="2"/>
  <c r="N11" i="2"/>
  <c r="M11" i="2"/>
  <c r="L11" i="2"/>
  <c r="K11" i="2"/>
  <c r="J11" i="2"/>
  <c r="I11" i="2"/>
  <c r="H11" i="2"/>
  <c r="G11" i="2"/>
  <c r="F11" i="2"/>
  <c r="E11" i="2"/>
  <c r="D11" i="2"/>
  <c r="C11" i="2"/>
  <c r="B11" i="2"/>
  <c r="DZ10" i="2"/>
  <c r="DY10" i="2"/>
  <c r="DW10" i="2"/>
  <c r="DU10" i="2"/>
  <c r="DS10" i="2"/>
  <c r="DQ10" i="2"/>
  <c r="DP10" i="2"/>
  <c r="DO10" i="2"/>
  <c r="DN10" i="2"/>
  <c r="DM10" i="2"/>
  <c r="DL10" i="2"/>
  <c r="DK10" i="2"/>
  <c r="DJ10" i="2"/>
  <c r="DI10" i="2"/>
  <c r="DH10" i="2"/>
  <c r="DG10" i="2"/>
  <c r="DF10" i="2"/>
  <c r="DE10" i="2"/>
  <c r="DD10" i="2"/>
  <c r="DC10" i="2"/>
  <c r="DB10" i="2"/>
  <c r="DA10" i="2"/>
  <c r="CZ10" i="2"/>
  <c r="CY10" i="2"/>
  <c r="CX10" i="2"/>
  <c r="CW10" i="2"/>
  <c r="CV10" i="2"/>
  <c r="CU10" i="2"/>
  <c r="CT10" i="2"/>
  <c r="CS10" i="2"/>
  <c r="CR10" i="2"/>
  <c r="CQ10" i="2"/>
  <c r="CP10" i="2"/>
  <c r="CO10" i="2"/>
  <c r="CN10" i="2"/>
  <c r="CM10" i="2"/>
  <c r="CL10" i="2"/>
  <c r="CK10" i="2"/>
  <c r="CJ10" i="2"/>
  <c r="CI10" i="2"/>
  <c r="CH10" i="2"/>
  <c r="CG10" i="2"/>
  <c r="CF10" i="2"/>
  <c r="CE10" i="2"/>
  <c r="CD10" i="2"/>
  <c r="CC10" i="2"/>
  <c r="CB10" i="2"/>
  <c r="CA10" i="2"/>
  <c r="BZ10" i="2"/>
  <c r="BY10" i="2"/>
  <c r="BX10" i="2"/>
  <c r="BW10" i="2"/>
  <c r="BV10" i="2"/>
  <c r="BU10" i="2"/>
  <c r="BT10" i="2"/>
  <c r="BS10" i="2"/>
  <c r="BR10" i="2"/>
  <c r="BQ10" i="2"/>
  <c r="BP10" i="2"/>
  <c r="BO10" i="2"/>
  <c r="BN10" i="2"/>
  <c r="BM10" i="2"/>
  <c r="BL10" i="2"/>
  <c r="BK10" i="2"/>
  <c r="BJ10" i="2"/>
  <c r="BI10" i="2"/>
  <c r="BH10" i="2"/>
  <c r="BG10" i="2"/>
  <c r="BF10" i="2"/>
  <c r="BE10" i="2"/>
  <c r="BD10" i="2"/>
  <c r="BC10" i="2"/>
  <c r="BB10" i="2"/>
  <c r="BA10" i="2"/>
  <c r="AZ10" i="2"/>
  <c r="AY10" i="2"/>
  <c r="AX10" i="2"/>
  <c r="AW10" i="2"/>
  <c r="AV10" i="2"/>
  <c r="AU10" i="2"/>
  <c r="AT10" i="2"/>
  <c r="AS10" i="2"/>
  <c r="AR10" i="2"/>
  <c r="AQ10" i="2"/>
  <c r="AP10" i="2"/>
  <c r="AO10" i="2"/>
  <c r="AN10" i="2"/>
  <c r="AM10" i="2"/>
  <c r="AL10" i="2"/>
  <c r="AK10" i="2"/>
  <c r="AJ10" i="2"/>
  <c r="AI10" i="2"/>
  <c r="AH10" i="2"/>
  <c r="AG10" i="2"/>
  <c r="AF10" i="2"/>
  <c r="AE10" i="2"/>
  <c r="AD10" i="2"/>
  <c r="AC10" i="2"/>
  <c r="AB10" i="2"/>
  <c r="AA10" i="2"/>
  <c r="Z10" i="2"/>
  <c r="Y10" i="2"/>
  <c r="X10" i="2"/>
  <c r="W10" i="2"/>
  <c r="V10" i="2"/>
  <c r="U10" i="2"/>
  <c r="T10" i="2"/>
  <c r="S10" i="2"/>
  <c r="R10" i="2"/>
  <c r="Q10" i="2"/>
  <c r="P10" i="2"/>
  <c r="O10" i="2"/>
  <c r="N10" i="2"/>
  <c r="M10" i="2"/>
  <c r="L10" i="2"/>
  <c r="K10" i="2"/>
  <c r="J10" i="2"/>
  <c r="I10" i="2"/>
  <c r="H10" i="2"/>
  <c r="G10" i="2"/>
  <c r="F10" i="2"/>
  <c r="E10" i="2"/>
  <c r="D10" i="2"/>
  <c r="C10" i="2"/>
  <c r="B10" i="2"/>
  <c r="DZ9" i="2"/>
  <c r="DY9" i="2"/>
  <c r="DX9" i="2"/>
  <c r="DW9" i="2"/>
  <c r="DV9" i="2"/>
  <c r="DU9" i="2"/>
  <c r="DT9" i="2"/>
  <c r="DS9" i="2"/>
  <c r="DR9" i="2"/>
  <c r="DQ9" i="2"/>
  <c r="DP9" i="2"/>
  <c r="DO9" i="2"/>
  <c r="DN9" i="2"/>
  <c r="DM9" i="2"/>
  <c r="DL9" i="2"/>
  <c r="DK9" i="2"/>
  <c r="DJ9" i="2"/>
  <c r="DI9" i="2"/>
  <c r="DH9" i="2"/>
  <c r="DG9" i="2"/>
  <c r="DF9" i="2"/>
  <c r="DE9" i="2"/>
  <c r="DD9" i="2"/>
  <c r="DC9" i="2"/>
  <c r="DB9" i="2"/>
  <c r="DA9" i="2"/>
  <c r="CZ9" i="2"/>
  <c r="CY9" i="2"/>
  <c r="CX9" i="2"/>
  <c r="CW9" i="2"/>
  <c r="CV9" i="2"/>
  <c r="CU9" i="2"/>
  <c r="CT9" i="2"/>
  <c r="CS9" i="2"/>
  <c r="CR9" i="2"/>
  <c r="CQ9" i="2"/>
  <c r="CP9" i="2"/>
  <c r="CO9" i="2"/>
  <c r="CN9" i="2"/>
  <c r="CM9" i="2"/>
  <c r="CL9" i="2"/>
  <c r="CK9" i="2"/>
  <c r="CJ9" i="2"/>
  <c r="CI9" i="2"/>
  <c r="CH9" i="2"/>
  <c r="CG9" i="2"/>
  <c r="CF9" i="2"/>
  <c r="CE9" i="2"/>
  <c r="CD9" i="2"/>
  <c r="CC9" i="2"/>
  <c r="CB9" i="2"/>
  <c r="CA9" i="2"/>
  <c r="BZ9" i="2"/>
  <c r="BY9" i="2"/>
  <c r="BX9" i="2"/>
  <c r="BW9" i="2"/>
  <c r="BV9" i="2"/>
  <c r="BU9" i="2"/>
  <c r="BT9" i="2"/>
  <c r="BS9" i="2"/>
  <c r="BR9" i="2"/>
  <c r="BQ9" i="2"/>
  <c r="BP9" i="2"/>
  <c r="BO9" i="2"/>
  <c r="BN9" i="2"/>
  <c r="BM9" i="2"/>
  <c r="BL9" i="2"/>
  <c r="BK9" i="2"/>
  <c r="BJ9" i="2"/>
  <c r="BI9" i="2"/>
  <c r="BH9" i="2"/>
  <c r="BG9" i="2"/>
  <c r="BF9" i="2"/>
  <c r="BE9" i="2"/>
  <c r="BD9" i="2"/>
  <c r="BC9" i="2"/>
  <c r="BB9" i="2"/>
  <c r="BA9" i="2"/>
  <c r="AZ9" i="2"/>
  <c r="AY9" i="2"/>
  <c r="AX9" i="2"/>
  <c r="AW9" i="2"/>
  <c r="AV9" i="2"/>
  <c r="AU9" i="2"/>
  <c r="AT9" i="2"/>
  <c r="AS9" i="2"/>
  <c r="AR9" i="2"/>
  <c r="AQ9" i="2"/>
  <c r="AP9" i="2"/>
  <c r="AO9" i="2"/>
  <c r="AN9" i="2"/>
  <c r="AM9" i="2"/>
  <c r="AL9" i="2"/>
  <c r="AK9" i="2"/>
  <c r="AJ9" i="2"/>
  <c r="AI9" i="2"/>
  <c r="AH9" i="2"/>
  <c r="AG9" i="2"/>
  <c r="AF9" i="2"/>
  <c r="AE9" i="2"/>
  <c r="AD9" i="2"/>
  <c r="AC9" i="2"/>
  <c r="AB9" i="2"/>
  <c r="AA9" i="2"/>
  <c r="Z9" i="2"/>
  <c r="Y9" i="2"/>
  <c r="X9" i="2"/>
  <c r="W9" i="2"/>
  <c r="V9" i="2"/>
  <c r="U9" i="2"/>
  <c r="T9" i="2"/>
  <c r="S9" i="2"/>
  <c r="R9" i="2"/>
  <c r="Q9" i="2"/>
  <c r="P9" i="2"/>
  <c r="O9" i="2"/>
  <c r="N9" i="2"/>
  <c r="M9" i="2"/>
  <c r="L9" i="2"/>
  <c r="K9" i="2"/>
  <c r="J9" i="2"/>
  <c r="I9" i="2"/>
  <c r="H9" i="2"/>
  <c r="G9" i="2"/>
  <c r="F9" i="2"/>
  <c r="E9" i="2"/>
  <c r="D9" i="2"/>
  <c r="C9" i="2"/>
  <c r="B9" i="2"/>
  <c r="DZ8" i="2"/>
  <c r="DQ8" i="2"/>
  <c r="DP8" i="2"/>
  <c r="DO8" i="2"/>
  <c r="DN8" i="2"/>
  <c r="DM8" i="2"/>
  <c r="DL8" i="2"/>
  <c r="DK8" i="2"/>
  <c r="DJ8" i="2"/>
  <c r="DI8" i="2"/>
  <c r="DH8" i="2"/>
  <c r="DG8" i="2"/>
  <c r="DF8" i="2"/>
  <c r="DE8" i="2"/>
  <c r="DD8" i="2"/>
  <c r="DC8" i="2"/>
  <c r="DB8" i="2"/>
  <c r="DA8" i="2"/>
  <c r="CZ8" i="2"/>
  <c r="CY8" i="2"/>
  <c r="CX8" i="2"/>
  <c r="CW8" i="2"/>
  <c r="CV8" i="2"/>
  <c r="CU8" i="2"/>
  <c r="CT8" i="2"/>
  <c r="CS8" i="2"/>
  <c r="CR8" i="2"/>
  <c r="CQ8" i="2"/>
  <c r="CP8" i="2"/>
  <c r="CO8" i="2"/>
  <c r="CN8" i="2"/>
  <c r="CM8" i="2"/>
  <c r="CL8" i="2"/>
  <c r="CK8" i="2"/>
  <c r="CJ8" i="2"/>
  <c r="CI8" i="2"/>
  <c r="CH8" i="2"/>
  <c r="CG8" i="2"/>
  <c r="CF8" i="2"/>
  <c r="CE8" i="2"/>
  <c r="CD8" i="2"/>
  <c r="CC8" i="2"/>
  <c r="CB8" i="2"/>
  <c r="CA8" i="2"/>
  <c r="BZ8" i="2"/>
  <c r="BY8" i="2"/>
  <c r="BX8" i="2"/>
  <c r="BW8" i="2"/>
  <c r="BV8" i="2"/>
  <c r="BU8" i="2"/>
  <c r="BT8" i="2"/>
  <c r="BS8" i="2"/>
  <c r="BR8" i="2"/>
  <c r="BQ8" i="2"/>
  <c r="BP8" i="2"/>
  <c r="BO8" i="2"/>
  <c r="BN8" i="2"/>
  <c r="BM8" i="2"/>
  <c r="BL8" i="2"/>
  <c r="BK8" i="2"/>
  <c r="BJ8" i="2"/>
  <c r="BI8" i="2"/>
  <c r="BH8" i="2"/>
  <c r="BG8" i="2"/>
  <c r="BF8" i="2"/>
  <c r="BE8" i="2"/>
  <c r="BD8" i="2"/>
  <c r="BC8" i="2"/>
  <c r="BB8" i="2"/>
  <c r="BA8" i="2"/>
  <c r="AZ8" i="2"/>
  <c r="AY8" i="2"/>
  <c r="AX8" i="2"/>
  <c r="AW8" i="2"/>
  <c r="AV8" i="2"/>
  <c r="AU8" i="2"/>
  <c r="AT8" i="2"/>
  <c r="AS8" i="2"/>
  <c r="AR8" i="2"/>
  <c r="AQ8" i="2"/>
  <c r="AP8" i="2"/>
  <c r="AO8" i="2"/>
  <c r="AN8" i="2"/>
  <c r="AM8" i="2"/>
  <c r="AL8" i="2"/>
  <c r="AK8" i="2"/>
  <c r="AJ8" i="2"/>
  <c r="AI8" i="2"/>
  <c r="AH8" i="2"/>
  <c r="AG8" i="2"/>
  <c r="AF8" i="2"/>
  <c r="AE8" i="2"/>
  <c r="AD8" i="2"/>
  <c r="AC8" i="2"/>
  <c r="AB8" i="2"/>
  <c r="AA8" i="2"/>
  <c r="Z8" i="2"/>
  <c r="Y8" i="2"/>
  <c r="X8" i="2"/>
  <c r="W8" i="2"/>
  <c r="V8" i="2"/>
  <c r="U8" i="2"/>
  <c r="T8" i="2"/>
  <c r="S8" i="2"/>
  <c r="R8" i="2"/>
  <c r="Q8" i="2"/>
  <c r="P8" i="2"/>
  <c r="O8" i="2"/>
  <c r="N8" i="2"/>
  <c r="M8" i="2"/>
  <c r="L8" i="2"/>
  <c r="K8" i="2"/>
  <c r="J8" i="2"/>
  <c r="I8" i="2"/>
  <c r="H8" i="2"/>
  <c r="G8" i="2"/>
  <c r="F8" i="2"/>
  <c r="E8" i="2"/>
  <c r="D8" i="2"/>
  <c r="C8" i="2"/>
  <c r="B8" i="2"/>
  <c r="FS5" i="2"/>
  <c r="FS67" i="2" s="1"/>
  <c r="FR5" i="2"/>
  <c r="FQ5" i="2"/>
  <c r="FP5" i="2"/>
  <c r="FO5" i="2"/>
  <c r="FN5" i="2"/>
  <c r="FM5" i="2"/>
  <c r="FM158" i="2" s="1"/>
  <c r="FL5" i="2"/>
  <c r="FK5" i="2"/>
  <c r="FJ5" i="2"/>
  <c r="FI5" i="2"/>
  <c r="FH5" i="2"/>
  <c r="FG5" i="2"/>
  <c r="FF5" i="2"/>
  <c r="FE5" i="2"/>
  <c r="FD5" i="2"/>
  <c r="FC5" i="2"/>
  <c r="FC67" i="2" s="1"/>
  <c r="FB5" i="2"/>
  <c r="FA5" i="2"/>
  <c r="EZ5" i="2"/>
  <c r="EY5" i="2"/>
  <c r="EX5" i="2"/>
  <c r="EW5" i="2"/>
  <c r="EV5" i="2"/>
  <c r="EU5" i="2"/>
  <c r="ET5" i="2"/>
  <c r="ES5" i="2"/>
  <c r="ER5" i="2"/>
  <c r="EQ5" i="2"/>
  <c r="EP5" i="2"/>
  <c r="EO5" i="2"/>
  <c r="EN5" i="2"/>
  <c r="EM5" i="2"/>
  <c r="EL5" i="2"/>
  <c r="EL67" i="2" s="1"/>
  <c r="EK5" i="2"/>
  <c r="EJ5" i="2"/>
  <c r="EI5" i="2"/>
  <c r="EH5" i="2"/>
  <c r="EG5" i="2"/>
  <c r="EF5" i="2"/>
  <c r="EE5" i="2"/>
  <c r="ED5" i="2"/>
  <c r="EC5" i="2"/>
  <c r="EB5" i="2"/>
  <c r="EB113" i="2" s="1"/>
  <c r="DY5" i="2"/>
  <c r="DX5" i="2"/>
  <c r="DX67" i="2" s="1"/>
  <c r="DW5" i="2"/>
  <c r="DV5" i="2"/>
  <c r="DU5" i="2"/>
  <c r="DT5" i="2"/>
  <c r="DS5" i="2"/>
  <c r="DR5" i="2"/>
  <c r="DQ5" i="2"/>
  <c r="DP5" i="2"/>
  <c r="DO5" i="2"/>
  <c r="DO113" i="2" s="1"/>
  <c r="DN5" i="2"/>
  <c r="DM5" i="2"/>
  <c r="DL5" i="2"/>
  <c r="DK5" i="2"/>
  <c r="DJ5" i="2"/>
  <c r="DJ113" i="2" s="1"/>
  <c r="DI5" i="2"/>
  <c r="DH5" i="2"/>
  <c r="DG5" i="2"/>
  <c r="DF5" i="2"/>
  <c r="DE5" i="2"/>
  <c r="DD5" i="2"/>
  <c r="DC5" i="2"/>
  <c r="DB5" i="2"/>
  <c r="DA5" i="2"/>
  <c r="CZ5" i="2"/>
  <c r="CY5" i="2"/>
  <c r="CY158" i="2" s="1"/>
  <c r="CX5" i="2"/>
  <c r="CW5" i="2"/>
  <c r="CV5" i="2"/>
  <c r="CU5" i="2"/>
  <c r="CT5" i="2"/>
  <c r="CS5" i="2"/>
  <c r="CR5" i="2"/>
  <c r="CR67" i="2" s="1"/>
  <c r="CQ5" i="2"/>
  <c r="CP5" i="2"/>
  <c r="CO5" i="2"/>
  <c r="CN5" i="2"/>
  <c r="CN113" i="2" s="1"/>
  <c r="CM5" i="2"/>
  <c r="CL5" i="2"/>
  <c r="CK5" i="2"/>
  <c r="CJ5" i="2"/>
  <c r="CI5" i="2"/>
  <c r="CI158" i="2" s="1"/>
  <c r="CH5" i="2"/>
  <c r="CG5" i="2"/>
  <c r="CF5" i="2"/>
  <c r="CF67" i="2" s="1"/>
  <c r="CE5" i="2"/>
  <c r="CD5" i="2"/>
  <c r="CC5" i="2"/>
  <c r="CB5" i="2"/>
  <c r="CB67" i="2" s="1"/>
  <c r="CA5" i="2"/>
  <c r="BZ5" i="2"/>
  <c r="BY5" i="2"/>
  <c r="BX5" i="2"/>
  <c r="BW5" i="2"/>
  <c r="BV5" i="2"/>
  <c r="BU5" i="2"/>
  <c r="BT5" i="2"/>
  <c r="BS5" i="2"/>
  <c r="BR5" i="2"/>
  <c r="BQ5" i="2"/>
  <c r="BP5" i="2"/>
  <c r="BO5" i="2"/>
  <c r="BN5" i="2"/>
  <c r="BN113" i="2" s="1"/>
  <c r="BM5" i="2"/>
  <c r="BL5" i="2"/>
  <c r="BK5" i="2"/>
  <c r="BJ5" i="2"/>
  <c r="BI5" i="2"/>
  <c r="BH5" i="2"/>
  <c r="BH67" i="2" s="1"/>
  <c r="BG5" i="2"/>
  <c r="BF5" i="2"/>
  <c r="BE5" i="2"/>
  <c r="BD5" i="2"/>
  <c r="BC5" i="2"/>
  <c r="BC113" i="2" s="1"/>
  <c r="BB5" i="2"/>
  <c r="BA5" i="2"/>
  <c r="AZ5" i="2"/>
  <c r="AY5" i="2"/>
  <c r="AX5" i="2"/>
  <c r="AX113" i="2" s="1"/>
  <c r="AW5" i="2"/>
  <c r="AV5" i="2"/>
  <c r="AV67" i="2" s="1"/>
  <c r="AU5" i="2"/>
  <c r="AT5" i="2"/>
  <c r="AS5" i="2"/>
  <c r="AR5" i="2"/>
  <c r="AR67" i="2" s="1"/>
  <c r="AQ5" i="2"/>
  <c r="AP5" i="2"/>
  <c r="AO5" i="2"/>
  <c r="AN5" i="2"/>
  <c r="AM5" i="2"/>
  <c r="AM158" i="2" s="1"/>
  <c r="AL5" i="2"/>
  <c r="AK5" i="2"/>
  <c r="AJ5" i="2"/>
  <c r="AJ67" i="2" s="1"/>
  <c r="AI5" i="2"/>
  <c r="AH5" i="2"/>
  <c r="AG5" i="2"/>
  <c r="AF5" i="2"/>
  <c r="AF67" i="2" s="1"/>
  <c r="AE5" i="2"/>
  <c r="AD5" i="2"/>
  <c r="AC5" i="2"/>
  <c r="AB5" i="2"/>
  <c r="AA5" i="2"/>
  <c r="Z5" i="2"/>
  <c r="Y5" i="2"/>
  <c r="X5" i="2"/>
  <c r="W5" i="2"/>
  <c r="V5" i="2"/>
  <c r="U5" i="2"/>
  <c r="T5" i="2"/>
  <c r="T67" i="2" s="1"/>
  <c r="S5" i="2"/>
  <c r="R5" i="2"/>
  <c r="Q5" i="2"/>
  <c r="P5" i="2"/>
  <c r="O5" i="2"/>
  <c r="N5" i="2"/>
  <c r="M5" i="2"/>
  <c r="L5" i="2"/>
  <c r="L67" i="2" s="1"/>
  <c r="K5" i="2"/>
  <c r="J5" i="2"/>
  <c r="I5" i="2"/>
  <c r="H5" i="2"/>
  <c r="G5" i="2"/>
  <c r="F5" i="2"/>
  <c r="E5" i="2"/>
  <c r="D5" i="2"/>
  <c r="C5" i="2"/>
  <c r="B5" i="2"/>
  <c r="B113" i="2" s="1"/>
  <c r="FP4" i="2"/>
  <c r="FP3" i="2"/>
  <c r="FP65" i="2" s="1"/>
  <c r="FN4" i="2"/>
  <c r="FN3" i="2"/>
  <c r="FL4" i="2"/>
  <c r="FL3" i="2"/>
  <c r="FL65" i="2" s="1"/>
  <c r="FJ4" i="2"/>
  <c r="FJ3" i="2"/>
  <c r="FH4" i="2"/>
  <c r="FH3" i="2"/>
  <c r="FF4" i="2"/>
  <c r="FF112" i="2" s="1"/>
  <c r="FF3" i="2"/>
  <c r="FD4" i="2"/>
  <c r="FD3" i="2"/>
  <c r="FB4" i="2"/>
  <c r="FB3" i="2"/>
  <c r="FB111" i="2" s="1"/>
  <c r="EZ4" i="2"/>
  <c r="EZ3" i="2"/>
  <c r="EX4" i="2"/>
  <c r="EX3" i="2"/>
  <c r="EV4" i="2"/>
  <c r="EV3" i="2"/>
  <c r="EV111" i="2" s="1"/>
  <c r="ET4" i="2"/>
  <c r="ET3" i="2"/>
  <c r="ER4" i="2"/>
  <c r="ER3" i="2"/>
  <c r="EP4" i="2"/>
  <c r="EP157" i="2" s="1"/>
  <c r="EP3" i="2"/>
  <c r="EN4" i="2"/>
  <c r="EN3" i="2"/>
  <c r="EL4" i="2"/>
  <c r="EL3" i="2"/>
  <c r="EJ4" i="2"/>
  <c r="EJ3" i="2"/>
  <c r="EJ65" i="2" s="1"/>
  <c r="EH4" i="2"/>
  <c r="EH3" i="2"/>
  <c r="EF4" i="2"/>
  <c r="EF3" i="2"/>
  <c r="EF111" i="2" s="1"/>
  <c r="ED4" i="2"/>
  <c r="ED3" i="2"/>
  <c r="EB4" i="2"/>
  <c r="EB3" i="2"/>
  <c r="DY4" i="2"/>
  <c r="DY157" i="2" s="1"/>
  <c r="DY3" i="2"/>
  <c r="DW4" i="2"/>
  <c r="DW3" i="2"/>
  <c r="DW65" i="2" s="1"/>
  <c r="DU4" i="2"/>
  <c r="DU3" i="2"/>
  <c r="DS4" i="2"/>
  <c r="DS3" i="2"/>
  <c r="DQ4" i="2"/>
  <c r="DQ3" i="2"/>
  <c r="DO4" i="2"/>
  <c r="DO3" i="2"/>
  <c r="DM4" i="2"/>
  <c r="DM3" i="2"/>
  <c r="DK4" i="2"/>
  <c r="DK3" i="2"/>
  <c r="DI4" i="2"/>
  <c r="DI112" i="2" s="1"/>
  <c r="DI3" i="2"/>
  <c r="DG4" i="2"/>
  <c r="DG3" i="2"/>
  <c r="DE4" i="2"/>
  <c r="DE3" i="2"/>
  <c r="DE111" i="2" s="1"/>
  <c r="DC4" i="2"/>
  <c r="DC3" i="2"/>
  <c r="DC65" i="2" s="1"/>
  <c r="DA4" i="2"/>
  <c r="DA3" i="2"/>
  <c r="CY4" i="2"/>
  <c r="CY3" i="2"/>
  <c r="CW4" i="2"/>
  <c r="CW3" i="2"/>
  <c r="CU4" i="2"/>
  <c r="CU3" i="2"/>
  <c r="CS4" i="2"/>
  <c r="CS112" i="2" s="1"/>
  <c r="CS3" i="2"/>
  <c r="CQ4" i="2"/>
  <c r="CQ3" i="2"/>
  <c r="CQ65" i="2" s="1"/>
  <c r="CO4" i="2"/>
  <c r="CO3" i="2"/>
  <c r="CO111" i="2" s="1"/>
  <c r="CM4" i="2"/>
  <c r="CM3" i="2"/>
  <c r="CM65" i="2" s="1"/>
  <c r="CK4" i="2"/>
  <c r="CK3" i="2"/>
  <c r="CI4" i="2"/>
  <c r="CI3" i="2"/>
  <c r="CG4" i="2"/>
  <c r="CG3" i="2"/>
  <c r="CE4" i="2"/>
  <c r="CE3" i="2"/>
  <c r="CC4" i="2"/>
  <c r="CC157" i="2" s="1"/>
  <c r="CC3" i="2"/>
  <c r="CA4" i="2"/>
  <c r="CA3" i="2"/>
  <c r="BY4" i="2"/>
  <c r="BY3" i="2"/>
  <c r="BW4" i="2"/>
  <c r="BW3" i="2"/>
  <c r="BU4" i="2"/>
  <c r="BU3" i="2"/>
  <c r="BS4" i="2"/>
  <c r="BS3" i="2"/>
  <c r="BS111" i="2" s="1"/>
  <c r="BQ4" i="2"/>
  <c r="BQ3" i="2"/>
  <c r="BO4" i="2"/>
  <c r="BO3" i="2"/>
  <c r="BM4" i="2"/>
  <c r="BM3" i="2"/>
  <c r="BK4" i="2"/>
  <c r="BK3" i="2"/>
  <c r="BI4" i="2"/>
  <c r="BI3" i="2"/>
  <c r="BG4" i="2"/>
  <c r="BG3" i="2"/>
  <c r="BG65" i="2" s="1"/>
  <c r="BE4" i="2"/>
  <c r="BE3" i="2"/>
  <c r="BC4" i="2"/>
  <c r="BC3" i="2"/>
  <c r="BC111" i="2" s="1"/>
  <c r="BA4" i="2"/>
  <c r="BA3" i="2"/>
  <c r="AY4" i="2"/>
  <c r="AY3" i="2"/>
  <c r="AW4" i="2"/>
  <c r="AW3" i="2"/>
  <c r="AU4" i="2"/>
  <c r="AU3" i="2"/>
  <c r="AS4" i="2"/>
  <c r="AS3" i="2"/>
  <c r="AS111" i="2" s="1"/>
  <c r="AQ4" i="2"/>
  <c r="AQ3" i="2"/>
  <c r="AQ65" i="2" s="1"/>
  <c r="AO4" i="2"/>
  <c r="AO3" i="2"/>
  <c r="AM4" i="2"/>
  <c r="AM3" i="2"/>
  <c r="AK4" i="2"/>
  <c r="AK3" i="2"/>
  <c r="AI4" i="2"/>
  <c r="AI3" i="2"/>
  <c r="AG4" i="2"/>
  <c r="AG112" i="2" s="1"/>
  <c r="AG3" i="2"/>
  <c r="AE4" i="2"/>
  <c r="AE3" i="2"/>
  <c r="AE65" i="2" s="1"/>
  <c r="AC4" i="2"/>
  <c r="AC3" i="2"/>
  <c r="AC111" i="2" s="1"/>
  <c r="AA4" i="2"/>
  <c r="AA3" i="2"/>
  <c r="Y4" i="2"/>
  <c r="Y3" i="2"/>
  <c r="W4" i="2"/>
  <c r="W3" i="2"/>
  <c r="W111" i="2" s="1"/>
  <c r="U4" i="2"/>
  <c r="U3" i="2"/>
  <c r="S4" i="2"/>
  <c r="S3" i="2"/>
  <c r="Q4" i="2"/>
  <c r="Q157" i="2" s="1"/>
  <c r="Q3" i="2"/>
  <c r="O4" i="2"/>
  <c r="O3" i="2"/>
  <c r="O65" i="2" s="1"/>
  <c r="M4" i="2"/>
  <c r="M3" i="2"/>
  <c r="K4" i="2"/>
  <c r="K3" i="2"/>
  <c r="I4" i="2"/>
  <c r="I3" i="2"/>
  <c r="G4" i="2"/>
  <c r="G3" i="2"/>
  <c r="G65" i="2" s="1"/>
  <c r="E4" i="2"/>
  <c r="E3" i="2"/>
  <c r="C4" i="2"/>
  <c r="C3" i="2"/>
  <c r="FS4" i="2"/>
  <c r="FS157" i="2" s="1"/>
  <c r="FR4" i="2"/>
  <c r="FS3" i="2"/>
  <c r="FR3" i="2"/>
  <c r="FR65" i="2" s="1"/>
  <c r="A1" i="2"/>
  <c r="A109" i="2" s="1"/>
  <c r="FB922" i="1"/>
  <c r="EO915" i="1"/>
  <c r="EM915" i="1"/>
  <c r="EK915" i="1"/>
  <c r="EI915" i="1"/>
  <c r="EG915" i="1"/>
  <c r="EE915" i="1"/>
  <c r="EC915" i="1"/>
  <c r="EA915" i="1"/>
  <c r="DY915" i="1"/>
  <c r="DW915" i="1"/>
  <c r="EO909" i="1"/>
  <c r="EM909" i="1"/>
  <c r="EK909" i="1"/>
  <c r="EI909" i="1"/>
  <c r="EG909" i="1"/>
  <c r="EE909" i="1"/>
  <c r="EC909" i="1"/>
  <c r="EA909" i="1"/>
  <c r="DY909" i="1"/>
  <c r="DW909" i="1"/>
  <c r="GN905" i="1"/>
  <c r="GP905" i="1" s="1"/>
  <c r="GR905" i="1" s="1"/>
  <c r="GT905" i="1" s="1"/>
  <c r="GV905" i="1" s="1"/>
  <c r="GX905" i="1" s="1"/>
  <c r="GL905" i="1"/>
  <c r="GL904" i="1"/>
  <c r="GN904" i="1" s="1"/>
  <c r="GP904" i="1" s="1"/>
  <c r="GR904" i="1" s="1"/>
  <c r="GT904" i="1" s="1"/>
  <c r="GV904" i="1" s="1"/>
  <c r="GX904" i="1" s="1"/>
  <c r="EQ903" i="1"/>
  <c r="GX901" i="1"/>
  <c r="GP901" i="1"/>
  <c r="GR901" i="1" s="1"/>
  <c r="GT901" i="1" s="1"/>
  <c r="GV901" i="1" s="1"/>
  <c r="GN901" i="1"/>
  <c r="GN900" i="1"/>
  <c r="GP900" i="1" s="1"/>
  <c r="GR900" i="1" s="1"/>
  <c r="GT900" i="1" s="1"/>
  <c r="GV900" i="1" s="1"/>
  <c r="GX900" i="1" s="1"/>
  <c r="GL901" i="1"/>
  <c r="GL900" i="1"/>
  <c r="EQ899" i="1"/>
  <c r="EW893" i="1"/>
  <c r="EQ893" i="1"/>
  <c r="GV885" i="1"/>
  <c r="GX885" i="1" s="1"/>
  <c r="GN885" i="1"/>
  <c r="GP885" i="1" s="1"/>
  <c r="GR885" i="1" s="1"/>
  <c r="GT885" i="1" s="1"/>
  <c r="GL885" i="1"/>
  <c r="GL884" i="1"/>
  <c r="GN884" i="1" s="1"/>
  <c r="GP884" i="1" s="1"/>
  <c r="GR884" i="1" s="1"/>
  <c r="GT884" i="1" s="1"/>
  <c r="GV884" i="1" s="1"/>
  <c r="GX884" i="1" s="1"/>
  <c r="EQ883" i="1"/>
  <c r="GX879" i="1"/>
  <c r="GP879" i="1"/>
  <c r="GR879" i="1" s="1"/>
  <c r="GT879" i="1" s="1"/>
  <c r="GV879" i="1" s="1"/>
  <c r="GN879" i="1"/>
  <c r="GN878" i="1"/>
  <c r="GP878" i="1" s="1"/>
  <c r="GR878" i="1" s="1"/>
  <c r="GT878" i="1" s="1"/>
  <c r="GV878" i="1" s="1"/>
  <c r="GX878" i="1" s="1"/>
  <c r="GL879" i="1"/>
  <c r="GL878" i="1"/>
  <c r="EQ877" i="1"/>
  <c r="GX871" i="1"/>
  <c r="GV871" i="1"/>
  <c r="GT871" i="1"/>
  <c r="GR871" i="1"/>
  <c r="EW871" i="1"/>
  <c r="EU871" i="1"/>
  <c r="ES871" i="1"/>
  <c r="EQ871" i="1"/>
  <c r="EO871" i="1"/>
  <c r="EM871" i="1"/>
  <c r="EK871" i="1"/>
  <c r="EI871" i="1"/>
  <c r="EG871" i="1"/>
  <c r="EE871" i="1"/>
  <c r="EC871" i="1"/>
  <c r="EA871" i="1"/>
  <c r="DY871" i="1"/>
  <c r="DW871" i="1"/>
  <c r="GX866" i="1"/>
  <c r="GV866" i="1"/>
  <c r="GT866" i="1"/>
  <c r="GR866" i="1"/>
  <c r="GP866" i="1"/>
  <c r="GN866" i="1"/>
  <c r="GL866" i="1"/>
  <c r="EW866" i="1"/>
  <c r="EU866" i="1"/>
  <c r="ES866" i="1"/>
  <c r="EQ866" i="1"/>
  <c r="EO866" i="1"/>
  <c r="EM866" i="1"/>
  <c r="EK866" i="1"/>
  <c r="EI866" i="1"/>
  <c r="EG866" i="1"/>
  <c r="EE866" i="1"/>
  <c r="EC866" i="1"/>
  <c r="EA866" i="1"/>
  <c r="DY866" i="1"/>
  <c r="DW866" i="1"/>
  <c r="Y855" i="1"/>
  <c r="Y854" i="1"/>
  <c r="Y856" i="1" s="1"/>
  <c r="W855" i="1"/>
  <c r="W854" i="1"/>
  <c r="W856" i="1" s="1"/>
  <c r="U855" i="1"/>
  <c r="U854" i="1"/>
  <c r="U856" i="1" s="1"/>
  <c r="S856" i="1"/>
  <c r="S855" i="1"/>
  <c r="S854" i="1"/>
  <c r="FH852" i="1"/>
  <c r="FF852" i="1"/>
  <c r="FD852" i="1"/>
  <c r="FB852" i="1"/>
  <c r="FB824" i="1"/>
  <c r="FB848" i="1" s="1"/>
  <c r="EO824" i="1"/>
  <c r="EO848" i="1" s="1"/>
  <c r="EM824" i="1"/>
  <c r="EM848" i="1" s="1"/>
  <c r="EK824" i="1"/>
  <c r="EI824" i="1"/>
  <c r="EI848" i="1" s="1"/>
  <c r="EG824" i="1"/>
  <c r="EG848" i="1" s="1"/>
  <c r="EE824" i="1"/>
  <c r="EE848" i="1" s="1"/>
  <c r="EC824" i="1"/>
  <c r="EA824" i="1"/>
  <c r="EA848" i="1" s="1"/>
  <c r="DY824" i="1"/>
  <c r="DY848" i="1" s="1"/>
  <c r="DW824" i="1"/>
  <c r="DW848" i="1" s="1"/>
  <c r="DU824" i="1"/>
  <c r="DS824" i="1"/>
  <c r="DS848" i="1" s="1"/>
  <c r="DQ824" i="1"/>
  <c r="DQ848" i="1" s="1"/>
  <c r="DO824" i="1"/>
  <c r="DO848" i="1" s="1"/>
  <c r="DM824" i="1"/>
  <c r="DK824" i="1"/>
  <c r="DK848" i="1" s="1"/>
  <c r="DI824" i="1"/>
  <c r="DI848" i="1" s="1"/>
  <c r="DG824" i="1"/>
  <c r="DG848" i="1" s="1"/>
  <c r="DE824" i="1"/>
  <c r="DC824" i="1"/>
  <c r="DC848" i="1" s="1"/>
  <c r="CY824" i="1"/>
  <c r="CY848" i="1" s="1"/>
  <c r="CQ824" i="1"/>
  <c r="CQ848" i="1" s="1"/>
  <c r="CO824" i="1"/>
  <c r="CM824" i="1"/>
  <c r="CM848" i="1" s="1"/>
  <c r="CC824" i="1"/>
  <c r="CC848" i="1" s="1"/>
  <c r="CA824" i="1"/>
  <c r="CA848" i="1" s="1"/>
  <c r="BY824" i="1"/>
  <c r="BW824" i="1"/>
  <c r="BW848" i="1" s="1"/>
  <c r="BU824" i="1"/>
  <c r="BU848" i="1" s="1"/>
  <c r="BS824" i="1"/>
  <c r="BS848" i="1" s="1"/>
  <c r="BQ824" i="1"/>
  <c r="BO824" i="1"/>
  <c r="BO848" i="1" s="1"/>
  <c r="BM824" i="1"/>
  <c r="BM848" i="1" s="1"/>
  <c r="BK824" i="1"/>
  <c r="BK848" i="1" s="1"/>
  <c r="BI824" i="1"/>
  <c r="BG824" i="1"/>
  <c r="BG848" i="1" s="1"/>
  <c r="FB817" i="1"/>
  <c r="FF801" i="1"/>
  <c r="FD801" i="1"/>
  <c r="FB802" i="1"/>
  <c r="FB807" i="1" s="1"/>
  <c r="FB801" i="1"/>
  <c r="EQ802" i="1"/>
  <c r="EO801" i="1"/>
  <c r="EM801" i="1"/>
  <c r="EK801" i="1"/>
  <c r="EI801" i="1"/>
  <c r="EG801" i="1"/>
  <c r="EE801" i="1"/>
  <c r="EC801" i="1"/>
  <c r="EA801" i="1"/>
  <c r="DY801" i="1"/>
  <c r="DW801" i="1"/>
  <c r="DU801" i="1"/>
  <c r="DS801" i="1"/>
  <c r="DQ801" i="1"/>
  <c r="DO801" i="1"/>
  <c r="DM801" i="1"/>
  <c r="DK801" i="1"/>
  <c r="DI801" i="1"/>
  <c r="DG801" i="1"/>
  <c r="DE801" i="1"/>
  <c r="DC801" i="1"/>
  <c r="DA801" i="1"/>
  <c r="CY801" i="1"/>
  <c r="CW801" i="1"/>
  <c r="CU801" i="1"/>
  <c r="CS801" i="1"/>
  <c r="CQ801" i="1"/>
  <c r="CO801" i="1"/>
  <c r="CM801" i="1"/>
  <c r="CK801" i="1"/>
  <c r="CI801" i="1"/>
  <c r="CG801" i="1"/>
  <c r="CE801" i="1"/>
  <c r="CC801" i="1"/>
  <c r="CA801" i="1"/>
  <c r="BY801" i="1"/>
  <c r="BW801" i="1"/>
  <c r="BU801" i="1"/>
  <c r="BS801" i="1"/>
  <c r="BQ801" i="1"/>
  <c r="BO801" i="1"/>
  <c r="BM801" i="1"/>
  <c r="BK801" i="1"/>
  <c r="BI801" i="1"/>
  <c r="BG801" i="1"/>
  <c r="GX784" i="1"/>
  <c r="GV784" i="1"/>
  <c r="GT784" i="1"/>
  <c r="GR784" i="1"/>
  <c r="GP784" i="1"/>
  <c r="GN784" i="1"/>
  <c r="GL784" i="1"/>
  <c r="GJ784" i="1"/>
  <c r="GH784" i="1"/>
  <c r="GF784" i="1"/>
  <c r="GD784" i="1"/>
  <c r="FP784" i="1"/>
  <c r="FN790" i="1"/>
  <c r="FN788" i="1"/>
  <c r="FN784" i="1"/>
  <c r="FL788" i="1"/>
  <c r="FL784" i="1"/>
  <c r="FJ788" i="1"/>
  <c r="FH788" i="1"/>
  <c r="FF790" i="1"/>
  <c r="FF789" i="1"/>
  <c r="FF788" i="1"/>
  <c r="FD790" i="1"/>
  <c r="FD789" i="1"/>
  <c r="FD788" i="1"/>
  <c r="FB790" i="1"/>
  <c r="FB789" i="1"/>
  <c r="FB788" i="1"/>
  <c r="EW784" i="1"/>
  <c r="EU784" i="1"/>
  <c r="ES784" i="1"/>
  <c r="EQ787" i="1"/>
  <c r="EQ784" i="1"/>
  <c r="EO790" i="1"/>
  <c r="EO789" i="1"/>
  <c r="EM790" i="1"/>
  <c r="EM789" i="1"/>
  <c r="EK790" i="1"/>
  <c r="EK789" i="1"/>
  <c r="EI790" i="1"/>
  <c r="EI789" i="1"/>
  <c r="EG790" i="1"/>
  <c r="EG789" i="1"/>
  <c r="EE790" i="1"/>
  <c r="EE789" i="1"/>
  <c r="EC790" i="1"/>
  <c r="EC789" i="1"/>
  <c r="EA790" i="1"/>
  <c r="EA789" i="1"/>
  <c r="DY790" i="1"/>
  <c r="DY789" i="1"/>
  <c r="DW790" i="1"/>
  <c r="DW789" i="1"/>
  <c r="DU790" i="1"/>
  <c r="DU789" i="1"/>
  <c r="DS790" i="1"/>
  <c r="DS789" i="1"/>
  <c r="DQ790" i="1"/>
  <c r="DQ789" i="1"/>
  <c r="DO790" i="1"/>
  <c r="DO789" i="1"/>
  <c r="DM790" i="1"/>
  <c r="DM789" i="1"/>
  <c r="DK790" i="1"/>
  <c r="DK789" i="1"/>
  <c r="DI790" i="1"/>
  <c r="DI789" i="1"/>
  <c r="DG790" i="1"/>
  <c r="DG789" i="1"/>
  <c r="DE790" i="1"/>
  <c r="DE789" i="1"/>
  <c r="DC790" i="1"/>
  <c r="DC789" i="1"/>
  <c r="DA790" i="1"/>
  <c r="DA789" i="1"/>
  <c r="CY790" i="1"/>
  <c r="CY789" i="1"/>
  <c r="CW790" i="1"/>
  <c r="CW789" i="1"/>
  <c r="CU790" i="1"/>
  <c r="CU789" i="1"/>
  <c r="CS790" i="1"/>
  <c r="CS789" i="1"/>
  <c r="CQ790" i="1"/>
  <c r="CQ789" i="1"/>
  <c r="CO790" i="1"/>
  <c r="CO789" i="1"/>
  <c r="CM790" i="1"/>
  <c r="CM789" i="1"/>
  <c r="CK790" i="1"/>
  <c r="CK789" i="1"/>
  <c r="CI790" i="1"/>
  <c r="CI789" i="1"/>
  <c r="CG790" i="1"/>
  <c r="CG789" i="1"/>
  <c r="CE790" i="1"/>
  <c r="CE789" i="1"/>
  <c r="CC790" i="1"/>
  <c r="CC789" i="1"/>
  <c r="CA790" i="1"/>
  <c r="CA789" i="1"/>
  <c r="BY790" i="1"/>
  <c r="BY789" i="1"/>
  <c r="BW790" i="1"/>
  <c r="BW789" i="1"/>
  <c r="BU790" i="1"/>
  <c r="BU789" i="1"/>
  <c r="BS790" i="1"/>
  <c r="BS789" i="1"/>
  <c r="BQ790" i="1"/>
  <c r="BQ789" i="1"/>
  <c r="BO790" i="1"/>
  <c r="BO789" i="1"/>
  <c r="BM790" i="1"/>
  <c r="BM789" i="1"/>
  <c r="BK790" i="1"/>
  <c r="BK789" i="1"/>
  <c r="BI790" i="1"/>
  <c r="BI789" i="1"/>
  <c r="BG790" i="1"/>
  <c r="BG789" i="1"/>
  <c r="BE790" i="1"/>
  <c r="BE789" i="1"/>
  <c r="BC790" i="1"/>
  <c r="BC789" i="1"/>
  <c r="BA790" i="1"/>
  <c r="BA789" i="1"/>
  <c r="AY790" i="1"/>
  <c r="AY789" i="1"/>
  <c r="AO782" i="1"/>
  <c r="AM782" i="1"/>
  <c r="AK782" i="1"/>
  <c r="AI782" i="1"/>
  <c r="AG788" i="1"/>
  <c r="AG782" i="1"/>
  <c r="AE788" i="1"/>
  <c r="AE782" i="1"/>
  <c r="AC788" i="1"/>
  <c r="AC782" i="1"/>
  <c r="AA788" i="1"/>
  <c r="AA782" i="1"/>
  <c r="Y788" i="1"/>
  <c r="Y782" i="1"/>
  <c r="W788" i="1"/>
  <c r="W782" i="1"/>
  <c r="U788" i="1"/>
  <c r="U782" i="1"/>
  <c r="S788" i="1"/>
  <c r="S782" i="1"/>
  <c r="Q788" i="1"/>
  <c r="Q782" i="1"/>
  <c r="O788" i="1"/>
  <c r="O782" i="1"/>
  <c r="M788" i="1"/>
  <c r="M782" i="1"/>
  <c r="K788" i="1"/>
  <c r="K782" i="1"/>
  <c r="A783" i="1"/>
  <c r="FN782" i="1"/>
  <c r="FL782" i="1"/>
  <c r="EW775" i="1"/>
  <c r="EU775" i="1"/>
  <c r="ES775" i="1"/>
  <c r="EQ775" i="1"/>
  <c r="EQ763" i="1"/>
  <c r="EK765" i="1"/>
  <c r="EI765" i="1"/>
  <c r="EG765" i="1"/>
  <c r="EE765" i="1"/>
  <c r="EC765" i="1"/>
  <c r="EA765" i="1"/>
  <c r="DY765" i="1"/>
  <c r="DW765" i="1"/>
  <c r="DU765" i="1"/>
  <c r="DS765" i="1"/>
  <c r="DQ765" i="1"/>
  <c r="DO765" i="1"/>
  <c r="DM765" i="1"/>
  <c r="DK765" i="1"/>
  <c r="DI765" i="1"/>
  <c r="DG765" i="1"/>
  <c r="DE765" i="1"/>
  <c r="DC765" i="1"/>
  <c r="DA765" i="1"/>
  <c r="CY765" i="1"/>
  <c r="CW765" i="1"/>
  <c r="CU765" i="1"/>
  <c r="CS765" i="1"/>
  <c r="CQ765" i="1"/>
  <c r="CO765" i="1"/>
  <c r="CM765" i="1"/>
  <c r="CK765" i="1"/>
  <c r="CI765" i="1"/>
  <c r="CG765" i="1"/>
  <c r="CE765" i="1"/>
  <c r="CC765" i="1"/>
  <c r="CA765" i="1"/>
  <c r="BY765" i="1"/>
  <c r="BW765" i="1"/>
  <c r="BU765" i="1"/>
  <c r="BS765" i="1"/>
  <c r="BQ765" i="1"/>
  <c r="BO765" i="1"/>
  <c r="BM765" i="1"/>
  <c r="BK765" i="1"/>
  <c r="BI765" i="1"/>
  <c r="BG765" i="1"/>
  <c r="BE765" i="1"/>
  <c r="BC765" i="1"/>
  <c r="BA765" i="1"/>
  <c r="AY765" i="1"/>
  <c r="CY745" i="1"/>
  <c r="CY744" i="1"/>
  <c r="CY743" i="1"/>
  <c r="CY742" i="1"/>
  <c r="CY746" i="1" s="1"/>
  <c r="CW745" i="1"/>
  <c r="CW744" i="1"/>
  <c r="CW743" i="1"/>
  <c r="CW742" i="1"/>
  <c r="CW746" i="1" s="1"/>
  <c r="CU745" i="1"/>
  <c r="CU744" i="1"/>
  <c r="CU743" i="1"/>
  <c r="CU742" i="1"/>
  <c r="CU746" i="1" s="1"/>
  <c r="CS745" i="1"/>
  <c r="CS744" i="1"/>
  <c r="CS743" i="1"/>
  <c r="CS742" i="1"/>
  <c r="CS746" i="1" s="1"/>
  <c r="CQ745" i="1"/>
  <c r="CQ744" i="1"/>
  <c r="CQ743" i="1"/>
  <c r="CQ742" i="1"/>
  <c r="CQ746" i="1" s="1"/>
  <c r="CO745" i="1"/>
  <c r="CO744" i="1"/>
  <c r="CO743" i="1"/>
  <c r="CO742" i="1"/>
  <c r="CO746" i="1" s="1"/>
  <c r="CM745" i="1"/>
  <c r="CM744" i="1"/>
  <c r="CM743" i="1"/>
  <c r="CM742" i="1"/>
  <c r="CM746" i="1" s="1"/>
  <c r="CK745" i="1"/>
  <c r="CK744" i="1"/>
  <c r="CK743" i="1"/>
  <c r="CK742" i="1"/>
  <c r="CK746" i="1" s="1"/>
  <c r="CI745" i="1"/>
  <c r="CI744" i="1"/>
  <c r="CI743" i="1"/>
  <c r="CI742" i="1"/>
  <c r="CI746" i="1" s="1"/>
  <c r="CG745" i="1"/>
  <c r="CG744" i="1"/>
  <c r="CG743" i="1"/>
  <c r="CG742" i="1"/>
  <c r="CG746" i="1" s="1"/>
  <c r="CE745" i="1"/>
  <c r="CE744" i="1"/>
  <c r="CE743" i="1"/>
  <c r="CE742" i="1"/>
  <c r="CE746" i="1" s="1"/>
  <c r="GY739" i="1"/>
  <c r="GY738" i="1"/>
  <c r="GY737" i="1"/>
  <c r="GY736" i="1"/>
  <c r="GY735" i="1"/>
  <c r="GW739" i="1"/>
  <c r="GW738" i="1"/>
  <c r="GW737" i="1"/>
  <c r="GW736" i="1"/>
  <c r="GW735" i="1"/>
  <c r="GU739" i="1"/>
  <c r="GU738" i="1"/>
  <c r="GU737" i="1"/>
  <c r="GU736" i="1"/>
  <c r="GU735" i="1"/>
  <c r="GS739" i="1"/>
  <c r="GS738" i="1"/>
  <c r="GS737" i="1"/>
  <c r="GS736" i="1"/>
  <c r="GS735" i="1"/>
  <c r="GQ739" i="1"/>
  <c r="GQ738" i="1"/>
  <c r="GQ737" i="1"/>
  <c r="GQ736" i="1"/>
  <c r="GQ735" i="1"/>
  <c r="GO739" i="1"/>
  <c r="GO738" i="1"/>
  <c r="GO737" i="1"/>
  <c r="GO736" i="1"/>
  <c r="GO735" i="1"/>
  <c r="GM739" i="1"/>
  <c r="GM738" i="1"/>
  <c r="GM737" i="1"/>
  <c r="GM736" i="1"/>
  <c r="GM735" i="1"/>
  <c r="GK739" i="1"/>
  <c r="GK738" i="1"/>
  <c r="GK737" i="1"/>
  <c r="GK736" i="1"/>
  <c r="GK735" i="1"/>
  <c r="GI739" i="1"/>
  <c r="GI738" i="1"/>
  <c r="GI737" i="1"/>
  <c r="GI736" i="1"/>
  <c r="GI735" i="1"/>
  <c r="GG739" i="1"/>
  <c r="GG738" i="1"/>
  <c r="GG737" i="1"/>
  <c r="GG736" i="1"/>
  <c r="GG735" i="1"/>
  <c r="GE739" i="1"/>
  <c r="GE738" i="1"/>
  <c r="GE737" i="1"/>
  <c r="GE736" i="1"/>
  <c r="GE735" i="1"/>
  <c r="GC739" i="1"/>
  <c r="GC738" i="1"/>
  <c r="GC737" i="1"/>
  <c r="GC736" i="1"/>
  <c r="GC735" i="1"/>
  <c r="GA739" i="1"/>
  <c r="GA738" i="1"/>
  <c r="GA737" i="1"/>
  <c r="GA736" i="1"/>
  <c r="GA735" i="1"/>
  <c r="FY739" i="1"/>
  <c r="FY738" i="1"/>
  <c r="FY737" i="1"/>
  <c r="FY736" i="1"/>
  <c r="FY735" i="1"/>
  <c r="FW739" i="1"/>
  <c r="FW738" i="1"/>
  <c r="FW737" i="1"/>
  <c r="FW736" i="1"/>
  <c r="FW735" i="1"/>
  <c r="N739" i="1"/>
  <c r="N738" i="1"/>
  <c r="N737" i="1"/>
  <c r="N736" i="1"/>
  <c r="N735" i="1"/>
  <c r="L739" i="1"/>
  <c r="L738" i="1"/>
  <c r="L737" i="1"/>
  <c r="L736" i="1"/>
  <c r="L735" i="1"/>
  <c r="T739" i="1"/>
  <c r="T738" i="1"/>
  <c r="T737" i="1"/>
  <c r="T736" i="1"/>
  <c r="T735" i="1"/>
  <c r="P739" i="1"/>
  <c r="P738" i="1"/>
  <c r="P737" i="1"/>
  <c r="P736" i="1"/>
  <c r="P735" i="1"/>
  <c r="GY732" i="1"/>
  <c r="GY731" i="1"/>
  <c r="GY730" i="1"/>
  <c r="GY729" i="1"/>
  <c r="GY728" i="1"/>
  <c r="GW732" i="1"/>
  <c r="GW731" i="1"/>
  <c r="GW730" i="1"/>
  <c r="GW729" i="1"/>
  <c r="GW728" i="1"/>
  <c r="GU732" i="1"/>
  <c r="GU731" i="1"/>
  <c r="GU730" i="1"/>
  <c r="GU729" i="1"/>
  <c r="GU728" i="1"/>
  <c r="GS732" i="1"/>
  <c r="GS731" i="1"/>
  <c r="GS730" i="1"/>
  <c r="GS729" i="1"/>
  <c r="GS728" i="1"/>
  <c r="GQ732" i="1"/>
  <c r="GQ731" i="1"/>
  <c r="GQ730" i="1"/>
  <c r="GQ729" i="1"/>
  <c r="GQ728" i="1"/>
  <c r="GO732" i="1"/>
  <c r="GO731" i="1"/>
  <c r="GO730" i="1"/>
  <c r="GO729" i="1"/>
  <c r="GO728" i="1"/>
  <c r="GM732" i="1"/>
  <c r="GM731" i="1"/>
  <c r="GM730" i="1"/>
  <c r="GM729" i="1"/>
  <c r="GM728" i="1"/>
  <c r="GK732" i="1"/>
  <c r="GK731" i="1"/>
  <c r="GK730" i="1"/>
  <c r="GK729" i="1"/>
  <c r="GK728" i="1"/>
  <c r="GI732" i="1"/>
  <c r="GI731" i="1"/>
  <c r="GI730" i="1"/>
  <c r="GI729" i="1"/>
  <c r="GI728" i="1"/>
  <c r="GG732" i="1"/>
  <c r="GG731" i="1"/>
  <c r="GG730" i="1"/>
  <c r="GG729" i="1"/>
  <c r="GG728" i="1"/>
  <c r="GE732" i="1"/>
  <c r="GE731" i="1"/>
  <c r="GE730" i="1"/>
  <c r="GE729" i="1"/>
  <c r="GE728" i="1"/>
  <c r="GC732" i="1"/>
  <c r="GC731" i="1"/>
  <c r="GC730" i="1"/>
  <c r="GC729" i="1"/>
  <c r="GC728" i="1"/>
  <c r="GA732" i="1"/>
  <c r="GA731" i="1"/>
  <c r="GA730" i="1"/>
  <c r="GA729" i="1"/>
  <c r="GA728" i="1"/>
  <c r="FY732" i="1"/>
  <c r="FY731" i="1"/>
  <c r="FY730" i="1"/>
  <c r="FY729" i="1"/>
  <c r="FY728" i="1"/>
  <c r="FW732" i="1"/>
  <c r="FW731" i="1"/>
  <c r="FW730" i="1"/>
  <c r="FW729" i="1"/>
  <c r="FW728" i="1"/>
  <c r="FF732" i="1"/>
  <c r="FG732" i="1" s="1"/>
  <c r="CK732" i="1"/>
  <c r="CL732" i="1" s="1"/>
  <c r="CI732" i="1"/>
  <c r="CJ732" i="1" s="1"/>
  <c r="CG732" i="1"/>
  <c r="CH732" i="1" s="1"/>
  <c r="CE732" i="1"/>
  <c r="CF732" i="1" s="1"/>
  <c r="CC732" i="1"/>
  <c r="CD732" i="1" s="1"/>
  <c r="CA732" i="1"/>
  <c r="CB732" i="1" s="1"/>
  <c r="BY732" i="1"/>
  <c r="BZ732" i="1" s="1"/>
  <c r="BW732" i="1"/>
  <c r="BX732" i="1" s="1"/>
  <c r="BU732" i="1"/>
  <c r="BV732" i="1" s="1"/>
  <c r="BS732" i="1"/>
  <c r="BQ732" i="1"/>
  <c r="BO732" i="1"/>
  <c r="BM732" i="1"/>
  <c r="BK732" i="1"/>
  <c r="BI732" i="1"/>
  <c r="BG732" i="1"/>
  <c r="BE732" i="1"/>
  <c r="BC732" i="1"/>
  <c r="BA732" i="1"/>
  <c r="AY732" i="1"/>
  <c r="AW732" i="1"/>
  <c r="AX732" i="1" s="1"/>
  <c r="AU732" i="1"/>
  <c r="AV732" i="1" s="1"/>
  <c r="AS732" i="1"/>
  <c r="AT732" i="1" s="1"/>
  <c r="AQ732" i="1"/>
  <c r="AR732" i="1" s="1"/>
  <c r="AO732" i="1"/>
  <c r="AP732" i="1" s="1"/>
  <c r="AM732" i="1"/>
  <c r="AN732" i="1" s="1"/>
  <c r="AK732" i="1"/>
  <c r="AL732" i="1" s="1"/>
  <c r="AI732" i="1"/>
  <c r="AJ732" i="1" s="1"/>
  <c r="AG732" i="1"/>
  <c r="AH732" i="1" s="1"/>
  <c r="AE732" i="1"/>
  <c r="AF732" i="1" s="1"/>
  <c r="AC732" i="1"/>
  <c r="AD732" i="1" s="1"/>
  <c r="AA732" i="1"/>
  <c r="AB732" i="1" s="1"/>
  <c r="Y732" i="1"/>
  <c r="Z732" i="1" s="1"/>
  <c r="W732" i="1"/>
  <c r="X732" i="1" s="1"/>
  <c r="U732" i="1"/>
  <c r="V732" i="1" s="1"/>
  <c r="T732" i="1"/>
  <c r="R732" i="1"/>
  <c r="Q732" i="1"/>
  <c r="P732" i="1"/>
  <c r="N732" i="1"/>
  <c r="N731" i="1"/>
  <c r="N730" i="1"/>
  <c r="N729" i="1"/>
  <c r="N728" i="1"/>
  <c r="L732" i="1"/>
  <c r="L731" i="1"/>
  <c r="L730" i="1"/>
  <c r="L729" i="1"/>
  <c r="L728" i="1"/>
  <c r="CL731" i="1"/>
  <c r="CL730" i="1"/>
  <c r="CL729" i="1"/>
  <c r="CL728" i="1"/>
  <c r="CJ731" i="1"/>
  <c r="CJ730" i="1"/>
  <c r="CJ729" i="1"/>
  <c r="CJ728" i="1"/>
  <c r="CH731" i="1"/>
  <c r="CH730" i="1"/>
  <c r="CH729" i="1"/>
  <c r="CH728" i="1"/>
  <c r="CF731" i="1"/>
  <c r="CF730" i="1"/>
  <c r="CF729" i="1"/>
  <c r="CF728" i="1"/>
  <c r="CD731" i="1"/>
  <c r="CD730" i="1"/>
  <c r="CD729" i="1"/>
  <c r="CD728" i="1"/>
  <c r="CB731" i="1"/>
  <c r="CB730" i="1"/>
  <c r="CB729" i="1"/>
  <c r="CB728" i="1"/>
  <c r="BZ731" i="1"/>
  <c r="BZ730" i="1"/>
  <c r="BZ729" i="1"/>
  <c r="BZ728" i="1"/>
  <c r="BX731" i="1"/>
  <c r="BX730" i="1"/>
  <c r="BX729" i="1"/>
  <c r="BX728" i="1"/>
  <c r="BV731" i="1"/>
  <c r="BV730" i="1"/>
  <c r="BV729" i="1"/>
  <c r="BV728" i="1"/>
  <c r="BT731" i="1"/>
  <c r="BT730" i="1"/>
  <c r="BT729" i="1"/>
  <c r="BT728" i="1"/>
  <c r="BT732" i="1" s="1"/>
  <c r="BR731" i="1"/>
  <c r="BR730" i="1"/>
  <c r="BR729" i="1"/>
  <c r="BR728" i="1"/>
  <c r="BR732" i="1" s="1"/>
  <c r="BP731" i="1"/>
  <c r="BP730" i="1"/>
  <c r="BP729" i="1"/>
  <c r="BP728" i="1"/>
  <c r="BP732" i="1" s="1"/>
  <c r="BN731" i="1"/>
  <c r="BN730" i="1"/>
  <c r="BN729" i="1"/>
  <c r="BN728" i="1"/>
  <c r="BN732" i="1" s="1"/>
  <c r="BL731" i="1"/>
  <c r="BL730" i="1"/>
  <c r="BL729" i="1"/>
  <c r="BL728" i="1"/>
  <c r="BL732" i="1" s="1"/>
  <c r="BJ731" i="1"/>
  <c r="BJ730" i="1"/>
  <c r="BJ729" i="1"/>
  <c r="BJ728" i="1"/>
  <c r="BJ732" i="1" s="1"/>
  <c r="BH731" i="1"/>
  <c r="BH730" i="1"/>
  <c r="BH729" i="1"/>
  <c r="BH728" i="1"/>
  <c r="BH732" i="1" s="1"/>
  <c r="BF731" i="1"/>
  <c r="BF730" i="1"/>
  <c r="BF729" i="1"/>
  <c r="BF728" i="1"/>
  <c r="BF732" i="1" s="1"/>
  <c r="BD731" i="1"/>
  <c r="BD730" i="1"/>
  <c r="BD729" i="1"/>
  <c r="BD728" i="1"/>
  <c r="BD732" i="1" s="1"/>
  <c r="BB731" i="1"/>
  <c r="BB730" i="1"/>
  <c r="BB729" i="1"/>
  <c r="BB728" i="1"/>
  <c r="BB732" i="1" s="1"/>
  <c r="AZ731" i="1"/>
  <c r="AZ730" i="1"/>
  <c r="AZ729" i="1"/>
  <c r="AZ728" i="1"/>
  <c r="AZ732" i="1" s="1"/>
  <c r="AX731" i="1"/>
  <c r="AX730" i="1"/>
  <c r="AX729" i="1"/>
  <c r="AX728" i="1"/>
  <c r="AV731" i="1"/>
  <c r="AV730" i="1"/>
  <c r="AV729" i="1"/>
  <c r="AV728" i="1"/>
  <c r="AT731" i="1"/>
  <c r="AT730" i="1"/>
  <c r="AT729" i="1"/>
  <c r="AT728" i="1"/>
  <c r="AR731" i="1"/>
  <c r="AR730" i="1"/>
  <c r="AR729" i="1"/>
  <c r="AR728" i="1"/>
  <c r="AP731" i="1"/>
  <c r="AP730" i="1"/>
  <c r="AP729" i="1"/>
  <c r="AP728" i="1"/>
  <c r="AN731" i="1"/>
  <c r="AN730" i="1"/>
  <c r="AN729" i="1"/>
  <c r="AN728" i="1"/>
  <c r="AL731" i="1"/>
  <c r="AL730" i="1"/>
  <c r="AL729" i="1"/>
  <c r="AL728" i="1"/>
  <c r="AJ731" i="1"/>
  <c r="AJ730" i="1"/>
  <c r="AJ729" i="1"/>
  <c r="AJ728" i="1"/>
  <c r="AH731" i="1"/>
  <c r="AH730" i="1"/>
  <c r="AH729" i="1"/>
  <c r="AH728" i="1"/>
  <c r="AF731" i="1"/>
  <c r="AF730" i="1"/>
  <c r="AF729" i="1"/>
  <c r="AF728" i="1"/>
  <c r="AD731" i="1"/>
  <c r="AD730" i="1"/>
  <c r="AD729" i="1"/>
  <c r="AD728" i="1"/>
  <c r="AB731" i="1"/>
  <c r="AB730" i="1"/>
  <c r="AB729" i="1"/>
  <c r="AB728" i="1"/>
  <c r="Z731" i="1"/>
  <c r="Z730" i="1"/>
  <c r="Z729" i="1"/>
  <c r="Z728" i="1"/>
  <c r="X731" i="1"/>
  <c r="X730" i="1"/>
  <c r="X729" i="1"/>
  <c r="X728" i="1"/>
  <c r="V731" i="1"/>
  <c r="V730" i="1"/>
  <c r="V729" i="1"/>
  <c r="V728" i="1"/>
  <c r="T731" i="1"/>
  <c r="T730" i="1"/>
  <c r="T729" i="1"/>
  <c r="T728" i="1"/>
  <c r="R731" i="1"/>
  <c r="R730" i="1"/>
  <c r="R729" i="1"/>
  <c r="R728" i="1"/>
  <c r="P731" i="1"/>
  <c r="P730" i="1"/>
  <c r="P729" i="1"/>
  <c r="P728" i="1"/>
  <c r="FL731" i="1"/>
  <c r="FJ731" i="1"/>
  <c r="FK731" i="1" s="1"/>
  <c r="FI731" i="1"/>
  <c r="FH731" i="1"/>
  <c r="FG731" i="1"/>
  <c r="FL730" i="1"/>
  <c r="FM730" i="1" s="1"/>
  <c r="FJ730" i="1"/>
  <c r="FH730" i="1"/>
  <c r="FK730" i="1" s="1"/>
  <c r="FG730" i="1"/>
  <c r="FL729" i="1"/>
  <c r="FL732" i="1" s="1"/>
  <c r="FK729" i="1"/>
  <c r="FJ729" i="1"/>
  <c r="FJ732" i="1" s="1"/>
  <c r="FH729" i="1"/>
  <c r="FH732" i="1" s="1"/>
  <c r="FI732" i="1" s="1"/>
  <c r="FG729" i="1"/>
  <c r="FL728" i="1"/>
  <c r="FJ728" i="1"/>
  <c r="FM728" i="1" s="1"/>
  <c r="FI728" i="1"/>
  <c r="FH728" i="1"/>
  <c r="FG728" i="1"/>
  <c r="FF720" i="1"/>
  <c r="FG720" i="1" s="1"/>
  <c r="FG719" i="1"/>
  <c r="FF719" i="1"/>
  <c r="FG718" i="1"/>
  <c r="FF718" i="1"/>
  <c r="FG717" i="1"/>
  <c r="FF717" i="1"/>
  <c r="EL723" i="1"/>
  <c r="EK723" i="1"/>
  <c r="EJ723" i="1"/>
  <c r="EI723" i="1"/>
  <c r="EH723" i="1"/>
  <c r="EG723" i="1"/>
  <c r="EF723" i="1"/>
  <c r="EE723" i="1"/>
  <c r="ED723" i="1"/>
  <c r="EC723" i="1"/>
  <c r="EB723" i="1"/>
  <c r="EA723" i="1"/>
  <c r="DZ723" i="1"/>
  <c r="DY723" i="1"/>
  <c r="DX723" i="1"/>
  <c r="DW723" i="1"/>
  <c r="DV723" i="1"/>
  <c r="DU723" i="1"/>
  <c r="DT723" i="1"/>
  <c r="DS723" i="1"/>
  <c r="DR723" i="1"/>
  <c r="DQ723" i="1"/>
  <c r="DP723" i="1"/>
  <c r="DO723" i="1"/>
  <c r="DN723" i="1"/>
  <c r="DM723" i="1"/>
  <c r="DL723" i="1"/>
  <c r="DK723" i="1"/>
  <c r="DJ723" i="1"/>
  <c r="DI723" i="1"/>
  <c r="DH723" i="1"/>
  <c r="DG723" i="1"/>
  <c r="DF723" i="1"/>
  <c r="DE723" i="1"/>
  <c r="DD723" i="1"/>
  <c r="DC723" i="1"/>
  <c r="DB723" i="1"/>
  <c r="DA723" i="1"/>
  <c r="CZ723" i="1"/>
  <c r="CY723" i="1"/>
  <c r="CX723" i="1"/>
  <c r="CW723" i="1"/>
  <c r="CV723" i="1"/>
  <c r="CU723" i="1"/>
  <c r="CT723" i="1"/>
  <c r="CS723" i="1"/>
  <c r="CR723" i="1"/>
  <c r="CQ723" i="1"/>
  <c r="CP723" i="1"/>
  <c r="CO723" i="1"/>
  <c r="CN723" i="1"/>
  <c r="CM723" i="1"/>
  <c r="CL723" i="1"/>
  <c r="CK723" i="1"/>
  <c r="CJ723" i="1"/>
  <c r="CI723" i="1"/>
  <c r="CH723" i="1"/>
  <c r="CG723" i="1"/>
  <c r="CF723" i="1"/>
  <c r="CE723" i="1"/>
  <c r="CD723" i="1"/>
  <c r="CC723" i="1"/>
  <c r="CB723" i="1"/>
  <c r="CA723" i="1"/>
  <c r="BZ723" i="1"/>
  <c r="BY723" i="1"/>
  <c r="BX723" i="1"/>
  <c r="BW723" i="1"/>
  <c r="BV723" i="1"/>
  <c r="BU723" i="1"/>
  <c r="BT723" i="1"/>
  <c r="BS723" i="1"/>
  <c r="BR723" i="1"/>
  <c r="BQ723" i="1"/>
  <c r="BP723" i="1"/>
  <c r="BO723" i="1"/>
  <c r="BN723" i="1"/>
  <c r="BM723" i="1"/>
  <c r="BL723" i="1"/>
  <c r="BK723" i="1"/>
  <c r="BJ723" i="1"/>
  <c r="BI723" i="1"/>
  <c r="BH723" i="1"/>
  <c r="BG723" i="1"/>
  <c r="BF723" i="1"/>
  <c r="BE723" i="1"/>
  <c r="BD723" i="1"/>
  <c r="BC723" i="1"/>
  <c r="BB723" i="1"/>
  <c r="BA723" i="1"/>
  <c r="AZ723" i="1"/>
  <c r="AY723" i="1"/>
  <c r="AX723" i="1"/>
  <c r="AW723" i="1"/>
  <c r="AV723" i="1"/>
  <c r="AU723" i="1"/>
  <c r="AT723" i="1"/>
  <c r="AS723" i="1"/>
  <c r="AR723" i="1"/>
  <c r="AQ723" i="1"/>
  <c r="AP723" i="1"/>
  <c r="AO723" i="1"/>
  <c r="AN723" i="1"/>
  <c r="AM723" i="1"/>
  <c r="AL723" i="1"/>
  <c r="AK723" i="1"/>
  <c r="AJ723" i="1"/>
  <c r="AI723" i="1"/>
  <c r="AH723" i="1"/>
  <c r="AG723" i="1"/>
  <c r="AF723" i="1"/>
  <c r="AE723" i="1"/>
  <c r="AD723" i="1"/>
  <c r="AC723" i="1"/>
  <c r="AB723" i="1"/>
  <c r="AA723" i="1"/>
  <c r="Z723" i="1"/>
  <c r="Y723" i="1"/>
  <c r="X723" i="1"/>
  <c r="W723" i="1"/>
  <c r="V723" i="1"/>
  <c r="U723" i="1"/>
  <c r="T723" i="1"/>
  <c r="S723" i="1"/>
  <c r="Q723" i="1"/>
  <c r="P723" i="1"/>
  <c r="O723" i="1"/>
  <c r="N723" i="1"/>
  <c r="M723" i="1"/>
  <c r="L723" i="1"/>
  <c r="K723" i="1"/>
  <c r="EO720" i="1"/>
  <c r="EF720" i="1"/>
  <c r="EE720" i="1"/>
  <c r="ED720" i="1"/>
  <c r="EC720" i="1"/>
  <c r="EB720" i="1"/>
  <c r="EA720" i="1"/>
  <c r="DZ720" i="1"/>
  <c r="DY720" i="1"/>
  <c r="DX720" i="1"/>
  <c r="DW720" i="1"/>
  <c r="DV720" i="1"/>
  <c r="DU720" i="1"/>
  <c r="DT720" i="1"/>
  <c r="DS720" i="1"/>
  <c r="DR720" i="1"/>
  <c r="DQ720" i="1"/>
  <c r="DP720" i="1"/>
  <c r="DO720" i="1"/>
  <c r="DN720" i="1"/>
  <c r="DM720" i="1"/>
  <c r="DL720" i="1"/>
  <c r="DK720" i="1"/>
  <c r="DJ720" i="1"/>
  <c r="DI720" i="1"/>
  <c r="DH720" i="1"/>
  <c r="DG720" i="1"/>
  <c r="DF720" i="1"/>
  <c r="DE720" i="1"/>
  <c r="DD720" i="1"/>
  <c r="DC720" i="1"/>
  <c r="DB720" i="1"/>
  <c r="DA720" i="1"/>
  <c r="CZ720" i="1"/>
  <c r="CY720" i="1"/>
  <c r="CX720" i="1"/>
  <c r="CW720" i="1"/>
  <c r="CV720" i="1"/>
  <c r="CU720" i="1"/>
  <c r="CT720" i="1"/>
  <c r="CS720" i="1"/>
  <c r="CR720" i="1"/>
  <c r="CQ720" i="1"/>
  <c r="CO720" i="1"/>
  <c r="CM720" i="1"/>
  <c r="CK720" i="1"/>
  <c r="CI720" i="1"/>
  <c r="BP720" i="1"/>
  <c r="BO720" i="1"/>
  <c r="BN720" i="1"/>
  <c r="BM720" i="1"/>
  <c r="BL720" i="1"/>
  <c r="BK720" i="1"/>
  <c r="BJ720" i="1"/>
  <c r="BI720" i="1"/>
  <c r="BH720" i="1"/>
  <c r="BG720" i="1"/>
  <c r="BF720" i="1"/>
  <c r="BE720" i="1"/>
  <c r="BD720" i="1"/>
  <c r="BC720" i="1"/>
  <c r="BB720" i="1"/>
  <c r="BA720" i="1"/>
  <c r="AZ720" i="1"/>
  <c r="AY720" i="1"/>
  <c r="AX720" i="1"/>
  <c r="AW720" i="1"/>
  <c r="AV720" i="1"/>
  <c r="AU720" i="1"/>
  <c r="AT720" i="1"/>
  <c r="AS720" i="1"/>
  <c r="AR720" i="1"/>
  <c r="AQ720" i="1"/>
  <c r="AP720" i="1"/>
  <c r="AO720" i="1"/>
  <c r="AN720" i="1"/>
  <c r="AM720" i="1"/>
  <c r="AL720" i="1"/>
  <c r="AK720" i="1"/>
  <c r="AJ720" i="1"/>
  <c r="AI720" i="1"/>
  <c r="AH720" i="1"/>
  <c r="AG720" i="1"/>
  <c r="AF720" i="1"/>
  <c r="AE720" i="1"/>
  <c r="AD720" i="1"/>
  <c r="AC720" i="1"/>
  <c r="AB720" i="1"/>
  <c r="AA720" i="1"/>
  <c r="Z720" i="1"/>
  <c r="Y720" i="1"/>
  <c r="X720" i="1"/>
  <c r="W720" i="1"/>
  <c r="V720" i="1"/>
  <c r="U720" i="1"/>
  <c r="T720" i="1"/>
  <c r="S720" i="1"/>
  <c r="Q720" i="1"/>
  <c r="P720" i="1"/>
  <c r="O720" i="1"/>
  <c r="N720" i="1"/>
  <c r="M720" i="1"/>
  <c r="L720" i="1"/>
  <c r="K720" i="1"/>
  <c r="EO719" i="1"/>
  <c r="EF719" i="1"/>
  <c r="EE719" i="1"/>
  <c r="ED719" i="1"/>
  <c r="EC719" i="1"/>
  <c r="EB719" i="1"/>
  <c r="EA719" i="1"/>
  <c r="DZ719" i="1"/>
  <c r="DY719" i="1"/>
  <c r="DX719" i="1"/>
  <c r="DW719" i="1"/>
  <c r="DV719" i="1"/>
  <c r="DU719" i="1"/>
  <c r="DT719" i="1"/>
  <c r="DS719" i="1"/>
  <c r="DR719" i="1"/>
  <c r="DQ719" i="1"/>
  <c r="DP719" i="1"/>
  <c r="DO719" i="1"/>
  <c r="DN719" i="1"/>
  <c r="DM719" i="1"/>
  <c r="DL719" i="1"/>
  <c r="DK719" i="1"/>
  <c r="DJ719" i="1"/>
  <c r="DI719" i="1"/>
  <c r="DH719" i="1"/>
  <c r="DG719" i="1"/>
  <c r="DF719" i="1"/>
  <c r="DE719" i="1"/>
  <c r="DD719" i="1"/>
  <c r="DC719" i="1"/>
  <c r="DB719" i="1"/>
  <c r="DA719" i="1"/>
  <c r="CZ719" i="1"/>
  <c r="CY719" i="1"/>
  <c r="CX719" i="1"/>
  <c r="CW719" i="1"/>
  <c r="CV719" i="1"/>
  <c r="CU719" i="1"/>
  <c r="CT719" i="1"/>
  <c r="CS719" i="1"/>
  <c r="CR719" i="1"/>
  <c r="CQ719" i="1"/>
  <c r="CO719" i="1"/>
  <c r="CM719" i="1"/>
  <c r="CK719" i="1"/>
  <c r="CI719" i="1"/>
  <c r="BP719" i="1"/>
  <c r="BO719" i="1"/>
  <c r="BN719" i="1"/>
  <c r="BM719" i="1"/>
  <c r="BL719" i="1"/>
  <c r="BK719" i="1"/>
  <c r="BJ719" i="1"/>
  <c r="BI719" i="1"/>
  <c r="BH719" i="1"/>
  <c r="BG719" i="1"/>
  <c r="BF719" i="1"/>
  <c r="BE719" i="1"/>
  <c r="BD719" i="1"/>
  <c r="BC719" i="1"/>
  <c r="BB719" i="1"/>
  <c r="BA719" i="1"/>
  <c r="AZ719" i="1"/>
  <c r="AY719" i="1"/>
  <c r="AX719" i="1"/>
  <c r="AW719" i="1"/>
  <c r="AV719" i="1"/>
  <c r="AU719" i="1"/>
  <c r="AT719" i="1"/>
  <c r="AS719" i="1"/>
  <c r="AR719" i="1"/>
  <c r="AQ719" i="1"/>
  <c r="AP719" i="1"/>
  <c r="AO719" i="1"/>
  <c r="AN719" i="1"/>
  <c r="AM719" i="1"/>
  <c r="AL719" i="1"/>
  <c r="AK719" i="1"/>
  <c r="AJ719" i="1"/>
  <c r="AI719" i="1"/>
  <c r="AH719" i="1"/>
  <c r="AG719" i="1"/>
  <c r="AF719" i="1"/>
  <c r="AE719" i="1"/>
  <c r="AD719" i="1"/>
  <c r="AC719" i="1"/>
  <c r="AB719" i="1"/>
  <c r="AA719" i="1"/>
  <c r="Z719" i="1"/>
  <c r="Y719" i="1"/>
  <c r="X719" i="1"/>
  <c r="W719" i="1"/>
  <c r="V719" i="1"/>
  <c r="U719" i="1"/>
  <c r="T719" i="1"/>
  <c r="S719" i="1"/>
  <c r="Q719" i="1"/>
  <c r="P719" i="1"/>
  <c r="O719" i="1"/>
  <c r="N719" i="1"/>
  <c r="M719" i="1"/>
  <c r="L719" i="1"/>
  <c r="K719" i="1"/>
  <c r="EO718" i="1"/>
  <c r="EF718" i="1"/>
  <c r="EE718" i="1"/>
  <c r="ED718" i="1"/>
  <c r="EC718" i="1"/>
  <c r="EB718" i="1"/>
  <c r="EA718" i="1"/>
  <c r="DZ718" i="1"/>
  <c r="DY718" i="1"/>
  <c r="DX718" i="1"/>
  <c r="DW718" i="1"/>
  <c r="DV718" i="1"/>
  <c r="DU718" i="1"/>
  <c r="DT718" i="1"/>
  <c r="DS718" i="1"/>
  <c r="DR718" i="1"/>
  <c r="DQ718" i="1"/>
  <c r="DP718" i="1"/>
  <c r="DO718" i="1"/>
  <c r="DN718" i="1"/>
  <c r="DM718" i="1"/>
  <c r="DL718" i="1"/>
  <c r="DK718" i="1"/>
  <c r="DJ718" i="1"/>
  <c r="DI718" i="1"/>
  <c r="DH718" i="1"/>
  <c r="DG718" i="1"/>
  <c r="DF718" i="1"/>
  <c r="DE718" i="1"/>
  <c r="DD718" i="1"/>
  <c r="DC718" i="1"/>
  <c r="DB718" i="1"/>
  <c r="DA718" i="1"/>
  <c r="CZ718" i="1"/>
  <c r="CY718" i="1"/>
  <c r="CX718" i="1"/>
  <c r="CW718" i="1"/>
  <c r="CV718" i="1"/>
  <c r="CU718" i="1"/>
  <c r="CT718" i="1"/>
  <c r="CS718" i="1"/>
  <c r="CR718" i="1"/>
  <c r="CQ718" i="1"/>
  <c r="CO718" i="1"/>
  <c r="CM718" i="1"/>
  <c r="CK718" i="1"/>
  <c r="CI718" i="1"/>
  <c r="BP718" i="1"/>
  <c r="BO718" i="1"/>
  <c r="BN718" i="1"/>
  <c r="BM718" i="1"/>
  <c r="BL718" i="1"/>
  <c r="BK718" i="1"/>
  <c r="BJ718" i="1"/>
  <c r="BI718" i="1"/>
  <c r="BH718" i="1"/>
  <c r="BG718" i="1"/>
  <c r="BF718" i="1"/>
  <c r="BE718" i="1"/>
  <c r="BD718" i="1"/>
  <c r="BC718" i="1"/>
  <c r="BB718" i="1"/>
  <c r="BA718" i="1"/>
  <c r="AZ718" i="1"/>
  <c r="AY718" i="1"/>
  <c r="AX718" i="1"/>
  <c r="AW718" i="1"/>
  <c r="AV718" i="1"/>
  <c r="AU718" i="1"/>
  <c r="AT718" i="1"/>
  <c r="AS718" i="1"/>
  <c r="AR718" i="1"/>
  <c r="AQ718" i="1"/>
  <c r="AP718" i="1"/>
  <c r="AO718" i="1"/>
  <c r="AN718" i="1"/>
  <c r="AM718" i="1"/>
  <c r="AL718" i="1"/>
  <c r="AK718" i="1"/>
  <c r="AJ718" i="1"/>
  <c r="AI718" i="1"/>
  <c r="AH718" i="1"/>
  <c r="AG718" i="1"/>
  <c r="AF718" i="1"/>
  <c r="AE718" i="1"/>
  <c r="AD718" i="1"/>
  <c r="AC718" i="1"/>
  <c r="AB718" i="1"/>
  <c r="AA718" i="1"/>
  <c r="Z718" i="1"/>
  <c r="Y718" i="1"/>
  <c r="X718" i="1"/>
  <c r="W718" i="1"/>
  <c r="V718" i="1"/>
  <c r="U718" i="1"/>
  <c r="T718" i="1"/>
  <c r="S718" i="1"/>
  <c r="R718" i="1"/>
  <c r="Q718" i="1"/>
  <c r="P718" i="1"/>
  <c r="O718" i="1"/>
  <c r="N718" i="1"/>
  <c r="M718" i="1"/>
  <c r="L718" i="1"/>
  <c r="K718" i="1"/>
  <c r="EO717" i="1"/>
  <c r="EF717" i="1"/>
  <c r="EE717" i="1"/>
  <c r="ED717" i="1"/>
  <c r="EC717" i="1"/>
  <c r="EB717" i="1"/>
  <c r="EA717" i="1"/>
  <c r="DZ717" i="1"/>
  <c r="DY717" i="1"/>
  <c r="DX717" i="1"/>
  <c r="DW717" i="1"/>
  <c r="DV717" i="1"/>
  <c r="DU717" i="1"/>
  <c r="DT717" i="1"/>
  <c r="DS717" i="1"/>
  <c r="DR717" i="1"/>
  <c r="DQ717" i="1"/>
  <c r="DP717" i="1"/>
  <c r="DO717" i="1"/>
  <c r="DN717" i="1"/>
  <c r="DM717" i="1"/>
  <c r="DL717" i="1"/>
  <c r="DK717" i="1"/>
  <c r="DJ717" i="1"/>
  <c r="DI717" i="1"/>
  <c r="DH717" i="1"/>
  <c r="DG717" i="1"/>
  <c r="DF717" i="1"/>
  <c r="DE717" i="1"/>
  <c r="DD717" i="1"/>
  <c r="DC717" i="1"/>
  <c r="DB717" i="1"/>
  <c r="DA717" i="1"/>
  <c r="CZ717" i="1"/>
  <c r="CY717" i="1"/>
  <c r="CX717" i="1"/>
  <c r="CW717" i="1"/>
  <c r="CV717" i="1"/>
  <c r="CU717" i="1"/>
  <c r="CT717" i="1"/>
  <c r="CS717" i="1"/>
  <c r="CR717" i="1"/>
  <c r="CQ717" i="1"/>
  <c r="CO717" i="1"/>
  <c r="CM717" i="1"/>
  <c r="CK717" i="1"/>
  <c r="CI717" i="1"/>
  <c r="BP717" i="1"/>
  <c r="BO717" i="1"/>
  <c r="BN717" i="1"/>
  <c r="BM717" i="1"/>
  <c r="BL717" i="1"/>
  <c r="BK717" i="1"/>
  <c r="BJ717" i="1"/>
  <c r="BI717" i="1"/>
  <c r="BH717" i="1"/>
  <c r="BG717" i="1"/>
  <c r="BF717" i="1"/>
  <c r="BE717" i="1"/>
  <c r="BD717" i="1"/>
  <c r="BC717" i="1"/>
  <c r="BB717" i="1"/>
  <c r="BA717" i="1"/>
  <c r="AZ717" i="1"/>
  <c r="AY717" i="1"/>
  <c r="AX717" i="1"/>
  <c r="AW717" i="1"/>
  <c r="AV717" i="1"/>
  <c r="AU717" i="1"/>
  <c r="AT717" i="1"/>
  <c r="AS717" i="1"/>
  <c r="AR717" i="1"/>
  <c r="AQ717" i="1"/>
  <c r="AP717" i="1"/>
  <c r="AO717" i="1"/>
  <c r="AN717" i="1"/>
  <c r="AM717" i="1"/>
  <c r="AL717" i="1"/>
  <c r="AK717" i="1"/>
  <c r="AJ717" i="1"/>
  <c r="AI717" i="1"/>
  <c r="AH717" i="1"/>
  <c r="AG717" i="1"/>
  <c r="AF717" i="1"/>
  <c r="AE717" i="1"/>
  <c r="AD717" i="1"/>
  <c r="AC717" i="1"/>
  <c r="AB717" i="1"/>
  <c r="AA717" i="1"/>
  <c r="Z717" i="1"/>
  <c r="Y717" i="1"/>
  <c r="X717" i="1"/>
  <c r="W717" i="1"/>
  <c r="V717" i="1"/>
  <c r="U717" i="1"/>
  <c r="T717" i="1"/>
  <c r="S717" i="1"/>
  <c r="R717" i="1"/>
  <c r="Q717" i="1"/>
  <c r="P717" i="1"/>
  <c r="O717" i="1"/>
  <c r="N717" i="1"/>
  <c r="M717" i="1"/>
  <c r="L717" i="1"/>
  <c r="K717" i="1"/>
  <c r="I723" i="1"/>
  <c r="R723" i="1" s="1"/>
  <c r="I720" i="1"/>
  <c r="R720" i="1" s="1"/>
  <c r="I719" i="1"/>
  <c r="R719" i="1" s="1"/>
  <c r="I718" i="1"/>
  <c r="GN713" i="1"/>
  <c r="GL713" i="1"/>
  <c r="GJ713" i="1"/>
  <c r="GH713" i="1"/>
  <c r="GF713" i="1"/>
  <c r="GD713" i="1"/>
  <c r="ES713" i="1"/>
  <c r="EU713" i="1" s="1"/>
  <c r="EW713" i="1" s="1"/>
  <c r="GP713" i="1" s="1"/>
  <c r="GR713" i="1" s="1"/>
  <c r="GT713" i="1" s="1"/>
  <c r="GV713" i="1" s="1"/>
  <c r="GX713" i="1" s="1"/>
  <c r="GZ713" i="1" s="1"/>
  <c r="EQ713" i="1"/>
  <c r="GH710" i="1"/>
  <c r="GF710" i="1"/>
  <c r="GD710" i="1"/>
  <c r="DK710" i="1"/>
  <c r="DM710" i="1" s="1"/>
  <c r="DO710" i="1" s="1"/>
  <c r="DY710" i="1"/>
  <c r="EA710" i="1" s="1"/>
  <c r="EC710" i="1" s="1"/>
  <c r="EE710" i="1" s="1"/>
  <c r="EG710" i="1" s="1"/>
  <c r="DU710" i="1"/>
  <c r="DW710" i="1" s="1"/>
  <c r="DS710" i="1"/>
  <c r="L705" i="1"/>
  <c r="DZ698" i="1"/>
  <c r="DZ697" i="1"/>
  <c r="DX698" i="1"/>
  <c r="DX697" i="1"/>
  <c r="DV698" i="1"/>
  <c r="DV697" i="1"/>
  <c r="EB698" i="1"/>
  <c r="EB697" i="1"/>
  <c r="EA678" i="1"/>
  <c r="EA677" i="1"/>
  <c r="EA680" i="1" s="1"/>
  <c r="EA681" i="1" s="1"/>
  <c r="DY678" i="1"/>
  <c r="DZ678" i="1" s="1"/>
  <c r="DY677" i="1"/>
  <c r="DY680" i="1" s="1"/>
  <c r="DW679" i="1"/>
  <c r="DX679" i="1" s="1"/>
  <c r="DW678" i="1"/>
  <c r="DX678" i="1" s="1"/>
  <c r="DW677" i="1"/>
  <c r="DU680" i="1"/>
  <c r="DU678" i="1"/>
  <c r="DU677" i="1"/>
  <c r="DU684" i="1" s="1"/>
  <c r="DS678" i="1"/>
  <c r="DS677" i="1"/>
  <c r="DU679" i="1" s="1"/>
  <c r="DQ678" i="1"/>
  <c r="DR678" i="1" s="1"/>
  <c r="DQ677" i="1"/>
  <c r="DQ680" i="1" s="1"/>
  <c r="DO679" i="1"/>
  <c r="DO678" i="1"/>
  <c r="DO677" i="1"/>
  <c r="DM680" i="1"/>
  <c r="DM678" i="1"/>
  <c r="DM677" i="1"/>
  <c r="DM684" i="1" s="1"/>
  <c r="DK678" i="1"/>
  <c r="DK677" i="1"/>
  <c r="DM679" i="1" s="1"/>
  <c r="DZ677" i="1"/>
  <c r="DZ676" i="1"/>
  <c r="DZ675" i="1"/>
  <c r="DZ674" i="1"/>
  <c r="DZ673" i="1"/>
  <c r="DX677" i="1"/>
  <c r="DX676" i="1"/>
  <c r="DX675" i="1"/>
  <c r="DX674" i="1"/>
  <c r="DX673" i="1"/>
  <c r="DV678" i="1"/>
  <c r="DV677" i="1"/>
  <c r="DV676" i="1"/>
  <c r="DV675" i="1"/>
  <c r="DV674" i="1"/>
  <c r="DV673" i="1"/>
  <c r="DT678" i="1"/>
  <c r="DT677" i="1"/>
  <c r="DT676" i="1"/>
  <c r="DT675" i="1"/>
  <c r="DT674" i="1"/>
  <c r="DT673" i="1"/>
  <c r="DR676" i="1"/>
  <c r="DR675" i="1"/>
  <c r="DR674" i="1"/>
  <c r="DR673" i="1"/>
  <c r="DP676" i="1"/>
  <c r="DP675" i="1"/>
  <c r="DP674" i="1"/>
  <c r="DP673" i="1"/>
  <c r="DN676" i="1"/>
  <c r="DN675" i="1"/>
  <c r="DN674" i="1"/>
  <c r="DN673" i="1"/>
  <c r="DL676" i="1"/>
  <c r="DL675" i="1"/>
  <c r="DL674" i="1"/>
  <c r="DL673" i="1"/>
  <c r="I678" i="1"/>
  <c r="I693" i="1" s="1"/>
  <c r="I677" i="1"/>
  <c r="I679" i="1" s="1"/>
  <c r="FG678" i="1"/>
  <c r="FF678" i="1"/>
  <c r="FG677" i="1"/>
  <c r="FF677" i="1"/>
  <c r="EP678" i="1"/>
  <c r="EO678" i="1"/>
  <c r="EM678" i="1"/>
  <c r="EN678" i="1" s="1"/>
  <c r="EL678" i="1"/>
  <c r="EK678" i="1"/>
  <c r="EI678" i="1"/>
  <c r="EJ678" i="1" s="1"/>
  <c r="EH678" i="1"/>
  <c r="EG678" i="1"/>
  <c r="EE678" i="1"/>
  <c r="EF678" i="1" s="1"/>
  <c r="ED678" i="1"/>
  <c r="EC678" i="1"/>
  <c r="EB678" i="1"/>
  <c r="EP677" i="1"/>
  <c r="EO677" i="1"/>
  <c r="EN677" i="1"/>
  <c r="EM677" i="1"/>
  <c r="EM680" i="1" s="1"/>
  <c r="EL677" i="1"/>
  <c r="EK677" i="1"/>
  <c r="EJ677" i="1"/>
  <c r="EI677" i="1"/>
  <c r="EI680" i="1" s="1"/>
  <c r="EH677" i="1"/>
  <c r="EG677" i="1"/>
  <c r="EF677" i="1"/>
  <c r="EE677" i="1"/>
  <c r="EE680" i="1" s="1"/>
  <c r="ED677" i="1"/>
  <c r="EC677" i="1"/>
  <c r="EB677" i="1"/>
  <c r="DI678" i="1"/>
  <c r="DJ678" i="1" s="1"/>
  <c r="DH678" i="1"/>
  <c r="DG678" i="1"/>
  <c r="DP678" i="1" s="1"/>
  <c r="DE678" i="1"/>
  <c r="DF678" i="1" s="1"/>
  <c r="DD678" i="1"/>
  <c r="DC678" i="1"/>
  <c r="DL678" i="1" s="1"/>
  <c r="DA678" i="1"/>
  <c r="DB678" i="1" s="1"/>
  <c r="CZ678" i="1"/>
  <c r="CY678" i="1"/>
  <c r="CW678" i="1"/>
  <c r="CX678" i="1" s="1"/>
  <c r="CV678" i="1"/>
  <c r="CU678" i="1"/>
  <c r="CS678" i="1"/>
  <c r="CT678" i="1" s="1"/>
  <c r="CR678" i="1"/>
  <c r="CQ678" i="1"/>
  <c r="CO678" i="1"/>
  <c r="CP678" i="1" s="1"/>
  <c r="CN678" i="1"/>
  <c r="CM678" i="1"/>
  <c r="CK678" i="1"/>
  <c r="CL678" i="1" s="1"/>
  <c r="CJ678" i="1"/>
  <c r="CI678" i="1"/>
  <c r="CG678" i="1"/>
  <c r="CH678" i="1" s="1"/>
  <c r="CF678" i="1"/>
  <c r="CE678" i="1"/>
  <c r="CC678" i="1"/>
  <c r="CD678" i="1" s="1"/>
  <c r="CB678" i="1"/>
  <c r="CA678" i="1"/>
  <c r="BY678" i="1"/>
  <c r="BZ678" i="1" s="1"/>
  <c r="BX678" i="1"/>
  <c r="BW678" i="1"/>
  <c r="BU678" i="1"/>
  <c r="BV678" i="1" s="1"/>
  <c r="BT678" i="1"/>
  <c r="BS678" i="1"/>
  <c r="BQ678" i="1"/>
  <c r="BR678" i="1" s="1"/>
  <c r="BP678" i="1"/>
  <c r="BO678" i="1"/>
  <c r="BM678" i="1"/>
  <c r="BN678" i="1" s="1"/>
  <c r="BL678" i="1"/>
  <c r="BK678" i="1"/>
  <c r="BI678" i="1"/>
  <c r="BJ678" i="1" s="1"/>
  <c r="BH678" i="1"/>
  <c r="BG678" i="1"/>
  <c r="BE678" i="1"/>
  <c r="BF678" i="1" s="1"/>
  <c r="BD678" i="1"/>
  <c r="BC678" i="1"/>
  <c r="BA678" i="1"/>
  <c r="BB678" i="1" s="1"/>
  <c r="AZ678" i="1"/>
  <c r="AY678" i="1"/>
  <c r="AW678" i="1"/>
  <c r="AX678" i="1" s="1"/>
  <c r="AV678" i="1"/>
  <c r="AU678" i="1"/>
  <c r="AS678" i="1"/>
  <c r="AT678" i="1" s="1"/>
  <c r="AR678" i="1"/>
  <c r="AQ678" i="1"/>
  <c r="AO678" i="1"/>
  <c r="AP678" i="1" s="1"/>
  <c r="AN678" i="1"/>
  <c r="AM678" i="1"/>
  <c r="AK678" i="1"/>
  <c r="AL678" i="1" s="1"/>
  <c r="AJ678" i="1"/>
  <c r="AI678" i="1"/>
  <c r="AG678" i="1"/>
  <c r="AH678" i="1" s="1"/>
  <c r="AF678" i="1"/>
  <c r="AE678" i="1"/>
  <c r="AC678" i="1"/>
  <c r="AD678" i="1" s="1"/>
  <c r="AB678" i="1"/>
  <c r="AA678" i="1"/>
  <c r="Y678" i="1"/>
  <c r="Z678" i="1" s="1"/>
  <c r="X678" i="1"/>
  <c r="W678" i="1"/>
  <c r="U678" i="1"/>
  <c r="V678" i="1" s="1"/>
  <c r="T678" i="1"/>
  <c r="S678" i="1"/>
  <c r="Q678" i="1"/>
  <c r="R678" i="1" s="1"/>
  <c r="P678" i="1"/>
  <c r="O678" i="1"/>
  <c r="M678" i="1"/>
  <c r="N678" i="1" s="1"/>
  <c r="L678" i="1"/>
  <c r="K678" i="1"/>
  <c r="DI677" i="1"/>
  <c r="DI684" i="1" s="1"/>
  <c r="DH677" i="1"/>
  <c r="DG677" i="1"/>
  <c r="DE677" i="1"/>
  <c r="DE684" i="1" s="1"/>
  <c r="DD677" i="1"/>
  <c r="DC677" i="1"/>
  <c r="DA677" i="1"/>
  <c r="DA684" i="1" s="1"/>
  <c r="CY677" i="1"/>
  <c r="CW677" i="1"/>
  <c r="CW684" i="1" s="1"/>
  <c r="CU677" i="1"/>
  <c r="CS677" i="1"/>
  <c r="CS684" i="1" s="1"/>
  <c r="CC677" i="1"/>
  <c r="CC684" i="1" s="1"/>
  <c r="CB677" i="1"/>
  <c r="CA677" i="1"/>
  <c r="BY677" i="1"/>
  <c r="BY684" i="1" s="1"/>
  <c r="BX677" i="1"/>
  <c r="BW677" i="1"/>
  <c r="BU677" i="1"/>
  <c r="BU684" i="1" s="1"/>
  <c r="BT677" i="1"/>
  <c r="BS677" i="1"/>
  <c r="BQ677" i="1"/>
  <c r="BQ684" i="1" s="1"/>
  <c r="BP677" i="1"/>
  <c r="BO677" i="1"/>
  <c r="BM677" i="1"/>
  <c r="BM684" i="1" s="1"/>
  <c r="BL677" i="1"/>
  <c r="BK677" i="1"/>
  <c r="BI677" i="1"/>
  <c r="BI684" i="1" s="1"/>
  <c r="BH677" i="1"/>
  <c r="BG677" i="1"/>
  <c r="BE677" i="1"/>
  <c r="BE684" i="1" s="1"/>
  <c r="BD677" i="1"/>
  <c r="BC677" i="1"/>
  <c r="BA677" i="1"/>
  <c r="BA684" i="1" s="1"/>
  <c r="AZ677" i="1"/>
  <c r="AY677" i="1"/>
  <c r="AW677" i="1"/>
  <c r="AW684" i="1" s="1"/>
  <c r="AV677" i="1"/>
  <c r="AU677" i="1"/>
  <c r="AS677" i="1"/>
  <c r="AS684" i="1" s="1"/>
  <c r="AR677" i="1"/>
  <c r="AQ677" i="1"/>
  <c r="AO677" i="1"/>
  <c r="AO684" i="1" s="1"/>
  <c r="AN677" i="1"/>
  <c r="AM677" i="1"/>
  <c r="AK677" i="1"/>
  <c r="AK684" i="1" s="1"/>
  <c r="AJ677" i="1"/>
  <c r="AI677" i="1"/>
  <c r="AG677" i="1"/>
  <c r="AG684" i="1" s="1"/>
  <c r="AF677" i="1"/>
  <c r="AE677" i="1"/>
  <c r="AC677" i="1"/>
  <c r="AC684" i="1" s="1"/>
  <c r="AB677" i="1"/>
  <c r="AA677" i="1"/>
  <c r="Y677" i="1"/>
  <c r="Y684" i="1" s="1"/>
  <c r="W677" i="1"/>
  <c r="U677" i="1"/>
  <c r="U684" i="1" s="1"/>
  <c r="T677" i="1"/>
  <c r="S677" i="1"/>
  <c r="Q677" i="1"/>
  <c r="Q684" i="1" s="1"/>
  <c r="M677" i="1"/>
  <c r="L677" i="1"/>
  <c r="K677" i="1"/>
  <c r="EN676" i="1"/>
  <c r="EN675" i="1"/>
  <c r="EN674" i="1"/>
  <c r="EN673" i="1"/>
  <c r="EL676" i="1"/>
  <c r="EL675" i="1"/>
  <c r="EL674" i="1"/>
  <c r="EL673" i="1"/>
  <c r="EJ676" i="1"/>
  <c r="EJ675" i="1"/>
  <c r="EJ674" i="1"/>
  <c r="EJ673" i="1"/>
  <c r="EH676" i="1"/>
  <c r="EH675" i="1"/>
  <c r="EH674" i="1"/>
  <c r="EH673" i="1"/>
  <c r="EF676" i="1"/>
  <c r="EF675" i="1"/>
  <c r="EF674" i="1"/>
  <c r="EF673" i="1"/>
  <c r="ED676" i="1"/>
  <c r="ED675" i="1"/>
  <c r="ED674" i="1"/>
  <c r="ED673" i="1"/>
  <c r="EB676" i="1"/>
  <c r="EB675" i="1"/>
  <c r="EB674" i="1"/>
  <c r="EB673" i="1"/>
  <c r="DJ676" i="1"/>
  <c r="DJ675" i="1"/>
  <c r="DJ674" i="1"/>
  <c r="DJ673" i="1"/>
  <c r="DH676" i="1"/>
  <c r="DH675" i="1"/>
  <c r="DH674" i="1"/>
  <c r="DH673" i="1"/>
  <c r="DF676" i="1"/>
  <c r="DF675" i="1"/>
  <c r="DF674" i="1"/>
  <c r="DF673" i="1"/>
  <c r="DD676" i="1"/>
  <c r="DD675" i="1"/>
  <c r="DD674" i="1"/>
  <c r="DD673" i="1"/>
  <c r="DB676" i="1"/>
  <c r="DB675" i="1"/>
  <c r="DB674" i="1"/>
  <c r="DB673" i="1"/>
  <c r="CZ675" i="1"/>
  <c r="CZ674" i="1"/>
  <c r="CZ673" i="1"/>
  <c r="CX675" i="1"/>
  <c r="CX674" i="1"/>
  <c r="CX673" i="1"/>
  <c r="CV675" i="1"/>
  <c r="CV674" i="1"/>
  <c r="CV673" i="1"/>
  <c r="CT675" i="1"/>
  <c r="CT674" i="1"/>
  <c r="CT673" i="1"/>
  <c r="CQ676" i="1"/>
  <c r="CZ676" i="1" s="1"/>
  <c r="CP676" i="1"/>
  <c r="CO676" i="1"/>
  <c r="CX676" i="1" s="1"/>
  <c r="CM676" i="1"/>
  <c r="CV676" i="1" s="1"/>
  <c r="CL676" i="1"/>
  <c r="CK676" i="1"/>
  <c r="CT676" i="1" s="1"/>
  <c r="CI676" i="1"/>
  <c r="CJ676" i="1" s="1"/>
  <c r="CH676" i="1"/>
  <c r="CG676" i="1"/>
  <c r="CG677" i="1" s="1"/>
  <c r="CE676" i="1"/>
  <c r="CF676" i="1" s="1"/>
  <c r="CD676" i="1"/>
  <c r="CB676" i="1"/>
  <c r="CB675" i="1"/>
  <c r="CB674" i="1"/>
  <c r="CB673" i="1"/>
  <c r="BZ676" i="1"/>
  <c r="BZ675" i="1"/>
  <c r="BZ674" i="1"/>
  <c r="BZ673" i="1"/>
  <c r="BX676" i="1"/>
  <c r="BX675" i="1"/>
  <c r="BX674" i="1"/>
  <c r="BX673" i="1"/>
  <c r="BV676" i="1"/>
  <c r="BV675" i="1"/>
  <c r="BV674" i="1"/>
  <c r="BV673" i="1"/>
  <c r="BT676" i="1"/>
  <c r="BT675" i="1"/>
  <c r="BT674" i="1"/>
  <c r="BT673" i="1"/>
  <c r="BR676" i="1"/>
  <c r="BR675" i="1"/>
  <c r="BR674" i="1"/>
  <c r="BR673" i="1"/>
  <c r="BP676" i="1"/>
  <c r="BP675" i="1"/>
  <c r="BP674" i="1"/>
  <c r="BP673" i="1"/>
  <c r="BN676" i="1"/>
  <c r="BN675" i="1"/>
  <c r="BN674" i="1"/>
  <c r="BN673" i="1"/>
  <c r="BL676" i="1"/>
  <c r="BL675" i="1"/>
  <c r="BL674" i="1"/>
  <c r="BL673" i="1"/>
  <c r="BJ676" i="1"/>
  <c r="BJ675" i="1"/>
  <c r="BJ674" i="1"/>
  <c r="BJ673" i="1"/>
  <c r="BH676" i="1"/>
  <c r="BH675" i="1"/>
  <c r="BH674" i="1"/>
  <c r="BH673" i="1"/>
  <c r="BF676" i="1"/>
  <c r="BF675" i="1"/>
  <c r="BF674" i="1"/>
  <c r="BF673" i="1"/>
  <c r="BD676" i="1"/>
  <c r="BD675" i="1"/>
  <c r="BD674" i="1"/>
  <c r="BD673" i="1"/>
  <c r="BB676" i="1"/>
  <c r="BB675" i="1"/>
  <c r="BB674" i="1"/>
  <c r="BB673" i="1"/>
  <c r="AZ676" i="1"/>
  <c r="AZ675" i="1"/>
  <c r="AZ674" i="1"/>
  <c r="AZ673" i="1"/>
  <c r="AX676" i="1"/>
  <c r="AX675" i="1"/>
  <c r="AX674" i="1"/>
  <c r="AX673" i="1"/>
  <c r="AV676" i="1"/>
  <c r="AV675" i="1"/>
  <c r="AV674" i="1"/>
  <c r="AV673" i="1"/>
  <c r="AT676" i="1"/>
  <c r="AT675" i="1"/>
  <c r="AT674" i="1"/>
  <c r="AT673" i="1"/>
  <c r="AR676" i="1"/>
  <c r="AR675" i="1"/>
  <c r="AR674" i="1"/>
  <c r="AR673" i="1"/>
  <c r="AP676" i="1"/>
  <c r="AP675" i="1"/>
  <c r="AP674" i="1"/>
  <c r="AP673" i="1"/>
  <c r="AN676" i="1"/>
  <c r="AN675" i="1"/>
  <c r="AN674" i="1"/>
  <c r="AN673" i="1"/>
  <c r="AL676" i="1"/>
  <c r="AL675" i="1"/>
  <c r="AL674" i="1"/>
  <c r="AL673" i="1"/>
  <c r="AJ676" i="1"/>
  <c r="AJ675" i="1"/>
  <c r="AJ674" i="1"/>
  <c r="AJ673" i="1"/>
  <c r="AH676" i="1"/>
  <c r="AH675" i="1"/>
  <c r="AH674" i="1"/>
  <c r="AH673" i="1"/>
  <c r="AF676" i="1"/>
  <c r="AF675" i="1"/>
  <c r="AF674" i="1"/>
  <c r="AF673" i="1"/>
  <c r="AD676" i="1"/>
  <c r="AD675" i="1"/>
  <c r="AD674" i="1"/>
  <c r="AD673" i="1"/>
  <c r="AB676" i="1"/>
  <c r="AB675" i="1"/>
  <c r="AB674" i="1"/>
  <c r="AB673" i="1"/>
  <c r="Z676" i="1"/>
  <c r="Z675" i="1"/>
  <c r="Z674" i="1"/>
  <c r="Z673" i="1"/>
  <c r="X676" i="1"/>
  <c r="X675" i="1"/>
  <c r="X674" i="1"/>
  <c r="X673" i="1"/>
  <c r="V676" i="1"/>
  <c r="V675" i="1"/>
  <c r="V674" i="1"/>
  <c r="V673" i="1"/>
  <c r="T676" i="1"/>
  <c r="T675" i="1"/>
  <c r="T674" i="1"/>
  <c r="T673" i="1"/>
  <c r="R676" i="1"/>
  <c r="R675" i="1"/>
  <c r="R674" i="1"/>
  <c r="R673" i="1"/>
  <c r="P676" i="1"/>
  <c r="O676" i="1"/>
  <c r="O677" i="1" s="1"/>
  <c r="N676" i="1"/>
  <c r="L676" i="1"/>
  <c r="L675" i="1"/>
  <c r="L674" i="1"/>
  <c r="L673" i="1"/>
  <c r="GN676" i="1"/>
  <c r="GO676" i="1" s="1"/>
  <c r="GL676" i="1"/>
  <c r="GJ676" i="1"/>
  <c r="GK676" i="1" s="1"/>
  <c r="GH676" i="1"/>
  <c r="GF676" i="1"/>
  <c r="GG676" i="1" s="1"/>
  <c r="GD676" i="1"/>
  <c r="GB676" i="1"/>
  <c r="GC676" i="1" s="1"/>
  <c r="FZ676" i="1"/>
  <c r="FX676" i="1"/>
  <c r="FY676" i="1" s="1"/>
  <c r="FV676" i="1"/>
  <c r="FT676" i="1"/>
  <c r="FU676" i="1" s="1"/>
  <c r="FR676" i="1"/>
  <c r="FP676" i="1"/>
  <c r="FQ676" i="1" s="1"/>
  <c r="FN676" i="1"/>
  <c r="FL676" i="1"/>
  <c r="FM676" i="1" s="1"/>
  <c r="FJ676" i="1"/>
  <c r="FH676" i="1"/>
  <c r="FI676" i="1" s="1"/>
  <c r="FG676" i="1"/>
  <c r="GN675" i="1"/>
  <c r="GL675" i="1"/>
  <c r="GO675" i="1" s="1"/>
  <c r="GJ675" i="1"/>
  <c r="GL678" i="1" s="1"/>
  <c r="GH675" i="1"/>
  <c r="GK675" i="1" s="1"/>
  <c r="GF675" i="1"/>
  <c r="GH678" i="1" s="1"/>
  <c r="GD675" i="1"/>
  <c r="GG675" i="1" s="1"/>
  <c r="GB675" i="1"/>
  <c r="GD678" i="1" s="1"/>
  <c r="FZ675" i="1"/>
  <c r="GC675" i="1" s="1"/>
  <c r="FX675" i="1"/>
  <c r="FZ678" i="1" s="1"/>
  <c r="FV675" i="1"/>
  <c r="FY675" i="1" s="1"/>
  <c r="FT675" i="1"/>
  <c r="FV678" i="1" s="1"/>
  <c r="FR675" i="1"/>
  <c r="FU675" i="1" s="1"/>
  <c r="FP675" i="1"/>
  <c r="FR678" i="1" s="1"/>
  <c r="FN675" i="1"/>
  <c r="FQ675" i="1" s="1"/>
  <c r="FL675" i="1"/>
  <c r="FN678" i="1" s="1"/>
  <c r="FJ675" i="1"/>
  <c r="FM675" i="1" s="1"/>
  <c r="FI675" i="1"/>
  <c r="FH675" i="1"/>
  <c r="FH678" i="1" s="1"/>
  <c r="FI678" i="1" s="1"/>
  <c r="FG675" i="1"/>
  <c r="EQ676" i="1"/>
  <c r="ER676" i="1" s="1"/>
  <c r="EP676" i="1"/>
  <c r="EP675" i="1"/>
  <c r="CR675" i="1"/>
  <c r="CR674" i="1"/>
  <c r="CR673" i="1"/>
  <c r="CP675" i="1"/>
  <c r="CP674" i="1"/>
  <c r="CP673" i="1"/>
  <c r="CN675" i="1"/>
  <c r="CN674" i="1"/>
  <c r="CN673" i="1"/>
  <c r="CL675" i="1"/>
  <c r="CL674" i="1"/>
  <c r="CL673" i="1"/>
  <c r="CJ675" i="1"/>
  <c r="CJ674" i="1"/>
  <c r="CJ673" i="1"/>
  <c r="CH675" i="1"/>
  <c r="CH674" i="1"/>
  <c r="CH673" i="1"/>
  <c r="CF675" i="1"/>
  <c r="CF674" i="1"/>
  <c r="CF673" i="1"/>
  <c r="CD675" i="1"/>
  <c r="CD674" i="1"/>
  <c r="CD673" i="1"/>
  <c r="P675" i="1"/>
  <c r="P674" i="1"/>
  <c r="P673" i="1"/>
  <c r="N675" i="1"/>
  <c r="N674" i="1"/>
  <c r="N673" i="1"/>
  <c r="GW674" i="1"/>
  <c r="GW673" i="1"/>
  <c r="GU674" i="1"/>
  <c r="GU673" i="1"/>
  <c r="GS674" i="1"/>
  <c r="GS673" i="1"/>
  <c r="GQ674" i="1"/>
  <c r="GQ673" i="1"/>
  <c r="GO674" i="1"/>
  <c r="GO673" i="1"/>
  <c r="GM674" i="1"/>
  <c r="GM673" i="1"/>
  <c r="GK674" i="1"/>
  <c r="GK673" i="1"/>
  <c r="GI674" i="1"/>
  <c r="GI673" i="1"/>
  <c r="GG674" i="1"/>
  <c r="GG673" i="1"/>
  <c r="GE674" i="1"/>
  <c r="GE673" i="1"/>
  <c r="GC674" i="1"/>
  <c r="GC673" i="1"/>
  <c r="GA674" i="1"/>
  <c r="GA673" i="1"/>
  <c r="FY674" i="1"/>
  <c r="FY673" i="1"/>
  <c r="FW674" i="1"/>
  <c r="FW673" i="1"/>
  <c r="FU674" i="1"/>
  <c r="FU673" i="1"/>
  <c r="FS674" i="1"/>
  <c r="FS673" i="1"/>
  <c r="FQ674" i="1"/>
  <c r="FQ673" i="1"/>
  <c r="FO674" i="1"/>
  <c r="FO673" i="1"/>
  <c r="FM674" i="1"/>
  <c r="FM673" i="1"/>
  <c r="FK674" i="1"/>
  <c r="FK673" i="1"/>
  <c r="FI674" i="1"/>
  <c r="FI673" i="1"/>
  <c r="FG674" i="1"/>
  <c r="FG673" i="1"/>
  <c r="EX674" i="1"/>
  <c r="EX673" i="1"/>
  <c r="EV674" i="1"/>
  <c r="EV673" i="1"/>
  <c r="ET674" i="1"/>
  <c r="ET673" i="1"/>
  <c r="ER674" i="1"/>
  <c r="ER673" i="1"/>
  <c r="EP674" i="1"/>
  <c r="EP673" i="1"/>
  <c r="GZ674" i="1"/>
  <c r="GY674" i="1"/>
  <c r="GZ673" i="1"/>
  <c r="GY673" i="1"/>
  <c r="GZ672" i="1"/>
  <c r="GZ671" i="1"/>
  <c r="E669" i="1"/>
  <c r="C669" i="1"/>
  <c r="GN668" i="1"/>
  <c r="GJ668" i="1"/>
  <c r="GK668" i="1" s="1"/>
  <c r="GH668" i="1"/>
  <c r="GF668" i="1"/>
  <c r="GG668" i="1" s="1"/>
  <c r="GD668" i="1"/>
  <c r="GB668" i="1"/>
  <c r="GC668" i="1" s="1"/>
  <c r="FZ668" i="1"/>
  <c r="FX668" i="1"/>
  <c r="FY668" i="1" s="1"/>
  <c r="FV668" i="1"/>
  <c r="FT668" i="1"/>
  <c r="FU668" i="1" s="1"/>
  <c r="FR668" i="1"/>
  <c r="FP668" i="1"/>
  <c r="FQ668" i="1" s="1"/>
  <c r="FN668" i="1"/>
  <c r="FL668" i="1"/>
  <c r="FM668" i="1" s="1"/>
  <c r="FJ668" i="1"/>
  <c r="FH668" i="1"/>
  <c r="FI668" i="1" s="1"/>
  <c r="FG668" i="1"/>
  <c r="ES668" i="1"/>
  <c r="EQ668" i="1"/>
  <c r="EI668" i="1"/>
  <c r="EH668" i="1"/>
  <c r="EG668" i="1"/>
  <c r="EF668" i="1"/>
  <c r="ED668" i="1"/>
  <c r="EB668" i="1"/>
  <c r="DZ668" i="1"/>
  <c r="DX668" i="1"/>
  <c r="DV668" i="1"/>
  <c r="DT668" i="1"/>
  <c r="DR668" i="1"/>
  <c r="DP668" i="1"/>
  <c r="DN668" i="1"/>
  <c r="DL668" i="1"/>
  <c r="DJ668" i="1"/>
  <c r="DH668" i="1"/>
  <c r="DF668" i="1"/>
  <c r="DD668" i="1"/>
  <c r="DB668" i="1"/>
  <c r="CZ668" i="1"/>
  <c r="CX668" i="1"/>
  <c r="CV668" i="1"/>
  <c r="CT668" i="1"/>
  <c r="CR668" i="1"/>
  <c r="CP668" i="1"/>
  <c r="CN668" i="1"/>
  <c r="CL668" i="1"/>
  <c r="CJ668" i="1"/>
  <c r="CH668" i="1"/>
  <c r="CF668" i="1"/>
  <c r="CD668" i="1"/>
  <c r="CB668" i="1"/>
  <c r="BZ668" i="1"/>
  <c r="BX668" i="1"/>
  <c r="BV668" i="1"/>
  <c r="BT668" i="1"/>
  <c r="BR668" i="1"/>
  <c r="BP668" i="1"/>
  <c r="BN668" i="1"/>
  <c r="BL668" i="1"/>
  <c r="BJ668" i="1"/>
  <c r="BH668" i="1"/>
  <c r="BF668" i="1"/>
  <c r="BD668" i="1"/>
  <c r="BB668" i="1"/>
  <c r="AZ668" i="1"/>
  <c r="AX668" i="1"/>
  <c r="AV668" i="1"/>
  <c r="AT668" i="1"/>
  <c r="AR668" i="1"/>
  <c r="AP668" i="1"/>
  <c r="AN668" i="1"/>
  <c r="AL668" i="1"/>
  <c r="AJ668" i="1"/>
  <c r="AH668" i="1"/>
  <c r="AF668" i="1"/>
  <c r="AD668" i="1"/>
  <c r="AB668" i="1"/>
  <c r="Z668" i="1"/>
  <c r="X668" i="1"/>
  <c r="V668" i="1"/>
  <c r="T668" i="1"/>
  <c r="R668" i="1"/>
  <c r="P668" i="1"/>
  <c r="N668" i="1"/>
  <c r="L668" i="1"/>
  <c r="FF667" i="1"/>
  <c r="FG667" i="1" s="1"/>
  <c r="EP667" i="1"/>
  <c r="EO667" i="1"/>
  <c r="EO669" i="1" s="1"/>
  <c r="EM667" i="1"/>
  <c r="EN667" i="1" s="1"/>
  <c r="EL667" i="1"/>
  <c r="EK667" i="1"/>
  <c r="EI667" i="1"/>
  <c r="EJ667" i="1" s="1"/>
  <c r="EH667" i="1"/>
  <c r="EG667" i="1"/>
  <c r="EG669" i="1" s="1"/>
  <c r="EE667" i="1"/>
  <c r="EF667" i="1" s="1"/>
  <c r="ED667" i="1"/>
  <c r="EC667" i="1"/>
  <c r="EC669" i="1" s="1"/>
  <c r="EA667" i="1"/>
  <c r="EB667" i="1" s="1"/>
  <c r="DZ667" i="1"/>
  <c r="DY667" i="1"/>
  <c r="DY669" i="1" s="1"/>
  <c r="DW667" i="1"/>
  <c r="DX667" i="1" s="1"/>
  <c r="DV667" i="1"/>
  <c r="DU667" i="1"/>
  <c r="DU669" i="1" s="1"/>
  <c r="DS667" i="1"/>
  <c r="DT667" i="1" s="1"/>
  <c r="DR667" i="1"/>
  <c r="DQ667" i="1"/>
  <c r="DQ669" i="1" s="1"/>
  <c r="DO667" i="1"/>
  <c r="DP667" i="1" s="1"/>
  <c r="DN667" i="1"/>
  <c r="DM667" i="1"/>
  <c r="DM669" i="1" s="1"/>
  <c r="DK667" i="1"/>
  <c r="DL667" i="1" s="1"/>
  <c r="DJ667" i="1"/>
  <c r="DI667" i="1"/>
  <c r="DI669" i="1" s="1"/>
  <c r="DG667" i="1"/>
  <c r="DH667" i="1" s="1"/>
  <c r="DF667" i="1"/>
  <c r="DE667" i="1"/>
  <c r="DE669" i="1" s="1"/>
  <c r="DC667" i="1"/>
  <c r="DD667" i="1" s="1"/>
  <c r="DB667" i="1"/>
  <c r="DA667" i="1"/>
  <c r="DA669" i="1" s="1"/>
  <c r="CY667" i="1"/>
  <c r="CZ667" i="1" s="1"/>
  <c r="CX667" i="1"/>
  <c r="CW667" i="1"/>
  <c r="CW669" i="1" s="1"/>
  <c r="CU667" i="1"/>
  <c r="CV667" i="1" s="1"/>
  <c r="CT667" i="1"/>
  <c r="CS667" i="1"/>
  <c r="CS669" i="1" s="1"/>
  <c r="CQ667" i="1"/>
  <c r="CR667" i="1" s="1"/>
  <c r="CO667" i="1"/>
  <c r="CO669" i="1" s="1"/>
  <c r="CM667" i="1"/>
  <c r="CK667" i="1"/>
  <c r="CK669" i="1" s="1"/>
  <c r="CL669" i="1" s="1"/>
  <c r="CI667" i="1"/>
  <c r="BO667" i="1"/>
  <c r="BP667" i="1" s="1"/>
  <c r="BN667" i="1"/>
  <c r="BM667" i="1"/>
  <c r="BM669" i="1" s="1"/>
  <c r="BK667" i="1"/>
  <c r="BL667" i="1" s="1"/>
  <c r="BJ667" i="1"/>
  <c r="BI667" i="1"/>
  <c r="BI669" i="1" s="1"/>
  <c r="BG667" i="1"/>
  <c r="BH667" i="1" s="1"/>
  <c r="BF667" i="1"/>
  <c r="BE667" i="1"/>
  <c r="BE669" i="1" s="1"/>
  <c r="BC667" i="1"/>
  <c r="BD667" i="1" s="1"/>
  <c r="BB667" i="1"/>
  <c r="BA667" i="1"/>
  <c r="BA669" i="1" s="1"/>
  <c r="AY667" i="1"/>
  <c r="AZ667" i="1" s="1"/>
  <c r="AX667" i="1"/>
  <c r="AW667" i="1"/>
  <c r="AW669" i="1" s="1"/>
  <c r="AU667" i="1"/>
  <c r="AV667" i="1" s="1"/>
  <c r="AT667" i="1"/>
  <c r="AS667" i="1"/>
  <c r="AS669" i="1" s="1"/>
  <c r="AQ667" i="1"/>
  <c r="AR667" i="1" s="1"/>
  <c r="AP667" i="1"/>
  <c r="AO667" i="1"/>
  <c r="AO669" i="1" s="1"/>
  <c r="AM667" i="1"/>
  <c r="AN667" i="1" s="1"/>
  <c r="AL667" i="1"/>
  <c r="AK667" i="1"/>
  <c r="AK669" i="1" s="1"/>
  <c r="AI667" i="1"/>
  <c r="AJ667" i="1" s="1"/>
  <c r="AH667" i="1"/>
  <c r="AG667" i="1"/>
  <c r="AG669" i="1" s="1"/>
  <c r="AE667" i="1"/>
  <c r="AF667" i="1" s="1"/>
  <c r="AD667" i="1"/>
  <c r="AC667" i="1"/>
  <c r="AC669" i="1" s="1"/>
  <c r="AA667" i="1"/>
  <c r="AB667" i="1" s="1"/>
  <c r="Z667" i="1"/>
  <c r="Y667" i="1"/>
  <c r="Y669" i="1" s="1"/>
  <c r="W667" i="1"/>
  <c r="X667" i="1" s="1"/>
  <c r="V667" i="1"/>
  <c r="U667" i="1"/>
  <c r="U669" i="1" s="1"/>
  <c r="S667" i="1"/>
  <c r="T667" i="1" s="1"/>
  <c r="R667" i="1"/>
  <c r="Q667" i="1"/>
  <c r="Q669" i="1" s="1"/>
  <c r="O667" i="1"/>
  <c r="P667" i="1" s="1"/>
  <c r="N667" i="1"/>
  <c r="M667" i="1"/>
  <c r="M669" i="1" s="1"/>
  <c r="K667" i="1"/>
  <c r="L667" i="1" s="1"/>
  <c r="I667" i="1"/>
  <c r="I669" i="1" s="1"/>
  <c r="I670" i="1" s="1"/>
  <c r="G667" i="1"/>
  <c r="G669" i="1" s="1"/>
  <c r="E667" i="1"/>
  <c r="C667" i="1"/>
  <c r="EN666" i="1"/>
  <c r="EN665" i="1"/>
  <c r="EL666" i="1"/>
  <c r="EL665" i="1"/>
  <c r="EJ666" i="1"/>
  <c r="EJ665" i="1"/>
  <c r="EH666" i="1"/>
  <c r="EH665" i="1"/>
  <c r="EF666" i="1"/>
  <c r="EF665" i="1"/>
  <c r="ED666" i="1"/>
  <c r="ED665" i="1"/>
  <c r="EB666" i="1"/>
  <c r="EB665" i="1"/>
  <c r="DZ666" i="1"/>
  <c r="DZ665" i="1"/>
  <c r="DX666" i="1"/>
  <c r="DX665" i="1"/>
  <c r="DV666" i="1"/>
  <c r="DV665" i="1"/>
  <c r="DT666" i="1"/>
  <c r="DT665" i="1"/>
  <c r="DR666" i="1"/>
  <c r="DR665" i="1"/>
  <c r="DP666" i="1"/>
  <c r="DP665" i="1"/>
  <c r="DN666" i="1"/>
  <c r="DN665" i="1"/>
  <c r="DL666" i="1"/>
  <c r="DL665" i="1"/>
  <c r="DJ666" i="1"/>
  <c r="DJ665" i="1"/>
  <c r="DH666" i="1"/>
  <c r="DH665" i="1"/>
  <c r="DF666" i="1"/>
  <c r="DF665" i="1"/>
  <c r="DD666" i="1"/>
  <c r="DD665" i="1"/>
  <c r="DB666" i="1"/>
  <c r="DB665" i="1"/>
  <c r="CZ666" i="1"/>
  <c r="CZ665" i="1"/>
  <c r="CX666" i="1"/>
  <c r="CX665" i="1"/>
  <c r="CV666" i="1"/>
  <c r="CV665" i="1"/>
  <c r="CT666" i="1"/>
  <c r="CT665" i="1"/>
  <c r="CR666" i="1"/>
  <c r="CR665" i="1"/>
  <c r="CP665" i="1"/>
  <c r="CN666" i="1"/>
  <c r="CN665" i="1"/>
  <c r="CL665" i="1"/>
  <c r="CJ666" i="1"/>
  <c r="CJ665" i="1"/>
  <c r="CG666" i="1"/>
  <c r="CG667" i="1" s="1"/>
  <c r="CG669" i="1" s="1"/>
  <c r="CF666" i="1"/>
  <c r="CE666" i="1"/>
  <c r="CC666" i="1"/>
  <c r="CC667" i="1" s="1"/>
  <c r="CC669" i="1" s="1"/>
  <c r="CB666" i="1"/>
  <c r="CA666" i="1"/>
  <c r="BY666" i="1"/>
  <c r="BY667" i="1" s="1"/>
  <c r="BY669" i="1" s="1"/>
  <c r="BX666" i="1"/>
  <c r="BW666" i="1"/>
  <c r="BU666" i="1"/>
  <c r="BU667" i="1" s="1"/>
  <c r="BU669" i="1" s="1"/>
  <c r="BT666" i="1"/>
  <c r="BS666" i="1"/>
  <c r="BQ666" i="1"/>
  <c r="BQ667" i="1" s="1"/>
  <c r="BQ669" i="1" s="1"/>
  <c r="BP666" i="1"/>
  <c r="BN666" i="1"/>
  <c r="BN665" i="1"/>
  <c r="BL666" i="1"/>
  <c r="BL665" i="1"/>
  <c r="BJ666" i="1"/>
  <c r="BJ665" i="1"/>
  <c r="BH666" i="1"/>
  <c r="BH665" i="1"/>
  <c r="BF666" i="1"/>
  <c r="BF665" i="1"/>
  <c r="BD666" i="1"/>
  <c r="BD665" i="1"/>
  <c r="BB666" i="1"/>
  <c r="BB665" i="1"/>
  <c r="AZ666" i="1"/>
  <c r="AZ665" i="1"/>
  <c r="AX666" i="1"/>
  <c r="AX665" i="1"/>
  <c r="AV666" i="1"/>
  <c r="AV665" i="1"/>
  <c r="AT666" i="1"/>
  <c r="AT665" i="1"/>
  <c r="AR666" i="1"/>
  <c r="AR665" i="1"/>
  <c r="AP666" i="1"/>
  <c r="AP665" i="1"/>
  <c r="AN666" i="1"/>
  <c r="AN665" i="1"/>
  <c r="AL666" i="1"/>
  <c r="AL665" i="1"/>
  <c r="AJ666" i="1"/>
  <c r="AJ665" i="1"/>
  <c r="AH666" i="1"/>
  <c r="AH665" i="1"/>
  <c r="AF666" i="1"/>
  <c r="AF665" i="1"/>
  <c r="AD666" i="1"/>
  <c r="AD665" i="1"/>
  <c r="AB666" i="1"/>
  <c r="AB665" i="1"/>
  <c r="Z666" i="1"/>
  <c r="Z665" i="1"/>
  <c r="X666" i="1"/>
  <c r="X665" i="1"/>
  <c r="V666" i="1"/>
  <c r="V665" i="1"/>
  <c r="T666" i="1"/>
  <c r="T665" i="1"/>
  <c r="R666" i="1"/>
  <c r="R665" i="1"/>
  <c r="P666" i="1"/>
  <c r="P665" i="1"/>
  <c r="N666" i="1"/>
  <c r="N665" i="1"/>
  <c r="L666" i="1"/>
  <c r="L665" i="1"/>
  <c r="GN666" i="1"/>
  <c r="GL666" i="1"/>
  <c r="GJ666" i="1"/>
  <c r="GH666" i="1"/>
  <c r="GG666" i="1"/>
  <c r="GF666" i="1"/>
  <c r="GD666" i="1"/>
  <c r="GC666" i="1"/>
  <c r="GB666" i="1"/>
  <c r="FZ666" i="1"/>
  <c r="FV666" i="1"/>
  <c r="FU666" i="1"/>
  <c r="FT666" i="1"/>
  <c r="FR666" i="1"/>
  <c r="FQ666" i="1"/>
  <c r="FP666" i="1"/>
  <c r="FN666" i="1"/>
  <c r="FL666" i="1"/>
  <c r="FJ666" i="1"/>
  <c r="FI666" i="1"/>
  <c r="FH666" i="1"/>
  <c r="FG666" i="1"/>
  <c r="GN665" i="1"/>
  <c r="GO665" i="1" s="1"/>
  <c r="GM665" i="1"/>
  <c r="GL665" i="1"/>
  <c r="GJ665" i="1"/>
  <c r="GK665" i="1" s="1"/>
  <c r="GH665" i="1"/>
  <c r="GF665" i="1"/>
  <c r="GG665" i="1" s="1"/>
  <c r="GD665" i="1"/>
  <c r="GB665" i="1"/>
  <c r="GC665" i="1" s="1"/>
  <c r="FZ665" i="1"/>
  <c r="GA665" i="1" s="1"/>
  <c r="FX665" i="1"/>
  <c r="FW665" i="1"/>
  <c r="FV665" i="1"/>
  <c r="FT665" i="1"/>
  <c r="FR665" i="1"/>
  <c r="FS665" i="1" s="1"/>
  <c r="FP665" i="1"/>
  <c r="FQ665" i="1" s="1"/>
  <c r="FN665" i="1"/>
  <c r="FL665" i="1"/>
  <c r="FM665" i="1" s="1"/>
  <c r="FJ665" i="1"/>
  <c r="FK665" i="1" s="1"/>
  <c r="FH665" i="1"/>
  <c r="FI665" i="1" s="1"/>
  <c r="FG665" i="1"/>
  <c r="EQ666" i="1"/>
  <c r="ER666" i="1" s="1"/>
  <c r="EP666" i="1"/>
  <c r="ER665" i="1"/>
  <c r="EQ665" i="1"/>
  <c r="ES665" i="1" s="1"/>
  <c r="EP665" i="1"/>
  <c r="CH665" i="1"/>
  <c r="CF665" i="1"/>
  <c r="CD665" i="1"/>
  <c r="CB665" i="1"/>
  <c r="BZ665" i="1"/>
  <c r="BX665" i="1"/>
  <c r="BV665" i="1"/>
  <c r="BT665" i="1"/>
  <c r="BR665" i="1"/>
  <c r="BP665" i="1"/>
  <c r="EV661" i="1"/>
  <c r="ET661" i="1"/>
  <c r="EM662" i="1"/>
  <c r="EV662" i="1" s="1"/>
  <c r="EE662" i="1"/>
  <c r="EF662" i="1" s="1"/>
  <c r="DW662" i="1"/>
  <c r="DX662" i="1" s="1"/>
  <c r="DO662" i="1"/>
  <c r="DP662" i="1" s="1"/>
  <c r="DG662" i="1"/>
  <c r="DH662" i="1" s="1"/>
  <c r="CY662" i="1"/>
  <c r="CA662" i="1"/>
  <c r="CB662" i="1" s="1"/>
  <c r="BS662" i="1"/>
  <c r="BT662" i="1" s="1"/>
  <c r="BK662" i="1"/>
  <c r="BL662" i="1" s="1"/>
  <c r="BC662" i="1"/>
  <c r="BD662" i="1" s="1"/>
  <c r="AU662" i="1"/>
  <c r="AV662" i="1" s="1"/>
  <c r="AM662" i="1"/>
  <c r="AN662" i="1" s="1"/>
  <c r="AE662" i="1"/>
  <c r="AF662" i="1" s="1"/>
  <c r="Z662" i="1"/>
  <c r="Y662" i="1"/>
  <c r="X662" i="1"/>
  <c r="W662" i="1"/>
  <c r="S662" i="1"/>
  <c r="T662" i="1" s="1"/>
  <c r="R662" i="1"/>
  <c r="CE661" i="1"/>
  <c r="CF661" i="1" s="1"/>
  <c r="CC661" i="1"/>
  <c r="CD661" i="1" s="1"/>
  <c r="CA661" i="1"/>
  <c r="BZ661" i="1"/>
  <c r="BY661" i="1"/>
  <c r="BW661" i="1"/>
  <c r="BW662" i="1" s="1"/>
  <c r="BU661" i="1"/>
  <c r="BS661" i="1"/>
  <c r="BT661" i="1" s="1"/>
  <c r="BR661" i="1"/>
  <c r="BQ661" i="1"/>
  <c r="BO661" i="1"/>
  <c r="BP661" i="1" s="1"/>
  <c r="BM661" i="1"/>
  <c r="BN661" i="1" s="1"/>
  <c r="BK661" i="1"/>
  <c r="BJ661" i="1"/>
  <c r="BI661" i="1"/>
  <c r="BG661" i="1"/>
  <c r="BG662" i="1" s="1"/>
  <c r="BE661" i="1"/>
  <c r="BC661" i="1"/>
  <c r="BD661" i="1" s="1"/>
  <c r="BB661" i="1"/>
  <c r="BA661" i="1"/>
  <c r="AY661" i="1"/>
  <c r="AZ661" i="1" s="1"/>
  <c r="AW661" i="1"/>
  <c r="AX661" i="1" s="1"/>
  <c r="AU661" i="1"/>
  <c r="AT661" i="1"/>
  <c r="AS661" i="1"/>
  <c r="AQ661" i="1"/>
  <c r="AQ662" i="1" s="1"/>
  <c r="AO661" i="1"/>
  <c r="AM661" i="1"/>
  <c r="AN661" i="1" s="1"/>
  <c r="AL661" i="1"/>
  <c r="AK661" i="1"/>
  <c r="AI661" i="1"/>
  <c r="AJ661" i="1" s="1"/>
  <c r="AG661" i="1"/>
  <c r="AH661" i="1" s="1"/>
  <c r="AE661" i="1"/>
  <c r="AF661" i="1" s="1"/>
  <c r="AD661" i="1"/>
  <c r="AC661" i="1"/>
  <c r="AA661" i="1"/>
  <c r="AB661" i="1" s="1"/>
  <c r="Z661" i="1"/>
  <c r="X661" i="1"/>
  <c r="W661" i="1"/>
  <c r="V661" i="1"/>
  <c r="U661" i="1"/>
  <c r="T661" i="1"/>
  <c r="S661" i="1"/>
  <c r="R661" i="1"/>
  <c r="EO661" i="1"/>
  <c r="EM661" i="1"/>
  <c r="EN661" i="1" s="1"/>
  <c r="EL661" i="1"/>
  <c r="EK661" i="1"/>
  <c r="EI661" i="1"/>
  <c r="EJ661" i="1" s="1"/>
  <c r="EG661" i="1"/>
  <c r="EH661" i="1" s="1"/>
  <c r="EE661" i="1"/>
  <c r="ED661" i="1"/>
  <c r="EC661" i="1"/>
  <c r="EA661" i="1"/>
  <c r="EA662" i="1" s="1"/>
  <c r="DY661" i="1"/>
  <c r="DW661" i="1"/>
  <c r="DX661" i="1" s="1"/>
  <c r="DV661" i="1"/>
  <c r="DU661" i="1"/>
  <c r="DS661" i="1"/>
  <c r="DT661" i="1" s="1"/>
  <c r="DQ661" i="1"/>
  <c r="DR661" i="1" s="1"/>
  <c r="DO661" i="1"/>
  <c r="DN661" i="1"/>
  <c r="DM661" i="1"/>
  <c r="DK661" i="1"/>
  <c r="DK662" i="1" s="1"/>
  <c r="DI661" i="1"/>
  <c r="DG661" i="1"/>
  <c r="DH661" i="1" s="1"/>
  <c r="DF661" i="1"/>
  <c r="DE661" i="1"/>
  <c r="DC661" i="1"/>
  <c r="DD661" i="1" s="1"/>
  <c r="DA661" i="1"/>
  <c r="DB661" i="1" s="1"/>
  <c r="CY661" i="1"/>
  <c r="CX661" i="1"/>
  <c r="CW661" i="1"/>
  <c r="CU661" i="1"/>
  <c r="CU662" i="1" s="1"/>
  <c r="CS661" i="1"/>
  <c r="CQ661" i="1"/>
  <c r="CR661" i="1" s="1"/>
  <c r="CP661" i="1"/>
  <c r="CO661" i="1"/>
  <c r="CM661" i="1"/>
  <c r="CN661" i="1" s="1"/>
  <c r="CK661" i="1"/>
  <c r="CL661" i="1" s="1"/>
  <c r="CI661" i="1"/>
  <c r="CJ661" i="1" s="1"/>
  <c r="CH661" i="1"/>
  <c r="EE660" i="1"/>
  <c r="EA660" i="1"/>
  <c r="DO660" i="1"/>
  <c r="DK660" i="1"/>
  <c r="CY660" i="1"/>
  <c r="CU660" i="1"/>
  <c r="CI660" i="1"/>
  <c r="CG660" i="1"/>
  <c r="CA660" i="1"/>
  <c r="CB660" i="1" s="1"/>
  <c r="BS660" i="1"/>
  <c r="BT660" i="1" s="1"/>
  <c r="BK660" i="1"/>
  <c r="BL660" i="1" s="1"/>
  <c r="BC660" i="1"/>
  <c r="BD660" i="1" s="1"/>
  <c r="AU660" i="1"/>
  <c r="AV660" i="1" s="1"/>
  <c r="AM660" i="1"/>
  <c r="AN660" i="1" s="1"/>
  <c r="AE660" i="1"/>
  <c r="AF660" i="1" s="1"/>
  <c r="Z660" i="1"/>
  <c r="Y660" i="1"/>
  <c r="X660" i="1"/>
  <c r="W660" i="1"/>
  <c r="S660" i="1"/>
  <c r="T660" i="1" s="1"/>
  <c r="R660" i="1"/>
  <c r="I657" i="1"/>
  <c r="I658" i="1" s="1"/>
  <c r="GN657" i="1"/>
  <c r="GO657" i="1" s="1"/>
  <c r="GL657" i="1"/>
  <c r="GJ657" i="1"/>
  <c r="GK657" i="1" s="1"/>
  <c r="GH657" i="1"/>
  <c r="GI657" i="1" s="1"/>
  <c r="GF657" i="1"/>
  <c r="GE657" i="1"/>
  <c r="GD657" i="1"/>
  <c r="GB657" i="1"/>
  <c r="FZ657" i="1"/>
  <c r="GA657" i="1" s="1"/>
  <c r="FX657" i="1"/>
  <c r="FY657" i="1" s="1"/>
  <c r="FV657" i="1"/>
  <c r="FT657" i="1"/>
  <c r="FU657" i="1" s="1"/>
  <c r="FR657" i="1"/>
  <c r="FS657" i="1" s="1"/>
  <c r="FP657" i="1"/>
  <c r="FO657" i="1"/>
  <c r="FN657" i="1"/>
  <c r="FL657" i="1"/>
  <c r="FJ657" i="1"/>
  <c r="FK657" i="1" s="1"/>
  <c r="FH657" i="1"/>
  <c r="FI657" i="1" s="1"/>
  <c r="FG657" i="1"/>
  <c r="FF657" i="1"/>
  <c r="FF658" i="1" s="1"/>
  <c r="FG658" i="1" s="1"/>
  <c r="EO658" i="1"/>
  <c r="EM658" i="1"/>
  <c r="EN658" i="1" s="1"/>
  <c r="EG658" i="1"/>
  <c r="EH658" i="1" s="1"/>
  <c r="EE658" i="1"/>
  <c r="EF658" i="1" s="1"/>
  <c r="DY658" i="1"/>
  <c r="DW658" i="1"/>
  <c r="DX658" i="1" s="1"/>
  <c r="DQ658" i="1"/>
  <c r="DR658" i="1" s="1"/>
  <c r="DO658" i="1"/>
  <c r="DP658" i="1" s="1"/>
  <c r="DI658" i="1"/>
  <c r="DG658" i="1"/>
  <c r="DH658" i="1" s="1"/>
  <c r="DA658" i="1"/>
  <c r="DB658" i="1" s="1"/>
  <c r="CY658" i="1"/>
  <c r="CZ658" i="1" s="1"/>
  <c r="CS658" i="1"/>
  <c r="CQ658" i="1"/>
  <c r="CR658" i="1" s="1"/>
  <c r="CI658" i="1"/>
  <c r="CJ658" i="1" s="1"/>
  <c r="CC658" i="1"/>
  <c r="CA658" i="1"/>
  <c r="CB658" i="1" s="1"/>
  <c r="BU658" i="1"/>
  <c r="BV658" i="1" s="1"/>
  <c r="BS658" i="1"/>
  <c r="BT658" i="1" s="1"/>
  <c r="BM658" i="1"/>
  <c r="BK658" i="1"/>
  <c r="BL658" i="1" s="1"/>
  <c r="BE658" i="1"/>
  <c r="BF658" i="1" s="1"/>
  <c r="BC658" i="1"/>
  <c r="BD658" i="1" s="1"/>
  <c r="AW658" i="1"/>
  <c r="AU658" i="1"/>
  <c r="AV658" i="1" s="1"/>
  <c r="AO658" i="1"/>
  <c r="AP658" i="1" s="1"/>
  <c r="AM658" i="1"/>
  <c r="AN658" i="1" s="1"/>
  <c r="AG658" i="1"/>
  <c r="AE658" i="1"/>
  <c r="AF658" i="1" s="1"/>
  <c r="ER657" i="1"/>
  <c r="EQ657" i="1"/>
  <c r="EP657" i="1"/>
  <c r="EO657" i="1"/>
  <c r="EN657" i="1"/>
  <c r="EM657" i="1"/>
  <c r="EL657" i="1"/>
  <c r="EK657" i="1"/>
  <c r="EK658" i="1" s="1"/>
  <c r="EJ657" i="1"/>
  <c r="EI657" i="1"/>
  <c r="EI658" i="1" s="1"/>
  <c r="EH657" i="1"/>
  <c r="EG657" i="1"/>
  <c r="EF657" i="1"/>
  <c r="EE657" i="1"/>
  <c r="ED657" i="1"/>
  <c r="EC657" i="1"/>
  <c r="EC658" i="1" s="1"/>
  <c r="EB657" i="1"/>
  <c r="EA657" i="1"/>
  <c r="EA658" i="1" s="1"/>
  <c r="DZ657" i="1"/>
  <c r="DY657" i="1"/>
  <c r="DX657" i="1"/>
  <c r="DW657" i="1"/>
  <c r="DV657" i="1"/>
  <c r="DU657" i="1"/>
  <c r="DU658" i="1" s="1"/>
  <c r="DT657" i="1"/>
  <c r="DS657" i="1"/>
  <c r="DS658" i="1" s="1"/>
  <c r="DR657" i="1"/>
  <c r="DQ657" i="1"/>
  <c r="DP657" i="1"/>
  <c r="DO657" i="1"/>
  <c r="DN657" i="1"/>
  <c r="DM657" i="1"/>
  <c r="DM658" i="1" s="1"/>
  <c r="DL657" i="1"/>
  <c r="DK657" i="1"/>
  <c r="DK658" i="1" s="1"/>
  <c r="DJ657" i="1"/>
  <c r="DI657" i="1"/>
  <c r="DH657" i="1"/>
  <c r="DG657" i="1"/>
  <c r="DF657" i="1"/>
  <c r="DE657" i="1"/>
  <c r="DE658" i="1" s="1"/>
  <c r="DD657" i="1"/>
  <c r="DC657" i="1"/>
  <c r="DC658" i="1" s="1"/>
  <c r="DB657" i="1"/>
  <c r="DA657" i="1"/>
  <c r="CZ657" i="1"/>
  <c r="CY657" i="1"/>
  <c r="CX657" i="1"/>
  <c r="CW657" i="1"/>
  <c r="CW658" i="1" s="1"/>
  <c r="CV657" i="1"/>
  <c r="CU657" i="1"/>
  <c r="CU658" i="1" s="1"/>
  <c r="CT657" i="1"/>
  <c r="CS657" i="1"/>
  <c r="CR657" i="1"/>
  <c r="CQ657" i="1"/>
  <c r="CP657" i="1"/>
  <c r="CO657" i="1"/>
  <c r="CO658" i="1" s="1"/>
  <c r="CN657" i="1"/>
  <c r="CM657" i="1"/>
  <c r="CM658" i="1" s="1"/>
  <c r="CL657" i="1"/>
  <c r="CK657" i="1"/>
  <c r="CJ657" i="1"/>
  <c r="CI657" i="1"/>
  <c r="CH657" i="1"/>
  <c r="CG657" i="1"/>
  <c r="CG658" i="1" s="1"/>
  <c r="CF657" i="1"/>
  <c r="CE657" i="1"/>
  <c r="CE658" i="1" s="1"/>
  <c r="CD657" i="1"/>
  <c r="CC657" i="1"/>
  <c r="CB657" i="1"/>
  <c r="CA657" i="1"/>
  <c r="BZ657" i="1"/>
  <c r="BY657" i="1"/>
  <c r="BY658" i="1" s="1"/>
  <c r="BX657" i="1"/>
  <c r="BW657" i="1"/>
  <c r="BW658" i="1" s="1"/>
  <c r="BV657" i="1"/>
  <c r="BU657" i="1"/>
  <c r="BT657" i="1"/>
  <c r="BS657" i="1"/>
  <c r="BR657" i="1"/>
  <c r="BQ657" i="1"/>
  <c r="BQ658" i="1" s="1"/>
  <c r="BP657" i="1"/>
  <c r="BO657" i="1"/>
  <c r="BO658" i="1" s="1"/>
  <c r="BN657" i="1"/>
  <c r="BM657" i="1"/>
  <c r="BL657" i="1"/>
  <c r="BK657" i="1"/>
  <c r="BJ657" i="1"/>
  <c r="BI657" i="1"/>
  <c r="BI658" i="1" s="1"/>
  <c r="BH657" i="1"/>
  <c r="BG657" i="1"/>
  <c r="BG658" i="1" s="1"/>
  <c r="BF657" i="1"/>
  <c r="BE657" i="1"/>
  <c r="BD657" i="1"/>
  <c r="BC657" i="1"/>
  <c r="BB657" i="1"/>
  <c r="BA657" i="1"/>
  <c r="BA658" i="1" s="1"/>
  <c r="AZ657" i="1"/>
  <c r="AY657" i="1"/>
  <c r="AY658" i="1" s="1"/>
  <c r="AX657" i="1"/>
  <c r="AW657" i="1"/>
  <c r="AV657" i="1"/>
  <c r="AU657" i="1"/>
  <c r="AT657" i="1"/>
  <c r="AS657" i="1"/>
  <c r="AS658" i="1" s="1"/>
  <c r="AR657" i="1"/>
  <c r="AQ657" i="1"/>
  <c r="AQ658" i="1" s="1"/>
  <c r="AP657" i="1"/>
  <c r="AO657" i="1"/>
  <c r="AN657" i="1"/>
  <c r="AM657" i="1"/>
  <c r="AL657" i="1"/>
  <c r="AK657" i="1"/>
  <c r="AK658" i="1" s="1"/>
  <c r="AJ657" i="1"/>
  <c r="AI657" i="1"/>
  <c r="AI658" i="1" s="1"/>
  <c r="AH657" i="1"/>
  <c r="AG657" i="1"/>
  <c r="AF657" i="1"/>
  <c r="AE657" i="1"/>
  <c r="AD657" i="1"/>
  <c r="AC657" i="1"/>
  <c r="AC658" i="1" s="1"/>
  <c r="AB657" i="1"/>
  <c r="AA657" i="1"/>
  <c r="AA658" i="1" s="1"/>
  <c r="Z657" i="1"/>
  <c r="Y657" i="1"/>
  <c r="Y658" i="1" s="1"/>
  <c r="X657" i="1"/>
  <c r="W657" i="1"/>
  <c r="W658" i="1" s="1"/>
  <c r="V657" i="1"/>
  <c r="U657" i="1"/>
  <c r="U658" i="1" s="1"/>
  <c r="T657" i="1"/>
  <c r="S657" i="1"/>
  <c r="S658" i="1" s="1"/>
  <c r="R657" i="1"/>
  <c r="Q657" i="1"/>
  <c r="Q658" i="1" s="1"/>
  <c r="R658" i="1" s="1"/>
  <c r="P657" i="1"/>
  <c r="O657" i="1"/>
  <c r="O658" i="1" s="1"/>
  <c r="P658" i="1" s="1"/>
  <c r="N657" i="1"/>
  <c r="M657" i="1"/>
  <c r="M658" i="1" s="1"/>
  <c r="N658" i="1" s="1"/>
  <c r="L657" i="1"/>
  <c r="K657" i="1"/>
  <c r="K658" i="1" s="1"/>
  <c r="L658" i="1" s="1"/>
  <c r="EN656" i="1"/>
  <c r="EN654" i="1"/>
  <c r="EN653" i="1"/>
  <c r="EN652" i="1"/>
  <c r="EL656" i="1"/>
  <c r="EL654" i="1"/>
  <c r="EL653" i="1"/>
  <c r="EL652" i="1"/>
  <c r="EJ656" i="1"/>
  <c r="EJ654" i="1"/>
  <c r="EJ653" i="1"/>
  <c r="EJ652" i="1"/>
  <c r="EH656" i="1"/>
  <c r="EH654" i="1"/>
  <c r="EH653" i="1"/>
  <c r="EH652" i="1"/>
  <c r="EF656" i="1"/>
  <c r="EF654" i="1"/>
  <c r="EF653" i="1"/>
  <c r="EF652" i="1"/>
  <c r="ED656" i="1"/>
  <c r="ED654" i="1"/>
  <c r="ED653" i="1"/>
  <c r="ED652" i="1"/>
  <c r="EB656" i="1"/>
  <c r="EB654" i="1"/>
  <c r="EB653" i="1"/>
  <c r="EB652" i="1"/>
  <c r="DZ656" i="1"/>
  <c r="DZ654" i="1"/>
  <c r="DZ653" i="1"/>
  <c r="DZ652" i="1"/>
  <c r="DX656" i="1"/>
  <c r="DX654" i="1"/>
  <c r="DX653" i="1"/>
  <c r="DX652" i="1"/>
  <c r="DV656" i="1"/>
  <c r="DV654" i="1"/>
  <c r="DV653" i="1"/>
  <c r="DV652" i="1"/>
  <c r="DT656" i="1"/>
  <c r="DT654" i="1"/>
  <c r="DT653" i="1"/>
  <c r="DT652" i="1"/>
  <c r="DR656" i="1"/>
  <c r="DR654" i="1"/>
  <c r="DR653" i="1"/>
  <c r="DR652" i="1"/>
  <c r="DP656" i="1"/>
  <c r="DP654" i="1"/>
  <c r="DP653" i="1"/>
  <c r="DP652" i="1"/>
  <c r="DN656" i="1"/>
  <c r="DN654" i="1"/>
  <c r="DN653" i="1"/>
  <c r="DN652" i="1"/>
  <c r="DL656" i="1"/>
  <c r="DL654" i="1"/>
  <c r="DL653" i="1"/>
  <c r="DL652" i="1"/>
  <c r="DJ656" i="1"/>
  <c r="DJ654" i="1"/>
  <c r="DJ653" i="1"/>
  <c r="DJ652" i="1"/>
  <c r="DH656" i="1"/>
  <c r="DH654" i="1"/>
  <c r="DH653" i="1"/>
  <c r="DH652" i="1"/>
  <c r="DF656" i="1"/>
  <c r="DF654" i="1"/>
  <c r="DF653" i="1"/>
  <c r="DF652" i="1"/>
  <c r="DD656" i="1"/>
  <c r="DD654" i="1"/>
  <c r="DD653" i="1"/>
  <c r="DD652" i="1"/>
  <c r="DB656" i="1"/>
  <c r="DB654" i="1"/>
  <c r="DB653" i="1"/>
  <c r="DB652" i="1"/>
  <c r="CZ656" i="1"/>
  <c r="CZ654" i="1"/>
  <c r="CZ653" i="1"/>
  <c r="CZ652" i="1"/>
  <c r="CX656" i="1"/>
  <c r="CX654" i="1"/>
  <c r="CX653" i="1"/>
  <c r="CX652" i="1"/>
  <c r="CV656" i="1"/>
  <c r="CV654" i="1"/>
  <c r="CV653" i="1"/>
  <c r="CV652" i="1"/>
  <c r="CT653" i="1"/>
  <c r="CT652" i="1"/>
  <c r="CR656" i="1"/>
  <c r="CR654" i="1"/>
  <c r="CR653" i="1"/>
  <c r="CR652" i="1"/>
  <c r="CP656" i="1"/>
  <c r="CP654" i="1"/>
  <c r="CP653" i="1"/>
  <c r="CP652" i="1"/>
  <c r="CN656" i="1"/>
  <c r="CN654" i="1"/>
  <c r="CN653" i="1"/>
  <c r="CN652" i="1"/>
  <c r="CK656" i="1"/>
  <c r="CK670" i="1" s="1"/>
  <c r="CJ656" i="1"/>
  <c r="CH656" i="1"/>
  <c r="CH654" i="1"/>
  <c r="CH653" i="1"/>
  <c r="CH652" i="1"/>
  <c r="CF656" i="1"/>
  <c r="CF655" i="1"/>
  <c r="CF654" i="1"/>
  <c r="CF653" i="1"/>
  <c r="CF652" i="1"/>
  <c r="CD656" i="1"/>
  <c r="CD654" i="1"/>
  <c r="CD653" i="1"/>
  <c r="CD652" i="1"/>
  <c r="CB656" i="1"/>
  <c r="CB654" i="1"/>
  <c r="CB653" i="1"/>
  <c r="CB652" i="1"/>
  <c r="BZ656" i="1"/>
  <c r="BZ654" i="1"/>
  <c r="BZ653" i="1"/>
  <c r="BZ652" i="1"/>
  <c r="BX656" i="1"/>
  <c r="BX655" i="1"/>
  <c r="BX654" i="1"/>
  <c r="BX653" i="1"/>
  <c r="BX652" i="1"/>
  <c r="BV656" i="1"/>
  <c r="BV654" i="1"/>
  <c r="BV653" i="1"/>
  <c r="BV652" i="1"/>
  <c r="BT656" i="1"/>
  <c r="BT654" i="1"/>
  <c r="BT653" i="1"/>
  <c r="BT652" i="1"/>
  <c r="BR656" i="1"/>
  <c r="BR654" i="1"/>
  <c r="BR653" i="1"/>
  <c r="BR652" i="1"/>
  <c r="BP656" i="1"/>
  <c r="BP655" i="1"/>
  <c r="BP654" i="1"/>
  <c r="BP653" i="1"/>
  <c r="BP652" i="1"/>
  <c r="BN656" i="1"/>
  <c r="BN654" i="1"/>
  <c r="BN653" i="1"/>
  <c r="BN652" i="1"/>
  <c r="BL656" i="1"/>
  <c r="BL655" i="1"/>
  <c r="BL654" i="1"/>
  <c r="BL653" i="1"/>
  <c r="BL652" i="1"/>
  <c r="BJ656" i="1"/>
  <c r="BJ654" i="1"/>
  <c r="BJ653" i="1"/>
  <c r="BJ652" i="1"/>
  <c r="BH656" i="1"/>
  <c r="BH655" i="1"/>
  <c r="BH654" i="1"/>
  <c r="BH653" i="1"/>
  <c r="BH652" i="1"/>
  <c r="BF656" i="1"/>
  <c r="BF654" i="1"/>
  <c r="BF653" i="1"/>
  <c r="BF652" i="1"/>
  <c r="BD656" i="1"/>
  <c r="BD655" i="1"/>
  <c r="BD654" i="1"/>
  <c r="BD653" i="1"/>
  <c r="BD652" i="1"/>
  <c r="BB656" i="1"/>
  <c r="BB654" i="1"/>
  <c r="BB653" i="1"/>
  <c r="BB652" i="1"/>
  <c r="AZ656" i="1"/>
  <c r="AZ655" i="1"/>
  <c r="AZ654" i="1"/>
  <c r="AZ653" i="1"/>
  <c r="AZ652" i="1"/>
  <c r="AX656" i="1"/>
  <c r="AX654" i="1"/>
  <c r="AX653" i="1"/>
  <c r="AX652" i="1"/>
  <c r="AV656" i="1"/>
  <c r="AV655" i="1"/>
  <c r="AV654" i="1"/>
  <c r="AV653" i="1"/>
  <c r="AV652" i="1"/>
  <c r="AT656" i="1"/>
  <c r="AT654" i="1"/>
  <c r="AT653" i="1"/>
  <c r="AT652" i="1"/>
  <c r="AR656" i="1"/>
  <c r="AR655" i="1"/>
  <c r="AR654" i="1"/>
  <c r="AR653" i="1"/>
  <c r="AR652" i="1"/>
  <c r="AP656" i="1"/>
  <c r="AP654" i="1"/>
  <c r="AP653" i="1"/>
  <c r="AP652" i="1"/>
  <c r="AN656" i="1"/>
  <c r="AN655" i="1"/>
  <c r="AN654" i="1"/>
  <c r="AN653" i="1"/>
  <c r="AN652" i="1"/>
  <c r="AL656" i="1"/>
  <c r="AL654" i="1"/>
  <c r="AL653" i="1"/>
  <c r="AL652" i="1"/>
  <c r="AJ656" i="1"/>
  <c r="AJ655" i="1"/>
  <c r="AJ654" i="1"/>
  <c r="AJ653" i="1"/>
  <c r="AJ652" i="1"/>
  <c r="AH656" i="1"/>
  <c r="AH654" i="1"/>
  <c r="AH653" i="1"/>
  <c r="AH652" i="1"/>
  <c r="AF656" i="1"/>
  <c r="AF655" i="1"/>
  <c r="AF654" i="1"/>
  <c r="AF653" i="1"/>
  <c r="AF652" i="1"/>
  <c r="AD656" i="1"/>
  <c r="AD654" i="1"/>
  <c r="AD653" i="1"/>
  <c r="AD652" i="1"/>
  <c r="AB656" i="1"/>
  <c r="AB655" i="1"/>
  <c r="AB654" i="1"/>
  <c r="AB653" i="1"/>
  <c r="AB652" i="1"/>
  <c r="Z656" i="1"/>
  <c r="Z654" i="1"/>
  <c r="Z653" i="1"/>
  <c r="Z652" i="1"/>
  <c r="X656" i="1"/>
  <c r="X655" i="1"/>
  <c r="X654" i="1"/>
  <c r="X653" i="1"/>
  <c r="X652" i="1"/>
  <c r="V656" i="1"/>
  <c r="V654" i="1"/>
  <c r="V653" i="1"/>
  <c r="V652" i="1"/>
  <c r="T656" i="1"/>
  <c r="T655" i="1"/>
  <c r="T654" i="1"/>
  <c r="T653" i="1"/>
  <c r="T652" i="1"/>
  <c r="R656" i="1"/>
  <c r="R654" i="1"/>
  <c r="R653" i="1"/>
  <c r="R652" i="1"/>
  <c r="P656" i="1"/>
  <c r="P655" i="1"/>
  <c r="P654" i="1"/>
  <c r="P653" i="1"/>
  <c r="P652" i="1"/>
  <c r="N656" i="1"/>
  <c r="N654" i="1"/>
  <c r="N653" i="1"/>
  <c r="N652" i="1"/>
  <c r="L656" i="1"/>
  <c r="L655" i="1"/>
  <c r="L654" i="1"/>
  <c r="L653" i="1"/>
  <c r="L652" i="1"/>
  <c r="FF655" i="1"/>
  <c r="EQ656" i="1"/>
  <c r="EQ658" i="1" s="1"/>
  <c r="ER658" i="1" s="1"/>
  <c r="EP656" i="1"/>
  <c r="EP654" i="1"/>
  <c r="ET653" i="1"/>
  <c r="ES653" i="1"/>
  <c r="EU653" i="1" s="1"/>
  <c r="ER653" i="1"/>
  <c r="EQ653" i="1"/>
  <c r="EP653" i="1"/>
  <c r="EQ652" i="1"/>
  <c r="ES652" i="1" s="1"/>
  <c r="EP652" i="1"/>
  <c r="EO655" i="1"/>
  <c r="EP655" i="1" s="1"/>
  <c r="EM655" i="1"/>
  <c r="EN655" i="1" s="1"/>
  <c r="EK655" i="1"/>
  <c r="EL655" i="1" s="1"/>
  <c r="EI655" i="1"/>
  <c r="EJ655" i="1" s="1"/>
  <c r="EG655" i="1"/>
  <c r="EH655" i="1" s="1"/>
  <c r="EE655" i="1"/>
  <c r="EF655" i="1" s="1"/>
  <c r="EC655" i="1"/>
  <c r="ED655" i="1" s="1"/>
  <c r="EA655" i="1"/>
  <c r="EB655" i="1" s="1"/>
  <c r="DY655" i="1"/>
  <c r="DZ655" i="1" s="1"/>
  <c r="DW655" i="1"/>
  <c r="DX655" i="1" s="1"/>
  <c r="DU655" i="1"/>
  <c r="DV655" i="1" s="1"/>
  <c r="DS655" i="1"/>
  <c r="DT655" i="1" s="1"/>
  <c r="DQ655" i="1"/>
  <c r="DR655" i="1" s="1"/>
  <c r="DO655" i="1"/>
  <c r="DP655" i="1" s="1"/>
  <c r="DM655" i="1"/>
  <c r="DN655" i="1" s="1"/>
  <c r="DK655" i="1"/>
  <c r="DL655" i="1" s="1"/>
  <c r="DI655" i="1"/>
  <c r="DJ655" i="1" s="1"/>
  <c r="DG655" i="1"/>
  <c r="DH655" i="1" s="1"/>
  <c r="DE655" i="1"/>
  <c r="DF655" i="1" s="1"/>
  <c r="DC655" i="1"/>
  <c r="DD655" i="1" s="1"/>
  <c r="DA655" i="1"/>
  <c r="DB655" i="1" s="1"/>
  <c r="CY655" i="1"/>
  <c r="CZ655" i="1" s="1"/>
  <c r="CW655" i="1"/>
  <c r="CX655" i="1" s="1"/>
  <c r="CU655" i="1"/>
  <c r="CV655" i="1" s="1"/>
  <c r="CS655" i="1"/>
  <c r="CQ655" i="1"/>
  <c r="CR655" i="1" s="1"/>
  <c r="CO655" i="1"/>
  <c r="CP655" i="1" s="1"/>
  <c r="CM655" i="1"/>
  <c r="CN655" i="1" s="1"/>
  <c r="CJ655" i="1"/>
  <c r="CI655" i="1"/>
  <c r="CG655" i="1"/>
  <c r="CH655" i="1" s="1"/>
  <c r="CE655" i="1"/>
  <c r="CC655" i="1"/>
  <c r="CD655" i="1" s="1"/>
  <c r="CA655" i="1"/>
  <c r="CB655" i="1" s="1"/>
  <c r="BY655" i="1"/>
  <c r="BZ655" i="1" s="1"/>
  <c r="BW655" i="1"/>
  <c r="BU655" i="1"/>
  <c r="BV655" i="1" s="1"/>
  <c r="BS655" i="1"/>
  <c r="BT655" i="1" s="1"/>
  <c r="BQ655" i="1"/>
  <c r="BR655" i="1" s="1"/>
  <c r="BO655" i="1"/>
  <c r="BM655" i="1"/>
  <c r="BN655" i="1" s="1"/>
  <c r="BK655" i="1"/>
  <c r="BI655" i="1"/>
  <c r="BJ655" i="1" s="1"/>
  <c r="BG655" i="1"/>
  <c r="BE655" i="1"/>
  <c r="BF655" i="1" s="1"/>
  <c r="BC655" i="1"/>
  <c r="BA655" i="1"/>
  <c r="BB655" i="1" s="1"/>
  <c r="AY655" i="1"/>
  <c r="AW655" i="1"/>
  <c r="AX655" i="1" s="1"/>
  <c r="AU655" i="1"/>
  <c r="AS655" i="1"/>
  <c r="AT655" i="1" s="1"/>
  <c r="AQ655" i="1"/>
  <c r="AO655" i="1"/>
  <c r="AP655" i="1" s="1"/>
  <c r="AM655" i="1"/>
  <c r="AK655" i="1"/>
  <c r="AL655" i="1" s="1"/>
  <c r="AI655" i="1"/>
  <c r="AG655" i="1"/>
  <c r="AH655" i="1" s="1"/>
  <c r="AE655" i="1"/>
  <c r="AC655" i="1"/>
  <c r="AD655" i="1" s="1"/>
  <c r="AA655" i="1"/>
  <c r="Y655" i="1"/>
  <c r="Z655" i="1" s="1"/>
  <c r="W655" i="1"/>
  <c r="U655" i="1"/>
  <c r="V655" i="1" s="1"/>
  <c r="S655" i="1"/>
  <c r="Q655" i="1"/>
  <c r="R655" i="1" s="1"/>
  <c r="O655" i="1"/>
  <c r="M655" i="1"/>
  <c r="N655" i="1" s="1"/>
  <c r="K655" i="1"/>
  <c r="I655" i="1"/>
  <c r="GO656" i="1"/>
  <c r="GN656" i="1"/>
  <c r="GM656" i="1"/>
  <c r="GL656" i="1"/>
  <c r="GK656" i="1"/>
  <c r="GJ656" i="1"/>
  <c r="GI656" i="1"/>
  <c r="GH656" i="1"/>
  <c r="GG656" i="1"/>
  <c r="GF656" i="1"/>
  <c r="GE656" i="1"/>
  <c r="GD656" i="1"/>
  <c r="GB656" i="1"/>
  <c r="FY656" i="1"/>
  <c r="FX656" i="1"/>
  <c r="FW656" i="1"/>
  <c r="FV656" i="1"/>
  <c r="FU656" i="1"/>
  <c r="FT656" i="1"/>
  <c r="FS656" i="1"/>
  <c r="FR656" i="1"/>
  <c r="FQ656" i="1"/>
  <c r="FP656" i="1"/>
  <c r="FO656" i="1"/>
  <c r="FN656" i="1"/>
  <c r="FM656" i="1"/>
  <c r="FL656" i="1"/>
  <c r="FK656" i="1"/>
  <c r="FJ656" i="1"/>
  <c r="FI656" i="1"/>
  <c r="FH656" i="1"/>
  <c r="FG656" i="1"/>
  <c r="FG655" i="1"/>
  <c r="GO654" i="1"/>
  <c r="GN654" i="1"/>
  <c r="GM654" i="1"/>
  <c r="GL654" i="1"/>
  <c r="GK654" i="1"/>
  <c r="GJ654" i="1"/>
  <c r="GI654" i="1"/>
  <c r="GH654" i="1"/>
  <c r="GG654" i="1"/>
  <c r="GF654" i="1"/>
  <c r="GE654" i="1"/>
  <c r="GD654" i="1"/>
  <c r="GB654" i="1"/>
  <c r="FY654" i="1"/>
  <c r="FX654" i="1"/>
  <c r="FW654" i="1"/>
  <c r="FV654" i="1"/>
  <c r="FU654" i="1"/>
  <c r="FT654" i="1"/>
  <c r="FS654" i="1"/>
  <c r="FR654" i="1"/>
  <c r="FQ654" i="1"/>
  <c r="FP654" i="1"/>
  <c r="FO654" i="1"/>
  <c r="FN654" i="1"/>
  <c r="FM654" i="1"/>
  <c r="FL654" i="1"/>
  <c r="FK654" i="1"/>
  <c r="FJ654" i="1"/>
  <c r="FI654" i="1"/>
  <c r="FH654" i="1"/>
  <c r="FG654" i="1"/>
  <c r="GO653" i="1"/>
  <c r="GN653" i="1"/>
  <c r="GM653" i="1"/>
  <c r="GL653" i="1"/>
  <c r="GL655" i="1" s="1"/>
  <c r="GK653" i="1"/>
  <c r="GJ653" i="1"/>
  <c r="GI653" i="1"/>
  <c r="GH653" i="1"/>
  <c r="GH655" i="1" s="1"/>
  <c r="GG653" i="1"/>
  <c r="GF653" i="1"/>
  <c r="GE653" i="1"/>
  <c r="GD653" i="1"/>
  <c r="GD655" i="1" s="1"/>
  <c r="GC653" i="1"/>
  <c r="GB653" i="1"/>
  <c r="GA653" i="1"/>
  <c r="FZ653" i="1"/>
  <c r="FY653" i="1"/>
  <c r="FX653" i="1"/>
  <c r="FW653" i="1"/>
  <c r="FV653" i="1"/>
  <c r="FV655" i="1" s="1"/>
  <c r="FU653" i="1"/>
  <c r="FT653" i="1"/>
  <c r="FS653" i="1"/>
  <c r="FR653" i="1"/>
  <c r="FR655" i="1" s="1"/>
  <c r="FQ653" i="1"/>
  <c r="FP653" i="1"/>
  <c r="FO653" i="1"/>
  <c r="FN653" i="1"/>
  <c r="FN655" i="1" s="1"/>
  <c r="FM653" i="1"/>
  <c r="FL653" i="1"/>
  <c r="FK653" i="1"/>
  <c r="FJ653" i="1"/>
  <c r="FJ655" i="1" s="1"/>
  <c r="FI653" i="1"/>
  <c r="FH653" i="1"/>
  <c r="FG653" i="1"/>
  <c r="GO652" i="1"/>
  <c r="GN652" i="1"/>
  <c r="GM652" i="1"/>
  <c r="GL652" i="1"/>
  <c r="GK652" i="1"/>
  <c r="GJ652" i="1"/>
  <c r="GI652" i="1"/>
  <c r="GH652" i="1"/>
  <c r="GG652" i="1"/>
  <c r="GF652" i="1"/>
  <c r="GE652" i="1"/>
  <c r="GD652" i="1"/>
  <c r="GC652" i="1"/>
  <c r="GB652" i="1"/>
  <c r="GA652" i="1"/>
  <c r="FZ652" i="1"/>
  <c r="FY652" i="1"/>
  <c r="FX652" i="1"/>
  <c r="FW652" i="1"/>
  <c r="FV652" i="1"/>
  <c r="FU652" i="1"/>
  <c r="FT652" i="1"/>
  <c r="FS652" i="1"/>
  <c r="FR652" i="1"/>
  <c r="FQ652" i="1"/>
  <c r="FP652" i="1"/>
  <c r="FO652" i="1"/>
  <c r="FN652" i="1"/>
  <c r="FM652" i="1"/>
  <c r="FL652" i="1"/>
  <c r="FK652" i="1"/>
  <c r="FJ652" i="1"/>
  <c r="FI652" i="1"/>
  <c r="FH652" i="1"/>
  <c r="FG652" i="1"/>
  <c r="CK654" i="1"/>
  <c r="FZ654" i="1" s="1"/>
  <c r="CJ654" i="1"/>
  <c r="CL653" i="1"/>
  <c r="CL652" i="1"/>
  <c r="CJ653" i="1"/>
  <c r="CJ652" i="1"/>
  <c r="AP644" i="1"/>
  <c r="I642" i="1"/>
  <c r="E642" i="1"/>
  <c r="BE638" i="1"/>
  <c r="BC638" i="1"/>
  <c r="BA638" i="1"/>
  <c r="AY638" i="1"/>
  <c r="AZ638" i="1" s="1"/>
  <c r="AW638" i="1"/>
  <c r="AX638" i="1" s="1"/>
  <c r="AU638" i="1"/>
  <c r="AV638" i="1" s="1"/>
  <c r="AS638" i="1"/>
  <c r="AT638" i="1" s="1"/>
  <c r="AQ638" i="1"/>
  <c r="AR638" i="1" s="1"/>
  <c r="AO638" i="1"/>
  <c r="AP638" i="1" s="1"/>
  <c r="AM638" i="1"/>
  <c r="AN638" i="1" s="1"/>
  <c r="AK638" i="1"/>
  <c r="AL638" i="1" s="1"/>
  <c r="AI638" i="1"/>
  <c r="AJ638" i="1" s="1"/>
  <c r="AG638" i="1"/>
  <c r="AE638" i="1"/>
  <c r="GM637" i="1"/>
  <c r="GL637" i="1"/>
  <c r="GL765" i="1" s="1"/>
  <c r="GK637" i="1"/>
  <c r="GJ637" i="1"/>
  <c r="GJ765" i="1" s="1"/>
  <c r="GI637" i="1"/>
  <c r="GH637" i="1"/>
  <c r="GH765" i="1" s="1"/>
  <c r="GG637" i="1"/>
  <c r="GF637" i="1"/>
  <c r="GF765" i="1" s="1"/>
  <c r="GE637" i="1"/>
  <c r="GD637" i="1"/>
  <c r="GD765" i="1" s="1"/>
  <c r="GC637" i="1"/>
  <c r="GB637" i="1"/>
  <c r="GB765" i="1" s="1"/>
  <c r="GA637" i="1"/>
  <c r="FZ637" i="1"/>
  <c r="FZ765" i="1" s="1"/>
  <c r="FY637" i="1"/>
  <c r="FX637" i="1"/>
  <c r="FX765" i="1" s="1"/>
  <c r="FW637" i="1"/>
  <c r="FV637" i="1"/>
  <c r="FV765" i="1" s="1"/>
  <c r="FU637" i="1"/>
  <c r="FT637" i="1"/>
  <c r="FT765" i="1" s="1"/>
  <c r="FS637" i="1"/>
  <c r="FR637" i="1"/>
  <c r="FR765" i="1" s="1"/>
  <c r="FQ637" i="1"/>
  <c r="FP637" i="1"/>
  <c r="FO637" i="1"/>
  <c r="FN637" i="1"/>
  <c r="FM637" i="1"/>
  <c r="FL637" i="1"/>
  <c r="FK637" i="1"/>
  <c r="FJ637" i="1"/>
  <c r="FH637" i="1"/>
  <c r="FF637" i="1" s="1"/>
  <c r="EP637" i="1"/>
  <c r="EO637" i="1"/>
  <c r="GN637" i="1" s="1"/>
  <c r="EN637" i="1"/>
  <c r="EM637" i="1"/>
  <c r="EL637" i="1"/>
  <c r="EJ637" i="1"/>
  <c r="EJ636" i="1"/>
  <c r="EH637" i="1"/>
  <c r="EF637" i="1"/>
  <c r="EF636" i="1"/>
  <c r="ED637" i="1"/>
  <c r="EB637" i="1"/>
  <c r="EB636" i="1"/>
  <c r="DZ637" i="1"/>
  <c r="DX637" i="1"/>
  <c r="DX636" i="1"/>
  <c r="DV637" i="1"/>
  <c r="DT637" i="1"/>
  <c r="DT636" i="1"/>
  <c r="DR637" i="1"/>
  <c r="DP637" i="1"/>
  <c r="DP636" i="1"/>
  <c r="DN637" i="1"/>
  <c r="DL637" i="1"/>
  <c r="DL636" i="1"/>
  <c r="DJ637" i="1"/>
  <c r="DH637" i="1"/>
  <c r="DH636" i="1"/>
  <c r="DF637" i="1"/>
  <c r="DF636" i="1"/>
  <c r="DD637" i="1"/>
  <c r="DD636" i="1"/>
  <c r="DB637" i="1"/>
  <c r="DB636" i="1"/>
  <c r="CZ637" i="1"/>
  <c r="CZ636" i="1"/>
  <c r="CX637" i="1"/>
  <c r="CX636" i="1"/>
  <c r="CV637" i="1"/>
  <c r="CV636" i="1"/>
  <c r="CT637" i="1"/>
  <c r="CT636" i="1"/>
  <c r="CR637" i="1"/>
  <c r="CR636" i="1"/>
  <c r="CP637" i="1"/>
  <c r="CP636" i="1"/>
  <c r="CN637" i="1"/>
  <c r="CN636" i="1"/>
  <c r="CL637" i="1"/>
  <c r="CL636" i="1"/>
  <c r="CJ637" i="1"/>
  <c r="CJ636" i="1"/>
  <c r="CH637" i="1"/>
  <c r="CH636" i="1"/>
  <c r="CF637" i="1"/>
  <c r="CF636" i="1"/>
  <c r="CD637" i="1"/>
  <c r="CD636" i="1"/>
  <c r="CB637" i="1"/>
  <c r="CB636" i="1"/>
  <c r="BZ637" i="1"/>
  <c r="BZ636" i="1"/>
  <c r="BX637" i="1"/>
  <c r="BX636" i="1"/>
  <c r="BV637" i="1"/>
  <c r="BV636" i="1"/>
  <c r="BT637" i="1"/>
  <c r="BT636" i="1"/>
  <c r="BR637" i="1"/>
  <c r="BR636" i="1"/>
  <c r="BP637" i="1"/>
  <c r="BP636" i="1"/>
  <c r="BN637" i="1"/>
  <c r="BN636" i="1"/>
  <c r="BL637" i="1"/>
  <c r="BL636" i="1"/>
  <c r="BJ637" i="1"/>
  <c r="BJ636" i="1"/>
  <c r="BH637" i="1"/>
  <c r="BH636" i="1"/>
  <c r="BF637" i="1"/>
  <c r="BF636" i="1"/>
  <c r="BD637" i="1"/>
  <c r="BD636" i="1"/>
  <c r="BB637" i="1"/>
  <c r="BB636" i="1"/>
  <c r="AZ637" i="1"/>
  <c r="AZ636" i="1"/>
  <c r="AX637" i="1"/>
  <c r="AX636" i="1"/>
  <c r="AV637" i="1"/>
  <c r="AV636" i="1"/>
  <c r="AT637" i="1"/>
  <c r="AT636" i="1"/>
  <c r="AR637" i="1"/>
  <c r="AR636" i="1"/>
  <c r="AP637" i="1"/>
  <c r="AP636" i="1"/>
  <c r="AN637" i="1"/>
  <c r="AN636" i="1"/>
  <c r="AL637" i="1"/>
  <c r="AL636" i="1"/>
  <c r="AJ637" i="1"/>
  <c r="AJ636" i="1"/>
  <c r="AH637" i="1"/>
  <c r="AH636" i="1"/>
  <c r="AF637" i="1"/>
  <c r="AF636" i="1"/>
  <c r="AD637" i="1"/>
  <c r="AD636" i="1"/>
  <c r="AB637" i="1"/>
  <c r="AB636" i="1"/>
  <c r="Z637" i="1"/>
  <c r="Z636" i="1"/>
  <c r="X637" i="1"/>
  <c r="X636" i="1"/>
  <c r="V637" i="1"/>
  <c r="V636" i="1"/>
  <c r="T637" i="1"/>
  <c r="T636" i="1"/>
  <c r="R637" i="1"/>
  <c r="R636" i="1"/>
  <c r="P637" i="1"/>
  <c r="N637" i="1"/>
  <c r="N636" i="1"/>
  <c r="L636" i="1"/>
  <c r="C637" i="1"/>
  <c r="L637" i="1" s="1"/>
  <c r="C636" i="1"/>
  <c r="C642" i="1" s="1"/>
  <c r="GD636" i="1"/>
  <c r="GD634" i="1" s="1"/>
  <c r="GE634" i="1" s="1"/>
  <c r="GB636" i="1"/>
  <c r="GC636" i="1" s="1"/>
  <c r="FZ636" i="1"/>
  <c r="FZ634" i="1" s="1"/>
  <c r="GA634" i="1" s="1"/>
  <c r="FX636" i="1"/>
  <c r="FY636" i="1" s="1"/>
  <c r="FU636" i="1"/>
  <c r="FT636" i="1"/>
  <c r="FW636" i="1" s="1"/>
  <c r="FS636" i="1"/>
  <c r="FR636" i="1"/>
  <c r="FQ636" i="1"/>
  <c r="FP636" i="1"/>
  <c r="FO636" i="1"/>
  <c r="FN636" i="1"/>
  <c r="FM636" i="1"/>
  <c r="FL636" i="1"/>
  <c r="FJ636" i="1"/>
  <c r="EP636" i="1"/>
  <c r="EN636" i="1"/>
  <c r="EL636" i="1"/>
  <c r="EI636" i="1"/>
  <c r="GN636" i="1" s="1"/>
  <c r="EA636" i="1"/>
  <c r="GL636" i="1" s="1"/>
  <c r="EA635" i="1"/>
  <c r="DY636" i="1"/>
  <c r="EH636" i="1" s="1"/>
  <c r="DW636" i="1"/>
  <c r="DU636" i="1"/>
  <c r="ED636" i="1" s="1"/>
  <c r="DS636" i="1"/>
  <c r="DQ636" i="1"/>
  <c r="DR636" i="1" s="1"/>
  <c r="DO636" i="1"/>
  <c r="DM636" i="1"/>
  <c r="DN636" i="1" s="1"/>
  <c r="DK636" i="1"/>
  <c r="DI636" i="1"/>
  <c r="DJ636" i="1" s="1"/>
  <c r="M636" i="1"/>
  <c r="FH636" i="1" s="1"/>
  <c r="K636" i="1"/>
  <c r="I636" i="1"/>
  <c r="G636" i="1"/>
  <c r="G642" i="1" s="1"/>
  <c r="E636" i="1"/>
  <c r="GN635" i="1"/>
  <c r="GL635" i="1"/>
  <c r="GJ635" i="1"/>
  <c r="ES635" i="1"/>
  <c r="EU635" i="1" s="1"/>
  <c r="EW635" i="1" s="1"/>
  <c r="GP635" i="1" s="1"/>
  <c r="GR635" i="1" s="1"/>
  <c r="GT635" i="1" s="1"/>
  <c r="GV635" i="1" s="1"/>
  <c r="GX635" i="1" s="1"/>
  <c r="EQ635" i="1"/>
  <c r="GH634" i="1"/>
  <c r="GB634" i="1"/>
  <c r="EK634" i="1"/>
  <c r="EM634" i="1" s="1"/>
  <c r="EI634" i="1"/>
  <c r="EJ634" i="1" s="1"/>
  <c r="EG634" i="1"/>
  <c r="EH634" i="1" s="1"/>
  <c r="EE634" i="1"/>
  <c r="EF634" i="1" s="1"/>
  <c r="EC634" i="1"/>
  <c r="ED634" i="1" s="1"/>
  <c r="EA634" i="1"/>
  <c r="EB634" i="1" s="1"/>
  <c r="DY634" i="1"/>
  <c r="DZ634" i="1" s="1"/>
  <c r="DW634" i="1"/>
  <c r="DX634" i="1" s="1"/>
  <c r="DU634" i="1"/>
  <c r="DV634" i="1" s="1"/>
  <c r="DS634" i="1"/>
  <c r="DT634" i="1" s="1"/>
  <c r="DQ634" i="1"/>
  <c r="DR634" i="1" s="1"/>
  <c r="DO634" i="1"/>
  <c r="DP634" i="1" s="1"/>
  <c r="DM634" i="1"/>
  <c r="DN634" i="1" s="1"/>
  <c r="DK634" i="1"/>
  <c r="DL634" i="1" s="1"/>
  <c r="DI634" i="1"/>
  <c r="DJ634" i="1" s="1"/>
  <c r="DG634" i="1"/>
  <c r="DH634" i="1" s="1"/>
  <c r="DE634" i="1"/>
  <c r="DF634" i="1" s="1"/>
  <c r="DC634" i="1"/>
  <c r="DD634" i="1" s="1"/>
  <c r="DA634" i="1"/>
  <c r="CY634" i="1"/>
  <c r="CW634" i="1"/>
  <c r="CU634" i="1"/>
  <c r="CS634" i="1"/>
  <c r="CQ634" i="1"/>
  <c r="CO634" i="1"/>
  <c r="CM634" i="1"/>
  <c r="CK634" i="1"/>
  <c r="CI634" i="1"/>
  <c r="CG634" i="1"/>
  <c r="CE634" i="1"/>
  <c r="CC634" i="1"/>
  <c r="GG633" i="1"/>
  <c r="GF633" i="1"/>
  <c r="GE633" i="1"/>
  <c r="GC633" i="1"/>
  <c r="GC632" i="1"/>
  <c r="GA633" i="1"/>
  <c r="GA632" i="1"/>
  <c r="EN633" i="1"/>
  <c r="EL633" i="1"/>
  <c r="EJ633" i="1"/>
  <c r="EJ632" i="1"/>
  <c r="EH633" i="1"/>
  <c r="EH632" i="1"/>
  <c r="EF633" i="1"/>
  <c r="EF632" i="1"/>
  <c r="ED633" i="1"/>
  <c r="ED632" i="1"/>
  <c r="EB633" i="1"/>
  <c r="EB632" i="1"/>
  <c r="DZ633" i="1"/>
  <c r="DZ632" i="1"/>
  <c r="DX633" i="1"/>
  <c r="DX632" i="1"/>
  <c r="DV633" i="1"/>
  <c r="DV632" i="1"/>
  <c r="DT633" i="1"/>
  <c r="DT632" i="1"/>
  <c r="DR633" i="1"/>
  <c r="DR632" i="1"/>
  <c r="DP633" i="1"/>
  <c r="DP632" i="1"/>
  <c r="DN633" i="1"/>
  <c r="DN632" i="1"/>
  <c r="DL633" i="1"/>
  <c r="DL632" i="1"/>
  <c r="DJ633" i="1"/>
  <c r="DJ632" i="1"/>
  <c r="DH633" i="1"/>
  <c r="DH632" i="1"/>
  <c r="DF633" i="1"/>
  <c r="DD633" i="1"/>
  <c r="GO633" i="1"/>
  <c r="GN633" i="1"/>
  <c r="GM633" i="1"/>
  <c r="GL633" i="1"/>
  <c r="GK633" i="1"/>
  <c r="GJ633" i="1"/>
  <c r="GI633" i="1"/>
  <c r="GM632" i="1"/>
  <c r="GL632" i="1"/>
  <c r="GK632" i="1"/>
  <c r="GJ632" i="1"/>
  <c r="GI632" i="1"/>
  <c r="GH632" i="1"/>
  <c r="GG632" i="1"/>
  <c r="GF632" i="1"/>
  <c r="GE632" i="1"/>
  <c r="EP633" i="1"/>
  <c r="FG630" i="1"/>
  <c r="FG629" i="1"/>
  <c r="FE630" i="1"/>
  <c r="FE629" i="1"/>
  <c r="R630" i="1"/>
  <c r="R629" i="1"/>
  <c r="FI630" i="1"/>
  <c r="FI629" i="1"/>
  <c r="T630" i="1"/>
  <c r="T629" i="1"/>
  <c r="GX625" i="1"/>
  <c r="GV625" i="1"/>
  <c r="GT625" i="1"/>
  <c r="GR625" i="1"/>
  <c r="EW625" i="1"/>
  <c r="EU625" i="1"/>
  <c r="ES625" i="1"/>
  <c r="EQ625" i="1"/>
  <c r="EO625" i="1"/>
  <c r="EM625" i="1"/>
  <c r="EK625" i="1"/>
  <c r="EG625" i="1"/>
  <c r="EE625" i="1"/>
  <c r="EC625" i="1"/>
  <c r="EA625" i="1"/>
  <c r="DY625" i="1"/>
  <c r="DW625" i="1"/>
  <c r="GW624" i="1"/>
  <c r="GW623" i="1"/>
  <c r="GU624" i="1"/>
  <c r="GU623" i="1"/>
  <c r="GP624" i="1"/>
  <c r="GP871" i="1" s="1"/>
  <c r="GN624" i="1"/>
  <c r="GN871" i="1" s="1"/>
  <c r="GL624" i="1"/>
  <c r="GL871" i="1" s="1"/>
  <c r="GJ624" i="1"/>
  <c r="GK624" i="1" s="1"/>
  <c r="GH624" i="1"/>
  <c r="GI624" i="1" s="1"/>
  <c r="GF624" i="1"/>
  <c r="GG624" i="1" s="1"/>
  <c r="GD624" i="1"/>
  <c r="GE624" i="1" s="1"/>
  <c r="GB624" i="1"/>
  <c r="GC624" i="1" s="1"/>
  <c r="FZ624" i="1"/>
  <c r="GA624" i="1" s="1"/>
  <c r="FX624" i="1"/>
  <c r="FY624" i="1" s="1"/>
  <c r="FV624" i="1"/>
  <c r="FW624" i="1" s="1"/>
  <c r="FT624" i="1"/>
  <c r="FU624" i="1" s="1"/>
  <c r="FR624" i="1"/>
  <c r="FS624" i="1" s="1"/>
  <c r="FP624" i="1"/>
  <c r="FQ624" i="1" s="1"/>
  <c r="FN624" i="1"/>
  <c r="FO624" i="1" s="1"/>
  <c r="FL624" i="1"/>
  <c r="FM624" i="1" s="1"/>
  <c r="FJ624" i="1"/>
  <c r="FK624" i="1" s="1"/>
  <c r="FH624" i="1"/>
  <c r="FI624" i="1" s="1"/>
  <c r="FG624" i="1"/>
  <c r="FE624" i="1"/>
  <c r="FE623" i="1"/>
  <c r="FE622" i="1"/>
  <c r="FE621" i="1"/>
  <c r="EX624" i="1"/>
  <c r="EX623" i="1"/>
  <c r="EV624" i="1"/>
  <c r="EV623" i="1"/>
  <c r="ET624" i="1"/>
  <c r="ET623" i="1"/>
  <c r="ER624" i="1"/>
  <c r="ER623" i="1"/>
  <c r="EP624" i="1"/>
  <c r="EP623" i="1"/>
  <c r="EP622" i="1"/>
  <c r="EN624" i="1"/>
  <c r="EN623" i="1"/>
  <c r="EN622" i="1"/>
  <c r="EL624" i="1"/>
  <c r="EL623" i="1"/>
  <c r="EL622" i="1"/>
  <c r="EJ624" i="1"/>
  <c r="EJ623" i="1"/>
  <c r="EJ622" i="1"/>
  <c r="EH624" i="1"/>
  <c r="EH623" i="1"/>
  <c r="EH622" i="1"/>
  <c r="EF624" i="1"/>
  <c r="EF623" i="1"/>
  <c r="EF622" i="1"/>
  <c r="ED624" i="1"/>
  <c r="ED623" i="1"/>
  <c r="ED622" i="1"/>
  <c r="EB624" i="1"/>
  <c r="EB623" i="1"/>
  <c r="EB622" i="1"/>
  <c r="DZ624" i="1"/>
  <c r="DZ623" i="1"/>
  <c r="DZ622" i="1"/>
  <c r="DX624" i="1"/>
  <c r="DX623" i="1"/>
  <c r="DX622" i="1"/>
  <c r="DX621" i="1"/>
  <c r="DV624" i="1"/>
  <c r="DV623" i="1"/>
  <c r="DV622" i="1"/>
  <c r="DV621" i="1"/>
  <c r="DT624" i="1"/>
  <c r="DT623" i="1"/>
  <c r="DT622" i="1"/>
  <c r="DT621" i="1"/>
  <c r="DR624" i="1"/>
  <c r="DR623" i="1"/>
  <c r="DR622" i="1"/>
  <c r="DR621" i="1"/>
  <c r="DP624" i="1"/>
  <c r="DP623" i="1"/>
  <c r="DP622" i="1"/>
  <c r="DP621" i="1"/>
  <c r="DN624" i="1"/>
  <c r="DN623" i="1"/>
  <c r="DN622" i="1"/>
  <c r="DN621" i="1"/>
  <c r="DL624" i="1"/>
  <c r="DL623" i="1"/>
  <c r="DL622" i="1"/>
  <c r="DL621" i="1"/>
  <c r="DJ624" i="1"/>
  <c r="DJ623" i="1"/>
  <c r="DJ622" i="1"/>
  <c r="DJ621" i="1"/>
  <c r="DH624" i="1"/>
  <c r="DH623" i="1"/>
  <c r="DH622" i="1"/>
  <c r="DH621" i="1"/>
  <c r="DF624" i="1"/>
  <c r="DF623" i="1"/>
  <c r="DF622" i="1"/>
  <c r="DF621" i="1"/>
  <c r="DD624" i="1"/>
  <c r="DD623" i="1"/>
  <c r="DD622" i="1"/>
  <c r="DD621" i="1"/>
  <c r="DB624" i="1"/>
  <c r="DB623" i="1"/>
  <c r="DB622" i="1"/>
  <c r="DB621" i="1"/>
  <c r="CZ624" i="1"/>
  <c r="CZ623" i="1"/>
  <c r="CZ622" i="1"/>
  <c r="CZ621" i="1"/>
  <c r="CX624" i="1"/>
  <c r="CX623" i="1"/>
  <c r="CX622" i="1"/>
  <c r="CX621" i="1"/>
  <c r="CV624" i="1"/>
  <c r="CV623" i="1"/>
  <c r="CV622" i="1"/>
  <c r="CV621" i="1"/>
  <c r="CT624" i="1"/>
  <c r="CT623" i="1"/>
  <c r="CT622" i="1"/>
  <c r="CT621" i="1"/>
  <c r="CR624" i="1"/>
  <c r="CR623" i="1"/>
  <c r="CR622" i="1"/>
  <c r="CR621" i="1"/>
  <c r="CP624" i="1"/>
  <c r="CP623" i="1"/>
  <c r="CP622" i="1"/>
  <c r="CP621" i="1"/>
  <c r="CN624" i="1"/>
  <c r="CN623" i="1"/>
  <c r="CN622" i="1"/>
  <c r="CN621" i="1"/>
  <c r="CL624" i="1"/>
  <c r="CL623" i="1"/>
  <c r="CL622" i="1"/>
  <c r="CL621" i="1"/>
  <c r="CJ624" i="1"/>
  <c r="CJ623" i="1"/>
  <c r="CJ622" i="1"/>
  <c r="CJ621" i="1"/>
  <c r="CH624" i="1"/>
  <c r="CH623" i="1"/>
  <c r="CH622" i="1"/>
  <c r="CH621" i="1"/>
  <c r="CF624" i="1"/>
  <c r="CF623" i="1"/>
  <c r="CF622" i="1"/>
  <c r="CF621" i="1"/>
  <c r="CD624" i="1"/>
  <c r="CD623" i="1"/>
  <c r="CD622" i="1"/>
  <c r="CD621" i="1"/>
  <c r="CB624" i="1"/>
  <c r="CB623" i="1"/>
  <c r="CB621" i="1"/>
  <c r="BZ624" i="1"/>
  <c r="BZ623" i="1"/>
  <c r="BZ622" i="1"/>
  <c r="BZ621" i="1"/>
  <c r="BX624" i="1"/>
  <c r="BX623" i="1"/>
  <c r="BX622" i="1"/>
  <c r="BX621" i="1"/>
  <c r="BV624" i="1"/>
  <c r="BV623" i="1"/>
  <c r="BV622" i="1"/>
  <c r="BV621" i="1"/>
  <c r="BT624" i="1"/>
  <c r="BT623" i="1"/>
  <c r="BT621" i="1"/>
  <c r="BR624" i="1"/>
  <c r="BR623" i="1"/>
  <c r="BR622" i="1"/>
  <c r="BR621" i="1"/>
  <c r="BP624" i="1"/>
  <c r="BP623" i="1"/>
  <c r="BP622" i="1"/>
  <c r="BP621" i="1"/>
  <c r="BN624" i="1"/>
  <c r="BN623" i="1"/>
  <c r="BN622" i="1"/>
  <c r="BN621" i="1"/>
  <c r="BL624" i="1"/>
  <c r="BL623" i="1"/>
  <c r="BL621" i="1"/>
  <c r="BJ624" i="1"/>
  <c r="BJ623" i="1"/>
  <c r="BJ622" i="1"/>
  <c r="BJ621" i="1"/>
  <c r="BH624" i="1"/>
  <c r="BH623" i="1"/>
  <c r="BH622" i="1"/>
  <c r="BH621" i="1"/>
  <c r="BF624" i="1"/>
  <c r="BF623" i="1"/>
  <c r="BF622" i="1"/>
  <c r="BF621" i="1"/>
  <c r="BD624" i="1"/>
  <c r="BD623" i="1"/>
  <c r="BD621" i="1"/>
  <c r="BB624" i="1"/>
  <c r="BB623" i="1"/>
  <c r="BB622" i="1"/>
  <c r="BB621" i="1"/>
  <c r="AZ624" i="1"/>
  <c r="AZ623" i="1"/>
  <c r="AZ622" i="1"/>
  <c r="AZ621" i="1"/>
  <c r="AX624" i="1"/>
  <c r="AX623" i="1"/>
  <c r="AX622" i="1"/>
  <c r="AX621" i="1"/>
  <c r="AV624" i="1"/>
  <c r="AV623" i="1"/>
  <c r="AV622" i="1"/>
  <c r="AV621" i="1"/>
  <c r="AT624" i="1"/>
  <c r="AT623" i="1"/>
  <c r="AT622" i="1"/>
  <c r="AT621" i="1"/>
  <c r="AR624" i="1"/>
  <c r="AR623" i="1"/>
  <c r="AR622" i="1"/>
  <c r="AR621" i="1"/>
  <c r="AP624" i="1"/>
  <c r="AP623" i="1"/>
  <c r="AP622" i="1"/>
  <c r="AP621" i="1"/>
  <c r="AN624" i="1"/>
  <c r="AN623" i="1"/>
  <c r="AN622" i="1"/>
  <c r="AN621" i="1"/>
  <c r="AL624" i="1"/>
  <c r="AL623" i="1"/>
  <c r="AL622" i="1"/>
  <c r="AL621" i="1"/>
  <c r="AJ624" i="1"/>
  <c r="AJ623" i="1"/>
  <c r="AJ622" i="1"/>
  <c r="AJ621" i="1"/>
  <c r="AH624" i="1"/>
  <c r="AH623" i="1"/>
  <c r="AH622" i="1"/>
  <c r="AH621" i="1"/>
  <c r="AF624" i="1"/>
  <c r="AF623" i="1"/>
  <c r="AF622" i="1"/>
  <c r="AF621" i="1"/>
  <c r="AD624" i="1"/>
  <c r="AD623" i="1"/>
  <c r="AD622" i="1"/>
  <c r="AD621" i="1"/>
  <c r="AB624" i="1"/>
  <c r="AB623" i="1"/>
  <c r="AB622" i="1"/>
  <c r="AB621" i="1"/>
  <c r="Z624" i="1"/>
  <c r="Z623" i="1"/>
  <c r="Z622" i="1"/>
  <c r="Z621" i="1"/>
  <c r="X624" i="1"/>
  <c r="X623" i="1"/>
  <c r="X622" i="1"/>
  <c r="X621" i="1"/>
  <c r="V624" i="1"/>
  <c r="V623" i="1"/>
  <c r="V622" i="1"/>
  <c r="V621" i="1"/>
  <c r="R624" i="1"/>
  <c r="Q624" i="1"/>
  <c r="GQ623" i="1"/>
  <c r="GP623" i="1"/>
  <c r="GS623" i="1" s="1"/>
  <c r="GO623" i="1"/>
  <c r="GN623" i="1"/>
  <c r="GM623" i="1"/>
  <c r="GL623" i="1"/>
  <c r="GK623" i="1"/>
  <c r="GJ623" i="1"/>
  <c r="GI623" i="1"/>
  <c r="GH623" i="1"/>
  <c r="GG623" i="1"/>
  <c r="GF623" i="1"/>
  <c r="GE623" i="1"/>
  <c r="GD623" i="1"/>
  <c r="GC623" i="1"/>
  <c r="GB623" i="1"/>
  <c r="GA623" i="1"/>
  <c r="FY623" i="1"/>
  <c r="FW623" i="1"/>
  <c r="FU623" i="1"/>
  <c r="FS623" i="1"/>
  <c r="FQ623" i="1"/>
  <c r="FO623" i="1"/>
  <c r="FM623" i="1"/>
  <c r="FH623" i="1"/>
  <c r="FK623" i="1" s="1"/>
  <c r="FG623" i="1"/>
  <c r="R623" i="1"/>
  <c r="R622" i="1"/>
  <c r="R621" i="1"/>
  <c r="FX622" i="1"/>
  <c r="FX621" i="1"/>
  <c r="FY621" i="1" s="1"/>
  <c r="FV621" i="1"/>
  <c r="FW621" i="1" s="1"/>
  <c r="FT621" i="1"/>
  <c r="FU621" i="1" s="1"/>
  <c r="FR621" i="1"/>
  <c r="FS621" i="1" s="1"/>
  <c r="FP621" i="1"/>
  <c r="FQ621" i="1" s="1"/>
  <c r="FN621" i="1"/>
  <c r="FO621" i="1" s="1"/>
  <c r="FL621" i="1"/>
  <c r="EO622" i="1"/>
  <c r="BS622" i="1"/>
  <c r="BQ622" i="1"/>
  <c r="BO622" i="1"/>
  <c r="FV622" i="1" s="1"/>
  <c r="BM622" i="1"/>
  <c r="BK622" i="1"/>
  <c r="BI622" i="1"/>
  <c r="BG622" i="1"/>
  <c r="FT622" i="1" s="1"/>
  <c r="FT617" i="1" s="1"/>
  <c r="BE622" i="1"/>
  <c r="BC622" i="1"/>
  <c r="BA622" i="1"/>
  <c r="AY622" i="1"/>
  <c r="FR622" i="1" s="1"/>
  <c r="FS622" i="1" s="1"/>
  <c r="AW622" i="1"/>
  <c r="FP622" i="1" s="1"/>
  <c r="AU622" i="1"/>
  <c r="AS622" i="1"/>
  <c r="AQ622" i="1"/>
  <c r="AO622" i="1"/>
  <c r="FN622" i="1" s="1"/>
  <c r="AM622" i="1"/>
  <c r="AK622" i="1"/>
  <c r="AI622" i="1"/>
  <c r="AG622" i="1"/>
  <c r="AE622" i="1"/>
  <c r="AC622" i="1"/>
  <c r="AA622" i="1"/>
  <c r="Y622" i="1"/>
  <c r="W622" i="1"/>
  <c r="U622" i="1"/>
  <c r="GZ624" i="1"/>
  <c r="GY624" i="1"/>
  <c r="GZ623" i="1"/>
  <c r="GY623" i="1"/>
  <c r="GN622" i="1"/>
  <c r="GO622" i="1" s="1"/>
  <c r="GL622" i="1"/>
  <c r="GM622" i="1" s="1"/>
  <c r="GJ622" i="1"/>
  <c r="GK622" i="1" s="1"/>
  <c r="GH622" i="1"/>
  <c r="GI622" i="1" s="1"/>
  <c r="GF622" i="1"/>
  <c r="GG622" i="1" s="1"/>
  <c r="GD622" i="1"/>
  <c r="GE622" i="1" s="1"/>
  <c r="GB622" i="1"/>
  <c r="GC622" i="1" s="1"/>
  <c r="FZ622" i="1"/>
  <c r="GI621" i="1"/>
  <c r="GH621" i="1"/>
  <c r="GG621" i="1"/>
  <c r="GF621" i="1"/>
  <c r="GE621" i="1"/>
  <c r="GD621" i="1"/>
  <c r="GC621" i="1"/>
  <c r="GB621" i="1"/>
  <c r="GA621" i="1"/>
  <c r="FZ621" i="1"/>
  <c r="FH622" i="1"/>
  <c r="FI622" i="1" s="1"/>
  <c r="FG622" i="1"/>
  <c r="FJ621" i="1"/>
  <c r="FJ622" i="1" s="1"/>
  <c r="FH621" i="1"/>
  <c r="FI621" i="1" s="1"/>
  <c r="FG621" i="1"/>
  <c r="EM621" i="1"/>
  <c r="EK621" i="1"/>
  <c r="EL621" i="1" s="1"/>
  <c r="EI621" i="1"/>
  <c r="EJ621" i="1" s="1"/>
  <c r="EG621" i="1"/>
  <c r="EP621" i="1" s="1"/>
  <c r="EE621" i="1"/>
  <c r="EF621" i="1" s="1"/>
  <c r="EC621" i="1"/>
  <c r="ED621" i="1" s="1"/>
  <c r="EA621" i="1"/>
  <c r="DY621" i="1"/>
  <c r="DZ621" i="1" s="1"/>
  <c r="GF619" i="1"/>
  <c r="GG619" i="1" s="1"/>
  <c r="GD619" i="1"/>
  <c r="GE619" i="1" s="1"/>
  <c r="GB619" i="1"/>
  <c r="GC619" i="1" s="1"/>
  <c r="FZ619" i="1"/>
  <c r="GA619" i="1" s="1"/>
  <c r="FX619" i="1"/>
  <c r="FY619" i="1" s="1"/>
  <c r="FV619" i="1"/>
  <c r="FW619" i="1" s="1"/>
  <c r="FT619" i="1"/>
  <c r="FU619" i="1" s="1"/>
  <c r="FR619" i="1"/>
  <c r="FS619" i="1" s="1"/>
  <c r="FP619" i="1"/>
  <c r="FQ619" i="1" s="1"/>
  <c r="FN619" i="1"/>
  <c r="FO619" i="1" s="1"/>
  <c r="FL619" i="1"/>
  <c r="FM619" i="1" s="1"/>
  <c r="FJ619" i="1"/>
  <c r="FG619" i="1"/>
  <c r="FE619" i="1"/>
  <c r="FE618" i="1"/>
  <c r="FE617" i="1"/>
  <c r="FE616" i="1"/>
  <c r="EJ619" i="1"/>
  <c r="EI619" i="1"/>
  <c r="EK619" i="1" s="1"/>
  <c r="EH619" i="1"/>
  <c r="EG619" i="1"/>
  <c r="EF619" i="1"/>
  <c r="ED619" i="1"/>
  <c r="ED618" i="1"/>
  <c r="EB619" i="1"/>
  <c r="EB618" i="1"/>
  <c r="EB617" i="1"/>
  <c r="DZ619" i="1"/>
  <c r="DZ618" i="1"/>
  <c r="DX619" i="1"/>
  <c r="DX618" i="1"/>
  <c r="DX617" i="1"/>
  <c r="DV619" i="1"/>
  <c r="DV618" i="1"/>
  <c r="DT619" i="1"/>
  <c r="DT618" i="1"/>
  <c r="DT617" i="1"/>
  <c r="DR619" i="1"/>
  <c r="DR618" i="1"/>
  <c r="DP619" i="1"/>
  <c r="DP618" i="1"/>
  <c r="DP617" i="1"/>
  <c r="DN619" i="1"/>
  <c r="DN618" i="1"/>
  <c r="DL619" i="1"/>
  <c r="DL618" i="1"/>
  <c r="DL617" i="1"/>
  <c r="DJ619" i="1"/>
  <c r="DJ618" i="1"/>
  <c r="DH619" i="1"/>
  <c r="DH618" i="1"/>
  <c r="DH617" i="1"/>
  <c r="DF619" i="1"/>
  <c r="DF618" i="1"/>
  <c r="DD619" i="1"/>
  <c r="DD618" i="1"/>
  <c r="DD617" i="1"/>
  <c r="DB619" i="1"/>
  <c r="DB618" i="1"/>
  <c r="CZ619" i="1"/>
  <c r="CZ618" i="1"/>
  <c r="CZ617" i="1"/>
  <c r="CX619" i="1"/>
  <c r="CX618" i="1"/>
  <c r="CV619" i="1"/>
  <c r="CV618" i="1"/>
  <c r="CV617" i="1"/>
  <c r="CT619" i="1"/>
  <c r="CT618" i="1"/>
  <c r="CR619" i="1"/>
  <c r="CR618" i="1"/>
  <c r="CP619" i="1"/>
  <c r="CP618" i="1"/>
  <c r="CN619" i="1"/>
  <c r="CN618" i="1"/>
  <c r="CL619" i="1"/>
  <c r="CL618" i="1"/>
  <c r="CJ619" i="1"/>
  <c r="CJ618" i="1"/>
  <c r="CJ616" i="1"/>
  <c r="CH619" i="1"/>
  <c r="CH618" i="1"/>
  <c r="CH617" i="1"/>
  <c r="CH616" i="1"/>
  <c r="CF619" i="1"/>
  <c r="CF618" i="1"/>
  <c r="CF617" i="1"/>
  <c r="CF616" i="1"/>
  <c r="CD619" i="1"/>
  <c r="CD618" i="1"/>
  <c r="CD617" i="1"/>
  <c r="CD616" i="1"/>
  <c r="CB619" i="1"/>
  <c r="CB618" i="1"/>
  <c r="CB616" i="1"/>
  <c r="BZ619" i="1"/>
  <c r="BZ618" i="1"/>
  <c r="BZ616" i="1"/>
  <c r="BX619" i="1"/>
  <c r="BX618" i="1"/>
  <c r="BX617" i="1"/>
  <c r="BX616" i="1"/>
  <c r="BV619" i="1"/>
  <c r="BV618" i="1"/>
  <c r="BV617" i="1"/>
  <c r="BV616" i="1"/>
  <c r="BT619" i="1"/>
  <c r="BT618" i="1"/>
  <c r="BT616" i="1"/>
  <c r="BR619" i="1"/>
  <c r="BR618" i="1"/>
  <c r="BR616" i="1"/>
  <c r="BP619" i="1"/>
  <c r="BP618" i="1"/>
  <c r="BP616" i="1"/>
  <c r="BN619" i="1"/>
  <c r="BN618" i="1"/>
  <c r="BN617" i="1"/>
  <c r="BN616" i="1"/>
  <c r="BL619" i="1"/>
  <c r="BL618" i="1"/>
  <c r="BJ619" i="1"/>
  <c r="BJ618" i="1"/>
  <c r="BH619" i="1"/>
  <c r="BH618" i="1"/>
  <c r="GW618" i="1"/>
  <c r="GU618" i="1"/>
  <c r="GS618" i="1"/>
  <c r="GQ618" i="1"/>
  <c r="GO618" i="1"/>
  <c r="GM618" i="1"/>
  <c r="GK618" i="1"/>
  <c r="GI618" i="1"/>
  <c r="GG618" i="1"/>
  <c r="GE618" i="1"/>
  <c r="GC618" i="1"/>
  <c r="GA618" i="1"/>
  <c r="FZ618" i="1"/>
  <c r="FY618" i="1"/>
  <c r="FW618" i="1"/>
  <c r="FU618" i="1"/>
  <c r="FS618" i="1"/>
  <c r="FQ618" i="1"/>
  <c r="FO618" i="1"/>
  <c r="FM618" i="1"/>
  <c r="FH618" i="1"/>
  <c r="FG618" i="1"/>
  <c r="EX618" i="1"/>
  <c r="EV618" i="1"/>
  <c r="ET618" i="1"/>
  <c r="ER618" i="1"/>
  <c r="EP618" i="1"/>
  <c r="EN618" i="1"/>
  <c r="EL618" i="1"/>
  <c r="EJ618" i="1"/>
  <c r="EH618" i="1"/>
  <c r="EF618" i="1"/>
  <c r="AT618" i="1"/>
  <c r="AR618" i="1"/>
  <c r="AP618" i="1"/>
  <c r="R618" i="1"/>
  <c r="GZ618" i="1"/>
  <c r="GY618" i="1"/>
  <c r="FX617" i="1"/>
  <c r="FV617" i="1"/>
  <c r="FY617" i="1" s="1"/>
  <c r="FN617" i="1"/>
  <c r="FG617" i="1"/>
  <c r="EO617" i="1"/>
  <c r="EM617" i="1"/>
  <c r="EN617" i="1" s="1"/>
  <c r="EK617" i="1"/>
  <c r="EI617" i="1"/>
  <c r="EJ617" i="1" s="1"/>
  <c r="EG617" i="1"/>
  <c r="EE617" i="1"/>
  <c r="EF617" i="1" s="1"/>
  <c r="EC617" i="1"/>
  <c r="EA617" i="1"/>
  <c r="DY617" i="1"/>
  <c r="DW617" i="1"/>
  <c r="DU617" i="1"/>
  <c r="DS617" i="1"/>
  <c r="GJ617" i="1" s="1"/>
  <c r="DQ617" i="1"/>
  <c r="DO617" i="1"/>
  <c r="DM617" i="1"/>
  <c r="DK617" i="1"/>
  <c r="DI617" i="1"/>
  <c r="DG617" i="1"/>
  <c r="DE617" i="1"/>
  <c r="DC617" i="1"/>
  <c r="GF617" i="1" s="1"/>
  <c r="DA617" i="1"/>
  <c r="CY617" i="1"/>
  <c r="CW617" i="1"/>
  <c r="CU617" i="1"/>
  <c r="CS617" i="1"/>
  <c r="CT617" i="1" s="1"/>
  <c r="CQ617" i="1"/>
  <c r="CO617" i="1"/>
  <c r="CP617" i="1" s="1"/>
  <c r="CM617" i="1"/>
  <c r="GB617" i="1" s="1"/>
  <c r="CI617" i="1"/>
  <c r="CR617" i="1" s="1"/>
  <c r="CG617" i="1"/>
  <c r="CE617" i="1"/>
  <c r="CN617" i="1" s="1"/>
  <c r="CC617" i="1"/>
  <c r="CL617" i="1" s="1"/>
  <c r="CA617" i="1"/>
  <c r="BW617" i="1"/>
  <c r="BU617" i="1"/>
  <c r="BQ617" i="1"/>
  <c r="BZ617" i="1" s="1"/>
  <c r="BO617" i="1"/>
  <c r="BM617" i="1"/>
  <c r="BK617" i="1"/>
  <c r="BL617" i="1" s="1"/>
  <c r="BI617" i="1"/>
  <c r="BJ617" i="1" s="1"/>
  <c r="BG617" i="1"/>
  <c r="BH617" i="1" s="1"/>
  <c r="GA616" i="1"/>
  <c r="FZ616" i="1"/>
  <c r="FY616" i="1"/>
  <c r="FX616" i="1"/>
  <c r="FW616" i="1"/>
  <c r="FV616" i="1"/>
  <c r="FU616" i="1"/>
  <c r="FT616" i="1"/>
  <c r="FS616" i="1"/>
  <c r="FR616" i="1"/>
  <c r="FQ616" i="1"/>
  <c r="FP616" i="1"/>
  <c r="FO616" i="1"/>
  <c r="FN616" i="1"/>
  <c r="FM616" i="1"/>
  <c r="FL616" i="1"/>
  <c r="FJ616" i="1"/>
  <c r="FG616" i="1"/>
  <c r="EK616" i="1"/>
  <c r="EI616" i="1"/>
  <c r="EE616" i="1"/>
  <c r="EC616" i="1"/>
  <c r="EA616" i="1"/>
  <c r="DW616" i="1"/>
  <c r="DU616" i="1"/>
  <c r="DS616" i="1"/>
  <c r="DO616" i="1"/>
  <c r="DM616" i="1"/>
  <c r="DK616" i="1"/>
  <c r="DG616" i="1"/>
  <c r="DE616" i="1"/>
  <c r="DC616" i="1"/>
  <c r="CY616" i="1"/>
  <c r="CW616" i="1"/>
  <c r="CU616" i="1"/>
  <c r="CQ616" i="1"/>
  <c r="CR616" i="1" s="1"/>
  <c r="CO616" i="1"/>
  <c r="CP616" i="1" s="1"/>
  <c r="CM616" i="1"/>
  <c r="CL616" i="1"/>
  <c r="BL616" i="1"/>
  <c r="BJ616" i="1"/>
  <c r="BH616" i="1"/>
  <c r="AT616" i="1"/>
  <c r="AR616" i="1"/>
  <c r="AP616" i="1"/>
  <c r="R617" i="1"/>
  <c r="Q617" i="1"/>
  <c r="R616" i="1"/>
  <c r="Q616" i="1"/>
  <c r="FH616" i="1" s="1"/>
  <c r="FK616" i="1" s="1"/>
  <c r="EJ613" i="1"/>
  <c r="EI613" i="1"/>
  <c r="EH613" i="1"/>
  <c r="EG613" i="1"/>
  <c r="EE613" i="1"/>
  <c r="ED613" i="1"/>
  <c r="EC613" i="1"/>
  <c r="EB613" i="1"/>
  <c r="EA613" i="1"/>
  <c r="DZ613" i="1"/>
  <c r="DY613" i="1"/>
  <c r="DV613" i="1"/>
  <c r="DU613" i="1"/>
  <c r="DT613" i="1"/>
  <c r="DS613" i="1"/>
  <c r="DR613" i="1"/>
  <c r="DQ613" i="1"/>
  <c r="DP613" i="1"/>
  <c r="DO613" i="1"/>
  <c r="DN613" i="1"/>
  <c r="DM613" i="1"/>
  <c r="DL613" i="1"/>
  <c r="DK613" i="1"/>
  <c r="DJ613" i="1"/>
  <c r="DI613" i="1"/>
  <c r="DH613" i="1"/>
  <c r="DG613" i="1"/>
  <c r="DF613" i="1"/>
  <c r="DE613" i="1"/>
  <c r="DD613" i="1"/>
  <c r="DC613" i="1"/>
  <c r="DB613" i="1"/>
  <c r="DA613" i="1"/>
  <c r="CZ613" i="1"/>
  <c r="CY613" i="1"/>
  <c r="CX613" i="1"/>
  <c r="CW613" i="1"/>
  <c r="CV613" i="1"/>
  <c r="CU613" i="1"/>
  <c r="CT613" i="1"/>
  <c r="CS613" i="1"/>
  <c r="CR613" i="1"/>
  <c r="CQ613" i="1"/>
  <c r="CP613" i="1"/>
  <c r="CO613" i="1"/>
  <c r="CN613" i="1"/>
  <c r="CM613" i="1"/>
  <c r="CL613" i="1"/>
  <c r="CK613" i="1"/>
  <c r="CJ613" i="1"/>
  <c r="CI613" i="1"/>
  <c r="CH613" i="1"/>
  <c r="CG613" i="1"/>
  <c r="CF613" i="1"/>
  <c r="CE613" i="1"/>
  <c r="CD613" i="1"/>
  <c r="CC613" i="1"/>
  <c r="CB613" i="1"/>
  <c r="CA613" i="1"/>
  <c r="BZ613" i="1"/>
  <c r="BY613" i="1"/>
  <c r="BX613" i="1"/>
  <c r="BW613" i="1"/>
  <c r="BV613" i="1"/>
  <c r="BU613" i="1"/>
  <c r="BT613" i="1"/>
  <c r="BS613" i="1"/>
  <c r="BR613" i="1"/>
  <c r="BQ613" i="1"/>
  <c r="BP613" i="1"/>
  <c r="BO613" i="1"/>
  <c r="BN613" i="1"/>
  <c r="BM613" i="1"/>
  <c r="BL613" i="1"/>
  <c r="BK613" i="1"/>
  <c r="BJ613" i="1"/>
  <c r="BI613" i="1"/>
  <c r="BH613" i="1"/>
  <c r="BG613" i="1"/>
  <c r="BF613" i="1"/>
  <c r="BE613" i="1"/>
  <c r="BD613" i="1"/>
  <c r="BC613" i="1"/>
  <c r="BB613" i="1"/>
  <c r="BA613" i="1"/>
  <c r="AZ613" i="1"/>
  <c r="AY613" i="1"/>
  <c r="AX613" i="1"/>
  <c r="AW613" i="1"/>
  <c r="AV613" i="1"/>
  <c r="AU613" i="1"/>
  <c r="AT613" i="1"/>
  <c r="AS613" i="1"/>
  <c r="AR613" i="1"/>
  <c r="AQ613" i="1"/>
  <c r="AP613" i="1"/>
  <c r="AO613" i="1"/>
  <c r="AN613" i="1"/>
  <c r="AM613" i="1"/>
  <c r="AL613" i="1"/>
  <c r="AK613" i="1"/>
  <c r="AJ613" i="1"/>
  <c r="AI613" i="1"/>
  <c r="AH613" i="1"/>
  <c r="AG613" i="1"/>
  <c r="AF613" i="1"/>
  <c r="AE613" i="1"/>
  <c r="AD613" i="1"/>
  <c r="AC613" i="1"/>
  <c r="AB613" i="1"/>
  <c r="AA613" i="1"/>
  <c r="Z613" i="1"/>
  <c r="Y613" i="1"/>
  <c r="X613" i="1"/>
  <c r="W613" i="1"/>
  <c r="V613" i="1"/>
  <c r="U613" i="1"/>
  <c r="T613" i="1"/>
  <c r="S613" i="1"/>
  <c r="R613" i="1"/>
  <c r="Q613" i="1"/>
  <c r="P613" i="1"/>
  <c r="O613" i="1"/>
  <c r="N613" i="1"/>
  <c r="M613" i="1"/>
  <c r="L613" i="1"/>
  <c r="K613" i="1"/>
  <c r="GF613" i="1"/>
  <c r="GB613" i="1"/>
  <c r="FX613" i="1"/>
  <c r="FT613" i="1"/>
  <c r="FP613" i="1"/>
  <c r="FL613" i="1"/>
  <c r="FH613" i="1"/>
  <c r="GO611" i="1"/>
  <c r="GN611" i="1"/>
  <c r="GL611" i="1"/>
  <c r="GL613" i="1" s="1"/>
  <c r="GH611" i="1"/>
  <c r="GH613" i="1" s="1"/>
  <c r="GG611" i="1"/>
  <c r="GF611" i="1"/>
  <c r="GD611" i="1"/>
  <c r="GD613" i="1" s="1"/>
  <c r="GC611" i="1"/>
  <c r="GB611" i="1"/>
  <c r="FZ611" i="1"/>
  <c r="FZ613" i="1" s="1"/>
  <c r="FY611" i="1"/>
  <c r="FX611" i="1"/>
  <c r="FV611" i="1"/>
  <c r="FV613" i="1" s="1"/>
  <c r="FU611" i="1"/>
  <c r="FT611" i="1"/>
  <c r="FR611" i="1"/>
  <c r="FR613" i="1" s="1"/>
  <c r="FQ611" i="1"/>
  <c r="FP611" i="1"/>
  <c r="FN611" i="1"/>
  <c r="FN613" i="1" s="1"/>
  <c r="FM611" i="1"/>
  <c r="FL611" i="1"/>
  <c r="FJ611" i="1"/>
  <c r="FJ613" i="1" s="1"/>
  <c r="FI611" i="1"/>
  <c r="FH611" i="1"/>
  <c r="FF611" i="1"/>
  <c r="FF613" i="1" s="1"/>
  <c r="FE611" i="1"/>
  <c r="FD611" i="1"/>
  <c r="ES611" i="1"/>
  <c r="ER611" i="1"/>
  <c r="ET611" i="1" s="1"/>
  <c r="EV611" i="1" s="1"/>
  <c r="EP611" i="1"/>
  <c r="EN611" i="1"/>
  <c r="EL611" i="1"/>
  <c r="EJ611" i="1"/>
  <c r="EH611" i="1"/>
  <c r="ED611" i="1"/>
  <c r="EB611" i="1"/>
  <c r="DZ611" i="1"/>
  <c r="DW611" i="1"/>
  <c r="DV611" i="1"/>
  <c r="DT611" i="1"/>
  <c r="DR611" i="1"/>
  <c r="DP611" i="1"/>
  <c r="DN611" i="1"/>
  <c r="DL611" i="1"/>
  <c r="DJ611" i="1"/>
  <c r="DH611" i="1"/>
  <c r="DF611" i="1"/>
  <c r="DD611" i="1"/>
  <c r="DB611" i="1"/>
  <c r="CZ611" i="1"/>
  <c r="CX611" i="1"/>
  <c r="CV611" i="1"/>
  <c r="CT611" i="1"/>
  <c r="CR611" i="1"/>
  <c r="CP611" i="1"/>
  <c r="CN611" i="1"/>
  <c r="CL611" i="1"/>
  <c r="CJ611" i="1"/>
  <c r="CH611" i="1"/>
  <c r="CF611" i="1"/>
  <c r="CD611" i="1"/>
  <c r="CB611" i="1"/>
  <c r="BZ611" i="1"/>
  <c r="BX611" i="1"/>
  <c r="BV611" i="1"/>
  <c r="BT611" i="1"/>
  <c r="BR611" i="1"/>
  <c r="BP611" i="1"/>
  <c r="BN611" i="1"/>
  <c r="BL611" i="1"/>
  <c r="BJ611" i="1"/>
  <c r="BH611" i="1"/>
  <c r="BF611" i="1"/>
  <c r="BD611" i="1"/>
  <c r="BB611" i="1"/>
  <c r="AZ611" i="1"/>
  <c r="AX611" i="1"/>
  <c r="AV611" i="1"/>
  <c r="AT611" i="1"/>
  <c r="AR611" i="1"/>
  <c r="AP611" i="1"/>
  <c r="AN611" i="1"/>
  <c r="AL611" i="1"/>
  <c r="AJ611" i="1"/>
  <c r="AH611" i="1"/>
  <c r="AF611" i="1"/>
  <c r="AD611" i="1"/>
  <c r="AB611" i="1"/>
  <c r="Z611" i="1"/>
  <c r="X611" i="1"/>
  <c r="V611" i="1"/>
  <c r="T611" i="1"/>
  <c r="R611" i="1"/>
  <c r="P611" i="1"/>
  <c r="N611" i="1"/>
  <c r="L611" i="1"/>
  <c r="B596" i="1"/>
  <c r="B592" i="1"/>
  <c r="EW586" i="1"/>
  <c r="EU586" i="1"/>
  <c r="AQ586" i="1"/>
  <c r="AR586" i="1" s="1"/>
  <c r="AM586" i="1"/>
  <c r="AN586" i="1" s="1"/>
  <c r="AI586" i="1"/>
  <c r="AJ586" i="1" s="1"/>
  <c r="AH586" i="1"/>
  <c r="AG586" i="1"/>
  <c r="AE586" i="1"/>
  <c r="AF586" i="1" s="1"/>
  <c r="AD586" i="1"/>
  <c r="AC586" i="1"/>
  <c r="AA586" i="1"/>
  <c r="AB586" i="1" s="1"/>
  <c r="Z586" i="1"/>
  <c r="Y586" i="1"/>
  <c r="W586" i="1"/>
  <c r="X586" i="1" s="1"/>
  <c r="V586" i="1"/>
  <c r="U586" i="1"/>
  <c r="S586" i="1"/>
  <c r="T586" i="1" s="1"/>
  <c r="Q586" i="1"/>
  <c r="O586" i="1"/>
  <c r="P586" i="1" s="1"/>
  <c r="N586" i="1"/>
  <c r="M586" i="1"/>
  <c r="K586" i="1"/>
  <c r="L586" i="1" s="1"/>
  <c r="I586" i="1"/>
  <c r="R586" i="1" s="1"/>
  <c r="GP581" i="1"/>
  <c r="GN581" i="1"/>
  <c r="GL581" i="1"/>
  <c r="GJ581" i="1"/>
  <c r="GM581" i="1" s="1"/>
  <c r="DU581" i="1"/>
  <c r="DS581" i="1"/>
  <c r="DQ581" i="1"/>
  <c r="GH581" i="1" s="1"/>
  <c r="DO581" i="1"/>
  <c r="GF581" i="1" s="1"/>
  <c r="GG581" i="1" s="1"/>
  <c r="DM581" i="1"/>
  <c r="GD581" i="1" s="1"/>
  <c r="DK581" i="1"/>
  <c r="DI581" i="1"/>
  <c r="FZ581" i="1" s="1"/>
  <c r="DG581" i="1"/>
  <c r="FX581" i="1" s="1"/>
  <c r="FY581" i="1" s="1"/>
  <c r="DE581" i="1"/>
  <c r="FV581" i="1" s="1"/>
  <c r="DC581" i="1"/>
  <c r="DA581" i="1"/>
  <c r="FR581" i="1" s="1"/>
  <c r="CY581" i="1"/>
  <c r="FP581" i="1" s="1"/>
  <c r="FQ581" i="1" s="1"/>
  <c r="CW581" i="1"/>
  <c r="FN581" i="1" s="1"/>
  <c r="CU581" i="1"/>
  <c r="CS581" i="1"/>
  <c r="FJ581" i="1" s="1"/>
  <c r="CQ581" i="1"/>
  <c r="FH581" i="1" s="1"/>
  <c r="FI581" i="1" s="1"/>
  <c r="CO581" i="1"/>
  <c r="FF581" i="1" s="1"/>
  <c r="CM581" i="1"/>
  <c r="CK581" i="1"/>
  <c r="CI581" i="1"/>
  <c r="CG581" i="1"/>
  <c r="CE581" i="1"/>
  <c r="CC581" i="1"/>
  <c r="CA581" i="1"/>
  <c r="BY581" i="1"/>
  <c r="BW581" i="1"/>
  <c r="BS581" i="1"/>
  <c r="BQ581" i="1"/>
  <c r="BO581" i="1"/>
  <c r="BM581" i="1"/>
  <c r="BV581" i="1" s="1"/>
  <c r="BK581" i="1"/>
  <c r="BI581" i="1"/>
  <c r="BG581" i="1"/>
  <c r="BE581" i="1"/>
  <c r="BF581" i="1" s="1"/>
  <c r="GW581" i="1"/>
  <c r="GU581" i="1"/>
  <c r="GS581" i="1"/>
  <c r="GQ581" i="1"/>
  <c r="GO581" i="1"/>
  <c r="EX581" i="1"/>
  <c r="EV581" i="1"/>
  <c r="ET581" i="1"/>
  <c r="ER581" i="1"/>
  <c r="EP581" i="1"/>
  <c r="EN581" i="1"/>
  <c r="EL581" i="1"/>
  <c r="EJ581" i="1"/>
  <c r="EH581" i="1"/>
  <c r="EF581" i="1"/>
  <c r="ED581" i="1"/>
  <c r="EB581" i="1"/>
  <c r="DZ581" i="1"/>
  <c r="DX581" i="1"/>
  <c r="DV581" i="1"/>
  <c r="DT581" i="1"/>
  <c r="DR581" i="1"/>
  <c r="DP581" i="1"/>
  <c r="DN581" i="1"/>
  <c r="DL581" i="1"/>
  <c r="DJ581" i="1"/>
  <c r="DH581" i="1"/>
  <c r="DF581" i="1"/>
  <c r="DD581" i="1"/>
  <c r="DB581" i="1"/>
  <c r="CZ581" i="1"/>
  <c r="CX581" i="1"/>
  <c r="CV581" i="1"/>
  <c r="CT581" i="1"/>
  <c r="CR581" i="1"/>
  <c r="CP581" i="1"/>
  <c r="CN581" i="1"/>
  <c r="CL581" i="1"/>
  <c r="CJ581" i="1"/>
  <c r="CH581" i="1"/>
  <c r="CF581" i="1"/>
  <c r="CD581" i="1"/>
  <c r="CB581" i="1"/>
  <c r="BZ581" i="1"/>
  <c r="BX581" i="1"/>
  <c r="BT581" i="1"/>
  <c r="BR581" i="1"/>
  <c r="BP581" i="1"/>
  <c r="BL581" i="1"/>
  <c r="BJ581" i="1"/>
  <c r="BH581" i="1"/>
  <c r="BD581" i="1"/>
  <c r="BB581" i="1"/>
  <c r="AZ581" i="1"/>
  <c r="GZ581" i="1"/>
  <c r="GY581" i="1"/>
  <c r="AX581" i="1"/>
  <c r="AV581" i="1"/>
  <c r="AT581" i="1"/>
  <c r="AR581" i="1"/>
  <c r="AP581" i="1"/>
  <c r="AN581" i="1"/>
  <c r="AM581" i="1"/>
  <c r="AL581" i="1"/>
  <c r="AK581" i="1"/>
  <c r="AJ581" i="1"/>
  <c r="AI581" i="1"/>
  <c r="AH581" i="1"/>
  <c r="AF581" i="1"/>
  <c r="AD581" i="1"/>
  <c r="AB581" i="1"/>
  <c r="Z581" i="1"/>
  <c r="X581" i="1"/>
  <c r="V581" i="1"/>
  <c r="T581" i="1"/>
  <c r="R581" i="1"/>
  <c r="P581" i="1"/>
  <c r="N581" i="1"/>
  <c r="L581" i="1"/>
  <c r="GN576" i="1"/>
  <c r="GO576" i="1" s="1"/>
  <c r="GL576" i="1"/>
  <c r="GM576" i="1" s="1"/>
  <c r="GJ576" i="1"/>
  <c r="GK576" i="1" s="1"/>
  <c r="GH576" i="1"/>
  <c r="GI576" i="1" s="1"/>
  <c r="GF576" i="1"/>
  <c r="GG576" i="1" s="1"/>
  <c r="GD576" i="1"/>
  <c r="GE576" i="1" s="1"/>
  <c r="GB576" i="1"/>
  <c r="GC576" i="1" s="1"/>
  <c r="FZ576" i="1"/>
  <c r="GA576" i="1" s="1"/>
  <c r="FX576" i="1"/>
  <c r="FY576" i="1" s="1"/>
  <c r="FV576" i="1"/>
  <c r="FW576" i="1" s="1"/>
  <c r="FT576" i="1"/>
  <c r="FU576" i="1" s="1"/>
  <c r="FR576" i="1"/>
  <c r="FS576" i="1" s="1"/>
  <c r="FP576" i="1"/>
  <c r="FQ576" i="1" s="1"/>
  <c r="FN576" i="1"/>
  <c r="FO576" i="1" s="1"/>
  <c r="FL576" i="1"/>
  <c r="FM576" i="1" s="1"/>
  <c r="FJ576" i="1"/>
  <c r="FK576" i="1" s="1"/>
  <c r="FH576" i="1"/>
  <c r="FI576" i="1" s="1"/>
  <c r="FF576" i="1"/>
  <c r="FG576" i="1" s="1"/>
  <c r="FD576" i="1"/>
  <c r="FE576" i="1" s="1"/>
  <c r="EN576" i="1"/>
  <c r="EN573" i="1"/>
  <c r="EN571" i="1"/>
  <c r="EL576" i="1"/>
  <c r="EL573" i="1"/>
  <c r="EL571" i="1"/>
  <c r="EJ576" i="1"/>
  <c r="EJ573" i="1"/>
  <c r="EJ571" i="1"/>
  <c r="EH576" i="1"/>
  <c r="EH573" i="1"/>
  <c r="EH571" i="1"/>
  <c r="EF576" i="1"/>
  <c r="EF573" i="1"/>
  <c r="EF571" i="1"/>
  <c r="ED576" i="1"/>
  <c r="ED573" i="1"/>
  <c r="ED571" i="1"/>
  <c r="EB576" i="1"/>
  <c r="EB573" i="1"/>
  <c r="EB571" i="1"/>
  <c r="DZ576" i="1"/>
  <c r="DZ573" i="1"/>
  <c r="DZ571" i="1"/>
  <c r="DX576" i="1"/>
  <c r="DX573" i="1"/>
  <c r="DX571" i="1"/>
  <c r="DV576" i="1"/>
  <c r="DV573" i="1"/>
  <c r="DV571" i="1"/>
  <c r="DT576" i="1"/>
  <c r="DT573" i="1"/>
  <c r="DT571" i="1"/>
  <c r="DR576" i="1"/>
  <c r="DR573" i="1"/>
  <c r="DR572" i="1"/>
  <c r="DR571" i="1"/>
  <c r="DP576" i="1"/>
  <c r="DP573" i="1"/>
  <c r="DP572" i="1"/>
  <c r="DP571" i="1"/>
  <c r="DN576" i="1"/>
  <c r="DN573" i="1"/>
  <c r="DN572" i="1"/>
  <c r="DN571" i="1"/>
  <c r="DL576" i="1"/>
  <c r="DL573" i="1"/>
  <c r="DL572" i="1"/>
  <c r="DL571" i="1"/>
  <c r="DJ576" i="1"/>
  <c r="DJ573" i="1"/>
  <c r="DJ572" i="1"/>
  <c r="DJ571" i="1"/>
  <c r="DH576" i="1"/>
  <c r="DH573" i="1"/>
  <c r="DH572" i="1"/>
  <c r="DH571" i="1"/>
  <c r="DF576" i="1"/>
  <c r="DF573" i="1"/>
  <c r="DF572" i="1"/>
  <c r="DF571" i="1"/>
  <c r="DD576" i="1"/>
  <c r="DD573" i="1"/>
  <c r="DD572" i="1"/>
  <c r="DD571" i="1"/>
  <c r="DB576" i="1"/>
  <c r="DB573" i="1"/>
  <c r="DB572" i="1"/>
  <c r="DB571" i="1"/>
  <c r="CZ576" i="1"/>
  <c r="CZ573" i="1"/>
  <c r="CZ572" i="1"/>
  <c r="CZ571" i="1"/>
  <c r="CX576" i="1"/>
  <c r="CX573" i="1"/>
  <c r="CX572" i="1"/>
  <c r="CX571" i="1"/>
  <c r="CV576" i="1"/>
  <c r="CV573" i="1"/>
  <c r="CV572" i="1"/>
  <c r="CV571" i="1"/>
  <c r="CT576" i="1"/>
  <c r="CT573" i="1"/>
  <c r="CT572" i="1"/>
  <c r="CT571" i="1"/>
  <c r="CR576" i="1"/>
  <c r="CR573" i="1"/>
  <c r="CR572" i="1"/>
  <c r="CR571" i="1"/>
  <c r="CP576" i="1"/>
  <c r="CP573" i="1"/>
  <c r="CP572" i="1"/>
  <c r="CP571" i="1"/>
  <c r="CN576" i="1"/>
  <c r="CN573" i="1"/>
  <c r="CN572" i="1"/>
  <c r="CN571" i="1"/>
  <c r="CL576" i="1"/>
  <c r="CL573" i="1"/>
  <c r="CL572" i="1"/>
  <c r="CL571" i="1"/>
  <c r="CJ576" i="1"/>
  <c r="CJ573" i="1"/>
  <c r="CJ572" i="1"/>
  <c r="CJ571" i="1"/>
  <c r="CH576" i="1"/>
  <c r="CH573" i="1"/>
  <c r="CH572" i="1"/>
  <c r="CH571" i="1"/>
  <c r="CF576" i="1"/>
  <c r="CF573" i="1"/>
  <c r="CF572" i="1"/>
  <c r="CF571" i="1"/>
  <c r="CD576" i="1"/>
  <c r="CD573" i="1"/>
  <c r="CD572" i="1"/>
  <c r="CD571" i="1"/>
  <c r="CB576" i="1"/>
  <c r="CB573" i="1"/>
  <c r="CB572" i="1"/>
  <c r="CB571" i="1"/>
  <c r="BZ573" i="1"/>
  <c r="BZ572" i="1"/>
  <c r="BZ571" i="1"/>
  <c r="BX573" i="1"/>
  <c r="BX572" i="1"/>
  <c r="BX571" i="1"/>
  <c r="BV576" i="1"/>
  <c r="BU576" i="1"/>
  <c r="BT576" i="1"/>
  <c r="BQ576" i="1"/>
  <c r="BZ576" i="1" s="1"/>
  <c r="BO576" i="1"/>
  <c r="BX576" i="1" s="1"/>
  <c r="BN576" i="1"/>
  <c r="BL576" i="1"/>
  <c r="BL573" i="1"/>
  <c r="BL572" i="1"/>
  <c r="BL571" i="1"/>
  <c r="BJ576" i="1"/>
  <c r="BJ573" i="1"/>
  <c r="BJ572" i="1"/>
  <c r="BJ571" i="1"/>
  <c r="BH576" i="1"/>
  <c r="BH573" i="1"/>
  <c r="BH572" i="1"/>
  <c r="BH571" i="1"/>
  <c r="BF576" i="1"/>
  <c r="BF573" i="1"/>
  <c r="BF572" i="1"/>
  <c r="BF571" i="1"/>
  <c r="BD576" i="1"/>
  <c r="BD574" i="1"/>
  <c r="BD573" i="1"/>
  <c r="BD572" i="1"/>
  <c r="BD571" i="1"/>
  <c r="BB576" i="1"/>
  <c r="BB574" i="1"/>
  <c r="BB573" i="1"/>
  <c r="BB572" i="1"/>
  <c r="BB571" i="1"/>
  <c r="AZ576" i="1"/>
  <c r="AZ574" i="1"/>
  <c r="AZ573" i="1"/>
  <c r="AZ572" i="1"/>
  <c r="AZ571" i="1"/>
  <c r="AX576" i="1"/>
  <c r="AX574" i="1"/>
  <c r="AX573" i="1"/>
  <c r="AX572" i="1"/>
  <c r="AX571" i="1"/>
  <c r="AV576" i="1"/>
  <c r="AV573" i="1"/>
  <c r="AV572" i="1"/>
  <c r="AV571" i="1"/>
  <c r="AT576" i="1"/>
  <c r="AT573" i="1"/>
  <c r="AT572" i="1"/>
  <c r="AT571" i="1"/>
  <c r="AR576" i="1"/>
  <c r="AR574" i="1"/>
  <c r="AR573" i="1"/>
  <c r="AR572" i="1"/>
  <c r="AR571" i="1"/>
  <c r="AR570" i="1"/>
  <c r="AP576" i="1"/>
  <c r="AP574" i="1"/>
  <c r="AP573" i="1"/>
  <c r="AP572" i="1"/>
  <c r="AP571" i="1"/>
  <c r="AN576" i="1"/>
  <c r="AN573" i="1"/>
  <c r="AN572" i="1"/>
  <c r="AN571" i="1"/>
  <c r="AN570" i="1"/>
  <c r="AL576" i="1"/>
  <c r="AL573" i="1"/>
  <c r="AL572" i="1"/>
  <c r="AL571" i="1"/>
  <c r="AJ576" i="1"/>
  <c r="AJ574" i="1"/>
  <c r="AJ573" i="1"/>
  <c r="AJ572" i="1"/>
  <c r="AJ571" i="1"/>
  <c r="AJ570" i="1"/>
  <c r="AH576" i="1"/>
  <c r="AH574" i="1"/>
  <c r="AH573" i="1"/>
  <c r="AH572" i="1"/>
  <c r="AH571" i="1"/>
  <c r="AH570" i="1"/>
  <c r="AF576" i="1"/>
  <c r="AF574" i="1"/>
  <c r="AF573" i="1"/>
  <c r="AF572" i="1"/>
  <c r="AF571" i="1"/>
  <c r="AF570" i="1"/>
  <c r="AD576" i="1"/>
  <c r="AD574" i="1"/>
  <c r="AD573" i="1"/>
  <c r="AD572" i="1"/>
  <c r="AD571" i="1"/>
  <c r="AD570" i="1"/>
  <c r="AB576" i="1"/>
  <c r="AB574" i="1"/>
  <c r="AB573" i="1"/>
  <c r="AB572" i="1"/>
  <c r="AB571" i="1"/>
  <c r="AB570" i="1"/>
  <c r="Z576" i="1"/>
  <c r="Z574" i="1"/>
  <c r="Z573" i="1"/>
  <c r="Y575" i="1" s="1"/>
  <c r="Z572" i="1"/>
  <c r="Z571" i="1"/>
  <c r="Z570" i="1"/>
  <c r="X576" i="1"/>
  <c r="X574" i="1"/>
  <c r="X572" i="1"/>
  <c r="X571" i="1"/>
  <c r="X570" i="1"/>
  <c r="V576" i="1"/>
  <c r="V574" i="1"/>
  <c r="V573" i="1"/>
  <c r="V572" i="1"/>
  <c r="V571" i="1"/>
  <c r="V570" i="1"/>
  <c r="T576" i="1"/>
  <c r="T574" i="1"/>
  <c r="T573" i="1"/>
  <c r="T572" i="1"/>
  <c r="T571" i="1"/>
  <c r="T570" i="1"/>
  <c r="S575" i="1" s="1"/>
  <c r="R576" i="1"/>
  <c r="R574" i="1"/>
  <c r="R573" i="1"/>
  <c r="Q575" i="1" s="1"/>
  <c r="R572" i="1"/>
  <c r="R571" i="1"/>
  <c r="R570" i="1"/>
  <c r="P576" i="1"/>
  <c r="P574" i="1"/>
  <c r="P572" i="1"/>
  <c r="P571" i="1"/>
  <c r="P570" i="1"/>
  <c r="N576" i="1"/>
  <c r="N574" i="1"/>
  <c r="N573" i="1"/>
  <c r="N572" i="1"/>
  <c r="N571" i="1"/>
  <c r="N570" i="1"/>
  <c r="L574" i="1"/>
  <c r="FB575" i="1"/>
  <c r="FB577" i="1" s="1"/>
  <c r="EO574" i="1"/>
  <c r="EM574" i="1"/>
  <c r="EN574" i="1" s="1"/>
  <c r="EK574" i="1"/>
  <c r="EL574" i="1" s="1"/>
  <c r="EI574" i="1"/>
  <c r="EJ574" i="1" s="1"/>
  <c r="EG574" i="1"/>
  <c r="EH574" i="1" s="1"/>
  <c r="EE574" i="1"/>
  <c r="EF574" i="1" s="1"/>
  <c r="EC574" i="1"/>
  <c r="ED574" i="1" s="1"/>
  <c r="EA574" i="1"/>
  <c r="EB574" i="1" s="1"/>
  <c r="DY574" i="1"/>
  <c r="DZ574" i="1" s="1"/>
  <c r="DW574" i="1"/>
  <c r="DX574" i="1" s="1"/>
  <c r="DU574" i="1"/>
  <c r="DV574" i="1" s="1"/>
  <c r="DS574" i="1"/>
  <c r="DT574" i="1" s="1"/>
  <c r="DQ574" i="1"/>
  <c r="DR574" i="1" s="1"/>
  <c r="DO574" i="1"/>
  <c r="DP574" i="1" s="1"/>
  <c r="DM574" i="1"/>
  <c r="DN574" i="1" s="1"/>
  <c r="DK574" i="1"/>
  <c r="DL574" i="1" s="1"/>
  <c r="DI574" i="1"/>
  <c r="DJ574" i="1" s="1"/>
  <c r="DG574" i="1"/>
  <c r="DH574" i="1" s="1"/>
  <c r="DE574" i="1"/>
  <c r="DF574" i="1" s="1"/>
  <c r="DC574" i="1"/>
  <c r="DD574" i="1" s="1"/>
  <c r="DA574" i="1"/>
  <c r="DB574" i="1" s="1"/>
  <c r="CY574" i="1"/>
  <c r="CZ574" i="1" s="1"/>
  <c r="CW574" i="1"/>
  <c r="CX574" i="1" s="1"/>
  <c r="CU574" i="1"/>
  <c r="CV574" i="1" s="1"/>
  <c r="CS574" i="1"/>
  <c r="CT574" i="1" s="1"/>
  <c r="CQ574" i="1"/>
  <c r="CR574" i="1" s="1"/>
  <c r="CO574" i="1"/>
  <c r="CP574" i="1" s="1"/>
  <c r="CM574" i="1"/>
  <c r="CN574" i="1" s="1"/>
  <c r="CK574" i="1"/>
  <c r="CL574" i="1" s="1"/>
  <c r="CI575" i="1"/>
  <c r="CI577" i="1" s="1"/>
  <c r="CI574" i="1"/>
  <c r="CJ574" i="1" s="1"/>
  <c r="CG574" i="1"/>
  <c r="CH574" i="1" s="1"/>
  <c r="CE574" i="1"/>
  <c r="CF574" i="1" s="1"/>
  <c r="CC574" i="1"/>
  <c r="CD574" i="1" s="1"/>
  <c r="CA575" i="1"/>
  <c r="CA577" i="1" s="1"/>
  <c r="CA574" i="1"/>
  <c r="CB574" i="1" s="1"/>
  <c r="BY574" i="1"/>
  <c r="BZ574" i="1" s="1"/>
  <c r="BK575" i="1"/>
  <c r="BK577" i="1" s="1"/>
  <c r="BK574" i="1"/>
  <c r="BL574" i="1" s="1"/>
  <c r="BI574" i="1"/>
  <c r="BJ574" i="1" s="1"/>
  <c r="BG574" i="1"/>
  <c r="BH574" i="1" s="1"/>
  <c r="BE574" i="1"/>
  <c r="BF574" i="1" s="1"/>
  <c r="BC575" i="1"/>
  <c r="BC577" i="1" s="1"/>
  <c r="BD577" i="1" s="1"/>
  <c r="AU575" i="1"/>
  <c r="AU577" i="1" s="1"/>
  <c r="AQ575" i="1"/>
  <c r="AR575" i="1" s="1"/>
  <c r="AQ574" i="1"/>
  <c r="AM574" i="1"/>
  <c r="AV574" i="1" s="1"/>
  <c r="AK574" i="1"/>
  <c r="AT574" i="1" s="1"/>
  <c r="AI575" i="1"/>
  <c r="AJ575" i="1" s="1"/>
  <c r="AG575" i="1"/>
  <c r="AG577" i="1" s="1"/>
  <c r="AE575" i="1"/>
  <c r="AE577" i="1" s="1"/>
  <c r="AC575" i="1"/>
  <c r="AC577" i="1" s="1"/>
  <c r="AA575" i="1"/>
  <c r="AB575" i="1" s="1"/>
  <c r="U575" i="1"/>
  <c r="U577" i="1" s="1"/>
  <c r="M575" i="1"/>
  <c r="M577" i="1" s="1"/>
  <c r="N577" i="1" s="1"/>
  <c r="I575" i="1"/>
  <c r="I577" i="1" s="1"/>
  <c r="G575" i="1"/>
  <c r="G577" i="1" s="1"/>
  <c r="E575" i="1"/>
  <c r="E577" i="1" s="1"/>
  <c r="GW574" i="1"/>
  <c r="GW573" i="1"/>
  <c r="GW572" i="1"/>
  <c r="GW571" i="1"/>
  <c r="GU574" i="1"/>
  <c r="GU573" i="1"/>
  <c r="GU572" i="1"/>
  <c r="GU571" i="1"/>
  <c r="EP576" i="1"/>
  <c r="ER574" i="1"/>
  <c r="EQ574" i="1"/>
  <c r="ES574" i="1" s="1"/>
  <c r="EP574" i="1"/>
  <c r="BW574" i="1"/>
  <c r="BX574" i="1" s="1"/>
  <c r="BU574" i="1"/>
  <c r="BV574" i="1" s="1"/>
  <c r="BS574" i="1"/>
  <c r="BT574" i="1" s="1"/>
  <c r="BQ574" i="1"/>
  <c r="BR574" i="1" s="1"/>
  <c r="BO574" i="1"/>
  <c r="BP574" i="1" s="1"/>
  <c r="BM574" i="1"/>
  <c r="BN574" i="1" s="1"/>
  <c r="EX573" i="1"/>
  <c r="EX571" i="1"/>
  <c r="EV573" i="1"/>
  <c r="EV571" i="1"/>
  <c r="ET573" i="1"/>
  <c r="ET571" i="1"/>
  <c r="ET570" i="1"/>
  <c r="ER573" i="1"/>
  <c r="ER571" i="1"/>
  <c r="EP573" i="1"/>
  <c r="EP571" i="1"/>
  <c r="EP570" i="1"/>
  <c r="BV573" i="1"/>
  <c r="BV572" i="1"/>
  <c r="BV571" i="1"/>
  <c r="BV570" i="1"/>
  <c r="BT573" i="1"/>
  <c r="BT572" i="1"/>
  <c r="BT571" i="1"/>
  <c r="BT570" i="1"/>
  <c r="BR573" i="1"/>
  <c r="BR572" i="1"/>
  <c r="BR571" i="1"/>
  <c r="BR570" i="1"/>
  <c r="BP573" i="1"/>
  <c r="BP572" i="1"/>
  <c r="BP571" i="1"/>
  <c r="BN573" i="1"/>
  <c r="BN572" i="1"/>
  <c r="BN571" i="1"/>
  <c r="BN570" i="1"/>
  <c r="O573" i="1"/>
  <c r="X573" i="1" s="1"/>
  <c r="O572" i="1"/>
  <c r="EO572" i="1"/>
  <c r="EX572" i="1" s="1"/>
  <c r="EM572" i="1"/>
  <c r="EV572" i="1" s="1"/>
  <c r="EK572" i="1"/>
  <c r="EL572" i="1" s="1"/>
  <c r="EI572" i="1"/>
  <c r="ER572" i="1" s="1"/>
  <c r="EG572" i="1"/>
  <c r="EH572" i="1" s="1"/>
  <c r="EE572" i="1"/>
  <c r="EF572" i="1" s="1"/>
  <c r="EC572" i="1"/>
  <c r="ED572" i="1" s="1"/>
  <c r="EA572" i="1"/>
  <c r="EB572" i="1" s="1"/>
  <c r="DY572" i="1"/>
  <c r="DZ572" i="1" s="1"/>
  <c r="DW572" i="1"/>
  <c r="GJ572" i="1" s="1"/>
  <c r="GK572" i="1" s="1"/>
  <c r="DU572" i="1"/>
  <c r="DV572" i="1" s="1"/>
  <c r="DS572" i="1"/>
  <c r="DT572" i="1" s="1"/>
  <c r="GN574" i="1"/>
  <c r="GO574" i="1" s="1"/>
  <c r="GL574" i="1"/>
  <c r="GM574" i="1" s="1"/>
  <c r="GJ574" i="1"/>
  <c r="GK574" i="1" s="1"/>
  <c r="GH574" i="1"/>
  <c r="GI574" i="1" s="1"/>
  <c r="GF574" i="1"/>
  <c r="GG574" i="1" s="1"/>
  <c r="GD574" i="1"/>
  <c r="GE574" i="1" s="1"/>
  <c r="GB574" i="1"/>
  <c r="GC574" i="1" s="1"/>
  <c r="FZ574" i="1"/>
  <c r="GA574" i="1" s="1"/>
  <c r="FX574" i="1"/>
  <c r="FY574" i="1" s="1"/>
  <c r="FV574" i="1"/>
  <c r="FW574" i="1" s="1"/>
  <c r="FT574" i="1"/>
  <c r="FU574" i="1" s="1"/>
  <c r="FR574" i="1"/>
  <c r="FS574" i="1" s="1"/>
  <c r="FP574" i="1"/>
  <c r="FQ574" i="1" s="1"/>
  <c r="FN574" i="1"/>
  <c r="FO574" i="1" s="1"/>
  <c r="FL574" i="1"/>
  <c r="FM574" i="1" s="1"/>
  <c r="FJ574" i="1"/>
  <c r="FK574" i="1" s="1"/>
  <c r="FH574" i="1"/>
  <c r="FI574" i="1" s="1"/>
  <c r="FF574" i="1"/>
  <c r="FG574" i="1" s="1"/>
  <c r="FD574" i="1"/>
  <c r="FE574" i="1" s="1"/>
  <c r="GP573" i="1"/>
  <c r="GQ573" i="1" s="1"/>
  <c r="GN573" i="1"/>
  <c r="GO573" i="1" s="1"/>
  <c r="GL573" i="1"/>
  <c r="GM573" i="1" s="1"/>
  <c r="GJ573" i="1"/>
  <c r="GK573" i="1" s="1"/>
  <c r="GH573" i="1"/>
  <c r="GI573" i="1" s="1"/>
  <c r="GF573" i="1"/>
  <c r="GG573" i="1" s="1"/>
  <c r="GD573" i="1"/>
  <c r="GE573" i="1" s="1"/>
  <c r="GB573" i="1"/>
  <c r="GC573" i="1" s="1"/>
  <c r="FZ573" i="1"/>
  <c r="GA573" i="1" s="1"/>
  <c r="FX573" i="1"/>
  <c r="FY573" i="1" s="1"/>
  <c r="FV573" i="1"/>
  <c r="FW573" i="1" s="1"/>
  <c r="FT573" i="1"/>
  <c r="FU573" i="1" s="1"/>
  <c r="FR573" i="1"/>
  <c r="FS573" i="1" s="1"/>
  <c r="FP573" i="1"/>
  <c r="FQ573" i="1" s="1"/>
  <c r="FN573" i="1"/>
  <c r="FO573" i="1" s="1"/>
  <c r="FL573" i="1"/>
  <c r="FM573" i="1" s="1"/>
  <c r="FJ573" i="1"/>
  <c r="FK573" i="1" s="1"/>
  <c r="FH573" i="1"/>
  <c r="FI573" i="1" s="1"/>
  <c r="FF573" i="1"/>
  <c r="C573" i="1" s="1"/>
  <c r="L573" i="1" s="1"/>
  <c r="FD573" i="1"/>
  <c r="FE573" i="1" s="1"/>
  <c r="GP572" i="1"/>
  <c r="GL572" i="1"/>
  <c r="GH572" i="1"/>
  <c r="GI572" i="1" s="1"/>
  <c r="GF572" i="1"/>
  <c r="GG572" i="1" s="1"/>
  <c r="GD572" i="1"/>
  <c r="GE572" i="1" s="1"/>
  <c r="GB572" i="1"/>
  <c r="GC572" i="1" s="1"/>
  <c r="FZ572" i="1"/>
  <c r="GA572" i="1" s="1"/>
  <c r="FX572" i="1"/>
  <c r="FY572" i="1" s="1"/>
  <c r="FV572" i="1"/>
  <c r="FW572" i="1" s="1"/>
  <c r="FT572" i="1"/>
  <c r="FU572" i="1" s="1"/>
  <c r="FR572" i="1"/>
  <c r="FS572" i="1" s="1"/>
  <c r="FP572" i="1"/>
  <c r="FQ572" i="1" s="1"/>
  <c r="FN572" i="1"/>
  <c r="FO572" i="1" s="1"/>
  <c r="FL572" i="1"/>
  <c r="FM572" i="1" s="1"/>
  <c r="FJ572" i="1"/>
  <c r="FK572" i="1" s="1"/>
  <c r="FH572" i="1"/>
  <c r="FI572" i="1" s="1"/>
  <c r="FF572" i="1"/>
  <c r="FG572" i="1" s="1"/>
  <c r="FD572" i="1"/>
  <c r="FE572" i="1" s="1"/>
  <c r="GP571" i="1"/>
  <c r="GS571" i="1" s="1"/>
  <c r="GN571" i="1"/>
  <c r="GO571" i="1" s="1"/>
  <c r="GL571" i="1"/>
  <c r="GM571" i="1" s="1"/>
  <c r="GJ571" i="1"/>
  <c r="GK571" i="1" s="1"/>
  <c r="GH571" i="1"/>
  <c r="GI571" i="1" s="1"/>
  <c r="GF571" i="1"/>
  <c r="GG571" i="1" s="1"/>
  <c r="GD571" i="1"/>
  <c r="GE571" i="1" s="1"/>
  <c r="GB571" i="1"/>
  <c r="GC571" i="1" s="1"/>
  <c r="FZ571" i="1"/>
  <c r="GA571" i="1" s="1"/>
  <c r="FX571" i="1"/>
  <c r="FY571" i="1" s="1"/>
  <c r="FV571" i="1"/>
  <c r="FW571" i="1" s="1"/>
  <c r="FT571" i="1"/>
  <c r="FU571" i="1" s="1"/>
  <c r="FR571" i="1"/>
  <c r="FS571" i="1" s="1"/>
  <c r="FP571" i="1"/>
  <c r="FQ571" i="1" s="1"/>
  <c r="FN571" i="1"/>
  <c r="FO571" i="1" s="1"/>
  <c r="FL571" i="1"/>
  <c r="FM571" i="1" s="1"/>
  <c r="FJ571" i="1"/>
  <c r="FK571" i="1" s="1"/>
  <c r="FH571" i="1"/>
  <c r="FI571" i="1" s="1"/>
  <c r="FF571" i="1"/>
  <c r="FG571" i="1" s="1"/>
  <c r="FD571" i="1"/>
  <c r="FE571" i="1" s="1"/>
  <c r="GZ574" i="1"/>
  <c r="GY574" i="1"/>
  <c r="GZ573" i="1"/>
  <c r="GY573" i="1"/>
  <c r="GY572" i="1"/>
  <c r="GY571" i="1"/>
  <c r="ES570" i="1"/>
  <c r="ES575" i="1" s="1"/>
  <c r="EQ570" i="1"/>
  <c r="EO570" i="1"/>
  <c r="EO575" i="1" s="1"/>
  <c r="EM570" i="1"/>
  <c r="EK570" i="1"/>
  <c r="EK575" i="1" s="1"/>
  <c r="EI570" i="1"/>
  <c r="EJ570" i="1" s="1"/>
  <c r="EG570" i="1"/>
  <c r="EE570" i="1"/>
  <c r="EC570" i="1"/>
  <c r="EC575" i="1" s="1"/>
  <c r="EA570" i="1"/>
  <c r="GL570" i="1" s="1"/>
  <c r="DY570" i="1"/>
  <c r="DZ570" i="1" s="1"/>
  <c r="DW570" i="1"/>
  <c r="DU570" i="1"/>
  <c r="DU575" i="1" s="1"/>
  <c r="DS570" i="1"/>
  <c r="GH570" i="1" s="1"/>
  <c r="DQ570" i="1"/>
  <c r="DO570" i="1"/>
  <c r="GD570" i="1" s="1"/>
  <c r="DM570" i="1"/>
  <c r="DM575" i="1" s="1"/>
  <c r="DK570" i="1"/>
  <c r="FZ570" i="1" s="1"/>
  <c r="DI570" i="1"/>
  <c r="DJ570" i="1" s="1"/>
  <c r="DG570" i="1"/>
  <c r="DE570" i="1"/>
  <c r="DE575" i="1" s="1"/>
  <c r="DC570" i="1"/>
  <c r="FR570" i="1" s="1"/>
  <c r="DA570" i="1"/>
  <c r="CY570" i="1"/>
  <c r="FN570" i="1" s="1"/>
  <c r="CW570" i="1"/>
  <c r="CW575" i="1" s="1"/>
  <c r="CU570" i="1"/>
  <c r="FJ570" i="1" s="1"/>
  <c r="CS570" i="1"/>
  <c r="CT570" i="1" s="1"/>
  <c r="CQ570" i="1"/>
  <c r="CO570" i="1"/>
  <c r="CO575" i="1" s="1"/>
  <c r="CM570" i="1"/>
  <c r="CM586" i="1" s="1"/>
  <c r="CK570" i="1"/>
  <c r="CI570" i="1"/>
  <c r="CI586" i="1" s="1"/>
  <c r="CG570" i="1"/>
  <c r="CG575" i="1" s="1"/>
  <c r="CE570" i="1"/>
  <c r="CC570" i="1"/>
  <c r="CD570" i="1" s="1"/>
  <c r="CA570" i="1"/>
  <c r="BY570" i="1"/>
  <c r="BY575" i="1" s="1"/>
  <c r="BW570" i="1"/>
  <c r="BW586" i="1" s="1"/>
  <c r="BU570" i="1"/>
  <c r="BS570" i="1"/>
  <c r="BS586" i="1" s="1"/>
  <c r="BQ570" i="1"/>
  <c r="BO570" i="1"/>
  <c r="BM570" i="1"/>
  <c r="BK570" i="1"/>
  <c r="BI570" i="1"/>
  <c r="BI575" i="1" s="1"/>
  <c r="BG570" i="1"/>
  <c r="BG586" i="1" s="1"/>
  <c r="BE570" i="1"/>
  <c r="BC570" i="1"/>
  <c r="BD570" i="1" s="1"/>
  <c r="BA570" i="1"/>
  <c r="AY570" i="1"/>
  <c r="AY575" i="1" s="1"/>
  <c r="AW570" i="1"/>
  <c r="AX570" i="1" s="1"/>
  <c r="AU570" i="1"/>
  <c r="AS570" i="1"/>
  <c r="AO570" i="1"/>
  <c r="AK570" i="1"/>
  <c r="AK575" i="1" s="1"/>
  <c r="FV563" i="1"/>
  <c r="FT563" i="1"/>
  <c r="FR563" i="1"/>
  <c r="FP563" i="1"/>
  <c r="FN563" i="1"/>
  <c r="FL563" i="1"/>
  <c r="FJ563" i="1"/>
  <c r="FH563" i="1"/>
  <c r="FF563" i="1"/>
  <c r="FD563" i="1"/>
  <c r="DI563" i="1"/>
  <c r="EW563" i="1"/>
  <c r="EV563" i="1"/>
  <c r="EU563" i="1"/>
  <c r="ES563" i="1"/>
  <c r="ER563" i="1"/>
  <c r="EQ563" i="1"/>
  <c r="EM563" i="1"/>
  <c r="EI563" i="1"/>
  <c r="EG563" i="1"/>
  <c r="DX563" i="1"/>
  <c r="DW563" i="1"/>
  <c r="DU563" i="1"/>
  <c r="DQ563" i="1"/>
  <c r="DR563" i="1" s="1"/>
  <c r="DO563" i="1"/>
  <c r="FP550" i="1"/>
  <c r="FN550" i="1"/>
  <c r="FL550" i="1"/>
  <c r="FJ550" i="1"/>
  <c r="FH550" i="1"/>
  <c r="FF550" i="1"/>
  <c r="FD550" i="1"/>
  <c r="EQ551" i="1"/>
  <c r="EN550" i="1"/>
  <c r="EL550" i="1"/>
  <c r="EJ550" i="1"/>
  <c r="EH550" i="1"/>
  <c r="EF550" i="1"/>
  <c r="ED550" i="1"/>
  <c r="EB550" i="1"/>
  <c r="DZ550" i="1"/>
  <c r="DX550" i="1"/>
  <c r="DV550" i="1"/>
  <c r="DT550" i="1"/>
  <c r="DR550" i="1"/>
  <c r="DP550" i="1"/>
  <c r="DN550" i="1"/>
  <c r="DL550" i="1"/>
  <c r="DJ550" i="1"/>
  <c r="DH550" i="1"/>
  <c r="DF550" i="1"/>
  <c r="DD550" i="1"/>
  <c r="DB550" i="1"/>
  <c r="CZ550" i="1"/>
  <c r="CX550" i="1"/>
  <c r="CV550" i="1"/>
  <c r="CR550" i="1"/>
  <c r="CN550" i="1"/>
  <c r="CK550" i="1"/>
  <c r="CT550" i="1" s="1"/>
  <c r="CJ550" i="1"/>
  <c r="CI550" i="1"/>
  <c r="CG550" i="1"/>
  <c r="CP550" i="1" s="1"/>
  <c r="CF550" i="1"/>
  <c r="CE550" i="1"/>
  <c r="CD550" i="1"/>
  <c r="CB550" i="1"/>
  <c r="BZ550" i="1"/>
  <c r="BX550" i="1"/>
  <c r="BV550" i="1"/>
  <c r="BT550" i="1"/>
  <c r="BR550" i="1"/>
  <c r="BP550" i="1"/>
  <c r="BN550" i="1"/>
  <c r="BL550" i="1"/>
  <c r="BJ550" i="1"/>
  <c r="BH550" i="1"/>
  <c r="BF550" i="1"/>
  <c r="BD550" i="1"/>
  <c r="BB550" i="1"/>
  <c r="AZ550" i="1"/>
  <c r="GN550" i="1"/>
  <c r="GO550" i="1" s="1"/>
  <c r="GL550" i="1"/>
  <c r="GM550" i="1" s="1"/>
  <c r="GJ550" i="1"/>
  <c r="GI550" i="1"/>
  <c r="GH550" i="1"/>
  <c r="GF550" i="1"/>
  <c r="GD550" i="1"/>
  <c r="GB550" i="1"/>
  <c r="GC550" i="1" s="1"/>
  <c r="FZ550" i="1"/>
  <c r="FX550" i="1"/>
  <c r="FY550" i="1" s="1"/>
  <c r="FV550" i="1"/>
  <c r="FW550" i="1" s="1"/>
  <c r="FT550" i="1"/>
  <c r="FS550" i="1"/>
  <c r="FR550" i="1"/>
  <c r="EP550" i="1"/>
  <c r="R546" i="1"/>
  <c r="P546" i="1"/>
  <c r="P545" i="1"/>
  <c r="N546" i="1"/>
  <c r="N545" i="1"/>
  <c r="L546" i="1"/>
  <c r="L545" i="1"/>
  <c r="GN545" i="1"/>
  <c r="GN824" i="1" s="1"/>
  <c r="GL545" i="1"/>
  <c r="GL824" i="1" s="1"/>
  <c r="GJ545" i="1"/>
  <c r="GJ824" i="1" s="1"/>
  <c r="GH545" i="1"/>
  <c r="GH824" i="1" s="1"/>
  <c r="GF545" i="1"/>
  <c r="GF824" i="1" s="1"/>
  <c r="GD545" i="1"/>
  <c r="GD824" i="1" s="1"/>
  <c r="GB545" i="1"/>
  <c r="GB824" i="1" s="1"/>
  <c r="FZ545" i="1"/>
  <c r="FZ824" i="1" s="1"/>
  <c r="FX545" i="1"/>
  <c r="FX824" i="1" s="1"/>
  <c r="FV545" i="1"/>
  <c r="FV824" i="1" s="1"/>
  <c r="FT545" i="1"/>
  <c r="FT824" i="1" s="1"/>
  <c r="FJ545" i="1"/>
  <c r="FJ824" i="1" s="1"/>
  <c r="FH545" i="1"/>
  <c r="FH824" i="1" s="1"/>
  <c r="FF545" i="1"/>
  <c r="FF824" i="1" s="1"/>
  <c r="FD545" i="1"/>
  <c r="FD824" i="1" s="1"/>
  <c r="ES545" i="1"/>
  <c r="ES824" i="1" s="1"/>
  <c r="EQ545" i="1"/>
  <c r="EQ824" i="1" s="1"/>
  <c r="EP545" i="1"/>
  <c r="EN545" i="1"/>
  <c r="EL545" i="1"/>
  <c r="EJ545" i="1"/>
  <c r="EH545" i="1"/>
  <c r="EF545" i="1"/>
  <c r="ED545" i="1"/>
  <c r="EB545" i="1"/>
  <c r="DZ545" i="1"/>
  <c r="DX545" i="1"/>
  <c r="DV545" i="1"/>
  <c r="DT545" i="1"/>
  <c r="DR545" i="1"/>
  <c r="DP545" i="1"/>
  <c r="DN545" i="1"/>
  <c r="DL545" i="1"/>
  <c r="DH545" i="1"/>
  <c r="DD545" i="1"/>
  <c r="DA545" i="1"/>
  <c r="DA824" i="1" s="1"/>
  <c r="CZ545" i="1"/>
  <c r="CX545" i="1"/>
  <c r="CW545" i="1"/>
  <c r="CW824" i="1" s="1"/>
  <c r="CV545" i="1"/>
  <c r="CU545" i="1"/>
  <c r="CU824" i="1" s="1"/>
  <c r="CS545" i="1"/>
  <c r="CS824" i="1" s="1"/>
  <c r="CR545" i="1"/>
  <c r="CK545" i="1"/>
  <c r="CK824" i="1" s="1"/>
  <c r="CI545" i="1"/>
  <c r="CI824" i="1" s="1"/>
  <c r="CG545" i="1"/>
  <c r="CG824" i="1" s="1"/>
  <c r="CE545" i="1"/>
  <c r="CE824" i="1" s="1"/>
  <c r="CD545" i="1"/>
  <c r="CB545" i="1"/>
  <c r="BZ545" i="1"/>
  <c r="BX545" i="1"/>
  <c r="BV545" i="1"/>
  <c r="BT545" i="1"/>
  <c r="BR545" i="1"/>
  <c r="BP545" i="1"/>
  <c r="BN545" i="1"/>
  <c r="BL545" i="1"/>
  <c r="BJ545" i="1"/>
  <c r="BH545" i="1"/>
  <c r="BF545" i="1"/>
  <c r="BD545" i="1"/>
  <c r="BB545" i="1"/>
  <c r="AZ545" i="1"/>
  <c r="AX545" i="1"/>
  <c r="AV545" i="1"/>
  <c r="AT545" i="1"/>
  <c r="AR545" i="1"/>
  <c r="AP545" i="1"/>
  <c r="AN545" i="1"/>
  <c r="AL545" i="1"/>
  <c r="AJ545" i="1"/>
  <c r="AH545" i="1"/>
  <c r="AF545" i="1"/>
  <c r="AD545" i="1"/>
  <c r="AB545" i="1"/>
  <c r="Z545" i="1"/>
  <c r="X545" i="1"/>
  <c r="V545" i="1"/>
  <c r="T545" i="1"/>
  <c r="R545" i="1"/>
  <c r="EX541" i="1"/>
  <c r="EV541" i="1"/>
  <c r="ET541" i="1"/>
  <c r="ER541" i="1"/>
  <c r="EP541" i="1"/>
  <c r="GH537" i="1"/>
  <c r="GH542" i="1" s="1"/>
  <c r="GD537" i="1"/>
  <c r="GD542" i="1" s="1"/>
  <c r="FZ537" i="1"/>
  <c r="FZ542" i="1" s="1"/>
  <c r="FV537" i="1"/>
  <c r="FV542" i="1" s="1"/>
  <c r="FR537" i="1"/>
  <c r="FR542" i="1" s="1"/>
  <c r="FN537" i="1"/>
  <c r="FN542" i="1" s="1"/>
  <c r="I537" i="1"/>
  <c r="G537" i="1"/>
  <c r="E537" i="1"/>
  <c r="C537" i="1"/>
  <c r="ES538" i="1"/>
  <c r="EO537" i="1"/>
  <c r="EO542" i="1" s="1"/>
  <c r="EF537" i="1"/>
  <c r="EE537" i="1"/>
  <c r="ED537" i="1"/>
  <c r="EC537" i="1"/>
  <c r="EB537" i="1"/>
  <c r="EA537" i="1"/>
  <c r="DZ537" i="1"/>
  <c r="DY537" i="1"/>
  <c r="DX537" i="1"/>
  <c r="DW537" i="1"/>
  <c r="DV537" i="1"/>
  <c r="DU537" i="1"/>
  <c r="DT537" i="1"/>
  <c r="DS537" i="1"/>
  <c r="GJ537" i="1" s="1"/>
  <c r="DR537" i="1"/>
  <c r="DQ537" i="1"/>
  <c r="DP537" i="1"/>
  <c r="DO537" i="1"/>
  <c r="GF537" i="1" s="1"/>
  <c r="DN537" i="1"/>
  <c r="DM537" i="1"/>
  <c r="DL537" i="1"/>
  <c r="DK537" i="1"/>
  <c r="GB537" i="1" s="1"/>
  <c r="DJ537" i="1"/>
  <c r="DI537" i="1"/>
  <c r="DH537" i="1"/>
  <c r="DG537" i="1"/>
  <c r="FX537" i="1" s="1"/>
  <c r="DF537" i="1"/>
  <c r="DE537" i="1"/>
  <c r="DD537" i="1"/>
  <c r="DC537" i="1"/>
  <c r="FT537" i="1" s="1"/>
  <c r="DA537" i="1"/>
  <c r="CZ537" i="1"/>
  <c r="CY537" i="1"/>
  <c r="FP537" i="1" s="1"/>
  <c r="CX537" i="1"/>
  <c r="CW537" i="1"/>
  <c r="CV537" i="1"/>
  <c r="CU537" i="1"/>
  <c r="FL537" i="1" s="1"/>
  <c r="CR537" i="1"/>
  <c r="CQ537" i="1"/>
  <c r="CP537" i="1"/>
  <c r="CO537" i="1"/>
  <c r="CN537" i="1"/>
  <c r="CM537" i="1"/>
  <c r="CL537" i="1"/>
  <c r="CK537" i="1"/>
  <c r="CJ537" i="1"/>
  <c r="CI537" i="1"/>
  <c r="CH537" i="1"/>
  <c r="CG537" i="1"/>
  <c r="CF537" i="1"/>
  <c r="CE537" i="1"/>
  <c r="CD537" i="1"/>
  <c r="CC537" i="1"/>
  <c r="CB537" i="1"/>
  <c r="CA537" i="1"/>
  <c r="BZ537" i="1"/>
  <c r="BY537" i="1"/>
  <c r="BX537" i="1"/>
  <c r="BW537" i="1"/>
  <c r="BV537" i="1"/>
  <c r="BU537" i="1"/>
  <c r="BT537" i="1"/>
  <c r="BS537" i="1"/>
  <c r="BR537" i="1"/>
  <c r="BQ537" i="1"/>
  <c r="BP537" i="1"/>
  <c r="BO537" i="1"/>
  <c r="BN537" i="1"/>
  <c r="BM537" i="1"/>
  <c r="BL537" i="1"/>
  <c r="BK537" i="1"/>
  <c r="BJ537" i="1"/>
  <c r="BI537" i="1"/>
  <c r="BH537" i="1"/>
  <c r="BG537" i="1"/>
  <c r="BF537" i="1"/>
  <c r="BE537" i="1"/>
  <c r="BD537" i="1"/>
  <c r="BC537" i="1"/>
  <c r="BB537" i="1"/>
  <c r="BA537" i="1"/>
  <c r="AZ537" i="1"/>
  <c r="AY537" i="1"/>
  <c r="AX537" i="1"/>
  <c r="AW537" i="1"/>
  <c r="AV537" i="1"/>
  <c r="AU537" i="1"/>
  <c r="AT537" i="1"/>
  <c r="AS537" i="1"/>
  <c r="AR537" i="1"/>
  <c r="AQ537" i="1"/>
  <c r="AP537" i="1"/>
  <c r="AO537" i="1"/>
  <c r="AN537" i="1"/>
  <c r="AM537" i="1"/>
  <c r="AL537" i="1"/>
  <c r="AK537" i="1"/>
  <c r="AJ537" i="1"/>
  <c r="AI537" i="1"/>
  <c r="AH537" i="1"/>
  <c r="AG537" i="1"/>
  <c r="AF537" i="1"/>
  <c r="AE537" i="1"/>
  <c r="AD537" i="1"/>
  <c r="AC537" i="1"/>
  <c r="AB537" i="1"/>
  <c r="AA537" i="1"/>
  <c r="Z537" i="1"/>
  <c r="Y537" i="1"/>
  <c r="X537" i="1"/>
  <c r="W537" i="1"/>
  <c r="V537" i="1"/>
  <c r="U537" i="1"/>
  <c r="T537" i="1"/>
  <c r="S537" i="1"/>
  <c r="R537" i="1"/>
  <c r="Q537" i="1"/>
  <c r="P537" i="1"/>
  <c r="O537" i="1"/>
  <c r="N537" i="1"/>
  <c r="M537" i="1"/>
  <c r="L537" i="1"/>
  <c r="K537" i="1"/>
  <c r="I534" i="1"/>
  <c r="G534" i="1"/>
  <c r="E534" i="1"/>
  <c r="C534" i="1"/>
  <c r="GY534" i="1"/>
  <c r="GX534" i="1"/>
  <c r="GW534" i="1"/>
  <c r="GV534" i="1"/>
  <c r="GU534" i="1"/>
  <c r="GT534" i="1"/>
  <c r="GR534" i="1"/>
  <c r="FG534" i="1"/>
  <c r="FF534" i="1"/>
  <c r="FE534" i="1"/>
  <c r="FD534" i="1"/>
  <c r="FB533" i="1"/>
  <c r="FB781" i="1" s="1"/>
  <c r="EX534" i="1"/>
  <c r="EW534" i="1"/>
  <c r="EV534" i="1"/>
  <c r="EU534" i="1"/>
  <c r="ET534" i="1"/>
  <c r="ES534" i="1"/>
  <c r="ER534" i="1"/>
  <c r="EQ534" i="1"/>
  <c r="EP534" i="1"/>
  <c r="EO534" i="1"/>
  <c r="EM534" i="1"/>
  <c r="EK534" i="1"/>
  <c r="EI534" i="1"/>
  <c r="EH534" i="1"/>
  <c r="EG534" i="1"/>
  <c r="DY534" i="1"/>
  <c r="DW534" i="1"/>
  <c r="DT534" i="1"/>
  <c r="DS534" i="1"/>
  <c r="DM534" i="1"/>
  <c r="DK534" i="1"/>
  <c r="DI534" i="1"/>
  <c r="CW534" i="1"/>
  <c r="CS534" i="1"/>
  <c r="CO534" i="1"/>
  <c r="CX534" i="1" s="1"/>
  <c r="BQ534" i="1"/>
  <c r="BR534" i="1" s="1"/>
  <c r="BO534" i="1"/>
  <c r="BM534" i="1"/>
  <c r="BN534" i="1" s="1"/>
  <c r="BI534" i="1"/>
  <c r="BJ534" i="1" s="1"/>
  <c r="BE534" i="1"/>
  <c r="BA534" i="1"/>
  <c r="AV534" i="1"/>
  <c r="AU534" i="1"/>
  <c r="AR534" i="1"/>
  <c r="AQ534" i="1"/>
  <c r="AN534" i="1"/>
  <c r="AM534" i="1"/>
  <c r="AK534" i="1"/>
  <c r="AL534" i="1" s="1"/>
  <c r="AJ534" i="1"/>
  <c r="AI534" i="1"/>
  <c r="AG534" i="1"/>
  <c r="AH534" i="1" s="1"/>
  <c r="AF534" i="1"/>
  <c r="AE534" i="1"/>
  <c r="AC534" i="1"/>
  <c r="AD534" i="1" s="1"/>
  <c r="AB534" i="1"/>
  <c r="AA534" i="1"/>
  <c r="Y534" i="1"/>
  <c r="Z534" i="1" s="1"/>
  <c r="X534" i="1"/>
  <c r="W534" i="1"/>
  <c r="U534" i="1"/>
  <c r="V534" i="1" s="1"/>
  <c r="T534" i="1"/>
  <c r="S534" i="1"/>
  <c r="Q534" i="1"/>
  <c r="R534" i="1" s="1"/>
  <c r="P534" i="1"/>
  <c r="O534" i="1"/>
  <c r="M534" i="1"/>
  <c r="N534" i="1" s="1"/>
  <c r="L534" i="1"/>
  <c r="K534" i="1"/>
  <c r="I531" i="1"/>
  <c r="I528" i="1"/>
  <c r="G531" i="1"/>
  <c r="G528" i="1"/>
  <c r="E531" i="1"/>
  <c r="E528" i="1"/>
  <c r="C531" i="1"/>
  <c r="C528" i="1"/>
  <c r="GX529" i="1"/>
  <c r="GV529" i="1"/>
  <c r="GY529" i="1" s="1"/>
  <c r="GT529" i="1"/>
  <c r="GR529" i="1"/>
  <c r="GU529" i="1" s="1"/>
  <c r="GP529" i="1"/>
  <c r="GN529" i="1"/>
  <c r="GQ529" i="1" s="1"/>
  <c r="GL529" i="1"/>
  <c r="GJ529" i="1"/>
  <c r="GM529" i="1" s="1"/>
  <c r="GH529" i="1"/>
  <c r="GF529" i="1"/>
  <c r="GI529" i="1" s="1"/>
  <c r="GD529" i="1"/>
  <c r="GB529" i="1"/>
  <c r="GE529" i="1" s="1"/>
  <c r="FZ529" i="1"/>
  <c r="FX529" i="1"/>
  <c r="GA529" i="1" s="1"/>
  <c r="FE528" i="1"/>
  <c r="FD528" i="1"/>
  <c r="EW531" i="1"/>
  <c r="DX20" i="2" s="1"/>
  <c r="EU531" i="1"/>
  <c r="DV19" i="2" s="1"/>
  <c r="ES531" i="1"/>
  <c r="DT19" i="2" s="1"/>
  <c r="EQ531" i="1"/>
  <c r="EX529" i="1"/>
  <c r="EW529" i="1"/>
  <c r="EU529" i="1"/>
  <c r="ET529" i="1"/>
  <c r="ES529" i="1"/>
  <c r="EQ529" i="1"/>
  <c r="EP529" i="1"/>
  <c r="EO529" i="1"/>
  <c r="EM529" i="1"/>
  <c r="EL529" i="1"/>
  <c r="EK529" i="1"/>
  <c r="EI529" i="1"/>
  <c r="EH529" i="1"/>
  <c r="EG529" i="1"/>
  <c r="EE529" i="1"/>
  <c r="ED529" i="1"/>
  <c r="EC529" i="1"/>
  <c r="EA529" i="1"/>
  <c r="DZ529" i="1"/>
  <c r="DY529" i="1"/>
  <c r="DW529" i="1"/>
  <c r="DV529" i="1"/>
  <c r="DU529" i="1"/>
  <c r="DS529" i="1"/>
  <c r="DR529" i="1"/>
  <c r="DQ529" i="1"/>
  <c r="DO529" i="1"/>
  <c r="DN529" i="1"/>
  <c r="DM529" i="1"/>
  <c r="DK529" i="1"/>
  <c r="DJ529" i="1"/>
  <c r="DI529" i="1"/>
  <c r="DG529" i="1"/>
  <c r="DF529" i="1"/>
  <c r="DE529" i="1"/>
  <c r="DC529" i="1"/>
  <c r="DB529" i="1"/>
  <c r="DA529" i="1"/>
  <c r="CY529" i="1"/>
  <c r="CX529" i="1"/>
  <c r="CW529" i="1"/>
  <c r="CU529" i="1"/>
  <c r="CT529" i="1"/>
  <c r="CS529" i="1"/>
  <c r="CQ529" i="1"/>
  <c r="CP529" i="1"/>
  <c r="CO529" i="1"/>
  <c r="CM529" i="1"/>
  <c r="CL529" i="1"/>
  <c r="CK529" i="1"/>
  <c r="CI529" i="1"/>
  <c r="CH529" i="1"/>
  <c r="CG529" i="1"/>
  <c r="CE529" i="1"/>
  <c r="CC529" i="1"/>
  <c r="CA529" i="1"/>
  <c r="BY529" i="1"/>
  <c r="BW529" i="1"/>
  <c r="GZ524" i="1"/>
  <c r="GY524" i="1"/>
  <c r="GW524" i="1"/>
  <c r="GU524" i="1"/>
  <c r="GS524" i="1"/>
  <c r="GQ524" i="1"/>
  <c r="GO524" i="1"/>
  <c r="GM524" i="1"/>
  <c r="GK524" i="1"/>
  <c r="GI524" i="1"/>
  <c r="EX524" i="1"/>
  <c r="EV524" i="1"/>
  <c r="ET524" i="1"/>
  <c r="ER524" i="1"/>
  <c r="EP524" i="1"/>
  <c r="EN524" i="1"/>
  <c r="EL524" i="1"/>
  <c r="EJ524" i="1"/>
  <c r="EH524" i="1"/>
  <c r="EF524" i="1"/>
  <c r="ED524" i="1"/>
  <c r="EB524" i="1"/>
  <c r="DZ524" i="1"/>
  <c r="DX524" i="1"/>
  <c r="DV524" i="1"/>
  <c r="DT524" i="1"/>
  <c r="DR524" i="1"/>
  <c r="DP524" i="1"/>
  <c r="DN524" i="1"/>
  <c r="DL524" i="1"/>
  <c r="DJ524" i="1"/>
  <c r="DH524" i="1"/>
  <c r="DF524" i="1"/>
  <c r="DD524" i="1"/>
  <c r="DB524" i="1"/>
  <c r="BF524" i="1"/>
  <c r="BD524" i="1"/>
  <c r="BB524" i="1"/>
  <c r="AZ524" i="1"/>
  <c r="AX524" i="1"/>
  <c r="AV524" i="1"/>
  <c r="AT524" i="1"/>
  <c r="AR524" i="1"/>
  <c r="AP524" i="1"/>
  <c r="AN524" i="1"/>
  <c r="AL524" i="1"/>
  <c r="AJ524" i="1"/>
  <c r="AH524" i="1"/>
  <c r="AF524" i="1"/>
  <c r="AD524" i="1"/>
  <c r="AB524" i="1"/>
  <c r="Z524" i="1"/>
  <c r="X524" i="1"/>
  <c r="V524" i="1"/>
  <c r="T524" i="1"/>
  <c r="R524" i="1"/>
  <c r="P524" i="1"/>
  <c r="N524" i="1"/>
  <c r="L524" i="1"/>
  <c r="I521" i="1"/>
  <c r="G521" i="1"/>
  <c r="E521" i="1"/>
  <c r="C521" i="1"/>
  <c r="Z511" i="1"/>
  <c r="Y511" i="1"/>
  <c r="W511" i="1"/>
  <c r="X511" i="1" s="1"/>
  <c r="V511" i="1"/>
  <c r="U511" i="1"/>
  <c r="DK508" i="1"/>
  <c r="DK507" i="1"/>
  <c r="DL507" i="1" s="1"/>
  <c r="DI508" i="1"/>
  <c r="DI507" i="1"/>
  <c r="DG508" i="1"/>
  <c r="DG507" i="1"/>
  <c r="DE508" i="1"/>
  <c r="DE507" i="1"/>
  <c r="DC508" i="1"/>
  <c r="DC507" i="1"/>
  <c r="DD507" i="1" s="1"/>
  <c r="DA508" i="1"/>
  <c r="DA507" i="1"/>
  <c r="CY508" i="1"/>
  <c r="CY507" i="1"/>
  <c r="CW508" i="1"/>
  <c r="CW507" i="1"/>
  <c r="CU508" i="1"/>
  <c r="CU507" i="1"/>
  <c r="CV507" i="1" s="1"/>
  <c r="CS507" i="1"/>
  <c r="CQ508" i="1"/>
  <c r="CQ507" i="1"/>
  <c r="CO508" i="1"/>
  <c r="CO507" i="1"/>
  <c r="CM508" i="1"/>
  <c r="CM507" i="1"/>
  <c r="CN507" i="1" s="1"/>
  <c r="CK510" i="1"/>
  <c r="CK508" i="1"/>
  <c r="CK507" i="1"/>
  <c r="CI510" i="1"/>
  <c r="CI508" i="1"/>
  <c r="CI507" i="1"/>
  <c r="CG510" i="1"/>
  <c r="CG508" i="1"/>
  <c r="CG507" i="1"/>
  <c r="CE510" i="1"/>
  <c r="CE508" i="1"/>
  <c r="CE507" i="1"/>
  <c r="CF507" i="1" s="1"/>
  <c r="CC510" i="1"/>
  <c r="CC508" i="1"/>
  <c r="CC507" i="1"/>
  <c r="CA510" i="1"/>
  <c r="CA508" i="1"/>
  <c r="CA507" i="1"/>
  <c r="BY510" i="1"/>
  <c r="BY508" i="1"/>
  <c r="BY507" i="1"/>
  <c r="BW510" i="1"/>
  <c r="BW508" i="1"/>
  <c r="BW507" i="1"/>
  <c r="BX507" i="1" s="1"/>
  <c r="BU510" i="1"/>
  <c r="BU508" i="1"/>
  <c r="BU507" i="1"/>
  <c r="BS510" i="1"/>
  <c r="BS508" i="1"/>
  <c r="BS507" i="1"/>
  <c r="BQ510" i="1"/>
  <c r="BQ508" i="1"/>
  <c r="BQ507" i="1"/>
  <c r="BO510" i="1"/>
  <c r="BO508" i="1"/>
  <c r="BO507" i="1"/>
  <c r="BP507" i="1" s="1"/>
  <c r="BM510" i="1"/>
  <c r="BM508" i="1"/>
  <c r="BM507" i="1"/>
  <c r="BK510" i="1"/>
  <c r="BK507" i="1"/>
  <c r="BI510" i="1"/>
  <c r="BI507" i="1"/>
  <c r="BG510" i="1"/>
  <c r="BG507" i="1"/>
  <c r="BH507" i="1" s="1"/>
  <c r="BE508" i="1"/>
  <c r="BE507" i="1"/>
  <c r="BC508" i="1"/>
  <c r="BC507" i="1"/>
  <c r="BA507" i="1"/>
  <c r="AY508" i="1"/>
  <c r="AY507" i="1"/>
  <c r="AZ507" i="1" s="1"/>
  <c r="DL508" i="1"/>
  <c r="DJ508" i="1"/>
  <c r="DJ507" i="1"/>
  <c r="DH508" i="1"/>
  <c r="DH507" i="1"/>
  <c r="DF508" i="1"/>
  <c r="DF507" i="1"/>
  <c r="DD508" i="1"/>
  <c r="DB507" i="1"/>
  <c r="CZ508" i="1"/>
  <c r="CZ507" i="1"/>
  <c r="CX508" i="1"/>
  <c r="CX507" i="1"/>
  <c r="CV508" i="1"/>
  <c r="CT507" i="1"/>
  <c r="CR508" i="1"/>
  <c r="CR507" i="1"/>
  <c r="CP508" i="1"/>
  <c r="CP507" i="1"/>
  <c r="CN508" i="1"/>
  <c r="CL508" i="1"/>
  <c r="CL507" i="1"/>
  <c r="CJ508" i="1"/>
  <c r="CJ507" i="1"/>
  <c r="CH508" i="1"/>
  <c r="CH507" i="1"/>
  <c r="CF508" i="1"/>
  <c r="CD508" i="1"/>
  <c r="CD507" i="1"/>
  <c r="CB508" i="1"/>
  <c r="CB507" i="1"/>
  <c r="BZ508" i="1"/>
  <c r="BZ507" i="1"/>
  <c r="BX508" i="1"/>
  <c r="BV508" i="1"/>
  <c r="BV507" i="1"/>
  <c r="BT507" i="1"/>
  <c r="BR507" i="1"/>
  <c r="BN508" i="1"/>
  <c r="BN507" i="1"/>
  <c r="BL507" i="1"/>
  <c r="BJ507" i="1"/>
  <c r="BD507" i="1"/>
  <c r="X509" i="1"/>
  <c r="X508" i="1"/>
  <c r="X507" i="1"/>
  <c r="X506" i="1"/>
  <c r="X505" i="1"/>
  <c r="V509" i="1"/>
  <c r="V508" i="1"/>
  <c r="V507" i="1"/>
  <c r="V506" i="1"/>
  <c r="V505" i="1"/>
  <c r="AH509" i="1"/>
  <c r="AG509" i="1"/>
  <c r="AE509" i="1"/>
  <c r="AF509" i="1" s="1"/>
  <c r="AD509" i="1"/>
  <c r="AC509" i="1"/>
  <c r="AA509" i="1"/>
  <c r="AB509" i="1" s="1"/>
  <c r="Z509" i="1"/>
  <c r="AO508" i="1"/>
  <c r="AP508" i="1" s="1"/>
  <c r="AK508" i="1"/>
  <c r="AL508" i="1" s="1"/>
  <c r="AG508" i="1"/>
  <c r="AH508" i="1" s="1"/>
  <c r="AF508" i="1"/>
  <c r="AE508" i="1"/>
  <c r="AC508" i="1"/>
  <c r="AD508" i="1" s="1"/>
  <c r="AB508" i="1"/>
  <c r="AA508" i="1"/>
  <c r="Z508" i="1"/>
  <c r="S509" i="1"/>
  <c r="T509" i="1" s="1"/>
  <c r="T508" i="1"/>
  <c r="S508" i="1"/>
  <c r="S511" i="1" s="1"/>
  <c r="T511" i="1" s="1"/>
  <c r="EO508" i="1"/>
  <c r="EF508" i="1"/>
  <c r="EE508" i="1"/>
  <c r="EC508" i="1"/>
  <c r="EB508" i="1"/>
  <c r="EA508" i="1"/>
  <c r="DY508" i="1"/>
  <c r="DX508" i="1"/>
  <c r="DW508" i="1"/>
  <c r="DU508" i="1"/>
  <c r="DV508" i="1" s="1"/>
  <c r="DT508" i="1"/>
  <c r="DS508" i="1"/>
  <c r="DQ508" i="1"/>
  <c r="DR508" i="1" s="1"/>
  <c r="DP508" i="1"/>
  <c r="DO508" i="1"/>
  <c r="DM508" i="1"/>
  <c r="DN508" i="1" s="1"/>
  <c r="EP507" i="1"/>
  <c r="EO507" i="1"/>
  <c r="EM507" i="1"/>
  <c r="EN507" i="1" s="1"/>
  <c r="EL507" i="1"/>
  <c r="EK507" i="1"/>
  <c r="EI507" i="1"/>
  <c r="EH507" i="1"/>
  <c r="EG507" i="1"/>
  <c r="EE507" i="1"/>
  <c r="ED507" i="1"/>
  <c r="EC507" i="1"/>
  <c r="EA507" i="1"/>
  <c r="EB507" i="1" s="1"/>
  <c r="DZ507" i="1"/>
  <c r="DY507" i="1"/>
  <c r="DW507" i="1"/>
  <c r="DX507" i="1" s="1"/>
  <c r="DV507" i="1"/>
  <c r="DU507" i="1"/>
  <c r="DS507" i="1"/>
  <c r="DT507" i="1" s="1"/>
  <c r="DR507" i="1"/>
  <c r="DQ507" i="1"/>
  <c r="DO507" i="1"/>
  <c r="DP507" i="1" s="1"/>
  <c r="DN507" i="1"/>
  <c r="DM507" i="1"/>
  <c r="AW507" i="1"/>
  <c r="AV507" i="1"/>
  <c r="AU507" i="1"/>
  <c r="AS507" i="1"/>
  <c r="AR507" i="1"/>
  <c r="AQ507" i="1"/>
  <c r="AO507" i="1"/>
  <c r="AN507" i="1"/>
  <c r="AM507" i="1"/>
  <c r="AK507" i="1"/>
  <c r="AJ507" i="1"/>
  <c r="AI507" i="1"/>
  <c r="AG507" i="1"/>
  <c r="AH507" i="1" s="1"/>
  <c r="AF507" i="1"/>
  <c r="AE507" i="1"/>
  <c r="AC507" i="1"/>
  <c r="AD507" i="1" s="1"/>
  <c r="AB507" i="1"/>
  <c r="AA507" i="1"/>
  <c r="Z507" i="1"/>
  <c r="Z506" i="1"/>
  <c r="Z505" i="1"/>
  <c r="T507" i="1"/>
  <c r="T506" i="1"/>
  <c r="T505" i="1"/>
  <c r="EO505" i="1"/>
  <c r="EN505" i="1"/>
  <c r="EM505" i="1"/>
  <c r="EK505" i="1"/>
  <c r="EJ505" i="1"/>
  <c r="EI505" i="1"/>
  <c r="EG505" i="1"/>
  <c r="EF505" i="1"/>
  <c r="EE505" i="1"/>
  <c r="EC505" i="1"/>
  <c r="EB505" i="1"/>
  <c r="EA505" i="1"/>
  <c r="DY505" i="1"/>
  <c r="DX505" i="1"/>
  <c r="DW505" i="1"/>
  <c r="DU505" i="1"/>
  <c r="DT505" i="1"/>
  <c r="DS505" i="1"/>
  <c r="DQ505" i="1"/>
  <c r="DO505" i="1"/>
  <c r="DM505" i="1"/>
  <c r="DL505" i="1"/>
  <c r="DK505" i="1"/>
  <c r="DI505" i="1"/>
  <c r="DE505" i="1"/>
  <c r="DD505" i="1"/>
  <c r="DC505" i="1"/>
  <c r="DA505" i="1"/>
  <c r="CZ505" i="1"/>
  <c r="CY505" i="1"/>
  <c r="CW505" i="1"/>
  <c r="CV505" i="1"/>
  <c r="CU505" i="1"/>
  <c r="CS505" i="1"/>
  <c r="CR505" i="1"/>
  <c r="CQ505" i="1"/>
  <c r="CO505" i="1"/>
  <c r="CN505" i="1"/>
  <c r="CM505" i="1"/>
  <c r="CK505" i="1"/>
  <c r="CJ505" i="1"/>
  <c r="CI505" i="1"/>
  <c r="CG505" i="1"/>
  <c r="CF505" i="1"/>
  <c r="CE505" i="1"/>
  <c r="CC505" i="1"/>
  <c r="CB505" i="1"/>
  <c r="CA505" i="1"/>
  <c r="BZ505" i="1"/>
  <c r="BY505" i="1"/>
  <c r="BX505" i="1"/>
  <c r="BW505" i="1"/>
  <c r="BV505" i="1"/>
  <c r="BU505" i="1"/>
  <c r="BT505" i="1"/>
  <c r="BS505" i="1"/>
  <c r="BR505" i="1"/>
  <c r="BQ505" i="1"/>
  <c r="BP505" i="1"/>
  <c r="BO505" i="1"/>
  <c r="BN505" i="1"/>
  <c r="BM505" i="1"/>
  <c r="BK505" i="1"/>
  <c r="BJ505" i="1"/>
  <c r="BI505" i="1"/>
  <c r="BG505" i="1"/>
  <c r="BF505" i="1"/>
  <c r="BE505" i="1"/>
  <c r="BC505" i="1"/>
  <c r="BL505" i="1" s="1"/>
  <c r="BB505" i="1"/>
  <c r="BA505" i="1"/>
  <c r="AY505" i="1"/>
  <c r="BH505" i="1" s="1"/>
  <c r="AX505" i="1"/>
  <c r="AW505" i="1"/>
  <c r="AU505" i="1"/>
  <c r="AT505" i="1"/>
  <c r="AS505" i="1"/>
  <c r="AQ505" i="1"/>
  <c r="AP505" i="1"/>
  <c r="AO505" i="1"/>
  <c r="AM505" i="1"/>
  <c r="AL505" i="1"/>
  <c r="AK505" i="1"/>
  <c r="AI505" i="1"/>
  <c r="AH505" i="1"/>
  <c r="AG505" i="1"/>
  <c r="AE505" i="1"/>
  <c r="AD505" i="1"/>
  <c r="AC505" i="1"/>
  <c r="AA505" i="1"/>
  <c r="Z502" i="1"/>
  <c r="Y502" i="1"/>
  <c r="Y858" i="1" s="1"/>
  <c r="Y859" i="1" s="1"/>
  <c r="W502" i="1"/>
  <c r="W858" i="1" s="1"/>
  <c r="W859" i="1" s="1"/>
  <c r="V502" i="1"/>
  <c r="U502" i="1"/>
  <c r="U858" i="1" s="1"/>
  <c r="U859" i="1" s="1"/>
  <c r="S502" i="1"/>
  <c r="S858" i="1" s="1"/>
  <c r="S859" i="1" s="1"/>
  <c r="X501" i="1"/>
  <c r="X500" i="1"/>
  <c r="X499" i="1"/>
  <c r="X498" i="1"/>
  <c r="V501" i="1"/>
  <c r="V500" i="1"/>
  <c r="V499" i="1"/>
  <c r="V498" i="1"/>
  <c r="T501" i="1"/>
  <c r="T500" i="1"/>
  <c r="T499" i="1"/>
  <c r="T498" i="1"/>
  <c r="EP501" i="1"/>
  <c r="EO501" i="1"/>
  <c r="EM501" i="1"/>
  <c r="EL501" i="1"/>
  <c r="EK501" i="1"/>
  <c r="EI501" i="1"/>
  <c r="EJ501" i="1" s="1"/>
  <c r="EH501" i="1"/>
  <c r="EG501" i="1"/>
  <c r="EE501" i="1"/>
  <c r="EN501" i="1" s="1"/>
  <c r="ED501" i="1"/>
  <c r="EC501" i="1"/>
  <c r="EA501" i="1"/>
  <c r="EB501" i="1" s="1"/>
  <c r="DZ501" i="1"/>
  <c r="DY501" i="1"/>
  <c r="DW501" i="1"/>
  <c r="DX501" i="1" s="1"/>
  <c r="DV501" i="1"/>
  <c r="DU501" i="1"/>
  <c r="DS501" i="1"/>
  <c r="DT501" i="1" s="1"/>
  <c r="DR501" i="1"/>
  <c r="DQ501" i="1"/>
  <c r="DO501" i="1"/>
  <c r="DP501" i="1" s="1"/>
  <c r="DN501" i="1"/>
  <c r="DM501" i="1"/>
  <c r="DK501" i="1"/>
  <c r="DL501" i="1" s="1"/>
  <c r="DJ501" i="1"/>
  <c r="DI501" i="1"/>
  <c r="DG501" i="1"/>
  <c r="DH501" i="1" s="1"/>
  <c r="DF501" i="1"/>
  <c r="DE501" i="1"/>
  <c r="DC501" i="1"/>
  <c r="DD501" i="1" s="1"/>
  <c r="DB501" i="1"/>
  <c r="DA501" i="1"/>
  <c r="CY501" i="1"/>
  <c r="CZ501" i="1" s="1"/>
  <c r="CX501" i="1"/>
  <c r="CW501" i="1"/>
  <c r="CU501" i="1"/>
  <c r="CV501" i="1" s="1"/>
  <c r="CT501" i="1"/>
  <c r="CS501" i="1"/>
  <c r="CQ501" i="1"/>
  <c r="CR501" i="1" s="1"/>
  <c r="CP501" i="1"/>
  <c r="CO501" i="1"/>
  <c r="CM501" i="1"/>
  <c r="CN501" i="1" s="1"/>
  <c r="CL501" i="1"/>
  <c r="CK501" i="1"/>
  <c r="CI501" i="1"/>
  <c r="CJ501" i="1" s="1"/>
  <c r="CH501" i="1"/>
  <c r="CG501" i="1"/>
  <c r="CE501" i="1"/>
  <c r="CF501" i="1" s="1"/>
  <c r="CD501" i="1"/>
  <c r="CC501" i="1"/>
  <c r="CA501" i="1"/>
  <c r="CB501" i="1" s="1"/>
  <c r="BZ501" i="1"/>
  <c r="BY501" i="1"/>
  <c r="BW501" i="1"/>
  <c r="BX501" i="1" s="1"/>
  <c r="BV501" i="1"/>
  <c r="BU501" i="1"/>
  <c r="BS501" i="1"/>
  <c r="BT501" i="1" s="1"/>
  <c r="BR501" i="1"/>
  <c r="BQ501" i="1"/>
  <c r="BO501" i="1"/>
  <c r="BP501" i="1" s="1"/>
  <c r="BM501" i="1"/>
  <c r="BK501" i="1"/>
  <c r="BI501" i="1"/>
  <c r="BG501" i="1"/>
  <c r="Z501" i="1"/>
  <c r="EP500" i="1"/>
  <c r="EO500" i="1"/>
  <c r="EO854" i="1" s="1"/>
  <c r="EM500" i="1"/>
  <c r="EM854" i="1" s="1"/>
  <c r="EL500" i="1"/>
  <c r="EK500" i="1"/>
  <c r="EK854" i="1" s="1"/>
  <c r="EI500" i="1"/>
  <c r="EI854" i="1" s="1"/>
  <c r="EH500" i="1"/>
  <c r="EG500" i="1"/>
  <c r="EG854" i="1" s="1"/>
  <c r="EE500" i="1"/>
  <c r="EE854" i="1" s="1"/>
  <c r="ED500" i="1"/>
  <c r="EC500" i="1"/>
  <c r="EC854" i="1" s="1"/>
  <c r="EA500" i="1"/>
  <c r="EA854" i="1" s="1"/>
  <c r="DZ500" i="1"/>
  <c r="DY500" i="1"/>
  <c r="DY854" i="1" s="1"/>
  <c r="DW500" i="1"/>
  <c r="DW854" i="1" s="1"/>
  <c r="DV500" i="1"/>
  <c r="DU500" i="1"/>
  <c r="DU854" i="1" s="1"/>
  <c r="DS500" i="1"/>
  <c r="DS854" i="1" s="1"/>
  <c r="DR500" i="1"/>
  <c r="DQ500" i="1"/>
  <c r="DQ854" i="1" s="1"/>
  <c r="DO500" i="1"/>
  <c r="DO854" i="1" s="1"/>
  <c r="DN500" i="1"/>
  <c r="DM500" i="1"/>
  <c r="DM854" i="1" s="1"/>
  <c r="DK500" i="1"/>
  <c r="DK854" i="1" s="1"/>
  <c r="DJ500" i="1"/>
  <c r="DI500" i="1"/>
  <c r="DI854" i="1" s="1"/>
  <c r="DG500" i="1"/>
  <c r="DG854" i="1" s="1"/>
  <c r="DF500" i="1"/>
  <c r="DE500" i="1"/>
  <c r="DE854" i="1" s="1"/>
  <c r="DC500" i="1"/>
  <c r="DC854" i="1" s="1"/>
  <c r="DA500" i="1"/>
  <c r="DA854" i="1" s="1"/>
  <c r="CY500" i="1"/>
  <c r="CY854" i="1" s="1"/>
  <c r="CX500" i="1"/>
  <c r="CW500" i="1"/>
  <c r="CW854" i="1" s="1"/>
  <c r="CU500" i="1"/>
  <c r="CU854" i="1" s="1"/>
  <c r="CQ500" i="1"/>
  <c r="CQ854" i="1" s="1"/>
  <c r="CP500" i="1"/>
  <c r="CO500" i="1"/>
  <c r="CO854" i="1" s="1"/>
  <c r="CM500" i="1"/>
  <c r="CM854" i="1" s="1"/>
  <c r="CL500" i="1"/>
  <c r="CK500" i="1"/>
  <c r="CK854" i="1" s="1"/>
  <c r="CI500" i="1"/>
  <c r="CI854" i="1" s="1"/>
  <c r="CH500" i="1"/>
  <c r="CG500" i="1"/>
  <c r="CG854" i="1" s="1"/>
  <c r="CE500" i="1"/>
  <c r="CE854" i="1" s="1"/>
  <c r="CD500" i="1"/>
  <c r="CC500" i="1"/>
  <c r="CC854" i="1" s="1"/>
  <c r="CA500" i="1"/>
  <c r="CA854" i="1" s="1"/>
  <c r="BZ500" i="1"/>
  <c r="BY500" i="1"/>
  <c r="BY854" i="1" s="1"/>
  <c r="BW500" i="1"/>
  <c r="BW854" i="1" s="1"/>
  <c r="BV500" i="1"/>
  <c r="BU500" i="1"/>
  <c r="BU854" i="1" s="1"/>
  <c r="BS500" i="1"/>
  <c r="BS854" i="1" s="1"/>
  <c r="BR500" i="1"/>
  <c r="BQ500" i="1"/>
  <c r="BQ854" i="1" s="1"/>
  <c r="BO500" i="1"/>
  <c r="BO854" i="1" s="1"/>
  <c r="BN500" i="1"/>
  <c r="BM500" i="1"/>
  <c r="BM854" i="1" s="1"/>
  <c r="BK500" i="1"/>
  <c r="BK854" i="1" s="1"/>
  <c r="BJ500" i="1"/>
  <c r="BI500" i="1"/>
  <c r="BI854" i="1" s="1"/>
  <c r="BG500" i="1"/>
  <c r="BG854" i="1" s="1"/>
  <c r="BF500" i="1"/>
  <c r="BE500" i="1"/>
  <c r="BE854" i="1" s="1"/>
  <c r="BC500" i="1"/>
  <c r="BC854" i="1" s="1"/>
  <c r="BB500" i="1"/>
  <c r="BA500" i="1"/>
  <c r="BA854" i="1" s="1"/>
  <c r="AY500" i="1"/>
  <c r="AY854" i="1" s="1"/>
  <c r="AX500" i="1"/>
  <c r="AW500" i="1"/>
  <c r="AW854" i="1" s="1"/>
  <c r="AU500" i="1"/>
  <c r="AU854" i="1" s="1"/>
  <c r="AT500" i="1"/>
  <c r="AS500" i="1"/>
  <c r="AS854" i="1" s="1"/>
  <c r="AQ500" i="1"/>
  <c r="AQ854" i="1" s="1"/>
  <c r="AP500" i="1"/>
  <c r="AO500" i="1"/>
  <c r="AO854" i="1" s="1"/>
  <c r="AM500" i="1"/>
  <c r="AM854" i="1" s="1"/>
  <c r="AL500" i="1"/>
  <c r="AK500" i="1"/>
  <c r="AK854" i="1" s="1"/>
  <c r="AI500" i="1"/>
  <c r="AI854" i="1" s="1"/>
  <c r="AH500" i="1"/>
  <c r="AG500" i="1"/>
  <c r="AG854" i="1" s="1"/>
  <c r="AE500" i="1"/>
  <c r="AE854" i="1" s="1"/>
  <c r="AD500" i="1"/>
  <c r="AC500" i="1"/>
  <c r="AC854" i="1" s="1"/>
  <c r="AA500" i="1"/>
  <c r="AA854" i="1" s="1"/>
  <c r="Z500" i="1"/>
  <c r="Z499" i="1"/>
  <c r="EO498" i="1"/>
  <c r="EN498" i="1"/>
  <c r="EM498" i="1"/>
  <c r="EK498" i="1"/>
  <c r="EJ498" i="1"/>
  <c r="EI498" i="1"/>
  <c r="EG498" i="1"/>
  <c r="EF498" i="1"/>
  <c r="EE498" i="1"/>
  <c r="EC498" i="1"/>
  <c r="EB498" i="1"/>
  <c r="EA498" i="1"/>
  <c r="DY498" i="1"/>
  <c r="DX498" i="1"/>
  <c r="DW498" i="1"/>
  <c r="DU498" i="1"/>
  <c r="DT498" i="1"/>
  <c r="DS498" i="1"/>
  <c r="DQ498" i="1"/>
  <c r="DP498" i="1"/>
  <c r="DO498" i="1"/>
  <c r="DM498" i="1"/>
  <c r="DL498" i="1"/>
  <c r="DK498" i="1"/>
  <c r="DI498" i="1"/>
  <c r="DH498" i="1"/>
  <c r="DG498" i="1"/>
  <c r="DE498" i="1"/>
  <c r="DD498" i="1"/>
  <c r="DC498" i="1"/>
  <c r="DA498" i="1"/>
  <c r="CZ498" i="1"/>
  <c r="CY498" i="1"/>
  <c r="CW498" i="1"/>
  <c r="CV498" i="1"/>
  <c r="CU498" i="1"/>
  <c r="CS498" i="1"/>
  <c r="CR498" i="1"/>
  <c r="CQ498" i="1"/>
  <c r="CO498" i="1"/>
  <c r="CN498" i="1"/>
  <c r="CM498" i="1"/>
  <c r="CK498" i="1"/>
  <c r="CJ498" i="1"/>
  <c r="CI498" i="1"/>
  <c r="CG498" i="1"/>
  <c r="CF498" i="1"/>
  <c r="CE498" i="1"/>
  <c r="CC498" i="1"/>
  <c r="CB498" i="1"/>
  <c r="CA498" i="1"/>
  <c r="BY498" i="1"/>
  <c r="BX498" i="1"/>
  <c r="BW498" i="1"/>
  <c r="BU498" i="1"/>
  <c r="BT498" i="1"/>
  <c r="BS498" i="1"/>
  <c r="BQ498" i="1"/>
  <c r="BP498" i="1"/>
  <c r="BO498" i="1"/>
  <c r="BM498" i="1"/>
  <c r="BL498" i="1"/>
  <c r="BK498" i="1"/>
  <c r="BI498" i="1"/>
  <c r="BH498" i="1"/>
  <c r="BG498" i="1"/>
  <c r="BE498" i="1"/>
  <c r="BD498" i="1"/>
  <c r="BC498" i="1"/>
  <c r="BA498" i="1"/>
  <c r="AZ498" i="1"/>
  <c r="AY498" i="1"/>
  <c r="AW498" i="1"/>
  <c r="AV498" i="1"/>
  <c r="AU498" i="1"/>
  <c r="AS498" i="1"/>
  <c r="AR498" i="1"/>
  <c r="AQ498" i="1"/>
  <c r="AO498" i="1"/>
  <c r="AN498" i="1"/>
  <c r="AM498" i="1"/>
  <c r="AK498" i="1"/>
  <c r="AJ498" i="1"/>
  <c r="AI498" i="1"/>
  <c r="AG498" i="1"/>
  <c r="AF498" i="1"/>
  <c r="AE498" i="1"/>
  <c r="AC498" i="1"/>
  <c r="AB498" i="1"/>
  <c r="AA498" i="1"/>
  <c r="Z498" i="1"/>
  <c r="GF492" i="1"/>
  <c r="EX492" i="1"/>
  <c r="EV492" i="1"/>
  <c r="ET492" i="1"/>
  <c r="ER492" i="1"/>
  <c r="EP492" i="1"/>
  <c r="EN492" i="1"/>
  <c r="EL492" i="1"/>
  <c r="EJ492" i="1"/>
  <c r="EH492" i="1"/>
  <c r="EF492" i="1"/>
  <c r="ED492" i="1"/>
  <c r="EB492" i="1"/>
  <c r="DZ492" i="1"/>
  <c r="DX492" i="1"/>
  <c r="DV492" i="1"/>
  <c r="DT492" i="1"/>
  <c r="DS492" i="1"/>
  <c r="DR492" i="1"/>
  <c r="DP492" i="1"/>
  <c r="DN492" i="1"/>
  <c r="FB490" i="1"/>
  <c r="FB822" i="1" s="1"/>
  <c r="EX489" i="1"/>
  <c r="EV489" i="1"/>
  <c r="ET489" i="1"/>
  <c r="ER489" i="1"/>
  <c r="GY489" i="1"/>
  <c r="GW489" i="1"/>
  <c r="GU489" i="1"/>
  <c r="GS489" i="1"/>
  <c r="GP489" i="1"/>
  <c r="GN489" i="1"/>
  <c r="GQ489" i="1" s="1"/>
  <c r="GL489" i="1"/>
  <c r="GJ489" i="1"/>
  <c r="GM489" i="1" s="1"/>
  <c r="GH489" i="1"/>
  <c r="GF489" i="1"/>
  <c r="GI489" i="1" s="1"/>
  <c r="FZ489" i="1"/>
  <c r="FX489" i="1"/>
  <c r="GA489" i="1" s="1"/>
  <c r="FT489" i="1"/>
  <c r="FU489" i="1" s="1"/>
  <c r="FR489" i="1"/>
  <c r="FP489" i="1"/>
  <c r="FS489" i="1" s="1"/>
  <c r="FO489" i="1"/>
  <c r="FN489" i="1"/>
  <c r="FM489" i="1"/>
  <c r="FK489" i="1"/>
  <c r="FI489" i="1"/>
  <c r="FG489" i="1"/>
  <c r="FE489" i="1"/>
  <c r="EP489" i="1"/>
  <c r="EN489" i="1"/>
  <c r="EL489" i="1"/>
  <c r="EJ489" i="1"/>
  <c r="EH489" i="1"/>
  <c r="EF489" i="1"/>
  <c r="ED489" i="1"/>
  <c r="EB489" i="1"/>
  <c r="DZ489" i="1"/>
  <c r="DX489" i="1"/>
  <c r="DV489" i="1"/>
  <c r="DT489" i="1"/>
  <c r="DR489" i="1"/>
  <c r="DP489" i="1"/>
  <c r="DN489" i="1"/>
  <c r="DL489" i="1"/>
  <c r="DJ489" i="1"/>
  <c r="DF489" i="1"/>
  <c r="DD489" i="1"/>
  <c r="DB489" i="1"/>
  <c r="DA489" i="1"/>
  <c r="CY489" i="1"/>
  <c r="DH489" i="1" s="1"/>
  <c r="CX489" i="1"/>
  <c r="CV489" i="1"/>
  <c r="CT489" i="1"/>
  <c r="CQ489" i="1"/>
  <c r="CQ534" i="1" s="1"/>
  <c r="CP489" i="1"/>
  <c r="CN489" i="1"/>
  <c r="CL489" i="1"/>
  <c r="CJ489" i="1"/>
  <c r="CH489" i="1"/>
  <c r="CF489" i="1"/>
  <c r="CB489" i="1"/>
  <c r="BZ489" i="1"/>
  <c r="BX489" i="1"/>
  <c r="BU489" i="1"/>
  <c r="FV489" i="1" s="1"/>
  <c r="FW489" i="1" s="1"/>
  <c r="BT489" i="1"/>
  <c r="BR489" i="1"/>
  <c r="BP489" i="1"/>
  <c r="BN489" i="1"/>
  <c r="BL489" i="1"/>
  <c r="BJ489" i="1"/>
  <c r="BH489" i="1"/>
  <c r="BF489" i="1"/>
  <c r="BD489" i="1"/>
  <c r="BB489" i="1"/>
  <c r="AZ489" i="1"/>
  <c r="AX489" i="1"/>
  <c r="AV489" i="1"/>
  <c r="AT489" i="1"/>
  <c r="AR489" i="1"/>
  <c r="AP489" i="1"/>
  <c r="AN489" i="1"/>
  <c r="AL489" i="1"/>
  <c r="AJ489" i="1"/>
  <c r="AH489" i="1"/>
  <c r="AF489" i="1"/>
  <c r="AD489" i="1"/>
  <c r="AB489" i="1"/>
  <c r="Z489" i="1"/>
  <c r="X489" i="1"/>
  <c r="V489" i="1"/>
  <c r="T489" i="1"/>
  <c r="R489" i="1"/>
  <c r="P489" i="1"/>
  <c r="N489" i="1"/>
  <c r="L489" i="1"/>
  <c r="FX487" i="1"/>
  <c r="FD487" i="1"/>
  <c r="FE487" i="1" s="1"/>
  <c r="FY486" i="1"/>
  <c r="FX486" i="1"/>
  <c r="FX490" i="1" s="1"/>
  <c r="FV486" i="1"/>
  <c r="FV490" i="1" s="1"/>
  <c r="FF486" i="1"/>
  <c r="FF490" i="1" s="1"/>
  <c r="FE486" i="1"/>
  <c r="FD486" i="1"/>
  <c r="FD490" i="1" s="1"/>
  <c r="EO486" i="1"/>
  <c r="EN486" i="1"/>
  <c r="EM486" i="1"/>
  <c r="EM490" i="1" s="1"/>
  <c r="EK486" i="1"/>
  <c r="EJ486" i="1"/>
  <c r="EI486" i="1"/>
  <c r="EI490" i="1" s="1"/>
  <c r="EG486" i="1"/>
  <c r="EF486" i="1"/>
  <c r="EE486" i="1"/>
  <c r="EE490" i="1" s="1"/>
  <c r="EC486" i="1"/>
  <c r="EB486" i="1"/>
  <c r="EA486" i="1"/>
  <c r="EA490" i="1" s="1"/>
  <c r="DY486" i="1"/>
  <c r="DX486" i="1"/>
  <c r="DW486" i="1"/>
  <c r="DW490" i="1" s="1"/>
  <c r="DU486" i="1"/>
  <c r="DT486" i="1"/>
  <c r="DS486" i="1"/>
  <c r="DS490" i="1" s="1"/>
  <c r="DQ486" i="1"/>
  <c r="DP486" i="1"/>
  <c r="DO486" i="1"/>
  <c r="DO490" i="1" s="1"/>
  <c r="DM486" i="1"/>
  <c r="DL486" i="1"/>
  <c r="DK486" i="1"/>
  <c r="DK490" i="1" s="1"/>
  <c r="DI486" i="1"/>
  <c r="DH486" i="1"/>
  <c r="DG486" i="1"/>
  <c r="DG490" i="1" s="1"/>
  <c r="DE486" i="1"/>
  <c r="DD486" i="1"/>
  <c r="DC486" i="1"/>
  <c r="DC490" i="1" s="1"/>
  <c r="DA486" i="1"/>
  <c r="CZ486" i="1"/>
  <c r="CY486" i="1"/>
  <c r="CY490" i="1" s="1"/>
  <c r="CW486" i="1"/>
  <c r="CV486" i="1"/>
  <c r="CU486" i="1"/>
  <c r="CU490" i="1" s="1"/>
  <c r="CS486" i="1"/>
  <c r="CR486" i="1"/>
  <c r="CQ486" i="1"/>
  <c r="CQ490" i="1" s="1"/>
  <c r="CO486" i="1"/>
  <c r="CN486" i="1"/>
  <c r="CM486" i="1"/>
  <c r="CM490" i="1" s="1"/>
  <c r="CK486" i="1"/>
  <c r="CJ486" i="1"/>
  <c r="CI486" i="1"/>
  <c r="CI490" i="1" s="1"/>
  <c r="CG486" i="1"/>
  <c r="CF486" i="1"/>
  <c r="CE486" i="1"/>
  <c r="CE490" i="1" s="1"/>
  <c r="CC486" i="1"/>
  <c r="CB486" i="1"/>
  <c r="CA486" i="1"/>
  <c r="CA490" i="1" s="1"/>
  <c r="BY486" i="1"/>
  <c r="BX486" i="1"/>
  <c r="BW486" i="1"/>
  <c r="BW490" i="1" s="1"/>
  <c r="BU486" i="1"/>
  <c r="BT486" i="1"/>
  <c r="BS486" i="1"/>
  <c r="BS490" i="1" s="1"/>
  <c r="BQ486" i="1"/>
  <c r="BP486" i="1"/>
  <c r="BO486" i="1"/>
  <c r="BO490" i="1" s="1"/>
  <c r="BM486" i="1"/>
  <c r="BL486" i="1"/>
  <c r="BK486" i="1"/>
  <c r="BK490" i="1" s="1"/>
  <c r="BI486" i="1"/>
  <c r="BH486" i="1"/>
  <c r="BG486" i="1"/>
  <c r="BG490" i="1" s="1"/>
  <c r="BE486" i="1"/>
  <c r="BE490" i="1" s="1"/>
  <c r="BD486" i="1"/>
  <c r="BC486" i="1"/>
  <c r="BC487" i="1" s="1"/>
  <c r="BA486" i="1"/>
  <c r="BA490" i="1" s="1"/>
  <c r="AZ486" i="1"/>
  <c r="AY486" i="1"/>
  <c r="AY487" i="1" s="1"/>
  <c r="AZ487" i="1" s="1"/>
  <c r="AW486" i="1"/>
  <c r="AW490" i="1" s="1"/>
  <c r="AV486" i="1"/>
  <c r="AU486" i="1"/>
  <c r="AU487" i="1" s="1"/>
  <c r="AV487" i="1" s="1"/>
  <c r="AS486" i="1"/>
  <c r="AS490" i="1" s="1"/>
  <c r="AR486" i="1"/>
  <c r="AQ486" i="1"/>
  <c r="AQ487" i="1" s="1"/>
  <c r="AO486" i="1"/>
  <c r="AO490" i="1" s="1"/>
  <c r="AN486" i="1"/>
  <c r="AM486" i="1"/>
  <c r="AM487" i="1" s="1"/>
  <c r="AK486" i="1"/>
  <c r="AK490" i="1" s="1"/>
  <c r="AJ486" i="1"/>
  <c r="AI486" i="1"/>
  <c r="AI487" i="1" s="1"/>
  <c r="AJ487" i="1" s="1"/>
  <c r="AG486" i="1"/>
  <c r="AG490" i="1" s="1"/>
  <c r="AF486" i="1"/>
  <c r="AE486" i="1"/>
  <c r="AE487" i="1" s="1"/>
  <c r="AF487" i="1" s="1"/>
  <c r="AC486" i="1"/>
  <c r="AC490" i="1" s="1"/>
  <c r="AB486" i="1"/>
  <c r="AA486" i="1"/>
  <c r="AA487" i="1" s="1"/>
  <c r="Y486" i="1"/>
  <c r="Y490" i="1" s="1"/>
  <c r="X486" i="1"/>
  <c r="W486" i="1"/>
  <c r="W487" i="1" s="1"/>
  <c r="U486" i="1"/>
  <c r="U490" i="1" s="1"/>
  <c r="T486" i="1"/>
  <c r="S486" i="1"/>
  <c r="S487" i="1" s="1"/>
  <c r="T487" i="1" s="1"/>
  <c r="Q486" i="1"/>
  <c r="Q490" i="1" s="1"/>
  <c r="P486" i="1"/>
  <c r="O486" i="1"/>
  <c r="O487" i="1" s="1"/>
  <c r="P487" i="1" s="1"/>
  <c r="M486" i="1"/>
  <c r="M490" i="1" s="1"/>
  <c r="L486" i="1"/>
  <c r="K486" i="1"/>
  <c r="K487" i="1" s="1"/>
  <c r="L487" i="1" s="1"/>
  <c r="FU485" i="1"/>
  <c r="FT485" i="1"/>
  <c r="FW485" i="1" s="1"/>
  <c r="FR485" i="1"/>
  <c r="FR484" i="1" s="1"/>
  <c r="FS484" i="1" s="1"/>
  <c r="FQ485" i="1"/>
  <c r="FP485" i="1"/>
  <c r="FN485" i="1"/>
  <c r="FO485" i="1" s="1"/>
  <c r="FM485" i="1"/>
  <c r="FL485" i="1"/>
  <c r="FJ485" i="1"/>
  <c r="FK485" i="1" s="1"/>
  <c r="FI485" i="1"/>
  <c r="FH485" i="1"/>
  <c r="FG485" i="1"/>
  <c r="FE485" i="1"/>
  <c r="EU485" i="1"/>
  <c r="EV485" i="1" s="1"/>
  <c r="EQ485" i="1"/>
  <c r="ER485" i="1" s="1"/>
  <c r="EP485" i="1"/>
  <c r="EN485" i="1"/>
  <c r="EL485" i="1"/>
  <c r="EJ485" i="1"/>
  <c r="EH485" i="1"/>
  <c r="EF485" i="1"/>
  <c r="ED485" i="1"/>
  <c r="EB485" i="1"/>
  <c r="DZ485" i="1"/>
  <c r="DX485" i="1"/>
  <c r="DV485" i="1"/>
  <c r="DT485" i="1"/>
  <c r="DR485" i="1"/>
  <c r="DP485" i="1"/>
  <c r="DN485" i="1"/>
  <c r="DL485" i="1"/>
  <c r="DJ485" i="1"/>
  <c r="DH485" i="1"/>
  <c r="DF485" i="1"/>
  <c r="DD485" i="1"/>
  <c r="DB485" i="1"/>
  <c r="CZ485" i="1"/>
  <c r="CX485" i="1"/>
  <c r="CV485" i="1"/>
  <c r="CT485" i="1"/>
  <c r="CR485" i="1"/>
  <c r="CP485" i="1"/>
  <c r="CN485" i="1"/>
  <c r="CL485" i="1"/>
  <c r="CJ485" i="1"/>
  <c r="CH485" i="1"/>
  <c r="CF485" i="1"/>
  <c r="CD485" i="1"/>
  <c r="CB485" i="1"/>
  <c r="BZ485" i="1"/>
  <c r="BX485" i="1"/>
  <c r="BV485" i="1"/>
  <c r="BT485" i="1"/>
  <c r="BR485" i="1"/>
  <c r="BP485" i="1"/>
  <c r="BN485" i="1"/>
  <c r="BL485" i="1"/>
  <c r="BJ485" i="1"/>
  <c r="BH485" i="1"/>
  <c r="BF485" i="1"/>
  <c r="BD485" i="1"/>
  <c r="BB485" i="1"/>
  <c r="AZ485" i="1"/>
  <c r="AX485" i="1"/>
  <c r="AV485" i="1"/>
  <c r="AT485" i="1"/>
  <c r="AR485" i="1"/>
  <c r="AP485" i="1"/>
  <c r="AN485" i="1"/>
  <c r="AL485" i="1"/>
  <c r="AJ485" i="1"/>
  <c r="AH485" i="1"/>
  <c r="AF485" i="1"/>
  <c r="AD485" i="1"/>
  <c r="AB485" i="1"/>
  <c r="Z485" i="1"/>
  <c r="X485" i="1"/>
  <c r="V485" i="1"/>
  <c r="T485" i="1"/>
  <c r="R485" i="1"/>
  <c r="P485" i="1"/>
  <c r="N485" i="1"/>
  <c r="L485" i="1"/>
  <c r="GN485" i="1"/>
  <c r="GO485" i="1" s="1"/>
  <c r="GL485" i="1"/>
  <c r="GJ485" i="1"/>
  <c r="GM485" i="1" s="1"/>
  <c r="GH485" i="1"/>
  <c r="GF485" i="1"/>
  <c r="GI485" i="1" s="1"/>
  <c r="GD485" i="1"/>
  <c r="GB485" i="1"/>
  <c r="GE485" i="1" s="1"/>
  <c r="GA485" i="1"/>
  <c r="FZ485" i="1"/>
  <c r="FY485" i="1"/>
  <c r="GN484" i="1"/>
  <c r="GO484" i="1" s="1"/>
  <c r="GL484" i="1"/>
  <c r="GJ484" i="1"/>
  <c r="GM484" i="1" s="1"/>
  <c r="GH484" i="1"/>
  <c r="GF484" i="1"/>
  <c r="GI484" i="1" s="1"/>
  <c r="GD484" i="1"/>
  <c r="GB484" i="1"/>
  <c r="GE484" i="1" s="1"/>
  <c r="FZ484" i="1"/>
  <c r="FX484" i="1"/>
  <c r="GA484" i="1" s="1"/>
  <c r="FV484" i="1"/>
  <c r="FT484" i="1"/>
  <c r="FU484" i="1" s="1"/>
  <c r="GN480" i="1"/>
  <c r="GN486" i="1" s="1"/>
  <c r="GL480" i="1"/>
  <c r="GO480" i="1" s="1"/>
  <c r="GJ480" i="1"/>
  <c r="GJ486" i="1" s="1"/>
  <c r="GH480" i="1"/>
  <c r="GK480" i="1" s="1"/>
  <c r="GF480" i="1"/>
  <c r="GF486" i="1" s="1"/>
  <c r="GD480" i="1"/>
  <c r="GG480" i="1" s="1"/>
  <c r="GB480" i="1"/>
  <c r="GB486" i="1" s="1"/>
  <c r="FZ480" i="1"/>
  <c r="GC480" i="1" s="1"/>
  <c r="FY480" i="1"/>
  <c r="FT480" i="1"/>
  <c r="FT486" i="1" s="1"/>
  <c r="FR480" i="1"/>
  <c r="FR486" i="1" s="1"/>
  <c r="FP480" i="1"/>
  <c r="FP486" i="1" s="1"/>
  <c r="FN480" i="1"/>
  <c r="FN486" i="1" s="1"/>
  <c r="FL480" i="1"/>
  <c r="FL486" i="1" s="1"/>
  <c r="FJ480" i="1"/>
  <c r="FJ486" i="1" s="1"/>
  <c r="FH480" i="1"/>
  <c r="FH486" i="1" s="1"/>
  <c r="FG480" i="1"/>
  <c r="FE480" i="1"/>
  <c r="EW480" i="1"/>
  <c r="EW485" i="1" s="1"/>
  <c r="EX485" i="1" s="1"/>
  <c r="EV480" i="1"/>
  <c r="EU480" i="1"/>
  <c r="EU486" i="1" s="1"/>
  <c r="CX20" i="198" s="1"/>
  <c r="ES485" i="1"/>
  <c r="ET485" i="1" s="1"/>
  <c r="ER480" i="1"/>
  <c r="EQ480" i="1"/>
  <c r="EQ486" i="1" s="1"/>
  <c r="EP480" i="1"/>
  <c r="EN480" i="1"/>
  <c r="EL480" i="1"/>
  <c r="EJ480" i="1"/>
  <c r="EH480" i="1"/>
  <c r="EF480" i="1"/>
  <c r="ED480" i="1"/>
  <c r="EB480" i="1"/>
  <c r="DZ480" i="1"/>
  <c r="DX480" i="1"/>
  <c r="DV480" i="1"/>
  <c r="DT480" i="1"/>
  <c r="DR480" i="1"/>
  <c r="DP480" i="1"/>
  <c r="DN480" i="1"/>
  <c r="DL480" i="1"/>
  <c r="DJ480" i="1"/>
  <c r="DH480" i="1"/>
  <c r="DF480" i="1"/>
  <c r="DD480" i="1"/>
  <c r="DB480" i="1"/>
  <c r="CZ480" i="1"/>
  <c r="CX480" i="1"/>
  <c r="CV480" i="1"/>
  <c r="CT480" i="1"/>
  <c r="CR480" i="1"/>
  <c r="CP480" i="1"/>
  <c r="CN480" i="1"/>
  <c r="CL480" i="1"/>
  <c r="CJ480" i="1"/>
  <c r="CH480" i="1"/>
  <c r="CF480" i="1"/>
  <c r="CD480" i="1"/>
  <c r="CB480" i="1"/>
  <c r="BZ480" i="1"/>
  <c r="BX480" i="1"/>
  <c r="BV480" i="1"/>
  <c r="BT480" i="1"/>
  <c r="BR480" i="1"/>
  <c r="BP480" i="1"/>
  <c r="BN480" i="1"/>
  <c r="BL480" i="1"/>
  <c r="BJ480" i="1"/>
  <c r="BH480" i="1"/>
  <c r="BF480" i="1"/>
  <c r="BD480" i="1"/>
  <c r="BB480" i="1"/>
  <c r="AZ480" i="1"/>
  <c r="AX480" i="1"/>
  <c r="AV480" i="1"/>
  <c r="AT480" i="1"/>
  <c r="AR480" i="1"/>
  <c r="AP480" i="1"/>
  <c r="AN480" i="1"/>
  <c r="AL480" i="1"/>
  <c r="AJ480" i="1"/>
  <c r="AH480" i="1"/>
  <c r="AF480" i="1"/>
  <c r="AD480" i="1"/>
  <c r="AB480" i="1"/>
  <c r="Z480" i="1"/>
  <c r="X480" i="1"/>
  <c r="V480" i="1"/>
  <c r="T480" i="1"/>
  <c r="R480" i="1"/>
  <c r="P480" i="1"/>
  <c r="N480" i="1"/>
  <c r="L480" i="1"/>
  <c r="FD475" i="1"/>
  <c r="FD476" i="1" s="1"/>
  <c r="E475" i="1"/>
  <c r="E476" i="1" s="1"/>
  <c r="FF473" i="1"/>
  <c r="FD473" i="1"/>
  <c r="FB473" i="1"/>
  <c r="Q473" i="1"/>
  <c r="R473" i="1" s="1"/>
  <c r="O473" i="1"/>
  <c r="M473" i="1"/>
  <c r="N473" i="1" s="1"/>
  <c r="K473" i="1"/>
  <c r="I473" i="1"/>
  <c r="G473" i="1"/>
  <c r="P473" i="1" s="1"/>
  <c r="E473" i="1"/>
  <c r="R472" i="1"/>
  <c r="R471" i="1"/>
  <c r="R470" i="1"/>
  <c r="R469" i="1"/>
  <c r="R468" i="1"/>
  <c r="P472" i="1"/>
  <c r="P471" i="1"/>
  <c r="P470" i="1"/>
  <c r="P469" i="1"/>
  <c r="P468" i="1"/>
  <c r="N472" i="1"/>
  <c r="N471" i="1"/>
  <c r="N470" i="1"/>
  <c r="N469" i="1"/>
  <c r="L472" i="1"/>
  <c r="FH471" i="1"/>
  <c r="FH470" i="1"/>
  <c r="FH468" i="1" s="1"/>
  <c r="FH469" i="1"/>
  <c r="C471" i="1"/>
  <c r="L471" i="1" s="1"/>
  <c r="C470" i="1"/>
  <c r="C473" i="1" s="1"/>
  <c r="L473" i="1" s="1"/>
  <c r="C469" i="1"/>
  <c r="L469" i="1" s="1"/>
  <c r="FF468" i="1"/>
  <c r="FD468" i="1"/>
  <c r="FB468" i="1"/>
  <c r="Q468" i="1"/>
  <c r="O468" i="1"/>
  <c r="M468" i="1"/>
  <c r="N468" i="1" s="1"/>
  <c r="K468" i="1"/>
  <c r="I468" i="1"/>
  <c r="G468" i="1"/>
  <c r="E468" i="1"/>
  <c r="FH464" i="1"/>
  <c r="FH463" i="1"/>
  <c r="FH462" i="1"/>
  <c r="FH465" i="1" s="1"/>
  <c r="FF465" i="1"/>
  <c r="FF475" i="1" s="1"/>
  <c r="FF476" i="1" s="1"/>
  <c r="FD465" i="1"/>
  <c r="FB465" i="1"/>
  <c r="FB475" i="1" s="1"/>
  <c r="FB476" i="1" s="1"/>
  <c r="Q465" i="1"/>
  <c r="O465" i="1"/>
  <c r="O475" i="1" s="1"/>
  <c r="N465" i="1"/>
  <c r="M465" i="1"/>
  <c r="K465" i="1"/>
  <c r="K475" i="1" s="1"/>
  <c r="I465" i="1"/>
  <c r="I475" i="1" s="1"/>
  <c r="I476" i="1" s="1"/>
  <c r="G465" i="1"/>
  <c r="G475" i="1" s="1"/>
  <c r="G476" i="1" s="1"/>
  <c r="E465" i="1"/>
  <c r="C464" i="1"/>
  <c r="C465" i="1" s="1"/>
  <c r="C475" i="1" s="1"/>
  <c r="C476" i="1" s="1"/>
  <c r="C463" i="1"/>
  <c r="C462" i="1"/>
  <c r="R464" i="1"/>
  <c r="R463" i="1"/>
  <c r="R462" i="1"/>
  <c r="P464" i="1"/>
  <c r="P463" i="1"/>
  <c r="P462" i="1"/>
  <c r="N464" i="1"/>
  <c r="N463" i="1"/>
  <c r="N462" i="1"/>
  <c r="L464" i="1"/>
  <c r="L463" i="1"/>
  <c r="L462" i="1"/>
  <c r="FT456" i="1"/>
  <c r="FU456" i="1" s="1"/>
  <c r="FS456" i="1"/>
  <c r="FR456" i="1"/>
  <c r="FP456" i="1"/>
  <c r="FQ456" i="1" s="1"/>
  <c r="FO456" i="1"/>
  <c r="FN456" i="1"/>
  <c r="FM456" i="1"/>
  <c r="FK456" i="1"/>
  <c r="FI456" i="1"/>
  <c r="FG456" i="1"/>
  <c r="FE456" i="1"/>
  <c r="BU456" i="1"/>
  <c r="FV456" i="1" s="1"/>
  <c r="FW456" i="1" s="1"/>
  <c r="BT456" i="1"/>
  <c r="BR456" i="1"/>
  <c r="BP456" i="1"/>
  <c r="BN456" i="1"/>
  <c r="BL456" i="1"/>
  <c r="BK456" i="1"/>
  <c r="BJ456" i="1"/>
  <c r="BH456" i="1"/>
  <c r="BG456" i="1"/>
  <c r="BG534" i="1" s="1"/>
  <c r="BF456" i="1"/>
  <c r="BD456" i="1"/>
  <c r="BB456" i="1"/>
  <c r="AZ456" i="1"/>
  <c r="AX456" i="1"/>
  <c r="AV456" i="1"/>
  <c r="AT456" i="1"/>
  <c r="AR456" i="1"/>
  <c r="AP456" i="1"/>
  <c r="AN456" i="1"/>
  <c r="AL456" i="1"/>
  <c r="AJ456" i="1"/>
  <c r="AH456" i="1"/>
  <c r="AF456" i="1"/>
  <c r="AD456" i="1"/>
  <c r="AB456" i="1"/>
  <c r="Z456" i="1"/>
  <c r="X456" i="1"/>
  <c r="V456" i="1"/>
  <c r="T456" i="1"/>
  <c r="R456" i="1"/>
  <c r="P456" i="1"/>
  <c r="N456" i="1"/>
  <c r="L456" i="1"/>
  <c r="FD451" i="1"/>
  <c r="FE451" i="1" s="1"/>
  <c r="FB451" i="1"/>
  <c r="BS451" i="1"/>
  <c r="BT451" i="1" s="1"/>
  <c r="BO451" i="1"/>
  <c r="BP451" i="1" s="1"/>
  <c r="BK451" i="1"/>
  <c r="BL451" i="1" s="1"/>
  <c r="BG451" i="1"/>
  <c r="BH451" i="1" s="1"/>
  <c r="BC451" i="1"/>
  <c r="AY451" i="1"/>
  <c r="AZ451" i="1" s="1"/>
  <c r="AQ451" i="1"/>
  <c r="AM451" i="1"/>
  <c r="AN451" i="1" s="1"/>
  <c r="AE451" i="1"/>
  <c r="AF451" i="1" s="1"/>
  <c r="AA451" i="1"/>
  <c r="AB451" i="1" s="1"/>
  <c r="W451" i="1"/>
  <c r="X451" i="1" s="1"/>
  <c r="S451" i="1"/>
  <c r="T451" i="1" s="1"/>
  <c r="O451" i="1"/>
  <c r="K451" i="1"/>
  <c r="FL449" i="1"/>
  <c r="FM449" i="1" s="1"/>
  <c r="FH449" i="1"/>
  <c r="FI449" i="1" s="1"/>
  <c r="FF449" i="1"/>
  <c r="FD449" i="1"/>
  <c r="FG449" i="1" s="1"/>
  <c r="FB449" i="1"/>
  <c r="BU449" i="1"/>
  <c r="BV449" i="1" s="1"/>
  <c r="BS449" i="1"/>
  <c r="BQ449" i="1"/>
  <c r="BO449" i="1"/>
  <c r="BM449" i="1"/>
  <c r="BN449" i="1" s="1"/>
  <c r="BE449" i="1"/>
  <c r="BC449" i="1"/>
  <c r="BA449" i="1"/>
  <c r="BB449" i="1" s="1"/>
  <c r="AY449" i="1"/>
  <c r="AS449" i="1"/>
  <c r="AT449" i="1" s="1"/>
  <c r="AO449" i="1"/>
  <c r="AP449" i="1" s="1"/>
  <c r="AK449" i="1"/>
  <c r="AL449" i="1" s="1"/>
  <c r="AG449" i="1"/>
  <c r="AH449" i="1" s="1"/>
  <c r="AF449" i="1"/>
  <c r="AE449" i="1"/>
  <c r="AC449" i="1"/>
  <c r="AD449" i="1" s="1"/>
  <c r="AB449" i="1"/>
  <c r="AA449" i="1"/>
  <c r="Y449" i="1"/>
  <c r="Z449" i="1" s="1"/>
  <c r="X449" i="1"/>
  <c r="W449" i="1"/>
  <c r="U449" i="1"/>
  <c r="V449" i="1" s="1"/>
  <c r="T449" i="1"/>
  <c r="S449" i="1"/>
  <c r="Q449" i="1"/>
  <c r="R449" i="1" s="1"/>
  <c r="P449" i="1"/>
  <c r="O449" i="1"/>
  <c r="M449" i="1"/>
  <c r="N449" i="1" s="1"/>
  <c r="K449" i="1"/>
  <c r="I449" i="1"/>
  <c r="G449" i="1"/>
  <c r="E449" i="1"/>
  <c r="FO448" i="1"/>
  <c r="FM448" i="1"/>
  <c r="FK448" i="1"/>
  <c r="FI448" i="1"/>
  <c r="FG448" i="1"/>
  <c r="FG447" i="1"/>
  <c r="FE448" i="1"/>
  <c r="FE447" i="1"/>
  <c r="BV448" i="1"/>
  <c r="BV447" i="1"/>
  <c r="BT448" i="1"/>
  <c r="BR448" i="1"/>
  <c r="BP448" i="1"/>
  <c r="BN448" i="1"/>
  <c r="BN447" i="1"/>
  <c r="BL448" i="1"/>
  <c r="BJ448" i="1"/>
  <c r="BH448" i="1"/>
  <c r="BF448" i="1"/>
  <c r="BD448" i="1"/>
  <c r="BB448" i="1"/>
  <c r="BB447" i="1"/>
  <c r="AZ448" i="1"/>
  <c r="AX448" i="1"/>
  <c r="AV448" i="1"/>
  <c r="AT448" i="1"/>
  <c r="AT447" i="1"/>
  <c r="AR448" i="1"/>
  <c r="AP448" i="1"/>
  <c r="AP447" i="1"/>
  <c r="AN448" i="1"/>
  <c r="AL448" i="1"/>
  <c r="AL447" i="1"/>
  <c r="AJ448" i="1"/>
  <c r="AH448" i="1"/>
  <c r="AH447" i="1"/>
  <c r="AF448" i="1"/>
  <c r="AF447" i="1"/>
  <c r="AD448" i="1"/>
  <c r="AD447" i="1"/>
  <c r="AB448" i="1"/>
  <c r="AB447" i="1"/>
  <c r="Z448" i="1"/>
  <c r="Z447" i="1"/>
  <c r="X448" i="1"/>
  <c r="X447" i="1"/>
  <c r="V448" i="1"/>
  <c r="V447" i="1"/>
  <c r="T448" i="1"/>
  <c r="T447" i="1"/>
  <c r="R448" i="1"/>
  <c r="R447" i="1"/>
  <c r="P448" i="1"/>
  <c r="P447" i="1"/>
  <c r="N448" i="1"/>
  <c r="N447" i="1"/>
  <c r="L448" i="1"/>
  <c r="FV448" i="1"/>
  <c r="FW448" i="1" s="1"/>
  <c r="FU448" i="1"/>
  <c r="FT448" i="1"/>
  <c r="FR448" i="1"/>
  <c r="FS448" i="1" s="1"/>
  <c r="FQ448" i="1"/>
  <c r="FV447" i="1"/>
  <c r="FV451" i="1" s="1"/>
  <c r="FL447" i="1"/>
  <c r="FM447" i="1" s="1"/>
  <c r="FJ447" i="1"/>
  <c r="FJ451" i="1" s="1"/>
  <c r="FJ446" i="1"/>
  <c r="FJ449" i="1" s="1"/>
  <c r="FK449" i="1" s="1"/>
  <c r="FH447" i="1"/>
  <c r="FI447" i="1" s="1"/>
  <c r="FH446" i="1"/>
  <c r="BK447" i="1"/>
  <c r="BK508" i="1" s="1"/>
  <c r="BI447" i="1"/>
  <c r="BI508" i="1" s="1"/>
  <c r="BG447" i="1"/>
  <c r="BG508" i="1" s="1"/>
  <c r="BA447" i="1"/>
  <c r="BA508" i="1" s="1"/>
  <c r="AW447" i="1"/>
  <c r="AW508" i="1" s="1"/>
  <c r="AU447" i="1"/>
  <c r="AU508" i="1" s="1"/>
  <c r="BD508" i="1" s="1"/>
  <c r="AS447" i="1"/>
  <c r="AS508" i="1" s="1"/>
  <c r="AT508" i="1" s="1"/>
  <c r="AQ447" i="1"/>
  <c r="AQ508" i="1" s="1"/>
  <c r="AZ508" i="1" s="1"/>
  <c r="AM447" i="1"/>
  <c r="AM508" i="1" s="1"/>
  <c r="AN508" i="1" s="1"/>
  <c r="AI447" i="1"/>
  <c r="AI508" i="1" s="1"/>
  <c r="AJ508" i="1" s="1"/>
  <c r="C447" i="1"/>
  <c r="L447" i="1" s="1"/>
  <c r="C446" i="1"/>
  <c r="C449" i="1" s="1"/>
  <c r="L449" i="1" s="1"/>
  <c r="FV443" i="1"/>
  <c r="FR443" i="1"/>
  <c r="FN443" i="1"/>
  <c r="FJ443" i="1"/>
  <c r="FF443" i="1"/>
  <c r="FD443" i="1"/>
  <c r="FD453" i="1" s="1"/>
  <c r="FB443" i="1"/>
  <c r="BV443" i="1"/>
  <c r="BU443" i="1"/>
  <c r="BU451" i="1" s="1"/>
  <c r="BV451" i="1" s="1"/>
  <c r="BS443" i="1"/>
  <c r="BR443" i="1"/>
  <c r="BQ443" i="1"/>
  <c r="BQ451" i="1" s="1"/>
  <c r="BO443" i="1"/>
  <c r="BN443" i="1"/>
  <c r="BM443" i="1"/>
  <c r="BM451" i="1" s="1"/>
  <c r="BK443" i="1"/>
  <c r="BJ443" i="1"/>
  <c r="BI443" i="1"/>
  <c r="BG443" i="1"/>
  <c r="BF443" i="1"/>
  <c r="BE443" i="1"/>
  <c r="BE453" i="1" s="1"/>
  <c r="BC443" i="1"/>
  <c r="BD443" i="1" s="1"/>
  <c r="BB443" i="1"/>
  <c r="BA443" i="1"/>
  <c r="BA453" i="1" s="1"/>
  <c r="AY443" i="1"/>
  <c r="AZ443" i="1" s="1"/>
  <c r="AX443" i="1"/>
  <c r="AW443" i="1"/>
  <c r="AU443" i="1"/>
  <c r="AV443" i="1" s="1"/>
  <c r="AT443" i="1"/>
  <c r="AS443" i="1"/>
  <c r="AS453" i="1" s="1"/>
  <c r="AQ443" i="1"/>
  <c r="AR443" i="1" s="1"/>
  <c r="AP443" i="1"/>
  <c r="AO443" i="1"/>
  <c r="AO453" i="1" s="1"/>
  <c r="AM443" i="1"/>
  <c r="AN443" i="1" s="1"/>
  <c r="AL443" i="1"/>
  <c r="AK443" i="1"/>
  <c r="AK453" i="1" s="1"/>
  <c r="AI443" i="1"/>
  <c r="AJ443" i="1" s="1"/>
  <c r="AH443" i="1"/>
  <c r="AG443" i="1"/>
  <c r="AG453" i="1" s="1"/>
  <c r="AE443" i="1"/>
  <c r="AF443" i="1" s="1"/>
  <c r="AD443" i="1"/>
  <c r="AC443" i="1"/>
  <c r="AC453" i="1" s="1"/>
  <c r="AA443" i="1"/>
  <c r="AB443" i="1" s="1"/>
  <c r="Z443" i="1"/>
  <c r="Y443" i="1"/>
  <c r="Y453" i="1" s="1"/>
  <c r="W443" i="1"/>
  <c r="X443" i="1" s="1"/>
  <c r="V443" i="1"/>
  <c r="U443" i="1"/>
  <c r="U453" i="1" s="1"/>
  <c r="S443" i="1"/>
  <c r="T443" i="1" s="1"/>
  <c r="Q443" i="1"/>
  <c r="Q453" i="1" s="1"/>
  <c r="O443" i="1"/>
  <c r="P443" i="1" s="1"/>
  <c r="N443" i="1"/>
  <c r="M443" i="1"/>
  <c r="M453" i="1" s="1"/>
  <c r="K443" i="1"/>
  <c r="I443" i="1"/>
  <c r="I453" i="1" s="1"/>
  <c r="G443" i="1"/>
  <c r="G451" i="1" s="1"/>
  <c r="E443" i="1"/>
  <c r="E453" i="1" s="1"/>
  <c r="C442" i="1"/>
  <c r="L442" i="1" s="1"/>
  <c r="C441" i="1"/>
  <c r="FE442" i="1"/>
  <c r="FE441" i="1"/>
  <c r="BV442" i="1"/>
  <c r="BV441" i="1"/>
  <c r="BT442" i="1"/>
  <c r="BT441" i="1"/>
  <c r="BR442" i="1"/>
  <c r="BR441" i="1"/>
  <c r="BP442" i="1"/>
  <c r="BP441" i="1"/>
  <c r="BN442" i="1"/>
  <c r="BN441" i="1"/>
  <c r="BL442" i="1"/>
  <c r="BL441" i="1"/>
  <c r="BJ442" i="1"/>
  <c r="BJ441" i="1"/>
  <c r="BH442" i="1"/>
  <c r="BH441" i="1"/>
  <c r="BF442" i="1"/>
  <c r="BF441" i="1"/>
  <c r="BD442" i="1"/>
  <c r="BD441" i="1"/>
  <c r="BB442" i="1"/>
  <c r="BB441" i="1"/>
  <c r="AZ442" i="1"/>
  <c r="AZ441" i="1"/>
  <c r="AX442" i="1"/>
  <c r="AX441" i="1"/>
  <c r="AV442" i="1"/>
  <c r="AV441" i="1"/>
  <c r="AT442" i="1"/>
  <c r="AT441" i="1"/>
  <c r="AR442" i="1"/>
  <c r="AR441" i="1"/>
  <c r="AP442" i="1"/>
  <c r="AP441" i="1"/>
  <c r="AN442" i="1"/>
  <c r="AN441" i="1"/>
  <c r="AL442" i="1"/>
  <c r="AL441" i="1"/>
  <c r="AJ442" i="1"/>
  <c r="AJ441" i="1"/>
  <c r="AH442" i="1"/>
  <c r="AH441" i="1"/>
  <c r="AF442" i="1"/>
  <c r="AF441" i="1"/>
  <c r="AD442" i="1"/>
  <c r="AD441" i="1"/>
  <c r="AB442" i="1"/>
  <c r="AB441" i="1"/>
  <c r="Z442" i="1"/>
  <c r="Z441" i="1"/>
  <c r="X442" i="1"/>
  <c r="X441" i="1"/>
  <c r="V442" i="1"/>
  <c r="V441" i="1"/>
  <c r="T442" i="1"/>
  <c r="T441" i="1"/>
  <c r="R442" i="1"/>
  <c r="R441" i="1"/>
  <c r="P442" i="1"/>
  <c r="P441" i="1"/>
  <c r="N442" i="1"/>
  <c r="N441" i="1"/>
  <c r="L441" i="1"/>
  <c r="FW442" i="1"/>
  <c r="FV442" i="1"/>
  <c r="FT442" i="1"/>
  <c r="FS442" i="1"/>
  <c r="FR442" i="1"/>
  <c r="FP442" i="1"/>
  <c r="FO442" i="1"/>
  <c r="FN442" i="1"/>
  <c r="FL442" i="1"/>
  <c r="FK442" i="1"/>
  <c r="FJ442" i="1"/>
  <c r="FH442" i="1"/>
  <c r="FG442" i="1"/>
  <c r="FV441" i="1"/>
  <c r="FT441" i="1"/>
  <c r="FW441" i="1" s="1"/>
  <c r="FR441" i="1"/>
  <c r="FP441" i="1"/>
  <c r="FS441" i="1" s="1"/>
  <c r="FN441" i="1"/>
  <c r="FL441" i="1"/>
  <c r="FO441" i="1" s="1"/>
  <c r="FJ441" i="1"/>
  <c r="FH441" i="1"/>
  <c r="FK441" i="1" s="1"/>
  <c r="FG441" i="1"/>
  <c r="FG436" i="1"/>
  <c r="FE436" i="1"/>
  <c r="EM436" i="1"/>
  <c r="EN436" i="1" s="1"/>
  <c r="EE436" i="1"/>
  <c r="EF436" i="1" s="1"/>
  <c r="DW436" i="1"/>
  <c r="DX436" i="1" s="1"/>
  <c r="DO436" i="1"/>
  <c r="DP436" i="1" s="1"/>
  <c r="DG436" i="1"/>
  <c r="DH436" i="1" s="1"/>
  <c r="CY436" i="1"/>
  <c r="CZ436" i="1" s="1"/>
  <c r="CQ436" i="1"/>
  <c r="CR436" i="1" s="1"/>
  <c r="CL436" i="1"/>
  <c r="CK436" i="1"/>
  <c r="CI436" i="1"/>
  <c r="CJ436" i="1" s="1"/>
  <c r="CH436" i="1"/>
  <c r="CG436" i="1"/>
  <c r="CE436" i="1"/>
  <c r="CF436" i="1" s="1"/>
  <c r="CD436" i="1"/>
  <c r="CC436" i="1"/>
  <c r="CA436" i="1"/>
  <c r="CB436" i="1" s="1"/>
  <c r="BZ436" i="1"/>
  <c r="BY436" i="1"/>
  <c r="BW436" i="1"/>
  <c r="BX436" i="1" s="1"/>
  <c r="BV436" i="1"/>
  <c r="BU436" i="1"/>
  <c r="BS436" i="1"/>
  <c r="BT436" i="1" s="1"/>
  <c r="BR436" i="1"/>
  <c r="BQ436" i="1"/>
  <c r="BO436" i="1"/>
  <c r="BP436" i="1" s="1"/>
  <c r="BN436" i="1"/>
  <c r="BM436" i="1"/>
  <c r="BK436" i="1"/>
  <c r="BL436" i="1" s="1"/>
  <c r="BJ436" i="1"/>
  <c r="BI436" i="1"/>
  <c r="BG436" i="1"/>
  <c r="BE436" i="1"/>
  <c r="BC436" i="1"/>
  <c r="BA436" i="1"/>
  <c r="EN435" i="1"/>
  <c r="EL435" i="1"/>
  <c r="EL434" i="1"/>
  <c r="EJ435" i="1"/>
  <c r="EH435" i="1"/>
  <c r="EH434" i="1"/>
  <c r="EF435" i="1"/>
  <c r="ED435" i="1"/>
  <c r="ED434" i="1"/>
  <c r="EB435" i="1"/>
  <c r="DZ435" i="1"/>
  <c r="DZ434" i="1"/>
  <c r="DX435" i="1"/>
  <c r="DV435" i="1"/>
  <c r="DV434" i="1"/>
  <c r="DT435" i="1"/>
  <c r="DR435" i="1"/>
  <c r="DR434" i="1"/>
  <c r="DP435" i="1"/>
  <c r="DN435" i="1"/>
  <c r="DN434" i="1"/>
  <c r="DL435" i="1"/>
  <c r="DJ435" i="1"/>
  <c r="DJ434" i="1"/>
  <c r="DH435" i="1"/>
  <c r="DF435" i="1"/>
  <c r="DF434" i="1"/>
  <c r="DD435" i="1"/>
  <c r="DB435" i="1"/>
  <c r="DB434" i="1"/>
  <c r="CZ435" i="1"/>
  <c r="CX435" i="1"/>
  <c r="CX434" i="1"/>
  <c r="CV435" i="1"/>
  <c r="CT435" i="1"/>
  <c r="CT434" i="1"/>
  <c r="CR435" i="1"/>
  <c r="CP435" i="1"/>
  <c r="CP434" i="1"/>
  <c r="CN435" i="1"/>
  <c r="CL435" i="1"/>
  <c r="CL434" i="1"/>
  <c r="CJ435" i="1"/>
  <c r="CJ434" i="1"/>
  <c r="CH435" i="1"/>
  <c r="CH434" i="1"/>
  <c r="CF435" i="1"/>
  <c r="CF434" i="1"/>
  <c r="CD435" i="1"/>
  <c r="CD434" i="1"/>
  <c r="CB435" i="1"/>
  <c r="CB434" i="1"/>
  <c r="BZ435" i="1"/>
  <c r="BZ434" i="1"/>
  <c r="BX435" i="1"/>
  <c r="BX434" i="1"/>
  <c r="BN435" i="1"/>
  <c r="BN434" i="1"/>
  <c r="GO435" i="1"/>
  <c r="GN435" i="1"/>
  <c r="GL435" i="1"/>
  <c r="GM435" i="1" s="1"/>
  <c r="GK435" i="1"/>
  <c r="GJ435" i="1"/>
  <c r="GH435" i="1"/>
  <c r="GI435" i="1" s="1"/>
  <c r="GG435" i="1"/>
  <c r="GF435" i="1"/>
  <c r="GD435" i="1"/>
  <c r="GE435" i="1" s="1"/>
  <c r="GC435" i="1"/>
  <c r="GB435" i="1"/>
  <c r="FZ435" i="1"/>
  <c r="GA435" i="1" s="1"/>
  <c r="FY435" i="1"/>
  <c r="FX435" i="1"/>
  <c r="FV435" i="1"/>
  <c r="FW435" i="1" s="1"/>
  <c r="FU435" i="1"/>
  <c r="FT435" i="1"/>
  <c r="FR435" i="1"/>
  <c r="FS435" i="1" s="1"/>
  <c r="FZ434" i="1"/>
  <c r="FX434" i="1"/>
  <c r="GA434" i="1" s="1"/>
  <c r="FV434" i="1"/>
  <c r="FT434" i="1"/>
  <c r="FW434" i="1" s="1"/>
  <c r="FR434" i="1"/>
  <c r="FP434" i="1"/>
  <c r="FS434" i="1" s="1"/>
  <c r="FN434" i="1"/>
  <c r="FL434" i="1"/>
  <c r="FO434" i="1" s="1"/>
  <c r="FJ434" i="1"/>
  <c r="FH434" i="1"/>
  <c r="FK434" i="1" s="1"/>
  <c r="FG434" i="1"/>
  <c r="FE434" i="1"/>
  <c r="EW435" i="1"/>
  <c r="EX435" i="1" s="1"/>
  <c r="EV435" i="1"/>
  <c r="EU435" i="1"/>
  <c r="ES435" i="1"/>
  <c r="GP435" i="1" s="1"/>
  <c r="ER435" i="1"/>
  <c r="EQ435" i="1"/>
  <c r="EP435" i="1"/>
  <c r="EU434" i="1"/>
  <c r="EV434" i="1" s="1"/>
  <c r="EP434" i="1"/>
  <c r="EO434" i="1"/>
  <c r="EW434" i="1" s="1"/>
  <c r="EM434" i="1"/>
  <c r="EN434" i="1" s="1"/>
  <c r="EK434" i="1"/>
  <c r="ES434" i="1" s="1"/>
  <c r="EI434" i="1"/>
  <c r="EJ434" i="1" s="1"/>
  <c r="EG434" i="1"/>
  <c r="EG436" i="1" s="1"/>
  <c r="EE434" i="1"/>
  <c r="EF434" i="1" s="1"/>
  <c r="EC434" i="1"/>
  <c r="EC436" i="1" s="1"/>
  <c r="EA434" i="1"/>
  <c r="EB434" i="1" s="1"/>
  <c r="DY434" i="1"/>
  <c r="DY436" i="1" s="1"/>
  <c r="DW434" i="1"/>
  <c r="DX434" i="1" s="1"/>
  <c r="DU434" i="1"/>
  <c r="DU436" i="1" s="1"/>
  <c r="DS434" i="1"/>
  <c r="DT434" i="1" s="1"/>
  <c r="DQ434" i="1"/>
  <c r="DQ436" i="1" s="1"/>
  <c r="DO434" i="1"/>
  <c r="DP434" i="1" s="1"/>
  <c r="DM434" i="1"/>
  <c r="DM436" i="1" s="1"/>
  <c r="DK434" i="1"/>
  <c r="DL434" i="1" s="1"/>
  <c r="DI434" i="1"/>
  <c r="DI436" i="1" s="1"/>
  <c r="DG434" i="1"/>
  <c r="DH434" i="1" s="1"/>
  <c r="DE434" i="1"/>
  <c r="DE436" i="1" s="1"/>
  <c r="DC434" i="1"/>
  <c r="DD434" i="1" s="1"/>
  <c r="DA434" i="1"/>
  <c r="DA436" i="1" s="1"/>
  <c r="CY434" i="1"/>
  <c r="CZ434" i="1" s="1"/>
  <c r="CW434" i="1"/>
  <c r="CW436" i="1" s="1"/>
  <c r="CU434" i="1"/>
  <c r="CV434" i="1" s="1"/>
  <c r="CS434" i="1"/>
  <c r="CS436" i="1" s="1"/>
  <c r="CT436" i="1" s="1"/>
  <c r="CQ434" i="1"/>
  <c r="CR434" i="1" s="1"/>
  <c r="CO434" i="1"/>
  <c r="CO436" i="1" s="1"/>
  <c r="CP436" i="1" s="1"/>
  <c r="CM434" i="1"/>
  <c r="CN434" i="1" s="1"/>
  <c r="BV434" i="1"/>
  <c r="BT434" i="1"/>
  <c r="BR434" i="1"/>
  <c r="BP434" i="1"/>
  <c r="BL434" i="1"/>
  <c r="BJ434" i="1"/>
  <c r="BH434" i="1"/>
  <c r="BF434" i="1"/>
  <c r="BD434" i="1"/>
  <c r="BB434" i="1"/>
  <c r="AZ434" i="1"/>
  <c r="AX434" i="1"/>
  <c r="AV434" i="1"/>
  <c r="AT434" i="1"/>
  <c r="AR434" i="1"/>
  <c r="AP434" i="1"/>
  <c r="AN434" i="1"/>
  <c r="AL434" i="1"/>
  <c r="AJ434" i="1"/>
  <c r="AH434" i="1"/>
  <c r="AF434" i="1"/>
  <c r="AD434" i="1"/>
  <c r="AB434" i="1"/>
  <c r="Z434" i="1"/>
  <c r="X434" i="1"/>
  <c r="V434" i="1"/>
  <c r="T434" i="1"/>
  <c r="R434" i="1"/>
  <c r="P434" i="1"/>
  <c r="N434" i="1"/>
  <c r="L434" i="1"/>
  <c r="EX431" i="1"/>
  <c r="EV431" i="1"/>
  <c r="ET431" i="1"/>
  <c r="ER431" i="1"/>
  <c r="DG431" i="1"/>
  <c r="DG563" i="1" s="1"/>
  <c r="DE431" i="1"/>
  <c r="DC431" i="1"/>
  <c r="GF431" i="1" s="1"/>
  <c r="EP431" i="1"/>
  <c r="EN431" i="1"/>
  <c r="EL431" i="1"/>
  <c r="EK431" i="1"/>
  <c r="EF431" i="1"/>
  <c r="EE431" i="1"/>
  <c r="EC431" i="1"/>
  <c r="ED431" i="1" s="1"/>
  <c r="EB431" i="1"/>
  <c r="EA431" i="1"/>
  <c r="EJ431" i="1" s="1"/>
  <c r="DY431" i="1"/>
  <c r="DZ431" i="1" s="1"/>
  <c r="DX431" i="1"/>
  <c r="DV431" i="1"/>
  <c r="DT431" i="1"/>
  <c r="DR431" i="1"/>
  <c r="DP431" i="1"/>
  <c r="DN431" i="1"/>
  <c r="DM431" i="1"/>
  <c r="DM563" i="1" s="1"/>
  <c r="GF427" i="1"/>
  <c r="GF425" i="1"/>
  <c r="GD427" i="1"/>
  <c r="GE427" i="1" s="1"/>
  <c r="GD425" i="1"/>
  <c r="GB427" i="1"/>
  <c r="DG427" i="1"/>
  <c r="DE427" i="1"/>
  <c r="CM427" i="1"/>
  <c r="FF428" i="1"/>
  <c r="FF528" i="1" s="1"/>
  <c r="FB428" i="1"/>
  <c r="DL427" i="1"/>
  <c r="DL425" i="1"/>
  <c r="DJ427" i="1"/>
  <c r="DJ425" i="1"/>
  <c r="DH427" i="1"/>
  <c r="DH425" i="1"/>
  <c r="DF427" i="1"/>
  <c r="DF425" i="1"/>
  <c r="DD427" i="1"/>
  <c r="DD425" i="1"/>
  <c r="DB427" i="1"/>
  <c r="CZ427" i="1"/>
  <c r="CZ425" i="1"/>
  <c r="CX427" i="1"/>
  <c r="CX425" i="1"/>
  <c r="CV427" i="1"/>
  <c r="CV425" i="1"/>
  <c r="CT427" i="1"/>
  <c r="CR427" i="1"/>
  <c r="CR425" i="1"/>
  <c r="CP427" i="1"/>
  <c r="CP425" i="1"/>
  <c r="CN427" i="1"/>
  <c r="CN425" i="1"/>
  <c r="GW427" i="1"/>
  <c r="GW425" i="1"/>
  <c r="GU427" i="1"/>
  <c r="GU425" i="1"/>
  <c r="GP427" i="1"/>
  <c r="GQ427" i="1" s="1"/>
  <c r="GN427" i="1"/>
  <c r="GL427" i="1"/>
  <c r="GO427" i="1" s="1"/>
  <c r="GJ427" i="1"/>
  <c r="GH427" i="1"/>
  <c r="GK427" i="1" s="1"/>
  <c r="FG427" i="1"/>
  <c r="FE427" i="1"/>
  <c r="EX427" i="1"/>
  <c r="EV427" i="1"/>
  <c r="ET427" i="1"/>
  <c r="ER427" i="1"/>
  <c r="EP427" i="1"/>
  <c r="EN427" i="1"/>
  <c r="EL427" i="1"/>
  <c r="EJ427" i="1"/>
  <c r="EH427" i="1"/>
  <c r="EF427" i="1"/>
  <c r="EF425" i="1"/>
  <c r="ED427" i="1"/>
  <c r="ED425" i="1"/>
  <c r="EB427" i="1"/>
  <c r="EB425" i="1"/>
  <c r="DZ427" i="1"/>
  <c r="DZ425" i="1"/>
  <c r="DX427" i="1"/>
  <c r="DX425" i="1"/>
  <c r="DV427" i="1"/>
  <c r="DV425" i="1"/>
  <c r="DT427" i="1"/>
  <c r="DT425" i="1"/>
  <c r="DR427" i="1"/>
  <c r="DR425" i="1"/>
  <c r="DP427" i="1"/>
  <c r="DP425" i="1"/>
  <c r="DN427" i="1"/>
  <c r="DN425" i="1"/>
  <c r="CL427" i="1"/>
  <c r="CJ427" i="1"/>
  <c r="CH427" i="1"/>
  <c r="CF427" i="1"/>
  <c r="CD427" i="1"/>
  <c r="CB427" i="1"/>
  <c r="BZ427" i="1"/>
  <c r="BX427" i="1"/>
  <c r="BV427" i="1"/>
  <c r="BT427" i="1"/>
  <c r="BR427" i="1"/>
  <c r="BP427" i="1"/>
  <c r="BN427" i="1"/>
  <c r="BL427" i="1"/>
  <c r="BJ427" i="1"/>
  <c r="BH427" i="1"/>
  <c r="BF427" i="1"/>
  <c r="BD427" i="1"/>
  <c r="AZ427" i="1"/>
  <c r="AX427" i="1"/>
  <c r="AV427" i="1"/>
  <c r="AS427" i="1"/>
  <c r="BB427" i="1" s="1"/>
  <c r="AR427" i="1"/>
  <c r="AP427" i="1"/>
  <c r="AN427" i="1"/>
  <c r="AL427" i="1"/>
  <c r="AJ427" i="1"/>
  <c r="AH427" i="1"/>
  <c r="AF427" i="1"/>
  <c r="AD427" i="1"/>
  <c r="AB427" i="1"/>
  <c r="Z427" i="1"/>
  <c r="X427" i="1"/>
  <c r="V427" i="1"/>
  <c r="T427" i="1"/>
  <c r="R427" i="1"/>
  <c r="P427" i="1"/>
  <c r="N427" i="1"/>
  <c r="L427" i="1"/>
  <c r="FZ427" i="1"/>
  <c r="GC427" i="1" s="1"/>
  <c r="FX427" i="1"/>
  <c r="GA427" i="1" s="1"/>
  <c r="FV427" i="1"/>
  <c r="FT427" i="1"/>
  <c r="FW427" i="1" s="1"/>
  <c r="FR427" i="1"/>
  <c r="FP427" i="1"/>
  <c r="FS427" i="1" s="1"/>
  <c r="FN427" i="1"/>
  <c r="FL427" i="1"/>
  <c r="FL534" i="1" s="1"/>
  <c r="FM534" i="1" s="1"/>
  <c r="FJ427" i="1"/>
  <c r="FJ534" i="1" s="1"/>
  <c r="FH427" i="1"/>
  <c r="FH534" i="1" s="1"/>
  <c r="FI534" i="1" s="1"/>
  <c r="EQ425" i="1"/>
  <c r="ES425" i="1" s="1"/>
  <c r="EI425" i="1"/>
  <c r="EG425" i="1"/>
  <c r="EG537" i="1" s="1"/>
  <c r="CS425" i="1"/>
  <c r="GZ427" i="1"/>
  <c r="GY427" i="1"/>
  <c r="GY425" i="1"/>
  <c r="GJ425" i="1"/>
  <c r="GK425" i="1" s="1"/>
  <c r="GI425" i="1"/>
  <c r="GH425" i="1"/>
  <c r="GG425" i="1"/>
  <c r="GA425" i="1"/>
  <c r="FY425" i="1"/>
  <c r="FW425" i="1"/>
  <c r="FU425" i="1"/>
  <c r="FS425" i="1"/>
  <c r="FQ425" i="1"/>
  <c r="FO425" i="1"/>
  <c r="FM425" i="1"/>
  <c r="FK425" i="1"/>
  <c r="FI425" i="1"/>
  <c r="FE423" i="1"/>
  <c r="FE422" i="1"/>
  <c r="FG423" i="1"/>
  <c r="FG422" i="1"/>
  <c r="L423" i="1"/>
  <c r="FE420" i="1"/>
  <c r="FE419" i="1"/>
  <c r="FE418" i="1"/>
  <c r="L420" i="1"/>
  <c r="EV419" i="1"/>
  <c r="EO419" i="1"/>
  <c r="EX419" i="1" s="1"/>
  <c r="EN419" i="1"/>
  <c r="EM419" i="1"/>
  <c r="EK419" i="1"/>
  <c r="EQ419" i="1" s="1"/>
  <c r="EJ419" i="1"/>
  <c r="EI419" i="1"/>
  <c r="EG419" i="1"/>
  <c r="EH419" i="1" s="1"/>
  <c r="EF419" i="1"/>
  <c r="EE419" i="1"/>
  <c r="EC419" i="1"/>
  <c r="ED419" i="1" s="1"/>
  <c r="EB419" i="1"/>
  <c r="EA419" i="1"/>
  <c r="DY419" i="1"/>
  <c r="DZ419" i="1" s="1"/>
  <c r="DX419" i="1"/>
  <c r="DW419" i="1"/>
  <c r="DU419" i="1"/>
  <c r="DV419" i="1" s="1"/>
  <c r="DT419" i="1"/>
  <c r="DS419" i="1"/>
  <c r="DQ419" i="1"/>
  <c r="DR419" i="1" s="1"/>
  <c r="DP419" i="1"/>
  <c r="DO419" i="1"/>
  <c r="DM419" i="1"/>
  <c r="DN419" i="1" s="1"/>
  <c r="DL419" i="1"/>
  <c r="DK419" i="1"/>
  <c r="DI419" i="1"/>
  <c r="DJ419" i="1" s="1"/>
  <c r="DH419" i="1"/>
  <c r="DG419" i="1"/>
  <c r="DE419" i="1"/>
  <c r="DF419" i="1" s="1"/>
  <c r="DD419" i="1"/>
  <c r="DC419" i="1"/>
  <c r="DA419" i="1"/>
  <c r="DB419" i="1" s="1"/>
  <c r="CZ419" i="1"/>
  <c r="CY419" i="1"/>
  <c r="CW419" i="1"/>
  <c r="CX419" i="1" s="1"/>
  <c r="CV419" i="1"/>
  <c r="CU419" i="1"/>
  <c r="CS419" i="1"/>
  <c r="CT419" i="1" s="1"/>
  <c r="CR419" i="1"/>
  <c r="CQ419" i="1"/>
  <c r="CO419" i="1"/>
  <c r="CP419" i="1" s="1"/>
  <c r="CN419" i="1"/>
  <c r="CM419" i="1"/>
  <c r="CK419" i="1"/>
  <c r="CL419" i="1" s="1"/>
  <c r="CJ419" i="1"/>
  <c r="CI419" i="1"/>
  <c r="CG419" i="1"/>
  <c r="CH419" i="1" s="1"/>
  <c r="CF419" i="1"/>
  <c r="CE419" i="1"/>
  <c r="CC419" i="1"/>
  <c r="CD419" i="1" s="1"/>
  <c r="CB419" i="1"/>
  <c r="CA419" i="1"/>
  <c r="BY419" i="1"/>
  <c r="BZ419" i="1" s="1"/>
  <c r="BX419" i="1"/>
  <c r="BW419" i="1"/>
  <c r="BU419" i="1"/>
  <c r="BV419" i="1" s="1"/>
  <c r="BT419" i="1"/>
  <c r="BS419" i="1"/>
  <c r="BQ419" i="1"/>
  <c r="BR419" i="1" s="1"/>
  <c r="BP419" i="1"/>
  <c r="BO419" i="1"/>
  <c r="BM419" i="1"/>
  <c r="BN419" i="1" s="1"/>
  <c r="BL419" i="1"/>
  <c r="BK419" i="1"/>
  <c r="BI419" i="1"/>
  <c r="BJ419" i="1" s="1"/>
  <c r="BH419" i="1"/>
  <c r="BG419" i="1"/>
  <c r="BE419" i="1"/>
  <c r="BF419" i="1" s="1"/>
  <c r="BD419" i="1"/>
  <c r="BC419" i="1"/>
  <c r="BA419" i="1"/>
  <c r="BB419" i="1" s="1"/>
  <c r="AZ419" i="1"/>
  <c r="AY419" i="1"/>
  <c r="AW419" i="1"/>
  <c r="AX419" i="1" s="1"/>
  <c r="AV419" i="1"/>
  <c r="AU419" i="1"/>
  <c r="AS419" i="1"/>
  <c r="AT419" i="1" s="1"/>
  <c r="AR419" i="1"/>
  <c r="AQ419" i="1"/>
  <c r="AO419" i="1"/>
  <c r="AP419" i="1" s="1"/>
  <c r="AN419" i="1"/>
  <c r="AM419" i="1"/>
  <c r="AK419" i="1"/>
  <c r="AL419" i="1" s="1"/>
  <c r="AJ419" i="1"/>
  <c r="AI419" i="1"/>
  <c r="AG419" i="1"/>
  <c r="AH419" i="1" s="1"/>
  <c r="AF419" i="1"/>
  <c r="AE419" i="1"/>
  <c r="AC419" i="1"/>
  <c r="AD419" i="1" s="1"/>
  <c r="AB419" i="1"/>
  <c r="AA419" i="1"/>
  <c r="Y419" i="1"/>
  <c r="Z419" i="1" s="1"/>
  <c r="X419" i="1"/>
  <c r="W419" i="1"/>
  <c r="U419" i="1"/>
  <c r="V419" i="1" s="1"/>
  <c r="T419" i="1"/>
  <c r="S419" i="1"/>
  <c r="Q419" i="1"/>
  <c r="R419" i="1" s="1"/>
  <c r="P419" i="1"/>
  <c r="O419" i="1"/>
  <c r="M419" i="1"/>
  <c r="N419" i="1" s="1"/>
  <c r="L419" i="1"/>
  <c r="FG420" i="1"/>
  <c r="FG419" i="1"/>
  <c r="FG418" i="1"/>
  <c r="DX534" i="2"/>
  <c r="L418" i="1"/>
  <c r="FE416" i="1"/>
  <c r="FE415" i="1"/>
  <c r="FE414" i="1"/>
  <c r="FE413" i="1"/>
  <c r="FE412" i="1"/>
  <c r="FE411" i="1"/>
  <c r="AJ416" i="1"/>
  <c r="AI416" i="1"/>
  <c r="AG416" i="1"/>
  <c r="AH416" i="1" s="1"/>
  <c r="AF416" i="1"/>
  <c r="AE416" i="1"/>
  <c r="AC416" i="1"/>
  <c r="AD416" i="1" s="1"/>
  <c r="AB416" i="1"/>
  <c r="AA416" i="1"/>
  <c r="Y416" i="1"/>
  <c r="Z416" i="1" s="1"/>
  <c r="W416" i="1"/>
  <c r="U416" i="1"/>
  <c r="V416" i="1" s="1"/>
  <c r="T416" i="1"/>
  <c r="S416" i="1"/>
  <c r="Q416" i="1"/>
  <c r="R416" i="1" s="1"/>
  <c r="M416" i="1"/>
  <c r="N416" i="1" s="1"/>
  <c r="L416" i="1"/>
  <c r="K416" i="1"/>
  <c r="FG416" i="1"/>
  <c r="GP415" i="1"/>
  <c r="FY415" i="1"/>
  <c r="FX415" i="1"/>
  <c r="FV415" i="1"/>
  <c r="FM415" i="1"/>
  <c r="FL415" i="1"/>
  <c r="FJ415" i="1"/>
  <c r="FK415" i="1" s="1"/>
  <c r="FI415" i="1"/>
  <c r="FH415" i="1"/>
  <c r="FG415" i="1"/>
  <c r="EV415" i="1"/>
  <c r="ER413" i="1"/>
  <c r="EO415" i="1"/>
  <c r="EX415" i="1" s="1"/>
  <c r="EN415" i="1"/>
  <c r="EM415" i="1"/>
  <c r="EM416" i="1" s="1"/>
  <c r="EN416" i="1" s="1"/>
  <c r="EK415" i="1"/>
  <c r="GN415" i="1" s="1"/>
  <c r="EJ415" i="1"/>
  <c r="EI415" i="1"/>
  <c r="EI416" i="1" s="1"/>
  <c r="EJ416" i="1" s="1"/>
  <c r="EG415" i="1"/>
  <c r="EH415" i="1" s="1"/>
  <c r="EF415" i="1"/>
  <c r="EE415" i="1"/>
  <c r="EE416" i="1" s="1"/>
  <c r="EC415" i="1"/>
  <c r="GL415" i="1" s="1"/>
  <c r="GM415" i="1" s="1"/>
  <c r="EB415" i="1"/>
  <c r="EA415" i="1"/>
  <c r="EA416" i="1" s="1"/>
  <c r="DY415" i="1"/>
  <c r="DZ415" i="1" s="1"/>
  <c r="DX415" i="1"/>
  <c r="DW415" i="1"/>
  <c r="DW416" i="1" s="1"/>
  <c r="DX416" i="1" s="1"/>
  <c r="DU415" i="1"/>
  <c r="GJ415" i="1" s="1"/>
  <c r="DT415" i="1"/>
  <c r="DS415" i="1"/>
  <c r="DS416" i="1" s="1"/>
  <c r="DT416" i="1" s="1"/>
  <c r="DQ415" i="1"/>
  <c r="DR415" i="1" s="1"/>
  <c r="DP415" i="1"/>
  <c r="DO415" i="1"/>
  <c r="DO416" i="1" s="1"/>
  <c r="DM415" i="1"/>
  <c r="GH415" i="1" s="1"/>
  <c r="GI415" i="1" s="1"/>
  <c r="DL415" i="1"/>
  <c r="DK415" i="1"/>
  <c r="DK416" i="1" s="1"/>
  <c r="DI415" i="1"/>
  <c r="DJ415" i="1" s="1"/>
  <c r="DH415" i="1"/>
  <c r="DG415" i="1"/>
  <c r="DG416" i="1" s="1"/>
  <c r="DH416" i="1" s="1"/>
  <c r="DE415" i="1"/>
  <c r="GF415" i="1" s="1"/>
  <c r="DD415" i="1"/>
  <c r="DC415" i="1"/>
  <c r="DC416" i="1" s="1"/>
  <c r="DD416" i="1" s="1"/>
  <c r="DA415" i="1"/>
  <c r="DB415" i="1" s="1"/>
  <c r="CZ415" i="1"/>
  <c r="CY415" i="1"/>
  <c r="CY416" i="1" s="1"/>
  <c r="CW415" i="1"/>
  <c r="GD415" i="1" s="1"/>
  <c r="GE415" i="1" s="1"/>
  <c r="CV415" i="1"/>
  <c r="CU415" i="1"/>
  <c r="CU416" i="1" s="1"/>
  <c r="CS415" i="1"/>
  <c r="CT415" i="1" s="1"/>
  <c r="CR415" i="1"/>
  <c r="CQ415" i="1"/>
  <c r="CQ416" i="1" s="1"/>
  <c r="CR416" i="1" s="1"/>
  <c r="CO415" i="1"/>
  <c r="GB415" i="1" s="1"/>
  <c r="CN415" i="1"/>
  <c r="CM415" i="1"/>
  <c r="CM416" i="1" s="1"/>
  <c r="CN416" i="1" s="1"/>
  <c r="CK415" i="1"/>
  <c r="CL415" i="1" s="1"/>
  <c r="CJ415" i="1"/>
  <c r="CI415" i="1"/>
  <c r="CI416" i="1" s="1"/>
  <c r="CG415" i="1"/>
  <c r="FZ415" i="1" s="1"/>
  <c r="GA415" i="1" s="1"/>
  <c r="CF415" i="1"/>
  <c r="CE415" i="1"/>
  <c r="CE416" i="1" s="1"/>
  <c r="CC415" i="1"/>
  <c r="CD415" i="1" s="1"/>
  <c r="CB415" i="1"/>
  <c r="CA415" i="1"/>
  <c r="CA416" i="1" s="1"/>
  <c r="CB416" i="1" s="1"/>
  <c r="BY415" i="1"/>
  <c r="BZ415" i="1" s="1"/>
  <c r="BX415" i="1"/>
  <c r="BW415" i="1"/>
  <c r="BW416" i="1" s="1"/>
  <c r="BX416" i="1" s="1"/>
  <c r="BU415" i="1"/>
  <c r="BV415" i="1" s="1"/>
  <c r="BT415" i="1"/>
  <c r="BS415" i="1"/>
  <c r="BS416" i="1" s="1"/>
  <c r="BQ415" i="1"/>
  <c r="BR415" i="1" s="1"/>
  <c r="BP415" i="1"/>
  <c r="BO415" i="1"/>
  <c r="BO416" i="1" s="1"/>
  <c r="BM415" i="1"/>
  <c r="BN415" i="1" s="1"/>
  <c r="BL415" i="1"/>
  <c r="BK415" i="1"/>
  <c r="BK416" i="1" s="1"/>
  <c r="BL416" i="1" s="1"/>
  <c r="BI415" i="1"/>
  <c r="FT415" i="1" s="1"/>
  <c r="BH415" i="1"/>
  <c r="BG415" i="1"/>
  <c r="BG416" i="1" s="1"/>
  <c r="BH416" i="1" s="1"/>
  <c r="BE415" i="1"/>
  <c r="BF415" i="1" s="1"/>
  <c r="BD415" i="1"/>
  <c r="BC415" i="1"/>
  <c r="BC416" i="1" s="1"/>
  <c r="BA415" i="1"/>
  <c r="FR415" i="1" s="1"/>
  <c r="FS415" i="1" s="1"/>
  <c r="AZ415" i="1"/>
  <c r="AY415" i="1"/>
  <c r="AY416" i="1" s="1"/>
  <c r="AW415" i="1"/>
  <c r="AX415" i="1" s="1"/>
  <c r="AV415" i="1"/>
  <c r="AU415" i="1"/>
  <c r="AU416" i="1" s="1"/>
  <c r="AV416" i="1" s="1"/>
  <c r="AS415" i="1"/>
  <c r="FP415" i="1" s="1"/>
  <c r="AR415" i="1"/>
  <c r="AQ415" i="1"/>
  <c r="AQ416" i="1" s="1"/>
  <c r="AR416" i="1" s="1"/>
  <c r="AO415" i="1"/>
  <c r="AP415" i="1" s="1"/>
  <c r="AN415" i="1"/>
  <c r="AM415" i="1"/>
  <c r="AM416" i="1" s="1"/>
  <c r="AN416" i="1" s="1"/>
  <c r="AK415" i="1"/>
  <c r="FN415" i="1" s="1"/>
  <c r="FO415" i="1" s="1"/>
  <c r="AJ415" i="1"/>
  <c r="AH415" i="1"/>
  <c r="AH414" i="1"/>
  <c r="AH413" i="1"/>
  <c r="AH412" i="1"/>
  <c r="AH411" i="1"/>
  <c r="AF415" i="1"/>
  <c r="AF414" i="1"/>
  <c r="AF413" i="1"/>
  <c r="AF412" i="1"/>
  <c r="AF411" i="1"/>
  <c r="AD415" i="1"/>
  <c r="AD414" i="1"/>
  <c r="AD413" i="1"/>
  <c r="AD412" i="1"/>
  <c r="AD411" i="1"/>
  <c r="AB415" i="1"/>
  <c r="AB414" i="1"/>
  <c r="AB413" i="1"/>
  <c r="AB412" i="1"/>
  <c r="AB411" i="1"/>
  <c r="Z415" i="1"/>
  <c r="Z414" i="1"/>
  <c r="Z413" i="1"/>
  <c r="Z412" i="1"/>
  <c r="Z411" i="1"/>
  <c r="X415" i="1"/>
  <c r="X414" i="1"/>
  <c r="X413" i="1"/>
  <c r="X412" i="1"/>
  <c r="V415" i="1"/>
  <c r="V414" i="1"/>
  <c r="V413" i="1"/>
  <c r="V412" i="1"/>
  <c r="V411" i="1"/>
  <c r="T415" i="1"/>
  <c r="T414" i="1"/>
  <c r="T413" i="1"/>
  <c r="T412" i="1"/>
  <c r="T411" i="1"/>
  <c r="R415" i="1"/>
  <c r="R414" i="1"/>
  <c r="R413" i="1"/>
  <c r="R412" i="1"/>
  <c r="R411" i="1"/>
  <c r="P415" i="1"/>
  <c r="P414" i="1"/>
  <c r="P413" i="1"/>
  <c r="P412" i="1"/>
  <c r="N415" i="1"/>
  <c r="N414" i="1"/>
  <c r="N413" i="1"/>
  <c r="N412" i="1"/>
  <c r="N411" i="1"/>
  <c r="L415" i="1"/>
  <c r="L414" i="1"/>
  <c r="L413" i="1"/>
  <c r="L412" i="1"/>
  <c r="L411" i="1"/>
  <c r="EN414" i="1"/>
  <c r="EN413" i="1"/>
  <c r="EN412" i="1"/>
  <c r="EN411" i="1"/>
  <c r="EL414" i="1"/>
  <c r="EL413" i="1"/>
  <c r="EL412" i="1"/>
  <c r="EL411" i="1"/>
  <c r="EJ414" i="1"/>
  <c r="EJ413" i="1"/>
  <c r="EJ412" i="1"/>
  <c r="EJ411" i="1"/>
  <c r="EH414" i="1"/>
  <c r="EH413" i="1"/>
  <c r="EH412" i="1"/>
  <c r="EH411" i="1"/>
  <c r="EF414" i="1"/>
  <c r="EF413" i="1"/>
  <c r="EF412" i="1"/>
  <c r="EF411" i="1"/>
  <c r="ED414" i="1"/>
  <c r="ED413" i="1"/>
  <c r="ED412" i="1"/>
  <c r="ED411" i="1"/>
  <c r="EB414" i="1"/>
  <c r="EB413" i="1"/>
  <c r="EB412" i="1"/>
  <c r="EB411" i="1"/>
  <c r="DZ414" i="1"/>
  <c r="DZ413" i="1"/>
  <c r="DZ412" i="1"/>
  <c r="DZ411" i="1"/>
  <c r="DX414" i="1"/>
  <c r="DX413" i="1"/>
  <c r="DX412" i="1"/>
  <c r="DX411" i="1"/>
  <c r="DV414" i="1"/>
  <c r="DV413" i="1"/>
  <c r="DV412" i="1"/>
  <c r="DV411" i="1"/>
  <c r="DT414" i="1"/>
  <c r="DT413" i="1"/>
  <c r="DT412" i="1"/>
  <c r="DT411" i="1"/>
  <c r="DR414" i="1"/>
  <c r="DR413" i="1"/>
  <c r="DR412" i="1"/>
  <c r="DR411" i="1"/>
  <c r="DP414" i="1"/>
  <c r="DP413" i="1"/>
  <c r="DP412" i="1"/>
  <c r="DP411" i="1"/>
  <c r="DN414" i="1"/>
  <c r="DN413" i="1"/>
  <c r="DN412" i="1"/>
  <c r="DN411" i="1"/>
  <c r="DL414" i="1"/>
  <c r="DL413" i="1"/>
  <c r="DL412" i="1"/>
  <c r="DL411" i="1"/>
  <c r="DJ414" i="1"/>
  <c r="DJ413" i="1"/>
  <c r="DJ412" i="1"/>
  <c r="DJ411" i="1"/>
  <c r="DH414" i="1"/>
  <c r="DH413" i="1"/>
  <c r="DH412" i="1"/>
  <c r="DH411" i="1"/>
  <c r="DF414" i="1"/>
  <c r="DF413" i="1"/>
  <c r="DF412" i="1"/>
  <c r="DF411" i="1"/>
  <c r="DD414" i="1"/>
  <c r="DD413" i="1"/>
  <c r="DD412" i="1"/>
  <c r="DD411" i="1"/>
  <c r="DB414" i="1"/>
  <c r="DB413" i="1"/>
  <c r="DB412" i="1"/>
  <c r="DB411" i="1"/>
  <c r="CZ414" i="1"/>
  <c r="CZ413" i="1"/>
  <c r="CZ412" i="1"/>
  <c r="CZ411" i="1"/>
  <c r="CX414" i="1"/>
  <c r="CX413" i="1"/>
  <c r="CX412" i="1"/>
  <c r="CX411" i="1"/>
  <c r="CV414" i="1"/>
  <c r="CV413" i="1"/>
  <c r="CV412" i="1"/>
  <c r="CV411" i="1"/>
  <c r="CT414" i="1"/>
  <c r="CT413" i="1"/>
  <c r="CT412" i="1"/>
  <c r="CT411" i="1"/>
  <c r="CR414" i="1"/>
  <c r="CR413" i="1"/>
  <c r="CR412" i="1"/>
  <c r="CR411" i="1"/>
  <c r="CP414" i="1"/>
  <c r="CP413" i="1"/>
  <c r="CP412" i="1"/>
  <c r="CP411" i="1"/>
  <c r="CN414" i="1"/>
  <c r="CN413" i="1"/>
  <c r="CN412" i="1"/>
  <c r="CN411" i="1"/>
  <c r="CL414" i="1"/>
  <c r="CL413" i="1"/>
  <c r="CL412" i="1"/>
  <c r="CL411" i="1"/>
  <c r="CJ414" i="1"/>
  <c r="CJ413" i="1"/>
  <c r="CJ412" i="1"/>
  <c r="CJ411" i="1"/>
  <c r="CH414" i="1"/>
  <c r="CH413" i="1"/>
  <c r="CH412" i="1"/>
  <c r="CH411" i="1"/>
  <c r="CF414" i="1"/>
  <c r="CF413" i="1"/>
  <c r="CF412" i="1"/>
  <c r="CF411" i="1"/>
  <c r="CD414" i="1"/>
  <c r="CD413" i="1"/>
  <c r="CD412" i="1"/>
  <c r="CD411" i="1"/>
  <c r="CB414" i="1"/>
  <c r="CB413" i="1"/>
  <c r="CB412" i="1"/>
  <c r="CB411" i="1"/>
  <c r="BZ414" i="1"/>
  <c r="BZ413" i="1"/>
  <c r="BZ412" i="1"/>
  <c r="BZ411" i="1"/>
  <c r="BX414" i="1"/>
  <c r="BX413" i="1"/>
  <c r="BX412" i="1"/>
  <c r="BX411" i="1"/>
  <c r="BV414" i="1"/>
  <c r="BV413" i="1"/>
  <c r="BV412" i="1"/>
  <c r="BV411" i="1"/>
  <c r="BT414" i="1"/>
  <c r="BT413" i="1"/>
  <c r="BT412" i="1"/>
  <c r="BT411" i="1"/>
  <c r="BR414" i="1"/>
  <c r="BR413" i="1"/>
  <c r="BR412" i="1"/>
  <c r="BR411" i="1"/>
  <c r="BP414" i="1"/>
  <c r="BP413" i="1"/>
  <c r="BP412" i="1"/>
  <c r="BP411" i="1"/>
  <c r="BN414" i="1"/>
  <c r="BN413" i="1"/>
  <c r="BN412" i="1"/>
  <c r="BN411" i="1"/>
  <c r="BL414" i="1"/>
  <c r="BL413" i="1"/>
  <c r="BL412" i="1"/>
  <c r="BL411" i="1"/>
  <c r="BJ414" i="1"/>
  <c r="BJ413" i="1"/>
  <c r="BJ412" i="1"/>
  <c r="BJ411" i="1"/>
  <c r="BH414" i="1"/>
  <c r="BH413" i="1"/>
  <c r="BH412" i="1"/>
  <c r="BH411" i="1"/>
  <c r="BF414" i="1"/>
  <c r="BF413" i="1"/>
  <c r="BF412" i="1"/>
  <c r="BF411" i="1"/>
  <c r="BD414" i="1"/>
  <c r="BD413" i="1"/>
  <c r="BD412" i="1"/>
  <c r="BD411" i="1"/>
  <c r="BB414" i="1"/>
  <c r="BB413" i="1"/>
  <c r="BB412" i="1"/>
  <c r="BB411" i="1"/>
  <c r="AZ414" i="1"/>
  <c r="AZ413" i="1"/>
  <c r="AZ412" i="1"/>
  <c r="AZ411" i="1"/>
  <c r="AX414" i="1"/>
  <c r="AX413" i="1"/>
  <c r="AX412" i="1"/>
  <c r="AX411" i="1"/>
  <c r="AV414" i="1"/>
  <c r="AV413" i="1"/>
  <c r="AV412" i="1"/>
  <c r="AV411" i="1"/>
  <c r="AT414" i="1"/>
  <c r="AT413" i="1"/>
  <c r="AT412" i="1"/>
  <c r="AT411" i="1"/>
  <c r="AR414" i="1"/>
  <c r="AR413" i="1"/>
  <c r="AR412" i="1"/>
  <c r="AR411" i="1"/>
  <c r="AP414" i="1"/>
  <c r="AP413" i="1"/>
  <c r="AP412" i="1"/>
  <c r="AP411" i="1"/>
  <c r="AN414" i="1"/>
  <c r="AN413" i="1"/>
  <c r="AN412" i="1"/>
  <c r="AN411" i="1"/>
  <c r="AL414" i="1"/>
  <c r="AL413" i="1"/>
  <c r="AL412" i="1"/>
  <c r="AL411" i="1"/>
  <c r="AJ414" i="1"/>
  <c r="AJ413" i="1"/>
  <c r="AJ412" i="1"/>
  <c r="AJ411" i="1"/>
  <c r="FT414" i="1"/>
  <c r="FS414" i="1"/>
  <c r="FR414" i="1"/>
  <c r="FP414" i="1"/>
  <c r="FO414" i="1"/>
  <c r="FN414" i="1"/>
  <c r="FL414" i="1"/>
  <c r="FK414" i="1"/>
  <c r="FJ414" i="1"/>
  <c r="FH414" i="1"/>
  <c r="FG414" i="1"/>
  <c r="FT413" i="1"/>
  <c r="FR413" i="1"/>
  <c r="FU413" i="1" s="1"/>
  <c r="FP413" i="1"/>
  <c r="FN413" i="1"/>
  <c r="FQ413" i="1" s="1"/>
  <c r="FL413" i="1"/>
  <c r="FJ413" i="1"/>
  <c r="FM413" i="1" s="1"/>
  <c r="FI413" i="1"/>
  <c r="FH413" i="1"/>
  <c r="FG413" i="1"/>
  <c r="GN414" i="1"/>
  <c r="GL414" i="1"/>
  <c r="GJ414" i="1"/>
  <c r="GM414" i="1" s="1"/>
  <c r="GH414" i="1"/>
  <c r="GF414" i="1"/>
  <c r="GI414" i="1" s="1"/>
  <c r="GD414" i="1"/>
  <c r="GB414" i="1"/>
  <c r="GE414" i="1" s="1"/>
  <c r="FZ414" i="1"/>
  <c r="FX414" i="1"/>
  <c r="GA414" i="1" s="1"/>
  <c r="FW414" i="1"/>
  <c r="GN413" i="1"/>
  <c r="GL413" i="1"/>
  <c r="GO413" i="1" s="1"/>
  <c r="GJ413" i="1"/>
  <c r="GH413" i="1"/>
  <c r="GK413" i="1" s="1"/>
  <c r="GF413" i="1"/>
  <c r="GD413" i="1"/>
  <c r="GG413" i="1" s="1"/>
  <c r="GB413" i="1"/>
  <c r="FZ413" i="1"/>
  <c r="GC413" i="1" s="1"/>
  <c r="FY413" i="1"/>
  <c r="FX413" i="1"/>
  <c r="FW413" i="1"/>
  <c r="GN412" i="1"/>
  <c r="GO412" i="1" s="1"/>
  <c r="GL412" i="1"/>
  <c r="GJ412" i="1"/>
  <c r="GM412" i="1" s="1"/>
  <c r="GH412" i="1"/>
  <c r="GF412" i="1"/>
  <c r="GI412" i="1" s="1"/>
  <c r="GD412" i="1"/>
  <c r="GB412" i="1"/>
  <c r="GE412" i="1" s="1"/>
  <c r="FZ412" i="1"/>
  <c r="FX412" i="1"/>
  <c r="GA412" i="1" s="1"/>
  <c r="GN411" i="1"/>
  <c r="GL411" i="1"/>
  <c r="GL416" i="1" s="1"/>
  <c r="GJ411" i="1"/>
  <c r="GH411" i="1"/>
  <c r="GH416" i="1" s="1"/>
  <c r="GF411" i="1"/>
  <c r="GD411" i="1"/>
  <c r="GD416" i="1" s="1"/>
  <c r="GB411" i="1"/>
  <c r="FZ411" i="1"/>
  <c r="FZ416" i="1" s="1"/>
  <c r="FX411" i="1"/>
  <c r="FV412" i="1"/>
  <c r="FW412" i="1" s="1"/>
  <c r="FT412" i="1"/>
  <c r="FT419" i="1" s="1"/>
  <c r="FR412" i="1"/>
  <c r="FU412" i="1" s="1"/>
  <c r="FP412" i="1"/>
  <c r="FP419" i="1" s="1"/>
  <c r="FN412" i="1"/>
  <c r="FQ412" i="1" s="1"/>
  <c r="FL412" i="1"/>
  <c r="FL419" i="1" s="1"/>
  <c r="FJ412" i="1"/>
  <c r="FM412" i="1" s="1"/>
  <c r="FI412" i="1"/>
  <c r="FH412" i="1"/>
  <c r="FH419" i="1" s="1"/>
  <c r="FI419" i="1" s="1"/>
  <c r="FG412" i="1"/>
  <c r="FV411" i="1"/>
  <c r="FV416" i="1" s="1"/>
  <c r="FT411" i="1"/>
  <c r="FR411" i="1"/>
  <c r="FR416" i="1" s="1"/>
  <c r="FP411" i="1"/>
  <c r="FN411" i="1"/>
  <c r="FN416" i="1" s="1"/>
  <c r="FL411" i="1"/>
  <c r="FJ411" i="1"/>
  <c r="FJ416" i="1" s="1"/>
  <c r="FG411" i="1"/>
  <c r="EP414" i="1"/>
  <c r="EQ413" i="1"/>
  <c r="ES413" i="1" s="1"/>
  <c r="EP413" i="1"/>
  <c r="EP412" i="1"/>
  <c r="EP411" i="1"/>
  <c r="O411" i="1"/>
  <c r="O418" i="1" s="1"/>
  <c r="P418" i="1" s="1"/>
  <c r="FG408" i="1"/>
  <c r="FE408" i="1"/>
  <c r="FE407" i="1"/>
  <c r="FE406" i="1"/>
  <c r="FE405" i="1"/>
  <c r="FE404" i="1"/>
  <c r="K408" i="1"/>
  <c r="K422" i="1" s="1"/>
  <c r="I408" i="1"/>
  <c r="G408" i="1"/>
  <c r="E408" i="1"/>
  <c r="C407" i="1"/>
  <c r="C408" i="1" s="1"/>
  <c r="C406" i="1"/>
  <c r="EP407" i="1"/>
  <c r="EN407" i="1"/>
  <c r="EN406" i="1"/>
  <c r="EN404" i="1"/>
  <c r="EN402" i="1"/>
  <c r="EL407" i="1"/>
  <c r="EL406" i="1"/>
  <c r="EL404" i="1"/>
  <c r="EL402" i="1"/>
  <c r="EJ407" i="1"/>
  <c r="EJ406" i="1"/>
  <c r="EJ404" i="1"/>
  <c r="EJ402" i="1"/>
  <c r="EH407" i="1"/>
  <c r="EH406" i="1"/>
  <c r="EH404" i="1"/>
  <c r="EH402" i="1"/>
  <c r="EF407" i="1"/>
  <c r="EF406" i="1"/>
  <c r="EF404" i="1"/>
  <c r="EF403" i="1"/>
  <c r="EF402" i="1"/>
  <c r="ED407" i="1"/>
  <c r="ED406" i="1"/>
  <c r="ED404" i="1"/>
  <c r="ED403" i="1"/>
  <c r="ED402" i="1"/>
  <c r="EB407" i="1"/>
  <c r="EB406" i="1"/>
  <c r="EB404" i="1"/>
  <c r="EB403" i="1"/>
  <c r="EB402" i="1"/>
  <c r="DZ407" i="1"/>
  <c r="DZ406" i="1"/>
  <c r="DZ404" i="1"/>
  <c r="DZ403" i="1"/>
  <c r="DZ402" i="1"/>
  <c r="DX407" i="1"/>
  <c r="DX406" i="1"/>
  <c r="DX404" i="1"/>
  <c r="DX403" i="1"/>
  <c r="DX402" i="1"/>
  <c r="DV407" i="1"/>
  <c r="DV406" i="1"/>
  <c r="DV404" i="1"/>
  <c r="DV403" i="1"/>
  <c r="DV402" i="1"/>
  <c r="DT407" i="1"/>
  <c r="DT406" i="1"/>
  <c r="DT404" i="1"/>
  <c r="DT403" i="1"/>
  <c r="DT402" i="1"/>
  <c r="DR407" i="1"/>
  <c r="DR406" i="1"/>
  <c r="DR404" i="1"/>
  <c r="DR403" i="1"/>
  <c r="DR402" i="1"/>
  <c r="DP407" i="1"/>
  <c r="DP406" i="1"/>
  <c r="DP404" i="1"/>
  <c r="DP403" i="1"/>
  <c r="DP402" i="1"/>
  <c r="DN407" i="1"/>
  <c r="DN406" i="1"/>
  <c r="DN404" i="1"/>
  <c r="DN403" i="1"/>
  <c r="DN402" i="1"/>
  <c r="DL407" i="1"/>
  <c r="DL406" i="1"/>
  <c r="DL404" i="1"/>
  <c r="DJ407" i="1"/>
  <c r="DJ406" i="1"/>
  <c r="DJ404" i="1"/>
  <c r="DH407" i="1"/>
  <c r="DH406" i="1"/>
  <c r="DH404" i="1"/>
  <c r="DH403" i="1"/>
  <c r="DH402" i="1"/>
  <c r="DF407" i="1"/>
  <c r="DF406" i="1"/>
  <c r="DF404" i="1"/>
  <c r="DF403" i="1"/>
  <c r="DF402" i="1"/>
  <c r="DD407" i="1"/>
  <c r="DD406" i="1"/>
  <c r="DD404" i="1"/>
  <c r="DD403" i="1"/>
  <c r="DD402" i="1"/>
  <c r="DB407" i="1"/>
  <c r="DB406" i="1"/>
  <c r="DB404" i="1"/>
  <c r="CZ407" i="1"/>
  <c r="CZ406" i="1"/>
  <c r="CZ404" i="1"/>
  <c r="CX407" i="1"/>
  <c r="CX406" i="1"/>
  <c r="CX404" i="1"/>
  <c r="CV407" i="1"/>
  <c r="CV406" i="1"/>
  <c r="CV404" i="1"/>
  <c r="CT407" i="1"/>
  <c r="CT406" i="1"/>
  <c r="CT404" i="1"/>
  <c r="CR407" i="1"/>
  <c r="CR406" i="1"/>
  <c r="CR404" i="1"/>
  <c r="CP407" i="1"/>
  <c r="CP406" i="1"/>
  <c r="CP404" i="1"/>
  <c r="CN407" i="1"/>
  <c r="CN406" i="1"/>
  <c r="CN404" i="1"/>
  <c r="CL407" i="1"/>
  <c r="CL406" i="1"/>
  <c r="CL404" i="1"/>
  <c r="CJ407" i="1"/>
  <c r="CJ406" i="1"/>
  <c r="CJ404" i="1"/>
  <c r="CH407" i="1"/>
  <c r="CH406" i="1"/>
  <c r="CH404" i="1"/>
  <c r="CF407" i="1"/>
  <c r="CF406" i="1"/>
  <c r="CF404" i="1"/>
  <c r="CD407" i="1"/>
  <c r="CD406" i="1"/>
  <c r="CD404" i="1"/>
  <c r="CB407" i="1"/>
  <c r="CB406" i="1"/>
  <c r="CB404" i="1"/>
  <c r="BZ407" i="1"/>
  <c r="BZ406" i="1"/>
  <c r="BZ404" i="1"/>
  <c r="BX407" i="1"/>
  <c r="BX406" i="1"/>
  <c r="BX404" i="1"/>
  <c r="BV407" i="1"/>
  <c r="BV406" i="1"/>
  <c r="BV404" i="1"/>
  <c r="BT407" i="1"/>
  <c r="BT406" i="1"/>
  <c r="BT404" i="1"/>
  <c r="BR407" i="1"/>
  <c r="BR406" i="1"/>
  <c r="BR404" i="1"/>
  <c r="BP407" i="1"/>
  <c r="BP406" i="1"/>
  <c r="BP404" i="1"/>
  <c r="BN407" i="1"/>
  <c r="BN406" i="1"/>
  <c r="BN404" i="1"/>
  <c r="BL407" i="1"/>
  <c r="BL406" i="1"/>
  <c r="BL404" i="1"/>
  <c r="BJ407" i="1"/>
  <c r="BJ406" i="1"/>
  <c r="BJ404" i="1"/>
  <c r="BH407" i="1"/>
  <c r="BH406" i="1"/>
  <c r="BH404" i="1"/>
  <c r="BF407" i="1"/>
  <c r="BF406" i="1"/>
  <c r="BF404" i="1"/>
  <c r="BD407" i="1"/>
  <c r="BD406" i="1"/>
  <c r="BD404" i="1"/>
  <c r="BB407" i="1"/>
  <c r="BB406" i="1"/>
  <c r="BB404" i="1"/>
  <c r="AZ407" i="1"/>
  <c r="AZ406" i="1"/>
  <c r="AZ404" i="1"/>
  <c r="AX407" i="1"/>
  <c r="AX406" i="1"/>
  <c r="AX404" i="1"/>
  <c r="AV407" i="1"/>
  <c r="AV406" i="1"/>
  <c r="AV404" i="1"/>
  <c r="AT407" i="1"/>
  <c r="AT406" i="1"/>
  <c r="AT404" i="1"/>
  <c r="AR407" i="1"/>
  <c r="AR406" i="1"/>
  <c r="AR404" i="1"/>
  <c r="AP407" i="1"/>
  <c r="AP406" i="1"/>
  <c r="AP404" i="1"/>
  <c r="AN407" i="1"/>
  <c r="AN406" i="1"/>
  <c r="AN404" i="1"/>
  <c r="AL407" i="1"/>
  <c r="AL406" i="1"/>
  <c r="AL404" i="1"/>
  <c r="AJ407" i="1"/>
  <c r="AJ406" i="1"/>
  <c r="AJ404" i="1"/>
  <c r="AH407" i="1"/>
  <c r="AH406" i="1"/>
  <c r="AH404" i="1"/>
  <c r="AF407" i="1"/>
  <c r="AF406" i="1"/>
  <c r="AF404" i="1"/>
  <c r="AD407" i="1"/>
  <c r="AD406" i="1"/>
  <c r="AD404" i="1"/>
  <c r="AB407" i="1"/>
  <c r="AB406" i="1"/>
  <c r="AB404" i="1"/>
  <c r="Z407" i="1"/>
  <c r="Z406" i="1"/>
  <c r="Z404" i="1"/>
  <c r="X407" i="1"/>
  <c r="X406" i="1"/>
  <c r="X404" i="1"/>
  <c r="V407" i="1"/>
  <c r="V406" i="1"/>
  <c r="V404" i="1"/>
  <c r="T407" i="1"/>
  <c r="T406" i="1"/>
  <c r="T404" i="1"/>
  <c r="R407" i="1"/>
  <c r="R406" i="1"/>
  <c r="R404" i="1"/>
  <c r="P407" i="1"/>
  <c r="P406" i="1"/>
  <c r="P404" i="1"/>
  <c r="N407" i="1"/>
  <c r="N406" i="1"/>
  <c r="N404" i="1"/>
  <c r="L407" i="1"/>
  <c r="L406" i="1"/>
  <c r="L404" i="1"/>
  <c r="FT407" i="1"/>
  <c r="FR407" i="1"/>
  <c r="FP407" i="1"/>
  <c r="FN407" i="1"/>
  <c r="FL407" i="1"/>
  <c r="FJ407" i="1"/>
  <c r="FI407" i="1"/>
  <c r="FH407" i="1"/>
  <c r="FG407" i="1"/>
  <c r="FU406" i="1"/>
  <c r="FT406" i="1"/>
  <c r="FW406" i="1" s="1"/>
  <c r="FR406" i="1"/>
  <c r="FQ406" i="1"/>
  <c r="FP406" i="1"/>
  <c r="FS406" i="1" s="1"/>
  <c r="FN406" i="1"/>
  <c r="FM406" i="1"/>
  <c r="FL406" i="1"/>
  <c r="FO406" i="1" s="1"/>
  <c r="FJ406" i="1"/>
  <c r="FI406" i="1"/>
  <c r="FH406" i="1"/>
  <c r="FK406" i="1" s="1"/>
  <c r="FG406" i="1"/>
  <c r="EP406" i="1"/>
  <c r="EP404" i="1"/>
  <c r="EP402" i="1"/>
  <c r="EO405" i="1"/>
  <c r="EM405" i="1"/>
  <c r="EM418" i="1" s="1"/>
  <c r="EK405" i="1"/>
  <c r="EK408" i="1" s="1"/>
  <c r="EI405" i="1"/>
  <c r="EI418" i="1" s="1"/>
  <c r="EG405" i="1"/>
  <c r="EE405" i="1"/>
  <c r="EE418" i="1" s="1"/>
  <c r="EC405" i="1"/>
  <c r="EC408" i="1" s="1"/>
  <c r="EA405" i="1"/>
  <c r="EA418" i="1" s="1"/>
  <c r="DY405" i="1"/>
  <c r="DW405" i="1"/>
  <c r="DW418" i="1" s="1"/>
  <c r="DU405" i="1"/>
  <c r="DU408" i="1" s="1"/>
  <c r="DS405" i="1"/>
  <c r="DS418" i="1" s="1"/>
  <c r="DQ405" i="1"/>
  <c r="DO405" i="1"/>
  <c r="DO418" i="1" s="1"/>
  <c r="DM405" i="1"/>
  <c r="DM408" i="1" s="1"/>
  <c r="DK405" i="1"/>
  <c r="DK418" i="1" s="1"/>
  <c r="DI405" i="1"/>
  <c r="DG405" i="1"/>
  <c r="DG418" i="1" s="1"/>
  <c r="DE405" i="1"/>
  <c r="DE408" i="1" s="1"/>
  <c r="DC405" i="1"/>
  <c r="DC418" i="1" s="1"/>
  <c r="DA405" i="1"/>
  <c r="CY405" i="1"/>
  <c r="CY418" i="1" s="1"/>
  <c r="CW405" i="1"/>
  <c r="CW408" i="1" s="1"/>
  <c r="CU405" i="1"/>
  <c r="CU418" i="1" s="1"/>
  <c r="CS405" i="1"/>
  <c r="CQ405" i="1"/>
  <c r="CQ418" i="1" s="1"/>
  <c r="CO405" i="1"/>
  <c r="CO408" i="1" s="1"/>
  <c r="CM405" i="1"/>
  <c r="CM418" i="1" s="1"/>
  <c r="CK405" i="1"/>
  <c r="CI405" i="1"/>
  <c r="CI418" i="1" s="1"/>
  <c r="CG405" i="1"/>
  <c r="CG408" i="1" s="1"/>
  <c r="CE405" i="1"/>
  <c r="CE418" i="1" s="1"/>
  <c r="CC405" i="1"/>
  <c r="CA405" i="1"/>
  <c r="CA418" i="1" s="1"/>
  <c r="BY405" i="1"/>
  <c r="BY408" i="1" s="1"/>
  <c r="BW405" i="1"/>
  <c r="BW418" i="1" s="1"/>
  <c r="BU405" i="1"/>
  <c r="BS405" i="1"/>
  <c r="BS418" i="1" s="1"/>
  <c r="BQ405" i="1"/>
  <c r="BQ408" i="1" s="1"/>
  <c r="BO405" i="1"/>
  <c r="BO418" i="1" s="1"/>
  <c r="BM405" i="1"/>
  <c r="BK405" i="1"/>
  <c r="BK418" i="1" s="1"/>
  <c r="BI405" i="1"/>
  <c r="BI408" i="1" s="1"/>
  <c r="BG405" i="1"/>
  <c r="BG418" i="1" s="1"/>
  <c r="BE405" i="1"/>
  <c r="BC405" i="1"/>
  <c r="BC418" i="1" s="1"/>
  <c r="BA405" i="1"/>
  <c r="BA408" i="1" s="1"/>
  <c r="AY405" i="1"/>
  <c r="AY418" i="1" s="1"/>
  <c r="AW405" i="1"/>
  <c r="AU405" i="1"/>
  <c r="AU418" i="1" s="1"/>
  <c r="AS405" i="1"/>
  <c r="AS408" i="1" s="1"/>
  <c r="AQ405" i="1"/>
  <c r="AQ418" i="1" s="1"/>
  <c r="AO405" i="1"/>
  <c r="AM405" i="1"/>
  <c r="AM418" i="1" s="1"/>
  <c r="AK405" i="1"/>
  <c r="AK408" i="1" s="1"/>
  <c r="AI405" i="1"/>
  <c r="AI418" i="1" s="1"/>
  <c r="AG405" i="1"/>
  <c r="AE405" i="1"/>
  <c r="AE418" i="1" s="1"/>
  <c r="AC405" i="1"/>
  <c r="AC408" i="1" s="1"/>
  <c r="AA405" i="1"/>
  <c r="AA418" i="1" s="1"/>
  <c r="Y405" i="1"/>
  <c r="W405" i="1"/>
  <c r="W418" i="1" s="1"/>
  <c r="X418" i="1" s="1"/>
  <c r="U405" i="1"/>
  <c r="U408" i="1" s="1"/>
  <c r="S405" i="1"/>
  <c r="S418" i="1" s="1"/>
  <c r="T418" i="1" s="1"/>
  <c r="Q405" i="1"/>
  <c r="O405" i="1"/>
  <c r="M405" i="1"/>
  <c r="M408" i="1" s="1"/>
  <c r="K405" i="1"/>
  <c r="L405" i="1" s="1"/>
  <c r="GN407" i="1"/>
  <c r="GO407" i="1" s="1"/>
  <c r="GL407" i="1"/>
  <c r="GJ407" i="1"/>
  <c r="GH407" i="1"/>
  <c r="GF407" i="1"/>
  <c r="GD407" i="1"/>
  <c r="GB407" i="1"/>
  <c r="FZ407" i="1"/>
  <c r="FX407" i="1"/>
  <c r="FW407" i="1"/>
  <c r="GN406" i="1"/>
  <c r="GL406" i="1"/>
  <c r="GJ406" i="1"/>
  <c r="GH406" i="1"/>
  <c r="GF406" i="1"/>
  <c r="GD406" i="1"/>
  <c r="GB406" i="1"/>
  <c r="FZ406" i="1"/>
  <c r="FY406" i="1"/>
  <c r="FX406" i="1"/>
  <c r="GF405" i="1"/>
  <c r="GB405" i="1"/>
  <c r="FX405" i="1"/>
  <c r="GN404" i="1"/>
  <c r="GL404" i="1"/>
  <c r="GJ404" i="1"/>
  <c r="GH404" i="1"/>
  <c r="GF404" i="1"/>
  <c r="GD404" i="1"/>
  <c r="GB404" i="1"/>
  <c r="FZ404" i="1"/>
  <c r="FX404" i="1"/>
  <c r="FR405" i="1"/>
  <c r="FN405" i="1"/>
  <c r="FG405" i="1"/>
  <c r="FV404" i="1"/>
  <c r="FT404" i="1"/>
  <c r="FR404" i="1"/>
  <c r="FP404" i="1"/>
  <c r="FN404" i="1"/>
  <c r="FL404" i="1"/>
  <c r="FL405" i="1" s="1"/>
  <c r="FJ404" i="1"/>
  <c r="FI404" i="1"/>
  <c r="FH404" i="1"/>
  <c r="FG404" i="1"/>
  <c r="GO403" i="1"/>
  <c r="GM403" i="1"/>
  <c r="GK403" i="1"/>
  <c r="GI403" i="1"/>
  <c r="EM403" i="1"/>
  <c r="EN403" i="1" s="1"/>
  <c r="EK403" i="1"/>
  <c r="EL403" i="1" s="1"/>
  <c r="EI403" i="1"/>
  <c r="EJ403" i="1" s="1"/>
  <c r="EG403" i="1"/>
  <c r="EH403" i="1" s="1"/>
  <c r="GQ403" i="1"/>
  <c r="GN402" i="1"/>
  <c r="GN915" i="1" s="1"/>
  <c r="GL402" i="1"/>
  <c r="GL915" i="1" s="1"/>
  <c r="GJ402" i="1"/>
  <c r="GH402" i="1"/>
  <c r="GF402" i="1"/>
  <c r="GD402" i="1"/>
  <c r="GB402" i="1"/>
  <c r="FZ402" i="1"/>
  <c r="FY402" i="1"/>
  <c r="FX402" i="1"/>
  <c r="FU402" i="1"/>
  <c r="FT402" i="1"/>
  <c r="FW402" i="1" s="1"/>
  <c r="FR402" i="1"/>
  <c r="FQ402" i="1"/>
  <c r="FP402" i="1"/>
  <c r="FS402" i="1" s="1"/>
  <c r="FN402" i="1"/>
  <c r="FM402" i="1"/>
  <c r="FL402" i="1"/>
  <c r="FO402" i="1" s="1"/>
  <c r="FJ402" i="1"/>
  <c r="FI402" i="1"/>
  <c r="FH402" i="1"/>
  <c r="FK402" i="1" s="1"/>
  <c r="FG402" i="1"/>
  <c r="FE402" i="1"/>
  <c r="ET406" i="1"/>
  <c r="ES406" i="1"/>
  <c r="EU406" i="1" s="1"/>
  <c r="ER406" i="1"/>
  <c r="DL402" i="1"/>
  <c r="DJ402" i="1"/>
  <c r="DB402" i="1"/>
  <c r="CZ402" i="1"/>
  <c r="CX402" i="1"/>
  <c r="CV402" i="1"/>
  <c r="CT402" i="1"/>
  <c r="CR402" i="1"/>
  <c r="CP402" i="1"/>
  <c r="CN402" i="1"/>
  <c r="CL402" i="1"/>
  <c r="CJ402" i="1"/>
  <c r="CH402" i="1"/>
  <c r="CF402" i="1"/>
  <c r="CD402" i="1"/>
  <c r="CB402" i="1"/>
  <c r="BZ402" i="1"/>
  <c r="BX402" i="1"/>
  <c r="BV402" i="1"/>
  <c r="BT402" i="1"/>
  <c r="BR402" i="1"/>
  <c r="BP402" i="1"/>
  <c r="BN402" i="1"/>
  <c r="BL402" i="1"/>
  <c r="BJ402" i="1"/>
  <c r="BH402" i="1"/>
  <c r="BF402" i="1"/>
  <c r="BD402" i="1"/>
  <c r="BB402" i="1"/>
  <c r="AZ402" i="1"/>
  <c r="AX402" i="1"/>
  <c r="AV402" i="1"/>
  <c r="AT402" i="1"/>
  <c r="AR402" i="1"/>
  <c r="AP402" i="1"/>
  <c r="AN402" i="1"/>
  <c r="AL402" i="1"/>
  <c r="AJ402" i="1"/>
  <c r="AH402" i="1"/>
  <c r="AF402" i="1"/>
  <c r="AD402" i="1"/>
  <c r="AB402" i="1"/>
  <c r="Z402" i="1"/>
  <c r="X402" i="1"/>
  <c r="V402" i="1"/>
  <c r="T402" i="1"/>
  <c r="R402" i="1"/>
  <c r="P402" i="1"/>
  <c r="N402" i="1"/>
  <c r="L402" i="1"/>
  <c r="ES397" i="1"/>
  <c r="EQ397" i="1"/>
  <c r="GO393" i="1"/>
  <c r="GN393" i="1"/>
  <c r="GL393" i="1"/>
  <c r="GJ393" i="1"/>
  <c r="GM393" i="1" s="1"/>
  <c r="GH393" i="1"/>
  <c r="GF393" i="1"/>
  <c r="GI393" i="1" s="1"/>
  <c r="GD393" i="1"/>
  <c r="GC393" i="1"/>
  <c r="GB393" i="1"/>
  <c r="GE393" i="1" s="1"/>
  <c r="FZ393" i="1"/>
  <c r="FZ436" i="1" s="1"/>
  <c r="FY393" i="1"/>
  <c r="FX393" i="1"/>
  <c r="GA393" i="1" s="1"/>
  <c r="FV393" i="1"/>
  <c r="FV436" i="1" s="1"/>
  <c r="FT393" i="1"/>
  <c r="FW393" i="1" s="1"/>
  <c r="FL393" i="1"/>
  <c r="FM393" i="1" s="1"/>
  <c r="FF393" i="1"/>
  <c r="FE393" i="1"/>
  <c r="FD393" i="1"/>
  <c r="FG393" i="1" s="1"/>
  <c r="FB393" i="1"/>
  <c r="EW393" i="1"/>
  <c r="EX393" i="1" s="1"/>
  <c r="EV393" i="1"/>
  <c r="EU393" i="1"/>
  <c r="EU436" i="1" s="1"/>
  <c r="EV436" i="1" s="1"/>
  <c r="ES393" i="1"/>
  <c r="ET393" i="1" s="1"/>
  <c r="ER393" i="1"/>
  <c r="EQ393" i="1"/>
  <c r="GP393" i="1" s="1"/>
  <c r="GQ393" i="1" s="1"/>
  <c r="EP393" i="1"/>
  <c r="EN393" i="1"/>
  <c r="EL393" i="1"/>
  <c r="EJ393" i="1"/>
  <c r="EH393" i="1"/>
  <c r="EF393" i="1"/>
  <c r="ED393" i="1"/>
  <c r="EB393" i="1"/>
  <c r="DZ393" i="1"/>
  <c r="DX393" i="1"/>
  <c r="DV393" i="1"/>
  <c r="DT393" i="1"/>
  <c r="DR393" i="1"/>
  <c r="DP393" i="1"/>
  <c r="DN393" i="1"/>
  <c r="DL393" i="1"/>
  <c r="DJ393" i="1"/>
  <c r="DH393" i="1"/>
  <c r="DF393" i="1"/>
  <c r="DD393" i="1"/>
  <c r="DB393" i="1"/>
  <c r="CZ393" i="1"/>
  <c r="CX393" i="1"/>
  <c r="CV393" i="1"/>
  <c r="CT393" i="1"/>
  <c r="CR393" i="1"/>
  <c r="CP393" i="1"/>
  <c r="CN393" i="1"/>
  <c r="CL393" i="1"/>
  <c r="CJ393" i="1"/>
  <c r="CH393" i="1"/>
  <c r="CF393" i="1"/>
  <c r="CD393" i="1"/>
  <c r="CB393" i="1"/>
  <c r="BZ393" i="1"/>
  <c r="BX393" i="1"/>
  <c r="BV393" i="1"/>
  <c r="BT393" i="1"/>
  <c r="BR393" i="1"/>
  <c r="BP393" i="1"/>
  <c r="BN393" i="1"/>
  <c r="BL393" i="1"/>
  <c r="BJ393" i="1"/>
  <c r="BH393" i="1"/>
  <c r="BD393" i="1"/>
  <c r="AZ393" i="1"/>
  <c r="AY393" i="1"/>
  <c r="FR393" i="1" s="1"/>
  <c r="AX393" i="1"/>
  <c r="AW393" i="1"/>
  <c r="AV393" i="1"/>
  <c r="AU393" i="1"/>
  <c r="AU436" i="1" s="1"/>
  <c r="AT393" i="1"/>
  <c r="AS393" i="1"/>
  <c r="AS436" i="1" s="1"/>
  <c r="AR393" i="1"/>
  <c r="AQ393" i="1"/>
  <c r="AQ436" i="1" s="1"/>
  <c r="AP393" i="1"/>
  <c r="AO393" i="1"/>
  <c r="AO436" i="1" s="1"/>
  <c r="AN393" i="1"/>
  <c r="AM393" i="1"/>
  <c r="AM436" i="1" s="1"/>
  <c r="AL393" i="1"/>
  <c r="AK393" i="1"/>
  <c r="AK436" i="1" s="1"/>
  <c r="AJ393" i="1"/>
  <c r="AI393" i="1"/>
  <c r="FN393" i="1" s="1"/>
  <c r="AH393" i="1"/>
  <c r="AG393" i="1"/>
  <c r="AG436" i="1" s="1"/>
  <c r="AF393" i="1"/>
  <c r="AE393" i="1"/>
  <c r="AE436" i="1" s="1"/>
  <c r="AD393" i="1"/>
  <c r="AC393" i="1"/>
  <c r="AC436" i="1" s="1"/>
  <c r="AB393" i="1"/>
  <c r="AA393" i="1"/>
  <c r="AA436" i="1" s="1"/>
  <c r="Z393" i="1"/>
  <c r="Y393" i="1"/>
  <c r="Y436" i="1" s="1"/>
  <c r="X393" i="1"/>
  <c r="W393" i="1"/>
  <c r="W436" i="1" s="1"/>
  <c r="V393" i="1"/>
  <c r="U393" i="1"/>
  <c r="U436" i="1" s="1"/>
  <c r="T393" i="1"/>
  <c r="S393" i="1"/>
  <c r="FJ393" i="1" s="1"/>
  <c r="Q393" i="1"/>
  <c r="Q436" i="1" s="1"/>
  <c r="R436" i="1" s="1"/>
  <c r="P393" i="1"/>
  <c r="O393" i="1"/>
  <c r="O436" i="1" s="1"/>
  <c r="P436" i="1" s="1"/>
  <c r="N393" i="1"/>
  <c r="M393" i="1"/>
  <c r="M436" i="1" s="1"/>
  <c r="N436" i="1" s="1"/>
  <c r="K393" i="1"/>
  <c r="K436" i="1" s="1"/>
  <c r="L436" i="1" s="1"/>
  <c r="I393" i="1"/>
  <c r="C393" i="1" s="1"/>
  <c r="L393" i="1" s="1"/>
  <c r="GF390" i="1"/>
  <c r="EX390" i="1"/>
  <c r="EV390" i="1"/>
  <c r="ER390" i="1"/>
  <c r="EP390" i="1"/>
  <c r="EN390" i="1"/>
  <c r="EK390" i="1"/>
  <c r="ET390" i="1" s="1"/>
  <c r="EJ390" i="1"/>
  <c r="EH390" i="1"/>
  <c r="EE390" i="1"/>
  <c r="EF390" i="1" s="1"/>
  <c r="EC390" i="1"/>
  <c r="ED390" i="1" s="1"/>
  <c r="EB390" i="1"/>
  <c r="DZ390" i="1"/>
  <c r="DY390" i="1"/>
  <c r="DX390" i="1"/>
  <c r="DV390" i="1"/>
  <c r="DT390" i="1"/>
  <c r="DS390" i="1"/>
  <c r="DR390" i="1"/>
  <c r="DP390" i="1"/>
  <c r="DN390" i="1"/>
  <c r="GF386" i="1"/>
  <c r="GD386" i="1"/>
  <c r="GE386" i="1" s="1"/>
  <c r="GB386" i="1"/>
  <c r="DL386" i="1"/>
  <c r="DJ386" i="1"/>
  <c r="DH386" i="1"/>
  <c r="DF386" i="1"/>
  <c r="DD386" i="1"/>
  <c r="DB386" i="1"/>
  <c r="CZ386" i="1"/>
  <c r="CX386" i="1"/>
  <c r="CV386" i="1"/>
  <c r="CT386" i="1"/>
  <c r="CP386" i="1"/>
  <c r="GY386" i="1"/>
  <c r="GW386" i="1"/>
  <c r="GU386" i="1"/>
  <c r="GS386" i="1"/>
  <c r="GP386" i="1"/>
  <c r="GN386" i="1"/>
  <c r="GO386" i="1" s="1"/>
  <c r="GL386" i="1"/>
  <c r="GJ386" i="1"/>
  <c r="GK386" i="1" s="1"/>
  <c r="GI386" i="1"/>
  <c r="GH386" i="1"/>
  <c r="FV386" i="1"/>
  <c r="FR386" i="1"/>
  <c r="FO386" i="1"/>
  <c r="FN386" i="1"/>
  <c r="FM386" i="1"/>
  <c r="FK386" i="1"/>
  <c r="FI386" i="1"/>
  <c r="FG386" i="1"/>
  <c r="FE386" i="1"/>
  <c r="EX386" i="1"/>
  <c r="EV386" i="1"/>
  <c r="ET386" i="1"/>
  <c r="ER386" i="1"/>
  <c r="EP386" i="1"/>
  <c r="EN386" i="1"/>
  <c r="EL386" i="1"/>
  <c r="EJ386" i="1"/>
  <c r="EH386" i="1"/>
  <c r="EF386" i="1"/>
  <c r="ED386" i="1"/>
  <c r="EB386" i="1"/>
  <c r="DZ386" i="1"/>
  <c r="DX386" i="1"/>
  <c r="DV386" i="1"/>
  <c r="DT386" i="1"/>
  <c r="DR386" i="1"/>
  <c r="DP386" i="1"/>
  <c r="DN386" i="1"/>
  <c r="CK386" i="1"/>
  <c r="CK534" i="1" s="1"/>
  <c r="CJ386" i="1"/>
  <c r="CI386" i="1"/>
  <c r="CR386" i="1" s="1"/>
  <c r="CG386" i="1"/>
  <c r="CH386" i="1" s="1"/>
  <c r="CF386" i="1"/>
  <c r="CE386" i="1"/>
  <c r="CE534" i="1" s="1"/>
  <c r="CC386" i="1"/>
  <c r="CD386" i="1" s="1"/>
  <c r="CB386" i="1"/>
  <c r="BZ386" i="1"/>
  <c r="BX386" i="1"/>
  <c r="BV386" i="1"/>
  <c r="BT386" i="1"/>
  <c r="BR386" i="1"/>
  <c r="BP386" i="1"/>
  <c r="BN386" i="1"/>
  <c r="BL386" i="1"/>
  <c r="BK386" i="1"/>
  <c r="FT386" i="1" s="1"/>
  <c r="BJ386" i="1"/>
  <c r="BH386" i="1"/>
  <c r="BF386" i="1"/>
  <c r="BD386" i="1"/>
  <c r="BB386" i="1"/>
  <c r="AZ386" i="1"/>
  <c r="AX386" i="1"/>
  <c r="AW386" i="1"/>
  <c r="AW534" i="1" s="1"/>
  <c r="AV386" i="1"/>
  <c r="AT386" i="1"/>
  <c r="AR386" i="1"/>
  <c r="AP386" i="1"/>
  <c r="AN386" i="1"/>
  <c r="AL386" i="1"/>
  <c r="AJ386" i="1"/>
  <c r="AH386" i="1"/>
  <c r="AF386" i="1"/>
  <c r="AD386" i="1"/>
  <c r="AB386" i="1"/>
  <c r="Z386" i="1"/>
  <c r="X386" i="1"/>
  <c r="V386" i="1"/>
  <c r="T386" i="1"/>
  <c r="R386" i="1"/>
  <c r="P386" i="1"/>
  <c r="N386" i="1"/>
  <c r="L386" i="1"/>
  <c r="GZ382" i="1"/>
  <c r="GZ379" i="1"/>
  <c r="GZ372" i="1"/>
  <c r="GZ371" i="1"/>
  <c r="FB380" i="1"/>
  <c r="I380" i="1"/>
  <c r="G380" i="1"/>
  <c r="E380" i="1"/>
  <c r="FF380" i="1"/>
  <c r="FG380" i="1" s="1"/>
  <c r="FE380" i="1"/>
  <c r="FD380" i="1"/>
  <c r="AG380" i="1"/>
  <c r="AH380" i="1" s="1"/>
  <c r="AF380" i="1"/>
  <c r="AE380" i="1"/>
  <c r="AC380" i="1"/>
  <c r="AD380" i="1" s="1"/>
  <c r="AB380" i="1"/>
  <c r="AA380" i="1"/>
  <c r="Y380" i="1"/>
  <c r="Z380" i="1" s="1"/>
  <c r="X380" i="1"/>
  <c r="W380" i="1"/>
  <c r="U380" i="1"/>
  <c r="V380" i="1" s="1"/>
  <c r="T380" i="1"/>
  <c r="S380" i="1"/>
  <c r="Q380" i="1"/>
  <c r="R380" i="1" s="1"/>
  <c r="P380" i="1"/>
  <c r="O380" i="1"/>
  <c r="M380" i="1"/>
  <c r="N380" i="1" s="1"/>
  <c r="K380" i="1"/>
  <c r="FF378" i="1"/>
  <c r="FG378" i="1" s="1"/>
  <c r="FE378" i="1"/>
  <c r="FD378" i="1"/>
  <c r="FB378" i="1"/>
  <c r="EO378" i="1"/>
  <c r="EP378" i="1" s="1"/>
  <c r="EK378" i="1"/>
  <c r="EL378" i="1" s="1"/>
  <c r="EG378" i="1"/>
  <c r="EH378" i="1" s="1"/>
  <c r="EC378" i="1"/>
  <c r="ED378" i="1" s="1"/>
  <c r="DY378" i="1"/>
  <c r="DZ378" i="1" s="1"/>
  <c r="DU378" i="1"/>
  <c r="DV378" i="1" s="1"/>
  <c r="DQ378" i="1"/>
  <c r="DR378" i="1" s="1"/>
  <c r="DM378" i="1"/>
  <c r="DN378" i="1" s="1"/>
  <c r="DI378" i="1"/>
  <c r="DJ378" i="1" s="1"/>
  <c r="DE378" i="1"/>
  <c r="DF378" i="1" s="1"/>
  <c r="DA378" i="1"/>
  <c r="DB378" i="1" s="1"/>
  <c r="CW378" i="1"/>
  <c r="CX378" i="1" s="1"/>
  <c r="CS378" i="1"/>
  <c r="CT378" i="1" s="1"/>
  <c r="CO378" i="1"/>
  <c r="CP378" i="1" s="1"/>
  <c r="CK378" i="1"/>
  <c r="CL378" i="1" s="1"/>
  <c r="CG378" i="1"/>
  <c r="CH378" i="1" s="1"/>
  <c r="CC378" i="1"/>
  <c r="CD378" i="1" s="1"/>
  <c r="BY378" i="1"/>
  <c r="BZ378" i="1" s="1"/>
  <c r="BU378" i="1"/>
  <c r="BV378" i="1" s="1"/>
  <c r="BQ378" i="1"/>
  <c r="BR378" i="1" s="1"/>
  <c r="BM378" i="1"/>
  <c r="BN378" i="1" s="1"/>
  <c r="BI378" i="1"/>
  <c r="BJ378" i="1" s="1"/>
  <c r="BE378" i="1"/>
  <c r="BF378" i="1" s="1"/>
  <c r="BA378" i="1"/>
  <c r="BB378" i="1" s="1"/>
  <c r="AW378" i="1"/>
  <c r="AX378" i="1" s="1"/>
  <c r="AS378" i="1"/>
  <c r="AT378" i="1" s="1"/>
  <c r="AO378" i="1"/>
  <c r="AP378" i="1" s="1"/>
  <c r="AK378" i="1"/>
  <c r="AL378" i="1" s="1"/>
  <c r="AG378" i="1"/>
  <c r="AH378" i="1" s="1"/>
  <c r="AF378" i="1"/>
  <c r="AE378" i="1"/>
  <c r="AC378" i="1"/>
  <c r="AD378" i="1" s="1"/>
  <c r="AB378" i="1"/>
  <c r="AA378" i="1"/>
  <c r="Y378" i="1"/>
  <c r="Z378" i="1" s="1"/>
  <c r="X378" i="1"/>
  <c r="W378" i="1"/>
  <c r="U378" i="1"/>
  <c r="V378" i="1" s="1"/>
  <c r="T378" i="1"/>
  <c r="S378" i="1"/>
  <c r="Q378" i="1"/>
  <c r="R378" i="1" s="1"/>
  <c r="O378" i="1"/>
  <c r="M378" i="1"/>
  <c r="N378" i="1" s="1"/>
  <c r="K378" i="1"/>
  <c r="I378" i="1"/>
  <c r="G378" i="1"/>
  <c r="P378" i="1" s="1"/>
  <c r="E378" i="1"/>
  <c r="FE377" i="1"/>
  <c r="FE376" i="1"/>
  <c r="FE375" i="1"/>
  <c r="FE374" i="1"/>
  <c r="FE373" i="1"/>
  <c r="EP377" i="1"/>
  <c r="EO377" i="1"/>
  <c r="EM377" i="1"/>
  <c r="EM378" i="1" s="1"/>
  <c r="EL377" i="1"/>
  <c r="EK377" i="1"/>
  <c r="EI377" i="1"/>
  <c r="EI378" i="1" s="1"/>
  <c r="EJ378" i="1" s="1"/>
  <c r="EH377" i="1"/>
  <c r="EG377" i="1"/>
  <c r="EE377" i="1"/>
  <c r="EE378" i="1" s="1"/>
  <c r="EF378" i="1" s="1"/>
  <c r="ED377" i="1"/>
  <c r="EC377" i="1"/>
  <c r="EA377" i="1"/>
  <c r="EA378" i="1" s="1"/>
  <c r="DZ377" i="1"/>
  <c r="DY377" i="1"/>
  <c r="DW377" i="1"/>
  <c r="DW378" i="1" s="1"/>
  <c r="DV377" i="1"/>
  <c r="DU377" i="1"/>
  <c r="DS377" i="1"/>
  <c r="DS378" i="1" s="1"/>
  <c r="DT378" i="1" s="1"/>
  <c r="DR377" i="1"/>
  <c r="DQ377" i="1"/>
  <c r="DO377" i="1"/>
  <c r="DO378" i="1" s="1"/>
  <c r="DP378" i="1" s="1"/>
  <c r="DN377" i="1"/>
  <c r="DM377" i="1"/>
  <c r="DK377" i="1"/>
  <c r="DK378" i="1" s="1"/>
  <c r="DJ377" i="1"/>
  <c r="DI377" i="1"/>
  <c r="DG377" i="1"/>
  <c r="DG378" i="1" s="1"/>
  <c r="DF377" i="1"/>
  <c r="DE377" i="1"/>
  <c r="DC377" i="1"/>
  <c r="DC378" i="1" s="1"/>
  <c r="DD378" i="1" s="1"/>
  <c r="DB377" i="1"/>
  <c r="DA377" i="1"/>
  <c r="CY377" i="1"/>
  <c r="CY378" i="1" s="1"/>
  <c r="CZ378" i="1" s="1"/>
  <c r="CX377" i="1"/>
  <c r="CW377" i="1"/>
  <c r="CU377" i="1"/>
  <c r="CU378" i="1" s="1"/>
  <c r="CT377" i="1"/>
  <c r="CS377" i="1"/>
  <c r="CQ377" i="1"/>
  <c r="CQ378" i="1" s="1"/>
  <c r="CP377" i="1"/>
  <c r="CO377" i="1"/>
  <c r="CM377" i="1"/>
  <c r="CM378" i="1" s="1"/>
  <c r="CN378" i="1" s="1"/>
  <c r="CL377" i="1"/>
  <c r="CK377" i="1"/>
  <c r="CI377" i="1"/>
  <c r="CI378" i="1" s="1"/>
  <c r="CJ378" i="1" s="1"/>
  <c r="CH377" i="1"/>
  <c r="CG377" i="1"/>
  <c r="CE377" i="1"/>
  <c r="CE378" i="1" s="1"/>
  <c r="CD377" i="1"/>
  <c r="CC377" i="1"/>
  <c r="CA377" i="1"/>
  <c r="CA378" i="1" s="1"/>
  <c r="BZ377" i="1"/>
  <c r="BY377" i="1"/>
  <c r="BW377" i="1"/>
  <c r="BW378" i="1" s="1"/>
  <c r="BX378" i="1" s="1"/>
  <c r="BV377" i="1"/>
  <c r="BU377" i="1"/>
  <c r="BS377" i="1"/>
  <c r="BS378" i="1" s="1"/>
  <c r="BT378" i="1" s="1"/>
  <c r="BR377" i="1"/>
  <c r="BQ377" i="1"/>
  <c r="BO377" i="1"/>
  <c r="BO378" i="1" s="1"/>
  <c r="BN377" i="1"/>
  <c r="BM377" i="1"/>
  <c r="BK377" i="1"/>
  <c r="BK378" i="1" s="1"/>
  <c r="BJ377" i="1"/>
  <c r="BI377" i="1"/>
  <c r="BG377" i="1"/>
  <c r="BG378" i="1" s="1"/>
  <c r="BH378" i="1" s="1"/>
  <c r="BF377" i="1"/>
  <c r="BE377" i="1"/>
  <c r="BC377" i="1"/>
  <c r="BC378" i="1" s="1"/>
  <c r="BD378" i="1" s="1"/>
  <c r="BB377" i="1"/>
  <c r="BA377" i="1"/>
  <c r="AY377" i="1"/>
  <c r="AY378" i="1" s="1"/>
  <c r="AX377" i="1"/>
  <c r="AW377" i="1"/>
  <c r="AU377" i="1"/>
  <c r="AU378" i="1" s="1"/>
  <c r="AT377" i="1"/>
  <c r="AS377" i="1"/>
  <c r="AQ377" i="1"/>
  <c r="AQ378" i="1" s="1"/>
  <c r="AR378" i="1" s="1"/>
  <c r="AP377" i="1"/>
  <c r="AO377" i="1"/>
  <c r="AM377" i="1"/>
  <c r="AM378" i="1" s="1"/>
  <c r="AN378" i="1" s="1"/>
  <c r="AL377" i="1"/>
  <c r="AK377" i="1"/>
  <c r="AI377" i="1"/>
  <c r="AI378" i="1" s="1"/>
  <c r="AJ378" i="1" s="1"/>
  <c r="AH377" i="1"/>
  <c r="AF377" i="1"/>
  <c r="AF376" i="1"/>
  <c r="AF375" i="1"/>
  <c r="AF374" i="1"/>
  <c r="AF373" i="1"/>
  <c r="AD377" i="1"/>
  <c r="AD376" i="1"/>
  <c r="AD375" i="1"/>
  <c r="AD374" i="1"/>
  <c r="AD373" i="1"/>
  <c r="AB377" i="1"/>
  <c r="AB376" i="1"/>
  <c r="AB375" i="1"/>
  <c r="AB374" i="1"/>
  <c r="AB373" i="1"/>
  <c r="Z377" i="1"/>
  <c r="Z376" i="1"/>
  <c r="Z375" i="1"/>
  <c r="Z374" i="1"/>
  <c r="Z373" i="1"/>
  <c r="X377" i="1"/>
  <c r="X376" i="1"/>
  <c r="X375" i="1"/>
  <c r="X374" i="1"/>
  <c r="X373" i="1"/>
  <c r="V377" i="1"/>
  <c r="V376" i="1"/>
  <c r="V375" i="1"/>
  <c r="V374" i="1"/>
  <c r="V373" i="1"/>
  <c r="T377" i="1"/>
  <c r="T376" i="1"/>
  <c r="T375" i="1"/>
  <c r="T374" i="1"/>
  <c r="T373" i="1"/>
  <c r="R377" i="1"/>
  <c r="R376" i="1"/>
  <c r="R375" i="1"/>
  <c r="R374" i="1"/>
  <c r="R373" i="1"/>
  <c r="P377" i="1"/>
  <c r="P376" i="1"/>
  <c r="P375" i="1"/>
  <c r="P374" i="1"/>
  <c r="P373" i="1"/>
  <c r="N377" i="1"/>
  <c r="N376" i="1"/>
  <c r="N375" i="1"/>
  <c r="N374" i="1"/>
  <c r="N373" i="1"/>
  <c r="L377" i="1"/>
  <c r="EN376" i="1"/>
  <c r="EN375" i="1"/>
  <c r="EN374" i="1"/>
  <c r="EN373" i="1"/>
  <c r="EL376" i="1"/>
  <c r="EL375" i="1"/>
  <c r="EL374" i="1"/>
  <c r="EL373" i="1"/>
  <c r="EJ376" i="1"/>
  <c r="EJ375" i="1"/>
  <c r="EJ374" i="1"/>
  <c r="EJ373" i="1"/>
  <c r="EH376" i="1"/>
  <c r="EH375" i="1"/>
  <c r="EH374" i="1"/>
  <c r="EH373" i="1"/>
  <c r="EF376" i="1"/>
  <c r="EF375" i="1"/>
  <c r="EF374" i="1"/>
  <c r="EF373" i="1"/>
  <c r="ED376" i="1"/>
  <c r="ED375" i="1"/>
  <c r="ED374" i="1"/>
  <c r="ED373" i="1"/>
  <c r="EB376" i="1"/>
  <c r="EB375" i="1"/>
  <c r="EB374" i="1"/>
  <c r="EB373" i="1"/>
  <c r="DZ376" i="1"/>
  <c r="DZ375" i="1"/>
  <c r="DZ374" i="1"/>
  <c r="DZ373" i="1"/>
  <c r="DX376" i="1"/>
  <c r="DX375" i="1"/>
  <c r="DX374" i="1"/>
  <c r="DX373" i="1"/>
  <c r="DV376" i="1"/>
  <c r="DV375" i="1"/>
  <c r="DV374" i="1"/>
  <c r="DV373" i="1"/>
  <c r="DT376" i="1"/>
  <c r="DT375" i="1"/>
  <c r="DT374" i="1"/>
  <c r="DT373" i="1"/>
  <c r="DR376" i="1"/>
  <c r="DR375" i="1"/>
  <c r="DR374" i="1"/>
  <c r="DR373" i="1"/>
  <c r="DP376" i="1"/>
  <c r="DP375" i="1"/>
  <c r="DP374" i="1"/>
  <c r="DP373" i="1"/>
  <c r="DN376" i="1"/>
  <c r="DN375" i="1"/>
  <c r="DN374" i="1"/>
  <c r="DN373" i="1"/>
  <c r="DL376" i="1"/>
  <c r="DL375" i="1"/>
  <c r="DL374" i="1"/>
  <c r="DL373" i="1"/>
  <c r="DJ376" i="1"/>
  <c r="DJ375" i="1"/>
  <c r="DJ374" i="1"/>
  <c r="DJ373" i="1"/>
  <c r="DH376" i="1"/>
  <c r="DH375" i="1"/>
  <c r="DH374" i="1"/>
  <c r="DH373" i="1"/>
  <c r="DF376" i="1"/>
  <c r="DF375" i="1"/>
  <c r="DF374" i="1"/>
  <c r="DF373" i="1"/>
  <c r="DD376" i="1"/>
  <c r="DD375" i="1"/>
  <c r="DD374" i="1"/>
  <c r="DD373" i="1"/>
  <c r="DB376" i="1"/>
  <c r="DB375" i="1"/>
  <c r="DB374" i="1"/>
  <c r="DB373" i="1"/>
  <c r="CZ376" i="1"/>
  <c r="CZ375" i="1"/>
  <c r="CZ374" i="1"/>
  <c r="CZ373" i="1"/>
  <c r="CX376" i="1"/>
  <c r="CX375" i="1"/>
  <c r="CX374" i="1"/>
  <c r="CX373" i="1"/>
  <c r="CV376" i="1"/>
  <c r="CV375" i="1"/>
  <c r="CV374" i="1"/>
  <c r="CV373" i="1"/>
  <c r="CT376" i="1"/>
  <c r="CT375" i="1"/>
  <c r="CT374" i="1"/>
  <c r="CT373" i="1"/>
  <c r="CR376" i="1"/>
  <c r="CR375" i="1"/>
  <c r="CR374" i="1"/>
  <c r="CR373" i="1"/>
  <c r="CP376" i="1"/>
  <c r="CP375" i="1"/>
  <c r="CP374" i="1"/>
  <c r="CP373" i="1"/>
  <c r="CN376" i="1"/>
  <c r="CN375" i="1"/>
  <c r="CN374" i="1"/>
  <c r="CN373" i="1"/>
  <c r="CL376" i="1"/>
  <c r="CL375" i="1"/>
  <c r="CL374" i="1"/>
  <c r="CL373" i="1"/>
  <c r="CJ376" i="1"/>
  <c r="CJ375" i="1"/>
  <c r="CJ374" i="1"/>
  <c r="CJ373" i="1"/>
  <c r="CH376" i="1"/>
  <c r="CH375" i="1"/>
  <c r="CH374" i="1"/>
  <c r="CH373" i="1"/>
  <c r="CF376" i="1"/>
  <c r="CF375" i="1"/>
  <c r="CF374" i="1"/>
  <c r="CF373" i="1"/>
  <c r="CD376" i="1"/>
  <c r="CD375" i="1"/>
  <c r="CD374" i="1"/>
  <c r="CD373" i="1"/>
  <c r="CB376" i="1"/>
  <c r="CB375" i="1"/>
  <c r="CB374" i="1"/>
  <c r="CB373" i="1"/>
  <c r="BZ376" i="1"/>
  <c r="BZ375" i="1"/>
  <c r="BZ374" i="1"/>
  <c r="BZ373" i="1"/>
  <c r="BX376" i="1"/>
  <c r="BX375" i="1"/>
  <c r="BX374" i="1"/>
  <c r="BX373" i="1"/>
  <c r="BV376" i="1"/>
  <c r="BV375" i="1"/>
  <c r="BV374" i="1"/>
  <c r="BV373" i="1"/>
  <c r="BT376" i="1"/>
  <c r="BT375" i="1"/>
  <c r="BT374" i="1"/>
  <c r="BT373" i="1"/>
  <c r="BR376" i="1"/>
  <c r="BR375" i="1"/>
  <c r="BR374" i="1"/>
  <c r="BR373" i="1"/>
  <c r="BP376" i="1"/>
  <c r="BP375" i="1"/>
  <c r="BP374" i="1"/>
  <c r="BP373" i="1"/>
  <c r="BN376" i="1"/>
  <c r="BN375" i="1"/>
  <c r="BN374" i="1"/>
  <c r="BN373" i="1"/>
  <c r="BL376" i="1"/>
  <c r="BL375" i="1"/>
  <c r="BL374" i="1"/>
  <c r="BL373" i="1"/>
  <c r="BJ376" i="1"/>
  <c r="BJ375" i="1"/>
  <c r="BJ374" i="1"/>
  <c r="BJ373" i="1"/>
  <c r="BH376" i="1"/>
  <c r="BH375" i="1"/>
  <c r="BH374" i="1"/>
  <c r="BH373" i="1"/>
  <c r="BF376" i="1"/>
  <c r="BF375" i="1"/>
  <c r="BF374" i="1"/>
  <c r="BF373" i="1"/>
  <c r="BD376" i="1"/>
  <c r="BD375" i="1"/>
  <c r="BD374" i="1"/>
  <c r="BD373" i="1"/>
  <c r="BB376" i="1"/>
  <c r="BB375" i="1"/>
  <c r="BB374" i="1"/>
  <c r="BB373" i="1"/>
  <c r="AZ376" i="1"/>
  <c r="AZ375" i="1"/>
  <c r="AZ374" i="1"/>
  <c r="AZ373" i="1"/>
  <c r="AX376" i="1"/>
  <c r="AX375" i="1"/>
  <c r="AX374" i="1"/>
  <c r="AX373" i="1"/>
  <c r="AV376" i="1"/>
  <c r="AV375" i="1"/>
  <c r="AV374" i="1"/>
  <c r="AV373" i="1"/>
  <c r="AT376" i="1"/>
  <c r="AT375" i="1"/>
  <c r="AT374" i="1"/>
  <c r="AT373" i="1"/>
  <c r="AR376" i="1"/>
  <c r="AR375" i="1"/>
  <c r="AR374" i="1"/>
  <c r="AR373" i="1"/>
  <c r="AP376" i="1"/>
  <c r="AP375" i="1"/>
  <c r="AP374" i="1"/>
  <c r="AP373" i="1"/>
  <c r="AN376" i="1"/>
  <c r="AN375" i="1"/>
  <c r="AN374" i="1"/>
  <c r="AN373" i="1"/>
  <c r="AL376" i="1"/>
  <c r="AL375" i="1"/>
  <c r="AL374" i="1"/>
  <c r="AL373" i="1"/>
  <c r="AJ376" i="1"/>
  <c r="AJ375" i="1"/>
  <c r="AJ374" i="1"/>
  <c r="AJ373" i="1"/>
  <c r="AH376" i="1"/>
  <c r="AH375" i="1"/>
  <c r="AH374" i="1"/>
  <c r="AH373" i="1"/>
  <c r="C376" i="1"/>
  <c r="C381" i="1" s="1"/>
  <c r="C375" i="1"/>
  <c r="L375" i="1" s="1"/>
  <c r="C374" i="1"/>
  <c r="L374" i="1" s="1"/>
  <c r="C373" i="1"/>
  <c r="C378" i="1" s="1"/>
  <c r="L378" i="1" s="1"/>
  <c r="GN377" i="1"/>
  <c r="GO377" i="1" s="1"/>
  <c r="GM377" i="1"/>
  <c r="GL377" i="1"/>
  <c r="GJ377" i="1"/>
  <c r="GK377" i="1" s="1"/>
  <c r="GI377" i="1"/>
  <c r="GH377" i="1"/>
  <c r="GF377" i="1"/>
  <c r="GG377" i="1" s="1"/>
  <c r="GE377" i="1"/>
  <c r="GD377" i="1"/>
  <c r="GB377" i="1"/>
  <c r="GC377" i="1" s="1"/>
  <c r="GA377" i="1"/>
  <c r="FZ377" i="1"/>
  <c r="FX377" i="1"/>
  <c r="FY377" i="1" s="1"/>
  <c r="FW377" i="1"/>
  <c r="FV377" i="1"/>
  <c r="FT377" i="1"/>
  <c r="FU377" i="1" s="1"/>
  <c r="FS377" i="1"/>
  <c r="FR377" i="1"/>
  <c r="FP377" i="1"/>
  <c r="FQ377" i="1" s="1"/>
  <c r="FO377" i="1"/>
  <c r="FN377" i="1"/>
  <c r="FL377" i="1"/>
  <c r="FM377" i="1" s="1"/>
  <c r="FK377" i="1"/>
  <c r="FJ377" i="1"/>
  <c r="FH377" i="1"/>
  <c r="FI377" i="1" s="1"/>
  <c r="FG377" i="1"/>
  <c r="GN376" i="1"/>
  <c r="GO376" i="1" s="1"/>
  <c r="GL376" i="1"/>
  <c r="GJ376" i="1"/>
  <c r="GK376" i="1" s="1"/>
  <c r="GH376" i="1"/>
  <c r="GF376" i="1"/>
  <c r="GG376" i="1" s="1"/>
  <c r="GD376" i="1"/>
  <c r="GB376" i="1"/>
  <c r="GC376" i="1" s="1"/>
  <c r="FZ376" i="1"/>
  <c r="FX376" i="1"/>
  <c r="FY376" i="1" s="1"/>
  <c r="FV376" i="1"/>
  <c r="FT376" i="1"/>
  <c r="FU376" i="1" s="1"/>
  <c r="FR376" i="1"/>
  <c r="FR381" i="1" s="1"/>
  <c r="FP376" i="1"/>
  <c r="FQ376" i="1" s="1"/>
  <c r="FN376" i="1"/>
  <c r="FL376" i="1"/>
  <c r="FM376" i="1" s="1"/>
  <c r="FJ376" i="1"/>
  <c r="FH376" i="1"/>
  <c r="FI376" i="1" s="1"/>
  <c r="FG376" i="1"/>
  <c r="GO375" i="1"/>
  <c r="GN375" i="1"/>
  <c r="GL375" i="1"/>
  <c r="GM375" i="1" s="1"/>
  <c r="GK375" i="1"/>
  <c r="GJ375" i="1"/>
  <c r="GH375" i="1"/>
  <c r="GI375" i="1" s="1"/>
  <c r="GG375" i="1"/>
  <c r="GF375" i="1"/>
  <c r="GD375" i="1"/>
  <c r="GE375" i="1" s="1"/>
  <c r="GC375" i="1"/>
  <c r="GB375" i="1"/>
  <c r="FZ375" i="1"/>
  <c r="GA375" i="1" s="1"/>
  <c r="FY375" i="1"/>
  <c r="FX375" i="1"/>
  <c r="FV375" i="1"/>
  <c r="FW375" i="1" s="1"/>
  <c r="FU375" i="1"/>
  <c r="FT375" i="1"/>
  <c r="FR375" i="1"/>
  <c r="FS375" i="1" s="1"/>
  <c r="FQ375" i="1"/>
  <c r="FP375" i="1"/>
  <c r="FN375" i="1"/>
  <c r="FO375" i="1" s="1"/>
  <c r="FM375" i="1"/>
  <c r="FL375" i="1"/>
  <c r="FJ375" i="1"/>
  <c r="FK375" i="1" s="1"/>
  <c r="FI375" i="1"/>
  <c r="FH375" i="1"/>
  <c r="FG375" i="1"/>
  <c r="GN374" i="1"/>
  <c r="GL374" i="1"/>
  <c r="GM374" i="1" s="1"/>
  <c r="GJ374" i="1"/>
  <c r="GH374" i="1"/>
  <c r="GI374" i="1" s="1"/>
  <c r="GF374" i="1"/>
  <c r="GD374" i="1"/>
  <c r="GE374" i="1" s="1"/>
  <c r="GB374" i="1"/>
  <c r="FZ374" i="1"/>
  <c r="GA374" i="1" s="1"/>
  <c r="FX374" i="1"/>
  <c r="FV374" i="1"/>
  <c r="FW374" i="1" s="1"/>
  <c r="FT374" i="1"/>
  <c r="FR374" i="1"/>
  <c r="FS374" i="1" s="1"/>
  <c r="FP374" i="1"/>
  <c r="FN374" i="1"/>
  <c r="FO374" i="1" s="1"/>
  <c r="FL374" i="1"/>
  <c r="FJ374" i="1"/>
  <c r="FK374" i="1" s="1"/>
  <c r="FI374" i="1"/>
  <c r="FH374" i="1"/>
  <c r="FG374" i="1"/>
  <c r="GN373" i="1"/>
  <c r="GO373" i="1" s="1"/>
  <c r="GM373" i="1"/>
  <c r="GL373" i="1"/>
  <c r="GJ373" i="1"/>
  <c r="GK373" i="1" s="1"/>
  <c r="GI373" i="1"/>
  <c r="GH373" i="1"/>
  <c r="GF373" i="1"/>
  <c r="GG373" i="1" s="1"/>
  <c r="GE373" i="1"/>
  <c r="GD373" i="1"/>
  <c r="GB373" i="1"/>
  <c r="GC373" i="1" s="1"/>
  <c r="GA373" i="1"/>
  <c r="FZ373" i="1"/>
  <c r="FX373" i="1"/>
  <c r="FY373" i="1" s="1"/>
  <c r="FW373" i="1"/>
  <c r="FV373" i="1"/>
  <c r="FT373" i="1"/>
  <c r="FU373" i="1" s="1"/>
  <c r="FS373" i="1"/>
  <c r="FR373" i="1"/>
  <c r="FR380" i="1" s="1"/>
  <c r="FP373" i="1"/>
  <c r="FQ373" i="1" s="1"/>
  <c r="FO373" i="1"/>
  <c r="FN373" i="1"/>
  <c r="FN380" i="1" s="1"/>
  <c r="FL373" i="1"/>
  <c r="FM373" i="1" s="1"/>
  <c r="FK373" i="1"/>
  <c r="FJ373" i="1"/>
  <c r="FJ380" i="1" s="1"/>
  <c r="FH373" i="1"/>
  <c r="FI373" i="1" s="1"/>
  <c r="FG373" i="1"/>
  <c r="EP376" i="1"/>
  <c r="EW375" i="1"/>
  <c r="EX375" i="1" s="1"/>
  <c r="EV375" i="1"/>
  <c r="EU375" i="1"/>
  <c r="ES375" i="1"/>
  <c r="ET375" i="1" s="1"/>
  <c r="ER375" i="1"/>
  <c r="EQ375" i="1"/>
  <c r="GP375" i="1" s="1"/>
  <c r="EP375" i="1"/>
  <c r="EP374" i="1"/>
  <c r="EP373" i="1"/>
  <c r="FF370" i="1"/>
  <c r="FF383" i="1" s="1"/>
  <c r="FD370" i="1"/>
  <c r="FE370" i="1" s="1"/>
  <c r="FB370" i="1"/>
  <c r="FB383" i="1" s="1"/>
  <c r="AG370" i="1"/>
  <c r="AG383" i="1" s="1"/>
  <c r="AF370" i="1"/>
  <c r="AE370" i="1"/>
  <c r="AE381" i="1" s="1"/>
  <c r="AC370" i="1"/>
  <c r="AC383" i="1" s="1"/>
  <c r="AB370" i="1"/>
  <c r="AA370" i="1"/>
  <c r="AA381" i="1" s="1"/>
  <c r="Y370" i="1"/>
  <c r="Y383" i="1" s="1"/>
  <c r="X370" i="1"/>
  <c r="W370" i="1"/>
  <c r="W381" i="1" s="1"/>
  <c r="X381" i="1" s="1"/>
  <c r="U370" i="1"/>
  <c r="U383" i="1" s="1"/>
  <c r="T370" i="1"/>
  <c r="S370" i="1"/>
  <c r="S381" i="1" s="1"/>
  <c r="T381" i="1" s="1"/>
  <c r="Q370" i="1"/>
  <c r="Q383" i="1" s="1"/>
  <c r="P370" i="1"/>
  <c r="O370" i="1"/>
  <c r="O381" i="1" s="1"/>
  <c r="M370" i="1"/>
  <c r="M383" i="1" s="1"/>
  <c r="L370" i="1"/>
  <c r="K370" i="1"/>
  <c r="K381" i="1" s="1"/>
  <c r="I370" i="1"/>
  <c r="I381" i="1" s="1"/>
  <c r="G370" i="1"/>
  <c r="G383" i="1" s="1"/>
  <c r="E370" i="1"/>
  <c r="E381" i="1" s="1"/>
  <c r="C370" i="1"/>
  <c r="C383" i="1" s="1"/>
  <c r="C369" i="1"/>
  <c r="C368" i="1"/>
  <c r="FW369" i="1"/>
  <c r="FU369" i="1"/>
  <c r="FT369" i="1"/>
  <c r="FR369" i="1"/>
  <c r="FS369" i="1" s="1"/>
  <c r="FQ369" i="1"/>
  <c r="FP369" i="1"/>
  <c r="FN369" i="1"/>
  <c r="FO369" i="1" s="1"/>
  <c r="FM369" i="1"/>
  <c r="FL369" i="1"/>
  <c r="FJ369" i="1"/>
  <c r="FK369" i="1" s="1"/>
  <c r="FI369" i="1"/>
  <c r="FH369" i="1"/>
  <c r="FG369" i="1"/>
  <c r="FE369" i="1"/>
  <c r="FE368" i="1"/>
  <c r="FE367" i="1"/>
  <c r="EN369" i="1"/>
  <c r="EN368" i="1"/>
  <c r="EN366" i="1"/>
  <c r="EN364" i="1"/>
  <c r="EL369" i="1"/>
  <c r="EL368" i="1"/>
  <c r="EL366" i="1"/>
  <c r="EL364" i="1"/>
  <c r="EJ369" i="1"/>
  <c r="EJ368" i="1"/>
  <c r="EJ366" i="1"/>
  <c r="EJ364" i="1"/>
  <c r="EH369" i="1"/>
  <c r="EH368" i="1"/>
  <c r="EH366" i="1"/>
  <c r="EH364" i="1"/>
  <c r="EF369" i="1"/>
  <c r="EF368" i="1"/>
  <c r="EF366" i="1"/>
  <c r="EF365" i="1"/>
  <c r="EF364" i="1"/>
  <c r="ED369" i="1"/>
  <c r="ED368" i="1"/>
  <c r="ED366" i="1"/>
  <c r="ED365" i="1"/>
  <c r="ED364" i="1"/>
  <c r="EB369" i="1"/>
  <c r="EB368" i="1"/>
  <c r="EB366" i="1"/>
  <c r="EB365" i="1"/>
  <c r="EB364" i="1"/>
  <c r="DZ369" i="1"/>
  <c r="DZ368" i="1"/>
  <c r="DZ366" i="1"/>
  <c r="DZ365" i="1"/>
  <c r="DZ364" i="1"/>
  <c r="DX369" i="1"/>
  <c r="DX368" i="1"/>
  <c r="DX366" i="1"/>
  <c r="DX365" i="1"/>
  <c r="DX364" i="1"/>
  <c r="DV369" i="1"/>
  <c r="DV368" i="1"/>
  <c r="DV366" i="1"/>
  <c r="DV365" i="1"/>
  <c r="DV364" i="1"/>
  <c r="DT369" i="1"/>
  <c r="DT368" i="1"/>
  <c r="DT366" i="1"/>
  <c r="DT365" i="1"/>
  <c r="DT364" i="1"/>
  <c r="DR369" i="1"/>
  <c r="DR368" i="1"/>
  <c r="DR366" i="1"/>
  <c r="DR365" i="1"/>
  <c r="DR364" i="1"/>
  <c r="DP369" i="1"/>
  <c r="DP368" i="1"/>
  <c r="DP366" i="1"/>
  <c r="DP365" i="1"/>
  <c r="DP364" i="1"/>
  <c r="DN369" i="1"/>
  <c r="DN368" i="1"/>
  <c r="DN366" i="1"/>
  <c r="DN365" i="1"/>
  <c r="DN364" i="1"/>
  <c r="DL369" i="1"/>
  <c r="DL368" i="1"/>
  <c r="DL366" i="1"/>
  <c r="DJ369" i="1"/>
  <c r="DJ368" i="1"/>
  <c r="DJ366" i="1"/>
  <c r="DH369" i="1"/>
  <c r="DH368" i="1"/>
  <c r="DH366" i="1"/>
  <c r="DH365" i="1"/>
  <c r="DH364" i="1"/>
  <c r="DF369" i="1"/>
  <c r="DF368" i="1"/>
  <c r="DF366" i="1"/>
  <c r="DF365" i="1"/>
  <c r="DF364" i="1"/>
  <c r="DD369" i="1"/>
  <c r="DD368" i="1"/>
  <c r="DD366" i="1"/>
  <c r="DD365" i="1"/>
  <c r="DD364" i="1"/>
  <c r="DB369" i="1"/>
  <c r="DB368" i="1"/>
  <c r="DB366" i="1"/>
  <c r="CZ369" i="1"/>
  <c r="CZ368" i="1"/>
  <c r="CZ366" i="1"/>
  <c r="CX369" i="1"/>
  <c r="CX368" i="1"/>
  <c r="CX366" i="1"/>
  <c r="CV369" i="1"/>
  <c r="CV368" i="1"/>
  <c r="CV366" i="1"/>
  <c r="CT369" i="1"/>
  <c r="CT368" i="1"/>
  <c r="CT366" i="1"/>
  <c r="CR369" i="1"/>
  <c r="CR368" i="1"/>
  <c r="CR366" i="1"/>
  <c r="CP369" i="1"/>
  <c r="CP368" i="1"/>
  <c r="CP366" i="1"/>
  <c r="CN369" i="1"/>
  <c r="CN368" i="1"/>
  <c r="CN366" i="1"/>
  <c r="CL369" i="1"/>
  <c r="CL368" i="1"/>
  <c r="CL366" i="1"/>
  <c r="CJ369" i="1"/>
  <c r="CJ368" i="1"/>
  <c r="CJ366" i="1"/>
  <c r="CH369" i="1"/>
  <c r="CH368" i="1"/>
  <c r="CH366" i="1"/>
  <c r="CF369" i="1"/>
  <c r="CF368" i="1"/>
  <c r="CF366" i="1"/>
  <c r="CD369" i="1"/>
  <c r="CD368" i="1"/>
  <c r="CD366" i="1"/>
  <c r="CB369" i="1"/>
  <c r="CB368" i="1"/>
  <c r="CB366" i="1"/>
  <c r="BZ369" i="1"/>
  <c r="BZ368" i="1"/>
  <c r="BZ366" i="1"/>
  <c r="BX369" i="1"/>
  <c r="BX368" i="1"/>
  <c r="BX366" i="1"/>
  <c r="BV369" i="1"/>
  <c r="BV368" i="1"/>
  <c r="BV366" i="1"/>
  <c r="BT369" i="1"/>
  <c r="BT368" i="1"/>
  <c r="BT366" i="1"/>
  <c r="BR369" i="1"/>
  <c r="BR368" i="1"/>
  <c r="BR366" i="1"/>
  <c r="BP369" i="1"/>
  <c r="BP368" i="1"/>
  <c r="BP366" i="1"/>
  <c r="BN369" i="1"/>
  <c r="BN368" i="1"/>
  <c r="BN366" i="1"/>
  <c r="BL369" i="1"/>
  <c r="BL368" i="1"/>
  <c r="BL366" i="1"/>
  <c r="BJ369" i="1"/>
  <c r="BJ368" i="1"/>
  <c r="BJ366" i="1"/>
  <c r="BH369" i="1"/>
  <c r="BH368" i="1"/>
  <c r="BH366" i="1"/>
  <c r="BF369" i="1"/>
  <c r="BF368" i="1"/>
  <c r="BF366" i="1"/>
  <c r="BD369" i="1"/>
  <c r="BD368" i="1"/>
  <c r="BD366" i="1"/>
  <c r="BB369" i="1"/>
  <c r="BB368" i="1"/>
  <c r="BB366" i="1"/>
  <c r="AZ369" i="1"/>
  <c r="AZ368" i="1"/>
  <c r="AZ366" i="1"/>
  <c r="AX369" i="1"/>
  <c r="AX368" i="1"/>
  <c r="AX366" i="1"/>
  <c r="AV369" i="1"/>
  <c r="AV368" i="1"/>
  <c r="AV366" i="1"/>
  <c r="AT369" i="1"/>
  <c r="AT368" i="1"/>
  <c r="AT366" i="1"/>
  <c r="AR369" i="1"/>
  <c r="AR368" i="1"/>
  <c r="AR366" i="1"/>
  <c r="AP369" i="1"/>
  <c r="AP368" i="1"/>
  <c r="AP366" i="1"/>
  <c r="AN369" i="1"/>
  <c r="AN368" i="1"/>
  <c r="AL369" i="1"/>
  <c r="AL368" i="1"/>
  <c r="AL366" i="1"/>
  <c r="AJ369" i="1"/>
  <c r="AJ368" i="1"/>
  <c r="AJ366" i="1"/>
  <c r="AH369" i="1"/>
  <c r="AH368" i="1"/>
  <c r="AH367" i="1"/>
  <c r="AH366" i="1"/>
  <c r="AF369" i="1"/>
  <c r="AF368" i="1"/>
  <c r="AF367" i="1"/>
  <c r="AD369" i="1"/>
  <c r="AD368" i="1"/>
  <c r="AD367" i="1"/>
  <c r="AD366" i="1"/>
  <c r="AB369" i="1"/>
  <c r="AB368" i="1"/>
  <c r="AB367" i="1"/>
  <c r="AB366" i="1"/>
  <c r="Z369" i="1"/>
  <c r="Z368" i="1"/>
  <c r="Z367" i="1"/>
  <c r="Z366" i="1"/>
  <c r="X369" i="1"/>
  <c r="X368" i="1"/>
  <c r="X367" i="1"/>
  <c r="V369" i="1"/>
  <c r="V368" i="1"/>
  <c r="V367" i="1"/>
  <c r="V366" i="1"/>
  <c r="T369" i="1"/>
  <c r="T368" i="1"/>
  <c r="T367" i="1"/>
  <c r="T366" i="1"/>
  <c r="R369" i="1"/>
  <c r="R368" i="1"/>
  <c r="R367" i="1"/>
  <c r="R366" i="1"/>
  <c r="P369" i="1"/>
  <c r="P368" i="1"/>
  <c r="P367" i="1"/>
  <c r="N369" i="1"/>
  <c r="N368" i="1"/>
  <c r="N367" i="1"/>
  <c r="N366" i="1"/>
  <c r="L369" i="1"/>
  <c r="L368" i="1"/>
  <c r="L367" i="1"/>
  <c r="FX368" i="1"/>
  <c r="FX370" i="1" s="1"/>
  <c r="FX367" i="1"/>
  <c r="FX366" i="1"/>
  <c r="EO367" i="1"/>
  <c r="EO380" i="1" s="1"/>
  <c r="EM367" i="1"/>
  <c r="EM380" i="1" s="1"/>
  <c r="EK367" i="1"/>
  <c r="EK380" i="1" s="1"/>
  <c r="EI367" i="1"/>
  <c r="EI380" i="1" s="1"/>
  <c r="EG367" i="1"/>
  <c r="EG380" i="1" s="1"/>
  <c r="EE367" i="1"/>
  <c r="EE380" i="1" s="1"/>
  <c r="EC367" i="1"/>
  <c r="EC380" i="1" s="1"/>
  <c r="EA367" i="1"/>
  <c r="EA380" i="1" s="1"/>
  <c r="DY367" i="1"/>
  <c r="DY380" i="1" s="1"/>
  <c r="DW367" i="1"/>
  <c r="DW380" i="1" s="1"/>
  <c r="DU367" i="1"/>
  <c r="DU380" i="1" s="1"/>
  <c r="DS367" i="1"/>
  <c r="DS380" i="1" s="1"/>
  <c r="DQ367" i="1"/>
  <c r="DQ380" i="1" s="1"/>
  <c r="DO367" i="1"/>
  <c r="DO380" i="1" s="1"/>
  <c r="DM367" i="1"/>
  <c r="DM380" i="1" s="1"/>
  <c r="DK367" i="1"/>
  <c r="DK380" i="1" s="1"/>
  <c r="DI367" i="1"/>
  <c r="DI380" i="1" s="1"/>
  <c r="DG367" i="1"/>
  <c r="DG380" i="1" s="1"/>
  <c r="DE367" i="1"/>
  <c r="DE380" i="1" s="1"/>
  <c r="DC367" i="1"/>
  <c r="DC380" i="1" s="1"/>
  <c r="DA367" i="1"/>
  <c r="DA380" i="1" s="1"/>
  <c r="CY367" i="1"/>
  <c r="CZ367" i="1" s="1"/>
  <c r="CW367" i="1"/>
  <c r="CW380" i="1" s="1"/>
  <c r="CU367" i="1"/>
  <c r="CV367" i="1" s="1"/>
  <c r="CS367" i="1"/>
  <c r="CS380" i="1" s="1"/>
  <c r="CQ367" i="1"/>
  <c r="CR367" i="1" s="1"/>
  <c r="CO367" i="1"/>
  <c r="CO380" i="1" s="1"/>
  <c r="CM367" i="1"/>
  <c r="CN367" i="1" s="1"/>
  <c r="CK367" i="1"/>
  <c r="CK380" i="1" s="1"/>
  <c r="CI367" i="1"/>
  <c r="CJ367" i="1" s="1"/>
  <c r="CG367" i="1"/>
  <c r="CG380" i="1" s="1"/>
  <c r="CE367" i="1"/>
  <c r="CF367" i="1" s="1"/>
  <c r="CC367" i="1"/>
  <c r="CC380" i="1" s="1"/>
  <c r="CA367" i="1"/>
  <c r="CB367" i="1" s="1"/>
  <c r="BY367" i="1"/>
  <c r="BY380" i="1" s="1"/>
  <c r="BW367" i="1"/>
  <c r="BX367" i="1" s="1"/>
  <c r="BU367" i="1"/>
  <c r="BU380" i="1" s="1"/>
  <c r="BS367" i="1"/>
  <c r="BT367" i="1" s="1"/>
  <c r="BQ367" i="1"/>
  <c r="BQ380" i="1" s="1"/>
  <c r="BO367" i="1"/>
  <c r="BP367" i="1" s="1"/>
  <c r="BM367" i="1"/>
  <c r="BM380" i="1" s="1"/>
  <c r="BK367" i="1"/>
  <c r="FT367" i="1" s="1"/>
  <c r="BI367" i="1"/>
  <c r="BI380" i="1" s="1"/>
  <c r="BG367" i="1"/>
  <c r="BH367" i="1" s="1"/>
  <c r="BE367" i="1"/>
  <c r="BE380" i="1" s="1"/>
  <c r="BC367" i="1"/>
  <c r="BD367" i="1" s="1"/>
  <c r="BA367" i="1"/>
  <c r="BA380" i="1" s="1"/>
  <c r="AY367" i="1"/>
  <c r="AZ367" i="1" s="1"/>
  <c r="AW367" i="1"/>
  <c r="AW380" i="1" s="1"/>
  <c r="AU367" i="1"/>
  <c r="FP367" i="1" s="1"/>
  <c r="AS367" i="1"/>
  <c r="AS380" i="1" s="1"/>
  <c r="AQ367" i="1"/>
  <c r="AR367" i="1" s="1"/>
  <c r="AO367" i="1"/>
  <c r="AO380" i="1" s="1"/>
  <c r="AP380" i="1" s="1"/>
  <c r="AM367" i="1"/>
  <c r="AN367" i="1" s="1"/>
  <c r="AK367" i="1"/>
  <c r="AK380" i="1" s="1"/>
  <c r="AL380" i="1" s="1"/>
  <c r="AI367" i="1"/>
  <c r="AJ367" i="1" s="1"/>
  <c r="GN369" i="1"/>
  <c r="GM369" i="1"/>
  <c r="GL369" i="1"/>
  <c r="GO369" i="1" s="1"/>
  <c r="GJ369" i="1"/>
  <c r="GI369" i="1"/>
  <c r="GH369" i="1"/>
  <c r="GK369" i="1" s="1"/>
  <c r="GF369" i="1"/>
  <c r="GE369" i="1"/>
  <c r="GD369" i="1"/>
  <c r="GG369" i="1" s="1"/>
  <c r="GB369" i="1"/>
  <c r="GA369" i="1"/>
  <c r="FZ369" i="1"/>
  <c r="GC369" i="1" s="1"/>
  <c r="FY369" i="1"/>
  <c r="GN368" i="1"/>
  <c r="GL368" i="1"/>
  <c r="GM368" i="1" s="1"/>
  <c r="GJ368" i="1"/>
  <c r="GH368" i="1"/>
  <c r="GI368" i="1" s="1"/>
  <c r="GF368" i="1"/>
  <c r="GD368" i="1"/>
  <c r="GE368" i="1" s="1"/>
  <c r="GB368" i="1"/>
  <c r="FZ368" i="1"/>
  <c r="GA368" i="1" s="1"/>
  <c r="GN366" i="1"/>
  <c r="GO366" i="1" s="1"/>
  <c r="GL366" i="1"/>
  <c r="GJ366" i="1"/>
  <c r="GK366" i="1" s="1"/>
  <c r="GH366" i="1"/>
  <c r="GF366" i="1"/>
  <c r="GG366" i="1" s="1"/>
  <c r="GD366" i="1"/>
  <c r="GB366" i="1"/>
  <c r="GC366" i="1" s="1"/>
  <c r="GA366" i="1"/>
  <c r="FZ366" i="1"/>
  <c r="FV368" i="1"/>
  <c r="FW368" i="1" s="1"/>
  <c r="FT368" i="1"/>
  <c r="FR368" i="1"/>
  <c r="FS368" i="1" s="1"/>
  <c r="FP368" i="1"/>
  <c r="FN368" i="1"/>
  <c r="FO368" i="1" s="1"/>
  <c r="FL368" i="1"/>
  <c r="FJ368" i="1"/>
  <c r="FK368" i="1" s="1"/>
  <c r="FI368" i="1"/>
  <c r="FH368" i="1"/>
  <c r="FG368" i="1"/>
  <c r="FR367" i="1"/>
  <c r="FR370" i="1" s="1"/>
  <c r="FN367" i="1"/>
  <c r="FN370" i="1" s="1"/>
  <c r="FL367" i="1"/>
  <c r="FL370" i="1" s="1"/>
  <c r="FJ367" i="1"/>
  <c r="FJ370" i="1" s="1"/>
  <c r="FI367" i="1"/>
  <c r="FH367" i="1"/>
  <c r="FH370" i="1" s="1"/>
  <c r="FG367" i="1"/>
  <c r="FV366" i="1"/>
  <c r="FW366" i="1" s="1"/>
  <c r="FT366" i="1"/>
  <c r="FR366" i="1"/>
  <c r="FS366" i="1" s="1"/>
  <c r="FP366" i="1"/>
  <c r="FN366" i="1"/>
  <c r="FF366" i="1"/>
  <c r="FG366" i="1" s="1"/>
  <c r="FD366" i="1"/>
  <c r="FE366" i="1" s="1"/>
  <c r="FB366" i="1"/>
  <c r="AG366" i="1"/>
  <c r="AG499" i="1" s="1"/>
  <c r="AH499" i="1" s="1"/>
  <c r="AE366" i="1"/>
  <c r="AE499" i="1" s="1"/>
  <c r="AF499" i="1" s="1"/>
  <c r="AC366" i="1"/>
  <c r="AC499" i="1" s="1"/>
  <c r="AD499" i="1" s="1"/>
  <c r="AA366" i="1"/>
  <c r="AA499" i="1" s="1"/>
  <c r="AB499" i="1" s="1"/>
  <c r="Y366" i="1"/>
  <c r="W366" i="1"/>
  <c r="X366" i="1" s="1"/>
  <c r="U366" i="1"/>
  <c r="S366" i="1"/>
  <c r="Q366" i="1"/>
  <c r="O366" i="1"/>
  <c r="P366" i="1" s="1"/>
  <c r="M366" i="1"/>
  <c r="K366" i="1"/>
  <c r="FH366" i="1" s="1"/>
  <c r="FI366" i="1" s="1"/>
  <c r="I366" i="1"/>
  <c r="G366" i="1"/>
  <c r="E366" i="1"/>
  <c r="GQ365" i="1"/>
  <c r="GO365" i="1"/>
  <c r="GM365" i="1"/>
  <c r="GK365" i="1"/>
  <c r="GI365" i="1"/>
  <c r="EM365" i="1"/>
  <c r="EN365" i="1" s="1"/>
  <c r="EK365" i="1"/>
  <c r="EL365" i="1" s="1"/>
  <c r="EI365" i="1"/>
  <c r="EJ365" i="1" s="1"/>
  <c r="EG365" i="1"/>
  <c r="EH365" i="1" s="1"/>
  <c r="GN364" i="1"/>
  <c r="GN909" i="1" s="1"/>
  <c r="GL364" i="1"/>
  <c r="GL909" i="1" s="1"/>
  <c r="GJ364" i="1"/>
  <c r="GK364" i="1" s="1"/>
  <c r="GH364" i="1"/>
  <c r="GI364" i="1" s="1"/>
  <c r="GF364" i="1"/>
  <c r="GG364" i="1" s="1"/>
  <c r="GD364" i="1"/>
  <c r="GB364" i="1"/>
  <c r="GC364" i="1" s="1"/>
  <c r="GA364" i="1"/>
  <c r="FZ364" i="1"/>
  <c r="FY364" i="1"/>
  <c r="FW364" i="1"/>
  <c r="FT364" i="1"/>
  <c r="FR364" i="1"/>
  <c r="FS364" i="1" s="1"/>
  <c r="FP364" i="1"/>
  <c r="FN364" i="1"/>
  <c r="FO364" i="1" s="1"/>
  <c r="FL364" i="1"/>
  <c r="FJ364" i="1"/>
  <c r="FK364" i="1" s="1"/>
  <c r="FI364" i="1"/>
  <c r="FH364" i="1"/>
  <c r="FG364" i="1"/>
  <c r="FE364" i="1"/>
  <c r="EP369" i="1"/>
  <c r="EP368" i="1"/>
  <c r="EP366" i="1"/>
  <c r="EP365" i="1"/>
  <c r="EP364" i="1"/>
  <c r="DL364" i="1"/>
  <c r="DJ364" i="1"/>
  <c r="DB364" i="1"/>
  <c r="CZ364" i="1"/>
  <c r="CX364" i="1"/>
  <c r="CV364" i="1"/>
  <c r="CT364" i="1"/>
  <c r="CR364" i="1"/>
  <c r="CP364" i="1"/>
  <c r="CN364" i="1"/>
  <c r="CL364" i="1"/>
  <c r="CJ364" i="1"/>
  <c r="CH364" i="1"/>
  <c r="CF364" i="1"/>
  <c r="CD364" i="1"/>
  <c r="CB364" i="1"/>
  <c r="BZ364" i="1"/>
  <c r="BX364" i="1"/>
  <c r="BV364" i="1"/>
  <c r="BT364" i="1"/>
  <c r="BR364" i="1"/>
  <c r="BP364" i="1"/>
  <c r="BN364" i="1"/>
  <c r="BL364" i="1"/>
  <c r="BJ364" i="1"/>
  <c r="BH364" i="1"/>
  <c r="BF364" i="1"/>
  <c r="BD364" i="1"/>
  <c r="BB364" i="1"/>
  <c r="AZ364" i="1"/>
  <c r="AX364" i="1"/>
  <c r="AV364" i="1"/>
  <c r="AT364" i="1"/>
  <c r="AR364" i="1"/>
  <c r="AP364" i="1"/>
  <c r="AN364" i="1"/>
  <c r="AL364" i="1"/>
  <c r="AJ364" i="1"/>
  <c r="AH364" i="1"/>
  <c r="AF364" i="1"/>
  <c r="AD364" i="1"/>
  <c r="AB364" i="1"/>
  <c r="Z364" i="1"/>
  <c r="X364" i="1"/>
  <c r="V364" i="1"/>
  <c r="T364" i="1"/>
  <c r="R364" i="1"/>
  <c r="P364" i="1"/>
  <c r="N364" i="1"/>
  <c r="L364" i="1"/>
  <c r="C364" i="1"/>
  <c r="C366" i="1" s="1"/>
  <c r="L366" i="1" s="1"/>
  <c r="GQ361" i="1"/>
  <c r="GO361" i="1"/>
  <c r="GM361" i="1"/>
  <c r="GK361" i="1"/>
  <c r="GI361" i="1"/>
  <c r="ES360" i="1"/>
  <c r="ES398" i="1" s="1"/>
  <c r="ES358" i="1"/>
  <c r="EU358" i="1" s="1"/>
  <c r="EQ360" i="1"/>
  <c r="EQ398" i="1" s="1"/>
  <c r="EQ359" i="1"/>
  <c r="EQ361" i="1" s="1"/>
  <c r="GT359" i="1"/>
  <c r="GV359" i="1" s="1"/>
  <c r="GU359" i="1"/>
  <c r="GS359" i="1"/>
  <c r="GQ359" i="1"/>
  <c r="GO359" i="1"/>
  <c r="GM359" i="1"/>
  <c r="GK359" i="1"/>
  <c r="GI359" i="1"/>
  <c r="GN358" i="1"/>
  <c r="EC358" i="1"/>
  <c r="EK360" i="1" s="1"/>
  <c r="GI358" i="1"/>
  <c r="EG358" i="1"/>
  <c r="EO360" i="1" s="1"/>
  <c r="EE358" i="1"/>
  <c r="EM360" i="1" s="1"/>
  <c r="DY358" i="1"/>
  <c r="DW358" i="1"/>
  <c r="DU358" i="1"/>
  <c r="DQ358" i="1"/>
  <c r="DO358" i="1"/>
  <c r="DM358" i="1"/>
  <c r="DK358" i="1"/>
  <c r="BK354" i="1"/>
  <c r="BK353" i="1"/>
  <c r="BI354" i="1"/>
  <c r="BI353" i="1"/>
  <c r="BG354" i="1"/>
  <c r="BG353" i="1"/>
  <c r="BE354" i="1"/>
  <c r="BE353" i="1"/>
  <c r="BC354" i="1"/>
  <c r="BC353" i="1"/>
  <c r="BA354" i="1"/>
  <c r="BA353" i="1"/>
  <c r="AY354" i="1"/>
  <c r="AY353" i="1"/>
  <c r="AW354" i="1"/>
  <c r="AW353" i="1"/>
  <c r="AU354" i="1"/>
  <c r="AU353" i="1"/>
  <c r="AS354" i="1"/>
  <c r="AS353" i="1"/>
  <c r="AQ354" i="1"/>
  <c r="AQ353" i="1"/>
  <c r="AO354" i="1"/>
  <c r="AO353" i="1"/>
  <c r="AM354" i="1"/>
  <c r="AM353" i="1"/>
  <c r="AK354" i="1"/>
  <c r="AK353" i="1"/>
  <c r="AI354" i="1"/>
  <c r="AI353" i="1"/>
  <c r="AG354" i="1"/>
  <c r="AG353" i="1"/>
  <c r="AE354" i="1"/>
  <c r="AE353" i="1"/>
  <c r="FE353" i="1"/>
  <c r="FE352" i="1"/>
  <c r="FM349" i="1"/>
  <c r="FL349" i="1"/>
  <c r="FL524" i="1" s="1"/>
  <c r="FM524" i="1" s="1"/>
  <c r="FJ349" i="1"/>
  <c r="FJ524" i="1" s="1"/>
  <c r="FI349" i="1"/>
  <c r="FH349" i="1"/>
  <c r="FH524" i="1" s="1"/>
  <c r="FI524" i="1" s="1"/>
  <c r="FF349" i="1"/>
  <c r="FF524" i="1" s="1"/>
  <c r="FE349" i="1"/>
  <c r="FD349" i="1"/>
  <c r="FD524" i="1" s="1"/>
  <c r="FE524" i="1" s="1"/>
  <c r="FB349" i="1"/>
  <c r="AC349" i="1"/>
  <c r="AD349" i="1" s="1"/>
  <c r="AB349" i="1"/>
  <c r="AA349" i="1"/>
  <c r="Y349" i="1"/>
  <c r="Z349" i="1" s="1"/>
  <c r="X349" i="1"/>
  <c r="W349" i="1"/>
  <c r="U349" i="1"/>
  <c r="V349" i="1" s="1"/>
  <c r="T349" i="1"/>
  <c r="S349" i="1"/>
  <c r="Q349" i="1"/>
  <c r="R349" i="1" s="1"/>
  <c r="P349" i="1"/>
  <c r="O349" i="1"/>
  <c r="M349" i="1"/>
  <c r="N349" i="1" s="1"/>
  <c r="L349" i="1"/>
  <c r="K349" i="1"/>
  <c r="FT348" i="1"/>
  <c r="FP348" i="1"/>
  <c r="FQ348" i="1" s="1"/>
  <c r="FO348" i="1"/>
  <c r="FN348" i="1"/>
  <c r="FM348" i="1"/>
  <c r="FK348" i="1"/>
  <c r="FI348" i="1"/>
  <c r="FG348" i="1"/>
  <c r="FE348" i="1"/>
  <c r="BJ348" i="1"/>
  <c r="BH348" i="1"/>
  <c r="BF348" i="1"/>
  <c r="BD348" i="1"/>
  <c r="BB348" i="1"/>
  <c r="AZ348" i="1"/>
  <c r="AY348" i="1"/>
  <c r="AY534" i="1" s="1"/>
  <c r="AX348" i="1"/>
  <c r="AV348" i="1"/>
  <c r="AT348" i="1"/>
  <c r="AR348" i="1"/>
  <c r="AP348" i="1"/>
  <c r="AN348" i="1"/>
  <c r="AL348" i="1"/>
  <c r="AJ348" i="1"/>
  <c r="AH348" i="1"/>
  <c r="AF348" i="1"/>
  <c r="AD348" i="1"/>
  <c r="AB348" i="1"/>
  <c r="Z348" i="1"/>
  <c r="X348" i="1"/>
  <c r="V348" i="1"/>
  <c r="T348" i="1"/>
  <c r="R348" i="1"/>
  <c r="P348" i="1"/>
  <c r="N348" i="1"/>
  <c r="L348" i="1"/>
  <c r="FK346" i="1"/>
  <c r="FI346" i="1"/>
  <c r="FG346" i="1"/>
  <c r="FE346" i="1"/>
  <c r="BI346" i="1"/>
  <c r="BJ346" i="1" s="1"/>
  <c r="BE346" i="1"/>
  <c r="BE501" i="1" s="1"/>
  <c r="BA346" i="1"/>
  <c r="BA501" i="1" s="1"/>
  <c r="AW346" i="1"/>
  <c r="AW501" i="1" s="1"/>
  <c r="AK346" i="1"/>
  <c r="AK501" i="1" s="1"/>
  <c r="AD346" i="1"/>
  <c r="AB346" i="1"/>
  <c r="Z346" i="1"/>
  <c r="X346" i="1"/>
  <c r="V346" i="1"/>
  <c r="T346" i="1"/>
  <c r="R346" i="1"/>
  <c r="P346" i="1"/>
  <c r="N346" i="1"/>
  <c r="L346" i="1"/>
  <c r="BJ345" i="1"/>
  <c r="BJ343" i="1"/>
  <c r="BJ342" i="1"/>
  <c r="BJ341" i="1"/>
  <c r="BJ340" i="1"/>
  <c r="BH345" i="1"/>
  <c r="BH343" i="1"/>
  <c r="BH342" i="1"/>
  <c r="BH340" i="1"/>
  <c r="BF345" i="1"/>
  <c r="BF343" i="1"/>
  <c r="BF342" i="1"/>
  <c r="BF341" i="1"/>
  <c r="BF340" i="1"/>
  <c r="BD345" i="1"/>
  <c r="BD343" i="1"/>
  <c r="BD342" i="1"/>
  <c r="BD341" i="1"/>
  <c r="BD340" i="1"/>
  <c r="BB345" i="1"/>
  <c r="BB342" i="1"/>
  <c r="BB341" i="1"/>
  <c r="BB340" i="1"/>
  <c r="AZ345" i="1"/>
  <c r="AZ340" i="1"/>
  <c r="AX345" i="1"/>
  <c r="AX342" i="1"/>
  <c r="AX341" i="1"/>
  <c r="AX340" i="1"/>
  <c r="AV345" i="1"/>
  <c r="AV341" i="1"/>
  <c r="AV340" i="1"/>
  <c r="AT345" i="1"/>
  <c r="AT342" i="1"/>
  <c r="AT341" i="1"/>
  <c r="AT340" i="1"/>
  <c r="AR345" i="1"/>
  <c r="AR341" i="1"/>
  <c r="AR340" i="1"/>
  <c r="AP345" i="1"/>
  <c r="AP342" i="1"/>
  <c r="AP341" i="1"/>
  <c r="AP340" i="1"/>
  <c r="AN345" i="1"/>
  <c r="AN341" i="1"/>
  <c r="AN340" i="1"/>
  <c r="AL345" i="1"/>
  <c r="AL343" i="1"/>
  <c r="AL342" i="1"/>
  <c r="AL341" i="1"/>
  <c r="AL340" i="1"/>
  <c r="AJ345" i="1"/>
  <c r="AJ343" i="1"/>
  <c r="AJ341" i="1"/>
  <c r="AJ340" i="1"/>
  <c r="AH345" i="1"/>
  <c r="AH343" i="1"/>
  <c r="AH342" i="1"/>
  <c r="AH341" i="1"/>
  <c r="AH340" i="1"/>
  <c r="AF345" i="1"/>
  <c r="AF341" i="1"/>
  <c r="AF340" i="1"/>
  <c r="BI344" i="1"/>
  <c r="BJ344" i="1" s="1"/>
  <c r="BG344" i="1"/>
  <c r="BG346" i="1" s="1"/>
  <c r="BE344" i="1"/>
  <c r="BF344" i="1" s="1"/>
  <c r="BC344" i="1"/>
  <c r="BC346" i="1" s="1"/>
  <c r="BA344" i="1"/>
  <c r="AW344" i="1"/>
  <c r="AX344" i="1" s="1"/>
  <c r="AU344" i="1"/>
  <c r="AU346" i="1" s="1"/>
  <c r="AS342" i="1"/>
  <c r="AS343" i="1" s="1"/>
  <c r="AQ344" i="1"/>
  <c r="AQ346" i="1" s="1"/>
  <c r="AQ343" i="1"/>
  <c r="FP343" i="1" s="1"/>
  <c r="AQ342" i="1"/>
  <c r="AZ342" i="1" s="1"/>
  <c r="AO343" i="1"/>
  <c r="AX343" i="1" s="1"/>
  <c r="AO342" i="1"/>
  <c r="AO344" i="1" s="1"/>
  <c r="AM342" i="1"/>
  <c r="AV342" i="1" s="1"/>
  <c r="AK344" i="1"/>
  <c r="AL344" i="1" s="1"/>
  <c r="AE344" i="1"/>
  <c r="AE346" i="1" s="1"/>
  <c r="AE343" i="1"/>
  <c r="FL343" i="1" s="1"/>
  <c r="FM343" i="1" s="1"/>
  <c r="AE342" i="1"/>
  <c r="AF342" i="1" s="1"/>
  <c r="FL342" i="1"/>
  <c r="FM342" i="1" s="1"/>
  <c r="FL341" i="1"/>
  <c r="FL340" i="1"/>
  <c r="AK342" i="1"/>
  <c r="AI342" i="1"/>
  <c r="AJ342" i="1" s="1"/>
  <c r="AG342" i="1"/>
  <c r="AG344" i="1" s="1"/>
  <c r="AY341" i="1"/>
  <c r="AY344" i="1" s="1"/>
  <c r="FM346" i="1"/>
  <c r="FU345" i="1"/>
  <c r="FT345" i="1"/>
  <c r="FR345" i="1"/>
  <c r="FS345" i="1" s="1"/>
  <c r="FQ345" i="1"/>
  <c r="FP345" i="1"/>
  <c r="FN345" i="1"/>
  <c r="FO345" i="1" s="1"/>
  <c r="FM345" i="1"/>
  <c r="FM344" i="1"/>
  <c r="FT343" i="1"/>
  <c r="FU343" i="1" s="1"/>
  <c r="FR343" i="1"/>
  <c r="FT342" i="1"/>
  <c r="FU342" i="1" s="1"/>
  <c r="FR342" i="1"/>
  <c r="FP342" i="1"/>
  <c r="FU341" i="1"/>
  <c r="FT341" i="1"/>
  <c r="FR341" i="1"/>
  <c r="FS341" i="1" s="1"/>
  <c r="FQ341" i="1"/>
  <c r="FP341" i="1"/>
  <c r="FN341" i="1"/>
  <c r="FO341" i="1" s="1"/>
  <c r="FM341" i="1"/>
  <c r="FT340" i="1"/>
  <c r="FR340" i="1"/>
  <c r="FS340" i="1" s="1"/>
  <c r="FP340" i="1"/>
  <c r="FN340" i="1"/>
  <c r="FO340" i="1" s="1"/>
  <c r="FM340" i="1"/>
  <c r="BG339" i="1"/>
  <c r="BG338" i="1"/>
  <c r="FT336" i="1"/>
  <c r="FU336" i="1" s="1"/>
  <c r="FU335" i="1"/>
  <c r="FT335" i="1"/>
  <c r="FR334" i="1"/>
  <c r="BI334" i="1"/>
  <c r="BI338" i="1" s="1"/>
  <c r="BG334" i="1"/>
  <c r="GF329" i="1"/>
  <c r="EX329" i="1"/>
  <c r="EV329" i="1"/>
  <c r="ET329" i="1"/>
  <c r="ER329" i="1"/>
  <c r="EP329" i="1"/>
  <c r="EN329" i="1"/>
  <c r="EL329" i="1"/>
  <c r="EJ329" i="1"/>
  <c r="EH329" i="1"/>
  <c r="EF329" i="1"/>
  <c r="ED329" i="1"/>
  <c r="EB329" i="1"/>
  <c r="DZ329" i="1"/>
  <c r="DX329" i="1"/>
  <c r="DV329" i="1"/>
  <c r="DT329" i="1"/>
  <c r="DR329" i="1"/>
  <c r="DP329" i="1"/>
  <c r="DN329" i="1"/>
  <c r="EX327" i="1"/>
  <c r="EX323" i="1"/>
  <c r="EV327" i="1"/>
  <c r="EV323" i="1"/>
  <c r="ET327" i="1"/>
  <c r="ET323" i="1"/>
  <c r="ER327" i="1"/>
  <c r="ER323" i="1"/>
  <c r="EP327" i="1"/>
  <c r="EP323" i="1"/>
  <c r="EN327" i="1"/>
  <c r="EN323" i="1"/>
  <c r="EL327" i="1"/>
  <c r="EL323" i="1"/>
  <c r="EJ327" i="1"/>
  <c r="EJ323" i="1"/>
  <c r="EH327" i="1"/>
  <c r="EH323" i="1"/>
  <c r="EF327" i="1"/>
  <c r="EF323" i="1"/>
  <c r="ED323" i="1"/>
  <c r="EB323" i="1"/>
  <c r="DZ323" i="1"/>
  <c r="DX323" i="1"/>
  <c r="DA323" i="1"/>
  <c r="GF323" i="1"/>
  <c r="GG323" i="1" s="1"/>
  <c r="GD323" i="1"/>
  <c r="GB323" i="1"/>
  <c r="GE323" i="1"/>
  <c r="FB324" i="1"/>
  <c r="FB808" i="1" s="1"/>
  <c r="DL323" i="1"/>
  <c r="DJ323" i="1"/>
  <c r="DH323" i="1"/>
  <c r="DF323" i="1"/>
  <c r="DD323" i="1"/>
  <c r="DB323" i="1"/>
  <c r="CZ323" i="1"/>
  <c r="CX323" i="1"/>
  <c r="CV323" i="1"/>
  <c r="CT323" i="1"/>
  <c r="CR323" i="1"/>
  <c r="CP323" i="1"/>
  <c r="CN323" i="1"/>
  <c r="I324" i="1"/>
  <c r="I525" i="1" s="1"/>
  <c r="I526" i="1" s="1"/>
  <c r="G324" i="1"/>
  <c r="G525" i="1" s="1"/>
  <c r="G526" i="1" s="1"/>
  <c r="E324" i="1"/>
  <c r="E525" i="1" s="1"/>
  <c r="E526" i="1" s="1"/>
  <c r="C324" i="1"/>
  <c r="C525" i="1" s="1"/>
  <c r="C526" i="1" s="1"/>
  <c r="GY323" i="1"/>
  <c r="GW323" i="1"/>
  <c r="GU323" i="1"/>
  <c r="GQ323" i="1"/>
  <c r="GP323" i="1"/>
  <c r="GS323" i="1" s="1"/>
  <c r="GN323" i="1"/>
  <c r="GZ323" i="1" s="1"/>
  <c r="GM323" i="1"/>
  <c r="GL323" i="1"/>
  <c r="GO323" i="1" s="1"/>
  <c r="GJ323" i="1"/>
  <c r="GI323" i="1"/>
  <c r="GH323" i="1"/>
  <c r="GK323" i="1" s="1"/>
  <c r="FZ323" i="1"/>
  <c r="GC323" i="1" s="1"/>
  <c r="FY323" i="1"/>
  <c r="FX323" i="1"/>
  <c r="GA323" i="1" s="1"/>
  <c r="FV323" i="1"/>
  <c r="FR323" i="1"/>
  <c r="FQ323" i="1"/>
  <c r="FP323" i="1"/>
  <c r="FS323" i="1" s="1"/>
  <c r="FO323" i="1"/>
  <c r="FN323" i="1"/>
  <c r="FM323" i="1"/>
  <c r="FK323" i="1"/>
  <c r="FI323" i="1"/>
  <c r="FG323" i="1"/>
  <c r="FE323" i="1"/>
  <c r="DV323" i="1"/>
  <c r="DT323" i="1"/>
  <c r="DR323" i="1"/>
  <c r="DP323" i="1"/>
  <c r="DN323" i="1"/>
  <c r="CL323" i="1"/>
  <c r="CJ323" i="1"/>
  <c r="CH323" i="1"/>
  <c r="CF323" i="1"/>
  <c r="CD323" i="1"/>
  <c r="CB323" i="1"/>
  <c r="BZ323" i="1"/>
  <c r="BX323" i="1"/>
  <c r="BV323" i="1"/>
  <c r="BR323" i="1"/>
  <c r="BP323" i="1"/>
  <c r="BN323" i="1"/>
  <c r="BK323" i="1"/>
  <c r="BT323" i="1" s="1"/>
  <c r="BJ323" i="1"/>
  <c r="BH323" i="1"/>
  <c r="BF323" i="1"/>
  <c r="BD323" i="1"/>
  <c r="BB323" i="1"/>
  <c r="AZ323" i="1"/>
  <c r="AX323" i="1"/>
  <c r="AV323" i="1"/>
  <c r="AT323" i="1"/>
  <c r="AR323" i="1"/>
  <c r="AP323" i="1"/>
  <c r="AN323" i="1"/>
  <c r="AL323" i="1"/>
  <c r="AJ323" i="1"/>
  <c r="AH323" i="1"/>
  <c r="AF323" i="1"/>
  <c r="AD323" i="1"/>
  <c r="AB323" i="1"/>
  <c r="Z323" i="1"/>
  <c r="X323" i="1"/>
  <c r="V323" i="1"/>
  <c r="T323" i="1"/>
  <c r="R323" i="1"/>
  <c r="P323" i="1"/>
  <c r="N323" i="1"/>
  <c r="L323" i="1"/>
  <c r="GF319" i="1"/>
  <c r="DK319" i="1"/>
  <c r="CY319" i="1"/>
  <c r="DH319" i="1" s="1"/>
  <c r="CW319" i="1"/>
  <c r="CU319" i="1"/>
  <c r="DJ319" i="1"/>
  <c r="DF319" i="1"/>
  <c r="DD319" i="1"/>
  <c r="DB319" i="1"/>
  <c r="CX319" i="1"/>
  <c r="CV319" i="1"/>
  <c r="GO319" i="1"/>
  <c r="GN319" i="1"/>
  <c r="GL319" i="1"/>
  <c r="GH319" i="1"/>
  <c r="GI319" i="1" s="1"/>
  <c r="ET319" i="1"/>
  <c r="ES319" i="1"/>
  <c r="ER319" i="1"/>
  <c r="EP319" i="1"/>
  <c r="EN319" i="1"/>
  <c r="EL319" i="1"/>
  <c r="EJ319" i="1"/>
  <c r="EH319" i="1"/>
  <c r="EF319" i="1"/>
  <c r="ED319" i="1"/>
  <c r="DZ319" i="1"/>
  <c r="DX319" i="1"/>
  <c r="DV319" i="1"/>
  <c r="DU319" i="1"/>
  <c r="DS319" i="1"/>
  <c r="EB319" i="1" s="1"/>
  <c r="DR319" i="1"/>
  <c r="DP319" i="1"/>
  <c r="DN319" i="1"/>
  <c r="CE314" i="1"/>
  <c r="AJ314" i="1"/>
  <c r="AI314" i="1"/>
  <c r="AG314" i="1"/>
  <c r="AH314" i="1" s="1"/>
  <c r="AF314" i="1"/>
  <c r="AE314" i="1"/>
  <c r="AC314" i="1"/>
  <c r="AD314" i="1" s="1"/>
  <c r="AB314" i="1"/>
  <c r="AA314" i="1"/>
  <c r="Y314" i="1"/>
  <c r="Z314" i="1" s="1"/>
  <c r="X314" i="1"/>
  <c r="W314" i="1"/>
  <c r="U314" i="1"/>
  <c r="V314" i="1" s="1"/>
  <c r="T314" i="1"/>
  <c r="S314" i="1"/>
  <c r="Q314" i="1"/>
  <c r="R314" i="1" s="1"/>
  <c r="P314" i="1"/>
  <c r="O314" i="1"/>
  <c r="M314" i="1"/>
  <c r="N314" i="1" s="1"/>
  <c r="L314" i="1"/>
  <c r="K314" i="1"/>
  <c r="FF314" i="1"/>
  <c r="FG314" i="1" s="1"/>
  <c r="FE314" i="1"/>
  <c r="FD314" i="1"/>
  <c r="ES313" i="1"/>
  <c r="EU313" i="1" s="1"/>
  <c r="FF311" i="1"/>
  <c r="FG311" i="1" s="1"/>
  <c r="FE311" i="1"/>
  <c r="FD311" i="1"/>
  <c r="EO311" i="1"/>
  <c r="EP311" i="1" s="1"/>
  <c r="EK311" i="1"/>
  <c r="EL311" i="1" s="1"/>
  <c r="EG311" i="1"/>
  <c r="EH311" i="1" s="1"/>
  <c r="EC311" i="1"/>
  <c r="ED311" i="1" s="1"/>
  <c r="DY311" i="1"/>
  <c r="DZ311" i="1" s="1"/>
  <c r="DU311" i="1"/>
  <c r="DV311" i="1" s="1"/>
  <c r="DQ311" i="1"/>
  <c r="DR311" i="1" s="1"/>
  <c r="DM311" i="1"/>
  <c r="DN311" i="1" s="1"/>
  <c r="DI311" i="1"/>
  <c r="DJ311" i="1" s="1"/>
  <c r="DE311" i="1"/>
  <c r="DF311" i="1" s="1"/>
  <c r="DA311" i="1"/>
  <c r="DB311" i="1" s="1"/>
  <c r="CW311" i="1"/>
  <c r="CX311" i="1" s="1"/>
  <c r="CS311" i="1"/>
  <c r="CT311" i="1" s="1"/>
  <c r="CO311" i="1"/>
  <c r="CP311" i="1" s="1"/>
  <c r="CK311" i="1"/>
  <c r="CL311" i="1" s="1"/>
  <c r="CG311" i="1"/>
  <c r="CH311" i="1" s="1"/>
  <c r="CE311" i="1"/>
  <c r="CC311" i="1"/>
  <c r="CD311" i="1" s="1"/>
  <c r="BY311" i="1"/>
  <c r="BZ311" i="1" s="1"/>
  <c r="BU311" i="1"/>
  <c r="BV311" i="1" s="1"/>
  <c r="BQ311" i="1"/>
  <c r="BR311" i="1" s="1"/>
  <c r="BM311" i="1"/>
  <c r="BN311" i="1" s="1"/>
  <c r="BI311" i="1"/>
  <c r="BJ311" i="1" s="1"/>
  <c r="BE311" i="1"/>
  <c r="BF311" i="1" s="1"/>
  <c r="BA311" i="1"/>
  <c r="BB311" i="1" s="1"/>
  <c r="AW311" i="1"/>
  <c r="AX311" i="1" s="1"/>
  <c r="AS311" i="1"/>
  <c r="AT311" i="1" s="1"/>
  <c r="AO311" i="1"/>
  <c r="AP311" i="1" s="1"/>
  <c r="AK311" i="1"/>
  <c r="AL311" i="1" s="1"/>
  <c r="AJ311" i="1"/>
  <c r="AI311" i="1"/>
  <c r="AG311" i="1"/>
  <c r="AH311" i="1" s="1"/>
  <c r="AF311" i="1"/>
  <c r="AE311" i="1"/>
  <c r="AC311" i="1"/>
  <c r="AD311" i="1" s="1"/>
  <c r="AB311" i="1"/>
  <c r="AA311" i="1"/>
  <c r="Y311" i="1"/>
  <c r="Z311" i="1" s="1"/>
  <c r="X311" i="1"/>
  <c r="W311" i="1"/>
  <c r="U311" i="1"/>
  <c r="V311" i="1" s="1"/>
  <c r="T311" i="1"/>
  <c r="S311" i="1"/>
  <c r="Q311" i="1"/>
  <c r="R311" i="1" s="1"/>
  <c r="P311" i="1"/>
  <c r="O311" i="1"/>
  <c r="M311" i="1"/>
  <c r="N311" i="1" s="1"/>
  <c r="L311" i="1"/>
  <c r="K311" i="1"/>
  <c r="FE310" i="1"/>
  <c r="FE309" i="1"/>
  <c r="FE308" i="1"/>
  <c r="EO310" i="1"/>
  <c r="EP310" i="1" s="1"/>
  <c r="EN310" i="1"/>
  <c r="EM310" i="1"/>
  <c r="EM311" i="1" s="1"/>
  <c r="EN311" i="1" s="1"/>
  <c r="EK310" i="1"/>
  <c r="EL310" i="1" s="1"/>
  <c r="EJ310" i="1"/>
  <c r="EI310" i="1"/>
  <c r="EI311" i="1" s="1"/>
  <c r="EJ311" i="1" s="1"/>
  <c r="EG310" i="1"/>
  <c r="EH310" i="1" s="1"/>
  <c r="EF310" i="1"/>
  <c r="EE310" i="1"/>
  <c r="EE311" i="1" s="1"/>
  <c r="EC310" i="1"/>
  <c r="ED310" i="1" s="1"/>
  <c r="EB310" i="1"/>
  <c r="EA310" i="1"/>
  <c r="EA311" i="1" s="1"/>
  <c r="DY310" i="1"/>
  <c r="DZ310" i="1" s="1"/>
  <c r="DX310" i="1"/>
  <c r="DW310" i="1"/>
  <c r="DW311" i="1" s="1"/>
  <c r="DX311" i="1" s="1"/>
  <c r="DU310" i="1"/>
  <c r="DV310" i="1" s="1"/>
  <c r="DT310" i="1"/>
  <c r="DS310" i="1"/>
  <c r="DS311" i="1" s="1"/>
  <c r="DT311" i="1" s="1"/>
  <c r="DQ310" i="1"/>
  <c r="DR310" i="1" s="1"/>
  <c r="DP310" i="1"/>
  <c r="DO310" i="1"/>
  <c r="DO311" i="1" s="1"/>
  <c r="DM310" i="1"/>
  <c r="DN310" i="1" s="1"/>
  <c r="DL310" i="1"/>
  <c r="DK310" i="1"/>
  <c r="DK311" i="1" s="1"/>
  <c r="DI310" i="1"/>
  <c r="DJ310" i="1" s="1"/>
  <c r="DH310" i="1"/>
  <c r="DG310" i="1"/>
  <c r="DG311" i="1" s="1"/>
  <c r="DH311" i="1" s="1"/>
  <c r="DE310" i="1"/>
  <c r="DF310" i="1" s="1"/>
  <c r="DD310" i="1"/>
  <c r="DC310" i="1"/>
  <c r="DC311" i="1" s="1"/>
  <c r="DD311" i="1" s="1"/>
  <c r="DA310" i="1"/>
  <c r="DB310" i="1" s="1"/>
  <c r="CZ310" i="1"/>
  <c r="CY310" i="1"/>
  <c r="CY311" i="1" s="1"/>
  <c r="CW310" i="1"/>
  <c r="CX310" i="1" s="1"/>
  <c r="CV310" i="1"/>
  <c r="CU310" i="1"/>
  <c r="CU311" i="1" s="1"/>
  <c r="CS310" i="1"/>
  <c r="CT310" i="1" s="1"/>
  <c r="CR310" i="1"/>
  <c r="CQ310" i="1"/>
  <c r="CQ311" i="1" s="1"/>
  <c r="CR311" i="1" s="1"/>
  <c r="CO310" i="1"/>
  <c r="CP310" i="1" s="1"/>
  <c r="CN310" i="1"/>
  <c r="CM310" i="1"/>
  <c r="CM311" i="1" s="1"/>
  <c r="CN311" i="1" s="1"/>
  <c r="CK310" i="1"/>
  <c r="CL310" i="1" s="1"/>
  <c r="CI310" i="1"/>
  <c r="CI311" i="1" s="1"/>
  <c r="CG310" i="1"/>
  <c r="CH310" i="1" s="1"/>
  <c r="CD310" i="1"/>
  <c r="CC310" i="1"/>
  <c r="CC314" i="1" s="1"/>
  <c r="CD314" i="1" s="1"/>
  <c r="CA310" i="1"/>
  <c r="CA311" i="1" s="1"/>
  <c r="BZ310" i="1"/>
  <c r="BY310" i="1"/>
  <c r="BY314" i="1" s="1"/>
  <c r="BZ314" i="1" s="1"/>
  <c r="BW310" i="1"/>
  <c r="BW311" i="1" s="1"/>
  <c r="BV310" i="1"/>
  <c r="BU310" i="1"/>
  <c r="BU314" i="1" s="1"/>
  <c r="BS310" i="1"/>
  <c r="BS311" i="1" s="1"/>
  <c r="BT311" i="1" s="1"/>
  <c r="BR310" i="1"/>
  <c r="BQ310" i="1"/>
  <c r="BQ314" i="1" s="1"/>
  <c r="BO310" i="1"/>
  <c r="BO311" i="1" s="1"/>
  <c r="BN310" i="1"/>
  <c r="BM310" i="1"/>
  <c r="BM314" i="1" s="1"/>
  <c r="BN314" i="1" s="1"/>
  <c r="BK310" i="1"/>
  <c r="BK311" i="1" s="1"/>
  <c r="BJ310" i="1"/>
  <c r="BI310" i="1"/>
  <c r="BI314" i="1" s="1"/>
  <c r="BJ314" i="1" s="1"/>
  <c r="BG310" i="1"/>
  <c r="BG311" i="1" s="1"/>
  <c r="BH311" i="1" s="1"/>
  <c r="BF310" i="1"/>
  <c r="BE310" i="1"/>
  <c r="BE314" i="1" s="1"/>
  <c r="BC310" i="1"/>
  <c r="BC311" i="1" s="1"/>
  <c r="BD311" i="1" s="1"/>
  <c r="BB310" i="1"/>
  <c r="BA310" i="1"/>
  <c r="BA314" i="1" s="1"/>
  <c r="AY310" i="1"/>
  <c r="AY311" i="1" s="1"/>
  <c r="AX310" i="1"/>
  <c r="AW310" i="1"/>
  <c r="AW314" i="1" s="1"/>
  <c r="AX314" i="1" s="1"/>
  <c r="AU310" i="1"/>
  <c r="AU311" i="1" s="1"/>
  <c r="AT310" i="1"/>
  <c r="AS310" i="1"/>
  <c r="AS314" i="1" s="1"/>
  <c r="AT314" i="1" s="1"/>
  <c r="AQ310" i="1"/>
  <c r="AQ311" i="1" s="1"/>
  <c r="AR311" i="1" s="1"/>
  <c r="AP310" i="1"/>
  <c r="AO310" i="1"/>
  <c r="AO314" i="1" s="1"/>
  <c r="AP314" i="1" s="1"/>
  <c r="AM310" i="1"/>
  <c r="AM311" i="1" s="1"/>
  <c r="AN311" i="1" s="1"/>
  <c r="AL310" i="1"/>
  <c r="AK310" i="1"/>
  <c r="AK314" i="1" s="1"/>
  <c r="AL314" i="1" s="1"/>
  <c r="AJ310" i="1"/>
  <c r="AH310" i="1"/>
  <c r="AH309" i="1"/>
  <c r="AH308" i="1"/>
  <c r="AF310" i="1"/>
  <c r="AF309" i="1"/>
  <c r="AF308" i="1"/>
  <c r="AD310" i="1"/>
  <c r="AD309" i="1"/>
  <c r="AD308" i="1"/>
  <c r="AB310" i="1"/>
  <c r="AB309" i="1"/>
  <c r="AB308" i="1"/>
  <c r="Z310" i="1"/>
  <c r="Z309" i="1"/>
  <c r="Z308" i="1"/>
  <c r="X310" i="1"/>
  <c r="X309" i="1"/>
  <c r="X308" i="1"/>
  <c r="V310" i="1"/>
  <c r="V309" i="1"/>
  <c r="V308" i="1"/>
  <c r="T310" i="1"/>
  <c r="T309" i="1"/>
  <c r="T308" i="1"/>
  <c r="R310" i="1"/>
  <c r="R309" i="1"/>
  <c r="R308" i="1"/>
  <c r="P310" i="1"/>
  <c r="P309" i="1"/>
  <c r="P308" i="1"/>
  <c r="N310" i="1"/>
  <c r="N309" i="1"/>
  <c r="N308" i="1"/>
  <c r="L310" i="1"/>
  <c r="L309" i="1"/>
  <c r="L308" i="1"/>
  <c r="EN309" i="1"/>
  <c r="EN308" i="1"/>
  <c r="EL309" i="1"/>
  <c r="EL308" i="1"/>
  <c r="EJ309" i="1"/>
  <c r="EJ308" i="1"/>
  <c r="EH309" i="1"/>
  <c r="EH308" i="1"/>
  <c r="EF309" i="1"/>
  <c r="EF308" i="1"/>
  <c r="ED309" i="1"/>
  <c r="ED308" i="1"/>
  <c r="EB309" i="1"/>
  <c r="EB308" i="1"/>
  <c r="DZ309" i="1"/>
  <c r="DZ308" i="1"/>
  <c r="DX309" i="1"/>
  <c r="DX308" i="1"/>
  <c r="DV309" i="1"/>
  <c r="DV308" i="1"/>
  <c r="DT309" i="1"/>
  <c r="DT308" i="1"/>
  <c r="DR309" i="1"/>
  <c r="DR308" i="1"/>
  <c r="DP309" i="1"/>
  <c r="DP308" i="1"/>
  <c r="DN309" i="1"/>
  <c r="DN308" i="1"/>
  <c r="DL309" i="1"/>
  <c r="DL308" i="1"/>
  <c r="DJ309" i="1"/>
  <c r="DJ308" i="1"/>
  <c r="DH309" i="1"/>
  <c r="DH308" i="1"/>
  <c r="DF309" i="1"/>
  <c r="DF308" i="1"/>
  <c r="DD309" i="1"/>
  <c r="DD308" i="1"/>
  <c r="DB309" i="1"/>
  <c r="DB308" i="1"/>
  <c r="CZ309" i="1"/>
  <c r="CZ308" i="1"/>
  <c r="CX309" i="1"/>
  <c r="CX308" i="1"/>
  <c r="CV309" i="1"/>
  <c r="CV308" i="1"/>
  <c r="CT309" i="1"/>
  <c r="CT308" i="1"/>
  <c r="CR309" i="1"/>
  <c r="CR308" i="1"/>
  <c r="CP309" i="1"/>
  <c r="CP308" i="1"/>
  <c r="CN309" i="1"/>
  <c r="CN308" i="1"/>
  <c r="CL309" i="1"/>
  <c r="CL308" i="1"/>
  <c r="CJ309" i="1"/>
  <c r="CJ308" i="1"/>
  <c r="CH309" i="1"/>
  <c r="CH308" i="1"/>
  <c r="CF309" i="1"/>
  <c r="CF308" i="1"/>
  <c r="CD309" i="1"/>
  <c r="CD308" i="1"/>
  <c r="CB309" i="1"/>
  <c r="CB308" i="1"/>
  <c r="BZ309" i="1"/>
  <c r="BZ308" i="1"/>
  <c r="BX309" i="1"/>
  <c r="BX308" i="1"/>
  <c r="BV309" i="1"/>
  <c r="BV308" i="1"/>
  <c r="BT309" i="1"/>
  <c r="BT308" i="1"/>
  <c r="BR309" i="1"/>
  <c r="BR308" i="1"/>
  <c r="BP309" i="1"/>
  <c r="BP308" i="1"/>
  <c r="BN309" i="1"/>
  <c r="BN308" i="1"/>
  <c r="BL309" i="1"/>
  <c r="BL308" i="1"/>
  <c r="BJ309" i="1"/>
  <c r="BJ308" i="1"/>
  <c r="BH309" i="1"/>
  <c r="BH308" i="1"/>
  <c r="BF309" i="1"/>
  <c r="BF308" i="1"/>
  <c r="BD309" i="1"/>
  <c r="BD308" i="1"/>
  <c r="BB309" i="1"/>
  <c r="BB308" i="1"/>
  <c r="AZ309" i="1"/>
  <c r="AZ308" i="1"/>
  <c r="AX309" i="1"/>
  <c r="AX308" i="1"/>
  <c r="AV309" i="1"/>
  <c r="AV308" i="1"/>
  <c r="AT309" i="1"/>
  <c r="AT308" i="1"/>
  <c r="AR309" i="1"/>
  <c r="AR308" i="1"/>
  <c r="AP309" i="1"/>
  <c r="AP308" i="1"/>
  <c r="AN309" i="1"/>
  <c r="AN308" i="1"/>
  <c r="AL309" i="1"/>
  <c r="AL308" i="1"/>
  <c r="AJ309" i="1"/>
  <c r="AJ308" i="1"/>
  <c r="GN310" i="1"/>
  <c r="GN314" i="1" s="1"/>
  <c r="GL310" i="1"/>
  <c r="GM310" i="1" s="1"/>
  <c r="GJ310" i="1"/>
  <c r="GJ314" i="1" s="1"/>
  <c r="GH310" i="1"/>
  <c r="GI310" i="1" s="1"/>
  <c r="GF310" i="1"/>
  <c r="GF314" i="1" s="1"/>
  <c r="GD310" i="1"/>
  <c r="GE310" i="1" s="1"/>
  <c r="GB310" i="1"/>
  <c r="GB314" i="1" s="1"/>
  <c r="FZ310" i="1"/>
  <c r="FV310" i="1"/>
  <c r="FR310" i="1"/>
  <c r="FN310" i="1"/>
  <c r="FO310" i="1" s="1"/>
  <c r="FL310" i="1"/>
  <c r="FL314" i="1" s="1"/>
  <c r="FJ310" i="1"/>
  <c r="FK310" i="1" s="1"/>
  <c r="FI310" i="1"/>
  <c r="FH310" i="1"/>
  <c r="FH314" i="1" s="1"/>
  <c r="FI314" i="1" s="1"/>
  <c r="FG310" i="1"/>
  <c r="GN309" i="1"/>
  <c r="GN313" i="1" s="1"/>
  <c r="GL309" i="1"/>
  <c r="GJ309" i="1"/>
  <c r="GJ313" i="1" s="1"/>
  <c r="GH309" i="1"/>
  <c r="GF309" i="1"/>
  <c r="GF313" i="1" s="1"/>
  <c r="GD309" i="1"/>
  <c r="GB309" i="1"/>
  <c r="GB313" i="1" s="1"/>
  <c r="FZ309" i="1"/>
  <c r="FZ313" i="1" s="1"/>
  <c r="GA313" i="1" s="1"/>
  <c r="FX309" i="1"/>
  <c r="FX313" i="1" s="1"/>
  <c r="FV309" i="1"/>
  <c r="FT309" i="1"/>
  <c r="FT313" i="1" s="1"/>
  <c r="FR309" i="1"/>
  <c r="FP309" i="1"/>
  <c r="FP313" i="1" s="1"/>
  <c r="FN309" i="1"/>
  <c r="FL309" i="1"/>
  <c r="FL313" i="1" s="1"/>
  <c r="FJ309" i="1"/>
  <c r="FJ313" i="1" s="1"/>
  <c r="FK313" i="1" s="1"/>
  <c r="FH309" i="1"/>
  <c r="FH313" i="1" s="1"/>
  <c r="FG309" i="1"/>
  <c r="GN308" i="1"/>
  <c r="GN311" i="1" s="1"/>
  <c r="GL308" i="1"/>
  <c r="GM308" i="1" s="1"/>
  <c r="GJ308" i="1"/>
  <c r="GJ311" i="1" s="1"/>
  <c r="GH308" i="1"/>
  <c r="GI308" i="1" s="1"/>
  <c r="GF308" i="1"/>
  <c r="GF311" i="1" s="1"/>
  <c r="GD308" i="1"/>
  <c r="GE308" i="1" s="1"/>
  <c r="GB308" i="1"/>
  <c r="GB311" i="1" s="1"/>
  <c r="FZ308" i="1"/>
  <c r="GA308" i="1" s="1"/>
  <c r="FX308" i="1"/>
  <c r="FV308" i="1"/>
  <c r="FW308" i="1" s="1"/>
  <c r="FT308" i="1"/>
  <c r="FR308" i="1"/>
  <c r="FS308" i="1" s="1"/>
  <c r="FP308" i="1"/>
  <c r="FN308" i="1"/>
  <c r="FO308" i="1" s="1"/>
  <c r="FL308" i="1"/>
  <c r="FL311" i="1" s="1"/>
  <c r="FJ308" i="1"/>
  <c r="FK308" i="1" s="1"/>
  <c r="FI308" i="1"/>
  <c r="FH308" i="1"/>
  <c r="FH311" i="1" s="1"/>
  <c r="FI311" i="1" s="1"/>
  <c r="FG308" i="1"/>
  <c r="EP309" i="1"/>
  <c r="EQ308" i="1"/>
  <c r="EP308" i="1"/>
  <c r="ES305" i="1"/>
  <c r="EU305" i="1" s="1"/>
  <c r="GN303" i="1"/>
  <c r="GJ303" i="1"/>
  <c r="GF303" i="1"/>
  <c r="GG303" i="1" s="1"/>
  <c r="GB303" i="1"/>
  <c r="FX303" i="1"/>
  <c r="FT303" i="1"/>
  <c r="FP303" i="1"/>
  <c r="FQ303" i="1" s="1"/>
  <c r="FL303" i="1"/>
  <c r="FH303" i="1"/>
  <c r="FI303" i="1" s="1"/>
  <c r="FF303" i="1"/>
  <c r="FF316" i="1" s="1"/>
  <c r="FD303" i="1"/>
  <c r="FD313" i="1" s="1"/>
  <c r="FE313" i="1" s="1"/>
  <c r="EP303" i="1"/>
  <c r="EO303" i="1"/>
  <c r="EO316" i="1" s="1"/>
  <c r="EM303" i="1"/>
  <c r="EN303" i="1" s="1"/>
  <c r="EL303" i="1"/>
  <c r="EK303" i="1"/>
  <c r="EK316" i="1" s="1"/>
  <c r="EI303" i="1"/>
  <c r="EJ303" i="1" s="1"/>
  <c r="EH303" i="1"/>
  <c r="EG303" i="1"/>
  <c r="EG316" i="1" s="1"/>
  <c r="EE303" i="1"/>
  <c r="EF303" i="1" s="1"/>
  <c r="ED303" i="1"/>
  <c r="EC303" i="1"/>
  <c r="EC316" i="1" s="1"/>
  <c r="EA303" i="1"/>
  <c r="EB303" i="1" s="1"/>
  <c r="DZ303" i="1"/>
  <c r="DY303" i="1"/>
  <c r="DY316" i="1" s="1"/>
  <c r="DW303" i="1"/>
  <c r="DX303" i="1" s="1"/>
  <c r="DV303" i="1"/>
  <c r="DU303" i="1"/>
  <c r="DU316" i="1" s="1"/>
  <c r="DS303" i="1"/>
  <c r="DT303" i="1" s="1"/>
  <c r="DR303" i="1"/>
  <c r="DQ303" i="1"/>
  <c r="DQ316" i="1" s="1"/>
  <c r="DO303" i="1"/>
  <c r="DP303" i="1" s="1"/>
  <c r="DN303" i="1"/>
  <c r="DM303" i="1"/>
  <c r="DM316" i="1" s="1"/>
  <c r="DK303" i="1"/>
  <c r="DL303" i="1" s="1"/>
  <c r="DJ303" i="1"/>
  <c r="DI303" i="1"/>
  <c r="DI316" i="1" s="1"/>
  <c r="DG303" i="1"/>
  <c r="DH303" i="1" s="1"/>
  <c r="DF303" i="1"/>
  <c r="DE303" i="1"/>
  <c r="DE316" i="1" s="1"/>
  <c r="DC303" i="1"/>
  <c r="DD303" i="1" s="1"/>
  <c r="DB303" i="1"/>
  <c r="DA303" i="1"/>
  <c r="DA316" i="1" s="1"/>
  <c r="CY303" i="1"/>
  <c r="CZ303" i="1" s="1"/>
  <c r="CX303" i="1"/>
  <c r="CW303" i="1"/>
  <c r="CW316" i="1" s="1"/>
  <c r="CU303" i="1"/>
  <c r="CV303" i="1" s="1"/>
  <c r="CT303" i="1"/>
  <c r="CS303" i="1"/>
  <c r="CS316" i="1" s="1"/>
  <c r="CQ303" i="1"/>
  <c r="CR303" i="1" s="1"/>
  <c r="CP303" i="1"/>
  <c r="CO303" i="1"/>
  <c r="CO316" i="1" s="1"/>
  <c r="CM303" i="1"/>
  <c r="CN303" i="1" s="1"/>
  <c r="CL303" i="1"/>
  <c r="CK303" i="1"/>
  <c r="CK316" i="1" s="1"/>
  <c r="CI303" i="1"/>
  <c r="CJ303" i="1" s="1"/>
  <c r="CH303" i="1"/>
  <c r="CG303" i="1"/>
  <c r="CG316" i="1" s="1"/>
  <c r="CE303" i="1"/>
  <c r="CF303" i="1" s="1"/>
  <c r="CD303" i="1"/>
  <c r="CC303" i="1"/>
  <c r="CC316" i="1" s="1"/>
  <c r="CA303" i="1"/>
  <c r="CB303" i="1" s="1"/>
  <c r="BZ303" i="1"/>
  <c r="BY303" i="1"/>
  <c r="BY316" i="1" s="1"/>
  <c r="BW303" i="1"/>
  <c r="BX303" i="1" s="1"/>
  <c r="BV303" i="1"/>
  <c r="BU303" i="1"/>
  <c r="BU316" i="1" s="1"/>
  <c r="BS303" i="1"/>
  <c r="BT303" i="1" s="1"/>
  <c r="BR303" i="1"/>
  <c r="BQ303" i="1"/>
  <c r="BQ316" i="1" s="1"/>
  <c r="BO303" i="1"/>
  <c r="BP303" i="1" s="1"/>
  <c r="BN303" i="1"/>
  <c r="BM303" i="1"/>
  <c r="BM316" i="1" s="1"/>
  <c r="BK303" i="1"/>
  <c r="BL303" i="1" s="1"/>
  <c r="BJ303" i="1"/>
  <c r="BI303" i="1"/>
  <c r="BI316" i="1" s="1"/>
  <c r="BG303" i="1"/>
  <c r="BH303" i="1" s="1"/>
  <c r="BF303" i="1"/>
  <c r="BE303" i="1"/>
  <c r="BE316" i="1" s="1"/>
  <c r="BC303" i="1"/>
  <c r="BD303" i="1" s="1"/>
  <c r="BB303" i="1"/>
  <c r="BA303" i="1"/>
  <c r="BA316" i="1" s="1"/>
  <c r="AY303" i="1"/>
  <c r="AZ303" i="1" s="1"/>
  <c r="AX303" i="1"/>
  <c r="AW303" i="1"/>
  <c r="AW316" i="1" s="1"/>
  <c r="AU303" i="1"/>
  <c r="AV303" i="1" s="1"/>
  <c r="AT303" i="1"/>
  <c r="AS303" i="1"/>
  <c r="AS316" i="1" s="1"/>
  <c r="AQ303" i="1"/>
  <c r="AR303" i="1" s="1"/>
  <c r="AP303" i="1"/>
  <c r="AO303" i="1"/>
  <c r="AO316" i="1" s="1"/>
  <c r="AM303" i="1"/>
  <c r="AN303" i="1" s="1"/>
  <c r="AL303" i="1"/>
  <c r="AK303" i="1"/>
  <c r="AK316" i="1" s="1"/>
  <c r="AI303" i="1"/>
  <c r="AJ303" i="1" s="1"/>
  <c r="AH303" i="1"/>
  <c r="AG303" i="1"/>
  <c r="AG316" i="1" s="1"/>
  <c r="AE303" i="1"/>
  <c r="AF303" i="1" s="1"/>
  <c r="AD303" i="1"/>
  <c r="AC303" i="1"/>
  <c r="AC316" i="1" s="1"/>
  <c r="AA303" i="1"/>
  <c r="AB303" i="1" s="1"/>
  <c r="Z303" i="1"/>
  <c r="Y303" i="1"/>
  <c r="Y316" i="1" s="1"/>
  <c r="W303" i="1"/>
  <c r="X303" i="1" s="1"/>
  <c r="V303" i="1"/>
  <c r="U303" i="1"/>
  <c r="U316" i="1" s="1"/>
  <c r="S303" i="1"/>
  <c r="T303" i="1" s="1"/>
  <c r="R303" i="1"/>
  <c r="Q303" i="1"/>
  <c r="Q316" i="1" s="1"/>
  <c r="O303" i="1"/>
  <c r="P303" i="1" s="1"/>
  <c r="N303" i="1"/>
  <c r="M303" i="1"/>
  <c r="M316" i="1" s="1"/>
  <c r="K303" i="1"/>
  <c r="L303" i="1" s="1"/>
  <c r="FE302" i="1"/>
  <c r="FE301" i="1"/>
  <c r="EN302" i="1"/>
  <c r="EN301" i="1"/>
  <c r="EL302" i="1"/>
  <c r="EL301" i="1"/>
  <c r="EJ302" i="1"/>
  <c r="EJ301" i="1"/>
  <c r="EH302" i="1"/>
  <c r="EH301" i="1"/>
  <c r="EF302" i="1"/>
  <c r="EF301" i="1"/>
  <c r="ED302" i="1"/>
  <c r="ED301" i="1"/>
  <c r="EB302" i="1"/>
  <c r="EB301" i="1"/>
  <c r="DZ302" i="1"/>
  <c r="DZ301" i="1"/>
  <c r="DX302" i="1"/>
  <c r="DX301" i="1"/>
  <c r="DV302" i="1"/>
  <c r="DV301" i="1"/>
  <c r="DT302" i="1"/>
  <c r="DT301" i="1"/>
  <c r="DR302" i="1"/>
  <c r="DR301" i="1"/>
  <c r="DP302" i="1"/>
  <c r="DP301" i="1"/>
  <c r="DN302" i="1"/>
  <c r="DN301" i="1"/>
  <c r="DL302" i="1"/>
  <c r="DL301" i="1"/>
  <c r="DJ302" i="1"/>
  <c r="DJ301" i="1"/>
  <c r="DH302" i="1"/>
  <c r="DH301" i="1"/>
  <c r="DF302" i="1"/>
  <c r="DF301" i="1"/>
  <c r="DD302" i="1"/>
  <c r="DD301" i="1"/>
  <c r="DB302" i="1"/>
  <c r="DB301" i="1"/>
  <c r="CZ302" i="1"/>
  <c r="CZ301" i="1"/>
  <c r="CX302" i="1"/>
  <c r="CX301" i="1"/>
  <c r="CV302" i="1"/>
  <c r="CV301" i="1"/>
  <c r="CT302" i="1"/>
  <c r="CT301" i="1"/>
  <c r="CR302" i="1"/>
  <c r="CR301" i="1"/>
  <c r="CP302" i="1"/>
  <c r="CP301" i="1"/>
  <c r="CN302" i="1"/>
  <c r="CN301" i="1"/>
  <c r="CL302" i="1"/>
  <c r="CL301" i="1"/>
  <c r="CJ302" i="1"/>
  <c r="CJ301" i="1"/>
  <c r="CH302" i="1"/>
  <c r="CH301" i="1"/>
  <c r="CF302" i="1"/>
  <c r="CF301" i="1"/>
  <c r="CD302" i="1"/>
  <c r="CD301" i="1"/>
  <c r="CB302" i="1"/>
  <c r="CB301" i="1"/>
  <c r="BZ302" i="1"/>
  <c r="BZ301" i="1"/>
  <c r="BX302" i="1"/>
  <c r="BX301" i="1"/>
  <c r="BV302" i="1"/>
  <c r="BV301" i="1"/>
  <c r="BT302" i="1"/>
  <c r="BT301" i="1"/>
  <c r="BR302" i="1"/>
  <c r="BR301" i="1"/>
  <c r="BP302" i="1"/>
  <c r="BP301" i="1"/>
  <c r="BN302" i="1"/>
  <c r="BN301" i="1"/>
  <c r="BL302" i="1"/>
  <c r="BL301" i="1"/>
  <c r="BJ302" i="1"/>
  <c r="BJ301" i="1"/>
  <c r="BH302" i="1"/>
  <c r="BH301" i="1"/>
  <c r="BF302" i="1"/>
  <c r="BF301" i="1"/>
  <c r="BD302" i="1"/>
  <c r="BD301" i="1"/>
  <c r="BB302" i="1"/>
  <c r="BB301" i="1"/>
  <c r="AZ302" i="1"/>
  <c r="AZ301" i="1"/>
  <c r="AX302" i="1"/>
  <c r="AX301" i="1"/>
  <c r="AV302" i="1"/>
  <c r="AV301" i="1"/>
  <c r="AT302" i="1"/>
  <c r="AT301" i="1"/>
  <c r="AR302" i="1"/>
  <c r="AR301" i="1"/>
  <c r="AP302" i="1"/>
  <c r="AP301" i="1"/>
  <c r="AN302" i="1"/>
  <c r="AN301" i="1"/>
  <c r="AL302" i="1"/>
  <c r="AL301" i="1"/>
  <c r="AJ302" i="1"/>
  <c r="AJ301" i="1"/>
  <c r="AH302" i="1"/>
  <c r="AH301" i="1"/>
  <c r="AF302" i="1"/>
  <c r="AF301" i="1"/>
  <c r="AD302" i="1"/>
  <c r="AD301" i="1"/>
  <c r="AB302" i="1"/>
  <c r="AB301" i="1"/>
  <c r="Z302" i="1"/>
  <c r="Z301" i="1"/>
  <c r="X302" i="1"/>
  <c r="X301" i="1"/>
  <c r="V302" i="1"/>
  <c r="V301" i="1"/>
  <c r="T302" i="1"/>
  <c r="T301" i="1"/>
  <c r="R302" i="1"/>
  <c r="R301" i="1"/>
  <c r="P302" i="1"/>
  <c r="P301" i="1"/>
  <c r="N302" i="1"/>
  <c r="N301" i="1"/>
  <c r="L302" i="1"/>
  <c r="L301" i="1"/>
  <c r="GO302" i="1"/>
  <c r="GN302" i="1"/>
  <c r="GL302" i="1"/>
  <c r="GM302" i="1" s="1"/>
  <c r="GK302" i="1"/>
  <c r="GJ302" i="1"/>
  <c r="GH302" i="1"/>
  <c r="GI302" i="1" s="1"/>
  <c r="GG302" i="1"/>
  <c r="GF302" i="1"/>
  <c r="GD302" i="1"/>
  <c r="GE302" i="1" s="1"/>
  <c r="GC302" i="1"/>
  <c r="GB302" i="1"/>
  <c r="FZ302" i="1"/>
  <c r="GA302" i="1" s="1"/>
  <c r="FY302" i="1"/>
  <c r="FX302" i="1"/>
  <c r="FV302" i="1"/>
  <c r="FW302" i="1" s="1"/>
  <c r="FU302" i="1"/>
  <c r="FT302" i="1"/>
  <c r="FR302" i="1"/>
  <c r="FS302" i="1" s="1"/>
  <c r="FQ302" i="1"/>
  <c r="FP302" i="1"/>
  <c r="FN302" i="1"/>
  <c r="FO302" i="1" s="1"/>
  <c r="FM302" i="1"/>
  <c r="FL302" i="1"/>
  <c r="FJ302" i="1"/>
  <c r="FK302" i="1" s="1"/>
  <c r="FI302" i="1"/>
  <c r="FH302" i="1"/>
  <c r="FG302" i="1"/>
  <c r="GN301" i="1"/>
  <c r="GO301" i="1" s="1"/>
  <c r="GM301" i="1"/>
  <c r="GL301" i="1"/>
  <c r="GL303" i="1" s="1"/>
  <c r="GJ301" i="1"/>
  <c r="GK301" i="1" s="1"/>
  <c r="GI301" i="1"/>
  <c r="GH301" i="1"/>
  <c r="GH303" i="1" s="1"/>
  <c r="GF301" i="1"/>
  <c r="GG301" i="1" s="1"/>
  <c r="GE301" i="1"/>
  <c r="GD301" i="1"/>
  <c r="GD303" i="1" s="1"/>
  <c r="GB301" i="1"/>
  <c r="GC301" i="1" s="1"/>
  <c r="GA301" i="1"/>
  <c r="FZ301" i="1"/>
  <c r="FZ303" i="1" s="1"/>
  <c r="FX301" i="1"/>
  <c r="FY301" i="1" s="1"/>
  <c r="FW301" i="1"/>
  <c r="FV301" i="1"/>
  <c r="FV303" i="1" s="1"/>
  <c r="FT301" i="1"/>
  <c r="FU301" i="1" s="1"/>
  <c r="FS301" i="1"/>
  <c r="FR301" i="1"/>
  <c r="FR303" i="1" s="1"/>
  <c r="FP301" i="1"/>
  <c r="FQ301" i="1" s="1"/>
  <c r="FO301" i="1"/>
  <c r="FN301" i="1"/>
  <c r="FN303" i="1" s="1"/>
  <c r="FL301" i="1"/>
  <c r="FM301" i="1" s="1"/>
  <c r="FK301" i="1"/>
  <c r="FJ301" i="1"/>
  <c r="FJ303" i="1" s="1"/>
  <c r="FH301" i="1"/>
  <c r="FI301" i="1" s="1"/>
  <c r="FG301" i="1"/>
  <c r="EP302" i="1"/>
  <c r="ER301" i="1"/>
  <c r="EQ301" i="1"/>
  <c r="ES301" i="1" s="1"/>
  <c r="EP301" i="1"/>
  <c r="AV298" i="1"/>
  <c r="GT295" i="1"/>
  <c r="GV295" i="1" s="1"/>
  <c r="GX295" i="1" s="1"/>
  <c r="GT293" i="1"/>
  <c r="GV293" i="1" s="1"/>
  <c r="CS295" i="1"/>
  <c r="CS294" i="1"/>
  <c r="CS293" i="1"/>
  <c r="CM295" i="1"/>
  <c r="CM294" i="1"/>
  <c r="CM293" i="1"/>
  <c r="GU293" i="1"/>
  <c r="AQ294" i="1"/>
  <c r="AQ293" i="1"/>
  <c r="EU295" i="1"/>
  <c r="EW295" i="1" s="1"/>
  <c r="ES295" i="1"/>
  <c r="FP291" i="1"/>
  <c r="EP291" i="1"/>
  <c r="EO291" i="1"/>
  <c r="EM291" i="1"/>
  <c r="EN291" i="1" s="1"/>
  <c r="EL291" i="1"/>
  <c r="EK291" i="1"/>
  <c r="EI291" i="1"/>
  <c r="EJ291" i="1" s="1"/>
  <c r="EH291" i="1"/>
  <c r="EG291" i="1"/>
  <c r="EE291" i="1"/>
  <c r="ED291" i="1"/>
  <c r="EC291" i="1"/>
  <c r="EA291" i="1"/>
  <c r="DZ291" i="1"/>
  <c r="DY291" i="1"/>
  <c r="DW291" i="1"/>
  <c r="DX291" i="1" s="1"/>
  <c r="DV291" i="1"/>
  <c r="DU291" i="1"/>
  <c r="DS291" i="1"/>
  <c r="DT291" i="1" s="1"/>
  <c r="DR291" i="1"/>
  <c r="DQ291" i="1"/>
  <c r="DO291" i="1"/>
  <c r="DN291" i="1"/>
  <c r="DM291" i="1"/>
  <c r="DK291" i="1"/>
  <c r="DJ291" i="1"/>
  <c r="DI291" i="1"/>
  <c r="DG291" i="1"/>
  <c r="DH291" i="1" s="1"/>
  <c r="DF291" i="1"/>
  <c r="DE291" i="1"/>
  <c r="DC291" i="1"/>
  <c r="DD291" i="1" s="1"/>
  <c r="DB291" i="1"/>
  <c r="DA291" i="1"/>
  <c r="CY291" i="1"/>
  <c r="CX291" i="1"/>
  <c r="CW291" i="1"/>
  <c r="CU291" i="1"/>
  <c r="CT291" i="1"/>
  <c r="CS291" i="1"/>
  <c r="CQ291" i="1"/>
  <c r="CR291" i="1" s="1"/>
  <c r="CP291" i="1"/>
  <c r="CO291" i="1"/>
  <c r="CM291" i="1"/>
  <c r="CN291" i="1" s="1"/>
  <c r="CL291" i="1"/>
  <c r="CK291" i="1"/>
  <c r="CI291" i="1"/>
  <c r="CH291" i="1"/>
  <c r="CG291" i="1"/>
  <c r="CE291" i="1"/>
  <c r="CD291" i="1"/>
  <c r="CC291" i="1"/>
  <c r="CA291" i="1"/>
  <c r="CB291" i="1" s="1"/>
  <c r="BZ291" i="1"/>
  <c r="BY291" i="1"/>
  <c r="BW291" i="1"/>
  <c r="BX291" i="1" s="1"/>
  <c r="BV291" i="1"/>
  <c r="BU291" i="1"/>
  <c r="BS291" i="1"/>
  <c r="BR291" i="1"/>
  <c r="BQ291" i="1"/>
  <c r="BO291" i="1"/>
  <c r="BN291" i="1"/>
  <c r="BM291" i="1"/>
  <c r="BK291" i="1"/>
  <c r="BL291" i="1" s="1"/>
  <c r="BJ291" i="1"/>
  <c r="BI291" i="1"/>
  <c r="BG291" i="1"/>
  <c r="BF291" i="1"/>
  <c r="BE291" i="1"/>
  <c r="BC291" i="1"/>
  <c r="BA291" i="1"/>
  <c r="AY291" i="1"/>
  <c r="AZ291" i="1" s="1"/>
  <c r="AX291" i="1"/>
  <c r="AW291" i="1"/>
  <c r="AU291" i="1"/>
  <c r="AV291" i="1" s="1"/>
  <c r="AS291" i="1"/>
  <c r="BB291" i="1" s="1"/>
  <c r="AQ291" i="1"/>
  <c r="FP288" i="1"/>
  <c r="FP286" i="1"/>
  <c r="FP285" i="1"/>
  <c r="FP284" i="1"/>
  <c r="FP294" i="1" s="1"/>
  <c r="FP283" i="1"/>
  <c r="FP293" i="1" s="1"/>
  <c r="FP282" i="1"/>
  <c r="FP281" i="1"/>
  <c r="EN288" i="1"/>
  <c r="EN286" i="1"/>
  <c r="EN285" i="1"/>
  <c r="EN284" i="1"/>
  <c r="EN283" i="1"/>
  <c r="EN282" i="1"/>
  <c r="EL288" i="1"/>
  <c r="EL286" i="1"/>
  <c r="EL285" i="1"/>
  <c r="EL284" i="1"/>
  <c r="EL283" i="1"/>
  <c r="EL282" i="1"/>
  <c r="EJ288" i="1"/>
  <c r="EJ286" i="1"/>
  <c r="EJ285" i="1"/>
  <c r="EJ284" i="1"/>
  <c r="EJ283" i="1"/>
  <c r="EJ282" i="1"/>
  <c r="EH288" i="1"/>
  <c r="EH286" i="1"/>
  <c r="EH285" i="1"/>
  <c r="EH284" i="1"/>
  <c r="EH283" i="1"/>
  <c r="EH282" i="1"/>
  <c r="EF288" i="1"/>
  <c r="EF286" i="1"/>
  <c r="EF285" i="1"/>
  <c r="EF284" i="1"/>
  <c r="EF283" i="1"/>
  <c r="EF282" i="1"/>
  <c r="ED288" i="1"/>
  <c r="ED286" i="1"/>
  <c r="ED285" i="1"/>
  <c r="ED284" i="1"/>
  <c r="ED283" i="1"/>
  <c r="ED282" i="1"/>
  <c r="EB288" i="1"/>
  <c r="EB286" i="1"/>
  <c r="EB285" i="1"/>
  <c r="EB284" i="1"/>
  <c r="EB283" i="1"/>
  <c r="EB282" i="1"/>
  <c r="DZ288" i="1"/>
  <c r="DZ286" i="1"/>
  <c r="DZ285" i="1"/>
  <c r="DZ284" i="1"/>
  <c r="DZ283" i="1"/>
  <c r="DZ282" i="1"/>
  <c r="DX288" i="1"/>
  <c r="DX286" i="1"/>
  <c r="DX285" i="1"/>
  <c r="DX284" i="1"/>
  <c r="DX283" i="1"/>
  <c r="DX282" i="1"/>
  <c r="DV288" i="1"/>
  <c r="DV286" i="1"/>
  <c r="DV285" i="1"/>
  <c r="DV284" i="1"/>
  <c r="DV283" i="1"/>
  <c r="DV282" i="1"/>
  <c r="DT288" i="1"/>
  <c r="DT286" i="1"/>
  <c r="DT285" i="1"/>
  <c r="DT284" i="1"/>
  <c r="DT283" i="1"/>
  <c r="DT282" i="1"/>
  <c r="DR288" i="1"/>
  <c r="DR286" i="1"/>
  <c r="DR285" i="1"/>
  <c r="DR284" i="1"/>
  <c r="DR283" i="1"/>
  <c r="DR282" i="1"/>
  <c r="DP288" i="1"/>
  <c r="DP286" i="1"/>
  <c r="DP285" i="1"/>
  <c r="DP284" i="1"/>
  <c r="DP283" i="1"/>
  <c r="DP282" i="1"/>
  <c r="DN288" i="1"/>
  <c r="DN286" i="1"/>
  <c r="DN285" i="1"/>
  <c r="DN284" i="1"/>
  <c r="DN283" i="1"/>
  <c r="DN282" i="1"/>
  <c r="DL288" i="1"/>
  <c r="DL286" i="1"/>
  <c r="DL285" i="1"/>
  <c r="DL284" i="1"/>
  <c r="DL283" i="1"/>
  <c r="DL282" i="1"/>
  <c r="DJ288" i="1"/>
  <c r="DJ286" i="1"/>
  <c r="DJ285" i="1"/>
  <c r="DJ284" i="1"/>
  <c r="DJ283" i="1"/>
  <c r="DJ282" i="1"/>
  <c r="DH288" i="1"/>
  <c r="DH286" i="1"/>
  <c r="DH285" i="1"/>
  <c r="DH284" i="1"/>
  <c r="DH283" i="1"/>
  <c r="DH282" i="1"/>
  <c r="DF288" i="1"/>
  <c r="DF286" i="1"/>
  <c r="DF285" i="1"/>
  <c r="DF284" i="1"/>
  <c r="DF283" i="1"/>
  <c r="DF282" i="1"/>
  <c r="DD288" i="1"/>
  <c r="DD286" i="1"/>
  <c r="DD285" i="1"/>
  <c r="DD284" i="1"/>
  <c r="DD283" i="1"/>
  <c r="DD282" i="1"/>
  <c r="DB288" i="1"/>
  <c r="DB286" i="1"/>
  <c r="DB285" i="1"/>
  <c r="DB284" i="1"/>
  <c r="DB283" i="1"/>
  <c r="DB282" i="1"/>
  <c r="CZ288" i="1"/>
  <c r="CZ286" i="1"/>
  <c r="CZ285" i="1"/>
  <c r="CZ284" i="1"/>
  <c r="CZ283" i="1"/>
  <c r="CZ282" i="1"/>
  <c r="CX288" i="1"/>
  <c r="CX286" i="1"/>
  <c r="CX285" i="1"/>
  <c r="CX284" i="1"/>
  <c r="CX283" i="1"/>
  <c r="CX282" i="1"/>
  <c r="CV288" i="1"/>
  <c r="CV286" i="1"/>
  <c r="CV285" i="1"/>
  <c r="CV284" i="1"/>
  <c r="CV283" i="1"/>
  <c r="CV282" i="1"/>
  <c r="CT288" i="1"/>
  <c r="CT286" i="1"/>
  <c r="CT285" i="1"/>
  <c r="CT284" i="1"/>
  <c r="CT283" i="1"/>
  <c r="CT282" i="1"/>
  <c r="CR288" i="1"/>
  <c r="CR286" i="1"/>
  <c r="CR285" i="1"/>
  <c r="CR284" i="1"/>
  <c r="CR283" i="1"/>
  <c r="CR282" i="1"/>
  <c r="CP288" i="1"/>
  <c r="CP286" i="1"/>
  <c r="CP285" i="1"/>
  <c r="CP284" i="1"/>
  <c r="CP283" i="1"/>
  <c r="CP282" i="1"/>
  <c r="CN288" i="1"/>
  <c r="CN286" i="1"/>
  <c r="CN285" i="1"/>
  <c r="CN284" i="1"/>
  <c r="CN283" i="1"/>
  <c r="CN282" i="1"/>
  <c r="CL288" i="1"/>
  <c r="CL286" i="1"/>
  <c r="CL285" i="1"/>
  <c r="CL284" i="1"/>
  <c r="CL283" i="1"/>
  <c r="CL282" i="1"/>
  <c r="CJ288" i="1"/>
  <c r="CJ286" i="1"/>
  <c r="CJ285" i="1"/>
  <c r="CJ284" i="1"/>
  <c r="CJ283" i="1"/>
  <c r="CJ282" i="1"/>
  <c r="CH288" i="1"/>
  <c r="CH286" i="1"/>
  <c r="CH285" i="1"/>
  <c r="CH284" i="1"/>
  <c r="CH283" i="1"/>
  <c r="CH282" i="1"/>
  <c r="CF288" i="1"/>
  <c r="CF286" i="1"/>
  <c r="CF285" i="1"/>
  <c r="CF284" i="1"/>
  <c r="CF283" i="1"/>
  <c r="CF282" i="1"/>
  <c r="CD288" i="1"/>
  <c r="CD286" i="1"/>
  <c r="CD285" i="1"/>
  <c r="CD284" i="1"/>
  <c r="CD283" i="1"/>
  <c r="CD282" i="1"/>
  <c r="CB288" i="1"/>
  <c r="CB286" i="1"/>
  <c r="CB285" i="1"/>
  <c r="CB284" i="1"/>
  <c r="CB283" i="1"/>
  <c r="CB282" i="1"/>
  <c r="BZ288" i="1"/>
  <c r="BZ286" i="1"/>
  <c r="BZ285" i="1"/>
  <c r="BZ284" i="1"/>
  <c r="BZ283" i="1"/>
  <c r="BZ282" i="1"/>
  <c r="BX288" i="1"/>
  <c r="BX286" i="1"/>
  <c r="BX285" i="1"/>
  <c r="BX284" i="1"/>
  <c r="BX283" i="1"/>
  <c r="BX282" i="1"/>
  <c r="BV288" i="1"/>
  <c r="BV286" i="1"/>
  <c r="BV285" i="1"/>
  <c r="BV284" i="1"/>
  <c r="BV283" i="1"/>
  <c r="BV282" i="1"/>
  <c r="BT288" i="1"/>
  <c r="BT286" i="1"/>
  <c r="BT285" i="1"/>
  <c r="BT284" i="1"/>
  <c r="BT283" i="1"/>
  <c r="BT282" i="1"/>
  <c r="BR288" i="1"/>
  <c r="BR286" i="1"/>
  <c r="BR285" i="1"/>
  <c r="BR284" i="1"/>
  <c r="BR283" i="1"/>
  <c r="BR282" i="1"/>
  <c r="BP288" i="1"/>
  <c r="BP286" i="1"/>
  <c r="BP285" i="1"/>
  <c r="BP284" i="1"/>
  <c r="BP283" i="1"/>
  <c r="BP282" i="1"/>
  <c r="BN288" i="1"/>
  <c r="BN286" i="1"/>
  <c r="BN285" i="1"/>
  <c r="BN284" i="1"/>
  <c r="BN283" i="1"/>
  <c r="BN282" i="1"/>
  <c r="BL288" i="1"/>
  <c r="BL286" i="1"/>
  <c r="BL285" i="1"/>
  <c r="BL284" i="1"/>
  <c r="BL283" i="1"/>
  <c r="BL282" i="1"/>
  <c r="BJ288" i="1"/>
  <c r="BJ286" i="1"/>
  <c r="BJ285" i="1"/>
  <c r="BJ284" i="1"/>
  <c r="BJ283" i="1"/>
  <c r="BJ282" i="1"/>
  <c r="BH288" i="1"/>
  <c r="BH286" i="1"/>
  <c r="BH285" i="1"/>
  <c r="BH284" i="1"/>
  <c r="BH283" i="1"/>
  <c r="BH282" i="1"/>
  <c r="BF288" i="1"/>
  <c r="BF286" i="1"/>
  <c r="BF285" i="1"/>
  <c r="BF284" i="1"/>
  <c r="BF283" i="1"/>
  <c r="BF282" i="1"/>
  <c r="BD288" i="1"/>
  <c r="BD286" i="1"/>
  <c r="BD285" i="1"/>
  <c r="BD284" i="1"/>
  <c r="BD283" i="1"/>
  <c r="BD282" i="1"/>
  <c r="BB288" i="1"/>
  <c r="BB286" i="1"/>
  <c r="BB285" i="1"/>
  <c r="BB284" i="1"/>
  <c r="BB283" i="1"/>
  <c r="BB282" i="1"/>
  <c r="AZ288" i="1"/>
  <c r="AZ286" i="1"/>
  <c r="AZ285" i="1"/>
  <c r="AZ284" i="1"/>
  <c r="AZ283" i="1"/>
  <c r="AZ282" i="1"/>
  <c r="AX288" i="1"/>
  <c r="AX286" i="1"/>
  <c r="AX285" i="1"/>
  <c r="AX284" i="1"/>
  <c r="AX283" i="1"/>
  <c r="AX282" i="1"/>
  <c r="AV288" i="1"/>
  <c r="AV286" i="1"/>
  <c r="AV285" i="1"/>
  <c r="AV284" i="1"/>
  <c r="AV283" i="1"/>
  <c r="AV282" i="1"/>
  <c r="GO288" i="1"/>
  <c r="GN288" i="1"/>
  <c r="GL288" i="1"/>
  <c r="GJ288" i="1"/>
  <c r="GH288" i="1"/>
  <c r="GG288" i="1"/>
  <c r="GF288" i="1"/>
  <c r="GD288" i="1"/>
  <c r="GB288" i="1"/>
  <c r="GC288" i="1" s="1"/>
  <c r="FZ288" i="1"/>
  <c r="FY288" i="1"/>
  <c r="FX288" i="1"/>
  <c r="FV288" i="1"/>
  <c r="FT288" i="1"/>
  <c r="FR288" i="1"/>
  <c r="ES288" i="1"/>
  <c r="ER288" i="1"/>
  <c r="EQ288" i="1"/>
  <c r="EP288" i="1"/>
  <c r="CS287" i="1"/>
  <c r="CM287" i="1"/>
  <c r="AQ287" i="1"/>
  <c r="AQ289" i="1" s="1"/>
  <c r="GW286" i="1"/>
  <c r="GW285" i="1"/>
  <c r="GU286" i="1"/>
  <c r="GU285" i="1"/>
  <c r="GS286" i="1"/>
  <c r="EX286" i="1"/>
  <c r="EX285" i="1"/>
  <c r="EV286" i="1"/>
  <c r="EV285" i="1"/>
  <c r="ET286" i="1"/>
  <c r="ET285" i="1"/>
  <c r="ER286" i="1"/>
  <c r="ER285" i="1"/>
  <c r="EP286" i="1"/>
  <c r="EP285" i="1"/>
  <c r="EP284" i="1"/>
  <c r="EP283" i="1"/>
  <c r="GP286" i="1"/>
  <c r="GN286" i="1"/>
  <c r="GQ286" i="1" s="1"/>
  <c r="GM286" i="1"/>
  <c r="GL286" i="1"/>
  <c r="GJ286" i="1"/>
  <c r="GK286" i="1" s="1"/>
  <c r="GI286" i="1"/>
  <c r="GH286" i="1"/>
  <c r="GF286" i="1"/>
  <c r="GG286" i="1" s="1"/>
  <c r="GD286" i="1"/>
  <c r="GB286" i="1"/>
  <c r="GC286" i="1" s="1"/>
  <c r="FZ286" i="1"/>
  <c r="FX286" i="1"/>
  <c r="FY286" i="1" s="1"/>
  <c r="FW286" i="1"/>
  <c r="FV286" i="1"/>
  <c r="FT286" i="1"/>
  <c r="FU286" i="1" s="1"/>
  <c r="FS286" i="1"/>
  <c r="FR286" i="1"/>
  <c r="GP285" i="1"/>
  <c r="GN285" i="1"/>
  <c r="GL285" i="1"/>
  <c r="GM285" i="1" s="1"/>
  <c r="GJ285" i="1"/>
  <c r="GH285" i="1"/>
  <c r="GI285" i="1" s="1"/>
  <c r="GG285" i="1"/>
  <c r="GF285" i="1"/>
  <c r="GD285" i="1"/>
  <c r="GE285" i="1" s="1"/>
  <c r="GC285" i="1"/>
  <c r="GB285" i="1"/>
  <c r="FZ285" i="1"/>
  <c r="GA285" i="1" s="1"/>
  <c r="FX285" i="1"/>
  <c r="FV285" i="1"/>
  <c r="FW285" i="1" s="1"/>
  <c r="FT285" i="1"/>
  <c r="FR285" i="1"/>
  <c r="FS285" i="1" s="1"/>
  <c r="GY286" i="1"/>
  <c r="GZ285" i="1"/>
  <c r="GY285" i="1"/>
  <c r="GN284" i="1"/>
  <c r="GL284" i="1"/>
  <c r="GJ284" i="1"/>
  <c r="GI284" i="1"/>
  <c r="GH284" i="1"/>
  <c r="GF284" i="1"/>
  <c r="GD284" i="1"/>
  <c r="GG284" i="1" s="1"/>
  <c r="GB284" i="1"/>
  <c r="GA284" i="1"/>
  <c r="FZ284" i="1"/>
  <c r="GC284" i="1" s="1"/>
  <c r="FY284" i="1"/>
  <c r="FX284" i="1"/>
  <c r="FW284" i="1"/>
  <c r="FV284" i="1"/>
  <c r="FU284" i="1"/>
  <c r="FT284" i="1"/>
  <c r="FS284" i="1"/>
  <c r="FR284" i="1"/>
  <c r="GO283" i="1"/>
  <c r="GN283" i="1"/>
  <c r="GL283" i="1"/>
  <c r="GJ283" i="1"/>
  <c r="GH283" i="1"/>
  <c r="GF283" i="1"/>
  <c r="GD283" i="1"/>
  <c r="GB283" i="1"/>
  <c r="GC283" i="1" s="1"/>
  <c r="FZ283" i="1"/>
  <c r="FY283" i="1"/>
  <c r="FX283" i="1"/>
  <c r="FV283" i="1"/>
  <c r="FT283" i="1"/>
  <c r="FR283" i="1"/>
  <c r="GO282" i="1"/>
  <c r="GN282" i="1"/>
  <c r="GN291" i="1" s="1"/>
  <c r="GM282" i="1"/>
  <c r="GL282" i="1"/>
  <c r="GK282" i="1"/>
  <c r="GJ282" i="1"/>
  <c r="GI282" i="1"/>
  <c r="GH282" i="1"/>
  <c r="GH291" i="1" s="1"/>
  <c r="GG282" i="1"/>
  <c r="GF282" i="1"/>
  <c r="GF291" i="1" s="1"/>
  <c r="GE282" i="1"/>
  <c r="GD282" i="1"/>
  <c r="GC282" i="1"/>
  <c r="GB282" i="1"/>
  <c r="GA282" i="1"/>
  <c r="FZ282" i="1"/>
  <c r="FY282" i="1"/>
  <c r="FX282" i="1"/>
  <c r="FX291" i="1" s="1"/>
  <c r="FW282" i="1"/>
  <c r="FV282" i="1"/>
  <c r="FU282" i="1"/>
  <c r="FT282" i="1"/>
  <c r="FS282" i="1"/>
  <c r="FR282" i="1"/>
  <c r="FR291" i="1" s="1"/>
  <c r="FS291" i="1" s="1"/>
  <c r="GB281" i="1"/>
  <c r="EW282" i="1"/>
  <c r="EV282" i="1"/>
  <c r="EU282" i="1"/>
  <c r="ES282" i="1"/>
  <c r="EQ282" i="1"/>
  <c r="EP282" i="1"/>
  <c r="CU281" i="1"/>
  <c r="CM278" i="1"/>
  <c r="CM277" i="1"/>
  <c r="CM276" i="1"/>
  <c r="ES276" i="1"/>
  <c r="EU276" i="1" s="1"/>
  <c r="AU277" i="1"/>
  <c r="AU276" i="1"/>
  <c r="EP274" i="1"/>
  <c r="EO274" i="1"/>
  <c r="EO788" i="1" s="1"/>
  <c r="EN274" i="1"/>
  <c r="EM274" i="1"/>
  <c r="EM788" i="1" s="1"/>
  <c r="EL274" i="1"/>
  <c r="EK274" i="1"/>
  <c r="EK788" i="1" s="1"/>
  <c r="EJ274" i="1"/>
  <c r="EI274" i="1"/>
  <c r="EI788" i="1" s="1"/>
  <c r="EH274" i="1"/>
  <c r="EG274" i="1"/>
  <c r="EG788" i="1" s="1"/>
  <c r="EF274" i="1"/>
  <c r="EE274" i="1"/>
  <c r="EE788" i="1" s="1"/>
  <c r="ED274" i="1"/>
  <c r="EC274" i="1"/>
  <c r="EC788" i="1" s="1"/>
  <c r="EB274" i="1"/>
  <c r="EA274" i="1"/>
  <c r="EA788" i="1" s="1"/>
  <c r="DZ274" i="1"/>
  <c r="DY274" i="1"/>
  <c r="DY788" i="1" s="1"/>
  <c r="DX274" i="1"/>
  <c r="DW274" i="1"/>
  <c r="DW788" i="1" s="1"/>
  <c r="DV274" i="1"/>
  <c r="DU274" i="1"/>
  <c r="DU788" i="1" s="1"/>
  <c r="DT274" i="1"/>
  <c r="DS274" i="1"/>
  <c r="DS788" i="1" s="1"/>
  <c r="DR274" i="1"/>
  <c r="DQ274" i="1"/>
  <c r="DQ788" i="1" s="1"/>
  <c r="DP274" i="1"/>
  <c r="DO274" i="1"/>
  <c r="DO788" i="1" s="1"/>
  <c r="DN274" i="1"/>
  <c r="DM274" i="1"/>
  <c r="DM788" i="1" s="1"/>
  <c r="DL274" i="1"/>
  <c r="DK274" i="1"/>
  <c r="DK788" i="1" s="1"/>
  <c r="DJ274" i="1"/>
  <c r="DI274" i="1"/>
  <c r="DI788" i="1" s="1"/>
  <c r="DH274" i="1"/>
  <c r="DG274" i="1"/>
  <c r="DG788" i="1" s="1"/>
  <c r="DF274" i="1"/>
  <c r="DE274" i="1"/>
  <c r="DE788" i="1" s="1"/>
  <c r="DD274" i="1"/>
  <c r="DC274" i="1"/>
  <c r="DC788" i="1" s="1"/>
  <c r="DB274" i="1"/>
  <c r="DA274" i="1"/>
  <c r="DA788" i="1" s="1"/>
  <c r="CZ274" i="1"/>
  <c r="CY274" i="1"/>
  <c r="CY788" i="1" s="1"/>
  <c r="CX274" i="1"/>
  <c r="CW274" i="1"/>
  <c r="CW788" i="1" s="1"/>
  <c r="CV274" i="1"/>
  <c r="CU274" i="1"/>
  <c r="CU788" i="1" s="1"/>
  <c r="CT274" i="1"/>
  <c r="CS274" i="1"/>
  <c r="CS788" i="1" s="1"/>
  <c r="CR274" i="1"/>
  <c r="CQ274" i="1"/>
  <c r="CQ788" i="1" s="1"/>
  <c r="CP274" i="1"/>
  <c r="CO274" i="1"/>
  <c r="CO788" i="1" s="1"/>
  <c r="CN274" i="1"/>
  <c r="CM274" i="1"/>
  <c r="CM788" i="1" s="1"/>
  <c r="CL274" i="1"/>
  <c r="CK274" i="1"/>
  <c r="CK788" i="1" s="1"/>
  <c r="CJ274" i="1"/>
  <c r="CI274" i="1"/>
  <c r="CI788" i="1" s="1"/>
  <c r="CH274" i="1"/>
  <c r="CG274" i="1"/>
  <c r="CG788" i="1" s="1"/>
  <c r="CF274" i="1"/>
  <c r="CE274" i="1"/>
  <c r="CE788" i="1" s="1"/>
  <c r="CD274" i="1"/>
  <c r="CC274" i="1"/>
  <c r="CC788" i="1" s="1"/>
  <c r="CB274" i="1"/>
  <c r="CA274" i="1"/>
  <c r="CA788" i="1" s="1"/>
  <c r="BZ274" i="1"/>
  <c r="BY274" i="1"/>
  <c r="BY788" i="1" s="1"/>
  <c r="BX274" i="1"/>
  <c r="BW274" i="1"/>
  <c r="BW788" i="1" s="1"/>
  <c r="BV274" i="1"/>
  <c r="BU274" i="1"/>
  <c r="BU788" i="1" s="1"/>
  <c r="BT274" i="1"/>
  <c r="BS274" i="1"/>
  <c r="BS788" i="1" s="1"/>
  <c r="BR274" i="1"/>
  <c r="BQ274" i="1"/>
  <c r="BQ788" i="1" s="1"/>
  <c r="BP274" i="1"/>
  <c r="BO274" i="1"/>
  <c r="BO788" i="1" s="1"/>
  <c r="BN274" i="1"/>
  <c r="BM274" i="1"/>
  <c r="BM788" i="1" s="1"/>
  <c r="BL274" i="1"/>
  <c r="BK274" i="1"/>
  <c r="BK788" i="1" s="1"/>
  <c r="BJ274" i="1"/>
  <c r="BI274" i="1"/>
  <c r="BI788" i="1" s="1"/>
  <c r="BH274" i="1"/>
  <c r="BG274" i="1"/>
  <c r="BG788" i="1" s="1"/>
  <c r="BF274" i="1"/>
  <c r="BE274" i="1"/>
  <c r="BE788" i="1" s="1"/>
  <c r="BD274" i="1"/>
  <c r="BC274" i="1"/>
  <c r="BC788" i="1" s="1"/>
  <c r="BB274" i="1"/>
  <c r="BA274" i="1"/>
  <c r="BA788" i="1" s="1"/>
  <c r="AZ274" i="1"/>
  <c r="AY274" i="1"/>
  <c r="AY788" i="1" s="1"/>
  <c r="AX274" i="1"/>
  <c r="AW274" i="1"/>
  <c r="AV274" i="1"/>
  <c r="AU274" i="1"/>
  <c r="FP271" i="1"/>
  <c r="FP269" i="1"/>
  <c r="FP268" i="1"/>
  <c r="FP277" i="1" s="1"/>
  <c r="FP267" i="1"/>
  <c r="FP790" i="1" s="1"/>
  <c r="FP266" i="1"/>
  <c r="FP265" i="1"/>
  <c r="FP276" i="1" s="1"/>
  <c r="EN271" i="1"/>
  <c r="EN268" i="1"/>
  <c r="EN267" i="1"/>
  <c r="EN266" i="1"/>
  <c r="EL271" i="1"/>
  <c r="EL268" i="1"/>
  <c r="EL267" i="1"/>
  <c r="EL266" i="1"/>
  <c r="EJ271" i="1"/>
  <c r="EJ268" i="1"/>
  <c r="EJ267" i="1"/>
  <c r="EJ266" i="1"/>
  <c r="EH271" i="1"/>
  <c r="EH268" i="1"/>
  <c r="EH267" i="1"/>
  <c r="EH266" i="1"/>
  <c r="EF271" i="1"/>
  <c r="EF268" i="1"/>
  <c r="EF267" i="1"/>
  <c r="EF266" i="1"/>
  <c r="ED271" i="1"/>
  <c r="ED268" i="1"/>
  <c r="ED267" i="1"/>
  <c r="ED266" i="1"/>
  <c r="EB271" i="1"/>
  <c r="EB268" i="1"/>
  <c r="EB267" i="1"/>
  <c r="EB266" i="1"/>
  <c r="DZ271" i="1"/>
  <c r="DZ269" i="1"/>
  <c r="DZ268" i="1"/>
  <c r="DZ267" i="1"/>
  <c r="DZ266" i="1"/>
  <c r="DX271" i="1"/>
  <c r="DX268" i="1"/>
  <c r="DX267" i="1"/>
  <c r="DX266" i="1"/>
  <c r="DV271" i="1"/>
  <c r="DV269" i="1"/>
  <c r="DV268" i="1"/>
  <c r="DV267" i="1"/>
  <c r="DV266" i="1"/>
  <c r="DT271" i="1"/>
  <c r="DT268" i="1"/>
  <c r="DT267" i="1"/>
  <c r="DT266" i="1"/>
  <c r="DR271" i="1"/>
  <c r="DR268" i="1"/>
  <c r="DR267" i="1"/>
  <c r="DR266" i="1"/>
  <c r="DP271" i="1"/>
  <c r="DP268" i="1"/>
  <c r="DP267" i="1"/>
  <c r="DP266" i="1"/>
  <c r="DN271" i="1"/>
  <c r="DN269" i="1"/>
  <c r="DN268" i="1"/>
  <c r="DN267" i="1"/>
  <c r="DN266" i="1"/>
  <c r="DL271" i="1"/>
  <c r="DL269" i="1"/>
  <c r="DL268" i="1"/>
  <c r="DL267" i="1"/>
  <c r="DL266" i="1"/>
  <c r="DJ271" i="1"/>
  <c r="DJ268" i="1"/>
  <c r="DJ267" i="1"/>
  <c r="DJ266" i="1"/>
  <c r="DH271" i="1"/>
  <c r="DH268" i="1"/>
  <c r="DH267" i="1"/>
  <c r="DH266" i="1"/>
  <c r="DF271" i="1"/>
  <c r="DF268" i="1"/>
  <c r="DF267" i="1"/>
  <c r="DF266" i="1"/>
  <c r="DD271" i="1"/>
  <c r="DD268" i="1"/>
  <c r="DD267" i="1"/>
  <c r="DD266" i="1"/>
  <c r="DB271" i="1"/>
  <c r="DB268" i="1"/>
  <c r="DB267" i="1"/>
  <c r="DB266" i="1"/>
  <c r="CZ271" i="1"/>
  <c r="CZ268" i="1"/>
  <c r="CZ267" i="1"/>
  <c r="CZ266" i="1"/>
  <c r="CX271" i="1"/>
  <c r="CX268" i="1"/>
  <c r="CX267" i="1"/>
  <c r="CX266" i="1"/>
  <c r="CV271" i="1"/>
  <c r="CV268" i="1"/>
  <c r="CV267" i="1"/>
  <c r="CV266" i="1"/>
  <c r="CT271" i="1"/>
  <c r="CT269" i="1"/>
  <c r="CT268" i="1"/>
  <c r="CT267" i="1"/>
  <c r="CT266" i="1"/>
  <c r="CR271" i="1"/>
  <c r="CR268" i="1"/>
  <c r="CR267" i="1"/>
  <c r="CR266" i="1"/>
  <c r="CP271" i="1"/>
  <c r="CP269" i="1"/>
  <c r="CP268" i="1"/>
  <c r="CP267" i="1"/>
  <c r="CP266" i="1"/>
  <c r="CN271" i="1"/>
  <c r="CN268" i="1"/>
  <c r="CN267" i="1"/>
  <c r="CN266" i="1"/>
  <c r="CL271" i="1"/>
  <c r="CL269" i="1"/>
  <c r="CL268" i="1"/>
  <c r="CL267" i="1"/>
  <c r="CL266" i="1"/>
  <c r="CJ271" i="1"/>
  <c r="CJ269" i="1"/>
  <c r="CJ268" i="1"/>
  <c r="CJ267" i="1"/>
  <c r="CJ266" i="1"/>
  <c r="CH271" i="1"/>
  <c r="CH269" i="1"/>
  <c r="CH268" i="1"/>
  <c r="CH267" i="1"/>
  <c r="CH266" i="1"/>
  <c r="CF271" i="1"/>
  <c r="CF269" i="1"/>
  <c r="CF268" i="1"/>
  <c r="CF267" i="1"/>
  <c r="CF266" i="1"/>
  <c r="CD271" i="1"/>
  <c r="CD268" i="1"/>
  <c r="CD267" i="1"/>
  <c r="CD266" i="1"/>
  <c r="CB271" i="1"/>
  <c r="CB269" i="1"/>
  <c r="CB268" i="1"/>
  <c r="CB267" i="1"/>
  <c r="CB266" i="1"/>
  <c r="BZ271" i="1"/>
  <c r="BZ269" i="1"/>
  <c r="BZ268" i="1"/>
  <c r="BZ267" i="1"/>
  <c r="BZ266" i="1"/>
  <c r="BX271" i="1"/>
  <c r="BX269" i="1"/>
  <c r="BX268" i="1"/>
  <c r="BX267" i="1"/>
  <c r="BX266" i="1"/>
  <c r="BV271" i="1"/>
  <c r="BV268" i="1"/>
  <c r="BV267" i="1"/>
  <c r="BV266" i="1"/>
  <c r="BT271" i="1"/>
  <c r="BT269" i="1"/>
  <c r="BT268" i="1"/>
  <c r="BT267" i="1"/>
  <c r="BT266" i="1"/>
  <c r="BR271" i="1"/>
  <c r="BR269" i="1"/>
  <c r="BR268" i="1"/>
  <c r="BR267" i="1"/>
  <c r="BR266" i="1"/>
  <c r="BP271" i="1"/>
  <c r="BP269" i="1"/>
  <c r="BP268" i="1"/>
  <c r="BP267" i="1"/>
  <c r="BP266" i="1"/>
  <c r="BN271" i="1"/>
  <c r="BN269" i="1"/>
  <c r="BN268" i="1"/>
  <c r="BN267" i="1"/>
  <c r="BN266" i="1"/>
  <c r="BL271" i="1"/>
  <c r="BL269" i="1"/>
  <c r="BL268" i="1"/>
  <c r="BL267" i="1"/>
  <c r="BL266" i="1"/>
  <c r="BJ271" i="1"/>
  <c r="BJ269" i="1"/>
  <c r="BJ268" i="1"/>
  <c r="BJ267" i="1"/>
  <c r="BJ266" i="1"/>
  <c r="BH271" i="1"/>
  <c r="BH269" i="1"/>
  <c r="BH268" i="1"/>
  <c r="BH267" i="1"/>
  <c r="BH266" i="1"/>
  <c r="BF271" i="1"/>
  <c r="BF269" i="1"/>
  <c r="BF268" i="1"/>
  <c r="BF267" i="1"/>
  <c r="BF266" i="1"/>
  <c r="BD271" i="1"/>
  <c r="BD269" i="1"/>
  <c r="BD268" i="1"/>
  <c r="BD267" i="1"/>
  <c r="BD266" i="1"/>
  <c r="BB271" i="1"/>
  <c r="BB269" i="1"/>
  <c r="BB268" i="1"/>
  <c r="BB267" i="1"/>
  <c r="BB266" i="1"/>
  <c r="AZ271" i="1"/>
  <c r="AZ269" i="1"/>
  <c r="AZ268" i="1"/>
  <c r="AZ267" i="1"/>
  <c r="AZ266" i="1"/>
  <c r="AX271" i="1"/>
  <c r="AX269" i="1"/>
  <c r="AX268" i="1"/>
  <c r="AX267" i="1"/>
  <c r="AX266" i="1"/>
  <c r="AX265" i="1"/>
  <c r="AV271" i="1"/>
  <c r="AV269" i="1"/>
  <c r="AV268" i="1"/>
  <c r="AV267" i="1"/>
  <c r="AV266" i="1"/>
  <c r="AV265" i="1"/>
  <c r="GP271" i="1"/>
  <c r="GR271" i="1" s="1"/>
  <c r="GN271" i="1"/>
  <c r="GL271" i="1"/>
  <c r="GM271" i="1" s="1"/>
  <c r="GJ271" i="1"/>
  <c r="GH271" i="1"/>
  <c r="GI271" i="1" s="1"/>
  <c r="GF271" i="1"/>
  <c r="GD271" i="1"/>
  <c r="GE271" i="1" s="1"/>
  <c r="GB271" i="1"/>
  <c r="FZ271" i="1"/>
  <c r="GA271" i="1" s="1"/>
  <c r="FX271" i="1"/>
  <c r="FV271" i="1"/>
  <c r="FW271" i="1" s="1"/>
  <c r="FT271" i="1"/>
  <c r="FR271" i="1"/>
  <c r="FS271" i="1" s="1"/>
  <c r="ER271" i="1"/>
  <c r="EQ271" i="1"/>
  <c r="EP271" i="1"/>
  <c r="EO269" i="1"/>
  <c r="EK269" i="1"/>
  <c r="EL269" i="1" s="1"/>
  <c r="EI269" i="1"/>
  <c r="ER269" i="1" s="1"/>
  <c r="EG269" i="1"/>
  <c r="EH269" i="1" s="1"/>
  <c r="EE269" i="1"/>
  <c r="EN269" i="1" s="1"/>
  <c r="EC269" i="1"/>
  <c r="ED269" i="1" s="1"/>
  <c r="EA269" i="1"/>
  <c r="GL269" i="1" s="1"/>
  <c r="GM269" i="1" s="1"/>
  <c r="DW269" i="1"/>
  <c r="DX269" i="1" s="1"/>
  <c r="DK269" i="1"/>
  <c r="DT269" i="1" s="1"/>
  <c r="DI269" i="1"/>
  <c r="DR269" i="1" s="1"/>
  <c r="DG269" i="1"/>
  <c r="DP269" i="1" s="1"/>
  <c r="DC269" i="1"/>
  <c r="DA269" i="1"/>
  <c r="DB269" i="1" s="1"/>
  <c r="CW269" i="1"/>
  <c r="DF269" i="1" s="1"/>
  <c r="CU269" i="1"/>
  <c r="GD269" i="1" s="1"/>
  <c r="GE269" i="1" s="1"/>
  <c r="CQ269" i="1"/>
  <c r="CZ269" i="1" s="1"/>
  <c r="CM269" i="1"/>
  <c r="CN269" i="1" s="1"/>
  <c r="BU269" i="1"/>
  <c r="FV269" i="1" s="1"/>
  <c r="FW269" i="1" s="1"/>
  <c r="AW270" i="1"/>
  <c r="AX270" i="1" s="1"/>
  <c r="AU270" i="1"/>
  <c r="AU272" i="1" s="1"/>
  <c r="AV272" i="1" s="1"/>
  <c r="GW269" i="1"/>
  <c r="GU269" i="1"/>
  <c r="GS269" i="1"/>
  <c r="GP269" i="1"/>
  <c r="GQ269" i="1" s="1"/>
  <c r="GN269" i="1"/>
  <c r="GJ269" i="1"/>
  <c r="GK269" i="1" s="1"/>
  <c r="GH269" i="1"/>
  <c r="GI269" i="1" s="1"/>
  <c r="GF269" i="1"/>
  <c r="GB269" i="1"/>
  <c r="GC269" i="1" s="1"/>
  <c r="FZ269" i="1"/>
  <c r="GA269" i="1" s="1"/>
  <c r="FX269" i="1"/>
  <c r="FY269" i="1" s="1"/>
  <c r="FT269" i="1"/>
  <c r="FU269" i="1" s="1"/>
  <c r="FR269" i="1"/>
  <c r="FS269" i="1" s="1"/>
  <c r="EX269" i="1"/>
  <c r="EV269" i="1"/>
  <c r="EP268" i="1"/>
  <c r="EP267" i="1"/>
  <c r="EP266" i="1"/>
  <c r="EQ266" i="1"/>
  <c r="ER266" i="1" s="1"/>
  <c r="GZ269" i="1"/>
  <c r="GY269" i="1"/>
  <c r="GN268" i="1"/>
  <c r="GL268" i="1"/>
  <c r="GJ268" i="1"/>
  <c r="GH268" i="1"/>
  <c r="GF268" i="1"/>
  <c r="GG268" i="1" s="1"/>
  <c r="GD268" i="1"/>
  <c r="GB268" i="1"/>
  <c r="GB277" i="1" s="1"/>
  <c r="FZ268" i="1"/>
  <c r="FX268" i="1"/>
  <c r="FY268" i="1" s="1"/>
  <c r="FV268" i="1"/>
  <c r="FW268" i="1" s="1"/>
  <c r="FT268" i="1"/>
  <c r="FU268" i="1" s="1"/>
  <c r="FR268" i="1"/>
  <c r="FS268" i="1" s="1"/>
  <c r="GO267" i="1"/>
  <c r="GN267" i="1"/>
  <c r="GM267" i="1"/>
  <c r="GL267" i="1"/>
  <c r="GL790" i="1" s="1"/>
  <c r="GK267" i="1"/>
  <c r="GJ267" i="1"/>
  <c r="GI267" i="1"/>
  <c r="GH267" i="1"/>
  <c r="GH790" i="1" s="1"/>
  <c r="GG267" i="1"/>
  <c r="GF267" i="1"/>
  <c r="GF790" i="1" s="1"/>
  <c r="GE267" i="1"/>
  <c r="GD267" i="1"/>
  <c r="GD790" i="1" s="1"/>
  <c r="GC267" i="1"/>
  <c r="GB267" i="1"/>
  <c r="GB790" i="1" s="1"/>
  <c r="GA267" i="1"/>
  <c r="FZ267" i="1"/>
  <c r="FZ790" i="1" s="1"/>
  <c r="FY267" i="1"/>
  <c r="FX267" i="1"/>
  <c r="FX790" i="1" s="1"/>
  <c r="FW267" i="1"/>
  <c r="FV267" i="1"/>
  <c r="FV790" i="1" s="1"/>
  <c r="FU267" i="1"/>
  <c r="FT267" i="1"/>
  <c r="FT790" i="1" s="1"/>
  <c r="FS267" i="1"/>
  <c r="FR267" i="1"/>
  <c r="FR790" i="1" s="1"/>
  <c r="GN266" i="1"/>
  <c r="GL266" i="1"/>
  <c r="GM266" i="1" s="1"/>
  <c r="GJ266" i="1"/>
  <c r="GH266" i="1"/>
  <c r="GH274" i="1" s="1"/>
  <c r="GF266" i="1"/>
  <c r="GD266" i="1"/>
  <c r="GD274" i="1" s="1"/>
  <c r="GB266" i="1"/>
  <c r="GB274" i="1" s="1"/>
  <c r="FZ266" i="1"/>
  <c r="FZ274" i="1" s="1"/>
  <c r="FX266" i="1"/>
  <c r="FV266" i="1"/>
  <c r="FW266" i="1" s="1"/>
  <c r="FT266" i="1"/>
  <c r="FR266" i="1"/>
  <c r="FR274" i="1" s="1"/>
  <c r="GB265" i="1"/>
  <c r="GB270" i="1" s="1"/>
  <c r="AY265" i="1"/>
  <c r="AY270" i="1" s="1"/>
  <c r="AW265" i="1"/>
  <c r="AW276" i="1" s="1"/>
  <c r="EX260" i="1"/>
  <c r="EX259" i="1"/>
  <c r="EX258" i="1"/>
  <c r="EV259" i="1"/>
  <c r="EV258" i="1"/>
  <c r="ET260" i="1"/>
  <c r="ET259" i="1"/>
  <c r="ET258" i="1"/>
  <c r="ER260" i="1"/>
  <c r="ER259" i="1"/>
  <c r="ER258" i="1"/>
  <c r="EP260" i="1"/>
  <c r="EO260" i="1"/>
  <c r="EN260" i="1"/>
  <c r="EM260" i="1"/>
  <c r="EV260" i="1" s="1"/>
  <c r="EL260" i="1"/>
  <c r="EK260" i="1"/>
  <c r="EJ260" i="1"/>
  <c r="EI260" i="1"/>
  <c r="EH260" i="1"/>
  <c r="EG260" i="1"/>
  <c r="EF260" i="1"/>
  <c r="EE260" i="1"/>
  <c r="ED260" i="1"/>
  <c r="EC260" i="1"/>
  <c r="EB260" i="1"/>
  <c r="EA260" i="1"/>
  <c r="DZ260" i="1"/>
  <c r="DY260" i="1"/>
  <c r="DX260" i="1"/>
  <c r="DW260" i="1"/>
  <c r="DV260" i="1"/>
  <c r="DU260" i="1"/>
  <c r="DS260" i="1"/>
  <c r="DR260" i="1"/>
  <c r="DQ260" i="1"/>
  <c r="DP260" i="1"/>
  <c r="DO260" i="1"/>
  <c r="DN260" i="1"/>
  <c r="DM260" i="1"/>
  <c r="DK260" i="1"/>
  <c r="DT260" i="1" s="1"/>
  <c r="DI260" i="1"/>
  <c r="DG260" i="1"/>
  <c r="DE260" i="1"/>
  <c r="DC260" i="1"/>
  <c r="DA260" i="1"/>
  <c r="CY260" i="1"/>
  <c r="CW260" i="1"/>
  <c r="CV260" i="1"/>
  <c r="CU260" i="1"/>
  <c r="CT260" i="1"/>
  <c r="CS260" i="1"/>
  <c r="CR260" i="1"/>
  <c r="CQ260" i="1"/>
  <c r="CP260" i="1"/>
  <c r="CO260" i="1"/>
  <c r="CN260" i="1"/>
  <c r="CM260" i="1"/>
  <c r="CL260" i="1"/>
  <c r="CK260" i="1"/>
  <c r="CJ260" i="1"/>
  <c r="CI260" i="1"/>
  <c r="CH260" i="1"/>
  <c r="CG260" i="1"/>
  <c r="CF260" i="1"/>
  <c r="CE260" i="1"/>
  <c r="CD260" i="1"/>
  <c r="CC260" i="1"/>
  <c r="CB260" i="1"/>
  <c r="CA260" i="1"/>
  <c r="BZ260" i="1"/>
  <c r="BY260" i="1"/>
  <c r="BX260" i="1"/>
  <c r="BW260" i="1"/>
  <c r="BV260" i="1"/>
  <c r="BU260" i="1"/>
  <c r="BT260" i="1"/>
  <c r="BS260" i="1"/>
  <c r="BR260" i="1"/>
  <c r="BQ260" i="1"/>
  <c r="BP260" i="1"/>
  <c r="BO260" i="1"/>
  <c r="BN260" i="1"/>
  <c r="BM260" i="1"/>
  <c r="BL260" i="1"/>
  <c r="BK260" i="1"/>
  <c r="BJ260" i="1"/>
  <c r="BI260" i="1"/>
  <c r="BH260" i="1"/>
  <c r="BG260" i="1"/>
  <c r="BF260" i="1"/>
  <c r="BE260" i="1"/>
  <c r="BD260" i="1"/>
  <c r="BC260" i="1"/>
  <c r="BB260" i="1"/>
  <c r="BA260" i="1"/>
  <c r="AZ260" i="1"/>
  <c r="AY260" i="1"/>
  <c r="AX260" i="1"/>
  <c r="AW260" i="1"/>
  <c r="AV260" i="1"/>
  <c r="AU260" i="1"/>
  <c r="AT260" i="1"/>
  <c r="AS260" i="1"/>
  <c r="AR260" i="1"/>
  <c r="AQ260" i="1"/>
  <c r="AP260" i="1"/>
  <c r="AO260" i="1"/>
  <c r="AN260" i="1"/>
  <c r="AM260" i="1"/>
  <c r="AL260" i="1"/>
  <c r="AK260" i="1"/>
  <c r="AJ260" i="1"/>
  <c r="AI260" i="1"/>
  <c r="AH260" i="1"/>
  <c r="AG260" i="1"/>
  <c r="AF260" i="1"/>
  <c r="AE260" i="1"/>
  <c r="AD260" i="1"/>
  <c r="AC260" i="1"/>
  <c r="AB260" i="1"/>
  <c r="AA260" i="1"/>
  <c r="Z260" i="1"/>
  <c r="Y260" i="1"/>
  <c r="X260" i="1"/>
  <c r="W260" i="1"/>
  <c r="V260" i="1"/>
  <c r="U260" i="1"/>
  <c r="T260" i="1"/>
  <c r="S260" i="1"/>
  <c r="Q260" i="1"/>
  <c r="P260" i="1"/>
  <c r="O260" i="1"/>
  <c r="N260" i="1"/>
  <c r="M260" i="1"/>
  <c r="L260" i="1"/>
  <c r="K260" i="1"/>
  <c r="I260" i="1"/>
  <c r="R260" i="1" s="1"/>
  <c r="G260" i="1"/>
  <c r="EP259" i="1"/>
  <c r="EP258" i="1"/>
  <c r="EN259" i="1"/>
  <c r="EN258" i="1"/>
  <c r="EL259" i="1"/>
  <c r="EL258" i="1"/>
  <c r="EJ259" i="1"/>
  <c r="EJ258" i="1"/>
  <c r="EH259" i="1"/>
  <c r="EH258" i="1"/>
  <c r="EF259" i="1"/>
  <c r="EF258" i="1"/>
  <c r="ED259" i="1"/>
  <c r="ED258" i="1"/>
  <c r="EB259" i="1"/>
  <c r="EB258" i="1"/>
  <c r="DZ259" i="1"/>
  <c r="DZ258" i="1"/>
  <c r="DX259" i="1"/>
  <c r="DX258" i="1"/>
  <c r="DV259" i="1"/>
  <c r="DV258" i="1"/>
  <c r="DT259" i="1"/>
  <c r="DT258" i="1"/>
  <c r="DR259" i="1"/>
  <c r="DR258" i="1"/>
  <c r="DP259" i="1"/>
  <c r="DP258" i="1"/>
  <c r="DN259" i="1"/>
  <c r="DN258" i="1"/>
  <c r="CV259" i="1"/>
  <c r="CV258" i="1"/>
  <c r="CT259" i="1"/>
  <c r="CT258" i="1"/>
  <c r="CR259" i="1"/>
  <c r="CR258" i="1"/>
  <c r="CP259" i="1"/>
  <c r="CP258" i="1"/>
  <c r="CN259" i="1"/>
  <c r="CN258" i="1"/>
  <c r="CL259" i="1"/>
  <c r="CL258" i="1"/>
  <c r="CJ259" i="1"/>
  <c r="CJ258" i="1"/>
  <c r="CH259" i="1"/>
  <c r="CH258" i="1"/>
  <c r="CF259" i="1"/>
  <c r="CF258" i="1"/>
  <c r="CD259" i="1"/>
  <c r="CD258" i="1"/>
  <c r="CB259" i="1"/>
  <c r="CB258" i="1"/>
  <c r="BZ259" i="1"/>
  <c r="BZ258" i="1"/>
  <c r="BX259" i="1"/>
  <c r="BX258" i="1"/>
  <c r="BV259" i="1"/>
  <c r="BV258" i="1"/>
  <c r="BT259" i="1"/>
  <c r="BT258" i="1"/>
  <c r="BR259" i="1"/>
  <c r="BR258" i="1"/>
  <c r="BP259" i="1"/>
  <c r="BP258" i="1"/>
  <c r="BN259" i="1"/>
  <c r="BN258" i="1"/>
  <c r="BL259" i="1"/>
  <c r="BL258" i="1"/>
  <c r="BJ259" i="1"/>
  <c r="BJ258" i="1"/>
  <c r="BH259" i="1"/>
  <c r="BH258" i="1"/>
  <c r="BF259" i="1"/>
  <c r="BF258" i="1"/>
  <c r="BD259" i="1"/>
  <c r="BD258" i="1"/>
  <c r="BB259" i="1"/>
  <c r="BB258" i="1"/>
  <c r="AZ259" i="1"/>
  <c r="AZ258" i="1"/>
  <c r="AX259" i="1"/>
  <c r="AX258" i="1"/>
  <c r="AV259" i="1"/>
  <c r="AV258" i="1"/>
  <c r="AT259" i="1"/>
  <c r="AT258" i="1"/>
  <c r="AR259" i="1"/>
  <c r="AR258" i="1"/>
  <c r="AP259" i="1"/>
  <c r="AP258" i="1"/>
  <c r="AN259" i="1"/>
  <c r="AN258" i="1"/>
  <c r="AL259" i="1"/>
  <c r="AL258" i="1"/>
  <c r="AJ259" i="1"/>
  <c r="AJ258" i="1"/>
  <c r="AH259" i="1"/>
  <c r="AH258" i="1"/>
  <c r="AF259" i="1"/>
  <c r="AF258" i="1"/>
  <c r="AD259" i="1"/>
  <c r="AD258" i="1"/>
  <c r="AB259" i="1"/>
  <c r="AB258" i="1"/>
  <c r="Z259" i="1"/>
  <c r="Z258" i="1"/>
  <c r="X259" i="1"/>
  <c r="X258" i="1"/>
  <c r="V259" i="1"/>
  <c r="V258" i="1"/>
  <c r="T259" i="1"/>
  <c r="T258" i="1"/>
  <c r="R259" i="1"/>
  <c r="R258" i="1"/>
  <c r="P259" i="1"/>
  <c r="P258" i="1"/>
  <c r="N259" i="1"/>
  <c r="N258" i="1"/>
  <c r="L259" i="1"/>
  <c r="L258" i="1"/>
  <c r="GF255" i="1"/>
  <c r="EX255" i="1"/>
  <c r="EV255" i="1"/>
  <c r="ET255" i="1"/>
  <c r="ER255" i="1"/>
  <c r="EP255" i="1"/>
  <c r="EO255" i="1"/>
  <c r="EN255" i="1"/>
  <c r="EL255" i="1"/>
  <c r="EJ255" i="1"/>
  <c r="EF255" i="1"/>
  <c r="ED255" i="1"/>
  <c r="EB255" i="1"/>
  <c r="DY255" i="1"/>
  <c r="EH255" i="1" s="1"/>
  <c r="DX255" i="1"/>
  <c r="DV255" i="1"/>
  <c r="DT255" i="1"/>
  <c r="DR255" i="1"/>
  <c r="DP255" i="1"/>
  <c r="DN255" i="1"/>
  <c r="GF251" i="1"/>
  <c r="GB251" i="1"/>
  <c r="DA251" i="1"/>
  <c r="DJ251" i="1" s="1"/>
  <c r="DL251" i="1"/>
  <c r="DH251" i="1"/>
  <c r="DF251" i="1"/>
  <c r="DD251" i="1"/>
  <c r="CZ251" i="1"/>
  <c r="CX251" i="1"/>
  <c r="CV251" i="1"/>
  <c r="CT251" i="1"/>
  <c r="CR251" i="1"/>
  <c r="CN251" i="1"/>
  <c r="GY251" i="1"/>
  <c r="GW251" i="1"/>
  <c r="GU251" i="1"/>
  <c r="GP251" i="1"/>
  <c r="GS251" i="1" s="1"/>
  <c r="GN251" i="1"/>
  <c r="GZ251" i="1" s="1"/>
  <c r="GL251" i="1"/>
  <c r="GM251" i="1" s="1"/>
  <c r="GJ251" i="1"/>
  <c r="GK251" i="1" s="1"/>
  <c r="GH251" i="1"/>
  <c r="GI251" i="1" s="1"/>
  <c r="FY251" i="1"/>
  <c r="FX251" i="1"/>
  <c r="FV251" i="1"/>
  <c r="FQ251" i="1"/>
  <c r="FP251" i="1"/>
  <c r="FO251" i="1"/>
  <c r="FN251" i="1"/>
  <c r="FM251" i="1"/>
  <c r="FK251" i="1"/>
  <c r="FI251" i="1"/>
  <c r="FG251" i="1"/>
  <c r="FE251" i="1"/>
  <c r="EX251" i="1"/>
  <c r="EV251" i="1"/>
  <c r="ET251" i="1"/>
  <c r="ER251" i="1"/>
  <c r="EP251" i="1"/>
  <c r="EN251" i="1"/>
  <c r="EL251" i="1"/>
  <c r="EJ251" i="1"/>
  <c r="EH251" i="1"/>
  <c r="EF251" i="1"/>
  <c r="ED251" i="1"/>
  <c r="EB251" i="1"/>
  <c r="DZ251" i="1"/>
  <c r="DX251" i="1"/>
  <c r="DV251" i="1"/>
  <c r="DT251" i="1"/>
  <c r="DR251" i="1"/>
  <c r="DP251" i="1"/>
  <c r="DN251" i="1"/>
  <c r="CL251" i="1"/>
  <c r="CJ251" i="1"/>
  <c r="CH251" i="1"/>
  <c r="CG251" i="1"/>
  <c r="CP251" i="1" s="1"/>
  <c r="CF251" i="1"/>
  <c r="CD251" i="1"/>
  <c r="CB251" i="1"/>
  <c r="BZ251" i="1"/>
  <c r="BX251" i="1"/>
  <c r="BV251" i="1"/>
  <c r="BT251" i="1"/>
  <c r="BR251" i="1"/>
  <c r="BP251" i="1"/>
  <c r="BN251" i="1"/>
  <c r="BK251" i="1"/>
  <c r="FT251" i="1" s="1"/>
  <c r="BJ251" i="1"/>
  <c r="BH251" i="1"/>
  <c r="BF251" i="1"/>
  <c r="BC251" i="1"/>
  <c r="BL251" i="1" s="1"/>
  <c r="BB251" i="1"/>
  <c r="AZ251" i="1"/>
  <c r="AX251" i="1"/>
  <c r="AV251" i="1"/>
  <c r="AT251" i="1"/>
  <c r="AR251" i="1"/>
  <c r="AP251" i="1"/>
  <c r="AN251" i="1"/>
  <c r="AL251" i="1"/>
  <c r="AJ251" i="1"/>
  <c r="AH251" i="1"/>
  <c r="AF251" i="1"/>
  <c r="AD251" i="1"/>
  <c r="AB251" i="1"/>
  <c r="Z251" i="1"/>
  <c r="X251" i="1"/>
  <c r="V251" i="1"/>
  <c r="T251" i="1"/>
  <c r="R251" i="1"/>
  <c r="P251" i="1"/>
  <c r="N251" i="1"/>
  <c r="L251" i="1"/>
  <c r="FB246" i="1"/>
  <c r="FB244" i="1"/>
  <c r="ES246" i="1"/>
  <c r="EU246" i="1" s="1"/>
  <c r="I246" i="1"/>
  <c r="I244" i="1"/>
  <c r="G246" i="1"/>
  <c r="G244" i="1"/>
  <c r="E246" i="1"/>
  <c r="E244" i="1"/>
  <c r="ES245" i="1"/>
  <c r="EU245" i="1" s="1"/>
  <c r="FF246" i="1"/>
  <c r="FG246" i="1" s="1"/>
  <c r="FD246" i="1"/>
  <c r="FE246" i="1" s="1"/>
  <c r="FF244" i="1"/>
  <c r="FG244" i="1" s="1"/>
  <c r="FD244" i="1"/>
  <c r="FE244" i="1" s="1"/>
  <c r="EO246" i="1"/>
  <c r="EP246" i="1" s="1"/>
  <c r="EM246" i="1"/>
  <c r="EN246" i="1" s="1"/>
  <c r="EK246" i="1"/>
  <c r="ET246" i="1" s="1"/>
  <c r="EI246" i="1"/>
  <c r="EJ246" i="1" s="1"/>
  <c r="EG246" i="1"/>
  <c r="EH246" i="1" s="1"/>
  <c r="EE246" i="1"/>
  <c r="EF246" i="1" s="1"/>
  <c r="EC246" i="1"/>
  <c r="EA246" i="1"/>
  <c r="EB246" i="1" s="1"/>
  <c r="DY246" i="1"/>
  <c r="DZ246" i="1" s="1"/>
  <c r="DW246" i="1"/>
  <c r="DX246" i="1" s="1"/>
  <c r="DS246" i="1"/>
  <c r="DT246" i="1" s="1"/>
  <c r="DO246" i="1"/>
  <c r="DM246" i="1"/>
  <c r="DK246" i="1"/>
  <c r="DL246" i="1" s="1"/>
  <c r="DC246" i="1"/>
  <c r="DD246" i="1" s="1"/>
  <c r="CY246" i="1"/>
  <c r="CZ246" i="1" s="1"/>
  <c r="CU246" i="1"/>
  <c r="CV246" i="1" s="1"/>
  <c r="CS246" i="1"/>
  <c r="CQ246" i="1"/>
  <c r="CR246" i="1" s="1"/>
  <c r="CM246" i="1"/>
  <c r="CN246" i="1" s="1"/>
  <c r="CI246" i="1"/>
  <c r="CJ246" i="1" s="1"/>
  <c r="CE246" i="1"/>
  <c r="CF246" i="1" s="1"/>
  <c r="CA246" i="1"/>
  <c r="CB246" i="1" s="1"/>
  <c r="BW246" i="1"/>
  <c r="BX246" i="1" s="1"/>
  <c r="BS246" i="1"/>
  <c r="BT246" i="1" s="1"/>
  <c r="BO246" i="1"/>
  <c r="BP246" i="1" s="1"/>
  <c r="BK246" i="1"/>
  <c r="BL246" i="1" s="1"/>
  <c r="BG246" i="1"/>
  <c r="BH246" i="1" s="1"/>
  <c r="BC246" i="1"/>
  <c r="BA246" i="1"/>
  <c r="AY246" i="1"/>
  <c r="AW246" i="1"/>
  <c r="AI246" i="1"/>
  <c r="AJ246" i="1" s="1"/>
  <c r="AG246" i="1"/>
  <c r="AH246" i="1" s="1"/>
  <c r="AE246" i="1"/>
  <c r="AF246" i="1" s="1"/>
  <c r="AC246" i="1"/>
  <c r="AD246" i="1" s="1"/>
  <c r="AA246" i="1"/>
  <c r="AB246" i="1" s="1"/>
  <c r="Y246" i="1"/>
  <c r="Z246" i="1" s="1"/>
  <c r="W246" i="1"/>
  <c r="X246" i="1" s="1"/>
  <c r="U246" i="1"/>
  <c r="V246" i="1" s="1"/>
  <c r="S246" i="1"/>
  <c r="T246" i="1" s="1"/>
  <c r="Q246" i="1"/>
  <c r="R246" i="1" s="1"/>
  <c r="O246" i="1"/>
  <c r="P246" i="1" s="1"/>
  <c r="M246" i="1"/>
  <c r="N246" i="1" s="1"/>
  <c r="K246" i="1"/>
  <c r="L246" i="1" s="1"/>
  <c r="EO244" i="1"/>
  <c r="EP244" i="1" s="1"/>
  <c r="EM244" i="1"/>
  <c r="EN244" i="1" s="1"/>
  <c r="EK244" i="1"/>
  <c r="EL244" i="1" s="1"/>
  <c r="EI244" i="1"/>
  <c r="EJ244" i="1" s="1"/>
  <c r="EG244" i="1"/>
  <c r="EH244" i="1" s="1"/>
  <c r="EE244" i="1"/>
  <c r="EF244" i="1" s="1"/>
  <c r="EC244" i="1"/>
  <c r="ED244" i="1" s="1"/>
  <c r="EA244" i="1"/>
  <c r="EB244" i="1" s="1"/>
  <c r="DY244" i="1"/>
  <c r="DZ244" i="1" s="1"/>
  <c r="DW244" i="1"/>
  <c r="DX244" i="1" s="1"/>
  <c r="DU244" i="1"/>
  <c r="DV244" i="1" s="1"/>
  <c r="DS244" i="1"/>
  <c r="DT244" i="1" s="1"/>
  <c r="DQ244" i="1"/>
  <c r="DR244" i="1" s="1"/>
  <c r="DO244" i="1"/>
  <c r="DP244" i="1" s="1"/>
  <c r="DM244" i="1"/>
  <c r="DN244" i="1" s="1"/>
  <c r="DK244" i="1"/>
  <c r="DL244" i="1" s="1"/>
  <c r="DI244" i="1"/>
  <c r="DJ244" i="1" s="1"/>
  <c r="DG244" i="1"/>
  <c r="DH244" i="1" s="1"/>
  <c r="DE244" i="1"/>
  <c r="DF244" i="1" s="1"/>
  <c r="DC244" i="1"/>
  <c r="DD244" i="1" s="1"/>
  <c r="DA244" i="1"/>
  <c r="DB244" i="1" s="1"/>
  <c r="CY244" i="1"/>
  <c r="CZ244" i="1" s="1"/>
  <c r="CW244" i="1"/>
  <c r="CX244" i="1" s="1"/>
  <c r="CU244" i="1"/>
  <c r="CV244" i="1" s="1"/>
  <c r="CS244" i="1"/>
  <c r="CT244" i="1" s="1"/>
  <c r="CQ244" i="1"/>
  <c r="CR244" i="1" s="1"/>
  <c r="CO244" i="1"/>
  <c r="CP244" i="1" s="1"/>
  <c r="CM244" i="1"/>
  <c r="CN244" i="1" s="1"/>
  <c r="CK244" i="1"/>
  <c r="CL244" i="1" s="1"/>
  <c r="CI244" i="1"/>
  <c r="CJ244" i="1" s="1"/>
  <c r="CG244" i="1"/>
  <c r="CH244" i="1" s="1"/>
  <c r="CE244" i="1"/>
  <c r="CF244" i="1" s="1"/>
  <c r="CC244" i="1"/>
  <c r="CD244" i="1" s="1"/>
  <c r="CA244" i="1"/>
  <c r="CB244" i="1" s="1"/>
  <c r="BY244" i="1"/>
  <c r="BZ244" i="1" s="1"/>
  <c r="BW244" i="1"/>
  <c r="BX244" i="1" s="1"/>
  <c r="BU244" i="1"/>
  <c r="BV244" i="1" s="1"/>
  <c r="BS244" i="1"/>
  <c r="BT244" i="1" s="1"/>
  <c r="BQ244" i="1"/>
  <c r="BR244" i="1" s="1"/>
  <c r="BO244" i="1"/>
  <c r="BP244" i="1" s="1"/>
  <c r="BM244" i="1"/>
  <c r="BN244" i="1" s="1"/>
  <c r="BK244" i="1"/>
  <c r="BL244" i="1" s="1"/>
  <c r="BI244" i="1"/>
  <c r="BJ244" i="1" s="1"/>
  <c r="BG244" i="1"/>
  <c r="BH244" i="1" s="1"/>
  <c r="BE244" i="1"/>
  <c r="BF244" i="1" s="1"/>
  <c r="BC244" i="1"/>
  <c r="BD244" i="1" s="1"/>
  <c r="BA244" i="1"/>
  <c r="BB244" i="1" s="1"/>
  <c r="AY244" i="1"/>
  <c r="AZ244" i="1" s="1"/>
  <c r="AW244" i="1"/>
  <c r="AX244" i="1" s="1"/>
  <c r="AU244" i="1"/>
  <c r="AV244" i="1" s="1"/>
  <c r="AS244" i="1"/>
  <c r="AT244" i="1" s="1"/>
  <c r="AQ244" i="1"/>
  <c r="AR244" i="1" s="1"/>
  <c r="AO244" i="1"/>
  <c r="AP244" i="1" s="1"/>
  <c r="AM244" i="1"/>
  <c r="AN244" i="1" s="1"/>
  <c r="AK244" i="1"/>
  <c r="AL244" i="1" s="1"/>
  <c r="AI244" i="1"/>
  <c r="AJ244" i="1" s="1"/>
  <c r="AG244" i="1"/>
  <c r="AH244" i="1" s="1"/>
  <c r="AE244" i="1"/>
  <c r="AF244" i="1" s="1"/>
  <c r="AC244" i="1"/>
  <c r="AD244" i="1" s="1"/>
  <c r="AA244" i="1"/>
  <c r="AB244" i="1" s="1"/>
  <c r="Y244" i="1"/>
  <c r="Z244" i="1" s="1"/>
  <c r="W244" i="1"/>
  <c r="X244" i="1" s="1"/>
  <c r="U244" i="1"/>
  <c r="V244" i="1" s="1"/>
  <c r="S244" i="1"/>
  <c r="T244" i="1" s="1"/>
  <c r="Q244" i="1"/>
  <c r="R244" i="1" s="1"/>
  <c r="O244" i="1"/>
  <c r="P244" i="1" s="1"/>
  <c r="M244" i="1"/>
  <c r="N244" i="1" s="1"/>
  <c r="K244" i="1"/>
  <c r="GQ243" i="1"/>
  <c r="GO243" i="1"/>
  <c r="GM243" i="1"/>
  <c r="GK243" i="1"/>
  <c r="GI243" i="1"/>
  <c r="EQ243" i="1"/>
  <c r="ER243" i="1" s="1"/>
  <c r="EP243" i="1"/>
  <c r="EN243" i="1"/>
  <c r="EL243" i="1"/>
  <c r="EJ243" i="1"/>
  <c r="EH243" i="1"/>
  <c r="EF243" i="1"/>
  <c r="ED243" i="1"/>
  <c r="EB243" i="1"/>
  <c r="DZ243" i="1"/>
  <c r="DX243" i="1"/>
  <c r="DV243" i="1"/>
  <c r="DT243" i="1"/>
  <c r="DR243" i="1"/>
  <c r="DP243" i="1"/>
  <c r="DN243" i="1"/>
  <c r="DH243" i="1"/>
  <c r="DF243" i="1"/>
  <c r="EU244" i="1"/>
  <c r="EW244" i="1" s="1"/>
  <c r="EX244" i="1" s="1"/>
  <c r="ES244" i="1"/>
  <c r="ET244" i="1" s="1"/>
  <c r="ES243" i="1"/>
  <c r="ET243" i="1" s="1"/>
  <c r="EU242" i="1"/>
  <c r="ES242" i="1"/>
  <c r="GN240" i="1"/>
  <c r="FL240" i="1"/>
  <c r="FM240" i="1" s="1"/>
  <c r="FJ240" i="1"/>
  <c r="FK240" i="1" s="1"/>
  <c r="FH240" i="1"/>
  <c r="FI240" i="1" s="1"/>
  <c r="FF240" i="1"/>
  <c r="FG240" i="1" s="1"/>
  <c r="FD240" i="1"/>
  <c r="FE240" i="1" s="1"/>
  <c r="FB240" i="1"/>
  <c r="EP240" i="1"/>
  <c r="EO240" i="1"/>
  <c r="EN240" i="1"/>
  <c r="EM240" i="1"/>
  <c r="EL240" i="1"/>
  <c r="EK240" i="1"/>
  <c r="EI240" i="1"/>
  <c r="EH240" i="1"/>
  <c r="EG240" i="1"/>
  <c r="EF240" i="1"/>
  <c r="EE240" i="1"/>
  <c r="EC240" i="1"/>
  <c r="DY240" i="1"/>
  <c r="DX240" i="1"/>
  <c r="DW240" i="1"/>
  <c r="DT240" i="1"/>
  <c r="DS240" i="1"/>
  <c r="DO240" i="1"/>
  <c r="DM240" i="1"/>
  <c r="DL240" i="1"/>
  <c r="DK240" i="1"/>
  <c r="DD240" i="1"/>
  <c r="DC240" i="1"/>
  <c r="CZ240" i="1"/>
  <c r="CY240" i="1"/>
  <c r="CU240" i="1"/>
  <c r="CS240" i="1"/>
  <c r="CQ240" i="1"/>
  <c r="BA240" i="1"/>
  <c r="AY240" i="1"/>
  <c r="AW240" i="1"/>
  <c r="AJ240" i="1"/>
  <c r="AI240" i="1"/>
  <c r="AH240" i="1"/>
  <c r="AG240" i="1"/>
  <c r="AF240" i="1"/>
  <c r="AE240" i="1"/>
  <c r="AD240" i="1"/>
  <c r="AC240" i="1"/>
  <c r="AB240" i="1"/>
  <c r="AA240" i="1"/>
  <c r="Z240" i="1"/>
  <c r="Y240" i="1"/>
  <c r="X240" i="1"/>
  <c r="W240" i="1"/>
  <c r="V240" i="1"/>
  <c r="U240" i="1"/>
  <c r="T240" i="1"/>
  <c r="S240" i="1"/>
  <c r="Q240" i="1"/>
  <c r="P240" i="1"/>
  <c r="O240" i="1"/>
  <c r="M240" i="1"/>
  <c r="K240" i="1"/>
  <c r="I240" i="1"/>
  <c r="R240" i="1" s="1"/>
  <c r="G240" i="1"/>
  <c r="E240" i="1"/>
  <c r="N240" i="1" s="1"/>
  <c r="FE239" i="1"/>
  <c r="FE238" i="1"/>
  <c r="FE237" i="1"/>
  <c r="FE236" i="1"/>
  <c r="FE235" i="1"/>
  <c r="EN239" i="1"/>
  <c r="EN238" i="1"/>
  <c r="EN237" i="1"/>
  <c r="EN236" i="1"/>
  <c r="EN235" i="1"/>
  <c r="EL239" i="1"/>
  <c r="EL238" i="1"/>
  <c r="EL237" i="1"/>
  <c r="EL236" i="1"/>
  <c r="EL235" i="1"/>
  <c r="EJ238" i="1"/>
  <c r="EJ237" i="1"/>
  <c r="EJ236" i="1"/>
  <c r="EJ235" i="1"/>
  <c r="EH239" i="1"/>
  <c r="EH238" i="1"/>
  <c r="EH237" i="1"/>
  <c r="EH236" i="1"/>
  <c r="EH235" i="1"/>
  <c r="EF239" i="1"/>
  <c r="EF238" i="1"/>
  <c r="EF237" i="1"/>
  <c r="EF236" i="1"/>
  <c r="EF235" i="1"/>
  <c r="EC239" i="1"/>
  <c r="EB239" i="1"/>
  <c r="EA239" i="1"/>
  <c r="EA240" i="1" s="1"/>
  <c r="DZ239" i="1"/>
  <c r="DY239" i="1"/>
  <c r="DX239" i="1"/>
  <c r="DU239" i="1"/>
  <c r="DU246" i="1" s="1"/>
  <c r="DV246" i="1" s="1"/>
  <c r="DT239" i="1"/>
  <c r="DQ239" i="1"/>
  <c r="DQ246" i="1" s="1"/>
  <c r="DP239" i="1"/>
  <c r="DN238" i="1"/>
  <c r="DN237" i="1"/>
  <c r="DN236" i="1"/>
  <c r="DN235" i="1"/>
  <c r="DL239" i="1"/>
  <c r="DL238" i="1"/>
  <c r="DL237" i="1"/>
  <c r="DL236" i="1"/>
  <c r="DL235" i="1"/>
  <c r="DI239" i="1"/>
  <c r="DI246" i="1" s="1"/>
  <c r="DG239" i="1"/>
  <c r="DG246" i="1" s="1"/>
  <c r="DH246" i="1" s="1"/>
  <c r="DE239" i="1"/>
  <c r="DE246" i="1" s="1"/>
  <c r="DD239" i="1"/>
  <c r="DB239" i="1"/>
  <c r="DA239" i="1"/>
  <c r="DA246" i="1" s="1"/>
  <c r="DB246" i="1" s="1"/>
  <c r="CZ239" i="1"/>
  <c r="CW239" i="1"/>
  <c r="CW246" i="1" s="1"/>
  <c r="CV239" i="1"/>
  <c r="CT239" i="1"/>
  <c r="CT238" i="1"/>
  <c r="CT237" i="1"/>
  <c r="CT236" i="1"/>
  <c r="CT235" i="1"/>
  <c r="CR238" i="1"/>
  <c r="CR237" i="1"/>
  <c r="CR236" i="1"/>
  <c r="CR235" i="1"/>
  <c r="CP239" i="1"/>
  <c r="CO239" i="1"/>
  <c r="CO246" i="1" s="1"/>
  <c r="CN239" i="1"/>
  <c r="CM239" i="1"/>
  <c r="CM240" i="1" s="1"/>
  <c r="CL239" i="1"/>
  <c r="CK239" i="1"/>
  <c r="CK246" i="1" s="1"/>
  <c r="CJ239" i="1"/>
  <c r="CI239" i="1"/>
  <c r="CI240" i="1" s="1"/>
  <c r="CH239" i="1"/>
  <c r="CG239" i="1"/>
  <c r="CG246" i="1" s="1"/>
  <c r="CF239" i="1"/>
  <c r="CE239" i="1"/>
  <c r="CE240" i="1" s="1"/>
  <c r="CD239" i="1"/>
  <c r="CC239" i="1"/>
  <c r="CC246" i="1" s="1"/>
  <c r="CB239" i="1"/>
  <c r="CA239" i="1"/>
  <c r="CA240" i="1" s="1"/>
  <c r="BZ239" i="1"/>
  <c r="BY239" i="1"/>
  <c r="BY246" i="1" s="1"/>
  <c r="BX239" i="1"/>
  <c r="BW239" i="1"/>
  <c r="BW240" i="1" s="1"/>
  <c r="BV239" i="1"/>
  <c r="BU239" i="1"/>
  <c r="BU246" i="1" s="1"/>
  <c r="BT239" i="1"/>
  <c r="BS239" i="1"/>
  <c r="BS240" i="1" s="1"/>
  <c r="BR239" i="1"/>
  <c r="BQ239" i="1"/>
  <c r="BQ246" i="1" s="1"/>
  <c r="BP239" i="1"/>
  <c r="BO239" i="1"/>
  <c r="BO240" i="1" s="1"/>
  <c r="BN239" i="1"/>
  <c r="BM239" i="1"/>
  <c r="BM246" i="1" s="1"/>
  <c r="BL239" i="1"/>
  <c r="BK239" i="1"/>
  <c r="BK240" i="1" s="1"/>
  <c r="BJ239" i="1"/>
  <c r="BI239" i="1"/>
  <c r="BI246" i="1" s="1"/>
  <c r="BJ246" i="1" s="1"/>
  <c r="BH239" i="1"/>
  <c r="BG239" i="1"/>
  <c r="BG240" i="1" s="1"/>
  <c r="BF239" i="1"/>
  <c r="BE239" i="1"/>
  <c r="BE246" i="1" s="1"/>
  <c r="BF246" i="1" s="1"/>
  <c r="BD239" i="1"/>
  <c r="BC239" i="1"/>
  <c r="BC240" i="1" s="1"/>
  <c r="AZ238" i="1"/>
  <c r="AZ237" i="1"/>
  <c r="AZ236" i="1"/>
  <c r="AZ235" i="1"/>
  <c r="AX238" i="1"/>
  <c r="AX237" i="1"/>
  <c r="AX236" i="1"/>
  <c r="AX235" i="1"/>
  <c r="AU239" i="1"/>
  <c r="AU246" i="1" s="1"/>
  <c r="AS239" i="1"/>
  <c r="AS246" i="1" s="1"/>
  <c r="AQ239" i="1"/>
  <c r="AZ239" i="1" s="1"/>
  <c r="AO239" i="1"/>
  <c r="AO246" i="1" s="1"/>
  <c r="AP246" i="1" s="1"/>
  <c r="AM239" i="1"/>
  <c r="AM246" i="1" s="1"/>
  <c r="AN246" i="1" s="1"/>
  <c r="AK239" i="1"/>
  <c r="AK246" i="1" s="1"/>
  <c r="AL246" i="1" s="1"/>
  <c r="AJ239" i="1"/>
  <c r="AH239" i="1"/>
  <c r="AH238" i="1"/>
  <c r="AH237" i="1"/>
  <c r="AH236" i="1"/>
  <c r="AH235" i="1"/>
  <c r="AF239" i="1"/>
  <c r="AF238" i="1"/>
  <c r="AF237" i="1"/>
  <c r="AF236" i="1"/>
  <c r="AF235" i="1"/>
  <c r="AD239" i="1"/>
  <c r="AD238" i="1"/>
  <c r="AD237" i="1"/>
  <c r="AD236" i="1"/>
  <c r="AD235" i="1"/>
  <c r="AB239" i="1"/>
  <c r="AB238" i="1"/>
  <c r="AB237" i="1"/>
  <c r="AB236" i="1"/>
  <c r="AB235" i="1"/>
  <c r="Z239" i="1"/>
  <c r="Z238" i="1"/>
  <c r="Z237" i="1"/>
  <c r="Z236" i="1"/>
  <c r="Z235" i="1"/>
  <c r="X239" i="1"/>
  <c r="X238" i="1"/>
  <c r="X237" i="1"/>
  <c r="X236" i="1"/>
  <c r="X235" i="1"/>
  <c r="V239" i="1"/>
  <c r="V238" i="1"/>
  <c r="V237" i="1"/>
  <c r="V236" i="1"/>
  <c r="V235" i="1"/>
  <c r="T239" i="1"/>
  <c r="T238" i="1"/>
  <c r="T237" i="1"/>
  <c r="T236" i="1"/>
  <c r="T235" i="1"/>
  <c r="R239" i="1"/>
  <c r="R238" i="1"/>
  <c r="R237" i="1"/>
  <c r="R236" i="1"/>
  <c r="R235" i="1"/>
  <c r="P239" i="1"/>
  <c r="P238" i="1"/>
  <c r="P237" i="1"/>
  <c r="P236" i="1"/>
  <c r="P235" i="1"/>
  <c r="N239" i="1"/>
  <c r="N238" i="1"/>
  <c r="N237" i="1"/>
  <c r="N236" i="1"/>
  <c r="N235" i="1"/>
  <c r="L239" i="1"/>
  <c r="ED238" i="1"/>
  <c r="ED237" i="1"/>
  <c r="ED236" i="1"/>
  <c r="ED235" i="1"/>
  <c r="EB238" i="1"/>
  <c r="EB237" i="1"/>
  <c r="EB236" i="1"/>
  <c r="EB235" i="1"/>
  <c r="DZ238" i="1"/>
  <c r="DZ237" i="1"/>
  <c r="DZ236" i="1"/>
  <c r="DZ235" i="1"/>
  <c r="DX238" i="1"/>
  <c r="DX237" i="1"/>
  <c r="DX236" i="1"/>
  <c r="DX235" i="1"/>
  <c r="DV238" i="1"/>
  <c r="DV237" i="1"/>
  <c r="DV236" i="1"/>
  <c r="DV235" i="1"/>
  <c r="DT238" i="1"/>
  <c r="DT237" i="1"/>
  <c r="DT236" i="1"/>
  <c r="DT235" i="1"/>
  <c r="DR238" i="1"/>
  <c r="DR237" i="1"/>
  <c r="DR236" i="1"/>
  <c r="DR235" i="1"/>
  <c r="DP238" i="1"/>
  <c r="DP237" i="1"/>
  <c r="DP236" i="1"/>
  <c r="DP235" i="1"/>
  <c r="DJ238" i="1"/>
  <c r="DJ237" i="1"/>
  <c r="DJ236" i="1"/>
  <c r="DJ235" i="1"/>
  <c r="DH238" i="1"/>
  <c r="DH237" i="1"/>
  <c r="DH236" i="1"/>
  <c r="DH235" i="1"/>
  <c r="DF238" i="1"/>
  <c r="DF237" i="1"/>
  <c r="DF236" i="1"/>
  <c r="DF235" i="1"/>
  <c r="DD238" i="1"/>
  <c r="DD237" i="1"/>
  <c r="DD236" i="1"/>
  <c r="DD235" i="1"/>
  <c r="DB238" i="1"/>
  <c r="DB237" i="1"/>
  <c r="DB236" i="1"/>
  <c r="DB235" i="1"/>
  <c r="CZ238" i="1"/>
  <c r="CZ237" i="1"/>
  <c r="CZ236" i="1"/>
  <c r="CZ235" i="1"/>
  <c r="CX238" i="1"/>
  <c r="CX237" i="1"/>
  <c r="CX236" i="1"/>
  <c r="CX235" i="1"/>
  <c r="CV238" i="1"/>
  <c r="CV237" i="1"/>
  <c r="CV236" i="1"/>
  <c r="CV235" i="1"/>
  <c r="CP238" i="1"/>
  <c r="CP237" i="1"/>
  <c r="CP236" i="1"/>
  <c r="CP235" i="1"/>
  <c r="CN238" i="1"/>
  <c r="CN237" i="1"/>
  <c r="CN236" i="1"/>
  <c r="CN235" i="1"/>
  <c r="CL238" i="1"/>
  <c r="CL237" i="1"/>
  <c r="CL236" i="1"/>
  <c r="CL235" i="1"/>
  <c r="CJ238" i="1"/>
  <c r="CJ237" i="1"/>
  <c r="CJ236" i="1"/>
  <c r="CJ235" i="1"/>
  <c r="CH238" i="1"/>
  <c r="CH237" i="1"/>
  <c r="CH236" i="1"/>
  <c r="CH235" i="1"/>
  <c r="CF238" i="1"/>
  <c r="CF237" i="1"/>
  <c r="CF236" i="1"/>
  <c r="CF235" i="1"/>
  <c r="CD238" i="1"/>
  <c r="CD237" i="1"/>
  <c r="CD236" i="1"/>
  <c r="CD235" i="1"/>
  <c r="CB238" i="1"/>
  <c r="CB237" i="1"/>
  <c r="CB236" i="1"/>
  <c r="CB235" i="1"/>
  <c r="BZ238" i="1"/>
  <c r="BZ237" i="1"/>
  <c r="BZ236" i="1"/>
  <c r="BZ235" i="1"/>
  <c r="BX238" i="1"/>
  <c r="BX237" i="1"/>
  <c r="BX236" i="1"/>
  <c r="BX235" i="1"/>
  <c r="BV238" i="1"/>
  <c r="BV237" i="1"/>
  <c r="BV236" i="1"/>
  <c r="BV235" i="1"/>
  <c r="BT238" i="1"/>
  <c r="BT237" i="1"/>
  <c r="BT236" i="1"/>
  <c r="BT235" i="1"/>
  <c r="BR238" i="1"/>
  <c r="BR237" i="1"/>
  <c r="BR236" i="1"/>
  <c r="BR235" i="1"/>
  <c r="BP238" i="1"/>
  <c r="BP237" i="1"/>
  <c r="BP236" i="1"/>
  <c r="BP235" i="1"/>
  <c r="BN238" i="1"/>
  <c r="BN237" i="1"/>
  <c r="BN236" i="1"/>
  <c r="BN235" i="1"/>
  <c r="BL238" i="1"/>
  <c r="BL237" i="1"/>
  <c r="BL236" i="1"/>
  <c r="BL235" i="1"/>
  <c r="BJ238" i="1"/>
  <c r="BJ237" i="1"/>
  <c r="BJ236" i="1"/>
  <c r="BJ235" i="1"/>
  <c r="BH238" i="1"/>
  <c r="BH237" i="1"/>
  <c r="BH236" i="1"/>
  <c r="BH235" i="1"/>
  <c r="BF238" i="1"/>
  <c r="BF237" i="1"/>
  <c r="BF236" i="1"/>
  <c r="BF235" i="1"/>
  <c r="BD238" i="1"/>
  <c r="BD237" i="1"/>
  <c r="BD236" i="1"/>
  <c r="BD235" i="1"/>
  <c r="BB238" i="1"/>
  <c r="BB237" i="1"/>
  <c r="BB236" i="1"/>
  <c r="BB235" i="1"/>
  <c r="AV238" i="1"/>
  <c r="AV237" i="1"/>
  <c r="AV236" i="1"/>
  <c r="AV235" i="1"/>
  <c r="AT238" i="1"/>
  <c r="AT237" i="1"/>
  <c r="AT236" i="1"/>
  <c r="AT235" i="1"/>
  <c r="AR238" i="1"/>
  <c r="AR237" i="1"/>
  <c r="AR236" i="1"/>
  <c r="AR235" i="1"/>
  <c r="AP238" i="1"/>
  <c r="AP237" i="1"/>
  <c r="AP236" i="1"/>
  <c r="AP235" i="1"/>
  <c r="AN238" i="1"/>
  <c r="AN237" i="1"/>
  <c r="AN236" i="1"/>
  <c r="AN235" i="1"/>
  <c r="AL238" i="1"/>
  <c r="AL237" i="1"/>
  <c r="AL236" i="1"/>
  <c r="AL235" i="1"/>
  <c r="AJ238" i="1"/>
  <c r="AJ237" i="1"/>
  <c r="AJ236" i="1"/>
  <c r="AJ235" i="1"/>
  <c r="C238" i="1"/>
  <c r="C246" i="1" s="1"/>
  <c r="C237" i="1"/>
  <c r="L237" i="1" s="1"/>
  <c r="C236" i="1"/>
  <c r="C244" i="1" s="1"/>
  <c r="C235" i="1"/>
  <c r="GN239" i="1"/>
  <c r="GN246" i="1" s="1"/>
  <c r="GL239" i="1"/>
  <c r="GH239" i="1"/>
  <c r="GD239" i="1"/>
  <c r="GE239" i="1" s="1"/>
  <c r="GB239" i="1"/>
  <c r="GB246" i="1" s="1"/>
  <c r="FZ239" i="1"/>
  <c r="GA239" i="1" s="1"/>
  <c r="FX239" i="1"/>
  <c r="FX246" i="1" s="1"/>
  <c r="FV239" i="1"/>
  <c r="FW239" i="1" s="1"/>
  <c r="FT239" i="1"/>
  <c r="FT246" i="1" s="1"/>
  <c r="FR239" i="1"/>
  <c r="FN239" i="1"/>
  <c r="FO239" i="1" s="1"/>
  <c r="FL239" i="1"/>
  <c r="FL246" i="1" s="1"/>
  <c r="FJ239" i="1"/>
  <c r="FK239" i="1" s="1"/>
  <c r="FH239" i="1"/>
  <c r="FH246" i="1" s="1"/>
  <c r="FI246" i="1" s="1"/>
  <c r="FG239" i="1"/>
  <c r="GN238" i="1"/>
  <c r="GL238" i="1"/>
  <c r="GJ238" i="1"/>
  <c r="GH238" i="1"/>
  <c r="GF238" i="1"/>
  <c r="GD238" i="1"/>
  <c r="GB238" i="1"/>
  <c r="FZ238" i="1"/>
  <c r="FX238" i="1"/>
  <c r="FV238" i="1"/>
  <c r="FT238" i="1"/>
  <c r="FR238" i="1"/>
  <c r="FP238" i="1"/>
  <c r="FN238" i="1"/>
  <c r="FL238" i="1"/>
  <c r="FJ238" i="1"/>
  <c r="FH238" i="1"/>
  <c r="FG238" i="1"/>
  <c r="GN237" i="1"/>
  <c r="GO237" i="1" s="1"/>
  <c r="GL237" i="1"/>
  <c r="GM237" i="1" s="1"/>
  <c r="GJ237" i="1"/>
  <c r="GK237" i="1" s="1"/>
  <c r="GH237" i="1"/>
  <c r="GI237" i="1" s="1"/>
  <c r="GF237" i="1"/>
  <c r="GG237" i="1" s="1"/>
  <c r="GD237" i="1"/>
  <c r="GE237" i="1" s="1"/>
  <c r="GB237" i="1"/>
  <c r="GC237" i="1" s="1"/>
  <c r="FZ237" i="1"/>
  <c r="GA237" i="1" s="1"/>
  <c r="FX237" i="1"/>
  <c r="FY237" i="1" s="1"/>
  <c r="FV237" i="1"/>
  <c r="FW237" i="1" s="1"/>
  <c r="FT237" i="1"/>
  <c r="FU237" i="1" s="1"/>
  <c r="FR237" i="1"/>
  <c r="FS237" i="1" s="1"/>
  <c r="FP237" i="1"/>
  <c r="FQ237" i="1" s="1"/>
  <c r="FN237" i="1"/>
  <c r="FO237" i="1" s="1"/>
  <c r="FL237" i="1"/>
  <c r="FM237" i="1" s="1"/>
  <c r="FJ237" i="1"/>
  <c r="FK237" i="1" s="1"/>
  <c r="FH237" i="1"/>
  <c r="FI237" i="1" s="1"/>
  <c r="FG237" i="1"/>
  <c r="GN236" i="1"/>
  <c r="GO236" i="1" s="1"/>
  <c r="GL236" i="1"/>
  <c r="GL244" i="1" s="1"/>
  <c r="GJ236" i="1"/>
  <c r="GK236" i="1" s="1"/>
  <c r="GH236" i="1"/>
  <c r="GH244" i="1" s="1"/>
  <c r="GF236" i="1"/>
  <c r="GG236" i="1" s="1"/>
  <c r="GD236" i="1"/>
  <c r="GD244" i="1" s="1"/>
  <c r="GB236" i="1"/>
  <c r="GC236" i="1" s="1"/>
  <c r="FZ236" i="1"/>
  <c r="FZ244" i="1" s="1"/>
  <c r="FX236" i="1"/>
  <c r="FY236" i="1" s="1"/>
  <c r="FV236" i="1"/>
  <c r="FV244" i="1" s="1"/>
  <c r="FT236" i="1"/>
  <c r="FU236" i="1" s="1"/>
  <c r="FR236" i="1"/>
  <c r="FR244" i="1" s="1"/>
  <c r="FP236" i="1"/>
  <c r="FQ236" i="1" s="1"/>
  <c r="FN236" i="1"/>
  <c r="FN244" i="1" s="1"/>
  <c r="FL236" i="1"/>
  <c r="FM236" i="1" s="1"/>
  <c r="FJ236" i="1"/>
  <c r="FJ244" i="1" s="1"/>
  <c r="FH236" i="1"/>
  <c r="FI236" i="1" s="1"/>
  <c r="FG236" i="1"/>
  <c r="GN235" i="1"/>
  <c r="GL235" i="1"/>
  <c r="GM235" i="1" s="1"/>
  <c r="GJ235" i="1"/>
  <c r="GH235" i="1"/>
  <c r="GF235" i="1"/>
  <c r="GD235" i="1"/>
  <c r="GB235" i="1"/>
  <c r="FZ235" i="1"/>
  <c r="FX235" i="1"/>
  <c r="FV235" i="1"/>
  <c r="FT235" i="1"/>
  <c r="FR235" i="1"/>
  <c r="FP235" i="1"/>
  <c r="FN235" i="1"/>
  <c r="FL235" i="1"/>
  <c r="FJ235" i="1"/>
  <c r="FH235" i="1"/>
  <c r="FG235" i="1"/>
  <c r="EP239" i="1"/>
  <c r="EP238" i="1"/>
  <c r="ET237" i="1"/>
  <c r="ES237" i="1"/>
  <c r="EU237" i="1" s="1"/>
  <c r="ER237" i="1"/>
  <c r="EQ237" i="1"/>
  <c r="EP237" i="1"/>
  <c r="EP236" i="1"/>
  <c r="EP235" i="1"/>
  <c r="EO232" i="1"/>
  <c r="EO245" i="1" s="1"/>
  <c r="EK232" i="1"/>
  <c r="EK245" i="1" s="1"/>
  <c r="EL245" i="1" s="1"/>
  <c r="EG232" i="1"/>
  <c r="EG245" i="1" s="1"/>
  <c r="EH245" i="1" s="1"/>
  <c r="EC232" i="1"/>
  <c r="EC245" i="1" s="1"/>
  <c r="DY232" i="1"/>
  <c r="DY245" i="1" s="1"/>
  <c r="DU232" i="1"/>
  <c r="DU245" i="1" s="1"/>
  <c r="DV245" i="1" s="1"/>
  <c r="DQ232" i="1"/>
  <c r="DQ245" i="1" s="1"/>
  <c r="DR245" i="1" s="1"/>
  <c r="DM232" i="1"/>
  <c r="DM245" i="1" s="1"/>
  <c r="DI232" i="1"/>
  <c r="DI245" i="1" s="1"/>
  <c r="DE232" i="1"/>
  <c r="DE245" i="1" s="1"/>
  <c r="DF245" i="1" s="1"/>
  <c r="DA232" i="1"/>
  <c r="DA245" i="1" s="1"/>
  <c r="DB245" i="1" s="1"/>
  <c r="CW232" i="1"/>
  <c r="CW245" i="1" s="1"/>
  <c r="CS232" i="1"/>
  <c r="CS245" i="1" s="1"/>
  <c r="CO232" i="1"/>
  <c r="CO245" i="1" s="1"/>
  <c r="CP245" i="1" s="1"/>
  <c r="CK232" i="1"/>
  <c r="CK245" i="1" s="1"/>
  <c r="CL245" i="1" s="1"/>
  <c r="CG232" i="1"/>
  <c r="CG245" i="1" s="1"/>
  <c r="CC232" i="1"/>
  <c r="CC245" i="1" s="1"/>
  <c r="BY232" i="1"/>
  <c r="BY245" i="1" s="1"/>
  <c r="BZ245" i="1" s="1"/>
  <c r="BU232" i="1"/>
  <c r="BU245" i="1" s="1"/>
  <c r="BV245" i="1" s="1"/>
  <c r="BQ232" i="1"/>
  <c r="BQ245" i="1" s="1"/>
  <c r="BM232" i="1"/>
  <c r="BM245" i="1" s="1"/>
  <c r="BI232" i="1"/>
  <c r="BI245" i="1" s="1"/>
  <c r="BJ245" i="1" s="1"/>
  <c r="BE232" i="1"/>
  <c r="BE245" i="1" s="1"/>
  <c r="BF245" i="1" s="1"/>
  <c r="BA232" i="1"/>
  <c r="BA245" i="1" s="1"/>
  <c r="AW232" i="1"/>
  <c r="AW245" i="1" s="1"/>
  <c r="AS232" i="1"/>
  <c r="AS245" i="1" s="1"/>
  <c r="AT245" i="1" s="1"/>
  <c r="AO232" i="1"/>
  <c r="AO245" i="1" s="1"/>
  <c r="AP245" i="1" s="1"/>
  <c r="AK232" i="1"/>
  <c r="AK245" i="1" s="1"/>
  <c r="AG232" i="1"/>
  <c r="AG245" i="1" s="1"/>
  <c r="AC232" i="1"/>
  <c r="AC245" i="1" s="1"/>
  <c r="AD245" i="1" s="1"/>
  <c r="Y232" i="1"/>
  <c r="Y245" i="1" s="1"/>
  <c r="Z245" i="1" s="1"/>
  <c r="U232" i="1"/>
  <c r="U245" i="1" s="1"/>
  <c r="Q232" i="1"/>
  <c r="Q245" i="1" s="1"/>
  <c r="M232" i="1"/>
  <c r="M245" i="1" s="1"/>
  <c r="C231" i="1"/>
  <c r="C230" i="1"/>
  <c r="C228" i="1"/>
  <c r="C229" i="1" s="1"/>
  <c r="C232" i="1" s="1"/>
  <c r="C227" i="1"/>
  <c r="FE231" i="1"/>
  <c r="FE230" i="1"/>
  <c r="FE228" i="1"/>
  <c r="FE227" i="1"/>
  <c r="EN231" i="1"/>
  <c r="EN230" i="1"/>
  <c r="EN228" i="1"/>
  <c r="EN227" i="1"/>
  <c r="EL231" i="1"/>
  <c r="EL230" i="1"/>
  <c r="EL229" i="1"/>
  <c r="EL228" i="1"/>
  <c r="EL227" i="1"/>
  <c r="EJ231" i="1"/>
  <c r="EJ230" i="1"/>
  <c r="EJ228" i="1"/>
  <c r="EJ227" i="1"/>
  <c r="EH231" i="1"/>
  <c r="EH230" i="1"/>
  <c r="EH228" i="1"/>
  <c r="EH227" i="1"/>
  <c r="EF231" i="1"/>
  <c r="EF230" i="1"/>
  <c r="EF228" i="1"/>
  <c r="EF227" i="1"/>
  <c r="ED231" i="1"/>
  <c r="ED230" i="1"/>
  <c r="ED229" i="1"/>
  <c r="ED228" i="1"/>
  <c r="ED227" i="1"/>
  <c r="EB231" i="1"/>
  <c r="EB230" i="1"/>
  <c r="EB228" i="1"/>
  <c r="EB227" i="1"/>
  <c r="DZ231" i="1"/>
  <c r="DZ230" i="1"/>
  <c r="DZ228" i="1"/>
  <c r="DZ227" i="1"/>
  <c r="DX231" i="1"/>
  <c r="DX230" i="1"/>
  <c r="DX228" i="1"/>
  <c r="DX227" i="1"/>
  <c r="DV231" i="1"/>
  <c r="DV230" i="1"/>
  <c r="DV229" i="1"/>
  <c r="DV228" i="1"/>
  <c r="DV227" i="1"/>
  <c r="DT231" i="1"/>
  <c r="DT230" i="1"/>
  <c r="DT228" i="1"/>
  <c r="DT227" i="1"/>
  <c r="DR231" i="1"/>
  <c r="DR230" i="1"/>
  <c r="DR228" i="1"/>
  <c r="DR227" i="1"/>
  <c r="DP231" i="1"/>
  <c r="DP230" i="1"/>
  <c r="DP228" i="1"/>
  <c r="DP227" i="1"/>
  <c r="DN231" i="1"/>
  <c r="DN230" i="1"/>
  <c r="DN229" i="1"/>
  <c r="DN228" i="1"/>
  <c r="DN227" i="1"/>
  <c r="DL231" i="1"/>
  <c r="DL230" i="1"/>
  <c r="DL228" i="1"/>
  <c r="DL227" i="1"/>
  <c r="DJ231" i="1"/>
  <c r="DJ230" i="1"/>
  <c r="DJ229" i="1"/>
  <c r="DJ228" i="1"/>
  <c r="DJ227" i="1"/>
  <c r="DH231" i="1"/>
  <c r="DH230" i="1"/>
  <c r="DH228" i="1"/>
  <c r="DH227" i="1"/>
  <c r="DF231" i="1"/>
  <c r="DF230" i="1"/>
  <c r="DF229" i="1"/>
  <c r="DF228" i="1"/>
  <c r="DF227" i="1"/>
  <c r="DD231" i="1"/>
  <c r="DD230" i="1"/>
  <c r="DD228" i="1"/>
  <c r="DD227" i="1"/>
  <c r="DB231" i="1"/>
  <c r="DB230" i="1"/>
  <c r="DB229" i="1"/>
  <c r="DB228" i="1"/>
  <c r="DB227" i="1"/>
  <c r="CZ231" i="1"/>
  <c r="CZ230" i="1"/>
  <c r="CZ228" i="1"/>
  <c r="CZ227" i="1"/>
  <c r="CX231" i="1"/>
  <c r="CX230" i="1"/>
  <c r="CX229" i="1"/>
  <c r="CX228" i="1"/>
  <c r="CX227" i="1"/>
  <c r="CV231" i="1"/>
  <c r="CV230" i="1"/>
  <c r="CV228" i="1"/>
  <c r="CV227" i="1"/>
  <c r="CT231" i="1"/>
  <c r="CT230" i="1"/>
  <c r="CT229" i="1"/>
  <c r="CT228" i="1"/>
  <c r="CT227" i="1"/>
  <c r="CR231" i="1"/>
  <c r="CR230" i="1"/>
  <c r="CR228" i="1"/>
  <c r="CR227" i="1"/>
  <c r="CP231" i="1"/>
  <c r="CP230" i="1"/>
  <c r="CP229" i="1"/>
  <c r="CP228" i="1"/>
  <c r="CP227" i="1"/>
  <c r="CN231" i="1"/>
  <c r="CN230" i="1"/>
  <c r="CN228" i="1"/>
  <c r="CN227" i="1"/>
  <c r="CL231" i="1"/>
  <c r="CL230" i="1"/>
  <c r="CL229" i="1"/>
  <c r="CL228" i="1"/>
  <c r="CL227" i="1"/>
  <c r="CJ231" i="1"/>
  <c r="CJ230" i="1"/>
  <c r="CJ228" i="1"/>
  <c r="CJ227" i="1"/>
  <c r="CH231" i="1"/>
  <c r="CH230" i="1"/>
  <c r="CH229" i="1"/>
  <c r="CH228" i="1"/>
  <c r="CH227" i="1"/>
  <c r="CF231" i="1"/>
  <c r="CF230" i="1"/>
  <c r="CF228" i="1"/>
  <c r="CF227" i="1"/>
  <c r="CD231" i="1"/>
  <c r="CD230" i="1"/>
  <c r="CD229" i="1"/>
  <c r="CD228" i="1"/>
  <c r="CD227" i="1"/>
  <c r="CB231" i="1"/>
  <c r="CB230" i="1"/>
  <c r="CB228" i="1"/>
  <c r="CB227" i="1"/>
  <c r="BZ231" i="1"/>
  <c r="BZ230" i="1"/>
  <c r="BZ229" i="1"/>
  <c r="BZ228" i="1"/>
  <c r="BZ227" i="1"/>
  <c r="BX231" i="1"/>
  <c r="BX230" i="1"/>
  <c r="BX228" i="1"/>
  <c r="BX227" i="1"/>
  <c r="BV231" i="1"/>
  <c r="BV230" i="1"/>
  <c r="BV229" i="1"/>
  <c r="BV228" i="1"/>
  <c r="BV227" i="1"/>
  <c r="BT231" i="1"/>
  <c r="BT230" i="1"/>
  <c r="BT228" i="1"/>
  <c r="BT227" i="1"/>
  <c r="BR231" i="1"/>
  <c r="BR230" i="1"/>
  <c r="BR229" i="1"/>
  <c r="BR228" i="1"/>
  <c r="BR227" i="1"/>
  <c r="BP231" i="1"/>
  <c r="BP230" i="1"/>
  <c r="BP228" i="1"/>
  <c r="BP227" i="1"/>
  <c r="BN231" i="1"/>
  <c r="BN230" i="1"/>
  <c r="BN229" i="1"/>
  <c r="BN228" i="1"/>
  <c r="BN227" i="1"/>
  <c r="BL231" i="1"/>
  <c r="BL230" i="1"/>
  <c r="BL228" i="1"/>
  <c r="BL227" i="1"/>
  <c r="BJ231" i="1"/>
  <c r="BJ230" i="1"/>
  <c r="BJ229" i="1"/>
  <c r="BJ228" i="1"/>
  <c r="BJ227" i="1"/>
  <c r="BH231" i="1"/>
  <c r="BH230" i="1"/>
  <c r="BH228" i="1"/>
  <c r="BH227" i="1"/>
  <c r="BF231" i="1"/>
  <c r="BF230" i="1"/>
  <c r="BF229" i="1"/>
  <c r="BF228" i="1"/>
  <c r="BF227" i="1"/>
  <c r="BD231" i="1"/>
  <c r="BD230" i="1"/>
  <c r="BD228" i="1"/>
  <c r="BD227" i="1"/>
  <c r="BB231" i="1"/>
  <c r="BB230" i="1"/>
  <c r="BB229" i="1"/>
  <c r="BB228" i="1"/>
  <c r="BB227" i="1"/>
  <c r="AZ231" i="1"/>
  <c r="AZ230" i="1"/>
  <c r="AZ228" i="1"/>
  <c r="AZ227" i="1"/>
  <c r="AX231" i="1"/>
  <c r="AX230" i="1"/>
  <c r="AX229" i="1"/>
  <c r="AX228" i="1"/>
  <c r="AX227" i="1"/>
  <c r="AV231" i="1"/>
  <c r="AV230" i="1"/>
  <c r="AV228" i="1"/>
  <c r="AV227" i="1"/>
  <c r="AT231" i="1"/>
  <c r="AT230" i="1"/>
  <c r="AT229" i="1"/>
  <c r="AT228" i="1"/>
  <c r="AT227" i="1"/>
  <c r="AR231" i="1"/>
  <c r="AR230" i="1"/>
  <c r="AR228" i="1"/>
  <c r="AR227" i="1"/>
  <c r="AP231" i="1"/>
  <c r="AP230" i="1"/>
  <c r="AP229" i="1"/>
  <c r="AP228" i="1"/>
  <c r="AP227" i="1"/>
  <c r="AN231" i="1"/>
  <c r="AN230" i="1"/>
  <c r="AN228" i="1"/>
  <c r="AN227" i="1"/>
  <c r="AL231" i="1"/>
  <c r="AL230" i="1"/>
  <c r="AL229" i="1"/>
  <c r="AL228" i="1"/>
  <c r="AL227" i="1"/>
  <c r="AJ231" i="1"/>
  <c r="AJ230" i="1"/>
  <c r="AJ228" i="1"/>
  <c r="AJ227" i="1"/>
  <c r="AH231" i="1"/>
  <c r="AH230" i="1"/>
  <c r="AH229" i="1"/>
  <c r="AH228" i="1"/>
  <c r="AH227" i="1"/>
  <c r="AF231" i="1"/>
  <c r="AF230" i="1"/>
  <c r="AF228" i="1"/>
  <c r="AF227" i="1"/>
  <c r="AD231" i="1"/>
  <c r="AD230" i="1"/>
  <c r="AD229" i="1"/>
  <c r="AD228" i="1"/>
  <c r="AD227" i="1"/>
  <c r="AB231" i="1"/>
  <c r="AB230" i="1"/>
  <c r="AB228" i="1"/>
  <c r="AB227" i="1"/>
  <c r="Z231" i="1"/>
  <c r="Z230" i="1"/>
  <c r="Z229" i="1"/>
  <c r="Z228" i="1"/>
  <c r="Z227" i="1"/>
  <c r="X231" i="1"/>
  <c r="X230" i="1"/>
  <c r="X228" i="1"/>
  <c r="X227" i="1"/>
  <c r="V231" i="1"/>
  <c r="V230" i="1"/>
  <c r="V229" i="1"/>
  <c r="V228" i="1"/>
  <c r="V227" i="1"/>
  <c r="T231" i="1"/>
  <c r="T230" i="1"/>
  <c r="T228" i="1"/>
  <c r="T227" i="1"/>
  <c r="R231" i="1"/>
  <c r="R230" i="1"/>
  <c r="R229" i="1"/>
  <c r="R228" i="1"/>
  <c r="R227" i="1"/>
  <c r="P231" i="1"/>
  <c r="P230" i="1"/>
  <c r="P228" i="1"/>
  <c r="P227" i="1"/>
  <c r="N231" i="1"/>
  <c r="N230" i="1"/>
  <c r="N229" i="1"/>
  <c r="N228" i="1"/>
  <c r="N227" i="1"/>
  <c r="L231" i="1"/>
  <c r="L230" i="1"/>
  <c r="L228" i="1"/>
  <c r="L227" i="1"/>
  <c r="FF229" i="1"/>
  <c r="FD229" i="1"/>
  <c r="FD242" i="1" s="1"/>
  <c r="FB229" i="1"/>
  <c r="FB232" i="1" s="1"/>
  <c r="EO229" i="1"/>
  <c r="EO242" i="1" s="1"/>
  <c r="EM229" i="1"/>
  <c r="EK229" i="1"/>
  <c r="EK242" i="1" s="1"/>
  <c r="EI229" i="1"/>
  <c r="EI232" i="1" s="1"/>
  <c r="EG229" i="1"/>
  <c r="EH229" i="1" s="1"/>
  <c r="EE229" i="1"/>
  <c r="EC229" i="1"/>
  <c r="EC242" i="1" s="1"/>
  <c r="EA229" i="1"/>
  <c r="EA232" i="1" s="1"/>
  <c r="DY229" i="1"/>
  <c r="DZ229" i="1" s="1"/>
  <c r="DW229" i="1"/>
  <c r="DU229" i="1"/>
  <c r="DU242" i="1" s="1"/>
  <c r="DS229" i="1"/>
  <c r="DS232" i="1" s="1"/>
  <c r="DQ229" i="1"/>
  <c r="DR229" i="1" s="1"/>
  <c r="DO229" i="1"/>
  <c r="DM229" i="1"/>
  <c r="DM242" i="1" s="1"/>
  <c r="DK229" i="1"/>
  <c r="DK232" i="1" s="1"/>
  <c r="DI229" i="1"/>
  <c r="DI242" i="1" s="1"/>
  <c r="DG229" i="1"/>
  <c r="DE229" i="1"/>
  <c r="DE242" i="1" s="1"/>
  <c r="DC229" i="1"/>
  <c r="DC232" i="1" s="1"/>
  <c r="DA229" i="1"/>
  <c r="DA242" i="1" s="1"/>
  <c r="CY229" i="1"/>
  <c r="CW229" i="1"/>
  <c r="CW242" i="1" s="1"/>
  <c r="CU229" i="1"/>
  <c r="CU232" i="1" s="1"/>
  <c r="CS229" i="1"/>
  <c r="CS242" i="1" s="1"/>
  <c r="CQ229" i="1"/>
  <c r="CO229" i="1"/>
  <c r="CO242" i="1" s="1"/>
  <c r="CM229" i="1"/>
  <c r="CM232" i="1" s="1"/>
  <c r="CK229" i="1"/>
  <c r="CK242" i="1" s="1"/>
  <c r="CI229" i="1"/>
  <c r="CG229" i="1"/>
  <c r="CG242" i="1" s="1"/>
  <c r="CE229" i="1"/>
  <c r="CE232" i="1" s="1"/>
  <c r="CC229" i="1"/>
  <c r="CC242" i="1" s="1"/>
  <c r="CA229" i="1"/>
  <c r="BY229" i="1"/>
  <c r="BY242" i="1" s="1"/>
  <c r="BW229" i="1"/>
  <c r="BW232" i="1" s="1"/>
  <c r="BU229" i="1"/>
  <c r="BU242" i="1" s="1"/>
  <c r="BS229" i="1"/>
  <c r="BQ229" i="1"/>
  <c r="BQ242" i="1" s="1"/>
  <c r="BO229" i="1"/>
  <c r="BO232" i="1" s="1"/>
  <c r="BM229" i="1"/>
  <c r="BM242" i="1" s="1"/>
  <c r="BK229" i="1"/>
  <c r="BI229" i="1"/>
  <c r="BI242" i="1" s="1"/>
  <c r="BG229" i="1"/>
  <c r="BG232" i="1" s="1"/>
  <c r="BE229" i="1"/>
  <c r="BE242" i="1" s="1"/>
  <c r="BC229" i="1"/>
  <c r="BA229" i="1"/>
  <c r="BA242" i="1" s="1"/>
  <c r="AY229" i="1"/>
  <c r="AY232" i="1" s="1"/>
  <c r="AW229" i="1"/>
  <c r="AW242" i="1" s="1"/>
  <c r="AU229" i="1"/>
  <c r="AS229" i="1"/>
  <c r="AS242" i="1" s="1"/>
  <c r="AQ229" i="1"/>
  <c r="AQ232" i="1" s="1"/>
  <c r="AO229" i="1"/>
  <c r="AO242" i="1" s="1"/>
  <c r="AM229" i="1"/>
  <c r="AK229" i="1"/>
  <c r="AK242" i="1" s="1"/>
  <c r="AI229" i="1"/>
  <c r="AI232" i="1" s="1"/>
  <c r="AG229" i="1"/>
  <c r="AG242" i="1" s="1"/>
  <c r="AE229" i="1"/>
  <c r="AC229" i="1"/>
  <c r="AC242" i="1" s="1"/>
  <c r="AA229" i="1"/>
  <c r="AA232" i="1" s="1"/>
  <c r="Y229" i="1"/>
  <c r="Y242" i="1" s="1"/>
  <c r="W229" i="1"/>
  <c r="U229" i="1"/>
  <c r="U242" i="1" s="1"/>
  <c r="S229" i="1"/>
  <c r="S232" i="1" s="1"/>
  <c r="Q229" i="1"/>
  <c r="Q242" i="1" s="1"/>
  <c r="O229" i="1"/>
  <c r="M229" i="1"/>
  <c r="M242" i="1" s="1"/>
  <c r="K229" i="1"/>
  <c r="K232" i="1" s="1"/>
  <c r="I229" i="1"/>
  <c r="I232" i="1" s="1"/>
  <c r="G229" i="1"/>
  <c r="E229" i="1"/>
  <c r="E242" i="1" s="1"/>
  <c r="GN231" i="1"/>
  <c r="GL231" i="1"/>
  <c r="GM231" i="1" s="1"/>
  <c r="GJ231" i="1"/>
  <c r="GK231" i="1" s="1"/>
  <c r="GH231" i="1"/>
  <c r="GI231" i="1" s="1"/>
  <c r="GF231" i="1"/>
  <c r="GD231" i="1"/>
  <c r="GE231" i="1" s="1"/>
  <c r="GB231" i="1"/>
  <c r="GC231" i="1" s="1"/>
  <c r="FZ231" i="1"/>
  <c r="GA231" i="1" s="1"/>
  <c r="FX231" i="1"/>
  <c r="FV231" i="1"/>
  <c r="FW231" i="1" s="1"/>
  <c r="FT231" i="1"/>
  <c r="FU231" i="1" s="1"/>
  <c r="FR231" i="1"/>
  <c r="FS231" i="1" s="1"/>
  <c r="FP231" i="1"/>
  <c r="FN231" i="1"/>
  <c r="FO231" i="1" s="1"/>
  <c r="FL231" i="1"/>
  <c r="FM231" i="1" s="1"/>
  <c r="FJ231" i="1"/>
  <c r="FK231" i="1" s="1"/>
  <c r="FH231" i="1"/>
  <c r="FI231" i="1" s="1"/>
  <c r="FG231" i="1"/>
  <c r="GN230" i="1"/>
  <c r="GO230" i="1" s="1"/>
  <c r="GL230" i="1"/>
  <c r="GM230" i="1" s="1"/>
  <c r="GJ230" i="1"/>
  <c r="GK230" i="1" s="1"/>
  <c r="GH230" i="1"/>
  <c r="GF230" i="1"/>
  <c r="GG230" i="1" s="1"/>
  <c r="GD230" i="1"/>
  <c r="GE230" i="1" s="1"/>
  <c r="GB230" i="1"/>
  <c r="GC230" i="1" s="1"/>
  <c r="FZ230" i="1"/>
  <c r="FX230" i="1"/>
  <c r="FY230" i="1" s="1"/>
  <c r="FV230" i="1"/>
  <c r="FW230" i="1" s="1"/>
  <c r="FT230" i="1"/>
  <c r="FU230" i="1" s="1"/>
  <c r="FR230" i="1"/>
  <c r="FP230" i="1"/>
  <c r="FQ230" i="1" s="1"/>
  <c r="FN230" i="1"/>
  <c r="FO230" i="1" s="1"/>
  <c r="FL230" i="1"/>
  <c r="FM230" i="1" s="1"/>
  <c r="FJ230" i="1"/>
  <c r="FH230" i="1"/>
  <c r="FI230" i="1" s="1"/>
  <c r="FG230" i="1"/>
  <c r="GD229" i="1"/>
  <c r="FN229" i="1"/>
  <c r="GN228" i="1"/>
  <c r="GL228" i="1"/>
  <c r="GM228" i="1" s="1"/>
  <c r="GJ228" i="1"/>
  <c r="GH228" i="1"/>
  <c r="GF228" i="1"/>
  <c r="GD228" i="1"/>
  <c r="GE228" i="1" s="1"/>
  <c r="GB228" i="1"/>
  <c r="FZ228" i="1"/>
  <c r="FX228" i="1"/>
  <c r="FV228" i="1"/>
  <c r="FW228" i="1" s="1"/>
  <c r="FT228" i="1"/>
  <c r="FR228" i="1"/>
  <c r="FP228" i="1"/>
  <c r="FN228" i="1"/>
  <c r="FO228" i="1" s="1"/>
  <c r="FL228" i="1"/>
  <c r="FJ228" i="1"/>
  <c r="FH228" i="1"/>
  <c r="FG228" i="1"/>
  <c r="GN227" i="1"/>
  <c r="GO227" i="1" s="1"/>
  <c r="GL227" i="1"/>
  <c r="GM227" i="1" s="1"/>
  <c r="GJ227" i="1"/>
  <c r="GH227" i="1"/>
  <c r="GI227" i="1" s="1"/>
  <c r="GF227" i="1"/>
  <c r="GG227" i="1" s="1"/>
  <c r="GD227" i="1"/>
  <c r="GE227" i="1" s="1"/>
  <c r="GB227" i="1"/>
  <c r="FZ227" i="1"/>
  <c r="GA227" i="1" s="1"/>
  <c r="FX227" i="1"/>
  <c r="FY227" i="1" s="1"/>
  <c r="FV227" i="1"/>
  <c r="FW227" i="1" s="1"/>
  <c r="FT227" i="1"/>
  <c r="FR227" i="1"/>
  <c r="FS227" i="1" s="1"/>
  <c r="FP227" i="1"/>
  <c r="FQ227" i="1" s="1"/>
  <c r="FN227" i="1"/>
  <c r="FO227" i="1" s="1"/>
  <c r="FL227" i="1"/>
  <c r="FJ227" i="1"/>
  <c r="FK227" i="1" s="1"/>
  <c r="FH227" i="1"/>
  <c r="FI227" i="1" s="1"/>
  <c r="FG227" i="1"/>
  <c r="ET231" i="1"/>
  <c r="ER231" i="1"/>
  <c r="EQ231" i="1"/>
  <c r="ES231" i="1" s="1"/>
  <c r="EU231" i="1" s="1"/>
  <c r="EP231" i="1"/>
  <c r="EQ230" i="1"/>
  <c r="EP230" i="1"/>
  <c r="EP229" i="1"/>
  <c r="ES228" i="1"/>
  <c r="EQ228" i="1"/>
  <c r="EP228" i="1"/>
  <c r="ET227" i="1"/>
  <c r="ER227" i="1"/>
  <c r="EQ227" i="1"/>
  <c r="ES227" i="1" s="1"/>
  <c r="EU227" i="1" s="1"/>
  <c r="EP227" i="1"/>
  <c r="GH221" i="1"/>
  <c r="GF221" i="1"/>
  <c r="EX221" i="1"/>
  <c r="EV221" i="1"/>
  <c r="ER221" i="1"/>
  <c r="EP221" i="1"/>
  <c r="EO221" i="1"/>
  <c r="EN221" i="1"/>
  <c r="EK221" i="1"/>
  <c r="EK563" i="1" s="1"/>
  <c r="EE221" i="1"/>
  <c r="EF221" i="1" s="1"/>
  <c r="EC221" i="1"/>
  <c r="EA221" i="1"/>
  <c r="EJ221" i="1" s="1"/>
  <c r="DY221" i="1"/>
  <c r="DX221" i="1"/>
  <c r="DV221" i="1"/>
  <c r="DS221" i="1"/>
  <c r="DR221" i="1"/>
  <c r="DP221" i="1"/>
  <c r="DN221" i="1"/>
  <c r="GW216" i="1"/>
  <c r="GU216" i="1"/>
  <c r="DL216" i="1"/>
  <c r="CV216" i="1"/>
  <c r="CT216" i="1"/>
  <c r="CR216" i="1"/>
  <c r="CP216" i="1"/>
  <c r="CN216" i="1"/>
  <c r="GY216" i="1"/>
  <c r="GP216" i="1"/>
  <c r="GS216" i="1" s="1"/>
  <c r="GN216" i="1"/>
  <c r="GL216" i="1"/>
  <c r="GM216" i="1" s="1"/>
  <c r="GJ216" i="1"/>
  <c r="GK216" i="1" s="1"/>
  <c r="GH216" i="1"/>
  <c r="GD216" i="1"/>
  <c r="GE216" i="1" s="1"/>
  <c r="GB216" i="1"/>
  <c r="GC216" i="1" s="1"/>
  <c r="FZ216" i="1"/>
  <c r="FX216" i="1"/>
  <c r="FY216" i="1" s="1"/>
  <c r="FV216" i="1"/>
  <c r="FW216" i="1" s="1"/>
  <c r="FT216" i="1"/>
  <c r="FU216" i="1" s="1"/>
  <c r="FR216" i="1"/>
  <c r="FP216" i="1"/>
  <c r="FQ216" i="1" s="1"/>
  <c r="FN216" i="1"/>
  <c r="FO216" i="1" s="1"/>
  <c r="FM216" i="1"/>
  <c r="FK216" i="1"/>
  <c r="FI216" i="1"/>
  <c r="FG216" i="1"/>
  <c r="FE216" i="1"/>
  <c r="EX216" i="1"/>
  <c r="EV216" i="1"/>
  <c r="ET216" i="1"/>
  <c r="ER216" i="1"/>
  <c r="EP216" i="1"/>
  <c r="EN216" i="1"/>
  <c r="EL216" i="1"/>
  <c r="EJ216" i="1"/>
  <c r="EH216" i="1"/>
  <c r="EF216" i="1"/>
  <c r="ED216" i="1"/>
  <c r="EB216" i="1"/>
  <c r="DZ216" i="1"/>
  <c r="DX216" i="1"/>
  <c r="DV216" i="1"/>
  <c r="DT216" i="1"/>
  <c r="DR216" i="1"/>
  <c r="DP216" i="1"/>
  <c r="DE216" i="1"/>
  <c r="DD216" i="1"/>
  <c r="DB216" i="1"/>
  <c r="DA216" i="1"/>
  <c r="DJ216" i="1" s="1"/>
  <c r="CZ216" i="1"/>
  <c r="CY216" i="1"/>
  <c r="DH216" i="1" s="1"/>
  <c r="CX216" i="1"/>
  <c r="CL216" i="1"/>
  <c r="CJ216" i="1"/>
  <c r="CH216" i="1"/>
  <c r="CF216" i="1"/>
  <c r="CD216" i="1"/>
  <c r="CB216" i="1"/>
  <c r="BZ216" i="1"/>
  <c r="BX216" i="1"/>
  <c r="BV216" i="1"/>
  <c r="BT216" i="1"/>
  <c r="BR216" i="1"/>
  <c r="BP216" i="1"/>
  <c r="BN216" i="1"/>
  <c r="BL216" i="1"/>
  <c r="BK216" i="1"/>
  <c r="BJ216" i="1"/>
  <c r="BH216" i="1"/>
  <c r="BF216" i="1"/>
  <c r="BD216" i="1"/>
  <c r="BB216" i="1"/>
  <c r="AZ216" i="1"/>
  <c r="AX216" i="1"/>
  <c r="AV216" i="1"/>
  <c r="AT216" i="1"/>
  <c r="AS216" i="1"/>
  <c r="AS534" i="1" s="1"/>
  <c r="AR216" i="1"/>
  <c r="AP216" i="1"/>
  <c r="AN216" i="1"/>
  <c r="AL216" i="1"/>
  <c r="AJ216" i="1"/>
  <c r="AH216" i="1"/>
  <c r="AF216" i="1"/>
  <c r="AD216" i="1"/>
  <c r="AB216" i="1"/>
  <c r="Z216" i="1"/>
  <c r="X216" i="1"/>
  <c r="V216" i="1"/>
  <c r="T216" i="1"/>
  <c r="R216" i="1"/>
  <c r="P216" i="1"/>
  <c r="N216" i="1"/>
  <c r="L216" i="1"/>
  <c r="GQ210" i="1"/>
  <c r="GO210" i="1"/>
  <c r="GO208" i="1"/>
  <c r="GM210" i="1"/>
  <c r="GM208" i="1"/>
  <c r="GK210" i="1"/>
  <c r="GK208" i="1"/>
  <c r="GI210" i="1"/>
  <c r="GI208" i="1"/>
  <c r="ES210" i="1"/>
  <c r="EQ210" i="1"/>
  <c r="EB210" i="1"/>
  <c r="DZ210" i="1"/>
  <c r="DZ208" i="1"/>
  <c r="DX210" i="1"/>
  <c r="DX208" i="1"/>
  <c r="DV210" i="1"/>
  <c r="DV208" i="1"/>
  <c r="DT210" i="1"/>
  <c r="DT208" i="1"/>
  <c r="DR210" i="1"/>
  <c r="DR208" i="1"/>
  <c r="DP210" i="1"/>
  <c r="DP208" i="1"/>
  <c r="DN210" i="1"/>
  <c r="DN208" i="1"/>
  <c r="DH210" i="1"/>
  <c r="DH208" i="1"/>
  <c r="DF210" i="1"/>
  <c r="DF208" i="1"/>
  <c r="GQ208" i="1"/>
  <c r="EQ208" i="1"/>
  <c r="EP208" i="1"/>
  <c r="EN208" i="1"/>
  <c r="EL208" i="1"/>
  <c r="EJ208" i="1"/>
  <c r="EH208" i="1"/>
  <c r="EF208" i="1"/>
  <c r="ED208" i="1"/>
  <c r="EB208" i="1"/>
  <c r="ES209" i="1"/>
  <c r="ES903" i="1" s="1"/>
  <c r="EU208" i="1"/>
  <c r="EV208" i="1" s="1"/>
  <c r="ES208" i="1"/>
  <c r="ET208" i="1" s="1"/>
  <c r="ER208" i="1"/>
  <c r="EU207" i="1"/>
  <c r="EU899" i="1" s="1"/>
  <c r="ES207" i="1"/>
  <c r="ES899" i="1" s="1"/>
  <c r="FG205" i="1"/>
  <c r="FF205" i="1"/>
  <c r="FE205" i="1"/>
  <c r="FD205" i="1"/>
  <c r="EH205" i="1"/>
  <c r="DW205" i="1"/>
  <c r="DM205" i="1"/>
  <c r="DI205" i="1"/>
  <c r="DE205" i="1"/>
  <c r="DA205" i="1"/>
  <c r="CW205" i="1"/>
  <c r="CS205" i="1"/>
  <c r="CO205" i="1"/>
  <c r="CK205" i="1"/>
  <c r="CG205" i="1"/>
  <c r="CC205" i="1"/>
  <c r="BY205" i="1"/>
  <c r="BU205" i="1"/>
  <c r="BQ205" i="1"/>
  <c r="BM205" i="1"/>
  <c r="BI205" i="1"/>
  <c r="BE205" i="1"/>
  <c r="BA205" i="1"/>
  <c r="AW205" i="1"/>
  <c r="AS205" i="1"/>
  <c r="AO205" i="1"/>
  <c r="AK205" i="1"/>
  <c r="AJ205" i="1"/>
  <c r="AI205" i="1"/>
  <c r="AG205" i="1"/>
  <c r="AF205" i="1"/>
  <c r="AE205" i="1"/>
  <c r="AC205" i="1"/>
  <c r="AB205" i="1"/>
  <c r="AA205" i="1"/>
  <c r="Y205" i="1"/>
  <c r="X205" i="1"/>
  <c r="W205" i="1"/>
  <c r="U205" i="1"/>
  <c r="T205" i="1"/>
  <c r="S205" i="1"/>
  <c r="Q205" i="1"/>
  <c r="P205" i="1"/>
  <c r="O205" i="1"/>
  <c r="M205" i="1"/>
  <c r="L205" i="1"/>
  <c r="K205" i="1"/>
  <c r="FE204" i="1"/>
  <c r="FE203" i="1"/>
  <c r="FE202" i="1"/>
  <c r="FE201" i="1"/>
  <c r="FE200" i="1"/>
  <c r="EP204" i="1"/>
  <c r="EO204" i="1"/>
  <c r="EO205" i="1" s="1"/>
  <c r="EM204" i="1"/>
  <c r="EM205" i="1" s="1"/>
  <c r="EL204" i="1"/>
  <c r="EK204" i="1"/>
  <c r="EK205" i="1" s="1"/>
  <c r="EI204" i="1"/>
  <c r="EJ204" i="1" s="1"/>
  <c r="EH204" i="1"/>
  <c r="EG204" i="1"/>
  <c r="EG205" i="1" s="1"/>
  <c r="EE204" i="1"/>
  <c r="EE205" i="1" s="1"/>
  <c r="ED204" i="1"/>
  <c r="EC204" i="1"/>
  <c r="EC205" i="1" s="1"/>
  <c r="EA204" i="1"/>
  <c r="EB204" i="1" s="1"/>
  <c r="DZ204" i="1"/>
  <c r="DY204" i="1"/>
  <c r="DY205" i="1" s="1"/>
  <c r="DW204" i="1"/>
  <c r="DX204" i="1" s="1"/>
  <c r="DV204" i="1"/>
  <c r="DU204" i="1"/>
  <c r="DU205" i="1" s="1"/>
  <c r="DS204" i="1"/>
  <c r="DT204" i="1" s="1"/>
  <c r="DR204" i="1"/>
  <c r="DQ204" i="1"/>
  <c r="DQ205" i="1" s="1"/>
  <c r="DO204" i="1"/>
  <c r="DO205" i="1" s="1"/>
  <c r="DN204" i="1"/>
  <c r="DM204" i="1"/>
  <c r="DK204" i="1"/>
  <c r="DK205" i="1" s="1"/>
  <c r="DJ204" i="1"/>
  <c r="DI204" i="1"/>
  <c r="DG204" i="1"/>
  <c r="DG205" i="1" s="1"/>
  <c r="DF204" i="1"/>
  <c r="DE204" i="1"/>
  <c r="DC204" i="1"/>
  <c r="DC205" i="1" s="1"/>
  <c r="DB204" i="1"/>
  <c r="DA204" i="1"/>
  <c r="CY204" i="1"/>
  <c r="CY205" i="1" s="1"/>
  <c r="CX204" i="1"/>
  <c r="CW204" i="1"/>
  <c r="CU204" i="1"/>
  <c r="CU205" i="1" s="1"/>
  <c r="CT204" i="1"/>
  <c r="CS204" i="1"/>
  <c r="CQ204" i="1"/>
  <c r="CQ205" i="1" s="1"/>
  <c r="CP204" i="1"/>
  <c r="CO204" i="1"/>
  <c r="CM204" i="1"/>
  <c r="CM205" i="1" s="1"/>
  <c r="CL204" i="1"/>
  <c r="CK204" i="1"/>
  <c r="CI204" i="1"/>
  <c r="CI205" i="1" s="1"/>
  <c r="CH204" i="1"/>
  <c r="CG204" i="1"/>
  <c r="CE204" i="1"/>
  <c r="CE205" i="1" s="1"/>
  <c r="CD204" i="1"/>
  <c r="CC204" i="1"/>
  <c r="CA204" i="1"/>
  <c r="CA205" i="1" s="1"/>
  <c r="BZ204" i="1"/>
  <c r="BY204" i="1"/>
  <c r="BW204" i="1"/>
  <c r="BW205" i="1" s="1"/>
  <c r="BV204" i="1"/>
  <c r="BU204" i="1"/>
  <c r="BS204" i="1"/>
  <c r="BS205" i="1" s="1"/>
  <c r="BR204" i="1"/>
  <c r="BQ204" i="1"/>
  <c r="BO204" i="1"/>
  <c r="BO205" i="1" s="1"/>
  <c r="BN204" i="1"/>
  <c r="BM204" i="1"/>
  <c r="BK204" i="1"/>
  <c r="BK205" i="1" s="1"/>
  <c r="BJ204" i="1"/>
  <c r="BI204" i="1"/>
  <c r="BG204" i="1"/>
  <c r="BG205" i="1" s="1"/>
  <c r="BF204" i="1"/>
  <c r="BE204" i="1"/>
  <c r="BC204" i="1"/>
  <c r="BC205" i="1" s="1"/>
  <c r="BB204" i="1"/>
  <c r="BA204" i="1"/>
  <c r="AY204" i="1"/>
  <c r="AY205" i="1" s="1"/>
  <c r="AX204" i="1"/>
  <c r="AW204" i="1"/>
  <c r="AU204" i="1"/>
  <c r="AU205" i="1" s="1"/>
  <c r="AT204" i="1"/>
  <c r="AS204" i="1"/>
  <c r="AQ204" i="1"/>
  <c r="AQ205" i="1" s="1"/>
  <c r="AP204" i="1"/>
  <c r="AO204" i="1"/>
  <c r="AM204" i="1"/>
  <c r="AM205" i="1" s="1"/>
  <c r="AL204" i="1"/>
  <c r="AK204" i="1"/>
  <c r="AJ204" i="1"/>
  <c r="AH204" i="1"/>
  <c r="AH203" i="1"/>
  <c r="AH202" i="1"/>
  <c r="AH201" i="1"/>
  <c r="AH200" i="1"/>
  <c r="AF204" i="1"/>
  <c r="AF203" i="1"/>
  <c r="AF202" i="1"/>
  <c r="AF201" i="1"/>
  <c r="AF200" i="1"/>
  <c r="AD204" i="1"/>
  <c r="AD203" i="1"/>
  <c r="AD202" i="1"/>
  <c r="AD201" i="1"/>
  <c r="AD200" i="1"/>
  <c r="AB204" i="1"/>
  <c r="AB203" i="1"/>
  <c r="AB202" i="1"/>
  <c r="AB201" i="1"/>
  <c r="AB200" i="1"/>
  <c r="Z204" i="1"/>
  <c r="Z203" i="1"/>
  <c r="Z202" i="1"/>
  <c r="Z201" i="1"/>
  <c r="Z200" i="1"/>
  <c r="X204" i="1"/>
  <c r="X203" i="1"/>
  <c r="X202" i="1"/>
  <c r="X201" i="1"/>
  <c r="X200" i="1"/>
  <c r="V204" i="1"/>
  <c r="V203" i="1"/>
  <c r="V202" i="1"/>
  <c r="V201" i="1"/>
  <c r="V200" i="1"/>
  <c r="T204" i="1"/>
  <c r="T203" i="1"/>
  <c r="T202" i="1"/>
  <c r="T201" i="1"/>
  <c r="T200" i="1"/>
  <c r="R204" i="1"/>
  <c r="R203" i="1"/>
  <c r="R202" i="1"/>
  <c r="R201" i="1"/>
  <c r="R200" i="1"/>
  <c r="P204" i="1"/>
  <c r="P203" i="1"/>
  <c r="P202" i="1"/>
  <c r="P201" i="1"/>
  <c r="P200" i="1"/>
  <c r="N204" i="1"/>
  <c r="N203" i="1"/>
  <c r="N202" i="1"/>
  <c r="N201" i="1"/>
  <c r="N200" i="1"/>
  <c r="L204" i="1"/>
  <c r="L203" i="1"/>
  <c r="L202" i="1"/>
  <c r="L201" i="1"/>
  <c r="L200" i="1"/>
  <c r="EN203" i="1"/>
  <c r="EN202" i="1"/>
  <c r="EN201" i="1"/>
  <c r="EN200" i="1"/>
  <c r="EL203" i="1"/>
  <c r="EL202" i="1"/>
  <c r="EL201" i="1"/>
  <c r="EL200" i="1"/>
  <c r="EJ203" i="1"/>
  <c r="EJ202" i="1"/>
  <c r="EJ201" i="1"/>
  <c r="EJ200" i="1"/>
  <c r="EH203" i="1"/>
  <c r="EH202" i="1"/>
  <c r="EH201" i="1"/>
  <c r="EH200" i="1"/>
  <c r="EF203" i="1"/>
  <c r="EF202" i="1"/>
  <c r="EF201" i="1"/>
  <c r="EF200" i="1"/>
  <c r="ED203" i="1"/>
  <c r="ED202" i="1"/>
  <c r="ED201" i="1"/>
  <c r="ED200" i="1"/>
  <c r="EB203" i="1"/>
  <c r="EB202" i="1"/>
  <c r="EB201" i="1"/>
  <c r="EB200" i="1"/>
  <c r="DZ203" i="1"/>
  <c r="DZ202" i="1"/>
  <c r="DZ201" i="1"/>
  <c r="DZ200" i="1"/>
  <c r="DX203" i="1"/>
  <c r="DX202" i="1"/>
  <c r="DX201" i="1"/>
  <c r="DX200" i="1"/>
  <c r="DV203" i="1"/>
  <c r="DV202" i="1"/>
  <c r="DV201" i="1"/>
  <c r="DV200" i="1"/>
  <c r="DT203" i="1"/>
  <c r="DT202" i="1"/>
  <c r="DT201" i="1"/>
  <c r="DT200" i="1"/>
  <c r="DR203" i="1"/>
  <c r="DR202" i="1"/>
  <c r="DR201" i="1"/>
  <c r="DR200" i="1"/>
  <c r="DP203" i="1"/>
  <c r="DP202" i="1"/>
  <c r="DP201" i="1"/>
  <c r="DP200" i="1"/>
  <c r="DN203" i="1"/>
  <c r="DN202" i="1"/>
  <c r="DN201" i="1"/>
  <c r="DN200" i="1"/>
  <c r="DL203" i="1"/>
  <c r="DL202" i="1"/>
  <c r="DL201" i="1"/>
  <c r="DL200" i="1"/>
  <c r="DJ203" i="1"/>
  <c r="DJ202" i="1"/>
  <c r="DJ201" i="1"/>
  <c r="DJ200" i="1"/>
  <c r="DH203" i="1"/>
  <c r="DH202" i="1"/>
  <c r="DH201" i="1"/>
  <c r="DH200" i="1"/>
  <c r="DF203" i="1"/>
  <c r="DF202" i="1"/>
  <c r="DF201" i="1"/>
  <c r="DF200" i="1"/>
  <c r="DD203" i="1"/>
  <c r="DD202" i="1"/>
  <c r="DD201" i="1"/>
  <c r="DD200" i="1"/>
  <c r="DB203" i="1"/>
  <c r="DB202" i="1"/>
  <c r="DB201" i="1"/>
  <c r="DB200" i="1"/>
  <c r="CZ203" i="1"/>
  <c r="CZ202" i="1"/>
  <c r="CZ201" i="1"/>
  <c r="CZ200" i="1"/>
  <c r="CX203" i="1"/>
  <c r="CX202" i="1"/>
  <c r="CX201" i="1"/>
  <c r="CX200" i="1"/>
  <c r="CV203" i="1"/>
  <c r="CV202" i="1"/>
  <c r="CV201" i="1"/>
  <c r="CV200" i="1"/>
  <c r="CT203" i="1"/>
  <c r="CT202" i="1"/>
  <c r="CT201" i="1"/>
  <c r="CT200" i="1"/>
  <c r="CR203" i="1"/>
  <c r="CR202" i="1"/>
  <c r="CR201" i="1"/>
  <c r="CR200" i="1"/>
  <c r="CP203" i="1"/>
  <c r="CP202" i="1"/>
  <c r="CP201" i="1"/>
  <c r="CP200" i="1"/>
  <c r="CN203" i="1"/>
  <c r="CN202" i="1"/>
  <c r="CN201" i="1"/>
  <c r="CN200" i="1"/>
  <c r="CL203" i="1"/>
  <c r="CL202" i="1"/>
  <c r="CL201" i="1"/>
  <c r="CL200" i="1"/>
  <c r="CJ203" i="1"/>
  <c r="CJ202" i="1"/>
  <c r="CJ201" i="1"/>
  <c r="CJ200" i="1"/>
  <c r="CH203" i="1"/>
  <c r="CH202" i="1"/>
  <c r="CH201" i="1"/>
  <c r="CH200" i="1"/>
  <c r="CF203" i="1"/>
  <c r="CF202" i="1"/>
  <c r="CF201" i="1"/>
  <c r="CF200" i="1"/>
  <c r="CD203" i="1"/>
  <c r="CD202" i="1"/>
  <c r="CD201" i="1"/>
  <c r="CD200" i="1"/>
  <c r="CB203" i="1"/>
  <c r="CB202" i="1"/>
  <c r="CB201" i="1"/>
  <c r="CB200" i="1"/>
  <c r="BZ203" i="1"/>
  <c r="BZ202" i="1"/>
  <c r="BZ201" i="1"/>
  <c r="BZ200" i="1"/>
  <c r="BX203" i="1"/>
  <c r="BX202" i="1"/>
  <c r="BX201" i="1"/>
  <c r="BX200" i="1"/>
  <c r="BV203" i="1"/>
  <c r="BV202" i="1"/>
  <c r="BV201" i="1"/>
  <c r="BV200" i="1"/>
  <c r="BT203" i="1"/>
  <c r="BT202" i="1"/>
  <c r="BT201" i="1"/>
  <c r="BT200" i="1"/>
  <c r="BR203" i="1"/>
  <c r="BR202" i="1"/>
  <c r="BR201" i="1"/>
  <c r="BR200" i="1"/>
  <c r="BP203" i="1"/>
  <c r="BP202" i="1"/>
  <c r="BP201" i="1"/>
  <c r="BP200" i="1"/>
  <c r="BN203" i="1"/>
  <c r="BN202" i="1"/>
  <c r="BN201" i="1"/>
  <c r="BN200" i="1"/>
  <c r="BL203" i="1"/>
  <c r="BL202" i="1"/>
  <c r="BL201" i="1"/>
  <c r="BL200" i="1"/>
  <c r="BJ203" i="1"/>
  <c r="BJ202" i="1"/>
  <c r="BJ201" i="1"/>
  <c r="BJ200" i="1"/>
  <c r="BH203" i="1"/>
  <c r="BH202" i="1"/>
  <c r="BH201" i="1"/>
  <c r="BH200" i="1"/>
  <c r="BF203" i="1"/>
  <c r="BF202" i="1"/>
  <c r="BF201" i="1"/>
  <c r="BF200" i="1"/>
  <c r="BD203" i="1"/>
  <c r="BD202" i="1"/>
  <c r="BD201" i="1"/>
  <c r="BD200" i="1"/>
  <c r="BB203" i="1"/>
  <c r="BB202" i="1"/>
  <c r="BB201" i="1"/>
  <c r="BB200" i="1"/>
  <c r="AZ203" i="1"/>
  <c r="AZ202" i="1"/>
  <c r="AZ201" i="1"/>
  <c r="AZ200" i="1"/>
  <c r="AX203" i="1"/>
  <c r="AX202" i="1"/>
  <c r="AX201" i="1"/>
  <c r="AX200" i="1"/>
  <c r="AV203" i="1"/>
  <c r="AV202" i="1"/>
  <c r="AV201" i="1"/>
  <c r="AV200" i="1"/>
  <c r="AT203" i="1"/>
  <c r="AT202" i="1"/>
  <c r="AT201" i="1"/>
  <c r="AT200" i="1"/>
  <c r="AR203" i="1"/>
  <c r="AR202" i="1"/>
  <c r="AR201" i="1"/>
  <c r="AR200" i="1"/>
  <c r="AP203" i="1"/>
  <c r="AP202" i="1"/>
  <c r="AP201" i="1"/>
  <c r="AP200" i="1"/>
  <c r="AN203" i="1"/>
  <c r="AN202" i="1"/>
  <c r="AN201" i="1"/>
  <c r="AN200" i="1"/>
  <c r="AL203" i="1"/>
  <c r="AL202" i="1"/>
  <c r="AL201" i="1"/>
  <c r="AL200" i="1"/>
  <c r="AJ203" i="1"/>
  <c r="AJ202" i="1"/>
  <c r="AJ201" i="1"/>
  <c r="AJ200" i="1"/>
  <c r="GN204" i="1"/>
  <c r="GO204" i="1" s="1"/>
  <c r="GM204" i="1"/>
  <c r="GL204" i="1"/>
  <c r="GJ204" i="1"/>
  <c r="GK204" i="1" s="1"/>
  <c r="GI204" i="1"/>
  <c r="GH204" i="1"/>
  <c r="GF204" i="1"/>
  <c r="GG204" i="1" s="1"/>
  <c r="GE204" i="1"/>
  <c r="GD204" i="1"/>
  <c r="GB204" i="1"/>
  <c r="GC204" i="1" s="1"/>
  <c r="GA204" i="1"/>
  <c r="FZ204" i="1"/>
  <c r="FX204" i="1"/>
  <c r="FY204" i="1" s="1"/>
  <c r="FW204" i="1"/>
  <c r="FV204" i="1"/>
  <c r="FT204" i="1"/>
  <c r="FU204" i="1" s="1"/>
  <c r="FS204" i="1"/>
  <c r="FR204" i="1"/>
  <c r="FP204" i="1"/>
  <c r="FQ204" i="1" s="1"/>
  <c r="FO204" i="1"/>
  <c r="FN204" i="1"/>
  <c r="FL204" i="1"/>
  <c r="FM204" i="1" s="1"/>
  <c r="FK204" i="1"/>
  <c r="FJ204" i="1"/>
  <c r="FH204" i="1"/>
  <c r="FI204" i="1" s="1"/>
  <c r="FG204" i="1"/>
  <c r="GO203" i="1"/>
  <c r="GN203" i="1"/>
  <c r="GL203" i="1"/>
  <c r="GM203" i="1" s="1"/>
  <c r="GK203" i="1"/>
  <c r="GJ203" i="1"/>
  <c r="GH203" i="1"/>
  <c r="GI203" i="1" s="1"/>
  <c r="GG203" i="1"/>
  <c r="GF203" i="1"/>
  <c r="GD203" i="1"/>
  <c r="GC203" i="1"/>
  <c r="GB203" i="1"/>
  <c r="FZ203" i="1"/>
  <c r="GA203" i="1" s="1"/>
  <c r="FY203" i="1"/>
  <c r="FX203" i="1"/>
  <c r="FV203" i="1"/>
  <c r="FU203" i="1"/>
  <c r="FT203" i="1"/>
  <c r="FR203" i="1"/>
  <c r="FS203" i="1" s="1"/>
  <c r="FQ203" i="1"/>
  <c r="FP203" i="1"/>
  <c r="FN203" i="1"/>
  <c r="FM203" i="1"/>
  <c r="FL203" i="1"/>
  <c r="FJ203" i="1"/>
  <c r="FI203" i="1"/>
  <c r="FH203" i="1"/>
  <c r="FG203" i="1"/>
  <c r="GN202" i="1"/>
  <c r="GO202" i="1" s="1"/>
  <c r="GM202" i="1"/>
  <c r="GL202" i="1"/>
  <c r="GJ202" i="1"/>
  <c r="GK202" i="1" s="1"/>
  <c r="GI202" i="1"/>
  <c r="GH202" i="1"/>
  <c r="GF202" i="1"/>
  <c r="GG202" i="1" s="1"/>
  <c r="GE202" i="1"/>
  <c r="GD202" i="1"/>
  <c r="GB202" i="1"/>
  <c r="GC202" i="1" s="1"/>
  <c r="GA202" i="1"/>
  <c r="FZ202" i="1"/>
  <c r="FX202" i="1"/>
  <c r="FY202" i="1" s="1"/>
  <c r="FW202" i="1"/>
  <c r="FV202" i="1"/>
  <c r="FT202" i="1"/>
  <c r="FU202" i="1" s="1"/>
  <c r="FS202" i="1"/>
  <c r="FR202" i="1"/>
  <c r="FP202" i="1"/>
  <c r="FQ202" i="1" s="1"/>
  <c r="FO202" i="1"/>
  <c r="FN202" i="1"/>
  <c r="FL202" i="1"/>
  <c r="FM202" i="1" s="1"/>
  <c r="FK202" i="1"/>
  <c r="FJ202" i="1"/>
  <c r="FH202" i="1"/>
  <c r="FI202" i="1" s="1"/>
  <c r="FG202" i="1"/>
  <c r="GO201" i="1"/>
  <c r="GN201" i="1"/>
  <c r="GL201" i="1"/>
  <c r="GM201" i="1" s="1"/>
  <c r="GK201" i="1"/>
  <c r="GJ201" i="1"/>
  <c r="GH201" i="1"/>
  <c r="GI201" i="1" s="1"/>
  <c r="GG201" i="1"/>
  <c r="GF201" i="1"/>
  <c r="GD201" i="1"/>
  <c r="GE201" i="1" s="1"/>
  <c r="GC201" i="1"/>
  <c r="GB201" i="1"/>
  <c r="FZ201" i="1"/>
  <c r="GA201" i="1" s="1"/>
  <c r="FY201" i="1"/>
  <c r="FX201" i="1"/>
  <c r="FV201" i="1"/>
  <c r="FW201" i="1" s="1"/>
  <c r="FU201" i="1"/>
  <c r="FT201" i="1"/>
  <c r="FR201" i="1"/>
  <c r="FS201" i="1" s="1"/>
  <c r="FQ201" i="1"/>
  <c r="FP201" i="1"/>
  <c r="FN201" i="1"/>
  <c r="FO201" i="1" s="1"/>
  <c r="FM201" i="1"/>
  <c r="FL201" i="1"/>
  <c r="FJ201" i="1"/>
  <c r="FK201" i="1" s="1"/>
  <c r="FI201" i="1"/>
  <c r="FH201" i="1"/>
  <c r="FG201" i="1"/>
  <c r="GN200" i="1"/>
  <c r="GN205" i="1" s="1"/>
  <c r="GM200" i="1"/>
  <c r="GL200" i="1"/>
  <c r="GJ200" i="1"/>
  <c r="GJ205" i="1" s="1"/>
  <c r="GI200" i="1"/>
  <c r="GH200" i="1"/>
  <c r="GF200" i="1"/>
  <c r="GE200" i="1"/>
  <c r="GD200" i="1"/>
  <c r="GB200" i="1"/>
  <c r="GA200" i="1"/>
  <c r="FZ200" i="1"/>
  <c r="FX200" i="1"/>
  <c r="FW200" i="1"/>
  <c r="FV200" i="1"/>
  <c r="FT200" i="1"/>
  <c r="FS200" i="1"/>
  <c r="FR200" i="1"/>
  <c r="FP200" i="1"/>
  <c r="FO200" i="1"/>
  <c r="FN200" i="1"/>
  <c r="FL200" i="1"/>
  <c r="FK200" i="1"/>
  <c r="FJ200" i="1"/>
  <c r="FH200" i="1"/>
  <c r="FG200" i="1"/>
  <c r="EP203" i="1"/>
  <c r="EW202" i="1"/>
  <c r="EX202" i="1" s="1"/>
  <c r="EV202" i="1"/>
  <c r="EU202" i="1"/>
  <c r="ES202" i="1"/>
  <c r="ET202" i="1" s="1"/>
  <c r="ER202" i="1"/>
  <c r="EQ202" i="1"/>
  <c r="GP202" i="1" s="1"/>
  <c r="EP202" i="1"/>
  <c r="EP201" i="1"/>
  <c r="EP200" i="1"/>
  <c r="EQ197" i="1"/>
  <c r="FE194" i="1"/>
  <c r="FM197" i="1"/>
  <c r="FM196" i="1"/>
  <c r="FM195" i="1"/>
  <c r="FG194" i="1"/>
  <c r="EU196" i="1"/>
  <c r="EW196" i="1" s="1"/>
  <c r="ES196" i="1"/>
  <c r="EU195" i="1"/>
  <c r="ES195" i="1"/>
  <c r="ES197" i="1" s="1"/>
  <c r="FG191" i="1"/>
  <c r="FF191" i="1"/>
  <c r="FF207" i="1" s="1"/>
  <c r="FG207" i="1" s="1"/>
  <c r="FD191" i="1"/>
  <c r="FD207" i="1" s="1"/>
  <c r="FE207" i="1" s="1"/>
  <c r="EP191" i="1"/>
  <c r="EO191" i="1"/>
  <c r="EO213" i="1" s="1"/>
  <c r="EM191" i="1"/>
  <c r="EM207" i="1" s="1"/>
  <c r="EM899" i="1" s="1"/>
  <c r="EL191" i="1"/>
  <c r="EK191" i="1"/>
  <c r="EK209" i="1" s="1"/>
  <c r="EI191" i="1"/>
  <c r="EI207" i="1" s="1"/>
  <c r="EI899" i="1" s="1"/>
  <c r="EH191" i="1"/>
  <c r="EG191" i="1"/>
  <c r="EG213" i="1" s="1"/>
  <c r="EE191" i="1"/>
  <c r="EE207" i="1" s="1"/>
  <c r="EE899" i="1" s="1"/>
  <c r="ED191" i="1"/>
  <c r="EC191" i="1"/>
  <c r="EC209" i="1" s="1"/>
  <c r="EA191" i="1"/>
  <c r="EA207" i="1" s="1"/>
  <c r="EA899" i="1" s="1"/>
  <c r="DZ191" i="1"/>
  <c r="DY191" i="1"/>
  <c r="DY209" i="1" s="1"/>
  <c r="DW191" i="1"/>
  <c r="DW207" i="1" s="1"/>
  <c r="DV191" i="1"/>
  <c r="DU191" i="1"/>
  <c r="DU209" i="1" s="1"/>
  <c r="DS191" i="1"/>
  <c r="DS207" i="1" s="1"/>
  <c r="DR191" i="1"/>
  <c r="DQ191" i="1"/>
  <c r="DQ209" i="1" s="1"/>
  <c r="DO191" i="1"/>
  <c r="DO207" i="1" s="1"/>
  <c r="DN191" i="1"/>
  <c r="DM191" i="1"/>
  <c r="DM209" i="1" s="1"/>
  <c r="DK191" i="1"/>
  <c r="DK209" i="1" s="1"/>
  <c r="DL209" i="1" s="1"/>
  <c r="DJ191" i="1"/>
  <c r="DI191" i="1"/>
  <c r="DI209" i="1" s="1"/>
  <c r="DJ209" i="1" s="1"/>
  <c r="DG191" i="1"/>
  <c r="DG207" i="1" s="1"/>
  <c r="DF191" i="1"/>
  <c r="DE191" i="1"/>
  <c r="DE209" i="1" s="1"/>
  <c r="DC191" i="1"/>
  <c r="DC209" i="1" s="1"/>
  <c r="DD209" i="1" s="1"/>
  <c r="DB191" i="1"/>
  <c r="DA191" i="1"/>
  <c r="DA209" i="1" s="1"/>
  <c r="DB209" i="1" s="1"/>
  <c r="CY191" i="1"/>
  <c r="CY209" i="1" s="1"/>
  <c r="CZ209" i="1" s="1"/>
  <c r="CX191" i="1"/>
  <c r="CW191" i="1"/>
  <c r="CW209" i="1" s="1"/>
  <c r="CX209" i="1" s="1"/>
  <c r="CU191" i="1"/>
  <c r="CU209" i="1" s="1"/>
  <c r="CV209" i="1" s="1"/>
  <c r="CT191" i="1"/>
  <c r="CS191" i="1"/>
  <c r="CS209" i="1" s="1"/>
  <c r="CT209" i="1" s="1"/>
  <c r="CQ191" i="1"/>
  <c r="CQ209" i="1" s="1"/>
  <c r="CR209" i="1" s="1"/>
  <c r="CP191" i="1"/>
  <c r="CO191" i="1"/>
  <c r="CO209" i="1" s="1"/>
  <c r="CP209" i="1" s="1"/>
  <c r="CM191" i="1"/>
  <c r="CM209" i="1" s="1"/>
  <c r="CN209" i="1" s="1"/>
  <c r="CL191" i="1"/>
  <c r="CK191" i="1"/>
  <c r="CK209" i="1" s="1"/>
  <c r="CL209" i="1" s="1"/>
  <c r="CI191" i="1"/>
  <c r="CI209" i="1" s="1"/>
  <c r="CJ209" i="1" s="1"/>
  <c r="CH191" i="1"/>
  <c r="CG191" i="1"/>
  <c r="CG209" i="1" s="1"/>
  <c r="CH209" i="1" s="1"/>
  <c r="CE191" i="1"/>
  <c r="CE209" i="1" s="1"/>
  <c r="CF209" i="1" s="1"/>
  <c r="CD191" i="1"/>
  <c r="CC191" i="1"/>
  <c r="CC209" i="1" s="1"/>
  <c r="CD209" i="1" s="1"/>
  <c r="CA191" i="1"/>
  <c r="CA209" i="1" s="1"/>
  <c r="CB209" i="1" s="1"/>
  <c r="BZ191" i="1"/>
  <c r="BY191" i="1"/>
  <c r="BY209" i="1" s="1"/>
  <c r="BZ209" i="1" s="1"/>
  <c r="BW191" i="1"/>
  <c r="BW209" i="1" s="1"/>
  <c r="BX209" i="1" s="1"/>
  <c r="BV191" i="1"/>
  <c r="BU191" i="1"/>
  <c r="BU209" i="1" s="1"/>
  <c r="BV209" i="1" s="1"/>
  <c r="BS191" i="1"/>
  <c r="BS209" i="1" s="1"/>
  <c r="BT209" i="1" s="1"/>
  <c r="BR191" i="1"/>
  <c r="BQ191" i="1"/>
  <c r="BQ209" i="1" s="1"/>
  <c r="BR209" i="1" s="1"/>
  <c r="BO191" i="1"/>
  <c r="BO209" i="1" s="1"/>
  <c r="BP209" i="1" s="1"/>
  <c r="BN191" i="1"/>
  <c r="BM191" i="1"/>
  <c r="BM209" i="1" s="1"/>
  <c r="BN209" i="1" s="1"/>
  <c r="BK191" i="1"/>
  <c r="BK209" i="1" s="1"/>
  <c r="BL209" i="1" s="1"/>
  <c r="BJ191" i="1"/>
  <c r="BI191" i="1"/>
  <c r="BI209" i="1" s="1"/>
  <c r="BJ209" i="1" s="1"/>
  <c r="BG191" i="1"/>
  <c r="BG209" i="1" s="1"/>
  <c r="BH209" i="1" s="1"/>
  <c r="BF191" i="1"/>
  <c r="BE191" i="1"/>
  <c r="BE209" i="1" s="1"/>
  <c r="BF209" i="1" s="1"/>
  <c r="BC191" i="1"/>
  <c r="BC209" i="1" s="1"/>
  <c r="BD209" i="1" s="1"/>
  <c r="BB191" i="1"/>
  <c r="BA191" i="1"/>
  <c r="BA209" i="1" s="1"/>
  <c r="BB209" i="1" s="1"/>
  <c r="AY191" i="1"/>
  <c r="AY209" i="1" s="1"/>
  <c r="AZ209" i="1" s="1"/>
  <c r="AX191" i="1"/>
  <c r="AW191" i="1"/>
  <c r="AW209" i="1" s="1"/>
  <c r="AX209" i="1" s="1"/>
  <c r="AU191" i="1"/>
  <c r="AU209" i="1" s="1"/>
  <c r="AV209" i="1" s="1"/>
  <c r="AT191" i="1"/>
  <c r="AS191" i="1"/>
  <c r="AS209" i="1" s="1"/>
  <c r="AT209" i="1" s="1"/>
  <c r="AQ191" i="1"/>
  <c r="AQ209" i="1" s="1"/>
  <c r="AR209" i="1" s="1"/>
  <c r="AP191" i="1"/>
  <c r="AO191" i="1"/>
  <c r="AO209" i="1" s="1"/>
  <c r="AP209" i="1" s="1"/>
  <c r="AM191" i="1"/>
  <c r="AM209" i="1" s="1"/>
  <c r="AN209" i="1" s="1"/>
  <c r="AL191" i="1"/>
  <c r="AK191" i="1"/>
  <c r="AK209" i="1" s="1"/>
  <c r="AL209" i="1" s="1"/>
  <c r="AI191" i="1"/>
  <c r="AI209" i="1" s="1"/>
  <c r="AJ209" i="1" s="1"/>
  <c r="AH191" i="1"/>
  <c r="AG191" i="1"/>
  <c r="AG209" i="1" s="1"/>
  <c r="AH209" i="1" s="1"/>
  <c r="AE191" i="1"/>
  <c r="AE209" i="1" s="1"/>
  <c r="AF209" i="1" s="1"/>
  <c r="AD191" i="1"/>
  <c r="AC191" i="1"/>
  <c r="AC209" i="1" s="1"/>
  <c r="AD209" i="1" s="1"/>
  <c r="AA191" i="1"/>
  <c r="AA209" i="1" s="1"/>
  <c r="AB209" i="1" s="1"/>
  <c r="Z191" i="1"/>
  <c r="Y191" i="1"/>
  <c r="Y209" i="1" s="1"/>
  <c r="Z209" i="1" s="1"/>
  <c r="W191" i="1"/>
  <c r="W209" i="1" s="1"/>
  <c r="X209" i="1" s="1"/>
  <c r="V191" i="1"/>
  <c r="U191" i="1"/>
  <c r="U209" i="1" s="1"/>
  <c r="V209" i="1" s="1"/>
  <c r="S191" i="1"/>
  <c r="S209" i="1" s="1"/>
  <c r="T209" i="1" s="1"/>
  <c r="R191" i="1"/>
  <c r="Q191" i="1"/>
  <c r="Q209" i="1" s="1"/>
  <c r="R209" i="1" s="1"/>
  <c r="O191" i="1"/>
  <c r="O209" i="1" s="1"/>
  <c r="P209" i="1" s="1"/>
  <c r="N191" i="1"/>
  <c r="M191" i="1"/>
  <c r="M209" i="1" s="1"/>
  <c r="N209" i="1" s="1"/>
  <c r="K191" i="1"/>
  <c r="K209" i="1" s="1"/>
  <c r="L209" i="1" s="1"/>
  <c r="FW190" i="1"/>
  <c r="FU190" i="1"/>
  <c r="FT190" i="1"/>
  <c r="FR190" i="1"/>
  <c r="FS190" i="1" s="1"/>
  <c r="FQ190" i="1"/>
  <c r="FP190" i="1"/>
  <c r="FN190" i="1"/>
  <c r="FO190" i="1" s="1"/>
  <c r="FM190" i="1"/>
  <c r="FL190" i="1"/>
  <c r="FJ190" i="1"/>
  <c r="FK190" i="1" s="1"/>
  <c r="FI190" i="1"/>
  <c r="FH190" i="1"/>
  <c r="FG190" i="1"/>
  <c r="FE190" i="1"/>
  <c r="FE189" i="1"/>
  <c r="FE188" i="1"/>
  <c r="FE187" i="1"/>
  <c r="EN190" i="1"/>
  <c r="EN189" i="1"/>
  <c r="EN188" i="1"/>
  <c r="EN187" i="1"/>
  <c r="EL190" i="1"/>
  <c r="EL189" i="1"/>
  <c r="EL188" i="1"/>
  <c r="EL187" i="1"/>
  <c r="EJ190" i="1"/>
  <c r="EJ189" i="1"/>
  <c r="EJ188" i="1"/>
  <c r="EJ187" i="1"/>
  <c r="EH190" i="1"/>
  <c r="EH189" i="1"/>
  <c r="EH188" i="1"/>
  <c r="EH187" i="1"/>
  <c r="EF190" i="1"/>
  <c r="EF189" i="1"/>
  <c r="EF188" i="1"/>
  <c r="EF187" i="1"/>
  <c r="ED190" i="1"/>
  <c r="ED189" i="1"/>
  <c r="ED188" i="1"/>
  <c r="ED187" i="1"/>
  <c r="EB190" i="1"/>
  <c r="EB189" i="1"/>
  <c r="EB188" i="1"/>
  <c r="EB187" i="1"/>
  <c r="DZ190" i="1"/>
  <c r="DZ189" i="1"/>
  <c r="DZ188" i="1"/>
  <c r="DZ187" i="1"/>
  <c r="DX190" i="1"/>
  <c r="DX189" i="1"/>
  <c r="DX188" i="1"/>
  <c r="DX187" i="1"/>
  <c r="DV190" i="1"/>
  <c r="DV189" i="1"/>
  <c r="DV188" i="1"/>
  <c r="DV187" i="1"/>
  <c r="DT190" i="1"/>
  <c r="DT189" i="1"/>
  <c r="DT188" i="1"/>
  <c r="DT187" i="1"/>
  <c r="DR190" i="1"/>
  <c r="DR189" i="1"/>
  <c r="DR188" i="1"/>
  <c r="DR187" i="1"/>
  <c r="DP190" i="1"/>
  <c r="DP189" i="1"/>
  <c r="DP188" i="1"/>
  <c r="DP187" i="1"/>
  <c r="DN190" i="1"/>
  <c r="DN189" i="1"/>
  <c r="DN188" i="1"/>
  <c r="DN187" i="1"/>
  <c r="DL190" i="1"/>
  <c r="DL189" i="1"/>
  <c r="DL188" i="1"/>
  <c r="DJ190" i="1"/>
  <c r="DJ189" i="1"/>
  <c r="DJ188" i="1"/>
  <c r="DJ187" i="1"/>
  <c r="DL187" i="1" s="1"/>
  <c r="DH190" i="1"/>
  <c r="DH189" i="1"/>
  <c r="DH188" i="1"/>
  <c r="DH187" i="1"/>
  <c r="DF190" i="1"/>
  <c r="DF189" i="1"/>
  <c r="DF188" i="1"/>
  <c r="DF187" i="1"/>
  <c r="DD190" i="1"/>
  <c r="DD189" i="1"/>
  <c r="DD188" i="1"/>
  <c r="DD187" i="1"/>
  <c r="DB190" i="1"/>
  <c r="DB189" i="1"/>
  <c r="DB188" i="1"/>
  <c r="DB187" i="1"/>
  <c r="CZ190" i="1"/>
  <c r="CZ189" i="1"/>
  <c r="CZ188" i="1"/>
  <c r="CZ187" i="1"/>
  <c r="CX190" i="1"/>
  <c r="CX189" i="1"/>
  <c r="CX188" i="1"/>
  <c r="CX187" i="1"/>
  <c r="CV190" i="1"/>
  <c r="CV189" i="1"/>
  <c r="CV188" i="1"/>
  <c r="CV187" i="1"/>
  <c r="CT190" i="1"/>
  <c r="CT189" i="1"/>
  <c r="CT188" i="1"/>
  <c r="CT187" i="1"/>
  <c r="CR190" i="1"/>
  <c r="CR189" i="1"/>
  <c r="CR188" i="1"/>
  <c r="CR187" i="1"/>
  <c r="CP190" i="1"/>
  <c r="CP189" i="1"/>
  <c r="CP188" i="1"/>
  <c r="CP187" i="1"/>
  <c r="CN190" i="1"/>
  <c r="CN189" i="1"/>
  <c r="CN188" i="1"/>
  <c r="CN187" i="1"/>
  <c r="CL190" i="1"/>
  <c r="CL189" i="1"/>
  <c r="CL188" i="1"/>
  <c r="CL187" i="1"/>
  <c r="CJ190" i="1"/>
  <c r="CJ189" i="1"/>
  <c r="CJ188" i="1"/>
  <c r="CJ187" i="1"/>
  <c r="CH190" i="1"/>
  <c r="CH189" i="1"/>
  <c r="CH188" i="1"/>
  <c r="CH187" i="1"/>
  <c r="CF190" i="1"/>
  <c r="CF189" i="1"/>
  <c r="CF188" i="1"/>
  <c r="CF187" i="1"/>
  <c r="CD190" i="1"/>
  <c r="CD189" i="1"/>
  <c r="CD188" i="1"/>
  <c r="CD187" i="1"/>
  <c r="CB190" i="1"/>
  <c r="CB189" i="1"/>
  <c r="CB188" i="1"/>
  <c r="CB187" i="1"/>
  <c r="BZ190" i="1"/>
  <c r="BZ189" i="1"/>
  <c r="BZ188" i="1"/>
  <c r="BZ187" i="1"/>
  <c r="BX190" i="1"/>
  <c r="BX189" i="1"/>
  <c r="BX188" i="1"/>
  <c r="BX187" i="1"/>
  <c r="BV190" i="1"/>
  <c r="BV189" i="1"/>
  <c r="BV188" i="1"/>
  <c r="BV187" i="1"/>
  <c r="BT190" i="1"/>
  <c r="BT189" i="1"/>
  <c r="BT188" i="1"/>
  <c r="BT187" i="1"/>
  <c r="BR190" i="1"/>
  <c r="BR189" i="1"/>
  <c r="BR188" i="1"/>
  <c r="BR187" i="1"/>
  <c r="BP190" i="1"/>
  <c r="BP189" i="1"/>
  <c r="BP188" i="1"/>
  <c r="BP187" i="1"/>
  <c r="BN190" i="1"/>
  <c r="BN189" i="1"/>
  <c r="BN188" i="1"/>
  <c r="BN187" i="1"/>
  <c r="BL190" i="1"/>
  <c r="BL189" i="1"/>
  <c r="BL188" i="1"/>
  <c r="BL187" i="1"/>
  <c r="BJ190" i="1"/>
  <c r="BJ189" i="1"/>
  <c r="BJ188" i="1"/>
  <c r="BJ187" i="1"/>
  <c r="BH190" i="1"/>
  <c r="BH189" i="1"/>
  <c r="BH188" i="1"/>
  <c r="BH187" i="1"/>
  <c r="BF190" i="1"/>
  <c r="BF189" i="1"/>
  <c r="BF188" i="1"/>
  <c r="BF187" i="1"/>
  <c r="BD190" i="1"/>
  <c r="BD189" i="1"/>
  <c r="BD188" i="1"/>
  <c r="BD187" i="1"/>
  <c r="BB190" i="1"/>
  <c r="BB189" i="1"/>
  <c r="BB188" i="1"/>
  <c r="BB187" i="1"/>
  <c r="AZ190" i="1"/>
  <c r="AZ189" i="1"/>
  <c r="AZ188" i="1"/>
  <c r="AZ187" i="1"/>
  <c r="AX190" i="1"/>
  <c r="AX189" i="1"/>
  <c r="AX188" i="1"/>
  <c r="AX187" i="1"/>
  <c r="AV190" i="1"/>
  <c r="AV189" i="1"/>
  <c r="AV188" i="1"/>
  <c r="AV187" i="1"/>
  <c r="AT190" i="1"/>
  <c r="AT189" i="1"/>
  <c r="AT188" i="1"/>
  <c r="AT187" i="1"/>
  <c r="AR190" i="1"/>
  <c r="AR189" i="1"/>
  <c r="AR188" i="1"/>
  <c r="AR187" i="1"/>
  <c r="AP190" i="1"/>
  <c r="AP189" i="1"/>
  <c r="AP188" i="1"/>
  <c r="AP187" i="1"/>
  <c r="AN190" i="1"/>
  <c r="AN189" i="1"/>
  <c r="AN188" i="1"/>
  <c r="AN187" i="1"/>
  <c r="AL190" i="1"/>
  <c r="AL189" i="1"/>
  <c r="AL188" i="1"/>
  <c r="AL187" i="1"/>
  <c r="AJ190" i="1"/>
  <c r="AJ189" i="1"/>
  <c r="AJ188" i="1"/>
  <c r="AJ187" i="1"/>
  <c r="AH190" i="1"/>
  <c r="AH189" i="1"/>
  <c r="AH188" i="1"/>
  <c r="AH187" i="1"/>
  <c r="AF190" i="1"/>
  <c r="AF189" i="1"/>
  <c r="AF188" i="1"/>
  <c r="AF187" i="1"/>
  <c r="AD190" i="1"/>
  <c r="AD189" i="1"/>
  <c r="AD188" i="1"/>
  <c r="AD187" i="1"/>
  <c r="AB190" i="1"/>
  <c r="AB189" i="1"/>
  <c r="AB188" i="1"/>
  <c r="AB187" i="1"/>
  <c r="Z190" i="1"/>
  <c r="Z189" i="1"/>
  <c r="Z188" i="1"/>
  <c r="Z187" i="1"/>
  <c r="X190" i="1"/>
  <c r="X189" i="1"/>
  <c r="X188" i="1"/>
  <c r="X187" i="1"/>
  <c r="V190" i="1"/>
  <c r="V189" i="1"/>
  <c r="V188" i="1"/>
  <c r="V187" i="1"/>
  <c r="T190" i="1"/>
  <c r="T189" i="1"/>
  <c r="T188" i="1"/>
  <c r="T187" i="1"/>
  <c r="R190" i="1"/>
  <c r="R189" i="1"/>
  <c r="R188" i="1"/>
  <c r="R187" i="1"/>
  <c r="P190" i="1"/>
  <c r="P189" i="1"/>
  <c r="P188" i="1"/>
  <c r="P187" i="1"/>
  <c r="N190" i="1"/>
  <c r="N189" i="1"/>
  <c r="N188" i="1"/>
  <c r="N187" i="1"/>
  <c r="L190" i="1"/>
  <c r="L189" i="1"/>
  <c r="L188" i="1"/>
  <c r="L187" i="1"/>
  <c r="FX189" i="1"/>
  <c r="FX188" i="1"/>
  <c r="FX187" i="1"/>
  <c r="FX191" i="1" s="1"/>
  <c r="GN190" i="1"/>
  <c r="GL190" i="1"/>
  <c r="GM190" i="1" s="1"/>
  <c r="GJ190" i="1"/>
  <c r="GH190" i="1"/>
  <c r="GI190" i="1" s="1"/>
  <c r="GF190" i="1"/>
  <c r="GD190" i="1"/>
  <c r="GE190" i="1" s="1"/>
  <c r="GB190" i="1"/>
  <c r="FZ190" i="1"/>
  <c r="GA190" i="1" s="1"/>
  <c r="FY190" i="1"/>
  <c r="GN189" i="1"/>
  <c r="GL189" i="1"/>
  <c r="GM189" i="1" s="1"/>
  <c r="GJ189" i="1"/>
  <c r="GH189" i="1"/>
  <c r="GI189" i="1" s="1"/>
  <c r="GF189" i="1"/>
  <c r="GD189" i="1"/>
  <c r="GE189" i="1" s="1"/>
  <c r="GB189" i="1"/>
  <c r="FZ189" i="1"/>
  <c r="GA189" i="1" s="1"/>
  <c r="FY189" i="1"/>
  <c r="GN188" i="1"/>
  <c r="GL188" i="1"/>
  <c r="GM188" i="1" s="1"/>
  <c r="GJ188" i="1"/>
  <c r="GH188" i="1"/>
  <c r="GI188" i="1" s="1"/>
  <c r="GF188" i="1"/>
  <c r="GD188" i="1"/>
  <c r="GE188" i="1" s="1"/>
  <c r="GB188" i="1"/>
  <c r="FZ188" i="1"/>
  <c r="GA188" i="1" s="1"/>
  <c r="GN187" i="1"/>
  <c r="GN191" i="1" s="1"/>
  <c r="GL187" i="1"/>
  <c r="GM187" i="1" s="1"/>
  <c r="GJ187" i="1"/>
  <c r="GJ191" i="1" s="1"/>
  <c r="GH187" i="1"/>
  <c r="GI187" i="1" s="1"/>
  <c r="GF187" i="1"/>
  <c r="GF191" i="1" s="1"/>
  <c r="GD187" i="1"/>
  <c r="GE187" i="1" s="1"/>
  <c r="GB187" i="1"/>
  <c r="GB191" i="1" s="1"/>
  <c r="FZ187" i="1"/>
  <c r="GA187" i="1" s="1"/>
  <c r="FY187" i="1"/>
  <c r="FV189" i="1"/>
  <c r="FT189" i="1"/>
  <c r="FR189" i="1"/>
  <c r="FP189" i="1"/>
  <c r="FN189" i="1"/>
  <c r="FL189" i="1"/>
  <c r="FM189" i="1" s="1"/>
  <c r="FJ189" i="1"/>
  <c r="FH189" i="1"/>
  <c r="FI189" i="1" s="1"/>
  <c r="FG189" i="1"/>
  <c r="FV188" i="1"/>
  <c r="FW188" i="1" s="1"/>
  <c r="FT188" i="1"/>
  <c r="FR188" i="1"/>
  <c r="FP188" i="1"/>
  <c r="FN188" i="1"/>
  <c r="FL188" i="1"/>
  <c r="FM188" i="1" s="1"/>
  <c r="FJ188" i="1"/>
  <c r="FH188" i="1"/>
  <c r="FI188" i="1" s="1"/>
  <c r="FG188" i="1"/>
  <c r="FV187" i="1"/>
  <c r="FW187" i="1" s="1"/>
  <c r="FT187" i="1"/>
  <c r="FT191" i="1" s="1"/>
  <c r="FR187" i="1"/>
  <c r="FR191" i="1" s="1"/>
  <c r="FP187" i="1"/>
  <c r="FP191" i="1" s="1"/>
  <c r="FN187" i="1"/>
  <c r="FN191" i="1" s="1"/>
  <c r="FL187" i="1"/>
  <c r="FL191" i="1" s="1"/>
  <c r="FJ187" i="1"/>
  <c r="FJ191" i="1" s="1"/>
  <c r="FH187" i="1"/>
  <c r="FH191" i="1" s="1"/>
  <c r="FG187" i="1"/>
  <c r="EP190" i="1"/>
  <c r="EP189" i="1"/>
  <c r="EP188" i="1"/>
  <c r="EQ187" i="1"/>
  <c r="ES187" i="1" s="1"/>
  <c r="EP187" i="1"/>
  <c r="GZ183" i="1"/>
  <c r="FE181" i="1"/>
  <c r="FE180" i="1"/>
  <c r="FE179" i="1"/>
  <c r="FG181" i="1"/>
  <c r="FL180" i="1"/>
  <c r="FJ180" i="1"/>
  <c r="FK180" i="1" s="1"/>
  <c r="FI180" i="1"/>
  <c r="FH180" i="1"/>
  <c r="FG180" i="1"/>
  <c r="FL179" i="1"/>
  <c r="FM179" i="1" s="1"/>
  <c r="FK179" i="1"/>
  <c r="FJ179" i="1"/>
  <c r="FH179" i="1"/>
  <c r="FI179" i="1" s="1"/>
  <c r="FG179" i="1"/>
  <c r="GT177" i="1"/>
  <c r="GV177" i="1" s="1"/>
  <c r="GX177" i="1" s="1"/>
  <c r="GY175" i="1"/>
  <c r="GY174" i="1"/>
  <c r="GW175" i="1"/>
  <c r="GW174" i="1"/>
  <c r="GU175" i="1"/>
  <c r="GU174" i="1"/>
  <c r="FN175" i="1"/>
  <c r="FD174" i="1"/>
  <c r="FB176" i="1"/>
  <c r="FB175" i="1"/>
  <c r="FB174" i="1"/>
  <c r="ES177" i="1"/>
  <c r="EU177" i="1" s="1"/>
  <c r="AI176" i="1"/>
  <c r="AI175" i="1"/>
  <c r="AI174" i="1"/>
  <c r="FG172" i="1"/>
  <c r="FF172" i="1"/>
  <c r="FD172" i="1"/>
  <c r="FE172" i="1" s="1"/>
  <c r="FB172" i="1"/>
  <c r="EP172" i="1"/>
  <c r="EO172" i="1"/>
  <c r="EM172" i="1"/>
  <c r="EN172" i="1" s="1"/>
  <c r="EL172" i="1"/>
  <c r="EK172" i="1"/>
  <c r="EI172" i="1"/>
  <c r="EJ172" i="1" s="1"/>
  <c r="EH172" i="1"/>
  <c r="EG172" i="1"/>
  <c r="EE172" i="1"/>
  <c r="EF172" i="1" s="1"/>
  <c r="ED172" i="1"/>
  <c r="EC172" i="1"/>
  <c r="EA172" i="1"/>
  <c r="EB172" i="1" s="1"/>
  <c r="DZ172" i="1"/>
  <c r="DY172" i="1"/>
  <c r="DW172" i="1"/>
  <c r="DX172" i="1" s="1"/>
  <c r="DV172" i="1"/>
  <c r="DU172" i="1"/>
  <c r="DS172" i="1"/>
  <c r="DT172" i="1" s="1"/>
  <c r="DR172" i="1"/>
  <c r="DQ172" i="1"/>
  <c r="DO172" i="1"/>
  <c r="DP172" i="1" s="1"/>
  <c r="DN172" i="1"/>
  <c r="DM172" i="1"/>
  <c r="DK172" i="1"/>
  <c r="DL172" i="1" s="1"/>
  <c r="DJ172" i="1"/>
  <c r="DI172" i="1"/>
  <c r="DG172" i="1"/>
  <c r="DH172" i="1" s="1"/>
  <c r="DF172" i="1"/>
  <c r="DE172" i="1"/>
  <c r="DC172" i="1"/>
  <c r="DD172" i="1" s="1"/>
  <c r="DB172" i="1"/>
  <c r="DA172" i="1"/>
  <c r="CY172" i="1"/>
  <c r="CZ172" i="1" s="1"/>
  <c r="CX172" i="1"/>
  <c r="CW172" i="1"/>
  <c r="CU172" i="1"/>
  <c r="CV172" i="1" s="1"/>
  <c r="CT172" i="1"/>
  <c r="CS172" i="1"/>
  <c r="CQ172" i="1"/>
  <c r="CR172" i="1" s="1"/>
  <c r="CP172" i="1"/>
  <c r="CO172" i="1"/>
  <c r="CM172" i="1"/>
  <c r="CN172" i="1" s="1"/>
  <c r="CL172" i="1"/>
  <c r="CK172" i="1"/>
  <c r="CI172" i="1"/>
  <c r="CJ172" i="1" s="1"/>
  <c r="CH172" i="1"/>
  <c r="CG172" i="1"/>
  <c r="CE172" i="1"/>
  <c r="CF172" i="1" s="1"/>
  <c r="CD172" i="1"/>
  <c r="CC172" i="1"/>
  <c r="CA172" i="1"/>
  <c r="CB172" i="1" s="1"/>
  <c r="BZ172" i="1"/>
  <c r="BY172" i="1"/>
  <c r="BW172" i="1"/>
  <c r="BX172" i="1" s="1"/>
  <c r="BV172" i="1"/>
  <c r="BU172" i="1"/>
  <c r="BS172" i="1"/>
  <c r="BT172" i="1" s="1"/>
  <c r="BR172" i="1"/>
  <c r="BQ172" i="1"/>
  <c r="BO172" i="1"/>
  <c r="BP172" i="1" s="1"/>
  <c r="BN172" i="1"/>
  <c r="BM172" i="1"/>
  <c r="BK172" i="1"/>
  <c r="BL172" i="1" s="1"/>
  <c r="BJ172" i="1"/>
  <c r="BI172" i="1"/>
  <c r="BG172" i="1"/>
  <c r="BH172" i="1" s="1"/>
  <c r="BF172" i="1"/>
  <c r="BE172" i="1"/>
  <c r="BC172" i="1"/>
  <c r="BD172" i="1" s="1"/>
  <c r="BB172" i="1"/>
  <c r="BA172" i="1"/>
  <c r="AY172" i="1"/>
  <c r="AZ172" i="1" s="1"/>
  <c r="AX172" i="1"/>
  <c r="AW172" i="1"/>
  <c r="AU172" i="1"/>
  <c r="AV172" i="1" s="1"/>
  <c r="AT172" i="1"/>
  <c r="AS172" i="1"/>
  <c r="AQ172" i="1"/>
  <c r="AP172" i="1"/>
  <c r="AO172" i="1"/>
  <c r="AM172" i="1"/>
  <c r="AL172" i="1"/>
  <c r="AK172" i="1"/>
  <c r="AI172" i="1"/>
  <c r="FB170" i="1"/>
  <c r="FB182" i="1" s="1"/>
  <c r="FB169" i="1"/>
  <c r="FD169" i="1"/>
  <c r="FD170" i="1" s="1"/>
  <c r="AI169" i="1"/>
  <c r="AI182" i="1" s="1"/>
  <c r="GW168" i="1"/>
  <c r="GU168" i="1"/>
  <c r="GQ168" i="1"/>
  <c r="GP168" i="1"/>
  <c r="GS168" i="1" s="1"/>
  <c r="GN168" i="1"/>
  <c r="GO168" i="1" s="1"/>
  <c r="GM168" i="1"/>
  <c r="GL168" i="1"/>
  <c r="GJ168" i="1"/>
  <c r="GK168" i="1" s="1"/>
  <c r="GI168" i="1"/>
  <c r="GH168" i="1"/>
  <c r="GF168" i="1"/>
  <c r="GG168" i="1" s="1"/>
  <c r="GE168" i="1"/>
  <c r="GD168" i="1"/>
  <c r="GB168" i="1"/>
  <c r="GC168" i="1" s="1"/>
  <c r="GA168" i="1"/>
  <c r="FZ168" i="1"/>
  <c r="FX168" i="1"/>
  <c r="FY168" i="1" s="1"/>
  <c r="FW168" i="1"/>
  <c r="FV168" i="1"/>
  <c r="FT168" i="1"/>
  <c r="FU168" i="1" s="1"/>
  <c r="FS168" i="1"/>
  <c r="FR168" i="1"/>
  <c r="FP168" i="1"/>
  <c r="FQ168" i="1" s="1"/>
  <c r="FL168" i="1"/>
  <c r="FM168" i="1" s="1"/>
  <c r="FK168" i="1"/>
  <c r="FJ168" i="1"/>
  <c r="FH168" i="1"/>
  <c r="FI168" i="1" s="1"/>
  <c r="FG168" i="1"/>
  <c r="FE168" i="1"/>
  <c r="FE167" i="1"/>
  <c r="FE166" i="1"/>
  <c r="FE165" i="1"/>
  <c r="EX168" i="1"/>
  <c r="EV168" i="1"/>
  <c r="ET168" i="1"/>
  <c r="ER168" i="1"/>
  <c r="EP168" i="1"/>
  <c r="EP167" i="1"/>
  <c r="EP166" i="1"/>
  <c r="EP165" i="1"/>
  <c r="EN168" i="1"/>
  <c r="EN167" i="1"/>
  <c r="EN166" i="1"/>
  <c r="EN165" i="1"/>
  <c r="EL168" i="1"/>
  <c r="EL167" i="1"/>
  <c r="EL166" i="1"/>
  <c r="EL165" i="1"/>
  <c r="EJ168" i="1"/>
  <c r="EJ167" i="1"/>
  <c r="EJ166" i="1"/>
  <c r="EJ165" i="1"/>
  <c r="EH168" i="1"/>
  <c r="EH167" i="1"/>
  <c r="EH166" i="1"/>
  <c r="EH165" i="1"/>
  <c r="EF168" i="1"/>
  <c r="EF167" i="1"/>
  <c r="EF166" i="1"/>
  <c r="EF165" i="1"/>
  <c r="ED168" i="1"/>
  <c r="ED167" i="1"/>
  <c r="ED166" i="1"/>
  <c r="ED165" i="1"/>
  <c r="EB168" i="1"/>
  <c r="EB167" i="1"/>
  <c r="EB166" i="1"/>
  <c r="EB165" i="1"/>
  <c r="DZ168" i="1"/>
  <c r="DZ167" i="1"/>
  <c r="DZ166" i="1"/>
  <c r="DZ165" i="1"/>
  <c r="DX168" i="1"/>
  <c r="DX167" i="1"/>
  <c r="DX166" i="1"/>
  <c r="DX165" i="1"/>
  <c r="DV168" i="1"/>
  <c r="DV167" i="1"/>
  <c r="DV166" i="1"/>
  <c r="DV165" i="1"/>
  <c r="DT168" i="1"/>
  <c r="DT167" i="1"/>
  <c r="DT166" i="1"/>
  <c r="DT165" i="1"/>
  <c r="DR168" i="1"/>
  <c r="DR167" i="1"/>
  <c r="DR166" i="1"/>
  <c r="DR165" i="1"/>
  <c r="DP168" i="1"/>
  <c r="DP167" i="1"/>
  <c r="DP166" i="1"/>
  <c r="DP165" i="1"/>
  <c r="DN168" i="1"/>
  <c r="DN167" i="1"/>
  <c r="DN166" i="1"/>
  <c r="DN165" i="1"/>
  <c r="DL168" i="1"/>
  <c r="DL167" i="1"/>
  <c r="DL166" i="1"/>
  <c r="DL165" i="1"/>
  <c r="DJ168" i="1"/>
  <c r="DJ167" i="1"/>
  <c r="DJ166" i="1"/>
  <c r="DJ165" i="1"/>
  <c r="DH168" i="1"/>
  <c r="DH167" i="1"/>
  <c r="DH166" i="1"/>
  <c r="DH165" i="1"/>
  <c r="DF168" i="1"/>
  <c r="DF167" i="1"/>
  <c r="DF166" i="1"/>
  <c r="DF165" i="1"/>
  <c r="DD168" i="1"/>
  <c r="DD167" i="1"/>
  <c r="DD166" i="1"/>
  <c r="DD165" i="1"/>
  <c r="DB168" i="1"/>
  <c r="DB167" i="1"/>
  <c r="DB166" i="1"/>
  <c r="DB165" i="1"/>
  <c r="CZ168" i="1"/>
  <c r="CZ167" i="1"/>
  <c r="CZ166" i="1"/>
  <c r="CZ165" i="1"/>
  <c r="CX168" i="1"/>
  <c r="CX167" i="1"/>
  <c r="CX166" i="1"/>
  <c r="CX165" i="1"/>
  <c r="CV168" i="1"/>
  <c r="CV167" i="1"/>
  <c r="CV166" i="1"/>
  <c r="CV165" i="1"/>
  <c r="CT168" i="1"/>
  <c r="CT167" i="1"/>
  <c r="CT166" i="1"/>
  <c r="CT165" i="1"/>
  <c r="CR168" i="1"/>
  <c r="CR167" i="1"/>
  <c r="CR166" i="1"/>
  <c r="CR165" i="1"/>
  <c r="CP168" i="1"/>
  <c r="CP167" i="1"/>
  <c r="CP166" i="1"/>
  <c r="CP165" i="1"/>
  <c r="CN168" i="1"/>
  <c r="CN167" i="1"/>
  <c r="CN166" i="1"/>
  <c r="CN165" i="1"/>
  <c r="CL168" i="1"/>
  <c r="CL167" i="1"/>
  <c r="CL166" i="1"/>
  <c r="CL165" i="1"/>
  <c r="CJ168" i="1"/>
  <c r="CJ167" i="1"/>
  <c r="CJ166" i="1"/>
  <c r="CJ165" i="1"/>
  <c r="CH168" i="1"/>
  <c r="CH167" i="1"/>
  <c r="CH166" i="1"/>
  <c r="CH165" i="1"/>
  <c r="CF168" i="1"/>
  <c r="CF167" i="1"/>
  <c r="CF166" i="1"/>
  <c r="CF165" i="1"/>
  <c r="CD168" i="1"/>
  <c r="CD167" i="1"/>
  <c r="CD166" i="1"/>
  <c r="CD165" i="1"/>
  <c r="CB168" i="1"/>
  <c r="CB167" i="1"/>
  <c r="CB166" i="1"/>
  <c r="CB165" i="1"/>
  <c r="BZ168" i="1"/>
  <c r="BZ167" i="1"/>
  <c r="BZ166" i="1"/>
  <c r="BZ165" i="1"/>
  <c r="BX168" i="1"/>
  <c r="BX167" i="1"/>
  <c r="BX166" i="1"/>
  <c r="BX165" i="1"/>
  <c r="BV168" i="1"/>
  <c r="BV167" i="1"/>
  <c r="BV166" i="1"/>
  <c r="BV165" i="1"/>
  <c r="BT168" i="1"/>
  <c r="BT167" i="1"/>
  <c r="BT166" i="1"/>
  <c r="BT165" i="1"/>
  <c r="BR168" i="1"/>
  <c r="BR167" i="1"/>
  <c r="BR166" i="1"/>
  <c r="BR165" i="1"/>
  <c r="BP168" i="1"/>
  <c r="BP167" i="1"/>
  <c r="BP166" i="1"/>
  <c r="BP165" i="1"/>
  <c r="BN168" i="1"/>
  <c r="BN167" i="1"/>
  <c r="BN166" i="1"/>
  <c r="BN165" i="1"/>
  <c r="BL168" i="1"/>
  <c r="BL167" i="1"/>
  <c r="BL166" i="1"/>
  <c r="BL165" i="1"/>
  <c r="BJ168" i="1"/>
  <c r="BJ167" i="1"/>
  <c r="BJ166" i="1"/>
  <c r="BJ165" i="1"/>
  <c r="BH168" i="1"/>
  <c r="BH167" i="1"/>
  <c r="BH166" i="1"/>
  <c r="BH165" i="1"/>
  <c r="BF168" i="1"/>
  <c r="BF167" i="1"/>
  <c r="BF166" i="1"/>
  <c r="BF165" i="1"/>
  <c r="BD168" i="1"/>
  <c r="BD167" i="1"/>
  <c r="BD166" i="1"/>
  <c r="BD165" i="1"/>
  <c r="BB168" i="1"/>
  <c r="BB167" i="1"/>
  <c r="BB166" i="1"/>
  <c r="BB165" i="1"/>
  <c r="AZ168" i="1"/>
  <c r="AZ167" i="1"/>
  <c r="AZ166" i="1"/>
  <c r="AZ165" i="1"/>
  <c r="AX168" i="1"/>
  <c r="AX167" i="1"/>
  <c r="AX166" i="1"/>
  <c r="AX165" i="1"/>
  <c r="AV168" i="1"/>
  <c r="AV167" i="1"/>
  <c r="AV166" i="1"/>
  <c r="AV165" i="1"/>
  <c r="AT168" i="1"/>
  <c r="AT167" i="1"/>
  <c r="AT166" i="1"/>
  <c r="AT165" i="1"/>
  <c r="AR168" i="1"/>
  <c r="AR167" i="1"/>
  <c r="AR166" i="1"/>
  <c r="AR165" i="1"/>
  <c r="AP168" i="1"/>
  <c r="AP167" i="1"/>
  <c r="AP166" i="1"/>
  <c r="AP165" i="1"/>
  <c r="AN168" i="1"/>
  <c r="AN167" i="1"/>
  <c r="AN166" i="1"/>
  <c r="AN165" i="1"/>
  <c r="AL168" i="1"/>
  <c r="AK168" i="1"/>
  <c r="FN168" i="1" s="1"/>
  <c r="FO168" i="1" s="1"/>
  <c r="AJ168" i="1"/>
  <c r="AL167" i="1"/>
  <c r="AL166" i="1"/>
  <c r="AL165" i="1"/>
  <c r="AJ167" i="1"/>
  <c r="AJ166" i="1"/>
  <c r="AJ165" i="1"/>
  <c r="AJ164" i="1"/>
  <c r="GO167" i="1"/>
  <c r="GN167" i="1"/>
  <c r="GM167" i="1"/>
  <c r="GL167" i="1"/>
  <c r="GK167" i="1"/>
  <c r="GJ167" i="1"/>
  <c r="GI167" i="1"/>
  <c r="GH167" i="1"/>
  <c r="GG167" i="1"/>
  <c r="GF167" i="1"/>
  <c r="GE167" i="1"/>
  <c r="GD167" i="1"/>
  <c r="GC167" i="1"/>
  <c r="GB167" i="1"/>
  <c r="GA167" i="1"/>
  <c r="FZ167" i="1"/>
  <c r="FY167" i="1"/>
  <c r="FX167" i="1"/>
  <c r="FW167" i="1"/>
  <c r="FV167" i="1"/>
  <c r="FU167" i="1"/>
  <c r="FT167" i="1"/>
  <c r="FS167" i="1"/>
  <c r="FR167" i="1"/>
  <c r="FQ167" i="1"/>
  <c r="FP167" i="1"/>
  <c r="FO167" i="1"/>
  <c r="FN167" i="1"/>
  <c r="FN176" i="1" s="1"/>
  <c r="FM167" i="1"/>
  <c r="FL167" i="1"/>
  <c r="FK167" i="1"/>
  <c r="FJ167" i="1"/>
  <c r="FI167" i="1"/>
  <c r="FH167" i="1"/>
  <c r="FG167" i="1"/>
  <c r="GO166" i="1"/>
  <c r="GN166" i="1"/>
  <c r="GM166" i="1"/>
  <c r="GL166" i="1"/>
  <c r="GK166" i="1"/>
  <c r="GJ166" i="1"/>
  <c r="GI166" i="1"/>
  <c r="GH166" i="1"/>
  <c r="GG166" i="1"/>
  <c r="GF166" i="1"/>
  <c r="GE166" i="1"/>
  <c r="GD166" i="1"/>
  <c r="GC166" i="1"/>
  <c r="GB166" i="1"/>
  <c r="GA166" i="1"/>
  <c r="FZ166" i="1"/>
  <c r="FY166" i="1"/>
  <c r="FX166" i="1"/>
  <c r="FW166" i="1"/>
  <c r="FV166" i="1"/>
  <c r="FU166" i="1"/>
  <c r="FT166" i="1"/>
  <c r="FS166" i="1"/>
  <c r="FR166" i="1"/>
  <c r="FQ166" i="1"/>
  <c r="FP166" i="1"/>
  <c r="FO166" i="1"/>
  <c r="FN166" i="1"/>
  <c r="FM166" i="1"/>
  <c r="FL166" i="1"/>
  <c r="FK166" i="1"/>
  <c r="FJ166" i="1"/>
  <c r="FI166" i="1"/>
  <c r="FH166" i="1"/>
  <c r="FG166" i="1"/>
  <c r="GO165" i="1"/>
  <c r="GN165" i="1"/>
  <c r="GN172" i="1" s="1"/>
  <c r="GM165" i="1"/>
  <c r="GL165" i="1"/>
  <c r="GK165" i="1"/>
  <c r="GJ165" i="1"/>
  <c r="GJ172" i="1" s="1"/>
  <c r="GI165" i="1"/>
  <c r="GH165" i="1"/>
  <c r="GG165" i="1"/>
  <c r="GF165" i="1"/>
  <c r="GE165" i="1"/>
  <c r="GD165" i="1"/>
  <c r="GC165" i="1"/>
  <c r="GB165" i="1"/>
  <c r="GB172" i="1" s="1"/>
  <c r="GA165" i="1"/>
  <c r="FZ165" i="1"/>
  <c r="FY165" i="1"/>
  <c r="FX165" i="1"/>
  <c r="FW165" i="1"/>
  <c r="FV165" i="1"/>
  <c r="FU165" i="1"/>
  <c r="FT165" i="1"/>
  <c r="FT172" i="1" s="1"/>
  <c r="FS165" i="1"/>
  <c r="FR165" i="1"/>
  <c r="FQ165" i="1"/>
  <c r="FP165" i="1"/>
  <c r="FO165" i="1"/>
  <c r="FN165" i="1"/>
  <c r="FM165" i="1"/>
  <c r="FL165" i="1"/>
  <c r="FK165" i="1"/>
  <c r="FJ165" i="1"/>
  <c r="FI165" i="1"/>
  <c r="FH165" i="1"/>
  <c r="FG165" i="1"/>
  <c r="GZ168" i="1"/>
  <c r="GY168" i="1"/>
  <c r="FF164" i="1"/>
  <c r="FF169" i="1" s="1"/>
  <c r="FD164" i="1"/>
  <c r="FD176" i="1" s="1"/>
  <c r="AK164" i="1"/>
  <c r="AK169" i="1" s="1"/>
  <c r="GT161" i="1"/>
  <c r="GV161" i="1" s="1"/>
  <c r="GX161" i="1" s="1"/>
  <c r="FD160" i="1"/>
  <c r="FB160" i="1"/>
  <c r="FB159" i="1"/>
  <c r="FB158" i="1"/>
  <c r="AK160" i="1"/>
  <c r="AI160" i="1"/>
  <c r="AI159" i="1"/>
  <c r="AI158" i="1"/>
  <c r="EW158" i="1"/>
  <c r="ES158" i="1"/>
  <c r="EQ158" i="1"/>
  <c r="FG156" i="1"/>
  <c r="FF156" i="1"/>
  <c r="FF184" i="1" s="1"/>
  <c r="FG184" i="1" s="1"/>
  <c r="FE156" i="1"/>
  <c r="FD156" i="1"/>
  <c r="FD184" i="1" s="1"/>
  <c r="FE184" i="1" s="1"/>
  <c r="FB156" i="1"/>
  <c r="FB184" i="1" s="1"/>
  <c r="EO156" i="1"/>
  <c r="EP156" i="1" s="1"/>
  <c r="EM156" i="1"/>
  <c r="EM184" i="1" s="1"/>
  <c r="EK156" i="1"/>
  <c r="EL156" i="1" s="1"/>
  <c r="EI156" i="1"/>
  <c r="EI184" i="1" s="1"/>
  <c r="EG156" i="1"/>
  <c r="EH156" i="1" s="1"/>
  <c r="EE156" i="1"/>
  <c r="EE184" i="1" s="1"/>
  <c r="EC156" i="1"/>
  <c r="ED156" i="1" s="1"/>
  <c r="EA156" i="1"/>
  <c r="EA184" i="1" s="1"/>
  <c r="DY156" i="1"/>
  <c r="DZ156" i="1" s="1"/>
  <c r="DW156" i="1"/>
  <c r="DW184" i="1" s="1"/>
  <c r="DU156" i="1"/>
  <c r="DV156" i="1" s="1"/>
  <c r="DS156" i="1"/>
  <c r="DS184" i="1" s="1"/>
  <c r="DQ156" i="1"/>
  <c r="DR156" i="1" s="1"/>
  <c r="DO156" i="1"/>
  <c r="DO184" i="1" s="1"/>
  <c r="DM156" i="1"/>
  <c r="DN156" i="1" s="1"/>
  <c r="DK156" i="1"/>
  <c r="DK184" i="1" s="1"/>
  <c r="DI156" i="1"/>
  <c r="DJ156" i="1" s="1"/>
  <c r="DG156" i="1"/>
  <c r="DG184" i="1" s="1"/>
  <c r="DE156" i="1"/>
  <c r="DF156" i="1" s="1"/>
  <c r="DC156" i="1"/>
  <c r="DC184" i="1" s="1"/>
  <c r="DA156" i="1"/>
  <c r="DB156" i="1" s="1"/>
  <c r="CY156" i="1"/>
  <c r="CY184" i="1" s="1"/>
  <c r="CW156" i="1"/>
  <c r="CX156" i="1" s="1"/>
  <c r="CU156" i="1"/>
  <c r="CU184" i="1" s="1"/>
  <c r="CS156" i="1"/>
  <c r="CT156" i="1" s="1"/>
  <c r="CQ156" i="1"/>
  <c r="CQ184" i="1" s="1"/>
  <c r="CO156" i="1"/>
  <c r="CP156" i="1" s="1"/>
  <c r="CM156" i="1"/>
  <c r="CM184" i="1" s="1"/>
  <c r="CK156" i="1"/>
  <c r="CL156" i="1" s="1"/>
  <c r="CI156" i="1"/>
  <c r="CI184" i="1" s="1"/>
  <c r="CG156" i="1"/>
  <c r="CH156" i="1" s="1"/>
  <c r="CE156" i="1"/>
  <c r="CE184" i="1" s="1"/>
  <c r="CC156" i="1"/>
  <c r="CD156" i="1" s="1"/>
  <c r="CA156" i="1"/>
  <c r="CA184" i="1" s="1"/>
  <c r="BY156" i="1"/>
  <c r="BZ156" i="1" s="1"/>
  <c r="BW156" i="1"/>
  <c r="BW184" i="1" s="1"/>
  <c r="BU156" i="1"/>
  <c r="BV156" i="1" s="1"/>
  <c r="BS156" i="1"/>
  <c r="BS184" i="1" s="1"/>
  <c r="BQ156" i="1"/>
  <c r="BR156" i="1" s="1"/>
  <c r="BO156" i="1"/>
  <c r="BO184" i="1" s="1"/>
  <c r="BM156" i="1"/>
  <c r="BN156" i="1" s="1"/>
  <c r="BK156" i="1"/>
  <c r="BK184" i="1" s="1"/>
  <c r="BI156" i="1"/>
  <c r="BJ156" i="1" s="1"/>
  <c r="BG156" i="1"/>
  <c r="BG184" i="1" s="1"/>
  <c r="BE156" i="1"/>
  <c r="BF156" i="1" s="1"/>
  <c r="BC156" i="1"/>
  <c r="BC184" i="1" s="1"/>
  <c r="BA156" i="1"/>
  <c r="BB156" i="1" s="1"/>
  <c r="AY156" i="1"/>
  <c r="AY184" i="1" s="1"/>
  <c r="AW156" i="1"/>
  <c r="AX156" i="1" s="1"/>
  <c r="AU156" i="1"/>
  <c r="AU184" i="1" s="1"/>
  <c r="AS156" i="1"/>
  <c r="AQ156" i="1"/>
  <c r="AQ184" i="1" s="1"/>
  <c r="AO156" i="1"/>
  <c r="AP156" i="1" s="1"/>
  <c r="AM156" i="1"/>
  <c r="AM184" i="1" s="1"/>
  <c r="AN184" i="1" s="1"/>
  <c r="AI156" i="1"/>
  <c r="AI184" i="1" s="1"/>
  <c r="AJ184" i="1" s="1"/>
  <c r="FH152" i="1"/>
  <c r="FH151" i="1"/>
  <c r="FH150" i="1"/>
  <c r="FG152" i="1"/>
  <c r="FG151" i="1"/>
  <c r="FG150" i="1"/>
  <c r="FE152" i="1"/>
  <c r="FE151" i="1"/>
  <c r="FE150" i="1"/>
  <c r="FB154" i="1"/>
  <c r="FB153" i="1"/>
  <c r="AJ153" i="1"/>
  <c r="AI153" i="1"/>
  <c r="AI180" i="1" s="1"/>
  <c r="EN152" i="1"/>
  <c r="EN151" i="1"/>
  <c r="EN150" i="1"/>
  <c r="EL152" i="1"/>
  <c r="EL151" i="1"/>
  <c r="EL150" i="1"/>
  <c r="EJ152" i="1"/>
  <c r="EJ151" i="1"/>
  <c r="EJ150" i="1"/>
  <c r="EH152" i="1"/>
  <c r="EH151" i="1"/>
  <c r="EH150" i="1"/>
  <c r="EF152" i="1"/>
  <c r="EF151" i="1"/>
  <c r="EF150" i="1"/>
  <c r="ED152" i="1"/>
  <c r="ED151" i="1"/>
  <c r="ED150" i="1"/>
  <c r="EB152" i="1"/>
  <c r="EB151" i="1"/>
  <c r="EB150" i="1"/>
  <c r="DZ152" i="1"/>
  <c r="DZ151" i="1"/>
  <c r="DZ150" i="1"/>
  <c r="DX152" i="1"/>
  <c r="DX151" i="1"/>
  <c r="DX150" i="1"/>
  <c r="DV152" i="1"/>
  <c r="DV151" i="1"/>
  <c r="DV150" i="1"/>
  <c r="DT152" i="1"/>
  <c r="DT151" i="1"/>
  <c r="DT150" i="1"/>
  <c r="DR152" i="1"/>
  <c r="DR151" i="1"/>
  <c r="DR150" i="1"/>
  <c r="DP152" i="1"/>
  <c r="DP151" i="1"/>
  <c r="DP150" i="1"/>
  <c r="DN152" i="1"/>
  <c r="DN151" i="1"/>
  <c r="DN150" i="1"/>
  <c r="DL152" i="1"/>
  <c r="DL151" i="1"/>
  <c r="DL150" i="1"/>
  <c r="DJ152" i="1"/>
  <c r="DJ151" i="1"/>
  <c r="DJ150" i="1"/>
  <c r="DH152" i="1"/>
  <c r="DH151" i="1"/>
  <c r="DH150" i="1"/>
  <c r="DF152" i="1"/>
  <c r="DF151" i="1"/>
  <c r="DF150" i="1"/>
  <c r="DD152" i="1"/>
  <c r="DD151" i="1"/>
  <c r="DD150" i="1"/>
  <c r="DB152" i="1"/>
  <c r="DB151" i="1"/>
  <c r="DB150" i="1"/>
  <c r="CZ152" i="1"/>
  <c r="CZ151" i="1"/>
  <c r="CZ150" i="1"/>
  <c r="CX152" i="1"/>
  <c r="CX151" i="1"/>
  <c r="CX150" i="1"/>
  <c r="CV152" i="1"/>
  <c r="CV151" i="1"/>
  <c r="CV150" i="1"/>
  <c r="CT152" i="1"/>
  <c r="CT151" i="1"/>
  <c r="CT150" i="1"/>
  <c r="CR152" i="1"/>
  <c r="CR151" i="1"/>
  <c r="CR150" i="1"/>
  <c r="CP152" i="1"/>
  <c r="CP151" i="1"/>
  <c r="CP150" i="1"/>
  <c r="CN152" i="1"/>
  <c r="CN151" i="1"/>
  <c r="CN150" i="1"/>
  <c r="CL152" i="1"/>
  <c r="CL151" i="1"/>
  <c r="CL150" i="1"/>
  <c r="CJ152" i="1"/>
  <c r="CJ151" i="1"/>
  <c r="CJ150" i="1"/>
  <c r="CH152" i="1"/>
  <c r="CH151" i="1"/>
  <c r="CH150" i="1"/>
  <c r="CF152" i="1"/>
  <c r="CF151" i="1"/>
  <c r="CF150" i="1"/>
  <c r="CD152" i="1"/>
  <c r="CD151" i="1"/>
  <c r="CD150" i="1"/>
  <c r="CB152" i="1"/>
  <c r="CB151" i="1"/>
  <c r="CB150" i="1"/>
  <c r="BZ152" i="1"/>
  <c r="BZ151" i="1"/>
  <c r="BZ150" i="1"/>
  <c r="BX152" i="1"/>
  <c r="BX151" i="1"/>
  <c r="BX150" i="1"/>
  <c r="BU152" i="1"/>
  <c r="BT152" i="1"/>
  <c r="BR152" i="1"/>
  <c r="BR151" i="1"/>
  <c r="BR150" i="1"/>
  <c r="BP152" i="1"/>
  <c r="BP151" i="1"/>
  <c r="BP150" i="1"/>
  <c r="BM152" i="1"/>
  <c r="BV152" i="1" s="1"/>
  <c r="BL152" i="1"/>
  <c r="BJ152" i="1"/>
  <c r="BJ151" i="1"/>
  <c r="BJ150" i="1"/>
  <c r="BH152" i="1"/>
  <c r="BH151" i="1"/>
  <c r="BH150" i="1"/>
  <c r="BF152" i="1"/>
  <c r="BF151" i="1"/>
  <c r="BF150" i="1"/>
  <c r="BD152" i="1"/>
  <c r="BD151" i="1"/>
  <c r="BD150" i="1"/>
  <c r="BB152" i="1"/>
  <c r="BB151" i="1"/>
  <c r="BB150" i="1"/>
  <c r="AZ152" i="1"/>
  <c r="AZ151" i="1"/>
  <c r="AZ150" i="1"/>
  <c r="AX152" i="1"/>
  <c r="AX151" i="1"/>
  <c r="AX150" i="1"/>
  <c r="AV152" i="1"/>
  <c r="AV151" i="1"/>
  <c r="AV150" i="1"/>
  <c r="AT152" i="1"/>
  <c r="AT151" i="1"/>
  <c r="AR152" i="1"/>
  <c r="AR151" i="1"/>
  <c r="AR150" i="1"/>
  <c r="AP152" i="1"/>
  <c r="AP151" i="1"/>
  <c r="AP150" i="1"/>
  <c r="AN152" i="1"/>
  <c r="AN151" i="1"/>
  <c r="AN150" i="1"/>
  <c r="AL152" i="1"/>
  <c r="AL151" i="1"/>
  <c r="AJ152" i="1"/>
  <c r="AJ151" i="1"/>
  <c r="AJ150" i="1"/>
  <c r="AJ149" i="1"/>
  <c r="BV151" i="1"/>
  <c r="BV150" i="1"/>
  <c r="BT151" i="1"/>
  <c r="BT150" i="1"/>
  <c r="BN151" i="1"/>
  <c r="BN150" i="1"/>
  <c r="BL151" i="1"/>
  <c r="BL150" i="1"/>
  <c r="GN152" i="1"/>
  <c r="GL152" i="1"/>
  <c r="GJ152" i="1"/>
  <c r="GH152" i="1"/>
  <c r="GF152" i="1"/>
  <c r="GD152" i="1"/>
  <c r="GB152" i="1"/>
  <c r="GC152" i="1" s="1"/>
  <c r="FZ152" i="1"/>
  <c r="FX152" i="1"/>
  <c r="FV152" i="1"/>
  <c r="FT152" i="1"/>
  <c r="FU152" i="1" s="1"/>
  <c r="FR152" i="1"/>
  <c r="FP152" i="1"/>
  <c r="FN152" i="1"/>
  <c r="FN160" i="1" s="1"/>
  <c r="FL152" i="1"/>
  <c r="FM152" i="1" s="1"/>
  <c r="FJ152" i="1"/>
  <c r="FI152" i="1"/>
  <c r="GN151" i="1"/>
  <c r="GL151" i="1"/>
  <c r="GJ151" i="1"/>
  <c r="GH151" i="1"/>
  <c r="GF151" i="1"/>
  <c r="GD151" i="1"/>
  <c r="GB151" i="1"/>
  <c r="GC151" i="1" s="1"/>
  <c r="FZ151" i="1"/>
  <c r="GA151" i="1" s="1"/>
  <c r="FX151" i="1"/>
  <c r="FV151" i="1"/>
  <c r="FT151" i="1"/>
  <c r="FU151" i="1" s="1"/>
  <c r="FR151" i="1"/>
  <c r="FS151" i="1" s="1"/>
  <c r="FP151" i="1"/>
  <c r="FN151" i="1"/>
  <c r="FN159" i="1" s="1"/>
  <c r="FL151" i="1"/>
  <c r="FM151" i="1" s="1"/>
  <c r="FJ151" i="1"/>
  <c r="FK151" i="1" s="1"/>
  <c r="FI151" i="1"/>
  <c r="GN150" i="1"/>
  <c r="GO150" i="1" s="1"/>
  <c r="GL150" i="1"/>
  <c r="GJ150" i="1"/>
  <c r="GK150" i="1" s="1"/>
  <c r="GH150" i="1"/>
  <c r="GF150" i="1"/>
  <c r="GG150" i="1" s="1"/>
  <c r="GD150" i="1"/>
  <c r="GB150" i="1"/>
  <c r="FZ150" i="1"/>
  <c r="FZ156" i="1" s="1"/>
  <c r="FX150" i="1"/>
  <c r="FY150" i="1" s="1"/>
  <c r="FV150" i="1"/>
  <c r="FT150" i="1"/>
  <c r="FR150" i="1"/>
  <c r="FR156" i="1" s="1"/>
  <c r="FP150" i="1"/>
  <c r="FL150" i="1"/>
  <c r="FJ150" i="1"/>
  <c r="FJ156" i="1" s="1"/>
  <c r="AK150" i="1"/>
  <c r="AK158" i="1" s="1"/>
  <c r="AK149" i="1"/>
  <c r="AK153" i="1" s="1"/>
  <c r="FD149" i="1"/>
  <c r="FD158" i="1" s="1"/>
  <c r="EP152" i="1"/>
  <c r="EP151" i="1"/>
  <c r="EP150" i="1"/>
  <c r="EX142" i="1"/>
  <c r="EX141" i="1"/>
  <c r="EX139" i="1"/>
  <c r="EV142" i="1"/>
  <c r="EV141" i="1"/>
  <c r="EV139" i="1"/>
  <c r="ET142" i="1"/>
  <c r="ET141" i="1"/>
  <c r="ET139" i="1"/>
  <c r="ER142" i="1"/>
  <c r="ER141" i="1"/>
  <c r="ER139" i="1"/>
  <c r="DK144" i="1"/>
  <c r="DK143" i="1"/>
  <c r="DK784" i="1" s="1"/>
  <c r="DI144" i="1"/>
  <c r="DI143" i="1"/>
  <c r="DI784" i="1" s="1"/>
  <c r="DG144" i="1"/>
  <c r="DG143" i="1"/>
  <c r="DG784" i="1" s="1"/>
  <c r="DE144" i="1"/>
  <c r="DE143" i="1"/>
  <c r="DE784" i="1" s="1"/>
  <c r="DC144" i="1"/>
  <c r="DC143" i="1"/>
  <c r="DC784" i="1" s="1"/>
  <c r="DA144" i="1"/>
  <c r="DA143" i="1"/>
  <c r="DA784" i="1" s="1"/>
  <c r="CY144" i="1"/>
  <c r="CY143" i="1"/>
  <c r="CY784" i="1" s="1"/>
  <c r="EK144" i="1"/>
  <c r="EL144" i="1" s="1"/>
  <c r="EC144" i="1"/>
  <c r="ED144" i="1" s="1"/>
  <c r="DW144" i="1"/>
  <c r="DX144" i="1" s="1"/>
  <c r="DU144" i="1"/>
  <c r="DV144" i="1" s="1"/>
  <c r="DS144" i="1"/>
  <c r="DT144" i="1" s="1"/>
  <c r="DQ144" i="1"/>
  <c r="DR144" i="1" s="1"/>
  <c r="DO144" i="1"/>
  <c r="DP144" i="1" s="1"/>
  <c r="DM144" i="1"/>
  <c r="DN144" i="1" s="1"/>
  <c r="EM143" i="1"/>
  <c r="EM784" i="1" s="1"/>
  <c r="EI143" i="1"/>
  <c r="EI784" i="1" s="1"/>
  <c r="EE143" i="1"/>
  <c r="EE784" i="1" s="1"/>
  <c r="EA143" i="1"/>
  <c r="EA784" i="1" s="1"/>
  <c r="DW143" i="1"/>
  <c r="DW784" i="1" s="1"/>
  <c r="DU143" i="1"/>
  <c r="DU784" i="1" s="1"/>
  <c r="DS143" i="1"/>
  <c r="DS784" i="1" s="1"/>
  <c r="DQ143" i="1"/>
  <c r="DQ784" i="1" s="1"/>
  <c r="DO143" i="1"/>
  <c r="DO784" i="1" s="1"/>
  <c r="DM143" i="1"/>
  <c r="DM784" i="1" s="1"/>
  <c r="CW144" i="1"/>
  <c r="CV144" i="1"/>
  <c r="CU144" i="1"/>
  <c r="CT144" i="1"/>
  <c r="CS144" i="1"/>
  <c r="CR144" i="1"/>
  <c r="CQ144" i="1"/>
  <c r="CP144" i="1"/>
  <c r="CO144" i="1"/>
  <c r="CN144" i="1"/>
  <c r="CM144" i="1"/>
  <c r="CL144" i="1"/>
  <c r="CK144" i="1"/>
  <c r="CJ144" i="1"/>
  <c r="CI144" i="1"/>
  <c r="CH144" i="1"/>
  <c r="CG144" i="1"/>
  <c r="CF144" i="1"/>
  <c r="CE144" i="1"/>
  <c r="CD144" i="1"/>
  <c r="CC144" i="1"/>
  <c r="CB144" i="1"/>
  <c r="CA144" i="1"/>
  <c r="BZ144" i="1"/>
  <c r="BY144" i="1"/>
  <c r="BX144" i="1"/>
  <c r="BW144" i="1"/>
  <c r="BV144" i="1"/>
  <c r="BU144" i="1"/>
  <c r="BT144" i="1"/>
  <c r="BS144" i="1"/>
  <c r="BR144" i="1"/>
  <c r="BQ144" i="1"/>
  <c r="BP144" i="1"/>
  <c r="BO144" i="1"/>
  <c r="BN144" i="1"/>
  <c r="BM144" i="1"/>
  <c r="BL144" i="1"/>
  <c r="BK144" i="1"/>
  <c r="BJ144" i="1"/>
  <c r="BI144" i="1"/>
  <c r="BH144" i="1"/>
  <c r="BG144" i="1"/>
  <c r="BF144" i="1"/>
  <c r="BE144" i="1"/>
  <c r="BD144" i="1"/>
  <c r="BC144" i="1"/>
  <c r="BB144" i="1"/>
  <c r="BA144" i="1"/>
  <c r="AZ144" i="1"/>
  <c r="AY144" i="1"/>
  <c r="AX144" i="1"/>
  <c r="AW144" i="1"/>
  <c r="AV144" i="1"/>
  <c r="AU144" i="1"/>
  <c r="AT144" i="1"/>
  <c r="AS144" i="1"/>
  <c r="AR144" i="1"/>
  <c r="AQ144" i="1"/>
  <c r="AP144" i="1"/>
  <c r="AO144" i="1"/>
  <c r="AN144" i="1"/>
  <c r="AM144" i="1"/>
  <c r="AL144" i="1"/>
  <c r="AK144" i="1"/>
  <c r="AJ144" i="1"/>
  <c r="AI144" i="1"/>
  <c r="AH144" i="1"/>
  <c r="AG144" i="1"/>
  <c r="AF144" i="1"/>
  <c r="AE144" i="1"/>
  <c r="AD144" i="1"/>
  <c r="AC144" i="1"/>
  <c r="AB144" i="1"/>
  <c r="AA144" i="1"/>
  <c r="Z144" i="1"/>
  <c r="Y144" i="1"/>
  <c r="X144" i="1"/>
  <c r="W144" i="1"/>
  <c r="V144" i="1"/>
  <c r="U144" i="1"/>
  <c r="T144" i="1"/>
  <c r="S144" i="1"/>
  <c r="CW143" i="1"/>
  <c r="CW784" i="1" s="1"/>
  <c r="CU143" i="1"/>
  <c r="CU784" i="1" s="1"/>
  <c r="CS143" i="1"/>
  <c r="CS784" i="1" s="1"/>
  <c r="CQ143" i="1"/>
  <c r="CQ784" i="1" s="1"/>
  <c r="CO143" i="1"/>
  <c r="CO784" i="1" s="1"/>
  <c r="CM143" i="1"/>
  <c r="CM784" i="1" s="1"/>
  <c r="CK143" i="1"/>
  <c r="CK784" i="1" s="1"/>
  <c r="CI143" i="1"/>
  <c r="CI784" i="1" s="1"/>
  <c r="CG143" i="1"/>
  <c r="CG784" i="1" s="1"/>
  <c r="CE143" i="1"/>
  <c r="CE784" i="1" s="1"/>
  <c r="CC143" i="1"/>
  <c r="CC784" i="1" s="1"/>
  <c r="CA143" i="1"/>
  <c r="CA784" i="1" s="1"/>
  <c r="BY143" i="1"/>
  <c r="BY784" i="1" s="1"/>
  <c r="BW143" i="1"/>
  <c r="BW784" i="1" s="1"/>
  <c r="BU143" i="1"/>
  <c r="BU784" i="1" s="1"/>
  <c r="BS143" i="1"/>
  <c r="BS784" i="1" s="1"/>
  <c r="BQ143" i="1"/>
  <c r="BQ784" i="1" s="1"/>
  <c r="BO143" i="1"/>
  <c r="BO784" i="1" s="1"/>
  <c r="BM143" i="1"/>
  <c r="BM784" i="1" s="1"/>
  <c r="BK143" i="1"/>
  <c r="BK784" i="1" s="1"/>
  <c r="BI143" i="1"/>
  <c r="BI784" i="1" s="1"/>
  <c r="BG143" i="1"/>
  <c r="BG784" i="1" s="1"/>
  <c r="BE143" i="1"/>
  <c r="BE784" i="1" s="1"/>
  <c r="BC143" i="1"/>
  <c r="BC784" i="1" s="1"/>
  <c r="BA143" i="1"/>
  <c r="BA784" i="1" s="1"/>
  <c r="AY143" i="1"/>
  <c r="AY784" i="1" s="1"/>
  <c r="AW143" i="1"/>
  <c r="AW784" i="1" s="1"/>
  <c r="AU143" i="1"/>
  <c r="AU784" i="1" s="1"/>
  <c r="AS143" i="1"/>
  <c r="AS784" i="1" s="1"/>
  <c r="AQ143" i="1"/>
  <c r="AQ784" i="1" s="1"/>
  <c r="AO143" i="1"/>
  <c r="AO784" i="1" s="1"/>
  <c r="AM143" i="1"/>
  <c r="AM784" i="1" s="1"/>
  <c r="AK143" i="1"/>
  <c r="AK784" i="1" s="1"/>
  <c r="AI143" i="1"/>
  <c r="AI784" i="1" s="1"/>
  <c r="AG143" i="1"/>
  <c r="AG784" i="1" s="1"/>
  <c r="AE143" i="1"/>
  <c r="AE784" i="1" s="1"/>
  <c r="AC143" i="1"/>
  <c r="AC784" i="1" s="1"/>
  <c r="AA143" i="1"/>
  <c r="AA784" i="1" s="1"/>
  <c r="Y143" i="1"/>
  <c r="Y784" i="1" s="1"/>
  <c r="W143" i="1"/>
  <c r="W784" i="1" s="1"/>
  <c r="U143" i="1"/>
  <c r="U784" i="1" s="1"/>
  <c r="S143" i="1"/>
  <c r="S784" i="1" s="1"/>
  <c r="Q143" i="1"/>
  <c r="Q784" i="1" s="1"/>
  <c r="O143" i="1"/>
  <c r="O784" i="1" s="1"/>
  <c r="M143" i="1"/>
  <c r="M784" i="1" s="1"/>
  <c r="K143" i="1"/>
  <c r="K784" i="1" s="1"/>
  <c r="I143" i="1"/>
  <c r="G143" i="1"/>
  <c r="EP141" i="1"/>
  <c r="EP139" i="1"/>
  <c r="EN142" i="1"/>
  <c r="EN141" i="1"/>
  <c r="EN139" i="1"/>
  <c r="EL142" i="1"/>
  <c r="EL141" i="1"/>
  <c r="EL139" i="1"/>
  <c r="EJ142" i="1"/>
  <c r="EJ141" i="1"/>
  <c r="EJ139" i="1"/>
  <c r="EG142" i="1"/>
  <c r="EP142" i="1" s="1"/>
  <c r="EF142" i="1"/>
  <c r="ED142" i="1"/>
  <c r="ED141" i="1"/>
  <c r="ED140" i="1"/>
  <c r="ED139" i="1"/>
  <c r="EB142" i="1"/>
  <c r="EB141" i="1"/>
  <c r="EB140" i="1"/>
  <c r="EB139" i="1"/>
  <c r="DZ142" i="1"/>
  <c r="DZ141" i="1"/>
  <c r="DZ139" i="1"/>
  <c r="DX142" i="1"/>
  <c r="DX141" i="1"/>
  <c r="DX140" i="1"/>
  <c r="DX139" i="1"/>
  <c r="DV142" i="1"/>
  <c r="DV141" i="1"/>
  <c r="DV140" i="1"/>
  <c r="DV139" i="1"/>
  <c r="DT142" i="1"/>
  <c r="DT141" i="1"/>
  <c r="DT140" i="1"/>
  <c r="DT139" i="1"/>
  <c r="DR142" i="1"/>
  <c r="DR141" i="1"/>
  <c r="DR140" i="1"/>
  <c r="DR139" i="1"/>
  <c r="DP142" i="1"/>
  <c r="DP141" i="1"/>
  <c r="DP140" i="1"/>
  <c r="DP139" i="1"/>
  <c r="DN142" i="1"/>
  <c r="DN141" i="1"/>
  <c r="DN140" i="1"/>
  <c r="DN139" i="1"/>
  <c r="CV142" i="1"/>
  <c r="CV141" i="1"/>
  <c r="CV140" i="1"/>
  <c r="CV139" i="1"/>
  <c r="CT142" i="1"/>
  <c r="CT141" i="1"/>
  <c r="CT140" i="1"/>
  <c r="CT139" i="1"/>
  <c r="CR142" i="1"/>
  <c r="CR141" i="1"/>
  <c r="CR140" i="1"/>
  <c r="CR139" i="1"/>
  <c r="CP142" i="1"/>
  <c r="CP141" i="1"/>
  <c r="CP140" i="1"/>
  <c r="CP139" i="1"/>
  <c r="CN142" i="1"/>
  <c r="CN141" i="1"/>
  <c r="CN140" i="1"/>
  <c r="CN139" i="1"/>
  <c r="CL142" i="1"/>
  <c r="CL141" i="1"/>
  <c r="CL140" i="1"/>
  <c r="CL139" i="1"/>
  <c r="CJ142" i="1"/>
  <c r="CJ141" i="1"/>
  <c r="CJ140" i="1"/>
  <c r="CJ139" i="1"/>
  <c r="CH142" i="1"/>
  <c r="CH141" i="1"/>
  <c r="CH140" i="1"/>
  <c r="CH139" i="1"/>
  <c r="CF142" i="1"/>
  <c r="CF141" i="1"/>
  <c r="CF140" i="1"/>
  <c r="CF139" i="1"/>
  <c r="CD142" i="1"/>
  <c r="CD141" i="1"/>
  <c r="CD140" i="1"/>
  <c r="CD139" i="1"/>
  <c r="CB142" i="1"/>
  <c r="CB141" i="1"/>
  <c r="CB140" i="1"/>
  <c r="CB139" i="1"/>
  <c r="BZ142" i="1"/>
  <c r="BZ141" i="1"/>
  <c r="BZ140" i="1"/>
  <c r="BZ139" i="1"/>
  <c r="BX142" i="1"/>
  <c r="BX141" i="1"/>
  <c r="BX140" i="1"/>
  <c r="BX139" i="1"/>
  <c r="BV142" i="1"/>
  <c r="BV141" i="1"/>
  <c r="BV140" i="1"/>
  <c r="BV139" i="1"/>
  <c r="BT142" i="1"/>
  <c r="BT141" i="1"/>
  <c r="BT140" i="1"/>
  <c r="BT139" i="1"/>
  <c r="BR142" i="1"/>
  <c r="BR141" i="1"/>
  <c r="BR140" i="1"/>
  <c r="BR139" i="1"/>
  <c r="BP142" i="1"/>
  <c r="BP141" i="1"/>
  <c r="BP140" i="1"/>
  <c r="BP139" i="1"/>
  <c r="BN142" i="1"/>
  <c r="BN141" i="1"/>
  <c r="BN140" i="1"/>
  <c r="BN139" i="1"/>
  <c r="BL142" i="1"/>
  <c r="BL141" i="1"/>
  <c r="BL140" i="1"/>
  <c r="BL139" i="1"/>
  <c r="BJ142" i="1"/>
  <c r="BJ141" i="1"/>
  <c r="BJ140" i="1"/>
  <c r="BJ139" i="1"/>
  <c r="BH142" i="1"/>
  <c r="BH141" i="1"/>
  <c r="BH140" i="1"/>
  <c r="BH139" i="1"/>
  <c r="BF142" i="1"/>
  <c r="BF141" i="1"/>
  <c r="BF140" i="1"/>
  <c r="BF139" i="1"/>
  <c r="BD142" i="1"/>
  <c r="BD141" i="1"/>
  <c r="BD140" i="1"/>
  <c r="BD139" i="1"/>
  <c r="BB142" i="1"/>
  <c r="BB141" i="1"/>
  <c r="BB140" i="1"/>
  <c r="BB139" i="1"/>
  <c r="AZ142" i="1"/>
  <c r="AZ141" i="1"/>
  <c r="AZ140" i="1"/>
  <c r="AZ139" i="1"/>
  <c r="AX142" i="1"/>
  <c r="AX141" i="1"/>
  <c r="AX140" i="1"/>
  <c r="AX139" i="1"/>
  <c r="AV142" i="1"/>
  <c r="AV141" i="1"/>
  <c r="AV140" i="1"/>
  <c r="AV139" i="1"/>
  <c r="AT142" i="1"/>
  <c r="AT141" i="1"/>
  <c r="AT140" i="1"/>
  <c r="AT139" i="1"/>
  <c r="AR142" i="1"/>
  <c r="AR141" i="1"/>
  <c r="AR140" i="1"/>
  <c r="AR139" i="1"/>
  <c r="AP142" i="1"/>
  <c r="AP141" i="1"/>
  <c r="AP140" i="1"/>
  <c r="AP139" i="1"/>
  <c r="AN142" i="1"/>
  <c r="AN141" i="1"/>
  <c r="AN140" i="1"/>
  <c r="AN139" i="1"/>
  <c r="AL142" i="1"/>
  <c r="AL141" i="1"/>
  <c r="AL140" i="1"/>
  <c r="AL139" i="1"/>
  <c r="AJ142" i="1"/>
  <c r="AJ141" i="1"/>
  <c r="AJ140" i="1"/>
  <c r="AJ139" i="1"/>
  <c r="AH142" i="1"/>
  <c r="AH141" i="1"/>
  <c r="AH140" i="1"/>
  <c r="AH139" i="1"/>
  <c r="AF142" i="1"/>
  <c r="AF141" i="1"/>
  <c r="AF140" i="1"/>
  <c r="AF139" i="1"/>
  <c r="AD142" i="1"/>
  <c r="AD141" i="1"/>
  <c r="AD140" i="1"/>
  <c r="AD139" i="1"/>
  <c r="AB142" i="1"/>
  <c r="AB141" i="1"/>
  <c r="AB140" i="1"/>
  <c r="AB139" i="1"/>
  <c r="Z142" i="1"/>
  <c r="Z141" i="1"/>
  <c r="Z140" i="1"/>
  <c r="Z139" i="1"/>
  <c r="X142" i="1"/>
  <c r="X141" i="1"/>
  <c r="X140" i="1"/>
  <c r="X139" i="1"/>
  <c r="V142" i="1"/>
  <c r="V141" i="1"/>
  <c r="V140" i="1"/>
  <c r="V139" i="1"/>
  <c r="T142" i="1"/>
  <c r="T141" i="1"/>
  <c r="T140" i="1"/>
  <c r="T139" i="1"/>
  <c r="R142" i="1"/>
  <c r="R141" i="1"/>
  <c r="R140" i="1"/>
  <c r="R139" i="1"/>
  <c r="P142" i="1"/>
  <c r="P141" i="1"/>
  <c r="P140" i="1"/>
  <c r="P139" i="1"/>
  <c r="N142" i="1"/>
  <c r="N141" i="1"/>
  <c r="N140" i="1"/>
  <c r="N139" i="1"/>
  <c r="L142" i="1"/>
  <c r="L141" i="1"/>
  <c r="L140" i="1"/>
  <c r="L139" i="1"/>
  <c r="EH141" i="1"/>
  <c r="EH139" i="1"/>
  <c r="EF141" i="1"/>
  <c r="EF140" i="1"/>
  <c r="EF139" i="1"/>
  <c r="EO140" i="1"/>
  <c r="EO143" i="1" s="1"/>
  <c r="EM140" i="1"/>
  <c r="EM144" i="1" s="1"/>
  <c r="EK140" i="1"/>
  <c r="EK143" i="1" s="1"/>
  <c r="EI140" i="1"/>
  <c r="EI144" i="1" s="1"/>
  <c r="EG140" i="1"/>
  <c r="EG143" i="1" s="1"/>
  <c r="EE140" i="1"/>
  <c r="EE144" i="1" s="1"/>
  <c r="EF144" i="1" s="1"/>
  <c r="EC140" i="1"/>
  <c r="EC143" i="1" s="1"/>
  <c r="EA140" i="1"/>
  <c r="EA144" i="1" s="1"/>
  <c r="EB144" i="1" s="1"/>
  <c r="DY140" i="1"/>
  <c r="DY143" i="1" s="1"/>
  <c r="GB144" i="1"/>
  <c r="GC144" i="1" s="1"/>
  <c r="FZ144" i="1"/>
  <c r="GA144" i="1" s="1"/>
  <c r="FX144" i="1"/>
  <c r="FY144" i="1" s="1"/>
  <c r="FV144" i="1"/>
  <c r="FW144" i="1" s="1"/>
  <c r="FT144" i="1"/>
  <c r="FU144" i="1" s="1"/>
  <c r="FR144" i="1"/>
  <c r="FS144" i="1" s="1"/>
  <c r="FZ143" i="1"/>
  <c r="FZ784" i="1" s="1"/>
  <c r="FV143" i="1"/>
  <c r="FV784" i="1" s="1"/>
  <c r="FR143" i="1"/>
  <c r="FR784" i="1" s="1"/>
  <c r="GB142" i="1"/>
  <c r="GC142" i="1" s="1"/>
  <c r="FZ142" i="1"/>
  <c r="GA142" i="1" s="1"/>
  <c r="FX142" i="1"/>
  <c r="FY142" i="1" s="1"/>
  <c r="FV142" i="1"/>
  <c r="FW142" i="1" s="1"/>
  <c r="FT142" i="1"/>
  <c r="FU142" i="1" s="1"/>
  <c r="FR142" i="1"/>
  <c r="FS142" i="1" s="1"/>
  <c r="GB141" i="1"/>
  <c r="GC141" i="1" s="1"/>
  <c r="FZ141" i="1"/>
  <c r="GA141" i="1" s="1"/>
  <c r="FX141" i="1"/>
  <c r="FY141" i="1" s="1"/>
  <c r="FV141" i="1"/>
  <c r="FW141" i="1" s="1"/>
  <c r="FT141" i="1"/>
  <c r="FU141" i="1" s="1"/>
  <c r="FR141" i="1"/>
  <c r="FS141" i="1" s="1"/>
  <c r="GB140" i="1"/>
  <c r="GC140" i="1" s="1"/>
  <c r="FZ140" i="1"/>
  <c r="GA140" i="1" s="1"/>
  <c r="FX140" i="1"/>
  <c r="FY140" i="1" s="1"/>
  <c r="FV140" i="1"/>
  <c r="FW140" i="1" s="1"/>
  <c r="FT140" i="1"/>
  <c r="FU140" i="1" s="1"/>
  <c r="FR140" i="1"/>
  <c r="FS140" i="1" s="1"/>
  <c r="GB139" i="1"/>
  <c r="GC139" i="1" s="1"/>
  <c r="FZ139" i="1"/>
  <c r="GA139" i="1" s="1"/>
  <c r="FX139" i="1"/>
  <c r="FY139" i="1" s="1"/>
  <c r="FV139" i="1"/>
  <c r="FW139" i="1" s="1"/>
  <c r="FT139" i="1"/>
  <c r="FU139" i="1" s="1"/>
  <c r="FR139" i="1"/>
  <c r="FS139" i="1" s="1"/>
  <c r="GF135" i="1"/>
  <c r="EX135" i="1"/>
  <c r="EV135" i="1"/>
  <c r="ET135" i="1"/>
  <c r="ER135" i="1"/>
  <c r="DK135" i="1"/>
  <c r="DK563" i="1" s="1"/>
  <c r="GH563" i="1" s="1"/>
  <c r="EP135" i="1"/>
  <c r="EO135" i="1"/>
  <c r="EN135" i="1"/>
  <c r="EJ135" i="1"/>
  <c r="EF135" i="1"/>
  <c r="EE135" i="1"/>
  <c r="ED135" i="1"/>
  <c r="EC135" i="1"/>
  <c r="EL135" i="1" s="1"/>
  <c r="EB135" i="1"/>
  <c r="EA135" i="1"/>
  <c r="DZ135" i="1"/>
  <c r="DY135" i="1"/>
  <c r="EH135" i="1" s="1"/>
  <c r="DX135" i="1"/>
  <c r="DV135" i="1"/>
  <c r="DT135" i="1"/>
  <c r="DS135" i="1"/>
  <c r="DR135" i="1"/>
  <c r="DP135" i="1"/>
  <c r="DN135" i="1"/>
  <c r="GD131" i="1"/>
  <c r="GE131" i="1" s="1"/>
  <c r="GB131" i="1"/>
  <c r="DG131" i="1"/>
  <c r="DC131" i="1"/>
  <c r="DC534" i="1" s="1"/>
  <c r="DL131" i="1"/>
  <c r="DJ131" i="1"/>
  <c r="DH131" i="1"/>
  <c r="DF131" i="1"/>
  <c r="DD131" i="1"/>
  <c r="DB131" i="1"/>
  <c r="CZ131" i="1"/>
  <c r="CX131" i="1"/>
  <c r="CV131" i="1"/>
  <c r="CT131" i="1"/>
  <c r="CR131" i="1"/>
  <c r="CP131" i="1"/>
  <c r="CN131" i="1"/>
  <c r="GY131" i="1"/>
  <c r="GW131" i="1"/>
  <c r="GU131" i="1"/>
  <c r="GQ131" i="1"/>
  <c r="GP131" i="1"/>
  <c r="GS131" i="1" s="1"/>
  <c r="GN131" i="1"/>
  <c r="FZ131" i="1"/>
  <c r="GC131" i="1" s="1"/>
  <c r="FX131" i="1"/>
  <c r="FV131" i="1"/>
  <c r="FW131" i="1" s="1"/>
  <c r="FT131" i="1"/>
  <c r="FR131" i="1"/>
  <c r="FS131" i="1" s="1"/>
  <c r="FP131" i="1"/>
  <c r="FN131" i="1"/>
  <c r="FO131" i="1" s="1"/>
  <c r="FM131" i="1"/>
  <c r="FK131" i="1"/>
  <c r="FI131" i="1"/>
  <c r="FG131" i="1"/>
  <c r="FE131" i="1"/>
  <c r="EX131" i="1"/>
  <c r="EV131" i="1"/>
  <c r="ET131" i="1"/>
  <c r="ER131" i="1"/>
  <c r="EP131" i="1"/>
  <c r="EN131" i="1"/>
  <c r="EL131" i="1"/>
  <c r="EH131" i="1"/>
  <c r="EF131" i="1"/>
  <c r="EA131" i="1"/>
  <c r="EA534" i="1" s="1"/>
  <c r="DX131" i="1"/>
  <c r="DU131" i="1"/>
  <c r="GJ131" i="1" s="1"/>
  <c r="DT131" i="1"/>
  <c r="DR131" i="1"/>
  <c r="DQ131" i="1"/>
  <c r="DQ534" i="1" s="1"/>
  <c r="DP131" i="1"/>
  <c r="DO131" i="1"/>
  <c r="DN131" i="1"/>
  <c r="CL131" i="1"/>
  <c r="CJ131" i="1"/>
  <c r="CH131" i="1"/>
  <c r="CF131" i="1"/>
  <c r="CD131" i="1"/>
  <c r="CB131" i="1"/>
  <c r="BZ131" i="1"/>
  <c r="BX131" i="1"/>
  <c r="BV131" i="1"/>
  <c r="BT131" i="1"/>
  <c r="BS131" i="1"/>
  <c r="BR131" i="1"/>
  <c r="BP131" i="1"/>
  <c r="BN131" i="1"/>
  <c r="BK131" i="1"/>
  <c r="BL131" i="1" s="1"/>
  <c r="BJ131" i="1"/>
  <c r="BH131" i="1"/>
  <c r="BF131" i="1"/>
  <c r="BD131" i="1"/>
  <c r="BC131" i="1"/>
  <c r="BC534" i="1" s="1"/>
  <c r="BB131" i="1"/>
  <c r="AZ131" i="1"/>
  <c r="AX131" i="1"/>
  <c r="AV131" i="1"/>
  <c r="AT131" i="1"/>
  <c r="AR131" i="1"/>
  <c r="AP131" i="1"/>
  <c r="AO131" i="1"/>
  <c r="AN131" i="1"/>
  <c r="AL131" i="1"/>
  <c r="AJ131" i="1"/>
  <c r="AH131" i="1"/>
  <c r="AF131" i="1"/>
  <c r="AD131" i="1"/>
  <c r="AB131" i="1"/>
  <c r="Z131" i="1"/>
  <c r="X131" i="1"/>
  <c r="V131" i="1"/>
  <c r="T131" i="1"/>
  <c r="R131" i="1"/>
  <c r="P131" i="1"/>
  <c r="N131" i="1"/>
  <c r="L131" i="1"/>
  <c r="FB126" i="1"/>
  <c r="FB124" i="1"/>
  <c r="AJ126" i="1"/>
  <c r="AI126" i="1"/>
  <c r="AH126" i="1"/>
  <c r="AG126" i="1"/>
  <c r="AF126" i="1"/>
  <c r="AE126" i="1"/>
  <c r="AD126" i="1"/>
  <c r="AC126" i="1"/>
  <c r="AB126" i="1"/>
  <c r="AA126" i="1"/>
  <c r="Z126" i="1"/>
  <c r="Y126" i="1"/>
  <c r="X126" i="1"/>
  <c r="W126" i="1"/>
  <c r="V126" i="1"/>
  <c r="U126" i="1"/>
  <c r="T126" i="1"/>
  <c r="S126" i="1"/>
  <c r="Q126" i="1"/>
  <c r="P126" i="1"/>
  <c r="O126" i="1"/>
  <c r="M126" i="1"/>
  <c r="K126" i="1"/>
  <c r="I126" i="1"/>
  <c r="R126" i="1" s="1"/>
  <c r="I124" i="1"/>
  <c r="R124" i="1" s="1"/>
  <c r="G126" i="1"/>
  <c r="G124" i="1"/>
  <c r="E126" i="1"/>
  <c r="N126" i="1" s="1"/>
  <c r="E124" i="1"/>
  <c r="ES125" i="1"/>
  <c r="EU125" i="1" s="1"/>
  <c r="FG126" i="1"/>
  <c r="FF126" i="1"/>
  <c r="FE126" i="1"/>
  <c r="FD126" i="1"/>
  <c r="FG124" i="1"/>
  <c r="FF124" i="1"/>
  <c r="FE124" i="1"/>
  <c r="FD124" i="1"/>
  <c r="EP124" i="1"/>
  <c r="EO124" i="1"/>
  <c r="EN124" i="1"/>
  <c r="EM124" i="1"/>
  <c r="EL124" i="1"/>
  <c r="EK124" i="1"/>
  <c r="EJ124" i="1"/>
  <c r="EI124" i="1"/>
  <c r="EH124" i="1"/>
  <c r="EG124" i="1"/>
  <c r="EF124" i="1"/>
  <c r="EE124" i="1"/>
  <c r="ED124" i="1"/>
  <c r="EC124" i="1"/>
  <c r="EB124" i="1"/>
  <c r="EA124" i="1"/>
  <c r="DZ124" i="1"/>
  <c r="DY124" i="1"/>
  <c r="DX124" i="1"/>
  <c r="DW124" i="1"/>
  <c r="DV124" i="1"/>
  <c r="DU124" i="1"/>
  <c r="DT124" i="1"/>
  <c r="DS124" i="1"/>
  <c r="DR124" i="1"/>
  <c r="DQ124" i="1"/>
  <c r="DP124" i="1"/>
  <c r="DO124" i="1"/>
  <c r="DN124" i="1"/>
  <c r="DM124" i="1"/>
  <c r="DL124" i="1"/>
  <c r="DK124" i="1"/>
  <c r="DJ124" i="1"/>
  <c r="DI124" i="1"/>
  <c r="DH124" i="1"/>
  <c r="DG124" i="1"/>
  <c r="DF124" i="1"/>
  <c r="DE124" i="1"/>
  <c r="DD124" i="1"/>
  <c r="DC124" i="1"/>
  <c r="DB124" i="1"/>
  <c r="DA124" i="1"/>
  <c r="CZ124" i="1"/>
  <c r="CY124" i="1"/>
  <c r="CX124" i="1"/>
  <c r="CW124" i="1"/>
  <c r="CV124" i="1"/>
  <c r="CU124" i="1"/>
  <c r="CT124" i="1"/>
  <c r="CS124" i="1"/>
  <c r="CR124" i="1"/>
  <c r="CQ124" i="1"/>
  <c r="CP124" i="1"/>
  <c r="CO124" i="1"/>
  <c r="CN124" i="1"/>
  <c r="CM124" i="1"/>
  <c r="CL124" i="1"/>
  <c r="CK124" i="1"/>
  <c r="CJ124" i="1"/>
  <c r="CI124" i="1"/>
  <c r="CH124" i="1"/>
  <c r="CG124" i="1"/>
  <c r="CF124" i="1"/>
  <c r="CE124" i="1"/>
  <c r="CD124" i="1"/>
  <c r="CC124" i="1"/>
  <c r="CB124" i="1"/>
  <c r="CA124" i="1"/>
  <c r="BZ124" i="1"/>
  <c r="BY124" i="1"/>
  <c r="BX124" i="1"/>
  <c r="BW124" i="1"/>
  <c r="BV124" i="1"/>
  <c r="BU124" i="1"/>
  <c r="BT124" i="1"/>
  <c r="BS124" i="1"/>
  <c r="BR124" i="1"/>
  <c r="BQ124" i="1"/>
  <c r="BP124" i="1"/>
  <c r="BO124" i="1"/>
  <c r="BN124" i="1"/>
  <c r="BM124" i="1"/>
  <c r="BL124" i="1"/>
  <c r="BK124" i="1"/>
  <c r="BJ124" i="1"/>
  <c r="BI124" i="1"/>
  <c r="BH124" i="1"/>
  <c r="BG124" i="1"/>
  <c r="BF124" i="1"/>
  <c r="BE124" i="1"/>
  <c r="BD124" i="1"/>
  <c r="BC124" i="1"/>
  <c r="BB124" i="1"/>
  <c r="BA124" i="1"/>
  <c r="AZ124" i="1"/>
  <c r="AY124" i="1"/>
  <c r="AX124" i="1"/>
  <c r="AW124" i="1"/>
  <c r="AV124" i="1"/>
  <c r="AU124" i="1"/>
  <c r="AT124" i="1"/>
  <c r="AS124" i="1"/>
  <c r="AR124" i="1"/>
  <c r="AQ124" i="1"/>
  <c r="AP124" i="1"/>
  <c r="AO124" i="1"/>
  <c r="AN124" i="1"/>
  <c r="AM124" i="1"/>
  <c r="AL124" i="1"/>
  <c r="AK124" i="1"/>
  <c r="AJ124" i="1"/>
  <c r="AI124" i="1"/>
  <c r="AH124" i="1"/>
  <c r="AG124" i="1"/>
  <c r="AF124" i="1"/>
  <c r="AE124" i="1"/>
  <c r="AD124" i="1"/>
  <c r="AC124" i="1"/>
  <c r="AB124" i="1"/>
  <c r="AA124" i="1"/>
  <c r="Z124" i="1"/>
  <c r="Y124" i="1"/>
  <c r="X124" i="1"/>
  <c r="W124" i="1"/>
  <c r="V124" i="1"/>
  <c r="U124" i="1"/>
  <c r="T124" i="1"/>
  <c r="S124" i="1"/>
  <c r="Q124" i="1"/>
  <c r="P124" i="1"/>
  <c r="O124" i="1"/>
  <c r="N124" i="1"/>
  <c r="M124" i="1"/>
  <c r="K124" i="1"/>
  <c r="GQ123" i="1"/>
  <c r="GO123" i="1"/>
  <c r="GM123" i="1"/>
  <c r="GK123" i="1"/>
  <c r="GI123" i="1"/>
  <c r="EQ123" i="1"/>
  <c r="EP123" i="1"/>
  <c r="EN123" i="1"/>
  <c r="EL123" i="1"/>
  <c r="EJ123" i="1"/>
  <c r="EH123" i="1"/>
  <c r="EF123" i="1"/>
  <c r="ED123" i="1"/>
  <c r="EB123" i="1"/>
  <c r="DZ123" i="1"/>
  <c r="DX123" i="1"/>
  <c r="DV123" i="1"/>
  <c r="DT123" i="1"/>
  <c r="DR123" i="1"/>
  <c r="DP123" i="1"/>
  <c r="DN123" i="1"/>
  <c r="ET124" i="1"/>
  <c r="ES124" i="1"/>
  <c r="EU124" i="1" s="1"/>
  <c r="ER124" i="1"/>
  <c r="ER123" i="1"/>
  <c r="ES122" i="1"/>
  <c r="ES877" i="1" s="1"/>
  <c r="EK122" i="1"/>
  <c r="EK877" i="1" s="1"/>
  <c r="EC122" i="1"/>
  <c r="EC877" i="1" s="1"/>
  <c r="DU122" i="1"/>
  <c r="DV122" i="1" s="1"/>
  <c r="DM122" i="1"/>
  <c r="DN122" i="1" s="1"/>
  <c r="DI122" i="1"/>
  <c r="DJ122" i="1" s="1"/>
  <c r="DE122" i="1"/>
  <c r="DF122" i="1" s="1"/>
  <c r="DA122" i="1"/>
  <c r="DB122" i="1" s="1"/>
  <c r="CW122" i="1"/>
  <c r="CX122" i="1" s="1"/>
  <c r="CS122" i="1"/>
  <c r="CT122" i="1" s="1"/>
  <c r="CO122" i="1"/>
  <c r="CP122" i="1" s="1"/>
  <c r="CK122" i="1"/>
  <c r="CL122" i="1" s="1"/>
  <c r="CG122" i="1"/>
  <c r="CH122" i="1" s="1"/>
  <c r="CC122" i="1"/>
  <c r="CD122" i="1" s="1"/>
  <c r="BY122" i="1"/>
  <c r="BZ122" i="1" s="1"/>
  <c r="BU122" i="1"/>
  <c r="BV122" i="1" s="1"/>
  <c r="BQ122" i="1"/>
  <c r="BR122" i="1" s="1"/>
  <c r="BM122" i="1"/>
  <c r="BN122" i="1" s="1"/>
  <c r="BI122" i="1"/>
  <c r="BJ122" i="1" s="1"/>
  <c r="BE122" i="1"/>
  <c r="BF122" i="1" s="1"/>
  <c r="BA122" i="1"/>
  <c r="BB122" i="1" s="1"/>
  <c r="AW122" i="1"/>
  <c r="AX122" i="1" s="1"/>
  <c r="AS122" i="1"/>
  <c r="AT122" i="1" s="1"/>
  <c r="AO122" i="1"/>
  <c r="AP122" i="1" s="1"/>
  <c r="AK122" i="1"/>
  <c r="AL122" i="1" s="1"/>
  <c r="AG122" i="1"/>
  <c r="AH122" i="1" s="1"/>
  <c r="AC122" i="1"/>
  <c r="AD122" i="1" s="1"/>
  <c r="Y122" i="1"/>
  <c r="Z122" i="1" s="1"/>
  <c r="U122" i="1"/>
  <c r="V122" i="1" s="1"/>
  <c r="Q122" i="1"/>
  <c r="M122" i="1"/>
  <c r="G122" i="1"/>
  <c r="FG120" i="1"/>
  <c r="FF120" i="1"/>
  <c r="FD120" i="1"/>
  <c r="FB120" i="1"/>
  <c r="FE120" i="1" s="1"/>
  <c r="AI120" i="1"/>
  <c r="AJ120" i="1" s="1"/>
  <c r="AG120" i="1"/>
  <c r="AH120" i="1" s="1"/>
  <c r="AE120" i="1"/>
  <c r="AF120" i="1" s="1"/>
  <c r="AC120" i="1"/>
  <c r="AD120" i="1" s="1"/>
  <c r="AA120" i="1"/>
  <c r="AB120" i="1" s="1"/>
  <c r="Y120" i="1"/>
  <c r="Z120" i="1" s="1"/>
  <c r="W120" i="1"/>
  <c r="X120" i="1" s="1"/>
  <c r="U120" i="1"/>
  <c r="V120" i="1" s="1"/>
  <c r="S120" i="1"/>
  <c r="T120" i="1" s="1"/>
  <c r="Q120" i="1"/>
  <c r="R120" i="1" s="1"/>
  <c r="O120" i="1"/>
  <c r="P120" i="1" s="1"/>
  <c r="M120" i="1"/>
  <c r="N120" i="1" s="1"/>
  <c r="K120" i="1"/>
  <c r="I120" i="1"/>
  <c r="G120" i="1"/>
  <c r="E120" i="1"/>
  <c r="FK119" i="1"/>
  <c r="FK116" i="1"/>
  <c r="FI119" i="1"/>
  <c r="FI117" i="1"/>
  <c r="FI115" i="1"/>
  <c r="FG119" i="1"/>
  <c r="FG118" i="1"/>
  <c r="FG117" i="1"/>
  <c r="FG116" i="1"/>
  <c r="FG115" i="1"/>
  <c r="FE119" i="1"/>
  <c r="FE118" i="1"/>
  <c r="FE117" i="1"/>
  <c r="FE116" i="1"/>
  <c r="FE115" i="1"/>
  <c r="EO119" i="1"/>
  <c r="EO126" i="1" s="1"/>
  <c r="EM119" i="1"/>
  <c r="EM126" i="1" s="1"/>
  <c r="EK119" i="1"/>
  <c r="EK126" i="1" s="1"/>
  <c r="EI119" i="1"/>
  <c r="EI126" i="1" s="1"/>
  <c r="EG119" i="1"/>
  <c r="EG126" i="1" s="1"/>
  <c r="EE119" i="1"/>
  <c r="EE126" i="1" s="1"/>
  <c r="EC119" i="1"/>
  <c r="EC126" i="1" s="1"/>
  <c r="EA119" i="1"/>
  <c r="EA126" i="1" s="1"/>
  <c r="DY119" i="1"/>
  <c r="DY126" i="1" s="1"/>
  <c r="DW119" i="1"/>
  <c r="DW126" i="1" s="1"/>
  <c r="DU119" i="1"/>
  <c r="DU126" i="1" s="1"/>
  <c r="DS119" i="1"/>
  <c r="DS126" i="1" s="1"/>
  <c r="DQ119" i="1"/>
  <c r="DQ126" i="1" s="1"/>
  <c r="DO119" i="1"/>
  <c r="DO126" i="1" s="1"/>
  <c r="DM119" i="1"/>
  <c r="DM126" i="1" s="1"/>
  <c r="DK119" i="1"/>
  <c r="DK126" i="1" s="1"/>
  <c r="DI119" i="1"/>
  <c r="DI126" i="1" s="1"/>
  <c r="DG119" i="1"/>
  <c r="DG126" i="1" s="1"/>
  <c r="DE119" i="1"/>
  <c r="DE126" i="1" s="1"/>
  <c r="DC119" i="1"/>
  <c r="DC126" i="1" s="1"/>
  <c r="DA119" i="1"/>
  <c r="DA126" i="1" s="1"/>
  <c r="CY119" i="1"/>
  <c r="CY126" i="1" s="1"/>
  <c r="CW119" i="1"/>
  <c r="CW126" i="1" s="1"/>
  <c r="CU119" i="1"/>
  <c r="CU126" i="1" s="1"/>
  <c r="CS119" i="1"/>
  <c r="CS126" i="1" s="1"/>
  <c r="CQ119" i="1"/>
  <c r="CQ126" i="1" s="1"/>
  <c r="CO119" i="1"/>
  <c r="CO126" i="1" s="1"/>
  <c r="CM119" i="1"/>
  <c r="CM126" i="1" s="1"/>
  <c r="CK119" i="1"/>
  <c r="CK126" i="1" s="1"/>
  <c r="CI119" i="1"/>
  <c r="CI126" i="1" s="1"/>
  <c r="CG119" i="1"/>
  <c r="CG126" i="1" s="1"/>
  <c r="CE119" i="1"/>
  <c r="CE126" i="1" s="1"/>
  <c r="CC119" i="1"/>
  <c r="CC126" i="1" s="1"/>
  <c r="CA119" i="1"/>
  <c r="CA126" i="1" s="1"/>
  <c r="BY119" i="1"/>
  <c r="BY126" i="1" s="1"/>
  <c r="BW119" i="1"/>
  <c r="BW126" i="1" s="1"/>
  <c r="BU119" i="1"/>
  <c r="BU126" i="1" s="1"/>
  <c r="BS119" i="1"/>
  <c r="BS126" i="1" s="1"/>
  <c r="BQ119" i="1"/>
  <c r="BQ126" i="1" s="1"/>
  <c r="BO119" i="1"/>
  <c r="BO126" i="1" s="1"/>
  <c r="BM119" i="1"/>
  <c r="BM126" i="1" s="1"/>
  <c r="BK119" i="1"/>
  <c r="BK126" i="1" s="1"/>
  <c r="BI119" i="1"/>
  <c r="BI126" i="1" s="1"/>
  <c r="BG119" i="1"/>
  <c r="BG126" i="1" s="1"/>
  <c r="BE119" i="1"/>
  <c r="BE126" i="1" s="1"/>
  <c r="BC119" i="1"/>
  <c r="BC126" i="1" s="1"/>
  <c r="BA119" i="1"/>
  <c r="BA126" i="1" s="1"/>
  <c r="AY119" i="1"/>
  <c r="AY126" i="1" s="1"/>
  <c r="AW119" i="1"/>
  <c r="AW126" i="1" s="1"/>
  <c r="AU119" i="1"/>
  <c r="AU126" i="1" s="1"/>
  <c r="AS119" i="1"/>
  <c r="AS126" i="1" s="1"/>
  <c r="AQ119" i="1"/>
  <c r="AQ126" i="1" s="1"/>
  <c r="AR126" i="1" s="1"/>
  <c r="AO119" i="1"/>
  <c r="AO126" i="1" s="1"/>
  <c r="AP126" i="1" s="1"/>
  <c r="AM119" i="1"/>
  <c r="AM126" i="1" s="1"/>
  <c r="AN126" i="1" s="1"/>
  <c r="AK119" i="1"/>
  <c r="AK126" i="1" s="1"/>
  <c r="AL126" i="1" s="1"/>
  <c r="AJ119" i="1"/>
  <c r="AH119" i="1"/>
  <c r="AH118" i="1"/>
  <c r="AH117" i="1"/>
  <c r="AH116" i="1"/>
  <c r="AH115" i="1"/>
  <c r="AF119" i="1"/>
  <c r="AF118" i="1"/>
  <c r="AF117" i="1"/>
  <c r="AF116" i="1"/>
  <c r="AF115" i="1"/>
  <c r="AD119" i="1"/>
  <c r="AD118" i="1"/>
  <c r="AD117" i="1"/>
  <c r="AD116" i="1"/>
  <c r="AD115" i="1"/>
  <c r="AB119" i="1"/>
  <c r="AB118" i="1"/>
  <c r="AB117" i="1"/>
  <c r="AB116" i="1"/>
  <c r="AB115" i="1"/>
  <c r="Z119" i="1"/>
  <c r="Z118" i="1"/>
  <c r="Z117" i="1"/>
  <c r="Z116" i="1"/>
  <c r="Z115" i="1"/>
  <c r="X119" i="1"/>
  <c r="X118" i="1"/>
  <c r="X117" i="1"/>
  <c r="X116" i="1"/>
  <c r="X115" i="1"/>
  <c r="V119" i="1"/>
  <c r="V118" i="1"/>
  <c r="V117" i="1"/>
  <c r="V116" i="1"/>
  <c r="V115" i="1"/>
  <c r="T119" i="1"/>
  <c r="T118" i="1"/>
  <c r="T117" i="1"/>
  <c r="T116" i="1"/>
  <c r="T115" i="1"/>
  <c r="R119" i="1"/>
  <c r="R118" i="1"/>
  <c r="R117" i="1"/>
  <c r="R116" i="1"/>
  <c r="R115" i="1"/>
  <c r="P119" i="1"/>
  <c r="P118" i="1"/>
  <c r="P117" i="1"/>
  <c r="P116" i="1"/>
  <c r="P115" i="1"/>
  <c r="N119" i="1"/>
  <c r="N118" i="1"/>
  <c r="N117" i="1"/>
  <c r="N116" i="1"/>
  <c r="N115" i="1"/>
  <c r="L119" i="1"/>
  <c r="FL118" i="1"/>
  <c r="FL117" i="1"/>
  <c r="FL116" i="1"/>
  <c r="FM116" i="1" s="1"/>
  <c r="FL115" i="1"/>
  <c r="FJ118" i="1"/>
  <c r="FJ126" i="1" s="1"/>
  <c r="FJ117" i="1"/>
  <c r="FJ116" i="1"/>
  <c r="FJ115" i="1"/>
  <c r="FJ120" i="1" s="1"/>
  <c r="FH118" i="1"/>
  <c r="FH126" i="1" s="1"/>
  <c r="FI126" i="1" s="1"/>
  <c r="FH117" i="1"/>
  <c r="FH116" i="1"/>
  <c r="FH124" i="1" s="1"/>
  <c r="FI124" i="1" s="1"/>
  <c r="FH115" i="1"/>
  <c r="FH120" i="1" s="1"/>
  <c r="FI120" i="1" s="1"/>
  <c r="EN118" i="1"/>
  <c r="EN117" i="1"/>
  <c r="EN116" i="1"/>
  <c r="EN115" i="1"/>
  <c r="EL118" i="1"/>
  <c r="EL117" i="1"/>
  <c r="EL116" i="1"/>
  <c r="EL115" i="1"/>
  <c r="EJ118" i="1"/>
  <c r="EJ117" i="1"/>
  <c r="EJ116" i="1"/>
  <c r="EJ115" i="1"/>
  <c r="EH118" i="1"/>
  <c r="EH117" i="1"/>
  <c r="EH116" i="1"/>
  <c r="EH115" i="1"/>
  <c r="EF118" i="1"/>
  <c r="EF117" i="1"/>
  <c r="EF116" i="1"/>
  <c r="EF115" i="1"/>
  <c r="ED118" i="1"/>
  <c r="ED117" i="1"/>
  <c r="ED116" i="1"/>
  <c r="ED115" i="1"/>
  <c r="EB118" i="1"/>
  <c r="EB117" i="1"/>
  <c r="EB116" i="1"/>
  <c r="EB115" i="1"/>
  <c r="DZ118" i="1"/>
  <c r="DZ117" i="1"/>
  <c r="DZ116" i="1"/>
  <c r="DZ115" i="1"/>
  <c r="DX118" i="1"/>
  <c r="DX117" i="1"/>
  <c r="DX116" i="1"/>
  <c r="DX115" i="1"/>
  <c r="DV118" i="1"/>
  <c r="DV117" i="1"/>
  <c r="DV116" i="1"/>
  <c r="DV115" i="1"/>
  <c r="DT118" i="1"/>
  <c r="DT117" i="1"/>
  <c r="DT116" i="1"/>
  <c r="DT115" i="1"/>
  <c r="DR118" i="1"/>
  <c r="DR117" i="1"/>
  <c r="DR116" i="1"/>
  <c r="DR115" i="1"/>
  <c r="DP118" i="1"/>
  <c r="DP117" i="1"/>
  <c r="DP116" i="1"/>
  <c r="DN118" i="1"/>
  <c r="DN117" i="1"/>
  <c r="DN116" i="1"/>
  <c r="DN115" i="1"/>
  <c r="DL118" i="1"/>
  <c r="DL117" i="1"/>
  <c r="DL116" i="1"/>
  <c r="DL115" i="1"/>
  <c r="DJ118" i="1"/>
  <c r="DJ117" i="1"/>
  <c r="DJ116" i="1"/>
  <c r="DJ115" i="1"/>
  <c r="DH118" i="1"/>
  <c r="DH117" i="1"/>
  <c r="DH116" i="1"/>
  <c r="DF118" i="1"/>
  <c r="DF117" i="1"/>
  <c r="DF116" i="1"/>
  <c r="DF115" i="1"/>
  <c r="DD118" i="1"/>
  <c r="DD117" i="1"/>
  <c r="DD116" i="1"/>
  <c r="DD115" i="1"/>
  <c r="DB118" i="1"/>
  <c r="DB117" i="1"/>
  <c r="DB116" i="1"/>
  <c r="DB115" i="1"/>
  <c r="CZ118" i="1"/>
  <c r="CZ117" i="1"/>
  <c r="CZ116" i="1"/>
  <c r="CZ115" i="1"/>
  <c r="CX118" i="1"/>
  <c r="CX117" i="1"/>
  <c r="CX116" i="1"/>
  <c r="CX115" i="1"/>
  <c r="CV118" i="1"/>
  <c r="CV117" i="1"/>
  <c r="CV116" i="1"/>
  <c r="CV115" i="1"/>
  <c r="CT118" i="1"/>
  <c r="CT117" i="1"/>
  <c r="CT116" i="1"/>
  <c r="CT115" i="1"/>
  <c r="CR118" i="1"/>
  <c r="CR117" i="1"/>
  <c r="CR116" i="1"/>
  <c r="CR115" i="1"/>
  <c r="CP118" i="1"/>
  <c r="CP117" i="1"/>
  <c r="CP116" i="1"/>
  <c r="CP115" i="1"/>
  <c r="CN118" i="1"/>
  <c r="CN117" i="1"/>
  <c r="CN116" i="1"/>
  <c r="CN115" i="1"/>
  <c r="CL118" i="1"/>
  <c r="CL117" i="1"/>
  <c r="CL116" i="1"/>
  <c r="CL115" i="1"/>
  <c r="CJ118" i="1"/>
  <c r="CJ117" i="1"/>
  <c r="CJ116" i="1"/>
  <c r="CJ115" i="1"/>
  <c r="CH118" i="1"/>
  <c r="CH117" i="1"/>
  <c r="CH116" i="1"/>
  <c r="CH115" i="1"/>
  <c r="CF118" i="1"/>
  <c r="CF117" i="1"/>
  <c r="CF116" i="1"/>
  <c r="CF115" i="1"/>
  <c r="CD118" i="1"/>
  <c r="CD117" i="1"/>
  <c r="CD116" i="1"/>
  <c r="CD115" i="1"/>
  <c r="CB118" i="1"/>
  <c r="CB117" i="1"/>
  <c r="CB116" i="1"/>
  <c r="CB115" i="1"/>
  <c r="BZ118" i="1"/>
  <c r="BZ117" i="1"/>
  <c r="BZ116" i="1"/>
  <c r="BZ115" i="1"/>
  <c r="BX118" i="1"/>
  <c r="BX117" i="1"/>
  <c r="BX116" i="1"/>
  <c r="BX115" i="1"/>
  <c r="BV118" i="1"/>
  <c r="BV117" i="1"/>
  <c r="BV116" i="1"/>
  <c r="BV115" i="1"/>
  <c r="BT118" i="1"/>
  <c r="BT117" i="1"/>
  <c r="BT116" i="1"/>
  <c r="BT115" i="1"/>
  <c r="BR118" i="1"/>
  <c r="BR117" i="1"/>
  <c r="BR116" i="1"/>
  <c r="BR115" i="1"/>
  <c r="BP118" i="1"/>
  <c r="BP117" i="1"/>
  <c r="BP116" i="1"/>
  <c r="BP115" i="1"/>
  <c r="BN118" i="1"/>
  <c r="BN117" i="1"/>
  <c r="BN116" i="1"/>
  <c r="BN115" i="1"/>
  <c r="BL118" i="1"/>
  <c r="BL117" i="1"/>
  <c r="BL116" i="1"/>
  <c r="BL115" i="1"/>
  <c r="BJ118" i="1"/>
  <c r="BJ117" i="1"/>
  <c r="BJ116" i="1"/>
  <c r="BJ115" i="1"/>
  <c r="BH118" i="1"/>
  <c r="BH117" i="1"/>
  <c r="BH116" i="1"/>
  <c r="BH115" i="1"/>
  <c r="BF118" i="1"/>
  <c r="BF117" i="1"/>
  <c r="BF116" i="1"/>
  <c r="BF115" i="1"/>
  <c r="BD118" i="1"/>
  <c r="BD117" i="1"/>
  <c r="BD116" i="1"/>
  <c r="BD115" i="1"/>
  <c r="BB118" i="1"/>
  <c r="BB117" i="1"/>
  <c r="BB116" i="1"/>
  <c r="BB115" i="1"/>
  <c r="AZ118" i="1"/>
  <c r="AZ117" i="1"/>
  <c r="AZ116" i="1"/>
  <c r="AZ115" i="1"/>
  <c r="AX118" i="1"/>
  <c r="AX117" i="1"/>
  <c r="AX116" i="1"/>
  <c r="AX115" i="1"/>
  <c r="AV118" i="1"/>
  <c r="AV117" i="1"/>
  <c r="AV116" i="1"/>
  <c r="AV115" i="1"/>
  <c r="AT118" i="1"/>
  <c r="AT117" i="1"/>
  <c r="AT116" i="1"/>
  <c r="AT115" i="1"/>
  <c r="AR118" i="1"/>
  <c r="AR117" i="1"/>
  <c r="AR116" i="1"/>
  <c r="AR115" i="1"/>
  <c r="AP118" i="1"/>
  <c r="AP117" i="1"/>
  <c r="AP116" i="1"/>
  <c r="AP115" i="1"/>
  <c r="AN118" i="1"/>
  <c r="AN117" i="1"/>
  <c r="AN116" i="1"/>
  <c r="AN115" i="1"/>
  <c r="AL118" i="1"/>
  <c r="AL117" i="1"/>
  <c r="AL116" i="1"/>
  <c r="AL115" i="1"/>
  <c r="AJ118" i="1"/>
  <c r="AJ117" i="1"/>
  <c r="AJ116" i="1"/>
  <c r="AJ115" i="1"/>
  <c r="C118" i="1"/>
  <c r="C126" i="1" s="1"/>
  <c r="L126" i="1" s="1"/>
  <c r="C117" i="1"/>
  <c r="L117" i="1" s="1"/>
  <c r="C116" i="1"/>
  <c r="L116" i="1" s="1"/>
  <c r="C115" i="1"/>
  <c r="GN119" i="1"/>
  <c r="GJ119" i="1"/>
  <c r="GF119" i="1"/>
  <c r="GB119" i="1"/>
  <c r="FX119" i="1"/>
  <c r="FV119" i="1"/>
  <c r="FV509" i="1" s="1"/>
  <c r="FT119" i="1"/>
  <c r="FP119" i="1"/>
  <c r="FM119" i="1"/>
  <c r="GN118" i="1"/>
  <c r="GL118" i="1"/>
  <c r="GM118" i="1" s="1"/>
  <c r="GJ118" i="1"/>
  <c r="GH118" i="1"/>
  <c r="GI118" i="1" s="1"/>
  <c r="GF118" i="1"/>
  <c r="GD118" i="1"/>
  <c r="GE118" i="1" s="1"/>
  <c r="GB118" i="1"/>
  <c r="FZ118" i="1"/>
  <c r="GA118" i="1" s="1"/>
  <c r="FX118" i="1"/>
  <c r="FV118" i="1"/>
  <c r="FV508" i="1" s="1"/>
  <c r="FT118" i="1"/>
  <c r="FR118" i="1"/>
  <c r="FS118" i="1" s="1"/>
  <c r="FP118" i="1"/>
  <c r="FN118" i="1"/>
  <c r="FO118" i="1" s="1"/>
  <c r="GN117" i="1"/>
  <c r="GL117" i="1"/>
  <c r="GM117" i="1" s="1"/>
  <c r="GJ117" i="1"/>
  <c r="GH117" i="1"/>
  <c r="GI117" i="1" s="1"/>
  <c r="GF117" i="1"/>
  <c r="GD117" i="1"/>
  <c r="GE117" i="1" s="1"/>
  <c r="GB117" i="1"/>
  <c r="FZ117" i="1"/>
  <c r="GA117" i="1" s="1"/>
  <c r="FX117" i="1"/>
  <c r="FV117" i="1"/>
  <c r="FW117" i="1" s="1"/>
  <c r="FT117" i="1"/>
  <c r="FR117" i="1"/>
  <c r="FS117" i="1" s="1"/>
  <c r="FP117" i="1"/>
  <c r="FN117" i="1"/>
  <c r="FO117" i="1" s="1"/>
  <c r="FM117" i="1"/>
  <c r="GN116" i="1"/>
  <c r="GN124" i="1" s="1"/>
  <c r="GL116" i="1"/>
  <c r="GJ116" i="1"/>
  <c r="GJ124" i="1" s="1"/>
  <c r="GH116" i="1"/>
  <c r="GF116" i="1"/>
  <c r="GF124" i="1" s="1"/>
  <c r="GD116" i="1"/>
  <c r="GB116" i="1"/>
  <c r="GB124" i="1" s="1"/>
  <c r="FZ116" i="1"/>
  <c r="FX116" i="1"/>
  <c r="FX124" i="1" s="1"/>
  <c r="FV116" i="1"/>
  <c r="FT116" i="1"/>
  <c r="FT124" i="1" s="1"/>
  <c r="FR116" i="1"/>
  <c r="FP116" i="1"/>
  <c r="FP124" i="1" s="1"/>
  <c r="FN116" i="1"/>
  <c r="GN115" i="1"/>
  <c r="GL115" i="1"/>
  <c r="GL122" i="1" s="1"/>
  <c r="GJ115" i="1"/>
  <c r="GH115" i="1"/>
  <c r="GH122" i="1" s="1"/>
  <c r="GD115" i="1"/>
  <c r="GD122" i="1" s="1"/>
  <c r="GB115" i="1"/>
  <c r="FZ115" i="1"/>
  <c r="FZ122" i="1" s="1"/>
  <c r="FX115" i="1"/>
  <c r="FV115" i="1"/>
  <c r="FV122" i="1" s="1"/>
  <c r="FT115" i="1"/>
  <c r="FR115" i="1"/>
  <c r="FR122" i="1" s="1"/>
  <c r="FP115" i="1"/>
  <c r="FN115" i="1"/>
  <c r="FN122" i="1" s="1"/>
  <c r="FM115" i="1"/>
  <c r="EP118" i="1"/>
  <c r="EW117" i="1"/>
  <c r="EX117" i="1" s="1"/>
  <c r="EU117" i="1"/>
  <c r="ES117" i="1"/>
  <c r="ET117" i="1" s="1"/>
  <c r="EQ117" i="1"/>
  <c r="EQ507" i="1" s="1"/>
  <c r="ER507" i="1" s="1"/>
  <c r="EP117" i="1"/>
  <c r="EP116" i="1"/>
  <c r="EP115" i="1"/>
  <c r="DG115" i="1"/>
  <c r="DG505" i="1" s="1"/>
  <c r="EO112" i="1"/>
  <c r="EO125" i="1" s="1"/>
  <c r="EK112" i="1"/>
  <c r="EK125" i="1" s="1"/>
  <c r="EG112" i="1"/>
  <c r="EG125" i="1" s="1"/>
  <c r="EC112" i="1"/>
  <c r="EC125" i="1" s="1"/>
  <c r="DY112" i="1"/>
  <c r="DY125" i="1" s="1"/>
  <c r="DZ125" i="1" s="1"/>
  <c r="DU112" i="1"/>
  <c r="DU125" i="1" s="1"/>
  <c r="DV125" i="1" s="1"/>
  <c r="DQ112" i="1"/>
  <c r="DQ125" i="1" s="1"/>
  <c r="DM112" i="1"/>
  <c r="DM125" i="1" s="1"/>
  <c r="DI112" i="1"/>
  <c r="DI125" i="1" s="1"/>
  <c r="DJ125" i="1" s="1"/>
  <c r="DE112" i="1"/>
  <c r="DE125" i="1" s="1"/>
  <c r="DF125" i="1" s="1"/>
  <c r="DA112" i="1"/>
  <c r="DA125" i="1" s="1"/>
  <c r="CW112" i="1"/>
  <c r="CW125" i="1" s="1"/>
  <c r="CS112" i="1"/>
  <c r="CS125" i="1" s="1"/>
  <c r="CT125" i="1" s="1"/>
  <c r="CO112" i="1"/>
  <c r="CO125" i="1" s="1"/>
  <c r="CP125" i="1" s="1"/>
  <c r="CK112" i="1"/>
  <c r="CK125" i="1" s="1"/>
  <c r="CG112" i="1"/>
  <c r="CG125" i="1" s="1"/>
  <c r="CC112" i="1"/>
  <c r="CC125" i="1" s="1"/>
  <c r="CD125" i="1" s="1"/>
  <c r="BY112" i="1"/>
  <c r="BY125" i="1" s="1"/>
  <c r="BZ125" i="1" s="1"/>
  <c r="BU112" i="1"/>
  <c r="BU125" i="1" s="1"/>
  <c r="BQ112" i="1"/>
  <c r="BQ125" i="1" s="1"/>
  <c r="BM112" i="1"/>
  <c r="BM125" i="1" s="1"/>
  <c r="BN125" i="1" s="1"/>
  <c r="BI112" i="1"/>
  <c r="BI125" i="1" s="1"/>
  <c r="BJ125" i="1" s="1"/>
  <c r="BE112" i="1"/>
  <c r="BE125" i="1" s="1"/>
  <c r="BA112" i="1"/>
  <c r="BA125" i="1" s="1"/>
  <c r="AW112" i="1"/>
  <c r="AW125" i="1" s="1"/>
  <c r="AX125" i="1" s="1"/>
  <c r="AS112" i="1"/>
  <c r="AS125" i="1" s="1"/>
  <c r="AT125" i="1" s="1"/>
  <c r="AO112" i="1"/>
  <c r="AO125" i="1" s="1"/>
  <c r="AK112" i="1"/>
  <c r="AK125" i="1" s="1"/>
  <c r="AG112" i="1"/>
  <c r="AG125" i="1" s="1"/>
  <c r="AH125" i="1" s="1"/>
  <c r="AC112" i="1"/>
  <c r="AC125" i="1" s="1"/>
  <c r="AD125" i="1" s="1"/>
  <c r="Y112" i="1"/>
  <c r="Y125" i="1" s="1"/>
  <c r="U112" i="1"/>
  <c r="U125" i="1" s="1"/>
  <c r="Q112" i="1"/>
  <c r="Q125" i="1" s="1"/>
  <c r="M112" i="1"/>
  <c r="M125" i="1" s="1"/>
  <c r="G112" i="1"/>
  <c r="G125" i="1" s="1"/>
  <c r="C111" i="1"/>
  <c r="C110" i="1"/>
  <c r="C108" i="1"/>
  <c r="C109" i="1" s="1"/>
  <c r="C112" i="1" s="1"/>
  <c r="C107" i="1"/>
  <c r="FE111" i="1"/>
  <c r="FE110" i="1"/>
  <c r="FE108" i="1"/>
  <c r="FE107" i="1"/>
  <c r="EN111" i="1"/>
  <c r="EN110" i="1"/>
  <c r="EN108" i="1"/>
  <c r="EN107" i="1"/>
  <c r="EL111" i="1"/>
  <c r="EL110" i="1"/>
  <c r="EL109" i="1"/>
  <c r="EL108" i="1"/>
  <c r="EL107" i="1"/>
  <c r="EJ111" i="1"/>
  <c r="EJ110" i="1"/>
  <c r="EJ108" i="1"/>
  <c r="EJ107" i="1"/>
  <c r="EH111" i="1"/>
  <c r="EH110" i="1"/>
  <c r="EH109" i="1"/>
  <c r="EH108" i="1"/>
  <c r="EH107" i="1"/>
  <c r="EF111" i="1"/>
  <c r="EF110" i="1"/>
  <c r="EF108" i="1"/>
  <c r="EF107" i="1"/>
  <c r="ED111" i="1"/>
  <c r="ED110" i="1"/>
  <c r="ED109" i="1"/>
  <c r="ED108" i="1"/>
  <c r="ED107" i="1"/>
  <c r="EB111" i="1"/>
  <c r="EB110" i="1"/>
  <c r="EB108" i="1"/>
  <c r="EB107" i="1"/>
  <c r="DZ111" i="1"/>
  <c r="DZ110" i="1"/>
  <c r="DZ109" i="1"/>
  <c r="DZ108" i="1"/>
  <c r="DZ107" i="1"/>
  <c r="DX111" i="1"/>
  <c r="DX110" i="1"/>
  <c r="DX108" i="1"/>
  <c r="DX107" i="1"/>
  <c r="DV111" i="1"/>
  <c r="DV110" i="1"/>
  <c r="DV109" i="1"/>
  <c r="DV108" i="1"/>
  <c r="DV107" i="1"/>
  <c r="DT111" i="1"/>
  <c r="DT110" i="1"/>
  <c r="DT108" i="1"/>
  <c r="DT107" i="1"/>
  <c r="DR111" i="1"/>
  <c r="DR110" i="1"/>
  <c r="DR109" i="1"/>
  <c r="DR108" i="1"/>
  <c r="DR107" i="1"/>
  <c r="DP111" i="1"/>
  <c r="DP110" i="1"/>
  <c r="DP108" i="1"/>
  <c r="DP107" i="1"/>
  <c r="DN111" i="1"/>
  <c r="DN110" i="1"/>
  <c r="DN109" i="1"/>
  <c r="DN108" i="1"/>
  <c r="DN107" i="1"/>
  <c r="DL111" i="1"/>
  <c r="DL110" i="1"/>
  <c r="DL108" i="1"/>
  <c r="DL107" i="1"/>
  <c r="DJ111" i="1"/>
  <c r="DJ110" i="1"/>
  <c r="DJ109" i="1"/>
  <c r="DJ108" i="1"/>
  <c r="DJ107" i="1"/>
  <c r="DH111" i="1"/>
  <c r="DH110" i="1"/>
  <c r="DH108" i="1"/>
  <c r="DH107" i="1"/>
  <c r="DF111" i="1"/>
  <c r="DF110" i="1"/>
  <c r="DF109" i="1"/>
  <c r="DF108" i="1"/>
  <c r="DF107" i="1"/>
  <c r="DD111" i="1"/>
  <c r="DD110" i="1"/>
  <c r="DD108" i="1"/>
  <c r="DD107" i="1"/>
  <c r="DB111" i="1"/>
  <c r="DB110" i="1"/>
  <c r="DB109" i="1"/>
  <c r="DB108" i="1"/>
  <c r="DB107" i="1"/>
  <c r="CZ111" i="1"/>
  <c r="CZ110" i="1"/>
  <c r="CZ108" i="1"/>
  <c r="CZ107" i="1"/>
  <c r="CX111" i="1"/>
  <c r="CX110" i="1"/>
  <c r="CX109" i="1"/>
  <c r="CX108" i="1"/>
  <c r="CX107" i="1"/>
  <c r="CV111" i="1"/>
  <c r="CV110" i="1"/>
  <c r="CV108" i="1"/>
  <c r="CV107" i="1"/>
  <c r="CT111" i="1"/>
  <c r="CT110" i="1"/>
  <c r="CT109" i="1"/>
  <c r="CT108" i="1"/>
  <c r="CT107" i="1"/>
  <c r="CR111" i="1"/>
  <c r="CR110" i="1"/>
  <c r="CR108" i="1"/>
  <c r="CR107" i="1"/>
  <c r="CP111" i="1"/>
  <c r="CP110" i="1"/>
  <c r="CP109" i="1"/>
  <c r="CP108" i="1"/>
  <c r="CP107" i="1"/>
  <c r="CN111" i="1"/>
  <c r="CN110" i="1"/>
  <c r="CN108" i="1"/>
  <c r="CN107" i="1"/>
  <c r="CL111" i="1"/>
  <c r="CL110" i="1"/>
  <c r="CL109" i="1"/>
  <c r="CL108" i="1"/>
  <c r="CL107" i="1"/>
  <c r="CJ111" i="1"/>
  <c r="CJ110" i="1"/>
  <c r="CJ108" i="1"/>
  <c r="CJ107" i="1"/>
  <c r="CH111" i="1"/>
  <c r="CH110" i="1"/>
  <c r="CH109" i="1"/>
  <c r="CH108" i="1"/>
  <c r="CH107" i="1"/>
  <c r="CF111" i="1"/>
  <c r="CF110" i="1"/>
  <c r="CF108" i="1"/>
  <c r="CF107" i="1"/>
  <c r="CD111" i="1"/>
  <c r="CD110" i="1"/>
  <c r="CD109" i="1"/>
  <c r="CD108" i="1"/>
  <c r="CD107" i="1"/>
  <c r="CB111" i="1"/>
  <c r="CB110" i="1"/>
  <c r="CB108" i="1"/>
  <c r="CB107" i="1"/>
  <c r="BZ111" i="1"/>
  <c r="BZ110" i="1"/>
  <c r="BZ109" i="1"/>
  <c r="BZ108" i="1"/>
  <c r="BZ107" i="1"/>
  <c r="BX111" i="1"/>
  <c r="BX110" i="1"/>
  <c r="BX108" i="1"/>
  <c r="BX107" i="1"/>
  <c r="BV111" i="1"/>
  <c r="BV110" i="1"/>
  <c r="BV109" i="1"/>
  <c r="BV108" i="1"/>
  <c r="BV107" i="1"/>
  <c r="BT111" i="1"/>
  <c r="BT110" i="1"/>
  <c r="BT108" i="1"/>
  <c r="BT107" i="1"/>
  <c r="BR111" i="1"/>
  <c r="BR110" i="1"/>
  <c r="BR109" i="1"/>
  <c r="BR108" i="1"/>
  <c r="BR107" i="1"/>
  <c r="BP111" i="1"/>
  <c r="BP110" i="1"/>
  <c r="BP108" i="1"/>
  <c r="BP107" i="1"/>
  <c r="BN111" i="1"/>
  <c r="BN110" i="1"/>
  <c r="BN109" i="1"/>
  <c r="BN108" i="1"/>
  <c r="BN107" i="1"/>
  <c r="BL111" i="1"/>
  <c r="BL110" i="1"/>
  <c r="BL108" i="1"/>
  <c r="BL107" i="1"/>
  <c r="BJ111" i="1"/>
  <c r="BJ110" i="1"/>
  <c r="BJ109" i="1"/>
  <c r="BJ108" i="1"/>
  <c r="BJ107" i="1"/>
  <c r="BH111" i="1"/>
  <c r="BH110" i="1"/>
  <c r="BH108" i="1"/>
  <c r="BH107" i="1"/>
  <c r="BF111" i="1"/>
  <c r="BF110" i="1"/>
  <c r="BF109" i="1"/>
  <c r="BF108" i="1"/>
  <c r="BF107" i="1"/>
  <c r="BD111" i="1"/>
  <c r="BD110" i="1"/>
  <c r="BD108" i="1"/>
  <c r="BD107" i="1"/>
  <c r="BB111" i="1"/>
  <c r="BB110" i="1"/>
  <c r="BB109" i="1"/>
  <c r="BB108" i="1"/>
  <c r="BB107" i="1"/>
  <c r="AZ111" i="1"/>
  <c r="AZ110" i="1"/>
  <c r="AZ108" i="1"/>
  <c r="AZ107" i="1"/>
  <c r="AX111" i="1"/>
  <c r="AX110" i="1"/>
  <c r="AX109" i="1"/>
  <c r="AX108" i="1"/>
  <c r="AX107" i="1"/>
  <c r="AV111" i="1"/>
  <c r="AV110" i="1"/>
  <c r="AV108" i="1"/>
  <c r="AV107" i="1"/>
  <c r="AT111" i="1"/>
  <c r="AT110" i="1"/>
  <c r="AT109" i="1"/>
  <c r="AT108" i="1"/>
  <c r="AT107" i="1"/>
  <c r="AR111" i="1"/>
  <c r="AR110" i="1"/>
  <c r="AR108" i="1"/>
  <c r="AR107" i="1"/>
  <c r="AP111" i="1"/>
  <c r="AP110" i="1"/>
  <c r="AP109" i="1"/>
  <c r="AP108" i="1"/>
  <c r="AP107" i="1"/>
  <c r="AN111" i="1"/>
  <c r="AN110" i="1"/>
  <c r="AN108" i="1"/>
  <c r="AN107" i="1"/>
  <c r="AL111" i="1"/>
  <c r="AL110" i="1"/>
  <c r="AL109" i="1"/>
  <c r="AL108" i="1"/>
  <c r="AL107" i="1"/>
  <c r="AJ111" i="1"/>
  <c r="AJ110" i="1"/>
  <c r="AJ108" i="1"/>
  <c r="AJ107" i="1"/>
  <c r="AH111" i="1"/>
  <c r="AH110" i="1"/>
  <c r="AH109" i="1"/>
  <c r="AH108" i="1"/>
  <c r="AH107" i="1"/>
  <c r="AF111" i="1"/>
  <c r="AF110" i="1"/>
  <c r="AF108" i="1"/>
  <c r="AF107" i="1"/>
  <c r="AD111" i="1"/>
  <c r="AD110" i="1"/>
  <c r="AD109" i="1"/>
  <c r="AD108" i="1"/>
  <c r="AD107" i="1"/>
  <c r="AB111" i="1"/>
  <c r="AB110" i="1"/>
  <c r="AB108" i="1"/>
  <c r="AB107" i="1"/>
  <c r="Z111" i="1"/>
  <c r="Z110" i="1"/>
  <c r="Z109" i="1"/>
  <c r="Z108" i="1"/>
  <c r="Z107" i="1"/>
  <c r="X111" i="1"/>
  <c r="X110" i="1"/>
  <c r="X108" i="1"/>
  <c r="X107" i="1"/>
  <c r="V111" i="1"/>
  <c r="V110" i="1"/>
  <c r="V109" i="1"/>
  <c r="V108" i="1"/>
  <c r="V107" i="1"/>
  <c r="T111" i="1"/>
  <c r="T110" i="1"/>
  <c r="T108" i="1"/>
  <c r="T107" i="1"/>
  <c r="R111" i="1"/>
  <c r="R110" i="1"/>
  <c r="R109" i="1"/>
  <c r="R108" i="1"/>
  <c r="R107" i="1"/>
  <c r="P111" i="1"/>
  <c r="P110" i="1"/>
  <c r="P108" i="1"/>
  <c r="P107" i="1"/>
  <c r="N111" i="1"/>
  <c r="N110" i="1"/>
  <c r="N109" i="1"/>
  <c r="N108" i="1"/>
  <c r="N107" i="1"/>
  <c r="L111" i="1"/>
  <c r="L110" i="1"/>
  <c r="L108" i="1"/>
  <c r="L107" i="1"/>
  <c r="GN111" i="1"/>
  <c r="GL111" i="1"/>
  <c r="GJ111" i="1"/>
  <c r="GH111" i="1"/>
  <c r="GF111" i="1"/>
  <c r="GD111" i="1"/>
  <c r="GB111" i="1"/>
  <c r="FZ111" i="1"/>
  <c r="FX111" i="1"/>
  <c r="FV111" i="1"/>
  <c r="FV501" i="1" s="1"/>
  <c r="FT111" i="1"/>
  <c r="FR111" i="1"/>
  <c r="FP111" i="1"/>
  <c r="FN111" i="1"/>
  <c r="FL111" i="1"/>
  <c r="FJ111" i="1"/>
  <c r="FH111" i="1"/>
  <c r="FI111" i="1" s="1"/>
  <c r="FG111" i="1"/>
  <c r="GN110" i="1"/>
  <c r="GL110" i="1"/>
  <c r="GJ110" i="1"/>
  <c r="GH110" i="1"/>
  <c r="GF110" i="1"/>
  <c r="GD110" i="1"/>
  <c r="GB110" i="1"/>
  <c r="FZ110" i="1"/>
  <c r="FX110" i="1"/>
  <c r="FV110" i="1"/>
  <c r="FT110" i="1"/>
  <c r="FR110" i="1"/>
  <c r="FP110" i="1"/>
  <c r="FN110" i="1"/>
  <c r="FL110" i="1"/>
  <c r="FJ110" i="1"/>
  <c r="FH110" i="1"/>
  <c r="FI110" i="1" s="1"/>
  <c r="FG110" i="1"/>
  <c r="GN109" i="1"/>
  <c r="GL109" i="1"/>
  <c r="GJ109" i="1"/>
  <c r="GH109" i="1"/>
  <c r="GF109" i="1"/>
  <c r="GD109" i="1"/>
  <c r="GB109" i="1"/>
  <c r="FZ109" i="1"/>
  <c r="FX109" i="1"/>
  <c r="FV109" i="1"/>
  <c r="FT109" i="1"/>
  <c r="FR109" i="1"/>
  <c r="FP109" i="1"/>
  <c r="FN109" i="1"/>
  <c r="FL109" i="1"/>
  <c r="FJ109" i="1"/>
  <c r="FH109" i="1"/>
  <c r="FF109" i="1"/>
  <c r="FF122" i="1" s="1"/>
  <c r="FD109" i="1"/>
  <c r="FD122" i="1" s="1"/>
  <c r="FB109" i="1"/>
  <c r="EO109" i="1"/>
  <c r="EO122" i="1" s="1"/>
  <c r="EM109" i="1"/>
  <c r="EM112" i="1" s="1"/>
  <c r="EK109" i="1"/>
  <c r="EI109" i="1"/>
  <c r="EG109" i="1"/>
  <c r="EG122" i="1" s="1"/>
  <c r="EE109" i="1"/>
  <c r="EE112" i="1" s="1"/>
  <c r="EC109" i="1"/>
  <c r="EA109" i="1"/>
  <c r="DY109" i="1"/>
  <c r="DY122" i="1" s="1"/>
  <c r="DW109" i="1"/>
  <c r="DW112" i="1" s="1"/>
  <c r="DU109" i="1"/>
  <c r="DS109" i="1"/>
  <c r="DQ109" i="1"/>
  <c r="DQ122" i="1" s="1"/>
  <c r="DR122" i="1" s="1"/>
  <c r="DO109" i="1"/>
  <c r="DO112" i="1" s="1"/>
  <c r="DM109" i="1"/>
  <c r="DK109" i="1"/>
  <c r="DI109" i="1"/>
  <c r="DG109" i="1"/>
  <c r="DG112" i="1" s="1"/>
  <c r="DE109" i="1"/>
  <c r="DC109" i="1"/>
  <c r="DA109" i="1"/>
  <c r="CY109" i="1"/>
  <c r="CY122" i="1" s="1"/>
  <c r="CW109" i="1"/>
  <c r="CU109" i="1"/>
  <c r="CS109" i="1"/>
  <c r="CQ109" i="1"/>
  <c r="CQ122" i="1" s="1"/>
  <c r="CO109" i="1"/>
  <c r="CM109" i="1"/>
  <c r="CK109" i="1"/>
  <c r="CI109" i="1"/>
  <c r="CI122" i="1" s="1"/>
  <c r="CG109" i="1"/>
  <c r="CE109" i="1"/>
  <c r="CC109" i="1"/>
  <c r="CA109" i="1"/>
  <c r="CA122" i="1" s="1"/>
  <c r="BY109" i="1"/>
  <c r="BW109" i="1"/>
  <c r="BU109" i="1"/>
  <c r="BS109" i="1"/>
  <c r="BS122" i="1" s="1"/>
  <c r="BQ109" i="1"/>
  <c r="BO109" i="1"/>
  <c r="BM109" i="1"/>
  <c r="BK109" i="1"/>
  <c r="BK122" i="1" s="1"/>
  <c r="BI109" i="1"/>
  <c r="BG109" i="1"/>
  <c r="BE109" i="1"/>
  <c r="BC109" i="1"/>
  <c r="BC122" i="1" s="1"/>
  <c r="BA109" i="1"/>
  <c r="AY109" i="1"/>
  <c r="AW109" i="1"/>
  <c r="AU109" i="1"/>
  <c r="AU122" i="1" s="1"/>
  <c r="AS109" i="1"/>
  <c r="AQ109" i="1"/>
  <c r="AO109" i="1"/>
  <c r="AM109" i="1"/>
  <c r="AM122" i="1" s="1"/>
  <c r="AK109" i="1"/>
  <c r="AI109" i="1"/>
  <c r="AG109" i="1"/>
  <c r="AE109" i="1"/>
  <c r="AE122" i="1" s="1"/>
  <c r="AC109" i="1"/>
  <c r="AA109" i="1"/>
  <c r="Y109" i="1"/>
  <c r="W109" i="1"/>
  <c r="W122" i="1" s="1"/>
  <c r="U109" i="1"/>
  <c r="S109" i="1"/>
  <c r="Q109" i="1"/>
  <c r="O109" i="1"/>
  <c r="O122" i="1" s="1"/>
  <c r="P122" i="1" s="1"/>
  <c r="M109" i="1"/>
  <c r="K109" i="1"/>
  <c r="I109" i="1"/>
  <c r="I122" i="1" s="1"/>
  <c r="G109" i="1"/>
  <c r="E109" i="1"/>
  <c r="E122" i="1" s="1"/>
  <c r="FW108" i="1"/>
  <c r="FV108" i="1"/>
  <c r="FU108" i="1"/>
  <c r="FT108" i="1"/>
  <c r="FS108" i="1"/>
  <c r="FR108" i="1"/>
  <c r="FQ108" i="1"/>
  <c r="FP108" i="1"/>
  <c r="FO108" i="1"/>
  <c r="FN108" i="1"/>
  <c r="FM108" i="1"/>
  <c r="FL108" i="1"/>
  <c r="FK108" i="1"/>
  <c r="FJ108" i="1"/>
  <c r="FI108" i="1"/>
  <c r="FH108" i="1"/>
  <c r="FG108" i="1"/>
  <c r="GO108" i="1"/>
  <c r="GN108" i="1"/>
  <c r="GM108" i="1"/>
  <c r="GL108" i="1"/>
  <c r="GK108" i="1"/>
  <c r="GJ108" i="1"/>
  <c r="GI108" i="1"/>
  <c r="GH108" i="1"/>
  <c r="GG108" i="1"/>
  <c r="GF108" i="1"/>
  <c r="GE108" i="1"/>
  <c r="GD108" i="1"/>
  <c r="GC108" i="1"/>
  <c r="GB108" i="1"/>
  <c r="GA108" i="1"/>
  <c r="FZ108" i="1"/>
  <c r="FY108" i="1"/>
  <c r="GO107" i="1"/>
  <c r="GN107" i="1"/>
  <c r="GN498" i="1" s="1"/>
  <c r="GM107" i="1"/>
  <c r="GL107" i="1"/>
  <c r="GL498" i="1" s="1"/>
  <c r="GK107" i="1"/>
  <c r="GJ107" i="1"/>
  <c r="GJ498" i="1" s="1"/>
  <c r="GI107" i="1"/>
  <c r="GH107" i="1"/>
  <c r="GH498" i="1" s="1"/>
  <c r="GG107" i="1"/>
  <c r="GF107" i="1"/>
  <c r="GF498" i="1" s="1"/>
  <c r="GE107" i="1"/>
  <c r="GD107" i="1"/>
  <c r="GD498" i="1" s="1"/>
  <c r="GC107" i="1"/>
  <c r="GB107" i="1"/>
  <c r="GB498" i="1" s="1"/>
  <c r="GA107" i="1"/>
  <c r="FZ107" i="1"/>
  <c r="FZ498" i="1" s="1"/>
  <c r="FY107" i="1"/>
  <c r="FX107" i="1"/>
  <c r="FX498" i="1" s="1"/>
  <c r="FW107" i="1"/>
  <c r="FV107" i="1"/>
  <c r="FV498" i="1" s="1"/>
  <c r="FU107" i="1"/>
  <c r="FT107" i="1"/>
  <c r="FT498" i="1" s="1"/>
  <c r="FS107" i="1"/>
  <c r="FR107" i="1"/>
  <c r="FR498" i="1" s="1"/>
  <c r="FQ107" i="1"/>
  <c r="FP107" i="1"/>
  <c r="FP498" i="1" s="1"/>
  <c r="FO107" i="1"/>
  <c r="FN107" i="1"/>
  <c r="FN498" i="1" s="1"/>
  <c r="FM107" i="1"/>
  <c r="FL107" i="1"/>
  <c r="FL498" i="1" s="1"/>
  <c r="FK107" i="1"/>
  <c r="FJ107" i="1"/>
  <c r="FJ498" i="1" s="1"/>
  <c r="FI107" i="1"/>
  <c r="FH107" i="1"/>
  <c r="FG107" i="1"/>
  <c r="ES111" i="1"/>
  <c r="EQ111" i="1"/>
  <c r="ER111" i="1" s="1"/>
  <c r="EP111" i="1"/>
  <c r="ER110" i="1"/>
  <c r="EQ110" i="1"/>
  <c r="EQ116" i="1" s="1"/>
  <c r="EP110" i="1"/>
  <c r="EU109" i="1"/>
  <c r="EQ109" i="1"/>
  <c r="EP109" i="1"/>
  <c r="EX108" i="1"/>
  <c r="EW108" i="1"/>
  <c r="EV108" i="1"/>
  <c r="EU108" i="1"/>
  <c r="ET108" i="1"/>
  <c r="ES108" i="1"/>
  <c r="ER108" i="1"/>
  <c r="EQ108" i="1"/>
  <c r="EP108" i="1"/>
  <c r="EW107" i="1"/>
  <c r="EU107" i="1"/>
  <c r="EV107" i="1" s="1"/>
  <c r="ES107" i="1"/>
  <c r="EQ107" i="1"/>
  <c r="GP107" i="1" s="1"/>
  <c r="EP107" i="1"/>
  <c r="GN101" i="1"/>
  <c r="GL101" i="1"/>
  <c r="GJ101" i="1"/>
  <c r="GH101" i="1"/>
  <c r="GF101" i="1"/>
  <c r="EX101" i="1"/>
  <c r="EV101" i="1"/>
  <c r="ET101" i="1"/>
  <c r="ER101" i="1"/>
  <c r="EP101" i="1"/>
  <c r="EN101" i="1"/>
  <c r="EL101" i="1"/>
  <c r="EJ101" i="1"/>
  <c r="EH101" i="1"/>
  <c r="EF101" i="1"/>
  <c r="ED101" i="1"/>
  <c r="EB101" i="1"/>
  <c r="DZ101" i="1"/>
  <c r="DX101" i="1"/>
  <c r="DV101" i="1"/>
  <c r="DT101" i="1"/>
  <c r="DR101" i="1"/>
  <c r="DP101" i="1"/>
  <c r="DN101" i="1"/>
  <c r="GP96" i="1"/>
  <c r="GN96" i="1"/>
  <c r="DG96" i="1"/>
  <c r="GF96" i="1" s="1"/>
  <c r="DA96" i="1"/>
  <c r="DA534" i="1" s="1"/>
  <c r="CY96" i="1"/>
  <c r="CY534" i="1" s="1"/>
  <c r="CU96" i="1"/>
  <c r="CM96" i="1"/>
  <c r="CM534" i="1" s="1"/>
  <c r="GY96" i="1"/>
  <c r="GW96" i="1"/>
  <c r="GU96" i="1"/>
  <c r="GS96" i="1"/>
  <c r="GQ96" i="1"/>
  <c r="GB96" i="1"/>
  <c r="GZ96" i="1"/>
  <c r="DL96" i="1"/>
  <c r="DJ96" i="1"/>
  <c r="DH96" i="1"/>
  <c r="DF96" i="1"/>
  <c r="DB96" i="1"/>
  <c r="CZ96" i="1"/>
  <c r="CX96" i="1"/>
  <c r="CT96" i="1"/>
  <c r="CN96" i="1"/>
  <c r="FS96" i="1"/>
  <c r="FR96" i="1"/>
  <c r="FP96" i="1"/>
  <c r="FM96" i="1"/>
  <c r="FK96" i="1"/>
  <c r="FI96" i="1"/>
  <c r="FG96" i="1"/>
  <c r="FE96" i="1"/>
  <c r="EX96" i="1"/>
  <c r="EV96" i="1"/>
  <c r="ET96" i="1"/>
  <c r="ER96" i="1"/>
  <c r="EP96" i="1"/>
  <c r="EN96" i="1"/>
  <c r="EL96" i="1"/>
  <c r="EJ96" i="1"/>
  <c r="EH96" i="1"/>
  <c r="EF96" i="1"/>
  <c r="EE96" i="1"/>
  <c r="EE534" i="1" s="1"/>
  <c r="EC96" i="1"/>
  <c r="EC534" i="1" s="1"/>
  <c r="EB96" i="1"/>
  <c r="DZ96" i="1"/>
  <c r="DU96" i="1"/>
  <c r="DT96" i="1"/>
  <c r="DR96" i="1"/>
  <c r="DO96" i="1"/>
  <c r="DN96" i="1"/>
  <c r="CL96" i="1"/>
  <c r="CI96" i="1"/>
  <c r="CG96" i="1"/>
  <c r="CG534" i="1" s="1"/>
  <c r="CD96" i="1"/>
  <c r="CC96" i="1"/>
  <c r="CC534" i="1" s="1"/>
  <c r="CB96" i="1"/>
  <c r="CA96" i="1"/>
  <c r="CA534" i="1" s="1"/>
  <c r="BZ96" i="1"/>
  <c r="BY96" i="1"/>
  <c r="BY534" i="1" s="1"/>
  <c r="BX96" i="1"/>
  <c r="BW96" i="1"/>
  <c r="BW534" i="1" s="1"/>
  <c r="BV96" i="1"/>
  <c r="BU96" i="1"/>
  <c r="BU534" i="1" s="1"/>
  <c r="BS96" i="1"/>
  <c r="FV96" i="1" s="1"/>
  <c r="BR96" i="1"/>
  <c r="BP96" i="1"/>
  <c r="BN96" i="1"/>
  <c r="BK96" i="1"/>
  <c r="BJ96" i="1"/>
  <c r="BH96" i="1"/>
  <c r="BF96" i="1"/>
  <c r="BD96" i="1"/>
  <c r="BB96" i="1"/>
  <c r="AZ96" i="1"/>
  <c r="AV96" i="1"/>
  <c r="AT96" i="1"/>
  <c r="AR96" i="1"/>
  <c r="AO96" i="1"/>
  <c r="AN96" i="1"/>
  <c r="AL96" i="1"/>
  <c r="AJ96" i="1"/>
  <c r="AH96" i="1"/>
  <c r="AF96" i="1"/>
  <c r="AD96" i="1"/>
  <c r="AB96" i="1"/>
  <c r="Z96" i="1"/>
  <c r="X96" i="1"/>
  <c r="V96" i="1"/>
  <c r="T96" i="1"/>
  <c r="R96" i="1"/>
  <c r="P96" i="1"/>
  <c r="N96" i="1"/>
  <c r="L96" i="1"/>
  <c r="FV91" i="1"/>
  <c r="FL91" i="1"/>
  <c r="FH91" i="1"/>
  <c r="FI91" i="1" s="1"/>
  <c r="FF91" i="1"/>
  <c r="FD91" i="1"/>
  <c r="FE91" i="1" s="1"/>
  <c r="FB91" i="1"/>
  <c r="ES91" i="1"/>
  <c r="EU91" i="1" s="1"/>
  <c r="EW91" i="1" s="1"/>
  <c r="EI91" i="1"/>
  <c r="EJ91" i="1" s="1"/>
  <c r="EA91" i="1"/>
  <c r="DS91" i="1"/>
  <c r="DT91" i="1" s="1"/>
  <c r="DK91" i="1"/>
  <c r="DC91" i="1"/>
  <c r="DD91" i="1" s="1"/>
  <c r="CU91" i="1"/>
  <c r="CM91" i="1"/>
  <c r="CN91" i="1" s="1"/>
  <c r="CE91" i="1"/>
  <c r="BW91" i="1"/>
  <c r="BX91" i="1" s="1"/>
  <c r="BO91" i="1"/>
  <c r="BG91" i="1"/>
  <c r="BH91" i="1" s="1"/>
  <c r="AY91" i="1"/>
  <c r="AQ91" i="1"/>
  <c r="AR91" i="1" s="1"/>
  <c r="AI91" i="1"/>
  <c r="AG91" i="1"/>
  <c r="AH91" i="1" s="1"/>
  <c r="AE91" i="1"/>
  <c r="AC91" i="1"/>
  <c r="AD91" i="1" s="1"/>
  <c r="AA91" i="1"/>
  <c r="Y91" i="1"/>
  <c r="Z91" i="1" s="1"/>
  <c r="W91" i="1"/>
  <c r="U91" i="1"/>
  <c r="V91" i="1" s="1"/>
  <c r="S91" i="1"/>
  <c r="Q91" i="1"/>
  <c r="R91" i="1" s="1"/>
  <c r="O91" i="1"/>
  <c r="P91" i="1" s="1"/>
  <c r="M91" i="1"/>
  <c r="N91" i="1" s="1"/>
  <c r="K91" i="1"/>
  <c r="I91" i="1"/>
  <c r="G91" i="1"/>
  <c r="E91" i="1"/>
  <c r="C91" i="1"/>
  <c r="EW89" i="1"/>
  <c r="ES88" i="1"/>
  <c r="ES893" i="1" s="1"/>
  <c r="ES87" i="1"/>
  <c r="CV140" i="198" s="1"/>
  <c r="EQ89" i="1"/>
  <c r="FB87" i="1"/>
  <c r="I87" i="1"/>
  <c r="R87" i="1" s="1"/>
  <c r="G87" i="1"/>
  <c r="E87" i="1"/>
  <c r="FF88" i="1"/>
  <c r="FF87" i="1"/>
  <c r="FG87" i="1" s="1"/>
  <c r="FD87" i="1"/>
  <c r="FE87" i="1" s="1"/>
  <c r="AH87" i="1"/>
  <c r="AG87" i="1"/>
  <c r="AF87" i="1"/>
  <c r="AE87" i="1"/>
  <c r="AD87" i="1"/>
  <c r="AC87" i="1"/>
  <c r="AB87" i="1"/>
  <c r="AA87" i="1"/>
  <c r="Z87" i="1"/>
  <c r="Y87" i="1"/>
  <c r="X87" i="1"/>
  <c r="W87" i="1"/>
  <c r="V87" i="1"/>
  <c r="U87" i="1"/>
  <c r="T87" i="1"/>
  <c r="S87" i="1"/>
  <c r="Q87" i="1"/>
  <c r="P87" i="1"/>
  <c r="O87" i="1"/>
  <c r="N87" i="1"/>
  <c r="M87" i="1"/>
  <c r="K87" i="1"/>
  <c r="FZ84" i="1"/>
  <c r="FX84" i="1"/>
  <c r="FY84" i="1" s="1"/>
  <c r="GN83" i="1"/>
  <c r="GL83" i="1"/>
  <c r="GM83" i="1" s="1"/>
  <c r="GJ83" i="1"/>
  <c r="GH83" i="1"/>
  <c r="GI83" i="1" s="1"/>
  <c r="GF83" i="1"/>
  <c r="GD83" i="1"/>
  <c r="GE83" i="1" s="1"/>
  <c r="GB83" i="1"/>
  <c r="FZ83" i="1"/>
  <c r="GA83" i="1" s="1"/>
  <c r="FX83" i="1"/>
  <c r="GN82" i="1"/>
  <c r="GL82" i="1"/>
  <c r="GM82" i="1" s="1"/>
  <c r="GJ82" i="1"/>
  <c r="GH82" i="1"/>
  <c r="GI82" i="1" s="1"/>
  <c r="GF82" i="1"/>
  <c r="GD82" i="1"/>
  <c r="GE82" i="1" s="1"/>
  <c r="GB82" i="1"/>
  <c r="FZ82" i="1"/>
  <c r="GA82" i="1" s="1"/>
  <c r="FX82" i="1"/>
  <c r="FY82" i="1" s="1"/>
  <c r="FX81" i="1"/>
  <c r="FY81" i="1" s="1"/>
  <c r="GN80" i="1"/>
  <c r="GL80" i="1"/>
  <c r="GJ80" i="1"/>
  <c r="GH80" i="1"/>
  <c r="GF80" i="1"/>
  <c r="GD80" i="1"/>
  <c r="GB80" i="1"/>
  <c r="FZ80" i="1"/>
  <c r="FX80" i="1"/>
  <c r="FE84" i="1"/>
  <c r="FE83" i="1"/>
  <c r="FE82" i="1"/>
  <c r="FE80" i="1"/>
  <c r="EO84" i="1"/>
  <c r="EO91" i="1" s="1"/>
  <c r="EM84" i="1"/>
  <c r="EK84" i="1"/>
  <c r="EK91" i="1" s="1"/>
  <c r="EI84" i="1"/>
  <c r="EG84" i="1"/>
  <c r="EG91" i="1" s="1"/>
  <c r="EE84" i="1"/>
  <c r="EC84" i="1"/>
  <c r="EC91" i="1" s="1"/>
  <c r="EA84" i="1"/>
  <c r="DY84" i="1"/>
  <c r="DY91" i="1" s="1"/>
  <c r="DW84" i="1"/>
  <c r="DU84" i="1"/>
  <c r="DU91" i="1" s="1"/>
  <c r="DS84" i="1"/>
  <c r="DQ84" i="1"/>
  <c r="DQ91" i="1" s="1"/>
  <c r="DO84" i="1"/>
  <c r="GH84" i="1" s="1"/>
  <c r="DM84" i="1"/>
  <c r="DM91" i="1" s="1"/>
  <c r="DK84" i="1"/>
  <c r="DI84" i="1"/>
  <c r="DI91" i="1" s="1"/>
  <c r="DG84" i="1"/>
  <c r="DE84" i="1"/>
  <c r="DE91" i="1" s="1"/>
  <c r="DC84" i="1"/>
  <c r="DA84" i="1"/>
  <c r="DA91" i="1" s="1"/>
  <c r="CY84" i="1"/>
  <c r="CW84" i="1"/>
  <c r="CW91" i="1" s="1"/>
  <c r="CU84" i="1"/>
  <c r="CS84" i="1"/>
  <c r="CS91" i="1" s="1"/>
  <c r="CQ84" i="1"/>
  <c r="CO84" i="1"/>
  <c r="CO91" i="1" s="1"/>
  <c r="CM84" i="1"/>
  <c r="CK84" i="1"/>
  <c r="CK91" i="1" s="1"/>
  <c r="CI84" i="1"/>
  <c r="CG84" i="1"/>
  <c r="CG91" i="1" s="1"/>
  <c r="CE84" i="1"/>
  <c r="CC84" i="1"/>
  <c r="CC91" i="1" s="1"/>
  <c r="CA84" i="1"/>
  <c r="BY84" i="1"/>
  <c r="BY91" i="1" s="1"/>
  <c r="BW84" i="1"/>
  <c r="BU84" i="1"/>
  <c r="BU91" i="1" s="1"/>
  <c r="BS84" i="1"/>
  <c r="BQ84" i="1"/>
  <c r="BQ91" i="1" s="1"/>
  <c r="BO84" i="1"/>
  <c r="BM84" i="1"/>
  <c r="BM91" i="1" s="1"/>
  <c r="BK84" i="1"/>
  <c r="BI84" i="1"/>
  <c r="BI91" i="1" s="1"/>
  <c r="BG84" i="1"/>
  <c r="BE84" i="1"/>
  <c r="BE91" i="1" s="1"/>
  <c r="BC84" i="1"/>
  <c r="BA84" i="1"/>
  <c r="BA91" i="1" s="1"/>
  <c r="AY84" i="1"/>
  <c r="AW84" i="1"/>
  <c r="AW91" i="1" s="1"/>
  <c r="AU84" i="1"/>
  <c r="AS84" i="1"/>
  <c r="AS91" i="1" s="1"/>
  <c r="AQ84" i="1"/>
  <c r="AO84" i="1"/>
  <c r="AO91" i="1" s="1"/>
  <c r="AP91" i="1" s="1"/>
  <c r="AM84" i="1"/>
  <c r="AN84" i="1" s="1"/>
  <c r="AK84" i="1"/>
  <c r="AK91" i="1" s="1"/>
  <c r="AL91" i="1" s="1"/>
  <c r="AI84" i="1"/>
  <c r="AH84" i="1"/>
  <c r="AF84" i="1"/>
  <c r="AF83" i="1"/>
  <c r="AF82" i="1"/>
  <c r="AF80" i="1"/>
  <c r="AD84" i="1"/>
  <c r="AD83" i="1"/>
  <c r="AD82" i="1"/>
  <c r="AD80" i="1"/>
  <c r="AB84" i="1"/>
  <c r="AB83" i="1"/>
  <c r="AB82" i="1"/>
  <c r="AB80" i="1"/>
  <c r="Z84" i="1"/>
  <c r="Z83" i="1"/>
  <c r="Z82" i="1"/>
  <c r="Z80" i="1"/>
  <c r="X84" i="1"/>
  <c r="X83" i="1"/>
  <c r="X82" i="1"/>
  <c r="X80" i="1"/>
  <c r="V84" i="1"/>
  <c r="V83" i="1"/>
  <c r="V82" i="1"/>
  <c r="V80" i="1"/>
  <c r="T84" i="1"/>
  <c r="T83" i="1"/>
  <c r="T82" i="1"/>
  <c r="T80" i="1"/>
  <c r="R84" i="1"/>
  <c r="R83" i="1"/>
  <c r="R82" i="1"/>
  <c r="R80" i="1"/>
  <c r="P84" i="1"/>
  <c r="P83" i="1"/>
  <c r="P82" i="1"/>
  <c r="P80" i="1"/>
  <c r="N84" i="1"/>
  <c r="N83" i="1"/>
  <c r="N82" i="1"/>
  <c r="N80" i="1"/>
  <c r="L84" i="1"/>
  <c r="FR84" i="1"/>
  <c r="FN84" i="1"/>
  <c r="FL84" i="1"/>
  <c r="FL509" i="1" s="1"/>
  <c r="FJ84" i="1"/>
  <c r="FH84" i="1"/>
  <c r="FI84" i="1" s="1"/>
  <c r="FG84" i="1"/>
  <c r="FU83" i="1"/>
  <c r="FT83" i="1"/>
  <c r="FW83" i="1" s="1"/>
  <c r="FS83" i="1"/>
  <c r="FR83" i="1"/>
  <c r="FQ83" i="1"/>
  <c r="FP83" i="1"/>
  <c r="FO83" i="1"/>
  <c r="FN83" i="1"/>
  <c r="FM83" i="1"/>
  <c r="FL83" i="1"/>
  <c r="FK83" i="1"/>
  <c r="FJ83" i="1"/>
  <c r="FI83" i="1"/>
  <c r="FH83" i="1"/>
  <c r="FG83" i="1"/>
  <c r="EN83" i="1"/>
  <c r="EN82" i="1"/>
  <c r="EN80" i="1"/>
  <c r="EL83" i="1"/>
  <c r="EL82" i="1"/>
  <c r="EL80" i="1"/>
  <c r="EJ83" i="1"/>
  <c r="EJ82" i="1"/>
  <c r="EJ80" i="1"/>
  <c r="EH83" i="1"/>
  <c r="EH82" i="1"/>
  <c r="EH80" i="1"/>
  <c r="EF83" i="1"/>
  <c r="EF82" i="1"/>
  <c r="EF80" i="1"/>
  <c r="ED83" i="1"/>
  <c r="ED82" i="1"/>
  <c r="ED80" i="1"/>
  <c r="EB83" i="1"/>
  <c r="EB82" i="1"/>
  <c r="EB80" i="1"/>
  <c r="DZ83" i="1"/>
  <c r="DZ82" i="1"/>
  <c r="DZ80" i="1"/>
  <c r="DX83" i="1"/>
  <c r="DX82" i="1"/>
  <c r="DX80" i="1"/>
  <c r="DV83" i="1"/>
  <c r="DV82" i="1"/>
  <c r="DV80" i="1"/>
  <c r="DT83" i="1"/>
  <c r="DT82" i="1"/>
  <c r="DT80" i="1"/>
  <c r="DR83" i="1"/>
  <c r="DR82" i="1"/>
  <c r="DR80" i="1"/>
  <c r="DP83" i="1"/>
  <c r="DP82" i="1"/>
  <c r="DP80" i="1"/>
  <c r="DN83" i="1"/>
  <c r="DN82" i="1"/>
  <c r="DN80" i="1"/>
  <c r="DL83" i="1"/>
  <c r="DL82" i="1"/>
  <c r="DL80" i="1"/>
  <c r="DJ83" i="1"/>
  <c r="DJ82" i="1"/>
  <c r="DJ80" i="1"/>
  <c r="DH83" i="1"/>
  <c r="DH82" i="1"/>
  <c r="DH80" i="1"/>
  <c r="DF83" i="1"/>
  <c r="DF82" i="1"/>
  <c r="DF80" i="1"/>
  <c r="DD83" i="1"/>
  <c r="DD82" i="1"/>
  <c r="DD80" i="1"/>
  <c r="DB83" i="1"/>
  <c r="DB82" i="1"/>
  <c r="DB80" i="1"/>
  <c r="CZ83" i="1"/>
  <c r="CZ82" i="1"/>
  <c r="CZ80" i="1"/>
  <c r="CX83" i="1"/>
  <c r="CX82" i="1"/>
  <c r="CX80" i="1"/>
  <c r="CV83" i="1"/>
  <c r="CV82" i="1"/>
  <c r="CV80" i="1"/>
  <c r="CT83" i="1"/>
  <c r="CT82" i="1"/>
  <c r="CT80" i="1"/>
  <c r="CR83" i="1"/>
  <c r="CR82" i="1"/>
  <c r="CR80" i="1"/>
  <c r="CP83" i="1"/>
  <c r="CP82" i="1"/>
  <c r="CP80" i="1"/>
  <c r="CN83" i="1"/>
  <c r="CN82" i="1"/>
  <c r="CN80" i="1"/>
  <c r="CL83" i="1"/>
  <c r="CL82" i="1"/>
  <c r="CL80" i="1"/>
  <c r="CJ83" i="1"/>
  <c r="CJ82" i="1"/>
  <c r="CJ80" i="1"/>
  <c r="CH83" i="1"/>
  <c r="CH82" i="1"/>
  <c r="CH80" i="1"/>
  <c r="CF83" i="1"/>
  <c r="CF82" i="1"/>
  <c r="CF80" i="1"/>
  <c r="CD83" i="1"/>
  <c r="CD82" i="1"/>
  <c r="CD80" i="1"/>
  <c r="CB83" i="1"/>
  <c r="CB82" i="1"/>
  <c r="CB80" i="1"/>
  <c r="BZ83" i="1"/>
  <c r="BZ82" i="1"/>
  <c r="BZ80" i="1"/>
  <c r="BX83" i="1"/>
  <c r="BX82" i="1"/>
  <c r="BX80" i="1"/>
  <c r="BV83" i="1"/>
  <c r="BV82" i="1"/>
  <c r="BV80" i="1"/>
  <c r="BT83" i="1"/>
  <c r="BT82" i="1"/>
  <c r="BT80" i="1"/>
  <c r="BR83" i="1"/>
  <c r="BR82" i="1"/>
  <c r="BR80" i="1"/>
  <c r="BP83" i="1"/>
  <c r="BP82" i="1"/>
  <c r="BP80" i="1"/>
  <c r="BN83" i="1"/>
  <c r="BN82" i="1"/>
  <c r="BN80" i="1"/>
  <c r="BL83" i="1"/>
  <c r="BL82" i="1"/>
  <c r="BL80" i="1"/>
  <c r="BJ83" i="1"/>
  <c r="BJ82" i="1"/>
  <c r="BJ80" i="1"/>
  <c r="BH83" i="1"/>
  <c r="BH82" i="1"/>
  <c r="BH80" i="1"/>
  <c r="BF83" i="1"/>
  <c r="BF82" i="1"/>
  <c r="BF80" i="1"/>
  <c r="BD83" i="1"/>
  <c r="BD82" i="1"/>
  <c r="BD80" i="1"/>
  <c r="BB83" i="1"/>
  <c r="BB82" i="1"/>
  <c r="BB80" i="1"/>
  <c r="AZ83" i="1"/>
  <c r="AZ82" i="1"/>
  <c r="AZ80" i="1"/>
  <c r="AX83" i="1"/>
  <c r="AX82" i="1"/>
  <c r="AX80" i="1"/>
  <c r="AV83" i="1"/>
  <c r="AV82" i="1"/>
  <c r="AV80" i="1"/>
  <c r="AT83" i="1"/>
  <c r="AT82" i="1"/>
  <c r="AT80" i="1"/>
  <c r="AR83" i="1"/>
  <c r="AR82" i="1"/>
  <c r="AR80" i="1"/>
  <c r="AP83" i="1"/>
  <c r="AP82" i="1"/>
  <c r="AP80" i="1"/>
  <c r="AN83" i="1"/>
  <c r="AN82" i="1"/>
  <c r="AN80" i="1"/>
  <c r="AL83" i="1"/>
  <c r="AL82" i="1"/>
  <c r="AL80" i="1"/>
  <c r="AJ83" i="1"/>
  <c r="AJ82" i="1"/>
  <c r="AJ80" i="1"/>
  <c r="AH83" i="1"/>
  <c r="AH82" i="1"/>
  <c r="AH80" i="1"/>
  <c r="C83" i="1"/>
  <c r="C82" i="1"/>
  <c r="L82" i="1" s="1"/>
  <c r="C80" i="1"/>
  <c r="FF81" i="1"/>
  <c r="FF85" i="1" s="1"/>
  <c r="FD81" i="1"/>
  <c r="FE81" i="1" s="1"/>
  <c r="FB81" i="1"/>
  <c r="FB85" i="1" s="1"/>
  <c r="EO81" i="1"/>
  <c r="EM81" i="1"/>
  <c r="EM506" i="1" s="1"/>
  <c r="EK81" i="1"/>
  <c r="EI81" i="1"/>
  <c r="EI506" i="1" s="1"/>
  <c r="EG81" i="1"/>
  <c r="EE81" i="1"/>
  <c r="EE506" i="1" s="1"/>
  <c r="EC81" i="1"/>
  <c r="EA81" i="1"/>
  <c r="EA506" i="1" s="1"/>
  <c r="DY81" i="1"/>
  <c r="DW81" i="1"/>
  <c r="DW506" i="1" s="1"/>
  <c r="DU81" i="1"/>
  <c r="DS81" i="1"/>
  <c r="DS506" i="1" s="1"/>
  <c r="DQ81" i="1"/>
  <c r="DO81" i="1"/>
  <c r="DO506" i="1" s="1"/>
  <c r="DM81" i="1"/>
  <c r="DK81" i="1"/>
  <c r="DK506" i="1" s="1"/>
  <c r="DI81" i="1"/>
  <c r="DG81" i="1"/>
  <c r="DG506" i="1" s="1"/>
  <c r="DE81" i="1"/>
  <c r="DC81" i="1"/>
  <c r="DC506" i="1" s="1"/>
  <c r="DA81" i="1"/>
  <c r="CY81" i="1"/>
  <c r="CY506" i="1" s="1"/>
  <c r="CW81" i="1"/>
  <c r="CU81" i="1"/>
  <c r="CU506" i="1" s="1"/>
  <c r="CS81" i="1"/>
  <c r="CQ81" i="1"/>
  <c r="CQ506" i="1" s="1"/>
  <c r="CO81" i="1"/>
  <c r="CM81" i="1"/>
  <c r="CM506" i="1" s="1"/>
  <c r="CK81" i="1"/>
  <c r="CI81" i="1"/>
  <c r="CI506" i="1" s="1"/>
  <c r="CG81" i="1"/>
  <c r="CE81" i="1"/>
  <c r="CE506" i="1" s="1"/>
  <c r="CC81" i="1"/>
  <c r="CA81" i="1"/>
  <c r="CA506" i="1" s="1"/>
  <c r="BY81" i="1"/>
  <c r="BW81" i="1"/>
  <c r="BW506" i="1" s="1"/>
  <c r="BU81" i="1"/>
  <c r="BS81" i="1"/>
  <c r="BS506" i="1" s="1"/>
  <c r="BQ81" i="1"/>
  <c r="BO81" i="1"/>
  <c r="BO506" i="1" s="1"/>
  <c r="BM81" i="1"/>
  <c r="BK81" i="1"/>
  <c r="BK506" i="1" s="1"/>
  <c r="BI81" i="1"/>
  <c r="BG81" i="1"/>
  <c r="BG506" i="1" s="1"/>
  <c r="BE81" i="1"/>
  <c r="BC81" i="1"/>
  <c r="BC506" i="1" s="1"/>
  <c r="BA81" i="1"/>
  <c r="AY81" i="1"/>
  <c r="AY506" i="1" s="1"/>
  <c r="AW81" i="1"/>
  <c r="AU81" i="1"/>
  <c r="AU506" i="1" s="1"/>
  <c r="AS81" i="1"/>
  <c r="AQ81" i="1"/>
  <c r="AQ506" i="1" s="1"/>
  <c r="AO81" i="1"/>
  <c r="AM81" i="1"/>
  <c r="AM506" i="1" s="1"/>
  <c r="AK81" i="1"/>
  <c r="AI81" i="1"/>
  <c r="AI506" i="1" s="1"/>
  <c r="AG81" i="1"/>
  <c r="AE81" i="1"/>
  <c r="AE506" i="1" s="1"/>
  <c r="AC81" i="1"/>
  <c r="AA81" i="1"/>
  <c r="AA506" i="1" s="1"/>
  <c r="Y81" i="1"/>
  <c r="Y85" i="1" s="1"/>
  <c r="W81" i="1"/>
  <c r="W85" i="1" s="1"/>
  <c r="X85" i="1" s="1"/>
  <c r="U81" i="1"/>
  <c r="S81" i="1"/>
  <c r="T81" i="1" s="1"/>
  <c r="Q81" i="1"/>
  <c r="Q85" i="1" s="1"/>
  <c r="O81" i="1"/>
  <c r="O85" i="1" s="1"/>
  <c r="P85" i="1" s="1"/>
  <c r="M81" i="1"/>
  <c r="K81" i="1"/>
  <c r="I81" i="1"/>
  <c r="I85" i="1" s="1"/>
  <c r="G81" i="1"/>
  <c r="G85" i="1" s="1"/>
  <c r="E81" i="1"/>
  <c r="E85" i="1" s="1"/>
  <c r="FV82" i="1"/>
  <c r="FW82" i="1" s="1"/>
  <c r="FU82" i="1"/>
  <c r="FT82" i="1"/>
  <c r="FS82" i="1"/>
  <c r="FR82" i="1"/>
  <c r="FQ82" i="1"/>
  <c r="FP82" i="1"/>
  <c r="FO82" i="1"/>
  <c r="FN82" i="1"/>
  <c r="FM82" i="1"/>
  <c r="FL82" i="1"/>
  <c r="FK82" i="1"/>
  <c r="FJ82" i="1"/>
  <c r="FI82" i="1"/>
  <c r="FH82" i="1"/>
  <c r="FG82" i="1"/>
  <c r="FV81" i="1"/>
  <c r="FV80" i="1"/>
  <c r="FV85" i="1" s="1"/>
  <c r="FU80" i="1"/>
  <c r="FT80" i="1"/>
  <c r="FS80" i="1"/>
  <c r="FR80" i="1"/>
  <c r="FQ80" i="1"/>
  <c r="FP80" i="1"/>
  <c r="FO80" i="1"/>
  <c r="FN80" i="1"/>
  <c r="FM80" i="1"/>
  <c r="FL80" i="1"/>
  <c r="FK80" i="1"/>
  <c r="FJ80" i="1"/>
  <c r="FI80" i="1"/>
  <c r="FH80" i="1"/>
  <c r="FG80" i="1"/>
  <c r="EP83" i="1"/>
  <c r="ET82" i="1"/>
  <c r="ES82" i="1"/>
  <c r="EU82" i="1" s="1"/>
  <c r="EW82" i="1" s="1"/>
  <c r="EX82" i="1" s="1"/>
  <c r="ER82" i="1"/>
  <c r="EQ82" i="1"/>
  <c r="EP82" i="1"/>
  <c r="EP80" i="1"/>
  <c r="ES75" i="1"/>
  <c r="EU74" i="1"/>
  <c r="EW74" i="1" s="1"/>
  <c r="ES74" i="1"/>
  <c r="FG72" i="1"/>
  <c r="FF72" i="1"/>
  <c r="FF93" i="1" s="1"/>
  <c r="FF97" i="1" s="1"/>
  <c r="FE72" i="1"/>
  <c r="FD72" i="1"/>
  <c r="FB72" i="1"/>
  <c r="AH72" i="1"/>
  <c r="AG72" i="1"/>
  <c r="AF72" i="1"/>
  <c r="AE72" i="1"/>
  <c r="AD72" i="1"/>
  <c r="AC72" i="1"/>
  <c r="AB72" i="1"/>
  <c r="AA72" i="1"/>
  <c r="Z72" i="1"/>
  <c r="Y72" i="1"/>
  <c r="X72" i="1"/>
  <c r="W72" i="1"/>
  <c r="V72" i="1"/>
  <c r="U72" i="1"/>
  <c r="T72" i="1"/>
  <c r="S72" i="1"/>
  <c r="Q72" i="1"/>
  <c r="P72" i="1"/>
  <c r="O72" i="1"/>
  <c r="N72" i="1"/>
  <c r="M72" i="1"/>
  <c r="K72" i="1"/>
  <c r="I72" i="1"/>
  <c r="G72" i="1"/>
  <c r="E72" i="1"/>
  <c r="C71" i="1"/>
  <c r="C69" i="1"/>
  <c r="C81" i="1" s="1"/>
  <c r="C68" i="1"/>
  <c r="FW71" i="1"/>
  <c r="FT71" i="1"/>
  <c r="FU71" i="1" s="1"/>
  <c r="FR71" i="1"/>
  <c r="FS71" i="1" s="1"/>
  <c r="FP71" i="1"/>
  <c r="FQ71" i="1" s="1"/>
  <c r="FN71" i="1"/>
  <c r="FO71" i="1" s="1"/>
  <c r="FL71" i="1"/>
  <c r="FM71" i="1" s="1"/>
  <c r="FJ71" i="1"/>
  <c r="FK71" i="1" s="1"/>
  <c r="FH71" i="1"/>
  <c r="FI71" i="1" s="1"/>
  <c r="FG71" i="1"/>
  <c r="FE71" i="1"/>
  <c r="FE69" i="1"/>
  <c r="FE68" i="1"/>
  <c r="FE67" i="1"/>
  <c r="EN71" i="1"/>
  <c r="EN69" i="1"/>
  <c r="EN68" i="1"/>
  <c r="EL71" i="1"/>
  <c r="EL69" i="1"/>
  <c r="EL68" i="1"/>
  <c r="EJ71" i="1"/>
  <c r="EJ69" i="1"/>
  <c r="EJ68" i="1"/>
  <c r="EH71" i="1"/>
  <c r="EH69" i="1"/>
  <c r="EH68" i="1"/>
  <c r="EF71" i="1"/>
  <c r="EF69" i="1"/>
  <c r="EF68" i="1"/>
  <c r="ED71" i="1"/>
  <c r="ED69" i="1"/>
  <c r="ED68" i="1"/>
  <c r="EB71" i="1"/>
  <c r="EB69" i="1"/>
  <c r="EB68" i="1"/>
  <c r="DZ71" i="1"/>
  <c r="DZ69" i="1"/>
  <c r="DZ68" i="1"/>
  <c r="DX71" i="1"/>
  <c r="DX69" i="1"/>
  <c r="DX68" i="1"/>
  <c r="DV71" i="1"/>
  <c r="DV69" i="1"/>
  <c r="DV68" i="1"/>
  <c r="DT71" i="1"/>
  <c r="DT69" i="1"/>
  <c r="DT68" i="1"/>
  <c r="DR71" i="1"/>
  <c r="DR69" i="1"/>
  <c r="DR68" i="1"/>
  <c r="DP71" i="1"/>
  <c r="DP69" i="1"/>
  <c r="DP68" i="1"/>
  <c r="DN71" i="1"/>
  <c r="DN69" i="1"/>
  <c r="DN68" i="1"/>
  <c r="DL69" i="1"/>
  <c r="DL68" i="1"/>
  <c r="DJ71" i="1"/>
  <c r="DL71" i="1" s="1"/>
  <c r="DJ69" i="1"/>
  <c r="DJ68" i="1"/>
  <c r="DH71" i="1"/>
  <c r="DH69" i="1"/>
  <c r="DH68" i="1"/>
  <c r="DF71" i="1"/>
  <c r="DF69" i="1"/>
  <c r="DF68" i="1"/>
  <c r="DD71" i="1"/>
  <c r="DD70" i="1"/>
  <c r="DD69" i="1"/>
  <c r="DD68" i="1"/>
  <c r="DB71" i="1"/>
  <c r="DB69" i="1"/>
  <c r="CZ71" i="1"/>
  <c r="CZ69" i="1"/>
  <c r="CZ68" i="1"/>
  <c r="CX71" i="1"/>
  <c r="CX69" i="1"/>
  <c r="CX68" i="1"/>
  <c r="CV71" i="1"/>
  <c r="CV70" i="1"/>
  <c r="CV69" i="1"/>
  <c r="CV68" i="1"/>
  <c r="CT71" i="1"/>
  <c r="CT69" i="1"/>
  <c r="CR71" i="1"/>
  <c r="CR69" i="1"/>
  <c r="CR68" i="1"/>
  <c r="CP71" i="1"/>
  <c r="CP69" i="1"/>
  <c r="CP68" i="1"/>
  <c r="CN71" i="1"/>
  <c r="CN70" i="1"/>
  <c r="CN69" i="1"/>
  <c r="CN68" i="1"/>
  <c r="CL71" i="1"/>
  <c r="CL69" i="1"/>
  <c r="CL68" i="1"/>
  <c r="CJ71" i="1"/>
  <c r="CJ69" i="1"/>
  <c r="CJ68" i="1"/>
  <c r="CH71" i="1"/>
  <c r="CH69" i="1"/>
  <c r="CH68" i="1"/>
  <c r="CF71" i="1"/>
  <c r="CF70" i="1"/>
  <c r="CF69" i="1"/>
  <c r="CF68" i="1"/>
  <c r="CD71" i="1"/>
  <c r="CD69" i="1"/>
  <c r="CD68" i="1"/>
  <c r="CB71" i="1"/>
  <c r="CB69" i="1"/>
  <c r="CB68" i="1"/>
  <c r="BZ71" i="1"/>
  <c r="BZ69" i="1"/>
  <c r="BZ68" i="1"/>
  <c r="BX71" i="1"/>
  <c r="BX70" i="1"/>
  <c r="BX69" i="1"/>
  <c r="BX68" i="1"/>
  <c r="BV71" i="1"/>
  <c r="BV69" i="1"/>
  <c r="BV68" i="1"/>
  <c r="BT71" i="1"/>
  <c r="BT69" i="1"/>
  <c r="BT68" i="1"/>
  <c r="BR71" i="1"/>
  <c r="BR69" i="1"/>
  <c r="BR68" i="1"/>
  <c r="BP71" i="1"/>
  <c r="BP70" i="1"/>
  <c r="BP69" i="1"/>
  <c r="BP68" i="1"/>
  <c r="BN71" i="1"/>
  <c r="BN69" i="1"/>
  <c r="BN68" i="1"/>
  <c r="BL71" i="1"/>
  <c r="BL69" i="1"/>
  <c r="BL68" i="1"/>
  <c r="BJ71" i="1"/>
  <c r="BJ69" i="1"/>
  <c r="BJ68" i="1"/>
  <c r="BH71" i="1"/>
  <c r="BH70" i="1"/>
  <c r="BH69" i="1"/>
  <c r="BH68" i="1"/>
  <c r="BF71" i="1"/>
  <c r="BF69" i="1"/>
  <c r="BF68" i="1"/>
  <c r="BD71" i="1"/>
  <c r="BD69" i="1"/>
  <c r="BD68" i="1"/>
  <c r="BB71" i="1"/>
  <c r="BB69" i="1"/>
  <c r="BB68" i="1"/>
  <c r="AZ71" i="1"/>
  <c r="AZ70" i="1"/>
  <c r="AZ69" i="1"/>
  <c r="AZ68" i="1"/>
  <c r="AX71" i="1"/>
  <c r="AX69" i="1"/>
  <c r="AX68" i="1"/>
  <c r="AV71" i="1"/>
  <c r="AV69" i="1"/>
  <c r="AV68" i="1"/>
  <c r="AT71" i="1"/>
  <c r="AT69" i="1"/>
  <c r="AT68" i="1"/>
  <c r="AR71" i="1"/>
  <c r="AR70" i="1"/>
  <c r="AR69" i="1"/>
  <c r="AR68" i="1"/>
  <c r="AP71" i="1"/>
  <c r="AP69" i="1"/>
  <c r="AP68" i="1"/>
  <c r="AN71" i="1"/>
  <c r="AN69" i="1"/>
  <c r="AN68" i="1"/>
  <c r="AL71" i="1"/>
  <c r="AL69" i="1"/>
  <c r="AL68" i="1"/>
  <c r="AJ71" i="1"/>
  <c r="AJ70" i="1"/>
  <c r="AJ69" i="1"/>
  <c r="AJ68" i="1"/>
  <c r="AH71" i="1"/>
  <c r="AH69" i="1"/>
  <c r="AH68" i="1"/>
  <c r="AH67" i="1"/>
  <c r="AF71" i="1"/>
  <c r="AF69" i="1"/>
  <c r="AF68" i="1"/>
  <c r="AF67" i="1"/>
  <c r="AD71" i="1"/>
  <c r="AD69" i="1"/>
  <c r="AD68" i="1"/>
  <c r="AD67" i="1"/>
  <c r="AB71" i="1"/>
  <c r="AB70" i="1"/>
  <c r="AB69" i="1"/>
  <c r="AB68" i="1"/>
  <c r="AB67" i="1"/>
  <c r="Z71" i="1"/>
  <c r="Z69" i="1"/>
  <c r="Z68" i="1"/>
  <c r="Z67" i="1"/>
  <c r="X71" i="1"/>
  <c r="X69" i="1"/>
  <c r="X68" i="1"/>
  <c r="X67" i="1"/>
  <c r="V71" i="1"/>
  <c r="V69" i="1"/>
  <c r="V68" i="1"/>
  <c r="V67" i="1"/>
  <c r="T71" i="1"/>
  <c r="T70" i="1"/>
  <c r="T69" i="1"/>
  <c r="T68" i="1"/>
  <c r="T67" i="1"/>
  <c r="R71" i="1"/>
  <c r="R69" i="1"/>
  <c r="R68" i="1"/>
  <c r="R67" i="1"/>
  <c r="P71" i="1"/>
  <c r="P69" i="1"/>
  <c r="P68" i="1"/>
  <c r="P67" i="1"/>
  <c r="N71" i="1"/>
  <c r="N69" i="1"/>
  <c r="N68" i="1"/>
  <c r="N67" i="1"/>
  <c r="L71" i="1"/>
  <c r="L69" i="1"/>
  <c r="L68" i="1"/>
  <c r="L67" i="1"/>
  <c r="FX70" i="1"/>
  <c r="FG70" i="1"/>
  <c r="FF70" i="1"/>
  <c r="FD70" i="1"/>
  <c r="FE70" i="1" s="1"/>
  <c r="FB70" i="1"/>
  <c r="EO70" i="1"/>
  <c r="EP70" i="1" s="1"/>
  <c r="EM70" i="1"/>
  <c r="EN70" i="1" s="1"/>
  <c r="EK70" i="1"/>
  <c r="EL70" i="1" s="1"/>
  <c r="EI70" i="1"/>
  <c r="EJ70" i="1" s="1"/>
  <c r="EG70" i="1"/>
  <c r="EH70" i="1" s="1"/>
  <c r="EE70" i="1"/>
  <c r="EF70" i="1" s="1"/>
  <c r="EC70" i="1"/>
  <c r="ED70" i="1" s="1"/>
  <c r="EA70" i="1"/>
  <c r="EB70" i="1" s="1"/>
  <c r="DY70" i="1"/>
  <c r="DZ70" i="1" s="1"/>
  <c r="DW70" i="1"/>
  <c r="DX70" i="1" s="1"/>
  <c r="DU70" i="1"/>
  <c r="DV70" i="1" s="1"/>
  <c r="DS70" i="1"/>
  <c r="DT70" i="1" s="1"/>
  <c r="DQ70" i="1"/>
  <c r="DR70" i="1" s="1"/>
  <c r="DO70" i="1"/>
  <c r="DP70" i="1" s="1"/>
  <c r="DM70" i="1"/>
  <c r="DN70" i="1" s="1"/>
  <c r="DK70" i="1"/>
  <c r="DL70" i="1" s="1"/>
  <c r="DI70" i="1"/>
  <c r="DJ70" i="1" s="1"/>
  <c r="DG70" i="1"/>
  <c r="DH70" i="1" s="1"/>
  <c r="DE70" i="1"/>
  <c r="DF70" i="1" s="1"/>
  <c r="DC70" i="1"/>
  <c r="DA70" i="1"/>
  <c r="CY70" i="1"/>
  <c r="CZ70" i="1" s="1"/>
  <c r="CW70" i="1"/>
  <c r="CX70" i="1" s="1"/>
  <c r="CU70" i="1"/>
  <c r="CQ70" i="1"/>
  <c r="CR70" i="1" s="1"/>
  <c r="CO70" i="1"/>
  <c r="CP70" i="1" s="1"/>
  <c r="CM70" i="1"/>
  <c r="CK70" i="1"/>
  <c r="CL70" i="1" s="1"/>
  <c r="CI70" i="1"/>
  <c r="CJ70" i="1" s="1"/>
  <c r="CG70" i="1"/>
  <c r="CH70" i="1" s="1"/>
  <c r="CE70" i="1"/>
  <c r="CC70" i="1"/>
  <c r="CD70" i="1" s="1"/>
  <c r="CA70" i="1"/>
  <c r="CB70" i="1" s="1"/>
  <c r="BY70" i="1"/>
  <c r="BZ70" i="1" s="1"/>
  <c r="BW70" i="1"/>
  <c r="BU70" i="1"/>
  <c r="BV70" i="1" s="1"/>
  <c r="BS70" i="1"/>
  <c r="BT70" i="1" s="1"/>
  <c r="BQ70" i="1"/>
  <c r="BR70" i="1" s="1"/>
  <c r="BO70" i="1"/>
  <c r="BM70" i="1"/>
  <c r="BN70" i="1" s="1"/>
  <c r="BK70" i="1"/>
  <c r="BL70" i="1" s="1"/>
  <c r="BI70" i="1"/>
  <c r="BJ70" i="1" s="1"/>
  <c r="BG70" i="1"/>
  <c r="BE70" i="1"/>
  <c r="BF70" i="1" s="1"/>
  <c r="BC70" i="1"/>
  <c r="BD70" i="1" s="1"/>
  <c r="BA70" i="1"/>
  <c r="BB70" i="1" s="1"/>
  <c r="AY70" i="1"/>
  <c r="AW70" i="1"/>
  <c r="AX70" i="1" s="1"/>
  <c r="AU70" i="1"/>
  <c r="AV70" i="1" s="1"/>
  <c r="AS70" i="1"/>
  <c r="AT70" i="1" s="1"/>
  <c r="AQ70" i="1"/>
  <c r="AO70" i="1"/>
  <c r="AP70" i="1" s="1"/>
  <c r="AM70" i="1"/>
  <c r="AN70" i="1" s="1"/>
  <c r="AK70" i="1"/>
  <c r="AL70" i="1" s="1"/>
  <c r="AI70" i="1"/>
  <c r="AG70" i="1"/>
  <c r="AH70" i="1" s="1"/>
  <c r="AE70" i="1"/>
  <c r="AF70" i="1" s="1"/>
  <c r="AC70" i="1"/>
  <c r="AD70" i="1" s="1"/>
  <c r="AA70" i="1"/>
  <c r="Y70" i="1"/>
  <c r="Z70" i="1" s="1"/>
  <c r="W70" i="1"/>
  <c r="X70" i="1" s="1"/>
  <c r="U70" i="1"/>
  <c r="V70" i="1" s="1"/>
  <c r="S70" i="1"/>
  <c r="Q70" i="1"/>
  <c r="R70" i="1" s="1"/>
  <c r="O70" i="1"/>
  <c r="P70" i="1" s="1"/>
  <c r="M70" i="1"/>
  <c r="N70" i="1" s="1"/>
  <c r="K70" i="1"/>
  <c r="I70" i="1"/>
  <c r="G70" i="1"/>
  <c r="E70" i="1"/>
  <c r="FT69" i="1"/>
  <c r="FT81" i="1" s="1"/>
  <c r="FR69" i="1"/>
  <c r="FR81" i="1" s="1"/>
  <c r="FS81" i="1" s="1"/>
  <c r="FP69" i="1"/>
  <c r="FP81" i="1" s="1"/>
  <c r="FN69" i="1"/>
  <c r="FN81" i="1" s="1"/>
  <c r="FO81" i="1" s="1"/>
  <c r="FL69" i="1"/>
  <c r="FL81" i="1" s="1"/>
  <c r="FM81" i="1" s="1"/>
  <c r="FJ69" i="1"/>
  <c r="FJ81" i="1" s="1"/>
  <c r="FK81" i="1" s="1"/>
  <c r="FH69" i="1"/>
  <c r="FH81" i="1" s="1"/>
  <c r="FH85" i="1" s="1"/>
  <c r="FI85" i="1" s="1"/>
  <c r="FG69" i="1"/>
  <c r="FX68" i="1"/>
  <c r="FX67" i="1"/>
  <c r="CS68" i="1"/>
  <c r="CS500" i="1" s="1"/>
  <c r="CS67" i="1"/>
  <c r="GN71" i="1"/>
  <c r="GO71" i="1" s="1"/>
  <c r="GL71" i="1"/>
  <c r="GM71" i="1" s="1"/>
  <c r="GJ71" i="1"/>
  <c r="GK71" i="1" s="1"/>
  <c r="GH71" i="1"/>
  <c r="GI71" i="1" s="1"/>
  <c r="GF71" i="1"/>
  <c r="GG71" i="1" s="1"/>
  <c r="GD71" i="1"/>
  <c r="GE71" i="1" s="1"/>
  <c r="GB71" i="1"/>
  <c r="GC71" i="1" s="1"/>
  <c r="FZ71" i="1"/>
  <c r="GA71" i="1" s="1"/>
  <c r="FY71" i="1"/>
  <c r="GN69" i="1"/>
  <c r="GL69" i="1"/>
  <c r="GL81" i="1" s="1"/>
  <c r="GJ69" i="1"/>
  <c r="GK69" i="1" s="1"/>
  <c r="GH69" i="1"/>
  <c r="GH81" i="1" s="1"/>
  <c r="GF69" i="1"/>
  <c r="GF81" i="1" s="1"/>
  <c r="GD69" i="1"/>
  <c r="GD81" i="1" s="1"/>
  <c r="GB69" i="1"/>
  <c r="GB81" i="1" s="1"/>
  <c r="FZ69" i="1"/>
  <c r="FZ81" i="1" s="1"/>
  <c r="GA81" i="1" s="1"/>
  <c r="FY69" i="1"/>
  <c r="GN68" i="1"/>
  <c r="GL68" i="1"/>
  <c r="GJ68" i="1"/>
  <c r="GH68" i="1"/>
  <c r="GF68" i="1"/>
  <c r="GG68" i="1" s="1"/>
  <c r="GD68" i="1"/>
  <c r="FZ68" i="1"/>
  <c r="FV68" i="1"/>
  <c r="FT68" i="1"/>
  <c r="FR68" i="1"/>
  <c r="FP68" i="1"/>
  <c r="FP70" i="1" s="1"/>
  <c r="FN68" i="1"/>
  <c r="FL68" i="1"/>
  <c r="FL70" i="1" s="1"/>
  <c r="FJ68" i="1"/>
  <c r="FH68" i="1"/>
  <c r="FH70" i="1" s="1"/>
  <c r="FI70" i="1" s="1"/>
  <c r="FG68" i="1"/>
  <c r="FV67" i="1"/>
  <c r="FV72" i="1" s="1"/>
  <c r="FV93" i="1" s="1"/>
  <c r="FL67" i="1"/>
  <c r="FM67" i="1" s="1"/>
  <c r="FJ67" i="1"/>
  <c r="FJ72" i="1" s="1"/>
  <c r="FH67" i="1"/>
  <c r="FI67" i="1" s="1"/>
  <c r="FG67" i="1"/>
  <c r="ER71" i="1"/>
  <c r="EQ71" i="1"/>
  <c r="ES71" i="1" s="1"/>
  <c r="EP71" i="1"/>
  <c r="EP69" i="1"/>
  <c r="EP68" i="1"/>
  <c r="EP67" i="1"/>
  <c r="EO67" i="1"/>
  <c r="EO72" i="1" s="1"/>
  <c r="EM67" i="1"/>
  <c r="EN67" i="1" s="1"/>
  <c r="EK67" i="1"/>
  <c r="EI67" i="1"/>
  <c r="EI499" i="1" s="1"/>
  <c r="EG67" i="1"/>
  <c r="EH67" i="1" s="1"/>
  <c r="EE67" i="1"/>
  <c r="EE72" i="1" s="1"/>
  <c r="EC67" i="1"/>
  <c r="EC72" i="1" s="1"/>
  <c r="EA67" i="1"/>
  <c r="EA499" i="1" s="1"/>
  <c r="DY67" i="1"/>
  <c r="DZ67" i="1" s="1"/>
  <c r="DW67" i="1"/>
  <c r="DX67" i="1" s="1"/>
  <c r="DU67" i="1"/>
  <c r="DS67" i="1"/>
  <c r="DQ67" i="1"/>
  <c r="DR67" i="1" s="1"/>
  <c r="DO67" i="1"/>
  <c r="DP67" i="1" s="1"/>
  <c r="DM67" i="1"/>
  <c r="DN67" i="1" s="1"/>
  <c r="DK67" i="1"/>
  <c r="DI67" i="1"/>
  <c r="DJ67" i="1" s="1"/>
  <c r="DG67" i="1"/>
  <c r="DH67" i="1" s="1"/>
  <c r="DE67" i="1"/>
  <c r="DC67" i="1"/>
  <c r="DA67" i="1"/>
  <c r="DB67" i="1" s="1"/>
  <c r="CY67" i="1"/>
  <c r="CZ67" i="1" s="1"/>
  <c r="CW67" i="1"/>
  <c r="CX67" i="1" s="1"/>
  <c r="CU67" i="1"/>
  <c r="CQ67" i="1"/>
  <c r="CO67" i="1"/>
  <c r="CO72" i="1" s="1"/>
  <c r="CM67" i="1"/>
  <c r="CK67" i="1"/>
  <c r="CI67" i="1"/>
  <c r="CJ67" i="1" s="1"/>
  <c r="CG67" i="1"/>
  <c r="CG72" i="1" s="1"/>
  <c r="CE67" i="1"/>
  <c r="CC67" i="1"/>
  <c r="CA67" i="1"/>
  <c r="BY67" i="1"/>
  <c r="BY72" i="1" s="1"/>
  <c r="BW67" i="1"/>
  <c r="BU67" i="1"/>
  <c r="BS67" i="1"/>
  <c r="BT67" i="1" s="1"/>
  <c r="BQ67" i="1"/>
  <c r="BQ72" i="1" s="1"/>
  <c r="BO67" i="1"/>
  <c r="BM67" i="1"/>
  <c r="BK67" i="1"/>
  <c r="BI67" i="1"/>
  <c r="BI72" i="1" s="1"/>
  <c r="BG67" i="1"/>
  <c r="BE67" i="1"/>
  <c r="BC67" i="1"/>
  <c r="BD67" i="1" s="1"/>
  <c r="BA67" i="1"/>
  <c r="BA72" i="1" s="1"/>
  <c r="AY67" i="1"/>
  <c r="AW67" i="1"/>
  <c r="AU67" i="1"/>
  <c r="AS67" i="1"/>
  <c r="AS72" i="1" s="1"/>
  <c r="AQ67" i="1"/>
  <c r="AO67" i="1"/>
  <c r="AM67" i="1"/>
  <c r="AN67" i="1" s="1"/>
  <c r="AK67" i="1"/>
  <c r="AK72" i="1" s="1"/>
  <c r="AI67" i="1"/>
  <c r="FB62" i="1"/>
  <c r="FB61" i="1"/>
  <c r="FB60" i="1"/>
  <c r="FB59" i="1"/>
  <c r="I59" i="1"/>
  <c r="G59" i="1"/>
  <c r="E59" i="1"/>
  <c r="FG59" i="1"/>
  <c r="FF59" i="1"/>
  <c r="FE59" i="1"/>
  <c r="FD59" i="1"/>
  <c r="EP59" i="1"/>
  <c r="EO59" i="1"/>
  <c r="EO785" i="1" s="1"/>
  <c r="EN59" i="1"/>
  <c r="EM59" i="1"/>
  <c r="EM785" i="1" s="1"/>
  <c r="EL59" i="1"/>
  <c r="EK59" i="1"/>
  <c r="EK785" i="1" s="1"/>
  <c r="EJ59" i="1"/>
  <c r="EI59" i="1"/>
  <c r="EI785" i="1" s="1"/>
  <c r="EH59" i="1"/>
  <c r="EG59" i="1"/>
  <c r="EG785" i="1" s="1"/>
  <c r="EF59" i="1"/>
  <c r="EE59" i="1"/>
  <c r="EE785" i="1" s="1"/>
  <c r="ED59" i="1"/>
  <c r="EC59" i="1"/>
  <c r="EC785" i="1" s="1"/>
  <c r="EB59" i="1"/>
  <c r="EA59" i="1"/>
  <c r="EA785" i="1" s="1"/>
  <c r="DZ59" i="1"/>
  <c r="DY59" i="1"/>
  <c r="DY785" i="1" s="1"/>
  <c r="DX59" i="1"/>
  <c r="DW59" i="1"/>
  <c r="DW785" i="1" s="1"/>
  <c r="DV59" i="1"/>
  <c r="DU59" i="1"/>
  <c r="DU785" i="1" s="1"/>
  <c r="DT59" i="1"/>
  <c r="DS59" i="1"/>
  <c r="DS785" i="1" s="1"/>
  <c r="DR59" i="1"/>
  <c r="DQ59" i="1"/>
  <c r="DQ785" i="1" s="1"/>
  <c r="DP59" i="1"/>
  <c r="DO59" i="1"/>
  <c r="DO785" i="1" s="1"/>
  <c r="DN59" i="1"/>
  <c r="DM59" i="1"/>
  <c r="DM785" i="1" s="1"/>
  <c r="DL59" i="1"/>
  <c r="DK59" i="1"/>
  <c r="DK785" i="1" s="1"/>
  <c r="DJ59" i="1"/>
  <c r="DI59" i="1"/>
  <c r="DI785" i="1" s="1"/>
  <c r="DH59" i="1"/>
  <c r="DG59" i="1"/>
  <c r="DG785" i="1" s="1"/>
  <c r="DF59" i="1"/>
  <c r="DE59" i="1"/>
  <c r="DE785" i="1" s="1"/>
  <c r="DD59" i="1"/>
  <c r="DC59" i="1"/>
  <c r="DC785" i="1" s="1"/>
  <c r="DB59" i="1"/>
  <c r="DA59" i="1"/>
  <c r="DA785" i="1" s="1"/>
  <c r="CZ59" i="1"/>
  <c r="CY59" i="1"/>
  <c r="CY785" i="1" s="1"/>
  <c r="CX59" i="1"/>
  <c r="CW59" i="1"/>
  <c r="CW785" i="1" s="1"/>
  <c r="CV59" i="1"/>
  <c r="CU59" i="1"/>
  <c r="CU785" i="1" s="1"/>
  <c r="CT59" i="1"/>
  <c r="CS59" i="1"/>
  <c r="CS785" i="1" s="1"/>
  <c r="CR59" i="1"/>
  <c r="CQ59" i="1"/>
  <c r="CQ785" i="1" s="1"/>
  <c r="CP59" i="1"/>
  <c r="CO59" i="1"/>
  <c r="CO785" i="1" s="1"/>
  <c r="CN59" i="1"/>
  <c r="CM59" i="1"/>
  <c r="CM785" i="1" s="1"/>
  <c r="CL59" i="1"/>
  <c r="CK59" i="1"/>
  <c r="CK785" i="1" s="1"/>
  <c r="CJ59" i="1"/>
  <c r="CI59" i="1"/>
  <c r="CI785" i="1" s="1"/>
  <c r="CH59" i="1"/>
  <c r="CG59" i="1"/>
  <c r="CG785" i="1" s="1"/>
  <c r="CF59" i="1"/>
  <c r="CE59" i="1"/>
  <c r="CE785" i="1" s="1"/>
  <c r="CD59" i="1"/>
  <c r="CC59" i="1"/>
  <c r="CC785" i="1" s="1"/>
  <c r="CB59" i="1"/>
  <c r="CA59" i="1"/>
  <c r="CA785" i="1" s="1"/>
  <c r="BZ59" i="1"/>
  <c r="BY59" i="1"/>
  <c r="BY785" i="1" s="1"/>
  <c r="BX59" i="1"/>
  <c r="BW59" i="1"/>
  <c r="BW785" i="1" s="1"/>
  <c r="BV59" i="1"/>
  <c r="BU59" i="1"/>
  <c r="BU785" i="1" s="1"/>
  <c r="BT59" i="1"/>
  <c r="BS59" i="1"/>
  <c r="BS785" i="1" s="1"/>
  <c r="BR59" i="1"/>
  <c r="BQ59" i="1"/>
  <c r="BQ785" i="1" s="1"/>
  <c r="BP59" i="1"/>
  <c r="BO59" i="1"/>
  <c r="BO785" i="1" s="1"/>
  <c r="BN59" i="1"/>
  <c r="BM59" i="1"/>
  <c r="BM785" i="1" s="1"/>
  <c r="BL59" i="1"/>
  <c r="BK59" i="1"/>
  <c r="BK785" i="1" s="1"/>
  <c r="BJ59" i="1"/>
  <c r="BI59" i="1"/>
  <c r="BI785" i="1" s="1"/>
  <c r="BH59" i="1"/>
  <c r="BG59" i="1"/>
  <c r="BG785" i="1" s="1"/>
  <c r="BF59" i="1"/>
  <c r="BE59" i="1"/>
  <c r="BE785" i="1" s="1"/>
  <c r="BD59" i="1"/>
  <c r="BC59" i="1"/>
  <c r="BC785" i="1" s="1"/>
  <c r="BB59" i="1"/>
  <c r="BA59" i="1"/>
  <c r="BA785" i="1" s="1"/>
  <c r="AZ59" i="1"/>
  <c r="AY59" i="1"/>
  <c r="AY785" i="1" s="1"/>
  <c r="AX59" i="1"/>
  <c r="AW59" i="1"/>
  <c r="AW785" i="1" s="1"/>
  <c r="AV59" i="1"/>
  <c r="AU59" i="1"/>
  <c r="AU785" i="1" s="1"/>
  <c r="AT59" i="1"/>
  <c r="AS59" i="1"/>
  <c r="AS785" i="1" s="1"/>
  <c r="AR59" i="1"/>
  <c r="AQ59" i="1"/>
  <c r="AQ785" i="1" s="1"/>
  <c r="AP59" i="1"/>
  <c r="AO59" i="1"/>
  <c r="AO785" i="1" s="1"/>
  <c r="AN59" i="1"/>
  <c r="AM59" i="1"/>
  <c r="AM785" i="1" s="1"/>
  <c r="AL59" i="1"/>
  <c r="AK59" i="1"/>
  <c r="AK785" i="1" s="1"/>
  <c r="AJ59" i="1"/>
  <c r="AI59" i="1"/>
  <c r="AI785" i="1" s="1"/>
  <c r="AH59" i="1"/>
  <c r="AG59" i="1"/>
  <c r="AG785" i="1" s="1"/>
  <c r="AF59" i="1"/>
  <c r="AE59" i="1"/>
  <c r="AE785" i="1" s="1"/>
  <c r="AD59" i="1"/>
  <c r="AC59" i="1"/>
  <c r="AC785" i="1" s="1"/>
  <c r="AB59" i="1"/>
  <c r="AA59" i="1"/>
  <c r="AA785" i="1" s="1"/>
  <c r="Z59" i="1"/>
  <c r="Y59" i="1"/>
  <c r="Y785" i="1" s="1"/>
  <c r="X59" i="1"/>
  <c r="W59" i="1"/>
  <c r="W785" i="1" s="1"/>
  <c r="V59" i="1"/>
  <c r="U59" i="1"/>
  <c r="U785" i="1" s="1"/>
  <c r="T59" i="1"/>
  <c r="S59" i="1"/>
  <c r="S785" i="1" s="1"/>
  <c r="R59" i="1"/>
  <c r="Q59" i="1"/>
  <c r="Q785" i="1" s="1"/>
  <c r="P59" i="1"/>
  <c r="O59" i="1"/>
  <c r="O785" i="1" s="1"/>
  <c r="N59" i="1"/>
  <c r="M59" i="1"/>
  <c r="M785" i="1" s="1"/>
  <c r="K59" i="1"/>
  <c r="K785" i="1" s="1"/>
  <c r="FB57" i="1"/>
  <c r="FB75" i="1" s="1"/>
  <c r="FB56" i="1"/>
  <c r="FE55" i="1"/>
  <c r="FE54" i="1"/>
  <c r="FE53" i="1"/>
  <c r="FE52" i="1"/>
  <c r="FE51" i="1"/>
  <c r="EN55" i="1"/>
  <c r="EN54" i="1"/>
  <c r="EN53" i="1"/>
  <c r="EN52" i="1"/>
  <c r="EN51" i="1"/>
  <c r="EL55" i="1"/>
  <c r="EL54" i="1"/>
  <c r="EL53" i="1"/>
  <c r="EL52" i="1"/>
  <c r="EL51" i="1"/>
  <c r="EJ55" i="1"/>
  <c r="EJ54" i="1"/>
  <c r="EJ53" i="1"/>
  <c r="EJ52" i="1"/>
  <c r="EJ51" i="1"/>
  <c r="EH55" i="1"/>
  <c r="EG55" i="1"/>
  <c r="EF55" i="1"/>
  <c r="ED55" i="1"/>
  <c r="ED54" i="1"/>
  <c r="ED53" i="1"/>
  <c r="ED52" i="1"/>
  <c r="ED51" i="1"/>
  <c r="EB55" i="1"/>
  <c r="EB54" i="1"/>
  <c r="EB53" i="1"/>
  <c r="EB52" i="1"/>
  <c r="EB51" i="1"/>
  <c r="DZ55" i="1"/>
  <c r="DZ54" i="1"/>
  <c r="DZ53" i="1"/>
  <c r="DZ52" i="1"/>
  <c r="DZ51" i="1"/>
  <c r="DX55" i="1"/>
  <c r="DX54" i="1"/>
  <c r="DX53" i="1"/>
  <c r="DX52" i="1"/>
  <c r="DX51" i="1"/>
  <c r="DV55" i="1"/>
  <c r="DV54" i="1"/>
  <c r="DV53" i="1"/>
  <c r="DV52" i="1"/>
  <c r="DV51" i="1"/>
  <c r="DT55" i="1"/>
  <c r="DT54" i="1"/>
  <c r="DT53" i="1"/>
  <c r="DT52" i="1"/>
  <c r="DT51" i="1"/>
  <c r="DR55" i="1"/>
  <c r="DR54" i="1"/>
  <c r="DR53" i="1"/>
  <c r="DR52" i="1"/>
  <c r="DR51" i="1"/>
  <c r="DP55" i="1"/>
  <c r="DP54" i="1"/>
  <c r="DP53" i="1"/>
  <c r="DP52" i="1"/>
  <c r="DP51" i="1"/>
  <c r="DN55" i="1"/>
  <c r="DN54" i="1"/>
  <c r="DN53" i="1"/>
  <c r="DN52" i="1"/>
  <c r="DN51" i="1"/>
  <c r="DL55" i="1"/>
  <c r="DL54" i="1"/>
  <c r="DL53" i="1"/>
  <c r="DL52" i="1"/>
  <c r="DJ55" i="1"/>
  <c r="DJ54" i="1"/>
  <c r="DJ53" i="1"/>
  <c r="DJ52" i="1"/>
  <c r="DJ51" i="1"/>
  <c r="DH55" i="1"/>
  <c r="DH54" i="1"/>
  <c r="DH53" i="1"/>
  <c r="DH52" i="1"/>
  <c r="DH51" i="1"/>
  <c r="DF55" i="1"/>
  <c r="DF54" i="1"/>
  <c r="DF53" i="1"/>
  <c r="DF52" i="1"/>
  <c r="DF51" i="1"/>
  <c r="DD55" i="1"/>
  <c r="DD54" i="1"/>
  <c r="DD53" i="1"/>
  <c r="DD52" i="1"/>
  <c r="DD51" i="1"/>
  <c r="DL51" i="1" s="1"/>
  <c r="DB55" i="1"/>
  <c r="DB54" i="1"/>
  <c r="DB53" i="1"/>
  <c r="DB52" i="1"/>
  <c r="DB51" i="1"/>
  <c r="CZ55" i="1"/>
  <c r="CZ54" i="1"/>
  <c r="CZ53" i="1"/>
  <c r="CZ52" i="1"/>
  <c r="CZ51" i="1"/>
  <c r="CX55" i="1"/>
  <c r="CX54" i="1"/>
  <c r="CX53" i="1"/>
  <c r="CX52" i="1"/>
  <c r="CX51" i="1"/>
  <c r="CV55" i="1"/>
  <c r="CV54" i="1"/>
  <c r="CV53" i="1"/>
  <c r="CV52" i="1"/>
  <c r="CV51" i="1"/>
  <c r="CT55" i="1"/>
  <c r="CT53" i="1"/>
  <c r="CT52" i="1"/>
  <c r="CT51" i="1"/>
  <c r="CR55" i="1"/>
  <c r="CR54" i="1"/>
  <c r="CR53" i="1"/>
  <c r="CR52" i="1"/>
  <c r="CR51" i="1"/>
  <c r="CP55" i="1"/>
  <c r="CP54" i="1"/>
  <c r="CP53" i="1"/>
  <c r="CP52" i="1"/>
  <c r="CP51" i="1"/>
  <c r="CN55" i="1"/>
  <c r="CN54" i="1"/>
  <c r="CN53" i="1"/>
  <c r="CN52" i="1"/>
  <c r="CN51" i="1"/>
  <c r="CL55" i="1"/>
  <c r="CL54" i="1"/>
  <c r="CL53" i="1"/>
  <c r="CL52" i="1"/>
  <c r="CL51" i="1"/>
  <c r="CJ55" i="1"/>
  <c r="CJ54" i="1"/>
  <c r="CJ53" i="1"/>
  <c r="CJ52" i="1"/>
  <c r="CJ51" i="1"/>
  <c r="CH55" i="1"/>
  <c r="CH54" i="1"/>
  <c r="CH53" i="1"/>
  <c r="CH52" i="1"/>
  <c r="CH51" i="1"/>
  <c r="CF55" i="1"/>
  <c r="CF54" i="1"/>
  <c r="CF53" i="1"/>
  <c r="CF52" i="1"/>
  <c r="CF51" i="1"/>
  <c r="CD55" i="1"/>
  <c r="CD54" i="1"/>
  <c r="CD53" i="1"/>
  <c r="CD52" i="1"/>
  <c r="CD51" i="1"/>
  <c r="CB55" i="1"/>
  <c r="CB54" i="1"/>
  <c r="CB53" i="1"/>
  <c r="CB52" i="1"/>
  <c r="CB51" i="1"/>
  <c r="BZ55" i="1"/>
  <c r="BZ54" i="1"/>
  <c r="BZ53" i="1"/>
  <c r="BZ52" i="1"/>
  <c r="BZ51" i="1"/>
  <c r="BX55" i="1"/>
  <c r="BX54" i="1"/>
  <c r="BX53" i="1"/>
  <c r="BX52" i="1"/>
  <c r="BX51" i="1"/>
  <c r="BV55" i="1"/>
  <c r="BV54" i="1"/>
  <c r="BV53" i="1"/>
  <c r="BV52" i="1"/>
  <c r="BV51" i="1"/>
  <c r="BT55" i="1"/>
  <c r="BT54" i="1"/>
  <c r="BT53" i="1"/>
  <c r="BT52" i="1"/>
  <c r="BT51" i="1"/>
  <c r="BR55" i="1"/>
  <c r="BR54" i="1"/>
  <c r="BR53" i="1"/>
  <c r="BR52" i="1"/>
  <c r="BR51" i="1"/>
  <c r="BP55" i="1"/>
  <c r="BP54" i="1"/>
  <c r="BP53" i="1"/>
  <c r="BP52" i="1"/>
  <c r="BP51" i="1"/>
  <c r="BN55" i="1"/>
  <c r="BN54" i="1"/>
  <c r="BN53" i="1"/>
  <c r="BN52" i="1"/>
  <c r="BN51" i="1"/>
  <c r="BL55" i="1"/>
  <c r="BL54" i="1"/>
  <c r="BL53" i="1"/>
  <c r="BL52" i="1"/>
  <c r="BL51" i="1"/>
  <c r="BJ55" i="1"/>
  <c r="BJ54" i="1"/>
  <c r="BJ53" i="1"/>
  <c r="BJ52" i="1"/>
  <c r="BJ51" i="1"/>
  <c r="BH55" i="1"/>
  <c r="BH54" i="1"/>
  <c r="BH53" i="1"/>
  <c r="BH52" i="1"/>
  <c r="BH51" i="1"/>
  <c r="BF55" i="1"/>
  <c r="BF54" i="1"/>
  <c r="BF53" i="1"/>
  <c r="BF52" i="1"/>
  <c r="BF51" i="1"/>
  <c r="BD55" i="1"/>
  <c r="BD54" i="1"/>
  <c r="BD53" i="1"/>
  <c r="BD52" i="1"/>
  <c r="BD51" i="1"/>
  <c r="BB55" i="1"/>
  <c r="BB54" i="1"/>
  <c r="BB53" i="1"/>
  <c r="BB52" i="1"/>
  <c r="BB51" i="1"/>
  <c r="AZ55" i="1"/>
  <c r="AZ54" i="1"/>
  <c r="AZ53" i="1"/>
  <c r="AZ52" i="1"/>
  <c r="AZ51" i="1"/>
  <c r="AX55" i="1"/>
  <c r="AX54" i="1"/>
  <c r="AX53" i="1"/>
  <c r="AX52" i="1"/>
  <c r="AX51" i="1"/>
  <c r="AV55" i="1"/>
  <c r="AV54" i="1"/>
  <c r="AV53" i="1"/>
  <c r="AV52" i="1"/>
  <c r="AV51" i="1"/>
  <c r="AT55" i="1"/>
  <c r="AT54" i="1"/>
  <c r="AT53" i="1"/>
  <c r="AT52" i="1"/>
  <c r="AT51" i="1"/>
  <c r="AR55" i="1"/>
  <c r="AR54" i="1"/>
  <c r="AR53" i="1"/>
  <c r="AR52" i="1"/>
  <c r="AR51" i="1"/>
  <c r="AP55" i="1"/>
  <c r="AP54" i="1"/>
  <c r="AP53" i="1"/>
  <c r="AP52" i="1"/>
  <c r="AP51" i="1"/>
  <c r="AN55" i="1"/>
  <c r="AN54" i="1"/>
  <c r="AN53" i="1"/>
  <c r="AN52" i="1"/>
  <c r="AN51" i="1"/>
  <c r="AL55" i="1"/>
  <c r="AL54" i="1"/>
  <c r="AL53" i="1"/>
  <c r="AL52" i="1"/>
  <c r="AL51" i="1"/>
  <c r="AJ55" i="1"/>
  <c r="AJ54" i="1"/>
  <c r="AJ53" i="1"/>
  <c r="AJ52" i="1"/>
  <c r="AJ51" i="1"/>
  <c r="AH55" i="1"/>
  <c r="AH54" i="1"/>
  <c r="AH53" i="1"/>
  <c r="AH52" i="1"/>
  <c r="AH51" i="1"/>
  <c r="AF55" i="1"/>
  <c r="AF54" i="1"/>
  <c r="AF53" i="1"/>
  <c r="AF52" i="1"/>
  <c r="AF51" i="1"/>
  <c r="AD55" i="1"/>
  <c r="AD54" i="1"/>
  <c r="AD53" i="1"/>
  <c r="AD52" i="1"/>
  <c r="AD51" i="1"/>
  <c r="AB55" i="1"/>
  <c r="AB54" i="1"/>
  <c r="AB53" i="1"/>
  <c r="AB52" i="1"/>
  <c r="AB51" i="1"/>
  <c r="Z55" i="1"/>
  <c r="Z54" i="1"/>
  <c r="Z53" i="1"/>
  <c r="Z52" i="1"/>
  <c r="Z51" i="1"/>
  <c r="X55" i="1"/>
  <c r="X54" i="1"/>
  <c r="X53" i="1"/>
  <c r="X52" i="1"/>
  <c r="X51" i="1"/>
  <c r="V55" i="1"/>
  <c r="V54" i="1"/>
  <c r="V53" i="1"/>
  <c r="V52" i="1"/>
  <c r="V51" i="1"/>
  <c r="T55" i="1"/>
  <c r="T54" i="1"/>
  <c r="T53" i="1"/>
  <c r="T52" i="1"/>
  <c r="T51" i="1"/>
  <c r="R55" i="1"/>
  <c r="R54" i="1"/>
  <c r="R53" i="1"/>
  <c r="R52" i="1"/>
  <c r="R51" i="1"/>
  <c r="P55" i="1"/>
  <c r="P54" i="1"/>
  <c r="P53" i="1"/>
  <c r="P52" i="1"/>
  <c r="P51" i="1"/>
  <c r="N55" i="1"/>
  <c r="N54" i="1"/>
  <c r="N53" i="1"/>
  <c r="N52" i="1"/>
  <c r="N51" i="1"/>
  <c r="L55" i="1"/>
  <c r="L53" i="1"/>
  <c r="EH54" i="1"/>
  <c r="EH53" i="1"/>
  <c r="EH52" i="1"/>
  <c r="EH51" i="1"/>
  <c r="EF54" i="1"/>
  <c r="EF53" i="1"/>
  <c r="EF52" i="1"/>
  <c r="EF51" i="1"/>
  <c r="CK54" i="1"/>
  <c r="C54" i="1"/>
  <c r="L54" i="1" s="1"/>
  <c r="EQ55" i="1"/>
  <c r="ER55" i="1" s="1"/>
  <c r="EP55" i="1"/>
  <c r="EP54" i="1"/>
  <c r="EP53" i="1"/>
  <c r="EP52" i="1"/>
  <c r="C52" i="1"/>
  <c r="C51" i="1"/>
  <c r="L51" i="1" s="1"/>
  <c r="EP51" i="1"/>
  <c r="GN55" i="1"/>
  <c r="GL55" i="1"/>
  <c r="GM55" i="1" s="1"/>
  <c r="GJ55" i="1"/>
  <c r="GH55" i="1"/>
  <c r="GI55" i="1" s="1"/>
  <c r="GF55" i="1"/>
  <c r="GD55" i="1"/>
  <c r="GE55" i="1" s="1"/>
  <c r="GB55" i="1"/>
  <c r="FZ55" i="1"/>
  <c r="GA55" i="1" s="1"/>
  <c r="FX55" i="1"/>
  <c r="FV55" i="1"/>
  <c r="FW55" i="1" s="1"/>
  <c r="FT55" i="1"/>
  <c r="FR55" i="1"/>
  <c r="FS55" i="1" s="1"/>
  <c r="FP55" i="1"/>
  <c r="FN55" i="1"/>
  <c r="FO55" i="1" s="1"/>
  <c r="FL55" i="1"/>
  <c r="FJ55" i="1"/>
  <c r="FK55" i="1" s="1"/>
  <c r="FI55" i="1"/>
  <c r="FH55" i="1"/>
  <c r="FG55" i="1"/>
  <c r="GN54" i="1"/>
  <c r="GO54" i="1" s="1"/>
  <c r="GL54" i="1"/>
  <c r="GJ54" i="1"/>
  <c r="GK54" i="1" s="1"/>
  <c r="GH54" i="1"/>
  <c r="GF54" i="1"/>
  <c r="GG54" i="1" s="1"/>
  <c r="GD54" i="1"/>
  <c r="GB54" i="1"/>
  <c r="GC54" i="1" s="1"/>
  <c r="FZ54" i="1"/>
  <c r="FX54" i="1"/>
  <c r="FY54" i="1" s="1"/>
  <c r="FV54" i="1"/>
  <c r="FT54" i="1"/>
  <c r="FU54" i="1" s="1"/>
  <c r="FR54" i="1"/>
  <c r="FP54" i="1"/>
  <c r="FQ54" i="1" s="1"/>
  <c r="FN54" i="1"/>
  <c r="FL54" i="1"/>
  <c r="FM54" i="1" s="1"/>
  <c r="FJ54" i="1"/>
  <c r="FH54" i="1"/>
  <c r="FI54" i="1" s="1"/>
  <c r="FG54" i="1"/>
  <c r="GN53" i="1"/>
  <c r="GL53" i="1"/>
  <c r="GM53" i="1" s="1"/>
  <c r="GJ53" i="1"/>
  <c r="GH53" i="1"/>
  <c r="GI53" i="1" s="1"/>
  <c r="GF53" i="1"/>
  <c r="GD53" i="1"/>
  <c r="GE53" i="1" s="1"/>
  <c r="GB53" i="1"/>
  <c r="FZ53" i="1"/>
  <c r="GA53" i="1" s="1"/>
  <c r="FX53" i="1"/>
  <c r="FV53" i="1"/>
  <c r="FW53" i="1" s="1"/>
  <c r="FT53" i="1"/>
  <c r="FR53" i="1"/>
  <c r="FS53" i="1" s="1"/>
  <c r="FP53" i="1"/>
  <c r="FN53" i="1"/>
  <c r="FO53" i="1" s="1"/>
  <c r="FL53" i="1"/>
  <c r="FJ53" i="1"/>
  <c r="FK53" i="1" s="1"/>
  <c r="FI53" i="1"/>
  <c r="FH53" i="1"/>
  <c r="FG53" i="1"/>
  <c r="GN52" i="1"/>
  <c r="GO52" i="1" s="1"/>
  <c r="GL52" i="1"/>
  <c r="GJ52" i="1"/>
  <c r="GK52" i="1" s="1"/>
  <c r="GH52" i="1"/>
  <c r="GF52" i="1"/>
  <c r="GG52" i="1" s="1"/>
  <c r="GD52" i="1"/>
  <c r="GB52" i="1"/>
  <c r="GC52" i="1" s="1"/>
  <c r="FZ52" i="1"/>
  <c r="FX52" i="1"/>
  <c r="FY52" i="1" s="1"/>
  <c r="FV52" i="1"/>
  <c r="FT52" i="1"/>
  <c r="FU52" i="1" s="1"/>
  <c r="FR52" i="1"/>
  <c r="FP52" i="1"/>
  <c r="FQ52" i="1" s="1"/>
  <c r="FN52" i="1"/>
  <c r="FL52" i="1"/>
  <c r="FM52" i="1" s="1"/>
  <c r="FJ52" i="1"/>
  <c r="FH52" i="1"/>
  <c r="FI52" i="1" s="1"/>
  <c r="FG52" i="1"/>
  <c r="GN51" i="1"/>
  <c r="GN59" i="1" s="1"/>
  <c r="GL51" i="1"/>
  <c r="GL59" i="1" s="1"/>
  <c r="GJ51" i="1"/>
  <c r="GJ59" i="1" s="1"/>
  <c r="GH51" i="1"/>
  <c r="GH59" i="1" s="1"/>
  <c r="GF51" i="1"/>
  <c r="GF59" i="1" s="1"/>
  <c r="GD51" i="1"/>
  <c r="GD59" i="1" s="1"/>
  <c r="GB51" i="1"/>
  <c r="GB59" i="1" s="1"/>
  <c r="FZ51" i="1"/>
  <c r="FZ59" i="1" s="1"/>
  <c r="FX51" i="1"/>
  <c r="FX59" i="1" s="1"/>
  <c r="FV51" i="1"/>
  <c r="FV59" i="1" s="1"/>
  <c r="FT51" i="1"/>
  <c r="FT59" i="1" s="1"/>
  <c r="FR51" i="1"/>
  <c r="FR59" i="1" s="1"/>
  <c r="FP51" i="1"/>
  <c r="FP59" i="1" s="1"/>
  <c r="FN51" i="1"/>
  <c r="FN59" i="1" s="1"/>
  <c r="FL51" i="1"/>
  <c r="FL59" i="1" s="1"/>
  <c r="FJ51" i="1"/>
  <c r="FJ59" i="1" s="1"/>
  <c r="FI51" i="1"/>
  <c r="FH51" i="1"/>
  <c r="FH59" i="1" s="1"/>
  <c r="FI59" i="1" s="1"/>
  <c r="FG51" i="1"/>
  <c r="FD50" i="1"/>
  <c r="FD61" i="1" s="1"/>
  <c r="FE61" i="1" s="1"/>
  <c r="ET51" i="1"/>
  <c r="ES51" i="1"/>
  <c r="ER51" i="1"/>
  <c r="GT47" i="1"/>
  <c r="GV47" i="1" s="1"/>
  <c r="GX47" i="1" s="1"/>
  <c r="FB46" i="1"/>
  <c r="FB45" i="1"/>
  <c r="FB44" i="1"/>
  <c r="FB43" i="1"/>
  <c r="ES47" i="1"/>
  <c r="EU47" i="1" s="1"/>
  <c r="FG41" i="1"/>
  <c r="FF41" i="1"/>
  <c r="FD41" i="1"/>
  <c r="FB41" i="1"/>
  <c r="FE41" i="1" s="1"/>
  <c r="EE41" i="1"/>
  <c r="ED41" i="1"/>
  <c r="EC41" i="1"/>
  <c r="EA41" i="1"/>
  <c r="DZ41" i="1"/>
  <c r="DY41" i="1"/>
  <c r="DW41" i="1"/>
  <c r="DV41" i="1"/>
  <c r="DU41" i="1"/>
  <c r="DU786" i="1" s="1"/>
  <c r="DS41" i="1"/>
  <c r="DS786" i="1" s="1"/>
  <c r="DR41" i="1"/>
  <c r="DQ41" i="1"/>
  <c r="DQ786" i="1" s="1"/>
  <c r="DO41" i="1"/>
  <c r="DO786" i="1" s="1"/>
  <c r="DN41" i="1"/>
  <c r="DM41" i="1"/>
  <c r="DM786" i="1" s="1"/>
  <c r="DK41" i="1"/>
  <c r="DK786" i="1" s="1"/>
  <c r="DJ41" i="1"/>
  <c r="DI41" i="1"/>
  <c r="DI786" i="1" s="1"/>
  <c r="DG41" i="1"/>
  <c r="DG786" i="1" s="1"/>
  <c r="DF41" i="1"/>
  <c r="DE41" i="1"/>
  <c r="DE786" i="1" s="1"/>
  <c r="DC41" i="1"/>
  <c r="DC786" i="1" s="1"/>
  <c r="DB41" i="1"/>
  <c r="DA41" i="1"/>
  <c r="DA786" i="1" s="1"/>
  <c r="CY41" i="1"/>
  <c r="CY786" i="1" s="1"/>
  <c r="CX41" i="1"/>
  <c r="CW41" i="1"/>
  <c r="CW786" i="1" s="1"/>
  <c r="CU41" i="1"/>
  <c r="CU786" i="1" s="1"/>
  <c r="CT41" i="1"/>
  <c r="CS41" i="1"/>
  <c r="CS786" i="1" s="1"/>
  <c r="CQ41" i="1"/>
  <c r="CQ786" i="1" s="1"/>
  <c r="CP41" i="1"/>
  <c r="CO41" i="1"/>
  <c r="CO786" i="1" s="1"/>
  <c r="CM41" i="1"/>
  <c r="CM786" i="1" s="1"/>
  <c r="CL41" i="1"/>
  <c r="CK41" i="1"/>
  <c r="CK786" i="1" s="1"/>
  <c r="CI41" i="1"/>
  <c r="CI786" i="1" s="1"/>
  <c r="CH41" i="1"/>
  <c r="CG41" i="1"/>
  <c r="CG786" i="1" s="1"/>
  <c r="CE41" i="1"/>
  <c r="CE786" i="1" s="1"/>
  <c r="CD41" i="1"/>
  <c r="CC41" i="1"/>
  <c r="CC786" i="1" s="1"/>
  <c r="CA41" i="1"/>
  <c r="CA786" i="1" s="1"/>
  <c r="BZ41" i="1"/>
  <c r="BY41" i="1"/>
  <c r="BY786" i="1" s="1"/>
  <c r="BW41" i="1"/>
  <c r="BW786" i="1" s="1"/>
  <c r="BV41" i="1"/>
  <c r="BU41" i="1"/>
  <c r="BU786" i="1" s="1"/>
  <c r="BS41" i="1"/>
  <c r="BS786" i="1" s="1"/>
  <c r="BR41" i="1"/>
  <c r="BQ41" i="1"/>
  <c r="BQ786" i="1" s="1"/>
  <c r="BO41" i="1"/>
  <c r="BO786" i="1" s="1"/>
  <c r="BN41" i="1"/>
  <c r="BM41" i="1"/>
  <c r="BM786" i="1" s="1"/>
  <c r="BK41" i="1"/>
  <c r="BK786" i="1" s="1"/>
  <c r="BJ41" i="1"/>
  <c r="BI41" i="1"/>
  <c r="BI786" i="1" s="1"/>
  <c r="BG41" i="1"/>
  <c r="BG786" i="1" s="1"/>
  <c r="BF41" i="1"/>
  <c r="BE41" i="1"/>
  <c r="BE786" i="1" s="1"/>
  <c r="BC41" i="1"/>
  <c r="BC786" i="1" s="1"/>
  <c r="BB41" i="1"/>
  <c r="BA41" i="1"/>
  <c r="BA786" i="1" s="1"/>
  <c r="AY41" i="1"/>
  <c r="AY786" i="1" s="1"/>
  <c r="AX41" i="1"/>
  <c r="AW41" i="1"/>
  <c r="AW786" i="1" s="1"/>
  <c r="AU41" i="1"/>
  <c r="AU786" i="1" s="1"/>
  <c r="AT41" i="1"/>
  <c r="AS41" i="1"/>
  <c r="AS786" i="1" s="1"/>
  <c r="AQ41" i="1"/>
  <c r="AQ786" i="1" s="1"/>
  <c r="AP41" i="1"/>
  <c r="AO41" i="1"/>
  <c r="AO786" i="1" s="1"/>
  <c r="AM41" i="1"/>
  <c r="AM786" i="1" s="1"/>
  <c r="AL41" i="1"/>
  <c r="AK41" i="1"/>
  <c r="AK786" i="1" s="1"/>
  <c r="AI41" i="1"/>
  <c r="AI786" i="1" s="1"/>
  <c r="AH41" i="1"/>
  <c r="AG41" i="1"/>
  <c r="AG786" i="1" s="1"/>
  <c r="AE41" i="1"/>
  <c r="AE786" i="1" s="1"/>
  <c r="AD41" i="1"/>
  <c r="AC41" i="1"/>
  <c r="AC786" i="1" s="1"/>
  <c r="AA41" i="1"/>
  <c r="AA786" i="1" s="1"/>
  <c r="Z41" i="1"/>
  <c r="Y41" i="1"/>
  <c r="Y786" i="1" s="1"/>
  <c r="W41" i="1"/>
  <c r="W786" i="1" s="1"/>
  <c r="V41" i="1"/>
  <c r="U41" i="1"/>
  <c r="U786" i="1" s="1"/>
  <c r="S41" i="1"/>
  <c r="S786" i="1" s="1"/>
  <c r="Q41" i="1"/>
  <c r="Q786" i="1" s="1"/>
  <c r="O41" i="1"/>
  <c r="O786" i="1" s="1"/>
  <c r="N41" i="1"/>
  <c r="M41" i="1"/>
  <c r="M786" i="1" s="1"/>
  <c r="K41" i="1"/>
  <c r="K786" i="1" s="1"/>
  <c r="I41" i="1"/>
  <c r="R41" i="1" s="1"/>
  <c r="G41" i="1"/>
  <c r="E41" i="1"/>
  <c r="FB39" i="1"/>
  <c r="FB74" i="1" s="1"/>
  <c r="FB38" i="1"/>
  <c r="GW37" i="1"/>
  <c r="GW32" i="1"/>
  <c r="GU37" i="1"/>
  <c r="GU32" i="1"/>
  <c r="GP37" i="1"/>
  <c r="GS37" i="1" s="1"/>
  <c r="GN37" i="1"/>
  <c r="GL37" i="1"/>
  <c r="GM37" i="1" s="1"/>
  <c r="GJ37" i="1"/>
  <c r="GH37" i="1"/>
  <c r="GI37" i="1" s="1"/>
  <c r="GF37" i="1"/>
  <c r="GD37" i="1"/>
  <c r="GE37" i="1" s="1"/>
  <c r="GB37" i="1"/>
  <c r="FZ37" i="1"/>
  <c r="GA37" i="1" s="1"/>
  <c r="FX37" i="1"/>
  <c r="FV37" i="1"/>
  <c r="FW37" i="1" s="1"/>
  <c r="FT37" i="1"/>
  <c r="FR37" i="1"/>
  <c r="FS37" i="1" s="1"/>
  <c r="FP37" i="1"/>
  <c r="FN37" i="1"/>
  <c r="FO37" i="1" s="1"/>
  <c r="FL37" i="1"/>
  <c r="FJ37" i="1"/>
  <c r="FK37" i="1" s="1"/>
  <c r="FI37" i="1"/>
  <c r="FH37" i="1"/>
  <c r="FG37" i="1"/>
  <c r="FE37" i="1"/>
  <c r="FE36" i="1"/>
  <c r="FE35" i="1"/>
  <c r="FE34" i="1"/>
  <c r="FE33" i="1"/>
  <c r="FE32" i="1"/>
  <c r="EX37" i="1"/>
  <c r="EX32" i="1"/>
  <c r="EV37" i="1"/>
  <c r="EV32" i="1"/>
  <c r="ET37" i="1"/>
  <c r="ET32" i="1"/>
  <c r="ER37" i="1"/>
  <c r="ER32" i="1"/>
  <c r="EP37" i="1"/>
  <c r="EP36" i="1"/>
  <c r="EP35" i="1"/>
  <c r="EP34" i="1"/>
  <c r="EP33" i="1"/>
  <c r="EP32" i="1"/>
  <c r="EN37" i="1"/>
  <c r="EN36" i="1"/>
  <c r="EN35" i="1"/>
  <c r="EN34" i="1"/>
  <c r="EN33" i="1"/>
  <c r="EN32" i="1"/>
  <c r="EL37" i="1"/>
  <c r="EL36" i="1"/>
  <c r="EL35" i="1"/>
  <c r="EL34" i="1"/>
  <c r="EL33" i="1"/>
  <c r="EL32" i="1"/>
  <c r="EJ37" i="1"/>
  <c r="EJ36" i="1"/>
  <c r="EJ35" i="1"/>
  <c r="EJ34" i="1"/>
  <c r="EJ33" i="1"/>
  <c r="EJ32" i="1"/>
  <c r="EH37" i="1"/>
  <c r="EH36" i="1"/>
  <c r="EH35" i="1"/>
  <c r="EH34" i="1"/>
  <c r="EH33" i="1"/>
  <c r="EH32" i="1"/>
  <c r="EF37" i="1"/>
  <c r="EF36" i="1"/>
  <c r="EF35" i="1"/>
  <c r="EF34" i="1"/>
  <c r="EF33" i="1"/>
  <c r="EF32" i="1"/>
  <c r="ED37" i="1"/>
  <c r="ED36" i="1"/>
  <c r="ED35" i="1"/>
  <c r="ED34" i="1"/>
  <c r="ED33" i="1"/>
  <c r="ED32" i="1"/>
  <c r="EB37" i="1"/>
  <c r="EB36" i="1"/>
  <c r="EB35" i="1"/>
  <c r="EB34" i="1"/>
  <c r="EB33" i="1"/>
  <c r="EB32" i="1"/>
  <c r="DZ37" i="1"/>
  <c r="DZ36" i="1"/>
  <c r="DZ35" i="1"/>
  <c r="DZ34" i="1"/>
  <c r="DZ33" i="1"/>
  <c r="DZ32" i="1"/>
  <c r="DX37" i="1"/>
  <c r="DX36" i="1"/>
  <c r="DX35" i="1"/>
  <c r="DX34" i="1"/>
  <c r="DX33" i="1"/>
  <c r="DX32" i="1"/>
  <c r="DV37" i="1"/>
  <c r="DV36" i="1"/>
  <c r="DV35" i="1"/>
  <c r="DV34" i="1"/>
  <c r="DV33" i="1"/>
  <c r="DV32" i="1"/>
  <c r="DT37" i="1"/>
  <c r="DT36" i="1"/>
  <c r="DT35" i="1"/>
  <c r="DT34" i="1"/>
  <c r="DT33" i="1"/>
  <c r="DT32" i="1"/>
  <c r="DR37" i="1"/>
  <c r="DR36" i="1"/>
  <c r="DR35" i="1"/>
  <c r="DR34" i="1"/>
  <c r="DR33" i="1"/>
  <c r="DR32" i="1"/>
  <c r="DP37" i="1"/>
  <c r="DP36" i="1"/>
  <c r="DP35" i="1"/>
  <c r="DP34" i="1"/>
  <c r="DP33" i="1"/>
  <c r="DP32" i="1"/>
  <c r="DN37" i="1"/>
  <c r="DN36" i="1"/>
  <c r="DN35" i="1"/>
  <c r="DN34" i="1"/>
  <c r="DN33" i="1"/>
  <c r="DN32" i="1"/>
  <c r="DL37" i="1"/>
  <c r="DL36" i="1"/>
  <c r="DL35" i="1"/>
  <c r="DL34" i="1"/>
  <c r="DL33" i="1"/>
  <c r="DL32" i="1"/>
  <c r="DJ37" i="1"/>
  <c r="DJ36" i="1"/>
  <c r="DJ35" i="1"/>
  <c r="DJ34" i="1"/>
  <c r="DJ33" i="1"/>
  <c r="DJ32" i="1"/>
  <c r="DH37" i="1"/>
  <c r="DH36" i="1"/>
  <c r="DH35" i="1"/>
  <c r="DH34" i="1"/>
  <c r="DH33" i="1"/>
  <c r="DH32" i="1"/>
  <c r="DF37" i="1"/>
  <c r="DF36" i="1"/>
  <c r="DF35" i="1"/>
  <c r="DF34" i="1"/>
  <c r="DF33" i="1"/>
  <c r="DF32" i="1"/>
  <c r="DD37" i="1"/>
  <c r="DD36" i="1"/>
  <c r="DD35" i="1"/>
  <c r="DD34" i="1"/>
  <c r="DD33" i="1"/>
  <c r="DD32" i="1"/>
  <c r="DB37" i="1"/>
  <c r="DB36" i="1"/>
  <c r="DB35" i="1"/>
  <c r="DB34" i="1"/>
  <c r="DB33" i="1"/>
  <c r="DB32" i="1"/>
  <c r="CZ37" i="1"/>
  <c r="CZ36" i="1"/>
  <c r="CZ35" i="1"/>
  <c r="CZ34" i="1"/>
  <c r="CZ33" i="1"/>
  <c r="CZ32" i="1"/>
  <c r="CX37" i="1"/>
  <c r="CX36" i="1"/>
  <c r="CX35" i="1"/>
  <c r="CX34" i="1"/>
  <c r="CX33" i="1"/>
  <c r="CX32" i="1"/>
  <c r="CV37" i="1"/>
  <c r="CV36" i="1"/>
  <c r="CV35" i="1"/>
  <c r="CV34" i="1"/>
  <c r="CV33" i="1"/>
  <c r="CV32" i="1"/>
  <c r="CT37" i="1"/>
  <c r="CT36" i="1"/>
  <c r="CT35" i="1"/>
  <c r="CT34" i="1"/>
  <c r="CT33" i="1"/>
  <c r="CT32" i="1"/>
  <c r="CR37" i="1"/>
  <c r="CR36" i="1"/>
  <c r="CR35" i="1"/>
  <c r="CR34" i="1"/>
  <c r="CR33" i="1"/>
  <c r="CR32" i="1"/>
  <c r="CP37" i="1"/>
  <c r="CP36" i="1"/>
  <c r="CP35" i="1"/>
  <c r="CP34" i="1"/>
  <c r="CP33" i="1"/>
  <c r="CP32" i="1"/>
  <c r="CN37" i="1"/>
  <c r="CN36" i="1"/>
  <c r="CN35" i="1"/>
  <c r="CN34" i="1"/>
  <c r="CN33" i="1"/>
  <c r="CN32" i="1"/>
  <c r="CL37" i="1"/>
  <c r="CL36" i="1"/>
  <c r="CL35" i="1"/>
  <c r="CL34" i="1"/>
  <c r="CL33" i="1"/>
  <c r="CL32" i="1"/>
  <c r="CJ37" i="1"/>
  <c r="CJ36" i="1"/>
  <c r="CJ35" i="1"/>
  <c r="CJ34" i="1"/>
  <c r="CJ33" i="1"/>
  <c r="CJ32" i="1"/>
  <c r="CH37" i="1"/>
  <c r="CH36" i="1"/>
  <c r="CH35" i="1"/>
  <c r="CH34" i="1"/>
  <c r="CH33" i="1"/>
  <c r="CH32" i="1"/>
  <c r="CF37" i="1"/>
  <c r="CF36" i="1"/>
  <c r="CF35" i="1"/>
  <c r="CF34" i="1"/>
  <c r="CF33" i="1"/>
  <c r="CF32" i="1"/>
  <c r="CD37" i="1"/>
  <c r="CD36" i="1"/>
  <c r="CD35" i="1"/>
  <c r="CD34" i="1"/>
  <c r="CD33" i="1"/>
  <c r="CD32" i="1"/>
  <c r="CB37" i="1"/>
  <c r="CB36" i="1"/>
  <c r="CB35" i="1"/>
  <c r="CB34" i="1"/>
  <c r="CB33" i="1"/>
  <c r="CB32" i="1"/>
  <c r="BZ37" i="1"/>
  <c r="BZ36" i="1"/>
  <c r="BZ35" i="1"/>
  <c r="BZ34" i="1"/>
  <c r="BZ33" i="1"/>
  <c r="BZ32" i="1"/>
  <c r="BX37" i="1"/>
  <c r="BX36" i="1"/>
  <c r="BX35" i="1"/>
  <c r="BX34" i="1"/>
  <c r="BX33" i="1"/>
  <c r="BX32" i="1"/>
  <c r="BV37" i="1"/>
  <c r="BV36" i="1"/>
  <c r="BV35" i="1"/>
  <c r="BV34" i="1"/>
  <c r="BV33" i="1"/>
  <c r="BV32" i="1"/>
  <c r="BT37" i="1"/>
  <c r="BT36" i="1"/>
  <c r="BT35" i="1"/>
  <c r="BT34" i="1"/>
  <c r="BT33" i="1"/>
  <c r="BT32" i="1"/>
  <c r="BR37" i="1"/>
  <c r="BR36" i="1"/>
  <c r="BR35" i="1"/>
  <c r="BR34" i="1"/>
  <c r="BR33" i="1"/>
  <c r="BR32" i="1"/>
  <c r="BP37" i="1"/>
  <c r="BP36" i="1"/>
  <c r="BP35" i="1"/>
  <c r="BP34" i="1"/>
  <c r="BP33" i="1"/>
  <c r="BP32" i="1"/>
  <c r="BN37" i="1"/>
  <c r="BN36" i="1"/>
  <c r="BN35" i="1"/>
  <c r="BN34" i="1"/>
  <c r="BN33" i="1"/>
  <c r="BN32" i="1"/>
  <c r="BL37" i="1"/>
  <c r="BL36" i="1"/>
  <c r="BL35" i="1"/>
  <c r="BL34" i="1"/>
  <c r="BL33" i="1"/>
  <c r="BL32" i="1"/>
  <c r="BJ37" i="1"/>
  <c r="BJ36" i="1"/>
  <c r="BJ35" i="1"/>
  <c r="BJ34" i="1"/>
  <c r="BJ33" i="1"/>
  <c r="BJ32" i="1"/>
  <c r="BH37" i="1"/>
  <c r="BH36" i="1"/>
  <c r="BH35" i="1"/>
  <c r="BH34" i="1"/>
  <c r="BH33" i="1"/>
  <c r="BH32" i="1"/>
  <c r="BF37" i="1"/>
  <c r="BF36" i="1"/>
  <c r="BF35" i="1"/>
  <c r="BF34" i="1"/>
  <c r="BF33" i="1"/>
  <c r="BF32" i="1"/>
  <c r="BD37" i="1"/>
  <c r="BD36" i="1"/>
  <c r="BD35" i="1"/>
  <c r="BD34" i="1"/>
  <c r="BD33" i="1"/>
  <c r="BD32" i="1"/>
  <c r="BB37" i="1"/>
  <c r="BB36" i="1"/>
  <c r="BB35" i="1"/>
  <c r="BB34" i="1"/>
  <c r="BB33" i="1"/>
  <c r="BB32" i="1"/>
  <c r="AZ37" i="1"/>
  <c r="AZ36" i="1"/>
  <c r="AZ35" i="1"/>
  <c r="AZ34" i="1"/>
  <c r="AZ33" i="1"/>
  <c r="AZ32" i="1"/>
  <c r="AX37" i="1"/>
  <c r="AX36" i="1"/>
  <c r="AX35" i="1"/>
  <c r="AX34" i="1"/>
  <c r="AX33" i="1"/>
  <c r="AX32" i="1"/>
  <c r="AV37" i="1"/>
  <c r="AV36" i="1"/>
  <c r="AV35" i="1"/>
  <c r="AV34" i="1"/>
  <c r="AV33" i="1"/>
  <c r="AV32" i="1"/>
  <c r="AT37" i="1"/>
  <c r="AT36" i="1"/>
  <c r="AT35" i="1"/>
  <c r="AT34" i="1"/>
  <c r="AT33" i="1"/>
  <c r="AT32" i="1"/>
  <c r="AR37" i="1"/>
  <c r="AR36" i="1"/>
  <c r="AR35" i="1"/>
  <c r="AR34" i="1"/>
  <c r="AR33" i="1"/>
  <c r="AR32" i="1"/>
  <c r="AP37" i="1"/>
  <c r="AP36" i="1"/>
  <c r="AP35" i="1"/>
  <c r="AP34" i="1"/>
  <c r="AP33" i="1"/>
  <c r="AP32" i="1"/>
  <c r="AN37" i="1"/>
  <c r="AN36" i="1"/>
  <c r="AN35" i="1"/>
  <c r="AN34" i="1"/>
  <c r="AN33" i="1"/>
  <c r="AN32" i="1"/>
  <c r="AL37" i="1"/>
  <c r="AL36" i="1"/>
  <c r="AL35" i="1"/>
  <c r="AL34" i="1"/>
  <c r="AL33" i="1"/>
  <c r="AL32" i="1"/>
  <c r="AJ37" i="1"/>
  <c r="AJ36" i="1"/>
  <c r="AJ35" i="1"/>
  <c r="AJ34" i="1"/>
  <c r="AJ33" i="1"/>
  <c r="AJ32" i="1"/>
  <c r="AH37" i="1"/>
  <c r="AH36" i="1"/>
  <c r="AH35" i="1"/>
  <c r="AH34" i="1"/>
  <c r="AH33" i="1"/>
  <c r="AH32" i="1"/>
  <c r="AF37" i="1"/>
  <c r="AF36" i="1"/>
  <c r="AF35" i="1"/>
  <c r="AF34" i="1"/>
  <c r="AF33" i="1"/>
  <c r="AF32" i="1"/>
  <c r="AD37" i="1"/>
  <c r="AD36" i="1"/>
  <c r="AD35" i="1"/>
  <c r="AD34" i="1"/>
  <c r="AD33" i="1"/>
  <c r="AD32" i="1"/>
  <c r="AB37" i="1"/>
  <c r="AB36" i="1"/>
  <c r="AB35" i="1"/>
  <c r="AB34" i="1"/>
  <c r="AB33" i="1"/>
  <c r="AB32" i="1"/>
  <c r="Z37" i="1"/>
  <c r="Z36" i="1"/>
  <c r="Z35" i="1"/>
  <c r="Z34" i="1"/>
  <c r="Z33" i="1"/>
  <c r="Z32" i="1"/>
  <c r="X37" i="1"/>
  <c r="X36" i="1"/>
  <c r="X35" i="1"/>
  <c r="X34" i="1"/>
  <c r="X33" i="1"/>
  <c r="X32" i="1"/>
  <c r="V37" i="1"/>
  <c r="V36" i="1"/>
  <c r="V35" i="1"/>
  <c r="V34" i="1"/>
  <c r="V33" i="1"/>
  <c r="V32" i="1"/>
  <c r="T37" i="1"/>
  <c r="T36" i="1"/>
  <c r="T35" i="1"/>
  <c r="T34" i="1"/>
  <c r="T33" i="1"/>
  <c r="T32" i="1"/>
  <c r="R37" i="1"/>
  <c r="R36" i="1"/>
  <c r="R35" i="1"/>
  <c r="R34" i="1"/>
  <c r="R33" i="1"/>
  <c r="R32" i="1"/>
  <c r="P37" i="1"/>
  <c r="P36" i="1"/>
  <c r="P35" i="1"/>
  <c r="P34" i="1"/>
  <c r="P33" i="1"/>
  <c r="P32" i="1"/>
  <c r="N37" i="1"/>
  <c r="N36" i="1"/>
  <c r="N35" i="1"/>
  <c r="N34" i="1"/>
  <c r="N33" i="1"/>
  <c r="N32" i="1"/>
  <c r="L37" i="1"/>
  <c r="L36" i="1"/>
  <c r="L34" i="1"/>
  <c r="L33" i="1"/>
  <c r="C35" i="1"/>
  <c r="L35" i="1" s="1"/>
  <c r="GN36" i="1"/>
  <c r="GO36" i="1" s="1"/>
  <c r="GM36" i="1"/>
  <c r="GL36" i="1"/>
  <c r="GJ36" i="1"/>
  <c r="GK36" i="1" s="1"/>
  <c r="GI36" i="1"/>
  <c r="GH36" i="1"/>
  <c r="GF36" i="1"/>
  <c r="GG36" i="1" s="1"/>
  <c r="GE36" i="1"/>
  <c r="GD36" i="1"/>
  <c r="GB36" i="1"/>
  <c r="GC36" i="1" s="1"/>
  <c r="GA36" i="1"/>
  <c r="FZ36" i="1"/>
  <c r="FX36" i="1"/>
  <c r="FY36" i="1" s="1"/>
  <c r="FW36" i="1"/>
  <c r="FV36" i="1"/>
  <c r="FT36" i="1"/>
  <c r="FU36" i="1" s="1"/>
  <c r="FS36" i="1"/>
  <c r="FR36" i="1"/>
  <c r="FP36" i="1"/>
  <c r="FQ36" i="1" s="1"/>
  <c r="FO36" i="1"/>
  <c r="FN36" i="1"/>
  <c r="FL36" i="1"/>
  <c r="FM36" i="1" s="1"/>
  <c r="FK36" i="1"/>
  <c r="FJ36" i="1"/>
  <c r="FH36" i="1"/>
  <c r="FI36" i="1" s="1"/>
  <c r="FG36" i="1"/>
  <c r="GO35" i="1"/>
  <c r="GN35" i="1"/>
  <c r="GL35" i="1"/>
  <c r="GK35" i="1"/>
  <c r="GJ35" i="1"/>
  <c r="GH35" i="1"/>
  <c r="GG35" i="1"/>
  <c r="GF35" i="1"/>
  <c r="GD35" i="1"/>
  <c r="GE35" i="1" s="1"/>
  <c r="GC35" i="1"/>
  <c r="GB35" i="1"/>
  <c r="FZ35" i="1"/>
  <c r="GA35" i="1" s="1"/>
  <c r="FY35" i="1"/>
  <c r="FX35" i="1"/>
  <c r="FV35" i="1"/>
  <c r="FW35" i="1" s="1"/>
  <c r="FU35" i="1"/>
  <c r="FT35" i="1"/>
  <c r="FR35" i="1"/>
  <c r="FS35" i="1" s="1"/>
  <c r="FQ35" i="1"/>
  <c r="FP35" i="1"/>
  <c r="FN35" i="1"/>
  <c r="FO35" i="1" s="1"/>
  <c r="FM35" i="1"/>
  <c r="FL35" i="1"/>
  <c r="FJ35" i="1"/>
  <c r="FK35" i="1" s="1"/>
  <c r="FI35" i="1"/>
  <c r="FH35" i="1"/>
  <c r="FG35" i="1"/>
  <c r="GN34" i="1"/>
  <c r="GO34" i="1" s="1"/>
  <c r="GM34" i="1"/>
  <c r="GL34" i="1"/>
  <c r="GJ34" i="1"/>
  <c r="GK34" i="1" s="1"/>
  <c r="GI34" i="1"/>
  <c r="GH34" i="1"/>
  <c r="GF34" i="1"/>
  <c r="GG34" i="1" s="1"/>
  <c r="GE34" i="1"/>
  <c r="GD34" i="1"/>
  <c r="GB34" i="1"/>
  <c r="GC34" i="1" s="1"/>
  <c r="GA34" i="1"/>
  <c r="FZ34" i="1"/>
  <c r="FX34" i="1"/>
  <c r="FY34" i="1" s="1"/>
  <c r="FW34" i="1"/>
  <c r="FV34" i="1"/>
  <c r="FT34" i="1"/>
  <c r="FU34" i="1" s="1"/>
  <c r="FS34" i="1"/>
  <c r="FR34" i="1"/>
  <c r="FP34" i="1"/>
  <c r="FQ34" i="1" s="1"/>
  <c r="FO34" i="1"/>
  <c r="FN34" i="1"/>
  <c r="FL34" i="1"/>
  <c r="FM34" i="1" s="1"/>
  <c r="FK34" i="1"/>
  <c r="FJ34" i="1"/>
  <c r="FH34" i="1"/>
  <c r="FI34" i="1" s="1"/>
  <c r="FG34" i="1"/>
  <c r="GO33" i="1"/>
  <c r="GN33" i="1"/>
  <c r="GL33" i="1"/>
  <c r="GK33" i="1"/>
  <c r="GJ33" i="1"/>
  <c r="GH33" i="1"/>
  <c r="GG33" i="1"/>
  <c r="GF33" i="1"/>
  <c r="GD33" i="1"/>
  <c r="GC33" i="1"/>
  <c r="GB33" i="1"/>
  <c r="FZ33" i="1"/>
  <c r="FY33" i="1"/>
  <c r="FX33" i="1"/>
  <c r="FV33" i="1"/>
  <c r="FU33" i="1"/>
  <c r="FT33" i="1"/>
  <c r="FR33" i="1"/>
  <c r="FQ33" i="1"/>
  <c r="FP33" i="1"/>
  <c r="FN33" i="1"/>
  <c r="FM33" i="1"/>
  <c r="FL33" i="1"/>
  <c r="FJ33" i="1"/>
  <c r="FI33" i="1"/>
  <c r="FH33" i="1"/>
  <c r="FG33" i="1"/>
  <c r="C33" i="1"/>
  <c r="C32" i="1"/>
  <c r="L32" i="1" s="1"/>
  <c r="GZ37" i="1"/>
  <c r="GY37" i="1"/>
  <c r="GY32" i="1"/>
  <c r="GP32" i="1"/>
  <c r="GS32" i="1" s="1"/>
  <c r="GN32" i="1"/>
  <c r="GZ32" i="1" s="1"/>
  <c r="GL32" i="1"/>
  <c r="GJ32" i="1"/>
  <c r="GK32" i="1" s="1"/>
  <c r="GH32" i="1"/>
  <c r="GF32" i="1"/>
  <c r="GG32" i="1" s="1"/>
  <c r="GD32" i="1"/>
  <c r="GB32" i="1"/>
  <c r="GC32" i="1" s="1"/>
  <c r="FZ32" i="1"/>
  <c r="FX32" i="1"/>
  <c r="FY32" i="1" s="1"/>
  <c r="FV32" i="1"/>
  <c r="FT32" i="1"/>
  <c r="FU32" i="1" s="1"/>
  <c r="FS32" i="1"/>
  <c r="FR32" i="1"/>
  <c r="FO32" i="1"/>
  <c r="FN32" i="1"/>
  <c r="FQ32" i="1" s="1"/>
  <c r="FL32" i="1"/>
  <c r="FM32" i="1" s="1"/>
  <c r="FK32" i="1"/>
  <c r="FJ32" i="1"/>
  <c r="FH32" i="1"/>
  <c r="FI32" i="1" s="1"/>
  <c r="FG32" i="1"/>
  <c r="GO31" i="1"/>
  <c r="GM31" i="1"/>
  <c r="GK31" i="1"/>
  <c r="GI31" i="1"/>
  <c r="ES30" i="1"/>
  <c r="ES31" i="1" s="1"/>
  <c r="EQ30" i="1"/>
  <c r="EQ31" i="1" s="1"/>
  <c r="EO31" i="1"/>
  <c r="EO41" i="1" s="1"/>
  <c r="EM31" i="1"/>
  <c r="EM41" i="1" s="1"/>
  <c r="EK31" i="1"/>
  <c r="EK41" i="1" s="1"/>
  <c r="EI31" i="1"/>
  <c r="EI41" i="1" s="1"/>
  <c r="EG31" i="1"/>
  <c r="EG41" i="1" s="1"/>
  <c r="GN30" i="1"/>
  <c r="GN41" i="1" s="1"/>
  <c r="GL30" i="1"/>
  <c r="GL41" i="1" s="1"/>
  <c r="GJ30" i="1"/>
  <c r="GJ41" i="1" s="1"/>
  <c r="FE30" i="1"/>
  <c r="ET30" i="1"/>
  <c r="EP30" i="1"/>
  <c r="EN30" i="1"/>
  <c r="EL30" i="1"/>
  <c r="EJ30" i="1"/>
  <c r="EH30" i="1"/>
  <c r="EF30" i="1"/>
  <c r="ED30" i="1"/>
  <c r="EB30" i="1"/>
  <c r="DZ30" i="1"/>
  <c r="DX30" i="1"/>
  <c r="DV30" i="1"/>
  <c r="DT30" i="1"/>
  <c r="DR30" i="1"/>
  <c r="DP30" i="1"/>
  <c r="DN30" i="1"/>
  <c r="DL30" i="1"/>
  <c r="DJ30" i="1"/>
  <c r="DH30" i="1"/>
  <c r="DF30" i="1"/>
  <c r="DD30" i="1"/>
  <c r="DB30" i="1"/>
  <c r="CZ30" i="1"/>
  <c r="CX30" i="1"/>
  <c r="CV30" i="1"/>
  <c r="CT30" i="1"/>
  <c r="CR30" i="1"/>
  <c r="CP30" i="1"/>
  <c r="CN30" i="1"/>
  <c r="CL30" i="1"/>
  <c r="CJ30" i="1"/>
  <c r="CH30" i="1"/>
  <c r="CF30" i="1"/>
  <c r="CD30" i="1"/>
  <c r="CB30" i="1"/>
  <c r="BZ30" i="1"/>
  <c r="BX30" i="1"/>
  <c r="BV30" i="1"/>
  <c r="BT30" i="1"/>
  <c r="BR30" i="1"/>
  <c r="BP30" i="1"/>
  <c r="BN30" i="1"/>
  <c r="BL30" i="1"/>
  <c r="BJ30" i="1"/>
  <c r="BH30" i="1"/>
  <c r="BF30" i="1"/>
  <c r="BD30" i="1"/>
  <c r="BB30" i="1"/>
  <c r="AZ30" i="1"/>
  <c r="AX30" i="1"/>
  <c r="AV30" i="1"/>
  <c r="AT30" i="1"/>
  <c r="AR30" i="1"/>
  <c r="AP30" i="1"/>
  <c r="AN30" i="1"/>
  <c r="AL30" i="1"/>
  <c r="AJ30" i="1"/>
  <c r="AH30" i="1"/>
  <c r="AF30" i="1"/>
  <c r="AD30" i="1"/>
  <c r="AB30" i="1"/>
  <c r="Z30" i="1"/>
  <c r="X30" i="1"/>
  <c r="V30" i="1"/>
  <c r="T30" i="1"/>
  <c r="R30" i="1"/>
  <c r="P30" i="1"/>
  <c r="N30" i="1"/>
  <c r="C30" i="1"/>
  <c r="L30" i="1" s="1"/>
  <c r="GQ31" i="1"/>
  <c r="GH30" i="1"/>
  <c r="GI30" i="1" s="1"/>
  <c r="GF30" i="1"/>
  <c r="GF41" i="1" s="1"/>
  <c r="GD30" i="1"/>
  <c r="GD41" i="1" s="1"/>
  <c r="GB30" i="1"/>
  <c r="GB41" i="1" s="1"/>
  <c r="FZ30" i="1"/>
  <c r="FZ41" i="1" s="1"/>
  <c r="FX30" i="1"/>
  <c r="FX41" i="1" s="1"/>
  <c r="FV30" i="1"/>
  <c r="FV41" i="1" s="1"/>
  <c r="FT30" i="1"/>
  <c r="FT41" i="1" s="1"/>
  <c r="FR30" i="1"/>
  <c r="FR41" i="1" s="1"/>
  <c r="FP30" i="1"/>
  <c r="FP41" i="1" s="1"/>
  <c r="FN30" i="1"/>
  <c r="FN41" i="1" s="1"/>
  <c r="FL30" i="1"/>
  <c r="FL41" i="1" s="1"/>
  <c r="FJ30" i="1"/>
  <c r="FJ41" i="1" s="1"/>
  <c r="FK41" i="1" s="1"/>
  <c r="FH30" i="1"/>
  <c r="FH41" i="1" s="1"/>
  <c r="FI41" i="1" s="1"/>
  <c r="FG30" i="1"/>
  <c r="FD29" i="1"/>
  <c r="FD43" i="1" s="1"/>
  <c r="GX24" i="1"/>
  <c r="GX25" i="1" s="1"/>
  <c r="GV24" i="1"/>
  <c r="GV25" i="1" s="1"/>
  <c r="GT24" i="1"/>
  <c r="GT25" i="1" s="1"/>
  <c r="GR24" i="1"/>
  <c r="GR25" i="1" s="1"/>
  <c r="GP24" i="1"/>
  <c r="GP25" i="1" s="1"/>
  <c r="GN24" i="1"/>
  <c r="GN25" i="1" s="1"/>
  <c r="GL24" i="1"/>
  <c r="GL25" i="1" s="1"/>
  <c r="GJ24" i="1"/>
  <c r="GJ25" i="1" s="1"/>
  <c r="GH24" i="1"/>
  <c r="GH25" i="1" s="1"/>
  <c r="EW24" i="1"/>
  <c r="EW25" i="1" s="1"/>
  <c r="EU24" i="1"/>
  <c r="EU25" i="1" s="1"/>
  <c r="ES24" i="1"/>
  <c r="ES25" i="1" s="1"/>
  <c r="EQ24" i="1"/>
  <c r="EQ25" i="1" s="1"/>
  <c r="EO24" i="1"/>
  <c r="EM24" i="1"/>
  <c r="EK24" i="1"/>
  <c r="EI24" i="1"/>
  <c r="FZ15" i="1"/>
  <c r="FZ13" i="1"/>
  <c r="GN15" i="1"/>
  <c r="GN13" i="1"/>
  <c r="GN11" i="1"/>
  <c r="GL15" i="1"/>
  <c r="GL13" i="1"/>
  <c r="GM13" i="1" s="1"/>
  <c r="GJ15" i="1"/>
  <c r="GJ13" i="1"/>
  <c r="GJ11" i="1"/>
  <c r="GH15" i="1"/>
  <c r="GK15" i="1" s="1"/>
  <c r="GH13" i="1"/>
  <c r="GF15" i="1"/>
  <c r="GF13" i="1"/>
  <c r="GF11" i="1"/>
  <c r="GD15" i="1"/>
  <c r="GD13" i="1"/>
  <c r="GE13" i="1" s="1"/>
  <c r="GB15" i="1"/>
  <c r="GB13" i="1"/>
  <c r="GB11" i="1"/>
  <c r="EU11" i="1"/>
  <c r="ES15" i="1"/>
  <c r="EQ15" i="1"/>
  <c r="EQ11" i="1"/>
  <c r="EO15" i="1"/>
  <c r="EP15" i="1" s="1"/>
  <c r="EO13" i="1"/>
  <c r="EO11" i="1"/>
  <c r="EP11" i="1" s="1"/>
  <c r="EO9" i="1"/>
  <c r="EM15" i="1"/>
  <c r="EM13" i="1"/>
  <c r="EM11" i="1"/>
  <c r="EK15" i="1"/>
  <c r="EK13" i="1"/>
  <c r="EL13" i="1" s="1"/>
  <c r="EK11" i="1"/>
  <c r="EK9" i="1"/>
  <c r="EL9" i="1" s="1"/>
  <c r="EI15" i="1"/>
  <c r="EI13" i="1"/>
  <c r="EI11" i="1"/>
  <c r="EG15" i="1"/>
  <c r="EH15" i="1" s="1"/>
  <c r="EG13" i="1"/>
  <c r="EG11" i="1"/>
  <c r="EH11" i="1" s="1"/>
  <c r="EG9" i="1"/>
  <c r="EE15" i="1"/>
  <c r="EE13" i="1"/>
  <c r="EE11" i="1"/>
  <c r="EC15" i="1"/>
  <c r="EC13" i="1"/>
  <c r="ED13" i="1" s="1"/>
  <c r="EC11" i="1"/>
  <c r="EC9" i="1"/>
  <c r="ED9" i="1" s="1"/>
  <c r="EA15" i="1"/>
  <c r="EA13" i="1"/>
  <c r="EA11" i="1"/>
  <c r="DY15" i="1"/>
  <c r="DZ15" i="1" s="1"/>
  <c r="DY13" i="1"/>
  <c r="DY11" i="1"/>
  <c r="DZ11" i="1" s="1"/>
  <c r="DY9" i="1"/>
  <c r="DW15" i="1"/>
  <c r="DW13" i="1"/>
  <c r="DW11" i="1"/>
  <c r="DU15" i="1"/>
  <c r="DU13" i="1"/>
  <c r="DV13" i="1" s="1"/>
  <c r="DU11" i="1"/>
  <c r="DU9" i="1"/>
  <c r="DV9" i="1" s="1"/>
  <c r="DS15" i="1"/>
  <c r="DS13" i="1"/>
  <c r="DS11" i="1"/>
  <c r="DQ15" i="1"/>
  <c r="DR15" i="1" s="1"/>
  <c r="DQ13" i="1"/>
  <c r="DQ11" i="1"/>
  <c r="DR11" i="1" s="1"/>
  <c r="DQ9" i="1"/>
  <c r="DO15" i="1"/>
  <c r="DO13" i="1"/>
  <c r="DO11" i="1"/>
  <c r="DM15" i="1"/>
  <c r="DM13" i="1"/>
  <c r="DN13" i="1" s="1"/>
  <c r="DM11" i="1"/>
  <c r="DM9" i="1"/>
  <c r="DN9" i="1" s="1"/>
  <c r="DK15" i="1"/>
  <c r="DK13" i="1"/>
  <c r="DK11" i="1"/>
  <c r="DI15" i="1"/>
  <c r="DJ15" i="1" s="1"/>
  <c r="DI13" i="1"/>
  <c r="DI11" i="1"/>
  <c r="DJ11" i="1" s="1"/>
  <c r="DI9" i="1"/>
  <c r="DG15" i="1"/>
  <c r="DG13" i="1"/>
  <c r="DG11" i="1"/>
  <c r="DE15" i="1"/>
  <c r="DE13" i="1"/>
  <c r="DF13" i="1" s="1"/>
  <c r="DE11" i="1"/>
  <c r="DE9" i="1"/>
  <c r="DF9" i="1" s="1"/>
  <c r="DC15" i="1"/>
  <c r="DC13" i="1"/>
  <c r="DC11" i="1"/>
  <c r="DA15" i="1"/>
  <c r="DB15" i="1" s="1"/>
  <c r="DA13" i="1"/>
  <c r="DA11" i="1"/>
  <c r="DB11" i="1" s="1"/>
  <c r="DA9" i="1"/>
  <c r="CY15" i="1"/>
  <c r="CY13" i="1"/>
  <c r="CY11" i="1"/>
  <c r="CW15" i="1"/>
  <c r="CW13" i="1"/>
  <c r="CW11" i="1"/>
  <c r="CW9" i="1"/>
  <c r="CX9" i="1" s="1"/>
  <c r="CU15" i="1"/>
  <c r="CU13" i="1"/>
  <c r="CU11" i="1"/>
  <c r="CS15" i="1"/>
  <c r="CT15" i="1" s="1"/>
  <c r="CS13" i="1"/>
  <c r="CS11" i="1"/>
  <c r="CT11" i="1" s="1"/>
  <c r="CS9" i="1"/>
  <c r="CQ15" i="1"/>
  <c r="CQ13" i="1"/>
  <c r="CQ11" i="1"/>
  <c r="CO15" i="1"/>
  <c r="CO13" i="1"/>
  <c r="CX13" i="1" s="1"/>
  <c r="CO11" i="1"/>
  <c r="CO9" i="1"/>
  <c r="CP9" i="1" s="1"/>
  <c r="CM15" i="1"/>
  <c r="CM13" i="1"/>
  <c r="CM11" i="1"/>
  <c r="GO15" i="1"/>
  <c r="GM15" i="1"/>
  <c r="GK13" i="1"/>
  <c r="GI13" i="1"/>
  <c r="GG15" i="1"/>
  <c r="GE15" i="1"/>
  <c r="GC15" i="1"/>
  <c r="GC13" i="1"/>
  <c r="EV11" i="1"/>
  <c r="ET15" i="1"/>
  <c r="ER15" i="1"/>
  <c r="ER11" i="1"/>
  <c r="EP13" i="1"/>
  <c r="EN15" i="1"/>
  <c r="EN13" i="1"/>
  <c r="EN11" i="1"/>
  <c r="EL15" i="1"/>
  <c r="EL11" i="1"/>
  <c r="EJ15" i="1"/>
  <c r="EJ13" i="1"/>
  <c r="EJ11" i="1"/>
  <c r="EH13" i="1"/>
  <c r="EF15" i="1"/>
  <c r="EF13" i="1"/>
  <c r="EF11" i="1"/>
  <c r="ED15" i="1"/>
  <c r="ED11" i="1"/>
  <c r="EB15" i="1"/>
  <c r="EB13" i="1"/>
  <c r="EB11" i="1"/>
  <c r="DZ13" i="1"/>
  <c r="DX15" i="1"/>
  <c r="DX13" i="1"/>
  <c r="DX11" i="1"/>
  <c r="DV15" i="1"/>
  <c r="DV11" i="1"/>
  <c r="DT15" i="1"/>
  <c r="DT13" i="1"/>
  <c r="DT11" i="1"/>
  <c r="DR13" i="1"/>
  <c r="DP15" i="1"/>
  <c r="DP13" i="1"/>
  <c r="DP11" i="1"/>
  <c r="DN15" i="1"/>
  <c r="DN11" i="1"/>
  <c r="DL15" i="1"/>
  <c r="DL13" i="1"/>
  <c r="DL11" i="1"/>
  <c r="DJ13" i="1"/>
  <c r="DH15" i="1"/>
  <c r="DH13" i="1"/>
  <c r="DH11" i="1"/>
  <c r="DF15" i="1"/>
  <c r="DF11" i="1"/>
  <c r="DD15" i="1"/>
  <c r="DD13" i="1"/>
  <c r="DD11" i="1"/>
  <c r="DB13" i="1"/>
  <c r="CZ15" i="1"/>
  <c r="CZ13" i="1"/>
  <c r="CZ11" i="1"/>
  <c r="CX15" i="1"/>
  <c r="CX11" i="1"/>
  <c r="CV15" i="1"/>
  <c r="CV13" i="1"/>
  <c r="CV11" i="1"/>
  <c r="CT13" i="1"/>
  <c r="CR15" i="1"/>
  <c r="CR13" i="1"/>
  <c r="CR11" i="1"/>
  <c r="CP15" i="1"/>
  <c r="CP13" i="1"/>
  <c r="CP11" i="1"/>
  <c r="CN15" i="1"/>
  <c r="CN13" i="1"/>
  <c r="CN11" i="1"/>
  <c r="EP9" i="1"/>
  <c r="EH9" i="1"/>
  <c r="DZ9" i="1"/>
  <c r="DR9" i="1"/>
  <c r="DJ9" i="1"/>
  <c r="DB9" i="1"/>
  <c r="CT9" i="1"/>
  <c r="GY5" i="1"/>
  <c r="GY4" i="1"/>
  <c r="GW5" i="1"/>
  <c r="GW4" i="1"/>
  <c r="GU5" i="1"/>
  <c r="GU4" i="1"/>
  <c r="GS5" i="1"/>
  <c r="GS4" i="1"/>
  <c r="GQ5" i="1"/>
  <c r="GQ4" i="1"/>
  <c r="GO5" i="1"/>
  <c r="GO4" i="1"/>
  <c r="GM5" i="1"/>
  <c r="GM4" i="1"/>
  <c r="GK5" i="1"/>
  <c r="GK4" i="1"/>
  <c r="GI5" i="1"/>
  <c r="GI4" i="1"/>
  <c r="GG5" i="1"/>
  <c r="GG4" i="1"/>
  <c r="GE5" i="1"/>
  <c r="GE4" i="1"/>
  <c r="GC5" i="1"/>
  <c r="GC4" i="1"/>
  <c r="GA5" i="1"/>
  <c r="FY5" i="1"/>
  <c r="FW5" i="1"/>
  <c r="FU5" i="1"/>
  <c r="FS5" i="1"/>
  <c r="FQ5" i="1"/>
  <c r="FO5" i="1"/>
  <c r="FO4" i="1"/>
  <c r="FM5" i="1"/>
  <c r="FM4" i="1"/>
  <c r="FK5" i="1"/>
  <c r="FK4" i="1"/>
  <c r="FI5" i="1"/>
  <c r="FI4" i="1"/>
  <c r="FG5" i="1"/>
  <c r="FG4" i="1"/>
  <c r="FE5" i="1"/>
  <c r="FE4" i="1"/>
  <c r="EX5" i="1"/>
  <c r="EX4" i="1"/>
  <c r="EV5" i="1"/>
  <c r="EV4" i="1"/>
  <c r="ET5" i="1"/>
  <c r="ET4" i="1"/>
  <c r="ER5" i="1"/>
  <c r="ER4" i="1"/>
  <c r="EP5" i="1"/>
  <c r="EP4" i="1"/>
  <c r="EN5" i="1"/>
  <c r="EN4" i="1"/>
  <c r="EL5" i="1"/>
  <c r="EL4" i="1"/>
  <c r="EJ5" i="1"/>
  <c r="EJ4" i="1"/>
  <c r="EH5" i="1"/>
  <c r="EH4" i="1"/>
  <c r="EF5" i="1"/>
  <c r="EF4" i="1"/>
  <c r="ED5" i="1"/>
  <c r="ED4" i="1"/>
  <c r="EB5" i="1"/>
  <c r="EB4" i="1"/>
  <c r="DZ5" i="1"/>
  <c r="DZ4" i="1"/>
  <c r="DX5" i="1"/>
  <c r="DX4" i="1"/>
  <c r="DV5" i="1"/>
  <c r="DV4" i="1"/>
  <c r="DT5" i="1"/>
  <c r="DT4" i="1"/>
  <c r="DR5" i="1"/>
  <c r="DR4" i="1"/>
  <c r="DP5" i="1"/>
  <c r="DP4" i="1"/>
  <c r="DN5" i="1"/>
  <c r="DN4" i="1"/>
  <c r="DL5" i="1"/>
  <c r="DL4" i="1"/>
  <c r="DJ5" i="1"/>
  <c r="DJ4" i="1"/>
  <c r="DH5" i="1"/>
  <c r="DH4" i="1"/>
  <c r="DF5" i="1"/>
  <c r="DF4" i="1"/>
  <c r="DD5" i="1"/>
  <c r="DD4" i="1"/>
  <c r="DB5" i="1"/>
  <c r="DB4" i="1"/>
  <c r="CZ5" i="1"/>
  <c r="CZ4" i="1"/>
  <c r="CX5" i="1"/>
  <c r="CX4" i="1"/>
  <c r="CV5" i="1"/>
  <c r="CV4" i="1"/>
  <c r="CT5" i="1"/>
  <c r="CT4" i="1"/>
  <c r="CR5" i="1"/>
  <c r="CR4" i="1"/>
  <c r="CP5" i="1"/>
  <c r="CP4" i="1"/>
  <c r="CN5" i="1"/>
  <c r="CN4" i="1"/>
  <c r="CL5" i="1"/>
  <c r="CL4" i="1"/>
  <c r="CJ5" i="1"/>
  <c r="CJ4" i="1"/>
  <c r="CH5" i="1"/>
  <c r="CH4" i="1"/>
  <c r="CF5" i="1"/>
  <c r="CF4" i="1"/>
  <c r="CD5" i="1"/>
  <c r="CD4" i="1"/>
  <c r="CB5" i="1"/>
  <c r="CB4" i="1"/>
  <c r="BZ5" i="1"/>
  <c r="BZ4" i="1"/>
  <c r="BX5" i="1"/>
  <c r="BX4" i="1"/>
  <c r="BV5" i="1"/>
  <c r="BV4" i="1"/>
  <c r="BT5" i="1"/>
  <c r="BT4" i="1"/>
  <c r="BR5" i="1"/>
  <c r="BR4" i="1"/>
  <c r="BP5" i="1"/>
  <c r="BP4" i="1"/>
  <c r="BN5" i="1"/>
  <c r="BN4" i="1"/>
  <c r="BL5" i="1"/>
  <c r="BL4" i="1"/>
  <c r="BJ5" i="1"/>
  <c r="BJ4" i="1"/>
  <c r="BH5" i="1"/>
  <c r="BH4" i="1"/>
  <c r="BF5" i="1"/>
  <c r="BF4" i="1"/>
  <c r="BD5" i="1"/>
  <c r="BD4" i="1"/>
  <c r="BB5" i="1"/>
  <c r="BB4" i="1"/>
  <c r="AZ5" i="1"/>
  <c r="AZ4" i="1"/>
  <c r="AX5" i="1"/>
  <c r="AX4" i="1"/>
  <c r="AV5" i="1"/>
  <c r="AV4" i="1"/>
  <c r="AT5" i="1"/>
  <c r="AT4" i="1"/>
  <c r="AR5" i="1"/>
  <c r="AR4" i="1"/>
  <c r="AP5" i="1"/>
  <c r="AP4" i="1"/>
  <c r="AN5" i="1"/>
  <c r="AN4" i="1"/>
  <c r="AL5" i="1"/>
  <c r="AL4" i="1"/>
  <c r="AJ5" i="1"/>
  <c r="AJ4" i="1"/>
  <c r="AH5" i="1"/>
  <c r="AH4" i="1"/>
  <c r="AF5" i="1"/>
  <c r="AF4" i="1"/>
  <c r="AD5" i="1"/>
  <c r="AD4" i="1"/>
  <c r="AB5" i="1"/>
  <c r="AB4" i="1"/>
  <c r="Z5" i="1"/>
  <c r="Z4" i="1"/>
  <c r="X5" i="1"/>
  <c r="X4" i="1"/>
  <c r="V5" i="1"/>
  <c r="V4" i="1"/>
  <c r="T5" i="1"/>
  <c r="T4" i="1"/>
  <c r="R5" i="1"/>
  <c r="R4" i="1"/>
  <c r="P5" i="1"/>
  <c r="P4" i="1"/>
  <c r="N5" i="1"/>
  <c r="N4" i="1"/>
  <c r="L5" i="1"/>
  <c r="L4" i="1"/>
  <c r="DX19" i="2" l="1"/>
  <c r="DV20" i="2"/>
  <c r="DV22" i="2" s="1"/>
  <c r="DT20" i="2"/>
  <c r="CZ527" i="198"/>
  <c r="DT147" i="2"/>
  <c r="EU87" i="1"/>
  <c r="GK358" i="1"/>
  <c r="GO358" i="1"/>
  <c r="M22" i="2"/>
  <c r="ES33" i="2"/>
  <c r="EZ22" i="2"/>
  <c r="FD22" i="2"/>
  <c r="FH22" i="2"/>
  <c r="EU37" i="2"/>
  <c r="DF39" i="2"/>
  <c r="BN87" i="2"/>
  <c r="BR87" i="2"/>
  <c r="BV87" i="2"/>
  <c r="BZ87" i="2"/>
  <c r="CD87" i="2"/>
  <c r="CH87" i="2"/>
  <c r="CL87" i="2"/>
  <c r="CP87" i="2"/>
  <c r="CT87" i="2"/>
  <c r="CX87" i="2"/>
  <c r="DB87" i="2"/>
  <c r="DF87" i="2"/>
  <c r="DJ87" i="2"/>
  <c r="DN87" i="2"/>
  <c r="EY87" i="2"/>
  <c r="FC87" i="2"/>
  <c r="FG87" i="2"/>
  <c r="FA87" i="2"/>
  <c r="DK33" i="2"/>
  <c r="DO33" i="2"/>
  <c r="AD22" i="2"/>
  <c r="CT22" i="2"/>
  <c r="DJ22" i="2"/>
  <c r="DN22" i="2"/>
  <c r="DZ22" i="2"/>
  <c r="EY42" i="2"/>
  <c r="FG42" i="2"/>
  <c r="CJ39" i="2"/>
  <c r="ES87" i="2"/>
  <c r="D22" i="2"/>
  <c r="H22" i="2"/>
  <c r="L22" i="2"/>
  <c r="P22" i="2"/>
  <c r="T22" i="2"/>
  <c r="X22" i="2"/>
  <c r="AB22" i="2"/>
  <c r="AF22" i="2"/>
  <c r="AJ22" i="2"/>
  <c r="AN22" i="2"/>
  <c r="AR22" i="2"/>
  <c r="AV22" i="2"/>
  <c r="AZ22" i="2"/>
  <c r="BD22" i="2"/>
  <c r="BH22" i="2"/>
  <c r="BL22" i="2"/>
  <c r="BP22" i="2"/>
  <c r="BT22" i="2"/>
  <c r="BX22" i="2"/>
  <c r="CB22" i="2"/>
  <c r="CF22" i="2"/>
  <c r="CJ22" i="2"/>
  <c r="CN22" i="2"/>
  <c r="CR22" i="2"/>
  <c r="CV22" i="2"/>
  <c r="CZ22" i="2"/>
  <c r="DD22" i="2"/>
  <c r="DH22" i="2"/>
  <c r="DL22" i="2"/>
  <c r="DP22" i="2"/>
  <c r="DT22" i="2"/>
  <c r="DX22" i="2"/>
  <c r="EZ33" i="2"/>
  <c r="FH33" i="2"/>
  <c r="DH39" i="2"/>
  <c r="B219" i="2"/>
  <c r="F219" i="2"/>
  <c r="J219" i="2"/>
  <c r="N219" i="2"/>
  <c r="R219" i="2"/>
  <c r="V219" i="2"/>
  <c r="Z219" i="2"/>
  <c r="AD219" i="2"/>
  <c r="AH219" i="2"/>
  <c r="AL219" i="2"/>
  <c r="AP219" i="2"/>
  <c r="AT219" i="2"/>
  <c r="AX219" i="2"/>
  <c r="BB219" i="2"/>
  <c r="BF219" i="2"/>
  <c r="BJ219" i="2"/>
  <c r="BN219" i="2"/>
  <c r="BR219" i="2"/>
  <c r="BV219" i="2"/>
  <c r="BZ219" i="2"/>
  <c r="CD219" i="2"/>
  <c r="CH219" i="2"/>
  <c r="CL219" i="2"/>
  <c r="CP219" i="2"/>
  <c r="CT219" i="2"/>
  <c r="CX219" i="2"/>
  <c r="DB219" i="2"/>
  <c r="DF219" i="2"/>
  <c r="DJ219" i="2"/>
  <c r="DN219" i="2"/>
  <c r="D219" i="2"/>
  <c r="H219" i="2"/>
  <c r="L219" i="2"/>
  <c r="P219" i="2"/>
  <c r="T219" i="2"/>
  <c r="X219" i="2"/>
  <c r="AB219" i="2"/>
  <c r="AF219" i="2"/>
  <c r="AJ219" i="2"/>
  <c r="AN219" i="2"/>
  <c r="AR219" i="2"/>
  <c r="AV219" i="2"/>
  <c r="AZ219" i="2"/>
  <c r="BD219" i="2"/>
  <c r="BH219" i="2"/>
  <c r="BL219" i="2"/>
  <c r="BP219" i="2"/>
  <c r="BT219" i="2"/>
  <c r="BX219" i="2"/>
  <c r="CB219" i="2"/>
  <c r="CF219" i="2"/>
  <c r="CJ219" i="2"/>
  <c r="CN219" i="2"/>
  <c r="CR219" i="2"/>
  <c r="CV219" i="2"/>
  <c r="CZ219" i="2"/>
  <c r="DD219" i="2"/>
  <c r="DH219" i="2"/>
  <c r="DL219" i="2"/>
  <c r="DP219" i="2"/>
  <c r="EC304" i="2"/>
  <c r="EK304" i="2"/>
  <c r="ES304" i="2"/>
  <c r="FA304" i="2"/>
  <c r="EG522" i="2"/>
  <c r="EO522" i="2"/>
  <c r="EW522" i="2"/>
  <c r="FE522" i="2"/>
  <c r="CO10" i="198"/>
  <c r="CS28" i="198"/>
  <c r="AR37" i="198"/>
  <c r="AV37" i="198"/>
  <c r="AZ37" i="198"/>
  <c r="BD37" i="198"/>
  <c r="BH37" i="198"/>
  <c r="BL37" i="198"/>
  <c r="BT37" i="198"/>
  <c r="BX37" i="198"/>
  <c r="CB37" i="198"/>
  <c r="CF37" i="198"/>
  <c r="CJ37" i="198"/>
  <c r="CN37" i="198"/>
  <c r="CR37" i="198"/>
  <c r="DQ37" i="198"/>
  <c r="DU37" i="198"/>
  <c r="DY37" i="198"/>
  <c r="BK15" i="198"/>
  <c r="B297" i="198"/>
  <c r="F297" i="198"/>
  <c r="J297" i="198"/>
  <c r="N297" i="198"/>
  <c r="R297" i="198"/>
  <c r="V297" i="198"/>
  <c r="Z297" i="198"/>
  <c r="AD297" i="198"/>
  <c r="AH297" i="198"/>
  <c r="AL297" i="198"/>
  <c r="AP297" i="198"/>
  <c r="AT297" i="198"/>
  <c r="EI304" i="2"/>
  <c r="EQ304" i="2"/>
  <c r="EY304" i="2"/>
  <c r="FG304" i="2"/>
  <c r="DB14" i="198"/>
  <c r="BX32" i="198"/>
  <c r="CB32" i="198"/>
  <c r="CF32" i="198"/>
  <c r="CJ32" i="198"/>
  <c r="DO32" i="198"/>
  <c r="DS32" i="198"/>
  <c r="FC37" i="2"/>
  <c r="BN47" i="2"/>
  <c r="BR47" i="2"/>
  <c r="BV47" i="2"/>
  <c r="BZ47" i="2"/>
  <c r="CD47" i="2"/>
  <c r="CH47" i="2"/>
  <c r="CL47" i="2"/>
  <c r="CP47" i="2"/>
  <c r="CT47" i="2"/>
  <c r="CX47" i="2"/>
  <c r="DB47" i="2"/>
  <c r="DF47" i="2"/>
  <c r="DM39" i="2"/>
  <c r="CT39" i="2"/>
  <c r="CX39" i="2"/>
  <c r="DB39" i="2"/>
  <c r="EZ39" i="2"/>
  <c r="FH39" i="2"/>
  <c r="CF39" i="2"/>
  <c r="CV39" i="2"/>
  <c r="DD39" i="2"/>
  <c r="DL39" i="2"/>
  <c r="EU39" i="2"/>
  <c r="EY47" i="2"/>
  <c r="FC47" i="2"/>
  <c r="EE401" i="2"/>
  <c r="EM401" i="2"/>
  <c r="EU401" i="2"/>
  <c r="FC401" i="2"/>
  <c r="FK401" i="2"/>
  <c r="AJ441" i="2"/>
  <c r="FM441" i="2"/>
  <c r="FQ441" i="2"/>
  <c r="CM14" i="198"/>
  <c r="CQ14" i="198"/>
  <c r="DI15" i="198"/>
  <c r="EA14" i="198"/>
  <c r="CN14" i="198"/>
  <c r="CO19" i="198"/>
  <c r="CS19" i="198"/>
  <c r="CN32" i="198"/>
  <c r="DY32" i="198"/>
  <c r="D123" i="198"/>
  <c r="H123" i="198"/>
  <c r="L123" i="198"/>
  <c r="P123" i="198"/>
  <c r="T123" i="198"/>
  <c r="X123" i="198"/>
  <c r="AB123" i="198"/>
  <c r="AF123" i="198"/>
  <c r="AJ123" i="198"/>
  <c r="AN123" i="198"/>
  <c r="AR123" i="198"/>
  <c r="AV123" i="198"/>
  <c r="AZ123" i="198"/>
  <c r="BD123" i="198"/>
  <c r="BH123" i="198"/>
  <c r="BL123" i="198"/>
  <c r="BP123" i="198"/>
  <c r="BT123" i="198"/>
  <c r="BX123" i="198"/>
  <c r="CB123" i="198"/>
  <c r="CF123" i="198"/>
  <c r="CJ123" i="198"/>
  <c r="CN123" i="198"/>
  <c r="CR123" i="198"/>
  <c r="AX297" i="198"/>
  <c r="BB297" i="198"/>
  <c r="BF297" i="198"/>
  <c r="BJ297" i="198"/>
  <c r="BN297" i="198"/>
  <c r="BR297" i="198"/>
  <c r="BV297" i="198"/>
  <c r="BZ297" i="198"/>
  <c r="CD297" i="198"/>
  <c r="CH297" i="198"/>
  <c r="CL297" i="198"/>
  <c r="CP297" i="198"/>
  <c r="DE297" i="198"/>
  <c r="DI297" i="198"/>
  <c r="DM297" i="198"/>
  <c r="DQ297" i="198"/>
  <c r="DU297" i="198"/>
  <c r="DY297" i="198"/>
  <c r="D394" i="198"/>
  <c r="H394" i="198"/>
  <c r="L394" i="198"/>
  <c r="P394" i="198"/>
  <c r="T394" i="198"/>
  <c r="X394" i="198"/>
  <c r="AB394" i="198"/>
  <c r="AF394" i="198"/>
  <c r="AJ394" i="198"/>
  <c r="AN394" i="198"/>
  <c r="AR394" i="198"/>
  <c r="AV394" i="198"/>
  <c r="AZ394" i="198"/>
  <c r="BD394" i="198"/>
  <c r="BH394" i="198"/>
  <c r="BL394" i="198"/>
  <c r="BP394" i="198"/>
  <c r="BT394" i="198"/>
  <c r="BX394" i="198"/>
  <c r="CB394" i="198"/>
  <c r="CF394" i="198"/>
  <c r="CJ394" i="198"/>
  <c r="CN394" i="198"/>
  <c r="CR394" i="198"/>
  <c r="CV394" i="198"/>
  <c r="CZ394" i="198"/>
  <c r="DC434" i="198"/>
  <c r="DG434" i="198"/>
  <c r="DK434" i="198"/>
  <c r="DO434" i="198"/>
  <c r="DS434" i="198"/>
  <c r="DW434" i="198"/>
  <c r="EA434" i="198"/>
  <c r="EE434" i="198"/>
  <c r="EI434" i="198"/>
  <c r="B474" i="198"/>
  <c r="F474" i="198"/>
  <c r="J474" i="198"/>
  <c r="N474" i="198"/>
  <c r="R474" i="198"/>
  <c r="V474" i="198"/>
  <c r="Z474" i="198"/>
  <c r="AD474" i="198"/>
  <c r="AH474" i="198"/>
  <c r="AL474" i="198"/>
  <c r="AP474" i="198"/>
  <c r="AT474" i="198"/>
  <c r="AX474" i="198"/>
  <c r="BB474" i="198"/>
  <c r="BF474" i="198"/>
  <c r="BJ474" i="198"/>
  <c r="BN474" i="198"/>
  <c r="BR474" i="198"/>
  <c r="BV474" i="198"/>
  <c r="BZ474" i="198"/>
  <c r="CD474" i="198"/>
  <c r="CH474" i="198"/>
  <c r="CL474" i="198"/>
  <c r="CP474" i="198"/>
  <c r="D297" i="198"/>
  <c r="H297" i="198"/>
  <c r="L297" i="198"/>
  <c r="P297" i="198"/>
  <c r="T297" i="198"/>
  <c r="X297" i="198"/>
  <c r="AB297" i="198"/>
  <c r="D474" i="198"/>
  <c r="H474" i="198"/>
  <c r="DC394" i="198"/>
  <c r="DG394" i="198"/>
  <c r="DK394" i="198"/>
  <c r="DO394" i="198"/>
  <c r="DS394" i="198"/>
  <c r="DW394" i="198"/>
  <c r="EA394" i="198"/>
  <c r="EE394" i="198"/>
  <c r="EI394" i="198"/>
  <c r="B515" i="198"/>
  <c r="F515" i="198"/>
  <c r="J515" i="198"/>
  <c r="N515" i="198"/>
  <c r="R515" i="198"/>
  <c r="V515" i="198"/>
  <c r="Z515" i="198"/>
  <c r="AD515" i="198"/>
  <c r="AH515" i="198"/>
  <c r="AL515" i="198"/>
  <c r="AP515" i="198"/>
  <c r="AT515" i="198"/>
  <c r="AX515" i="198"/>
  <c r="BB515" i="198"/>
  <c r="BF515" i="198"/>
  <c r="BJ515" i="198"/>
  <c r="BN515" i="198"/>
  <c r="BR515" i="198"/>
  <c r="BV515" i="198"/>
  <c r="BZ515" i="198"/>
  <c r="CD515" i="198"/>
  <c r="CH515" i="198"/>
  <c r="CL515" i="198"/>
  <c r="CP515" i="198"/>
  <c r="DC515" i="198"/>
  <c r="CH22" i="2"/>
  <c r="DQ37" i="2"/>
  <c r="BP33" i="2"/>
  <c r="BT33" i="2"/>
  <c r="BX33" i="2"/>
  <c r="CB33" i="2"/>
  <c r="CF33" i="2"/>
  <c r="CJ33" i="2"/>
  <c r="CN33" i="2"/>
  <c r="CR33" i="2"/>
  <c r="CV33" i="2"/>
  <c r="CZ33" i="2"/>
  <c r="DD33" i="2"/>
  <c r="DH33" i="2"/>
  <c r="DL33" i="2"/>
  <c r="DP33" i="2"/>
  <c r="CH33" i="2"/>
  <c r="EX33" i="2"/>
  <c r="FB33" i="2"/>
  <c r="FF33" i="2"/>
  <c r="DJ42" i="2"/>
  <c r="FC42" i="2"/>
  <c r="BN37" i="2"/>
  <c r="CL37" i="2"/>
  <c r="CN42" i="2"/>
  <c r="CT37" i="2"/>
  <c r="DJ39" i="2"/>
  <c r="EY37" i="2"/>
  <c r="CD39" i="2"/>
  <c r="CN37" i="2"/>
  <c r="EW87" i="2"/>
  <c r="FE87" i="2"/>
  <c r="CI113" i="2"/>
  <c r="AF130" i="2"/>
  <c r="AV130" i="2"/>
  <c r="BL130" i="2"/>
  <c r="CR130" i="2"/>
  <c r="DH130" i="2"/>
  <c r="EE130" i="2"/>
  <c r="EI130" i="2"/>
  <c r="EM130" i="2"/>
  <c r="EQ130" i="2"/>
  <c r="EU130" i="2"/>
  <c r="EY130" i="2"/>
  <c r="FC130" i="2"/>
  <c r="FG130" i="2"/>
  <c r="AW112" i="2"/>
  <c r="AW157" i="2"/>
  <c r="EW158" i="2"/>
  <c r="EW113" i="2"/>
  <c r="E22" i="2"/>
  <c r="I22" i="2"/>
  <c r="Q22" i="2"/>
  <c r="U22" i="2"/>
  <c r="Y22" i="2"/>
  <c r="AC22" i="2"/>
  <c r="AG22" i="2"/>
  <c r="AK22" i="2"/>
  <c r="AO22" i="2"/>
  <c r="AS22" i="2"/>
  <c r="AW22" i="2"/>
  <c r="BA22" i="2"/>
  <c r="BE22" i="2"/>
  <c r="BI22" i="2"/>
  <c r="BM22" i="2"/>
  <c r="BQ22" i="2"/>
  <c r="BU22" i="2"/>
  <c r="BY22" i="2"/>
  <c r="CC22" i="2"/>
  <c r="CG22" i="2"/>
  <c r="CK22" i="2"/>
  <c r="CO22" i="2"/>
  <c r="CS22" i="2"/>
  <c r="CW22" i="2"/>
  <c r="DA22" i="2"/>
  <c r="DE22" i="2"/>
  <c r="DI22" i="2"/>
  <c r="DM22" i="2"/>
  <c r="DQ22" i="2"/>
  <c r="EW33" i="2"/>
  <c r="FE33" i="2"/>
  <c r="EX22" i="2"/>
  <c r="FB22" i="2"/>
  <c r="FF22" i="2"/>
  <c r="DN26" i="2"/>
  <c r="DN37" i="2" s="1"/>
  <c r="DZ26" i="2"/>
  <c r="DZ37" i="2" s="1"/>
  <c r="FA33" i="2"/>
  <c r="EZ37" i="2"/>
  <c r="FD37" i="2"/>
  <c r="FH37" i="2"/>
  <c r="EW39" i="2"/>
  <c r="FA39" i="2"/>
  <c r="FE39" i="2"/>
  <c r="FG37" i="2"/>
  <c r="CL39" i="2"/>
  <c r="FD39" i="2"/>
  <c r="DP39" i="2"/>
  <c r="EY39" i="2"/>
  <c r="FG39" i="2"/>
  <c r="G113" i="2"/>
  <c r="G158" i="2"/>
  <c r="W158" i="2"/>
  <c r="W113" i="2"/>
  <c r="CT26" i="2"/>
  <c r="BR33" i="2"/>
  <c r="BZ33" i="2"/>
  <c r="CP33" i="2"/>
  <c r="CX33" i="2"/>
  <c r="DF33" i="2"/>
  <c r="F22" i="2"/>
  <c r="J22" i="2"/>
  <c r="N22" i="2"/>
  <c r="V22" i="2"/>
  <c r="Z22" i="2"/>
  <c r="AH22" i="2"/>
  <c r="AP22" i="2"/>
  <c r="AT22" i="2"/>
  <c r="AX22" i="2"/>
  <c r="BF22" i="2"/>
  <c r="BJ22" i="2"/>
  <c r="BN22" i="2"/>
  <c r="BV22" i="2"/>
  <c r="BZ22" i="2"/>
  <c r="CD22" i="2"/>
  <c r="CL22" i="2"/>
  <c r="CP22" i="2"/>
  <c r="FD33" i="2"/>
  <c r="EQ22" i="2"/>
  <c r="ER22" i="2" s="1"/>
  <c r="EU22" i="2"/>
  <c r="EV22" i="2" s="1"/>
  <c r="EY22" i="2"/>
  <c r="FC22" i="2"/>
  <c r="FG22" i="2"/>
  <c r="AD26" i="2"/>
  <c r="DJ26" i="2"/>
  <c r="DJ37" i="2" s="1"/>
  <c r="FS112" i="2"/>
  <c r="DI157" i="2"/>
  <c r="BM157" i="2"/>
  <c r="BM112" i="2"/>
  <c r="BS113" i="2"/>
  <c r="BS158" i="2"/>
  <c r="EG113" i="2"/>
  <c r="EG158" i="2"/>
  <c r="CN39" i="2"/>
  <c r="FC39" i="2"/>
  <c r="EU47" i="2"/>
  <c r="DY112" i="2"/>
  <c r="CX481" i="2"/>
  <c r="D130" i="2"/>
  <c r="H130" i="2"/>
  <c r="L130" i="2"/>
  <c r="T130" i="2"/>
  <c r="X130" i="2"/>
  <c r="AB130" i="2"/>
  <c r="AJ130" i="2"/>
  <c r="AN130" i="2"/>
  <c r="AR130" i="2"/>
  <c r="AZ130" i="2"/>
  <c r="BD130" i="2"/>
  <c r="BH130" i="2"/>
  <c r="BP130" i="2"/>
  <c r="BT130" i="2"/>
  <c r="BX130" i="2"/>
  <c r="CF130" i="2"/>
  <c r="CJ130" i="2"/>
  <c r="CN130" i="2"/>
  <c r="CV130" i="2"/>
  <c r="CZ130" i="2"/>
  <c r="DD130" i="2"/>
  <c r="DL130" i="2"/>
  <c r="DP130" i="2"/>
  <c r="D304" i="2"/>
  <c r="H304" i="2"/>
  <c r="L304" i="2"/>
  <c r="P304" i="2"/>
  <c r="T304" i="2"/>
  <c r="X304" i="2"/>
  <c r="AB304" i="2"/>
  <c r="AF304" i="2"/>
  <c r="AJ304" i="2"/>
  <c r="AN304" i="2"/>
  <c r="AR304" i="2"/>
  <c r="AV304" i="2"/>
  <c r="AZ304" i="2"/>
  <c r="BD304" i="2"/>
  <c r="BH304" i="2"/>
  <c r="BL304" i="2"/>
  <c r="BP304" i="2"/>
  <c r="BT304" i="2"/>
  <c r="BX304" i="2"/>
  <c r="CB304" i="2"/>
  <c r="CF304" i="2"/>
  <c r="CJ304" i="2"/>
  <c r="CN304" i="2"/>
  <c r="CR304" i="2"/>
  <c r="CV304" i="2"/>
  <c r="CZ304" i="2"/>
  <c r="DD304" i="2"/>
  <c r="DH304" i="2"/>
  <c r="DL304" i="2"/>
  <c r="DP304" i="2"/>
  <c r="B401" i="2"/>
  <c r="F401" i="2"/>
  <c r="J401" i="2"/>
  <c r="N401" i="2"/>
  <c r="R401" i="2"/>
  <c r="V401" i="2"/>
  <c r="Z401" i="2"/>
  <c r="AD401" i="2"/>
  <c r="AH401" i="2"/>
  <c r="AL401" i="2"/>
  <c r="AP401" i="2"/>
  <c r="AT401" i="2"/>
  <c r="AX401" i="2"/>
  <c r="BB401" i="2"/>
  <c r="BF401" i="2"/>
  <c r="BJ401" i="2"/>
  <c r="BN401" i="2"/>
  <c r="BR401" i="2"/>
  <c r="BV401" i="2"/>
  <c r="BZ401" i="2"/>
  <c r="CD401" i="2"/>
  <c r="CH401" i="2"/>
  <c r="CL401" i="2"/>
  <c r="CP401" i="2"/>
  <c r="CT401" i="2"/>
  <c r="CX401" i="2"/>
  <c r="DB401" i="2"/>
  <c r="DF401" i="2"/>
  <c r="DJ401" i="2"/>
  <c r="DN401" i="2"/>
  <c r="DR401" i="2"/>
  <c r="DV401" i="2"/>
  <c r="EI401" i="2"/>
  <c r="EQ401" i="2"/>
  <c r="EY401" i="2"/>
  <c r="FG401" i="2"/>
  <c r="FO401" i="2"/>
  <c r="CV441" i="2"/>
  <c r="EC441" i="2"/>
  <c r="EG441" i="2"/>
  <c r="EK441" i="2"/>
  <c r="EO441" i="2"/>
  <c r="ES441" i="2"/>
  <c r="EW441" i="2"/>
  <c r="FA441" i="2"/>
  <c r="FE441" i="2"/>
  <c r="FI441" i="2"/>
  <c r="D481" i="2"/>
  <c r="H481" i="2"/>
  <c r="L481" i="2"/>
  <c r="P481" i="2"/>
  <c r="T481" i="2"/>
  <c r="X481" i="2"/>
  <c r="AB481" i="2"/>
  <c r="AF481" i="2"/>
  <c r="AJ481" i="2"/>
  <c r="AN481" i="2"/>
  <c r="AR481" i="2"/>
  <c r="AV481" i="2"/>
  <c r="AZ481" i="2"/>
  <c r="FG47" i="2"/>
  <c r="BP47" i="2"/>
  <c r="BT47" i="2"/>
  <c r="BX47" i="2"/>
  <c r="CB47" i="2"/>
  <c r="CF47" i="2"/>
  <c r="CJ47" i="2"/>
  <c r="CN47" i="2"/>
  <c r="CR47" i="2"/>
  <c r="CV47" i="2"/>
  <c r="CZ47" i="2"/>
  <c r="DD47" i="2"/>
  <c r="DH47" i="2"/>
  <c r="DL47" i="2"/>
  <c r="DP47" i="2"/>
  <c r="B441" i="2"/>
  <c r="F441" i="2"/>
  <c r="J441" i="2"/>
  <c r="N441" i="2"/>
  <c r="R441" i="2"/>
  <c r="V441" i="2"/>
  <c r="Z441" i="2"/>
  <c r="AD441" i="2"/>
  <c r="AH441" i="2"/>
  <c r="AL441" i="2"/>
  <c r="AP441" i="2"/>
  <c r="AT441" i="2"/>
  <c r="AX441" i="2"/>
  <c r="BB441" i="2"/>
  <c r="BF441" i="2"/>
  <c r="BJ441" i="2"/>
  <c r="BN441" i="2"/>
  <c r="BR441" i="2"/>
  <c r="BV441" i="2"/>
  <c r="BZ441" i="2"/>
  <c r="CD441" i="2"/>
  <c r="CH441" i="2"/>
  <c r="CL441" i="2"/>
  <c r="CP441" i="2"/>
  <c r="CT441" i="2"/>
  <c r="CX441" i="2"/>
  <c r="DB441" i="2"/>
  <c r="DF441" i="2"/>
  <c r="DJ441" i="2"/>
  <c r="DN441" i="2"/>
  <c r="DR441" i="2"/>
  <c r="DV441" i="2"/>
  <c r="EE441" i="2"/>
  <c r="EI441" i="2"/>
  <c r="EM441" i="2"/>
  <c r="EQ441" i="2"/>
  <c r="EU441" i="2"/>
  <c r="EY441" i="2"/>
  <c r="FC441" i="2"/>
  <c r="FG441" i="2"/>
  <c r="FO441" i="2"/>
  <c r="D441" i="2"/>
  <c r="T441" i="2"/>
  <c r="AZ441" i="2"/>
  <c r="BP441" i="2"/>
  <c r="CF441" i="2"/>
  <c r="DL441" i="2"/>
  <c r="AL481" i="2"/>
  <c r="DX14" i="198"/>
  <c r="EB14" i="198"/>
  <c r="EA32" i="198"/>
  <c r="BD481" i="2"/>
  <c r="BL481" i="2"/>
  <c r="BP481" i="2"/>
  <c r="BT481" i="2"/>
  <c r="BX481" i="2"/>
  <c r="CB481" i="2"/>
  <c r="CF481" i="2"/>
  <c r="CJ481" i="2"/>
  <c r="CN481" i="2"/>
  <c r="CR481" i="2"/>
  <c r="CV481" i="2"/>
  <c r="CZ481" i="2"/>
  <c r="DD481" i="2"/>
  <c r="DH481" i="2"/>
  <c r="DL481" i="2"/>
  <c r="DP481" i="2"/>
  <c r="F481" i="2"/>
  <c r="V481" i="2"/>
  <c r="BB481" i="2"/>
  <c r="BR481" i="2"/>
  <c r="CH481" i="2"/>
  <c r="DN481" i="2"/>
  <c r="AV522" i="2"/>
  <c r="AZ522" i="2"/>
  <c r="BD522" i="2"/>
  <c r="BH522" i="2"/>
  <c r="BL522" i="2"/>
  <c r="BP522" i="2"/>
  <c r="BT522" i="2"/>
  <c r="BX522" i="2"/>
  <c r="CB522" i="2"/>
  <c r="CF522" i="2"/>
  <c r="CJ522" i="2"/>
  <c r="CN522" i="2"/>
  <c r="CR522" i="2"/>
  <c r="CV522" i="2"/>
  <c r="CZ522" i="2"/>
  <c r="DD522" i="2"/>
  <c r="DH522" i="2"/>
  <c r="DL522" i="2"/>
  <c r="DP522" i="2"/>
  <c r="CO14" i="198"/>
  <c r="CO22" i="198" s="1"/>
  <c r="CS14" i="198"/>
  <c r="DX19" i="198"/>
  <c r="EB19" i="198"/>
  <c r="H19" i="198"/>
  <c r="AR32" i="198"/>
  <c r="AV32" i="198"/>
  <c r="AZ32" i="198"/>
  <c r="BD32" i="198"/>
  <c r="BH32" i="198"/>
  <c r="BL32" i="198"/>
  <c r="BZ32" i="198"/>
  <c r="CD32" i="198"/>
  <c r="CH32" i="198"/>
  <c r="AD522" i="2"/>
  <c r="AH522" i="2"/>
  <c r="AL522" i="2"/>
  <c r="AP522" i="2"/>
  <c r="AT522" i="2"/>
  <c r="AX522" i="2"/>
  <c r="BB522" i="2"/>
  <c r="BF522" i="2"/>
  <c r="BJ522" i="2"/>
  <c r="BN522" i="2"/>
  <c r="BR522" i="2"/>
  <c r="BV522" i="2"/>
  <c r="BZ522" i="2"/>
  <c r="CD522" i="2"/>
  <c r="CH522" i="2"/>
  <c r="CL522" i="2"/>
  <c r="CP522" i="2"/>
  <c r="CT522" i="2"/>
  <c r="CX522" i="2"/>
  <c r="DB522" i="2"/>
  <c r="DF522" i="2"/>
  <c r="DJ522" i="2"/>
  <c r="DN522" i="2"/>
  <c r="EE522" i="2"/>
  <c r="EM522" i="2"/>
  <c r="EU522" i="2"/>
  <c r="FC522" i="2"/>
  <c r="DK12" i="198"/>
  <c r="DS12" i="198"/>
  <c r="DZ19" i="198"/>
  <c r="AP37" i="198"/>
  <c r="AT37" i="198"/>
  <c r="AX37" i="198"/>
  <c r="BB37" i="198"/>
  <c r="BF37" i="198"/>
  <c r="BJ37" i="198"/>
  <c r="BN37" i="198"/>
  <c r="BR37" i="198"/>
  <c r="BV37" i="198"/>
  <c r="BZ37" i="198"/>
  <c r="CD37" i="198"/>
  <c r="CH37" i="198"/>
  <c r="CL37" i="198"/>
  <c r="CP37" i="198"/>
  <c r="DS37" i="198"/>
  <c r="DW37" i="198"/>
  <c r="EA37" i="198"/>
  <c r="AF297" i="198"/>
  <c r="AJ297" i="198"/>
  <c r="AN297" i="198"/>
  <c r="AR297" i="198"/>
  <c r="AV297" i="198"/>
  <c r="AZ297" i="198"/>
  <c r="BD297" i="198"/>
  <c r="BH297" i="198"/>
  <c r="BL297" i="198"/>
  <c r="BP297" i="198"/>
  <c r="BT297" i="198"/>
  <c r="BX297" i="198"/>
  <c r="CB297" i="198"/>
  <c r="CF297" i="198"/>
  <c r="CJ297" i="198"/>
  <c r="CN297" i="198"/>
  <c r="CR297" i="198"/>
  <c r="DC297" i="198"/>
  <c r="DG297" i="198"/>
  <c r="DK297" i="198"/>
  <c r="DO297" i="198"/>
  <c r="DS297" i="198"/>
  <c r="DW297" i="198"/>
  <c r="EA297" i="198"/>
  <c r="B394" i="198"/>
  <c r="F394" i="198"/>
  <c r="J394" i="198"/>
  <c r="N394" i="198"/>
  <c r="R394" i="198"/>
  <c r="V394" i="198"/>
  <c r="Z394" i="198"/>
  <c r="AD394" i="198"/>
  <c r="AH394" i="198"/>
  <c r="AL394" i="198"/>
  <c r="AP394" i="198"/>
  <c r="AT394" i="198"/>
  <c r="AX394" i="198"/>
  <c r="BB394" i="198"/>
  <c r="BF394" i="198"/>
  <c r="BJ394" i="198"/>
  <c r="BN394" i="198"/>
  <c r="BR394" i="198"/>
  <c r="BV394" i="198"/>
  <c r="BZ394" i="198"/>
  <c r="CD394" i="198"/>
  <c r="CH394" i="198"/>
  <c r="CL394" i="198"/>
  <c r="CP394" i="198"/>
  <c r="CT394" i="198"/>
  <c r="CX394" i="198"/>
  <c r="L474" i="198"/>
  <c r="P474" i="198"/>
  <c r="T474" i="198"/>
  <c r="X474" i="198"/>
  <c r="AB474" i="198"/>
  <c r="AF474" i="198"/>
  <c r="AJ474" i="198"/>
  <c r="AN474" i="198"/>
  <c r="AR474" i="198"/>
  <c r="AV474" i="198"/>
  <c r="AZ474" i="198"/>
  <c r="BD474" i="198"/>
  <c r="BH474" i="198"/>
  <c r="BL474" i="198"/>
  <c r="BP474" i="198"/>
  <c r="BT474" i="198"/>
  <c r="BX474" i="198"/>
  <c r="CB474" i="198"/>
  <c r="CF474" i="198"/>
  <c r="CJ474" i="198"/>
  <c r="CN474" i="198"/>
  <c r="CR474" i="198"/>
  <c r="B434" i="198"/>
  <c r="F434" i="198"/>
  <c r="J434" i="198"/>
  <c r="N434" i="198"/>
  <c r="R434" i="198"/>
  <c r="V434" i="198"/>
  <c r="Z434" i="198"/>
  <c r="AD434" i="198"/>
  <c r="AH434" i="198"/>
  <c r="AL434" i="198"/>
  <c r="AP434" i="198"/>
  <c r="AT434" i="198"/>
  <c r="AX434" i="198"/>
  <c r="BB434" i="198"/>
  <c r="BF434" i="198"/>
  <c r="BJ434" i="198"/>
  <c r="BN434" i="198"/>
  <c r="BR434" i="198"/>
  <c r="BV434" i="198"/>
  <c r="BZ434" i="198"/>
  <c r="CD434" i="198"/>
  <c r="CH434" i="198"/>
  <c r="CL434" i="198"/>
  <c r="CP434" i="198"/>
  <c r="CT434" i="198"/>
  <c r="CX434" i="198"/>
  <c r="DG515" i="198"/>
  <c r="DK515" i="198"/>
  <c r="DO515" i="198"/>
  <c r="DS515" i="198"/>
  <c r="DW515" i="198"/>
  <c r="EA515" i="198"/>
  <c r="DE474" i="198"/>
  <c r="DI474" i="198"/>
  <c r="DM474" i="198"/>
  <c r="DQ474" i="198"/>
  <c r="DU474" i="198"/>
  <c r="DY474" i="198"/>
  <c r="D212" i="198"/>
  <c r="L212" i="198"/>
  <c r="T212" i="198"/>
  <c r="AB212" i="198"/>
  <c r="AJ212" i="198"/>
  <c r="AR212" i="198"/>
  <c r="AZ212" i="198"/>
  <c r="BH212" i="198"/>
  <c r="BP212" i="198"/>
  <c r="BX212" i="198"/>
  <c r="CF212" i="198"/>
  <c r="CN212" i="198"/>
  <c r="DE212" i="198"/>
  <c r="DM212" i="198"/>
  <c r="DU212" i="198"/>
  <c r="DE394" i="198"/>
  <c r="DI394" i="198"/>
  <c r="DM394" i="198"/>
  <c r="DQ394" i="198"/>
  <c r="DU394" i="198"/>
  <c r="DY394" i="198"/>
  <c r="EC394" i="198"/>
  <c r="EG394" i="198"/>
  <c r="EK394" i="198"/>
  <c r="D434" i="198"/>
  <c r="H434" i="198"/>
  <c r="L434" i="198"/>
  <c r="P434" i="198"/>
  <c r="T434" i="198"/>
  <c r="X434" i="198"/>
  <c r="AB434" i="198"/>
  <c r="AF434" i="198"/>
  <c r="AJ434" i="198"/>
  <c r="AN434" i="198"/>
  <c r="AR434" i="198"/>
  <c r="AV434" i="198"/>
  <c r="AZ434" i="198"/>
  <c r="BD434" i="198"/>
  <c r="BH434" i="198"/>
  <c r="BL434" i="198"/>
  <c r="BP434" i="198"/>
  <c r="BT434" i="198"/>
  <c r="BX434" i="198"/>
  <c r="CB434" i="198"/>
  <c r="CF434" i="198"/>
  <c r="CJ434" i="198"/>
  <c r="CN434" i="198"/>
  <c r="CR434" i="198"/>
  <c r="CV434" i="198"/>
  <c r="CZ434" i="198"/>
  <c r="DC474" i="198"/>
  <c r="DG474" i="198"/>
  <c r="DK474" i="198"/>
  <c r="DO474" i="198"/>
  <c r="DS474" i="198"/>
  <c r="DW474" i="198"/>
  <c r="EA474" i="198"/>
  <c r="AM12" i="198"/>
  <c r="BS12" i="198"/>
  <c r="L19" i="198"/>
  <c r="P19" i="198"/>
  <c r="X19" i="198"/>
  <c r="AJ19" i="198"/>
  <c r="AR19" i="198"/>
  <c r="AZ19" i="198"/>
  <c r="BL19" i="198"/>
  <c r="BT19" i="198"/>
  <c r="CF19" i="198"/>
  <c r="AV28" i="198"/>
  <c r="CB28" i="198"/>
  <c r="S12" i="198"/>
  <c r="AI12" i="198"/>
  <c r="AY12" i="198"/>
  <c r="BO12" i="198"/>
  <c r="CE12" i="198"/>
  <c r="DJ15" i="198"/>
  <c r="AA15" i="198"/>
  <c r="AQ15" i="198"/>
  <c r="BG15" i="198"/>
  <c r="BW15" i="198"/>
  <c r="R19" i="198"/>
  <c r="AH19" i="198"/>
  <c r="AX19" i="198"/>
  <c r="BN19" i="198"/>
  <c r="CD19" i="198"/>
  <c r="CL19" i="198"/>
  <c r="CP19" i="198"/>
  <c r="BH19" i="198"/>
  <c r="BX19" i="198"/>
  <c r="CJ19" i="198"/>
  <c r="CM22" i="198"/>
  <c r="AA12" i="198"/>
  <c r="AQ12" i="198"/>
  <c r="BG12" i="198"/>
  <c r="BW12" i="198"/>
  <c r="CL14" i="198"/>
  <c r="CP14" i="198"/>
  <c r="DY14" i="198"/>
  <c r="L15" i="198"/>
  <c r="P15" i="198"/>
  <c r="T15" i="198"/>
  <c r="X15" i="198"/>
  <c r="AB15" i="198"/>
  <c r="AF15" i="198"/>
  <c r="AJ15" i="198"/>
  <c r="AN15" i="198"/>
  <c r="AR15" i="198"/>
  <c r="AV15" i="198"/>
  <c r="AZ15" i="198"/>
  <c r="BD15" i="198"/>
  <c r="BD28" i="198"/>
  <c r="BH15" i="198"/>
  <c r="BL15" i="198"/>
  <c r="BP15" i="198"/>
  <c r="BT15" i="198"/>
  <c r="BX15" i="198"/>
  <c r="CB15" i="198"/>
  <c r="CF15" i="198"/>
  <c r="CJ28" i="198"/>
  <c r="CJ15" i="198"/>
  <c r="AI15" i="198"/>
  <c r="AY15" i="198"/>
  <c r="BO15" i="198"/>
  <c r="CE15" i="198"/>
  <c r="W12" i="198"/>
  <c r="BC12" i="198"/>
  <c r="CI12" i="198"/>
  <c r="T19" i="198"/>
  <c r="AB19" i="198"/>
  <c r="AF19" i="198"/>
  <c r="AN19" i="198"/>
  <c r="AV19" i="198"/>
  <c r="BD19" i="198"/>
  <c r="BP19" i="198"/>
  <c r="CB19" i="198"/>
  <c r="EL536" i="198"/>
  <c r="EL494" i="198"/>
  <c r="EL413" i="198"/>
  <c r="EL453" i="198"/>
  <c r="EL350" i="198"/>
  <c r="EL373" i="198"/>
  <c r="EL281" i="198"/>
  <c r="EL317" i="198"/>
  <c r="EL192" i="198"/>
  <c r="EL239" i="198"/>
  <c r="EL104" i="198"/>
  <c r="EL149" i="198"/>
  <c r="EL56" i="198"/>
  <c r="C536" i="198"/>
  <c r="C494" i="198"/>
  <c r="C413" i="198"/>
  <c r="C453" i="198"/>
  <c r="C350" i="198"/>
  <c r="C373" i="198"/>
  <c r="C281" i="198"/>
  <c r="C317" i="198"/>
  <c r="C192" i="198"/>
  <c r="C239" i="198"/>
  <c r="C104" i="198"/>
  <c r="C149" i="198"/>
  <c r="C56" i="198"/>
  <c r="G536" i="198"/>
  <c r="G494" i="198"/>
  <c r="G413" i="198"/>
  <c r="G453" i="198"/>
  <c r="G350" i="198"/>
  <c r="G373" i="198"/>
  <c r="G281" i="198"/>
  <c r="G317" i="198"/>
  <c r="G192" i="198"/>
  <c r="G239" i="198"/>
  <c r="G104" i="198"/>
  <c r="G149" i="198"/>
  <c r="G56" i="198"/>
  <c r="K536" i="198"/>
  <c r="K494" i="198"/>
  <c r="K413" i="198"/>
  <c r="K453" i="198"/>
  <c r="K350" i="198"/>
  <c r="K373" i="198"/>
  <c r="K281" i="198"/>
  <c r="K317" i="198"/>
  <c r="K192" i="198"/>
  <c r="K239" i="198"/>
  <c r="K104" i="198"/>
  <c r="K149" i="198"/>
  <c r="K56" i="198"/>
  <c r="O536" i="198"/>
  <c r="O494" i="198"/>
  <c r="O413" i="198"/>
  <c r="O453" i="198"/>
  <c r="O350" i="198"/>
  <c r="O373" i="198"/>
  <c r="O281" i="198"/>
  <c r="O317" i="198"/>
  <c r="O192" i="198"/>
  <c r="O239" i="198"/>
  <c r="O104" i="198"/>
  <c r="O149" i="198"/>
  <c r="O56" i="198"/>
  <c r="S536" i="198"/>
  <c r="S494" i="198"/>
  <c r="S413" i="198"/>
  <c r="S453" i="198"/>
  <c r="S350" i="198"/>
  <c r="S373" i="198"/>
  <c r="S281" i="198"/>
  <c r="S317" i="198"/>
  <c r="S192" i="198"/>
  <c r="S239" i="198"/>
  <c r="S104" i="198"/>
  <c r="S149" i="198"/>
  <c r="S56" i="198"/>
  <c r="W536" i="198"/>
  <c r="W494" i="198"/>
  <c r="W413" i="198"/>
  <c r="W453" i="198"/>
  <c r="W350" i="198"/>
  <c r="W373" i="198"/>
  <c r="W281" i="198"/>
  <c r="W317" i="198"/>
  <c r="W192" i="198"/>
  <c r="W239" i="198"/>
  <c r="W104" i="198"/>
  <c r="W149" i="198"/>
  <c r="W56" i="198"/>
  <c r="AA536" i="198"/>
  <c r="AA494" i="198"/>
  <c r="AA413" i="198"/>
  <c r="AA453" i="198"/>
  <c r="AA350" i="198"/>
  <c r="AA373" i="198"/>
  <c r="AA281" i="198"/>
  <c r="AA317" i="198"/>
  <c r="AA192" i="198"/>
  <c r="AA239" i="198"/>
  <c r="AA104" i="198"/>
  <c r="AA149" i="198"/>
  <c r="AA56" i="198"/>
  <c r="AE536" i="198"/>
  <c r="AE494" i="198"/>
  <c r="AE413" i="198"/>
  <c r="AE453" i="198"/>
  <c r="AE350" i="198"/>
  <c r="AE373" i="198"/>
  <c r="AE281" i="198"/>
  <c r="AE317" i="198"/>
  <c r="AE192" i="198"/>
  <c r="AE239" i="198"/>
  <c r="AE104" i="198"/>
  <c r="AE149" i="198"/>
  <c r="AE56" i="198"/>
  <c r="AI536" i="198"/>
  <c r="AI494" i="198"/>
  <c r="AI413" i="198"/>
  <c r="AI453" i="198"/>
  <c r="AI350" i="198"/>
  <c r="AI373" i="198"/>
  <c r="AI281" i="198"/>
  <c r="AI317" i="198"/>
  <c r="AI192" i="198"/>
  <c r="AI239" i="198"/>
  <c r="AI104" i="198"/>
  <c r="AI149" i="198"/>
  <c r="AI56" i="198"/>
  <c r="AM536" i="198"/>
  <c r="AM494" i="198"/>
  <c r="AM413" i="198"/>
  <c r="AM453" i="198"/>
  <c r="AM350" i="198"/>
  <c r="AM373" i="198"/>
  <c r="AM281" i="198"/>
  <c r="AM317" i="198"/>
  <c r="AM192" i="198"/>
  <c r="AM239" i="198"/>
  <c r="AM104" i="198"/>
  <c r="AM149" i="198"/>
  <c r="AM56" i="198"/>
  <c r="AQ536" i="198"/>
  <c r="AQ494" i="198"/>
  <c r="AQ413" i="198"/>
  <c r="AQ453" i="198"/>
  <c r="AQ350" i="198"/>
  <c r="AQ373" i="198"/>
  <c r="AQ281" i="198"/>
  <c r="AQ317" i="198"/>
  <c r="AQ192" i="198"/>
  <c r="AQ239" i="198"/>
  <c r="AQ104" i="198"/>
  <c r="AQ149" i="198"/>
  <c r="AQ56" i="198"/>
  <c r="AU536" i="198"/>
  <c r="AU494" i="198"/>
  <c r="AU413" i="198"/>
  <c r="AU453" i="198"/>
  <c r="AU350" i="198"/>
  <c r="AU373" i="198"/>
  <c r="AU281" i="198"/>
  <c r="AU317" i="198"/>
  <c r="AU192" i="198"/>
  <c r="AU239" i="198"/>
  <c r="AU104" i="198"/>
  <c r="AU149" i="198"/>
  <c r="AU56" i="198"/>
  <c r="AY536" i="198"/>
  <c r="AY494" i="198"/>
  <c r="AY413" i="198"/>
  <c r="AY453" i="198"/>
  <c r="AY350" i="198"/>
  <c r="AY373" i="198"/>
  <c r="AY281" i="198"/>
  <c r="AY317" i="198"/>
  <c r="AY192" i="198"/>
  <c r="AY239" i="198"/>
  <c r="AY104" i="198"/>
  <c r="AY149" i="198"/>
  <c r="AY56" i="198"/>
  <c r="BC536" i="198"/>
  <c r="BC494" i="198"/>
  <c r="BC413" i="198"/>
  <c r="BC453" i="198"/>
  <c r="BC350" i="198"/>
  <c r="BC373" i="198"/>
  <c r="BC281" i="198"/>
  <c r="BC317" i="198"/>
  <c r="BC192" i="198"/>
  <c r="BC239" i="198"/>
  <c r="BC104" i="198"/>
  <c r="BC149" i="198"/>
  <c r="BC56" i="198"/>
  <c r="BG536" i="198"/>
  <c r="BG494" i="198"/>
  <c r="BG413" i="198"/>
  <c r="BG453" i="198"/>
  <c r="BG350" i="198"/>
  <c r="BG373" i="198"/>
  <c r="BG281" i="198"/>
  <c r="BG317" i="198"/>
  <c r="BG192" i="198"/>
  <c r="BG239" i="198"/>
  <c r="BG104" i="198"/>
  <c r="BG149" i="198"/>
  <c r="BG56" i="198"/>
  <c r="BK536" i="198"/>
  <c r="BK494" i="198"/>
  <c r="BK413" i="198"/>
  <c r="BK453" i="198"/>
  <c r="BK350" i="198"/>
  <c r="BK373" i="198"/>
  <c r="BK281" i="198"/>
  <c r="BK317" i="198"/>
  <c r="BK192" i="198"/>
  <c r="BK239" i="198"/>
  <c r="BK104" i="198"/>
  <c r="BK149" i="198"/>
  <c r="BK56" i="198"/>
  <c r="BO536" i="198"/>
  <c r="BO494" i="198"/>
  <c r="BO413" i="198"/>
  <c r="BO453" i="198"/>
  <c r="BO350" i="198"/>
  <c r="BO373" i="198"/>
  <c r="BO281" i="198"/>
  <c r="BO317" i="198"/>
  <c r="BO192" i="198"/>
  <c r="BO239" i="198"/>
  <c r="BO104" i="198"/>
  <c r="BO149" i="198"/>
  <c r="BO56" i="198"/>
  <c r="BS536" i="198"/>
  <c r="BS494" i="198"/>
  <c r="BS413" i="198"/>
  <c r="BS453" i="198"/>
  <c r="BS350" i="198"/>
  <c r="BS373" i="198"/>
  <c r="BS281" i="198"/>
  <c r="BS317" i="198"/>
  <c r="BS192" i="198"/>
  <c r="BS239" i="198"/>
  <c r="BS104" i="198"/>
  <c r="BS149" i="198"/>
  <c r="BS56" i="198"/>
  <c r="BW536" i="198"/>
  <c r="BW494" i="198"/>
  <c r="BW413" i="198"/>
  <c r="BW453" i="198"/>
  <c r="BW350" i="198"/>
  <c r="BW373" i="198"/>
  <c r="BW281" i="198"/>
  <c r="BW317" i="198"/>
  <c r="BW192" i="198"/>
  <c r="BW239" i="198"/>
  <c r="BW104" i="198"/>
  <c r="BW149" i="198"/>
  <c r="BW56" i="198"/>
  <c r="CA536" i="198"/>
  <c r="CA494" i="198"/>
  <c r="CA413" i="198"/>
  <c r="CA453" i="198"/>
  <c r="CA350" i="198"/>
  <c r="CA373" i="198"/>
  <c r="CA281" i="198"/>
  <c r="CA317" i="198"/>
  <c r="CA192" i="198"/>
  <c r="CA239" i="198"/>
  <c r="CA104" i="198"/>
  <c r="CA149" i="198"/>
  <c r="CA56" i="198"/>
  <c r="CE536" i="198"/>
  <c r="CE494" i="198"/>
  <c r="CE413" i="198"/>
  <c r="CE453" i="198"/>
  <c r="CE350" i="198"/>
  <c r="CE373" i="198"/>
  <c r="CE281" i="198"/>
  <c r="CE317" i="198"/>
  <c r="CE192" i="198"/>
  <c r="CE239" i="198"/>
  <c r="CE104" i="198"/>
  <c r="CE149" i="198"/>
  <c r="CE56" i="198"/>
  <c r="CI536" i="198"/>
  <c r="CI494" i="198"/>
  <c r="CI413" i="198"/>
  <c r="CI453" i="198"/>
  <c r="CI350" i="198"/>
  <c r="CI373" i="198"/>
  <c r="CI281" i="198"/>
  <c r="CI317" i="198"/>
  <c r="CI192" i="198"/>
  <c r="CI239" i="198"/>
  <c r="CI104" i="198"/>
  <c r="CI149" i="198"/>
  <c r="CI56" i="198"/>
  <c r="CM536" i="198"/>
  <c r="CM494" i="198"/>
  <c r="CM413" i="198"/>
  <c r="CM453" i="198"/>
  <c r="CM350" i="198"/>
  <c r="CM373" i="198"/>
  <c r="CM281" i="198"/>
  <c r="CM317" i="198"/>
  <c r="CM192" i="198"/>
  <c r="CM239" i="198"/>
  <c r="CM104" i="198"/>
  <c r="CM149" i="198"/>
  <c r="CM56" i="198"/>
  <c r="CQ536" i="198"/>
  <c r="CQ494" i="198"/>
  <c r="CQ413" i="198"/>
  <c r="CQ453" i="198"/>
  <c r="CQ350" i="198"/>
  <c r="CQ373" i="198"/>
  <c r="CQ281" i="198"/>
  <c r="CQ317" i="198"/>
  <c r="CQ192" i="198"/>
  <c r="CQ239" i="198"/>
  <c r="CQ104" i="198"/>
  <c r="CQ149" i="198"/>
  <c r="CQ56" i="198"/>
  <c r="CU536" i="198"/>
  <c r="CU494" i="198"/>
  <c r="CU453" i="198"/>
  <c r="CU413" i="198"/>
  <c r="CU350" i="198"/>
  <c r="CU373" i="198"/>
  <c r="CU281" i="198"/>
  <c r="CU317" i="198"/>
  <c r="CU192" i="198"/>
  <c r="CU239" i="198"/>
  <c r="CU104" i="198"/>
  <c r="CU149" i="198"/>
  <c r="CU56" i="198"/>
  <c r="CY536" i="198"/>
  <c r="CY494" i="198"/>
  <c r="CY453" i="198"/>
  <c r="CY413" i="198"/>
  <c r="CY350" i="198"/>
  <c r="CY373" i="198"/>
  <c r="CY281" i="198"/>
  <c r="CY317" i="198"/>
  <c r="CY192" i="198"/>
  <c r="CY239" i="198"/>
  <c r="CY104" i="198"/>
  <c r="CY149" i="198"/>
  <c r="CY56" i="198"/>
  <c r="DD536" i="198"/>
  <c r="DD494" i="198"/>
  <c r="DD453" i="198"/>
  <c r="DD413" i="198"/>
  <c r="DD350" i="198"/>
  <c r="DD373" i="198"/>
  <c r="DD281" i="198"/>
  <c r="DD317" i="198"/>
  <c r="DD192" i="198"/>
  <c r="DD239" i="198"/>
  <c r="DD104" i="198"/>
  <c r="DD149" i="198"/>
  <c r="DD56" i="198"/>
  <c r="DH536" i="198"/>
  <c r="DH494" i="198"/>
  <c r="DH453" i="198"/>
  <c r="DH413" i="198"/>
  <c r="DH350" i="198"/>
  <c r="DH373" i="198"/>
  <c r="DH281" i="198"/>
  <c r="DH317" i="198"/>
  <c r="DH192" i="198"/>
  <c r="DH239" i="198"/>
  <c r="DH104" i="198"/>
  <c r="DH149" i="198"/>
  <c r="DH56" i="198"/>
  <c r="DL536" i="198"/>
  <c r="DL494" i="198"/>
  <c r="DL453" i="198"/>
  <c r="DL413" i="198"/>
  <c r="DL350" i="198"/>
  <c r="DL373" i="198"/>
  <c r="DL281" i="198"/>
  <c r="DL317" i="198"/>
  <c r="DL192" i="198"/>
  <c r="DL239" i="198"/>
  <c r="DL104" i="198"/>
  <c r="DL149" i="198"/>
  <c r="DL56" i="198"/>
  <c r="DP536" i="198"/>
  <c r="DP494" i="198"/>
  <c r="DP453" i="198"/>
  <c r="DP413" i="198"/>
  <c r="DP350" i="198"/>
  <c r="DP373" i="198"/>
  <c r="DP281" i="198"/>
  <c r="DP317" i="198"/>
  <c r="DP192" i="198"/>
  <c r="DP239" i="198"/>
  <c r="DP104" i="198"/>
  <c r="DP149" i="198"/>
  <c r="DP56" i="198"/>
  <c r="DT536" i="198"/>
  <c r="DT494" i="198"/>
  <c r="DT453" i="198"/>
  <c r="DT413" i="198"/>
  <c r="DT350" i="198"/>
  <c r="DT373" i="198"/>
  <c r="DT281" i="198"/>
  <c r="DT317" i="198"/>
  <c r="DT192" i="198"/>
  <c r="DT239" i="198"/>
  <c r="DT104" i="198"/>
  <c r="DT149" i="198"/>
  <c r="DT56" i="198"/>
  <c r="DX536" i="198"/>
  <c r="DX494" i="198"/>
  <c r="DX453" i="198"/>
  <c r="DX413" i="198"/>
  <c r="DX350" i="198"/>
  <c r="DX373" i="198"/>
  <c r="DX281" i="198"/>
  <c r="DX317" i="198"/>
  <c r="DX192" i="198"/>
  <c r="DX239" i="198"/>
  <c r="DX104" i="198"/>
  <c r="DX149" i="198"/>
  <c r="DX56" i="198"/>
  <c r="EB536" i="198"/>
  <c r="EB494" i="198"/>
  <c r="EB453" i="198"/>
  <c r="EB413" i="198"/>
  <c r="EB350" i="198"/>
  <c r="EB373" i="198"/>
  <c r="EB281" i="198"/>
  <c r="EB317" i="198"/>
  <c r="EB192" i="198"/>
  <c r="EB239" i="198"/>
  <c r="EB104" i="198"/>
  <c r="EB149" i="198"/>
  <c r="EB56" i="198"/>
  <c r="EF536" i="198"/>
  <c r="EF494" i="198"/>
  <c r="EF453" i="198"/>
  <c r="EF413" i="198"/>
  <c r="EF350" i="198"/>
  <c r="EF373" i="198"/>
  <c r="EF281" i="198"/>
  <c r="EF317" i="198"/>
  <c r="EF192" i="198"/>
  <c r="EF239" i="198"/>
  <c r="EF104" i="198"/>
  <c r="EF149" i="198"/>
  <c r="EF56" i="198"/>
  <c r="EJ536" i="198"/>
  <c r="EJ494" i="198"/>
  <c r="EJ453" i="198"/>
  <c r="EJ413" i="198"/>
  <c r="EJ350" i="198"/>
  <c r="EJ373" i="198"/>
  <c r="EJ281" i="198"/>
  <c r="EJ317" i="198"/>
  <c r="EJ192" i="198"/>
  <c r="EJ239" i="198"/>
  <c r="EJ104" i="198"/>
  <c r="EJ149" i="198"/>
  <c r="EJ56" i="198"/>
  <c r="D538" i="198"/>
  <c r="D496" i="198"/>
  <c r="D455" i="198"/>
  <c r="D415" i="198"/>
  <c r="D352" i="198"/>
  <c r="D375" i="198"/>
  <c r="D283" i="198"/>
  <c r="D319" i="198"/>
  <c r="D194" i="198"/>
  <c r="D241" i="198"/>
  <c r="D106" i="198"/>
  <c r="D151" i="198"/>
  <c r="D58" i="198"/>
  <c r="H538" i="198"/>
  <c r="H496" i="198"/>
  <c r="H455" i="198"/>
  <c r="H415" i="198"/>
  <c r="H352" i="198"/>
  <c r="H375" i="198"/>
  <c r="H283" i="198"/>
  <c r="H319" i="198"/>
  <c r="H194" i="198"/>
  <c r="H241" i="198"/>
  <c r="H106" i="198"/>
  <c r="H151" i="198"/>
  <c r="H58" i="198"/>
  <c r="L538" i="198"/>
  <c r="L496" i="198"/>
  <c r="L455" i="198"/>
  <c r="L415" i="198"/>
  <c r="L352" i="198"/>
  <c r="L375" i="198"/>
  <c r="L283" i="198"/>
  <c r="L319" i="198"/>
  <c r="L194" i="198"/>
  <c r="L241" i="198"/>
  <c r="L106" i="198"/>
  <c r="L151" i="198"/>
  <c r="L58" i="198"/>
  <c r="P538" i="198"/>
  <c r="P496" i="198"/>
  <c r="P455" i="198"/>
  <c r="P415" i="198"/>
  <c r="P352" i="198"/>
  <c r="P375" i="198"/>
  <c r="P283" i="198"/>
  <c r="P319" i="198"/>
  <c r="P194" i="198"/>
  <c r="P241" i="198"/>
  <c r="P106" i="198"/>
  <c r="P151" i="198"/>
  <c r="P58" i="198"/>
  <c r="T538" i="198"/>
  <c r="T496" i="198"/>
  <c r="T455" i="198"/>
  <c r="T415" i="198"/>
  <c r="T352" i="198"/>
  <c r="T375" i="198"/>
  <c r="T283" i="198"/>
  <c r="T319" i="198"/>
  <c r="T194" i="198"/>
  <c r="T241" i="198"/>
  <c r="T106" i="198"/>
  <c r="T151" i="198"/>
  <c r="T58" i="198"/>
  <c r="X538" i="198"/>
  <c r="X496" i="198"/>
  <c r="X455" i="198"/>
  <c r="X415" i="198"/>
  <c r="X352" i="198"/>
  <c r="X375" i="198"/>
  <c r="X283" i="198"/>
  <c r="X319" i="198"/>
  <c r="X194" i="198"/>
  <c r="X241" i="198"/>
  <c r="X106" i="198"/>
  <c r="X151" i="198"/>
  <c r="X58" i="198"/>
  <c r="AB538" i="198"/>
  <c r="AB496" i="198"/>
  <c r="AB455" i="198"/>
  <c r="AB415" i="198"/>
  <c r="AB352" i="198"/>
  <c r="AB375" i="198"/>
  <c r="AB283" i="198"/>
  <c r="AB319" i="198"/>
  <c r="AB194" i="198"/>
  <c r="AB241" i="198"/>
  <c r="AB106" i="198"/>
  <c r="AB151" i="198"/>
  <c r="AB58" i="198"/>
  <c r="AF538" i="198"/>
  <c r="AF496" i="198"/>
  <c r="AF455" i="198"/>
  <c r="AF415" i="198"/>
  <c r="AF352" i="198"/>
  <c r="AF375" i="198"/>
  <c r="AF283" i="198"/>
  <c r="AF319" i="198"/>
  <c r="AF194" i="198"/>
  <c r="AF241" i="198"/>
  <c r="AF106" i="198"/>
  <c r="AF151" i="198"/>
  <c r="AF58" i="198"/>
  <c r="AJ538" i="198"/>
  <c r="AJ496" i="198"/>
  <c r="AJ455" i="198"/>
  <c r="AJ415" i="198"/>
  <c r="AJ352" i="198"/>
  <c r="AJ375" i="198"/>
  <c r="AJ283" i="198"/>
  <c r="AJ319" i="198"/>
  <c r="AJ194" i="198"/>
  <c r="AJ241" i="198"/>
  <c r="AJ106" i="198"/>
  <c r="AJ151" i="198"/>
  <c r="AJ58" i="198"/>
  <c r="AN538" i="198"/>
  <c r="AN496" i="198"/>
  <c r="AN455" i="198"/>
  <c r="AN415" i="198"/>
  <c r="AN352" i="198"/>
  <c r="AN375" i="198"/>
  <c r="AN283" i="198"/>
  <c r="AN319" i="198"/>
  <c r="AN194" i="198"/>
  <c r="AN241" i="198"/>
  <c r="AN106" i="198"/>
  <c r="AN151" i="198"/>
  <c r="AN58" i="198"/>
  <c r="AR538" i="198"/>
  <c r="AR496" i="198"/>
  <c r="AR455" i="198"/>
  <c r="AR415" i="198"/>
  <c r="AR352" i="198"/>
  <c r="AR375" i="198"/>
  <c r="AR283" i="198"/>
  <c r="AR319" i="198"/>
  <c r="AR194" i="198"/>
  <c r="AR241" i="198"/>
  <c r="AR106" i="198"/>
  <c r="AR151" i="198"/>
  <c r="AR58" i="198"/>
  <c r="AV538" i="198"/>
  <c r="AV496" i="198"/>
  <c r="AV455" i="198"/>
  <c r="AV415" i="198"/>
  <c r="AV352" i="198"/>
  <c r="AV375" i="198"/>
  <c r="AV283" i="198"/>
  <c r="AV319" i="198"/>
  <c r="AV194" i="198"/>
  <c r="AV241" i="198"/>
  <c r="AV106" i="198"/>
  <c r="AV151" i="198"/>
  <c r="AV58" i="198"/>
  <c r="AZ538" i="198"/>
  <c r="AZ496" i="198"/>
  <c r="AZ455" i="198"/>
  <c r="AZ415" i="198"/>
  <c r="AZ352" i="198"/>
  <c r="AZ375" i="198"/>
  <c r="AZ283" i="198"/>
  <c r="AZ319" i="198"/>
  <c r="AZ194" i="198"/>
  <c r="AZ241" i="198"/>
  <c r="AZ106" i="198"/>
  <c r="AZ151" i="198"/>
  <c r="AZ58" i="198"/>
  <c r="BD538" i="198"/>
  <c r="BD496" i="198"/>
  <c r="BD455" i="198"/>
  <c r="BD415" i="198"/>
  <c r="BD352" i="198"/>
  <c r="BD375" i="198"/>
  <c r="BD283" i="198"/>
  <c r="BD319" i="198"/>
  <c r="BD194" i="198"/>
  <c r="BD241" i="198"/>
  <c r="BD106" i="198"/>
  <c r="BD151" i="198"/>
  <c r="BD58" i="198"/>
  <c r="BH538" i="198"/>
  <c r="BH496" i="198"/>
  <c r="BH455" i="198"/>
  <c r="BH415" i="198"/>
  <c r="BH352" i="198"/>
  <c r="BH375" i="198"/>
  <c r="BH283" i="198"/>
  <c r="BH319" i="198"/>
  <c r="BH194" i="198"/>
  <c r="BH241" i="198"/>
  <c r="BH106" i="198"/>
  <c r="BH151" i="198"/>
  <c r="BH58" i="198"/>
  <c r="BL538" i="198"/>
  <c r="BL496" i="198"/>
  <c r="BL455" i="198"/>
  <c r="BL415" i="198"/>
  <c r="BL352" i="198"/>
  <c r="BL375" i="198"/>
  <c r="BL283" i="198"/>
  <c r="BL319" i="198"/>
  <c r="BL194" i="198"/>
  <c r="BL241" i="198"/>
  <c r="BL106" i="198"/>
  <c r="BL151" i="198"/>
  <c r="BL58" i="198"/>
  <c r="BP538" i="198"/>
  <c r="BP496" i="198"/>
  <c r="BP455" i="198"/>
  <c r="BP415" i="198"/>
  <c r="BP352" i="198"/>
  <c r="BP375" i="198"/>
  <c r="BP283" i="198"/>
  <c r="BP319" i="198"/>
  <c r="BP194" i="198"/>
  <c r="BP241" i="198"/>
  <c r="BP106" i="198"/>
  <c r="BP151" i="198"/>
  <c r="BP58" i="198"/>
  <c r="BT538" i="198"/>
  <c r="BT496" i="198"/>
  <c r="BT455" i="198"/>
  <c r="BT415" i="198"/>
  <c r="BT352" i="198"/>
  <c r="BT375" i="198"/>
  <c r="BT283" i="198"/>
  <c r="BT319" i="198"/>
  <c r="BT194" i="198"/>
  <c r="BT241" i="198"/>
  <c r="BT106" i="198"/>
  <c r="BT151" i="198"/>
  <c r="BT58" i="198"/>
  <c r="BX538" i="198"/>
  <c r="BX496" i="198"/>
  <c r="BX455" i="198"/>
  <c r="BX415" i="198"/>
  <c r="BX352" i="198"/>
  <c r="BX375" i="198"/>
  <c r="BX283" i="198"/>
  <c r="BX319" i="198"/>
  <c r="BX194" i="198"/>
  <c r="BX241" i="198"/>
  <c r="BX106" i="198"/>
  <c r="BX151" i="198"/>
  <c r="BX58" i="198"/>
  <c r="CB538" i="198"/>
  <c r="CB496" i="198"/>
  <c r="CB455" i="198"/>
  <c r="CB415" i="198"/>
  <c r="CB352" i="198"/>
  <c r="CB375" i="198"/>
  <c r="CB283" i="198"/>
  <c r="CB319" i="198"/>
  <c r="CB194" i="198"/>
  <c r="CB241" i="198"/>
  <c r="CB106" i="198"/>
  <c r="CB151" i="198"/>
  <c r="CB58" i="198"/>
  <c r="CF538" i="198"/>
  <c r="CF496" i="198"/>
  <c r="CF455" i="198"/>
  <c r="CF415" i="198"/>
  <c r="CF352" i="198"/>
  <c r="CF375" i="198"/>
  <c r="CF283" i="198"/>
  <c r="CF319" i="198"/>
  <c r="CF194" i="198"/>
  <c r="CF241" i="198"/>
  <c r="CF106" i="198"/>
  <c r="CF151" i="198"/>
  <c r="CF58" i="198"/>
  <c r="CJ538" i="198"/>
  <c r="CJ496" i="198"/>
  <c r="CJ455" i="198"/>
  <c r="CJ415" i="198"/>
  <c r="CJ352" i="198"/>
  <c r="CJ375" i="198"/>
  <c r="CJ283" i="198"/>
  <c r="CJ319" i="198"/>
  <c r="CJ194" i="198"/>
  <c r="CJ241" i="198"/>
  <c r="CJ106" i="198"/>
  <c r="CJ151" i="198"/>
  <c r="CJ58" i="198"/>
  <c r="CN538" i="198"/>
  <c r="CN496" i="198"/>
  <c r="CN455" i="198"/>
  <c r="CN415" i="198"/>
  <c r="CN352" i="198"/>
  <c r="CN375" i="198"/>
  <c r="CN283" i="198"/>
  <c r="CN319" i="198"/>
  <c r="CN194" i="198"/>
  <c r="CN241" i="198"/>
  <c r="CN106" i="198"/>
  <c r="CN151" i="198"/>
  <c r="CN58" i="198"/>
  <c r="CR538" i="198"/>
  <c r="CR496" i="198"/>
  <c r="CR455" i="198"/>
  <c r="CR415" i="198"/>
  <c r="CR352" i="198"/>
  <c r="CR375" i="198"/>
  <c r="CR283" i="198"/>
  <c r="CR319" i="198"/>
  <c r="CR194" i="198"/>
  <c r="CR241" i="198"/>
  <c r="CR106" i="198"/>
  <c r="CR151" i="198"/>
  <c r="CR58" i="198"/>
  <c r="CV538" i="198"/>
  <c r="CV496" i="198"/>
  <c r="CV455" i="198"/>
  <c r="CV415" i="198"/>
  <c r="CV352" i="198"/>
  <c r="CV375" i="198"/>
  <c r="CV283" i="198"/>
  <c r="CV319" i="198"/>
  <c r="CV194" i="198"/>
  <c r="CV241" i="198"/>
  <c r="CV106" i="198"/>
  <c r="CV151" i="198"/>
  <c r="CV58" i="198"/>
  <c r="CZ538" i="198"/>
  <c r="CZ496" i="198"/>
  <c r="CZ455" i="198"/>
  <c r="CZ415" i="198"/>
  <c r="CZ352" i="198"/>
  <c r="CZ375" i="198"/>
  <c r="CZ283" i="198"/>
  <c r="CZ319" i="198"/>
  <c r="CZ194" i="198"/>
  <c r="CZ241" i="198"/>
  <c r="CZ106" i="198"/>
  <c r="CZ151" i="198"/>
  <c r="CZ58" i="198"/>
  <c r="DE538" i="198"/>
  <c r="DE496" i="198"/>
  <c r="DE455" i="198"/>
  <c r="DE415" i="198"/>
  <c r="DE352" i="198"/>
  <c r="DE375" i="198"/>
  <c r="DE283" i="198"/>
  <c r="DE319" i="198"/>
  <c r="DE194" i="198"/>
  <c r="DE241" i="198"/>
  <c r="DE106" i="198"/>
  <c r="DE151" i="198"/>
  <c r="DE58" i="198"/>
  <c r="DI538" i="198"/>
  <c r="DI496" i="198"/>
  <c r="DI455" i="198"/>
  <c r="DI415" i="198"/>
  <c r="DI352" i="198"/>
  <c r="DI375" i="198"/>
  <c r="DI283" i="198"/>
  <c r="DI319" i="198"/>
  <c r="DI194" i="198"/>
  <c r="DI241" i="198"/>
  <c r="DI106" i="198"/>
  <c r="DI151" i="198"/>
  <c r="DI58" i="198"/>
  <c r="DM538" i="198"/>
  <c r="DM496" i="198"/>
  <c r="DM455" i="198"/>
  <c r="DM415" i="198"/>
  <c r="DM352" i="198"/>
  <c r="DM375" i="198"/>
  <c r="DM283" i="198"/>
  <c r="DM319" i="198"/>
  <c r="DM194" i="198"/>
  <c r="DM241" i="198"/>
  <c r="DM106" i="198"/>
  <c r="DM151" i="198"/>
  <c r="DM58" i="198"/>
  <c r="DQ538" i="198"/>
  <c r="DQ496" i="198"/>
  <c r="DQ455" i="198"/>
  <c r="DQ415" i="198"/>
  <c r="DQ352" i="198"/>
  <c r="DQ375" i="198"/>
  <c r="DQ283" i="198"/>
  <c r="DQ319" i="198"/>
  <c r="DQ194" i="198"/>
  <c r="DQ241" i="198"/>
  <c r="DQ106" i="198"/>
  <c r="DQ151" i="198"/>
  <c r="DQ58" i="198"/>
  <c r="DU538" i="198"/>
  <c r="DU496" i="198"/>
  <c r="DU455" i="198"/>
  <c r="DU415" i="198"/>
  <c r="DU352" i="198"/>
  <c r="DU375" i="198"/>
  <c r="DU283" i="198"/>
  <c r="DU319" i="198"/>
  <c r="DU194" i="198"/>
  <c r="DU241" i="198"/>
  <c r="DU106" i="198"/>
  <c r="DU151" i="198"/>
  <c r="DU58" i="198"/>
  <c r="DY538" i="198"/>
  <c r="DY496" i="198"/>
  <c r="DY455" i="198"/>
  <c r="DY415" i="198"/>
  <c r="DY352" i="198"/>
  <c r="DY375" i="198"/>
  <c r="DY283" i="198"/>
  <c r="DY319" i="198"/>
  <c r="DY194" i="198"/>
  <c r="DY241" i="198"/>
  <c r="DY106" i="198"/>
  <c r="DY151" i="198"/>
  <c r="DY58" i="198"/>
  <c r="EC538" i="198"/>
  <c r="EC496" i="198"/>
  <c r="EC455" i="198"/>
  <c r="EC415" i="198"/>
  <c r="EC352" i="198"/>
  <c r="EC375" i="198"/>
  <c r="EC283" i="198"/>
  <c r="EC319" i="198"/>
  <c r="EC194" i="198"/>
  <c r="EC241" i="198"/>
  <c r="EC106" i="198"/>
  <c r="EC151" i="198"/>
  <c r="EC58" i="198"/>
  <c r="EG538" i="198"/>
  <c r="EG496" i="198"/>
  <c r="EG455" i="198"/>
  <c r="EG415" i="198"/>
  <c r="EG352" i="198"/>
  <c r="EG375" i="198"/>
  <c r="EG283" i="198"/>
  <c r="EG319" i="198"/>
  <c r="EG194" i="198"/>
  <c r="EG241" i="198"/>
  <c r="EG106" i="198"/>
  <c r="EG151" i="198"/>
  <c r="EG58" i="198"/>
  <c r="EK538" i="198"/>
  <c r="EK496" i="198"/>
  <c r="EK455" i="198"/>
  <c r="EK415" i="198"/>
  <c r="EK352" i="198"/>
  <c r="EK375" i="198"/>
  <c r="EK283" i="198"/>
  <c r="EK319" i="198"/>
  <c r="EK194" i="198"/>
  <c r="EK241" i="198"/>
  <c r="EK106" i="198"/>
  <c r="EK151" i="198"/>
  <c r="EK58" i="198"/>
  <c r="CM28" i="198"/>
  <c r="CQ28" i="198"/>
  <c r="DC12" i="198"/>
  <c r="DO28" i="198"/>
  <c r="DS28" i="198"/>
  <c r="DW28" i="198"/>
  <c r="EA28" i="198"/>
  <c r="CQ10" i="198"/>
  <c r="EA10" i="198"/>
  <c r="AE12" i="198"/>
  <c r="AU12" i="198"/>
  <c r="BK12" i="198"/>
  <c r="CA12" i="198"/>
  <c r="DG12" i="198"/>
  <c r="DE15" i="198"/>
  <c r="DU15" i="198"/>
  <c r="BC15" i="198"/>
  <c r="N19" i="198"/>
  <c r="V19" i="198"/>
  <c r="AD19" i="198"/>
  <c r="AL19" i="198"/>
  <c r="AT19" i="198"/>
  <c r="BB19" i="198"/>
  <c r="BJ19" i="198"/>
  <c r="BR19" i="198"/>
  <c r="BZ19" i="198"/>
  <c r="CH19" i="198"/>
  <c r="BP37" i="198"/>
  <c r="A534" i="198"/>
  <c r="A492" i="198"/>
  <c r="A451" i="198"/>
  <c r="A411" i="198"/>
  <c r="A348" i="198"/>
  <c r="A371" i="198"/>
  <c r="A315" i="198"/>
  <c r="A279" i="198"/>
  <c r="A237" i="198"/>
  <c r="A190" i="198"/>
  <c r="A147" i="198"/>
  <c r="A102" i="198"/>
  <c r="A54" i="198"/>
  <c r="EM537" i="198"/>
  <c r="EM495" i="198"/>
  <c r="EM454" i="198"/>
  <c r="EM414" i="198"/>
  <c r="EM351" i="198"/>
  <c r="EM374" i="198"/>
  <c r="EM318" i="198"/>
  <c r="EM240" i="198"/>
  <c r="EM282" i="198"/>
  <c r="EM193" i="198"/>
  <c r="EM150" i="198"/>
  <c r="EM105" i="198"/>
  <c r="EM57" i="198"/>
  <c r="E537" i="198"/>
  <c r="E495" i="198"/>
  <c r="E454" i="198"/>
  <c r="E414" i="198"/>
  <c r="E351" i="198"/>
  <c r="E374" i="198"/>
  <c r="E318" i="198"/>
  <c r="E240" i="198"/>
  <c r="E150" i="198"/>
  <c r="E193" i="198"/>
  <c r="E282" i="198"/>
  <c r="E57" i="198"/>
  <c r="I537" i="198"/>
  <c r="I495" i="198"/>
  <c r="I454" i="198"/>
  <c r="I414" i="198"/>
  <c r="I351" i="198"/>
  <c r="I374" i="198"/>
  <c r="I318" i="198"/>
  <c r="I240" i="198"/>
  <c r="I282" i="198"/>
  <c r="I150" i="198"/>
  <c r="I193" i="198"/>
  <c r="I57" i="198"/>
  <c r="I105" i="198"/>
  <c r="M537" i="198"/>
  <c r="M495" i="198"/>
  <c r="M454" i="198"/>
  <c r="M414" i="198"/>
  <c r="M351" i="198"/>
  <c r="M374" i="198"/>
  <c r="M318" i="198"/>
  <c r="M282" i="198"/>
  <c r="M240" i="198"/>
  <c r="M150" i="198"/>
  <c r="M193" i="198"/>
  <c r="M105" i="198"/>
  <c r="M57" i="198"/>
  <c r="Q537" i="198"/>
  <c r="Q495" i="198"/>
  <c r="Q454" i="198"/>
  <c r="Q414" i="198"/>
  <c r="Q351" i="198"/>
  <c r="Q374" i="198"/>
  <c r="Q318" i="198"/>
  <c r="Q240" i="198"/>
  <c r="Q282" i="198"/>
  <c r="Q193" i="198"/>
  <c r="Q150" i="198"/>
  <c r="Q105" i="198"/>
  <c r="Q57" i="198"/>
  <c r="U537" i="198"/>
  <c r="U495" i="198"/>
  <c r="U454" i="198"/>
  <c r="U414" i="198"/>
  <c r="U351" i="198"/>
  <c r="U374" i="198"/>
  <c r="U318" i="198"/>
  <c r="U240" i="198"/>
  <c r="U150" i="198"/>
  <c r="U193" i="198"/>
  <c r="U105" i="198"/>
  <c r="U57" i="198"/>
  <c r="Y537" i="198"/>
  <c r="Y495" i="198"/>
  <c r="Y454" i="198"/>
  <c r="Y414" i="198"/>
  <c r="Y351" i="198"/>
  <c r="Y374" i="198"/>
  <c r="Y282" i="198"/>
  <c r="Y318" i="198"/>
  <c r="Y240" i="198"/>
  <c r="Y150" i="198"/>
  <c r="Y193" i="198"/>
  <c r="Y57" i="198"/>
  <c r="Y105" i="198"/>
  <c r="AC537" i="198"/>
  <c r="AC495" i="198"/>
  <c r="AC454" i="198"/>
  <c r="AC414" i="198"/>
  <c r="AC351" i="198"/>
  <c r="AC374" i="198"/>
  <c r="AC282" i="198"/>
  <c r="AC318" i="198"/>
  <c r="AC240" i="198"/>
  <c r="AC150" i="198"/>
  <c r="AC193" i="198"/>
  <c r="AC105" i="198"/>
  <c r="AC57" i="198"/>
  <c r="AG537" i="198"/>
  <c r="AG495" i="198"/>
  <c r="AG454" i="198"/>
  <c r="AG414" i="198"/>
  <c r="AG351" i="198"/>
  <c r="AG374" i="198"/>
  <c r="AG282" i="198"/>
  <c r="AG318" i="198"/>
  <c r="AG240" i="198"/>
  <c r="AG193" i="198"/>
  <c r="AG150" i="198"/>
  <c r="AG105" i="198"/>
  <c r="AG57" i="198"/>
  <c r="AK537" i="198"/>
  <c r="AK495" i="198"/>
  <c r="AK454" i="198"/>
  <c r="AK414" i="198"/>
  <c r="AK351" i="198"/>
  <c r="AK374" i="198"/>
  <c r="AK282" i="198"/>
  <c r="AK318" i="198"/>
  <c r="AK240" i="198"/>
  <c r="AK193" i="198"/>
  <c r="AK150" i="198"/>
  <c r="AK57" i="198"/>
  <c r="AO537" i="198"/>
  <c r="AO495" i="198"/>
  <c r="AO454" i="198"/>
  <c r="AO414" i="198"/>
  <c r="AO351" i="198"/>
  <c r="AO374" i="198"/>
  <c r="AO282" i="198"/>
  <c r="AO318" i="198"/>
  <c r="AO240" i="198"/>
  <c r="AO193" i="198"/>
  <c r="AO150" i="198"/>
  <c r="AO57" i="198"/>
  <c r="AO105" i="198"/>
  <c r="AS537" i="198"/>
  <c r="AS495" i="198"/>
  <c r="AS454" i="198"/>
  <c r="AS414" i="198"/>
  <c r="AS351" i="198"/>
  <c r="AS374" i="198"/>
  <c r="AS282" i="198"/>
  <c r="AS318" i="198"/>
  <c r="AS240" i="198"/>
  <c r="AS193" i="198"/>
  <c r="AS150" i="198"/>
  <c r="AS105" i="198"/>
  <c r="AS57" i="198"/>
  <c r="AW537" i="198"/>
  <c r="AW495" i="198"/>
  <c r="AW454" i="198"/>
  <c r="AW414" i="198"/>
  <c r="AW351" i="198"/>
  <c r="AW374" i="198"/>
  <c r="AW282" i="198"/>
  <c r="AW318" i="198"/>
  <c r="AW240" i="198"/>
  <c r="AW193" i="198"/>
  <c r="AW150" i="198"/>
  <c r="AW105" i="198"/>
  <c r="AW57" i="198"/>
  <c r="BA537" i="198"/>
  <c r="BA495" i="198"/>
  <c r="BA454" i="198"/>
  <c r="BA414" i="198"/>
  <c r="BA351" i="198"/>
  <c r="BA374" i="198"/>
  <c r="BA282" i="198"/>
  <c r="BA318" i="198"/>
  <c r="BA240" i="198"/>
  <c r="BA193" i="198"/>
  <c r="BA150" i="198"/>
  <c r="BA105" i="198"/>
  <c r="BA57" i="198"/>
  <c r="BE537" i="198"/>
  <c r="BE495" i="198"/>
  <c r="BE454" i="198"/>
  <c r="BE414" i="198"/>
  <c r="BE351" i="198"/>
  <c r="BE374" i="198"/>
  <c r="BE282" i="198"/>
  <c r="BE318" i="198"/>
  <c r="BE240" i="198"/>
  <c r="BE193" i="198"/>
  <c r="BE150" i="198"/>
  <c r="BE57" i="198"/>
  <c r="BE105" i="198"/>
  <c r="BI537" i="198"/>
  <c r="BI495" i="198"/>
  <c r="BI454" i="198"/>
  <c r="BI414" i="198"/>
  <c r="BI351" i="198"/>
  <c r="BI374" i="198"/>
  <c r="BI282" i="198"/>
  <c r="BI318" i="198"/>
  <c r="BI240" i="198"/>
  <c r="BI193" i="198"/>
  <c r="BI150" i="198"/>
  <c r="BI105" i="198"/>
  <c r="BI57" i="198"/>
  <c r="BM537" i="198"/>
  <c r="BM495" i="198"/>
  <c r="BM454" i="198"/>
  <c r="BM414" i="198"/>
  <c r="BM351" i="198"/>
  <c r="BM374" i="198"/>
  <c r="BM282" i="198"/>
  <c r="BM318" i="198"/>
  <c r="BM240" i="198"/>
  <c r="BM193" i="198"/>
  <c r="BM150" i="198"/>
  <c r="BM105" i="198"/>
  <c r="BM57" i="198"/>
  <c r="BQ537" i="198"/>
  <c r="BQ495" i="198"/>
  <c r="BQ454" i="198"/>
  <c r="BQ414" i="198"/>
  <c r="BQ351" i="198"/>
  <c r="BQ374" i="198"/>
  <c r="BQ282" i="198"/>
  <c r="BQ318" i="198"/>
  <c r="BQ240" i="198"/>
  <c r="BQ193" i="198"/>
  <c r="BQ150" i="198"/>
  <c r="BQ57" i="198"/>
  <c r="BU537" i="198"/>
  <c r="BU495" i="198"/>
  <c r="BU454" i="198"/>
  <c r="BU414" i="198"/>
  <c r="BU351" i="198"/>
  <c r="BU374" i="198"/>
  <c r="BU282" i="198"/>
  <c r="BU318" i="198"/>
  <c r="BU240" i="198"/>
  <c r="BU193" i="198"/>
  <c r="BU150" i="198"/>
  <c r="BU57" i="198"/>
  <c r="BU105" i="198"/>
  <c r="BY537" i="198"/>
  <c r="BY495" i="198"/>
  <c r="BY454" i="198"/>
  <c r="BY414" i="198"/>
  <c r="BY351" i="198"/>
  <c r="BY374" i="198"/>
  <c r="BY282" i="198"/>
  <c r="BY318" i="198"/>
  <c r="BY240" i="198"/>
  <c r="BY193" i="198"/>
  <c r="BY150" i="198"/>
  <c r="BY105" i="198"/>
  <c r="BY57" i="198"/>
  <c r="CC537" i="198"/>
  <c r="CC495" i="198"/>
  <c r="CC454" i="198"/>
  <c r="CC414" i="198"/>
  <c r="CC351" i="198"/>
  <c r="CC374" i="198"/>
  <c r="CC282" i="198"/>
  <c r="CC318" i="198"/>
  <c r="CC240" i="198"/>
  <c r="CC193" i="198"/>
  <c r="CC150" i="198"/>
  <c r="CC57" i="198"/>
  <c r="CC105" i="198"/>
  <c r="CG537" i="198"/>
  <c r="CG495" i="198"/>
  <c r="CG454" i="198"/>
  <c r="CG414" i="198"/>
  <c r="CG351" i="198"/>
  <c r="CG374" i="198"/>
  <c r="CG282" i="198"/>
  <c r="CG318" i="198"/>
  <c r="CG240" i="198"/>
  <c r="CG193" i="198"/>
  <c r="CG150" i="198"/>
  <c r="CG105" i="198"/>
  <c r="CG57" i="198"/>
  <c r="CK537" i="198"/>
  <c r="CK495" i="198"/>
  <c r="CK454" i="198"/>
  <c r="CK414" i="198"/>
  <c r="CK351" i="198"/>
  <c r="CK374" i="198"/>
  <c r="CK282" i="198"/>
  <c r="CK318" i="198"/>
  <c r="CK240" i="198"/>
  <c r="CK193" i="198"/>
  <c r="CK150" i="198"/>
  <c r="CK57" i="198"/>
  <c r="CK105" i="198"/>
  <c r="CO537" i="198"/>
  <c r="CO495" i="198"/>
  <c r="CO454" i="198"/>
  <c r="CO414" i="198"/>
  <c r="CO351" i="198"/>
  <c r="CO374" i="198"/>
  <c r="CO282" i="198"/>
  <c r="CO318" i="198"/>
  <c r="CO240" i="198"/>
  <c r="CO193" i="198"/>
  <c r="CO150" i="198"/>
  <c r="CO105" i="198"/>
  <c r="CO57" i="198"/>
  <c r="CS537" i="198"/>
  <c r="CS495" i="198"/>
  <c r="CS454" i="198"/>
  <c r="CS414" i="198"/>
  <c r="CS351" i="198"/>
  <c r="CS374" i="198"/>
  <c r="CS282" i="198"/>
  <c r="CS318" i="198"/>
  <c r="CS240" i="198"/>
  <c r="CS193" i="198"/>
  <c r="CS150" i="198"/>
  <c r="CS57" i="198"/>
  <c r="CS105" i="198"/>
  <c r="CW537" i="198"/>
  <c r="CW495" i="198"/>
  <c r="CW454" i="198"/>
  <c r="CW414" i="198"/>
  <c r="CW351" i="198"/>
  <c r="CW374" i="198"/>
  <c r="CW282" i="198"/>
  <c r="CW318" i="198"/>
  <c r="CW240" i="198"/>
  <c r="CW193" i="198"/>
  <c r="CW150" i="198"/>
  <c r="CW105" i="198"/>
  <c r="CW57" i="198"/>
  <c r="DA537" i="198"/>
  <c r="DA495" i="198"/>
  <c r="DA454" i="198"/>
  <c r="DA414" i="198"/>
  <c r="DA351" i="198"/>
  <c r="DA374" i="198"/>
  <c r="DA282" i="198"/>
  <c r="DA318" i="198"/>
  <c r="DA240" i="198"/>
  <c r="DA193" i="198"/>
  <c r="DA150" i="198"/>
  <c r="DA57" i="198"/>
  <c r="DA105" i="198"/>
  <c r="DF537" i="198"/>
  <c r="DF495" i="198"/>
  <c r="DF454" i="198"/>
  <c r="DF414" i="198"/>
  <c r="DF351" i="198"/>
  <c r="DF374" i="198"/>
  <c r="DF282" i="198"/>
  <c r="DF318" i="198"/>
  <c r="DF240" i="198"/>
  <c r="DF193" i="198"/>
  <c r="DF150" i="198"/>
  <c r="DF105" i="198"/>
  <c r="DF57" i="198"/>
  <c r="DJ537" i="198"/>
  <c r="DJ495" i="198"/>
  <c r="DJ454" i="198"/>
  <c r="DJ414" i="198"/>
  <c r="DJ351" i="198"/>
  <c r="DJ374" i="198"/>
  <c r="DJ282" i="198"/>
  <c r="DJ318" i="198"/>
  <c r="DJ240" i="198"/>
  <c r="DJ193" i="198"/>
  <c r="DJ150" i="198"/>
  <c r="DJ57" i="198"/>
  <c r="DJ105" i="198"/>
  <c r="DN537" i="198"/>
  <c r="DN495" i="198"/>
  <c r="DN454" i="198"/>
  <c r="DN414" i="198"/>
  <c r="DN351" i="198"/>
  <c r="DN374" i="198"/>
  <c r="DN282" i="198"/>
  <c r="DN318" i="198"/>
  <c r="DN240" i="198"/>
  <c r="DN193" i="198"/>
  <c r="DN150" i="198"/>
  <c r="DN105" i="198"/>
  <c r="DN57" i="198"/>
  <c r="DR537" i="198"/>
  <c r="DR495" i="198"/>
  <c r="DR454" i="198"/>
  <c r="DR414" i="198"/>
  <c r="DR351" i="198"/>
  <c r="DR374" i="198"/>
  <c r="DR282" i="198"/>
  <c r="DR318" i="198"/>
  <c r="DR240" i="198"/>
  <c r="DR193" i="198"/>
  <c r="DR150" i="198"/>
  <c r="DR57" i="198"/>
  <c r="DR105" i="198"/>
  <c r="DV537" i="198"/>
  <c r="DV495" i="198"/>
  <c r="DV454" i="198"/>
  <c r="DV414" i="198"/>
  <c r="DV351" i="198"/>
  <c r="DV374" i="198"/>
  <c r="DV282" i="198"/>
  <c r="DV318" i="198"/>
  <c r="DV240" i="198"/>
  <c r="DV193" i="198"/>
  <c r="DV150" i="198"/>
  <c r="DV105" i="198"/>
  <c r="DV57" i="198"/>
  <c r="DZ537" i="198"/>
  <c r="DZ495" i="198"/>
  <c r="DZ454" i="198"/>
  <c r="DZ414" i="198"/>
  <c r="DZ351" i="198"/>
  <c r="DZ374" i="198"/>
  <c r="DZ282" i="198"/>
  <c r="DZ318" i="198"/>
  <c r="DZ240" i="198"/>
  <c r="DZ193" i="198"/>
  <c r="DZ150" i="198"/>
  <c r="DZ57" i="198"/>
  <c r="DZ105" i="198"/>
  <c r="ED537" i="198"/>
  <c r="ED495" i="198"/>
  <c r="ED454" i="198"/>
  <c r="ED414" i="198"/>
  <c r="ED351" i="198"/>
  <c r="ED374" i="198"/>
  <c r="ED282" i="198"/>
  <c r="ED318" i="198"/>
  <c r="ED240" i="198"/>
  <c r="ED193" i="198"/>
  <c r="ED150" i="198"/>
  <c r="ED105" i="198"/>
  <c r="ED57" i="198"/>
  <c r="EH537" i="198"/>
  <c r="EH495" i="198"/>
  <c r="EH454" i="198"/>
  <c r="EH414" i="198"/>
  <c r="EH351" i="198"/>
  <c r="EH374" i="198"/>
  <c r="EH282" i="198"/>
  <c r="EH318" i="198"/>
  <c r="EH240" i="198"/>
  <c r="EH193" i="198"/>
  <c r="EH150" i="198"/>
  <c r="EH57" i="198"/>
  <c r="EH105" i="198"/>
  <c r="C538" i="198"/>
  <c r="C496" i="198"/>
  <c r="C455" i="198"/>
  <c r="C415" i="198"/>
  <c r="C352" i="198"/>
  <c r="C375" i="198"/>
  <c r="C283" i="198"/>
  <c r="C319" i="198"/>
  <c r="C241" i="198"/>
  <c r="C194" i="198"/>
  <c r="C151" i="198"/>
  <c r="C106" i="198"/>
  <c r="C58" i="198"/>
  <c r="G538" i="198"/>
  <c r="G496" i="198"/>
  <c r="G455" i="198"/>
  <c r="G415" i="198"/>
  <c r="G352" i="198"/>
  <c r="G375" i="198"/>
  <c r="G283" i="198"/>
  <c r="G319" i="198"/>
  <c r="G241" i="198"/>
  <c r="G194" i="198"/>
  <c r="G151" i="198"/>
  <c r="G58" i="198"/>
  <c r="G106" i="198"/>
  <c r="K538" i="198"/>
  <c r="K496" i="198"/>
  <c r="K455" i="198"/>
  <c r="K415" i="198"/>
  <c r="K352" i="198"/>
  <c r="K375" i="198"/>
  <c r="K283" i="198"/>
  <c r="K319" i="198"/>
  <c r="K241" i="198"/>
  <c r="K194" i="198"/>
  <c r="K151" i="198"/>
  <c r="K106" i="198"/>
  <c r="K58" i="198"/>
  <c r="O538" i="198"/>
  <c r="O496" i="198"/>
  <c r="O455" i="198"/>
  <c r="O415" i="198"/>
  <c r="O352" i="198"/>
  <c r="O375" i="198"/>
  <c r="O283" i="198"/>
  <c r="O319" i="198"/>
  <c r="O241" i="198"/>
  <c r="O194" i="198"/>
  <c r="O151" i="198"/>
  <c r="O58" i="198"/>
  <c r="O106" i="198"/>
  <c r="S538" i="198"/>
  <c r="S496" i="198"/>
  <c r="S455" i="198"/>
  <c r="S415" i="198"/>
  <c r="S352" i="198"/>
  <c r="S375" i="198"/>
  <c r="S283" i="198"/>
  <c r="S319" i="198"/>
  <c r="S241" i="198"/>
  <c r="S194" i="198"/>
  <c r="S151" i="198"/>
  <c r="S106" i="198"/>
  <c r="S58" i="198"/>
  <c r="W538" i="198"/>
  <c r="W496" i="198"/>
  <c r="W455" i="198"/>
  <c r="W415" i="198"/>
  <c r="W352" i="198"/>
  <c r="W375" i="198"/>
  <c r="W283" i="198"/>
  <c r="W319" i="198"/>
  <c r="W241" i="198"/>
  <c r="W194" i="198"/>
  <c r="W151" i="198"/>
  <c r="W58" i="198"/>
  <c r="W106" i="198"/>
  <c r="AA538" i="198"/>
  <c r="AA496" i="198"/>
  <c r="AA455" i="198"/>
  <c r="AA415" i="198"/>
  <c r="AA352" i="198"/>
  <c r="AA375" i="198"/>
  <c r="AA283" i="198"/>
  <c r="AA319" i="198"/>
  <c r="AA241" i="198"/>
  <c r="AA194" i="198"/>
  <c r="AA151" i="198"/>
  <c r="AA106" i="198"/>
  <c r="AA58" i="198"/>
  <c r="AE538" i="198"/>
  <c r="AE496" i="198"/>
  <c r="AE455" i="198"/>
  <c r="AE415" i="198"/>
  <c r="AE352" i="198"/>
  <c r="AE375" i="198"/>
  <c r="AE283" i="198"/>
  <c r="AE319" i="198"/>
  <c r="AE241" i="198"/>
  <c r="AE194" i="198"/>
  <c r="AE151" i="198"/>
  <c r="AE58" i="198"/>
  <c r="AE106" i="198"/>
  <c r="AI538" i="198"/>
  <c r="AI496" i="198"/>
  <c r="AI455" i="198"/>
  <c r="AI415" i="198"/>
  <c r="AI352" i="198"/>
  <c r="AI375" i="198"/>
  <c r="AI283" i="198"/>
  <c r="AI319" i="198"/>
  <c r="AI241" i="198"/>
  <c r="AI194" i="198"/>
  <c r="AI151" i="198"/>
  <c r="AI106" i="198"/>
  <c r="AI58" i="198"/>
  <c r="AM538" i="198"/>
  <c r="AM496" i="198"/>
  <c r="AM455" i="198"/>
  <c r="AM415" i="198"/>
  <c r="AM352" i="198"/>
  <c r="AM375" i="198"/>
  <c r="AM283" i="198"/>
  <c r="AM319" i="198"/>
  <c r="AM241" i="198"/>
  <c r="AM194" i="198"/>
  <c r="AM151" i="198"/>
  <c r="AM58" i="198"/>
  <c r="AM106" i="198"/>
  <c r="AQ538" i="198"/>
  <c r="AQ496" i="198"/>
  <c r="AQ455" i="198"/>
  <c r="AQ415" i="198"/>
  <c r="AQ352" i="198"/>
  <c r="AQ375" i="198"/>
  <c r="AQ283" i="198"/>
  <c r="AQ319" i="198"/>
  <c r="AQ241" i="198"/>
  <c r="AQ194" i="198"/>
  <c r="AQ151" i="198"/>
  <c r="AQ106" i="198"/>
  <c r="AQ58" i="198"/>
  <c r="AU538" i="198"/>
  <c r="AU496" i="198"/>
  <c r="AU455" i="198"/>
  <c r="AU415" i="198"/>
  <c r="AU352" i="198"/>
  <c r="AU375" i="198"/>
  <c r="AU283" i="198"/>
  <c r="AU319" i="198"/>
  <c r="AU241" i="198"/>
  <c r="AU194" i="198"/>
  <c r="AU151" i="198"/>
  <c r="AU58" i="198"/>
  <c r="AU106" i="198"/>
  <c r="AY538" i="198"/>
  <c r="AY496" i="198"/>
  <c r="AY455" i="198"/>
  <c r="AY415" i="198"/>
  <c r="AY352" i="198"/>
  <c r="AY375" i="198"/>
  <c r="AY283" i="198"/>
  <c r="AY319" i="198"/>
  <c r="AY241" i="198"/>
  <c r="AY194" i="198"/>
  <c r="AY151" i="198"/>
  <c r="AY106" i="198"/>
  <c r="AY58" i="198"/>
  <c r="BC538" i="198"/>
  <c r="BC496" i="198"/>
  <c r="BC455" i="198"/>
  <c r="BC415" i="198"/>
  <c r="BC352" i="198"/>
  <c r="BC375" i="198"/>
  <c r="BC283" i="198"/>
  <c r="BC319" i="198"/>
  <c r="BC241" i="198"/>
  <c r="BC194" i="198"/>
  <c r="BC151" i="198"/>
  <c r="BC106" i="198"/>
  <c r="BC58" i="198"/>
  <c r="BG538" i="198"/>
  <c r="BG496" i="198"/>
  <c r="BG455" i="198"/>
  <c r="BG415" i="198"/>
  <c r="BG352" i="198"/>
  <c r="BG375" i="198"/>
  <c r="BG283" i="198"/>
  <c r="BG319" i="198"/>
  <c r="BG241" i="198"/>
  <c r="BG194" i="198"/>
  <c r="BG151" i="198"/>
  <c r="BG106" i="198"/>
  <c r="BG58" i="198"/>
  <c r="BK538" i="198"/>
  <c r="BK496" i="198"/>
  <c r="BK455" i="198"/>
  <c r="BK415" i="198"/>
  <c r="BK352" i="198"/>
  <c r="BK375" i="198"/>
  <c r="BK283" i="198"/>
  <c r="BK319" i="198"/>
  <c r="BK241" i="198"/>
  <c r="BK194" i="198"/>
  <c r="BK151" i="198"/>
  <c r="BK106" i="198"/>
  <c r="BK58" i="198"/>
  <c r="BO538" i="198"/>
  <c r="BO496" i="198"/>
  <c r="BO455" i="198"/>
  <c r="BO415" i="198"/>
  <c r="BO352" i="198"/>
  <c r="BO375" i="198"/>
  <c r="BO283" i="198"/>
  <c r="BO319" i="198"/>
  <c r="BO241" i="198"/>
  <c r="BO194" i="198"/>
  <c r="BO151" i="198"/>
  <c r="BO106" i="198"/>
  <c r="BO58" i="198"/>
  <c r="BS538" i="198"/>
  <c r="BS496" i="198"/>
  <c r="BS455" i="198"/>
  <c r="BS415" i="198"/>
  <c r="BS352" i="198"/>
  <c r="BS375" i="198"/>
  <c r="BS283" i="198"/>
  <c r="BS319" i="198"/>
  <c r="BS241" i="198"/>
  <c r="BS194" i="198"/>
  <c r="BS151" i="198"/>
  <c r="BS106" i="198"/>
  <c r="BS58" i="198"/>
  <c r="BW538" i="198"/>
  <c r="BW496" i="198"/>
  <c r="BW455" i="198"/>
  <c r="BW415" i="198"/>
  <c r="BW352" i="198"/>
  <c r="BW375" i="198"/>
  <c r="BW283" i="198"/>
  <c r="BW319" i="198"/>
  <c r="BW241" i="198"/>
  <c r="BW194" i="198"/>
  <c r="BW151" i="198"/>
  <c r="BW106" i="198"/>
  <c r="BW58" i="198"/>
  <c r="CA538" i="198"/>
  <c r="CA496" i="198"/>
  <c r="CA455" i="198"/>
  <c r="CA415" i="198"/>
  <c r="CA352" i="198"/>
  <c r="CA375" i="198"/>
  <c r="CA283" i="198"/>
  <c r="CA319" i="198"/>
  <c r="CA241" i="198"/>
  <c r="CA194" i="198"/>
  <c r="CA151" i="198"/>
  <c r="CA106" i="198"/>
  <c r="CA58" i="198"/>
  <c r="CE538" i="198"/>
  <c r="CE496" i="198"/>
  <c r="CE455" i="198"/>
  <c r="CE415" i="198"/>
  <c r="CE352" i="198"/>
  <c r="CE375" i="198"/>
  <c r="CE283" i="198"/>
  <c r="CE319" i="198"/>
  <c r="CE241" i="198"/>
  <c r="CE194" i="198"/>
  <c r="CE151" i="198"/>
  <c r="CE106" i="198"/>
  <c r="CE58" i="198"/>
  <c r="CI538" i="198"/>
  <c r="CI496" i="198"/>
  <c r="CI455" i="198"/>
  <c r="CI415" i="198"/>
  <c r="CI352" i="198"/>
  <c r="CI375" i="198"/>
  <c r="CI283" i="198"/>
  <c r="CI319" i="198"/>
  <c r="CI241" i="198"/>
  <c r="CI194" i="198"/>
  <c r="CI151" i="198"/>
  <c r="CI106" i="198"/>
  <c r="CI58" i="198"/>
  <c r="CM538" i="198"/>
  <c r="CM496" i="198"/>
  <c r="CM455" i="198"/>
  <c r="CM415" i="198"/>
  <c r="CM352" i="198"/>
  <c r="CM375" i="198"/>
  <c r="CM283" i="198"/>
  <c r="CM319" i="198"/>
  <c r="CM241" i="198"/>
  <c r="CM194" i="198"/>
  <c r="CM151" i="198"/>
  <c r="CM106" i="198"/>
  <c r="CM58" i="198"/>
  <c r="CQ538" i="198"/>
  <c r="CQ496" i="198"/>
  <c r="CQ455" i="198"/>
  <c r="CQ415" i="198"/>
  <c r="CQ352" i="198"/>
  <c r="CQ375" i="198"/>
  <c r="CQ283" i="198"/>
  <c r="CQ319" i="198"/>
  <c r="CQ241" i="198"/>
  <c r="CQ194" i="198"/>
  <c r="CQ151" i="198"/>
  <c r="CQ106" i="198"/>
  <c r="CQ58" i="198"/>
  <c r="CU538" i="198"/>
  <c r="CU496" i="198"/>
  <c r="CU455" i="198"/>
  <c r="CU415" i="198"/>
  <c r="CU352" i="198"/>
  <c r="CU375" i="198"/>
  <c r="CU283" i="198"/>
  <c r="CU319" i="198"/>
  <c r="CU241" i="198"/>
  <c r="CU194" i="198"/>
  <c r="CU151" i="198"/>
  <c r="CU106" i="198"/>
  <c r="CU58" i="198"/>
  <c r="CY538" i="198"/>
  <c r="CY496" i="198"/>
  <c r="CY455" i="198"/>
  <c r="CY415" i="198"/>
  <c r="CY352" i="198"/>
  <c r="CY375" i="198"/>
  <c r="CY283" i="198"/>
  <c r="CY319" i="198"/>
  <c r="CY241" i="198"/>
  <c r="CY194" i="198"/>
  <c r="CY151" i="198"/>
  <c r="CY106" i="198"/>
  <c r="CY58" i="198"/>
  <c r="DD538" i="198"/>
  <c r="DD496" i="198"/>
  <c r="DD455" i="198"/>
  <c r="DD415" i="198"/>
  <c r="DD352" i="198"/>
  <c r="DD375" i="198"/>
  <c r="DD283" i="198"/>
  <c r="DD319" i="198"/>
  <c r="DD241" i="198"/>
  <c r="DD194" i="198"/>
  <c r="DD151" i="198"/>
  <c r="DD106" i="198"/>
  <c r="DD58" i="198"/>
  <c r="DH538" i="198"/>
  <c r="DH496" i="198"/>
  <c r="DH455" i="198"/>
  <c r="DH415" i="198"/>
  <c r="DH352" i="198"/>
  <c r="DH375" i="198"/>
  <c r="DH283" i="198"/>
  <c r="DH319" i="198"/>
  <c r="DH241" i="198"/>
  <c r="DH194" i="198"/>
  <c r="DH151" i="198"/>
  <c r="DH106" i="198"/>
  <c r="DH58" i="198"/>
  <c r="DL538" i="198"/>
  <c r="DL496" i="198"/>
  <c r="DL455" i="198"/>
  <c r="DL415" i="198"/>
  <c r="DL352" i="198"/>
  <c r="DL375" i="198"/>
  <c r="DL283" i="198"/>
  <c r="DL319" i="198"/>
  <c r="DL241" i="198"/>
  <c r="DL194" i="198"/>
  <c r="DL151" i="198"/>
  <c r="DL106" i="198"/>
  <c r="DL58" i="198"/>
  <c r="DP538" i="198"/>
  <c r="DP496" i="198"/>
  <c r="DP455" i="198"/>
  <c r="DP415" i="198"/>
  <c r="DP352" i="198"/>
  <c r="DP375" i="198"/>
  <c r="DP283" i="198"/>
  <c r="DP319" i="198"/>
  <c r="DP241" i="198"/>
  <c r="DP194" i="198"/>
  <c r="DP151" i="198"/>
  <c r="DP106" i="198"/>
  <c r="DP58" i="198"/>
  <c r="DT538" i="198"/>
  <c r="DT496" i="198"/>
  <c r="DT455" i="198"/>
  <c r="DT415" i="198"/>
  <c r="DT352" i="198"/>
  <c r="DT375" i="198"/>
  <c r="DT283" i="198"/>
  <c r="DT319" i="198"/>
  <c r="DT241" i="198"/>
  <c r="DT194" i="198"/>
  <c r="DT151" i="198"/>
  <c r="DT106" i="198"/>
  <c r="DT58" i="198"/>
  <c r="DX538" i="198"/>
  <c r="DX496" i="198"/>
  <c r="DX455" i="198"/>
  <c r="DX415" i="198"/>
  <c r="DX352" i="198"/>
  <c r="DX375" i="198"/>
  <c r="DX283" i="198"/>
  <c r="DX319" i="198"/>
  <c r="DX241" i="198"/>
  <c r="DX194" i="198"/>
  <c r="DX151" i="198"/>
  <c r="DX106" i="198"/>
  <c r="DX58" i="198"/>
  <c r="EB538" i="198"/>
  <c r="EB496" i="198"/>
  <c r="EB455" i="198"/>
  <c r="EB415" i="198"/>
  <c r="EB352" i="198"/>
  <c r="EB375" i="198"/>
  <c r="EB283" i="198"/>
  <c r="EB319" i="198"/>
  <c r="EB241" i="198"/>
  <c r="EB194" i="198"/>
  <c r="EB151" i="198"/>
  <c r="EB106" i="198"/>
  <c r="EB58" i="198"/>
  <c r="EF538" i="198"/>
  <c r="EF496" i="198"/>
  <c r="EF455" i="198"/>
  <c r="EF415" i="198"/>
  <c r="EF352" i="198"/>
  <c r="EF375" i="198"/>
  <c r="EF283" i="198"/>
  <c r="EF319" i="198"/>
  <c r="EF241" i="198"/>
  <c r="EF194" i="198"/>
  <c r="EF151" i="198"/>
  <c r="EF106" i="198"/>
  <c r="EF58" i="198"/>
  <c r="EJ538" i="198"/>
  <c r="EJ496" i="198"/>
  <c r="EJ455" i="198"/>
  <c r="EJ415" i="198"/>
  <c r="EJ352" i="198"/>
  <c r="EJ375" i="198"/>
  <c r="EJ283" i="198"/>
  <c r="EJ319" i="198"/>
  <c r="EJ241" i="198"/>
  <c r="EJ194" i="198"/>
  <c r="EJ151" i="198"/>
  <c r="EJ106" i="198"/>
  <c r="EJ58" i="198"/>
  <c r="AP28" i="198"/>
  <c r="AT28" i="198"/>
  <c r="AX28" i="198"/>
  <c r="BB28" i="198"/>
  <c r="BF28" i="198"/>
  <c r="BJ28" i="198"/>
  <c r="BN28" i="198"/>
  <c r="BR28" i="198"/>
  <c r="BV28" i="198"/>
  <c r="BZ28" i="198"/>
  <c r="CD28" i="198"/>
  <c r="CH28" i="198"/>
  <c r="CL28" i="198"/>
  <c r="CP28" i="198"/>
  <c r="DB28" i="198"/>
  <c r="DZ28" i="198"/>
  <c r="CL10" i="198"/>
  <c r="CP10" i="198"/>
  <c r="DB10" i="198"/>
  <c r="DB22" i="198" s="1"/>
  <c r="DZ10" i="198"/>
  <c r="DZ22" i="198" s="1"/>
  <c r="J15" i="198"/>
  <c r="N15" i="198"/>
  <c r="AD15" i="198"/>
  <c r="AL15" i="198"/>
  <c r="BR15" i="198"/>
  <c r="CH15" i="198"/>
  <c r="DC19" i="198"/>
  <c r="DK19" i="198"/>
  <c r="DS19" i="198"/>
  <c r="EA19" i="198"/>
  <c r="CR32" i="198"/>
  <c r="AK105" i="198"/>
  <c r="EM536" i="198"/>
  <c r="EM494" i="198"/>
  <c r="EM453" i="198"/>
  <c r="EM413" i="198"/>
  <c r="EM373" i="198"/>
  <c r="EM350" i="198"/>
  <c r="EM281" i="198"/>
  <c r="EM317" i="198"/>
  <c r="EM239" i="198"/>
  <c r="EM192" i="198"/>
  <c r="EM149" i="198"/>
  <c r="EM104" i="198"/>
  <c r="C537" i="198"/>
  <c r="C495" i="198"/>
  <c r="C454" i="198"/>
  <c r="C414" i="198"/>
  <c r="C374" i="198"/>
  <c r="C351" i="198"/>
  <c r="C282" i="198"/>
  <c r="C318" i="198"/>
  <c r="C193" i="198"/>
  <c r="C240" i="198"/>
  <c r="C105" i="198"/>
  <c r="C150" i="198"/>
  <c r="G537" i="198"/>
  <c r="G495" i="198"/>
  <c r="G454" i="198"/>
  <c r="G414" i="198"/>
  <c r="G374" i="198"/>
  <c r="G351" i="198"/>
  <c r="G282" i="198"/>
  <c r="G318" i="198"/>
  <c r="G193" i="198"/>
  <c r="G240" i="198"/>
  <c r="G150" i="198"/>
  <c r="G105" i="198"/>
  <c r="K537" i="198"/>
  <c r="K495" i="198"/>
  <c r="K454" i="198"/>
  <c r="K414" i="198"/>
  <c r="K374" i="198"/>
  <c r="K351" i="198"/>
  <c r="K282" i="198"/>
  <c r="K318" i="198"/>
  <c r="K240" i="198"/>
  <c r="K193" i="198"/>
  <c r="K150" i="198"/>
  <c r="K105" i="198"/>
  <c r="O537" i="198"/>
  <c r="O495" i="198"/>
  <c r="O454" i="198"/>
  <c r="O414" i="198"/>
  <c r="O374" i="198"/>
  <c r="O351" i="198"/>
  <c r="O282" i="198"/>
  <c r="O318" i="198"/>
  <c r="O240" i="198"/>
  <c r="O193" i="198"/>
  <c r="O150" i="198"/>
  <c r="O105" i="198"/>
  <c r="S537" i="198"/>
  <c r="S495" i="198"/>
  <c r="S454" i="198"/>
  <c r="S414" i="198"/>
  <c r="S374" i="198"/>
  <c r="S351" i="198"/>
  <c r="S282" i="198"/>
  <c r="S318" i="198"/>
  <c r="S193" i="198"/>
  <c r="S240" i="198"/>
  <c r="S105" i="198"/>
  <c r="W537" i="198"/>
  <c r="W495" i="198"/>
  <c r="W454" i="198"/>
  <c r="W414" i="198"/>
  <c r="W374" i="198"/>
  <c r="W351" i="198"/>
  <c r="W282" i="198"/>
  <c r="W318" i="198"/>
  <c r="W193" i="198"/>
  <c r="W240" i="198"/>
  <c r="W150" i="198"/>
  <c r="W105" i="198"/>
  <c r="AA537" i="198"/>
  <c r="AA495" i="198"/>
  <c r="AA454" i="198"/>
  <c r="AA414" i="198"/>
  <c r="AA374" i="198"/>
  <c r="AA351" i="198"/>
  <c r="AA282" i="198"/>
  <c r="AA318" i="198"/>
  <c r="AA240" i="198"/>
  <c r="AA193" i="198"/>
  <c r="AA150" i="198"/>
  <c r="AE537" i="198"/>
  <c r="AE495" i="198"/>
  <c r="AE454" i="198"/>
  <c r="AE414" i="198"/>
  <c r="AE374" i="198"/>
  <c r="AE351" i="198"/>
  <c r="AE282" i="198"/>
  <c r="AE318" i="198"/>
  <c r="AE240" i="198"/>
  <c r="AE193" i="198"/>
  <c r="AE150" i="198"/>
  <c r="AE105" i="198"/>
  <c r="AI537" i="198"/>
  <c r="AI495" i="198"/>
  <c r="AI454" i="198"/>
  <c r="AI414" i="198"/>
  <c r="AI374" i="198"/>
  <c r="AI351" i="198"/>
  <c r="AI282" i="198"/>
  <c r="AI318" i="198"/>
  <c r="AI193" i="198"/>
  <c r="AI240" i="198"/>
  <c r="AI105" i="198"/>
  <c r="AI150" i="198"/>
  <c r="AM537" i="198"/>
  <c r="AM495" i="198"/>
  <c r="AM454" i="198"/>
  <c r="AM414" i="198"/>
  <c r="AM374" i="198"/>
  <c r="AM351" i="198"/>
  <c r="AM282" i="198"/>
  <c r="AM318" i="198"/>
  <c r="AM193" i="198"/>
  <c r="AM240" i="198"/>
  <c r="AM150" i="198"/>
  <c r="AM105" i="198"/>
  <c r="AQ537" i="198"/>
  <c r="AQ495" i="198"/>
  <c r="AQ454" i="198"/>
  <c r="AQ414" i="198"/>
  <c r="AQ374" i="198"/>
  <c r="AQ351" i="198"/>
  <c r="AQ282" i="198"/>
  <c r="AQ318" i="198"/>
  <c r="AQ193" i="198"/>
  <c r="AQ240" i="198"/>
  <c r="AQ150" i="198"/>
  <c r="AQ105" i="198"/>
  <c r="AU537" i="198"/>
  <c r="AU495" i="198"/>
  <c r="AU454" i="198"/>
  <c r="AU414" i="198"/>
  <c r="AU374" i="198"/>
  <c r="AU351" i="198"/>
  <c r="AU282" i="198"/>
  <c r="AU318" i="198"/>
  <c r="AU193" i="198"/>
  <c r="AU240" i="198"/>
  <c r="AU150" i="198"/>
  <c r="AU105" i="198"/>
  <c r="AY537" i="198"/>
  <c r="AY495" i="198"/>
  <c r="AY454" i="198"/>
  <c r="AY414" i="198"/>
  <c r="AY374" i="198"/>
  <c r="AY351" i="198"/>
  <c r="AY282" i="198"/>
  <c r="AY318" i="198"/>
  <c r="AY193" i="198"/>
  <c r="AY105" i="198"/>
  <c r="AY240" i="198"/>
  <c r="BC537" i="198"/>
  <c r="BC495" i="198"/>
  <c r="BC454" i="198"/>
  <c r="BC414" i="198"/>
  <c r="BC374" i="198"/>
  <c r="BC351" i="198"/>
  <c r="BC282" i="198"/>
  <c r="BC318" i="198"/>
  <c r="BC193" i="198"/>
  <c r="BC240" i="198"/>
  <c r="BC150" i="198"/>
  <c r="BC105" i="198"/>
  <c r="BG537" i="198"/>
  <c r="BG495" i="198"/>
  <c r="BG454" i="198"/>
  <c r="BG414" i="198"/>
  <c r="BG374" i="198"/>
  <c r="BG351" i="198"/>
  <c r="BG282" i="198"/>
  <c r="BG318" i="198"/>
  <c r="BG193" i="198"/>
  <c r="BG240" i="198"/>
  <c r="BG150" i="198"/>
  <c r="BK537" i="198"/>
  <c r="BK495" i="198"/>
  <c r="BK454" i="198"/>
  <c r="BK414" i="198"/>
  <c r="BK374" i="198"/>
  <c r="BK351" i="198"/>
  <c r="BK282" i="198"/>
  <c r="BK318" i="198"/>
  <c r="BK193" i="198"/>
  <c r="BK240" i="198"/>
  <c r="BK150" i="198"/>
  <c r="BK105" i="198"/>
  <c r="BO537" i="198"/>
  <c r="BO495" i="198"/>
  <c r="BO454" i="198"/>
  <c r="BO414" i="198"/>
  <c r="BO374" i="198"/>
  <c r="BO351" i="198"/>
  <c r="BO282" i="198"/>
  <c r="BO318" i="198"/>
  <c r="BO193" i="198"/>
  <c r="BO240" i="198"/>
  <c r="BO105" i="198"/>
  <c r="BO150" i="198"/>
  <c r="BS537" i="198"/>
  <c r="BS495" i="198"/>
  <c r="BS454" i="198"/>
  <c r="BS414" i="198"/>
  <c r="BS374" i="198"/>
  <c r="BS351" i="198"/>
  <c r="BS282" i="198"/>
  <c r="BS318" i="198"/>
  <c r="BS193" i="198"/>
  <c r="BS240" i="198"/>
  <c r="BS150" i="198"/>
  <c r="BS105" i="198"/>
  <c r="BW537" i="198"/>
  <c r="BW495" i="198"/>
  <c r="BW454" i="198"/>
  <c r="BW414" i="198"/>
  <c r="BW374" i="198"/>
  <c r="BW351" i="198"/>
  <c r="BW282" i="198"/>
  <c r="BW318" i="198"/>
  <c r="BW193" i="198"/>
  <c r="BW240" i="198"/>
  <c r="BW105" i="198"/>
  <c r="BW150" i="198"/>
  <c r="CA537" i="198"/>
  <c r="CA495" i="198"/>
  <c r="CA454" i="198"/>
  <c r="CA414" i="198"/>
  <c r="CA374" i="198"/>
  <c r="CA351" i="198"/>
  <c r="CA282" i="198"/>
  <c r="CA318" i="198"/>
  <c r="CA193" i="198"/>
  <c r="CA240" i="198"/>
  <c r="CA105" i="198"/>
  <c r="CA150" i="198"/>
  <c r="CE537" i="198"/>
  <c r="CE495" i="198"/>
  <c r="CE454" i="198"/>
  <c r="CE414" i="198"/>
  <c r="CE374" i="198"/>
  <c r="CE351" i="198"/>
  <c r="CE282" i="198"/>
  <c r="CE318" i="198"/>
  <c r="CE193" i="198"/>
  <c r="CE105" i="198"/>
  <c r="CE240" i="198"/>
  <c r="CI537" i="198"/>
  <c r="CI495" i="198"/>
  <c r="CI454" i="198"/>
  <c r="CI414" i="198"/>
  <c r="CI374" i="198"/>
  <c r="CI351" i="198"/>
  <c r="CI282" i="198"/>
  <c r="CI318" i="198"/>
  <c r="CI193" i="198"/>
  <c r="CI240" i="198"/>
  <c r="CI105" i="198"/>
  <c r="CI150" i="198"/>
  <c r="CM537" i="198"/>
  <c r="CM495" i="198"/>
  <c r="CM454" i="198"/>
  <c r="CM414" i="198"/>
  <c r="CM374" i="198"/>
  <c r="CM351" i="198"/>
  <c r="CM282" i="198"/>
  <c r="CM318" i="198"/>
  <c r="CM193" i="198"/>
  <c r="CM240" i="198"/>
  <c r="CM105" i="198"/>
  <c r="CM150" i="198"/>
  <c r="CQ537" i="198"/>
  <c r="CQ495" i="198"/>
  <c r="CQ454" i="198"/>
  <c r="CQ414" i="198"/>
  <c r="CQ374" i="198"/>
  <c r="CQ351" i="198"/>
  <c r="CQ282" i="198"/>
  <c r="CQ318" i="198"/>
  <c r="CQ193" i="198"/>
  <c r="CQ240" i="198"/>
  <c r="CQ105" i="198"/>
  <c r="CQ150" i="198"/>
  <c r="CU537" i="198"/>
  <c r="CU495" i="198"/>
  <c r="CU454" i="198"/>
  <c r="CU414" i="198"/>
  <c r="CU374" i="198"/>
  <c r="CU351" i="198"/>
  <c r="CU282" i="198"/>
  <c r="CU318" i="198"/>
  <c r="CU193" i="198"/>
  <c r="CU105" i="198"/>
  <c r="CU240" i="198"/>
  <c r="CU150" i="198"/>
  <c r="CY537" i="198"/>
  <c r="CY495" i="198"/>
  <c r="CY454" i="198"/>
  <c r="CY414" i="198"/>
  <c r="CY374" i="198"/>
  <c r="CY351" i="198"/>
  <c r="CY282" i="198"/>
  <c r="CY318" i="198"/>
  <c r="CY193" i="198"/>
  <c r="CY240" i="198"/>
  <c r="CY105" i="198"/>
  <c r="CY150" i="198"/>
  <c r="DD537" i="198"/>
  <c r="DD495" i="198"/>
  <c r="DD454" i="198"/>
  <c r="DD414" i="198"/>
  <c r="DD374" i="198"/>
  <c r="DD351" i="198"/>
  <c r="DD282" i="198"/>
  <c r="DD318" i="198"/>
  <c r="DD193" i="198"/>
  <c r="DD240" i="198"/>
  <c r="DD105" i="198"/>
  <c r="DD150" i="198"/>
  <c r="DH537" i="198"/>
  <c r="DH495" i="198"/>
  <c r="DH454" i="198"/>
  <c r="DH414" i="198"/>
  <c r="DH374" i="198"/>
  <c r="DH351" i="198"/>
  <c r="DH282" i="198"/>
  <c r="DH318" i="198"/>
  <c r="DH193" i="198"/>
  <c r="DH240" i="198"/>
  <c r="DH105" i="198"/>
  <c r="DH150" i="198"/>
  <c r="DL537" i="198"/>
  <c r="DL495" i="198"/>
  <c r="DL454" i="198"/>
  <c r="DL414" i="198"/>
  <c r="DL374" i="198"/>
  <c r="DL351" i="198"/>
  <c r="DL282" i="198"/>
  <c r="DL318" i="198"/>
  <c r="DL193" i="198"/>
  <c r="DL105" i="198"/>
  <c r="DP537" i="198"/>
  <c r="DP495" i="198"/>
  <c r="DP454" i="198"/>
  <c r="DP414" i="198"/>
  <c r="DP374" i="198"/>
  <c r="DP351" i="198"/>
  <c r="DP282" i="198"/>
  <c r="DP318" i="198"/>
  <c r="DP193" i="198"/>
  <c r="DP240" i="198"/>
  <c r="DP105" i="198"/>
  <c r="DP150" i="198"/>
  <c r="DT537" i="198"/>
  <c r="DT495" i="198"/>
  <c r="DT454" i="198"/>
  <c r="DT414" i="198"/>
  <c r="DT374" i="198"/>
  <c r="DT351" i="198"/>
  <c r="DT282" i="198"/>
  <c r="DT318" i="198"/>
  <c r="DT193" i="198"/>
  <c r="DT240" i="198"/>
  <c r="DT105" i="198"/>
  <c r="DT150" i="198"/>
  <c r="DX537" i="198"/>
  <c r="DX495" i="198"/>
  <c r="DX454" i="198"/>
  <c r="DX414" i="198"/>
  <c r="DX374" i="198"/>
  <c r="DX351" i="198"/>
  <c r="DX282" i="198"/>
  <c r="DX318" i="198"/>
  <c r="DX193" i="198"/>
  <c r="DX240" i="198"/>
  <c r="DX105" i="198"/>
  <c r="DX150" i="198"/>
  <c r="EB537" i="198"/>
  <c r="EB495" i="198"/>
  <c r="EB454" i="198"/>
  <c r="EB414" i="198"/>
  <c r="EB374" i="198"/>
  <c r="EB351" i="198"/>
  <c r="EB282" i="198"/>
  <c r="EB318" i="198"/>
  <c r="EB193" i="198"/>
  <c r="EB105" i="198"/>
  <c r="EB240" i="198"/>
  <c r="EB150" i="198"/>
  <c r="EF537" i="198"/>
  <c r="EF495" i="198"/>
  <c r="EF454" i="198"/>
  <c r="EF414" i="198"/>
  <c r="EF374" i="198"/>
  <c r="EF351" i="198"/>
  <c r="EF282" i="198"/>
  <c r="EF318" i="198"/>
  <c r="EF193" i="198"/>
  <c r="EF240" i="198"/>
  <c r="EF105" i="198"/>
  <c r="EF150" i="198"/>
  <c r="EJ537" i="198"/>
  <c r="EJ495" i="198"/>
  <c r="EJ454" i="198"/>
  <c r="EJ414" i="198"/>
  <c r="EJ374" i="198"/>
  <c r="EJ351" i="198"/>
  <c r="EJ282" i="198"/>
  <c r="EJ318" i="198"/>
  <c r="EJ193" i="198"/>
  <c r="EJ240" i="198"/>
  <c r="EJ105" i="198"/>
  <c r="EJ150" i="198"/>
  <c r="E538" i="198"/>
  <c r="E496" i="198"/>
  <c r="E455" i="198"/>
  <c r="E415" i="198"/>
  <c r="E375" i="198"/>
  <c r="E352" i="198"/>
  <c r="E283" i="198"/>
  <c r="E319" i="198"/>
  <c r="E194" i="198"/>
  <c r="E241" i="198"/>
  <c r="E106" i="198"/>
  <c r="E151" i="198"/>
  <c r="I538" i="198"/>
  <c r="I496" i="198"/>
  <c r="I455" i="198"/>
  <c r="I415" i="198"/>
  <c r="I375" i="198"/>
  <c r="I352" i="198"/>
  <c r="I283" i="198"/>
  <c r="I319" i="198"/>
  <c r="I194" i="198"/>
  <c r="I106" i="198"/>
  <c r="I241" i="198"/>
  <c r="M538" i="198"/>
  <c r="M496" i="198"/>
  <c r="M455" i="198"/>
  <c r="M415" i="198"/>
  <c r="M375" i="198"/>
  <c r="M352" i="198"/>
  <c r="M283" i="198"/>
  <c r="M319" i="198"/>
  <c r="M194" i="198"/>
  <c r="M241" i="198"/>
  <c r="M106" i="198"/>
  <c r="M151" i="198"/>
  <c r="Q538" i="198"/>
  <c r="Q496" i="198"/>
  <c r="Q455" i="198"/>
  <c r="Q415" i="198"/>
  <c r="Q375" i="198"/>
  <c r="Q352" i="198"/>
  <c r="Q283" i="198"/>
  <c r="Q319" i="198"/>
  <c r="Q194" i="198"/>
  <c r="Q241" i="198"/>
  <c r="Q106" i="198"/>
  <c r="Q151" i="198"/>
  <c r="U538" i="198"/>
  <c r="U496" i="198"/>
  <c r="U455" i="198"/>
  <c r="U415" i="198"/>
  <c r="U375" i="198"/>
  <c r="U352" i="198"/>
  <c r="U283" i="198"/>
  <c r="U319" i="198"/>
  <c r="U194" i="198"/>
  <c r="U241" i="198"/>
  <c r="U106" i="198"/>
  <c r="U151" i="198"/>
  <c r="Y538" i="198"/>
  <c r="Y496" i="198"/>
  <c r="Y455" i="198"/>
  <c r="Y415" i="198"/>
  <c r="Y375" i="198"/>
  <c r="Y352" i="198"/>
  <c r="Y283" i="198"/>
  <c r="Y319" i="198"/>
  <c r="Y194" i="198"/>
  <c r="Y106" i="198"/>
  <c r="Y241" i="198"/>
  <c r="Y151" i="198"/>
  <c r="AC538" i="198"/>
  <c r="AC496" i="198"/>
  <c r="AC455" i="198"/>
  <c r="AC415" i="198"/>
  <c r="AC375" i="198"/>
  <c r="AC352" i="198"/>
  <c r="AC283" i="198"/>
  <c r="AC319" i="198"/>
  <c r="AC194" i="198"/>
  <c r="AC241" i="198"/>
  <c r="AC106" i="198"/>
  <c r="AC151" i="198"/>
  <c r="AG538" i="198"/>
  <c r="AG496" i="198"/>
  <c r="AG455" i="198"/>
  <c r="AG415" i="198"/>
  <c r="AG375" i="198"/>
  <c r="AG352" i="198"/>
  <c r="AG283" i="198"/>
  <c r="AG319" i="198"/>
  <c r="AG194" i="198"/>
  <c r="AG241" i="198"/>
  <c r="AG106" i="198"/>
  <c r="AG151" i="198"/>
  <c r="AK538" i="198"/>
  <c r="AK496" i="198"/>
  <c r="AK455" i="198"/>
  <c r="AK415" i="198"/>
  <c r="AK375" i="198"/>
  <c r="AK352" i="198"/>
  <c r="AK283" i="198"/>
  <c r="AK319" i="198"/>
  <c r="AK194" i="198"/>
  <c r="AK241" i="198"/>
  <c r="AK106" i="198"/>
  <c r="AK151" i="198"/>
  <c r="AO538" i="198"/>
  <c r="AO496" i="198"/>
  <c r="AO455" i="198"/>
  <c r="AO415" i="198"/>
  <c r="AO375" i="198"/>
  <c r="AO352" i="198"/>
  <c r="AO283" i="198"/>
  <c r="AO319" i="198"/>
  <c r="AO194" i="198"/>
  <c r="AO106" i="198"/>
  <c r="AO241" i="198"/>
  <c r="AS538" i="198"/>
  <c r="AS496" i="198"/>
  <c r="AS455" i="198"/>
  <c r="AS415" i="198"/>
  <c r="AS375" i="198"/>
  <c r="AS352" i="198"/>
  <c r="AS283" i="198"/>
  <c r="AS319" i="198"/>
  <c r="AS194" i="198"/>
  <c r="AS241" i="198"/>
  <c r="AS106" i="198"/>
  <c r="AS151" i="198"/>
  <c r="AW538" i="198"/>
  <c r="AW496" i="198"/>
  <c r="AW455" i="198"/>
  <c r="AW415" i="198"/>
  <c r="AW375" i="198"/>
  <c r="AW352" i="198"/>
  <c r="AW283" i="198"/>
  <c r="AW319" i="198"/>
  <c r="AW194" i="198"/>
  <c r="AW241" i="198"/>
  <c r="AW106" i="198"/>
  <c r="AW151" i="198"/>
  <c r="BA538" i="198"/>
  <c r="BA496" i="198"/>
  <c r="BA455" i="198"/>
  <c r="BA415" i="198"/>
  <c r="BA375" i="198"/>
  <c r="BA352" i="198"/>
  <c r="BA283" i="198"/>
  <c r="BA319" i="198"/>
  <c r="BA194" i="198"/>
  <c r="BA241" i="198"/>
  <c r="BA106" i="198"/>
  <c r="BA151" i="198"/>
  <c r="BE538" i="198"/>
  <c r="BE496" i="198"/>
  <c r="BE455" i="198"/>
  <c r="BE415" i="198"/>
  <c r="BE375" i="198"/>
  <c r="BE352" i="198"/>
  <c r="BE283" i="198"/>
  <c r="BE319" i="198"/>
  <c r="BE194" i="198"/>
  <c r="BE106" i="198"/>
  <c r="BE241" i="198"/>
  <c r="BE151" i="198"/>
  <c r="BI538" i="198"/>
  <c r="BI496" i="198"/>
  <c r="BI455" i="198"/>
  <c r="BI415" i="198"/>
  <c r="BI375" i="198"/>
  <c r="BI352" i="198"/>
  <c r="BI283" i="198"/>
  <c r="BI319" i="198"/>
  <c r="BI194" i="198"/>
  <c r="BI241" i="198"/>
  <c r="BI106" i="198"/>
  <c r="BI151" i="198"/>
  <c r="BM538" i="198"/>
  <c r="BM496" i="198"/>
  <c r="BM455" i="198"/>
  <c r="BM415" i="198"/>
  <c r="BM375" i="198"/>
  <c r="BM352" i="198"/>
  <c r="BM283" i="198"/>
  <c r="BM319" i="198"/>
  <c r="BM194" i="198"/>
  <c r="BM241" i="198"/>
  <c r="BM106" i="198"/>
  <c r="BM151" i="198"/>
  <c r="BQ538" i="198"/>
  <c r="BQ496" i="198"/>
  <c r="BQ455" i="198"/>
  <c r="BQ415" i="198"/>
  <c r="BQ375" i="198"/>
  <c r="BQ352" i="198"/>
  <c r="BQ283" i="198"/>
  <c r="BQ319" i="198"/>
  <c r="BQ194" i="198"/>
  <c r="BQ241" i="198"/>
  <c r="BQ106" i="198"/>
  <c r="BQ151" i="198"/>
  <c r="BU538" i="198"/>
  <c r="BU496" i="198"/>
  <c r="BU455" i="198"/>
  <c r="BU415" i="198"/>
  <c r="BU375" i="198"/>
  <c r="BU352" i="198"/>
  <c r="BU283" i="198"/>
  <c r="BU319" i="198"/>
  <c r="BU194" i="198"/>
  <c r="BU106" i="198"/>
  <c r="BU241" i="198"/>
  <c r="BY538" i="198"/>
  <c r="BY496" i="198"/>
  <c r="BY455" i="198"/>
  <c r="BY415" i="198"/>
  <c r="BY375" i="198"/>
  <c r="BY352" i="198"/>
  <c r="BY283" i="198"/>
  <c r="BY319" i="198"/>
  <c r="BY194" i="198"/>
  <c r="BY241" i="198"/>
  <c r="BY106" i="198"/>
  <c r="BY151" i="198"/>
  <c r="CC538" i="198"/>
  <c r="CC496" i="198"/>
  <c r="CC455" i="198"/>
  <c r="CC415" i="198"/>
  <c r="CC375" i="198"/>
  <c r="CC352" i="198"/>
  <c r="CC283" i="198"/>
  <c r="CC319" i="198"/>
  <c r="CC194" i="198"/>
  <c r="CC241" i="198"/>
  <c r="CC106" i="198"/>
  <c r="CC151" i="198"/>
  <c r="CG538" i="198"/>
  <c r="CG496" i="198"/>
  <c r="CG455" i="198"/>
  <c r="CG415" i="198"/>
  <c r="CG375" i="198"/>
  <c r="CG352" i="198"/>
  <c r="CG283" i="198"/>
  <c r="CG319" i="198"/>
  <c r="CG194" i="198"/>
  <c r="CG241" i="198"/>
  <c r="CG106" i="198"/>
  <c r="CG151" i="198"/>
  <c r="CK538" i="198"/>
  <c r="CK496" i="198"/>
  <c r="CK455" i="198"/>
  <c r="CK415" i="198"/>
  <c r="CK375" i="198"/>
  <c r="CK352" i="198"/>
  <c r="CK283" i="198"/>
  <c r="CK319" i="198"/>
  <c r="CK194" i="198"/>
  <c r="CK106" i="198"/>
  <c r="CK241" i="198"/>
  <c r="CK151" i="198"/>
  <c r="CO538" i="198"/>
  <c r="CO496" i="198"/>
  <c r="CO455" i="198"/>
  <c r="CO415" i="198"/>
  <c r="CO375" i="198"/>
  <c r="CO352" i="198"/>
  <c r="CO283" i="198"/>
  <c r="CO319" i="198"/>
  <c r="CO194" i="198"/>
  <c r="CO241" i="198"/>
  <c r="CO106" i="198"/>
  <c r="CO151" i="198"/>
  <c r="CS538" i="198"/>
  <c r="CS496" i="198"/>
  <c r="CS455" i="198"/>
  <c r="CS415" i="198"/>
  <c r="CS375" i="198"/>
  <c r="CS352" i="198"/>
  <c r="CS283" i="198"/>
  <c r="CS319" i="198"/>
  <c r="CS194" i="198"/>
  <c r="CS241" i="198"/>
  <c r="CS106" i="198"/>
  <c r="CS151" i="198"/>
  <c r="CW538" i="198"/>
  <c r="CW455" i="198"/>
  <c r="CW496" i="198"/>
  <c r="CW415" i="198"/>
  <c r="CW375" i="198"/>
  <c r="CW352" i="198"/>
  <c r="CW283" i="198"/>
  <c r="CW319" i="198"/>
  <c r="CW194" i="198"/>
  <c r="CW241" i="198"/>
  <c r="CW106" i="198"/>
  <c r="CW151" i="198"/>
  <c r="DA538" i="198"/>
  <c r="DA496" i="198"/>
  <c r="DA455" i="198"/>
  <c r="DA415" i="198"/>
  <c r="DA375" i="198"/>
  <c r="DA352" i="198"/>
  <c r="DA283" i="198"/>
  <c r="DA319" i="198"/>
  <c r="DA194" i="198"/>
  <c r="DA106" i="198"/>
  <c r="DA241" i="198"/>
  <c r="DF538" i="198"/>
  <c r="DF455" i="198"/>
  <c r="DF496" i="198"/>
  <c r="DF415" i="198"/>
  <c r="DF375" i="198"/>
  <c r="DF352" i="198"/>
  <c r="DF283" i="198"/>
  <c r="DF319" i="198"/>
  <c r="DF194" i="198"/>
  <c r="DF241" i="198"/>
  <c r="DF106" i="198"/>
  <c r="DF151" i="198"/>
  <c r="DJ538" i="198"/>
  <c r="DJ496" i="198"/>
  <c r="DJ455" i="198"/>
  <c r="DJ415" i="198"/>
  <c r="DJ375" i="198"/>
  <c r="DJ352" i="198"/>
  <c r="DJ283" i="198"/>
  <c r="DJ319" i="198"/>
  <c r="DJ194" i="198"/>
  <c r="DJ241" i="198"/>
  <c r="DJ106" i="198"/>
  <c r="DJ151" i="198"/>
  <c r="DN538" i="198"/>
  <c r="DN455" i="198"/>
  <c r="DN496" i="198"/>
  <c r="DN415" i="198"/>
  <c r="DN375" i="198"/>
  <c r="DN352" i="198"/>
  <c r="DN283" i="198"/>
  <c r="DN319" i="198"/>
  <c r="DN194" i="198"/>
  <c r="DN241" i="198"/>
  <c r="DN106" i="198"/>
  <c r="DN151" i="198"/>
  <c r="DR538" i="198"/>
  <c r="DR496" i="198"/>
  <c r="DR455" i="198"/>
  <c r="DR415" i="198"/>
  <c r="DR375" i="198"/>
  <c r="DR352" i="198"/>
  <c r="DR283" i="198"/>
  <c r="DR319" i="198"/>
  <c r="DR194" i="198"/>
  <c r="DR106" i="198"/>
  <c r="DR241" i="198"/>
  <c r="DR151" i="198"/>
  <c r="DV538" i="198"/>
  <c r="DV455" i="198"/>
  <c r="DV496" i="198"/>
  <c r="DV415" i="198"/>
  <c r="DV375" i="198"/>
  <c r="DV352" i="198"/>
  <c r="DV283" i="198"/>
  <c r="DV319" i="198"/>
  <c r="DV194" i="198"/>
  <c r="DV241" i="198"/>
  <c r="DV106" i="198"/>
  <c r="DV151" i="198"/>
  <c r="DZ538" i="198"/>
  <c r="DZ496" i="198"/>
  <c r="DZ455" i="198"/>
  <c r="DZ415" i="198"/>
  <c r="DZ375" i="198"/>
  <c r="DZ352" i="198"/>
  <c r="DZ283" i="198"/>
  <c r="DZ319" i="198"/>
  <c r="DZ194" i="198"/>
  <c r="DZ241" i="198"/>
  <c r="DZ106" i="198"/>
  <c r="DZ151" i="198"/>
  <c r="ED538" i="198"/>
  <c r="ED455" i="198"/>
  <c r="ED496" i="198"/>
  <c r="ED415" i="198"/>
  <c r="ED375" i="198"/>
  <c r="ED352" i="198"/>
  <c r="ED283" i="198"/>
  <c r="ED319" i="198"/>
  <c r="ED194" i="198"/>
  <c r="ED241" i="198"/>
  <c r="ED106" i="198"/>
  <c r="ED151" i="198"/>
  <c r="EH538" i="198"/>
  <c r="EH496" i="198"/>
  <c r="EH455" i="198"/>
  <c r="EH415" i="198"/>
  <c r="EH375" i="198"/>
  <c r="EH352" i="198"/>
  <c r="EH283" i="198"/>
  <c r="EH319" i="198"/>
  <c r="EH194" i="198"/>
  <c r="EH106" i="198"/>
  <c r="EH241" i="198"/>
  <c r="EL538" i="198"/>
  <c r="EL455" i="198"/>
  <c r="EL496" i="198"/>
  <c r="EL415" i="198"/>
  <c r="EL375" i="198"/>
  <c r="EL352" i="198"/>
  <c r="EL283" i="198"/>
  <c r="EL319" i="198"/>
  <c r="EL194" i="198"/>
  <c r="EL241" i="198"/>
  <c r="EL106" i="198"/>
  <c r="EL151" i="198"/>
  <c r="AR28" i="198"/>
  <c r="AZ28" i="198"/>
  <c r="BH28" i="198"/>
  <c r="BP28" i="198"/>
  <c r="BX28" i="198"/>
  <c r="CF28" i="198"/>
  <c r="CN28" i="198"/>
  <c r="CR28" i="198"/>
  <c r="DX28" i="198"/>
  <c r="EB28" i="198"/>
  <c r="CN10" i="198"/>
  <c r="CR10" i="198"/>
  <c r="DX10" i="198"/>
  <c r="DX22" i="198" s="1"/>
  <c r="EB10" i="198"/>
  <c r="EB22" i="198" s="1"/>
  <c r="DY19" i="198"/>
  <c r="DE19" i="198"/>
  <c r="DI19" i="198"/>
  <c r="DM19" i="198"/>
  <c r="DQ19" i="198"/>
  <c r="DU19" i="198"/>
  <c r="CQ19" i="198"/>
  <c r="B15" i="198"/>
  <c r="B19" i="198"/>
  <c r="D15" i="198"/>
  <c r="D19" i="198"/>
  <c r="F15" i="198"/>
  <c r="F19" i="198"/>
  <c r="H15" i="198"/>
  <c r="DG19" i="198"/>
  <c r="DO19" i="198"/>
  <c r="DW19" i="198"/>
  <c r="BL28" i="198"/>
  <c r="CO28" i="198"/>
  <c r="EM56" i="198"/>
  <c r="O57" i="198"/>
  <c r="AE57" i="198"/>
  <c r="AU57" i="198"/>
  <c r="BK57" i="198"/>
  <c r="CA57" i="198"/>
  <c r="CQ57" i="198"/>
  <c r="DH57" i="198"/>
  <c r="DX57" i="198"/>
  <c r="E58" i="198"/>
  <c r="U58" i="198"/>
  <c r="AK58" i="198"/>
  <c r="BA58" i="198"/>
  <c r="BQ58" i="198"/>
  <c r="CG58" i="198"/>
  <c r="CW58" i="198"/>
  <c r="DN58" i="198"/>
  <c r="ED58" i="198"/>
  <c r="BG105" i="198"/>
  <c r="AY150" i="198"/>
  <c r="AO151" i="198"/>
  <c r="EL537" i="198"/>
  <c r="EL495" i="198"/>
  <c r="EL454" i="198"/>
  <c r="EL414" i="198"/>
  <c r="EL351" i="198"/>
  <c r="EL374" i="198"/>
  <c r="EL318" i="198"/>
  <c r="EL282" i="198"/>
  <c r="EL240" i="198"/>
  <c r="EL193" i="198"/>
  <c r="EL150" i="198"/>
  <c r="EL105" i="198"/>
  <c r="EL57" i="198"/>
  <c r="E536" i="198"/>
  <c r="E494" i="198"/>
  <c r="E453" i="198"/>
  <c r="E413" i="198"/>
  <c r="E350" i="198"/>
  <c r="E373" i="198"/>
  <c r="E317" i="198"/>
  <c r="E281" i="198"/>
  <c r="E239" i="198"/>
  <c r="E149" i="198"/>
  <c r="E192" i="198"/>
  <c r="E56" i="198"/>
  <c r="E104" i="198"/>
  <c r="I536" i="198"/>
  <c r="I494" i="198"/>
  <c r="I453" i="198"/>
  <c r="I413" i="198"/>
  <c r="I350" i="198"/>
  <c r="I373" i="198"/>
  <c r="I317" i="198"/>
  <c r="I281" i="198"/>
  <c r="I239" i="198"/>
  <c r="I149" i="198"/>
  <c r="I192" i="198"/>
  <c r="I104" i="198"/>
  <c r="I56" i="198"/>
  <c r="M536" i="198"/>
  <c r="M494" i="198"/>
  <c r="M453" i="198"/>
  <c r="M350" i="198"/>
  <c r="M413" i="198"/>
  <c r="M373" i="198"/>
  <c r="M317" i="198"/>
  <c r="M281" i="198"/>
  <c r="M239" i="198"/>
  <c r="M192" i="198"/>
  <c r="M149" i="198"/>
  <c r="M104" i="198"/>
  <c r="M56" i="198"/>
  <c r="Q536" i="198"/>
  <c r="Q494" i="198"/>
  <c r="Q453" i="198"/>
  <c r="Q413" i="198"/>
  <c r="Q350" i="198"/>
  <c r="Q373" i="198"/>
  <c r="Q317" i="198"/>
  <c r="Q281" i="198"/>
  <c r="Q239" i="198"/>
  <c r="Q192" i="198"/>
  <c r="Q149" i="198"/>
  <c r="Q56" i="198"/>
  <c r="U536" i="198"/>
  <c r="U494" i="198"/>
  <c r="U453" i="198"/>
  <c r="U413" i="198"/>
  <c r="U350" i="198"/>
  <c r="U373" i="198"/>
  <c r="U317" i="198"/>
  <c r="U281" i="198"/>
  <c r="U239" i="198"/>
  <c r="U149" i="198"/>
  <c r="U104" i="198"/>
  <c r="U56" i="198"/>
  <c r="U192" i="198"/>
  <c r="Y536" i="198"/>
  <c r="Y494" i="198"/>
  <c r="Y453" i="198"/>
  <c r="Y413" i="198"/>
  <c r="Y350" i="198"/>
  <c r="Y373" i="198"/>
  <c r="Y317" i="198"/>
  <c r="Y281" i="198"/>
  <c r="Y239" i="198"/>
  <c r="Y149" i="198"/>
  <c r="Y192" i="198"/>
  <c r="Y104" i="198"/>
  <c r="Y56" i="198"/>
  <c r="AC536" i="198"/>
  <c r="AC494" i="198"/>
  <c r="AC453" i="198"/>
  <c r="AC350" i="198"/>
  <c r="AC413" i="198"/>
  <c r="AC373" i="198"/>
  <c r="AC317" i="198"/>
  <c r="AC281" i="198"/>
  <c r="AC239" i="198"/>
  <c r="AC192" i="198"/>
  <c r="AC149" i="198"/>
  <c r="AC104" i="198"/>
  <c r="AC56" i="198"/>
  <c r="AG536" i="198"/>
  <c r="AG494" i="198"/>
  <c r="AG453" i="198"/>
  <c r="AG413" i="198"/>
  <c r="AG350" i="198"/>
  <c r="AG373" i="198"/>
  <c r="AG317" i="198"/>
  <c r="AG281" i="198"/>
  <c r="AG239" i="198"/>
  <c r="AG192" i="198"/>
  <c r="AG149" i="198"/>
  <c r="AG104" i="198"/>
  <c r="AG56" i="198"/>
  <c r="AK536" i="198"/>
  <c r="AK494" i="198"/>
  <c r="AK453" i="198"/>
  <c r="AK413" i="198"/>
  <c r="AK350" i="198"/>
  <c r="AK373" i="198"/>
  <c r="AK317" i="198"/>
  <c r="AK281" i="198"/>
  <c r="AK239" i="198"/>
  <c r="AK192" i="198"/>
  <c r="AK149" i="198"/>
  <c r="AK56" i="198"/>
  <c r="AK104" i="198"/>
  <c r="AO536" i="198"/>
  <c r="AO494" i="198"/>
  <c r="AO453" i="198"/>
  <c r="AO413" i="198"/>
  <c r="AO350" i="198"/>
  <c r="AO373" i="198"/>
  <c r="AO317" i="198"/>
  <c r="AO281" i="198"/>
  <c r="AO239" i="198"/>
  <c r="AO149" i="198"/>
  <c r="AO192" i="198"/>
  <c r="AO104" i="198"/>
  <c r="AO56" i="198"/>
  <c r="AS536" i="198"/>
  <c r="AS494" i="198"/>
  <c r="AS453" i="198"/>
  <c r="AS350" i="198"/>
  <c r="AS413" i="198"/>
  <c r="AS373" i="198"/>
  <c r="AS317" i="198"/>
  <c r="AS281" i="198"/>
  <c r="AS239" i="198"/>
  <c r="AS149" i="198"/>
  <c r="AS104" i="198"/>
  <c r="AS192" i="198"/>
  <c r="AS56" i="198"/>
  <c r="AW536" i="198"/>
  <c r="AW494" i="198"/>
  <c r="AW453" i="198"/>
  <c r="AW413" i="198"/>
  <c r="AW350" i="198"/>
  <c r="AW373" i="198"/>
  <c r="AW317" i="198"/>
  <c r="AW281" i="198"/>
  <c r="AW239" i="198"/>
  <c r="AW192" i="198"/>
  <c r="AW149" i="198"/>
  <c r="AW56" i="198"/>
  <c r="BA536" i="198"/>
  <c r="BA494" i="198"/>
  <c r="BA453" i="198"/>
  <c r="BA413" i="198"/>
  <c r="BA350" i="198"/>
  <c r="BA373" i="198"/>
  <c r="BA317" i="198"/>
  <c r="BA281" i="198"/>
  <c r="BA239" i="198"/>
  <c r="BA192" i="198"/>
  <c r="BA149" i="198"/>
  <c r="BA104" i="198"/>
  <c r="BA56" i="198"/>
  <c r="BE536" i="198"/>
  <c r="BE494" i="198"/>
  <c r="BE453" i="198"/>
  <c r="BE413" i="198"/>
  <c r="BE350" i="198"/>
  <c r="BE373" i="198"/>
  <c r="BE317" i="198"/>
  <c r="BE281" i="198"/>
  <c r="BE239" i="198"/>
  <c r="BE149" i="198"/>
  <c r="BE192" i="198"/>
  <c r="BE104" i="198"/>
  <c r="BE56" i="198"/>
  <c r="BI536" i="198"/>
  <c r="BI494" i="198"/>
  <c r="BI453" i="198"/>
  <c r="BI350" i="198"/>
  <c r="BI413" i="198"/>
  <c r="BI373" i="198"/>
  <c r="BI317" i="198"/>
  <c r="BI281" i="198"/>
  <c r="BI239" i="198"/>
  <c r="BI149" i="198"/>
  <c r="BI104" i="198"/>
  <c r="BI56" i="198"/>
  <c r="BM536" i="198"/>
  <c r="BM494" i="198"/>
  <c r="BM453" i="198"/>
  <c r="BM413" i="198"/>
  <c r="BM350" i="198"/>
  <c r="BM373" i="198"/>
  <c r="BM317" i="198"/>
  <c r="BM281" i="198"/>
  <c r="BM239" i="198"/>
  <c r="BM192" i="198"/>
  <c r="BM149" i="198"/>
  <c r="BM104" i="198"/>
  <c r="BM56" i="198"/>
  <c r="BQ536" i="198"/>
  <c r="BQ494" i="198"/>
  <c r="BQ453" i="198"/>
  <c r="BQ413" i="198"/>
  <c r="BQ350" i="198"/>
  <c r="BQ373" i="198"/>
  <c r="BQ317" i="198"/>
  <c r="BQ281" i="198"/>
  <c r="BQ239" i="198"/>
  <c r="BQ192" i="198"/>
  <c r="BQ149" i="198"/>
  <c r="BQ56" i="198"/>
  <c r="BQ104" i="198"/>
  <c r="BU536" i="198"/>
  <c r="BU494" i="198"/>
  <c r="BU453" i="198"/>
  <c r="BU413" i="198"/>
  <c r="BU350" i="198"/>
  <c r="BU373" i="198"/>
  <c r="BU317" i="198"/>
  <c r="BU281" i="198"/>
  <c r="BU239" i="198"/>
  <c r="BU149" i="198"/>
  <c r="BU192" i="198"/>
  <c r="BU104" i="198"/>
  <c r="BU56" i="198"/>
  <c r="BY536" i="198"/>
  <c r="BY494" i="198"/>
  <c r="BY453" i="198"/>
  <c r="BY413" i="198"/>
  <c r="BY350" i="198"/>
  <c r="BY373" i="198"/>
  <c r="BY317" i="198"/>
  <c r="BY281" i="198"/>
  <c r="BY239" i="198"/>
  <c r="BY149" i="198"/>
  <c r="BY192" i="198"/>
  <c r="BY104" i="198"/>
  <c r="BY56" i="198"/>
  <c r="CC536" i="198"/>
  <c r="CC494" i="198"/>
  <c r="CC453" i="198"/>
  <c r="CC413" i="198"/>
  <c r="CC350" i="198"/>
  <c r="CC373" i="198"/>
  <c r="CC317" i="198"/>
  <c r="CC281" i="198"/>
  <c r="CC239" i="198"/>
  <c r="CC192" i="198"/>
  <c r="CC149" i="198"/>
  <c r="CC104" i="198"/>
  <c r="CC56" i="198"/>
  <c r="CG536" i="198"/>
  <c r="CG494" i="198"/>
  <c r="CG453" i="198"/>
  <c r="CG413" i="198"/>
  <c r="CG350" i="198"/>
  <c r="CG373" i="198"/>
  <c r="CG317" i="198"/>
  <c r="CG281" i="198"/>
  <c r="CG239" i="198"/>
  <c r="CG192" i="198"/>
  <c r="CG149" i="198"/>
  <c r="CG56" i="198"/>
  <c r="CK536" i="198"/>
  <c r="CK494" i="198"/>
  <c r="CK453" i="198"/>
  <c r="CK413" i="198"/>
  <c r="CK350" i="198"/>
  <c r="CK373" i="198"/>
  <c r="CK317" i="198"/>
  <c r="CK281" i="198"/>
  <c r="CK239" i="198"/>
  <c r="CK149" i="198"/>
  <c r="CK192" i="198"/>
  <c r="CK104" i="198"/>
  <c r="CK56" i="198"/>
  <c r="CO536" i="198"/>
  <c r="CO494" i="198"/>
  <c r="CO453" i="198"/>
  <c r="CO413" i="198"/>
  <c r="CO350" i="198"/>
  <c r="CO373" i="198"/>
  <c r="CO317" i="198"/>
  <c r="CO281" i="198"/>
  <c r="CO239" i="198"/>
  <c r="CO149" i="198"/>
  <c r="CO192" i="198"/>
  <c r="CO104" i="198"/>
  <c r="CO56" i="198"/>
  <c r="CS536" i="198"/>
  <c r="CS494" i="198"/>
  <c r="CS453" i="198"/>
  <c r="CS413" i="198"/>
  <c r="CS350" i="198"/>
  <c r="CS373" i="198"/>
  <c r="CS317" i="198"/>
  <c r="CS281" i="198"/>
  <c r="CS239" i="198"/>
  <c r="CS192" i="198"/>
  <c r="CS149" i="198"/>
  <c r="CS104" i="198"/>
  <c r="CS56" i="198"/>
  <c r="CW536" i="198"/>
  <c r="CW494" i="198"/>
  <c r="CW453" i="198"/>
  <c r="CW413" i="198"/>
  <c r="CW350" i="198"/>
  <c r="CW373" i="198"/>
  <c r="CW317" i="198"/>
  <c r="CW281" i="198"/>
  <c r="CW239" i="198"/>
  <c r="CW192" i="198"/>
  <c r="CW149" i="198"/>
  <c r="CW56" i="198"/>
  <c r="DA536" i="198"/>
  <c r="DA494" i="198"/>
  <c r="DA453" i="198"/>
  <c r="DA413" i="198"/>
  <c r="DA350" i="198"/>
  <c r="DA373" i="198"/>
  <c r="DA317" i="198"/>
  <c r="DA281" i="198"/>
  <c r="DA239" i="198"/>
  <c r="DA149" i="198"/>
  <c r="DA192" i="198"/>
  <c r="DA104" i="198"/>
  <c r="DA56" i="198"/>
  <c r="DF536" i="198"/>
  <c r="DF494" i="198"/>
  <c r="DF453" i="198"/>
  <c r="DF413" i="198"/>
  <c r="DF350" i="198"/>
  <c r="DF373" i="198"/>
  <c r="DF317" i="198"/>
  <c r="DF281" i="198"/>
  <c r="DF239" i="198"/>
  <c r="DF149" i="198"/>
  <c r="DF192" i="198"/>
  <c r="DF104" i="198"/>
  <c r="DF56" i="198"/>
  <c r="DJ536" i="198"/>
  <c r="DJ494" i="198"/>
  <c r="DJ453" i="198"/>
  <c r="DJ413" i="198"/>
  <c r="DJ350" i="198"/>
  <c r="DJ373" i="198"/>
  <c r="DJ317" i="198"/>
  <c r="DJ281" i="198"/>
  <c r="DJ239" i="198"/>
  <c r="DJ192" i="198"/>
  <c r="DJ149" i="198"/>
  <c r="DJ104" i="198"/>
  <c r="DJ56" i="198"/>
  <c r="DN536" i="198"/>
  <c r="DN494" i="198"/>
  <c r="DN453" i="198"/>
  <c r="DN413" i="198"/>
  <c r="DN350" i="198"/>
  <c r="DN373" i="198"/>
  <c r="DN317" i="198"/>
  <c r="DN281" i="198"/>
  <c r="DN239" i="198"/>
  <c r="DN192" i="198"/>
  <c r="DN149" i="198"/>
  <c r="DN56" i="198"/>
  <c r="DR536" i="198"/>
  <c r="DR494" i="198"/>
  <c r="DR453" i="198"/>
  <c r="DR413" i="198"/>
  <c r="DR350" i="198"/>
  <c r="DR373" i="198"/>
  <c r="DR317" i="198"/>
  <c r="DR281" i="198"/>
  <c r="DR239" i="198"/>
  <c r="DR149" i="198"/>
  <c r="DR192" i="198"/>
  <c r="DR104" i="198"/>
  <c r="DR56" i="198"/>
  <c r="DV536" i="198"/>
  <c r="DV494" i="198"/>
  <c r="DV453" i="198"/>
  <c r="DV413" i="198"/>
  <c r="DV350" i="198"/>
  <c r="DV373" i="198"/>
  <c r="DV317" i="198"/>
  <c r="DV281" i="198"/>
  <c r="DV239" i="198"/>
  <c r="DV149" i="198"/>
  <c r="DV104" i="198"/>
  <c r="DV192" i="198"/>
  <c r="DV56" i="198"/>
  <c r="DZ536" i="198"/>
  <c r="DZ494" i="198"/>
  <c r="DZ453" i="198"/>
  <c r="DZ413" i="198"/>
  <c r="DZ350" i="198"/>
  <c r="DZ373" i="198"/>
  <c r="DZ317" i="198"/>
  <c r="DZ281" i="198"/>
  <c r="DZ239" i="198"/>
  <c r="DZ192" i="198"/>
  <c r="DZ149" i="198"/>
  <c r="DZ104" i="198"/>
  <c r="DZ56" i="198"/>
  <c r="ED536" i="198"/>
  <c r="ED494" i="198"/>
  <c r="ED453" i="198"/>
  <c r="ED413" i="198"/>
  <c r="ED350" i="198"/>
  <c r="ED373" i="198"/>
  <c r="ED317" i="198"/>
  <c r="ED281" i="198"/>
  <c r="ED239" i="198"/>
  <c r="ED192" i="198"/>
  <c r="ED149" i="198"/>
  <c r="ED56" i="198"/>
  <c r="EH536" i="198"/>
  <c r="EH494" i="198"/>
  <c r="EH453" i="198"/>
  <c r="EH413" i="198"/>
  <c r="EH350" i="198"/>
  <c r="EH373" i="198"/>
  <c r="EH317" i="198"/>
  <c r="EH281" i="198"/>
  <c r="EH239" i="198"/>
  <c r="EH149" i="198"/>
  <c r="EH192" i="198"/>
  <c r="EH104" i="198"/>
  <c r="EH56" i="198"/>
  <c r="B538" i="198"/>
  <c r="B496" i="198"/>
  <c r="B455" i="198"/>
  <c r="B415" i="198"/>
  <c r="B352" i="198"/>
  <c r="B375" i="198"/>
  <c r="B319" i="198"/>
  <c r="B283" i="198"/>
  <c r="B241" i="198"/>
  <c r="B151" i="198"/>
  <c r="B194" i="198"/>
  <c r="B106" i="198"/>
  <c r="B58" i="198"/>
  <c r="F538" i="198"/>
  <c r="F496" i="198"/>
  <c r="F455" i="198"/>
  <c r="F415" i="198"/>
  <c r="F352" i="198"/>
  <c r="F375" i="198"/>
  <c r="F319" i="198"/>
  <c r="F283" i="198"/>
  <c r="F241" i="198"/>
  <c r="F194" i="198"/>
  <c r="F151" i="198"/>
  <c r="F106" i="198"/>
  <c r="F58" i="198"/>
  <c r="J538" i="198"/>
  <c r="J496" i="198"/>
  <c r="J455" i="198"/>
  <c r="J415" i="198"/>
  <c r="J352" i="198"/>
  <c r="J375" i="198"/>
  <c r="J319" i="198"/>
  <c r="J283" i="198"/>
  <c r="J241" i="198"/>
  <c r="J194" i="198"/>
  <c r="J151" i="198"/>
  <c r="J58" i="198"/>
  <c r="N538" i="198"/>
  <c r="N496" i="198"/>
  <c r="N455" i="198"/>
  <c r="N415" i="198"/>
  <c r="N352" i="198"/>
  <c r="N375" i="198"/>
  <c r="N319" i="198"/>
  <c r="N283" i="198"/>
  <c r="N241" i="198"/>
  <c r="N151" i="198"/>
  <c r="N194" i="198"/>
  <c r="N106" i="198"/>
  <c r="N58" i="198"/>
  <c r="R538" i="198"/>
  <c r="R496" i="198"/>
  <c r="R455" i="198"/>
  <c r="R415" i="198"/>
  <c r="R352" i="198"/>
  <c r="R375" i="198"/>
  <c r="R319" i="198"/>
  <c r="R283" i="198"/>
  <c r="R241" i="198"/>
  <c r="R151" i="198"/>
  <c r="R194" i="198"/>
  <c r="R106" i="198"/>
  <c r="R58" i="198"/>
  <c r="V538" i="198"/>
  <c r="V496" i="198"/>
  <c r="V455" i="198"/>
  <c r="V415" i="198"/>
  <c r="V352" i="198"/>
  <c r="V375" i="198"/>
  <c r="V319" i="198"/>
  <c r="V283" i="198"/>
  <c r="V241" i="198"/>
  <c r="V194" i="198"/>
  <c r="V151" i="198"/>
  <c r="V106" i="198"/>
  <c r="V58" i="198"/>
  <c r="Z538" i="198"/>
  <c r="Z496" i="198"/>
  <c r="Z455" i="198"/>
  <c r="Z415" i="198"/>
  <c r="Z352" i="198"/>
  <c r="Z375" i="198"/>
  <c r="Z319" i="198"/>
  <c r="Z283" i="198"/>
  <c r="Z241" i="198"/>
  <c r="Z194" i="198"/>
  <c r="Z151" i="198"/>
  <c r="Z58" i="198"/>
  <c r="AD538" i="198"/>
  <c r="AD496" i="198"/>
  <c r="AD455" i="198"/>
  <c r="AD415" i="198"/>
  <c r="AD352" i="198"/>
  <c r="AD375" i="198"/>
  <c r="AD319" i="198"/>
  <c r="AD283" i="198"/>
  <c r="AD241" i="198"/>
  <c r="AD151" i="198"/>
  <c r="AD194" i="198"/>
  <c r="AD106" i="198"/>
  <c r="AD58" i="198"/>
  <c r="AH538" i="198"/>
  <c r="AH496" i="198"/>
  <c r="AH455" i="198"/>
  <c r="AH415" i="198"/>
  <c r="AH352" i="198"/>
  <c r="AH375" i="198"/>
  <c r="AH319" i="198"/>
  <c r="AH283" i="198"/>
  <c r="AH241" i="198"/>
  <c r="AH151" i="198"/>
  <c r="AH194" i="198"/>
  <c r="AH106" i="198"/>
  <c r="AH58" i="198"/>
  <c r="AL538" i="198"/>
  <c r="AL496" i="198"/>
  <c r="AL455" i="198"/>
  <c r="AL415" i="198"/>
  <c r="AL352" i="198"/>
  <c r="AL375" i="198"/>
  <c r="AL319" i="198"/>
  <c r="AL283" i="198"/>
  <c r="AL241" i="198"/>
  <c r="AL194" i="198"/>
  <c r="AL151" i="198"/>
  <c r="AL106" i="198"/>
  <c r="AL58" i="198"/>
  <c r="AP538" i="198"/>
  <c r="AP496" i="198"/>
  <c r="AP455" i="198"/>
  <c r="AP415" i="198"/>
  <c r="AP352" i="198"/>
  <c r="AP375" i="198"/>
  <c r="AP319" i="198"/>
  <c r="AP283" i="198"/>
  <c r="AP241" i="198"/>
  <c r="AP194" i="198"/>
  <c r="AP151" i="198"/>
  <c r="AP58" i="198"/>
  <c r="AT538" i="198"/>
  <c r="AT496" i="198"/>
  <c r="AT455" i="198"/>
  <c r="AT415" i="198"/>
  <c r="AT352" i="198"/>
  <c r="AT375" i="198"/>
  <c r="AT319" i="198"/>
  <c r="AT283" i="198"/>
  <c r="AT241" i="198"/>
  <c r="AT151" i="198"/>
  <c r="AT194" i="198"/>
  <c r="AT106" i="198"/>
  <c r="AT58" i="198"/>
  <c r="AX538" i="198"/>
  <c r="AX496" i="198"/>
  <c r="AX455" i="198"/>
  <c r="AX415" i="198"/>
  <c r="AX352" i="198"/>
  <c r="AX375" i="198"/>
  <c r="AX319" i="198"/>
  <c r="AX283" i="198"/>
  <c r="AX241" i="198"/>
  <c r="AX151" i="198"/>
  <c r="AX194" i="198"/>
  <c r="AX106" i="198"/>
  <c r="AX58" i="198"/>
  <c r="BB538" i="198"/>
  <c r="BB496" i="198"/>
  <c r="BB455" i="198"/>
  <c r="BB415" i="198"/>
  <c r="BB352" i="198"/>
  <c r="BB375" i="198"/>
  <c r="BB319" i="198"/>
  <c r="BB283" i="198"/>
  <c r="BB241" i="198"/>
  <c r="BB194" i="198"/>
  <c r="BB151" i="198"/>
  <c r="BB106" i="198"/>
  <c r="BB58" i="198"/>
  <c r="BF538" i="198"/>
  <c r="BF496" i="198"/>
  <c r="BF455" i="198"/>
  <c r="BF415" i="198"/>
  <c r="BF352" i="198"/>
  <c r="BF375" i="198"/>
  <c r="BF319" i="198"/>
  <c r="BF283" i="198"/>
  <c r="BF241" i="198"/>
  <c r="BF194" i="198"/>
  <c r="BF151" i="198"/>
  <c r="BF106" i="198"/>
  <c r="BF58" i="198"/>
  <c r="BJ538" i="198"/>
  <c r="BJ496" i="198"/>
  <c r="BJ455" i="198"/>
  <c r="BJ415" i="198"/>
  <c r="BJ352" i="198"/>
  <c r="BJ375" i="198"/>
  <c r="BJ319" i="198"/>
  <c r="BJ283" i="198"/>
  <c r="BJ241" i="198"/>
  <c r="BJ151" i="198"/>
  <c r="BJ194" i="198"/>
  <c r="BJ58" i="198"/>
  <c r="BJ106" i="198"/>
  <c r="BN538" i="198"/>
  <c r="BN496" i="198"/>
  <c r="BN455" i="198"/>
  <c r="BN415" i="198"/>
  <c r="BN352" i="198"/>
  <c r="BN375" i="198"/>
  <c r="BN319" i="198"/>
  <c r="BN283" i="198"/>
  <c r="BN241" i="198"/>
  <c r="BN151" i="198"/>
  <c r="BN194" i="198"/>
  <c r="BN58" i="198"/>
  <c r="BR538" i="198"/>
  <c r="BR496" i="198"/>
  <c r="BR455" i="198"/>
  <c r="BR415" i="198"/>
  <c r="BR352" i="198"/>
  <c r="BR375" i="198"/>
  <c r="BR319" i="198"/>
  <c r="BR283" i="198"/>
  <c r="BR241" i="198"/>
  <c r="BR194" i="198"/>
  <c r="BR151" i="198"/>
  <c r="BR106" i="198"/>
  <c r="BR58" i="198"/>
  <c r="BV538" i="198"/>
  <c r="BV496" i="198"/>
  <c r="BV455" i="198"/>
  <c r="BV415" i="198"/>
  <c r="BV352" i="198"/>
  <c r="BV375" i="198"/>
  <c r="BV319" i="198"/>
  <c r="BV283" i="198"/>
  <c r="BV241" i="198"/>
  <c r="BV194" i="198"/>
  <c r="BV151" i="198"/>
  <c r="BV106" i="198"/>
  <c r="BV58" i="198"/>
  <c r="BZ538" i="198"/>
  <c r="BZ496" i="198"/>
  <c r="BZ455" i="198"/>
  <c r="BZ415" i="198"/>
  <c r="BZ352" i="198"/>
  <c r="BZ375" i="198"/>
  <c r="BZ319" i="198"/>
  <c r="BZ283" i="198"/>
  <c r="BZ241" i="198"/>
  <c r="BZ151" i="198"/>
  <c r="BZ194" i="198"/>
  <c r="BZ106" i="198"/>
  <c r="BZ58" i="198"/>
  <c r="CD538" i="198"/>
  <c r="CD496" i="198"/>
  <c r="CD455" i="198"/>
  <c r="CD415" i="198"/>
  <c r="CD352" i="198"/>
  <c r="CD375" i="198"/>
  <c r="CD319" i="198"/>
  <c r="CD283" i="198"/>
  <c r="CD241" i="198"/>
  <c r="CD151" i="198"/>
  <c r="CD194" i="198"/>
  <c r="CD106" i="198"/>
  <c r="CD58" i="198"/>
  <c r="CH538" i="198"/>
  <c r="CH496" i="198"/>
  <c r="CH455" i="198"/>
  <c r="CH415" i="198"/>
  <c r="CH352" i="198"/>
  <c r="CH375" i="198"/>
  <c r="CH319" i="198"/>
  <c r="CH283" i="198"/>
  <c r="CH241" i="198"/>
  <c r="CH194" i="198"/>
  <c r="CH151" i="198"/>
  <c r="CH106" i="198"/>
  <c r="CH58" i="198"/>
  <c r="CL538" i="198"/>
  <c r="CL496" i="198"/>
  <c r="CL455" i="198"/>
  <c r="CL415" i="198"/>
  <c r="CL352" i="198"/>
  <c r="CL375" i="198"/>
  <c r="CL319" i="198"/>
  <c r="CL283" i="198"/>
  <c r="CL241" i="198"/>
  <c r="CL194" i="198"/>
  <c r="CL151" i="198"/>
  <c r="CL106" i="198"/>
  <c r="CL58" i="198"/>
  <c r="CP538" i="198"/>
  <c r="CP496" i="198"/>
  <c r="CP455" i="198"/>
  <c r="CP415" i="198"/>
  <c r="CP352" i="198"/>
  <c r="CP375" i="198"/>
  <c r="CP319" i="198"/>
  <c r="CP283" i="198"/>
  <c r="CP241" i="198"/>
  <c r="CP151" i="198"/>
  <c r="CP194" i="198"/>
  <c r="CP58" i="198"/>
  <c r="CP106" i="198"/>
  <c r="CT538" i="198"/>
  <c r="CT496" i="198"/>
  <c r="CT455" i="198"/>
  <c r="CT415" i="198"/>
  <c r="CT352" i="198"/>
  <c r="CT375" i="198"/>
  <c r="CT319" i="198"/>
  <c r="CT283" i="198"/>
  <c r="CT241" i="198"/>
  <c r="CT151" i="198"/>
  <c r="CT194" i="198"/>
  <c r="CT58" i="198"/>
  <c r="CX538" i="198"/>
  <c r="CX496" i="198"/>
  <c r="CX455" i="198"/>
  <c r="CX415" i="198"/>
  <c r="CX352" i="198"/>
  <c r="CX375" i="198"/>
  <c r="CX319" i="198"/>
  <c r="CX283" i="198"/>
  <c r="CX241" i="198"/>
  <c r="CX194" i="198"/>
  <c r="CX151" i="198"/>
  <c r="CX106" i="198"/>
  <c r="CX58" i="198"/>
  <c r="DC538" i="198"/>
  <c r="DC496" i="198"/>
  <c r="DC455" i="198"/>
  <c r="DC415" i="198"/>
  <c r="DC352" i="198"/>
  <c r="DC375" i="198"/>
  <c r="DC319" i="198"/>
  <c r="DC283" i="198"/>
  <c r="DC241" i="198"/>
  <c r="DC194" i="198"/>
  <c r="DC151" i="198"/>
  <c r="DC106" i="198"/>
  <c r="DC58" i="198"/>
  <c r="DG538" i="198"/>
  <c r="DG496" i="198"/>
  <c r="DG455" i="198"/>
  <c r="DG415" i="198"/>
  <c r="DG352" i="198"/>
  <c r="DG375" i="198"/>
  <c r="DG319" i="198"/>
  <c r="DG283" i="198"/>
  <c r="DG241" i="198"/>
  <c r="DG151" i="198"/>
  <c r="DG194" i="198"/>
  <c r="DG106" i="198"/>
  <c r="DG58" i="198"/>
  <c r="DK538" i="198"/>
  <c r="DK496" i="198"/>
  <c r="DK455" i="198"/>
  <c r="DK415" i="198"/>
  <c r="DK352" i="198"/>
  <c r="DK375" i="198"/>
  <c r="DK319" i="198"/>
  <c r="DK283" i="198"/>
  <c r="DK241" i="198"/>
  <c r="DK151" i="198"/>
  <c r="DK106" i="198"/>
  <c r="DK58" i="198"/>
  <c r="DK194" i="198"/>
  <c r="DO538" i="198"/>
  <c r="DO496" i="198"/>
  <c r="DO455" i="198"/>
  <c r="DO415" i="198"/>
  <c r="DO352" i="198"/>
  <c r="DO375" i="198"/>
  <c r="DO319" i="198"/>
  <c r="DO283" i="198"/>
  <c r="DO241" i="198"/>
  <c r="DO194" i="198"/>
  <c r="DO151" i="198"/>
  <c r="DO106" i="198"/>
  <c r="DO58" i="198"/>
  <c r="DS538" i="198"/>
  <c r="DS496" i="198"/>
  <c r="DS455" i="198"/>
  <c r="DS415" i="198"/>
  <c r="DS352" i="198"/>
  <c r="DS375" i="198"/>
  <c r="DS319" i="198"/>
  <c r="DS283" i="198"/>
  <c r="DS241" i="198"/>
  <c r="DS194" i="198"/>
  <c r="DS151" i="198"/>
  <c r="DS106" i="198"/>
  <c r="DS58" i="198"/>
  <c r="DW538" i="198"/>
  <c r="DW496" i="198"/>
  <c r="DW455" i="198"/>
  <c r="DW415" i="198"/>
  <c r="DW352" i="198"/>
  <c r="DW375" i="198"/>
  <c r="DW319" i="198"/>
  <c r="DW283" i="198"/>
  <c r="DW241" i="198"/>
  <c r="DW151" i="198"/>
  <c r="DW194" i="198"/>
  <c r="DW58" i="198"/>
  <c r="DW106" i="198"/>
  <c r="EA538" i="198"/>
  <c r="EA496" i="198"/>
  <c r="EA455" i="198"/>
  <c r="EA415" i="198"/>
  <c r="EA352" i="198"/>
  <c r="EA375" i="198"/>
  <c r="EA319" i="198"/>
  <c r="EA283" i="198"/>
  <c r="EA241" i="198"/>
  <c r="EA151" i="198"/>
  <c r="EA194" i="198"/>
  <c r="EA58" i="198"/>
  <c r="EE538" i="198"/>
  <c r="EE496" i="198"/>
  <c r="EE455" i="198"/>
  <c r="EE415" i="198"/>
  <c r="EE352" i="198"/>
  <c r="EE375" i="198"/>
  <c r="EE319" i="198"/>
  <c r="EE283" i="198"/>
  <c r="EE241" i="198"/>
  <c r="EE194" i="198"/>
  <c r="EE151" i="198"/>
  <c r="EE106" i="198"/>
  <c r="EE58" i="198"/>
  <c r="EI538" i="198"/>
  <c r="EI496" i="198"/>
  <c r="EI455" i="198"/>
  <c r="EI415" i="198"/>
  <c r="EI352" i="198"/>
  <c r="EI375" i="198"/>
  <c r="EI319" i="198"/>
  <c r="EI283" i="198"/>
  <c r="EI241" i="198"/>
  <c r="EI194" i="198"/>
  <c r="EI151" i="198"/>
  <c r="EI106" i="198"/>
  <c r="EI58" i="198"/>
  <c r="EM538" i="198"/>
  <c r="EM496" i="198"/>
  <c r="EM455" i="198"/>
  <c r="EM415" i="198"/>
  <c r="EM319" i="198"/>
  <c r="EM352" i="198"/>
  <c r="EM375" i="198"/>
  <c r="EM283" i="198"/>
  <c r="EM241" i="198"/>
  <c r="EM151" i="198"/>
  <c r="EM194" i="198"/>
  <c r="EM106" i="198"/>
  <c r="EM58" i="198"/>
  <c r="DQ28" i="198"/>
  <c r="DU28" i="198"/>
  <c r="CS10" i="198"/>
  <c r="CS22" i="198" s="1"/>
  <c r="DY10" i="198"/>
  <c r="L12" i="198"/>
  <c r="L22" i="198" s="1"/>
  <c r="P12" i="198"/>
  <c r="T12" i="198"/>
  <c r="X12" i="198"/>
  <c r="X22" i="198" s="1"/>
  <c r="AB12" i="198"/>
  <c r="AB22" i="198" s="1"/>
  <c r="AB72" i="198" s="1"/>
  <c r="AF12" i="198"/>
  <c r="AJ12" i="198"/>
  <c r="AN12" i="198"/>
  <c r="AR12" i="198"/>
  <c r="AR22" i="198" s="1"/>
  <c r="AR72" i="198" s="1"/>
  <c r="AV12" i="198"/>
  <c r="AZ12" i="198"/>
  <c r="BD12" i="198"/>
  <c r="BH12" i="198"/>
  <c r="BH22" i="198" s="1"/>
  <c r="BH71" i="198" s="1"/>
  <c r="BL12" i="198"/>
  <c r="BP12" i="198"/>
  <c r="BT12" i="198"/>
  <c r="BX12" i="198"/>
  <c r="CB12" i="198"/>
  <c r="CF12" i="198"/>
  <c r="CJ12" i="198"/>
  <c r="DE12" i="198"/>
  <c r="DE22" i="198" s="1"/>
  <c r="DI12" i="198"/>
  <c r="DL12" i="198" s="1"/>
  <c r="DM12" i="198"/>
  <c r="DQ12" i="198"/>
  <c r="DT12" i="198" s="1"/>
  <c r="DU12" i="198"/>
  <c r="DU22" i="198" s="1"/>
  <c r="DK15" i="198"/>
  <c r="DN15" i="198" s="1"/>
  <c r="DO15" i="198"/>
  <c r="DS15" i="198"/>
  <c r="CD71" i="198"/>
  <c r="CL16" i="198"/>
  <c r="CP16" i="198"/>
  <c r="CN19" i="198"/>
  <c r="CR19" i="198"/>
  <c r="B12" i="198"/>
  <c r="K12" i="198" s="1"/>
  <c r="D12" i="198"/>
  <c r="F12" i="198"/>
  <c r="O12" i="198" s="1"/>
  <c r="H12" i="198"/>
  <c r="J19" i="198"/>
  <c r="Z19" i="198"/>
  <c r="Z22" i="198" s="1"/>
  <c r="Z67" i="198" s="1"/>
  <c r="AP19" i="198"/>
  <c r="AP22" i="198" s="1"/>
  <c r="BF19" i="198"/>
  <c r="BF22" i="198" s="1"/>
  <c r="BV19" i="198"/>
  <c r="AX22" i="198"/>
  <c r="AX76" i="198" s="1"/>
  <c r="BN22" i="198"/>
  <c r="BN70" i="198" s="1"/>
  <c r="BV22" i="198"/>
  <c r="BV76" i="198" s="1"/>
  <c r="CD22" i="198"/>
  <c r="CD76" i="198" s="1"/>
  <c r="CH78" i="198"/>
  <c r="BT28" i="198"/>
  <c r="DY28" i="198"/>
  <c r="DO37" i="198"/>
  <c r="C57" i="198"/>
  <c r="S57" i="198"/>
  <c r="AI57" i="198"/>
  <c r="AY57" i="198"/>
  <c r="BO57" i="198"/>
  <c r="CE57" i="198"/>
  <c r="CU57" i="198"/>
  <c r="DL57" i="198"/>
  <c r="EB57" i="198"/>
  <c r="I58" i="198"/>
  <c r="Y58" i="198"/>
  <c r="AO58" i="198"/>
  <c r="BE58" i="198"/>
  <c r="BU58" i="198"/>
  <c r="CK58" i="198"/>
  <c r="DA58" i="198"/>
  <c r="DR58" i="198"/>
  <c r="EH58" i="198"/>
  <c r="AA105" i="198"/>
  <c r="BQ105" i="198"/>
  <c r="ED104" i="198"/>
  <c r="BN106" i="198"/>
  <c r="CE150" i="198"/>
  <c r="BU151" i="198"/>
  <c r="BI192" i="198"/>
  <c r="DL240" i="198"/>
  <c r="B22" i="198"/>
  <c r="B79" i="198" s="1"/>
  <c r="J22" i="198"/>
  <c r="J76" i="198" s="1"/>
  <c r="N22" i="198"/>
  <c r="R22" i="198"/>
  <c r="R76" i="198" s="1"/>
  <c r="V22" i="198"/>
  <c r="V76" i="198" s="1"/>
  <c r="AD22" i="198"/>
  <c r="AH22" i="198"/>
  <c r="AH70" i="198" s="1"/>
  <c r="AL22" i="198"/>
  <c r="AL70" i="198" s="1"/>
  <c r="AT22" i="198"/>
  <c r="AT73" i="198" s="1"/>
  <c r="BB22" i="198"/>
  <c r="BB78" i="198" s="1"/>
  <c r="BJ22" i="198"/>
  <c r="BJ67" i="198" s="1"/>
  <c r="BR22" i="198"/>
  <c r="BR66" i="198" s="1"/>
  <c r="BZ22" i="198"/>
  <c r="BZ73" i="198" s="1"/>
  <c r="CH22" i="198"/>
  <c r="AX78" i="198"/>
  <c r="BN78" i="198"/>
  <c r="AF22" i="198"/>
  <c r="AJ22" i="198"/>
  <c r="AJ71" i="198" s="1"/>
  <c r="AN22" i="198"/>
  <c r="AN72" i="198" s="1"/>
  <c r="AV22" i="198"/>
  <c r="BD22" i="198"/>
  <c r="BD66" i="198" s="1"/>
  <c r="BL22" i="198"/>
  <c r="BL66" i="198" s="1"/>
  <c r="BT22" i="198"/>
  <c r="BT78" i="198" s="1"/>
  <c r="BX22" i="198"/>
  <c r="BX67" i="198" s="1"/>
  <c r="CB22" i="198"/>
  <c r="CB74" i="198" s="1"/>
  <c r="CJ22" i="198"/>
  <c r="CJ66" i="198" s="1"/>
  <c r="DC123" i="198"/>
  <c r="DG123" i="198"/>
  <c r="DK123" i="198"/>
  <c r="DO123" i="198"/>
  <c r="DS123" i="198"/>
  <c r="DW123" i="198"/>
  <c r="EA123" i="198"/>
  <c r="DE123" i="198"/>
  <c r="DI123" i="198"/>
  <c r="DM123" i="198"/>
  <c r="DQ123" i="198"/>
  <c r="DU123" i="198"/>
  <c r="DY123" i="198"/>
  <c r="B123" i="198"/>
  <c r="F123" i="198"/>
  <c r="J123" i="198"/>
  <c r="N123" i="198"/>
  <c r="R123" i="198"/>
  <c r="V123" i="198"/>
  <c r="Z123" i="198"/>
  <c r="AD123" i="198"/>
  <c r="AH123" i="198"/>
  <c r="AL123" i="198"/>
  <c r="AP123" i="198"/>
  <c r="AT123" i="198"/>
  <c r="AX123" i="198"/>
  <c r="BB123" i="198"/>
  <c r="BF123" i="198"/>
  <c r="BJ123" i="198"/>
  <c r="BN123" i="198"/>
  <c r="BR123" i="198"/>
  <c r="BV123" i="198"/>
  <c r="BZ123" i="198"/>
  <c r="CD123" i="198"/>
  <c r="CH123" i="198"/>
  <c r="CL123" i="198"/>
  <c r="CP123" i="198"/>
  <c r="H212" i="198"/>
  <c r="P212" i="198"/>
  <c r="X212" i="198"/>
  <c r="AF212" i="198"/>
  <c r="AN212" i="198"/>
  <c r="AV212" i="198"/>
  <c r="BD212" i="198"/>
  <c r="BL212" i="198"/>
  <c r="BT212" i="198"/>
  <c r="CB212" i="198"/>
  <c r="CJ212" i="198"/>
  <c r="CR212" i="198"/>
  <c r="DI212" i="198"/>
  <c r="DQ212" i="198"/>
  <c r="DY212" i="198"/>
  <c r="DE434" i="198"/>
  <c r="DI434" i="198"/>
  <c r="DM434" i="198"/>
  <c r="DQ434" i="198"/>
  <c r="DU434" i="198"/>
  <c r="DY434" i="198"/>
  <c r="EC434" i="198"/>
  <c r="EG434" i="198"/>
  <c r="EK434" i="198"/>
  <c r="D515" i="198"/>
  <c r="H515" i="198"/>
  <c r="L515" i="198"/>
  <c r="P515" i="198"/>
  <c r="T515" i="198"/>
  <c r="X515" i="198"/>
  <c r="AB515" i="198"/>
  <c r="AF515" i="198"/>
  <c r="AJ515" i="198"/>
  <c r="AN515" i="198"/>
  <c r="AR515" i="198"/>
  <c r="AV515" i="198"/>
  <c r="AZ515" i="198"/>
  <c r="BD515" i="198"/>
  <c r="BH515" i="198"/>
  <c r="BL515" i="198"/>
  <c r="BP515" i="198"/>
  <c r="BT515" i="198"/>
  <c r="BX515" i="198"/>
  <c r="CB515" i="198"/>
  <c r="CF515" i="198"/>
  <c r="CJ515" i="198"/>
  <c r="CN515" i="198"/>
  <c r="CR515" i="198"/>
  <c r="DE515" i="198"/>
  <c r="DI515" i="198"/>
  <c r="DM515" i="198"/>
  <c r="DQ515" i="198"/>
  <c r="DU515" i="198"/>
  <c r="DY515" i="198"/>
  <c r="K543" i="2"/>
  <c r="K501" i="2"/>
  <c r="K460" i="2"/>
  <c r="K420" i="2"/>
  <c r="K380" i="2"/>
  <c r="K357" i="2"/>
  <c r="K199" i="2"/>
  <c r="K288" i="2"/>
  <c r="K156" i="2"/>
  <c r="K324" i="2"/>
  <c r="K246" i="2"/>
  <c r="K111" i="2"/>
  <c r="S543" i="2"/>
  <c r="S460" i="2"/>
  <c r="S501" i="2"/>
  <c r="S420" i="2"/>
  <c r="S357" i="2"/>
  <c r="S380" i="2"/>
  <c r="S288" i="2"/>
  <c r="S199" i="2"/>
  <c r="S324" i="2"/>
  <c r="S156" i="2"/>
  <c r="S246" i="2"/>
  <c r="S111" i="2"/>
  <c r="AA543" i="2"/>
  <c r="AA501" i="2"/>
  <c r="AA460" i="2"/>
  <c r="AA420" i="2"/>
  <c r="AA380" i="2"/>
  <c r="AA357" i="2"/>
  <c r="AA324" i="2"/>
  <c r="AA199" i="2"/>
  <c r="AA288" i="2"/>
  <c r="AA156" i="2"/>
  <c r="AA246" i="2"/>
  <c r="AA111" i="2"/>
  <c r="AM543" i="2"/>
  <c r="AM460" i="2"/>
  <c r="AM501" i="2"/>
  <c r="AM420" i="2"/>
  <c r="AM380" i="2"/>
  <c r="AM357" i="2"/>
  <c r="AM324" i="2"/>
  <c r="AM199" i="2"/>
  <c r="AM246" i="2"/>
  <c r="AM156" i="2"/>
  <c r="AM288" i="2"/>
  <c r="AY543" i="2"/>
  <c r="AY460" i="2"/>
  <c r="AY501" i="2"/>
  <c r="AY420" i="2"/>
  <c r="AY357" i="2"/>
  <c r="AY380" i="2"/>
  <c r="AY288" i="2"/>
  <c r="AY199" i="2"/>
  <c r="AY156" i="2"/>
  <c r="AY324" i="2"/>
  <c r="AY246" i="2"/>
  <c r="AY111" i="2"/>
  <c r="BK543" i="2"/>
  <c r="BK460" i="2"/>
  <c r="BK501" i="2"/>
  <c r="BK420" i="2"/>
  <c r="BK357" i="2"/>
  <c r="BK380" i="2"/>
  <c r="BK324" i="2"/>
  <c r="BK199" i="2"/>
  <c r="BK288" i="2"/>
  <c r="BK246" i="2"/>
  <c r="BK156" i="2"/>
  <c r="BK111" i="2"/>
  <c r="BW543" i="2"/>
  <c r="BW501" i="2"/>
  <c r="BW460" i="2"/>
  <c r="BW420" i="2"/>
  <c r="BW380" i="2"/>
  <c r="BW357" i="2"/>
  <c r="BW324" i="2"/>
  <c r="BW199" i="2"/>
  <c r="BW288" i="2"/>
  <c r="BW156" i="2"/>
  <c r="BW246" i="2"/>
  <c r="BW111" i="2"/>
  <c r="CI543" i="2"/>
  <c r="CI460" i="2"/>
  <c r="CI501" i="2"/>
  <c r="CI420" i="2"/>
  <c r="CI380" i="2"/>
  <c r="CI357" i="2"/>
  <c r="CI324" i="2"/>
  <c r="CI199" i="2"/>
  <c r="CI246" i="2"/>
  <c r="CI156" i="2"/>
  <c r="CI288" i="2"/>
  <c r="CU543" i="2"/>
  <c r="CU460" i="2"/>
  <c r="CU501" i="2"/>
  <c r="CU420" i="2"/>
  <c r="CU357" i="2"/>
  <c r="CU380" i="2"/>
  <c r="CU288" i="2"/>
  <c r="CU199" i="2"/>
  <c r="CU324" i="2"/>
  <c r="CU156" i="2"/>
  <c r="CU246" i="2"/>
  <c r="CU111" i="2"/>
  <c r="DG543" i="2"/>
  <c r="DG460" i="2"/>
  <c r="DG501" i="2"/>
  <c r="DG420" i="2"/>
  <c r="DG357" i="2"/>
  <c r="DG324" i="2"/>
  <c r="DG199" i="2"/>
  <c r="DG380" i="2"/>
  <c r="DG288" i="2"/>
  <c r="DG246" i="2"/>
  <c r="DG156" i="2"/>
  <c r="DG111" i="2"/>
  <c r="DS543" i="2"/>
  <c r="DS460" i="2"/>
  <c r="DS501" i="2"/>
  <c r="DS420" i="2"/>
  <c r="DS380" i="2"/>
  <c r="DS357" i="2"/>
  <c r="DS324" i="2"/>
  <c r="DS199" i="2"/>
  <c r="DS288" i="2"/>
  <c r="DS156" i="2"/>
  <c r="DS246" i="2"/>
  <c r="DS111" i="2"/>
  <c r="EB543" i="2"/>
  <c r="EB460" i="2"/>
  <c r="EB501" i="2"/>
  <c r="EB380" i="2"/>
  <c r="EB420" i="2"/>
  <c r="EB357" i="2"/>
  <c r="EB324" i="2"/>
  <c r="EB288" i="2"/>
  <c r="EB199" i="2"/>
  <c r="EB156" i="2"/>
  <c r="EB246" i="2"/>
  <c r="EB111" i="2"/>
  <c r="EN543" i="2"/>
  <c r="EN501" i="2"/>
  <c r="EN460" i="2"/>
  <c r="EN420" i="2"/>
  <c r="EN380" i="2"/>
  <c r="EN357" i="2"/>
  <c r="EN324" i="2"/>
  <c r="EN199" i="2"/>
  <c r="EN288" i="2"/>
  <c r="EN246" i="2"/>
  <c r="EN156" i="2"/>
  <c r="EN111" i="2"/>
  <c r="EZ543" i="2"/>
  <c r="EZ460" i="2"/>
  <c r="EZ501" i="2"/>
  <c r="EZ420" i="2"/>
  <c r="EZ380" i="2"/>
  <c r="EZ324" i="2"/>
  <c r="EZ357" i="2"/>
  <c r="EZ199" i="2"/>
  <c r="EZ288" i="2"/>
  <c r="EZ156" i="2"/>
  <c r="EZ246" i="2"/>
  <c r="EZ111" i="2"/>
  <c r="FH543" i="2"/>
  <c r="FH460" i="2"/>
  <c r="FH501" i="2"/>
  <c r="FH420" i="2"/>
  <c r="FH357" i="2"/>
  <c r="FH380" i="2"/>
  <c r="FH199" i="2"/>
  <c r="FH288" i="2"/>
  <c r="FH324" i="2"/>
  <c r="FH156" i="2"/>
  <c r="FH246" i="2"/>
  <c r="FH111" i="2"/>
  <c r="D545" i="2"/>
  <c r="D503" i="2"/>
  <c r="D462" i="2"/>
  <c r="D422" i="2"/>
  <c r="D382" i="2"/>
  <c r="D359" i="2"/>
  <c r="D326" i="2"/>
  <c r="D201" i="2"/>
  <c r="D290" i="2"/>
  <c r="D248" i="2"/>
  <c r="D158" i="2"/>
  <c r="D113" i="2"/>
  <c r="P545" i="2"/>
  <c r="P462" i="2"/>
  <c r="P503" i="2"/>
  <c r="P422" i="2"/>
  <c r="P382" i="2"/>
  <c r="P201" i="2"/>
  <c r="P326" i="2"/>
  <c r="P359" i="2"/>
  <c r="P290" i="2"/>
  <c r="P158" i="2"/>
  <c r="P248" i="2"/>
  <c r="P113" i="2"/>
  <c r="AB545" i="2"/>
  <c r="AB503" i="2"/>
  <c r="AB462" i="2"/>
  <c r="AB422" i="2"/>
  <c r="AB382" i="2"/>
  <c r="AB359" i="2"/>
  <c r="AB326" i="2"/>
  <c r="AB201" i="2"/>
  <c r="AB248" i="2"/>
  <c r="AB158" i="2"/>
  <c r="AB290" i="2"/>
  <c r="AN545" i="2"/>
  <c r="AN462" i="2"/>
  <c r="AN503" i="2"/>
  <c r="AN422" i="2"/>
  <c r="AN382" i="2"/>
  <c r="AN359" i="2"/>
  <c r="AN201" i="2"/>
  <c r="AN326" i="2"/>
  <c r="AN290" i="2"/>
  <c r="AN158" i="2"/>
  <c r="AN248" i="2"/>
  <c r="AN113" i="2"/>
  <c r="AZ545" i="2"/>
  <c r="AZ503" i="2"/>
  <c r="AZ462" i="2"/>
  <c r="AZ422" i="2"/>
  <c r="AZ382" i="2"/>
  <c r="AZ359" i="2"/>
  <c r="AZ326" i="2"/>
  <c r="AZ201" i="2"/>
  <c r="AZ290" i="2"/>
  <c r="AZ248" i="2"/>
  <c r="AZ158" i="2"/>
  <c r="AZ113" i="2"/>
  <c r="BL545" i="2"/>
  <c r="BL462" i="2"/>
  <c r="BL503" i="2"/>
  <c r="BL422" i="2"/>
  <c r="BL382" i="2"/>
  <c r="BL201" i="2"/>
  <c r="BL359" i="2"/>
  <c r="BL326" i="2"/>
  <c r="BL290" i="2"/>
  <c r="BL158" i="2"/>
  <c r="BL248" i="2"/>
  <c r="BL113" i="2"/>
  <c r="BX545" i="2"/>
  <c r="BX503" i="2"/>
  <c r="BX462" i="2"/>
  <c r="BX422" i="2"/>
  <c r="BX382" i="2"/>
  <c r="BX359" i="2"/>
  <c r="BX326" i="2"/>
  <c r="BX201" i="2"/>
  <c r="BX248" i="2"/>
  <c r="BX158" i="2"/>
  <c r="BX290" i="2"/>
  <c r="CJ545" i="2"/>
  <c r="CJ462" i="2"/>
  <c r="CJ503" i="2"/>
  <c r="CJ382" i="2"/>
  <c r="CJ359" i="2"/>
  <c r="CJ422" i="2"/>
  <c r="CJ201" i="2"/>
  <c r="CJ326" i="2"/>
  <c r="CJ290" i="2"/>
  <c r="CJ158" i="2"/>
  <c r="CJ248" i="2"/>
  <c r="CJ113" i="2"/>
  <c r="CV545" i="2"/>
  <c r="CV503" i="2"/>
  <c r="CV462" i="2"/>
  <c r="CV422" i="2"/>
  <c r="CV382" i="2"/>
  <c r="CV359" i="2"/>
  <c r="CV326" i="2"/>
  <c r="CV201" i="2"/>
  <c r="CV290" i="2"/>
  <c r="CV248" i="2"/>
  <c r="CV158" i="2"/>
  <c r="CV113" i="2"/>
  <c r="DH545" i="2"/>
  <c r="DH462" i="2"/>
  <c r="DH503" i="2"/>
  <c r="DH422" i="2"/>
  <c r="DH382" i="2"/>
  <c r="DH201" i="2"/>
  <c r="DH326" i="2"/>
  <c r="DH359" i="2"/>
  <c r="DH290" i="2"/>
  <c r="DH158" i="2"/>
  <c r="DH248" i="2"/>
  <c r="DH113" i="2"/>
  <c r="DT545" i="2"/>
  <c r="DT503" i="2"/>
  <c r="DT462" i="2"/>
  <c r="DT422" i="2"/>
  <c r="DT382" i="2"/>
  <c r="DT359" i="2"/>
  <c r="DT326" i="2"/>
  <c r="DT201" i="2"/>
  <c r="DT248" i="2"/>
  <c r="DT158" i="2"/>
  <c r="DT290" i="2"/>
  <c r="ED545" i="2"/>
  <c r="ED503" i="2"/>
  <c r="ED462" i="2"/>
  <c r="ED422" i="2"/>
  <c r="ED382" i="2"/>
  <c r="ED359" i="2"/>
  <c r="ED326" i="2"/>
  <c r="ED201" i="2"/>
  <c r="ED290" i="2"/>
  <c r="ED248" i="2"/>
  <c r="ED158" i="2"/>
  <c r="ED113" i="2"/>
  <c r="EP545" i="2"/>
  <c r="EP462" i="2"/>
  <c r="EP503" i="2"/>
  <c r="EP422" i="2"/>
  <c r="EP382" i="2"/>
  <c r="EP201" i="2"/>
  <c r="EP326" i="2"/>
  <c r="EP359" i="2"/>
  <c r="EP290" i="2"/>
  <c r="EP158" i="2"/>
  <c r="EP248" i="2"/>
  <c r="EP113" i="2"/>
  <c r="EP67" i="2"/>
  <c r="FB545" i="2"/>
  <c r="FB503" i="2"/>
  <c r="FB462" i="2"/>
  <c r="FB422" i="2"/>
  <c r="FB382" i="2"/>
  <c r="FB359" i="2"/>
  <c r="FB326" i="2"/>
  <c r="FB201" i="2"/>
  <c r="FB248" i="2"/>
  <c r="FB158" i="2"/>
  <c r="FB290" i="2"/>
  <c r="FB67" i="2"/>
  <c r="FJ545" i="2"/>
  <c r="FJ503" i="2"/>
  <c r="FJ462" i="2"/>
  <c r="FJ422" i="2"/>
  <c r="FJ382" i="2"/>
  <c r="FJ359" i="2"/>
  <c r="FJ326" i="2"/>
  <c r="FJ201" i="2"/>
  <c r="FJ290" i="2"/>
  <c r="FJ248" i="2"/>
  <c r="FJ158" i="2"/>
  <c r="FJ113" i="2"/>
  <c r="FJ67" i="2"/>
  <c r="AM65" i="2"/>
  <c r="EF65" i="2"/>
  <c r="CN67" i="2"/>
  <c r="DT67" i="2"/>
  <c r="FS543" i="2"/>
  <c r="FS501" i="2"/>
  <c r="FS460" i="2"/>
  <c r="FS420" i="2"/>
  <c r="FS380" i="2"/>
  <c r="FS357" i="2"/>
  <c r="FS324" i="2"/>
  <c r="FS288" i="2"/>
  <c r="FS246" i="2"/>
  <c r="FS111" i="2"/>
  <c r="FS156" i="2"/>
  <c r="FS199" i="2"/>
  <c r="FS65" i="2"/>
  <c r="C544" i="2"/>
  <c r="C502" i="2"/>
  <c r="C461" i="2"/>
  <c r="C421" i="2"/>
  <c r="C381" i="2"/>
  <c r="C358" i="2"/>
  <c r="C325" i="2"/>
  <c r="C289" i="2"/>
  <c r="C247" i="2"/>
  <c r="C112" i="2"/>
  <c r="C157" i="2"/>
  <c r="C200" i="2"/>
  <c r="C66" i="2"/>
  <c r="G544" i="2"/>
  <c r="G502" i="2"/>
  <c r="G461" i="2"/>
  <c r="G421" i="2"/>
  <c r="G381" i="2"/>
  <c r="G358" i="2"/>
  <c r="G325" i="2"/>
  <c r="G289" i="2"/>
  <c r="G247" i="2"/>
  <c r="G112" i="2"/>
  <c r="G157" i="2"/>
  <c r="G200" i="2"/>
  <c r="G66" i="2"/>
  <c r="K544" i="2"/>
  <c r="K502" i="2"/>
  <c r="K461" i="2"/>
  <c r="K381" i="2"/>
  <c r="K421" i="2"/>
  <c r="K358" i="2"/>
  <c r="K325" i="2"/>
  <c r="K289" i="2"/>
  <c r="K247" i="2"/>
  <c r="K112" i="2"/>
  <c r="K157" i="2"/>
  <c r="K200" i="2"/>
  <c r="K66" i="2"/>
  <c r="O544" i="2"/>
  <c r="O502" i="2"/>
  <c r="O461" i="2"/>
  <c r="O421" i="2"/>
  <c r="O381" i="2"/>
  <c r="O358" i="2"/>
  <c r="O325" i="2"/>
  <c r="O289" i="2"/>
  <c r="O247" i="2"/>
  <c r="O112" i="2"/>
  <c r="O157" i="2"/>
  <c r="O200" i="2"/>
  <c r="O66" i="2"/>
  <c r="S544" i="2"/>
  <c r="S502" i="2"/>
  <c r="S461" i="2"/>
  <c r="S381" i="2"/>
  <c r="S421" i="2"/>
  <c r="S358" i="2"/>
  <c r="S325" i="2"/>
  <c r="S289" i="2"/>
  <c r="S247" i="2"/>
  <c r="S112" i="2"/>
  <c r="S157" i="2"/>
  <c r="S200" i="2"/>
  <c r="S66" i="2"/>
  <c r="W544" i="2"/>
  <c r="W502" i="2"/>
  <c r="W461" i="2"/>
  <c r="W421" i="2"/>
  <c r="W381" i="2"/>
  <c r="W358" i="2"/>
  <c r="W325" i="2"/>
  <c r="W289" i="2"/>
  <c r="W247" i="2"/>
  <c r="W112" i="2"/>
  <c r="W157" i="2"/>
  <c r="W200" i="2"/>
  <c r="W66" i="2"/>
  <c r="AA544" i="2"/>
  <c r="AA502" i="2"/>
  <c r="AA461" i="2"/>
  <c r="AA381" i="2"/>
  <c r="AA358" i="2"/>
  <c r="AA325" i="2"/>
  <c r="AA421" i="2"/>
  <c r="AA289" i="2"/>
  <c r="AA247" i="2"/>
  <c r="AA112" i="2"/>
  <c r="AA157" i="2"/>
  <c r="AA200" i="2"/>
  <c r="AA66" i="2"/>
  <c r="AE544" i="2"/>
  <c r="AE502" i="2"/>
  <c r="AE461" i="2"/>
  <c r="AE421" i="2"/>
  <c r="AE381" i="2"/>
  <c r="AE358" i="2"/>
  <c r="AE325" i="2"/>
  <c r="AE289" i="2"/>
  <c r="AE247" i="2"/>
  <c r="AE112" i="2"/>
  <c r="AE157" i="2"/>
  <c r="AE200" i="2"/>
  <c r="AE66" i="2"/>
  <c r="AI544" i="2"/>
  <c r="AI502" i="2"/>
  <c r="AI461" i="2"/>
  <c r="AI421" i="2"/>
  <c r="AI381" i="2"/>
  <c r="AI358" i="2"/>
  <c r="AI325" i="2"/>
  <c r="AI289" i="2"/>
  <c r="AI247" i="2"/>
  <c r="AI112" i="2"/>
  <c r="AI157" i="2"/>
  <c r="AI200" i="2"/>
  <c r="AI66" i="2"/>
  <c r="AM544" i="2"/>
  <c r="AM502" i="2"/>
  <c r="AM461" i="2"/>
  <c r="AM421" i="2"/>
  <c r="AM381" i="2"/>
  <c r="AM358" i="2"/>
  <c r="AM325" i="2"/>
  <c r="AM289" i="2"/>
  <c r="AM247" i="2"/>
  <c r="AM112" i="2"/>
  <c r="AM157" i="2"/>
  <c r="AM200" i="2"/>
  <c r="AM66" i="2"/>
  <c r="AQ544" i="2"/>
  <c r="AQ502" i="2"/>
  <c r="AQ461" i="2"/>
  <c r="AQ381" i="2"/>
  <c r="AQ421" i="2"/>
  <c r="AQ358" i="2"/>
  <c r="AQ325" i="2"/>
  <c r="AQ289" i="2"/>
  <c r="AQ247" i="2"/>
  <c r="AQ112" i="2"/>
  <c r="AQ157" i="2"/>
  <c r="AQ200" i="2"/>
  <c r="AQ66" i="2"/>
  <c r="AU544" i="2"/>
  <c r="AU502" i="2"/>
  <c r="AU461" i="2"/>
  <c r="AU421" i="2"/>
  <c r="AU381" i="2"/>
  <c r="AU358" i="2"/>
  <c r="AU325" i="2"/>
  <c r="AU289" i="2"/>
  <c r="AU247" i="2"/>
  <c r="AU112" i="2"/>
  <c r="AU157" i="2"/>
  <c r="AU200" i="2"/>
  <c r="AU66" i="2"/>
  <c r="AY544" i="2"/>
  <c r="AY502" i="2"/>
  <c r="AY421" i="2"/>
  <c r="AY461" i="2"/>
  <c r="AY381" i="2"/>
  <c r="AY358" i="2"/>
  <c r="AY325" i="2"/>
  <c r="AY289" i="2"/>
  <c r="AY247" i="2"/>
  <c r="AY112" i="2"/>
  <c r="AY157" i="2"/>
  <c r="AY200" i="2"/>
  <c r="AY66" i="2"/>
  <c r="BC544" i="2"/>
  <c r="BC502" i="2"/>
  <c r="BC461" i="2"/>
  <c r="BC421" i="2"/>
  <c r="BC381" i="2"/>
  <c r="BC358" i="2"/>
  <c r="BC325" i="2"/>
  <c r="BC289" i="2"/>
  <c r="BC247" i="2"/>
  <c r="BC112" i="2"/>
  <c r="BC157" i="2"/>
  <c r="BC200" i="2"/>
  <c r="BC66" i="2"/>
  <c r="BG544" i="2"/>
  <c r="BG421" i="2"/>
  <c r="BG461" i="2"/>
  <c r="BG502" i="2"/>
  <c r="BG381" i="2"/>
  <c r="BG358" i="2"/>
  <c r="BG325" i="2"/>
  <c r="BG289" i="2"/>
  <c r="BG247" i="2"/>
  <c r="BG112" i="2"/>
  <c r="BG157" i="2"/>
  <c r="BG200" i="2"/>
  <c r="BG66" i="2"/>
  <c r="BK544" i="2"/>
  <c r="BK502" i="2"/>
  <c r="BK461" i="2"/>
  <c r="BK421" i="2"/>
  <c r="BK381" i="2"/>
  <c r="BK358" i="2"/>
  <c r="BK325" i="2"/>
  <c r="BK289" i="2"/>
  <c r="BK247" i="2"/>
  <c r="BK112" i="2"/>
  <c r="BK157" i="2"/>
  <c r="BK200" i="2"/>
  <c r="BK66" i="2"/>
  <c r="BO544" i="2"/>
  <c r="BO502" i="2"/>
  <c r="BO421" i="2"/>
  <c r="BO461" i="2"/>
  <c r="BO381" i="2"/>
  <c r="BO358" i="2"/>
  <c r="BO325" i="2"/>
  <c r="BO289" i="2"/>
  <c r="BO247" i="2"/>
  <c r="BO112" i="2"/>
  <c r="BO157" i="2"/>
  <c r="BO200" i="2"/>
  <c r="BO66" i="2"/>
  <c r="BS544" i="2"/>
  <c r="BS502" i="2"/>
  <c r="BS461" i="2"/>
  <c r="BS421" i="2"/>
  <c r="BS381" i="2"/>
  <c r="BS358" i="2"/>
  <c r="BS325" i="2"/>
  <c r="BS289" i="2"/>
  <c r="BS247" i="2"/>
  <c r="BS112" i="2"/>
  <c r="BS157" i="2"/>
  <c r="BS200" i="2"/>
  <c r="BS66" i="2"/>
  <c r="BW544" i="2"/>
  <c r="BW421" i="2"/>
  <c r="BW502" i="2"/>
  <c r="BW461" i="2"/>
  <c r="BW381" i="2"/>
  <c r="BW358" i="2"/>
  <c r="BW325" i="2"/>
  <c r="BW289" i="2"/>
  <c r="BW247" i="2"/>
  <c r="BW112" i="2"/>
  <c r="BW157" i="2"/>
  <c r="BW200" i="2"/>
  <c r="BW66" i="2"/>
  <c r="CA544" i="2"/>
  <c r="CA502" i="2"/>
  <c r="CA461" i="2"/>
  <c r="CA421" i="2"/>
  <c r="CA381" i="2"/>
  <c r="CA358" i="2"/>
  <c r="CA325" i="2"/>
  <c r="CA289" i="2"/>
  <c r="CA247" i="2"/>
  <c r="CA112" i="2"/>
  <c r="CA157" i="2"/>
  <c r="CA200" i="2"/>
  <c r="CA66" i="2"/>
  <c r="CE544" i="2"/>
  <c r="CE502" i="2"/>
  <c r="CE421" i="2"/>
  <c r="CE461" i="2"/>
  <c r="CE381" i="2"/>
  <c r="CE358" i="2"/>
  <c r="CE325" i="2"/>
  <c r="CE289" i="2"/>
  <c r="CE247" i="2"/>
  <c r="CE112" i="2"/>
  <c r="CE157" i="2"/>
  <c r="CE200" i="2"/>
  <c r="CE66" i="2"/>
  <c r="CI544" i="2"/>
  <c r="CI502" i="2"/>
  <c r="CI461" i="2"/>
  <c r="CI421" i="2"/>
  <c r="CI381" i="2"/>
  <c r="CI358" i="2"/>
  <c r="CI325" i="2"/>
  <c r="CI289" i="2"/>
  <c r="CI247" i="2"/>
  <c r="CI112" i="2"/>
  <c r="CI157" i="2"/>
  <c r="CI200" i="2"/>
  <c r="CI66" i="2"/>
  <c r="CM544" i="2"/>
  <c r="CM502" i="2"/>
  <c r="CM421" i="2"/>
  <c r="CM461" i="2"/>
  <c r="CM381" i="2"/>
  <c r="CM358" i="2"/>
  <c r="CM325" i="2"/>
  <c r="CM289" i="2"/>
  <c r="CM247" i="2"/>
  <c r="CM112" i="2"/>
  <c r="CM157" i="2"/>
  <c r="CM200" i="2"/>
  <c r="CM66" i="2"/>
  <c r="CQ544" i="2"/>
  <c r="CQ502" i="2"/>
  <c r="CQ461" i="2"/>
  <c r="CQ421" i="2"/>
  <c r="CQ381" i="2"/>
  <c r="CQ358" i="2"/>
  <c r="CQ325" i="2"/>
  <c r="CQ289" i="2"/>
  <c r="CQ247" i="2"/>
  <c r="CQ112" i="2"/>
  <c r="CQ157" i="2"/>
  <c r="CQ200" i="2"/>
  <c r="CQ66" i="2"/>
  <c r="CU544" i="2"/>
  <c r="CU502" i="2"/>
  <c r="CU421" i="2"/>
  <c r="CU461" i="2"/>
  <c r="CU381" i="2"/>
  <c r="CU358" i="2"/>
  <c r="CU325" i="2"/>
  <c r="CU289" i="2"/>
  <c r="CU247" i="2"/>
  <c r="CU112" i="2"/>
  <c r="CU157" i="2"/>
  <c r="CU200" i="2"/>
  <c r="CU66" i="2"/>
  <c r="CY544" i="2"/>
  <c r="CY502" i="2"/>
  <c r="CY461" i="2"/>
  <c r="CY421" i="2"/>
  <c r="CY381" i="2"/>
  <c r="CY358" i="2"/>
  <c r="CY325" i="2"/>
  <c r="CY289" i="2"/>
  <c r="CY247" i="2"/>
  <c r="CY112" i="2"/>
  <c r="CY157" i="2"/>
  <c r="CY200" i="2"/>
  <c r="CY66" i="2"/>
  <c r="DC544" i="2"/>
  <c r="DC502" i="2"/>
  <c r="DC421" i="2"/>
  <c r="DC461" i="2"/>
  <c r="DC381" i="2"/>
  <c r="DC358" i="2"/>
  <c r="DC325" i="2"/>
  <c r="DC289" i="2"/>
  <c r="DC247" i="2"/>
  <c r="DC112" i="2"/>
  <c r="DC157" i="2"/>
  <c r="DC200" i="2"/>
  <c r="DC66" i="2"/>
  <c r="DG544" i="2"/>
  <c r="DG502" i="2"/>
  <c r="DG461" i="2"/>
  <c r="DG421" i="2"/>
  <c r="DG381" i="2"/>
  <c r="DG358" i="2"/>
  <c r="DG325" i="2"/>
  <c r="DG289" i="2"/>
  <c r="DG247" i="2"/>
  <c r="DG112" i="2"/>
  <c r="DG157" i="2"/>
  <c r="DG200" i="2"/>
  <c r="DG66" i="2"/>
  <c r="DK502" i="2"/>
  <c r="DK544" i="2"/>
  <c r="DK421" i="2"/>
  <c r="DK461" i="2"/>
  <c r="DK381" i="2"/>
  <c r="DK358" i="2"/>
  <c r="DK325" i="2"/>
  <c r="DK289" i="2"/>
  <c r="DK247" i="2"/>
  <c r="DK112" i="2"/>
  <c r="DK157" i="2"/>
  <c r="DK200" i="2"/>
  <c r="DK66" i="2"/>
  <c r="DO544" i="2"/>
  <c r="DO502" i="2"/>
  <c r="DO461" i="2"/>
  <c r="DO421" i="2"/>
  <c r="DO381" i="2"/>
  <c r="DO325" i="2"/>
  <c r="DO358" i="2"/>
  <c r="DO289" i="2"/>
  <c r="DO247" i="2"/>
  <c r="DO112" i="2"/>
  <c r="DO157" i="2"/>
  <c r="DO200" i="2"/>
  <c r="DO66" i="2"/>
  <c r="DS502" i="2"/>
  <c r="DS544" i="2"/>
  <c r="DS421" i="2"/>
  <c r="DS461" i="2"/>
  <c r="DS381" i="2"/>
  <c r="DS325" i="2"/>
  <c r="DS358" i="2"/>
  <c r="DS289" i="2"/>
  <c r="DS247" i="2"/>
  <c r="DS112" i="2"/>
  <c r="DS157" i="2"/>
  <c r="DS200" i="2"/>
  <c r="DS66" i="2"/>
  <c r="DW544" i="2"/>
  <c r="DW502" i="2"/>
  <c r="DW461" i="2"/>
  <c r="DW421" i="2"/>
  <c r="DW325" i="2"/>
  <c r="DW381" i="2"/>
  <c r="DW289" i="2"/>
  <c r="DW358" i="2"/>
  <c r="DW247" i="2"/>
  <c r="DW112" i="2"/>
  <c r="DW157" i="2"/>
  <c r="DW200" i="2"/>
  <c r="DW66" i="2"/>
  <c r="EB502" i="2"/>
  <c r="EB544" i="2"/>
  <c r="EB421" i="2"/>
  <c r="EB461" i="2"/>
  <c r="EB381" i="2"/>
  <c r="EB358" i="2"/>
  <c r="EB325" i="2"/>
  <c r="EB289" i="2"/>
  <c r="EB247" i="2"/>
  <c r="EB112" i="2"/>
  <c r="EB157" i="2"/>
  <c r="EB200" i="2"/>
  <c r="EB66" i="2"/>
  <c r="EF544" i="2"/>
  <c r="EF502" i="2"/>
  <c r="EF461" i="2"/>
  <c r="EF421" i="2"/>
  <c r="EF381" i="2"/>
  <c r="EF325" i="2"/>
  <c r="EF358" i="2"/>
  <c r="EF289" i="2"/>
  <c r="EF247" i="2"/>
  <c r="EF112" i="2"/>
  <c r="EF157" i="2"/>
  <c r="EF200" i="2"/>
  <c r="EF66" i="2"/>
  <c r="EJ502" i="2"/>
  <c r="EJ544" i="2"/>
  <c r="EJ421" i="2"/>
  <c r="EJ461" i="2"/>
  <c r="EJ381" i="2"/>
  <c r="EJ325" i="2"/>
  <c r="EJ358" i="2"/>
  <c r="EJ289" i="2"/>
  <c r="EJ247" i="2"/>
  <c r="EJ112" i="2"/>
  <c r="EJ157" i="2"/>
  <c r="EJ200" i="2"/>
  <c r="EJ66" i="2"/>
  <c r="EN544" i="2"/>
  <c r="EN502" i="2"/>
  <c r="EN461" i="2"/>
  <c r="EN421" i="2"/>
  <c r="EN381" i="2"/>
  <c r="EN325" i="2"/>
  <c r="EN289" i="2"/>
  <c r="EN247" i="2"/>
  <c r="EN358" i="2"/>
  <c r="EN112" i="2"/>
  <c r="EN157" i="2"/>
  <c r="EN200" i="2"/>
  <c r="EN66" i="2"/>
  <c r="ER544" i="2"/>
  <c r="ER502" i="2"/>
  <c r="ER421" i="2"/>
  <c r="ER461" i="2"/>
  <c r="ER381" i="2"/>
  <c r="ER358" i="2"/>
  <c r="ER325" i="2"/>
  <c r="ER289" i="2"/>
  <c r="ER247" i="2"/>
  <c r="ER112" i="2"/>
  <c r="ER157" i="2"/>
  <c r="ER200" i="2"/>
  <c r="ER66" i="2"/>
  <c r="EV544" i="2"/>
  <c r="EV502" i="2"/>
  <c r="EV461" i="2"/>
  <c r="EV421" i="2"/>
  <c r="EV381" i="2"/>
  <c r="EV325" i="2"/>
  <c r="EV358" i="2"/>
  <c r="EV289" i="2"/>
  <c r="EV247" i="2"/>
  <c r="EV112" i="2"/>
  <c r="EV157" i="2"/>
  <c r="EV200" i="2"/>
  <c r="EV66" i="2"/>
  <c r="EZ502" i="2"/>
  <c r="EZ544" i="2"/>
  <c r="EZ421" i="2"/>
  <c r="EZ461" i="2"/>
  <c r="EZ381" i="2"/>
  <c r="EZ325" i="2"/>
  <c r="EZ358" i="2"/>
  <c r="EZ289" i="2"/>
  <c r="EZ247" i="2"/>
  <c r="EZ112" i="2"/>
  <c r="EZ157" i="2"/>
  <c r="EZ200" i="2"/>
  <c r="EZ66" i="2"/>
  <c r="FD544" i="2"/>
  <c r="FD502" i="2"/>
  <c r="FD461" i="2"/>
  <c r="FD421" i="2"/>
  <c r="FD381" i="2"/>
  <c r="FD325" i="2"/>
  <c r="FD358" i="2"/>
  <c r="FD289" i="2"/>
  <c r="FD247" i="2"/>
  <c r="FD112" i="2"/>
  <c r="FD157" i="2"/>
  <c r="FD200" i="2"/>
  <c r="FD66" i="2"/>
  <c r="FH544" i="2"/>
  <c r="FH502" i="2"/>
  <c r="FH421" i="2"/>
  <c r="FH461" i="2"/>
  <c r="FH381" i="2"/>
  <c r="FH358" i="2"/>
  <c r="FH325" i="2"/>
  <c r="FH289" i="2"/>
  <c r="FH247" i="2"/>
  <c r="FH200" i="2"/>
  <c r="FH112" i="2"/>
  <c r="FH157" i="2"/>
  <c r="FH66" i="2"/>
  <c r="FL544" i="2"/>
  <c r="FL502" i="2"/>
  <c r="FL461" i="2"/>
  <c r="FL421" i="2"/>
  <c r="FL381" i="2"/>
  <c r="FL325" i="2"/>
  <c r="FL358" i="2"/>
  <c r="FL289" i="2"/>
  <c r="FL247" i="2"/>
  <c r="FL112" i="2"/>
  <c r="FL200" i="2"/>
  <c r="FL157" i="2"/>
  <c r="FL66" i="2"/>
  <c r="FP502" i="2"/>
  <c r="FP544" i="2"/>
  <c r="FP421" i="2"/>
  <c r="FP461" i="2"/>
  <c r="FP381" i="2"/>
  <c r="FP325" i="2"/>
  <c r="FP358" i="2"/>
  <c r="FP289" i="2"/>
  <c r="FP247" i="2"/>
  <c r="FP112" i="2"/>
  <c r="FP157" i="2"/>
  <c r="FP200" i="2"/>
  <c r="FP66" i="2"/>
  <c r="E545" i="2"/>
  <c r="E503" i="2"/>
  <c r="E462" i="2"/>
  <c r="E422" i="2"/>
  <c r="E382" i="2"/>
  <c r="E326" i="2"/>
  <c r="E290" i="2"/>
  <c r="E248" i="2"/>
  <c r="E113" i="2"/>
  <c r="E158" i="2"/>
  <c r="E359" i="2"/>
  <c r="E201" i="2"/>
  <c r="E67" i="2"/>
  <c r="I545" i="2"/>
  <c r="I503" i="2"/>
  <c r="I422" i="2"/>
  <c r="I462" i="2"/>
  <c r="I382" i="2"/>
  <c r="I359" i="2"/>
  <c r="I326" i="2"/>
  <c r="I290" i="2"/>
  <c r="I248" i="2"/>
  <c r="I201" i="2"/>
  <c r="I113" i="2"/>
  <c r="I158" i="2"/>
  <c r="I67" i="2"/>
  <c r="M545" i="2"/>
  <c r="M503" i="2"/>
  <c r="M462" i="2"/>
  <c r="M422" i="2"/>
  <c r="M326" i="2"/>
  <c r="M359" i="2"/>
  <c r="M290" i="2"/>
  <c r="M382" i="2"/>
  <c r="M248" i="2"/>
  <c r="M113" i="2"/>
  <c r="M201" i="2"/>
  <c r="M158" i="2"/>
  <c r="M67" i="2"/>
  <c r="Q545" i="2"/>
  <c r="Q503" i="2"/>
  <c r="Q422" i="2"/>
  <c r="Q462" i="2"/>
  <c r="Q382" i="2"/>
  <c r="Q326" i="2"/>
  <c r="Q359" i="2"/>
  <c r="Q290" i="2"/>
  <c r="Q248" i="2"/>
  <c r="Q113" i="2"/>
  <c r="Q158" i="2"/>
  <c r="Q201" i="2"/>
  <c r="Q67" i="2"/>
  <c r="U545" i="2"/>
  <c r="U503" i="2"/>
  <c r="U462" i="2"/>
  <c r="U422" i="2"/>
  <c r="U382" i="2"/>
  <c r="U326" i="2"/>
  <c r="U290" i="2"/>
  <c r="U359" i="2"/>
  <c r="U248" i="2"/>
  <c r="U113" i="2"/>
  <c r="U158" i="2"/>
  <c r="U201" i="2"/>
  <c r="U67" i="2"/>
  <c r="Y545" i="2"/>
  <c r="Y503" i="2"/>
  <c r="Y422" i="2"/>
  <c r="Y462" i="2"/>
  <c r="Y382" i="2"/>
  <c r="Y359" i="2"/>
  <c r="Y326" i="2"/>
  <c r="Y290" i="2"/>
  <c r="Y248" i="2"/>
  <c r="Y201" i="2"/>
  <c r="Y113" i="2"/>
  <c r="Y158" i="2"/>
  <c r="Y67" i="2"/>
  <c r="AC545" i="2"/>
  <c r="AC503" i="2"/>
  <c r="AC462" i="2"/>
  <c r="AC422" i="2"/>
  <c r="AC382" i="2"/>
  <c r="AC326" i="2"/>
  <c r="AC359" i="2"/>
  <c r="AC290" i="2"/>
  <c r="AC248" i="2"/>
  <c r="AC113" i="2"/>
  <c r="AC201" i="2"/>
  <c r="AC158" i="2"/>
  <c r="AC67" i="2"/>
  <c r="AG545" i="2"/>
  <c r="AG503" i="2"/>
  <c r="AG422" i="2"/>
  <c r="AG462" i="2"/>
  <c r="AG382" i="2"/>
  <c r="AG326" i="2"/>
  <c r="AG359" i="2"/>
  <c r="AG290" i="2"/>
  <c r="AG248" i="2"/>
  <c r="AG113" i="2"/>
  <c r="AG158" i="2"/>
  <c r="AG201" i="2"/>
  <c r="AG67" i="2"/>
  <c r="AK545" i="2"/>
  <c r="AK503" i="2"/>
  <c r="AK462" i="2"/>
  <c r="AK422" i="2"/>
  <c r="AK382" i="2"/>
  <c r="AK326" i="2"/>
  <c r="AK290" i="2"/>
  <c r="AK248" i="2"/>
  <c r="AK359" i="2"/>
  <c r="AK113" i="2"/>
  <c r="AK158" i="2"/>
  <c r="AK201" i="2"/>
  <c r="AK67" i="2"/>
  <c r="AO545" i="2"/>
  <c r="AO503" i="2"/>
  <c r="AO422" i="2"/>
  <c r="AO462" i="2"/>
  <c r="AO359" i="2"/>
  <c r="AO326" i="2"/>
  <c r="AO290" i="2"/>
  <c r="AO248" i="2"/>
  <c r="AO382" i="2"/>
  <c r="AO201" i="2"/>
  <c r="AO113" i="2"/>
  <c r="AO158" i="2"/>
  <c r="AO67" i="2"/>
  <c r="AS545" i="2"/>
  <c r="AS503" i="2"/>
  <c r="AS462" i="2"/>
  <c r="AS422" i="2"/>
  <c r="AS382" i="2"/>
  <c r="AS326" i="2"/>
  <c r="AS359" i="2"/>
  <c r="AS290" i="2"/>
  <c r="AS248" i="2"/>
  <c r="AS113" i="2"/>
  <c r="AS201" i="2"/>
  <c r="AS158" i="2"/>
  <c r="AS67" i="2"/>
  <c r="AW545" i="2"/>
  <c r="AW503" i="2"/>
  <c r="AW422" i="2"/>
  <c r="AW462" i="2"/>
  <c r="AW382" i="2"/>
  <c r="AW326" i="2"/>
  <c r="AW359" i="2"/>
  <c r="AW290" i="2"/>
  <c r="AW248" i="2"/>
  <c r="AW113" i="2"/>
  <c r="AW158" i="2"/>
  <c r="AW201" i="2"/>
  <c r="AW67" i="2"/>
  <c r="BA545" i="2"/>
  <c r="BA503" i="2"/>
  <c r="BA462" i="2"/>
  <c r="BA422" i="2"/>
  <c r="BA382" i="2"/>
  <c r="BA326" i="2"/>
  <c r="BA359" i="2"/>
  <c r="BA290" i="2"/>
  <c r="BA248" i="2"/>
  <c r="BA113" i="2"/>
  <c r="BA158" i="2"/>
  <c r="BA201" i="2"/>
  <c r="BA67" i="2"/>
  <c r="BE545" i="2"/>
  <c r="BE503" i="2"/>
  <c r="BE422" i="2"/>
  <c r="BE462" i="2"/>
  <c r="BE382" i="2"/>
  <c r="BE359" i="2"/>
  <c r="BE326" i="2"/>
  <c r="BE290" i="2"/>
  <c r="BE248" i="2"/>
  <c r="BE201" i="2"/>
  <c r="BE113" i="2"/>
  <c r="BE158" i="2"/>
  <c r="BE67" i="2"/>
  <c r="BI545" i="2"/>
  <c r="BI503" i="2"/>
  <c r="BI462" i="2"/>
  <c r="BI422" i="2"/>
  <c r="BI382" i="2"/>
  <c r="BI326" i="2"/>
  <c r="BI359" i="2"/>
  <c r="BI290" i="2"/>
  <c r="BI248" i="2"/>
  <c r="BI113" i="2"/>
  <c r="BI201" i="2"/>
  <c r="BI158" i="2"/>
  <c r="BI67" i="2"/>
  <c r="BM545" i="2"/>
  <c r="BM503" i="2"/>
  <c r="BM422" i="2"/>
  <c r="BM462" i="2"/>
  <c r="BM382" i="2"/>
  <c r="BM326" i="2"/>
  <c r="BM359" i="2"/>
  <c r="BM290" i="2"/>
  <c r="BM248" i="2"/>
  <c r="BM113" i="2"/>
  <c r="BM158" i="2"/>
  <c r="BM201" i="2"/>
  <c r="BM67" i="2"/>
  <c r="BQ545" i="2"/>
  <c r="BQ503" i="2"/>
  <c r="BQ462" i="2"/>
  <c r="BQ422" i="2"/>
  <c r="BQ326" i="2"/>
  <c r="BQ382" i="2"/>
  <c r="BQ290" i="2"/>
  <c r="BQ248" i="2"/>
  <c r="BQ359" i="2"/>
  <c r="BQ113" i="2"/>
  <c r="BQ158" i="2"/>
  <c r="BQ201" i="2"/>
  <c r="BQ67" i="2"/>
  <c r="BU545" i="2"/>
  <c r="BU503" i="2"/>
  <c r="BU422" i="2"/>
  <c r="BU462" i="2"/>
  <c r="BU382" i="2"/>
  <c r="BU359" i="2"/>
  <c r="BU326" i="2"/>
  <c r="BU290" i="2"/>
  <c r="BU248" i="2"/>
  <c r="BU201" i="2"/>
  <c r="BU113" i="2"/>
  <c r="BU158" i="2"/>
  <c r="BU67" i="2"/>
  <c r="BY545" i="2"/>
  <c r="BY503" i="2"/>
  <c r="BY462" i="2"/>
  <c r="BY422" i="2"/>
  <c r="BY326" i="2"/>
  <c r="BY359" i="2"/>
  <c r="BY382" i="2"/>
  <c r="BY290" i="2"/>
  <c r="BY248" i="2"/>
  <c r="BY113" i="2"/>
  <c r="BY201" i="2"/>
  <c r="BY158" i="2"/>
  <c r="BY67" i="2"/>
  <c r="CC545" i="2"/>
  <c r="CC503" i="2"/>
  <c r="CC422" i="2"/>
  <c r="CC462" i="2"/>
  <c r="CC382" i="2"/>
  <c r="CC326" i="2"/>
  <c r="CC359" i="2"/>
  <c r="CC290" i="2"/>
  <c r="CC248" i="2"/>
  <c r="CC113" i="2"/>
  <c r="CC158" i="2"/>
  <c r="CC201" i="2"/>
  <c r="CC67" i="2"/>
  <c r="CG545" i="2"/>
  <c r="CG503" i="2"/>
  <c r="CG462" i="2"/>
  <c r="CG422" i="2"/>
  <c r="CG382" i="2"/>
  <c r="CG326" i="2"/>
  <c r="CG290" i="2"/>
  <c r="CG359" i="2"/>
  <c r="CG248" i="2"/>
  <c r="CG113" i="2"/>
  <c r="CG158" i="2"/>
  <c r="CG201" i="2"/>
  <c r="CG67" i="2"/>
  <c r="CK545" i="2"/>
  <c r="CK503" i="2"/>
  <c r="CK422" i="2"/>
  <c r="CK462" i="2"/>
  <c r="CK382" i="2"/>
  <c r="CK359" i="2"/>
  <c r="CK326" i="2"/>
  <c r="CK290" i="2"/>
  <c r="CK248" i="2"/>
  <c r="CK201" i="2"/>
  <c r="CK113" i="2"/>
  <c r="CK158" i="2"/>
  <c r="CK67" i="2"/>
  <c r="CO545" i="2"/>
  <c r="CO503" i="2"/>
  <c r="CO462" i="2"/>
  <c r="CO422" i="2"/>
  <c r="CO382" i="2"/>
  <c r="CO326" i="2"/>
  <c r="CO359" i="2"/>
  <c r="CO290" i="2"/>
  <c r="CO248" i="2"/>
  <c r="CO113" i="2"/>
  <c r="CO201" i="2"/>
  <c r="CO158" i="2"/>
  <c r="CO67" i="2"/>
  <c r="CS545" i="2"/>
  <c r="CS503" i="2"/>
  <c r="CS422" i="2"/>
  <c r="CS462" i="2"/>
  <c r="CS382" i="2"/>
  <c r="CS326" i="2"/>
  <c r="CS359" i="2"/>
  <c r="CS290" i="2"/>
  <c r="CS248" i="2"/>
  <c r="CS113" i="2"/>
  <c r="CS158" i="2"/>
  <c r="CS201" i="2"/>
  <c r="CS67" i="2"/>
  <c r="CW545" i="2"/>
  <c r="CW503" i="2"/>
  <c r="CW462" i="2"/>
  <c r="CW422" i="2"/>
  <c r="CW382" i="2"/>
  <c r="CW326" i="2"/>
  <c r="CW290" i="2"/>
  <c r="CW248" i="2"/>
  <c r="CW359" i="2"/>
  <c r="CW113" i="2"/>
  <c r="CW158" i="2"/>
  <c r="CW201" i="2"/>
  <c r="CW67" i="2"/>
  <c r="DA545" i="2"/>
  <c r="DA503" i="2"/>
  <c r="DA422" i="2"/>
  <c r="DA462" i="2"/>
  <c r="DA359" i="2"/>
  <c r="DA326" i="2"/>
  <c r="DA382" i="2"/>
  <c r="DA290" i="2"/>
  <c r="DA248" i="2"/>
  <c r="DA201" i="2"/>
  <c r="DA113" i="2"/>
  <c r="DA158" i="2"/>
  <c r="DA67" i="2"/>
  <c r="DE545" i="2"/>
  <c r="DE503" i="2"/>
  <c r="DE462" i="2"/>
  <c r="DE422" i="2"/>
  <c r="DE382" i="2"/>
  <c r="DE326" i="2"/>
  <c r="DE359" i="2"/>
  <c r="DE290" i="2"/>
  <c r="DE248" i="2"/>
  <c r="DE113" i="2"/>
  <c r="DE201" i="2"/>
  <c r="DE158" i="2"/>
  <c r="DE67" i="2"/>
  <c r="DI545" i="2"/>
  <c r="DI503" i="2"/>
  <c r="DI422" i="2"/>
  <c r="DI462" i="2"/>
  <c r="DI382" i="2"/>
  <c r="DI326" i="2"/>
  <c r="DI359" i="2"/>
  <c r="DI290" i="2"/>
  <c r="DI248" i="2"/>
  <c r="DI113" i="2"/>
  <c r="DI158" i="2"/>
  <c r="DI201" i="2"/>
  <c r="DI67" i="2"/>
  <c r="DM545" i="2"/>
  <c r="DM503" i="2"/>
  <c r="DM462" i="2"/>
  <c r="DM422" i="2"/>
  <c r="DM382" i="2"/>
  <c r="DM326" i="2"/>
  <c r="DM359" i="2"/>
  <c r="DM290" i="2"/>
  <c r="DM248" i="2"/>
  <c r="DM113" i="2"/>
  <c r="DM158" i="2"/>
  <c r="DM201" i="2"/>
  <c r="DM67" i="2"/>
  <c r="DQ545" i="2"/>
  <c r="DQ503" i="2"/>
  <c r="DQ462" i="2"/>
  <c r="DQ422" i="2"/>
  <c r="DQ382" i="2"/>
  <c r="DQ359" i="2"/>
  <c r="DQ326" i="2"/>
  <c r="DQ290" i="2"/>
  <c r="DQ248" i="2"/>
  <c r="DQ201" i="2"/>
  <c r="DQ113" i="2"/>
  <c r="DQ158" i="2"/>
  <c r="DQ67" i="2"/>
  <c r="DU545" i="2"/>
  <c r="DU503" i="2"/>
  <c r="DU422" i="2"/>
  <c r="DU462" i="2"/>
  <c r="DU382" i="2"/>
  <c r="DU326" i="2"/>
  <c r="DU359" i="2"/>
  <c r="DU290" i="2"/>
  <c r="DU248" i="2"/>
  <c r="DU113" i="2"/>
  <c r="DU201" i="2"/>
  <c r="DU158" i="2"/>
  <c r="DU67" i="2"/>
  <c r="DY545" i="2"/>
  <c r="DY503" i="2"/>
  <c r="DY422" i="2"/>
  <c r="DY462" i="2"/>
  <c r="DY382" i="2"/>
  <c r="DY326" i="2"/>
  <c r="DY359" i="2"/>
  <c r="DY290" i="2"/>
  <c r="DY248" i="2"/>
  <c r="DY113" i="2"/>
  <c r="DY158" i="2"/>
  <c r="DY201" i="2"/>
  <c r="DY67" i="2"/>
  <c r="EE545" i="2"/>
  <c r="EE503" i="2"/>
  <c r="EE462" i="2"/>
  <c r="EE422" i="2"/>
  <c r="EE326" i="2"/>
  <c r="EE382" i="2"/>
  <c r="EE290" i="2"/>
  <c r="EE248" i="2"/>
  <c r="EE113" i="2"/>
  <c r="EE359" i="2"/>
  <c r="EE158" i="2"/>
  <c r="EE201" i="2"/>
  <c r="EE67" i="2"/>
  <c r="EI545" i="2"/>
  <c r="EI503" i="2"/>
  <c r="EI462" i="2"/>
  <c r="EI422" i="2"/>
  <c r="EI382" i="2"/>
  <c r="EI359" i="2"/>
  <c r="EI326" i="2"/>
  <c r="EI290" i="2"/>
  <c r="EI248" i="2"/>
  <c r="EI201" i="2"/>
  <c r="EI113" i="2"/>
  <c r="EI158" i="2"/>
  <c r="EI67" i="2"/>
  <c r="EM545" i="2"/>
  <c r="EM503" i="2"/>
  <c r="EM422" i="2"/>
  <c r="EM462" i="2"/>
  <c r="EM326" i="2"/>
  <c r="EM382" i="2"/>
  <c r="EM359" i="2"/>
  <c r="EM290" i="2"/>
  <c r="EM248" i="2"/>
  <c r="EM113" i="2"/>
  <c r="EM201" i="2"/>
  <c r="EM158" i="2"/>
  <c r="EQ545" i="2"/>
  <c r="EQ503" i="2"/>
  <c r="EQ422" i="2"/>
  <c r="EQ462" i="2"/>
  <c r="EQ382" i="2"/>
  <c r="EQ326" i="2"/>
  <c r="EQ359" i="2"/>
  <c r="EQ290" i="2"/>
  <c r="EQ248" i="2"/>
  <c r="EQ113" i="2"/>
  <c r="EQ158" i="2"/>
  <c r="EQ201" i="2"/>
  <c r="EU545" i="2"/>
  <c r="EU503" i="2"/>
  <c r="EU462" i="2"/>
  <c r="EU422" i="2"/>
  <c r="EU382" i="2"/>
  <c r="EU326" i="2"/>
  <c r="EU290" i="2"/>
  <c r="EU359" i="2"/>
  <c r="EU248" i="2"/>
  <c r="EU113" i="2"/>
  <c r="EU158" i="2"/>
  <c r="EU201" i="2"/>
  <c r="EY545" i="2"/>
  <c r="EY503" i="2"/>
  <c r="EY462" i="2"/>
  <c r="EY422" i="2"/>
  <c r="EY382" i="2"/>
  <c r="EY359" i="2"/>
  <c r="EY326" i="2"/>
  <c r="EY290" i="2"/>
  <c r="EY248" i="2"/>
  <c r="EY201" i="2"/>
  <c r="EY113" i="2"/>
  <c r="EY158" i="2"/>
  <c r="FC545" i="2"/>
  <c r="FC503" i="2"/>
  <c r="FC422" i="2"/>
  <c r="FC462" i="2"/>
  <c r="FC382" i="2"/>
  <c r="FC326" i="2"/>
  <c r="FC359" i="2"/>
  <c r="FC290" i="2"/>
  <c r="FC248" i="2"/>
  <c r="FC113" i="2"/>
  <c r="FC201" i="2"/>
  <c r="FC158" i="2"/>
  <c r="FG545" i="2"/>
  <c r="FG503" i="2"/>
  <c r="FG422" i="2"/>
  <c r="FG462" i="2"/>
  <c r="FG382" i="2"/>
  <c r="FG326" i="2"/>
  <c r="FG359" i="2"/>
  <c r="FG290" i="2"/>
  <c r="FG248" i="2"/>
  <c r="FG113" i="2"/>
  <c r="FG158" i="2"/>
  <c r="FG201" i="2"/>
  <c r="FK545" i="2"/>
  <c r="FK503" i="2"/>
  <c r="FK462" i="2"/>
  <c r="FK422" i="2"/>
  <c r="FK382" i="2"/>
  <c r="FK326" i="2"/>
  <c r="FK290" i="2"/>
  <c r="FK248" i="2"/>
  <c r="FK359" i="2"/>
  <c r="FK113" i="2"/>
  <c r="FK158" i="2"/>
  <c r="FK201" i="2"/>
  <c r="FO545" i="2"/>
  <c r="FO503" i="2"/>
  <c r="FO462" i="2"/>
  <c r="FO422" i="2"/>
  <c r="FO359" i="2"/>
  <c r="FO326" i="2"/>
  <c r="FO382" i="2"/>
  <c r="FO290" i="2"/>
  <c r="FO248" i="2"/>
  <c r="FO201" i="2"/>
  <c r="FO113" i="2"/>
  <c r="FO158" i="2"/>
  <c r="FS545" i="2"/>
  <c r="FS503" i="2"/>
  <c r="FS422" i="2"/>
  <c r="FS462" i="2"/>
  <c r="FS382" i="2"/>
  <c r="FS326" i="2"/>
  <c r="FS359" i="2"/>
  <c r="FS290" i="2"/>
  <c r="FS248" i="2"/>
  <c r="FS113" i="2"/>
  <c r="FS201" i="2"/>
  <c r="FS158" i="2"/>
  <c r="DM33" i="2"/>
  <c r="DQ33" i="2"/>
  <c r="C22" i="2"/>
  <c r="S22" i="2"/>
  <c r="AE22" i="2"/>
  <c r="DK37" i="2"/>
  <c r="DO37" i="2"/>
  <c r="BP42" i="2"/>
  <c r="CR37" i="2"/>
  <c r="CR42" i="2"/>
  <c r="CV42" i="2"/>
  <c r="K65" i="2"/>
  <c r="AA65" i="2"/>
  <c r="BW65" i="2"/>
  <c r="DS65" i="2"/>
  <c r="EZ65" i="2"/>
  <c r="P67" i="2"/>
  <c r="BL67" i="2"/>
  <c r="DH67" i="2"/>
  <c r="EQ67" i="2"/>
  <c r="FG67" i="2"/>
  <c r="G111" i="2"/>
  <c r="AB113" i="2"/>
  <c r="FB113" i="2"/>
  <c r="C543" i="2"/>
  <c r="C460" i="2"/>
  <c r="C501" i="2"/>
  <c r="C420" i="2"/>
  <c r="C357" i="2"/>
  <c r="C380" i="2"/>
  <c r="C288" i="2"/>
  <c r="C199" i="2"/>
  <c r="C324" i="2"/>
  <c r="C156" i="2"/>
  <c r="C246" i="2"/>
  <c r="C111" i="2"/>
  <c r="W543" i="2"/>
  <c r="W460" i="2"/>
  <c r="W501" i="2"/>
  <c r="W420" i="2"/>
  <c r="W380" i="2"/>
  <c r="W357" i="2"/>
  <c r="W324" i="2"/>
  <c r="W199" i="2"/>
  <c r="W246" i="2"/>
  <c r="W156" i="2"/>
  <c r="W288" i="2"/>
  <c r="AI543" i="2"/>
  <c r="AI460" i="2"/>
  <c r="AI501" i="2"/>
  <c r="AI420" i="2"/>
  <c r="AI357" i="2"/>
  <c r="AI380" i="2"/>
  <c r="AI288" i="2"/>
  <c r="AI199" i="2"/>
  <c r="AI324" i="2"/>
  <c r="AI156" i="2"/>
  <c r="AI246" i="2"/>
  <c r="AI111" i="2"/>
  <c r="AU543" i="2"/>
  <c r="AU460" i="2"/>
  <c r="AU501" i="2"/>
  <c r="AU420" i="2"/>
  <c r="AU357" i="2"/>
  <c r="AU324" i="2"/>
  <c r="AU199" i="2"/>
  <c r="AU288" i="2"/>
  <c r="AU246" i="2"/>
  <c r="AU380" i="2"/>
  <c r="AU156" i="2"/>
  <c r="AU111" i="2"/>
  <c r="BG543" i="2"/>
  <c r="BG501" i="2"/>
  <c r="BG460" i="2"/>
  <c r="BG420" i="2"/>
  <c r="BG380" i="2"/>
  <c r="BG357" i="2"/>
  <c r="BG324" i="2"/>
  <c r="BG199" i="2"/>
  <c r="BG288" i="2"/>
  <c r="BG156" i="2"/>
  <c r="BG246" i="2"/>
  <c r="BG111" i="2"/>
  <c r="BS543" i="2"/>
  <c r="BS460" i="2"/>
  <c r="BS501" i="2"/>
  <c r="BS420" i="2"/>
  <c r="BS380" i="2"/>
  <c r="BS357" i="2"/>
  <c r="BS324" i="2"/>
  <c r="BS199" i="2"/>
  <c r="BS246" i="2"/>
  <c r="BS156" i="2"/>
  <c r="BS288" i="2"/>
  <c r="CA543" i="2"/>
  <c r="CA460" i="2"/>
  <c r="CA501" i="2"/>
  <c r="CA420" i="2"/>
  <c r="CA357" i="2"/>
  <c r="CA324" i="2"/>
  <c r="CA380" i="2"/>
  <c r="CA199" i="2"/>
  <c r="CA288" i="2"/>
  <c r="CA246" i="2"/>
  <c r="CA156" i="2"/>
  <c r="CA111" i="2"/>
  <c r="CM543" i="2"/>
  <c r="CM501" i="2"/>
  <c r="CM460" i="2"/>
  <c r="CM420" i="2"/>
  <c r="CM380" i="2"/>
  <c r="CM357" i="2"/>
  <c r="CM324" i="2"/>
  <c r="CM199" i="2"/>
  <c r="CM288" i="2"/>
  <c r="CM156" i="2"/>
  <c r="CM246" i="2"/>
  <c r="CM111" i="2"/>
  <c r="DC543" i="2"/>
  <c r="DC501" i="2"/>
  <c r="DC460" i="2"/>
  <c r="DC420" i="2"/>
  <c r="DC380" i="2"/>
  <c r="DC357" i="2"/>
  <c r="DC324" i="2"/>
  <c r="DC199" i="2"/>
  <c r="DC288" i="2"/>
  <c r="DC156" i="2"/>
  <c r="DC246" i="2"/>
  <c r="DC111" i="2"/>
  <c r="DO543" i="2"/>
  <c r="DO501" i="2"/>
  <c r="DO460" i="2"/>
  <c r="DO420" i="2"/>
  <c r="DO380" i="2"/>
  <c r="DO357" i="2"/>
  <c r="DO324" i="2"/>
  <c r="DO199" i="2"/>
  <c r="DO246" i="2"/>
  <c r="DO156" i="2"/>
  <c r="DO288" i="2"/>
  <c r="EF543" i="2"/>
  <c r="EF501" i="2"/>
  <c r="EF460" i="2"/>
  <c r="EF420" i="2"/>
  <c r="EF380" i="2"/>
  <c r="EF357" i="2"/>
  <c r="EF324" i="2"/>
  <c r="EF199" i="2"/>
  <c r="EF246" i="2"/>
  <c r="EF156" i="2"/>
  <c r="EF288" i="2"/>
  <c r="ER543" i="2"/>
  <c r="ER460" i="2"/>
  <c r="ER501" i="2"/>
  <c r="ER420" i="2"/>
  <c r="ER380" i="2"/>
  <c r="ER357" i="2"/>
  <c r="ER288" i="2"/>
  <c r="ER199" i="2"/>
  <c r="ER324" i="2"/>
  <c r="ER156" i="2"/>
  <c r="ER246" i="2"/>
  <c r="ER111" i="2"/>
  <c r="FD543" i="2"/>
  <c r="FD501" i="2"/>
  <c r="FD460" i="2"/>
  <c r="FD420" i="2"/>
  <c r="FD380" i="2"/>
  <c r="FD357" i="2"/>
  <c r="FD324" i="2"/>
  <c r="FD199" i="2"/>
  <c r="FD288" i="2"/>
  <c r="FD246" i="2"/>
  <c r="FD156" i="2"/>
  <c r="FD111" i="2"/>
  <c r="FP543" i="2"/>
  <c r="FP460" i="2"/>
  <c r="FP501" i="2"/>
  <c r="FP420" i="2"/>
  <c r="FP380" i="2"/>
  <c r="FP199" i="2"/>
  <c r="FP357" i="2"/>
  <c r="FP324" i="2"/>
  <c r="FP288" i="2"/>
  <c r="FP156" i="2"/>
  <c r="FP246" i="2"/>
  <c r="FP111" i="2"/>
  <c r="L545" i="2"/>
  <c r="L503" i="2"/>
  <c r="L462" i="2"/>
  <c r="L422" i="2"/>
  <c r="L382" i="2"/>
  <c r="L359" i="2"/>
  <c r="L326" i="2"/>
  <c r="L201" i="2"/>
  <c r="L248" i="2"/>
  <c r="L158" i="2"/>
  <c r="L290" i="2"/>
  <c r="X545" i="2"/>
  <c r="X462" i="2"/>
  <c r="X503" i="2"/>
  <c r="X382" i="2"/>
  <c r="X359" i="2"/>
  <c r="X201" i="2"/>
  <c r="X422" i="2"/>
  <c r="X326" i="2"/>
  <c r="X290" i="2"/>
  <c r="X158" i="2"/>
  <c r="X248" i="2"/>
  <c r="X113" i="2"/>
  <c r="AF545" i="2"/>
  <c r="AF462" i="2"/>
  <c r="AF503" i="2"/>
  <c r="AF422" i="2"/>
  <c r="AF382" i="2"/>
  <c r="AF359" i="2"/>
  <c r="AF201" i="2"/>
  <c r="AF326" i="2"/>
  <c r="AF290" i="2"/>
  <c r="AF158" i="2"/>
  <c r="AF248" i="2"/>
  <c r="AF113" i="2"/>
  <c r="AR545" i="2"/>
  <c r="AR503" i="2"/>
  <c r="AR462" i="2"/>
  <c r="AR422" i="2"/>
  <c r="AR382" i="2"/>
  <c r="AR359" i="2"/>
  <c r="AR326" i="2"/>
  <c r="AR201" i="2"/>
  <c r="AR248" i="2"/>
  <c r="AR158" i="2"/>
  <c r="AR290" i="2"/>
  <c r="BD545" i="2"/>
  <c r="BD462" i="2"/>
  <c r="BD503" i="2"/>
  <c r="BD422" i="2"/>
  <c r="BD382" i="2"/>
  <c r="BD359" i="2"/>
  <c r="BD201" i="2"/>
  <c r="BD326" i="2"/>
  <c r="BD290" i="2"/>
  <c r="BD158" i="2"/>
  <c r="BD248" i="2"/>
  <c r="BD113" i="2"/>
  <c r="BP545" i="2"/>
  <c r="BP503" i="2"/>
  <c r="BP462" i="2"/>
  <c r="BP422" i="2"/>
  <c r="BP382" i="2"/>
  <c r="BP359" i="2"/>
  <c r="BP326" i="2"/>
  <c r="BP201" i="2"/>
  <c r="BP290" i="2"/>
  <c r="BP248" i="2"/>
  <c r="BP158" i="2"/>
  <c r="BP113" i="2"/>
  <c r="CB545" i="2"/>
  <c r="CB462" i="2"/>
  <c r="CB503" i="2"/>
  <c r="CB422" i="2"/>
  <c r="CB382" i="2"/>
  <c r="CB201" i="2"/>
  <c r="CB326" i="2"/>
  <c r="CB359" i="2"/>
  <c r="CB290" i="2"/>
  <c r="CB158" i="2"/>
  <c r="CB248" i="2"/>
  <c r="CB113" i="2"/>
  <c r="CN545" i="2"/>
  <c r="CN503" i="2"/>
  <c r="CN462" i="2"/>
  <c r="CN422" i="2"/>
  <c r="CN382" i="2"/>
  <c r="CN359" i="2"/>
  <c r="CN326" i="2"/>
  <c r="CN201" i="2"/>
  <c r="CN248" i="2"/>
  <c r="CN158" i="2"/>
  <c r="CN290" i="2"/>
  <c r="CZ545" i="2"/>
  <c r="CZ462" i="2"/>
  <c r="CZ503" i="2"/>
  <c r="CZ422" i="2"/>
  <c r="CZ382" i="2"/>
  <c r="CZ359" i="2"/>
  <c r="CZ201" i="2"/>
  <c r="CZ326" i="2"/>
  <c r="CZ290" i="2"/>
  <c r="CZ158" i="2"/>
  <c r="CZ248" i="2"/>
  <c r="CZ113" i="2"/>
  <c r="DL545" i="2"/>
  <c r="DL503" i="2"/>
  <c r="DL462" i="2"/>
  <c r="DL422" i="2"/>
  <c r="DL382" i="2"/>
  <c r="DL359" i="2"/>
  <c r="DL326" i="2"/>
  <c r="DL201" i="2"/>
  <c r="DL290" i="2"/>
  <c r="DL248" i="2"/>
  <c r="DL158" i="2"/>
  <c r="DL113" i="2"/>
  <c r="DX545" i="2"/>
  <c r="DX462" i="2"/>
  <c r="DX503" i="2"/>
  <c r="DX422" i="2"/>
  <c r="DX382" i="2"/>
  <c r="DX201" i="2"/>
  <c r="DX359" i="2"/>
  <c r="DX326" i="2"/>
  <c r="DX290" i="2"/>
  <c r="DX158" i="2"/>
  <c r="DX248" i="2"/>
  <c r="DX113" i="2"/>
  <c r="EL545" i="2"/>
  <c r="EL503" i="2"/>
  <c r="EL462" i="2"/>
  <c r="EL422" i="2"/>
  <c r="EL382" i="2"/>
  <c r="EL359" i="2"/>
  <c r="EL326" i="2"/>
  <c r="EL201" i="2"/>
  <c r="EL248" i="2"/>
  <c r="EL158" i="2"/>
  <c r="EL290" i="2"/>
  <c r="EX545" i="2"/>
  <c r="EX462" i="2"/>
  <c r="EX503" i="2"/>
  <c r="EX382" i="2"/>
  <c r="EX422" i="2"/>
  <c r="EX359" i="2"/>
  <c r="EX201" i="2"/>
  <c r="EX326" i="2"/>
  <c r="EX290" i="2"/>
  <c r="EX158" i="2"/>
  <c r="EX248" i="2"/>
  <c r="EX113" i="2"/>
  <c r="EX67" i="2"/>
  <c r="FN545" i="2"/>
  <c r="FN462" i="2"/>
  <c r="FN503" i="2"/>
  <c r="FN422" i="2"/>
  <c r="FN382" i="2"/>
  <c r="FN359" i="2"/>
  <c r="FN201" i="2"/>
  <c r="FN326" i="2"/>
  <c r="FN290" i="2"/>
  <c r="FN158" i="2"/>
  <c r="FN248" i="2"/>
  <c r="FN113" i="2"/>
  <c r="FN67" i="2"/>
  <c r="W22" i="2"/>
  <c r="CJ37" i="2"/>
  <c r="CJ42" i="2"/>
  <c r="DK39" i="2"/>
  <c r="BC65" i="2"/>
  <c r="CI65" i="2"/>
  <c r="DO65" i="2"/>
  <c r="AR113" i="2"/>
  <c r="FR544" i="2"/>
  <c r="FR461" i="2"/>
  <c r="FR502" i="2"/>
  <c r="FR421" i="2"/>
  <c r="FR381" i="2"/>
  <c r="FR325" i="2"/>
  <c r="FR289" i="2"/>
  <c r="FR247" i="2"/>
  <c r="FR157" i="2"/>
  <c r="FR358" i="2"/>
  <c r="FR200" i="2"/>
  <c r="FR66" i="2"/>
  <c r="FR112" i="2"/>
  <c r="E543" i="2"/>
  <c r="E501" i="2"/>
  <c r="E460" i="2"/>
  <c r="E420" i="2"/>
  <c r="E380" i="2"/>
  <c r="E357" i="2"/>
  <c r="E324" i="2"/>
  <c r="E288" i="2"/>
  <c r="E156" i="2"/>
  <c r="E246" i="2"/>
  <c r="E199" i="2"/>
  <c r="E111" i="2"/>
  <c r="E65" i="2"/>
  <c r="I543" i="2"/>
  <c r="I501" i="2"/>
  <c r="I460" i="2"/>
  <c r="I420" i="2"/>
  <c r="I380" i="2"/>
  <c r="I357" i="2"/>
  <c r="I324" i="2"/>
  <c r="I288" i="2"/>
  <c r="I246" i="2"/>
  <c r="I156" i="2"/>
  <c r="I199" i="2"/>
  <c r="I65" i="2"/>
  <c r="I111" i="2"/>
  <c r="M543" i="2"/>
  <c r="M501" i="2"/>
  <c r="M460" i="2"/>
  <c r="M420" i="2"/>
  <c r="M380" i="2"/>
  <c r="M357" i="2"/>
  <c r="M324" i="2"/>
  <c r="M288" i="2"/>
  <c r="M156" i="2"/>
  <c r="M246" i="2"/>
  <c r="M199" i="2"/>
  <c r="M65" i="2"/>
  <c r="Q543" i="2"/>
  <c r="Q460" i="2"/>
  <c r="Q420" i="2"/>
  <c r="Q501" i="2"/>
  <c r="Q380" i="2"/>
  <c r="Q324" i="2"/>
  <c r="Q288" i="2"/>
  <c r="Q357" i="2"/>
  <c r="Q246" i="2"/>
  <c r="Q156" i="2"/>
  <c r="Q199" i="2"/>
  <c r="Q65" i="2"/>
  <c r="Q111" i="2"/>
  <c r="U543" i="2"/>
  <c r="U501" i="2"/>
  <c r="U460" i="2"/>
  <c r="U420" i="2"/>
  <c r="U380" i="2"/>
  <c r="U357" i="2"/>
  <c r="U324" i="2"/>
  <c r="U288" i="2"/>
  <c r="U156" i="2"/>
  <c r="U246" i="2"/>
  <c r="U199" i="2"/>
  <c r="U111" i="2"/>
  <c r="U65" i="2"/>
  <c r="Y543" i="2"/>
  <c r="Y501" i="2"/>
  <c r="Y460" i="2"/>
  <c r="Y420" i="2"/>
  <c r="Y380" i="2"/>
  <c r="Y357" i="2"/>
  <c r="Y288" i="2"/>
  <c r="Y324" i="2"/>
  <c r="Y246" i="2"/>
  <c r="Y156" i="2"/>
  <c r="Y199" i="2"/>
  <c r="Y65" i="2"/>
  <c r="Y111" i="2"/>
  <c r="AC543" i="2"/>
  <c r="AC501" i="2"/>
  <c r="AC460" i="2"/>
  <c r="AC420" i="2"/>
  <c r="AC380" i="2"/>
  <c r="AC357" i="2"/>
  <c r="AC324" i="2"/>
  <c r="AC288" i="2"/>
  <c r="AC156" i="2"/>
  <c r="AC246" i="2"/>
  <c r="AC199" i="2"/>
  <c r="AC65" i="2"/>
  <c r="AG543" i="2"/>
  <c r="AG460" i="2"/>
  <c r="AG501" i="2"/>
  <c r="AG420" i="2"/>
  <c r="AG380" i="2"/>
  <c r="AG324" i="2"/>
  <c r="AG288" i="2"/>
  <c r="AG246" i="2"/>
  <c r="AG156" i="2"/>
  <c r="AG199" i="2"/>
  <c r="AG357" i="2"/>
  <c r="AG65" i="2"/>
  <c r="AG111" i="2"/>
  <c r="AK543" i="2"/>
  <c r="AK501" i="2"/>
  <c r="AK460" i="2"/>
  <c r="AK420" i="2"/>
  <c r="AK380" i="2"/>
  <c r="AK357" i="2"/>
  <c r="AK324" i="2"/>
  <c r="AK288" i="2"/>
  <c r="AK156" i="2"/>
  <c r="AK246" i="2"/>
  <c r="AK199" i="2"/>
  <c r="AK111" i="2"/>
  <c r="AK65" i="2"/>
  <c r="AO543" i="2"/>
  <c r="AO501" i="2"/>
  <c r="AO460" i="2"/>
  <c r="AO420" i="2"/>
  <c r="AO380" i="2"/>
  <c r="AO357" i="2"/>
  <c r="AO288" i="2"/>
  <c r="AO246" i="2"/>
  <c r="AO156" i="2"/>
  <c r="AO324" i="2"/>
  <c r="AO199" i="2"/>
  <c r="AO65" i="2"/>
  <c r="AO111" i="2"/>
  <c r="AS543" i="2"/>
  <c r="AS501" i="2"/>
  <c r="AS460" i="2"/>
  <c r="AS420" i="2"/>
  <c r="AS380" i="2"/>
  <c r="AS357" i="2"/>
  <c r="AS324" i="2"/>
  <c r="AS288" i="2"/>
  <c r="AS156" i="2"/>
  <c r="AS246" i="2"/>
  <c r="AS199" i="2"/>
  <c r="AS65" i="2"/>
  <c r="AW543" i="2"/>
  <c r="AW460" i="2"/>
  <c r="AW501" i="2"/>
  <c r="AW420" i="2"/>
  <c r="AW380" i="2"/>
  <c r="AW324" i="2"/>
  <c r="AW288" i="2"/>
  <c r="AW246" i="2"/>
  <c r="AW156" i="2"/>
  <c r="AW357" i="2"/>
  <c r="AW199" i="2"/>
  <c r="AW65" i="2"/>
  <c r="AW111" i="2"/>
  <c r="BA543" i="2"/>
  <c r="BA501" i="2"/>
  <c r="BA460" i="2"/>
  <c r="BA420" i="2"/>
  <c r="BA380" i="2"/>
  <c r="BA357" i="2"/>
  <c r="BA324" i="2"/>
  <c r="BA288" i="2"/>
  <c r="BA156" i="2"/>
  <c r="BA246" i="2"/>
  <c r="BA199" i="2"/>
  <c r="BA111" i="2"/>
  <c r="BA65" i="2"/>
  <c r="BE543" i="2"/>
  <c r="BE501" i="2"/>
  <c r="BE460" i="2"/>
  <c r="BE420" i="2"/>
  <c r="BE380" i="2"/>
  <c r="BE357" i="2"/>
  <c r="BE288" i="2"/>
  <c r="BE246" i="2"/>
  <c r="BE156" i="2"/>
  <c r="BE324" i="2"/>
  <c r="BE199" i="2"/>
  <c r="BE65" i="2"/>
  <c r="BE111" i="2"/>
  <c r="BI543" i="2"/>
  <c r="BI501" i="2"/>
  <c r="BI460" i="2"/>
  <c r="BI420" i="2"/>
  <c r="BI380" i="2"/>
  <c r="BI357" i="2"/>
  <c r="BI324" i="2"/>
  <c r="BI288" i="2"/>
  <c r="BI156" i="2"/>
  <c r="BI246" i="2"/>
  <c r="BI199" i="2"/>
  <c r="BI65" i="2"/>
  <c r="BM543" i="2"/>
  <c r="BM460" i="2"/>
  <c r="BM420" i="2"/>
  <c r="BM501" i="2"/>
  <c r="BM380" i="2"/>
  <c r="BM324" i="2"/>
  <c r="BM288" i="2"/>
  <c r="BM246" i="2"/>
  <c r="BM156" i="2"/>
  <c r="BM357" i="2"/>
  <c r="BM199" i="2"/>
  <c r="BM65" i="2"/>
  <c r="BM111" i="2"/>
  <c r="BQ543" i="2"/>
  <c r="BQ501" i="2"/>
  <c r="BQ460" i="2"/>
  <c r="BQ420" i="2"/>
  <c r="BQ380" i="2"/>
  <c r="BQ357" i="2"/>
  <c r="BQ324" i="2"/>
  <c r="BQ288" i="2"/>
  <c r="BQ156" i="2"/>
  <c r="BQ246" i="2"/>
  <c r="BQ199" i="2"/>
  <c r="BQ111" i="2"/>
  <c r="BQ65" i="2"/>
  <c r="BU543" i="2"/>
  <c r="BU501" i="2"/>
  <c r="BU460" i="2"/>
  <c r="BU420" i="2"/>
  <c r="BU380" i="2"/>
  <c r="BU357" i="2"/>
  <c r="BU288" i="2"/>
  <c r="BU246" i="2"/>
  <c r="BU156" i="2"/>
  <c r="BU199" i="2"/>
  <c r="BU324" i="2"/>
  <c r="BU65" i="2"/>
  <c r="BU111" i="2"/>
  <c r="BY543" i="2"/>
  <c r="BY501" i="2"/>
  <c r="BY460" i="2"/>
  <c r="BY420" i="2"/>
  <c r="BY380" i="2"/>
  <c r="BY357" i="2"/>
  <c r="BY324" i="2"/>
  <c r="BY288" i="2"/>
  <c r="BY156" i="2"/>
  <c r="BY246" i="2"/>
  <c r="BY199" i="2"/>
  <c r="BY65" i="2"/>
  <c r="CC543" i="2"/>
  <c r="CC460" i="2"/>
  <c r="CC420" i="2"/>
  <c r="CC501" i="2"/>
  <c r="CC380" i="2"/>
  <c r="CC324" i="2"/>
  <c r="CC288" i="2"/>
  <c r="CC357" i="2"/>
  <c r="CC246" i="2"/>
  <c r="CC156" i="2"/>
  <c r="CC199" i="2"/>
  <c r="CC65" i="2"/>
  <c r="CC111" i="2"/>
  <c r="CG543" i="2"/>
  <c r="CG501" i="2"/>
  <c r="CG460" i="2"/>
  <c r="CG420" i="2"/>
  <c r="CG380" i="2"/>
  <c r="CG357" i="2"/>
  <c r="CG324" i="2"/>
  <c r="CG288" i="2"/>
  <c r="CG156" i="2"/>
  <c r="CG246" i="2"/>
  <c r="CG199" i="2"/>
  <c r="CG111" i="2"/>
  <c r="CG65" i="2"/>
  <c r="CK543" i="2"/>
  <c r="CK501" i="2"/>
  <c r="CK460" i="2"/>
  <c r="CK420" i="2"/>
  <c r="CK380" i="2"/>
  <c r="CK357" i="2"/>
  <c r="CK288" i="2"/>
  <c r="CK324" i="2"/>
  <c r="CK246" i="2"/>
  <c r="CK156" i="2"/>
  <c r="CK199" i="2"/>
  <c r="CK65" i="2"/>
  <c r="CK111" i="2"/>
  <c r="CO543" i="2"/>
  <c r="CO501" i="2"/>
  <c r="CO460" i="2"/>
  <c r="CO420" i="2"/>
  <c r="CO380" i="2"/>
  <c r="CO357" i="2"/>
  <c r="CO324" i="2"/>
  <c r="CO288" i="2"/>
  <c r="CO156" i="2"/>
  <c r="CO246" i="2"/>
  <c r="CO199" i="2"/>
  <c r="CO65" i="2"/>
  <c r="CS543" i="2"/>
  <c r="CS460" i="2"/>
  <c r="CS420" i="2"/>
  <c r="CS501" i="2"/>
  <c r="CS380" i="2"/>
  <c r="CS324" i="2"/>
  <c r="CS288" i="2"/>
  <c r="CS246" i="2"/>
  <c r="CS156" i="2"/>
  <c r="CS199" i="2"/>
  <c r="CS357" i="2"/>
  <c r="CS65" i="2"/>
  <c r="CS111" i="2"/>
  <c r="CW543" i="2"/>
  <c r="CW501" i="2"/>
  <c r="CW460" i="2"/>
  <c r="CW420" i="2"/>
  <c r="CW380" i="2"/>
  <c r="CW357" i="2"/>
  <c r="CW324" i="2"/>
  <c r="CW288" i="2"/>
  <c r="CW156" i="2"/>
  <c r="CW246" i="2"/>
  <c r="CW199" i="2"/>
  <c r="CW111" i="2"/>
  <c r="CW65" i="2"/>
  <c r="DA543" i="2"/>
  <c r="DA501" i="2"/>
  <c r="DA460" i="2"/>
  <c r="DA420" i="2"/>
  <c r="DA380" i="2"/>
  <c r="DA357" i="2"/>
  <c r="DA288" i="2"/>
  <c r="DA246" i="2"/>
  <c r="DA156" i="2"/>
  <c r="DA324" i="2"/>
  <c r="DA199" i="2"/>
  <c r="DA65" i="2"/>
  <c r="DA111" i="2"/>
  <c r="DE543" i="2"/>
  <c r="DE501" i="2"/>
  <c r="DE460" i="2"/>
  <c r="DE420" i="2"/>
  <c r="DE380" i="2"/>
  <c r="DE357" i="2"/>
  <c r="DE324" i="2"/>
  <c r="DE288" i="2"/>
  <c r="DE156" i="2"/>
  <c r="DE246" i="2"/>
  <c r="DE199" i="2"/>
  <c r="DE65" i="2"/>
  <c r="DI543" i="2"/>
  <c r="DI460" i="2"/>
  <c r="DI501" i="2"/>
  <c r="DI420" i="2"/>
  <c r="DI380" i="2"/>
  <c r="DI324" i="2"/>
  <c r="DI288" i="2"/>
  <c r="DI246" i="2"/>
  <c r="DI156" i="2"/>
  <c r="DI357" i="2"/>
  <c r="DI199" i="2"/>
  <c r="DI65" i="2"/>
  <c r="DI111" i="2"/>
  <c r="DM543" i="2"/>
  <c r="DM501" i="2"/>
  <c r="DM460" i="2"/>
  <c r="DM420" i="2"/>
  <c r="DM380" i="2"/>
  <c r="DM357" i="2"/>
  <c r="DM324" i="2"/>
  <c r="DM288" i="2"/>
  <c r="DM156" i="2"/>
  <c r="DM246" i="2"/>
  <c r="DM199" i="2"/>
  <c r="DM111" i="2"/>
  <c r="DM65" i="2"/>
  <c r="DQ543" i="2"/>
  <c r="DQ460" i="2"/>
  <c r="DQ420" i="2"/>
  <c r="DQ501" i="2"/>
  <c r="DQ380" i="2"/>
  <c r="DQ357" i="2"/>
  <c r="DQ288" i="2"/>
  <c r="DQ246" i="2"/>
  <c r="DQ156" i="2"/>
  <c r="DQ324" i="2"/>
  <c r="DQ199" i="2"/>
  <c r="DQ65" i="2"/>
  <c r="DQ111" i="2"/>
  <c r="DU543" i="2"/>
  <c r="DU501" i="2"/>
  <c r="DU460" i="2"/>
  <c r="DU420" i="2"/>
  <c r="DU380" i="2"/>
  <c r="DU357" i="2"/>
  <c r="DU324" i="2"/>
  <c r="DU288" i="2"/>
  <c r="DU156" i="2"/>
  <c r="DU246" i="2"/>
  <c r="DU199" i="2"/>
  <c r="DU65" i="2"/>
  <c r="DY543" i="2"/>
  <c r="DY460" i="2"/>
  <c r="DY420" i="2"/>
  <c r="DY501" i="2"/>
  <c r="DY380" i="2"/>
  <c r="DY357" i="2"/>
  <c r="DY324" i="2"/>
  <c r="DY288" i="2"/>
  <c r="DY246" i="2"/>
  <c r="DY156" i="2"/>
  <c r="DY199" i="2"/>
  <c r="DY65" i="2"/>
  <c r="DY111" i="2"/>
  <c r="ED543" i="2"/>
  <c r="ED501" i="2"/>
  <c r="ED460" i="2"/>
  <c r="ED420" i="2"/>
  <c r="ED380" i="2"/>
  <c r="ED357" i="2"/>
  <c r="ED324" i="2"/>
  <c r="ED288" i="2"/>
  <c r="ED156" i="2"/>
  <c r="ED246" i="2"/>
  <c r="ED199" i="2"/>
  <c r="ED111" i="2"/>
  <c r="ED65" i="2"/>
  <c r="EH543" i="2"/>
  <c r="EH460" i="2"/>
  <c r="EH420" i="2"/>
  <c r="EH501" i="2"/>
  <c r="EH380" i="2"/>
  <c r="EH357" i="2"/>
  <c r="EH288" i="2"/>
  <c r="EH246" i="2"/>
  <c r="EH156" i="2"/>
  <c r="EH199" i="2"/>
  <c r="EH324" i="2"/>
  <c r="EH65" i="2"/>
  <c r="EH111" i="2"/>
  <c r="EL543" i="2"/>
  <c r="EL501" i="2"/>
  <c r="EL460" i="2"/>
  <c r="EL420" i="2"/>
  <c r="EL380" i="2"/>
  <c r="EL357" i="2"/>
  <c r="EL324" i="2"/>
  <c r="EL288" i="2"/>
  <c r="EL156" i="2"/>
  <c r="EL246" i="2"/>
  <c r="EL199" i="2"/>
  <c r="EL65" i="2"/>
  <c r="EP543" i="2"/>
  <c r="EP460" i="2"/>
  <c r="EP501" i="2"/>
  <c r="EP420" i="2"/>
  <c r="EP380" i="2"/>
  <c r="EP357" i="2"/>
  <c r="EP324" i="2"/>
  <c r="EP288" i="2"/>
  <c r="EP246" i="2"/>
  <c r="EP156" i="2"/>
  <c r="EP199" i="2"/>
  <c r="EP65" i="2"/>
  <c r="EP111" i="2"/>
  <c r="ET543" i="2"/>
  <c r="ET501" i="2"/>
  <c r="ET460" i="2"/>
  <c r="ET420" i="2"/>
  <c r="ET380" i="2"/>
  <c r="ET357" i="2"/>
  <c r="ET324" i="2"/>
  <c r="ET288" i="2"/>
  <c r="ET156" i="2"/>
  <c r="ET246" i="2"/>
  <c r="ET199" i="2"/>
  <c r="ET111" i="2"/>
  <c r="ET65" i="2"/>
  <c r="EX543" i="2"/>
  <c r="EX460" i="2"/>
  <c r="EX420" i="2"/>
  <c r="EX501" i="2"/>
  <c r="EX380" i="2"/>
  <c r="EX357" i="2"/>
  <c r="EX288" i="2"/>
  <c r="EX324" i="2"/>
  <c r="EX246" i="2"/>
  <c r="EX156" i="2"/>
  <c r="EX199" i="2"/>
  <c r="EX65" i="2"/>
  <c r="EX111" i="2"/>
  <c r="FB543" i="2"/>
  <c r="FB501" i="2"/>
  <c r="FB460" i="2"/>
  <c r="FB420" i="2"/>
  <c r="FB380" i="2"/>
  <c r="FB357" i="2"/>
  <c r="FB324" i="2"/>
  <c r="FB288" i="2"/>
  <c r="FB156" i="2"/>
  <c r="FB246" i="2"/>
  <c r="FB199" i="2"/>
  <c r="FB65" i="2"/>
  <c r="FF543" i="2"/>
  <c r="FF460" i="2"/>
  <c r="FF420" i="2"/>
  <c r="FF380" i="2"/>
  <c r="FF501" i="2"/>
  <c r="FF357" i="2"/>
  <c r="FF324" i="2"/>
  <c r="FF288" i="2"/>
  <c r="FF246" i="2"/>
  <c r="FF156" i="2"/>
  <c r="FF199" i="2"/>
  <c r="FF65" i="2"/>
  <c r="FF111" i="2"/>
  <c r="FJ543" i="2"/>
  <c r="FJ501" i="2"/>
  <c r="FJ460" i="2"/>
  <c r="FJ420" i="2"/>
  <c r="FJ380" i="2"/>
  <c r="FJ357" i="2"/>
  <c r="FJ324" i="2"/>
  <c r="FJ288" i="2"/>
  <c r="FJ156" i="2"/>
  <c r="FJ246" i="2"/>
  <c r="FJ199" i="2"/>
  <c r="FJ111" i="2"/>
  <c r="FJ65" i="2"/>
  <c r="FN543" i="2"/>
  <c r="FN460" i="2"/>
  <c r="FN420" i="2"/>
  <c r="FN501" i="2"/>
  <c r="FN380" i="2"/>
  <c r="FN357" i="2"/>
  <c r="FN288" i="2"/>
  <c r="FN246" i="2"/>
  <c r="FN199" i="2"/>
  <c r="FN156" i="2"/>
  <c r="FN324" i="2"/>
  <c r="FN65" i="2"/>
  <c r="FN111" i="2"/>
  <c r="B545" i="2"/>
  <c r="B503" i="2"/>
  <c r="B462" i="2"/>
  <c r="B422" i="2"/>
  <c r="B382" i="2"/>
  <c r="B359" i="2"/>
  <c r="B326" i="2"/>
  <c r="B290" i="2"/>
  <c r="B158" i="2"/>
  <c r="B201" i="2"/>
  <c r="B248" i="2"/>
  <c r="B67" i="2"/>
  <c r="F545" i="2"/>
  <c r="F462" i="2"/>
  <c r="F503" i="2"/>
  <c r="F422" i="2"/>
  <c r="F382" i="2"/>
  <c r="F359" i="2"/>
  <c r="F326" i="2"/>
  <c r="F290" i="2"/>
  <c r="F248" i="2"/>
  <c r="F158" i="2"/>
  <c r="F201" i="2"/>
  <c r="F67" i="2"/>
  <c r="F113" i="2"/>
  <c r="J545" i="2"/>
  <c r="J503" i="2"/>
  <c r="J462" i="2"/>
  <c r="J422" i="2"/>
  <c r="J382" i="2"/>
  <c r="J359" i="2"/>
  <c r="J290" i="2"/>
  <c r="J158" i="2"/>
  <c r="J248" i="2"/>
  <c r="J326" i="2"/>
  <c r="J201" i="2"/>
  <c r="J113" i="2"/>
  <c r="J67" i="2"/>
  <c r="N545" i="2"/>
  <c r="N462" i="2"/>
  <c r="N422" i="2"/>
  <c r="N503" i="2"/>
  <c r="N382" i="2"/>
  <c r="N359" i="2"/>
  <c r="N326" i="2"/>
  <c r="N290" i="2"/>
  <c r="N248" i="2"/>
  <c r="N201" i="2"/>
  <c r="N158" i="2"/>
  <c r="N67" i="2"/>
  <c r="N113" i="2"/>
  <c r="R545" i="2"/>
  <c r="R503" i="2"/>
  <c r="R462" i="2"/>
  <c r="R422" i="2"/>
  <c r="R382" i="2"/>
  <c r="R359" i="2"/>
  <c r="R290" i="2"/>
  <c r="R158" i="2"/>
  <c r="R201" i="2"/>
  <c r="R326" i="2"/>
  <c r="R248" i="2"/>
  <c r="R67" i="2"/>
  <c r="V545" i="2"/>
  <c r="V462" i="2"/>
  <c r="V422" i="2"/>
  <c r="V503" i="2"/>
  <c r="V382" i="2"/>
  <c r="V359" i="2"/>
  <c r="V326" i="2"/>
  <c r="V290" i="2"/>
  <c r="V248" i="2"/>
  <c r="V158" i="2"/>
  <c r="V201" i="2"/>
  <c r="V67" i="2"/>
  <c r="V113" i="2"/>
  <c r="Z545" i="2"/>
  <c r="Z503" i="2"/>
  <c r="Z462" i="2"/>
  <c r="Z422" i="2"/>
  <c r="Z382" i="2"/>
  <c r="Z359" i="2"/>
  <c r="Z290" i="2"/>
  <c r="Z158" i="2"/>
  <c r="Z326" i="2"/>
  <c r="Z248" i="2"/>
  <c r="Z201" i="2"/>
  <c r="Z113" i="2"/>
  <c r="Z67" i="2"/>
  <c r="AD545" i="2"/>
  <c r="AD462" i="2"/>
  <c r="AD422" i="2"/>
  <c r="AD503" i="2"/>
  <c r="AD382" i="2"/>
  <c r="AD359" i="2"/>
  <c r="AD326" i="2"/>
  <c r="AD290" i="2"/>
  <c r="AD248" i="2"/>
  <c r="AD201" i="2"/>
  <c r="AD158" i="2"/>
  <c r="AD67" i="2"/>
  <c r="AD113" i="2"/>
  <c r="AH545" i="2"/>
  <c r="AH503" i="2"/>
  <c r="AH462" i="2"/>
  <c r="AH422" i="2"/>
  <c r="AH382" i="2"/>
  <c r="AH359" i="2"/>
  <c r="AH290" i="2"/>
  <c r="AH326" i="2"/>
  <c r="AH158" i="2"/>
  <c r="AH201" i="2"/>
  <c r="AH248" i="2"/>
  <c r="AH67" i="2"/>
  <c r="AL545" i="2"/>
  <c r="AL462" i="2"/>
  <c r="AL503" i="2"/>
  <c r="AL422" i="2"/>
  <c r="AL382" i="2"/>
  <c r="AL359" i="2"/>
  <c r="AL326" i="2"/>
  <c r="AL290" i="2"/>
  <c r="AL248" i="2"/>
  <c r="AL158" i="2"/>
  <c r="AL201" i="2"/>
  <c r="AL67" i="2"/>
  <c r="AL113" i="2"/>
  <c r="AP545" i="2"/>
  <c r="AP503" i="2"/>
  <c r="AP462" i="2"/>
  <c r="AP422" i="2"/>
  <c r="AP382" i="2"/>
  <c r="AP359" i="2"/>
  <c r="AP290" i="2"/>
  <c r="AP158" i="2"/>
  <c r="AP248" i="2"/>
  <c r="AP326" i="2"/>
  <c r="AP201" i="2"/>
  <c r="AP113" i="2"/>
  <c r="AP67" i="2"/>
  <c r="AT545" i="2"/>
  <c r="AT462" i="2"/>
  <c r="AT422" i="2"/>
  <c r="AT503" i="2"/>
  <c r="AT382" i="2"/>
  <c r="AT359" i="2"/>
  <c r="AT326" i="2"/>
  <c r="AT290" i="2"/>
  <c r="AT248" i="2"/>
  <c r="AT201" i="2"/>
  <c r="AT158" i="2"/>
  <c r="AT67" i="2"/>
  <c r="AT113" i="2"/>
  <c r="AX545" i="2"/>
  <c r="AX503" i="2"/>
  <c r="AX462" i="2"/>
  <c r="AX422" i="2"/>
  <c r="AX382" i="2"/>
  <c r="AX359" i="2"/>
  <c r="AX290" i="2"/>
  <c r="AX158" i="2"/>
  <c r="AX201" i="2"/>
  <c r="AX326" i="2"/>
  <c r="AX248" i="2"/>
  <c r="AX67" i="2"/>
  <c r="BB545" i="2"/>
  <c r="BB462" i="2"/>
  <c r="BB422" i="2"/>
  <c r="BB382" i="2"/>
  <c r="BB503" i="2"/>
  <c r="BB359" i="2"/>
  <c r="BB326" i="2"/>
  <c r="BB290" i="2"/>
  <c r="BB248" i="2"/>
  <c r="BB158" i="2"/>
  <c r="BB201" i="2"/>
  <c r="BB67" i="2"/>
  <c r="BB113" i="2"/>
  <c r="BF545" i="2"/>
  <c r="BF503" i="2"/>
  <c r="BF462" i="2"/>
  <c r="BF422" i="2"/>
  <c r="BF382" i="2"/>
  <c r="BF359" i="2"/>
  <c r="BF290" i="2"/>
  <c r="BF158" i="2"/>
  <c r="BF326" i="2"/>
  <c r="BF248" i="2"/>
  <c r="BF201" i="2"/>
  <c r="BF113" i="2"/>
  <c r="BF67" i="2"/>
  <c r="BJ545" i="2"/>
  <c r="BJ462" i="2"/>
  <c r="BJ422" i="2"/>
  <c r="BJ503" i="2"/>
  <c r="BJ382" i="2"/>
  <c r="BJ359" i="2"/>
  <c r="BJ326" i="2"/>
  <c r="BJ290" i="2"/>
  <c r="BJ248" i="2"/>
  <c r="BJ201" i="2"/>
  <c r="BJ158" i="2"/>
  <c r="BJ67" i="2"/>
  <c r="BJ113" i="2"/>
  <c r="BN545" i="2"/>
  <c r="BN503" i="2"/>
  <c r="BN462" i="2"/>
  <c r="BN422" i="2"/>
  <c r="BN382" i="2"/>
  <c r="BN359" i="2"/>
  <c r="BN290" i="2"/>
  <c r="BN326" i="2"/>
  <c r="BN158" i="2"/>
  <c r="BN201" i="2"/>
  <c r="BN248" i="2"/>
  <c r="BN67" i="2"/>
  <c r="BR545" i="2"/>
  <c r="BR462" i="2"/>
  <c r="BR503" i="2"/>
  <c r="BR422" i="2"/>
  <c r="BR382" i="2"/>
  <c r="BR359" i="2"/>
  <c r="BR326" i="2"/>
  <c r="BR290" i="2"/>
  <c r="BR248" i="2"/>
  <c r="BR158" i="2"/>
  <c r="BR201" i="2"/>
  <c r="BR67" i="2"/>
  <c r="BR113" i="2"/>
  <c r="BV545" i="2"/>
  <c r="BV503" i="2"/>
  <c r="BV462" i="2"/>
  <c r="BV422" i="2"/>
  <c r="BV382" i="2"/>
  <c r="BV359" i="2"/>
  <c r="BV290" i="2"/>
  <c r="BV158" i="2"/>
  <c r="BV248" i="2"/>
  <c r="BV326" i="2"/>
  <c r="BV201" i="2"/>
  <c r="BV113" i="2"/>
  <c r="BV67" i="2"/>
  <c r="BZ545" i="2"/>
  <c r="BZ462" i="2"/>
  <c r="BZ422" i="2"/>
  <c r="BZ503" i="2"/>
  <c r="BZ382" i="2"/>
  <c r="BZ359" i="2"/>
  <c r="BZ326" i="2"/>
  <c r="BZ290" i="2"/>
  <c r="BZ248" i="2"/>
  <c r="BZ201" i="2"/>
  <c r="BZ158" i="2"/>
  <c r="BZ67" i="2"/>
  <c r="BZ113" i="2"/>
  <c r="CD545" i="2"/>
  <c r="CD503" i="2"/>
  <c r="CD462" i="2"/>
  <c r="CD422" i="2"/>
  <c r="CD382" i="2"/>
  <c r="CD359" i="2"/>
  <c r="CD290" i="2"/>
  <c r="CD158" i="2"/>
  <c r="CD201" i="2"/>
  <c r="CD326" i="2"/>
  <c r="CD248" i="2"/>
  <c r="CD67" i="2"/>
  <c r="CH545" i="2"/>
  <c r="CH462" i="2"/>
  <c r="CH422" i="2"/>
  <c r="CH503" i="2"/>
  <c r="CH382" i="2"/>
  <c r="CH359" i="2"/>
  <c r="CH326" i="2"/>
  <c r="CH290" i="2"/>
  <c r="CH248" i="2"/>
  <c r="CH158" i="2"/>
  <c r="CH201" i="2"/>
  <c r="CH67" i="2"/>
  <c r="CH113" i="2"/>
  <c r="CL545" i="2"/>
  <c r="CL503" i="2"/>
  <c r="CL462" i="2"/>
  <c r="CL422" i="2"/>
  <c r="CL382" i="2"/>
  <c r="CL359" i="2"/>
  <c r="CL290" i="2"/>
  <c r="CL158" i="2"/>
  <c r="CL326" i="2"/>
  <c r="CL248" i="2"/>
  <c r="CL201" i="2"/>
  <c r="CL113" i="2"/>
  <c r="CL67" i="2"/>
  <c r="CP545" i="2"/>
  <c r="CP462" i="2"/>
  <c r="CP422" i="2"/>
  <c r="CP503" i="2"/>
  <c r="CP382" i="2"/>
  <c r="CP359" i="2"/>
  <c r="CP326" i="2"/>
  <c r="CP290" i="2"/>
  <c r="CP248" i="2"/>
  <c r="CP201" i="2"/>
  <c r="CP158" i="2"/>
  <c r="CP67" i="2"/>
  <c r="CP113" i="2"/>
  <c r="CT545" i="2"/>
  <c r="CT503" i="2"/>
  <c r="CT462" i="2"/>
  <c r="CT422" i="2"/>
  <c r="CT382" i="2"/>
  <c r="CT359" i="2"/>
  <c r="CT290" i="2"/>
  <c r="CT326" i="2"/>
  <c r="CT158" i="2"/>
  <c r="CT201" i="2"/>
  <c r="CT248" i="2"/>
  <c r="CT67" i="2"/>
  <c r="CX545" i="2"/>
  <c r="CX462" i="2"/>
  <c r="CX503" i="2"/>
  <c r="CX422" i="2"/>
  <c r="CX382" i="2"/>
  <c r="CX359" i="2"/>
  <c r="CX326" i="2"/>
  <c r="CX290" i="2"/>
  <c r="CX248" i="2"/>
  <c r="CX158" i="2"/>
  <c r="CX201" i="2"/>
  <c r="CX67" i="2"/>
  <c r="CX113" i="2"/>
  <c r="DB545" i="2"/>
  <c r="DB503" i="2"/>
  <c r="DB462" i="2"/>
  <c r="DB422" i="2"/>
  <c r="DB382" i="2"/>
  <c r="DB359" i="2"/>
  <c r="DB290" i="2"/>
  <c r="DB158" i="2"/>
  <c r="DB248" i="2"/>
  <c r="DB326" i="2"/>
  <c r="DB201" i="2"/>
  <c r="DB113" i="2"/>
  <c r="DB67" i="2"/>
  <c r="DF545" i="2"/>
  <c r="DF462" i="2"/>
  <c r="DF422" i="2"/>
  <c r="DF503" i="2"/>
  <c r="DF382" i="2"/>
  <c r="DF359" i="2"/>
  <c r="DF326" i="2"/>
  <c r="DF290" i="2"/>
  <c r="DF248" i="2"/>
  <c r="DF201" i="2"/>
  <c r="DF158" i="2"/>
  <c r="DF67" i="2"/>
  <c r="DF113" i="2"/>
  <c r="DJ545" i="2"/>
  <c r="DJ503" i="2"/>
  <c r="DJ462" i="2"/>
  <c r="DJ422" i="2"/>
  <c r="DJ382" i="2"/>
  <c r="DJ359" i="2"/>
  <c r="DJ290" i="2"/>
  <c r="DJ158" i="2"/>
  <c r="DJ201" i="2"/>
  <c r="DJ326" i="2"/>
  <c r="DJ248" i="2"/>
  <c r="DJ67" i="2"/>
  <c r="DN545" i="2"/>
  <c r="DN462" i="2"/>
  <c r="DN422" i="2"/>
  <c r="DN382" i="2"/>
  <c r="DN503" i="2"/>
  <c r="DN359" i="2"/>
  <c r="DN326" i="2"/>
  <c r="DN290" i="2"/>
  <c r="DN248" i="2"/>
  <c r="DN158" i="2"/>
  <c r="DN201" i="2"/>
  <c r="DN67" i="2"/>
  <c r="DN113" i="2"/>
  <c r="DR545" i="2"/>
  <c r="DR503" i="2"/>
  <c r="DR462" i="2"/>
  <c r="DR422" i="2"/>
  <c r="DR382" i="2"/>
  <c r="DR359" i="2"/>
  <c r="DR290" i="2"/>
  <c r="DR158" i="2"/>
  <c r="DR326" i="2"/>
  <c r="DR248" i="2"/>
  <c r="DR201" i="2"/>
  <c r="DR113" i="2"/>
  <c r="DR67" i="2"/>
  <c r="DV545" i="2"/>
  <c r="DV462" i="2"/>
  <c r="DV422" i="2"/>
  <c r="DV503" i="2"/>
  <c r="DV382" i="2"/>
  <c r="DV359" i="2"/>
  <c r="DV326" i="2"/>
  <c r="DV290" i="2"/>
  <c r="DV248" i="2"/>
  <c r="DV201" i="2"/>
  <c r="DV158" i="2"/>
  <c r="DV67" i="2"/>
  <c r="DV113" i="2"/>
  <c r="EB545" i="2"/>
  <c r="EB503" i="2"/>
  <c r="EB462" i="2"/>
  <c r="EB422" i="2"/>
  <c r="EB382" i="2"/>
  <c r="EB359" i="2"/>
  <c r="EB290" i="2"/>
  <c r="EB326" i="2"/>
  <c r="EB158" i="2"/>
  <c r="EB201" i="2"/>
  <c r="EB248" i="2"/>
  <c r="EB67" i="2"/>
  <c r="EF545" i="2"/>
  <c r="EF462" i="2"/>
  <c r="EF503" i="2"/>
  <c r="EF422" i="2"/>
  <c r="EF382" i="2"/>
  <c r="EF359" i="2"/>
  <c r="EF326" i="2"/>
  <c r="EF290" i="2"/>
  <c r="EF248" i="2"/>
  <c r="EF158" i="2"/>
  <c r="EF201" i="2"/>
  <c r="EF67" i="2"/>
  <c r="EF113" i="2"/>
  <c r="EJ545" i="2"/>
  <c r="EJ503" i="2"/>
  <c r="EJ462" i="2"/>
  <c r="EJ422" i="2"/>
  <c r="EJ382" i="2"/>
  <c r="EJ359" i="2"/>
  <c r="EJ290" i="2"/>
  <c r="EJ158" i="2"/>
  <c r="EJ248" i="2"/>
  <c r="EJ326" i="2"/>
  <c r="EJ201" i="2"/>
  <c r="EJ113" i="2"/>
  <c r="EJ67" i="2"/>
  <c r="EN545" i="2"/>
  <c r="EN462" i="2"/>
  <c r="EN422" i="2"/>
  <c r="EN503" i="2"/>
  <c r="EN382" i="2"/>
  <c r="EN359" i="2"/>
  <c r="EN326" i="2"/>
  <c r="EN290" i="2"/>
  <c r="EN248" i="2"/>
  <c r="EN201" i="2"/>
  <c r="EN158" i="2"/>
  <c r="EN113" i="2"/>
  <c r="EN67" i="2"/>
  <c r="ER545" i="2"/>
  <c r="ER503" i="2"/>
  <c r="ER462" i="2"/>
  <c r="ER422" i="2"/>
  <c r="ER382" i="2"/>
  <c r="ER359" i="2"/>
  <c r="ER290" i="2"/>
  <c r="ER158" i="2"/>
  <c r="ER201" i="2"/>
  <c r="ER326" i="2"/>
  <c r="ER248" i="2"/>
  <c r="ER67" i="2"/>
  <c r="EV545" i="2"/>
  <c r="EV462" i="2"/>
  <c r="EV422" i="2"/>
  <c r="EV503" i="2"/>
  <c r="EV382" i="2"/>
  <c r="EV359" i="2"/>
  <c r="EV326" i="2"/>
  <c r="EV290" i="2"/>
  <c r="EV248" i="2"/>
  <c r="EV158" i="2"/>
  <c r="EV201" i="2"/>
  <c r="EV67" i="2"/>
  <c r="EV113" i="2"/>
  <c r="EZ545" i="2"/>
  <c r="EZ503" i="2"/>
  <c r="EZ462" i="2"/>
  <c r="EZ422" i="2"/>
  <c r="EZ382" i="2"/>
  <c r="EZ359" i="2"/>
  <c r="EZ290" i="2"/>
  <c r="EZ158" i="2"/>
  <c r="EZ326" i="2"/>
  <c r="EZ248" i="2"/>
  <c r="EZ201" i="2"/>
  <c r="EZ113" i="2"/>
  <c r="EZ67" i="2"/>
  <c r="FD545" i="2"/>
  <c r="FD462" i="2"/>
  <c r="FD422" i="2"/>
  <c r="FD503" i="2"/>
  <c r="FD382" i="2"/>
  <c r="FD359" i="2"/>
  <c r="FD326" i="2"/>
  <c r="FD290" i="2"/>
  <c r="FD248" i="2"/>
  <c r="FD201" i="2"/>
  <c r="FD158" i="2"/>
  <c r="FD113" i="2"/>
  <c r="FD67" i="2"/>
  <c r="FH545" i="2"/>
  <c r="FH503" i="2"/>
  <c r="FH462" i="2"/>
  <c r="FH422" i="2"/>
  <c r="FH382" i="2"/>
  <c r="FH359" i="2"/>
  <c r="FH290" i="2"/>
  <c r="FH326" i="2"/>
  <c r="FH158" i="2"/>
  <c r="FH201" i="2"/>
  <c r="FH248" i="2"/>
  <c r="FH67" i="2"/>
  <c r="FL545" i="2"/>
  <c r="FL462" i="2"/>
  <c r="FL503" i="2"/>
  <c r="FL422" i="2"/>
  <c r="FL382" i="2"/>
  <c r="FL359" i="2"/>
  <c r="FL326" i="2"/>
  <c r="FL290" i="2"/>
  <c r="FL248" i="2"/>
  <c r="FL158" i="2"/>
  <c r="FL201" i="2"/>
  <c r="FL67" i="2"/>
  <c r="FL113" i="2"/>
  <c r="FP545" i="2"/>
  <c r="FP503" i="2"/>
  <c r="FP462" i="2"/>
  <c r="FP422" i="2"/>
  <c r="FP382" i="2"/>
  <c r="FP359" i="2"/>
  <c r="FP290" i="2"/>
  <c r="FP158" i="2"/>
  <c r="FP248" i="2"/>
  <c r="FP326" i="2"/>
  <c r="FP201" i="2"/>
  <c r="FP113" i="2"/>
  <c r="FP67" i="2"/>
  <c r="BN33" i="2"/>
  <c r="BV33" i="2"/>
  <c r="CD33" i="2"/>
  <c r="CL33" i="2"/>
  <c r="CT33" i="2"/>
  <c r="DB33" i="2"/>
  <c r="DJ33" i="2"/>
  <c r="DN33" i="2"/>
  <c r="DZ33" i="2"/>
  <c r="O22" i="2"/>
  <c r="ET22" i="2"/>
  <c r="DL37" i="2"/>
  <c r="DL42" i="2"/>
  <c r="DP37" i="2"/>
  <c r="DP42" i="2"/>
  <c r="EW37" i="2"/>
  <c r="FA37" i="2"/>
  <c r="FE37" i="2"/>
  <c r="BT37" i="2"/>
  <c r="BT42" i="2"/>
  <c r="BV37" i="2"/>
  <c r="BX42" i="2"/>
  <c r="CZ37" i="2"/>
  <c r="CZ42" i="2"/>
  <c r="DB37" i="2"/>
  <c r="DD42" i="2"/>
  <c r="DO39" i="2"/>
  <c r="AU65" i="2"/>
  <c r="BK65" i="2"/>
  <c r="CA65" i="2"/>
  <c r="DG65" i="2"/>
  <c r="EN65" i="2"/>
  <c r="FD65" i="2"/>
  <c r="D67" i="2"/>
  <c r="AZ67" i="2"/>
  <c r="BP67" i="2"/>
  <c r="CV67" i="2"/>
  <c r="DL67" i="2"/>
  <c r="ED67" i="2"/>
  <c r="EU67" i="2"/>
  <c r="FK67" i="2"/>
  <c r="BP87" i="2"/>
  <c r="BT87" i="2"/>
  <c r="BX87" i="2"/>
  <c r="CB87" i="2"/>
  <c r="CF87" i="2"/>
  <c r="CJ87" i="2"/>
  <c r="CN87" i="2"/>
  <c r="CR87" i="2"/>
  <c r="CV87" i="2"/>
  <c r="CZ87" i="2"/>
  <c r="DD87" i="2"/>
  <c r="DH87" i="2"/>
  <c r="DL87" i="2"/>
  <c r="DP87" i="2"/>
  <c r="M111" i="2"/>
  <c r="BY111" i="2"/>
  <c r="DO111" i="2"/>
  <c r="EL111" i="2"/>
  <c r="L113" i="2"/>
  <c r="AH113" i="2"/>
  <c r="BX113" i="2"/>
  <c r="CT113" i="2"/>
  <c r="EL113" i="2"/>
  <c r="FH113" i="2"/>
  <c r="FR543" i="2"/>
  <c r="FR460" i="2"/>
  <c r="FR501" i="2"/>
  <c r="FR420" i="2"/>
  <c r="FR357" i="2"/>
  <c r="FR380" i="2"/>
  <c r="FR199" i="2"/>
  <c r="FR288" i="2"/>
  <c r="FR246" i="2"/>
  <c r="FR324" i="2"/>
  <c r="FR156" i="2"/>
  <c r="FR111" i="2"/>
  <c r="G543" i="2"/>
  <c r="G460" i="2"/>
  <c r="G501" i="2"/>
  <c r="G420" i="2"/>
  <c r="G380" i="2"/>
  <c r="G357" i="2"/>
  <c r="G324" i="2"/>
  <c r="G199" i="2"/>
  <c r="G246" i="2"/>
  <c r="G156" i="2"/>
  <c r="G288" i="2"/>
  <c r="O543" i="2"/>
  <c r="O460" i="2"/>
  <c r="O501" i="2"/>
  <c r="O420" i="2"/>
  <c r="O357" i="2"/>
  <c r="O380" i="2"/>
  <c r="O199" i="2"/>
  <c r="O288" i="2"/>
  <c r="O246" i="2"/>
  <c r="O324" i="2"/>
  <c r="O156" i="2"/>
  <c r="O111" i="2"/>
  <c r="AE543" i="2"/>
  <c r="AE460" i="2"/>
  <c r="AE501" i="2"/>
  <c r="AE420" i="2"/>
  <c r="AE357" i="2"/>
  <c r="AE324" i="2"/>
  <c r="AE380" i="2"/>
  <c r="AE199" i="2"/>
  <c r="AE288" i="2"/>
  <c r="AE246" i="2"/>
  <c r="AE156" i="2"/>
  <c r="AE111" i="2"/>
  <c r="AQ543" i="2"/>
  <c r="AQ501" i="2"/>
  <c r="AQ460" i="2"/>
  <c r="AQ420" i="2"/>
  <c r="AQ380" i="2"/>
  <c r="AQ357" i="2"/>
  <c r="AQ324" i="2"/>
  <c r="AQ199" i="2"/>
  <c r="AQ288" i="2"/>
  <c r="AQ156" i="2"/>
  <c r="AQ246" i="2"/>
  <c r="AQ111" i="2"/>
  <c r="BC543" i="2"/>
  <c r="BC460" i="2"/>
  <c r="BC501" i="2"/>
  <c r="BC420" i="2"/>
  <c r="BC380" i="2"/>
  <c r="BC357" i="2"/>
  <c r="BC324" i="2"/>
  <c r="BC199" i="2"/>
  <c r="BC246" i="2"/>
  <c r="BC156" i="2"/>
  <c r="BC288" i="2"/>
  <c r="BO543" i="2"/>
  <c r="BO460" i="2"/>
  <c r="BO501" i="2"/>
  <c r="BO420" i="2"/>
  <c r="BO357" i="2"/>
  <c r="BO380" i="2"/>
  <c r="BO324" i="2"/>
  <c r="BO288" i="2"/>
  <c r="BO199" i="2"/>
  <c r="BO156" i="2"/>
  <c r="BO246" i="2"/>
  <c r="BO111" i="2"/>
  <c r="CE543" i="2"/>
  <c r="CE460" i="2"/>
  <c r="CE501" i="2"/>
  <c r="CE420" i="2"/>
  <c r="CE357" i="2"/>
  <c r="CE380" i="2"/>
  <c r="CE288" i="2"/>
  <c r="CE199" i="2"/>
  <c r="CE324" i="2"/>
  <c r="CE156" i="2"/>
  <c r="CE246" i="2"/>
  <c r="CE111" i="2"/>
  <c r="CQ543" i="2"/>
  <c r="CQ460" i="2"/>
  <c r="CQ501" i="2"/>
  <c r="CQ420" i="2"/>
  <c r="CQ357" i="2"/>
  <c r="CQ324" i="2"/>
  <c r="CQ380" i="2"/>
  <c r="CQ199" i="2"/>
  <c r="CQ288" i="2"/>
  <c r="CQ246" i="2"/>
  <c r="CQ156" i="2"/>
  <c r="CQ111" i="2"/>
  <c r="CY543" i="2"/>
  <c r="CY460" i="2"/>
  <c r="CY501" i="2"/>
  <c r="CY420" i="2"/>
  <c r="CY380" i="2"/>
  <c r="CY357" i="2"/>
  <c r="CY324" i="2"/>
  <c r="CY199" i="2"/>
  <c r="CY246" i="2"/>
  <c r="CY156" i="2"/>
  <c r="CY288" i="2"/>
  <c r="DK543" i="2"/>
  <c r="DK460" i="2"/>
  <c r="DK501" i="2"/>
  <c r="DK420" i="2"/>
  <c r="DK357" i="2"/>
  <c r="DK380" i="2"/>
  <c r="DK288" i="2"/>
  <c r="DK199" i="2"/>
  <c r="DK156" i="2"/>
  <c r="DK324" i="2"/>
  <c r="DK246" i="2"/>
  <c r="DK111" i="2"/>
  <c r="DW543" i="2"/>
  <c r="DW501" i="2"/>
  <c r="DW460" i="2"/>
  <c r="DW420" i="2"/>
  <c r="DW380" i="2"/>
  <c r="DW357" i="2"/>
  <c r="DW324" i="2"/>
  <c r="DW199" i="2"/>
  <c r="DW288" i="2"/>
  <c r="DW246" i="2"/>
  <c r="DW156" i="2"/>
  <c r="DW111" i="2"/>
  <c r="EJ543" i="2"/>
  <c r="EJ460" i="2"/>
  <c r="EJ501" i="2"/>
  <c r="EJ420" i="2"/>
  <c r="EJ380" i="2"/>
  <c r="EJ357" i="2"/>
  <c r="EJ324" i="2"/>
  <c r="EJ199" i="2"/>
  <c r="EJ288" i="2"/>
  <c r="EJ156" i="2"/>
  <c r="EJ246" i="2"/>
  <c r="EJ111" i="2"/>
  <c r="EV543" i="2"/>
  <c r="EV501" i="2"/>
  <c r="EV460" i="2"/>
  <c r="EV420" i="2"/>
  <c r="EV380" i="2"/>
  <c r="EV357" i="2"/>
  <c r="EV324" i="2"/>
  <c r="EV199" i="2"/>
  <c r="EV246" i="2"/>
  <c r="EV156" i="2"/>
  <c r="EV288" i="2"/>
  <c r="FL543" i="2"/>
  <c r="FL501" i="2"/>
  <c r="FL460" i="2"/>
  <c r="FL420" i="2"/>
  <c r="FL380" i="2"/>
  <c r="FL357" i="2"/>
  <c r="FL199" i="2"/>
  <c r="FL324" i="2"/>
  <c r="FL246" i="2"/>
  <c r="FL156" i="2"/>
  <c r="FL288" i="2"/>
  <c r="H545" i="2"/>
  <c r="H462" i="2"/>
  <c r="H503" i="2"/>
  <c r="H382" i="2"/>
  <c r="H422" i="2"/>
  <c r="H359" i="2"/>
  <c r="H201" i="2"/>
  <c r="H326" i="2"/>
  <c r="H290" i="2"/>
  <c r="H158" i="2"/>
  <c r="H248" i="2"/>
  <c r="H113" i="2"/>
  <c r="T545" i="2"/>
  <c r="T503" i="2"/>
  <c r="T462" i="2"/>
  <c r="T422" i="2"/>
  <c r="T359" i="2"/>
  <c r="T382" i="2"/>
  <c r="T326" i="2"/>
  <c r="T201" i="2"/>
  <c r="T290" i="2"/>
  <c r="T248" i="2"/>
  <c r="T158" i="2"/>
  <c r="T113" i="2"/>
  <c r="AJ545" i="2"/>
  <c r="AJ503" i="2"/>
  <c r="AJ462" i="2"/>
  <c r="AJ422" i="2"/>
  <c r="AJ382" i="2"/>
  <c r="AJ359" i="2"/>
  <c r="AJ326" i="2"/>
  <c r="AJ201" i="2"/>
  <c r="AJ290" i="2"/>
  <c r="AJ248" i="2"/>
  <c r="AJ158" i="2"/>
  <c r="AJ113" i="2"/>
  <c r="AV545" i="2"/>
  <c r="AV462" i="2"/>
  <c r="AV503" i="2"/>
  <c r="AV422" i="2"/>
  <c r="AV382" i="2"/>
  <c r="AV201" i="2"/>
  <c r="AV326" i="2"/>
  <c r="AV359" i="2"/>
  <c r="AV290" i="2"/>
  <c r="AV158" i="2"/>
  <c r="AV248" i="2"/>
  <c r="AV113" i="2"/>
  <c r="BH545" i="2"/>
  <c r="BH503" i="2"/>
  <c r="BH462" i="2"/>
  <c r="BH422" i="2"/>
  <c r="BH382" i="2"/>
  <c r="BH359" i="2"/>
  <c r="BH326" i="2"/>
  <c r="BH201" i="2"/>
  <c r="BH248" i="2"/>
  <c r="BH158" i="2"/>
  <c r="BH290" i="2"/>
  <c r="BT545" i="2"/>
  <c r="BT462" i="2"/>
  <c r="BT503" i="2"/>
  <c r="BT382" i="2"/>
  <c r="BT422" i="2"/>
  <c r="BT359" i="2"/>
  <c r="BT201" i="2"/>
  <c r="BT326" i="2"/>
  <c r="BT290" i="2"/>
  <c r="BT158" i="2"/>
  <c r="BT248" i="2"/>
  <c r="BT113" i="2"/>
  <c r="CF545" i="2"/>
  <c r="CF503" i="2"/>
  <c r="CF462" i="2"/>
  <c r="CF422" i="2"/>
  <c r="CF359" i="2"/>
  <c r="CF382" i="2"/>
  <c r="CF326" i="2"/>
  <c r="CF201" i="2"/>
  <c r="CF290" i="2"/>
  <c r="CF248" i="2"/>
  <c r="CF158" i="2"/>
  <c r="CF113" i="2"/>
  <c r="CR545" i="2"/>
  <c r="CR462" i="2"/>
  <c r="CR503" i="2"/>
  <c r="CR422" i="2"/>
  <c r="CR382" i="2"/>
  <c r="CR359" i="2"/>
  <c r="CR201" i="2"/>
  <c r="CR326" i="2"/>
  <c r="CR290" i="2"/>
  <c r="CR158" i="2"/>
  <c r="CR248" i="2"/>
  <c r="CR113" i="2"/>
  <c r="DD545" i="2"/>
  <c r="DD503" i="2"/>
  <c r="DD462" i="2"/>
  <c r="DD422" i="2"/>
  <c r="DD382" i="2"/>
  <c r="DD359" i="2"/>
  <c r="DD326" i="2"/>
  <c r="DD201" i="2"/>
  <c r="DD248" i="2"/>
  <c r="DD158" i="2"/>
  <c r="DD290" i="2"/>
  <c r="DP545" i="2"/>
  <c r="DP462" i="2"/>
  <c r="DP503" i="2"/>
  <c r="DP422" i="2"/>
  <c r="DP382" i="2"/>
  <c r="DP359" i="2"/>
  <c r="DP201" i="2"/>
  <c r="DP326" i="2"/>
  <c r="DP290" i="2"/>
  <c r="DP158" i="2"/>
  <c r="DP248" i="2"/>
  <c r="DP113" i="2"/>
  <c r="EH545" i="2"/>
  <c r="EH462" i="2"/>
  <c r="EH503" i="2"/>
  <c r="EH382" i="2"/>
  <c r="EH422" i="2"/>
  <c r="EH359" i="2"/>
  <c r="EH201" i="2"/>
  <c r="EH326" i="2"/>
  <c r="EH290" i="2"/>
  <c r="EH158" i="2"/>
  <c r="EH248" i="2"/>
  <c r="EH113" i="2"/>
  <c r="ET545" i="2"/>
  <c r="ET503" i="2"/>
  <c r="ET462" i="2"/>
  <c r="ET422" i="2"/>
  <c r="ET382" i="2"/>
  <c r="ET359" i="2"/>
  <c r="ET326" i="2"/>
  <c r="ET201" i="2"/>
  <c r="ET290" i="2"/>
  <c r="ET248" i="2"/>
  <c r="ET158" i="2"/>
  <c r="ET113" i="2"/>
  <c r="ET67" i="2"/>
  <c r="FF545" i="2"/>
  <c r="FF462" i="2"/>
  <c r="FF503" i="2"/>
  <c r="FF422" i="2"/>
  <c r="FF382" i="2"/>
  <c r="FF359" i="2"/>
  <c r="FF201" i="2"/>
  <c r="FF326" i="2"/>
  <c r="FF290" i="2"/>
  <c r="FF158" i="2"/>
  <c r="FF248" i="2"/>
  <c r="FF113" i="2"/>
  <c r="FF67" i="2"/>
  <c r="FR545" i="2"/>
  <c r="FR503" i="2"/>
  <c r="FR462" i="2"/>
  <c r="FR422" i="2"/>
  <c r="FR382" i="2"/>
  <c r="FR359" i="2"/>
  <c r="FR326" i="2"/>
  <c r="FR201" i="2"/>
  <c r="FR248" i="2"/>
  <c r="FR158" i="2"/>
  <c r="FR290" i="2"/>
  <c r="FR67" i="2"/>
  <c r="G22" i="2"/>
  <c r="W65" i="2"/>
  <c r="BS65" i="2"/>
  <c r="CY65" i="2"/>
  <c r="EV65" i="2"/>
  <c r="AB67" i="2"/>
  <c r="BX67" i="2"/>
  <c r="DD67" i="2"/>
  <c r="CI111" i="2"/>
  <c r="DD113" i="2"/>
  <c r="FR113" i="2"/>
  <c r="A541" i="2"/>
  <c r="A458" i="2"/>
  <c r="A499" i="2"/>
  <c r="A418" i="2"/>
  <c r="A378" i="2"/>
  <c r="A355" i="2"/>
  <c r="A322" i="2"/>
  <c r="A286" i="2"/>
  <c r="A154" i="2"/>
  <c r="A197" i="2"/>
  <c r="A244" i="2"/>
  <c r="A63" i="2"/>
  <c r="FS502" i="2"/>
  <c r="FS544" i="2"/>
  <c r="FS461" i="2"/>
  <c r="FS421" i="2"/>
  <c r="FS381" i="2"/>
  <c r="FS358" i="2"/>
  <c r="FS247" i="2"/>
  <c r="FS325" i="2"/>
  <c r="FS289" i="2"/>
  <c r="FS200" i="2"/>
  <c r="FS66" i="2"/>
  <c r="E544" i="2"/>
  <c r="E502" i="2"/>
  <c r="E461" i="2"/>
  <c r="E421" i="2"/>
  <c r="E381" i="2"/>
  <c r="E358" i="2"/>
  <c r="E247" i="2"/>
  <c r="E325" i="2"/>
  <c r="E289" i="2"/>
  <c r="E200" i="2"/>
  <c r="E157" i="2"/>
  <c r="E112" i="2"/>
  <c r="E66" i="2"/>
  <c r="I544" i="2"/>
  <c r="I502" i="2"/>
  <c r="I461" i="2"/>
  <c r="I421" i="2"/>
  <c r="I381" i="2"/>
  <c r="I358" i="2"/>
  <c r="I247" i="2"/>
  <c r="I325" i="2"/>
  <c r="I289" i="2"/>
  <c r="I200" i="2"/>
  <c r="I157" i="2"/>
  <c r="I112" i="2"/>
  <c r="I66" i="2"/>
  <c r="M544" i="2"/>
  <c r="M502" i="2"/>
  <c r="M421" i="2"/>
  <c r="M461" i="2"/>
  <c r="M381" i="2"/>
  <c r="M358" i="2"/>
  <c r="M247" i="2"/>
  <c r="M325" i="2"/>
  <c r="M289" i="2"/>
  <c r="M200" i="2"/>
  <c r="M112" i="2"/>
  <c r="M157" i="2"/>
  <c r="M66" i="2"/>
  <c r="Q544" i="2"/>
  <c r="Q502" i="2"/>
  <c r="Q461" i="2"/>
  <c r="Q421" i="2"/>
  <c r="Q381" i="2"/>
  <c r="Q358" i="2"/>
  <c r="Q247" i="2"/>
  <c r="Q325" i="2"/>
  <c r="Q289" i="2"/>
  <c r="Q200" i="2"/>
  <c r="Q66" i="2"/>
  <c r="U544" i="2"/>
  <c r="U502" i="2"/>
  <c r="U461" i="2"/>
  <c r="U421" i="2"/>
  <c r="U381" i="2"/>
  <c r="U358" i="2"/>
  <c r="U247" i="2"/>
  <c r="U289" i="2"/>
  <c r="U325" i="2"/>
  <c r="U200" i="2"/>
  <c r="U157" i="2"/>
  <c r="U112" i="2"/>
  <c r="U66" i="2"/>
  <c r="Y544" i="2"/>
  <c r="Y502" i="2"/>
  <c r="Y461" i="2"/>
  <c r="Y421" i="2"/>
  <c r="Y381" i="2"/>
  <c r="Y358" i="2"/>
  <c r="Y325" i="2"/>
  <c r="Y247" i="2"/>
  <c r="Y289" i="2"/>
  <c r="Y200" i="2"/>
  <c r="Y157" i="2"/>
  <c r="Y112" i="2"/>
  <c r="Y66" i="2"/>
  <c r="AC544" i="2"/>
  <c r="AC502" i="2"/>
  <c r="AC461" i="2"/>
  <c r="AC421" i="2"/>
  <c r="AC381" i="2"/>
  <c r="AC358" i="2"/>
  <c r="AC247" i="2"/>
  <c r="AC289" i="2"/>
  <c r="AC200" i="2"/>
  <c r="AC325" i="2"/>
  <c r="AC112" i="2"/>
  <c r="AC157" i="2"/>
  <c r="AC66" i="2"/>
  <c r="AG544" i="2"/>
  <c r="AG502" i="2"/>
  <c r="AG461" i="2"/>
  <c r="AG421" i="2"/>
  <c r="AG381" i="2"/>
  <c r="AG358" i="2"/>
  <c r="AG247" i="2"/>
  <c r="AG325" i="2"/>
  <c r="AG289" i="2"/>
  <c r="AG200" i="2"/>
  <c r="AG66" i="2"/>
  <c r="AK544" i="2"/>
  <c r="AK502" i="2"/>
  <c r="AK461" i="2"/>
  <c r="AK421" i="2"/>
  <c r="AK381" i="2"/>
  <c r="AK358" i="2"/>
  <c r="AK247" i="2"/>
  <c r="AK289" i="2"/>
  <c r="AK325" i="2"/>
  <c r="AK200" i="2"/>
  <c r="AK157" i="2"/>
  <c r="AK112" i="2"/>
  <c r="AK66" i="2"/>
  <c r="AO544" i="2"/>
  <c r="AO502" i="2"/>
  <c r="AO461" i="2"/>
  <c r="AO421" i="2"/>
  <c r="AO381" i="2"/>
  <c r="AO358" i="2"/>
  <c r="AO325" i="2"/>
  <c r="AO247" i="2"/>
  <c r="AO289" i="2"/>
  <c r="AO200" i="2"/>
  <c r="AO157" i="2"/>
  <c r="AO112" i="2"/>
  <c r="AO66" i="2"/>
  <c r="AS544" i="2"/>
  <c r="AS502" i="2"/>
  <c r="AS421" i="2"/>
  <c r="AS461" i="2"/>
  <c r="AS381" i="2"/>
  <c r="AS358" i="2"/>
  <c r="AS247" i="2"/>
  <c r="AS289" i="2"/>
  <c r="AS325" i="2"/>
  <c r="AS200" i="2"/>
  <c r="AS112" i="2"/>
  <c r="AS157" i="2"/>
  <c r="AS66" i="2"/>
  <c r="AW544" i="2"/>
  <c r="AW502" i="2"/>
  <c r="AW461" i="2"/>
  <c r="AW421" i="2"/>
  <c r="AW381" i="2"/>
  <c r="AW358" i="2"/>
  <c r="AW247" i="2"/>
  <c r="AW325" i="2"/>
  <c r="AW289" i="2"/>
  <c r="AW200" i="2"/>
  <c r="AW66" i="2"/>
  <c r="BA544" i="2"/>
  <c r="BA502" i="2"/>
  <c r="BA461" i="2"/>
  <c r="BA421" i="2"/>
  <c r="BA381" i="2"/>
  <c r="BA358" i="2"/>
  <c r="BA247" i="2"/>
  <c r="BA289" i="2"/>
  <c r="BA325" i="2"/>
  <c r="BA200" i="2"/>
  <c r="BA157" i="2"/>
  <c r="BA112" i="2"/>
  <c r="BA66" i="2"/>
  <c r="BE544" i="2"/>
  <c r="BE502" i="2"/>
  <c r="BE461" i="2"/>
  <c r="BE421" i="2"/>
  <c r="BE381" i="2"/>
  <c r="BE358" i="2"/>
  <c r="BE325" i="2"/>
  <c r="BE247" i="2"/>
  <c r="BE289" i="2"/>
  <c r="BE200" i="2"/>
  <c r="BE157" i="2"/>
  <c r="BE112" i="2"/>
  <c r="BE66" i="2"/>
  <c r="BI544" i="2"/>
  <c r="BI502" i="2"/>
  <c r="BI421" i="2"/>
  <c r="BI461" i="2"/>
  <c r="BI381" i="2"/>
  <c r="BI358" i="2"/>
  <c r="BI247" i="2"/>
  <c r="BI289" i="2"/>
  <c r="BI325" i="2"/>
  <c r="BI200" i="2"/>
  <c r="BI112" i="2"/>
  <c r="BI157" i="2"/>
  <c r="BI66" i="2"/>
  <c r="BM544" i="2"/>
  <c r="BM502" i="2"/>
  <c r="BM461" i="2"/>
  <c r="BM421" i="2"/>
  <c r="BM381" i="2"/>
  <c r="BM358" i="2"/>
  <c r="BM247" i="2"/>
  <c r="BM325" i="2"/>
  <c r="BM289" i="2"/>
  <c r="BM200" i="2"/>
  <c r="BM66" i="2"/>
  <c r="BQ544" i="2"/>
  <c r="BQ502" i="2"/>
  <c r="BQ421" i="2"/>
  <c r="BQ461" i="2"/>
  <c r="BQ381" i="2"/>
  <c r="BQ358" i="2"/>
  <c r="BQ247" i="2"/>
  <c r="BQ289" i="2"/>
  <c r="BQ325" i="2"/>
  <c r="BQ200" i="2"/>
  <c r="BQ157" i="2"/>
  <c r="BQ112" i="2"/>
  <c r="BQ66" i="2"/>
  <c r="BU544" i="2"/>
  <c r="BU502" i="2"/>
  <c r="BU461" i="2"/>
  <c r="BU421" i="2"/>
  <c r="BU381" i="2"/>
  <c r="BU358" i="2"/>
  <c r="BU325" i="2"/>
  <c r="BU247" i="2"/>
  <c r="BU289" i="2"/>
  <c r="BU200" i="2"/>
  <c r="BU157" i="2"/>
  <c r="BU112" i="2"/>
  <c r="BU66" i="2"/>
  <c r="BY544" i="2"/>
  <c r="BY502" i="2"/>
  <c r="BY421" i="2"/>
  <c r="BY461" i="2"/>
  <c r="BY381" i="2"/>
  <c r="BY358" i="2"/>
  <c r="BY247" i="2"/>
  <c r="BY289" i="2"/>
  <c r="BY200" i="2"/>
  <c r="BY325" i="2"/>
  <c r="BY112" i="2"/>
  <c r="BY157" i="2"/>
  <c r="BY66" i="2"/>
  <c r="CC544" i="2"/>
  <c r="CC502" i="2"/>
  <c r="CC461" i="2"/>
  <c r="CC421" i="2"/>
  <c r="CC381" i="2"/>
  <c r="CC358" i="2"/>
  <c r="CC247" i="2"/>
  <c r="CC325" i="2"/>
  <c r="CC289" i="2"/>
  <c r="CC200" i="2"/>
  <c r="CC66" i="2"/>
  <c r="CG544" i="2"/>
  <c r="CG502" i="2"/>
  <c r="CG461" i="2"/>
  <c r="CG421" i="2"/>
  <c r="CG381" i="2"/>
  <c r="CG358" i="2"/>
  <c r="CG247" i="2"/>
  <c r="CG289" i="2"/>
  <c r="CG325" i="2"/>
  <c r="CG200" i="2"/>
  <c r="CG157" i="2"/>
  <c r="CG112" i="2"/>
  <c r="CG66" i="2"/>
  <c r="CK544" i="2"/>
  <c r="CK502" i="2"/>
  <c r="CK461" i="2"/>
  <c r="CK421" i="2"/>
  <c r="CK381" i="2"/>
  <c r="CK358" i="2"/>
  <c r="CK325" i="2"/>
  <c r="CK247" i="2"/>
  <c r="CK289" i="2"/>
  <c r="CK200" i="2"/>
  <c r="CK157" i="2"/>
  <c r="CK112" i="2"/>
  <c r="CK66" i="2"/>
  <c r="CO544" i="2"/>
  <c r="CO502" i="2"/>
  <c r="CO421" i="2"/>
  <c r="CO461" i="2"/>
  <c r="CO381" i="2"/>
  <c r="CO358" i="2"/>
  <c r="CO247" i="2"/>
  <c r="CO289" i="2"/>
  <c r="CO200" i="2"/>
  <c r="CO325" i="2"/>
  <c r="CO112" i="2"/>
  <c r="CO157" i="2"/>
  <c r="CO66" i="2"/>
  <c r="CS544" i="2"/>
  <c r="CS502" i="2"/>
  <c r="CS461" i="2"/>
  <c r="CS421" i="2"/>
  <c r="CS381" i="2"/>
  <c r="CS358" i="2"/>
  <c r="CS247" i="2"/>
  <c r="CS325" i="2"/>
  <c r="CS289" i="2"/>
  <c r="CS200" i="2"/>
  <c r="CS66" i="2"/>
  <c r="CW544" i="2"/>
  <c r="CW502" i="2"/>
  <c r="CW421" i="2"/>
  <c r="CW461" i="2"/>
  <c r="CW381" i="2"/>
  <c r="CW358" i="2"/>
  <c r="CW247" i="2"/>
  <c r="CW289" i="2"/>
  <c r="CW325" i="2"/>
  <c r="CW200" i="2"/>
  <c r="CW157" i="2"/>
  <c r="CW112" i="2"/>
  <c r="CW66" i="2"/>
  <c r="DA544" i="2"/>
  <c r="DA502" i="2"/>
  <c r="DA461" i="2"/>
  <c r="DA421" i="2"/>
  <c r="DA381" i="2"/>
  <c r="DA358" i="2"/>
  <c r="DA325" i="2"/>
  <c r="DA247" i="2"/>
  <c r="DA289" i="2"/>
  <c r="DA200" i="2"/>
  <c r="DA157" i="2"/>
  <c r="DA112" i="2"/>
  <c r="DA66" i="2"/>
  <c r="DE544" i="2"/>
  <c r="DE502" i="2"/>
  <c r="DE421" i="2"/>
  <c r="DE461" i="2"/>
  <c r="DE381" i="2"/>
  <c r="DE358" i="2"/>
  <c r="DE247" i="2"/>
  <c r="DE289" i="2"/>
  <c r="DE325" i="2"/>
  <c r="DE200" i="2"/>
  <c r="DE112" i="2"/>
  <c r="DE157" i="2"/>
  <c r="DE66" i="2"/>
  <c r="DI544" i="2"/>
  <c r="DI502" i="2"/>
  <c r="DI461" i="2"/>
  <c r="DI421" i="2"/>
  <c r="DI381" i="2"/>
  <c r="DI358" i="2"/>
  <c r="DI247" i="2"/>
  <c r="DI325" i="2"/>
  <c r="DI289" i="2"/>
  <c r="DI200" i="2"/>
  <c r="DI66" i="2"/>
  <c r="DM544" i="2"/>
  <c r="DM502" i="2"/>
  <c r="DM461" i="2"/>
  <c r="DM421" i="2"/>
  <c r="DM381" i="2"/>
  <c r="DM358" i="2"/>
  <c r="DM247" i="2"/>
  <c r="DM289" i="2"/>
  <c r="DM325" i="2"/>
  <c r="DM200" i="2"/>
  <c r="DM157" i="2"/>
  <c r="DM112" i="2"/>
  <c r="DM66" i="2"/>
  <c r="DQ544" i="2"/>
  <c r="DQ502" i="2"/>
  <c r="DQ461" i="2"/>
  <c r="DQ421" i="2"/>
  <c r="DQ381" i="2"/>
  <c r="DQ358" i="2"/>
  <c r="DQ325" i="2"/>
  <c r="DQ247" i="2"/>
  <c r="DQ289" i="2"/>
  <c r="DQ200" i="2"/>
  <c r="DQ157" i="2"/>
  <c r="DQ112" i="2"/>
  <c r="DQ66" i="2"/>
  <c r="DU544" i="2"/>
  <c r="DU502" i="2"/>
  <c r="DU421" i="2"/>
  <c r="DU461" i="2"/>
  <c r="DU381" i="2"/>
  <c r="DU358" i="2"/>
  <c r="DU247" i="2"/>
  <c r="DU289" i="2"/>
  <c r="DU325" i="2"/>
  <c r="DU200" i="2"/>
  <c r="DU112" i="2"/>
  <c r="DU157" i="2"/>
  <c r="DU66" i="2"/>
  <c r="DY544" i="2"/>
  <c r="DY502" i="2"/>
  <c r="DY461" i="2"/>
  <c r="DY421" i="2"/>
  <c r="DY381" i="2"/>
  <c r="DY358" i="2"/>
  <c r="DY247" i="2"/>
  <c r="DY325" i="2"/>
  <c r="DY289" i="2"/>
  <c r="DY200" i="2"/>
  <c r="DY66" i="2"/>
  <c r="ED544" i="2"/>
  <c r="ED502" i="2"/>
  <c r="ED421" i="2"/>
  <c r="ED461" i="2"/>
  <c r="ED381" i="2"/>
  <c r="ED247" i="2"/>
  <c r="ED289" i="2"/>
  <c r="ED325" i="2"/>
  <c r="ED358" i="2"/>
  <c r="ED200" i="2"/>
  <c r="ED157" i="2"/>
  <c r="ED112" i="2"/>
  <c r="ED66" i="2"/>
  <c r="EH544" i="2"/>
  <c r="EH502" i="2"/>
  <c r="EH461" i="2"/>
  <c r="EH421" i="2"/>
  <c r="EH381" i="2"/>
  <c r="EH358" i="2"/>
  <c r="EH325" i="2"/>
  <c r="EH247" i="2"/>
  <c r="EH289" i="2"/>
  <c r="EH200" i="2"/>
  <c r="EH157" i="2"/>
  <c r="EH112" i="2"/>
  <c r="EH66" i="2"/>
  <c r="EL544" i="2"/>
  <c r="EL502" i="2"/>
  <c r="EL421" i="2"/>
  <c r="EL461" i="2"/>
  <c r="EL381" i="2"/>
  <c r="EL358" i="2"/>
  <c r="EL247" i="2"/>
  <c r="EL289" i="2"/>
  <c r="EL200" i="2"/>
  <c r="EL325" i="2"/>
  <c r="EL112" i="2"/>
  <c r="EL157" i="2"/>
  <c r="EL66" i="2"/>
  <c r="EP544" i="2"/>
  <c r="EP502" i="2"/>
  <c r="EP461" i="2"/>
  <c r="EP421" i="2"/>
  <c r="EP381" i="2"/>
  <c r="EP358" i="2"/>
  <c r="EP247" i="2"/>
  <c r="EP325" i="2"/>
  <c r="EP289" i="2"/>
  <c r="EP200" i="2"/>
  <c r="EP66" i="2"/>
  <c r="ET544" i="2"/>
  <c r="ET502" i="2"/>
  <c r="ET461" i="2"/>
  <c r="ET421" i="2"/>
  <c r="ET381" i="2"/>
  <c r="ET247" i="2"/>
  <c r="ET358" i="2"/>
  <c r="ET289" i="2"/>
  <c r="ET325" i="2"/>
  <c r="ET200" i="2"/>
  <c r="ET157" i="2"/>
  <c r="ET112" i="2"/>
  <c r="ET66" i="2"/>
  <c r="EX544" i="2"/>
  <c r="EX502" i="2"/>
  <c r="EX461" i="2"/>
  <c r="EX421" i="2"/>
  <c r="EX381" i="2"/>
  <c r="EX358" i="2"/>
  <c r="EX325" i="2"/>
  <c r="EX247" i="2"/>
  <c r="EX289" i="2"/>
  <c r="EX200" i="2"/>
  <c r="EX157" i="2"/>
  <c r="EX112" i="2"/>
  <c r="EX66" i="2"/>
  <c r="FB544" i="2"/>
  <c r="FB502" i="2"/>
  <c r="FB421" i="2"/>
  <c r="FB461" i="2"/>
  <c r="FB381" i="2"/>
  <c r="FB358" i="2"/>
  <c r="FB247" i="2"/>
  <c r="FB289" i="2"/>
  <c r="FB200" i="2"/>
  <c r="FB325" i="2"/>
  <c r="FB112" i="2"/>
  <c r="FB157" i="2"/>
  <c r="FB66" i="2"/>
  <c r="FF544" i="2"/>
  <c r="FF502" i="2"/>
  <c r="FF461" i="2"/>
  <c r="FF421" i="2"/>
  <c r="FF381" i="2"/>
  <c r="FF358" i="2"/>
  <c r="FF247" i="2"/>
  <c r="FF325" i="2"/>
  <c r="FF289" i="2"/>
  <c r="FF200" i="2"/>
  <c r="FF66" i="2"/>
  <c r="FJ544" i="2"/>
  <c r="FJ502" i="2"/>
  <c r="FJ421" i="2"/>
  <c r="FJ461" i="2"/>
  <c r="FJ381" i="2"/>
  <c r="FJ247" i="2"/>
  <c r="FJ289" i="2"/>
  <c r="FJ358" i="2"/>
  <c r="FJ325" i="2"/>
  <c r="FJ200" i="2"/>
  <c r="FJ157" i="2"/>
  <c r="FJ112" i="2"/>
  <c r="FJ66" i="2"/>
  <c r="FN544" i="2"/>
  <c r="FN502" i="2"/>
  <c r="FN461" i="2"/>
  <c r="FN421" i="2"/>
  <c r="FN358" i="2"/>
  <c r="FN381" i="2"/>
  <c r="FN325" i="2"/>
  <c r="FN247" i="2"/>
  <c r="FN289" i="2"/>
  <c r="FN200" i="2"/>
  <c r="FN157" i="2"/>
  <c r="FN112" i="2"/>
  <c r="FN66" i="2"/>
  <c r="C545" i="2"/>
  <c r="C503" i="2"/>
  <c r="C422" i="2"/>
  <c r="C462" i="2"/>
  <c r="C382" i="2"/>
  <c r="C359" i="2"/>
  <c r="C248" i="2"/>
  <c r="C290" i="2"/>
  <c r="C326" i="2"/>
  <c r="C201" i="2"/>
  <c r="C113" i="2"/>
  <c r="C158" i="2"/>
  <c r="C67" i="2"/>
  <c r="G545" i="2"/>
  <c r="G503" i="2"/>
  <c r="G462" i="2"/>
  <c r="G422" i="2"/>
  <c r="G382" i="2"/>
  <c r="G359" i="2"/>
  <c r="G326" i="2"/>
  <c r="G248" i="2"/>
  <c r="G290" i="2"/>
  <c r="G201" i="2"/>
  <c r="G67" i="2"/>
  <c r="K545" i="2"/>
  <c r="K503" i="2"/>
  <c r="K462" i="2"/>
  <c r="K422" i="2"/>
  <c r="K382" i="2"/>
  <c r="K326" i="2"/>
  <c r="K359" i="2"/>
  <c r="K248" i="2"/>
  <c r="K290" i="2"/>
  <c r="K201" i="2"/>
  <c r="K158" i="2"/>
  <c r="K113" i="2"/>
  <c r="K67" i="2"/>
  <c r="O545" i="2"/>
  <c r="O503" i="2"/>
  <c r="O462" i="2"/>
  <c r="O422" i="2"/>
  <c r="O382" i="2"/>
  <c r="O359" i="2"/>
  <c r="O326" i="2"/>
  <c r="O248" i="2"/>
  <c r="O290" i="2"/>
  <c r="O201" i="2"/>
  <c r="O158" i="2"/>
  <c r="O113" i="2"/>
  <c r="O67" i="2"/>
  <c r="S545" i="2"/>
  <c r="S503" i="2"/>
  <c r="S422" i="2"/>
  <c r="S462" i="2"/>
  <c r="S382" i="2"/>
  <c r="S359" i="2"/>
  <c r="S326" i="2"/>
  <c r="S248" i="2"/>
  <c r="S290" i="2"/>
  <c r="S201" i="2"/>
  <c r="S113" i="2"/>
  <c r="S158" i="2"/>
  <c r="S67" i="2"/>
  <c r="W545" i="2"/>
  <c r="W503" i="2"/>
  <c r="W462" i="2"/>
  <c r="W422" i="2"/>
  <c r="W382" i="2"/>
  <c r="W359" i="2"/>
  <c r="W326" i="2"/>
  <c r="W248" i="2"/>
  <c r="W290" i="2"/>
  <c r="W201" i="2"/>
  <c r="W67" i="2"/>
  <c r="AA545" i="2"/>
  <c r="AA503" i="2"/>
  <c r="AA422" i="2"/>
  <c r="AA462" i="2"/>
  <c r="AA382" i="2"/>
  <c r="AA326" i="2"/>
  <c r="AA248" i="2"/>
  <c r="AA290" i="2"/>
  <c r="AA359" i="2"/>
  <c r="AA201" i="2"/>
  <c r="AA158" i="2"/>
  <c r="AA113" i="2"/>
  <c r="AA67" i="2"/>
  <c r="AE545" i="2"/>
  <c r="AE503" i="2"/>
  <c r="AE462" i="2"/>
  <c r="AE422" i="2"/>
  <c r="AE382" i="2"/>
  <c r="AE359" i="2"/>
  <c r="AE326" i="2"/>
  <c r="AE248" i="2"/>
  <c r="AE290" i="2"/>
  <c r="AE201" i="2"/>
  <c r="AE158" i="2"/>
  <c r="AE113" i="2"/>
  <c r="AE67" i="2"/>
  <c r="AI545" i="2"/>
  <c r="AI503" i="2"/>
  <c r="AI422" i="2"/>
  <c r="AI382" i="2"/>
  <c r="AI359" i="2"/>
  <c r="AI326" i="2"/>
  <c r="AI462" i="2"/>
  <c r="AI248" i="2"/>
  <c r="AI290" i="2"/>
  <c r="AI201" i="2"/>
  <c r="AI113" i="2"/>
  <c r="AI158" i="2"/>
  <c r="AI67" i="2"/>
  <c r="AM545" i="2"/>
  <c r="AM503" i="2"/>
  <c r="AM462" i="2"/>
  <c r="AM422" i="2"/>
  <c r="AM382" i="2"/>
  <c r="AM359" i="2"/>
  <c r="AM326" i="2"/>
  <c r="AM248" i="2"/>
  <c r="AM290" i="2"/>
  <c r="AM201" i="2"/>
  <c r="AM67" i="2"/>
  <c r="AQ545" i="2"/>
  <c r="AQ503" i="2"/>
  <c r="AQ462" i="2"/>
  <c r="AQ422" i="2"/>
  <c r="AQ382" i="2"/>
  <c r="AQ326" i="2"/>
  <c r="AQ248" i="2"/>
  <c r="AQ359" i="2"/>
  <c r="AQ290" i="2"/>
  <c r="AQ201" i="2"/>
  <c r="AQ158" i="2"/>
  <c r="AQ113" i="2"/>
  <c r="AQ67" i="2"/>
  <c r="AU545" i="2"/>
  <c r="AU503" i="2"/>
  <c r="AU462" i="2"/>
  <c r="AU422" i="2"/>
  <c r="AU382" i="2"/>
  <c r="AU359" i="2"/>
  <c r="AU326" i="2"/>
  <c r="AU248" i="2"/>
  <c r="AU290" i="2"/>
  <c r="AU201" i="2"/>
  <c r="AU158" i="2"/>
  <c r="AU113" i="2"/>
  <c r="AU67" i="2"/>
  <c r="AY545" i="2"/>
  <c r="AY503" i="2"/>
  <c r="AY422" i="2"/>
  <c r="AY462" i="2"/>
  <c r="AY382" i="2"/>
  <c r="AY359" i="2"/>
  <c r="AY326" i="2"/>
  <c r="AY248" i="2"/>
  <c r="AY290" i="2"/>
  <c r="AY201" i="2"/>
  <c r="AY113" i="2"/>
  <c r="AY158" i="2"/>
  <c r="AY67" i="2"/>
  <c r="BC545" i="2"/>
  <c r="BC503" i="2"/>
  <c r="BC462" i="2"/>
  <c r="BC422" i="2"/>
  <c r="BC382" i="2"/>
  <c r="BC359" i="2"/>
  <c r="BC326" i="2"/>
  <c r="BC248" i="2"/>
  <c r="BC290" i="2"/>
  <c r="BC201" i="2"/>
  <c r="BC67" i="2"/>
  <c r="BG545" i="2"/>
  <c r="BG503" i="2"/>
  <c r="BG422" i="2"/>
  <c r="BG462" i="2"/>
  <c r="BG382" i="2"/>
  <c r="BG326" i="2"/>
  <c r="BG248" i="2"/>
  <c r="BG290" i="2"/>
  <c r="BG359" i="2"/>
  <c r="BG201" i="2"/>
  <c r="BG158" i="2"/>
  <c r="BG113" i="2"/>
  <c r="BG67" i="2"/>
  <c r="BK545" i="2"/>
  <c r="BK503" i="2"/>
  <c r="BK462" i="2"/>
  <c r="BK422" i="2"/>
  <c r="BK382" i="2"/>
  <c r="BK359" i="2"/>
  <c r="BK326" i="2"/>
  <c r="BK248" i="2"/>
  <c r="BK290" i="2"/>
  <c r="BK201" i="2"/>
  <c r="BK158" i="2"/>
  <c r="BK113" i="2"/>
  <c r="BK67" i="2"/>
  <c r="BO545" i="2"/>
  <c r="BO503" i="2"/>
  <c r="BO422" i="2"/>
  <c r="BO462" i="2"/>
  <c r="BO382" i="2"/>
  <c r="BO359" i="2"/>
  <c r="BO326" i="2"/>
  <c r="BO248" i="2"/>
  <c r="BO290" i="2"/>
  <c r="BO201" i="2"/>
  <c r="BO113" i="2"/>
  <c r="BO158" i="2"/>
  <c r="BO67" i="2"/>
  <c r="BS545" i="2"/>
  <c r="BS503" i="2"/>
  <c r="BS462" i="2"/>
  <c r="BS422" i="2"/>
  <c r="BS382" i="2"/>
  <c r="BS359" i="2"/>
  <c r="BS326" i="2"/>
  <c r="BS248" i="2"/>
  <c r="BS290" i="2"/>
  <c r="BS201" i="2"/>
  <c r="BS67" i="2"/>
  <c r="BW545" i="2"/>
  <c r="BW503" i="2"/>
  <c r="BW462" i="2"/>
  <c r="BW422" i="2"/>
  <c r="BW382" i="2"/>
  <c r="BW326" i="2"/>
  <c r="BW359" i="2"/>
  <c r="BW248" i="2"/>
  <c r="BW290" i="2"/>
  <c r="BW201" i="2"/>
  <c r="BW158" i="2"/>
  <c r="BW113" i="2"/>
  <c r="BW67" i="2"/>
  <c r="CA545" i="2"/>
  <c r="CA503" i="2"/>
  <c r="CA462" i="2"/>
  <c r="CA422" i="2"/>
  <c r="CA382" i="2"/>
  <c r="CA359" i="2"/>
  <c r="CA326" i="2"/>
  <c r="CA248" i="2"/>
  <c r="CA290" i="2"/>
  <c r="CA201" i="2"/>
  <c r="CA158" i="2"/>
  <c r="CA113" i="2"/>
  <c r="CA67" i="2"/>
  <c r="CE545" i="2"/>
  <c r="CE503" i="2"/>
  <c r="CE422" i="2"/>
  <c r="CE462" i="2"/>
  <c r="CE382" i="2"/>
  <c r="CE359" i="2"/>
  <c r="CE326" i="2"/>
  <c r="CE248" i="2"/>
  <c r="CE290" i="2"/>
  <c r="CE201" i="2"/>
  <c r="CE113" i="2"/>
  <c r="CE158" i="2"/>
  <c r="CE67" i="2"/>
  <c r="CI545" i="2"/>
  <c r="CI503" i="2"/>
  <c r="CI462" i="2"/>
  <c r="CI422" i="2"/>
  <c r="CI382" i="2"/>
  <c r="CI359" i="2"/>
  <c r="CI326" i="2"/>
  <c r="CI248" i="2"/>
  <c r="CI290" i="2"/>
  <c r="CI201" i="2"/>
  <c r="CI67" i="2"/>
  <c r="CM545" i="2"/>
  <c r="CM503" i="2"/>
  <c r="CM422" i="2"/>
  <c r="CM462" i="2"/>
  <c r="CM382" i="2"/>
  <c r="CM326" i="2"/>
  <c r="CM248" i="2"/>
  <c r="CM290" i="2"/>
  <c r="CM201" i="2"/>
  <c r="CM359" i="2"/>
  <c r="CM158" i="2"/>
  <c r="CM113" i="2"/>
  <c r="CM67" i="2"/>
  <c r="CQ545" i="2"/>
  <c r="CQ503" i="2"/>
  <c r="CQ462" i="2"/>
  <c r="CQ422" i="2"/>
  <c r="CQ382" i="2"/>
  <c r="CQ359" i="2"/>
  <c r="CQ326" i="2"/>
  <c r="CQ248" i="2"/>
  <c r="CQ290" i="2"/>
  <c r="CQ201" i="2"/>
  <c r="CQ158" i="2"/>
  <c r="CQ113" i="2"/>
  <c r="CQ67" i="2"/>
  <c r="CU545" i="2"/>
  <c r="CU503" i="2"/>
  <c r="CU422" i="2"/>
  <c r="CU462" i="2"/>
  <c r="CU359" i="2"/>
  <c r="CU326" i="2"/>
  <c r="CU248" i="2"/>
  <c r="CU290" i="2"/>
  <c r="CU382" i="2"/>
  <c r="CU201" i="2"/>
  <c r="CU113" i="2"/>
  <c r="CU158" i="2"/>
  <c r="CU67" i="2"/>
  <c r="CY545" i="2"/>
  <c r="CY503" i="2"/>
  <c r="CY462" i="2"/>
  <c r="CY422" i="2"/>
  <c r="CY382" i="2"/>
  <c r="CY359" i="2"/>
  <c r="CY326" i="2"/>
  <c r="CY248" i="2"/>
  <c r="CY290" i="2"/>
  <c r="CY201" i="2"/>
  <c r="CY67" i="2"/>
  <c r="DC545" i="2"/>
  <c r="DC503" i="2"/>
  <c r="DC462" i="2"/>
  <c r="DC422" i="2"/>
  <c r="DC382" i="2"/>
  <c r="DC326" i="2"/>
  <c r="DC248" i="2"/>
  <c r="DC359" i="2"/>
  <c r="DC290" i="2"/>
  <c r="DC201" i="2"/>
  <c r="DC158" i="2"/>
  <c r="DC113" i="2"/>
  <c r="DC67" i="2"/>
  <c r="DG545" i="2"/>
  <c r="DG503" i="2"/>
  <c r="DG462" i="2"/>
  <c r="DG422" i="2"/>
  <c r="DG382" i="2"/>
  <c r="DG359" i="2"/>
  <c r="DG326" i="2"/>
  <c r="DG248" i="2"/>
  <c r="DG290" i="2"/>
  <c r="DG201" i="2"/>
  <c r="DG158" i="2"/>
  <c r="DG113" i="2"/>
  <c r="DG67" i="2"/>
  <c r="DK545" i="2"/>
  <c r="DK503" i="2"/>
  <c r="DK422" i="2"/>
  <c r="DK462" i="2"/>
  <c r="DK382" i="2"/>
  <c r="DK359" i="2"/>
  <c r="DK326" i="2"/>
  <c r="DK248" i="2"/>
  <c r="DK290" i="2"/>
  <c r="DK201" i="2"/>
  <c r="DK113" i="2"/>
  <c r="DK158" i="2"/>
  <c r="DK67" i="2"/>
  <c r="DO545" i="2"/>
  <c r="DO503" i="2"/>
  <c r="DO462" i="2"/>
  <c r="DO422" i="2"/>
  <c r="DO382" i="2"/>
  <c r="DO359" i="2"/>
  <c r="DO326" i="2"/>
  <c r="DO248" i="2"/>
  <c r="DO290" i="2"/>
  <c r="DO201" i="2"/>
  <c r="DO67" i="2"/>
  <c r="DS545" i="2"/>
  <c r="DS503" i="2"/>
  <c r="DS462" i="2"/>
  <c r="DS422" i="2"/>
  <c r="DS382" i="2"/>
  <c r="DS326" i="2"/>
  <c r="DS248" i="2"/>
  <c r="DS290" i="2"/>
  <c r="DS359" i="2"/>
  <c r="DS201" i="2"/>
  <c r="DS158" i="2"/>
  <c r="DS113" i="2"/>
  <c r="DS67" i="2"/>
  <c r="DW545" i="2"/>
  <c r="DW503" i="2"/>
  <c r="DW462" i="2"/>
  <c r="DW422" i="2"/>
  <c r="DW359" i="2"/>
  <c r="DW326" i="2"/>
  <c r="DW248" i="2"/>
  <c r="DW382" i="2"/>
  <c r="DW290" i="2"/>
  <c r="DW201" i="2"/>
  <c r="DW158" i="2"/>
  <c r="DW113" i="2"/>
  <c r="DW67" i="2"/>
  <c r="EC545" i="2"/>
  <c r="EC503" i="2"/>
  <c r="EC462" i="2"/>
  <c r="EC422" i="2"/>
  <c r="EC382" i="2"/>
  <c r="EC359" i="2"/>
  <c r="EC326" i="2"/>
  <c r="EC248" i="2"/>
  <c r="EC290" i="2"/>
  <c r="EC201" i="2"/>
  <c r="EC113" i="2"/>
  <c r="EC158" i="2"/>
  <c r="EC67" i="2"/>
  <c r="EG545" i="2"/>
  <c r="EG503" i="2"/>
  <c r="EG462" i="2"/>
  <c r="EG422" i="2"/>
  <c r="EG382" i="2"/>
  <c r="EG359" i="2"/>
  <c r="EG326" i="2"/>
  <c r="EG248" i="2"/>
  <c r="EG290" i="2"/>
  <c r="EG201" i="2"/>
  <c r="EG67" i="2"/>
  <c r="EK545" i="2"/>
  <c r="EK503" i="2"/>
  <c r="EK462" i="2"/>
  <c r="EK422" i="2"/>
  <c r="EK382" i="2"/>
  <c r="EK326" i="2"/>
  <c r="EK359" i="2"/>
  <c r="EK248" i="2"/>
  <c r="EK290" i="2"/>
  <c r="EK201" i="2"/>
  <c r="EK158" i="2"/>
  <c r="EK113" i="2"/>
  <c r="EK67" i="2"/>
  <c r="EO545" i="2"/>
  <c r="EO503" i="2"/>
  <c r="EO462" i="2"/>
  <c r="EO422" i="2"/>
  <c r="EO382" i="2"/>
  <c r="EO359" i="2"/>
  <c r="EO326" i="2"/>
  <c r="EO248" i="2"/>
  <c r="EO290" i="2"/>
  <c r="EO201" i="2"/>
  <c r="EO158" i="2"/>
  <c r="EO113" i="2"/>
  <c r="EO67" i="2"/>
  <c r="ES545" i="2"/>
  <c r="ES503" i="2"/>
  <c r="ES462" i="2"/>
  <c r="ES422" i="2"/>
  <c r="ES382" i="2"/>
  <c r="ES359" i="2"/>
  <c r="ES326" i="2"/>
  <c r="ES248" i="2"/>
  <c r="ES290" i="2"/>
  <c r="ES201" i="2"/>
  <c r="ES67" i="2"/>
  <c r="ES113" i="2"/>
  <c r="ES158" i="2"/>
  <c r="EW545" i="2"/>
  <c r="EW503" i="2"/>
  <c r="EW462" i="2"/>
  <c r="EW422" i="2"/>
  <c r="EW382" i="2"/>
  <c r="EW359" i="2"/>
  <c r="EW326" i="2"/>
  <c r="EW248" i="2"/>
  <c r="EW290" i="2"/>
  <c r="EW201" i="2"/>
  <c r="EW67" i="2"/>
  <c r="FA545" i="2"/>
  <c r="FA503" i="2"/>
  <c r="FA462" i="2"/>
  <c r="FA422" i="2"/>
  <c r="FA326" i="2"/>
  <c r="FA248" i="2"/>
  <c r="FA290" i="2"/>
  <c r="FA359" i="2"/>
  <c r="FA201" i="2"/>
  <c r="FA382" i="2"/>
  <c r="FA67" i="2"/>
  <c r="FA158" i="2"/>
  <c r="FA113" i="2"/>
  <c r="FE545" i="2"/>
  <c r="FE503" i="2"/>
  <c r="FE462" i="2"/>
  <c r="FE422" i="2"/>
  <c r="FE382" i="2"/>
  <c r="FE359" i="2"/>
  <c r="FE326" i="2"/>
  <c r="FE248" i="2"/>
  <c r="FE290" i="2"/>
  <c r="FE201" i="2"/>
  <c r="FE158" i="2"/>
  <c r="FE113" i="2"/>
  <c r="FE67" i="2"/>
  <c r="FI545" i="2"/>
  <c r="FI503" i="2"/>
  <c r="FI462" i="2"/>
  <c r="FI422" i="2"/>
  <c r="FI359" i="2"/>
  <c r="FI382" i="2"/>
  <c r="FI326" i="2"/>
  <c r="FI248" i="2"/>
  <c r="FI290" i="2"/>
  <c r="FI201" i="2"/>
  <c r="FI67" i="2"/>
  <c r="FI113" i="2"/>
  <c r="FI158" i="2"/>
  <c r="FM545" i="2"/>
  <c r="FM503" i="2"/>
  <c r="FM462" i="2"/>
  <c r="FM422" i="2"/>
  <c r="FM382" i="2"/>
  <c r="FM359" i="2"/>
  <c r="FM326" i="2"/>
  <c r="FM248" i="2"/>
  <c r="FM290" i="2"/>
  <c r="FM201" i="2"/>
  <c r="FM67" i="2"/>
  <c r="FQ545" i="2"/>
  <c r="FQ503" i="2"/>
  <c r="FQ462" i="2"/>
  <c r="FQ422" i="2"/>
  <c r="FQ382" i="2"/>
  <c r="FQ326" i="2"/>
  <c r="FQ248" i="2"/>
  <c r="FQ359" i="2"/>
  <c r="FQ290" i="2"/>
  <c r="FQ201" i="2"/>
  <c r="FQ67" i="2"/>
  <c r="FQ158" i="2"/>
  <c r="FQ113" i="2"/>
  <c r="AM22" i="2"/>
  <c r="AQ22" i="2"/>
  <c r="AU22" i="2"/>
  <c r="AY22" i="2"/>
  <c r="BC22" i="2"/>
  <c r="BG22" i="2"/>
  <c r="BK22" i="2"/>
  <c r="BO22" i="2"/>
  <c r="BS22" i="2"/>
  <c r="BW22" i="2"/>
  <c r="CA22" i="2"/>
  <c r="CE22" i="2"/>
  <c r="CI22" i="2"/>
  <c r="CM22" i="2"/>
  <c r="CQ22" i="2"/>
  <c r="CU22" i="2"/>
  <c r="CY22" i="2"/>
  <c r="DC22" i="2"/>
  <c r="DG22" i="2"/>
  <c r="DK22" i="2"/>
  <c r="DO22" i="2"/>
  <c r="DS22" i="2"/>
  <c r="EU33" i="2"/>
  <c r="EY33" i="2"/>
  <c r="FC33" i="2"/>
  <c r="FG33" i="2"/>
  <c r="EW47" i="2"/>
  <c r="FA47" i="2"/>
  <c r="FE47" i="2"/>
  <c r="EX37" i="2"/>
  <c r="FB37" i="2"/>
  <c r="FF37" i="2"/>
  <c r="CB37" i="2"/>
  <c r="CB42" i="2"/>
  <c r="CD37" i="2"/>
  <c r="CF42" i="2"/>
  <c r="DH37" i="2"/>
  <c r="DH42" i="2"/>
  <c r="ES37" i="2"/>
  <c r="EU42" i="2"/>
  <c r="C65" i="2"/>
  <c r="S65" i="2"/>
  <c r="AI65" i="2"/>
  <c r="AY65" i="2"/>
  <c r="BO65" i="2"/>
  <c r="CE65" i="2"/>
  <c r="CU65" i="2"/>
  <c r="DK65" i="2"/>
  <c r="EB65" i="2"/>
  <c r="ER65" i="2"/>
  <c r="FH65" i="2"/>
  <c r="H67" i="2"/>
  <c r="X67" i="2"/>
  <c r="AN67" i="2"/>
  <c r="BD67" i="2"/>
  <c r="BT67" i="2"/>
  <c r="CJ67" i="2"/>
  <c r="CZ67" i="2"/>
  <c r="DP67" i="2"/>
  <c r="EH67" i="2"/>
  <c r="EY67" i="2"/>
  <c r="FO67" i="2"/>
  <c r="Q112" i="2"/>
  <c r="AM111" i="2"/>
  <c r="BI111" i="2"/>
  <c r="CC112" i="2"/>
  <c r="CY111" i="2"/>
  <c r="DU111" i="2"/>
  <c r="EP112" i="2"/>
  <c r="FL111" i="2"/>
  <c r="R113" i="2"/>
  <c r="AM113" i="2"/>
  <c r="BH113" i="2"/>
  <c r="CD113" i="2"/>
  <c r="CY113" i="2"/>
  <c r="DT113" i="2"/>
  <c r="ER113" i="2"/>
  <c r="FM113" i="2"/>
  <c r="AG157" i="2"/>
  <c r="CS157" i="2"/>
  <c r="FF157" i="2"/>
  <c r="BC158" i="2"/>
  <c r="DO158" i="2"/>
  <c r="BR37" i="2"/>
  <c r="BZ37" i="2"/>
  <c r="CH37" i="2"/>
  <c r="CP37" i="2"/>
  <c r="CX37" i="2"/>
  <c r="DF37" i="2"/>
  <c r="BN42" i="2"/>
  <c r="BV42" i="2"/>
  <c r="CD42" i="2"/>
  <c r="CL42" i="2"/>
  <c r="CT42" i="2"/>
  <c r="DB42" i="2"/>
  <c r="ES42" i="2"/>
  <c r="EW42" i="2"/>
  <c r="FA42" i="2"/>
  <c r="FE42" i="2"/>
  <c r="N130" i="2"/>
  <c r="R130" i="2"/>
  <c r="V130" i="2"/>
  <c r="Z130" i="2"/>
  <c r="AD130" i="2"/>
  <c r="AH130" i="2"/>
  <c r="AL130" i="2"/>
  <c r="AP130" i="2"/>
  <c r="AT130" i="2"/>
  <c r="AX130" i="2"/>
  <c r="BB130" i="2"/>
  <c r="BF130" i="2"/>
  <c r="BJ130" i="2"/>
  <c r="BN130" i="2"/>
  <c r="BR130" i="2"/>
  <c r="BV130" i="2"/>
  <c r="BZ130" i="2"/>
  <c r="CD130" i="2"/>
  <c r="CH130" i="2"/>
  <c r="CL130" i="2"/>
  <c r="CP130" i="2"/>
  <c r="CT130" i="2"/>
  <c r="CX130" i="2"/>
  <c r="DB130" i="2"/>
  <c r="DF130" i="2"/>
  <c r="DJ130" i="2"/>
  <c r="DN130" i="2"/>
  <c r="B304" i="2"/>
  <c r="F304" i="2"/>
  <c r="J304" i="2"/>
  <c r="N304" i="2"/>
  <c r="R304" i="2"/>
  <c r="V304" i="2"/>
  <c r="Z304" i="2"/>
  <c r="AD304" i="2"/>
  <c r="AH304" i="2"/>
  <c r="AL304" i="2"/>
  <c r="AP304" i="2"/>
  <c r="AT304" i="2"/>
  <c r="AX304" i="2"/>
  <c r="BB304" i="2"/>
  <c r="BF304" i="2"/>
  <c r="BJ304" i="2"/>
  <c r="BN304" i="2"/>
  <c r="BR304" i="2"/>
  <c r="BV304" i="2"/>
  <c r="BZ304" i="2"/>
  <c r="CD304" i="2"/>
  <c r="CH304" i="2"/>
  <c r="CL304" i="2"/>
  <c r="CP304" i="2"/>
  <c r="CT304" i="2"/>
  <c r="CX304" i="2"/>
  <c r="DB304" i="2"/>
  <c r="DF304" i="2"/>
  <c r="DJ304" i="2"/>
  <c r="DN304" i="2"/>
  <c r="D401" i="2"/>
  <c r="H401" i="2"/>
  <c r="L401" i="2"/>
  <c r="P401" i="2"/>
  <c r="T401" i="2"/>
  <c r="X401" i="2"/>
  <c r="AB401" i="2"/>
  <c r="AF401" i="2"/>
  <c r="AJ401" i="2"/>
  <c r="AN401" i="2"/>
  <c r="AR401" i="2"/>
  <c r="AV401" i="2"/>
  <c r="AZ401" i="2"/>
  <c r="BD401" i="2"/>
  <c r="BH401" i="2"/>
  <c r="BL401" i="2"/>
  <c r="BP401" i="2"/>
  <c r="BT401" i="2"/>
  <c r="BX401" i="2"/>
  <c r="CB401" i="2"/>
  <c r="CF401" i="2"/>
  <c r="CJ401" i="2"/>
  <c r="CN401" i="2"/>
  <c r="CR401" i="2"/>
  <c r="CV401" i="2"/>
  <c r="CZ401" i="2"/>
  <c r="DD401" i="2"/>
  <c r="DH401" i="2"/>
  <c r="DL401" i="2"/>
  <c r="DP401" i="2"/>
  <c r="DT401" i="2"/>
  <c r="DX401" i="2"/>
  <c r="EC401" i="2"/>
  <c r="EG401" i="2"/>
  <c r="EK401" i="2"/>
  <c r="EO401" i="2"/>
  <c r="ES401" i="2"/>
  <c r="EW401" i="2"/>
  <c r="FA401" i="2"/>
  <c r="FE401" i="2"/>
  <c r="FI401" i="2"/>
  <c r="FM401" i="2"/>
  <c r="FQ401" i="2"/>
  <c r="H441" i="2"/>
  <c r="L441" i="2"/>
  <c r="P441" i="2"/>
  <c r="X441" i="2"/>
  <c r="AB441" i="2"/>
  <c r="AF441" i="2"/>
  <c r="AN441" i="2"/>
  <c r="AR441" i="2"/>
  <c r="AV441" i="2"/>
  <c r="BD441" i="2"/>
  <c r="BH441" i="2"/>
  <c r="BL441" i="2"/>
  <c r="BT441" i="2"/>
  <c r="BX441" i="2"/>
  <c r="CB441" i="2"/>
  <c r="CJ441" i="2"/>
  <c r="CN441" i="2"/>
  <c r="CR441" i="2"/>
  <c r="CZ441" i="2"/>
  <c r="DD441" i="2"/>
  <c r="DH441" i="2"/>
  <c r="DP441" i="2"/>
  <c r="DT441" i="2"/>
  <c r="DX441" i="2"/>
  <c r="BH481" i="2"/>
  <c r="ES481" i="2"/>
  <c r="B481" i="2"/>
  <c r="J481" i="2"/>
  <c r="N481" i="2"/>
  <c r="R481" i="2"/>
  <c r="Z481" i="2"/>
  <c r="AD481" i="2"/>
  <c r="AH481" i="2"/>
  <c r="AP481" i="2"/>
  <c r="AT481" i="2"/>
  <c r="AX481" i="2"/>
  <c r="BF481" i="2"/>
  <c r="BJ481" i="2"/>
  <c r="BN481" i="2"/>
  <c r="BV481" i="2"/>
  <c r="BZ481" i="2"/>
  <c r="CD481" i="2"/>
  <c r="CL481" i="2"/>
  <c r="CP481" i="2"/>
  <c r="CT481" i="2"/>
  <c r="DB481" i="2"/>
  <c r="DF481" i="2"/>
  <c r="DJ481" i="2"/>
  <c r="B522" i="2"/>
  <c r="F522" i="2"/>
  <c r="J522" i="2"/>
  <c r="N522" i="2"/>
  <c r="R522" i="2"/>
  <c r="V522" i="2"/>
  <c r="Z522" i="2"/>
  <c r="EE481" i="2"/>
  <c r="EI481" i="2"/>
  <c r="EM481" i="2"/>
  <c r="EQ481" i="2"/>
  <c r="EU481" i="2"/>
  <c r="EY481" i="2"/>
  <c r="FC481" i="2"/>
  <c r="FG481" i="2"/>
  <c r="D522" i="2"/>
  <c r="H522" i="2"/>
  <c r="L522" i="2"/>
  <c r="P522" i="2"/>
  <c r="T522" i="2"/>
  <c r="X522" i="2"/>
  <c r="AB522" i="2"/>
  <c r="AF522" i="2"/>
  <c r="AJ522" i="2"/>
  <c r="AN522" i="2"/>
  <c r="AR522" i="2"/>
  <c r="GJ786" i="1"/>
  <c r="FP786" i="1"/>
  <c r="FQ41" i="1"/>
  <c r="FX786" i="1"/>
  <c r="FY41" i="1"/>
  <c r="GF786" i="1"/>
  <c r="GG41" i="1"/>
  <c r="EG889" i="1"/>
  <c r="EG786" i="1"/>
  <c r="EH41" i="1"/>
  <c r="EO889" i="1"/>
  <c r="EO786" i="1"/>
  <c r="EP41" i="1"/>
  <c r="FL785" i="1"/>
  <c r="FM59" i="1"/>
  <c r="FT785" i="1"/>
  <c r="FU59" i="1"/>
  <c r="GB785" i="1"/>
  <c r="GC59" i="1"/>
  <c r="GJ785" i="1"/>
  <c r="GK59" i="1"/>
  <c r="AK88" i="1"/>
  <c r="AL72" i="1"/>
  <c r="AS88" i="1"/>
  <c r="AT88" i="1" s="1"/>
  <c r="AT72" i="1"/>
  <c r="BA88" i="1"/>
  <c r="BB72" i="1"/>
  <c r="BI88" i="1"/>
  <c r="BJ72" i="1"/>
  <c r="BQ88" i="1"/>
  <c r="BR72" i="1"/>
  <c r="BY88" i="1"/>
  <c r="BZ88" i="1" s="1"/>
  <c r="BZ72" i="1"/>
  <c r="CG88" i="1"/>
  <c r="CH72" i="1"/>
  <c r="CO88" i="1"/>
  <c r="CP72" i="1"/>
  <c r="EE88" i="1"/>
  <c r="FF518" i="1"/>
  <c r="EI889" i="1"/>
  <c r="EI786" i="1"/>
  <c r="EJ41" i="1"/>
  <c r="FN785" i="1"/>
  <c r="FO59" i="1"/>
  <c r="FV785" i="1"/>
  <c r="FW59" i="1"/>
  <c r="GD785" i="1"/>
  <c r="GE59" i="1"/>
  <c r="GL785" i="1"/>
  <c r="GM59" i="1"/>
  <c r="EO88" i="1"/>
  <c r="GG81" i="1"/>
  <c r="FZ786" i="1"/>
  <c r="GA41" i="1"/>
  <c r="FL786" i="1"/>
  <c r="FM41" i="1"/>
  <c r="FT786" i="1"/>
  <c r="FU41" i="1"/>
  <c r="GB786" i="1"/>
  <c r="GC41" i="1"/>
  <c r="GL889" i="1"/>
  <c r="GL786" i="1"/>
  <c r="GM41" i="1"/>
  <c r="EK889" i="1"/>
  <c r="EK786" i="1"/>
  <c r="EL41" i="1"/>
  <c r="EW47" i="1"/>
  <c r="FP785" i="1"/>
  <c r="FQ59" i="1"/>
  <c r="FX785" i="1"/>
  <c r="FY59" i="1"/>
  <c r="GF785" i="1"/>
  <c r="GG59" i="1"/>
  <c r="GN785" i="1"/>
  <c r="GO59" i="1"/>
  <c r="EU71" i="1"/>
  <c r="ET71" i="1"/>
  <c r="FR786" i="1"/>
  <c r="FS41" i="1"/>
  <c r="FN786" i="1"/>
  <c r="FO41" i="1"/>
  <c r="FV786" i="1"/>
  <c r="FW41" i="1"/>
  <c r="GD786" i="1"/>
  <c r="GE41" i="1"/>
  <c r="GN889" i="1"/>
  <c r="GN786" i="1"/>
  <c r="GO41" i="1"/>
  <c r="EM889" i="1"/>
  <c r="EM786" i="1"/>
  <c r="EN41" i="1"/>
  <c r="FK59" i="1"/>
  <c r="FR785" i="1"/>
  <c r="FS59" i="1"/>
  <c r="FZ785" i="1"/>
  <c r="GA59" i="1"/>
  <c r="GH785" i="1"/>
  <c r="GI59" i="1"/>
  <c r="EC88" i="1"/>
  <c r="GC81" i="1"/>
  <c r="GH91" i="1"/>
  <c r="GG13" i="1"/>
  <c r="GI15" i="1"/>
  <c r="GO13" i="1"/>
  <c r="FK30" i="1"/>
  <c r="FO30" i="1"/>
  <c r="FS30" i="1"/>
  <c r="FW30" i="1"/>
  <c r="GA30" i="1"/>
  <c r="GE30" i="1"/>
  <c r="EU30" i="1"/>
  <c r="GM30" i="1"/>
  <c r="FW32" i="1"/>
  <c r="GA32" i="1"/>
  <c r="GE32" i="1"/>
  <c r="GI32" i="1"/>
  <c r="GM32" i="1"/>
  <c r="GQ32" i="1"/>
  <c r="FM37" i="1"/>
  <c r="FQ37" i="1"/>
  <c r="FU37" i="1"/>
  <c r="FY37" i="1"/>
  <c r="GC37" i="1"/>
  <c r="GG37" i="1"/>
  <c r="GK37" i="1"/>
  <c r="GO37" i="1"/>
  <c r="DY889" i="1"/>
  <c r="DY786" i="1"/>
  <c r="EC889" i="1"/>
  <c r="EC786" i="1"/>
  <c r="FD44" i="1"/>
  <c r="ES55" i="1"/>
  <c r="L52" i="1"/>
  <c r="CT54" i="1"/>
  <c r="FD62" i="1"/>
  <c r="FE62" i="1" s="1"/>
  <c r="AO499" i="1"/>
  <c r="AP499" i="1" s="1"/>
  <c r="AO87" i="1"/>
  <c r="AP87" i="1" s="1"/>
  <c r="AW499" i="1"/>
  <c r="AX499" i="1" s="1"/>
  <c r="AW87" i="1"/>
  <c r="BE499" i="1"/>
  <c r="BE87" i="1"/>
  <c r="BF87" i="1" s="1"/>
  <c r="BM499" i="1"/>
  <c r="BN499" i="1" s="1"/>
  <c r="BM87" i="1"/>
  <c r="BU499" i="1"/>
  <c r="BU87" i="1"/>
  <c r="BV87" i="1" s="1"/>
  <c r="CC499" i="1"/>
  <c r="CD499" i="1" s="1"/>
  <c r="CC87" i="1"/>
  <c r="CK499" i="1"/>
  <c r="CK87" i="1"/>
  <c r="CL87" i="1" s="1"/>
  <c r="CU499" i="1"/>
  <c r="CU87" i="1"/>
  <c r="DC499" i="1"/>
  <c r="DC87" i="1"/>
  <c r="DD87" i="1" s="1"/>
  <c r="DK499" i="1"/>
  <c r="DL499" i="1" s="1"/>
  <c r="DK87" i="1"/>
  <c r="DS499" i="1"/>
  <c r="DS87" i="1"/>
  <c r="DT87" i="1" s="1"/>
  <c r="EB499" i="1"/>
  <c r="EJ499" i="1"/>
  <c r="FN67" i="1"/>
  <c r="FR67" i="1"/>
  <c r="GB67" i="1"/>
  <c r="GF67" i="1"/>
  <c r="GJ67" i="1"/>
  <c r="GN67" i="1"/>
  <c r="GB68" i="1"/>
  <c r="GF70" i="1"/>
  <c r="GJ70" i="1"/>
  <c r="GN70" i="1"/>
  <c r="AL67" i="1"/>
  <c r="AT67" i="1"/>
  <c r="BB67" i="1"/>
  <c r="BJ67" i="1"/>
  <c r="BR67" i="1"/>
  <c r="BZ67" i="1"/>
  <c r="CH67" i="1"/>
  <c r="CP67" i="1"/>
  <c r="DF67" i="1"/>
  <c r="DV67" i="1"/>
  <c r="ED67" i="1"/>
  <c r="EL67" i="1"/>
  <c r="FW69" i="1"/>
  <c r="E93" i="1"/>
  <c r="E88" i="1"/>
  <c r="EI72" i="1"/>
  <c r="FB93" i="1"/>
  <c r="FB88" i="1"/>
  <c r="FL72" i="1"/>
  <c r="EV82" i="1"/>
  <c r="FH87" i="1"/>
  <c r="FI87" i="1" s="1"/>
  <c r="FL87" i="1"/>
  <c r="FI81" i="1"/>
  <c r="FQ81" i="1"/>
  <c r="N81" i="1"/>
  <c r="M85" i="1"/>
  <c r="N85" i="1" s="1"/>
  <c r="V81" i="1"/>
  <c r="U85" i="1"/>
  <c r="V85" i="1" s="1"/>
  <c r="AC506" i="1"/>
  <c r="AD81" i="1"/>
  <c r="AC85" i="1"/>
  <c r="AK506" i="1"/>
  <c r="AK85" i="1"/>
  <c r="AL85" i="1" s="1"/>
  <c r="AL81" i="1"/>
  <c r="AS506" i="1"/>
  <c r="AS85" i="1"/>
  <c r="AT81" i="1"/>
  <c r="BA506" i="1"/>
  <c r="BA85" i="1"/>
  <c r="BB81" i="1"/>
  <c r="BI506" i="1"/>
  <c r="BI85" i="1"/>
  <c r="BJ81" i="1"/>
  <c r="BQ506" i="1"/>
  <c r="BQ85" i="1"/>
  <c r="BR85" i="1" s="1"/>
  <c r="BR81" i="1"/>
  <c r="BY506" i="1"/>
  <c r="BY85" i="1"/>
  <c r="BZ81" i="1"/>
  <c r="CG506" i="1"/>
  <c r="CG85" i="1"/>
  <c r="CH81" i="1"/>
  <c r="CO506" i="1"/>
  <c r="CO85" i="1"/>
  <c r="CP81" i="1"/>
  <c r="CW506" i="1"/>
  <c r="CW85" i="1"/>
  <c r="CX85" i="1" s="1"/>
  <c r="CX81" i="1"/>
  <c r="DE506" i="1"/>
  <c r="DE85" i="1"/>
  <c r="DF81" i="1"/>
  <c r="DM506" i="1"/>
  <c r="DM85" i="1"/>
  <c r="DN81" i="1"/>
  <c r="DU506" i="1"/>
  <c r="DU85" i="1"/>
  <c r="DV81" i="1"/>
  <c r="EC506" i="1"/>
  <c r="EC85" i="1"/>
  <c r="ED85" i="1" s="1"/>
  <c r="ED81" i="1"/>
  <c r="EK506" i="1"/>
  <c r="EK85" i="1"/>
  <c r="EL81" i="1"/>
  <c r="FN91" i="1"/>
  <c r="FO91" i="1" s="1"/>
  <c r="FO84" i="1"/>
  <c r="AT91" i="1"/>
  <c r="BB91" i="1"/>
  <c r="BJ91" i="1"/>
  <c r="BR91" i="1"/>
  <c r="BZ91" i="1"/>
  <c r="CH91" i="1"/>
  <c r="CP91" i="1"/>
  <c r="CX91" i="1"/>
  <c r="DF91" i="1"/>
  <c r="DN91" i="1"/>
  <c r="DV91" i="1"/>
  <c r="ED91" i="1"/>
  <c r="ET91" i="1"/>
  <c r="EL91" i="1"/>
  <c r="GE80" i="1"/>
  <c r="GM80" i="1"/>
  <c r="GJ81" i="1"/>
  <c r="FL85" i="1"/>
  <c r="FJ87" i="1"/>
  <c r="FK87" i="1" s="1"/>
  <c r="L91" i="1"/>
  <c r="T91" i="1"/>
  <c r="AB91" i="1"/>
  <c r="AJ91" i="1"/>
  <c r="AZ91" i="1"/>
  <c r="BP91" i="1"/>
  <c r="CF91" i="1"/>
  <c r="CV91" i="1"/>
  <c r="DL91" i="1"/>
  <c r="EB91" i="1"/>
  <c r="ER91" i="1"/>
  <c r="FV97" i="1"/>
  <c r="CU534" i="1"/>
  <c r="GD96" i="1"/>
  <c r="GE96" i="1" s="1"/>
  <c r="DD96" i="1"/>
  <c r="CV96" i="1"/>
  <c r="GQ107" i="1"/>
  <c r="GR107" i="1"/>
  <c r="DY877" i="1"/>
  <c r="DZ122" i="1"/>
  <c r="EG877" i="1"/>
  <c r="EH122" i="1"/>
  <c r="EO877" i="1"/>
  <c r="EP122" i="1"/>
  <c r="FI109" i="1"/>
  <c r="FH112" i="1"/>
  <c r="FQ109" i="1"/>
  <c r="FP112" i="1"/>
  <c r="FY109" i="1"/>
  <c r="FX112" i="1"/>
  <c r="GG109" i="1"/>
  <c r="GF112" i="1"/>
  <c r="GO109" i="1"/>
  <c r="GN112" i="1"/>
  <c r="FN500" i="1"/>
  <c r="FO110" i="1"/>
  <c r="FV500" i="1"/>
  <c r="FW110" i="1"/>
  <c r="GD500" i="1"/>
  <c r="GE110" i="1"/>
  <c r="GL500" i="1"/>
  <c r="GM110" i="1"/>
  <c r="FL501" i="1"/>
  <c r="FM111" i="1"/>
  <c r="FU111" i="1"/>
  <c r="GB501" i="1"/>
  <c r="GC111" i="1"/>
  <c r="GJ501" i="1"/>
  <c r="GK111" i="1"/>
  <c r="EL125" i="1"/>
  <c r="ET125" i="1"/>
  <c r="FJ124" i="1"/>
  <c r="FK124" i="1" s="1"/>
  <c r="AT126" i="1"/>
  <c r="BB126" i="1"/>
  <c r="BJ126" i="1"/>
  <c r="BR126" i="1"/>
  <c r="BZ126" i="1"/>
  <c r="CH126" i="1"/>
  <c r="CP126" i="1"/>
  <c r="CX126" i="1"/>
  <c r="DF126" i="1"/>
  <c r="DN126" i="1"/>
  <c r="DV126" i="1"/>
  <c r="ED126" i="1"/>
  <c r="EL126" i="1"/>
  <c r="R122" i="1"/>
  <c r="EW124" i="1"/>
  <c r="EX124" i="1" s="1"/>
  <c r="EV124" i="1"/>
  <c r="ER144" i="1"/>
  <c r="EJ144" i="1"/>
  <c r="AK180" i="1"/>
  <c r="AL153" i="1"/>
  <c r="AK154" i="1"/>
  <c r="AL154" i="1" s="1"/>
  <c r="AM149" i="1"/>
  <c r="AK170" i="1"/>
  <c r="AL170" i="1" s="1"/>
  <c r="AM164" i="1"/>
  <c r="AK182" i="1"/>
  <c r="AK179" i="1"/>
  <c r="AL169" i="1"/>
  <c r="AI193" i="1"/>
  <c r="AJ193" i="1" s="1"/>
  <c r="AJ182" i="1"/>
  <c r="EU187" i="1"/>
  <c r="ET187" i="1"/>
  <c r="FO191" i="1"/>
  <c r="EC903" i="1"/>
  <c r="ED209" i="1"/>
  <c r="EC210" i="1"/>
  <c r="ED210" i="1" s="1"/>
  <c r="FJ209" i="1"/>
  <c r="FP209" i="1"/>
  <c r="GF209" i="1"/>
  <c r="AQ211" i="1"/>
  <c r="AR205" i="1"/>
  <c r="BG211" i="1"/>
  <c r="BH205" i="1"/>
  <c r="BW211" i="1"/>
  <c r="BX205" i="1"/>
  <c r="CM211" i="1"/>
  <c r="CN205" i="1"/>
  <c r="DC211" i="1"/>
  <c r="DD205" i="1"/>
  <c r="GK30" i="1"/>
  <c r="GH41" i="1"/>
  <c r="FD45" i="1"/>
  <c r="FM51" i="1"/>
  <c r="FQ51" i="1"/>
  <c r="FU51" i="1"/>
  <c r="FY51" i="1"/>
  <c r="GC51" i="1"/>
  <c r="GG51" i="1"/>
  <c r="GK51" i="1"/>
  <c r="GO51" i="1"/>
  <c r="FK52" i="1"/>
  <c r="FO52" i="1"/>
  <c r="FS52" i="1"/>
  <c r="FW52" i="1"/>
  <c r="GA52" i="1"/>
  <c r="GE52" i="1"/>
  <c r="GI52" i="1"/>
  <c r="GM52" i="1"/>
  <c r="FM53" i="1"/>
  <c r="FQ53" i="1"/>
  <c r="FU53" i="1"/>
  <c r="FY53" i="1"/>
  <c r="GC53" i="1"/>
  <c r="GG53" i="1"/>
  <c r="GK53" i="1"/>
  <c r="GO53" i="1"/>
  <c r="FK54" i="1"/>
  <c r="FO54" i="1"/>
  <c r="FS54" i="1"/>
  <c r="FW54" i="1"/>
  <c r="GA54" i="1"/>
  <c r="GE54" i="1"/>
  <c r="GI54" i="1"/>
  <c r="GM54" i="1"/>
  <c r="FM55" i="1"/>
  <c r="FQ55" i="1"/>
  <c r="FU55" i="1"/>
  <c r="FY55" i="1"/>
  <c r="GC55" i="1"/>
  <c r="GG55" i="1"/>
  <c r="GK55" i="1"/>
  <c r="GO55" i="1"/>
  <c r="FD56" i="1"/>
  <c r="C59" i="1"/>
  <c r="L59" i="1" s="1"/>
  <c r="AI499" i="1"/>
  <c r="AJ499" i="1" s="1"/>
  <c r="AI87" i="1"/>
  <c r="AJ87" i="1" s="1"/>
  <c r="AQ499" i="1"/>
  <c r="AQ87" i="1"/>
  <c r="AY499" i="1"/>
  <c r="AZ499" i="1" s="1"/>
  <c r="AY87" i="1"/>
  <c r="AZ87" i="1" s="1"/>
  <c r="BG499" i="1"/>
  <c r="BG87" i="1"/>
  <c r="BO499" i="1"/>
  <c r="BP499" i="1" s="1"/>
  <c r="BO87" i="1"/>
  <c r="BP87" i="1" s="1"/>
  <c r="BW499" i="1"/>
  <c r="BW87" i="1"/>
  <c r="CE499" i="1"/>
  <c r="CF499" i="1" s="1"/>
  <c r="CE87" i="1"/>
  <c r="CF87" i="1" s="1"/>
  <c r="CM499" i="1"/>
  <c r="CM87" i="1"/>
  <c r="CW499" i="1"/>
  <c r="CW87" i="1"/>
  <c r="DE499" i="1"/>
  <c r="DE87" i="1"/>
  <c r="DM499" i="1"/>
  <c r="DN499" i="1" s="1"/>
  <c r="DM87" i="1"/>
  <c r="DN87" i="1" s="1"/>
  <c r="DU499" i="1"/>
  <c r="DU87" i="1"/>
  <c r="EC499" i="1"/>
  <c r="ED499" i="1" s="1"/>
  <c r="EC87" i="1"/>
  <c r="ED87" i="1" s="1"/>
  <c r="EK499" i="1"/>
  <c r="EK87" i="1"/>
  <c r="FK67" i="1"/>
  <c r="FK68" i="1"/>
  <c r="FO68" i="1"/>
  <c r="FS68" i="1"/>
  <c r="FY67" i="1"/>
  <c r="FY68" i="1"/>
  <c r="GK68" i="1"/>
  <c r="GO68" i="1"/>
  <c r="GC69" i="1"/>
  <c r="GG69" i="1"/>
  <c r="GO69" i="1"/>
  <c r="CS499" i="1"/>
  <c r="CT499" i="1" s="1"/>
  <c r="CS87" i="1"/>
  <c r="CT87" i="1" s="1"/>
  <c r="FK69" i="1"/>
  <c r="FO69" i="1"/>
  <c r="FS69" i="1"/>
  <c r="FJ70" i="1"/>
  <c r="FK70" i="1" s="1"/>
  <c r="FN70" i="1"/>
  <c r="FO70" i="1" s="1"/>
  <c r="FR70" i="1"/>
  <c r="FS70" i="1" s="1"/>
  <c r="FV70" i="1"/>
  <c r="AV67" i="1"/>
  <c r="BL67" i="1"/>
  <c r="CB67" i="1"/>
  <c r="CR67" i="1"/>
  <c r="EF67" i="1"/>
  <c r="C70" i="1"/>
  <c r="L70" i="1" s="1"/>
  <c r="G93" i="1"/>
  <c r="G88" i="1"/>
  <c r="M93" i="1"/>
  <c r="M88" i="1"/>
  <c r="N88" i="1" s="1"/>
  <c r="Q93" i="1"/>
  <c r="Q88" i="1"/>
  <c r="U93" i="1"/>
  <c r="U88" i="1"/>
  <c r="V88" i="1" s="1"/>
  <c r="Y93" i="1"/>
  <c r="Y88" i="1"/>
  <c r="Z88" i="1" s="1"/>
  <c r="AC93" i="1"/>
  <c r="AC88" i="1"/>
  <c r="AD88" i="1" s="1"/>
  <c r="AG88" i="1"/>
  <c r="AH88" i="1" s="1"/>
  <c r="AO72" i="1"/>
  <c r="AW72" i="1"/>
  <c r="BE72" i="1"/>
  <c r="BM72" i="1"/>
  <c r="BU72" i="1"/>
  <c r="CC72" i="1"/>
  <c r="CK72" i="1"/>
  <c r="CS72" i="1"/>
  <c r="CW72" i="1"/>
  <c r="DA72" i="1"/>
  <c r="DE72" i="1"/>
  <c r="DI72" i="1"/>
  <c r="DM72" i="1"/>
  <c r="DQ72" i="1"/>
  <c r="DU72" i="1"/>
  <c r="DY72" i="1"/>
  <c r="FD88" i="1"/>
  <c r="FE88" i="1" s="1"/>
  <c r="FH72" i="1"/>
  <c r="FX72" i="1"/>
  <c r="FB76" i="1"/>
  <c r="FB77" i="1" s="1"/>
  <c r="FR91" i="1"/>
  <c r="R81" i="1"/>
  <c r="AV84" i="1"/>
  <c r="BD84" i="1"/>
  <c r="BL84" i="1"/>
  <c r="BT84" i="1"/>
  <c r="CB84" i="1"/>
  <c r="CJ84" i="1"/>
  <c r="CR84" i="1"/>
  <c r="CZ84" i="1"/>
  <c r="DH84" i="1"/>
  <c r="DP84" i="1"/>
  <c r="DX84" i="1"/>
  <c r="EF84" i="1"/>
  <c r="EN84" i="1"/>
  <c r="FX87" i="1"/>
  <c r="GF87" i="1"/>
  <c r="GN87" i="1"/>
  <c r="GN81" i="1"/>
  <c r="GG82" i="1"/>
  <c r="GO82" i="1"/>
  <c r="FX88" i="1"/>
  <c r="FY88" i="1" s="1"/>
  <c r="FY83" i="1"/>
  <c r="GG83" i="1"/>
  <c r="GO83" i="1"/>
  <c r="GL84" i="1"/>
  <c r="GL85" i="1" s="1"/>
  <c r="FG88" i="1"/>
  <c r="FV88" i="1"/>
  <c r="EI87" i="1"/>
  <c r="AM91" i="1"/>
  <c r="AN91" i="1" s="1"/>
  <c r="BC91" i="1"/>
  <c r="BS91" i="1"/>
  <c r="CI91" i="1"/>
  <c r="CY91" i="1"/>
  <c r="DO91" i="1"/>
  <c r="EE91" i="1"/>
  <c r="EX91" i="1"/>
  <c r="FG91" i="1"/>
  <c r="AX96" i="1"/>
  <c r="AP96" i="1"/>
  <c r="FN96" i="1"/>
  <c r="ED96" i="1"/>
  <c r="DV96" i="1"/>
  <c r="GJ96" i="1"/>
  <c r="ES109" i="1"/>
  <c r="ET107" i="1"/>
  <c r="ER116" i="1"/>
  <c r="K122" i="1"/>
  <c r="K112" i="1"/>
  <c r="L109" i="1"/>
  <c r="S122" i="1"/>
  <c r="T122" i="1" s="1"/>
  <c r="S112" i="1"/>
  <c r="T109" i="1"/>
  <c r="AA122" i="1"/>
  <c r="AA112" i="1"/>
  <c r="AB109" i="1"/>
  <c r="AI122" i="1"/>
  <c r="AI112" i="1"/>
  <c r="AJ109" i="1"/>
  <c r="AQ122" i="1"/>
  <c r="AQ112" i="1"/>
  <c r="AR109" i="1"/>
  <c r="AY122" i="1"/>
  <c r="AZ122" i="1" s="1"/>
  <c r="AY112" i="1"/>
  <c r="AZ109" i="1"/>
  <c r="BG122" i="1"/>
  <c r="BG112" i="1"/>
  <c r="BH109" i="1"/>
  <c r="BO122" i="1"/>
  <c r="BO112" i="1"/>
  <c r="BP109" i="1"/>
  <c r="BW122" i="1"/>
  <c r="BW112" i="1"/>
  <c r="BX109" i="1"/>
  <c r="CE122" i="1"/>
  <c r="CF122" i="1" s="1"/>
  <c r="CE112" i="1"/>
  <c r="CF109" i="1"/>
  <c r="CM122" i="1"/>
  <c r="CM112" i="1"/>
  <c r="CN109" i="1"/>
  <c r="CU122" i="1"/>
  <c r="CU112" i="1"/>
  <c r="CV109" i="1"/>
  <c r="DC122" i="1"/>
  <c r="DC112" i="1"/>
  <c r="DD109" i="1"/>
  <c r="DK122" i="1"/>
  <c r="DL122" i="1" s="1"/>
  <c r="DK112" i="1"/>
  <c r="DL109" i="1"/>
  <c r="DS112" i="1"/>
  <c r="DS122" i="1"/>
  <c r="DT122" i="1" s="1"/>
  <c r="DT109" i="1"/>
  <c r="EA112" i="1"/>
  <c r="EA122" i="1"/>
  <c r="EB109" i="1"/>
  <c r="EI112" i="1"/>
  <c r="EI122" i="1"/>
  <c r="EJ109" i="1"/>
  <c r="FB122" i="1"/>
  <c r="FB112" i="1"/>
  <c r="FE109" i="1"/>
  <c r="FJ112" i="1"/>
  <c r="FR112" i="1"/>
  <c r="FZ112" i="1"/>
  <c r="GH112" i="1"/>
  <c r="FQ110" i="1"/>
  <c r="FY110" i="1"/>
  <c r="GG110" i="1"/>
  <c r="GO110" i="1"/>
  <c r="FO111" i="1"/>
  <c r="GE111" i="1"/>
  <c r="GM111" i="1"/>
  <c r="EX125" i="1"/>
  <c r="EP125" i="1"/>
  <c r="FP122" i="1"/>
  <c r="FQ122" i="1" s="1"/>
  <c r="FX122" i="1"/>
  <c r="FY122" i="1" s="1"/>
  <c r="FN124" i="1"/>
  <c r="FV124" i="1"/>
  <c r="FW124" i="1" s="1"/>
  <c r="GD124" i="1"/>
  <c r="GE124" i="1" s="1"/>
  <c r="GL124" i="1"/>
  <c r="GM124" i="1" s="1"/>
  <c r="C122" i="1"/>
  <c r="AV126" i="1"/>
  <c r="BD126" i="1"/>
  <c r="BL126" i="1"/>
  <c r="BT126" i="1"/>
  <c r="CB126" i="1"/>
  <c r="CJ126" i="1"/>
  <c r="CR126" i="1"/>
  <c r="CZ126" i="1"/>
  <c r="DH126" i="1"/>
  <c r="DP126" i="1"/>
  <c r="DX126" i="1"/>
  <c r="EF126" i="1"/>
  <c r="EN126" i="1"/>
  <c r="EC784" i="1"/>
  <c r="ED143" i="1"/>
  <c r="EK784" i="1"/>
  <c r="ET143" i="1"/>
  <c r="EL143" i="1"/>
  <c r="AV184" i="1"/>
  <c r="BD184" i="1"/>
  <c r="BL184" i="1"/>
  <c r="BT184" i="1"/>
  <c r="CB184" i="1"/>
  <c r="CJ184" i="1"/>
  <c r="CR184" i="1"/>
  <c r="CZ184" i="1"/>
  <c r="DH184" i="1"/>
  <c r="DP184" i="1"/>
  <c r="DX184" i="1"/>
  <c r="EF184" i="1"/>
  <c r="EN184" i="1"/>
  <c r="FE170" i="1"/>
  <c r="FI191" i="1"/>
  <c r="FQ191" i="1"/>
  <c r="GJ213" i="1"/>
  <c r="EP213" i="1"/>
  <c r="EO217" i="1"/>
  <c r="EO214" i="1"/>
  <c r="FL209" i="1"/>
  <c r="FM209" i="1" s="1"/>
  <c r="GB209" i="1"/>
  <c r="AM211" i="1"/>
  <c r="AN205" i="1"/>
  <c r="BC211" i="1"/>
  <c r="BD205" i="1"/>
  <c r="BS211" i="1"/>
  <c r="BT205" i="1"/>
  <c r="CI211" i="1"/>
  <c r="CJ205" i="1"/>
  <c r="CY211" i="1"/>
  <c r="CZ205" i="1"/>
  <c r="DO211" i="1"/>
  <c r="DP205" i="1"/>
  <c r="EE211" i="1"/>
  <c r="EN205" i="1"/>
  <c r="EF205" i="1"/>
  <c r="FI30" i="1"/>
  <c r="FM30" i="1"/>
  <c r="FQ30" i="1"/>
  <c r="FU30" i="1"/>
  <c r="FY30" i="1"/>
  <c r="GC30" i="1"/>
  <c r="GG30" i="1"/>
  <c r="FE29" i="1"/>
  <c r="GO32" i="1"/>
  <c r="GQ37" i="1"/>
  <c r="FD38" i="1"/>
  <c r="C41" i="1"/>
  <c r="DW889" i="1"/>
  <c r="DW786" i="1"/>
  <c r="EA889" i="1"/>
  <c r="EA786" i="1"/>
  <c r="EE889" i="1"/>
  <c r="EE786" i="1"/>
  <c r="FD46" i="1"/>
  <c r="FD60" i="1"/>
  <c r="FE60" i="1" s="1"/>
  <c r="AK499" i="1"/>
  <c r="AL499" i="1" s="1"/>
  <c r="AK87" i="1"/>
  <c r="AL87" i="1" s="1"/>
  <c r="AS499" i="1"/>
  <c r="AS87" i="1"/>
  <c r="BA499" i="1"/>
  <c r="BB499" i="1" s="1"/>
  <c r="BA87" i="1"/>
  <c r="BB87" i="1" s="1"/>
  <c r="BI499" i="1"/>
  <c r="BI87" i="1"/>
  <c r="BQ499" i="1"/>
  <c r="BR499" i="1" s="1"/>
  <c r="BQ87" i="1"/>
  <c r="BR87" i="1" s="1"/>
  <c r="BY499" i="1"/>
  <c r="BY87" i="1"/>
  <c r="CG499" i="1"/>
  <c r="CH499" i="1" s="1"/>
  <c r="CG87" i="1"/>
  <c r="CH87" i="1" s="1"/>
  <c r="CO499" i="1"/>
  <c r="CO87" i="1"/>
  <c r="CY499" i="1"/>
  <c r="CY87" i="1"/>
  <c r="DG499" i="1"/>
  <c r="DG87" i="1"/>
  <c r="DO499" i="1"/>
  <c r="DP499" i="1" s="1"/>
  <c r="DO87" i="1"/>
  <c r="DP87" i="1" s="1"/>
  <c r="DW499" i="1"/>
  <c r="DW87" i="1"/>
  <c r="EE499" i="1"/>
  <c r="EF499" i="1" s="1"/>
  <c r="EE87" i="1"/>
  <c r="EF87" i="1" s="1"/>
  <c r="EM499" i="1"/>
  <c r="EM87" i="1"/>
  <c r="FP67" i="1"/>
  <c r="FP87" i="1" s="1"/>
  <c r="FT67" i="1"/>
  <c r="FT87" i="1" s="1"/>
  <c r="FZ67" i="1"/>
  <c r="GD67" i="1"/>
  <c r="GD87" i="1" s="1"/>
  <c r="GE87" i="1" s="1"/>
  <c r="GH67" i="1"/>
  <c r="GL67" i="1"/>
  <c r="GE81" i="1"/>
  <c r="GI81" i="1"/>
  <c r="GM81" i="1"/>
  <c r="FZ70" i="1"/>
  <c r="GA70" i="1" s="1"/>
  <c r="GD70" i="1"/>
  <c r="GH70" i="1"/>
  <c r="GI70" i="1" s="1"/>
  <c r="GL70" i="1"/>
  <c r="GM70" i="1" s="1"/>
  <c r="CS854" i="1"/>
  <c r="DB500" i="1"/>
  <c r="CT500" i="1"/>
  <c r="CS70" i="1"/>
  <c r="CT70" i="1" s="1"/>
  <c r="AP67" i="1"/>
  <c r="AX67" i="1"/>
  <c r="BF67" i="1"/>
  <c r="BN67" i="1"/>
  <c r="BV67" i="1"/>
  <c r="CD67" i="1"/>
  <c r="CL67" i="1"/>
  <c r="CT67" i="1"/>
  <c r="FW67" i="1"/>
  <c r="I93" i="1"/>
  <c r="I88" i="1"/>
  <c r="R72" i="1"/>
  <c r="EA72" i="1"/>
  <c r="EK72" i="1"/>
  <c r="FJ85" i="1"/>
  <c r="FK85" i="1" s="1"/>
  <c r="FN85" i="1"/>
  <c r="FO85" i="1" s="1"/>
  <c r="FR85" i="1"/>
  <c r="FU81" i="1"/>
  <c r="R85" i="1"/>
  <c r="Z85" i="1"/>
  <c r="AG506" i="1"/>
  <c r="AG85" i="1"/>
  <c r="AH85" i="1" s="1"/>
  <c r="AH81" i="1"/>
  <c r="AO506" i="1"/>
  <c r="AO85" i="1"/>
  <c r="AP81" i="1"/>
  <c r="AW506" i="1"/>
  <c r="AW85" i="1"/>
  <c r="AX85" i="1" s="1"/>
  <c r="AX81" i="1"/>
  <c r="BE506" i="1"/>
  <c r="BE85" i="1"/>
  <c r="BF81" i="1"/>
  <c r="BM506" i="1"/>
  <c r="BM85" i="1"/>
  <c r="BN81" i="1"/>
  <c r="BU506" i="1"/>
  <c r="BU85" i="1"/>
  <c r="BV81" i="1"/>
  <c r="CC506" i="1"/>
  <c r="CC85" i="1"/>
  <c r="CD85" i="1" s="1"/>
  <c r="CD81" i="1"/>
  <c r="CK506" i="1"/>
  <c r="CK85" i="1"/>
  <c r="CL81" i="1"/>
  <c r="CS506" i="1"/>
  <c r="CS85" i="1"/>
  <c r="CT81" i="1"/>
  <c r="DA506" i="1"/>
  <c r="DA85" i="1"/>
  <c r="DB81" i="1"/>
  <c r="DI506" i="1"/>
  <c r="DI85" i="1"/>
  <c r="DJ85" i="1" s="1"/>
  <c r="DJ81" i="1"/>
  <c r="DQ506" i="1"/>
  <c r="DQ85" i="1"/>
  <c r="DR81" i="1"/>
  <c r="DY506" i="1"/>
  <c r="DY85" i="1"/>
  <c r="DZ81" i="1"/>
  <c r="EG506" i="1"/>
  <c r="EG85" i="1"/>
  <c r="EH81" i="1"/>
  <c r="EO506" i="1"/>
  <c r="EO85" i="1"/>
  <c r="EP85" i="1" s="1"/>
  <c r="EP81" i="1"/>
  <c r="C87" i="1"/>
  <c r="L87" i="1" s="1"/>
  <c r="C85" i="1"/>
  <c r="FJ509" i="1"/>
  <c r="FK509" i="1" s="1"/>
  <c r="FJ91" i="1"/>
  <c r="FK91" i="1" s="1"/>
  <c r="FK84" i="1"/>
  <c r="L80" i="1"/>
  <c r="Z81" i="1"/>
  <c r="AX91" i="1"/>
  <c r="BF91" i="1"/>
  <c r="BN91" i="1"/>
  <c r="BV91" i="1"/>
  <c r="CD91" i="1"/>
  <c r="CL91" i="1"/>
  <c r="CT91" i="1"/>
  <c r="DB91" i="1"/>
  <c r="DJ91" i="1"/>
  <c r="DR91" i="1"/>
  <c r="DZ91" i="1"/>
  <c r="EH91" i="1"/>
  <c r="EP91" i="1"/>
  <c r="FZ85" i="1"/>
  <c r="GA80" i="1"/>
  <c r="GH85" i="1"/>
  <c r="GI80" i="1"/>
  <c r="GP82" i="1"/>
  <c r="FZ91" i="1"/>
  <c r="GA84" i="1"/>
  <c r="FD85" i="1"/>
  <c r="FE85" i="1" s="1"/>
  <c r="FJ88" i="1"/>
  <c r="EA87" i="1"/>
  <c r="EB87" i="1" s="1"/>
  <c r="X91" i="1"/>
  <c r="AF91" i="1"/>
  <c r="DX96" i="1"/>
  <c r="DP96" i="1"/>
  <c r="GH96" i="1"/>
  <c r="GI96" i="1" s="1"/>
  <c r="EQ115" i="1"/>
  <c r="EQ112" i="1"/>
  <c r="ER109" i="1"/>
  <c r="FE122" i="1"/>
  <c r="FM109" i="1"/>
  <c r="FL112" i="1"/>
  <c r="FU109" i="1"/>
  <c r="FT112" i="1"/>
  <c r="GC109" i="1"/>
  <c r="GB112" i="1"/>
  <c r="GK109" i="1"/>
  <c r="GJ112" i="1"/>
  <c r="FJ500" i="1"/>
  <c r="FK110" i="1"/>
  <c r="FR500" i="1"/>
  <c r="FS110" i="1"/>
  <c r="FZ500" i="1"/>
  <c r="GA110" i="1"/>
  <c r="GH500" i="1"/>
  <c r="GI110" i="1"/>
  <c r="FQ111" i="1"/>
  <c r="FX501" i="1"/>
  <c r="FY501" i="1" s="1"/>
  <c r="FY111" i="1"/>
  <c r="GF501" i="1"/>
  <c r="GG111" i="1"/>
  <c r="GN501" i="1"/>
  <c r="GO111" i="1"/>
  <c r="V125" i="1"/>
  <c r="AL125" i="1"/>
  <c r="BB125" i="1"/>
  <c r="BR125" i="1"/>
  <c r="CH125" i="1"/>
  <c r="CX125" i="1"/>
  <c r="DN125" i="1"/>
  <c r="ED125" i="1"/>
  <c r="FS122" i="1"/>
  <c r="GA122" i="1"/>
  <c r="FQ124" i="1"/>
  <c r="FY124" i="1"/>
  <c r="GG124" i="1"/>
  <c r="GO124" i="1"/>
  <c r="FK126" i="1"/>
  <c r="AX126" i="1"/>
  <c r="BF126" i="1"/>
  <c r="BN126" i="1"/>
  <c r="BV126" i="1"/>
  <c r="CD126" i="1"/>
  <c r="CL126" i="1"/>
  <c r="CT126" i="1"/>
  <c r="DB126" i="1"/>
  <c r="DJ126" i="1"/>
  <c r="DR126" i="1"/>
  <c r="DZ126" i="1"/>
  <c r="EH126" i="1"/>
  <c r="EP126" i="1"/>
  <c r="EQ126" i="1"/>
  <c r="GJ534" i="1"/>
  <c r="EV144" i="1"/>
  <c r="EN144" i="1"/>
  <c r="FH164" i="1"/>
  <c r="FF170" i="1"/>
  <c r="FG169" i="1"/>
  <c r="FK191" i="1"/>
  <c r="FS191" i="1"/>
  <c r="EK903" i="1"/>
  <c r="EL209" i="1"/>
  <c r="ET209" i="1"/>
  <c r="EK210" i="1"/>
  <c r="EL210" i="1" s="1"/>
  <c r="FX209" i="1"/>
  <c r="AY211" i="1"/>
  <c r="AZ211" i="1" s="1"/>
  <c r="AZ205" i="1"/>
  <c r="BO211" i="1"/>
  <c r="BP211" i="1" s="1"/>
  <c r="BP205" i="1"/>
  <c r="CE211" i="1"/>
  <c r="CF211" i="1" s="1"/>
  <c r="CF205" i="1"/>
  <c r="CU211" i="1"/>
  <c r="CV211" i="1" s="1"/>
  <c r="CV205" i="1"/>
  <c r="DK211" i="1"/>
  <c r="DL211" i="1" s="1"/>
  <c r="DL205" i="1"/>
  <c r="ER30" i="1"/>
  <c r="GO30" i="1"/>
  <c r="FK33" i="1"/>
  <c r="FO33" i="1"/>
  <c r="FS33" i="1"/>
  <c r="FW33" i="1"/>
  <c r="GA33" i="1"/>
  <c r="GE33" i="1"/>
  <c r="GI33" i="1"/>
  <c r="GM33" i="1"/>
  <c r="GI35" i="1"/>
  <c r="GM35" i="1"/>
  <c r="L41" i="1"/>
  <c r="P41" i="1"/>
  <c r="T41" i="1"/>
  <c r="X41" i="1"/>
  <c r="AB41" i="1"/>
  <c r="AF41" i="1"/>
  <c r="AJ41" i="1"/>
  <c r="AN41" i="1"/>
  <c r="AR41" i="1"/>
  <c r="AV41" i="1"/>
  <c r="AZ41" i="1"/>
  <c r="BD41" i="1"/>
  <c r="BH41" i="1"/>
  <c r="BL41" i="1"/>
  <c r="BP41" i="1"/>
  <c r="BT41" i="1"/>
  <c r="BX41" i="1"/>
  <c r="CB41" i="1"/>
  <c r="CF41" i="1"/>
  <c r="CJ41" i="1"/>
  <c r="CN41" i="1"/>
  <c r="CR41" i="1"/>
  <c r="CV41" i="1"/>
  <c r="CZ41" i="1"/>
  <c r="DD41" i="1"/>
  <c r="DH41" i="1"/>
  <c r="DL41" i="1"/>
  <c r="DP41" i="1"/>
  <c r="DT41" i="1"/>
  <c r="DX41" i="1"/>
  <c r="EB41" i="1"/>
  <c r="EF41" i="1"/>
  <c r="EU51" i="1"/>
  <c r="FK51" i="1"/>
  <c r="FO51" i="1"/>
  <c r="FS51" i="1"/>
  <c r="FW51" i="1"/>
  <c r="GA51" i="1"/>
  <c r="GE51" i="1"/>
  <c r="GI51" i="1"/>
  <c r="GM51" i="1"/>
  <c r="FE50" i="1"/>
  <c r="AM499" i="1"/>
  <c r="AN499" i="1" s="1"/>
  <c r="AM87" i="1"/>
  <c r="AN87" i="1" s="1"/>
  <c r="AU499" i="1"/>
  <c r="AU87" i="1"/>
  <c r="BC499" i="1"/>
  <c r="BD499" i="1" s="1"/>
  <c r="BC87" i="1"/>
  <c r="BD87" i="1" s="1"/>
  <c r="BK499" i="1"/>
  <c r="BK87" i="1"/>
  <c r="BS499" i="1"/>
  <c r="BT499" i="1" s="1"/>
  <c r="BS87" i="1"/>
  <c r="BT87" i="1" s="1"/>
  <c r="CA499" i="1"/>
  <c r="CA87" i="1"/>
  <c r="CI499" i="1"/>
  <c r="CJ499" i="1" s="1"/>
  <c r="CI87" i="1"/>
  <c r="CJ87" i="1" s="1"/>
  <c r="CQ499" i="1"/>
  <c r="CQ87" i="1"/>
  <c r="DA499" i="1"/>
  <c r="DB499" i="1" s="1"/>
  <c r="DA87" i="1"/>
  <c r="DB87" i="1" s="1"/>
  <c r="DI499" i="1"/>
  <c r="DI87" i="1"/>
  <c r="DQ499" i="1"/>
  <c r="DR499" i="1" s="1"/>
  <c r="DQ87" i="1"/>
  <c r="DR87" i="1" s="1"/>
  <c r="DY499" i="1"/>
  <c r="DY87" i="1"/>
  <c r="EG499" i="1"/>
  <c r="EH499" i="1" s="1"/>
  <c r="EG87" i="1"/>
  <c r="EH87" i="1" s="1"/>
  <c r="EO499" i="1"/>
  <c r="EO87" i="1"/>
  <c r="FI68" i="1"/>
  <c r="FM68" i="1"/>
  <c r="FQ68" i="1"/>
  <c r="FU68" i="1"/>
  <c r="GA68" i="1"/>
  <c r="GE68" i="1"/>
  <c r="GI68" i="1"/>
  <c r="GM68" i="1"/>
  <c r="GA69" i="1"/>
  <c r="GE69" i="1"/>
  <c r="GI69" i="1"/>
  <c r="GM69" i="1"/>
  <c r="FI69" i="1"/>
  <c r="FM69" i="1"/>
  <c r="FQ69" i="1"/>
  <c r="FU69" i="1"/>
  <c r="FT70" i="1"/>
  <c r="FU70" i="1" s="1"/>
  <c r="AJ67" i="1"/>
  <c r="AR67" i="1"/>
  <c r="AZ67" i="1"/>
  <c r="BH67" i="1"/>
  <c r="BP67" i="1"/>
  <c r="BX67" i="1"/>
  <c r="CF67" i="1"/>
  <c r="CN67" i="1"/>
  <c r="CT68" i="1"/>
  <c r="CV67" i="1"/>
  <c r="DB68" i="1"/>
  <c r="DD67" i="1"/>
  <c r="DL67" i="1"/>
  <c r="DT67" i="1"/>
  <c r="EB67" i="1"/>
  <c r="EJ67" i="1"/>
  <c r="FW68" i="1"/>
  <c r="C72" i="1"/>
  <c r="C88" i="1" s="1"/>
  <c r="K88" i="1"/>
  <c r="O93" i="1"/>
  <c r="O88" i="1"/>
  <c r="P88" i="1" s="1"/>
  <c r="S88" i="1"/>
  <c r="T88" i="1" s="1"/>
  <c r="W93" i="1"/>
  <c r="W88" i="1"/>
  <c r="X88" i="1" s="1"/>
  <c r="AA88" i="1"/>
  <c r="AB88" i="1" s="1"/>
  <c r="AE88" i="1"/>
  <c r="AF88" i="1" s="1"/>
  <c r="AI72" i="1"/>
  <c r="AM72" i="1"/>
  <c r="AQ72" i="1"/>
  <c r="AU72" i="1"/>
  <c r="AY72" i="1"/>
  <c r="BC72" i="1"/>
  <c r="BG72" i="1"/>
  <c r="BK72" i="1"/>
  <c r="BO72" i="1"/>
  <c r="BS72" i="1"/>
  <c r="BW72" i="1"/>
  <c r="CA72" i="1"/>
  <c r="CE72" i="1"/>
  <c r="CI72" i="1"/>
  <c r="CM72" i="1"/>
  <c r="CQ72" i="1"/>
  <c r="CU72" i="1"/>
  <c r="CY72" i="1"/>
  <c r="DC72" i="1"/>
  <c r="DG72" i="1"/>
  <c r="DK72" i="1"/>
  <c r="DO72" i="1"/>
  <c r="DS72" i="1"/>
  <c r="DW72" i="1"/>
  <c r="EG72" i="1"/>
  <c r="EP72" i="1" s="1"/>
  <c r="EM72" i="1"/>
  <c r="FK72" i="1"/>
  <c r="EU75" i="1"/>
  <c r="FG81" i="1"/>
  <c r="FW81" i="1"/>
  <c r="L81" i="1"/>
  <c r="AI509" i="1"/>
  <c r="AJ509" i="1" s="1"/>
  <c r="AJ84" i="1"/>
  <c r="FP84" i="1"/>
  <c r="AR84" i="1"/>
  <c r="AZ84" i="1"/>
  <c r="FT84" i="1"/>
  <c r="BH84" i="1"/>
  <c r="BP84" i="1"/>
  <c r="BX84" i="1"/>
  <c r="CF84" i="1"/>
  <c r="GB84" i="1"/>
  <c r="CN84" i="1"/>
  <c r="CV84" i="1"/>
  <c r="GF84" i="1"/>
  <c r="GI84" i="1" s="1"/>
  <c r="DD84" i="1"/>
  <c r="DL84" i="1"/>
  <c r="GJ84" i="1"/>
  <c r="DT84" i="1"/>
  <c r="EB84" i="1"/>
  <c r="GN84" i="1"/>
  <c r="EJ84" i="1"/>
  <c r="GB87" i="1"/>
  <c r="GJ87" i="1"/>
  <c r="GC82" i="1"/>
  <c r="GK82" i="1"/>
  <c r="GC83" i="1"/>
  <c r="GK83" i="1"/>
  <c r="GD84" i="1"/>
  <c r="FX85" i="1"/>
  <c r="FY85" i="1" s="1"/>
  <c r="FV87" i="1"/>
  <c r="GL87" i="1"/>
  <c r="EV87" i="1"/>
  <c r="EW87" i="1"/>
  <c r="AU91" i="1"/>
  <c r="AV91" i="1" s="1"/>
  <c r="BK91" i="1"/>
  <c r="BL91" i="1" s="1"/>
  <c r="CA91" i="1"/>
  <c r="CB91" i="1" s="1"/>
  <c r="CQ91" i="1"/>
  <c r="CR91" i="1" s="1"/>
  <c r="DG91" i="1"/>
  <c r="DH91" i="1" s="1"/>
  <c r="DW91" i="1"/>
  <c r="DX91" i="1" s="1"/>
  <c r="EM91" i="1"/>
  <c r="FM91" i="1"/>
  <c r="FX91" i="1"/>
  <c r="FY91" i="1" s="1"/>
  <c r="FF94" i="1"/>
  <c r="FV94" i="1"/>
  <c r="BT96" i="1"/>
  <c r="FT96" i="1"/>
  <c r="BL96" i="1"/>
  <c r="CI534" i="1"/>
  <c r="CR96" i="1"/>
  <c r="CJ96" i="1"/>
  <c r="EW109" i="1"/>
  <c r="EX107" i="1"/>
  <c r="EV109" i="1"/>
  <c r="EU111" i="1"/>
  <c r="ET111" i="1"/>
  <c r="X122" i="1"/>
  <c r="AF122" i="1"/>
  <c r="AN122" i="1"/>
  <c r="AV122" i="1"/>
  <c r="BD122" i="1"/>
  <c r="BL122" i="1"/>
  <c r="BT122" i="1"/>
  <c r="CB122" i="1"/>
  <c r="CJ122" i="1"/>
  <c r="CR122" i="1"/>
  <c r="CZ122" i="1"/>
  <c r="DG125" i="1"/>
  <c r="DO125" i="1"/>
  <c r="DP125" i="1" s="1"/>
  <c r="DP112" i="1"/>
  <c r="DW125" i="1"/>
  <c r="DX112" i="1"/>
  <c r="EE125" i="1"/>
  <c r="EF112" i="1"/>
  <c r="EM125" i="1"/>
  <c r="EN112" i="1"/>
  <c r="FG122" i="1"/>
  <c r="FN112" i="1"/>
  <c r="FV112" i="1"/>
  <c r="GD112" i="1"/>
  <c r="GL112" i="1"/>
  <c r="FM110" i="1"/>
  <c r="FU110" i="1"/>
  <c r="GC110" i="1"/>
  <c r="GK110" i="1"/>
  <c r="FK111" i="1"/>
  <c r="FS111" i="1"/>
  <c r="GA111" i="1"/>
  <c r="GI111" i="1"/>
  <c r="Z125" i="1"/>
  <c r="AP125" i="1"/>
  <c r="BF125" i="1"/>
  <c r="BV125" i="1"/>
  <c r="CL125" i="1"/>
  <c r="DB125" i="1"/>
  <c r="DR125" i="1"/>
  <c r="EH125" i="1"/>
  <c r="FT122" i="1"/>
  <c r="FU122" i="1" s="1"/>
  <c r="GB122" i="1"/>
  <c r="GC122" i="1" s="1"/>
  <c r="GL877" i="1"/>
  <c r="FR124" i="1"/>
  <c r="FS124" i="1" s="1"/>
  <c r="FZ124" i="1"/>
  <c r="GA124" i="1" s="1"/>
  <c r="GH124" i="1"/>
  <c r="GI124" i="1" s="1"/>
  <c r="FK120" i="1"/>
  <c r="FL122" i="1"/>
  <c r="FO122" i="1" s="1"/>
  <c r="AZ126" i="1"/>
  <c r="BH126" i="1"/>
  <c r="BP126" i="1"/>
  <c r="BX126" i="1"/>
  <c r="CF126" i="1"/>
  <c r="CN126" i="1"/>
  <c r="CV126" i="1"/>
  <c r="DD126" i="1"/>
  <c r="DL126" i="1"/>
  <c r="DT126" i="1"/>
  <c r="EB126" i="1"/>
  <c r="EJ126" i="1"/>
  <c r="N122" i="1"/>
  <c r="DY784" i="1"/>
  <c r="DZ143" i="1"/>
  <c r="EG784" i="1"/>
  <c r="EH143" i="1"/>
  <c r="EO784" i="1"/>
  <c r="EX143" i="1"/>
  <c r="EP143" i="1"/>
  <c r="AJ180" i="1"/>
  <c r="AR184" i="1"/>
  <c r="AZ184" i="1"/>
  <c r="BH184" i="1"/>
  <c r="BP184" i="1"/>
  <c r="BX184" i="1"/>
  <c r="CF184" i="1"/>
  <c r="CN184" i="1"/>
  <c r="CV184" i="1"/>
  <c r="DD184" i="1"/>
  <c r="DL184" i="1"/>
  <c r="DT184" i="1"/>
  <c r="EB184" i="1"/>
  <c r="EJ184" i="1"/>
  <c r="EW177" i="1"/>
  <c r="FM191" i="1"/>
  <c r="FU191" i="1"/>
  <c r="GN213" i="1"/>
  <c r="EG217" i="1"/>
  <c r="EG214" i="1"/>
  <c r="GR202" i="1"/>
  <c r="GQ202" i="1"/>
  <c r="FN209" i="1"/>
  <c r="FO209" i="1" s="1"/>
  <c r="FT209" i="1"/>
  <c r="AU211" i="1"/>
  <c r="AV211" i="1" s="1"/>
  <c r="AV205" i="1"/>
  <c r="BK211" i="1"/>
  <c r="BL211" i="1" s="1"/>
  <c r="BL205" i="1"/>
  <c r="CA211" i="1"/>
  <c r="CB211" i="1" s="1"/>
  <c r="CB205" i="1"/>
  <c r="CQ211" i="1"/>
  <c r="CR211" i="1" s="1"/>
  <c r="CR205" i="1"/>
  <c r="DG211" i="1"/>
  <c r="DH211" i="1" s="1"/>
  <c r="DH205" i="1"/>
  <c r="AA855" i="1"/>
  <c r="AB506" i="1"/>
  <c r="AI855" i="1"/>
  <c r="AJ506" i="1"/>
  <c r="AQ855" i="1"/>
  <c r="AR506" i="1"/>
  <c r="AY855" i="1"/>
  <c r="AZ506" i="1"/>
  <c r="BG855" i="1"/>
  <c r="BH506" i="1"/>
  <c r="BO855" i="1"/>
  <c r="BP506" i="1"/>
  <c r="BW855" i="1"/>
  <c r="BX506" i="1"/>
  <c r="CE855" i="1"/>
  <c r="CF506" i="1"/>
  <c r="CM855" i="1"/>
  <c r="CN506" i="1"/>
  <c r="CU855" i="1"/>
  <c r="CV506" i="1"/>
  <c r="DC855" i="1"/>
  <c r="DD506" i="1"/>
  <c r="DK855" i="1"/>
  <c r="DL506" i="1"/>
  <c r="DS855" i="1"/>
  <c r="DT506" i="1"/>
  <c r="EA855" i="1"/>
  <c r="EB506" i="1"/>
  <c r="EI855" i="1"/>
  <c r="EJ506" i="1"/>
  <c r="AJ81" i="1"/>
  <c r="AN81" i="1"/>
  <c r="AR81" i="1"/>
  <c r="AV81" i="1"/>
  <c r="AZ81" i="1"/>
  <c r="BD81" i="1"/>
  <c r="BH81" i="1"/>
  <c r="BL81" i="1"/>
  <c r="BP81" i="1"/>
  <c r="BT81" i="1"/>
  <c r="BX81" i="1"/>
  <c r="CB81" i="1"/>
  <c r="CF81" i="1"/>
  <c r="CJ81" i="1"/>
  <c r="CN81" i="1"/>
  <c r="CR81" i="1"/>
  <c r="CV81" i="1"/>
  <c r="CZ81" i="1"/>
  <c r="DD81" i="1"/>
  <c r="DH81" i="1"/>
  <c r="DL81" i="1"/>
  <c r="DP81" i="1"/>
  <c r="DT81" i="1"/>
  <c r="DX81" i="1"/>
  <c r="EB81" i="1"/>
  <c r="EF81" i="1"/>
  <c r="EJ81" i="1"/>
  <c r="EN81" i="1"/>
  <c r="FM84" i="1"/>
  <c r="L83" i="1"/>
  <c r="P81" i="1"/>
  <c r="X81" i="1"/>
  <c r="AF81" i="1"/>
  <c r="AL84" i="1"/>
  <c r="AP84" i="1"/>
  <c r="AT84" i="1"/>
  <c r="AX84" i="1"/>
  <c r="BB84" i="1"/>
  <c r="BF84" i="1"/>
  <c r="BJ84" i="1"/>
  <c r="BN84" i="1"/>
  <c r="BR84" i="1"/>
  <c r="BV84" i="1"/>
  <c r="BZ84" i="1"/>
  <c r="CD84" i="1"/>
  <c r="CH84" i="1"/>
  <c r="CL84" i="1"/>
  <c r="CP84" i="1"/>
  <c r="CT84" i="1"/>
  <c r="CX84" i="1"/>
  <c r="DB84" i="1"/>
  <c r="DF84" i="1"/>
  <c r="DJ84" i="1"/>
  <c r="DN84" i="1"/>
  <c r="DR84" i="1"/>
  <c r="DV84" i="1"/>
  <c r="DZ84" i="1"/>
  <c r="ED84" i="1"/>
  <c r="EH84" i="1"/>
  <c r="EL84" i="1"/>
  <c r="EP84" i="1"/>
  <c r="FY80" i="1"/>
  <c r="GC80" i="1"/>
  <c r="GG80" i="1"/>
  <c r="GK80" i="1"/>
  <c r="GO80" i="1"/>
  <c r="K85" i="1"/>
  <c r="L85" i="1" s="1"/>
  <c r="S85" i="1"/>
  <c r="AA85" i="1"/>
  <c r="AA93" i="1" s="1"/>
  <c r="AE85" i="1"/>
  <c r="AF85" i="1" s="1"/>
  <c r="AI85" i="1"/>
  <c r="AJ85" i="1" s="1"/>
  <c r="AM85" i="1"/>
  <c r="AQ85" i="1"/>
  <c r="AU85" i="1"/>
  <c r="AV85" i="1" s="1"/>
  <c r="AY85" i="1"/>
  <c r="AZ85" i="1" s="1"/>
  <c r="BC85" i="1"/>
  <c r="BG85" i="1"/>
  <c r="BK85" i="1"/>
  <c r="BL85" i="1" s="1"/>
  <c r="BO85" i="1"/>
  <c r="BP85" i="1" s="1"/>
  <c r="BS85" i="1"/>
  <c r="BW85" i="1"/>
  <c r="CA85" i="1"/>
  <c r="CB85" i="1" s="1"/>
  <c r="CE85" i="1"/>
  <c r="CF85" i="1" s="1"/>
  <c r="CI85" i="1"/>
  <c r="CM85" i="1"/>
  <c r="CQ85" i="1"/>
  <c r="CR85" i="1" s="1"/>
  <c r="CU85" i="1"/>
  <c r="CV85" i="1" s="1"/>
  <c r="CY85" i="1"/>
  <c r="DC85" i="1"/>
  <c r="DG85" i="1"/>
  <c r="DH85" i="1" s="1"/>
  <c r="DK85" i="1"/>
  <c r="DL85" i="1" s="1"/>
  <c r="DO85" i="1"/>
  <c r="DS85" i="1"/>
  <c r="DW85" i="1"/>
  <c r="DX85" i="1" s="1"/>
  <c r="EA85" i="1"/>
  <c r="EB85" i="1" s="1"/>
  <c r="EE85" i="1"/>
  <c r="EI85" i="1"/>
  <c r="EM85" i="1"/>
  <c r="EN85" i="1" s="1"/>
  <c r="ES89" i="1"/>
  <c r="BV534" i="1"/>
  <c r="BZ534" i="1"/>
  <c r="CD534" i="1"/>
  <c r="CH96" i="1"/>
  <c r="EN534" i="1"/>
  <c r="EF534" i="1"/>
  <c r="FZ96" i="1"/>
  <c r="CP96" i="1"/>
  <c r="CN534" i="1"/>
  <c r="CZ534" i="1"/>
  <c r="DJ534" i="1"/>
  <c r="DB534" i="1"/>
  <c r="GL96" i="1"/>
  <c r="ER107" i="1"/>
  <c r="ES110" i="1"/>
  <c r="FM498" i="1"/>
  <c r="FQ498" i="1"/>
  <c r="FU498" i="1"/>
  <c r="FY498" i="1"/>
  <c r="GC498" i="1"/>
  <c r="GF852" i="1"/>
  <c r="GG498" i="1"/>
  <c r="GK498" i="1"/>
  <c r="GO498" i="1"/>
  <c r="GB499" i="1"/>
  <c r="GF499" i="1"/>
  <c r="GJ499" i="1"/>
  <c r="GJ502" i="1" s="1"/>
  <c r="GN499" i="1"/>
  <c r="FN499" i="1"/>
  <c r="FR499" i="1"/>
  <c r="FV499" i="1"/>
  <c r="FG109" i="1"/>
  <c r="FK109" i="1"/>
  <c r="FO109" i="1"/>
  <c r="FS109" i="1"/>
  <c r="FW109" i="1"/>
  <c r="GA109" i="1"/>
  <c r="GE109" i="1"/>
  <c r="GI109" i="1"/>
  <c r="GM109" i="1"/>
  <c r="FW111" i="1"/>
  <c r="E112" i="1"/>
  <c r="FD112" i="1"/>
  <c r="FO115" i="1"/>
  <c r="FS115" i="1"/>
  <c r="FW115" i="1"/>
  <c r="GA115" i="1"/>
  <c r="GE115" i="1"/>
  <c r="GM115" i="1"/>
  <c r="FO116" i="1"/>
  <c r="FS116" i="1"/>
  <c r="FW116" i="1"/>
  <c r="GA116" i="1"/>
  <c r="GE116" i="1"/>
  <c r="GI116" i="1"/>
  <c r="GM116" i="1"/>
  <c r="FW118" i="1"/>
  <c r="FW119" i="1"/>
  <c r="FJ507" i="1"/>
  <c r="FK507" i="1" s="1"/>
  <c r="FL507" i="1"/>
  <c r="AL119" i="1"/>
  <c r="AP119" i="1"/>
  <c r="AT119" i="1"/>
  <c r="AX119" i="1"/>
  <c r="BB119" i="1"/>
  <c r="BF119" i="1"/>
  <c r="BJ119" i="1"/>
  <c r="BN119" i="1"/>
  <c r="BR119" i="1"/>
  <c r="BV119" i="1"/>
  <c r="BZ119" i="1"/>
  <c r="CD119" i="1"/>
  <c r="CH119" i="1"/>
  <c r="CL119" i="1"/>
  <c r="CP119" i="1"/>
  <c r="CT119" i="1"/>
  <c r="CX119" i="1"/>
  <c r="DB119" i="1"/>
  <c r="DF119" i="1"/>
  <c r="DJ119" i="1"/>
  <c r="DN119" i="1"/>
  <c r="DR119" i="1"/>
  <c r="DV119" i="1"/>
  <c r="DZ119" i="1"/>
  <c r="ED119" i="1"/>
  <c r="EH119" i="1"/>
  <c r="EL119" i="1"/>
  <c r="EP119" i="1"/>
  <c r="FI116" i="1"/>
  <c r="FK115" i="1"/>
  <c r="FV120" i="1"/>
  <c r="EU122" i="1"/>
  <c r="ES123" i="1"/>
  <c r="ET123" i="1" s="1"/>
  <c r="FH122" i="1"/>
  <c r="FI122" i="1" s="1"/>
  <c r="FL124" i="1"/>
  <c r="FM124" i="1" s="1"/>
  <c r="FV126" i="1"/>
  <c r="C124" i="1"/>
  <c r="L124" i="1" s="1"/>
  <c r="BS534" i="1"/>
  <c r="DO534" i="1"/>
  <c r="DZ131" i="1"/>
  <c r="GA131" i="1"/>
  <c r="GN534" i="1"/>
  <c r="GZ131" i="1"/>
  <c r="DL534" i="1"/>
  <c r="DD534" i="1"/>
  <c r="EJ140" i="1"/>
  <c r="EL140" i="1"/>
  <c r="EN140" i="1"/>
  <c r="EP140" i="1"/>
  <c r="N143" i="1"/>
  <c r="R143" i="1"/>
  <c r="V143" i="1"/>
  <c r="Z143" i="1"/>
  <c r="AD143" i="1"/>
  <c r="AH143" i="1"/>
  <c r="AL143" i="1"/>
  <c r="AP143" i="1"/>
  <c r="AT143" i="1"/>
  <c r="AX143" i="1"/>
  <c r="BB143" i="1"/>
  <c r="BF143" i="1"/>
  <c r="BJ143" i="1"/>
  <c r="BN143" i="1"/>
  <c r="BR143" i="1"/>
  <c r="BV143" i="1"/>
  <c r="BZ143" i="1"/>
  <c r="CD143" i="1"/>
  <c r="CH143" i="1"/>
  <c r="CL143" i="1"/>
  <c r="CP143" i="1"/>
  <c r="CT143" i="1"/>
  <c r="DN143" i="1"/>
  <c r="DR143" i="1"/>
  <c r="DV143" i="1"/>
  <c r="ET140" i="1"/>
  <c r="ET144" i="1"/>
  <c r="EX140" i="1"/>
  <c r="FK150" i="1"/>
  <c r="FS150" i="1"/>
  <c r="FW150" i="1"/>
  <c r="GA150" i="1"/>
  <c r="GE150" i="1"/>
  <c r="GI150" i="1"/>
  <c r="GM150" i="1"/>
  <c r="FO151" i="1"/>
  <c r="FW151" i="1"/>
  <c r="GE151" i="1"/>
  <c r="GI151" i="1"/>
  <c r="GM151" i="1"/>
  <c r="FK152" i="1"/>
  <c r="FO152" i="1"/>
  <c r="FS152" i="1"/>
  <c r="FW152" i="1"/>
  <c r="GA152" i="1"/>
  <c r="GE152" i="1"/>
  <c r="GI152" i="1"/>
  <c r="GM152" i="1"/>
  <c r="BN152" i="1"/>
  <c r="AI154" i="1"/>
  <c r="AJ154" i="1" s="1"/>
  <c r="AJ156" i="1"/>
  <c r="AN156" i="1"/>
  <c r="AR156" i="1"/>
  <c r="AV156" i="1"/>
  <c r="AZ156" i="1"/>
  <c r="BD156" i="1"/>
  <c r="BH156" i="1"/>
  <c r="BL156" i="1"/>
  <c r="BP156" i="1"/>
  <c r="BT156" i="1"/>
  <c r="BX156" i="1"/>
  <c r="CB156" i="1"/>
  <c r="CF156" i="1"/>
  <c r="CJ156" i="1"/>
  <c r="CN156" i="1"/>
  <c r="CR156" i="1"/>
  <c r="CV156" i="1"/>
  <c r="CZ156" i="1"/>
  <c r="DD156" i="1"/>
  <c r="DH156" i="1"/>
  <c r="DL156" i="1"/>
  <c r="DP156" i="1"/>
  <c r="DT156" i="1"/>
  <c r="DX156" i="1"/>
  <c r="EB156" i="1"/>
  <c r="EF156" i="1"/>
  <c r="EJ156" i="1"/>
  <c r="EN156" i="1"/>
  <c r="FH156" i="1"/>
  <c r="FK156" i="1" s="1"/>
  <c r="FL156" i="1"/>
  <c r="FP156" i="1"/>
  <c r="FS156" i="1" s="1"/>
  <c r="FT156" i="1"/>
  <c r="FX156" i="1"/>
  <c r="GA156" i="1" s="1"/>
  <c r="GB156" i="1"/>
  <c r="GF156" i="1"/>
  <c r="GJ156" i="1"/>
  <c r="GN156" i="1"/>
  <c r="AK159" i="1"/>
  <c r="FD159" i="1"/>
  <c r="FJ789" i="1"/>
  <c r="FH790" i="1"/>
  <c r="FL790" i="1"/>
  <c r="FE164" i="1"/>
  <c r="FJ172" i="1"/>
  <c r="FJ184" i="1" s="1"/>
  <c r="FN172" i="1"/>
  <c r="FR172" i="1"/>
  <c r="FV172" i="1"/>
  <c r="FW172" i="1" s="1"/>
  <c r="FZ172" i="1"/>
  <c r="FZ184" i="1" s="1"/>
  <c r="GD172" i="1"/>
  <c r="GE172" i="1" s="1"/>
  <c r="GH172" i="1"/>
  <c r="GL172" i="1"/>
  <c r="GM172" i="1" s="1"/>
  <c r="AK174" i="1"/>
  <c r="FF174" i="1"/>
  <c r="FH175" i="1"/>
  <c r="FN174" i="1"/>
  <c r="FM180" i="1"/>
  <c r="AO184" i="1"/>
  <c r="AP184" i="1" s="1"/>
  <c r="AS184" i="1"/>
  <c r="AW184" i="1"/>
  <c r="BA184" i="1"/>
  <c r="BE184" i="1"/>
  <c r="BF184" i="1" s="1"/>
  <c r="BI184" i="1"/>
  <c r="BJ184" i="1" s="1"/>
  <c r="BM184" i="1"/>
  <c r="BQ184" i="1"/>
  <c r="BU184" i="1"/>
  <c r="BV184" i="1" s="1"/>
  <c r="BY184" i="1"/>
  <c r="BZ184" i="1" s="1"/>
  <c r="CC184" i="1"/>
  <c r="CG184" i="1"/>
  <c r="CK184" i="1"/>
  <c r="CL184" i="1" s="1"/>
  <c r="CO184" i="1"/>
  <c r="CP184" i="1" s="1"/>
  <c r="CS184" i="1"/>
  <c r="CW184" i="1"/>
  <c r="DA184" i="1"/>
  <c r="DB184" i="1" s="1"/>
  <c r="DE184" i="1"/>
  <c r="DF184" i="1" s="1"/>
  <c r="DI184" i="1"/>
  <c r="DM184" i="1"/>
  <c r="DQ184" i="1"/>
  <c r="DR184" i="1" s="1"/>
  <c r="DU184" i="1"/>
  <c r="DV184" i="1" s="1"/>
  <c r="DY184" i="1"/>
  <c r="EC184" i="1"/>
  <c r="EG184" i="1"/>
  <c r="EH184" i="1" s="1"/>
  <c r="EK184" i="1"/>
  <c r="EL184" i="1" s="1"/>
  <c r="EO184" i="1"/>
  <c r="FK187" i="1"/>
  <c r="FO187" i="1"/>
  <c r="FS187" i="1"/>
  <c r="FK188" i="1"/>
  <c r="FO188" i="1"/>
  <c r="FS188" i="1"/>
  <c r="FK189" i="1"/>
  <c r="FO189" i="1"/>
  <c r="FS189" i="1"/>
  <c r="GC187" i="1"/>
  <c r="GG187" i="1"/>
  <c r="GK187" i="1"/>
  <c r="GO187" i="1"/>
  <c r="FY188" i="1"/>
  <c r="GC188" i="1"/>
  <c r="GG188" i="1"/>
  <c r="GK188" i="1"/>
  <c r="GO188" i="1"/>
  <c r="GC189" i="1"/>
  <c r="GG189" i="1"/>
  <c r="GK189" i="1"/>
  <c r="GO189" i="1"/>
  <c r="GC190" i="1"/>
  <c r="GG190" i="1"/>
  <c r="GK190" i="1"/>
  <c r="GO190" i="1"/>
  <c r="FW189" i="1"/>
  <c r="DF209" i="1"/>
  <c r="DN209" i="1"/>
  <c r="DR209" i="1"/>
  <c r="DV209" i="1"/>
  <c r="DY903" i="1"/>
  <c r="DZ209" i="1"/>
  <c r="FV191" i="1"/>
  <c r="FY191" i="1" s="1"/>
  <c r="FZ191" i="1"/>
  <c r="GD191" i="1"/>
  <c r="GH191" i="1"/>
  <c r="GK191" i="1" s="1"/>
  <c r="GL191" i="1"/>
  <c r="GO191" i="1" s="1"/>
  <c r="EW195" i="1"/>
  <c r="FJ207" i="1"/>
  <c r="FN207" i="1"/>
  <c r="FN205" i="1"/>
  <c r="FR207" i="1"/>
  <c r="FR205" i="1"/>
  <c r="FV207" i="1"/>
  <c r="FV205" i="1"/>
  <c r="FZ205" i="1"/>
  <c r="GD207" i="1"/>
  <c r="GD205" i="1"/>
  <c r="GH207" i="1"/>
  <c r="GH205" i="1"/>
  <c r="GK205" i="1" s="1"/>
  <c r="GL207" i="1"/>
  <c r="GL205" i="1"/>
  <c r="FH205" i="1"/>
  <c r="GJ209" i="1"/>
  <c r="GN209" i="1"/>
  <c r="DQ211" i="1"/>
  <c r="DU211" i="1"/>
  <c r="DY211" i="1"/>
  <c r="DZ211" i="1" s="1"/>
  <c r="EC211" i="1"/>
  <c r="ED211" i="1" s="1"/>
  <c r="EG211" i="1"/>
  <c r="EK211" i="1"/>
  <c r="EO211" i="1"/>
  <c r="EP211" i="1" s="1"/>
  <c r="DV205" i="1"/>
  <c r="EA205" i="1"/>
  <c r="EL205" i="1"/>
  <c r="Q207" i="1"/>
  <c r="R207" i="1" s="1"/>
  <c r="Y207" i="1"/>
  <c r="Z207" i="1" s="1"/>
  <c r="AG207" i="1"/>
  <c r="AO207" i="1"/>
  <c r="AW207" i="1"/>
  <c r="AX207" i="1" s="1"/>
  <c r="BE207" i="1"/>
  <c r="BF207" i="1" s="1"/>
  <c r="BM207" i="1"/>
  <c r="BU207" i="1"/>
  <c r="CC207" i="1"/>
  <c r="CD207" i="1" s="1"/>
  <c r="CK207" i="1"/>
  <c r="CL207" i="1" s="1"/>
  <c r="CS207" i="1"/>
  <c r="DA207" i="1"/>
  <c r="DK207" i="1"/>
  <c r="DL207" i="1" s="1"/>
  <c r="DY207" i="1"/>
  <c r="EO207" i="1"/>
  <c r="GN207" i="1"/>
  <c r="DG209" i="1"/>
  <c r="DH209" i="1" s="1"/>
  <c r="DS209" i="1"/>
  <c r="DT209" i="1" s="1"/>
  <c r="EE209" i="1"/>
  <c r="EM209" i="1"/>
  <c r="FH209" i="1"/>
  <c r="ET210" i="1"/>
  <c r="K213" i="1"/>
  <c r="S213" i="1"/>
  <c r="AA213" i="1"/>
  <c r="AI213" i="1"/>
  <c r="AQ213" i="1"/>
  <c r="AY213" i="1"/>
  <c r="BG213" i="1"/>
  <c r="BO213" i="1"/>
  <c r="BW213" i="1"/>
  <c r="CE213" i="1"/>
  <c r="CM213" i="1"/>
  <c r="CU213" i="1"/>
  <c r="DC213" i="1"/>
  <c r="DK213" i="1"/>
  <c r="EA213" i="1"/>
  <c r="FD213" i="1"/>
  <c r="EV227" i="1"/>
  <c r="EW227" i="1"/>
  <c r="EQ236" i="1"/>
  <c r="ES230" i="1"/>
  <c r="ER230" i="1"/>
  <c r="FV229" i="1"/>
  <c r="GL229" i="1"/>
  <c r="I248" i="1"/>
  <c r="I245" i="1"/>
  <c r="Q787" i="1"/>
  <c r="Y787" i="1"/>
  <c r="Z242" i="1"/>
  <c r="AG787" i="1"/>
  <c r="AH242" i="1"/>
  <c r="AO787" i="1"/>
  <c r="AP242" i="1"/>
  <c r="AW787" i="1"/>
  <c r="AX242" i="1"/>
  <c r="BE787" i="1"/>
  <c r="BF242" i="1"/>
  <c r="BM787" i="1"/>
  <c r="BN242" i="1"/>
  <c r="BU787" i="1"/>
  <c r="BV242" i="1"/>
  <c r="CC787" i="1"/>
  <c r="CD242" i="1"/>
  <c r="CK787" i="1"/>
  <c r="CL242" i="1"/>
  <c r="CS787" i="1"/>
  <c r="CT242" i="1"/>
  <c r="DA787" i="1"/>
  <c r="DB242" i="1"/>
  <c r="DI787" i="1"/>
  <c r="DJ242" i="1"/>
  <c r="EO883" i="1"/>
  <c r="EO787" i="1"/>
  <c r="V245" i="1"/>
  <c r="AL245" i="1"/>
  <c r="BB245" i="1"/>
  <c r="BR245" i="1"/>
  <c r="CH245" i="1"/>
  <c r="CX245" i="1"/>
  <c r="DN245" i="1"/>
  <c r="ED245" i="1"/>
  <c r="C242" i="1"/>
  <c r="DJ246" i="1"/>
  <c r="BB246" i="1"/>
  <c r="CT246" i="1"/>
  <c r="GC274" i="1"/>
  <c r="GG269" i="1"/>
  <c r="GB272" i="1"/>
  <c r="EW276" i="1"/>
  <c r="DP505" i="1"/>
  <c r="DH505" i="1"/>
  <c r="FP505" i="1"/>
  <c r="FT505" i="1"/>
  <c r="FX505" i="1"/>
  <c r="GB505" i="1"/>
  <c r="GF115" i="1"/>
  <c r="GJ505" i="1"/>
  <c r="GN505" i="1"/>
  <c r="FP506" i="1"/>
  <c r="FT506" i="1"/>
  <c r="FX506" i="1"/>
  <c r="GB506" i="1"/>
  <c r="GF506" i="1"/>
  <c r="GJ506" i="1"/>
  <c r="GN506" i="1"/>
  <c r="FP507" i="1"/>
  <c r="FT507" i="1"/>
  <c r="FX507" i="1"/>
  <c r="GB507" i="1"/>
  <c r="GF507" i="1"/>
  <c r="GJ507" i="1"/>
  <c r="GN507" i="1"/>
  <c r="FX508" i="1"/>
  <c r="FY508" i="1" s="1"/>
  <c r="GF508" i="1"/>
  <c r="GJ508" i="1"/>
  <c r="GB509" i="1"/>
  <c r="GN509" i="1"/>
  <c r="FJ508" i="1"/>
  <c r="FK508" i="1" s="1"/>
  <c r="FL508" i="1"/>
  <c r="FM508" i="1" s="1"/>
  <c r="L118" i="1"/>
  <c r="AM509" i="1"/>
  <c r="AN509" i="1" s="1"/>
  <c r="AQ509" i="1"/>
  <c r="AR509" i="1" s="1"/>
  <c r="AU509" i="1"/>
  <c r="AV509" i="1" s="1"/>
  <c r="AY509" i="1"/>
  <c r="BC509" i="1"/>
  <c r="BG509" i="1"/>
  <c r="BH509" i="1" s="1"/>
  <c r="BK509" i="1"/>
  <c r="BL509" i="1" s="1"/>
  <c r="BO509" i="1"/>
  <c r="BS509" i="1"/>
  <c r="BW509" i="1"/>
  <c r="BX509" i="1" s="1"/>
  <c r="CA509" i="1"/>
  <c r="CB509" i="1" s="1"/>
  <c r="CE509" i="1"/>
  <c r="CI509" i="1"/>
  <c r="CM509" i="1"/>
  <c r="CN509" i="1" s="1"/>
  <c r="CQ509" i="1"/>
  <c r="CR509" i="1" s="1"/>
  <c r="CU509" i="1"/>
  <c r="CY509" i="1"/>
  <c r="DC509" i="1"/>
  <c r="DD509" i="1" s="1"/>
  <c r="DG509" i="1"/>
  <c r="DH509" i="1" s="1"/>
  <c r="DK509" i="1"/>
  <c r="DO509" i="1"/>
  <c r="DS509" i="1"/>
  <c r="DT509" i="1" s="1"/>
  <c r="DW509" i="1"/>
  <c r="DX509" i="1" s="1"/>
  <c r="EA509" i="1"/>
  <c r="EE509" i="1"/>
  <c r="EI509" i="1"/>
  <c r="EJ509" i="1" s="1"/>
  <c r="EM509" i="1"/>
  <c r="EN509" i="1" s="1"/>
  <c r="C120" i="1"/>
  <c r="L120" i="1" s="1"/>
  <c r="AM120" i="1"/>
  <c r="AN120" i="1" s="1"/>
  <c r="AQ120" i="1"/>
  <c r="AR120" i="1" s="1"/>
  <c r="AU120" i="1"/>
  <c r="AV120" i="1" s="1"/>
  <c r="AY120" i="1"/>
  <c r="BC120" i="1"/>
  <c r="BG120" i="1"/>
  <c r="BH120" i="1" s="1"/>
  <c r="BK120" i="1"/>
  <c r="BL120" i="1" s="1"/>
  <c r="BO120" i="1"/>
  <c r="BS120" i="1"/>
  <c r="BW120" i="1"/>
  <c r="BX120" i="1" s="1"/>
  <c r="CA120" i="1"/>
  <c r="CB120" i="1" s="1"/>
  <c r="CE120" i="1"/>
  <c r="CI120" i="1"/>
  <c r="CM120" i="1"/>
  <c r="CN120" i="1" s="1"/>
  <c r="CQ120" i="1"/>
  <c r="CR120" i="1" s="1"/>
  <c r="CU120" i="1"/>
  <c r="CY120" i="1"/>
  <c r="DC120" i="1"/>
  <c r="DD120" i="1" s="1"/>
  <c r="DG120" i="1"/>
  <c r="DH120" i="1" s="1"/>
  <c r="DK120" i="1"/>
  <c r="DO120" i="1"/>
  <c r="DO128" i="1" s="1"/>
  <c r="DS120" i="1"/>
  <c r="DT120" i="1" s="1"/>
  <c r="DW120" i="1"/>
  <c r="DX120" i="1" s="1"/>
  <c r="EA120" i="1"/>
  <c r="EE120" i="1"/>
  <c r="EE128" i="1" s="1"/>
  <c r="EI120" i="1"/>
  <c r="EJ120" i="1" s="1"/>
  <c r="EM120" i="1"/>
  <c r="EN120" i="1" s="1"/>
  <c r="GN122" i="1"/>
  <c r="ED122" i="1"/>
  <c r="EL122" i="1"/>
  <c r="FH125" i="1"/>
  <c r="FL125" i="1"/>
  <c r="FP125" i="1"/>
  <c r="FT125" i="1"/>
  <c r="FX125" i="1"/>
  <c r="GB125" i="1"/>
  <c r="GF125" i="1"/>
  <c r="GJ125" i="1"/>
  <c r="GN125" i="1"/>
  <c r="C125" i="1"/>
  <c r="M128" i="1"/>
  <c r="Q128" i="1"/>
  <c r="U128" i="1"/>
  <c r="Y128" i="1"/>
  <c r="AC128" i="1"/>
  <c r="AG128" i="1"/>
  <c r="G128" i="1"/>
  <c r="DU534" i="1"/>
  <c r="EJ534" i="1"/>
  <c r="EB534" i="1"/>
  <c r="DG534" i="1"/>
  <c r="DZ140" i="1"/>
  <c r="DY144" i="1"/>
  <c r="DZ144" i="1" s="1"/>
  <c r="EG144" i="1"/>
  <c r="EH144" i="1" s="1"/>
  <c r="EO144" i="1"/>
  <c r="ER143" i="1"/>
  <c r="EV143" i="1"/>
  <c r="AK156" i="1"/>
  <c r="AI170" i="1"/>
  <c r="AJ170" i="1" s="1"/>
  <c r="AI788" i="1"/>
  <c r="AM788" i="1"/>
  <c r="AQ788" i="1"/>
  <c r="AK175" i="1"/>
  <c r="FF175" i="1"/>
  <c r="EU197" i="1"/>
  <c r="M211" i="1"/>
  <c r="N211" i="1" s="1"/>
  <c r="Q211" i="1"/>
  <c r="R211" i="1" s="1"/>
  <c r="U211" i="1"/>
  <c r="Y211" i="1"/>
  <c r="AC211" i="1"/>
  <c r="AD211" i="1" s="1"/>
  <c r="AG211" i="1"/>
  <c r="AH211" i="1" s="1"/>
  <c r="AK211" i="1"/>
  <c r="AO211" i="1"/>
  <c r="AS211" i="1"/>
  <c r="AT211" i="1" s="1"/>
  <c r="AW211" i="1"/>
  <c r="AX211" i="1" s="1"/>
  <c r="BA211" i="1"/>
  <c r="BE211" i="1"/>
  <c r="BI211" i="1"/>
  <c r="BJ211" i="1" s="1"/>
  <c r="BM211" i="1"/>
  <c r="BN211" i="1" s="1"/>
  <c r="BQ211" i="1"/>
  <c r="BU211" i="1"/>
  <c r="BY211" i="1"/>
  <c r="BZ211" i="1" s="1"/>
  <c r="CC211" i="1"/>
  <c r="CD211" i="1" s="1"/>
  <c r="CG211" i="1"/>
  <c r="CK211" i="1"/>
  <c r="CO211" i="1"/>
  <c r="CP211" i="1" s="1"/>
  <c r="CS211" i="1"/>
  <c r="CT211" i="1" s="1"/>
  <c r="CW211" i="1"/>
  <c r="DA211" i="1"/>
  <c r="DE211" i="1"/>
  <c r="DF211" i="1" s="1"/>
  <c r="DI211" i="1"/>
  <c r="DJ211" i="1" s="1"/>
  <c r="DM211" i="1"/>
  <c r="DR205" i="1"/>
  <c r="DW211" i="1"/>
  <c r="DX211" i="1" s="1"/>
  <c r="FF211" i="1"/>
  <c r="K207" i="1"/>
  <c r="L207" i="1" s="1"/>
  <c r="S207" i="1"/>
  <c r="T207" i="1" s="1"/>
  <c r="AA207" i="1"/>
  <c r="AB207" i="1" s="1"/>
  <c r="AI207" i="1"/>
  <c r="AJ207" i="1" s="1"/>
  <c r="AQ207" i="1"/>
  <c r="AY207" i="1"/>
  <c r="AZ207" i="1" s="1"/>
  <c r="BG207" i="1"/>
  <c r="BH207" i="1" s="1"/>
  <c r="BO207" i="1"/>
  <c r="BP207" i="1" s="1"/>
  <c r="BW207" i="1"/>
  <c r="CE207" i="1"/>
  <c r="CF207" i="1" s="1"/>
  <c r="CM207" i="1"/>
  <c r="CN207" i="1" s="1"/>
  <c r="CU207" i="1"/>
  <c r="CV207" i="1" s="1"/>
  <c r="DC207" i="1"/>
  <c r="DM207" i="1"/>
  <c r="EC207" i="1"/>
  <c r="ER207" i="1"/>
  <c r="EV207" i="1"/>
  <c r="DW209" i="1"/>
  <c r="EG209" i="1"/>
  <c r="EO209" i="1"/>
  <c r="FR209" i="1"/>
  <c r="FS209" i="1" s="1"/>
  <c r="GH209" i="1"/>
  <c r="GI209" i="1" s="1"/>
  <c r="M213" i="1"/>
  <c r="U213" i="1"/>
  <c r="AC213" i="1"/>
  <c r="AK213" i="1"/>
  <c r="AS213" i="1"/>
  <c r="BA213" i="1"/>
  <c r="BI213" i="1"/>
  <c r="BQ213" i="1"/>
  <c r="BY213" i="1"/>
  <c r="CG213" i="1"/>
  <c r="CO213" i="1"/>
  <c r="CW213" i="1"/>
  <c r="DE213" i="1"/>
  <c r="DM213" i="1"/>
  <c r="DU213" i="1"/>
  <c r="EC213" i="1"/>
  <c r="EK213" i="1"/>
  <c r="FF213" i="1"/>
  <c r="DE534" i="1"/>
  <c r="DN216" i="1"/>
  <c r="DF216" i="1"/>
  <c r="DY563" i="1"/>
  <c r="DZ563" i="1" s="1"/>
  <c r="DZ221" i="1"/>
  <c r="EH221" i="1"/>
  <c r="FH229" i="1"/>
  <c r="FI228" i="1"/>
  <c r="FP229" i="1"/>
  <c r="FQ228" i="1"/>
  <c r="FX499" i="1"/>
  <c r="FY499" i="1" s="1"/>
  <c r="FX229" i="1"/>
  <c r="FY228" i="1"/>
  <c r="GF229" i="1"/>
  <c r="GG228" i="1"/>
  <c r="GN229" i="1"/>
  <c r="GO228" i="1"/>
  <c r="FJ229" i="1"/>
  <c r="FZ229" i="1"/>
  <c r="K248" i="1"/>
  <c r="K245" i="1"/>
  <c r="L232" i="1"/>
  <c r="S248" i="1"/>
  <c r="S245" i="1"/>
  <c r="T232" i="1"/>
  <c r="AA248" i="1"/>
  <c r="AA245" i="1"/>
  <c r="AB232" i="1"/>
  <c r="AI248" i="1"/>
  <c r="AI245" i="1"/>
  <c r="AJ245" i="1" s="1"/>
  <c r="AJ232" i="1"/>
  <c r="AQ245" i="1"/>
  <c r="AR232" i="1"/>
  <c r="AY248" i="1"/>
  <c r="AY245" i="1"/>
  <c r="AZ232" i="1"/>
  <c r="BG248" i="1"/>
  <c r="BG245" i="1"/>
  <c r="BH232" i="1"/>
  <c r="BO248" i="1"/>
  <c r="BO245" i="1"/>
  <c r="BP245" i="1" s="1"/>
  <c r="BP232" i="1"/>
  <c r="BW248" i="1"/>
  <c r="BW245" i="1"/>
  <c r="BX232" i="1"/>
  <c r="CE248" i="1"/>
  <c r="CE245" i="1"/>
  <c r="CF232" i="1"/>
  <c r="CM248" i="1"/>
  <c r="CM245" i="1"/>
  <c r="CN232" i="1"/>
  <c r="CU248" i="1"/>
  <c r="CU245" i="1"/>
  <c r="CV245" i="1" s="1"/>
  <c r="CV232" i="1"/>
  <c r="DC248" i="1"/>
  <c r="DC245" i="1"/>
  <c r="DD232" i="1"/>
  <c r="DK248" i="1"/>
  <c r="DK245" i="1"/>
  <c r="DL232" i="1"/>
  <c r="DS248" i="1"/>
  <c r="DS245" i="1"/>
  <c r="DT232" i="1"/>
  <c r="EA248" i="1"/>
  <c r="EA245" i="1"/>
  <c r="EB245" i="1" s="1"/>
  <c r="EB232" i="1"/>
  <c r="EI248" i="1"/>
  <c r="EI245" i="1"/>
  <c r="EJ232" i="1"/>
  <c r="FB248" i="1"/>
  <c r="FB245" i="1"/>
  <c r="EW237" i="1"/>
  <c r="EX237" i="1" s="1"/>
  <c r="GP237" i="1"/>
  <c r="EV237" i="1"/>
  <c r="FN242" i="1"/>
  <c r="FV242" i="1"/>
  <c r="GD242" i="1"/>
  <c r="AT246" i="1"/>
  <c r="BN246" i="1"/>
  <c r="BR246" i="1"/>
  <c r="BV246" i="1"/>
  <c r="BZ246" i="1"/>
  <c r="CD246" i="1"/>
  <c r="CH246" i="1"/>
  <c r="CL246" i="1"/>
  <c r="CP246" i="1"/>
  <c r="CX246" i="1"/>
  <c r="GL240" i="1"/>
  <c r="EJ240" i="1"/>
  <c r="EB240" i="1"/>
  <c r="ET242" i="1"/>
  <c r="L244" i="1"/>
  <c r="BD246" i="1"/>
  <c r="DN246" i="1"/>
  <c r="EW246" i="1"/>
  <c r="EV246" i="1"/>
  <c r="AY272" i="1"/>
  <c r="AZ272" i="1" s="1"/>
  <c r="AZ270" i="1"/>
  <c r="BA265" i="1"/>
  <c r="GE274" i="1"/>
  <c r="AE855" i="1"/>
  <c r="AF506" i="1"/>
  <c r="AM855" i="1"/>
  <c r="AN506" i="1"/>
  <c r="AU855" i="1"/>
  <c r="AV506" i="1"/>
  <c r="BC855" i="1"/>
  <c r="BD506" i="1"/>
  <c r="BK855" i="1"/>
  <c r="BL506" i="1"/>
  <c r="BS855" i="1"/>
  <c r="BT506" i="1"/>
  <c r="CA855" i="1"/>
  <c r="CB506" i="1"/>
  <c r="CI855" i="1"/>
  <c r="CJ506" i="1"/>
  <c r="CQ855" i="1"/>
  <c r="CR506" i="1"/>
  <c r="CY855" i="1"/>
  <c r="CZ506" i="1"/>
  <c r="DG855" i="1"/>
  <c r="DH506" i="1"/>
  <c r="DO855" i="1"/>
  <c r="DP506" i="1"/>
  <c r="DW855" i="1"/>
  <c r="DX506" i="1"/>
  <c r="EE855" i="1"/>
  <c r="EF506" i="1"/>
  <c r="EM855" i="1"/>
  <c r="EN506" i="1"/>
  <c r="AB81" i="1"/>
  <c r="FW80" i="1"/>
  <c r="EU88" i="1"/>
  <c r="BX534" i="1"/>
  <c r="CB534" i="1"/>
  <c r="CF96" i="1"/>
  <c r="EL534" i="1"/>
  <c r="ED534" i="1"/>
  <c r="FX96" i="1"/>
  <c r="FY96" i="1" s="1"/>
  <c r="FK498" i="1"/>
  <c r="FO498" i="1"/>
  <c r="FS498" i="1"/>
  <c r="FV852" i="1"/>
  <c r="FW498" i="1"/>
  <c r="FV502" i="1"/>
  <c r="GA498" i="1"/>
  <c r="GE498" i="1"/>
  <c r="GI498" i="1"/>
  <c r="GM498" i="1"/>
  <c r="FZ499" i="1"/>
  <c r="GA499" i="1" s="1"/>
  <c r="GD499" i="1"/>
  <c r="GE499" i="1" s="1"/>
  <c r="GH499" i="1"/>
  <c r="GI499" i="1" s="1"/>
  <c r="GL499" i="1"/>
  <c r="GM499" i="1" s="1"/>
  <c r="GP108" i="1"/>
  <c r="FP499" i="1"/>
  <c r="FQ499" i="1" s="1"/>
  <c r="FT499" i="1"/>
  <c r="FU499" i="1" s="1"/>
  <c r="P109" i="1"/>
  <c r="X109" i="1"/>
  <c r="AF109" i="1"/>
  <c r="AN109" i="1"/>
  <c r="AV109" i="1"/>
  <c r="BD109" i="1"/>
  <c r="BL109" i="1"/>
  <c r="BT109" i="1"/>
  <c r="CB109" i="1"/>
  <c r="CJ109" i="1"/>
  <c r="CR109" i="1"/>
  <c r="CZ109" i="1"/>
  <c r="DH109" i="1"/>
  <c r="DP109" i="1"/>
  <c r="DX109" i="1"/>
  <c r="EF109" i="1"/>
  <c r="EN109" i="1"/>
  <c r="I112" i="1"/>
  <c r="N112" i="1"/>
  <c r="R112" i="1"/>
  <c r="V112" i="1"/>
  <c r="Z112" i="1"/>
  <c r="AD112" i="1"/>
  <c r="AH112" i="1"/>
  <c r="AL112" i="1"/>
  <c r="AP112" i="1"/>
  <c r="AT112" i="1"/>
  <c r="AX112" i="1"/>
  <c r="BB112" i="1"/>
  <c r="BF112" i="1"/>
  <c r="BJ112" i="1"/>
  <c r="BN112" i="1"/>
  <c r="BR112" i="1"/>
  <c r="BV112" i="1"/>
  <c r="BZ112" i="1"/>
  <c r="CD112" i="1"/>
  <c r="CH112" i="1"/>
  <c r="CL112" i="1"/>
  <c r="CP112" i="1"/>
  <c r="CT112" i="1"/>
  <c r="CX112" i="1"/>
  <c r="DB112" i="1"/>
  <c r="DF112" i="1"/>
  <c r="DJ112" i="1"/>
  <c r="DN112" i="1"/>
  <c r="DR112" i="1"/>
  <c r="DV112" i="1"/>
  <c r="DZ112" i="1"/>
  <c r="ED112" i="1"/>
  <c r="EH112" i="1"/>
  <c r="EL112" i="1"/>
  <c r="EP112" i="1"/>
  <c r="FF112" i="1"/>
  <c r="ER117" i="1"/>
  <c r="EV117" i="1"/>
  <c r="FQ115" i="1"/>
  <c r="FU115" i="1"/>
  <c r="FY115" i="1"/>
  <c r="GC115" i="1"/>
  <c r="GK115" i="1"/>
  <c r="GO115" i="1"/>
  <c r="FQ116" i="1"/>
  <c r="FU116" i="1"/>
  <c r="FY116" i="1"/>
  <c r="GC116" i="1"/>
  <c r="GG116" i="1"/>
  <c r="GK116" i="1"/>
  <c r="GO116" i="1"/>
  <c r="FQ117" i="1"/>
  <c r="FU117" i="1"/>
  <c r="FY117" i="1"/>
  <c r="GC117" i="1"/>
  <c r="GG117" i="1"/>
  <c r="GK117" i="1"/>
  <c r="GO117" i="1"/>
  <c r="FM118" i="1"/>
  <c r="FQ118" i="1"/>
  <c r="FU118" i="1"/>
  <c r="FY118" i="1"/>
  <c r="GC118" i="1"/>
  <c r="GG118" i="1"/>
  <c r="GK118" i="1"/>
  <c r="GO118" i="1"/>
  <c r="FU119" i="1"/>
  <c r="FY119" i="1"/>
  <c r="GK119" i="1"/>
  <c r="DH115" i="1"/>
  <c r="DP115" i="1"/>
  <c r="FJ505" i="1"/>
  <c r="FL505" i="1"/>
  <c r="L115" i="1"/>
  <c r="AN119" i="1"/>
  <c r="AR119" i="1"/>
  <c r="AV119" i="1"/>
  <c r="AZ119" i="1"/>
  <c r="BD119" i="1"/>
  <c r="BH119" i="1"/>
  <c r="BL119" i="1"/>
  <c r="BP119" i="1"/>
  <c r="BT119" i="1"/>
  <c r="BX119" i="1"/>
  <c r="CB119" i="1"/>
  <c r="CF119" i="1"/>
  <c r="CJ119" i="1"/>
  <c r="CN119" i="1"/>
  <c r="CR119" i="1"/>
  <c r="CV119" i="1"/>
  <c r="CZ119" i="1"/>
  <c r="DD119" i="1"/>
  <c r="DH119" i="1"/>
  <c r="DL119" i="1"/>
  <c r="DP119" i="1"/>
  <c r="DT119" i="1"/>
  <c r="DX119" i="1"/>
  <c r="EB119" i="1"/>
  <c r="EF119" i="1"/>
  <c r="EJ119" i="1"/>
  <c r="EN119" i="1"/>
  <c r="FI118" i="1"/>
  <c r="FK117" i="1"/>
  <c r="FL120" i="1"/>
  <c r="FM120" i="1" s="1"/>
  <c r="FP120" i="1"/>
  <c r="FT120" i="1"/>
  <c r="FX120" i="1"/>
  <c r="FY120" i="1" s="1"/>
  <c r="GB120" i="1"/>
  <c r="GJ120" i="1"/>
  <c r="GN120" i="1"/>
  <c r="DO122" i="1"/>
  <c r="DW122" i="1"/>
  <c r="EE122" i="1"/>
  <c r="EM122" i="1"/>
  <c r="FJ122" i="1"/>
  <c r="FK122" i="1" s="1"/>
  <c r="FL126" i="1"/>
  <c r="FM126" i="1" s="1"/>
  <c r="FP126" i="1"/>
  <c r="FT126" i="1"/>
  <c r="FX126" i="1"/>
  <c r="FY126" i="1" s="1"/>
  <c r="GB126" i="1"/>
  <c r="GF126" i="1"/>
  <c r="GJ126" i="1"/>
  <c r="GN126" i="1"/>
  <c r="AO534" i="1"/>
  <c r="BD534" i="1"/>
  <c r="DZ534" i="1"/>
  <c r="DR534" i="1"/>
  <c r="DV131" i="1"/>
  <c r="EB131" i="1"/>
  <c r="EJ131" i="1"/>
  <c r="FQ131" i="1"/>
  <c r="FU131" i="1"/>
  <c r="FY131" i="1"/>
  <c r="GH131" i="1"/>
  <c r="GK131" i="1" s="1"/>
  <c r="GL131" i="1"/>
  <c r="GP534" i="1"/>
  <c r="GF131" i="1"/>
  <c r="FS143" i="1"/>
  <c r="EH140" i="1"/>
  <c r="EH142" i="1"/>
  <c r="L143" i="1"/>
  <c r="P143" i="1"/>
  <c r="T143" i="1"/>
  <c r="X143" i="1"/>
  <c r="AB143" i="1"/>
  <c r="AF143" i="1"/>
  <c r="AJ143" i="1"/>
  <c r="AN143" i="1"/>
  <c r="AR143" i="1"/>
  <c r="AV143" i="1"/>
  <c r="AZ143" i="1"/>
  <c r="BD143" i="1"/>
  <c r="BH143" i="1"/>
  <c r="BL143" i="1"/>
  <c r="BP143" i="1"/>
  <c r="BT143" i="1"/>
  <c r="BX143" i="1"/>
  <c r="CB143" i="1"/>
  <c r="CF143" i="1"/>
  <c r="CJ143" i="1"/>
  <c r="CN143" i="1"/>
  <c r="CR143" i="1"/>
  <c r="CV143" i="1"/>
  <c r="DP143" i="1"/>
  <c r="DT143" i="1"/>
  <c r="DX143" i="1"/>
  <c r="EB143" i="1"/>
  <c r="EF143" i="1"/>
  <c r="EJ143" i="1"/>
  <c r="EN143" i="1"/>
  <c r="ER140" i="1"/>
  <c r="EV140" i="1"/>
  <c r="FI150" i="1"/>
  <c r="FM150" i="1"/>
  <c r="FU150" i="1"/>
  <c r="GC150" i="1"/>
  <c r="FQ151" i="1"/>
  <c r="FY151" i="1"/>
  <c r="GG151" i="1"/>
  <c r="GK151" i="1"/>
  <c r="GO151" i="1"/>
  <c r="FQ152" i="1"/>
  <c r="FY152" i="1"/>
  <c r="GG152" i="1"/>
  <c r="GK152" i="1"/>
  <c r="GO152" i="1"/>
  <c r="AL149" i="1"/>
  <c r="FE149" i="1"/>
  <c r="FD153" i="1"/>
  <c r="FN156" i="1"/>
  <c r="FV156" i="1"/>
  <c r="GD156" i="1"/>
  <c r="GH156" i="1"/>
  <c r="GL156" i="1"/>
  <c r="FG164" i="1"/>
  <c r="FH789" i="1"/>
  <c r="FL789" i="1"/>
  <c r="FJ790" i="1"/>
  <c r="AJ169" i="1"/>
  <c r="FE169" i="1"/>
  <c r="AJ172" i="1"/>
  <c r="AN172" i="1"/>
  <c r="AR172" i="1"/>
  <c r="FH172" i="1"/>
  <c r="FI172" i="1" s="1"/>
  <c r="FL172" i="1"/>
  <c r="FM172" i="1" s="1"/>
  <c r="FP172" i="1"/>
  <c r="FQ172" i="1" s="1"/>
  <c r="FX172" i="1"/>
  <c r="FY172" i="1" s="1"/>
  <c r="GF172" i="1"/>
  <c r="GG172" i="1" s="1"/>
  <c r="AK176" i="1"/>
  <c r="FD175" i="1"/>
  <c r="FF176" i="1"/>
  <c r="ER187" i="1"/>
  <c r="FI187" i="1"/>
  <c r="FM187" i="1"/>
  <c r="FQ187" i="1"/>
  <c r="FU187" i="1"/>
  <c r="FQ188" i="1"/>
  <c r="FU188" i="1"/>
  <c r="FQ189" i="1"/>
  <c r="FU189" i="1"/>
  <c r="DP207" i="1"/>
  <c r="DT207" i="1"/>
  <c r="DW899" i="1"/>
  <c r="DX207" i="1"/>
  <c r="FH207" i="1"/>
  <c r="FI207" i="1" s="1"/>
  <c r="FL205" i="1"/>
  <c r="FL207" i="1"/>
  <c r="FM207" i="1" s="1"/>
  <c r="FP205" i="1"/>
  <c r="FP207" i="1"/>
  <c r="FQ207" i="1" s="1"/>
  <c r="FT205" i="1"/>
  <c r="FT213" i="1" s="1"/>
  <c r="FT207" i="1"/>
  <c r="FU207" i="1" s="1"/>
  <c r="FX205" i="1"/>
  <c r="FX207" i="1"/>
  <c r="FY207" i="1" s="1"/>
  <c r="GB205" i="1"/>
  <c r="GB213" i="1" s="1"/>
  <c r="GB207" i="1"/>
  <c r="GF205" i="1"/>
  <c r="GF207" i="1"/>
  <c r="GG207" i="1" s="1"/>
  <c r="GJ211" i="1"/>
  <c r="GN211" i="1"/>
  <c r="FJ205" i="1"/>
  <c r="EM211" i="1"/>
  <c r="EN211" i="1" s="1"/>
  <c r="N205" i="1"/>
  <c r="R205" i="1"/>
  <c r="V205" i="1"/>
  <c r="Z205" i="1"/>
  <c r="AD205" i="1"/>
  <c r="AH205" i="1"/>
  <c r="AL205" i="1"/>
  <c r="AP205" i="1"/>
  <c r="AT205" i="1"/>
  <c r="AX205" i="1"/>
  <c r="BB205" i="1"/>
  <c r="BF205" i="1"/>
  <c r="BJ205" i="1"/>
  <c r="BN205" i="1"/>
  <c r="BR205" i="1"/>
  <c r="BV205" i="1"/>
  <c r="BZ205" i="1"/>
  <c r="CD205" i="1"/>
  <c r="CH205" i="1"/>
  <c r="CL205" i="1"/>
  <c r="CP205" i="1"/>
  <c r="CT205" i="1"/>
  <c r="CX205" i="1"/>
  <c r="DB205" i="1"/>
  <c r="DF205" i="1"/>
  <c r="DJ205" i="1"/>
  <c r="DN205" i="1"/>
  <c r="DS205" i="1"/>
  <c r="DS213" i="1" s="1"/>
  <c r="DX205" i="1"/>
  <c r="ED205" i="1"/>
  <c r="EI205" i="1"/>
  <c r="EP205" i="1"/>
  <c r="M207" i="1"/>
  <c r="N207" i="1" s="1"/>
  <c r="U207" i="1"/>
  <c r="V207" i="1" s="1"/>
  <c r="AC207" i="1"/>
  <c r="AK207" i="1"/>
  <c r="AL207" i="1" s="1"/>
  <c r="AS207" i="1"/>
  <c r="AT207" i="1" s="1"/>
  <c r="BA207" i="1"/>
  <c r="BB207" i="1" s="1"/>
  <c r="BI207" i="1"/>
  <c r="BQ207" i="1"/>
  <c r="BR207" i="1" s="1"/>
  <c r="BY207" i="1"/>
  <c r="BZ207" i="1" s="1"/>
  <c r="CG207" i="1"/>
  <c r="CH207" i="1" s="1"/>
  <c r="CO207" i="1"/>
  <c r="CW207" i="1"/>
  <c r="CX207" i="1" s="1"/>
  <c r="DE207" i="1"/>
  <c r="DF207" i="1" s="1"/>
  <c r="DQ207" i="1"/>
  <c r="EG207" i="1"/>
  <c r="EB207" i="1"/>
  <c r="EF207" i="1"/>
  <c r="EJ207" i="1"/>
  <c r="EN207" i="1"/>
  <c r="EA209" i="1"/>
  <c r="EI209" i="1"/>
  <c r="FD209" i="1"/>
  <c r="FE209" i="1" s="1"/>
  <c r="GL209" i="1"/>
  <c r="O213" i="1"/>
  <c r="W213" i="1"/>
  <c r="AE213" i="1"/>
  <c r="AM213" i="1"/>
  <c r="AU213" i="1"/>
  <c r="BC213" i="1"/>
  <c r="BK213" i="1"/>
  <c r="BS213" i="1"/>
  <c r="CA213" i="1"/>
  <c r="CI213" i="1"/>
  <c r="CQ213" i="1"/>
  <c r="CY213" i="1"/>
  <c r="DG213" i="1"/>
  <c r="DO213" i="1"/>
  <c r="DW213" i="1"/>
  <c r="EE213" i="1"/>
  <c r="EM213" i="1"/>
  <c r="GF216" i="1"/>
  <c r="GG216" i="1" s="1"/>
  <c r="GZ216" i="1"/>
  <c r="GO216" i="1"/>
  <c r="DS563" i="1"/>
  <c r="DT563" i="1" s="1"/>
  <c r="DT221" i="1"/>
  <c r="EU228" i="1"/>
  <c r="ES229" i="1"/>
  <c r="ET228" i="1"/>
  <c r="FM227" i="1"/>
  <c r="FU227" i="1"/>
  <c r="GC227" i="1"/>
  <c r="GK227" i="1"/>
  <c r="FK228" i="1"/>
  <c r="FS228" i="1"/>
  <c r="GA228" i="1"/>
  <c r="GI228" i="1"/>
  <c r="FN232" i="1"/>
  <c r="GD232" i="1"/>
  <c r="FK230" i="1"/>
  <c r="FS230" i="1"/>
  <c r="GA230" i="1"/>
  <c r="GI230" i="1"/>
  <c r="FQ231" i="1"/>
  <c r="FY231" i="1"/>
  <c r="GG231" i="1"/>
  <c r="GO231" i="1"/>
  <c r="M787" i="1"/>
  <c r="N242" i="1"/>
  <c r="U787" i="1"/>
  <c r="V242" i="1"/>
  <c r="AC787" i="1"/>
  <c r="AD242" i="1"/>
  <c r="AK787" i="1"/>
  <c r="AL242" i="1"/>
  <c r="AS787" i="1"/>
  <c r="AT242" i="1"/>
  <c r="BA787" i="1"/>
  <c r="BB242" i="1"/>
  <c r="BI787" i="1"/>
  <c r="BJ242" i="1"/>
  <c r="BQ787" i="1"/>
  <c r="BR242" i="1"/>
  <c r="BY787" i="1"/>
  <c r="BZ242" i="1"/>
  <c r="CG787" i="1"/>
  <c r="CH242" i="1"/>
  <c r="CO787" i="1"/>
  <c r="CP242" i="1"/>
  <c r="CW787" i="1"/>
  <c r="CX242" i="1"/>
  <c r="DE787" i="1"/>
  <c r="DF242" i="1"/>
  <c r="DM787" i="1"/>
  <c r="DN242" i="1"/>
  <c r="DU787" i="1"/>
  <c r="DV242" i="1"/>
  <c r="EC883" i="1"/>
  <c r="EC787" i="1"/>
  <c r="ED242" i="1"/>
  <c r="EK883" i="1"/>
  <c r="EK787" i="1"/>
  <c r="EL242" i="1"/>
  <c r="FH242" i="1"/>
  <c r="FP242" i="1"/>
  <c r="FX242" i="1"/>
  <c r="GF242" i="1"/>
  <c r="GN242" i="1"/>
  <c r="AV246" i="1"/>
  <c r="DF246" i="1"/>
  <c r="AX246" i="1"/>
  <c r="DP246" i="1"/>
  <c r="FW251" i="1"/>
  <c r="GD265" i="1"/>
  <c r="FM509" i="1"/>
  <c r="CH534" i="1"/>
  <c r="FL500" i="1"/>
  <c r="FP500" i="1"/>
  <c r="FT500" i="1"/>
  <c r="FX500" i="1"/>
  <c r="GB500" i="1"/>
  <c r="GF500" i="1"/>
  <c r="GJ500" i="1"/>
  <c r="GN500" i="1"/>
  <c r="FJ501" i="1"/>
  <c r="FK501" i="1" s="1"/>
  <c r="FZ501" i="1"/>
  <c r="GA501" i="1" s="1"/>
  <c r="GD501" i="1"/>
  <c r="GE501" i="1" s="1"/>
  <c r="GH501" i="1"/>
  <c r="GI501" i="1" s="1"/>
  <c r="GL501" i="1"/>
  <c r="GM501" i="1" s="1"/>
  <c r="O112" i="1"/>
  <c r="W112" i="1"/>
  <c r="AE112" i="1"/>
  <c r="AM112" i="1"/>
  <c r="AU112" i="1"/>
  <c r="BC112" i="1"/>
  <c r="BK112" i="1"/>
  <c r="BS112" i="1"/>
  <c r="CA112" i="1"/>
  <c r="CI112" i="1"/>
  <c r="CQ112" i="1"/>
  <c r="CY112" i="1"/>
  <c r="FN505" i="1"/>
  <c r="FR505" i="1"/>
  <c r="FV505" i="1"/>
  <c r="FZ505" i="1"/>
  <c r="GD505" i="1"/>
  <c r="GH505" i="1"/>
  <c r="GL505" i="1"/>
  <c r="FN506" i="1"/>
  <c r="FR506" i="1"/>
  <c r="FV506" i="1"/>
  <c r="FZ506" i="1"/>
  <c r="GD506" i="1"/>
  <c r="GH506" i="1"/>
  <c r="GL506" i="1"/>
  <c r="FN507" i="1"/>
  <c r="FO507" i="1" s="1"/>
  <c r="FR507" i="1"/>
  <c r="FS507" i="1" s="1"/>
  <c r="FV507" i="1"/>
  <c r="FW507" i="1" s="1"/>
  <c r="FZ507" i="1"/>
  <c r="GA507" i="1" s="1"/>
  <c r="GD507" i="1"/>
  <c r="GE507" i="1" s="1"/>
  <c r="GH507" i="1"/>
  <c r="GI507" i="1" s="1"/>
  <c r="GL507" i="1"/>
  <c r="GM507" i="1" s="1"/>
  <c r="GP117" i="1"/>
  <c r="FZ508" i="1"/>
  <c r="GA508" i="1" s="1"/>
  <c r="GD508" i="1"/>
  <c r="GH508" i="1"/>
  <c r="GI508" i="1" s="1"/>
  <c r="FN119" i="1"/>
  <c r="FN120" i="1" s="1"/>
  <c r="FO120" i="1" s="1"/>
  <c r="FR119" i="1"/>
  <c r="FZ119" i="1"/>
  <c r="FZ120" i="1" s="1"/>
  <c r="GA120" i="1" s="1"/>
  <c r="GD119" i="1"/>
  <c r="GD120" i="1" s="1"/>
  <c r="GE120" i="1" s="1"/>
  <c r="GH119" i="1"/>
  <c r="GL119" i="1"/>
  <c r="GL120" i="1" s="1"/>
  <c r="GM120" i="1" s="1"/>
  <c r="FJ506" i="1"/>
  <c r="FL506" i="1"/>
  <c r="AK509" i="1"/>
  <c r="AL509" i="1" s="1"/>
  <c r="AO509" i="1"/>
  <c r="AP509" i="1" s="1"/>
  <c r="AS509" i="1"/>
  <c r="AT509" i="1" s="1"/>
  <c r="AW509" i="1"/>
  <c r="AX509" i="1" s="1"/>
  <c r="BA509" i="1"/>
  <c r="BE509" i="1"/>
  <c r="BI509" i="1"/>
  <c r="BJ509" i="1" s="1"/>
  <c r="BM509" i="1"/>
  <c r="BN509" i="1" s="1"/>
  <c r="BQ509" i="1"/>
  <c r="BU509" i="1"/>
  <c r="BY509" i="1"/>
  <c r="BZ509" i="1" s="1"/>
  <c r="CC509" i="1"/>
  <c r="CD509" i="1" s="1"/>
  <c r="CG509" i="1"/>
  <c r="CK509" i="1"/>
  <c r="CO509" i="1"/>
  <c r="CP509" i="1" s="1"/>
  <c r="CS509" i="1"/>
  <c r="CT509" i="1" s="1"/>
  <c r="CW509" i="1"/>
  <c r="DA509" i="1"/>
  <c r="DE509" i="1"/>
  <c r="DF509" i="1" s="1"/>
  <c r="DI509" i="1"/>
  <c r="DJ509" i="1" s="1"/>
  <c r="DM509" i="1"/>
  <c r="DQ509" i="1"/>
  <c r="DU509" i="1"/>
  <c r="DV509" i="1" s="1"/>
  <c r="DY509" i="1"/>
  <c r="DZ509" i="1" s="1"/>
  <c r="EC509" i="1"/>
  <c r="EG509" i="1"/>
  <c r="EK509" i="1"/>
  <c r="EL509" i="1" s="1"/>
  <c r="EO509" i="1"/>
  <c r="EP509" i="1" s="1"/>
  <c r="FK118" i="1"/>
  <c r="AK120" i="1"/>
  <c r="AL120" i="1" s="1"/>
  <c r="AO120" i="1"/>
  <c r="AP120" i="1" s="1"/>
  <c r="AS120" i="1"/>
  <c r="AT120" i="1" s="1"/>
  <c r="AW120" i="1"/>
  <c r="BA120" i="1"/>
  <c r="BA128" i="1" s="1"/>
  <c r="BE120" i="1"/>
  <c r="BF120" i="1" s="1"/>
  <c r="BI120" i="1"/>
  <c r="BJ120" i="1" s="1"/>
  <c r="BM120" i="1"/>
  <c r="BQ120" i="1"/>
  <c r="BQ128" i="1" s="1"/>
  <c r="BU120" i="1"/>
  <c r="BV120" i="1" s="1"/>
  <c r="BY120" i="1"/>
  <c r="BZ120" i="1" s="1"/>
  <c r="CC120" i="1"/>
  <c r="CG120" i="1"/>
  <c r="CG128" i="1" s="1"/>
  <c r="CK120" i="1"/>
  <c r="CL120" i="1" s="1"/>
  <c r="CO120" i="1"/>
  <c r="CP120" i="1" s="1"/>
  <c r="CS120" i="1"/>
  <c r="CW120" i="1"/>
  <c r="CW128" i="1" s="1"/>
  <c r="DA120" i="1"/>
  <c r="DB120" i="1" s="1"/>
  <c r="DE120" i="1"/>
  <c r="DF120" i="1" s="1"/>
  <c r="DI120" i="1"/>
  <c r="DM120" i="1"/>
  <c r="DM128" i="1" s="1"/>
  <c r="DQ120" i="1"/>
  <c r="DR120" i="1" s="1"/>
  <c r="DU120" i="1"/>
  <c r="DV120" i="1" s="1"/>
  <c r="DY120" i="1"/>
  <c r="EC120" i="1"/>
  <c r="EC128" i="1" s="1"/>
  <c r="EG120" i="1"/>
  <c r="EH120" i="1" s="1"/>
  <c r="EK120" i="1"/>
  <c r="EL120" i="1" s="1"/>
  <c r="EO120" i="1"/>
  <c r="DG122" i="1"/>
  <c r="DH122" i="1" s="1"/>
  <c r="ET122" i="1"/>
  <c r="GJ122" i="1"/>
  <c r="GK122" i="1" s="1"/>
  <c r="FJ125" i="1"/>
  <c r="FK125" i="1" s="1"/>
  <c r="FN125" i="1"/>
  <c r="FO125" i="1" s="1"/>
  <c r="FR125" i="1"/>
  <c r="FS125" i="1" s="1"/>
  <c r="FV125" i="1"/>
  <c r="FW125" i="1" s="1"/>
  <c r="FZ125" i="1"/>
  <c r="GA125" i="1" s="1"/>
  <c r="GD125" i="1"/>
  <c r="GE125" i="1" s="1"/>
  <c r="GH125" i="1"/>
  <c r="GI125" i="1" s="1"/>
  <c r="GL125" i="1"/>
  <c r="GM125" i="1" s="1"/>
  <c r="BK534" i="1"/>
  <c r="ED131" i="1"/>
  <c r="FN534" i="1"/>
  <c r="FO534" i="1" s="1"/>
  <c r="FV534" i="1"/>
  <c r="FT143" i="1"/>
  <c r="FW143" i="1" s="1"/>
  <c r="FX143" i="1"/>
  <c r="GB143" i="1"/>
  <c r="FN150" i="1"/>
  <c r="AL150" i="1"/>
  <c r="AT150" i="1"/>
  <c r="AL164" i="1"/>
  <c r="FN169" i="1"/>
  <c r="AK788" i="1"/>
  <c r="AO788" i="1"/>
  <c r="AS788" i="1"/>
  <c r="FH174" i="1"/>
  <c r="AI179" i="1"/>
  <c r="L191" i="1"/>
  <c r="P191" i="1"/>
  <c r="T191" i="1"/>
  <c r="X191" i="1"/>
  <c r="AB191" i="1"/>
  <c r="AF191" i="1"/>
  <c r="AJ191" i="1"/>
  <c r="AN191" i="1"/>
  <c r="AR191" i="1"/>
  <c r="AV191" i="1"/>
  <c r="AZ191" i="1"/>
  <c r="BD191" i="1"/>
  <c r="BH191" i="1"/>
  <c r="BL191" i="1"/>
  <c r="BP191" i="1"/>
  <c r="BT191" i="1"/>
  <c r="BX191" i="1"/>
  <c r="CB191" i="1"/>
  <c r="CF191" i="1"/>
  <c r="CJ191" i="1"/>
  <c r="CN191" i="1"/>
  <c r="CR191" i="1"/>
  <c r="CV191" i="1"/>
  <c r="CZ191" i="1"/>
  <c r="DD191" i="1"/>
  <c r="DH191" i="1"/>
  <c r="DL191" i="1"/>
  <c r="DP191" i="1"/>
  <c r="DT191" i="1"/>
  <c r="DX191" i="1"/>
  <c r="EB191" i="1"/>
  <c r="EF191" i="1"/>
  <c r="EJ191" i="1"/>
  <c r="EN191" i="1"/>
  <c r="FE191" i="1"/>
  <c r="FI200" i="1"/>
  <c r="FM200" i="1"/>
  <c r="FQ200" i="1"/>
  <c r="FU200" i="1"/>
  <c r="FY200" i="1"/>
  <c r="GC200" i="1"/>
  <c r="GG200" i="1"/>
  <c r="GK200" i="1"/>
  <c r="GO200" i="1"/>
  <c r="FK203" i="1"/>
  <c r="FO203" i="1"/>
  <c r="FW203" i="1"/>
  <c r="GE203" i="1"/>
  <c r="AN204" i="1"/>
  <c r="AR204" i="1"/>
  <c r="AV204" i="1"/>
  <c r="AZ204" i="1"/>
  <c r="BD204" i="1"/>
  <c r="BH204" i="1"/>
  <c r="BL204" i="1"/>
  <c r="BP204" i="1"/>
  <c r="BT204" i="1"/>
  <c r="BX204" i="1"/>
  <c r="CB204" i="1"/>
  <c r="CF204" i="1"/>
  <c r="CJ204" i="1"/>
  <c r="CN204" i="1"/>
  <c r="CR204" i="1"/>
  <c r="CV204" i="1"/>
  <c r="CZ204" i="1"/>
  <c r="DD204" i="1"/>
  <c r="DH204" i="1"/>
  <c r="DL204" i="1"/>
  <c r="DP204" i="1"/>
  <c r="EF204" i="1"/>
  <c r="EN204" i="1"/>
  <c r="K211" i="1"/>
  <c r="L211" i="1" s="1"/>
  <c r="O211" i="1"/>
  <c r="P211" i="1" s="1"/>
  <c r="S211" i="1"/>
  <c r="T211" i="1" s="1"/>
  <c r="W211" i="1"/>
  <c r="X211" i="1" s="1"/>
  <c r="AA211" i="1"/>
  <c r="AE211" i="1"/>
  <c r="AI211" i="1"/>
  <c r="AJ211" i="1" s="1"/>
  <c r="DZ205" i="1"/>
  <c r="FD211" i="1"/>
  <c r="FE211" i="1" s="1"/>
  <c r="GO205" i="1"/>
  <c r="O207" i="1"/>
  <c r="P207" i="1" s="1"/>
  <c r="W207" i="1"/>
  <c r="X207" i="1" s="1"/>
  <c r="AE207" i="1"/>
  <c r="AM207" i="1"/>
  <c r="AN207" i="1" s="1"/>
  <c r="AU207" i="1"/>
  <c r="AV207" i="1" s="1"/>
  <c r="BC207" i="1"/>
  <c r="BD207" i="1" s="1"/>
  <c r="BK207" i="1"/>
  <c r="BS207" i="1"/>
  <c r="BT207" i="1" s="1"/>
  <c r="CA207" i="1"/>
  <c r="CB207" i="1" s="1"/>
  <c r="CI207" i="1"/>
  <c r="CJ207" i="1" s="1"/>
  <c r="CQ207" i="1"/>
  <c r="CY207" i="1"/>
  <c r="CZ207" i="1" s="1"/>
  <c r="DI207" i="1"/>
  <c r="DJ207" i="1" s="1"/>
  <c r="DU207" i="1"/>
  <c r="DV207" i="1" s="1"/>
  <c r="EK207" i="1"/>
  <c r="GJ207" i="1"/>
  <c r="GK207" i="1" s="1"/>
  <c r="DO209" i="1"/>
  <c r="DP209" i="1" s="1"/>
  <c r="FF209" i="1"/>
  <c r="FG209" i="1" s="1"/>
  <c r="Q213" i="1"/>
  <c r="Y213" i="1"/>
  <c r="AG213" i="1"/>
  <c r="AO213" i="1"/>
  <c r="AW213" i="1"/>
  <c r="BE213" i="1"/>
  <c r="BM213" i="1"/>
  <c r="BU213" i="1"/>
  <c r="CC213" i="1"/>
  <c r="CK213" i="1"/>
  <c r="CS213" i="1"/>
  <c r="DA213" i="1"/>
  <c r="DI213" i="1"/>
  <c r="DQ213" i="1"/>
  <c r="DY213" i="1"/>
  <c r="FS216" i="1"/>
  <c r="GA216" i="1"/>
  <c r="GI216" i="1"/>
  <c r="EC563" i="1"/>
  <c r="ED563" i="1" s="1"/>
  <c r="ED221" i="1"/>
  <c r="EV231" i="1"/>
  <c r="EW231" i="1"/>
  <c r="EX231" i="1" s="1"/>
  <c r="FL229" i="1"/>
  <c r="FM228" i="1"/>
  <c r="FT229" i="1"/>
  <c r="FT242" i="1" s="1"/>
  <c r="FU228" i="1"/>
  <c r="GB229" i="1"/>
  <c r="GC228" i="1"/>
  <c r="GJ229" i="1"/>
  <c r="GJ242" i="1" s="1"/>
  <c r="GK228" i="1"/>
  <c r="FR229" i="1"/>
  <c r="GH229" i="1"/>
  <c r="G232" i="1"/>
  <c r="G242" i="1"/>
  <c r="O232" i="1"/>
  <c r="O242" i="1"/>
  <c r="P229" i="1"/>
  <c r="W232" i="1"/>
  <c r="W242" i="1"/>
  <c r="X229" i="1"/>
  <c r="AE232" i="1"/>
  <c r="AE242" i="1"/>
  <c r="AF229" i="1"/>
  <c r="AM232" i="1"/>
  <c r="AM242" i="1"/>
  <c r="AN229" i="1"/>
  <c r="AU232" i="1"/>
  <c r="AU242" i="1"/>
  <c r="AV229" i="1"/>
  <c r="BC232" i="1"/>
  <c r="BC242" i="1"/>
  <c r="BD229" i="1"/>
  <c r="BK232" i="1"/>
  <c r="BK242" i="1"/>
  <c r="BL229" i="1"/>
  <c r="BS232" i="1"/>
  <c r="BS242" i="1"/>
  <c r="BT229" i="1"/>
  <c r="CA232" i="1"/>
  <c r="CA242" i="1"/>
  <c r="CB229" i="1"/>
  <c r="CI232" i="1"/>
  <c r="CI242" i="1"/>
  <c r="CJ229" i="1"/>
  <c r="CQ232" i="1"/>
  <c r="CQ242" i="1"/>
  <c r="CR229" i="1"/>
  <c r="CY232" i="1"/>
  <c r="CY242" i="1"/>
  <c r="CZ229" i="1"/>
  <c r="DG232" i="1"/>
  <c r="DH229" i="1"/>
  <c r="DG242" i="1"/>
  <c r="DO242" i="1"/>
  <c r="DO232" i="1"/>
  <c r="DP229" i="1"/>
  <c r="DW242" i="1"/>
  <c r="DW232" i="1"/>
  <c r="DX229" i="1"/>
  <c r="EE242" i="1"/>
  <c r="EE232" i="1"/>
  <c r="EF229" i="1"/>
  <c r="EM242" i="1"/>
  <c r="EM232" i="1"/>
  <c r="EN229" i="1"/>
  <c r="FF242" i="1"/>
  <c r="FG242" i="1" s="1"/>
  <c r="FF232" i="1"/>
  <c r="FG229" i="1"/>
  <c r="C248" i="1"/>
  <c r="R245" i="1"/>
  <c r="AH245" i="1"/>
  <c r="AX245" i="1"/>
  <c r="BN245" i="1"/>
  <c r="CD245" i="1"/>
  <c r="CT245" i="1"/>
  <c r="DJ245" i="1"/>
  <c r="DZ245" i="1"/>
  <c r="EX245" i="1"/>
  <c r="EP245" i="1"/>
  <c r="FJ242" i="1"/>
  <c r="FK242" i="1" s="1"/>
  <c r="FZ242" i="1"/>
  <c r="GH242" i="1"/>
  <c r="FW244" i="1"/>
  <c r="FN245" i="1"/>
  <c r="GD245" i="1"/>
  <c r="BH240" i="1"/>
  <c r="BL240" i="1"/>
  <c r="BP240" i="1"/>
  <c r="BT240" i="1"/>
  <c r="BX240" i="1"/>
  <c r="CB240" i="1"/>
  <c r="CF240" i="1"/>
  <c r="CR240" i="1"/>
  <c r="CJ240" i="1"/>
  <c r="CV240" i="1"/>
  <c r="CN240" i="1"/>
  <c r="DR246" i="1"/>
  <c r="ED246" i="1"/>
  <c r="FR788" i="1"/>
  <c r="GA274" i="1"/>
  <c r="GH788" i="1"/>
  <c r="GO269" i="1"/>
  <c r="GT271" i="1"/>
  <c r="GS271" i="1"/>
  <c r="EW207" i="1"/>
  <c r="EU209" i="1"/>
  <c r="GQ216" i="1"/>
  <c r="EB221" i="1"/>
  <c r="EL221" i="1"/>
  <c r="ER228" i="1"/>
  <c r="EQ229" i="1"/>
  <c r="L229" i="1"/>
  <c r="T229" i="1"/>
  <c r="AB229" i="1"/>
  <c r="AJ229" i="1"/>
  <c r="AR229" i="1"/>
  <c r="AZ229" i="1"/>
  <c r="BH229" i="1"/>
  <c r="BP229" i="1"/>
  <c r="BX229" i="1"/>
  <c r="CF229" i="1"/>
  <c r="CN229" i="1"/>
  <c r="CV229" i="1"/>
  <c r="DD229" i="1"/>
  <c r="DL229" i="1"/>
  <c r="DT229" i="1"/>
  <c r="EB229" i="1"/>
  <c r="EJ229" i="1"/>
  <c r="E232" i="1"/>
  <c r="FD232" i="1"/>
  <c r="FI235" i="1"/>
  <c r="FM235" i="1"/>
  <c r="FQ235" i="1"/>
  <c r="FU235" i="1"/>
  <c r="FY235" i="1"/>
  <c r="GC235" i="1"/>
  <c r="GG235" i="1"/>
  <c r="GK235" i="1"/>
  <c r="GO235" i="1"/>
  <c r="FK236" i="1"/>
  <c r="FO236" i="1"/>
  <c r="FS236" i="1"/>
  <c r="FW236" i="1"/>
  <c r="GA236" i="1"/>
  <c r="GE236" i="1"/>
  <c r="GI236" i="1"/>
  <c r="GM236" i="1"/>
  <c r="FK238" i="1"/>
  <c r="FO238" i="1"/>
  <c r="FS238" i="1"/>
  <c r="FW238" i="1"/>
  <c r="GA238" i="1"/>
  <c r="GE238" i="1"/>
  <c r="GI238" i="1"/>
  <c r="GM238" i="1"/>
  <c r="FI239" i="1"/>
  <c r="FM239" i="1"/>
  <c r="FU239" i="1"/>
  <c r="FY239" i="1"/>
  <c r="GC239" i="1"/>
  <c r="GO239" i="1"/>
  <c r="L235" i="1"/>
  <c r="AN239" i="1"/>
  <c r="AR239" i="1"/>
  <c r="AV239" i="1"/>
  <c r="CR239" i="1"/>
  <c r="CX239" i="1"/>
  <c r="DH239" i="1"/>
  <c r="DN239" i="1"/>
  <c r="EJ239" i="1"/>
  <c r="C240" i="1"/>
  <c r="L240" i="1" s="1"/>
  <c r="AM240" i="1"/>
  <c r="AN240" i="1" s="1"/>
  <c r="AQ240" i="1"/>
  <c r="AU240" i="1"/>
  <c r="AV240" i="1" s="1"/>
  <c r="DG240" i="1"/>
  <c r="DK242" i="1"/>
  <c r="DQ242" i="1"/>
  <c r="DY242" i="1"/>
  <c r="EG242" i="1"/>
  <c r="FB242" i="1"/>
  <c r="FE242" i="1" s="1"/>
  <c r="EL246" i="1"/>
  <c r="GO251" i="1"/>
  <c r="DZ255" i="1"/>
  <c r="FS266" i="1"/>
  <c r="GA266" i="1"/>
  <c r="GE266" i="1"/>
  <c r="GI266" i="1"/>
  <c r="GJ790" i="1"/>
  <c r="GN790" i="1"/>
  <c r="GC268" i="1"/>
  <c r="GK268" i="1"/>
  <c r="GO268" i="1"/>
  <c r="ET269" i="1"/>
  <c r="CM270" i="1"/>
  <c r="ES271" i="1"/>
  <c r="FU271" i="1"/>
  <c r="FY271" i="1"/>
  <c r="GC271" i="1"/>
  <c r="GG271" i="1"/>
  <c r="GK271" i="1"/>
  <c r="GO271" i="1"/>
  <c r="AV270" i="1"/>
  <c r="CX269" i="1"/>
  <c r="AW272" i="1"/>
  <c r="AX272" i="1" s="1"/>
  <c r="AW788" i="1"/>
  <c r="GB276" i="1"/>
  <c r="AY276" i="1"/>
  <c r="ER282" i="1"/>
  <c r="EX282" i="1"/>
  <c r="FV291" i="1"/>
  <c r="FZ291" i="1"/>
  <c r="GA291" i="1" s="1"/>
  <c r="GD291" i="1"/>
  <c r="GI291" i="1"/>
  <c r="GL291" i="1"/>
  <c r="FS283" i="1"/>
  <c r="GI283" i="1"/>
  <c r="GE284" i="1"/>
  <c r="FU285" i="1"/>
  <c r="GK285" i="1"/>
  <c r="GS285" i="1"/>
  <c r="GQ285" i="1"/>
  <c r="GA286" i="1"/>
  <c r="GA288" i="1"/>
  <c r="BP291" i="1"/>
  <c r="CF291" i="1"/>
  <c r="CV291" i="1"/>
  <c r="DL291" i="1"/>
  <c r="EB291" i="1"/>
  <c r="FK303" i="1"/>
  <c r="GA303" i="1"/>
  <c r="N316" i="1"/>
  <c r="M317" i="1"/>
  <c r="N317" i="1" s="1"/>
  <c r="M324" i="1"/>
  <c r="AD316" i="1"/>
  <c r="AC317" i="1"/>
  <c r="AC324" i="1"/>
  <c r="AT316" i="1"/>
  <c r="AS317" i="1"/>
  <c r="AS324" i="1"/>
  <c r="BJ316" i="1"/>
  <c r="BI317" i="1"/>
  <c r="BI324" i="1"/>
  <c r="BZ316" i="1"/>
  <c r="BY317" i="1"/>
  <c r="BY324" i="1"/>
  <c r="CP316" i="1"/>
  <c r="CO317" i="1"/>
  <c r="CO324" i="1"/>
  <c r="DF316" i="1"/>
  <c r="DE317" i="1"/>
  <c r="DE324" i="1"/>
  <c r="DE320" i="1"/>
  <c r="DU320" i="1"/>
  <c r="DV316" i="1"/>
  <c r="DU317" i="1"/>
  <c r="DU324" i="1"/>
  <c r="EK324" i="1"/>
  <c r="EK320" i="1"/>
  <c r="EL316" i="1"/>
  <c r="EK317" i="1"/>
  <c r="FM303" i="1"/>
  <c r="GC303" i="1"/>
  <c r="EW305" i="1"/>
  <c r="AV311" i="1"/>
  <c r="BB314" i="1"/>
  <c r="BL311" i="1"/>
  <c r="BR314" i="1"/>
  <c r="CB311" i="1"/>
  <c r="CJ311" i="1"/>
  <c r="CV311" i="1"/>
  <c r="DL311" i="1"/>
  <c r="EB311" i="1"/>
  <c r="AH344" i="1"/>
  <c r="AG346" i="1"/>
  <c r="AE501" i="1"/>
  <c r="AF501" i="1" s="1"/>
  <c r="AE349" i="1"/>
  <c r="AF349" i="1" s="1"/>
  <c r="AF346" i="1"/>
  <c r="BB343" i="1"/>
  <c r="AT343" i="1"/>
  <c r="AS344" i="1"/>
  <c r="BC501" i="1"/>
  <c r="BC349" i="1"/>
  <c r="BD346" i="1"/>
  <c r="EQ374" i="1"/>
  <c r="EQ366" i="1"/>
  <c r="EQ369" i="1"/>
  <c r="EQ368" i="1"/>
  <c r="EQ364" i="1"/>
  <c r="AX380" i="1"/>
  <c r="BF380" i="1"/>
  <c r="BN380" i="1"/>
  <c r="BV380" i="1"/>
  <c r="CD380" i="1"/>
  <c r="CL380" i="1"/>
  <c r="CT380" i="1"/>
  <c r="DB380" i="1"/>
  <c r="DJ380" i="1"/>
  <c r="DR380" i="1"/>
  <c r="DZ380" i="1"/>
  <c r="EH380" i="1"/>
  <c r="EP380" i="1"/>
  <c r="EX380" i="1"/>
  <c r="C387" i="1"/>
  <c r="C527" i="1" s="1"/>
  <c r="C384" i="1"/>
  <c r="L381" i="1"/>
  <c r="U384" i="1"/>
  <c r="U387" i="1"/>
  <c r="V383" i="1"/>
  <c r="AB381" i="1"/>
  <c r="FF387" i="1"/>
  <c r="FF384" i="1"/>
  <c r="GQ375" i="1"/>
  <c r="GR375" i="1"/>
  <c r="AV378" i="1"/>
  <c r="BL378" i="1"/>
  <c r="CB378" i="1"/>
  <c r="CR378" i="1"/>
  <c r="DH378" i="1"/>
  <c r="DX378" i="1"/>
  <c r="EN378" i="1"/>
  <c r="L236" i="1"/>
  <c r="AX239" i="1"/>
  <c r="ED239" i="1"/>
  <c r="FX240" i="1"/>
  <c r="I242" i="1"/>
  <c r="R242" i="1" s="1"/>
  <c r="DS242" i="1"/>
  <c r="EA242" i="1"/>
  <c r="EI242" i="1"/>
  <c r="EU883" i="1"/>
  <c r="EU787" i="1"/>
  <c r="GL242" i="1"/>
  <c r="AQ246" i="1"/>
  <c r="AR246" i="1" s="1"/>
  <c r="FH244" i="1"/>
  <c r="FI244" i="1" s="1"/>
  <c r="FL244" i="1"/>
  <c r="FM244" i="1" s="1"/>
  <c r="FP244" i="1"/>
  <c r="FQ244" i="1" s="1"/>
  <c r="FT244" i="1"/>
  <c r="FU244" i="1" s="1"/>
  <c r="FX244" i="1"/>
  <c r="FY244" i="1" s="1"/>
  <c r="GB244" i="1"/>
  <c r="GC244" i="1" s="1"/>
  <c r="GF244" i="1"/>
  <c r="GG244" i="1" s="1"/>
  <c r="GJ244" i="1"/>
  <c r="GK244" i="1" s="1"/>
  <c r="GN244" i="1"/>
  <c r="GO244" i="1" s="1"/>
  <c r="FJ246" i="1"/>
  <c r="FK246" i="1" s="1"/>
  <c r="FN246" i="1"/>
  <c r="FO246" i="1" s="1"/>
  <c r="FR246" i="1"/>
  <c r="FV246" i="1"/>
  <c r="FW246" i="1" s="1"/>
  <c r="FZ246" i="1"/>
  <c r="GA246" i="1" s="1"/>
  <c r="GD246" i="1"/>
  <c r="GE246" i="1" s="1"/>
  <c r="GH246" i="1"/>
  <c r="GL246" i="1"/>
  <c r="GO246" i="1" s="1"/>
  <c r="ER246" i="1"/>
  <c r="M248" i="1"/>
  <c r="Q248" i="1"/>
  <c r="U248" i="1"/>
  <c r="Y248" i="1"/>
  <c r="AC248" i="1"/>
  <c r="AG248" i="1"/>
  <c r="AK248" i="1"/>
  <c r="AW248" i="1"/>
  <c r="BA248" i="1"/>
  <c r="BE248" i="1"/>
  <c r="BU248" i="1"/>
  <c r="CK248" i="1"/>
  <c r="CS248" i="1"/>
  <c r="DM248" i="1"/>
  <c r="DY248" i="1"/>
  <c r="EC248" i="1"/>
  <c r="EG248" i="1"/>
  <c r="EK248" i="1"/>
  <c r="EO248" i="1"/>
  <c r="GD251" i="1"/>
  <c r="FT789" i="1"/>
  <c r="FX789" i="1"/>
  <c r="GB789" i="1"/>
  <c r="GF789" i="1"/>
  <c r="GJ789" i="1"/>
  <c r="GN789" i="1"/>
  <c r="AZ265" i="1"/>
  <c r="CV269" i="1"/>
  <c r="DD269" i="1"/>
  <c r="EB269" i="1"/>
  <c r="EJ269" i="1"/>
  <c r="FX274" i="1"/>
  <c r="GN274" i="1"/>
  <c r="GD276" i="1"/>
  <c r="AY277" i="1"/>
  <c r="AY278" i="1" s="1"/>
  <c r="CU294" i="1"/>
  <c r="CU295" i="1" s="1"/>
  <c r="CU293" i="1"/>
  <c r="CV281" i="1"/>
  <c r="ET282" i="1"/>
  <c r="GE283" i="1"/>
  <c r="GO284" i="1"/>
  <c r="CM289" i="1"/>
  <c r="FW288" i="1"/>
  <c r="GM288" i="1"/>
  <c r="FW303" i="1"/>
  <c r="GM303" i="1"/>
  <c r="Z316" i="1"/>
  <c r="Y317" i="1"/>
  <c r="Z317" i="1" s="1"/>
  <c r="Y324" i="1"/>
  <c r="AP316" i="1"/>
  <c r="AO317" i="1"/>
  <c r="AO324" i="1"/>
  <c r="BF316" i="1"/>
  <c r="BE317" i="1"/>
  <c r="BE324" i="1"/>
  <c r="BV316" i="1"/>
  <c r="BU317" i="1"/>
  <c r="BU324" i="1"/>
  <c r="CL316" i="1"/>
  <c r="CK317" i="1"/>
  <c r="CK324" i="1"/>
  <c r="DB316" i="1"/>
  <c r="DA317" i="1"/>
  <c r="DA324" i="1"/>
  <c r="DA320" i="1"/>
  <c r="DQ320" i="1"/>
  <c r="DR316" i="1"/>
  <c r="DQ317" i="1"/>
  <c r="DQ324" i="1"/>
  <c r="EG320" i="1"/>
  <c r="EH316" i="1"/>
  <c r="EG317" i="1"/>
  <c r="EH317" i="1" s="1"/>
  <c r="EG324" i="1"/>
  <c r="FR313" i="1"/>
  <c r="FS313" i="1" s="1"/>
  <c r="GH313" i="1"/>
  <c r="GI313" i="1" s="1"/>
  <c r="CF311" i="1"/>
  <c r="BX311" i="1"/>
  <c r="AU501" i="1"/>
  <c r="AU349" i="1"/>
  <c r="EM398" i="1"/>
  <c r="EM399" i="1" s="1"/>
  <c r="EM361" i="1"/>
  <c r="EK398" i="1"/>
  <c r="EK399" i="1" s="1"/>
  <c r="EK361" i="1"/>
  <c r="FK370" i="1"/>
  <c r="DL380" i="1"/>
  <c r="DT380" i="1"/>
  <c r="EB380" i="1"/>
  <c r="EJ380" i="1"/>
  <c r="ER380" i="1"/>
  <c r="Q384" i="1"/>
  <c r="Q387" i="1"/>
  <c r="AG384" i="1"/>
  <c r="AG387" i="1"/>
  <c r="AH383" i="1"/>
  <c r="FJ381" i="1"/>
  <c r="AT534" i="1"/>
  <c r="EO563" i="1"/>
  <c r="EP563" i="1" s="1"/>
  <c r="R232" i="1"/>
  <c r="V232" i="1"/>
  <c r="Z232" i="1"/>
  <c r="AD232" i="1"/>
  <c r="AH232" i="1"/>
  <c r="AL232" i="1"/>
  <c r="AP232" i="1"/>
  <c r="AT232" i="1"/>
  <c r="AX232" i="1"/>
  <c r="BB232" i="1"/>
  <c r="BF232" i="1"/>
  <c r="BJ232" i="1"/>
  <c r="BN232" i="1"/>
  <c r="BR232" i="1"/>
  <c r="BV232" i="1"/>
  <c r="BZ232" i="1"/>
  <c r="CD232" i="1"/>
  <c r="CH232" i="1"/>
  <c r="CL232" i="1"/>
  <c r="CP232" i="1"/>
  <c r="CT232" i="1"/>
  <c r="CX232" i="1"/>
  <c r="DB232" i="1"/>
  <c r="DF232" i="1"/>
  <c r="DJ232" i="1"/>
  <c r="DN232" i="1"/>
  <c r="DR232" i="1"/>
  <c r="DV232" i="1"/>
  <c r="DZ232" i="1"/>
  <c r="ED232" i="1"/>
  <c r="EH232" i="1"/>
  <c r="EL232" i="1"/>
  <c r="EP232" i="1"/>
  <c r="FK235" i="1"/>
  <c r="FO235" i="1"/>
  <c r="FS235" i="1"/>
  <c r="FW235" i="1"/>
  <c r="GA235" i="1"/>
  <c r="GE235" i="1"/>
  <c r="GI235" i="1"/>
  <c r="FI238" i="1"/>
  <c r="FM238" i="1"/>
  <c r="FQ238" i="1"/>
  <c r="FU238" i="1"/>
  <c r="FY238" i="1"/>
  <c r="GC238" i="1"/>
  <c r="GG238" i="1"/>
  <c r="GK238" i="1"/>
  <c r="GO238" i="1"/>
  <c r="AL239" i="1"/>
  <c r="AP239" i="1"/>
  <c r="AT239" i="1"/>
  <c r="DF239" i="1"/>
  <c r="DJ239" i="1"/>
  <c r="DV239" i="1"/>
  <c r="AK240" i="1"/>
  <c r="AO240" i="1"/>
  <c r="AO248" i="1" s="1"/>
  <c r="AS240" i="1"/>
  <c r="AS248" i="1" s="1"/>
  <c r="BE240" i="1"/>
  <c r="BF240" i="1" s="1"/>
  <c r="BI240" i="1"/>
  <c r="BJ240" i="1" s="1"/>
  <c r="BM240" i="1"/>
  <c r="BN240" i="1" s="1"/>
  <c r="BQ240" i="1"/>
  <c r="BR240" i="1" s="1"/>
  <c r="BU240" i="1"/>
  <c r="BY240" i="1"/>
  <c r="BY248" i="1" s="1"/>
  <c r="CC240" i="1"/>
  <c r="CD240" i="1" s="1"/>
  <c r="CG240" i="1"/>
  <c r="CH240" i="1" s="1"/>
  <c r="CK240" i="1"/>
  <c r="CO240" i="1"/>
  <c r="CO248" i="1" s="1"/>
  <c r="CW240" i="1"/>
  <c r="DA240" i="1"/>
  <c r="DB240" i="1" s="1"/>
  <c r="DE240" i="1"/>
  <c r="DI240" i="1"/>
  <c r="DQ240" i="1"/>
  <c r="DQ248" i="1" s="1"/>
  <c r="DU240" i="1"/>
  <c r="DU248" i="1" s="1"/>
  <c r="K242" i="1"/>
  <c r="S242" i="1"/>
  <c r="AA242" i="1"/>
  <c r="AI242" i="1"/>
  <c r="AQ242" i="1"/>
  <c r="AY242" i="1"/>
  <c r="BG242" i="1"/>
  <c r="BO242" i="1"/>
  <c r="BW242" i="1"/>
  <c r="CE242" i="1"/>
  <c r="CM242" i="1"/>
  <c r="CU242" i="1"/>
  <c r="DC242" i="1"/>
  <c r="EV242" i="1"/>
  <c r="ER244" i="1"/>
  <c r="EV244" i="1"/>
  <c r="ET245" i="1"/>
  <c r="C245" i="1"/>
  <c r="BD251" i="1"/>
  <c r="FR251" i="1"/>
  <c r="FS251" i="1" s="1"/>
  <c r="FZ251" i="1"/>
  <c r="GQ251" i="1"/>
  <c r="DB251" i="1"/>
  <c r="FU266" i="1"/>
  <c r="FY266" i="1"/>
  <c r="GC266" i="1"/>
  <c r="GG266" i="1"/>
  <c r="GK266" i="1"/>
  <c r="GO266" i="1"/>
  <c r="GA268" i="1"/>
  <c r="GE268" i="1"/>
  <c r="GI268" i="1"/>
  <c r="GM268" i="1"/>
  <c r="EP269" i="1"/>
  <c r="GQ271" i="1"/>
  <c r="BV269" i="1"/>
  <c r="CD269" i="1"/>
  <c r="DJ269" i="1"/>
  <c r="AU788" i="1"/>
  <c r="FT274" i="1"/>
  <c r="GJ274" i="1"/>
  <c r="AW277" i="1"/>
  <c r="AS281" i="1"/>
  <c r="FT291" i="1"/>
  <c r="FU291" i="1" s="1"/>
  <c r="GB291" i="1"/>
  <c r="GC291" i="1" s="1"/>
  <c r="GJ291" i="1"/>
  <c r="GK291" i="1" s="1"/>
  <c r="FU283" i="1"/>
  <c r="GA283" i="1"/>
  <c r="GK283" i="1"/>
  <c r="GB294" i="1"/>
  <c r="GK284" i="1"/>
  <c r="GM284" i="1"/>
  <c r="GO286" i="1"/>
  <c r="GZ286" i="1"/>
  <c r="CS289" i="1"/>
  <c r="FU288" i="1"/>
  <c r="GI288" i="1"/>
  <c r="GK288" i="1"/>
  <c r="BH291" i="1"/>
  <c r="FS303" i="1"/>
  <c r="GI303" i="1"/>
  <c r="V316" i="1"/>
  <c r="U317" i="1"/>
  <c r="V317" i="1" s="1"/>
  <c r="U324" i="1"/>
  <c r="AL316" i="1"/>
  <c r="AK317" i="1"/>
  <c r="AL317" i="1" s="1"/>
  <c r="AK324" i="1"/>
  <c r="BB316" i="1"/>
  <c r="BA317" i="1"/>
  <c r="BB317" i="1" s="1"/>
  <c r="BA324" i="1"/>
  <c r="BR316" i="1"/>
  <c r="BQ317" i="1"/>
  <c r="BR317" i="1" s="1"/>
  <c r="BQ324" i="1"/>
  <c r="CH316" i="1"/>
  <c r="CG317" i="1"/>
  <c r="CH317" i="1" s="1"/>
  <c r="CG324" i="1"/>
  <c r="CW320" i="1"/>
  <c r="CX316" i="1"/>
  <c r="CW317" i="1"/>
  <c r="CX317" i="1" s="1"/>
  <c r="CW324" i="1"/>
  <c r="DM320" i="1"/>
  <c r="DN316" i="1"/>
  <c r="DM317" i="1"/>
  <c r="DN317" i="1" s="1"/>
  <c r="DM324" i="1"/>
  <c r="EC324" i="1"/>
  <c r="EC320" i="1"/>
  <c r="ED316" i="1"/>
  <c r="EC317" i="1"/>
  <c r="ED317" i="1" s="1"/>
  <c r="FF317" i="1"/>
  <c r="FF324" i="1"/>
  <c r="FU303" i="1"/>
  <c r="GK303" i="1"/>
  <c r="FM313" i="1"/>
  <c r="FU313" i="1"/>
  <c r="GC313" i="1"/>
  <c r="BI339" i="1"/>
  <c r="FT338" i="1"/>
  <c r="FS343" i="1"/>
  <c r="BG349" i="1"/>
  <c r="EO398" i="1"/>
  <c r="EO399" i="1" s="1"/>
  <c r="EO361" i="1"/>
  <c r="EW358" i="1"/>
  <c r="EU360" i="1"/>
  <c r="EU398" i="1" s="1"/>
  <c r="FM370" i="1"/>
  <c r="FL383" i="1"/>
  <c r="AT380" i="1"/>
  <c r="BB380" i="1"/>
  <c r="BJ380" i="1"/>
  <c r="BR380" i="1"/>
  <c r="BZ380" i="1"/>
  <c r="CH380" i="1"/>
  <c r="CP380" i="1"/>
  <c r="CX380" i="1"/>
  <c r="DF380" i="1"/>
  <c r="DN380" i="1"/>
  <c r="DV380" i="1"/>
  <c r="ED380" i="1"/>
  <c r="EL380" i="1"/>
  <c r="ET380" i="1"/>
  <c r="G387" i="1"/>
  <c r="G527" i="1" s="1"/>
  <c r="G384" i="1"/>
  <c r="M384" i="1"/>
  <c r="M387" i="1"/>
  <c r="AC384" i="1"/>
  <c r="AD384" i="1" s="1"/>
  <c r="AC387" i="1"/>
  <c r="AD383" i="1"/>
  <c r="FB842" i="1"/>
  <c r="FB387" i="1"/>
  <c r="FB384" i="1"/>
  <c r="FU386" i="1"/>
  <c r="FW386" i="1"/>
  <c r="EA563" i="1"/>
  <c r="EE563" i="1"/>
  <c r="EL563" i="1"/>
  <c r="ET221" i="1"/>
  <c r="FE229" i="1"/>
  <c r="FP239" i="1"/>
  <c r="FP509" i="1" s="1"/>
  <c r="GF239" i="1"/>
  <c r="GJ239" i="1"/>
  <c r="L238" i="1"/>
  <c r="BB239" i="1"/>
  <c r="DR239" i="1"/>
  <c r="FV240" i="1"/>
  <c r="ES883" i="1"/>
  <c r="ES787" i="1"/>
  <c r="EW242" i="1"/>
  <c r="EU243" i="1"/>
  <c r="EV243" i="1" s="1"/>
  <c r="FR789" i="1"/>
  <c r="FV789" i="1"/>
  <c r="FZ789" i="1"/>
  <c r="GD789" i="1"/>
  <c r="GH789" i="1"/>
  <c r="GL789" i="1"/>
  <c r="ES266" i="1"/>
  <c r="CR269" i="1"/>
  <c r="DH269" i="1"/>
  <c r="EF269" i="1"/>
  <c r="FP789" i="1"/>
  <c r="FP274" i="1"/>
  <c r="FP788" i="1" s="1"/>
  <c r="FP270" i="1"/>
  <c r="FV274" i="1"/>
  <c r="GF274" i="1"/>
  <c r="GL274" i="1"/>
  <c r="CO281" i="1"/>
  <c r="GP282" i="1"/>
  <c r="FW283" i="1"/>
  <c r="GB293" i="1"/>
  <c r="GG283" i="1"/>
  <c r="GM283" i="1"/>
  <c r="FY285" i="1"/>
  <c r="GO285" i="1"/>
  <c r="GE286" i="1"/>
  <c r="CU287" i="1"/>
  <c r="EU288" i="1"/>
  <c r="ET288" i="1"/>
  <c r="GB287" i="1"/>
  <c r="GE288" i="1"/>
  <c r="FS288" i="1"/>
  <c r="BD291" i="1"/>
  <c r="BT291" i="1"/>
  <c r="CJ291" i="1"/>
  <c r="CZ291" i="1"/>
  <c r="DP291" i="1"/>
  <c r="EF291" i="1"/>
  <c r="GW293" i="1"/>
  <c r="GX293" i="1"/>
  <c r="ET301" i="1"/>
  <c r="EU301" i="1"/>
  <c r="FO303" i="1"/>
  <c r="GE303" i="1"/>
  <c r="R316" i="1"/>
  <c r="Q317" i="1"/>
  <c r="R317" i="1" s="1"/>
  <c r="Q324" i="1"/>
  <c r="AH316" i="1"/>
  <c r="AG317" i="1"/>
  <c r="AG324" i="1"/>
  <c r="AX316" i="1"/>
  <c r="AW317" i="1"/>
  <c r="AX317" i="1" s="1"/>
  <c r="AW324" i="1"/>
  <c r="BN316" i="1"/>
  <c r="BM317" i="1"/>
  <c r="BN317" i="1" s="1"/>
  <c r="BM324" i="1"/>
  <c r="CD316" i="1"/>
  <c r="CC317" i="1"/>
  <c r="CD317" i="1" s="1"/>
  <c r="CC324" i="1"/>
  <c r="CT316" i="1"/>
  <c r="CS317" i="1"/>
  <c r="CT317" i="1" s="1"/>
  <c r="CS324" i="1"/>
  <c r="DJ316" i="1"/>
  <c r="DI317" i="1"/>
  <c r="DJ317" i="1" s="1"/>
  <c r="DI324" i="1"/>
  <c r="DI320" i="1"/>
  <c r="DY320" i="1"/>
  <c r="DZ316" i="1"/>
  <c r="DY317" i="1"/>
  <c r="DY324" i="1"/>
  <c r="EO320" i="1"/>
  <c r="EP316" i="1"/>
  <c r="EO317" i="1"/>
  <c r="EP317" i="1" s="1"/>
  <c r="EO324" i="1"/>
  <c r="FY303" i="1"/>
  <c r="GO303" i="1"/>
  <c r="FN313" i="1"/>
  <c r="FO313" i="1" s="1"/>
  <c r="FV313" i="1"/>
  <c r="FW313" i="1" s="1"/>
  <c r="GD313" i="1"/>
  <c r="GE313" i="1" s="1"/>
  <c r="GL313" i="1"/>
  <c r="GM313" i="1" s="1"/>
  <c r="AZ311" i="1"/>
  <c r="BF314" i="1"/>
  <c r="BP311" i="1"/>
  <c r="BV314" i="1"/>
  <c r="CZ311" i="1"/>
  <c r="DP311" i="1"/>
  <c r="EF311" i="1"/>
  <c r="AY346" i="1"/>
  <c r="BH346" i="1" s="1"/>
  <c r="BH344" i="1"/>
  <c r="AZ344" i="1"/>
  <c r="FR344" i="1"/>
  <c r="AP344" i="1"/>
  <c r="AO346" i="1"/>
  <c r="AQ501" i="1"/>
  <c r="AQ349" i="1"/>
  <c r="BB344" i="1"/>
  <c r="GW359" i="1"/>
  <c r="GX359" i="1"/>
  <c r="FI370" i="1"/>
  <c r="FO370" i="1"/>
  <c r="FP370" i="1"/>
  <c r="FQ367" i="1"/>
  <c r="FT370" i="1"/>
  <c r="FU367" i="1"/>
  <c r="DP380" i="1"/>
  <c r="DX380" i="1"/>
  <c r="EF380" i="1"/>
  <c r="EV380" i="1"/>
  <c r="EN380" i="1"/>
  <c r="Y384" i="1"/>
  <c r="Z384" i="1" s="1"/>
  <c r="Y387" i="1"/>
  <c r="Z383" i="1"/>
  <c r="AF381" i="1"/>
  <c r="FN381" i="1"/>
  <c r="AZ378" i="1"/>
  <c r="BP378" i="1"/>
  <c r="CF378" i="1"/>
  <c r="CV378" i="1"/>
  <c r="DL378" i="1"/>
  <c r="EB378" i="1"/>
  <c r="FP287" i="1"/>
  <c r="FR281" i="1" s="1"/>
  <c r="FR293" i="1" s="1"/>
  <c r="FG303" i="1"/>
  <c r="FM308" i="1"/>
  <c r="FQ308" i="1"/>
  <c r="FU308" i="1"/>
  <c r="FY308" i="1"/>
  <c r="GC308" i="1"/>
  <c r="GG308" i="1"/>
  <c r="GK308" i="1"/>
  <c r="GO308" i="1"/>
  <c r="FK309" i="1"/>
  <c r="FO309" i="1"/>
  <c r="FS309" i="1"/>
  <c r="FW309" i="1"/>
  <c r="GA309" i="1"/>
  <c r="GE309" i="1"/>
  <c r="GI309" i="1"/>
  <c r="GM309" i="1"/>
  <c r="FM310" i="1"/>
  <c r="GC310" i="1"/>
  <c r="GG310" i="1"/>
  <c r="GK310" i="1"/>
  <c r="GO310" i="1"/>
  <c r="K313" i="1"/>
  <c r="L313" i="1" s="1"/>
  <c r="O313" i="1"/>
  <c r="P313" i="1" s="1"/>
  <c r="S313" i="1"/>
  <c r="T313" i="1" s="1"/>
  <c r="W313" i="1"/>
  <c r="AA313" i="1"/>
  <c r="AE313" i="1"/>
  <c r="AF313" i="1" s="1"/>
  <c r="AI313" i="1"/>
  <c r="AJ313" i="1" s="1"/>
  <c r="AM313" i="1"/>
  <c r="AQ313" i="1"/>
  <c r="AU313" i="1"/>
  <c r="AV313" i="1" s="1"/>
  <c r="AY313" i="1"/>
  <c r="AZ313" i="1" s="1"/>
  <c r="BC313" i="1"/>
  <c r="BG313" i="1"/>
  <c r="BK313" i="1"/>
  <c r="BL313" i="1" s="1"/>
  <c r="BO313" i="1"/>
  <c r="BP313" i="1" s="1"/>
  <c r="BS313" i="1"/>
  <c r="BW313" i="1"/>
  <c r="CA313" i="1"/>
  <c r="CB313" i="1" s="1"/>
  <c r="CE313" i="1"/>
  <c r="CF313" i="1" s="1"/>
  <c r="CI313" i="1"/>
  <c r="CM313" i="1"/>
  <c r="CQ313" i="1"/>
  <c r="CR313" i="1" s="1"/>
  <c r="CU313" i="1"/>
  <c r="CV313" i="1" s="1"/>
  <c r="CY313" i="1"/>
  <c r="DC313" i="1"/>
  <c r="DG313" i="1"/>
  <c r="DH313" i="1" s="1"/>
  <c r="DK313" i="1"/>
  <c r="DL313" i="1" s="1"/>
  <c r="DO313" i="1"/>
  <c r="DS313" i="1"/>
  <c r="DW313" i="1"/>
  <c r="DX313" i="1" s="1"/>
  <c r="EA313" i="1"/>
  <c r="EB313" i="1" s="1"/>
  <c r="EE313" i="1"/>
  <c r="EI313" i="1"/>
  <c r="EM313" i="1"/>
  <c r="EN313" i="1" s="1"/>
  <c r="FF313" i="1"/>
  <c r="FG313" i="1" s="1"/>
  <c r="AM314" i="1"/>
  <c r="AN314" i="1" s="1"/>
  <c r="AQ314" i="1"/>
  <c r="AR314" i="1" s="1"/>
  <c r="AU314" i="1"/>
  <c r="AV314" i="1" s="1"/>
  <c r="AY314" i="1"/>
  <c r="AZ314" i="1" s="1"/>
  <c r="BC314" i="1"/>
  <c r="BG314" i="1"/>
  <c r="BK314" i="1"/>
  <c r="BL314" i="1" s="1"/>
  <c r="BO314" i="1"/>
  <c r="BP314" i="1" s="1"/>
  <c r="BS314" i="1"/>
  <c r="BW314" i="1"/>
  <c r="CA314" i="1"/>
  <c r="CB314" i="1" s="1"/>
  <c r="CI314" i="1"/>
  <c r="CJ314" i="1" s="1"/>
  <c r="CM314" i="1"/>
  <c r="CN314" i="1" s="1"/>
  <c r="CQ314" i="1"/>
  <c r="CU314" i="1"/>
  <c r="CV314" i="1" s="1"/>
  <c r="CY314" i="1"/>
  <c r="CZ314" i="1" s="1"/>
  <c r="DC314" i="1"/>
  <c r="DG314" i="1"/>
  <c r="DK314" i="1"/>
  <c r="DL314" i="1" s="1"/>
  <c r="DO314" i="1"/>
  <c r="DP314" i="1" s="1"/>
  <c r="DS314" i="1"/>
  <c r="DW314" i="1"/>
  <c r="EA314" i="1"/>
  <c r="EB314" i="1" s="1"/>
  <c r="EE314" i="1"/>
  <c r="EF314" i="1" s="1"/>
  <c r="EI314" i="1"/>
  <c r="EM314" i="1"/>
  <c r="K316" i="1"/>
  <c r="O316" i="1"/>
  <c r="S316" i="1"/>
  <c r="W316" i="1"/>
  <c r="AA316" i="1"/>
  <c r="AE316" i="1"/>
  <c r="AI316" i="1"/>
  <c r="AM316" i="1"/>
  <c r="AQ316" i="1"/>
  <c r="AU316" i="1"/>
  <c r="AY316" i="1"/>
  <c r="BC316" i="1"/>
  <c r="BG316" i="1"/>
  <c r="BK316" i="1"/>
  <c r="BO316" i="1"/>
  <c r="BS316" i="1"/>
  <c r="BW316" i="1"/>
  <c r="CA316" i="1"/>
  <c r="CE316" i="1"/>
  <c r="CI316" i="1"/>
  <c r="CM316" i="1"/>
  <c r="CQ316" i="1"/>
  <c r="CU316" i="1"/>
  <c r="CY316" i="1"/>
  <c r="DC316" i="1"/>
  <c r="DG316" i="1"/>
  <c r="DK316" i="1"/>
  <c r="DO316" i="1"/>
  <c r="DS316" i="1"/>
  <c r="DW316" i="1"/>
  <c r="EA316" i="1"/>
  <c r="EE316" i="1"/>
  <c r="EI316" i="1"/>
  <c r="EM316" i="1"/>
  <c r="FD316" i="1"/>
  <c r="FH316" i="1"/>
  <c r="FL316" i="1"/>
  <c r="GB316" i="1"/>
  <c r="GF316" i="1"/>
  <c r="GJ316" i="1"/>
  <c r="GN316" i="1"/>
  <c r="GJ319" i="1"/>
  <c r="FT323" i="1"/>
  <c r="FQ340" i="1"/>
  <c r="FU340" i="1"/>
  <c r="FS342" i="1"/>
  <c r="AF343" i="1"/>
  <c r="AR343" i="1"/>
  <c r="AZ343" i="1"/>
  <c r="GM358" i="1"/>
  <c r="ES359" i="1"/>
  <c r="FM364" i="1"/>
  <c r="FQ364" i="1"/>
  <c r="FU364" i="1"/>
  <c r="GE364" i="1"/>
  <c r="GO364" i="1"/>
  <c r="FQ366" i="1"/>
  <c r="FU366" i="1"/>
  <c r="FM367" i="1"/>
  <c r="FM368" i="1"/>
  <c r="FQ368" i="1"/>
  <c r="FU368" i="1"/>
  <c r="GE366" i="1"/>
  <c r="GI366" i="1"/>
  <c r="GM366" i="1"/>
  <c r="GB367" i="1"/>
  <c r="GF367" i="1"/>
  <c r="GJ367" i="1"/>
  <c r="GN367" i="1"/>
  <c r="FY368" i="1"/>
  <c r="GC368" i="1"/>
  <c r="GG368" i="1"/>
  <c r="GK368" i="1"/>
  <c r="GO368" i="1"/>
  <c r="DD367" i="1"/>
  <c r="DH367" i="1"/>
  <c r="DJ367" i="1"/>
  <c r="DL367" i="1"/>
  <c r="DP367" i="1"/>
  <c r="DT367" i="1"/>
  <c r="DX367" i="1"/>
  <c r="EB367" i="1"/>
  <c r="EF367" i="1"/>
  <c r="EJ367" i="1"/>
  <c r="EN367" i="1"/>
  <c r="AI370" i="1"/>
  <c r="AM370" i="1"/>
  <c r="AQ370" i="1"/>
  <c r="AU370" i="1"/>
  <c r="AY370" i="1"/>
  <c r="BC370" i="1"/>
  <c r="BG370" i="1"/>
  <c r="BK370" i="1"/>
  <c r="BO370" i="1"/>
  <c r="BS370" i="1"/>
  <c r="BW370" i="1"/>
  <c r="CA370" i="1"/>
  <c r="CE370" i="1"/>
  <c r="CI370" i="1"/>
  <c r="CM370" i="1"/>
  <c r="CQ370" i="1"/>
  <c r="CU370" i="1"/>
  <c r="CY370" i="1"/>
  <c r="DC370" i="1"/>
  <c r="DG370" i="1"/>
  <c r="DK370" i="1"/>
  <c r="DO370" i="1"/>
  <c r="DS370" i="1"/>
  <c r="DW370" i="1"/>
  <c r="EA370" i="1"/>
  <c r="EE370" i="1"/>
  <c r="EI370" i="1"/>
  <c r="EM370" i="1"/>
  <c r="FG370" i="1"/>
  <c r="FM374" i="1"/>
  <c r="FQ374" i="1"/>
  <c r="FU374" i="1"/>
  <c r="FY374" i="1"/>
  <c r="GC374" i="1"/>
  <c r="GG374" i="1"/>
  <c r="GK374" i="1"/>
  <c r="GO374" i="1"/>
  <c r="FK376" i="1"/>
  <c r="FO376" i="1"/>
  <c r="FS376" i="1"/>
  <c r="FW376" i="1"/>
  <c r="GA376" i="1"/>
  <c r="GE376" i="1"/>
  <c r="GI376" i="1"/>
  <c r="GM376" i="1"/>
  <c r="FH378" i="1"/>
  <c r="FI378" i="1" s="1"/>
  <c r="FL378" i="1"/>
  <c r="FP378" i="1"/>
  <c r="FT378" i="1"/>
  <c r="FX378" i="1"/>
  <c r="GB378" i="1"/>
  <c r="GF378" i="1"/>
  <c r="GJ378" i="1"/>
  <c r="GN378" i="1"/>
  <c r="AI380" i="1"/>
  <c r="AJ380" i="1" s="1"/>
  <c r="AM380" i="1"/>
  <c r="AN380" i="1" s="1"/>
  <c r="AQ380" i="1"/>
  <c r="AR380" i="1" s="1"/>
  <c r="AU380" i="1"/>
  <c r="AV380" i="1" s="1"/>
  <c r="AY380" i="1"/>
  <c r="BC380" i="1"/>
  <c r="BG380" i="1"/>
  <c r="BH380" i="1" s="1"/>
  <c r="BK380" i="1"/>
  <c r="BL380" i="1" s="1"/>
  <c r="BO380" i="1"/>
  <c r="BS380" i="1"/>
  <c r="BW380" i="1"/>
  <c r="BX380" i="1" s="1"/>
  <c r="CA380" i="1"/>
  <c r="CB380" i="1" s="1"/>
  <c r="CE380" i="1"/>
  <c r="CI380" i="1"/>
  <c r="CM380" i="1"/>
  <c r="CN380" i="1" s="1"/>
  <c r="CQ380" i="1"/>
  <c r="CR380" i="1" s="1"/>
  <c r="CU380" i="1"/>
  <c r="CY380" i="1"/>
  <c r="DH380" i="1" s="1"/>
  <c r="M381" i="1"/>
  <c r="N381" i="1" s="1"/>
  <c r="Q381" i="1"/>
  <c r="R381" i="1" s="1"/>
  <c r="U381" i="1"/>
  <c r="Y381" i="1"/>
  <c r="AC381" i="1"/>
  <c r="AD381" i="1" s="1"/>
  <c r="AG381" i="1"/>
  <c r="AH381" i="1" s="1"/>
  <c r="FH380" i="1"/>
  <c r="FI380" i="1" s="1"/>
  <c r="FL380" i="1"/>
  <c r="FM380" i="1" s="1"/>
  <c r="FP380" i="1"/>
  <c r="FQ380" i="1" s="1"/>
  <c r="FT380" i="1"/>
  <c r="FU380" i="1" s="1"/>
  <c r="FX380" i="1"/>
  <c r="GJ380" i="1"/>
  <c r="GN380" i="1"/>
  <c r="FD381" i="1"/>
  <c r="FH381" i="1"/>
  <c r="FL381" i="1"/>
  <c r="FM381" i="1" s="1"/>
  <c r="FP381" i="1"/>
  <c r="FX381" i="1"/>
  <c r="C380" i="1"/>
  <c r="L380" i="1" s="1"/>
  <c r="AX534" i="1"/>
  <c r="CF534" i="1"/>
  <c r="FZ386" i="1"/>
  <c r="GM386" i="1"/>
  <c r="GQ386" i="1"/>
  <c r="R393" i="1"/>
  <c r="EU397" i="1"/>
  <c r="ES399" i="1"/>
  <c r="FL408" i="1"/>
  <c r="FN408" i="1"/>
  <c r="FO405" i="1"/>
  <c r="GC404" i="1"/>
  <c r="GA404" i="1"/>
  <c r="GK404" i="1"/>
  <c r="GI404" i="1"/>
  <c r="GB408" i="1"/>
  <c r="Q408" i="1"/>
  <c r="Q418" i="1"/>
  <c r="R418" i="1" s="1"/>
  <c r="R405" i="1"/>
  <c r="Y408" i="1"/>
  <c r="Y418" i="1"/>
  <c r="Z418" i="1" s="1"/>
  <c r="Z405" i="1"/>
  <c r="AG408" i="1"/>
  <c r="AG418" i="1"/>
  <c r="AH418" i="1" s="1"/>
  <c r="AH405" i="1"/>
  <c r="AO408" i="1"/>
  <c r="AO418" i="1"/>
  <c r="AP405" i="1"/>
  <c r="AW408" i="1"/>
  <c r="AW418" i="1"/>
  <c r="AX405" i="1"/>
  <c r="BE408" i="1"/>
  <c r="BE418" i="1"/>
  <c r="BF418" i="1" s="1"/>
  <c r="BF405" i="1"/>
  <c r="BM408" i="1"/>
  <c r="BM418" i="1"/>
  <c r="BN418" i="1" s="1"/>
  <c r="BN405" i="1"/>
  <c r="BU408" i="1"/>
  <c r="BU418" i="1"/>
  <c r="BV405" i="1"/>
  <c r="CC408" i="1"/>
  <c r="CC418" i="1"/>
  <c r="CD405" i="1"/>
  <c r="CK408" i="1"/>
  <c r="CK418" i="1"/>
  <c r="CL418" i="1" s="1"/>
  <c r="CL405" i="1"/>
  <c r="CS408" i="1"/>
  <c r="CS418" i="1"/>
  <c r="CT418" i="1" s="1"/>
  <c r="CT405" i="1"/>
  <c r="DA408" i="1"/>
  <c r="DA418" i="1"/>
  <c r="DB405" i="1"/>
  <c r="DI408" i="1"/>
  <c r="DJ405" i="1"/>
  <c r="DI418" i="1"/>
  <c r="DJ418" i="1" s="1"/>
  <c r="DQ408" i="1"/>
  <c r="DQ418" i="1"/>
  <c r="DR405" i="1"/>
  <c r="DY408" i="1"/>
  <c r="DY418" i="1"/>
  <c r="DZ418" i="1" s="1"/>
  <c r="DZ405" i="1"/>
  <c r="EG408" i="1"/>
  <c r="EG418" i="1"/>
  <c r="EH405" i="1"/>
  <c r="EO408" i="1"/>
  <c r="EO418" i="1"/>
  <c r="EP405" i="1"/>
  <c r="K428" i="1"/>
  <c r="L422" i="1"/>
  <c r="FN420" i="1"/>
  <c r="EX418" i="1"/>
  <c r="BD436" i="1"/>
  <c r="E457" i="1"/>
  <c r="E529" i="1" s="1"/>
  <c r="E454" i="1"/>
  <c r="M457" i="1"/>
  <c r="M454" i="1"/>
  <c r="N454" i="1" s="1"/>
  <c r="N453" i="1"/>
  <c r="Y457" i="1"/>
  <c r="Y454" i="1"/>
  <c r="Z453" i="1"/>
  <c r="AO457" i="1"/>
  <c r="AO454" i="1"/>
  <c r="AP453" i="1"/>
  <c r="BE457" i="1"/>
  <c r="BE454" i="1"/>
  <c r="P475" i="1"/>
  <c r="O476" i="1"/>
  <c r="P476" i="1" s="1"/>
  <c r="FJ487" i="1"/>
  <c r="FK486" i="1"/>
  <c r="FJ490" i="1"/>
  <c r="FR487" i="1"/>
  <c r="FS486" i="1"/>
  <c r="FR490" i="1"/>
  <c r="GB487" i="1"/>
  <c r="GJ490" i="1"/>
  <c r="GJ487" i="1"/>
  <c r="Q775" i="1"/>
  <c r="Q531" i="1"/>
  <c r="R490" i="1"/>
  <c r="X487" i="1"/>
  <c r="AG531" i="1"/>
  <c r="AH490" i="1"/>
  <c r="AN487" i="1"/>
  <c r="AW531" i="1"/>
  <c r="AX490" i="1"/>
  <c r="BD487" i="1"/>
  <c r="BS775" i="1"/>
  <c r="BS531" i="1"/>
  <c r="BT490" i="1"/>
  <c r="CI775" i="1"/>
  <c r="CI531" i="1"/>
  <c r="CJ490" i="1"/>
  <c r="CY775" i="1"/>
  <c r="CY531" i="1"/>
  <c r="CZ490" i="1"/>
  <c r="DO775" i="1"/>
  <c r="DO531" i="1"/>
  <c r="DP490" i="1"/>
  <c r="DO493" i="1"/>
  <c r="EE775" i="1"/>
  <c r="EE531" i="1"/>
  <c r="EF490" i="1"/>
  <c r="EE493" i="1"/>
  <c r="FV775" i="1"/>
  <c r="FV531" i="1"/>
  <c r="AE502" i="1"/>
  <c r="AU502" i="1"/>
  <c r="BE502" i="1"/>
  <c r="BK502" i="1"/>
  <c r="CA502" i="1"/>
  <c r="CQ502" i="1"/>
  <c r="DG502" i="1"/>
  <c r="DW502" i="1"/>
  <c r="EM502" i="1"/>
  <c r="CF310" i="1"/>
  <c r="CJ310" i="1"/>
  <c r="FJ311" i="1"/>
  <c r="FK311" i="1" s="1"/>
  <c r="FN311" i="1"/>
  <c r="FO311" i="1" s="1"/>
  <c r="FR311" i="1"/>
  <c r="FR316" i="1" s="1"/>
  <c r="FV311" i="1"/>
  <c r="FZ311" i="1"/>
  <c r="GD311" i="1"/>
  <c r="GE311" i="1" s="1"/>
  <c r="GH311" i="1"/>
  <c r="GI311" i="1" s="1"/>
  <c r="GL311" i="1"/>
  <c r="GM311" i="1" s="1"/>
  <c r="FJ314" i="1"/>
  <c r="FK314" i="1" s="1"/>
  <c r="FN314" i="1"/>
  <c r="FO314" i="1" s="1"/>
  <c r="FR314" i="1"/>
  <c r="FV314" i="1"/>
  <c r="FZ314" i="1"/>
  <c r="GD314" i="1"/>
  <c r="GE314" i="1" s="1"/>
  <c r="GH314" i="1"/>
  <c r="GI314" i="1" s="1"/>
  <c r="GL314" i="1"/>
  <c r="GM314" i="1" s="1"/>
  <c r="GD319" i="1"/>
  <c r="AF344" i="1"/>
  <c r="BD344" i="1"/>
  <c r="BJ501" i="1"/>
  <c r="BN501" i="1"/>
  <c r="BF501" i="1"/>
  <c r="AK349" i="1"/>
  <c r="AL349" i="1" s="1"/>
  <c r="AW349" i="1"/>
  <c r="BA349" i="1"/>
  <c r="BE349" i="1"/>
  <c r="BF349" i="1" s="1"/>
  <c r="BI349" i="1"/>
  <c r="BJ349" i="1" s="1"/>
  <c r="FJ366" i="1"/>
  <c r="FK366" i="1" s="1"/>
  <c r="FV367" i="1"/>
  <c r="FV380" i="1" s="1"/>
  <c r="FW380" i="1" s="1"/>
  <c r="AF366" i="1"/>
  <c r="AN366" i="1"/>
  <c r="L376" i="1"/>
  <c r="G381" i="1"/>
  <c r="P381" i="1" s="1"/>
  <c r="K383" i="1"/>
  <c r="O383" i="1"/>
  <c r="S383" i="1"/>
  <c r="W383" i="1"/>
  <c r="AA383" i="1"/>
  <c r="AE383" i="1"/>
  <c r="FD383" i="1"/>
  <c r="E383" i="1"/>
  <c r="I383" i="1"/>
  <c r="R383" i="1" s="1"/>
  <c r="GZ386" i="1"/>
  <c r="FJ436" i="1"/>
  <c r="X436" i="1"/>
  <c r="AF436" i="1"/>
  <c r="FO393" i="1"/>
  <c r="FN436" i="1"/>
  <c r="AN436" i="1"/>
  <c r="AV436" i="1"/>
  <c r="FR436" i="1"/>
  <c r="GC402" i="1"/>
  <c r="GA402" i="1"/>
  <c r="GK402" i="1"/>
  <c r="GI402" i="1"/>
  <c r="FQ404" i="1"/>
  <c r="FO404" i="1"/>
  <c r="FY404" i="1"/>
  <c r="FW404" i="1"/>
  <c r="FR408" i="1"/>
  <c r="GF408" i="1"/>
  <c r="FZ801" i="1"/>
  <c r="GC406" i="1"/>
  <c r="GA406" i="1"/>
  <c r="GH801" i="1"/>
  <c r="GK406" i="1"/>
  <c r="GI406" i="1"/>
  <c r="GA407" i="1"/>
  <c r="FY407" i="1"/>
  <c r="GI407" i="1"/>
  <c r="GG407" i="1"/>
  <c r="AB418" i="1"/>
  <c r="AJ418" i="1"/>
  <c r="AR418" i="1"/>
  <c r="AZ418" i="1"/>
  <c r="BH418" i="1"/>
  <c r="BP418" i="1"/>
  <c r="BX418" i="1"/>
  <c r="CF418" i="1"/>
  <c r="CN418" i="1"/>
  <c r="CV418" i="1"/>
  <c r="DD418" i="1"/>
  <c r="DL418" i="1"/>
  <c r="DT418" i="1"/>
  <c r="EB418" i="1"/>
  <c r="ER418" i="1"/>
  <c r="EJ418" i="1"/>
  <c r="FM407" i="1"/>
  <c r="FK407" i="1"/>
  <c r="FU407" i="1"/>
  <c r="FS407" i="1"/>
  <c r="GB418" i="1"/>
  <c r="GJ418" i="1"/>
  <c r="FZ419" i="1"/>
  <c r="GH419" i="1"/>
  <c r="ER419" i="1"/>
  <c r="EQ412" i="1"/>
  <c r="DB436" i="1"/>
  <c r="DJ436" i="1"/>
  <c r="DR436" i="1"/>
  <c r="DZ436" i="1"/>
  <c r="EH436" i="1"/>
  <c r="EW436" i="1"/>
  <c r="EX434" i="1"/>
  <c r="U457" i="1"/>
  <c r="U454" i="1"/>
  <c r="V454" i="1" s="1"/>
  <c r="V453" i="1"/>
  <c r="AK457" i="1"/>
  <c r="AK454" i="1"/>
  <c r="AL453" i="1"/>
  <c r="BA457" i="1"/>
  <c r="BA454" i="1"/>
  <c r="BB453" i="1"/>
  <c r="L475" i="1"/>
  <c r="K476" i="1"/>
  <c r="L476" i="1" s="1"/>
  <c r="FL490" i="1"/>
  <c r="FL487" i="1"/>
  <c r="FM487" i="1" s="1"/>
  <c r="FM486" i="1"/>
  <c r="FT490" i="1"/>
  <c r="FT487" i="1"/>
  <c r="FU487" i="1" s="1"/>
  <c r="FU486" i="1"/>
  <c r="M775" i="1"/>
  <c r="M531" i="1"/>
  <c r="N490" i="1"/>
  <c r="AC775" i="1"/>
  <c r="AC531" i="1"/>
  <c r="AD490" i="1"/>
  <c r="AS531" i="1"/>
  <c r="AT490" i="1"/>
  <c r="BO775" i="1"/>
  <c r="BO531" i="1"/>
  <c r="BP490" i="1"/>
  <c r="CE775" i="1"/>
  <c r="CE531" i="1"/>
  <c r="CF490" i="1"/>
  <c r="CU775" i="1"/>
  <c r="CU531" i="1"/>
  <c r="CV490" i="1"/>
  <c r="DK775" i="1"/>
  <c r="DK531" i="1"/>
  <c r="DL490" i="1"/>
  <c r="DK493" i="1"/>
  <c r="EA775" i="1"/>
  <c r="EA531" i="1"/>
  <c r="EB490" i="1"/>
  <c r="EA493" i="1"/>
  <c r="FD531" i="1"/>
  <c r="FE490" i="1"/>
  <c r="FX775" i="1"/>
  <c r="FX531" i="1"/>
  <c r="FY490" i="1"/>
  <c r="AK502" i="1"/>
  <c r="AQ502" i="1"/>
  <c r="BA502" i="1"/>
  <c r="BG502" i="1"/>
  <c r="BW502" i="1"/>
  <c r="CM502" i="1"/>
  <c r="DC502" i="1"/>
  <c r="DS502" i="1"/>
  <c r="EI502" i="1"/>
  <c r="FE303" i="1"/>
  <c r="ER308" i="1"/>
  <c r="FI309" i="1"/>
  <c r="FM309" i="1"/>
  <c r="FQ309" i="1"/>
  <c r="FU309" i="1"/>
  <c r="FY309" i="1"/>
  <c r="GC309" i="1"/>
  <c r="GG309" i="1"/>
  <c r="GK309" i="1"/>
  <c r="GO309" i="1"/>
  <c r="AN310" i="1"/>
  <c r="AR310" i="1"/>
  <c r="AV310" i="1"/>
  <c r="AZ310" i="1"/>
  <c r="BD310" i="1"/>
  <c r="BH310" i="1"/>
  <c r="BL310" i="1"/>
  <c r="BP310" i="1"/>
  <c r="BT310" i="1"/>
  <c r="BX310" i="1"/>
  <c r="CB310" i="1"/>
  <c r="M313" i="1"/>
  <c r="N313" i="1" s="1"/>
  <c r="Q313" i="1"/>
  <c r="R313" i="1" s="1"/>
  <c r="U313" i="1"/>
  <c r="Y313" i="1"/>
  <c r="Z313" i="1" s="1"/>
  <c r="AC313" i="1"/>
  <c r="AD313" i="1" s="1"/>
  <c r="AG313" i="1"/>
  <c r="AK313" i="1"/>
  <c r="AO313" i="1"/>
  <c r="AP313" i="1" s="1"/>
  <c r="AS313" i="1"/>
  <c r="AT313" i="1" s="1"/>
  <c r="AW313" i="1"/>
  <c r="BA313" i="1"/>
  <c r="BE313" i="1"/>
  <c r="BF313" i="1" s="1"/>
  <c r="BI313" i="1"/>
  <c r="BJ313" i="1" s="1"/>
  <c r="BM313" i="1"/>
  <c r="BQ313" i="1"/>
  <c r="BU313" i="1"/>
  <c r="BV313" i="1" s="1"/>
  <c r="BY313" i="1"/>
  <c r="BZ313" i="1" s="1"/>
  <c r="CC313" i="1"/>
  <c r="CG313" i="1"/>
  <c r="CK313" i="1"/>
  <c r="CL313" i="1" s="1"/>
  <c r="CO313" i="1"/>
  <c r="CP313" i="1" s="1"/>
  <c r="CS313" i="1"/>
  <c r="CW313" i="1"/>
  <c r="DA313" i="1"/>
  <c r="DB313" i="1" s="1"/>
  <c r="DE313" i="1"/>
  <c r="DF313" i="1" s="1"/>
  <c r="DI313" i="1"/>
  <c r="DM313" i="1"/>
  <c r="DQ313" i="1"/>
  <c r="DR313" i="1" s="1"/>
  <c r="DU313" i="1"/>
  <c r="DV313" i="1" s="1"/>
  <c r="DY313" i="1"/>
  <c r="EC313" i="1"/>
  <c r="EG313" i="1"/>
  <c r="EH313" i="1" s="1"/>
  <c r="EK313" i="1"/>
  <c r="EL313" i="1" s="1"/>
  <c r="EO313" i="1"/>
  <c r="CG314" i="1"/>
  <c r="CH314" i="1" s="1"/>
  <c r="CK314" i="1"/>
  <c r="CL314" i="1" s="1"/>
  <c r="CO314" i="1"/>
  <c r="CS314" i="1"/>
  <c r="CW314" i="1"/>
  <c r="CX314" i="1" s="1"/>
  <c r="DA314" i="1"/>
  <c r="DB314" i="1" s="1"/>
  <c r="DE314" i="1"/>
  <c r="DI314" i="1"/>
  <c r="DM314" i="1"/>
  <c r="DN314" i="1" s="1"/>
  <c r="DQ314" i="1"/>
  <c r="DR314" i="1" s="1"/>
  <c r="DU314" i="1"/>
  <c r="DY314" i="1"/>
  <c r="EC314" i="1"/>
  <c r="ED314" i="1" s="1"/>
  <c r="EG314" i="1"/>
  <c r="EH314" i="1" s="1"/>
  <c r="EK314" i="1"/>
  <c r="EO314" i="1"/>
  <c r="DT319" i="1"/>
  <c r="EU319" i="1"/>
  <c r="BL323" i="1"/>
  <c r="FT334" i="1"/>
  <c r="FU334" i="1" s="1"/>
  <c r="AM343" i="1"/>
  <c r="AP343" i="1"/>
  <c r="AZ341" i="1"/>
  <c r="BH341" i="1"/>
  <c r="AL346" i="1"/>
  <c r="AX346" i="1"/>
  <c r="BF346" i="1"/>
  <c r="FG524" i="1"/>
  <c r="FK524" i="1"/>
  <c r="DS358" i="1"/>
  <c r="EA358" i="1"/>
  <c r="EI360" i="1" s="1"/>
  <c r="EP367" i="1"/>
  <c r="GM364" i="1"/>
  <c r="FK367" i="1"/>
  <c r="FO367" i="1"/>
  <c r="FS367" i="1"/>
  <c r="FY366" i="1"/>
  <c r="FZ367" i="1"/>
  <c r="FZ380" i="1" s="1"/>
  <c r="GA380" i="1" s="1"/>
  <c r="GD367" i="1"/>
  <c r="GH367" i="1"/>
  <c r="GL367" i="1"/>
  <c r="AL367" i="1"/>
  <c r="AP367" i="1"/>
  <c r="AT367" i="1"/>
  <c r="AV367" i="1"/>
  <c r="AX367" i="1"/>
  <c r="BB367" i="1"/>
  <c r="BF367" i="1"/>
  <c r="BJ367" i="1"/>
  <c r="BL367" i="1"/>
  <c r="BN367" i="1"/>
  <c r="BR367" i="1"/>
  <c r="BV367" i="1"/>
  <c r="BZ367" i="1"/>
  <c r="CD367" i="1"/>
  <c r="CH367" i="1"/>
  <c r="CL367" i="1"/>
  <c r="CP367" i="1"/>
  <c r="CT367" i="1"/>
  <c r="CX367" i="1"/>
  <c r="DB367" i="1"/>
  <c r="DF367" i="1"/>
  <c r="DN367" i="1"/>
  <c r="DR367" i="1"/>
  <c r="DV367" i="1"/>
  <c r="DZ367" i="1"/>
  <c r="ED367" i="1"/>
  <c r="EH367" i="1"/>
  <c r="EL367" i="1"/>
  <c r="AK370" i="1"/>
  <c r="AO370" i="1"/>
  <c r="AS370" i="1"/>
  <c r="AW370" i="1"/>
  <c r="BA370" i="1"/>
  <c r="BE370" i="1"/>
  <c r="BI370" i="1"/>
  <c r="BM370" i="1"/>
  <c r="BQ370" i="1"/>
  <c r="BU370" i="1"/>
  <c r="BY370" i="1"/>
  <c r="CC370" i="1"/>
  <c r="CG370" i="1"/>
  <c r="CK370" i="1"/>
  <c r="CO370" i="1"/>
  <c r="CS370" i="1"/>
  <c r="CW370" i="1"/>
  <c r="DA370" i="1"/>
  <c r="DE370" i="1"/>
  <c r="DI370" i="1"/>
  <c r="DM370" i="1"/>
  <c r="DQ370" i="1"/>
  <c r="DU370" i="1"/>
  <c r="DY370" i="1"/>
  <c r="EC370" i="1"/>
  <c r="EG370" i="1"/>
  <c r="EK370" i="1"/>
  <c r="EO370" i="1"/>
  <c r="L373" i="1"/>
  <c r="EQ377" i="1"/>
  <c r="FJ378" i="1"/>
  <c r="FK378" i="1" s="1"/>
  <c r="FN378" i="1"/>
  <c r="FO378" i="1" s="1"/>
  <c r="FR378" i="1"/>
  <c r="FS378" i="1" s="1"/>
  <c r="FV378" i="1"/>
  <c r="FW378" i="1" s="1"/>
  <c r="FZ378" i="1"/>
  <c r="GA378" i="1" s="1"/>
  <c r="GD378" i="1"/>
  <c r="GE378" i="1" s="1"/>
  <c r="GH378" i="1"/>
  <c r="GI378" i="1" s="1"/>
  <c r="GL378" i="1"/>
  <c r="GM378" i="1" s="1"/>
  <c r="FF381" i="1"/>
  <c r="FG381" i="1" s="1"/>
  <c r="CL534" i="1"/>
  <c r="FP386" i="1"/>
  <c r="FP534" i="1" s="1"/>
  <c r="FQ534" i="1" s="1"/>
  <c r="FX386" i="1"/>
  <c r="FY386" i="1" s="1"/>
  <c r="GG386" i="1"/>
  <c r="CN386" i="1"/>
  <c r="GC386" i="1"/>
  <c r="FU393" i="1"/>
  <c r="GK393" i="1"/>
  <c r="GR393" i="1"/>
  <c r="FV405" i="1"/>
  <c r="GG404" i="1"/>
  <c r="GE404" i="1"/>
  <c r="GO404" i="1"/>
  <c r="GM404" i="1"/>
  <c r="GJ405" i="1"/>
  <c r="M420" i="1"/>
  <c r="N420" i="1" s="1"/>
  <c r="M422" i="1"/>
  <c r="N408" i="1"/>
  <c r="U420" i="1"/>
  <c r="U422" i="1"/>
  <c r="V408" i="1"/>
  <c r="AC420" i="1"/>
  <c r="AD420" i="1" s="1"/>
  <c r="AC422" i="1"/>
  <c r="AD408" i="1"/>
  <c r="AK420" i="1"/>
  <c r="AL420" i="1" s="1"/>
  <c r="AL408" i="1"/>
  <c r="AS420" i="1"/>
  <c r="AS422" i="1"/>
  <c r="AT408" i="1"/>
  <c r="BA420" i="1"/>
  <c r="BB408" i="1"/>
  <c r="BI420" i="1"/>
  <c r="BJ420" i="1" s="1"/>
  <c r="BJ408" i="1"/>
  <c r="BQ420" i="1"/>
  <c r="BR420" i="1" s="1"/>
  <c r="BR408" i="1"/>
  <c r="BY420" i="1"/>
  <c r="BZ420" i="1" s="1"/>
  <c r="BZ408" i="1"/>
  <c r="CG800" i="1"/>
  <c r="CG420" i="1"/>
  <c r="CH420" i="1" s="1"/>
  <c r="CH408" i="1"/>
  <c r="CO420" i="1"/>
  <c r="CP420" i="1" s="1"/>
  <c r="CP408" i="1"/>
  <c r="CW800" i="1"/>
  <c r="CW420" i="1"/>
  <c r="CX420" i="1" s="1"/>
  <c r="CX408" i="1"/>
  <c r="DE420" i="1"/>
  <c r="DF420" i="1" s="1"/>
  <c r="DF408" i="1"/>
  <c r="DM800" i="1"/>
  <c r="DM420" i="1"/>
  <c r="DN420" i="1" s="1"/>
  <c r="DN408" i="1"/>
  <c r="DU420" i="1"/>
  <c r="DV420" i="1" s="1"/>
  <c r="DV408" i="1"/>
  <c r="EC800" i="1"/>
  <c r="EC420" i="1"/>
  <c r="ED420" i="1" s="1"/>
  <c r="ED408" i="1"/>
  <c r="EK420" i="1"/>
  <c r="EL408" i="1"/>
  <c r="BD416" i="1"/>
  <c r="BT416" i="1"/>
  <c r="CJ416" i="1"/>
  <c r="CZ416" i="1"/>
  <c r="DP416" i="1"/>
  <c r="EF416" i="1"/>
  <c r="I457" i="1"/>
  <c r="I529" i="1" s="1"/>
  <c r="I454" i="1"/>
  <c r="AG457" i="1"/>
  <c r="AG454" i="1"/>
  <c r="AH454" i="1" s="1"/>
  <c r="AH453" i="1"/>
  <c r="EU487" i="1"/>
  <c r="EV486" i="1"/>
  <c r="CY20" i="198" s="1"/>
  <c r="FN487" i="1"/>
  <c r="FO487" i="1" s="1"/>
  <c r="FO486" i="1"/>
  <c r="GF490" i="1"/>
  <c r="GF487" i="1"/>
  <c r="GN490" i="1"/>
  <c r="GN487" i="1"/>
  <c r="Y775" i="1"/>
  <c r="Y531" i="1"/>
  <c r="Z490" i="1"/>
  <c r="AO531" i="1"/>
  <c r="AP490" i="1"/>
  <c r="BE775" i="1"/>
  <c r="BE531" i="1"/>
  <c r="BF490" i="1"/>
  <c r="BK775" i="1"/>
  <c r="BK531" i="1"/>
  <c r="CA775" i="1"/>
  <c r="CA531" i="1"/>
  <c r="CB490" i="1"/>
  <c r="CQ775" i="1"/>
  <c r="CQ531" i="1"/>
  <c r="CR490" i="1"/>
  <c r="DG775" i="1"/>
  <c r="DG531" i="1"/>
  <c r="DG493" i="1"/>
  <c r="DH490" i="1"/>
  <c r="DW775" i="1"/>
  <c r="DW531" i="1"/>
  <c r="DX490" i="1"/>
  <c r="DW493" i="1"/>
  <c r="DX493" i="1" s="1"/>
  <c r="EM775" i="1"/>
  <c r="EM531" i="1"/>
  <c r="EV490" i="1"/>
  <c r="EN490" i="1"/>
  <c r="EM493" i="1"/>
  <c r="AW502" i="1"/>
  <c r="BC502" i="1"/>
  <c r="BS502" i="1"/>
  <c r="CI502" i="1"/>
  <c r="CY502" i="1"/>
  <c r="DO502" i="1"/>
  <c r="EE502" i="1"/>
  <c r="ES308" i="1"/>
  <c r="FP310" i="1"/>
  <c r="FS310" i="1" s="1"/>
  <c r="FT310" i="1"/>
  <c r="FT311" i="1" s="1"/>
  <c r="FX310" i="1"/>
  <c r="GA310" i="1" s="1"/>
  <c r="CZ319" i="1"/>
  <c r="FN342" i="1"/>
  <c r="FO342" i="1" s="1"/>
  <c r="FP344" i="1"/>
  <c r="FT344" i="1"/>
  <c r="AI344" i="1"/>
  <c r="AN342" i="1"/>
  <c r="AR342" i="1"/>
  <c r="AZ534" i="1"/>
  <c r="FR348" i="1"/>
  <c r="FS348" i="1" s="1"/>
  <c r="FG349" i="1"/>
  <c r="FK349" i="1"/>
  <c r="FL366" i="1"/>
  <c r="FM366" i="1" s="1"/>
  <c r="N370" i="1"/>
  <c r="R370" i="1"/>
  <c r="V370" i="1"/>
  <c r="Z370" i="1"/>
  <c r="AD370" i="1"/>
  <c r="AH370" i="1"/>
  <c r="AJ377" i="1"/>
  <c r="AN377" i="1"/>
  <c r="AR377" i="1"/>
  <c r="AV377" i="1"/>
  <c r="AZ377" i="1"/>
  <c r="BD377" i="1"/>
  <c r="BH377" i="1"/>
  <c r="BL377" i="1"/>
  <c r="BP377" i="1"/>
  <c r="BT377" i="1"/>
  <c r="BX377" i="1"/>
  <c r="CB377" i="1"/>
  <c r="CF377" i="1"/>
  <c r="CJ377" i="1"/>
  <c r="CN377" i="1"/>
  <c r="CR377" i="1"/>
  <c r="CV377" i="1"/>
  <c r="CZ377" i="1"/>
  <c r="DD377" i="1"/>
  <c r="DH377" i="1"/>
  <c r="DL377" i="1"/>
  <c r="DP377" i="1"/>
  <c r="DT377" i="1"/>
  <c r="DX377" i="1"/>
  <c r="EB377" i="1"/>
  <c r="EF377" i="1"/>
  <c r="EJ377" i="1"/>
  <c r="EN377" i="1"/>
  <c r="FB381" i="1"/>
  <c r="CL386" i="1"/>
  <c r="EL390" i="1"/>
  <c r="V436" i="1"/>
  <c r="Z436" i="1"/>
  <c r="AD436" i="1"/>
  <c r="AH436" i="1"/>
  <c r="AL436" i="1"/>
  <c r="AP436" i="1"/>
  <c r="BB436" i="1"/>
  <c r="AT436" i="1"/>
  <c r="AW436" i="1"/>
  <c r="BF393" i="1"/>
  <c r="BB393" i="1"/>
  <c r="FH393" i="1"/>
  <c r="FI393" i="1" s="1"/>
  <c r="FP393" i="1"/>
  <c r="FQ393" i="1" s="1"/>
  <c r="GG393" i="1"/>
  <c r="EQ399" i="1"/>
  <c r="EW406" i="1"/>
  <c r="EV406" i="1"/>
  <c r="EU412" i="1"/>
  <c r="EV412" i="1" s="1"/>
  <c r="GG402" i="1"/>
  <c r="GE402" i="1"/>
  <c r="FM404" i="1"/>
  <c r="FK404" i="1"/>
  <c r="FU404" i="1"/>
  <c r="FS404" i="1"/>
  <c r="FJ405" i="1"/>
  <c r="FM405" i="1" s="1"/>
  <c r="FX408" i="1"/>
  <c r="FY405" i="1"/>
  <c r="GN405" i="1"/>
  <c r="GD801" i="1"/>
  <c r="GG406" i="1"/>
  <c r="GE406" i="1"/>
  <c r="GL801" i="1"/>
  <c r="GO406" i="1"/>
  <c r="GM406" i="1"/>
  <c r="GE407" i="1"/>
  <c r="GC407" i="1"/>
  <c r="GM407" i="1"/>
  <c r="GK407" i="1"/>
  <c r="FH405" i="1"/>
  <c r="AF418" i="1"/>
  <c r="AN418" i="1"/>
  <c r="AV418" i="1"/>
  <c r="BD418" i="1"/>
  <c r="BL418" i="1"/>
  <c r="BT418" i="1"/>
  <c r="CB418" i="1"/>
  <c r="CJ418" i="1"/>
  <c r="CR418" i="1"/>
  <c r="CZ418" i="1"/>
  <c r="DH418" i="1"/>
  <c r="DP418" i="1"/>
  <c r="DX418" i="1"/>
  <c r="EF418" i="1"/>
  <c r="EV418" i="1"/>
  <c r="EN418" i="1"/>
  <c r="FQ407" i="1"/>
  <c r="FO407" i="1"/>
  <c r="ET413" i="1"/>
  <c r="EU413" i="1"/>
  <c r="FL418" i="1"/>
  <c r="FX418" i="1"/>
  <c r="GF418" i="1"/>
  <c r="GN418" i="1"/>
  <c r="GD419" i="1"/>
  <c r="GE419" i="1" s="1"/>
  <c r="GL419" i="1"/>
  <c r="FL420" i="1"/>
  <c r="FR420" i="1"/>
  <c r="FQ415" i="1"/>
  <c r="AZ416" i="1"/>
  <c r="FU415" i="1"/>
  <c r="BP416" i="1"/>
  <c r="CF416" i="1"/>
  <c r="GC415" i="1"/>
  <c r="CV416" i="1"/>
  <c r="GG415" i="1"/>
  <c r="DL416" i="1"/>
  <c r="GK415" i="1"/>
  <c r="EB416" i="1"/>
  <c r="GO415" i="1"/>
  <c r="FW415" i="1"/>
  <c r="EU425" i="1"/>
  <c r="CX436" i="1"/>
  <c r="DF436" i="1"/>
  <c r="DN436" i="1"/>
  <c r="DV436" i="1"/>
  <c r="ED436" i="1"/>
  <c r="ES436" i="1"/>
  <c r="ET434" i="1"/>
  <c r="GR435" i="1"/>
  <c r="GQ435" i="1"/>
  <c r="Q457" i="1"/>
  <c r="Q454" i="1"/>
  <c r="R453" i="1"/>
  <c r="AC457" i="1"/>
  <c r="AC454" i="1"/>
  <c r="AD454" i="1" s="1"/>
  <c r="AD453" i="1"/>
  <c r="AS457" i="1"/>
  <c r="AS454" i="1"/>
  <c r="AT454" i="1" s="1"/>
  <c r="AT453" i="1"/>
  <c r="FD457" i="1"/>
  <c r="FD454" i="1"/>
  <c r="P451" i="1"/>
  <c r="BD451" i="1"/>
  <c r="EQ846" i="1"/>
  <c r="EQ487" i="1"/>
  <c r="ER486" i="1"/>
  <c r="FH490" i="1"/>
  <c r="FH487" i="1"/>
  <c r="FI486" i="1"/>
  <c r="FP487" i="1"/>
  <c r="FQ486" i="1"/>
  <c r="U775" i="1"/>
  <c r="U531" i="1"/>
  <c r="V490" i="1"/>
  <c r="AB487" i="1"/>
  <c r="AK775" i="1"/>
  <c r="AK531" i="1"/>
  <c r="AL490" i="1"/>
  <c r="AR487" i="1"/>
  <c r="BA775" i="1"/>
  <c r="BA531" i="1"/>
  <c r="BB490" i="1"/>
  <c r="BG775" i="1"/>
  <c r="BG531" i="1"/>
  <c r="BW775" i="1"/>
  <c r="BW531" i="1"/>
  <c r="BX490" i="1"/>
  <c r="CM775" i="1"/>
  <c r="CM531" i="1"/>
  <c r="CN490" i="1"/>
  <c r="DC775" i="1"/>
  <c r="DC531" i="1"/>
  <c r="DD490" i="1"/>
  <c r="DS775" i="1"/>
  <c r="DS531" i="1"/>
  <c r="DT490" i="1"/>
  <c r="DS493" i="1"/>
  <c r="DT493" i="1" s="1"/>
  <c r="EI775" i="1"/>
  <c r="EI531" i="1"/>
  <c r="ER490" i="1"/>
  <c r="EJ490" i="1"/>
  <c r="EI493" i="1"/>
  <c r="FF531" i="1"/>
  <c r="FG490" i="1"/>
  <c r="BO502" i="1"/>
  <c r="CE502" i="1"/>
  <c r="CU502" i="1"/>
  <c r="DK502" i="1"/>
  <c r="EA502" i="1"/>
  <c r="BL501" i="1"/>
  <c r="ES412" i="1"/>
  <c r="ET412" i="1" s="1"/>
  <c r="AK416" i="1"/>
  <c r="AL416" i="1" s="1"/>
  <c r="AO416" i="1"/>
  <c r="AP416" i="1" s="1"/>
  <c r="AS416" i="1"/>
  <c r="AW416" i="1"/>
  <c r="AX416" i="1" s="1"/>
  <c r="BA416" i="1"/>
  <c r="BB416" i="1" s="1"/>
  <c r="BE416" i="1"/>
  <c r="BI416" i="1"/>
  <c r="BM416" i="1"/>
  <c r="BN416" i="1" s="1"/>
  <c r="BQ416" i="1"/>
  <c r="BR416" i="1" s="1"/>
  <c r="BU416" i="1"/>
  <c r="BY416" i="1"/>
  <c r="BY422" i="1" s="1"/>
  <c r="CC416" i="1"/>
  <c r="CD416" i="1" s="1"/>
  <c r="CG416" i="1"/>
  <c r="CH416" i="1" s="1"/>
  <c r="CK416" i="1"/>
  <c r="CO416" i="1"/>
  <c r="CO422" i="1" s="1"/>
  <c r="CS416" i="1"/>
  <c r="CT416" i="1" s="1"/>
  <c r="CW416" i="1"/>
  <c r="CX416" i="1" s="1"/>
  <c r="DA416" i="1"/>
  <c r="DE416" i="1"/>
  <c r="DE422" i="1" s="1"/>
  <c r="DI416" i="1"/>
  <c r="DJ416" i="1" s="1"/>
  <c r="DM416" i="1"/>
  <c r="DN416" i="1" s="1"/>
  <c r="DQ416" i="1"/>
  <c r="DU416" i="1"/>
  <c r="DU422" i="1" s="1"/>
  <c r="DY416" i="1"/>
  <c r="DZ416" i="1" s="1"/>
  <c r="EC416" i="1"/>
  <c r="ED416" i="1" s="1"/>
  <c r="EG416" i="1"/>
  <c r="EK416" i="1"/>
  <c r="EK422" i="1" s="1"/>
  <c r="EO416" i="1"/>
  <c r="EP416" i="1" s="1"/>
  <c r="FJ418" i="1"/>
  <c r="FN418" i="1"/>
  <c r="FO418" i="1" s="1"/>
  <c r="FR418" i="1"/>
  <c r="FV418" i="1"/>
  <c r="FZ418" i="1"/>
  <c r="GA418" i="1" s="1"/>
  <c r="FX419" i="1"/>
  <c r="GB419" i="1"/>
  <c r="GC419" i="1" s="1"/>
  <c r="GF419" i="1"/>
  <c r="GJ419" i="1"/>
  <c r="GK419" i="1" s="1"/>
  <c r="GN419" i="1"/>
  <c r="GO419" i="1" s="1"/>
  <c r="CS508" i="1"/>
  <c r="CS537" i="1"/>
  <c r="GS427" i="1"/>
  <c r="FG528" i="1"/>
  <c r="GD563" i="1"/>
  <c r="FZ563" i="1"/>
  <c r="DP563" i="1"/>
  <c r="GB563" i="1"/>
  <c r="FX563" i="1"/>
  <c r="GB434" i="1"/>
  <c r="GF434" i="1"/>
  <c r="GJ434" i="1"/>
  <c r="GN434" i="1"/>
  <c r="S436" i="1"/>
  <c r="T436" i="1" s="1"/>
  <c r="AI436" i="1"/>
  <c r="AJ436" i="1" s="1"/>
  <c r="AY436" i="1"/>
  <c r="AZ436" i="1" s="1"/>
  <c r="CM436" i="1"/>
  <c r="CN436" i="1" s="1"/>
  <c r="CU436" i="1"/>
  <c r="CV436" i="1" s="1"/>
  <c r="DC436" i="1"/>
  <c r="DK436" i="1"/>
  <c r="DL436" i="1" s="1"/>
  <c r="DS436" i="1"/>
  <c r="DT436" i="1" s="1"/>
  <c r="EA436" i="1"/>
  <c r="EB436" i="1" s="1"/>
  <c r="EI436" i="1"/>
  <c r="R443" i="1"/>
  <c r="FF800" i="1"/>
  <c r="FN800" i="1"/>
  <c r="FR800" i="1"/>
  <c r="BR508" i="1"/>
  <c r="BJ508" i="1"/>
  <c r="FP447" i="1"/>
  <c r="FP508" i="1" s="1"/>
  <c r="FT447" i="1"/>
  <c r="AI451" i="1"/>
  <c r="AJ451" i="1" s="1"/>
  <c r="AU451" i="1"/>
  <c r="AV451" i="1" s="1"/>
  <c r="R465" i="1"/>
  <c r="L470" i="1"/>
  <c r="M475" i="1"/>
  <c r="Q475" i="1"/>
  <c r="GP480" i="1"/>
  <c r="CR534" i="1"/>
  <c r="GB489" i="1"/>
  <c r="GC489" i="1" s="1"/>
  <c r="GZ489" i="1"/>
  <c r="AC501" i="1"/>
  <c r="AD501" i="1" s="1"/>
  <c r="CE511" i="1"/>
  <c r="CP505" i="1"/>
  <c r="DF505" i="1"/>
  <c r="DR505" i="1"/>
  <c r="EH505" i="1"/>
  <c r="AX507" i="1"/>
  <c r="BF507" i="1"/>
  <c r="GM402" i="1"/>
  <c r="N405" i="1"/>
  <c r="P405" i="1"/>
  <c r="T405" i="1"/>
  <c r="V405" i="1"/>
  <c r="X405" i="1"/>
  <c r="AB405" i="1"/>
  <c r="AD405" i="1"/>
  <c r="AF405" i="1"/>
  <c r="AJ405" i="1"/>
  <c r="AL405" i="1"/>
  <c r="AN405" i="1"/>
  <c r="AR405" i="1"/>
  <c r="AT405" i="1"/>
  <c r="AV405" i="1"/>
  <c r="AZ405" i="1"/>
  <c r="BB405" i="1"/>
  <c r="BD405" i="1"/>
  <c r="BH405" i="1"/>
  <c r="BJ405" i="1"/>
  <c r="BL405" i="1"/>
  <c r="BP405" i="1"/>
  <c r="BR405" i="1"/>
  <c r="BT405" i="1"/>
  <c r="BX405" i="1"/>
  <c r="BZ405" i="1"/>
  <c r="CB405" i="1"/>
  <c r="CF405" i="1"/>
  <c r="CH405" i="1"/>
  <c r="CJ405" i="1"/>
  <c r="CN405" i="1"/>
  <c r="CP405" i="1"/>
  <c r="CR405" i="1"/>
  <c r="CV405" i="1"/>
  <c r="CX405" i="1"/>
  <c r="CZ405" i="1"/>
  <c r="DF405" i="1"/>
  <c r="DN405" i="1"/>
  <c r="DV405" i="1"/>
  <c r="ED405" i="1"/>
  <c r="EL405" i="1"/>
  <c r="O408" i="1"/>
  <c r="S408" i="1"/>
  <c r="W408" i="1"/>
  <c r="AA408" i="1"/>
  <c r="AE408" i="1"/>
  <c r="AI408" i="1"/>
  <c r="AM408" i="1"/>
  <c r="AQ408" i="1"/>
  <c r="AU408" i="1"/>
  <c r="AY408" i="1"/>
  <c r="BC408" i="1"/>
  <c r="BG408" i="1"/>
  <c r="BK408" i="1"/>
  <c r="BK800" i="1" s="1"/>
  <c r="BO408" i="1"/>
  <c r="BS408" i="1"/>
  <c r="BW408" i="1"/>
  <c r="CA408" i="1"/>
  <c r="CE408" i="1"/>
  <c r="CI408" i="1"/>
  <c r="CM408" i="1"/>
  <c r="CQ408" i="1"/>
  <c r="CU408" i="1"/>
  <c r="CY408" i="1"/>
  <c r="DC408" i="1"/>
  <c r="DG408" i="1"/>
  <c r="DK408" i="1"/>
  <c r="DO408" i="1"/>
  <c r="DS408" i="1"/>
  <c r="DW408" i="1"/>
  <c r="EA408" i="1"/>
  <c r="EE408" i="1"/>
  <c r="EI408" i="1"/>
  <c r="EM408" i="1"/>
  <c r="FK411" i="1"/>
  <c r="FO411" i="1"/>
  <c r="FS411" i="1"/>
  <c r="FK412" i="1"/>
  <c r="FO412" i="1"/>
  <c r="FS412" i="1"/>
  <c r="FW411" i="1"/>
  <c r="GA411" i="1"/>
  <c r="GE411" i="1"/>
  <c r="GI411" i="1"/>
  <c r="GM411" i="1"/>
  <c r="FY412" i="1"/>
  <c r="GC412" i="1"/>
  <c r="GG412" i="1"/>
  <c r="GK412" i="1"/>
  <c r="GA413" i="1"/>
  <c r="GE413" i="1"/>
  <c r="GI413" i="1"/>
  <c r="GM413" i="1"/>
  <c r="FY414" i="1"/>
  <c r="GC414" i="1"/>
  <c r="GG414" i="1"/>
  <c r="GK414" i="1"/>
  <c r="GO414" i="1"/>
  <c r="FK413" i="1"/>
  <c r="FO413" i="1"/>
  <c r="FS413" i="1"/>
  <c r="P411" i="1"/>
  <c r="X411" i="1"/>
  <c r="AL415" i="1"/>
  <c r="AT415" i="1"/>
  <c r="BB415" i="1"/>
  <c r="BJ415" i="1"/>
  <c r="CH415" i="1"/>
  <c r="CP415" i="1"/>
  <c r="CX415" i="1"/>
  <c r="DF415" i="1"/>
  <c r="DN415" i="1"/>
  <c r="DV415" i="1"/>
  <c r="ED415" i="1"/>
  <c r="EL415" i="1"/>
  <c r="EP415" i="1"/>
  <c r="FL416" i="1"/>
  <c r="FM416" i="1" s="1"/>
  <c r="FP416" i="1"/>
  <c r="FQ416" i="1" s="1"/>
  <c r="FT416" i="1"/>
  <c r="FU416" i="1" s="1"/>
  <c r="FX416" i="1"/>
  <c r="FY416" i="1" s="1"/>
  <c r="GB416" i="1"/>
  <c r="GC416" i="1" s="1"/>
  <c r="GF416" i="1"/>
  <c r="GG416" i="1" s="1"/>
  <c r="GJ416" i="1"/>
  <c r="GK416" i="1" s="1"/>
  <c r="GN416" i="1"/>
  <c r="GO416" i="1" s="1"/>
  <c r="M418" i="1"/>
  <c r="N418" i="1" s="1"/>
  <c r="U418" i="1"/>
  <c r="V418" i="1" s="1"/>
  <c r="AC418" i="1"/>
  <c r="AD418" i="1" s="1"/>
  <c r="AK418" i="1"/>
  <c r="AS418" i="1"/>
  <c r="AT418" i="1" s="1"/>
  <c r="BA418" i="1"/>
  <c r="BB418" i="1" s="1"/>
  <c r="BI418" i="1"/>
  <c r="BJ418" i="1" s="1"/>
  <c r="BQ418" i="1"/>
  <c r="BY418" i="1"/>
  <c r="BZ418" i="1" s="1"/>
  <c r="CG418" i="1"/>
  <c r="CH418" i="1" s="1"/>
  <c r="CO418" i="1"/>
  <c r="CP418" i="1" s="1"/>
  <c r="CW418" i="1"/>
  <c r="DE418" i="1"/>
  <c r="DF418" i="1" s="1"/>
  <c r="DM418" i="1"/>
  <c r="DN418" i="1" s="1"/>
  <c r="DU418" i="1"/>
  <c r="DV418" i="1" s="1"/>
  <c r="EC418" i="1"/>
  <c r="EK418" i="1"/>
  <c r="EL419" i="1"/>
  <c r="EP419" i="1"/>
  <c r="ET419" i="1"/>
  <c r="EI508" i="1"/>
  <c r="EJ508" i="1" s="1"/>
  <c r="EI537" i="1"/>
  <c r="FI427" i="1"/>
  <c r="FM427" i="1"/>
  <c r="FQ427" i="1"/>
  <c r="FU427" i="1"/>
  <c r="FY427" i="1"/>
  <c r="AT427" i="1"/>
  <c r="EJ425" i="1"/>
  <c r="ER425" i="1"/>
  <c r="GI427" i="1"/>
  <c r="GM427" i="1"/>
  <c r="GB425" i="1"/>
  <c r="GB508" i="1" s="1"/>
  <c r="GC508" i="1" s="1"/>
  <c r="EH431" i="1"/>
  <c r="EQ434" i="1"/>
  <c r="ET435" i="1"/>
  <c r="FI434" i="1"/>
  <c r="FM434" i="1"/>
  <c r="FQ434" i="1"/>
  <c r="FU434" i="1"/>
  <c r="FY434" i="1"/>
  <c r="FI441" i="1"/>
  <c r="FM441" i="1"/>
  <c r="FQ441" i="1"/>
  <c r="FU441" i="1"/>
  <c r="FH801" i="1"/>
  <c r="FL801" i="1"/>
  <c r="FP801" i="1"/>
  <c r="FT801" i="1"/>
  <c r="C443" i="1"/>
  <c r="L443" i="1" s="1"/>
  <c r="BG800" i="1"/>
  <c r="BS800" i="1"/>
  <c r="FB800" i="1"/>
  <c r="FG443" i="1"/>
  <c r="FS443" i="1"/>
  <c r="AX508" i="1"/>
  <c r="BF508" i="1"/>
  <c r="BT508" i="1"/>
  <c r="BL508" i="1"/>
  <c r="AX447" i="1"/>
  <c r="BF447" i="1"/>
  <c r="BJ447" i="1"/>
  <c r="BR447" i="1"/>
  <c r="FK447" i="1"/>
  <c r="AW449" i="1"/>
  <c r="AX449" i="1" s="1"/>
  <c r="BI449" i="1"/>
  <c r="BJ449" i="1" s="1"/>
  <c r="FE449" i="1"/>
  <c r="E451" i="1"/>
  <c r="K453" i="1"/>
  <c r="O453" i="1"/>
  <c r="S453" i="1"/>
  <c r="W453" i="1"/>
  <c r="AA453" i="1"/>
  <c r="AE453" i="1"/>
  <c r="AY453" i="1"/>
  <c r="BC453" i="1"/>
  <c r="BK453" i="1"/>
  <c r="BO453" i="1"/>
  <c r="BS453" i="1"/>
  <c r="G453" i="1"/>
  <c r="FB453" i="1"/>
  <c r="BV456" i="1"/>
  <c r="FH473" i="1"/>
  <c r="FH475" i="1" s="1"/>
  <c r="FH476" i="1" s="1"/>
  <c r="ET480" i="1"/>
  <c r="EX480" i="1"/>
  <c r="FI480" i="1"/>
  <c r="FM480" i="1"/>
  <c r="FQ480" i="1"/>
  <c r="FU480" i="1"/>
  <c r="GA480" i="1"/>
  <c r="GE480" i="1"/>
  <c r="GI480" i="1"/>
  <c r="GM480" i="1"/>
  <c r="FY484" i="1"/>
  <c r="GC484" i="1"/>
  <c r="GG484" i="1"/>
  <c r="GK484" i="1"/>
  <c r="GC485" i="1"/>
  <c r="GG485" i="1"/>
  <c r="GK485" i="1"/>
  <c r="FW484" i="1"/>
  <c r="ES486" i="1"/>
  <c r="CV20" i="198" s="1"/>
  <c r="EW486" i="1"/>
  <c r="CZ20" i="198" s="1"/>
  <c r="M487" i="1"/>
  <c r="N487" i="1" s="1"/>
  <c r="Q487" i="1"/>
  <c r="R487" i="1" s="1"/>
  <c r="U487" i="1"/>
  <c r="V487" i="1" s="1"/>
  <c r="Y487" i="1"/>
  <c r="Z487" i="1" s="1"/>
  <c r="AC487" i="1"/>
  <c r="AG487" i="1"/>
  <c r="AK487" i="1"/>
  <c r="AL487" i="1" s="1"/>
  <c r="AO487" i="1"/>
  <c r="AP487" i="1" s="1"/>
  <c r="AS487" i="1"/>
  <c r="AW487" i="1"/>
  <c r="BA487" i="1"/>
  <c r="BB487" i="1" s="1"/>
  <c r="BE487" i="1"/>
  <c r="BF487" i="1" s="1"/>
  <c r="BI487" i="1"/>
  <c r="BM487" i="1"/>
  <c r="BQ487" i="1"/>
  <c r="BR487" i="1" s="1"/>
  <c r="BU487" i="1"/>
  <c r="BV487" i="1" s="1"/>
  <c r="BY487" i="1"/>
  <c r="CC487" i="1"/>
  <c r="CG487" i="1"/>
  <c r="CH487" i="1" s="1"/>
  <c r="CK487" i="1"/>
  <c r="CL487" i="1" s="1"/>
  <c r="CO487" i="1"/>
  <c r="CS487" i="1"/>
  <c r="CW487" i="1"/>
  <c r="CX487" i="1" s="1"/>
  <c r="DA487" i="1"/>
  <c r="DB487" i="1" s="1"/>
  <c r="DE487" i="1"/>
  <c r="DI487" i="1"/>
  <c r="DM487" i="1"/>
  <c r="DN487" i="1" s="1"/>
  <c r="DQ487" i="1"/>
  <c r="DR487" i="1" s="1"/>
  <c r="DU487" i="1"/>
  <c r="DY487" i="1"/>
  <c r="EC487" i="1"/>
  <c r="ED487" i="1" s="1"/>
  <c r="EG487" i="1"/>
  <c r="EH487" i="1" s="1"/>
  <c r="EK487" i="1"/>
  <c r="EO487" i="1"/>
  <c r="FZ486" i="1"/>
  <c r="GD486" i="1"/>
  <c r="GG486" i="1" s="1"/>
  <c r="GH486" i="1"/>
  <c r="GK486" i="1" s="1"/>
  <c r="GL486" i="1"/>
  <c r="GO486" i="1" s="1"/>
  <c r="BV489" i="1"/>
  <c r="CD489" i="1"/>
  <c r="CR489" i="1"/>
  <c r="FQ489" i="1"/>
  <c r="FY489" i="1"/>
  <c r="GK489" i="1"/>
  <c r="GO489" i="1"/>
  <c r="K490" i="1"/>
  <c r="O490" i="1"/>
  <c r="S490" i="1"/>
  <c r="W490" i="1"/>
  <c r="AA490" i="1"/>
  <c r="AE490" i="1"/>
  <c r="AI490" i="1"/>
  <c r="AM490" i="1"/>
  <c r="AQ490" i="1"/>
  <c r="AU490" i="1"/>
  <c r="AY490" i="1"/>
  <c r="BC490" i="1"/>
  <c r="BI852" i="1"/>
  <c r="BM852" i="1"/>
  <c r="BQ852" i="1"/>
  <c r="BU852" i="1"/>
  <c r="BY852" i="1"/>
  <c r="CC852" i="1"/>
  <c r="CG852" i="1"/>
  <c r="CK852" i="1"/>
  <c r="CO852" i="1"/>
  <c r="CS852" i="1"/>
  <c r="CW852" i="1"/>
  <c r="DA852" i="1"/>
  <c r="DE852" i="1"/>
  <c r="DI852" i="1"/>
  <c r="DM852" i="1"/>
  <c r="DQ852" i="1"/>
  <c r="DU852" i="1"/>
  <c r="DY852" i="1"/>
  <c r="EC852" i="1"/>
  <c r="EG852" i="1"/>
  <c r="EK852" i="1"/>
  <c r="EO852" i="1"/>
  <c r="AA856" i="1"/>
  <c r="AE856" i="1"/>
  <c r="AI856" i="1"/>
  <c r="AM856" i="1"/>
  <c r="AQ856" i="1"/>
  <c r="AU856" i="1"/>
  <c r="AY856" i="1"/>
  <c r="BC856" i="1"/>
  <c r="BG856" i="1"/>
  <c r="BK856" i="1"/>
  <c r="BO856" i="1"/>
  <c r="BS856" i="1"/>
  <c r="BW856" i="1"/>
  <c r="CA856" i="1"/>
  <c r="CE856" i="1"/>
  <c r="CI856" i="1"/>
  <c r="CM856" i="1"/>
  <c r="CQ856" i="1"/>
  <c r="CU856" i="1"/>
  <c r="CY856" i="1"/>
  <c r="DC856" i="1"/>
  <c r="DG856" i="1"/>
  <c r="DK856" i="1"/>
  <c r="DO856" i="1"/>
  <c r="DS856" i="1"/>
  <c r="DW856" i="1"/>
  <c r="EA856" i="1"/>
  <c r="EE856" i="1"/>
  <c r="EI856" i="1"/>
  <c r="EM856" i="1"/>
  <c r="AA511" i="1"/>
  <c r="AB511" i="1" s="1"/>
  <c r="AE511" i="1"/>
  <c r="AF511" i="1" s="1"/>
  <c r="AI511" i="1"/>
  <c r="AJ511" i="1" s="1"/>
  <c r="AM511" i="1"/>
  <c r="AN511" i="1" s="1"/>
  <c r="AQ511" i="1"/>
  <c r="AU511" i="1"/>
  <c r="BG511" i="1"/>
  <c r="BK511" i="1"/>
  <c r="BO511" i="1"/>
  <c r="BS511" i="1"/>
  <c r="BW511" i="1"/>
  <c r="BX511" i="1" s="1"/>
  <c r="CA511" i="1"/>
  <c r="CB511" i="1" s="1"/>
  <c r="CL505" i="1"/>
  <c r="CK511" i="1"/>
  <c r="DB505" i="1"/>
  <c r="DN505" i="1"/>
  <c r="ED505" i="1"/>
  <c r="BB507" i="1"/>
  <c r="AT507" i="1"/>
  <c r="EG508" i="1"/>
  <c r="EH508" i="1" s="1"/>
  <c r="CT534" i="1"/>
  <c r="FD537" i="1"/>
  <c r="FH537" i="1"/>
  <c r="FP405" i="1"/>
  <c r="FT405" i="1"/>
  <c r="FZ405" i="1"/>
  <c r="GC405" i="1" s="1"/>
  <c r="GD405" i="1"/>
  <c r="GG405" i="1" s="1"/>
  <c r="GH405" i="1"/>
  <c r="GL405" i="1"/>
  <c r="FX801" i="1"/>
  <c r="GB801" i="1"/>
  <c r="GF801" i="1"/>
  <c r="GJ801" i="1"/>
  <c r="GN801" i="1"/>
  <c r="EP403" i="1"/>
  <c r="L408" i="1"/>
  <c r="FH411" i="1"/>
  <c r="FI414" i="1"/>
  <c r="FM414" i="1"/>
  <c r="FQ414" i="1"/>
  <c r="FU414" i="1"/>
  <c r="ER415" i="1"/>
  <c r="GQ415" i="1"/>
  <c r="O416" i="1"/>
  <c r="FJ419" i="1"/>
  <c r="FK419" i="1" s="1"/>
  <c r="FN419" i="1"/>
  <c r="FO419" i="1" s="1"/>
  <c r="FR419" i="1"/>
  <c r="FS419" i="1" s="1"/>
  <c r="FV419" i="1"/>
  <c r="FW419" i="1" s="1"/>
  <c r="FX420" i="1"/>
  <c r="GB420" i="1"/>
  <c r="GF420" i="1"/>
  <c r="GL425" i="1"/>
  <c r="GM425" i="1" s="1"/>
  <c r="FK534" i="1"/>
  <c r="EH425" i="1"/>
  <c r="EP425" i="1"/>
  <c r="DN563" i="1"/>
  <c r="GJ563" i="1"/>
  <c r="GD434" i="1"/>
  <c r="GH434" i="1"/>
  <c r="GL434" i="1"/>
  <c r="EK436" i="1"/>
  <c r="EL436" i="1" s="1"/>
  <c r="EO436" i="1"/>
  <c r="EP436" i="1" s="1"/>
  <c r="FH436" i="1"/>
  <c r="FI436" i="1" s="1"/>
  <c r="FL436" i="1"/>
  <c r="FM436" i="1" s="1"/>
  <c r="FP436" i="1"/>
  <c r="FQ436" i="1" s="1"/>
  <c r="FT436" i="1"/>
  <c r="FU436" i="1" s="1"/>
  <c r="FX436" i="1"/>
  <c r="FY436" i="1" s="1"/>
  <c r="FI442" i="1"/>
  <c r="FM442" i="1"/>
  <c r="FQ442" i="1"/>
  <c r="FU442" i="1"/>
  <c r="BH443" i="1"/>
  <c r="BL443" i="1"/>
  <c r="BP443" i="1"/>
  <c r="BT443" i="1"/>
  <c r="FD800" i="1"/>
  <c r="FH443" i="1"/>
  <c r="FL443" i="1"/>
  <c r="FP443" i="1"/>
  <c r="FT443" i="1"/>
  <c r="FW443" i="1" s="1"/>
  <c r="BB508" i="1"/>
  <c r="FR447" i="1"/>
  <c r="FV449" i="1"/>
  <c r="M451" i="1"/>
  <c r="N451" i="1" s="1"/>
  <c r="Q451" i="1"/>
  <c r="U451" i="1"/>
  <c r="V451" i="1" s="1"/>
  <c r="Y451" i="1"/>
  <c r="AC451" i="1"/>
  <c r="AG451" i="1"/>
  <c r="AH451" i="1" s="1"/>
  <c r="AK451" i="1"/>
  <c r="AL451" i="1" s="1"/>
  <c r="AO451" i="1"/>
  <c r="AS451" i="1"/>
  <c r="AW451" i="1"/>
  <c r="AX451" i="1" s="1"/>
  <c r="BA451" i="1"/>
  <c r="BB451" i="1" s="1"/>
  <c r="BE451" i="1"/>
  <c r="BI451" i="1"/>
  <c r="BR451" i="1" s="1"/>
  <c r="L465" i="1"/>
  <c r="P465" i="1"/>
  <c r="C468" i="1"/>
  <c r="L468" i="1" s="1"/>
  <c r="FW480" i="1"/>
  <c r="GP485" i="1"/>
  <c r="FS485" i="1"/>
  <c r="N486" i="1"/>
  <c r="R486" i="1"/>
  <c r="V486" i="1"/>
  <c r="Z486" i="1"/>
  <c r="AD486" i="1"/>
  <c r="AH486" i="1"/>
  <c r="AL486" i="1"/>
  <c r="AP486" i="1"/>
  <c r="AT486" i="1"/>
  <c r="AX486" i="1"/>
  <c r="BB486" i="1"/>
  <c r="BF486" i="1"/>
  <c r="BJ486" i="1"/>
  <c r="BN486" i="1"/>
  <c r="BR486" i="1"/>
  <c r="BV486" i="1"/>
  <c r="BZ486" i="1"/>
  <c r="CD486" i="1"/>
  <c r="CH486" i="1"/>
  <c r="CL486" i="1"/>
  <c r="CP486" i="1"/>
  <c r="CT486" i="1"/>
  <c r="CX486" i="1"/>
  <c r="DB486" i="1"/>
  <c r="DF486" i="1"/>
  <c r="DJ486" i="1"/>
  <c r="DN486" i="1"/>
  <c r="DR486" i="1"/>
  <c r="DV486" i="1"/>
  <c r="DZ486" i="1"/>
  <c r="ED486" i="1"/>
  <c r="EH486" i="1"/>
  <c r="EL486" i="1"/>
  <c r="EP486" i="1"/>
  <c r="FG486" i="1"/>
  <c r="FW486" i="1"/>
  <c r="FF487" i="1"/>
  <c r="FG487" i="1" s="1"/>
  <c r="FV487" i="1"/>
  <c r="FW487" i="1" s="1"/>
  <c r="CZ489" i="1"/>
  <c r="GD489" i="1"/>
  <c r="GE489" i="1" s="1"/>
  <c r="AD498" i="1"/>
  <c r="AH498" i="1"/>
  <c r="AL498" i="1"/>
  <c r="AP498" i="1"/>
  <c r="AT498" i="1"/>
  <c r="AX498" i="1"/>
  <c r="BB498" i="1"/>
  <c r="BF498" i="1"/>
  <c r="BJ498" i="1"/>
  <c r="BN498" i="1"/>
  <c r="BR498" i="1"/>
  <c r="BV498" i="1"/>
  <c r="BZ498" i="1"/>
  <c r="CD498" i="1"/>
  <c r="CH498" i="1"/>
  <c r="CL498" i="1"/>
  <c r="CP498" i="1"/>
  <c r="CT498" i="1"/>
  <c r="CX498" i="1"/>
  <c r="DB498" i="1"/>
  <c r="DF498" i="1"/>
  <c r="DJ498" i="1"/>
  <c r="DN498" i="1"/>
  <c r="DR498" i="1"/>
  <c r="DV498" i="1"/>
  <c r="DZ498" i="1"/>
  <c r="ED498" i="1"/>
  <c r="EH498" i="1"/>
  <c r="EL498" i="1"/>
  <c r="EP498" i="1"/>
  <c r="AB500" i="1"/>
  <c r="AF500" i="1"/>
  <c r="AJ500" i="1"/>
  <c r="AN500" i="1"/>
  <c r="AR500" i="1"/>
  <c r="AV500" i="1"/>
  <c r="AZ500" i="1"/>
  <c r="BD500" i="1"/>
  <c r="BH500" i="1"/>
  <c r="BL500" i="1"/>
  <c r="BP500" i="1"/>
  <c r="BT500" i="1"/>
  <c r="BX500" i="1"/>
  <c r="CB500" i="1"/>
  <c r="CF500" i="1"/>
  <c r="CJ500" i="1"/>
  <c r="CN500" i="1"/>
  <c r="CR500" i="1"/>
  <c r="CV500" i="1"/>
  <c r="CZ500" i="1"/>
  <c r="DD500" i="1"/>
  <c r="DH500" i="1"/>
  <c r="DL500" i="1"/>
  <c r="DP500" i="1"/>
  <c r="DT500" i="1"/>
  <c r="DX500" i="1"/>
  <c r="EB500" i="1"/>
  <c r="EF500" i="1"/>
  <c r="EJ500" i="1"/>
  <c r="EN500" i="1"/>
  <c r="AA501" i="1"/>
  <c r="AB501" i="1" s="1"/>
  <c r="T502" i="1"/>
  <c r="X502" i="1"/>
  <c r="AB505" i="1"/>
  <c r="AF505" i="1"/>
  <c r="AJ505" i="1"/>
  <c r="AN505" i="1"/>
  <c r="AR505" i="1"/>
  <c r="AV505" i="1"/>
  <c r="AZ505" i="1"/>
  <c r="BD505" i="1"/>
  <c r="CH505" i="1"/>
  <c r="CG511" i="1"/>
  <c r="CX505" i="1"/>
  <c r="DJ505" i="1"/>
  <c r="DZ505" i="1"/>
  <c r="EP505" i="1"/>
  <c r="AP507" i="1"/>
  <c r="EJ507" i="1"/>
  <c r="ED508" i="1"/>
  <c r="AR508" i="1"/>
  <c r="BB534" i="1"/>
  <c r="FT542" i="1"/>
  <c r="FU537" i="1"/>
  <c r="FX542" i="1"/>
  <c r="FY537" i="1"/>
  <c r="GB542" i="1"/>
  <c r="GC537" i="1"/>
  <c r="GF542" i="1"/>
  <c r="GG537" i="1"/>
  <c r="GJ542" i="1"/>
  <c r="GK537" i="1"/>
  <c r="GO402" i="1"/>
  <c r="DD405" i="1"/>
  <c r="DH405" i="1"/>
  <c r="DL405" i="1"/>
  <c r="DP405" i="1"/>
  <c r="DT405" i="1"/>
  <c r="DX405" i="1"/>
  <c r="EB405" i="1"/>
  <c r="EF405" i="1"/>
  <c r="EJ405" i="1"/>
  <c r="EN405" i="1"/>
  <c r="FM411" i="1"/>
  <c r="FQ411" i="1"/>
  <c r="FU411" i="1"/>
  <c r="FY411" i="1"/>
  <c r="GC411" i="1"/>
  <c r="GG411" i="1"/>
  <c r="GK411" i="1"/>
  <c r="GO411" i="1"/>
  <c r="ET415" i="1"/>
  <c r="EG542" i="1"/>
  <c r="EP537" i="1"/>
  <c r="EH537" i="1"/>
  <c r="GL537" i="1"/>
  <c r="EK425" i="1"/>
  <c r="FK427" i="1"/>
  <c r="FO427" i="1"/>
  <c r="GG427" i="1"/>
  <c r="CT425" i="1"/>
  <c r="DB425" i="1"/>
  <c r="FJ801" i="1"/>
  <c r="FN801" i="1"/>
  <c r="FR801" i="1"/>
  <c r="FV801" i="1"/>
  <c r="BI800" i="1"/>
  <c r="BM800" i="1"/>
  <c r="BQ800" i="1"/>
  <c r="BU800" i="1"/>
  <c r="FE443" i="1"/>
  <c r="BP508" i="1"/>
  <c r="BH508" i="1"/>
  <c r="FN447" i="1"/>
  <c r="FN508" i="1" s="1"/>
  <c r="FO508" i="1" s="1"/>
  <c r="AJ447" i="1"/>
  <c r="AN447" i="1"/>
  <c r="AR447" i="1"/>
  <c r="AV447" i="1"/>
  <c r="AZ447" i="1"/>
  <c r="BD447" i="1"/>
  <c r="BH447" i="1"/>
  <c r="BL447" i="1"/>
  <c r="BP447" i="1"/>
  <c r="BT447" i="1"/>
  <c r="AI449" i="1"/>
  <c r="AJ449" i="1" s="1"/>
  <c r="AM449" i="1"/>
  <c r="AN449" i="1" s="1"/>
  <c r="AQ449" i="1"/>
  <c r="AU449" i="1"/>
  <c r="BG449" i="1"/>
  <c r="BK449" i="1"/>
  <c r="I451" i="1"/>
  <c r="FF451" i="1"/>
  <c r="FG451" i="1" s="1"/>
  <c r="BM453" i="1"/>
  <c r="BQ453" i="1"/>
  <c r="BU453" i="1"/>
  <c r="FF453" i="1"/>
  <c r="FJ453" i="1"/>
  <c r="FV453" i="1"/>
  <c r="BP534" i="1"/>
  <c r="BH534" i="1"/>
  <c r="FK480" i="1"/>
  <c r="FO480" i="1"/>
  <c r="FS480" i="1"/>
  <c r="BG487" i="1"/>
  <c r="BH487" i="1" s="1"/>
  <c r="BK487" i="1"/>
  <c r="BL487" i="1" s="1"/>
  <c r="BO487" i="1"/>
  <c r="BP487" i="1" s="1"/>
  <c r="BS487" i="1"/>
  <c r="BW487" i="1"/>
  <c r="CA487" i="1"/>
  <c r="CB487" i="1" s="1"/>
  <c r="CE487" i="1"/>
  <c r="CF487" i="1" s="1"/>
  <c r="CI487" i="1"/>
  <c r="CM487" i="1"/>
  <c r="CQ487" i="1"/>
  <c r="CR487" i="1" s="1"/>
  <c r="CU487" i="1"/>
  <c r="CV487" i="1" s="1"/>
  <c r="CY487" i="1"/>
  <c r="DC487" i="1"/>
  <c r="DG487" i="1"/>
  <c r="DH487" i="1" s="1"/>
  <c r="DK487" i="1"/>
  <c r="DL487" i="1" s="1"/>
  <c r="DO487" i="1"/>
  <c r="DS487" i="1"/>
  <c r="DW487" i="1"/>
  <c r="DX487" i="1" s="1"/>
  <c r="EA487" i="1"/>
  <c r="EB487" i="1" s="1"/>
  <c r="EE487" i="1"/>
  <c r="EI487" i="1"/>
  <c r="EM487" i="1"/>
  <c r="EN487" i="1" s="1"/>
  <c r="BI490" i="1"/>
  <c r="BM490" i="1"/>
  <c r="BQ490" i="1"/>
  <c r="BU490" i="1"/>
  <c r="BY490" i="1"/>
  <c r="CC490" i="1"/>
  <c r="CG490" i="1"/>
  <c r="CK490" i="1"/>
  <c r="CO490" i="1"/>
  <c r="CS490" i="1"/>
  <c r="CW490" i="1"/>
  <c r="DA490" i="1"/>
  <c r="DE490" i="1"/>
  <c r="DI490" i="1"/>
  <c r="DM490" i="1"/>
  <c r="DQ490" i="1"/>
  <c r="DU490" i="1"/>
  <c r="DY490" i="1"/>
  <c r="EC490" i="1"/>
  <c r="EG490" i="1"/>
  <c r="EK490" i="1"/>
  <c r="EO490" i="1"/>
  <c r="BG852" i="1"/>
  <c r="BK852" i="1"/>
  <c r="BO852" i="1"/>
  <c r="BS852" i="1"/>
  <c r="BW852" i="1"/>
  <c r="CA852" i="1"/>
  <c r="CE852" i="1"/>
  <c r="CI852" i="1"/>
  <c r="CM852" i="1"/>
  <c r="CQ852" i="1"/>
  <c r="CU852" i="1"/>
  <c r="CY852" i="1"/>
  <c r="DC852" i="1"/>
  <c r="DG852" i="1"/>
  <c r="DK852" i="1"/>
  <c r="DO852" i="1"/>
  <c r="DS852" i="1"/>
  <c r="DW852" i="1"/>
  <c r="EA852" i="1"/>
  <c r="EE852" i="1"/>
  <c r="EI852" i="1"/>
  <c r="EM852" i="1"/>
  <c r="EF501" i="1"/>
  <c r="BI502" i="1"/>
  <c r="BM502" i="1"/>
  <c r="BQ502" i="1"/>
  <c r="BU502" i="1"/>
  <c r="BY502" i="1"/>
  <c r="CC502" i="1"/>
  <c r="CG502" i="1"/>
  <c r="CK502" i="1"/>
  <c r="CO502" i="1"/>
  <c r="CS502" i="1"/>
  <c r="CW502" i="1"/>
  <c r="DA502" i="1"/>
  <c r="DE502" i="1"/>
  <c r="DI502" i="1"/>
  <c r="DM502" i="1"/>
  <c r="DQ502" i="1"/>
  <c r="DU502" i="1"/>
  <c r="DY502" i="1"/>
  <c r="EC502" i="1"/>
  <c r="EG502" i="1"/>
  <c r="EK502" i="1"/>
  <c r="EO502" i="1"/>
  <c r="AC511" i="1"/>
  <c r="AD511" i="1" s="1"/>
  <c r="AG511" i="1"/>
  <c r="AH511" i="1" s="1"/>
  <c r="AK511" i="1"/>
  <c r="AL511" i="1" s="1"/>
  <c r="AO511" i="1"/>
  <c r="AS511" i="1"/>
  <c r="AW511" i="1"/>
  <c r="AX511" i="1" s="1"/>
  <c r="BI511" i="1"/>
  <c r="BM511" i="1"/>
  <c r="BQ511" i="1"/>
  <c r="BU511" i="1"/>
  <c r="BV511" i="1" s="1"/>
  <c r="BY511" i="1"/>
  <c r="BZ511" i="1" s="1"/>
  <c r="CD505" i="1"/>
  <c r="CC511" i="1"/>
  <c r="CI511" i="1"/>
  <c r="CJ511" i="1" s="1"/>
  <c r="CT505" i="1"/>
  <c r="DV505" i="1"/>
  <c r="EL505" i="1"/>
  <c r="AL507" i="1"/>
  <c r="EF507" i="1"/>
  <c r="DZ508" i="1"/>
  <c r="EP508" i="1"/>
  <c r="AV508" i="1"/>
  <c r="BF534" i="1"/>
  <c r="GZ534" i="1"/>
  <c r="FL542" i="1"/>
  <c r="FP542" i="1"/>
  <c r="FQ537" i="1"/>
  <c r="ES802" i="1"/>
  <c r="ES763" i="1"/>
  <c r="ES551" i="1"/>
  <c r="CF545" i="1"/>
  <c r="CJ545" i="1"/>
  <c r="CP545" i="1"/>
  <c r="CU848" i="1"/>
  <c r="DF545" i="1"/>
  <c r="ER545" i="1"/>
  <c r="FE545" i="1"/>
  <c r="FI545" i="1"/>
  <c r="FY545" i="1"/>
  <c r="GC545" i="1"/>
  <c r="GG545" i="1"/>
  <c r="GK545" i="1"/>
  <c r="GO545" i="1"/>
  <c r="DV563" i="1"/>
  <c r="ET563" i="1"/>
  <c r="GF563" i="1"/>
  <c r="AZ575" i="1"/>
  <c r="AY577" i="1"/>
  <c r="AZ577" i="1" s="1"/>
  <c r="FJ586" i="1"/>
  <c r="FK586" i="1" s="1"/>
  <c r="FJ575" i="1"/>
  <c r="FR586" i="1"/>
  <c r="FS586" i="1" s="1"/>
  <c r="FR575" i="1"/>
  <c r="FZ586" i="1"/>
  <c r="FZ575" i="1"/>
  <c r="GH586" i="1"/>
  <c r="GH575" i="1"/>
  <c r="GL586" i="1"/>
  <c r="GL575" i="1"/>
  <c r="GM572" i="1"/>
  <c r="V577" i="1"/>
  <c r="BL577" i="1"/>
  <c r="CJ577" i="1"/>
  <c r="FK581" i="1"/>
  <c r="FS581" i="1"/>
  <c r="GA581" i="1"/>
  <c r="GI581" i="1"/>
  <c r="GK581" i="1"/>
  <c r="GZ529" i="1"/>
  <c r="CG848" i="1"/>
  <c r="CK848" i="1"/>
  <c r="DA848" i="1"/>
  <c r="ES848" i="1"/>
  <c r="FF848" i="1"/>
  <c r="FJ848" i="1"/>
  <c r="FN545" i="1"/>
  <c r="FR545" i="1"/>
  <c r="FV848" i="1"/>
  <c r="FZ848" i="1"/>
  <c r="GD848" i="1"/>
  <c r="GH848" i="1"/>
  <c r="GL848" i="1"/>
  <c r="GN563" i="1"/>
  <c r="BI577" i="1"/>
  <c r="BY577" i="1"/>
  <c r="BZ575" i="1"/>
  <c r="CG577" i="1"/>
  <c r="CH575" i="1"/>
  <c r="CO577" i="1"/>
  <c r="CP577" i="1" s="1"/>
  <c r="CP575" i="1"/>
  <c r="CW577" i="1"/>
  <c r="CX575" i="1"/>
  <c r="DE577" i="1"/>
  <c r="DF577" i="1" s="1"/>
  <c r="DF575" i="1"/>
  <c r="DM577" i="1"/>
  <c r="DN575" i="1"/>
  <c r="DU577" i="1"/>
  <c r="DV577" i="1" s="1"/>
  <c r="DV575" i="1"/>
  <c r="EC577" i="1"/>
  <c r="ED575" i="1"/>
  <c r="EK577" i="1"/>
  <c r="EL577" i="1" s="1"/>
  <c r="EL575" i="1"/>
  <c r="ES576" i="1"/>
  <c r="ET576" i="1" s="1"/>
  <c r="ET575" i="1"/>
  <c r="GQ572" i="1"/>
  <c r="ET574" i="1"/>
  <c r="EU574" i="1"/>
  <c r="S577" i="1"/>
  <c r="Y577" i="1"/>
  <c r="Z577" i="1" s="1"/>
  <c r="Z575" i="1"/>
  <c r="CF529" i="1"/>
  <c r="CJ529" i="1"/>
  <c r="CN529" i="1"/>
  <c r="CR529" i="1"/>
  <c r="CV529" i="1"/>
  <c r="CZ529" i="1"/>
  <c r="DD529" i="1"/>
  <c r="DH529" i="1"/>
  <c r="DL529" i="1"/>
  <c r="DP529" i="1"/>
  <c r="DT529" i="1"/>
  <c r="DX529" i="1"/>
  <c r="EB529" i="1"/>
  <c r="EF529" i="1"/>
  <c r="EJ529" i="1"/>
  <c r="EN529" i="1"/>
  <c r="ER529" i="1"/>
  <c r="EV529" i="1"/>
  <c r="ER531" i="1"/>
  <c r="EV531" i="1"/>
  <c r="GC529" i="1"/>
  <c r="GG529" i="1"/>
  <c r="GK529" i="1"/>
  <c r="GO529" i="1"/>
  <c r="GS529" i="1"/>
  <c r="GW529" i="1"/>
  <c r="EU538" i="1"/>
  <c r="FO537" i="1"/>
  <c r="FS537" i="1"/>
  <c r="FW537" i="1"/>
  <c r="GA537" i="1"/>
  <c r="GE537" i="1"/>
  <c r="GI537" i="1"/>
  <c r="CH545" i="1"/>
  <c r="CL545" i="1"/>
  <c r="CS848" i="1"/>
  <c r="CW848" i="1"/>
  <c r="DB545" i="1"/>
  <c r="DJ545" i="1"/>
  <c r="ET545" i="1"/>
  <c r="FG545" i="1"/>
  <c r="FK545" i="1"/>
  <c r="FW545" i="1"/>
  <c r="GA545" i="1"/>
  <c r="GE545" i="1"/>
  <c r="GI545" i="1"/>
  <c r="GM545" i="1"/>
  <c r="FU550" i="1"/>
  <c r="GE550" i="1"/>
  <c r="GK550" i="1"/>
  <c r="GL563" i="1"/>
  <c r="BT586" i="1"/>
  <c r="FN586" i="1"/>
  <c r="FN575" i="1"/>
  <c r="GD586" i="1"/>
  <c r="GD575" i="1"/>
  <c r="GE570" i="1"/>
  <c r="AD577" i="1"/>
  <c r="Q577" i="1"/>
  <c r="R577" i="1" s="1"/>
  <c r="R575" i="1"/>
  <c r="CP534" i="1"/>
  <c r="CE848" i="1"/>
  <c r="CI848" i="1"/>
  <c r="CN545" i="1"/>
  <c r="CT545" i="1"/>
  <c r="EQ848" i="1"/>
  <c r="EU545" i="1"/>
  <c r="FD848" i="1"/>
  <c r="FH848" i="1"/>
  <c r="FL545" i="1"/>
  <c r="FP545" i="1"/>
  <c r="FT848" i="1"/>
  <c r="FX848" i="1"/>
  <c r="GB848" i="1"/>
  <c r="GF848" i="1"/>
  <c r="GJ848" i="1"/>
  <c r="GN848" i="1"/>
  <c r="GA550" i="1"/>
  <c r="GG550" i="1"/>
  <c r="EH563" i="1"/>
  <c r="EX563" i="1"/>
  <c r="AK577" i="1"/>
  <c r="AL577" i="1" s="1"/>
  <c r="AL575" i="1"/>
  <c r="EO577" i="1"/>
  <c r="EP575" i="1"/>
  <c r="W575" i="1"/>
  <c r="GZ571" i="1"/>
  <c r="C571" i="1"/>
  <c r="L571" i="1" s="1"/>
  <c r="BM575" i="1"/>
  <c r="BQ575" i="1"/>
  <c r="BU575" i="1"/>
  <c r="GS572" i="1"/>
  <c r="AM575" i="1"/>
  <c r="AS575" i="1"/>
  <c r="BA575" i="1"/>
  <c r="BJ575" i="1" s="1"/>
  <c r="AF575" i="1"/>
  <c r="AL570" i="1"/>
  <c r="AL574" i="1"/>
  <c r="AT570" i="1"/>
  <c r="BB570" i="1"/>
  <c r="BD575" i="1"/>
  <c r="BJ570" i="1"/>
  <c r="BL575" i="1"/>
  <c r="BP576" i="1"/>
  <c r="CB570" i="1"/>
  <c r="CJ570" i="1"/>
  <c r="CR570" i="1"/>
  <c r="CZ570" i="1"/>
  <c r="DH570" i="1"/>
  <c r="DP570" i="1"/>
  <c r="DX570" i="1"/>
  <c r="EF570" i="1"/>
  <c r="EJ572" i="1"/>
  <c r="EN570" i="1"/>
  <c r="C576" i="1"/>
  <c r="L576" i="1" s="1"/>
  <c r="AK586" i="1"/>
  <c r="AL586" i="1" s="1"/>
  <c r="AO586" i="1"/>
  <c r="AP586" i="1" s="1"/>
  <c r="AS586" i="1"/>
  <c r="AW586" i="1"/>
  <c r="AX586" i="1" s="1"/>
  <c r="BA586" i="1"/>
  <c r="BB586" i="1" s="1"/>
  <c r="BE586" i="1"/>
  <c r="BI586" i="1"/>
  <c r="BM586" i="1"/>
  <c r="BN586" i="1" s="1"/>
  <c r="BQ586" i="1"/>
  <c r="BR586" i="1" s="1"/>
  <c r="BU586" i="1"/>
  <c r="BY586" i="1"/>
  <c r="CC586" i="1"/>
  <c r="CD586" i="1" s="1"/>
  <c r="CG586" i="1"/>
  <c r="CH586" i="1" s="1"/>
  <c r="CK586" i="1"/>
  <c r="CO586" i="1"/>
  <c r="CS586" i="1"/>
  <c r="CT586" i="1" s="1"/>
  <c r="CW586" i="1"/>
  <c r="CX586" i="1" s="1"/>
  <c r="DA586" i="1"/>
  <c r="DE586" i="1"/>
  <c r="DI586" i="1"/>
  <c r="DJ586" i="1" s="1"/>
  <c r="DM586" i="1"/>
  <c r="DN586" i="1" s="1"/>
  <c r="DQ586" i="1"/>
  <c r="DU586" i="1"/>
  <c r="DY586" i="1"/>
  <c r="DZ586" i="1" s="1"/>
  <c r="EC586" i="1"/>
  <c r="ED586" i="1" s="1"/>
  <c r="EI586" i="1"/>
  <c r="FS613" i="1"/>
  <c r="GI613" i="1"/>
  <c r="FI613" i="1"/>
  <c r="FD570" i="1"/>
  <c r="FH570" i="1"/>
  <c r="FL570" i="1"/>
  <c r="FP570" i="1"/>
  <c r="FS570" i="1" s="1"/>
  <c r="FT570" i="1"/>
  <c r="FX570" i="1"/>
  <c r="GB570" i="1"/>
  <c r="GF570" i="1"/>
  <c r="GI570" i="1" s="1"/>
  <c r="GJ570" i="1"/>
  <c r="GM570" i="1" s="1"/>
  <c r="GN570" i="1"/>
  <c r="C572" i="1"/>
  <c r="L572" i="1" s="1"/>
  <c r="BP570" i="1"/>
  <c r="ER570" i="1"/>
  <c r="EQ575" i="1"/>
  <c r="GS573" i="1"/>
  <c r="AO575" i="1"/>
  <c r="BG575" i="1"/>
  <c r="CE575" i="1"/>
  <c r="CM575" i="1"/>
  <c r="CQ575" i="1"/>
  <c r="CU575" i="1"/>
  <c r="CY575" i="1"/>
  <c r="DC575" i="1"/>
  <c r="DG575" i="1"/>
  <c r="DK575" i="1"/>
  <c r="DO575" i="1"/>
  <c r="DS575" i="1"/>
  <c r="DW575" i="1"/>
  <c r="EA575" i="1"/>
  <c r="EE575" i="1"/>
  <c r="EI575" i="1"/>
  <c r="EM575" i="1"/>
  <c r="N575" i="1"/>
  <c r="V575" i="1"/>
  <c r="AD575" i="1"/>
  <c r="AZ570" i="1"/>
  <c r="BH570" i="1"/>
  <c r="BZ570" i="1"/>
  <c r="CH570" i="1"/>
  <c r="CJ575" i="1"/>
  <c r="CP570" i="1"/>
  <c r="CX570" i="1"/>
  <c r="DF570" i="1"/>
  <c r="DN570" i="1"/>
  <c r="DV570" i="1"/>
  <c r="ED570" i="1"/>
  <c r="EL570" i="1"/>
  <c r="AA577" i="1"/>
  <c r="AB577" i="1" s="1"/>
  <c r="AI577" i="1"/>
  <c r="AQ577" i="1"/>
  <c r="AR577" i="1" s="1"/>
  <c r="FD581" i="1"/>
  <c r="FE581" i="1" s="1"/>
  <c r="FL581" i="1"/>
  <c r="FM581" i="1" s="1"/>
  <c r="FT581" i="1"/>
  <c r="FU581" i="1" s="1"/>
  <c r="GB581" i="1"/>
  <c r="GC581" i="1" s="1"/>
  <c r="EE586" i="1"/>
  <c r="EF586" i="1" s="1"/>
  <c r="EO586" i="1"/>
  <c r="EX586" i="1" s="1"/>
  <c r="FO613" i="1"/>
  <c r="GE613" i="1"/>
  <c r="FK622" i="1"/>
  <c r="FJ617" i="1"/>
  <c r="GQ571" i="1"/>
  <c r="FG573" i="1"/>
  <c r="BO575" i="1"/>
  <c r="BS575" i="1"/>
  <c r="BW575" i="1"/>
  <c r="AW575" i="1"/>
  <c r="P573" i="1"/>
  <c r="O575" i="1" s="1"/>
  <c r="AP570" i="1"/>
  <c r="BF570" i="1"/>
  <c r="BR576" i="1"/>
  <c r="BX570" i="1"/>
  <c r="CF570" i="1"/>
  <c r="CN570" i="1"/>
  <c r="CV570" i="1"/>
  <c r="DD570" i="1"/>
  <c r="DL570" i="1"/>
  <c r="DT570" i="1"/>
  <c r="DX572" i="1"/>
  <c r="EB570" i="1"/>
  <c r="EN572" i="1"/>
  <c r="AU586" i="1"/>
  <c r="AV586" i="1" s="1"/>
  <c r="AY586" i="1"/>
  <c r="AZ586" i="1" s="1"/>
  <c r="BC586" i="1"/>
  <c r="BD586" i="1" s="1"/>
  <c r="BK586" i="1"/>
  <c r="BO586" i="1"/>
  <c r="BP586" i="1" s="1"/>
  <c r="CA586" i="1"/>
  <c r="CB586" i="1" s="1"/>
  <c r="CE586" i="1"/>
  <c r="CF586" i="1" s="1"/>
  <c r="CQ586" i="1"/>
  <c r="CR586" i="1" s="1"/>
  <c r="CU586" i="1"/>
  <c r="CV586" i="1" s="1"/>
  <c r="CY586" i="1"/>
  <c r="CZ586" i="1" s="1"/>
  <c r="DC586" i="1"/>
  <c r="DD586" i="1" s="1"/>
  <c r="DG586" i="1"/>
  <c r="DK586" i="1"/>
  <c r="DO586" i="1"/>
  <c r="DP586" i="1" s="1"/>
  <c r="DS586" i="1"/>
  <c r="DT586" i="1" s="1"/>
  <c r="DW586" i="1"/>
  <c r="EA586" i="1"/>
  <c r="EK586" i="1"/>
  <c r="FK613" i="1"/>
  <c r="GA613" i="1"/>
  <c r="CH550" i="1"/>
  <c r="CL550" i="1"/>
  <c r="FF570" i="1"/>
  <c r="FV570" i="1"/>
  <c r="GN572" i="1"/>
  <c r="EP572" i="1"/>
  <c r="ET572" i="1"/>
  <c r="BE575" i="1"/>
  <c r="CC575" i="1"/>
  <c r="CK575" i="1"/>
  <c r="CS575" i="1"/>
  <c r="DA575" i="1"/>
  <c r="DI575" i="1"/>
  <c r="DQ575" i="1"/>
  <c r="DY575" i="1"/>
  <c r="EG575" i="1"/>
  <c r="AH575" i="1"/>
  <c r="AN574" i="1"/>
  <c r="AV570" i="1"/>
  <c r="BL570" i="1"/>
  <c r="CL570" i="1"/>
  <c r="DB570" i="1"/>
  <c r="DR570" i="1"/>
  <c r="EH570" i="1"/>
  <c r="BN581" i="1"/>
  <c r="EG586" i="1"/>
  <c r="EH586" i="1" s="1"/>
  <c r="EM586" i="1"/>
  <c r="EN586" i="1" s="1"/>
  <c r="FW613" i="1"/>
  <c r="CN616" i="1"/>
  <c r="CV616" i="1"/>
  <c r="DD616" i="1"/>
  <c r="DL616" i="1"/>
  <c r="DT616" i="1"/>
  <c r="EB616" i="1"/>
  <c r="EJ616" i="1"/>
  <c r="DB617" i="1"/>
  <c r="DJ617" i="1"/>
  <c r="DR617" i="1"/>
  <c r="DZ617" i="1"/>
  <c r="EH617" i="1"/>
  <c r="EP617" i="1"/>
  <c r="GD617" i="1"/>
  <c r="GE617" i="1" s="1"/>
  <c r="FK618" i="1"/>
  <c r="FI618" i="1"/>
  <c r="FW617" i="1"/>
  <c r="BP617" i="1"/>
  <c r="BR617" i="1"/>
  <c r="CJ617" i="1"/>
  <c r="GA622" i="1"/>
  <c r="FZ617" i="1"/>
  <c r="GA617" i="1" s="1"/>
  <c r="FO622" i="1"/>
  <c r="FQ622" i="1"/>
  <c r="FP617" i="1"/>
  <c r="FQ617" i="1" s="1"/>
  <c r="EQ621" i="1"/>
  <c r="ES622" i="1"/>
  <c r="ER622" i="1"/>
  <c r="EQ617" i="1"/>
  <c r="GL634" i="1"/>
  <c r="FF723" i="1"/>
  <c r="FG723" i="1" s="1"/>
  <c r="FI637" i="1"/>
  <c r="FD637" i="1"/>
  <c r="FG637" i="1" s="1"/>
  <c r="V658" i="1"/>
  <c r="Z658" i="1"/>
  <c r="AD658" i="1"/>
  <c r="AL658" i="1"/>
  <c r="AT658" i="1"/>
  <c r="BB658" i="1"/>
  <c r="BJ658" i="1"/>
  <c r="BR658" i="1"/>
  <c r="BZ658" i="1"/>
  <c r="CH658" i="1"/>
  <c r="CP658" i="1"/>
  <c r="CX658" i="1"/>
  <c r="DF658" i="1"/>
  <c r="DN658" i="1"/>
  <c r="DV658" i="1"/>
  <c r="ED658" i="1"/>
  <c r="EL658" i="1"/>
  <c r="AR662" i="1"/>
  <c r="DW613" i="1"/>
  <c r="CX616" i="1"/>
  <c r="DF616" i="1"/>
  <c r="DN616" i="1"/>
  <c r="DV616" i="1"/>
  <c r="ED616" i="1"/>
  <c r="EK632" i="1"/>
  <c r="EL616" i="1"/>
  <c r="FI616" i="1"/>
  <c r="GC617" i="1"/>
  <c r="GG617" i="1"/>
  <c r="GH617" i="1"/>
  <c r="GI617" i="1" s="1"/>
  <c r="EN621" i="1"/>
  <c r="FY622" i="1"/>
  <c r="FW622" i="1"/>
  <c r="FU622" i="1"/>
  <c r="EO634" i="1"/>
  <c r="EN634" i="1"/>
  <c r="FK636" i="1"/>
  <c r="FF636" i="1"/>
  <c r="FI636" i="1" s="1"/>
  <c r="GO636" i="1"/>
  <c r="GN634" i="1"/>
  <c r="GO634" i="1" s="1"/>
  <c r="GA654" i="1"/>
  <c r="GC654" i="1"/>
  <c r="DX611" i="1"/>
  <c r="EF611" i="1"/>
  <c r="FG611" i="1"/>
  <c r="FK611" i="1"/>
  <c r="FO611" i="1"/>
  <c r="FS611" i="1"/>
  <c r="FW611" i="1"/>
  <c r="GA611" i="1"/>
  <c r="GE611" i="1"/>
  <c r="GI611" i="1"/>
  <c r="FM613" i="1"/>
  <c r="FQ613" i="1"/>
  <c r="FU613" i="1"/>
  <c r="FY613" i="1"/>
  <c r="GC613" i="1"/>
  <c r="GG613" i="1"/>
  <c r="CZ616" i="1"/>
  <c r="DH616" i="1"/>
  <c r="DP616" i="1"/>
  <c r="DX616" i="1"/>
  <c r="EF616" i="1"/>
  <c r="CX617" i="1"/>
  <c r="DF617" i="1"/>
  <c r="DN617" i="1"/>
  <c r="DV617" i="1"/>
  <c r="ED617" i="1"/>
  <c r="EL617" i="1"/>
  <c r="GL617" i="1"/>
  <c r="GM617" i="1" s="1"/>
  <c r="EL619" i="1"/>
  <c r="EM619" i="1"/>
  <c r="FK621" i="1"/>
  <c r="GC634" i="1"/>
  <c r="GN765" i="1"/>
  <c r="GO637" i="1"/>
  <c r="T658" i="1"/>
  <c r="X658" i="1"/>
  <c r="AB658" i="1"/>
  <c r="AJ658" i="1"/>
  <c r="AR658" i="1"/>
  <c r="AZ658" i="1"/>
  <c r="BH658" i="1"/>
  <c r="BP658" i="1"/>
  <c r="BX658" i="1"/>
  <c r="CF658" i="1"/>
  <c r="CN658" i="1"/>
  <c r="CV658" i="1"/>
  <c r="DD658" i="1"/>
  <c r="DL658" i="1"/>
  <c r="DT658" i="1"/>
  <c r="EB658" i="1"/>
  <c r="EJ658" i="1"/>
  <c r="ET665" i="1"/>
  <c r="EU665" i="1"/>
  <c r="EU611" i="1"/>
  <c r="GJ611" i="1"/>
  <c r="GM611" i="1" s="1"/>
  <c r="CS616" i="1"/>
  <c r="CT616" i="1" s="1"/>
  <c r="DA616" i="1"/>
  <c r="DB616" i="1" s="1"/>
  <c r="DI616" i="1"/>
  <c r="DJ616" i="1" s="1"/>
  <c r="DQ616" i="1"/>
  <c r="DY616" i="1"/>
  <c r="DZ616" i="1" s="1"/>
  <c r="EG616" i="1"/>
  <c r="EH616" i="1" s="1"/>
  <c r="FR617" i="1"/>
  <c r="FS617" i="1" s="1"/>
  <c r="GL621" i="1"/>
  <c r="BD622" i="1"/>
  <c r="BL622" i="1"/>
  <c r="CB622" i="1"/>
  <c r="BT622" i="1"/>
  <c r="BS617" i="1"/>
  <c r="BT617" i="1" s="1"/>
  <c r="FM621" i="1"/>
  <c r="EU652" i="1"/>
  <c r="ET652" i="1"/>
  <c r="EV653" i="1"/>
  <c r="EW653" i="1"/>
  <c r="GN617" i="1"/>
  <c r="Q619" i="1"/>
  <c r="GJ621" i="1"/>
  <c r="GK621" i="1" s="1"/>
  <c r="GN621" i="1"/>
  <c r="GO621" i="1" s="1"/>
  <c r="FL622" i="1"/>
  <c r="FI623" i="1"/>
  <c r="EB621" i="1"/>
  <c r="EH621" i="1"/>
  <c r="GM624" i="1"/>
  <c r="GQ624" i="1"/>
  <c r="GS624" i="1"/>
  <c r="EM765" i="1"/>
  <c r="EM723" i="1"/>
  <c r="EN723" i="1" s="1"/>
  <c r="CT654" i="1"/>
  <c r="FT658" i="1"/>
  <c r="GJ658" i="1"/>
  <c r="GK658" i="1" s="1"/>
  <c r="AI660" i="1"/>
  <c r="AY660" i="1"/>
  <c r="BO660" i="1"/>
  <c r="CE660" i="1"/>
  <c r="CF660" i="1" s="1"/>
  <c r="CW662" i="1"/>
  <c r="CW660" i="1"/>
  <c r="DM662" i="1"/>
  <c r="DM660" i="1"/>
  <c r="EC662" i="1"/>
  <c r="EC660" i="1"/>
  <c r="AC662" i="1"/>
  <c r="AC660" i="1"/>
  <c r="AS662" i="1"/>
  <c r="AS660" i="1"/>
  <c r="BI662" i="1"/>
  <c r="BI660" i="1"/>
  <c r="BJ660" i="1" s="1"/>
  <c r="BY662" i="1"/>
  <c r="BY660" i="1"/>
  <c r="AI662" i="1"/>
  <c r="AY662" i="1"/>
  <c r="AZ662" i="1" s="1"/>
  <c r="BO662" i="1"/>
  <c r="BP662" i="1" s="1"/>
  <c r="FJ718" i="1"/>
  <c r="FJ719" i="1"/>
  <c r="FJ720" i="1"/>
  <c r="FJ717" i="1"/>
  <c r="FK666" i="1"/>
  <c r="FJ667" i="1"/>
  <c r="GM666" i="1"/>
  <c r="GL667" i="1"/>
  <c r="BV669" i="1"/>
  <c r="BU670" i="1"/>
  <c r="Z669" i="1"/>
  <c r="Y670" i="1"/>
  <c r="AP669" i="1"/>
  <c r="AO670" i="1"/>
  <c r="BF669" i="1"/>
  <c r="BE670" i="1"/>
  <c r="CD667" i="1"/>
  <c r="CL667" i="1"/>
  <c r="CX669" i="1"/>
  <c r="CW670" i="1"/>
  <c r="DN669" i="1"/>
  <c r="DM670" i="1"/>
  <c r="DN670" i="1" s="1"/>
  <c r="ED669" i="1"/>
  <c r="EC670" i="1"/>
  <c r="Y708" i="1"/>
  <c r="FJ684" i="1"/>
  <c r="Z684" i="1"/>
  <c r="Y685" i="1"/>
  <c r="AO708" i="1"/>
  <c r="FN684" i="1"/>
  <c r="AP684" i="1"/>
  <c r="AO685" i="1"/>
  <c r="BE708" i="1"/>
  <c r="FR684" i="1"/>
  <c r="BF684" i="1"/>
  <c r="BE685" i="1"/>
  <c r="BU708" i="1"/>
  <c r="FV684" i="1"/>
  <c r="BV684" i="1"/>
  <c r="BU685" i="1"/>
  <c r="P636" i="1"/>
  <c r="CK658" i="1"/>
  <c r="CL658" i="1" s="1"/>
  <c r="FP658" i="1"/>
  <c r="GF658" i="1"/>
  <c r="CJ660" i="1"/>
  <c r="CS662" i="1"/>
  <c r="CS660" i="1"/>
  <c r="DI662" i="1"/>
  <c r="DI660" i="1"/>
  <c r="DJ660" i="1" s="1"/>
  <c r="DY662" i="1"/>
  <c r="DY660" i="1"/>
  <c r="EX661" i="1"/>
  <c r="EO662" i="1"/>
  <c r="EO660" i="1"/>
  <c r="AO662" i="1"/>
  <c r="AO660" i="1"/>
  <c r="AP660" i="1" s="1"/>
  <c r="BE662" i="1"/>
  <c r="BE660" i="1"/>
  <c r="BU662" i="1"/>
  <c r="BU660" i="1"/>
  <c r="ER661" i="1"/>
  <c r="FV718" i="1"/>
  <c r="FV719" i="1"/>
  <c r="FV720" i="1"/>
  <c r="FV717" i="1"/>
  <c r="FW666" i="1"/>
  <c r="FV667" i="1"/>
  <c r="GH718" i="1"/>
  <c r="GH719" i="1"/>
  <c r="GH720" i="1"/>
  <c r="GH717" i="1"/>
  <c r="GI666" i="1"/>
  <c r="GH667" i="1"/>
  <c r="BR669" i="1"/>
  <c r="BQ670" i="1"/>
  <c r="CH669" i="1"/>
  <c r="CG670" i="1"/>
  <c r="CH670" i="1" s="1"/>
  <c r="V669" i="1"/>
  <c r="U670" i="1"/>
  <c r="AL669" i="1"/>
  <c r="AK670" i="1"/>
  <c r="AL670" i="1" s="1"/>
  <c r="BB669" i="1"/>
  <c r="BA670" i="1"/>
  <c r="BR667" i="1"/>
  <c r="CH667" i="1"/>
  <c r="CT669" i="1"/>
  <c r="CS670" i="1"/>
  <c r="CT670" i="1" s="1"/>
  <c r="DJ669" i="1"/>
  <c r="DI670" i="1"/>
  <c r="DZ669" i="1"/>
  <c r="DY670" i="1"/>
  <c r="EP669" i="1"/>
  <c r="EO670" i="1"/>
  <c r="AK708" i="1"/>
  <c r="AL684" i="1"/>
  <c r="AK685" i="1"/>
  <c r="BA708" i="1"/>
  <c r="BB684" i="1"/>
  <c r="BA685" i="1"/>
  <c r="BQ708" i="1"/>
  <c r="BR684" i="1"/>
  <c r="BQ685" i="1"/>
  <c r="CW708" i="1"/>
  <c r="CW685" i="1"/>
  <c r="GF684" i="1"/>
  <c r="DI708" i="1"/>
  <c r="DJ684" i="1"/>
  <c r="DI685" i="1"/>
  <c r="DM708" i="1"/>
  <c r="DN708" i="1" s="1"/>
  <c r="DN684" i="1"/>
  <c r="DM685" i="1"/>
  <c r="DV679" i="1"/>
  <c r="GO624" i="1"/>
  <c r="EL634" i="1"/>
  <c r="GA636" i="1"/>
  <c r="GE636" i="1"/>
  <c r="GJ636" i="1"/>
  <c r="EO765" i="1"/>
  <c r="EO723" i="1"/>
  <c r="EP723" i="1" s="1"/>
  <c r="CL654" i="1"/>
  <c r="FH655" i="1"/>
  <c r="FI655" i="1" s="1"/>
  <c r="FL655" i="1"/>
  <c r="FM655" i="1" s="1"/>
  <c r="FP655" i="1"/>
  <c r="FQ655" i="1" s="1"/>
  <c r="FT655" i="1"/>
  <c r="FU655" i="1" s="1"/>
  <c r="FX655" i="1"/>
  <c r="FY655" i="1" s="1"/>
  <c r="GB655" i="1"/>
  <c r="GE655" i="1" s="1"/>
  <c r="GF655" i="1"/>
  <c r="GG655" i="1" s="1"/>
  <c r="GJ655" i="1"/>
  <c r="GK655" i="1" s="1"/>
  <c r="GN655" i="1"/>
  <c r="GO655" i="1" s="1"/>
  <c r="FJ658" i="1"/>
  <c r="FK658" i="1" s="1"/>
  <c r="FN658" i="1"/>
  <c r="FR658" i="1"/>
  <c r="FS658" i="1" s="1"/>
  <c r="FV658" i="1"/>
  <c r="FW658" i="1" s="1"/>
  <c r="FZ656" i="1"/>
  <c r="GD658" i="1"/>
  <c r="GE658" i="1" s="1"/>
  <c r="GH658" i="1"/>
  <c r="GL658" i="1"/>
  <c r="GM658" i="1" s="1"/>
  <c r="CK655" i="1"/>
  <c r="CL655" i="1" s="1"/>
  <c r="ER652" i="1"/>
  <c r="ER656" i="1"/>
  <c r="CL656" i="1"/>
  <c r="CT656" i="1"/>
  <c r="FQ657" i="1"/>
  <c r="GG657" i="1"/>
  <c r="FL658" i="1"/>
  <c r="GB658" i="1"/>
  <c r="AA660" i="1"/>
  <c r="AB660" i="1" s="1"/>
  <c r="AQ660" i="1"/>
  <c r="AR660" i="1" s="1"/>
  <c r="BG660" i="1"/>
  <c r="BH660" i="1" s="1"/>
  <c r="BW660" i="1"/>
  <c r="BX660" i="1" s="1"/>
  <c r="CQ660" i="1"/>
  <c r="DG660" i="1"/>
  <c r="DW660" i="1"/>
  <c r="EM660" i="1"/>
  <c r="CO660" i="1"/>
  <c r="CP660" i="1" s="1"/>
  <c r="CT661" i="1"/>
  <c r="CZ661" i="1"/>
  <c r="DE662" i="1"/>
  <c r="DF662" i="1" s="1"/>
  <c r="DE660" i="1"/>
  <c r="DF660" i="1" s="1"/>
  <c r="DJ661" i="1"/>
  <c r="DP661" i="1"/>
  <c r="DU662" i="1"/>
  <c r="DV662" i="1" s="1"/>
  <c r="DU660" i="1"/>
  <c r="DV660" i="1" s="1"/>
  <c r="DZ661" i="1"/>
  <c r="EF661" i="1"/>
  <c r="EK662" i="1"/>
  <c r="EK660" i="1"/>
  <c r="EP661" i="1"/>
  <c r="U662" i="1"/>
  <c r="V662" i="1" s="1"/>
  <c r="U660" i="1"/>
  <c r="V660" i="1" s="1"/>
  <c r="AK662" i="1"/>
  <c r="AL662" i="1" s="1"/>
  <c r="AK660" i="1"/>
  <c r="AP661" i="1"/>
  <c r="AV661" i="1"/>
  <c r="BA662" i="1"/>
  <c r="BB662" i="1" s="1"/>
  <c r="BA660" i="1"/>
  <c r="BB660" i="1" s="1"/>
  <c r="BF661" i="1"/>
  <c r="BL661" i="1"/>
  <c r="BQ662" i="1"/>
  <c r="BR662" i="1" s="1"/>
  <c r="BQ660" i="1"/>
  <c r="BV661" i="1"/>
  <c r="CB661" i="1"/>
  <c r="AA662" i="1"/>
  <c r="AB662" i="1" s="1"/>
  <c r="DC662" i="1"/>
  <c r="DD662" i="1" s="1"/>
  <c r="DS662" i="1"/>
  <c r="DT662" i="1" s="1"/>
  <c r="EI662" i="1"/>
  <c r="EN662" i="1"/>
  <c r="FY665" i="1"/>
  <c r="GI665" i="1"/>
  <c r="FM666" i="1"/>
  <c r="FR718" i="1"/>
  <c r="FR719" i="1"/>
  <c r="FR720" i="1"/>
  <c r="FR717" i="1"/>
  <c r="FS717" i="1" s="1"/>
  <c r="FS666" i="1"/>
  <c r="FR667" i="1"/>
  <c r="GD718" i="1"/>
  <c r="GD719" i="1"/>
  <c r="GD720" i="1"/>
  <c r="GD717" i="1"/>
  <c r="GE666" i="1"/>
  <c r="GD667" i="1"/>
  <c r="GO666" i="1"/>
  <c r="CD669" i="1"/>
  <c r="CC670" i="1"/>
  <c r="CD670" i="1" s="1"/>
  <c r="R669" i="1"/>
  <c r="Q670" i="1"/>
  <c r="R670" i="1" s="1"/>
  <c r="AH669" i="1"/>
  <c r="AG670" i="1"/>
  <c r="AH670" i="1" s="1"/>
  <c r="AX669" i="1"/>
  <c r="AW670" i="1"/>
  <c r="BN669" i="1"/>
  <c r="BM670" i="1"/>
  <c r="BN670" i="1" s="1"/>
  <c r="BV667" i="1"/>
  <c r="CP669" i="1"/>
  <c r="CO670" i="1"/>
  <c r="CP670" i="1" s="1"/>
  <c r="DF669" i="1"/>
  <c r="DE670" i="1"/>
  <c r="DF670" i="1" s="1"/>
  <c r="DV669" i="1"/>
  <c r="DU670" i="1"/>
  <c r="DV670" i="1" s="1"/>
  <c r="U708" i="1"/>
  <c r="U685" i="1"/>
  <c r="FL684" i="1"/>
  <c r="AG708" i="1"/>
  <c r="AH708" i="1" s="1"/>
  <c r="AH684" i="1"/>
  <c r="AG685" i="1"/>
  <c r="FP684" i="1"/>
  <c r="AW708" i="1"/>
  <c r="AX708" i="1" s="1"/>
  <c r="AX684" i="1"/>
  <c r="AW685" i="1"/>
  <c r="FT684" i="1"/>
  <c r="BM708" i="1"/>
  <c r="BN708" i="1" s="1"/>
  <c r="BN684" i="1"/>
  <c r="BM685" i="1"/>
  <c r="FX684" i="1"/>
  <c r="CC708" i="1"/>
  <c r="CD708" i="1" s="1"/>
  <c r="CD684" i="1"/>
  <c r="CC685" i="1"/>
  <c r="DE708" i="1"/>
  <c r="DF684" i="1"/>
  <c r="DE685" i="1"/>
  <c r="GF636" i="1"/>
  <c r="DV636" i="1"/>
  <c r="DZ636" i="1"/>
  <c r="ES656" i="1"/>
  <c r="AH658" i="1"/>
  <c r="AX658" i="1"/>
  <c r="BN658" i="1"/>
  <c r="CD658" i="1"/>
  <c r="CT658" i="1"/>
  <c r="DJ658" i="1"/>
  <c r="DZ658" i="1"/>
  <c r="EP658" i="1"/>
  <c r="FM657" i="1"/>
  <c r="FW657" i="1"/>
  <c r="GC657" i="1"/>
  <c r="GM657" i="1"/>
  <c r="FH658" i="1"/>
  <c r="FI658" i="1" s="1"/>
  <c r="FX658" i="1"/>
  <c r="FY658" i="1" s="1"/>
  <c r="GN658" i="1"/>
  <c r="GO658" i="1" s="1"/>
  <c r="CM660" i="1"/>
  <c r="CN660" i="1" s="1"/>
  <c r="DC660" i="1"/>
  <c r="DD660" i="1" s="1"/>
  <c r="DS660" i="1"/>
  <c r="DT660" i="1" s="1"/>
  <c r="EI660" i="1"/>
  <c r="CK660" i="1"/>
  <c r="CV661" i="1"/>
  <c r="DA662" i="1"/>
  <c r="DB662" i="1" s="1"/>
  <c r="DA660" i="1"/>
  <c r="DB660" i="1" s="1"/>
  <c r="DL661" i="1"/>
  <c r="DQ662" i="1"/>
  <c r="DR662" i="1" s="1"/>
  <c r="DQ660" i="1"/>
  <c r="DR660" i="1" s="1"/>
  <c r="EB661" i="1"/>
  <c r="EG662" i="1"/>
  <c r="EH662" i="1" s="1"/>
  <c r="EG660" i="1"/>
  <c r="EH660" i="1" s="1"/>
  <c r="AG662" i="1"/>
  <c r="AH662" i="1" s="1"/>
  <c r="AG660" i="1"/>
  <c r="AH660" i="1" s="1"/>
  <c r="AR661" i="1"/>
  <c r="AW662" i="1"/>
  <c r="AX662" i="1" s="1"/>
  <c r="AW660" i="1"/>
  <c r="AX660" i="1" s="1"/>
  <c r="BH661" i="1"/>
  <c r="BM662" i="1"/>
  <c r="BM660" i="1"/>
  <c r="BN660" i="1" s="1"/>
  <c r="BX661" i="1"/>
  <c r="CC662" i="1"/>
  <c r="CD662" i="1" s="1"/>
  <c r="CC660" i="1"/>
  <c r="ES666" i="1"/>
  <c r="EQ667" i="1"/>
  <c r="FO665" i="1"/>
  <c r="FU665" i="1"/>
  <c r="GE665" i="1"/>
  <c r="FN718" i="1"/>
  <c r="FO718" i="1" s="1"/>
  <c r="FN719" i="1"/>
  <c r="FN720" i="1"/>
  <c r="FN717" i="1"/>
  <c r="FO717" i="1" s="1"/>
  <c r="FO666" i="1"/>
  <c r="FN667" i="1"/>
  <c r="FZ718" i="1"/>
  <c r="FZ719" i="1"/>
  <c r="FZ720" i="1"/>
  <c r="FZ717" i="1"/>
  <c r="FZ667" i="1"/>
  <c r="GK666" i="1"/>
  <c r="BZ669" i="1"/>
  <c r="BY670" i="1"/>
  <c r="BZ670" i="1" s="1"/>
  <c r="N669" i="1"/>
  <c r="M670" i="1"/>
  <c r="N670" i="1" s="1"/>
  <c r="AD669" i="1"/>
  <c r="AC670" i="1"/>
  <c r="AD670" i="1" s="1"/>
  <c r="AT669" i="1"/>
  <c r="AS670" i="1"/>
  <c r="AT670" i="1" s="1"/>
  <c r="BJ669" i="1"/>
  <c r="BI670" i="1"/>
  <c r="BJ670" i="1" s="1"/>
  <c r="BZ667" i="1"/>
  <c r="CP667" i="1"/>
  <c r="DB669" i="1"/>
  <c r="DA670" i="1"/>
  <c r="DB670" i="1" s="1"/>
  <c r="DR669" i="1"/>
  <c r="DQ670" i="1"/>
  <c r="DR670" i="1" s="1"/>
  <c r="EH669" i="1"/>
  <c r="EG670" i="1"/>
  <c r="EH670" i="1" s="1"/>
  <c r="O721" i="1"/>
  <c r="P721" i="1" s="1"/>
  <c r="O707" i="1"/>
  <c r="P707" i="1" s="1"/>
  <c r="O705" i="1"/>
  <c r="P705" i="1" s="1"/>
  <c r="O704" i="1"/>
  <c r="P704" i="1" s="1"/>
  <c r="O703" i="1"/>
  <c r="P703" i="1" s="1"/>
  <c r="O702" i="1"/>
  <c r="P702" i="1" s="1"/>
  <c r="O701" i="1"/>
  <c r="P701" i="1" s="1"/>
  <c r="X677" i="1"/>
  <c r="P677" i="1"/>
  <c r="O679" i="1"/>
  <c r="P679" i="1" s="1"/>
  <c r="CG721" i="1"/>
  <c r="CG707" i="1"/>
  <c r="CG705" i="1"/>
  <c r="CH677" i="1"/>
  <c r="CG662" i="1"/>
  <c r="CH662" i="1" s="1"/>
  <c r="CG684" i="1"/>
  <c r="FH684" i="1"/>
  <c r="Q708" i="1"/>
  <c r="Q685" i="1"/>
  <c r="AC708" i="1"/>
  <c r="AD708" i="1" s="1"/>
  <c r="AD684" i="1"/>
  <c r="AC685" i="1"/>
  <c r="AS708" i="1"/>
  <c r="AT708" i="1" s="1"/>
  <c r="AT684" i="1"/>
  <c r="AS685" i="1"/>
  <c r="BI708" i="1"/>
  <c r="BJ708" i="1" s="1"/>
  <c r="BJ684" i="1"/>
  <c r="BI685" i="1"/>
  <c r="BY708" i="1"/>
  <c r="BZ708" i="1" s="1"/>
  <c r="BZ684" i="1"/>
  <c r="BY685" i="1"/>
  <c r="GB684" i="1"/>
  <c r="CS708" i="1"/>
  <c r="CS685" i="1"/>
  <c r="DA708" i="1"/>
  <c r="DB708" i="1" s="1"/>
  <c r="GD684" i="1"/>
  <c r="DB684" i="1"/>
  <c r="DA685" i="1"/>
  <c r="I692" i="1"/>
  <c r="FF679" i="1"/>
  <c r="FG679" i="1" s="1"/>
  <c r="DU708" i="1"/>
  <c r="DV708" i="1" s="1"/>
  <c r="DV684" i="1"/>
  <c r="DU685" i="1"/>
  <c r="FH720" i="1"/>
  <c r="FI720" i="1" s="1"/>
  <c r="FH717" i="1"/>
  <c r="FI717" i="1" s="1"/>
  <c r="FH718" i="1"/>
  <c r="FI718" i="1" s="1"/>
  <c r="FH719" i="1"/>
  <c r="FI719" i="1" s="1"/>
  <c r="FL720" i="1"/>
  <c r="FM720" i="1" s="1"/>
  <c r="FL717" i="1"/>
  <c r="FM717" i="1" s="1"/>
  <c r="FL718" i="1"/>
  <c r="FM718" i="1" s="1"/>
  <c r="FL719" i="1"/>
  <c r="FM719" i="1" s="1"/>
  <c r="FP720" i="1"/>
  <c r="FQ720" i="1" s="1"/>
  <c r="FP717" i="1"/>
  <c r="FP718" i="1"/>
  <c r="FP719" i="1"/>
  <c r="FQ719" i="1" s="1"/>
  <c r="FT720" i="1"/>
  <c r="FU720" i="1" s="1"/>
  <c r="FT717" i="1"/>
  <c r="FT718" i="1"/>
  <c r="FU718" i="1" s="1"/>
  <c r="FT719" i="1"/>
  <c r="FU719" i="1" s="1"/>
  <c r="FX666" i="1"/>
  <c r="GB720" i="1"/>
  <c r="GB717" i="1"/>
  <c r="GC717" i="1" s="1"/>
  <c r="GB718" i="1"/>
  <c r="GC718" i="1" s="1"/>
  <c r="GB719" i="1"/>
  <c r="GC719" i="1" s="1"/>
  <c r="GF720" i="1"/>
  <c r="GG720" i="1" s="1"/>
  <c r="GF717" i="1"/>
  <c r="GG717" i="1" s="1"/>
  <c r="GF718" i="1"/>
  <c r="GG718" i="1" s="1"/>
  <c r="GF719" i="1"/>
  <c r="GG719" i="1" s="1"/>
  <c r="GJ720" i="1"/>
  <c r="GK720" i="1" s="1"/>
  <c r="GJ717" i="1"/>
  <c r="GK717" i="1" s="1"/>
  <c r="GJ718" i="1"/>
  <c r="GK718" i="1" s="1"/>
  <c r="GJ719" i="1"/>
  <c r="GK719" i="1" s="1"/>
  <c r="GN720" i="1"/>
  <c r="GN717" i="1"/>
  <c r="GN718" i="1"/>
  <c r="GN719" i="1"/>
  <c r="BS720" i="1"/>
  <c r="BT720" i="1" s="1"/>
  <c r="BS719" i="1"/>
  <c r="BT719" i="1" s="1"/>
  <c r="BS718" i="1"/>
  <c r="BT718" i="1" s="1"/>
  <c r="BS717" i="1"/>
  <c r="BT717" i="1" s="1"/>
  <c r="BS704" i="1"/>
  <c r="BS702" i="1"/>
  <c r="BS703" i="1"/>
  <c r="BT703" i="1" s="1"/>
  <c r="BS701" i="1"/>
  <c r="BT701" i="1" s="1"/>
  <c r="BW720" i="1"/>
  <c r="BX720" i="1" s="1"/>
  <c r="BW719" i="1"/>
  <c r="BX719" i="1" s="1"/>
  <c r="BW718" i="1"/>
  <c r="BX718" i="1" s="1"/>
  <c r="BW717" i="1"/>
  <c r="BX717" i="1" s="1"/>
  <c r="BW704" i="1"/>
  <c r="BW703" i="1"/>
  <c r="BW702" i="1"/>
  <c r="BW701" i="1"/>
  <c r="BX701" i="1" s="1"/>
  <c r="CA720" i="1"/>
  <c r="CA719" i="1"/>
  <c r="CA718" i="1"/>
  <c r="CA717" i="1"/>
  <c r="CA704" i="1"/>
  <c r="CB704" i="1" s="1"/>
  <c r="CA702" i="1"/>
  <c r="CB702" i="1" s="1"/>
  <c r="CA703" i="1"/>
  <c r="CB703" i="1" s="1"/>
  <c r="CA701" i="1"/>
  <c r="CB701" i="1" s="1"/>
  <c r="CE720" i="1"/>
  <c r="CE719" i="1"/>
  <c r="CE718" i="1"/>
  <c r="CE717" i="1"/>
  <c r="FH667" i="1"/>
  <c r="FL667" i="1"/>
  <c r="FP667" i="1"/>
  <c r="FT667" i="1"/>
  <c r="GB667" i="1"/>
  <c r="GF667" i="1"/>
  <c r="GJ667" i="1"/>
  <c r="GN667" i="1"/>
  <c r="EU668" i="1"/>
  <c r="FK668" i="1"/>
  <c r="FO668" i="1"/>
  <c r="FS668" i="1"/>
  <c r="FW668" i="1"/>
  <c r="GA668" i="1"/>
  <c r="GE668" i="1"/>
  <c r="GI668" i="1"/>
  <c r="K669" i="1"/>
  <c r="O669" i="1"/>
  <c r="S669" i="1"/>
  <c r="W669" i="1"/>
  <c r="AA669" i="1"/>
  <c r="AE669" i="1"/>
  <c r="AI669" i="1"/>
  <c r="AM669" i="1"/>
  <c r="AQ669" i="1"/>
  <c r="AU669" i="1"/>
  <c r="AY669" i="1"/>
  <c r="BC669" i="1"/>
  <c r="BG669" i="1"/>
  <c r="BK669" i="1"/>
  <c r="BO669" i="1"/>
  <c r="CI669" i="1"/>
  <c r="CM669" i="1"/>
  <c r="CQ669" i="1"/>
  <c r="CU669" i="1"/>
  <c r="CY669" i="1"/>
  <c r="DC669" i="1"/>
  <c r="DG669" i="1"/>
  <c r="DK669" i="1"/>
  <c r="DO669" i="1"/>
  <c r="DS669" i="1"/>
  <c r="DW669" i="1"/>
  <c r="EA669" i="1"/>
  <c r="EE669" i="1"/>
  <c r="EI669" i="1"/>
  <c r="FF669" i="1"/>
  <c r="ES676" i="1"/>
  <c r="FK676" i="1"/>
  <c r="FO676" i="1"/>
  <c r="FS676" i="1"/>
  <c r="FW676" i="1"/>
  <c r="GA676" i="1"/>
  <c r="GE676" i="1"/>
  <c r="GI676" i="1"/>
  <c r="GM676" i="1"/>
  <c r="K721" i="1"/>
  <c r="L721" i="1" s="1"/>
  <c r="K707" i="1"/>
  <c r="L707" i="1" s="1"/>
  <c r="K701" i="1"/>
  <c r="L701" i="1" s="1"/>
  <c r="K704" i="1"/>
  <c r="L704" i="1" s="1"/>
  <c r="K702" i="1"/>
  <c r="L702" i="1" s="1"/>
  <c r="K703" i="1"/>
  <c r="L703" i="1" s="1"/>
  <c r="S721" i="1"/>
  <c r="T721" i="1" s="1"/>
  <c r="S707" i="1"/>
  <c r="T707" i="1" s="1"/>
  <c r="S705" i="1"/>
  <c r="T705" i="1" s="1"/>
  <c r="S704" i="1"/>
  <c r="S702" i="1"/>
  <c r="T702" i="1" s="1"/>
  <c r="S703" i="1"/>
  <c r="T703" i="1" s="1"/>
  <c r="S701" i="1"/>
  <c r="W721" i="1"/>
  <c r="W707" i="1"/>
  <c r="X707" i="1" s="1"/>
  <c r="W705" i="1"/>
  <c r="X705" i="1" s="1"/>
  <c r="W704" i="1"/>
  <c r="X704" i="1" s="1"/>
  <c r="W703" i="1"/>
  <c r="W702" i="1"/>
  <c r="X702" i="1" s="1"/>
  <c r="W701" i="1"/>
  <c r="X701" i="1" s="1"/>
  <c r="AA721" i="1"/>
  <c r="AA707" i="1"/>
  <c r="AA705" i="1"/>
  <c r="AB705" i="1" s="1"/>
  <c r="AA704" i="1"/>
  <c r="AB704" i="1" s="1"/>
  <c r="AA702" i="1"/>
  <c r="AA703" i="1"/>
  <c r="AA701" i="1"/>
  <c r="AB701" i="1" s="1"/>
  <c r="AE721" i="1"/>
  <c r="AF721" i="1" s="1"/>
  <c r="AE707" i="1"/>
  <c r="AE705" i="1"/>
  <c r="AE704" i="1"/>
  <c r="AF704" i="1" s="1"/>
  <c r="AE702" i="1"/>
  <c r="AF702" i="1" s="1"/>
  <c r="AE703" i="1"/>
  <c r="AF703" i="1" s="1"/>
  <c r="AE701" i="1"/>
  <c r="AI721" i="1"/>
  <c r="AJ721" i="1" s="1"/>
  <c r="AI707" i="1"/>
  <c r="AJ707" i="1" s="1"/>
  <c r="AI705" i="1"/>
  <c r="AI704" i="1"/>
  <c r="AI703" i="1"/>
  <c r="AJ703" i="1" s="1"/>
  <c r="AI702" i="1"/>
  <c r="AJ702" i="1" s="1"/>
  <c r="AI701" i="1"/>
  <c r="AM721" i="1"/>
  <c r="AM707" i="1"/>
  <c r="AN707" i="1" s="1"/>
  <c r="AM705" i="1"/>
  <c r="AN705" i="1" s="1"/>
  <c r="AM704" i="1"/>
  <c r="AM702" i="1"/>
  <c r="AM703" i="1"/>
  <c r="AN703" i="1" s="1"/>
  <c r="AM701" i="1"/>
  <c r="AN701" i="1" s="1"/>
  <c r="AQ721" i="1"/>
  <c r="AQ707" i="1"/>
  <c r="AQ705" i="1"/>
  <c r="AR705" i="1" s="1"/>
  <c r="AQ704" i="1"/>
  <c r="AR704" i="1" s="1"/>
  <c r="AQ702" i="1"/>
  <c r="AQ703" i="1"/>
  <c r="AQ701" i="1"/>
  <c r="AR701" i="1" s="1"/>
  <c r="AU721" i="1"/>
  <c r="AV721" i="1" s="1"/>
  <c r="AU707" i="1"/>
  <c r="AU705" i="1"/>
  <c r="AU704" i="1"/>
  <c r="AV704" i="1" s="1"/>
  <c r="AU702" i="1"/>
  <c r="AV702" i="1" s="1"/>
  <c r="AU703" i="1"/>
  <c r="AU701" i="1"/>
  <c r="AY721" i="1"/>
  <c r="AZ721" i="1" s="1"/>
  <c r="AY707" i="1"/>
  <c r="AZ707" i="1" s="1"/>
  <c r="AY705" i="1"/>
  <c r="AY704" i="1"/>
  <c r="AY703" i="1"/>
  <c r="AZ703" i="1" s="1"/>
  <c r="AY702" i="1"/>
  <c r="AZ702" i="1" s="1"/>
  <c r="AY701" i="1"/>
  <c r="BC721" i="1"/>
  <c r="BC707" i="1"/>
  <c r="BD707" i="1" s="1"/>
  <c r="BC705" i="1"/>
  <c r="BD705" i="1" s="1"/>
  <c r="BC704" i="1"/>
  <c r="BC702" i="1"/>
  <c r="BC703" i="1"/>
  <c r="BD703" i="1" s="1"/>
  <c r="BC701" i="1"/>
  <c r="BD701" i="1" s="1"/>
  <c r="BG721" i="1"/>
  <c r="BG707" i="1"/>
  <c r="BG705" i="1"/>
  <c r="BH705" i="1" s="1"/>
  <c r="BG704" i="1"/>
  <c r="BH704" i="1" s="1"/>
  <c r="BG702" i="1"/>
  <c r="BG703" i="1"/>
  <c r="BG701" i="1"/>
  <c r="BH701" i="1" s="1"/>
  <c r="BK721" i="1"/>
  <c r="BL721" i="1" s="1"/>
  <c r="BK707" i="1"/>
  <c r="BK705" i="1"/>
  <c r="BK704" i="1"/>
  <c r="BL704" i="1" s="1"/>
  <c r="BK702" i="1"/>
  <c r="BL702" i="1" s="1"/>
  <c r="BK703" i="1"/>
  <c r="BK701" i="1"/>
  <c r="BO721" i="1"/>
  <c r="BP721" i="1" s="1"/>
  <c r="BO707" i="1"/>
  <c r="BP707" i="1" s="1"/>
  <c r="BO705" i="1"/>
  <c r="BO704" i="1"/>
  <c r="BO703" i="1"/>
  <c r="BP703" i="1" s="1"/>
  <c r="BO702" i="1"/>
  <c r="BP702" i="1" s="1"/>
  <c r="BO701" i="1"/>
  <c r="BS721" i="1"/>
  <c r="BS707" i="1"/>
  <c r="BT707" i="1" s="1"/>
  <c r="BS705" i="1"/>
  <c r="BT705" i="1" s="1"/>
  <c r="BW721" i="1"/>
  <c r="BW707" i="1"/>
  <c r="BW705" i="1"/>
  <c r="BX705" i="1" s="1"/>
  <c r="CA721" i="1"/>
  <c r="CB721" i="1" s="1"/>
  <c r="CA707" i="1"/>
  <c r="CA705" i="1"/>
  <c r="CE677" i="1"/>
  <c r="CE701" i="1" s="1"/>
  <c r="CF701" i="1" s="1"/>
  <c r="CI677" i="1"/>
  <c r="CM677" i="1"/>
  <c r="CQ677" i="1"/>
  <c r="CU721" i="1"/>
  <c r="CU707" i="1"/>
  <c r="CU705" i="1"/>
  <c r="CU704" i="1"/>
  <c r="CU703" i="1"/>
  <c r="CU702" i="1"/>
  <c r="CU701" i="1"/>
  <c r="CY721" i="1"/>
  <c r="CY707" i="1"/>
  <c r="CY705" i="1"/>
  <c r="CY704" i="1"/>
  <c r="CY702" i="1"/>
  <c r="CY703" i="1"/>
  <c r="CY701" i="1"/>
  <c r="DC714" i="1"/>
  <c r="DC721" i="1"/>
  <c r="DC707" i="1"/>
  <c r="DC705" i="1"/>
  <c r="DD705" i="1" s="1"/>
  <c r="DC704" i="1"/>
  <c r="DD704" i="1" s="1"/>
  <c r="DC703" i="1"/>
  <c r="DC702" i="1"/>
  <c r="DC701" i="1"/>
  <c r="DD701" i="1" s="1"/>
  <c r="DG721" i="1"/>
  <c r="DH721" i="1" s="1"/>
  <c r="DG714" i="1"/>
  <c r="DG707" i="1"/>
  <c r="DH707" i="1" s="1"/>
  <c r="DG705" i="1"/>
  <c r="DH705" i="1" s="1"/>
  <c r="DG704" i="1"/>
  <c r="DH704" i="1" s="1"/>
  <c r="DG702" i="1"/>
  <c r="DH702" i="1" s="1"/>
  <c r="DG703" i="1"/>
  <c r="DH703" i="1" s="1"/>
  <c r="DG701" i="1"/>
  <c r="DH701" i="1" s="1"/>
  <c r="K679" i="1"/>
  <c r="L679" i="1" s="1"/>
  <c r="S679" i="1"/>
  <c r="W679" i="1"/>
  <c r="X679" i="1" s="1"/>
  <c r="AA679" i="1"/>
  <c r="AB679" i="1" s="1"/>
  <c r="AE679" i="1"/>
  <c r="AI679" i="1"/>
  <c r="AM679" i="1"/>
  <c r="AN679" i="1" s="1"/>
  <c r="AQ679" i="1"/>
  <c r="AR679" i="1" s="1"/>
  <c r="AU679" i="1"/>
  <c r="AY679" i="1"/>
  <c r="BC679" i="1"/>
  <c r="BD679" i="1" s="1"/>
  <c r="BG679" i="1"/>
  <c r="BH679" i="1" s="1"/>
  <c r="BK679" i="1"/>
  <c r="BO679" i="1"/>
  <c r="BS679" i="1"/>
  <c r="BT679" i="1" s="1"/>
  <c r="BW679" i="1"/>
  <c r="BX679" i="1" s="1"/>
  <c r="CA679" i="1"/>
  <c r="CU679" i="1"/>
  <c r="CY679" i="1"/>
  <c r="DC679" i="1"/>
  <c r="DD679" i="1" s="1"/>
  <c r="DG679" i="1"/>
  <c r="FJ678" i="1"/>
  <c r="FK678" i="1" s="1"/>
  <c r="DN677" i="1"/>
  <c r="DK679" i="1"/>
  <c r="DL679" i="1" s="1"/>
  <c r="DO721" i="1"/>
  <c r="DP721" i="1" s="1"/>
  <c r="DO714" i="1"/>
  <c r="DO707" i="1"/>
  <c r="DP707" i="1" s="1"/>
  <c r="DO705" i="1"/>
  <c r="DP705" i="1" s="1"/>
  <c r="DO711" i="1"/>
  <c r="DP711" i="1" s="1"/>
  <c r="DO704" i="1"/>
  <c r="DP704" i="1" s="1"/>
  <c r="DO702" i="1"/>
  <c r="DP702" i="1" s="1"/>
  <c r="DO703" i="1"/>
  <c r="DP703" i="1" s="1"/>
  <c r="DO701" i="1"/>
  <c r="DS679" i="1"/>
  <c r="DW721" i="1"/>
  <c r="DX721" i="1" s="1"/>
  <c r="DW714" i="1"/>
  <c r="DW707" i="1"/>
  <c r="DW705" i="1"/>
  <c r="DW711" i="1"/>
  <c r="DX711" i="1" s="1"/>
  <c r="DW704" i="1"/>
  <c r="DX704" i="1" s="1"/>
  <c r="DW702" i="1"/>
  <c r="DW703" i="1"/>
  <c r="DW701" i="1"/>
  <c r="DX701" i="1" s="1"/>
  <c r="EA679" i="1"/>
  <c r="EB679" i="1" s="1"/>
  <c r="EI720" i="1"/>
  <c r="EJ720" i="1" s="1"/>
  <c r="EI719" i="1"/>
  <c r="EJ719" i="1" s="1"/>
  <c r="EI718" i="1"/>
  <c r="EJ718" i="1" s="1"/>
  <c r="EI717" i="1"/>
  <c r="EJ717" i="1" s="1"/>
  <c r="EI702" i="1"/>
  <c r="EI704" i="1"/>
  <c r="EI703" i="1"/>
  <c r="EI701" i="1"/>
  <c r="ER668" i="1"/>
  <c r="FJ723" i="1"/>
  <c r="FN723" i="1"/>
  <c r="FR723" i="1"/>
  <c r="FV723" i="1"/>
  <c r="FZ723" i="1"/>
  <c r="GD723" i="1"/>
  <c r="GH723" i="1"/>
  <c r="GL723" i="1"/>
  <c r="EC721" i="1"/>
  <c r="EC714" i="1"/>
  <c r="EC703" i="1"/>
  <c r="EC704" i="1"/>
  <c r="EC711" i="1"/>
  <c r="EC702" i="1"/>
  <c r="EC701" i="1"/>
  <c r="EC707" i="1"/>
  <c r="EC705" i="1"/>
  <c r="EG721" i="1"/>
  <c r="EH721" i="1" s="1"/>
  <c r="EG711" i="1"/>
  <c r="EH711" i="1" s="1"/>
  <c r="EG714" i="1"/>
  <c r="EG707" i="1"/>
  <c r="EG705" i="1"/>
  <c r="EK721" i="1"/>
  <c r="EL721" i="1" s="1"/>
  <c r="EK714" i="1"/>
  <c r="EK707" i="1"/>
  <c r="EL707" i="1" s="1"/>
  <c r="EK705" i="1"/>
  <c r="EL705" i="1" s="1"/>
  <c r="EO721" i="1"/>
  <c r="EO703" i="1"/>
  <c r="EO714" i="1"/>
  <c r="EO704" i="1"/>
  <c r="EO705" i="1"/>
  <c r="EO701" i="1"/>
  <c r="EO707" i="1"/>
  <c r="EP707" i="1" s="1"/>
  <c r="EO702" i="1"/>
  <c r="EE679" i="1"/>
  <c r="EF679" i="1" s="1"/>
  <c r="EI679" i="1"/>
  <c r="EM679" i="1"/>
  <c r="EN679" i="1" s="1"/>
  <c r="FF721" i="1"/>
  <c r="FG721" i="1" s="1"/>
  <c r="FF707" i="1"/>
  <c r="FG707" i="1" s="1"/>
  <c r="FF701" i="1"/>
  <c r="FG701" i="1" s="1"/>
  <c r="FF702" i="1"/>
  <c r="FG702" i="1" s="1"/>
  <c r="FF703" i="1"/>
  <c r="FG703" i="1" s="1"/>
  <c r="FF705" i="1"/>
  <c r="FG705" i="1" s="1"/>
  <c r="FF704" i="1"/>
  <c r="FG704" i="1" s="1"/>
  <c r="FJ677" i="1"/>
  <c r="FJ704" i="1" s="1"/>
  <c r="FN677" i="1"/>
  <c r="FR677" i="1"/>
  <c r="FR703" i="1" s="1"/>
  <c r="FV677" i="1"/>
  <c r="FV704" i="1" s="1"/>
  <c r="FZ677" i="1"/>
  <c r="FZ704" i="1" s="1"/>
  <c r="GD677" i="1"/>
  <c r="GH677" i="1"/>
  <c r="GH701" i="1" s="1"/>
  <c r="GL677" i="1"/>
  <c r="DL677" i="1"/>
  <c r="DN678" i="1"/>
  <c r="DK680" i="1"/>
  <c r="DK681" i="1" s="1"/>
  <c r="DQ721" i="1"/>
  <c r="DQ711" i="1"/>
  <c r="DQ703" i="1"/>
  <c r="DQ704" i="1"/>
  <c r="DQ714" i="1"/>
  <c r="DQ707" i="1"/>
  <c r="DQ702" i="1"/>
  <c r="DQ701" i="1"/>
  <c r="DR701" i="1" s="1"/>
  <c r="DQ705" i="1"/>
  <c r="DR705" i="1" s="1"/>
  <c r="DS680" i="1"/>
  <c r="DS681" i="1" s="1"/>
  <c r="DY721" i="1"/>
  <c r="DY711" i="1"/>
  <c r="DZ711" i="1" s="1"/>
  <c r="DY703" i="1"/>
  <c r="DZ703" i="1" s="1"/>
  <c r="DY714" i="1"/>
  <c r="DY704" i="1"/>
  <c r="DY705" i="1"/>
  <c r="DY701" i="1"/>
  <c r="DZ701" i="1" s="1"/>
  <c r="DY707" i="1"/>
  <c r="DZ707" i="1" s="1"/>
  <c r="DY702" i="1"/>
  <c r="DZ702" i="1" s="1"/>
  <c r="DQ684" i="1"/>
  <c r="DY684" i="1"/>
  <c r="EC684" i="1"/>
  <c r="EG684" i="1"/>
  <c r="EK684" i="1"/>
  <c r="EO684" i="1"/>
  <c r="BQ720" i="1"/>
  <c r="BR720" i="1" s="1"/>
  <c r="BQ719" i="1"/>
  <c r="BR719" i="1" s="1"/>
  <c r="BQ718" i="1"/>
  <c r="BR718" i="1" s="1"/>
  <c r="BQ717" i="1"/>
  <c r="BR717" i="1" s="1"/>
  <c r="BQ703" i="1"/>
  <c r="BQ704" i="1"/>
  <c r="BQ702" i="1"/>
  <c r="BQ701" i="1"/>
  <c r="BU720" i="1"/>
  <c r="BV720" i="1" s="1"/>
  <c r="BU719" i="1"/>
  <c r="BV719" i="1" s="1"/>
  <c r="BU718" i="1"/>
  <c r="BV718" i="1" s="1"/>
  <c r="BU717" i="1"/>
  <c r="BV717" i="1" s="1"/>
  <c r="BU703" i="1"/>
  <c r="BU704" i="1"/>
  <c r="BU702" i="1"/>
  <c r="BU701" i="1"/>
  <c r="BV701" i="1" s="1"/>
  <c r="BY720" i="1"/>
  <c r="BZ720" i="1" s="1"/>
  <c r="BY719" i="1"/>
  <c r="BZ719" i="1" s="1"/>
  <c r="BY718" i="1"/>
  <c r="BZ718" i="1" s="1"/>
  <c r="BY717" i="1"/>
  <c r="BZ717" i="1" s="1"/>
  <c r="BY703" i="1"/>
  <c r="BZ703" i="1" s="1"/>
  <c r="BY704" i="1"/>
  <c r="BZ704" i="1" s="1"/>
  <c r="BY701" i="1"/>
  <c r="BY702" i="1"/>
  <c r="BZ702" i="1" s="1"/>
  <c r="CC720" i="1"/>
  <c r="CC719" i="1"/>
  <c r="CC718" i="1"/>
  <c r="CC717" i="1"/>
  <c r="CC703" i="1"/>
  <c r="CD703" i="1" s="1"/>
  <c r="CC704" i="1"/>
  <c r="CD704" i="1" s="1"/>
  <c r="CC701" i="1"/>
  <c r="CC702" i="1"/>
  <c r="CD702" i="1" s="1"/>
  <c r="CG720" i="1"/>
  <c r="CG719" i="1"/>
  <c r="CG718" i="1"/>
  <c r="CG717" i="1"/>
  <c r="CG703" i="1"/>
  <c r="CH703" i="1" s="1"/>
  <c r="CG704" i="1"/>
  <c r="CH704" i="1" s="1"/>
  <c r="CG702" i="1"/>
  <c r="CG701" i="1"/>
  <c r="CH701" i="1" s="1"/>
  <c r="BS667" i="1"/>
  <c r="BW667" i="1"/>
  <c r="CA667" i="1"/>
  <c r="CJ667" i="1" s="1"/>
  <c r="CE667" i="1"/>
  <c r="CN667" i="1" s="1"/>
  <c r="EJ668" i="1"/>
  <c r="FK675" i="1"/>
  <c r="FO675" i="1"/>
  <c r="FS675" i="1"/>
  <c r="FW675" i="1"/>
  <c r="GA675" i="1"/>
  <c r="GE675" i="1"/>
  <c r="GI675" i="1"/>
  <c r="GM675" i="1"/>
  <c r="M721" i="1"/>
  <c r="N721" i="1" s="1"/>
  <c r="M703" i="1"/>
  <c r="N703" i="1" s="1"/>
  <c r="M704" i="1"/>
  <c r="N704" i="1" s="1"/>
  <c r="M707" i="1"/>
  <c r="N707" i="1" s="1"/>
  <c r="M705" i="1"/>
  <c r="N705" i="1" s="1"/>
  <c r="M701" i="1"/>
  <c r="N701" i="1" s="1"/>
  <c r="M702" i="1"/>
  <c r="N702" i="1" s="1"/>
  <c r="Q721" i="1"/>
  <c r="Q703" i="1"/>
  <c r="Q704" i="1"/>
  <c r="Q705" i="1"/>
  <c r="Q701" i="1"/>
  <c r="R701" i="1" s="1"/>
  <c r="Q702" i="1"/>
  <c r="Q707" i="1"/>
  <c r="R707" i="1" s="1"/>
  <c r="U721" i="1"/>
  <c r="V721" i="1" s="1"/>
  <c r="U703" i="1"/>
  <c r="U704" i="1"/>
  <c r="U701" i="1"/>
  <c r="V701" i="1" s="1"/>
  <c r="U707" i="1"/>
  <c r="V707" i="1" s="1"/>
  <c r="U702" i="1"/>
  <c r="U705" i="1"/>
  <c r="V705" i="1" s="1"/>
  <c r="Y721" i="1"/>
  <c r="Z721" i="1" s="1"/>
  <c r="Y703" i="1"/>
  <c r="Z703" i="1" s="1"/>
  <c r="Y704" i="1"/>
  <c r="Y707" i="1"/>
  <c r="Y701" i="1"/>
  <c r="Z701" i="1" s="1"/>
  <c r="Y705" i="1"/>
  <c r="Z705" i="1" s="1"/>
  <c r="Y702" i="1"/>
  <c r="Z702" i="1" s="1"/>
  <c r="AC721" i="1"/>
  <c r="AC703" i="1"/>
  <c r="AD703" i="1" s="1"/>
  <c r="AC704" i="1"/>
  <c r="AD704" i="1" s="1"/>
  <c r="AC707" i="1"/>
  <c r="AC705" i="1"/>
  <c r="AD705" i="1" s="1"/>
  <c r="AC701" i="1"/>
  <c r="AD701" i="1" s="1"/>
  <c r="AC702" i="1"/>
  <c r="AD702" i="1" s="1"/>
  <c r="AG721" i="1"/>
  <c r="AG703" i="1"/>
  <c r="AG704" i="1"/>
  <c r="AH704" i="1" s="1"/>
  <c r="AG705" i="1"/>
  <c r="AH705" i="1" s="1"/>
  <c r="AG701" i="1"/>
  <c r="AG702" i="1"/>
  <c r="AH702" i="1" s="1"/>
  <c r="AG707" i="1"/>
  <c r="AH707" i="1" s="1"/>
  <c r="AK721" i="1"/>
  <c r="AL721" i="1" s="1"/>
  <c r="AK703" i="1"/>
  <c r="AK704" i="1"/>
  <c r="AK701" i="1"/>
  <c r="AL701" i="1" s="1"/>
  <c r="AK707" i="1"/>
  <c r="AL707" i="1" s="1"/>
  <c r="AK702" i="1"/>
  <c r="AK705" i="1"/>
  <c r="AL705" i="1" s="1"/>
  <c r="AO721" i="1"/>
  <c r="AP721" i="1" s="1"/>
  <c r="AO703" i="1"/>
  <c r="AP703" i="1" s="1"/>
  <c r="AO704" i="1"/>
  <c r="AO707" i="1"/>
  <c r="AO701" i="1"/>
  <c r="AP701" i="1" s="1"/>
  <c r="AO705" i="1"/>
  <c r="AP705" i="1" s="1"/>
  <c r="AO702" i="1"/>
  <c r="AP702" i="1" s="1"/>
  <c r="AS721" i="1"/>
  <c r="AS703" i="1"/>
  <c r="AT703" i="1" s="1"/>
  <c r="AS704" i="1"/>
  <c r="AT704" i="1" s="1"/>
  <c r="AS707" i="1"/>
  <c r="AS705" i="1"/>
  <c r="AT705" i="1" s="1"/>
  <c r="AS701" i="1"/>
  <c r="AT701" i="1" s="1"/>
  <c r="AS702" i="1"/>
  <c r="AT702" i="1" s="1"/>
  <c r="AW721" i="1"/>
  <c r="AW703" i="1"/>
  <c r="AW704" i="1"/>
  <c r="AX704" i="1" s="1"/>
  <c r="AW705" i="1"/>
  <c r="AX705" i="1" s="1"/>
  <c r="AW701" i="1"/>
  <c r="AW702" i="1"/>
  <c r="AX702" i="1" s="1"/>
  <c r="AW707" i="1"/>
  <c r="AX707" i="1" s="1"/>
  <c r="BA721" i="1"/>
  <c r="BB721" i="1" s="1"/>
  <c r="BA703" i="1"/>
  <c r="BA704" i="1"/>
  <c r="BA701" i="1"/>
  <c r="BB701" i="1" s="1"/>
  <c r="BA707" i="1"/>
  <c r="BB707" i="1" s="1"/>
  <c r="BA702" i="1"/>
  <c r="BA705" i="1"/>
  <c r="BB705" i="1" s="1"/>
  <c r="BE721" i="1"/>
  <c r="BF721" i="1" s="1"/>
  <c r="BE703" i="1"/>
  <c r="BF703" i="1" s="1"/>
  <c r="BE704" i="1"/>
  <c r="BE707" i="1"/>
  <c r="BE701" i="1"/>
  <c r="BF701" i="1" s="1"/>
  <c r="BE705" i="1"/>
  <c r="BF705" i="1" s="1"/>
  <c r="BE702" i="1"/>
  <c r="BF702" i="1" s="1"/>
  <c r="BI721" i="1"/>
  <c r="BI703" i="1"/>
  <c r="BJ703" i="1" s="1"/>
  <c r="BI704" i="1"/>
  <c r="BJ704" i="1" s="1"/>
  <c r="BI707" i="1"/>
  <c r="BI705" i="1"/>
  <c r="BJ705" i="1" s="1"/>
  <c r="BI701" i="1"/>
  <c r="BJ701" i="1" s="1"/>
  <c r="BI702" i="1"/>
  <c r="BJ702" i="1" s="1"/>
  <c r="BM721" i="1"/>
  <c r="BM703" i="1"/>
  <c r="BM704" i="1"/>
  <c r="BN704" i="1" s="1"/>
  <c r="BM705" i="1"/>
  <c r="BN705" i="1" s="1"/>
  <c r="BM701" i="1"/>
  <c r="BM707" i="1"/>
  <c r="BN707" i="1" s="1"/>
  <c r="BM702" i="1"/>
  <c r="BN702" i="1" s="1"/>
  <c r="BQ721" i="1"/>
  <c r="BR721" i="1" s="1"/>
  <c r="BQ707" i="1"/>
  <c r="BR707" i="1" s="1"/>
  <c r="BQ705" i="1"/>
  <c r="BR705" i="1" s="1"/>
  <c r="BU721" i="1"/>
  <c r="BV721" i="1" s="1"/>
  <c r="BU707" i="1"/>
  <c r="BV707" i="1" s="1"/>
  <c r="BU705" i="1"/>
  <c r="BY721" i="1"/>
  <c r="BY707" i="1"/>
  <c r="BZ707" i="1" s="1"/>
  <c r="BY705" i="1"/>
  <c r="BZ705" i="1" s="1"/>
  <c r="CC721" i="1"/>
  <c r="CC705" i="1"/>
  <c r="CD705" i="1" s="1"/>
  <c r="CC707" i="1"/>
  <c r="CK677" i="1"/>
  <c r="CK662" i="1" s="1"/>
  <c r="CL662" i="1" s="1"/>
  <c r="CO677" i="1"/>
  <c r="CS721" i="1"/>
  <c r="CS703" i="1"/>
  <c r="CS704" i="1"/>
  <c r="CS705" i="1"/>
  <c r="CS701" i="1"/>
  <c r="CS707" i="1"/>
  <c r="CS702" i="1"/>
  <c r="CW721" i="1"/>
  <c r="CW703" i="1"/>
  <c r="CW704" i="1"/>
  <c r="CW702" i="1"/>
  <c r="CW701" i="1"/>
  <c r="CW707" i="1"/>
  <c r="CW705" i="1"/>
  <c r="DA721" i="1"/>
  <c r="DB721" i="1" s="1"/>
  <c r="DA703" i="1"/>
  <c r="DA704" i="1"/>
  <c r="DA714" i="1"/>
  <c r="DA707" i="1"/>
  <c r="DB707" i="1" s="1"/>
  <c r="DA702" i="1"/>
  <c r="DA701" i="1"/>
  <c r="DB701" i="1" s="1"/>
  <c r="DA705" i="1"/>
  <c r="DB705" i="1" s="1"/>
  <c r="DE721" i="1"/>
  <c r="DF721" i="1" s="1"/>
  <c r="DE703" i="1"/>
  <c r="DF703" i="1" s="1"/>
  <c r="DE704" i="1"/>
  <c r="DE714" i="1"/>
  <c r="DE707" i="1"/>
  <c r="DF707" i="1" s="1"/>
  <c r="DE705" i="1"/>
  <c r="DE701" i="1"/>
  <c r="DF701" i="1" s="1"/>
  <c r="DE702" i="1"/>
  <c r="DI721" i="1"/>
  <c r="DJ721" i="1" s="1"/>
  <c r="DI711" i="1"/>
  <c r="DI703" i="1"/>
  <c r="DJ703" i="1" s="1"/>
  <c r="DI714" i="1"/>
  <c r="DI704" i="1"/>
  <c r="DJ704" i="1" s="1"/>
  <c r="DI705" i="1"/>
  <c r="DI701" i="1"/>
  <c r="DJ701" i="1" s="1"/>
  <c r="DI707" i="1"/>
  <c r="DI702" i="1"/>
  <c r="DJ702" i="1" s="1"/>
  <c r="M679" i="1"/>
  <c r="N679" i="1" s="1"/>
  <c r="Q679" i="1"/>
  <c r="R679" i="1" s="1"/>
  <c r="U679" i="1"/>
  <c r="V679" i="1" s="1"/>
  <c r="Y679" i="1"/>
  <c r="Z679" i="1" s="1"/>
  <c r="AC679" i="1"/>
  <c r="AG679" i="1"/>
  <c r="AK679" i="1"/>
  <c r="AL679" i="1" s="1"/>
  <c r="AO679" i="1"/>
  <c r="AP679" i="1" s="1"/>
  <c r="AS679" i="1"/>
  <c r="AW679" i="1"/>
  <c r="BA679" i="1"/>
  <c r="BB679" i="1" s="1"/>
  <c r="BE679" i="1"/>
  <c r="BF679" i="1" s="1"/>
  <c r="BI679" i="1"/>
  <c r="BM679" i="1"/>
  <c r="BQ679" i="1"/>
  <c r="BR679" i="1" s="1"/>
  <c r="BU679" i="1"/>
  <c r="BV679" i="1" s="1"/>
  <c r="BY679" i="1"/>
  <c r="CC679" i="1"/>
  <c r="CS679" i="1"/>
  <c r="CW679" i="1"/>
  <c r="DA679" i="1"/>
  <c r="DE679" i="1"/>
  <c r="DN679" i="1" s="1"/>
  <c r="DI679" i="1"/>
  <c r="DJ679" i="1" s="1"/>
  <c r="FL678" i="1"/>
  <c r="FM678" i="1" s="1"/>
  <c r="FP678" i="1"/>
  <c r="FQ678" i="1" s="1"/>
  <c r="FT678" i="1"/>
  <c r="FU678" i="1" s="1"/>
  <c r="FX678" i="1"/>
  <c r="FY678" i="1" s="1"/>
  <c r="GB678" i="1"/>
  <c r="GC678" i="1" s="1"/>
  <c r="GF678" i="1"/>
  <c r="GG678" i="1" s="1"/>
  <c r="GJ678" i="1"/>
  <c r="GK678" i="1" s="1"/>
  <c r="GN678" i="1"/>
  <c r="GO678" i="1" s="1"/>
  <c r="I705" i="1"/>
  <c r="I707" i="1"/>
  <c r="I703" i="1"/>
  <c r="I704" i="1"/>
  <c r="I721" i="1"/>
  <c r="I702" i="1"/>
  <c r="DR677" i="1"/>
  <c r="DK714" i="1"/>
  <c r="DK711" i="1"/>
  <c r="DK721" i="1"/>
  <c r="DL721" i="1" s="1"/>
  <c r="DK707" i="1"/>
  <c r="DL707" i="1" s="1"/>
  <c r="DK705" i="1"/>
  <c r="DL705" i="1" s="1"/>
  <c r="DK704" i="1"/>
  <c r="DL704" i="1" s="1"/>
  <c r="DK703" i="1"/>
  <c r="DL703" i="1" s="1"/>
  <c r="DK702" i="1"/>
  <c r="DL702" i="1" s="1"/>
  <c r="DK701" i="1"/>
  <c r="DL701" i="1" s="1"/>
  <c r="DS714" i="1"/>
  <c r="DS721" i="1"/>
  <c r="DT721" i="1" s="1"/>
  <c r="DS707" i="1"/>
  <c r="DT707" i="1" s="1"/>
  <c r="DS705" i="1"/>
  <c r="DT705" i="1" s="1"/>
  <c r="DS711" i="1"/>
  <c r="DT711" i="1" s="1"/>
  <c r="DS704" i="1"/>
  <c r="DT704" i="1" s="1"/>
  <c r="DS703" i="1"/>
  <c r="DT703" i="1" s="1"/>
  <c r="DS702" i="1"/>
  <c r="DT702" i="1" s="1"/>
  <c r="DS701" i="1"/>
  <c r="EA714" i="1"/>
  <c r="EA721" i="1"/>
  <c r="EB721" i="1" s="1"/>
  <c r="EA707" i="1"/>
  <c r="EB707" i="1" s="1"/>
  <c r="EA705" i="1"/>
  <c r="EA702" i="1"/>
  <c r="EA711" i="1"/>
  <c r="EB711" i="1" s="1"/>
  <c r="EA704" i="1"/>
  <c r="EB704" i="1" s="1"/>
  <c r="EA703" i="1"/>
  <c r="EA701" i="1"/>
  <c r="EB701" i="1" s="1"/>
  <c r="BR666" i="1"/>
  <c r="BV666" i="1"/>
  <c r="BZ666" i="1"/>
  <c r="CD666" i="1"/>
  <c r="CH666" i="1"/>
  <c r="CL666" i="1"/>
  <c r="CP666" i="1"/>
  <c r="EG720" i="1"/>
  <c r="EG719" i="1"/>
  <c r="EG718" i="1"/>
  <c r="EG717" i="1"/>
  <c r="EG703" i="1"/>
  <c r="EG704" i="1"/>
  <c r="EH704" i="1" s="1"/>
  <c r="EG701" i="1"/>
  <c r="EH701" i="1" s="1"/>
  <c r="EG702" i="1"/>
  <c r="EH702" i="1" s="1"/>
  <c r="EK668" i="1"/>
  <c r="EK669" i="1" s="1"/>
  <c r="EP668" i="1"/>
  <c r="GL668" i="1"/>
  <c r="GM668" i="1" s="1"/>
  <c r="FH723" i="1"/>
  <c r="FI723" i="1" s="1"/>
  <c r="FL723" i="1"/>
  <c r="FM723" i="1" s="1"/>
  <c r="FP723" i="1"/>
  <c r="FQ723" i="1" s="1"/>
  <c r="FT723" i="1"/>
  <c r="FU723" i="1" s="1"/>
  <c r="FX723" i="1"/>
  <c r="FY723" i="1" s="1"/>
  <c r="GB723" i="1"/>
  <c r="GC723" i="1" s="1"/>
  <c r="GF723" i="1"/>
  <c r="GG723" i="1" s="1"/>
  <c r="GJ723" i="1"/>
  <c r="GK723" i="1" s="1"/>
  <c r="GN723" i="1"/>
  <c r="GO723" i="1" s="1"/>
  <c r="CN676" i="1"/>
  <c r="CR676" i="1"/>
  <c r="N677" i="1"/>
  <c r="R677" i="1"/>
  <c r="V677" i="1"/>
  <c r="Z677" i="1"/>
  <c r="AD677" i="1"/>
  <c r="AH677" i="1"/>
  <c r="AL677" i="1"/>
  <c r="AP677" i="1"/>
  <c r="AT677" i="1"/>
  <c r="AX677" i="1"/>
  <c r="BB677" i="1"/>
  <c r="BF677" i="1"/>
  <c r="BJ677" i="1"/>
  <c r="BN677" i="1"/>
  <c r="BR677" i="1"/>
  <c r="BV677" i="1"/>
  <c r="BZ677" i="1"/>
  <c r="CD677" i="1"/>
  <c r="CX677" i="1"/>
  <c r="DB677" i="1"/>
  <c r="DF677" i="1"/>
  <c r="DJ677" i="1"/>
  <c r="EE721" i="1"/>
  <c r="EF721" i="1" s="1"/>
  <c r="EE714" i="1"/>
  <c r="EE707" i="1"/>
  <c r="EF707" i="1" s="1"/>
  <c r="EE705" i="1"/>
  <c r="EF705" i="1" s="1"/>
  <c r="EE711" i="1"/>
  <c r="EF711" i="1" s="1"/>
  <c r="EE702" i="1"/>
  <c r="EF702" i="1" s="1"/>
  <c r="EE704" i="1"/>
  <c r="EF704" i="1" s="1"/>
  <c r="EE703" i="1"/>
  <c r="EF703" i="1" s="1"/>
  <c r="EE701" i="1"/>
  <c r="EF701" i="1" s="1"/>
  <c r="EI714" i="1"/>
  <c r="EI721" i="1"/>
  <c r="EI707" i="1"/>
  <c r="EI705" i="1"/>
  <c r="EJ705" i="1" s="1"/>
  <c r="EM721" i="1"/>
  <c r="EM714" i="1"/>
  <c r="EM707" i="1"/>
  <c r="EN707" i="1" s="1"/>
  <c r="EM705" i="1"/>
  <c r="EN705" i="1" s="1"/>
  <c r="EC679" i="1"/>
  <c r="ED679" i="1" s="1"/>
  <c r="EG679" i="1"/>
  <c r="EH679" i="1" s="1"/>
  <c r="EK679" i="1"/>
  <c r="EO679" i="1"/>
  <c r="FH677" i="1"/>
  <c r="FL677" i="1"/>
  <c r="FL703" i="1" s="1"/>
  <c r="FP677" i="1"/>
  <c r="FT677" i="1"/>
  <c r="FT702" i="1" s="1"/>
  <c r="FX677" i="1"/>
  <c r="GB677" i="1"/>
  <c r="GB702" i="1" s="1"/>
  <c r="GF677" i="1"/>
  <c r="GJ677" i="1"/>
  <c r="GJ701" i="1" s="1"/>
  <c r="GN677" i="1"/>
  <c r="DP677" i="1"/>
  <c r="DM721" i="1"/>
  <c r="DM714" i="1"/>
  <c r="DM703" i="1"/>
  <c r="DN703" i="1" s="1"/>
  <c r="DM704" i="1"/>
  <c r="DN704" i="1" s="1"/>
  <c r="DM711" i="1"/>
  <c r="DN711" i="1" s="1"/>
  <c r="DM702" i="1"/>
  <c r="DM701" i="1"/>
  <c r="DN701" i="1" s="1"/>
  <c r="DM707" i="1"/>
  <c r="DN707" i="1" s="1"/>
  <c r="DM705" i="1"/>
  <c r="DN705" i="1" s="1"/>
  <c r="DO680" i="1"/>
  <c r="DO681" i="1" s="1"/>
  <c r="DQ679" i="1"/>
  <c r="DR679" i="1" s="1"/>
  <c r="DU721" i="1"/>
  <c r="DV721" i="1" s="1"/>
  <c r="DU703" i="1"/>
  <c r="DU704" i="1"/>
  <c r="DU714" i="1"/>
  <c r="DU711" i="1"/>
  <c r="DV711" i="1" s="1"/>
  <c r="DU707" i="1"/>
  <c r="DU705" i="1"/>
  <c r="DV705" i="1" s="1"/>
  <c r="DU701" i="1"/>
  <c r="DV701" i="1" s="1"/>
  <c r="DU702" i="1"/>
  <c r="DV702" i="1" s="1"/>
  <c r="DW680" i="1"/>
  <c r="DW681" i="1" s="1"/>
  <c r="DY679" i="1"/>
  <c r="EC680" i="1"/>
  <c r="EC681" i="1" s="1"/>
  <c r="EG680" i="1"/>
  <c r="EG681" i="1" s="1"/>
  <c r="EK680" i="1"/>
  <c r="EK681" i="1" s="1"/>
  <c r="EO680" i="1"/>
  <c r="EO681" i="1" s="1"/>
  <c r="S684" i="1"/>
  <c r="U686" i="1" s="1"/>
  <c r="W684" i="1"/>
  <c r="AA684" i="1"/>
  <c r="AC686" i="1" s="1"/>
  <c r="AD686" i="1" s="1"/>
  <c r="AE684" i="1"/>
  <c r="AG686" i="1" s="1"/>
  <c r="AI684" i="1"/>
  <c r="AK686" i="1" s="1"/>
  <c r="AM684" i="1"/>
  <c r="AQ684" i="1"/>
  <c r="AS686" i="1" s="1"/>
  <c r="AT686" i="1" s="1"/>
  <c r="AU684" i="1"/>
  <c r="AY684" i="1"/>
  <c r="BA686" i="1" s="1"/>
  <c r="BC684" i="1"/>
  <c r="BG684" i="1"/>
  <c r="BI686" i="1" s="1"/>
  <c r="BJ686" i="1" s="1"/>
  <c r="BK684" i="1"/>
  <c r="BM686" i="1" s="1"/>
  <c r="BO684" i="1"/>
  <c r="BQ686" i="1" s="1"/>
  <c r="BS684" i="1"/>
  <c r="BW684" i="1"/>
  <c r="BY686" i="1" s="1"/>
  <c r="BZ686" i="1" s="1"/>
  <c r="CA684" i="1"/>
  <c r="CC686" i="1" s="1"/>
  <c r="CU684" i="1"/>
  <c r="CW686" i="1" s="1"/>
  <c r="CY684" i="1"/>
  <c r="DC684" i="1"/>
  <c r="DE686" i="1" s="1"/>
  <c r="DF686" i="1" s="1"/>
  <c r="DG684" i="1"/>
  <c r="DK684" i="1"/>
  <c r="DO684" i="1"/>
  <c r="DS684" i="1"/>
  <c r="DW684" i="1"/>
  <c r="EA684" i="1"/>
  <c r="EE684" i="1"/>
  <c r="EI684" i="1"/>
  <c r="EM684" i="1"/>
  <c r="EI710" i="1"/>
  <c r="EK710" i="1" s="1"/>
  <c r="EM710" i="1" s="1"/>
  <c r="EO710" i="1" s="1"/>
  <c r="GL710" i="1"/>
  <c r="FK732" i="1"/>
  <c r="FM732" i="1"/>
  <c r="GJ710" i="1"/>
  <c r="FM731" i="1"/>
  <c r="FK728" i="1"/>
  <c r="FI730" i="1"/>
  <c r="FI729" i="1"/>
  <c r="FM729" i="1"/>
  <c r="EQ843" i="1"/>
  <c r="EQ822" i="1"/>
  <c r="FB846" i="1"/>
  <c r="FB841" i="1"/>
  <c r="FB832" i="1"/>
  <c r="FB831" i="1"/>
  <c r="CO848" i="1"/>
  <c r="DE848" i="1"/>
  <c r="DM848" i="1"/>
  <c r="DU848" i="1"/>
  <c r="EC848" i="1"/>
  <c r="EK848" i="1"/>
  <c r="BI848" i="1"/>
  <c r="BQ848" i="1"/>
  <c r="BY848" i="1"/>
  <c r="GA4" i="1"/>
  <c r="FY4" i="1"/>
  <c r="FW4" i="1"/>
  <c r="FU4" i="1"/>
  <c r="FS4" i="1"/>
  <c r="FQ4" i="1"/>
  <c r="DW20" i="2" l="1"/>
  <c r="DW22" i="2" s="1"/>
  <c r="DW19" i="2"/>
  <c r="DY493" i="2"/>
  <c r="DA486" i="198"/>
  <c r="CY486" i="198"/>
  <c r="DW493" i="2"/>
  <c r="CY527" i="198"/>
  <c r="DW534" i="2"/>
  <c r="DA527" i="198"/>
  <c r="DY534" i="2"/>
  <c r="CU527" i="198"/>
  <c r="DS534" i="2"/>
  <c r="DS493" i="2"/>
  <c r="CU486" i="198"/>
  <c r="EX87" i="1"/>
  <c r="CZ140" i="198"/>
  <c r="DX147" i="2"/>
  <c r="DV147" i="2"/>
  <c r="CX140" i="198"/>
  <c r="CY140" i="198"/>
  <c r="DW147" i="2"/>
  <c r="BJ78" i="198"/>
  <c r="CD78" i="198"/>
  <c r="F22" i="198"/>
  <c r="F76" i="198" s="1"/>
  <c r="BF75" i="198"/>
  <c r="BF78" i="198"/>
  <c r="AJ78" i="198"/>
  <c r="BX75" i="198"/>
  <c r="AH71" i="198"/>
  <c r="BD75" i="198"/>
  <c r="AX71" i="198"/>
  <c r="DU79" i="198"/>
  <c r="DU76" i="198"/>
  <c r="DU69" i="198"/>
  <c r="DU68" i="198"/>
  <c r="DU72" i="198"/>
  <c r="DU71" i="198"/>
  <c r="DU78" i="198"/>
  <c r="DU66" i="198"/>
  <c r="DU67" i="198"/>
  <c r="DU75" i="198"/>
  <c r="DU74" i="198"/>
  <c r="DE79" i="198"/>
  <c r="DE66" i="198"/>
  <c r="DE68" i="198"/>
  <c r="DE72" i="198"/>
  <c r="DE71" i="198"/>
  <c r="DE78" i="198"/>
  <c r="DE69" i="198"/>
  <c r="DE67" i="198"/>
  <c r="DE75" i="198"/>
  <c r="DE76" i="198"/>
  <c r="DE74" i="198"/>
  <c r="L79" i="198"/>
  <c r="L69" i="198"/>
  <c r="L74" i="198"/>
  <c r="L68" i="198"/>
  <c r="L71" i="198"/>
  <c r="L67" i="198"/>
  <c r="L66" i="198"/>
  <c r="L78" i="198"/>
  <c r="L76" i="198"/>
  <c r="L75" i="198"/>
  <c r="L72" i="198"/>
  <c r="X79" i="198"/>
  <c r="X69" i="198"/>
  <c r="X74" i="198"/>
  <c r="X67" i="198"/>
  <c r="X78" i="198"/>
  <c r="X66" i="198"/>
  <c r="X76" i="198"/>
  <c r="X75" i="198"/>
  <c r="X72" i="198"/>
  <c r="X71" i="198"/>
  <c r="X68" i="198"/>
  <c r="AP79" i="198"/>
  <c r="AP69" i="198"/>
  <c r="AQ22" i="198"/>
  <c r="AP66" i="198"/>
  <c r="AP78" i="198"/>
  <c r="AP68" i="198"/>
  <c r="AP67" i="198"/>
  <c r="AP73" i="198"/>
  <c r="AP75" i="198"/>
  <c r="AP70" i="198"/>
  <c r="AP72" i="198"/>
  <c r="AP74" i="198"/>
  <c r="AP76" i="198"/>
  <c r="AP71" i="198"/>
  <c r="BT69" i="198"/>
  <c r="BU22" i="198"/>
  <c r="BT79" i="198"/>
  <c r="AV69" i="198"/>
  <c r="AW22" i="198"/>
  <c r="AV79" i="198"/>
  <c r="AF79" i="198"/>
  <c r="AF69" i="198"/>
  <c r="AG22" i="198"/>
  <c r="CH69" i="198"/>
  <c r="CI22" i="198"/>
  <c r="CH79" i="198"/>
  <c r="BB69" i="198"/>
  <c r="BB79" i="198"/>
  <c r="BB71" i="198"/>
  <c r="BC22" i="198"/>
  <c r="AD69" i="198"/>
  <c r="AE22" i="198"/>
  <c r="AD79" i="198"/>
  <c r="N69" i="198"/>
  <c r="N79" i="198"/>
  <c r="O22" i="198"/>
  <c r="CB78" i="198"/>
  <c r="AV78" i="198"/>
  <c r="AR66" i="198"/>
  <c r="BZ78" i="198"/>
  <c r="AT78" i="198"/>
  <c r="AD78" i="198"/>
  <c r="N78" i="198"/>
  <c r="BV77" i="198"/>
  <c r="BW19" i="198"/>
  <c r="J77" i="198"/>
  <c r="K19" i="198"/>
  <c r="F74" i="198"/>
  <c r="B66" i="198"/>
  <c r="CB75" i="198"/>
  <c r="BL75" i="198"/>
  <c r="AV75" i="198"/>
  <c r="AF75" i="198"/>
  <c r="BZ74" i="198"/>
  <c r="BJ74" i="198"/>
  <c r="AT74" i="198"/>
  <c r="AD74" i="198"/>
  <c r="N74" i="198"/>
  <c r="BZ72" i="198"/>
  <c r="BJ72" i="198"/>
  <c r="AT72" i="198"/>
  <c r="AD72" i="198"/>
  <c r="N72" i="198"/>
  <c r="BJ71" i="198"/>
  <c r="DT15" i="198"/>
  <c r="DN12" i="198"/>
  <c r="CG12" i="198"/>
  <c r="BQ12" i="198"/>
  <c r="BA12" i="198"/>
  <c r="AJ70" i="198"/>
  <c r="AK12" i="198"/>
  <c r="U12" i="198"/>
  <c r="T22" i="198"/>
  <c r="BH66" i="198"/>
  <c r="F77" i="198"/>
  <c r="B69" i="198"/>
  <c r="BT76" i="198"/>
  <c r="AF76" i="198"/>
  <c r="BH68" i="198"/>
  <c r="AN68" i="198"/>
  <c r="BV67" i="198"/>
  <c r="BB67" i="198"/>
  <c r="AD67" i="198"/>
  <c r="AJ66" i="198"/>
  <c r="BH78" i="198"/>
  <c r="B68" i="198"/>
  <c r="B67" i="198"/>
  <c r="BF76" i="198"/>
  <c r="Z76" i="198"/>
  <c r="CH73" i="198"/>
  <c r="CI15" i="198"/>
  <c r="N73" i="198"/>
  <c r="O15" i="198"/>
  <c r="CD68" i="198"/>
  <c r="BN68" i="198"/>
  <c r="AX68" i="198"/>
  <c r="AH68" i="198"/>
  <c r="R68" i="198"/>
  <c r="AJ67" i="198"/>
  <c r="AL66" i="198"/>
  <c r="V66" i="198"/>
  <c r="BP22" i="198"/>
  <c r="BP70" i="198" s="1"/>
  <c r="BR77" i="198"/>
  <c r="BS19" i="198"/>
  <c r="AL77" i="198"/>
  <c r="AM19" i="198"/>
  <c r="DU73" i="198"/>
  <c r="DV15" i="198"/>
  <c r="CB77" i="198"/>
  <c r="CC19" i="198"/>
  <c r="BD77" i="198"/>
  <c r="BE19" i="198"/>
  <c r="AN77" i="198"/>
  <c r="AO19" i="198"/>
  <c r="AB77" i="198"/>
  <c r="AC19" i="198"/>
  <c r="BB70" i="198"/>
  <c r="BX72" i="198"/>
  <c r="BH72" i="198"/>
  <c r="CG15" i="198"/>
  <c r="BX73" i="198"/>
  <c r="BY15" i="198"/>
  <c r="BP73" i="198"/>
  <c r="BQ15" i="198"/>
  <c r="BH73" i="198"/>
  <c r="BI15" i="198"/>
  <c r="BD71" i="198"/>
  <c r="AV71" i="198"/>
  <c r="AN71" i="198"/>
  <c r="AF71" i="198"/>
  <c r="DW22" i="198"/>
  <c r="DW77" i="198" s="1"/>
  <c r="CB76" i="198"/>
  <c r="BX74" i="198"/>
  <c r="CE19" i="198"/>
  <c r="CD77" i="198"/>
  <c r="BR75" i="198"/>
  <c r="AT75" i="198"/>
  <c r="AH77" i="198"/>
  <c r="AI19" i="198"/>
  <c r="R77" i="198"/>
  <c r="S19" i="198"/>
  <c r="BJ73" i="198"/>
  <c r="AD71" i="198"/>
  <c r="N71" i="198"/>
  <c r="CD70" i="198"/>
  <c r="AX70" i="198"/>
  <c r="R70" i="198"/>
  <c r="AV76" i="198"/>
  <c r="BT77" i="198"/>
  <c r="BU19" i="198"/>
  <c r="BA19" i="198"/>
  <c r="AK19" i="198"/>
  <c r="AJ77" i="198"/>
  <c r="Q19" i="198"/>
  <c r="DP12" i="198"/>
  <c r="CJ69" i="198"/>
  <c r="CK22" i="198"/>
  <c r="CJ79" i="198"/>
  <c r="BL69" i="198"/>
  <c r="BM22" i="198"/>
  <c r="BL79" i="198"/>
  <c r="AR79" i="198"/>
  <c r="AS22" i="198"/>
  <c r="AR69" i="198"/>
  <c r="AB79" i="198"/>
  <c r="AC22" i="198"/>
  <c r="AB69" i="198"/>
  <c r="BZ69" i="198"/>
  <c r="BZ79" i="198"/>
  <c r="CA22" i="198"/>
  <c r="AT69" i="198"/>
  <c r="AT79" i="198"/>
  <c r="AU22" i="198"/>
  <c r="AT67" i="198"/>
  <c r="Z69" i="198"/>
  <c r="Z79" i="198"/>
  <c r="AA22" i="198"/>
  <c r="J79" i="198"/>
  <c r="J69" i="198"/>
  <c r="J66" i="198"/>
  <c r="K22" i="198"/>
  <c r="AN78" i="198"/>
  <c r="BV79" i="198"/>
  <c r="BV69" i="198"/>
  <c r="BW22" i="198"/>
  <c r="BF79" i="198"/>
  <c r="BF69" i="198"/>
  <c r="BG22" i="198"/>
  <c r="Z78" i="198"/>
  <c r="J78" i="198"/>
  <c r="BF77" i="198"/>
  <c r="BG19" i="198"/>
  <c r="F70" i="198"/>
  <c r="BH75" i="198"/>
  <c r="AR75" i="198"/>
  <c r="AB75" i="198"/>
  <c r="BV74" i="198"/>
  <c r="BF74" i="198"/>
  <c r="Z74" i="198"/>
  <c r="J74" i="198"/>
  <c r="BV72" i="198"/>
  <c r="BF72" i="198"/>
  <c r="Z72" i="198"/>
  <c r="J72" i="198"/>
  <c r="BZ71" i="198"/>
  <c r="BF71" i="198"/>
  <c r="DP15" i="198"/>
  <c r="DJ12" i="198"/>
  <c r="CB70" i="198"/>
  <c r="CC12" i="198"/>
  <c r="BL70" i="198"/>
  <c r="BM12" i="198"/>
  <c r="AV70" i="198"/>
  <c r="AW12" i="198"/>
  <c r="AF70" i="198"/>
  <c r="AG12" i="198"/>
  <c r="Q12" i="198"/>
  <c r="DM22" i="198"/>
  <c r="DM70" i="198" s="1"/>
  <c r="DP19" i="198"/>
  <c r="DO22" i="198"/>
  <c r="DO73" i="198" s="1"/>
  <c r="F73" i="198"/>
  <c r="CJ76" i="198"/>
  <c r="AR76" i="198"/>
  <c r="AB76" i="198"/>
  <c r="DR19" i="198"/>
  <c r="DJ19" i="198"/>
  <c r="CR22" i="198"/>
  <c r="CR77" i="198" s="1"/>
  <c r="BX68" i="198"/>
  <c r="BD68" i="198"/>
  <c r="AJ68" i="198"/>
  <c r="BR67" i="198"/>
  <c r="AX67" i="198"/>
  <c r="V67" i="198"/>
  <c r="BT66" i="198"/>
  <c r="AV66" i="198"/>
  <c r="AF66" i="198"/>
  <c r="AR78" i="198"/>
  <c r="DT19" i="198"/>
  <c r="DS22" i="198"/>
  <c r="DS73" i="198" s="1"/>
  <c r="F75" i="198"/>
  <c r="CH76" i="198"/>
  <c r="BR76" i="198"/>
  <c r="BB76" i="198"/>
  <c r="AL76" i="198"/>
  <c r="BR73" i="198"/>
  <c r="BS15" i="198"/>
  <c r="CA15" i="198"/>
  <c r="J73" i="198"/>
  <c r="K15" i="198"/>
  <c r="CP22" i="198"/>
  <c r="CP74" i="198" s="1"/>
  <c r="BZ68" i="198"/>
  <c r="BJ68" i="198"/>
  <c r="AT68" i="198"/>
  <c r="AD68" i="198"/>
  <c r="N68" i="198"/>
  <c r="CB67" i="198"/>
  <c r="BL67" i="198"/>
  <c r="AV67" i="198"/>
  <c r="AF67" i="198"/>
  <c r="CH66" i="198"/>
  <c r="BZ66" i="198"/>
  <c r="BJ66" i="198"/>
  <c r="BB66" i="198"/>
  <c r="AT66" i="198"/>
  <c r="AH66" i="198"/>
  <c r="R66" i="198"/>
  <c r="AB78" i="198"/>
  <c r="BJ77" i="198"/>
  <c r="BK19" i="198"/>
  <c r="AD77" i="198"/>
  <c r="AE19" i="198"/>
  <c r="W15" i="198"/>
  <c r="DE73" i="198"/>
  <c r="DF15" i="198"/>
  <c r="BZ70" i="198"/>
  <c r="AT70" i="198"/>
  <c r="N70" i="198"/>
  <c r="BD74" i="198"/>
  <c r="AN74" i="198"/>
  <c r="AB74" i="198"/>
  <c r="CJ72" i="198"/>
  <c r="BT72" i="198"/>
  <c r="BD72" i="198"/>
  <c r="CJ73" i="198"/>
  <c r="CK15" i="198"/>
  <c r="BX71" i="198"/>
  <c r="BA15" i="198"/>
  <c r="AR73" i="198"/>
  <c r="AS15" i="198"/>
  <c r="AJ73" i="198"/>
  <c r="AK15" i="198"/>
  <c r="AB73" i="198"/>
  <c r="AC15" i="198"/>
  <c r="T73" i="198"/>
  <c r="U15" i="198"/>
  <c r="L73" i="198"/>
  <c r="M15" i="198"/>
  <c r="BV70" i="198"/>
  <c r="J70" i="198"/>
  <c r="BX77" i="198"/>
  <c r="BY19" i="198"/>
  <c r="CD75" i="198"/>
  <c r="BN77" i="198"/>
  <c r="BO19" i="198"/>
  <c r="BB75" i="198"/>
  <c r="AD75" i="198"/>
  <c r="R75" i="198"/>
  <c r="BV73" i="198"/>
  <c r="BF73" i="198"/>
  <c r="Z73" i="198"/>
  <c r="J71" i="198"/>
  <c r="BZ67" i="198"/>
  <c r="BT74" i="198"/>
  <c r="AJ74" i="198"/>
  <c r="CB69" i="198"/>
  <c r="CC22" i="198"/>
  <c r="CB79" i="198"/>
  <c r="CB68" i="198"/>
  <c r="BH79" i="198"/>
  <c r="BH69" i="198"/>
  <c r="AN79" i="198"/>
  <c r="AN69" i="198"/>
  <c r="AO22" i="198"/>
  <c r="BR69" i="198"/>
  <c r="BS22" i="198"/>
  <c r="BR79" i="198"/>
  <c r="AL69" i="198"/>
  <c r="AM22" i="198"/>
  <c r="AL79" i="198"/>
  <c r="V69" i="198"/>
  <c r="V71" i="198"/>
  <c r="W22" i="198"/>
  <c r="V79" i="198"/>
  <c r="BL78" i="198"/>
  <c r="BR78" i="198"/>
  <c r="AL78" i="198"/>
  <c r="V78" i="198"/>
  <c r="F79" i="198"/>
  <c r="F78" i="198"/>
  <c r="AP77" i="198"/>
  <c r="AQ19" i="198"/>
  <c r="F66" i="198"/>
  <c r="B74" i="198"/>
  <c r="CJ75" i="198"/>
  <c r="BT75" i="198"/>
  <c r="AN75" i="198"/>
  <c r="CH74" i="198"/>
  <c r="BR74" i="198"/>
  <c r="BB74" i="198"/>
  <c r="AL74" i="198"/>
  <c r="V74" i="198"/>
  <c r="CH72" i="198"/>
  <c r="BR72" i="198"/>
  <c r="BB72" i="198"/>
  <c r="AL72" i="198"/>
  <c r="V72" i="198"/>
  <c r="BV71" i="198"/>
  <c r="Z71" i="198"/>
  <c r="DL15" i="198"/>
  <c r="DU70" i="198"/>
  <c r="DV12" i="198"/>
  <c r="DE70" i="198"/>
  <c r="DF12" i="198"/>
  <c r="BX70" i="198"/>
  <c r="BY12" i="198"/>
  <c r="BH70" i="198"/>
  <c r="BI12" i="198"/>
  <c r="AR70" i="198"/>
  <c r="AS12" i="198"/>
  <c r="AB70" i="198"/>
  <c r="AC12" i="198"/>
  <c r="L70" i="198"/>
  <c r="M12" i="198"/>
  <c r="DY22" i="198"/>
  <c r="BX78" i="198"/>
  <c r="H22" i="198"/>
  <c r="F68" i="198"/>
  <c r="DH19" i="198"/>
  <c r="DG22" i="198"/>
  <c r="DG77" i="198" s="1"/>
  <c r="F69" i="198"/>
  <c r="B77" i="198"/>
  <c r="BH76" i="198"/>
  <c r="AN76" i="198"/>
  <c r="CN22" i="198"/>
  <c r="CN68" i="198" s="1"/>
  <c r="BT68" i="198"/>
  <c r="AF68" i="198"/>
  <c r="CH67" i="198"/>
  <c r="BN67" i="198"/>
  <c r="N67" i="198"/>
  <c r="AB66" i="198"/>
  <c r="DL19" i="198"/>
  <c r="DK22" i="198"/>
  <c r="DK77" i="198" s="1"/>
  <c r="F71" i="198"/>
  <c r="B75" i="198"/>
  <c r="BN76" i="198"/>
  <c r="AH76" i="198"/>
  <c r="AL73" i="198"/>
  <c r="AM15" i="198"/>
  <c r="AU15" i="198"/>
  <c r="CL22" i="198"/>
  <c r="CL74" i="198" s="1"/>
  <c r="BV68" i="198"/>
  <c r="BF68" i="198"/>
  <c r="Z68" i="198"/>
  <c r="J68" i="198"/>
  <c r="BH67" i="198"/>
  <c r="AR67" i="198"/>
  <c r="AB67" i="198"/>
  <c r="AD66" i="198"/>
  <c r="N66" i="198"/>
  <c r="P22" i="198"/>
  <c r="B76" i="198"/>
  <c r="CH77" i="198"/>
  <c r="CI19" i="198"/>
  <c r="BB77" i="198"/>
  <c r="BC19" i="198"/>
  <c r="V77" i="198"/>
  <c r="W19" i="198"/>
  <c r="EA22" i="198"/>
  <c r="EA77" i="198" s="1"/>
  <c r="BL76" i="198"/>
  <c r="BP77" i="198"/>
  <c r="BQ19" i="198"/>
  <c r="AV77" i="198"/>
  <c r="AW19" i="198"/>
  <c r="AF77" i="198"/>
  <c r="AG19" i="198"/>
  <c r="U19" i="198"/>
  <c r="T77" i="198"/>
  <c r="CH70" i="198"/>
  <c r="V70" i="198"/>
  <c r="AJ72" i="198"/>
  <c r="CB73" i="198"/>
  <c r="CC15" i="198"/>
  <c r="BT73" i="198"/>
  <c r="BU15" i="198"/>
  <c r="BL73" i="198"/>
  <c r="BM15" i="198"/>
  <c r="AR71" i="198"/>
  <c r="AB71" i="198"/>
  <c r="CJ77" i="198"/>
  <c r="CK19" i="198"/>
  <c r="BH74" i="198"/>
  <c r="BZ75" i="198"/>
  <c r="BN75" i="198"/>
  <c r="AX77" i="198"/>
  <c r="AY19" i="198"/>
  <c r="AL75" i="198"/>
  <c r="Z75" i="198"/>
  <c r="N75" i="198"/>
  <c r="CH71" i="198"/>
  <c r="BR71" i="198"/>
  <c r="BB73" i="198"/>
  <c r="AL71" i="198"/>
  <c r="V73" i="198"/>
  <c r="BL68" i="198"/>
  <c r="CG19" i="198"/>
  <c r="BL77" i="198"/>
  <c r="BM19" i="198"/>
  <c r="AR74" i="198"/>
  <c r="X77" i="198"/>
  <c r="Y19" i="198"/>
  <c r="L77" i="198"/>
  <c r="M19" i="198"/>
  <c r="BX79" i="198"/>
  <c r="BY22" i="198"/>
  <c r="BX69" i="198"/>
  <c r="BX66" i="198"/>
  <c r="BD69" i="198"/>
  <c r="BE22" i="198"/>
  <c r="BD79" i="198"/>
  <c r="AJ79" i="198"/>
  <c r="AK22" i="198"/>
  <c r="AJ69" i="198"/>
  <c r="BV78" i="198"/>
  <c r="BJ69" i="198"/>
  <c r="BJ79" i="198"/>
  <c r="BK22" i="198"/>
  <c r="AH69" i="198"/>
  <c r="AH79" i="198"/>
  <c r="AI22" i="198"/>
  <c r="R69" i="198"/>
  <c r="R79" i="198"/>
  <c r="S22" i="198"/>
  <c r="R67" i="198"/>
  <c r="CJ78" i="198"/>
  <c r="BD78" i="198"/>
  <c r="AF78" i="198"/>
  <c r="CD79" i="198"/>
  <c r="CD69" i="198"/>
  <c r="CE22" i="198"/>
  <c r="BN79" i="198"/>
  <c r="BN69" i="198"/>
  <c r="BO22" i="198"/>
  <c r="AX79" i="198"/>
  <c r="AY22" i="198"/>
  <c r="AX69" i="198"/>
  <c r="AH78" i="198"/>
  <c r="R78" i="198"/>
  <c r="B78" i="198"/>
  <c r="Z77" i="198"/>
  <c r="AA19" i="198"/>
  <c r="B70" i="198"/>
  <c r="AJ75" i="198"/>
  <c r="CD74" i="198"/>
  <c r="BN74" i="198"/>
  <c r="AX74" i="198"/>
  <c r="AH74" i="198"/>
  <c r="R74" i="198"/>
  <c r="CD72" i="198"/>
  <c r="BN72" i="198"/>
  <c r="AX72" i="198"/>
  <c r="AH72" i="198"/>
  <c r="R72" i="198"/>
  <c r="BN71" i="198"/>
  <c r="AT71" i="198"/>
  <c r="R71" i="198"/>
  <c r="DR12" i="198"/>
  <c r="CJ70" i="198"/>
  <c r="CK12" i="198"/>
  <c r="BT70" i="198"/>
  <c r="BU12" i="198"/>
  <c r="BD70" i="198"/>
  <c r="BE12" i="198"/>
  <c r="AN70" i="198"/>
  <c r="AO12" i="198"/>
  <c r="X70" i="198"/>
  <c r="Y12" i="198"/>
  <c r="AZ22" i="198"/>
  <c r="B72" i="198"/>
  <c r="DQ22" i="198"/>
  <c r="DI22" i="198"/>
  <c r="H73" i="198"/>
  <c r="B73" i="198"/>
  <c r="BX76" i="198"/>
  <c r="BD76" i="198"/>
  <c r="AJ76" i="198"/>
  <c r="DU77" i="198"/>
  <c r="DV19" i="198"/>
  <c r="DM77" i="198"/>
  <c r="DN19" i="198"/>
  <c r="DE77" i="198"/>
  <c r="DF19" i="198"/>
  <c r="CJ68" i="198"/>
  <c r="AR68" i="198"/>
  <c r="AB68" i="198"/>
  <c r="CD67" i="198"/>
  <c r="BF67" i="198"/>
  <c r="AL67" i="198"/>
  <c r="J67" i="198"/>
  <c r="CB66" i="198"/>
  <c r="AN66" i="198"/>
  <c r="CF22" i="198"/>
  <c r="CF77" i="198" s="1"/>
  <c r="F72" i="198"/>
  <c r="B71" i="198"/>
  <c r="BZ76" i="198"/>
  <c r="BJ76" i="198"/>
  <c r="AT76" i="198"/>
  <c r="AD76" i="198"/>
  <c r="N76" i="198"/>
  <c r="DC22" i="198"/>
  <c r="AD73" i="198"/>
  <c r="AE15" i="198"/>
  <c r="CH68" i="198"/>
  <c r="BR68" i="198"/>
  <c r="BB68" i="198"/>
  <c r="AL68" i="198"/>
  <c r="V68" i="198"/>
  <c r="CJ67" i="198"/>
  <c r="BT67" i="198"/>
  <c r="BD67" i="198"/>
  <c r="AN67" i="198"/>
  <c r="CD66" i="198"/>
  <c r="BV66" i="198"/>
  <c r="BN66" i="198"/>
  <c r="BF66" i="198"/>
  <c r="AX66" i="198"/>
  <c r="Z66" i="198"/>
  <c r="D22" i="198"/>
  <c r="BZ77" i="198"/>
  <c r="CA19" i="198"/>
  <c r="AT77" i="198"/>
  <c r="AU19" i="198"/>
  <c r="N77" i="198"/>
  <c r="O19" i="198"/>
  <c r="DG70" i="198"/>
  <c r="DH12" i="198"/>
  <c r="BJ70" i="198"/>
  <c r="AD70" i="198"/>
  <c r="CQ22" i="198"/>
  <c r="AV74" i="198"/>
  <c r="AF74" i="198"/>
  <c r="DH15" i="198"/>
  <c r="S15" i="198"/>
  <c r="CB72" i="198"/>
  <c r="BL72" i="198"/>
  <c r="AV72" i="198"/>
  <c r="AF72" i="198"/>
  <c r="CJ71" i="198"/>
  <c r="CB71" i="198"/>
  <c r="BT71" i="198"/>
  <c r="BL71" i="198"/>
  <c r="BD73" i="198"/>
  <c r="BE15" i="198"/>
  <c r="AV73" i="198"/>
  <c r="AW15" i="198"/>
  <c r="AO15" i="198"/>
  <c r="AN73" i="198"/>
  <c r="AG15" i="198"/>
  <c r="AF73" i="198"/>
  <c r="X73" i="198"/>
  <c r="Y15" i="198"/>
  <c r="Q15" i="198"/>
  <c r="P73" i="198"/>
  <c r="DR15" i="198"/>
  <c r="BF70" i="198"/>
  <c r="Z70" i="198"/>
  <c r="CJ74" i="198"/>
  <c r="BH77" i="198"/>
  <c r="BI19" i="198"/>
  <c r="CP77" i="198"/>
  <c r="CH75" i="198"/>
  <c r="BV75" i="198"/>
  <c r="BJ75" i="198"/>
  <c r="AX75" i="198"/>
  <c r="AH75" i="198"/>
  <c r="V75" i="198"/>
  <c r="J75" i="198"/>
  <c r="CD73" i="198"/>
  <c r="BN73" i="198"/>
  <c r="AX73" i="198"/>
  <c r="AH73" i="198"/>
  <c r="R73" i="198"/>
  <c r="AV68" i="198"/>
  <c r="AH67" i="198"/>
  <c r="F67" i="198"/>
  <c r="BL74" i="198"/>
  <c r="AR77" i="198"/>
  <c r="AS19" i="198"/>
  <c r="BR70" i="198"/>
  <c r="BR686" i="1"/>
  <c r="BB686" i="1"/>
  <c r="AL686" i="1"/>
  <c r="GK701" i="1"/>
  <c r="EL669" i="1"/>
  <c r="EK670" i="1"/>
  <c r="EL670" i="1" s="1"/>
  <c r="FQ508" i="1"/>
  <c r="CO252" i="1"/>
  <c r="CO249" i="1"/>
  <c r="BY252" i="1"/>
  <c r="BY249" i="1"/>
  <c r="DS217" i="1"/>
  <c r="DT213" i="1"/>
  <c r="DS214" i="1"/>
  <c r="DS8" i="1"/>
  <c r="EE129" i="1"/>
  <c r="EE132" i="1"/>
  <c r="DO129" i="1"/>
  <c r="DO132" i="1"/>
  <c r="AA97" i="1"/>
  <c r="AA94" i="1"/>
  <c r="EK423" i="1"/>
  <c r="EK426" i="1"/>
  <c r="DU423" i="1"/>
  <c r="DU426" i="1"/>
  <c r="DE423" i="1"/>
  <c r="DE426" i="1"/>
  <c r="CO423" i="1"/>
  <c r="CO426" i="1"/>
  <c r="BY426" i="1"/>
  <c r="BY423" i="1"/>
  <c r="FU311" i="1"/>
  <c r="FT316" i="1"/>
  <c r="FR317" i="1"/>
  <c r="FR324" i="1"/>
  <c r="EC132" i="1"/>
  <c r="EC129" i="1"/>
  <c r="DM132" i="1"/>
  <c r="DM129" i="1"/>
  <c r="CW132" i="1"/>
  <c r="CW129" i="1"/>
  <c r="CG132" i="1"/>
  <c r="CG129" i="1"/>
  <c r="BQ132" i="1"/>
  <c r="BQ129" i="1"/>
  <c r="BA132" i="1"/>
  <c r="BA129" i="1"/>
  <c r="DU252" i="1"/>
  <c r="DV248" i="1"/>
  <c r="DU249" i="1"/>
  <c r="AS252" i="1"/>
  <c r="AT248" i="1"/>
  <c r="AS249" i="1"/>
  <c r="GJ787" i="1"/>
  <c r="GK242" i="1"/>
  <c r="FT787" i="1"/>
  <c r="O577" i="1"/>
  <c r="P577" i="1" s="1"/>
  <c r="P575" i="1"/>
  <c r="DQ252" i="1"/>
  <c r="DQ249" i="1"/>
  <c r="AO252" i="1"/>
  <c r="AP248" i="1"/>
  <c r="AO249" i="1"/>
  <c r="GB214" i="1"/>
  <c r="GB217" i="1"/>
  <c r="FT217" i="1"/>
  <c r="FT214" i="1"/>
  <c r="GJ858" i="1"/>
  <c r="EP718" i="1"/>
  <c r="EH718" i="1"/>
  <c r="CW747" i="1"/>
  <c r="DW708" i="1"/>
  <c r="DW686" i="1"/>
  <c r="DW685" i="1"/>
  <c r="DX684" i="1"/>
  <c r="GN721" i="1"/>
  <c r="GN705" i="1"/>
  <c r="GN714" i="1"/>
  <c r="GN707" i="1"/>
  <c r="GN680" i="1"/>
  <c r="GO677" i="1"/>
  <c r="FH721" i="1"/>
  <c r="FI721" i="1" s="1"/>
  <c r="FH705" i="1"/>
  <c r="FI705" i="1" s="1"/>
  <c r="FH707" i="1"/>
  <c r="FI707" i="1" s="1"/>
  <c r="FJ679" i="1"/>
  <c r="FI677" i="1"/>
  <c r="EE708" i="1"/>
  <c r="EF708" i="1" s="1"/>
  <c r="EE686" i="1"/>
  <c r="EF686" i="1" s="1"/>
  <c r="EE685" i="1"/>
  <c r="EF684" i="1"/>
  <c r="DO708" i="1"/>
  <c r="DO686" i="1"/>
  <c r="DO685" i="1"/>
  <c r="DP684" i="1"/>
  <c r="CY708" i="1"/>
  <c r="CY686" i="1"/>
  <c r="CY685" i="1"/>
  <c r="BS708" i="1"/>
  <c r="BS686" i="1"/>
  <c r="BS685" i="1"/>
  <c r="BT684" i="1"/>
  <c r="BC708" i="1"/>
  <c r="BC686" i="1"/>
  <c r="BC685" i="1"/>
  <c r="BD684" i="1"/>
  <c r="AM708" i="1"/>
  <c r="AM686" i="1"/>
  <c r="AM685" i="1"/>
  <c r="AN684" i="1"/>
  <c r="W708" i="1"/>
  <c r="W686" i="1"/>
  <c r="W685" i="1"/>
  <c r="DV707" i="1"/>
  <c r="DV703" i="1"/>
  <c r="DN721" i="1"/>
  <c r="GF721" i="1"/>
  <c r="GF711" i="1"/>
  <c r="GF714" i="1"/>
  <c r="GF707" i="1"/>
  <c r="GF705" i="1"/>
  <c r="GF680" i="1"/>
  <c r="GH679" i="1"/>
  <c r="GG677" i="1"/>
  <c r="FP721" i="1"/>
  <c r="FP707" i="1"/>
  <c r="FQ707" i="1" s="1"/>
  <c r="FP705" i="1"/>
  <c r="FR679" i="1"/>
  <c r="FQ677" i="1"/>
  <c r="EL679" i="1"/>
  <c r="EM711" i="1"/>
  <c r="EN711" i="1" s="1"/>
  <c r="EN721" i="1"/>
  <c r="EJ721" i="1"/>
  <c r="EP717" i="1"/>
  <c r="EH717" i="1"/>
  <c r="EB703" i="1"/>
  <c r="EB705" i="1"/>
  <c r="DT701" i="1"/>
  <c r="DB679" i="1"/>
  <c r="BZ679" i="1"/>
  <c r="BJ679" i="1"/>
  <c r="AT679" i="1"/>
  <c r="AD679" i="1"/>
  <c r="DJ705" i="1"/>
  <c r="DF705" i="1"/>
  <c r="DB702" i="1"/>
  <c r="DB703" i="1"/>
  <c r="CO721" i="1"/>
  <c r="CP721" i="1" s="1"/>
  <c r="CO703" i="1"/>
  <c r="CP703" i="1" s="1"/>
  <c r="CO704" i="1"/>
  <c r="CP704" i="1" s="1"/>
  <c r="CO707" i="1"/>
  <c r="CP707" i="1" s="1"/>
  <c r="CO705" i="1"/>
  <c r="CP705" i="1" s="1"/>
  <c r="CO701" i="1"/>
  <c r="CP701" i="1" s="1"/>
  <c r="CO702" i="1"/>
  <c r="CP702" i="1" s="1"/>
  <c r="CP677" i="1"/>
  <c r="CO679" i="1"/>
  <c r="CO684" i="1"/>
  <c r="CD721" i="1"/>
  <c r="BV705" i="1"/>
  <c r="BN701" i="1"/>
  <c r="BN721" i="1"/>
  <c r="BJ707" i="1"/>
  <c r="BF704" i="1"/>
  <c r="BB702" i="1"/>
  <c r="BB703" i="1"/>
  <c r="AX701" i="1"/>
  <c r="AX721" i="1"/>
  <c r="AT707" i="1"/>
  <c r="AP704" i="1"/>
  <c r="AL702" i="1"/>
  <c r="AL703" i="1"/>
  <c r="AH701" i="1"/>
  <c r="AH721" i="1"/>
  <c r="AD707" i="1"/>
  <c r="Z704" i="1"/>
  <c r="V702" i="1"/>
  <c r="V703" i="1"/>
  <c r="R721" i="1"/>
  <c r="BT667" i="1"/>
  <c r="BS669" i="1"/>
  <c r="CP720" i="1"/>
  <c r="CH720" i="1"/>
  <c r="CL720" i="1"/>
  <c r="CD720" i="1"/>
  <c r="BV703" i="1"/>
  <c r="BR703" i="1"/>
  <c r="EC708" i="1"/>
  <c r="ED708" i="1" s="1"/>
  <c r="ED684" i="1"/>
  <c r="EC686" i="1"/>
  <c r="EC685" i="1"/>
  <c r="DR707" i="1"/>
  <c r="DR711" i="1"/>
  <c r="GD711" i="1"/>
  <c r="GD721" i="1"/>
  <c r="GD707" i="1"/>
  <c r="GD714" i="1"/>
  <c r="GD705" i="1"/>
  <c r="GE677" i="1"/>
  <c r="GD680" i="1"/>
  <c r="GF681" i="1" s="1"/>
  <c r="GF679" i="1"/>
  <c r="FN721" i="1"/>
  <c r="FN707" i="1"/>
  <c r="FN705" i="1"/>
  <c r="FO677" i="1"/>
  <c r="FP679" i="1"/>
  <c r="EP702" i="1"/>
  <c r="EP704" i="1"/>
  <c r="EP721" i="1"/>
  <c r="ED707" i="1"/>
  <c r="ED704" i="1"/>
  <c r="GM723" i="1"/>
  <c r="FW723" i="1"/>
  <c r="EJ702" i="1"/>
  <c r="DX702" i="1"/>
  <c r="DX707" i="1"/>
  <c r="DP701" i="1"/>
  <c r="DP679" i="1"/>
  <c r="DH679" i="1"/>
  <c r="CB679" i="1"/>
  <c r="BL679" i="1"/>
  <c r="AV679" i="1"/>
  <c r="AF679" i="1"/>
  <c r="CM721" i="1"/>
  <c r="CM707" i="1"/>
  <c r="CM705" i="1"/>
  <c r="CV705" i="1" s="1"/>
  <c r="CM704" i="1"/>
  <c r="CM703" i="1"/>
  <c r="CM702" i="1"/>
  <c r="CM701" i="1"/>
  <c r="CN701" i="1" s="1"/>
  <c r="CM684" i="1"/>
  <c r="CV677" i="1"/>
  <c r="CN677" i="1"/>
  <c r="CM679" i="1"/>
  <c r="CB707" i="1"/>
  <c r="BX721" i="1"/>
  <c r="BP701" i="1"/>
  <c r="BP705" i="1"/>
  <c r="BL703" i="1"/>
  <c r="BL707" i="1"/>
  <c r="BH702" i="1"/>
  <c r="BH721" i="1"/>
  <c r="BD704" i="1"/>
  <c r="AZ701" i="1"/>
  <c r="AZ705" i="1"/>
  <c r="AV703" i="1"/>
  <c r="AV707" i="1"/>
  <c r="AR702" i="1"/>
  <c r="AR721" i="1"/>
  <c r="AN704" i="1"/>
  <c r="AJ701" i="1"/>
  <c r="AJ705" i="1"/>
  <c r="AF707" i="1"/>
  <c r="AB702" i="1"/>
  <c r="AB721" i="1"/>
  <c r="T701" i="1"/>
  <c r="EJ669" i="1"/>
  <c r="EI670" i="1"/>
  <c r="DT669" i="1"/>
  <c r="DS670" i="1"/>
  <c r="DD669" i="1"/>
  <c r="DC670" i="1"/>
  <c r="CM670" i="1"/>
  <c r="BH669" i="1"/>
  <c r="BG670" i="1"/>
  <c r="AR669" i="1"/>
  <c r="AQ670" i="1"/>
  <c r="AB669" i="1"/>
  <c r="AA670" i="1"/>
  <c r="L669" i="1"/>
  <c r="K670" i="1"/>
  <c r="L670" i="1" s="1"/>
  <c r="EW668" i="1"/>
  <c r="GB669" i="1"/>
  <c r="GC667" i="1"/>
  <c r="FH669" i="1"/>
  <c r="FI667" i="1"/>
  <c r="CE704" i="1"/>
  <c r="CF704" i="1" s="1"/>
  <c r="CN720" i="1"/>
  <c r="CF720" i="1"/>
  <c r="CJ720" i="1"/>
  <c r="CB720" i="1"/>
  <c r="BX704" i="1"/>
  <c r="BT704" i="1"/>
  <c r="GN703" i="1"/>
  <c r="GJ703" i="1"/>
  <c r="GF703" i="1"/>
  <c r="GB703" i="1"/>
  <c r="GC720" i="1"/>
  <c r="FT704" i="1"/>
  <c r="FU717" i="1"/>
  <c r="FP704" i="1"/>
  <c r="FQ717" i="1"/>
  <c r="FL704" i="1"/>
  <c r="FM704" i="1" s="1"/>
  <c r="FH704" i="1"/>
  <c r="FI704" i="1" s="1"/>
  <c r="EI681" i="1"/>
  <c r="BZ685" i="1"/>
  <c r="BJ685" i="1"/>
  <c r="AT685" i="1"/>
  <c r="AD685" i="1"/>
  <c r="FH685" i="1"/>
  <c r="FH708" i="1"/>
  <c r="GI678" i="1"/>
  <c r="FO667" i="1"/>
  <c r="FN669" i="1"/>
  <c r="FN702" i="1"/>
  <c r="FO719" i="1"/>
  <c r="EU656" i="1"/>
  <c r="ET656" i="1"/>
  <c r="DF685" i="1"/>
  <c r="CD685" i="1"/>
  <c r="FX685" i="1"/>
  <c r="FX708" i="1"/>
  <c r="FY684" i="1"/>
  <c r="FX686" i="1"/>
  <c r="AX670" i="1"/>
  <c r="GD703" i="1"/>
  <c r="GE703" i="1" s="1"/>
  <c r="GE720" i="1"/>
  <c r="FR701" i="1"/>
  <c r="FS718" i="1"/>
  <c r="CM662" i="1"/>
  <c r="BR660" i="1"/>
  <c r="AL660" i="1"/>
  <c r="DX660" i="1"/>
  <c r="EF660" i="1"/>
  <c r="FM658" i="1"/>
  <c r="FO658" i="1"/>
  <c r="DU681" i="1"/>
  <c r="GE678" i="1"/>
  <c r="EP670" i="1"/>
  <c r="DJ670" i="1"/>
  <c r="GH703" i="1"/>
  <c r="GI703" i="1" s="1"/>
  <c r="GI720" i="1"/>
  <c r="FV701" i="1"/>
  <c r="FW718" i="1"/>
  <c r="BF660" i="1"/>
  <c r="EX660" i="1"/>
  <c r="EP660" i="1"/>
  <c r="DZ662" i="1"/>
  <c r="CT662" i="1"/>
  <c r="BU686" i="1"/>
  <c r="BV686" i="1" s="1"/>
  <c r="FR685" i="1"/>
  <c r="BF685" i="1"/>
  <c r="BE687" i="1"/>
  <c r="BF708" i="1"/>
  <c r="FN708" i="1"/>
  <c r="FN686" i="1"/>
  <c r="FO684" i="1"/>
  <c r="ED670" i="1"/>
  <c r="CX670" i="1"/>
  <c r="BF670" i="1"/>
  <c r="Z670" i="1"/>
  <c r="GM667" i="1"/>
  <c r="GL669" i="1"/>
  <c r="GL702" i="1"/>
  <c r="GL719" i="1"/>
  <c r="GM719" i="1" s="1"/>
  <c r="FK717" i="1"/>
  <c r="CE662" i="1"/>
  <c r="CF662" i="1" s="1"/>
  <c r="CH660" i="1"/>
  <c r="BZ660" i="1"/>
  <c r="AT660" i="1"/>
  <c r="ED660" i="1"/>
  <c r="CX660" i="1"/>
  <c r="AZ660" i="1"/>
  <c r="EW652" i="1"/>
  <c r="EV652" i="1"/>
  <c r="EU570" i="1"/>
  <c r="GM621" i="1"/>
  <c r="DR616" i="1"/>
  <c r="EW611" i="1"/>
  <c r="GP611" i="1" s="1"/>
  <c r="DL662" i="1"/>
  <c r="EO619" i="1"/>
  <c r="EM616" i="1"/>
  <c r="EN619" i="1"/>
  <c r="EQ634" i="1"/>
  <c r="EP634" i="1"/>
  <c r="EL632" i="1"/>
  <c r="EM632" i="1"/>
  <c r="EK613" i="1"/>
  <c r="EF613" i="1"/>
  <c r="DX613" i="1"/>
  <c r="GI655" i="1"/>
  <c r="FO655" i="1"/>
  <c r="ER617" i="1"/>
  <c r="GL616" i="1"/>
  <c r="GH616" i="1"/>
  <c r="GD616" i="1"/>
  <c r="EG577" i="1"/>
  <c r="EH575" i="1"/>
  <c r="DA577" i="1"/>
  <c r="DB575" i="1"/>
  <c r="BE577" i="1"/>
  <c r="BF575" i="1"/>
  <c r="FV586" i="1"/>
  <c r="FW586" i="1" s="1"/>
  <c r="FV575" i="1"/>
  <c r="FW570" i="1"/>
  <c r="DX586" i="1"/>
  <c r="DH586" i="1"/>
  <c r="BL586" i="1"/>
  <c r="BT575" i="1"/>
  <c r="BS577" i="1"/>
  <c r="FU617" i="1"/>
  <c r="AJ577" i="1"/>
  <c r="EE577" i="1"/>
  <c r="EF575" i="1"/>
  <c r="DO577" i="1"/>
  <c r="DP575" i="1"/>
  <c r="CY577" i="1"/>
  <c r="CZ575" i="1"/>
  <c r="CF575" i="1"/>
  <c r="CE577" i="1"/>
  <c r="EQ576" i="1"/>
  <c r="EQ577" i="1" s="1"/>
  <c r="ER577" i="1" s="1"/>
  <c r="ER575" i="1"/>
  <c r="GN586" i="1"/>
  <c r="GO586" i="1" s="1"/>
  <c r="GN575" i="1"/>
  <c r="GO570" i="1"/>
  <c r="FX586" i="1"/>
  <c r="FX575" i="1"/>
  <c r="FY570" i="1"/>
  <c r="FH586" i="1"/>
  <c r="FI586" i="1" s="1"/>
  <c r="FH575" i="1"/>
  <c r="FI570" i="1"/>
  <c r="ER586" i="1"/>
  <c r="EJ586" i="1"/>
  <c r="DR586" i="1"/>
  <c r="DB586" i="1"/>
  <c r="CL586" i="1"/>
  <c r="BV586" i="1"/>
  <c r="BF586" i="1"/>
  <c r="AS577" i="1"/>
  <c r="AT577" i="1" s="1"/>
  <c r="AT575" i="1"/>
  <c r="BQ577" i="1"/>
  <c r="BR577" i="1" s="1"/>
  <c r="BR575" i="1"/>
  <c r="EU824" i="1"/>
  <c r="EW545" i="1"/>
  <c r="EV545" i="1"/>
  <c r="EU15" i="1"/>
  <c r="EV15" i="1" s="1"/>
  <c r="FW581" i="1"/>
  <c r="GE586" i="1"/>
  <c r="FN577" i="1"/>
  <c r="CJ586" i="1"/>
  <c r="ES577" i="1"/>
  <c r="ET577" i="1" s="1"/>
  <c r="ED577" i="1"/>
  <c r="DN577" i="1"/>
  <c r="CX577" i="1"/>
  <c r="CH577" i="1"/>
  <c r="AH577" i="1"/>
  <c r="GA570" i="1"/>
  <c r="FK570" i="1"/>
  <c r="CN586" i="1"/>
  <c r="BH586" i="1"/>
  <c r="ES843" i="1"/>
  <c r="ES822" i="1"/>
  <c r="AP511" i="1"/>
  <c r="EO858" i="1"/>
  <c r="EP502" i="1"/>
  <c r="DY858" i="1"/>
  <c r="DZ502" i="1"/>
  <c r="DI858" i="1"/>
  <c r="DJ502" i="1"/>
  <c r="CS858" i="1"/>
  <c r="CT502" i="1"/>
  <c r="CC858" i="1"/>
  <c r="CD502" i="1"/>
  <c r="BM858" i="1"/>
  <c r="BN502" i="1"/>
  <c r="EG775" i="1"/>
  <c r="EG531" i="1"/>
  <c r="EG493" i="1"/>
  <c r="EH490" i="1"/>
  <c r="DQ775" i="1"/>
  <c r="DQ531" i="1"/>
  <c r="DQ493" i="1"/>
  <c r="DR490" i="1"/>
  <c r="DA775" i="1"/>
  <c r="DA531" i="1"/>
  <c r="DB490" i="1"/>
  <c r="CK775" i="1"/>
  <c r="CK531" i="1"/>
  <c r="CL490" i="1"/>
  <c r="BU775" i="1"/>
  <c r="BU531" i="1"/>
  <c r="BV490" i="1"/>
  <c r="EF487" i="1"/>
  <c r="DP487" i="1"/>
  <c r="CZ487" i="1"/>
  <c r="CJ487" i="1"/>
  <c r="BT487" i="1"/>
  <c r="FV454" i="1"/>
  <c r="FV457" i="1"/>
  <c r="FF454" i="1"/>
  <c r="FG454" i="1" s="1"/>
  <c r="FF457" i="1"/>
  <c r="FG453" i="1"/>
  <c r="BI453" i="1"/>
  <c r="BP449" i="1"/>
  <c r="BH449" i="1"/>
  <c r="EK537" i="1"/>
  <c r="EK508" i="1"/>
  <c r="EM425" i="1"/>
  <c r="EL425" i="1"/>
  <c r="CH511" i="1"/>
  <c r="BF451" i="1"/>
  <c r="AP451" i="1"/>
  <c r="Z451" i="1"/>
  <c r="FQ443" i="1"/>
  <c r="GI434" i="1"/>
  <c r="GH436" i="1"/>
  <c r="GI436" i="1" s="1"/>
  <c r="FI411" i="1"/>
  <c r="FH418" i="1"/>
  <c r="FI418" i="1" s="1"/>
  <c r="FH416" i="1"/>
  <c r="GM405" i="1"/>
  <c r="GL408" i="1"/>
  <c r="FT408" i="1"/>
  <c r="FU405" i="1"/>
  <c r="BP511" i="1"/>
  <c r="AR511" i="1"/>
  <c r="AQ775" i="1"/>
  <c r="AQ531" i="1"/>
  <c r="FP490" i="1"/>
  <c r="AR490" i="1"/>
  <c r="AA775" i="1"/>
  <c r="AA531" i="1"/>
  <c r="AB490" i="1"/>
  <c r="K775" i="1"/>
  <c r="K531" i="1"/>
  <c r="L490" i="1"/>
  <c r="FZ487" i="1"/>
  <c r="GA487" i="1" s="1"/>
  <c r="GA486" i="1"/>
  <c r="FZ490" i="1"/>
  <c r="FZ11" i="1"/>
  <c r="GC11" i="1" s="1"/>
  <c r="EL487" i="1"/>
  <c r="DV487" i="1"/>
  <c r="DF487" i="1"/>
  <c r="CP487" i="1"/>
  <c r="BZ487" i="1"/>
  <c r="BJ487" i="1"/>
  <c r="AT487" i="1"/>
  <c r="AD487" i="1"/>
  <c r="BO457" i="1"/>
  <c r="BO454" i="1"/>
  <c r="AY457" i="1"/>
  <c r="AY454" i="1"/>
  <c r="AI453" i="1"/>
  <c r="T453" i="1"/>
  <c r="S457" i="1"/>
  <c r="S454" i="1"/>
  <c r="ED418" i="1"/>
  <c r="CX418" i="1"/>
  <c r="BR418" i="1"/>
  <c r="AL418" i="1"/>
  <c r="EE800" i="1"/>
  <c r="EE420" i="1"/>
  <c r="EE422" i="1"/>
  <c r="EF408" i="1"/>
  <c r="DO800" i="1"/>
  <c r="DO420" i="1"/>
  <c r="DO422" i="1"/>
  <c r="DP408" i="1"/>
  <c r="CY800" i="1"/>
  <c r="CY420" i="1"/>
  <c r="CY422" i="1"/>
  <c r="CZ408" i="1"/>
  <c r="CI800" i="1"/>
  <c r="CI420" i="1"/>
  <c r="CI422" i="1"/>
  <c r="CJ408" i="1"/>
  <c r="BS420" i="1"/>
  <c r="BS422" i="1"/>
  <c r="BT408" i="1"/>
  <c r="BC420" i="1"/>
  <c r="BC422" i="1"/>
  <c r="BD408" i="1"/>
  <c r="AM420" i="1"/>
  <c r="AM422" i="1"/>
  <c r="AN408" i="1"/>
  <c r="W420" i="1"/>
  <c r="W422" i="1"/>
  <c r="X408" i="1"/>
  <c r="R475" i="1"/>
  <c r="Q476" i="1"/>
  <c r="R476" i="1" s="1"/>
  <c r="EJ436" i="1"/>
  <c r="DD436" i="1"/>
  <c r="GF436" i="1"/>
  <c r="GG434" i="1"/>
  <c r="DB508" i="1"/>
  <c r="CT508" i="1"/>
  <c r="GD418" i="1"/>
  <c r="GE418" i="1" s="1"/>
  <c r="EH416" i="1"/>
  <c r="DR416" i="1"/>
  <c r="DB416" i="1"/>
  <c r="CL416" i="1"/>
  <c r="BV416" i="1"/>
  <c r="BF416" i="1"/>
  <c r="EA858" i="1"/>
  <c r="EA859" i="1" s="1"/>
  <c r="EB502" i="1"/>
  <c r="BO858" i="1"/>
  <c r="BO859" i="1" s="1"/>
  <c r="BP502" i="1"/>
  <c r="AC502" i="1"/>
  <c r="ER493" i="1"/>
  <c r="EJ493" i="1"/>
  <c r="DT531" i="1"/>
  <c r="DD531" i="1"/>
  <c r="CN531" i="1"/>
  <c r="BX531" i="1"/>
  <c r="BB531" i="1"/>
  <c r="AL531" i="1"/>
  <c r="V531" i="1"/>
  <c r="Q529" i="1"/>
  <c r="R457" i="1"/>
  <c r="ET425" i="1"/>
  <c r="GM419" i="1"/>
  <c r="FY418" i="1"/>
  <c r="GN408" i="1"/>
  <c r="GO405" i="1"/>
  <c r="EW412" i="1"/>
  <c r="EX412" i="1" s="1"/>
  <c r="GP406" i="1"/>
  <c r="EX406" i="1"/>
  <c r="FW436" i="1"/>
  <c r="AI346" i="1"/>
  <c r="AJ344" i="1"/>
  <c r="EU308" i="1"/>
  <c r="ET308" i="1"/>
  <c r="CY858" i="1"/>
  <c r="CY859" i="1" s="1"/>
  <c r="CZ502" i="1"/>
  <c r="AW858" i="1"/>
  <c r="DH531" i="1"/>
  <c r="CR531" i="1"/>
  <c r="CB531" i="1"/>
  <c r="BF531" i="1"/>
  <c r="EV487" i="1"/>
  <c r="BH436" i="1"/>
  <c r="GE416" i="1"/>
  <c r="EC422" i="1"/>
  <c r="EL422" i="1" s="1"/>
  <c r="DM422" i="1"/>
  <c r="DV422" i="1" s="1"/>
  <c r="CW422" i="1"/>
  <c r="DF422" i="1" s="1"/>
  <c r="CG422" i="1"/>
  <c r="BQ422" i="1"/>
  <c r="BZ422" i="1" s="1"/>
  <c r="AK422" i="1"/>
  <c r="FW405" i="1"/>
  <c r="FV408" i="1"/>
  <c r="EO383" i="1"/>
  <c r="EP370" i="1"/>
  <c r="EO381" i="1"/>
  <c r="DY383" i="1"/>
  <c r="DZ370" i="1"/>
  <c r="DY381" i="1"/>
  <c r="DI383" i="1"/>
  <c r="DJ370" i="1"/>
  <c r="DI381" i="1"/>
  <c r="CS383" i="1"/>
  <c r="CT370" i="1"/>
  <c r="CS381" i="1"/>
  <c r="CC383" i="1"/>
  <c r="CD370" i="1"/>
  <c r="CC381" i="1"/>
  <c r="BM383" i="1"/>
  <c r="BN370" i="1"/>
  <c r="BM381" i="1"/>
  <c r="AW383" i="1"/>
  <c r="AX370" i="1"/>
  <c r="AW381" i="1"/>
  <c r="GL370" i="1"/>
  <c r="GM367" i="1"/>
  <c r="EL314" i="1"/>
  <c r="DV314" i="1"/>
  <c r="DF314" i="1"/>
  <c r="CP314" i="1"/>
  <c r="EP313" i="1"/>
  <c r="EX313" i="1"/>
  <c r="DZ313" i="1"/>
  <c r="DJ313" i="1"/>
  <c r="CT313" i="1"/>
  <c r="CD313" i="1"/>
  <c r="BN313" i="1"/>
  <c r="AX313" i="1"/>
  <c r="AH313" i="1"/>
  <c r="DC858" i="1"/>
  <c r="DC859" i="1" s="1"/>
  <c r="DD502" i="1"/>
  <c r="BA858" i="1"/>
  <c r="N531" i="1"/>
  <c r="FT775" i="1"/>
  <c r="FT531" i="1"/>
  <c r="FU490" i="1"/>
  <c r="FL775" i="1"/>
  <c r="FL531" i="1"/>
  <c r="FM490" i="1"/>
  <c r="BB454" i="1"/>
  <c r="AK529" i="1"/>
  <c r="AL457" i="1"/>
  <c r="GI419" i="1"/>
  <c r="FU419" i="1"/>
  <c r="FR422" i="1"/>
  <c r="AR436" i="1"/>
  <c r="FK393" i="1"/>
  <c r="FD387" i="1"/>
  <c r="FD384" i="1"/>
  <c r="FE384" i="1" s="1"/>
  <c r="FE383" i="1"/>
  <c r="S387" i="1"/>
  <c r="T383" i="1"/>
  <c r="S384" i="1"/>
  <c r="GE319" i="1"/>
  <c r="GG319" i="1"/>
  <c r="EM858" i="1"/>
  <c r="EM859" i="1" s="1"/>
  <c r="EN502" i="1"/>
  <c r="CA858" i="1"/>
  <c r="CA859" i="1" s="1"/>
  <c r="CB502" i="1"/>
  <c r="FW531" i="1"/>
  <c r="DP493" i="1"/>
  <c r="AW775" i="1"/>
  <c r="AP454" i="1"/>
  <c r="Y529" i="1"/>
  <c r="Z457" i="1"/>
  <c r="FO420" i="1"/>
  <c r="GI416" i="1"/>
  <c r="EO800" i="1"/>
  <c r="EO420" i="1"/>
  <c r="EO422" i="1"/>
  <c r="EP408" i="1"/>
  <c r="DR418" i="1"/>
  <c r="DI800" i="1"/>
  <c r="DI420" i="1"/>
  <c r="DI422" i="1"/>
  <c r="DJ408" i="1"/>
  <c r="CC800" i="1"/>
  <c r="CC420" i="1"/>
  <c r="CC422" i="1"/>
  <c r="CD408" i="1"/>
  <c r="AW420" i="1"/>
  <c r="AW422" i="1"/>
  <c r="AX408" i="1"/>
  <c r="Q420" i="1"/>
  <c r="R420" i="1" s="1"/>
  <c r="Q422" i="1"/>
  <c r="R408" i="1"/>
  <c r="FO408" i="1"/>
  <c r="FN422" i="1"/>
  <c r="EW397" i="1"/>
  <c r="EU399" i="1"/>
  <c r="GA386" i="1"/>
  <c r="FQ381" i="1"/>
  <c r="FY380" i="1"/>
  <c r="V381" i="1"/>
  <c r="CV380" i="1"/>
  <c r="CF380" i="1"/>
  <c r="BP380" i="1"/>
  <c r="AZ380" i="1"/>
  <c r="GC378" i="1"/>
  <c r="FM378" i="1"/>
  <c r="EI381" i="1"/>
  <c r="EI383" i="1"/>
  <c r="EJ370" i="1"/>
  <c r="DS381" i="1"/>
  <c r="DS383" i="1"/>
  <c r="DT370" i="1"/>
  <c r="DC381" i="1"/>
  <c r="DC383" i="1"/>
  <c r="DD370" i="1"/>
  <c r="CM381" i="1"/>
  <c r="CM383" i="1"/>
  <c r="CN370" i="1"/>
  <c r="BW381" i="1"/>
  <c r="BW383" i="1"/>
  <c r="BX370" i="1"/>
  <c r="BG381" i="1"/>
  <c r="BG383" i="1"/>
  <c r="BH370" i="1"/>
  <c r="AQ381" i="1"/>
  <c r="AQ383" i="1"/>
  <c r="AR370" i="1"/>
  <c r="GJ370" i="1"/>
  <c r="GK367" i="1"/>
  <c r="GJ324" i="1"/>
  <c r="GJ320" i="1"/>
  <c r="GJ317" i="1"/>
  <c r="GJ9" i="1"/>
  <c r="FD324" i="1"/>
  <c r="FD317" i="1"/>
  <c r="FE317" i="1" s="1"/>
  <c r="FE316" i="1"/>
  <c r="EA320" i="1"/>
  <c r="EB316" i="1"/>
  <c r="EA324" i="1"/>
  <c r="EA317" i="1"/>
  <c r="EA9" i="1"/>
  <c r="DK320" i="1"/>
  <c r="DK324" i="1"/>
  <c r="DL316" i="1"/>
  <c r="DK317" i="1"/>
  <c r="DK9" i="1"/>
  <c r="CV316" i="1"/>
  <c r="CU324" i="1"/>
  <c r="CU320" i="1"/>
  <c r="CU317" i="1"/>
  <c r="CU9" i="1"/>
  <c r="CE324" i="1"/>
  <c r="CF316" i="1"/>
  <c r="CE317" i="1"/>
  <c r="BO324" i="1"/>
  <c r="BP316" i="1"/>
  <c r="BO317" i="1"/>
  <c r="AY324" i="1"/>
  <c r="AZ316" i="1"/>
  <c r="AY317" i="1"/>
  <c r="AI324" i="1"/>
  <c r="AJ316" i="1"/>
  <c r="AI317" i="1"/>
  <c r="S324" i="1"/>
  <c r="T316" i="1"/>
  <c r="S317" i="1"/>
  <c r="EJ314" i="1"/>
  <c r="DT314" i="1"/>
  <c r="DD314" i="1"/>
  <c r="BT314" i="1"/>
  <c r="BD314" i="1"/>
  <c r="EF313" i="1"/>
  <c r="DP313" i="1"/>
  <c r="CZ313" i="1"/>
  <c r="CJ313" i="1"/>
  <c r="BT313" i="1"/>
  <c r="BD313" i="1"/>
  <c r="AN313" i="1"/>
  <c r="X313" i="1"/>
  <c r="FQ370" i="1"/>
  <c r="FP383" i="1"/>
  <c r="AO501" i="1"/>
  <c r="AP346" i="1"/>
  <c r="AO349" i="1"/>
  <c r="AX349" i="1" s="1"/>
  <c r="EP320" i="1"/>
  <c r="DI772" i="1"/>
  <c r="DI525" i="1"/>
  <c r="DI325" i="1"/>
  <c r="DJ324" i="1"/>
  <c r="DI330" i="1"/>
  <c r="CS772" i="1"/>
  <c r="CS525" i="1"/>
  <c r="CT324" i="1"/>
  <c r="CS325" i="1"/>
  <c r="CC772" i="1"/>
  <c r="CC525" i="1"/>
  <c r="CD324" i="1"/>
  <c r="BM772" i="1"/>
  <c r="BM525" i="1"/>
  <c r="BN324" i="1"/>
  <c r="AW772" i="1"/>
  <c r="AW525" i="1"/>
  <c r="AX324" i="1"/>
  <c r="AH317" i="1"/>
  <c r="GD316" i="1"/>
  <c r="FP289" i="1"/>
  <c r="GD281" i="1"/>
  <c r="CU289" i="1"/>
  <c r="CV287" i="1"/>
  <c r="CW281" i="1"/>
  <c r="CO294" i="1"/>
  <c r="CO295" i="1" s="1"/>
  <c r="CO287" i="1"/>
  <c r="CO293" i="1"/>
  <c r="GF788" i="1"/>
  <c r="GG274" i="1"/>
  <c r="EU266" i="1"/>
  <c r="ET266" i="1"/>
  <c r="GJ246" i="1"/>
  <c r="GK246" i="1" s="1"/>
  <c r="GK239" i="1"/>
  <c r="M527" i="1"/>
  <c r="FT339" i="1"/>
  <c r="FU339" i="1" s="1"/>
  <c r="FU338" i="1"/>
  <c r="GK313" i="1"/>
  <c r="GO311" i="1"/>
  <c r="FG316" i="1"/>
  <c r="DM772" i="1"/>
  <c r="DM525" i="1"/>
  <c r="DM330" i="1"/>
  <c r="DN330" i="1" s="1"/>
  <c r="DN324" i="1"/>
  <c r="DM325" i="1"/>
  <c r="CX320" i="1"/>
  <c r="U772" i="1"/>
  <c r="U525" i="1"/>
  <c r="V324" i="1"/>
  <c r="AS294" i="1"/>
  <c r="AS287" i="1"/>
  <c r="AS293" i="1"/>
  <c r="GJ788" i="1"/>
  <c r="GK274" i="1"/>
  <c r="GC251" i="1"/>
  <c r="GA251" i="1"/>
  <c r="DC787" i="1"/>
  <c r="DD242" i="1"/>
  <c r="BW787" i="1"/>
  <c r="BX242" i="1"/>
  <c r="AQ787" i="1"/>
  <c r="AR242" i="1"/>
  <c r="K787" i="1"/>
  <c r="L242" i="1"/>
  <c r="DN240" i="1"/>
  <c r="DF240" i="1"/>
  <c r="GF240" i="1"/>
  <c r="CT240" i="1"/>
  <c r="CL240" i="1"/>
  <c r="BV240" i="1"/>
  <c r="AH384" i="1"/>
  <c r="FO366" i="1"/>
  <c r="EG772" i="1"/>
  <c r="EG525" i="1"/>
  <c r="EG330" i="1"/>
  <c r="EG325" i="1"/>
  <c r="EH324" i="1"/>
  <c r="DR320" i="1"/>
  <c r="DB317" i="1"/>
  <c r="CL317" i="1"/>
  <c r="BV317" i="1"/>
  <c r="BF317" i="1"/>
  <c r="FX788" i="1"/>
  <c r="FY274" i="1"/>
  <c r="EK252" i="1"/>
  <c r="EL248" i="1"/>
  <c r="EK249" i="1"/>
  <c r="DE248" i="1"/>
  <c r="BI248" i="1"/>
  <c r="AC252" i="1"/>
  <c r="AD248" i="1"/>
  <c r="AC249" i="1"/>
  <c r="M252" i="1"/>
  <c r="M249" i="1"/>
  <c r="GL883" i="1"/>
  <c r="GL787" i="1"/>
  <c r="GM242" i="1"/>
  <c r="EA883" i="1"/>
  <c r="EA787" i="1"/>
  <c r="EB242" i="1"/>
  <c r="GT375" i="1"/>
  <c r="GS375" i="1"/>
  <c r="FF774" i="1"/>
  <c r="FF779" i="1" s="1"/>
  <c r="FF527" i="1"/>
  <c r="FG387" i="1"/>
  <c r="U527" i="1"/>
  <c r="V387" i="1"/>
  <c r="FR383" i="1"/>
  <c r="ER366" i="1"/>
  <c r="BD501" i="1"/>
  <c r="GG314" i="1"/>
  <c r="FY313" i="1"/>
  <c r="GC311" i="1"/>
  <c r="EL317" i="1"/>
  <c r="DV320" i="1"/>
  <c r="DF317" i="1"/>
  <c r="CP317" i="1"/>
  <c r="BZ317" i="1"/>
  <c r="BJ317" i="1"/>
  <c r="AT317" i="1"/>
  <c r="FJ316" i="1"/>
  <c r="GM291" i="1"/>
  <c r="FW291" i="1"/>
  <c r="EG883" i="1"/>
  <c r="EG787" i="1"/>
  <c r="EH242" i="1"/>
  <c r="DP240" i="1"/>
  <c r="DH240" i="1"/>
  <c r="EQ232" i="1"/>
  <c r="EQ235" i="1"/>
  <c r="ER229" i="1"/>
  <c r="GV271" i="1"/>
  <c r="GU271" i="1"/>
  <c r="GI274" i="1"/>
  <c r="FS274" i="1"/>
  <c r="FR240" i="1"/>
  <c r="GM244" i="1"/>
  <c r="GH787" i="1"/>
  <c r="GI242" i="1"/>
  <c r="FG232" i="1"/>
  <c r="FF248" i="1"/>
  <c r="FF245" i="1"/>
  <c r="EM883" i="1"/>
  <c r="EM787" i="1"/>
  <c r="EN242" i="1"/>
  <c r="DO248" i="1"/>
  <c r="DO245" i="1"/>
  <c r="DP232" i="1"/>
  <c r="DG248" i="1"/>
  <c r="DG245" i="1"/>
  <c r="DH232" i="1"/>
  <c r="CI787" i="1"/>
  <c r="CJ242" i="1"/>
  <c r="CA248" i="1"/>
  <c r="CA245" i="1"/>
  <c r="CB232" i="1"/>
  <c r="BC787" i="1"/>
  <c r="BD242" i="1"/>
  <c r="AU248" i="1"/>
  <c r="AU245" i="1"/>
  <c r="AV232" i="1"/>
  <c r="W787" i="1"/>
  <c r="X242" i="1"/>
  <c r="O248" i="1"/>
  <c r="O245" i="1"/>
  <c r="P232" i="1"/>
  <c r="GH232" i="1"/>
  <c r="GI229" i="1"/>
  <c r="DA217" i="1"/>
  <c r="DB213" i="1"/>
  <c r="DA214" i="1"/>
  <c r="BV213" i="1"/>
  <c r="BU214" i="1"/>
  <c r="BU217" i="1"/>
  <c r="AP213" i="1"/>
  <c r="AO214" i="1"/>
  <c r="AO217" i="1"/>
  <c r="EK899" i="1"/>
  <c r="ET207" i="1"/>
  <c r="EL207" i="1"/>
  <c r="CR207" i="1"/>
  <c r="BL207" i="1"/>
  <c r="AF207" i="1"/>
  <c r="AB211" i="1"/>
  <c r="AI181" i="1"/>
  <c r="AJ181" i="1" s="1"/>
  <c r="AI196" i="1"/>
  <c r="AJ196" i="1" s="1"/>
  <c r="AI195" i="1"/>
  <c r="AJ179" i="1"/>
  <c r="FX784" i="1"/>
  <c r="FY143" i="1"/>
  <c r="BL534" i="1"/>
  <c r="EP120" i="1"/>
  <c r="DZ120" i="1"/>
  <c r="DJ120" i="1"/>
  <c r="CT120" i="1"/>
  <c r="CD120" i="1"/>
  <c r="BN120" i="1"/>
  <c r="AX120" i="1"/>
  <c r="ED509" i="1"/>
  <c r="DN509" i="1"/>
  <c r="CX509" i="1"/>
  <c r="CH509" i="1"/>
  <c r="BR509" i="1"/>
  <c r="BB509" i="1"/>
  <c r="GH509" i="1"/>
  <c r="GH126" i="1"/>
  <c r="GI126" i="1" s="1"/>
  <c r="GI119" i="1"/>
  <c r="FR509" i="1"/>
  <c r="FS509" i="1" s="1"/>
  <c r="FR126" i="1"/>
  <c r="FS126" i="1" s="1"/>
  <c r="FS119" i="1"/>
  <c r="GE508" i="1"/>
  <c r="FZ855" i="1"/>
  <c r="GA506" i="1"/>
  <c r="GM505" i="1"/>
  <c r="FW505" i="1"/>
  <c r="ES507" i="1"/>
  <c r="ET507" i="1" s="1"/>
  <c r="CA128" i="1"/>
  <c r="CA125" i="1"/>
  <c r="CB112" i="1"/>
  <c r="AU128" i="1"/>
  <c r="AU125" i="1"/>
  <c r="AV112" i="1"/>
  <c r="O128" i="1"/>
  <c r="O125" i="1"/>
  <c r="P125" i="1" s="1"/>
  <c r="P112" i="1"/>
  <c r="GF854" i="1"/>
  <c r="GG500" i="1"/>
  <c r="FP854" i="1"/>
  <c r="FQ500" i="1"/>
  <c r="GN883" i="1"/>
  <c r="GN787" i="1"/>
  <c r="GO242" i="1"/>
  <c r="FI242" i="1"/>
  <c r="ET229" i="1"/>
  <c r="ES232" i="1"/>
  <c r="ES235" i="1"/>
  <c r="EE217" i="1"/>
  <c r="EF213" i="1"/>
  <c r="EE214" i="1"/>
  <c r="CY217" i="1"/>
  <c r="CZ213" i="1"/>
  <c r="CY214" i="1"/>
  <c r="BS217" i="1"/>
  <c r="BT213" i="1"/>
  <c r="BS214" i="1"/>
  <c r="AM217" i="1"/>
  <c r="AN213" i="1"/>
  <c r="AM214" i="1"/>
  <c r="GL903" i="1"/>
  <c r="GM209" i="1"/>
  <c r="EG899" i="1"/>
  <c r="EH207" i="1"/>
  <c r="CP207" i="1"/>
  <c r="BJ207" i="1"/>
  <c r="AD207" i="1"/>
  <c r="EI211" i="1"/>
  <c r="EJ205" i="1"/>
  <c r="FJ211" i="1"/>
  <c r="FK205" i="1"/>
  <c r="GF211" i="1"/>
  <c r="GG205" i="1"/>
  <c r="FX211" i="1"/>
  <c r="FY205" i="1"/>
  <c r="FP211" i="1"/>
  <c r="FQ205" i="1"/>
  <c r="GI156" i="1"/>
  <c r="GH184" i="1"/>
  <c r="FD154" i="1"/>
  <c r="FE153" i="1"/>
  <c r="FD155" i="1"/>
  <c r="FF149" i="1"/>
  <c r="GL534" i="1"/>
  <c r="GM534" i="1" s="1"/>
  <c r="GM131" i="1"/>
  <c r="GO131" i="1"/>
  <c r="EE877" i="1"/>
  <c r="EF122" i="1"/>
  <c r="FQ120" i="1"/>
  <c r="FM505" i="1"/>
  <c r="GO119" i="1"/>
  <c r="I128" i="1"/>
  <c r="I125" i="1"/>
  <c r="R125" i="1" s="1"/>
  <c r="FL499" i="1"/>
  <c r="GL852" i="1"/>
  <c r="GD502" i="1"/>
  <c r="BA276" i="1"/>
  <c r="BA277" i="1"/>
  <c r="BA278" i="1" s="1"/>
  <c r="BA270" i="1"/>
  <c r="BB265" i="1"/>
  <c r="FY246" i="1"/>
  <c r="FK244" i="1"/>
  <c r="FB837" i="1"/>
  <c r="FB252" i="1"/>
  <c r="FB813" i="1" s="1"/>
  <c r="FB249" i="1"/>
  <c r="DT245" i="1"/>
  <c r="DK249" i="1"/>
  <c r="DK252" i="1"/>
  <c r="DL248" i="1"/>
  <c r="CN245" i="1"/>
  <c r="CE249" i="1"/>
  <c r="CE252" i="1"/>
  <c r="CF248" i="1"/>
  <c r="BH245" i="1"/>
  <c r="AY249" i="1"/>
  <c r="AY252" i="1"/>
  <c r="AB245" i="1"/>
  <c r="S249" i="1"/>
  <c r="S252" i="1"/>
  <c r="T248" i="1"/>
  <c r="FZ232" i="1"/>
  <c r="GA229" i="1"/>
  <c r="FH232" i="1"/>
  <c r="FI229" i="1"/>
  <c r="FF214" i="1"/>
  <c r="FG213" i="1"/>
  <c r="FF217" i="1"/>
  <c r="DN213" i="1"/>
  <c r="DM217" i="1"/>
  <c r="DM214" i="1"/>
  <c r="DM8" i="1"/>
  <c r="CH213" i="1"/>
  <c r="CG217" i="1"/>
  <c r="CG214" i="1"/>
  <c r="BB213" i="1"/>
  <c r="BA217" i="1"/>
  <c r="BA214" i="1"/>
  <c r="V213" i="1"/>
  <c r="U217" i="1"/>
  <c r="U214" i="1"/>
  <c r="DD207" i="1"/>
  <c r="BX207" i="1"/>
  <c r="AR207" i="1"/>
  <c r="DN211" i="1"/>
  <c r="CX211" i="1"/>
  <c r="CH211" i="1"/>
  <c r="BR211" i="1"/>
  <c r="BB211" i="1"/>
  <c r="AL211" i="1"/>
  <c r="V211" i="1"/>
  <c r="DV534" i="1"/>
  <c r="EG128" i="1"/>
  <c r="DQ128" i="1"/>
  <c r="DA128" i="1"/>
  <c r="CK128" i="1"/>
  <c r="BU128" i="1"/>
  <c r="BE128" i="1"/>
  <c r="AO128" i="1"/>
  <c r="Y132" i="1"/>
  <c r="Z128" i="1"/>
  <c r="Y129" i="1"/>
  <c r="GC125" i="1"/>
  <c r="FM125" i="1"/>
  <c r="GN877" i="1"/>
  <c r="GO122" i="1"/>
  <c r="EB120" i="1"/>
  <c r="DL120" i="1"/>
  <c r="CV120" i="1"/>
  <c r="CF120" i="1"/>
  <c r="BP120" i="1"/>
  <c r="AZ120" i="1"/>
  <c r="EB509" i="1"/>
  <c r="DL509" i="1"/>
  <c r="CV509" i="1"/>
  <c r="CF509" i="1"/>
  <c r="BP509" i="1"/>
  <c r="AZ509" i="1"/>
  <c r="GJ509" i="1"/>
  <c r="GK509" i="1" s="1"/>
  <c r="FT509" i="1"/>
  <c r="GG508" i="1"/>
  <c r="GC507" i="1"/>
  <c r="GN855" i="1"/>
  <c r="GO506" i="1"/>
  <c r="FX855" i="1"/>
  <c r="FY506" i="1"/>
  <c r="GK505" i="1"/>
  <c r="FU505" i="1"/>
  <c r="GB788" i="1"/>
  <c r="EP242" i="1"/>
  <c r="FV232" i="1"/>
  <c r="FW229" i="1"/>
  <c r="ER236" i="1"/>
  <c r="EI213" i="1"/>
  <c r="DC217" i="1"/>
  <c r="DD213" i="1"/>
  <c r="DC214" i="1"/>
  <c r="DC8" i="1"/>
  <c r="BW217" i="1"/>
  <c r="BX213" i="1"/>
  <c r="BW214" i="1"/>
  <c r="AQ217" i="1"/>
  <c r="AR213" i="1"/>
  <c r="AQ214" i="1"/>
  <c r="K217" i="1"/>
  <c r="L213" i="1"/>
  <c r="K214" i="1"/>
  <c r="L214" i="1" s="1"/>
  <c r="EE903" i="1"/>
  <c r="EF209" i="1"/>
  <c r="EE210" i="1"/>
  <c r="EF210" i="1" s="1"/>
  <c r="EO899" i="1"/>
  <c r="EP207" i="1"/>
  <c r="CT207" i="1"/>
  <c r="BN207" i="1"/>
  <c r="AH207" i="1"/>
  <c r="EA211" i="1"/>
  <c r="EB205" i="1"/>
  <c r="EH211" i="1"/>
  <c r="DR211" i="1"/>
  <c r="GL211" i="1"/>
  <c r="GM211" i="1" s="1"/>
  <c r="GM205" i="1"/>
  <c r="GD211" i="1"/>
  <c r="GE205" i="1"/>
  <c r="FV211" i="1"/>
  <c r="FW205" i="1"/>
  <c r="FN211" i="1"/>
  <c r="FO205" i="1"/>
  <c r="GD213" i="1"/>
  <c r="GE191" i="1"/>
  <c r="EP184" i="1"/>
  <c r="DZ184" i="1"/>
  <c r="DJ184" i="1"/>
  <c r="CT184" i="1"/>
  <c r="CD184" i="1"/>
  <c r="BN184" i="1"/>
  <c r="AX184" i="1"/>
  <c r="GJ184" i="1"/>
  <c r="GK184" i="1" s="1"/>
  <c r="GK156" i="1"/>
  <c r="FT184" i="1"/>
  <c r="FU156" i="1"/>
  <c r="FJ499" i="1"/>
  <c r="GC499" i="1"/>
  <c r="GB852" i="1"/>
  <c r="EF85" i="1"/>
  <c r="DP85" i="1"/>
  <c r="CZ85" i="1"/>
  <c r="CJ85" i="1"/>
  <c r="BT85" i="1"/>
  <c r="BD85" i="1"/>
  <c r="AN85" i="1"/>
  <c r="T85" i="1"/>
  <c r="GD209" i="1"/>
  <c r="GE209" i="1" s="1"/>
  <c r="GS202" i="1"/>
  <c r="GT202" i="1"/>
  <c r="EG773" i="1"/>
  <c r="EG521" i="1"/>
  <c r="EG222" i="1"/>
  <c r="EG218" i="1"/>
  <c r="GG191" i="1"/>
  <c r="FW112" i="1"/>
  <c r="FV128" i="1"/>
  <c r="EN125" i="1"/>
  <c r="EX109" i="1"/>
  <c r="CJ534" i="1"/>
  <c r="FW87" i="1"/>
  <c r="GO84" i="1"/>
  <c r="GN91" i="1"/>
  <c r="DS93" i="1"/>
  <c r="DS88" i="1"/>
  <c r="DT72" i="1"/>
  <c r="DC93" i="1"/>
  <c r="DC88" i="1"/>
  <c r="DD72" i="1"/>
  <c r="CM93" i="1"/>
  <c r="CM88" i="1"/>
  <c r="CN72" i="1"/>
  <c r="BW93" i="1"/>
  <c r="BW88" i="1"/>
  <c r="BX72" i="1"/>
  <c r="BG93" i="1"/>
  <c r="BG88" i="1"/>
  <c r="BH72" i="1"/>
  <c r="AQ93" i="1"/>
  <c r="AQ88" i="1"/>
  <c r="AR72" i="1"/>
  <c r="AE93" i="1"/>
  <c r="X93" i="1"/>
  <c r="W97" i="1"/>
  <c r="W94" i="1"/>
  <c r="X94" i="1" s="1"/>
  <c r="P93" i="1"/>
  <c r="O97" i="1"/>
  <c r="O94" i="1"/>
  <c r="EP499" i="1"/>
  <c r="DZ499" i="1"/>
  <c r="DJ499" i="1"/>
  <c r="CR499" i="1"/>
  <c r="CB499" i="1"/>
  <c r="BL499" i="1"/>
  <c r="AV499" i="1"/>
  <c r="EW51" i="1"/>
  <c r="GP51" i="1" s="1"/>
  <c r="EV51" i="1"/>
  <c r="GC172" i="1"/>
  <c r="GO501" i="1"/>
  <c r="GH854" i="1"/>
  <c r="GI500" i="1"/>
  <c r="FR854" i="1"/>
  <c r="FS500" i="1"/>
  <c r="EH85" i="1"/>
  <c r="DY855" i="1"/>
  <c r="DY856" i="1" s="1"/>
  <c r="DZ506" i="1"/>
  <c r="DB85" i="1"/>
  <c r="CS855" i="1"/>
  <c r="CT506" i="1"/>
  <c r="BV85" i="1"/>
  <c r="BM855" i="1"/>
  <c r="BM856" i="1" s="1"/>
  <c r="BN506" i="1"/>
  <c r="AP85" i="1"/>
  <c r="AG855" i="1"/>
  <c r="AG856" i="1" s="1"/>
  <c r="AH506" i="1"/>
  <c r="EK93" i="1"/>
  <c r="EL72" i="1"/>
  <c r="EK88" i="1"/>
  <c r="I94" i="1"/>
  <c r="I97" i="1"/>
  <c r="I518" i="1" s="1"/>
  <c r="FZ72" i="1"/>
  <c r="GA67" i="1"/>
  <c r="EN499" i="1"/>
  <c r="DX499" i="1"/>
  <c r="DH499" i="1"/>
  <c r="CP499" i="1"/>
  <c r="BZ499" i="1"/>
  <c r="BJ499" i="1"/>
  <c r="AT499" i="1"/>
  <c r="FD39" i="1"/>
  <c r="FE38" i="1"/>
  <c r="FF29" i="1"/>
  <c r="GA112" i="1"/>
  <c r="FZ128" i="1"/>
  <c r="FB128" i="1"/>
  <c r="FB125" i="1"/>
  <c r="EI128" i="1"/>
  <c r="EI125" i="1"/>
  <c r="EJ112" i="1"/>
  <c r="DK128" i="1"/>
  <c r="DK125" i="1"/>
  <c r="DL112" i="1"/>
  <c r="DD122" i="1"/>
  <c r="CE128" i="1"/>
  <c r="CE125" i="1"/>
  <c r="CF112" i="1"/>
  <c r="BX122" i="1"/>
  <c r="AY128" i="1"/>
  <c r="AY125" i="1"/>
  <c r="AZ112" i="1"/>
  <c r="AR122" i="1"/>
  <c r="S128" i="1"/>
  <c r="S125" i="1"/>
  <c r="T112" i="1"/>
  <c r="L122" i="1"/>
  <c r="EF91" i="1"/>
  <c r="BT91" i="1"/>
  <c r="GO81" i="1"/>
  <c r="GN85" i="1"/>
  <c r="GO85" i="1" s="1"/>
  <c r="FG85" i="1"/>
  <c r="FH88" i="1"/>
  <c r="FI88" i="1" s="1"/>
  <c r="FH93" i="1"/>
  <c r="FI72" i="1"/>
  <c r="DU93" i="1"/>
  <c r="DU88" i="1"/>
  <c r="DV72" i="1"/>
  <c r="DE93" i="1"/>
  <c r="DE88" i="1"/>
  <c r="DF72" i="1"/>
  <c r="CK93" i="1"/>
  <c r="CK88" i="1"/>
  <c r="CL72" i="1"/>
  <c r="BE93" i="1"/>
  <c r="BE88" i="1"/>
  <c r="BF72" i="1"/>
  <c r="AG93" i="1"/>
  <c r="Y97" i="1"/>
  <c r="Y94" i="1"/>
  <c r="Z93" i="1"/>
  <c r="Q97" i="1"/>
  <c r="Q94" i="1"/>
  <c r="R94" i="1" s="1"/>
  <c r="R93" i="1"/>
  <c r="G97" i="1"/>
  <c r="G518" i="1" s="1"/>
  <c r="G94" i="1"/>
  <c r="EL499" i="1"/>
  <c r="DV499" i="1"/>
  <c r="DF499" i="1"/>
  <c r="CN499" i="1"/>
  <c r="BX499" i="1"/>
  <c r="BH499" i="1"/>
  <c r="AR499" i="1"/>
  <c r="FD57" i="1"/>
  <c r="FE56" i="1"/>
  <c r="FF50" i="1"/>
  <c r="DD211" i="1"/>
  <c r="BX211" i="1"/>
  <c r="AR211" i="1"/>
  <c r="AM159" i="1"/>
  <c r="AM158" i="1"/>
  <c r="AN149" i="1"/>
  <c r="AM160" i="1"/>
  <c r="AM153" i="1"/>
  <c r="GC124" i="1"/>
  <c r="C128" i="1"/>
  <c r="GC501" i="1"/>
  <c r="FM501" i="1"/>
  <c r="GD854" i="1"/>
  <c r="GE500" i="1"/>
  <c r="FN854" i="1"/>
  <c r="FO500" i="1"/>
  <c r="GG96" i="1"/>
  <c r="CV534" i="1"/>
  <c r="DV85" i="1"/>
  <c r="DM855" i="1"/>
  <c r="DM856" i="1" s="1"/>
  <c r="DN506" i="1"/>
  <c r="CP85" i="1"/>
  <c r="CG855" i="1"/>
  <c r="CG856" i="1" s="1"/>
  <c r="CH506" i="1"/>
  <c r="BJ85" i="1"/>
  <c r="BA855" i="1"/>
  <c r="BA856" i="1" s="1"/>
  <c r="BB506" i="1"/>
  <c r="EI93" i="1"/>
  <c r="EI88" i="1"/>
  <c r="EJ72" i="1"/>
  <c r="GO70" i="1"/>
  <c r="GN72" i="1"/>
  <c r="GO67" i="1"/>
  <c r="DL87" i="1"/>
  <c r="CV87" i="1"/>
  <c r="CD87" i="1"/>
  <c r="BN87" i="1"/>
  <c r="AX87" i="1"/>
  <c r="EC93" i="1"/>
  <c r="EW71" i="1"/>
  <c r="EV71" i="1"/>
  <c r="EE893" i="1"/>
  <c r="EE89" i="1"/>
  <c r="CO93" i="1"/>
  <c r="BR88" i="1"/>
  <c r="BI93" i="1"/>
  <c r="AL88" i="1"/>
  <c r="EA708" i="1"/>
  <c r="EA686" i="1"/>
  <c r="EA685" i="1"/>
  <c r="EB684" i="1"/>
  <c r="AY708" i="1"/>
  <c r="AY686" i="1"/>
  <c r="AY685" i="1"/>
  <c r="AZ684" i="1"/>
  <c r="CX702" i="1"/>
  <c r="CT704" i="1"/>
  <c r="CK721" i="1"/>
  <c r="CL721" i="1" s="1"/>
  <c r="CK703" i="1"/>
  <c r="CL703" i="1" s="1"/>
  <c r="CK704" i="1"/>
  <c r="CL704" i="1" s="1"/>
  <c r="CK707" i="1"/>
  <c r="CL707" i="1" s="1"/>
  <c r="CK702" i="1"/>
  <c r="CL702" i="1" s="1"/>
  <c r="CK701" i="1"/>
  <c r="CL701" i="1" s="1"/>
  <c r="CK705" i="1"/>
  <c r="CL705" i="1" s="1"/>
  <c r="CL677" i="1"/>
  <c r="CK679" i="1"/>
  <c r="CK684" i="1"/>
  <c r="R705" i="1"/>
  <c r="CF667" i="1"/>
  <c r="CE669" i="1"/>
  <c r="CN669" i="1" s="1"/>
  <c r="CP717" i="1"/>
  <c r="CH717" i="1"/>
  <c r="CL717" i="1"/>
  <c r="CD717" i="1"/>
  <c r="BR701" i="1"/>
  <c r="GN684" i="1"/>
  <c r="EO708" i="1"/>
  <c r="EP684" i="1"/>
  <c r="EO686" i="1"/>
  <c r="EO685" i="1"/>
  <c r="GJ684" i="1"/>
  <c r="DY708" i="1"/>
  <c r="DZ684" i="1"/>
  <c r="DY686" i="1"/>
  <c r="DY685" i="1"/>
  <c r="DR721" i="1"/>
  <c r="FH679" i="1"/>
  <c r="FI679" i="1" s="1"/>
  <c r="FZ721" i="1"/>
  <c r="FZ707" i="1"/>
  <c r="GA677" i="1"/>
  <c r="FZ680" i="1"/>
  <c r="GB679" i="1"/>
  <c r="FJ721" i="1"/>
  <c r="FK721" i="1" s="1"/>
  <c r="FJ705" i="1"/>
  <c r="FK705" i="1" s="1"/>
  <c r="FJ707" i="1"/>
  <c r="FK707" i="1" s="1"/>
  <c r="FK677" i="1"/>
  <c r="FL679" i="1"/>
  <c r="FM679" i="1" s="1"/>
  <c r="ED701" i="1"/>
  <c r="ED703" i="1"/>
  <c r="GI723" i="1"/>
  <c r="FS723" i="1"/>
  <c r="EJ701" i="1"/>
  <c r="CV702" i="1"/>
  <c r="CV707" i="1"/>
  <c r="CI721" i="1"/>
  <c r="CJ721" i="1" s="1"/>
  <c r="CI707" i="1"/>
  <c r="CJ707" i="1" s="1"/>
  <c r="CI705" i="1"/>
  <c r="CJ705" i="1" s="1"/>
  <c r="CI704" i="1"/>
  <c r="CJ704" i="1" s="1"/>
  <c r="CI702" i="1"/>
  <c r="CJ702" i="1" s="1"/>
  <c r="CI703" i="1"/>
  <c r="CJ703" i="1" s="1"/>
  <c r="CI701" i="1"/>
  <c r="CJ701" i="1" s="1"/>
  <c r="CI684" i="1"/>
  <c r="CJ677" i="1"/>
  <c r="CI679" i="1"/>
  <c r="CI662" i="1"/>
  <c r="CJ662" i="1" s="1"/>
  <c r="EU676" i="1"/>
  <c r="ET676" i="1"/>
  <c r="ES657" i="1"/>
  <c r="ET657" i="1" s="1"/>
  <c r="EF669" i="1"/>
  <c r="EE670" i="1"/>
  <c r="DP669" i="1"/>
  <c r="DO670" i="1"/>
  <c r="CZ669" i="1"/>
  <c r="CY670" i="1"/>
  <c r="CI670" i="1"/>
  <c r="BD669" i="1"/>
  <c r="BC670" i="1"/>
  <c r="AN669" i="1"/>
  <c r="AM670" i="1"/>
  <c r="X669" i="1"/>
  <c r="W670" i="1"/>
  <c r="GN669" i="1"/>
  <c r="GO667" i="1"/>
  <c r="FT669" i="1"/>
  <c r="FU667" i="1"/>
  <c r="CF717" i="1"/>
  <c r="CN717" i="1"/>
  <c r="CB717" i="1"/>
  <c r="CJ717" i="1"/>
  <c r="GN702" i="1"/>
  <c r="GO702" i="1" s="1"/>
  <c r="GO719" i="1"/>
  <c r="GJ702" i="1"/>
  <c r="GF702" i="1"/>
  <c r="GG702" i="1" s="1"/>
  <c r="FX720" i="1"/>
  <c r="FY720" i="1" s="1"/>
  <c r="FX717" i="1"/>
  <c r="FY717" i="1" s="1"/>
  <c r="FX718" i="1"/>
  <c r="FY718" i="1" s="1"/>
  <c r="FX719" i="1"/>
  <c r="FY719" i="1" s="1"/>
  <c r="FX703" i="1"/>
  <c r="FX704" i="1"/>
  <c r="FY704" i="1" s="1"/>
  <c r="FX701" i="1"/>
  <c r="FY701" i="1" s="1"/>
  <c r="FX702" i="1"/>
  <c r="FX667" i="1"/>
  <c r="FY666" i="1"/>
  <c r="FT703" i="1"/>
  <c r="FU703" i="1" s="1"/>
  <c r="FP703" i="1"/>
  <c r="FH703" i="1"/>
  <c r="FI703" i="1" s="1"/>
  <c r="EE681" i="1"/>
  <c r="GD708" i="1"/>
  <c r="GD686" i="1"/>
  <c r="GE684" i="1"/>
  <c r="CG708" i="1"/>
  <c r="CH708" i="1" s="1"/>
  <c r="CH684" i="1"/>
  <c r="CG685" i="1"/>
  <c r="CH705" i="1"/>
  <c r="GA678" i="1"/>
  <c r="FZ703" i="1"/>
  <c r="GA703" i="1" s="1"/>
  <c r="GA720" i="1"/>
  <c r="FN701" i="1"/>
  <c r="ER667" i="1"/>
  <c r="EQ669" i="1"/>
  <c r="ER669" i="1" s="1"/>
  <c r="ER660" i="1"/>
  <c r="EJ660" i="1"/>
  <c r="FT685" i="1"/>
  <c r="BN685" i="1"/>
  <c r="FT708" i="1"/>
  <c r="FU684" i="1"/>
  <c r="FT686" i="1"/>
  <c r="GE667" i="1"/>
  <c r="GD669" i="1"/>
  <c r="GD702" i="1"/>
  <c r="GE702" i="1" s="1"/>
  <c r="GE719" i="1"/>
  <c r="FR704" i="1"/>
  <c r="FS704" i="1" s="1"/>
  <c r="ER662" i="1"/>
  <c r="EJ662" i="1"/>
  <c r="ET660" i="1"/>
  <c r="EL660" i="1"/>
  <c r="DH660" i="1"/>
  <c r="DP660" i="1"/>
  <c r="DJ708" i="1"/>
  <c r="FW678" i="1"/>
  <c r="GI667" i="1"/>
  <c r="GH669" i="1"/>
  <c r="GH702" i="1"/>
  <c r="GI702" i="1" s="1"/>
  <c r="GI719" i="1"/>
  <c r="FW717" i="1"/>
  <c r="BF662" i="1"/>
  <c r="EP662" i="1"/>
  <c r="EX662" i="1"/>
  <c r="CL670" i="1"/>
  <c r="BE686" i="1"/>
  <c r="FN685" i="1"/>
  <c r="AP685" i="1"/>
  <c r="AO687" i="1"/>
  <c r="AP708" i="1"/>
  <c r="FJ708" i="1"/>
  <c r="FK708" i="1" s="1"/>
  <c r="FJ686" i="1"/>
  <c r="FK684" i="1"/>
  <c r="GL701" i="1"/>
  <c r="GM701" i="1" s="1"/>
  <c r="GL718" i="1"/>
  <c r="GM718" i="1" s="1"/>
  <c r="FJ703" i="1"/>
  <c r="FK703" i="1" s="1"/>
  <c r="FK720" i="1"/>
  <c r="BZ662" i="1"/>
  <c r="AT662" i="1"/>
  <c r="ED662" i="1"/>
  <c r="AJ660" i="1"/>
  <c r="EX653" i="1"/>
  <c r="GP653" i="1"/>
  <c r="EW665" i="1"/>
  <c r="EV665" i="1"/>
  <c r="EB660" i="1"/>
  <c r="FD636" i="1"/>
  <c r="FE636" i="1" s="1"/>
  <c r="BX662" i="1"/>
  <c r="DL660" i="1"/>
  <c r="FK655" i="1"/>
  <c r="DY577" i="1"/>
  <c r="DZ575" i="1"/>
  <c r="CS577" i="1"/>
  <c r="CT575" i="1"/>
  <c r="C570" i="1"/>
  <c r="FF586" i="1"/>
  <c r="FG586" i="1" s="1"/>
  <c r="FF575" i="1"/>
  <c r="FG570" i="1"/>
  <c r="BP575" i="1"/>
  <c r="BO577" i="1"/>
  <c r="BP577" i="1" s="1"/>
  <c r="EP586" i="1"/>
  <c r="EB575" i="1"/>
  <c r="EA577" i="1"/>
  <c r="DL575" i="1"/>
  <c r="DK577" i="1"/>
  <c r="CV575" i="1"/>
  <c r="CU577" i="1"/>
  <c r="BH575" i="1"/>
  <c r="BG577" i="1"/>
  <c r="BH577" i="1" s="1"/>
  <c r="GJ586" i="1"/>
  <c r="GK586" i="1" s="1"/>
  <c r="GJ575" i="1"/>
  <c r="GK570" i="1"/>
  <c r="FT586" i="1"/>
  <c r="FT575" i="1"/>
  <c r="FU570" i="1"/>
  <c r="FD586" i="1"/>
  <c r="FE586" i="1" s="1"/>
  <c r="FD575" i="1"/>
  <c r="FE570" i="1"/>
  <c r="AM577" i="1"/>
  <c r="AN575" i="1"/>
  <c r="BM577" i="1"/>
  <c r="BN577" i="1" s="1"/>
  <c r="BN575" i="1"/>
  <c r="FO581" i="1"/>
  <c r="FO586" i="1"/>
  <c r="EW574" i="1"/>
  <c r="EX574" i="1" s="1"/>
  <c r="EV574" i="1"/>
  <c r="FR824" i="1"/>
  <c r="FS545" i="1"/>
  <c r="GL577" i="1"/>
  <c r="GM575" i="1"/>
  <c r="GH577" i="1"/>
  <c r="FZ577" i="1"/>
  <c r="GA575" i="1"/>
  <c r="FR577" i="1"/>
  <c r="FJ577" i="1"/>
  <c r="FK575" i="1"/>
  <c r="EK858" i="1"/>
  <c r="EL502" i="1"/>
  <c r="DU858" i="1"/>
  <c r="DV502" i="1"/>
  <c r="DE858" i="1"/>
  <c r="DF502" i="1"/>
  <c r="CO858" i="1"/>
  <c r="CP502" i="1"/>
  <c r="BY858" i="1"/>
  <c r="BZ502" i="1"/>
  <c r="BI858" i="1"/>
  <c r="BJ502" i="1"/>
  <c r="EC775" i="1"/>
  <c r="EC531" i="1"/>
  <c r="EC493" i="1"/>
  <c r="ED490" i="1"/>
  <c r="DM775" i="1"/>
  <c r="DM531" i="1"/>
  <c r="DM493" i="1"/>
  <c r="DN493" i="1" s="1"/>
  <c r="DN490" i="1"/>
  <c r="CW775" i="1"/>
  <c r="CW531" i="1"/>
  <c r="CX490" i="1"/>
  <c r="CG775" i="1"/>
  <c r="CG531" i="1"/>
  <c r="CH490" i="1"/>
  <c r="BQ775" i="1"/>
  <c r="BQ531" i="1"/>
  <c r="BR490" i="1"/>
  <c r="BU457" i="1"/>
  <c r="BU454" i="1"/>
  <c r="BV453" i="1"/>
  <c r="BD449" i="1"/>
  <c r="AV449" i="1"/>
  <c r="FR451" i="1"/>
  <c r="FS447" i="1"/>
  <c r="FR449" i="1"/>
  <c r="FL800" i="1"/>
  <c r="FM443" i="1"/>
  <c r="FL453" i="1"/>
  <c r="FL451" i="1"/>
  <c r="FM451" i="1" s="1"/>
  <c r="GE434" i="1"/>
  <c r="GD436" i="1"/>
  <c r="GE436" i="1" s="1"/>
  <c r="X416" i="1"/>
  <c r="P416" i="1"/>
  <c r="GI405" i="1"/>
  <c r="GH408" i="1"/>
  <c r="FP408" i="1"/>
  <c r="FQ405" i="1"/>
  <c r="FH542" i="1"/>
  <c r="BC775" i="1"/>
  <c r="BC531" i="1"/>
  <c r="BL531" i="1" s="1"/>
  <c r="BD490" i="1"/>
  <c r="AM531" i="1"/>
  <c r="AN490" i="1"/>
  <c r="W775" i="1"/>
  <c r="W531" i="1"/>
  <c r="X490" i="1"/>
  <c r="GL487" i="1"/>
  <c r="GM487" i="1" s="1"/>
  <c r="GM486" i="1"/>
  <c r="GL490" i="1"/>
  <c r="GL11" i="1"/>
  <c r="EX486" i="1"/>
  <c r="DA20" i="198" s="1"/>
  <c r="EW487" i="1"/>
  <c r="EX487" i="1" s="1"/>
  <c r="EW11" i="1"/>
  <c r="EX11" i="1" s="1"/>
  <c r="FB843" i="1"/>
  <c r="FB844" i="1" s="1"/>
  <c r="FB454" i="1"/>
  <c r="FE454" i="1" s="1"/>
  <c r="FB457" i="1"/>
  <c r="BL453" i="1"/>
  <c r="BK457" i="1"/>
  <c r="BK454" i="1"/>
  <c r="AU453" i="1"/>
  <c r="AF453" i="1"/>
  <c r="AE457" i="1"/>
  <c r="AE454" i="1"/>
  <c r="P453" i="1"/>
  <c r="O457" i="1"/>
  <c r="O454" i="1"/>
  <c r="GP434" i="1"/>
  <c r="ER434" i="1"/>
  <c r="EQ436" i="1"/>
  <c r="ER436" i="1" s="1"/>
  <c r="EA800" i="1"/>
  <c r="EA420" i="1"/>
  <c r="EA422" i="1"/>
  <c r="EB408" i="1"/>
  <c r="DK800" i="1"/>
  <c r="DK420" i="1"/>
  <c r="DK422" i="1"/>
  <c r="DL408" i="1"/>
  <c r="CU800" i="1"/>
  <c r="CU420" i="1"/>
  <c r="CU422" i="1"/>
  <c r="CV408" i="1"/>
  <c r="CE800" i="1"/>
  <c r="CE420" i="1"/>
  <c r="CE422" i="1"/>
  <c r="CF408" i="1"/>
  <c r="BO420" i="1"/>
  <c r="BO422" i="1"/>
  <c r="BP408" i="1"/>
  <c r="AY420" i="1"/>
  <c r="AY422" i="1"/>
  <c r="AZ408" i="1"/>
  <c r="AI420" i="1"/>
  <c r="AI422" i="1"/>
  <c r="AJ408" i="1"/>
  <c r="S420" i="1"/>
  <c r="T420" i="1" s="1"/>
  <c r="S422" i="1"/>
  <c r="T408" i="1"/>
  <c r="CF511" i="1"/>
  <c r="N475" i="1"/>
  <c r="M476" i="1"/>
  <c r="N476" i="1" s="1"/>
  <c r="GB436" i="1"/>
  <c r="GC436" i="1" s="1"/>
  <c r="GC434" i="1"/>
  <c r="FY419" i="1"/>
  <c r="FK418" i="1"/>
  <c r="DK858" i="1"/>
  <c r="DK859" i="1" s="1"/>
  <c r="DL502" i="1"/>
  <c r="FE453" i="1"/>
  <c r="AC529" i="1"/>
  <c r="AD457" i="1"/>
  <c r="ET436" i="1"/>
  <c r="FQ419" i="1"/>
  <c r="EV413" i="1"/>
  <c r="EW413" i="1"/>
  <c r="EX413" i="1" s="1"/>
  <c r="FH408" i="1"/>
  <c r="FI405" i="1"/>
  <c r="BF436" i="1"/>
  <c r="AX436" i="1"/>
  <c r="FT346" i="1"/>
  <c r="FU344" i="1"/>
  <c r="FX314" i="1"/>
  <c r="FY314" i="1" s="1"/>
  <c r="FY310" i="1"/>
  <c r="CI858" i="1"/>
  <c r="CI859" i="1" s="1"/>
  <c r="CJ502" i="1"/>
  <c r="GO487" i="1"/>
  <c r="BN451" i="1"/>
  <c r="AG529" i="1"/>
  <c r="AH457" i="1"/>
  <c r="FS416" i="1"/>
  <c r="EL420" i="1"/>
  <c r="ES420" i="1"/>
  <c r="ET420" i="1" s="1"/>
  <c r="AS423" i="1"/>
  <c r="AS428" i="1"/>
  <c r="AT422" i="1"/>
  <c r="M423" i="1"/>
  <c r="N423" i="1" s="1"/>
  <c r="M428" i="1"/>
  <c r="N422" i="1"/>
  <c r="GT393" i="1"/>
  <c r="GS393" i="1"/>
  <c r="FQ386" i="1"/>
  <c r="FS386" i="1"/>
  <c r="EK383" i="1"/>
  <c r="EL370" i="1"/>
  <c r="EK381" i="1"/>
  <c r="DU383" i="1"/>
  <c r="DV370" i="1"/>
  <c r="DU381" i="1"/>
  <c r="DE383" i="1"/>
  <c r="DF370" i="1"/>
  <c r="DE381" i="1"/>
  <c r="CO383" i="1"/>
  <c r="CP370" i="1"/>
  <c r="CO381" i="1"/>
  <c r="BY383" i="1"/>
  <c r="BZ370" i="1"/>
  <c r="BY381" i="1"/>
  <c r="BI383" i="1"/>
  <c r="BJ370" i="1"/>
  <c r="BI381" i="1"/>
  <c r="AS383" i="1"/>
  <c r="AT370" i="1"/>
  <c r="AS381" i="1"/>
  <c r="GH370" i="1"/>
  <c r="GI367" i="1"/>
  <c r="EV319" i="1"/>
  <c r="EW319" i="1"/>
  <c r="EX319" i="1" s="1"/>
  <c r="CM858" i="1"/>
  <c r="CM859" i="1" s="1"/>
  <c r="CN502" i="1"/>
  <c r="AQ858" i="1"/>
  <c r="AQ859" i="1" s="1"/>
  <c r="FY531" i="1"/>
  <c r="FE531" i="1"/>
  <c r="EB531" i="1"/>
  <c r="AD531" i="1"/>
  <c r="AR451" i="1"/>
  <c r="BA529" i="1"/>
  <c r="BB457" i="1"/>
  <c r="EX436" i="1"/>
  <c r="GA419" i="1"/>
  <c r="FM419" i="1"/>
  <c r="FS436" i="1"/>
  <c r="AB436" i="1"/>
  <c r="AE387" i="1"/>
  <c r="AF383" i="1"/>
  <c r="AE384" i="1"/>
  <c r="O387" i="1"/>
  <c r="P383" i="1"/>
  <c r="O384" i="1"/>
  <c r="P384" i="1" s="1"/>
  <c r="FW311" i="1"/>
  <c r="DW858" i="1"/>
  <c r="DW859" i="1" s="1"/>
  <c r="DX502" i="1"/>
  <c r="BK858" i="1"/>
  <c r="BK859" i="1" s="1"/>
  <c r="BL502" i="1"/>
  <c r="AE858" i="1"/>
  <c r="AE859" i="1" s="1"/>
  <c r="AF502" i="1"/>
  <c r="EF531" i="1"/>
  <c r="GC486" i="1"/>
  <c r="FR531" i="1"/>
  <c r="FS490" i="1"/>
  <c r="FJ531" i="1"/>
  <c r="FK490" i="1"/>
  <c r="AO529" i="1"/>
  <c r="AP457" i="1"/>
  <c r="GA416" i="1"/>
  <c r="K528" i="1"/>
  <c r="L428" i="1"/>
  <c r="DQ800" i="1"/>
  <c r="DQ420" i="1"/>
  <c r="DR420" i="1" s="1"/>
  <c r="DQ422" i="1"/>
  <c r="DR408" i="1"/>
  <c r="CK800" i="1"/>
  <c r="CK420" i="1"/>
  <c r="CL420" i="1" s="1"/>
  <c r="CK422" i="1"/>
  <c r="CL408" i="1"/>
  <c r="BE420" i="1"/>
  <c r="BF420" i="1" s="1"/>
  <c r="BE422" i="1"/>
  <c r="BF408" i="1"/>
  <c r="Y420" i="1"/>
  <c r="Z420" i="1" s="1"/>
  <c r="Y422" i="1"/>
  <c r="Z408" i="1"/>
  <c r="GO378" i="1"/>
  <c r="FY378" i="1"/>
  <c r="EE381" i="1"/>
  <c r="EE383" i="1"/>
  <c r="EF370" i="1"/>
  <c r="DO381" i="1"/>
  <c r="DO383" i="1"/>
  <c r="DP370" i="1"/>
  <c r="CY381" i="1"/>
  <c r="CY383" i="1"/>
  <c r="CZ370" i="1"/>
  <c r="CI381" i="1"/>
  <c r="CI383" i="1"/>
  <c r="CJ370" i="1"/>
  <c r="BS381" i="1"/>
  <c r="BS383" i="1"/>
  <c r="BT370" i="1"/>
  <c r="BC381" i="1"/>
  <c r="BC383" i="1"/>
  <c r="BD370" i="1"/>
  <c r="AM381" i="1"/>
  <c r="AN381" i="1" s="1"/>
  <c r="AM383" i="1"/>
  <c r="AN370" i="1"/>
  <c r="GF370" i="1"/>
  <c r="GG367" i="1"/>
  <c r="ES361" i="1"/>
  <c r="EU359" i="1"/>
  <c r="FW323" i="1"/>
  <c r="FU323" i="1"/>
  <c r="GF324" i="1"/>
  <c r="GF320" i="1"/>
  <c r="GF317" i="1"/>
  <c r="GG316" i="1"/>
  <c r="GF9" i="1"/>
  <c r="EM324" i="1"/>
  <c r="EM320" i="1"/>
  <c r="EN316" i="1"/>
  <c r="EM317" i="1"/>
  <c r="EM9" i="1"/>
  <c r="DW324" i="1"/>
  <c r="DW320" i="1"/>
  <c r="DX316" i="1"/>
  <c r="DW317" i="1"/>
  <c r="DW9" i="1"/>
  <c r="DG320" i="1"/>
  <c r="DG324" i="1"/>
  <c r="DH316" i="1"/>
  <c r="DG317" i="1"/>
  <c r="DG9" i="1"/>
  <c r="CQ324" i="1"/>
  <c r="CR316" i="1"/>
  <c r="CQ317" i="1"/>
  <c r="CQ9" i="1"/>
  <c r="CR9" i="1" s="1"/>
  <c r="CA324" i="1"/>
  <c r="CB316" i="1"/>
  <c r="CA317" i="1"/>
  <c r="BK324" i="1"/>
  <c r="BL316" i="1"/>
  <c r="BK317" i="1"/>
  <c r="AU324" i="1"/>
  <c r="AV316" i="1"/>
  <c r="AU317" i="1"/>
  <c r="AE324" i="1"/>
  <c r="AF316" i="1"/>
  <c r="AE317" i="1"/>
  <c r="O324" i="1"/>
  <c r="P316" i="1"/>
  <c r="O317" i="1"/>
  <c r="P317" i="1" s="1"/>
  <c r="FO381" i="1"/>
  <c r="FX383" i="1"/>
  <c r="AY501" i="1"/>
  <c r="AY349" i="1"/>
  <c r="AZ349" i="1" s="1"/>
  <c r="AZ346" i="1"/>
  <c r="EO772" i="1"/>
  <c r="EO525" i="1"/>
  <c r="EO330" i="1"/>
  <c r="EO325" i="1"/>
  <c r="EP325" i="1" s="1"/>
  <c r="EP324" i="1"/>
  <c r="DZ320" i="1"/>
  <c r="FV788" i="1"/>
  <c r="FW274" i="1"/>
  <c r="EW883" i="1"/>
  <c r="EW787" i="1"/>
  <c r="EX242" i="1"/>
  <c r="EW243" i="1"/>
  <c r="EX243" i="1" s="1"/>
  <c r="GF246" i="1"/>
  <c r="GG246" i="1" s="1"/>
  <c r="GG239" i="1"/>
  <c r="AC527" i="1"/>
  <c r="AD387" i="1"/>
  <c r="GP358" i="1"/>
  <c r="EW360" i="1"/>
  <c r="EW398" i="1" s="1"/>
  <c r="BH349" i="1"/>
  <c r="GG311" i="1"/>
  <c r="FG317" i="1"/>
  <c r="ED320" i="1"/>
  <c r="CW772" i="1"/>
  <c r="CW525" i="1"/>
  <c r="CX324" i="1"/>
  <c r="CW325" i="1"/>
  <c r="AK772" i="1"/>
  <c r="AK525" i="1"/>
  <c r="AL324" i="1"/>
  <c r="FT788" i="1"/>
  <c r="FU274" i="1"/>
  <c r="CU787" i="1"/>
  <c r="CV242" i="1"/>
  <c r="BO787" i="1"/>
  <c r="BP242" i="1"/>
  <c r="AI787" i="1"/>
  <c r="AJ242" i="1"/>
  <c r="ED240" i="1"/>
  <c r="DV240" i="1"/>
  <c r="GJ240" i="1"/>
  <c r="BB240" i="1"/>
  <c r="AT240" i="1"/>
  <c r="FK380" i="1"/>
  <c r="DD380" i="1"/>
  <c r="FU348" i="1"/>
  <c r="FQ342" i="1"/>
  <c r="FM314" i="1"/>
  <c r="DQ772" i="1"/>
  <c r="DQ525" i="1"/>
  <c r="DQ330" i="1"/>
  <c r="DR330" i="1" s="1"/>
  <c r="DR324" i="1"/>
  <c r="DQ325" i="1"/>
  <c r="DR325" i="1" s="1"/>
  <c r="Y772" i="1"/>
  <c r="Y525" i="1"/>
  <c r="Z324" i="1"/>
  <c r="FV316" i="1"/>
  <c r="EG252" i="1"/>
  <c r="EH248" i="1"/>
  <c r="EG249" i="1"/>
  <c r="EG8" i="1"/>
  <c r="DA248" i="1"/>
  <c r="CK252" i="1"/>
  <c r="CK249" i="1"/>
  <c r="BU252" i="1"/>
  <c r="BU249" i="1"/>
  <c r="BE252" i="1"/>
  <c r="BF248" i="1"/>
  <c r="BE249" i="1"/>
  <c r="Y252" i="1"/>
  <c r="Z248" i="1"/>
  <c r="Y249" i="1"/>
  <c r="DS787" i="1"/>
  <c r="DT242" i="1"/>
  <c r="V384" i="1"/>
  <c r="EQ909" i="1"/>
  <c r="EQ365" i="1"/>
  <c r="ER365" i="1" s="1"/>
  <c r="ER364" i="1"/>
  <c r="ER374" i="1"/>
  <c r="AT344" i="1"/>
  <c r="AS346" i="1"/>
  <c r="GP319" i="1"/>
  <c r="FW310" i="1"/>
  <c r="FQ313" i="1"/>
  <c r="DU772" i="1"/>
  <c r="DU525" i="1"/>
  <c r="DU330" i="1"/>
  <c r="DV330" i="1" s="1"/>
  <c r="DV324" i="1"/>
  <c r="DU325" i="1"/>
  <c r="DV325" i="1" s="1"/>
  <c r="M772" i="1"/>
  <c r="M525" i="1"/>
  <c r="N324" i="1"/>
  <c r="DY883" i="1"/>
  <c r="DY787" i="1"/>
  <c r="DZ242" i="1"/>
  <c r="FD248" i="1"/>
  <c r="FD245" i="1"/>
  <c r="FE245" i="1" s="1"/>
  <c r="FE232" i="1"/>
  <c r="EU903" i="1"/>
  <c r="EW209" i="1"/>
  <c r="EV209" i="1"/>
  <c r="EU210" i="1"/>
  <c r="GE244" i="1"/>
  <c r="FZ787" i="1"/>
  <c r="GA242" i="1"/>
  <c r="DW248" i="1"/>
  <c r="DW245" i="1"/>
  <c r="DX245" i="1" s="1"/>
  <c r="DX232" i="1"/>
  <c r="DO787" i="1"/>
  <c r="DP242" i="1"/>
  <c r="CQ787" i="1"/>
  <c r="CR242" i="1"/>
  <c r="CI248" i="1"/>
  <c r="CI245" i="1"/>
  <c r="CJ245" i="1" s="1"/>
  <c r="CJ232" i="1"/>
  <c r="BK787" i="1"/>
  <c r="BL242" i="1"/>
  <c r="BC248" i="1"/>
  <c r="BC245" i="1"/>
  <c r="BD245" i="1" s="1"/>
  <c r="BD232" i="1"/>
  <c r="AE787" i="1"/>
  <c r="AF242" i="1"/>
  <c r="W248" i="1"/>
  <c r="W245" i="1"/>
  <c r="X245" i="1" s="1"/>
  <c r="X232" i="1"/>
  <c r="FR232" i="1"/>
  <c r="FS229" i="1"/>
  <c r="GB232" i="1"/>
  <c r="GE232" i="1" s="1"/>
  <c r="GC229" i="1"/>
  <c r="FL232" i="1"/>
  <c r="FM229" i="1"/>
  <c r="DZ213" i="1"/>
  <c r="DY217" i="1"/>
  <c r="DY214" i="1"/>
  <c r="DY8" i="1"/>
  <c r="CS217" i="1"/>
  <c r="CT213" i="1"/>
  <c r="CS214" i="1"/>
  <c r="CS8" i="1"/>
  <c r="CT8" i="1" s="1"/>
  <c r="BN213" i="1"/>
  <c r="BM214" i="1"/>
  <c r="BM217" i="1"/>
  <c r="AH213" i="1"/>
  <c r="AG214" i="1"/>
  <c r="AG217" i="1"/>
  <c r="FT784" i="1"/>
  <c r="FU143" i="1"/>
  <c r="FR534" i="1"/>
  <c r="FS534" i="1" s="1"/>
  <c r="FL855" i="1"/>
  <c r="FM506" i="1"/>
  <c r="GD509" i="1"/>
  <c r="GE509" i="1" s="1"/>
  <c r="GD126" i="1"/>
  <c r="GE126" i="1" s="1"/>
  <c r="GE119" i="1"/>
  <c r="FN509" i="1"/>
  <c r="FO509" i="1" s="1"/>
  <c r="FN126" i="1"/>
  <c r="FO126" i="1" s="1"/>
  <c r="FO119" i="1"/>
  <c r="GR117" i="1"/>
  <c r="GQ117" i="1"/>
  <c r="GL855" i="1"/>
  <c r="GM506" i="1"/>
  <c r="FV855" i="1"/>
  <c r="FW506" i="1"/>
  <c r="GI505" i="1"/>
  <c r="FS505" i="1"/>
  <c r="CY128" i="1"/>
  <c r="CY125" i="1"/>
  <c r="CZ112" i="1"/>
  <c r="BS128" i="1"/>
  <c r="BS125" i="1"/>
  <c r="BT112" i="1"/>
  <c r="AM128" i="1"/>
  <c r="AM125" i="1"/>
  <c r="AN112" i="1"/>
  <c r="GB854" i="1"/>
  <c r="GC500" i="1"/>
  <c r="FL854" i="1"/>
  <c r="FM500" i="1"/>
  <c r="GO291" i="1"/>
  <c r="GD270" i="1"/>
  <c r="GE265" i="1"/>
  <c r="GF787" i="1"/>
  <c r="GG242" i="1"/>
  <c r="FO229" i="1"/>
  <c r="EU229" i="1"/>
  <c r="EV228" i="1"/>
  <c r="EW228" i="1"/>
  <c r="DW217" i="1"/>
  <c r="DX213" i="1"/>
  <c r="DW214" i="1"/>
  <c r="DW8" i="1"/>
  <c r="CQ217" i="1"/>
  <c r="CR213" i="1"/>
  <c r="CQ214" i="1"/>
  <c r="BK217" i="1"/>
  <c r="BL213" i="1"/>
  <c r="BK214" i="1"/>
  <c r="AE217" i="1"/>
  <c r="AF213" i="1"/>
  <c r="AE214" i="1"/>
  <c r="DR207" i="1"/>
  <c r="GO211" i="1"/>
  <c r="GE156" i="1"/>
  <c r="GD184" i="1"/>
  <c r="GH534" i="1"/>
  <c r="GI131" i="1"/>
  <c r="AP534" i="1"/>
  <c r="DW877" i="1"/>
  <c r="DX122" i="1"/>
  <c r="GC120" i="1"/>
  <c r="FK505" i="1"/>
  <c r="FF125" i="1"/>
  <c r="FI125" i="1" s="1"/>
  <c r="FG112" i="1"/>
  <c r="FF128" i="1"/>
  <c r="GP109" i="1"/>
  <c r="GQ108" i="1"/>
  <c r="GR108" i="1"/>
  <c r="GH502" i="1"/>
  <c r="GK502" i="1" s="1"/>
  <c r="FZ852" i="1"/>
  <c r="GD277" i="1"/>
  <c r="EX246" i="1"/>
  <c r="GI244" i="1"/>
  <c r="GD787" i="1"/>
  <c r="GR237" i="1"/>
  <c r="GQ237" i="1"/>
  <c r="DS249" i="1"/>
  <c r="DT249" i="1" s="1"/>
  <c r="DS252" i="1"/>
  <c r="DT248" i="1"/>
  <c r="CM252" i="1"/>
  <c r="CM249" i="1"/>
  <c r="CN249" i="1" s="1"/>
  <c r="CN248" i="1"/>
  <c r="BG249" i="1"/>
  <c r="BH249" i="1" s="1"/>
  <c r="BG252" i="1"/>
  <c r="BH248" i="1"/>
  <c r="AA249" i="1"/>
  <c r="AB249" i="1" s="1"/>
  <c r="AA252" i="1"/>
  <c r="AB248" i="1"/>
  <c r="FJ232" i="1"/>
  <c r="FK229" i="1"/>
  <c r="GF232" i="1"/>
  <c r="GG229" i="1"/>
  <c r="GP228" i="1"/>
  <c r="EL213" i="1"/>
  <c r="EK217" i="1"/>
  <c r="EK214" i="1"/>
  <c r="EK8" i="1"/>
  <c r="DF213" i="1"/>
  <c r="DE217" i="1"/>
  <c r="DE214" i="1"/>
  <c r="DE8" i="1"/>
  <c r="BZ213" i="1"/>
  <c r="BY217" i="1"/>
  <c r="BY214" i="1"/>
  <c r="AT213" i="1"/>
  <c r="AS217" i="1"/>
  <c r="AS214" i="1"/>
  <c r="N213" i="1"/>
  <c r="M217" i="1"/>
  <c r="M214" i="1"/>
  <c r="N214" i="1" s="1"/>
  <c r="EO903" i="1"/>
  <c r="EP209" i="1"/>
  <c r="EO210" i="1"/>
  <c r="FG211" i="1"/>
  <c r="EP144" i="1"/>
  <c r="EX144" i="1"/>
  <c r="DH534" i="1"/>
  <c r="G132" i="1"/>
  <c r="G519" i="1" s="1"/>
  <c r="G129" i="1"/>
  <c r="AK128" i="1"/>
  <c r="U132" i="1"/>
  <c r="V128" i="1"/>
  <c r="U129" i="1"/>
  <c r="GO125" i="1"/>
  <c r="FY125" i="1"/>
  <c r="GF509" i="1"/>
  <c r="GG509" i="1" s="1"/>
  <c r="GO507" i="1"/>
  <c r="FY507" i="1"/>
  <c r="GJ855" i="1"/>
  <c r="GK506" i="1"/>
  <c r="FT855" i="1"/>
  <c r="FU506" i="1"/>
  <c r="GF505" i="1"/>
  <c r="GF120" i="1"/>
  <c r="GG120" i="1" s="1"/>
  <c r="GG115" i="1"/>
  <c r="GF122" i="1"/>
  <c r="FQ505" i="1"/>
  <c r="GB242" i="1"/>
  <c r="EX227" i="1"/>
  <c r="GP227" i="1"/>
  <c r="EA217" i="1"/>
  <c r="EB213" i="1"/>
  <c r="EA214" i="1"/>
  <c r="EB214" i="1" s="1"/>
  <c r="EA8" i="1"/>
  <c r="EB8" i="1" s="1"/>
  <c r="CU217" i="1"/>
  <c r="CV213" i="1"/>
  <c r="CU214" i="1"/>
  <c r="CU8" i="1"/>
  <c r="BO217" i="1"/>
  <c r="BP213" i="1"/>
  <c r="BO214" i="1"/>
  <c r="AI217" i="1"/>
  <c r="AJ213" i="1"/>
  <c r="AI214" i="1"/>
  <c r="DY899" i="1"/>
  <c r="DZ207" i="1"/>
  <c r="GN903" i="1"/>
  <c r="GO209" i="1"/>
  <c r="GL899" i="1"/>
  <c r="GM207" i="1"/>
  <c r="GE207" i="1"/>
  <c r="FW207" i="1"/>
  <c r="FO207" i="1"/>
  <c r="EW197" i="1"/>
  <c r="FZ213" i="1"/>
  <c r="GA191" i="1"/>
  <c r="GI172" i="1"/>
  <c r="FS172" i="1"/>
  <c r="GF184" i="1"/>
  <c r="GG184" i="1" s="1"/>
  <c r="GG156" i="1"/>
  <c r="FP184" i="1"/>
  <c r="FQ156" i="1"/>
  <c r="FW126" i="1"/>
  <c r="EU877" i="1"/>
  <c r="EU123" i="1"/>
  <c r="EW122" i="1"/>
  <c r="EV122" i="1"/>
  <c r="FD128" i="1"/>
  <c r="FD125" i="1"/>
  <c r="FE125" i="1" s="1"/>
  <c r="FE112" i="1"/>
  <c r="FW499" i="1"/>
  <c r="GO499" i="1"/>
  <c r="GN502" i="1"/>
  <c r="FX502" i="1"/>
  <c r="ES116" i="1"/>
  <c r="EU110" i="1"/>
  <c r="ET110" i="1"/>
  <c r="GM96" i="1"/>
  <c r="GO96" i="1"/>
  <c r="FU209" i="1"/>
  <c r="EH213" i="1"/>
  <c r="FM122" i="1"/>
  <c r="FO112" i="1"/>
  <c r="FN128" i="1"/>
  <c r="EM128" i="1"/>
  <c r="DG128" i="1"/>
  <c r="DP128" i="1" s="1"/>
  <c r="GC84" i="1"/>
  <c r="GB91" i="1"/>
  <c r="GC91" i="1" s="1"/>
  <c r="FQ84" i="1"/>
  <c r="FP91" i="1"/>
  <c r="FQ91" i="1" s="1"/>
  <c r="EM93" i="1"/>
  <c r="EM88" i="1"/>
  <c r="EN72" i="1"/>
  <c r="DO93" i="1"/>
  <c r="DO88" i="1"/>
  <c r="DP72" i="1"/>
  <c r="CY93" i="1"/>
  <c r="CY88" i="1"/>
  <c r="CZ72" i="1"/>
  <c r="CI93" i="1"/>
  <c r="CI88" i="1"/>
  <c r="CJ72" i="1"/>
  <c r="BS93" i="1"/>
  <c r="BS88" i="1"/>
  <c r="BT72" i="1"/>
  <c r="BC93" i="1"/>
  <c r="BC88" i="1"/>
  <c r="BD72" i="1"/>
  <c r="AM93" i="1"/>
  <c r="AM88" i="1"/>
  <c r="AN88" i="1" s="1"/>
  <c r="AN72" i="1"/>
  <c r="L88" i="1"/>
  <c r="FJ213" i="1"/>
  <c r="GO172" i="1"/>
  <c r="FG170" i="1"/>
  <c r="GK534" i="1"/>
  <c r="GB128" i="1"/>
  <c r="GC112" i="1"/>
  <c r="FL128" i="1"/>
  <c r="FM112" i="1"/>
  <c r="EQ118" i="1"/>
  <c r="ER112" i="1"/>
  <c r="EG855" i="1"/>
  <c r="EG856" i="1" s="1"/>
  <c r="EH506" i="1"/>
  <c r="DA855" i="1"/>
  <c r="DA856" i="1" s="1"/>
  <c r="DB506" i="1"/>
  <c r="BU855" i="1"/>
  <c r="BU856" i="1" s="1"/>
  <c r="BV506" i="1"/>
  <c r="AO855" i="1"/>
  <c r="AO856" i="1" s="1"/>
  <c r="AP506" i="1"/>
  <c r="EA93" i="1"/>
  <c r="EA88" i="1"/>
  <c r="EB72" i="1"/>
  <c r="CS856" i="1"/>
  <c r="GL72" i="1"/>
  <c r="GM67" i="1"/>
  <c r="FU67" i="1"/>
  <c r="FT72" i="1"/>
  <c r="CZ87" i="1"/>
  <c r="EF211" i="1"/>
  <c r="CZ211" i="1"/>
  <c r="BT211" i="1"/>
  <c r="AN211" i="1"/>
  <c r="FP213" i="1"/>
  <c r="FO124" i="1"/>
  <c r="FS112" i="1"/>
  <c r="CM128" i="1"/>
  <c r="CM125" i="1"/>
  <c r="CN125" i="1" s="1"/>
  <c r="CN112" i="1"/>
  <c r="BG128" i="1"/>
  <c r="BG125" i="1"/>
  <c r="BH125" i="1" s="1"/>
  <c r="BH112" i="1"/>
  <c r="AA128" i="1"/>
  <c r="AA125" i="1"/>
  <c r="AB125" i="1" s="1"/>
  <c r="AB112" i="1"/>
  <c r="ES115" i="1"/>
  <c r="ES112" i="1"/>
  <c r="ET109" i="1"/>
  <c r="DP91" i="1"/>
  <c r="BD91" i="1"/>
  <c r="GO87" i="1"/>
  <c r="FD93" i="1"/>
  <c r="DQ93" i="1"/>
  <c r="DQ88" i="1"/>
  <c r="DR72" i="1"/>
  <c r="DA93" i="1"/>
  <c r="DA88" i="1"/>
  <c r="DB72" i="1"/>
  <c r="CC93" i="1"/>
  <c r="CC88" i="1"/>
  <c r="CD72" i="1"/>
  <c r="AW93" i="1"/>
  <c r="AW88" i="1"/>
  <c r="AX72" i="1"/>
  <c r="CX87" i="1"/>
  <c r="GH786" i="1"/>
  <c r="GI41" i="1"/>
  <c r="GG209" i="1"/>
  <c r="AK196" i="1"/>
  <c r="AL196" i="1" s="1"/>
  <c r="AK195" i="1"/>
  <c r="AL179" i="1"/>
  <c r="AK181" i="1"/>
  <c r="AL181" i="1" s="1"/>
  <c r="FU124" i="1"/>
  <c r="GN128" i="1"/>
  <c r="GO112" i="1"/>
  <c r="FX128" i="1"/>
  <c r="FY112" i="1"/>
  <c r="FH128" i="1"/>
  <c r="FI112" i="1"/>
  <c r="GT107" i="1"/>
  <c r="GS107" i="1"/>
  <c r="FV770" i="1"/>
  <c r="FV518" i="1"/>
  <c r="DU855" i="1"/>
  <c r="DU856" i="1" s="1"/>
  <c r="DV506" i="1"/>
  <c r="CO855" i="1"/>
  <c r="CO856" i="1" s="1"/>
  <c r="CP506" i="1"/>
  <c r="BI855" i="1"/>
  <c r="BI856" i="1" s="1"/>
  <c r="BJ506" i="1"/>
  <c r="AC855" i="1"/>
  <c r="AC856" i="1" s="1"/>
  <c r="AD506" i="1"/>
  <c r="FL88" i="1"/>
  <c r="FM88" i="1" s="1"/>
  <c r="FL93" i="1"/>
  <c r="FM72" i="1"/>
  <c r="GK70" i="1"/>
  <c r="GJ72" i="1"/>
  <c r="GK67" i="1"/>
  <c r="FR72" i="1"/>
  <c r="FR87" i="1"/>
  <c r="FS87" i="1" s="1"/>
  <c r="FS67" i="1"/>
  <c r="CV499" i="1"/>
  <c r="EO93" i="1"/>
  <c r="EE93" i="1"/>
  <c r="BQ93" i="1"/>
  <c r="AK93" i="1"/>
  <c r="EQ710" i="1"/>
  <c r="ES710" i="1" s="1"/>
  <c r="EU710" i="1" s="1"/>
  <c r="EW710" i="1" s="1"/>
  <c r="GP710" i="1" s="1"/>
  <c r="GR710" i="1" s="1"/>
  <c r="GT710" i="1" s="1"/>
  <c r="GV710" i="1" s="1"/>
  <c r="GX710" i="1" s="1"/>
  <c r="GN710" i="1"/>
  <c r="GN711" i="1" s="1"/>
  <c r="DK708" i="1"/>
  <c r="DK686" i="1"/>
  <c r="DK685" i="1"/>
  <c r="DM687" i="1" s="1"/>
  <c r="DL684" i="1"/>
  <c r="CU708" i="1"/>
  <c r="CU686" i="1"/>
  <c r="CU685" i="1"/>
  <c r="CV684" i="1"/>
  <c r="AI708" i="1"/>
  <c r="AI686" i="1"/>
  <c r="AI685" i="1"/>
  <c r="AJ684" i="1"/>
  <c r="S708" i="1"/>
  <c r="S686" i="1"/>
  <c r="S685" i="1"/>
  <c r="GB721" i="1"/>
  <c r="GC721" i="1" s="1"/>
  <c r="GB707" i="1"/>
  <c r="GC707" i="1" s="1"/>
  <c r="GB705" i="1"/>
  <c r="GB680" i="1"/>
  <c r="GD681" i="1" s="1"/>
  <c r="GD679" i="1"/>
  <c r="GE679" i="1" s="1"/>
  <c r="GC677" i="1"/>
  <c r="FL721" i="1"/>
  <c r="FM721" i="1" s="1"/>
  <c r="FL707" i="1"/>
  <c r="FM707" i="1" s="1"/>
  <c r="FL705" i="1"/>
  <c r="FM705" i="1" s="1"/>
  <c r="FN679" i="1"/>
  <c r="FO679" i="1" s="1"/>
  <c r="FM677" i="1"/>
  <c r="EI711" i="1"/>
  <c r="EJ711" i="1" s="1"/>
  <c r="DG708" i="1"/>
  <c r="DH708" i="1" s="1"/>
  <c r="DG686" i="1"/>
  <c r="DH686" i="1" s="1"/>
  <c r="DG685" i="1"/>
  <c r="DI687" i="1" s="1"/>
  <c r="DJ687" i="1" s="1"/>
  <c r="DH684" i="1"/>
  <c r="AU708" i="1"/>
  <c r="AV708" i="1" s="1"/>
  <c r="AU686" i="1"/>
  <c r="AV686" i="1" s="1"/>
  <c r="AU685" i="1"/>
  <c r="AV684" i="1"/>
  <c r="EP719" i="1"/>
  <c r="EH719" i="1"/>
  <c r="CS747" i="1"/>
  <c r="CT679" i="1"/>
  <c r="DF702" i="1"/>
  <c r="CX705" i="1"/>
  <c r="CT707" i="1"/>
  <c r="R704" i="1"/>
  <c r="CB667" i="1"/>
  <c r="CA669" i="1"/>
  <c r="CJ669" i="1" s="1"/>
  <c r="CH702" i="1"/>
  <c r="CP718" i="1"/>
  <c r="CH718" i="1"/>
  <c r="CD701" i="1"/>
  <c r="CD718" i="1"/>
  <c r="CL718" i="1"/>
  <c r="BZ701" i="1"/>
  <c r="BV702" i="1"/>
  <c r="BR702" i="1"/>
  <c r="EK708" i="1"/>
  <c r="EL708" i="1" s="1"/>
  <c r="EL684" i="1"/>
  <c r="EK686" i="1"/>
  <c r="EL686" i="1" s="1"/>
  <c r="EK685" i="1"/>
  <c r="DQ708" i="1"/>
  <c r="DR708" i="1" s="1"/>
  <c r="GH684" i="1"/>
  <c r="DR684" i="1"/>
  <c r="DQ686" i="1"/>
  <c r="DQ685" i="1"/>
  <c r="DZ705" i="1"/>
  <c r="DR704" i="1"/>
  <c r="GL711" i="1"/>
  <c r="GL721" i="1"/>
  <c r="GL707" i="1"/>
  <c r="GL714" i="1"/>
  <c r="GL705" i="1"/>
  <c r="GM677" i="1"/>
  <c r="GL680" i="1"/>
  <c r="GN681" i="1" s="1"/>
  <c r="GN679" i="1"/>
  <c r="FV721" i="1"/>
  <c r="FV707" i="1"/>
  <c r="FV705" i="1"/>
  <c r="FW677" i="1"/>
  <c r="FX679" i="1"/>
  <c r="EJ679" i="1"/>
  <c r="EP701" i="1"/>
  <c r="EP703" i="1"/>
  <c r="EH705" i="1"/>
  <c r="ED702" i="1"/>
  <c r="GE723" i="1"/>
  <c r="FO723" i="1"/>
  <c r="EJ703" i="1"/>
  <c r="CY747" i="1"/>
  <c r="DD702" i="1"/>
  <c r="DD707" i="1"/>
  <c r="CV703" i="1"/>
  <c r="CV721" i="1"/>
  <c r="CE721" i="1"/>
  <c r="CF721" i="1" s="1"/>
  <c r="CE707" i="1"/>
  <c r="CF707" i="1" s="1"/>
  <c r="CE705" i="1"/>
  <c r="CF705" i="1" s="1"/>
  <c r="CE684" i="1"/>
  <c r="CG686" i="1" s="1"/>
  <c r="CH686" i="1" s="1"/>
  <c r="CF677" i="1"/>
  <c r="CE679" i="1"/>
  <c r="FF670" i="1"/>
  <c r="FG670" i="1" s="1"/>
  <c r="FG669" i="1"/>
  <c r="EB669" i="1"/>
  <c r="EA670" i="1"/>
  <c r="EB670" i="1" s="1"/>
  <c r="DL669" i="1"/>
  <c r="DK670" i="1"/>
  <c r="DL670" i="1" s="1"/>
  <c r="CV669" i="1"/>
  <c r="CU670" i="1"/>
  <c r="CV670" i="1" s="1"/>
  <c r="BP669" i="1"/>
  <c r="BO670" i="1"/>
  <c r="BP670" i="1" s="1"/>
  <c r="AZ669" i="1"/>
  <c r="AY670" i="1"/>
  <c r="AZ670" i="1" s="1"/>
  <c r="AJ669" i="1"/>
  <c r="AI670" i="1"/>
  <c r="AJ670" i="1" s="1"/>
  <c r="T669" i="1"/>
  <c r="S670" i="1"/>
  <c r="T670" i="1" s="1"/>
  <c r="GJ669" i="1"/>
  <c r="GK667" i="1"/>
  <c r="FP669" i="1"/>
  <c r="FQ667" i="1"/>
  <c r="CE702" i="1"/>
  <c r="CF702" i="1" s="1"/>
  <c r="CN718" i="1"/>
  <c r="CF718" i="1"/>
  <c r="CJ718" i="1"/>
  <c r="CB718" i="1"/>
  <c r="BX702" i="1"/>
  <c r="GN701" i="1"/>
  <c r="GO701" i="1" s="1"/>
  <c r="GO718" i="1"/>
  <c r="GF701" i="1"/>
  <c r="GI701" i="1" s="1"/>
  <c r="GB701" i="1"/>
  <c r="FP702" i="1"/>
  <c r="FQ702" i="1" s="1"/>
  <c r="FL702" i="1"/>
  <c r="FH702" i="1"/>
  <c r="FI702" i="1" s="1"/>
  <c r="DV685" i="1"/>
  <c r="DQ681" i="1"/>
  <c r="GD685" i="1"/>
  <c r="DA687" i="1"/>
  <c r="DB685" i="1"/>
  <c r="CG679" i="1"/>
  <c r="CH707" i="1"/>
  <c r="FS678" i="1"/>
  <c r="GA667" i="1"/>
  <c r="FZ669" i="1"/>
  <c r="FZ702" i="1"/>
  <c r="GA702" i="1" s="1"/>
  <c r="GA719" i="1"/>
  <c r="FN704" i="1"/>
  <c r="FO704" i="1" s="1"/>
  <c r="ES667" i="1"/>
  <c r="EU666" i="1"/>
  <c r="ET666" i="1"/>
  <c r="FP685" i="1"/>
  <c r="AX685" i="1"/>
  <c r="AW687" i="1"/>
  <c r="AX687" i="1" s="1"/>
  <c r="FP708" i="1"/>
  <c r="FQ708" i="1" s="1"/>
  <c r="FQ684" i="1"/>
  <c r="FP686" i="1"/>
  <c r="FQ686" i="1" s="1"/>
  <c r="GD701" i="1"/>
  <c r="GE701" i="1" s="1"/>
  <c r="GE718" i="1"/>
  <c r="FS720" i="1"/>
  <c r="ET662" i="1"/>
  <c r="EL662" i="1"/>
  <c r="CO662" i="1"/>
  <c r="CP662" i="1" s="1"/>
  <c r="CR660" i="1"/>
  <c r="CZ660" i="1"/>
  <c r="FZ658" i="1"/>
  <c r="GA658" i="1" s="1"/>
  <c r="FZ670" i="1"/>
  <c r="GA656" i="1"/>
  <c r="GC656" i="1"/>
  <c r="FZ655" i="1"/>
  <c r="GA655" i="1" s="1"/>
  <c r="GC655" i="1"/>
  <c r="DN685" i="1"/>
  <c r="GF685" i="1"/>
  <c r="DJ685" i="1"/>
  <c r="GF708" i="1"/>
  <c r="GG708" i="1" s="1"/>
  <c r="GG684" i="1"/>
  <c r="GF686" i="1"/>
  <c r="GG686" i="1" s="1"/>
  <c r="BR708" i="1"/>
  <c r="BB708" i="1"/>
  <c r="AL708" i="1"/>
  <c r="FO678" i="1"/>
  <c r="DZ670" i="1"/>
  <c r="GI718" i="1"/>
  <c r="FV703" i="1"/>
  <c r="FW703" i="1" s="1"/>
  <c r="FW720" i="1"/>
  <c r="BV660" i="1"/>
  <c r="DJ662" i="1"/>
  <c r="GG658" i="1"/>
  <c r="FV708" i="1"/>
  <c r="FW708" i="1" s="1"/>
  <c r="FV686" i="1"/>
  <c r="FW686" i="1" s="1"/>
  <c r="FW684" i="1"/>
  <c r="AO686" i="1"/>
  <c r="AP686" i="1" s="1"/>
  <c r="FJ685" i="1"/>
  <c r="Z685" i="1"/>
  <c r="Y687" i="1"/>
  <c r="Z708" i="1"/>
  <c r="AP670" i="1"/>
  <c r="BV670" i="1"/>
  <c r="GL704" i="1"/>
  <c r="GL717" i="1"/>
  <c r="GM717" i="1" s="1"/>
  <c r="FK667" i="1"/>
  <c r="FJ669" i="1"/>
  <c r="FJ702" i="1"/>
  <c r="FK702" i="1" s="1"/>
  <c r="FK719" i="1"/>
  <c r="AD660" i="1"/>
  <c r="DN660" i="1"/>
  <c r="FH619" i="1"/>
  <c r="R619" i="1"/>
  <c r="CV660" i="1"/>
  <c r="FW655" i="1"/>
  <c r="FE637" i="1"/>
  <c r="FD613" i="1"/>
  <c r="ET622" i="1"/>
  <c r="EU622" i="1"/>
  <c r="ES621" i="1"/>
  <c r="ET621" i="1" s="1"/>
  <c r="ES617" i="1"/>
  <c r="ET617" i="1" s="1"/>
  <c r="DQ577" i="1"/>
  <c r="DR575" i="1"/>
  <c r="CK577" i="1"/>
  <c r="CL575" i="1"/>
  <c r="EL586" i="1"/>
  <c r="ET586" i="1"/>
  <c r="AW577" i="1"/>
  <c r="AX577" i="1" s="1"/>
  <c r="AX575" i="1"/>
  <c r="EM577" i="1"/>
  <c r="EN577" i="1" s="1"/>
  <c r="EN575" i="1"/>
  <c r="DW577" i="1"/>
  <c r="DX577" i="1" s="1"/>
  <c r="DX575" i="1"/>
  <c r="DG577" i="1"/>
  <c r="DH577" i="1" s="1"/>
  <c r="DH575" i="1"/>
  <c r="CQ577" i="1"/>
  <c r="CR577" i="1" s="1"/>
  <c r="CR575" i="1"/>
  <c r="AO577" i="1"/>
  <c r="AP577" i="1" s="1"/>
  <c r="AP575" i="1"/>
  <c r="GF575" i="1"/>
  <c r="GG570" i="1"/>
  <c r="GF586" i="1"/>
  <c r="GG586" i="1" s="1"/>
  <c r="FP575" i="1"/>
  <c r="FQ570" i="1"/>
  <c r="FP586" i="1"/>
  <c r="FQ586" i="1" s="1"/>
  <c r="AV575" i="1"/>
  <c r="W577" i="1"/>
  <c r="X575" i="1"/>
  <c r="EP577" i="1"/>
  <c r="FP824" i="1"/>
  <c r="FQ545" i="1"/>
  <c r="FG581" i="1"/>
  <c r="EU802" i="1"/>
  <c r="EU763" i="1"/>
  <c r="EU551" i="1"/>
  <c r="EW538" i="1"/>
  <c r="GP574" i="1"/>
  <c r="BZ577" i="1"/>
  <c r="FN824" i="1"/>
  <c r="FO545" i="1"/>
  <c r="GM586" i="1"/>
  <c r="BX586" i="1"/>
  <c r="EG858" i="1"/>
  <c r="EG859" i="1" s="1"/>
  <c r="EH502" i="1"/>
  <c r="DQ858" i="1"/>
  <c r="DR502" i="1"/>
  <c r="DA858" i="1"/>
  <c r="DA859" i="1" s="1"/>
  <c r="DB502" i="1"/>
  <c r="CK858" i="1"/>
  <c r="CL502" i="1"/>
  <c r="BU858" i="1"/>
  <c r="BU859" i="1" s="1"/>
  <c r="BV502" i="1"/>
  <c r="EO775" i="1"/>
  <c r="EO531" i="1"/>
  <c r="EO493" i="1"/>
  <c r="EX490" i="1"/>
  <c r="EP490" i="1"/>
  <c r="DY775" i="1"/>
  <c r="DY531" i="1"/>
  <c r="DY493" i="1"/>
  <c r="DZ493" i="1" s="1"/>
  <c r="DZ490" i="1"/>
  <c r="DI775" i="1"/>
  <c r="DI531" i="1"/>
  <c r="DI493" i="1"/>
  <c r="DJ490" i="1"/>
  <c r="CS775" i="1"/>
  <c r="CS531" i="1"/>
  <c r="CT490" i="1"/>
  <c r="CC775" i="1"/>
  <c r="CC531" i="1"/>
  <c r="CD490" i="1"/>
  <c r="BM775" i="1"/>
  <c r="BM531" i="1"/>
  <c r="BN490" i="1"/>
  <c r="BQ457" i="1"/>
  <c r="BQ454" i="1"/>
  <c r="BR453" i="1"/>
  <c r="AZ449" i="1"/>
  <c r="AR449" i="1"/>
  <c r="GL542" i="1"/>
  <c r="GM537" i="1"/>
  <c r="GQ485" i="1"/>
  <c r="GP484" i="1"/>
  <c r="GQ484" i="1" s="1"/>
  <c r="R451" i="1"/>
  <c r="FH800" i="1"/>
  <c r="FI443" i="1"/>
  <c r="FH453" i="1"/>
  <c r="FH451" i="1"/>
  <c r="GE405" i="1"/>
  <c r="GD408" i="1"/>
  <c r="FD542" i="1"/>
  <c r="FE537" i="1"/>
  <c r="AY775" i="1"/>
  <c r="AY531" i="1"/>
  <c r="AZ490" i="1"/>
  <c r="AI531" i="1"/>
  <c r="AJ490" i="1"/>
  <c r="FN490" i="1"/>
  <c r="S775" i="1"/>
  <c r="S531" i="1"/>
  <c r="T490" i="1"/>
  <c r="GH487" i="1"/>
  <c r="GI487" i="1" s="1"/>
  <c r="GI486" i="1"/>
  <c r="GH490" i="1"/>
  <c r="GH11" i="1"/>
  <c r="ES846" i="1"/>
  <c r="ET486" i="1"/>
  <c r="CW20" i="198" s="1"/>
  <c r="ES487" i="1"/>
  <c r="ET487" i="1" s="1"/>
  <c r="ES11" i="1"/>
  <c r="ET11" i="1" s="1"/>
  <c r="G457" i="1"/>
  <c r="G529" i="1" s="1"/>
  <c r="G454" i="1"/>
  <c r="BG453" i="1"/>
  <c r="AQ453" i="1"/>
  <c r="AB453" i="1"/>
  <c r="AA457" i="1"/>
  <c r="AA454" i="1"/>
  <c r="AB454" i="1" s="1"/>
  <c r="K457" i="1"/>
  <c r="K454" i="1"/>
  <c r="FO443" i="1"/>
  <c r="C453" i="1"/>
  <c r="C451" i="1"/>
  <c r="L451" i="1" s="1"/>
  <c r="EI542" i="1"/>
  <c r="EJ537" i="1"/>
  <c r="EM800" i="1"/>
  <c r="EM420" i="1"/>
  <c r="EM422" i="1"/>
  <c r="EN408" i="1"/>
  <c r="DW800" i="1"/>
  <c r="DW420" i="1"/>
  <c r="DX420" i="1" s="1"/>
  <c r="DW422" i="1"/>
  <c r="DX408" i="1"/>
  <c r="DG800" i="1"/>
  <c r="DG420" i="1"/>
  <c r="DH420" i="1" s="1"/>
  <c r="DG422" i="1"/>
  <c r="DH408" i="1"/>
  <c r="CQ800" i="1"/>
  <c r="CQ420" i="1"/>
  <c r="CR420" i="1" s="1"/>
  <c r="CQ422" i="1"/>
  <c r="CR408" i="1"/>
  <c r="CA800" i="1"/>
  <c r="CA420" i="1"/>
  <c r="CB420" i="1" s="1"/>
  <c r="CA422" i="1"/>
  <c r="CB408" i="1"/>
  <c r="BK420" i="1"/>
  <c r="BL420" i="1" s="1"/>
  <c r="BK422" i="1"/>
  <c r="BL408" i="1"/>
  <c r="AU420" i="1"/>
  <c r="AV420" i="1" s="1"/>
  <c r="AU422" i="1"/>
  <c r="AV408" i="1"/>
  <c r="AE420" i="1"/>
  <c r="AF420" i="1" s="1"/>
  <c r="AE422" i="1"/>
  <c r="AF408" i="1"/>
  <c r="O420" i="1"/>
  <c r="P420" i="1" s="1"/>
  <c r="O422" i="1"/>
  <c r="P408" i="1"/>
  <c r="EP542" i="1"/>
  <c r="FW447" i="1"/>
  <c r="FT451" i="1"/>
  <c r="FU447" i="1"/>
  <c r="FT449" i="1"/>
  <c r="FU449" i="1" s="1"/>
  <c r="GN436" i="1"/>
  <c r="GO434" i="1"/>
  <c r="GL418" i="1"/>
  <c r="GM418" i="1" s="1"/>
  <c r="CU858" i="1"/>
  <c r="CU859" i="1" s="1"/>
  <c r="CV502" i="1"/>
  <c r="FG531" i="1"/>
  <c r="FI487" i="1"/>
  <c r="ER487" i="1"/>
  <c r="FD529" i="1"/>
  <c r="FE457" i="1"/>
  <c r="AS529" i="1"/>
  <c r="AT457" i="1"/>
  <c r="GO418" i="1"/>
  <c r="FT418" i="1"/>
  <c r="FU418" i="1" s="1"/>
  <c r="FX800" i="1"/>
  <c r="FX422" i="1"/>
  <c r="FY408" i="1"/>
  <c r="EQ407" i="1"/>
  <c r="EQ404" i="1"/>
  <c r="EQ402" i="1"/>
  <c r="EQ498" i="1" s="1"/>
  <c r="FP346" i="1"/>
  <c r="FT314" i="1"/>
  <c r="FU314" i="1" s="1"/>
  <c r="FU310" i="1"/>
  <c r="EE858" i="1"/>
  <c r="EE859" i="1" s="1"/>
  <c r="EF502" i="1"/>
  <c r="BS858" i="1"/>
  <c r="BS859" i="1" s="1"/>
  <c r="BT502" i="1"/>
  <c r="EN531" i="1"/>
  <c r="Z531" i="1"/>
  <c r="GN775" i="1"/>
  <c r="GN531" i="1"/>
  <c r="GO490" i="1"/>
  <c r="GF775" i="1"/>
  <c r="GF531" i="1"/>
  <c r="GF493" i="1"/>
  <c r="AW453" i="1"/>
  <c r="EK800" i="1"/>
  <c r="DU800" i="1"/>
  <c r="DE800" i="1"/>
  <c r="CO800" i="1"/>
  <c r="BY800" i="1"/>
  <c r="BA422" i="1"/>
  <c r="AT420" i="1"/>
  <c r="U423" i="1"/>
  <c r="V423" i="1" s="1"/>
  <c r="U428" i="1"/>
  <c r="V422" i="1"/>
  <c r="ER377" i="1"/>
  <c r="EG383" i="1"/>
  <c r="EH370" i="1"/>
  <c r="EG381" i="1"/>
  <c r="EH381" i="1" s="1"/>
  <c r="DQ383" i="1"/>
  <c r="DR370" i="1"/>
  <c r="DQ381" i="1"/>
  <c r="DR381" i="1" s="1"/>
  <c r="DA383" i="1"/>
  <c r="DB370" i="1"/>
  <c r="DA381" i="1"/>
  <c r="DB381" i="1" s="1"/>
  <c r="CK383" i="1"/>
  <c r="CL370" i="1"/>
  <c r="CK381" i="1"/>
  <c r="CL381" i="1" s="1"/>
  <c r="BU383" i="1"/>
  <c r="BV370" i="1"/>
  <c r="BU381" i="1"/>
  <c r="BV381" i="1" s="1"/>
  <c r="BE383" i="1"/>
  <c r="BF370" i="1"/>
  <c r="BE381" i="1"/>
  <c r="BF381" i="1" s="1"/>
  <c r="AO383" i="1"/>
  <c r="AP370" i="1"/>
  <c r="AO381" i="1"/>
  <c r="AP381" i="1" s="1"/>
  <c r="GD370" i="1"/>
  <c r="GE367" i="1"/>
  <c r="AV343" i="1"/>
  <c r="AN343" i="1"/>
  <c r="FN343" i="1"/>
  <c r="EI858" i="1"/>
  <c r="EI859" i="1" s="1"/>
  <c r="EJ502" i="1"/>
  <c r="BW858" i="1"/>
  <c r="BW859" i="1" s="1"/>
  <c r="BX502" i="1"/>
  <c r="AK858" i="1"/>
  <c r="AL502" i="1"/>
  <c r="DL531" i="1"/>
  <c r="CV531" i="1"/>
  <c r="CF531" i="1"/>
  <c r="BP531" i="1"/>
  <c r="AT531" i="1"/>
  <c r="FP418" i="1"/>
  <c r="FQ418" i="1" s="1"/>
  <c r="GF800" i="1"/>
  <c r="GF422" i="1"/>
  <c r="GG408" i="1"/>
  <c r="FS393" i="1"/>
  <c r="FO436" i="1"/>
  <c r="I384" i="1"/>
  <c r="I387" i="1"/>
  <c r="I527" i="1" s="1"/>
  <c r="I530" i="1" s="1"/>
  <c r="AA387" i="1"/>
  <c r="AB383" i="1"/>
  <c r="AA384" i="1"/>
  <c r="AB384" i="1" s="1"/>
  <c r="K387" i="1"/>
  <c r="L383" i="1"/>
  <c r="K384" i="1"/>
  <c r="L384" i="1" s="1"/>
  <c r="AR344" i="1"/>
  <c r="DG858" i="1"/>
  <c r="DG859" i="1" s="1"/>
  <c r="DH502" i="1"/>
  <c r="BE858" i="1"/>
  <c r="BF502" i="1"/>
  <c r="FY487" i="1"/>
  <c r="DP531" i="1"/>
  <c r="CZ531" i="1"/>
  <c r="CJ531" i="1"/>
  <c r="BT531" i="1"/>
  <c r="GK487" i="1"/>
  <c r="GC487" i="1"/>
  <c r="BE529" i="1"/>
  <c r="FW416" i="1"/>
  <c r="EH418" i="1"/>
  <c r="DY800" i="1"/>
  <c r="DY420" i="1"/>
  <c r="DZ420" i="1" s="1"/>
  <c r="DY422" i="1"/>
  <c r="DZ408" i="1"/>
  <c r="DB418" i="1"/>
  <c r="CS800" i="1"/>
  <c r="CS420" i="1"/>
  <c r="CT420" i="1" s="1"/>
  <c r="CS422" i="1"/>
  <c r="CT408" i="1"/>
  <c r="BV418" i="1"/>
  <c r="BM420" i="1"/>
  <c r="BN420" i="1" s="1"/>
  <c r="BM422" i="1"/>
  <c r="BN408" i="1"/>
  <c r="AP418" i="1"/>
  <c r="AG420" i="1"/>
  <c r="AH420" i="1" s="1"/>
  <c r="AG422" i="1"/>
  <c r="AH408" i="1"/>
  <c r="GB800" i="1"/>
  <c r="GB422" i="1"/>
  <c r="FL422" i="1"/>
  <c r="FI381" i="1"/>
  <c r="GF380" i="1"/>
  <c r="GK378" i="1"/>
  <c r="FU378" i="1"/>
  <c r="EA381" i="1"/>
  <c r="EB381" i="1" s="1"/>
  <c r="EA383" i="1"/>
  <c r="EB370" i="1"/>
  <c r="DK381" i="1"/>
  <c r="DL381" i="1" s="1"/>
  <c r="DK383" i="1"/>
  <c r="DL370" i="1"/>
  <c r="CU381" i="1"/>
  <c r="CV381" i="1" s="1"/>
  <c r="CU383" i="1"/>
  <c r="CV370" i="1"/>
  <c r="CE381" i="1"/>
  <c r="CF381" i="1" s="1"/>
  <c r="CE383" i="1"/>
  <c r="CF370" i="1"/>
  <c r="BO381" i="1"/>
  <c r="BP381" i="1" s="1"/>
  <c r="BO383" i="1"/>
  <c r="BP370" i="1"/>
  <c r="AY381" i="1"/>
  <c r="AZ381" i="1" s="1"/>
  <c r="AY383" i="1"/>
  <c r="AZ370" i="1"/>
  <c r="AI381" i="1"/>
  <c r="AJ381" i="1" s="1"/>
  <c r="AI383" i="1"/>
  <c r="AJ370" i="1"/>
  <c r="GB370" i="1"/>
  <c r="GC367" i="1"/>
  <c r="GM319" i="1"/>
  <c r="GK319" i="1"/>
  <c r="GB324" i="1"/>
  <c r="GB317" i="1"/>
  <c r="GC316" i="1"/>
  <c r="GB9" i="1"/>
  <c r="FL324" i="1"/>
  <c r="FL317" i="1"/>
  <c r="FM316" i="1"/>
  <c r="EI320" i="1"/>
  <c r="EJ316" i="1"/>
  <c r="EI324" i="1"/>
  <c r="EI317" i="1"/>
  <c r="EJ317" i="1" s="1"/>
  <c r="EI9" i="1"/>
  <c r="EJ9" i="1" s="1"/>
  <c r="DS324" i="1"/>
  <c r="DS320" i="1"/>
  <c r="DT316" i="1"/>
  <c r="DS317" i="1"/>
  <c r="DT317" i="1" s="1"/>
  <c r="DS9" i="1"/>
  <c r="DT9" i="1" s="1"/>
  <c r="DC320" i="1"/>
  <c r="DC324" i="1"/>
  <c r="DD316" i="1"/>
  <c r="DC317" i="1"/>
  <c r="DD317" i="1" s="1"/>
  <c r="DC9" i="1"/>
  <c r="DD9" i="1" s="1"/>
  <c r="CM324" i="1"/>
  <c r="CN316" i="1"/>
  <c r="CM317" i="1"/>
  <c r="CN317" i="1" s="1"/>
  <c r="CM9" i="1"/>
  <c r="CN9" i="1" s="1"/>
  <c r="BW324" i="1"/>
  <c r="BX316" i="1"/>
  <c r="BW317" i="1"/>
  <c r="BX317" i="1" s="1"/>
  <c r="BG324" i="1"/>
  <c r="BH316" i="1"/>
  <c r="BG317" i="1"/>
  <c r="BH317" i="1" s="1"/>
  <c r="AQ324" i="1"/>
  <c r="AR316" i="1"/>
  <c r="AQ317" i="1"/>
  <c r="AR317" i="1" s="1"/>
  <c r="AA324" i="1"/>
  <c r="AB316" i="1"/>
  <c r="AA317" i="1"/>
  <c r="AB317" i="1" s="1"/>
  <c r="K324" i="1"/>
  <c r="L316" i="1"/>
  <c r="K317" i="1"/>
  <c r="L317" i="1" s="1"/>
  <c r="GH380" i="1"/>
  <c r="GI380" i="1" s="1"/>
  <c r="Y527" i="1"/>
  <c r="Z387" i="1"/>
  <c r="FU370" i="1"/>
  <c r="FT383" i="1"/>
  <c r="FN383" i="1"/>
  <c r="GY359" i="1"/>
  <c r="FR346" i="1"/>
  <c r="FS344" i="1"/>
  <c r="EV313" i="1"/>
  <c r="DY772" i="1"/>
  <c r="DY525" i="1"/>
  <c r="DY330" i="1"/>
  <c r="DZ330" i="1" s="1"/>
  <c r="DY325" i="1"/>
  <c r="DZ325" i="1" s="1"/>
  <c r="DZ324" i="1"/>
  <c r="Q772" i="1"/>
  <c r="Q525" i="1"/>
  <c r="R324" i="1"/>
  <c r="FN316" i="1"/>
  <c r="GY293" i="1"/>
  <c r="FP272" i="1"/>
  <c r="FR265" i="1"/>
  <c r="FP246" i="1"/>
  <c r="FQ246" i="1" s="1"/>
  <c r="FQ239" i="1"/>
  <c r="GP563" i="1"/>
  <c r="EN563" i="1"/>
  <c r="EF563" i="1"/>
  <c r="FB818" i="1"/>
  <c r="FB820" i="1" s="1"/>
  <c r="FB774" i="1"/>
  <c r="FB779" i="1" s="1"/>
  <c r="FL387" i="1"/>
  <c r="FL384" i="1"/>
  <c r="GK314" i="1"/>
  <c r="FX311" i="1"/>
  <c r="GA311" i="1" s="1"/>
  <c r="EC772" i="1"/>
  <c r="EC525" i="1"/>
  <c r="EC330" i="1"/>
  <c r="ED330" i="1" s="1"/>
  <c r="ED324" i="1"/>
  <c r="EC325" i="1"/>
  <c r="ED325" i="1" s="1"/>
  <c r="CG772" i="1"/>
  <c r="CG525" i="1"/>
  <c r="CH324" i="1"/>
  <c r="BQ772" i="1"/>
  <c r="BQ525" i="1"/>
  <c r="BR324" i="1"/>
  <c r="BA772" i="1"/>
  <c r="BA525" i="1"/>
  <c r="BB324" i="1"/>
  <c r="GH316" i="1"/>
  <c r="CM787" i="1"/>
  <c r="CN242" i="1"/>
  <c r="BG787" i="1"/>
  <c r="BH242" i="1"/>
  <c r="AA787" i="1"/>
  <c r="AB242" i="1"/>
  <c r="GH240" i="1"/>
  <c r="GI240" i="1" s="1"/>
  <c r="DZ240" i="1"/>
  <c r="DR240" i="1"/>
  <c r="GD240" i="1"/>
  <c r="CX240" i="1"/>
  <c r="AX240" i="1"/>
  <c r="AP240" i="1"/>
  <c r="FS381" i="1"/>
  <c r="Q527" i="1"/>
  <c r="R387" i="1"/>
  <c r="DR317" i="1"/>
  <c r="DB320" i="1"/>
  <c r="AO772" i="1"/>
  <c r="AO525" i="1"/>
  <c r="AP324" i="1"/>
  <c r="GE251" i="1"/>
  <c r="GG251" i="1"/>
  <c r="EC252" i="1"/>
  <c r="ED248" i="1"/>
  <c r="EC249" i="1"/>
  <c r="ED249" i="1" s="1"/>
  <c r="DM252" i="1"/>
  <c r="DN248" i="1"/>
  <c r="DM249" i="1"/>
  <c r="CW248" i="1"/>
  <c r="CW8" i="1" s="1"/>
  <c r="CX8" i="1" s="1"/>
  <c r="CG248" i="1"/>
  <c r="BQ248" i="1"/>
  <c r="BA252" i="1"/>
  <c r="BB248" i="1"/>
  <c r="BA249" i="1"/>
  <c r="BB249" i="1" s="1"/>
  <c r="AK252" i="1"/>
  <c r="AL248" i="1"/>
  <c r="AK249" i="1"/>
  <c r="AL249" i="1" s="1"/>
  <c r="U252" i="1"/>
  <c r="V248" i="1"/>
  <c r="U249" i="1"/>
  <c r="V249" i="1" s="1"/>
  <c r="GM246" i="1"/>
  <c r="GD380" i="1"/>
  <c r="FG383" i="1"/>
  <c r="EQ801" i="1"/>
  <c r="ER368" i="1"/>
  <c r="GO313" i="1"/>
  <c r="FI313" i="1"/>
  <c r="FM311" i="1"/>
  <c r="EL320" i="1"/>
  <c r="DV317" i="1"/>
  <c r="DF320" i="1"/>
  <c r="AC772" i="1"/>
  <c r="AC525" i="1"/>
  <c r="AD324" i="1"/>
  <c r="FZ316" i="1"/>
  <c r="GE291" i="1"/>
  <c r="EU271" i="1"/>
  <c r="ET271" i="1"/>
  <c r="DQ787" i="1"/>
  <c r="DR242" i="1"/>
  <c r="FP240" i="1"/>
  <c r="AZ240" i="1"/>
  <c r="AR240" i="1"/>
  <c r="E248" i="1"/>
  <c r="E245" i="1"/>
  <c r="N245" i="1" s="1"/>
  <c r="EW899" i="1"/>
  <c r="EW208" i="1"/>
  <c r="EX208" i="1" s="1"/>
  <c r="EX207" i="1"/>
  <c r="FT240" i="1"/>
  <c r="FU240" i="1" s="1"/>
  <c r="GC246" i="1"/>
  <c r="FR242" i="1"/>
  <c r="FU242" i="1" s="1"/>
  <c r="C249" i="1"/>
  <c r="C252" i="1"/>
  <c r="C522" i="1" s="1"/>
  <c r="C523" i="1" s="1"/>
  <c r="EE248" i="1"/>
  <c r="EE245" i="1"/>
  <c r="EF245" i="1" s="1"/>
  <c r="EF232" i="1"/>
  <c r="DW883" i="1"/>
  <c r="DW787" i="1"/>
  <c r="DX242" i="1"/>
  <c r="DG787" i="1"/>
  <c r="DH242" i="1"/>
  <c r="CY787" i="1"/>
  <c r="CZ242" i="1"/>
  <c r="CQ248" i="1"/>
  <c r="CQ8" i="1" s="1"/>
  <c r="CR8" i="1" s="1"/>
  <c r="CQ245" i="1"/>
  <c r="CR245" i="1" s="1"/>
  <c r="CR232" i="1"/>
  <c r="BS787" i="1"/>
  <c r="BT242" i="1"/>
  <c r="BK248" i="1"/>
  <c r="BK245" i="1"/>
  <c r="BL245" i="1" s="1"/>
  <c r="BL232" i="1"/>
  <c r="AM787" i="1"/>
  <c r="AN242" i="1"/>
  <c r="AE248" i="1"/>
  <c r="AE245" i="1"/>
  <c r="AF245" i="1" s="1"/>
  <c r="AF232" i="1"/>
  <c r="G248" i="1"/>
  <c r="G245" i="1"/>
  <c r="DR213" i="1"/>
  <c r="DQ217" i="1"/>
  <c r="DQ214" i="1"/>
  <c r="DQ8" i="1"/>
  <c r="CL213" i="1"/>
  <c r="CK214" i="1"/>
  <c r="CK217" i="1"/>
  <c r="BF213" i="1"/>
  <c r="BE214" i="1"/>
  <c r="BE217" i="1"/>
  <c r="Z213" i="1"/>
  <c r="Y214" i="1"/>
  <c r="Y217" i="1"/>
  <c r="FP164" i="1"/>
  <c r="FN179" i="1"/>
  <c r="FN170" i="1"/>
  <c r="FN153" i="1"/>
  <c r="FN158" i="1"/>
  <c r="FO150" i="1"/>
  <c r="GD534" i="1"/>
  <c r="GE534" i="1" s="1"/>
  <c r="FJ855" i="1"/>
  <c r="FK506" i="1"/>
  <c r="FZ509" i="1"/>
  <c r="FZ126" i="1"/>
  <c r="GA126" i="1" s="1"/>
  <c r="GA119" i="1"/>
  <c r="GL508" i="1"/>
  <c r="GM508" i="1" s="1"/>
  <c r="GH855" i="1"/>
  <c r="GI506" i="1"/>
  <c r="FR855" i="1"/>
  <c r="FS506" i="1"/>
  <c r="GE505" i="1"/>
  <c r="FO505" i="1"/>
  <c r="CQ128" i="1"/>
  <c r="CQ125" i="1"/>
  <c r="CR112" i="1"/>
  <c r="BK128" i="1"/>
  <c r="BK125" i="1"/>
  <c r="BL112" i="1"/>
  <c r="AE128" i="1"/>
  <c r="AE125" i="1"/>
  <c r="AF112" i="1"/>
  <c r="GN854" i="1"/>
  <c r="GN856" i="1" s="1"/>
  <c r="GO500" i="1"/>
  <c r="FX854" i="1"/>
  <c r="FX856" i="1" s="1"/>
  <c r="FY500" i="1"/>
  <c r="GG291" i="1"/>
  <c r="GM239" i="1"/>
  <c r="FX787" i="1"/>
  <c r="FY242" i="1"/>
  <c r="FO232" i="1"/>
  <c r="DO217" i="1"/>
  <c r="DP213" i="1"/>
  <c r="DO214" i="1"/>
  <c r="DO8" i="1"/>
  <c r="CI217" i="1"/>
  <c r="CJ213" i="1"/>
  <c r="CI214" i="1"/>
  <c r="BC217" i="1"/>
  <c r="BD213" i="1"/>
  <c r="BC214" i="1"/>
  <c r="W217" i="1"/>
  <c r="X213" i="1"/>
  <c r="W214" i="1"/>
  <c r="EI903" i="1"/>
  <c r="EJ209" i="1"/>
  <c r="EI210" i="1"/>
  <c r="ER209" i="1"/>
  <c r="GB211" i="1"/>
  <c r="GC205" i="1"/>
  <c r="FT211" i="1"/>
  <c r="FU211" i="1" s="1"/>
  <c r="FU205" i="1"/>
  <c r="FL211" i="1"/>
  <c r="FM211" i="1" s="1"/>
  <c r="FM205" i="1"/>
  <c r="DH207" i="1"/>
  <c r="FW156" i="1"/>
  <c r="FV184" i="1"/>
  <c r="FW184" i="1" s="1"/>
  <c r="GF534" i="1"/>
  <c r="GG534" i="1" s="1"/>
  <c r="GG131" i="1"/>
  <c r="DP122" i="1"/>
  <c r="GG119" i="1"/>
  <c r="FQ119" i="1"/>
  <c r="GL502" i="1"/>
  <c r="GD852" i="1"/>
  <c r="FV858" i="1"/>
  <c r="FV859" i="1" s="1"/>
  <c r="EU893" i="1"/>
  <c r="EU89" i="1"/>
  <c r="EV88" i="1"/>
  <c r="GA244" i="1"/>
  <c r="FV787" i="1"/>
  <c r="FW242" i="1"/>
  <c r="EJ245" i="1"/>
  <c r="ER245" i="1"/>
  <c r="EA249" i="1"/>
  <c r="EB249" i="1" s="1"/>
  <c r="EA252" i="1"/>
  <c r="EB248" i="1"/>
  <c r="DD245" i="1"/>
  <c r="CU252" i="1"/>
  <c r="CU249" i="1"/>
  <c r="CV249" i="1" s="1"/>
  <c r="CV248" i="1"/>
  <c r="BX245" i="1"/>
  <c r="BO249" i="1"/>
  <c r="BP249" i="1" s="1"/>
  <c r="BO252" i="1"/>
  <c r="BP248" i="1"/>
  <c r="AR245" i="1"/>
  <c r="AI249" i="1"/>
  <c r="AJ249" i="1" s="1"/>
  <c r="AI252" i="1"/>
  <c r="AJ248" i="1"/>
  <c r="L245" i="1"/>
  <c r="FP232" i="1"/>
  <c r="FQ229" i="1"/>
  <c r="ED213" i="1"/>
  <c r="EC217" i="1"/>
  <c r="EC214" i="1"/>
  <c r="EC8" i="1"/>
  <c r="CX213" i="1"/>
  <c r="CW214" i="1"/>
  <c r="CW217" i="1"/>
  <c r="BR213" i="1"/>
  <c r="BQ217" i="1"/>
  <c r="BQ214" i="1"/>
  <c r="AL213" i="1"/>
  <c r="AK217" i="1"/>
  <c r="AK214" i="1"/>
  <c r="EG903" i="1"/>
  <c r="EH209" i="1"/>
  <c r="EG210" i="1"/>
  <c r="EH210" i="1" s="1"/>
  <c r="EC899" i="1"/>
  <c r="ED207" i="1"/>
  <c r="AL156" i="1"/>
  <c r="AK184" i="1"/>
  <c r="AL184" i="1" s="1"/>
  <c r="FX534" i="1"/>
  <c r="FY534" i="1" s="1"/>
  <c r="EO128" i="1"/>
  <c r="DY128" i="1"/>
  <c r="DI128" i="1"/>
  <c r="CS128" i="1"/>
  <c r="CC128" i="1"/>
  <c r="BM128" i="1"/>
  <c r="AW128" i="1"/>
  <c r="AG132" i="1"/>
  <c r="AH128" i="1"/>
  <c r="AG129" i="1"/>
  <c r="AH129" i="1" s="1"/>
  <c r="Q132" i="1"/>
  <c r="R128" i="1"/>
  <c r="Q129" i="1"/>
  <c r="GK125" i="1"/>
  <c r="FU125" i="1"/>
  <c r="GC509" i="1"/>
  <c r="GK507" i="1"/>
  <c r="FU507" i="1"/>
  <c r="GF855" i="1"/>
  <c r="GG506" i="1"/>
  <c r="FP855" i="1"/>
  <c r="FQ506" i="1"/>
  <c r="GC505" i="1"/>
  <c r="FM246" i="1"/>
  <c r="I252" i="1"/>
  <c r="I522" i="1" s="1"/>
  <c r="I523" i="1" s="1"/>
  <c r="I249" i="1"/>
  <c r="ES236" i="1"/>
  <c r="ET236" i="1" s="1"/>
  <c r="ET230" i="1"/>
  <c r="EU230" i="1"/>
  <c r="CM217" i="1"/>
  <c r="CN213" i="1"/>
  <c r="CM214" i="1"/>
  <c r="CM8" i="1"/>
  <c r="CN8" i="1" s="1"/>
  <c r="BG217" i="1"/>
  <c r="BH213" i="1"/>
  <c r="BG214" i="1"/>
  <c r="AA217" i="1"/>
  <c r="AB213" i="1"/>
  <c r="AA214" i="1"/>
  <c r="FI209" i="1"/>
  <c r="GK209" i="1"/>
  <c r="GH211" i="1"/>
  <c r="GI211" i="1" s="1"/>
  <c r="GI205" i="1"/>
  <c r="FZ211" i="1"/>
  <c r="GA211" i="1" s="1"/>
  <c r="GA205" i="1"/>
  <c r="FR211" i="1"/>
  <c r="FS211" i="1" s="1"/>
  <c r="FS205" i="1"/>
  <c r="FK207" i="1"/>
  <c r="GL213" i="1"/>
  <c r="GM191" i="1"/>
  <c r="FV213" i="1"/>
  <c r="FW191" i="1"/>
  <c r="FO172" i="1"/>
  <c r="GB184" i="1"/>
  <c r="GC184" i="1" s="1"/>
  <c r="GC156" i="1"/>
  <c r="FL184" i="1"/>
  <c r="FM184" i="1" s="1"/>
  <c r="FM156" i="1"/>
  <c r="GB534" i="1"/>
  <c r="DX534" i="1"/>
  <c r="DP534" i="1"/>
  <c r="FW120" i="1"/>
  <c r="E128" i="1"/>
  <c r="E125" i="1"/>
  <c r="N125" i="1" s="1"/>
  <c r="FS499" i="1"/>
  <c r="GK499" i="1"/>
  <c r="GJ852" i="1"/>
  <c r="GB502" i="1"/>
  <c r="GC96" i="1"/>
  <c r="GA96" i="1"/>
  <c r="GN214" i="1"/>
  <c r="GN217" i="1"/>
  <c r="FL213" i="1"/>
  <c r="AI194" i="1"/>
  <c r="AJ194" i="1" s="1"/>
  <c r="GM122" i="1"/>
  <c r="GM112" i="1"/>
  <c r="GL128" i="1"/>
  <c r="DX125" i="1"/>
  <c r="EV111" i="1"/>
  <c r="EW111" i="1"/>
  <c r="FU96" i="1"/>
  <c r="FW96" i="1"/>
  <c r="EN91" i="1"/>
  <c r="EV91" i="1"/>
  <c r="GD91" i="1"/>
  <c r="GE91" i="1" s="1"/>
  <c r="GE84" i="1"/>
  <c r="GG84" i="1"/>
  <c r="GF91" i="1"/>
  <c r="GG91" i="1" s="1"/>
  <c r="FW84" i="1"/>
  <c r="FU84" i="1"/>
  <c r="FT91" i="1"/>
  <c r="EG88" i="1"/>
  <c r="EP88" i="1" s="1"/>
  <c r="EG93" i="1"/>
  <c r="EH72" i="1"/>
  <c r="DK93" i="1"/>
  <c r="DK88" i="1"/>
  <c r="DL88" i="1" s="1"/>
  <c r="DL72" i="1"/>
  <c r="CU93" i="1"/>
  <c r="CU88" i="1"/>
  <c r="CV88" i="1" s="1"/>
  <c r="CV72" i="1"/>
  <c r="CE93" i="1"/>
  <c r="CE88" i="1"/>
  <c r="CF88" i="1" s="1"/>
  <c r="CF72" i="1"/>
  <c r="BO93" i="1"/>
  <c r="BO88" i="1"/>
  <c r="BP88" i="1" s="1"/>
  <c r="BP72" i="1"/>
  <c r="AY93" i="1"/>
  <c r="AY88" i="1"/>
  <c r="AZ88" i="1" s="1"/>
  <c r="AZ72" i="1"/>
  <c r="AI93" i="1"/>
  <c r="AI88" i="1"/>
  <c r="AJ88" i="1" s="1"/>
  <c r="AJ72" i="1"/>
  <c r="S93" i="1"/>
  <c r="AB93" i="1" s="1"/>
  <c r="K93" i="1"/>
  <c r="GK172" i="1"/>
  <c r="FU172" i="1"/>
  <c r="FH176" i="1"/>
  <c r="FH169" i="1"/>
  <c r="FI164" i="1"/>
  <c r="ES126" i="1"/>
  <c r="ER126" i="1"/>
  <c r="EQ119" i="1"/>
  <c r="GG501" i="1"/>
  <c r="FZ854" i="1"/>
  <c r="FZ856" i="1" s="1"/>
  <c r="GA500" i="1"/>
  <c r="FJ854" i="1"/>
  <c r="FJ856" i="1" s="1"/>
  <c r="FK500" i="1"/>
  <c r="EQ120" i="1"/>
  <c r="ER120" i="1" s="1"/>
  <c r="ER115" i="1"/>
  <c r="FK88" i="1"/>
  <c r="GA91" i="1"/>
  <c r="EO855" i="1"/>
  <c r="EO856" i="1" s="1"/>
  <c r="EP506" i="1"/>
  <c r="DR85" i="1"/>
  <c r="DI855" i="1"/>
  <c r="DI856" i="1" s="1"/>
  <c r="DJ506" i="1"/>
  <c r="CL85" i="1"/>
  <c r="CC855" i="1"/>
  <c r="CC856" i="1" s="1"/>
  <c r="CD506" i="1"/>
  <c r="BF85" i="1"/>
  <c r="AW855" i="1"/>
  <c r="AW856" i="1" s="1"/>
  <c r="AX506" i="1"/>
  <c r="GH72" i="1"/>
  <c r="GI67" i="1"/>
  <c r="FP72" i="1"/>
  <c r="FQ67" i="1"/>
  <c r="CZ499" i="1"/>
  <c r="EP214" i="1"/>
  <c r="GC191" i="1"/>
  <c r="EV125" i="1"/>
  <c r="FK112" i="1"/>
  <c r="FJ128" i="1"/>
  <c r="EA877" i="1"/>
  <c r="EB122" i="1"/>
  <c r="DS128" i="1"/>
  <c r="DS125" i="1"/>
  <c r="DT125" i="1" s="1"/>
  <c r="DT112" i="1"/>
  <c r="CU128" i="1"/>
  <c r="CU125" i="1"/>
  <c r="CV125" i="1" s="1"/>
  <c r="CV112" i="1"/>
  <c r="CN122" i="1"/>
  <c r="BO128" i="1"/>
  <c r="BO125" i="1"/>
  <c r="BP125" i="1" s="1"/>
  <c r="BP112" i="1"/>
  <c r="BH122" i="1"/>
  <c r="AI128" i="1"/>
  <c r="AI125" i="1"/>
  <c r="AJ125" i="1" s="1"/>
  <c r="AJ112" i="1"/>
  <c r="AB122" i="1"/>
  <c r="FQ96" i="1"/>
  <c r="FO96" i="1"/>
  <c r="CZ91" i="1"/>
  <c r="GG87" i="1"/>
  <c r="FS84" i="1"/>
  <c r="DM93" i="1"/>
  <c r="DM88" i="1"/>
  <c r="DN88" i="1" s="1"/>
  <c r="DN72" i="1"/>
  <c r="CW93" i="1"/>
  <c r="CW88" i="1"/>
  <c r="CX88" i="1" s="1"/>
  <c r="CX72" i="1"/>
  <c r="BU93" i="1"/>
  <c r="BU88" i="1"/>
  <c r="BV72" i="1"/>
  <c r="AO93" i="1"/>
  <c r="AO88" i="1"/>
  <c r="AP88" i="1" s="1"/>
  <c r="AP72" i="1"/>
  <c r="AC97" i="1"/>
  <c r="AC94" i="1"/>
  <c r="AD94" i="1" s="1"/>
  <c r="AD93" i="1"/>
  <c r="U97" i="1"/>
  <c r="U94" i="1"/>
  <c r="V94" i="1" s="1"/>
  <c r="V93" i="1"/>
  <c r="M97" i="1"/>
  <c r="M94" i="1"/>
  <c r="N93" i="1"/>
  <c r="CX499" i="1"/>
  <c r="CN211" i="1"/>
  <c r="BH211" i="1"/>
  <c r="FQ209" i="1"/>
  <c r="EW187" i="1"/>
  <c r="EV187" i="1"/>
  <c r="AL182" i="1"/>
  <c r="AK193" i="1"/>
  <c r="AL193" i="1" s="1"/>
  <c r="AT156" i="1"/>
  <c r="GE122" i="1"/>
  <c r="GK501" i="1"/>
  <c r="GL854" i="1"/>
  <c r="GL856" i="1" s="1"/>
  <c r="GM500" i="1"/>
  <c r="FV854" i="1"/>
  <c r="FV856" i="1" s="1"/>
  <c r="FW500" i="1"/>
  <c r="FM85" i="1"/>
  <c r="EL85" i="1"/>
  <c r="EC855" i="1"/>
  <c r="EC856" i="1" s="1"/>
  <c r="ED506" i="1"/>
  <c r="DF85" i="1"/>
  <c r="CW855" i="1"/>
  <c r="CW856" i="1" s="1"/>
  <c r="CX506" i="1"/>
  <c r="BZ85" i="1"/>
  <c r="BQ855" i="1"/>
  <c r="BQ856" i="1" s="1"/>
  <c r="BR506" i="1"/>
  <c r="AT85" i="1"/>
  <c r="AK855" i="1"/>
  <c r="AK856" i="1" s="1"/>
  <c r="AL506" i="1"/>
  <c r="FM87" i="1"/>
  <c r="E97" i="1"/>
  <c r="E518" i="1" s="1"/>
  <c r="E94" i="1"/>
  <c r="GG70" i="1"/>
  <c r="GF72" i="1"/>
  <c r="GG67" i="1"/>
  <c r="FN72" i="1"/>
  <c r="FN87" i="1"/>
  <c r="FO87" i="1" s="1"/>
  <c r="FO67" i="1"/>
  <c r="EU55" i="1"/>
  <c r="ET55" i="1"/>
  <c r="EW30" i="1"/>
  <c r="EV30" i="1"/>
  <c r="EU31" i="1"/>
  <c r="EC893" i="1"/>
  <c r="EC89" i="1"/>
  <c r="ED88" i="1"/>
  <c r="FZ87" i="1"/>
  <c r="GA87" i="1" s="1"/>
  <c r="FQ70" i="1"/>
  <c r="GF85" i="1"/>
  <c r="GI85" i="1" s="1"/>
  <c r="EO893" i="1"/>
  <c r="EX88" i="1"/>
  <c r="EO89" i="1"/>
  <c r="DB70" i="1"/>
  <c r="FM70" i="1"/>
  <c r="CH88" i="1"/>
  <c r="BY93" i="1"/>
  <c r="BB88" i="1"/>
  <c r="AS93" i="1"/>
  <c r="GK41" i="1"/>
  <c r="BO708" i="1"/>
  <c r="BP708" i="1" s="1"/>
  <c r="BO686" i="1"/>
  <c r="BO685" i="1"/>
  <c r="BP684" i="1"/>
  <c r="EM708" i="1"/>
  <c r="EN708" i="1" s="1"/>
  <c r="EM686" i="1"/>
  <c r="EN686" i="1" s="1"/>
  <c r="EM685" i="1"/>
  <c r="EN684" i="1"/>
  <c r="CA708" i="1"/>
  <c r="CB708" i="1" s="1"/>
  <c r="CA686" i="1"/>
  <c r="CB686" i="1" s="1"/>
  <c r="CA685" i="1"/>
  <c r="CC687" i="1" s="1"/>
  <c r="CD687" i="1" s="1"/>
  <c r="CB684" i="1"/>
  <c r="BK708" i="1"/>
  <c r="BL708" i="1" s="1"/>
  <c r="BK686" i="1"/>
  <c r="BL686" i="1" s="1"/>
  <c r="BK685" i="1"/>
  <c r="BM687" i="1" s="1"/>
  <c r="BN687" i="1" s="1"/>
  <c r="BL684" i="1"/>
  <c r="AE708" i="1"/>
  <c r="AF708" i="1" s="1"/>
  <c r="AE686" i="1"/>
  <c r="AF686" i="1" s="1"/>
  <c r="AE685" i="1"/>
  <c r="AF684" i="1"/>
  <c r="FX721" i="1"/>
  <c r="FY721" i="1" s="1"/>
  <c r="FX705" i="1"/>
  <c r="FY705" i="1" s="1"/>
  <c r="FX707" i="1"/>
  <c r="FY707" i="1" s="1"/>
  <c r="FZ679" i="1"/>
  <c r="GA679" i="1" s="1"/>
  <c r="FY677" i="1"/>
  <c r="DJ707" i="1"/>
  <c r="CX704" i="1"/>
  <c r="CT703" i="1"/>
  <c r="CD707" i="1"/>
  <c r="EI708" i="1"/>
  <c r="EJ708" i="1" s="1"/>
  <c r="EI686" i="1"/>
  <c r="EJ686" i="1" s="1"/>
  <c r="EI685" i="1"/>
  <c r="EJ684" i="1"/>
  <c r="DS708" i="1"/>
  <c r="DT708" i="1" s="1"/>
  <c r="DS686" i="1"/>
  <c r="DT686" i="1" s="1"/>
  <c r="DS685" i="1"/>
  <c r="DT684" i="1"/>
  <c r="DC708" i="1"/>
  <c r="DD708" i="1" s="1"/>
  <c r="DC686" i="1"/>
  <c r="DD686" i="1" s="1"/>
  <c r="DC685" i="1"/>
  <c r="DD684" i="1"/>
  <c r="BW708" i="1"/>
  <c r="BW686" i="1"/>
  <c r="BX686" i="1" s="1"/>
  <c r="BW685" i="1"/>
  <c r="BY687" i="1" s="1"/>
  <c r="BZ687" i="1" s="1"/>
  <c r="BX684" i="1"/>
  <c r="BG708" i="1"/>
  <c r="BH708" i="1" s="1"/>
  <c r="BG686" i="1"/>
  <c r="BH686" i="1" s="1"/>
  <c r="BG685" i="1"/>
  <c r="BH684" i="1"/>
  <c r="AQ708" i="1"/>
  <c r="AR708" i="1" s="1"/>
  <c r="AQ686" i="1"/>
  <c r="AR686" i="1" s="1"/>
  <c r="AQ685" i="1"/>
  <c r="AS687" i="1" s="1"/>
  <c r="AT687" i="1" s="1"/>
  <c r="AR684" i="1"/>
  <c r="AA708" i="1"/>
  <c r="AB708" i="1" s="1"/>
  <c r="AA686" i="1"/>
  <c r="AB686" i="1" s="1"/>
  <c r="AA685" i="1"/>
  <c r="AB684" i="1"/>
  <c r="DZ679" i="1"/>
  <c r="DV704" i="1"/>
  <c r="DN702" i="1"/>
  <c r="GJ721" i="1"/>
  <c r="GJ711" i="1"/>
  <c r="GJ705" i="1"/>
  <c r="GJ707" i="1"/>
  <c r="GK707" i="1" s="1"/>
  <c r="GJ714" i="1"/>
  <c r="GJ680" i="1"/>
  <c r="GL681" i="1" s="1"/>
  <c r="GL679" i="1"/>
  <c r="GM679" i="1" s="1"/>
  <c r="GK677" i="1"/>
  <c r="FT721" i="1"/>
  <c r="FT705" i="1"/>
  <c r="FT707" i="1"/>
  <c r="FV679" i="1"/>
  <c r="FU677" i="1"/>
  <c r="EP679" i="1"/>
  <c r="EJ707" i="1"/>
  <c r="CT677" i="1"/>
  <c r="EK720" i="1"/>
  <c r="EL720" i="1" s="1"/>
  <c r="EK719" i="1"/>
  <c r="EL719" i="1" s="1"/>
  <c r="EK718" i="1"/>
  <c r="EL718" i="1" s="1"/>
  <c r="EK717" i="1"/>
  <c r="EL717" i="1" s="1"/>
  <c r="EK703" i="1"/>
  <c r="EL703" i="1" s="1"/>
  <c r="EK704" i="1"/>
  <c r="EL704" i="1" s="1"/>
  <c r="EK702" i="1"/>
  <c r="EL702" i="1" s="1"/>
  <c r="EK701" i="1"/>
  <c r="EL701" i="1" s="1"/>
  <c r="EM668" i="1"/>
  <c r="EL668" i="1"/>
  <c r="EH703" i="1"/>
  <c r="EP720" i="1"/>
  <c r="EH720" i="1"/>
  <c r="EB702" i="1"/>
  <c r="DF679" i="1"/>
  <c r="CD679" i="1"/>
  <c r="BN679" i="1"/>
  <c r="AX679" i="1"/>
  <c r="AH679" i="1"/>
  <c r="DF704" i="1"/>
  <c r="DB704" i="1"/>
  <c r="CX707" i="1"/>
  <c r="CX703" i="1"/>
  <c r="CT701" i="1"/>
  <c r="CT721" i="1"/>
  <c r="BZ721" i="1"/>
  <c r="BN703" i="1"/>
  <c r="BJ721" i="1"/>
  <c r="BF707" i="1"/>
  <c r="BB704" i="1"/>
  <c r="AX703" i="1"/>
  <c r="AT721" i="1"/>
  <c r="AP707" i="1"/>
  <c r="AL704" i="1"/>
  <c r="AH703" i="1"/>
  <c r="AD721" i="1"/>
  <c r="Z707" i="1"/>
  <c r="V704" i="1"/>
  <c r="R702" i="1"/>
  <c r="R703" i="1"/>
  <c r="BX667" i="1"/>
  <c r="BW669" i="1"/>
  <c r="CP719" i="1"/>
  <c r="CH719" i="1"/>
  <c r="CL719" i="1"/>
  <c r="CD719" i="1"/>
  <c r="BV704" i="1"/>
  <c r="BR704" i="1"/>
  <c r="EG708" i="1"/>
  <c r="EH708" i="1" s="1"/>
  <c r="GL684" i="1"/>
  <c r="EH684" i="1"/>
  <c r="EG686" i="1"/>
  <c r="EH686" i="1" s="1"/>
  <c r="EG685" i="1"/>
  <c r="DZ704" i="1"/>
  <c r="DZ721" i="1"/>
  <c r="DR702" i="1"/>
  <c r="DR703" i="1"/>
  <c r="GH711" i="1"/>
  <c r="GH721" i="1"/>
  <c r="GI721" i="1" s="1"/>
  <c r="GH714" i="1"/>
  <c r="GH707" i="1"/>
  <c r="GI707" i="1" s="1"/>
  <c r="GH705" i="1"/>
  <c r="GI705" i="1" s="1"/>
  <c r="GI677" i="1"/>
  <c r="GH680" i="1"/>
  <c r="GJ681" i="1" s="1"/>
  <c r="GJ679" i="1"/>
  <c r="GK679" i="1" s="1"/>
  <c r="FR721" i="1"/>
  <c r="FS721" i="1" s="1"/>
  <c r="FR707" i="1"/>
  <c r="FS707" i="1" s="1"/>
  <c r="FR705" i="1"/>
  <c r="FS705" i="1" s="1"/>
  <c r="FS677" i="1"/>
  <c r="FT679" i="1"/>
  <c r="FU679" i="1" s="1"/>
  <c r="EP705" i="1"/>
  <c r="EO711" i="1"/>
  <c r="EP711" i="1" s="1"/>
  <c r="EK711" i="1"/>
  <c r="EL711" i="1" s="1"/>
  <c r="EH707" i="1"/>
  <c r="ED705" i="1"/>
  <c r="ED711" i="1"/>
  <c r="ED721" i="1"/>
  <c r="GA723" i="1"/>
  <c r="FK723" i="1"/>
  <c r="EJ704" i="1"/>
  <c r="DX703" i="1"/>
  <c r="DX705" i="1"/>
  <c r="DT679" i="1"/>
  <c r="CU747" i="1"/>
  <c r="CV679" i="1"/>
  <c r="BP679" i="1"/>
  <c r="AZ679" i="1"/>
  <c r="AJ679" i="1"/>
  <c r="T679" i="1"/>
  <c r="DD703" i="1"/>
  <c r="DD721" i="1"/>
  <c r="CV704" i="1"/>
  <c r="CQ721" i="1"/>
  <c r="CR721" i="1" s="1"/>
  <c r="CQ707" i="1"/>
  <c r="CR707" i="1" s="1"/>
  <c r="CQ705" i="1"/>
  <c r="CR705" i="1" s="1"/>
  <c r="CQ704" i="1"/>
  <c r="CR704" i="1" s="1"/>
  <c r="CQ702" i="1"/>
  <c r="CR702" i="1" s="1"/>
  <c r="CQ703" i="1"/>
  <c r="CR703" i="1" s="1"/>
  <c r="CQ701" i="1"/>
  <c r="CR701" i="1" s="1"/>
  <c r="CQ684" i="1"/>
  <c r="CZ684" i="1" s="1"/>
  <c r="CZ677" i="1"/>
  <c r="CR677" i="1"/>
  <c r="CQ679" i="1"/>
  <c r="CQ662" i="1"/>
  <c r="CB705" i="1"/>
  <c r="BX707" i="1"/>
  <c r="BT721" i="1"/>
  <c r="BP704" i="1"/>
  <c r="BL701" i="1"/>
  <c r="BL705" i="1"/>
  <c r="BH703" i="1"/>
  <c r="BH707" i="1"/>
  <c r="BD702" i="1"/>
  <c r="BD721" i="1"/>
  <c r="AZ704" i="1"/>
  <c r="AV701" i="1"/>
  <c r="AV705" i="1"/>
  <c r="AR703" i="1"/>
  <c r="AR707" i="1"/>
  <c r="AN702" i="1"/>
  <c r="AN721" i="1"/>
  <c r="AJ704" i="1"/>
  <c r="AF701" i="1"/>
  <c r="AF705" i="1"/>
  <c r="AB703" i="1"/>
  <c r="AB707" i="1"/>
  <c r="X703" i="1"/>
  <c r="X721" i="1"/>
  <c r="T704" i="1"/>
  <c r="DX669" i="1"/>
  <c r="DW670" i="1"/>
  <c r="DX670" i="1" s="1"/>
  <c r="DH669" i="1"/>
  <c r="DG670" i="1"/>
  <c r="DH670" i="1" s="1"/>
  <c r="CR669" i="1"/>
  <c r="CQ670" i="1"/>
  <c r="CR670" i="1" s="1"/>
  <c r="BL669" i="1"/>
  <c r="BK670" i="1"/>
  <c r="BL670" i="1" s="1"/>
  <c r="AV669" i="1"/>
  <c r="AU670" i="1"/>
  <c r="AV670" i="1" s="1"/>
  <c r="AF669" i="1"/>
  <c r="AE670" i="1"/>
  <c r="AF670" i="1" s="1"/>
  <c r="P669" i="1"/>
  <c r="O670" i="1"/>
  <c r="P670" i="1" s="1"/>
  <c r="GF669" i="1"/>
  <c r="GG667" i="1"/>
  <c r="FL669" i="1"/>
  <c r="FM667" i="1"/>
  <c r="CE703" i="1"/>
  <c r="CF703" i="1" s="1"/>
  <c r="CN719" i="1"/>
  <c r="CF719" i="1"/>
  <c r="CJ719" i="1"/>
  <c r="CB719" i="1"/>
  <c r="BX703" i="1"/>
  <c r="BT702" i="1"/>
  <c r="GN704" i="1"/>
  <c r="GO704" i="1" s="1"/>
  <c r="GO717" i="1"/>
  <c r="GJ704" i="1"/>
  <c r="GF704" i="1"/>
  <c r="GB704" i="1"/>
  <c r="GC704" i="1" s="1"/>
  <c r="FT701" i="1"/>
  <c r="FU701" i="1" s="1"/>
  <c r="FP701" i="1"/>
  <c r="FQ701" i="1" s="1"/>
  <c r="FQ718" i="1"/>
  <c r="FL701" i="1"/>
  <c r="FH701" i="1"/>
  <c r="FI701" i="1" s="1"/>
  <c r="DU686" i="1"/>
  <c r="DM681" i="1"/>
  <c r="EM681" i="1"/>
  <c r="DA686" i="1"/>
  <c r="GB685" i="1"/>
  <c r="GB708" i="1"/>
  <c r="CH721" i="1"/>
  <c r="GA666" i="1"/>
  <c r="FZ701" i="1"/>
  <c r="GA701" i="1" s="1"/>
  <c r="GA718" i="1"/>
  <c r="FN703" i="1"/>
  <c r="FO703" i="1" s="1"/>
  <c r="FO720" i="1"/>
  <c r="CD660" i="1"/>
  <c r="BN662" i="1"/>
  <c r="CL660" i="1"/>
  <c r="GI636" i="1"/>
  <c r="GF634" i="1"/>
  <c r="GG636" i="1"/>
  <c r="DF708" i="1"/>
  <c r="AW686" i="1"/>
  <c r="AX686" i="1" s="1"/>
  <c r="AH685" i="1"/>
  <c r="FL685" i="1"/>
  <c r="AG687" i="1"/>
  <c r="AH687" i="1" s="1"/>
  <c r="FL708" i="1"/>
  <c r="FM708" i="1" s="1"/>
  <c r="FM684" i="1"/>
  <c r="FL686" i="1"/>
  <c r="FM686" i="1" s="1"/>
  <c r="GD704" i="1"/>
  <c r="GE704" i="1" s="1"/>
  <c r="GE717" i="1"/>
  <c r="FS667" i="1"/>
  <c r="FR669" i="1"/>
  <c r="FR702" i="1"/>
  <c r="FS702" i="1" s="1"/>
  <c r="FS719" i="1"/>
  <c r="EV660" i="1"/>
  <c r="EN660" i="1"/>
  <c r="GC658" i="1"/>
  <c r="GI658" i="1"/>
  <c r="GK636" i="1"/>
  <c r="GJ634" i="1"/>
  <c r="GK634" i="1" s="1"/>
  <c r="DY681" i="1"/>
  <c r="DM686" i="1"/>
  <c r="DN686" i="1" s="1"/>
  <c r="DI686" i="1"/>
  <c r="CW687" i="1"/>
  <c r="BR685" i="1"/>
  <c r="BQ687" i="1"/>
  <c r="BB685" i="1"/>
  <c r="BA687" i="1"/>
  <c r="AL685" i="1"/>
  <c r="AK687" i="1"/>
  <c r="GM678" i="1"/>
  <c r="GO668" i="1"/>
  <c r="BB670" i="1"/>
  <c r="V670" i="1"/>
  <c r="BR670" i="1"/>
  <c r="GH704" i="1"/>
  <c r="GI704" i="1" s="1"/>
  <c r="GI717" i="1"/>
  <c r="FW667" i="1"/>
  <c r="FV669" i="1"/>
  <c r="FV702" i="1"/>
  <c r="FW702" i="1" s="1"/>
  <c r="FW719" i="1"/>
  <c r="BV662" i="1"/>
  <c r="AP662" i="1"/>
  <c r="DZ660" i="1"/>
  <c r="CT660" i="1"/>
  <c r="FQ658" i="1"/>
  <c r="FV685" i="1"/>
  <c r="BV685" i="1"/>
  <c r="BU687" i="1"/>
  <c r="BV708" i="1"/>
  <c r="FR708" i="1"/>
  <c r="FS708" i="1" s="1"/>
  <c r="FR686" i="1"/>
  <c r="FS686" i="1" s="1"/>
  <c r="FS684" i="1"/>
  <c r="Y686" i="1"/>
  <c r="ET668" i="1"/>
  <c r="GL703" i="1"/>
  <c r="GM703" i="1" s="1"/>
  <c r="GL720" i="1"/>
  <c r="GM720" i="1" s="1"/>
  <c r="FJ701" i="1"/>
  <c r="FK718" i="1"/>
  <c r="AJ662" i="1"/>
  <c r="BJ662" i="1"/>
  <c r="AD662" i="1"/>
  <c r="DN662" i="1"/>
  <c r="BP660" i="1"/>
  <c r="FU658" i="1"/>
  <c r="FL617" i="1"/>
  <c r="FM622" i="1"/>
  <c r="GO617" i="1"/>
  <c r="GJ613" i="1"/>
  <c r="GK611" i="1"/>
  <c r="BH662" i="1"/>
  <c r="CT655" i="1"/>
  <c r="GK617" i="1"/>
  <c r="EB662" i="1"/>
  <c r="GM655" i="1"/>
  <c r="FS655" i="1"/>
  <c r="GM636" i="1"/>
  <c r="ER621" i="1"/>
  <c r="GJ616" i="1"/>
  <c r="GF616" i="1"/>
  <c r="GG616" i="1" s="1"/>
  <c r="GB616" i="1"/>
  <c r="GC616" i="1" s="1"/>
  <c r="CB617" i="1"/>
  <c r="DI577" i="1"/>
  <c r="DJ577" i="1" s="1"/>
  <c r="DJ575" i="1"/>
  <c r="CC577" i="1"/>
  <c r="CD575" i="1"/>
  <c r="GZ572" i="1"/>
  <c r="GO572" i="1"/>
  <c r="EB586" i="1"/>
  <c r="DL586" i="1"/>
  <c r="BX575" i="1"/>
  <c r="BW577" i="1"/>
  <c r="BX577" i="1" s="1"/>
  <c r="CB575" i="1"/>
  <c r="EJ575" i="1"/>
  <c r="EI577" i="1"/>
  <c r="EJ577" i="1" s="1"/>
  <c r="DT575" i="1"/>
  <c r="DS577" i="1"/>
  <c r="DT577" i="1" s="1"/>
  <c r="DD575" i="1"/>
  <c r="DC577" i="1"/>
  <c r="DD577" i="1" s="1"/>
  <c r="CN575" i="1"/>
  <c r="CM577" i="1"/>
  <c r="CN577" i="1" s="1"/>
  <c r="GB575" i="1"/>
  <c r="GC570" i="1"/>
  <c r="GB586" i="1"/>
  <c r="GC586" i="1" s="1"/>
  <c r="FL575" i="1"/>
  <c r="FO575" i="1" s="1"/>
  <c r="FM570" i="1"/>
  <c r="FL586" i="1"/>
  <c r="FM586" i="1" s="1"/>
  <c r="EV586" i="1"/>
  <c r="DV586" i="1"/>
  <c r="DF586" i="1"/>
  <c r="CP586" i="1"/>
  <c r="BZ586" i="1"/>
  <c r="BJ586" i="1"/>
  <c r="AT586" i="1"/>
  <c r="BA577" i="1"/>
  <c r="BB577" i="1" s="1"/>
  <c r="BB575" i="1"/>
  <c r="BU577" i="1"/>
  <c r="BV577" i="1" s="1"/>
  <c r="BV575" i="1"/>
  <c r="FL824" i="1"/>
  <c r="FM545" i="1"/>
  <c r="GE581" i="1"/>
  <c r="GD577" i="1"/>
  <c r="FO570" i="1"/>
  <c r="GA586" i="1"/>
  <c r="FU545" i="1"/>
  <c r="CD511" i="1"/>
  <c r="BR511" i="1"/>
  <c r="AT511" i="1"/>
  <c r="EC858" i="1"/>
  <c r="EC859" i="1" s="1"/>
  <c r="ED502" i="1"/>
  <c r="DM858" i="1"/>
  <c r="DM859" i="1" s="1"/>
  <c r="DN502" i="1"/>
  <c r="CW858" i="1"/>
  <c r="CW859" i="1" s="1"/>
  <c r="CX502" i="1"/>
  <c r="CG858" i="1"/>
  <c r="CG859" i="1" s="1"/>
  <c r="CH502" i="1"/>
  <c r="BQ858" i="1"/>
  <c r="BQ859" i="1" s="1"/>
  <c r="BR502" i="1"/>
  <c r="EK775" i="1"/>
  <c r="EK531" i="1"/>
  <c r="EK493" i="1"/>
  <c r="ET490" i="1"/>
  <c r="EL490" i="1"/>
  <c r="DU775" i="1"/>
  <c r="DU531" i="1"/>
  <c r="DU493" i="1"/>
  <c r="DV493" i="1" s="1"/>
  <c r="DV490" i="1"/>
  <c r="DE775" i="1"/>
  <c r="DE531" i="1"/>
  <c r="DF490" i="1"/>
  <c r="CO775" i="1"/>
  <c r="CO531" i="1"/>
  <c r="CP490" i="1"/>
  <c r="BY775" i="1"/>
  <c r="BY531" i="1"/>
  <c r="BZ490" i="1"/>
  <c r="BI775" i="1"/>
  <c r="BI531" i="1"/>
  <c r="BJ490" i="1"/>
  <c r="EJ487" i="1"/>
  <c r="DT487" i="1"/>
  <c r="DD487" i="1"/>
  <c r="CN487" i="1"/>
  <c r="BX487" i="1"/>
  <c r="FJ454" i="1"/>
  <c r="FJ457" i="1"/>
  <c r="FK453" i="1"/>
  <c r="BM457" i="1"/>
  <c r="BM454" i="1"/>
  <c r="BN454" i="1" s="1"/>
  <c r="BN453" i="1"/>
  <c r="BT449" i="1"/>
  <c r="BL449" i="1"/>
  <c r="FN451" i="1"/>
  <c r="FO451" i="1" s="1"/>
  <c r="FN449" i="1"/>
  <c r="FO447" i="1"/>
  <c r="BJ451" i="1"/>
  <c r="AT451" i="1"/>
  <c r="AD451" i="1"/>
  <c r="FT800" i="1"/>
  <c r="FU443" i="1"/>
  <c r="FT453" i="1"/>
  <c r="GM434" i="1"/>
  <c r="GL436" i="1"/>
  <c r="GA405" i="1"/>
  <c r="FZ408" i="1"/>
  <c r="GC408" i="1" s="1"/>
  <c r="CL511" i="1"/>
  <c r="BT511" i="1"/>
  <c r="AV511" i="1"/>
  <c r="AU775" i="1"/>
  <c r="AU531" i="1"/>
  <c r="AV490" i="1"/>
  <c r="AE775" i="1"/>
  <c r="AE531" i="1"/>
  <c r="AF490" i="1"/>
  <c r="O775" i="1"/>
  <c r="O531" i="1"/>
  <c r="P490" i="1"/>
  <c r="GG489" i="1"/>
  <c r="GD487" i="1"/>
  <c r="GE487" i="1" s="1"/>
  <c r="GE486" i="1"/>
  <c r="GD490" i="1"/>
  <c r="GD11" i="1"/>
  <c r="EP487" i="1"/>
  <c r="DZ487" i="1"/>
  <c r="DJ487" i="1"/>
  <c r="CT487" i="1"/>
  <c r="CD487" i="1"/>
  <c r="BN487" i="1"/>
  <c r="AX487" i="1"/>
  <c r="AH487" i="1"/>
  <c r="BT453" i="1"/>
  <c r="BS457" i="1"/>
  <c r="BS454" i="1"/>
  <c r="BT454" i="1" s="1"/>
  <c r="BD453" i="1"/>
  <c r="BC457" i="1"/>
  <c r="BC454" i="1"/>
  <c r="AM453" i="1"/>
  <c r="X453" i="1"/>
  <c r="W457" i="1"/>
  <c r="W454" i="1"/>
  <c r="X454" i="1" s="1"/>
  <c r="FK443" i="1"/>
  <c r="BO800" i="1"/>
  <c r="GE425" i="1"/>
  <c r="GC425" i="1"/>
  <c r="EL418" i="1"/>
  <c r="ET418" i="1"/>
  <c r="EI800" i="1"/>
  <c r="EI420" i="1"/>
  <c r="EI422" i="1"/>
  <c r="EJ408" i="1"/>
  <c r="DS800" i="1"/>
  <c r="DS420" i="1"/>
  <c r="DT420" i="1" s="1"/>
  <c r="DS422" i="1"/>
  <c r="DT408" i="1"/>
  <c r="DC800" i="1"/>
  <c r="DC420" i="1"/>
  <c r="DD420" i="1" s="1"/>
  <c r="DC422" i="1"/>
  <c r="DD408" i="1"/>
  <c r="CM800" i="1"/>
  <c r="CM420" i="1"/>
  <c r="CN420" i="1" s="1"/>
  <c r="CM422" i="1"/>
  <c r="CN408" i="1"/>
  <c r="BW800" i="1"/>
  <c r="BW420" i="1"/>
  <c r="BX420" i="1" s="1"/>
  <c r="BW422" i="1"/>
  <c r="BX408" i="1"/>
  <c r="BG420" i="1"/>
  <c r="BH420" i="1" s="1"/>
  <c r="BG422" i="1"/>
  <c r="BH408" i="1"/>
  <c r="AQ420" i="1"/>
  <c r="AR420" i="1" s="1"/>
  <c r="AQ422" i="1"/>
  <c r="AR408" i="1"/>
  <c r="AA420" i="1"/>
  <c r="AB420" i="1" s="1"/>
  <c r="AA422" i="1"/>
  <c r="AB408" i="1"/>
  <c r="GR480" i="1"/>
  <c r="GP486" i="1"/>
  <c r="EC20" i="198" s="1"/>
  <c r="GQ480" i="1"/>
  <c r="FP451" i="1"/>
  <c r="FQ451" i="1" s="1"/>
  <c r="FQ447" i="1"/>
  <c r="FP449" i="1"/>
  <c r="GJ436" i="1"/>
  <c r="GK436" i="1" s="1"/>
  <c r="GK434" i="1"/>
  <c r="DB537" i="1"/>
  <c r="CT537" i="1"/>
  <c r="FJ537" i="1"/>
  <c r="FF537" i="1"/>
  <c r="FI537" i="1" s="1"/>
  <c r="GG419" i="1"/>
  <c r="GH418" i="1"/>
  <c r="GI418" i="1" s="1"/>
  <c r="FS418" i="1"/>
  <c r="EL416" i="1"/>
  <c r="DV416" i="1"/>
  <c r="DF416" i="1"/>
  <c r="CP416" i="1"/>
  <c r="BZ416" i="1"/>
  <c r="BJ416" i="1"/>
  <c r="AT416" i="1"/>
  <c r="CE858" i="1"/>
  <c r="CE859" i="1" s="1"/>
  <c r="CF502" i="1"/>
  <c r="EJ531" i="1"/>
  <c r="BH490" i="1"/>
  <c r="FQ487" i="1"/>
  <c r="FH531" i="1"/>
  <c r="FI490" i="1"/>
  <c r="BF449" i="1"/>
  <c r="R454" i="1"/>
  <c r="GT435" i="1"/>
  <c r="GS435" i="1"/>
  <c r="EV425" i="1"/>
  <c r="EW425" i="1"/>
  <c r="GG418" i="1"/>
  <c r="FM418" i="1"/>
  <c r="FJ408" i="1"/>
  <c r="FK405" i="1"/>
  <c r="AM344" i="1"/>
  <c r="FP314" i="1"/>
  <c r="FQ314" i="1" s="1"/>
  <c r="FQ310" i="1"/>
  <c r="DO858" i="1"/>
  <c r="DO859" i="1" s="1"/>
  <c r="DP502" i="1"/>
  <c r="BC858" i="1"/>
  <c r="BC859" i="1" s="1"/>
  <c r="BD502" i="1"/>
  <c r="EV493" i="1"/>
  <c r="EN493" i="1"/>
  <c r="DX531" i="1"/>
  <c r="BL490" i="1"/>
  <c r="AP531" i="1"/>
  <c r="BR449" i="1"/>
  <c r="GM416" i="1"/>
  <c r="BI422" i="1"/>
  <c r="BB420" i="1"/>
  <c r="AC423" i="1"/>
  <c r="AD423" i="1" s="1"/>
  <c r="AC428" i="1"/>
  <c r="AD422" i="1"/>
  <c r="V420" i="1"/>
  <c r="GJ408" i="1"/>
  <c r="GK405" i="1"/>
  <c r="GA436" i="1"/>
  <c r="EC383" i="1"/>
  <c r="ED370" i="1"/>
  <c r="EC381" i="1"/>
  <c r="ED381" i="1" s="1"/>
  <c r="DM383" i="1"/>
  <c r="DN370" i="1"/>
  <c r="DM381" i="1"/>
  <c r="DN381" i="1" s="1"/>
  <c r="CW383" i="1"/>
  <c r="CX370" i="1"/>
  <c r="CW381" i="1"/>
  <c r="CX381" i="1" s="1"/>
  <c r="CG383" i="1"/>
  <c r="CH370" i="1"/>
  <c r="CG381" i="1"/>
  <c r="CH381" i="1" s="1"/>
  <c r="BQ383" i="1"/>
  <c r="BR370" i="1"/>
  <c r="BQ381" i="1"/>
  <c r="BR381" i="1" s="1"/>
  <c r="BA383" i="1"/>
  <c r="BB370" i="1"/>
  <c r="BA381" i="1"/>
  <c r="BB381" i="1" s="1"/>
  <c r="AK383" i="1"/>
  <c r="AL370" i="1"/>
  <c r="AK381" i="1"/>
  <c r="AL381" i="1" s="1"/>
  <c r="FZ370" i="1"/>
  <c r="GA367" i="1"/>
  <c r="EI398" i="1"/>
  <c r="EI399" i="1" s="1"/>
  <c r="EI361" i="1"/>
  <c r="EP314" i="1"/>
  <c r="EQ314" i="1"/>
  <c r="DZ314" i="1"/>
  <c r="DJ314" i="1"/>
  <c r="CT314" i="1"/>
  <c r="ET313" i="1"/>
  <c r="ED313" i="1"/>
  <c r="DN313" i="1"/>
  <c r="CX313" i="1"/>
  <c r="CH313" i="1"/>
  <c r="BR313" i="1"/>
  <c r="BB313" i="1"/>
  <c r="AL313" i="1"/>
  <c r="V313" i="1"/>
  <c r="DS858" i="1"/>
  <c r="DS859" i="1" s="1"/>
  <c r="DT502" i="1"/>
  <c r="BG858" i="1"/>
  <c r="BG859" i="1" s="1"/>
  <c r="AA502" i="1"/>
  <c r="EB493" i="1"/>
  <c r="AL454" i="1"/>
  <c r="U529" i="1"/>
  <c r="V457" i="1"/>
  <c r="ER412" i="1"/>
  <c r="GP412" i="1"/>
  <c r="GC418" i="1"/>
  <c r="FS405" i="1"/>
  <c r="FK436" i="1"/>
  <c r="E387" i="1"/>
  <c r="E527" i="1" s="1"/>
  <c r="E530" i="1" s="1"/>
  <c r="E384" i="1"/>
  <c r="N384" i="1" s="1"/>
  <c r="W387" i="1"/>
  <c r="X383" i="1"/>
  <c r="W384" i="1"/>
  <c r="X384" i="1" s="1"/>
  <c r="FV370" i="1"/>
  <c r="FW367" i="1"/>
  <c r="FY367" i="1"/>
  <c r="AL501" i="1"/>
  <c r="CQ858" i="1"/>
  <c r="CQ859" i="1" s="1"/>
  <c r="CR502" i="1"/>
  <c r="AU858" i="1"/>
  <c r="AU859" i="1" s="1"/>
  <c r="FW490" i="1"/>
  <c r="EF493" i="1"/>
  <c r="AX531" i="1"/>
  <c r="AH531" i="1"/>
  <c r="R531" i="1"/>
  <c r="GJ775" i="1"/>
  <c r="GJ531" i="1"/>
  <c r="GK490" i="1"/>
  <c r="GB490" i="1"/>
  <c r="FS487" i="1"/>
  <c r="FK487" i="1"/>
  <c r="Z454" i="1"/>
  <c r="M529" i="1"/>
  <c r="N457" i="1"/>
  <c r="FO416" i="1"/>
  <c r="EP418" i="1"/>
  <c r="EG800" i="1"/>
  <c r="EG420" i="1"/>
  <c r="EH420" i="1" s="1"/>
  <c r="EG422" i="1"/>
  <c r="EH408" i="1"/>
  <c r="DA800" i="1"/>
  <c r="DA420" i="1"/>
  <c r="DB420" i="1" s="1"/>
  <c r="DA422" i="1"/>
  <c r="DB408" i="1"/>
  <c r="CD418" i="1"/>
  <c r="BU420" i="1"/>
  <c r="BV420" i="1" s="1"/>
  <c r="BU422" i="1"/>
  <c r="BV408" i="1"/>
  <c r="AX418" i="1"/>
  <c r="AO420" i="1"/>
  <c r="AP420" i="1" s="1"/>
  <c r="AO422" i="1"/>
  <c r="AP408" i="1"/>
  <c r="ES402" i="1"/>
  <c r="ES407" i="1"/>
  <c r="ET407" i="1" s="1"/>
  <c r="ES404" i="1"/>
  <c r="FT381" i="1"/>
  <c r="FU381" i="1" s="1"/>
  <c r="FE381" i="1"/>
  <c r="GB380" i="1"/>
  <c r="GC380" i="1" s="1"/>
  <c r="Z381" i="1"/>
  <c r="CZ380" i="1"/>
  <c r="CJ380" i="1"/>
  <c r="BT380" i="1"/>
  <c r="BD380" i="1"/>
  <c r="GG378" i="1"/>
  <c r="FQ378" i="1"/>
  <c r="EM381" i="1"/>
  <c r="EM383" i="1"/>
  <c r="EN370" i="1"/>
  <c r="DW381" i="1"/>
  <c r="DX381" i="1" s="1"/>
  <c r="DW383" i="1"/>
  <c r="DX370" i="1"/>
  <c r="DG381" i="1"/>
  <c r="DH381" i="1" s="1"/>
  <c r="DG383" i="1"/>
  <c r="DH370" i="1"/>
  <c r="CQ381" i="1"/>
  <c r="CR381" i="1" s="1"/>
  <c r="CQ383" i="1"/>
  <c r="CR370" i="1"/>
  <c r="CA381" i="1"/>
  <c r="CB381" i="1" s="1"/>
  <c r="CA383" i="1"/>
  <c r="CB370" i="1"/>
  <c r="BK381" i="1"/>
  <c r="BL381" i="1" s="1"/>
  <c r="BK383" i="1"/>
  <c r="BL370" i="1"/>
  <c r="AU381" i="1"/>
  <c r="AV381" i="1" s="1"/>
  <c r="AU383" i="1"/>
  <c r="AV370" i="1"/>
  <c r="GN370" i="1"/>
  <c r="GO367" i="1"/>
  <c r="GN324" i="1"/>
  <c r="GN320" i="1"/>
  <c r="GN317" i="1"/>
  <c r="GN9" i="1"/>
  <c r="FH324" i="1"/>
  <c r="FH317" i="1"/>
  <c r="FI317" i="1" s="1"/>
  <c r="FI316" i="1"/>
  <c r="EE324" i="1"/>
  <c r="EE320" i="1"/>
  <c r="EF316" i="1"/>
  <c r="EE317" i="1"/>
  <c r="EF317" i="1" s="1"/>
  <c r="EE9" i="1"/>
  <c r="EF9" i="1" s="1"/>
  <c r="DO324" i="1"/>
  <c r="DO320" i="1"/>
  <c r="DP316" i="1"/>
  <c r="DO317" i="1"/>
  <c r="DP317" i="1" s="1"/>
  <c r="DO9" i="1"/>
  <c r="DP9" i="1" s="1"/>
  <c r="CY320" i="1"/>
  <c r="CZ316" i="1"/>
  <c r="CY324" i="1"/>
  <c r="CY317" i="1"/>
  <c r="CZ317" i="1" s="1"/>
  <c r="CY9" i="1"/>
  <c r="CZ9" i="1" s="1"/>
  <c r="CI324" i="1"/>
  <c r="CJ316" i="1"/>
  <c r="CI317" i="1"/>
  <c r="CJ317" i="1" s="1"/>
  <c r="BS324" i="1"/>
  <c r="BT316" i="1"/>
  <c r="BS317" i="1"/>
  <c r="BT317" i="1" s="1"/>
  <c r="BC324" i="1"/>
  <c r="BD316" i="1"/>
  <c r="BC317" i="1"/>
  <c r="BD317" i="1" s="1"/>
  <c r="AM324" i="1"/>
  <c r="AN316" i="1"/>
  <c r="AM317" i="1"/>
  <c r="AN317" i="1" s="1"/>
  <c r="W324" i="1"/>
  <c r="X316" i="1"/>
  <c r="W317" i="1"/>
  <c r="X317" i="1" s="1"/>
  <c r="EN314" i="1"/>
  <c r="DX314" i="1"/>
  <c r="DH314" i="1"/>
  <c r="CR314" i="1"/>
  <c r="CF314" i="1"/>
  <c r="BX314" i="1"/>
  <c r="BH314" i="1"/>
  <c r="EJ313" i="1"/>
  <c r="ER313" i="1"/>
  <c r="DT313" i="1"/>
  <c r="DD313" i="1"/>
  <c r="CN313" i="1"/>
  <c r="BX313" i="1"/>
  <c r="BH313" i="1"/>
  <c r="AR313" i="1"/>
  <c r="AB313" i="1"/>
  <c r="FR287" i="1"/>
  <c r="FS281" i="1"/>
  <c r="FR294" i="1"/>
  <c r="FS380" i="1"/>
  <c r="FH383" i="1"/>
  <c r="DZ317" i="1"/>
  <c r="DJ320" i="1"/>
  <c r="AG772" i="1"/>
  <c r="AG525" i="1"/>
  <c r="AH324" i="1"/>
  <c r="EW301" i="1"/>
  <c r="EV301" i="1"/>
  <c r="GB289" i="1"/>
  <c r="EW288" i="1"/>
  <c r="EV288" i="1"/>
  <c r="GR282" i="1"/>
  <c r="GQ282" i="1"/>
  <c r="GL788" i="1"/>
  <c r="GM274" i="1"/>
  <c r="EJ563" i="1"/>
  <c r="EB563" i="1"/>
  <c r="GL380" i="1"/>
  <c r="GM380" i="1" s="1"/>
  <c r="N383" i="1"/>
  <c r="G530" i="1"/>
  <c r="GC314" i="1"/>
  <c r="FP311" i="1"/>
  <c r="FS311" i="1" s="1"/>
  <c r="FF525" i="1"/>
  <c r="FG324" i="1"/>
  <c r="DN320" i="1"/>
  <c r="CE787" i="1"/>
  <c r="CF242" i="1"/>
  <c r="AY787" i="1"/>
  <c r="AZ242" i="1"/>
  <c r="S787" i="1"/>
  <c r="T242" i="1"/>
  <c r="DJ240" i="1"/>
  <c r="CP240" i="1"/>
  <c r="BZ240" i="1"/>
  <c r="FN240" i="1"/>
  <c r="FO240" i="1" s="1"/>
  <c r="AL240" i="1"/>
  <c r="N232" i="1"/>
  <c r="FK381" i="1"/>
  <c r="AG527" i="1"/>
  <c r="AH387" i="1"/>
  <c r="R384" i="1"/>
  <c r="FJ383" i="1"/>
  <c r="EH320" i="1"/>
  <c r="DA772" i="1"/>
  <c r="DA525" i="1"/>
  <c r="DA325" i="1"/>
  <c r="DB324" i="1"/>
  <c r="CK772" i="1"/>
  <c r="CK525" i="1"/>
  <c r="CL324" i="1"/>
  <c r="BU772" i="1"/>
  <c r="BU525" i="1"/>
  <c r="BV324" i="1"/>
  <c r="BE772" i="1"/>
  <c r="BE525" i="1"/>
  <c r="BF324" i="1"/>
  <c r="AP317" i="1"/>
  <c r="GL316" i="1"/>
  <c r="GN788" i="1"/>
  <c r="GO274" i="1"/>
  <c r="EO252" i="1"/>
  <c r="EP248" i="1"/>
  <c r="EO249" i="1"/>
  <c r="EP249" i="1" s="1"/>
  <c r="EO8" i="1"/>
  <c r="EP8" i="1" s="1"/>
  <c r="DY252" i="1"/>
  <c r="DZ248" i="1"/>
  <c r="DY249" i="1"/>
  <c r="DZ249" i="1" s="1"/>
  <c r="DI248" i="1"/>
  <c r="DI8" i="1" s="1"/>
  <c r="CT248" i="1"/>
  <c r="CS252" i="1"/>
  <c r="CS249" i="1"/>
  <c r="CT249" i="1" s="1"/>
  <c r="CC248" i="1"/>
  <c r="BM248" i="1"/>
  <c r="AW252" i="1"/>
  <c r="AX248" i="1"/>
  <c r="AW249" i="1"/>
  <c r="AX249" i="1" s="1"/>
  <c r="AG252" i="1"/>
  <c r="AH248" i="1"/>
  <c r="AG249" i="1"/>
  <c r="AH249" i="1" s="1"/>
  <c r="Q252" i="1"/>
  <c r="R248" i="1"/>
  <c r="Q249" i="1"/>
  <c r="R249" i="1" s="1"/>
  <c r="GI246" i="1"/>
  <c r="FS246" i="1"/>
  <c r="EI883" i="1"/>
  <c r="EI787" i="1"/>
  <c r="ER242" i="1"/>
  <c r="EJ242" i="1"/>
  <c r="FY240" i="1"/>
  <c r="FO380" i="1"/>
  <c r="FG384" i="1"/>
  <c r="FS370" i="1"/>
  <c r="ER369" i="1"/>
  <c r="BD349" i="1"/>
  <c r="AG501" i="1"/>
  <c r="AH346" i="1"/>
  <c r="AG349" i="1"/>
  <c r="GO314" i="1"/>
  <c r="GG313" i="1"/>
  <c r="GK311" i="1"/>
  <c r="EK772" i="1"/>
  <c r="EK525" i="1"/>
  <c r="EK330" i="1"/>
  <c r="EL324" i="1"/>
  <c r="EK325" i="1"/>
  <c r="EL325" i="1" s="1"/>
  <c r="DE772" i="1"/>
  <c r="DE525" i="1"/>
  <c r="DE325" i="1"/>
  <c r="DF324" i="1"/>
  <c r="CO772" i="1"/>
  <c r="CO525" i="1"/>
  <c r="CP324" i="1"/>
  <c r="CO325" i="1"/>
  <c r="BY772" i="1"/>
  <c r="BY525" i="1"/>
  <c r="BZ324" i="1"/>
  <c r="BI772" i="1"/>
  <c r="BI525" i="1"/>
  <c r="BJ324" i="1"/>
  <c r="AS772" i="1"/>
  <c r="AS525" i="1"/>
  <c r="AT324" i="1"/>
  <c r="AD317" i="1"/>
  <c r="CM272" i="1"/>
  <c r="CO265" i="1"/>
  <c r="DK787" i="1"/>
  <c r="DL242" i="1"/>
  <c r="FZ788" i="1"/>
  <c r="AZ246" i="1"/>
  <c r="GB240" i="1"/>
  <c r="FZ240" i="1"/>
  <c r="GA240" i="1" s="1"/>
  <c r="BD240" i="1"/>
  <c r="FU246" i="1"/>
  <c r="FO244" i="1"/>
  <c r="EM248" i="1"/>
  <c r="EM8" i="1" s="1"/>
  <c r="EM245" i="1"/>
  <c r="EN232" i="1"/>
  <c r="EE883" i="1"/>
  <c r="EE787" i="1"/>
  <c r="EF242" i="1"/>
  <c r="CY248" i="1"/>
  <c r="CY245" i="1"/>
  <c r="CZ245" i="1" s="1"/>
  <c r="CZ232" i="1"/>
  <c r="CA787" i="1"/>
  <c r="CB242" i="1"/>
  <c r="BS248" i="1"/>
  <c r="BS245" i="1"/>
  <c r="BT245" i="1" s="1"/>
  <c r="BT232" i="1"/>
  <c r="AU787" i="1"/>
  <c r="AV242" i="1"/>
  <c r="AM248" i="1"/>
  <c r="AM245" i="1"/>
  <c r="AN245" i="1" s="1"/>
  <c r="AN232" i="1"/>
  <c r="O787" i="1"/>
  <c r="P242" i="1"/>
  <c r="GP231" i="1"/>
  <c r="GJ232" i="1"/>
  <c r="GK229" i="1"/>
  <c r="FT232" i="1"/>
  <c r="FU229" i="1"/>
  <c r="DI217" i="1"/>
  <c r="DJ213" i="1"/>
  <c r="DI214" i="1"/>
  <c r="DJ214" i="1" s="1"/>
  <c r="CD213" i="1"/>
  <c r="CC214" i="1"/>
  <c r="CD214" i="1" s="1"/>
  <c r="CC217" i="1"/>
  <c r="AX213" i="1"/>
  <c r="AW214" i="1"/>
  <c r="AX214" i="1" s="1"/>
  <c r="AW217" i="1"/>
  <c r="R213" i="1"/>
  <c r="Q214" i="1"/>
  <c r="R214" i="1" s="1"/>
  <c r="Q217" i="1"/>
  <c r="AF211" i="1"/>
  <c r="GB784" i="1"/>
  <c r="GC143" i="1"/>
  <c r="FZ534" i="1"/>
  <c r="GA534" i="1" s="1"/>
  <c r="ED120" i="1"/>
  <c r="DN120" i="1"/>
  <c r="CX120" i="1"/>
  <c r="CH120" i="1"/>
  <c r="BR120" i="1"/>
  <c r="BB120" i="1"/>
  <c r="EH509" i="1"/>
  <c r="DR509" i="1"/>
  <c r="DB509" i="1"/>
  <c r="CL509" i="1"/>
  <c r="BV509" i="1"/>
  <c r="BF509" i="1"/>
  <c r="GL509" i="1"/>
  <c r="GM509" i="1" s="1"/>
  <c r="GL126" i="1"/>
  <c r="GM126" i="1" s="1"/>
  <c r="GM119" i="1"/>
  <c r="FR508" i="1"/>
  <c r="FS508" i="1" s="1"/>
  <c r="GD855" i="1"/>
  <c r="GE506" i="1"/>
  <c r="FN855" i="1"/>
  <c r="FO506" i="1"/>
  <c r="GA505" i="1"/>
  <c r="CI128" i="1"/>
  <c r="CI125" i="1"/>
  <c r="CJ125" i="1" s="1"/>
  <c r="CJ112" i="1"/>
  <c r="BC128" i="1"/>
  <c r="BC125" i="1"/>
  <c r="BD125" i="1" s="1"/>
  <c r="BD112" i="1"/>
  <c r="W128" i="1"/>
  <c r="W125" i="1"/>
  <c r="X125" i="1" s="1"/>
  <c r="X112" i="1"/>
  <c r="GJ854" i="1"/>
  <c r="GJ856" i="1" s="1"/>
  <c r="GK500" i="1"/>
  <c r="FT854" i="1"/>
  <c r="FT856" i="1" s="1"/>
  <c r="FU500" i="1"/>
  <c r="FY291" i="1"/>
  <c r="FU251" i="1"/>
  <c r="FS239" i="1"/>
  <c r="FP787" i="1"/>
  <c r="FQ242" i="1"/>
  <c r="GE229" i="1"/>
  <c r="EM217" i="1"/>
  <c r="EN213" i="1"/>
  <c r="EM214" i="1"/>
  <c r="EN214" i="1" s="1"/>
  <c r="DG217" i="1"/>
  <c r="DH213" i="1"/>
  <c r="DG214" i="1"/>
  <c r="DH214" i="1" s="1"/>
  <c r="DG8" i="1"/>
  <c r="CA217" i="1"/>
  <c r="CB213" i="1"/>
  <c r="CA214" i="1"/>
  <c r="CB214" i="1" s="1"/>
  <c r="AU217" i="1"/>
  <c r="AV213" i="1"/>
  <c r="AU214" i="1"/>
  <c r="AV214" i="1" s="1"/>
  <c r="O217" i="1"/>
  <c r="P213" i="1"/>
  <c r="O214" i="1"/>
  <c r="P214" i="1" s="1"/>
  <c r="EA903" i="1"/>
  <c r="EB209" i="1"/>
  <c r="DS211" i="1"/>
  <c r="DT211" i="1" s="1"/>
  <c r="DT205" i="1"/>
  <c r="GM156" i="1"/>
  <c r="GL184" i="1"/>
  <c r="GM184" i="1" s="1"/>
  <c r="FO156" i="1"/>
  <c r="FN184" i="1"/>
  <c r="FO184" i="1" s="1"/>
  <c r="GA143" i="1"/>
  <c r="GS534" i="1"/>
  <c r="GQ534" i="1"/>
  <c r="GK126" i="1"/>
  <c r="FU126" i="1"/>
  <c r="EM877" i="1"/>
  <c r="EN122" i="1"/>
  <c r="GO120" i="1"/>
  <c r="GC119" i="1"/>
  <c r="GH852" i="1"/>
  <c r="FZ502" i="1"/>
  <c r="GD788" i="1"/>
  <c r="GI239" i="1"/>
  <c r="FS244" i="1"/>
  <c r="FN787" i="1"/>
  <c r="EI249" i="1"/>
  <c r="EJ249" i="1" s="1"/>
  <c r="EI252" i="1"/>
  <c r="EJ248" i="1"/>
  <c r="DL245" i="1"/>
  <c r="DC249" i="1"/>
  <c r="DD249" i="1" s="1"/>
  <c r="DC252" i="1"/>
  <c r="DD248" i="1"/>
  <c r="CF245" i="1"/>
  <c r="BW249" i="1"/>
  <c r="BX249" i="1" s="1"/>
  <c r="BW252" i="1"/>
  <c r="BX248" i="1"/>
  <c r="AZ245" i="1"/>
  <c r="AQ248" i="1"/>
  <c r="T245" i="1"/>
  <c r="K249" i="1"/>
  <c r="L249" i="1" s="1"/>
  <c r="K252" i="1"/>
  <c r="L248" i="1"/>
  <c r="GN232" i="1"/>
  <c r="GO229" i="1"/>
  <c r="FX232" i="1"/>
  <c r="FY229" i="1"/>
  <c r="DN534" i="1"/>
  <c r="DF534" i="1"/>
  <c r="DV213" i="1"/>
  <c r="DU217" i="1"/>
  <c r="DU214" i="1"/>
  <c r="DV214" i="1" s="1"/>
  <c r="DU8" i="1"/>
  <c r="DV8" i="1" s="1"/>
  <c r="CP213" i="1"/>
  <c r="CO217" i="1"/>
  <c r="CO214" i="1"/>
  <c r="CP214" i="1" s="1"/>
  <c r="CO8" i="1"/>
  <c r="CP8" i="1" s="1"/>
  <c r="BJ213" i="1"/>
  <c r="BI217" i="1"/>
  <c r="BI214" i="1"/>
  <c r="BJ214" i="1" s="1"/>
  <c r="AD213" i="1"/>
  <c r="AC217" i="1"/>
  <c r="AC214" i="1"/>
  <c r="AD214" i="1" s="1"/>
  <c r="FZ209" i="1"/>
  <c r="GA209" i="1" s="1"/>
  <c r="DW903" i="1"/>
  <c r="DX209" i="1"/>
  <c r="DN207" i="1"/>
  <c r="DB211" i="1"/>
  <c r="CL211" i="1"/>
  <c r="BV211" i="1"/>
  <c r="BF211" i="1"/>
  <c r="AP211" i="1"/>
  <c r="Z211" i="1"/>
  <c r="FT534" i="1"/>
  <c r="FU534" i="1" s="1"/>
  <c r="EK128" i="1"/>
  <c r="DU128" i="1"/>
  <c r="DE128" i="1"/>
  <c r="CO128" i="1"/>
  <c r="BY128" i="1"/>
  <c r="CH128" i="1" s="1"/>
  <c r="BI128" i="1"/>
  <c r="AS128" i="1"/>
  <c r="AC132" i="1"/>
  <c r="AD128" i="1"/>
  <c r="AC129" i="1"/>
  <c r="AD129" i="1" s="1"/>
  <c r="M132" i="1"/>
  <c r="N128" i="1"/>
  <c r="M129" i="1"/>
  <c r="GG125" i="1"/>
  <c r="FQ125" i="1"/>
  <c r="EF120" i="1"/>
  <c r="DP120" i="1"/>
  <c r="CZ120" i="1"/>
  <c r="CJ120" i="1"/>
  <c r="BT120" i="1"/>
  <c r="BD120" i="1"/>
  <c r="EF509" i="1"/>
  <c r="DP509" i="1"/>
  <c r="CZ509" i="1"/>
  <c r="CJ509" i="1"/>
  <c r="BT509" i="1"/>
  <c r="BD509" i="1"/>
  <c r="FX509" i="1"/>
  <c r="FY509" i="1" s="1"/>
  <c r="GK508" i="1"/>
  <c r="FT508" i="1"/>
  <c r="GG507" i="1"/>
  <c r="FQ507" i="1"/>
  <c r="GB855" i="1"/>
  <c r="GC506" i="1"/>
  <c r="GO505" i="1"/>
  <c r="FY505" i="1"/>
  <c r="GO240" i="1"/>
  <c r="FL242" i="1"/>
  <c r="FO242" i="1" s="1"/>
  <c r="GL232" i="1"/>
  <c r="GM229" i="1"/>
  <c r="FD217" i="1"/>
  <c r="FD214" i="1"/>
  <c r="FE214" i="1" s="1"/>
  <c r="FE213" i="1"/>
  <c r="DK217" i="1"/>
  <c r="DL213" i="1"/>
  <c r="DK214" i="1"/>
  <c r="DL214" i="1" s="1"/>
  <c r="DK8" i="1"/>
  <c r="DL8" i="1" s="1"/>
  <c r="CE217" i="1"/>
  <c r="CF213" i="1"/>
  <c r="CE214" i="1"/>
  <c r="CF214" i="1" s="1"/>
  <c r="AY217" i="1"/>
  <c r="AZ213" i="1"/>
  <c r="AY214" i="1"/>
  <c r="AZ214" i="1" s="1"/>
  <c r="S217" i="1"/>
  <c r="T213" i="1"/>
  <c r="S214" i="1"/>
  <c r="T214" i="1" s="1"/>
  <c r="EM903" i="1"/>
  <c r="EN209" i="1"/>
  <c r="EM210" i="1"/>
  <c r="EN210" i="1" s="1"/>
  <c r="GN899" i="1"/>
  <c r="GO207" i="1"/>
  <c r="DB207" i="1"/>
  <c r="BV207" i="1"/>
  <c r="AP207" i="1"/>
  <c r="EL211" i="1"/>
  <c r="DV211" i="1"/>
  <c r="FH211" i="1"/>
  <c r="FI211" i="1" s="1"/>
  <c r="FI205" i="1"/>
  <c r="GI207" i="1"/>
  <c r="FZ207" i="1"/>
  <c r="GA207" i="1" s="1"/>
  <c r="FS207" i="1"/>
  <c r="GH213" i="1"/>
  <c r="GI191" i="1"/>
  <c r="ED184" i="1"/>
  <c r="DN184" i="1"/>
  <c r="CX184" i="1"/>
  <c r="CH184" i="1"/>
  <c r="BR184" i="1"/>
  <c r="BB184" i="1"/>
  <c r="GA172" i="1"/>
  <c r="FK172" i="1"/>
  <c r="FN789" i="1"/>
  <c r="GN184" i="1"/>
  <c r="GO184" i="1" s="1"/>
  <c r="GO156" i="1"/>
  <c r="FX184" i="1"/>
  <c r="FY184" i="1" s="1"/>
  <c r="FY156" i="1"/>
  <c r="FH184" i="1"/>
  <c r="FI184" i="1" s="1"/>
  <c r="FI156" i="1"/>
  <c r="GO534" i="1"/>
  <c r="BT534" i="1"/>
  <c r="GH120" i="1"/>
  <c r="GI120" i="1" s="1"/>
  <c r="FR120" i="1"/>
  <c r="FS120" i="1" s="1"/>
  <c r="FM507" i="1"/>
  <c r="GI115" i="1"/>
  <c r="FO499" i="1"/>
  <c r="GG499" i="1"/>
  <c r="GN852" i="1"/>
  <c r="GF502" i="1"/>
  <c r="FX852" i="1"/>
  <c r="EJ85" i="1"/>
  <c r="DT85" i="1"/>
  <c r="DD85" i="1"/>
  <c r="CN85" i="1"/>
  <c r="BX85" i="1"/>
  <c r="BH85" i="1"/>
  <c r="AR85" i="1"/>
  <c r="AB85" i="1"/>
  <c r="EH214" i="1"/>
  <c r="GF213" i="1"/>
  <c r="GE112" i="1"/>
  <c r="GD128" i="1"/>
  <c r="EF125" i="1"/>
  <c r="DW128" i="1"/>
  <c r="DH112" i="1"/>
  <c r="GM87" i="1"/>
  <c r="GK84" i="1"/>
  <c r="GJ91" i="1"/>
  <c r="GK91" i="1" s="1"/>
  <c r="EW75" i="1"/>
  <c r="DW93" i="1"/>
  <c r="DW88" i="1"/>
  <c r="DX72" i="1"/>
  <c r="DG93" i="1"/>
  <c r="DG88" i="1"/>
  <c r="DH88" i="1" s="1"/>
  <c r="DH72" i="1"/>
  <c r="CQ93" i="1"/>
  <c r="CQ88" i="1"/>
  <c r="CR88" i="1" s="1"/>
  <c r="CR72" i="1"/>
  <c r="CA93" i="1"/>
  <c r="CA88" i="1"/>
  <c r="CB88" i="1" s="1"/>
  <c r="CB72" i="1"/>
  <c r="BK93" i="1"/>
  <c r="BK88" i="1"/>
  <c r="BL88" i="1" s="1"/>
  <c r="BL72" i="1"/>
  <c r="AU93" i="1"/>
  <c r="AU88" i="1"/>
  <c r="AV88" i="1" s="1"/>
  <c r="AV72" i="1"/>
  <c r="C93" i="1"/>
  <c r="L72" i="1"/>
  <c r="EP87" i="1"/>
  <c r="DZ87" i="1"/>
  <c r="DJ87" i="1"/>
  <c r="CR87" i="1"/>
  <c r="CB87" i="1"/>
  <c r="BL87" i="1"/>
  <c r="AV87" i="1"/>
  <c r="FX213" i="1"/>
  <c r="FR213" i="1"/>
  <c r="GJ128" i="1"/>
  <c r="GK112" i="1"/>
  <c r="FT128" i="1"/>
  <c r="FU112" i="1"/>
  <c r="GH87" i="1"/>
  <c r="GI87" i="1" s="1"/>
  <c r="GR82" i="1"/>
  <c r="GQ82" i="1"/>
  <c r="GA85" i="1"/>
  <c r="DZ85" i="1"/>
  <c r="DQ855" i="1"/>
  <c r="DQ856" i="1" s="1"/>
  <c r="DR506" i="1"/>
  <c r="CT85" i="1"/>
  <c r="CK855" i="1"/>
  <c r="CK856" i="1" s="1"/>
  <c r="CL506" i="1"/>
  <c r="BN85" i="1"/>
  <c r="BE855" i="1"/>
  <c r="BE856" i="1" s="1"/>
  <c r="BF506" i="1"/>
  <c r="GD72" i="1"/>
  <c r="GE67" i="1"/>
  <c r="EN87" i="1"/>
  <c r="DX87" i="1"/>
  <c r="DH87" i="1"/>
  <c r="CP87" i="1"/>
  <c r="BZ87" i="1"/>
  <c r="BJ87" i="1"/>
  <c r="AT87" i="1"/>
  <c r="DP211" i="1"/>
  <c r="CJ211" i="1"/>
  <c r="BD211" i="1"/>
  <c r="FV209" i="1"/>
  <c r="FW209" i="1" s="1"/>
  <c r="EO773" i="1"/>
  <c r="EO521" i="1"/>
  <c r="EO222" i="1"/>
  <c r="EO218" i="1"/>
  <c r="EP218" i="1" s="1"/>
  <c r="EP217" i="1"/>
  <c r="GJ217" i="1"/>
  <c r="GJ214" i="1"/>
  <c r="GK213" i="1"/>
  <c r="FH213" i="1"/>
  <c r="FR184" i="1"/>
  <c r="FS184" i="1" s="1"/>
  <c r="GI112" i="1"/>
  <c r="GH128" i="1"/>
  <c r="EI877" i="1"/>
  <c r="EJ122" i="1"/>
  <c r="ER122" i="1"/>
  <c r="EA128" i="1"/>
  <c r="EA125" i="1"/>
  <c r="EB125" i="1" s="1"/>
  <c r="EB112" i="1"/>
  <c r="DC128" i="1"/>
  <c r="DC125" i="1"/>
  <c r="DD125" i="1" s="1"/>
  <c r="DD112" i="1"/>
  <c r="CV122" i="1"/>
  <c r="BW128" i="1"/>
  <c r="BW125" i="1"/>
  <c r="BX125" i="1" s="1"/>
  <c r="BX112" i="1"/>
  <c r="BP122" i="1"/>
  <c r="AQ128" i="1"/>
  <c r="AQ125" i="1"/>
  <c r="AR125" i="1" s="1"/>
  <c r="AR112" i="1"/>
  <c r="AJ122" i="1"/>
  <c r="K128" i="1"/>
  <c r="K125" i="1"/>
  <c r="L125" i="1" s="1"/>
  <c r="L112" i="1"/>
  <c r="GK96" i="1"/>
  <c r="CJ91" i="1"/>
  <c r="ER87" i="1"/>
  <c r="EJ87" i="1"/>
  <c r="GL91" i="1"/>
  <c r="GM84" i="1"/>
  <c r="FY87" i="1"/>
  <c r="FS91" i="1"/>
  <c r="FX93" i="1"/>
  <c r="FY72" i="1"/>
  <c r="DY88" i="1"/>
  <c r="DY93" i="1"/>
  <c r="DZ72" i="1"/>
  <c r="DI93" i="1"/>
  <c r="DI88" i="1"/>
  <c r="DJ88" i="1" s="1"/>
  <c r="DJ72" i="1"/>
  <c r="CS93" i="1"/>
  <c r="CS88" i="1"/>
  <c r="CT88" i="1" s="1"/>
  <c r="CT72" i="1"/>
  <c r="BM93" i="1"/>
  <c r="BM88" i="1"/>
  <c r="BN88" i="1" s="1"/>
  <c r="BN72" i="1"/>
  <c r="R88" i="1"/>
  <c r="FW70" i="1"/>
  <c r="EL87" i="1"/>
  <c r="ET87" i="1"/>
  <c r="DV87" i="1"/>
  <c r="DF87" i="1"/>
  <c r="CN87" i="1"/>
  <c r="BX87" i="1"/>
  <c r="BH87" i="1"/>
  <c r="AR87" i="1"/>
  <c r="FK209" i="1"/>
  <c r="FN213" i="1"/>
  <c r="AM174" i="1"/>
  <c r="AN164" i="1"/>
  <c r="AM176" i="1"/>
  <c r="AM169" i="1"/>
  <c r="AM175" i="1"/>
  <c r="FQ150" i="1"/>
  <c r="AK194" i="1"/>
  <c r="AL194" i="1" s="1"/>
  <c r="AL180" i="1"/>
  <c r="GK124" i="1"/>
  <c r="FW122" i="1"/>
  <c r="GF128" i="1"/>
  <c r="GG112" i="1"/>
  <c r="FP128" i="1"/>
  <c r="FQ112" i="1"/>
  <c r="GK81" i="1"/>
  <c r="GJ85" i="1"/>
  <c r="GK85" i="1" s="1"/>
  <c r="GD85" i="1"/>
  <c r="EK855" i="1"/>
  <c r="EK856" i="1" s="1"/>
  <c r="EL506" i="1"/>
  <c r="DN85" i="1"/>
  <c r="DE855" i="1"/>
  <c r="DE856" i="1" s="1"/>
  <c r="DF506" i="1"/>
  <c r="CH85" i="1"/>
  <c r="BY855" i="1"/>
  <c r="BY856" i="1" s="1"/>
  <c r="BZ506" i="1"/>
  <c r="BB85" i="1"/>
  <c r="AS855" i="1"/>
  <c r="AS856" i="1" s="1"/>
  <c r="AT506" i="1"/>
  <c r="AD85" i="1"/>
  <c r="FB830" i="1"/>
  <c r="FB833" i="1" s="1"/>
  <c r="FB97" i="1"/>
  <c r="FB806" i="1" s="1"/>
  <c r="FB809" i="1" s="1"/>
  <c r="FB94" i="1"/>
  <c r="GC68" i="1"/>
  <c r="GB70" i="1"/>
  <c r="GC70" i="1" s="1"/>
  <c r="GC67" i="1"/>
  <c r="GB72" i="1"/>
  <c r="FJ93" i="1"/>
  <c r="DT499" i="1"/>
  <c r="DD499" i="1"/>
  <c r="CL499" i="1"/>
  <c r="BV499" i="1"/>
  <c r="BF499" i="1"/>
  <c r="GB85" i="1"/>
  <c r="GC85" i="1" s="1"/>
  <c r="ED72" i="1"/>
  <c r="FT85" i="1"/>
  <c r="FY70" i="1"/>
  <c r="FP85" i="1"/>
  <c r="FQ85" i="1" s="1"/>
  <c r="EF72" i="1"/>
  <c r="CP88" i="1"/>
  <c r="CG93" i="1"/>
  <c r="BJ88" i="1"/>
  <c r="BA93" i="1"/>
  <c r="CW527" i="198" l="1"/>
  <c r="DU534" i="2"/>
  <c r="CW140" i="198"/>
  <c r="DU147" i="2"/>
  <c r="CU140" i="198"/>
  <c r="DS147" i="2"/>
  <c r="DA140" i="198"/>
  <c r="DY147" i="2"/>
  <c r="BN80" i="198"/>
  <c r="BD80" i="198"/>
  <c r="CR68" i="198"/>
  <c r="CD80" i="198"/>
  <c r="CL72" i="198"/>
  <c r="BV80" i="198"/>
  <c r="DO77" i="198"/>
  <c r="CJ80" i="198"/>
  <c r="BR80" i="198"/>
  <c r="DK73" i="198"/>
  <c r="BL80" i="198"/>
  <c r="DS77" i="198"/>
  <c r="BX80" i="198"/>
  <c r="BF80" i="198"/>
  <c r="CB80" i="198"/>
  <c r="AZ79" i="198"/>
  <c r="BA22" i="198"/>
  <c r="AZ69" i="198"/>
  <c r="AZ78" i="198"/>
  <c r="AZ75" i="198"/>
  <c r="AZ71" i="198"/>
  <c r="AZ72" i="198"/>
  <c r="AZ68" i="198"/>
  <c r="AZ74" i="198"/>
  <c r="AZ67" i="198"/>
  <c r="AZ66" i="198"/>
  <c r="AZ76" i="198"/>
  <c r="EA68" i="198"/>
  <c r="CL68" i="198"/>
  <c r="DK76" i="198"/>
  <c r="DK69" i="198"/>
  <c r="DK79" i="198"/>
  <c r="DL22" i="198"/>
  <c r="DK67" i="198"/>
  <c r="DK66" i="198"/>
  <c r="DK70" i="198"/>
  <c r="DK75" i="198"/>
  <c r="DK78" i="198"/>
  <c r="DK71" i="198"/>
  <c r="DK68" i="198"/>
  <c r="DK72" i="198"/>
  <c r="DK74" i="198"/>
  <c r="BZ80" i="198"/>
  <c r="CP68" i="198"/>
  <c r="AV80" i="198"/>
  <c r="CR79" i="198"/>
  <c r="CR69" i="198"/>
  <c r="CR71" i="198"/>
  <c r="CR76" i="198"/>
  <c r="CR75" i="198"/>
  <c r="CR73" i="198"/>
  <c r="CR67" i="198"/>
  <c r="CR66" i="198"/>
  <c r="CR70" i="198"/>
  <c r="CR78" i="198"/>
  <c r="CR72" i="198"/>
  <c r="CR74" i="198"/>
  <c r="DO76" i="198"/>
  <c r="DO69" i="198"/>
  <c r="DO79" i="198"/>
  <c r="DP22" i="198"/>
  <c r="DO71" i="198"/>
  <c r="DO68" i="198"/>
  <c r="DO72" i="198"/>
  <c r="DO74" i="198"/>
  <c r="DO67" i="198"/>
  <c r="DO75" i="198"/>
  <c r="DO70" i="198"/>
  <c r="DO66" i="198"/>
  <c r="DO78" i="198"/>
  <c r="AR80" i="198"/>
  <c r="DE80" i="198"/>
  <c r="D79" i="198"/>
  <c r="D75" i="198"/>
  <c r="D74" i="198"/>
  <c r="D72" i="198"/>
  <c r="D68" i="198"/>
  <c r="D67" i="198"/>
  <c r="D69" i="198"/>
  <c r="D66" i="198"/>
  <c r="D76" i="198"/>
  <c r="D78" i="198"/>
  <c r="D71" i="198"/>
  <c r="DC79" i="198"/>
  <c r="DC75" i="198"/>
  <c r="DC67" i="198"/>
  <c r="DC76" i="198"/>
  <c r="DC71" i="198"/>
  <c r="DC78" i="198"/>
  <c r="DC68" i="198"/>
  <c r="DC69" i="198"/>
  <c r="DC72" i="198"/>
  <c r="DC74" i="198"/>
  <c r="DC66" i="198"/>
  <c r="DC73" i="198"/>
  <c r="DI79" i="198"/>
  <c r="DI69" i="198"/>
  <c r="DJ22" i="198"/>
  <c r="DI76" i="198"/>
  <c r="DI73" i="198"/>
  <c r="DI74" i="198"/>
  <c r="DI66" i="198"/>
  <c r="DI68" i="198"/>
  <c r="DI72" i="198"/>
  <c r="DI71" i="198"/>
  <c r="DI67" i="198"/>
  <c r="DI75" i="198"/>
  <c r="DI78" i="198"/>
  <c r="P79" i="198"/>
  <c r="P69" i="198"/>
  <c r="Q22" i="198"/>
  <c r="P72" i="198"/>
  <c r="P78" i="198"/>
  <c r="P68" i="198"/>
  <c r="P74" i="198"/>
  <c r="P67" i="198"/>
  <c r="P66" i="198"/>
  <c r="P71" i="198"/>
  <c r="P76" i="198"/>
  <c r="P75" i="198"/>
  <c r="DY79" i="198"/>
  <c r="DY69" i="198"/>
  <c r="DY74" i="198"/>
  <c r="DY76" i="198"/>
  <c r="DY71" i="198"/>
  <c r="DY75" i="198"/>
  <c r="DY70" i="198"/>
  <c r="DY73" i="198"/>
  <c r="DY67" i="198"/>
  <c r="DY78" i="198"/>
  <c r="DY66" i="198"/>
  <c r="CL77" i="198"/>
  <c r="AT80" i="198"/>
  <c r="CH80" i="198"/>
  <c r="BT80" i="198"/>
  <c r="DI77" i="198"/>
  <c r="DI70" i="198"/>
  <c r="DY72" i="198"/>
  <c r="BH80" i="198"/>
  <c r="M22" i="198"/>
  <c r="DF22" i="198"/>
  <c r="DV22" i="198"/>
  <c r="DC77" i="198"/>
  <c r="CF79" i="198"/>
  <c r="CG22" i="198"/>
  <c r="CF69" i="198"/>
  <c r="CF78" i="198"/>
  <c r="CF74" i="198"/>
  <c r="CF75" i="198"/>
  <c r="CF72" i="198"/>
  <c r="CF66" i="198"/>
  <c r="CF76" i="198"/>
  <c r="CF71" i="198"/>
  <c r="CF67" i="198"/>
  <c r="CF68" i="198"/>
  <c r="D77" i="198"/>
  <c r="DQ79" i="198"/>
  <c r="DQ69" i="198"/>
  <c r="DR22" i="198"/>
  <c r="DQ76" i="198"/>
  <c r="DQ71" i="198"/>
  <c r="DQ73" i="198"/>
  <c r="DQ67" i="198"/>
  <c r="DQ75" i="198"/>
  <c r="DQ74" i="198"/>
  <c r="DQ78" i="198"/>
  <c r="DQ66" i="198"/>
  <c r="DQ68" i="198"/>
  <c r="DQ72" i="198"/>
  <c r="DQ70" i="198"/>
  <c r="CN79" i="198"/>
  <c r="CN69" i="198"/>
  <c r="CN72" i="198"/>
  <c r="CN66" i="198"/>
  <c r="CN67" i="198"/>
  <c r="CN73" i="198"/>
  <c r="CN70" i="198"/>
  <c r="CN78" i="198"/>
  <c r="CN74" i="198"/>
  <c r="CN75" i="198"/>
  <c r="CN71" i="198"/>
  <c r="CN76" i="198"/>
  <c r="DY68" i="198"/>
  <c r="BI22" i="198"/>
  <c r="AZ73" i="198"/>
  <c r="BB80" i="198"/>
  <c r="DY77" i="198"/>
  <c r="P77" i="198"/>
  <c r="AZ77" i="198"/>
  <c r="DW69" i="198"/>
  <c r="DW79" i="198"/>
  <c r="DW70" i="198"/>
  <c r="DW74" i="198"/>
  <c r="DW76" i="198"/>
  <c r="DW71" i="198"/>
  <c r="DW78" i="198"/>
  <c r="DW73" i="198"/>
  <c r="DW67" i="198"/>
  <c r="DW68" i="198"/>
  <c r="DW72" i="198"/>
  <c r="DW75" i="198"/>
  <c r="DW66" i="198"/>
  <c r="CF73" i="198"/>
  <c r="BP79" i="198"/>
  <c r="BQ22" i="198"/>
  <c r="BP69" i="198"/>
  <c r="BP78" i="198"/>
  <c r="BP74" i="198"/>
  <c r="BP66" i="198"/>
  <c r="BP68" i="198"/>
  <c r="BP75" i="198"/>
  <c r="BP72" i="198"/>
  <c r="BP71" i="198"/>
  <c r="BP76" i="198"/>
  <c r="BP67" i="198"/>
  <c r="D73" i="198"/>
  <c r="T79" i="198"/>
  <c r="U22" i="198"/>
  <c r="T69" i="198"/>
  <c r="T74" i="198"/>
  <c r="T76" i="198"/>
  <c r="T75" i="198"/>
  <c r="T71" i="198"/>
  <c r="T72" i="198"/>
  <c r="T68" i="198"/>
  <c r="T78" i="198"/>
  <c r="T67" i="198"/>
  <c r="T66" i="198"/>
  <c r="T70" i="198"/>
  <c r="AZ70" i="198"/>
  <c r="CF70" i="198"/>
  <c r="D70" i="198"/>
  <c r="Y22" i="198"/>
  <c r="DU80" i="198"/>
  <c r="AX80" i="198"/>
  <c r="EA69" i="198"/>
  <c r="EA79" i="198"/>
  <c r="EA67" i="198"/>
  <c r="EA75" i="198"/>
  <c r="EA66" i="198"/>
  <c r="EA70" i="198"/>
  <c r="EA74" i="198"/>
  <c r="EA76" i="198"/>
  <c r="EA71" i="198"/>
  <c r="EA78" i="198"/>
  <c r="EA73" i="198"/>
  <c r="EA72" i="198"/>
  <c r="CL69" i="198"/>
  <c r="CL79" i="198"/>
  <c r="CL70" i="198"/>
  <c r="CL73" i="198"/>
  <c r="CL71" i="198"/>
  <c r="CL75" i="198"/>
  <c r="CL66" i="198"/>
  <c r="CL78" i="198"/>
  <c r="CL67" i="198"/>
  <c r="CL76" i="198"/>
  <c r="DG69" i="198"/>
  <c r="DH22" i="198"/>
  <c r="DG79" i="198"/>
  <c r="DG66" i="198"/>
  <c r="DG75" i="198"/>
  <c r="DG78" i="198"/>
  <c r="DG71" i="198"/>
  <c r="DG68" i="198"/>
  <c r="DG72" i="198"/>
  <c r="DG74" i="198"/>
  <c r="DG73" i="198"/>
  <c r="DG76" i="198"/>
  <c r="DG67" i="198"/>
  <c r="H79" i="198"/>
  <c r="H71" i="198"/>
  <c r="H75" i="198"/>
  <c r="H78" i="198"/>
  <c r="H66" i="198"/>
  <c r="H72" i="198"/>
  <c r="H69" i="198"/>
  <c r="H68" i="198"/>
  <c r="H74" i="198"/>
  <c r="H77" i="198"/>
  <c r="H67" i="198"/>
  <c r="H76" i="198"/>
  <c r="H70" i="198"/>
  <c r="BJ80" i="198"/>
  <c r="CP69" i="198"/>
  <c r="CP79" i="198"/>
  <c r="CP76" i="198"/>
  <c r="CP73" i="198"/>
  <c r="CP71" i="198"/>
  <c r="CP70" i="198"/>
  <c r="CP66" i="198"/>
  <c r="CP67" i="198"/>
  <c r="CP75" i="198"/>
  <c r="CP78" i="198"/>
  <c r="DS76" i="198"/>
  <c r="DS69" i="198"/>
  <c r="DS79" i="198"/>
  <c r="DT22" i="198"/>
  <c r="DS70" i="198"/>
  <c r="DS66" i="198"/>
  <c r="DS78" i="198"/>
  <c r="DS68" i="198"/>
  <c r="DS67" i="198"/>
  <c r="DS72" i="198"/>
  <c r="DS74" i="198"/>
  <c r="DS75" i="198"/>
  <c r="DS71" i="198"/>
  <c r="DQ77" i="198"/>
  <c r="DM79" i="198"/>
  <c r="DN22" i="198"/>
  <c r="DM76" i="198"/>
  <c r="DM69" i="198"/>
  <c r="DM67" i="198"/>
  <c r="DM75" i="198"/>
  <c r="DM73" i="198"/>
  <c r="DM78" i="198"/>
  <c r="DM66" i="198"/>
  <c r="DM68" i="198"/>
  <c r="DM72" i="198"/>
  <c r="DM71" i="198"/>
  <c r="DM74" i="198"/>
  <c r="P70" i="198"/>
  <c r="CP72" i="198"/>
  <c r="DC70" i="198"/>
  <c r="CN77" i="198"/>
  <c r="AP80" i="198"/>
  <c r="GR611" i="1"/>
  <c r="GQ611" i="1"/>
  <c r="GQ51" i="1"/>
  <c r="GR51" i="1"/>
  <c r="ER498" i="1"/>
  <c r="FU85" i="1"/>
  <c r="FW85" i="1"/>
  <c r="FJ97" i="1"/>
  <c r="FJ94" i="1"/>
  <c r="FK93" i="1"/>
  <c r="GF132" i="1"/>
  <c r="GF129" i="1"/>
  <c r="GG128" i="1"/>
  <c r="CS97" i="1"/>
  <c r="CS94" i="1"/>
  <c r="CS7" i="1"/>
  <c r="CT93" i="1"/>
  <c r="FX97" i="1"/>
  <c r="FX94" i="1"/>
  <c r="FY94" i="1" s="1"/>
  <c r="FY93" i="1"/>
  <c r="GM91" i="1"/>
  <c r="GJ132" i="1"/>
  <c r="GJ129" i="1"/>
  <c r="GK128" i="1"/>
  <c r="CB93" i="1"/>
  <c r="CA97" i="1"/>
  <c r="CA94" i="1"/>
  <c r="DW893" i="1"/>
  <c r="DX88" i="1"/>
  <c r="DW89" i="1"/>
  <c r="GH214" i="1"/>
  <c r="GI213" i="1"/>
  <c r="GH217" i="1"/>
  <c r="CE773" i="1"/>
  <c r="CE521" i="1"/>
  <c r="CF217" i="1"/>
  <c r="GO509" i="1"/>
  <c r="AC769" i="1"/>
  <c r="AC519" i="1"/>
  <c r="AD132" i="1"/>
  <c r="CO132" i="1"/>
  <c r="CP128" i="1"/>
  <c r="CO129" i="1"/>
  <c r="CP129" i="1" s="1"/>
  <c r="BI773" i="1"/>
  <c r="BI521" i="1"/>
  <c r="BJ217" i="1"/>
  <c r="AQ249" i="1"/>
  <c r="AR249" i="1" s="1"/>
  <c r="AQ252" i="1"/>
  <c r="AR248" i="1"/>
  <c r="DC771" i="1"/>
  <c r="DC522" i="1"/>
  <c r="DC253" i="1"/>
  <c r="DD252" i="1"/>
  <c r="FU120" i="1"/>
  <c r="BC129" i="1"/>
  <c r="BC132" i="1"/>
  <c r="BD128" i="1"/>
  <c r="CC773" i="1"/>
  <c r="CC521" i="1"/>
  <c r="CD217" i="1"/>
  <c r="GJ248" i="1"/>
  <c r="GK232" i="1"/>
  <c r="GJ245" i="1"/>
  <c r="CY252" i="1"/>
  <c r="CY249" i="1"/>
  <c r="CZ248" i="1"/>
  <c r="GC240" i="1"/>
  <c r="ET330" i="1"/>
  <c r="EL330" i="1"/>
  <c r="AG771" i="1"/>
  <c r="AG522" i="1"/>
  <c r="AH252" i="1"/>
  <c r="BM252" i="1"/>
  <c r="BN248" i="1"/>
  <c r="BM249" i="1"/>
  <c r="BN249" i="1" s="1"/>
  <c r="BU526" i="1"/>
  <c r="BV525" i="1"/>
  <c r="CK526" i="1"/>
  <c r="CL525" i="1"/>
  <c r="AH527" i="1"/>
  <c r="GP288" i="1"/>
  <c r="EX288" i="1"/>
  <c r="W772" i="1"/>
  <c r="W525" i="1"/>
  <c r="X324" i="1"/>
  <c r="DP320" i="1"/>
  <c r="GO370" i="1"/>
  <c r="GN383" i="1"/>
  <c r="GN381" i="1"/>
  <c r="CA387" i="1"/>
  <c r="CB383" i="1"/>
  <c r="CA384" i="1"/>
  <c r="EN383" i="1"/>
  <c r="EM384" i="1"/>
  <c r="EM387" i="1"/>
  <c r="EM10" i="1"/>
  <c r="ET404" i="1"/>
  <c r="AO423" i="1"/>
  <c r="AO428" i="1"/>
  <c r="AP422" i="1"/>
  <c r="BU423" i="1"/>
  <c r="BU426" i="1"/>
  <c r="BV422" i="1"/>
  <c r="DA423" i="1"/>
  <c r="DA426" i="1"/>
  <c r="DB422" i="1"/>
  <c r="EG423" i="1"/>
  <c r="EH422" i="1"/>
  <c r="EG426" i="1"/>
  <c r="GQ412" i="1"/>
  <c r="GP419" i="1"/>
  <c r="ES314" i="1"/>
  <c r="ER314" i="1"/>
  <c r="AK384" i="1"/>
  <c r="AL384" i="1" s="1"/>
  <c r="AK387" i="1"/>
  <c r="AL383" i="1"/>
  <c r="CW384" i="1"/>
  <c r="CW387" i="1"/>
  <c r="CX383" i="1"/>
  <c r="CW10" i="1"/>
  <c r="AC528" i="1"/>
  <c r="AD428" i="1"/>
  <c r="AM346" i="1"/>
  <c r="AN344" i="1"/>
  <c r="AV344" i="1"/>
  <c r="FQ449" i="1"/>
  <c r="GP487" i="1"/>
  <c r="GQ487" i="1" s="1"/>
  <c r="GQ486" i="1"/>
  <c r="ED20" i="198" s="1"/>
  <c r="GP490" i="1"/>
  <c r="GP11" i="1"/>
  <c r="GQ11" i="1" s="1"/>
  <c r="AA428" i="1"/>
  <c r="AB422" i="1"/>
  <c r="AA423" i="1"/>
  <c r="P531" i="1"/>
  <c r="FT457" i="1"/>
  <c r="FT454" i="1"/>
  <c r="FJ529" i="1"/>
  <c r="ET531" i="1"/>
  <c r="EL531" i="1"/>
  <c r="FL848" i="1"/>
  <c r="FM617" i="1"/>
  <c r="FO617" i="1"/>
  <c r="FK701" i="1"/>
  <c r="DJ686" i="1"/>
  <c r="FL687" i="1"/>
  <c r="FM685" i="1"/>
  <c r="FM701" i="1"/>
  <c r="CQ747" i="1"/>
  <c r="CR679" i="1"/>
  <c r="CZ721" i="1"/>
  <c r="GL685" i="1"/>
  <c r="EG687" i="1"/>
  <c r="EH685" i="1"/>
  <c r="EM720" i="1"/>
  <c r="EN720" i="1" s="1"/>
  <c r="EM719" i="1"/>
  <c r="EN719" i="1" s="1"/>
  <c r="EM718" i="1"/>
  <c r="EN718" i="1" s="1"/>
  <c r="EM717" i="1"/>
  <c r="EN717" i="1" s="1"/>
  <c r="EM702" i="1"/>
  <c r="EN702" i="1" s="1"/>
  <c r="EM704" i="1"/>
  <c r="EN704" i="1" s="1"/>
  <c r="EM703" i="1"/>
  <c r="EN703" i="1" s="1"/>
  <c r="EM701" i="1"/>
  <c r="EN701" i="1" s="1"/>
  <c r="EN668" i="1"/>
  <c r="EM669" i="1"/>
  <c r="FU721" i="1"/>
  <c r="GK721" i="1"/>
  <c r="BP686" i="1"/>
  <c r="GF93" i="1"/>
  <c r="GG72" i="1"/>
  <c r="GF88" i="1"/>
  <c r="N94" i="1"/>
  <c r="U770" i="1"/>
  <c r="U518" i="1"/>
  <c r="V97" i="1"/>
  <c r="BV88" i="1"/>
  <c r="CW94" i="1"/>
  <c r="CW7" i="1"/>
  <c r="CW97" i="1"/>
  <c r="CX93" i="1"/>
  <c r="AI129" i="1"/>
  <c r="AI132" i="1"/>
  <c r="AJ128" i="1"/>
  <c r="BO129" i="1"/>
  <c r="BO132" i="1"/>
  <c r="BP128" i="1"/>
  <c r="CU129" i="1"/>
  <c r="CU132" i="1"/>
  <c r="CV128" i="1"/>
  <c r="AZ93" i="1"/>
  <c r="AY97" i="1"/>
  <c r="AY94" i="1"/>
  <c r="DL93" i="1"/>
  <c r="DK94" i="1"/>
  <c r="DK97" i="1"/>
  <c r="DK7" i="1"/>
  <c r="FU91" i="1"/>
  <c r="FW91" i="1"/>
  <c r="EX111" i="1"/>
  <c r="GP111" i="1"/>
  <c r="GL129" i="1"/>
  <c r="GM129" i="1" s="1"/>
  <c r="GM128" i="1"/>
  <c r="GL132" i="1"/>
  <c r="FL217" i="1"/>
  <c r="FL214" i="1"/>
  <c r="FM213" i="1"/>
  <c r="GC534" i="1"/>
  <c r="BG773" i="1"/>
  <c r="BG521" i="1"/>
  <c r="BH217" i="1"/>
  <c r="CC132" i="1"/>
  <c r="CD128" i="1"/>
  <c r="CC129" i="1"/>
  <c r="EO132" i="1"/>
  <c r="EP128" i="1"/>
  <c r="EO129" i="1"/>
  <c r="BR214" i="1"/>
  <c r="GL858" i="1"/>
  <c r="GL859" i="1" s="1"/>
  <c r="GM502" i="1"/>
  <c r="GO126" i="1"/>
  <c r="GK211" i="1"/>
  <c r="BD214" i="1"/>
  <c r="DP214" i="1"/>
  <c r="FN248" i="1"/>
  <c r="AE129" i="1"/>
  <c r="AE132" i="1"/>
  <c r="AF128" i="1"/>
  <c r="FN154" i="1"/>
  <c r="FP149" i="1"/>
  <c r="FN180" i="1"/>
  <c r="FQ164" i="1"/>
  <c r="FP176" i="1"/>
  <c r="FP169" i="1"/>
  <c r="FP174" i="1"/>
  <c r="FP175" i="1"/>
  <c r="BE773" i="1"/>
  <c r="BE521" i="1"/>
  <c r="BF217" i="1"/>
  <c r="CL214" i="1"/>
  <c r="DR214" i="1"/>
  <c r="AE249" i="1"/>
  <c r="AE252" i="1"/>
  <c r="AF248" i="1"/>
  <c r="EE249" i="1"/>
  <c r="EE252" i="1"/>
  <c r="EF248" i="1"/>
  <c r="FZ317" i="1"/>
  <c r="FZ324" i="1"/>
  <c r="FZ9" i="1"/>
  <c r="GE380" i="1"/>
  <c r="U771" i="1"/>
  <c r="U522" i="1"/>
  <c r="V252" i="1"/>
  <c r="CG252" i="1"/>
  <c r="CH248" i="1"/>
  <c r="CG249" i="1"/>
  <c r="CH249" i="1" s="1"/>
  <c r="DM771" i="1"/>
  <c r="DM522" i="1"/>
  <c r="DM256" i="1"/>
  <c r="DN256" i="1" s="1"/>
  <c r="DM253" i="1"/>
  <c r="EC771" i="1"/>
  <c r="EC522" i="1"/>
  <c r="ED252" i="1"/>
  <c r="EC256" i="1"/>
  <c r="EC253" i="1"/>
  <c r="GE240" i="1"/>
  <c r="GH317" i="1"/>
  <c r="GI317" i="1" s="1"/>
  <c r="GI316" i="1"/>
  <c r="GH324" i="1"/>
  <c r="GH320" i="1"/>
  <c r="GH9" i="1"/>
  <c r="GI9" i="1" s="1"/>
  <c r="EC526" i="1"/>
  <c r="ED525" i="1"/>
  <c r="FR270" i="1"/>
  <c r="FS265" i="1"/>
  <c r="FR276" i="1"/>
  <c r="FR277" i="1"/>
  <c r="FN317" i="1"/>
  <c r="FO317" i="1" s="1"/>
  <c r="FO316" i="1"/>
  <c r="DY526" i="1"/>
  <c r="DZ525" i="1"/>
  <c r="AQ772" i="1"/>
  <c r="AQ525" i="1"/>
  <c r="FP324" i="1"/>
  <c r="AR324" i="1"/>
  <c r="CM772" i="1"/>
  <c r="CM525" i="1"/>
  <c r="CM325" i="1"/>
  <c r="CN324" i="1"/>
  <c r="DS772" i="1"/>
  <c r="DS525" i="1"/>
  <c r="DS325" i="1"/>
  <c r="DS330" i="1"/>
  <c r="DT324" i="1"/>
  <c r="EI772" i="1"/>
  <c r="EI525" i="1"/>
  <c r="EJ324" i="1"/>
  <c r="EI330" i="1"/>
  <c r="EI325" i="1"/>
  <c r="GC9" i="1"/>
  <c r="GC370" i="1"/>
  <c r="GB383" i="1"/>
  <c r="GB381" i="1"/>
  <c r="BO387" i="1"/>
  <c r="BP383" i="1"/>
  <c r="BO384" i="1"/>
  <c r="EA387" i="1"/>
  <c r="EB383" i="1"/>
  <c r="EA384" i="1"/>
  <c r="EA10" i="1"/>
  <c r="GG380" i="1"/>
  <c r="FL426" i="1"/>
  <c r="FL423" i="1"/>
  <c r="BE859" i="1"/>
  <c r="AA527" i="1"/>
  <c r="AB387" i="1"/>
  <c r="BU384" i="1"/>
  <c r="BU387" i="1"/>
  <c r="BV383" i="1"/>
  <c r="EG384" i="1"/>
  <c r="EG387" i="1"/>
  <c r="EH383" i="1"/>
  <c r="EG10" i="1"/>
  <c r="U528" i="1"/>
  <c r="V428" i="1"/>
  <c r="ER404" i="1"/>
  <c r="GO436" i="1"/>
  <c r="BL422" i="1"/>
  <c r="BK423" i="1"/>
  <c r="BK426" i="1"/>
  <c r="EU420" i="1"/>
  <c r="EV420" i="1" s="1"/>
  <c r="EN420" i="1"/>
  <c r="BH453" i="1"/>
  <c r="BG457" i="1"/>
  <c r="BG454" i="1"/>
  <c r="BH454" i="1" s="1"/>
  <c r="GH775" i="1"/>
  <c r="GH531" i="1"/>
  <c r="GI490" i="1"/>
  <c r="AZ531" i="1"/>
  <c r="DZ531" i="1"/>
  <c r="CK859" i="1"/>
  <c r="GI586" i="1"/>
  <c r="X577" i="1"/>
  <c r="AF577" i="1"/>
  <c r="FQ575" i="1"/>
  <c r="FP577" i="1"/>
  <c r="FQ577" i="1" s="1"/>
  <c r="GG575" i="1"/>
  <c r="GF577" i="1"/>
  <c r="GG577" i="1" s="1"/>
  <c r="GM634" i="1"/>
  <c r="FK685" i="1"/>
  <c r="FJ687" i="1"/>
  <c r="FP687" i="1"/>
  <c r="FQ685" i="1"/>
  <c r="FM702" i="1"/>
  <c r="CE747" i="1"/>
  <c r="CF679" i="1"/>
  <c r="CZ707" i="1"/>
  <c r="CZ679" i="1"/>
  <c r="FW705" i="1"/>
  <c r="GM707" i="1"/>
  <c r="GH708" i="1"/>
  <c r="GI708" i="1" s="1"/>
  <c r="GH686" i="1"/>
  <c r="GI686" i="1" s="1"/>
  <c r="GI684" i="1"/>
  <c r="AJ708" i="1"/>
  <c r="DL708" i="1"/>
  <c r="EO97" i="1"/>
  <c r="EO94" i="1"/>
  <c r="EO7" i="1"/>
  <c r="EP93" i="1"/>
  <c r="GU107" i="1"/>
  <c r="GV107" i="1"/>
  <c r="DB88" i="1"/>
  <c r="DQ97" i="1"/>
  <c r="DQ94" i="1"/>
  <c r="DR93" i="1"/>
  <c r="DQ7" i="1"/>
  <c r="CM129" i="1"/>
  <c r="CM132" i="1"/>
  <c r="CN128" i="1"/>
  <c r="FP214" i="1"/>
  <c r="FQ213" i="1"/>
  <c r="FS85" i="1"/>
  <c r="EQ128" i="1"/>
  <c r="GB132" i="1"/>
  <c r="GB129" i="1"/>
  <c r="GC128" i="1"/>
  <c r="BD93" i="1"/>
  <c r="BC97" i="1"/>
  <c r="BC94" i="1"/>
  <c r="CZ88" i="1"/>
  <c r="DP93" i="1"/>
  <c r="DO97" i="1"/>
  <c r="DO94" i="1"/>
  <c r="DO7" i="1"/>
  <c r="GK87" i="1"/>
  <c r="EM129" i="1"/>
  <c r="EN129" i="1" s="1"/>
  <c r="EM132" i="1"/>
  <c r="EN128" i="1"/>
  <c r="FD132" i="1"/>
  <c r="FD129" i="1"/>
  <c r="FE128" i="1"/>
  <c r="AT184" i="1"/>
  <c r="AI773" i="1"/>
  <c r="AI521" i="1"/>
  <c r="FN217" i="1"/>
  <c r="AJ217" i="1"/>
  <c r="CU773" i="1"/>
  <c r="CU521" i="1"/>
  <c r="CU218" i="1"/>
  <c r="CV217" i="1"/>
  <c r="GG505" i="1"/>
  <c r="AT214" i="1"/>
  <c r="BY773" i="1"/>
  <c r="BY521" i="1"/>
  <c r="BZ217" i="1"/>
  <c r="DF214" i="1"/>
  <c r="EL8" i="1"/>
  <c r="GE184" i="1"/>
  <c r="BL214" i="1"/>
  <c r="DW773" i="1"/>
  <c r="DW521" i="1"/>
  <c r="DX217" i="1"/>
  <c r="DW218" i="1"/>
  <c r="DW222" i="1"/>
  <c r="EU232" i="1"/>
  <c r="EU235" i="1"/>
  <c r="EV229" i="1"/>
  <c r="FL856" i="1"/>
  <c r="AN125" i="1"/>
  <c r="BS129" i="1"/>
  <c r="BS132" i="1"/>
  <c r="BT128" i="1"/>
  <c r="CS773" i="1"/>
  <c r="CS521" i="1"/>
  <c r="CT217" i="1"/>
  <c r="CS218" i="1"/>
  <c r="DY773" i="1"/>
  <c r="DY521" i="1"/>
  <c r="DY222" i="1"/>
  <c r="DY218" i="1"/>
  <c r="DZ217" i="1"/>
  <c r="FL248" i="1"/>
  <c r="FM232" i="1"/>
  <c r="FL245" i="1"/>
  <c r="FS232" i="1"/>
  <c r="FR248" i="1"/>
  <c r="FR245" i="1"/>
  <c r="BC249" i="1"/>
  <c r="BC252" i="1"/>
  <c r="BD248" i="1"/>
  <c r="DW249" i="1"/>
  <c r="DW252" i="1"/>
  <c r="DX248" i="1"/>
  <c r="M526" i="1"/>
  <c r="N525" i="1"/>
  <c r="Y771" i="1"/>
  <c r="Y522" i="1"/>
  <c r="Z252" i="1"/>
  <c r="BV249" i="1"/>
  <c r="DA252" i="1"/>
  <c r="DB248" i="1"/>
  <c r="DA249" i="1"/>
  <c r="DB249" i="1" s="1"/>
  <c r="EG771" i="1"/>
  <c r="EG522" i="1"/>
  <c r="EH252" i="1"/>
  <c r="EG256" i="1"/>
  <c r="EG253" i="1"/>
  <c r="Y526" i="1"/>
  <c r="Z525" i="1"/>
  <c r="GR360" i="1"/>
  <c r="GQ358" i="1"/>
  <c r="FX387" i="1"/>
  <c r="FX384" i="1"/>
  <c r="O772" i="1"/>
  <c r="O525" i="1"/>
  <c r="P324" i="1"/>
  <c r="AV317" i="1"/>
  <c r="CR317" i="1"/>
  <c r="DH9" i="1"/>
  <c r="DH320" i="1"/>
  <c r="EN9" i="1"/>
  <c r="EM772" i="1"/>
  <c r="EM525" i="1"/>
  <c r="EM325" i="1"/>
  <c r="EM330" i="1"/>
  <c r="EN324" i="1"/>
  <c r="CI387" i="1"/>
  <c r="CJ383" i="1"/>
  <c r="CI384" i="1"/>
  <c r="CJ384" i="1" s="1"/>
  <c r="CZ381" i="1"/>
  <c r="AP529" i="1"/>
  <c r="O527" i="1"/>
  <c r="P387" i="1"/>
  <c r="AS384" i="1"/>
  <c r="AT384" i="1" s="1"/>
  <c r="AS387" i="1"/>
  <c r="AT383" i="1"/>
  <c r="BZ381" i="1"/>
  <c r="DE384" i="1"/>
  <c r="DF384" i="1" s="1"/>
  <c r="DE387" i="1"/>
  <c r="DF383" i="1"/>
  <c r="DE10" i="1"/>
  <c r="ET381" i="1"/>
  <c r="EL381" i="1"/>
  <c r="M528" i="1"/>
  <c r="N428" i="1"/>
  <c r="AD529" i="1"/>
  <c r="AI428" i="1"/>
  <c r="AJ422" i="1"/>
  <c r="AI423" i="1"/>
  <c r="AJ423" i="1" s="1"/>
  <c r="AZ420" i="1"/>
  <c r="O529" i="1"/>
  <c r="P457" i="1"/>
  <c r="FP422" i="1"/>
  <c r="FQ408" i="1"/>
  <c r="FP420" i="1"/>
  <c r="FL457" i="1"/>
  <c r="FM453" i="1"/>
  <c r="FL454" i="1"/>
  <c r="FM454" i="1" s="1"/>
  <c r="BU529" i="1"/>
  <c r="BV457" i="1"/>
  <c r="DN531" i="1"/>
  <c r="ED493" i="1"/>
  <c r="DU859" i="1"/>
  <c r="FS575" i="1"/>
  <c r="GI575" i="1"/>
  <c r="FE575" i="1"/>
  <c r="FD577" i="1"/>
  <c r="FE577" i="1" s="1"/>
  <c r="FU575" i="1"/>
  <c r="FT577" i="1"/>
  <c r="FU577" i="1" s="1"/>
  <c r="GK575" i="1"/>
  <c r="GJ577" i="1"/>
  <c r="GK577" i="1" s="1"/>
  <c r="FF577" i="1"/>
  <c r="FG577" i="1" s="1"/>
  <c r="FG575" i="1"/>
  <c r="FG636" i="1"/>
  <c r="GR653" i="1"/>
  <c r="GQ653" i="1"/>
  <c r="CH685" i="1"/>
  <c r="FX669" i="1"/>
  <c r="FY667" i="1"/>
  <c r="FY703" i="1"/>
  <c r="GO669" i="1"/>
  <c r="GN670" i="1"/>
  <c r="CZ701" i="1"/>
  <c r="FZ681" i="1"/>
  <c r="GB681" i="1"/>
  <c r="GA721" i="1"/>
  <c r="DZ686" i="1"/>
  <c r="EP685" i="1"/>
  <c r="GN685" i="1"/>
  <c r="EO687" i="1"/>
  <c r="EP687" i="1" s="1"/>
  <c r="GN708" i="1"/>
  <c r="GO684" i="1"/>
  <c r="GN686" i="1"/>
  <c r="CT702" i="1"/>
  <c r="AZ686" i="1"/>
  <c r="EB686" i="1"/>
  <c r="BI97" i="1"/>
  <c r="BI94" i="1"/>
  <c r="BJ93" i="1"/>
  <c r="EF88" i="1"/>
  <c r="AO149" i="1"/>
  <c r="AM180" i="1"/>
  <c r="AN153" i="1"/>
  <c r="AM154" i="1"/>
  <c r="AN154" i="1" s="1"/>
  <c r="FF56" i="1"/>
  <c r="C50" i="1"/>
  <c r="FF62" i="1"/>
  <c r="FG62" i="1" s="1"/>
  <c r="FF61" i="1"/>
  <c r="FG61" i="1" s="1"/>
  <c r="FG50" i="1"/>
  <c r="FF60" i="1"/>
  <c r="FG60" i="1" s="1"/>
  <c r="Z94" i="1"/>
  <c r="BF88" i="1"/>
  <c r="CK97" i="1"/>
  <c r="CK94" i="1"/>
  <c r="CL93" i="1"/>
  <c r="FH97" i="1"/>
  <c r="FH94" i="1"/>
  <c r="FI94" i="1" s="1"/>
  <c r="FI93" i="1"/>
  <c r="FB836" i="1"/>
  <c r="FB838" i="1" s="1"/>
  <c r="FB850" i="1" s="1"/>
  <c r="FB132" i="1"/>
  <c r="FB812" i="1" s="1"/>
  <c r="FB814" i="1" s="1"/>
  <c r="FB129" i="1"/>
  <c r="GE70" i="1"/>
  <c r="FY209" i="1"/>
  <c r="P94" i="1"/>
  <c r="W770" i="1"/>
  <c r="W518" i="1"/>
  <c r="X97" i="1"/>
  <c r="AR88" i="1"/>
  <c r="BH93" i="1"/>
  <c r="BG97" i="1"/>
  <c r="BG94" i="1"/>
  <c r="BH94" i="1" s="1"/>
  <c r="DD88" i="1"/>
  <c r="DT93" i="1"/>
  <c r="DS97" i="1"/>
  <c r="DS94" i="1"/>
  <c r="DT94" i="1" s="1"/>
  <c r="DS7" i="1"/>
  <c r="FV132" i="1"/>
  <c r="FV129" i="1"/>
  <c r="FW128" i="1"/>
  <c r="EH217" i="1"/>
  <c r="EG523" i="1"/>
  <c r="EH521" i="1"/>
  <c r="FO211" i="1"/>
  <c r="GE211" i="1"/>
  <c r="AQ773" i="1"/>
  <c r="AQ521" i="1"/>
  <c r="FP217" i="1"/>
  <c r="AR217" i="1"/>
  <c r="DC773" i="1"/>
  <c r="DC521" i="1"/>
  <c r="DC218" i="1"/>
  <c r="DD217" i="1"/>
  <c r="BU132" i="1"/>
  <c r="BV128" i="1"/>
  <c r="BU129" i="1"/>
  <c r="EG132" i="1"/>
  <c r="EH128" i="1"/>
  <c r="EG129" i="1"/>
  <c r="BB214" i="1"/>
  <c r="CG773" i="1"/>
  <c r="CG521" i="1"/>
  <c r="CH217" i="1"/>
  <c r="DN214" i="1"/>
  <c r="FF521" i="1"/>
  <c r="FG217" i="1"/>
  <c r="AZ248" i="1"/>
  <c r="GD858" i="1"/>
  <c r="GD859" i="1" s="1"/>
  <c r="GE502" i="1"/>
  <c r="I132" i="1"/>
  <c r="I519" i="1" s="1"/>
  <c r="I129" i="1"/>
  <c r="R129" i="1" s="1"/>
  <c r="FQ126" i="1"/>
  <c r="FE154" i="1"/>
  <c r="FD182" i="1"/>
  <c r="FQ211" i="1"/>
  <c r="GG211" i="1"/>
  <c r="EJ211" i="1"/>
  <c r="AN214" i="1"/>
  <c r="CZ214" i="1"/>
  <c r="EE8" i="1"/>
  <c r="EF8" i="1" s="1"/>
  <c r="GF856" i="1"/>
  <c r="CB125" i="1"/>
  <c r="BU773" i="1"/>
  <c r="BU521" i="1"/>
  <c r="BV217" i="1"/>
  <c r="DA8" i="1"/>
  <c r="DB8" i="1" s="1"/>
  <c r="P245" i="1"/>
  <c r="DG249" i="1"/>
  <c r="DH249" i="1" s="1"/>
  <c r="DG252" i="1"/>
  <c r="DH248" i="1"/>
  <c r="FF249" i="1"/>
  <c r="FG248" i="1"/>
  <c r="FF252" i="1"/>
  <c r="ER235" i="1"/>
  <c r="U530" i="1"/>
  <c r="V527" i="1"/>
  <c r="AD249" i="1"/>
  <c r="DE252" i="1"/>
  <c r="DF248" i="1"/>
  <c r="DE249" i="1"/>
  <c r="EH325" i="1"/>
  <c r="GG240" i="1"/>
  <c r="AU281" i="1"/>
  <c r="AS289" i="1"/>
  <c r="DM526" i="1"/>
  <c r="DN525" i="1"/>
  <c r="N387" i="1"/>
  <c r="FW240" i="1"/>
  <c r="CW294" i="1"/>
  <c r="CW295" i="1" s="1"/>
  <c r="CW287" i="1"/>
  <c r="CW293" i="1"/>
  <c r="CX281" i="1"/>
  <c r="BM526" i="1"/>
  <c r="BN525" i="1"/>
  <c r="CC526" i="1"/>
  <c r="CD525" i="1"/>
  <c r="AJ317" i="1"/>
  <c r="BO772" i="1"/>
  <c r="BO525" i="1"/>
  <c r="BP324" i="1"/>
  <c r="CE772" i="1"/>
  <c r="CE525" i="1"/>
  <c r="CF324" i="1"/>
  <c r="CV320" i="1"/>
  <c r="DL9" i="1"/>
  <c r="EA772" i="1"/>
  <c r="EA525" i="1"/>
  <c r="EB324" i="1"/>
  <c r="EA330" i="1"/>
  <c r="EB330" i="1" s="1"/>
  <c r="EA325" i="1"/>
  <c r="EB325" i="1" s="1"/>
  <c r="GK9" i="1"/>
  <c r="GJ772" i="1"/>
  <c r="GJ525" i="1"/>
  <c r="GJ325" i="1"/>
  <c r="GK324" i="1"/>
  <c r="BG387" i="1"/>
  <c r="BH383" i="1"/>
  <c r="BG384" i="1"/>
  <c r="BX381" i="1"/>
  <c r="DS387" i="1"/>
  <c r="DT383" i="1"/>
  <c r="DS384" i="1"/>
  <c r="DS10" i="1"/>
  <c r="EJ381" i="1"/>
  <c r="EQ381" i="1"/>
  <c r="ER381" i="1" s="1"/>
  <c r="EU407" i="1"/>
  <c r="EV407" i="1" s="1"/>
  <c r="EU404" i="1"/>
  <c r="EU402" i="1"/>
  <c r="AW423" i="1"/>
  <c r="AX423" i="1" s="1"/>
  <c r="AW428" i="1"/>
  <c r="AX422" i="1"/>
  <c r="CD420" i="1"/>
  <c r="DJ420" i="1"/>
  <c r="EO426" i="1"/>
  <c r="EO423" i="1"/>
  <c r="EP423" i="1" s="1"/>
  <c r="EP422" i="1"/>
  <c r="FD774" i="1"/>
  <c r="FD779" i="1" s="1"/>
  <c r="FD527" i="1"/>
  <c r="FE387" i="1"/>
  <c r="FR426" i="1"/>
  <c r="FR423" i="1"/>
  <c r="FS422" i="1"/>
  <c r="FM531" i="1"/>
  <c r="FU531" i="1"/>
  <c r="BA859" i="1"/>
  <c r="BM384" i="1"/>
  <c r="BM387" i="1"/>
  <c r="BN383" i="1"/>
  <c r="CT381" i="1"/>
  <c r="DY384" i="1"/>
  <c r="DY387" i="1"/>
  <c r="DZ383" i="1"/>
  <c r="DY10" i="1"/>
  <c r="FW408" i="1"/>
  <c r="FV422" i="1"/>
  <c r="FV420" i="1"/>
  <c r="FV800" i="1"/>
  <c r="CG426" i="1"/>
  <c r="CG423" i="1"/>
  <c r="CH423" i="1" s="1"/>
  <c r="CH422" i="1"/>
  <c r="AC858" i="1"/>
  <c r="AC859" i="1" s="1"/>
  <c r="AD502" i="1"/>
  <c r="GG436" i="1"/>
  <c r="BC428" i="1"/>
  <c r="BD422" i="1"/>
  <c r="BC423" i="1"/>
  <c r="BC426" i="1"/>
  <c r="BD426" i="1" s="1"/>
  <c r="BT420" i="1"/>
  <c r="AJ453" i="1"/>
  <c r="AI457" i="1"/>
  <c r="AI454" i="1"/>
  <c r="AJ454" i="1" s="1"/>
  <c r="BP454" i="1"/>
  <c r="FP531" i="1"/>
  <c r="FQ490" i="1"/>
  <c r="FF529" i="1"/>
  <c r="FG457" i="1"/>
  <c r="FV529" i="1"/>
  <c r="FW457" i="1"/>
  <c r="CS859" i="1"/>
  <c r="EU848" i="1"/>
  <c r="DP577" i="1"/>
  <c r="GE616" i="1"/>
  <c r="EP619" i="1"/>
  <c r="EQ619" i="1"/>
  <c r="EO616" i="1"/>
  <c r="EP616" i="1" s="1"/>
  <c r="GM669" i="1"/>
  <c r="GL670" i="1"/>
  <c r="FO708" i="1"/>
  <c r="FS685" i="1"/>
  <c r="FR687" i="1"/>
  <c r="FS687" i="1" s="1"/>
  <c r="FW701" i="1"/>
  <c r="FX687" i="1"/>
  <c r="FY685" i="1"/>
  <c r="ES658" i="1"/>
  <c r="ET658" i="1" s="1"/>
  <c r="FO669" i="1"/>
  <c r="FN670" i="1"/>
  <c r="FU704" i="1"/>
  <c r="GK703" i="1"/>
  <c r="AR670" i="1"/>
  <c r="DT670" i="1"/>
  <c r="CN703" i="1"/>
  <c r="CN721" i="1"/>
  <c r="FO707" i="1"/>
  <c r="GE721" i="1"/>
  <c r="EC687" i="1"/>
  <c r="ED685" i="1"/>
  <c r="CX721" i="1"/>
  <c r="FQ721" i="1"/>
  <c r="GG705" i="1"/>
  <c r="GG721" i="1"/>
  <c r="GO707" i="1"/>
  <c r="GO721" i="1"/>
  <c r="DX708" i="1"/>
  <c r="GA184" i="1"/>
  <c r="DQ771" i="1"/>
  <c r="DQ522" i="1"/>
  <c r="DQ256" i="1"/>
  <c r="DQ253" i="1"/>
  <c r="AT249" i="1"/>
  <c r="BA769" i="1"/>
  <c r="BA519" i="1"/>
  <c r="CP422" i="1"/>
  <c r="EK428" i="1"/>
  <c r="FW704" i="1"/>
  <c r="DS773" i="1"/>
  <c r="DS521" i="1"/>
  <c r="DT217" i="1"/>
  <c r="DS218" i="1"/>
  <c r="DS222" i="1"/>
  <c r="BY771" i="1"/>
  <c r="BY522" i="1"/>
  <c r="CP248" i="1"/>
  <c r="FK704" i="1"/>
  <c r="FU702" i="1"/>
  <c r="CD686" i="1"/>
  <c r="BA97" i="1"/>
  <c r="BA94" i="1"/>
  <c r="BB93" i="1"/>
  <c r="GB93" i="1"/>
  <c r="GC72" i="1"/>
  <c r="GB88" i="1"/>
  <c r="BM97" i="1"/>
  <c r="BM94" i="1"/>
  <c r="BN93" i="1"/>
  <c r="DY97" i="1"/>
  <c r="DY94" i="1"/>
  <c r="DZ94" i="1" s="1"/>
  <c r="DY7" i="1"/>
  <c r="DZ93" i="1"/>
  <c r="FH217" i="1"/>
  <c r="FH214" i="1"/>
  <c r="FI214" i="1" s="1"/>
  <c r="FI213" i="1"/>
  <c r="GJ773" i="1"/>
  <c r="GJ521" i="1"/>
  <c r="GK217" i="1"/>
  <c r="GJ218" i="1"/>
  <c r="FR214" i="1"/>
  <c r="FS214" i="1" s="1"/>
  <c r="FS213" i="1"/>
  <c r="FR217" i="1"/>
  <c r="BL93" i="1"/>
  <c r="BK97" i="1"/>
  <c r="BK94" i="1"/>
  <c r="BL94" i="1" s="1"/>
  <c r="DX93" i="1"/>
  <c r="DW97" i="1"/>
  <c r="DW94" i="1"/>
  <c r="DX94" i="1" s="1"/>
  <c r="DW7" i="1"/>
  <c r="DW129" i="1"/>
  <c r="DX129" i="1" s="1"/>
  <c r="DW132" i="1"/>
  <c r="DX128" i="1"/>
  <c r="GF214" i="1"/>
  <c r="GG213" i="1"/>
  <c r="GF217" i="1"/>
  <c r="GF858" i="1"/>
  <c r="GF859" i="1" s="1"/>
  <c r="GG502" i="1"/>
  <c r="AY773" i="1"/>
  <c r="AY521" i="1"/>
  <c r="AZ217" i="1"/>
  <c r="DK773" i="1"/>
  <c r="DK521" i="1"/>
  <c r="DK218" i="1"/>
  <c r="DL217" i="1"/>
  <c r="DK222" i="1"/>
  <c r="FD521" i="1"/>
  <c r="FE217" i="1"/>
  <c r="GM232" i="1"/>
  <c r="GL248" i="1"/>
  <c r="GL245" i="1"/>
  <c r="GM245" i="1" s="1"/>
  <c r="FU508" i="1"/>
  <c r="FW508" i="1"/>
  <c r="M769" i="1"/>
  <c r="M519" i="1"/>
  <c r="AS132" i="1"/>
  <c r="AT128" i="1"/>
  <c r="AS129" i="1"/>
  <c r="DE132" i="1"/>
  <c r="DF128" i="1"/>
  <c r="DE129" i="1"/>
  <c r="DF129" i="1" s="1"/>
  <c r="AC773" i="1"/>
  <c r="AC521" i="1"/>
  <c r="AD217" i="1"/>
  <c r="CO773" i="1"/>
  <c r="CO521" i="1"/>
  <c r="CO218" i="1"/>
  <c r="CP217" i="1"/>
  <c r="FX248" i="1"/>
  <c r="FY232" i="1"/>
  <c r="FX245" i="1"/>
  <c r="K771" i="1"/>
  <c r="K522" i="1"/>
  <c r="L252" i="1"/>
  <c r="EI771" i="1"/>
  <c r="EI522" i="1"/>
  <c r="EI256" i="1"/>
  <c r="EI253" i="1"/>
  <c r="EJ252" i="1"/>
  <c r="FZ858" i="1"/>
  <c r="FZ859" i="1" s="1"/>
  <c r="GA502" i="1"/>
  <c r="CA773" i="1"/>
  <c r="CA521" i="1"/>
  <c r="CB217" i="1"/>
  <c r="W129" i="1"/>
  <c r="W132" i="1"/>
  <c r="X128" i="1"/>
  <c r="AW773" i="1"/>
  <c r="AW521" i="1"/>
  <c r="AX217" i="1"/>
  <c r="GR231" i="1"/>
  <c r="GQ231" i="1"/>
  <c r="EN245" i="1"/>
  <c r="EV245" i="1"/>
  <c r="CO276" i="1"/>
  <c r="CO270" i="1"/>
  <c r="CO277" i="1"/>
  <c r="CO278" i="1" s="1"/>
  <c r="BI526" i="1"/>
  <c r="BJ525" i="1"/>
  <c r="BY526" i="1"/>
  <c r="BZ525" i="1"/>
  <c r="EK526" i="1"/>
  <c r="EL525" i="1"/>
  <c r="AH501" i="1"/>
  <c r="AG502" i="1"/>
  <c r="Q771" i="1"/>
  <c r="Q522" i="1"/>
  <c r="R252" i="1"/>
  <c r="CC252" i="1"/>
  <c r="CD248" i="1"/>
  <c r="CC249" i="1"/>
  <c r="CD249" i="1" s="1"/>
  <c r="DY771" i="1"/>
  <c r="DY522" i="1"/>
  <c r="DZ252" i="1"/>
  <c r="DY256" i="1"/>
  <c r="DZ256" i="1" s="1"/>
  <c r="DY253" i="1"/>
  <c r="DZ253" i="1" s="1"/>
  <c r="BE526" i="1"/>
  <c r="BF525" i="1"/>
  <c r="FJ387" i="1"/>
  <c r="FJ384" i="1"/>
  <c r="FK384" i="1" s="1"/>
  <c r="FK383" i="1"/>
  <c r="FF526" i="1"/>
  <c r="GT282" i="1"/>
  <c r="GS282" i="1"/>
  <c r="EX301" i="1"/>
  <c r="GP301" i="1"/>
  <c r="FH387" i="1"/>
  <c r="FH384" i="1"/>
  <c r="FI384" i="1" s="1"/>
  <c r="FI383" i="1"/>
  <c r="FR289" i="1"/>
  <c r="FT281" i="1"/>
  <c r="FS287" i="1"/>
  <c r="BS772" i="1"/>
  <c r="BS525" i="1"/>
  <c r="BT324" i="1"/>
  <c r="CI772" i="1"/>
  <c r="CI525" i="1"/>
  <c r="CJ324" i="1"/>
  <c r="CY772" i="1"/>
  <c r="CY525" i="1"/>
  <c r="CY325" i="1"/>
  <c r="CZ324" i="1"/>
  <c r="DO772" i="1"/>
  <c r="DO525" i="1"/>
  <c r="DO325" i="1"/>
  <c r="DO330" i="1"/>
  <c r="DP324" i="1"/>
  <c r="GN772" i="1"/>
  <c r="GN525" i="1"/>
  <c r="GN325" i="1"/>
  <c r="BK387" i="1"/>
  <c r="BL383" i="1"/>
  <c r="BK384" i="1"/>
  <c r="DW387" i="1"/>
  <c r="DX383" i="1"/>
  <c r="DW384" i="1"/>
  <c r="DW10" i="1"/>
  <c r="EV381" i="1"/>
  <c r="EN381" i="1"/>
  <c r="FZ383" i="1"/>
  <c r="GA370" i="1"/>
  <c r="FZ381" i="1"/>
  <c r="GA381" i="1" s="1"/>
  <c r="CG384" i="1"/>
  <c r="CG387" i="1"/>
  <c r="CH383" i="1"/>
  <c r="GJ800" i="1"/>
  <c r="GJ422" i="1"/>
  <c r="GK408" i="1"/>
  <c r="GJ420" i="1"/>
  <c r="GV435" i="1"/>
  <c r="GU435" i="1"/>
  <c r="FI531" i="1"/>
  <c r="FF542" i="1"/>
  <c r="FG537" i="1"/>
  <c r="GS480" i="1"/>
  <c r="GT480" i="1"/>
  <c r="BX422" i="1"/>
  <c r="BW426" i="1"/>
  <c r="BW423" i="1"/>
  <c r="CN422" i="1"/>
  <c r="CM426" i="1"/>
  <c r="CM423" i="1"/>
  <c r="DD422" i="1"/>
  <c r="DC426" i="1"/>
  <c r="DC423" i="1"/>
  <c r="DT422" i="1"/>
  <c r="DS423" i="1"/>
  <c r="DS426" i="1"/>
  <c r="EJ422" i="1"/>
  <c r="EI426" i="1"/>
  <c r="EI423" i="1"/>
  <c r="AN453" i="1"/>
  <c r="AM457" i="1"/>
  <c r="AM454" i="1"/>
  <c r="AN454" i="1" s="1"/>
  <c r="GG11" i="1"/>
  <c r="GE11" i="1"/>
  <c r="BM529" i="1"/>
  <c r="BN457" i="1"/>
  <c r="BJ531" i="1"/>
  <c r="BZ531" i="1"/>
  <c r="CP531" i="1"/>
  <c r="DF531" i="1"/>
  <c r="FM575" i="1"/>
  <c r="FL577" i="1"/>
  <c r="FM577" i="1" s="1"/>
  <c r="GC575" i="1"/>
  <c r="GB577" i="1"/>
  <c r="GC577" i="1" s="1"/>
  <c r="GJ619" i="1"/>
  <c r="GK616" i="1"/>
  <c r="GK613" i="1"/>
  <c r="GM613" i="1"/>
  <c r="BV687" i="1"/>
  <c r="GG634" i="1"/>
  <c r="GI634" i="1"/>
  <c r="GG704" i="1"/>
  <c r="FM669" i="1"/>
  <c r="FL670" i="1"/>
  <c r="CZ702" i="1"/>
  <c r="FW679" i="1"/>
  <c r="AA687" i="1"/>
  <c r="AB685" i="1"/>
  <c r="AQ687" i="1"/>
  <c r="AR685" i="1"/>
  <c r="BG687" i="1"/>
  <c r="BH685" i="1"/>
  <c r="BW687" i="1"/>
  <c r="BX685" i="1"/>
  <c r="DC687" i="1"/>
  <c r="DD685" i="1"/>
  <c r="DS687" i="1"/>
  <c r="DT685" i="1"/>
  <c r="EI687" i="1"/>
  <c r="EJ685" i="1"/>
  <c r="AS97" i="1"/>
  <c r="AS94" i="1"/>
  <c r="AT93" i="1"/>
  <c r="M770" i="1"/>
  <c r="M518" i="1"/>
  <c r="N97" i="1"/>
  <c r="BU97" i="1"/>
  <c r="BU94" i="1"/>
  <c r="BV94" i="1" s="1"/>
  <c r="BV93" i="1"/>
  <c r="ER119" i="1"/>
  <c r="FH170" i="1"/>
  <c r="FI169" i="1"/>
  <c r="FJ164" i="1"/>
  <c r="FH181" i="1"/>
  <c r="FI181" i="1" s="1"/>
  <c r="L93" i="1"/>
  <c r="K97" i="1"/>
  <c r="K94" i="1"/>
  <c r="AJ93" i="1"/>
  <c r="AI97" i="1"/>
  <c r="AI94" i="1"/>
  <c r="AJ94" i="1" s="1"/>
  <c r="CV93" i="1"/>
  <c r="CU97" i="1"/>
  <c r="CU94" i="1"/>
  <c r="CU7" i="1"/>
  <c r="GC87" i="1"/>
  <c r="GL217" i="1"/>
  <c r="GL214" i="1"/>
  <c r="GM214" i="1" s="1"/>
  <c r="GM213" i="1"/>
  <c r="GL8" i="1"/>
  <c r="AA773" i="1"/>
  <c r="AA521" i="1"/>
  <c r="AB217" i="1"/>
  <c r="CM773" i="1"/>
  <c r="CM521" i="1"/>
  <c r="CM218" i="1"/>
  <c r="CN217" i="1"/>
  <c r="AG769" i="1"/>
  <c r="AG519" i="1"/>
  <c r="AH132" i="1"/>
  <c r="CS132" i="1"/>
  <c r="CT128" i="1"/>
  <c r="CS129" i="1"/>
  <c r="AL214" i="1"/>
  <c r="BQ773" i="1"/>
  <c r="BQ521" i="1"/>
  <c r="BR217" i="1"/>
  <c r="CW773" i="1"/>
  <c r="CW521" i="1"/>
  <c r="CW218" i="1"/>
  <c r="CX217" i="1"/>
  <c r="ED8" i="1"/>
  <c r="CU771" i="1"/>
  <c r="CU522" i="1"/>
  <c r="CV252" i="1"/>
  <c r="CU253" i="1"/>
  <c r="EA771" i="1"/>
  <c r="EA522" i="1"/>
  <c r="EA256" i="1"/>
  <c r="EA253" i="1"/>
  <c r="EB252" i="1"/>
  <c r="X214" i="1"/>
  <c r="CI773" i="1"/>
  <c r="CI521" i="1"/>
  <c r="CJ217" i="1"/>
  <c r="CR125" i="1"/>
  <c r="Y773" i="1"/>
  <c r="Y521" i="1"/>
  <c r="Z217" i="1"/>
  <c r="BF214" i="1"/>
  <c r="DQ773" i="1"/>
  <c r="DQ521" i="1"/>
  <c r="DQ222" i="1"/>
  <c r="DQ218" i="1"/>
  <c r="DR217" i="1"/>
  <c r="G252" i="1"/>
  <c r="G522" i="1" s="1"/>
  <c r="G523" i="1" s="1"/>
  <c r="G533" i="1" s="1"/>
  <c r="G536" i="1" s="1"/>
  <c r="G249" i="1"/>
  <c r="BK249" i="1"/>
  <c r="BL249" i="1" s="1"/>
  <c r="BK252" i="1"/>
  <c r="BL248" i="1"/>
  <c r="FQ240" i="1"/>
  <c r="CX248" i="1"/>
  <c r="CW252" i="1"/>
  <c r="CW249" i="1"/>
  <c r="CX249" i="1" s="1"/>
  <c r="AO526" i="1"/>
  <c r="AP525" i="1"/>
  <c r="BQ526" i="1"/>
  <c r="BR525" i="1"/>
  <c r="CG526" i="1"/>
  <c r="CH525" i="1"/>
  <c r="FM383" i="1"/>
  <c r="FR349" i="1"/>
  <c r="FS346" i="1"/>
  <c r="FR501" i="1"/>
  <c r="AA772" i="1"/>
  <c r="AA525" i="1"/>
  <c r="AB324" i="1"/>
  <c r="DC772" i="1"/>
  <c r="DC525" i="1"/>
  <c r="DC325" i="1"/>
  <c r="DD324" i="1"/>
  <c r="AY387" i="1"/>
  <c r="AZ383" i="1"/>
  <c r="AY384" i="1"/>
  <c r="DK387" i="1"/>
  <c r="DL383" i="1"/>
  <c r="DK384" i="1"/>
  <c r="DK10" i="1"/>
  <c r="AG423" i="1"/>
  <c r="AG428" i="1"/>
  <c r="AH422" i="1"/>
  <c r="BM423" i="1"/>
  <c r="BM426" i="1"/>
  <c r="BN422" i="1"/>
  <c r="CS423" i="1"/>
  <c r="CS426" i="1"/>
  <c r="CT422" i="1"/>
  <c r="FS314" i="1"/>
  <c r="K527" i="1"/>
  <c r="L387" i="1"/>
  <c r="GK418" i="1"/>
  <c r="AK859" i="1"/>
  <c r="BE384" i="1"/>
  <c r="BE387" i="1"/>
  <c r="BF383" i="1"/>
  <c r="DQ384" i="1"/>
  <c r="DQ387" i="1"/>
  <c r="DR383" i="1"/>
  <c r="DQ10" i="1"/>
  <c r="AW457" i="1"/>
  <c r="AW454" i="1"/>
  <c r="AX453" i="1"/>
  <c r="BF453" i="1"/>
  <c r="ER407" i="1"/>
  <c r="AT529" i="1"/>
  <c r="FW418" i="1"/>
  <c r="AU428" i="1"/>
  <c r="AV422" i="1"/>
  <c r="AU423" i="1"/>
  <c r="AA529" i="1"/>
  <c r="AB457" i="1"/>
  <c r="T531" i="1"/>
  <c r="AJ531" i="1"/>
  <c r="FI451" i="1"/>
  <c r="FK451" i="1"/>
  <c r="EX493" i="1"/>
  <c r="EP493" i="1"/>
  <c r="FP848" i="1"/>
  <c r="CL577" i="1"/>
  <c r="FE613" i="1"/>
  <c r="FG613" i="1"/>
  <c r="DU687" i="1"/>
  <c r="DV687" i="1" s="1"/>
  <c r="FQ669" i="1"/>
  <c r="FP670" i="1"/>
  <c r="FQ670" i="1" s="1"/>
  <c r="CZ703" i="1"/>
  <c r="FW707" i="1"/>
  <c r="GM721" i="1"/>
  <c r="GH685" i="1"/>
  <c r="DQ687" i="1"/>
  <c r="DR687" i="1" s="1"/>
  <c r="DR685" i="1"/>
  <c r="AK97" i="1"/>
  <c r="AK94" i="1"/>
  <c r="AL94" i="1" s="1"/>
  <c r="AL93" i="1"/>
  <c r="GJ93" i="1"/>
  <c r="GK72" i="1"/>
  <c r="GJ88" i="1"/>
  <c r="FL97" i="1"/>
  <c r="FL94" i="1"/>
  <c r="FM94" i="1" s="1"/>
  <c r="FM93" i="1"/>
  <c r="FX132" i="1"/>
  <c r="FX129" i="1"/>
  <c r="FY129" i="1" s="1"/>
  <c r="FY128" i="1"/>
  <c r="CD88" i="1"/>
  <c r="DA94" i="1"/>
  <c r="DB94" i="1" s="1"/>
  <c r="DB93" i="1"/>
  <c r="DA97" i="1"/>
  <c r="DA7" i="1"/>
  <c r="FD97" i="1"/>
  <c r="FD94" i="1"/>
  <c r="FE93" i="1"/>
  <c r="FG93" i="1"/>
  <c r="BG129" i="1"/>
  <c r="BG132" i="1"/>
  <c r="BH128" i="1"/>
  <c r="FR128" i="1"/>
  <c r="FJ214" i="1"/>
  <c r="FK214" i="1" s="1"/>
  <c r="FK213" i="1"/>
  <c r="FJ217" i="1"/>
  <c r="AN93" i="1"/>
  <c r="AM97" i="1"/>
  <c r="AM94" i="1"/>
  <c r="CJ88" i="1"/>
  <c r="CZ93" i="1"/>
  <c r="CY94" i="1"/>
  <c r="CY97" i="1"/>
  <c r="CY7" i="1"/>
  <c r="FN129" i="1"/>
  <c r="FO128" i="1"/>
  <c r="BP214" i="1"/>
  <c r="CV8" i="1"/>
  <c r="EA773" i="1"/>
  <c r="EA521" i="1"/>
  <c r="EB217" i="1"/>
  <c r="EA218" i="1"/>
  <c r="EB218" i="1" s="1"/>
  <c r="EA222" i="1"/>
  <c r="EB222" i="1" s="1"/>
  <c r="GB787" i="1"/>
  <c r="GC242" i="1"/>
  <c r="GG122" i="1"/>
  <c r="GI122" i="1"/>
  <c r="U769" i="1"/>
  <c r="U519" i="1"/>
  <c r="V132" i="1"/>
  <c r="AS773" i="1"/>
  <c r="AS521" i="1"/>
  <c r="AT217" i="1"/>
  <c r="DE773" i="1"/>
  <c r="DE521" i="1"/>
  <c r="DE218" i="1"/>
  <c r="DF217" i="1"/>
  <c r="EL214" i="1"/>
  <c r="GQ228" i="1"/>
  <c r="GR228" i="1"/>
  <c r="GP229" i="1"/>
  <c r="FK232" i="1"/>
  <c r="FJ248" i="1"/>
  <c r="FJ245" i="1"/>
  <c r="GQ109" i="1"/>
  <c r="FG125" i="1"/>
  <c r="AF214" i="1"/>
  <c r="CR214" i="1"/>
  <c r="DX8" i="1"/>
  <c r="GE270" i="1"/>
  <c r="GF265" i="1"/>
  <c r="GD272" i="1"/>
  <c r="GE272" i="1" s="1"/>
  <c r="AM129" i="1"/>
  <c r="AN129" i="1" s="1"/>
  <c r="AM132" i="1"/>
  <c r="AN128" i="1"/>
  <c r="GT117" i="1"/>
  <c r="GS117" i="1"/>
  <c r="BM773" i="1"/>
  <c r="BM521" i="1"/>
  <c r="BN217" i="1"/>
  <c r="CI249" i="1"/>
  <c r="CI252" i="1"/>
  <c r="CJ248" i="1"/>
  <c r="EV210" i="1"/>
  <c r="BF249" i="1"/>
  <c r="BV248" i="1"/>
  <c r="CL248" i="1"/>
  <c r="EH8" i="1"/>
  <c r="GK240" i="1"/>
  <c r="AK526" i="1"/>
  <c r="AL525" i="1"/>
  <c r="EX330" i="1"/>
  <c r="EP330" i="1"/>
  <c r="AF317" i="1"/>
  <c r="BK772" i="1"/>
  <c r="BK525" i="1"/>
  <c r="BL324" i="1"/>
  <c r="CA772" i="1"/>
  <c r="CA525" i="1"/>
  <c r="CB324" i="1"/>
  <c r="DH317" i="1"/>
  <c r="DX320" i="1"/>
  <c r="EN317" i="1"/>
  <c r="GG370" i="1"/>
  <c r="GF383" i="1"/>
  <c r="GF381" i="1"/>
  <c r="BS387" i="1"/>
  <c r="BT383" i="1"/>
  <c r="BS384" i="1"/>
  <c r="BT384" i="1" s="1"/>
  <c r="CJ381" i="1"/>
  <c r="EE387" i="1"/>
  <c r="EF383" i="1"/>
  <c r="EE384" i="1"/>
  <c r="EF384" i="1" s="1"/>
  <c r="EE10" i="1"/>
  <c r="GK380" i="1"/>
  <c r="CK423" i="1"/>
  <c r="CK426" i="1"/>
  <c r="CL422" i="1"/>
  <c r="DQ426" i="1"/>
  <c r="DQ423" i="1"/>
  <c r="DR422" i="1"/>
  <c r="L528" i="1"/>
  <c r="FW314" i="1"/>
  <c r="AF384" i="1"/>
  <c r="GH383" i="1"/>
  <c r="GI370" i="1"/>
  <c r="GH381" i="1"/>
  <c r="BJ381" i="1"/>
  <c r="CO384" i="1"/>
  <c r="CP384" i="1" s="1"/>
  <c r="CO387" i="1"/>
  <c r="CP383" i="1"/>
  <c r="CO10" i="1"/>
  <c r="DV381" i="1"/>
  <c r="AH529" i="1"/>
  <c r="S428" i="1"/>
  <c r="T422" i="1"/>
  <c r="S423" i="1"/>
  <c r="T423" i="1" s="1"/>
  <c r="AJ420" i="1"/>
  <c r="CF422" i="1"/>
  <c r="CE426" i="1"/>
  <c r="CE423" i="1"/>
  <c r="CF423" i="1" s="1"/>
  <c r="CV422" i="1"/>
  <c r="CU426" i="1"/>
  <c r="CU423" i="1"/>
  <c r="CV423" i="1" s="1"/>
  <c r="DL422" i="1"/>
  <c r="DK423" i="1"/>
  <c r="DL423" i="1" s="1"/>
  <c r="DK426" i="1"/>
  <c r="EB422" i="1"/>
  <c r="EA423" i="1"/>
  <c r="EB423" i="1" s="1"/>
  <c r="EA426" i="1"/>
  <c r="AV453" i="1"/>
  <c r="AU457" i="1"/>
  <c r="AU454" i="1"/>
  <c r="AV454" i="1" s="1"/>
  <c r="GO11" i="1"/>
  <c r="GM11" i="1"/>
  <c r="BD531" i="1"/>
  <c r="GH800" i="1"/>
  <c r="GI408" i="1"/>
  <c r="GH422" i="1"/>
  <c r="GH420" i="1"/>
  <c r="GI420" i="1" s="1"/>
  <c r="FS451" i="1"/>
  <c r="ED531" i="1"/>
  <c r="BI859" i="1"/>
  <c r="DE859" i="1"/>
  <c r="FS577" i="1"/>
  <c r="GI577" i="1"/>
  <c r="FR848" i="1"/>
  <c r="FU586" i="1"/>
  <c r="CV577" i="1"/>
  <c r="EB577" i="1"/>
  <c r="CT577" i="1"/>
  <c r="FO685" i="1"/>
  <c r="FN687" i="1"/>
  <c r="FO687" i="1" s="1"/>
  <c r="FU686" i="1"/>
  <c r="FQ703" i="1"/>
  <c r="FY702" i="1"/>
  <c r="X670" i="1"/>
  <c r="BD670" i="1"/>
  <c r="CZ670" i="1"/>
  <c r="EF670" i="1"/>
  <c r="EV676" i="1"/>
  <c r="EW676" i="1"/>
  <c r="EU657" i="1"/>
  <c r="EV657" i="1" s="1"/>
  <c r="CI708" i="1"/>
  <c r="CJ708" i="1" s="1"/>
  <c r="CI686" i="1"/>
  <c r="CJ686" i="1" s="1"/>
  <c r="CI685" i="1"/>
  <c r="CJ684" i="1"/>
  <c r="EP686" i="1"/>
  <c r="CK708" i="1"/>
  <c r="FZ684" i="1"/>
  <c r="CL684" i="1"/>
  <c r="CK686" i="1"/>
  <c r="CL686" i="1" s="1"/>
  <c r="CK685" i="1"/>
  <c r="CT684" i="1"/>
  <c r="AZ708" i="1"/>
  <c r="EB708" i="1"/>
  <c r="FN856" i="1"/>
  <c r="Y770" i="1"/>
  <c r="Y518" i="1"/>
  <c r="Z97" i="1"/>
  <c r="BE97" i="1"/>
  <c r="BE94" i="1"/>
  <c r="BF93" i="1"/>
  <c r="DV88" i="1"/>
  <c r="ER125" i="1"/>
  <c r="EJ125" i="1"/>
  <c r="FZ132" i="1"/>
  <c r="FZ129" i="1"/>
  <c r="GA129" i="1" s="1"/>
  <c r="GA128" i="1"/>
  <c r="FD74" i="1"/>
  <c r="FE74" i="1" s="1"/>
  <c r="FE39" i="1"/>
  <c r="I520" i="1"/>
  <c r="I533" i="1" s="1"/>
  <c r="I536" i="1" s="1"/>
  <c r="EK97" i="1"/>
  <c r="EK94" i="1"/>
  <c r="EL93" i="1"/>
  <c r="EK7" i="1"/>
  <c r="GH856" i="1"/>
  <c r="O770" i="1"/>
  <c r="O518" i="1"/>
  <c r="P97" i="1"/>
  <c r="AR93" i="1"/>
  <c r="AQ97" i="1"/>
  <c r="AQ94" i="1"/>
  <c r="AR94" i="1" s="1"/>
  <c r="CN88" i="1"/>
  <c r="DD93" i="1"/>
  <c r="DC94" i="1"/>
  <c r="DD94" i="1" s="1"/>
  <c r="DC97" i="1"/>
  <c r="DC7" i="1"/>
  <c r="GO91" i="1"/>
  <c r="FK499" i="1"/>
  <c r="FJ502" i="1"/>
  <c r="FJ852" i="1"/>
  <c r="K773" i="1"/>
  <c r="K521" i="1"/>
  <c r="L217" i="1"/>
  <c r="BX214" i="1"/>
  <c r="DD8" i="1"/>
  <c r="FU509" i="1"/>
  <c r="FW509" i="1"/>
  <c r="Y769" i="1"/>
  <c r="Y519" i="1"/>
  <c r="Z132" i="1"/>
  <c r="CK132" i="1"/>
  <c r="CL128" i="1"/>
  <c r="CK129" i="1"/>
  <c r="CL129" i="1" s="1"/>
  <c r="V214" i="1"/>
  <c r="BA773" i="1"/>
  <c r="BA521" i="1"/>
  <c r="BB217" i="1"/>
  <c r="DM773" i="1"/>
  <c r="DM521" i="1"/>
  <c r="DM222" i="1"/>
  <c r="DN222" i="1" s="1"/>
  <c r="DM218" i="1"/>
  <c r="DN218" i="1" s="1"/>
  <c r="DN217" i="1"/>
  <c r="FH248" i="1"/>
  <c r="FI232" i="1"/>
  <c r="FH245" i="1"/>
  <c r="FI245" i="1" s="1"/>
  <c r="S771" i="1"/>
  <c r="S522" i="1"/>
  <c r="T252" i="1"/>
  <c r="AY771" i="1"/>
  <c r="AY522" i="1"/>
  <c r="AZ252" i="1"/>
  <c r="CE771" i="1"/>
  <c r="CE522" i="1"/>
  <c r="CF252" i="1"/>
  <c r="BC265" i="1"/>
  <c r="BB270" i="1"/>
  <c r="BA272" i="1"/>
  <c r="BB272" i="1" s="1"/>
  <c r="GK120" i="1"/>
  <c r="GG126" i="1"/>
  <c r="FF159" i="1"/>
  <c r="FF158" i="1"/>
  <c r="FF153" i="1"/>
  <c r="FF160" i="1"/>
  <c r="FG149" i="1"/>
  <c r="GI184" i="1"/>
  <c r="BS773" i="1"/>
  <c r="BS521" i="1"/>
  <c r="BT217" i="1"/>
  <c r="EF214" i="1"/>
  <c r="ET235" i="1"/>
  <c r="AV125" i="1"/>
  <c r="CA129" i="1"/>
  <c r="CB129" i="1" s="1"/>
  <c r="CA132" i="1"/>
  <c r="CB128" i="1"/>
  <c r="AO773" i="1"/>
  <c r="AO521" i="1"/>
  <c r="AP217" i="1"/>
  <c r="BV214" i="1"/>
  <c r="DB214" i="1"/>
  <c r="O249" i="1"/>
  <c r="P249" i="1" s="1"/>
  <c r="O252" i="1"/>
  <c r="P248" i="1"/>
  <c r="AV245" i="1"/>
  <c r="FS240" i="1"/>
  <c r="EQ238" i="1"/>
  <c r="ER232" i="1"/>
  <c r="FJ317" i="1"/>
  <c r="FK317" i="1" s="1"/>
  <c r="FK316" i="1"/>
  <c r="FJ324" i="1"/>
  <c r="FR387" i="1"/>
  <c r="FR384" i="1"/>
  <c r="FS383" i="1"/>
  <c r="EL249" i="1"/>
  <c r="M530" i="1"/>
  <c r="N527" i="1"/>
  <c r="FP297" i="1"/>
  <c r="FP298" i="1" s="1"/>
  <c r="FP305" i="1" s="1"/>
  <c r="FQ305" i="1" s="1"/>
  <c r="AW526" i="1"/>
  <c r="AX525" i="1"/>
  <c r="AP501" i="1"/>
  <c r="AX501" i="1"/>
  <c r="AO502" i="1"/>
  <c r="T317" i="1"/>
  <c r="AY772" i="1"/>
  <c r="AY525" i="1"/>
  <c r="AZ324" i="1"/>
  <c r="CU772" i="1"/>
  <c r="CU525" i="1"/>
  <c r="CU325" i="1"/>
  <c r="CV324" i="1"/>
  <c r="DL317" i="1"/>
  <c r="GK316" i="1"/>
  <c r="AQ387" i="1"/>
  <c r="AR383" i="1"/>
  <c r="AQ384" i="1"/>
  <c r="BH381" i="1"/>
  <c r="DC387" i="1"/>
  <c r="DD383" i="1"/>
  <c r="DC384" i="1"/>
  <c r="DC10" i="1"/>
  <c r="DT381" i="1"/>
  <c r="GO380" i="1"/>
  <c r="EW399" i="1"/>
  <c r="Q423" i="1"/>
  <c r="R423" i="1" s="1"/>
  <c r="Q428" i="1"/>
  <c r="R422" i="1"/>
  <c r="AX420" i="1"/>
  <c r="EX420" i="1"/>
  <c r="EP420" i="1"/>
  <c r="S527" i="1"/>
  <c r="T387" i="1"/>
  <c r="FS408" i="1"/>
  <c r="AL529" i="1"/>
  <c r="AW384" i="1"/>
  <c r="AW387" i="1"/>
  <c r="AX383" i="1"/>
  <c r="CD381" i="1"/>
  <c r="DI387" i="1"/>
  <c r="DI384" i="1"/>
  <c r="DJ383" i="1"/>
  <c r="DI10" i="1"/>
  <c r="EX381" i="1"/>
  <c r="EP381" i="1"/>
  <c r="CW426" i="1"/>
  <c r="CW423" i="1"/>
  <c r="CX423" i="1" s="1"/>
  <c r="CX422" i="1"/>
  <c r="FN344" i="1"/>
  <c r="AM428" i="1"/>
  <c r="AN422" i="1"/>
  <c r="AM423" i="1"/>
  <c r="BD420" i="1"/>
  <c r="T454" i="1"/>
  <c r="BO529" i="1"/>
  <c r="BP457" i="1"/>
  <c r="FZ775" i="1"/>
  <c r="FZ531" i="1"/>
  <c r="GA490" i="1"/>
  <c r="AB531" i="1"/>
  <c r="AR531" i="1"/>
  <c r="FI416" i="1"/>
  <c r="FK416" i="1"/>
  <c r="FP800" i="1"/>
  <c r="EM508" i="1"/>
  <c r="EM537" i="1"/>
  <c r="EN425" i="1"/>
  <c r="FW454" i="1"/>
  <c r="BV531" i="1"/>
  <c r="CL531" i="1"/>
  <c r="DB531" i="1"/>
  <c r="DR493" i="1"/>
  <c r="CC859" i="1"/>
  <c r="EO859" i="1"/>
  <c r="FO577" i="1"/>
  <c r="FI575" i="1"/>
  <c r="FH577" i="1"/>
  <c r="FI577" i="1" s="1"/>
  <c r="FY575" i="1"/>
  <c r="FX577" i="1"/>
  <c r="GO575" i="1"/>
  <c r="GN577" i="1"/>
  <c r="GO577" i="1" s="1"/>
  <c r="BT577" i="1"/>
  <c r="CB577" i="1"/>
  <c r="DB577" i="1"/>
  <c r="GH619" i="1"/>
  <c r="GI619" i="1" s="1"/>
  <c r="GI616" i="1"/>
  <c r="EL613" i="1"/>
  <c r="ER634" i="1"/>
  <c r="ES634" i="1"/>
  <c r="GP652" i="1"/>
  <c r="EX652" i="1"/>
  <c r="EW570" i="1"/>
  <c r="CN662" i="1"/>
  <c r="CV662" i="1"/>
  <c r="FY686" i="1"/>
  <c r="GO720" i="1"/>
  <c r="GC669" i="1"/>
  <c r="GB670" i="1"/>
  <c r="GC670" i="1" s="1"/>
  <c r="CM708" i="1"/>
  <c r="CM686" i="1"/>
  <c r="CM685" i="1"/>
  <c r="CN684" i="1"/>
  <c r="CN704" i="1"/>
  <c r="FQ679" i="1"/>
  <c r="FO721" i="1"/>
  <c r="GE705" i="1"/>
  <c r="ED686" i="1"/>
  <c r="CO708" i="1"/>
  <c r="CP684" i="1"/>
  <c r="CO686" i="1"/>
  <c r="CO685" i="1"/>
  <c r="CX684" i="1"/>
  <c r="CX701" i="1"/>
  <c r="FS679" i="1"/>
  <c r="GG707" i="1"/>
  <c r="W687" i="1"/>
  <c r="AM687" i="1"/>
  <c r="AN685" i="1"/>
  <c r="BC687" i="1"/>
  <c r="BD685" i="1"/>
  <c r="BS687" i="1"/>
  <c r="BT685" i="1"/>
  <c r="CY687" i="1"/>
  <c r="DO687" i="1"/>
  <c r="DP685" i="1"/>
  <c r="EE687" i="1"/>
  <c r="EF685" i="1"/>
  <c r="FK679" i="1"/>
  <c r="FU213" i="1"/>
  <c r="AO771" i="1"/>
  <c r="AO522" i="1"/>
  <c r="AP252" i="1"/>
  <c r="DU771" i="1"/>
  <c r="DU522" i="1"/>
  <c r="DV252" i="1"/>
  <c r="DU256" i="1"/>
  <c r="DV256" i="1" s="1"/>
  <c r="DU253" i="1"/>
  <c r="DV253" i="1" s="1"/>
  <c r="GC702" i="1"/>
  <c r="CX129" i="1"/>
  <c r="DN129" i="1"/>
  <c r="FQ509" i="1"/>
  <c r="CO428" i="1"/>
  <c r="CP426" i="1"/>
  <c r="DE428" i="1"/>
  <c r="DF426" i="1"/>
  <c r="DU428" i="1"/>
  <c r="FQ87" i="1"/>
  <c r="EF128" i="1"/>
  <c r="DT8" i="1"/>
  <c r="GA704" i="1"/>
  <c r="GE85" i="1"/>
  <c r="FP129" i="1"/>
  <c r="FQ129" i="1" s="1"/>
  <c r="FQ128" i="1"/>
  <c r="DY893" i="1"/>
  <c r="DZ88" i="1"/>
  <c r="DY89" i="1"/>
  <c r="EA129" i="1"/>
  <c r="EA132" i="1"/>
  <c r="EB128" i="1"/>
  <c r="GH129" i="1"/>
  <c r="GI129" i="1" s="1"/>
  <c r="GI128" i="1"/>
  <c r="GH132" i="1"/>
  <c r="EX222" i="1"/>
  <c r="EP222" i="1"/>
  <c r="FT132" i="1"/>
  <c r="FT129" i="1"/>
  <c r="FU128" i="1"/>
  <c r="FX217" i="1"/>
  <c r="FX214" i="1"/>
  <c r="FY213" i="1"/>
  <c r="AV93" i="1"/>
  <c r="AU97" i="1"/>
  <c r="AU94" i="1"/>
  <c r="AV94" i="1" s="1"/>
  <c r="DG97" i="1"/>
  <c r="DH93" i="1"/>
  <c r="DG94" i="1"/>
  <c r="DH94" i="1" s="1"/>
  <c r="DG7" i="1"/>
  <c r="S773" i="1"/>
  <c r="S521" i="1"/>
  <c r="T217" i="1"/>
  <c r="FL787" i="1"/>
  <c r="FM242" i="1"/>
  <c r="BI132" i="1"/>
  <c r="BJ128" i="1"/>
  <c r="BI129" i="1"/>
  <c r="BJ129" i="1" s="1"/>
  <c r="DU132" i="1"/>
  <c r="DV128" i="1"/>
  <c r="DU129" i="1"/>
  <c r="DV129" i="1" s="1"/>
  <c r="DU773" i="1"/>
  <c r="DU521" i="1"/>
  <c r="DU222" i="1"/>
  <c r="DV222" i="1" s="1"/>
  <c r="DU218" i="1"/>
  <c r="DV218" i="1" s="1"/>
  <c r="DV217" i="1"/>
  <c r="AU773" i="1"/>
  <c r="AU521" i="1"/>
  <c r="AV217" i="1"/>
  <c r="DG773" i="1"/>
  <c r="DG521" i="1"/>
  <c r="DH217" i="1"/>
  <c r="DG222" i="1"/>
  <c r="DG218" i="1"/>
  <c r="Q773" i="1"/>
  <c r="Q521" i="1"/>
  <c r="R217" i="1"/>
  <c r="FT248" i="1"/>
  <c r="FU232" i="1"/>
  <c r="FT245" i="1"/>
  <c r="FU245" i="1" s="1"/>
  <c r="AM249" i="1"/>
  <c r="AN249" i="1" s="1"/>
  <c r="AM252" i="1"/>
  <c r="AN248" i="1"/>
  <c r="EM249" i="1"/>
  <c r="EN249" i="1" s="1"/>
  <c r="EM252" i="1"/>
  <c r="EN248" i="1"/>
  <c r="AS526" i="1"/>
  <c r="AT525" i="1"/>
  <c r="DE526" i="1"/>
  <c r="DF525" i="1"/>
  <c r="DI252" i="1"/>
  <c r="DR252" i="1" s="1"/>
  <c r="DJ248" i="1"/>
  <c r="DI249" i="1"/>
  <c r="DJ249" i="1" s="1"/>
  <c r="EO771" i="1"/>
  <c r="EO522" i="1"/>
  <c r="EP252" i="1"/>
  <c r="EO256" i="1"/>
  <c r="EO253" i="1"/>
  <c r="EP253" i="1" s="1"/>
  <c r="GL317" i="1"/>
  <c r="GM317" i="1" s="1"/>
  <c r="GM316" i="1"/>
  <c r="GL324" i="1"/>
  <c r="GL320" i="1"/>
  <c r="GO320" i="1" s="1"/>
  <c r="GL9" i="1"/>
  <c r="GM9" i="1" s="1"/>
  <c r="GB297" i="1"/>
  <c r="BC772" i="1"/>
  <c r="BC525" i="1"/>
  <c r="BD324" i="1"/>
  <c r="EF320" i="1"/>
  <c r="GO316" i="1"/>
  <c r="AU387" i="1"/>
  <c r="AV383" i="1"/>
  <c r="AU384" i="1"/>
  <c r="DG387" i="1"/>
  <c r="DH383" i="1"/>
  <c r="DG384" i="1"/>
  <c r="DG10" i="1"/>
  <c r="ES915" i="1"/>
  <c r="ES403" i="1"/>
  <c r="ET403" i="1" s="1"/>
  <c r="ET402" i="1"/>
  <c r="N529" i="1"/>
  <c r="GB775" i="1"/>
  <c r="GB531" i="1"/>
  <c r="GC490" i="1"/>
  <c r="W527" i="1"/>
  <c r="X387" i="1"/>
  <c r="AA858" i="1"/>
  <c r="AA859" i="1" s="1"/>
  <c r="AB502" i="1"/>
  <c r="BQ384" i="1"/>
  <c r="BQ387" i="1"/>
  <c r="BR383" i="1"/>
  <c r="EC384" i="1"/>
  <c r="EC387" i="1"/>
  <c r="ED383" i="1"/>
  <c r="EC10" i="1"/>
  <c r="FK408" i="1"/>
  <c r="FJ422" i="1"/>
  <c r="FJ420" i="1"/>
  <c r="FJ800" i="1"/>
  <c r="EX425" i="1"/>
  <c r="GP425" i="1"/>
  <c r="FJ542" i="1"/>
  <c r="FK537" i="1"/>
  <c r="FM537" i="1"/>
  <c r="BH422" i="1"/>
  <c r="BG426" i="1"/>
  <c r="BG423" i="1"/>
  <c r="ER420" i="1"/>
  <c r="EJ420" i="1"/>
  <c r="BD454" i="1"/>
  <c r="BS529" i="1"/>
  <c r="BT457" i="1"/>
  <c r="GD775" i="1"/>
  <c r="GD531" i="1"/>
  <c r="GE490" i="1"/>
  <c r="AV531" i="1"/>
  <c r="GM436" i="1"/>
  <c r="DV531" i="1"/>
  <c r="BB687" i="1"/>
  <c r="DV686" i="1"/>
  <c r="GK704" i="1"/>
  <c r="FU707" i="1"/>
  <c r="GK705" i="1"/>
  <c r="EV55" i="1"/>
  <c r="EW55" i="1"/>
  <c r="FN93" i="1"/>
  <c r="FN88" i="1"/>
  <c r="FO88" i="1" s="1"/>
  <c r="FO72" i="1"/>
  <c r="EX187" i="1"/>
  <c r="GP187" i="1"/>
  <c r="AO97" i="1"/>
  <c r="AO94" i="1"/>
  <c r="AP93" i="1"/>
  <c r="FJ132" i="1"/>
  <c r="FJ129" i="1"/>
  <c r="FK128" i="1"/>
  <c r="FP88" i="1"/>
  <c r="FQ88" i="1" s="1"/>
  <c r="FP93" i="1"/>
  <c r="FQ72" i="1"/>
  <c r="GH93" i="1"/>
  <c r="GI72" i="1"/>
  <c r="GH88" i="1"/>
  <c r="GI88" i="1" s="1"/>
  <c r="T93" i="1"/>
  <c r="S97" i="1"/>
  <c r="S94" i="1"/>
  <c r="T94" i="1" s="1"/>
  <c r="CF93" i="1"/>
  <c r="CE97" i="1"/>
  <c r="CE94" i="1"/>
  <c r="EG97" i="1"/>
  <c r="EG94" i="1"/>
  <c r="EH94" i="1" s="1"/>
  <c r="EH93" i="1"/>
  <c r="EG7" i="1"/>
  <c r="GN773" i="1"/>
  <c r="GN521" i="1"/>
  <c r="GO217" i="1"/>
  <c r="GN218" i="1"/>
  <c r="GB858" i="1"/>
  <c r="GB859" i="1" s="1"/>
  <c r="GC502" i="1"/>
  <c r="BH214" i="1"/>
  <c r="Q769" i="1"/>
  <c r="Q519" i="1"/>
  <c r="R132" i="1"/>
  <c r="AW132" i="1"/>
  <c r="AX128" i="1"/>
  <c r="AW129" i="1"/>
  <c r="DJ128" i="1"/>
  <c r="DI129" i="1"/>
  <c r="DI132" i="1"/>
  <c r="AK773" i="1"/>
  <c r="AK521" i="1"/>
  <c r="AL217" i="1"/>
  <c r="CX214" i="1"/>
  <c r="ED214" i="1"/>
  <c r="AI771" i="1"/>
  <c r="AI522" i="1"/>
  <c r="FN252" i="1"/>
  <c r="AJ252" i="1"/>
  <c r="BO771" i="1"/>
  <c r="BO522" i="1"/>
  <c r="BP252" i="1"/>
  <c r="EJ210" i="1"/>
  <c r="ER210" i="1"/>
  <c r="BC773" i="1"/>
  <c r="BC521" i="1"/>
  <c r="BD217" i="1"/>
  <c r="DO773" i="1"/>
  <c r="DO521" i="1"/>
  <c r="DP217" i="1"/>
  <c r="DO218" i="1"/>
  <c r="DP218" i="1" s="1"/>
  <c r="DO222" i="1"/>
  <c r="DP222" i="1" s="1"/>
  <c r="BL125" i="1"/>
  <c r="CQ129" i="1"/>
  <c r="CQ132" i="1"/>
  <c r="CR128" i="1"/>
  <c r="GA509" i="1"/>
  <c r="FN182" i="1"/>
  <c r="Z214" i="1"/>
  <c r="CQ252" i="1"/>
  <c r="CQ249" i="1"/>
  <c r="CR249" i="1" s="1"/>
  <c r="CR248" i="1"/>
  <c r="E252" i="1"/>
  <c r="E522" i="1" s="1"/>
  <c r="E523" i="1" s="1"/>
  <c r="E249" i="1"/>
  <c r="N249" i="1" s="1"/>
  <c r="EV271" i="1"/>
  <c r="EW271" i="1"/>
  <c r="AC526" i="1"/>
  <c r="AD525" i="1"/>
  <c r="BA771" i="1"/>
  <c r="BA522" i="1"/>
  <c r="BB252" i="1"/>
  <c r="DN249" i="1"/>
  <c r="BA526" i="1"/>
  <c r="BB525" i="1"/>
  <c r="FM384" i="1"/>
  <c r="FB826" i="1"/>
  <c r="Q526" i="1"/>
  <c r="R525" i="1"/>
  <c r="FN384" i="1"/>
  <c r="FO384" i="1" s="1"/>
  <c r="FO383" i="1"/>
  <c r="Z527" i="1"/>
  <c r="K772" i="1"/>
  <c r="K525" i="1"/>
  <c r="L324" i="1"/>
  <c r="DD320" i="1"/>
  <c r="EJ320" i="1"/>
  <c r="FL772" i="1"/>
  <c r="FL525" i="1"/>
  <c r="FM324" i="1"/>
  <c r="GC317" i="1"/>
  <c r="AI387" i="1"/>
  <c r="AJ383" i="1"/>
  <c r="AI384" i="1"/>
  <c r="AJ384" i="1" s="1"/>
  <c r="CU387" i="1"/>
  <c r="CV383" i="1"/>
  <c r="CU384" i="1"/>
  <c r="CU10" i="1"/>
  <c r="GB426" i="1"/>
  <c r="GB423" i="1"/>
  <c r="DY426" i="1"/>
  <c r="DY423" i="1"/>
  <c r="DZ423" i="1" s="1"/>
  <c r="DZ422" i="1"/>
  <c r="GF426" i="1"/>
  <c r="GF423" i="1"/>
  <c r="AO384" i="1"/>
  <c r="AP384" i="1" s="1"/>
  <c r="AO387" i="1"/>
  <c r="AP383" i="1"/>
  <c r="DA384" i="1"/>
  <c r="DA387" i="1"/>
  <c r="DB383" i="1"/>
  <c r="DA10" i="1"/>
  <c r="FP501" i="1"/>
  <c r="AE428" i="1"/>
  <c r="AF422" i="1"/>
  <c r="AE423" i="1"/>
  <c r="K529" i="1"/>
  <c r="GD800" i="1"/>
  <c r="GE408" i="1"/>
  <c r="GD422" i="1"/>
  <c r="GD420" i="1"/>
  <c r="FH457" i="1"/>
  <c r="FI453" i="1"/>
  <c r="FH454" i="1"/>
  <c r="FI454" i="1" s="1"/>
  <c r="BN531" i="1"/>
  <c r="CD531" i="1"/>
  <c r="CT531" i="1"/>
  <c r="EX531" i="1"/>
  <c r="EP531" i="1"/>
  <c r="DQ859" i="1"/>
  <c r="FN848" i="1"/>
  <c r="GS574" i="1"/>
  <c r="GQ574" i="1"/>
  <c r="EU621" i="1"/>
  <c r="EW622" i="1"/>
  <c r="EU617" i="1"/>
  <c r="EV617" i="1" s="1"/>
  <c r="EV622" i="1"/>
  <c r="FI619" i="1"/>
  <c r="FH617" i="1"/>
  <c r="FK619" i="1"/>
  <c r="GM704" i="1"/>
  <c r="GF687" i="1"/>
  <c r="GG685" i="1"/>
  <c r="EW666" i="1"/>
  <c r="EU667" i="1"/>
  <c r="EV666" i="1"/>
  <c r="GC701" i="1"/>
  <c r="CE708" i="1"/>
  <c r="CF708" i="1" s="1"/>
  <c r="CE686" i="1"/>
  <c r="CF686" i="1" s="1"/>
  <c r="CE685" i="1"/>
  <c r="CG687" i="1" s="1"/>
  <c r="CH687" i="1" s="1"/>
  <c r="CF684" i="1"/>
  <c r="FY679" i="1"/>
  <c r="FW721" i="1"/>
  <c r="GM705" i="1"/>
  <c r="DR686" i="1"/>
  <c r="EL685" i="1"/>
  <c r="EK687" i="1"/>
  <c r="EL687" i="1" s="1"/>
  <c r="AU687" i="1"/>
  <c r="AV687" i="1" s="1"/>
  <c r="AV685" i="1"/>
  <c r="DG687" i="1"/>
  <c r="DH687" i="1" s="1"/>
  <c r="DH685" i="1"/>
  <c r="S687" i="1"/>
  <c r="AI687" i="1"/>
  <c r="AJ687" i="1" s="1"/>
  <c r="AJ685" i="1"/>
  <c r="CU687" i="1"/>
  <c r="CV685" i="1"/>
  <c r="DK687" i="1"/>
  <c r="DL687" i="1" s="1"/>
  <c r="DL685" i="1"/>
  <c r="GZ710" i="1"/>
  <c r="BQ97" i="1"/>
  <c r="BQ94" i="1"/>
  <c r="BR94" i="1" s="1"/>
  <c r="BR93" i="1"/>
  <c r="GI91" i="1"/>
  <c r="AX88" i="1"/>
  <c r="CC97" i="1"/>
  <c r="CC94" i="1"/>
  <c r="CD94" i="1" s="1"/>
  <c r="CD93" i="1"/>
  <c r="ET112" i="1"/>
  <c r="ES118" i="1"/>
  <c r="AA129" i="1"/>
  <c r="AA132" i="1"/>
  <c r="AB128" i="1"/>
  <c r="FT88" i="1"/>
  <c r="FT93" i="1"/>
  <c r="FU72" i="1"/>
  <c r="FW72" i="1"/>
  <c r="EA893" i="1"/>
  <c r="EA89" i="1"/>
  <c r="EB88" i="1"/>
  <c r="FL132" i="1"/>
  <c r="FL129" i="1"/>
  <c r="FM129" i="1" s="1"/>
  <c r="FM128" i="1"/>
  <c r="BT88" i="1"/>
  <c r="CJ93" i="1"/>
  <c r="CI97" i="1"/>
  <c r="CI94" i="1"/>
  <c r="CJ94" i="1" s="1"/>
  <c r="EM893" i="1"/>
  <c r="EN88" i="1"/>
  <c r="EM89" i="1"/>
  <c r="EV110" i="1"/>
  <c r="EU116" i="1"/>
  <c r="EW110" i="1"/>
  <c r="GP110" i="1" s="1"/>
  <c r="EU112" i="1"/>
  <c r="FX858" i="1"/>
  <c r="FX859" i="1" s="1"/>
  <c r="FY502" i="1"/>
  <c r="EW877" i="1"/>
  <c r="EX122" i="1"/>
  <c r="EW123" i="1"/>
  <c r="FZ214" i="1"/>
  <c r="GA214" i="1" s="1"/>
  <c r="GA213" i="1"/>
  <c r="FZ217" i="1"/>
  <c r="AJ214" i="1"/>
  <c r="CV214" i="1"/>
  <c r="AK132" i="1"/>
  <c r="AL128" i="1"/>
  <c r="AK129" i="1"/>
  <c r="AL129" i="1" s="1"/>
  <c r="EP210" i="1"/>
  <c r="M773" i="1"/>
  <c r="M521" i="1"/>
  <c r="N217" i="1"/>
  <c r="EK773" i="1"/>
  <c r="EK521" i="1"/>
  <c r="EK222" i="1"/>
  <c r="EK218" i="1"/>
  <c r="EL217" i="1"/>
  <c r="BG771" i="1"/>
  <c r="BG522" i="1"/>
  <c r="BH252" i="1"/>
  <c r="DS771" i="1"/>
  <c r="DS522" i="1"/>
  <c r="DS256" i="1"/>
  <c r="DS253" i="1"/>
  <c r="DT252" i="1"/>
  <c r="GT237" i="1"/>
  <c r="GS237" i="1"/>
  <c r="GH858" i="1"/>
  <c r="GH859" i="1" s="1"/>
  <c r="GI502" i="1"/>
  <c r="GC207" i="1"/>
  <c r="BK773" i="1"/>
  <c r="BK521" i="1"/>
  <c r="BL217" i="1"/>
  <c r="DX214" i="1"/>
  <c r="EW229" i="1"/>
  <c r="EX228" i="1"/>
  <c r="GB856" i="1"/>
  <c r="CZ125" i="1"/>
  <c r="AG773" i="1"/>
  <c r="AG521" i="1"/>
  <c r="AH217" i="1"/>
  <c r="BN214" i="1"/>
  <c r="CT214" i="1"/>
  <c r="DZ8" i="1"/>
  <c r="GB248" i="1"/>
  <c r="GC232" i="1"/>
  <c r="GB245" i="1"/>
  <c r="GQ319" i="1"/>
  <c r="GR319" i="1"/>
  <c r="Z249" i="1"/>
  <c r="BU771" i="1"/>
  <c r="BU522" i="1"/>
  <c r="BV252" i="1"/>
  <c r="CK771" i="1"/>
  <c r="CK522" i="1"/>
  <c r="CL252" i="1"/>
  <c r="EH249" i="1"/>
  <c r="FV317" i="1"/>
  <c r="FW316" i="1"/>
  <c r="FV324" i="1"/>
  <c r="EO526" i="1"/>
  <c r="EP525" i="1"/>
  <c r="AU772" i="1"/>
  <c r="AU525" i="1"/>
  <c r="AV324" i="1"/>
  <c r="CQ772" i="1"/>
  <c r="CQ525" i="1"/>
  <c r="CQ325" i="1"/>
  <c r="CR324" i="1"/>
  <c r="DX9" i="1"/>
  <c r="DW772" i="1"/>
  <c r="DW525" i="1"/>
  <c r="DW325" i="1"/>
  <c r="DX325" i="1" s="1"/>
  <c r="DW330" i="1"/>
  <c r="DX330" i="1" s="1"/>
  <c r="DX324" i="1"/>
  <c r="GF772" i="1"/>
  <c r="GF525" i="1"/>
  <c r="GF330" i="1"/>
  <c r="GF325" i="1"/>
  <c r="EU361" i="1"/>
  <c r="EW359" i="1"/>
  <c r="EW361" i="1" s="1"/>
  <c r="BC387" i="1"/>
  <c r="BD383" i="1"/>
  <c r="BC384" i="1"/>
  <c r="BD384" i="1" s="1"/>
  <c r="BT381" i="1"/>
  <c r="DO387" i="1"/>
  <c r="DP383" i="1"/>
  <c r="DO384" i="1"/>
  <c r="DP384" i="1" s="1"/>
  <c r="DO10" i="1"/>
  <c r="EF381" i="1"/>
  <c r="BE423" i="1"/>
  <c r="BF423" i="1" s="1"/>
  <c r="BE428" i="1"/>
  <c r="BE426" i="1"/>
  <c r="BF426" i="1" s="1"/>
  <c r="BF422" i="1"/>
  <c r="FS531" i="1"/>
  <c r="BB529" i="1"/>
  <c r="AT381" i="1"/>
  <c r="BY384" i="1"/>
  <c r="BZ384" i="1" s="1"/>
  <c r="BY387" i="1"/>
  <c r="BZ383" i="1"/>
  <c r="DF381" i="1"/>
  <c r="EK387" i="1"/>
  <c r="EK384" i="1"/>
  <c r="EL384" i="1" s="1"/>
  <c r="EL383" i="1"/>
  <c r="EK10" i="1"/>
  <c r="GU393" i="1"/>
  <c r="GV393" i="1"/>
  <c r="FU346" i="1"/>
  <c r="FT349" i="1"/>
  <c r="FU349" i="1" s="1"/>
  <c r="FT501" i="1"/>
  <c r="FH422" i="1"/>
  <c r="FI408" i="1"/>
  <c r="FH420" i="1"/>
  <c r="FI420" i="1" s="1"/>
  <c r="BP422" i="1"/>
  <c r="BO426" i="1"/>
  <c r="BO423" i="1"/>
  <c r="BP423" i="1" s="1"/>
  <c r="CF420" i="1"/>
  <c r="CV420" i="1"/>
  <c r="DL420" i="1"/>
  <c r="EB420" i="1"/>
  <c r="GQ434" i="1"/>
  <c r="GP436" i="1"/>
  <c r="GQ436" i="1" s="1"/>
  <c r="GR434" i="1"/>
  <c r="AF454" i="1"/>
  <c r="BL454" i="1"/>
  <c r="GL775" i="1"/>
  <c r="GL531" i="1"/>
  <c r="GM490" i="1"/>
  <c r="AN531" i="1"/>
  <c r="CO859" i="1"/>
  <c r="BJ577" i="1"/>
  <c r="AN577" i="1"/>
  <c r="AV577" i="1"/>
  <c r="BF686" i="1"/>
  <c r="GI669" i="1"/>
  <c r="GH670" i="1"/>
  <c r="FT687" i="1"/>
  <c r="FU687" i="1" s="1"/>
  <c r="FU685" i="1"/>
  <c r="GE708" i="1"/>
  <c r="GK702" i="1"/>
  <c r="FU669" i="1"/>
  <c r="FT670" i="1"/>
  <c r="GA707" i="1"/>
  <c r="DZ708" i="1"/>
  <c r="CF669" i="1"/>
  <c r="CE670" i="1"/>
  <c r="CK747" i="1"/>
  <c r="CL679" i="1"/>
  <c r="CO97" i="1"/>
  <c r="CO94" i="1"/>
  <c r="CP93" i="1"/>
  <c r="CO7" i="1"/>
  <c r="EX71" i="1"/>
  <c r="GP71" i="1"/>
  <c r="GN93" i="1"/>
  <c r="GO72" i="1"/>
  <c r="GN88" i="1"/>
  <c r="EI893" i="1"/>
  <c r="EI89" i="1"/>
  <c r="ER88" i="1"/>
  <c r="EJ88" i="1"/>
  <c r="C129" i="1"/>
  <c r="C132" i="1"/>
  <c r="C519" i="1" s="1"/>
  <c r="FD75" i="1"/>
  <c r="FE57" i="1"/>
  <c r="FD76" i="1"/>
  <c r="FE76" i="1" s="1"/>
  <c r="Q770" i="1"/>
  <c r="Q518" i="1"/>
  <c r="R97" i="1"/>
  <c r="AG97" i="1"/>
  <c r="AG94" i="1"/>
  <c r="AH94" i="1" s="1"/>
  <c r="AH93" i="1"/>
  <c r="DF88" i="1"/>
  <c r="DU97" i="1"/>
  <c r="DU94" i="1"/>
  <c r="DV93" i="1"/>
  <c r="DU7" i="1"/>
  <c r="T125" i="1"/>
  <c r="AZ125" i="1"/>
  <c r="CF125" i="1"/>
  <c r="DL125" i="1"/>
  <c r="EI129" i="1"/>
  <c r="EJ129" i="1" s="1"/>
  <c r="EI132" i="1"/>
  <c r="EJ128" i="1"/>
  <c r="EX51" i="1"/>
  <c r="AF93" i="1"/>
  <c r="AE97" i="1"/>
  <c r="AE94" i="1"/>
  <c r="AF94" i="1" s="1"/>
  <c r="BX88" i="1"/>
  <c r="CN93" i="1"/>
  <c r="CM94" i="1"/>
  <c r="CN94" i="1" s="1"/>
  <c r="CM97" i="1"/>
  <c r="CM7" i="1"/>
  <c r="DH125" i="1"/>
  <c r="EH218" i="1"/>
  <c r="GD217" i="1"/>
  <c r="GD214" i="1"/>
  <c r="GE214" i="1" s="1"/>
  <c r="GE213" i="1"/>
  <c r="FW211" i="1"/>
  <c r="EB211" i="1"/>
  <c r="AR214" i="1"/>
  <c r="DD214" i="1"/>
  <c r="EI217" i="1"/>
  <c r="EJ213" i="1"/>
  <c r="EI214" i="1"/>
  <c r="EJ214" i="1" s="1"/>
  <c r="EI8" i="1"/>
  <c r="EJ8" i="1" s="1"/>
  <c r="FW232" i="1"/>
  <c r="FV248" i="1"/>
  <c r="FV245" i="1"/>
  <c r="FW245" i="1" s="1"/>
  <c r="AO132" i="1"/>
  <c r="AP128" i="1"/>
  <c r="AO129" i="1"/>
  <c r="AP129" i="1" s="1"/>
  <c r="DA132" i="1"/>
  <c r="DB128" i="1"/>
  <c r="DA129" i="1"/>
  <c r="DB129" i="1" s="1"/>
  <c r="U773" i="1"/>
  <c r="U521" i="1"/>
  <c r="V217" i="1"/>
  <c r="FG214" i="1"/>
  <c r="T249" i="1"/>
  <c r="AZ249" i="1"/>
  <c r="CF249" i="1"/>
  <c r="DK771" i="1"/>
  <c r="DK522" i="1"/>
  <c r="DK253" i="1"/>
  <c r="DL252" i="1"/>
  <c r="DK256" i="1"/>
  <c r="FM499" i="1"/>
  <c r="FL502" i="1"/>
  <c r="FL852" i="1"/>
  <c r="FY211" i="1"/>
  <c r="FK211" i="1"/>
  <c r="AM773" i="1"/>
  <c r="AM521" i="1"/>
  <c r="AN217" i="1"/>
  <c r="CY773" i="1"/>
  <c r="CY521" i="1"/>
  <c r="CZ217" i="1"/>
  <c r="CY218" i="1"/>
  <c r="ES238" i="1"/>
  <c r="ET232" i="1"/>
  <c r="FP856" i="1"/>
  <c r="AU129" i="1"/>
  <c r="AV129" i="1" s="1"/>
  <c r="AU132" i="1"/>
  <c r="AV128" i="1"/>
  <c r="AP214" i="1"/>
  <c r="GI232" i="1"/>
  <c r="GH248" i="1"/>
  <c r="GH245" i="1"/>
  <c r="AU249" i="1"/>
  <c r="AV249" i="1" s="1"/>
  <c r="AU252" i="1"/>
  <c r="AV248" i="1"/>
  <c r="CB245" i="1"/>
  <c r="DP245" i="1"/>
  <c r="GX271" i="1"/>
  <c r="GW271" i="1"/>
  <c r="FG527" i="1"/>
  <c r="FF530" i="1"/>
  <c r="GU375" i="1"/>
  <c r="GV375" i="1"/>
  <c r="N248" i="1"/>
  <c r="AC771" i="1"/>
  <c r="AC522" i="1"/>
  <c r="AD252" i="1"/>
  <c r="EH330" i="1"/>
  <c r="CO289" i="1"/>
  <c r="CQ281" i="1"/>
  <c r="CV289" i="1"/>
  <c r="GD317" i="1"/>
  <c r="GE317" i="1" s="1"/>
  <c r="GE316" i="1"/>
  <c r="GD320" i="1"/>
  <c r="GD324" i="1"/>
  <c r="GG324" i="1" s="1"/>
  <c r="GD9" i="1"/>
  <c r="GE9" i="1" s="1"/>
  <c r="CS526" i="1"/>
  <c r="CT525" i="1"/>
  <c r="DI526" i="1"/>
  <c r="DJ525" i="1"/>
  <c r="FP384" i="1"/>
  <c r="FQ384" i="1" s="1"/>
  <c r="FQ383" i="1"/>
  <c r="AI772" i="1"/>
  <c r="AI525" i="1"/>
  <c r="FN324" i="1"/>
  <c r="AJ324" i="1"/>
  <c r="BP317" i="1"/>
  <c r="CF317" i="1"/>
  <c r="CV9" i="1"/>
  <c r="EB9" i="1"/>
  <c r="EB320" i="1"/>
  <c r="FD525" i="1"/>
  <c r="FE324" i="1"/>
  <c r="GK317" i="1"/>
  <c r="AR381" i="1"/>
  <c r="CM387" i="1"/>
  <c r="CN383" i="1"/>
  <c r="CM384" i="1"/>
  <c r="CM10" i="1"/>
  <c r="DD381" i="1"/>
  <c r="FN426" i="1"/>
  <c r="FN423" i="1"/>
  <c r="FO423" i="1" s="1"/>
  <c r="FO422" i="1"/>
  <c r="Z529" i="1"/>
  <c r="GL383" i="1"/>
  <c r="GM370" i="1"/>
  <c r="GL381" i="1"/>
  <c r="BN381" i="1"/>
  <c r="CS387" i="1"/>
  <c r="CS384" i="1"/>
  <c r="CT383" i="1"/>
  <c r="CS10" i="1"/>
  <c r="DZ381" i="1"/>
  <c r="AK423" i="1"/>
  <c r="AL423" i="1" s="1"/>
  <c r="AK428" i="1"/>
  <c r="AL422" i="1"/>
  <c r="DM423" i="1"/>
  <c r="DN423" i="1" s="1"/>
  <c r="DM426" i="1"/>
  <c r="DN422" i="1"/>
  <c r="AW859" i="1"/>
  <c r="GQ406" i="1"/>
  <c r="GN800" i="1"/>
  <c r="GN422" i="1"/>
  <c r="GO408" i="1"/>
  <c r="GN420" i="1"/>
  <c r="BH531" i="1"/>
  <c r="W428" i="1"/>
  <c r="X422" i="1"/>
  <c r="W423" i="1"/>
  <c r="AN420" i="1"/>
  <c r="CJ422" i="1"/>
  <c r="CI423" i="1"/>
  <c r="CI426" i="1"/>
  <c r="CZ422" i="1"/>
  <c r="CY423" i="1"/>
  <c r="CY426" i="1"/>
  <c r="DP422" i="1"/>
  <c r="DO426" i="1"/>
  <c r="DO423" i="1"/>
  <c r="EF422" i="1"/>
  <c r="EE426" i="1"/>
  <c r="EE423" i="1"/>
  <c r="S529" i="1"/>
  <c r="T457" i="1"/>
  <c r="AY529" i="1"/>
  <c r="BP453" i="1"/>
  <c r="L531" i="1"/>
  <c r="FT422" i="1"/>
  <c r="FU408" i="1"/>
  <c r="FT420" i="1"/>
  <c r="FU420" i="1" s="1"/>
  <c r="FW449" i="1"/>
  <c r="EL508" i="1"/>
  <c r="BI457" i="1"/>
  <c r="BI454" i="1"/>
  <c r="BJ454" i="1" s="1"/>
  <c r="BJ453" i="1"/>
  <c r="DR531" i="1"/>
  <c r="EH493" i="1"/>
  <c r="DY859" i="1"/>
  <c r="FY586" i="1"/>
  <c r="ER576" i="1"/>
  <c r="CZ577" i="1"/>
  <c r="EF577" i="1"/>
  <c r="GL619" i="1"/>
  <c r="GM619" i="1" s="1"/>
  <c r="GM616" i="1"/>
  <c r="EM613" i="1"/>
  <c r="EN632" i="1"/>
  <c r="EO632" i="1"/>
  <c r="EX611" i="1"/>
  <c r="BF687" i="1"/>
  <c r="EU658" i="1"/>
  <c r="EV658" i="1" s="1"/>
  <c r="EW656" i="1"/>
  <c r="EV656" i="1"/>
  <c r="GA717" i="1"/>
  <c r="AC687" i="1"/>
  <c r="AL687" i="1" s="1"/>
  <c r="BI687" i="1"/>
  <c r="BJ687" i="1" s="1"/>
  <c r="FQ704" i="1"/>
  <c r="GC703" i="1"/>
  <c r="GO703" i="1"/>
  <c r="EV668" i="1"/>
  <c r="AB670" i="1"/>
  <c r="BH670" i="1"/>
  <c r="DD670" i="1"/>
  <c r="EJ670" i="1"/>
  <c r="CM747" i="1"/>
  <c r="CN679" i="1"/>
  <c r="CN705" i="1"/>
  <c r="CV701" i="1"/>
  <c r="GG679" i="1"/>
  <c r="BT669" i="1"/>
  <c r="BS670" i="1"/>
  <c r="BT670" i="1" s="1"/>
  <c r="CO747" i="1"/>
  <c r="CP679" i="1"/>
  <c r="FQ705" i="1"/>
  <c r="GI679" i="1"/>
  <c r="AN686" i="1"/>
  <c r="BD686" i="1"/>
  <c r="BT686" i="1"/>
  <c r="DP686" i="1"/>
  <c r="GO705" i="1"/>
  <c r="DW687" i="1"/>
  <c r="DX687" i="1" s="1"/>
  <c r="DX685" i="1"/>
  <c r="CX679" i="1"/>
  <c r="GM85" i="1"/>
  <c r="GJ859" i="1"/>
  <c r="FU214" i="1"/>
  <c r="GB773" i="1"/>
  <c r="GB521" i="1"/>
  <c r="GB218" i="1"/>
  <c r="GC217" i="1"/>
  <c r="DR249" i="1"/>
  <c r="AS771" i="1"/>
  <c r="AS522" i="1"/>
  <c r="AT252" i="1"/>
  <c r="BB129" i="1"/>
  <c r="BR128" i="1"/>
  <c r="CX128" i="1"/>
  <c r="DN128" i="1"/>
  <c r="ED128" i="1"/>
  <c r="FR772" i="1"/>
  <c r="FR525" i="1"/>
  <c r="FS324" i="1"/>
  <c r="FT324" i="1"/>
  <c r="FT317" i="1"/>
  <c r="FU317" i="1" s="1"/>
  <c r="FU316" i="1"/>
  <c r="BY428" i="1"/>
  <c r="CP423" i="1"/>
  <c r="DF423" i="1"/>
  <c r="DV423" i="1"/>
  <c r="AB94" i="1"/>
  <c r="DO769" i="1"/>
  <c r="DO519" i="1"/>
  <c r="DO136" i="1"/>
  <c r="DO133" i="1"/>
  <c r="EE769" i="1"/>
  <c r="EE519" i="1"/>
  <c r="EE136" i="1"/>
  <c r="EE133" i="1"/>
  <c r="EF132" i="1"/>
  <c r="DT214" i="1"/>
  <c r="CP249" i="1"/>
  <c r="GP413" i="1"/>
  <c r="AH686" i="1"/>
  <c r="CG97" i="1"/>
  <c r="CG94" i="1"/>
  <c r="CH93" i="1"/>
  <c r="AM182" i="1"/>
  <c r="AM193" i="1" s="1"/>
  <c r="AN193" i="1" s="1"/>
  <c r="AM179" i="1"/>
  <c r="AO164" i="1"/>
  <c r="AN169" i="1"/>
  <c r="AM170" i="1"/>
  <c r="AN170" i="1" s="1"/>
  <c r="FN214" i="1"/>
  <c r="FO214" i="1" s="1"/>
  <c r="FO213" i="1"/>
  <c r="DI97" i="1"/>
  <c r="DI94" i="1"/>
  <c r="DJ94" i="1" s="1"/>
  <c r="DI7" i="1"/>
  <c r="DJ93" i="1"/>
  <c r="K129" i="1"/>
  <c r="L129" i="1" s="1"/>
  <c r="K132" i="1"/>
  <c r="L128" i="1"/>
  <c r="AQ129" i="1"/>
  <c r="AR129" i="1" s="1"/>
  <c r="AQ132" i="1"/>
  <c r="AR128" i="1"/>
  <c r="BW129" i="1"/>
  <c r="BX129" i="1" s="1"/>
  <c r="BW132" i="1"/>
  <c r="BX128" i="1"/>
  <c r="DC129" i="1"/>
  <c r="DD129" i="1" s="1"/>
  <c r="DC132" i="1"/>
  <c r="DD128" i="1"/>
  <c r="EO523" i="1"/>
  <c r="EP521" i="1"/>
  <c r="GD93" i="1"/>
  <c r="GD88" i="1"/>
  <c r="GE88" i="1" s="1"/>
  <c r="GE72" i="1"/>
  <c r="GS82" i="1"/>
  <c r="GT82" i="1"/>
  <c r="C97" i="1"/>
  <c r="C518" i="1" s="1"/>
  <c r="C520" i="1" s="1"/>
  <c r="C94" i="1"/>
  <c r="CQ97" i="1"/>
  <c r="CR93" i="1"/>
  <c r="CQ94" i="1"/>
  <c r="CR94" i="1" s="1"/>
  <c r="CQ7" i="1"/>
  <c r="GD129" i="1"/>
  <c r="GE129" i="1" s="1"/>
  <c r="GE128" i="1"/>
  <c r="GD132" i="1"/>
  <c r="N129" i="1"/>
  <c r="BY132" i="1"/>
  <c r="BZ128" i="1"/>
  <c r="BY129" i="1"/>
  <c r="BZ129" i="1" s="1"/>
  <c r="EK132" i="1"/>
  <c r="EL128" i="1"/>
  <c r="EK129" i="1"/>
  <c r="EL129" i="1" s="1"/>
  <c r="GN248" i="1"/>
  <c r="GO232" i="1"/>
  <c r="GN245" i="1"/>
  <c r="GO245" i="1" s="1"/>
  <c r="BW771" i="1"/>
  <c r="BW522" i="1"/>
  <c r="BX252" i="1"/>
  <c r="O773" i="1"/>
  <c r="O521" i="1"/>
  <c r="P217" i="1"/>
  <c r="EM773" i="1"/>
  <c r="EM521" i="1"/>
  <c r="EN217" i="1"/>
  <c r="EM218" i="1"/>
  <c r="EM222" i="1"/>
  <c r="CI129" i="1"/>
  <c r="CJ129" i="1" s="1"/>
  <c r="CI132" i="1"/>
  <c r="CJ128" i="1"/>
  <c r="DI773" i="1"/>
  <c r="DI521" i="1"/>
  <c r="DI218" i="1"/>
  <c r="DI222" i="1"/>
  <c r="DJ217" i="1"/>
  <c r="BS249" i="1"/>
  <c r="BT249" i="1" s="1"/>
  <c r="BS252" i="1"/>
  <c r="BT248" i="1"/>
  <c r="CO526" i="1"/>
  <c r="CP525" i="1"/>
  <c r="AH349" i="1"/>
  <c r="AG775" i="1"/>
  <c r="AW771" i="1"/>
  <c r="AW522" i="1"/>
  <c r="AX252" i="1"/>
  <c r="CS771" i="1"/>
  <c r="CS522" i="1"/>
  <c r="CT252" i="1"/>
  <c r="CS253" i="1"/>
  <c r="DA526" i="1"/>
  <c r="DB525" i="1"/>
  <c r="FQ311" i="1"/>
  <c r="FP316" i="1"/>
  <c r="AG526" i="1"/>
  <c r="AH525" i="1"/>
  <c r="AM772" i="1"/>
  <c r="AM525" i="1"/>
  <c r="AN324" i="1"/>
  <c r="CZ320" i="1"/>
  <c r="EE772" i="1"/>
  <c r="EE525" i="1"/>
  <c r="EE325" i="1"/>
  <c r="EF325" i="1" s="1"/>
  <c r="EE330" i="1"/>
  <c r="EF330" i="1" s="1"/>
  <c r="EF324" i="1"/>
  <c r="FH525" i="1"/>
  <c r="FI324" i="1"/>
  <c r="GO317" i="1"/>
  <c r="CQ387" i="1"/>
  <c r="CR383" i="1"/>
  <c r="CQ384" i="1"/>
  <c r="CR384" i="1" s="1"/>
  <c r="CQ10" i="1"/>
  <c r="FV383" i="1"/>
  <c r="FW370" i="1"/>
  <c r="FY370" i="1"/>
  <c r="FV381" i="1"/>
  <c r="V529" i="1"/>
  <c r="BA384" i="1"/>
  <c r="BB384" i="1" s="1"/>
  <c r="BA387" i="1"/>
  <c r="BB383" i="1"/>
  <c r="DM384" i="1"/>
  <c r="DN384" i="1" s="1"/>
  <c r="DM387" i="1"/>
  <c r="DN383" i="1"/>
  <c r="DM10" i="1"/>
  <c r="BI426" i="1"/>
  <c r="BI423" i="1"/>
  <c r="BJ422" i="1"/>
  <c r="AQ428" i="1"/>
  <c r="AR422" i="1"/>
  <c r="AQ423" i="1"/>
  <c r="AR423" i="1" s="1"/>
  <c r="W529" i="1"/>
  <c r="X457" i="1"/>
  <c r="BC529" i="1"/>
  <c r="BD457" i="1"/>
  <c r="AF531" i="1"/>
  <c r="FZ800" i="1"/>
  <c r="GA408" i="1"/>
  <c r="FZ422" i="1"/>
  <c r="FZ420" i="1"/>
  <c r="FO449" i="1"/>
  <c r="FN453" i="1"/>
  <c r="ET493" i="1"/>
  <c r="EL493" i="1"/>
  <c r="GE575" i="1"/>
  <c r="CD577" i="1"/>
  <c r="FW685" i="1"/>
  <c r="FV687" i="1"/>
  <c r="FW687" i="1" s="1"/>
  <c r="FW669" i="1"/>
  <c r="FV670" i="1"/>
  <c r="FW670" i="1" s="1"/>
  <c r="FS669" i="1"/>
  <c r="FR670" i="1"/>
  <c r="FS670" i="1" s="1"/>
  <c r="GG669" i="1"/>
  <c r="GF670" i="1"/>
  <c r="CR662" i="1"/>
  <c r="CZ662" i="1"/>
  <c r="CQ708" i="1"/>
  <c r="CR708" i="1" s="1"/>
  <c r="CQ686" i="1"/>
  <c r="CR686" i="1" s="1"/>
  <c r="CQ685" i="1"/>
  <c r="CR684" i="1"/>
  <c r="CS686" i="1"/>
  <c r="CT686" i="1" s="1"/>
  <c r="GL708" i="1"/>
  <c r="GL686" i="1"/>
  <c r="GM684" i="1"/>
  <c r="BX669" i="1"/>
  <c r="BW670" i="1"/>
  <c r="BX670" i="1" s="1"/>
  <c r="FU705" i="1"/>
  <c r="BX708" i="1"/>
  <c r="AE687" i="1"/>
  <c r="AF687" i="1" s="1"/>
  <c r="AF685" i="1"/>
  <c r="BK687" i="1"/>
  <c r="BL687" i="1" s="1"/>
  <c r="BL685" i="1"/>
  <c r="CA687" i="1"/>
  <c r="CB687" i="1" s="1"/>
  <c r="CB685" i="1"/>
  <c r="EM687" i="1"/>
  <c r="EN687" i="1" s="1"/>
  <c r="EN685" i="1"/>
  <c r="BO687" i="1"/>
  <c r="BP687" i="1" s="1"/>
  <c r="BP685" i="1"/>
  <c r="BY97" i="1"/>
  <c r="BY94" i="1"/>
  <c r="BZ94" i="1" s="1"/>
  <c r="BZ93" i="1"/>
  <c r="GG85" i="1"/>
  <c r="EX30" i="1"/>
  <c r="EW31" i="1"/>
  <c r="GP30" i="1"/>
  <c r="AC770" i="1"/>
  <c r="AC518" i="1"/>
  <c r="AD97" i="1"/>
  <c r="DM97" i="1"/>
  <c r="DM94" i="1"/>
  <c r="DM7" i="1"/>
  <c r="DN93" i="1"/>
  <c r="DS129" i="1"/>
  <c r="DS132" i="1"/>
  <c r="DT128" i="1"/>
  <c r="GC209" i="1"/>
  <c r="ET126" i="1"/>
  <c r="ES119" i="1"/>
  <c r="EU126" i="1"/>
  <c r="BP93" i="1"/>
  <c r="BO97" i="1"/>
  <c r="BO94" i="1"/>
  <c r="BP94" i="1" s="1"/>
  <c r="EG893" i="1"/>
  <c r="EH88" i="1"/>
  <c r="EG89" i="1"/>
  <c r="GO213" i="1"/>
  <c r="E132" i="1"/>
  <c r="E519" i="1" s="1"/>
  <c r="E520" i="1" s="1"/>
  <c r="E129" i="1"/>
  <c r="FV214" i="1"/>
  <c r="FW214" i="1" s="1"/>
  <c r="FW213" i="1"/>
  <c r="FV217" i="1"/>
  <c r="AB214" i="1"/>
  <c r="CN214" i="1"/>
  <c r="EU236" i="1"/>
  <c r="EV236" i="1" s="1"/>
  <c r="EW230" i="1"/>
  <c r="EV230" i="1"/>
  <c r="BM132" i="1"/>
  <c r="BN128" i="1"/>
  <c r="BM129" i="1"/>
  <c r="DY132" i="1"/>
  <c r="DZ128" i="1"/>
  <c r="DY129" i="1"/>
  <c r="EC773" i="1"/>
  <c r="EC521" i="1"/>
  <c r="EC222" i="1"/>
  <c r="ED222" i="1" s="1"/>
  <c r="EC218" i="1"/>
  <c r="ED218" i="1" s="1"/>
  <c r="ED217" i="1"/>
  <c r="FP248" i="1"/>
  <c r="FQ232" i="1"/>
  <c r="FP245" i="1"/>
  <c r="FQ245" i="1" s="1"/>
  <c r="GD248" i="1"/>
  <c r="GC211" i="1"/>
  <c r="W773" i="1"/>
  <c r="W521" i="1"/>
  <c r="X217" i="1"/>
  <c r="CJ214" i="1"/>
  <c r="DP8" i="1"/>
  <c r="AF125" i="1"/>
  <c r="BK129" i="1"/>
  <c r="BL129" i="1" s="1"/>
  <c r="BK132" i="1"/>
  <c r="BL128" i="1"/>
  <c r="FN181" i="1"/>
  <c r="FO179" i="1"/>
  <c r="FN196" i="1"/>
  <c r="FO196" i="1" s="1"/>
  <c r="FN195" i="1"/>
  <c r="CK773" i="1"/>
  <c r="CK521" i="1"/>
  <c r="CL217" i="1"/>
  <c r="DR8" i="1"/>
  <c r="FR787" i="1"/>
  <c r="FS242" i="1"/>
  <c r="AK771" i="1"/>
  <c r="AK522" i="1"/>
  <c r="AL252" i="1"/>
  <c r="BQ252" i="1"/>
  <c r="BZ252" i="1" s="1"/>
  <c r="BR248" i="1"/>
  <c r="BQ249" i="1"/>
  <c r="BZ249" i="1" s="1"/>
  <c r="R527" i="1"/>
  <c r="FY311" i="1"/>
  <c r="FX316" i="1"/>
  <c r="FL527" i="1"/>
  <c r="FM387" i="1"/>
  <c r="FT387" i="1"/>
  <c r="FT384" i="1"/>
  <c r="FU384" i="1" s="1"/>
  <c r="FU383" i="1"/>
  <c r="BG772" i="1"/>
  <c r="BG525" i="1"/>
  <c r="BH324" i="1"/>
  <c r="BW772" i="1"/>
  <c r="BW525" i="1"/>
  <c r="BX324" i="1"/>
  <c r="DT320" i="1"/>
  <c r="GB772" i="1"/>
  <c r="GB525" i="1"/>
  <c r="GB325" i="1"/>
  <c r="GC324" i="1"/>
  <c r="CE387" i="1"/>
  <c r="CF383" i="1"/>
  <c r="CE384" i="1"/>
  <c r="FM408" i="1"/>
  <c r="FO343" i="1"/>
  <c r="FQ343" i="1"/>
  <c r="GD383" i="1"/>
  <c r="GE370" i="1"/>
  <c r="GD381" i="1"/>
  <c r="GE381" i="1" s="1"/>
  <c r="CK384" i="1"/>
  <c r="CK387" i="1"/>
  <c r="CL383" i="1"/>
  <c r="BA426" i="1"/>
  <c r="BB426" i="1" s="1"/>
  <c r="BA423" i="1"/>
  <c r="BB423" i="1" s="1"/>
  <c r="BA428" i="1"/>
  <c r="BB422" i="1"/>
  <c r="GG490" i="1"/>
  <c r="EQ915" i="1"/>
  <c r="EQ403" i="1"/>
  <c r="ER403" i="1" s="1"/>
  <c r="ER402" i="1"/>
  <c r="FY422" i="1"/>
  <c r="FX426" i="1"/>
  <c r="FX423" i="1"/>
  <c r="FE529" i="1"/>
  <c r="FU451" i="1"/>
  <c r="FW451" i="1"/>
  <c r="O428" i="1"/>
  <c r="P422" i="1"/>
  <c r="O423" i="1"/>
  <c r="P423" i="1" s="1"/>
  <c r="CB422" i="1"/>
  <c r="CA423" i="1"/>
  <c r="CA426" i="1"/>
  <c r="CQ426" i="1"/>
  <c r="CR422" i="1"/>
  <c r="CQ423" i="1"/>
  <c r="CR423" i="1" s="1"/>
  <c r="DH422" i="1"/>
  <c r="DG426" i="1"/>
  <c r="DG423" i="1"/>
  <c r="DH423" i="1" s="1"/>
  <c r="DX422" i="1"/>
  <c r="DW426" i="1"/>
  <c r="DW423" i="1"/>
  <c r="DX423" i="1" s="1"/>
  <c r="EN422" i="1"/>
  <c r="EM426" i="1"/>
  <c r="EM423" i="1"/>
  <c r="EN423" i="1" s="1"/>
  <c r="C454" i="1"/>
  <c r="L454" i="1" s="1"/>
  <c r="C457" i="1"/>
  <c r="C529" i="1" s="1"/>
  <c r="C530" i="1" s="1"/>
  <c r="C533" i="1" s="1"/>
  <c r="C536" i="1" s="1"/>
  <c r="L453" i="1"/>
  <c r="AR453" i="1"/>
  <c r="AQ457" i="1"/>
  <c r="AQ454" i="1"/>
  <c r="AR454" i="1" s="1"/>
  <c r="GK11" i="1"/>
  <c r="GI11" i="1"/>
  <c r="FN531" i="1"/>
  <c r="FO490" i="1"/>
  <c r="BQ529" i="1"/>
  <c r="BR457" i="1"/>
  <c r="DJ531" i="1"/>
  <c r="EW802" i="1"/>
  <c r="EW763" i="1"/>
  <c r="EW551" i="1"/>
  <c r="EU843" i="1"/>
  <c r="EU822" i="1"/>
  <c r="EU846" i="1"/>
  <c r="DR577" i="1"/>
  <c r="FK669" i="1"/>
  <c r="FJ670" i="1"/>
  <c r="ES669" i="1"/>
  <c r="ET669" i="1" s="1"/>
  <c r="ET667" i="1"/>
  <c r="GA669" i="1"/>
  <c r="CG747" i="1"/>
  <c r="CH679" i="1"/>
  <c r="GE685" i="1"/>
  <c r="GD687" i="1"/>
  <c r="GG701" i="1"/>
  <c r="GK669" i="1"/>
  <c r="GJ670" i="1"/>
  <c r="GK670" i="1" s="1"/>
  <c r="GO679" i="1"/>
  <c r="CB669" i="1"/>
  <c r="CA670" i="1"/>
  <c r="CB670" i="1" s="1"/>
  <c r="AJ686" i="1"/>
  <c r="CV686" i="1"/>
  <c r="DL686" i="1"/>
  <c r="EF93" i="1"/>
  <c r="EE97" i="1"/>
  <c r="EE94" i="1"/>
  <c r="EF94" i="1" s="1"/>
  <c r="EE7" i="1"/>
  <c r="FR93" i="1"/>
  <c r="FS72" i="1"/>
  <c r="FR88" i="1"/>
  <c r="FS88" i="1" s="1"/>
  <c r="FH132" i="1"/>
  <c r="FH129" i="1"/>
  <c r="FI128" i="1"/>
  <c r="GN132" i="1"/>
  <c r="GN129" i="1"/>
  <c r="GO129" i="1" s="1"/>
  <c r="GO128" i="1"/>
  <c r="AK197" i="1"/>
  <c r="AL197" i="1" s="1"/>
  <c r="AL195" i="1"/>
  <c r="AW97" i="1"/>
  <c r="AW94" i="1"/>
  <c r="AX94" i="1" s="1"/>
  <c r="AX93" i="1"/>
  <c r="DR88" i="1"/>
  <c r="ES120" i="1"/>
  <c r="ET120" i="1" s="1"/>
  <c r="ET115" i="1"/>
  <c r="GL93" i="1"/>
  <c r="GL88" i="1"/>
  <c r="GM72" i="1"/>
  <c r="EB93" i="1"/>
  <c r="EA97" i="1"/>
  <c r="EA94" i="1"/>
  <c r="EB94" i="1" s="1"/>
  <c r="EA7" i="1"/>
  <c r="ER118" i="1"/>
  <c r="BD88" i="1"/>
  <c r="BT93" i="1"/>
  <c r="BS97" i="1"/>
  <c r="BS94" i="1"/>
  <c r="BT94" i="1" s="1"/>
  <c r="DP88" i="1"/>
  <c r="EN93" i="1"/>
  <c r="EM97" i="1"/>
  <c r="EM94" i="1"/>
  <c r="EN94" i="1" s="1"/>
  <c r="EM7" i="1"/>
  <c r="DG129" i="1"/>
  <c r="DH129" i="1" s="1"/>
  <c r="DG132" i="1"/>
  <c r="DH128" i="1"/>
  <c r="ET116" i="1"/>
  <c r="GN858" i="1"/>
  <c r="GN859" i="1" s="1"/>
  <c r="GO502" i="1"/>
  <c r="EV123" i="1"/>
  <c r="EU115" i="1"/>
  <c r="FQ184" i="1"/>
  <c r="BO773" i="1"/>
  <c r="BO521" i="1"/>
  <c r="BP217" i="1"/>
  <c r="GR227" i="1"/>
  <c r="GQ227" i="1"/>
  <c r="V129" i="1"/>
  <c r="BZ214" i="1"/>
  <c r="DF8" i="1"/>
  <c r="GF248" i="1"/>
  <c r="GG232" i="1"/>
  <c r="GF245" i="1"/>
  <c r="GG245" i="1" s="1"/>
  <c r="AA771" i="1"/>
  <c r="AA522" i="1"/>
  <c r="AB252" i="1"/>
  <c r="CM771" i="1"/>
  <c r="CM522" i="1"/>
  <c r="CN252" i="1"/>
  <c r="CM253" i="1"/>
  <c r="GE242" i="1"/>
  <c r="GT108" i="1"/>
  <c r="GS108" i="1"/>
  <c r="GR109" i="1"/>
  <c r="FF132" i="1"/>
  <c r="FF129" i="1"/>
  <c r="FG129" i="1" s="1"/>
  <c r="FG128" i="1"/>
  <c r="GC126" i="1"/>
  <c r="GI534" i="1"/>
  <c r="AE773" i="1"/>
  <c r="AE521" i="1"/>
  <c r="AF217" i="1"/>
  <c r="CQ773" i="1"/>
  <c r="CQ521" i="1"/>
  <c r="CR217" i="1"/>
  <c r="CQ218" i="1"/>
  <c r="BT125" i="1"/>
  <c r="CY129" i="1"/>
  <c r="CZ129" i="1" s="1"/>
  <c r="CY132" i="1"/>
  <c r="CZ128" i="1"/>
  <c r="AH214" i="1"/>
  <c r="DZ214" i="1"/>
  <c r="W249" i="1"/>
  <c r="X249" i="1" s="1"/>
  <c r="W252" i="1"/>
  <c r="X248" i="1"/>
  <c r="EW903" i="1"/>
  <c r="EX209" i="1"/>
  <c r="EW210" i="1"/>
  <c r="EX210" i="1" s="1"/>
  <c r="FD252" i="1"/>
  <c r="FD249" i="1"/>
  <c r="FE249" i="1" s="1"/>
  <c r="FE248" i="1"/>
  <c r="DU526" i="1"/>
  <c r="DV525" i="1"/>
  <c r="AS501" i="1"/>
  <c r="AT346" i="1"/>
  <c r="AS349" i="1"/>
  <c r="BB346" i="1"/>
  <c r="BE771" i="1"/>
  <c r="BE522" i="1"/>
  <c r="BF252" i="1"/>
  <c r="DQ526" i="1"/>
  <c r="DR525" i="1"/>
  <c r="CW526" i="1"/>
  <c r="CX525" i="1"/>
  <c r="AC530" i="1"/>
  <c r="AD527" i="1"/>
  <c r="AZ501" i="1"/>
  <c r="BH501" i="1"/>
  <c r="AY502" i="1"/>
  <c r="AE772" i="1"/>
  <c r="AE525" i="1"/>
  <c r="AF324" i="1"/>
  <c r="BL317" i="1"/>
  <c r="CB317" i="1"/>
  <c r="DG772" i="1"/>
  <c r="DG525" i="1"/>
  <c r="DG325" i="1"/>
  <c r="DG330" i="1"/>
  <c r="DH324" i="1"/>
  <c r="DX317" i="1"/>
  <c r="EN320" i="1"/>
  <c r="ES369" i="1"/>
  <c r="ES368" i="1"/>
  <c r="ES364" i="1"/>
  <c r="ES374" i="1"/>
  <c r="ES366" i="1"/>
  <c r="ES377" i="1"/>
  <c r="AM387" i="1"/>
  <c r="AN383" i="1"/>
  <c r="AM384" i="1"/>
  <c r="AN384" i="1" s="1"/>
  <c r="BD381" i="1"/>
  <c r="CY387" i="1"/>
  <c r="CZ383" i="1"/>
  <c r="CY384" i="1"/>
  <c r="CZ384" i="1" s="1"/>
  <c r="CY10" i="1"/>
  <c r="DP381" i="1"/>
  <c r="Y423" i="1"/>
  <c r="Z423" i="1" s="1"/>
  <c r="Y428" i="1"/>
  <c r="Z422" i="1"/>
  <c r="FK531" i="1"/>
  <c r="AE527" i="1"/>
  <c r="AF387" i="1"/>
  <c r="BI384" i="1"/>
  <c r="BJ384" i="1" s="1"/>
  <c r="BI387" i="1"/>
  <c r="BJ383" i="1"/>
  <c r="CP381" i="1"/>
  <c r="DU384" i="1"/>
  <c r="DV384" i="1" s="1"/>
  <c r="DU387" i="1"/>
  <c r="DV383" i="1"/>
  <c r="DU10" i="1"/>
  <c r="AS528" i="1"/>
  <c r="AT428" i="1"/>
  <c r="GG487" i="1"/>
  <c r="AY428" i="1"/>
  <c r="AZ422" i="1"/>
  <c r="AY426" i="1"/>
  <c r="AZ426" i="1" s="1"/>
  <c r="AY423" i="1"/>
  <c r="AZ423" i="1" s="1"/>
  <c r="BP420" i="1"/>
  <c r="P454" i="1"/>
  <c r="AE529" i="1"/>
  <c r="AF457" i="1"/>
  <c r="BK529" i="1"/>
  <c r="BL457" i="1"/>
  <c r="X531" i="1"/>
  <c r="FS449" i="1"/>
  <c r="FR453" i="1"/>
  <c r="BV454" i="1"/>
  <c r="BR531" i="1"/>
  <c r="CH531" i="1"/>
  <c r="CX531" i="1"/>
  <c r="BY859" i="1"/>
  <c r="EK859" i="1"/>
  <c r="FK577" i="1"/>
  <c r="GA577" i="1"/>
  <c r="GM577" i="1"/>
  <c r="DL577" i="1"/>
  <c r="C575" i="1"/>
  <c r="C577" i="1" s="1"/>
  <c r="L570" i="1"/>
  <c r="K575" i="1" s="1"/>
  <c r="DZ577" i="1"/>
  <c r="EX665" i="1"/>
  <c r="GP665" i="1"/>
  <c r="CX662" i="1"/>
  <c r="AP687" i="1"/>
  <c r="GE669" i="1"/>
  <c r="GD670" i="1"/>
  <c r="GE670" i="1" s="1"/>
  <c r="FU708" i="1"/>
  <c r="FO701" i="1"/>
  <c r="AN670" i="1"/>
  <c r="CJ670" i="1"/>
  <c r="DP670" i="1"/>
  <c r="CI747" i="1"/>
  <c r="CJ679" i="1"/>
  <c r="CZ705" i="1"/>
  <c r="GC679" i="1"/>
  <c r="FZ705" i="1"/>
  <c r="GA705" i="1" s="1"/>
  <c r="GJ685" i="1"/>
  <c r="DZ685" i="1"/>
  <c r="DY687" i="1"/>
  <c r="DZ687" i="1" s="1"/>
  <c r="GJ708" i="1"/>
  <c r="GK708" i="1" s="1"/>
  <c r="GK684" i="1"/>
  <c r="GJ686" i="1"/>
  <c r="GK686" i="1" s="1"/>
  <c r="EP708" i="1"/>
  <c r="AY687" i="1"/>
  <c r="AZ687" i="1" s="1"/>
  <c r="AZ685" i="1"/>
  <c r="EA687" i="1"/>
  <c r="EB687" i="1" s="1"/>
  <c r="EB685" i="1"/>
  <c r="EC97" i="1"/>
  <c r="EC94" i="1"/>
  <c r="ED94" i="1" s="1"/>
  <c r="EC7" i="1"/>
  <c r="ED93" i="1"/>
  <c r="EJ93" i="1"/>
  <c r="EI97" i="1"/>
  <c r="EI94" i="1"/>
  <c r="EJ94" i="1" s="1"/>
  <c r="EI7" i="1"/>
  <c r="GD856" i="1"/>
  <c r="G520" i="1"/>
  <c r="CL88" i="1"/>
  <c r="DE97" i="1"/>
  <c r="DE94" i="1"/>
  <c r="DF94" i="1" s="1"/>
  <c r="DF93" i="1"/>
  <c r="DE7" i="1"/>
  <c r="S129" i="1"/>
  <c r="T129" i="1" s="1"/>
  <c r="S132" i="1"/>
  <c r="T128" i="1"/>
  <c r="AY129" i="1"/>
  <c r="AZ129" i="1" s="1"/>
  <c r="AY132" i="1"/>
  <c r="AZ128" i="1"/>
  <c r="CE129" i="1"/>
  <c r="CF129" i="1" s="1"/>
  <c r="CE132" i="1"/>
  <c r="CF128" i="1"/>
  <c r="DK129" i="1"/>
  <c r="DL129" i="1" s="1"/>
  <c r="DK132" i="1"/>
  <c r="DL128" i="1"/>
  <c r="FF43" i="1"/>
  <c r="FF46" i="1"/>
  <c r="FF45" i="1"/>
  <c r="FF44" i="1"/>
  <c r="FF38" i="1"/>
  <c r="C29" i="1"/>
  <c r="FG29" i="1"/>
  <c r="FZ93" i="1"/>
  <c r="GA72" i="1"/>
  <c r="FZ88" i="1"/>
  <c r="GA88" i="1" s="1"/>
  <c r="EK893" i="1"/>
  <c r="EK89" i="1"/>
  <c r="EL88" i="1"/>
  <c r="ET88" i="1"/>
  <c r="FR856" i="1"/>
  <c r="BH88" i="1"/>
  <c r="BX93" i="1"/>
  <c r="BW97" i="1"/>
  <c r="BW94" i="1"/>
  <c r="BX94" i="1" s="1"/>
  <c r="DT88" i="1"/>
  <c r="EH222" i="1"/>
  <c r="GV202" i="1"/>
  <c r="GU202" i="1"/>
  <c r="FU184" i="1"/>
  <c r="BW773" i="1"/>
  <c r="BW521" i="1"/>
  <c r="BX217" i="1"/>
  <c r="Z129" i="1"/>
  <c r="BE132" i="1"/>
  <c r="BF128" i="1"/>
  <c r="BE129" i="1"/>
  <c r="BF129" i="1" s="1"/>
  <c r="DQ132" i="1"/>
  <c r="DR128" i="1"/>
  <c r="DQ129" i="1"/>
  <c r="DR129" i="1" s="1"/>
  <c r="CH214" i="1"/>
  <c r="DN8" i="1"/>
  <c r="GA232" i="1"/>
  <c r="FZ248" i="1"/>
  <c r="FZ8" i="1" s="1"/>
  <c r="FZ245" i="1"/>
  <c r="GA245" i="1" s="1"/>
  <c r="DL249" i="1"/>
  <c r="GM240" i="1"/>
  <c r="BT214" i="1"/>
  <c r="CY8" i="1"/>
  <c r="CZ8" i="1" s="1"/>
  <c r="EE773" i="1"/>
  <c r="EE521" i="1"/>
  <c r="EF217" i="1"/>
  <c r="EE218" i="1"/>
  <c r="EF218" i="1" s="1"/>
  <c r="EE222" i="1"/>
  <c r="EF222" i="1" s="1"/>
  <c r="O129" i="1"/>
  <c r="P129" i="1" s="1"/>
  <c r="O132" i="1"/>
  <c r="P128" i="1"/>
  <c r="GI509" i="1"/>
  <c r="FW534" i="1"/>
  <c r="AJ195" i="1"/>
  <c r="AI197" i="1"/>
  <c r="AJ197" i="1" s="1"/>
  <c r="DA773" i="1"/>
  <c r="DA521" i="1"/>
  <c r="DB217" i="1"/>
  <c r="DA218" i="1"/>
  <c r="CA249" i="1"/>
  <c r="CB249" i="1" s="1"/>
  <c r="CA252" i="1"/>
  <c r="CB248" i="1"/>
  <c r="DH245" i="1"/>
  <c r="DO249" i="1"/>
  <c r="DP249" i="1" s="1"/>
  <c r="DO252" i="1"/>
  <c r="DP248" i="1"/>
  <c r="FG245" i="1"/>
  <c r="EQ367" i="1"/>
  <c r="M771" i="1"/>
  <c r="M522" i="1"/>
  <c r="N252" i="1"/>
  <c r="BI252" i="1"/>
  <c r="BJ248" i="1"/>
  <c r="BI249" i="1"/>
  <c r="BJ249" i="1" s="1"/>
  <c r="EK771" i="1"/>
  <c r="EK522" i="1"/>
  <c r="EL252" i="1"/>
  <c r="EK256" i="1"/>
  <c r="EK253" i="1"/>
  <c r="EL253" i="1" s="1"/>
  <c r="CM297" i="1"/>
  <c r="EG526" i="1"/>
  <c r="EH525" i="1"/>
  <c r="U526" i="1"/>
  <c r="V525" i="1"/>
  <c r="DN325" i="1"/>
  <c r="EW266" i="1"/>
  <c r="EV266" i="1"/>
  <c r="GD287" i="1"/>
  <c r="GE281" i="1"/>
  <c r="GD294" i="1"/>
  <c r="GD293" i="1"/>
  <c r="AP349" i="1"/>
  <c r="AO775" i="1"/>
  <c r="S772" i="1"/>
  <c r="S525" i="1"/>
  <c r="T324" i="1"/>
  <c r="AZ317" i="1"/>
  <c r="CV317" i="1"/>
  <c r="DK772" i="1"/>
  <c r="DK525" i="1"/>
  <c r="DK330" i="1"/>
  <c r="DK325" i="1"/>
  <c r="DL324" i="1"/>
  <c r="EB317" i="1"/>
  <c r="GK320" i="1"/>
  <c r="GK370" i="1"/>
  <c r="GJ383" i="1"/>
  <c r="GJ381" i="1"/>
  <c r="GK381" i="1" s="1"/>
  <c r="BW387" i="1"/>
  <c r="BX383" i="1"/>
  <c r="BW384" i="1"/>
  <c r="BX384" i="1" s="1"/>
  <c r="CN381" i="1"/>
  <c r="EJ383" i="1"/>
  <c r="EI387" i="1"/>
  <c r="EI384" i="1"/>
  <c r="EJ384" i="1" s="1"/>
  <c r="EI10" i="1"/>
  <c r="CC423" i="1"/>
  <c r="CD423" i="1" s="1"/>
  <c r="CC426" i="1"/>
  <c r="CD422" i="1"/>
  <c r="DI426" i="1"/>
  <c r="DI423" i="1"/>
  <c r="DJ423" i="1" s="1"/>
  <c r="DJ422" i="1"/>
  <c r="GA314" i="1"/>
  <c r="T384" i="1"/>
  <c r="AX381" i="1"/>
  <c r="CC384" i="1"/>
  <c r="CD384" i="1" s="1"/>
  <c r="CC387" i="1"/>
  <c r="CD383" i="1"/>
  <c r="DJ381" i="1"/>
  <c r="EO384" i="1"/>
  <c r="EP384" i="1" s="1"/>
  <c r="EO387" i="1"/>
  <c r="EP383" i="1"/>
  <c r="EO10" i="1"/>
  <c r="BQ426" i="1"/>
  <c r="BQ423" i="1"/>
  <c r="BR423" i="1" s="1"/>
  <c r="BR422" i="1"/>
  <c r="EC423" i="1"/>
  <c r="ED423" i="1" s="1"/>
  <c r="EC426" i="1"/>
  <c r="ED422" i="1"/>
  <c r="EW308" i="1"/>
  <c r="EV308" i="1"/>
  <c r="EU507" i="1"/>
  <c r="EV507" i="1" s="1"/>
  <c r="AI501" i="1"/>
  <c r="AI349" i="1"/>
  <c r="AJ346" i="1"/>
  <c r="AR346" i="1"/>
  <c r="R529" i="1"/>
  <c r="X420" i="1"/>
  <c r="BT422" i="1"/>
  <c r="BS423" i="1"/>
  <c r="BT423" i="1" s="1"/>
  <c r="BS426" i="1"/>
  <c r="CJ420" i="1"/>
  <c r="CZ420" i="1"/>
  <c r="DP420" i="1"/>
  <c r="EF420" i="1"/>
  <c r="AZ453" i="1"/>
  <c r="GL800" i="1"/>
  <c r="GM408" i="1"/>
  <c r="GL422" i="1"/>
  <c r="GL420" i="1"/>
  <c r="GM420" i="1" s="1"/>
  <c r="FP453" i="1"/>
  <c r="GN425" i="1"/>
  <c r="EK542" i="1"/>
  <c r="EL537" i="1"/>
  <c r="FW453" i="1"/>
  <c r="EH531" i="1"/>
  <c r="BM859" i="1"/>
  <c r="DI859" i="1"/>
  <c r="EW824" i="1"/>
  <c r="EX545" i="1"/>
  <c r="EW15" i="1"/>
  <c r="EX15" i="1" s="1"/>
  <c r="GP545" i="1"/>
  <c r="CF577" i="1"/>
  <c r="FV577" i="1"/>
  <c r="FW577" i="1" s="1"/>
  <c r="FW575" i="1"/>
  <c r="BF577" i="1"/>
  <c r="EH577" i="1"/>
  <c r="EN616" i="1"/>
  <c r="GN616" i="1"/>
  <c r="EU575" i="1"/>
  <c r="EV570" i="1"/>
  <c r="GP570" i="1"/>
  <c r="GM702" i="1"/>
  <c r="FO686" i="1"/>
  <c r="FS701" i="1"/>
  <c r="U687" i="1"/>
  <c r="FY708" i="1"/>
  <c r="DE687" i="1"/>
  <c r="DF687" i="1" s="1"/>
  <c r="FO702" i="1"/>
  <c r="GG703" i="1"/>
  <c r="FI669" i="1"/>
  <c r="FH670" i="1"/>
  <c r="FI670" i="1" s="1"/>
  <c r="GP668" i="1"/>
  <c r="EX668" i="1"/>
  <c r="CN702" i="1"/>
  <c r="CN707" i="1"/>
  <c r="CZ704" i="1"/>
  <c r="FO705" i="1"/>
  <c r="GE707" i="1"/>
  <c r="CT705" i="1"/>
  <c r="GH681" i="1"/>
  <c r="AN708" i="1"/>
  <c r="BD708" i="1"/>
  <c r="BT708" i="1"/>
  <c r="CZ708" i="1"/>
  <c r="DP708" i="1"/>
  <c r="DX686" i="1"/>
  <c r="FU87" i="1"/>
  <c r="FK184" i="1"/>
  <c r="FT773" i="1"/>
  <c r="FT521" i="1"/>
  <c r="FU217" i="1"/>
  <c r="GC213" i="1"/>
  <c r="AP249" i="1"/>
  <c r="DR248" i="1"/>
  <c r="DV249" i="1"/>
  <c r="FS703" i="1"/>
  <c r="BB128" i="1"/>
  <c r="BQ769" i="1"/>
  <c r="BQ519" i="1"/>
  <c r="BR132" i="1"/>
  <c r="CG769" i="1"/>
  <c r="CG519" i="1"/>
  <c r="CH132" i="1"/>
  <c r="CW769" i="1"/>
  <c r="CW519" i="1"/>
  <c r="CW133" i="1"/>
  <c r="CW136" i="1"/>
  <c r="CX132" i="1"/>
  <c r="DM769" i="1"/>
  <c r="DM519" i="1"/>
  <c r="DM136" i="1"/>
  <c r="DM133" i="1"/>
  <c r="DN132" i="1"/>
  <c r="EC769" i="1"/>
  <c r="EC519" i="1"/>
  <c r="EC136" i="1"/>
  <c r="EC133" i="1"/>
  <c r="ED132" i="1"/>
  <c r="AA770" i="1"/>
  <c r="AA518" i="1"/>
  <c r="AB97" i="1"/>
  <c r="DP129" i="1"/>
  <c r="EF129" i="1"/>
  <c r="BZ248" i="1"/>
  <c r="CO771" i="1"/>
  <c r="CO522" i="1"/>
  <c r="CP252" i="1"/>
  <c r="CO253" i="1"/>
  <c r="BN686" i="1"/>
  <c r="FM703" i="1"/>
  <c r="DY20" i="2" l="1"/>
  <c r="DY22" i="2" s="1"/>
  <c r="DY19" i="2"/>
  <c r="DU20" i="2"/>
  <c r="DU22" i="2" s="1"/>
  <c r="DU19" i="2"/>
  <c r="DA487" i="198"/>
  <c r="DY494" i="2"/>
  <c r="DW494" i="2"/>
  <c r="CY487" i="198"/>
  <c r="CW487" i="198"/>
  <c r="DU494" i="2"/>
  <c r="DW80" i="198"/>
  <c r="DS80" i="198"/>
  <c r="DG80" i="198"/>
  <c r="DQ80" i="198"/>
  <c r="CF80" i="198"/>
  <c r="DY80" i="198"/>
  <c r="CP80" i="198"/>
  <c r="EA80" i="198"/>
  <c r="DI80" i="198"/>
  <c r="DC80" i="198"/>
  <c r="CN80" i="198"/>
  <c r="DK80" i="198"/>
  <c r="DM80" i="198"/>
  <c r="CL80" i="198"/>
  <c r="BP80" i="198"/>
  <c r="DO80" i="198"/>
  <c r="CR80" i="198"/>
  <c r="AZ80" i="198"/>
  <c r="GR398" i="1"/>
  <c r="GR399" i="1" s="1"/>
  <c r="GR361" i="1"/>
  <c r="GS361" i="1" s="1"/>
  <c r="GR110" i="1"/>
  <c r="GQ110" i="1"/>
  <c r="GP112" i="1"/>
  <c r="G539" i="1"/>
  <c r="G641" i="1" s="1"/>
  <c r="G922" i="1" s="1"/>
  <c r="G538" i="1"/>
  <c r="G541" i="1" s="1"/>
  <c r="G542" i="1" s="1"/>
  <c r="G543" i="1" s="1"/>
  <c r="E533" i="1"/>
  <c r="E536" i="1" s="1"/>
  <c r="I539" i="1"/>
  <c r="I538" i="1"/>
  <c r="I541" i="1" s="1"/>
  <c r="I542" i="1" s="1"/>
  <c r="I543" i="1" s="1"/>
  <c r="GP586" i="1"/>
  <c r="GP575" i="1"/>
  <c r="GQ570" i="1"/>
  <c r="GN619" i="1"/>
  <c r="GO619" i="1" s="1"/>
  <c r="GO616" i="1"/>
  <c r="GP824" i="1"/>
  <c r="GR545" i="1"/>
  <c r="GQ545" i="1"/>
  <c r="GP15" i="1"/>
  <c r="GQ15" i="1" s="1"/>
  <c r="GL423" i="1"/>
  <c r="GL426" i="1"/>
  <c r="GM422" i="1"/>
  <c r="BS428" i="1"/>
  <c r="BT426" i="1"/>
  <c r="EC428" i="1"/>
  <c r="ED426" i="1"/>
  <c r="BW527" i="1"/>
  <c r="BX387" i="1"/>
  <c r="EX266" i="1"/>
  <c r="EL522" i="1"/>
  <c r="N522" i="1"/>
  <c r="DB521" i="1"/>
  <c r="O769" i="1"/>
  <c r="O519" i="1"/>
  <c r="P132" i="1"/>
  <c r="DQ769" i="1"/>
  <c r="DQ519" i="1"/>
  <c r="DQ136" i="1"/>
  <c r="DQ133" i="1"/>
  <c r="DR132" i="1"/>
  <c r="BE769" i="1"/>
  <c r="BE519" i="1"/>
  <c r="BF132" i="1"/>
  <c r="BW523" i="1"/>
  <c r="BX521" i="1"/>
  <c r="FZ7" i="1"/>
  <c r="FZ97" i="1"/>
  <c r="FZ94" i="1"/>
  <c r="GA94" i="1" s="1"/>
  <c r="GA93" i="1"/>
  <c r="S769" i="1"/>
  <c r="S519" i="1"/>
  <c r="T132" i="1"/>
  <c r="EI770" i="1"/>
  <c r="EI518" i="1"/>
  <c r="EJ97" i="1"/>
  <c r="EI102" i="1"/>
  <c r="EI98" i="1"/>
  <c r="ED7" i="1"/>
  <c r="EC12" i="1"/>
  <c r="L575" i="1"/>
  <c r="K577" i="1"/>
  <c r="T575" i="1"/>
  <c r="FR454" i="1"/>
  <c r="FR457" i="1"/>
  <c r="FS453" i="1"/>
  <c r="Y528" i="1"/>
  <c r="Z428" i="1"/>
  <c r="ET377" i="1"/>
  <c r="ET368" i="1"/>
  <c r="ES801" i="1"/>
  <c r="AF525" i="1"/>
  <c r="AE526" i="1"/>
  <c r="AT349" i="1"/>
  <c r="AS775" i="1"/>
  <c r="FP349" i="1"/>
  <c r="BB349" i="1"/>
  <c r="DV526" i="1"/>
  <c r="CN522" i="1"/>
  <c r="AB522" i="1"/>
  <c r="GF252" i="1"/>
  <c r="GF249" i="1"/>
  <c r="GG249" i="1" s="1"/>
  <c r="GG248" i="1"/>
  <c r="BO523" i="1"/>
  <c r="BP521" i="1"/>
  <c r="EV115" i="1"/>
  <c r="EM12" i="1"/>
  <c r="EN7" i="1"/>
  <c r="EA770" i="1"/>
  <c r="EA518" i="1"/>
  <c r="EB97" i="1"/>
  <c r="EA102" i="1"/>
  <c r="EA98" i="1"/>
  <c r="GL893" i="1"/>
  <c r="GM88" i="1"/>
  <c r="AW770" i="1"/>
  <c r="AW518" i="1"/>
  <c r="AX97" i="1"/>
  <c r="FI129" i="1"/>
  <c r="EE770" i="1"/>
  <c r="EE518" i="1"/>
  <c r="EF97" i="1"/>
  <c r="EE102" i="1"/>
  <c r="EE98" i="1"/>
  <c r="FK670" i="1"/>
  <c r="FO531" i="1"/>
  <c r="FT527" i="1"/>
  <c r="FU387" i="1"/>
  <c r="AL522" i="1"/>
  <c r="GD252" i="1"/>
  <c r="GD249" i="1"/>
  <c r="GE248" i="1"/>
  <c r="EC523" i="1"/>
  <c r="ED521" i="1"/>
  <c r="EW236" i="1"/>
  <c r="EX236" i="1" s="1"/>
  <c r="EX230" i="1"/>
  <c r="GP230" i="1"/>
  <c r="FV773" i="1"/>
  <c r="FV521" i="1"/>
  <c r="FW217" i="1"/>
  <c r="DT129" i="1"/>
  <c r="DN94" i="1"/>
  <c r="AD518" i="1"/>
  <c r="AC520" i="1"/>
  <c r="BY770" i="1"/>
  <c r="BY518" i="1"/>
  <c r="BZ97" i="1"/>
  <c r="DB686" i="1"/>
  <c r="FZ426" i="1"/>
  <c r="FZ423" i="1"/>
  <c r="GA423" i="1" s="1"/>
  <c r="GA422" i="1"/>
  <c r="BJ426" i="1"/>
  <c r="BI428" i="1"/>
  <c r="DM774" i="1"/>
  <c r="DM779" i="1" s="1"/>
  <c r="DM527" i="1"/>
  <c r="DM391" i="1"/>
  <c r="DN391" i="1" s="1"/>
  <c r="DM388" i="1"/>
  <c r="DN387" i="1"/>
  <c r="BA774" i="1"/>
  <c r="BA779" i="1" s="1"/>
  <c r="BA527" i="1"/>
  <c r="BB387" i="1"/>
  <c r="FW381" i="1"/>
  <c r="FY381" i="1"/>
  <c r="DJ521" i="1"/>
  <c r="CI769" i="1"/>
  <c r="CI519" i="1"/>
  <c r="CJ132" i="1"/>
  <c r="EN218" i="1"/>
  <c r="P521" i="1"/>
  <c r="GN252" i="1"/>
  <c r="GN249" i="1"/>
  <c r="GO248" i="1"/>
  <c r="GN8" i="1"/>
  <c r="GO8" i="1" s="1"/>
  <c r="CQ12" i="1"/>
  <c r="CR7" i="1"/>
  <c r="DC769" i="1"/>
  <c r="DC519" i="1"/>
  <c r="DC136" i="1"/>
  <c r="DC133" i="1"/>
  <c r="DD132" i="1"/>
  <c r="BW769" i="1"/>
  <c r="BW519" i="1"/>
  <c r="BX132" i="1"/>
  <c r="AQ769" i="1"/>
  <c r="AQ519" i="1"/>
  <c r="AR132" i="1"/>
  <c r="FP132" i="1"/>
  <c r="DI770" i="1"/>
  <c r="DI518" i="1"/>
  <c r="DI98" i="1"/>
  <c r="DI102" i="1"/>
  <c r="DJ97" i="1"/>
  <c r="AM181" i="1"/>
  <c r="AN181" i="1" s="1"/>
  <c r="AM196" i="1"/>
  <c r="AN196" i="1" s="1"/>
  <c r="AM195" i="1"/>
  <c r="AN179" i="1"/>
  <c r="CG770" i="1"/>
  <c r="CG518" i="1"/>
  <c r="CH97" i="1"/>
  <c r="EL423" i="1"/>
  <c r="BY528" i="1"/>
  <c r="FT772" i="1"/>
  <c r="FT525" i="1"/>
  <c r="FU324" i="1"/>
  <c r="AT522" i="1"/>
  <c r="CZ686" i="1"/>
  <c r="DM428" i="1"/>
  <c r="DN426" i="1"/>
  <c r="AK528" i="1"/>
  <c r="AL428" i="1"/>
  <c r="FO426" i="1"/>
  <c r="FN428" i="1"/>
  <c r="CN384" i="1"/>
  <c r="FN772" i="1"/>
  <c r="FN525" i="1"/>
  <c r="FO324" i="1"/>
  <c r="GE320" i="1"/>
  <c r="GZ271" i="1"/>
  <c r="GY271" i="1"/>
  <c r="GH249" i="1"/>
  <c r="GI249" i="1" s="1"/>
  <c r="GI248" i="1"/>
  <c r="GH252" i="1"/>
  <c r="DL522" i="1"/>
  <c r="U523" i="1"/>
  <c r="V521" i="1"/>
  <c r="DA769" i="1"/>
  <c r="DA519" i="1"/>
  <c r="DA133" i="1"/>
  <c r="DA136" i="1"/>
  <c r="DB132" i="1"/>
  <c r="AO769" i="1"/>
  <c r="AO519" i="1"/>
  <c r="AP132" i="1"/>
  <c r="GD773" i="1"/>
  <c r="GD521" i="1"/>
  <c r="GE217" i="1"/>
  <c r="GD218" i="1"/>
  <c r="CN7" i="1"/>
  <c r="CM12" i="1"/>
  <c r="EI769" i="1"/>
  <c r="EI519" i="1"/>
  <c r="EI136" i="1"/>
  <c r="EI133" i="1"/>
  <c r="EJ132" i="1"/>
  <c r="GN893" i="1"/>
  <c r="GO88" i="1"/>
  <c r="CO770" i="1"/>
  <c r="CO518" i="1"/>
  <c r="CO98" i="1"/>
  <c r="CP97" i="1"/>
  <c r="CF670" i="1"/>
  <c r="FU670" i="1"/>
  <c r="FI422" i="1"/>
  <c r="FH426" i="1"/>
  <c r="FH423" i="1"/>
  <c r="FI423" i="1" s="1"/>
  <c r="GX393" i="1"/>
  <c r="GW393" i="1"/>
  <c r="BE528" i="1"/>
  <c r="BF428" i="1"/>
  <c r="EW369" i="1"/>
  <c r="EX369" i="1" s="1"/>
  <c r="EW368" i="1"/>
  <c r="EW364" i="1"/>
  <c r="EW374" i="1"/>
  <c r="EX374" i="1" s="1"/>
  <c r="EW366" i="1"/>
  <c r="EW377" i="1"/>
  <c r="EX377" i="1" s="1"/>
  <c r="EP526" i="1"/>
  <c r="AG523" i="1"/>
  <c r="AH521" i="1"/>
  <c r="DT253" i="1"/>
  <c r="ET222" i="1"/>
  <c r="EL222" i="1"/>
  <c r="EU118" i="1"/>
  <c r="EV112" i="1"/>
  <c r="FL769" i="1"/>
  <c r="FL519" i="1"/>
  <c r="FM132" i="1"/>
  <c r="FU88" i="1"/>
  <c r="FW88" i="1"/>
  <c r="ET118" i="1"/>
  <c r="EV667" i="1"/>
  <c r="EU669" i="1"/>
  <c r="EV669" i="1" s="1"/>
  <c r="EV621" i="1"/>
  <c r="FH529" i="1"/>
  <c r="FI457" i="1"/>
  <c r="AF423" i="1"/>
  <c r="DB384" i="1"/>
  <c r="CU527" i="1"/>
  <c r="CV387" i="1"/>
  <c r="CU388" i="1"/>
  <c r="AI527" i="1"/>
  <c r="AJ387" i="1"/>
  <c r="FN387" i="1"/>
  <c r="R526" i="1"/>
  <c r="BB526" i="1"/>
  <c r="AK523" i="1"/>
  <c r="AL521" i="1"/>
  <c r="AW769" i="1"/>
  <c r="AW519" i="1"/>
  <c r="AX132" i="1"/>
  <c r="CE770" i="1"/>
  <c r="CE518" i="1"/>
  <c r="CF97" i="1"/>
  <c r="S770" i="1"/>
  <c r="S518" i="1"/>
  <c r="T97" i="1"/>
  <c r="GH94" i="1"/>
  <c r="GI93" i="1"/>
  <c r="GH7" i="1"/>
  <c r="GH97" i="1"/>
  <c r="FN94" i="1"/>
  <c r="FO94" i="1" s="1"/>
  <c r="FO93" i="1"/>
  <c r="FK420" i="1"/>
  <c r="FM420" i="1"/>
  <c r="DG527" i="1"/>
  <c r="DG391" i="1"/>
  <c r="DH387" i="1"/>
  <c r="DG388" i="1"/>
  <c r="AU774" i="1"/>
  <c r="AU527" i="1"/>
  <c r="AV387" i="1"/>
  <c r="EX256" i="1"/>
  <c r="EP256" i="1"/>
  <c r="AT526" i="1"/>
  <c r="Q523" i="1"/>
  <c r="R521" i="1"/>
  <c r="DU523" i="1"/>
  <c r="DV521" i="1"/>
  <c r="DG12" i="1"/>
  <c r="DH7" i="1"/>
  <c r="EB129" i="1"/>
  <c r="DE528" i="1"/>
  <c r="DE432" i="1"/>
  <c r="DE429" i="1"/>
  <c r="CH129" i="1"/>
  <c r="CP685" i="1"/>
  <c r="CO687" i="1"/>
  <c r="CX685" i="1"/>
  <c r="CN708" i="1"/>
  <c r="AZ454" i="1"/>
  <c r="DI527" i="1"/>
  <c r="DJ387" i="1"/>
  <c r="DI391" i="1"/>
  <c r="DI388" i="1"/>
  <c r="AW774" i="1"/>
  <c r="AW527" i="1"/>
  <c r="AX387" i="1"/>
  <c r="AQ774" i="1"/>
  <c r="AQ527" i="1"/>
  <c r="FP387" i="1"/>
  <c r="AR387" i="1"/>
  <c r="AO523" i="1"/>
  <c r="AP521" i="1"/>
  <c r="BC277" i="1"/>
  <c r="BC278" i="1" s="1"/>
  <c r="BD265" i="1"/>
  <c r="BC276" i="1"/>
  <c r="BC270" i="1"/>
  <c r="FJ858" i="1"/>
  <c r="FJ859" i="1" s="1"/>
  <c r="FK502" i="1"/>
  <c r="DC770" i="1"/>
  <c r="DC518" i="1"/>
  <c r="DD97" i="1"/>
  <c r="DC98" i="1"/>
  <c r="EL7" i="1"/>
  <c r="EK12" i="1"/>
  <c r="BF94" i="1"/>
  <c r="FZ708" i="1"/>
  <c r="FZ686" i="1"/>
  <c r="GA686" i="1" s="1"/>
  <c r="GA684" i="1"/>
  <c r="GC684" i="1"/>
  <c r="GB686" i="1"/>
  <c r="CI687" i="1"/>
  <c r="CJ687" i="1" s="1"/>
  <c r="CJ685" i="1"/>
  <c r="GP676" i="1"/>
  <c r="EX676" i="1"/>
  <c r="EW657" i="1"/>
  <c r="EX657" i="1" s="1"/>
  <c r="CU428" i="1"/>
  <c r="CV426" i="1"/>
  <c r="CE428" i="1"/>
  <c r="CF426" i="1"/>
  <c r="CO774" i="1"/>
  <c r="CO779" i="1" s="1"/>
  <c r="CO527" i="1"/>
  <c r="CO388" i="1"/>
  <c r="CP387" i="1"/>
  <c r="GI381" i="1"/>
  <c r="DR423" i="1"/>
  <c r="CL426" i="1"/>
  <c r="CK428" i="1"/>
  <c r="BS774" i="1"/>
  <c r="BS779" i="1" s="1"/>
  <c r="BS527" i="1"/>
  <c r="BT387" i="1"/>
  <c r="CB525" i="1"/>
  <c r="CA526" i="1"/>
  <c r="BL525" i="1"/>
  <c r="BK526" i="1"/>
  <c r="CJ249" i="1"/>
  <c r="DF521" i="1"/>
  <c r="AS523" i="1"/>
  <c r="AT521" i="1"/>
  <c r="AM770" i="1"/>
  <c r="AM518" i="1"/>
  <c r="AN97" i="1"/>
  <c r="BG769" i="1"/>
  <c r="BG519" i="1"/>
  <c r="BH132" i="1"/>
  <c r="DB7" i="1"/>
  <c r="DA12" i="1"/>
  <c r="FX769" i="1"/>
  <c r="FX519" i="1"/>
  <c r="FY132" i="1"/>
  <c r="FL770" i="1"/>
  <c r="FL518" i="1"/>
  <c r="FM97" i="1"/>
  <c r="GJ94" i="1"/>
  <c r="GK94" i="1" s="1"/>
  <c r="GK93" i="1"/>
  <c r="GJ97" i="1"/>
  <c r="GJ7" i="1"/>
  <c r="AB529" i="1"/>
  <c r="AU528" i="1"/>
  <c r="AV428" i="1"/>
  <c r="AX454" i="1"/>
  <c r="BF454" i="1"/>
  <c r="DQ527" i="1"/>
  <c r="DQ391" i="1"/>
  <c r="DR391" i="1" s="1"/>
  <c r="DR387" i="1"/>
  <c r="DQ388" i="1"/>
  <c r="DR388" i="1" s="1"/>
  <c r="BE774" i="1"/>
  <c r="BE779" i="1" s="1"/>
  <c r="BE527" i="1"/>
  <c r="BF387" i="1"/>
  <c r="DL384" i="1"/>
  <c r="AZ384" i="1"/>
  <c r="DD525" i="1"/>
  <c r="DC526" i="1"/>
  <c r="AB525" i="1"/>
  <c r="AA526" i="1"/>
  <c r="FR524" i="1"/>
  <c r="FS349" i="1"/>
  <c r="FR775" i="1"/>
  <c r="Y523" i="1"/>
  <c r="Z521" i="1"/>
  <c r="CJ521" i="1"/>
  <c r="CV522" i="1"/>
  <c r="AH519" i="1"/>
  <c r="EJ687" i="1"/>
  <c r="DD687" i="1"/>
  <c r="BH687" i="1"/>
  <c r="AB687" i="1"/>
  <c r="FK454" i="1"/>
  <c r="EJ423" i="1"/>
  <c r="DT426" i="1"/>
  <c r="DS428" i="1"/>
  <c r="DD423" i="1"/>
  <c r="CN423" i="1"/>
  <c r="BX423" i="1"/>
  <c r="GV480" i="1"/>
  <c r="GU480" i="1"/>
  <c r="GX435" i="1"/>
  <c r="GW435" i="1"/>
  <c r="DP330" i="1"/>
  <c r="GR301" i="1"/>
  <c r="GQ301" i="1"/>
  <c r="AG858" i="1"/>
  <c r="AG859" i="1" s="1"/>
  <c r="AH502" i="1"/>
  <c r="W769" i="1"/>
  <c r="W519" i="1"/>
  <c r="X132" i="1"/>
  <c r="EJ522" i="1"/>
  <c r="L522" i="1"/>
  <c r="FX252" i="1"/>
  <c r="FX249" i="1"/>
  <c r="FY248" i="1"/>
  <c r="CO523" i="1"/>
  <c r="CP521" i="1"/>
  <c r="AC523" i="1"/>
  <c r="AD521" i="1"/>
  <c r="DE769" i="1"/>
  <c r="DE519" i="1"/>
  <c r="DE136" i="1"/>
  <c r="DE133" i="1"/>
  <c r="DN133" i="1" s="1"/>
  <c r="DF132" i="1"/>
  <c r="AS769" i="1"/>
  <c r="AS519" i="1"/>
  <c r="AT132" i="1"/>
  <c r="DK523" i="1"/>
  <c r="DL521" i="1"/>
  <c r="AY523" i="1"/>
  <c r="AZ521" i="1"/>
  <c r="GG214" i="1"/>
  <c r="DW770" i="1"/>
  <c r="DW518" i="1"/>
  <c r="DX97" i="1"/>
  <c r="DW102" i="1"/>
  <c r="DW98" i="1"/>
  <c r="BK770" i="1"/>
  <c r="BK518" i="1"/>
  <c r="BL97" i="1"/>
  <c r="DY770" i="1"/>
  <c r="DY518" i="1"/>
  <c r="DY102" i="1"/>
  <c r="DY98" i="1"/>
  <c r="DZ97" i="1"/>
  <c r="BM770" i="1"/>
  <c r="BM518" i="1"/>
  <c r="BN97" i="1"/>
  <c r="GB94" i="1"/>
  <c r="GC94" i="1" s="1"/>
  <c r="GC93" i="1"/>
  <c r="GB97" i="1"/>
  <c r="GB7" i="1"/>
  <c r="DT222" i="1"/>
  <c r="DS523" i="1"/>
  <c r="DT521" i="1"/>
  <c r="EL426" i="1"/>
  <c r="BB132" i="1"/>
  <c r="ED687" i="1"/>
  <c r="AI529" i="1"/>
  <c r="AJ457" i="1"/>
  <c r="FN457" i="1"/>
  <c r="BD423" i="1"/>
  <c r="CH426" i="1"/>
  <c r="CG428" i="1"/>
  <c r="FV426" i="1"/>
  <c r="FV423" i="1"/>
  <c r="FW422" i="1"/>
  <c r="DY527" i="1"/>
  <c r="DY391" i="1"/>
  <c r="DZ391" i="1" s="1"/>
  <c r="DY388" i="1"/>
  <c r="DZ388" i="1" s="1"/>
  <c r="DZ387" i="1"/>
  <c r="BH384" i="1"/>
  <c r="CD526" i="1"/>
  <c r="AU293" i="1"/>
  <c r="AU287" i="1"/>
  <c r="AU294" i="1"/>
  <c r="AV281" i="1"/>
  <c r="FG249" i="1"/>
  <c r="FE182" i="1"/>
  <c r="FD193" i="1"/>
  <c r="FE193" i="1" s="1"/>
  <c r="AR521" i="1"/>
  <c r="DT7" i="1"/>
  <c r="DS12" i="1"/>
  <c r="W520" i="1"/>
  <c r="X518" i="1"/>
  <c r="GO686" i="1"/>
  <c r="GN687" i="1"/>
  <c r="GO685" i="1"/>
  <c r="GS653" i="1"/>
  <c r="GT653" i="1"/>
  <c r="P529" i="1"/>
  <c r="AI528" i="1"/>
  <c r="AJ428" i="1"/>
  <c r="CI527" i="1"/>
  <c r="CJ387" i="1"/>
  <c r="EH253" i="1"/>
  <c r="DA771" i="1"/>
  <c r="DA522" i="1"/>
  <c r="DA253" i="1"/>
  <c r="DB252" i="1"/>
  <c r="N526" i="1"/>
  <c r="FS245" i="1"/>
  <c r="DZ218" i="1"/>
  <c r="CS523" i="1"/>
  <c r="CT521" i="1"/>
  <c r="BS769" i="1"/>
  <c r="BS519" i="1"/>
  <c r="BT132" i="1"/>
  <c r="DX222" i="1"/>
  <c r="DX521" i="1"/>
  <c r="BY523" i="1"/>
  <c r="BZ521" i="1"/>
  <c r="FD519" i="1"/>
  <c r="FE132" i="1"/>
  <c r="DP94" i="1"/>
  <c r="EQ836" i="1"/>
  <c r="EQ129" i="1"/>
  <c r="ER129" i="1" s="1"/>
  <c r="EQ132" i="1"/>
  <c r="ER128" i="1"/>
  <c r="DQ770" i="1"/>
  <c r="DQ518" i="1"/>
  <c r="DQ102" i="1"/>
  <c r="DR102" i="1" s="1"/>
  <c r="DQ98" i="1"/>
  <c r="DR98" i="1" s="1"/>
  <c r="DR97" i="1"/>
  <c r="EO770" i="1"/>
  <c r="EO518" i="1"/>
  <c r="EO102" i="1"/>
  <c r="EO98" i="1"/>
  <c r="EP97" i="1"/>
  <c r="EQ405" i="1"/>
  <c r="EG774" i="1"/>
  <c r="EG779" i="1" s="1"/>
  <c r="EG527" i="1"/>
  <c r="EH387" i="1"/>
  <c r="EG391" i="1"/>
  <c r="EH391" i="1" s="1"/>
  <c r="EG388" i="1"/>
  <c r="EH388" i="1" s="1"/>
  <c r="BU527" i="1"/>
  <c r="BV387" i="1"/>
  <c r="AB527" i="1"/>
  <c r="EA527" i="1"/>
  <c r="EA391" i="1"/>
  <c r="EB387" i="1"/>
  <c r="EA388" i="1"/>
  <c r="BO527" i="1"/>
  <c r="BP387" i="1"/>
  <c r="DT325" i="1"/>
  <c r="CN525" i="1"/>
  <c r="CM526" i="1"/>
  <c r="FP772" i="1"/>
  <c r="FP525" i="1"/>
  <c r="FQ324" i="1"/>
  <c r="DZ526" i="1"/>
  <c r="GH772" i="1"/>
  <c r="GH525" i="1"/>
  <c r="GI324" i="1"/>
  <c r="GH325" i="1"/>
  <c r="GI325" i="1" s="1"/>
  <c r="ED522" i="1"/>
  <c r="EF249" i="1"/>
  <c r="AF249" i="1"/>
  <c r="BE523" i="1"/>
  <c r="BF521" i="1"/>
  <c r="FP179" i="1"/>
  <c r="FP170" i="1"/>
  <c r="FQ169" i="1"/>
  <c r="FR164" i="1"/>
  <c r="FO180" i="1"/>
  <c r="FN194" i="1"/>
  <c r="AE769" i="1"/>
  <c r="AE519" i="1"/>
  <c r="AF132" i="1"/>
  <c r="FL773" i="1"/>
  <c r="FL521" i="1"/>
  <c r="FM217" i="1"/>
  <c r="DK770" i="1"/>
  <c r="DK518" i="1"/>
  <c r="DL97" i="1"/>
  <c r="DK98" i="1"/>
  <c r="DK102" i="1"/>
  <c r="AZ94" i="1"/>
  <c r="CU769" i="1"/>
  <c r="CU519" i="1"/>
  <c r="CV132" i="1"/>
  <c r="CU133" i="1"/>
  <c r="BO769" i="1"/>
  <c r="BO519" i="1"/>
  <c r="BP132" i="1"/>
  <c r="AI769" i="1"/>
  <c r="AI519" i="1"/>
  <c r="FN132" i="1"/>
  <c r="AJ132" i="1"/>
  <c r="CX7" i="1"/>
  <c r="CW12" i="1"/>
  <c r="FK457" i="1"/>
  <c r="FT529" i="1"/>
  <c r="FU457" i="1"/>
  <c r="AM501" i="1"/>
  <c r="AM349" i="1"/>
  <c r="AN346" i="1"/>
  <c r="AV346" i="1"/>
  <c r="EG428" i="1"/>
  <c r="EH426" i="1"/>
  <c r="CA527" i="1"/>
  <c r="CB387" i="1"/>
  <c r="BM771" i="1"/>
  <c r="BM522" i="1"/>
  <c r="BN252" i="1"/>
  <c r="GK245" i="1"/>
  <c r="CD521" i="1"/>
  <c r="BC769" i="1"/>
  <c r="BC519" i="1"/>
  <c r="BD132" i="1"/>
  <c r="BI523" i="1"/>
  <c r="BJ521" i="1"/>
  <c r="AD519" i="1"/>
  <c r="CE523" i="1"/>
  <c r="CF521" i="1"/>
  <c r="GH773" i="1"/>
  <c r="GH521" i="1"/>
  <c r="GH222" i="1"/>
  <c r="GH218" i="1"/>
  <c r="GI217" i="1"/>
  <c r="CA770" i="1"/>
  <c r="CA518" i="1"/>
  <c r="CB97" i="1"/>
  <c r="GK129" i="1"/>
  <c r="CS770" i="1"/>
  <c r="CS518" i="1"/>
  <c r="CS98" i="1"/>
  <c r="CT97" i="1"/>
  <c r="GF769" i="1"/>
  <c r="GF519" i="1"/>
  <c r="GF136" i="1"/>
  <c r="GF133" i="1"/>
  <c r="GG132" i="1"/>
  <c r="FJ518" i="1"/>
  <c r="FK97" i="1"/>
  <c r="GP266" i="1"/>
  <c r="DN136" i="1"/>
  <c r="GZ425" i="1"/>
  <c r="GO425" i="1"/>
  <c r="GN508" i="1"/>
  <c r="FN349" i="1"/>
  <c r="AJ349" i="1"/>
  <c r="AI775" i="1"/>
  <c r="AR349" i="1"/>
  <c r="EX308" i="1"/>
  <c r="EW507" i="1"/>
  <c r="EX507" i="1" s="1"/>
  <c r="GP308" i="1"/>
  <c r="BR426" i="1"/>
  <c r="BQ428" i="1"/>
  <c r="EO527" i="1"/>
  <c r="EP387" i="1"/>
  <c r="EO391" i="1"/>
  <c r="EO388" i="1"/>
  <c r="EP388" i="1" s="1"/>
  <c r="CD426" i="1"/>
  <c r="CC428" i="1"/>
  <c r="DL525" i="1"/>
  <c r="DK526" i="1"/>
  <c r="V526" i="1"/>
  <c r="BI771" i="1"/>
  <c r="BI522" i="1"/>
  <c r="BJ252" i="1"/>
  <c r="DO771" i="1"/>
  <c r="DO522" i="1"/>
  <c r="DO256" i="1"/>
  <c r="DO253" i="1"/>
  <c r="DP252" i="1"/>
  <c r="GW202" i="1"/>
  <c r="GX202" i="1"/>
  <c r="BW770" i="1"/>
  <c r="BW518" i="1"/>
  <c r="BX97" i="1"/>
  <c r="DK769" i="1"/>
  <c r="DK519" i="1"/>
  <c r="DK133" i="1"/>
  <c r="DL132" i="1"/>
  <c r="DK136" i="1"/>
  <c r="CE769" i="1"/>
  <c r="CE776" i="1" s="1"/>
  <c r="CE519" i="1"/>
  <c r="CF132" i="1"/>
  <c r="AY769" i="1"/>
  <c r="AY519" i="1"/>
  <c r="AZ132" i="1"/>
  <c r="DE770" i="1"/>
  <c r="DE518" i="1"/>
  <c r="DE98" i="1"/>
  <c r="DF97" i="1"/>
  <c r="GQ665" i="1"/>
  <c r="GR665" i="1"/>
  <c r="AF529" i="1"/>
  <c r="DU774" i="1"/>
  <c r="DU779" i="1" s="1"/>
  <c r="DU527" i="1"/>
  <c r="DU388" i="1"/>
  <c r="DV388" i="1" s="1"/>
  <c r="DV387" i="1"/>
  <c r="DU391" i="1"/>
  <c r="DV391" i="1" s="1"/>
  <c r="ET366" i="1"/>
  <c r="ET369" i="1"/>
  <c r="CX526" i="1"/>
  <c r="BF522" i="1"/>
  <c r="W771" i="1"/>
  <c r="W522" i="1"/>
  <c r="W523" i="1" s="1"/>
  <c r="X252" i="1"/>
  <c r="CR521" i="1"/>
  <c r="AF521" i="1"/>
  <c r="GS109" i="1"/>
  <c r="DG769" i="1"/>
  <c r="DG519" i="1"/>
  <c r="DG133" i="1"/>
  <c r="DH132" i="1"/>
  <c r="DG136" i="1"/>
  <c r="GL94" i="1"/>
  <c r="GM94" i="1" s="1"/>
  <c r="GM93" i="1"/>
  <c r="GL7" i="1"/>
  <c r="GL97" i="1"/>
  <c r="GN769" i="1"/>
  <c r="GN519" i="1"/>
  <c r="GN133" i="1"/>
  <c r="GO132" i="1"/>
  <c r="FH519" i="1"/>
  <c r="FI132" i="1"/>
  <c r="FR97" i="1"/>
  <c r="FR94" i="1"/>
  <c r="FS93" i="1"/>
  <c r="EW843" i="1"/>
  <c r="EW822" i="1"/>
  <c r="EW846" i="1"/>
  <c r="C539" i="1"/>
  <c r="C641" i="1" s="1"/>
  <c r="C922" i="1" s="1"/>
  <c r="C538" i="1"/>
  <c r="C541" i="1" s="1"/>
  <c r="C542" i="1" s="1"/>
  <c r="C543" i="1" s="1"/>
  <c r="CA428" i="1"/>
  <c r="CB426" i="1"/>
  <c r="FY426" i="1"/>
  <c r="FX428" i="1"/>
  <c r="CE774" i="1"/>
  <c r="CE779" i="1" s="1"/>
  <c r="CE527" i="1"/>
  <c r="CF387" i="1"/>
  <c r="GB526" i="1"/>
  <c r="BQ771" i="1"/>
  <c r="BQ522" i="1"/>
  <c r="BR252" i="1"/>
  <c r="FO195" i="1"/>
  <c r="FN197" i="1"/>
  <c r="FO197" i="1" s="1"/>
  <c r="X521" i="1"/>
  <c r="DY769" i="1"/>
  <c r="DY519" i="1"/>
  <c r="DY136" i="1"/>
  <c r="DZ136" i="1" s="1"/>
  <c r="DY133" i="1"/>
  <c r="DZ133" i="1" s="1"/>
  <c r="DZ132" i="1"/>
  <c r="BM769" i="1"/>
  <c r="BM519" i="1"/>
  <c r="BN132" i="1"/>
  <c r="DM770" i="1"/>
  <c r="DM518" i="1"/>
  <c r="DM102" i="1"/>
  <c r="DN102" i="1" s="1"/>
  <c r="DM98" i="1"/>
  <c r="DN97" i="1"/>
  <c r="GM686" i="1"/>
  <c r="CQ687" i="1"/>
  <c r="CR687" i="1" s="1"/>
  <c r="CR685" i="1"/>
  <c r="CS687" i="1"/>
  <c r="FN454" i="1"/>
  <c r="FO454" i="1" s="1"/>
  <c r="FO453" i="1"/>
  <c r="AQ528" i="1"/>
  <c r="AR428" i="1"/>
  <c r="EF525" i="1"/>
  <c r="EE526" i="1"/>
  <c r="CT522" i="1"/>
  <c r="AX522" i="1"/>
  <c r="BS771" i="1"/>
  <c r="BS522" i="1"/>
  <c r="BT252" i="1"/>
  <c r="DP132" i="1"/>
  <c r="BZ426" i="1"/>
  <c r="AD687" i="1"/>
  <c r="EP632" i="1"/>
  <c r="GN632" i="1"/>
  <c r="EO613" i="1"/>
  <c r="FU422" i="1"/>
  <c r="FT426" i="1"/>
  <c r="FT423" i="1"/>
  <c r="FU423" i="1" s="1"/>
  <c r="T529" i="1"/>
  <c r="W528" i="1"/>
  <c r="X428" i="1"/>
  <c r="GN426" i="1"/>
  <c r="GO422" i="1"/>
  <c r="GN423" i="1"/>
  <c r="GO423" i="1" s="1"/>
  <c r="CT384" i="1"/>
  <c r="GM381" i="1"/>
  <c r="AJ525" i="1"/>
  <c r="AI526" i="1"/>
  <c r="CT526" i="1"/>
  <c r="AU771" i="1"/>
  <c r="AU522" i="1"/>
  <c r="AV252" i="1"/>
  <c r="AU769" i="1"/>
  <c r="AU519" i="1"/>
  <c r="AV132" i="1"/>
  <c r="GH256" i="1"/>
  <c r="GD8" i="1"/>
  <c r="CM770" i="1"/>
  <c r="CM518" i="1"/>
  <c r="CN97" i="1"/>
  <c r="CM98" i="1"/>
  <c r="DV94" i="1"/>
  <c r="R518" i="1"/>
  <c r="Q520" i="1"/>
  <c r="FD77" i="1"/>
  <c r="FE77" i="1" s="1"/>
  <c r="FE75" i="1"/>
  <c r="CP7" i="1"/>
  <c r="CO12" i="1"/>
  <c r="FU501" i="1"/>
  <c r="FW501" i="1"/>
  <c r="FT502" i="1"/>
  <c r="FT852" i="1"/>
  <c r="EK774" i="1"/>
  <c r="EK779" i="1" s="1"/>
  <c r="EK527" i="1"/>
  <c r="EL387" i="1"/>
  <c r="EK388" i="1"/>
  <c r="EK391" i="1"/>
  <c r="BY774" i="1"/>
  <c r="BY779" i="1" s="1"/>
  <c r="BY527" i="1"/>
  <c r="BZ387" i="1"/>
  <c r="EU374" i="1"/>
  <c r="EV374" i="1" s="1"/>
  <c r="EU366" i="1"/>
  <c r="EU369" i="1"/>
  <c r="EV369" i="1" s="1"/>
  <c r="EU368" i="1"/>
  <c r="GP368" i="1" s="1"/>
  <c r="EU364" i="1"/>
  <c r="EU377" i="1"/>
  <c r="EV377" i="1" s="1"/>
  <c r="GG9" i="1"/>
  <c r="CR525" i="1"/>
  <c r="CQ526" i="1"/>
  <c r="AV525" i="1"/>
  <c r="AU526" i="1"/>
  <c r="FV772" i="1"/>
  <c r="FV525" i="1"/>
  <c r="FW324" i="1"/>
  <c r="GC245" i="1"/>
  <c r="GE245" i="1"/>
  <c r="BL521" i="1"/>
  <c r="DT256" i="1"/>
  <c r="EK523" i="1"/>
  <c r="EL521" i="1"/>
  <c r="M523" i="1"/>
  <c r="N521" i="1"/>
  <c r="EW116" i="1"/>
  <c r="EX110" i="1"/>
  <c r="EW112" i="1"/>
  <c r="ES128" i="1"/>
  <c r="CC770" i="1"/>
  <c r="CC518" i="1"/>
  <c r="CD97" i="1"/>
  <c r="EW667" i="1"/>
  <c r="GP666" i="1"/>
  <c r="EX666" i="1"/>
  <c r="BR454" i="1"/>
  <c r="GC423" i="1"/>
  <c r="CQ769" i="1"/>
  <c r="CQ519" i="1"/>
  <c r="CR132" i="1"/>
  <c r="CQ133" i="1"/>
  <c r="DO523" i="1"/>
  <c r="DP521" i="1"/>
  <c r="BD521" i="1"/>
  <c r="EG770" i="1"/>
  <c r="EG518" i="1"/>
  <c r="EG102" i="1"/>
  <c r="EH102" i="1" s="1"/>
  <c r="EG98" i="1"/>
  <c r="EH98" i="1" s="1"/>
  <c r="EH97" i="1"/>
  <c r="FK129" i="1"/>
  <c r="AP94" i="1"/>
  <c r="EX55" i="1"/>
  <c r="GP55" i="1"/>
  <c r="GQ55" i="1" s="1"/>
  <c r="GE531" i="1"/>
  <c r="BT529" i="1"/>
  <c r="CB529" i="1"/>
  <c r="BH423" i="1"/>
  <c r="GQ425" i="1"/>
  <c r="GS425" i="1"/>
  <c r="FJ426" i="1"/>
  <c r="FJ423" i="1"/>
  <c r="FK423" i="1" s="1"/>
  <c r="FK422" i="1"/>
  <c r="EC774" i="1"/>
  <c r="EC779" i="1" s="1"/>
  <c r="EC527" i="1"/>
  <c r="EC391" i="1"/>
  <c r="ED391" i="1" s="1"/>
  <c r="EC388" i="1"/>
  <c r="ED388" i="1" s="1"/>
  <c r="ED387" i="1"/>
  <c r="BQ774" i="1"/>
  <c r="BQ779" i="1" s="1"/>
  <c r="BQ527" i="1"/>
  <c r="BR387" i="1"/>
  <c r="GC531" i="1"/>
  <c r="BD525" i="1"/>
  <c r="BC526" i="1"/>
  <c r="DU769" i="1"/>
  <c r="DU519" i="1"/>
  <c r="DU136" i="1"/>
  <c r="DV136" i="1" s="1"/>
  <c r="DU133" i="1"/>
  <c r="DV133" i="1" s="1"/>
  <c r="DV132" i="1"/>
  <c r="BI769" i="1"/>
  <c r="BI519" i="1"/>
  <c r="BJ132" i="1"/>
  <c r="FY214" i="1"/>
  <c r="DV426" i="1"/>
  <c r="ED129" i="1"/>
  <c r="BR129" i="1"/>
  <c r="DP687" i="1"/>
  <c r="BT687" i="1"/>
  <c r="AN687" i="1"/>
  <c r="CP686" i="1"/>
  <c r="CX686" i="1"/>
  <c r="GQ652" i="1"/>
  <c r="GR652" i="1"/>
  <c r="EM542" i="1"/>
  <c r="EN537" i="1"/>
  <c r="GN537" i="1"/>
  <c r="AM528" i="1"/>
  <c r="AN428" i="1"/>
  <c r="CW428" i="1"/>
  <c r="CX426" i="1"/>
  <c r="AX384" i="1"/>
  <c r="EW402" i="1"/>
  <c r="EW407" i="1"/>
  <c r="EW404" i="1"/>
  <c r="DD384" i="1"/>
  <c r="N530" i="1"/>
  <c r="M533" i="1"/>
  <c r="M594" i="1" s="1"/>
  <c r="N594" i="1" s="1"/>
  <c r="FJ525" i="1"/>
  <c r="FK324" i="1"/>
  <c r="FF155" i="1"/>
  <c r="FF154" i="1"/>
  <c r="FH149" i="1"/>
  <c r="FG153" i="1"/>
  <c r="T522" i="1"/>
  <c r="FH252" i="1"/>
  <c r="FH249" i="1"/>
  <c r="FI249" i="1" s="1"/>
  <c r="FI248" i="1"/>
  <c r="K523" i="1"/>
  <c r="L521" i="1"/>
  <c r="O520" i="1"/>
  <c r="P518" i="1"/>
  <c r="BE770" i="1"/>
  <c r="BE518" i="1"/>
  <c r="BF97" i="1"/>
  <c r="FZ685" i="1"/>
  <c r="CL685" i="1"/>
  <c r="CK687" i="1"/>
  <c r="CL687" i="1" s="1"/>
  <c r="CT685" i="1"/>
  <c r="CL708" i="1"/>
  <c r="CT708" i="1"/>
  <c r="AU529" i="1"/>
  <c r="AV457" i="1"/>
  <c r="DQ428" i="1"/>
  <c r="DQ774" i="1" s="1"/>
  <c r="DQ779" i="1" s="1"/>
  <c r="DR426" i="1"/>
  <c r="CL423" i="1"/>
  <c r="GG320" i="1"/>
  <c r="GP232" i="1"/>
  <c r="GQ229" i="1"/>
  <c r="EA523" i="1"/>
  <c r="EB521" i="1"/>
  <c r="CY12" i="1"/>
  <c r="CZ7" i="1"/>
  <c r="BH129" i="1"/>
  <c r="FE94" i="1"/>
  <c r="FG94" i="1"/>
  <c r="DA770" i="1"/>
  <c r="DA518" i="1"/>
  <c r="DA98" i="1"/>
  <c r="DB97" i="1"/>
  <c r="AW529" i="1"/>
  <c r="AX457" i="1"/>
  <c r="BF457" i="1"/>
  <c r="DR384" i="1"/>
  <c r="BF384" i="1"/>
  <c r="CS428" i="1"/>
  <c r="CT426" i="1"/>
  <c r="BN426" i="1"/>
  <c r="BM428" i="1"/>
  <c r="BM774" i="1" s="1"/>
  <c r="BM779" i="1" s="1"/>
  <c r="AG528" i="1"/>
  <c r="AH428" i="1"/>
  <c r="BR526" i="1"/>
  <c r="CW771" i="1"/>
  <c r="CW522" i="1"/>
  <c r="CX252" i="1"/>
  <c r="CW253" i="1"/>
  <c r="DR218" i="1"/>
  <c r="EB253" i="1"/>
  <c r="CS769" i="1"/>
  <c r="CS519" i="1"/>
  <c r="CS133" i="1"/>
  <c r="CT132" i="1"/>
  <c r="CM523" i="1"/>
  <c r="CN521" i="1"/>
  <c r="AA523" i="1"/>
  <c r="AB521" i="1"/>
  <c r="CV7" i="1"/>
  <c r="CU12" i="1"/>
  <c r="L94" i="1"/>
  <c r="FJ169" i="1"/>
  <c r="FK164" i="1"/>
  <c r="FJ174" i="1"/>
  <c r="FJ175" i="1"/>
  <c r="FJ176" i="1"/>
  <c r="M590" i="1"/>
  <c r="N590" i="1" s="1"/>
  <c r="N518" i="1"/>
  <c r="M520" i="1"/>
  <c r="AT94" i="1"/>
  <c r="GK619" i="1"/>
  <c r="EJ426" i="1"/>
  <c r="EI428" i="1"/>
  <c r="DT423" i="1"/>
  <c r="DC428" i="1"/>
  <c r="DD426" i="1"/>
  <c r="CM428" i="1"/>
  <c r="CN426" i="1"/>
  <c r="BW428" i="1"/>
  <c r="BW774" i="1" s="1"/>
  <c r="BW779" i="1" s="1"/>
  <c r="BX426" i="1"/>
  <c r="GK420" i="1"/>
  <c r="DW527" i="1"/>
  <c r="DW391" i="1"/>
  <c r="DX387" i="1"/>
  <c r="DW388" i="1"/>
  <c r="BK527" i="1"/>
  <c r="BL387" i="1"/>
  <c r="GO9" i="1"/>
  <c r="DP325" i="1"/>
  <c r="GU282" i="1"/>
  <c r="GV282" i="1"/>
  <c r="BZ526" i="1"/>
  <c r="AW523" i="1"/>
  <c r="AX521" i="1"/>
  <c r="X129" i="1"/>
  <c r="N132" i="1"/>
  <c r="GF8" i="1"/>
  <c r="GG8" i="1" s="1"/>
  <c r="BZ522" i="1"/>
  <c r="DT218" i="1"/>
  <c r="EK528" i="1"/>
  <c r="EK432" i="1"/>
  <c r="EK429" i="1"/>
  <c r="EL428" i="1"/>
  <c r="BB519" i="1"/>
  <c r="FG529" i="1"/>
  <c r="DZ384" i="1"/>
  <c r="BM527" i="1"/>
  <c r="BN387" i="1"/>
  <c r="FS423" i="1"/>
  <c r="FD530" i="1"/>
  <c r="FG530" i="1" s="1"/>
  <c r="FE527" i="1"/>
  <c r="EU915" i="1"/>
  <c r="EV402" i="1"/>
  <c r="EU403" i="1"/>
  <c r="EV403" i="1" s="1"/>
  <c r="DS774" i="1"/>
  <c r="DS779" i="1" s="1"/>
  <c r="DS527" i="1"/>
  <c r="DS391" i="1"/>
  <c r="DT387" i="1"/>
  <c r="DS388" i="1"/>
  <c r="CX287" i="1"/>
  <c r="CW289" i="1"/>
  <c r="CY281" i="1"/>
  <c r="DE771" i="1"/>
  <c r="DE522" i="1"/>
  <c r="DE523" i="1" s="1"/>
  <c r="DE253" i="1"/>
  <c r="DF252" i="1"/>
  <c r="V530" i="1"/>
  <c r="U533" i="1"/>
  <c r="BU523" i="1"/>
  <c r="BV521" i="1"/>
  <c r="EG769" i="1"/>
  <c r="EG776" i="1" s="1"/>
  <c r="EG519" i="1"/>
  <c r="EG136" i="1"/>
  <c r="EH136" i="1" s="1"/>
  <c r="EG133" i="1"/>
  <c r="EH133" i="1" s="1"/>
  <c r="EH132" i="1"/>
  <c r="BU769" i="1"/>
  <c r="BU519" i="1"/>
  <c r="BV132" i="1"/>
  <c r="FW129" i="1"/>
  <c r="CL94" i="1"/>
  <c r="FL529" i="1"/>
  <c r="FM457" i="1"/>
  <c r="FQ422" i="1"/>
  <c r="FP426" i="1"/>
  <c r="FP423" i="1"/>
  <c r="FQ423" i="1" s="1"/>
  <c r="M601" i="1"/>
  <c r="N601" i="1" s="1"/>
  <c r="N528" i="1"/>
  <c r="EV330" i="1"/>
  <c r="EN330" i="1"/>
  <c r="P525" i="1"/>
  <c r="O526" i="1"/>
  <c r="FX774" i="1"/>
  <c r="FX779" i="1" s="1"/>
  <c r="FX527" i="1"/>
  <c r="GT358" i="1"/>
  <c r="GT360" i="1" s="1"/>
  <c r="GS358" i="1"/>
  <c r="EH256" i="1"/>
  <c r="Z522" i="1"/>
  <c r="FR249" i="1"/>
  <c r="FS248" i="1"/>
  <c r="FR252" i="1"/>
  <c r="FL252" i="1"/>
  <c r="FL249" i="1"/>
  <c r="FM248" i="1"/>
  <c r="DZ222" i="1"/>
  <c r="BT129" i="1"/>
  <c r="DX218" i="1"/>
  <c r="CU523" i="1"/>
  <c r="CV521" i="1"/>
  <c r="FN773" i="1"/>
  <c r="FN521" i="1"/>
  <c r="FO217" i="1"/>
  <c r="DO770" i="1"/>
  <c r="DO518" i="1"/>
  <c r="DP97" i="1"/>
  <c r="DO102" i="1"/>
  <c r="DO98" i="1"/>
  <c r="BD94" i="1"/>
  <c r="GC129" i="1"/>
  <c r="DR7" i="1"/>
  <c r="DQ12" i="1"/>
  <c r="FQ687" i="1"/>
  <c r="GI531" i="1"/>
  <c r="BG529" i="1"/>
  <c r="BH457" i="1"/>
  <c r="GG531" i="1"/>
  <c r="U601" i="1"/>
  <c r="V601" i="1" s="1"/>
  <c r="V528" i="1"/>
  <c r="EH384" i="1"/>
  <c r="BV384" i="1"/>
  <c r="FM426" i="1"/>
  <c r="FL428" i="1"/>
  <c r="AR525" i="1"/>
  <c r="AQ526" i="1"/>
  <c r="ED526" i="1"/>
  <c r="ED253" i="1"/>
  <c r="DN252" i="1"/>
  <c r="FP153" i="1"/>
  <c r="FQ149" i="1"/>
  <c r="FP159" i="1"/>
  <c r="FP158" i="1"/>
  <c r="FP160" i="1"/>
  <c r="AF129" i="1"/>
  <c r="EO769" i="1"/>
  <c r="EO519" i="1"/>
  <c r="EO136" i="1"/>
  <c r="EO133" i="1"/>
  <c r="EP132" i="1"/>
  <c r="CC769" i="1"/>
  <c r="CC519" i="1"/>
  <c r="CD132" i="1"/>
  <c r="BG523" i="1"/>
  <c r="BH521" i="1"/>
  <c r="GO214" i="1"/>
  <c r="DL94" i="1"/>
  <c r="AY770" i="1"/>
  <c r="AY518" i="1"/>
  <c r="AZ97" i="1"/>
  <c r="CV129" i="1"/>
  <c r="BP129" i="1"/>
  <c r="AJ129" i="1"/>
  <c r="CX94" i="1"/>
  <c r="U590" i="1"/>
  <c r="V590" i="1" s="1"/>
  <c r="V518" i="1"/>
  <c r="U520" i="1"/>
  <c r="GG88" i="1"/>
  <c r="FM687" i="1"/>
  <c r="FK529" i="1"/>
  <c r="AB423" i="1"/>
  <c r="GP775" i="1"/>
  <c r="GP531" i="1"/>
  <c r="GR490" i="1"/>
  <c r="GQ490" i="1"/>
  <c r="CW774" i="1"/>
  <c r="CW779" i="1" s="1"/>
  <c r="CW527" i="1"/>
  <c r="CW388" i="1"/>
  <c r="CX387" i="1"/>
  <c r="AK527" i="1"/>
  <c r="AL387" i="1"/>
  <c r="ET314" i="1"/>
  <c r="EU314" i="1"/>
  <c r="GK531" i="1"/>
  <c r="DA428" i="1"/>
  <c r="DB426" i="1"/>
  <c r="BV426" i="1"/>
  <c r="BU428" i="1"/>
  <c r="AO528" i="1"/>
  <c r="AP428" i="1"/>
  <c r="BV526" i="1"/>
  <c r="CZ249" i="1"/>
  <c r="BD129" i="1"/>
  <c r="DD522" i="1"/>
  <c r="AQ771" i="1"/>
  <c r="AQ522" i="1"/>
  <c r="FP252" i="1"/>
  <c r="AR252" i="1"/>
  <c r="CO769" i="1"/>
  <c r="CO776" i="1" s="1"/>
  <c r="CO519" i="1"/>
  <c r="CO133" i="1"/>
  <c r="CP132" i="1"/>
  <c r="GJ769" i="1"/>
  <c r="GJ519" i="1"/>
  <c r="GJ133" i="1"/>
  <c r="GK132" i="1"/>
  <c r="GT51" i="1"/>
  <c r="GS51" i="1"/>
  <c r="DN687" i="1"/>
  <c r="GT611" i="1"/>
  <c r="GS611" i="1"/>
  <c r="ED133" i="1"/>
  <c r="DN519" i="1"/>
  <c r="EU576" i="1"/>
  <c r="EV575" i="1"/>
  <c r="FQ453" i="1"/>
  <c r="FP454" i="1"/>
  <c r="FQ454" i="1" s="1"/>
  <c r="AJ501" i="1"/>
  <c r="AI502" i="1"/>
  <c r="AR501" i="1"/>
  <c r="CC774" i="1"/>
  <c r="CC779" i="1" s="1"/>
  <c r="CC527" i="1"/>
  <c r="CD387" i="1"/>
  <c r="DI428" i="1"/>
  <c r="DJ426" i="1"/>
  <c r="EI774" i="1"/>
  <c r="EI779" i="1" s="1"/>
  <c r="EI527" i="1"/>
  <c r="EI391" i="1"/>
  <c r="EI388" i="1"/>
  <c r="EJ388" i="1" s="1"/>
  <c r="EJ387" i="1"/>
  <c r="GD289" i="1"/>
  <c r="GE287" i="1"/>
  <c r="GF281" i="1"/>
  <c r="ET256" i="1"/>
  <c r="EL256" i="1"/>
  <c r="EQ373" i="1"/>
  <c r="EQ370" i="1"/>
  <c r="ER367" i="1"/>
  <c r="CA771" i="1"/>
  <c r="CA522" i="1"/>
  <c r="CB252" i="1"/>
  <c r="EF521" i="1"/>
  <c r="FZ249" i="1"/>
  <c r="GA249" i="1" s="1"/>
  <c r="GA248" i="1"/>
  <c r="FZ252" i="1"/>
  <c r="C45" i="1"/>
  <c r="C44" i="1"/>
  <c r="C38" i="1"/>
  <c r="C43" i="1"/>
  <c r="C46" i="1"/>
  <c r="DF7" i="1"/>
  <c r="DE12" i="1"/>
  <c r="EJ7" i="1"/>
  <c r="EI12" i="1"/>
  <c r="EC770" i="1"/>
  <c r="EC776" i="1" s="1"/>
  <c r="EC518" i="1"/>
  <c r="EC102" i="1"/>
  <c r="EC98" i="1"/>
  <c r="ED97" i="1"/>
  <c r="GJ687" i="1"/>
  <c r="GK685" i="1"/>
  <c r="AT528" i="1"/>
  <c r="BI774" i="1"/>
  <c r="BI779" i="1" s="1"/>
  <c r="BI527" i="1"/>
  <c r="BJ387" i="1"/>
  <c r="AF527" i="1"/>
  <c r="CY527" i="1"/>
  <c r="CZ387" i="1"/>
  <c r="CY388" i="1"/>
  <c r="ET374" i="1"/>
  <c r="GP374" i="1"/>
  <c r="DH525" i="1"/>
  <c r="DG526" i="1"/>
  <c r="AY858" i="1"/>
  <c r="AY859" i="1" s="1"/>
  <c r="AZ502" i="1"/>
  <c r="BH502" i="1"/>
  <c r="AD530" i="1"/>
  <c r="AC533" i="1"/>
  <c r="AC591" i="1" s="1"/>
  <c r="AD591" i="1" s="1"/>
  <c r="AT501" i="1"/>
  <c r="AS502" i="1"/>
  <c r="BB501" i="1"/>
  <c r="CY769" i="1"/>
  <c r="CY519" i="1"/>
  <c r="CZ132" i="1"/>
  <c r="CY136" i="1"/>
  <c r="CY133" i="1"/>
  <c r="GS227" i="1"/>
  <c r="GT227" i="1"/>
  <c r="EM770" i="1"/>
  <c r="EM518" i="1"/>
  <c r="EN97" i="1"/>
  <c r="EM102" i="1"/>
  <c r="EM98" i="1"/>
  <c r="EN98" i="1" s="1"/>
  <c r="EB7" i="1"/>
  <c r="EA12" i="1"/>
  <c r="EE12" i="1"/>
  <c r="EF7" i="1"/>
  <c r="BZ529" i="1"/>
  <c r="AQ529" i="1"/>
  <c r="FP457" i="1"/>
  <c r="AR457" i="1"/>
  <c r="EM428" i="1"/>
  <c r="EN426" i="1"/>
  <c r="DW428" i="1"/>
  <c r="DX426" i="1"/>
  <c r="DG428" i="1"/>
  <c r="DG774" i="1" s="1"/>
  <c r="DG779" i="1" s="1"/>
  <c r="DH426" i="1"/>
  <c r="CB423" i="1"/>
  <c r="BA528" i="1"/>
  <c r="BB428" i="1"/>
  <c r="CK774" i="1"/>
  <c r="CK779" i="1" s="1"/>
  <c r="CK527" i="1"/>
  <c r="CL387" i="1"/>
  <c r="FX324" i="1"/>
  <c r="FX317" i="1"/>
  <c r="FY317" i="1" s="1"/>
  <c r="FY316" i="1"/>
  <c r="CK523" i="1"/>
  <c r="CL521" i="1"/>
  <c r="BK769" i="1"/>
  <c r="BK519" i="1"/>
  <c r="BL132" i="1"/>
  <c r="EW126" i="1"/>
  <c r="EV126" i="1"/>
  <c r="EU119" i="1"/>
  <c r="GR30" i="1"/>
  <c r="GQ30" i="1"/>
  <c r="GM708" i="1"/>
  <c r="GG670" i="1"/>
  <c r="X529" i="1"/>
  <c r="AH526" i="1"/>
  <c r="DB526" i="1"/>
  <c r="CP526" i="1"/>
  <c r="DH8" i="1"/>
  <c r="GD769" i="1"/>
  <c r="GD519" i="1"/>
  <c r="GE132" i="1"/>
  <c r="GD133" i="1"/>
  <c r="DJ7" i="1"/>
  <c r="DI12" i="1"/>
  <c r="DP133" i="1"/>
  <c r="GP656" i="1"/>
  <c r="EW658" i="1"/>
  <c r="EX658" i="1" s="1"/>
  <c r="EX656" i="1"/>
  <c r="BI529" i="1"/>
  <c r="BJ457" i="1"/>
  <c r="AZ457" i="1"/>
  <c r="EF423" i="1"/>
  <c r="DP423" i="1"/>
  <c r="CY428" i="1"/>
  <c r="CY774" i="1" s="1"/>
  <c r="CY779" i="1" s="1"/>
  <c r="CZ426" i="1"/>
  <c r="CI428" i="1"/>
  <c r="CI774" i="1" s="1"/>
  <c r="CI779" i="1" s="1"/>
  <c r="CJ426" i="1"/>
  <c r="CS774" i="1"/>
  <c r="CS779" i="1" s="1"/>
  <c r="CS527" i="1"/>
  <c r="CT387" i="1"/>
  <c r="CS388" i="1"/>
  <c r="CM774" i="1"/>
  <c r="CM779" i="1" s="1"/>
  <c r="CM527" i="1"/>
  <c r="CM388" i="1"/>
  <c r="CN387" i="1"/>
  <c r="CQ287" i="1"/>
  <c r="CQ294" i="1"/>
  <c r="CQ295" i="1" s="1"/>
  <c r="CQ293" i="1"/>
  <c r="GX375" i="1"/>
  <c r="GW375" i="1"/>
  <c r="ES239" i="1"/>
  <c r="ET239" i="1" s="1"/>
  <c r="ET238" i="1"/>
  <c r="CZ521" i="1"/>
  <c r="AN521" i="1"/>
  <c r="FV249" i="1"/>
  <c r="FW248" i="1"/>
  <c r="FV252" i="1"/>
  <c r="DU770" i="1"/>
  <c r="DU518" i="1"/>
  <c r="DU102" i="1"/>
  <c r="DV102" i="1" s="1"/>
  <c r="DU98" i="1"/>
  <c r="DV98" i="1" s="1"/>
  <c r="DV97" i="1"/>
  <c r="GN94" i="1"/>
  <c r="GO94" i="1" s="1"/>
  <c r="GO93" i="1"/>
  <c r="GN7" i="1"/>
  <c r="GN97" i="1"/>
  <c r="GI670" i="1"/>
  <c r="GM531" i="1"/>
  <c r="DO527" i="1"/>
  <c r="DO391" i="1"/>
  <c r="DP391" i="1" s="1"/>
  <c r="DO388" i="1"/>
  <c r="DP388" i="1" s="1"/>
  <c r="DP387" i="1"/>
  <c r="GF526" i="1"/>
  <c r="DX525" i="1"/>
  <c r="DW526" i="1"/>
  <c r="EX229" i="1"/>
  <c r="EW232" i="1"/>
  <c r="EW235" i="1"/>
  <c r="GV237" i="1"/>
  <c r="GU237" i="1"/>
  <c r="DT522" i="1"/>
  <c r="BH522" i="1"/>
  <c r="AK769" i="1"/>
  <c r="AK519" i="1"/>
  <c r="AL132" i="1"/>
  <c r="FZ773" i="1"/>
  <c r="FZ521" i="1"/>
  <c r="GA217" i="1"/>
  <c r="EX123" i="1"/>
  <c r="EW115" i="1"/>
  <c r="GP115" i="1" s="1"/>
  <c r="EV116" i="1"/>
  <c r="CI770" i="1"/>
  <c r="CI518" i="1"/>
  <c r="CJ97" i="1"/>
  <c r="AA769" i="1"/>
  <c r="AA519" i="1"/>
  <c r="AB132" i="1"/>
  <c r="GC705" i="1"/>
  <c r="CE687" i="1"/>
  <c r="CF687" i="1" s="1"/>
  <c r="CF685" i="1"/>
  <c r="GE420" i="1"/>
  <c r="GG420" i="1"/>
  <c r="L457" i="1"/>
  <c r="AE528" i="1"/>
  <c r="AF428" i="1"/>
  <c r="GF428" i="1"/>
  <c r="GC426" i="1"/>
  <c r="GB428" i="1"/>
  <c r="CV384" i="1"/>
  <c r="AC598" i="1"/>
  <c r="AD526" i="1"/>
  <c r="CQ771" i="1"/>
  <c r="CQ522" i="1"/>
  <c r="CR252" i="1"/>
  <c r="CQ253" i="1"/>
  <c r="FN193" i="1"/>
  <c r="CR129" i="1"/>
  <c r="BP522" i="1"/>
  <c r="FN771" i="1"/>
  <c r="FN522" i="1"/>
  <c r="FO252" i="1"/>
  <c r="DI769" i="1"/>
  <c r="DI519" i="1"/>
  <c r="DI136" i="1"/>
  <c r="DI133" i="1"/>
  <c r="DJ132" i="1"/>
  <c r="AX129" i="1"/>
  <c r="R519" i="1"/>
  <c r="EH7" i="1"/>
  <c r="EG12" i="1"/>
  <c r="FP94" i="1"/>
  <c r="FQ94" i="1" s="1"/>
  <c r="FQ93" i="1"/>
  <c r="FJ519" i="1"/>
  <c r="FK132" i="1"/>
  <c r="AO770" i="1"/>
  <c r="AO518" i="1"/>
  <c r="AP97" i="1"/>
  <c r="BG428" i="1"/>
  <c r="BH426" i="1"/>
  <c r="ED384" i="1"/>
  <c r="BR384" i="1"/>
  <c r="DH384" i="1"/>
  <c r="AV384" i="1"/>
  <c r="GM320" i="1"/>
  <c r="EP522" i="1"/>
  <c r="DF526" i="1"/>
  <c r="EM771" i="1"/>
  <c r="EM522" i="1"/>
  <c r="EM256" i="1"/>
  <c r="EM253" i="1"/>
  <c r="EN252" i="1"/>
  <c r="AM771" i="1"/>
  <c r="AM522" i="1"/>
  <c r="AN252" i="1"/>
  <c r="FT252" i="1"/>
  <c r="FT249" i="1"/>
  <c r="FU249" i="1" s="1"/>
  <c r="FU248" i="1"/>
  <c r="DH521" i="1"/>
  <c r="AU523" i="1"/>
  <c r="AV521" i="1"/>
  <c r="S523" i="1"/>
  <c r="T521" i="1"/>
  <c r="AU770" i="1"/>
  <c r="AU518" i="1"/>
  <c r="AV97" i="1"/>
  <c r="FX773" i="1"/>
  <c r="FX521" i="1"/>
  <c r="FY217" i="1"/>
  <c r="FT769" i="1"/>
  <c r="FT519" i="1"/>
  <c r="GH769" i="1"/>
  <c r="GH519" i="1"/>
  <c r="GI132" i="1"/>
  <c r="GH133" i="1"/>
  <c r="GI133" i="1" s="1"/>
  <c r="DU528" i="1"/>
  <c r="DU432" i="1"/>
  <c r="DU429" i="1"/>
  <c r="DV428" i="1"/>
  <c r="CO528" i="1"/>
  <c r="CO429" i="1"/>
  <c r="CP428" i="1"/>
  <c r="DV522" i="1"/>
  <c r="AP522" i="1"/>
  <c r="CZ685" i="1"/>
  <c r="CM687" i="1"/>
  <c r="CN687" i="1" s="1"/>
  <c r="CN685" i="1"/>
  <c r="EU634" i="1"/>
  <c r="ET634" i="1"/>
  <c r="EN508" i="1"/>
  <c r="FN346" i="1"/>
  <c r="FO344" i="1"/>
  <c r="FQ344" i="1"/>
  <c r="T527" i="1"/>
  <c r="S530" i="1"/>
  <c r="AR384" i="1"/>
  <c r="AO858" i="1"/>
  <c r="AO859" i="1" s="1"/>
  <c r="AP502" i="1"/>
  <c r="AX502" i="1"/>
  <c r="AX526" i="1"/>
  <c r="FS384" i="1"/>
  <c r="EQ239" i="1"/>
  <c r="ER238" i="1"/>
  <c r="CF522" i="1"/>
  <c r="AZ522" i="1"/>
  <c r="DM523" i="1"/>
  <c r="DN521" i="1"/>
  <c r="BA523" i="1"/>
  <c r="BB521" i="1"/>
  <c r="Z519" i="1"/>
  <c r="AQ770" i="1"/>
  <c r="AQ518" i="1"/>
  <c r="FP97" i="1"/>
  <c r="AR97" i="1"/>
  <c r="EL94" i="1"/>
  <c r="FZ769" i="1"/>
  <c r="FZ519" i="1"/>
  <c r="GA132" i="1"/>
  <c r="S528" i="1"/>
  <c r="T428" i="1"/>
  <c r="GH387" i="1"/>
  <c r="GH384" i="1"/>
  <c r="GI383" i="1"/>
  <c r="GH10" i="1"/>
  <c r="GG381" i="1"/>
  <c r="GG265" i="1"/>
  <c r="GF270" i="1"/>
  <c r="GF277" i="1"/>
  <c r="GF276" i="1"/>
  <c r="FK245" i="1"/>
  <c r="GR229" i="1"/>
  <c r="GT228" i="1"/>
  <c r="GS228" i="1"/>
  <c r="CY770" i="1"/>
  <c r="CY518" i="1"/>
  <c r="CZ97" i="1"/>
  <c r="CY98" i="1"/>
  <c r="FJ521" i="1"/>
  <c r="FK217" i="1"/>
  <c r="FR132" i="1"/>
  <c r="FR129" i="1"/>
  <c r="FS129" i="1" s="1"/>
  <c r="FS128" i="1"/>
  <c r="FD518" i="1"/>
  <c r="FE97" i="1"/>
  <c r="FG97" i="1"/>
  <c r="GK88" i="1"/>
  <c r="GI685" i="1"/>
  <c r="GH687" i="1"/>
  <c r="GI687" i="1" s="1"/>
  <c r="AV423" i="1"/>
  <c r="L527" i="1"/>
  <c r="K530" i="1"/>
  <c r="CT423" i="1"/>
  <c r="BN423" i="1"/>
  <c r="AH423" i="1"/>
  <c r="DK527" i="1"/>
  <c r="DK391" i="1"/>
  <c r="DL387" i="1"/>
  <c r="DK388" i="1"/>
  <c r="AY774" i="1"/>
  <c r="AY779" i="1" s="1"/>
  <c r="AY527" i="1"/>
  <c r="AZ387" i="1"/>
  <c r="FS501" i="1"/>
  <c r="FR852" i="1"/>
  <c r="FR502" i="1"/>
  <c r="BK771" i="1"/>
  <c r="BK522" i="1"/>
  <c r="BK523" i="1" s="1"/>
  <c r="BL252" i="1"/>
  <c r="DR222" i="1"/>
  <c r="EB256" i="1"/>
  <c r="GL773" i="1"/>
  <c r="GL521" i="1"/>
  <c r="GL218" i="1"/>
  <c r="GM218" i="1" s="1"/>
  <c r="GM217" i="1"/>
  <c r="CV94" i="1"/>
  <c r="K770" i="1"/>
  <c r="K518" i="1"/>
  <c r="L97" i="1"/>
  <c r="BU770" i="1"/>
  <c r="BU518" i="1"/>
  <c r="BV97" i="1"/>
  <c r="AS770" i="1"/>
  <c r="AS518" i="1"/>
  <c r="AT97" i="1"/>
  <c r="DT687" i="1"/>
  <c r="BX687" i="1"/>
  <c r="AR687" i="1"/>
  <c r="BN529" i="1"/>
  <c r="AM529" i="1"/>
  <c r="AN457" i="1"/>
  <c r="CG774" i="1"/>
  <c r="CG779" i="1" s="1"/>
  <c r="CG527" i="1"/>
  <c r="CH387" i="1"/>
  <c r="GN526" i="1"/>
  <c r="CZ525" i="1"/>
  <c r="CY526" i="1"/>
  <c r="CJ525" i="1"/>
  <c r="CI526" i="1"/>
  <c r="BT525" i="1"/>
  <c r="BS526" i="1"/>
  <c r="FU281" i="1"/>
  <c r="FT287" i="1"/>
  <c r="FT293" i="1"/>
  <c r="FT294" i="1"/>
  <c r="FH527" i="1"/>
  <c r="FI387" i="1"/>
  <c r="BF526" i="1"/>
  <c r="DZ522" i="1"/>
  <c r="R522" i="1"/>
  <c r="CQ265" i="1"/>
  <c r="CO272" i="1"/>
  <c r="EJ253" i="1"/>
  <c r="FY245" i="1"/>
  <c r="AT129" i="1"/>
  <c r="M591" i="1"/>
  <c r="N591" i="1" s="1"/>
  <c r="N519" i="1"/>
  <c r="FE521" i="1"/>
  <c r="GF773" i="1"/>
  <c r="GF521" i="1"/>
  <c r="GF222" i="1"/>
  <c r="GF218" i="1"/>
  <c r="GG217" i="1"/>
  <c r="DW12" i="1"/>
  <c r="DX7" i="1"/>
  <c r="GK521" i="1"/>
  <c r="DZ7" i="1"/>
  <c r="DY12" i="1"/>
  <c r="GC88" i="1"/>
  <c r="BB94" i="1"/>
  <c r="GC214" i="1"/>
  <c r="CN670" i="1"/>
  <c r="FO670" i="1"/>
  <c r="FY687" i="1"/>
  <c r="ES619" i="1"/>
  <c r="ER619" i="1"/>
  <c r="EQ616" i="1"/>
  <c r="EQ632" i="1" s="1"/>
  <c r="BC528" i="1"/>
  <c r="BD428" i="1"/>
  <c r="BN384" i="1"/>
  <c r="FS426" i="1"/>
  <c r="FR428" i="1"/>
  <c r="EO428" i="1"/>
  <c r="EO774" i="1" s="1"/>
  <c r="EO779" i="1" s="1"/>
  <c r="EP426" i="1"/>
  <c r="EU405" i="1"/>
  <c r="EV404" i="1"/>
  <c r="BG774" i="1"/>
  <c r="BG779" i="1" s="1"/>
  <c r="BG527" i="1"/>
  <c r="BH387" i="1"/>
  <c r="GK325" i="1"/>
  <c r="BN526" i="1"/>
  <c r="DN526" i="1"/>
  <c r="FF522" i="1"/>
  <c r="FG252" i="1"/>
  <c r="FV769" i="1"/>
  <c r="FV519" i="1"/>
  <c r="FW132" i="1"/>
  <c r="DS770" i="1"/>
  <c r="DS518" i="1"/>
  <c r="DT97" i="1"/>
  <c r="DS102" i="1"/>
  <c r="DT102" i="1" s="1"/>
  <c r="DS98" i="1"/>
  <c r="DT98" i="1" s="1"/>
  <c r="FH518" i="1"/>
  <c r="FI97" i="1"/>
  <c r="CK770" i="1"/>
  <c r="CK518" i="1"/>
  <c r="CL97" i="1"/>
  <c r="C61" i="1"/>
  <c r="C56" i="1"/>
  <c r="C60" i="1"/>
  <c r="C62" i="1"/>
  <c r="AN180" i="1"/>
  <c r="AM194" i="1"/>
  <c r="AN194" i="1" s="1"/>
  <c r="BJ94" i="1"/>
  <c r="GO708" i="1"/>
  <c r="CD529" i="1"/>
  <c r="BV529" i="1"/>
  <c r="DE774" i="1"/>
  <c r="DE779" i="1" s="1"/>
  <c r="DE527" i="1"/>
  <c r="DE388" i="1"/>
  <c r="DF387" i="1"/>
  <c r="P527" i="1"/>
  <c r="GG317" i="1"/>
  <c r="EN325" i="1"/>
  <c r="CL249" i="1"/>
  <c r="DW771" i="1"/>
  <c r="DW522" i="1"/>
  <c r="DW256" i="1"/>
  <c r="DX256" i="1" s="1"/>
  <c r="DW253" i="1"/>
  <c r="DX253" i="1" s="1"/>
  <c r="DX252" i="1"/>
  <c r="BC771" i="1"/>
  <c r="BC522" i="1"/>
  <c r="BC523" i="1" s="1"/>
  <c r="BD252" i="1"/>
  <c r="DY523" i="1"/>
  <c r="DZ521" i="1"/>
  <c r="EV235" i="1"/>
  <c r="AI523" i="1"/>
  <c r="AJ521" i="1"/>
  <c r="BC770" i="1"/>
  <c r="BC518" i="1"/>
  <c r="BD97" i="1"/>
  <c r="GB769" i="1"/>
  <c r="GB519" i="1"/>
  <c r="GB133" i="1"/>
  <c r="GC132" i="1"/>
  <c r="CM769" i="1"/>
  <c r="CM776" i="1" s="1"/>
  <c r="CM519" i="1"/>
  <c r="CN132" i="1"/>
  <c r="CM133" i="1"/>
  <c r="EP7" i="1"/>
  <c r="EO12" i="1"/>
  <c r="BK428" i="1"/>
  <c r="BK774" i="1" s="1"/>
  <c r="BK779" i="1" s="1"/>
  <c r="BL426" i="1"/>
  <c r="GO531" i="1"/>
  <c r="FM422" i="1"/>
  <c r="EB384" i="1"/>
  <c r="BP384" i="1"/>
  <c r="GC381" i="1"/>
  <c r="EJ325" i="1"/>
  <c r="EJ525" i="1"/>
  <c r="EI526" i="1"/>
  <c r="DT525" i="1"/>
  <c r="DS526" i="1"/>
  <c r="ED256" i="1"/>
  <c r="DN522" i="1"/>
  <c r="U595" i="1"/>
  <c r="V522" i="1"/>
  <c r="FZ772" i="1"/>
  <c r="FZ525" i="1"/>
  <c r="GC525" i="1" s="1"/>
  <c r="GA324" i="1"/>
  <c r="FN249" i="1"/>
  <c r="FO249" i="1" s="1"/>
  <c r="FO248" i="1"/>
  <c r="GL769" i="1"/>
  <c r="GL519" i="1"/>
  <c r="GM132" i="1"/>
  <c r="GL133" i="1"/>
  <c r="GM133" i="1" s="1"/>
  <c r="GQ111" i="1"/>
  <c r="GR111" i="1"/>
  <c r="GR112" i="1" s="1"/>
  <c r="EH687" i="1"/>
  <c r="FU454" i="1"/>
  <c r="AC601" i="1"/>
  <c r="AD601" i="1" s="1"/>
  <c r="AD528" i="1"/>
  <c r="CX384" i="1"/>
  <c r="GQ419" i="1"/>
  <c r="GR419" i="1"/>
  <c r="EH423" i="1"/>
  <c r="DB423" i="1"/>
  <c r="BV423" i="1"/>
  <c r="AP423" i="1"/>
  <c r="EM774" i="1"/>
  <c r="EM779" i="1" s="1"/>
  <c r="EM527" i="1"/>
  <c r="EM391" i="1"/>
  <c r="EM388" i="1"/>
  <c r="EN387" i="1"/>
  <c r="CB384" i="1"/>
  <c r="GO381" i="1"/>
  <c r="X525" i="1"/>
  <c r="W526" i="1"/>
  <c r="GQ288" i="1"/>
  <c r="GR288" i="1"/>
  <c r="CY771" i="1"/>
  <c r="CY522" i="1"/>
  <c r="CZ252" i="1"/>
  <c r="CY253" i="1"/>
  <c r="GJ252" i="1"/>
  <c r="GJ249" i="1"/>
  <c r="GK249" i="1" s="1"/>
  <c r="GK248" i="1"/>
  <c r="GJ8" i="1"/>
  <c r="GI214" i="1"/>
  <c r="CT7" i="1"/>
  <c r="CS12" i="1"/>
  <c r="DJ8" i="1"/>
  <c r="AA520" i="1"/>
  <c r="AB518" i="1"/>
  <c r="ED136" i="1"/>
  <c r="DM776" i="1"/>
  <c r="GR668" i="1"/>
  <c r="GQ668" i="1"/>
  <c r="EW848" i="1"/>
  <c r="GJ387" i="1"/>
  <c r="GJ384" i="1"/>
  <c r="GK384" i="1" s="1"/>
  <c r="GK383" i="1"/>
  <c r="GJ10" i="1"/>
  <c r="T525" i="1"/>
  <c r="S526" i="1"/>
  <c r="EH526" i="1"/>
  <c r="FF39" i="1"/>
  <c r="FG38" i="1"/>
  <c r="FH29" i="1"/>
  <c r="BL529" i="1"/>
  <c r="AY528" i="1"/>
  <c r="AZ428" i="1"/>
  <c r="AM527" i="1"/>
  <c r="AN387" i="1"/>
  <c r="ES909" i="1"/>
  <c r="ES365" i="1"/>
  <c r="ET365" i="1" s="1"/>
  <c r="ET364" i="1"/>
  <c r="ES498" i="1"/>
  <c r="GP364" i="1"/>
  <c r="DR526" i="1"/>
  <c r="FD522" i="1"/>
  <c r="FD523" i="1" s="1"/>
  <c r="FE252" i="1"/>
  <c r="FF519" i="1"/>
  <c r="FG132" i="1"/>
  <c r="GT109" i="1"/>
  <c r="GU108" i="1"/>
  <c r="GV108" i="1"/>
  <c r="BS770" i="1"/>
  <c r="BS518" i="1"/>
  <c r="BT97" i="1"/>
  <c r="CQ428" i="1"/>
  <c r="CR426" i="1"/>
  <c r="O528" i="1"/>
  <c r="P428" i="1"/>
  <c r="CL384" i="1"/>
  <c r="GD387" i="1"/>
  <c r="GD384" i="1"/>
  <c r="GE383" i="1"/>
  <c r="GD10" i="1"/>
  <c r="CF384" i="1"/>
  <c r="BX525" i="1"/>
  <c r="BW526" i="1"/>
  <c r="BH525" i="1"/>
  <c r="BG526" i="1"/>
  <c r="BR249" i="1"/>
  <c r="FP249" i="1"/>
  <c r="FQ249" i="1" s="1"/>
  <c r="FQ248" i="1"/>
  <c r="DZ129" i="1"/>
  <c r="BN129" i="1"/>
  <c r="BO770" i="1"/>
  <c r="BO518" i="1"/>
  <c r="BP97" i="1"/>
  <c r="ET119" i="1"/>
  <c r="DS769" i="1"/>
  <c r="DS776" i="1" s="1"/>
  <c r="DS519" i="1"/>
  <c r="DS136" i="1"/>
  <c r="DT136" i="1" s="1"/>
  <c r="DS133" i="1"/>
  <c r="DT133" i="1" s="1"/>
  <c r="DT132" i="1"/>
  <c r="DN7" i="1"/>
  <c r="DM12" i="1"/>
  <c r="GA420" i="1"/>
  <c r="GC420" i="1"/>
  <c r="BJ423" i="1"/>
  <c r="FV387" i="1"/>
  <c r="FV384" i="1"/>
  <c r="FW384" i="1" s="1"/>
  <c r="FW383" i="1"/>
  <c r="CQ774" i="1"/>
  <c r="CQ779" i="1" s="1"/>
  <c r="CQ527" i="1"/>
  <c r="CR387" i="1"/>
  <c r="CQ388" i="1"/>
  <c r="FH526" i="1"/>
  <c r="FI525" i="1"/>
  <c r="AN525" i="1"/>
  <c r="AM526" i="1"/>
  <c r="FP317" i="1"/>
  <c r="FQ316" i="1"/>
  <c r="FS316" i="1"/>
  <c r="EV222" i="1"/>
  <c r="EN222" i="1"/>
  <c r="EM523" i="1"/>
  <c r="EN521" i="1"/>
  <c r="BX522" i="1"/>
  <c r="EK769" i="1"/>
  <c r="EK519" i="1"/>
  <c r="EK136" i="1"/>
  <c r="EK133" i="1"/>
  <c r="EL133" i="1" s="1"/>
  <c r="EL132" i="1"/>
  <c r="BY769" i="1"/>
  <c r="BY519" i="1"/>
  <c r="CH519" i="1" s="1"/>
  <c r="BZ132" i="1"/>
  <c r="CQ770" i="1"/>
  <c r="CQ518" i="1"/>
  <c r="CR97" i="1"/>
  <c r="CQ98" i="1"/>
  <c r="GV82" i="1"/>
  <c r="GU82" i="1"/>
  <c r="GD97" i="1"/>
  <c r="GD7" i="1"/>
  <c r="GD94" i="1"/>
  <c r="GE94" i="1" s="1"/>
  <c r="GE93" i="1"/>
  <c r="K769" i="1"/>
  <c r="K519" i="1"/>
  <c r="L132" i="1"/>
  <c r="AO175" i="1"/>
  <c r="AO169" i="1"/>
  <c r="AP164" i="1"/>
  <c r="AO174" i="1"/>
  <c r="AO176" i="1"/>
  <c r="CH94" i="1"/>
  <c r="GR413" i="1"/>
  <c r="GQ413" i="1"/>
  <c r="DP136" i="1"/>
  <c r="FR526" i="1"/>
  <c r="FS525" i="1"/>
  <c r="EN613" i="1"/>
  <c r="AZ529" i="1"/>
  <c r="EE428" i="1"/>
  <c r="EF426" i="1"/>
  <c r="DO428" i="1"/>
  <c r="DP426" i="1"/>
  <c r="CZ423" i="1"/>
  <c r="CJ423" i="1"/>
  <c r="X423" i="1"/>
  <c r="GO420" i="1"/>
  <c r="GL387" i="1"/>
  <c r="GL384" i="1"/>
  <c r="GM384" i="1" s="1"/>
  <c r="GM383" i="1"/>
  <c r="GL10" i="1"/>
  <c r="FD526" i="1"/>
  <c r="FE525" i="1"/>
  <c r="DJ526" i="1"/>
  <c r="GD772" i="1"/>
  <c r="GD525" i="1"/>
  <c r="GG525" i="1" s="1"/>
  <c r="GD325" i="1"/>
  <c r="GE324" i="1"/>
  <c r="CO297" i="1"/>
  <c r="AC595" i="1"/>
  <c r="AD595" i="1" s="1"/>
  <c r="AD522" i="1"/>
  <c r="GI245" i="1"/>
  <c r="FL858" i="1"/>
  <c r="FL859" i="1" s="1"/>
  <c r="FM502" i="1"/>
  <c r="EI773" i="1"/>
  <c r="EI521" i="1"/>
  <c r="EJ217" i="1"/>
  <c r="EI218" i="1"/>
  <c r="EJ218" i="1" s="1"/>
  <c r="EI222" i="1"/>
  <c r="AE770" i="1"/>
  <c r="AE518" i="1"/>
  <c r="AF97" i="1"/>
  <c r="DV7" i="1"/>
  <c r="DU12" i="1"/>
  <c r="AG770" i="1"/>
  <c r="AG518" i="1"/>
  <c r="AH97" i="1"/>
  <c r="GQ71" i="1"/>
  <c r="GR71" i="1"/>
  <c r="CP94" i="1"/>
  <c r="GR436" i="1"/>
  <c r="GS436" i="1" s="1"/>
  <c r="GT434" i="1"/>
  <c r="GS434" i="1"/>
  <c r="BO428" i="1"/>
  <c r="BO774" i="1" s="1"/>
  <c r="BO779" i="1" s="1"/>
  <c r="BP426" i="1"/>
  <c r="BC774" i="1"/>
  <c r="BC779" i="1" s="1"/>
  <c r="BC527" i="1"/>
  <c r="BD387" i="1"/>
  <c r="FW317" i="1"/>
  <c r="BV522" i="1"/>
  <c r="GT319" i="1"/>
  <c r="GS319" i="1"/>
  <c r="GB252" i="1"/>
  <c r="GB249" i="1"/>
  <c r="GC249" i="1" s="1"/>
  <c r="GC248" i="1"/>
  <c r="GB8" i="1"/>
  <c r="GC8" i="1" s="1"/>
  <c r="EL218" i="1"/>
  <c r="FT97" i="1"/>
  <c r="FT94" i="1"/>
  <c r="FU93" i="1"/>
  <c r="FW93" i="1"/>
  <c r="AB129" i="1"/>
  <c r="BQ770" i="1"/>
  <c r="BQ518" i="1"/>
  <c r="BR97" i="1"/>
  <c r="GG687" i="1"/>
  <c r="FI617" i="1"/>
  <c r="FK617" i="1"/>
  <c r="EX622" i="1"/>
  <c r="EW621" i="1"/>
  <c r="EX621" i="1" s="1"/>
  <c r="EW617" i="1"/>
  <c r="GP622" i="1"/>
  <c r="GD426" i="1"/>
  <c r="GD423" i="1"/>
  <c r="GE423" i="1" s="1"/>
  <c r="GE422" i="1"/>
  <c r="L529" i="1"/>
  <c r="FP502" i="1"/>
  <c r="FP852" i="1"/>
  <c r="DA774" i="1"/>
  <c r="DA779" i="1" s="1"/>
  <c r="DA527" i="1"/>
  <c r="DA388" i="1"/>
  <c r="DB387" i="1"/>
  <c r="AO527" i="1"/>
  <c r="AP387" i="1"/>
  <c r="GG422" i="1"/>
  <c r="DY428" i="1"/>
  <c r="DZ426" i="1"/>
  <c r="GC422" i="1"/>
  <c r="FL526" i="1"/>
  <c r="FM525" i="1"/>
  <c r="L525" i="1"/>
  <c r="K526" i="1"/>
  <c r="BB522" i="1"/>
  <c r="EX271" i="1"/>
  <c r="AJ522" i="1"/>
  <c r="DJ129" i="1"/>
  <c r="GO521" i="1"/>
  <c r="CF94" i="1"/>
  <c r="GR187" i="1"/>
  <c r="GQ187" i="1"/>
  <c r="X527" i="1"/>
  <c r="W530" i="1"/>
  <c r="GL772" i="1"/>
  <c r="GL525" i="1"/>
  <c r="GM324" i="1"/>
  <c r="GL325" i="1"/>
  <c r="GM325" i="1" s="1"/>
  <c r="DI771" i="1"/>
  <c r="DI522" i="1"/>
  <c r="DI256" i="1"/>
  <c r="DR256" i="1" s="1"/>
  <c r="DI253" i="1"/>
  <c r="DR253" i="1" s="1"/>
  <c r="DJ252" i="1"/>
  <c r="DG770" i="1"/>
  <c r="DG518" i="1"/>
  <c r="DG102" i="1"/>
  <c r="DH97" i="1"/>
  <c r="DG98" i="1"/>
  <c r="EA769" i="1"/>
  <c r="EA519" i="1"/>
  <c r="EA136" i="1"/>
  <c r="EB136" i="1" s="1"/>
  <c r="EA133" i="1"/>
  <c r="EB133" i="1" s="1"/>
  <c r="EB132" i="1"/>
  <c r="BZ423" i="1"/>
  <c r="EF687" i="1"/>
  <c r="CZ687" i="1"/>
  <c r="BD687" i="1"/>
  <c r="CP708" i="1"/>
  <c r="CX708" i="1"/>
  <c r="CN686" i="1"/>
  <c r="EW575" i="1"/>
  <c r="EX570" i="1"/>
  <c r="FY577" i="1"/>
  <c r="GA531" i="1"/>
  <c r="BP529" i="1"/>
  <c r="BX529" i="1"/>
  <c r="AN423" i="1"/>
  <c r="DJ384" i="1"/>
  <c r="Q528" i="1"/>
  <c r="R428" i="1"/>
  <c r="DC774" i="1"/>
  <c r="DC779" i="1" s="1"/>
  <c r="DC527" i="1"/>
  <c r="DC388" i="1"/>
  <c r="DD387" i="1"/>
  <c r="DC391" i="1"/>
  <c r="CV525" i="1"/>
  <c r="CU526" i="1"/>
  <c r="AZ525" i="1"/>
  <c r="AY526" i="1"/>
  <c r="FR774" i="1"/>
  <c r="FR779" i="1" s="1"/>
  <c r="FR527" i="1"/>
  <c r="FS387" i="1"/>
  <c r="O771" i="1"/>
  <c r="O522" i="1"/>
  <c r="P252" i="1"/>
  <c r="CA769" i="1"/>
  <c r="CA519" i="1"/>
  <c r="CB132" i="1"/>
  <c r="BS523" i="1"/>
  <c r="BT521" i="1"/>
  <c r="CK769" i="1"/>
  <c r="CK776" i="1" s="1"/>
  <c r="CK519" i="1"/>
  <c r="CL132" i="1"/>
  <c r="DD7" i="1"/>
  <c r="DC12" i="1"/>
  <c r="EK770" i="1"/>
  <c r="EK518" i="1"/>
  <c r="EK102" i="1"/>
  <c r="EK98" i="1"/>
  <c r="EL98" i="1" s="1"/>
  <c r="EL97" i="1"/>
  <c r="Z518" i="1"/>
  <c r="Y520" i="1"/>
  <c r="GH423" i="1"/>
  <c r="GI423" i="1" s="1"/>
  <c r="GH426" i="1"/>
  <c r="GI422" i="1"/>
  <c r="EB426" i="1"/>
  <c r="EA428" i="1"/>
  <c r="DK428" i="1"/>
  <c r="DL426" i="1"/>
  <c r="EE774" i="1"/>
  <c r="EE779" i="1" s="1"/>
  <c r="EE527" i="1"/>
  <c r="EE391" i="1"/>
  <c r="EF391" i="1" s="1"/>
  <c r="EE388" i="1"/>
  <c r="EF388" i="1" s="1"/>
  <c r="EF387" i="1"/>
  <c r="GF384" i="1"/>
  <c r="GG384" i="1" s="1"/>
  <c r="GG383" i="1"/>
  <c r="GF387" i="1"/>
  <c r="GF10" i="1"/>
  <c r="AL526" i="1"/>
  <c r="CI771" i="1"/>
  <c r="CI522" i="1"/>
  <c r="CJ252" i="1"/>
  <c r="BM523" i="1"/>
  <c r="BN521" i="1"/>
  <c r="GV117" i="1"/>
  <c r="GU117" i="1"/>
  <c r="AM769" i="1"/>
  <c r="AM519" i="1"/>
  <c r="AN132" i="1"/>
  <c r="FJ249" i="1"/>
  <c r="FK249" i="1" s="1"/>
  <c r="FK248" i="1"/>
  <c r="FJ252" i="1"/>
  <c r="U591" i="1"/>
  <c r="V591" i="1" s="1"/>
  <c r="V519" i="1"/>
  <c r="FO129" i="1"/>
  <c r="CZ94" i="1"/>
  <c r="AN94" i="1"/>
  <c r="AK770" i="1"/>
  <c r="AK518" i="1"/>
  <c r="AL97" i="1"/>
  <c r="FM317" i="1"/>
  <c r="CH526" i="1"/>
  <c r="AP526" i="1"/>
  <c r="DQ523" i="1"/>
  <c r="DR521" i="1"/>
  <c r="EB522" i="1"/>
  <c r="CW523" i="1"/>
  <c r="CX521" i="1"/>
  <c r="BQ523" i="1"/>
  <c r="BR521" i="1"/>
  <c r="CT129" i="1"/>
  <c r="GM8" i="1"/>
  <c r="CU770" i="1"/>
  <c r="CU518" i="1"/>
  <c r="CU98" i="1"/>
  <c r="CV97" i="1"/>
  <c r="AI770" i="1"/>
  <c r="AI518" i="1"/>
  <c r="AJ97" i="1"/>
  <c r="FN97" i="1"/>
  <c r="FI170" i="1"/>
  <c r="FM670" i="1"/>
  <c r="GJ426" i="1"/>
  <c r="GK422" i="1"/>
  <c r="GJ423" i="1"/>
  <c r="CH384" i="1"/>
  <c r="FZ387" i="1"/>
  <c r="FZ384" i="1"/>
  <c r="GA384" i="1" s="1"/>
  <c r="GA383" i="1"/>
  <c r="FZ10" i="1"/>
  <c r="DX384" i="1"/>
  <c r="BL384" i="1"/>
  <c r="GO324" i="1"/>
  <c r="DP525" i="1"/>
  <c r="DO526" i="1"/>
  <c r="FS289" i="1"/>
  <c r="FG525" i="1"/>
  <c r="FJ527" i="1"/>
  <c r="FK387" i="1"/>
  <c r="CC771" i="1"/>
  <c r="CC522" i="1"/>
  <c r="CC523" i="1" s="1"/>
  <c r="CD252" i="1"/>
  <c r="EL526" i="1"/>
  <c r="BJ526" i="1"/>
  <c r="GS231" i="1"/>
  <c r="GT231" i="1"/>
  <c r="CA523" i="1"/>
  <c r="CB521" i="1"/>
  <c r="ER256" i="1"/>
  <c r="EJ256" i="1"/>
  <c r="GL249" i="1"/>
  <c r="GM249" i="1" s="1"/>
  <c r="GM248" i="1"/>
  <c r="GL252" i="1"/>
  <c r="DW769" i="1"/>
  <c r="DW519" i="1"/>
  <c r="EF519" i="1" s="1"/>
  <c r="DW136" i="1"/>
  <c r="DX136" i="1" s="1"/>
  <c r="DW133" i="1"/>
  <c r="DX133" i="1" s="1"/>
  <c r="DX132" i="1"/>
  <c r="FR773" i="1"/>
  <c r="FR521" i="1"/>
  <c r="FS217" i="1"/>
  <c r="FH521" i="1"/>
  <c r="FI217" i="1"/>
  <c r="BN94" i="1"/>
  <c r="BA770" i="1"/>
  <c r="BA518" i="1"/>
  <c r="BB97" i="1"/>
  <c r="DR522" i="1"/>
  <c r="GM670" i="1"/>
  <c r="FW529" i="1"/>
  <c r="FY529" i="1"/>
  <c r="FQ531" i="1"/>
  <c r="FW420" i="1"/>
  <c r="FY420" i="1"/>
  <c r="AW528" i="1"/>
  <c r="AX428" i="1"/>
  <c r="DT384" i="1"/>
  <c r="GJ526" i="1"/>
  <c r="GK525" i="1"/>
  <c r="EB525" i="1"/>
  <c r="EA526" i="1"/>
  <c r="CF525" i="1"/>
  <c r="CE526" i="1"/>
  <c r="BP525" i="1"/>
  <c r="BO526" i="1"/>
  <c r="DF249" i="1"/>
  <c r="EQ240" i="1"/>
  <c r="DG771" i="1"/>
  <c r="DG522" i="1"/>
  <c r="DG523" i="1" s="1"/>
  <c r="DG256" i="1"/>
  <c r="DG253" i="1"/>
  <c r="DH252" i="1"/>
  <c r="FF523" i="1"/>
  <c r="FG521" i="1"/>
  <c r="CG523" i="1"/>
  <c r="CH521" i="1"/>
  <c r="EH129" i="1"/>
  <c r="BV129" i="1"/>
  <c r="GP236" i="1"/>
  <c r="DC523" i="1"/>
  <c r="DD521" i="1"/>
  <c r="FP773" i="1"/>
  <c r="FP521" i="1"/>
  <c r="FQ217" i="1"/>
  <c r="BG770" i="1"/>
  <c r="BG518" i="1"/>
  <c r="BH97" i="1"/>
  <c r="FH50" i="1"/>
  <c r="FF57" i="1"/>
  <c r="FG56" i="1"/>
  <c r="AO160" i="1"/>
  <c r="AO159" i="1"/>
  <c r="AO153" i="1"/>
  <c r="AP149" i="1"/>
  <c r="AO158" i="1"/>
  <c r="BI770" i="1"/>
  <c r="BI518" i="1"/>
  <c r="BJ97" i="1"/>
  <c r="GO670" i="1"/>
  <c r="FY669" i="1"/>
  <c r="FX670" i="1"/>
  <c r="FQ420" i="1"/>
  <c r="FS420" i="1"/>
  <c r="AT423" i="1"/>
  <c r="AS774" i="1"/>
  <c r="AS527" i="1"/>
  <c r="AT387" i="1"/>
  <c r="EN525" i="1"/>
  <c r="EM526" i="1"/>
  <c r="FY383" i="1"/>
  <c r="Z526" i="1"/>
  <c r="EH522" i="1"/>
  <c r="DX249" i="1"/>
  <c r="BD249" i="1"/>
  <c r="FM245" i="1"/>
  <c r="FO245" i="1"/>
  <c r="EU238" i="1"/>
  <c r="EV232" i="1"/>
  <c r="FE129" i="1"/>
  <c r="EM769" i="1"/>
  <c r="EM776" i="1" s="1"/>
  <c r="EM519" i="1"/>
  <c r="EM136" i="1"/>
  <c r="EM133" i="1"/>
  <c r="EN133" i="1" s="1"/>
  <c r="EN132" i="1"/>
  <c r="DO12" i="1"/>
  <c r="DP7" i="1"/>
  <c r="FQ214" i="1"/>
  <c r="CN129" i="1"/>
  <c r="DR94" i="1"/>
  <c r="GX107" i="1"/>
  <c r="GW107" i="1"/>
  <c r="EP94" i="1"/>
  <c r="CV708" i="1"/>
  <c r="BL423" i="1"/>
  <c r="GP404" i="1"/>
  <c r="GB387" i="1"/>
  <c r="GB384" i="1"/>
  <c r="GC384" i="1" s="1"/>
  <c r="GC383" i="1"/>
  <c r="GB10" i="1"/>
  <c r="ER330" i="1"/>
  <c r="EJ330" i="1"/>
  <c r="DT330" i="1"/>
  <c r="FS270" i="1"/>
  <c r="FT265" i="1"/>
  <c r="FR272" i="1"/>
  <c r="FS272" i="1" s="1"/>
  <c r="GI320" i="1"/>
  <c r="DN253" i="1"/>
  <c r="CG771" i="1"/>
  <c r="CG776" i="1" s="1"/>
  <c r="CG522" i="1"/>
  <c r="CP522" i="1" s="1"/>
  <c r="CH252" i="1"/>
  <c r="GA316" i="1"/>
  <c r="EE771" i="1"/>
  <c r="EE776" i="1" s="1"/>
  <c r="EE522" i="1"/>
  <c r="EE256" i="1"/>
  <c r="EF256" i="1" s="1"/>
  <c r="EE253" i="1"/>
  <c r="EF253" i="1" s="1"/>
  <c r="EF252" i="1"/>
  <c r="AE771" i="1"/>
  <c r="AE522" i="1"/>
  <c r="AF252" i="1"/>
  <c r="EP129" i="1"/>
  <c r="CD129" i="1"/>
  <c r="FM214" i="1"/>
  <c r="DL7" i="1"/>
  <c r="DK12" i="1"/>
  <c r="CW770" i="1"/>
  <c r="CW776" i="1" s="1"/>
  <c r="CW518" i="1"/>
  <c r="CW98" i="1"/>
  <c r="CX97" i="1"/>
  <c r="GF94" i="1"/>
  <c r="GG94" i="1" s="1"/>
  <c r="GG93" i="1"/>
  <c r="GF97" i="1"/>
  <c r="GF7" i="1"/>
  <c r="EN669" i="1"/>
  <c r="EM670" i="1"/>
  <c r="EN670" i="1" s="1"/>
  <c r="GM685" i="1"/>
  <c r="GL687" i="1"/>
  <c r="GM687" i="1" s="1"/>
  <c r="BR687" i="1"/>
  <c r="GE577" i="1"/>
  <c r="FU453" i="1"/>
  <c r="AA528" i="1"/>
  <c r="AA530" i="1" s="1"/>
  <c r="AB428" i="1"/>
  <c r="ES405" i="1"/>
  <c r="EN384" i="1"/>
  <c r="GN384" i="1"/>
  <c r="GO384" i="1" s="1"/>
  <c r="GO383" i="1"/>
  <c r="GN387" i="1"/>
  <c r="GN10" i="1"/>
  <c r="CL526" i="1"/>
  <c r="AH522" i="1"/>
  <c r="GH8" i="1"/>
  <c r="GI8" i="1" s="1"/>
  <c r="CB94" i="1"/>
  <c r="GK214" i="1"/>
  <c r="FX770" i="1"/>
  <c r="FX518" i="1"/>
  <c r="FY97" i="1"/>
  <c r="CT94" i="1"/>
  <c r="GG129" i="1"/>
  <c r="FK94" i="1"/>
  <c r="EN8" i="1"/>
  <c r="U22" i="225" l="1"/>
  <c r="U23" i="225" s="1"/>
  <c r="FI20" i="2"/>
  <c r="FI22" i="2" s="1"/>
  <c r="DR473" i="2"/>
  <c r="CT466" i="198"/>
  <c r="GS112" i="1"/>
  <c r="AB530" i="1"/>
  <c r="AA533" i="1"/>
  <c r="AA603" i="1" s="1"/>
  <c r="ER632" i="1"/>
  <c r="EQ613" i="1"/>
  <c r="EQ637" i="1"/>
  <c r="GP122" i="1"/>
  <c r="GQ115" i="1"/>
  <c r="GR368" i="1"/>
  <c r="GQ368" i="1"/>
  <c r="GP801" i="1"/>
  <c r="FX520" i="1"/>
  <c r="FY518" i="1"/>
  <c r="GN527" i="1"/>
  <c r="GO387" i="1"/>
  <c r="GN388" i="1"/>
  <c r="GF770" i="1"/>
  <c r="GF518" i="1"/>
  <c r="GF98" i="1"/>
  <c r="GG97" i="1"/>
  <c r="GF102" i="1"/>
  <c r="AF522" i="1"/>
  <c r="GY107" i="1"/>
  <c r="GZ107" i="1"/>
  <c r="AO180" i="1"/>
  <c r="AP153" i="1"/>
  <c r="AQ149" i="1"/>
  <c r="AO154" i="1"/>
  <c r="AP154" i="1" s="1"/>
  <c r="FF75" i="1"/>
  <c r="FF76" i="1"/>
  <c r="FG76" i="1" s="1"/>
  <c r="FG57" i="1"/>
  <c r="ER240" i="1"/>
  <c r="EQ248" i="1"/>
  <c r="CF526" i="1"/>
  <c r="AX528" i="1"/>
  <c r="FR297" i="1"/>
  <c r="GK423" i="1"/>
  <c r="CB519" i="1"/>
  <c r="P522" i="1"/>
  <c r="CV526" i="1"/>
  <c r="EW577" i="1"/>
  <c r="EX577" i="1" s="1"/>
  <c r="EW576" i="1"/>
  <c r="EX576" i="1" s="1"/>
  <c r="EX575" i="1"/>
  <c r="DG520" i="1"/>
  <c r="DH518" i="1"/>
  <c r="GL526" i="1"/>
  <c r="GM525" i="1"/>
  <c r="GT187" i="1"/>
  <c r="GS187" i="1"/>
  <c r="L526" i="1"/>
  <c r="DB527" i="1"/>
  <c r="FP858" i="1"/>
  <c r="FP859" i="1" s="1"/>
  <c r="GR622" i="1"/>
  <c r="GQ622" i="1"/>
  <c r="BR518" i="1"/>
  <c r="BQ520" i="1"/>
  <c r="GU319" i="1"/>
  <c r="GV319" i="1"/>
  <c r="GU434" i="1"/>
  <c r="GT436" i="1"/>
  <c r="GU436" i="1" s="1"/>
  <c r="GV434" i="1"/>
  <c r="DU14" i="1"/>
  <c r="DV12" i="1"/>
  <c r="DO528" i="1"/>
  <c r="DO432" i="1"/>
  <c r="DO429" i="1"/>
  <c r="DP428" i="1"/>
  <c r="EL519" i="1"/>
  <c r="FQ317" i="1"/>
  <c r="FS317" i="1"/>
  <c r="CR527" i="1"/>
  <c r="CQ530" i="1"/>
  <c r="DT519" i="1"/>
  <c r="BX526" i="1"/>
  <c r="CQ528" i="1"/>
  <c r="CR428" i="1"/>
  <c r="CQ429" i="1"/>
  <c r="GU109" i="1"/>
  <c r="AN527" i="1"/>
  <c r="AM530" i="1"/>
  <c r="GT668" i="1"/>
  <c r="GS668" i="1"/>
  <c r="AA592" i="1"/>
  <c r="GT288" i="1"/>
  <c r="GS288" i="1"/>
  <c r="EN388" i="1"/>
  <c r="EJ526" i="1"/>
  <c r="GC519" i="1"/>
  <c r="BC520" i="1"/>
  <c r="BD518" i="1"/>
  <c r="DX522" i="1"/>
  <c r="DS520" i="1"/>
  <c r="DT518" i="1"/>
  <c r="FW519" i="1"/>
  <c r="FV520" i="1"/>
  <c r="FG522" i="1"/>
  <c r="FR528" i="1"/>
  <c r="BD528" i="1"/>
  <c r="DX12" i="1"/>
  <c r="DW14" i="1"/>
  <c r="FU287" i="1"/>
  <c r="FV281" i="1"/>
  <c r="FT289" i="1"/>
  <c r="CJ526" i="1"/>
  <c r="GO525" i="1"/>
  <c r="L530" i="1"/>
  <c r="GI384" i="1"/>
  <c r="T528" i="1"/>
  <c r="AQ520" i="1"/>
  <c r="AR518" i="1"/>
  <c r="FT771" i="1"/>
  <c r="FT522" i="1"/>
  <c r="FU252" i="1"/>
  <c r="EN522" i="1"/>
  <c r="AP518" i="1"/>
  <c r="AO520" i="1"/>
  <c r="EH12" i="1"/>
  <c r="EG14" i="1"/>
  <c r="DJ519" i="1"/>
  <c r="GF528" i="1"/>
  <c r="GF429" i="1"/>
  <c r="GF432" i="1"/>
  <c r="GX237" i="1"/>
  <c r="GW237" i="1"/>
  <c r="DX526" i="1"/>
  <c r="DO774" i="1"/>
  <c r="DO779" i="1" s="1"/>
  <c r="FW249" i="1"/>
  <c r="GT30" i="1"/>
  <c r="GR31" i="1"/>
  <c r="GS30" i="1"/>
  <c r="CL527" i="1"/>
  <c r="BB528" i="1"/>
  <c r="EA14" i="1"/>
  <c r="EB12" i="1"/>
  <c r="CY776" i="1"/>
  <c r="GK687" i="1"/>
  <c r="ED102" i="1"/>
  <c r="EI14" i="1"/>
  <c r="EJ12" i="1"/>
  <c r="GD297" i="1"/>
  <c r="GE289" i="1"/>
  <c r="EJ527" i="1"/>
  <c r="EI530" i="1"/>
  <c r="DI528" i="1"/>
  <c r="DI432" i="1"/>
  <c r="DI429" i="1"/>
  <c r="DJ428" i="1"/>
  <c r="AR522" i="1"/>
  <c r="EW314" i="1"/>
  <c r="EV314" i="1"/>
  <c r="AK530" i="1"/>
  <c r="AL527" i="1"/>
  <c r="GQ531" i="1"/>
  <c r="FJ20" i="2" s="1"/>
  <c r="FJ22" i="2" s="1"/>
  <c r="U592" i="1"/>
  <c r="V592" i="1" s="1"/>
  <c r="AY520" i="1"/>
  <c r="AZ518" i="1"/>
  <c r="CD519" i="1"/>
  <c r="EP133" i="1"/>
  <c r="FM249" i="1"/>
  <c r="GV358" i="1"/>
  <c r="GV360" i="1" s="1"/>
  <c r="GU358" i="1"/>
  <c r="FQ426" i="1"/>
  <c r="FP428" i="1"/>
  <c r="FM529" i="1"/>
  <c r="DT527" i="1"/>
  <c r="GX282" i="1"/>
  <c r="GW282" i="1"/>
  <c r="DX391" i="1"/>
  <c r="CM528" i="1"/>
  <c r="CN428" i="1"/>
  <c r="CM429" i="1"/>
  <c r="EI528" i="1"/>
  <c r="EI432" i="1"/>
  <c r="EI429" i="1"/>
  <c r="EJ428" i="1"/>
  <c r="M592" i="1"/>
  <c r="N592" i="1" s="1"/>
  <c r="AA596" i="1"/>
  <c r="CS776" i="1"/>
  <c r="AV529" i="1"/>
  <c r="FI149" i="1"/>
  <c r="FH153" i="1"/>
  <c r="FH160" i="1"/>
  <c r="FH158" i="1"/>
  <c r="FH159" i="1"/>
  <c r="FJ526" i="1"/>
  <c r="FK525" i="1"/>
  <c r="M603" i="1"/>
  <c r="N603" i="1" s="1"/>
  <c r="EW915" i="1"/>
  <c r="EW403" i="1"/>
  <c r="EX403" i="1" s="1"/>
  <c r="EX402" i="1"/>
  <c r="GP402" i="1"/>
  <c r="FU129" i="1"/>
  <c r="BD526" i="1"/>
  <c r="ED527" i="1"/>
  <c r="EH518" i="1"/>
  <c r="EG520" i="1"/>
  <c r="CQ776" i="1"/>
  <c r="M596" i="1"/>
  <c r="N596" i="1" s="1"/>
  <c r="AV526" i="1"/>
  <c r="BY530" i="1"/>
  <c r="BZ527" i="1"/>
  <c r="EL388" i="1"/>
  <c r="CM520" i="1"/>
  <c r="CN518" i="1"/>
  <c r="BT522" i="1"/>
  <c r="DN98" i="1"/>
  <c r="DZ519" i="1"/>
  <c r="AE523" i="1"/>
  <c r="GP369" i="1"/>
  <c r="ES367" i="1"/>
  <c r="DU530" i="1"/>
  <c r="DV527" i="1"/>
  <c r="EP527" i="1"/>
  <c r="FN524" i="1"/>
  <c r="FO524" i="1" s="1"/>
  <c r="FO349" i="1"/>
  <c r="FN775" i="1"/>
  <c r="GR266" i="1"/>
  <c r="GQ266" i="1"/>
  <c r="BN522" i="1"/>
  <c r="CB527" i="1"/>
  <c r="EG528" i="1"/>
  <c r="EG432" i="1"/>
  <c r="EG429" i="1"/>
  <c r="EH428" i="1"/>
  <c r="AN501" i="1"/>
  <c r="AM502" i="1"/>
  <c r="AV501" i="1"/>
  <c r="CW14" i="1"/>
  <c r="CX12" i="1"/>
  <c r="AJ519" i="1"/>
  <c r="CV519" i="1"/>
  <c r="DK520" i="1"/>
  <c r="DL518" i="1"/>
  <c r="FM521" i="1"/>
  <c r="AF519" i="1"/>
  <c r="FR169" i="1"/>
  <c r="FS164" i="1"/>
  <c r="FR174" i="1"/>
  <c r="FR176" i="1"/>
  <c r="FR175" i="1"/>
  <c r="CN526" i="1"/>
  <c r="BP527" i="1"/>
  <c r="EG530" i="1"/>
  <c r="EH527" i="1"/>
  <c r="EP518" i="1"/>
  <c r="EO520" i="1"/>
  <c r="FE519" i="1"/>
  <c r="CJ527" i="1"/>
  <c r="AJ528" i="1"/>
  <c r="FN529" i="1"/>
  <c r="FO457" i="1"/>
  <c r="GB770" i="1"/>
  <c r="GB518" i="1"/>
  <c r="GC97" i="1"/>
  <c r="GB98" i="1"/>
  <c r="DZ518" i="1"/>
  <c r="DY520" i="1"/>
  <c r="DX98" i="1"/>
  <c r="DW520" i="1"/>
  <c r="DX518" i="1"/>
  <c r="DF519" i="1"/>
  <c r="AC596" i="1"/>
  <c r="GK7" i="1"/>
  <c r="GJ12" i="1"/>
  <c r="BH519" i="1"/>
  <c r="AM520" i="1"/>
  <c r="AN518" i="1"/>
  <c r="GR676" i="1"/>
  <c r="GQ676" i="1"/>
  <c r="GP657" i="1"/>
  <c r="GQ657" i="1" s="1"/>
  <c r="BC272" i="1"/>
  <c r="BD272" i="1" s="1"/>
  <c r="BD270" i="1"/>
  <c r="BE265" i="1"/>
  <c r="FP774" i="1"/>
  <c r="FP779" i="1" s="1"/>
  <c r="FP527" i="1"/>
  <c r="FQ387" i="1"/>
  <c r="AW530" i="1"/>
  <c r="AX527" i="1"/>
  <c r="DH12" i="1"/>
  <c r="DG14" i="1"/>
  <c r="DH527" i="1"/>
  <c r="GH770" i="1"/>
  <c r="GH776" i="1" s="1"/>
  <c r="GH518" i="1"/>
  <c r="GH102" i="1"/>
  <c r="GH98" i="1"/>
  <c r="GI98" i="1" s="1"/>
  <c r="GI97" i="1"/>
  <c r="GO218" i="1"/>
  <c r="FI529" i="1"/>
  <c r="EW909" i="1"/>
  <c r="EW365" i="1"/>
  <c r="EX365" i="1" s="1"/>
  <c r="EX364" i="1"/>
  <c r="EW498" i="1"/>
  <c r="BF528" i="1"/>
  <c r="FI426" i="1"/>
  <c r="FH428" i="1"/>
  <c r="CP518" i="1"/>
  <c r="CO520" i="1"/>
  <c r="EJ519" i="1"/>
  <c r="DB519" i="1"/>
  <c r="U596" i="1"/>
  <c r="V596" i="1" s="1"/>
  <c r="GH771" i="1"/>
  <c r="GH522" i="1"/>
  <c r="GH253" i="1"/>
  <c r="GI252" i="1"/>
  <c r="FT526" i="1"/>
  <c r="FU525" i="1"/>
  <c r="EF133" i="1"/>
  <c r="FP769" i="1"/>
  <c r="FP519" i="1"/>
  <c r="FQ132" i="1"/>
  <c r="DC776" i="1"/>
  <c r="DN527" i="1"/>
  <c r="AC592" i="1"/>
  <c r="AD592" i="1" s="1"/>
  <c r="GE249" i="1"/>
  <c r="EF102" i="1"/>
  <c r="AX518" i="1"/>
  <c r="AW520" i="1"/>
  <c r="EB98" i="1"/>
  <c r="EA520" i="1"/>
  <c r="EB518" i="1"/>
  <c r="EN12" i="1"/>
  <c r="EM14" i="1"/>
  <c r="FR529" i="1"/>
  <c r="FS457" i="1"/>
  <c r="L577" i="1"/>
  <c r="T577" i="1"/>
  <c r="EJ98" i="1"/>
  <c r="EI520" i="1"/>
  <c r="EJ518" i="1"/>
  <c r="T519" i="1"/>
  <c r="FZ770" i="1"/>
  <c r="FZ518" i="1"/>
  <c r="GA97" i="1"/>
  <c r="DR519" i="1"/>
  <c r="P519" i="1"/>
  <c r="GM423" i="1"/>
  <c r="E539" i="1"/>
  <c r="E641" i="1" s="1"/>
  <c r="E922" i="1" s="1"/>
  <c r="E538" i="1"/>
  <c r="E541" i="1" s="1"/>
  <c r="E542" i="1" s="1"/>
  <c r="E543" i="1" s="1"/>
  <c r="GQ112" i="1"/>
  <c r="ES411" i="1"/>
  <c r="ES408" i="1"/>
  <c r="ET405" i="1"/>
  <c r="EF522" i="1"/>
  <c r="FU265" i="1"/>
  <c r="FT270" i="1"/>
  <c r="FT276" i="1"/>
  <c r="FT277" i="1"/>
  <c r="GB774" i="1"/>
  <c r="GB779" i="1" s="1"/>
  <c r="GB527" i="1"/>
  <c r="GB388" i="1"/>
  <c r="GC387" i="1"/>
  <c r="EV136" i="1"/>
  <c r="EN136" i="1"/>
  <c r="FI50" i="1"/>
  <c r="FH56" i="1"/>
  <c r="FH61" i="1"/>
  <c r="FI61" i="1" s="1"/>
  <c r="FH60" i="1"/>
  <c r="FI60" i="1" s="1"/>
  <c r="FH62" i="1"/>
  <c r="FI62" i="1" s="1"/>
  <c r="GP244" i="1"/>
  <c r="GQ236" i="1"/>
  <c r="DH522" i="1"/>
  <c r="FS521" i="1"/>
  <c r="DP526" i="1"/>
  <c r="FZ527" i="1"/>
  <c r="GA387" i="1"/>
  <c r="AI520" i="1"/>
  <c r="AJ518" i="1"/>
  <c r="FJ522" i="1"/>
  <c r="FK252" i="1"/>
  <c r="GX117" i="1"/>
  <c r="GW117" i="1"/>
  <c r="EF527" i="1"/>
  <c r="DK528" i="1"/>
  <c r="DK432" i="1"/>
  <c r="DL428" i="1"/>
  <c r="DK429" i="1"/>
  <c r="GH428" i="1"/>
  <c r="GI426" i="1"/>
  <c r="CL519" i="1"/>
  <c r="DD527" i="1"/>
  <c r="R528" i="1"/>
  <c r="Q530" i="1"/>
  <c r="EB519" i="1"/>
  <c r="AO530" i="1"/>
  <c r="AP527" i="1"/>
  <c r="EX617" i="1"/>
  <c r="GP617" i="1"/>
  <c r="GQ617" i="1" s="1"/>
  <c r="GB771" i="1"/>
  <c r="GB776" i="1" s="1"/>
  <c r="GB522" i="1"/>
  <c r="GB253" i="1"/>
  <c r="GC252" i="1"/>
  <c r="ER222" i="1"/>
  <c r="EJ222" i="1"/>
  <c r="EI523" i="1"/>
  <c r="EJ521" i="1"/>
  <c r="FE526" i="1"/>
  <c r="GL527" i="1"/>
  <c r="GL388" i="1"/>
  <c r="GM387" i="1"/>
  <c r="EK776" i="1"/>
  <c r="FI526" i="1"/>
  <c r="FV527" i="1"/>
  <c r="FW387" i="1"/>
  <c r="GE384" i="1"/>
  <c r="FH38" i="1"/>
  <c r="FI29" i="1"/>
  <c r="FH45" i="1"/>
  <c r="FH43" i="1"/>
  <c r="FH44" i="1"/>
  <c r="FH46" i="1"/>
  <c r="GJ771" i="1"/>
  <c r="GJ522" i="1"/>
  <c r="GK252" i="1"/>
  <c r="GJ253" i="1"/>
  <c r="CZ522" i="1"/>
  <c r="EV391" i="1"/>
  <c r="EN391" i="1"/>
  <c r="GT419" i="1"/>
  <c r="GS419" i="1"/>
  <c r="GT111" i="1"/>
  <c r="GS111" i="1"/>
  <c r="BK528" i="1"/>
  <c r="BL428" i="1"/>
  <c r="BH527" i="1"/>
  <c r="EU411" i="1"/>
  <c r="EV405" i="1"/>
  <c r="EU408" i="1"/>
  <c r="ER616" i="1"/>
  <c r="GG521" i="1"/>
  <c r="GO526" i="1"/>
  <c r="BV518" i="1"/>
  <c r="BU520" i="1"/>
  <c r="K520" i="1"/>
  <c r="K533" i="1" s="1"/>
  <c r="L518" i="1"/>
  <c r="FR858" i="1"/>
  <c r="FR859" i="1" s="1"/>
  <c r="FS502" i="1"/>
  <c r="AZ527" i="1"/>
  <c r="AY530" i="1"/>
  <c r="DL391" i="1"/>
  <c r="FJ523" i="1"/>
  <c r="FK521" i="1"/>
  <c r="GH774" i="1"/>
  <c r="GH779" i="1" s="1"/>
  <c r="GH527" i="1"/>
  <c r="GH388" i="1"/>
  <c r="GI387" i="1"/>
  <c r="T530" i="1"/>
  <c r="GB528" i="1"/>
  <c r="GB429" i="1"/>
  <c r="CI520" i="1"/>
  <c r="CJ518" i="1"/>
  <c r="GA521" i="1"/>
  <c r="AL519" i="1"/>
  <c r="EX235" i="1"/>
  <c r="GP235" i="1"/>
  <c r="CY528" i="1"/>
  <c r="CZ428" i="1"/>
  <c r="CY429" i="1"/>
  <c r="GP658" i="1"/>
  <c r="GQ658" i="1" s="1"/>
  <c r="GQ656" i="1"/>
  <c r="GR656" i="1"/>
  <c r="EV119" i="1"/>
  <c r="BL519" i="1"/>
  <c r="FX772" i="1"/>
  <c r="FX525" i="1"/>
  <c r="FY324" i="1"/>
  <c r="DW528" i="1"/>
  <c r="DW530" i="1" s="1"/>
  <c r="DW432" i="1"/>
  <c r="DX432" i="1" s="1"/>
  <c r="DW429" i="1"/>
  <c r="DX429" i="1" s="1"/>
  <c r="DX428" i="1"/>
  <c r="FP529" i="1"/>
  <c r="FQ457" i="1"/>
  <c r="AD533" i="1"/>
  <c r="AC536" i="1"/>
  <c r="AC605" i="1"/>
  <c r="AD605" i="1" s="1"/>
  <c r="AC600" i="1"/>
  <c r="AC602" i="1"/>
  <c r="DH526" i="1"/>
  <c r="ED518" i="1"/>
  <c r="EC520" i="1"/>
  <c r="FZ771" i="1"/>
  <c r="FZ522" i="1"/>
  <c r="GA252" i="1"/>
  <c r="CB522" i="1"/>
  <c r="EQ376" i="1"/>
  <c r="ER370" i="1"/>
  <c r="EV576" i="1"/>
  <c r="GP576" i="1"/>
  <c r="GQ576" i="1" s="1"/>
  <c r="GK133" i="1"/>
  <c r="EX136" i="1"/>
  <c r="EP136" i="1"/>
  <c r="FL528" i="1"/>
  <c r="FM428" i="1"/>
  <c r="FL774" i="1"/>
  <c r="FL779" i="1" s="1"/>
  <c r="BH529" i="1"/>
  <c r="FL771" i="1"/>
  <c r="FL776" i="1" s="1"/>
  <c r="FL522" i="1"/>
  <c r="FO522" i="1" s="1"/>
  <c r="FM252" i="1"/>
  <c r="FS249" i="1"/>
  <c r="FY387" i="1"/>
  <c r="P526" i="1"/>
  <c r="BV519" i="1"/>
  <c r="V533" i="1"/>
  <c r="U536" i="1"/>
  <c r="U605" i="1"/>
  <c r="U602" i="1"/>
  <c r="U600" i="1"/>
  <c r="DT388" i="1"/>
  <c r="GO325" i="1"/>
  <c r="DX527" i="1"/>
  <c r="CU14" i="1"/>
  <c r="CV12" i="1"/>
  <c r="AH528" i="1"/>
  <c r="AG530" i="1"/>
  <c r="CS528" i="1"/>
  <c r="CS429" i="1"/>
  <c r="CT428" i="1"/>
  <c r="CZ12" i="1"/>
  <c r="CY14" i="1"/>
  <c r="BF518" i="1"/>
  <c r="BE520" i="1"/>
  <c r="FG154" i="1"/>
  <c r="FF182" i="1"/>
  <c r="AN528" i="1"/>
  <c r="DV519" i="1"/>
  <c r="FK426" i="1"/>
  <c r="FJ428" i="1"/>
  <c r="CV687" i="1"/>
  <c r="EX116" i="1"/>
  <c r="GP116" i="1"/>
  <c r="FV526" i="1"/>
  <c r="FW525" i="1"/>
  <c r="EV366" i="1"/>
  <c r="CO14" i="1"/>
  <c r="CP12" i="1"/>
  <c r="AV522" i="1"/>
  <c r="AJ526" i="1"/>
  <c r="EP613" i="1"/>
  <c r="EQ633" i="1"/>
  <c r="EF136" i="1"/>
  <c r="BR522" i="1"/>
  <c r="CA528" i="1"/>
  <c r="CA530" i="1" s="1"/>
  <c r="CB428" i="1"/>
  <c r="GO133" i="1"/>
  <c r="GL770" i="1"/>
  <c r="GL518" i="1"/>
  <c r="GL102" i="1"/>
  <c r="GL98" i="1"/>
  <c r="GM97" i="1"/>
  <c r="DH519" i="1"/>
  <c r="GS665" i="1"/>
  <c r="GT665" i="1"/>
  <c r="CF519" i="1"/>
  <c r="DP253" i="1"/>
  <c r="DL526" i="1"/>
  <c r="GR308" i="1"/>
  <c r="GQ308" i="1"/>
  <c r="GP507" i="1"/>
  <c r="GQ507" i="1" s="1"/>
  <c r="GO508" i="1"/>
  <c r="CT518" i="1"/>
  <c r="CS520" i="1"/>
  <c r="GH523" i="1"/>
  <c r="GI521" i="1"/>
  <c r="BD519" i="1"/>
  <c r="CA774" i="1"/>
  <c r="CA779" i="1" s="1"/>
  <c r="GA317" i="1"/>
  <c r="FP526" i="1"/>
  <c r="FQ525" i="1"/>
  <c r="EB391" i="1"/>
  <c r="FM423" i="1"/>
  <c r="AU289" i="1"/>
  <c r="AV287" i="1"/>
  <c r="AW281" i="1"/>
  <c r="CG528" i="1"/>
  <c r="CH428" i="1"/>
  <c r="BN518" i="1"/>
  <c r="BM520" i="1"/>
  <c r="BK520" i="1"/>
  <c r="BL518" i="1"/>
  <c r="DX102" i="1"/>
  <c r="DE776" i="1"/>
  <c r="AC594" i="1"/>
  <c r="AD594" i="1" s="1"/>
  <c r="GW480" i="1"/>
  <c r="GX480" i="1"/>
  <c r="DD526" i="1"/>
  <c r="AV528" i="1"/>
  <c r="GJ770" i="1"/>
  <c r="GJ518" i="1"/>
  <c r="GJ98" i="1"/>
  <c r="GK98" i="1" s="1"/>
  <c r="GJ102" i="1"/>
  <c r="GK97" i="1"/>
  <c r="DB12" i="1"/>
  <c r="DA14" i="1"/>
  <c r="BL526" i="1"/>
  <c r="CK528" i="1"/>
  <c r="CL428" i="1"/>
  <c r="CU528" i="1"/>
  <c r="CV428" i="1"/>
  <c r="CU429" i="1"/>
  <c r="EK14" i="1"/>
  <c r="EL12" i="1"/>
  <c r="AR527" i="1"/>
  <c r="AQ530" i="1"/>
  <c r="DI530" i="1"/>
  <c r="DJ527" i="1"/>
  <c r="GI7" i="1"/>
  <c r="GH12" i="1"/>
  <c r="CE520" i="1"/>
  <c r="CF518" i="1"/>
  <c r="FN774" i="1"/>
  <c r="FN779" i="1" s="1"/>
  <c r="FN527" i="1"/>
  <c r="FO387" i="1"/>
  <c r="EX368" i="1"/>
  <c r="EW801" i="1"/>
  <c r="EI776" i="1"/>
  <c r="DA776" i="1"/>
  <c r="U594" i="1"/>
  <c r="V594" i="1" s="1"/>
  <c r="AL528" i="1"/>
  <c r="DJ518" i="1"/>
  <c r="DI520" i="1"/>
  <c r="BX519" i="1"/>
  <c r="BD529" i="1"/>
  <c r="GA426" i="1"/>
  <c r="FZ428" i="1"/>
  <c r="GC428" i="1" s="1"/>
  <c r="BZ518" i="1"/>
  <c r="BY520" i="1"/>
  <c r="GQ230" i="1"/>
  <c r="GR230" i="1"/>
  <c r="GD771" i="1"/>
  <c r="GD522" i="1"/>
  <c r="GD253" i="1"/>
  <c r="GE252" i="1"/>
  <c r="EB102" i="1"/>
  <c r="FS454" i="1"/>
  <c r="EJ102" i="1"/>
  <c r="ER102" i="1"/>
  <c r="FZ12" i="1"/>
  <c r="FZ14" i="1" s="1"/>
  <c r="FZ16" i="1" s="1"/>
  <c r="DQ776" i="1"/>
  <c r="BS528" i="1"/>
  <c r="BT428" i="1"/>
  <c r="GR586" i="1"/>
  <c r="GQ586" i="1"/>
  <c r="ES240" i="1"/>
  <c r="GR415" i="1"/>
  <c r="GR406" i="1"/>
  <c r="DK14" i="1"/>
  <c r="DL12" i="1"/>
  <c r="CH522" i="1"/>
  <c r="DP12" i="1"/>
  <c r="DO14" i="1"/>
  <c r="EN519" i="1"/>
  <c r="AS530" i="1"/>
  <c r="AT527" i="1"/>
  <c r="BP526" i="1"/>
  <c r="EB526" i="1"/>
  <c r="BB518" i="1"/>
  <c r="BA520" i="1"/>
  <c r="FI521" i="1"/>
  <c r="GL771" i="1"/>
  <c r="GL522" i="1"/>
  <c r="GL253" i="1"/>
  <c r="GM253" i="1" s="1"/>
  <c r="GM252" i="1"/>
  <c r="GJ428" i="1"/>
  <c r="GK426" i="1"/>
  <c r="CU520" i="1"/>
  <c r="CV518" i="1"/>
  <c r="AL518" i="1"/>
  <c r="AK520" i="1"/>
  <c r="AN519" i="1"/>
  <c r="GF774" i="1"/>
  <c r="GF779" i="1" s="1"/>
  <c r="GF527" i="1"/>
  <c r="GG387" i="1"/>
  <c r="GF391" i="1"/>
  <c r="GF388" i="1"/>
  <c r="EA528" i="1"/>
  <c r="EA432" i="1"/>
  <c r="EA429" i="1"/>
  <c r="EB428" i="1"/>
  <c r="ET102" i="1"/>
  <c r="EL102" i="1"/>
  <c r="DC14" i="1"/>
  <c r="DD12" i="1"/>
  <c r="AZ526" i="1"/>
  <c r="DJ522" i="1"/>
  <c r="DY528" i="1"/>
  <c r="DY432" i="1"/>
  <c r="DY429" i="1"/>
  <c r="DZ428" i="1"/>
  <c r="GE426" i="1"/>
  <c r="GD428" i="1"/>
  <c r="GD774" i="1" s="1"/>
  <c r="GD779" i="1" s="1"/>
  <c r="FU94" i="1"/>
  <c r="FW94" i="1"/>
  <c r="BO528" i="1"/>
  <c r="BO530" i="1" s="1"/>
  <c r="BP428" i="1"/>
  <c r="AH518" i="1"/>
  <c r="AG520" i="1"/>
  <c r="EE528" i="1"/>
  <c r="EE530" i="1" s="1"/>
  <c r="EE432" i="1"/>
  <c r="EF432" i="1" s="1"/>
  <c r="EE429" i="1"/>
  <c r="EF429" i="1" s="1"/>
  <c r="EF428" i="1"/>
  <c r="FS526" i="1"/>
  <c r="GS413" i="1"/>
  <c r="GT413" i="1"/>
  <c r="L519" i="1"/>
  <c r="GE7" i="1"/>
  <c r="GD12" i="1"/>
  <c r="GW82" i="1"/>
  <c r="GX82" i="1"/>
  <c r="CQ520" i="1"/>
  <c r="CR518" i="1"/>
  <c r="BZ519" i="1"/>
  <c r="AN526" i="1"/>
  <c r="BO520" i="1"/>
  <c r="BP518" i="1"/>
  <c r="BH526" i="1"/>
  <c r="GD527" i="1"/>
  <c r="GE387" i="1"/>
  <c r="GD388" i="1"/>
  <c r="P528" i="1"/>
  <c r="GX108" i="1"/>
  <c r="GV109" i="1"/>
  <c r="GW108" i="1"/>
  <c r="FE522" i="1"/>
  <c r="GP909" i="1"/>
  <c r="GR364" i="1"/>
  <c r="GQ364" i="1"/>
  <c r="GP498" i="1"/>
  <c r="AZ528" i="1"/>
  <c r="T526" i="1"/>
  <c r="GK8" i="1"/>
  <c r="EN527" i="1"/>
  <c r="GM519" i="1"/>
  <c r="FZ526" i="1"/>
  <c r="GC526" i="1" s="1"/>
  <c r="GA525" i="1"/>
  <c r="DT526" i="1"/>
  <c r="O530" i="1"/>
  <c r="CL518" i="1"/>
  <c r="CK520" i="1"/>
  <c r="FH520" i="1"/>
  <c r="FI518" i="1"/>
  <c r="DZ12" i="1"/>
  <c r="DY14" i="1"/>
  <c r="CQ277" i="1"/>
  <c r="CQ278" i="1" s="1"/>
  <c r="CQ270" i="1"/>
  <c r="CQ276" i="1"/>
  <c r="BT526" i="1"/>
  <c r="CZ526" i="1"/>
  <c r="AT518" i="1"/>
  <c r="AS520" i="1"/>
  <c r="BL522" i="1"/>
  <c r="DL527" i="1"/>
  <c r="DK530" i="1"/>
  <c r="FD520" i="1"/>
  <c r="FE518" i="1"/>
  <c r="FG518" i="1"/>
  <c r="FR769" i="1"/>
  <c r="FR519" i="1"/>
  <c r="FS132" i="1"/>
  <c r="CY520" i="1"/>
  <c r="CZ518" i="1"/>
  <c r="GU228" i="1"/>
  <c r="GV228" i="1"/>
  <c r="GT229" i="1"/>
  <c r="GA519" i="1"/>
  <c r="FO346" i="1"/>
  <c r="FN501" i="1"/>
  <c r="FQ346" i="1"/>
  <c r="EV634" i="1"/>
  <c r="EW634" i="1"/>
  <c r="EX634" i="1" s="1"/>
  <c r="FU132" i="1"/>
  <c r="EN253" i="1"/>
  <c r="BG528" i="1"/>
  <c r="BG530" i="1" s="1"/>
  <c r="BH428" i="1"/>
  <c r="CR522" i="1"/>
  <c r="AF528" i="1"/>
  <c r="AA591" i="1"/>
  <c r="AB519" i="1"/>
  <c r="EX115" i="1"/>
  <c r="EW238" i="1"/>
  <c r="GP238" i="1" s="1"/>
  <c r="EX232" i="1"/>
  <c r="GN770" i="1"/>
  <c r="GN518" i="1"/>
  <c r="GO97" i="1"/>
  <c r="GN98" i="1"/>
  <c r="GO98" i="1" s="1"/>
  <c r="GN102" i="1"/>
  <c r="FV771" i="1"/>
  <c r="FV522" i="1"/>
  <c r="FW252" i="1"/>
  <c r="CY523" i="1"/>
  <c r="CN527" i="1"/>
  <c r="CM530" i="1"/>
  <c r="BJ529" i="1"/>
  <c r="AR529" i="1"/>
  <c r="EM520" i="1"/>
  <c r="EN518" i="1"/>
  <c r="GV227" i="1"/>
  <c r="GU227" i="1"/>
  <c r="AE530" i="1"/>
  <c r="BJ527" i="1"/>
  <c r="DE14" i="1"/>
  <c r="DF12" i="1"/>
  <c r="E29" i="1"/>
  <c r="C39" i="1"/>
  <c r="C74" i="1" s="1"/>
  <c r="EE523" i="1"/>
  <c r="GG281" i="1"/>
  <c r="GF287" i="1"/>
  <c r="GF294" i="1"/>
  <c r="GF293" i="1"/>
  <c r="CD527" i="1"/>
  <c r="AI858" i="1"/>
  <c r="AI859" i="1" s="1"/>
  <c r="AJ502" i="1"/>
  <c r="AR502" i="1"/>
  <c r="FU521" i="1"/>
  <c r="GV611" i="1"/>
  <c r="GU611" i="1"/>
  <c r="GK519" i="1"/>
  <c r="AP528" i="1"/>
  <c r="DA528" i="1"/>
  <c r="DA530" i="1" s="1"/>
  <c r="DA432" i="1"/>
  <c r="DA429" i="1"/>
  <c r="DB428" i="1"/>
  <c r="EP519" i="1"/>
  <c r="FP180" i="1"/>
  <c r="FQ153" i="1"/>
  <c r="FP154" i="1"/>
  <c r="FQ154" i="1" s="1"/>
  <c r="FR149" i="1"/>
  <c r="DR12" i="1"/>
  <c r="DQ14" i="1"/>
  <c r="DP98" i="1"/>
  <c r="DO520" i="1"/>
  <c r="DP518" i="1"/>
  <c r="FN523" i="1"/>
  <c r="FO521" i="1"/>
  <c r="GT398" i="1"/>
  <c r="GT399" i="1" s="1"/>
  <c r="GT361" i="1"/>
  <c r="GU361" i="1" s="1"/>
  <c r="FY527" i="1"/>
  <c r="CY287" i="1"/>
  <c r="CY294" i="1"/>
  <c r="CY295" i="1" s="1"/>
  <c r="CY293" i="1"/>
  <c r="CZ281" i="1"/>
  <c r="ET432" i="1"/>
  <c r="DX388" i="1"/>
  <c r="DW774" i="1"/>
  <c r="DW779" i="1" s="1"/>
  <c r="BW528" i="1"/>
  <c r="BX428" i="1"/>
  <c r="DC528" i="1"/>
  <c r="DD428" i="1"/>
  <c r="DC432" i="1"/>
  <c r="DC429" i="1"/>
  <c r="CX522" i="1"/>
  <c r="BM528" i="1"/>
  <c r="BN428" i="1"/>
  <c r="AX529" i="1"/>
  <c r="BF529" i="1"/>
  <c r="DB518" i="1"/>
  <c r="DA520" i="1"/>
  <c r="GQ232" i="1"/>
  <c r="DQ528" i="1"/>
  <c r="DQ432" i="1"/>
  <c r="DR432" i="1" s="1"/>
  <c r="DQ429" i="1"/>
  <c r="DR429" i="1" s="1"/>
  <c r="DR428" i="1"/>
  <c r="N533" i="1"/>
  <c r="M536" i="1"/>
  <c r="M605" i="1"/>
  <c r="N605" i="1" s="1"/>
  <c r="M600" i="1"/>
  <c r="N600" i="1" s="1"/>
  <c r="M602" i="1"/>
  <c r="N602" i="1" s="1"/>
  <c r="EX404" i="1"/>
  <c r="EW405" i="1"/>
  <c r="GN542" i="1"/>
  <c r="GO537" i="1"/>
  <c r="GT652" i="1"/>
  <c r="GS652" i="1"/>
  <c r="DU776" i="1"/>
  <c r="BR527" i="1"/>
  <c r="GQ666" i="1"/>
  <c r="GP667" i="1"/>
  <c r="GR666" i="1"/>
  <c r="ES836" i="1"/>
  <c r="ES132" i="1"/>
  <c r="ET128" i="1"/>
  <c r="ES129" i="1"/>
  <c r="ET129" i="1" s="1"/>
  <c r="GJ256" i="1"/>
  <c r="GK256" i="1" s="1"/>
  <c r="CR526" i="1"/>
  <c r="EU909" i="1"/>
  <c r="EU365" i="1"/>
  <c r="EV365" i="1" s="1"/>
  <c r="EV364" i="1"/>
  <c r="EU498" i="1"/>
  <c r="EK530" i="1"/>
  <c r="EL527" i="1"/>
  <c r="FT858" i="1"/>
  <c r="FT859" i="1" s="1"/>
  <c r="FU502" i="1"/>
  <c r="FW502" i="1"/>
  <c r="AV519" i="1"/>
  <c r="X528" i="1"/>
  <c r="FU426" i="1"/>
  <c r="FT428" i="1"/>
  <c r="GO632" i="1"/>
  <c r="GN613" i="1"/>
  <c r="AR528" i="1"/>
  <c r="CT687" i="1"/>
  <c r="DB687" i="1"/>
  <c r="DN518" i="1"/>
  <c r="DM520" i="1"/>
  <c r="BN519" i="1"/>
  <c r="FX528" i="1"/>
  <c r="FX530" i="1" s="1"/>
  <c r="FS94" i="1"/>
  <c r="FI519" i="1"/>
  <c r="GO519" i="1"/>
  <c r="GM7" i="1"/>
  <c r="GL12" i="1"/>
  <c r="DG776" i="1"/>
  <c r="X522" i="1"/>
  <c r="GP366" i="1"/>
  <c r="DF518" i="1"/>
  <c r="DE520" i="1"/>
  <c r="AZ519" i="1"/>
  <c r="GZ202" i="1"/>
  <c r="GY202" i="1"/>
  <c r="DP256" i="1"/>
  <c r="EX391" i="1"/>
  <c r="EP391" i="1"/>
  <c r="FK518" i="1"/>
  <c r="FJ520" i="1"/>
  <c r="CA520" i="1"/>
  <c r="CB518" i="1"/>
  <c r="GI218" i="1"/>
  <c r="FU529" i="1"/>
  <c r="FQ170" i="1"/>
  <c r="FP182" i="1"/>
  <c r="EB527" i="1"/>
  <c r="EA530" i="1"/>
  <c r="BV527" i="1"/>
  <c r="EP98" i="1"/>
  <c r="DW523" i="1"/>
  <c r="BT519" i="1"/>
  <c r="DB522" i="1"/>
  <c r="FY384" i="1"/>
  <c r="GO687" i="1"/>
  <c r="AQ523" i="1"/>
  <c r="DY530" i="1"/>
  <c r="DZ527" i="1"/>
  <c r="FW423" i="1"/>
  <c r="AJ529" i="1"/>
  <c r="DZ98" i="1"/>
  <c r="FY249" i="1"/>
  <c r="X519" i="1"/>
  <c r="FG526" i="1"/>
  <c r="GS301" i="1"/>
  <c r="GT301" i="1"/>
  <c r="GZ435" i="1"/>
  <c r="GY435" i="1"/>
  <c r="DS528" i="1"/>
  <c r="DS432" i="1"/>
  <c r="DT432" i="1" s="1"/>
  <c r="DS429" i="1"/>
  <c r="DT429" i="1" s="1"/>
  <c r="DT428" i="1"/>
  <c r="BE530" i="1"/>
  <c r="BF527" i="1"/>
  <c r="FL520" i="1"/>
  <c r="FM518" i="1"/>
  <c r="FY519" i="1"/>
  <c r="BT527" i="1"/>
  <c r="BS530" i="1"/>
  <c r="DC520" i="1"/>
  <c r="DD518" i="1"/>
  <c r="DI774" i="1"/>
  <c r="DI779" i="1" s="1"/>
  <c r="S520" i="1"/>
  <c r="T518" i="1"/>
  <c r="AX519" i="1"/>
  <c r="CV527" i="1"/>
  <c r="CU530" i="1"/>
  <c r="GP621" i="1"/>
  <c r="GQ621" i="1" s="1"/>
  <c r="EW367" i="1"/>
  <c r="EX366" i="1"/>
  <c r="GY393" i="1"/>
  <c r="GZ393" i="1"/>
  <c r="EJ133" i="1"/>
  <c r="FN526" i="1"/>
  <c r="FO525" i="1"/>
  <c r="FN528" i="1"/>
  <c r="FO428" i="1"/>
  <c r="DP519" i="1"/>
  <c r="CH518" i="1"/>
  <c r="CG520" i="1"/>
  <c r="AN195" i="1"/>
  <c r="AM197" i="1"/>
  <c r="AN197" i="1" s="1"/>
  <c r="AR519" i="1"/>
  <c r="GO249" i="1"/>
  <c r="O523" i="1"/>
  <c r="CJ519" i="1"/>
  <c r="DI523" i="1"/>
  <c r="DN388" i="1"/>
  <c r="AC590" i="1"/>
  <c r="AD590" i="1" s="1"/>
  <c r="FV523" i="1"/>
  <c r="FW521" i="1"/>
  <c r="FY423" i="1"/>
  <c r="GF771" i="1"/>
  <c r="GF776" i="1" s="1"/>
  <c r="GF522" i="1"/>
  <c r="GG252" i="1"/>
  <c r="GF253" i="1"/>
  <c r="GF256" i="1"/>
  <c r="GI256" i="1" s="1"/>
  <c r="AF526" i="1"/>
  <c r="Z528" i="1"/>
  <c r="Y530" i="1"/>
  <c r="EC14" i="1"/>
  <c r="ED12" i="1"/>
  <c r="DR133" i="1"/>
  <c r="M595" i="1"/>
  <c r="N595" i="1" s="1"/>
  <c r="GR824" i="1"/>
  <c r="GT545" i="1"/>
  <c r="GS545" i="1"/>
  <c r="GR15" i="1"/>
  <c r="GS15" i="1" s="1"/>
  <c r="ED519" i="1"/>
  <c r="GS110" i="1"/>
  <c r="GT110" i="1"/>
  <c r="AA601" i="1"/>
  <c r="AB528" i="1"/>
  <c r="GF12" i="1"/>
  <c r="GG7" i="1"/>
  <c r="CX518" i="1"/>
  <c r="CW520" i="1"/>
  <c r="GR404" i="1"/>
  <c r="GQ404" i="1"/>
  <c r="EV238" i="1"/>
  <c r="EU239" i="1"/>
  <c r="EV239" i="1" s="1"/>
  <c r="EN526" i="1"/>
  <c r="FY670" i="1"/>
  <c r="GA670" i="1"/>
  <c r="BJ518" i="1"/>
  <c r="BI520" i="1"/>
  <c r="BG520" i="1"/>
  <c r="BH518" i="1"/>
  <c r="FQ521" i="1"/>
  <c r="DX519" i="1"/>
  <c r="GV231" i="1"/>
  <c r="GU231" i="1"/>
  <c r="CD522" i="1"/>
  <c r="FK527" i="1"/>
  <c r="FN770" i="1"/>
  <c r="FN518" i="1"/>
  <c r="FO97" i="1"/>
  <c r="CJ522" i="1"/>
  <c r="EL518" i="1"/>
  <c r="EK520" i="1"/>
  <c r="FS527" i="1"/>
  <c r="FR530" i="1"/>
  <c r="X530" i="1"/>
  <c r="W533" i="1"/>
  <c r="W592" i="1" s="1"/>
  <c r="FM526" i="1"/>
  <c r="FT770" i="1"/>
  <c r="FT518" i="1"/>
  <c r="FU97" i="1"/>
  <c r="FW97" i="1"/>
  <c r="CL522" i="1"/>
  <c r="BD527" i="1"/>
  <c r="BC530" i="1"/>
  <c r="GT71" i="1"/>
  <c r="GS71" i="1"/>
  <c r="AE520" i="1"/>
  <c r="AF518" i="1"/>
  <c r="CO298" i="1"/>
  <c r="GD526" i="1"/>
  <c r="GE525" i="1"/>
  <c r="AO182" i="1"/>
  <c r="AO170" i="1"/>
  <c r="AP170" i="1" s="1"/>
  <c r="AO179" i="1"/>
  <c r="AP169" i="1"/>
  <c r="AQ164" i="1"/>
  <c r="GD770" i="1"/>
  <c r="GD776" i="1" s="1"/>
  <c r="GD518" i="1"/>
  <c r="GE97" i="1"/>
  <c r="GD98" i="1"/>
  <c r="ET136" i="1"/>
  <c r="EL136" i="1"/>
  <c r="DM14" i="1"/>
  <c r="DN12" i="1"/>
  <c r="FM527" i="1"/>
  <c r="BS520" i="1"/>
  <c r="BT518" i="1"/>
  <c r="FG519" i="1"/>
  <c r="FF520" i="1"/>
  <c r="ET498" i="1"/>
  <c r="FG39" i="1"/>
  <c r="FF74" i="1"/>
  <c r="FG74" i="1" s="1"/>
  <c r="GJ774" i="1"/>
  <c r="GJ779" i="1" s="1"/>
  <c r="GJ527" i="1"/>
  <c r="GK387" i="1"/>
  <c r="GJ388" i="1"/>
  <c r="GK388" i="1" s="1"/>
  <c r="CT12" i="1"/>
  <c r="CS14" i="1"/>
  <c r="W598" i="1"/>
  <c r="X526" i="1"/>
  <c r="EP12" i="1"/>
  <c r="EO14" i="1"/>
  <c r="CN519" i="1"/>
  <c r="BD522" i="1"/>
  <c r="DE530" i="1"/>
  <c r="DF527" i="1"/>
  <c r="E50" i="1"/>
  <c r="C57" i="1"/>
  <c r="EO528" i="1"/>
  <c r="EO432" i="1"/>
  <c r="EO429" i="1"/>
  <c r="EP429" i="1" s="1"/>
  <c r="EP428" i="1"/>
  <c r="ET619" i="1"/>
  <c r="EU619" i="1"/>
  <c r="ES616" i="1"/>
  <c r="ET616" i="1" s="1"/>
  <c r="FI527" i="1"/>
  <c r="CG530" i="1"/>
  <c r="CH527" i="1"/>
  <c r="AN529" i="1"/>
  <c r="GL523" i="1"/>
  <c r="GM521" i="1"/>
  <c r="GL256" i="1"/>
  <c r="DK774" i="1"/>
  <c r="DK779" i="1" s="1"/>
  <c r="GR232" i="1"/>
  <c r="GS229" i="1"/>
  <c r="GG270" i="1"/>
  <c r="GH265" i="1"/>
  <c r="GF272" i="1"/>
  <c r="GG272" i="1" s="1"/>
  <c r="FP770" i="1"/>
  <c r="FP518" i="1"/>
  <c r="FQ97" i="1"/>
  <c r="ER239" i="1"/>
  <c r="GI519" i="1"/>
  <c r="FU519" i="1"/>
  <c r="FY521" i="1"/>
  <c r="AU520" i="1"/>
  <c r="AV518" i="1"/>
  <c r="AN522" i="1"/>
  <c r="EV256" i="1"/>
  <c r="EN256" i="1"/>
  <c r="FK519" i="1"/>
  <c r="GG426" i="1"/>
  <c r="GG526" i="1"/>
  <c r="DP527" i="1"/>
  <c r="DO530" i="1"/>
  <c r="GN12" i="1"/>
  <c r="GO7" i="1"/>
  <c r="DV518" i="1"/>
  <c r="DU520" i="1"/>
  <c r="AM523" i="1"/>
  <c r="GY375" i="1"/>
  <c r="GZ375" i="1"/>
  <c r="CQ289" i="1"/>
  <c r="CS530" i="1"/>
  <c r="CT527" i="1"/>
  <c r="CI528" i="1"/>
  <c r="CJ428" i="1"/>
  <c r="DJ12" i="1"/>
  <c r="DI14" i="1"/>
  <c r="GE519" i="1"/>
  <c r="EX126" i="1"/>
  <c r="DG528" i="1"/>
  <c r="DG530" i="1" s="1"/>
  <c r="DH428" i="1"/>
  <c r="DG432" i="1"/>
  <c r="DG429" i="1"/>
  <c r="EM528" i="1"/>
  <c r="EM530" i="1" s="1"/>
  <c r="EM432" i="1"/>
  <c r="EM429" i="1"/>
  <c r="EN429" i="1" s="1"/>
  <c r="EN428" i="1"/>
  <c r="BR529" i="1"/>
  <c r="EF12" i="1"/>
  <c r="EE14" i="1"/>
  <c r="EV102" i="1"/>
  <c r="EN102" i="1"/>
  <c r="CZ519" i="1"/>
  <c r="AS858" i="1"/>
  <c r="AS859" i="1" s="1"/>
  <c r="AT502" i="1"/>
  <c r="BB502" i="1"/>
  <c r="AC603" i="1"/>
  <c r="GR374" i="1"/>
  <c r="GQ374" i="1"/>
  <c r="CZ527" i="1"/>
  <c r="CY530" i="1"/>
  <c r="ED98" i="1"/>
  <c r="EQ378" i="1"/>
  <c r="ER373" i="1"/>
  <c r="EJ391" i="1"/>
  <c r="ER391" i="1"/>
  <c r="EU577" i="1"/>
  <c r="EV577" i="1" s="1"/>
  <c r="GU51" i="1"/>
  <c r="GV51" i="1"/>
  <c r="CP519" i="1"/>
  <c r="FP771" i="1"/>
  <c r="FP522" i="1"/>
  <c r="FP523" i="1" s="1"/>
  <c r="FQ252" i="1"/>
  <c r="BU528" i="1"/>
  <c r="BV428" i="1"/>
  <c r="CX527" i="1"/>
  <c r="GR775" i="1"/>
  <c r="GR531" i="1"/>
  <c r="FK20" i="2" s="1"/>
  <c r="FK22" i="2" s="1"/>
  <c r="GS490" i="1"/>
  <c r="GT490" i="1"/>
  <c r="GR485" i="1"/>
  <c r="EO776" i="1"/>
  <c r="AR526" i="1"/>
  <c r="DP102" i="1"/>
  <c r="FR771" i="1"/>
  <c r="FR522" i="1"/>
  <c r="FR523" i="1" s="1"/>
  <c r="FS252" i="1"/>
  <c r="EH519" i="1"/>
  <c r="U603" i="1"/>
  <c r="V603" i="1" s="1"/>
  <c r="DF522" i="1"/>
  <c r="CX289" i="1"/>
  <c r="DT391" i="1"/>
  <c r="FE530" i="1"/>
  <c r="FD533" i="1"/>
  <c r="FD598" i="1" s="1"/>
  <c r="BM530" i="1"/>
  <c r="BN527" i="1"/>
  <c r="BL527" i="1"/>
  <c r="BK530" i="1"/>
  <c r="FL164" i="1"/>
  <c r="FJ181" i="1"/>
  <c r="FK181" i="1" s="1"/>
  <c r="FJ170" i="1"/>
  <c r="FK169" i="1"/>
  <c r="CT519" i="1"/>
  <c r="GA685" i="1"/>
  <c r="FZ687" i="1"/>
  <c r="GA687" i="1" s="1"/>
  <c r="GB687" i="1"/>
  <c r="GC685" i="1"/>
  <c r="FH522" i="1"/>
  <c r="FI252" i="1"/>
  <c r="EX407" i="1"/>
  <c r="GP407" i="1"/>
  <c r="CW528" i="1"/>
  <c r="CW429" i="1"/>
  <c r="CX428" i="1"/>
  <c r="BJ519" i="1"/>
  <c r="CR519" i="1"/>
  <c r="GG423" i="1"/>
  <c r="EW669" i="1"/>
  <c r="EX669" i="1" s="1"/>
  <c r="EX667" i="1"/>
  <c r="CD518" i="1"/>
  <c r="CC520" i="1"/>
  <c r="EX112" i="1"/>
  <c r="EW118" i="1"/>
  <c r="GP118" i="1" s="1"/>
  <c r="EV368" i="1"/>
  <c r="EU801" i="1"/>
  <c r="EL391" i="1"/>
  <c r="ET391" i="1"/>
  <c r="GE8" i="1"/>
  <c r="GN428" i="1"/>
  <c r="GO426" i="1"/>
  <c r="GC521" i="1"/>
  <c r="EF526" i="1"/>
  <c r="CF527" i="1"/>
  <c r="FR770" i="1"/>
  <c r="FR518" i="1"/>
  <c r="FS97" i="1"/>
  <c r="CQ523" i="1"/>
  <c r="DL519" i="1"/>
  <c r="BW520" i="1"/>
  <c r="BX518" i="1"/>
  <c r="DP522" i="1"/>
  <c r="BJ522" i="1"/>
  <c r="U598" i="1"/>
  <c r="AD598" i="1" s="1"/>
  <c r="CC528" i="1"/>
  <c r="CC530" i="1" s="1"/>
  <c r="CD428" i="1"/>
  <c r="BQ528" i="1"/>
  <c r="BR428" i="1"/>
  <c r="GG519" i="1"/>
  <c r="AN349" i="1"/>
  <c r="AM775" i="1"/>
  <c r="AV349" i="1"/>
  <c r="FN769" i="1"/>
  <c r="FN519" i="1"/>
  <c r="FO132" i="1"/>
  <c r="BP519" i="1"/>
  <c r="FQ179" i="1"/>
  <c r="FP196" i="1"/>
  <c r="FQ196" i="1" s="1"/>
  <c r="FP181" i="1"/>
  <c r="FQ181" i="1" s="1"/>
  <c r="FP195" i="1"/>
  <c r="GH526" i="1"/>
  <c r="GI525" i="1"/>
  <c r="EB388" i="1"/>
  <c r="EA774" i="1"/>
  <c r="EA779" i="1" s="1"/>
  <c r="BU774" i="1"/>
  <c r="BU779" i="1" s="1"/>
  <c r="ER405" i="1"/>
  <c r="EQ411" i="1"/>
  <c r="GP405" i="1"/>
  <c r="EQ408" i="1"/>
  <c r="EX102" i="1"/>
  <c r="EP102" i="1"/>
  <c r="DR518" i="1"/>
  <c r="DQ520" i="1"/>
  <c r="EQ812" i="1"/>
  <c r="EQ769" i="1"/>
  <c r="EQ519" i="1"/>
  <c r="EQ133" i="1"/>
  <c r="ER133" i="1" s="1"/>
  <c r="ER132" i="1"/>
  <c r="M598" i="1"/>
  <c r="GV653" i="1"/>
  <c r="GU653" i="1"/>
  <c r="DS14" i="1"/>
  <c r="DT12" i="1"/>
  <c r="DY774" i="1"/>
  <c r="DY779" i="1" s="1"/>
  <c r="FW426" i="1"/>
  <c r="FV428" i="1"/>
  <c r="GC7" i="1"/>
  <c r="GB12" i="1"/>
  <c r="DZ102" i="1"/>
  <c r="GK218" i="1"/>
  <c r="AT519" i="1"/>
  <c r="FX771" i="1"/>
  <c r="FX522" i="1"/>
  <c r="FX523" i="1" s="1"/>
  <c r="FY252" i="1"/>
  <c r="CI523" i="1"/>
  <c r="AA598" i="1"/>
  <c r="AB526" i="1"/>
  <c r="DQ530" i="1"/>
  <c r="DR527" i="1"/>
  <c r="FX776" i="1"/>
  <c r="CB526" i="1"/>
  <c r="CO530" i="1"/>
  <c r="CP527" i="1"/>
  <c r="CE528" i="1"/>
  <c r="CF428" i="1"/>
  <c r="GC686" i="1"/>
  <c r="GE686" i="1"/>
  <c r="GA708" i="1"/>
  <c r="GC708" i="1"/>
  <c r="CP687" i="1"/>
  <c r="CX687" i="1"/>
  <c r="DF428" i="1"/>
  <c r="AV527" i="1"/>
  <c r="AU530" i="1"/>
  <c r="GI94" i="1"/>
  <c r="AJ527" i="1"/>
  <c r="AI530" i="1"/>
  <c r="CU774" i="1"/>
  <c r="CU779" i="1" s="1"/>
  <c r="FM519" i="1"/>
  <c r="EV118" i="1"/>
  <c r="ER136" i="1"/>
  <c r="EJ136" i="1"/>
  <c r="CM14" i="1"/>
  <c r="CN12" i="1"/>
  <c r="GD523" i="1"/>
  <c r="GE521" i="1"/>
  <c r="AP519" i="1"/>
  <c r="FF533" i="1"/>
  <c r="FF596" i="1" s="1"/>
  <c r="DM528" i="1"/>
  <c r="DM530" i="1" s="1"/>
  <c r="DM432" i="1"/>
  <c r="DN432" i="1" s="1"/>
  <c r="DM429" i="1"/>
  <c r="DN429" i="1" s="1"/>
  <c r="DN428" i="1"/>
  <c r="BZ428" i="1"/>
  <c r="DD519" i="1"/>
  <c r="CR12" i="1"/>
  <c r="CQ14" i="1"/>
  <c r="GN771" i="1"/>
  <c r="GN522" i="1"/>
  <c r="GO252" i="1"/>
  <c r="GN253" i="1"/>
  <c r="GO253" i="1" s="1"/>
  <c r="CI776" i="1"/>
  <c r="BA530" i="1"/>
  <c r="BB527" i="1"/>
  <c r="BI528" i="1"/>
  <c r="BI530" i="1" s="1"/>
  <c r="BJ428" i="1"/>
  <c r="FU527" i="1"/>
  <c r="EF98" i="1"/>
  <c r="EE520" i="1"/>
  <c r="EF518" i="1"/>
  <c r="EU120" i="1"/>
  <c r="FP524" i="1"/>
  <c r="FQ524" i="1" s="1"/>
  <c r="FQ349" i="1"/>
  <c r="FP775" i="1"/>
  <c r="GP377" i="1"/>
  <c r="BF519" i="1"/>
  <c r="DR136" i="1"/>
  <c r="DA523" i="1"/>
  <c r="BX527" i="1"/>
  <c r="BW530" i="1"/>
  <c r="EC528" i="1"/>
  <c r="EL528" i="1" s="1"/>
  <c r="EC432" i="1"/>
  <c r="ED432" i="1" s="1"/>
  <c r="EC429" i="1"/>
  <c r="ED429" i="1" s="1"/>
  <c r="ED428" i="1"/>
  <c r="GL428" i="1"/>
  <c r="GL774" i="1" s="1"/>
  <c r="GM426" i="1"/>
  <c r="GP848" i="1"/>
  <c r="GP577" i="1"/>
  <c r="GQ577" i="1" s="1"/>
  <c r="GQ575" i="1"/>
  <c r="BR519" i="1"/>
  <c r="CX519" i="1"/>
  <c r="I722" i="1"/>
  <c r="I706" i="1"/>
  <c r="I690" i="1"/>
  <c r="I641" i="1"/>
  <c r="I922" i="1" s="1"/>
  <c r="CX507" i="198" l="1"/>
  <c r="DV514" i="2"/>
  <c r="CT507" i="198"/>
  <c r="DR514" i="2"/>
  <c r="DT514" i="2"/>
  <c r="CV507" i="198"/>
  <c r="DS473" i="2"/>
  <c r="CU466" i="198"/>
  <c r="ER378" i="1"/>
  <c r="DR478" i="2"/>
  <c r="CT471" i="198"/>
  <c r="DR70" i="2"/>
  <c r="CT61" i="198"/>
  <c r="EE467" i="198"/>
  <c r="FK474" i="2"/>
  <c r="EE461" i="198"/>
  <c r="FK468" i="2"/>
  <c r="EE500" i="198"/>
  <c r="FK507" i="2"/>
  <c r="EE458" i="198"/>
  <c r="FK465" i="2"/>
  <c r="EE502" i="198"/>
  <c r="FK509" i="2"/>
  <c r="EE511" i="198"/>
  <c r="FK518" i="2"/>
  <c r="DN530" i="1"/>
  <c r="DM533" i="1"/>
  <c r="CC603" i="1"/>
  <c r="CC533" i="1"/>
  <c r="EM603" i="1"/>
  <c r="EN530" i="1"/>
  <c r="EM533" i="1"/>
  <c r="DH530" i="1"/>
  <c r="DG533" i="1"/>
  <c r="EF530" i="1"/>
  <c r="EE533" i="1"/>
  <c r="BP530" i="1"/>
  <c r="BO533" i="1"/>
  <c r="GV398" i="1"/>
  <c r="GV399" i="1" s="1"/>
  <c r="GV361" i="1"/>
  <c r="GW361" i="1" s="1"/>
  <c r="GL779" i="1"/>
  <c r="GL776" i="1"/>
  <c r="BI603" i="1"/>
  <c r="BJ530" i="1"/>
  <c r="BI533" i="1"/>
  <c r="GP125" i="1"/>
  <c r="GQ118" i="1"/>
  <c r="BH530" i="1"/>
  <c r="BG533" i="1"/>
  <c r="BG603" i="1" s="1"/>
  <c r="FE598" i="1"/>
  <c r="GP245" i="1"/>
  <c r="GQ238" i="1"/>
  <c r="DW603" i="1"/>
  <c r="DX530" i="1"/>
  <c r="DW533" i="1"/>
  <c r="DA603" i="1"/>
  <c r="DB530" i="1"/>
  <c r="DA533" i="1"/>
  <c r="CB530" i="1"/>
  <c r="CA533" i="1"/>
  <c r="CA603" i="1" s="1"/>
  <c r="K536" i="1"/>
  <c r="L533" i="1"/>
  <c r="K601" i="1"/>
  <c r="L601" i="1" s="1"/>
  <c r="K605" i="1"/>
  <c r="L605" i="1" s="1"/>
  <c r="K602" i="1"/>
  <c r="L602" i="1" s="1"/>
  <c r="K595" i="1"/>
  <c r="L595" i="1" s="1"/>
  <c r="K600" i="1"/>
  <c r="L600" i="1" s="1"/>
  <c r="K594" i="1"/>
  <c r="L594" i="1" s="1"/>
  <c r="K598" i="1"/>
  <c r="K596" i="1"/>
  <c r="L596" i="1" s="1"/>
  <c r="K603" i="1"/>
  <c r="L603" i="1" s="1"/>
  <c r="K590" i="1"/>
  <c r="L590" i="1" s="1"/>
  <c r="K591" i="1"/>
  <c r="L591" i="1" s="1"/>
  <c r="EE592" i="1"/>
  <c r="FV528" i="1"/>
  <c r="FW428" i="1"/>
  <c r="DS16" i="1"/>
  <c r="DT14" i="1"/>
  <c r="GQ405" i="1"/>
  <c r="GP408" i="1"/>
  <c r="FQ195" i="1"/>
  <c r="FP197" i="1"/>
  <c r="FQ197" i="1" s="1"/>
  <c r="FN776" i="1"/>
  <c r="BR528" i="1"/>
  <c r="FS518" i="1"/>
  <c r="FR520" i="1"/>
  <c r="CC592" i="1"/>
  <c r="BL530" i="1"/>
  <c r="BK533" i="1"/>
  <c r="BN530" i="1"/>
  <c r="BM533" i="1"/>
  <c r="FD603" i="1"/>
  <c r="FE603" i="1" s="1"/>
  <c r="GT775" i="1"/>
  <c r="GT531" i="1"/>
  <c r="FM20" i="2" s="1"/>
  <c r="FM22" i="2" s="1"/>
  <c r="GV490" i="1"/>
  <c r="GU490" i="1"/>
  <c r="GT485" i="1"/>
  <c r="GJ776" i="1"/>
  <c r="AD603" i="1"/>
  <c r="EE16" i="1"/>
  <c r="EF14" i="1"/>
  <c r="CS533" i="1"/>
  <c r="CS603" i="1" s="1"/>
  <c r="DO603" i="1"/>
  <c r="DP530" i="1"/>
  <c r="DO533" i="1"/>
  <c r="CG603" i="1"/>
  <c r="CH530" i="1"/>
  <c r="CG533" i="1"/>
  <c r="C76" i="1"/>
  <c r="C75" i="1"/>
  <c r="C77" i="1" s="1"/>
  <c r="CT14" i="1"/>
  <c r="CS16" i="1"/>
  <c r="GK527" i="1"/>
  <c r="FF592" i="1"/>
  <c r="DN14" i="1"/>
  <c r="DM16" i="1"/>
  <c r="AQ176" i="1"/>
  <c r="AQ175" i="1"/>
  <c r="AQ174" i="1"/>
  <c r="AQ169" i="1"/>
  <c r="AR164" i="1"/>
  <c r="AO193" i="1"/>
  <c r="AP193" i="1" s="1"/>
  <c r="AP182" i="1"/>
  <c r="FT520" i="1"/>
  <c r="FU518" i="1"/>
  <c r="FW518" i="1"/>
  <c r="W603" i="1"/>
  <c r="FO518" i="1"/>
  <c r="FN520" i="1"/>
  <c r="Z530" i="1"/>
  <c r="Y533" i="1"/>
  <c r="Y603" i="1" s="1"/>
  <c r="Z603" i="1" s="1"/>
  <c r="CG592" i="1"/>
  <c r="EW370" i="1"/>
  <c r="EX367" i="1"/>
  <c r="EW373" i="1"/>
  <c r="BE603" i="1"/>
  <c r="BF530" i="1"/>
  <c r="BE533" i="1"/>
  <c r="DW596" i="1"/>
  <c r="FQ182" i="1"/>
  <c r="FP193" i="1"/>
  <c r="FQ193" i="1" s="1"/>
  <c r="CA592" i="1"/>
  <c r="GR366" i="1"/>
  <c r="GQ366" i="1"/>
  <c r="GL14" i="1"/>
  <c r="GM12" i="1"/>
  <c r="FY428" i="1"/>
  <c r="DM592" i="1"/>
  <c r="W601" i="1"/>
  <c r="EK533" i="1"/>
  <c r="EK603" i="1" s="1"/>
  <c r="DR528" i="1"/>
  <c r="DD528" i="1"/>
  <c r="DR14" i="1"/>
  <c r="DQ16" i="1"/>
  <c r="EM592" i="1"/>
  <c r="EN592" i="1" s="1"/>
  <c r="FS519" i="1"/>
  <c r="DZ14" i="1"/>
  <c r="DY16" i="1"/>
  <c r="O603" i="1"/>
  <c r="P603" i="1" s="1"/>
  <c r="P530" i="1"/>
  <c r="O533" i="1"/>
  <c r="GW109" i="1"/>
  <c r="DC16" i="1"/>
  <c r="DD14" i="1"/>
  <c r="EB429" i="1"/>
  <c r="AT530" i="1"/>
  <c r="AS533" i="1"/>
  <c r="AS592" i="1" s="1"/>
  <c r="AT592" i="1" s="1"/>
  <c r="DO16" i="1"/>
  <c r="DP14" i="1"/>
  <c r="ET240" i="1"/>
  <c r="ES248" i="1"/>
  <c r="BT528" i="1"/>
  <c r="EL14" i="1"/>
  <c r="EK16" i="1"/>
  <c r="AV289" i="1"/>
  <c r="AU297" i="1"/>
  <c r="AV297" i="1" s="1"/>
  <c r="CU776" i="1"/>
  <c r="CS592" i="1"/>
  <c r="GT308" i="1"/>
  <c r="GS308" i="1"/>
  <c r="GR507" i="1"/>
  <c r="GS507" i="1" s="1"/>
  <c r="DY776" i="1"/>
  <c r="EU367" i="1"/>
  <c r="EL429" i="1"/>
  <c r="V605" i="1"/>
  <c r="AD600" i="1"/>
  <c r="CZ528" i="1"/>
  <c r="GU111" i="1"/>
  <c r="GV111" i="1"/>
  <c r="GK253" i="1"/>
  <c r="FV774" i="1"/>
  <c r="FV779" i="1" s="1"/>
  <c r="GM527" i="1"/>
  <c r="GC522" i="1"/>
  <c r="GB523" i="1"/>
  <c r="GH528" i="1"/>
  <c r="GI428" i="1"/>
  <c r="GH429" i="1"/>
  <c r="GI429" i="1" s="1"/>
  <c r="DL528" i="1"/>
  <c r="FK522" i="1"/>
  <c r="FU270" i="1"/>
  <c r="FV265" i="1"/>
  <c r="FT272" i="1"/>
  <c r="FU272" i="1" s="1"/>
  <c r="FQ519" i="1"/>
  <c r="BZ528" i="1"/>
  <c r="FU526" i="1"/>
  <c r="DG16" i="1"/>
  <c r="DH14" i="1"/>
  <c r="GJ14" i="1"/>
  <c r="GK12" i="1"/>
  <c r="FO529" i="1"/>
  <c r="EG603" i="1"/>
  <c r="EH530" i="1"/>
  <c r="EG533" i="1"/>
  <c r="EG601" i="1"/>
  <c r="EH528" i="1"/>
  <c r="GT266" i="1"/>
  <c r="GS266" i="1"/>
  <c r="FK526" i="1"/>
  <c r="FI153" i="1"/>
  <c r="FJ149" i="1"/>
  <c r="FH154" i="1"/>
  <c r="FH155" i="1"/>
  <c r="EI16" i="1"/>
  <c r="EJ14" i="1"/>
  <c r="GS31" i="1"/>
  <c r="GZ237" i="1"/>
  <c r="GY237" i="1"/>
  <c r="FV287" i="1"/>
  <c r="FW281" i="1"/>
  <c r="FV293" i="1"/>
  <c r="FV294" i="1"/>
  <c r="GM526" i="1"/>
  <c r="GO388" i="1"/>
  <c r="GP877" i="1"/>
  <c r="GQ122" i="1"/>
  <c r="GR122" i="1"/>
  <c r="ES633" i="1"/>
  <c r="EU240" i="1"/>
  <c r="BB530" i="1"/>
  <c r="BA533" i="1"/>
  <c r="BA603" i="1" s="1"/>
  <c r="CQ16" i="1"/>
  <c r="CR14" i="1"/>
  <c r="DM601" i="1"/>
  <c r="DN528" i="1"/>
  <c r="CM16" i="1"/>
  <c r="CN14" i="1"/>
  <c r="CF528" i="1"/>
  <c r="ER411" i="1"/>
  <c r="EX118" i="1"/>
  <c r="CX528" i="1"/>
  <c r="FI522" i="1"/>
  <c r="GC687" i="1"/>
  <c r="GE687" i="1"/>
  <c r="FK170" i="1"/>
  <c r="BV528" i="1"/>
  <c r="GX51" i="1"/>
  <c r="GW51" i="1"/>
  <c r="EV432" i="1"/>
  <c r="EN432" i="1"/>
  <c r="E61" i="1"/>
  <c r="E60" i="1"/>
  <c r="E56" i="1"/>
  <c r="E62" i="1"/>
  <c r="GE518" i="1"/>
  <c r="GD520" i="1"/>
  <c r="GU71" i="1"/>
  <c r="GV71" i="1"/>
  <c r="EK592" i="1"/>
  <c r="GW231" i="1"/>
  <c r="GX231" i="1"/>
  <c r="BG592" i="1"/>
  <c r="GG522" i="1"/>
  <c r="FO528" i="1"/>
  <c r="EA603" i="1"/>
  <c r="EA533" i="1"/>
  <c r="FY528" i="1"/>
  <c r="FT528" i="1"/>
  <c r="FU428" i="1"/>
  <c r="FT774" i="1"/>
  <c r="FT779" i="1" s="1"/>
  <c r="GR667" i="1"/>
  <c r="GT666" i="1"/>
  <c r="GS666" i="1"/>
  <c r="BQ530" i="1"/>
  <c r="GU652" i="1"/>
  <c r="GV652" i="1"/>
  <c r="EW411" i="1"/>
  <c r="EW408" i="1"/>
  <c r="EX405" i="1"/>
  <c r="EL432" i="1"/>
  <c r="DO592" i="1"/>
  <c r="FQ180" i="1"/>
  <c r="FP194" i="1"/>
  <c r="FQ194" i="1" s="1"/>
  <c r="GG287" i="1"/>
  <c r="GH281" i="1"/>
  <c r="GF289" i="1"/>
  <c r="E43" i="1"/>
  <c r="E46" i="1"/>
  <c r="E38" i="1"/>
  <c r="E45" i="1"/>
  <c r="E44" i="1"/>
  <c r="BG601" i="1"/>
  <c r="BH528" i="1"/>
  <c r="DV429" i="1"/>
  <c r="FO501" i="1"/>
  <c r="FN852" i="1"/>
  <c r="FN502" i="1"/>
  <c r="FQ501" i="1"/>
  <c r="GU229" i="1"/>
  <c r="FR776" i="1"/>
  <c r="FD592" i="1"/>
  <c r="FE592" i="1" s="1"/>
  <c r="CS265" i="1"/>
  <c r="CQ272" i="1"/>
  <c r="GA526" i="1"/>
  <c r="GQ498" i="1"/>
  <c r="GX109" i="1"/>
  <c r="GY108" i="1"/>
  <c r="GZ108" i="1"/>
  <c r="GZ82" i="1"/>
  <c r="GY82" i="1"/>
  <c r="DZ429" i="1"/>
  <c r="EB432" i="1"/>
  <c r="GM522" i="1"/>
  <c r="FH523" i="1"/>
  <c r="DK16" i="1"/>
  <c r="DL14" i="1"/>
  <c r="GE522" i="1"/>
  <c r="GT230" i="1"/>
  <c r="GT232" i="1" s="1"/>
  <c r="GS230" i="1"/>
  <c r="GR236" i="1"/>
  <c r="GS236" i="1" s="1"/>
  <c r="DA777" i="1"/>
  <c r="DF528" i="1"/>
  <c r="DI603" i="1"/>
  <c r="DJ603" i="1" s="1"/>
  <c r="DJ530" i="1"/>
  <c r="DI533" i="1"/>
  <c r="CL528" i="1"/>
  <c r="DB14" i="1"/>
  <c r="DA16" i="1"/>
  <c r="BM592" i="1"/>
  <c r="CG601" i="1"/>
  <c r="CH528" i="1"/>
  <c r="FQ526" i="1"/>
  <c r="FF193" i="1"/>
  <c r="FG193" i="1" s="1"/>
  <c r="FG182" i="1"/>
  <c r="U739" i="1"/>
  <c r="V739" i="1" s="1"/>
  <c r="U587" i="1"/>
  <c r="U513" i="1"/>
  <c r="V513" i="1" s="1"/>
  <c r="V536" i="1"/>
  <c r="U539" i="1"/>
  <c r="U538" i="1"/>
  <c r="FX526" i="1"/>
  <c r="FY525" i="1"/>
  <c r="GP242" i="1"/>
  <c r="GQ235" i="1"/>
  <c r="S533" i="1"/>
  <c r="K592" i="1"/>
  <c r="L592" i="1" s="1"/>
  <c r="GF523" i="1"/>
  <c r="EU414" i="1"/>
  <c r="EV414" i="1" s="1"/>
  <c r="EV408" i="1"/>
  <c r="EK777" i="1"/>
  <c r="DC530" i="1"/>
  <c r="GZ117" i="1"/>
  <c r="GY117" i="1"/>
  <c r="GR244" i="1"/>
  <c r="GQ244" i="1"/>
  <c r="FH57" i="1"/>
  <c r="FI56" i="1"/>
  <c r="FJ50" i="1"/>
  <c r="ES414" i="1"/>
  <c r="ET414" i="1" s="1"/>
  <c r="ET408" i="1"/>
  <c r="FP776" i="1"/>
  <c r="BE276" i="1"/>
  <c r="BF265" i="1"/>
  <c r="BE270" i="1"/>
  <c r="BE277" i="1"/>
  <c r="BE278" i="1" s="1"/>
  <c r="CX14" i="1"/>
  <c r="CW16" i="1"/>
  <c r="DK776" i="1"/>
  <c r="ES370" i="1"/>
  <c r="ET367" i="1"/>
  <c r="ES373" i="1"/>
  <c r="GP367" i="1"/>
  <c r="CQ777" i="1"/>
  <c r="CS777" i="1"/>
  <c r="EJ429" i="1"/>
  <c r="FP528" i="1"/>
  <c r="FQ428" i="1"/>
  <c r="GW358" i="1"/>
  <c r="GX358" i="1"/>
  <c r="GY358" i="1" s="1"/>
  <c r="DI601" i="1"/>
  <c r="DJ528" i="1"/>
  <c r="EA16" i="1"/>
  <c r="EB14" i="1"/>
  <c r="CK530" i="1"/>
  <c r="CT530" i="1" s="1"/>
  <c r="GT31" i="1"/>
  <c r="GU30" i="1"/>
  <c r="GV30" i="1"/>
  <c r="EH14" i="1"/>
  <c r="EG16" i="1"/>
  <c r="FU522" i="1"/>
  <c r="FT523" i="1"/>
  <c r="CP528" i="1"/>
  <c r="CQ603" i="1"/>
  <c r="CQ533" i="1"/>
  <c r="DP429" i="1"/>
  <c r="DV14" i="1"/>
  <c r="DU16" i="1"/>
  <c r="GX319" i="1"/>
  <c r="GW319" i="1"/>
  <c r="GV187" i="1"/>
  <c r="GU187" i="1"/>
  <c r="EQ837" i="1"/>
  <c r="EQ838" i="1" s="1"/>
  <c r="EQ249" i="1"/>
  <c r="ER249" i="1" s="1"/>
  <c r="EQ252" i="1"/>
  <c r="ER248" i="1"/>
  <c r="AQ160" i="1"/>
  <c r="AR149" i="1"/>
  <c r="AQ159" i="1"/>
  <c r="AQ158" i="1"/>
  <c r="AQ153" i="1"/>
  <c r="GF520" i="1"/>
  <c r="GG518" i="1"/>
  <c r="GT368" i="1"/>
  <c r="GS368" i="1"/>
  <c r="ER613" i="1"/>
  <c r="GL528" i="1"/>
  <c r="GL530" i="1" s="1"/>
  <c r="GM428" i="1"/>
  <c r="GL429" i="1"/>
  <c r="ED528" i="1"/>
  <c r="DA596" i="1"/>
  <c r="GR377" i="1"/>
  <c r="GQ377" i="1"/>
  <c r="EV120" i="1"/>
  <c r="EU128" i="1"/>
  <c r="GO522" i="1"/>
  <c r="GN523" i="1"/>
  <c r="FF549" i="1"/>
  <c r="FF557" i="1"/>
  <c r="FF536" i="1"/>
  <c r="FG533" i="1"/>
  <c r="FF601" i="1"/>
  <c r="FG601" i="1" s="1"/>
  <c r="FF590" i="1"/>
  <c r="FF605" i="1"/>
  <c r="FF600" i="1"/>
  <c r="FF598" i="1"/>
  <c r="FF603" i="1"/>
  <c r="FG603" i="1" s="1"/>
  <c r="FF594" i="1"/>
  <c r="FF602" i="1"/>
  <c r="AJ530" i="1"/>
  <c r="AI533" i="1"/>
  <c r="AI603" i="1" s="1"/>
  <c r="AJ603" i="1" s="1"/>
  <c r="AV530" i="1"/>
  <c r="AU533" i="1"/>
  <c r="AU592" i="1" s="1"/>
  <c r="FY522" i="1"/>
  <c r="GB14" i="1"/>
  <c r="GC12" i="1"/>
  <c r="GW653" i="1"/>
  <c r="GX653" i="1"/>
  <c r="CC601" i="1"/>
  <c r="CD528" i="1"/>
  <c r="GN528" i="1"/>
  <c r="GN429" i="1"/>
  <c r="GO429" i="1" s="1"/>
  <c r="GO428" i="1"/>
  <c r="GQ407" i="1"/>
  <c r="GR407" i="1"/>
  <c r="FD549" i="1"/>
  <c r="FD557" i="1"/>
  <c r="FD536" i="1"/>
  <c r="FE533" i="1"/>
  <c r="FD601" i="1"/>
  <c r="FE601" i="1" s="1"/>
  <c r="FD605" i="1"/>
  <c r="FE605" i="1" s="1"/>
  <c r="FD602" i="1"/>
  <c r="FE602" i="1" s="1"/>
  <c r="FD594" i="1"/>
  <c r="FE594" i="1" s="1"/>
  <c r="FD600" i="1"/>
  <c r="FE600" i="1" s="1"/>
  <c r="GS531" i="1"/>
  <c r="FL20" i="2" s="1"/>
  <c r="FL22" i="2" s="1"/>
  <c r="CW530" i="1"/>
  <c r="EM601" i="1"/>
  <c r="EN601" i="1" s="1"/>
  <c r="EN528" i="1"/>
  <c r="DG601" i="1"/>
  <c r="DH528" i="1"/>
  <c r="CJ528" i="1"/>
  <c r="DV432" i="1"/>
  <c r="FP520" i="1"/>
  <c r="FQ518" i="1"/>
  <c r="GS232" i="1"/>
  <c r="EW619" i="1"/>
  <c r="EV619" i="1"/>
  <c r="EU616" i="1"/>
  <c r="EV616" i="1" s="1"/>
  <c r="EX432" i="1"/>
  <c r="EP432" i="1"/>
  <c r="EP14" i="1"/>
  <c r="EO16" i="1"/>
  <c r="FF591" i="1"/>
  <c r="AO196" i="1"/>
  <c r="AP196" i="1" s="1"/>
  <c r="AO195" i="1"/>
  <c r="AP179" i="1"/>
  <c r="AO181" i="1"/>
  <c r="AP181" i="1" s="1"/>
  <c r="GE526" i="1"/>
  <c r="BC603" i="1"/>
  <c r="BD530" i="1"/>
  <c r="BC533" i="1"/>
  <c r="W536" i="1"/>
  <c r="X533" i="1"/>
  <c r="W605" i="1"/>
  <c r="W602" i="1"/>
  <c r="W590" i="1"/>
  <c r="W594" i="1"/>
  <c r="W600" i="1"/>
  <c r="FR533" i="1"/>
  <c r="FR590" i="1" s="1"/>
  <c r="GS404" i="1"/>
  <c r="GT404" i="1"/>
  <c r="GT824" i="1"/>
  <c r="GV545" i="1"/>
  <c r="GU545" i="1"/>
  <c r="GT15" i="1"/>
  <c r="GU15" i="1" s="1"/>
  <c r="O596" i="1"/>
  <c r="P596" i="1" s="1"/>
  <c r="CV530" i="1"/>
  <c r="CU533" i="1"/>
  <c r="CU603" i="1" s="1"/>
  <c r="CV603" i="1" s="1"/>
  <c r="FS524" i="1"/>
  <c r="GV301" i="1"/>
  <c r="GU301" i="1"/>
  <c r="DY603" i="1"/>
  <c r="DZ530" i="1"/>
  <c r="DY533" i="1"/>
  <c r="W595" i="1"/>
  <c r="EV498" i="1"/>
  <c r="GQ667" i="1"/>
  <c r="GP669" i="1"/>
  <c r="GQ669" i="1" s="1"/>
  <c r="M587" i="1"/>
  <c r="N587" i="1" s="1"/>
  <c r="N536" i="1"/>
  <c r="M539" i="1"/>
  <c r="M538" i="1"/>
  <c r="BM601" i="1"/>
  <c r="BN528" i="1"/>
  <c r="BX528" i="1"/>
  <c r="CY289" i="1"/>
  <c r="CZ287" i="1"/>
  <c r="DA281" i="1"/>
  <c r="FR153" i="1"/>
  <c r="FS149" i="1"/>
  <c r="FR159" i="1"/>
  <c r="FR160" i="1"/>
  <c r="FR158" i="1"/>
  <c r="GX611" i="1"/>
  <c r="GW611" i="1"/>
  <c r="GW227" i="1"/>
  <c r="GX227" i="1"/>
  <c r="CM603" i="1"/>
  <c r="CM533" i="1"/>
  <c r="GN520" i="1"/>
  <c r="GO518" i="1"/>
  <c r="GV229" i="1"/>
  <c r="GX228" i="1"/>
  <c r="GW228" i="1"/>
  <c r="FD590" i="1"/>
  <c r="FE590" i="1" s="1"/>
  <c r="FD595" i="1"/>
  <c r="FE595" i="1" s="1"/>
  <c r="BO592" i="1"/>
  <c r="BP592" i="1" s="1"/>
  <c r="EE601" i="1"/>
  <c r="EF528" i="1"/>
  <c r="GD528" i="1"/>
  <c r="GD429" i="1"/>
  <c r="GE428" i="1"/>
  <c r="DZ432" i="1"/>
  <c r="EA776" i="1"/>
  <c r="EA777" i="1" s="1"/>
  <c r="EA601" i="1"/>
  <c r="EB528" i="1"/>
  <c r="GF530" i="1"/>
  <c r="GG527" i="1"/>
  <c r="GJ528" i="1"/>
  <c r="GJ530" i="1" s="1"/>
  <c r="GJ429" i="1"/>
  <c r="GK429" i="1" s="1"/>
  <c r="GK428" i="1"/>
  <c r="GR801" i="1"/>
  <c r="GS406" i="1"/>
  <c r="GR412" i="1"/>
  <c r="GT406" i="1"/>
  <c r="GS586" i="1"/>
  <c r="GT586" i="1"/>
  <c r="GR570" i="1"/>
  <c r="FZ528" i="1"/>
  <c r="GA428" i="1"/>
  <c r="GI12" i="1"/>
  <c r="GH14" i="1"/>
  <c r="GZ480" i="1"/>
  <c r="GY480" i="1"/>
  <c r="AW294" i="1"/>
  <c r="AX281" i="1"/>
  <c r="AW287" i="1"/>
  <c r="AW293" i="1"/>
  <c r="GV665" i="1"/>
  <c r="GU665" i="1"/>
  <c r="GM518" i="1"/>
  <c r="GL520" i="1"/>
  <c r="EQ636" i="1"/>
  <c r="ER633" i="1"/>
  <c r="CP14" i="1"/>
  <c r="CO16" i="1"/>
  <c r="FW526" i="1"/>
  <c r="CY16" i="1"/>
  <c r="CZ14" i="1"/>
  <c r="CS601" i="1"/>
  <c r="CT528" i="1"/>
  <c r="V600" i="1"/>
  <c r="FL530" i="1"/>
  <c r="ER376" i="1"/>
  <c r="AC739" i="1"/>
  <c r="AD739" i="1" s="1"/>
  <c r="AC587" i="1"/>
  <c r="AD587" i="1" s="1"/>
  <c r="AC513" i="1"/>
  <c r="AD513" i="1" s="1"/>
  <c r="AD536" i="1"/>
  <c r="AC539" i="1"/>
  <c r="AC538" i="1"/>
  <c r="GR658" i="1"/>
  <c r="GS658" i="1" s="1"/>
  <c r="GT656" i="1"/>
  <c r="GS656" i="1"/>
  <c r="GC528" i="1"/>
  <c r="GI388" i="1"/>
  <c r="AZ530" i="1"/>
  <c r="AY533" i="1"/>
  <c r="AY603" i="1" s="1"/>
  <c r="AZ603" i="1" s="1"/>
  <c r="BK601" i="1"/>
  <c r="BL528" i="1"/>
  <c r="GK522" i="1"/>
  <c r="GJ523" i="1"/>
  <c r="AO603" i="1"/>
  <c r="AP530" i="1"/>
  <c r="AO533" i="1"/>
  <c r="Q603" i="1"/>
  <c r="R603" i="1" s="1"/>
  <c r="R530" i="1"/>
  <c r="Q533" i="1"/>
  <c r="GA527" i="1"/>
  <c r="FZ530" i="1"/>
  <c r="ET411" i="1"/>
  <c r="ES416" i="1"/>
  <c r="GA518" i="1"/>
  <c r="FZ520" i="1"/>
  <c r="FR602" i="1"/>
  <c r="FS529" i="1"/>
  <c r="EA592" i="1"/>
  <c r="GI253" i="1"/>
  <c r="FH528" i="1"/>
  <c r="FI428" i="1"/>
  <c r="FH774" i="1"/>
  <c r="FH779" i="1" s="1"/>
  <c r="EX498" i="1"/>
  <c r="GI518" i="1"/>
  <c r="GH520" i="1"/>
  <c r="FP530" i="1"/>
  <c r="FQ527" i="1"/>
  <c r="GT676" i="1"/>
  <c r="GS676" i="1"/>
  <c r="GR657" i="1"/>
  <c r="GS657" i="1" s="1"/>
  <c r="AD596" i="1"/>
  <c r="DY592" i="1"/>
  <c r="EH429" i="1"/>
  <c r="GR369" i="1"/>
  <c r="GQ369" i="1"/>
  <c r="EG592" i="1"/>
  <c r="EC530" i="1"/>
  <c r="GP915" i="1"/>
  <c r="GR402" i="1"/>
  <c r="GQ402" i="1"/>
  <c r="ER432" i="1"/>
  <c r="EJ432" i="1"/>
  <c r="CM601" i="1"/>
  <c r="CN528" i="1"/>
  <c r="GZ282" i="1"/>
  <c r="GY282" i="1"/>
  <c r="AK603" i="1"/>
  <c r="AL603" i="1" s="1"/>
  <c r="AL530" i="1"/>
  <c r="AK533" i="1"/>
  <c r="EX314" i="1"/>
  <c r="EI603" i="1"/>
  <c r="EJ603" i="1" s="1"/>
  <c r="EJ530" i="1"/>
  <c r="EI533" i="1"/>
  <c r="EI777" i="1" s="1"/>
  <c r="GD298" i="1"/>
  <c r="GE297" i="1"/>
  <c r="GG428" i="1"/>
  <c r="DV528" i="1"/>
  <c r="FF595" i="1"/>
  <c r="FG595" i="1" s="1"/>
  <c r="GU288" i="1"/>
  <c r="GV288" i="1"/>
  <c r="GV668" i="1"/>
  <c r="GU668" i="1"/>
  <c r="DP432" i="1"/>
  <c r="GV436" i="1"/>
  <c r="GW436" i="1" s="1"/>
  <c r="GX434" i="1"/>
  <c r="GW434" i="1"/>
  <c r="DG592" i="1"/>
  <c r="FR298" i="1"/>
  <c r="FS297" i="1"/>
  <c r="GN530" i="1"/>
  <c r="GO527" i="1"/>
  <c r="W596" i="1"/>
  <c r="X596" i="1" s="1"/>
  <c r="ES632" i="1"/>
  <c r="AA536" i="1"/>
  <c r="AB533" i="1"/>
  <c r="AA605" i="1"/>
  <c r="AA602" i="1"/>
  <c r="AA595" i="1"/>
  <c r="AA594" i="1"/>
  <c r="AA590" i="1"/>
  <c r="AA600" i="1"/>
  <c r="DO776" i="1"/>
  <c r="DO777" i="1" s="1"/>
  <c r="BX530" i="1"/>
  <c r="BW533" i="1"/>
  <c r="BW601" i="1" s="1"/>
  <c r="BX601" i="1" s="1"/>
  <c r="BI601" i="1"/>
  <c r="BJ528" i="1"/>
  <c r="CO603" i="1"/>
  <c r="CP603" i="1" s="1"/>
  <c r="CP530" i="1"/>
  <c r="CO533" i="1"/>
  <c r="DQ603" i="1"/>
  <c r="DR603" i="1" s="1"/>
  <c r="DR530" i="1"/>
  <c r="DQ533" i="1"/>
  <c r="N598" i="1"/>
  <c r="M607" i="1"/>
  <c r="N607" i="1" s="1"/>
  <c r="ER519" i="1"/>
  <c r="EQ800" i="1"/>
  <c r="ER408" i="1"/>
  <c r="EQ414" i="1"/>
  <c r="GI526" i="1"/>
  <c r="FO519" i="1"/>
  <c r="V598" i="1"/>
  <c r="U607" i="1"/>
  <c r="V607" i="1" s="1"/>
  <c r="CE530" i="1"/>
  <c r="FL174" i="1"/>
  <c r="FL169" i="1"/>
  <c r="FO164" i="1"/>
  <c r="FM164" i="1"/>
  <c r="FL176" i="1"/>
  <c r="FL175" i="1"/>
  <c r="FR595" i="1"/>
  <c r="FS522" i="1"/>
  <c r="GS485" i="1"/>
  <c r="GR484" i="1"/>
  <c r="GS484" i="1" s="1"/>
  <c r="GR486" i="1"/>
  <c r="EE20" i="198" s="1"/>
  <c r="FQ522" i="1"/>
  <c r="CZ530" i="1"/>
  <c r="CY533" i="1"/>
  <c r="CY596" i="1" s="1"/>
  <c r="GT374" i="1"/>
  <c r="GS374" i="1"/>
  <c r="EW119" i="1"/>
  <c r="DJ14" i="1"/>
  <c r="DI16" i="1"/>
  <c r="CQ297" i="1"/>
  <c r="GO12" i="1"/>
  <c r="GN14" i="1"/>
  <c r="GH270" i="1"/>
  <c r="GI265" i="1"/>
  <c r="GH277" i="1"/>
  <c r="GI277" i="1" s="1"/>
  <c r="GH276" i="1"/>
  <c r="GI276" i="1" s="1"/>
  <c r="EP528" i="1"/>
  <c r="DE603" i="1"/>
  <c r="DF530" i="1"/>
  <c r="DE533" i="1"/>
  <c r="CO305" i="1"/>
  <c r="CO327" i="1"/>
  <c r="BI592" i="1"/>
  <c r="GG12" i="1"/>
  <c r="GF14" i="1"/>
  <c r="GV110" i="1"/>
  <c r="GV112" i="1" s="1"/>
  <c r="GU110" i="1"/>
  <c r="GR848" i="1"/>
  <c r="ED14" i="1"/>
  <c r="EC16" i="1"/>
  <c r="DI596" i="1"/>
  <c r="DJ596" i="1" s="1"/>
  <c r="FO526" i="1"/>
  <c r="BT530" i="1"/>
  <c r="BS533" i="1"/>
  <c r="BS601" i="1" s="1"/>
  <c r="BT601" i="1" s="1"/>
  <c r="DT528" i="1"/>
  <c r="W591" i="1"/>
  <c r="BU530" i="1"/>
  <c r="DG777" i="1"/>
  <c r="GO613" i="1"/>
  <c r="ES812" i="1"/>
  <c r="ES769" i="1"/>
  <c r="ES519" i="1"/>
  <c r="ES133" i="1"/>
  <c r="ET133" i="1" s="1"/>
  <c r="ET132" i="1"/>
  <c r="DA592" i="1"/>
  <c r="DB592" i="1" s="1"/>
  <c r="DA601" i="1"/>
  <c r="DB601" i="1" s="1"/>
  <c r="DB528" i="1"/>
  <c r="EE596" i="1"/>
  <c r="EF596" i="1" s="1"/>
  <c r="DF14" i="1"/>
  <c r="DE16" i="1"/>
  <c r="AF530" i="1"/>
  <c r="AE533" i="1"/>
  <c r="AE592" i="1" s="1"/>
  <c r="AF592" i="1" s="1"/>
  <c r="FW522" i="1"/>
  <c r="EX238" i="1"/>
  <c r="EW239" i="1"/>
  <c r="AC607" i="1"/>
  <c r="AD607" i="1" s="1"/>
  <c r="DL530" i="1"/>
  <c r="DK533" i="1"/>
  <c r="DK592" i="1" s="1"/>
  <c r="V595" i="1"/>
  <c r="GR909" i="1"/>
  <c r="GR365" i="1"/>
  <c r="GS365" i="1" s="1"/>
  <c r="GT364" i="1"/>
  <c r="GS364" i="1"/>
  <c r="GE527" i="1"/>
  <c r="GD530" i="1"/>
  <c r="CQ592" i="1"/>
  <c r="GD14" i="1"/>
  <c r="GE12" i="1"/>
  <c r="GV413" i="1"/>
  <c r="GU413" i="1"/>
  <c r="AG592" i="1"/>
  <c r="BO601" i="1"/>
  <c r="BP601" i="1" s="1"/>
  <c r="BP528" i="1"/>
  <c r="DY601" i="1"/>
  <c r="DZ528" i="1"/>
  <c r="AK592" i="1"/>
  <c r="AL592" i="1" s="1"/>
  <c r="CU592" i="1"/>
  <c r="BA592" i="1"/>
  <c r="GT415" i="1"/>
  <c r="GS415" i="1"/>
  <c r="DI592" i="1"/>
  <c r="DJ592" i="1" s="1"/>
  <c r="FO527" i="1"/>
  <c r="FN530" i="1"/>
  <c r="AR530" i="1"/>
  <c r="AQ533" i="1"/>
  <c r="AQ603" i="1" s="1"/>
  <c r="AR603" i="1" s="1"/>
  <c r="CU601" i="1"/>
  <c r="CV601" i="1" s="1"/>
  <c r="CV528" i="1"/>
  <c r="GJ520" i="1"/>
  <c r="GK518" i="1"/>
  <c r="DE777" i="1"/>
  <c r="BK592" i="1"/>
  <c r="GM98" i="1"/>
  <c r="CA601" i="1"/>
  <c r="CB528" i="1"/>
  <c r="GP124" i="1"/>
  <c r="GQ116" i="1"/>
  <c r="FJ528" i="1"/>
  <c r="FK428" i="1"/>
  <c r="FJ774" i="1"/>
  <c r="FJ779" i="1" s="1"/>
  <c r="BE592" i="1"/>
  <c r="AG603" i="1"/>
  <c r="AH530" i="1"/>
  <c r="AG533" i="1"/>
  <c r="CU16" i="1"/>
  <c r="CV14" i="1"/>
  <c r="V602" i="1"/>
  <c r="FM522" i="1"/>
  <c r="EQ383" i="1"/>
  <c r="GA522" i="1"/>
  <c r="AD602" i="1"/>
  <c r="FQ529" i="1"/>
  <c r="DW601" i="1"/>
  <c r="DX601" i="1" s="1"/>
  <c r="DX528" i="1"/>
  <c r="EW240" i="1"/>
  <c r="GP240" i="1" s="1"/>
  <c r="FZ523" i="1"/>
  <c r="DI776" i="1"/>
  <c r="DI777" i="1" s="1"/>
  <c r="GI527" i="1"/>
  <c r="GH530" i="1"/>
  <c r="EU416" i="1"/>
  <c r="EV411" i="1"/>
  <c r="GU419" i="1"/>
  <c r="GV419" i="1"/>
  <c r="FH39" i="1"/>
  <c r="FI38" i="1"/>
  <c r="FJ29" i="1"/>
  <c r="FW527" i="1"/>
  <c r="FV530" i="1"/>
  <c r="FY530" i="1" s="1"/>
  <c r="GM388" i="1"/>
  <c r="DL432" i="1"/>
  <c r="AI592" i="1"/>
  <c r="AJ592" i="1" s="1"/>
  <c r="FZ774" i="1"/>
  <c r="GK526" i="1"/>
  <c r="GB530" i="1"/>
  <c r="GC527" i="1"/>
  <c r="EM16" i="1"/>
  <c r="EN14" i="1"/>
  <c r="GI522" i="1"/>
  <c r="CO592" i="1"/>
  <c r="CP592" i="1" s="1"/>
  <c r="AX530" i="1"/>
  <c r="AW533" i="1"/>
  <c r="AW603" i="1" s="1"/>
  <c r="AX603" i="1" s="1"/>
  <c r="DW592" i="1"/>
  <c r="DX592" i="1" s="1"/>
  <c r="GB520" i="1"/>
  <c r="GC518" i="1"/>
  <c r="CI530" i="1"/>
  <c r="FD591" i="1"/>
  <c r="FE591" i="1" s="1"/>
  <c r="FT164" i="1"/>
  <c r="FR179" i="1"/>
  <c r="FR170" i="1"/>
  <c r="FS169" i="1"/>
  <c r="FL523" i="1"/>
  <c r="AM858" i="1"/>
  <c r="AM859" i="1" s="1"/>
  <c r="AN502" i="1"/>
  <c r="AV502" i="1"/>
  <c r="EH432" i="1"/>
  <c r="EO530" i="1"/>
  <c r="DU603" i="1"/>
  <c r="DV530" i="1"/>
  <c r="DU533" i="1"/>
  <c r="AE596" i="1"/>
  <c r="AF596" i="1" s="1"/>
  <c r="CM592" i="1"/>
  <c r="BZ530" i="1"/>
  <c r="BY533" i="1"/>
  <c r="BY603" i="1" s="1"/>
  <c r="EI601" i="1"/>
  <c r="EJ601" i="1" s="1"/>
  <c r="EJ528" i="1"/>
  <c r="DS530" i="1"/>
  <c r="AY592" i="1"/>
  <c r="CY777" i="1"/>
  <c r="AO592" i="1"/>
  <c r="AP592" i="1" s="1"/>
  <c r="AQ592" i="1"/>
  <c r="AR592" i="1" s="1"/>
  <c r="FT297" i="1"/>
  <c r="FU289" i="1"/>
  <c r="DW16" i="1"/>
  <c r="DX14" i="1"/>
  <c r="FS428" i="1"/>
  <c r="AN530" i="1"/>
  <c r="AM533" i="1"/>
  <c r="GT112" i="1"/>
  <c r="CQ601" i="1"/>
  <c r="CR528" i="1"/>
  <c r="DO601" i="1"/>
  <c r="DP601" i="1" s="1"/>
  <c r="DP528" i="1"/>
  <c r="GS622" i="1"/>
  <c r="GT622" i="1"/>
  <c r="GR617" i="1"/>
  <c r="GS617" i="1" s="1"/>
  <c r="GR621" i="1"/>
  <c r="GS621" i="1" s="1"/>
  <c r="DW776" i="1"/>
  <c r="DW777" i="1" s="1"/>
  <c r="FF77" i="1"/>
  <c r="FG77" i="1" s="1"/>
  <c r="FG75" i="1"/>
  <c r="AO194" i="1"/>
  <c r="AP194" i="1" s="1"/>
  <c r="AP180" i="1"/>
  <c r="GN774" i="1"/>
  <c r="EQ765" i="1"/>
  <c r="ER637" i="1"/>
  <c r="FD596" i="1"/>
  <c r="FE596" i="1" s="1"/>
  <c r="CZ466" i="198" l="1"/>
  <c r="DX473" i="2"/>
  <c r="CZ507" i="198"/>
  <c r="DX514" i="2"/>
  <c r="EV416" i="1"/>
  <c r="CX512" i="198"/>
  <c r="DV519" i="2"/>
  <c r="CY507" i="198"/>
  <c r="DW514" i="2"/>
  <c r="DS514" i="2"/>
  <c r="CU507" i="198"/>
  <c r="ET416" i="1"/>
  <c r="DT519" i="2"/>
  <c r="CV512" i="198"/>
  <c r="DU514" i="2"/>
  <c r="CW507" i="198"/>
  <c r="DS478" i="2"/>
  <c r="CU471" i="198"/>
  <c r="DR480" i="2"/>
  <c r="DR481" i="2" s="1"/>
  <c r="CT17" i="198"/>
  <c r="CT473" i="198"/>
  <c r="CT474" i="198" s="1"/>
  <c r="DS70" i="2"/>
  <c r="CU61" i="198"/>
  <c r="DR35" i="2"/>
  <c r="CT62" i="198"/>
  <c r="DR71" i="2"/>
  <c r="CT30" i="198"/>
  <c r="EG458" i="198"/>
  <c r="FM465" i="2"/>
  <c r="EF467" i="198"/>
  <c r="FL474" i="2"/>
  <c r="GR498" i="1"/>
  <c r="GS498" i="1" s="1"/>
  <c r="FK506" i="2"/>
  <c r="EF502" i="198"/>
  <c r="FL509" i="2"/>
  <c r="EE503" i="198"/>
  <c r="FK510" i="2"/>
  <c r="EF461" i="198"/>
  <c r="FL468" i="2"/>
  <c r="EE459" i="198"/>
  <c r="FK466" i="2"/>
  <c r="EG467" i="198"/>
  <c r="FM474" i="2"/>
  <c r="EE462" i="198"/>
  <c r="FK469" i="2"/>
  <c r="EE470" i="198"/>
  <c r="FK477" i="2"/>
  <c r="EG461" i="198"/>
  <c r="FM468" i="2"/>
  <c r="EF511" i="198"/>
  <c r="FL518" i="2"/>
  <c r="EG502" i="198"/>
  <c r="FM509" i="2"/>
  <c r="EG500" i="198"/>
  <c r="FM507" i="2"/>
  <c r="FM518" i="2"/>
  <c r="EG511" i="198"/>
  <c r="EF458" i="198"/>
  <c r="FL465" i="2"/>
  <c r="GS412" i="1"/>
  <c r="EE508" i="198"/>
  <c r="FK515" i="2"/>
  <c r="EF500" i="198"/>
  <c r="FL507" i="2"/>
  <c r="GQ240" i="1"/>
  <c r="GP248" i="1"/>
  <c r="GW112" i="1"/>
  <c r="GK530" i="1"/>
  <c r="GJ533" i="1"/>
  <c r="GL603" i="1"/>
  <c r="GM530" i="1"/>
  <c r="GL533" i="1"/>
  <c r="BH603" i="1"/>
  <c r="GU232" i="1"/>
  <c r="AM536" i="1"/>
  <c r="AN533" i="1"/>
  <c r="AM605" i="1"/>
  <c r="AM594" i="1"/>
  <c r="AM595" i="1"/>
  <c r="AM591" i="1"/>
  <c r="AM602" i="1"/>
  <c r="AM600" i="1"/>
  <c r="AM590" i="1"/>
  <c r="AM598" i="1"/>
  <c r="AM601" i="1"/>
  <c r="DX16" i="1"/>
  <c r="DU557" i="1"/>
  <c r="DV533" i="1"/>
  <c r="DU549" i="1"/>
  <c r="DU536" i="1"/>
  <c r="DU602" i="1"/>
  <c r="DU605" i="1"/>
  <c r="DU594" i="1"/>
  <c r="DU598" i="1"/>
  <c r="DU595" i="1"/>
  <c r="DU601" i="1"/>
  <c r="DV601" i="1" s="1"/>
  <c r="DU591" i="1"/>
  <c r="DU596" i="1"/>
  <c r="DU590" i="1"/>
  <c r="DU600" i="1"/>
  <c r="FZ779" i="1"/>
  <c r="FZ776" i="1"/>
  <c r="GU622" i="1"/>
  <c r="GV622" i="1"/>
  <c r="GT621" i="1"/>
  <c r="GU621" i="1" s="1"/>
  <c r="GT617" i="1"/>
  <c r="GU617" i="1" s="1"/>
  <c r="AM603" i="1"/>
  <c r="FU297" i="1"/>
  <c r="FT298" i="1"/>
  <c r="AZ592" i="1"/>
  <c r="GC530" i="1"/>
  <c r="GB533" i="1"/>
  <c r="GB603" i="1" s="1"/>
  <c r="FI39" i="1"/>
  <c r="FH74" i="1"/>
  <c r="FI74" i="1" s="1"/>
  <c r="GI530" i="1"/>
  <c r="GH533" i="1"/>
  <c r="AH533" i="1"/>
  <c r="AG536" i="1"/>
  <c r="AG605" i="1"/>
  <c r="AG600" i="1"/>
  <c r="AG602" i="1"/>
  <c r="AG591" i="1"/>
  <c r="AG595" i="1"/>
  <c r="AG594" i="1"/>
  <c r="AG598" i="1"/>
  <c r="AG601" i="1"/>
  <c r="AG596" i="1"/>
  <c r="AG590" i="1"/>
  <c r="CB601" i="1"/>
  <c r="DK603" i="1"/>
  <c r="AE603" i="1"/>
  <c r="AF603" i="1" s="1"/>
  <c r="ET519" i="1"/>
  <c r="BU603" i="1"/>
  <c r="BV530" i="1"/>
  <c r="BU533" i="1"/>
  <c r="BJ592" i="1"/>
  <c r="DE557" i="1"/>
  <c r="DE549" i="1"/>
  <c r="DE536" i="1"/>
  <c r="DE602" i="1"/>
  <c r="DE605" i="1"/>
  <c r="DE594" i="1"/>
  <c r="DE598" i="1"/>
  <c r="DE590" i="1"/>
  <c r="DE596" i="1"/>
  <c r="DE601" i="1"/>
  <c r="DE595" i="1"/>
  <c r="DE591" i="1"/>
  <c r="DE600" i="1"/>
  <c r="DJ16" i="1"/>
  <c r="GV374" i="1"/>
  <c r="GU374" i="1"/>
  <c r="ER414" i="1"/>
  <c r="DQ557" i="1"/>
  <c r="DR533" i="1"/>
  <c r="DQ536" i="1"/>
  <c r="DQ549" i="1"/>
  <c r="DQ602" i="1"/>
  <c r="DQ605" i="1"/>
  <c r="DQ598" i="1"/>
  <c r="DQ594" i="1"/>
  <c r="DQ595" i="1"/>
  <c r="DQ596" i="1"/>
  <c r="DR596" i="1" s="1"/>
  <c r="DQ591" i="1"/>
  <c r="DQ590" i="1"/>
  <c r="DQ600" i="1"/>
  <c r="BW603" i="1"/>
  <c r="EU633" i="1"/>
  <c r="ES637" i="1"/>
  <c r="EU632" i="1"/>
  <c r="ET632" i="1"/>
  <c r="ES613" i="1"/>
  <c r="GN603" i="1"/>
  <c r="GO603" i="1" s="1"/>
  <c r="GO530" i="1"/>
  <c r="GN533" i="1"/>
  <c r="AL533" i="1"/>
  <c r="AK536" i="1"/>
  <c r="AK605" i="1"/>
  <c r="AL605" i="1" s="1"/>
  <c r="AK602" i="1"/>
  <c r="AL602" i="1" s="1"/>
  <c r="AK598" i="1"/>
  <c r="AK594" i="1"/>
  <c r="AL594" i="1" s="1"/>
  <c r="AK595" i="1"/>
  <c r="AL595" i="1" s="1"/>
  <c r="AK600" i="1"/>
  <c r="AL600" i="1" s="1"/>
  <c r="AK601" i="1"/>
  <c r="AL601" i="1" s="1"/>
  <c r="AK596" i="1"/>
  <c r="AL596" i="1" s="1"/>
  <c r="AK591" i="1"/>
  <c r="AL591" i="1" s="1"/>
  <c r="AK590" i="1"/>
  <c r="AL590" i="1" s="1"/>
  <c r="ED530" i="1"/>
  <c r="EC533" i="1"/>
  <c r="FQ530" i="1"/>
  <c r="FP533" i="1"/>
  <c r="FP603" i="1" s="1"/>
  <c r="FQ603" i="1" s="1"/>
  <c r="R533" i="1"/>
  <c r="Q536" i="1"/>
  <c r="Q605" i="1"/>
  <c r="R605" i="1" s="1"/>
  <c r="Q600" i="1"/>
  <c r="R600" i="1" s="1"/>
  <c r="Q602" i="1"/>
  <c r="R602" i="1" s="1"/>
  <c r="Q598" i="1"/>
  <c r="Q590" i="1"/>
  <c r="R590" i="1" s="1"/>
  <c r="Q591" i="1"/>
  <c r="R591" i="1" s="1"/>
  <c r="Q594" i="1"/>
  <c r="R594" i="1" s="1"/>
  <c r="Q595" i="1"/>
  <c r="R595" i="1" s="1"/>
  <c r="Q601" i="1"/>
  <c r="R601" i="1" s="1"/>
  <c r="Q592" i="1"/>
  <c r="R592" i="1" s="1"/>
  <c r="Q596" i="1"/>
  <c r="R596" i="1" s="1"/>
  <c r="AP533" i="1"/>
  <c r="AO536" i="1"/>
  <c r="AO605" i="1"/>
  <c r="AP605" i="1" s="1"/>
  <c r="AO602" i="1"/>
  <c r="AP602" i="1" s="1"/>
  <c r="AO595" i="1"/>
  <c r="AP595" i="1" s="1"/>
  <c r="AO598" i="1"/>
  <c r="AO594" i="1"/>
  <c r="AP594" i="1" s="1"/>
  <c r="AO600" i="1"/>
  <c r="AP600" i="1" s="1"/>
  <c r="AO596" i="1"/>
  <c r="AP596" i="1" s="1"/>
  <c r="AO590" i="1"/>
  <c r="AP590" i="1" s="1"/>
  <c r="AO601" i="1"/>
  <c r="AP601" i="1" s="1"/>
  <c r="AO591" i="1"/>
  <c r="AP591" i="1" s="1"/>
  <c r="EI596" i="1"/>
  <c r="GI14" i="1"/>
  <c r="GH16" i="1"/>
  <c r="GA528" i="1"/>
  <c r="EF601" i="1"/>
  <c r="GW229" i="1"/>
  <c r="CM557" i="1"/>
  <c r="CM536" i="1"/>
  <c r="CM549" i="1"/>
  <c r="CM602" i="1"/>
  <c r="CM605" i="1"/>
  <c r="CM595" i="1"/>
  <c r="CM594" i="1"/>
  <c r="CM596" i="1"/>
  <c r="CM598" i="1"/>
  <c r="CM777" i="1"/>
  <c r="CM591" i="1"/>
  <c r="CM590" i="1"/>
  <c r="CM600" i="1"/>
  <c r="GZ227" i="1"/>
  <c r="GY227" i="1"/>
  <c r="GZ611" i="1"/>
  <c r="GY611" i="1"/>
  <c r="DA293" i="1"/>
  <c r="DA294" i="1"/>
  <c r="DA295" i="1" s="1"/>
  <c r="DB281" i="1"/>
  <c r="DA287" i="1"/>
  <c r="DY557" i="1"/>
  <c r="DZ533" i="1"/>
  <c r="DY536" i="1"/>
  <c r="DY549" i="1"/>
  <c r="DY602" i="1"/>
  <c r="DZ602" i="1" s="1"/>
  <c r="DY605" i="1"/>
  <c r="DZ605" i="1" s="1"/>
  <c r="DY598" i="1"/>
  <c r="DY595" i="1"/>
  <c r="DZ595" i="1" s="1"/>
  <c r="DY594" i="1"/>
  <c r="DZ594" i="1" s="1"/>
  <c r="DY596" i="1"/>
  <c r="DZ596" i="1" s="1"/>
  <c r="DY600" i="1"/>
  <c r="DZ600" i="1" s="1"/>
  <c r="DY591" i="1"/>
  <c r="DZ591" i="1" s="1"/>
  <c r="DY590" i="1"/>
  <c r="DZ590" i="1" s="1"/>
  <c r="GW301" i="1"/>
  <c r="GX301" i="1"/>
  <c r="GV404" i="1"/>
  <c r="GU404" i="1"/>
  <c r="FR603" i="1"/>
  <c r="X602" i="1"/>
  <c r="FG591" i="1"/>
  <c r="FD551" i="1"/>
  <c r="FD552" i="1"/>
  <c r="FG602" i="1"/>
  <c r="FG600" i="1"/>
  <c r="EU836" i="1"/>
  <c r="EU129" i="1"/>
  <c r="EV129" i="1" s="1"/>
  <c r="EU132" i="1"/>
  <c r="EV128" i="1"/>
  <c r="GM429" i="1"/>
  <c r="GY319" i="1"/>
  <c r="GZ319" i="1"/>
  <c r="CQ557" i="1"/>
  <c r="CQ549" i="1"/>
  <c r="CQ536" i="1"/>
  <c r="CQ602" i="1"/>
  <c r="CQ605" i="1"/>
  <c r="CQ594" i="1"/>
  <c r="CQ600" i="1"/>
  <c r="CQ598" i="1"/>
  <c r="CQ591" i="1"/>
  <c r="CQ595" i="1"/>
  <c r="CQ590" i="1"/>
  <c r="EH16" i="1"/>
  <c r="GU31" i="1"/>
  <c r="ET373" i="1"/>
  <c r="CX16" i="1"/>
  <c r="FJ56" i="1"/>
  <c r="FK50" i="1"/>
  <c r="FJ61" i="1"/>
  <c r="FK61" i="1" s="1"/>
  <c r="FJ60" i="1"/>
  <c r="FK60" i="1" s="1"/>
  <c r="FJ62" i="1"/>
  <c r="FK62" i="1" s="1"/>
  <c r="GT244" i="1"/>
  <c r="GS244" i="1"/>
  <c r="DD530" i="1"/>
  <c r="DC533" i="1"/>
  <c r="DC603" i="1" s="1"/>
  <c r="DD603" i="1" s="1"/>
  <c r="EU422" i="1"/>
  <c r="S536" i="1"/>
  <c r="T533" i="1"/>
  <c r="S605" i="1"/>
  <c r="T605" i="1" s="1"/>
  <c r="S594" i="1"/>
  <c r="T594" i="1" s="1"/>
  <c r="S600" i="1"/>
  <c r="T600" i="1" s="1"/>
  <c r="S595" i="1"/>
  <c r="T595" i="1" s="1"/>
  <c r="S602" i="1"/>
  <c r="T602" i="1" s="1"/>
  <c r="S603" i="1"/>
  <c r="S596" i="1"/>
  <c r="S601" i="1"/>
  <c r="S591" i="1"/>
  <c r="S598" i="1"/>
  <c r="S590" i="1"/>
  <c r="T590" i="1" s="1"/>
  <c r="FY526" i="1"/>
  <c r="DI557" i="1"/>
  <c r="DJ533" i="1"/>
  <c r="DI536" i="1"/>
  <c r="DI549" i="1"/>
  <c r="DI602" i="1"/>
  <c r="DI605" i="1"/>
  <c r="DJ605" i="1" s="1"/>
  <c r="DI594" i="1"/>
  <c r="DI598" i="1"/>
  <c r="DI600" i="1"/>
  <c r="DI590" i="1"/>
  <c r="DJ590" i="1" s="1"/>
  <c r="DI595" i="1"/>
  <c r="DI591" i="1"/>
  <c r="DL16" i="1"/>
  <c r="CS277" i="1"/>
  <c r="CS278" i="1" s="1"/>
  <c r="CS276" i="1"/>
  <c r="CS270" i="1"/>
  <c r="FN858" i="1"/>
  <c r="FN859" i="1" s="1"/>
  <c r="FO502" i="1"/>
  <c r="FQ502" i="1"/>
  <c r="GX652" i="1"/>
  <c r="GW652" i="1"/>
  <c r="GU666" i="1"/>
  <c r="GT667" i="1"/>
  <c r="GV666" i="1"/>
  <c r="FU528" i="1"/>
  <c r="FT530" i="1"/>
  <c r="DE592" i="1"/>
  <c r="BH592" i="1"/>
  <c r="GX71" i="1"/>
  <c r="GW71" i="1"/>
  <c r="CN16" i="1"/>
  <c r="GR877" i="1"/>
  <c r="GT122" i="1"/>
  <c r="GS122" i="1"/>
  <c r="GR123" i="1"/>
  <c r="FR601" i="1"/>
  <c r="FI154" i="1"/>
  <c r="FH194" i="1"/>
  <c r="FI194" i="1" s="1"/>
  <c r="FH182" i="1"/>
  <c r="GU266" i="1"/>
  <c r="GV266" i="1"/>
  <c r="GJ16" i="1"/>
  <c r="GK14" i="1"/>
  <c r="DK601" i="1"/>
  <c r="GH601" i="1"/>
  <c r="GI528" i="1"/>
  <c r="EL16" i="1"/>
  <c r="AS603" i="1"/>
  <c r="AT603" i="1" s="1"/>
  <c r="DD16" i="1"/>
  <c r="O536" i="1"/>
  <c r="P533" i="1"/>
  <c r="O605" i="1"/>
  <c r="P605" i="1" s="1"/>
  <c r="O594" i="1"/>
  <c r="P594" i="1" s="1"/>
  <c r="O602" i="1"/>
  <c r="P602" i="1" s="1"/>
  <c r="O590" i="1"/>
  <c r="P590" i="1" s="1"/>
  <c r="O600" i="1"/>
  <c r="P600" i="1" s="1"/>
  <c r="O598" i="1"/>
  <c r="O595" i="1"/>
  <c r="P595" i="1" s="1"/>
  <c r="O592" i="1"/>
  <c r="O591" i="1"/>
  <c r="P591" i="1" s="1"/>
  <c r="O601" i="1"/>
  <c r="P601" i="1" s="1"/>
  <c r="DQ601" i="1"/>
  <c r="DR601" i="1" s="1"/>
  <c r="AQ596" i="1"/>
  <c r="EW376" i="1"/>
  <c r="EX370" i="1"/>
  <c r="FG592" i="1"/>
  <c r="CT16" i="1"/>
  <c r="CG557" i="1"/>
  <c r="CG549" i="1"/>
  <c r="CH533" i="1"/>
  <c r="CG536" i="1"/>
  <c r="CG602" i="1"/>
  <c r="CG605" i="1"/>
  <c r="CG591" i="1"/>
  <c r="CG598" i="1"/>
  <c r="CG594" i="1"/>
  <c r="CG596" i="1"/>
  <c r="CG595" i="1"/>
  <c r="CG590" i="1"/>
  <c r="CH590" i="1" s="1"/>
  <c r="CG600" i="1"/>
  <c r="CG777" i="1"/>
  <c r="DO557" i="1"/>
  <c r="DO549" i="1"/>
  <c r="DO536" i="1"/>
  <c r="DP533" i="1"/>
  <c r="DO602" i="1"/>
  <c r="DO605" i="1"/>
  <c r="DO591" i="1"/>
  <c r="DO594" i="1"/>
  <c r="DO595" i="1"/>
  <c r="DO598" i="1"/>
  <c r="DO590" i="1"/>
  <c r="DO600" i="1"/>
  <c r="DO596" i="1"/>
  <c r="GV775" i="1"/>
  <c r="GV531" i="1"/>
  <c r="FO20" i="2" s="1"/>
  <c r="FO22" i="2" s="1"/>
  <c r="GW490" i="1"/>
  <c r="GX490" i="1"/>
  <c r="GV485" i="1"/>
  <c r="DA557" i="1"/>
  <c r="DB533" i="1"/>
  <c r="DA536" i="1"/>
  <c r="DA549" i="1"/>
  <c r="DA602" i="1"/>
  <c r="DA605" i="1"/>
  <c r="DA598" i="1"/>
  <c r="DA594" i="1"/>
  <c r="DA600" i="1"/>
  <c r="DA590" i="1"/>
  <c r="DA591" i="1"/>
  <c r="DA595" i="1"/>
  <c r="DW557" i="1"/>
  <c r="DW549" i="1"/>
  <c r="DW536" i="1"/>
  <c r="DX533" i="1"/>
  <c r="DW602" i="1"/>
  <c r="DW605" i="1"/>
  <c r="DX605" i="1" s="1"/>
  <c r="DW594" i="1"/>
  <c r="DX594" i="1" s="1"/>
  <c r="DW591" i="1"/>
  <c r="DX591" i="1" s="1"/>
  <c r="DW595" i="1"/>
  <c r="DW598" i="1"/>
  <c r="DW600" i="1"/>
  <c r="DX600" i="1" s="1"/>
  <c r="DW590" i="1"/>
  <c r="DX590" i="1" s="1"/>
  <c r="GR245" i="1"/>
  <c r="GQ245" i="1"/>
  <c r="FD607" i="1"/>
  <c r="FE607" i="1" s="1"/>
  <c r="BI557" i="1"/>
  <c r="BJ533" i="1"/>
  <c r="BI549" i="1"/>
  <c r="BI536" i="1"/>
  <c r="BI605" i="1"/>
  <c r="BI594" i="1"/>
  <c r="BI598" i="1"/>
  <c r="BI600" i="1"/>
  <c r="BI591" i="1"/>
  <c r="BI602" i="1"/>
  <c r="BI596" i="1"/>
  <c r="BI590" i="1"/>
  <c r="BI595" i="1"/>
  <c r="GL777" i="1"/>
  <c r="FT776" i="1"/>
  <c r="EM557" i="1"/>
  <c r="EM549" i="1"/>
  <c r="EM536" i="1"/>
  <c r="EN533" i="1"/>
  <c r="EM602" i="1"/>
  <c r="EM605" i="1"/>
  <c r="EM594" i="1"/>
  <c r="EM595" i="1"/>
  <c r="EM591" i="1"/>
  <c r="EM596" i="1"/>
  <c r="EN596" i="1" s="1"/>
  <c r="EM600" i="1"/>
  <c r="EM590" i="1"/>
  <c r="EM598" i="1"/>
  <c r="EM777" i="1"/>
  <c r="CC557" i="1"/>
  <c r="CC549" i="1"/>
  <c r="CD533" i="1"/>
  <c r="CC536" i="1"/>
  <c r="CC602" i="1"/>
  <c r="CC605" i="1"/>
  <c r="CC594" i="1"/>
  <c r="CC598" i="1"/>
  <c r="CC595" i="1"/>
  <c r="CC596" i="1"/>
  <c r="CC600" i="1"/>
  <c r="CC590" i="1"/>
  <c r="CC591" i="1"/>
  <c r="GU112" i="1"/>
  <c r="DT530" i="1"/>
  <c r="DS533" i="1"/>
  <c r="DS603" i="1" s="1"/>
  <c r="BY557" i="1"/>
  <c r="BY549" i="1"/>
  <c r="BY536" i="1"/>
  <c r="BY602" i="1"/>
  <c r="BY605" i="1"/>
  <c r="BY598" i="1"/>
  <c r="BY595" i="1"/>
  <c r="BY594" i="1"/>
  <c r="BY601" i="1"/>
  <c r="CH601" i="1" s="1"/>
  <c r="BY590" i="1"/>
  <c r="BY591" i="1"/>
  <c r="BY600" i="1"/>
  <c r="BY596" i="1"/>
  <c r="FS170" i="1"/>
  <c r="CJ530" i="1"/>
  <c r="CI533" i="1"/>
  <c r="GX419" i="1"/>
  <c r="GW419" i="1"/>
  <c r="EX240" i="1"/>
  <c r="EW248" i="1"/>
  <c r="GQ124" i="1"/>
  <c r="GR124" i="1"/>
  <c r="GV415" i="1"/>
  <c r="GU415" i="1"/>
  <c r="GW413" i="1"/>
  <c r="GX413" i="1"/>
  <c r="GD603" i="1"/>
  <c r="GE530" i="1"/>
  <c r="GD533" i="1"/>
  <c r="GT909" i="1"/>
  <c r="GT365" i="1"/>
  <c r="GU365" i="1" s="1"/>
  <c r="GV364" i="1"/>
  <c r="GU364" i="1"/>
  <c r="DU777" i="1"/>
  <c r="X591" i="1"/>
  <c r="BS557" i="1"/>
  <c r="BS536" i="1"/>
  <c r="BS549" i="1"/>
  <c r="BT533" i="1"/>
  <c r="BS605" i="1"/>
  <c r="BS594" i="1"/>
  <c r="BS602" i="1"/>
  <c r="BS591" i="1"/>
  <c r="BS598" i="1"/>
  <c r="BS600" i="1"/>
  <c r="BS590" i="1"/>
  <c r="BS595" i="1"/>
  <c r="BS596" i="1"/>
  <c r="ED16" i="1"/>
  <c r="GF16" i="1"/>
  <c r="GG14" i="1"/>
  <c r="DU592" i="1"/>
  <c r="DV592" i="1" s="1"/>
  <c r="CY557" i="1"/>
  <c r="CY549" i="1"/>
  <c r="CY536" i="1"/>
  <c r="CZ533" i="1"/>
  <c r="CY602" i="1"/>
  <c r="CZ602" i="1" s="1"/>
  <c r="CY605" i="1"/>
  <c r="CZ605" i="1" s="1"/>
  <c r="CY594" i="1"/>
  <c r="CZ594" i="1" s="1"/>
  <c r="CY595" i="1"/>
  <c r="CZ595" i="1" s="1"/>
  <c r="CY590" i="1"/>
  <c r="CZ590" i="1" s="1"/>
  <c r="CY591" i="1"/>
  <c r="CZ591" i="1" s="1"/>
  <c r="CY600" i="1"/>
  <c r="CZ600" i="1" s="1"/>
  <c r="CY598" i="1"/>
  <c r="CE603" i="1"/>
  <c r="CF603" i="1" s="1"/>
  <c r="CF530" i="1"/>
  <c r="CE533" i="1"/>
  <c r="AB594" i="1"/>
  <c r="EH592" i="1"/>
  <c r="GA530" i="1"/>
  <c r="FZ533" i="1"/>
  <c r="FZ592" i="1" s="1"/>
  <c r="GJ596" i="1"/>
  <c r="AC735" i="1"/>
  <c r="AD735" i="1" s="1"/>
  <c r="AD538" i="1"/>
  <c r="AC541" i="1"/>
  <c r="AC542" i="1" s="1"/>
  <c r="AC543" i="1" s="1"/>
  <c r="AC781" i="1" s="1"/>
  <c r="AC783" i="1" s="1"/>
  <c r="AC738" i="1"/>
  <c r="AC736" i="1"/>
  <c r="AD736" i="1" s="1"/>
  <c r="AC737" i="1"/>
  <c r="ER636" i="1"/>
  <c r="AX287" i="1"/>
  <c r="AW289" i="1"/>
  <c r="AY281" i="1"/>
  <c r="GT801" i="1"/>
  <c r="GT412" i="1"/>
  <c r="GV406" i="1"/>
  <c r="GU406" i="1"/>
  <c r="GG530" i="1"/>
  <c r="GF533" i="1"/>
  <c r="GF603" i="1" s="1"/>
  <c r="GG603" i="1" s="1"/>
  <c r="CN530" i="1"/>
  <c r="N538" i="1"/>
  <c r="M541" i="1"/>
  <c r="M542" i="1" s="1"/>
  <c r="M543" i="1" s="1"/>
  <c r="M781" i="1" s="1"/>
  <c r="M783" i="1" s="1"/>
  <c r="GV824" i="1"/>
  <c r="GX545" i="1"/>
  <c r="GW545" i="1"/>
  <c r="GV15" i="1"/>
  <c r="GW15" i="1" s="1"/>
  <c r="X600" i="1"/>
  <c r="X605" i="1"/>
  <c r="BC557" i="1"/>
  <c r="BC536" i="1"/>
  <c r="BC549" i="1"/>
  <c r="BD533" i="1"/>
  <c r="BC605" i="1"/>
  <c r="BC602" i="1"/>
  <c r="BC594" i="1"/>
  <c r="BC591" i="1"/>
  <c r="BC590" i="1"/>
  <c r="BC601" i="1"/>
  <c r="BL601" i="1" s="1"/>
  <c r="BC595" i="1"/>
  <c r="BC596" i="1"/>
  <c r="BC598" i="1"/>
  <c r="BC600" i="1"/>
  <c r="EX619" i="1"/>
  <c r="EW616" i="1"/>
  <c r="AM596" i="1"/>
  <c r="AN596" i="1" s="1"/>
  <c r="AU603" i="1"/>
  <c r="AV603" i="1" s="1"/>
  <c r="FG594" i="1"/>
  <c r="FG605" i="1"/>
  <c r="FF539" i="1"/>
  <c r="FG536" i="1"/>
  <c r="FF587" i="1"/>
  <c r="FF538" i="1"/>
  <c r="GN596" i="1"/>
  <c r="GF592" i="1"/>
  <c r="EQ813" i="1"/>
  <c r="EQ814" i="1" s="1"/>
  <c r="EQ771" i="1"/>
  <c r="EQ522" i="1"/>
  <c r="EQ253" i="1"/>
  <c r="ER253" i="1" s="1"/>
  <c r="ER252" i="1"/>
  <c r="DV16" i="1"/>
  <c r="CR530" i="1"/>
  <c r="CK603" i="1"/>
  <c r="CL603" i="1" s="1"/>
  <c r="CL530" i="1"/>
  <c r="CK533" i="1"/>
  <c r="DJ601" i="1"/>
  <c r="GX360" i="1"/>
  <c r="ES422" i="1"/>
  <c r="U735" i="1"/>
  <c r="V735" i="1" s="1"/>
  <c r="V538" i="1"/>
  <c r="U541" i="1"/>
  <c r="U542" i="1" s="1"/>
  <c r="U543" i="1" s="1"/>
  <c r="U781" i="1" s="1"/>
  <c r="U783" i="1" s="1"/>
  <c r="U738" i="1"/>
  <c r="V738" i="1" s="1"/>
  <c r="U736" i="1"/>
  <c r="V736" i="1" s="1"/>
  <c r="U737" i="1"/>
  <c r="V737" i="1" s="1"/>
  <c r="V587" i="1"/>
  <c r="GR669" i="1"/>
  <c r="GS669" i="1" s="1"/>
  <c r="GS667" i="1"/>
  <c r="EA557" i="1"/>
  <c r="EA536" i="1"/>
  <c r="EA549" i="1"/>
  <c r="EB533" i="1"/>
  <c r="EA602" i="1"/>
  <c r="EA605" i="1"/>
  <c r="EA595" i="1"/>
  <c r="EA594" i="1"/>
  <c r="EA590" i="1"/>
  <c r="EA598" i="1"/>
  <c r="EA600" i="1"/>
  <c r="EA591" i="1"/>
  <c r="EA596" i="1"/>
  <c r="GZ231" i="1"/>
  <c r="GY231" i="1"/>
  <c r="CQ596" i="1"/>
  <c r="EQ416" i="1"/>
  <c r="CR16" i="1"/>
  <c r="FX281" i="1"/>
  <c r="FV289" i="1"/>
  <c r="FW287" i="1"/>
  <c r="FJ153" i="1"/>
  <c r="FK149" i="1"/>
  <c r="FJ159" i="1"/>
  <c r="FJ160" i="1"/>
  <c r="FJ158" i="1"/>
  <c r="EG557" i="1"/>
  <c r="EH533" i="1"/>
  <c r="EG536" i="1"/>
  <c r="EG549" i="1"/>
  <c r="EG602" i="1"/>
  <c r="EH602" i="1" s="1"/>
  <c r="EG594" i="1"/>
  <c r="EH594" i="1" s="1"/>
  <c r="EG605" i="1"/>
  <c r="EH605" i="1" s="1"/>
  <c r="EG596" i="1"/>
  <c r="EH596" i="1" s="1"/>
  <c r="EG595" i="1"/>
  <c r="EH595" i="1" s="1"/>
  <c r="EG598" i="1"/>
  <c r="EG777" i="1"/>
  <c r="EG600" i="1"/>
  <c r="EH600" i="1" s="1"/>
  <c r="EG591" i="1"/>
  <c r="EH591" i="1" s="1"/>
  <c r="EG590" i="1"/>
  <c r="EH590" i="1" s="1"/>
  <c r="AM592" i="1"/>
  <c r="AN592" i="1" s="1"/>
  <c r="EI592" i="1"/>
  <c r="EJ592" i="1" s="1"/>
  <c r="GB596" i="1"/>
  <c r="GX111" i="1"/>
  <c r="GW111" i="1"/>
  <c r="CY601" i="1"/>
  <c r="CZ601" i="1" s="1"/>
  <c r="CU777" i="1"/>
  <c r="DP16" i="1"/>
  <c r="X601" i="1"/>
  <c r="GM14" i="1"/>
  <c r="GL16" i="1"/>
  <c r="BE557" i="1"/>
  <c r="BE549" i="1"/>
  <c r="BF533" i="1"/>
  <c r="BE536" i="1"/>
  <c r="BE605" i="1"/>
  <c r="BE602" i="1"/>
  <c r="BE594" i="1"/>
  <c r="BE595" i="1"/>
  <c r="BE598" i="1"/>
  <c r="BE596" i="1"/>
  <c r="BE601" i="1"/>
  <c r="BE590" i="1"/>
  <c r="BE600" i="1"/>
  <c r="BE591" i="1"/>
  <c r="S592" i="1"/>
  <c r="X603" i="1"/>
  <c r="AQ179" i="1"/>
  <c r="AR169" i="1"/>
  <c r="AQ170" i="1"/>
  <c r="AS164" i="1"/>
  <c r="DN16" i="1"/>
  <c r="GJ777" i="1"/>
  <c r="GU531" i="1"/>
  <c r="FN20" i="2" s="1"/>
  <c r="FN22" i="2" s="1"/>
  <c r="BM557" i="1"/>
  <c r="BM549" i="1"/>
  <c r="BN533" i="1"/>
  <c r="BM536" i="1"/>
  <c r="BM605" i="1"/>
  <c r="BN605" i="1" s="1"/>
  <c r="BM602" i="1"/>
  <c r="BN602" i="1" s="1"/>
  <c r="BM598" i="1"/>
  <c r="BM594" i="1"/>
  <c r="BN594" i="1" s="1"/>
  <c r="BM590" i="1"/>
  <c r="BM591" i="1"/>
  <c r="BN591" i="1" s="1"/>
  <c r="BM596" i="1"/>
  <c r="BM595" i="1"/>
  <c r="BN595" i="1" s="1"/>
  <c r="BM600" i="1"/>
  <c r="BN600" i="1" s="1"/>
  <c r="BK557" i="1"/>
  <c r="BK536" i="1"/>
  <c r="BK549" i="1"/>
  <c r="BL533" i="1"/>
  <c r="BK605" i="1"/>
  <c r="BL605" i="1" s="1"/>
  <c r="BK594" i="1"/>
  <c r="BL594" i="1" s="1"/>
  <c r="BK602" i="1"/>
  <c r="BL602" i="1" s="1"/>
  <c r="BK598" i="1"/>
  <c r="BK595" i="1"/>
  <c r="BL595" i="1" s="1"/>
  <c r="BK591" i="1"/>
  <c r="BL591" i="1" s="1"/>
  <c r="BK600" i="1"/>
  <c r="BL600" i="1" s="1"/>
  <c r="BK596" i="1"/>
  <c r="BL596" i="1" s="1"/>
  <c r="BK590" i="1"/>
  <c r="BL590" i="1" s="1"/>
  <c r="FW528" i="1"/>
  <c r="K607" i="1"/>
  <c r="L607" i="1" s="1"/>
  <c r="L598" i="1"/>
  <c r="K587" i="1"/>
  <c r="L587" i="1" s="1"/>
  <c r="K539" i="1"/>
  <c r="L536" i="1"/>
  <c r="K538" i="1"/>
  <c r="GR125" i="1"/>
  <c r="GQ125" i="1"/>
  <c r="BO557" i="1"/>
  <c r="BO536" i="1"/>
  <c r="BP533" i="1"/>
  <c r="BO549" i="1"/>
  <c r="BO605" i="1"/>
  <c r="BO594" i="1"/>
  <c r="BO602" i="1"/>
  <c r="BO595" i="1"/>
  <c r="BO590" i="1"/>
  <c r="BO598" i="1"/>
  <c r="BO591" i="1"/>
  <c r="BO600" i="1"/>
  <c r="BO596" i="1"/>
  <c r="EE557" i="1"/>
  <c r="EE549" i="1"/>
  <c r="EE536" i="1"/>
  <c r="EF533" i="1"/>
  <c r="EE602" i="1"/>
  <c r="EF602" i="1" s="1"/>
  <c r="EE605" i="1"/>
  <c r="EF605" i="1" s="1"/>
  <c r="EE594" i="1"/>
  <c r="EF594" i="1" s="1"/>
  <c r="EE591" i="1"/>
  <c r="EF591" i="1" s="1"/>
  <c r="EE595" i="1"/>
  <c r="EF595" i="1" s="1"/>
  <c r="EE600" i="1"/>
  <c r="EF600" i="1" s="1"/>
  <c r="EE598" i="1"/>
  <c r="EE777" i="1"/>
  <c r="EE590" i="1"/>
  <c r="EF590" i="1" s="1"/>
  <c r="FX533" i="1"/>
  <c r="DG557" i="1"/>
  <c r="DG549" i="1"/>
  <c r="DG536" i="1"/>
  <c r="DH533" i="1"/>
  <c r="DG602" i="1"/>
  <c r="DH602" i="1" s="1"/>
  <c r="DG605" i="1"/>
  <c r="DH605" i="1" s="1"/>
  <c r="DG594" i="1"/>
  <c r="DH594" i="1" s="1"/>
  <c r="DG596" i="1"/>
  <c r="DH596" i="1" s="1"/>
  <c r="DG590" i="1"/>
  <c r="DH590" i="1" s="1"/>
  <c r="DG600" i="1"/>
  <c r="DH600" i="1" s="1"/>
  <c r="DG595" i="1"/>
  <c r="DH595" i="1" s="1"/>
  <c r="DG598" i="1"/>
  <c r="DG591" i="1"/>
  <c r="DH591" i="1" s="1"/>
  <c r="CD530" i="1"/>
  <c r="DM557" i="1"/>
  <c r="DN533" i="1"/>
  <c r="DM549" i="1"/>
  <c r="DM536" i="1"/>
  <c r="DM602" i="1"/>
  <c r="DN602" i="1" s="1"/>
  <c r="DM605" i="1"/>
  <c r="DN605" i="1" s="1"/>
  <c r="DM598" i="1"/>
  <c r="DM591" i="1"/>
  <c r="DN591" i="1" s="1"/>
  <c r="DM594" i="1"/>
  <c r="DN594" i="1" s="1"/>
  <c r="DM595" i="1"/>
  <c r="DN595" i="1" s="1"/>
  <c r="DM590" i="1"/>
  <c r="DN590" i="1" s="1"/>
  <c r="DM596" i="1"/>
  <c r="DN596" i="1" s="1"/>
  <c r="DM600" i="1"/>
  <c r="DN600" i="1" s="1"/>
  <c r="DM777" i="1"/>
  <c r="EO603" i="1"/>
  <c r="EP603" i="1" s="1"/>
  <c r="EP530" i="1"/>
  <c r="EO533" i="1"/>
  <c r="FS179" i="1"/>
  <c r="FR196" i="1"/>
  <c r="FS196" i="1" s="1"/>
  <c r="FR195" i="1"/>
  <c r="EN16" i="1"/>
  <c r="FJ38" i="1"/>
  <c r="FK29" i="1"/>
  <c r="FJ43" i="1"/>
  <c r="FJ46" i="1"/>
  <c r="FJ44" i="1"/>
  <c r="FJ45" i="1"/>
  <c r="EQ842" i="1"/>
  <c r="EQ387" i="1"/>
  <c r="ER383" i="1"/>
  <c r="EQ384" i="1"/>
  <c r="AH603" i="1"/>
  <c r="GJ592" i="1"/>
  <c r="BB592" i="1"/>
  <c r="DZ601" i="1"/>
  <c r="DK557" i="1"/>
  <c r="DK536" i="1"/>
  <c r="DK549" i="1"/>
  <c r="DL533" i="1"/>
  <c r="DK602" i="1"/>
  <c r="DK605" i="1"/>
  <c r="DK595" i="1"/>
  <c r="DK594" i="1"/>
  <c r="DK590" i="1"/>
  <c r="DK598" i="1"/>
  <c r="DK596" i="1"/>
  <c r="DK600" i="1"/>
  <c r="DK591" i="1"/>
  <c r="EX239" i="1"/>
  <c r="GP239" i="1"/>
  <c r="AE536" i="1"/>
  <c r="AF533" i="1"/>
  <c r="AE605" i="1"/>
  <c r="AF605" i="1" s="1"/>
  <c r="AE594" i="1"/>
  <c r="AF594" i="1" s="1"/>
  <c r="AE602" i="1"/>
  <c r="AF602" i="1" s="1"/>
  <c r="AE600" i="1"/>
  <c r="AF600" i="1" s="1"/>
  <c r="AE590" i="1"/>
  <c r="AF590" i="1" s="1"/>
  <c r="AE601" i="1"/>
  <c r="AF601" i="1" s="1"/>
  <c r="AE591" i="1"/>
  <c r="AF591" i="1" s="1"/>
  <c r="AE595" i="1"/>
  <c r="AF595" i="1" s="1"/>
  <c r="AE598" i="1"/>
  <c r="DF16" i="1"/>
  <c r="GW110" i="1"/>
  <c r="GX110" i="1"/>
  <c r="GI270" i="1"/>
  <c r="GJ265" i="1"/>
  <c r="GH272" i="1"/>
  <c r="GI272" i="1" s="1"/>
  <c r="CQ298" i="1"/>
  <c r="EX119" i="1"/>
  <c r="GP119" i="1"/>
  <c r="GR487" i="1"/>
  <c r="GS487" i="1" s="1"/>
  <c r="GS486" i="1"/>
  <c r="EF20" i="198" s="1"/>
  <c r="GR11" i="1"/>
  <c r="GS11" i="1" s="1"/>
  <c r="BW557" i="1"/>
  <c r="BW536" i="1"/>
  <c r="BX533" i="1"/>
  <c r="BW549" i="1"/>
  <c r="BW602" i="1"/>
  <c r="BX602" i="1" s="1"/>
  <c r="BW605" i="1"/>
  <c r="BX605" i="1" s="1"/>
  <c r="BW594" i="1"/>
  <c r="BX594" i="1" s="1"/>
  <c r="BW595" i="1"/>
  <c r="BW591" i="1"/>
  <c r="BX591" i="1" s="1"/>
  <c r="BW590" i="1"/>
  <c r="BX590" i="1" s="1"/>
  <c r="BW598" i="1"/>
  <c r="BW600" i="1"/>
  <c r="BW596" i="1"/>
  <c r="BX596" i="1" s="1"/>
  <c r="AB595" i="1"/>
  <c r="AA739" i="1"/>
  <c r="AB739" i="1" s="1"/>
  <c r="AA587" i="1"/>
  <c r="AA539" i="1"/>
  <c r="AA513" i="1"/>
  <c r="AB536" i="1"/>
  <c r="AA538" i="1"/>
  <c r="GY434" i="1"/>
  <c r="GX436" i="1"/>
  <c r="GZ434" i="1"/>
  <c r="GX668" i="1"/>
  <c r="GW668" i="1"/>
  <c r="GD305" i="1"/>
  <c r="GD326" i="1"/>
  <c r="GD321" i="1"/>
  <c r="GR915" i="1"/>
  <c r="GS402" i="1"/>
  <c r="FL506" i="2" s="1"/>
  <c r="GT402" i="1"/>
  <c r="FM506" i="2" s="1"/>
  <c r="GR403" i="1"/>
  <c r="GV676" i="1"/>
  <c r="GU676" i="1"/>
  <c r="GT657" i="1"/>
  <c r="GU657" i="1" s="1"/>
  <c r="GH592" i="1"/>
  <c r="GI592" i="1" s="1"/>
  <c r="FI528" i="1"/>
  <c r="FH530" i="1"/>
  <c r="AP603" i="1"/>
  <c r="GU656" i="1"/>
  <c r="GV656" i="1"/>
  <c r="AC722" i="1"/>
  <c r="AC706" i="1"/>
  <c r="AD706" i="1" s="1"/>
  <c r="AC690" i="1"/>
  <c r="AC697" i="1"/>
  <c r="AC579" i="1"/>
  <c r="AC546" i="1"/>
  <c r="AD539" i="1"/>
  <c r="FL533" i="1"/>
  <c r="CP16" i="1"/>
  <c r="GL592" i="1"/>
  <c r="GM592" i="1" s="1"/>
  <c r="GW665" i="1"/>
  <c r="GX665" i="1"/>
  <c r="GR575" i="1"/>
  <c r="GS570" i="1"/>
  <c r="GD601" i="1"/>
  <c r="GE528" i="1"/>
  <c r="GN592" i="1"/>
  <c r="GO592" i="1" s="1"/>
  <c r="CN603" i="1"/>
  <c r="FR154" i="1"/>
  <c r="FS154" i="1" s="1"/>
  <c r="FT149" i="1"/>
  <c r="FR180" i="1"/>
  <c r="FS153" i="1"/>
  <c r="CZ289" i="1"/>
  <c r="M722" i="1"/>
  <c r="N722" i="1" s="1"/>
  <c r="M706" i="1"/>
  <c r="N706" i="1" s="1"/>
  <c r="M690" i="1"/>
  <c r="N690" i="1" s="1"/>
  <c r="M641" i="1"/>
  <c r="M579" i="1"/>
  <c r="N539" i="1"/>
  <c r="X595" i="1"/>
  <c r="DZ603" i="1"/>
  <c r="GT848" i="1"/>
  <c r="FR557" i="1"/>
  <c r="FR549" i="1"/>
  <c r="FR536" i="1"/>
  <c r="FS533" i="1"/>
  <c r="FR605" i="1"/>
  <c r="FR594" i="1"/>
  <c r="FR598" i="1"/>
  <c r="FR600" i="1"/>
  <c r="X594" i="1"/>
  <c r="AO197" i="1"/>
  <c r="AP197" i="1" s="1"/>
  <c r="AP195" i="1"/>
  <c r="W607" i="1"/>
  <c r="FP592" i="1"/>
  <c r="DH601" i="1"/>
  <c r="FE536" i="1"/>
  <c r="FD539" i="1"/>
  <c r="FD587" i="1"/>
  <c r="FE587" i="1" s="1"/>
  <c r="FD538" i="1"/>
  <c r="GT407" i="1"/>
  <c r="GS407" i="1"/>
  <c r="GN601" i="1"/>
  <c r="GO601" i="1" s="1"/>
  <c r="GO528" i="1"/>
  <c r="DQ592" i="1"/>
  <c r="DR592" i="1" s="1"/>
  <c r="GB16" i="1"/>
  <c r="GC14" i="1"/>
  <c r="AA607" i="1"/>
  <c r="FG590" i="1"/>
  <c r="GL601" i="1"/>
  <c r="GM528" i="1"/>
  <c r="GX187" i="1"/>
  <c r="GW187" i="1"/>
  <c r="GW30" i="1"/>
  <c r="GV31" i="1"/>
  <c r="GX30" i="1"/>
  <c r="ES376" i="1"/>
  <c r="ET370" i="1"/>
  <c r="FI57" i="1"/>
  <c r="FH76" i="1"/>
  <c r="FI76" i="1" s="1"/>
  <c r="FH75" i="1"/>
  <c r="GF596" i="1"/>
  <c r="GP883" i="1"/>
  <c r="GP787" i="1"/>
  <c r="GR242" i="1"/>
  <c r="GQ242" i="1"/>
  <c r="U722" i="1"/>
  <c r="U690" i="1"/>
  <c r="V690" i="1" s="1"/>
  <c r="U706" i="1"/>
  <c r="V706" i="1" s="1"/>
  <c r="U697" i="1"/>
  <c r="U579" i="1"/>
  <c r="U546" i="1"/>
  <c r="V539" i="1"/>
  <c r="BN592" i="1"/>
  <c r="DQ777" i="1"/>
  <c r="GX112" i="1"/>
  <c r="GY109" i="1"/>
  <c r="GZ109" i="1"/>
  <c r="GF297" i="1"/>
  <c r="GG289" i="1"/>
  <c r="EW800" i="1"/>
  <c r="EW414" i="1"/>
  <c r="EX414" i="1" s="1"/>
  <c r="EX408" i="1"/>
  <c r="BQ603" i="1"/>
  <c r="BR603" i="1" s="1"/>
  <c r="BR530" i="1"/>
  <c r="BQ533" i="1"/>
  <c r="EB530" i="1"/>
  <c r="GD592" i="1"/>
  <c r="GE592" i="1" s="1"/>
  <c r="E57" i="1"/>
  <c r="G50" i="1"/>
  <c r="GY51" i="1"/>
  <c r="GZ51" i="1"/>
  <c r="BW592" i="1"/>
  <c r="BX592" i="1" s="1"/>
  <c r="DN601" i="1"/>
  <c r="BA557" i="1"/>
  <c r="BB533" i="1"/>
  <c r="BA549" i="1"/>
  <c r="BA536" i="1"/>
  <c r="BA605" i="1"/>
  <c r="BB605" i="1" s="1"/>
  <c r="BA602" i="1"/>
  <c r="BA591" i="1"/>
  <c r="BA595" i="1"/>
  <c r="BA594" i="1"/>
  <c r="BB594" i="1" s="1"/>
  <c r="BA598" i="1"/>
  <c r="BA601" i="1"/>
  <c r="BJ601" i="1" s="1"/>
  <c r="BA600" i="1"/>
  <c r="BB600" i="1" s="1"/>
  <c r="BA590" i="1"/>
  <c r="BA596" i="1"/>
  <c r="EV240" i="1"/>
  <c r="EU248" i="1"/>
  <c r="GG528" i="1"/>
  <c r="EJ16" i="1"/>
  <c r="EU373" i="1"/>
  <c r="EU370" i="1"/>
  <c r="EV367" i="1"/>
  <c r="GV308" i="1"/>
  <c r="GU308" i="1"/>
  <c r="GT507" i="1"/>
  <c r="GU507" i="1" s="1"/>
  <c r="ES837" i="1"/>
  <c r="ES838" i="1" s="1"/>
  <c r="ES252" i="1"/>
  <c r="ET248" i="1"/>
  <c r="ES249" i="1"/>
  <c r="ET249" i="1" s="1"/>
  <c r="AT533" i="1"/>
  <c r="AS536" i="1"/>
  <c r="AS605" i="1"/>
  <c r="AT605" i="1" s="1"/>
  <c r="AS602" i="1"/>
  <c r="AT602" i="1" s="1"/>
  <c r="AS595" i="1"/>
  <c r="AT595" i="1" s="1"/>
  <c r="AS601" i="1"/>
  <c r="AT601" i="1" s="1"/>
  <c r="AS598" i="1"/>
  <c r="AS594" i="1"/>
  <c r="AT594" i="1" s="1"/>
  <c r="AS591" i="1"/>
  <c r="AT591" i="1" s="1"/>
  <c r="AS590" i="1"/>
  <c r="AT590" i="1" s="1"/>
  <c r="AS600" i="1"/>
  <c r="AT600" i="1" s="1"/>
  <c r="AS596" i="1"/>
  <c r="AT596" i="1" s="1"/>
  <c r="DR16" i="1"/>
  <c r="EK557" i="1"/>
  <c r="EL533" i="1"/>
  <c r="EK549" i="1"/>
  <c r="EK536" i="1"/>
  <c r="EK602" i="1"/>
  <c r="EK605" i="1"/>
  <c r="EK598" i="1"/>
  <c r="EK595" i="1"/>
  <c r="EK594" i="1"/>
  <c r="EK591" i="1"/>
  <c r="EK590" i="1"/>
  <c r="EK600" i="1"/>
  <c r="EK601" i="1"/>
  <c r="EK596" i="1"/>
  <c r="DN592" i="1"/>
  <c r="EW378" i="1"/>
  <c r="EX373" i="1"/>
  <c r="Z533" i="1"/>
  <c r="Y536" i="1"/>
  <c r="Y605" i="1"/>
  <c r="Z605" i="1" s="1"/>
  <c r="Y600" i="1"/>
  <c r="Z600" i="1" s="1"/>
  <c r="Y602" i="1"/>
  <c r="Z602" i="1" s="1"/>
  <c r="Y594" i="1"/>
  <c r="Z594" i="1" s="1"/>
  <c r="Y591" i="1"/>
  <c r="Z591" i="1" s="1"/>
  <c r="Y590" i="1"/>
  <c r="Z590" i="1" s="1"/>
  <c r="Y595" i="1"/>
  <c r="Z595" i="1" s="1"/>
  <c r="Y598" i="1"/>
  <c r="Y596" i="1"/>
  <c r="Z596" i="1" s="1"/>
  <c r="Y601" i="1"/>
  <c r="Z601" i="1" s="1"/>
  <c r="Y592" i="1"/>
  <c r="Z592" i="1" s="1"/>
  <c r="CH603" i="1"/>
  <c r="GU485" i="1"/>
  <c r="GT484" i="1"/>
  <c r="GU484" i="1" s="1"/>
  <c r="GT486" i="1"/>
  <c r="EG20" i="198" s="1"/>
  <c r="FR592" i="1"/>
  <c r="FS592" i="1" s="1"/>
  <c r="DB603" i="1"/>
  <c r="DX603" i="1"/>
  <c r="FR596" i="1"/>
  <c r="BG557" i="1"/>
  <c r="BG536" i="1"/>
  <c r="BH533" i="1"/>
  <c r="BG549" i="1"/>
  <c r="BG605" i="1"/>
  <c r="BG594" i="1"/>
  <c r="BG595" i="1"/>
  <c r="BG591" i="1"/>
  <c r="BG602" i="1"/>
  <c r="BH602" i="1" s="1"/>
  <c r="BG598" i="1"/>
  <c r="BG600" i="1"/>
  <c r="BG590" i="1"/>
  <c r="BG596" i="1"/>
  <c r="BJ603" i="1"/>
  <c r="CD603" i="1"/>
  <c r="AX533" i="1"/>
  <c r="AW536" i="1"/>
  <c r="AW605" i="1"/>
  <c r="AX605" i="1" s="1"/>
  <c r="AW598" i="1"/>
  <c r="AW595" i="1"/>
  <c r="AX595" i="1" s="1"/>
  <c r="AW594" i="1"/>
  <c r="AX594" i="1" s="1"/>
  <c r="AW590" i="1"/>
  <c r="AX590" i="1" s="1"/>
  <c r="AW596" i="1"/>
  <c r="AX596" i="1" s="1"/>
  <c r="AW591" i="1"/>
  <c r="AX591" i="1" s="1"/>
  <c r="AW601" i="1"/>
  <c r="AX601" i="1" s="1"/>
  <c r="AW600" i="1"/>
  <c r="AX600" i="1" s="1"/>
  <c r="AW602" i="1"/>
  <c r="AX602" i="1" s="1"/>
  <c r="GN779" i="1"/>
  <c r="GN776" i="1"/>
  <c r="GN777" i="1" s="1"/>
  <c r="FU164" i="1"/>
  <c r="FT174" i="1"/>
  <c r="FT169" i="1"/>
  <c r="FT176" i="1"/>
  <c r="FT175" i="1"/>
  <c r="GB592" i="1"/>
  <c r="FW530" i="1"/>
  <c r="FV533" i="1"/>
  <c r="CV16" i="1"/>
  <c r="FK528" i="1"/>
  <c r="FJ530" i="1"/>
  <c r="FM530" i="1" s="1"/>
  <c r="AQ536" i="1"/>
  <c r="AR533" i="1"/>
  <c r="AQ605" i="1"/>
  <c r="AQ594" i="1"/>
  <c r="AQ602" i="1"/>
  <c r="AQ601" i="1"/>
  <c r="AQ600" i="1"/>
  <c r="AR600" i="1" s="1"/>
  <c r="AQ591" i="1"/>
  <c r="AQ590" i="1"/>
  <c r="AQ595" i="1"/>
  <c r="AR595" i="1" s="1"/>
  <c r="AQ598" i="1"/>
  <c r="FN603" i="1"/>
  <c r="FO530" i="1"/>
  <c r="FN533" i="1"/>
  <c r="FN592" i="1" s="1"/>
  <c r="BY592" i="1"/>
  <c r="CH592" i="1" s="1"/>
  <c r="CV592" i="1"/>
  <c r="GE14" i="1"/>
  <c r="GD16" i="1"/>
  <c r="BS603" i="1"/>
  <c r="BT603" i="1" s="1"/>
  <c r="GN16" i="1"/>
  <c r="GO14" i="1"/>
  <c r="CY603" i="1"/>
  <c r="CZ603" i="1" s="1"/>
  <c r="FL170" i="1"/>
  <c r="FM169" i="1"/>
  <c r="FL181" i="1"/>
  <c r="FO169" i="1"/>
  <c r="CO557" i="1"/>
  <c r="CP533" i="1"/>
  <c r="CO549" i="1"/>
  <c r="CO536" i="1"/>
  <c r="CO602" i="1"/>
  <c r="CP602" i="1" s="1"/>
  <c r="CO605" i="1"/>
  <c r="CP605" i="1" s="1"/>
  <c r="CO595" i="1"/>
  <c r="CP595" i="1" s="1"/>
  <c r="CO594" i="1"/>
  <c r="CP594" i="1" s="1"/>
  <c r="CO598" i="1"/>
  <c r="CO591" i="1"/>
  <c r="CP591" i="1" s="1"/>
  <c r="CO601" i="1"/>
  <c r="CP601" i="1" s="1"/>
  <c r="CO777" i="1"/>
  <c r="CO590" i="1"/>
  <c r="CP590" i="1" s="1"/>
  <c r="CO596" i="1"/>
  <c r="CP596" i="1" s="1"/>
  <c r="CO600" i="1"/>
  <c r="CP600" i="1" s="1"/>
  <c r="AB600" i="1"/>
  <c r="AB602" i="1"/>
  <c r="FS298" i="1"/>
  <c r="FR305" i="1"/>
  <c r="FS305" i="1" s="1"/>
  <c r="GX288" i="1"/>
  <c r="GW288" i="1"/>
  <c r="EI557" i="1"/>
  <c r="EI536" i="1"/>
  <c r="EI549" i="1"/>
  <c r="EJ533" i="1"/>
  <c r="EI602" i="1"/>
  <c r="EJ602" i="1" s="1"/>
  <c r="EI605" i="1"/>
  <c r="EJ605" i="1" s="1"/>
  <c r="EI595" i="1"/>
  <c r="EJ595" i="1" s="1"/>
  <c r="EI598" i="1"/>
  <c r="EI594" i="1"/>
  <c r="EJ594" i="1" s="1"/>
  <c r="EI591" i="1"/>
  <c r="EJ591" i="1" s="1"/>
  <c r="EI590" i="1"/>
  <c r="EJ590" i="1" s="1"/>
  <c r="EI600" i="1"/>
  <c r="EJ600" i="1" s="1"/>
  <c r="GS369" i="1"/>
  <c r="GT369" i="1"/>
  <c r="AY557" i="1"/>
  <c r="AY536" i="1"/>
  <c r="AZ533" i="1"/>
  <c r="AY549" i="1"/>
  <c r="AY605" i="1"/>
  <c r="AZ605" i="1" s="1"/>
  <c r="AY595" i="1"/>
  <c r="AZ595" i="1" s="1"/>
  <c r="AY594" i="1"/>
  <c r="AZ594" i="1" s="1"/>
  <c r="AY602" i="1"/>
  <c r="AZ602" i="1" s="1"/>
  <c r="AY590" i="1"/>
  <c r="AZ590" i="1" s="1"/>
  <c r="AY600" i="1"/>
  <c r="AZ600" i="1" s="1"/>
  <c r="AY596" i="1"/>
  <c r="AZ596" i="1" s="1"/>
  <c r="AY598" i="1"/>
  <c r="AY601" i="1"/>
  <c r="AZ601" i="1" s="1"/>
  <c r="AY591" i="1"/>
  <c r="FM528" i="1"/>
  <c r="CZ16" i="1"/>
  <c r="GU586" i="1"/>
  <c r="GT570" i="1"/>
  <c r="GV586" i="1"/>
  <c r="GJ601" i="1"/>
  <c r="GK601" i="1" s="1"/>
  <c r="GK528" i="1"/>
  <c r="GY228" i="1"/>
  <c r="GX229" i="1"/>
  <c r="GZ228" i="1"/>
  <c r="BN601" i="1"/>
  <c r="CU557" i="1"/>
  <c r="CU536" i="1"/>
  <c r="CU549" i="1"/>
  <c r="CV533" i="1"/>
  <c r="CU602" i="1"/>
  <c r="CV602" i="1" s="1"/>
  <c r="CU605" i="1"/>
  <c r="CV605" i="1" s="1"/>
  <c r="CU594" i="1"/>
  <c r="CV594" i="1" s="1"/>
  <c r="CU595" i="1"/>
  <c r="CV595" i="1" s="1"/>
  <c r="CU591" i="1"/>
  <c r="CV591" i="1" s="1"/>
  <c r="CU598" i="1"/>
  <c r="CU590" i="1"/>
  <c r="CV590" i="1" s="1"/>
  <c r="CU596" i="1"/>
  <c r="CV596" i="1" s="1"/>
  <c r="CU600" i="1"/>
  <c r="CV600" i="1" s="1"/>
  <c r="FS530" i="1"/>
  <c r="X590" i="1"/>
  <c r="W587" i="1"/>
  <c r="W539" i="1"/>
  <c r="W513" i="1"/>
  <c r="X513" i="1" s="1"/>
  <c r="X536" i="1"/>
  <c r="W538" i="1"/>
  <c r="W739" i="1" s="1"/>
  <c r="X739" i="1" s="1"/>
  <c r="BD603" i="1"/>
  <c r="EP16" i="1"/>
  <c r="CX530" i="1"/>
  <c r="CW533" i="1"/>
  <c r="GZ653" i="1"/>
  <c r="GY653" i="1"/>
  <c r="AU536" i="1"/>
  <c r="AV533" i="1"/>
  <c r="AU605" i="1"/>
  <c r="AV605" i="1" s="1"/>
  <c r="AU594" i="1"/>
  <c r="AV594" i="1" s="1"/>
  <c r="AU595" i="1"/>
  <c r="AV595" i="1" s="1"/>
  <c r="AU601" i="1"/>
  <c r="AV601" i="1" s="1"/>
  <c r="AU598" i="1"/>
  <c r="AU591" i="1"/>
  <c r="AV591" i="1" s="1"/>
  <c r="AU590" i="1"/>
  <c r="AV590" i="1" s="1"/>
  <c r="AU602" i="1"/>
  <c r="AV602" i="1" s="1"/>
  <c r="AU596" i="1"/>
  <c r="AV596" i="1" s="1"/>
  <c r="AU600" i="1"/>
  <c r="AV600" i="1" s="1"/>
  <c r="AI536" i="1"/>
  <c r="AJ533" i="1"/>
  <c r="AI605" i="1"/>
  <c r="AJ605" i="1" s="1"/>
  <c r="AI595" i="1"/>
  <c r="AJ595" i="1" s="1"/>
  <c r="AI594" i="1"/>
  <c r="AJ594" i="1" s="1"/>
  <c r="AI591" i="1"/>
  <c r="AJ591" i="1" s="1"/>
  <c r="AI602" i="1"/>
  <c r="AJ602" i="1" s="1"/>
  <c r="AI596" i="1"/>
  <c r="AJ596" i="1" s="1"/>
  <c r="AI601" i="1"/>
  <c r="AJ601" i="1" s="1"/>
  <c r="AI590" i="1"/>
  <c r="AJ590" i="1" s="1"/>
  <c r="AI598" i="1"/>
  <c r="AI600" i="1"/>
  <c r="AJ600" i="1" s="1"/>
  <c r="FG598" i="1"/>
  <c r="FF607" i="1"/>
  <c r="FG607" i="1" s="1"/>
  <c r="FF551" i="1"/>
  <c r="FF552" i="1"/>
  <c r="GS377" i="1"/>
  <c r="GT377" i="1"/>
  <c r="GV368" i="1"/>
  <c r="GU368" i="1"/>
  <c r="AQ180" i="1"/>
  <c r="AR153" i="1"/>
  <c r="AQ154" i="1"/>
  <c r="AR154" i="1" s="1"/>
  <c r="AS149" i="1"/>
  <c r="BC592" i="1"/>
  <c r="BD592" i="1" s="1"/>
  <c r="EB16" i="1"/>
  <c r="FP601" i="1"/>
  <c r="FQ528" i="1"/>
  <c r="GP370" i="1"/>
  <c r="GQ367" i="1"/>
  <c r="DK777" i="1"/>
  <c r="BF270" i="1"/>
  <c r="BG265" i="1"/>
  <c r="BE272" i="1"/>
  <c r="BF272" i="1" s="1"/>
  <c r="AW592" i="1"/>
  <c r="AX592" i="1" s="1"/>
  <c r="ES800" i="1"/>
  <c r="DB16" i="1"/>
  <c r="GT236" i="1"/>
  <c r="GU236" i="1" s="1"/>
  <c r="GU230" i="1"/>
  <c r="GV230" i="1"/>
  <c r="CY592" i="1"/>
  <c r="CZ592" i="1" s="1"/>
  <c r="EW120" i="1"/>
  <c r="E39" i="1"/>
  <c r="E74" i="1" s="1"/>
  <c r="G29" i="1"/>
  <c r="GH287" i="1"/>
  <c r="GI281" i="1"/>
  <c r="GH293" i="1"/>
  <c r="GI293" i="1" s="1"/>
  <c r="GH294" i="1"/>
  <c r="GI294" i="1" s="1"/>
  <c r="DP592" i="1"/>
  <c r="EX411" i="1"/>
  <c r="EW416" i="1"/>
  <c r="GP411" i="1"/>
  <c r="ES636" i="1"/>
  <c r="ET633" i="1"/>
  <c r="FS528" i="1"/>
  <c r="EH601" i="1"/>
  <c r="EH603" i="1"/>
  <c r="DH16" i="1"/>
  <c r="FV270" i="1"/>
  <c r="FW265" i="1"/>
  <c r="FV277" i="1"/>
  <c r="FV276" i="1"/>
  <c r="DY777" i="1"/>
  <c r="DZ16" i="1"/>
  <c r="FR591" i="1"/>
  <c r="EL530" i="1"/>
  <c r="GT366" i="1"/>
  <c r="GS366" i="1"/>
  <c r="GR367" i="1"/>
  <c r="DX596" i="1"/>
  <c r="BF603" i="1"/>
  <c r="BS592" i="1"/>
  <c r="BT592" i="1" s="1"/>
  <c r="CS557" i="1"/>
  <c r="CT533" i="1"/>
  <c r="CS536" i="1"/>
  <c r="CS549" i="1"/>
  <c r="CS602" i="1"/>
  <c r="CS605" i="1"/>
  <c r="CS594" i="1"/>
  <c r="CS595" i="1"/>
  <c r="CS598" i="1"/>
  <c r="CS590" i="1"/>
  <c r="CS591" i="1"/>
  <c r="CS596" i="1"/>
  <c r="CS600" i="1"/>
  <c r="EF16" i="1"/>
  <c r="BM603" i="1"/>
  <c r="BN603" i="1" s="1"/>
  <c r="BK603" i="1"/>
  <c r="BL603" i="1" s="1"/>
  <c r="GQ408" i="1"/>
  <c r="DT16" i="1"/>
  <c r="EF592" i="1"/>
  <c r="CA644" i="1"/>
  <c r="CA557" i="1"/>
  <c r="CA536" i="1"/>
  <c r="CA549" i="1"/>
  <c r="CB533" i="1"/>
  <c r="CA602" i="1"/>
  <c r="CB602" i="1" s="1"/>
  <c r="CA605" i="1"/>
  <c r="CB605" i="1" s="1"/>
  <c r="CA594" i="1"/>
  <c r="CB594" i="1" s="1"/>
  <c r="CA600" i="1"/>
  <c r="CB600" i="1" s="1"/>
  <c r="CA596" i="1"/>
  <c r="CB596" i="1" s="1"/>
  <c r="CA598" i="1"/>
  <c r="CA595" i="1"/>
  <c r="CB595" i="1" s="1"/>
  <c r="CA590" i="1"/>
  <c r="CB590" i="1" s="1"/>
  <c r="CA591" i="1"/>
  <c r="CB591" i="1" s="1"/>
  <c r="FV776" i="1"/>
  <c r="FV777" i="1" s="1"/>
  <c r="FG596" i="1"/>
  <c r="BO603" i="1"/>
  <c r="BP603" i="1" s="1"/>
  <c r="EE603" i="1"/>
  <c r="EF603" i="1" s="1"/>
  <c r="DG603" i="1"/>
  <c r="DH603" i="1" s="1"/>
  <c r="DM603" i="1"/>
  <c r="DN603" i="1" s="1"/>
  <c r="DA466" i="198" l="1"/>
  <c r="DY473" i="2"/>
  <c r="DV473" i="2"/>
  <c r="CX466" i="198"/>
  <c r="EX416" i="1"/>
  <c r="CZ512" i="198"/>
  <c r="DX519" i="2"/>
  <c r="CX514" i="198"/>
  <c r="CX515" i="198" s="1"/>
  <c r="CX18" i="198"/>
  <c r="DV521" i="2"/>
  <c r="DV522" i="2" s="1"/>
  <c r="CY512" i="198"/>
  <c r="DW519" i="2"/>
  <c r="DA507" i="198"/>
  <c r="DY514" i="2"/>
  <c r="DR519" i="2"/>
  <c r="CT512" i="198"/>
  <c r="EC507" i="198"/>
  <c r="FI514" i="2"/>
  <c r="CV514" i="198"/>
  <c r="CV515" i="198" s="1"/>
  <c r="DT521" i="2"/>
  <c r="DT522" i="2" s="1"/>
  <c r="CV18" i="198"/>
  <c r="DU519" i="2"/>
  <c r="CW512" i="198"/>
  <c r="EX378" i="1"/>
  <c r="CZ471" i="198"/>
  <c r="DX478" i="2"/>
  <c r="EX376" i="1"/>
  <c r="CZ469" i="198"/>
  <c r="DX476" i="2"/>
  <c r="DT476" i="2"/>
  <c r="CV469" i="198"/>
  <c r="ER384" i="1"/>
  <c r="CT477" i="198"/>
  <c r="DR484" i="2"/>
  <c r="CU17" i="198"/>
  <c r="CU473" i="198"/>
  <c r="DS480" i="2"/>
  <c r="CV62" i="198"/>
  <c r="CV30" i="198"/>
  <c r="DT71" i="2"/>
  <c r="DT35" i="2"/>
  <c r="CV61" i="198"/>
  <c r="DT70" i="2"/>
  <c r="CU62" i="198"/>
  <c r="CU30" i="198"/>
  <c r="DS35" i="2"/>
  <c r="DS71" i="2"/>
  <c r="EG459" i="198"/>
  <c r="FM466" i="2"/>
  <c r="EI461" i="198"/>
  <c r="FO468" i="2"/>
  <c r="EI511" i="198"/>
  <c r="FO518" i="2"/>
  <c r="EI500" i="198"/>
  <c r="FO507" i="2"/>
  <c r="EI467" i="198"/>
  <c r="FO474" i="2"/>
  <c r="EG470" i="198"/>
  <c r="FM477" i="2"/>
  <c r="FN509" i="2"/>
  <c r="EH502" i="198"/>
  <c r="FL515" i="2"/>
  <c r="EF508" i="198"/>
  <c r="EE460" i="198"/>
  <c r="FK467" i="2"/>
  <c r="EF470" i="198"/>
  <c r="FL477" i="2"/>
  <c r="EG462" i="198"/>
  <c r="FM469" i="2"/>
  <c r="EF503" i="198"/>
  <c r="FL510" i="2"/>
  <c r="EI502" i="198"/>
  <c r="FO509" i="2"/>
  <c r="EH458" i="198"/>
  <c r="FN465" i="2"/>
  <c r="EF459" i="198"/>
  <c r="FL466" i="2"/>
  <c r="EH461" i="198"/>
  <c r="FN468" i="2"/>
  <c r="EF462" i="198"/>
  <c r="FL469" i="2"/>
  <c r="FM510" i="2"/>
  <c r="EG503" i="198"/>
  <c r="GU412" i="1"/>
  <c r="FM515" i="2"/>
  <c r="EG508" i="198"/>
  <c r="EI458" i="198"/>
  <c r="FO465" i="2"/>
  <c r="FN518" i="2"/>
  <c r="EH511" i="198"/>
  <c r="EH500" i="198"/>
  <c r="FN507" i="2"/>
  <c r="EH467" i="198"/>
  <c r="FN474" i="2"/>
  <c r="DT603" i="1"/>
  <c r="EB603" i="1"/>
  <c r="CA552" i="1"/>
  <c r="CA551" i="1"/>
  <c r="CB549" i="1"/>
  <c r="CA513" i="1"/>
  <c r="CS607" i="1"/>
  <c r="GT367" i="1"/>
  <c r="GV366" i="1"/>
  <c r="GU366" i="1"/>
  <c r="ET636" i="1"/>
  <c r="AS158" i="1"/>
  <c r="AS153" i="1"/>
  <c r="AT149" i="1"/>
  <c r="AS160" i="1"/>
  <c r="AS159" i="1"/>
  <c r="FF579" i="1"/>
  <c r="FF554" i="1"/>
  <c r="FF560" i="1"/>
  <c r="AU539" i="1"/>
  <c r="AU513" i="1"/>
  <c r="AV536" i="1"/>
  <c r="AU538" i="1"/>
  <c r="AU587" i="1"/>
  <c r="GW586" i="1"/>
  <c r="GV570" i="1"/>
  <c r="GX586" i="1"/>
  <c r="AY607" i="1"/>
  <c r="AZ598" i="1"/>
  <c r="AY552" i="1"/>
  <c r="AY551" i="1"/>
  <c r="AZ551" i="1" s="1"/>
  <c r="AY513" i="1"/>
  <c r="AZ549" i="1"/>
  <c r="EI607" i="1"/>
  <c r="EJ598" i="1"/>
  <c r="CP549" i="1"/>
  <c r="CO552" i="1"/>
  <c r="CO551" i="1"/>
  <c r="CO513" i="1"/>
  <c r="FM170" i="1"/>
  <c r="FO170" i="1"/>
  <c r="AH592" i="1"/>
  <c r="AR590" i="1"/>
  <c r="AR602" i="1"/>
  <c r="AQ739" i="1"/>
  <c r="AQ587" i="1"/>
  <c r="AQ539" i="1"/>
  <c r="AQ513" i="1"/>
  <c r="AR536" i="1"/>
  <c r="AQ538" i="1"/>
  <c r="GC592" i="1"/>
  <c r="BG607" i="1"/>
  <c r="BH607" i="1" s="1"/>
  <c r="BH598" i="1"/>
  <c r="BH594" i="1"/>
  <c r="BG539" i="1"/>
  <c r="BH536" i="1"/>
  <c r="BG538" i="1"/>
  <c r="BG587" i="1"/>
  <c r="Z598" i="1"/>
  <c r="Y607" i="1"/>
  <c r="Y739" i="1"/>
  <c r="Y587" i="1"/>
  <c r="Y513" i="1"/>
  <c r="Z513" i="1" s="1"/>
  <c r="Z536" i="1"/>
  <c r="Y539" i="1"/>
  <c r="Y538" i="1"/>
  <c r="EK539" i="1"/>
  <c r="EK587" i="1"/>
  <c r="EK538" i="1"/>
  <c r="EK543" i="1"/>
  <c r="AT598" i="1"/>
  <c r="AS607" i="1"/>
  <c r="BB596" i="1"/>
  <c r="BB598" i="1"/>
  <c r="BA607" i="1"/>
  <c r="BB602" i="1"/>
  <c r="G61" i="1"/>
  <c r="G56" i="1"/>
  <c r="G60" i="1"/>
  <c r="G62" i="1"/>
  <c r="BQ557" i="1"/>
  <c r="BR533" i="1"/>
  <c r="BQ549" i="1"/>
  <c r="BQ536" i="1"/>
  <c r="BQ605" i="1"/>
  <c r="BR605" i="1" s="1"/>
  <c r="BQ598" i="1"/>
  <c r="BQ602" i="1"/>
  <c r="BR602" i="1" s="1"/>
  <c r="BQ594" i="1"/>
  <c r="BR594" i="1" s="1"/>
  <c r="BQ591" i="1"/>
  <c r="BR591" i="1" s="1"/>
  <c r="BQ595" i="1"/>
  <c r="BR595" i="1" s="1"/>
  <c r="BQ600" i="1"/>
  <c r="BR600" i="1" s="1"/>
  <c r="BQ590" i="1"/>
  <c r="BR590" i="1" s="1"/>
  <c r="BQ596" i="1"/>
  <c r="BR596" i="1" s="1"/>
  <c r="BQ601" i="1"/>
  <c r="BR601" i="1" s="1"/>
  <c r="BQ592" i="1"/>
  <c r="BR592" i="1" s="1"/>
  <c r="GY112" i="1"/>
  <c r="GZ112" i="1"/>
  <c r="GR883" i="1"/>
  <c r="GR787" i="1"/>
  <c r="GT242" i="1"/>
  <c r="GS242" i="1"/>
  <c r="GR243" i="1"/>
  <c r="FH77" i="1"/>
  <c r="FI77" i="1" s="1"/>
  <c r="FI75" i="1"/>
  <c r="ET376" i="1"/>
  <c r="GC16" i="1"/>
  <c r="FQ592" i="1"/>
  <c r="M693" i="1"/>
  <c r="N693" i="1" s="1"/>
  <c r="M692" i="1"/>
  <c r="N692" i="1" s="1"/>
  <c r="M582" i="1"/>
  <c r="N579" i="1"/>
  <c r="GY665" i="1"/>
  <c r="GZ665" i="1"/>
  <c r="AD697" i="1"/>
  <c r="GT658" i="1"/>
  <c r="GU658" i="1" s="1"/>
  <c r="GT915" i="1"/>
  <c r="GT403" i="1"/>
  <c r="GV402" i="1"/>
  <c r="FO506" i="2" s="1"/>
  <c r="GU402" i="1"/>
  <c r="FN506" i="2" s="1"/>
  <c r="GZ668" i="1"/>
  <c r="GY668" i="1"/>
  <c r="AA735" i="1"/>
  <c r="AB735" i="1" s="1"/>
  <c r="AA541" i="1"/>
  <c r="AA542" i="1" s="1"/>
  <c r="AA543" i="1" s="1"/>
  <c r="AA781" i="1" s="1"/>
  <c r="AA783" i="1" s="1"/>
  <c r="AA738" i="1"/>
  <c r="AB738" i="1" s="1"/>
  <c r="AA736" i="1"/>
  <c r="AB736" i="1" s="1"/>
  <c r="AA737" i="1"/>
  <c r="AB737" i="1" s="1"/>
  <c r="BX600" i="1"/>
  <c r="BX595" i="1"/>
  <c r="BW552" i="1"/>
  <c r="BW551" i="1"/>
  <c r="BX549" i="1"/>
  <c r="BW513" i="1"/>
  <c r="GZ110" i="1"/>
  <c r="GY110" i="1"/>
  <c r="DK607" i="1"/>
  <c r="DK539" i="1"/>
  <c r="DK587" i="1"/>
  <c r="DK538" i="1"/>
  <c r="FS195" i="1"/>
  <c r="FR197" i="1"/>
  <c r="FS197" i="1" s="1"/>
  <c r="EO557" i="1"/>
  <c r="EP533" i="1"/>
  <c r="EO536" i="1"/>
  <c r="EO549" i="1"/>
  <c r="EO602" i="1"/>
  <c r="EP602" i="1" s="1"/>
  <c r="EO594" i="1"/>
  <c r="EP594" i="1" s="1"/>
  <c r="EO605" i="1"/>
  <c r="EP605" i="1" s="1"/>
  <c r="EO596" i="1"/>
  <c r="EP596" i="1" s="1"/>
  <c r="EO595" i="1"/>
  <c r="EP595" i="1" s="1"/>
  <c r="EO598" i="1"/>
  <c r="EO591" i="1"/>
  <c r="EP591" i="1" s="1"/>
  <c r="EO590" i="1"/>
  <c r="EP590" i="1" s="1"/>
  <c r="EO600" i="1"/>
  <c r="EP600" i="1" s="1"/>
  <c r="EO777" i="1"/>
  <c r="EO592" i="1"/>
  <c r="EP592" i="1" s="1"/>
  <c r="EO601" i="1"/>
  <c r="EP601" i="1" s="1"/>
  <c r="DN557" i="1"/>
  <c r="DG607" i="1"/>
  <c r="DH598" i="1"/>
  <c r="EE607" i="1"/>
  <c r="EF598" i="1"/>
  <c r="EE539" i="1"/>
  <c r="EF536" i="1"/>
  <c r="EE538" i="1"/>
  <c r="EE587" i="1"/>
  <c r="BP596" i="1"/>
  <c r="BP590" i="1"/>
  <c r="BP605" i="1"/>
  <c r="L538" i="1"/>
  <c r="K541" i="1"/>
  <c r="K542" i="1" s="1"/>
  <c r="K543" i="1" s="1"/>
  <c r="K781" i="1" s="1"/>
  <c r="K783" i="1" s="1"/>
  <c r="BK552" i="1"/>
  <c r="BK551" i="1"/>
  <c r="BL549" i="1"/>
  <c r="BK513" i="1"/>
  <c r="BN590" i="1"/>
  <c r="AS169" i="1"/>
  <c r="AS176" i="1"/>
  <c r="AS175" i="1"/>
  <c r="AT164" i="1"/>
  <c r="AS174" i="1"/>
  <c r="BF600" i="1"/>
  <c r="BF598" i="1"/>
  <c r="BE607" i="1"/>
  <c r="BF605" i="1"/>
  <c r="EH557" i="1"/>
  <c r="FW289" i="1"/>
  <c r="ER416" i="1"/>
  <c r="EQ422" i="1"/>
  <c r="BH601" i="1"/>
  <c r="CK557" i="1"/>
  <c r="CK549" i="1"/>
  <c r="CL533" i="1"/>
  <c r="CK536" i="1"/>
  <c r="CK602" i="1"/>
  <c r="CL602" i="1" s="1"/>
  <c r="CK605" i="1"/>
  <c r="CL605" i="1" s="1"/>
  <c r="CK594" i="1"/>
  <c r="CL594" i="1" s="1"/>
  <c r="CK598" i="1"/>
  <c r="CT598" i="1" s="1"/>
  <c r="CK595" i="1"/>
  <c r="CL595" i="1" s="1"/>
  <c r="CK590" i="1"/>
  <c r="CL590" i="1" s="1"/>
  <c r="CK600" i="1"/>
  <c r="CL600" i="1" s="1"/>
  <c r="CK591" i="1"/>
  <c r="CL591" i="1" s="1"/>
  <c r="CK777" i="1"/>
  <c r="CK596" i="1"/>
  <c r="CL596" i="1" s="1"/>
  <c r="CK601" i="1"/>
  <c r="CK592" i="1"/>
  <c r="FG587" i="1"/>
  <c r="EX616" i="1"/>
  <c r="GP616" i="1"/>
  <c r="BD596" i="1"/>
  <c r="BD591" i="1"/>
  <c r="AD738" i="1"/>
  <c r="FZ603" i="1"/>
  <c r="CE557" i="1"/>
  <c r="CE536" i="1"/>
  <c r="CE549" i="1"/>
  <c r="CF533" i="1"/>
  <c r="CE602" i="1"/>
  <c r="CF602" i="1" s="1"/>
  <c r="CE605" i="1"/>
  <c r="CF605" i="1" s="1"/>
  <c r="CE594" i="1"/>
  <c r="CF594" i="1" s="1"/>
  <c r="CE595" i="1"/>
  <c r="CF595" i="1" s="1"/>
  <c r="CE598" i="1"/>
  <c r="CE777" i="1"/>
  <c r="CE591" i="1"/>
  <c r="CF591" i="1" s="1"/>
  <c r="CE590" i="1"/>
  <c r="CF590" i="1" s="1"/>
  <c r="CE600" i="1"/>
  <c r="CF600" i="1" s="1"/>
  <c r="CE596" i="1"/>
  <c r="CF596" i="1" s="1"/>
  <c r="CE592" i="1"/>
  <c r="CE601" i="1"/>
  <c r="CY607" i="1"/>
  <c r="CZ598" i="1"/>
  <c r="BT590" i="1"/>
  <c r="BT602" i="1"/>
  <c r="BS552" i="1"/>
  <c r="BS551" i="1"/>
  <c r="BT551" i="1" s="1"/>
  <c r="BT549" i="1"/>
  <c r="BS513" i="1"/>
  <c r="BT513" i="1" s="1"/>
  <c r="GD557" i="1"/>
  <c r="GD549" i="1"/>
  <c r="GD536" i="1"/>
  <c r="GE533" i="1"/>
  <c r="GD602" i="1"/>
  <c r="GD605" i="1"/>
  <c r="GD594" i="1"/>
  <c r="GD591" i="1"/>
  <c r="GD777" i="1"/>
  <c r="GD596" i="1"/>
  <c r="GE596" i="1" s="1"/>
  <c r="GD598" i="1"/>
  <c r="GD600" i="1"/>
  <c r="GD595" i="1"/>
  <c r="GD590" i="1"/>
  <c r="GY419" i="1"/>
  <c r="GZ419" i="1"/>
  <c r="BZ590" i="1"/>
  <c r="BZ598" i="1"/>
  <c r="BY607" i="1"/>
  <c r="BZ549" i="1"/>
  <c r="BY552" i="1"/>
  <c r="BY551" i="1"/>
  <c r="BY513" i="1"/>
  <c r="EM607" i="1"/>
  <c r="EN607" i="1" s="1"/>
  <c r="EN598" i="1"/>
  <c r="EN591" i="1"/>
  <c r="EN602" i="1"/>
  <c r="EN557" i="1"/>
  <c r="BJ595" i="1"/>
  <c r="BJ591" i="1"/>
  <c r="BJ605" i="1"/>
  <c r="GS245" i="1"/>
  <c r="GT245" i="1"/>
  <c r="GR238" i="1"/>
  <c r="GS238" i="1" s="1"/>
  <c r="DX595" i="1"/>
  <c r="DX602" i="1"/>
  <c r="DX557" i="1"/>
  <c r="DB590" i="1"/>
  <c r="DB605" i="1"/>
  <c r="GX775" i="1"/>
  <c r="GX531" i="1"/>
  <c r="FQ20" i="2" s="1"/>
  <c r="FQ22" i="2" s="1"/>
  <c r="GZ490" i="1"/>
  <c r="GY490" i="1"/>
  <c r="GX485" i="1"/>
  <c r="DO607" i="1"/>
  <c r="DP607" i="1" s="1"/>
  <c r="DP598" i="1"/>
  <c r="DP605" i="1"/>
  <c r="DO552" i="1"/>
  <c r="DO551" i="1"/>
  <c r="DP549" i="1"/>
  <c r="DO513" i="1"/>
  <c r="CH600" i="1"/>
  <c r="CH594" i="1"/>
  <c r="CH602" i="1"/>
  <c r="O587" i="1"/>
  <c r="P587" i="1" s="1"/>
  <c r="O539" i="1"/>
  <c r="P536" i="1"/>
  <c r="O538" i="1"/>
  <c r="GT877" i="1"/>
  <c r="GU122" i="1"/>
  <c r="GT123" i="1"/>
  <c r="GV122" i="1"/>
  <c r="FT603" i="1"/>
  <c r="FU603" i="1" s="1"/>
  <c r="FU530" i="1"/>
  <c r="FT533" i="1"/>
  <c r="GV667" i="1"/>
  <c r="GX666" i="1"/>
  <c r="GW666" i="1"/>
  <c r="GY652" i="1"/>
  <c r="GZ652" i="1"/>
  <c r="DJ595" i="1"/>
  <c r="DJ594" i="1"/>
  <c r="DJ536" i="1"/>
  <c r="DI539" i="1"/>
  <c r="DI538" i="1"/>
  <c r="DI587" i="1"/>
  <c r="S607" i="1"/>
  <c r="T607" i="1" s="1"/>
  <c r="T598" i="1"/>
  <c r="AB598" i="1"/>
  <c r="T603" i="1"/>
  <c r="AB603" i="1"/>
  <c r="ES378" i="1"/>
  <c r="CQ607" i="1"/>
  <c r="EU812" i="1"/>
  <c r="EU769" i="1"/>
  <c r="EU519" i="1"/>
  <c r="EU133" i="1"/>
  <c r="EV133" i="1" s="1"/>
  <c r="EV132" i="1"/>
  <c r="GW404" i="1"/>
  <c r="CN591" i="1"/>
  <c r="CN594" i="1"/>
  <c r="CN533" i="1"/>
  <c r="FZ601" i="1"/>
  <c r="AP598" i="1"/>
  <c r="AO607" i="1"/>
  <c r="AO513" i="1"/>
  <c r="AP536" i="1"/>
  <c r="AO539" i="1"/>
  <c r="AO587" i="1"/>
  <c r="AO538" i="1"/>
  <c r="AL598" i="1"/>
  <c r="AK607" i="1"/>
  <c r="AL607" i="1" s="1"/>
  <c r="EV632" i="1"/>
  <c r="EW633" i="1"/>
  <c r="EU637" i="1"/>
  <c r="EW632" i="1"/>
  <c r="EU613" i="1"/>
  <c r="AB590" i="1"/>
  <c r="DR590" i="1"/>
  <c r="DR594" i="1"/>
  <c r="DR549" i="1"/>
  <c r="DQ552" i="1"/>
  <c r="DQ551" i="1"/>
  <c r="DQ513" i="1"/>
  <c r="GW374" i="1"/>
  <c r="DF590" i="1"/>
  <c r="BU557" i="1"/>
  <c r="BU549" i="1"/>
  <c r="BV533" i="1"/>
  <c r="BU536" i="1"/>
  <c r="BU605" i="1"/>
  <c r="BV605" i="1" s="1"/>
  <c r="BU598" i="1"/>
  <c r="BU595" i="1"/>
  <c r="BV595" i="1" s="1"/>
  <c r="BU594" i="1"/>
  <c r="BV594" i="1" s="1"/>
  <c r="BU602" i="1"/>
  <c r="BV602" i="1" s="1"/>
  <c r="BU596" i="1"/>
  <c r="BV596" i="1" s="1"/>
  <c r="BU590" i="1"/>
  <c r="BV590" i="1" s="1"/>
  <c r="BU591" i="1"/>
  <c r="BV591" i="1" s="1"/>
  <c r="BU600" i="1"/>
  <c r="BV600" i="1" s="1"/>
  <c r="BU592" i="1"/>
  <c r="BU601" i="1"/>
  <c r="AH596" i="1"/>
  <c r="AH595" i="1"/>
  <c r="AH605" i="1"/>
  <c r="FZ596" i="1"/>
  <c r="GC596" i="1" s="1"/>
  <c r="AN603" i="1"/>
  <c r="DV600" i="1"/>
  <c r="DV605" i="1"/>
  <c r="AN600" i="1"/>
  <c r="AN594" i="1"/>
  <c r="GL557" i="1"/>
  <c r="GL549" i="1"/>
  <c r="GL536" i="1"/>
  <c r="GM533" i="1"/>
  <c r="GL602" i="1"/>
  <c r="GL605" i="1"/>
  <c r="GL591" i="1"/>
  <c r="GL594" i="1"/>
  <c r="GL595" i="1"/>
  <c r="GL600" i="1"/>
  <c r="GL596" i="1"/>
  <c r="GM596" i="1" s="1"/>
  <c r="GL598" i="1"/>
  <c r="GL590" i="1"/>
  <c r="CA607" i="1"/>
  <c r="CB598" i="1"/>
  <c r="CA539" i="1"/>
  <c r="CB536" i="1"/>
  <c r="CA538" i="1"/>
  <c r="CA739" i="1" s="1"/>
  <c r="CA587" i="1"/>
  <c r="CT596" i="1"/>
  <c r="CT595" i="1"/>
  <c r="CT549" i="1"/>
  <c r="CS552" i="1"/>
  <c r="CS551" i="1"/>
  <c r="CS513" i="1"/>
  <c r="FW270" i="1"/>
  <c r="FX265" i="1"/>
  <c r="FV272" i="1"/>
  <c r="FW272" i="1" s="1"/>
  <c r="GQ411" i="1"/>
  <c r="GP418" i="1"/>
  <c r="EX120" i="1"/>
  <c r="EW128" i="1"/>
  <c r="GX230" i="1"/>
  <c r="GW230" i="1"/>
  <c r="BG277" i="1"/>
  <c r="BG278" i="1" s="1"/>
  <c r="BG270" i="1"/>
  <c r="BG276" i="1"/>
  <c r="BH265" i="1"/>
  <c r="GQ370" i="1"/>
  <c r="GW368" i="1"/>
  <c r="AI607" i="1"/>
  <c r="AJ607" i="1" s="1"/>
  <c r="AJ598" i="1"/>
  <c r="CW557" i="1"/>
  <c r="CX533" i="1"/>
  <c r="CW549" i="1"/>
  <c r="CW536" i="1"/>
  <c r="CW602" i="1"/>
  <c r="CX602" i="1" s="1"/>
  <c r="CW605" i="1"/>
  <c r="CX605" i="1" s="1"/>
  <c r="CW598" i="1"/>
  <c r="CW591" i="1"/>
  <c r="CX591" i="1" s="1"/>
  <c r="CW594" i="1"/>
  <c r="CX594" i="1" s="1"/>
  <c r="CW600" i="1"/>
  <c r="CX600" i="1" s="1"/>
  <c r="CW596" i="1"/>
  <c r="CX596" i="1" s="1"/>
  <c r="CW777" i="1"/>
  <c r="CW590" i="1"/>
  <c r="CX590" i="1" s="1"/>
  <c r="CW595" i="1"/>
  <c r="CX595" i="1" s="1"/>
  <c r="CW592" i="1"/>
  <c r="CX592" i="1" s="1"/>
  <c r="CW601" i="1"/>
  <c r="CX601" i="1" s="1"/>
  <c r="CU552" i="1"/>
  <c r="CU551" i="1"/>
  <c r="CV549" i="1"/>
  <c r="CU513" i="1"/>
  <c r="GU570" i="1"/>
  <c r="GT575" i="1"/>
  <c r="EI552" i="1"/>
  <c r="EI551" i="1"/>
  <c r="EJ549" i="1"/>
  <c r="EI513" i="1"/>
  <c r="AR591" i="1"/>
  <c r="AR594" i="1"/>
  <c r="FV557" i="1"/>
  <c r="FV549" i="1"/>
  <c r="FV536" i="1"/>
  <c r="FW533" i="1"/>
  <c r="FV605" i="1"/>
  <c r="FV590" i="1"/>
  <c r="FV602" i="1"/>
  <c r="FV591" i="1"/>
  <c r="FV594" i="1"/>
  <c r="FV598" i="1"/>
  <c r="FV595" i="1"/>
  <c r="FV600" i="1"/>
  <c r="FV596" i="1"/>
  <c r="FV592" i="1"/>
  <c r="AX598" i="1"/>
  <c r="AW607" i="1"/>
  <c r="AX607" i="1" s="1"/>
  <c r="BH596" i="1"/>
  <c r="BH605" i="1"/>
  <c r="EK607" i="1"/>
  <c r="EK552" i="1"/>
  <c r="EK551" i="1"/>
  <c r="EK513" i="1"/>
  <c r="AS739" i="1"/>
  <c r="AS513" i="1"/>
  <c r="AT536" i="1"/>
  <c r="AS539" i="1"/>
  <c r="AS587" i="1"/>
  <c r="AS538" i="1"/>
  <c r="EU376" i="1"/>
  <c r="EV370" i="1"/>
  <c r="EU800" i="1"/>
  <c r="BB590" i="1"/>
  <c r="E75" i="1"/>
  <c r="E77" i="1" s="1"/>
  <c r="E76" i="1"/>
  <c r="EW422" i="1"/>
  <c r="GG297" i="1"/>
  <c r="GF298" i="1"/>
  <c r="U641" i="1"/>
  <c r="V546" i="1"/>
  <c r="U629" i="1"/>
  <c r="V629" i="1" s="1"/>
  <c r="FD641" i="1"/>
  <c r="FE539" i="1"/>
  <c r="FD546" i="1"/>
  <c r="FE546" i="1" s="1"/>
  <c r="M922" i="1"/>
  <c r="N641" i="1"/>
  <c r="FS180" i="1"/>
  <c r="FR194" i="1"/>
  <c r="FS194" i="1" s="1"/>
  <c r="FL549" i="1"/>
  <c r="FL557" i="1"/>
  <c r="FL536" i="1"/>
  <c r="FL605" i="1"/>
  <c r="FL600" i="1"/>
  <c r="FL590" i="1"/>
  <c r="FL602" i="1"/>
  <c r="FL594" i="1"/>
  <c r="FL598" i="1"/>
  <c r="FL591" i="1"/>
  <c r="FL592" i="1"/>
  <c r="FL601" i="1"/>
  <c r="FL595" i="1"/>
  <c r="AD690" i="1"/>
  <c r="GX656" i="1"/>
  <c r="GW656" i="1"/>
  <c r="GX676" i="1"/>
  <c r="GW676" i="1"/>
  <c r="GV657" i="1"/>
  <c r="GW657" i="1" s="1"/>
  <c r="BW607" i="1"/>
  <c r="BX598" i="1"/>
  <c r="GK265" i="1"/>
  <c r="GJ270" i="1"/>
  <c r="GJ277" i="1"/>
  <c r="GK277" i="1" s="1"/>
  <c r="GJ276" i="1"/>
  <c r="GK276" i="1" s="1"/>
  <c r="AE739" i="1"/>
  <c r="AF739" i="1" s="1"/>
  <c r="AE587" i="1"/>
  <c r="AF587" i="1" s="1"/>
  <c r="AE539" i="1"/>
  <c r="AE513" i="1"/>
  <c r="AF513" i="1" s="1"/>
  <c r="AF536" i="1"/>
  <c r="AE538" i="1"/>
  <c r="GK592" i="1"/>
  <c r="FJ39" i="1"/>
  <c r="FK38" i="1"/>
  <c r="FL29" i="1"/>
  <c r="DN536" i="1"/>
  <c r="DM539" i="1"/>
  <c r="DM587" i="1"/>
  <c r="DM538" i="1"/>
  <c r="DG539" i="1"/>
  <c r="DH536" i="1"/>
  <c r="DG587" i="1"/>
  <c r="DG538" i="1"/>
  <c r="FX549" i="1"/>
  <c r="FX557" i="1"/>
  <c r="FX536" i="1"/>
  <c r="FY533" i="1"/>
  <c r="FX602" i="1"/>
  <c r="FY602" i="1" s="1"/>
  <c r="FX605" i="1"/>
  <c r="FY605" i="1" s="1"/>
  <c r="FX590" i="1"/>
  <c r="FX591" i="1"/>
  <c r="FY591" i="1" s="1"/>
  <c r="FX600" i="1"/>
  <c r="FY600" i="1" s="1"/>
  <c r="FX594" i="1"/>
  <c r="FY594" i="1" s="1"/>
  <c r="FX603" i="1"/>
  <c r="FX777" i="1"/>
  <c r="FX601" i="1"/>
  <c r="FX592" i="1"/>
  <c r="FY592" i="1" s="1"/>
  <c r="FX596" i="1"/>
  <c r="FY596" i="1" s="1"/>
  <c r="FX595" i="1"/>
  <c r="FY595" i="1" s="1"/>
  <c r="EE552" i="1"/>
  <c r="EE551" i="1"/>
  <c r="EF549" i="1"/>
  <c r="EE513" i="1"/>
  <c r="BP600" i="1"/>
  <c r="BP595" i="1"/>
  <c r="BO552" i="1"/>
  <c r="BO551" i="1"/>
  <c r="BO513" i="1"/>
  <c r="BP549" i="1"/>
  <c r="BK539" i="1"/>
  <c r="BL536" i="1"/>
  <c r="BK587" i="1"/>
  <c r="BK538" i="1"/>
  <c r="BM739" i="1"/>
  <c r="BN536" i="1"/>
  <c r="BM539" i="1"/>
  <c r="BM538" i="1"/>
  <c r="BM587" i="1"/>
  <c r="AR170" i="1"/>
  <c r="AQ182" i="1"/>
  <c r="BF590" i="1"/>
  <c r="BF595" i="1"/>
  <c r="BE739" i="1"/>
  <c r="BF536" i="1"/>
  <c r="BE539" i="1"/>
  <c r="BE538" i="1"/>
  <c r="BE587" i="1"/>
  <c r="EH549" i="1"/>
  <c r="EG552" i="1"/>
  <c r="EG551" i="1"/>
  <c r="EG513" i="1"/>
  <c r="FY281" i="1"/>
  <c r="FX287" i="1"/>
  <c r="FX294" i="1"/>
  <c r="FX293" i="1"/>
  <c r="ES841" i="1"/>
  <c r="ES426" i="1"/>
  <c r="ES423" i="1"/>
  <c r="ET422" i="1"/>
  <c r="GG592" i="1"/>
  <c r="BD595" i="1"/>
  <c r="BD594" i="1"/>
  <c r="BC552" i="1"/>
  <c r="BC551" i="1"/>
  <c r="BD551" i="1" s="1"/>
  <c r="BD549" i="1"/>
  <c r="BC513" i="1"/>
  <c r="GX824" i="1"/>
  <c r="GZ545" i="1"/>
  <c r="GY545" i="1"/>
  <c r="GX15" i="1"/>
  <c r="AY294" i="1"/>
  <c r="AY295" i="1" s="1"/>
  <c r="AY293" i="1"/>
  <c r="AY287" i="1"/>
  <c r="AZ281" i="1"/>
  <c r="CY539" i="1"/>
  <c r="CZ536" i="1"/>
  <c r="CY538" i="1"/>
  <c r="CY587" i="1"/>
  <c r="BT600" i="1"/>
  <c r="BT594" i="1"/>
  <c r="BS539" i="1"/>
  <c r="BT536" i="1"/>
  <c r="BS538" i="1"/>
  <c r="BS587" i="1"/>
  <c r="GV909" i="1"/>
  <c r="GV365" i="1"/>
  <c r="GW365" i="1" s="1"/>
  <c r="GW364" i="1"/>
  <c r="EW837" i="1"/>
  <c r="EW252" i="1"/>
  <c r="EX248" i="1"/>
  <c r="EW249" i="1"/>
  <c r="EX249" i="1" s="1"/>
  <c r="CI557" i="1"/>
  <c r="CI536" i="1"/>
  <c r="CI549" i="1"/>
  <c r="CJ533" i="1"/>
  <c r="CI602" i="1"/>
  <c r="CJ602" i="1" s="1"/>
  <c r="CI605" i="1"/>
  <c r="CJ605" i="1" s="1"/>
  <c r="CI594" i="1"/>
  <c r="CJ594" i="1" s="1"/>
  <c r="CI590" i="1"/>
  <c r="CJ590" i="1" s="1"/>
  <c r="CI598" i="1"/>
  <c r="CR598" i="1" s="1"/>
  <c r="CI600" i="1"/>
  <c r="CJ600" i="1" s="1"/>
  <c r="CI591" i="1"/>
  <c r="CJ591" i="1" s="1"/>
  <c r="CI595" i="1"/>
  <c r="CJ595" i="1" s="1"/>
  <c r="CI601" i="1"/>
  <c r="CI592" i="1"/>
  <c r="CI596" i="1"/>
  <c r="CJ596" i="1" s="1"/>
  <c r="CI777" i="1"/>
  <c r="BZ596" i="1"/>
  <c r="BZ601" i="1"/>
  <c r="BZ605" i="1"/>
  <c r="BZ533" i="1"/>
  <c r="CD590" i="1"/>
  <c r="CD598" i="1"/>
  <c r="CC607" i="1"/>
  <c r="CD536" i="1"/>
  <c r="CC539" i="1"/>
  <c r="CC587" i="1"/>
  <c r="CC538" i="1"/>
  <c r="EN590" i="1"/>
  <c r="EN595" i="1"/>
  <c r="BJ590" i="1"/>
  <c r="BJ600" i="1"/>
  <c r="BJ536" i="1"/>
  <c r="BI539" i="1"/>
  <c r="BI538" i="1"/>
  <c r="BI587" i="1"/>
  <c r="DB600" i="1"/>
  <c r="DB602" i="1"/>
  <c r="DP596" i="1"/>
  <c r="DP595" i="1"/>
  <c r="DP602" i="1"/>
  <c r="DP557" i="1"/>
  <c r="CH598" i="1"/>
  <c r="CG607" i="1"/>
  <c r="CH607" i="1" s="1"/>
  <c r="CH536" i="1"/>
  <c r="CG539" i="1"/>
  <c r="CG538" i="1"/>
  <c r="CG739" i="1" s="1"/>
  <c r="CG587" i="1"/>
  <c r="EW383" i="1"/>
  <c r="O607" i="1"/>
  <c r="P607" i="1" s="1"/>
  <c r="P598" i="1"/>
  <c r="X598" i="1"/>
  <c r="GK16" i="1"/>
  <c r="FS601" i="1"/>
  <c r="GY71" i="1"/>
  <c r="GZ71" i="1"/>
  <c r="GU667" i="1"/>
  <c r="GT669" i="1"/>
  <c r="GU669" i="1" s="1"/>
  <c r="CS272" i="1"/>
  <c r="CU265" i="1"/>
  <c r="T591" i="1"/>
  <c r="AB591" i="1"/>
  <c r="EU841" i="1"/>
  <c r="EV422" i="1"/>
  <c r="EU426" i="1"/>
  <c r="EU423" i="1"/>
  <c r="CR590" i="1"/>
  <c r="CR600" i="1"/>
  <c r="CR533" i="1"/>
  <c r="DZ557" i="1"/>
  <c r="CN595" i="1"/>
  <c r="CM552" i="1"/>
  <c r="CM551" i="1"/>
  <c r="CN549" i="1"/>
  <c r="CM513" i="1"/>
  <c r="EJ596" i="1"/>
  <c r="EC557" i="1"/>
  <c r="ED533" i="1"/>
  <c r="EC549" i="1"/>
  <c r="EC536" i="1"/>
  <c r="EL536" i="1" s="1"/>
  <c r="EC602" i="1"/>
  <c r="ED602" i="1" s="1"/>
  <c r="EC605" i="1"/>
  <c r="ED605" i="1" s="1"/>
  <c r="EC591" i="1"/>
  <c r="ED591" i="1" s="1"/>
  <c r="EC595" i="1"/>
  <c r="ED595" i="1" s="1"/>
  <c r="EC594" i="1"/>
  <c r="ED594" i="1" s="1"/>
  <c r="EC598" i="1"/>
  <c r="EC777" i="1"/>
  <c r="EC600" i="1"/>
  <c r="ED600" i="1" s="1"/>
  <c r="EC590" i="1"/>
  <c r="ED590" i="1" s="1"/>
  <c r="EC596" i="1"/>
  <c r="ED596" i="1" s="1"/>
  <c r="EC592" i="1"/>
  <c r="EC601" i="1"/>
  <c r="ED601" i="1" s="1"/>
  <c r="ES765" i="1"/>
  <c r="ET637" i="1"/>
  <c r="BX603" i="1"/>
  <c r="DR591" i="1"/>
  <c r="DR598" i="1"/>
  <c r="DQ607" i="1"/>
  <c r="DR536" i="1"/>
  <c r="DQ539" i="1"/>
  <c r="DQ538" i="1"/>
  <c r="DQ587" i="1"/>
  <c r="DR587" i="1" s="1"/>
  <c r="DF595" i="1"/>
  <c r="DF598" i="1"/>
  <c r="DE607" i="1"/>
  <c r="DF536" i="1"/>
  <c r="DE539" i="1"/>
  <c r="DE538" i="1"/>
  <c r="DE587" i="1"/>
  <c r="AH601" i="1"/>
  <c r="AH591" i="1"/>
  <c r="AG587" i="1"/>
  <c r="AH587" i="1" s="1"/>
  <c r="AG513" i="1"/>
  <c r="AH513" i="1" s="1"/>
  <c r="AH536" i="1"/>
  <c r="AG539" i="1"/>
  <c r="AG538" i="1"/>
  <c r="GH557" i="1"/>
  <c r="GH549" i="1"/>
  <c r="GH536" i="1"/>
  <c r="GI533" i="1"/>
  <c r="GH602" i="1"/>
  <c r="GH605" i="1"/>
  <c r="GH594" i="1"/>
  <c r="GH591" i="1"/>
  <c r="GH777" i="1"/>
  <c r="GH596" i="1"/>
  <c r="GI596" i="1" s="1"/>
  <c r="GH598" i="1"/>
  <c r="GH600" i="1"/>
  <c r="GH590" i="1"/>
  <c r="GH595" i="1"/>
  <c r="FZ777" i="1"/>
  <c r="DV590" i="1"/>
  <c r="DV595" i="1"/>
  <c r="DV602" i="1"/>
  <c r="DV557" i="1"/>
  <c r="AN601" i="1"/>
  <c r="AN602" i="1"/>
  <c r="AN605" i="1"/>
  <c r="CT603" i="1"/>
  <c r="CB603" i="1"/>
  <c r="GJ549" i="1"/>
  <c r="GJ557" i="1"/>
  <c r="GJ536" i="1"/>
  <c r="GK533" i="1"/>
  <c r="GJ602" i="1"/>
  <c r="GK602" i="1" s="1"/>
  <c r="GJ605" i="1"/>
  <c r="GK605" i="1" s="1"/>
  <c r="GJ594" i="1"/>
  <c r="GJ591" i="1"/>
  <c r="GJ598" i="1"/>
  <c r="GJ600" i="1"/>
  <c r="GK600" i="1" s="1"/>
  <c r="GJ595" i="1"/>
  <c r="GK595" i="1" s="1"/>
  <c r="GJ590" i="1"/>
  <c r="CT591" i="1"/>
  <c r="CT594" i="1"/>
  <c r="CT536" i="1"/>
  <c r="CS539" i="1"/>
  <c r="CS587" i="1"/>
  <c r="CS538" i="1"/>
  <c r="GR370" i="1"/>
  <c r="GS367" i="1"/>
  <c r="GH289" i="1"/>
  <c r="GJ281" i="1"/>
  <c r="GI287" i="1"/>
  <c r="GV377" i="1"/>
  <c r="GU377" i="1"/>
  <c r="AU607" i="1"/>
  <c r="AV598" i="1"/>
  <c r="W722" i="1"/>
  <c r="W706" i="1"/>
  <c r="W697" i="1"/>
  <c r="W690" i="1"/>
  <c r="W579" i="1"/>
  <c r="X539" i="1"/>
  <c r="W546" i="1"/>
  <c r="CU607" i="1"/>
  <c r="CV598" i="1"/>
  <c r="CU539" i="1"/>
  <c r="CV536" i="1"/>
  <c r="CU587" i="1"/>
  <c r="CU538" i="1"/>
  <c r="AZ591" i="1"/>
  <c r="AY539" i="1"/>
  <c r="AZ536" i="1"/>
  <c r="AY587" i="1"/>
  <c r="AZ587" i="1" s="1"/>
  <c r="AY538" i="1"/>
  <c r="GV369" i="1"/>
  <c r="GU369" i="1"/>
  <c r="EI539" i="1"/>
  <c r="EJ536" i="1"/>
  <c r="EI587" i="1"/>
  <c r="EI538" i="1"/>
  <c r="EI543" i="1"/>
  <c r="GY288" i="1"/>
  <c r="GZ288" i="1"/>
  <c r="CP598" i="1"/>
  <c r="CO607" i="1"/>
  <c r="CP607" i="1" s="1"/>
  <c r="FM181" i="1"/>
  <c r="FO181" i="1"/>
  <c r="GE16" i="1"/>
  <c r="BZ592" i="1"/>
  <c r="AQ607" i="1"/>
  <c r="AR607" i="1" s="1"/>
  <c r="AR598" i="1"/>
  <c r="AR605" i="1"/>
  <c r="BL592" i="1"/>
  <c r="BH590" i="1"/>
  <c r="BH591" i="1"/>
  <c r="BG552" i="1"/>
  <c r="BG551" i="1"/>
  <c r="BH551" i="1" s="1"/>
  <c r="BH549" i="1"/>
  <c r="BG513" i="1"/>
  <c r="BH513" i="1" s="1"/>
  <c r="DP603" i="1"/>
  <c r="EL596" i="1"/>
  <c r="EL591" i="1"/>
  <c r="EL605" i="1"/>
  <c r="ES813" i="1"/>
  <c r="ES814" i="1" s="1"/>
  <c r="ES771" i="1"/>
  <c r="ES522" i="1"/>
  <c r="ET252" i="1"/>
  <c r="ES253" i="1"/>
  <c r="ET253" i="1" s="1"/>
  <c r="EU378" i="1"/>
  <c r="EV373" i="1"/>
  <c r="EU837" i="1"/>
  <c r="EU838" i="1" s="1"/>
  <c r="EU249" i="1"/>
  <c r="EV249" i="1" s="1"/>
  <c r="EU252" i="1"/>
  <c r="EV248" i="1"/>
  <c r="BB595" i="1"/>
  <c r="BA739" i="1"/>
  <c r="BB739" i="1" s="1"/>
  <c r="BB536" i="1"/>
  <c r="BA539" i="1"/>
  <c r="BA538" i="1"/>
  <c r="BA587" i="1"/>
  <c r="BB587" i="1" s="1"/>
  <c r="U693" i="1"/>
  <c r="V693" i="1" s="1"/>
  <c r="U692" i="1"/>
  <c r="V692" i="1" s="1"/>
  <c r="U582" i="1"/>
  <c r="V579" i="1"/>
  <c r="V722" i="1"/>
  <c r="GX31" i="1"/>
  <c r="GZ30" i="1"/>
  <c r="GY30" i="1"/>
  <c r="GM601" i="1"/>
  <c r="AB607" i="1"/>
  <c r="GU407" i="1"/>
  <c r="GV407" i="1"/>
  <c r="FR607" i="1"/>
  <c r="FR539" i="1"/>
  <c r="FR587" i="1"/>
  <c r="FR538" i="1"/>
  <c r="FT153" i="1"/>
  <c r="FU149" i="1"/>
  <c r="FT158" i="1"/>
  <c r="FT159" i="1"/>
  <c r="FT160" i="1"/>
  <c r="GS575" i="1"/>
  <c r="AC641" i="1"/>
  <c r="AD546" i="1"/>
  <c r="AC629" i="1"/>
  <c r="AD629" i="1" s="1"/>
  <c r="FH603" i="1"/>
  <c r="FI603" i="1" s="1"/>
  <c r="FI530" i="1"/>
  <c r="FH533" i="1"/>
  <c r="DZ592" i="1"/>
  <c r="GZ436" i="1"/>
  <c r="GY436" i="1"/>
  <c r="BW539" i="1"/>
  <c r="BX536" i="1"/>
  <c r="BW538" i="1"/>
  <c r="BW587" i="1"/>
  <c r="EQ818" i="1"/>
  <c r="EQ527" i="1"/>
  <c r="DR16" i="2" s="1"/>
  <c r="EQ388" i="1"/>
  <c r="ER388" i="1" s="1"/>
  <c r="ER387" i="1"/>
  <c r="DN598" i="1"/>
  <c r="DM607" i="1"/>
  <c r="DN607" i="1" s="1"/>
  <c r="DN549" i="1"/>
  <c r="DM552" i="1"/>
  <c r="DM551" i="1"/>
  <c r="DM513" i="1"/>
  <c r="DG552" i="1"/>
  <c r="DG551" i="1"/>
  <c r="DH549" i="1"/>
  <c r="DG513" i="1"/>
  <c r="EF557" i="1"/>
  <c r="BP591" i="1"/>
  <c r="BP602" i="1"/>
  <c r="K722" i="1"/>
  <c r="L722" i="1" s="1"/>
  <c r="K706" i="1"/>
  <c r="L706" i="1" s="1"/>
  <c r="K690" i="1"/>
  <c r="L690" i="1" s="1"/>
  <c r="K641" i="1"/>
  <c r="K579" i="1"/>
  <c r="L539" i="1"/>
  <c r="BN596" i="1"/>
  <c r="BN598" i="1"/>
  <c r="BM607" i="1"/>
  <c r="BN607" i="1" s="1"/>
  <c r="T592" i="1"/>
  <c r="AB592" i="1"/>
  <c r="BF601" i="1"/>
  <c r="BF594" i="1"/>
  <c r="GM16" i="1"/>
  <c r="GY111" i="1"/>
  <c r="GZ111" i="1"/>
  <c r="EH536" i="1"/>
  <c r="EG539" i="1"/>
  <c r="EG587" i="1"/>
  <c r="EG538" i="1"/>
  <c r="EG543" i="1"/>
  <c r="FJ154" i="1"/>
  <c r="FK153" i="1"/>
  <c r="FL149" i="1"/>
  <c r="EA552" i="1"/>
  <c r="EA551" i="1"/>
  <c r="EA513" i="1"/>
  <c r="GX398" i="1"/>
  <c r="GX399" i="1" s="1"/>
  <c r="GX404" i="1" s="1"/>
  <c r="GX361" i="1"/>
  <c r="GY361" i="1" s="1"/>
  <c r="ER522" i="1"/>
  <c r="GO596" i="1"/>
  <c r="FF722" i="1"/>
  <c r="FG722" i="1" s="1"/>
  <c r="FF706" i="1"/>
  <c r="FG706" i="1" s="1"/>
  <c r="FF690" i="1"/>
  <c r="FG690" i="1" s="1"/>
  <c r="FF641" i="1"/>
  <c r="FF546" i="1"/>
  <c r="FG546" i="1" s="1"/>
  <c r="FG539" i="1"/>
  <c r="BD600" i="1"/>
  <c r="BD601" i="1"/>
  <c r="BD602" i="1"/>
  <c r="BC539" i="1"/>
  <c r="BD536" i="1"/>
  <c r="BC538" i="1"/>
  <c r="BC739" i="1" s="1"/>
  <c r="BC587" i="1"/>
  <c r="BD587" i="1" s="1"/>
  <c r="GV848" i="1"/>
  <c r="GF549" i="1"/>
  <c r="GF557" i="1"/>
  <c r="GF536" i="1"/>
  <c r="GG533" i="1"/>
  <c r="GF602" i="1"/>
  <c r="GG602" i="1" s="1"/>
  <c r="GF605" i="1"/>
  <c r="GG605" i="1" s="1"/>
  <c r="GF594" i="1"/>
  <c r="GG594" i="1" s="1"/>
  <c r="GF591" i="1"/>
  <c r="GG591" i="1" s="1"/>
  <c r="GF598" i="1"/>
  <c r="GF601" i="1"/>
  <c r="GG601" i="1" s="1"/>
  <c r="GF777" i="1"/>
  <c r="GF595" i="1"/>
  <c r="GG595" i="1" s="1"/>
  <c r="GF590" i="1"/>
  <c r="GG590" i="1" s="1"/>
  <c r="GF600" i="1"/>
  <c r="GG600" i="1" s="1"/>
  <c r="GV801" i="1"/>
  <c r="GW406" i="1"/>
  <c r="GV412" i="1"/>
  <c r="GX406" i="1"/>
  <c r="AW297" i="1"/>
  <c r="AX289" i="1"/>
  <c r="AD737" i="1"/>
  <c r="FZ557" i="1"/>
  <c r="FZ549" i="1"/>
  <c r="FZ536" i="1"/>
  <c r="GA533" i="1"/>
  <c r="FZ602" i="1"/>
  <c r="GA602" i="1" s="1"/>
  <c r="FZ605" i="1"/>
  <c r="GA605" i="1" s="1"/>
  <c r="FZ594" i="1"/>
  <c r="GA594" i="1" s="1"/>
  <c r="FZ591" i="1"/>
  <c r="GA591" i="1" s="1"/>
  <c r="FZ600" i="1"/>
  <c r="GA600" i="1" s="1"/>
  <c r="FZ590" i="1"/>
  <c r="GA590" i="1" s="1"/>
  <c r="FZ595" i="1"/>
  <c r="GA595" i="1" s="1"/>
  <c r="FZ598" i="1"/>
  <c r="CY552" i="1"/>
  <c r="CY551" i="1"/>
  <c r="CZ549" i="1"/>
  <c r="CY513" i="1"/>
  <c r="BT596" i="1"/>
  <c r="BS607" i="1"/>
  <c r="BT598" i="1"/>
  <c r="BT605" i="1"/>
  <c r="GE603" i="1"/>
  <c r="GX415" i="1"/>
  <c r="GW415" i="1"/>
  <c r="FR182" i="1"/>
  <c r="BZ600" i="1"/>
  <c r="BZ594" i="1"/>
  <c r="BZ602" i="1"/>
  <c r="DS557" i="1"/>
  <c r="DS536" i="1"/>
  <c r="DS549" i="1"/>
  <c r="DT533" i="1"/>
  <c r="DS602" i="1"/>
  <c r="DT602" i="1" s="1"/>
  <c r="DS605" i="1"/>
  <c r="DT605" i="1" s="1"/>
  <c r="DS595" i="1"/>
  <c r="DT595" i="1" s="1"/>
  <c r="DS594" i="1"/>
  <c r="DT594" i="1" s="1"/>
  <c r="DS596" i="1"/>
  <c r="DT596" i="1" s="1"/>
  <c r="DS598" i="1"/>
  <c r="DS600" i="1"/>
  <c r="DT600" i="1" s="1"/>
  <c r="DS777" i="1"/>
  <c r="DS591" i="1"/>
  <c r="DT591" i="1" s="1"/>
  <c r="DS590" i="1"/>
  <c r="DT590" i="1" s="1"/>
  <c r="DS601" i="1"/>
  <c r="DS592" i="1"/>
  <c r="CD600" i="1"/>
  <c r="CD594" i="1"/>
  <c r="EN600" i="1"/>
  <c r="EN594" i="1"/>
  <c r="EM539" i="1"/>
  <c r="EN536" i="1"/>
  <c r="EM587" i="1"/>
  <c r="EN587" i="1" s="1"/>
  <c r="EM538" i="1"/>
  <c r="EM543" i="1"/>
  <c r="FT777" i="1"/>
  <c r="BJ596" i="1"/>
  <c r="BJ598" i="1"/>
  <c r="BI607" i="1"/>
  <c r="BJ607" i="1" s="1"/>
  <c r="BJ549" i="1"/>
  <c r="BI552" i="1"/>
  <c r="BI551" i="1"/>
  <c r="BI513" i="1"/>
  <c r="DW539" i="1"/>
  <c r="DX536" i="1"/>
  <c r="DW538" i="1"/>
  <c r="DW587" i="1"/>
  <c r="DB595" i="1"/>
  <c r="DB594" i="1"/>
  <c r="DB549" i="1"/>
  <c r="DA552" i="1"/>
  <c r="DA551" i="1"/>
  <c r="DB551" i="1" s="1"/>
  <c r="DA513" i="1"/>
  <c r="GW531" i="1"/>
  <c r="FP20" i="2" s="1"/>
  <c r="FP22" i="2" s="1"/>
  <c r="DP600" i="1"/>
  <c r="DP594" i="1"/>
  <c r="CH595" i="1"/>
  <c r="CH591" i="1"/>
  <c r="AR596" i="1"/>
  <c r="FI182" i="1"/>
  <c r="FH193" i="1"/>
  <c r="FI193" i="1" s="1"/>
  <c r="GS123" i="1"/>
  <c r="GR115" i="1"/>
  <c r="DJ600" i="1"/>
  <c r="DJ602" i="1"/>
  <c r="FX598" i="1"/>
  <c r="T601" i="1"/>
  <c r="AB601" i="1"/>
  <c r="DC557" i="1"/>
  <c r="DC536" i="1"/>
  <c r="DC549" i="1"/>
  <c r="DD533" i="1"/>
  <c r="DC602" i="1"/>
  <c r="DD602" i="1" s="1"/>
  <c r="DC605" i="1"/>
  <c r="DD605" i="1" s="1"/>
  <c r="DC595" i="1"/>
  <c r="DD595" i="1" s="1"/>
  <c r="DC594" i="1"/>
  <c r="DD594" i="1" s="1"/>
  <c r="DC600" i="1"/>
  <c r="DD600" i="1" s="1"/>
  <c r="DC590" i="1"/>
  <c r="DD590" i="1" s="1"/>
  <c r="DC598" i="1"/>
  <c r="DL598" i="1" s="1"/>
  <c r="DC596" i="1"/>
  <c r="DD596" i="1" s="1"/>
  <c r="DC591" i="1"/>
  <c r="DD591" i="1" s="1"/>
  <c r="DC601" i="1"/>
  <c r="DD601" i="1" s="1"/>
  <c r="DC592" i="1"/>
  <c r="DC777" i="1"/>
  <c r="GV244" i="1"/>
  <c r="GU244" i="1"/>
  <c r="GP373" i="1"/>
  <c r="CR595" i="1"/>
  <c r="CR594" i="1"/>
  <c r="CQ539" i="1"/>
  <c r="CR536" i="1"/>
  <c r="CQ587" i="1"/>
  <c r="CQ538" i="1"/>
  <c r="DB596" i="1"/>
  <c r="FD560" i="1"/>
  <c r="FD554" i="1"/>
  <c r="FD579" i="1"/>
  <c r="FS603" i="1"/>
  <c r="GZ301" i="1"/>
  <c r="GY301" i="1"/>
  <c r="DZ549" i="1"/>
  <c r="DY552" i="1"/>
  <c r="DY551" i="1"/>
  <c r="DZ551" i="1" s="1"/>
  <c r="DY513" i="1"/>
  <c r="CN600" i="1"/>
  <c r="CM607" i="1"/>
  <c r="CN598" i="1"/>
  <c r="CN605" i="1"/>
  <c r="CM539" i="1"/>
  <c r="CN536" i="1"/>
  <c r="CM538" i="1"/>
  <c r="CM587" i="1"/>
  <c r="GI16" i="1"/>
  <c r="R598" i="1"/>
  <c r="Q607" i="1"/>
  <c r="R607" i="1" s="1"/>
  <c r="Q587" i="1"/>
  <c r="R587" i="1" s="1"/>
  <c r="R536" i="1"/>
  <c r="Q539" i="1"/>
  <c r="Q538" i="1"/>
  <c r="FP557" i="1"/>
  <c r="FP549" i="1"/>
  <c r="FP536" i="1"/>
  <c r="FQ533" i="1"/>
  <c r="FP605" i="1"/>
  <c r="FQ605" i="1" s="1"/>
  <c r="FP594" i="1"/>
  <c r="FP596" i="1"/>
  <c r="FQ596" i="1" s="1"/>
  <c r="FP590" i="1"/>
  <c r="FP598" i="1"/>
  <c r="FS598" i="1" s="1"/>
  <c r="FP602" i="1"/>
  <c r="FP600" i="1"/>
  <c r="FQ600" i="1" s="1"/>
  <c r="FP595" i="1"/>
  <c r="FP591" i="1"/>
  <c r="FS591" i="1" s="1"/>
  <c r="DH592" i="1"/>
  <c r="ET613" i="1"/>
  <c r="EU636" i="1"/>
  <c r="EV633" i="1"/>
  <c r="DR605" i="1"/>
  <c r="GP414" i="1"/>
  <c r="DF601" i="1"/>
  <c r="DF594" i="1"/>
  <c r="DF549" i="1"/>
  <c r="DE552" i="1"/>
  <c r="DE551" i="1"/>
  <c r="DE513" i="1"/>
  <c r="BV603" i="1"/>
  <c r="BF592" i="1"/>
  <c r="AH598" i="1"/>
  <c r="AG607" i="1"/>
  <c r="AH607" i="1" s="1"/>
  <c r="AH602" i="1"/>
  <c r="GB549" i="1"/>
  <c r="GB557" i="1"/>
  <c r="GB536" i="1"/>
  <c r="GC533" i="1"/>
  <c r="GB602" i="1"/>
  <c r="GC602" i="1" s="1"/>
  <c r="GB594" i="1"/>
  <c r="GC594" i="1" s="1"/>
  <c r="GB605" i="1"/>
  <c r="GC605" i="1" s="1"/>
  <c r="GB598" i="1"/>
  <c r="GB591" i="1"/>
  <c r="GC591" i="1" s="1"/>
  <c r="GB595" i="1"/>
  <c r="GC595" i="1" s="1"/>
  <c r="GB601" i="1"/>
  <c r="GC601" i="1" s="1"/>
  <c r="GB600" i="1"/>
  <c r="GC600" i="1" s="1"/>
  <c r="GB777" i="1"/>
  <c r="GB590" i="1"/>
  <c r="GC590" i="1" s="1"/>
  <c r="FU298" i="1"/>
  <c r="FT305" i="1"/>
  <c r="FU305" i="1" s="1"/>
  <c r="DV596" i="1"/>
  <c r="DV598" i="1"/>
  <c r="DU607" i="1"/>
  <c r="DV607" i="1" s="1"/>
  <c r="DV536" i="1"/>
  <c r="DU539" i="1"/>
  <c r="DU538" i="1"/>
  <c r="DU587" i="1"/>
  <c r="DV587" i="1" s="1"/>
  <c r="AM607" i="1"/>
  <c r="AN598" i="1"/>
  <c r="AN591" i="1"/>
  <c r="BB603" i="1"/>
  <c r="GP249" i="1"/>
  <c r="GQ249" i="1" s="1"/>
  <c r="GQ248" i="1"/>
  <c r="GP252" i="1"/>
  <c r="CA782" i="1"/>
  <c r="GP800" i="1"/>
  <c r="CT590" i="1"/>
  <c r="CT605" i="1"/>
  <c r="G43" i="1"/>
  <c r="G46" i="1"/>
  <c r="G45" i="1"/>
  <c r="G44" i="1"/>
  <c r="G38" i="1"/>
  <c r="AR180" i="1"/>
  <c r="AQ194" i="1"/>
  <c r="AR194" i="1" s="1"/>
  <c r="AI739" i="1"/>
  <c r="AJ739" i="1" s="1"/>
  <c r="AI587" i="1"/>
  <c r="AJ587" i="1" s="1"/>
  <c r="AI539" i="1"/>
  <c r="AI513" i="1"/>
  <c r="AJ513" i="1" s="1"/>
  <c r="AJ536" i="1"/>
  <c r="AI538" i="1"/>
  <c r="CW603" i="1"/>
  <c r="W735" i="1"/>
  <c r="X735" i="1" s="1"/>
  <c r="X538" i="1"/>
  <c r="W541" i="1"/>
  <c r="W542" i="1" s="1"/>
  <c r="W543" i="1" s="1"/>
  <c r="W781" i="1" s="1"/>
  <c r="W783" i="1" s="1"/>
  <c r="W738" i="1"/>
  <c r="X738" i="1" s="1"/>
  <c r="W736" i="1"/>
  <c r="X736" i="1" s="1"/>
  <c r="W737" i="1"/>
  <c r="X737" i="1" s="1"/>
  <c r="X587" i="1"/>
  <c r="GZ229" i="1"/>
  <c r="GX232" i="1"/>
  <c r="GY229" i="1"/>
  <c r="EJ557" i="1"/>
  <c r="CP536" i="1"/>
  <c r="CO539" i="1"/>
  <c r="CO587" i="1"/>
  <c r="CP587" i="1" s="1"/>
  <c r="CO538" i="1"/>
  <c r="GO16" i="1"/>
  <c r="FN549" i="1"/>
  <c r="FN557" i="1"/>
  <c r="FN536" i="1"/>
  <c r="FO533" i="1"/>
  <c r="FN605" i="1"/>
  <c r="FO605" i="1" s="1"/>
  <c r="FN594" i="1"/>
  <c r="FO594" i="1" s="1"/>
  <c r="FN595" i="1"/>
  <c r="FO595" i="1" s="1"/>
  <c r="FN601" i="1"/>
  <c r="FO601" i="1" s="1"/>
  <c r="FN596" i="1"/>
  <c r="FN602" i="1"/>
  <c r="FO602" i="1" s="1"/>
  <c r="FN598" i="1"/>
  <c r="FN591" i="1"/>
  <c r="FO591" i="1" s="1"/>
  <c r="FN600" i="1"/>
  <c r="FO600" i="1" s="1"/>
  <c r="FN590" i="1"/>
  <c r="FO590" i="1" s="1"/>
  <c r="AR601" i="1"/>
  <c r="FK530" i="1"/>
  <c r="FJ533" i="1"/>
  <c r="FM533" i="1" s="1"/>
  <c r="FV603" i="1"/>
  <c r="FW603" i="1" s="1"/>
  <c r="FT179" i="1"/>
  <c r="FT170" i="1"/>
  <c r="FU169" i="1"/>
  <c r="FV164" i="1"/>
  <c r="AW513" i="1"/>
  <c r="AX513" i="1" s="1"/>
  <c r="AX536" i="1"/>
  <c r="AW539" i="1"/>
  <c r="AW538" i="1"/>
  <c r="AW587" i="1"/>
  <c r="AX587" i="1" s="1"/>
  <c r="EN603" i="1"/>
  <c r="BH600" i="1"/>
  <c r="BH595" i="1"/>
  <c r="FS596" i="1"/>
  <c r="GT487" i="1"/>
  <c r="GU487" i="1" s="1"/>
  <c r="GU486" i="1"/>
  <c r="EH20" i="198" s="1"/>
  <c r="GT11" i="1"/>
  <c r="GU11" i="1" s="1"/>
  <c r="EL601" i="1"/>
  <c r="EL594" i="1"/>
  <c r="EL602" i="1"/>
  <c r="EL557" i="1"/>
  <c r="GX308" i="1"/>
  <c r="GW308" i="1"/>
  <c r="GV507" i="1"/>
  <c r="GW507" i="1" s="1"/>
  <c r="BB601" i="1"/>
  <c r="BB591" i="1"/>
  <c r="BB549" i="1"/>
  <c r="BA552" i="1"/>
  <c r="BA551" i="1"/>
  <c r="BB551" i="1" s="1"/>
  <c r="BA513" i="1"/>
  <c r="GG596" i="1"/>
  <c r="GW31" i="1"/>
  <c r="GZ187" i="1"/>
  <c r="GY187" i="1"/>
  <c r="FD802" i="1"/>
  <c r="FD543" i="1"/>
  <c r="FE538" i="1"/>
  <c r="FD817" i="1"/>
  <c r="FD781" i="1"/>
  <c r="FS594" i="1"/>
  <c r="FS549" i="1"/>
  <c r="FR552" i="1"/>
  <c r="FR513" i="1"/>
  <c r="FR551" i="1"/>
  <c r="GE601" i="1"/>
  <c r="FL603" i="1"/>
  <c r="AC693" i="1"/>
  <c r="AD693" i="1" s="1"/>
  <c r="AC692" i="1"/>
  <c r="AD692" i="1" s="1"/>
  <c r="AC582" i="1"/>
  <c r="AD579" i="1"/>
  <c r="AD722" i="1"/>
  <c r="GS403" i="1"/>
  <c r="GR405" i="1"/>
  <c r="AA722" i="1"/>
  <c r="AA706" i="1"/>
  <c r="AA697" i="1"/>
  <c r="AA690" i="1"/>
  <c r="AA579" i="1"/>
  <c r="AA546" i="1"/>
  <c r="GP126" i="1"/>
  <c r="GQ119" i="1"/>
  <c r="GP120" i="1"/>
  <c r="CQ305" i="1"/>
  <c r="CQ327" i="1"/>
  <c r="AE607" i="1"/>
  <c r="AF607" i="1" s="1"/>
  <c r="AF598" i="1"/>
  <c r="GQ239" i="1"/>
  <c r="GP246" i="1"/>
  <c r="DL596" i="1"/>
  <c r="DL595" i="1"/>
  <c r="DK552" i="1"/>
  <c r="DK551" i="1"/>
  <c r="DL549" i="1"/>
  <c r="DK513" i="1"/>
  <c r="FR181" i="1"/>
  <c r="FS181" i="1" s="1"/>
  <c r="BO607" i="1"/>
  <c r="BP607" i="1" s="1"/>
  <c r="BP598" i="1"/>
  <c r="BP594" i="1"/>
  <c r="BO539" i="1"/>
  <c r="BP536" i="1"/>
  <c r="BO587" i="1"/>
  <c r="BP587" i="1" s="1"/>
  <c r="BO538" i="1"/>
  <c r="GT125" i="1"/>
  <c r="GS125" i="1"/>
  <c r="GR118" i="1"/>
  <c r="FV601" i="1"/>
  <c r="BK607" i="1"/>
  <c r="BL598" i="1"/>
  <c r="BN549" i="1"/>
  <c r="BM552" i="1"/>
  <c r="BM551" i="1"/>
  <c r="BM513" i="1"/>
  <c r="AQ181" i="1"/>
  <c r="AR181" i="1" s="1"/>
  <c r="AQ196" i="1"/>
  <c r="AR196" i="1" s="1"/>
  <c r="AQ195" i="1"/>
  <c r="AR179" i="1"/>
  <c r="BF591" i="1"/>
  <c r="BF596" i="1"/>
  <c r="BF602" i="1"/>
  <c r="BF549" i="1"/>
  <c r="BE552" i="1"/>
  <c r="BE551" i="1"/>
  <c r="BF551" i="1" s="1"/>
  <c r="BE513" i="1"/>
  <c r="EH598" i="1"/>
  <c r="EG607" i="1"/>
  <c r="EA607" i="1"/>
  <c r="EB598" i="1"/>
  <c r="EB605" i="1"/>
  <c r="EA539" i="1"/>
  <c r="EB536" i="1"/>
  <c r="EA538" i="1"/>
  <c r="EA587" i="1"/>
  <c r="FF802" i="1"/>
  <c r="FF735" i="1"/>
  <c r="FG735" i="1" s="1"/>
  <c r="FG538" i="1"/>
  <c r="FF543" i="1"/>
  <c r="FF817" i="1"/>
  <c r="FF738" i="1"/>
  <c r="FG738" i="1" s="1"/>
  <c r="FF737" i="1"/>
  <c r="FG737" i="1" s="1"/>
  <c r="FF736" i="1"/>
  <c r="FG736" i="1" s="1"/>
  <c r="FF781" i="1"/>
  <c r="FF739" i="1"/>
  <c r="FG739" i="1" s="1"/>
  <c r="BC607" i="1"/>
  <c r="BD607" i="1" s="1"/>
  <c r="BD598" i="1"/>
  <c r="BD590" i="1"/>
  <c r="BD605" i="1"/>
  <c r="GG16" i="1"/>
  <c r="BT595" i="1"/>
  <c r="BT591" i="1"/>
  <c r="GT498" i="1"/>
  <c r="GZ413" i="1"/>
  <c r="GY413" i="1"/>
  <c r="GT124" i="1"/>
  <c r="GS124" i="1"/>
  <c r="GR116" i="1"/>
  <c r="CI603" i="1"/>
  <c r="DV603" i="1"/>
  <c r="BZ591" i="1"/>
  <c r="BZ595" i="1"/>
  <c r="BZ536" i="1"/>
  <c r="BY539" i="1"/>
  <c r="BY587" i="1"/>
  <c r="BY538" i="1"/>
  <c r="CD596" i="1"/>
  <c r="CD605" i="1"/>
  <c r="CC552" i="1"/>
  <c r="CC551" i="1"/>
  <c r="CC513" i="1"/>
  <c r="CD549" i="1"/>
  <c r="EN605" i="1"/>
  <c r="EM552" i="1"/>
  <c r="EM551" i="1"/>
  <c r="EN549" i="1"/>
  <c r="EM513" i="1"/>
  <c r="BJ602" i="1"/>
  <c r="BJ594" i="1"/>
  <c r="DW607" i="1"/>
  <c r="DX607" i="1" s="1"/>
  <c r="DX598" i="1"/>
  <c r="DW552" i="1"/>
  <c r="DW551" i="1"/>
  <c r="DX551" i="1" s="1"/>
  <c r="DX549" i="1"/>
  <c r="DW513" i="1"/>
  <c r="DB591" i="1"/>
  <c r="DB598" i="1"/>
  <c r="DA607" i="1"/>
  <c r="DB607" i="1" s="1"/>
  <c r="DB536" i="1"/>
  <c r="DA539" i="1"/>
  <c r="DA538" i="1"/>
  <c r="DA587" i="1"/>
  <c r="DB587" i="1" s="1"/>
  <c r="GW485" i="1"/>
  <c r="GV484" i="1"/>
  <c r="GW484" i="1" s="1"/>
  <c r="GV486" i="1"/>
  <c r="EI20" i="198" s="1"/>
  <c r="DP590" i="1"/>
  <c r="DP591" i="1"/>
  <c r="DO539" i="1"/>
  <c r="DP536" i="1"/>
  <c r="DO538" i="1"/>
  <c r="DO587" i="1"/>
  <c r="DP587" i="1" s="1"/>
  <c r="CH596" i="1"/>
  <c r="CH605" i="1"/>
  <c r="CG552" i="1"/>
  <c r="CG513" i="1"/>
  <c r="CH513" i="1" s="1"/>
  <c r="CH549" i="1"/>
  <c r="CG551" i="1"/>
  <c r="CH551" i="1" s="1"/>
  <c r="CB592" i="1"/>
  <c r="P592" i="1"/>
  <c r="X592" i="1"/>
  <c r="DL601" i="1"/>
  <c r="GX266" i="1"/>
  <c r="GW266" i="1"/>
  <c r="DF592" i="1"/>
  <c r="DJ591" i="1"/>
  <c r="DJ598" i="1"/>
  <c r="DI607" i="1"/>
  <c r="DJ549" i="1"/>
  <c r="DI552" i="1"/>
  <c r="DI551" i="1"/>
  <c r="DJ551" i="1" s="1"/>
  <c r="DI513" i="1"/>
  <c r="T596" i="1"/>
  <c r="AB596" i="1"/>
  <c r="S587" i="1"/>
  <c r="T587" i="1" s="1"/>
  <c r="S539" i="1"/>
  <c r="S513" i="1"/>
  <c r="T513" i="1" s="1"/>
  <c r="T536" i="1"/>
  <c r="S538" i="1"/>
  <c r="FL50" i="1"/>
  <c r="FJ57" i="1"/>
  <c r="FK56" i="1"/>
  <c r="CR591" i="1"/>
  <c r="CR605" i="1"/>
  <c r="CQ552" i="1"/>
  <c r="CQ551" i="1"/>
  <c r="CR549" i="1"/>
  <c r="CQ513" i="1"/>
  <c r="DZ598" i="1"/>
  <c r="DY607" i="1"/>
  <c r="DZ607" i="1" s="1"/>
  <c r="DZ536" i="1"/>
  <c r="DY539" i="1"/>
  <c r="DY587" i="1"/>
  <c r="DZ587" i="1" s="1"/>
  <c r="DY538" i="1"/>
  <c r="DB287" i="1"/>
  <c r="DA289" i="1"/>
  <c r="DC281" i="1"/>
  <c r="CN590" i="1"/>
  <c r="CN596" i="1"/>
  <c r="CN602" i="1"/>
  <c r="GV232" i="1"/>
  <c r="EC603" i="1"/>
  <c r="AK513" i="1"/>
  <c r="AL513" i="1" s="1"/>
  <c r="AL536" i="1"/>
  <c r="AK539" i="1"/>
  <c r="AK538" i="1"/>
  <c r="AK587" i="1"/>
  <c r="AL587" i="1" s="1"/>
  <c r="GN549" i="1"/>
  <c r="GN557" i="1"/>
  <c r="GN536" i="1"/>
  <c r="GO533" i="1"/>
  <c r="GN602" i="1"/>
  <c r="GO602" i="1" s="1"/>
  <c r="GN605" i="1"/>
  <c r="GO605" i="1" s="1"/>
  <c r="GN594" i="1"/>
  <c r="GO594" i="1" s="1"/>
  <c r="GN598" i="1"/>
  <c r="GN591" i="1"/>
  <c r="GO591" i="1" s="1"/>
  <c r="GN595" i="1"/>
  <c r="GO595" i="1" s="1"/>
  <c r="GN590" i="1"/>
  <c r="GO590" i="1" s="1"/>
  <c r="GN600" i="1"/>
  <c r="GO600" i="1" s="1"/>
  <c r="AB605" i="1"/>
  <c r="DR600" i="1"/>
  <c r="DR595" i="1"/>
  <c r="DR602" i="1"/>
  <c r="DR557" i="1"/>
  <c r="DF600" i="1"/>
  <c r="DF596" i="1"/>
  <c r="DF605" i="1"/>
  <c r="DF533" i="1"/>
  <c r="DL603" i="1"/>
  <c r="AH590" i="1"/>
  <c r="AH594" i="1"/>
  <c r="AH600" i="1"/>
  <c r="GH603" i="1"/>
  <c r="GI603" i="1" s="1"/>
  <c r="GV621" i="1"/>
  <c r="GW621" i="1" s="1"/>
  <c r="GW622" i="1"/>
  <c r="GX622" i="1"/>
  <c r="GV617" i="1"/>
  <c r="GW617" i="1" s="1"/>
  <c r="FL596" i="1"/>
  <c r="DV591" i="1"/>
  <c r="DV594" i="1"/>
  <c r="DV549" i="1"/>
  <c r="DU552" i="1"/>
  <c r="DU551" i="1"/>
  <c r="DV551" i="1" s="1"/>
  <c r="DU513" i="1"/>
  <c r="AN590" i="1"/>
  <c r="AN595" i="1"/>
  <c r="AM587" i="1"/>
  <c r="AN587" i="1" s="1"/>
  <c r="AM539" i="1"/>
  <c r="AM513" i="1"/>
  <c r="AN513" i="1" s="1"/>
  <c r="AN536" i="1"/>
  <c r="AM538" i="1"/>
  <c r="BZ603" i="1"/>
  <c r="AV592" i="1"/>
  <c r="CZ596" i="1"/>
  <c r="GJ603" i="1"/>
  <c r="DW473" i="2" l="1"/>
  <c r="CY466" i="198"/>
  <c r="CY514" i="198"/>
  <c r="CY18" i="198"/>
  <c r="DW521" i="2"/>
  <c r="EV423" i="1"/>
  <c r="DV525" i="2"/>
  <c r="CX518" i="198"/>
  <c r="CZ514" i="198"/>
  <c r="CZ515" i="198" s="1"/>
  <c r="CZ18" i="198"/>
  <c r="DX521" i="2"/>
  <c r="DX522" i="2" s="1"/>
  <c r="DA512" i="198"/>
  <c r="DY519" i="2"/>
  <c r="CT514" i="198"/>
  <c r="CT515" i="198" s="1"/>
  <c r="CT18" i="198"/>
  <c r="CT19" i="198" s="1"/>
  <c r="DR521" i="2"/>
  <c r="DR522" i="2" s="1"/>
  <c r="CU512" i="198"/>
  <c r="DS519" i="2"/>
  <c r="ED507" i="198"/>
  <c r="FJ514" i="2"/>
  <c r="CW514" i="198"/>
  <c r="CW18" i="198"/>
  <c r="DU521" i="2"/>
  <c r="ET423" i="1"/>
  <c r="CV518" i="198"/>
  <c r="DT525" i="2"/>
  <c r="EC527" i="198"/>
  <c r="FI534" i="2"/>
  <c r="CZ473" i="198"/>
  <c r="CZ474" i="198" s="1"/>
  <c r="CZ17" i="198"/>
  <c r="CZ19" i="198" s="1"/>
  <c r="DX480" i="2"/>
  <c r="DX481" i="2" s="1"/>
  <c r="DA469" i="198"/>
  <c r="DY476" i="2"/>
  <c r="DA471" i="198"/>
  <c r="DY478" i="2"/>
  <c r="EV378" i="1"/>
  <c r="DV478" i="2"/>
  <c r="CX471" i="198"/>
  <c r="EV376" i="1"/>
  <c r="DV476" i="2"/>
  <c r="CX469" i="198"/>
  <c r="DT478" i="2"/>
  <c r="CV471" i="198"/>
  <c r="DU476" i="2"/>
  <c r="CW469" i="198"/>
  <c r="EC466" i="198"/>
  <c r="FI473" i="2"/>
  <c r="DS484" i="2"/>
  <c r="CU477" i="198"/>
  <c r="DU70" i="2"/>
  <c r="CW61" i="198"/>
  <c r="DV70" i="2"/>
  <c r="CX61" i="198"/>
  <c r="CX30" i="198"/>
  <c r="DV35" i="2"/>
  <c r="DV71" i="2"/>
  <c r="CX62" i="198"/>
  <c r="CW30" i="198"/>
  <c r="DU71" i="2"/>
  <c r="DU35" i="2"/>
  <c r="CW62" i="198"/>
  <c r="GV498" i="1"/>
  <c r="EJ511" i="198"/>
  <c r="FP518" i="2"/>
  <c r="EJ502" i="198"/>
  <c r="FP509" i="2"/>
  <c r="EI470" i="198"/>
  <c r="FO477" i="2"/>
  <c r="EF460" i="198"/>
  <c r="FL467" i="2"/>
  <c r="EJ458" i="198"/>
  <c r="FP465" i="2"/>
  <c r="EJ461" i="198"/>
  <c r="FP468" i="2"/>
  <c r="EG460" i="198"/>
  <c r="FM467" i="2"/>
  <c r="FQ518" i="2"/>
  <c r="EK511" i="198"/>
  <c r="EK500" i="198"/>
  <c r="FQ507" i="2"/>
  <c r="EI503" i="198"/>
  <c r="FO510" i="2"/>
  <c r="EH462" i="198"/>
  <c r="FN469" i="2"/>
  <c r="EE463" i="198"/>
  <c r="FK470" i="2"/>
  <c r="EJ467" i="198"/>
  <c r="FP474" i="2"/>
  <c r="FN515" i="2"/>
  <c r="EH508" i="198"/>
  <c r="EK502" i="198"/>
  <c r="FQ509" i="2"/>
  <c r="FN510" i="2"/>
  <c r="EH503" i="198"/>
  <c r="EI462" i="198"/>
  <c r="FO469" i="2"/>
  <c r="EH459" i="198"/>
  <c r="FN466" i="2"/>
  <c r="EE501" i="198"/>
  <c r="FK508" i="2"/>
  <c r="GW412" i="1"/>
  <c r="EI508" i="198"/>
  <c r="FO515" i="2"/>
  <c r="EH470" i="198"/>
  <c r="FN477" i="2"/>
  <c r="EJ500" i="198"/>
  <c r="FP507" i="2"/>
  <c r="EI459" i="198"/>
  <c r="FO466" i="2"/>
  <c r="GZ404" i="1"/>
  <c r="GY404" i="1"/>
  <c r="DU579" i="1"/>
  <c r="DU560" i="1"/>
  <c r="DU554" i="1"/>
  <c r="DV552" i="1"/>
  <c r="GN607" i="1"/>
  <c r="GO598" i="1"/>
  <c r="GW232" i="1"/>
  <c r="T538" i="1"/>
  <c r="S541" i="1"/>
  <c r="S542" i="1" s="1"/>
  <c r="S543" i="1" s="1"/>
  <c r="S781" i="1" s="1"/>
  <c r="S783" i="1" s="1"/>
  <c r="GZ266" i="1"/>
  <c r="GY266" i="1"/>
  <c r="DO722" i="1"/>
  <c r="DO706" i="1"/>
  <c r="DP539" i="1"/>
  <c r="DO546" i="1"/>
  <c r="DA722" i="1"/>
  <c r="DA706" i="1"/>
  <c r="DA697" i="1"/>
  <c r="DA546" i="1"/>
  <c r="DB539" i="1"/>
  <c r="DX552" i="1"/>
  <c r="DW554" i="1"/>
  <c r="DW579" i="1"/>
  <c r="DW560" i="1"/>
  <c r="EN552" i="1"/>
  <c r="EM554" i="1"/>
  <c r="EM579" i="1"/>
  <c r="EM560" i="1"/>
  <c r="BY802" i="1"/>
  <c r="BY763" i="1"/>
  <c r="BY735" i="1"/>
  <c r="BY541" i="1"/>
  <c r="BY738" i="1"/>
  <c r="BY736" i="1"/>
  <c r="BY817" i="1"/>
  <c r="BY737" i="1"/>
  <c r="BY644" i="1"/>
  <c r="BY781" i="1"/>
  <c r="BY783" i="1" s="1"/>
  <c r="BY691" i="1"/>
  <c r="BY739" i="1"/>
  <c r="CH739" i="1" s="1"/>
  <c r="CJ603" i="1"/>
  <c r="CR603" i="1"/>
  <c r="EA802" i="1"/>
  <c r="EA763" i="1"/>
  <c r="EA541" i="1"/>
  <c r="EA817" i="1"/>
  <c r="EA781" i="1"/>
  <c r="BF513" i="1"/>
  <c r="BE511" i="1"/>
  <c r="AR195" i="1"/>
  <c r="AQ197" i="1"/>
  <c r="AR197" i="1" s="1"/>
  <c r="BN551" i="1"/>
  <c r="BL607" i="1"/>
  <c r="GV125" i="1"/>
  <c r="GU125" i="1"/>
  <c r="GT118" i="1"/>
  <c r="BO722" i="1"/>
  <c r="BO706" i="1"/>
  <c r="BO697" i="1"/>
  <c r="BP539" i="1"/>
  <c r="BO546" i="1"/>
  <c r="DK510" i="1"/>
  <c r="DK511" i="1" s="1"/>
  <c r="AA693" i="1"/>
  <c r="AA692" i="1"/>
  <c r="AA582" i="1"/>
  <c r="FR579" i="1"/>
  <c r="FR560" i="1"/>
  <c r="FR554" i="1"/>
  <c r="AW722" i="1"/>
  <c r="AW690" i="1"/>
  <c r="AW697" i="1"/>
  <c r="AW706" i="1"/>
  <c r="AW579" i="1"/>
  <c r="AW546" i="1"/>
  <c r="AX539" i="1"/>
  <c r="FV169" i="1"/>
  <c r="FV175" i="1"/>
  <c r="FW164" i="1"/>
  <c r="FV174" i="1"/>
  <c r="FV176" i="1"/>
  <c r="GY232" i="1"/>
  <c r="GZ232" i="1"/>
  <c r="G39" i="1"/>
  <c r="G74" i="1" s="1"/>
  <c r="I29" i="1"/>
  <c r="DU802" i="1"/>
  <c r="DU763" i="1"/>
  <c r="DV538" i="1"/>
  <c r="DU541" i="1"/>
  <c r="DU817" i="1"/>
  <c r="DU781" i="1"/>
  <c r="DE510" i="1"/>
  <c r="DE511" i="1" s="1"/>
  <c r="FQ536" i="1"/>
  <c r="FP539" i="1"/>
  <c r="FP538" i="1"/>
  <c r="FP587" i="1"/>
  <c r="Q735" i="1"/>
  <c r="R735" i="1" s="1"/>
  <c r="R538" i="1"/>
  <c r="Q541" i="1"/>
  <c r="Q542" i="1" s="1"/>
  <c r="Q543" i="1" s="1"/>
  <c r="Q781" i="1" s="1"/>
  <c r="Q783" i="1" s="1"/>
  <c r="Q738" i="1"/>
  <c r="R738" i="1" s="1"/>
  <c r="Q736" i="1"/>
  <c r="R736" i="1" s="1"/>
  <c r="Q737" i="1"/>
  <c r="R737" i="1" s="1"/>
  <c r="Q739" i="1"/>
  <c r="R739" i="1" s="1"/>
  <c r="CM722" i="1"/>
  <c r="CM706" i="1"/>
  <c r="CM697" i="1"/>
  <c r="CM546" i="1"/>
  <c r="CQ722" i="1"/>
  <c r="CQ706" i="1"/>
  <c r="CQ697" i="1"/>
  <c r="CQ546" i="1"/>
  <c r="DC539" i="1"/>
  <c r="DD536" i="1"/>
  <c r="DC538" i="1"/>
  <c r="DC587" i="1"/>
  <c r="DD587" i="1" s="1"/>
  <c r="DW802" i="1"/>
  <c r="DW763" i="1"/>
  <c r="DX538" i="1"/>
  <c r="DW541" i="1"/>
  <c r="DW817" i="1"/>
  <c r="DW781" i="1"/>
  <c r="BJ551" i="1"/>
  <c r="EM802" i="1"/>
  <c r="EM763" i="1"/>
  <c r="EN538" i="1"/>
  <c r="EV538" i="1"/>
  <c r="EM817" i="1"/>
  <c r="EM781" i="1"/>
  <c r="DT592" i="1"/>
  <c r="EB592" i="1"/>
  <c r="BT607" i="1"/>
  <c r="CZ551" i="1"/>
  <c r="FZ552" i="1"/>
  <c r="GA549" i="1"/>
  <c r="FZ513" i="1"/>
  <c r="FZ551" i="1"/>
  <c r="GF607" i="1"/>
  <c r="GG598" i="1"/>
  <c r="GF552" i="1"/>
  <c r="GF513" i="1"/>
  <c r="GF551" i="1"/>
  <c r="GG549" i="1"/>
  <c r="EA510" i="1"/>
  <c r="EB595" i="1"/>
  <c r="FK154" i="1"/>
  <c r="FJ194" i="1"/>
  <c r="FK194" i="1" s="1"/>
  <c r="FJ182" i="1"/>
  <c r="EG722" i="1"/>
  <c r="EG706" i="1"/>
  <c r="EG697" i="1"/>
  <c r="EH697" i="1" s="1"/>
  <c r="EG546" i="1"/>
  <c r="EH539" i="1"/>
  <c r="K693" i="1"/>
  <c r="L693" i="1" s="1"/>
  <c r="K692" i="1"/>
  <c r="L692" i="1" s="1"/>
  <c r="L579" i="1"/>
  <c r="K582" i="1"/>
  <c r="DH551" i="1"/>
  <c r="DM579" i="1"/>
  <c r="DM560" i="1"/>
  <c r="DM554" i="1"/>
  <c r="DN552" i="1"/>
  <c r="BW802" i="1"/>
  <c r="BW763" i="1"/>
  <c r="BW735" i="1"/>
  <c r="BX538" i="1"/>
  <c r="BW541" i="1"/>
  <c r="BW738" i="1"/>
  <c r="BW736" i="1"/>
  <c r="BW817" i="1"/>
  <c r="BW737" i="1"/>
  <c r="BW781" i="1"/>
  <c r="BW783" i="1" s="1"/>
  <c r="BW691" i="1"/>
  <c r="AB513" i="1"/>
  <c r="FH557" i="1"/>
  <c r="FH549" i="1"/>
  <c r="FH536" i="1"/>
  <c r="FI533" i="1"/>
  <c r="FH605" i="1"/>
  <c r="FI605" i="1" s="1"/>
  <c r="FH598" i="1"/>
  <c r="FH594" i="1"/>
  <c r="FI594" i="1" s="1"/>
  <c r="FH591" i="1"/>
  <c r="FI591" i="1" s="1"/>
  <c r="FH602" i="1"/>
  <c r="FI602" i="1" s="1"/>
  <c r="FH590" i="1"/>
  <c r="FI590" i="1" s="1"/>
  <c r="FH600" i="1"/>
  <c r="FI600" i="1" s="1"/>
  <c r="FH595" i="1"/>
  <c r="FI595" i="1" s="1"/>
  <c r="FH592" i="1"/>
  <c r="FI592" i="1" s="1"/>
  <c r="FH596" i="1"/>
  <c r="FI596" i="1" s="1"/>
  <c r="FH601" i="1"/>
  <c r="FI601" i="1" s="1"/>
  <c r="FS587" i="1"/>
  <c r="EU813" i="1"/>
  <c r="EU771" i="1"/>
  <c r="EU522" i="1"/>
  <c r="EU253" i="1"/>
  <c r="EV253" i="1" s="1"/>
  <c r="EV252" i="1"/>
  <c r="EI802" i="1"/>
  <c r="EI763" i="1"/>
  <c r="EJ538" i="1"/>
  <c r="ER538" i="1"/>
  <c r="EI817" i="1"/>
  <c r="EI781" i="1"/>
  <c r="CU802" i="1"/>
  <c r="CU763" i="1"/>
  <c r="CV538" i="1"/>
  <c r="CU541" i="1"/>
  <c r="CU817" i="1"/>
  <c r="CU781" i="1"/>
  <c r="W693" i="1"/>
  <c r="W692" i="1"/>
  <c r="W582" i="1"/>
  <c r="GW377" i="1"/>
  <c r="GX377" i="1"/>
  <c r="CS802" i="1"/>
  <c r="CS763" i="1"/>
  <c r="CS541" i="1"/>
  <c r="CS817" i="1"/>
  <c r="CS781" i="1"/>
  <c r="CS691" i="1"/>
  <c r="GK594" i="1"/>
  <c r="GK536" i="1"/>
  <c r="GJ539" i="1"/>
  <c r="GJ538" i="1"/>
  <c r="GJ587" i="1"/>
  <c r="GI590" i="1"/>
  <c r="GI602" i="1"/>
  <c r="GI557" i="1"/>
  <c r="DE722" i="1"/>
  <c r="DE706" i="1"/>
  <c r="DE697" i="1"/>
  <c r="DE546" i="1"/>
  <c r="ED592" i="1"/>
  <c r="EL592" i="1"/>
  <c r="ED549" i="1"/>
  <c r="EC552" i="1"/>
  <c r="EC551" i="1"/>
  <c r="ED551" i="1" s="1"/>
  <c r="EC513" i="1"/>
  <c r="CM560" i="1"/>
  <c r="CM554" i="1"/>
  <c r="CM579" i="1"/>
  <c r="EU428" i="1"/>
  <c r="EV426" i="1"/>
  <c r="CH587" i="1"/>
  <c r="BI802" i="1"/>
  <c r="BI763" i="1"/>
  <c r="BI735" i="1"/>
  <c r="BJ538" i="1"/>
  <c r="BI541" i="1"/>
  <c r="BI738" i="1"/>
  <c r="BI736" i="1"/>
  <c r="BI737" i="1"/>
  <c r="BI817" i="1"/>
  <c r="CC802" i="1"/>
  <c r="CC763" i="1"/>
  <c r="CC735" i="1"/>
  <c r="CC644" i="1"/>
  <c r="CC541" i="1"/>
  <c r="CC738" i="1"/>
  <c r="CC736" i="1"/>
  <c r="CC737" i="1"/>
  <c r="CC817" i="1"/>
  <c r="CC781" i="1"/>
  <c r="CC783" i="1" s="1"/>
  <c r="CC691" i="1"/>
  <c r="CC739" i="1"/>
  <c r="EW813" i="1"/>
  <c r="EW771" i="1"/>
  <c r="EW522" i="1"/>
  <c r="EX252" i="1"/>
  <c r="EW253" i="1"/>
  <c r="EX253" i="1" s="1"/>
  <c r="GX364" i="1"/>
  <c r="BS802" i="1"/>
  <c r="BS763" i="1"/>
  <c r="BS735" i="1"/>
  <c r="BT538" i="1"/>
  <c r="BS738" i="1"/>
  <c r="BS541" i="1"/>
  <c r="BS736" i="1"/>
  <c r="BS817" i="1"/>
  <c r="BS737" i="1"/>
  <c r="AY289" i="1"/>
  <c r="AZ287" i="1"/>
  <c r="BA281" i="1"/>
  <c r="ES428" i="1"/>
  <c r="ET426" i="1"/>
  <c r="CR596" i="1"/>
  <c r="AQ193" i="1"/>
  <c r="AR193" i="1" s="1"/>
  <c r="AR182" i="1"/>
  <c r="BM722" i="1"/>
  <c r="BM697" i="1"/>
  <c r="BM706" i="1"/>
  <c r="BM546" i="1"/>
  <c r="BN539" i="1"/>
  <c r="BL587" i="1"/>
  <c r="EF551" i="1"/>
  <c r="DG802" i="1"/>
  <c r="DG763" i="1"/>
  <c r="DH538" i="1"/>
  <c r="DG541" i="1"/>
  <c r="DG817" i="1"/>
  <c r="DG781" i="1"/>
  <c r="DM802" i="1"/>
  <c r="DM763" i="1"/>
  <c r="DN538" i="1"/>
  <c r="DM541" i="1"/>
  <c r="DM817" i="1"/>
  <c r="DM781" i="1"/>
  <c r="FL38" i="1"/>
  <c r="FM29" i="1"/>
  <c r="FL46" i="1"/>
  <c r="FL45" i="1"/>
  <c r="FL43" i="1"/>
  <c r="FL44" i="1"/>
  <c r="AE735" i="1"/>
  <c r="AF735" i="1" s="1"/>
  <c r="AF538" i="1"/>
  <c r="AE541" i="1"/>
  <c r="AE542" i="1" s="1"/>
  <c r="AE543" i="1" s="1"/>
  <c r="AE781" i="1" s="1"/>
  <c r="AE783" i="1" s="1"/>
  <c r="AE738" i="1"/>
  <c r="AF738" i="1" s="1"/>
  <c r="AE736" i="1"/>
  <c r="AF736" i="1" s="1"/>
  <c r="AE737" i="1"/>
  <c r="AF737" i="1" s="1"/>
  <c r="GK270" i="1"/>
  <c r="GL265" i="1"/>
  <c r="GJ272" i="1"/>
  <c r="GK272" i="1" s="1"/>
  <c r="U922" i="1"/>
  <c r="V641" i="1"/>
  <c r="AS735" i="1"/>
  <c r="AT538" i="1"/>
  <c r="AS541" i="1"/>
  <c r="AS738" i="1"/>
  <c r="AS736" i="1"/>
  <c r="AS737" i="1"/>
  <c r="AT513" i="1"/>
  <c r="EK579" i="1"/>
  <c r="EK560" i="1"/>
  <c r="EK554" i="1"/>
  <c r="EL552" i="1"/>
  <c r="EL590" i="1"/>
  <c r="FO603" i="1"/>
  <c r="EJ552" i="1"/>
  <c r="EI554" i="1"/>
  <c r="EI579" i="1"/>
  <c r="EI560" i="1"/>
  <c r="CV513" i="1"/>
  <c r="CU510" i="1"/>
  <c r="CU511" i="1" s="1"/>
  <c r="CX536" i="1"/>
  <c r="CW539" i="1"/>
  <c r="CW587" i="1"/>
  <c r="CX587" i="1" s="1"/>
  <c r="CW538" i="1"/>
  <c r="GX368" i="1"/>
  <c r="GX801" i="1" s="1"/>
  <c r="GR418" i="1"/>
  <c r="GR411" i="1" s="1"/>
  <c r="GQ418" i="1"/>
  <c r="FY265" i="1"/>
  <c r="FX270" i="1"/>
  <c r="FX276" i="1"/>
  <c r="FX277" i="1"/>
  <c r="CS579" i="1"/>
  <c r="CS560" i="1"/>
  <c r="CS554" i="1"/>
  <c r="CB587" i="1"/>
  <c r="GM598" i="1"/>
  <c r="GL607" i="1"/>
  <c r="GM594" i="1"/>
  <c r="DR513" i="1"/>
  <c r="DQ510" i="1"/>
  <c r="EW637" i="1"/>
  <c r="GP632" i="1"/>
  <c r="EX632" i="1"/>
  <c r="EW613" i="1"/>
  <c r="AO722" i="1"/>
  <c r="AO690" i="1"/>
  <c r="AO706" i="1"/>
  <c r="AO697" i="1"/>
  <c r="AO579" i="1"/>
  <c r="AO546" i="1"/>
  <c r="AP539" i="1"/>
  <c r="AP607" i="1"/>
  <c r="DJ587" i="1"/>
  <c r="O722" i="1"/>
  <c r="P722" i="1" s="1"/>
  <c r="O706" i="1"/>
  <c r="P706" i="1" s="1"/>
  <c r="O690" i="1"/>
  <c r="P690" i="1" s="1"/>
  <c r="O641" i="1"/>
  <c r="O579" i="1"/>
  <c r="P539" i="1"/>
  <c r="DP551" i="1"/>
  <c r="GZ531" i="1"/>
  <c r="FS20" i="2" s="1"/>
  <c r="FS22" i="2" s="1"/>
  <c r="GY531" i="1"/>
  <c r="FR20" i="2" s="1"/>
  <c r="FR22" i="2" s="1"/>
  <c r="CD595" i="1"/>
  <c r="BY579" i="1"/>
  <c r="BY560" i="1"/>
  <c r="BY554" i="1"/>
  <c r="GE595" i="1"/>
  <c r="GE602" i="1"/>
  <c r="CE539" i="1"/>
  <c r="CN539" i="1" s="1"/>
  <c r="CF536" i="1"/>
  <c r="CE587" i="1"/>
  <c r="CF587" i="1" s="1"/>
  <c r="CE538" i="1"/>
  <c r="GA603" i="1"/>
  <c r="GP619" i="1"/>
  <c r="GQ619" i="1" s="1"/>
  <c r="GR616" i="1"/>
  <c r="GQ616" i="1"/>
  <c r="CL601" i="1"/>
  <c r="CT601" i="1"/>
  <c r="EB602" i="1"/>
  <c r="BF607" i="1"/>
  <c r="BL551" i="1"/>
  <c r="EF587" i="1"/>
  <c r="EP598" i="1"/>
  <c r="EO607" i="1"/>
  <c r="EP607" i="1" s="1"/>
  <c r="DK722" i="1"/>
  <c r="DK706" i="1"/>
  <c r="DK697" i="1"/>
  <c r="DL539" i="1"/>
  <c r="DK546" i="1"/>
  <c r="BX513" i="1"/>
  <c r="GV915" i="1"/>
  <c r="GW402" i="1"/>
  <c r="FP506" i="2" s="1"/>
  <c r="GX402" i="1"/>
  <c r="FQ506" i="2" s="1"/>
  <c r="GV403" i="1"/>
  <c r="M642" i="1"/>
  <c r="N582" i="1"/>
  <c r="I50" i="1"/>
  <c r="G57" i="1"/>
  <c r="Y722" i="1"/>
  <c r="Y690" i="1"/>
  <c r="Y706" i="1"/>
  <c r="Y697" i="1"/>
  <c r="Y579" i="1"/>
  <c r="Y546" i="1"/>
  <c r="Z539" i="1"/>
  <c r="Z739" i="1"/>
  <c r="BG802" i="1"/>
  <c r="BG763" i="1"/>
  <c r="BG735" i="1"/>
  <c r="BH538" i="1"/>
  <c r="BG541" i="1"/>
  <c r="BG738" i="1"/>
  <c r="BG736" i="1"/>
  <c r="BG817" i="1"/>
  <c r="BG737" i="1"/>
  <c r="AQ735" i="1"/>
  <c r="AR538" i="1"/>
  <c r="AQ541" i="1"/>
  <c r="AQ738" i="1"/>
  <c r="AQ736" i="1"/>
  <c r="AQ737" i="1"/>
  <c r="AR587" i="1"/>
  <c r="CP513" i="1"/>
  <c r="CO510" i="1"/>
  <c r="CO511" i="1" s="1"/>
  <c r="CP511" i="1" s="1"/>
  <c r="GZ586" i="1"/>
  <c r="GY586" i="1"/>
  <c r="GX570" i="1"/>
  <c r="AU735" i="1"/>
  <c r="AV538" i="1"/>
  <c r="AU541" i="1"/>
  <c r="AU738" i="1"/>
  <c r="AU736" i="1"/>
  <c r="AU737" i="1"/>
  <c r="AU739" i="1"/>
  <c r="GX366" i="1"/>
  <c r="GW366" i="1"/>
  <c r="GV367" i="1"/>
  <c r="GO536" i="1"/>
  <c r="GN539" i="1"/>
  <c r="GN587" i="1"/>
  <c r="GN538" i="1"/>
  <c r="DI579" i="1"/>
  <c r="DI560" i="1"/>
  <c r="DI554" i="1"/>
  <c r="DJ552" i="1"/>
  <c r="EN513" i="1"/>
  <c r="EM510" i="1"/>
  <c r="CC579" i="1"/>
  <c r="CC560" i="1"/>
  <c r="CC554" i="1"/>
  <c r="GS116" i="1"/>
  <c r="BM579" i="1"/>
  <c r="BM560" i="1"/>
  <c r="BM554" i="1"/>
  <c r="BN552" i="1"/>
  <c r="BO802" i="1"/>
  <c r="BO763" i="1"/>
  <c r="BO735" i="1"/>
  <c r="BP538" i="1"/>
  <c r="BO541" i="1"/>
  <c r="BO738" i="1"/>
  <c r="BP738" i="1" s="1"/>
  <c r="BO736" i="1"/>
  <c r="BO817" i="1"/>
  <c r="BO737" i="1"/>
  <c r="BP737" i="1" s="1"/>
  <c r="BO739" i="1"/>
  <c r="GQ120" i="1"/>
  <c r="GP128" i="1"/>
  <c r="GR408" i="1"/>
  <c r="GS405" i="1"/>
  <c r="AC698" i="1"/>
  <c r="AC642" i="1"/>
  <c r="AD582" i="1"/>
  <c r="AC630" i="1"/>
  <c r="BA579" i="1"/>
  <c r="BA560" i="1"/>
  <c r="BA554" i="1"/>
  <c r="BB552" i="1"/>
  <c r="FJ557" i="1"/>
  <c r="FJ549" i="1"/>
  <c r="FJ536" i="1"/>
  <c r="FK533" i="1"/>
  <c r="FJ605" i="1"/>
  <c r="FK605" i="1" s="1"/>
  <c r="FJ602" i="1"/>
  <c r="FK602" i="1" s="1"/>
  <c r="FJ591" i="1"/>
  <c r="FK591" i="1" s="1"/>
  <c r="FJ600" i="1"/>
  <c r="FK600" i="1" s="1"/>
  <c r="FJ594" i="1"/>
  <c r="FK594" i="1" s="1"/>
  <c r="FJ590" i="1"/>
  <c r="FK590" i="1" s="1"/>
  <c r="FJ592" i="1"/>
  <c r="FK592" i="1" s="1"/>
  <c r="FJ596" i="1"/>
  <c r="FK596" i="1" s="1"/>
  <c r="FJ595" i="1"/>
  <c r="FK595" i="1" s="1"/>
  <c r="FJ598" i="1"/>
  <c r="FJ601" i="1"/>
  <c r="FK601" i="1" s="1"/>
  <c r="FO598" i="1"/>
  <c r="FN607" i="1"/>
  <c r="FN539" i="1"/>
  <c r="FO536" i="1"/>
  <c r="FN538" i="1"/>
  <c r="FN587" i="1"/>
  <c r="CO722" i="1"/>
  <c r="CO706" i="1"/>
  <c r="CO697" i="1"/>
  <c r="CO546" i="1"/>
  <c r="CP539" i="1"/>
  <c r="DU722" i="1"/>
  <c r="DU706" i="1"/>
  <c r="DU546" i="1"/>
  <c r="DV539" i="1"/>
  <c r="GB552" i="1"/>
  <c r="GB513" i="1"/>
  <c r="GC549" i="1"/>
  <c r="GB551" i="1"/>
  <c r="GC551" i="1" s="1"/>
  <c r="EV636" i="1"/>
  <c r="FQ602" i="1"/>
  <c r="FS602" i="1"/>
  <c r="FQ594" i="1"/>
  <c r="FP551" i="1"/>
  <c r="FP513" i="1"/>
  <c r="FP552" i="1"/>
  <c r="FS552" i="1" s="1"/>
  <c r="Q722" i="1"/>
  <c r="R722" i="1" s="1"/>
  <c r="Q690" i="1"/>
  <c r="R690" i="1" s="1"/>
  <c r="Q706" i="1"/>
  <c r="R706" i="1" s="1"/>
  <c r="Q641" i="1"/>
  <c r="FH641" i="1" s="1"/>
  <c r="Q579" i="1"/>
  <c r="R539" i="1"/>
  <c r="CN587" i="1"/>
  <c r="DZ513" i="1"/>
  <c r="DY510" i="1"/>
  <c r="FD582" i="1"/>
  <c r="FE579" i="1"/>
  <c r="CQ802" i="1"/>
  <c r="CQ763" i="1"/>
  <c r="CQ541" i="1"/>
  <c r="CQ817" i="1"/>
  <c r="CQ781" i="1"/>
  <c r="CQ691" i="1"/>
  <c r="GX244" i="1"/>
  <c r="GW244" i="1"/>
  <c r="FX607" i="1"/>
  <c r="FY598" i="1"/>
  <c r="GS115" i="1"/>
  <c r="DB513" i="1"/>
  <c r="DA510" i="1"/>
  <c r="DA511" i="1" s="1"/>
  <c r="BI579" i="1"/>
  <c r="BI560" i="1"/>
  <c r="BI554" i="1"/>
  <c r="BJ552" i="1"/>
  <c r="DT601" i="1"/>
  <c r="EB601" i="1"/>
  <c r="DS552" i="1"/>
  <c r="DS551" i="1"/>
  <c r="DT551" i="1" s="1"/>
  <c r="DT549" i="1"/>
  <c r="DS513" i="1"/>
  <c r="FS182" i="1"/>
  <c r="FR193" i="1"/>
  <c r="FS193" i="1" s="1"/>
  <c r="CY560" i="1"/>
  <c r="CZ552" i="1"/>
  <c r="CY554" i="1"/>
  <c r="CY579" i="1"/>
  <c r="BC763" i="1"/>
  <c r="BC735" i="1"/>
  <c r="BD735" i="1" s="1"/>
  <c r="BD538" i="1"/>
  <c r="BC541" i="1"/>
  <c r="BC738" i="1"/>
  <c r="BD738" i="1" s="1"/>
  <c r="BC736" i="1"/>
  <c r="BD736" i="1" s="1"/>
  <c r="BC737" i="1"/>
  <c r="BD737" i="1" s="1"/>
  <c r="EB549" i="1"/>
  <c r="EB600" i="1"/>
  <c r="K922" i="1"/>
  <c r="L641" i="1"/>
  <c r="DG560" i="1"/>
  <c r="DH552" i="1"/>
  <c r="DG554" i="1"/>
  <c r="DG579" i="1"/>
  <c r="DL594" i="1"/>
  <c r="FS536" i="1"/>
  <c r="GX407" i="1"/>
  <c r="GW407" i="1"/>
  <c r="BG560" i="1"/>
  <c r="BH552" i="1"/>
  <c r="BG554" i="1"/>
  <c r="BG579" i="1"/>
  <c r="EJ587" i="1"/>
  <c r="GW369" i="1"/>
  <c r="GX369" i="1"/>
  <c r="AY722" i="1"/>
  <c r="AY706" i="1"/>
  <c r="AY697" i="1"/>
  <c r="AY690" i="1"/>
  <c r="AZ539" i="1"/>
  <c r="AY546" i="1"/>
  <c r="CV587" i="1"/>
  <c r="CV607" i="1"/>
  <c r="X690" i="1"/>
  <c r="GK557" i="1"/>
  <c r="GI600" i="1"/>
  <c r="GI591" i="1"/>
  <c r="DR607" i="1"/>
  <c r="ED598" i="1"/>
  <c r="EC607" i="1"/>
  <c r="ED607" i="1" s="1"/>
  <c r="CM510" i="1"/>
  <c r="CM511" i="1" s="1"/>
  <c r="CN511" i="1" s="1"/>
  <c r="CU277" i="1"/>
  <c r="CU278" i="1" s="1"/>
  <c r="CU276" i="1"/>
  <c r="CU270" i="1"/>
  <c r="CV265" i="1"/>
  <c r="CG802" i="1"/>
  <c r="CG763" i="1"/>
  <c r="CG735" i="1"/>
  <c r="CH735" i="1" s="1"/>
  <c r="CH538" i="1"/>
  <c r="CG541" i="1"/>
  <c r="CG738" i="1"/>
  <c r="CH738" i="1" s="1"/>
  <c r="CG736" i="1"/>
  <c r="CH736" i="1" s="1"/>
  <c r="CG737" i="1"/>
  <c r="CH737" i="1" s="1"/>
  <c r="CG817" i="1"/>
  <c r="CG781" i="1"/>
  <c r="CG691" i="1"/>
  <c r="BI722" i="1"/>
  <c r="BI706" i="1"/>
  <c r="BI690" i="1"/>
  <c r="BI697" i="1"/>
  <c r="BI546" i="1"/>
  <c r="BJ539" i="1"/>
  <c r="CI552" i="1"/>
  <c r="CJ549" i="1"/>
  <c r="CI513" i="1"/>
  <c r="CJ513" i="1" s="1"/>
  <c r="CI551" i="1"/>
  <c r="CJ551" i="1" s="1"/>
  <c r="CY722" i="1"/>
  <c r="CZ722" i="1" s="1"/>
  <c r="CY706" i="1"/>
  <c r="CZ706" i="1" s="1"/>
  <c r="CY697" i="1"/>
  <c r="CZ697" i="1" s="1"/>
  <c r="CZ539" i="1"/>
  <c r="CY546" i="1"/>
  <c r="EH513" i="1"/>
  <c r="EG510" i="1"/>
  <c r="BF587" i="1"/>
  <c r="BP513" i="1"/>
  <c r="EF552" i="1"/>
  <c r="EE554" i="1"/>
  <c r="EE579" i="1"/>
  <c r="EE560" i="1"/>
  <c r="FY601" i="1"/>
  <c r="FX552" i="1"/>
  <c r="FY549" i="1"/>
  <c r="FX513" i="1"/>
  <c r="FX551" i="1"/>
  <c r="DH587" i="1"/>
  <c r="DN587" i="1"/>
  <c r="DL602" i="1"/>
  <c r="GV658" i="1"/>
  <c r="GW658" i="1" s="1"/>
  <c r="FM591" i="1"/>
  <c r="FM590" i="1"/>
  <c r="FM536" i="1"/>
  <c r="FL539" i="1"/>
  <c r="FL538" i="1"/>
  <c r="FL739" i="1" s="1"/>
  <c r="FL587" i="1"/>
  <c r="FS600" i="1"/>
  <c r="FD922" i="1"/>
  <c r="FE641" i="1"/>
  <c r="GG298" i="1"/>
  <c r="GF305" i="1"/>
  <c r="GG305" i="1" s="1"/>
  <c r="GF321" i="1"/>
  <c r="GF326" i="1"/>
  <c r="AT587" i="1"/>
  <c r="EL549" i="1"/>
  <c r="FV539" i="1"/>
  <c r="FV538" i="1"/>
  <c r="FV587" i="1"/>
  <c r="EJ513" i="1"/>
  <c r="EI510" i="1"/>
  <c r="GU575" i="1"/>
  <c r="CX598" i="1"/>
  <c r="CW607" i="1"/>
  <c r="CX607" i="1" s="1"/>
  <c r="CX549" i="1"/>
  <c r="CW552" i="1"/>
  <c r="CW551" i="1"/>
  <c r="CX551" i="1" s="1"/>
  <c r="CW513" i="1"/>
  <c r="BG272" i="1"/>
  <c r="BH272" i="1" s="1"/>
  <c r="BH270" i="1"/>
  <c r="BI265" i="1"/>
  <c r="GX236" i="1"/>
  <c r="GY230" i="1"/>
  <c r="GZ230" i="1"/>
  <c r="CA802" i="1"/>
  <c r="CA763" i="1"/>
  <c r="CA735" i="1"/>
  <c r="CB735" i="1" s="1"/>
  <c r="CB538" i="1"/>
  <c r="CA541" i="1"/>
  <c r="CA738" i="1"/>
  <c r="CB738" i="1" s="1"/>
  <c r="CA736" i="1"/>
  <c r="CB736" i="1" s="1"/>
  <c r="CA737" i="1"/>
  <c r="CB737" i="1" s="1"/>
  <c r="CA817" i="1"/>
  <c r="CA781" i="1"/>
  <c r="CA783" i="1" s="1"/>
  <c r="CA691" i="1"/>
  <c r="GM591" i="1"/>
  <c r="GL539" i="1"/>
  <c r="GM536" i="1"/>
  <c r="GL587" i="1"/>
  <c r="GM587" i="1" s="1"/>
  <c r="GL538" i="1"/>
  <c r="BV536" i="1"/>
  <c r="BU539" i="1"/>
  <c r="BU587" i="1"/>
  <c r="BV587" i="1" s="1"/>
  <c r="BU538" i="1"/>
  <c r="DF591" i="1"/>
  <c r="DR551" i="1"/>
  <c r="EU765" i="1"/>
  <c r="EV637" i="1"/>
  <c r="EU814" i="1"/>
  <c r="DI802" i="1"/>
  <c r="DI763" i="1"/>
  <c r="DJ538" i="1"/>
  <c r="DI541" i="1"/>
  <c r="DI817" i="1"/>
  <c r="DI781" i="1"/>
  <c r="GY666" i="1"/>
  <c r="GX667" i="1"/>
  <c r="GZ666" i="1"/>
  <c r="DP552" i="1"/>
  <c r="DO554" i="1"/>
  <c r="DO579" i="1"/>
  <c r="DO560" i="1"/>
  <c r="GY485" i="1"/>
  <c r="GX484" i="1"/>
  <c r="GZ485" i="1"/>
  <c r="GX486" i="1"/>
  <c r="EK20" i="198" s="1"/>
  <c r="CD591" i="1"/>
  <c r="GE600" i="1"/>
  <c r="GE591" i="1"/>
  <c r="BS560" i="1"/>
  <c r="BT552" i="1"/>
  <c r="BS554" i="1"/>
  <c r="BS579" i="1"/>
  <c r="CZ607" i="1"/>
  <c r="CE607" i="1"/>
  <c r="CF607" i="1" s="1"/>
  <c r="CF598" i="1"/>
  <c r="CK552" i="1"/>
  <c r="CT552" i="1" s="1"/>
  <c r="CK513" i="1"/>
  <c r="CL513" i="1" s="1"/>
  <c r="CL549" i="1"/>
  <c r="CK551" i="1"/>
  <c r="CL551" i="1" s="1"/>
  <c r="EB590" i="1"/>
  <c r="BK560" i="1"/>
  <c r="BL552" i="1"/>
  <c r="BK554" i="1"/>
  <c r="BK579" i="1"/>
  <c r="EE802" i="1"/>
  <c r="EE763" i="1"/>
  <c r="EF538" i="1"/>
  <c r="EE541" i="1"/>
  <c r="EE817" i="1"/>
  <c r="EE781" i="1"/>
  <c r="EF607" i="1"/>
  <c r="EP557" i="1"/>
  <c r="DK802" i="1"/>
  <c r="DK763" i="1"/>
  <c r="DL538" i="1"/>
  <c r="DK541" i="1"/>
  <c r="DK817" i="1"/>
  <c r="DK781" i="1"/>
  <c r="DL605" i="1"/>
  <c r="GU403" i="1"/>
  <c r="GT405" i="1"/>
  <c r="FS605" i="1"/>
  <c r="GP376" i="1"/>
  <c r="GS243" i="1"/>
  <c r="GR235" i="1"/>
  <c r="BR536" i="1"/>
  <c r="BQ539" i="1"/>
  <c r="BQ538" i="1"/>
  <c r="BZ538" i="1" s="1"/>
  <c r="BQ587" i="1"/>
  <c r="BR587" i="1" s="1"/>
  <c r="EK802" i="1"/>
  <c r="EK763" i="1"/>
  <c r="ET538" i="1"/>
  <c r="EK817" i="1"/>
  <c r="EK781" i="1"/>
  <c r="EL595" i="1"/>
  <c r="Z607" i="1"/>
  <c r="AR739" i="1"/>
  <c r="CP551" i="1"/>
  <c r="EJ607" i="1"/>
  <c r="AY560" i="1"/>
  <c r="AZ552" i="1"/>
  <c r="AY554" i="1"/>
  <c r="AY579" i="1"/>
  <c r="GV575" i="1"/>
  <c r="GW570" i="1"/>
  <c r="FF561" i="1"/>
  <c r="FF564" i="1" s="1"/>
  <c r="FF558" i="1"/>
  <c r="FF559" i="1" s="1"/>
  <c r="GT370" i="1"/>
  <c r="GU367" i="1"/>
  <c r="CB551" i="1"/>
  <c r="AM722" i="1"/>
  <c r="AM706" i="1"/>
  <c r="AM697" i="1"/>
  <c r="AM690" i="1"/>
  <c r="AM579" i="1"/>
  <c r="AN539" i="1"/>
  <c r="AM546" i="1"/>
  <c r="GK603" i="1"/>
  <c r="AM735" i="1"/>
  <c r="AN735" i="1" s="1"/>
  <c r="AN538" i="1"/>
  <c r="AM541" i="1"/>
  <c r="AM738" i="1"/>
  <c r="AN738" i="1" s="1"/>
  <c r="AM736" i="1"/>
  <c r="AN736" i="1" s="1"/>
  <c r="AM737" i="1"/>
  <c r="AN737" i="1" s="1"/>
  <c r="DV513" i="1"/>
  <c r="DU510" i="1"/>
  <c r="GU498" i="1"/>
  <c r="FF841" i="1"/>
  <c r="FF822" i="1"/>
  <c r="FF832" i="1"/>
  <c r="FF846" i="1"/>
  <c r="FF806" i="1"/>
  <c r="FF842" i="1"/>
  <c r="FF830" i="1"/>
  <c r="FF831" i="1"/>
  <c r="FF843" i="1"/>
  <c r="FF844" i="1" s="1"/>
  <c r="FF808" i="1"/>
  <c r="FF818" i="1"/>
  <c r="FF820" i="1" s="1"/>
  <c r="FF837" i="1"/>
  <c r="FF807" i="1"/>
  <c r="FF836" i="1"/>
  <c r="FF813" i="1"/>
  <c r="FF812" i="1"/>
  <c r="EA722" i="1"/>
  <c r="EA706" i="1"/>
  <c r="EA546" i="1"/>
  <c r="EH607" i="1"/>
  <c r="BE579" i="1"/>
  <c r="BE560" i="1"/>
  <c r="BE554" i="1"/>
  <c r="BF552" i="1"/>
  <c r="GS118" i="1"/>
  <c r="GR246" i="1"/>
  <c r="GQ246" i="1"/>
  <c r="AA641" i="1"/>
  <c r="AA629" i="1"/>
  <c r="AB629" i="1" s="1"/>
  <c r="FS551" i="1"/>
  <c r="FU170" i="1"/>
  <c r="CX603" i="1"/>
  <c r="DF603" i="1"/>
  <c r="AI722" i="1"/>
  <c r="AJ722" i="1" s="1"/>
  <c r="AI706" i="1"/>
  <c r="AJ706" i="1" s="1"/>
  <c r="AI697" i="1"/>
  <c r="AJ697" i="1" s="1"/>
  <c r="AI690" i="1"/>
  <c r="AJ690" i="1" s="1"/>
  <c r="AI579" i="1"/>
  <c r="AJ539" i="1"/>
  <c r="AI546" i="1"/>
  <c r="GP771" i="1"/>
  <c r="GP522" i="1"/>
  <c r="GP253" i="1"/>
  <c r="GQ253" i="1" s="1"/>
  <c r="GQ252" i="1"/>
  <c r="GM603" i="1"/>
  <c r="AN607" i="1"/>
  <c r="GB607" i="1"/>
  <c r="GC607" i="1" s="1"/>
  <c r="GC598" i="1"/>
  <c r="DE579" i="1"/>
  <c r="DE560" i="1"/>
  <c r="DE554" i="1"/>
  <c r="DF552" i="1"/>
  <c r="GQ414" i="1"/>
  <c r="GP420" i="1"/>
  <c r="FQ591" i="1"/>
  <c r="FP607" i="1"/>
  <c r="FQ607" i="1" s="1"/>
  <c r="FQ598" i="1"/>
  <c r="CM802" i="1"/>
  <c r="CM763" i="1"/>
  <c r="CN538" i="1"/>
  <c r="CM541" i="1"/>
  <c r="CM817" i="1"/>
  <c r="CM781" i="1"/>
  <c r="CM691" i="1"/>
  <c r="DW722" i="1"/>
  <c r="DX722" i="1" s="1"/>
  <c r="DW706" i="1"/>
  <c r="DX706" i="1" s="1"/>
  <c r="DX539" i="1"/>
  <c r="DW546" i="1"/>
  <c r="DS607" i="1"/>
  <c r="DT607" i="1" s="1"/>
  <c r="DT598" i="1"/>
  <c r="DS539" i="1"/>
  <c r="EB539" i="1" s="1"/>
  <c r="DT536" i="1"/>
  <c r="DS538" i="1"/>
  <c r="DS587" i="1"/>
  <c r="DT587" i="1" s="1"/>
  <c r="CZ513" i="1"/>
  <c r="CY510" i="1"/>
  <c r="CY511" i="1" s="1"/>
  <c r="GA598" i="1"/>
  <c r="FZ607" i="1"/>
  <c r="GA607" i="1" s="1"/>
  <c r="AX297" i="1"/>
  <c r="AW298" i="1"/>
  <c r="GG536" i="1"/>
  <c r="GF539" i="1"/>
  <c r="GF538" i="1"/>
  <c r="GF587" i="1"/>
  <c r="FF922" i="1"/>
  <c r="FG641" i="1"/>
  <c r="EB551" i="1"/>
  <c r="FO149" i="1"/>
  <c r="FL153" i="1"/>
  <c r="FM149" i="1"/>
  <c r="FL159" i="1"/>
  <c r="FL158" i="1"/>
  <c r="FL160" i="1"/>
  <c r="EG802" i="1"/>
  <c r="EG763" i="1"/>
  <c r="EH538" i="1"/>
  <c r="EG817" i="1"/>
  <c r="EG781" i="1"/>
  <c r="DH513" i="1"/>
  <c r="DG510" i="1"/>
  <c r="DG511" i="1" s="1"/>
  <c r="DH511" i="1" s="1"/>
  <c r="DN513" i="1"/>
  <c r="DM510" i="1"/>
  <c r="ER527" i="1"/>
  <c r="DS16" i="2" s="1"/>
  <c r="DL600" i="1"/>
  <c r="BW722" i="1"/>
  <c r="BX722" i="1" s="1"/>
  <c r="BW706" i="1"/>
  <c r="BX706" i="1" s="1"/>
  <c r="BW697" i="1"/>
  <c r="BX697" i="1" s="1"/>
  <c r="BX539" i="1"/>
  <c r="BW546" i="1"/>
  <c r="AC922" i="1"/>
  <c r="AD641" i="1"/>
  <c r="FT180" i="1"/>
  <c r="FU153" i="1"/>
  <c r="FT154" i="1"/>
  <c r="FU154" i="1" s="1"/>
  <c r="FV149" i="1"/>
  <c r="FR722" i="1"/>
  <c r="FR706" i="1"/>
  <c r="FR690" i="1"/>
  <c r="FR697" i="1"/>
  <c r="FR546" i="1"/>
  <c r="FS539" i="1"/>
  <c r="U698" i="1"/>
  <c r="U642" i="1"/>
  <c r="V582" i="1"/>
  <c r="U630" i="1"/>
  <c r="V630" i="1" s="1"/>
  <c r="BA763" i="1"/>
  <c r="BA735" i="1"/>
  <c r="BB735" i="1" s="1"/>
  <c r="BB538" i="1"/>
  <c r="BA541" i="1"/>
  <c r="BA738" i="1"/>
  <c r="BB738" i="1" s="1"/>
  <c r="BA736" i="1"/>
  <c r="BB736" i="1" s="1"/>
  <c r="BA737" i="1"/>
  <c r="BB737" i="1" s="1"/>
  <c r="AY763" i="1"/>
  <c r="AY735" i="1"/>
  <c r="AZ735" i="1" s="1"/>
  <c r="AZ538" i="1"/>
  <c r="AY541" i="1"/>
  <c r="AY738" i="1"/>
  <c r="AZ738" i="1" s="1"/>
  <c r="AY736" i="1"/>
  <c r="AZ736" i="1" s="1"/>
  <c r="AY737" i="1"/>
  <c r="AZ737" i="1" s="1"/>
  <c r="AY739" i="1"/>
  <c r="AZ739" i="1" s="1"/>
  <c r="W641" i="1"/>
  <c r="X546" i="1"/>
  <c r="W629" i="1"/>
  <c r="X629" i="1" s="1"/>
  <c r="AV607" i="1"/>
  <c r="GK281" i="1"/>
  <c r="GJ287" i="1"/>
  <c r="GJ294" i="1"/>
  <c r="GK294" i="1" s="1"/>
  <c r="GJ293" i="1"/>
  <c r="GK293" i="1" s="1"/>
  <c r="GS370" i="1"/>
  <c r="CS722" i="1"/>
  <c r="CS697" i="1"/>
  <c r="CS706" i="1"/>
  <c r="CS546" i="1"/>
  <c r="GJ607" i="1"/>
  <c r="GK598" i="1"/>
  <c r="GJ552" i="1"/>
  <c r="GJ513" i="1"/>
  <c r="GK549" i="1"/>
  <c r="GJ551" i="1"/>
  <c r="GI598" i="1"/>
  <c r="GH607" i="1"/>
  <c r="GI607" i="1" s="1"/>
  <c r="GI594" i="1"/>
  <c r="GH539" i="1"/>
  <c r="GI536" i="1"/>
  <c r="GH587" i="1"/>
  <c r="GI587" i="1" s="1"/>
  <c r="GH538" i="1"/>
  <c r="AG735" i="1"/>
  <c r="AH538" i="1"/>
  <c r="AG541" i="1"/>
  <c r="AG542" i="1" s="1"/>
  <c r="AG543" i="1" s="1"/>
  <c r="AG781" i="1" s="1"/>
  <c r="AG783" i="1" s="1"/>
  <c r="AG738" i="1"/>
  <c r="AG736" i="1"/>
  <c r="AG737" i="1"/>
  <c r="DF587" i="1"/>
  <c r="DF607" i="1"/>
  <c r="DQ802" i="1"/>
  <c r="DQ763" i="1"/>
  <c r="DR538" i="1"/>
  <c r="DQ541" i="1"/>
  <c r="DQ817" i="1"/>
  <c r="DQ781" i="1"/>
  <c r="ED557" i="1"/>
  <c r="CS297" i="1"/>
  <c r="CG722" i="1"/>
  <c r="CG706" i="1"/>
  <c r="CG697" i="1"/>
  <c r="CG546" i="1"/>
  <c r="CH539" i="1"/>
  <c r="CC722" i="1"/>
  <c r="CC697" i="1"/>
  <c r="CC706" i="1"/>
  <c r="CC546" i="1"/>
  <c r="CD539" i="1"/>
  <c r="CJ592" i="1"/>
  <c r="CR592" i="1"/>
  <c r="CI739" i="1"/>
  <c r="CJ739" i="1" s="1"/>
  <c r="CI539" i="1"/>
  <c r="CR539" i="1" s="1"/>
  <c r="CJ536" i="1"/>
  <c r="CI538" i="1"/>
  <c r="CI587" i="1"/>
  <c r="CJ587" i="1" s="1"/>
  <c r="GW498" i="1"/>
  <c r="BS722" i="1"/>
  <c r="BS706" i="1"/>
  <c r="BS697" i="1"/>
  <c r="BT539" i="1"/>
  <c r="BS546" i="1"/>
  <c r="CZ587" i="1"/>
  <c r="GK596" i="1"/>
  <c r="GX848" i="1"/>
  <c r="BC560" i="1"/>
  <c r="BD552" i="1"/>
  <c r="BC554" i="1"/>
  <c r="BC579" i="1"/>
  <c r="EB594" i="1"/>
  <c r="EH551" i="1"/>
  <c r="BE763" i="1"/>
  <c r="BE735" i="1"/>
  <c r="BF538" i="1"/>
  <c r="BE541" i="1"/>
  <c r="BE738" i="1"/>
  <c r="BE736" i="1"/>
  <c r="BE737" i="1"/>
  <c r="BN587" i="1"/>
  <c r="BN739" i="1"/>
  <c r="BK722" i="1"/>
  <c r="BK706" i="1"/>
  <c r="BK697" i="1"/>
  <c r="BL539" i="1"/>
  <c r="BK546" i="1"/>
  <c r="BP551" i="1"/>
  <c r="EF513" i="1"/>
  <c r="EE510" i="1"/>
  <c r="DM722" i="1"/>
  <c r="DN722" i="1" s="1"/>
  <c r="DM706" i="1"/>
  <c r="DN706" i="1" s="1"/>
  <c r="DM546" i="1"/>
  <c r="DN539" i="1"/>
  <c r="FK39" i="1"/>
  <c r="FJ74" i="1"/>
  <c r="FK74" i="1" s="1"/>
  <c r="DL590" i="1"/>
  <c r="FM595" i="1"/>
  <c r="FL607" i="1"/>
  <c r="FM598" i="1"/>
  <c r="FM600" i="1"/>
  <c r="X607" i="1"/>
  <c r="AS722" i="1"/>
  <c r="AS706" i="1"/>
  <c r="AS690" i="1"/>
  <c r="AS697" i="1"/>
  <c r="AS579" i="1"/>
  <c r="AS546" i="1"/>
  <c r="AT539" i="1"/>
  <c r="EL513" i="1"/>
  <c r="EK510" i="1"/>
  <c r="EL607" i="1"/>
  <c r="FV607" i="1"/>
  <c r="FV513" i="1"/>
  <c r="FV552" i="1"/>
  <c r="FV551" i="1"/>
  <c r="CV551" i="1"/>
  <c r="EW836" i="1"/>
  <c r="EW838" i="1" s="1"/>
  <c r="EW132" i="1"/>
  <c r="EX128" i="1"/>
  <c r="EW129" i="1"/>
  <c r="EX129" i="1" s="1"/>
  <c r="GP416" i="1"/>
  <c r="CT513" i="1"/>
  <c r="CS510" i="1"/>
  <c r="CS511" i="1" s="1"/>
  <c r="CT511" i="1" s="1"/>
  <c r="CB607" i="1"/>
  <c r="GM600" i="1"/>
  <c r="GM605" i="1"/>
  <c r="GM549" i="1"/>
  <c r="GL513" i="1"/>
  <c r="GL552" i="1"/>
  <c r="GL551" i="1"/>
  <c r="GM551" i="1" s="1"/>
  <c r="GA596" i="1"/>
  <c r="BV601" i="1"/>
  <c r="CD601" i="1"/>
  <c r="DQ579" i="1"/>
  <c r="DQ560" i="1"/>
  <c r="DQ554" i="1"/>
  <c r="DR552" i="1"/>
  <c r="EW636" i="1"/>
  <c r="EX633" i="1"/>
  <c r="GP633" i="1"/>
  <c r="GQ633" i="1" s="1"/>
  <c r="AO735" i="1"/>
  <c r="AP735" i="1" s="1"/>
  <c r="AP538" i="1"/>
  <c r="AO738" i="1"/>
  <c r="AP738" i="1" s="1"/>
  <c r="AO541" i="1"/>
  <c r="AO736" i="1"/>
  <c r="AP736" i="1" s="1"/>
  <c r="AO737" i="1"/>
  <c r="AP737" i="1" s="1"/>
  <c r="AP513" i="1"/>
  <c r="GA601" i="1"/>
  <c r="ET378" i="1"/>
  <c r="ES383" i="1"/>
  <c r="DI722" i="1"/>
  <c r="DJ722" i="1" s="1"/>
  <c r="DI697" i="1"/>
  <c r="DJ697" i="1" s="1"/>
  <c r="DI706" i="1"/>
  <c r="DJ706" i="1" s="1"/>
  <c r="DI546" i="1"/>
  <c r="DJ539" i="1"/>
  <c r="GV669" i="1"/>
  <c r="GW669" i="1" s="1"/>
  <c r="GW667" i="1"/>
  <c r="GV877" i="1"/>
  <c r="GX122" i="1"/>
  <c r="GW122" i="1"/>
  <c r="GV123" i="1"/>
  <c r="P538" i="1"/>
  <c r="O541" i="1"/>
  <c r="O542" i="1" s="1"/>
  <c r="O543" i="1" s="1"/>
  <c r="O781" i="1" s="1"/>
  <c r="O783" i="1" s="1"/>
  <c r="DP513" i="1"/>
  <c r="DO510" i="1"/>
  <c r="GV245" i="1"/>
  <c r="GV238" i="1" s="1"/>
  <c r="GW238" i="1" s="1"/>
  <c r="GU245" i="1"/>
  <c r="GT238" i="1"/>
  <c r="GU238" i="1" s="1"/>
  <c r="BZ513" i="1"/>
  <c r="GE598" i="1"/>
  <c r="GD607" i="1"/>
  <c r="GE607" i="1" s="1"/>
  <c r="GE594" i="1"/>
  <c r="GD539" i="1"/>
  <c r="GE536" i="1"/>
  <c r="GD538" i="1"/>
  <c r="GD587" i="1"/>
  <c r="CF601" i="1"/>
  <c r="CN601" i="1"/>
  <c r="EB596" i="1"/>
  <c r="FV297" i="1"/>
  <c r="BL513" i="1"/>
  <c r="EP549" i="1"/>
  <c r="EO552" i="1"/>
  <c r="EO551" i="1"/>
  <c r="EO513" i="1"/>
  <c r="DL587" i="1"/>
  <c r="BX551" i="1"/>
  <c r="AB587" i="1"/>
  <c r="BR549" i="1"/>
  <c r="BQ552" i="1"/>
  <c r="BQ551" i="1"/>
  <c r="BR551" i="1" s="1"/>
  <c r="BQ513" i="1"/>
  <c r="BR513" i="1" s="1"/>
  <c r="AT607" i="1"/>
  <c r="EL600" i="1"/>
  <c r="BG722" i="1"/>
  <c r="BH722" i="1" s="1"/>
  <c r="BG706" i="1"/>
  <c r="BH706" i="1" s="1"/>
  <c r="BG697" i="1"/>
  <c r="BH697" i="1" s="1"/>
  <c r="BG690" i="1"/>
  <c r="BH690" i="1" s="1"/>
  <c r="BH539" i="1"/>
  <c r="BG546" i="1"/>
  <c r="AR513" i="1"/>
  <c r="CO579" i="1"/>
  <c r="CO560" i="1"/>
  <c r="CO554" i="1"/>
  <c r="CP552" i="1"/>
  <c r="AV513" i="1"/>
  <c r="CT600" i="1"/>
  <c r="CA560" i="1"/>
  <c r="CB552" i="1"/>
  <c r="CA554" i="1"/>
  <c r="CA579" i="1"/>
  <c r="FO592" i="1"/>
  <c r="DY802" i="1"/>
  <c r="DY763" i="1"/>
  <c r="DZ538" i="1"/>
  <c r="DY541" i="1"/>
  <c r="DY817" i="1"/>
  <c r="DY781" i="1"/>
  <c r="CR551" i="1"/>
  <c r="DX513" i="1"/>
  <c r="DW510" i="1"/>
  <c r="GZ622" i="1"/>
  <c r="GY622" i="1"/>
  <c r="GX617" i="1"/>
  <c r="GX621" i="1"/>
  <c r="GO557" i="1"/>
  <c r="AK735" i="1"/>
  <c r="AL735" i="1" s="1"/>
  <c r="AL538" i="1"/>
  <c r="AK541" i="1"/>
  <c r="AK738" i="1"/>
  <c r="AL738" i="1" s="1"/>
  <c r="AK736" i="1"/>
  <c r="AL736" i="1" s="1"/>
  <c r="AK737" i="1"/>
  <c r="AL737" i="1" s="1"/>
  <c r="AK739" i="1"/>
  <c r="AL739" i="1" s="1"/>
  <c r="DC294" i="1"/>
  <c r="DC295" i="1" s="1"/>
  <c r="DC293" i="1"/>
  <c r="DD281" i="1"/>
  <c r="DC287" i="1"/>
  <c r="CQ560" i="1"/>
  <c r="CR552" i="1"/>
  <c r="CQ554" i="1"/>
  <c r="CQ579" i="1"/>
  <c r="FK57" i="1"/>
  <c r="FJ75" i="1"/>
  <c r="FJ76" i="1"/>
  <c r="FK76" i="1" s="1"/>
  <c r="CG579" i="1"/>
  <c r="CG560" i="1"/>
  <c r="CG554" i="1"/>
  <c r="CH552" i="1"/>
  <c r="DO802" i="1"/>
  <c r="DO763" i="1"/>
  <c r="DP538" i="1"/>
  <c r="DO541" i="1"/>
  <c r="DO817" i="1"/>
  <c r="DO781" i="1"/>
  <c r="BY722" i="1"/>
  <c r="BY706" i="1"/>
  <c r="BY697" i="1"/>
  <c r="BY546" i="1"/>
  <c r="BZ539" i="1"/>
  <c r="AM739" i="1"/>
  <c r="AN739" i="1" s="1"/>
  <c r="GN552" i="1"/>
  <c r="GO549" i="1"/>
  <c r="GN513" i="1"/>
  <c r="GN551" i="1"/>
  <c r="GO551" i="1" s="1"/>
  <c r="AK722" i="1"/>
  <c r="AL722" i="1" s="1"/>
  <c r="AK690" i="1"/>
  <c r="AL690" i="1" s="1"/>
  <c r="AK706" i="1"/>
  <c r="AL706" i="1" s="1"/>
  <c r="AK697" i="1"/>
  <c r="AL697" i="1" s="1"/>
  <c r="AK579" i="1"/>
  <c r="AK546" i="1"/>
  <c r="AL539" i="1"/>
  <c r="ED603" i="1"/>
  <c r="EL603" i="1"/>
  <c r="DB289" i="1"/>
  <c r="DY722" i="1"/>
  <c r="DY706" i="1"/>
  <c r="DY546" i="1"/>
  <c r="DZ539" i="1"/>
  <c r="CR513" i="1"/>
  <c r="CQ510" i="1"/>
  <c r="CQ511" i="1" s="1"/>
  <c r="CR511" i="1" s="1"/>
  <c r="FM50" i="1"/>
  <c r="FL56" i="1"/>
  <c r="FL61" i="1"/>
  <c r="FM61" i="1" s="1"/>
  <c r="FL60" i="1"/>
  <c r="FM60" i="1" s="1"/>
  <c r="FL62" i="1"/>
  <c r="FM62" i="1" s="1"/>
  <c r="S722" i="1"/>
  <c r="T722" i="1" s="1"/>
  <c r="S706" i="1"/>
  <c r="T706" i="1" s="1"/>
  <c r="S697" i="1"/>
  <c r="AB697" i="1" s="1"/>
  <c r="S690" i="1"/>
  <c r="T690" i="1" s="1"/>
  <c r="S579" i="1"/>
  <c r="T539" i="1"/>
  <c r="S546" i="1"/>
  <c r="AB546" i="1" s="1"/>
  <c r="DJ513" i="1"/>
  <c r="DI510" i="1"/>
  <c r="DI511" i="1" s="1"/>
  <c r="DJ511" i="1" s="1"/>
  <c r="DJ607" i="1"/>
  <c r="GV487" i="1"/>
  <c r="GW487" i="1" s="1"/>
  <c r="GW486" i="1"/>
  <c r="EJ20" i="198" s="1"/>
  <c r="GV11" i="1"/>
  <c r="GW11" i="1" s="1"/>
  <c r="DA802" i="1"/>
  <c r="DA763" i="1"/>
  <c r="DB538" i="1"/>
  <c r="DA541" i="1"/>
  <c r="DA817" i="1"/>
  <c r="DA781" i="1"/>
  <c r="EN551" i="1"/>
  <c r="EV551" i="1"/>
  <c r="GU124" i="1"/>
  <c r="GV124" i="1"/>
  <c r="GT116" i="1"/>
  <c r="EB587" i="1"/>
  <c r="BN513" i="1"/>
  <c r="DK560" i="1"/>
  <c r="DK554" i="1"/>
  <c r="DK579" i="1"/>
  <c r="GR126" i="1"/>
  <c r="GQ126" i="1"/>
  <c r="AB539" i="1"/>
  <c r="AB706" i="1"/>
  <c r="FR510" i="1"/>
  <c r="FR511" i="1" s="1"/>
  <c r="FD841" i="1"/>
  <c r="FD843" i="1"/>
  <c r="FD822" i="1"/>
  <c r="FD846" i="1"/>
  <c r="FD832" i="1"/>
  <c r="FD833" i="1" s="1"/>
  <c r="FD831" i="1"/>
  <c r="FD842" i="1"/>
  <c r="FD818" i="1"/>
  <c r="FD820" i="1" s="1"/>
  <c r="FD807" i="1"/>
  <c r="FD830" i="1"/>
  <c r="FD836" i="1"/>
  <c r="FD808" i="1"/>
  <c r="FD837" i="1"/>
  <c r="FD838" i="1" s="1"/>
  <c r="FD806" i="1"/>
  <c r="FD813" i="1"/>
  <c r="FD812" i="1"/>
  <c r="BB513" i="1"/>
  <c r="BA511" i="1"/>
  <c r="GZ308" i="1"/>
  <c r="GY308" i="1"/>
  <c r="GX507" i="1"/>
  <c r="AW735" i="1"/>
  <c r="AX735" i="1" s="1"/>
  <c r="AX538" i="1"/>
  <c r="AW541" i="1"/>
  <c r="AW738" i="1"/>
  <c r="AX738" i="1" s="1"/>
  <c r="AW736" i="1"/>
  <c r="AX736" i="1" s="1"/>
  <c r="AW737" i="1"/>
  <c r="AX737" i="1" s="1"/>
  <c r="AW739" i="1"/>
  <c r="BF739" i="1" s="1"/>
  <c r="FU179" i="1"/>
  <c r="FT196" i="1"/>
  <c r="FU196" i="1" s="1"/>
  <c r="FT181" i="1"/>
  <c r="FU181" i="1" s="1"/>
  <c r="FT195" i="1"/>
  <c r="FJ603" i="1"/>
  <c r="FK603" i="1" s="1"/>
  <c r="FO596" i="1"/>
  <c r="FN551" i="1"/>
  <c r="FN552" i="1"/>
  <c r="FN513" i="1"/>
  <c r="CO802" i="1"/>
  <c r="CO763" i="1"/>
  <c r="CP538" i="1"/>
  <c r="CO541" i="1"/>
  <c r="CO817" i="1"/>
  <c r="CO691" i="1"/>
  <c r="CO781" i="1"/>
  <c r="AI735" i="1"/>
  <c r="AJ735" i="1" s="1"/>
  <c r="AJ538" i="1"/>
  <c r="AI541" i="1"/>
  <c r="AI738" i="1"/>
  <c r="AJ738" i="1" s="1"/>
  <c r="AI736" i="1"/>
  <c r="AJ736" i="1" s="1"/>
  <c r="AI737" i="1"/>
  <c r="AJ737" i="1" s="1"/>
  <c r="FQ601" i="1"/>
  <c r="GC536" i="1"/>
  <c r="GB539" i="1"/>
  <c r="GB538" i="1"/>
  <c r="GB587" i="1"/>
  <c r="FQ595" i="1"/>
  <c r="FS595" i="1"/>
  <c r="FQ590" i="1"/>
  <c r="FS590" i="1"/>
  <c r="CN607" i="1"/>
  <c r="DY579" i="1"/>
  <c r="DY560" i="1"/>
  <c r="DY554" i="1"/>
  <c r="DZ552" i="1"/>
  <c r="FD561" i="1"/>
  <c r="FD564" i="1" s="1"/>
  <c r="FD558" i="1"/>
  <c r="FD559" i="1" s="1"/>
  <c r="GP380" i="1"/>
  <c r="GP378" i="1"/>
  <c r="GQ373" i="1"/>
  <c r="DD592" i="1"/>
  <c r="DL592" i="1"/>
  <c r="DC607" i="1"/>
  <c r="DD607" i="1" s="1"/>
  <c r="DD598" i="1"/>
  <c r="DC552" i="1"/>
  <c r="DL552" i="1" s="1"/>
  <c r="DC551" i="1"/>
  <c r="DD551" i="1" s="1"/>
  <c r="DD549" i="1"/>
  <c r="DC513" i="1"/>
  <c r="DL513" i="1" s="1"/>
  <c r="DA579" i="1"/>
  <c r="DA560" i="1"/>
  <c r="DA554" i="1"/>
  <c r="DB552" i="1"/>
  <c r="DX587" i="1"/>
  <c r="BJ513" i="1"/>
  <c r="EM722" i="1"/>
  <c r="EM706" i="1"/>
  <c r="EM697" i="1"/>
  <c r="EN539" i="1"/>
  <c r="EM546" i="1"/>
  <c r="DT557" i="1"/>
  <c r="GZ415" i="1"/>
  <c r="GY415" i="1"/>
  <c r="FZ539" i="1"/>
  <c r="GA536" i="1"/>
  <c r="FZ587" i="1"/>
  <c r="FZ538" i="1"/>
  <c r="GX412" i="1"/>
  <c r="GZ406" i="1"/>
  <c r="GY406" i="1"/>
  <c r="BC722" i="1"/>
  <c r="BC706" i="1"/>
  <c r="BC697" i="1"/>
  <c r="BC690" i="1"/>
  <c r="BD539" i="1"/>
  <c r="BC546" i="1"/>
  <c r="EB552" i="1"/>
  <c r="EA554" i="1"/>
  <c r="EA579" i="1"/>
  <c r="EA560" i="1"/>
  <c r="EH587" i="1"/>
  <c r="DN551" i="1"/>
  <c r="BX587" i="1"/>
  <c r="BW739" i="1"/>
  <c r="BX739" i="1" s="1"/>
  <c r="FR802" i="1"/>
  <c r="FR763" i="1"/>
  <c r="FS538" i="1"/>
  <c r="FR543" i="1"/>
  <c r="FR817" i="1"/>
  <c r="FR781" i="1"/>
  <c r="FR783" i="1" s="1"/>
  <c r="FR691" i="1"/>
  <c r="FS607" i="1"/>
  <c r="GY31" i="1"/>
  <c r="BA722" i="1"/>
  <c r="BB722" i="1" s="1"/>
  <c r="BA690" i="1"/>
  <c r="BB690" i="1" s="1"/>
  <c r="BA706" i="1"/>
  <c r="BB706" i="1" s="1"/>
  <c r="BA697" i="1"/>
  <c r="BB697" i="1" s="1"/>
  <c r="BA546" i="1"/>
  <c r="BB539" i="1"/>
  <c r="ET522" i="1"/>
  <c r="EI722" i="1"/>
  <c r="EJ722" i="1" s="1"/>
  <c r="EI706" i="1"/>
  <c r="EJ706" i="1" s="1"/>
  <c r="EI697" i="1"/>
  <c r="EJ697" i="1" s="1"/>
  <c r="EJ539" i="1"/>
  <c r="EI546" i="1"/>
  <c r="CU722" i="1"/>
  <c r="CV722" i="1" s="1"/>
  <c r="CU706" i="1"/>
  <c r="CV706" i="1" s="1"/>
  <c r="CU697" i="1"/>
  <c r="CV697" i="1" s="1"/>
  <c r="CV539" i="1"/>
  <c r="CU546" i="1"/>
  <c r="X706" i="1"/>
  <c r="GH297" i="1"/>
  <c r="GI289" i="1"/>
  <c r="GK590" i="1"/>
  <c r="GK591" i="1"/>
  <c r="GI595" i="1"/>
  <c r="GI605" i="1"/>
  <c r="GI549" i="1"/>
  <c r="GH552" i="1"/>
  <c r="GH513" i="1"/>
  <c r="GH551" i="1"/>
  <c r="GI551" i="1" s="1"/>
  <c r="AG722" i="1"/>
  <c r="AH722" i="1" s="1"/>
  <c r="AG690" i="1"/>
  <c r="AH690" i="1" s="1"/>
  <c r="AG697" i="1"/>
  <c r="AH697" i="1" s="1"/>
  <c r="AG706" i="1"/>
  <c r="AH706" i="1" s="1"/>
  <c r="AG579" i="1"/>
  <c r="AG546" i="1"/>
  <c r="AH539" i="1"/>
  <c r="AG739" i="1"/>
  <c r="AH739" i="1" s="1"/>
  <c r="DE802" i="1"/>
  <c r="DE763" i="1"/>
  <c r="DF538" i="1"/>
  <c r="DE541" i="1"/>
  <c r="DE817" i="1"/>
  <c r="DE781" i="1"/>
  <c r="DQ722" i="1"/>
  <c r="DR722" i="1" s="1"/>
  <c r="DQ706" i="1"/>
  <c r="DR706" i="1" s="1"/>
  <c r="DQ546" i="1"/>
  <c r="DR539" i="1"/>
  <c r="ED536" i="1"/>
  <c r="EC539" i="1"/>
  <c r="EC587" i="1"/>
  <c r="ED587" i="1" s="1"/>
  <c r="EC538" i="1"/>
  <c r="GI601" i="1"/>
  <c r="EW842" i="1"/>
  <c r="EW384" i="1"/>
  <c r="EW387" i="1"/>
  <c r="EX383" i="1"/>
  <c r="EW10" i="1"/>
  <c r="BJ587" i="1"/>
  <c r="BI739" i="1"/>
  <c r="BJ739" i="1" s="1"/>
  <c r="CJ601" i="1"/>
  <c r="CR601" i="1"/>
  <c r="CI607" i="1"/>
  <c r="CJ607" i="1" s="1"/>
  <c r="CJ598" i="1"/>
  <c r="BT587" i="1"/>
  <c r="BS739" i="1"/>
  <c r="CY802" i="1"/>
  <c r="CY763" i="1"/>
  <c r="CZ538" i="1"/>
  <c r="CY541" i="1"/>
  <c r="CY817" i="1"/>
  <c r="CY781" i="1"/>
  <c r="GZ15" i="1"/>
  <c r="GY15" i="1"/>
  <c r="BD513" i="1"/>
  <c r="BC511" i="1"/>
  <c r="EB591" i="1"/>
  <c r="FY287" i="1"/>
  <c r="FZ281" i="1"/>
  <c r="FX289" i="1"/>
  <c r="EG579" i="1"/>
  <c r="EG560" i="1"/>
  <c r="EG554" i="1"/>
  <c r="EH552" i="1"/>
  <c r="BE722" i="1"/>
  <c r="BF722" i="1" s="1"/>
  <c r="BE690" i="1"/>
  <c r="BF690" i="1" s="1"/>
  <c r="BE706" i="1"/>
  <c r="BF706" i="1" s="1"/>
  <c r="BE697" i="1"/>
  <c r="BF697" i="1" s="1"/>
  <c r="BE546" i="1"/>
  <c r="BF539" i="1"/>
  <c r="BM802" i="1"/>
  <c r="BM763" i="1"/>
  <c r="BM735" i="1"/>
  <c r="BN735" i="1" s="1"/>
  <c r="BN538" i="1"/>
  <c r="BM541" i="1"/>
  <c r="BM738" i="1"/>
  <c r="BN738" i="1" s="1"/>
  <c r="BM736" i="1"/>
  <c r="BN736" i="1" s="1"/>
  <c r="BM737" i="1"/>
  <c r="BN737" i="1" s="1"/>
  <c r="BM817" i="1"/>
  <c r="BK802" i="1"/>
  <c r="BK763" i="1"/>
  <c r="BK735" i="1"/>
  <c r="BL735" i="1" s="1"/>
  <c r="BL538" i="1"/>
  <c r="BK738" i="1"/>
  <c r="BL738" i="1" s="1"/>
  <c r="BK541" i="1"/>
  <c r="BK736" i="1"/>
  <c r="BL736" i="1" s="1"/>
  <c r="BK817" i="1"/>
  <c r="BK737" i="1"/>
  <c r="BL737" i="1" s="1"/>
  <c r="BK739" i="1"/>
  <c r="BL739" i="1" s="1"/>
  <c r="BO560" i="1"/>
  <c r="BP552" i="1"/>
  <c r="BO554" i="1"/>
  <c r="BO579" i="1"/>
  <c r="FY603" i="1"/>
  <c r="FY590" i="1"/>
  <c r="FY536" i="1"/>
  <c r="FX539" i="1"/>
  <c r="FX538" i="1"/>
  <c r="FX587" i="1"/>
  <c r="FY587" i="1" s="1"/>
  <c r="DG722" i="1"/>
  <c r="DH722" i="1" s="1"/>
  <c r="DG706" i="1"/>
  <c r="DH706" i="1" s="1"/>
  <c r="DG697" i="1"/>
  <c r="DH697" i="1" s="1"/>
  <c r="DH539" i="1"/>
  <c r="DG546" i="1"/>
  <c r="DL591" i="1"/>
  <c r="AE722" i="1"/>
  <c r="AF722" i="1" s="1"/>
  <c r="AE706" i="1"/>
  <c r="AF706" i="1" s="1"/>
  <c r="AE697" i="1"/>
  <c r="AF697" i="1" s="1"/>
  <c r="AE690" i="1"/>
  <c r="AF690" i="1" s="1"/>
  <c r="AE579" i="1"/>
  <c r="AF539" i="1"/>
  <c r="AE546" i="1"/>
  <c r="BX607" i="1"/>
  <c r="GZ676" i="1"/>
  <c r="GY676" i="1"/>
  <c r="GX657" i="1"/>
  <c r="GX658" i="1"/>
  <c r="GY656" i="1"/>
  <c r="GZ656" i="1"/>
  <c r="FM601" i="1"/>
  <c r="FM594" i="1"/>
  <c r="FM605" i="1"/>
  <c r="FL551" i="1"/>
  <c r="FL513" i="1"/>
  <c r="FL552" i="1"/>
  <c r="EW841" i="1"/>
  <c r="EW426" i="1"/>
  <c r="EW423" i="1"/>
  <c r="EX422" i="1"/>
  <c r="EU383" i="1"/>
  <c r="EL551" i="1"/>
  <c r="ET551" i="1"/>
  <c r="EL598" i="1"/>
  <c r="EJ551" i="1"/>
  <c r="ER551" i="1"/>
  <c r="CU560" i="1"/>
  <c r="CV552" i="1"/>
  <c r="CU554" i="1"/>
  <c r="CU579" i="1"/>
  <c r="GV236" i="1"/>
  <c r="GW236" i="1" s="1"/>
  <c r="CT551" i="1"/>
  <c r="CA722" i="1"/>
  <c r="CB722" i="1" s="1"/>
  <c r="CA706" i="1"/>
  <c r="CB706" i="1" s="1"/>
  <c r="CA697" i="1"/>
  <c r="CB697" i="1" s="1"/>
  <c r="CB539" i="1"/>
  <c r="CA546" i="1"/>
  <c r="GM590" i="1"/>
  <c r="GM595" i="1"/>
  <c r="GM602" i="1"/>
  <c r="GM557" i="1"/>
  <c r="BV592" i="1"/>
  <c r="CD592" i="1"/>
  <c r="BV598" i="1"/>
  <c r="BU607" i="1"/>
  <c r="BV607" i="1" s="1"/>
  <c r="BV549" i="1"/>
  <c r="BU552" i="1"/>
  <c r="CD552" i="1" s="1"/>
  <c r="BU551" i="1"/>
  <c r="BV551" i="1" s="1"/>
  <c r="BU513" i="1"/>
  <c r="BV513" i="1" s="1"/>
  <c r="DF602" i="1"/>
  <c r="GX374" i="1"/>
  <c r="EV613" i="1"/>
  <c r="AP587" i="1"/>
  <c r="AO739" i="1"/>
  <c r="AP739" i="1" s="1"/>
  <c r="EV519" i="1"/>
  <c r="CR602" i="1"/>
  <c r="FT549" i="1"/>
  <c r="FW549" i="1" s="1"/>
  <c r="FT557" i="1"/>
  <c r="FT536" i="1"/>
  <c r="FU533" i="1"/>
  <c r="FT605" i="1"/>
  <c r="FU605" i="1" s="1"/>
  <c r="FT594" i="1"/>
  <c r="FU594" i="1" s="1"/>
  <c r="FT591" i="1"/>
  <c r="FU591" i="1" s="1"/>
  <c r="FT600" i="1"/>
  <c r="FU600" i="1" s="1"/>
  <c r="FT602" i="1"/>
  <c r="FU602" i="1" s="1"/>
  <c r="FT595" i="1"/>
  <c r="FU595" i="1" s="1"/>
  <c r="FT590" i="1"/>
  <c r="FU590" i="1" s="1"/>
  <c r="FT598" i="1"/>
  <c r="FT601" i="1"/>
  <c r="FU601" i="1" s="1"/>
  <c r="FT592" i="1"/>
  <c r="FU592" i="1" s="1"/>
  <c r="FT596" i="1"/>
  <c r="FU596" i="1" s="1"/>
  <c r="GU123" i="1"/>
  <c r="GT115" i="1"/>
  <c r="CD602" i="1"/>
  <c r="BZ551" i="1"/>
  <c r="GE590" i="1"/>
  <c r="GE605" i="1"/>
  <c r="GD513" i="1"/>
  <c r="GD552" i="1"/>
  <c r="GE549" i="1"/>
  <c r="GD551" i="1"/>
  <c r="GE551" i="1" s="1"/>
  <c r="CF592" i="1"/>
  <c r="CN592" i="1"/>
  <c r="CE552" i="1"/>
  <c r="CF549" i="1"/>
  <c r="CE513" i="1"/>
  <c r="CF513" i="1" s="1"/>
  <c r="CE551" i="1"/>
  <c r="CF551" i="1" s="1"/>
  <c r="CL592" i="1"/>
  <c r="CT592" i="1"/>
  <c r="CL598" i="1"/>
  <c r="CK607" i="1"/>
  <c r="CL607" i="1" s="1"/>
  <c r="CL536" i="1"/>
  <c r="CK539" i="1"/>
  <c r="CK538" i="1"/>
  <c r="CT538" i="1" s="1"/>
  <c r="CK587" i="1"/>
  <c r="CL587" i="1" s="1"/>
  <c r="EB557" i="1"/>
  <c r="EQ841" i="1"/>
  <c r="EQ844" i="1" s="1"/>
  <c r="ER422" i="1"/>
  <c r="EQ426" i="1"/>
  <c r="EQ423" i="1"/>
  <c r="EQ10" i="1"/>
  <c r="ER10" i="1" s="1"/>
  <c r="AS170" i="1"/>
  <c r="AU164" i="1"/>
  <c r="AS179" i="1"/>
  <c r="AT169" i="1"/>
  <c r="EE722" i="1"/>
  <c r="EF722" i="1" s="1"/>
  <c r="EE706" i="1"/>
  <c r="EF706" i="1" s="1"/>
  <c r="EE697" i="1"/>
  <c r="EF697" i="1" s="1"/>
  <c r="EF539" i="1"/>
  <c r="EE546" i="1"/>
  <c r="DH607" i="1"/>
  <c r="EP536" i="1"/>
  <c r="EO539" i="1"/>
  <c r="EO543" i="1"/>
  <c r="EP543" i="1" s="1"/>
  <c r="EO538" i="1"/>
  <c r="EO587" i="1"/>
  <c r="EP587" i="1" s="1"/>
  <c r="DL536" i="1"/>
  <c r="DL607" i="1"/>
  <c r="BW560" i="1"/>
  <c r="BX552" i="1"/>
  <c r="BW554" i="1"/>
  <c r="BW579" i="1"/>
  <c r="AB538" i="1"/>
  <c r="GT883" i="1"/>
  <c r="GT787" i="1"/>
  <c r="GT243" i="1"/>
  <c r="GV242" i="1"/>
  <c r="GU242" i="1"/>
  <c r="BR598" i="1"/>
  <c r="BQ607" i="1"/>
  <c r="BR607" i="1" s="1"/>
  <c r="BB607" i="1"/>
  <c r="EK722" i="1"/>
  <c r="EK706" i="1"/>
  <c r="EK697" i="1"/>
  <c r="EK546" i="1"/>
  <c r="EL539" i="1"/>
  <c r="Y735" i="1"/>
  <c r="Z735" i="1" s="1"/>
  <c r="Z538" i="1"/>
  <c r="Y541" i="1"/>
  <c r="Y542" i="1" s="1"/>
  <c r="Y543" i="1" s="1"/>
  <c r="Y781" i="1" s="1"/>
  <c r="Y783" i="1" s="1"/>
  <c r="Y738" i="1"/>
  <c r="Z738" i="1" s="1"/>
  <c r="Y736" i="1"/>
  <c r="Z736" i="1" s="1"/>
  <c r="Y737" i="1"/>
  <c r="Z737" i="1" s="1"/>
  <c r="Z587" i="1"/>
  <c r="BH587" i="1"/>
  <c r="BG739" i="1"/>
  <c r="BH739" i="1" s="1"/>
  <c r="AQ722" i="1"/>
  <c r="AR722" i="1" s="1"/>
  <c r="AQ706" i="1"/>
  <c r="AR706" i="1" s="1"/>
  <c r="AQ697" i="1"/>
  <c r="AR697" i="1" s="1"/>
  <c r="AQ690" i="1"/>
  <c r="AR690" i="1" s="1"/>
  <c r="AQ579" i="1"/>
  <c r="AR539" i="1"/>
  <c r="AQ546" i="1"/>
  <c r="AZ513" i="1"/>
  <c r="AY511" i="1"/>
  <c r="AZ607" i="1"/>
  <c r="AV587" i="1"/>
  <c r="AU722" i="1"/>
  <c r="AV722" i="1" s="1"/>
  <c r="AU706" i="1"/>
  <c r="AV706" i="1" s="1"/>
  <c r="AU697" i="1"/>
  <c r="AV697" i="1" s="1"/>
  <c r="AU690" i="1"/>
  <c r="AV690" i="1" s="1"/>
  <c r="AU579" i="1"/>
  <c r="AV539" i="1"/>
  <c r="AU546" i="1"/>
  <c r="FF692" i="1"/>
  <c r="FG692" i="1" s="1"/>
  <c r="FF693" i="1"/>
  <c r="FG693" i="1" s="1"/>
  <c r="FF582" i="1"/>
  <c r="FG579" i="1"/>
  <c r="AS180" i="1"/>
  <c r="AT153" i="1"/>
  <c r="AS154" i="1"/>
  <c r="AT154" i="1" s="1"/>
  <c r="AU149" i="1"/>
  <c r="CT602" i="1"/>
  <c r="CB513" i="1"/>
  <c r="GC603" i="1"/>
  <c r="GA592" i="1"/>
  <c r="EX423" i="1" l="1"/>
  <c r="CZ518" i="198"/>
  <c r="DX525" i="2"/>
  <c r="CY518" i="198"/>
  <c r="DW525" i="2"/>
  <c r="DA514" i="198"/>
  <c r="DA18" i="198"/>
  <c r="DY521" i="2"/>
  <c r="ER423" i="1"/>
  <c r="CT518" i="198"/>
  <c r="DR525" i="2"/>
  <c r="CU18" i="198"/>
  <c r="CU19" i="198" s="1"/>
  <c r="CU514" i="198"/>
  <c r="DS521" i="2"/>
  <c r="FK534" i="2"/>
  <c r="EE527" i="198"/>
  <c r="EC512" i="198"/>
  <c r="FI519" i="2"/>
  <c r="DU525" i="2"/>
  <c r="CW518" i="198"/>
  <c r="ED527" i="198"/>
  <c r="FJ534" i="2"/>
  <c r="EX384" i="1"/>
  <c r="DX484" i="2"/>
  <c r="CZ477" i="198"/>
  <c r="DY480" i="2"/>
  <c r="DA17" i="198"/>
  <c r="DA19" i="198" s="1"/>
  <c r="DA473" i="198"/>
  <c r="CY469" i="198"/>
  <c r="DW476" i="2"/>
  <c r="CX473" i="198"/>
  <c r="CX474" i="198" s="1"/>
  <c r="CX17" i="198"/>
  <c r="CX19" i="198" s="1"/>
  <c r="DV480" i="2"/>
  <c r="DV481" i="2"/>
  <c r="DW478" i="2"/>
  <c r="CY471" i="198"/>
  <c r="CV473" i="198"/>
  <c r="CV474" i="198" s="1"/>
  <c r="DT480" i="2"/>
  <c r="DT481" i="2" s="1"/>
  <c r="CV17" i="198"/>
  <c r="CV19" i="198" s="1"/>
  <c r="EC469" i="198"/>
  <c r="FI476" i="2"/>
  <c r="DU478" i="2"/>
  <c r="CW471" i="198"/>
  <c r="ED466" i="198"/>
  <c r="FJ473" i="2"/>
  <c r="FI478" i="2"/>
  <c r="EC471" i="198"/>
  <c r="EC486" i="198"/>
  <c r="FI493" i="2"/>
  <c r="DX71" i="2"/>
  <c r="CZ62" i="198"/>
  <c r="DX35" i="2"/>
  <c r="CZ30" i="198"/>
  <c r="CY61" i="198"/>
  <c r="DW70" i="2"/>
  <c r="CY62" i="198"/>
  <c r="DW71" i="2"/>
  <c r="CY30" i="198"/>
  <c r="DW35" i="2"/>
  <c r="CZ61" i="198"/>
  <c r="DX70" i="2"/>
  <c r="FR518" i="2"/>
  <c r="EL511" i="198"/>
  <c r="EL500" i="198"/>
  <c r="FR507" i="2"/>
  <c r="EK467" i="198"/>
  <c r="FQ474" i="2"/>
  <c r="EF463" i="198"/>
  <c r="FL470" i="2"/>
  <c r="EG463" i="198"/>
  <c r="FM470" i="2"/>
  <c r="EJ503" i="198"/>
  <c r="FP510" i="2"/>
  <c r="EF501" i="198"/>
  <c r="FL508" i="2"/>
  <c r="EJ470" i="198"/>
  <c r="FP477" i="2"/>
  <c r="FR509" i="2"/>
  <c r="EL502" i="198"/>
  <c r="EK462" i="198"/>
  <c r="FQ469" i="2"/>
  <c r="EI460" i="198"/>
  <c r="FO467" i="2"/>
  <c r="EK461" i="198"/>
  <c r="FQ468" i="2"/>
  <c r="EM502" i="198"/>
  <c r="FS509" i="2"/>
  <c r="EM511" i="198"/>
  <c r="FS518" i="2"/>
  <c r="EJ462" i="198"/>
  <c r="FP469" i="2"/>
  <c r="EE504" i="198"/>
  <c r="FK511" i="2"/>
  <c r="EJ459" i="198"/>
  <c r="FP466" i="2"/>
  <c r="EK458" i="198"/>
  <c r="FQ465" i="2"/>
  <c r="EM500" i="198"/>
  <c r="FS507" i="2"/>
  <c r="FQ510" i="2"/>
  <c r="EK503" i="198"/>
  <c r="EE507" i="198"/>
  <c r="FK514" i="2"/>
  <c r="FQ515" i="2"/>
  <c r="EK508" i="198"/>
  <c r="EH460" i="198"/>
  <c r="FN467" i="2"/>
  <c r="EG501" i="198"/>
  <c r="FM508" i="2"/>
  <c r="EK459" i="198"/>
  <c r="FQ466" i="2"/>
  <c r="EK470" i="198"/>
  <c r="FQ477" i="2"/>
  <c r="FP515" i="2"/>
  <c r="EJ508" i="198"/>
  <c r="FH922" i="1"/>
  <c r="FI641" i="1"/>
  <c r="AZ511" i="1"/>
  <c r="AY510" i="1"/>
  <c r="BH511" i="1"/>
  <c r="AU693" i="1"/>
  <c r="AU692" i="1"/>
  <c r="AV579" i="1"/>
  <c r="AU582" i="1"/>
  <c r="AQ641" i="1"/>
  <c r="AR546" i="1"/>
  <c r="AQ629" i="1"/>
  <c r="AS196" i="1"/>
  <c r="AT196" i="1" s="1"/>
  <c r="AS195" i="1"/>
  <c r="AT179" i="1"/>
  <c r="AS181" i="1"/>
  <c r="AT181" i="1" s="1"/>
  <c r="GU115" i="1"/>
  <c r="AU159" i="1"/>
  <c r="AU158" i="1"/>
  <c r="AV149" i="1"/>
  <c r="AU160" i="1"/>
  <c r="AU153" i="1"/>
  <c r="AU641" i="1"/>
  <c r="AV546" i="1"/>
  <c r="AU629" i="1"/>
  <c r="EK783" i="1"/>
  <c r="EK764" i="1"/>
  <c r="EK694" i="1"/>
  <c r="EK690" i="1"/>
  <c r="EK641" i="1"/>
  <c r="EK629" i="1"/>
  <c r="GV883" i="1"/>
  <c r="GV787" i="1"/>
  <c r="GX242" i="1"/>
  <c r="GW242" i="1"/>
  <c r="GV243" i="1"/>
  <c r="BW561" i="1"/>
  <c r="BW558" i="1"/>
  <c r="BW559" i="1" s="1"/>
  <c r="EO802" i="1"/>
  <c r="EO763" i="1"/>
  <c r="EP538" i="1"/>
  <c r="EX538" i="1"/>
  <c r="EO817" i="1"/>
  <c r="EO781" i="1"/>
  <c r="AU174" i="1"/>
  <c r="AV164" i="1"/>
  <c r="AU176" i="1"/>
  <c r="AU169" i="1"/>
  <c r="AU175" i="1"/>
  <c r="ER426" i="1"/>
  <c r="EQ428" i="1"/>
  <c r="CK739" i="1"/>
  <c r="CL739" i="1" s="1"/>
  <c r="CE560" i="1"/>
  <c r="CF552" i="1"/>
  <c r="CE554" i="1"/>
  <c r="CE579" i="1"/>
  <c r="FT607" i="1"/>
  <c r="FU607" i="1" s="1"/>
  <c r="FU598" i="1"/>
  <c r="CU561" i="1"/>
  <c r="CU558" i="1"/>
  <c r="CU559" i="1" s="1"/>
  <c r="FW605" i="1"/>
  <c r="FL510" i="1"/>
  <c r="FL511" i="1" s="1"/>
  <c r="AE693" i="1"/>
  <c r="AF693" i="1" s="1"/>
  <c r="AE692" i="1"/>
  <c r="AF692" i="1" s="1"/>
  <c r="AF579" i="1"/>
  <c r="AE582" i="1"/>
  <c r="FX802" i="1"/>
  <c r="FX763" i="1"/>
  <c r="FX543" i="1"/>
  <c r="FY538" i="1"/>
  <c r="FX817" i="1"/>
  <c r="FX781" i="1"/>
  <c r="FX783" i="1" s="1"/>
  <c r="FX691" i="1"/>
  <c r="BO561" i="1"/>
  <c r="BO558" i="1"/>
  <c r="BO559" i="1" s="1"/>
  <c r="EH560" i="1"/>
  <c r="EG561" i="1"/>
  <c r="EG558" i="1"/>
  <c r="CZ541" i="1"/>
  <c r="CY542" i="1"/>
  <c r="BT739" i="1"/>
  <c r="EC802" i="1"/>
  <c r="EC763" i="1"/>
  <c r="ED538" i="1"/>
  <c r="EC541" i="1"/>
  <c r="EC817" i="1"/>
  <c r="EC781" i="1"/>
  <c r="AG641" i="1"/>
  <c r="AH546" i="1"/>
  <c r="AG629" i="1"/>
  <c r="GH579" i="1"/>
  <c r="GI552" i="1"/>
  <c r="GH560" i="1"/>
  <c r="GH554" i="1"/>
  <c r="EA640" i="1"/>
  <c r="EA17" i="1"/>
  <c r="BD690" i="1"/>
  <c r="GY412" i="1"/>
  <c r="GZ412" i="1"/>
  <c r="EN697" i="1"/>
  <c r="DA561" i="1"/>
  <c r="DA558" i="1"/>
  <c r="DA559" i="1" s="1"/>
  <c r="GQ380" i="1"/>
  <c r="GR380" i="1"/>
  <c r="DY640" i="1"/>
  <c r="DZ554" i="1"/>
  <c r="DY17" i="1"/>
  <c r="GC587" i="1"/>
  <c r="AJ541" i="1"/>
  <c r="AI542" i="1"/>
  <c r="FD814" i="1"/>
  <c r="GU116" i="1"/>
  <c r="DB541" i="1"/>
  <c r="DA542" i="1"/>
  <c r="DZ722" i="1"/>
  <c r="DP541" i="1"/>
  <c r="DO542" i="1"/>
  <c r="CQ640" i="1"/>
  <c r="CQ17" i="1"/>
  <c r="GY621" i="1"/>
  <c r="GZ621" i="1"/>
  <c r="DX510" i="1"/>
  <c r="DW511" i="1"/>
  <c r="DY843" i="1"/>
  <c r="DY846" i="1"/>
  <c r="DY832" i="1"/>
  <c r="DY831" i="1"/>
  <c r="DY822" i="1"/>
  <c r="DY808" i="1"/>
  <c r="DY837" i="1"/>
  <c r="DY842" i="1"/>
  <c r="DY836" i="1"/>
  <c r="DY830" i="1"/>
  <c r="DY807" i="1"/>
  <c r="DY813" i="1"/>
  <c r="DY841" i="1"/>
  <c r="DY806" i="1"/>
  <c r="DY809" i="1" s="1"/>
  <c r="DY812" i="1"/>
  <c r="DY818" i="1"/>
  <c r="DY820" i="1" s="1"/>
  <c r="EL587" i="1"/>
  <c r="BQ579" i="1"/>
  <c r="BQ560" i="1"/>
  <c r="BQ554" i="1"/>
  <c r="BR552" i="1"/>
  <c r="GD802" i="1"/>
  <c r="GD763" i="1"/>
  <c r="GE538" i="1"/>
  <c r="GD543" i="1"/>
  <c r="GD817" i="1"/>
  <c r="GD781" i="1"/>
  <c r="GD783" i="1" s="1"/>
  <c r="AP541" i="1"/>
  <c r="AO542" i="1"/>
  <c r="DQ640" i="1"/>
  <c r="DR554" i="1"/>
  <c r="DQ17" i="1"/>
  <c r="GM513" i="1"/>
  <c r="GL510" i="1"/>
  <c r="FW592" i="1"/>
  <c r="AT690" i="1"/>
  <c r="EF510" i="1"/>
  <c r="EE511" i="1"/>
  <c r="EF511" i="1" s="1"/>
  <c r="BF738" i="1"/>
  <c r="BC640" i="1"/>
  <c r="BC647" i="1" s="1"/>
  <c r="BC566" i="1" s="1"/>
  <c r="BD566" i="1" s="1"/>
  <c r="BD554" i="1"/>
  <c r="CI802" i="1"/>
  <c r="CI763" i="1"/>
  <c r="CI735" i="1"/>
  <c r="CJ735" i="1" s="1"/>
  <c r="CJ538" i="1"/>
  <c r="CI541" i="1"/>
  <c r="CI738" i="1"/>
  <c r="CJ738" i="1" s="1"/>
  <c r="CI736" i="1"/>
  <c r="CJ736" i="1" s="1"/>
  <c r="CI817" i="1"/>
  <c r="CI737" i="1"/>
  <c r="CJ737" i="1" s="1"/>
  <c r="CI781" i="1"/>
  <c r="CI691" i="1"/>
  <c r="CG783" i="1"/>
  <c r="CG690" i="1"/>
  <c r="CG641" i="1"/>
  <c r="CG764" i="1" s="1"/>
  <c r="CH546" i="1"/>
  <c r="CG629" i="1"/>
  <c r="CS298" i="1"/>
  <c r="AH737" i="1"/>
  <c r="GJ554" i="1"/>
  <c r="GJ579" i="1"/>
  <c r="GJ560" i="1"/>
  <c r="GK552" i="1"/>
  <c r="CS783" i="1"/>
  <c r="CS694" i="1"/>
  <c r="CS690" i="1"/>
  <c r="CS641" i="1"/>
  <c r="CS629" i="1"/>
  <c r="AZ541" i="1"/>
  <c r="AY542" i="1"/>
  <c r="FR641" i="1"/>
  <c r="FR629" i="1"/>
  <c r="FU180" i="1"/>
  <c r="FT194" i="1"/>
  <c r="FU194" i="1" s="1"/>
  <c r="DN510" i="1"/>
  <c r="DM511" i="1"/>
  <c r="DN511" i="1" s="1"/>
  <c r="EG843" i="1"/>
  <c r="EG831" i="1"/>
  <c r="EG846" i="1"/>
  <c r="EG832" i="1"/>
  <c r="EG807" i="1"/>
  <c r="EG822" i="1"/>
  <c r="EG808" i="1"/>
  <c r="EG837" i="1"/>
  <c r="EG841" i="1"/>
  <c r="EG842" i="1"/>
  <c r="EG836" i="1"/>
  <c r="EG830" i="1"/>
  <c r="EG813" i="1"/>
  <c r="EG818" i="1"/>
  <c r="EG806" i="1"/>
  <c r="EG812" i="1"/>
  <c r="GF722" i="1"/>
  <c r="GF706" i="1"/>
  <c r="GF697" i="1"/>
  <c r="GG539" i="1"/>
  <c r="GF546" i="1"/>
  <c r="DL551" i="1"/>
  <c r="BE640" i="1"/>
  <c r="BE647" i="1" s="1"/>
  <c r="BE566" i="1" s="1"/>
  <c r="BF566" i="1" s="1"/>
  <c r="BF554" i="1"/>
  <c r="EA783" i="1"/>
  <c r="EA694" i="1"/>
  <c r="EA690" i="1"/>
  <c r="EA641" i="1"/>
  <c r="EA764" i="1" s="1"/>
  <c r="EA629" i="1"/>
  <c r="FF814" i="1"/>
  <c r="FF838" i="1"/>
  <c r="DV510" i="1"/>
  <c r="DU511" i="1"/>
  <c r="DV511" i="1" s="1"/>
  <c r="AN690" i="1"/>
  <c r="AY561" i="1"/>
  <c r="AZ561" i="1" s="1"/>
  <c r="AY558" i="1"/>
  <c r="AY559" i="1" s="1"/>
  <c r="BQ739" i="1"/>
  <c r="BR739" i="1" s="1"/>
  <c r="BK640" i="1"/>
  <c r="BK647" i="1" s="1"/>
  <c r="BK566" i="1" s="1"/>
  <c r="BL566" i="1" s="1"/>
  <c r="BL554" i="1"/>
  <c r="BS693" i="1"/>
  <c r="BS692" i="1"/>
  <c r="BS582" i="1"/>
  <c r="BT579" i="1"/>
  <c r="DO693" i="1"/>
  <c r="DO692" i="1"/>
  <c r="DP692" i="1" s="1"/>
  <c r="DO582" i="1"/>
  <c r="DP579" i="1"/>
  <c r="GY667" i="1"/>
  <c r="GZ667" i="1"/>
  <c r="GX669" i="1"/>
  <c r="DJ541" i="1"/>
  <c r="DI542" i="1"/>
  <c r="CR607" i="1"/>
  <c r="BU722" i="1"/>
  <c r="BV722" i="1" s="1"/>
  <c r="BU706" i="1"/>
  <c r="BV706" i="1" s="1"/>
  <c r="BU697" i="1"/>
  <c r="BV697" i="1" s="1"/>
  <c r="BU546" i="1"/>
  <c r="BV539" i="1"/>
  <c r="FW602" i="1"/>
  <c r="FY513" i="1"/>
  <c r="FX510" i="1"/>
  <c r="FX511" i="1" s="1"/>
  <c r="EE561" i="1"/>
  <c r="EF560" i="1"/>
  <c r="EE558" i="1"/>
  <c r="CD587" i="1"/>
  <c r="BJ690" i="1"/>
  <c r="AZ722" i="1"/>
  <c r="BG693" i="1"/>
  <c r="BG692" i="1"/>
  <c r="BH579" i="1"/>
  <c r="BG582" i="1"/>
  <c r="DG693" i="1"/>
  <c r="DG692" i="1"/>
  <c r="DG582" i="1"/>
  <c r="DH579" i="1"/>
  <c r="DT513" i="1"/>
  <c r="DS510" i="1"/>
  <c r="BI561" i="1"/>
  <c r="BI558" i="1"/>
  <c r="BI559" i="1" s="1"/>
  <c r="FY607" i="1"/>
  <c r="CR538" i="1"/>
  <c r="FD642" i="1"/>
  <c r="FE582" i="1"/>
  <c r="FQ513" i="1"/>
  <c r="FP510" i="1"/>
  <c r="FP511" i="1" s="1"/>
  <c r="CP722" i="1"/>
  <c r="FN722" i="1"/>
  <c r="FN706" i="1"/>
  <c r="FN690" i="1"/>
  <c r="FN697" i="1"/>
  <c r="FN546" i="1"/>
  <c r="FO539" i="1"/>
  <c r="FK598" i="1"/>
  <c r="FJ607" i="1"/>
  <c r="FJ551" i="1"/>
  <c r="FJ552" i="1"/>
  <c r="FJ513" i="1"/>
  <c r="BA640" i="1"/>
  <c r="BA647" i="1" s="1"/>
  <c r="BA566" i="1" s="1"/>
  <c r="BB566" i="1" s="1"/>
  <c r="BB554" i="1"/>
  <c r="GS411" i="1"/>
  <c r="BP736" i="1"/>
  <c r="BP735" i="1"/>
  <c r="EB607" i="1"/>
  <c r="EN510" i="1"/>
  <c r="EM511" i="1"/>
  <c r="EN511" i="1" s="1"/>
  <c r="DI561" i="1"/>
  <c r="DI558" i="1"/>
  <c r="DI559" i="1" s="1"/>
  <c r="GN722" i="1"/>
  <c r="GN706" i="1"/>
  <c r="GN697" i="1"/>
  <c r="GO539" i="1"/>
  <c r="GN546" i="1"/>
  <c r="AV736" i="1"/>
  <c r="AV735" i="1"/>
  <c r="AR736" i="1"/>
  <c r="AR735" i="1"/>
  <c r="BH738" i="1"/>
  <c r="Y641" i="1"/>
  <c r="Z546" i="1"/>
  <c r="Y629" i="1"/>
  <c r="Z629" i="1" s="1"/>
  <c r="Z690" i="1"/>
  <c r="I61" i="1"/>
  <c r="I60" i="1"/>
  <c r="I56" i="1"/>
  <c r="I62" i="1"/>
  <c r="DT697" i="1"/>
  <c r="GT616" i="1"/>
  <c r="GR619" i="1"/>
  <c r="GS619" i="1" s="1"/>
  <c r="GS616" i="1"/>
  <c r="BY640" i="1"/>
  <c r="BY647" i="1" s="1"/>
  <c r="BY566" i="1" s="1"/>
  <c r="BY567" i="1"/>
  <c r="BZ554" i="1"/>
  <c r="AO641" i="1"/>
  <c r="AP546" i="1"/>
  <c r="AO629" i="1"/>
  <c r="AP629" i="1" s="1"/>
  <c r="AP690" i="1"/>
  <c r="GQ632" i="1"/>
  <c r="GR633" i="1"/>
  <c r="GR632" i="1"/>
  <c r="GP613" i="1"/>
  <c r="CS692" i="1"/>
  <c r="CS693" i="1"/>
  <c r="CS582" i="1"/>
  <c r="CW802" i="1"/>
  <c r="CW763" i="1"/>
  <c r="CX538" i="1"/>
  <c r="CW541" i="1"/>
  <c r="CW817" i="1"/>
  <c r="CW781" i="1"/>
  <c r="CV511" i="1"/>
  <c r="EI640" i="1"/>
  <c r="EJ554" i="1"/>
  <c r="EI17" i="1"/>
  <c r="FW600" i="1"/>
  <c r="EK561" i="1"/>
  <c r="EK558" i="1"/>
  <c r="AT736" i="1"/>
  <c r="AT735" i="1"/>
  <c r="FM592" i="1"/>
  <c r="DH541" i="1"/>
  <c r="DG542" i="1"/>
  <c r="BM690" i="1"/>
  <c r="BN690" i="1" s="1"/>
  <c r="BM641" i="1"/>
  <c r="BN546" i="1"/>
  <c r="BM629" i="1"/>
  <c r="ES528" i="1"/>
  <c r="DT17" i="2" s="1"/>
  <c r="ES429" i="1"/>
  <c r="ET429" i="1" s="1"/>
  <c r="ET428" i="1"/>
  <c r="BT737" i="1"/>
  <c r="BT738" i="1"/>
  <c r="BS846" i="1"/>
  <c r="BS822" i="1"/>
  <c r="BS831" i="1"/>
  <c r="BS832" i="1"/>
  <c r="BS843" i="1"/>
  <c r="BS837" i="1"/>
  <c r="BS841" i="1"/>
  <c r="BS836" i="1"/>
  <c r="BS842" i="1"/>
  <c r="BS807" i="1"/>
  <c r="BS830" i="1"/>
  <c r="BS808" i="1"/>
  <c r="BS813" i="1"/>
  <c r="BS806" i="1"/>
  <c r="BS818" i="1"/>
  <c r="BS812" i="1"/>
  <c r="EX522" i="1"/>
  <c r="CC782" i="1"/>
  <c r="BJ541" i="1"/>
  <c r="BI542" i="1"/>
  <c r="BI832" i="1"/>
  <c r="BI846" i="1"/>
  <c r="BI822" i="1"/>
  <c r="BI808" i="1"/>
  <c r="BI831" i="1"/>
  <c r="BI843" i="1"/>
  <c r="BI807" i="1"/>
  <c r="BI836" i="1"/>
  <c r="BI837" i="1"/>
  <c r="BI838" i="1" s="1"/>
  <c r="BI841" i="1"/>
  <c r="BI830" i="1"/>
  <c r="BI842" i="1"/>
  <c r="BI813" i="1"/>
  <c r="BI812" i="1"/>
  <c r="BI806" i="1"/>
  <c r="BI818" i="1"/>
  <c r="BI820" i="1" s="1"/>
  <c r="CM693" i="1"/>
  <c r="CM692" i="1"/>
  <c r="CN579" i="1"/>
  <c r="CM582" i="1"/>
  <c r="ED513" i="1"/>
  <c r="EC510" i="1"/>
  <c r="GJ802" i="1"/>
  <c r="GJ763" i="1"/>
  <c r="GJ543" i="1"/>
  <c r="GK538" i="1"/>
  <c r="GJ817" i="1"/>
  <c r="GJ781" i="1"/>
  <c r="GJ783" i="1" s="1"/>
  <c r="CV541" i="1"/>
  <c r="CU542" i="1"/>
  <c r="EV522" i="1"/>
  <c r="FI536" i="1"/>
  <c r="FH539" i="1"/>
  <c r="FH587" i="1"/>
  <c r="FI587" i="1" s="1"/>
  <c r="FH538" i="1"/>
  <c r="EH706" i="1"/>
  <c r="DC802" i="1"/>
  <c r="DC763" i="1"/>
  <c r="DD538" i="1"/>
  <c r="DC541" i="1"/>
  <c r="DC817" i="1"/>
  <c r="DC781" i="1"/>
  <c r="CM783" i="1"/>
  <c r="CM764" i="1"/>
  <c r="CM694" i="1"/>
  <c r="CM690" i="1"/>
  <c r="CM641" i="1"/>
  <c r="CM629" i="1"/>
  <c r="FQ587" i="1"/>
  <c r="DU843" i="1"/>
  <c r="DU832" i="1"/>
  <c r="DU846" i="1"/>
  <c r="DU841" i="1"/>
  <c r="DU837" i="1"/>
  <c r="DU808" i="1"/>
  <c r="DU822" i="1"/>
  <c r="DU831" i="1"/>
  <c r="DU830" i="1"/>
  <c r="DU842" i="1"/>
  <c r="DU836" i="1"/>
  <c r="DU807" i="1"/>
  <c r="DU813" i="1"/>
  <c r="DU812" i="1"/>
  <c r="DU814" i="1" s="1"/>
  <c r="DU818" i="1"/>
  <c r="DU820" i="1" s="1"/>
  <c r="DU806" i="1"/>
  <c r="AX697" i="1"/>
  <c r="FR640" i="1"/>
  <c r="FM603" i="1"/>
  <c r="BP706" i="1"/>
  <c r="GX125" i="1"/>
  <c r="GW125" i="1"/>
  <c r="GV118" i="1"/>
  <c r="EA843" i="1"/>
  <c r="EA822" i="1"/>
  <c r="EA846" i="1"/>
  <c r="EA832" i="1"/>
  <c r="EA837" i="1"/>
  <c r="EA831" i="1"/>
  <c r="EA807" i="1"/>
  <c r="EA841" i="1"/>
  <c r="EA830" i="1"/>
  <c r="EA842" i="1"/>
  <c r="EA808" i="1"/>
  <c r="EA813" i="1"/>
  <c r="EA836" i="1"/>
  <c r="EA812" i="1"/>
  <c r="EA806" i="1"/>
  <c r="EA809" i="1" s="1"/>
  <c r="EA818" i="1"/>
  <c r="EA820" i="1" s="1"/>
  <c r="CD551" i="1"/>
  <c r="DB706" i="1"/>
  <c r="DP706" i="1"/>
  <c r="GO607" i="1"/>
  <c r="DV560" i="1"/>
  <c r="DU561" i="1"/>
  <c r="DU558" i="1"/>
  <c r="GU243" i="1"/>
  <c r="GT235" i="1"/>
  <c r="BW693" i="1"/>
  <c r="BX693" i="1" s="1"/>
  <c r="BW692" i="1"/>
  <c r="BX692" i="1" s="1"/>
  <c r="BX579" i="1"/>
  <c r="BW582" i="1"/>
  <c r="EE783" i="1"/>
  <c r="EE764" i="1"/>
  <c r="EE694" i="1"/>
  <c r="EE690" i="1"/>
  <c r="EE641" i="1"/>
  <c r="EF546" i="1"/>
  <c r="EE629" i="1"/>
  <c r="AS182" i="1"/>
  <c r="AT170" i="1"/>
  <c r="CK802" i="1"/>
  <c r="CK763" i="1"/>
  <c r="CK735" i="1"/>
  <c r="CL735" i="1" s="1"/>
  <c r="CL538" i="1"/>
  <c r="CK541" i="1"/>
  <c r="CK738" i="1"/>
  <c r="CL738" i="1" s="1"/>
  <c r="CK736" i="1"/>
  <c r="CL736" i="1" s="1"/>
  <c r="CK817" i="1"/>
  <c r="CK737" i="1"/>
  <c r="CL737" i="1" s="1"/>
  <c r="CK691" i="1"/>
  <c r="CK781" i="1"/>
  <c r="GD579" i="1"/>
  <c r="GD560" i="1"/>
  <c r="GE552" i="1"/>
  <c r="GD554" i="1"/>
  <c r="FU536" i="1"/>
  <c r="FT539" i="1"/>
  <c r="FT538" i="1"/>
  <c r="FT587" i="1"/>
  <c r="FU587" i="1" s="1"/>
  <c r="CA690" i="1"/>
  <c r="CA641" i="1"/>
  <c r="CB546" i="1"/>
  <c r="CA629" i="1"/>
  <c r="CU693" i="1"/>
  <c r="CV693" i="1" s="1"/>
  <c r="CU692" i="1"/>
  <c r="CV692" i="1" s="1"/>
  <c r="CV579" i="1"/>
  <c r="CU582" i="1"/>
  <c r="FW594" i="1"/>
  <c r="EW428" i="1"/>
  <c r="EX426" i="1"/>
  <c r="GY658" i="1"/>
  <c r="GZ658" i="1"/>
  <c r="FX722" i="1"/>
  <c r="FX706" i="1"/>
  <c r="FX697" i="1"/>
  <c r="FY539" i="1"/>
  <c r="FX546" i="1"/>
  <c r="BO693" i="1"/>
  <c r="BP693" i="1" s="1"/>
  <c r="BO692" i="1"/>
  <c r="BP692" i="1" s="1"/>
  <c r="BP579" i="1"/>
  <c r="BO582" i="1"/>
  <c r="BL541" i="1"/>
  <c r="BK542" i="1"/>
  <c r="BE764" i="1"/>
  <c r="BE641" i="1"/>
  <c r="BF546" i="1"/>
  <c r="BE629" i="1"/>
  <c r="EG692" i="1"/>
  <c r="EG693" i="1"/>
  <c r="EG582" i="1"/>
  <c r="EH579" i="1"/>
  <c r="EW844" i="1"/>
  <c r="DQ783" i="1"/>
  <c r="DQ694" i="1"/>
  <c r="DQ690" i="1"/>
  <c r="DQ641" i="1"/>
  <c r="DR546" i="1"/>
  <c r="DQ629" i="1"/>
  <c r="DE843" i="1"/>
  <c r="DE832" i="1"/>
  <c r="DE846" i="1"/>
  <c r="DE841" i="1"/>
  <c r="DE831" i="1"/>
  <c r="DE822" i="1"/>
  <c r="DE808" i="1"/>
  <c r="DE837" i="1"/>
  <c r="DE807" i="1"/>
  <c r="DE830" i="1"/>
  <c r="DE836" i="1"/>
  <c r="DE842" i="1"/>
  <c r="DE812" i="1"/>
  <c r="DE813" i="1"/>
  <c r="DE818" i="1"/>
  <c r="DE820" i="1" s="1"/>
  <c r="DE806" i="1"/>
  <c r="DE809" i="1" s="1"/>
  <c r="AG693" i="1"/>
  <c r="AG692" i="1"/>
  <c r="AG582" i="1"/>
  <c r="AH579" i="1"/>
  <c r="CU783" i="1"/>
  <c r="CU694" i="1"/>
  <c r="CU690" i="1"/>
  <c r="CV690" i="1" s="1"/>
  <c r="CU641" i="1"/>
  <c r="CV546" i="1"/>
  <c r="CU629" i="1"/>
  <c r="CV629" i="1" s="1"/>
  <c r="FR846" i="1"/>
  <c r="FR832" i="1"/>
  <c r="FR822" i="1"/>
  <c r="FR841" i="1"/>
  <c r="FR831" i="1"/>
  <c r="FR808" i="1"/>
  <c r="FR842" i="1"/>
  <c r="FR836" i="1"/>
  <c r="FR807" i="1"/>
  <c r="FR843" i="1"/>
  <c r="FR837" i="1"/>
  <c r="FR818" i="1"/>
  <c r="FR820" i="1" s="1"/>
  <c r="FR830" i="1"/>
  <c r="FR812" i="1"/>
  <c r="FR806" i="1"/>
  <c r="FR809" i="1" s="1"/>
  <c r="FR813" i="1"/>
  <c r="BD697" i="1"/>
  <c r="FZ722" i="1"/>
  <c r="FZ706" i="1"/>
  <c r="GA706" i="1" s="1"/>
  <c r="FZ697" i="1"/>
  <c r="GA697" i="1" s="1"/>
  <c r="FZ546" i="1"/>
  <c r="GA539" i="1"/>
  <c r="EN706" i="1"/>
  <c r="DA692" i="1"/>
  <c r="DB692" i="1" s="1"/>
  <c r="DA693" i="1"/>
  <c r="DB693" i="1" s="1"/>
  <c r="DA582" i="1"/>
  <c r="DB579" i="1"/>
  <c r="DC560" i="1"/>
  <c r="DD552" i="1"/>
  <c r="DC554" i="1"/>
  <c r="DC579" i="1"/>
  <c r="DZ560" i="1"/>
  <c r="DY561" i="1"/>
  <c r="DY558" i="1"/>
  <c r="GB802" i="1"/>
  <c r="GB763" i="1"/>
  <c r="GB543" i="1"/>
  <c r="GC538" i="1"/>
  <c r="GB817" i="1"/>
  <c r="GB781" i="1"/>
  <c r="GB783" i="1" s="1"/>
  <c r="CO843" i="1"/>
  <c r="CO832" i="1"/>
  <c r="CO846" i="1"/>
  <c r="CO841" i="1"/>
  <c r="CO822" i="1"/>
  <c r="CO831" i="1"/>
  <c r="CO837" i="1"/>
  <c r="CO808" i="1"/>
  <c r="CO836" i="1"/>
  <c r="CO807" i="1"/>
  <c r="CO842" i="1"/>
  <c r="CO813" i="1"/>
  <c r="CO830" i="1"/>
  <c r="CO806" i="1"/>
  <c r="CO818" i="1"/>
  <c r="CO820" i="1" s="1"/>
  <c r="CO812" i="1"/>
  <c r="CO814" i="1" s="1"/>
  <c r="GS126" i="1"/>
  <c r="GR119" i="1"/>
  <c r="GT126" i="1"/>
  <c r="DK561" i="1"/>
  <c r="DK558" i="1"/>
  <c r="DK559" i="1" s="1"/>
  <c r="GX124" i="1"/>
  <c r="GW124" i="1"/>
  <c r="GV116" i="1"/>
  <c r="S693" i="1"/>
  <c r="T693" i="1" s="1"/>
  <c r="S692" i="1"/>
  <c r="T692" i="1" s="1"/>
  <c r="T579" i="1"/>
  <c r="S582" i="1"/>
  <c r="FL57" i="1"/>
  <c r="FM56" i="1"/>
  <c r="FN50" i="1"/>
  <c r="GO513" i="1"/>
  <c r="GN510" i="1"/>
  <c r="CG640" i="1"/>
  <c r="CG647" i="1" s="1"/>
  <c r="CG566" i="1" s="1"/>
  <c r="CH566" i="1" s="1"/>
  <c r="CH554" i="1"/>
  <c r="FJ77" i="1"/>
  <c r="FK77" i="1" s="1"/>
  <c r="FK75" i="1"/>
  <c r="GY617" i="1"/>
  <c r="GZ617" i="1"/>
  <c r="DZ541" i="1"/>
  <c r="EH541" i="1"/>
  <c r="DY542" i="1"/>
  <c r="CA561" i="1"/>
  <c r="CA558" i="1"/>
  <c r="CA559" i="1" s="1"/>
  <c r="CO640" i="1"/>
  <c r="CP554" i="1"/>
  <c r="CO17" i="1"/>
  <c r="BG764" i="1"/>
  <c r="BG641" i="1"/>
  <c r="BH546" i="1"/>
  <c r="BG629" i="1"/>
  <c r="EP513" i="1"/>
  <c r="EO510" i="1"/>
  <c r="GX877" i="1"/>
  <c r="GY122" i="1"/>
  <c r="GX123" i="1"/>
  <c r="GZ122" i="1"/>
  <c r="DR560" i="1"/>
  <c r="DQ561" i="1"/>
  <c r="DQ558" i="1"/>
  <c r="FW590" i="1"/>
  <c r="AS641" i="1"/>
  <c r="AT546" i="1"/>
  <c r="AS629" i="1"/>
  <c r="AT706" i="1"/>
  <c r="DM783" i="1"/>
  <c r="DM694" i="1"/>
  <c r="DM690" i="1"/>
  <c r="DM641" i="1"/>
  <c r="DM764" i="1" s="1"/>
  <c r="DN546" i="1"/>
  <c r="DM629" i="1"/>
  <c r="BL697" i="1"/>
  <c r="BF541" i="1"/>
  <c r="BE542" i="1"/>
  <c r="BT697" i="1"/>
  <c r="CD697" i="1"/>
  <c r="CH697" i="1"/>
  <c r="DQ843" i="1"/>
  <c r="DQ832" i="1"/>
  <c r="DQ846" i="1"/>
  <c r="DQ831" i="1"/>
  <c r="DQ837" i="1"/>
  <c r="DQ808" i="1"/>
  <c r="DQ822" i="1"/>
  <c r="DQ842" i="1"/>
  <c r="DQ841" i="1"/>
  <c r="DQ830" i="1"/>
  <c r="DQ813" i="1"/>
  <c r="DQ807" i="1"/>
  <c r="DQ836" i="1"/>
  <c r="DQ812" i="1"/>
  <c r="DQ818" i="1"/>
  <c r="DQ820" i="1" s="1"/>
  <c r="DQ806" i="1"/>
  <c r="AH736" i="1"/>
  <c r="AH735" i="1"/>
  <c r="GH722" i="1"/>
  <c r="GI722" i="1" s="1"/>
  <c r="GH706" i="1"/>
  <c r="GI706" i="1" s="1"/>
  <c r="GH697" i="1"/>
  <c r="GI697" i="1" s="1"/>
  <c r="GH546" i="1"/>
  <c r="GI539" i="1"/>
  <c r="GK551" i="1"/>
  <c r="GK287" i="1"/>
  <c r="GL281" i="1"/>
  <c r="GJ289" i="1"/>
  <c r="V642" i="1"/>
  <c r="U612" i="1"/>
  <c r="FV153" i="1"/>
  <c r="FW149" i="1"/>
  <c r="FV160" i="1"/>
  <c r="FV158" i="1"/>
  <c r="FV159" i="1"/>
  <c r="EG820" i="1"/>
  <c r="FM153" i="1"/>
  <c r="FL154" i="1"/>
  <c r="FO153" i="1"/>
  <c r="DS802" i="1"/>
  <c r="DS763" i="1"/>
  <c r="DT538" i="1"/>
  <c r="DS541" i="1"/>
  <c r="DS817" i="1"/>
  <c r="DS781" i="1"/>
  <c r="CM843" i="1"/>
  <c r="CM822" i="1"/>
  <c r="CM846" i="1"/>
  <c r="CM831" i="1"/>
  <c r="CM832" i="1"/>
  <c r="CM837" i="1"/>
  <c r="CM841" i="1"/>
  <c r="CM807" i="1"/>
  <c r="CM842" i="1"/>
  <c r="CM808" i="1"/>
  <c r="CM813" i="1"/>
  <c r="CM836" i="1"/>
  <c r="CM830" i="1"/>
  <c r="CM806" i="1"/>
  <c r="CM812" i="1"/>
  <c r="CM814" i="1" s="1"/>
  <c r="CM818" i="1"/>
  <c r="CM820" i="1" s="1"/>
  <c r="DE640" i="1"/>
  <c r="DE17" i="1"/>
  <c r="AI641" i="1"/>
  <c r="AJ546" i="1"/>
  <c r="AI629" i="1"/>
  <c r="AJ629" i="1" s="1"/>
  <c r="AA922" i="1"/>
  <c r="BE561" i="1"/>
  <c r="BF561" i="1" s="1"/>
  <c r="BE558" i="1"/>
  <c r="BE559" i="1" s="1"/>
  <c r="FF833" i="1"/>
  <c r="AN541" i="1"/>
  <c r="AM542" i="1"/>
  <c r="AM641" i="1"/>
  <c r="AN546" i="1"/>
  <c r="AM629" i="1"/>
  <c r="AN697" i="1"/>
  <c r="AY693" i="1"/>
  <c r="AY692" i="1"/>
  <c r="AY582" i="1"/>
  <c r="AZ579" i="1"/>
  <c r="EL538" i="1"/>
  <c r="BQ802" i="1"/>
  <c r="BQ763" i="1"/>
  <c r="BQ735" i="1"/>
  <c r="BR735" i="1" s="1"/>
  <c r="BR538" i="1"/>
  <c r="BQ541" i="1"/>
  <c r="BQ738" i="1"/>
  <c r="BR738" i="1" s="1"/>
  <c r="BQ736" i="1"/>
  <c r="BR736" i="1" s="1"/>
  <c r="BQ817" i="1"/>
  <c r="BQ737" i="1"/>
  <c r="BR737" i="1" s="1"/>
  <c r="GS235" i="1"/>
  <c r="GU405" i="1"/>
  <c r="GT408" i="1"/>
  <c r="DK843" i="1"/>
  <c r="DK846" i="1"/>
  <c r="DK822" i="1"/>
  <c r="DK831" i="1"/>
  <c r="DK832" i="1"/>
  <c r="DK833" i="1" s="1"/>
  <c r="DK837" i="1"/>
  <c r="DK830" i="1"/>
  <c r="DK842" i="1"/>
  <c r="DK836" i="1"/>
  <c r="DK808" i="1"/>
  <c r="DK807" i="1"/>
  <c r="DK841" i="1"/>
  <c r="DK813" i="1"/>
  <c r="DK806" i="1"/>
  <c r="DK809" i="1" s="1"/>
  <c r="DK812" i="1"/>
  <c r="DK818" i="1"/>
  <c r="DK820" i="1" s="1"/>
  <c r="BS640" i="1"/>
  <c r="BS647" i="1" s="1"/>
  <c r="BS566" i="1" s="1"/>
  <c r="BT566" i="1" s="1"/>
  <c r="BT554" i="1"/>
  <c r="GY484" i="1"/>
  <c r="GZ484" i="1"/>
  <c r="DO640" i="1"/>
  <c r="DP554" i="1"/>
  <c r="DO17" i="1"/>
  <c r="GZ236" i="1"/>
  <c r="GY236" i="1"/>
  <c r="CX513" i="1"/>
  <c r="CW510" i="1"/>
  <c r="CW511" i="1" s="1"/>
  <c r="CX511" i="1" s="1"/>
  <c r="FV802" i="1"/>
  <c r="FV763" i="1"/>
  <c r="FW538" i="1"/>
  <c r="FV543" i="1"/>
  <c r="FV817" i="1"/>
  <c r="FV781" i="1"/>
  <c r="FV783" i="1" s="1"/>
  <c r="FV691" i="1"/>
  <c r="FW595" i="1"/>
  <c r="FL802" i="1"/>
  <c r="FL735" i="1"/>
  <c r="FL543" i="1"/>
  <c r="FL738" i="1"/>
  <c r="FL736" i="1"/>
  <c r="FL817" i="1"/>
  <c r="FL737" i="1"/>
  <c r="FL781" i="1"/>
  <c r="EE693" i="1"/>
  <c r="EE692" i="1"/>
  <c r="EF579" i="1"/>
  <c r="EE582" i="1"/>
  <c r="CY783" i="1"/>
  <c r="CY764" i="1"/>
  <c r="CY694" i="1"/>
  <c r="CY690" i="1"/>
  <c r="CY641" i="1"/>
  <c r="CZ546" i="1"/>
  <c r="CY629" i="1"/>
  <c r="BJ706" i="1"/>
  <c r="CH541" i="1"/>
  <c r="CG542" i="1"/>
  <c r="CG843" i="1"/>
  <c r="CG846" i="1"/>
  <c r="CG832" i="1"/>
  <c r="CG808" i="1"/>
  <c r="CG831" i="1"/>
  <c r="CG822" i="1"/>
  <c r="CG836" i="1"/>
  <c r="CG812" i="1"/>
  <c r="CG807" i="1"/>
  <c r="CG841" i="1"/>
  <c r="CG830" i="1"/>
  <c r="CG837" i="1"/>
  <c r="CG838" i="1" s="1"/>
  <c r="CG842" i="1"/>
  <c r="CG818" i="1"/>
  <c r="CG820" i="1" s="1"/>
  <c r="CG806" i="1"/>
  <c r="CG813" i="1"/>
  <c r="AZ690" i="1"/>
  <c r="GZ369" i="1"/>
  <c r="GY369" i="1"/>
  <c r="BG640" i="1"/>
  <c r="BG647" i="1" s="1"/>
  <c r="BG566" i="1" s="1"/>
  <c r="BH554" i="1"/>
  <c r="GY407" i="1"/>
  <c r="GZ407" i="1"/>
  <c r="DG640" i="1"/>
  <c r="DH554" i="1"/>
  <c r="DG17" i="1"/>
  <c r="BD541" i="1"/>
  <c r="BC542" i="1"/>
  <c r="CY561" i="1"/>
  <c r="CY558" i="1"/>
  <c r="CY559" i="1" s="1"/>
  <c r="BI693" i="1"/>
  <c r="BI692" i="1"/>
  <c r="BI582" i="1"/>
  <c r="BJ579" i="1"/>
  <c r="DZ510" i="1"/>
  <c r="DY511" i="1"/>
  <c r="Q693" i="1"/>
  <c r="R693" i="1" s="1"/>
  <c r="Q692" i="1"/>
  <c r="R692" i="1" s="1"/>
  <c r="Q582" i="1"/>
  <c r="R579" i="1"/>
  <c r="DU783" i="1"/>
  <c r="DU764" i="1"/>
  <c r="DU694" i="1"/>
  <c r="DV694" i="1" s="1"/>
  <c r="DU690" i="1"/>
  <c r="DV690" i="1" s="1"/>
  <c r="DU641" i="1"/>
  <c r="DV546" i="1"/>
  <c r="DU629" i="1"/>
  <c r="DV629" i="1" s="1"/>
  <c r="CO783" i="1"/>
  <c r="CO764" i="1"/>
  <c r="CO694" i="1"/>
  <c r="CO690" i="1"/>
  <c r="CP690" i="1" s="1"/>
  <c r="CO641" i="1"/>
  <c r="CP546" i="1"/>
  <c r="CO629" i="1"/>
  <c r="CP629" i="1" s="1"/>
  <c r="FO587" i="1"/>
  <c r="FO607" i="1"/>
  <c r="BA561" i="1"/>
  <c r="BB561" i="1" s="1"/>
  <c r="BA558" i="1"/>
  <c r="BA559" i="1" s="1"/>
  <c r="AD642" i="1"/>
  <c r="AC612" i="1"/>
  <c r="AD612" i="1" s="1"/>
  <c r="GR800" i="1"/>
  <c r="GS408" i="1"/>
  <c r="BP739" i="1"/>
  <c r="BM640" i="1"/>
  <c r="BM647" i="1" s="1"/>
  <c r="BM566" i="1" s="1"/>
  <c r="BN566" i="1" s="1"/>
  <c r="BN554" i="1"/>
  <c r="CC640" i="1"/>
  <c r="CC647" i="1" s="1"/>
  <c r="CC566" i="1" s="1"/>
  <c r="CC567" i="1" s="1"/>
  <c r="DI692" i="1"/>
  <c r="DJ692" i="1" s="1"/>
  <c r="DI693" i="1"/>
  <c r="DJ693" i="1" s="1"/>
  <c r="DI582" i="1"/>
  <c r="DJ579" i="1"/>
  <c r="GZ366" i="1"/>
  <c r="GY366" i="1"/>
  <c r="AV738" i="1"/>
  <c r="GZ570" i="1"/>
  <c r="GY570" i="1"/>
  <c r="GX575" i="1"/>
  <c r="AR738" i="1"/>
  <c r="BH737" i="1"/>
  <c r="BH541" i="1"/>
  <c r="BG542" i="1"/>
  <c r="BG822" i="1"/>
  <c r="BG846" i="1"/>
  <c r="BG831" i="1"/>
  <c r="BG837" i="1"/>
  <c r="BG832" i="1"/>
  <c r="BG807" i="1"/>
  <c r="BG843" i="1"/>
  <c r="BG842" i="1"/>
  <c r="BG836" i="1"/>
  <c r="BG830" i="1"/>
  <c r="BG808" i="1"/>
  <c r="BG841" i="1"/>
  <c r="BG813" i="1"/>
  <c r="BG818" i="1"/>
  <c r="BG812" i="1"/>
  <c r="BG806" i="1"/>
  <c r="Y693" i="1"/>
  <c r="Z693" i="1" s="1"/>
  <c r="Y692" i="1"/>
  <c r="Z692" i="1" s="1"/>
  <c r="Y582" i="1"/>
  <c r="Z579" i="1"/>
  <c r="Z722" i="1"/>
  <c r="GW403" i="1"/>
  <c r="GV405" i="1"/>
  <c r="BY561" i="1"/>
  <c r="BY558" i="1"/>
  <c r="BY559" i="1" s="1"/>
  <c r="AO693" i="1"/>
  <c r="AP693" i="1" s="1"/>
  <c r="AO692" i="1"/>
  <c r="AP692" i="1" s="1"/>
  <c r="AO582" i="1"/>
  <c r="AP579" i="1"/>
  <c r="AP722" i="1"/>
  <c r="EW765" i="1"/>
  <c r="EX637" i="1"/>
  <c r="GP637" i="1"/>
  <c r="EK692" i="1"/>
  <c r="EK693" i="1"/>
  <c r="EK582" i="1"/>
  <c r="AT738" i="1"/>
  <c r="DM843" i="1"/>
  <c r="DM846" i="1"/>
  <c r="DM832" i="1"/>
  <c r="DM831" i="1"/>
  <c r="DM808" i="1"/>
  <c r="DM822" i="1"/>
  <c r="DM837" i="1"/>
  <c r="DM838" i="1" s="1"/>
  <c r="DM836" i="1"/>
  <c r="DM841" i="1"/>
  <c r="DM842" i="1"/>
  <c r="DM830" i="1"/>
  <c r="DM813" i="1"/>
  <c r="DM807" i="1"/>
  <c r="DM812" i="1"/>
  <c r="DM814" i="1" s="1"/>
  <c r="DM818" i="1"/>
  <c r="DM820" i="1" s="1"/>
  <c r="DM806" i="1"/>
  <c r="BN706" i="1"/>
  <c r="BA294" i="1"/>
  <c r="BA295" i="1" s="1"/>
  <c r="BA287" i="1"/>
  <c r="BA293" i="1"/>
  <c r="BB281" i="1"/>
  <c r="BS820" i="1"/>
  <c r="GX909" i="1"/>
  <c r="GX365" i="1"/>
  <c r="GY365" i="1" s="1"/>
  <c r="GZ364" i="1"/>
  <c r="GY364" i="1"/>
  <c r="GX498" i="1"/>
  <c r="BJ737" i="1"/>
  <c r="CM640" i="1"/>
  <c r="CN554" i="1"/>
  <c r="CM17" i="1"/>
  <c r="GJ722" i="1"/>
  <c r="GK722" i="1" s="1"/>
  <c r="GJ706" i="1"/>
  <c r="GK706" i="1" s="1"/>
  <c r="GJ697" i="1"/>
  <c r="GK697" i="1" s="1"/>
  <c r="GK539" i="1"/>
  <c r="GJ546" i="1"/>
  <c r="X722" i="1"/>
  <c r="EI843" i="1"/>
  <c r="EI822" i="1"/>
  <c r="EI846" i="1"/>
  <c r="EI832" i="1"/>
  <c r="EI837" i="1"/>
  <c r="EI841" i="1"/>
  <c r="EI813" i="1"/>
  <c r="EI836" i="1"/>
  <c r="EI830" i="1"/>
  <c r="EI808" i="1"/>
  <c r="EI831" i="1"/>
  <c r="EI842" i="1"/>
  <c r="EI807" i="1"/>
  <c r="EI806" i="1"/>
  <c r="EI812" i="1"/>
  <c r="EI814" i="1" s="1"/>
  <c r="EI818" i="1"/>
  <c r="EI820" i="1" s="1"/>
  <c r="FH607" i="1"/>
  <c r="FI607" i="1" s="1"/>
  <c r="FI598" i="1"/>
  <c r="FH551" i="1"/>
  <c r="FH552" i="1"/>
  <c r="BX736" i="1"/>
  <c r="BX735" i="1"/>
  <c r="DM640" i="1"/>
  <c r="DN554" i="1"/>
  <c r="DM17" i="1"/>
  <c r="K642" i="1"/>
  <c r="L582" i="1"/>
  <c r="EH722" i="1"/>
  <c r="GG551" i="1"/>
  <c r="GG607" i="1"/>
  <c r="FZ579" i="1"/>
  <c r="FZ560" i="1"/>
  <c r="GA552" i="1"/>
  <c r="FZ554" i="1"/>
  <c r="FP802" i="1"/>
  <c r="FP543" i="1"/>
  <c r="FQ538" i="1"/>
  <c r="FP817" i="1"/>
  <c r="FP781" i="1"/>
  <c r="DF513" i="1"/>
  <c r="DV541" i="1"/>
  <c r="DU542" i="1"/>
  <c r="I43" i="1"/>
  <c r="I46" i="1"/>
  <c r="I38" i="1"/>
  <c r="I45" i="1"/>
  <c r="I44" i="1"/>
  <c r="AW641" i="1"/>
  <c r="AX546" i="1"/>
  <c r="AW629" i="1"/>
  <c r="AX629" i="1" s="1"/>
  <c r="AX690" i="1"/>
  <c r="AB722" i="1"/>
  <c r="AB693" i="1"/>
  <c r="BO690" i="1"/>
  <c r="BP690" i="1" s="1"/>
  <c r="BO641" i="1"/>
  <c r="BP546" i="1"/>
  <c r="BO629" i="1"/>
  <c r="BP629" i="1" s="1"/>
  <c r="BP722" i="1"/>
  <c r="BF511" i="1"/>
  <c r="BE510" i="1"/>
  <c r="BN511" i="1"/>
  <c r="EB541" i="1"/>
  <c r="EA542" i="1"/>
  <c r="EJ541" i="1"/>
  <c r="BZ736" i="1"/>
  <c r="BZ735" i="1"/>
  <c r="EM561" i="1"/>
  <c r="EN560" i="1"/>
  <c r="EM558" i="1"/>
  <c r="DW561" i="1"/>
  <c r="DX560" i="1"/>
  <c r="DW558" i="1"/>
  <c r="DB722" i="1"/>
  <c r="DP722" i="1"/>
  <c r="FM596" i="1"/>
  <c r="DU692" i="1"/>
  <c r="DU693" i="1"/>
  <c r="DU582" i="1"/>
  <c r="DV579" i="1"/>
  <c r="BW640" i="1"/>
  <c r="BW647" i="1" s="1"/>
  <c r="BW566" i="1" s="1"/>
  <c r="BX554" i="1"/>
  <c r="BW567" i="1"/>
  <c r="EO722" i="1"/>
  <c r="EP722" i="1" s="1"/>
  <c r="EO706" i="1"/>
  <c r="EP706" i="1" s="1"/>
  <c r="EO697" i="1"/>
  <c r="EP697" i="1" s="1"/>
  <c r="EO546" i="1"/>
  <c r="EP539" i="1"/>
  <c r="CK722" i="1"/>
  <c r="CL722" i="1" s="1"/>
  <c r="CK706" i="1"/>
  <c r="CL706" i="1" s="1"/>
  <c r="CK697" i="1"/>
  <c r="CL697" i="1" s="1"/>
  <c r="CK546" i="1"/>
  <c r="CL539" i="1"/>
  <c r="GE513" i="1"/>
  <c r="GD510" i="1"/>
  <c r="GD511" i="1" s="1"/>
  <c r="GY374" i="1"/>
  <c r="GZ374" i="1"/>
  <c r="BU579" i="1"/>
  <c r="BU560" i="1"/>
  <c r="BU554" i="1"/>
  <c r="BV552" i="1"/>
  <c r="CU640" i="1"/>
  <c r="CV554" i="1"/>
  <c r="CU17" i="1"/>
  <c r="FW596" i="1"/>
  <c r="EU842" i="1"/>
  <c r="EU844" i="1" s="1"/>
  <c r="EU387" i="1"/>
  <c r="EV383" i="1"/>
  <c r="EU384" i="1"/>
  <c r="EU10" i="1"/>
  <c r="GZ657" i="1"/>
  <c r="GY657" i="1"/>
  <c r="AE641" i="1"/>
  <c r="AF546" i="1"/>
  <c r="AE629" i="1"/>
  <c r="AF629" i="1" s="1"/>
  <c r="DG783" i="1"/>
  <c r="DG694" i="1"/>
  <c r="DG690" i="1"/>
  <c r="DH690" i="1" s="1"/>
  <c r="DG641" i="1"/>
  <c r="DG764" i="1" s="1"/>
  <c r="DH546" i="1"/>
  <c r="DG629" i="1"/>
  <c r="DH629" i="1" s="1"/>
  <c r="BO640" i="1"/>
  <c r="BO647" i="1" s="1"/>
  <c r="BO566" i="1" s="1"/>
  <c r="BP566" i="1" s="1"/>
  <c r="BP554" i="1"/>
  <c r="BK822" i="1"/>
  <c r="BK846" i="1"/>
  <c r="BK831" i="1"/>
  <c r="BK832" i="1"/>
  <c r="BK843" i="1"/>
  <c r="BK807" i="1"/>
  <c r="BK830" i="1"/>
  <c r="BK842" i="1"/>
  <c r="BK808" i="1"/>
  <c r="BK841" i="1"/>
  <c r="BK837" i="1"/>
  <c r="BK838" i="1" s="1"/>
  <c r="BK836" i="1"/>
  <c r="BK806" i="1"/>
  <c r="BK812" i="1"/>
  <c r="BK814" i="1" s="1"/>
  <c r="BK818" i="1"/>
  <c r="BK813" i="1"/>
  <c r="FY289" i="1"/>
  <c r="BD511" i="1"/>
  <c r="BC510" i="1"/>
  <c r="BL511" i="1"/>
  <c r="EC722" i="1"/>
  <c r="ED722" i="1" s="1"/>
  <c r="EC706" i="1"/>
  <c r="ED706" i="1" s="1"/>
  <c r="EC697" i="1"/>
  <c r="ED697" i="1" s="1"/>
  <c r="EC546" i="1"/>
  <c r="EL546" i="1" s="1"/>
  <c r="ED539" i="1"/>
  <c r="DF541" i="1"/>
  <c r="DE542" i="1"/>
  <c r="EI783" i="1"/>
  <c r="EI764" i="1"/>
  <c r="EI694" i="1"/>
  <c r="EJ694" i="1" s="1"/>
  <c r="EI690" i="1"/>
  <c r="EJ690" i="1" s="1"/>
  <c r="EI641" i="1"/>
  <c r="EJ546" i="1"/>
  <c r="EI629" i="1"/>
  <c r="EJ629" i="1" s="1"/>
  <c r="EA561" i="1"/>
  <c r="EA558" i="1"/>
  <c r="BC764" i="1"/>
  <c r="BC641" i="1"/>
  <c r="BD546" i="1"/>
  <c r="BC629" i="1"/>
  <c r="BD629" i="1" s="1"/>
  <c r="BD706" i="1"/>
  <c r="FZ802" i="1"/>
  <c r="FZ763" i="1"/>
  <c r="GA538" i="1"/>
  <c r="FZ543" i="1"/>
  <c r="FZ817" i="1"/>
  <c r="FZ781" i="1"/>
  <c r="FZ783" i="1" s="1"/>
  <c r="FZ691" i="1"/>
  <c r="GA691" i="1" s="1"/>
  <c r="EM783" i="1"/>
  <c r="EM694" i="1"/>
  <c r="EN694" i="1" s="1"/>
  <c r="EM690" i="1"/>
  <c r="EN690" i="1" s="1"/>
  <c r="EM641" i="1"/>
  <c r="EM764" i="1" s="1"/>
  <c r="EN546" i="1"/>
  <c r="EM629" i="1"/>
  <c r="EN629" i="1" s="1"/>
  <c r="EN722" i="1"/>
  <c r="DD513" i="1"/>
  <c r="DC510" i="1"/>
  <c r="DC511" i="1" s="1"/>
  <c r="DD511" i="1" s="1"/>
  <c r="DY692" i="1"/>
  <c r="DY693" i="1"/>
  <c r="DY582" i="1"/>
  <c r="DZ579" i="1"/>
  <c r="GB722" i="1"/>
  <c r="GC722" i="1" s="1"/>
  <c r="GB706" i="1"/>
  <c r="GC706" i="1" s="1"/>
  <c r="GB697" i="1"/>
  <c r="GC697" i="1" s="1"/>
  <c r="GC539" i="1"/>
  <c r="GB546" i="1"/>
  <c r="CP541" i="1"/>
  <c r="CO542" i="1"/>
  <c r="FO513" i="1"/>
  <c r="FN510" i="1"/>
  <c r="FN511" i="1" s="1"/>
  <c r="FO511" i="1" s="1"/>
  <c r="GY507" i="1"/>
  <c r="GZ507" i="1"/>
  <c r="BB511" i="1"/>
  <c r="BA510" i="1"/>
  <c r="BJ511" i="1"/>
  <c r="FD809" i="1"/>
  <c r="FD826" i="1" s="1"/>
  <c r="FD844" i="1"/>
  <c r="FD850" i="1" s="1"/>
  <c r="DK693" i="1"/>
  <c r="DK692" i="1"/>
  <c r="DL579" i="1"/>
  <c r="DK582" i="1"/>
  <c r="DY783" i="1"/>
  <c r="DY764" i="1"/>
  <c r="DY694" i="1"/>
  <c r="DZ694" i="1" s="1"/>
  <c r="DY690" i="1"/>
  <c r="DZ690" i="1" s="1"/>
  <c r="DY641" i="1"/>
  <c r="DZ546" i="1"/>
  <c r="DY629" i="1"/>
  <c r="DZ629" i="1" s="1"/>
  <c r="AK641" i="1"/>
  <c r="AL546" i="1"/>
  <c r="AK629" i="1"/>
  <c r="AL629" i="1" s="1"/>
  <c r="BY764" i="1"/>
  <c r="BY690" i="1"/>
  <c r="BY641" i="1"/>
  <c r="BY629" i="1"/>
  <c r="CG561" i="1"/>
  <c r="CG558" i="1"/>
  <c r="CG559" i="1" s="1"/>
  <c r="CQ561" i="1"/>
  <c r="CQ558" i="1"/>
  <c r="CQ559" i="1" s="1"/>
  <c r="CA693" i="1"/>
  <c r="CB693" i="1" s="1"/>
  <c r="CA692" i="1"/>
  <c r="CB692" i="1" s="1"/>
  <c r="CA582" i="1"/>
  <c r="CB579" i="1"/>
  <c r="CO561" i="1"/>
  <c r="CO558" i="1"/>
  <c r="CO559" i="1" s="1"/>
  <c r="EP551" i="1"/>
  <c r="EX551" i="1"/>
  <c r="FV298" i="1"/>
  <c r="FW297" i="1"/>
  <c r="GD722" i="1"/>
  <c r="GE722" i="1" s="1"/>
  <c r="GD706" i="1"/>
  <c r="GE706" i="1" s="1"/>
  <c r="GD697" i="1"/>
  <c r="GD546" i="1"/>
  <c r="GE539" i="1"/>
  <c r="BZ607" i="1"/>
  <c r="GW245" i="1"/>
  <c r="GX245" i="1"/>
  <c r="DI783" i="1"/>
  <c r="DI764" i="1"/>
  <c r="DI694" i="1"/>
  <c r="DI690" i="1"/>
  <c r="DI641" i="1"/>
  <c r="DJ546" i="1"/>
  <c r="DI629" i="1"/>
  <c r="ES842" i="1"/>
  <c r="ES844" i="1" s="1"/>
  <c r="ES384" i="1"/>
  <c r="ES387" i="1"/>
  <c r="ET383" i="1"/>
  <c r="ES10" i="1"/>
  <c r="EX636" i="1"/>
  <c r="GP636" i="1"/>
  <c r="DQ692" i="1"/>
  <c r="DR692" i="1" s="1"/>
  <c r="DQ693" i="1"/>
  <c r="DR693" i="1" s="1"/>
  <c r="DQ582" i="1"/>
  <c r="DR579" i="1"/>
  <c r="EW812" i="1"/>
  <c r="EW814" i="1" s="1"/>
  <c r="EW769" i="1"/>
  <c r="EW519" i="1"/>
  <c r="EW133" i="1"/>
  <c r="EX133" i="1" s="1"/>
  <c r="EX132" i="1"/>
  <c r="FV579" i="1"/>
  <c r="FV560" i="1"/>
  <c r="FV554" i="1"/>
  <c r="FW607" i="1"/>
  <c r="EL510" i="1"/>
  <c r="EK511" i="1"/>
  <c r="AS693" i="1"/>
  <c r="AS692" i="1"/>
  <c r="AS582" i="1"/>
  <c r="AT579" i="1"/>
  <c r="AT722" i="1"/>
  <c r="BL706" i="1"/>
  <c r="BF737" i="1"/>
  <c r="BC561" i="1"/>
  <c r="BD561" i="1" s="1"/>
  <c r="BC558" i="1"/>
  <c r="BC559" i="1" s="1"/>
  <c r="BT706" i="1"/>
  <c r="CI722" i="1"/>
  <c r="CJ722" i="1" s="1"/>
  <c r="CI706" i="1"/>
  <c r="CJ706" i="1" s="1"/>
  <c r="CI697" i="1"/>
  <c r="CJ697" i="1" s="1"/>
  <c r="CJ539" i="1"/>
  <c r="CI546" i="1"/>
  <c r="CD722" i="1"/>
  <c r="CH706" i="1"/>
  <c r="DR541" i="1"/>
  <c r="DQ542" i="1"/>
  <c r="AH738" i="1"/>
  <c r="GH802" i="1"/>
  <c r="GH763" i="1"/>
  <c r="GI538" i="1"/>
  <c r="GH543" i="1"/>
  <c r="GH817" i="1"/>
  <c r="GH781" i="1"/>
  <c r="GH783" i="1" s="1"/>
  <c r="GK607" i="1"/>
  <c r="CT697" i="1"/>
  <c r="GG587" i="1"/>
  <c r="AW305" i="1"/>
  <c r="AX305" i="1" s="1"/>
  <c r="AX298" i="1"/>
  <c r="CZ511" i="1"/>
  <c r="DW783" i="1"/>
  <c r="DW694" i="1"/>
  <c r="DW690" i="1"/>
  <c r="DW641" i="1"/>
  <c r="DW764" i="1" s="1"/>
  <c r="DX546" i="1"/>
  <c r="DW629" i="1"/>
  <c r="CR587" i="1"/>
  <c r="CM542" i="1"/>
  <c r="GR420" i="1"/>
  <c r="GQ420" i="1"/>
  <c r="DE561" i="1"/>
  <c r="DE558" i="1"/>
  <c r="DE559" i="1" s="1"/>
  <c r="GQ522" i="1"/>
  <c r="BE693" i="1"/>
  <c r="BE692" i="1"/>
  <c r="BE582" i="1"/>
  <c r="BF579" i="1"/>
  <c r="AN706" i="1"/>
  <c r="AY640" i="1"/>
  <c r="AY647" i="1" s="1"/>
  <c r="AY566" i="1" s="1"/>
  <c r="AZ566" i="1" s="1"/>
  <c r="AZ554" i="1"/>
  <c r="BQ722" i="1"/>
  <c r="BR722" i="1" s="1"/>
  <c r="BQ706" i="1"/>
  <c r="BR706" i="1" s="1"/>
  <c r="BQ697" i="1"/>
  <c r="BR697" i="1" s="1"/>
  <c r="BQ546" i="1"/>
  <c r="BR539" i="1"/>
  <c r="DL541" i="1"/>
  <c r="DK542" i="1"/>
  <c r="EE843" i="1"/>
  <c r="EE822" i="1"/>
  <c r="EE846" i="1"/>
  <c r="EE836" i="1"/>
  <c r="EE831" i="1"/>
  <c r="EE832" i="1"/>
  <c r="EE833" i="1" s="1"/>
  <c r="EE808" i="1"/>
  <c r="EE830" i="1"/>
  <c r="EE837" i="1"/>
  <c r="EE841" i="1"/>
  <c r="EE842" i="1"/>
  <c r="EE812" i="1"/>
  <c r="EE807" i="1"/>
  <c r="EE818" i="1"/>
  <c r="EE820" i="1" s="1"/>
  <c r="EE813" i="1"/>
  <c r="EE806" i="1"/>
  <c r="BK561" i="1"/>
  <c r="BK558" i="1"/>
  <c r="BK559" i="1" s="1"/>
  <c r="BU802" i="1"/>
  <c r="BU763" i="1"/>
  <c r="BU735" i="1"/>
  <c r="BV735" i="1" s="1"/>
  <c r="BV538" i="1"/>
  <c r="BU541" i="1"/>
  <c r="BU738" i="1"/>
  <c r="BV738" i="1" s="1"/>
  <c r="BU736" i="1"/>
  <c r="BV736" i="1" s="1"/>
  <c r="BU817" i="1"/>
  <c r="BU737" i="1"/>
  <c r="BV737" i="1" s="1"/>
  <c r="BU739" i="1"/>
  <c r="BV739" i="1" s="1"/>
  <c r="GL722" i="1"/>
  <c r="GM722" i="1" s="1"/>
  <c r="GL706" i="1"/>
  <c r="GM706" i="1" s="1"/>
  <c r="GL697" i="1"/>
  <c r="GM697" i="1" s="1"/>
  <c r="GL546" i="1"/>
  <c r="GM539" i="1"/>
  <c r="CB541" i="1"/>
  <c r="CA542" i="1"/>
  <c r="CA843" i="1"/>
  <c r="CA822" i="1"/>
  <c r="CA846" i="1"/>
  <c r="CA832" i="1"/>
  <c r="CA831" i="1"/>
  <c r="CA830" i="1"/>
  <c r="CA808" i="1"/>
  <c r="CA842" i="1"/>
  <c r="CA807" i="1"/>
  <c r="CA836" i="1"/>
  <c r="CA841" i="1"/>
  <c r="CA837" i="1"/>
  <c r="CA813" i="1"/>
  <c r="CA818" i="1"/>
  <c r="CA820" i="1" s="1"/>
  <c r="CA812" i="1"/>
  <c r="CA814" i="1" s="1"/>
  <c r="CA806" i="1"/>
  <c r="BI276" i="1"/>
  <c r="BI270" i="1"/>
  <c r="BI277" i="1"/>
  <c r="BI278" i="1" s="1"/>
  <c r="BJ265" i="1"/>
  <c r="EJ510" i="1"/>
  <c r="EI511" i="1"/>
  <c r="FW536" i="1"/>
  <c r="FL722" i="1"/>
  <c r="FL706" i="1"/>
  <c r="FL697" i="1"/>
  <c r="FL690" i="1"/>
  <c r="FL546" i="1"/>
  <c r="FX560" i="1"/>
  <c r="FX554" i="1"/>
  <c r="FX579" i="1"/>
  <c r="FY552" i="1"/>
  <c r="EE640" i="1"/>
  <c r="EF554" i="1"/>
  <c r="EE17" i="1"/>
  <c r="CI560" i="1"/>
  <c r="CJ552" i="1"/>
  <c r="CI554" i="1"/>
  <c r="CI579" i="1"/>
  <c r="BI641" i="1"/>
  <c r="BJ546" i="1"/>
  <c r="BI629" i="1"/>
  <c r="BJ722" i="1"/>
  <c r="AZ697" i="1"/>
  <c r="CY693" i="1"/>
  <c r="CY692" i="1"/>
  <c r="CY582" i="1"/>
  <c r="CZ579" i="1"/>
  <c r="DB511" i="1"/>
  <c r="CQ843" i="1"/>
  <c r="CQ822" i="1"/>
  <c r="CQ846" i="1"/>
  <c r="CQ832" i="1"/>
  <c r="CQ831" i="1"/>
  <c r="CQ836" i="1"/>
  <c r="CQ837" i="1"/>
  <c r="CQ808" i="1"/>
  <c r="CQ807" i="1"/>
  <c r="CQ830" i="1"/>
  <c r="CQ842" i="1"/>
  <c r="CQ841" i="1"/>
  <c r="CQ818" i="1"/>
  <c r="CQ820" i="1" s="1"/>
  <c r="CQ812" i="1"/>
  <c r="CQ814" i="1" s="1"/>
  <c r="CQ813" i="1"/>
  <c r="CQ806" i="1"/>
  <c r="Q922" i="1"/>
  <c r="R641" i="1"/>
  <c r="GB510" i="1"/>
  <c r="GB511" i="1" s="1"/>
  <c r="DV706" i="1"/>
  <c r="CP697" i="1"/>
  <c r="FN802" i="1"/>
  <c r="FO538" i="1"/>
  <c r="FN543" i="1"/>
  <c r="FN817" i="1"/>
  <c r="FN781" i="1"/>
  <c r="BA693" i="1"/>
  <c r="BB693" i="1" s="1"/>
  <c r="BA692" i="1"/>
  <c r="BB692" i="1" s="1"/>
  <c r="BA582" i="1"/>
  <c r="BB579" i="1"/>
  <c r="AD698" i="1"/>
  <c r="AB690" i="1"/>
  <c r="BP541" i="1"/>
  <c r="BO542" i="1"/>
  <c r="BO846" i="1"/>
  <c r="BO822" i="1"/>
  <c r="BO843" i="1"/>
  <c r="BO832" i="1"/>
  <c r="BO831" i="1"/>
  <c r="BO837" i="1"/>
  <c r="BO836" i="1"/>
  <c r="BO807" i="1"/>
  <c r="BO842" i="1"/>
  <c r="BO808" i="1"/>
  <c r="BO841" i="1"/>
  <c r="BO830" i="1"/>
  <c r="BO813" i="1"/>
  <c r="BO818" i="1"/>
  <c r="BO812" i="1"/>
  <c r="BO814" i="1" s="1"/>
  <c r="BO806" i="1"/>
  <c r="BM561" i="1"/>
  <c r="BN561" i="1" s="1"/>
  <c r="BM558" i="1"/>
  <c r="BM559" i="1" s="1"/>
  <c r="CC561" i="1"/>
  <c r="CC558" i="1"/>
  <c r="CC559" i="1" s="1"/>
  <c r="GN802" i="1"/>
  <c r="GN763" i="1"/>
  <c r="GN543" i="1"/>
  <c r="GO538" i="1"/>
  <c r="GN817" i="1"/>
  <c r="GN781" i="1"/>
  <c r="GN783" i="1" s="1"/>
  <c r="CT607" i="1"/>
  <c r="AV739" i="1"/>
  <c r="AV541" i="1"/>
  <c r="AU542" i="1"/>
  <c r="AR541" i="1"/>
  <c r="AQ542" i="1"/>
  <c r="BG820" i="1"/>
  <c r="GX915" i="1"/>
  <c r="GX403" i="1"/>
  <c r="GZ402" i="1"/>
  <c r="FS506" i="2" s="1"/>
  <c r="GY402" i="1"/>
  <c r="FR506" i="2" s="1"/>
  <c r="DK783" i="1"/>
  <c r="DK694" i="1"/>
  <c r="DK690" i="1"/>
  <c r="DK641" i="1"/>
  <c r="DK764" i="1" s="1"/>
  <c r="DL546" i="1"/>
  <c r="DK629" i="1"/>
  <c r="DL722" i="1"/>
  <c r="CE722" i="1"/>
  <c r="CF722" i="1" s="1"/>
  <c r="CE706" i="1"/>
  <c r="CF706" i="1" s="1"/>
  <c r="CE697" i="1"/>
  <c r="CF697" i="1" s="1"/>
  <c r="CF539" i="1"/>
  <c r="CE546" i="1"/>
  <c r="BY693" i="1"/>
  <c r="BY692" i="1"/>
  <c r="BY582" i="1"/>
  <c r="BZ579" i="1"/>
  <c r="O693" i="1"/>
  <c r="P693" i="1" s="1"/>
  <c r="O692" i="1"/>
  <c r="P692" i="1" s="1"/>
  <c r="P579" i="1"/>
  <c r="O582" i="1"/>
  <c r="AP697" i="1"/>
  <c r="EX613" i="1"/>
  <c r="DR510" i="1"/>
  <c r="DQ511" i="1"/>
  <c r="DR511" i="1" s="1"/>
  <c r="GM607" i="1"/>
  <c r="CS640" i="1"/>
  <c r="CS17" i="1"/>
  <c r="GS418" i="1"/>
  <c r="GT418" i="1"/>
  <c r="CW722" i="1"/>
  <c r="CX722" i="1" s="1"/>
  <c r="CW706" i="1"/>
  <c r="CX706" i="1" s="1"/>
  <c r="CW697" i="1"/>
  <c r="CX697" i="1" s="1"/>
  <c r="CW546" i="1"/>
  <c r="CX539" i="1"/>
  <c r="EI561" i="1"/>
  <c r="EJ560" i="1"/>
  <c r="EI558" i="1"/>
  <c r="AT541" i="1"/>
  <c r="AS542" i="1"/>
  <c r="GL270" i="1"/>
  <c r="GM265" i="1"/>
  <c r="GL277" i="1"/>
  <c r="GM277" i="1" s="1"/>
  <c r="GL276" i="1"/>
  <c r="GM276" i="1" s="1"/>
  <c r="DN541" i="1"/>
  <c r="DM542" i="1"/>
  <c r="BN697" i="1"/>
  <c r="BT736" i="1"/>
  <c r="BT735" i="1"/>
  <c r="CC542" i="1"/>
  <c r="BJ736" i="1"/>
  <c r="BJ735" i="1"/>
  <c r="CN552" i="1"/>
  <c r="EC579" i="1"/>
  <c r="EL579" i="1" s="1"/>
  <c r="EC560" i="1"/>
  <c r="EC554" i="1"/>
  <c r="ED552" i="1"/>
  <c r="DF539" i="1"/>
  <c r="DF722" i="1"/>
  <c r="CS843" i="1"/>
  <c r="CS832" i="1"/>
  <c r="CS846" i="1"/>
  <c r="CS831" i="1"/>
  <c r="CS837" i="1"/>
  <c r="CS808" i="1"/>
  <c r="CS822" i="1"/>
  <c r="CS841" i="1"/>
  <c r="CS842" i="1"/>
  <c r="CS813" i="1"/>
  <c r="CS807" i="1"/>
  <c r="CS836" i="1"/>
  <c r="CS830" i="1"/>
  <c r="CS806" i="1"/>
  <c r="CS812" i="1"/>
  <c r="CS814" i="1" s="1"/>
  <c r="CS818" i="1"/>
  <c r="CS820" i="1" s="1"/>
  <c r="W698" i="1"/>
  <c r="W642" i="1"/>
  <c r="X582" i="1"/>
  <c r="W630" i="1"/>
  <c r="X630" i="1" s="1"/>
  <c r="BX738" i="1"/>
  <c r="DN560" i="1"/>
  <c r="DM561" i="1"/>
  <c r="DM558" i="1"/>
  <c r="EG783" i="1"/>
  <c r="EG764" i="1"/>
  <c r="EG694" i="1"/>
  <c r="EH694" i="1" s="1"/>
  <c r="EG690" i="1"/>
  <c r="EH690" i="1" s="1"/>
  <c r="EG641" i="1"/>
  <c r="EH546" i="1"/>
  <c r="EG629" i="1"/>
  <c r="EH629" i="1" s="1"/>
  <c r="FK182" i="1"/>
  <c r="FJ193" i="1"/>
  <c r="FK193" i="1" s="1"/>
  <c r="EB510" i="1"/>
  <c r="EA511" i="1"/>
  <c r="GG513" i="1"/>
  <c r="GF510" i="1"/>
  <c r="GF511" i="1" s="1"/>
  <c r="GG511" i="1" s="1"/>
  <c r="GA551" i="1"/>
  <c r="DW843" i="1"/>
  <c r="DW822" i="1"/>
  <c r="DW846" i="1"/>
  <c r="DW832" i="1"/>
  <c r="DW831" i="1"/>
  <c r="DW807" i="1"/>
  <c r="DW830" i="1"/>
  <c r="DW842" i="1"/>
  <c r="DW836" i="1"/>
  <c r="DW837" i="1"/>
  <c r="DW808" i="1"/>
  <c r="DW841" i="1"/>
  <c r="DW818" i="1"/>
  <c r="DW820" i="1" s="1"/>
  <c r="DW806" i="1"/>
  <c r="DW813" i="1"/>
  <c r="DW812" i="1"/>
  <c r="DC722" i="1"/>
  <c r="DD722" i="1" s="1"/>
  <c r="DC706" i="1"/>
  <c r="DD706" i="1" s="1"/>
  <c r="DC697" i="1"/>
  <c r="DD697" i="1" s="1"/>
  <c r="DD539" i="1"/>
  <c r="DC546" i="1"/>
  <c r="CR706" i="1"/>
  <c r="CN697" i="1"/>
  <c r="FP722" i="1"/>
  <c r="FQ722" i="1" s="1"/>
  <c r="FP706" i="1"/>
  <c r="FQ706" i="1" s="1"/>
  <c r="FP697" i="1"/>
  <c r="FQ697" i="1" s="1"/>
  <c r="FP690" i="1"/>
  <c r="FQ690" i="1" s="1"/>
  <c r="FQ539" i="1"/>
  <c r="FP546" i="1"/>
  <c r="FS546" i="1" s="1"/>
  <c r="AW693" i="1"/>
  <c r="AX693" i="1" s="1"/>
  <c r="AW692" i="1"/>
  <c r="AX692" i="1" s="1"/>
  <c r="AW582" i="1"/>
  <c r="AX579" i="1"/>
  <c r="AX722" i="1"/>
  <c r="FR561" i="1"/>
  <c r="FR558" i="1"/>
  <c r="FR559" i="1" s="1"/>
  <c r="AA698" i="1"/>
  <c r="AA642" i="1"/>
  <c r="AB582" i="1"/>
  <c r="AA630" i="1"/>
  <c r="AB630" i="1" s="1"/>
  <c r="GU118" i="1"/>
  <c r="EB538" i="1"/>
  <c r="BY782" i="1"/>
  <c r="BZ738" i="1"/>
  <c r="EM693" i="1"/>
  <c r="EN693" i="1" s="1"/>
  <c r="EM692" i="1"/>
  <c r="EN692" i="1" s="1"/>
  <c r="EN579" i="1"/>
  <c r="EM582" i="1"/>
  <c r="DW693" i="1"/>
  <c r="DX693" i="1" s="1"/>
  <c r="DW692" i="1"/>
  <c r="DX692" i="1" s="1"/>
  <c r="DX579" i="1"/>
  <c r="DW582" i="1"/>
  <c r="DA783" i="1"/>
  <c r="DA694" i="1"/>
  <c r="DA690" i="1"/>
  <c r="DB690" i="1" s="1"/>
  <c r="DA641" i="1"/>
  <c r="DA764" i="1" s="1"/>
  <c r="DB546" i="1"/>
  <c r="DA629" i="1"/>
  <c r="DB629" i="1" s="1"/>
  <c r="DO783" i="1"/>
  <c r="DO764" i="1"/>
  <c r="DO694" i="1"/>
  <c r="DP694" i="1" s="1"/>
  <c r="DO690" i="1"/>
  <c r="DP690" i="1" s="1"/>
  <c r="DO641" i="1"/>
  <c r="DP546" i="1"/>
  <c r="DO629" i="1"/>
  <c r="DP629" i="1" s="1"/>
  <c r="CB739" i="1"/>
  <c r="FF642" i="1"/>
  <c r="FG582" i="1"/>
  <c r="AQ693" i="1"/>
  <c r="AQ692" i="1"/>
  <c r="AR692" i="1" s="1"/>
  <c r="AR579" i="1"/>
  <c r="AQ582" i="1"/>
  <c r="AS194" i="1"/>
  <c r="AT194" i="1" s="1"/>
  <c r="AT180" i="1"/>
  <c r="EL722" i="1"/>
  <c r="FT552" i="1"/>
  <c r="FW552" i="1" s="1"/>
  <c r="FT513" i="1"/>
  <c r="GC513" i="1" s="1"/>
  <c r="FU549" i="1"/>
  <c r="FT551" i="1"/>
  <c r="FU551" i="1" s="1"/>
  <c r="FL560" i="1"/>
  <c r="FL554" i="1"/>
  <c r="FL579" i="1"/>
  <c r="BK820" i="1"/>
  <c r="BN541" i="1"/>
  <c r="BM542" i="1"/>
  <c r="BM832" i="1"/>
  <c r="BM846" i="1"/>
  <c r="BM808" i="1"/>
  <c r="BM843" i="1"/>
  <c r="BM831" i="1"/>
  <c r="BM822" i="1"/>
  <c r="BM842" i="1"/>
  <c r="BM841" i="1"/>
  <c r="BM836" i="1"/>
  <c r="BM837" i="1"/>
  <c r="BM830" i="1"/>
  <c r="BM807" i="1"/>
  <c r="BM806" i="1"/>
  <c r="BM813" i="1"/>
  <c r="BM818" i="1"/>
  <c r="BM820" i="1" s="1"/>
  <c r="BM812" i="1"/>
  <c r="EG640" i="1"/>
  <c r="EH554" i="1"/>
  <c r="EG17" i="1"/>
  <c r="FZ287" i="1"/>
  <c r="GA281" i="1"/>
  <c r="FZ293" i="1"/>
  <c r="GC281" i="1"/>
  <c r="FZ294" i="1"/>
  <c r="CY843" i="1"/>
  <c r="CY846" i="1"/>
  <c r="CY822" i="1"/>
  <c r="CY831" i="1"/>
  <c r="CY832" i="1"/>
  <c r="CY837" i="1"/>
  <c r="CY842" i="1"/>
  <c r="CY830" i="1"/>
  <c r="CY841" i="1"/>
  <c r="CY808" i="1"/>
  <c r="CY807" i="1"/>
  <c r="CY836" i="1"/>
  <c r="CY813" i="1"/>
  <c r="CY818" i="1"/>
  <c r="CY820" i="1" s="1"/>
  <c r="CY812" i="1"/>
  <c r="CY806" i="1"/>
  <c r="EW818" i="1"/>
  <c r="EW774" i="1"/>
  <c r="EW779" i="1" s="1"/>
  <c r="EW527" i="1"/>
  <c r="DX16" i="2" s="1"/>
  <c r="EX387" i="1"/>
  <c r="EW388" i="1"/>
  <c r="EX388" i="1" s="1"/>
  <c r="CN551" i="1"/>
  <c r="GI513" i="1"/>
  <c r="GH510" i="1"/>
  <c r="GH298" i="1"/>
  <c r="GI297" i="1"/>
  <c r="BA764" i="1"/>
  <c r="BA641" i="1"/>
  <c r="BB546" i="1"/>
  <c r="BA629" i="1"/>
  <c r="BB629" i="1" s="1"/>
  <c r="EA693" i="1"/>
  <c r="EA692" i="1"/>
  <c r="EA582" i="1"/>
  <c r="BD722" i="1"/>
  <c r="GA587" i="1"/>
  <c r="DA640" i="1"/>
  <c r="DB554" i="1"/>
  <c r="DA17" i="1"/>
  <c r="GQ378" i="1"/>
  <c r="GP383" i="1"/>
  <c r="FN579" i="1"/>
  <c r="FN554" i="1"/>
  <c r="FN560" i="1"/>
  <c r="FU195" i="1"/>
  <c r="FT197" i="1"/>
  <c r="FU197" i="1" s="1"/>
  <c r="AX739" i="1"/>
  <c r="AX541" i="1"/>
  <c r="AW542" i="1"/>
  <c r="DK640" i="1"/>
  <c r="DL554" i="1"/>
  <c r="DK17" i="1"/>
  <c r="CD513" i="1"/>
  <c r="DA843" i="1"/>
  <c r="DA832" i="1"/>
  <c r="DA846" i="1"/>
  <c r="DA822" i="1"/>
  <c r="DA808" i="1"/>
  <c r="DA831" i="1"/>
  <c r="DA841" i="1"/>
  <c r="DA807" i="1"/>
  <c r="DA837" i="1"/>
  <c r="DA838" i="1" s="1"/>
  <c r="DA842" i="1"/>
  <c r="DA836" i="1"/>
  <c r="DA830" i="1"/>
  <c r="DA812" i="1"/>
  <c r="DA814" i="1" s="1"/>
  <c r="DA818" i="1"/>
  <c r="DA820" i="1" s="1"/>
  <c r="DA813" i="1"/>
  <c r="DA806" i="1"/>
  <c r="S641" i="1"/>
  <c r="AB641" i="1" s="1"/>
  <c r="T546" i="1"/>
  <c r="DZ706" i="1"/>
  <c r="AK693" i="1"/>
  <c r="AL693" i="1" s="1"/>
  <c r="AK692" i="1"/>
  <c r="AL692" i="1" s="1"/>
  <c r="AK582" i="1"/>
  <c r="AL579" i="1"/>
  <c r="GN554" i="1"/>
  <c r="GN579" i="1"/>
  <c r="GN560" i="1"/>
  <c r="GO552" i="1"/>
  <c r="BZ697" i="1"/>
  <c r="DO843" i="1"/>
  <c r="DO846" i="1"/>
  <c r="DO822" i="1"/>
  <c r="DO831" i="1"/>
  <c r="DO832" i="1"/>
  <c r="DO836" i="1"/>
  <c r="DO830" i="1"/>
  <c r="DO807" i="1"/>
  <c r="DO842" i="1"/>
  <c r="DO837" i="1"/>
  <c r="DO838" i="1" s="1"/>
  <c r="DO812" i="1"/>
  <c r="DO808" i="1"/>
  <c r="DO841" i="1"/>
  <c r="DO813" i="1"/>
  <c r="DO818" i="1"/>
  <c r="DO820" i="1" s="1"/>
  <c r="DO806" i="1"/>
  <c r="DO809" i="1" s="1"/>
  <c r="CG693" i="1"/>
  <c r="CH693" i="1" s="1"/>
  <c r="CG692" i="1"/>
  <c r="CH692" i="1" s="1"/>
  <c r="CG582" i="1"/>
  <c r="CH579" i="1"/>
  <c r="CQ693" i="1"/>
  <c r="CQ692" i="1"/>
  <c r="CQ582" i="1"/>
  <c r="CR579" i="1"/>
  <c r="DC289" i="1"/>
  <c r="DD287" i="1"/>
  <c r="DE281" i="1"/>
  <c r="AL541" i="1"/>
  <c r="AK542" i="1"/>
  <c r="CA640" i="1"/>
  <c r="CA647" i="1" s="1"/>
  <c r="CA566" i="1" s="1"/>
  <c r="CB566" i="1" s="1"/>
  <c r="CB554" i="1"/>
  <c r="CA567" i="1"/>
  <c r="CO692" i="1"/>
  <c r="CP692" i="1" s="1"/>
  <c r="CO693" i="1"/>
  <c r="CO582" i="1"/>
  <c r="CP579" i="1"/>
  <c r="EO579" i="1"/>
  <c r="EO560" i="1"/>
  <c r="EO554" i="1"/>
  <c r="EP552" i="1"/>
  <c r="GE587" i="1"/>
  <c r="DP510" i="1"/>
  <c r="DO511" i="1"/>
  <c r="DP511" i="1" s="1"/>
  <c r="GW123" i="1"/>
  <c r="GV115" i="1"/>
  <c r="GL579" i="1"/>
  <c r="GM552" i="1"/>
  <c r="GL560" i="1"/>
  <c r="GL554" i="1"/>
  <c r="GQ416" i="1"/>
  <c r="GP422" i="1"/>
  <c r="FW513" i="1"/>
  <c r="FV510" i="1"/>
  <c r="FV511" i="1" s="1"/>
  <c r="FW598" i="1"/>
  <c r="AT697" i="1"/>
  <c r="FM607" i="1"/>
  <c r="BK690" i="1"/>
  <c r="BL690" i="1" s="1"/>
  <c r="BK641" i="1"/>
  <c r="BK764" i="1" s="1"/>
  <c r="BL546" i="1"/>
  <c r="BK629" i="1"/>
  <c r="BL629" i="1" s="1"/>
  <c r="BL722" i="1"/>
  <c r="BF736" i="1"/>
  <c r="BF735" i="1"/>
  <c r="BC693" i="1"/>
  <c r="BD693" i="1" s="1"/>
  <c r="BC692" i="1"/>
  <c r="BD692" i="1" s="1"/>
  <c r="BC582" i="1"/>
  <c r="BD579" i="1"/>
  <c r="BS690" i="1"/>
  <c r="BT690" i="1" s="1"/>
  <c r="BS641" i="1"/>
  <c r="BS764" i="1" s="1"/>
  <c r="BT546" i="1"/>
  <c r="BS629" i="1"/>
  <c r="BT629" i="1" s="1"/>
  <c r="BT722" i="1"/>
  <c r="CC764" i="1"/>
  <c r="CC690" i="1"/>
  <c r="CC641" i="1"/>
  <c r="CD546" i="1"/>
  <c r="CC629" i="1"/>
  <c r="CH722" i="1"/>
  <c r="GK513" i="1"/>
  <c r="GJ510" i="1"/>
  <c r="CT539" i="1"/>
  <c r="CT722" i="1"/>
  <c r="W922" i="1"/>
  <c r="X641" i="1"/>
  <c r="BB541" i="1"/>
  <c r="BA542" i="1"/>
  <c r="FS706" i="1"/>
  <c r="BW690" i="1"/>
  <c r="BX690" i="1" s="1"/>
  <c r="BW641" i="1"/>
  <c r="BX546" i="1"/>
  <c r="BW629" i="1"/>
  <c r="BX629" i="1" s="1"/>
  <c r="GF802" i="1"/>
  <c r="GF763" i="1"/>
  <c r="GF543" i="1"/>
  <c r="GG538" i="1"/>
  <c r="GF817" i="1"/>
  <c r="GF781" i="1"/>
  <c r="GF783" i="1" s="1"/>
  <c r="DS722" i="1"/>
  <c r="DT722" i="1" s="1"/>
  <c r="DS706" i="1"/>
  <c r="DT706" i="1" s="1"/>
  <c r="DT539" i="1"/>
  <c r="DS546" i="1"/>
  <c r="EB546" i="1" s="1"/>
  <c r="DE692" i="1"/>
  <c r="DE693" i="1"/>
  <c r="DE582" i="1"/>
  <c r="DF579" i="1"/>
  <c r="AI693" i="1"/>
  <c r="AJ693" i="1" s="1"/>
  <c r="AI692" i="1"/>
  <c r="AJ692" i="1" s="1"/>
  <c r="AJ579" i="1"/>
  <c r="AI582" i="1"/>
  <c r="FT182" i="1"/>
  <c r="GR239" i="1"/>
  <c r="GS239" i="1" s="1"/>
  <c r="GT246" i="1"/>
  <c r="GS246" i="1"/>
  <c r="EB722" i="1"/>
  <c r="FF809" i="1"/>
  <c r="FF826" i="1" s="1"/>
  <c r="AM693" i="1"/>
  <c r="AN693" i="1" s="1"/>
  <c r="AM692" i="1"/>
  <c r="AN692" i="1" s="1"/>
  <c r="AN579" i="1"/>
  <c r="AM582" i="1"/>
  <c r="AN722" i="1"/>
  <c r="GU370" i="1"/>
  <c r="GW575" i="1"/>
  <c r="EK843" i="1"/>
  <c r="EK832" i="1"/>
  <c r="EK846" i="1"/>
  <c r="EK841" i="1"/>
  <c r="EK808" i="1"/>
  <c r="EK822" i="1"/>
  <c r="EK837" i="1"/>
  <c r="EK831" i="1"/>
  <c r="EK807" i="1"/>
  <c r="EK842" i="1"/>
  <c r="EK813" i="1"/>
  <c r="EK830" i="1"/>
  <c r="EK836" i="1"/>
  <c r="EK812" i="1"/>
  <c r="EK814" i="1" s="1"/>
  <c r="EK806" i="1"/>
  <c r="EK818" i="1"/>
  <c r="EK820" i="1" s="1"/>
  <c r="GP381" i="1"/>
  <c r="GQ376" i="1"/>
  <c r="EN541" i="1"/>
  <c r="EF541" i="1"/>
  <c r="EE542" i="1"/>
  <c r="BK693" i="1"/>
  <c r="BL693" i="1" s="1"/>
  <c r="BK692" i="1"/>
  <c r="BL692" i="1" s="1"/>
  <c r="BK582" i="1"/>
  <c r="BL579" i="1"/>
  <c r="CK579" i="1"/>
  <c r="CT579" i="1" s="1"/>
  <c r="CK560" i="1"/>
  <c r="CK554" i="1"/>
  <c r="CL552" i="1"/>
  <c r="BS561" i="1"/>
  <c r="BT561" i="1" s="1"/>
  <c r="BS558" i="1"/>
  <c r="BS559" i="1" s="1"/>
  <c r="GZ486" i="1"/>
  <c r="EM20" i="198" s="1"/>
  <c r="GX487" i="1"/>
  <c r="GY486" i="1"/>
  <c r="EL20" i="198" s="1"/>
  <c r="GX11" i="1"/>
  <c r="DO561" i="1"/>
  <c r="DP560" i="1"/>
  <c r="DO558" i="1"/>
  <c r="DI843" i="1"/>
  <c r="DI832" i="1"/>
  <c r="DI846" i="1"/>
  <c r="DI822" i="1"/>
  <c r="DI808" i="1"/>
  <c r="DI831" i="1"/>
  <c r="DI841" i="1"/>
  <c r="DI807" i="1"/>
  <c r="DI842" i="1"/>
  <c r="DI836" i="1"/>
  <c r="DI830" i="1"/>
  <c r="DI837" i="1"/>
  <c r="DI806" i="1"/>
  <c r="DI809" i="1" s="1"/>
  <c r="DI818" i="1"/>
  <c r="DI820" i="1" s="1"/>
  <c r="DI812" i="1"/>
  <c r="DI814" i="1" s="1"/>
  <c r="DI813" i="1"/>
  <c r="GL802" i="1"/>
  <c r="GL763" i="1"/>
  <c r="GM538" i="1"/>
  <c r="GL543" i="1"/>
  <c r="GL817" i="1"/>
  <c r="GL781" i="1"/>
  <c r="GL783" i="1" s="1"/>
  <c r="CW579" i="1"/>
  <c r="CW560" i="1"/>
  <c r="CW554" i="1"/>
  <c r="CX552" i="1"/>
  <c r="FV722" i="1"/>
  <c r="FV706" i="1"/>
  <c r="FV697" i="1"/>
  <c r="FV546" i="1"/>
  <c r="FW539" i="1"/>
  <c r="AT739" i="1"/>
  <c r="FY551" i="1"/>
  <c r="EH510" i="1"/>
  <c r="EG511" i="1"/>
  <c r="EH511" i="1" s="1"/>
  <c r="CD607" i="1"/>
  <c r="BJ697" i="1"/>
  <c r="CU272" i="1"/>
  <c r="CV270" i="1"/>
  <c r="CW265" i="1"/>
  <c r="CN513" i="1"/>
  <c r="CT587" i="1"/>
  <c r="AY764" i="1"/>
  <c r="AY641" i="1"/>
  <c r="AZ546" i="1"/>
  <c r="AY629" i="1"/>
  <c r="AZ629" i="1" s="1"/>
  <c r="AZ706" i="1"/>
  <c r="BG561" i="1"/>
  <c r="BH561" i="1" s="1"/>
  <c r="BG558" i="1"/>
  <c r="BG559" i="1" s="1"/>
  <c r="DG561" i="1"/>
  <c r="DG558" i="1"/>
  <c r="DG559" i="1" s="1"/>
  <c r="CY640" i="1"/>
  <c r="CZ554" i="1"/>
  <c r="CY17" i="1"/>
  <c r="DT552" i="1"/>
  <c r="DS554" i="1"/>
  <c r="DS579" i="1"/>
  <c r="DS560" i="1"/>
  <c r="BI640" i="1"/>
  <c r="BI647" i="1" s="1"/>
  <c r="BI566" i="1" s="1"/>
  <c r="BJ566" i="1" s="1"/>
  <c r="BI567" i="1"/>
  <c r="BJ554" i="1"/>
  <c r="GZ244" i="1"/>
  <c r="GY244" i="1"/>
  <c r="CR541" i="1"/>
  <c r="CQ542" i="1"/>
  <c r="FP579" i="1"/>
  <c r="FP560" i="1"/>
  <c r="FP554" i="1"/>
  <c r="FS554" i="1" s="1"/>
  <c r="DF551" i="1"/>
  <c r="GB560" i="1"/>
  <c r="GB554" i="1"/>
  <c r="GB579" i="1"/>
  <c r="GC552" i="1"/>
  <c r="DV722" i="1"/>
  <c r="CP706" i="1"/>
  <c r="FJ539" i="1"/>
  <c r="FM539" i="1" s="1"/>
  <c r="FK536" i="1"/>
  <c r="FJ587" i="1"/>
  <c r="FK587" i="1" s="1"/>
  <c r="FJ538" i="1"/>
  <c r="FM538" i="1" s="1"/>
  <c r="AD630" i="1"/>
  <c r="GP129" i="1"/>
  <c r="GQ129" i="1" s="1"/>
  <c r="GQ128" i="1"/>
  <c r="GP132" i="1"/>
  <c r="BO820" i="1"/>
  <c r="FW601" i="1"/>
  <c r="BM693" i="1"/>
  <c r="BN693" i="1" s="1"/>
  <c r="BM692" i="1"/>
  <c r="BN692" i="1" s="1"/>
  <c r="BM582" i="1"/>
  <c r="BN579" i="1"/>
  <c r="BZ587" i="1"/>
  <c r="CC693" i="1"/>
  <c r="CC692" i="1"/>
  <c r="CC582" i="1"/>
  <c r="CD579" i="1"/>
  <c r="DI640" i="1"/>
  <c r="DJ554" i="1"/>
  <c r="DI17" i="1"/>
  <c r="GO587" i="1"/>
  <c r="GV370" i="1"/>
  <c r="GW367" i="1"/>
  <c r="AV737" i="1"/>
  <c r="AR737" i="1"/>
  <c r="BH736" i="1"/>
  <c r="BH735" i="1"/>
  <c r="Z706" i="1"/>
  <c r="G75" i="1"/>
  <c r="G77" i="1" s="1"/>
  <c r="G76" i="1"/>
  <c r="N642" i="1"/>
  <c r="M612" i="1"/>
  <c r="N612" i="1" s="1"/>
  <c r="CE802" i="1"/>
  <c r="CE763" i="1"/>
  <c r="CE735" i="1"/>
  <c r="CF735" i="1" s="1"/>
  <c r="CF538" i="1"/>
  <c r="CE541" i="1"/>
  <c r="CE738" i="1"/>
  <c r="CF738" i="1" s="1"/>
  <c r="CE736" i="1"/>
  <c r="CF736" i="1" s="1"/>
  <c r="CE817" i="1"/>
  <c r="CE737" i="1"/>
  <c r="CF737" i="1" s="1"/>
  <c r="CE781" i="1"/>
  <c r="CE783" i="1" s="1"/>
  <c r="CE691" i="1"/>
  <c r="CE739" i="1"/>
  <c r="CF739" i="1" s="1"/>
  <c r="BZ552" i="1"/>
  <c r="O922" i="1"/>
  <c r="P641" i="1"/>
  <c r="AP706" i="1"/>
  <c r="CS561" i="1"/>
  <c r="CS558" i="1"/>
  <c r="CS559" i="1" s="1"/>
  <c r="FY270" i="1"/>
  <c r="FZ265" i="1"/>
  <c r="FX272" i="1"/>
  <c r="FY272" i="1" s="1"/>
  <c r="GZ368" i="1"/>
  <c r="GY368" i="1"/>
  <c r="EI693" i="1"/>
  <c r="EJ693" i="1" s="1"/>
  <c r="EI692" i="1"/>
  <c r="EJ692" i="1" s="1"/>
  <c r="EJ579" i="1"/>
  <c r="EI582" i="1"/>
  <c r="FW591" i="1"/>
  <c r="EK640" i="1"/>
  <c r="EL554" i="1"/>
  <c r="EK17" i="1"/>
  <c r="AT737" i="1"/>
  <c r="FM602" i="1"/>
  <c r="FL39" i="1"/>
  <c r="FM38" i="1"/>
  <c r="FN29" i="1"/>
  <c r="DG843" i="1"/>
  <c r="DG822" i="1"/>
  <c r="DG846" i="1"/>
  <c r="DG831" i="1"/>
  <c r="DG832" i="1"/>
  <c r="DG836" i="1"/>
  <c r="DG837" i="1"/>
  <c r="DG842" i="1"/>
  <c r="DG830" i="1"/>
  <c r="DG807" i="1"/>
  <c r="DG841" i="1"/>
  <c r="DG808" i="1"/>
  <c r="DG812" i="1"/>
  <c r="DG813" i="1"/>
  <c r="DG818" i="1"/>
  <c r="DG820" i="1" s="1"/>
  <c r="DG806" i="1"/>
  <c r="BN722" i="1"/>
  <c r="AZ289" i="1"/>
  <c r="AY297" i="1"/>
  <c r="BT541" i="1"/>
  <c r="BS542" i="1"/>
  <c r="CD739" i="1"/>
  <c r="CD737" i="1"/>
  <c r="CD538" i="1"/>
  <c r="CC843" i="1"/>
  <c r="CC832" i="1"/>
  <c r="CC846" i="1"/>
  <c r="CC831" i="1"/>
  <c r="CC808" i="1"/>
  <c r="CC822" i="1"/>
  <c r="CC841" i="1"/>
  <c r="CC807" i="1"/>
  <c r="CC836" i="1"/>
  <c r="CC830" i="1"/>
  <c r="CC837" i="1"/>
  <c r="CC842" i="1"/>
  <c r="CC812" i="1"/>
  <c r="CC814" i="1" s="1"/>
  <c r="CC806" i="1"/>
  <c r="CC809" i="1" s="1"/>
  <c r="CC813" i="1"/>
  <c r="CC818" i="1"/>
  <c r="CC820" i="1" s="1"/>
  <c r="BJ738" i="1"/>
  <c r="EU528" i="1"/>
  <c r="DV17" i="2" s="1"/>
  <c r="EU429" i="1"/>
  <c r="EV429" i="1" s="1"/>
  <c r="EV428" i="1"/>
  <c r="CM561" i="1"/>
  <c r="CM558" i="1"/>
  <c r="CM559" i="1" s="1"/>
  <c r="DE783" i="1"/>
  <c r="DE694" i="1"/>
  <c r="DE690" i="1"/>
  <c r="DE641" i="1"/>
  <c r="DF546" i="1"/>
  <c r="DE629" i="1"/>
  <c r="GK587" i="1"/>
  <c r="CT541" i="1"/>
  <c r="CS542" i="1"/>
  <c r="GZ377" i="1"/>
  <c r="GY377" i="1"/>
  <c r="X579" i="1"/>
  <c r="CU843" i="1"/>
  <c r="CU846" i="1"/>
  <c r="CU822" i="1"/>
  <c r="CU832" i="1"/>
  <c r="CU837" i="1"/>
  <c r="CU838" i="1" s="1"/>
  <c r="CU831" i="1"/>
  <c r="CU807" i="1"/>
  <c r="CU836" i="1"/>
  <c r="CU813" i="1"/>
  <c r="CU841" i="1"/>
  <c r="CU830" i="1"/>
  <c r="CU808" i="1"/>
  <c r="CU842" i="1"/>
  <c r="CU812" i="1"/>
  <c r="CU818" i="1"/>
  <c r="CU820" i="1" s="1"/>
  <c r="CU806" i="1"/>
  <c r="BX737" i="1"/>
  <c r="BX541" i="1"/>
  <c r="BW542" i="1"/>
  <c r="BW843" i="1"/>
  <c r="BW822" i="1"/>
  <c r="BW846" i="1"/>
  <c r="BW837" i="1"/>
  <c r="BW831" i="1"/>
  <c r="BW832" i="1"/>
  <c r="BW841" i="1"/>
  <c r="BW830" i="1"/>
  <c r="BW836" i="1"/>
  <c r="BW807" i="1"/>
  <c r="BW813" i="1"/>
  <c r="BW808" i="1"/>
  <c r="BW842" i="1"/>
  <c r="BW812" i="1"/>
  <c r="BW818" i="1"/>
  <c r="BW820" i="1" s="1"/>
  <c r="BW806" i="1"/>
  <c r="DM692" i="1"/>
  <c r="DN692" i="1" s="1"/>
  <c r="DM693" i="1"/>
  <c r="DN693" i="1" s="1"/>
  <c r="DM582" i="1"/>
  <c r="DN579" i="1"/>
  <c r="EB513" i="1"/>
  <c r="GF560" i="1"/>
  <c r="GF554" i="1"/>
  <c r="GF579" i="1"/>
  <c r="GG552" i="1"/>
  <c r="GA513" i="1"/>
  <c r="FZ510" i="1"/>
  <c r="FZ511" i="1" s="1"/>
  <c r="GA511" i="1" s="1"/>
  <c r="EM843" i="1"/>
  <c r="EM822" i="1"/>
  <c r="EM846" i="1"/>
  <c r="EM832" i="1"/>
  <c r="EM831" i="1"/>
  <c r="EM842" i="1"/>
  <c r="EM836" i="1"/>
  <c r="EM808" i="1"/>
  <c r="EM807" i="1"/>
  <c r="EM837" i="1"/>
  <c r="EM841" i="1"/>
  <c r="EM830" i="1"/>
  <c r="EM813" i="1"/>
  <c r="EM806" i="1"/>
  <c r="EM809" i="1" s="1"/>
  <c r="EM818" i="1"/>
  <c r="EM820" i="1" s="1"/>
  <c r="EM812" i="1"/>
  <c r="DX541" i="1"/>
  <c r="DW542" i="1"/>
  <c r="CQ783" i="1"/>
  <c r="CQ694" i="1"/>
  <c r="CQ690" i="1"/>
  <c r="CQ641" i="1"/>
  <c r="CQ764" i="1" s="1"/>
  <c r="CR546" i="1"/>
  <c r="CQ629" i="1"/>
  <c r="CR722" i="1"/>
  <c r="CN706" i="1"/>
  <c r="FX164" i="1"/>
  <c r="FV179" i="1"/>
  <c r="FV170" i="1"/>
  <c r="FW169" i="1"/>
  <c r="AX706" i="1"/>
  <c r="FR692" i="1"/>
  <c r="FR693" i="1"/>
  <c r="FR582" i="1"/>
  <c r="FS579" i="1"/>
  <c r="AB579" i="1"/>
  <c r="DL511" i="1"/>
  <c r="BP697" i="1"/>
  <c r="BZ739" i="1"/>
  <c r="BZ737" i="1"/>
  <c r="BZ541" i="1"/>
  <c r="BY542" i="1"/>
  <c r="BY843" i="1"/>
  <c r="BY832" i="1"/>
  <c r="BY846" i="1"/>
  <c r="BY841" i="1"/>
  <c r="BY822" i="1"/>
  <c r="BY808" i="1"/>
  <c r="BY831" i="1"/>
  <c r="BY837" i="1"/>
  <c r="BY813" i="1"/>
  <c r="BY842" i="1"/>
  <c r="BY807" i="1"/>
  <c r="BY830" i="1"/>
  <c r="BY836" i="1"/>
  <c r="BY806" i="1"/>
  <c r="BY818" i="1"/>
  <c r="BY820" i="1" s="1"/>
  <c r="BY812" i="1"/>
  <c r="BY814" i="1" s="1"/>
  <c r="EM640" i="1"/>
  <c r="EN554" i="1"/>
  <c r="EM17" i="1"/>
  <c r="DW640" i="1"/>
  <c r="DX554" i="1"/>
  <c r="DW17" i="1"/>
  <c r="DB697" i="1"/>
  <c r="DU640" i="1"/>
  <c r="DV554" i="1"/>
  <c r="DU17" i="1"/>
  <c r="BD739" i="1"/>
  <c r="DY525" i="2" l="1"/>
  <c r="DA518" i="198"/>
  <c r="CU518" i="198"/>
  <c r="DS525" i="2"/>
  <c r="ED512" i="198"/>
  <c r="FJ519" i="2"/>
  <c r="EG527" i="198"/>
  <c r="FM534" i="2"/>
  <c r="EC514" i="198"/>
  <c r="EC515" i="198" s="1"/>
  <c r="EC18" i="198"/>
  <c r="FI521" i="2"/>
  <c r="FI522" i="2" s="1"/>
  <c r="EF527" i="198"/>
  <c r="FL534" i="2"/>
  <c r="DY484" i="2"/>
  <c r="DA477" i="198"/>
  <c r="EV384" i="1"/>
  <c r="CX477" i="198"/>
  <c r="DV484" i="2"/>
  <c r="CY473" i="198"/>
  <c r="CY17" i="198"/>
  <c r="CY19" i="198" s="1"/>
  <c r="DW480" i="2"/>
  <c r="FJ476" i="2"/>
  <c r="ED469" i="198"/>
  <c r="FI494" i="2"/>
  <c r="EC487" i="198"/>
  <c r="CW473" i="198"/>
  <c r="CW17" i="198"/>
  <c r="CW19" i="198" s="1"/>
  <c r="DU480" i="2"/>
  <c r="ET384" i="1"/>
  <c r="DT484" i="2"/>
  <c r="CV477" i="198"/>
  <c r="ED486" i="198"/>
  <c r="FJ493" i="2"/>
  <c r="FI480" i="2"/>
  <c r="FI481" i="2" s="1"/>
  <c r="EC17" i="198"/>
  <c r="EC473" i="198"/>
  <c r="EC474" i="198" s="1"/>
  <c r="ED471" i="198"/>
  <c r="FJ478" i="2"/>
  <c r="FK493" i="2"/>
  <c r="EE486" i="198"/>
  <c r="DY71" i="2"/>
  <c r="DY35" i="2"/>
  <c r="DA62" i="198"/>
  <c r="DA30" i="198"/>
  <c r="FI70" i="2"/>
  <c r="EC61" i="198"/>
  <c r="DY70" i="2"/>
  <c r="DA61" i="198"/>
  <c r="EC30" i="198"/>
  <c r="EC62" i="198"/>
  <c r="FI71" i="2"/>
  <c r="FI35" i="2"/>
  <c r="EL461" i="198"/>
  <c r="FR468" i="2"/>
  <c r="EH501" i="198"/>
  <c r="FN508" i="2"/>
  <c r="EM470" i="198"/>
  <c r="FS477" i="2"/>
  <c r="EH463" i="198"/>
  <c r="FN470" i="2"/>
  <c r="EM467" i="198"/>
  <c r="FS474" i="2"/>
  <c r="EM458" i="198"/>
  <c r="FS465" i="2"/>
  <c r="GX367" i="1"/>
  <c r="EM503" i="198"/>
  <c r="FS510" i="2"/>
  <c r="EL462" i="198"/>
  <c r="FR469" i="2"/>
  <c r="FM511" i="2"/>
  <c r="EG504" i="198"/>
  <c r="EJ460" i="198"/>
  <c r="FP467" i="2"/>
  <c r="FL511" i="2"/>
  <c r="EF504" i="198"/>
  <c r="FR510" i="2"/>
  <c r="EL503" i="198"/>
  <c r="EM508" i="198"/>
  <c r="FS515" i="2"/>
  <c r="EM461" i="198"/>
  <c r="FS468" i="2"/>
  <c r="EI463" i="198"/>
  <c r="FO470" i="2"/>
  <c r="EL459" i="198"/>
  <c r="FR466" i="2"/>
  <c r="FR515" i="2"/>
  <c r="EL508" i="198"/>
  <c r="EL467" i="198"/>
  <c r="FR474" i="2"/>
  <c r="EM462" i="198"/>
  <c r="FS469" i="2"/>
  <c r="EF507" i="198"/>
  <c r="FL514" i="2"/>
  <c r="EL470" i="198"/>
  <c r="FR477" i="2"/>
  <c r="EL458" i="198"/>
  <c r="FR465" i="2"/>
  <c r="EI501" i="198"/>
  <c r="FO508" i="2"/>
  <c r="EM459" i="198"/>
  <c r="FS466" i="2"/>
  <c r="BW838" i="1"/>
  <c r="DE838" i="1"/>
  <c r="CU814" i="1"/>
  <c r="DW838" i="1"/>
  <c r="BM814" i="1"/>
  <c r="EA814" i="1"/>
  <c r="BW833" i="1"/>
  <c r="EK833" i="1"/>
  <c r="CY833" i="1"/>
  <c r="BG844" i="1"/>
  <c r="DK844" i="1"/>
  <c r="CO809" i="1"/>
  <c r="EA844" i="1"/>
  <c r="DU809" i="1"/>
  <c r="FF850" i="1"/>
  <c r="EG809" i="1"/>
  <c r="BY838" i="1"/>
  <c r="DO814" i="1"/>
  <c r="CQ844" i="1"/>
  <c r="BS833" i="1"/>
  <c r="CC844" i="1"/>
  <c r="DG844" i="1"/>
  <c r="EM814" i="1"/>
  <c r="CY838" i="1"/>
  <c r="CS833" i="1"/>
  <c r="EI809" i="1"/>
  <c r="CO838" i="1"/>
  <c r="DE814" i="1"/>
  <c r="BY543" i="1"/>
  <c r="DW647" i="1"/>
  <c r="DX640" i="1"/>
  <c r="DW18" i="1"/>
  <c r="EM647" i="1"/>
  <c r="EN640" i="1"/>
  <c r="EM18" i="1"/>
  <c r="BY844" i="1"/>
  <c r="FY164" i="1"/>
  <c r="FX176" i="1"/>
  <c r="FX169" i="1"/>
  <c r="FX175" i="1"/>
  <c r="FX174" i="1"/>
  <c r="EM833" i="1"/>
  <c r="GF693" i="1"/>
  <c r="GF692" i="1"/>
  <c r="GG579" i="1"/>
  <c r="GF582" i="1"/>
  <c r="BW809" i="1"/>
  <c r="BX542" i="1"/>
  <c r="BW543" i="1"/>
  <c r="DE922" i="1"/>
  <c r="CC838" i="1"/>
  <c r="AY298" i="1"/>
  <c r="AZ297" i="1"/>
  <c r="DG838" i="1"/>
  <c r="FN38" i="1"/>
  <c r="FO29" i="1"/>
  <c r="FN45" i="1"/>
  <c r="FN43" i="1"/>
  <c r="FN46" i="1"/>
  <c r="FN44" i="1"/>
  <c r="EK647" i="1"/>
  <c r="EK18" i="1"/>
  <c r="CS695" i="1"/>
  <c r="CS644" i="1"/>
  <c r="CF541" i="1"/>
  <c r="CE542" i="1"/>
  <c r="CE843" i="1"/>
  <c r="CE846" i="1"/>
  <c r="CE822" i="1"/>
  <c r="CE837" i="1"/>
  <c r="CE832" i="1"/>
  <c r="CE831" i="1"/>
  <c r="CE836" i="1"/>
  <c r="CE807" i="1"/>
  <c r="CE841" i="1"/>
  <c r="CE830" i="1"/>
  <c r="CE842" i="1"/>
  <c r="CE808" i="1"/>
  <c r="CE813" i="1"/>
  <c r="CE806" i="1"/>
  <c r="CE812" i="1"/>
  <c r="CE818" i="1"/>
  <c r="BM698" i="1"/>
  <c r="BM642" i="1"/>
  <c r="BM583" i="1"/>
  <c r="BM626" i="1" s="1"/>
  <c r="BN582" i="1"/>
  <c r="BM630" i="1"/>
  <c r="GB561" i="1"/>
  <c r="GB558" i="1"/>
  <c r="GB559" i="1" s="1"/>
  <c r="FP693" i="1"/>
  <c r="FP692" i="1"/>
  <c r="FQ579" i="1"/>
  <c r="FP582" i="1"/>
  <c r="DS561" i="1"/>
  <c r="DT560" i="1"/>
  <c r="DS558" i="1"/>
  <c r="CW692" i="1"/>
  <c r="CX692" i="1" s="1"/>
  <c r="CW693" i="1"/>
  <c r="CX693" i="1" s="1"/>
  <c r="CW582" i="1"/>
  <c r="CX579" i="1"/>
  <c r="DO559" i="1"/>
  <c r="DP559" i="1" s="1"/>
  <c r="DP558" i="1"/>
  <c r="CK561" i="1"/>
  <c r="CT561" i="1" s="1"/>
  <c r="CK558" i="1"/>
  <c r="CK559" i="1" s="1"/>
  <c r="EK809" i="1"/>
  <c r="EK838" i="1"/>
  <c r="FU182" i="1"/>
  <c r="FT193" i="1"/>
  <c r="FU193" i="1" s="1"/>
  <c r="CC922" i="1"/>
  <c r="GL640" i="1"/>
  <c r="GM554" i="1"/>
  <c r="GL17" i="1"/>
  <c r="GW115" i="1"/>
  <c r="EO692" i="1"/>
  <c r="EP692" i="1" s="1"/>
  <c r="EO693" i="1"/>
  <c r="EP693" i="1" s="1"/>
  <c r="EO582" i="1"/>
  <c r="EP579" i="1"/>
  <c r="AK543" i="1"/>
  <c r="AL542" i="1"/>
  <c r="DD289" i="1"/>
  <c r="DO833" i="1"/>
  <c r="DO844" i="1"/>
  <c r="GN561" i="1"/>
  <c r="GO560" i="1"/>
  <c r="GN558" i="1"/>
  <c r="AK698" i="1"/>
  <c r="AL698" i="1" s="1"/>
  <c r="AK642" i="1"/>
  <c r="AL582" i="1"/>
  <c r="AK630" i="1"/>
  <c r="AL630" i="1" s="1"/>
  <c r="DK647" i="1"/>
  <c r="GH640" i="1"/>
  <c r="DK18" i="1"/>
  <c r="FN692" i="1"/>
  <c r="FN693" i="1"/>
  <c r="FN582" i="1"/>
  <c r="FO579" i="1"/>
  <c r="EX527" i="1"/>
  <c r="DY16" i="2" s="1"/>
  <c r="CY814" i="1"/>
  <c r="FZ289" i="1"/>
  <c r="GA287" i="1"/>
  <c r="GC287" i="1"/>
  <c r="EH640" i="1"/>
  <c r="EG647" i="1"/>
  <c r="EG18" i="1"/>
  <c r="BM809" i="1"/>
  <c r="BM833" i="1"/>
  <c r="AW698" i="1"/>
  <c r="AW642" i="1"/>
  <c r="AX582" i="1"/>
  <c r="AW630" i="1"/>
  <c r="DW814" i="1"/>
  <c r="DW833" i="1"/>
  <c r="DM695" i="1"/>
  <c r="DM691" i="1"/>
  <c r="DM644" i="1"/>
  <c r="DN561" i="1"/>
  <c r="DM564" i="1"/>
  <c r="EC640" i="1"/>
  <c r="ED554" i="1"/>
  <c r="EC17" i="1"/>
  <c r="DM543" i="1"/>
  <c r="DN542" i="1"/>
  <c r="EI559" i="1"/>
  <c r="EJ558" i="1"/>
  <c r="CW783" i="1"/>
  <c r="CW694" i="1"/>
  <c r="CW690" i="1"/>
  <c r="CX690" i="1" s="1"/>
  <c r="CW641" i="1"/>
  <c r="CW764" i="1" s="1"/>
  <c r="CX546" i="1"/>
  <c r="CW629" i="1"/>
  <c r="CX629" i="1" s="1"/>
  <c r="GV418" i="1"/>
  <c r="GU418" i="1"/>
  <c r="GY403" i="1"/>
  <c r="GZ403" i="1"/>
  <c r="GX405" i="1"/>
  <c r="AR542" i="1"/>
  <c r="AQ543" i="1"/>
  <c r="BO809" i="1"/>
  <c r="BO833" i="1"/>
  <c r="BP542" i="1"/>
  <c r="BO543" i="1"/>
  <c r="FN846" i="1"/>
  <c r="FN832" i="1"/>
  <c r="FN842" i="1"/>
  <c r="FN822" i="1"/>
  <c r="FN841" i="1"/>
  <c r="FN836" i="1"/>
  <c r="FN831" i="1"/>
  <c r="FN830" i="1"/>
  <c r="FN837" i="1"/>
  <c r="FN813" i="1"/>
  <c r="FN843" i="1"/>
  <c r="FN808" i="1"/>
  <c r="FN807" i="1"/>
  <c r="FN806" i="1"/>
  <c r="FN818" i="1"/>
  <c r="FN812" i="1"/>
  <c r="CQ838" i="1"/>
  <c r="CZ693" i="1"/>
  <c r="CI640" i="1"/>
  <c r="CI647" i="1" s="1"/>
  <c r="CI566" i="1" s="1"/>
  <c r="CJ566" i="1" s="1"/>
  <c r="CJ554" i="1"/>
  <c r="CI567" i="1"/>
  <c r="CJ567" i="1" s="1"/>
  <c r="FX693" i="1"/>
  <c r="FX692" i="1"/>
  <c r="FY579" i="1"/>
  <c r="FX582" i="1"/>
  <c r="CA809" i="1"/>
  <c r="CA826" i="1" s="1"/>
  <c r="CA838" i="1"/>
  <c r="CA833" i="1"/>
  <c r="CB542" i="1"/>
  <c r="CA543" i="1"/>
  <c r="GL764" i="1"/>
  <c r="GL690" i="1"/>
  <c r="GL694" i="1"/>
  <c r="GL641" i="1"/>
  <c r="GM546" i="1"/>
  <c r="GL629" i="1"/>
  <c r="EE809" i="1"/>
  <c r="EE814" i="1"/>
  <c r="BQ764" i="1"/>
  <c r="BQ690" i="1"/>
  <c r="BR690" i="1" s="1"/>
  <c r="BQ641" i="1"/>
  <c r="BR546" i="1"/>
  <c r="BQ629" i="1"/>
  <c r="BR629" i="1" s="1"/>
  <c r="AY567" i="1"/>
  <c r="AZ567" i="1" s="1"/>
  <c r="BF692" i="1"/>
  <c r="CN542" i="1"/>
  <c r="CM543" i="1"/>
  <c r="DJ629" i="1"/>
  <c r="GE697" i="1"/>
  <c r="FW298" i="1"/>
  <c r="FV305" i="1"/>
  <c r="FW305" i="1" s="1"/>
  <c r="CO695" i="1"/>
  <c r="CO644" i="1"/>
  <c r="CP561" i="1"/>
  <c r="CG695" i="1"/>
  <c r="CH561" i="1"/>
  <c r="AK922" i="1"/>
  <c r="AL641" i="1"/>
  <c r="DK698" i="1"/>
  <c r="DK642" i="1"/>
  <c r="DK630" i="1"/>
  <c r="FZ843" i="1"/>
  <c r="FZ846" i="1"/>
  <c r="FZ836" i="1"/>
  <c r="FZ832" i="1"/>
  <c r="FZ822" i="1"/>
  <c r="FZ831" i="1"/>
  <c r="FZ807" i="1"/>
  <c r="FZ830" i="1"/>
  <c r="FZ841" i="1"/>
  <c r="FZ842" i="1"/>
  <c r="FZ837" i="1"/>
  <c r="FZ838" i="1" s="1"/>
  <c r="FZ812" i="1"/>
  <c r="FZ808" i="1"/>
  <c r="FZ813" i="1"/>
  <c r="FZ806" i="1"/>
  <c r="FZ818" i="1"/>
  <c r="FZ820" i="1" s="1"/>
  <c r="BC922" i="1"/>
  <c r="BC644" i="1"/>
  <c r="BD641" i="1"/>
  <c r="EA695" i="1"/>
  <c r="EA691" i="1"/>
  <c r="EA564" i="1"/>
  <c r="EB561" i="1"/>
  <c r="DE543" i="1"/>
  <c r="BK833" i="1"/>
  <c r="BO567" i="1"/>
  <c r="AE922" i="1"/>
  <c r="AF641" i="1"/>
  <c r="CU647" i="1"/>
  <c r="CU18" i="1"/>
  <c r="BU693" i="1"/>
  <c r="BV693" i="1" s="1"/>
  <c r="BU692" i="1"/>
  <c r="BV692" i="1" s="1"/>
  <c r="BU582" i="1"/>
  <c r="BV579" i="1"/>
  <c r="GE511" i="1"/>
  <c r="EL706" i="1"/>
  <c r="DV692" i="1"/>
  <c r="DW559" i="1"/>
  <c r="DX559" i="1" s="1"/>
  <c r="DX558" i="1"/>
  <c r="I39" i="1"/>
  <c r="I74" i="1" s="1"/>
  <c r="K29" i="1"/>
  <c r="FZ640" i="1"/>
  <c r="GA554" i="1"/>
  <c r="FZ17" i="1"/>
  <c r="L642" i="1"/>
  <c r="K612" i="1"/>
  <c r="L612" i="1" s="1"/>
  <c r="FH579" i="1"/>
  <c r="FH560" i="1"/>
  <c r="FH554" i="1"/>
  <c r="EI833" i="1"/>
  <c r="DF706" i="1"/>
  <c r="CM647" i="1"/>
  <c r="CM18" i="1"/>
  <c r="CN18" i="1" s="1"/>
  <c r="GY498" i="1"/>
  <c r="GZ498" i="1"/>
  <c r="BB287" i="1"/>
  <c r="BA289" i="1"/>
  <c r="BC281" i="1"/>
  <c r="DM833" i="1"/>
  <c r="GV408" i="1"/>
  <c r="GV411" i="1"/>
  <c r="GW405" i="1"/>
  <c r="Y698" i="1"/>
  <c r="Y642" i="1"/>
  <c r="Z582" i="1"/>
  <c r="Y630" i="1"/>
  <c r="Z630" i="1" s="1"/>
  <c r="BG814" i="1"/>
  <c r="DI698" i="1"/>
  <c r="DI642" i="1"/>
  <c r="DJ582" i="1"/>
  <c r="DI630" i="1"/>
  <c r="Q642" i="1"/>
  <c r="R582" i="1"/>
  <c r="O684" i="1"/>
  <c r="I684" i="1"/>
  <c r="K684" i="1"/>
  <c r="M684" i="1"/>
  <c r="BJ693" i="1"/>
  <c r="DG647" i="1"/>
  <c r="DG18" i="1"/>
  <c r="CG844" i="1"/>
  <c r="CZ690" i="1"/>
  <c r="EE698" i="1"/>
  <c r="EF698" i="1" s="1"/>
  <c r="EE642" i="1"/>
  <c r="EF582" i="1"/>
  <c r="EE630" i="1"/>
  <c r="FL846" i="1"/>
  <c r="FL832" i="1"/>
  <c r="FL822" i="1"/>
  <c r="FL842" i="1"/>
  <c r="FL841" i="1"/>
  <c r="FL843" i="1"/>
  <c r="FL831" i="1"/>
  <c r="FL830" i="1"/>
  <c r="FL808" i="1"/>
  <c r="FL836" i="1"/>
  <c r="FL818" i="1"/>
  <c r="FL807" i="1"/>
  <c r="FL837" i="1"/>
  <c r="FL812" i="1"/>
  <c r="FL806" i="1"/>
  <c r="FL813" i="1"/>
  <c r="FV822" i="1"/>
  <c r="FV846" i="1"/>
  <c r="FV830" i="1"/>
  <c r="FV843" i="1"/>
  <c r="FV806" i="1"/>
  <c r="FV836" i="1"/>
  <c r="FV831" i="1"/>
  <c r="FV832" i="1"/>
  <c r="FV808" i="1"/>
  <c r="FV812" i="1"/>
  <c r="FV842" i="1"/>
  <c r="FV837" i="1"/>
  <c r="FV807" i="1"/>
  <c r="FV841" i="1"/>
  <c r="FV818" i="1"/>
  <c r="FV820" i="1" s="1"/>
  <c r="FV813" i="1"/>
  <c r="DO647" i="1"/>
  <c r="DP640" i="1"/>
  <c r="DO18" i="1"/>
  <c r="DP18" i="1" s="1"/>
  <c r="DK838" i="1"/>
  <c r="DK850" i="1" s="1"/>
  <c r="GT800" i="1"/>
  <c r="GU408" i="1"/>
  <c r="BR541" i="1"/>
  <c r="BQ542" i="1"/>
  <c r="BZ542" i="1" s="1"/>
  <c r="BQ846" i="1"/>
  <c r="BQ832" i="1"/>
  <c r="BQ808" i="1"/>
  <c r="BQ831" i="1"/>
  <c r="BQ822" i="1"/>
  <c r="BQ836" i="1"/>
  <c r="BQ843" i="1"/>
  <c r="BQ842" i="1"/>
  <c r="BQ837" i="1"/>
  <c r="BQ841" i="1"/>
  <c r="BQ812" i="1"/>
  <c r="BQ807" i="1"/>
  <c r="BQ830" i="1"/>
  <c r="BQ813" i="1"/>
  <c r="BQ806" i="1"/>
  <c r="BQ818" i="1"/>
  <c r="AZ692" i="1"/>
  <c r="AI922" i="1"/>
  <c r="FN641" i="1"/>
  <c r="AJ641" i="1"/>
  <c r="DE647" i="1"/>
  <c r="DE18" i="1"/>
  <c r="CM833" i="1"/>
  <c r="CM844" i="1"/>
  <c r="DT541" i="1"/>
  <c r="DS542" i="1"/>
  <c r="FV154" i="1"/>
  <c r="FW154" i="1" s="1"/>
  <c r="FX149" i="1"/>
  <c r="FV180" i="1"/>
  <c r="FW153" i="1"/>
  <c r="GJ297" i="1"/>
  <c r="GK289" i="1"/>
  <c r="DQ809" i="1"/>
  <c r="BE543" i="1"/>
  <c r="BF542" i="1"/>
  <c r="DR558" i="1"/>
  <c r="DQ559" i="1"/>
  <c r="DR559" i="1" s="1"/>
  <c r="GY123" i="1"/>
  <c r="GX115" i="1"/>
  <c r="CO647" i="1"/>
  <c r="CO18" i="1"/>
  <c r="CP18" i="1" s="1"/>
  <c r="FN56" i="1"/>
  <c r="FO50" i="1"/>
  <c r="FN60" i="1"/>
  <c r="FO60" i="1" s="1"/>
  <c r="FN61" i="1"/>
  <c r="FO61" i="1" s="1"/>
  <c r="FN62" i="1"/>
  <c r="FO62" i="1" s="1"/>
  <c r="GT119" i="1"/>
  <c r="GV126" i="1"/>
  <c r="GU126" i="1"/>
  <c r="DY695" i="1"/>
  <c r="DY691" i="1"/>
  <c r="DY644" i="1"/>
  <c r="DZ561" i="1"/>
  <c r="DY564" i="1"/>
  <c r="FZ764" i="1"/>
  <c r="FZ690" i="1"/>
  <c r="GA690" i="1" s="1"/>
  <c r="FZ641" i="1"/>
  <c r="GA546" i="1"/>
  <c r="FZ629" i="1"/>
  <c r="CU922" i="1"/>
  <c r="CV641" i="1"/>
  <c r="AH693" i="1"/>
  <c r="DE844" i="1"/>
  <c r="DQ922" i="1"/>
  <c r="DR641" i="1"/>
  <c r="EH693" i="1"/>
  <c r="BE922" i="1"/>
  <c r="BF641" i="1"/>
  <c r="BE644" i="1"/>
  <c r="BO698" i="1"/>
  <c r="BO642" i="1"/>
  <c r="BO583" i="1"/>
  <c r="BO626" i="1" s="1"/>
  <c r="BP582" i="1"/>
  <c r="BO630" i="1"/>
  <c r="FX690" i="1"/>
  <c r="FX641" i="1"/>
  <c r="FX764" i="1" s="1"/>
  <c r="FY546" i="1"/>
  <c r="FX629" i="1"/>
  <c r="FY722" i="1"/>
  <c r="EW528" i="1"/>
  <c r="EW429" i="1"/>
  <c r="EX429" i="1" s="1"/>
  <c r="EX428" i="1"/>
  <c r="CA922" i="1"/>
  <c r="CB641" i="1"/>
  <c r="FT802" i="1"/>
  <c r="FT763" i="1"/>
  <c r="FT543" i="1"/>
  <c r="FU538" i="1"/>
  <c r="FT817" i="1"/>
  <c r="FT781" i="1"/>
  <c r="FT783" i="1" s="1"/>
  <c r="FT691" i="1"/>
  <c r="EF629" i="1"/>
  <c r="EF694" i="1"/>
  <c r="EA826" i="1"/>
  <c r="DC843" i="1"/>
  <c r="DC822" i="1"/>
  <c r="DC846" i="1"/>
  <c r="DC832" i="1"/>
  <c r="DC837" i="1"/>
  <c r="DC831" i="1"/>
  <c r="DC813" i="1"/>
  <c r="DC841" i="1"/>
  <c r="DC830" i="1"/>
  <c r="DC808" i="1"/>
  <c r="DC836" i="1"/>
  <c r="DC807" i="1"/>
  <c r="DC842" i="1"/>
  <c r="DC818" i="1"/>
  <c r="DC820" i="1" s="1"/>
  <c r="DC812" i="1"/>
  <c r="DC814" i="1" s="1"/>
  <c r="DC806" i="1"/>
  <c r="DC809" i="1" s="1"/>
  <c r="X692" i="1"/>
  <c r="ED510" i="1"/>
  <c r="EC511" i="1"/>
  <c r="ED511" i="1" s="1"/>
  <c r="BI814" i="1"/>
  <c r="BI844" i="1"/>
  <c r="BS809" i="1"/>
  <c r="BS838" i="1"/>
  <c r="DH542" i="1"/>
  <c r="DG543" i="1"/>
  <c r="EI647" i="1"/>
  <c r="EJ640" i="1"/>
  <c r="EI18" i="1"/>
  <c r="CX541" i="1"/>
  <c r="CW542" i="1"/>
  <c r="GQ613" i="1"/>
  <c r="GO706" i="1"/>
  <c r="BA567" i="1"/>
  <c r="BB567" i="1" s="1"/>
  <c r="FO546" i="1"/>
  <c r="FN629" i="1"/>
  <c r="FO722" i="1"/>
  <c r="DH693" i="1"/>
  <c r="BH693" i="1"/>
  <c r="EE559" i="1"/>
  <c r="EF559" i="1" s="1"/>
  <c r="EF558" i="1"/>
  <c r="GY669" i="1"/>
  <c r="GZ669" i="1"/>
  <c r="DO642" i="1"/>
  <c r="DP582" i="1"/>
  <c r="DO630" i="1"/>
  <c r="BS698" i="1"/>
  <c r="BS642" i="1"/>
  <c r="BT582" i="1"/>
  <c r="BS583" i="1"/>
  <c r="BS626" i="1" s="1"/>
  <c r="BS630" i="1"/>
  <c r="GG697" i="1"/>
  <c r="AZ542" i="1"/>
  <c r="AY543" i="1"/>
  <c r="CS922" i="1"/>
  <c r="GJ640" i="1"/>
  <c r="GK554" i="1"/>
  <c r="GJ17" i="1"/>
  <c r="CH629" i="1"/>
  <c r="DR640" i="1"/>
  <c r="DQ647" i="1"/>
  <c r="DQ18" i="1"/>
  <c r="DR18" i="1" s="1"/>
  <c r="GD843" i="1"/>
  <c r="GD846" i="1"/>
  <c r="GD822" i="1"/>
  <c r="GD832" i="1"/>
  <c r="GD831" i="1"/>
  <c r="GD836" i="1"/>
  <c r="GD842" i="1"/>
  <c r="GD841" i="1"/>
  <c r="GD837" i="1"/>
  <c r="GD807" i="1"/>
  <c r="GD812" i="1"/>
  <c r="GD814" i="1" s="1"/>
  <c r="GD808" i="1"/>
  <c r="GD830" i="1"/>
  <c r="GD813" i="1"/>
  <c r="GD806" i="1"/>
  <c r="GD818" i="1"/>
  <c r="GD820" i="1" s="1"/>
  <c r="BQ693" i="1"/>
  <c r="BR693" i="1" s="1"/>
  <c r="BQ692" i="1"/>
  <c r="BR692" i="1" s="1"/>
  <c r="BQ582" i="1"/>
  <c r="BR579" i="1"/>
  <c r="DZ640" i="1"/>
  <c r="DY647" i="1"/>
  <c r="DY18" i="1"/>
  <c r="DA695" i="1"/>
  <c r="DA691" i="1"/>
  <c r="DA644" i="1"/>
  <c r="DB561" i="1"/>
  <c r="EA647" i="1"/>
  <c r="EA18" i="1"/>
  <c r="GH693" i="1"/>
  <c r="GI693" i="1" s="1"/>
  <c r="GH692" i="1"/>
  <c r="GI692" i="1" s="1"/>
  <c r="GH582" i="1"/>
  <c r="GI579" i="1"/>
  <c r="FX843" i="1"/>
  <c r="FX822" i="1"/>
  <c r="FX846" i="1"/>
  <c r="FX831" i="1"/>
  <c r="FX841" i="1"/>
  <c r="FX842" i="1"/>
  <c r="FX836" i="1"/>
  <c r="FX830" i="1"/>
  <c r="FX832" i="1"/>
  <c r="FX833" i="1" s="1"/>
  <c r="FX806" i="1"/>
  <c r="FX807" i="1"/>
  <c r="FX812" i="1"/>
  <c r="FX837" i="1"/>
  <c r="FX818" i="1"/>
  <c r="FX820" i="1" s="1"/>
  <c r="FX808" i="1"/>
  <c r="FX813" i="1"/>
  <c r="CE693" i="1"/>
  <c r="CF693" i="1" s="1"/>
  <c r="CE692" i="1"/>
  <c r="CF692" i="1" s="1"/>
  <c r="CF579" i="1"/>
  <c r="CE582" i="1"/>
  <c r="AU179" i="1"/>
  <c r="AW164" i="1"/>
  <c r="AV169" i="1"/>
  <c r="AU170" i="1"/>
  <c r="GW243" i="1"/>
  <c r="GV235" i="1"/>
  <c r="AV629" i="1"/>
  <c r="AV692" i="1"/>
  <c r="CE820" i="1"/>
  <c r="DI647" i="1"/>
  <c r="DI18" i="1"/>
  <c r="CD693" i="1"/>
  <c r="GP769" i="1"/>
  <c r="GP519" i="1"/>
  <c r="GQ132" i="1"/>
  <c r="GP133" i="1"/>
  <c r="GQ133" i="1" s="1"/>
  <c r="FJ722" i="1"/>
  <c r="FJ706" i="1"/>
  <c r="FJ690" i="1"/>
  <c r="FJ697" i="1"/>
  <c r="FJ546" i="1"/>
  <c r="FK539" i="1"/>
  <c r="CQ543" i="1"/>
  <c r="DS693" i="1"/>
  <c r="DT693" i="1" s="1"/>
  <c r="DS692" i="1"/>
  <c r="DT692" i="1" s="1"/>
  <c r="DT579" i="1"/>
  <c r="DS582" i="1"/>
  <c r="DG695" i="1"/>
  <c r="DG691" i="1"/>
  <c r="DG644" i="1"/>
  <c r="DG564" i="1"/>
  <c r="DG645" i="1" s="1"/>
  <c r="DH561" i="1"/>
  <c r="CV272" i="1"/>
  <c r="CU297" i="1"/>
  <c r="FV764" i="1"/>
  <c r="FV690" i="1"/>
  <c r="FV641" i="1"/>
  <c r="FV629" i="1"/>
  <c r="DI833" i="1"/>
  <c r="GY487" i="1"/>
  <c r="GZ487" i="1"/>
  <c r="CK693" i="1"/>
  <c r="CL693" i="1" s="1"/>
  <c r="CK692" i="1"/>
  <c r="CL692" i="1" s="1"/>
  <c r="CK582" i="1"/>
  <c r="CL579" i="1"/>
  <c r="EK826" i="1"/>
  <c r="AI698" i="1"/>
  <c r="AJ698" i="1" s="1"/>
  <c r="AI642" i="1"/>
  <c r="AJ582" i="1"/>
  <c r="AI630" i="1"/>
  <c r="AJ630" i="1" s="1"/>
  <c r="DS783" i="1"/>
  <c r="DS694" i="1"/>
  <c r="DT694" i="1" s="1"/>
  <c r="DS690" i="1"/>
  <c r="DT690" i="1" s="1"/>
  <c r="DS641" i="1"/>
  <c r="DS764" i="1" s="1"/>
  <c r="DT546" i="1"/>
  <c r="DS629" i="1"/>
  <c r="DT629" i="1" s="1"/>
  <c r="BW922" i="1"/>
  <c r="BW644" i="1"/>
  <c r="BX641" i="1"/>
  <c r="BA543" i="1"/>
  <c r="BB542" i="1"/>
  <c r="GL561" i="1"/>
  <c r="GM560" i="1"/>
  <c r="GL558" i="1"/>
  <c r="GN693" i="1"/>
  <c r="GN692" i="1"/>
  <c r="GO579" i="1"/>
  <c r="GN582" i="1"/>
  <c r="DA833" i="1"/>
  <c r="AW543" i="1"/>
  <c r="AX542" i="1"/>
  <c r="GP387" i="1"/>
  <c r="GP384" i="1"/>
  <c r="GQ383" i="1"/>
  <c r="GP10" i="1"/>
  <c r="EA642" i="1"/>
  <c r="EB582" i="1"/>
  <c r="EA630" i="1"/>
  <c r="BM844" i="1"/>
  <c r="BM543" i="1"/>
  <c r="BN542" i="1"/>
  <c r="FL693" i="1"/>
  <c r="FL692" i="1"/>
  <c r="FL582" i="1"/>
  <c r="FG642" i="1"/>
  <c r="FF612" i="1"/>
  <c r="DA922" i="1"/>
  <c r="DB641" i="1"/>
  <c r="FR564" i="1"/>
  <c r="ED560" i="1"/>
  <c r="EC561" i="1"/>
  <c r="EC558" i="1"/>
  <c r="GM270" i="1"/>
  <c r="GN265" i="1"/>
  <c r="GL272" i="1"/>
  <c r="GM272" i="1" s="1"/>
  <c r="CS647" i="1"/>
  <c r="CS18" i="1"/>
  <c r="CT18" i="1" s="1"/>
  <c r="O642" i="1"/>
  <c r="P582" i="1"/>
  <c r="CE690" i="1"/>
  <c r="CF690" i="1" s="1"/>
  <c r="CE641" i="1"/>
  <c r="CE764" i="1" s="1"/>
  <c r="CF546" i="1"/>
  <c r="CE629" i="1"/>
  <c r="CF629" i="1" s="1"/>
  <c r="DK922" i="1"/>
  <c r="CC695" i="1"/>
  <c r="BO844" i="1"/>
  <c r="BA698" i="1"/>
  <c r="BA642" i="1"/>
  <c r="BA583" i="1"/>
  <c r="BA626" i="1" s="1"/>
  <c r="BB582" i="1"/>
  <c r="BA630" i="1"/>
  <c r="FN820" i="1"/>
  <c r="BI922" i="1"/>
  <c r="BJ641" i="1"/>
  <c r="BI644" i="1"/>
  <c r="FX640" i="1"/>
  <c r="FY554" i="1"/>
  <c r="FM690" i="1"/>
  <c r="BV541" i="1"/>
  <c r="BU542" i="1"/>
  <c r="BU832" i="1"/>
  <c r="BU846" i="1"/>
  <c r="BU822" i="1"/>
  <c r="BU831" i="1"/>
  <c r="BU837" i="1"/>
  <c r="BU808" i="1"/>
  <c r="BU843" i="1"/>
  <c r="BU841" i="1"/>
  <c r="BU807" i="1"/>
  <c r="BU830" i="1"/>
  <c r="BU842" i="1"/>
  <c r="BU836" i="1"/>
  <c r="BU813" i="1"/>
  <c r="BU812" i="1"/>
  <c r="BU814" i="1" s="1"/>
  <c r="BU806" i="1"/>
  <c r="BU818" i="1"/>
  <c r="DK543" i="1"/>
  <c r="EB706" i="1"/>
  <c r="BF693" i="1"/>
  <c r="DE695" i="1"/>
  <c r="DE691" i="1"/>
  <c r="DE644" i="1"/>
  <c r="CN541" i="1"/>
  <c r="DW922" i="1"/>
  <c r="DX641" i="1"/>
  <c r="DW612" i="1"/>
  <c r="DQ543" i="1"/>
  <c r="DR542" i="1"/>
  <c r="CI783" i="1"/>
  <c r="CI764" i="1"/>
  <c r="CI690" i="1"/>
  <c r="CJ690" i="1" s="1"/>
  <c r="CI641" i="1"/>
  <c r="CJ546" i="1"/>
  <c r="CI629" i="1"/>
  <c r="CJ629" i="1" s="1"/>
  <c r="AS698" i="1"/>
  <c r="AT698" i="1" s="1"/>
  <c r="AS642" i="1"/>
  <c r="AT582" i="1"/>
  <c r="AS630" i="1"/>
  <c r="AT630" i="1" s="1"/>
  <c r="FV561" i="1"/>
  <c r="FV558" i="1"/>
  <c r="FV559" i="1" s="1"/>
  <c r="EX519" i="1"/>
  <c r="DQ642" i="1"/>
  <c r="DR582" i="1"/>
  <c r="DQ630" i="1"/>
  <c r="DR630" i="1" s="1"/>
  <c r="GQ636" i="1"/>
  <c r="GP634" i="1"/>
  <c r="ES818" i="1"/>
  <c r="ES774" i="1"/>
  <c r="ES779" i="1" s="1"/>
  <c r="ES527" i="1"/>
  <c r="DT16" i="2" s="1"/>
  <c r="ET387" i="1"/>
  <c r="ES388" i="1"/>
  <c r="ET388" i="1" s="1"/>
  <c r="BZ629" i="1"/>
  <c r="CO543" i="1"/>
  <c r="CP542" i="1"/>
  <c r="DY642" i="1"/>
  <c r="DZ642" i="1" s="1"/>
  <c r="DZ582" i="1"/>
  <c r="DY630" i="1"/>
  <c r="EM922" i="1"/>
  <c r="EM612" i="1"/>
  <c r="EN641" i="1"/>
  <c r="DG922" i="1"/>
  <c r="DH641" i="1"/>
  <c r="EO783" i="1"/>
  <c r="EO694" i="1"/>
  <c r="EP694" i="1" s="1"/>
  <c r="EO690" i="1"/>
  <c r="EP690" i="1" s="1"/>
  <c r="EO641" i="1"/>
  <c r="EO764" i="1" s="1"/>
  <c r="EP546" i="1"/>
  <c r="EO629" i="1"/>
  <c r="EP629" i="1" s="1"/>
  <c r="BX567" i="1"/>
  <c r="EM695" i="1"/>
  <c r="EM691" i="1"/>
  <c r="EM644" i="1"/>
  <c r="EM564" i="1"/>
  <c r="EN561" i="1"/>
  <c r="EB542" i="1"/>
  <c r="EA543" i="1"/>
  <c r="EJ542" i="1"/>
  <c r="BO922" i="1"/>
  <c r="BO644" i="1"/>
  <c r="BP641" i="1"/>
  <c r="AW922" i="1"/>
  <c r="AX641" i="1"/>
  <c r="AW644" i="1"/>
  <c r="DN640" i="1"/>
  <c r="DM647" i="1"/>
  <c r="DM18" i="1"/>
  <c r="DN18" i="1" s="1"/>
  <c r="X693" i="1"/>
  <c r="GP765" i="1"/>
  <c r="GQ637" i="1"/>
  <c r="BH566" i="1"/>
  <c r="CG814" i="1"/>
  <c r="CG543" i="1"/>
  <c r="CH543" i="1" s="1"/>
  <c r="CH542" i="1"/>
  <c r="CZ629" i="1"/>
  <c r="BQ820" i="1"/>
  <c r="AZ693" i="1"/>
  <c r="AM922" i="1"/>
  <c r="AN641" i="1"/>
  <c r="FM154" i="1"/>
  <c r="FL194" i="1"/>
  <c r="FO154" i="1"/>
  <c r="FL182" i="1"/>
  <c r="FS697" i="1"/>
  <c r="GL287" i="1"/>
  <c r="GM281" i="1"/>
  <c r="GL294" i="1"/>
  <c r="GM294" i="1" s="1"/>
  <c r="GL293" i="1"/>
  <c r="GM293" i="1" s="1"/>
  <c r="DM922" i="1"/>
  <c r="DN641" i="1"/>
  <c r="AS922" i="1"/>
  <c r="AT641" i="1"/>
  <c r="AS644" i="1"/>
  <c r="DQ695" i="1"/>
  <c r="DQ691" i="1"/>
  <c r="DQ644" i="1"/>
  <c r="DR561" i="1"/>
  <c r="DQ564" i="1"/>
  <c r="BH629" i="1"/>
  <c r="BZ722" i="1"/>
  <c r="GY124" i="1"/>
  <c r="GZ124" i="1"/>
  <c r="GX116" i="1"/>
  <c r="GS119" i="1"/>
  <c r="GR120" i="1"/>
  <c r="DC561" i="1"/>
  <c r="DC558" i="1"/>
  <c r="DC559" i="1" s="1"/>
  <c r="DR690" i="1"/>
  <c r="EH692" i="1"/>
  <c r="CB690" i="1"/>
  <c r="FT722" i="1"/>
  <c r="FU722" i="1" s="1"/>
  <c r="FT706" i="1"/>
  <c r="FU706" i="1" s="1"/>
  <c r="FT697" i="1"/>
  <c r="FU697" i="1" s="1"/>
  <c r="FT690" i="1"/>
  <c r="FU690" i="1" s="1"/>
  <c r="FU539" i="1"/>
  <c r="FT546" i="1"/>
  <c r="GD561" i="1"/>
  <c r="GD558" i="1"/>
  <c r="GD559" i="1" s="1"/>
  <c r="CL541" i="1"/>
  <c r="CK542" i="1"/>
  <c r="CK843" i="1"/>
  <c r="CK832" i="1"/>
  <c r="CK846" i="1"/>
  <c r="CK822" i="1"/>
  <c r="CK837" i="1"/>
  <c r="CK831" i="1"/>
  <c r="CK808" i="1"/>
  <c r="CK830" i="1"/>
  <c r="CK841" i="1"/>
  <c r="CK813" i="1"/>
  <c r="CK836" i="1"/>
  <c r="CK807" i="1"/>
  <c r="CK842" i="1"/>
  <c r="CK812" i="1"/>
  <c r="CK814" i="1" s="1"/>
  <c r="CK818" i="1"/>
  <c r="CK820" i="1" s="1"/>
  <c r="CK806" i="1"/>
  <c r="EL697" i="1"/>
  <c r="EA838" i="1"/>
  <c r="GZ125" i="1"/>
  <c r="GY125" i="1"/>
  <c r="GX118" i="1"/>
  <c r="DU826" i="1"/>
  <c r="DF511" i="1"/>
  <c r="CN546" i="1"/>
  <c r="DD541" i="1"/>
  <c r="DC542" i="1"/>
  <c r="DL542" i="1" s="1"/>
  <c r="FH722" i="1"/>
  <c r="FI722" i="1" s="1"/>
  <c r="FH706" i="1"/>
  <c r="FI706" i="1" s="1"/>
  <c r="FH690" i="1"/>
  <c r="FI690" i="1" s="1"/>
  <c r="FI539" i="1"/>
  <c r="FH546" i="1"/>
  <c r="FI546" i="1" s="1"/>
  <c r="CN693" i="1"/>
  <c r="BI833" i="1"/>
  <c r="BS844" i="1"/>
  <c r="BS850" i="1" s="1"/>
  <c r="BM922" i="1"/>
  <c r="BN641" i="1"/>
  <c r="BM644" i="1"/>
  <c r="EL558" i="1"/>
  <c r="EK559" i="1"/>
  <c r="CS698" i="1"/>
  <c r="CS642" i="1"/>
  <c r="CT582" i="1"/>
  <c r="CS630" i="1"/>
  <c r="GT632" i="1"/>
  <c r="GS632" i="1"/>
  <c r="GT633" i="1"/>
  <c r="GR613" i="1"/>
  <c r="GT619" i="1"/>
  <c r="GU619" i="1" s="1"/>
  <c r="GV616" i="1"/>
  <c r="GU616" i="1"/>
  <c r="I57" i="1"/>
  <c r="K50" i="1"/>
  <c r="GN764" i="1"/>
  <c r="GN694" i="1"/>
  <c r="GO694" i="1" s="1"/>
  <c r="GN690" i="1"/>
  <c r="GO690" i="1" s="1"/>
  <c r="GN641" i="1"/>
  <c r="GO546" i="1"/>
  <c r="GN629" i="1"/>
  <c r="GO629" i="1" s="1"/>
  <c r="GO722" i="1"/>
  <c r="FK607" i="1"/>
  <c r="FO697" i="1"/>
  <c r="BG698" i="1"/>
  <c r="BG642" i="1"/>
  <c r="BG583" i="1"/>
  <c r="BG626" i="1" s="1"/>
  <c r="BH582" i="1"/>
  <c r="BG630" i="1"/>
  <c r="FM587" i="1"/>
  <c r="BU690" i="1"/>
  <c r="BV690" i="1" s="1"/>
  <c r="BU641" i="1"/>
  <c r="BU764" i="1" s="1"/>
  <c r="BV546" i="1"/>
  <c r="BU629" i="1"/>
  <c r="BV629" i="1" s="1"/>
  <c r="BT692" i="1"/>
  <c r="EA922" i="1"/>
  <c r="EA612" i="1"/>
  <c r="EB641" i="1"/>
  <c r="GG706" i="1"/>
  <c r="CJ541" i="1"/>
  <c r="CI542" i="1"/>
  <c r="CI843" i="1"/>
  <c r="CI846" i="1"/>
  <c r="CI822" i="1"/>
  <c r="CI831" i="1"/>
  <c r="CI832" i="1"/>
  <c r="CI807" i="1"/>
  <c r="CI836" i="1"/>
  <c r="CI842" i="1"/>
  <c r="CI837" i="1"/>
  <c r="CI841" i="1"/>
  <c r="CI808" i="1"/>
  <c r="CI830" i="1"/>
  <c r="CI806" i="1"/>
  <c r="CI818" i="1"/>
  <c r="CI813" i="1"/>
  <c r="CI812" i="1"/>
  <c r="CI814" i="1" s="1"/>
  <c r="AO543" i="1"/>
  <c r="AP542" i="1"/>
  <c r="DY844" i="1"/>
  <c r="CR554" i="1"/>
  <c r="BZ706" i="1"/>
  <c r="GT380" i="1"/>
  <c r="GS380" i="1"/>
  <c r="GR373" i="1"/>
  <c r="GI554" i="1"/>
  <c r="GH17" i="1"/>
  <c r="AH629" i="1"/>
  <c r="EC843" i="1"/>
  <c r="EC832" i="1"/>
  <c r="EC846" i="1"/>
  <c r="EC822" i="1"/>
  <c r="EC808" i="1"/>
  <c r="EC837" i="1"/>
  <c r="EC831" i="1"/>
  <c r="EC836" i="1"/>
  <c r="EC842" i="1"/>
  <c r="EC830" i="1"/>
  <c r="EC813" i="1"/>
  <c r="EC807" i="1"/>
  <c r="EC841" i="1"/>
  <c r="EC812" i="1"/>
  <c r="EC806" i="1"/>
  <c r="EC818" i="1"/>
  <c r="EC820" i="1" s="1"/>
  <c r="EH558" i="1"/>
  <c r="EG559" i="1"/>
  <c r="BP561" i="1"/>
  <c r="AE698" i="1"/>
  <c r="AF698" i="1" s="1"/>
  <c r="AE642" i="1"/>
  <c r="AF582" i="1"/>
  <c r="AE630" i="1"/>
  <c r="AF630" i="1" s="1"/>
  <c r="CU695" i="1"/>
  <c r="CU691" i="1"/>
  <c r="CU644" i="1"/>
  <c r="CV561" i="1"/>
  <c r="CE640" i="1"/>
  <c r="CE647" i="1" s="1"/>
  <c r="CE566" i="1" s="1"/>
  <c r="CF566" i="1" s="1"/>
  <c r="CF554" i="1"/>
  <c r="CE567" i="1"/>
  <c r="CF567" i="1" s="1"/>
  <c r="EQ528" i="1"/>
  <c r="DR17" i="2" s="1"/>
  <c r="EQ429" i="1"/>
  <c r="ER429" i="1" s="1"/>
  <c r="ER428" i="1"/>
  <c r="EQ774" i="1"/>
  <c r="EQ779" i="1" s="1"/>
  <c r="EO843" i="1"/>
  <c r="EO846" i="1"/>
  <c r="EO831" i="1"/>
  <c r="EO832" i="1"/>
  <c r="EO837" i="1"/>
  <c r="EO807" i="1"/>
  <c r="EO808" i="1"/>
  <c r="EO822" i="1"/>
  <c r="EO841" i="1"/>
  <c r="EO842" i="1"/>
  <c r="EO836" i="1"/>
  <c r="EO830" i="1"/>
  <c r="EO813" i="1"/>
  <c r="EO806" i="1"/>
  <c r="EO818" i="1"/>
  <c r="EO820" i="1" s="1"/>
  <c r="EO812" i="1"/>
  <c r="AS197" i="1"/>
  <c r="AT197" i="1" s="1"/>
  <c r="AT195" i="1"/>
  <c r="AQ922" i="1"/>
  <c r="AQ644" i="1"/>
  <c r="AR641" i="1"/>
  <c r="AV693" i="1"/>
  <c r="CQ922" i="1"/>
  <c r="CR641" i="1"/>
  <c r="GF640" i="1"/>
  <c r="GG554" i="1"/>
  <c r="GF17" i="1"/>
  <c r="DF690" i="1"/>
  <c r="EU817" i="1"/>
  <c r="EV528" i="1"/>
  <c r="DW17" i="2" s="1"/>
  <c r="CC833" i="1"/>
  <c r="GC265" i="1"/>
  <c r="FZ270" i="1"/>
  <c r="GA265" i="1"/>
  <c r="FZ277" i="1"/>
  <c r="FZ276" i="1"/>
  <c r="FV182" i="1"/>
  <c r="FW170" i="1"/>
  <c r="CR690" i="1"/>
  <c r="DX542" i="1"/>
  <c r="DW543" i="1"/>
  <c r="EM838" i="1"/>
  <c r="GF561" i="1"/>
  <c r="GF558" i="1"/>
  <c r="GF559" i="1" s="1"/>
  <c r="BW814" i="1"/>
  <c r="BT542" i="1"/>
  <c r="BS543" i="1"/>
  <c r="DG814" i="1"/>
  <c r="DG833" i="1"/>
  <c r="FM39" i="1"/>
  <c r="FL74" i="1"/>
  <c r="FM74" i="1" s="1"/>
  <c r="FJ802" i="1"/>
  <c r="FJ735" i="1"/>
  <c r="FK538" i="1"/>
  <c r="FJ543" i="1"/>
  <c r="FJ738" i="1"/>
  <c r="FM738" i="1" s="1"/>
  <c r="FJ736" i="1"/>
  <c r="FJ817" i="1"/>
  <c r="FJ737" i="1"/>
  <c r="FJ781" i="1"/>
  <c r="FJ739" i="1"/>
  <c r="GB693" i="1"/>
  <c r="GB692" i="1"/>
  <c r="GB582" i="1"/>
  <c r="GC579" i="1"/>
  <c r="BJ567" i="1"/>
  <c r="DS640" i="1"/>
  <c r="DT554" i="1"/>
  <c r="DS17" i="1"/>
  <c r="FW697" i="1"/>
  <c r="CW640" i="1"/>
  <c r="CX554" i="1"/>
  <c r="CW17" i="1"/>
  <c r="GL843" i="1"/>
  <c r="GL846" i="1"/>
  <c r="GL831" i="1"/>
  <c r="GL832" i="1"/>
  <c r="GL836" i="1"/>
  <c r="GL822" i="1"/>
  <c r="GL842" i="1"/>
  <c r="GL808" i="1"/>
  <c r="GL841" i="1"/>
  <c r="GL830" i="1"/>
  <c r="GL807" i="1"/>
  <c r="GL837" i="1"/>
  <c r="GL812" i="1"/>
  <c r="GL813" i="1"/>
  <c r="GL818" i="1"/>
  <c r="GL820" i="1" s="1"/>
  <c r="GL806" i="1"/>
  <c r="GL809" i="1" s="1"/>
  <c r="DI844" i="1"/>
  <c r="DO695" i="1"/>
  <c r="DO691" i="1"/>
  <c r="DP691" i="1" s="1"/>
  <c r="DO644" i="1"/>
  <c r="DO564" i="1"/>
  <c r="DP561" i="1"/>
  <c r="EF542" i="1"/>
  <c r="EE543" i="1"/>
  <c r="EN542" i="1"/>
  <c r="GQ381" i="1"/>
  <c r="GR381" i="1"/>
  <c r="EK844" i="1"/>
  <c r="EK850" i="1" s="1"/>
  <c r="GV246" i="1"/>
  <c r="GU246" i="1"/>
  <c r="GT239" i="1"/>
  <c r="GU239" i="1" s="1"/>
  <c r="DE698" i="1"/>
  <c r="DE642" i="1"/>
  <c r="DF582" i="1"/>
  <c r="DE630" i="1"/>
  <c r="GF843" i="1"/>
  <c r="GF846" i="1"/>
  <c r="GF832" i="1"/>
  <c r="GF822" i="1"/>
  <c r="GF836" i="1"/>
  <c r="GF831" i="1"/>
  <c r="GF841" i="1"/>
  <c r="GF808" i="1"/>
  <c r="GF837" i="1"/>
  <c r="GF838" i="1" s="1"/>
  <c r="GF807" i="1"/>
  <c r="GF830" i="1"/>
  <c r="GF812" i="1"/>
  <c r="GF842" i="1"/>
  <c r="GF806" i="1"/>
  <c r="GF813" i="1"/>
  <c r="GF818" i="1"/>
  <c r="GF820" i="1" s="1"/>
  <c r="CD629" i="1"/>
  <c r="BS922" i="1"/>
  <c r="BS644" i="1"/>
  <c r="BT641" i="1"/>
  <c r="BC698" i="1"/>
  <c r="BC642" i="1"/>
  <c r="BD582" i="1"/>
  <c r="BC583" i="1"/>
  <c r="BC626" i="1" s="1"/>
  <c r="BC630" i="1"/>
  <c r="BK922" i="1"/>
  <c r="BK644" i="1"/>
  <c r="BL641" i="1"/>
  <c r="GP423" i="1"/>
  <c r="GP426" i="1"/>
  <c r="GQ422" i="1"/>
  <c r="EO640" i="1"/>
  <c r="EP554" i="1"/>
  <c r="EO17" i="1"/>
  <c r="CO698" i="1"/>
  <c r="CO642" i="1"/>
  <c r="CP582" i="1"/>
  <c r="CO630" i="1"/>
  <c r="DE294" i="1"/>
  <c r="DE295" i="1" s="1"/>
  <c r="DE287" i="1"/>
  <c r="DE293" i="1"/>
  <c r="DF281" i="1"/>
  <c r="CQ698" i="1"/>
  <c r="CQ642" i="1"/>
  <c r="CQ630" i="1"/>
  <c r="CG698" i="1"/>
  <c r="CG642" i="1"/>
  <c r="CG583" i="1"/>
  <c r="CG626" i="1" s="1"/>
  <c r="CH582" i="1"/>
  <c r="CG630" i="1"/>
  <c r="DO826" i="1"/>
  <c r="GN640" i="1"/>
  <c r="GO554" i="1"/>
  <c r="GN17" i="1"/>
  <c r="S922" i="1"/>
  <c r="FJ641" i="1"/>
  <c r="T641" i="1"/>
  <c r="DA844" i="1"/>
  <c r="DA850" i="1" s="1"/>
  <c r="FN561" i="1"/>
  <c r="FN564" i="1" s="1"/>
  <c r="FN558" i="1"/>
  <c r="FN559" i="1" s="1"/>
  <c r="DA647" i="1"/>
  <c r="DA18" i="1"/>
  <c r="DB18" i="1" s="1"/>
  <c r="EB579" i="1"/>
  <c r="GI298" i="1"/>
  <c r="GH305" i="1"/>
  <c r="GI305" i="1" s="1"/>
  <c r="GH326" i="1"/>
  <c r="GI326" i="1" s="1"/>
  <c r="GH321" i="1"/>
  <c r="GI321" i="1" s="1"/>
  <c r="CY844" i="1"/>
  <c r="FU513" i="1"/>
  <c r="FT510" i="1"/>
  <c r="FT511" i="1" s="1"/>
  <c r="FU511" i="1" s="1"/>
  <c r="AR693" i="1"/>
  <c r="DO922" i="1"/>
  <c r="DP641" i="1"/>
  <c r="DW642" i="1"/>
  <c r="DX642" i="1" s="1"/>
  <c r="DX582" i="1"/>
  <c r="DW630" i="1"/>
  <c r="DX630" i="1" s="1"/>
  <c r="EM698" i="1"/>
  <c r="EN698" i="1" s="1"/>
  <c r="EM642" i="1"/>
  <c r="EN642" i="1" s="1"/>
  <c r="EN582" i="1"/>
  <c r="EM630" i="1"/>
  <c r="EN630" i="1" s="1"/>
  <c r="AA612" i="1"/>
  <c r="DW809" i="1"/>
  <c r="DW826" i="1" s="1"/>
  <c r="EG922" i="1"/>
  <c r="EH641" i="1"/>
  <c r="EG612" i="1"/>
  <c r="X642" i="1"/>
  <c r="W612" i="1"/>
  <c r="CS809" i="1"/>
  <c r="CS826" i="1" s="1"/>
  <c r="EC692" i="1"/>
  <c r="ED692" i="1" s="1"/>
  <c r="EC693" i="1"/>
  <c r="ED693" i="1" s="1"/>
  <c r="EC582" i="1"/>
  <c r="ED579" i="1"/>
  <c r="CC543" i="1"/>
  <c r="CD542" i="1"/>
  <c r="AS543" i="1"/>
  <c r="AT542" i="1"/>
  <c r="EI695" i="1"/>
  <c r="EI691" i="1"/>
  <c r="EJ691" i="1" s="1"/>
  <c r="EI644" i="1"/>
  <c r="EI564" i="1"/>
  <c r="EJ561" i="1"/>
  <c r="BY698" i="1"/>
  <c r="BY642" i="1"/>
  <c r="BY583" i="1"/>
  <c r="BY626" i="1" s="1"/>
  <c r="BZ582" i="1"/>
  <c r="BY630" i="1"/>
  <c r="AV542" i="1"/>
  <c r="AU543" i="1"/>
  <c r="BO838" i="1"/>
  <c r="BO826" i="1"/>
  <c r="CY698" i="1"/>
  <c r="CZ698" i="1" s="1"/>
  <c r="CY642" i="1"/>
  <c r="CZ582" i="1"/>
  <c r="CY630" i="1"/>
  <c r="CZ630" i="1" s="1"/>
  <c r="BI764" i="1"/>
  <c r="CI561" i="1"/>
  <c r="CI558" i="1"/>
  <c r="CI559" i="1" s="1"/>
  <c r="EE647" i="1"/>
  <c r="EF640" i="1"/>
  <c r="EE18" i="1"/>
  <c r="EF18" i="1" s="1"/>
  <c r="FX561" i="1"/>
  <c r="FX558" i="1"/>
  <c r="FX559" i="1" s="1"/>
  <c r="FM697" i="1"/>
  <c r="EJ511" i="1"/>
  <c r="BK265" i="1"/>
  <c r="BJ270" i="1"/>
  <c r="BI272" i="1"/>
  <c r="BJ272" i="1" s="1"/>
  <c r="BU820" i="1"/>
  <c r="EE826" i="1"/>
  <c r="DX690" i="1"/>
  <c r="FS690" i="1"/>
  <c r="AT692" i="1"/>
  <c r="FV692" i="1"/>
  <c r="FV693" i="1"/>
  <c r="FV582" i="1"/>
  <c r="DI922" i="1"/>
  <c r="DJ641" i="1"/>
  <c r="CA698" i="1"/>
  <c r="CB698" i="1" s="1"/>
  <c r="CA642" i="1"/>
  <c r="CA583" i="1"/>
  <c r="CA626" i="1" s="1"/>
  <c r="CB582" i="1"/>
  <c r="CA630" i="1"/>
  <c r="CB630" i="1" s="1"/>
  <c r="CQ695" i="1"/>
  <c r="CQ644" i="1"/>
  <c r="CR561" i="1"/>
  <c r="BZ546" i="1"/>
  <c r="DZ693" i="1"/>
  <c r="EA559" i="1"/>
  <c r="EB558" i="1"/>
  <c r="EU818" i="1"/>
  <c r="EU774" i="1"/>
  <c r="EU779" i="1" s="1"/>
  <c r="EU527" i="1"/>
  <c r="DV16" i="2" s="1"/>
  <c r="EU388" i="1"/>
  <c r="EV388" i="1" s="1"/>
  <c r="EV387" i="1"/>
  <c r="BU640" i="1"/>
  <c r="BU647" i="1" s="1"/>
  <c r="BU566" i="1" s="1"/>
  <c r="BV566" i="1" s="1"/>
  <c r="BV554" i="1"/>
  <c r="DU642" i="1"/>
  <c r="DV582" i="1"/>
  <c r="DU630" i="1"/>
  <c r="DW695" i="1"/>
  <c r="DW691" i="1"/>
  <c r="DX691" i="1" s="1"/>
  <c r="DW644" i="1"/>
  <c r="DW564" i="1"/>
  <c r="DX561" i="1"/>
  <c r="FP846" i="1"/>
  <c r="FP836" i="1"/>
  <c r="FP822" i="1"/>
  <c r="FP842" i="1"/>
  <c r="FP831" i="1"/>
  <c r="FP808" i="1"/>
  <c r="FP830" i="1"/>
  <c r="FP841" i="1"/>
  <c r="FP843" i="1"/>
  <c r="FP837" i="1"/>
  <c r="FP838" i="1" s="1"/>
  <c r="FP832" i="1"/>
  <c r="FP807" i="1"/>
  <c r="FP812" i="1"/>
  <c r="FP813" i="1"/>
  <c r="FP818" i="1"/>
  <c r="FP806" i="1"/>
  <c r="FP809" i="1" s="1"/>
  <c r="FZ561" i="1"/>
  <c r="FZ558" i="1"/>
  <c r="FZ559" i="1" s="1"/>
  <c r="EI826" i="1"/>
  <c r="CD735" i="1"/>
  <c r="DM844" i="1"/>
  <c r="DM850" i="1" s="1"/>
  <c r="EK698" i="1"/>
  <c r="EK642" i="1"/>
  <c r="EL582" i="1"/>
  <c r="EK630" i="1"/>
  <c r="AO698" i="1"/>
  <c r="AO642" i="1"/>
  <c r="AP582" i="1"/>
  <c r="AO630" i="1"/>
  <c r="BY695" i="1"/>
  <c r="BG833" i="1"/>
  <c r="GX370" i="1"/>
  <c r="GY367" i="1"/>
  <c r="GZ367" i="1"/>
  <c r="DU922" i="1"/>
  <c r="DV641" i="1"/>
  <c r="BI698" i="1"/>
  <c r="BJ698" i="1" s="1"/>
  <c r="BI642" i="1"/>
  <c r="BI583" i="1"/>
  <c r="BI626" i="1" s="1"/>
  <c r="BJ582" i="1"/>
  <c r="BI630" i="1"/>
  <c r="BJ630" i="1" s="1"/>
  <c r="CY695" i="1"/>
  <c r="CY691" i="1"/>
  <c r="CY644" i="1"/>
  <c r="CZ561" i="1"/>
  <c r="CG809" i="1"/>
  <c r="CG833" i="1"/>
  <c r="EF692" i="1"/>
  <c r="FL820" i="1"/>
  <c r="AN542" i="1"/>
  <c r="AM543" i="1"/>
  <c r="DF554" i="1"/>
  <c r="V612" i="1"/>
  <c r="GH690" i="1"/>
  <c r="GH694" i="1"/>
  <c r="GH641" i="1"/>
  <c r="GH764" i="1" s="1"/>
  <c r="GI546" i="1"/>
  <c r="GH629" i="1"/>
  <c r="DQ814" i="1"/>
  <c r="DQ826" i="1" s="1"/>
  <c r="DQ833" i="1"/>
  <c r="DN690" i="1"/>
  <c r="CA695" i="1"/>
  <c r="CB561" i="1"/>
  <c r="GO510" i="1"/>
  <c r="GN511" i="1"/>
  <c r="FM57" i="1"/>
  <c r="FL76" i="1"/>
  <c r="FM76" i="1" s="1"/>
  <c r="FL75" i="1"/>
  <c r="CO833" i="1"/>
  <c r="GB843" i="1"/>
  <c r="GB846" i="1"/>
  <c r="GB831" i="1"/>
  <c r="GB832" i="1"/>
  <c r="GB836" i="1"/>
  <c r="GB822" i="1"/>
  <c r="GB807" i="1"/>
  <c r="GB808" i="1"/>
  <c r="GB841" i="1"/>
  <c r="GB830" i="1"/>
  <c r="GB812" i="1"/>
  <c r="GB837" i="1"/>
  <c r="GB838" i="1" s="1"/>
  <c r="GB842" i="1"/>
  <c r="GB813" i="1"/>
  <c r="GB806" i="1"/>
  <c r="GB818" i="1"/>
  <c r="GB820" i="1" s="1"/>
  <c r="DC693" i="1"/>
  <c r="DD693" i="1" s="1"/>
  <c r="DC692" i="1"/>
  <c r="DD692" i="1" s="1"/>
  <c r="DD579" i="1"/>
  <c r="DC582" i="1"/>
  <c r="FR838" i="1"/>
  <c r="AG698" i="1"/>
  <c r="AH698" i="1" s="1"/>
  <c r="AG642" i="1"/>
  <c r="FL642" i="1" s="1"/>
  <c r="AH582" i="1"/>
  <c r="AG630" i="1"/>
  <c r="AH630" i="1" s="1"/>
  <c r="DR629" i="1"/>
  <c r="DR694" i="1"/>
  <c r="BF629" i="1"/>
  <c r="BL542" i="1"/>
  <c r="BK543" i="1"/>
  <c r="FY697" i="1"/>
  <c r="CU698" i="1"/>
  <c r="CU642" i="1"/>
  <c r="CV582" i="1"/>
  <c r="CU630" i="1"/>
  <c r="CB629" i="1"/>
  <c r="CA764" i="1"/>
  <c r="GD693" i="1"/>
  <c r="GE693" i="1" s="1"/>
  <c r="GD692" i="1"/>
  <c r="GE692" i="1" s="1"/>
  <c r="GD582" i="1"/>
  <c r="GE579" i="1"/>
  <c r="EE922" i="1"/>
  <c r="EE612" i="1"/>
  <c r="EF612" i="1" s="1"/>
  <c r="EF641" i="1"/>
  <c r="DV558" i="1"/>
  <c r="DU559" i="1"/>
  <c r="EA833" i="1"/>
  <c r="FR647" i="1"/>
  <c r="FS640" i="1"/>
  <c r="DU833" i="1"/>
  <c r="CM922" i="1"/>
  <c r="CN641" i="1"/>
  <c r="CV542" i="1"/>
  <c r="CU543" i="1"/>
  <c r="CV543" i="1" s="1"/>
  <c r="GJ843" i="1"/>
  <c r="GJ846" i="1"/>
  <c r="GJ822" i="1"/>
  <c r="GJ831" i="1"/>
  <c r="GJ832" i="1"/>
  <c r="GJ833" i="1" s="1"/>
  <c r="GJ836" i="1"/>
  <c r="GJ808" i="1"/>
  <c r="GJ807" i="1"/>
  <c r="GJ841" i="1"/>
  <c r="GJ837" i="1"/>
  <c r="GJ838" i="1" s="1"/>
  <c r="GJ830" i="1"/>
  <c r="GJ812" i="1"/>
  <c r="GJ842" i="1"/>
  <c r="GJ818" i="1"/>
  <c r="GJ820" i="1" s="1"/>
  <c r="GJ806" i="1"/>
  <c r="GJ809" i="1" s="1"/>
  <c r="GJ813" i="1"/>
  <c r="CM698" i="1"/>
  <c r="CM642" i="1"/>
  <c r="CN582" i="1"/>
  <c r="CM630" i="1"/>
  <c r="BI543" i="1"/>
  <c r="BJ542" i="1"/>
  <c r="BS814" i="1"/>
  <c r="BS826" i="1" s="1"/>
  <c r="ES817" i="1"/>
  <c r="ES820" i="1" s="1"/>
  <c r="ET528" i="1"/>
  <c r="DU17" i="2" s="1"/>
  <c r="EK695" i="1"/>
  <c r="EK691" i="1"/>
  <c r="EK644" i="1"/>
  <c r="EL561" i="1"/>
  <c r="EK564" i="1"/>
  <c r="CT693" i="1"/>
  <c r="GS633" i="1"/>
  <c r="DL697" i="1"/>
  <c r="FK513" i="1"/>
  <c r="FJ510" i="1"/>
  <c r="FJ511" i="1" s="1"/>
  <c r="FK511" i="1" s="1"/>
  <c r="FS513" i="1"/>
  <c r="FO690" i="1"/>
  <c r="FQ511" i="1"/>
  <c r="FE642" i="1"/>
  <c r="FD612" i="1"/>
  <c r="FE612" i="1" s="1"/>
  <c r="BJ561" i="1"/>
  <c r="DG698" i="1"/>
  <c r="DH698" i="1" s="1"/>
  <c r="DG642" i="1"/>
  <c r="DH582" i="1"/>
  <c r="DG630" i="1"/>
  <c r="DH630" i="1" s="1"/>
  <c r="EE695" i="1"/>
  <c r="EE691" i="1"/>
  <c r="EF691" i="1" s="1"/>
  <c r="EE644" i="1"/>
  <c r="EE564" i="1"/>
  <c r="EF561" i="1"/>
  <c r="DI543" i="1"/>
  <c r="DJ542" i="1"/>
  <c r="DP693" i="1"/>
  <c r="BT693" i="1"/>
  <c r="EB690" i="1"/>
  <c r="GF764" i="1"/>
  <c r="GF694" i="1"/>
  <c r="GF690" i="1"/>
  <c r="GF641" i="1"/>
  <c r="GG546" i="1"/>
  <c r="GF629" i="1"/>
  <c r="GG722" i="1"/>
  <c r="EG844" i="1"/>
  <c r="FR922" i="1"/>
  <c r="FR5" i="1" s="1"/>
  <c r="FR644" i="1"/>
  <c r="FR612" i="1"/>
  <c r="GJ561" i="1"/>
  <c r="GK560" i="1"/>
  <c r="GJ558" i="1"/>
  <c r="CS305" i="1"/>
  <c r="CS327" i="1"/>
  <c r="CG922" i="1"/>
  <c r="CH641" i="1"/>
  <c r="CG644" i="1"/>
  <c r="CD706" i="1"/>
  <c r="CI820" i="1"/>
  <c r="BQ640" i="1"/>
  <c r="BQ647" i="1" s="1"/>
  <c r="BQ566" i="1" s="1"/>
  <c r="BR566" i="1" s="1"/>
  <c r="BR554" i="1"/>
  <c r="CQ647" i="1"/>
  <c r="CQ18" i="1"/>
  <c r="CR18" i="1" s="1"/>
  <c r="AJ542" i="1"/>
  <c r="AI543" i="1"/>
  <c r="GH561" i="1"/>
  <c r="GI560" i="1"/>
  <c r="GH558" i="1"/>
  <c r="EL541" i="1"/>
  <c r="ED541" i="1"/>
  <c r="EC542" i="1"/>
  <c r="EG695" i="1"/>
  <c r="EG691" i="1"/>
  <c r="EH691" i="1" s="1"/>
  <c r="EG644" i="1"/>
  <c r="EH561" i="1"/>
  <c r="EG564" i="1"/>
  <c r="FM513" i="1"/>
  <c r="GX883" i="1"/>
  <c r="GX787" i="1"/>
  <c r="GX243" i="1"/>
  <c r="GZ242" i="1"/>
  <c r="GY242" i="1"/>
  <c r="AU922" i="1"/>
  <c r="AU644" i="1"/>
  <c r="AV641" i="1"/>
  <c r="AU698" i="1"/>
  <c r="AU642" i="1"/>
  <c r="AV582" i="1"/>
  <c r="AU630" i="1"/>
  <c r="FR698" i="1"/>
  <c r="FR642" i="1"/>
  <c r="FS582" i="1"/>
  <c r="FR630" i="1"/>
  <c r="DM642" i="1"/>
  <c r="DN582" i="1"/>
  <c r="DM630" i="1"/>
  <c r="DN630" i="1" s="1"/>
  <c r="CC826" i="1"/>
  <c r="FS693" i="1"/>
  <c r="EM826" i="1"/>
  <c r="CU844" i="1"/>
  <c r="DF629" i="1"/>
  <c r="CM695" i="1"/>
  <c r="CM644" i="1"/>
  <c r="EI698" i="1"/>
  <c r="EJ698" i="1" s="1"/>
  <c r="EI642" i="1"/>
  <c r="EJ642" i="1" s="1"/>
  <c r="EJ582" i="1"/>
  <c r="EI630" i="1"/>
  <c r="EJ630" i="1" s="1"/>
  <c r="DV640" i="1"/>
  <c r="DU647" i="1"/>
  <c r="DU18" i="1"/>
  <c r="DV18" i="1" s="1"/>
  <c r="BY809" i="1"/>
  <c r="BY826" i="1" s="1"/>
  <c r="BY833" i="1"/>
  <c r="FS692" i="1"/>
  <c r="FV181" i="1"/>
  <c r="FW181" i="1" s="1"/>
  <c r="FW179" i="1"/>
  <c r="FV196" i="1"/>
  <c r="FW196" i="1" s="1"/>
  <c r="FV195" i="1"/>
  <c r="CR629" i="1"/>
  <c r="EM844" i="1"/>
  <c r="EM850" i="1" s="1"/>
  <c r="BW844" i="1"/>
  <c r="BW850" i="1" s="1"/>
  <c r="CU809" i="1"/>
  <c r="CU826" i="1" s="1"/>
  <c r="CU833" i="1"/>
  <c r="CS543" i="1"/>
  <c r="CT542" i="1"/>
  <c r="DE764" i="1"/>
  <c r="DG809" i="1"/>
  <c r="GW370" i="1"/>
  <c r="CC698" i="1"/>
  <c r="CC642" i="1"/>
  <c r="CC583" i="1"/>
  <c r="CC626" i="1" s="1"/>
  <c r="CD582" i="1"/>
  <c r="CC630" i="1"/>
  <c r="GB640" i="1"/>
  <c r="GC554" i="1"/>
  <c r="GB17" i="1"/>
  <c r="FP561" i="1"/>
  <c r="FP564" i="1" s="1"/>
  <c r="FP558" i="1"/>
  <c r="FP559" i="1" s="1"/>
  <c r="CY647" i="1"/>
  <c r="CY18" i="1"/>
  <c r="CZ18" i="1" s="1"/>
  <c r="AY922" i="1"/>
  <c r="AY644" i="1"/>
  <c r="AZ641" i="1"/>
  <c r="CW276" i="1"/>
  <c r="CW277" i="1"/>
  <c r="CW278" i="1" s="1"/>
  <c r="CX265" i="1"/>
  <c r="CW270" i="1"/>
  <c r="FW706" i="1"/>
  <c r="CW561" i="1"/>
  <c r="CW558" i="1"/>
  <c r="CW559" i="1" s="1"/>
  <c r="DI838" i="1"/>
  <c r="DI826" i="1"/>
  <c r="GZ11" i="1"/>
  <c r="GY11" i="1"/>
  <c r="CK640" i="1"/>
  <c r="CK647" i="1" s="1"/>
  <c r="CK566" i="1" s="1"/>
  <c r="CL566" i="1" s="1"/>
  <c r="CK567" i="1"/>
  <c r="CL567" i="1" s="1"/>
  <c r="CL554" i="1"/>
  <c r="BK698" i="1"/>
  <c r="BL698" i="1" s="1"/>
  <c r="BK642" i="1"/>
  <c r="BL582" i="1"/>
  <c r="BK583" i="1"/>
  <c r="BK626" i="1" s="1"/>
  <c r="BK630" i="1"/>
  <c r="BL630" i="1" s="1"/>
  <c r="AM698" i="1"/>
  <c r="AN698" i="1" s="1"/>
  <c r="AM642" i="1"/>
  <c r="AN582" i="1"/>
  <c r="AM630" i="1"/>
  <c r="AN630" i="1" s="1"/>
  <c r="DF693" i="1"/>
  <c r="BW764" i="1"/>
  <c r="GK510" i="1"/>
  <c r="GJ511" i="1"/>
  <c r="GL693" i="1"/>
  <c r="GL692" i="1"/>
  <c r="GL582" i="1"/>
  <c r="GM579" i="1"/>
  <c r="EP560" i="1"/>
  <c r="EO561" i="1"/>
  <c r="EO558" i="1"/>
  <c r="CP693" i="1"/>
  <c r="DO850" i="1"/>
  <c r="DA809" i="1"/>
  <c r="DA826" i="1" s="1"/>
  <c r="EB692" i="1"/>
  <c r="BA922" i="1"/>
  <c r="BB641" i="1"/>
  <c r="BA644" i="1"/>
  <c r="GI510" i="1"/>
  <c r="GH511" i="1"/>
  <c r="GI511" i="1" s="1"/>
  <c r="CY809" i="1"/>
  <c r="CY826" i="1" s="1"/>
  <c r="BM838" i="1"/>
  <c r="BM850" i="1" s="1"/>
  <c r="BM826" i="1"/>
  <c r="FL561" i="1"/>
  <c r="FL564" i="1" s="1"/>
  <c r="FL558" i="1"/>
  <c r="FL559" i="1" s="1"/>
  <c r="FT560" i="1"/>
  <c r="FT554" i="1"/>
  <c r="FT579" i="1"/>
  <c r="FW579" i="1" s="1"/>
  <c r="FU552" i="1"/>
  <c r="AQ698" i="1"/>
  <c r="AR698" i="1" s="1"/>
  <c r="AQ642" i="1"/>
  <c r="AR582" i="1"/>
  <c r="AQ630" i="1"/>
  <c r="AR630" i="1" s="1"/>
  <c r="FP641" i="1"/>
  <c r="FS641" i="1" s="1"/>
  <c r="FQ546" i="1"/>
  <c r="FP629" i="1"/>
  <c r="FQ629" i="1" s="1"/>
  <c r="DC783" i="1"/>
  <c r="DC764" i="1"/>
  <c r="DC694" i="1"/>
  <c r="DC690" i="1"/>
  <c r="DD690" i="1" s="1"/>
  <c r="DC641" i="1"/>
  <c r="DD546" i="1"/>
  <c r="DC629" i="1"/>
  <c r="DD629" i="1" s="1"/>
  <c r="DW844" i="1"/>
  <c r="DW850" i="1" s="1"/>
  <c r="DN558" i="1"/>
  <c r="DM559" i="1"/>
  <c r="DN559" i="1" s="1"/>
  <c r="CS838" i="1"/>
  <c r="CS844" i="1"/>
  <c r="CS850" i="1" s="1"/>
  <c r="CD541" i="1"/>
  <c r="CT554" i="1"/>
  <c r="BZ692" i="1"/>
  <c r="GN820" i="1"/>
  <c r="GN843" i="1"/>
  <c r="GN846" i="1"/>
  <c r="GN822" i="1"/>
  <c r="GN832" i="1"/>
  <c r="GN833" i="1" s="1"/>
  <c r="GN831" i="1"/>
  <c r="GN836" i="1"/>
  <c r="GN807" i="1"/>
  <c r="GN808" i="1"/>
  <c r="GN842" i="1"/>
  <c r="GN830" i="1"/>
  <c r="GN837" i="1"/>
  <c r="GN812" i="1"/>
  <c r="GN841" i="1"/>
  <c r="GN818" i="1"/>
  <c r="GN806" i="1"/>
  <c r="GN813" i="1"/>
  <c r="GC511" i="1"/>
  <c r="CQ809" i="1"/>
  <c r="CQ826" i="1" s="1"/>
  <c r="CQ833" i="1"/>
  <c r="CZ692" i="1"/>
  <c r="BJ629" i="1"/>
  <c r="CI693" i="1"/>
  <c r="CJ693" i="1" s="1"/>
  <c r="CI692" i="1"/>
  <c r="CJ692" i="1" s="1"/>
  <c r="CI582" i="1"/>
  <c r="CR582" i="1" s="1"/>
  <c r="CJ579" i="1"/>
  <c r="FM546" i="1"/>
  <c r="FL629" i="1"/>
  <c r="FM706" i="1"/>
  <c r="CA844" i="1"/>
  <c r="CA850" i="1" s="1"/>
  <c r="BL561" i="1"/>
  <c r="EE838" i="1"/>
  <c r="EE844" i="1"/>
  <c r="BE698" i="1"/>
  <c r="BF698" i="1" s="1"/>
  <c r="BE642" i="1"/>
  <c r="BE583" i="1"/>
  <c r="BE626" i="1" s="1"/>
  <c r="BF582" i="1"/>
  <c r="BE630" i="1"/>
  <c r="BF630" i="1" s="1"/>
  <c r="GS420" i="1"/>
  <c r="GT420" i="1"/>
  <c r="GT414" i="1" s="1"/>
  <c r="DX629" i="1"/>
  <c r="DX694" i="1"/>
  <c r="GH843" i="1"/>
  <c r="GH846" i="1"/>
  <c r="GH831" i="1"/>
  <c r="GH832" i="1"/>
  <c r="GH822" i="1"/>
  <c r="GH836" i="1"/>
  <c r="GH837" i="1"/>
  <c r="GH807" i="1"/>
  <c r="GH841" i="1"/>
  <c r="GH842" i="1"/>
  <c r="GH808" i="1"/>
  <c r="GH812" i="1"/>
  <c r="GH830" i="1"/>
  <c r="GH813" i="1"/>
  <c r="GH818" i="1"/>
  <c r="GH820" i="1" s="1"/>
  <c r="GH806" i="1"/>
  <c r="AT693" i="1"/>
  <c r="FV640" i="1"/>
  <c r="FW554" i="1"/>
  <c r="DJ690" i="1"/>
  <c r="GZ245" i="1"/>
  <c r="GY245" i="1"/>
  <c r="GX238" i="1"/>
  <c r="GD764" i="1"/>
  <c r="GD694" i="1"/>
  <c r="GD690" i="1"/>
  <c r="GD641" i="1"/>
  <c r="GE546" i="1"/>
  <c r="GD629" i="1"/>
  <c r="BY922" i="1"/>
  <c r="BZ641" i="1"/>
  <c r="DY922" i="1"/>
  <c r="DZ641" i="1"/>
  <c r="DY612" i="1"/>
  <c r="DL693" i="1"/>
  <c r="GB764" i="1"/>
  <c r="GB694" i="1"/>
  <c r="GB690" i="1"/>
  <c r="GC690" i="1" s="1"/>
  <c r="GB641" i="1"/>
  <c r="GC546" i="1"/>
  <c r="GB629" i="1"/>
  <c r="GC629" i="1" s="1"/>
  <c r="DZ692" i="1"/>
  <c r="EB560" i="1"/>
  <c r="EI922" i="1"/>
  <c r="EI612" i="1"/>
  <c r="EJ612" i="1" s="1"/>
  <c r="EJ641" i="1"/>
  <c r="EC783" i="1"/>
  <c r="EC764" i="1"/>
  <c r="EC694" i="1"/>
  <c r="ED694" i="1" s="1"/>
  <c r="EC690" i="1"/>
  <c r="ED690" i="1" s="1"/>
  <c r="EC641" i="1"/>
  <c r="ED546" i="1"/>
  <c r="EC629" i="1"/>
  <c r="ED629" i="1" s="1"/>
  <c r="FX297" i="1"/>
  <c r="BK809" i="1"/>
  <c r="BK826" i="1" s="1"/>
  <c r="BK844" i="1"/>
  <c r="BU561" i="1"/>
  <c r="BV561" i="1" s="1"/>
  <c r="BU558" i="1"/>
  <c r="BU559" i="1" s="1"/>
  <c r="CK783" i="1"/>
  <c r="CK690" i="1"/>
  <c r="CL690" i="1" s="1"/>
  <c r="CK641" i="1"/>
  <c r="CK764" i="1" s="1"/>
  <c r="CL546" i="1"/>
  <c r="CK629" i="1"/>
  <c r="CL629" i="1" s="1"/>
  <c r="BX566" i="1"/>
  <c r="DV693" i="1"/>
  <c r="EM559" i="1"/>
  <c r="EN559" i="1" s="1"/>
  <c r="EN558" i="1"/>
  <c r="BO764" i="1"/>
  <c r="DU543" i="1"/>
  <c r="DV543" i="1" s="1"/>
  <c r="DV542" i="1"/>
  <c r="FP820" i="1"/>
  <c r="CR697" i="1"/>
  <c r="FZ692" i="1"/>
  <c r="GA692" i="1" s="1"/>
  <c r="FZ693" i="1"/>
  <c r="GA693" i="1" s="1"/>
  <c r="FZ582" i="1"/>
  <c r="GA579" i="1"/>
  <c r="EI838" i="1"/>
  <c r="EI844" i="1"/>
  <c r="GJ694" i="1"/>
  <c r="GK694" i="1" s="1"/>
  <c r="GJ690" i="1"/>
  <c r="GK690" i="1" s="1"/>
  <c r="GJ641" i="1"/>
  <c r="GJ764" i="1" s="1"/>
  <c r="GK546" i="1"/>
  <c r="GJ629" i="1"/>
  <c r="GK629" i="1" s="1"/>
  <c r="CD738" i="1"/>
  <c r="DM809" i="1"/>
  <c r="DM826" i="1" s="1"/>
  <c r="EL693" i="1"/>
  <c r="DL706" i="1"/>
  <c r="BG809" i="1"/>
  <c r="BG826" i="1" s="1"/>
  <c r="BG838" i="1"/>
  <c r="BG850" i="1" s="1"/>
  <c r="BH542" i="1"/>
  <c r="BG543" i="1"/>
  <c r="GZ575" i="1"/>
  <c r="GY575" i="1"/>
  <c r="CD554" i="1"/>
  <c r="BM567" i="1"/>
  <c r="BN567" i="1" s="1"/>
  <c r="GR414" i="1"/>
  <c r="CO922" i="1"/>
  <c r="CP641" i="1"/>
  <c r="DZ511" i="1"/>
  <c r="BJ692" i="1"/>
  <c r="BD542" i="1"/>
  <c r="BC543" i="1"/>
  <c r="BG567" i="1"/>
  <c r="BH567" i="1" s="1"/>
  <c r="CG826" i="1"/>
  <c r="CG850" i="1"/>
  <c r="CY922" i="1"/>
  <c r="CZ641" i="1"/>
  <c r="EF693" i="1"/>
  <c r="FM736" i="1"/>
  <c r="FM735" i="1"/>
  <c r="BS567" i="1"/>
  <c r="CB567" i="1" s="1"/>
  <c r="DK814" i="1"/>
  <c r="DK826" i="1" s="1"/>
  <c r="GT411" i="1"/>
  <c r="GR240" i="1"/>
  <c r="AY698" i="1"/>
  <c r="AZ698" i="1" s="1"/>
  <c r="AY642" i="1"/>
  <c r="AZ582" i="1"/>
  <c r="AY583" i="1"/>
  <c r="AY626" i="1" s="1"/>
  <c r="AY630" i="1"/>
  <c r="AZ630" i="1" s="1"/>
  <c r="AN629" i="1"/>
  <c r="FL641" i="1"/>
  <c r="CM809" i="1"/>
  <c r="CM826" i="1" s="1"/>
  <c r="CM838" i="1"/>
  <c r="CM850" i="1" s="1"/>
  <c r="DS843" i="1"/>
  <c r="DS844" i="1" s="1"/>
  <c r="DS822" i="1"/>
  <c r="DS846" i="1"/>
  <c r="DS831" i="1"/>
  <c r="DS832" i="1"/>
  <c r="DS833" i="1" s="1"/>
  <c r="DS837" i="1"/>
  <c r="DS841" i="1"/>
  <c r="DS842" i="1"/>
  <c r="DS807" i="1"/>
  <c r="DS836" i="1"/>
  <c r="DS808" i="1"/>
  <c r="DS830" i="1"/>
  <c r="DS813" i="1"/>
  <c r="DS818" i="1"/>
  <c r="DS820" i="1" s="1"/>
  <c r="DS806" i="1"/>
  <c r="DS812" i="1"/>
  <c r="CT706" i="1"/>
  <c r="DQ838" i="1"/>
  <c r="DQ844" i="1"/>
  <c r="DN629" i="1"/>
  <c r="DN694" i="1"/>
  <c r="AT629" i="1"/>
  <c r="FW551" i="1"/>
  <c r="EP510" i="1"/>
  <c r="EO511" i="1"/>
  <c r="EP511" i="1" s="1"/>
  <c r="BG922" i="1"/>
  <c r="BG644" i="1"/>
  <c r="BH641" i="1"/>
  <c r="DY543" i="1"/>
  <c r="DZ542" i="1"/>
  <c r="EH542" i="1"/>
  <c r="CG567" i="1"/>
  <c r="CH567" i="1" s="1"/>
  <c r="S698" i="1"/>
  <c r="AB698" i="1" s="1"/>
  <c r="S642" i="1"/>
  <c r="T582" i="1"/>
  <c r="GW116" i="1"/>
  <c r="DK695" i="1"/>
  <c r="DK691" i="1"/>
  <c r="DK644" i="1"/>
  <c r="DK564" i="1"/>
  <c r="DK645" i="1" s="1"/>
  <c r="DL561" i="1"/>
  <c r="CO826" i="1"/>
  <c r="CO844" i="1"/>
  <c r="DZ558" i="1"/>
  <c r="DY559" i="1"/>
  <c r="DZ559" i="1" s="1"/>
  <c r="DC640" i="1"/>
  <c r="DD554" i="1"/>
  <c r="DC17" i="1"/>
  <c r="DA698" i="1"/>
  <c r="DB698" i="1" s="1"/>
  <c r="DA642" i="1"/>
  <c r="DB582" i="1"/>
  <c r="DA630" i="1"/>
  <c r="DB630" i="1" s="1"/>
  <c r="GA722" i="1"/>
  <c r="FR814" i="1"/>
  <c r="FR826" i="1" s="1"/>
  <c r="FR844" i="1"/>
  <c r="FR850" i="1" s="1"/>
  <c r="FR833" i="1"/>
  <c r="CU764" i="1"/>
  <c r="AH692" i="1"/>
  <c r="DE826" i="1"/>
  <c r="DE833" i="1"/>
  <c r="DE850" i="1" s="1"/>
  <c r="DQ764" i="1"/>
  <c r="EG698" i="1"/>
  <c r="EH698" i="1" s="1"/>
  <c r="EG642" i="1"/>
  <c r="EH642" i="1" s="1"/>
  <c r="EH582" i="1"/>
  <c r="EG630" i="1"/>
  <c r="EH630" i="1" s="1"/>
  <c r="FY706" i="1"/>
  <c r="GD640" i="1"/>
  <c r="GE554" i="1"/>
  <c r="GD17" i="1"/>
  <c r="AS193" i="1"/>
  <c r="AT193" i="1" s="1"/>
  <c r="AT182" i="1"/>
  <c r="EF690" i="1"/>
  <c r="BW698" i="1"/>
  <c r="BX698" i="1" s="1"/>
  <c r="BW642" i="1"/>
  <c r="BX642" i="1" s="1"/>
  <c r="BX582" i="1"/>
  <c r="BW583" i="1"/>
  <c r="BW626" i="1" s="1"/>
  <c r="BW630" i="1"/>
  <c r="BX630" i="1" s="1"/>
  <c r="GT240" i="1"/>
  <c r="GU235" i="1"/>
  <c r="DU695" i="1"/>
  <c r="DU691" i="1"/>
  <c r="DV691" i="1" s="1"/>
  <c r="DU644" i="1"/>
  <c r="DV561" i="1"/>
  <c r="DU564" i="1"/>
  <c r="GW118" i="1"/>
  <c r="AB692" i="1"/>
  <c r="DU838" i="1"/>
  <c r="DU844" i="1"/>
  <c r="DU850" i="1" s="1"/>
  <c r="CN722" i="1"/>
  <c r="CN690" i="1"/>
  <c r="FH802" i="1"/>
  <c r="FH735" i="1"/>
  <c r="FI735" i="1" s="1"/>
  <c r="FH543" i="1"/>
  <c r="FI538" i="1"/>
  <c r="FH738" i="1"/>
  <c r="FI738" i="1" s="1"/>
  <c r="FH736" i="1"/>
  <c r="FI736" i="1" s="1"/>
  <c r="FH817" i="1"/>
  <c r="FH737" i="1"/>
  <c r="FI737" i="1" s="1"/>
  <c r="FH781" i="1"/>
  <c r="FH739" i="1"/>
  <c r="FI739" i="1" s="1"/>
  <c r="DF697" i="1"/>
  <c r="BI809" i="1"/>
  <c r="CD736" i="1"/>
  <c r="BN629" i="1"/>
  <c r="BM764" i="1"/>
  <c r="EL560" i="1"/>
  <c r="CW843" i="1"/>
  <c r="CW846" i="1"/>
  <c r="CW832" i="1"/>
  <c r="CW822" i="1"/>
  <c r="CW808" i="1"/>
  <c r="CW836" i="1"/>
  <c r="CW831" i="1"/>
  <c r="CW842" i="1"/>
  <c r="CW837" i="1"/>
  <c r="CW830" i="1"/>
  <c r="CW841" i="1"/>
  <c r="CW812" i="1"/>
  <c r="CW807" i="1"/>
  <c r="CW818" i="1"/>
  <c r="CW820" i="1" s="1"/>
  <c r="CW806" i="1"/>
  <c r="CW813" i="1"/>
  <c r="CT692" i="1"/>
  <c r="AO922" i="1"/>
  <c r="AP641" i="1"/>
  <c r="Y922" i="1"/>
  <c r="Z641" i="1"/>
  <c r="GO697" i="1"/>
  <c r="DI695" i="1"/>
  <c r="DI691" i="1"/>
  <c r="DI644" i="1"/>
  <c r="DJ561" i="1"/>
  <c r="DI564" i="1"/>
  <c r="DI645" i="1" s="1"/>
  <c r="FJ579" i="1"/>
  <c r="FJ560" i="1"/>
  <c r="FJ554" i="1"/>
  <c r="FO706" i="1"/>
  <c r="DT510" i="1"/>
  <c r="DS511" i="1"/>
  <c r="DT511" i="1" s="1"/>
  <c r="DH692" i="1"/>
  <c r="BH692" i="1"/>
  <c r="FY511" i="1"/>
  <c r="FW587" i="1"/>
  <c r="BK567" i="1"/>
  <c r="EB629" i="1"/>
  <c r="EB694" i="1"/>
  <c r="BE567" i="1"/>
  <c r="BF567" i="1" s="1"/>
  <c r="EG814" i="1"/>
  <c r="EG826" i="1" s="1"/>
  <c r="EG838" i="1"/>
  <c r="EG833" i="1"/>
  <c r="FS722" i="1"/>
  <c r="FR764" i="1"/>
  <c r="CT546" i="1"/>
  <c r="CS764" i="1"/>
  <c r="GJ693" i="1"/>
  <c r="GK693" i="1" s="1"/>
  <c r="GJ692" i="1"/>
  <c r="GK692" i="1" s="1"/>
  <c r="GJ582" i="1"/>
  <c r="GK579" i="1"/>
  <c r="CH690" i="1"/>
  <c r="BC567" i="1"/>
  <c r="BD567" i="1" s="1"/>
  <c r="GM510" i="1"/>
  <c r="GL511" i="1"/>
  <c r="GM511" i="1" s="1"/>
  <c r="BQ561" i="1"/>
  <c r="BR561" i="1" s="1"/>
  <c r="BQ558" i="1"/>
  <c r="BQ559" i="1" s="1"/>
  <c r="DY814" i="1"/>
  <c r="DY826" i="1" s="1"/>
  <c r="DY838" i="1"/>
  <c r="DY833" i="1"/>
  <c r="DX511" i="1"/>
  <c r="DP542" i="1"/>
  <c r="DO543" i="1"/>
  <c r="DP543" i="1" s="1"/>
  <c r="DA543" i="1"/>
  <c r="DB543" i="1" s="1"/>
  <c r="DB542" i="1"/>
  <c r="FS511" i="1"/>
  <c r="EB554" i="1"/>
  <c r="AG922" i="1"/>
  <c r="AH641" i="1"/>
  <c r="CZ542" i="1"/>
  <c r="CY543" i="1"/>
  <c r="CZ543" i="1" s="1"/>
  <c r="CE561" i="1"/>
  <c r="CE558" i="1"/>
  <c r="CE559" i="1" s="1"/>
  <c r="BW695" i="1"/>
  <c r="BX561" i="1"/>
  <c r="EK922" i="1"/>
  <c r="EL641" i="1"/>
  <c r="EK612" i="1"/>
  <c r="AW149" i="1"/>
  <c r="AU180" i="1"/>
  <c r="AV153" i="1"/>
  <c r="AU154" i="1"/>
  <c r="AV154" i="1" s="1"/>
  <c r="AR629" i="1"/>
  <c r="EW530" i="1" l="1"/>
  <c r="DX18" i="2" s="1"/>
  <c r="DX17" i="2"/>
  <c r="ED514" i="198"/>
  <c r="FJ521" i="2"/>
  <c r="ED18" i="198"/>
  <c r="EH527" i="198"/>
  <c r="FN534" i="2"/>
  <c r="EC19" i="198"/>
  <c r="GQ423" i="1"/>
  <c r="EC518" i="198"/>
  <c r="FI525" i="2"/>
  <c r="FO534" i="2"/>
  <c r="EI527" i="198"/>
  <c r="CY477" i="198"/>
  <c r="DW484" i="2"/>
  <c r="FK494" i="2"/>
  <c r="EE487" i="198"/>
  <c r="DU484" i="2"/>
  <c r="CW477" i="198"/>
  <c r="FJ494" i="2"/>
  <c r="ED487" i="198"/>
  <c r="FL493" i="2"/>
  <c r="EF486" i="198"/>
  <c r="EG486" i="198"/>
  <c r="FM493" i="2"/>
  <c r="ED473" i="198"/>
  <c r="ED17" i="198"/>
  <c r="FJ480" i="2"/>
  <c r="GQ384" i="1"/>
  <c r="FI484" i="2"/>
  <c r="EC477" i="198"/>
  <c r="FJ70" i="2"/>
  <c r="ED61" i="198"/>
  <c r="ED30" i="198"/>
  <c r="ED62" i="198"/>
  <c r="FJ71" i="2"/>
  <c r="FJ35" i="2"/>
  <c r="EE510" i="198"/>
  <c r="FK517" i="2"/>
  <c r="EJ501" i="198"/>
  <c r="FP508" i="2"/>
  <c r="EL460" i="198"/>
  <c r="FR467" i="2"/>
  <c r="EI507" i="198"/>
  <c r="FO514" i="2"/>
  <c r="EK501" i="198"/>
  <c r="FQ508" i="2"/>
  <c r="EK460" i="198"/>
  <c r="FQ467" i="2"/>
  <c r="EM460" i="198"/>
  <c r="FS467" i="2"/>
  <c r="GU414" i="1"/>
  <c r="EG510" i="198"/>
  <c r="FM517" i="2"/>
  <c r="EK463" i="198"/>
  <c r="FQ470" i="2"/>
  <c r="FN511" i="2"/>
  <c r="EH504" i="198"/>
  <c r="EI504" i="198"/>
  <c r="FO511" i="2"/>
  <c r="FM514" i="2"/>
  <c r="EG507" i="198"/>
  <c r="EJ463" i="198"/>
  <c r="FP470" i="2"/>
  <c r="EE466" i="198"/>
  <c r="FK473" i="2"/>
  <c r="DI850" i="1"/>
  <c r="FX838" i="1"/>
  <c r="FV814" i="1"/>
  <c r="CE838" i="1"/>
  <c r="GB833" i="1"/>
  <c r="FP814" i="1"/>
  <c r="BO850" i="1"/>
  <c r="GD809" i="1"/>
  <c r="BI826" i="1"/>
  <c r="CE833" i="1"/>
  <c r="EA850" i="1"/>
  <c r="CO850" i="1"/>
  <c r="DQ850" i="1"/>
  <c r="EI850" i="1"/>
  <c r="GH838" i="1"/>
  <c r="EE850" i="1"/>
  <c r="BY850" i="1"/>
  <c r="CU850" i="1"/>
  <c r="DG826" i="1"/>
  <c r="CI838" i="1"/>
  <c r="BI850" i="1"/>
  <c r="DC838" i="1"/>
  <c r="GL838" i="1"/>
  <c r="GL833" i="1"/>
  <c r="DY850" i="1"/>
  <c r="CQ850" i="1"/>
  <c r="FN838" i="1"/>
  <c r="DG850" i="1"/>
  <c r="CC850" i="1"/>
  <c r="CW809" i="1"/>
  <c r="BK850" i="1"/>
  <c r="EG850" i="1"/>
  <c r="CY850" i="1"/>
  <c r="BW826" i="1"/>
  <c r="EC809" i="1"/>
  <c r="GD838" i="1"/>
  <c r="EX530" i="1"/>
  <c r="DY18" i="2" s="1"/>
  <c r="BL567" i="1"/>
  <c r="DU645" i="1"/>
  <c r="DV564" i="1"/>
  <c r="AV180" i="1"/>
  <c r="AU194" i="1"/>
  <c r="AV194" i="1" s="1"/>
  <c r="CE695" i="1"/>
  <c r="CF561" i="1"/>
  <c r="FJ561" i="1"/>
  <c r="FJ558" i="1"/>
  <c r="FJ559" i="1" s="1"/>
  <c r="DI782" i="1"/>
  <c r="DJ644" i="1"/>
  <c r="DI19" i="1"/>
  <c r="CW838" i="1"/>
  <c r="CW844" i="1"/>
  <c r="GD647" i="1"/>
  <c r="GD20" i="1" s="1"/>
  <c r="GD18" i="1"/>
  <c r="DC647" i="1"/>
  <c r="DC18" i="1"/>
  <c r="DD18" i="1" s="1"/>
  <c r="BG782" i="1"/>
  <c r="BH644" i="1"/>
  <c r="DS809" i="1"/>
  <c r="AZ642" i="1"/>
  <c r="AY612" i="1"/>
  <c r="BH543" i="1"/>
  <c r="BG781" i="1"/>
  <c r="BG783" i="1" s="1"/>
  <c r="EC922" i="1"/>
  <c r="ED641" i="1"/>
  <c r="EC612" i="1"/>
  <c r="GB922" i="1"/>
  <c r="GC641" i="1"/>
  <c r="GB644" i="1"/>
  <c r="GB612" i="1"/>
  <c r="GD922" i="1"/>
  <c r="GE641" i="1"/>
  <c r="GD644" i="1"/>
  <c r="GD612" i="1"/>
  <c r="GE612" i="1" s="1"/>
  <c r="GZ238" i="1"/>
  <c r="GY238" i="1"/>
  <c r="GH809" i="1"/>
  <c r="GH814" i="1"/>
  <c r="GH826" i="1" s="1"/>
  <c r="GH833" i="1"/>
  <c r="BF642" i="1"/>
  <c r="BE612" i="1"/>
  <c r="GN809" i="1"/>
  <c r="GN838" i="1"/>
  <c r="DL629" i="1"/>
  <c r="DC922" i="1"/>
  <c r="DD641" i="1"/>
  <c r="FT561" i="1"/>
  <c r="FT558" i="1"/>
  <c r="FT559" i="1" s="1"/>
  <c r="CR692" i="1"/>
  <c r="GM693" i="1"/>
  <c r="BL642" i="1"/>
  <c r="BK612" i="1"/>
  <c r="CY265" i="1"/>
  <c r="CX270" i="1"/>
  <c r="CW272" i="1"/>
  <c r="CY566" i="1"/>
  <c r="CY20" i="1"/>
  <c r="AV698" i="1"/>
  <c r="EG782" i="1"/>
  <c r="EH644" i="1"/>
  <c r="EG19" i="1"/>
  <c r="GH691" i="1"/>
  <c r="GH695" i="1"/>
  <c r="GH644" i="1"/>
  <c r="GH564" i="1"/>
  <c r="GH645" i="1" s="1"/>
  <c r="GI561" i="1"/>
  <c r="CQ566" i="1"/>
  <c r="CQ20" i="1"/>
  <c r="CR20" i="1" s="1"/>
  <c r="GJ559" i="1"/>
  <c r="GK558" i="1"/>
  <c r="GF922" i="1"/>
  <c r="GG641" i="1"/>
  <c r="GF612" i="1"/>
  <c r="GG612" i="1" s="1"/>
  <c r="DJ543" i="1"/>
  <c r="BZ566" i="1"/>
  <c r="EK645" i="1"/>
  <c r="GJ814" i="1"/>
  <c r="GD698" i="1"/>
  <c r="GD642" i="1"/>
  <c r="GE582" i="1"/>
  <c r="GD630" i="1"/>
  <c r="CU612" i="1"/>
  <c r="CV642" i="1"/>
  <c r="GB809" i="1"/>
  <c r="GB814" i="1"/>
  <c r="GO511" i="1"/>
  <c r="AN543" i="1"/>
  <c r="AM781" i="1"/>
  <c r="AM783" i="1" s="1"/>
  <c r="GZ370" i="1"/>
  <c r="GY370" i="1"/>
  <c r="AP698" i="1"/>
  <c r="FP833" i="1"/>
  <c r="FP826" i="1"/>
  <c r="DW645" i="1"/>
  <c r="DX564" i="1"/>
  <c r="DV630" i="1"/>
  <c r="DL692" i="1"/>
  <c r="CA612" i="1"/>
  <c r="CB642" i="1"/>
  <c r="EF647" i="1"/>
  <c r="EE566" i="1"/>
  <c r="EE20" i="1"/>
  <c r="EI645" i="1"/>
  <c r="EJ564" i="1"/>
  <c r="DA566" i="1"/>
  <c r="DA20" i="1"/>
  <c r="CP642" i="1"/>
  <c r="CO612" i="1"/>
  <c r="BD642" i="1"/>
  <c r="BC612" i="1"/>
  <c r="GF809" i="1"/>
  <c r="GT381" i="1"/>
  <c r="GS381" i="1"/>
  <c r="GR376" i="1"/>
  <c r="GR378" i="1" s="1"/>
  <c r="DS647" i="1"/>
  <c r="DT640" i="1"/>
  <c r="DS18" i="1"/>
  <c r="DT18" i="1" s="1"/>
  <c r="GC692" i="1"/>
  <c r="FK737" i="1"/>
  <c r="BT543" i="1"/>
  <c r="BS781" i="1"/>
  <c r="BS783" i="1" s="1"/>
  <c r="GA270" i="1"/>
  <c r="GC270" i="1"/>
  <c r="FZ272" i="1"/>
  <c r="AQ782" i="1"/>
  <c r="AR644" i="1"/>
  <c r="EL694" i="1"/>
  <c r="EO809" i="1"/>
  <c r="EH559" i="1"/>
  <c r="EC814" i="1"/>
  <c r="EC826" i="1" s="1"/>
  <c r="EC838" i="1"/>
  <c r="EC833" i="1"/>
  <c r="GU380" i="1"/>
  <c r="GV380" i="1"/>
  <c r="GT373" i="1"/>
  <c r="GN922" i="1"/>
  <c r="GN644" i="1"/>
  <c r="GO641" i="1"/>
  <c r="GN612" i="1"/>
  <c r="L50" i="1"/>
  <c r="K62" i="1"/>
  <c r="L62" i="1" s="1"/>
  <c r="K61" i="1"/>
  <c r="L61" i="1" s="1"/>
  <c r="K60" i="1"/>
  <c r="L60" i="1" s="1"/>
  <c r="K56" i="1"/>
  <c r="CK833" i="1"/>
  <c r="AS782" i="1"/>
  <c r="AT644" i="1"/>
  <c r="FM182" i="1"/>
  <c r="FL193" i="1"/>
  <c r="FO182" i="1"/>
  <c r="FM737" i="1"/>
  <c r="EJ543" i="1"/>
  <c r="EM782" i="1"/>
  <c r="EN644" i="1"/>
  <c r="EM19" i="1"/>
  <c r="DZ630" i="1"/>
  <c r="GR634" i="1"/>
  <c r="GQ634" i="1"/>
  <c r="AT642" i="1"/>
  <c r="AS612" i="1"/>
  <c r="CI922" i="1"/>
  <c r="CI644" i="1"/>
  <c r="CJ641" i="1"/>
  <c r="BU809" i="1"/>
  <c r="BU826" i="1" s="1"/>
  <c r="BU844" i="1"/>
  <c r="FY640" i="1"/>
  <c r="FX647" i="1"/>
  <c r="CD561" i="1"/>
  <c r="GP527" i="1"/>
  <c r="GQ387" i="1"/>
  <c r="GP388" i="1"/>
  <c r="GQ388" i="1" s="1"/>
  <c r="GO693" i="1"/>
  <c r="GL691" i="1"/>
  <c r="GL695" i="1"/>
  <c r="GL564" i="1"/>
  <c r="GM561" i="1"/>
  <c r="FN642" i="1"/>
  <c r="FO642" i="1" s="1"/>
  <c r="AJ642" i="1"/>
  <c r="AI612" i="1"/>
  <c r="AJ612" i="1" s="1"/>
  <c r="CK698" i="1"/>
  <c r="CL698" i="1" s="1"/>
  <c r="CK642" i="1"/>
  <c r="CK583" i="1"/>
  <c r="CK626" i="1" s="1"/>
  <c r="CL582" i="1"/>
  <c r="CK630" i="1"/>
  <c r="CL630" i="1" s="1"/>
  <c r="FV922" i="1"/>
  <c r="FV5" i="1" s="1"/>
  <c r="FV644" i="1"/>
  <c r="FV612" i="1"/>
  <c r="FK706" i="1"/>
  <c r="GQ519" i="1"/>
  <c r="DJ18" i="1"/>
  <c r="AV170" i="1"/>
  <c r="AU182" i="1"/>
  <c r="CE698" i="1"/>
  <c r="CF698" i="1" s="1"/>
  <c r="CE642" i="1"/>
  <c r="CF582" i="1"/>
  <c r="CE583" i="1"/>
  <c r="CE626" i="1" s="1"/>
  <c r="CE630" i="1"/>
  <c r="CF630" i="1" s="1"/>
  <c r="FX814" i="1"/>
  <c r="DZ18" i="1"/>
  <c r="GD833" i="1"/>
  <c r="CT641" i="1"/>
  <c r="FS629" i="1"/>
  <c r="DP630" i="1"/>
  <c r="EJ18" i="1"/>
  <c r="CN629" i="1"/>
  <c r="FY690" i="1"/>
  <c r="FZ922" i="1"/>
  <c r="FZ5" i="1" s="1"/>
  <c r="GA641" i="1"/>
  <c r="FZ644" i="1"/>
  <c r="FZ612" i="1"/>
  <c r="FW180" i="1"/>
  <c r="FV194" i="1"/>
  <c r="FW194" i="1" s="1"/>
  <c r="DE566" i="1"/>
  <c r="DE20" i="1"/>
  <c r="BQ838" i="1"/>
  <c r="FV838" i="1"/>
  <c r="FV833" i="1"/>
  <c r="FV844" i="1"/>
  <c r="FV850" i="1" s="1"/>
  <c r="FL838" i="1"/>
  <c r="M708" i="1"/>
  <c r="N684" i="1"/>
  <c r="M686" i="1"/>
  <c r="M685" i="1"/>
  <c r="V684" i="1"/>
  <c r="EL692" i="1"/>
  <c r="FZ814" i="1"/>
  <c r="FZ833" i="1"/>
  <c r="DK612" i="1"/>
  <c r="BZ690" i="1"/>
  <c r="CO782" i="1"/>
  <c r="CP644" i="1"/>
  <c r="CO19" i="1"/>
  <c r="CP19" i="1" s="1"/>
  <c r="GL922" i="1"/>
  <c r="GM641" i="1"/>
  <c r="GL644" i="1"/>
  <c r="GL612" i="1"/>
  <c r="CB543" i="1"/>
  <c r="FY692" i="1"/>
  <c r="FN814" i="1"/>
  <c r="BP543" i="1"/>
  <c r="BO781" i="1"/>
  <c r="BO783" i="1" s="1"/>
  <c r="AR543" i="1"/>
  <c r="AQ781" i="1"/>
  <c r="AQ783" i="1" s="1"/>
  <c r="EJ559" i="1"/>
  <c r="EB511" i="1"/>
  <c r="EB693" i="1"/>
  <c r="FO692" i="1"/>
  <c r="EO698" i="1"/>
  <c r="EP698" i="1" s="1"/>
  <c r="EO642" i="1"/>
  <c r="EP642" i="1" s="1"/>
  <c r="EP582" i="1"/>
  <c r="EO630" i="1"/>
  <c r="EP630" i="1" s="1"/>
  <c r="GM640" i="1"/>
  <c r="GL18" i="1"/>
  <c r="DF692" i="1"/>
  <c r="CW698" i="1"/>
  <c r="CX698" i="1" s="1"/>
  <c r="CW642" i="1"/>
  <c r="CX582" i="1"/>
  <c r="CW630" i="1"/>
  <c r="CX630" i="1" s="1"/>
  <c r="DS559" i="1"/>
  <c r="DT559" i="1" s="1"/>
  <c r="DT558" i="1"/>
  <c r="GB695" i="1"/>
  <c r="GB691" i="1"/>
  <c r="GC691" i="1" s="1"/>
  <c r="GC561" i="1"/>
  <c r="GB564" i="1"/>
  <c r="BN642" i="1"/>
  <c r="BM612" i="1"/>
  <c r="BN612" i="1" s="1"/>
  <c r="CE814" i="1"/>
  <c r="FN39" i="1"/>
  <c r="FO38" i="1"/>
  <c r="FP29" i="1"/>
  <c r="AY305" i="1"/>
  <c r="AZ305" i="1" s="1"/>
  <c r="AZ298" i="1"/>
  <c r="GG693" i="1"/>
  <c r="FX179" i="1"/>
  <c r="FX170" i="1"/>
  <c r="FY169" i="1"/>
  <c r="FZ164" i="1"/>
  <c r="DX18" i="1"/>
  <c r="FJ692" i="1"/>
  <c r="FJ693" i="1"/>
  <c r="FM693" i="1" s="1"/>
  <c r="FJ582" i="1"/>
  <c r="FK579" i="1"/>
  <c r="CW814" i="1"/>
  <c r="DU782" i="1"/>
  <c r="DV644" i="1"/>
  <c r="DU19" i="1"/>
  <c r="GU240" i="1"/>
  <c r="GT248" i="1"/>
  <c r="FJ642" i="1"/>
  <c r="T642" i="1"/>
  <c r="S612" i="1"/>
  <c r="T612" i="1" s="1"/>
  <c r="DS838" i="1"/>
  <c r="DS850" i="1" s="1"/>
  <c r="GS414" i="1"/>
  <c r="GR416" i="1"/>
  <c r="FZ698" i="1"/>
  <c r="FZ642" i="1"/>
  <c r="GA582" i="1"/>
  <c r="FZ630" i="1"/>
  <c r="FY297" i="1"/>
  <c r="FX298" i="1"/>
  <c r="GE690" i="1"/>
  <c r="BA782" i="1"/>
  <c r="BB644" i="1"/>
  <c r="GK511" i="1"/>
  <c r="AY782" i="1"/>
  <c r="AZ644" i="1"/>
  <c r="GB647" i="1"/>
  <c r="GB20" i="1" s="1"/>
  <c r="GB18" i="1"/>
  <c r="CC612" i="1"/>
  <c r="AV630" i="1"/>
  <c r="AJ543" i="1"/>
  <c r="AI781" i="1"/>
  <c r="AI783" i="1" s="1"/>
  <c r="FR782" i="1"/>
  <c r="GG690" i="1"/>
  <c r="DG612" i="1"/>
  <c r="DH642" i="1"/>
  <c r="GJ826" i="1"/>
  <c r="DV559" i="1"/>
  <c r="CV630" i="1"/>
  <c r="CV698" i="1"/>
  <c r="GB826" i="1"/>
  <c r="FL77" i="1"/>
  <c r="FM77" i="1" s="1"/>
  <c r="FM75" i="1"/>
  <c r="GH922" i="1"/>
  <c r="GI641" i="1"/>
  <c r="GH612" i="1"/>
  <c r="GI612" i="1" s="1"/>
  <c r="BJ642" i="1"/>
  <c r="BI612" i="1"/>
  <c r="AP630" i="1"/>
  <c r="EL630" i="1"/>
  <c r="EL698" i="1"/>
  <c r="DW782" i="1"/>
  <c r="DX644" i="1"/>
  <c r="DW19" i="1"/>
  <c r="BU567" i="1"/>
  <c r="EV527" i="1"/>
  <c r="DW16" i="2" s="1"/>
  <c r="EU530" i="1"/>
  <c r="DV18" i="2" s="1"/>
  <c r="BK277" i="1"/>
  <c r="BK278" i="1" s="1"/>
  <c r="BL265" i="1"/>
  <c r="BK276" i="1"/>
  <c r="BK270" i="1"/>
  <c r="FY561" i="1"/>
  <c r="FX564" i="1"/>
  <c r="DL690" i="1"/>
  <c r="BY612" i="1"/>
  <c r="EI782" i="1"/>
  <c r="EI19" i="1"/>
  <c r="AT543" i="1"/>
  <c r="AS781" i="1"/>
  <c r="AS783" i="1" s="1"/>
  <c r="EC698" i="1"/>
  <c r="ED698" i="1" s="1"/>
  <c r="EC642" i="1"/>
  <c r="ED642" i="1" s="1"/>
  <c r="ED582" i="1"/>
  <c r="EC630" i="1"/>
  <c r="ED630" i="1" s="1"/>
  <c r="AB642" i="1"/>
  <c r="FJ922" i="1"/>
  <c r="FK641" i="1"/>
  <c r="Y612" i="1"/>
  <c r="FJ612" i="1"/>
  <c r="GO640" i="1"/>
  <c r="GN18" i="1"/>
  <c r="GO18" i="1" s="1"/>
  <c r="CP630" i="1"/>
  <c r="CP698" i="1"/>
  <c r="EP640" i="1"/>
  <c r="EO647" i="1"/>
  <c r="EO18" i="1"/>
  <c r="EP18" i="1" s="1"/>
  <c r="BD630" i="1"/>
  <c r="BD698" i="1"/>
  <c r="GF844" i="1"/>
  <c r="GC693" i="1"/>
  <c r="GF695" i="1"/>
  <c r="GF691" i="1"/>
  <c r="GF644" i="1"/>
  <c r="GG561" i="1"/>
  <c r="GF564" i="1"/>
  <c r="GF645" i="1" s="1"/>
  <c r="EL629" i="1"/>
  <c r="EO838" i="1"/>
  <c r="EO844" i="1"/>
  <c r="AF642" i="1"/>
  <c r="AE612" i="1"/>
  <c r="AF612" i="1" s="1"/>
  <c r="EC844" i="1"/>
  <c r="CT690" i="1"/>
  <c r="BH642" i="1"/>
  <c r="BG612" i="1"/>
  <c r="BH612" i="1" s="1"/>
  <c r="I75" i="1"/>
  <c r="I77" i="1" s="1"/>
  <c r="I76" i="1"/>
  <c r="GZ118" i="1"/>
  <c r="GY118" i="1"/>
  <c r="CK838" i="1"/>
  <c r="CK844" i="1"/>
  <c r="CK850" i="1" s="1"/>
  <c r="GD695" i="1"/>
  <c r="GD691" i="1"/>
  <c r="GE691" i="1" s="1"/>
  <c r="GD564" i="1"/>
  <c r="GE561" i="1"/>
  <c r="DC695" i="1"/>
  <c r="DC691" i="1"/>
  <c r="DC644" i="1"/>
  <c r="DD561" i="1"/>
  <c r="DQ782" i="1"/>
  <c r="DR644" i="1"/>
  <c r="DQ19" i="1"/>
  <c r="DR19" i="1" s="1"/>
  <c r="AW782" i="1"/>
  <c r="AX644" i="1"/>
  <c r="BO782" i="1"/>
  <c r="BP644" i="1"/>
  <c r="EN691" i="1"/>
  <c r="CP543" i="1"/>
  <c r="ES530" i="1"/>
  <c r="DT18" i="2" s="1"/>
  <c r="ET527" i="1"/>
  <c r="DU16" i="2" s="1"/>
  <c r="DR642" i="1"/>
  <c r="DQ612" i="1"/>
  <c r="DZ612" i="1" s="1"/>
  <c r="FV564" i="1"/>
  <c r="FW561" i="1"/>
  <c r="DR543" i="1"/>
  <c r="BI782" i="1"/>
  <c r="BJ644" i="1"/>
  <c r="BB642" i="1"/>
  <c r="BA612" i="1"/>
  <c r="BB612" i="1" s="1"/>
  <c r="CS566" i="1"/>
  <c r="CS20" i="1"/>
  <c r="CT20" i="1" s="1"/>
  <c r="ED558" i="1"/>
  <c r="EC559" i="1"/>
  <c r="ED559" i="1" s="1"/>
  <c r="FM579" i="1"/>
  <c r="GN698" i="1"/>
  <c r="GN642" i="1"/>
  <c r="GO582" i="1"/>
  <c r="GN630" i="1"/>
  <c r="CD690" i="1"/>
  <c r="BW782" i="1"/>
  <c r="BX644" i="1"/>
  <c r="DS922" i="1"/>
  <c r="DT641" i="1"/>
  <c r="FW690" i="1"/>
  <c r="FK546" i="1"/>
  <c r="FJ629" i="1"/>
  <c r="FK629" i="1" s="1"/>
  <c r="FK722" i="1"/>
  <c r="DI566" i="1"/>
  <c r="DI20" i="1"/>
  <c r="DJ20" i="1" s="1"/>
  <c r="EL690" i="1"/>
  <c r="EB18" i="1"/>
  <c r="DA782" i="1"/>
  <c r="DB644" i="1"/>
  <c r="DA19" i="1"/>
  <c r="DZ647" i="1"/>
  <c r="DY566" i="1"/>
  <c r="DY20" i="1"/>
  <c r="BQ698" i="1"/>
  <c r="BR698" i="1" s="1"/>
  <c r="BQ642" i="1"/>
  <c r="BQ583" i="1"/>
  <c r="BQ626" i="1" s="1"/>
  <c r="BR582" i="1"/>
  <c r="BQ630" i="1"/>
  <c r="BR630" i="1" s="1"/>
  <c r="GD826" i="1"/>
  <c r="DC826" i="1"/>
  <c r="FY629" i="1"/>
  <c r="BP642" i="1"/>
  <c r="BO612" i="1"/>
  <c r="DY782" i="1"/>
  <c r="DZ644" i="1"/>
  <c r="DY19" i="1"/>
  <c r="DZ19" i="1" s="1"/>
  <c r="GW126" i="1"/>
  <c r="GV119" i="1"/>
  <c r="GX126" i="1"/>
  <c r="CO566" i="1"/>
  <c r="CO20" i="1"/>
  <c r="CP20" i="1" s="1"/>
  <c r="FX153" i="1"/>
  <c r="FY149" i="1"/>
  <c r="FX160" i="1"/>
  <c r="FX159" i="1"/>
  <c r="FX158" i="1"/>
  <c r="BQ543" i="1"/>
  <c r="BR542" i="1"/>
  <c r="EF642" i="1"/>
  <c r="DH18" i="1"/>
  <c r="K708" i="1"/>
  <c r="K686" i="1"/>
  <c r="K685" i="1"/>
  <c r="L684" i="1"/>
  <c r="T684" i="1"/>
  <c r="R642" i="1"/>
  <c r="Q612" i="1"/>
  <c r="R612" i="1" s="1"/>
  <c r="FZ647" i="1"/>
  <c r="FZ20" i="1" s="1"/>
  <c r="GA640" i="1"/>
  <c r="FZ18" i="1"/>
  <c r="CV18" i="1"/>
  <c r="BP567" i="1"/>
  <c r="FZ809" i="1"/>
  <c r="DT698" i="1"/>
  <c r="BQ922" i="1"/>
  <c r="BR641" i="1"/>
  <c r="BQ644" i="1"/>
  <c r="GM694" i="1"/>
  <c r="FM722" i="1"/>
  <c r="FY693" i="1"/>
  <c r="FN844" i="1"/>
  <c r="BZ693" i="1"/>
  <c r="DM782" i="1"/>
  <c r="DN644" i="1"/>
  <c r="DM19" i="1"/>
  <c r="AX642" i="1"/>
  <c r="AW612" i="1"/>
  <c r="EH18" i="1"/>
  <c r="DL18" i="1"/>
  <c r="GN559" i="1"/>
  <c r="GO558" i="1"/>
  <c r="FW511" i="1"/>
  <c r="FQ692" i="1"/>
  <c r="BN630" i="1"/>
  <c r="BN698" i="1"/>
  <c r="CE809" i="1"/>
  <c r="EK566" i="1"/>
  <c r="EK20" i="1"/>
  <c r="GF698" i="1"/>
  <c r="GG698" i="1" s="1"/>
  <c r="GF642" i="1"/>
  <c r="GG642" i="1" s="1"/>
  <c r="GG582" i="1"/>
  <c r="GF630" i="1"/>
  <c r="GG630" i="1" s="1"/>
  <c r="EN18" i="1"/>
  <c r="BZ543" i="1"/>
  <c r="AW160" i="1"/>
  <c r="AW159" i="1"/>
  <c r="AW153" i="1"/>
  <c r="AX149" i="1"/>
  <c r="AW158" i="1"/>
  <c r="CW833" i="1"/>
  <c r="FH846" i="1"/>
  <c r="FH822" i="1"/>
  <c r="FH832" i="1"/>
  <c r="FH830" i="1"/>
  <c r="FH842" i="1"/>
  <c r="FH836" i="1"/>
  <c r="FH843" i="1"/>
  <c r="FH844" i="1" s="1"/>
  <c r="FH831" i="1"/>
  <c r="FH808" i="1"/>
  <c r="FH812" i="1"/>
  <c r="FH806" i="1"/>
  <c r="FH807" i="1"/>
  <c r="FH841" i="1"/>
  <c r="FH818" i="1"/>
  <c r="FH820" i="1" s="1"/>
  <c r="FH837" i="1"/>
  <c r="FH813" i="1"/>
  <c r="DZ543" i="1"/>
  <c r="EH543" i="1"/>
  <c r="GS240" i="1"/>
  <c r="GR248" i="1"/>
  <c r="BT567" i="1"/>
  <c r="GJ922" i="1"/>
  <c r="GJ644" i="1"/>
  <c r="GK641" i="1"/>
  <c r="GJ612" i="1"/>
  <c r="GK612" i="1" s="1"/>
  <c r="GE629" i="1"/>
  <c r="FV647" i="1"/>
  <c r="CI698" i="1"/>
  <c r="CJ698" i="1" s="1"/>
  <c r="CI642" i="1"/>
  <c r="CI583" i="1"/>
  <c r="CI626" i="1" s="1"/>
  <c r="CJ582" i="1"/>
  <c r="CI630" i="1"/>
  <c r="CJ630" i="1" s="1"/>
  <c r="GN844" i="1"/>
  <c r="GN850" i="1" s="1"/>
  <c r="FT693" i="1"/>
  <c r="FU693" i="1" s="1"/>
  <c r="FT692" i="1"/>
  <c r="FU692" i="1" s="1"/>
  <c r="FT582" i="1"/>
  <c r="FU579" i="1"/>
  <c r="EP558" i="1"/>
  <c r="EO559" i="1"/>
  <c r="EP559" i="1" s="1"/>
  <c r="GL698" i="1"/>
  <c r="GL642" i="1"/>
  <c r="GM582" i="1"/>
  <c r="GL630" i="1"/>
  <c r="CW695" i="1"/>
  <c r="CW691" i="1"/>
  <c r="CW644" i="1"/>
  <c r="CX561" i="1"/>
  <c r="CN561" i="1"/>
  <c r="DN642" i="1"/>
  <c r="DM612" i="1"/>
  <c r="DN612" i="1" s="1"/>
  <c r="AU782" i="1"/>
  <c r="AV644" i="1"/>
  <c r="GY243" i="1"/>
  <c r="GX235" i="1"/>
  <c r="EG645" i="1"/>
  <c r="EH564" i="1"/>
  <c r="GI558" i="1"/>
  <c r="GH559" i="1"/>
  <c r="GI559" i="1" s="1"/>
  <c r="BQ567" i="1"/>
  <c r="CG782" i="1"/>
  <c r="CH644" i="1"/>
  <c r="GJ695" i="1"/>
  <c r="GJ691" i="1"/>
  <c r="GK691" i="1" s="1"/>
  <c r="GK561" i="1"/>
  <c r="GJ564" i="1"/>
  <c r="GG629" i="1"/>
  <c r="EE645" i="1"/>
  <c r="EF645" i="1" s="1"/>
  <c r="EF564" i="1"/>
  <c r="EK782" i="1"/>
  <c r="EK19" i="1"/>
  <c r="BJ543" i="1"/>
  <c r="BI781" i="1"/>
  <c r="BI783" i="1" s="1"/>
  <c r="CM612" i="1"/>
  <c r="CN642" i="1"/>
  <c r="GB844" i="1"/>
  <c r="GB850" i="1" s="1"/>
  <c r="GI694" i="1"/>
  <c r="FZ695" i="1"/>
  <c r="FZ564" i="1"/>
  <c r="GA561" i="1"/>
  <c r="FP844" i="1"/>
  <c r="FP850" i="1" s="1"/>
  <c r="EB559" i="1"/>
  <c r="FV698" i="1"/>
  <c r="FV642" i="1"/>
  <c r="FW582" i="1"/>
  <c r="FV630" i="1"/>
  <c r="CI695" i="1"/>
  <c r="CJ561" i="1"/>
  <c r="BZ630" i="1"/>
  <c r="BZ698" i="1"/>
  <c r="CH642" i="1"/>
  <c r="CG612" i="1"/>
  <c r="CH612" i="1" s="1"/>
  <c r="GF814" i="1"/>
  <c r="GF826" i="1" s="1"/>
  <c r="DF642" i="1"/>
  <c r="DE612" i="1"/>
  <c r="GV239" i="1"/>
  <c r="GW239" i="1" s="1"/>
  <c r="GX246" i="1"/>
  <c r="GW246" i="1"/>
  <c r="DO645" i="1"/>
  <c r="DP645" i="1" s="1"/>
  <c r="DP564" i="1"/>
  <c r="GL814" i="1"/>
  <c r="GL826" i="1" s="1"/>
  <c r="GL844" i="1"/>
  <c r="FK739" i="1"/>
  <c r="FM739" i="1"/>
  <c r="FK736" i="1"/>
  <c r="FK735" i="1"/>
  <c r="EU820" i="1"/>
  <c r="EO814" i="1"/>
  <c r="EO826" i="1" s="1"/>
  <c r="EO833" i="1"/>
  <c r="EQ817" i="1"/>
  <c r="EQ820" i="1" s="1"/>
  <c r="ER528" i="1"/>
  <c r="DS17" i="2" s="1"/>
  <c r="EQ530" i="1"/>
  <c r="DR18" i="2" s="1"/>
  <c r="FM511" i="1"/>
  <c r="GS373" i="1"/>
  <c r="AP543" i="1"/>
  <c r="AO781" i="1"/>
  <c r="AO783" i="1" s="1"/>
  <c r="CI809" i="1"/>
  <c r="CI826" i="1" s="1"/>
  <c r="CI833" i="1"/>
  <c r="CI844" i="1"/>
  <c r="BU922" i="1"/>
  <c r="BV641" i="1"/>
  <c r="BU644" i="1"/>
  <c r="BH630" i="1"/>
  <c r="BH698" i="1"/>
  <c r="GS613" i="1"/>
  <c r="GU632" i="1"/>
  <c r="GV633" i="1"/>
  <c r="GV632" i="1"/>
  <c r="GT613" i="1"/>
  <c r="CT642" i="1"/>
  <c r="CS612" i="1"/>
  <c r="BM782" i="1"/>
  <c r="BN644" i="1"/>
  <c r="CK809" i="1"/>
  <c r="CK826" i="1" s="1"/>
  <c r="CK543" i="1"/>
  <c r="CL543" i="1" s="1"/>
  <c r="CL542" i="1"/>
  <c r="FT641" i="1"/>
  <c r="FU546" i="1"/>
  <c r="FT629" i="1"/>
  <c r="FU629" i="1" s="1"/>
  <c r="GZ116" i="1"/>
  <c r="GY116" i="1"/>
  <c r="DR691" i="1"/>
  <c r="GN281" i="1"/>
  <c r="GL289" i="1"/>
  <c r="GM287" i="1"/>
  <c r="FM194" i="1"/>
  <c r="FO194" i="1"/>
  <c r="CD566" i="1"/>
  <c r="EO922" i="1"/>
  <c r="EP641" i="1"/>
  <c r="EO612" i="1"/>
  <c r="EP612" i="1" s="1"/>
  <c r="EN612" i="1"/>
  <c r="DF561" i="1"/>
  <c r="BU838" i="1"/>
  <c r="BU833" i="1"/>
  <c r="BB630" i="1"/>
  <c r="BB698" i="1"/>
  <c r="DL641" i="1"/>
  <c r="CE922" i="1"/>
  <c r="CE644" i="1"/>
  <c r="CF641" i="1"/>
  <c r="P642" i="1"/>
  <c r="O612" i="1"/>
  <c r="P612" i="1" s="1"/>
  <c r="EC695" i="1"/>
  <c r="EC691" i="1"/>
  <c r="ED691" i="1" s="1"/>
  <c r="ED561" i="1"/>
  <c r="EC564" i="1"/>
  <c r="EL564" i="1" s="1"/>
  <c r="FL698" i="1"/>
  <c r="FM582" i="1"/>
  <c r="FL630" i="1"/>
  <c r="BN543" i="1"/>
  <c r="BM781" i="1"/>
  <c r="BM783" i="1" s="1"/>
  <c r="GM558" i="1"/>
  <c r="GL559" i="1"/>
  <c r="GM559" i="1" s="1"/>
  <c r="DS642" i="1"/>
  <c r="DT582" i="1"/>
  <c r="DS630" i="1"/>
  <c r="DT630" i="1" s="1"/>
  <c r="GV240" i="1"/>
  <c r="GW235" i="1"/>
  <c r="AW175" i="1"/>
  <c r="AW169" i="1"/>
  <c r="AX164" i="1"/>
  <c r="AW174" i="1"/>
  <c r="AW176" i="1"/>
  <c r="FX809" i="1"/>
  <c r="GH698" i="1"/>
  <c r="GI698" i="1" s="1"/>
  <c r="GH642" i="1"/>
  <c r="GI642" i="1" s="1"/>
  <c r="GI582" i="1"/>
  <c r="GH630" i="1"/>
  <c r="GI630" i="1" s="1"/>
  <c r="EB640" i="1"/>
  <c r="DR647" i="1"/>
  <c r="DQ566" i="1"/>
  <c r="DQ20" i="1"/>
  <c r="DR20" i="1" s="1"/>
  <c r="AZ543" i="1"/>
  <c r="AY781" i="1"/>
  <c r="AY783" i="1" s="1"/>
  <c r="BT642" i="1"/>
  <c r="BS612" i="1"/>
  <c r="BT612" i="1" s="1"/>
  <c r="CW543" i="1"/>
  <c r="CX543" i="1" s="1"/>
  <c r="CX542" i="1"/>
  <c r="EJ647" i="1"/>
  <c r="EI566" i="1"/>
  <c r="EI20" i="1"/>
  <c r="DC844" i="1"/>
  <c r="FT846" i="1"/>
  <c r="FT822" i="1"/>
  <c r="FT831" i="1"/>
  <c r="FT836" i="1"/>
  <c r="FT843" i="1"/>
  <c r="FT832" i="1"/>
  <c r="FT842" i="1"/>
  <c r="FT807" i="1"/>
  <c r="FT808" i="1"/>
  <c r="FT818" i="1"/>
  <c r="FT820" i="1" s="1"/>
  <c r="FT837" i="1"/>
  <c r="FT812" i="1"/>
  <c r="FT841" i="1"/>
  <c r="FT830" i="1"/>
  <c r="FT813" i="1"/>
  <c r="FT806" i="1"/>
  <c r="BP630" i="1"/>
  <c r="BP698" i="1"/>
  <c r="GA629" i="1"/>
  <c r="DZ691" i="1"/>
  <c r="GU119" i="1"/>
  <c r="GT120" i="1"/>
  <c r="GZ115" i="1"/>
  <c r="GY115" i="1"/>
  <c r="GK297" i="1"/>
  <c r="GJ298" i="1"/>
  <c r="FN922" i="1"/>
  <c r="FO641" i="1"/>
  <c r="FN612" i="1"/>
  <c r="BQ809" i="1"/>
  <c r="BQ814" i="1"/>
  <c r="BQ844" i="1"/>
  <c r="FL809" i="1"/>
  <c r="EF630" i="1"/>
  <c r="DG566" i="1"/>
  <c r="DG20" i="1"/>
  <c r="DH20" i="1" s="1"/>
  <c r="I708" i="1"/>
  <c r="R708" i="1" s="1"/>
  <c r="I686" i="1"/>
  <c r="FF684" i="1"/>
  <c r="I685" i="1"/>
  <c r="R684" i="1"/>
  <c r="DJ642" i="1"/>
  <c r="DI612" i="1"/>
  <c r="GW411" i="1"/>
  <c r="BC287" i="1"/>
  <c r="BC293" i="1"/>
  <c r="BC294" i="1"/>
  <c r="BC295" i="1" s="1"/>
  <c r="BD281" i="1"/>
  <c r="CM566" i="1"/>
  <c r="CM20" i="1"/>
  <c r="CN20" i="1" s="1"/>
  <c r="FH561" i="1"/>
  <c r="FH564" i="1" s="1"/>
  <c r="FH558" i="1"/>
  <c r="FH559" i="1" s="1"/>
  <c r="FH642" i="1"/>
  <c r="K43" i="1"/>
  <c r="K46" i="1"/>
  <c r="K38" i="1"/>
  <c r="L29" i="1"/>
  <c r="K45" i="1"/>
  <c r="K44" i="1"/>
  <c r="BU698" i="1"/>
  <c r="BV698" i="1" s="1"/>
  <c r="BU642" i="1"/>
  <c r="CD642" i="1" s="1"/>
  <c r="BU583" i="1"/>
  <c r="BU626" i="1" s="1"/>
  <c r="BV582" i="1"/>
  <c r="BU630" i="1"/>
  <c r="BV630" i="1" s="1"/>
  <c r="CU566" i="1"/>
  <c r="CU20" i="1"/>
  <c r="CV20" i="1" s="1"/>
  <c r="EA645" i="1"/>
  <c r="EA644" i="1"/>
  <c r="EJ644" i="1" s="1"/>
  <c r="BC782" i="1"/>
  <c r="BD644" i="1"/>
  <c r="EL511" i="1"/>
  <c r="GM629" i="1"/>
  <c r="GM690" i="1"/>
  <c r="FX698" i="1"/>
  <c r="FY698" i="1" s="1"/>
  <c r="FX642" i="1"/>
  <c r="FY642" i="1" s="1"/>
  <c r="FY582" i="1"/>
  <c r="FX630" i="1"/>
  <c r="FY630" i="1" s="1"/>
  <c r="FN809" i="1"/>
  <c r="FN826" i="1" s="1"/>
  <c r="FN833" i="1"/>
  <c r="GY405" i="1"/>
  <c r="GX408" i="1"/>
  <c r="GZ405" i="1"/>
  <c r="CW922" i="1"/>
  <c r="CX641" i="1"/>
  <c r="DN543" i="1"/>
  <c r="ED640" i="1"/>
  <c r="EC647" i="1"/>
  <c r="EL647" i="1" s="1"/>
  <c r="EC18" i="1"/>
  <c r="ED18" i="1" s="1"/>
  <c r="DN691" i="1"/>
  <c r="AX698" i="1"/>
  <c r="EH647" i="1"/>
  <c r="EG566" i="1"/>
  <c r="EG20" i="1"/>
  <c r="EH20" i="1" s="1"/>
  <c r="FZ297" i="1"/>
  <c r="GA289" i="1"/>
  <c r="GC289" i="1"/>
  <c r="FN698" i="1"/>
  <c r="FO698" i="1" s="1"/>
  <c r="FO582" i="1"/>
  <c r="FN630" i="1"/>
  <c r="FO630" i="1" s="1"/>
  <c r="GH647" i="1"/>
  <c r="GI640" i="1"/>
  <c r="GH18" i="1"/>
  <c r="CR693" i="1"/>
  <c r="AL543" i="1"/>
  <c r="AK781" i="1"/>
  <c r="AK783" i="1" s="1"/>
  <c r="CD641" i="1"/>
  <c r="DS695" i="1"/>
  <c r="DS691" i="1"/>
  <c r="DT691" i="1" s="1"/>
  <c r="DS644" i="1"/>
  <c r="DS564" i="1"/>
  <c r="EB564" i="1" s="1"/>
  <c r="DT561" i="1"/>
  <c r="FQ693" i="1"/>
  <c r="CD692" i="1"/>
  <c r="CE844" i="1"/>
  <c r="CE850" i="1" s="1"/>
  <c r="CS782" i="1"/>
  <c r="CT644" i="1"/>
  <c r="CS19" i="1"/>
  <c r="CT19" i="1" s="1"/>
  <c r="EL640" i="1"/>
  <c r="BX543" i="1"/>
  <c r="DX647" i="1"/>
  <c r="DW566" i="1"/>
  <c r="DW20" i="1"/>
  <c r="GJ698" i="1"/>
  <c r="GK698" i="1" s="1"/>
  <c r="GJ642" i="1"/>
  <c r="GK642" i="1" s="1"/>
  <c r="GK582" i="1"/>
  <c r="GJ630" i="1"/>
  <c r="GK630" i="1" s="1"/>
  <c r="CW850" i="1"/>
  <c r="DB642" i="1"/>
  <c r="DA612" i="1"/>
  <c r="DB612" i="1" s="1"/>
  <c r="DK782" i="1"/>
  <c r="DL644" i="1"/>
  <c r="DK19" i="1"/>
  <c r="DS814" i="1"/>
  <c r="DS826" i="1" s="1"/>
  <c r="FL922" i="1"/>
  <c r="FM641" i="1"/>
  <c r="FL612" i="1"/>
  <c r="FM612" i="1" s="1"/>
  <c r="GT416" i="1"/>
  <c r="GU411" i="1"/>
  <c r="BD543" i="1"/>
  <c r="BC781" i="1"/>
  <c r="BC783" i="1" s="1"/>
  <c r="CK922" i="1"/>
  <c r="CL641" i="1"/>
  <c r="CK644" i="1"/>
  <c r="GH844" i="1"/>
  <c r="GV420" i="1"/>
  <c r="GU420" i="1"/>
  <c r="FM629" i="1"/>
  <c r="GN814" i="1"/>
  <c r="FP922" i="1"/>
  <c r="FQ641" i="1"/>
  <c r="FP644" i="1"/>
  <c r="FS644" i="1" s="1"/>
  <c r="FP612" i="1"/>
  <c r="FQ612" i="1" s="1"/>
  <c r="AR642" i="1"/>
  <c r="AQ612" i="1"/>
  <c r="AR612" i="1" s="1"/>
  <c r="FT640" i="1"/>
  <c r="FW640" i="1" s="1"/>
  <c r="FU554" i="1"/>
  <c r="EO695" i="1"/>
  <c r="EO691" i="1"/>
  <c r="EP691" i="1" s="1"/>
  <c r="EO644" i="1"/>
  <c r="EP561" i="1"/>
  <c r="EO564" i="1"/>
  <c r="GM692" i="1"/>
  <c r="AN642" i="1"/>
  <c r="AM612" i="1"/>
  <c r="AN612" i="1" s="1"/>
  <c r="FW195" i="1"/>
  <c r="FV197" i="1"/>
  <c r="FW197" i="1" s="1"/>
  <c r="DV647" i="1"/>
  <c r="DU566" i="1"/>
  <c r="DU20" i="1"/>
  <c r="CM782" i="1"/>
  <c r="CN644" i="1"/>
  <c r="CM19" i="1"/>
  <c r="CN19" i="1" s="1"/>
  <c r="AV642" i="1"/>
  <c r="AU612" i="1"/>
  <c r="AV612" i="1" s="1"/>
  <c r="EC543" i="1"/>
  <c r="ED542" i="1"/>
  <c r="EL542" i="1"/>
  <c r="CT629" i="1"/>
  <c r="EE782" i="1"/>
  <c r="EF644" i="1"/>
  <c r="EE19" i="1"/>
  <c r="EF19" i="1" s="1"/>
  <c r="EL691" i="1"/>
  <c r="CN630" i="1"/>
  <c r="CN698" i="1"/>
  <c r="GJ844" i="1"/>
  <c r="GJ850" i="1" s="1"/>
  <c r="BL543" i="1"/>
  <c r="BK781" i="1"/>
  <c r="BK783" i="1" s="1"/>
  <c r="AH642" i="1"/>
  <c r="AG612" i="1"/>
  <c r="AH612" i="1" s="1"/>
  <c r="DC698" i="1"/>
  <c r="DD698" i="1" s="1"/>
  <c r="DC642" i="1"/>
  <c r="DD582" i="1"/>
  <c r="DC630" i="1"/>
  <c r="DD630" i="1" s="1"/>
  <c r="GI629" i="1"/>
  <c r="GI690" i="1"/>
  <c r="CY782" i="1"/>
  <c r="CZ644" i="1"/>
  <c r="CY19" i="1"/>
  <c r="BZ561" i="1"/>
  <c r="AP642" i="1"/>
  <c r="AO612" i="1"/>
  <c r="AP612" i="1" s="1"/>
  <c r="DV642" i="1"/>
  <c r="DU612" i="1"/>
  <c r="DV612" i="1" s="1"/>
  <c r="CQ782" i="1"/>
  <c r="CR644" i="1"/>
  <c r="CQ19" i="1"/>
  <c r="CR19" i="1" s="1"/>
  <c r="FW693" i="1"/>
  <c r="CY612" i="1"/>
  <c r="CZ642" i="1"/>
  <c r="AV543" i="1"/>
  <c r="AU781" i="1"/>
  <c r="AU783" i="1" s="1"/>
  <c r="EH612" i="1"/>
  <c r="CH630" i="1"/>
  <c r="CH698" i="1"/>
  <c r="CQ612" i="1"/>
  <c r="CR642" i="1"/>
  <c r="DF287" i="1"/>
  <c r="DE289" i="1"/>
  <c r="DG281" i="1"/>
  <c r="GP428" i="1"/>
  <c r="GQ426" i="1"/>
  <c r="BK782" i="1"/>
  <c r="BL644" i="1"/>
  <c r="BS782" i="1"/>
  <c r="BT644" i="1"/>
  <c r="CB644" i="1"/>
  <c r="GF833" i="1"/>
  <c r="DF630" i="1"/>
  <c r="DF698" i="1"/>
  <c r="EF543" i="1"/>
  <c r="EN543" i="1"/>
  <c r="DO782" i="1"/>
  <c r="DP644" i="1"/>
  <c r="DO19" i="1"/>
  <c r="CW647" i="1"/>
  <c r="CW18" i="1"/>
  <c r="CX18" i="1" s="1"/>
  <c r="GB698" i="1"/>
  <c r="GC698" i="1" s="1"/>
  <c r="GB642" i="1"/>
  <c r="GC642" i="1" s="1"/>
  <c r="GC582" i="1"/>
  <c r="GB630" i="1"/>
  <c r="GC630" i="1" s="1"/>
  <c r="FK738" i="1"/>
  <c r="FJ846" i="1"/>
  <c r="FJ843" i="1"/>
  <c r="FJ822" i="1"/>
  <c r="FJ836" i="1"/>
  <c r="FJ830" i="1"/>
  <c r="FJ831" i="1"/>
  <c r="FJ842" i="1"/>
  <c r="FJ832" i="1"/>
  <c r="FJ806" i="1"/>
  <c r="FJ809" i="1" s="1"/>
  <c r="FJ841" i="1"/>
  <c r="FJ807" i="1"/>
  <c r="FJ808" i="1"/>
  <c r="FJ818" i="1"/>
  <c r="FJ820" i="1" s="1"/>
  <c r="FJ812" i="1"/>
  <c r="FJ837" i="1"/>
  <c r="FJ813" i="1"/>
  <c r="DX543" i="1"/>
  <c r="FW182" i="1"/>
  <c r="FV193" i="1"/>
  <c r="FW193" i="1" s="1"/>
  <c r="GF647" i="1"/>
  <c r="GF20" i="1" s="1"/>
  <c r="GG20" i="1" s="1"/>
  <c r="GG640" i="1"/>
  <c r="GF18" i="1"/>
  <c r="GG18" i="1" s="1"/>
  <c r="CU782" i="1"/>
  <c r="CV644" i="1"/>
  <c r="CU19" i="1"/>
  <c r="CV19" i="1" s="1"/>
  <c r="EC850" i="1"/>
  <c r="CJ542" i="1"/>
  <c r="CI543" i="1"/>
  <c r="CJ543" i="1" s="1"/>
  <c r="GX616" i="1"/>
  <c r="GW616" i="1"/>
  <c r="GV619" i="1"/>
  <c r="GW619" i="1" s="1"/>
  <c r="GU633" i="1"/>
  <c r="CT630" i="1"/>
  <c r="CT698" i="1"/>
  <c r="DD542" i="1"/>
  <c r="DC543" i="1"/>
  <c r="DD543" i="1" s="1"/>
  <c r="GS120" i="1"/>
  <c r="GR128" i="1"/>
  <c r="DQ645" i="1"/>
  <c r="DR645" i="1" s="1"/>
  <c r="DR564" i="1"/>
  <c r="DN647" i="1"/>
  <c r="DM566" i="1"/>
  <c r="DM20" i="1"/>
  <c r="DN20" i="1" s="1"/>
  <c r="EM645" i="1"/>
  <c r="EN564" i="1"/>
  <c r="DE782" i="1"/>
  <c r="DF644" i="1"/>
  <c r="DE19" i="1"/>
  <c r="BU543" i="1"/>
  <c r="BV542" i="1"/>
  <c r="GO265" i="1"/>
  <c r="GN270" i="1"/>
  <c r="GN277" i="1"/>
  <c r="GO277" i="1" s="1"/>
  <c r="GN276" i="1"/>
  <c r="GO276" i="1" s="1"/>
  <c r="FG612" i="1"/>
  <c r="FM692" i="1"/>
  <c r="AX543" i="1"/>
  <c r="AW781" i="1"/>
  <c r="AW783" i="1" s="1"/>
  <c r="GO692" i="1"/>
  <c r="BB543" i="1"/>
  <c r="BA781" i="1"/>
  <c r="BA783" i="1" s="1"/>
  <c r="FW546" i="1"/>
  <c r="CU298" i="1"/>
  <c r="CV297" i="1"/>
  <c r="DG782" i="1"/>
  <c r="DH644" i="1"/>
  <c r="DG19" i="1"/>
  <c r="DH19" i="1" s="1"/>
  <c r="CR542" i="1"/>
  <c r="FK690" i="1"/>
  <c r="AU181" i="1"/>
  <c r="AV181" i="1" s="1"/>
  <c r="AU196" i="1"/>
  <c r="AV196" i="1" s="1"/>
  <c r="AU195" i="1"/>
  <c r="AV179" i="1"/>
  <c r="FX844" i="1"/>
  <c r="FX850" i="1" s="1"/>
  <c r="EB647" i="1"/>
  <c r="EA566" i="1"/>
  <c r="EA20" i="1"/>
  <c r="GD844" i="1"/>
  <c r="GD850" i="1" s="1"/>
  <c r="GK640" i="1"/>
  <c r="GJ18" i="1"/>
  <c r="GK18" i="1" s="1"/>
  <c r="BT630" i="1"/>
  <c r="BT698" i="1"/>
  <c r="DO612" i="1"/>
  <c r="DP612" i="1" s="1"/>
  <c r="DP642" i="1"/>
  <c r="FO629" i="1"/>
  <c r="DH543" i="1"/>
  <c r="CN692" i="1"/>
  <c r="DC833" i="1"/>
  <c r="EW817" i="1"/>
  <c r="EW820" i="1" s="1"/>
  <c r="EX528" i="1"/>
  <c r="DY17" i="2" s="1"/>
  <c r="FX922" i="1"/>
  <c r="FX5" i="1" s="1"/>
  <c r="FY641" i="1"/>
  <c r="FX644" i="1"/>
  <c r="FX612" i="1"/>
  <c r="FY612" i="1" s="1"/>
  <c r="BE782" i="1"/>
  <c r="BF644" i="1"/>
  <c r="DY645" i="1"/>
  <c r="DZ645" i="1" s="1"/>
  <c r="DZ564" i="1"/>
  <c r="FP50" i="1"/>
  <c r="FN57" i="1"/>
  <c r="FO56" i="1"/>
  <c r="BF543" i="1"/>
  <c r="BE781" i="1"/>
  <c r="BE783" i="1" s="1"/>
  <c r="DT542" i="1"/>
  <c r="DS543" i="1"/>
  <c r="DT543" i="1" s="1"/>
  <c r="DF18" i="1"/>
  <c r="BQ833" i="1"/>
  <c r="DP647" i="1"/>
  <c r="DO566" i="1"/>
  <c r="DO20" i="1"/>
  <c r="DP20" i="1" s="1"/>
  <c r="FV809" i="1"/>
  <c r="FL814" i="1"/>
  <c r="FL826" i="1" s="1"/>
  <c r="FL844" i="1"/>
  <c r="FL850" i="1" s="1"/>
  <c r="FL833" i="1"/>
  <c r="O708" i="1"/>
  <c r="O686" i="1"/>
  <c r="O685" i="1"/>
  <c r="P684" i="1"/>
  <c r="Q686" i="1"/>
  <c r="X684" i="1"/>
  <c r="DJ630" i="1"/>
  <c r="DJ698" i="1"/>
  <c r="Z642" i="1"/>
  <c r="GV800" i="1"/>
  <c r="GV414" i="1"/>
  <c r="GW408" i="1"/>
  <c r="BA297" i="1"/>
  <c r="BB289" i="1"/>
  <c r="FH693" i="1"/>
  <c r="FI693" i="1" s="1"/>
  <c r="FH692" i="1"/>
  <c r="FI692" i="1" s="1"/>
  <c r="FI579" i="1"/>
  <c r="FH582" i="1"/>
  <c r="DF542" i="1"/>
  <c r="EB691" i="1"/>
  <c r="FZ844" i="1"/>
  <c r="FZ850" i="1" s="1"/>
  <c r="DL582" i="1"/>
  <c r="GW418" i="1"/>
  <c r="GX418" i="1"/>
  <c r="DM645" i="1"/>
  <c r="DN645" i="1" s="1"/>
  <c r="DN564" i="1"/>
  <c r="AX630" i="1"/>
  <c r="FO693" i="1"/>
  <c r="DK566" i="1"/>
  <c r="DK20" i="1"/>
  <c r="AL642" i="1"/>
  <c r="AK612" i="1"/>
  <c r="AL612" i="1" s="1"/>
  <c r="GN695" i="1"/>
  <c r="GN691" i="1"/>
  <c r="GO691" i="1" s="1"/>
  <c r="GO561" i="1"/>
  <c r="GN564" i="1"/>
  <c r="CK695" i="1"/>
  <c r="CL561" i="1"/>
  <c r="FW722" i="1"/>
  <c r="FP698" i="1"/>
  <c r="FQ698" i="1" s="1"/>
  <c r="FP642" i="1"/>
  <c r="FQ642" i="1" s="1"/>
  <c r="FQ582" i="1"/>
  <c r="FP630" i="1"/>
  <c r="FQ630" i="1" s="1"/>
  <c r="CF542" i="1"/>
  <c r="CE543" i="1"/>
  <c r="CF543" i="1" s="1"/>
  <c r="DF641" i="1"/>
  <c r="GG692" i="1"/>
  <c r="EN647" i="1"/>
  <c r="EM566" i="1"/>
  <c r="EM20" i="1"/>
  <c r="EN20" i="1" s="1"/>
  <c r="EJ527" i="198" l="1"/>
  <c r="FP534" i="2"/>
  <c r="FJ525" i="2"/>
  <c r="ED518" i="198"/>
  <c r="GX411" i="1"/>
  <c r="EK507" i="198" s="1"/>
  <c r="EK527" i="198"/>
  <c r="FQ534" i="2"/>
  <c r="ED19" i="198"/>
  <c r="FM494" i="2"/>
  <c r="EG487" i="198"/>
  <c r="EF487" i="198"/>
  <c r="FL494" i="2"/>
  <c r="FO493" i="2"/>
  <c r="EI486" i="198"/>
  <c r="FJ484" i="2"/>
  <c r="ED477" i="198"/>
  <c r="U20" i="225"/>
  <c r="U21" i="225" s="1"/>
  <c r="FI16" i="2"/>
  <c r="EH486" i="198"/>
  <c r="FN493" i="2"/>
  <c r="EL501" i="198"/>
  <c r="FR508" i="2"/>
  <c r="EF510" i="198"/>
  <c r="FL517" i="2"/>
  <c r="FN517" i="2"/>
  <c r="EH510" i="198"/>
  <c r="FM519" i="2"/>
  <c r="EG512" i="198"/>
  <c r="FQ511" i="2"/>
  <c r="EK504" i="198"/>
  <c r="EE512" i="198"/>
  <c r="FK519" i="2"/>
  <c r="GS376" i="1"/>
  <c r="EE469" i="198"/>
  <c r="FK476" i="2"/>
  <c r="EL463" i="198"/>
  <c r="FR470" i="2"/>
  <c r="EJ507" i="198"/>
  <c r="FP514" i="2"/>
  <c r="FQ514" i="2"/>
  <c r="FP511" i="2"/>
  <c r="EJ504" i="198"/>
  <c r="EE471" i="198"/>
  <c r="FK478" i="2"/>
  <c r="EM463" i="198"/>
  <c r="FS470" i="2"/>
  <c r="GW414" i="1"/>
  <c r="EI510" i="198"/>
  <c r="FO517" i="2"/>
  <c r="FN514" i="2"/>
  <c r="EH507" i="198"/>
  <c r="EM501" i="198"/>
  <c r="FS508" i="2"/>
  <c r="EF466" i="198"/>
  <c r="FL473" i="2"/>
  <c r="EG466" i="198"/>
  <c r="FM473" i="2"/>
  <c r="FJ814" i="1"/>
  <c r="GL850" i="1"/>
  <c r="FN850" i="1"/>
  <c r="FZ826" i="1"/>
  <c r="EO850" i="1"/>
  <c r="FV826" i="1"/>
  <c r="FJ838" i="1"/>
  <c r="GN826" i="1"/>
  <c r="GH850" i="1"/>
  <c r="FX826" i="1"/>
  <c r="BU850" i="1"/>
  <c r="CI850" i="1"/>
  <c r="BQ850" i="1"/>
  <c r="DC850" i="1"/>
  <c r="GF850" i="1"/>
  <c r="BQ826" i="1"/>
  <c r="FT838" i="1"/>
  <c r="CW826" i="1"/>
  <c r="CE826" i="1"/>
  <c r="FI582" i="1"/>
  <c r="O687" i="1"/>
  <c r="P685" i="1"/>
  <c r="Q687" i="1"/>
  <c r="X685" i="1"/>
  <c r="CU305" i="1"/>
  <c r="CU327" i="1"/>
  <c r="CU321" i="1"/>
  <c r="CU326" i="1"/>
  <c r="GX619" i="1"/>
  <c r="GZ616" i="1"/>
  <c r="GY616" i="1"/>
  <c r="FJ844" i="1"/>
  <c r="CZ19" i="1"/>
  <c r="DC612" i="1"/>
  <c r="DD612" i="1" s="1"/>
  <c r="DD642" i="1"/>
  <c r="CK782" i="1"/>
  <c r="CL644" i="1"/>
  <c r="DX566" i="1"/>
  <c r="DW567" i="1"/>
  <c r="DW583" i="1"/>
  <c r="DW626" i="1" s="1"/>
  <c r="DS782" i="1"/>
  <c r="DT644" i="1"/>
  <c r="DS19" i="1"/>
  <c r="DT19" i="1" s="1"/>
  <c r="FZ298" i="1"/>
  <c r="GA297" i="1"/>
  <c r="GC297" i="1"/>
  <c r="GB298" i="1"/>
  <c r="DJ612" i="1"/>
  <c r="FF708" i="1"/>
  <c r="FG684" i="1"/>
  <c r="FI684" i="1"/>
  <c r="FH686" i="1"/>
  <c r="DH566" i="1"/>
  <c r="DG567" i="1"/>
  <c r="DG583" i="1"/>
  <c r="DG626" i="1" s="1"/>
  <c r="FO612" i="1"/>
  <c r="FT809" i="1"/>
  <c r="FT814" i="1"/>
  <c r="DR566" i="1"/>
  <c r="DQ567" i="1"/>
  <c r="DQ583" i="1"/>
  <c r="DQ626" i="1" s="1"/>
  <c r="FW629" i="1"/>
  <c r="CE782" i="1"/>
  <c r="CF644" i="1"/>
  <c r="DX612" i="1"/>
  <c r="GX633" i="1"/>
  <c r="GX632" i="1"/>
  <c r="GV613" i="1"/>
  <c r="BR567" i="1"/>
  <c r="BZ567" i="1"/>
  <c r="EH645" i="1"/>
  <c r="CD698" i="1"/>
  <c r="GR252" i="1"/>
  <c r="GR249" i="1"/>
  <c r="GS249" i="1" s="1"/>
  <c r="GS248" i="1"/>
  <c r="AW180" i="1"/>
  <c r="AX153" i="1"/>
  <c r="AY149" i="1"/>
  <c r="AW154" i="1"/>
  <c r="AX154" i="1" s="1"/>
  <c r="GO559" i="1"/>
  <c r="DL698" i="1"/>
  <c r="FX180" i="1"/>
  <c r="FY153" i="1"/>
  <c r="FX154" i="1"/>
  <c r="FY154" i="1" s="1"/>
  <c r="FZ149" i="1"/>
  <c r="GW119" i="1"/>
  <c r="GV120" i="1"/>
  <c r="DZ566" i="1"/>
  <c r="DY567" i="1"/>
  <c r="DZ567" i="1" s="1"/>
  <c r="DY583" i="1"/>
  <c r="DY626" i="1" s="1"/>
  <c r="GO630" i="1"/>
  <c r="GO698" i="1"/>
  <c r="EP647" i="1"/>
  <c r="EO566" i="1"/>
  <c r="EO20" i="1"/>
  <c r="EP20" i="1" s="1"/>
  <c r="GA642" i="1"/>
  <c r="FK642" i="1"/>
  <c r="FY179" i="1"/>
  <c r="FX196" i="1"/>
  <c r="FY196" i="1" s="1"/>
  <c r="FX195" i="1"/>
  <c r="FP38" i="1"/>
  <c r="FQ29" i="1"/>
  <c r="FP46" i="1"/>
  <c r="FP44" i="1"/>
  <c r="FP43" i="1"/>
  <c r="FP45" i="1"/>
  <c r="GM18" i="1"/>
  <c r="GL782" i="1"/>
  <c r="GM644" i="1"/>
  <c r="GL19" i="1"/>
  <c r="DL612" i="1"/>
  <c r="N686" i="1"/>
  <c r="V686" i="1"/>
  <c r="M697" i="1"/>
  <c r="M698" i="1"/>
  <c r="DE567" i="1"/>
  <c r="DE583" i="1"/>
  <c r="DE626" i="1" s="1"/>
  <c r="FZ782" i="1"/>
  <c r="GA644" i="1"/>
  <c r="FZ19" i="1"/>
  <c r="CE612" i="1"/>
  <c r="CF612" i="1" s="1"/>
  <c r="CF642" i="1"/>
  <c r="CL642" i="1"/>
  <c r="CK612" i="1"/>
  <c r="CL612" i="1" s="1"/>
  <c r="GM691" i="1"/>
  <c r="GQ527" i="1"/>
  <c r="FJ16" i="2" s="1"/>
  <c r="EN19" i="1"/>
  <c r="EB543" i="1"/>
  <c r="EL559" i="1"/>
  <c r="GN782" i="1"/>
  <c r="GO644" i="1"/>
  <c r="GN19" i="1"/>
  <c r="GO19" i="1" s="1"/>
  <c r="GX380" i="1"/>
  <c r="GW380" i="1"/>
  <c r="GV373" i="1"/>
  <c r="DT647" i="1"/>
  <c r="DS566" i="1"/>
  <c r="DS20" i="1"/>
  <c r="DT20" i="1" s="1"/>
  <c r="CP612" i="1"/>
  <c r="DB20" i="1"/>
  <c r="ER645" i="1"/>
  <c r="EJ645" i="1"/>
  <c r="FW692" i="1"/>
  <c r="GI691" i="1"/>
  <c r="CZ566" i="1"/>
  <c r="CY567" i="1"/>
  <c r="CY583" i="1"/>
  <c r="CY626" i="1" s="1"/>
  <c r="BL612" i="1"/>
  <c r="BF612" i="1"/>
  <c r="GD782" i="1"/>
  <c r="GE644" i="1"/>
  <c r="GD19" i="1"/>
  <c r="GE19" i="1" s="1"/>
  <c r="GB782" i="1"/>
  <c r="GC644" i="1"/>
  <c r="GB19" i="1"/>
  <c r="AZ612" i="1"/>
  <c r="DC566" i="1"/>
  <c r="DC20" i="1"/>
  <c r="DD20" i="1" s="1"/>
  <c r="DV645" i="1"/>
  <c r="EN566" i="1"/>
  <c r="EM567" i="1"/>
  <c r="EM583" i="1"/>
  <c r="EM626" i="1" s="1"/>
  <c r="BB297" i="1"/>
  <c r="BA298" i="1"/>
  <c r="P686" i="1"/>
  <c r="X686" i="1"/>
  <c r="O697" i="1"/>
  <c r="O698" i="1"/>
  <c r="DP566" i="1"/>
  <c r="DO567" i="1"/>
  <c r="DO583" i="1"/>
  <c r="DO626" i="1" s="1"/>
  <c r="FX782" i="1"/>
  <c r="FY644" i="1"/>
  <c r="DN566" i="1"/>
  <c r="DM567" i="1"/>
  <c r="DM583" i="1"/>
  <c r="DM626" i="1" s="1"/>
  <c r="GR132" i="1"/>
  <c r="GR129" i="1"/>
  <c r="GS129" i="1" s="1"/>
  <c r="GS128" i="1"/>
  <c r="GP528" i="1"/>
  <c r="GQ428" i="1"/>
  <c r="GP429" i="1"/>
  <c r="GQ429" i="1" s="1"/>
  <c r="FS642" i="1"/>
  <c r="DV20" i="1"/>
  <c r="EO645" i="1"/>
  <c r="EP564" i="1"/>
  <c r="GW420" i="1"/>
  <c r="GX420" i="1"/>
  <c r="GI647" i="1"/>
  <c r="GH20" i="1"/>
  <c r="GI20" i="1" s="1"/>
  <c r="CV566" i="1"/>
  <c r="CU567" i="1"/>
  <c r="CU583" i="1"/>
  <c r="CU626" i="1" s="1"/>
  <c r="BV642" i="1"/>
  <c r="BU612" i="1"/>
  <c r="BV612" i="1" s="1"/>
  <c r="FI642" i="1"/>
  <c r="FH612" i="1"/>
  <c r="FI612" i="1" s="1"/>
  <c r="CN566" i="1"/>
  <c r="CM567" i="1"/>
  <c r="CM583" i="1"/>
  <c r="CM626" i="1" s="1"/>
  <c r="BC289" i="1"/>
  <c r="BD287" i="1"/>
  <c r="BE281" i="1"/>
  <c r="FF686" i="1"/>
  <c r="I698" i="1"/>
  <c r="I697" i="1"/>
  <c r="GU120" i="1"/>
  <c r="GT128" i="1"/>
  <c r="GW240" i="1"/>
  <c r="GV248" i="1"/>
  <c r="EC644" i="1"/>
  <c r="EC645" i="1"/>
  <c r="ED645" i="1" s="1"/>
  <c r="ED564" i="1"/>
  <c r="GL297" i="1"/>
  <c r="GM289" i="1"/>
  <c r="FT922" i="1"/>
  <c r="FT5" i="1" s="1"/>
  <c r="FU641" i="1"/>
  <c r="FT644" i="1"/>
  <c r="FT612" i="1"/>
  <c r="FU612" i="1" s="1"/>
  <c r="CT612" i="1"/>
  <c r="BU782" i="1"/>
  <c r="BV644" i="1"/>
  <c r="CD644" i="1"/>
  <c r="GS378" i="1"/>
  <c r="GR383" i="1"/>
  <c r="ER530" i="1"/>
  <c r="DS18" i="2" s="1"/>
  <c r="CN612" i="1"/>
  <c r="GZ235" i="1"/>
  <c r="GY235" i="1"/>
  <c r="CD630" i="1"/>
  <c r="GM642" i="1"/>
  <c r="CI612" i="1"/>
  <c r="CJ612" i="1" s="1"/>
  <c r="CJ642" i="1"/>
  <c r="GJ782" i="1"/>
  <c r="GK644" i="1"/>
  <c r="GJ19" i="1"/>
  <c r="DN19" i="1"/>
  <c r="BQ782" i="1"/>
  <c r="BR644" i="1"/>
  <c r="BZ644" i="1"/>
  <c r="K687" i="1"/>
  <c r="L685" i="1"/>
  <c r="T685" i="1"/>
  <c r="BP612" i="1"/>
  <c r="BX612" i="1"/>
  <c r="BR642" i="1"/>
  <c r="BQ612" i="1"/>
  <c r="BR612" i="1" s="1"/>
  <c r="DJ566" i="1"/>
  <c r="DI567" i="1"/>
  <c r="DI583" i="1"/>
  <c r="DI626" i="1" s="1"/>
  <c r="EB630" i="1"/>
  <c r="GF782" i="1"/>
  <c r="GG644" i="1"/>
  <c r="GF19" i="1"/>
  <c r="GG19" i="1" s="1"/>
  <c r="BJ612" i="1"/>
  <c r="GC18" i="1"/>
  <c r="GA630" i="1"/>
  <c r="GA698" i="1"/>
  <c r="GT249" i="1"/>
  <c r="GU249" i="1" s="1"/>
  <c r="GU248" i="1"/>
  <c r="GT252" i="1"/>
  <c r="FJ698" i="1"/>
  <c r="FM698" i="1" s="1"/>
  <c r="FK582" i="1"/>
  <c r="FJ630" i="1"/>
  <c r="FK630" i="1" s="1"/>
  <c r="FZ169" i="1"/>
  <c r="GA164" i="1"/>
  <c r="FZ175" i="1"/>
  <c r="FZ174" i="1"/>
  <c r="FZ176" i="1"/>
  <c r="CX642" i="1"/>
  <c r="CW612" i="1"/>
  <c r="CX612" i="1" s="1"/>
  <c r="FW612" i="1"/>
  <c r="GP774" i="1"/>
  <c r="GP779" i="1" s="1"/>
  <c r="CI782" i="1"/>
  <c r="CJ644" i="1"/>
  <c r="L56" i="1"/>
  <c r="K57" i="1"/>
  <c r="M50" i="1"/>
  <c r="DB566" i="1"/>
  <c r="DA567" i="1"/>
  <c r="DA583" i="1"/>
  <c r="DA626" i="1" s="1"/>
  <c r="EF20" i="1"/>
  <c r="EL642" i="1"/>
  <c r="CV612" i="1"/>
  <c r="GE642" i="1"/>
  <c r="ET645" i="1"/>
  <c r="EL645" i="1"/>
  <c r="GK559" i="1"/>
  <c r="EH19" i="1"/>
  <c r="FS698" i="1"/>
  <c r="CX272" i="1"/>
  <c r="CW297" i="1"/>
  <c r="FU561" i="1"/>
  <c r="FT564" i="1"/>
  <c r="GE18" i="1"/>
  <c r="DL566" i="1"/>
  <c r="DK567" i="1"/>
  <c r="DK583" i="1"/>
  <c r="DK626" i="1" s="1"/>
  <c r="CN543" i="1"/>
  <c r="R686" i="1"/>
  <c r="Z686" i="1"/>
  <c r="Q697" i="1"/>
  <c r="Q698" i="1"/>
  <c r="P708" i="1"/>
  <c r="X708" i="1"/>
  <c r="FO57" i="1"/>
  <c r="FN75" i="1"/>
  <c r="FN76" i="1"/>
  <c r="FO76" i="1" s="1"/>
  <c r="EB20" i="1"/>
  <c r="BV543" i="1"/>
  <c r="BU781" i="1"/>
  <c r="BU783" i="1" s="1"/>
  <c r="FJ833" i="1"/>
  <c r="CW566" i="1"/>
  <c r="DF566" i="1" s="1"/>
  <c r="CW20" i="1"/>
  <c r="CX20" i="1" s="1"/>
  <c r="DG287" i="1"/>
  <c r="DG294" i="1"/>
  <c r="DG295" i="1" s="1"/>
  <c r="DG293" i="1"/>
  <c r="DH281" i="1"/>
  <c r="CR612" i="1"/>
  <c r="CD543" i="1"/>
  <c r="CZ612" i="1"/>
  <c r="ED543" i="1"/>
  <c r="EL543" i="1"/>
  <c r="DV566" i="1"/>
  <c r="DU567" i="1"/>
  <c r="DV567" i="1" s="1"/>
  <c r="DU583" i="1"/>
  <c r="DU626" i="1" s="1"/>
  <c r="GU416" i="1"/>
  <c r="GT422" i="1"/>
  <c r="EH566" i="1"/>
  <c r="EG567" i="1"/>
  <c r="EH567" i="1" s="1"/>
  <c r="EG583" i="1"/>
  <c r="EG626" i="1" s="1"/>
  <c r="GX800" i="1"/>
  <c r="GZ408" i="1"/>
  <c r="GX414" i="1"/>
  <c r="GY408" i="1"/>
  <c r="EA782" i="1"/>
  <c r="EB644" i="1"/>
  <c r="EA19" i="1"/>
  <c r="EB19" i="1" s="1"/>
  <c r="L38" i="1"/>
  <c r="M29" i="1"/>
  <c r="K39" i="1"/>
  <c r="GV416" i="1"/>
  <c r="FT833" i="1"/>
  <c r="FT826" i="1"/>
  <c r="EJ20" i="1"/>
  <c r="AW170" i="1"/>
  <c r="AW179" i="1"/>
  <c r="AX169" i="1"/>
  <c r="AY164" i="1"/>
  <c r="GO281" i="1"/>
  <c r="GN287" i="1"/>
  <c r="GN293" i="1"/>
  <c r="GO293" i="1" s="1"/>
  <c r="GN294" i="1"/>
  <c r="GO294" i="1" s="1"/>
  <c r="FT764" i="1"/>
  <c r="GZ246" i="1"/>
  <c r="GY246" i="1"/>
  <c r="GX239" i="1"/>
  <c r="GM630" i="1"/>
  <c r="GM698" i="1"/>
  <c r="FT698" i="1"/>
  <c r="FU698" i="1" s="1"/>
  <c r="FT642" i="1"/>
  <c r="FU642" i="1" s="1"/>
  <c r="FU582" i="1"/>
  <c r="FT630" i="1"/>
  <c r="FU630" i="1" s="1"/>
  <c r="FH838" i="1"/>
  <c r="FH809" i="1"/>
  <c r="FH833" i="1"/>
  <c r="DL630" i="1"/>
  <c r="L686" i="1"/>
  <c r="T686" i="1"/>
  <c r="K697" i="1"/>
  <c r="K698" i="1"/>
  <c r="CP566" i="1"/>
  <c r="CO567" i="1"/>
  <c r="CO583" i="1"/>
  <c r="CO626" i="1" s="1"/>
  <c r="DB19" i="1"/>
  <c r="CT566" i="1"/>
  <c r="CS567" i="1"/>
  <c r="CS583" i="1"/>
  <c r="CS626" i="1" s="1"/>
  <c r="ET530" i="1"/>
  <c r="DU18" i="2" s="1"/>
  <c r="DC782" i="1"/>
  <c r="DD644" i="1"/>
  <c r="DC19" i="1"/>
  <c r="DD19" i="1" s="1"/>
  <c r="GG691" i="1"/>
  <c r="FK612" i="1"/>
  <c r="BZ612" i="1"/>
  <c r="BV567" i="1"/>
  <c r="CD567" i="1"/>
  <c r="CT543" i="1"/>
  <c r="GC20" i="1"/>
  <c r="GS416" i="1"/>
  <c r="GR422" i="1"/>
  <c r="FK693" i="1"/>
  <c r="FO39" i="1"/>
  <c r="FN74" i="1"/>
  <c r="FO74" i="1" s="1"/>
  <c r="N708" i="1"/>
  <c r="V708" i="1"/>
  <c r="AU193" i="1"/>
  <c r="AV193" i="1" s="1"/>
  <c r="AV182" i="1"/>
  <c r="FV782" i="1"/>
  <c r="FW644" i="1"/>
  <c r="GS634" i="1"/>
  <c r="GT634" i="1"/>
  <c r="GR636" i="1"/>
  <c r="GR637" i="1"/>
  <c r="GO612" i="1"/>
  <c r="BD612" i="1"/>
  <c r="CR698" i="1"/>
  <c r="AB612" i="1"/>
  <c r="EF566" i="1"/>
  <c r="EE567" i="1"/>
  <c r="EF567" i="1" s="1"/>
  <c r="EE583" i="1"/>
  <c r="EE626" i="1" s="1"/>
  <c r="CB612" i="1"/>
  <c r="DX645" i="1"/>
  <c r="GE630" i="1"/>
  <c r="GE698" i="1"/>
  <c r="GH782" i="1"/>
  <c r="GI644" i="1"/>
  <c r="GH19" i="1"/>
  <c r="GI19" i="1" s="1"/>
  <c r="FS630" i="1"/>
  <c r="GE20" i="1"/>
  <c r="DJ19" i="1"/>
  <c r="FJ564" i="1"/>
  <c r="FS561" i="1"/>
  <c r="GZ418" i="1"/>
  <c r="GY418" i="1"/>
  <c r="FQ50" i="1"/>
  <c r="FP56" i="1"/>
  <c r="FP61" i="1"/>
  <c r="FQ61" i="1" s="1"/>
  <c r="FP62" i="1"/>
  <c r="FQ62" i="1" s="1"/>
  <c r="FP60" i="1"/>
  <c r="FQ60" i="1" s="1"/>
  <c r="EB566" i="1"/>
  <c r="EA567" i="1"/>
  <c r="EA583" i="1"/>
  <c r="EA626" i="1" s="1"/>
  <c r="AV195" i="1"/>
  <c r="AU197" i="1"/>
  <c r="AV197" i="1" s="1"/>
  <c r="GO270" i="1"/>
  <c r="GP265" i="1"/>
  <c r="GN272" i="1"/>
  <c r="GO272" i="1" s="1"/>
  <c r="EV645" i="1"/>
  <c r="EN645" i="1"/>
  <c r="FJ826" i="1"/>
  <c r="DP19" i="1"/>
  <c r="DF289" i="1"/>
  <c r="EO782" i="1"/>
  <c r="EP644" i="1"/>
  <c r="EO19" i="1"/>
  <c r="EP19" i="1" s="1"/>
  <c r="FT647" i="1"/>
  <c r="FU640" i="1"/>
  <c r="FP782" i="1"/>
  <c r="FQ644" i="1"/>
  <c r="DL19" i="1"/>
  <c r="DX20" i="1"/>
  <c r="DS645" i="1"/>
  <c r="DT645" i="1" s="1"/>
  <c r="DT564" i="1"/>
  <c r="GI18" i="1"/>
  <c r="ED647" i="1"/>
  <c r="EC566" i="1"/>
  <c r="EC20" i="1"/>
  <c r="ED20" i="1" s="1"/>
  <c r="I687" i="1"/>
  <c r="FF687" i="1" s="1"/>
  <c r="FG687" i="1" s="1"/>
  <c r="FF685" i="1"/>
  <c r="R685" i="1"/>
  <c r="GK298" i="1"/>
  <c r="GJ305" i="1"/>
  <c r="GK305" i="1" s="1"/>
  <c r="GJ321" i="1"/>
  <c r="GK321" i="1" s="1"/>
  <c r="GJ326" i="1"/>
  <c r="GK326" i="1" s="1"/>
  <c r="FT844" i="1"/>
  <c r="EJ566" i="1"/>
  <c r="EI567" i="1"/>
  <c r="EI583" i="1"/>
  <c r="CR543" i="1"/>
  <c r="DS612" i="1"/>
  <c r="DT642" i="1"/>
  <c r="GU613" i="1"/>
  <c r="CW782" i="1"/>
  <c r="CX644" i="1"/>
  <c r="CW19" i="1"/>
  <c r="CX19" i="1" s="1"/>
  <c r="FH814" i="1"/>
  <c r="FH826" i="1" s="1"/>
  <c r="EK567" i="1"/>
  <c r="EK583" i="1"/>
  <c r="EK626" i="1" s="1"/>
  <c r="AX612" i="1"/>
  <c r="L708" i="1"/>
  <c r="T708" i="1"/>
  <c r="BR543" i="1"/>
  <c r="BQ781" i="1"/>
  <c r="BQ783" i="1" s="1"/>
  <c r="GX119" i="1"/>
  <c r="GZ126" i="1"/>
  <c r="GY126" i="1"/>
  <c r="DZ20" i="1"/>
  <c r="GO642" i="1"/>
  <c r="DR612" i="1"/>
  <c r="Z612" i="1"/>
  <c r="X612" i="1"/>
  <c r="EJ19" i="1"/>
  <c r="BZ642" i="1"/>
  <c r="BK272" i="1"/>
  <c r="BL272" i="1" s="1"/>
  <c r="BL270" i="1"/>
  <c r="BM265" i="1"/>
  <c r="EV530" i="1"/>
  <c r="DW18" i="2" s="1"/>
  <c r="DX19" i="1"/>
  <c r="DH612" i="1"/>
  <c r="CD612" i="1"/>
  <c r="FY298" i="1"/>
  <c r="FX305" i="1"/>
  <c r="FY305" i="1" s="1"/>
  <c r="DV19" i="1"/>
  <c r="FK692" i="1"/>
  <c r="FY170" i="1"/>
  <c r="FX182" i="1"/>
  <c r="EL18" i="1"/>
  <c r="GM612" i="1"/>
  <c r="DL642" i="1"/>
  <c r="DF543" i="1"/>
  <c r="N685" i="1"/>
  <c r="M687" i="1"/>
  <c r="V685" i="1"/>
  <c r="DF20" i="1"/>
  <c r="GA612" i="1"/>
  <c r="FW641" i="1"/>
  <c r="EB642" i="1"/>
  <c r="DL543" i="1"/>
  <c r="AT612" i="1"/>
  <c r="FM193" i="1"/>
  <c r="FO193" i="1"/>
  <c r="GU373" i="1"/>
  <c r="GA272" i="1"/>
  <c r="GC272" i="1"/>
  <c r="GU381" i="1"/>
  <c r="GV381" i="1"/>
  <c r="GT376" i="1"/>
  <c r="CR630" i="1"/>
  <c r="FS612" i="1"/>
  <c r="CR566" i="1"/>
  <c r="CQ567" i="1"/>
  <c r="CQ583" i="1"/>
  <c r="CQ626" i="1" s="1"/>
  <c r="CZ20" i="1"/>
  <c r="CY277" i="1"/>
  <c r="CY278" i="1" s="1"/>
  <c r="CY276" i="1"/>
  <c r="CZ265" i="1"/>
  <c r="CY270" i="1"/>
  <c r="GC612" i="1"/>
  <c r="ED612" i="1"/>
  <c r="EL612" i="1"/>
  <c r="FM642" i="1"/>
  <c r="GZ411" i="1" l="1"/>
  <c r="FS514" i="2" s="1"/>
  <c r="GY411" i="1"/>
  <c r="FR514" i="2" s="1"/>
  <c r="FS534" i="2"/>
  <c r="EM527" i="198"/>
  <c r="U18" i="225"/>
  <c r="U19" i="225" s="1"/>
  <c r="FI17" i="2"/>
  <c r="GP530" i="1"/>
  <c r="FI18" i="2" s="1"/>
  <c r="EL527" i="198"/>
  <c r="FR534" i="2"/>
  <c r="FO494" i="2"/>
  <c r="EI487" i="198"/>
  <c r="FN494" i="2"/>
  <c r="EH487" i="198"/>
  <c r="FP493" i="2"/>
  <c r="EJ486" i="198"/>
  <c r="EK486" i="198"/>
  <c r="FQ493" i="2"/>
  <c r="FK70" i="2"/>
  <c r="EE61" i="198"/>
  <c r="EE62" i="198"/>
  <c r="FK71" i="2"/>
  <c r="EE30" i="198"/>
  <c r="FK35" i="2"/>
  <c r="EF471" i="198"/>
  <c r="FL478" i="2"/>
  <c r="EH466" i="198"/>
  <c r="FN473" i="2"/>
  <c r="FK521" i="2"/>
  <c r="FK522" i="2" s="1"/>
  <c r="EE514" i="198"/>
  <c r="EE515" i="198" s="1"/>
  <c r="EE18" i="198"/>
  <c r="EM504" i="198"/>
  <c r="FS511" i="2"/>
  <c r="EE473" i="198"/>
  <c r="EE474" i="198" s="1"/>
  <c r="EE17" i="198"/>
  <c r="EE19" i="198" s="1"/>
  <c r="FK480" i="2"/>
  <c r="FK481" i="2" s="1"/>
  <c r="EM507" i="198"/>
  <c r="GU376" i="1"/>
  <c r="EG469" i="198"/>
  <c r="FM476" i="2"/>
  <c r="FR511" i="2"/>
  <c r="EL504" i="198"/>
  <c r="FN519" i="2"/>
  <c r="EH512" i="198"/>
  <c r="EI466" i="198"/>
  <c r="FO473" i="2"/>
  <c r="EG18" i="198"/>
  <c r="EG514" i="198"/>
  <c r="EG515" i="198" s="1"/>
  <c r="FM521" i="2"/>
  <c r="FM522" i="2" s="1"/>
  <c r="FL519" i="2"/>
  <c r="EF512" i="198"/>
  <c r="EI512" i="198"/>
  <c r="FO519" i="2"/>
  <c r="EK510" i="198"/>
  <c r="FQ517" i="2"/>
  <c r="EJ510" i="198"/>
  <c r="FP517" i="2"/>
  <c r="EF469" i="198"/>
  <c r="FL476" i="2"/>
  <c r="FH850" i="1"/>
  <c r="FJ850" i="1"/>
  <c r="FT850" i="1"/>
  <c r="GT378" i="1"/>
  <c r="FY182" i="1"/>
  <c r="FX193" i="1"/>
  <c r="FY193" i="1" s="1"/>
  <c r="EB645" i="1"/>
  <c r="GQ265" i="1"/>
  <c r="GR765" i="1"/>
  <c r="GS637" i="1"/>
  <c r="L698" i="1"/>
  <c r="T698" i="1"/>
  <c r="FW698" i="1"/>
  <c r="GO287" i="1"/>
  <c r="GP281" i="1"/>
  <c r="GN289" i="1"/>
  <c r="AW196" i="1"/>
  <c r="AX196" i="1" s="1"/>
  <c r="AW195" i="1"/>
  <c r="AX179" i="1"/>
  <c r="AW181" i="1"/>
  <c r="AX181" i="1" s="1"/>
  <c r="GT423" i="1"/>
  <c r="GU422" i="1"/>
  <c r="GT426" i="1"/>
  <c r="GB567" i="1"/>
  <c r="EC782" i="1"/>
  <c r="ED644" i="1"/>
  <c r="EC19" i="1"/>
  <c r="EL644" i="1"/>
  <c r="GT129" i="1"/>
  <c r="GU129" i="1" s="1"/>
  <c r="GU128" i="1"/>
  <c r="GT132" i="1"/>
  <c r="FG686" i="1"/>
  <c r="FF697" i="1"/>
  <c r="FG697" i="1" s="1"/>
  <c r="FF698" i="1"/>
  <c r="FG698" i="1" s="1"/>
  <c r="CV567" i="1"/>
  <c r="GZ420" i="1"/>
  <c r="GY420" i="1"/>
  <c r="GQ528" i="1"/>
  <c r="FJ17" i="2" s="1"/>
  <c r="GR769" i="1"/>
  <c r="GR519" i="1"/>
  <c r="GR133" i="1"/>
  <c r="GS133" i="1" s="1"/>
  <c r="GS132" i="1"/>
  <c r="DP567" i="1"/>
  <c r="DL20" i="1"/>
  <c r="GC19" i="1"/>
  <c r="GW373" i="1"/>
  <c r="N697" i="1"/>
  <c r="V697" i="1"/>
  <c r="GM19" i="1"/>
  <c r="GW120" i="1"/>
  <c r="GV128" i="1"/>
  <c r="AW194" i="1"/>
  <c r="AX194" i="1" s="1"/>
  <c r="AX180" i="1"/>
  <c r="GR771" i="1"/>
  <c r="GR522" i="1"/>
  <c r="GS252" i="1"/>
  <c r="GR253" i="1"/>
  <c r="GS253" i="1" s="1"/>
  <c r="DR567" i="1"/>
  <c r="FI686" i="1"/>
  <c r="FK686" i="1"/>
  <c r="FH697" i="1"/>
  <c r="GA298" i="1"/>
  <c r="FZ305" i="1"/>
  <c r="GA305" i="1" s="1"/>
  <c r="P687" i="1"/>
  <c r="X687" i="1"/>
  <c r="N687" i="1"/>
  <c r="V687" i="1"/>
  <c r="GN567" i="1"/>
  <c r="EJ567" i="1"/>
  <c r="GS636" i="1"/>
  <c r="GR426" i="1"/>
  <c r="GS422" i="1"/>
  <c r="GR423" i="1"/>
  <c r="L697" i="1"/>
  <c r="T697" i="1"/>
  <c r="EL20" i="1"/>
  <c r="FW630" i="1"/>
  <c r="AW182" i="1"/>
  <c r="AX170" i="1"/>
  <c r="GW416" i="1"/>
  <c r="GV422" i="1"/>
  <c r="DG289" i="1"/>
  <c r="DH287" i="1"/>
  <c r="DI281" i="1"/>
  <c r="M62" i="1"/>
  <c r="N62" i="1" s="1"/>
  <c r="M61" i="1"/>
  <c r="N61" i="1" s="1"/>
  <c r="M60" i="1"/>
  <c r="N60" i="1" s="1"/>
  <c r="M56" i="1"/>
  <c r="N50" i="1"/>
  <c r="FZ567" i="1"/>
  <c r="DJ567" i="1"/>
  <c r="L687" i="1"/>
  <c r="T687" i="1"/>
  <c r="FW642" i="1"/>
  <c r="GR384" i="1"/>
  <c r="GS383" i="1"/>
  <c r="GR387" i="1"/>
  <c r="GR10" i="1"/>
  <c r="GS10" i="1" s="1"/>
  <c r="FT782" i="1"/>
  <c r="FU644" i="1"/>
  <c r="GL298" i="1"/>
  <c r="GM297" i="1"/>
  <c r="FM630" i="1"/>
  <c r="BE293" i="1"/>
  <c r="BE294" i="1"/>
  <c r="BE295" i="1" s="1"/>
  <c r="BF281" i="1"/>
  <c r="BE287" i="1"/>
  <c r="FD567" i="1"/>
  <c r="FD566" i="1" s="1"/>
  <c r="FD583" i="1" s="1"/>
  <c r="CN567" i="1"/>
  <c r="CZ567" i="1"/>
  <c r="FV567" i="1"/>
  <c r="FP39" i="1"/>
  <c r="FQ38" i="1"/>
  <c r="FR29" i="1"/>
  <c r="EP566" i="1"/>
  <c r="EO567" i="1"/>
  <c r="EP567" i="1" s="1"/>
  <c r="EO583" i="1"/>
  <c r="EO626" i="1" s="1"/>
  <c r="GZ633" i="1"/>
  <c r="GC298" i="1"/>
  <c r="GB305" i="1"/>
  <c r="GE298" i="1"/>
  <c r="DX567" i="1"/>
  <c r="CR567" i="1"/>
  <c r="EL567" i="1"/>
  <c r="DT612" i="1"/>
  <c r="EB612" i="1"/>
  <c r="FG685" i="1"/>
  <c r="FI685" i="1"/>
  <c r="FH687" i="1"/>
  <c r="ED566" i="1"/>
  <c r="EC567" i="1"/>
  <c r="ED567" i="1" s="1"/>
  <c r="EC583" i="1"/>
  <c r="EC626" i="1" s="1"/>
  <c r="DF19" i="1"/>
  <c r="FP57" i="1"/>
  <c r="FQ56" i="1"/>
  <c r="FR50" i="1"/>
  <c r="GV634" i="1"/>
  <c r="GU634" i="1"/>
  <c r="GT637" i="1"/>
  <c r="GT636" i="1"/>
  <c r="CT567" i="1"/>
  <c r="CP567" i="1"/>
  <c r="FF567" i="1"/>
  <c r="FF566" i="1" s="1"/>
  <c r="FF583" i="1" s="1"/>
  <c r="GZ239" i="1"/>
  <c r="GY239" i="1"/>
  <c r="AY174" i="1"/>
  <c r="AY176" i="1"/>
  <c r="AY177" i="1" s="1"/>
  <c r="AY169" i="1"/>
  <c r="AY175" i="1"/>
  <c r="AZ164" i="1"/>
  <c r="K74" i="1"/>
  <c r="L74" i="1" s="1"/>
  <c r="L39" i="1"/>
  <c r="GY414" i="1"/>
  <c r="GZ414" i="1"/>
  <c r="FO75" i="1"/>
  <c r="FN77" i="1"/>
  <c r="FO77" i="1" s="1"/>
  <c r="R698" i="1"/>
  <c r="Z698" i="1"/>
  <c r="L57" i="1"/>
  <c r="K75" i="1"/>
  <c r="K76" i="1"/>
  <c r="L76" i="1" s="1"/>
  <c r="GB164" i="1"/>
  <c r="FZ179" i="1"/>
  <c r="FZ170" i="1"/>
  <c r="GA169" i="1"/>
  <c r="GK19" i="1"/>
  <c r="GV252" i="1"/>
  <c r="GV249" i="1"/>
  <c r="GW249" i="1" s="1"/>
  <c r="GW248" i="1"/>
  <c r="P698" i="1"/>
  <c r="X698" i="1"/>
  <c r="BA305" i="1"/>
  <c r="BB305" i="1" s="1"/>
  <c r="BB298" i="1"/>
  <c r="EN567" i="1"/>
  <c r="DD566" i="1"/>
  <c r="DC567" i="1"/>
  <c r="DL567" i="1" s="1"/>
  <c r="DC583" i="1"/>
  <c r="DC626" i="1" s="1"/>
  <c r="DT566" i="1"/>
  <c r="DS567" i="1"/>
  <c r="GF567" i="1" s="1"/>
  <c r="DS583" i="1"/>
  <c r="DS626" i="1" s="1"/>
  <c r="GY380" i="1"/>
  <c r="GZ380" i="1"/>
  <c r="GX373" i="1"/>
  <c r="FY195" i="1"/>
  <c r="FX197" i="1"/>
  <c r="FY197" i="1" s="1"/>
  <c r="FX194" i="1"/>
  <c r="FY194" i="1" s="1"/>
  <c r="FY180" i="1"/>
  <c r="AY158" i="1"/>
  <c r="AZ149" i="1"/>
  <c r="AY160" i="1"/>
  <c r="AY161" i="1" s="1"/>
  <c r="AY159" i="1"/>
  <c r="AY153" i="1"/>
  <c r="GW613" i="1"/>
  <c r="FX567" i="1"/>
  <c r="DH567" i="1"/>
  <c r="R687" i="1"/>
  <c r="Z687" i="1"/>
  <c r="GX381" i="1"/>
  <c r="GW381" i="1"/>
  <c r="GV376" i="1"/>
  <c r="DA265" i="1"/>
  <c r="CY272" i="1"/>
  <c r="CZ270" i="1"/>
  <c r="BN265" i="1"/>
  <c r="BM277" i="1"/>
  <c r="BM278" i="1" s="1"/>
  <c r="BM270" i="1"/>
  <c r="BM276" i="1"/>
  <c r="GZ119" i="1"/>
  <c r="GY119" i="1"/>
  <c r="GX120" i="1"/>
  <c r="EL566" i="1"/>
  <c r="M43" i="1"/>
  <c r="M46" i="1"/>
  <c r="M45" i="1"/>
  <c r="M44" i="1"/>
  <c r="M38" i="1"/>
  <c r="N29" i="1"/>
  <c r="CX566" i="1"/>
  <c r="CW567" i="1"/>
  <c r="FJ567" i="1" s="1"/>
  <c r="FJ566" i="1" s="1"/>
  <c r="FJ583" i="1" s="1"/>
  <c r="CW583" i="1"/>
  <c r="CW626" i="1" s="1"/>
  <c r="R697" i="1"/>
  <c r="Z697" i="1"/>
  <c r="CX297" i="1"/>
  <c r="CW298" i="1"/>
  <c r="FR567" i="1"/>
  <c r="DB567" i="1"/>
  <c r="GT771" i="1"/>
  <c r="GT522" i="1"/>
  <c r="GT253" i="1"/>
  <c r="GU253" i="1" s="1"/>
  <c r="GU252" i="1"/>
  <c r="GX240" i="1"/>
  <c r="BD289" i="1"/>
  <c r="BC297" i="1"/>
  <c r="EX645" i="1"/>
  <c r="EP645" i="1"/>
  <c r="GD567" i="1"/>
  <c r="DN567" i="1"/>
  <c r="P697" i="1"/>
  <c r="X697" i="1"/>
  <c r="N698" i="1"/>
  <c r="V698" i="1"/>
  <c r="FX181" i="1"/>
  <c r="FY181" i="1" s="1"/>
  <c r="FZ153" i="1"/>
  <c r="GA149" i="1"/>
  <c r="FZ159" i="1"/>
  <c r="FZ158" i="1"/>
  <c r="FZ160" i="1"/>
  <c r="DF612" i="1"/>
  <c r="GZ632" i="1"/>
  <c r="GX613" i="1"/>
  <c r="FG708" i="1"/>
  <c r="FI708" i="1"/>
  <c r="GY619" i="1"/>
  <c r="GZ619" i="1"/>
  <c r="FH698" i="1"/>
  <c r="FI698" i="1" s="1"/>
  <c r="GX416" i="1"/>
  <c r="EL507" i="198" l="1"/>
  <c r="GQ530" i="1"/>
  <c r="FJ18" i="2" s="1"/>
  <c r="FI19" i="2"/>
  <c r="EJ487" i="198"/>
  <c r="FP494" i="2"/>
  <c r="FQ494" i="2"/>
  <c r="EK487" i="198"/>
  <c r="FS493" i="2"/>
  <c r="EM486" i="198"/>
  <c r="FJ19" i="2"/>
  <c r="EL486" i="198"/>
  <c r="FR493" i="2"/>
  <c r="FL35" i="2"/>
  <c r="EF30" i="198"/>
  <c r="EF62" i="198"/>
  <c r="FL71" i="2"/>
  <c r="EF61" i="198"/>
  <c r="FL70" i="2"/>
  <c r="FM35" i="2"/>
  <c r="EG62" i="198"/>
  <c r="EG30" i="198"/>
  <c r="FM71" i="2"/>
  <c r="EG61" i="198"/>
  <c r="FM70" i="2"/>
  <c r="GW376" i="1"/>
  <c r="EI469" i="198"/>
  <c r="FO476" i="2"/>
  <c r="EI514" i="198"/>
  <c r="EI515" i="198" s="1"/>
  <c r="EI18" i="198"/>
  <c r="FO521" i="2"/>
  <c r="FO522" i="2" s="1"/>
  <c r="GS423" i="1"/>
  <c r="FK525" i="2"/>
  <c r="EE518" i="198"/>
  <c r="FM525" i="2"/>
  <c r="EG518" i="198"/>
  <c r="EK466" i="198"/>
  <c r="FQ473" i="2"/>
  <c r="EF473" i="198"/>
  <c r="EF17" i="198"/>
  <c r="FL480" i="2"/>
  <c r="FP519" i="2"/>
  <c r="EJ512" i="198"/>
  <c r="EF514" i="198"/>
  <c r="EF18" i="198"/>
  <c r="FL521" i="2"/>
  <c r="EG471" i="198"/>
  <c r="FM478" i="2"/>
  <c r="EH469" i="198"/>
  <c r="FN476" i="2"/>
  <c r="FQ519" i="2"/>
  <c r="EK512" i="198"/>
  <c r="EM510" i="198"/>
  <c r="FS517" i="2"/>
  <c r="GS384" i="1"/>
  <c r="EE477" i="198"/>
  <c r="FK484" i="2"/>
  <c r="FR517" i="2"/>
  <c r="EL510" i="198"/>
  <c r="EJ466" i="198"/>
  <c r="FP473" i="2"/>
  <c r="EH514" i="198"/>
  <c r="FN521" i="2"/>
  <c r="EH18" i="198"/>
  <c r="GG567" i="1"/>
  <c r="GF566" i="1"/>
  <c r="GZ416" i="1"/>
  <c r="GY416" i="1"/>
  <c r="GX422" i="1"/>
  <c r="BC298" i="1"/>
  <c r="BD297" i="1"/>
  <c r="GZ120" i="1"/>
  <c r="GY120" i="1"/>
  <c r="GX128" i="1"/>
  <c r="GA179" i="1"/>
  <c r="FZ196" i="1"/>
  <c r="FZ195" i="1"/>
  <c r="FQ57" i="1"/>
  <c r="FP75" i="1"/>
  <c r="FP76" i="1"/>
  <c r="FH567" i="1"/>
  <c r="FH566" i="1" s="1"/>
  <c r="FH583" i="1" s="1"/>
  <c r="FQ39" i="1"/>
  <c r="FP74" i="1"/>
  <c r="GM298" i="1"/>
  <c r="GL305" i="1"/>
  <c r="GL321" i="1"/>
  <c r="GM321" i="1" s="1"/>
  <c r="GL326" i="1"/>
  <c r="GM326" i="1" s="1"/>
  <c r="GR527" i="1"/>
  <c r="FK16" i="2" s="1"/>
  <c r="GS387" i="1"/>
  <c r="GR388" i="1"/>
  <c r="GS388" i="1" s="1"/>
  <c r="GA567" i="1"/>
  <c r="FZ566" i="1"/>
  <c r="DH289" i="1"/>
  <c r="AW193" i="1"/>
  <c r="AX182" i="1"/>
  <c r="GL567" i="1"/>
  <c r="FL567" i="1"/>
  <c r="FL566" i="1" s="1"/>
  <c r="FL583" i="1" s="1"/>
  <c r="GT769" i="1"/>
  <c r="GT519" i="1"/>
  <c r="GU132" i="1"/>
  <c r="GT133" i="1"/>
  <c r="GU133" i="1" s="1"/>
  <c r="GU423" i="1"/>
  <c r="AW197" i="1"/>
  <c r="AX195" i="1"/>
  <c r="GE567" i="1"/>
  <c r="GD566" i="1"/>
  <c r="GU522" i="1"/>
  <c r="FR566" i="1"/>
  <c r="BN270" i="1"/>
  <c r="BO265" i="1"/>
  <c r="BM272" i="1"/>
  <c r="BN272" i="1" s="1"/>
  <c r="CZ272" i="1"/>
  <c r="CY297" i="1"/>
  <c r="GZ381" i="1"/>
  <c r="GY381" i="1"/>
  <c r="GX376" i="1"/>
  <c r="FY567" i="1"/>
  <c r="FX566" i="1"/>
  <c r="AY796" i="1"/>
  <c r="AY180" i="1"/>
  <c r="AZ153" i="1"/>
  <c r="AY154" i="1"/>
  <c r="BA149" i="1"/>
  <c r="FT567" i="1"/>
  <c r="DD567" i="1"/>
  <c r="FK698" i="1"/>
  <c r="GC164" i="1"/>
  <c r="GB174" i="1"/>
  <c r="GB169" i="1"/>
  <c r="GB176" i="1"/>
  <c r="GB175" i="1"/>
  <c r="GX634" i="1"/>
  <c r="GV636" i="1"/>
  <c r="GV637" i="1"/>
  <c r="FI687" i="1"/>
  <c r="FK687" i="1"/>
  <c r="DF567" i="1"/>
  <c r="GW422" i="1"/>
  <c r="GV426" i="1"/>
  <c r="GV423" i="1"/>
  <c r="GS522" i="1"/>
  <c r="ED19" i="1"/>
  <c r="EL19" i="1"/>
  <c r="GC567" i="1"/>
  <c r="GB566" i="1"/>
  <c r="GZ613" i="1"/>
  <c r="GY613" i="1"/>
  <c r="FZ154" i="1"/>
  <c r="GB149" i="1"/>
  <c r="FZ180" i="1"/>
  <c r="FZ181" i="1" s="1"/>
  <c r="GA153" i="1"/>
  <c r="GZ240" i="1"/>
  <c r="GY240" i="1"/>
  <c r="GX248" i="1"/>
  <c r="CW305" i="1"/>
  <c r="CX298" i="1"/>
  <c r="CW327" i="1"/>
  <c r="CW321" i="1"/>
  <c r="CW326" i="1"/>
  <c r="N38" i="1"/>
  <c r="M39" i="1"/>
  <c r="O29" i="1"/>
  <c r="DA270" i="1"/>
  <c r="DA277" i="1"/>
  <c r="DA278" i="1" s="1"/>
  <c r="DB265" i="1"/>
  <c r="DA276" i="1"/>
  <c r="GZ373" i="1"/>
  <c r="GX378" i="1"/>
  <c r="GY373" i="1"/>
  <c r="GJ567" i="1"/>
  <c r="DT567" i="1"/>
  <c r="GV771" i="1"/>
  <c r="GV522" i="1"/>
  <c r="GW252" i="1"/>
  <c r="GV253" i="1"/>
  <c r="GW253" i="1" s="1"/>
  <c r="GU636" i="1"/>
  <c r="FR56" i="1"/>
  <c r="FS50" i="1"/>
  <c r="FR60" i="1"/>
  <c r="FR62" i="1"/>
  <c r="FR61" i="1"/>
  <c r="FR38" i="1"/>
  <c r="FS29" i="1"/>
  <c r="FR44" i="1"/>
  <c r="FR45" i="1"/>
  <c r="FR43" i="1"/>
  <c r="FR46" i="1"/>
  <c r="FW567" i="1"/>
  <c r="FV566" i="1"/>
  <c r="BF287" i="1"/>
  <c r="BE289" i="1"/>
  <c r="BG281" i="1"/>
  <c r="M57" i="1"/>
  <c r="O50" i="1"/>
  <c r="N56" i="1"/>
  <c r="DI293" i="1"/>
  <c r="DI294" i="1"/>
  <c r="DI295" i="1" s="1"/>
  <c r="DJ281" i="1"/>
  <c r="DI287" i="1"/>
  <c r="GN647" i="1"/>
  <c r="GO567" i="1"/>
  <c r="GN566" i="1"/>
  <c r="FI697" i="1"/>
  <c r="FK697" i="1"/>
  <c r="GH567" i="1"/>
  <c r="GV132" i="1"/>
  <c r="GV129" i="1"/>
  <c r="GW128" i="1"/>
  <c r="GT428" i="1"/>
  <c r="GU426" i="1"/>
  <c r="GN297" i="1"/>
  <c r="GO289" i="1"/>
  <c r="CX567" i="1"/>
  <c r="FN567" i="1"/>
  <c r="FN566" i="1" s="1"/>
  <c r="FN583" i="1" s="1"/>
  <c r="FZ182" i="1"/>
  <c r="GA170" i="1"/>
  <c r="L75" i="1"/>
  <c r="K77" i="1"/>
  <c r="L77" i="1" s="1"/>
  <c r="AY797" i="1"/>
  <c r="AY798" i="1" s="1"/>
  <c r="AY179" i="1"/>
  <c r="AZ169" i="1"/>
  <c r="AY170" i="1"/>
  <c r="BA164" i="1"/>
  <c r="GT765" i="1"/>
  <c r="GU637" i="1"/>
  <c r="GC305" i="1"/>
  <c r="GE305" i="1"/>
  <c r="FP567" i="1"/>
  <c r="FP566" i="1" s="1"/>
  <c r="FP583" i="1" s="1"/>
  <c r="GS426" i="1"/>
  <c r="GR428" i="1"/>
  <c r="EB567" i="1"/>
  <c r="GV378" i="1"/>
  <c r="GS519" i="1"/>
  <c r="GQ281" i="1"/>
  <c r="GU378" i="1"/>
  <c r="GT383" i="1"/>
  <c r="EF19" i="198" l="1"/>
  <c r="FS494" i="2"/>
  <c r="EM487" i="198"/>
  <c r="FR494" i="2"/>
  <c r="EL487" i="198"/>
  <c r="FO70" i="2"/>
  <c r="EI61" i="198"/>
  <c r="FN70" i="2"/>
  <c r="EH61" i="198"/>
  <c r="EI62" i="198"/>
  <c r="FO71" i="2"/>
  <c r="EI30" i="198"/>
  <c r="FO35" i="2"/>
  <c r="EH62" i="198"/>
  <c r="EH30" i="198"/>
  <c r="FN71" i="2"/>
  <c r="FN35" i="2"/>
  <c r="EL466" i="198"/>
  <c r="FR473" i="2"/>
  <c r="EK18" i="198"/>
  <c r="FQ521" i="2"/>
  <c r="FQ522" i="2" s="1"/>
  <c r="EK514" i="198"/>
  <c r="EK515" i="198" s="1"/>
  <c r="EG17" i="198"/>
  <c r="EG19" i="198" s="1"/>
  <c r="EG473" i="198"/>
  <c r="EG474" i="198" s="1"/>
  <c r="FM480" i="2"/>
  <c r="FM481" i="2" s="1"/>
  <c r="EI471" i="198"/>
  <c r="FO478" i="2"/>
  <c r="EK471" i="198"/>
  <c r="FQ478" i="2"/>
  <c r="GW423" i="1"/>
  <c r="FO525" i="2"/>
  <c r="EI518" i="198"/>
  <c r="EK469" i="198"/>
  <c r="FQ476" i="2"/>
  <c r="FR519" i="2"/>
  <c r="EL512" i="198"/>
  <c r="EJ469" i="198"/>
  <c r="FP476" i="2"/>
  <c r="EM466" i="198"/>
  <c r="FS473" i="2"/>
  <c r="EM512" i="198"/>
  <c r="FS519" i="2"/>
  <c r="EF477" i="198"/>
  <c r="FL484" i="2"/>
  <c r="EH471" i="198"/>
  <c r="FN478" i="2"/>
  <c r="FP521" i="2"/>
  <c r="EJ18" i="198"/>
  <c r="EJ514" i="198"/>
  <c r="FN525" i="2"/>
  <c r="EH518" i="198"/>
  <c r="EF518" i="198"/>
  <c r="FL525" i="2"/>
  <c r="GA181" i="1"/>
  <c r="GW378" i="1"/>
  <c r="GV383" i="1"/>
  <c r="AY181" i="1"/>
  <c r="AZ181" i="1" s="1"/>
  <c r="AY196" i="1"/>
  <c r="AZ196" i="1" s="1"/>
  <c r="AY195" i="1"/>
  <c r="AZ179" i="1"/>
  <c r="GV769" i="1"/>
  <c r="GV519" i="1"/>
  <c r="GV133" i="1"/>
  <c r="GW133" i="1" s="1"/>
  <c r="GW132" i="1"/>
  <c r="DJ287" i="1"/>
  <c r="DI289" i="1"/>
  <c r="DK281" i="1"/>
  <c r="BE297" i="1"/>
  <c r="BF289" i="1"/>
  <c r="FS60" i="1"/>
  <c r="N39" i="1"/>
  <c r="M74" i="1"/>
  <c r="N74" i="1" s="1"/>
  <c r="GB153" i="1"/>
  <c r="GC149" i="1"/>
  <c r="GB158" i="1"/>
  <c r="GB159" i="1"/>
  <c r="GB160" i="1"/>
  <c r="GW636" i="1"/>
  <c r="GB179" i="1"/>
  <c r="GB170" i="1"/>
  <c r="GC169" i="1"/>
  <c r="GD164" i="1"/>
  <c r="CY298" i="1"/>
  <c r="CZ297" i="1"/>
  <c r="GL647" i="1"/>
  <c r="GM567" i="1"/>
  <c r="GL566" i="1"/>
  <c r="GO566" i="1" s="1"/>
  <c r="FQ74" i="1"/>
  <c r="FP77" i="1"/>
  <c r="FQ75" i="1"/>
  <c r="BA174" i="1"/>
  <c r="BA169" i="1"/>
  <c r="BA176" i="1"/>
  <c r="BA177" i="1" s="1"/>
  <c r="BB164" i="1"/>
  <c r="BA175" i="1"/>
  <c r="GA182" i="1"/>
  <c r="FZ193" i="1"/>
  <c r="GA193" i="1" s="1"/>
  <c r="GT528" i="1"/>
  <c r="FM17" i="2" s="1"/>
  <c r="GU428" i="1"/>
  <c r="GT429" i="1"/>
  <c r="GN583" i="1"/>
  <c r="GN626" i="1" s="1"/>
  <c r="P50" i="1"/>
  <c r="O62" i="1"/>
  <c r="P62" i="1" s="1"/>
  <c r="O61" i="1"/>
  <c r="P61" i="1" s="1"/>
  <c r="O60" i="1"/>
  <c r="P60" i="1" s="1"/>
  <c r="O56" i="1"/>
  <c r="FR39" i="1"/>
  <c r="FS38" i="1"/>
  <c r="FT29" i="1"/>
  <c r="GY378" i="1"/>
  <c r="GZ378" i="1"/>
  <c r="GX383" i="1"/>
  <c r="GA154" i="1"/>
  <c r="GW426" i="1"/>
  <c r="GV428" i="1"/>
  <c r="GZ634" i="1"/>
  <c r="GX637" i="1"/>
  <c r="GX636" i="1"/>
  <c r="FU567" i="1"/>
  <c r="FT566" i="1"/>
  <c r="AZ180" i="1"/>
  <c r="AY194" i="1"/>
  <c r="AZ194" i="1" s="1"/>
  <c r="GZ376" i="1"/>
  <c r="GY376" i="1"/>
  <c r="FS566" i="1"/>
  <c r="FR583" i="1"/>
  <c r="FR626" i="1" s="1"/>
  <c r="GE566" i="1"/>
  <c r="GD583" i="1"/>
  <c r="GD626" i="1" s="1"/>
  <c r="GA566" i="1"/>
  <c r="FZ583" i="1"/>
  <c r="FZ626" i="1" s="1"/>
  <c r="GS527" i="1"/>
  <c r="FL16" i="2" s="1"/>
  <c r="GT387" i="1"/>
  <c r="GT384" i="1"/>
  <c r="GU383" i="1"/>
  <c r="GT10" i="1"/>
  <c r="GU10" i="1" s="1"/>
  <c r="GR528" i="1"/>
  <c r="GR429" i="1"/>
  <c r="GS429" i="1" s="1"/>
  <c r="GS428" i="1"/>
  <c r="AZ170" i="1"/>
  <c r="AY182" i="1"/>
  <c r="GI567" i="1"/>
  <c r="GH566" i="1"/>
  <c r="M75" i="1"/>
  <c r="M76" i="1"/>
  <c r="N76" i="1" s="1"/>
  <c r="N57" i="1"/>
  <c r="FW566" i="1"/>
  <c r="FV583" i="1"/>
  <c r="FV626" i="1" s="1"/>
  <c r="FS61" i="1"/>
  <c r="FT50" i="1"/>
  <c r="FR57" i="1"/>
  <c r="FS56" i="1"/>
  <c r="DB270" i="1"/>
  <c r="DA272" i="1"/>
  <c r="DC265" i="1"/>
  <c r="CX305" i="1"/>
  <c r="GC566" i="1"/>
  <c r="GB583" i="1"/>
  <c r="GB626" i="1" s="1"/>
  <c r="BA158" i="1"/>
  <c r="BA153" i="1"/>
  <c r="BB149" i="1"/>
  <c r="BA160" i="1"/>
  <c r="BA161" i="1" s="1"/>
  <c r="BA159" i="1"/>
  <c r="FS567" i="1"/>
  <c r="AX193" i="1"/>
  <c r="GR774" i="1"/>
  <c r="GR779" i="1" s="1"/>
  <c r="GM305" i="1"/>
  <c r="GA195" i="1"/>
  <c r="FZ197" i="1"/>
  <c r="GA197" i="1" s="1"/>
  <c r="GZ128" i="1"/>
  <c r="GX129" i="1"/>
  <c r="GY128" i="1"/>
  <c r="GX132" i="1"/>
  <c r="BC305" i="1"/>
  <c r="BD298" i="1"/>
  <c r="GG566" i="1"/>
  <c r="GF583" i="1"/>
  <c r="GF626" i="1" s="1"/>
  <c r="GO297" i="1"/>
  <c r="GN298" i="1"/>
  <c r="GW129" i="1"/>
  <c r="GO647" i="1"/>
  <c r="GN20" i="1"/>
  <c r="BG294" i="1"/>
  <c r="BG295" i="1" s="1"/>
  <c r="BG293" i="1"/>
  <c r="BH281" i="1"/>
  <c r="BG287" i="1"/>
  <c r="FS62" i="1"/>
  <c r="GW522" i="1"/>
  <c r="GJ647" i="1"/>
  <c r="GK567" i="1"/>
  <c r="GJ566" i="1"/>
  <c r="O43" i="1"/>
  <c r="O46" i="1"/>
  <c r="O38" i="1"/>
  <c r="P29" i="1"/>
  <c r="O45" i="1"/>
  <c r="O44" i="1"/>
  <c r="GZ248" i="1"/>
  <c r="GX249" i="1"/>
  <c r="GY248" i="1"/>
  <c r="GX252" i="1"/>
  <c r="GA180" i="1"/>
  <c r="FZ194" i="1"/>
  <c r="GA194" i="1" s="1"/>
  <c r="GV765" i="1"/>
  <c r="GW637" i="1"/>
  <c r="AZ154" i="1"/>
  <c r="FY566" i="1"/>
  <c r="FX583" i="1"/>
  <c r="FX626" i="1" s="1"/>
  <c r="BO277" i="1"/>
  <c r="BO278" i="1" s="1"/>
  <c r="BO276" i="1"/>
  <c r="BO270" i="1"/>
  <c r="BP265" i="1"/>
  <c r="AX197" i="1"/>
  <c r="GU519" i="1"/>
  <c r="FQ76" i="1"/>
  <c r="GA196" i="1"/>
  <c r="GX426" i="1"/>
  <c r="GX423" i="1"/>
  <c r="GZ422" i="1"/>
  <c r="GY422" i="1"/>
  <c r="EK30" i="198" l="1"/>
  <c r="FQ35" i="2"/>
  <c r="EK62" i="198"/>
  <c r="FQ71" i="2"/>
  <c r="EJ30" i="198"/>
  <c r="FP35" i="2"/>
  <c r="EJ62" i="198"/>
  <c r="FP71" i="2"/>
  <c r="EK61" i="198"/>
  <c r="FQ70" i="2"/>
  <c r="EJ61" i="198"/>
  <c r="FP70" i="2"/>
  <c r="EM469" i="198"/>
  <c r="FS476" i="2"/>
  <c r="EJ471" i="198"/>
  <c r="FP478" i="2"/>
  <c r="EM514" i="198"/>
  <c r="EM18" i="198"/>
  <c r="FS521" i="2"/>
  <c r="EH17" i="198"/>
  <c r="EH19" i="198" s="1"/>
  <c r="EH473" i="198"/>
  <c r="FN480" i="2"/>
  <c r="EL471" i="198"/>
  <c r="FR478" i="2"/>
  <c r="EL514" i="198"/>
  <c r="EL18" i="198"/>
  <c r="FR521" i="2"/>
  <c r="FQ525" i="2"/>
  <c r="EK518" i="198"/>
  <c r="GU384" i="1"/>
  <c r="EG477" i="198"/>
  <c r="FM484" i="2"/>
  <c r="EJ518" i="198"/>
  <c r="FP525" i="2"/>
  <c r="GR530" i="1"/>
  <c r="GS530" i="1" s="1"/>
  <c r="FK17" i="2"/>
  <c r="EL469" i="198"/>
  <c r="FR476" i="2"/>
  <c r="EK473" i="198"/>
  <c r="EK474" i="198" s="1"/>
  <c r="EK17" i="198"/>
  <c r="EK19" i="198" s="1"/>
  <c r="FQ480" i="2"/>
  <c r="FQ481" i="2" s="1"/>
  <c r="EI473" i="198"/>
  <c r="EI474" i="198" s="1"/>
  <c r="EI17" i="198"/>
  <c r="EI19" i="198" s="1"/>
  <c r="FO480" i="2"/>
  <c r="FO481" i="2" s="1"/>
  <c r="EM471" i="198"/>
  <c r="FS478" i="2"/>
  <c r="GY423" i="1"/>
  <c r="GZ423" i="1"/>
  <c r="GK566" i="1"/>
  <c r="GJ583" i="1"/>
  <c r="GJ626" i="1" s="1"/>
  <c r="BD305" i="1"/>
  <c r="GX769" i="1"/>
  <c r="GX519" i="1"/>
  <c r="GZ132" i="1"/>
  <c r="GY132" i="1"/>
  <c r="GX133" i="1"/>
  <c r="GY133" i="1" s="1"/>
  <c r="DC276" i="1"/>
  <c r="DD265" i="1"/>
  <c r="DC270" i="1"/>
  <c r="DC277" i="1"/>
  <c r="DC278" i="1" s="1"/>
  <c r="FU566" i="1"/>
  <c r="FT583" i="1"/>
  <c r="FT626" i="1" s="1"/>
  <c r="GZ636" i="1"/>
  <c r="GY636" i="1"/>
  <c r="Q50" i="1"/>
  <c r="P56" i="1"/>
  <c r="O57" i="1"/>
  <c r="BF297" i="1"/>
  <c r="BE298" i="1"/>
  <c r="DJ289" i="1"/>
  <c r="GW519" i="1"/>
  <c r="GZ426" i="1"/>
  <c r="GX428" i="1"/>
  <c r="GY426" i="1"/>
  <c r="BO272" i="1"/>
  <c r="BP272" i="1" s="1"/>
  <c r="BP270" i="1"/>
  <c r="BQ265" i="1"/>
  <c r="GX771" i="1"/>
  <c r="GX522" i="1"/>
  <c r="GX253" i="1"/>
  <c r="GY253" i="1" s="1"/>
  <c r="GZ252" i="1"/>
  <c r="GY252" i="1"/>
  <c r="P38" i="1"/>
  <c r="O39" i="1"/>
  <c r="Q29" i="1"/>
  <c r="BG289" i="1"/>
  <c r="BH287" i="1"/>
  <c r="BI281" i="1"/>
  <c r="BA796" i="1"/>
  <c r="BA797" i="1" s="1"/>
  <c r="BA798" i="1" s="1"/>
  <c r="BA180" i="1"/>
  <c r="BB153" i="1"/>
  <c r="BA154" i="1"/>
  <c r="BB154" i="1" s="1"/>
  <c r="BC149" i="1"/>
  <c r="DB272" i="1"/>
  <c r="DA297" i="1"/>
  <c r="N75" i="1"/>
  <c r="M77" i="1"/>
  <c r="N77" i="1" s="1"/>
  <c r="AY193" i="1"/>
  <c r="AZ193" i="1" s="1"/>
  <c r="AZ182" i="1"/>
  <c r="GS528" i="1"/>
  <c r="FL17" i="2" s="1"/>
  <c r="GT774" i="1"/>
  <c r="GT779" i="1" s="1"/>
  <c r="GT527" i="1"/>
  <c r="FM16" i="2" s="1"/>
  <c r="GT388" i="1"/>
  <c r="GU388" i="1" s="1"/>
  <c r="GU387" i="1"/>
  <c r="GX765" i="1"/>
  <c r="GY637" i="1"/>
  <c r="GZ637" i="1"/>
  <c r="FT38" i="1"/>
  <c r="FU29" i="1"/>
  <c r="FT44" i="1"/>
  <c r="FT46" i="1"/>
  <c r="FT43" i="1"/>
  <c r="FT45" i="1"/>
  <c r="GU429" i="1"/>
  <c r="BA170" i="1"/>
  <c r="BC164" i="1"/>
  <c r="BA179" i="1"/>
  <c r="BB169" i="1"/>
  <c r="GM566" i="1"/>
  <c r="GL583" i="1"/>
  <c r="GL626" i="1" s="1"/>
  <c r="GC170" i="1"/>
  <c r="GK647" i="1"/>
  <c r="GJ20" i="1"/>
  <c r="GK20" i="1" s="1"/>
  <c r="GO298" i="1"/>
  <c r="GN305" i="1"/>
  <c r="GO305" i="1" s="1"/>
  <c r="GN321" i="1"/>
  <c r="GO321" i="1" s="1"/>
  <c r="GN326" i="1"/>
  <c r="GO326" i="1" s="1"/>
  <c r="GY129" i="1"/>
  <c r="GZ129" i="1"/>
  <c r="FS57" i="1"/>
  <c r="FR76" i="1"/>
  <c r="FR75" i="1"/>
  <c r="GI566" i="1"/>
  <c r="GH583" i="1"/>
  <c r="GH626" i="1" s="1"/>
  <c r="GZ383" i="1"/>
  <c r="GX387" i="1"/>
  <c r="GX384" i="1"/>
  <c r="GY383" i="1"/>
  <c r="GX10" i="1"/>
  <c r="CY305" i="1"/>
  <c r="CZ298" i="1"/>
  <c r="CY327" i="1"/>
  <c r="CY321" i="1"/>
  <c r="CY326" i="1"/>
  <c r="GC179" i="1"/>
  <c r="GB196" i="1"/>
  <c r="GC196" i="1" s="1"/>
  <c r="GB195" i="1"/>
  <c r="AZ195" i="1"/>
  <c r="AY197" i="1"/>
  <c r="AZ197" i="1" s="1"/>
  <c r="GY249" i="1"/>
  <c r="GZ249" i="1"/>
  <c r="FU50" i="1"/>
  <c r="FT56" i="1"/>
  <c r="FT62" i="1"/>
  <c r="FT61" i="1"/>
  <c r="FT60" i="1"/>
  <c r="GV528" i="1"/>
  <c r="FO17" i="2" s="1"/>
  <c r="GV429" i="1"/>
  <c r="GW429" i="1" s="1"/>
  <c r="GW428" i="1"/>
  <c r="FS39" i="1"/>
  <c r="FR74" i="1"/>
  <c r="FS74" i="1" s="1"/>
  <c r="GU528" i="1"/>
  <c r="FN17" i="2" s="1"/>
  <c r="FQ77" i="1"/>
  <c r="GM647" i="1"/>
  <c r="GL20" i="1"/>
  <c r="GM20" i="1" s="1"/>
  <c r="GD169" i="1"/>
  <c r="GD175" i="1"/>
  <c r="GE164" i="1"/>
  <c r="GD174" i="1"/>
  <c r="GD176" i="1"/>
  <c r="GB180" i="1"/>
  <c r="GC153" i="1"/>
  <c r="GB154" i="1"/>
  <c r="GC154" i="1" s="1"/>
  <c r="GD149" i="1"/>
  <c r="DK294" i="1"/>
  <c r="DK295" i="1" s="1"/>
  <c r="DK293" i="1"/>
  <c r="DL281" i="1"/>
  <c r="DK287" i="1"/>
  <c r="GV387" i="1"/>
  <c r="GV384" i="1"/>
  <c r="GW383" i="1"/>
  <c r="GV10" i="1"/>
  <c r="GW10" i="1" s="1"/>
  <c r="EM62" i="198" l="1"/>
  <c r="FS71" i="2"/>
  <c r="FS35" i="2"/>
  <c r="EM30" i="198"/>
  <c r="FR70" i="2"/>
  <c r="EL61" i="198"/>
  <c r="EL62" i="198"/>
  <c r="FR71" i="2"/>
  <c r="EL30" i="198"/>
  <c r="FR35" i="2"/>
  <c r="FS70" i="2"/>
  <c r="EM61" i="198"/>
  <c r="GW384" i="1"/>
  <c r="EI477" i="198"/>
  <c r="FO484" i="2"/>
  <c r="FS525" i="2"/>
  <c r="EM518" i="198"/>
  <c r="FK19" i="2"/>
  <c r="FK18" i="2"/>
  <c r="EH477" i="198"/>
  <c r="FN484" i="2"/>
  <c r="EL17" i="198"/>
  <c r="EL19" i="198" s="1"/>
  <c r="EL473" i="198"/>
  <c r="FR480" i="2"/>
  <c r="FL18" i="2"/>
  <c r="FL19" i="2"/>
  <c r="EM473" i="198"/>
  <c r="EM17" i="198"/>
  <c r="EM19" i="198" s="1"/>
  <c r="FS480" i="2"/>
  <c r="FR525" i="2"/>
  <c r="EL518" i="198"/>
  <c r="EJ473" i="198"/>
  <c r="EJ17" i="198"/>
  <c r="EJ19" i="198" s="1"/>
  <c r="FP480" i="2"/>
  <c r="EK477" i="198"/>
  <c r="FQ484" i="2"/>
  <c r="GC180" i="1"/>
  <c r="GB194" i="1"/>
  <c r="GC194" i="1" s="1"/>
  <c r="GW528" i="1"/>
  <c r="FP17" i="2" s="1"/>
  <c r="FU61" i="1"/>
  <c r="GB181" i="1"/>
  <c r="GZ10" i="1"/>
  <c r="GY10" i="1"/>
  <c r="FR77" i="1"/>
  <c r="FS75" i="1"/>
  <c r="GB182" i="1"/>
  <c r="BI294" i="1"/>
  <c r="BI295" i="1" s="1"/>
  <c r="BI287" i="1"/>
  <c r="BI293" i="1"/>
  <c r="BJ281" i="1"/>
  <c r="P39" i="1"/>
  <c r="O74" i="1"/>
  <c r="P74" i="1" s="1"/>
  <c r="BQ276" i="1"/>
  <c r="BQ270" i="1"/>
  <c r="BQ277" i="1"/>
  <c r="BQ278" i="1" s="1"/>
  <c r="BR265" i="1"/>
  <c r="GX528" i="1"/>
  <c r="FQ17" i="2" s="1"/>
  <c r="GY428" i="1"/>
  <c r="GX429" i="1"/>
  <c r="GY429" i="1" s="1"/>
  <c r="GZ428" i="1"/>
  <c r="GY519" i="1"/>
  <c r="GZ519" i="1"/>
  <c r="GV774" i="1"/>
  <c r="GV779" i="1" s="1"/>
  <c r="GV527" i="1"/>
  <c r="FO16" i="2" s="1"/>
  <c r="GW387" i="1"/>
  <c r="GV388" i="1"/>
  <c r="GW388" i="1" s="1"/>
  <c r="GD153" i="1"/>
  <c r="GE149" i="1"/>
  <c r="GD160" i="1"/>
  <c r="GD158" i="1"/>
  <c r="GD159" i="1"/>
  <c r="GF164" i="1"/>
  <c r="GD179" i="1"/>
  <c r="GD170" i="1"/>
  <c r="GE169" i="1"/>
  <c r="FU62" i="1"/>
  <c r="FS76" i="1"/>
  <c r="BA196" i="1"/>
  <c r="BB196" i="1" s="1"/>
  <c r="BA195" i="1"/>
  <c r="BB179" i="1"/>
  <c r="BA181" i="1"/>
  <c r="BB181" i="1" s="1"/>
  <c r="GU527" i="1"/>
  <c r="FN16" i="2" s="1"/>
  <c r="GT530" i="1"/>
  <c r="GO20" i="1"/>
  <c r="GY522" i="1"/>
  <c r="GZ522" i="1"/>
  <c r="Q62" i="1"/>
  <c r="R62" i="1" s="1"/>
  <c r="Q61" i="1"/>
  <c r="R61" i="1" s="1"/>
  <c r="Q60" i="1"/>
  <c r="R60" i="1" s="1"/>
  <c r="Q56" i="1"/>
  <c r="R50" i="1"/>
  <c r="FT57" i="1"/>
  <c r="FU56" i="1"/>
  <c r="FV50" i="1"/>
  <c r="GZ384" i="1"/>
  <c r="GY384" i="1"/>
  <c r="BC174" i="1"/>
  <c r="BD164" i="1"/>
  <c r="BC176" i="1"/>
  <c r="BC177" i="1" s="1"/>
  <c r="BC169" i="1"/>
  <c r="BC175" i="1"/>
  <c r="BA194" i="1"/>
  <c r="BB194" i="1" s="1"/>
  <c r="BB180" i="1"/>
  <c r="BH289" i="1"/>
  <c r="BG297" i="1"/>
  <c r="DC272" i="1"/>
  <c r="DD270" i="1"/>
  <c r="DE265" i="1"/>
  <c r="DK289" i="1"/>
  <c r="DL287" i="1"/>
  <c r="DM281" i="1"/>
  <c r="FU60" i="1"/>
  <c r="GC195" i="1"/>
  <c r="GB197" i="1"/>
  <c r="GC197" i="1" s="1"/>
  <c r="CZ305" i="1"/>
  <c r="GX774" i="1"/>
  <c r="GX779" i="1" s="1"/>
  <c r="GX527" i="1"/>
  <c r="FQ16" i="2" s="1"/>
  <c r="GX388" i="1"/>
  <c r="GY388" i="1" s="1"/>
  <c r="GZ387" i="1"/>
  <c r="GY387" i="1"/>
  <c r="BA182" i="1"/>
  <c r="BB170" i="1"/>
  <c r="FT39" i="1"/>
  <c r="FU38" i="1"/>
  <c r="FV29" i="1"/>
  <c r="DB297" i="1"/>
  <c r="DA298" i="1"/>
  <c r="BC158" i="1"/>
  <c r="BD149" i="1"/>
  <c r="BC160" i="1"/>
  <c r="BC161" i="1" s="1"/>
  <c r="BC159" i="1"/>
  <c r="BC153" i="1"/>
  <c r="Q43" i="1"/>
  <c r="Q46" i="1"/>
  <c r="Q45" i="1"/>
  <c r="Q44" i="1"/>
  <c r="Q38" i="1"/>
  <c r="R29" i="1"/>
  <c r="BE305" i="1"/>
  <c r="BF298" i="1"/>
  <c r="O76" i="1"/>
  <c r="P76" i="1" s="1"/>
  <c r="P57" i="1"/>
  <c r="O75" i="1"/>
  <c r="EM477" i="198" l="1"/>
  <c r="FS484" i="2"/>
  <c r="FM18" i="2"/>
  <c r="FM19" i="2"/>
  <c r="EL477" i="198"/>
  <c r="FR484" i="2"/>
  <c r="EJ477" i="198"/>
  <c r="FP484" i="2"/>
  <c r="S29" i="1"/>
  <c r="R38" i="1"/>
  <c r="Q39" i="1"/>
  <c r="FV38" i="1"/>
  <c r="FW29" i="1"/>
  <c r="FV45" i="1"/>
  <c r="FV46" i="1"/>
  <c r="FV43" i="1"/>
  <c r="FV44" i="1"/>
  <c r="BA193" i="1"/>
  <c r="BB193" i="1" s="1"/>
  <c r="BB182" i="1"/>
  <c r="DE276" i="1"/>
  <c r="DE277" i="1"/>
  <c r="DE278" i="1" s="1"/>
  <c r="DE270" i="1"/>
  <c r="DF265" i="1"/>
  <c r="FV56" i="1"/>
  <c r="FW50" i="1"/>
  <c r="FV60" i="1"/>
  <c r="FV62" i="1"/>
  <c r="FV61" i="1"/>
  <c r="BA197" i="1"/>
  <c r="BB197" i="1" s="1"/>
  <c r="BB195" i="1"/>
  <c r="GD154" i="1"/>
  <c r="GE154" i="1" s="1"/>
  <c r="GF149" i="1"/>
  <c r="GD180" i="1"/>
  <c r="GE153" i="1"/>
  <c r="BS265" i="1"/>
  <c r="BR270" i="1"/>
  <c r="BQ272" i="1"/>
  <c r="BR272" i="1" s="1"/>
  <c r="BJ287" i="1"/>
  <c r="BI289" i="1"/>
  <c r="BK281" i="1"/>
  <c r="GC182" i="1"/>
  <c r="GB193" i="1"/>
  <c r="BC796" i="1"/>
  <c r="BE149" i="1"/>
  <c r="BC180" i="1"/>
  <c r="BD153" i="1"/>
  <c r="BC154" i="1"/>
  <c r="BD154" i="1" s="1"/>
  <c r="DL289" i="1"/>
  <c r="BG298" i="1"/>
  <c r="BH297" i="1"/>
  <c r="Q57" i="1"/>
  <c r="R56" i="1"/>
  <c r="S50" i="1"/>
  <c r="GE170" i="1"/>
  <c r="GY528" i="1"/>
  <c r="FR17" i="2" s="1"/>
  <c r="GZ528" i="1"/>
  <c r="FS17" i="2" s="1"/>
  <c r="GC181" i="1"/>
  <c r="P75" i="1"/>
  <c r="O77" i="1"/>
  <c r="P77" i="1" s="1"/>
  <c r="BF305" i="1"/>
  <c r="DA305" i="1"/>
  <c r="DB298" i="1"/>
  <c r="DA321" i="1"/>
  <c r="DA327" i="1"/>
  <c r="DA326" i="1"/>
  <c r="FU39" i="1"/>
  <c r="FT74" i="1"/>
  <c r="FU74" i="1" s="1"/>
  <c r="GZ527" i="1"/>
  <c r="FS16" i="2" s="1"/>
  <c r="GY527" i="1"/>
  <c r="FR16" i="2" s="1"/>
  <c r="GX530" i="1"/>
  <c r="DD272" i="1"/>
  <c r="DC297" i="1"/>
  <c r="BC797" i="1"/>
  <c r="BC798" i="1" s="1"/>
  <c r="BC179" i="1"/>
  <c r="BE164" i="1"/>
  <c r="BD169" i="1"/>
  <c r="BC170" i="1"/>
  <c r="FU57" i="1"/>
  <c r="FT76" i="1"/>
  <c r="FT75" i="1"/>
  <c r="GD181" i="1"/>
  <c r="GE181" i="1" s="1"/>
  <c r="GE179" i="1"/>
  <c r="GD196" i="1"/>
  <c r="GE196" i="1" s="1"/>
  <c r="GD195" i="1"/>
  <c r="FS77" i="1"/>
  <c r="DM294" i="1"/>
  <c r="DM287" i="1"/>
  <c r="DN281" i="1"/>
  <c r="DM293" i="1"/>
  <c r="DN293" i="1" s="1"/>
  <c r="GU530" i="1"/>
  <c r="GG164" i="1"/>
  <c r="GF176" i="1"/>
  <c r="GF169" i="1"/>
  <c r="GF174" i="1"/>
  <c r="GF175" i="1"/>
  <c r="GV530" i="1"/>
  <c r="GW527" i="1"/>
  <c r="FP16" i="2" s="1"/>
  <c r="FN19" i="2" l="1"/>
  <c r="FN18" i="2"/>
  <c r="FO19" i="2"/>
  <c r="FO18" i="2"/>
  <c r="FQ18" i="2"/>
  <c r="FQ19" i="2"/>
  <c r="DC298" i="1"/>
  <c r="DD297" i="1"/>
  <c r="GZ530" i="1"/>
  <c r="GY530" i="1"/>
  <c r="DN287" i="1"/>
  <c r="DM289" i="1"/>
  <c r="DO281" i="1"/>
  <c r="FU76" i="1"/>
  <c r="BE174" i="1"/>
  <c r="BE169" i="1"/>
  <c r="BF164" i="1"/>
  <c r="BE176" i="1"/>
  <c r="BE177" i="1" s="1"/>
  <c r="BE175" i="1"/>
  <c r="Q76" i="1"/>
  <c r="R76" i="1" s="1"/>
  <c r="Q75" i="1"/>
  <c r="R57" i="1"/>
  <c r="BG305" i="1"/>
  <c r="BH298" i="1"/>
  <c r="BE158" i="1"/>
  <c r="BE153" i="1"/>
  <c r="BF149" i="1"/>
  <c r="BE160" i="1"/>
  <c r="BE161" i="1" s="1"/>
  <c r="BE159" i="1"/>
  <c r="FW60" i="1"/>
  <c r="FW38" i="1"/>
  <c r="FX29" i="1"/>
  <c r="DM295" i="1"/>
  <c r="DN295" i="1" s="1"/>
  <c r="DN294" i="1"/>
  <c r="GE195" i="1"/>
  <c r="GD197" i="1"/>
  <c r="GE197" i="1" s="1"/>
  <c r="BC181" i="1"/>
  <c r="BD181" i="1" s="1"/>
  <c r="BC196" i="1"/>
  <c r="BD196" i="1" s="1"/>
  <c r="BC195" i="1"/>
  <c r="BD179" i="1"/>
  <c r="DB305" i="1"/>
  <c r="GD182" i="1"/>
  <c r="GE180" i="1"/>
  <c r="GD194" i="1"/>
  <c r="GE194" i="1" s="1"/>
  <c r="Q74" i="1"/>
  <c r="R74" i="1" s="1"/>
  <c r="R39" i="1"/>
  <c r="GW530" i="1"/>
  <c r="GF179" i="1"/>
  <c r="GF170" i="1"/>
  <c r="GG169" i="1"/>
  <c r="GH164" i="1"/>
  <c r="BD170" i="1"/>
  <c r="BC182" i="1"/>
  <c r="T50" i="1"/>
  <c r="S62" i="1"/>
  <c r="T62" i="1" s="1"/>
  <c r="S61" i="1"/>
  <c r="T61" i="1" s="1"/>
  <c r="S60" i="1"/>
  <c r="T60" i="1" s="1"/>
  <c r="S56" i="1"/>
  <c r="GC193" i="1"/>
  <c r="BK287" i="1"/>
  <c r="BK293" i="1"/>
  <c r="BK294" i="1"/>
  <c r="BK295" i="1" s="1"/>
  <c r="BL281" i="1"/>
  <c r="GF153" i="1"/>
  <c r="GG149" i="1"/>
  <c r="GF158" i="1"/>
  <c r="GF160" i="1"/>
  <c r="GF159" i="1"/>
  <c r="FW61" i="1"/>
  <c r="FX50" i="1"/>
  <c r="FV57" i="1"/>
  <c r="FW56" i="1"/>
  <c r="DG265" i="1"/>
  <c r="DF270" i="1"/>
  <c r="DE272" i="1"/>
  <c r="FT77" i="1"/>
  <c r="FU75" i="1"/>
  <c r="BD180" i="1"/>
  <c r="BC194" i="1"/>
  <c r="BD194" i="1" s="1"/>
  <c r="BI297" i="1"/>
  <c r="BJ289" i="1"/>
  <c r="BS277" i="1"/>
  <c r="BS278" i="1" s="1"/>
  <c r="BS276" i="1"/>
  <c r="BT265" i="1"/>
  <c r="BS270" i="1"/>
  <c r="FW62" i="1"/>
  <c r="S43" i="1"/>
  <c r="S46" i="1"/>
  <c r="S38" i="1"/>
  <c r="T29" i="1"/>
  <c r="S45" i="1"/>
  <c r="S44" i="1"/>
  <c r="FR19" i="2" l="1"/>
  <c r="FR18" i="2"/>
  <c r="FS19" i="2"/>
  <c r="FS18" i="2"/>
  <c r="FP18" i="2"/>
  <c r="FP19" i="2"/>
  <c r="FY50" i="1"/>
  <c r="FX56" i="1"/>
  <c r="FX60" i="1"/>
  <c r="FX61" i="1"/>
  <c r="FX62" i="1"/>
  <c r="GF180" i="1"/>
  <c r="GG153" i="1"/>
  <c r="GF154" i="1"/>
  <c r="GG154" i="1" s="1"/>
  <c r="GH149" i="1"/>
  <c r="T38" i="1"/>
  <c r="U29" i="1"/>
  <c r="S39" i="1"/>
  <c r="DF272" i="1"/>
  <c r="DE297" i="1"/>
  <c r="GG170" i="1"/>
  <c r="GF182" i="1"/>
  <c r="Q77" i="1"/>
  <c r="R77" i="1" s="1"/>
  <c r="R75" i="1"/>
  <c r="BJ297" i="1"/>
  <c r="BI298" i="1"/>
  <c r="FU77" i="1"/>
  <c r="BK289" i="1"/>
  <c r="BL287" i="1"/>
  <c r="BM281" i="1"/>
  <c r="T56" i="1"/>
  <c r="S57" i="1"/>
  <c r="U50" i="1"/>
  <c r="GG179" i="1"/>
  <c r="GF196" i="1"/>
  <c r="GG196" i="1" s="1"/>
  <c r="GF181" i="1"/>
  <c r="GG181" i="1" s="1"/>
  <c r="GF195" i="1"/>
  <c r="BD195" i="1"/>
  <c r="BC197" i="1"/>
  <c r="BD197" i="1" s="1"/>
  <c r="FX38" i="1"/>
  <c r="FY29" i="1"/>
  <c r="FX43" i="1"/>
  <c r="FX46" i="1"/>
  <c r="FX45" i="1"/>
  <c r="FX44" i="1"/>
  <c r="BE797" i="1"/>
  <c r="BE798" i="1" s="1"/>
  <c r="BE170" i="1"/>
  <c r="BE179" i="1"/>
  <c r="BF169" i="1"/>
  <c r="BG164" i="1"/>
  <c r="BS272" i="1"/>
  <c r="BT272" i="1" s="1"/>
  <c r="BT270" i="1"/>
  <c r="BU265" i="1"/>
  <c r="DG277" i="1"/>
  <c r="DG278" i="1" s="1"/>
  <c r="DH265" i="1"/>
  <c r="DG276" i="1"/>
  <c r="DG270" i="1"/>
  <c r="FW57" i="1"/>
  <c r="BC193" i="1"/>
  <c r="BD193" i="1" s="1"/>
  <c r="BD182" i="1"/>
  <c r="GH169" i="1"/>
  <c r="GH175" i="1"/>
  <c r="GI175" i="1" s="1"/>
  <c r="GI164" i="1"/>
  <c r="GH174" i="1"/>
  <c r="GI174" i="1" s="1"/>
  <c r="GH176" i="1"/>
  <c r="GI176" i="1" s="1"/>
  <c r="GE182" i="1"/>
  <c r="GD193" i="1"/>
  <c r="GE193" i="1" s="1"/>
  <c r="BH305" i="1"/>
  <c r="DO293" i="1"/>
  <c r="DP293" i="1" s="1"/>
  <c r="DO287" i="1"/>
  <c r="DP281" i="1"/>
  <c r="DO294" i="1"/>
  <c r="BE796" i="1"/>
  <c r="BE180" i="1"/>
  <c r="BF153" i="1"/>
  <c r="BG149" i="1"/>
  <c r="BE154" i="1"/>
  <c r="BF154" i="1" s="1"/>
  <c r="DN289" i="1"/>
  <c r="DC305" i="1"/>
  <c r="DD298" i="1"/>
  <c r="DC326" i="1"/>
  <c r="DC327" i="1"/>
  <c r="DC321" i="1"/>
  <c r="BE194" i="1" l="1"/>
  <c r="BF194" i="1" s="1"/>
  <c r="BF180" i="1"/>
  <c r="DO289" i="1"/>
  <c r="DP287" i="1"/>
  <c r="DQ281" i="1"/>
  <c r="BE196" i="1"/>
  <c r="BF196" i="1" s="1"/>
  <c r="BE195" i="1"/>
  <c r="BF179" i="1"/>
  <c r="BE181" i="1"/>
  <c r="BF181" i="1" s="1"/>
  <c r="BL289" i="1"/>
  <c r="BK297" i="1"/>
  <c r="BI305" i="1"/>
  <c r="BJ298" i="1"/>
  <c r="DF297" i="1"/>
  <c r="DE298" i="1"/>
  <c r="GG180" i="1"/>
  <c r="GF194" i="1"/>
  <c r="GG194" i="1" s="1"/>
  <c r="FY61" i="1"/>
  <c r="DI265" i="1"/>
  <c r="DG272" i="1"/>
  <c r="DH270" i="1"/>
  <c r="BU277" i="1"/>
  <c r="BU278" i="1" s="1"/>
  <c r="BV265" i="1"/>
  <c r="BU270" i="1"/>
  <c r="BU276" i="1"/>
  <c r="BE182" i="1"/>
  <c r="BF170" i="1"/>
  <c r="GG195" i="1"/>
  <c r="GF197" i="1"/>
  <c r="GG197" i="1" s="1"/>
  <c r="U62" i="1"/>
  <c r="V62" i="1" s="1"/>
  <c r="U61" i="1"/>
  <c r="V61" i="1" s="1"/>
  <c r="U60" i="1"/>
  <c r="V60" i="1" s="1"/>
  <c r="U56" i="1"/>
  <c r="V50" i="1"/>
  <c r="GH153" i="1"/>
  <c r="GI149" i="1"/>
  <c r="GH159" i="1"/>
  <c r="GI159" i="1" s="1"/>
  <c r="GH158" i="1"/>
  <c r="GI158" i="1" s="1"/>
  <c r="GH160" i="1"/>
  <c r="GI160" i="1" s="1"/>
  <c r="FY60" i="1"/>
  <c r="DD305" i="1"/>
  <c r="BG158" i="1"/>
  <c r="BH149" i="1"/>
  <c r="BG160" i="1"/>
  <c r="BG161" i="1" s="1"/>
  <c r="BG159" i="1"/>
  <c r="BG153" i="1"/>
  <c r="DO295" i="1"/>
  <c r="DP295" i="1" s="1"/>
  <c r="DP294" i="1"/>
  <c r="BG174" i="1"/>
  <c r="BG176" i="1"/>
  <c r="BG177" i="1" s="1"/>
  <c r="BG169" i="1"/>
  <c r="BG175" i="1"/>
  <c r="BH164" i="1"/>
  <c r="FY38" i="1"/>
  <c r="FZ29" i="1"/>
  <c r="S75" i="1"/>
  <c r="T57" i="1"/>
  <c r="S76" i="1"/>
  <c r="T76" i="1" s="1"/>
  <c r="BM293" i="1"/>
  <c r="BM294" i="1"/>
  <c r="BM295" i="1" s="1"/>
  <c r="BN281" i="1"/>
  <c r="BM287" i="1"/>
  <c r="GG182" i="1"/>
  <c r="GF193" i="1"/>
  <c r="GG193" i="1" s="1"/>
  <c r="GF219" i="1"/>
  <c r="T39" i="1"/>
  <c r="S74" i="1"/>
  <c r="T74" i="1" s="1"/>
  <c r="FX57" i="1"/>
  <c r="FY56" i="1"/>
  <c r="FZ50" i="1"/>
  <c r="GJ164" i="1"/>
  <c r="GH179" i="1"/>
  <c r="GH170" i="1"/>
  <c r="GI169" i="1"/>
  <c r="U43" i="1"/>
  <c r="U46" i="1"/>
  <c r="U45" i="1"/>
  <c r="U44" i="1"/>
  <c r="U38" i="1"/>
  <c r="V29" i="1"/>
  <c r="FY62" i="1"/>
  <c r="T75" i="1" l="1"/>
  <c r="S77" i="1"/>
  <c r="T77" i="1" s="1"/>
  <c r="FZ38" i="1"/>
  <c r="GA29" i="1"/>
  <c r="FZ44" i="1"/>
  <c r="FZ45" i="1"/>
  <c r="FZ46" i="1"/>
  <c r="FZ43" i="1"/>
  <c r="BG179" i="1"/>
  <c r="BH169" i="1"/>
  <c r="BG170" i="1"/>
  <c r="BI164" i="1"/>
  <c r="GH154" i="1"/>
  <c r="GI154" i="1" s="1"/>
  <c r="GJ149" i="1"/>
  <c r="GH180" i="1"/>
  <c r="GI153" i="1"/>
  <c r="U57" i="1"/>
  <c r="W50" i="1"/>
  <c r="V56" i="1"/>
  <c r="DI277" i="1"/>
  <c r="DI278" i="1" s="1"/>
  <c r="DI276" i="1"/>
  <c r="DJ265" i="1"/>
  <c r="DI270" i="1"/>
  <c r="DE305" i="1"/>
  <c r="DF298" i="1"/>
  <c r="DE327" i="1"/>
  <c r="DE326" i="1"/>
  <c r="DE321" i="1"/>
  <c r="DP289" i="1"/>
  <c r="V38" i="1"/>
  <c r="U39" i="1"/>
  <c r="W29" i="1"/>
  <c r="GH182" i="1"/>
  <c r="GI170" i="1"/>
  <c r="FY57" i="1"/>
  <c r="BN287" i="1"/>
  <c r="BM289" i="1"/>
  <c r="BO281" i="1"/>
  <c r="BG796" i="1"/>
  <c r="BG797" i="1" s="1"/>
  <c r="BG798" i="1" s="1"/>
  <c r="BG180" i="1"/>
  <c r="BH153" i="1"/>
  <c r="BG154" i="1"/>
  <c r="BH154" i="1" s="1"/>
  <c r="BI149" i="1"/>
  <c r="BV270" i="1"/>
  <c r="BW265" i="1"/>
  <c r="BU272" i="1"/>
  <c r="BV272" i="1" s="1"/>
  <c r="GH181" i="1"/>
  <c r="GI181" i="1" s="1"/>
  <c r="GI179" i="1"/>
  <c r="GH196" i="1"/>
  <c r="GI196" i="1" s="1"/>
  <c r="GH195" i="1"/>
  <c r="BK298" i="1"/>
  <c r="BL297" i="1"/>
  <c r="BE197" i="1"/>
  <c r="BF197" i="1" s="1"/>
  <c r="BF195" i="1"/>
  <c r="DQ294" i="1"/>
  <c r="DR281" i="1"/>
  <c r="DQ293" i="1"/>
  <c r="DR293" i="1" s="1"/>
  <c r="DQ287" i="1"/>
  <c r="GK164" i="1"/>
  <c r="GJ174" i="1"/>
  <c r="GK174" i="1" s="1"/>
  <c r="GJ169" i="1"/>
  <c r="GJ176" i="1"/>
  <c r="GK176" i="1" s="1"/>
  <c r="GJ175" i="1"/>
  <c r="GK175" i="1" s="1"/>
  <c r="FZ56" i="1"/>
  <c r="GA50" i="1"/>
  <c r="FZ61" i="1"/>
  <c r="FZ60" i="1"/>
  <c r="FZ62" i="1"/>
  <c r="BE193" i="1"/>
  <c r="BF193" i="1" s="1"/>
  <c r="BF182" i="1"/>
  <c r="DH272" i="1"/>
  <c r="DG297" i="1"/>
  <c r="BJ305" i="1"/>
  <c r="GA61" i="1" l="1"/>
  <c r="BI158" i="1"/>
  <c r="BI153" i="1"/>
  <c r="BJ149" i="1"/>
  <c r="BI160" i="1"/>
  <c r="BI161" i="1" s="1"/>
  <c r="BI159" i="1"/>
  <c r="GI182" i="1"/>
  <c r="GH193" i="1"/>
  <c r="GI193" i="1" s="1"/>
  <c r="GH219" i="1"/>
  <c r="GA62" i="1"/>
  <c r="GB50" i="1"/>
  <c r="FZ57" i="1"/>
  <c r="GA56" i="1"/>
  <c r="W43" i="1"/>
  <c r="W46" i="1"/>
  <c r="W38" i="1"/>
  <c r="X29" i="1"/>
  <c r="W45" i="1"/>
  <c r="W44" i="1"/>
  <c r="GA38" i="1"/>
  <c r="GB29" i="1"/>
  <c r="GA60" i="1"/>
  <c r="DQ295" i="1"/>
  <c r="DR295" i="1" s="1"/>
  <c r="DR294" i="1"/>
  <c r="BK305" i="1"/>
  <c r="BL298" i="1"/>
  <c r="BW276" i="1"/>
  <c r="BW270" i="1"/>
  <c r="BX265" i="1"/>
  <c r="BW277" i="1"/>
  <c r="BW278" i="1" s="1"/>
  <c r="U74" i="1"/>
  <c r="V74" i="1" s="1"/>
  <c r="V39" i="1"/>
  <c r="DJ270" i="1"/>
  <c r="DI272" i="1"/>
  <c r="DK265" i="1"/>
  <c r="GI180" i="1"/>
  <c r="GH194" i="1"/>
  <c r="GI194" i="1" s="1"/>
  <c r="BG181" i="1"/>
  <c r="BH181" i="1" s="1"/>
  <c r="BG196" i="1"/>
  <c r="BH196" i="1" s="1"/>
  <c r="BG195" i="1"/>
  <c r="BH179" i="1"/>
  <c r="DG298" i="1"/>
  <c r="DH297" i="1"/>
  <c r="GI195" i="1"/>
  <c r="GH197" i="1"/>
  <c r="GI197" i="1" s="1"/>
  <c r="BH180" i="1"/>
  <c r="BG194" i="1"/>
  <c r="BH194" i="1" s="1"/>
  <c r="BO294" i="1"/>
  <c r="BO295" i="1" s="1"/>
  <c r="BO293" i="1"/>
  <c r="BO287" i="1"/>
  <c r="BP281" i="1"/>
  <c r="DF305" i="1"/>
  <c r="X50" i="1"/>
  <c r="W62" i="1"/>
  <c r="X62" i="1" s="1"/>
  <c r="W61" i="1"/>
  <c r="X61" i="1" s="1"/>
  <c r="W60" i="1"/>
  <c r="X60" i="1" s="1"/>
  <c r="W56" i="1"/>
  <c r="GJ153" i="1"/>
  <c r="GK149" i="1"/>
  <c r="GJ160" i="1"/>
  <c r="GK160" i="1" s="1"/>
  <c r="GJ158" i="1"/>
  <c r="GK158" i="1" s="1"/>
  <c r="GJ159" i="1"/>
  <c r="GK159" i="1" s="1"/>
  <c r="BI174" i="1"/>
  <c r="BI169" i="1"/>
  <c r="BI176" i="1"/>
  <c r="BI177" i="1" s="1"/>
  <c r="BJ164" i="1"/>
  <c r="BI175" i="1"/>
  <c r="DR287" i="1"/>
  <c r="DQ289" i="1"/>
  <c r="DS281" i="1"/>
  <c r="GJ179" i="1"/>
  <c r="GJ170" i="1"/>
  <c r="GK169" i="1"/>
  <c r="GL164" i="1"/>
  <c r="BM297" i="1"/>
  <c r="BN289" i="1"/>
  <c r="U76" i="1"/>
  <c r="V76" i="1" s="1"/>
  <c r="U75" i="1"/>
  <c r="V57" i="1"/>
  <c r="BH170" i="1"/>
  <c r="BG182" i="1"/>
  <c r="BH195" i="1" l="1"/>
  <c r="BG197" i="1"/>
  <c r="BH197" i="1" s="1"/>
  <c r="U77" i="1"/>
  <c r="V77" i="1" s="1"/>
  <c r="V75" i="1"/>
  <c r="GK170" i="1"/>
  <c r="DK277" i="1"/>
  <c r="DK278" i="1" s="1"/>
  <c r="DL265" i="1"/>
  <c r="DK276" i="1"/>
  <c r="DK270" i="1"/>
  <c r="GB38" i="1"/>
  <c r="GC29" i="1"/>
  <c r="GB45" i="1"/>
  <c r="GB43" i="1"/>
  <c r="GB46" i="1"/>
  <c r="GB44" i="1"/>
  <c r="GC50" i="1"/>
  <c r="GB56" i="1"/>
  <c r="GB60" i="1"/>
  <c r="GB61" i="1"/>
  <c r="GB62" i="1"/>
  <c r="GJ180" i="1"/>
  <c r="GK153" i="1"/>
  <c r="GJ154" i="1"/>
  <c r="GK154" i="1" s="1"/>
  <c r="GL149" i="1"/>
  <c r="DJ272" i="1"/>
  <c r="DI297" i="1"/>
  <c r="X38" i="1"/>
  <c r="W39" i="1"/>
  <c r="Y29" i="1"/>
  <c r="BI796" i="1"/>
  <c r="BI797" i="1" s="1"/>
  <c r="BI798" i="1" s="1"/>
  <c r="BI180" i="1"/>
  <c r="BJ153" i="1"/>
  <c r="BI154" i="1"/>
  <c r="BJ154" i="1" s="1"/>
  <c r="BK149" i="1"/>
  <c r="GL169" i="1"/>
  <c r="GL175" i="1"/>
  <c r="GM175" i="1" s="1"/>
  <c r="GM164" i="1"/>
  <c r="GL174" i="1"/>
  <c r="GM174" i="1" s="1"/>
  <c r="GL176" i="1"/>
  <c r="GM176" i="1" s="1"/>
  <c r="DR289" i="1"/>
  <c r="Y50" i="1"/>
  <c r="X56" i="1"/>
  <c r="W57" i="1"/>
  <c r="BL305" i="1"/>
  <c r="BG193" i="1"/>
  <c r="BH193" i="1" s="1"/>
  <c r="BH182" i="1"/>
  <c r="BN297" i="1"/>
  <c r="BM298" i="1"/>
  <c r="GK179" i="1"/>
  <c r="GJ196" i="1"/>
  <c r="GK196" i="1" s="1"/>
  <c r="GJ181" i="1"/>
  <c r="GK181" i="1" s="1"/>
  <c r="GJ195" i="1"/>
  <c r="DS293" i="1"/>
  <c r="DT293" i="1" s="1"/>
  <c r="DT281" i="1"/>
  <c r="DS294" i="1"/>
  <c r="DS287" i="1"/>
  <c r="BI170" i="1"/>
  <c r="BK164" i="1"/>
  <c r="BI179" i="1"/>
  <c r="BJ169" i="1"/>
  <c r="BO289" i="1"/>
  <c r="BP287" i="1"/>
  <c r="BQ281" i="1"/>
  <c r="DG305" i="1"/>
  <c r="DH298" i="1"/>
  <c r="DG327" i="1"/>
  <c r="DG326" i="1"/>
  <c r="DG321" i="1"/>
  <c r="BW272" i="1"/>
  <c r="BX272" i="1" s="1"/>
  <c r="BX270" i="1"/>
  <c r="BY265" i="1"/>
  <c r="GA57" i="1"/>
  <c r="BP289" i="1" l="1"/>
  <c r="BO297" i="1"/>
  <c r="BI182" i="1"/>
  <c r="BJ170" i="1"/>
  <c r="GN164" i="1"/>
  <c r="GL179" i="1"/>
  <c r="GL170" i="1"/>
  <c r="GM169" i="1"/>
  <c r="GC62" i="1"/>
  <c r="Y62" i="1"/>
  <c r="Z62" i="1" s="1"/>
  <c r="Y61" i="1"/>
  <c r="Z61" i="1" s="1"/>
  <c r="Y60" i="1"/>
  <c r="Z60" i="1" s="1"/>
  <c r="Y56" i="1"/>
  <c r="Z50" i="1"/>
  <c r="BI194" i="1"/>
  <c r="BJ194" i="1" s="1"/>
  <c r="BJ180" i="1"/>
  <c r="GK180" i="1"/>
  <c r="GJ194" i="1"/>
  <c r="GK194" i="1" s="1"/>
  <c r="GC61" i="1"/>
  <c r="DK272" i="1"/>
  <c r="DL270" i="1"/>
  <c r="DM265" i="1"/>
  <c r="GJ182" i="1"/>
  <c r="BQ294" i="1"/>
  <c r="BQ295" i="1" s="1"/>
  <c r="BQ287" i="1"/>
  <c r="BQ293" i="1"/>
  <c r="BR281" i="1"/>
  <c r="BI196" i="1"/>
  <c r="BJ196" i="1" s="1"/>
  <c r="BI195" i="1"/>
  <c r="BJ179" i="1"/>
  <c r="BI181" i="1"/>
  <c r="BJ181" i="1" s="1"/>
  <c r="DS289" i="1"/>
  <c r="DT287" i="1"/>
  <c r="DU281" i="1"/>
  <c r="GK195" i="1"/>
  <c r="GJ197" i="1"/>
  <c r="GK197" i="1" s="1"/>
  <c r="BM305" i="1"/>
  <c r="BN298" i="1"/>
  <c r="BK158" i="1"/>
  <c r="BL149" i="1"/>
  <c r="BK160" i="1"/>
  <c r="BK161" i="1" s="1"/>
  <c r="BK159" i="1"/>
  <c r="BK153" i="1"/>
  <c r="GL153" i="1"/>
  <c r="GM149" i="1"/>
  <c r="GL160" i="1"/>
  <c r="GM160" i="1" s="1"/>
  <c r="GL158" i="1"/>
  <c r="GM158" i="1" s="1"/>
  <c r="GL159" i="1"/>
  <c r="GM159" i="1" s="1"/>
  <c r="GC60" i="1"/>
  <c r="GC38" i="1"/>
  <c r="GD29" i="1"/>
  <c r="GB64" i="1"/>
  <c r="BK174" i="1"/>
  <c r="BL164" i="1"/>
  <c r="BK176" i="1"/>
  <c r="BK177" i="1" s="1"/>
  <c r="BK169" i="1"/>
  <c r="BK175" i="1"/>
  <c r="Y43" i="1"/>
  <c r="Y46" i="1"/>
  <c r="Y45" i="1"/>
  <c r="Y44" i="1"/>
  <c r="Y38" i="1"/>
  <c r="Z29" i="1"/>
  <c r="GB57" i="1"/>
  <c r="GC56" i="1"/>
  <c r="GD50" i="1"/>
  <c r="DH305" i="1"/>
  <c r="DS295" i="1"/>
  <c r="DT295" i="1" s="1"/>
  <c r="DT294" i="1"/>
  <c r="W76" i="1"/>
  <c r="X76" i="1" s="1"/>
  <c r="W75" i="1"/>
  <c r="X57" i="1"/>
  <c r="BY276" i="1"/>
  <c r="BY277" i="1"/>
  <c r="BY278" i="1" s="1"/>
  <c r="BZ265" i="1"/>
  <c r="BY270" i="1"/>
  <c r="X39" i="1"/>
  <c r="W74" i="1"/>
  <c r="X74" i="1" s="1"/>
  <c r="DJ297" i="1"/>
  <c r="DI298" i="1"/>
  <c r="CA265" i="1" l="1"/>
  <c r="BZ270" i="1"/>
  <c r="BY272" i="1"/>
  <c r="BZ272" i="1" s="1"/>
  <c r="GD56" i="1"/>
  <c r="GE50" i="1"/>
  <c r="GD62" i="1"/>
  <c r="GD61" i="1"/>
  <c r="GD60" i="1"/>
  <c r="X75" i="1"/>
  <c r="W77" i="1"/>
  <c r="X77" i="1" s="1"/>
  <c r="BK796" i="1"/>
  <c r="BM149" i="1"/>
  <c r="BK180" i="1"/>
  <c r="BL153" i="1"/>
  <c r="BK154" i="1"/>
  <c r="BL154" i="1" s="1"/>
  <c r="BN305" i="1"/>
  <c r="BI197" i="1"/>
  <c r="BJ197" i="1" s="1"/>
  <c r="BJ195" i="1"/>
  <c r="GK182" i="1"/>
  <c r="GJ193" i="1"/>
  <c r="GJ219" i="1"/>
  <c r="Y57" i="1"/>
  <c r="Z56" i="1"/>
  <c r="AA50" i="1"/>
  <c r="GM179" i="1"/>
  <c r="GL196" i="1"/>
  <c r="GM196" i="1" s="1"/>
  <c r="GL195" i="1"/>
  <c r="GC57" i="1"/>
  <c r="BK797" i="1"/>
  <c r="BK798" i="1" s="1"/>
  <c r="BK179" i="1"/>
  <c r="BM164" i="1"/>
  <c r="BL169" i="1"/>
  <c r="BK170" i="1"/>
  <c r="DT289" i="1"/>
  <c r="DL272" i="1"/>
  <c r="DK297" i="1"/>
  <c r="GO164" i="1"/>
  <c r="GN174" i="1"/>
  <c r="GO174" i="1" s="1"/>
  <c r="GN169" i="1"/>
  <c r="GN175" i="1"/>
  <c r="GO175" i="1" s="1"/>
  <c r="GN176" i="1"/>
  <c r="GO176" i="1" s="1"/>
  <c r="DI305" i="1"/>
  <c r="DJ298" i="1"/>
  <c r="DI326" i="1"/>
  <c r="DI327" i="1"/>
  <c r="DI321" i="1"/>
  <c r="GD38" i="1"/>
  <c r="GE29" i="1"/>
  <c r="GD44" i="1"/>
  <c r="GD45" i="1"/>
  <c r="GD46" i="1"/>
  <c r="GD43" i="1"/>
  <c r="BR287" i="1"/>
  <c r="BQ289" i="1"/>
  <c r="BS281" i="1"/>
  <c r="BO298" i="1"/>
  <c r="BP297" i="1"/>
  <c r="AA29" i="1"/>
  <c r="Z38" i="1"/>
  <c r="Y39" i="1"/>
  <c r="GL154" i="1"/>
  <c r="GM154" i="1" s="1"/>
  <c r="GN149" i="1"/>
  <c r="GL180" i="1"/>
  <c r="GL181" i="1" s="1"/>
  <c r="GM181" i="1" s="1"/>
  <c r="GM153" i="1"/>
  <c r="DU294" i="1"/>
  <c r="DU287" i="1"/>
  <c r="DV281" i="1"/>
  <c r="DU293" i="1"/>
  <c r="DV293" i="1" s="1"/>
  <c r="DM276" i="1"/>
  <c r="DN276" i="1" s="1"/>
  <c r="DM277" i="1"/>
  <c r="DM270" i="1"/>
  <c r="DN265" i="1"/>
  <c r="GL182" i="1"/>
  <c r="GM170" i="1"/>
  <c r="BI193" i="1"/>
  <c r="BJ193" i="1" s="1"/>
  <c r="BJ182" i="1"/>
  <c r="GN153" i="1" l="1"/>
  <c r="GO149" i="1"/>
  <c r="GN160" i="1"/>
  <c r="GO160" i="1" s="1"/>
  <c r="GN158" i="1"/>
  <c r="GO158" i="1" s="1"/>
  <c r="GN159" i="1"/>
  <c r="GO159" i="1" s="1"/>
  <c r="DU295" i="1"/>
  <c r="DV295" i="1" s="1"/>
  <c r="DV294" i="1"/>
  <c r="BS287" i="1"/>
  <c r="BS293" i="1"/>
  <c r="BS294" i="1"/>
  <c r="BS295" i="1" s="1"/>
  <c r="BT281" i="1"/>
  <c r="DK298" i="1"/>
  <c r="DL297" i="1"/>
  <c r="BL170" i="1"/>
  <c r="BK182" i="1"/>
  <c r="Y76" i="1"/>
  <c r="Z76" i="1" s="1"/>
  <c r="Y75" i="1"/>
  <c r="Z57" i="1"/>
  <c r="GK193" i="1"/>
  <c r="BM158" i="1"/>
  <c r="BM153" i="1"/>
  <c r="BM160" i="1"/>
  <c r="BM161" i="1" s="1"/>
  <c r="BN149" i="1"/>
  <c r="BM159" i="1"/>
  <c r="Y74" i="1"/>
  <c r="Z74" i="1" s="1"/>
  <c r="Z39" i="1"/>
  <c r="BO305" i="1"/>
  <c r="BP298" i="1"/>
  <c r="BQ297" i="1"/>
  <c r="BR289" i="1"/>
  <c r="GN179" i="1"/>
  <c r="GN170" i="1"/>
  <c r="GO169" i="1"/>
  <c r="GP164" i="1"/>
  <c r="GE60" i="1"/>
  <c r="GF50" i="1"/>
  <c r="GD57" i="1"/>
  <c r="GE56" i="1"/>
  <c r="GM182" i="1"/>
  <c r="GL193" i="1"/>
  <c r="GM193" i="1" s="1"/>
  <c r="GL219" i="1"/>
  <c r="DO265" i="1"/>
  <c r="DN270" i="1"/>
  <c r="DM272" i="1"/>
  <c r="GM180" i="1"/>
  <c r="GL194" i="1"/>
  <c r="GM194" i="1" s="1"/>
  <c r="GD64" i="1"/>
  <c r="GE38" i="1"/>
  <c r="GF29" i="1"/>
  <c r="DJ305" i="1"/>
  <c r="BM174" i="1"/>
  <c r="BM169" i="1"/>
  <c r="BN164" i="1"/>
  <c r="BM176" i="1"/>
  <c r="BM177" i="1" s="1"/>
  <c r="BM175" i="1"/>
  <c r="GM195" i="1"/>
  <c r="GL197" i="1"/>
  <c r="GM197" i="1" s="1"/>
  <c r="AB50" i="1"/>
  <c r="AA62" i="1"/>
  <c r="AA61" i="1"/>
  <c r="AA60" i="1"/>
  <c r="AA56" i="1"/>
  <c r="GE61" i="1"/>
  <c r="DM278" i="1"/>
  <c r="DN278" i="1" s="1"/>
  <c r="DN277" i="1"/>
  <c r="DV287" i="1"/>
  <c r="DU289" i="1"/>
  <c r="DW281" i="1"/>
  <c r="AA43" i="1"/>
  <c r="AA46" i="1"/>
  <c r="AA38" i="1"/>
  <c r="AB29" i="1"/>
  <c r="AA45" i="1"/>
  <c r="AA44" i="1"/>
  <c r="BK181" i="1"/>
  <c r="BL181" i="1" s="1"/>
  <c r="BK196" i="1"/>
  <c r="BL196" i="1" s="1"/>
  <c r="BK195" i="1"/>
  <c r="BL179" i="1"/>
  <c r="BL180" i="1"/>
  <c r="BK194" i="1"/>
  <c r="BL194" i="1" s="1"/>
  <c r="GE62" i="1"/>
  <c r="CA277" i="1"/>
  <c r="CA278" i="1" s="1"/>
  <c r="CB265" i="1"/>
  <c r="CA270" i="1"/>
  <c r="CA276" i="1"/>
  <c r="DW293" i="1" l="1"/>
  <c r="DX293" i="1" s="1"/>
  <c r="DW287" i="1"/>
  <c r="DX281" i="1"/>
  <c r="DW294" i="1"/>
  <c r="AB62" i="1"/>
  <c r="GF38" i="1"/>
  <c r="GG29" i="1"/>
  <c r="GF44" i="1"/>
  <c r="GF46" i="1"/>
  <c r="GF45" i="1"/>
  <c r="GF43" i="1"/>
  <c r="GE57" i="1"/>
  <c r="BP305" i="1"/>
  <c r="BS289" i="1"/>
  <c r="BT287" i="1"/>
  <c r="BU281" i="1"/>
  <c r="AB38" i="1"/>
  <c r="AC29" i="1"/>
  <c r="AA39" i="1"/>
  <c r="DV289" i="1"/>
  <c r="AB56" i="1"/>
  <c r="AA57" i="1"/>
  <c r="AC50" i="1"/>
  <c r="DN272" i="1"/>
  <c r="DM297" i="1"/>
  <c r="GG50" i="1"/>
  <c r="GF56" i="1"/>
  <c r="GF62" i="1"/>
  <c r="GF61" i="1"/>
  <c r="GF60" i="1"/>
  <c r="GO170" i="1"/>
  <c r="BM796" i="1"/>
  <c r="BM180" i="1"/>
  <c r="BN153" i="1"/>
  <c r="BO149" i="1"/>
  <c r="BM154" i="1"/>
  <c r="BN154" i="1" s="1"/>
  <c r="Y77" i="1"/>
  <c r="Z77" i="1" s="1"/>
  <c r="Z75" i="1"/>
  <c r="CA272" i="1"/>
  <c r="CB272" i="1" s="1"/>
  <c r="CB270" i="1"/>
  <c r="CC265" i="1"/>
  <c r="AB60" i="1"/>
  <c r="GO179" i="1"/>
  <c r="GN196" i="1"/>
  <c r="GO196" i="1" s="1"/>
  <c r="GN195" i="1"/>
  <c r="BR297" i="1"/>
  <c r="BQ298" i="1"/>
  <c r="DK305" i="1"/>
  <c r="DL298" i="1"/>
  <c r="DK321" i="1"/>
  <c r="DK327" i="1"/>
  <c r="DK326" i="1"/>
  <c r="BL195" i="1"/>
  <c r="BK197" i="1"/>
  <c r="BL197" i="1" s="1"/>
  <c r="AB61" i="1"/>
  <c r="BM797" i="1"/>
  <c r="BM798" i="1" s="1"/>
  <c r="BM170" i="1"/>
  <c r="BM179" i="1"/>
  <c r="BN169" i="1"/>
  <c r="BO164" i="1"/>
  <c r="DO277" i="1"/>
  <c r="DP265" i="1"/>
  <c r="DO270" i="1"/>
  <c r="DO276" i="1"/>
  <c r="DP276" i="1" s="1"/>
  <c r="GQ164" i="1"/>
  <c r="BK193" i="1"/>
  <c r="BL193" i="1" s="1"/>
  <c r="BL182" i="1"/>
  <c r="GN180" i="1"/>
  <c r="GN181" i="1" s="1"/>
  <c r="GO153" i="1"/>
  <c r="GN154" i="1"/>
  <c r="GO154" i="1" s="1"/>
  <c r="GP149" i="1"/>
  <c r="GO181" i="1" l="1"/>
  <c r="GQ149" i="1"/>
  <c r="BO174" i="1"/>
  <c r="BO176" i="1"/>
  <c r="BO177" i="1" s="1"/>
  <c r="BO169" i="1"/>
  <c r="BO175" i="1"/>
  <c r="BP164" i="1"/>
  <c r="GO195" i="1"/>
  <c r="GN197" i="1"/>
  <c r="GO197" i="1" s="1"/>
  <c r="CC277" i="1"/>
  <c r="CC278" i="1" s="1"/>
  <c r="CC276" i="1"/>
  <c r="CD265" i="1"/>
  <c r="CC270" i="1"/>
  <c r="BO158" i="1"/>
  <c r="BO160" i="1"/>
  <c r="BO161" i="1" s="1"/>
  <c r="BP149" i="1"/>
  <c r="BO159" i="1"/>
  <c r="BO153" i="1"/>
  <c r="GG62" i="1"/>
  <c r="AC62" i="1"/>
  <c r="AC61" i="1"/>
  <c r="AC60" i="1"/>
  <c r="AC56" i="1"/>
  <c r="AD50" i="1"/>
  <c r="BT289" i="1"/>
  <c r="BS297" i="1"/>
  <c r="GG38" i="1"/>
  <c r="GH29" i="1"/>
  <c r="GF64" i="1"/>
  <c r="DP277" i="1"/>
  <c r="DO278" i="1"/>
  <c r="DP278" i="1" s="1"/>
  <c r="DL305" i="1"/>
  <c r="GF57" i="1"/>
  <c r="GG56" i="1"/>
  <c r="GH50" i="1"/>
  <c r="DN297" i="1"/>
  <c r="DM298" i="1"/>
  <c r="AB57" i="1"/>
  <c r="AA75" i="1"/>
  <c r="AA76" i="1"/>
  <c r="AA74" i="1"/>
  <c r="AB74" i="1" s="1"/>
  <c r="AB39" i="1"/>
  <c r="DW289" i="1"/>
  <c r="DX287" i="1"/>
  <c r="DY281" i="1"/>
  <c r="BM196" i="1"/>
  <c r="BN196" i="1" s="1"/>
  <c r="BM195" i="1"/>
  <c r="BN179" i="1"/>
  <c r="BM181" i="1"/>
  <c r="BN181" i="1" s="1"/>
  <c r="BQ305" i="1"/>
  <c r="BR298" i="1"/>
  <c r="BM194" i="1"/>
  <c r="BN194" i="1" s="1"/>
  <c r="BN180" i="1"/>
  <c r="GN182" i="1"/>
  <c r="GG60" i="1"/>
  <c r="AC43" i="1"/>
  <c r="AC46" i="1"/>
  <c r="AC45" i="1"/>
  <c r="AC44" i="1"/>
  <c r="AC38" i="1"/>
  <c r="AD29" i="1"/>
  <c r="BU293" i="1"/>
  <c r="BU294" i="1"/>
  <c r="BU295" i="1" s="1"/>
  <c r="BV281" i="1"/>
  <c r="BU287" i="1"/>
  <c r="GO180" i="1"/>
  <c r="GN194" i="1"/>
  <c r="GO194" i="1" s="1"/>
  <c r="DQ265" i="1"/>
  <c r="DO272" i="1"/>
  <c r="DP270" i="1"/>
  <c r="BM182" i="1"/>
  <c r="BN170" i="1"/>
  <c r="GG61" i="1"/>
  <c r="DW295" i="1"/>
  <c r="DX295" i="1" s="1"/>
  <c r="DX294" i="1"/>
  <c r="BM193" i="1" l="1"/>
  <c r="BN193" i="1" s="1"/>
  <c r="BN182" i="1"/>
  <c r="DP272" i="1"/>
  <c r="DO297" i="1"/>
  <c r="BV287" i="1"/>
  <c r="BU289" i="1"/>
  <c r="BW281" i="1"/>
  <c r="BM197" i="1"/>
  <c r="BN197" i="1" s="1"/>
  <c r="BN195" i="1"/>
  <c r="DX289" i="1"/>
  <c r="AB76" i="1"/>
  <c r="GI29" i="1"/>
  <c r="GH38" i="1"/>
  <c r="GH44" i="1"/>
  <c r="GI44" i="1" s="1"/>
  <c r="GH43" i="1"/>
  <c r="GI43" i="1" s="1"/>
  <c r="GH46" i="1"/>
  <c r="GI46" i="1" s="1"/>
  <c r="GH45" i="1"/>
  <c r="GI45" i="1" s="1"/>
  <c r="BS298" i="1"/>
  <c r="BT297" i="1"/>
  <c r="AC57" i="1"/>
  <c r="AE50" i="1"/>
  <c r="AD56" i="1"/>
  <c r="CD270" i="1"/>
  <c r="CE265" i="1"/>
  <c r="CC272" i="1"/>
  <c r="CD272" i="1" s="1"/>
  <c r="BO179" i="1"/>
  <c r="BP169" i="1"/>
  <c r="BO170" i="1"/>
  <c r="BQ164" i="1"/>
  <c r="DQ276" i="1"/>
  <c r="DR276" i="1" s="1"/>
  <c r="DQ270" i="1"/>
  <c r="DQ277" i="1"/>
  <c r="DR265" i="1"/>
  <c r="AD38" i="1"/>
  <c r="AC39" i="1"/>
  <c r="AE29" i="1"/>
  <c r="GO182" i="1"/>
  <c r="GN193" i="1"/>
  <c r="GN219" i="1"/>
  <c r="BR305" i="1"/>
  <c r="AB75" i="1"/>
  <c r="AA77" i="1"/>
  <c r="GG57" i="1"/>
  <c r="AD60" i="1"/>
  <c r="DY294" i="1"/>
  <c r="DZ281" i="1"/>
  <c r="DY293" i="1"/>
  <c r="DZ293" i="1" s="1"/>
  <c r="DY287" i="1"/>
  <c r="AD61" i="1"/>
  <c r="DM305" i="1"/>
  <c r="DN298" i="1"/>
  <c r="DM321" i="1"/>
  <c r="DN321" i="1" s="1"/>
  <c r="DM326" i="1"/>
  <c r="DN326" i="1" s="1"/>
  <c r="DM327" i="1"/>
  <c r="DN327" i="1" s="1"/>
  <c r="GH56" i="1"/>
  <c r="GI50" i="1"/>
  <c r="GH60" i="1"/>
  <c r="GH62" i="1"/>
  <c r="GH61" i="1"/>
  <c r="AD62" i="1"/>
  <c r="BO796" i="1"/>
  <c r="BO797" i="1" s="1"/>
  <c r="BO798" i="1" s="1"/>
  <c r="BO180" i="1"/>
  <c r="BP153" i="1"/>
  <c r="BO154" i="1"/>
  <c r="BP154" i="1" s="1"/>
  <c r="BQ149" i="1"/>
  <c r="GI61" i="1" l="1"/>
  <c r="GJ50" i="1"/>
  <c r="GH57" i="1"/>
  <c r="GI56" i="1"/>
  <c r="DZ287" i="1"/>
  <c r="DY289" i="1"/>
  <c r="EA281" i="1"/>
  <c r="AB77" i="1"/>
  <c r="GO193" i="1"/>
  <c r="BO181" i="1"/>
  <c r="BP181" i="1" s="1"/>
  <c r="BO196" i="1"/>
  <c r="BP196" i="1" s="1"/>
  <c r="BO195" i="1"/>
  <c r="BP179" i="1"/>
  <c r="AC75" i="1"/>
  <c r="AC76" i="1"/>
  <c r="AD57" i="1"/>
  <c r="BU297" i="1"/>
  <c r="BV289" i="1"/>
  <c r="DO298" i="1"/>
  <c r="DP297" i="1"/>
  <c r="GI62" i="1"/>
  <c r="DN305" i="1"/>
  <c r="BQ174" i="1"/>
  <c r="BQ169" i="1"/>
  <c r="BQ176" i="1"/>
  <c r="BQ177" i="1" s="1"/>
  <c r="BR164" i="1"/>
  <c r="BQ175" i="1"/>
  <c r="BP180" i="1"/>
  <c r="BO194" i="1"/>
  <c r="BP194" i="1" s="1"/>
  <c r="GI60" i="1"/>
  <c r="AE43" i="1"/>
  <c r="AE46" i="1"/>
  <c r="AE38" i="1"/>
  <c r="AF29" i="1"/>
  <c r="AE45" i="1"/>
  <c r="AE44" i="1"/>
  <c r="DQ278" i="1"/>
  <c r="DR278" i="1" s="1"/>
  <c r="DR277" i="1"/>
  <c r="BP170" i="1"/>
  <c r="BO182" i="1"/>
  <c r="BS305" i="1"/>
  <c r="BT298" i="1"/>
  <c r="BQ158" i="1"/>
  <c r="BQ153" i="1"/>
  <c r="BQ160" i="1"/>
  <c r="BQ161" i="1" s="1"/>
  <c r="BR149" i="1"/>
  <c r="BQ159" i="1"/>
  <c r="DY295" i="1"/>
  <c r="DZ295" i="1" s="1"/>
  <c r="DZ294" i="1"/>
  <c r="AD39" i="1"/>
  <c r="AC74" i="1"/>
  <c r="AD74" i="1" s="1"/>
  <c r="DR270" i="1"/>
  <c r="DQ272" i="1"/>
  <c r="DS265" i="1"/>
  <c r="CE270" i="1"/>
  <c r="CE277" i="1"/>
  <c r="CE278" i="1" s="1"/>
  <c r="CN265" i="1"/>
  <c r="CF265" i="1"/>
  <c r="CE276" i="1"/>
  <c r="AF50" i="1"/>
  <c r="AE62" i="1"/>
  <c r="AE61" i="1"/>
  <c r="AE60" i="1"/>
  <c r="AE56" i="1"/>
  <c r="GH64" i="1"/>
  <c r="GI64" i="1" s="1"/>
  <c r="GI38" i="1"/>
  <c r="GJ29" i="1"/>
  <c r="BW294" i="1"/>
  <c r="BW295" i="1" s="1"/>
  <c r="BW293" i="1"/>
  <c r="BX281" i="1"/>
  <c r="BW287" i="1"/>
  <c r="BW289" i="1" l="1"/>
  <c r="BX287" i="1"/>
  <c r="BY281" i="1"/>
  <c r="GJ38" i="1"/>
  <c r="GK29" i="1"/>
  <c r="GJ43" i="1"/>
  <c r="GK43" i="1" s="1"/>
  <c r="GJ45" i="1"/>
  <c r="GK45" i="1" s="1"/>
  <c r="GJ46" i="1"/>
  <c r="GK46" i="1" s="1"/>
  <c r="GJ44" i="1"/>
  <c r="GK44" i="1" s="1"/>
  <c r="AG50" i="1"/>
  <c r="AF56" i="1"/>
  <c r="AE57" i="1"/>
  <c r="DS277" i="1"/>
  <c r="DS276" i="1"/>
  <c r="DT276" i="1" s="1"/>
  <c r="DT265" i="1"/>
  <c r="DS270" i="1"/>
  <c r="BQ796" i="1"/>
  <c r="BQ180" i="1"/>
  <c r="BR153" i="1"/>
  <c r="BQ154" i="1"/>
  <c r="BR154" i="1" s="1"/>
  <c r="BS149" i="1"/>
  <c r="BO193" i="1"/>
  <c r="BP193" i="1" s="1"/>
  <c r="BP182" i="1"/>
  <c r="BQ797" i="1"/>
  <c r="BQ798" i="1" s="1"/>
  <c r="BQ170" i="1"/>
  <c r="BS164" i="1"/>
  <c r="BQ179" i="1"/>
  <c r="BR169" i="1"/>
  <c r="AD76" i="1"/>
  <c r="GK50" i="1"/>
  <c r="GJ56" i="1"/>
  <c r="GJ61" i="1"/>
  <c r="GJ62" i="1"/>
  <c r="GJ60" i="1"/>
  <c r="AF60" i="1"/>
  <c r="CE272" i="1"/>
  <c r="CF270" i="1"/>
  <c r="CG265" i="1"/>
  <c r="CN270" i="1"/>
  <c r="DR272" i="1"/>
  <c r="DQ297" i="1"/>
  <c r="DO305" i="1"/>
  <c r="DP298" i="1"/>
  <c r="DO326" i="1"/>
  <c r="DP326" i="1" s="1"/>
  <c r="DO327" i="1"/>
  <c r="DO321" i="1"/>
  <c r="DP321" i="1" s="1"/>
  <c r="BV297" i="1"/>
  <c r="BU298" i="1"/>
  <c r="AD75" i="1"/>
  <c r="AC77" i="1"/>
  <c r="EA293" i="1"/>
  <c r="EB293" i="1" s="1"/>
  <c r="EB281" i="1"/>
  <c r="EA287" i="1"/>
  <c r="EA294" i="1"/>
  <c r="AF61" i="1"/>
  <c r="DZ289" i="1"/>
  <c r="AF62" i="1"/>
  <c r="BT305" i="1"/>
  <c r="AF38" i="1"/>
  <c r="AE39" i="1"/>
  <c r="AG29" i="1"/>
  <c r="BP195" i="1"/>
  <c r="BO197" i="1"/>
  <c r="BP197" i="1" s="1"/>
  <c r="GI57" i="1"/>
  <c r="AF39" i="1" l="1"/>
  <c r="AE74" i="1"/>
  <c r="AF74" i="1" s="1"/>
  <c r="BU305" i="1"/>
  <c r="BV298" i="1"/>
  <c r="CG276" i="1"/>
  <c r="CG277" i="1"/>
  <c r="CG278" i="1" s="1"/>
  <c r="CH265" i="1"/>
  <c r="CG270" i="1"/>
  <c r="CP265" i="1"/>
  <c r="GK61" i="1"/>
  <c r="BQ196" i="1"/>
  <c r="BR196" i="1" s="1"/>
  <c r="BQ195" i="1"/>
  <c r="BR179" i="1"/>
  <c r="BQ181" i="1"/>
  <c r="BR181" i="1" s="1"/>
  <c r="DS278" i="1"/>
  <c r="DT278" i="1" s="1"/>
  <c r="DT277" i="1"/>
  <c r="AG62" i="1"/>
  <c r="AG61" i="1"/>
  <c r="AG60" i="1"/>
  <c r="AG56" i="1"/>
  <c r="AH50" i="1"/>
  <c r="EA295" i="1"/>
  <c r="EB295" i="1" s="1"/>
  <c r="EB294" i="1"/>
  <c r="DR297" i="1"/>
  <c r="DQ298" i="1"/>
  <c r="GJ57" i="1"/>
  <c r="GK56" i="1"/>
  <c r="GL50" i="1"/>
  <c r="BS174" i="1"/>
  <c r="BT164" i="1"/>
  <c r="BS176" i="1"/>
  <c r="BS177" i="1" s="1"/>
  <c r="BS169" i="1"/>
  <c r="BS175" i="1"/>
  <c r="BQ194" i="1"/>
  <c r="BR194" i="1" s="1"/>
  <c r="BR180" i="1"/>
  <c r="DS272" i="1"/>
  <c r="DT270" i="1"/>
  <c r="DU265" i="1"/>
  <c r="BY294" i="1"/>
  <c r="BY295" i="1" s="1"/>
  <c r="BY287" i="1"/>
  <c r="BZ281" i="1"/>
  <c r="BY293" i="1"/>
  <c r="EA289" i="1"/>
  <c r="EB287" i="1"/>
  <c r="EC281" i="1"/>
  <c r="AD77" i="1"/>
  <c r="DP305" i="1"/>
  <c r="CF272" i="1"/>
  <c r="CN272" i="1"/>
  <c r="GK60" i="1"/>
  <c r="BQ182" i="1"/>
  <c r="BR170" i="1"/>
  <c r="BS158" i="1"/>
  <c r="BS160" i="1"/>
  <c r="BS161" i="1" s="1"/>
  <c r="BS159" i="1"/>
  <c r="BS153" i="1"/>
  <c r="BT149" i="1"/>
  <c r="AE76" i="1"/>
  <c r="AF57" i="1"/>
  <c r="AE75" i="1"/>
  <c r="GK38" i="1"/>
  <c r="GL29" i="1"/>
  <c r="GJ64" i="1"/>
  <c r="GK64" i="1" s="1"/>
  <c r="AG43" i="1"/>
  <c r="AG46" i="1"/>
  <c r="AG45" i="1"/>
  <c r="AG44" i="1"/>
  <c r="AG38" i="1"/>
  <c r="AH29" i="1"/>
  <c r="DX327" i="1"/>
  <c r="DP327" i="1"/>
  <c r="GK62" i="1"/>
  <c r="BX289" i="1"/>
  <c r="BW297" i="1"/>
  <c r="AF75" i="1" l="1"/>
  <c r="AE77" i="1"/>
  <c r="EB289" i="1"/>
  <c r="AG57" i="1"/>
  <c r="AH56" i="1"/>
  <c r="AI50" i="1"/>
  <c r="BQ197" i="1"/>
  <c r="BR197" i="1" s="1"/>
  <c r="BR195" i="1"/>
  <c r="BW298" i="1"/>
  <c r="BX297" i="1"/>
  <c r="AI29" i="1"/>
  <c r="AH38" i="1"/>
  <c r="AG39" i="1"/>
  <c r="GM29" i="1"/>
  <c r="GL38" i="1"/>
  <c r="GL45" i="1"/>
  <c r="GM45" i="1" s="1"/>
  <c r="GL43" i="1"/>
  <c r="GM43" i="1" s="1"/>
  <c r="GL44" i="1"/>
  <c r="GM44" i="1" s="1"/>
  <c r="GL46" i="1"/>
  <c r="GM46" i="1" s="1"/>
  <c r="DT272" i="1"/>
  <c r="DS297" i="1"/>
  <c r="BS179" i="1"/>
  <c r="BU164" i="1"/>
  <c r="BT169" i="1"/>
  <c r="BS170" i="1"/>
  <c r="GK57" i="1"/>
  <c r="AH60" i="1"/>
  <c r="AF76" i="1"/>
  <c r="BS796" i="1"/>
  <c r="BS797" i="1" s="1"/>
  <c r="BS798" i="1" s="1"/>
  <c r="BU149" i="1"/>
  <c r="BS180" i="1"/>
  <c r="BT153" i="1"/>
  <c r="BS154" i="1"/>
  <c r="BT154" i="1" s="1"/>
  <c r="EC294" i="1"/>
  <c r="EC287" i="1"/>
  <c r="ED281" i="1"/>
  <c r="EC293" i="1"/>
  <c r="ED293" i="1" s="1"/>
  <c r="DQ305" i="1"/>
  <c r="DR298" i="1"/>
  <c r="DQ327" i="1"/>
  <c r="DQ321" i="1"/>
  <c r="DR321" i="1" s="1"/>
  <c r="DQ326" i="1"/>
  <c r="DR326" i="1" s="1"/>
  <c r="AH61" i="1"/>
  <c r="CI265" i="1"/>
  <c r="CH270" i="1"/>
  <c r="CG272" i="1"/>
  <c r="CP270" i="1"/>
  <c r="BQ193" i="1"/>
  <c r="BR193" i="1" s="1"/>
  <c r="BR182" i="1"/>
  <c r="BZ287" i="1"/>
  <c r="BY289" i="1"/>
  <c r="CA281" i="1"/>
  <c r="DU276" i="1"/>
  <c r="DV276" i="1" s="1"/>
  <c r="DU277" i="1"/>
  <c r="DU270" i="1"/>
  <c r="DV265" i="1"/>
  <c r="GL56" i="1"/>
  <c r="GM50" i="1"/>
  <c r="GL62" i="1"/>
  <c r="GL60" i="1"/>
  <c r="GL61" i="1"/>
  <c r="AH62" i="1"/>
  <c r="BV305" i="1"/>
  <c r="GM62" i="1" l="1"/>
  <c r="BY297" i="1"/>
  <c r="BZ289" i="1"/>
  <c r="DR305" i="1"/>
  <c r="GL64" i="1"/>
  <c r="GM64" i="1" s="1"/>
  <c r="GM38" i="1"/>
  <c r="GN29" i="1"/>
  <c r="AI43" i="1"/>
  <c r="AI46" i="1"/>
  <c r="AI38" i="1"/>
  <c r="AJ29" i="1"/>
  <c r="AI45" i="1"/>
  <c r="AI44" i="1"/>
  <c r="BW305" i="1"/>
  <c r="BX298" i="1"/>
  <c r="AG76" i="1"/>
  <c r="AG75" i="1"/>
  <c r="AH57" i="1"/>
  <c r="CI277" i="1"/>
  <c r="CI278" i="1" s="1"/>
  <c r="CJ265" i="1"/>
  <c r="CI276" i="1"/>
  <c r="CI270" i="1"/>
  <c r="CR265" i="1"/>
  <c r="ED287" i="1"/>
  <c r="EC289" i="1"/>
  <c r="EE281" i="1"/>
  <c r="BT180" i="1"/>
  <c r="BS194" i="1"/>
  <c r="BT194" i="1" s="1"/>
  <c r="BU174" i="1"/>
  <c r="BU169" i="1"/>
  <c r="BV164" i="1"/>
  <c r="BU176" i="1"/>
  <c r="BU177" i="1" s="1"/>
  <c r="BU175" i="1"/>
  <c r="GM61" i="1"/>
  <c r="GN50" i="1"/>
  <c r="GL57" i="1"/>
  <c r="GM56" i="1"/>
  <c r="DW265" i="1"/>
  <c r="DV270" i="1"/>
  <c r="DU272" i="1"/>
  <c r="DR327" i="1"/>
  <c r="DZ327" i="1"/>
  <c r="EC295" i="1"/>
  <c r="ED295" i="1" s="1"/>
  <c r="ED294" i="1"/>
  <c r="BU158" i="1"/>
  <c r="BV149" i="1"/>
  <c r="BU153" i="1"/>
  <c r="BU160" i="1"/>
  <c r="BU161" i="1" s="1"/>
  <c r="BU159" i="1"/>
  <c r="BS181" i="1"/>
  <c r="BT181" i="1" s="1"/>
  <c r="BS196" i="1"/>
  <c r="BT196" i="1" s="1"/>
  <c r="BS195" i="1"/>
  <c r="BT179" i="1"/>
  <c r="DS298" i="1"/>
  <c r="DT297" i="1"/>
  <c r="AG74" i="1"/>
  <c r="AH74" i="1" s="1"/>
  <c r="AH39" i="1"/>
  <c r="AJ50" i="1"/>
  <c r="AI62" i="1"/>
  <c r="AI61" i="1"/>
  <c r="AI60" i="1"/>
  <c r="AI56" i="1"/>
  <c r="AF77" i="1"/>
  <c r="GM60" i="1"/>
  <c r="DU278" i="1"/>
  <c r="DV278" i="1" s="1"/>
  <c r="DV277" i="1"/>
  <c r="CA287" i="1"/>
  <c r="CA293" i="1"/>
  <c r="CB281" i="1"/>
  <c r="CA294" i="1"/>
  <c r="CA295" i="1" s="1"/>
  <c r="CH272" i="1"/>
  <c r="CP272" i="1"/>
  <c r="BT170" i="1"/>
  <c r="BS182" i="1"/>
  <c r="AJ60" i="1" l="1"/>
  <c r="BU796" i="1"/>
  <c r="BU180" i="1"/>
  <c r="BV153" i="1"/>
  <c r="BW149" i="1"/>
  <c r="BU154" i="1"/>
  <c r="BV154" i="1" s="1"/>
  <c r="GO50" i="1"/>
  <c r="GN56" i="1"/>
  <c r="GN60" i="1"/>
  <c r="GN62" i="1"/>
  <c r="GN61" i="1"/>
  <c r="ED289" i="1"/>
  <c r="BX305" i="1"/>
  <c r="AJ38" i="1"/>
  <c r="AK29" i="1"/>
  <c r="AI39" i="1"/>
  <c r="BZ297" i="1"/>
  <c r="BY298" i="1"/>
  <c r="BS193" i="1"/>
  <c r="BT193" i="1" s="1"/>
  <c r="BT182" i="1"/>
  <c r="AJ61" i="1"/>
  <c r="BT195" i="1"/>
  <c r="BS197" i="1"/>
  <c r="BT197" i="1" s="1"/>
  <c r="DV272" i="1"/>
  <c r="DU297" i="1"/>
  <c r="AG77" i="1"/>
  <c r="AH75" i="1"/>
  <c r="CA289" i="1"/>
  <c r="CB287" i="1"/>
  <c r="CC281" i="1"/>
  <c r="AJ62" i="1"/>
  <c r="AH76" i="1"/>
  <c r="AJ56" i="1"/>
  <c r="AI57" i="1"/>
  <c r="AK50" i="1"/>
  <c r="DS305" i="1"/>
  <c r="DT298" i="1"/>
  <c r="DS326" i="1"/>
  <c r="DT326" i="1" s="1"/>
  <c r="DS327" i="1"/>
  <c r="DS321" i="1"/>
  <c r="DT321" i="1" s="1"/>
  <c r="DW277" i="1"/>
  <c r="DX265" i="1"/>
  <c r="DW270" i="1"/>
  <c r="DW276" i="1"/>
  <c r="DX276" i="1" s="1"/>
  <c r="GM57" i="1"/>
  <c r="BU797" i="1"/>
  <c r="BU798" i="1" s="1"/>
  <c r="BU170" i="1"/>
  <c r="BU179" i="1"/>
  <c r="BV169" i="1"/>
  <c r="BW164" i="1"/>
  <c r="EE293" i="1"/>
  <c r="EF293" i="1" s="1"/>
  <c r="EE287" i="1"/>
  <c r="EF281" i="1"/>
  <c r="EE294" i="1"/>
  <c r="CI272" i="1"/>
  <c r="CJ270" i="1"/>
  <c r="CK265" i="1"/>
  <c r="CR270" i="1"/>
  <c r="GN38" i="1"/>
  <c r="GO29" i="1"/>
  <c r="GN44" i="1"/>
  <c r="GO44" i="1" s="1"/>
  <c r="GN43" i="1"/>
  <c r="GO43" i="1" s="1"/>
  <c r="GN46" i="1"/>
  <c r="GO46" i="1" s="1"/>
  <c r="GN45" i="1"/>
  <c r="GO45" i="1" s="1"/>
  <c r="GO38" i="1" l="1"/>
  <c r="GP29" i="1"/>
  <c r="GN64" i="1"/>
  <c r="GO64" i="1" s="1"/>
  <c r="CJ272" i="1"/>
  <c r="CR272" i="1"/>
  <c r="BU182" i="1"/>
  <c r="BV170" i="1"/>
  <c r="DY265" i="1"/>
  <c r="DW272" i="1"/>
  <c r="DX270" i="1"/>
  <c r="EB327" i="1"/>
  <c r="DT327" i="1"/>
  <c r="CC293" i="1"/>
  <c r="CC294" i="1"/>
  <c r="CC295" i="1" s="1"/>
  <c r="CD281" i="1"/>
  <c r="CC287" i="1"/>
  <c r="DV297" i="1"/>
  <c r="DU298" i="1"/>
  <c r="BY305" i="1"/>
  <c r="BZ298" i="1"/>
  <c r="AJ39" i="1"/>
  <c r="AI74" i="1"/>
  <c r="AJ74" i="1" s="1"/>
  <c r="GO60" i="1"/>
  <c r="BW158" i="1"/>
  <c r="BW160" i="1"/>
  <c r="BW161" i="1" s="1"/>
  <c r="BW159" i="1"/>
  <c r="BW153" i="1"/>
  <c r="BX149" i="1"/>
  <c r="EE295" i="1"/>
  <c r="EF295" i="1" s="1"/>
  <c r="EF294" i="1"/>
  <c r="BW174" i="1"/>
  <c r="BW176" i="1"/>
  <c r="BW177" i="1" s="1"/>
  <c r="BW169" i="1"/>
  <c r="BW175" i="1"/>
  <c r="BX164" i="1"/>
  <c r="AK62" i="1"/>
  <c r="AK61" i="1"/>
  <c r="AK60" i="1"/>
  <c r="AK56" i="1"/>
  <c r="AL50" i="1"/>
  <c r="AH77" i="1"/>
  <c r="AK43" i="1"/>
  <c r="AK46" i="1"/>
  <c r="AK45" i="1"/>
  <c r="AK44" i="1"/>
  <c r="AK38" i="1"/>
  <c r="AL29" i="1"/>
  <c r="GN57" i="1"/>
  <c r="GO56" i="1"/>
  <c r="GP50" i="1"/>
  <c r="CK276" i="1"/>
  <c r="CL265" i="1"/>
  <c r="CK270" i="1"/>
  <c r="CK277" i="1"/>
  <c r="CK278" i="1" s="1"/>
  <c r="CT265" i="1"/>
  <c r="DX277" i="1"/>
  <c r="DW278" i="1"/>
  <c r="DX278" i="1" s="1"/>
  <c r="AI75" i="1"/>
  <c r="AJ57" i="1"/>
  <c r="AI76" i="1"/>
  <c r="CB289" i="1"/>
  <c r="CA297" i="1"/>
  <c r="GO61" i="1"/>
  <c r="BU194" i="1"/>
  <c r="BV194" i="1" s="1"/>
  <c r="BV180" i="1"/>
  <c r="EE289" i="1"/>
  <c r="EF287" i="1"/>
  <c r="EG281" i="1"/>
  <c r="BU196" i="1"/>
  <c r="BV196" i="1" s="1"/>
  <c r="BU195" i="1"/>
  <c r="BV179" i="1"/>
  <c r="BU181" i="1"/>
  <c r="BV181" i="1" s="1"/>
  <c r="DT305" i="1"/>
  <c r="GO62" i="1"/>
  <c r="AL61" i="1" l="1"/>
  <c r="AJ76" i="1"/>
  <c r="GQ50" i="1"/>
  <c r="AL60" i="1"/>
  <c r="DU305" i="1"/>
  <c r="DV298" i="1"/>
  <c r="DU327" i="1"/>
  <c r="DU326" i="1"/>
  <c r="DV326" i="1" s="1"/>
  <c r="DU321" i="1"/>
  <c r="DV321" i="1" s="1"/>
  <c r="CD287" i="1"/>
  <c r="CC289" i="1"/>
  <c r="CE281" i="1"/>
  <c r="DX272" i="1"/>
  <c r="DW297" i="1"/>
  <c r="AJ75" i="1"/>
  <c r="AI77" i="1"/>
  <c r="GO57" i="1"/>
  <c r="AL38" i="1"/>
  <c r="AK39" i="1"/>
  <c r="AM29" i="1"/>
  <c r="AL62" i="1"/>
  <c r="DY276" i="1"/>
  <c r="DZ276" i="1" s="1"/>
  <c r="DZ265" i="1"/>
  <c r="DY277" i="1"/>
  <c r="DY270" i="1"/>
  <c r="BU193" i="1"/>
  <c r="BV193" i="1" s="1"/>
  <c r="BV182" i="1"/>
  <c r="GQ29" i="1"/>
  <c r="EG294" i="1"/>
  <c r="EH281" i="1"/>
  <c r="EG293" i="1"/>
  <c r="EH293" i="1" s="1"/>
  <c r="EG287" i="1"/>
  <c r="CA298" i="1"/>
  <c r="CB297" i="1"/>
  <c r="BW796" i="1"/>
  <c r="BW180" i="1"/>
  <c r="BX153" i="1"/>
  <c r="BW154" i="1"/>
  <c r="BX154" i="1" s="1"/>
  <c r="BY149" i="1"/>
  <c r="BU197" i="1"/>
  <c r="BV197" i="1" s="1"/>
  <c r="BV195" i="1"/>
  <c r="EF289" i="1"/>
  <c r="CL270" i="1"/>
  <c r="CK272" i="1"/>
  <c r="CT270" i="1"/>
  <c r="AK57" i="1"/>
  <c r="AM50" i="1"/>
  <c r="AL56" i="1"/>
  <c r="BW797" i="1"/>
  <c r="BW798" i="1" s="1"/>
  <c r="BW179" i="1"/>
  <c r="BX169" i="1"/>
  <c r="BW170" i="1"/>
  <c r="BY164" i="1"/>
  <c r="BZ305" i="1"/>
  <c r="EH287" i="1" l="1"/>
  <c r="EG289" i="1"/>
  <c r="EI281" i="1"/>
  <c r="DZ270" i="1"/>
  <c r="DY272" i="1"/>
  <c r="EA265" i="1"/>
  <c r="CC297" i="1"/>
  <c r="CD289" i="1"/>
  <c r="CL272" i="1"/>
  <c r="CT272" i="1"/>
  <c r="BY158" i="1"/>
  <c r="BY153" i="1"/>
  <c r="BY160" i="1"/>
  <c r="BY161" i="1" s="1"/>
  <c r="BY159" i="1"/>
  <c r="BZ149" i="1"/>
  <c r="DY278" i="1"/>
  <c r="DZ278" i="1" s="1"/>
  <c r="DZ277" i="1"/>
  <c r="DW298" i="1"/>
  <c r="DX297" i="1"/>
  <c r="BX180" i="1"/>
  <c r="BW194" i="1"/>
  <c r="BX194" i="1" s="1"/>
  <c r="BW181" i="1"/>
  <c r="BX181" i="1" s="1"/>
  <c r="BW196" i="1"/>
  <c r="BX196" i="1" s="1"/>
  <c r="BW195" i="1"/>
  <c r="BX179" i="1"/>
  <c r="AN50" i="1"/>
  <c r="AM62" i="1"/>
  <c r="AM61" i="1"/>
  <c r="AM60" i="1"/>
  <c r="AM56" i="1"/>
  <c r="AM43" i="1"/>
  <c r="AM46" i="1"/>
  <c r="AM38" i="1"/>
  <c r="AN29" i="1"/>
  <c r="AM45" i="1"/>
  <c r="AM44" i="1"/>
  <c r="DV305" i="1"/>
  <c r="BX170" i="1"/>
  <c r="BW182" i="1"/>
  <c r="ED327" i="1"/>
  <c r="DV327" i="1"/>
  <c r="BY174" i="1"/>
  <c r="BY169" i="1"/>
  <c r="BY176" i="1"/>
  <c r="BY177" i="1" s="1"/>
  <c r="BZ164" i="1"/>
  <c r="BY175" i="1"/>
  <c r="AK76" i="1"/>
  <c r="AK75" i="1"/>
  <c r="AL57" i="1"/>
  <c r="CA305" i="1"/>
  <c r="CB298" i="1"/>
  <c r="EG295" i="1"/>
  <c r="EH295" i="1" s="1"/>
  <c r="EH294" i="1"/>
  <c r="AL39" i="1"/>
  <c r="AK74" i="1"/>
  <c r="AL74" i="1" s="1"/>
  <c r="AJ77" i="1"/>
  <c r="CE294" i="1"/>
  <c r="CE295" i="1" s="1"/>
  <c r="CE293" i="1"/>
  <c r="CN281" i="1"/>
  <c r="CF281" i="1"/>
  <c r="CE287" i="1"/>
  <c r="AN62" i="1" l="1"/>
  <c r="DW305" i="1"/>
  <c r="DX298" i="1"/>
  <c r="DW326" i="1"/>
  <c r="DX326" i="1" s="1"/>
  <c r="DW321" i="1"/>
  <c r="DX321" i="1" s="1"/>
  <c r="BY796" i="1"/>
  <c r="BY180" i="1"/>
  <c r="BZ153" i="1"/>
  <c r="BY154" i="1"/>
  <c r="BZ154" i="1" s="1"/>
  <c r="CA149" i="1"/>
  <c r="BW193" i="1"/>
  <c r="BX193" i="1" s="1"/>
  <c r="BX182" i="1"/>
  <c r="AO50" i="1"/>
  <c r="AN56" i="1"/>
  <c r="AM57" i="1"/>
  <c r="EI293" i="1"/>
  <c r="EJ281" i="1"/>
  <c r="EI294" i="1"/>
  <c r="EI287" i="1"/>
  <c r="CE289" i="1"/>
  <c r="CF287" i="1"/>
  <c r="CG281" i="1"/>
  <c r="CN287" i="1"/>
  <c r="CB305" i="1"/>
  <c r="AL76" i="1"/>
  <c r="BY797" i="1"/>
  <c r="BY798" i="1" s="1"/>
  <c r="BY170" i="1"/>
  <c r="CA164" i="1"/>
  <c r="BY179" i="1"/>
  <c r="BZ169" i="1"/>
  <c r="AN60" i="1"/>
  <c r="EA277" i="1"/>
  <c r="EA270" i="1"/>
  <c r="EA276" i="1"/>
  <c r="EB276" i="1" s="1"/>
  <c r="EB265" i="1"/>
  <c r="EH289" i="1"/>
  <c r="AK77" i="1"/>
  <c r="AL75" i="1"/>
  <c r="AN38" i="1"/>
  <c r="AM39" i="1"/>
  <c r="AO29" i="1"/>
  <c r="AN61" i="1"/>
  <c r="BX195" i="1"/>
  <c r="BW197" i="1"/>
  <c r="BX197" i="1" s="1"/>
  <c r="CD297" i="1"/>
  <c r="CC298" i="1"/>
  <c r="DZ272" i="1"/>
  <c r="DY297" i="1"/>
  <c r="EI289" i="1" l="1"/>
  <c r="EJ287" i="1"/>
  <c r="EK281" i="1"/>
  <c r="CA158" i="1"/>
  <c r="CA160" i="1"/>
  <c r="CA161" i="1" s="1"/>
  <c r="CA159" i="1"/>
  <c r="CA153" i="1"/>
  <c r="CB149" i="1"/>
  <c r="DX305" i="1"/>
  <c r="DZ297" i="1"/>
  <c r="DY298" i="1"/>
  <c r="AO43" i="1"/>
  <c r="AO46" i="1"/>
  <c r="AO45" i="1"/>
  <c r="AO44" i="1"/>
  <c r="AO38" i="1"/>
  <c r="AP29" i="1"/>
  <c r="BY196" i="1"/>
  <c r="BZ196" i="1" s="1"/>
  <c r="BY195" i="1"/>
  <c r="BZ179" i="1"/>
  <c r="BY181" i="1"/>
  <c r="BZ181" i="1" s="1"/>
  <c r="CG294" i="1"/>
  <c r="CG295" i="1" s="1"/>
  <c r="CG287" i="1"/>
  <c r="CH281" i="1"/>
  <c r="CG293" i="1"/>
  <c r="CP281" i="1"/>
  <c r="EI295" i="1"/>
  <c r="EJ294" i="1"/>
  <c r="AM76" i="1"/>
  <c r="AM75" i="1"/>
  <c r="AN57" i="1"/>
  <c r="AN39" i="1"/>
  <c r="AM74" i="1"/>
  <c r="AN74" i="1" s="1"/>
  <c r="EA272" i="1"/>
  <c r="EB270" i="1"/>
  <c r="EC265" i="1"/>
  <c r="CA174" i="1"/>
  <c r="CB164" i="1"/>
  <c r="CA176" i="1"/>
  <c r="CA177" i="1" s="1"/>
  <c r="CA169" i="1"/>
  <c r="CA175" i="1"/>
  <c r="CC305" i="1"/>
  <c r="CD298" i="1"/>
  <c r="AL77" i="1"/>
  <c r="EB277" i="1"/>
  <c r="EA278" i="1"/>
  <c r="EB278" i="1" s="1"/>
  <c r="BY182" i="1"/>
  <c r="BZ170" i="1"/>
  <c r="CF289" i="1"/>
  <c r="CE297" i="1"/>
  <c r="CN289" i="1"/>
  <c r="ER293" i="1"/>
  <c r="EJ293" i="1"/>
  <c r="AO62" i="1"/>
  <c r="AO61" i="1"/>
  <c r="AO60" i="1"/>
  <c r="AO56" i="1"/>
  <c r="AP50" i="1"/>
  <c r="BY194" i="1"/>
  <c r="BZ194" i="1" s="1"/>
  <c r="BZ180" i="1"/>
  <c r="AP60" i="1" l="1"/>
  <c r="CE298" i="1"/>
  <c r="CF297" i="1"/>
  <c r="CN297" i="1"/>
  <c r="AO57" i="1"/>
  <c r="AP56" i="1"/>
  <c r="AQ50" i="1"/>
  <c r="BY193" i="1"/>
  <c r="BZ193" i="1" s="1"/>
  <c r="BZ182" i="1"/>
  <c r="CA797" i="1"/>
  <c r="CA798" i="1" s="1"/>
  <c r="CA179" i="1"/>
  <c r="CC164" i="1"/>
  <c r="CB169" i="1"/>
  <c r="CA170" i="1"/>
  <c r="EB272" i="1"/>
  <c r="EA297" i="1"/>
  <c r="AN75" i="1"/>
  <c r="AM77" i="1"/>
  <c r="AQ29" i="1"/>
  <c r="AP38" i="1"/>
  <c r="AO39" i="1"/>
  <c r="CH287" i="1"/>
  <c r="CG289" i="1"/>
  <c r="CI281" i="1"/>
  <c r="CP287" i="1"/>
  <c r="EJ289" i="1"/>
  <c r="AP61" i="1"/>
  <c r="CD305" i="1"/>
  <c r="EC276" i="1"/>
  <c r="ED276" i="1" s="1"/>
  <c r="EC277" i="1"/>
  <c r="ED265" i="1"/>
  <c r="EC270" i="1"/>
  <c r="AN76" i="1"/>
  <c r="BY197" i="1"/>
  <c r="BZ197" i="1" s="1"/>
  <c r="BZ195" i="1"/>
  <c r="DY305" i="1"/>
  <c r="DZ298" i="1"/>
  <c r="DY326" i="1"/>
  <c r="DZ326" i="1" s="1"/>
  <c r="DY321" i="1"/>
  <c r="DZ321" i="1" s="1"/>
  <c r="AP62" i="1"/>
  <c r="EJ295" i="1"/>
  <c r="ER295" i="1"/>
  <c r="CA796" i="1"/>
  <c r="CC149" i="1"/>
  <c r="CA180" i="1"/>
  <c r="CB153" i="1"/>
  <c r="CA154" i="1"/>
  <c r="CB154" i="1" s="1"/>
  <c r="EK294" i="1"/>
  <c r="EK287" i="1"/>
  <c r="EL281" i="1"/>
  <c r="EK293" i="1"/>
  <c r="EE265" i="1" l="1"/>
  <c r="ED270" i="1"/>
  <c r="EC272" i="1"/>
  <c r="AP39" i="1"/>
  <c r="AO74" i="1"/>
  <c r="AP74" i="1" s="1"/>
  <c r="AO76" i="1"/>
  <c r="AO75" i="1"/>
  <c r="AP57" i="1"/>
  <c r="EL287" i="1"/>
  <c r="EK289" i="1"/>
  <c r="EM281" i="1"/>
  <c r="CB180" i="1"/>
  <c r="CA194" i="1"/>
  <c r="CB194" i="1" s="1"/>
  <c r="DZ305" i="1"/>
  <c r="CA181" i="1"/>
  <c r="CB181" i="1" s="1"/>
  <c r="CA196" i="1"/>
  <c r="CB196" i="1" s="1"/>
  <c r="CA195" i="1"/>
  <c r="CB179" i="1"/>
  <c r="CC158" i="1"/>
  <c r="CC153" i="1"/>
  <c r="CC160" i="1"/>
  <c r="CC161" i="1" s="1"/>
  <c r="CC159" i="1"/>
  <c r="CD149" i="1"/>
  <c r="CB170" i="1"/>
  <c r="CA182" i="1"/>
  <c r="EL293" i="1"/>
  <c r="ES293" i="1"/>
  <c r="CI287" i="1"/>
  <c r="CI293" i="1"/>
  <c r="CJ281" i="1"/>
  <c r="CI294" i="1"/>
  <c r="CI295" i="1" s="1"/>
  <c r="CR281" i="1"/>
  <c r="EK295" i="1"/>
  <c r="EL294" i="1"/>
  <c r="CE305" i="1"/>
  <c r="CF298" i="1"/>
  <c r="EC278" i="1"/>
  <c r="ED278" i="1" s="1"/>
  <c r="ED277" i="1"/>
  <c r="CG297" i="1"/>
  <c r="CH289" i="1"/>
  <c r="CP289" i="1"/>
  <c r="AQ43" i="1"/>
  <c r="AQ46" i="1"/>
  <c r="AQ38" i="1"/>
  <c r="AR29" i="1"/>
  <c r="AQ45" i="1"/>
  <c r="AQ44" i="1"/>
  <c r="AN77" i="1"/>
  <c r="EA298" i="1"/>
  <c r="EB297" i="1"/>
  <c r="CC174" i="1"/>
  <c r="CC169" i="1"/>
  <c r="CD164" i="1"/>
  <c r="CC176" i="1"/>
  <c r="CC177" i="1" s="1"/>
  <c r="CC175" i="1"/>
  <c r="AR50" i="1"/>
  <c r="AQ62" i="1"/>
  <c r="AQ61" i="1"/>
  <c r="AQ60" i="1"/>
  <c r="AQ56" i="1"/>
  <c r="EL295" i="1" l="1"/>
  <c r="ET295" i="1"/>
  <c r="AR60" i="1"/>
  <c r="AR38" i="1"/>
  <c r="AS29" i="1"/>
  <c r="AQ39" i="1"/>
  <c r="CI289" i="1"/>
  <c r="CJ287" i="1"/>
  <c r="CK281" i="1"/>
  <c r="CR287" i="1"/>
  <c r="AP76" i="1"/>
  <c r="AR61" i="1"/>
  <c r="AR62" i="1"/>
  <c r="EA305" i="1"/>
  <c r="EB298" i="1"/>
  <c r="EA321" i="1"/>
  <c r="EB321" i="1" s="1"/>
  <c r="EA326" i="1"/>
  <c r="EB326" i="1" s="1"/>
  <c r="CA193" i="1"/>
  <c r="CB193" i="1" s="1"/>
  <c r="CB182" i="1"/>
  <c r="CB195" i="1"/>
  <c r="CA197" i="1"/>
  <c r="CB197" i="1" s="1"/>
  <c r="EM293" i="1"/>
  <c r="EM287" i="1"/>
  <c r="EN281" i="1"/>
  <c r="EM294" i="1"/>
  <c r="CF305" i="1"/>
  <c r="ED272" i="1"/>
  <c r="EC297" i="1"/>
  <c r="AR56" i="1"/>
  <c r="AQ57" i="1"/>
  <c r="AS50" i="1"/>
  <c r="CC170" i="1"/>
  <c r="CC179" i="1"/>
  <c r="CD169" i="1"/>
  <c r="CE164" i="1"/>
  <c r="CH297" i="1"/>
  <c r="CG298" i="1"/>
  <c r="CP297" i="1"/>
  <c r="ET293" i="1"/>
  <c r="CC796" i="1"/>
  <c r="CC797" i="1" s="1"/>
  <c r="CC798" i="1" s="1"/>
  <c r="CC180" i="1"/>
  <c r="CD153" i="1"/>
  <c r="CE149" i="1"/>
  <c r="CC154" i="1"/>
  <c r="CD154" i="1" s="1"/>
  <c r="EL289" i="1"/>
  <c r="AO77" i="1"/>
  <c r="AP75" i="1"/>
  <c r="EE277" i="1"/>
  <c r="EF265" i="1"/>
  <c r="EE270" i="1"/>
  <c r="EE276" i="1"/>
  <c r="EF276" i="1" s="1"/>
  <c r="EF277" i="1" l="1"/>
  <c r="EE278" i="1"/>
  <c r="EF278" i="1" s="1"/>
  <c r="CJ289" i="1"/>
  <c r="CI297" i="1"/>
  <c r="CR289" i="1"/>
  <c r="AP77" i="1"/>
  <c r="CC194" i="1"/>
  <c r="CD194" i="1" s="1"/>
  <c r="CD180" i="1"/>
  <c r="EM289" i="1"/>
  <c r="EN287" i="1"/>
  <c r="EO281" i="1"/>
  <c r="AR39" i="1"/>
  <c r="AQ74" i="1"/>
  <c r="AR74" i="1" s="1"/>
  <c r="CC196" i="1"/>
  <c r="CD196" i="1" s="1"/>
  <c r="CC195" i="1"/>
  <c r="CD179" i="1"/>
  <c r="CC181" i="1"/>
  <c r="CD181" i="1" s="1"/>
  <c r="AS43" i="1"/>
  <c r="AS46" i="1"/>
  <c r="AS45" i="1"/>
  <c r="AS44" i="1"/>
  <c r="AS38" i="1"/>
  <c r="AT29" i="1"/>
  <c r="CE158" i="1"/>
  <c r="CE160" i="1"/>
  <c r="CE161" i="1" s="1"/>
  <c r="CE159" i="1"/>
  <c r="CE153" i="1"/>
  <c r="CF149" i="1"/>
  <c r="CC182" i="1"/>
  <c r="CD170" i="1"/>
  <c r="AR57" i="1"/>
  <c r="AQ75" i="1"/>
  <c r="AQ76" i="1"/>
  <c r="EM295" i="1"/>
  <c r="EN294" i="1"/>
  <c r="CG305" i="1"/>
  <c r="CH298" i="1"/>
  <c r="CP298" i="1"/>
  <c r="AS62" i="1"/>
  <c r="AS61" i="1"/>
  <c r="AS60" i="1"/>
  <c r="AS56" i="1"/>
  <c r="AT50" i="1"/>
  <c r="EU293" i="1"/>
  <c r="EN293" i="1"/>
  <c r="EB305" i="1"/>
  <c r="EG265" i="1"/>
  <c r="EE272" i="1"/>
  <c r="EF270" i="1"/>
  <c r="CE174" i="1"/>
  <c r="CE176" i="1"/>
  <c r="CE177" i="1" s="1"/>
  <c r="CE169" i="1"/>
  <c r="CE175" i="1"/>
  <c r="CF164" i="1"/>
  <c r="ED297" i="1"/>
  <c r="EC298" i="1"/>
  <c r="CK293" i="1"/>
  <c r="CK294" i="1"/>
  <c r="CK295" i="1" s="1"/>
  <c r="CT281" i="1"/>
  <c r="CL281" i="1"/>
  <c r="CK287" i="1"/>
  <c r="CL287" i="1" l="1"/>
  <c r="CK289" i="1"/>
  <c r="CT287" i="1"/>
  <c r="EC305" i="1"/>
  <c r="ED298" i="1"/>
  <c r="EC321" i="1"/>
  <c r="ED321" i="1" s="1"/>
  <c r="EC326" i="1"/>
  <c r="ED326" i="1" s="1"/>
  <c r="CE179" i="1"/>
  <c r="CF169" i="1"/>
  <c r="CE170" i="1"/>
  <c r="CG164" i="1"/>
  <c r="EV293" i="1"/>
  <c r="AT60" i="1"/>
  <c r="AR75" i="1"/>
  <c r="AQ77" i="1"/>
  <c r="EO294" i="1"/>
  <c r="EP281" i="1"/>
  <c r="EO293" i="1"/>
  <c r="EO287" i="1"/>
  <c r="CI298" i="1"/>
  <c r="CJ297" i="1"/>
  <c r="CR297" i="1"/>
  <c r="AT61" i="1"/>
  <c r="CH305" i="1"/>
  <c r="CP305" i="1"/>
  <c r="CE796" i="1"/>
  <c r="CE797" i="1" s="1"/>
  <c r="CE798" i="1" s="1"/>
  <c r="CE180" i="1"/>
  <c r="CF153" i="1"/>
  <c r="CE154" i="1"/>
  <c r="CF154" i="1" s="1"/>
  <c r="CG149" i="1"/>
  <c r="EF272" i="1"/>
  <c r="EE297" i="1"/>
  <c r="AT62" i="1"/>
  <c r="CC197" i="1"/>
  <c r="CD197" i="1" s="1"/>
  <c r="CD195" i="1"/>
  <c r="EN289" i="1"/>
  <c r="EN295" i="1"/>
  <c r="EV295" i="1"/>
  <c r="EG276" i="1"/>
  <c r="EH276" i="1" s="1"/>
  <c r="EG277" i="1"/>
  <c r="EH265" i="1"/>
  <c r="EG270" i="1"/>
  <c r="AS57" i="1"/>
  <c r="AU50" i="1"/>
  <c r="AT56" i="1"/>
  <c r="AR76" i="1"/>
  <c r="CC193" i="1"/>
  <c r="CD193" i="1" s="1"/>
  <c r="CD182" i="1"/>
  <c r="AT38" i="1"/>
  <c r="AS39" i="1"/>
  <c r="AU29" i="1"/>
  <c r="AS75" i="1" l="1"/>
  <c r="AS76" i="1"/>
  <c r="AT57" i="1"/>
  <c r="EP293" i="1"/>
  <c r="EW293" i="1"/>
  <c r="AT39" i="1"/>
  <c r="AS74" i="1"/>
  <c r="AT74" i="1" s="1"/>
  <c r="AV50" i="1"/>
  <c r="AU62" i="1"/>
  <c r="AU61" i="1"/>
  <c r="AU60" i="1"/>
  <c r="AU56" i="1"/>
  <c r="EH270" i="1"/>
  <c r="EG272" i="1"/>
  <c r="EI265" i="1"/>
  <c r="EQ281" i="1"/>
  <c r="EO289" i="1"/>
  <c r="EP287" i="1"/>
  <c r="CF170" i="1"/>
  <c r="CE182" i="1"/>
  <c r="AR77" i="1"/>
  <c r="EG278" i="1"/>
  <c r="EH278" i="1" s="1"/>
  <c r="EH277" i="1"/>
  <c r="CG158" i="1"/>
  <c r="CG153" i="1"/>
  <c r="CG160" i="1"/>
  <c r="CG161" i="1" s="1"/>
  <c r="CG159" i="1"/>
  <c r="CH149" i="1"/>
  <c r="CE181" i="1"/>
  <c r="CF181" i="1" s="1"/>
  <c r="CE196" i="1"/>
  <c r="CF196" i="1" s="1"/>
  <c r="CE195" i="1"/>
  <c r="CF179" i="1"/>
  <c r="CK297" i="1"/>
  <c r="CL289" i="1"/>
  <c r="CT289" i="1"/>
  <c r="EE298" i="1"/>
  <c r="EF297" i="1"/>
  <c r="CF180" i="1"/>
  <c r="CE194" i="1"/>
  <c r="CF194" i="1" s="1"/>
  <c r="AU43" i="1"/>
  <c r="AU46" i="1"/>
  <c r="AU38" i="1"/>
  <c r="AV29" i="1"/>
  <c r="AU45" i="1"/>
  <c r="AU44" i="1"/>
  <c r="CI305" i="1"/>
  <c r="CJ298" i="1"/>
  <c r="CR298" i="1"/>
  <c r="EO295" i="1"/>
  <c r="EP294" i="1"/>
  <c r="CG174" i="1"/>
  <c r="CG169" i="1"/>
  <c r="CG176" i="1"/>
  <c r="CG177" i="1" s="1"/>
  <c r="CH164" i="1"/>
  <c r="CG175" i="1"/>
  <c r="ED305" i="1"/>
  <c r="CL297" i="1" l="1"/>
  <c r="CK298" i="1"/>
  <c r="CM298" i="1"/>
  <c r="CT297" i="1"/>
  <c r="AV62" i="1"/>
  <c r="EX293" i="1"/>
  <c r="AV38" i="1"/>
  <c r="AU39" i="1"/>
  <c r="AW29" i="1"/>
  <c r="EP289" i="1"/>
  <c r="EI277" i="1"/>
  <c r="EI276" i="1"/>
  <c r="EI270" i="1"/>
  <c r="EJ265" i="1"/>
  <c r="EP295" i="1"/>
  <c r="EX295" i="1"/>
  <c r="CF195" i="1"/>
  <c r="CE197" i="1"/>
  <c r="CF197" i="1" s="1"/>
  <c r="CG796" i="1"/>
  <c r="CG180" i="1"/>
  <c r="CH153" i="1"/>
  <c r="CG154" i="1"/>
  <c r="CH154" i="1" s="1"/>
  <c r="CI149" i="1"/>
  <c r="CE193" i="1"/>
  <c r="CF193" i="1" s="1"/>
  <c r="CF182" i="1"/>
  <c r="EQ283" i="1"/>
  <c r="EQ284" i="1"/>
  <c r="ER281" i="1"/>
  <c r="EH272" i="1"/>
  <c r="EG297" i="1"/>
  <c r="AV60" i="1"/>
  <c r="AT76" i="1"/>
  <c r="CJ305" i="1"/>
  <c r="CR305" i="1"/>
  <c r="AW50" i="1"/>
  <c r="AV56" i="1"/>
  <c r="AU57" i="1"/>
  <c r="CG797" i="1"/>
  <c r="CG798" i="1" s="1"/>
  <c r="CG170" i="1"/>
  <c r="CI164" i="1"/>
  <c r="CG179" i="1"/>
  <c r="CH169" i="1"/>
  <c r="EE305" i="1"/>
  <c r="EF298" i="1"/>
  <c r="EE321" i="1"/>
  <c r="EF321" i="1" s="1"/>
  <c r="EE326" i="1"/>
  <c r="EF326" i="1" s="1"/>
  <c r="AV61" i="1"/>
  <c r="AT75" i="1"/>
  <c r="AS77" i="1"/>
  <c r="EQ287" i="1" l="1"/>
  <c r="ER287" i="1" s="1"/>
  <c r="CT337" i="198"/>
  <c r="DR344" i="2"/>
  <c r="CG196" i="1"/>
  <c r="CH196" i="1" s="1"/>
  <c r="CG195" i="1"/>
  <c r="CH179" i="1"/>
  <c r="CG181" i="1"/>
  <c r="CH181" i="1" s="1"/>
  <c r="CI174" i="1"/>
  <c r="CJ164" i="1"/>
  <c r="CI176" i="1"/>
  <c r="CI177" i="1" s="1"/>
  <c r="CI169" i="1"/>
  <c r="CI175" i="1"/>
  <c r="AU76" i="1"/>
  <c r="AV57" i="1"/>
  <c r="AU75" i="1"/>
  <c r="CG194" i="1"/>
  <c r="CH194" i="1" s="1"/>
  <c r="CH180" i="1"/>
  <c r="EI272" i="1"/>
  <c r="EJ270" i="1"/>
  <c r="EK265" i="1"/>
  <c r="EF305" i="1"/>
  <c r="CG182" i="1"/>
  <c r="CH170" i="1"/>
  <c r="EH297" i="1"/>
  <c r="EG298" i="1"/>
  <c r="CI158" i="1"/>
  <c r="CI160" i="1"/>
  <c r="CI161" i="1" s="1"/>
  <c r="CI159" i="1"/>
  <c r="CI153" i="1"/>
  <c r="CJ149" i="1"/>
  <c r="ER276" i="1"/>
  <c r="EJ276" i="1"/>
  <c r="AW43" i="1"/>
  <c r="AW46" i="1"/>
  <c r="AW45" i="1"/>
  <c r="AW44" i="1"/>
  <c r="AW38" i="1"/>
  <c r="AX29" i="1"/>
  <c r="CM305" i="1"/>
  <c r="CN298" i="1"/>
  <c r="CM327" i="1"/>
  <c r="CV298" i="1"/>
  <c r="ER284" i="1"/>
  <c r="EQ294" i="1"/>
  <c r="ER294" i="1" s="1"/>
  <c r="AT77" i="1"/>
  <c r="AW62" i="1"/>
  <c r="AW61" i="1"/>
  <c r="AW60" i="1"/>
  <c r="AW56" i="1"/>
  <c r="AX50" i="1"/>
  <c r="ER283" i="1"/>
  <c r="EQ291" i="1"/>
  <c r="ER291" i="1" s="1"/>
  <c r="EI278" i="1"/>
  <c r="EJ277" i="1"/>
  <c r="AV39" i="1"/>
  <c r="AU74" i="1"/>
  <c r="AV74" i="1" s="1"/>
  <c r="CK305" i="1"/>
  <c r="CL298" i="1"/>
  <c r="CT298" i="1"/>
  <c r="EQ289" i="1" l="1"/>
  <c r="DR349" i="2" s="1"/>
  <c r="ES281" i="1"/>
  <c r="CU340" i="198"/>
  <c r="DS347" i="2"/>
  <c r="CT342" i="198"/>
  <c r="CV334" i="198"/>
  <c r="DT341" i="2"/>
  <c r="CU337" i="198"/>
  <c r="DS344" i="2"/>
  <c r="CT340" i="198"/>
  <c r="DR347" i="2"/>
  <c r="EK276" i="1"/>
  <c r="EK277" i="1"/>
  <c r="EL265" i="1"/>
  <c r="EK270" i="1"/>
  <c r="AV76" i="1"/>
  <c r="AX62" i="1"/>
  <c r="AY29" i="1"/>
  <c r="AX38" i="1"/>
  <c r="AW39" i="1"/>
  <c r="AX60" i="1"/>
  <c r="CG193" i="1"/>
  <c r="CH193" i="1" s="1"/>
  <c r="CH182" i="1"/>
  <c r="ES284" i="1"/>
  <c r="ET281" i="1"/>
  <c r="ES283" i="1"/>
  <c r="AW57" i="1"/>
  <c r="AX56" i="1"/>
  <c r="AY50" i="1"/>
  <c r="CI796" i="1"/>
  <c r="CI797" i="1" s="1"/>
  <c r="CI798" i="1" s="1"/>
  <c r="CK149" i="1"/>
  <c r="CI180" i="1"/>
  <c r="CJ153" i="1"/>
  <c r="CI154" i="1"/>
  <c r="CJ154" i="1" s="1"/>
  <c r="EG305" i="1"/>
  <c r="EH298" i="1"/>
  <c r="EG321" i="1"/>
  <c r="EH321" i="1" s="1"/>
  <c r="EG326" i="1"/>
  <c r="EH326" i="1" s="1"/>
  <c r="CL305" i="1"/>
  <c r="CT305" i="1"/>
  <c r="ER278" i="1"/>
  <c r="EJ278" i="1"/>
  <c r="AX61" i="1"/>
  <c r="CN305" i="1"/>
  <c r="CV305" i="1"/>
  <c r="EJ272" i="1"/>
  <c r="EI297" i="1"/>
  <c r="AV75" i="1"/>
  <c r="AU77" i="1"/>
  <c r="CI179" i="1"/>
  <c r="CK164" i="1"/>
  <c r="CJ169" i="1"/>
  <c r="CI170" i="1"/>
  <c r="CG197" i="1"/>
  <c r="CH197" i="1" s="1"/>
  <c r="CH195" i="1"/>
  <c r="ER289" i="1" l="1"/>
  <c r="CU342" i="198" s="1"/>
  <c r="CV336" i="198"/>
  <c r="DT343" i="2"/>
  <c r="CW334" i="198"/>
  <c r="DU341" i="2"/>
  <c r="CV337" i="198"/>
  <c r="DT344" i="2"/>
  <c r="AW76" i="1"/>
  <c r="AW75" i="1"/>
  <c r="AX57" i="1"/>
  <c r="ES294" i="1"/>
  <c r="ET294" i="1" s="1"/>
  <c r="ET284" i="1"/>
  <c r="EH305" i="1"/>
  <c r="CK158" i="1"/>
  <c r="CK153" i="1"/>
  <c r="CK160" i="1"/>
  <c r="CK161" i="1" s="1"/>
  <c r="CK159" i="1"/>
  <c r="CL149" i="1"/>
  <c r="AX39" i="1"/>
  <c r="AW74" i="1"/>
  <c r="AX74" i="1" s="1"/>
  <c r="EK278" i="1"/>
  <c r="EL277" i="1"/>
  <c r="CK174" i="1"/>
  <c r="CK169" i="1"/>
  <c r="CL164" i="1"/>
  <c r="CK176" i="1"/>
  <c r="CK177" i="1" s="1"/>
  <c r="CK175" i="1"/>
  <c r="AV77" i="1"/>
  <c r="EI298" i="1"/>
  <c r="EJ297" i="1"/>
  <c r="CI181" i="1"/>
  <c r="CJ181" i="1" s="1"/>
  <c r="CI196" i="1"/>
  <c r="CJ196" i="1" s="1"/>
  <c r="CI195" i="1"/>
  <c r="CJ179" i="1"/>
  <c r="ET283" i="1"/>
  <c r="ES291" i="1"/>
  <c r="AY43" i="1"/>
  <c r="AY46" i="1"/>
  <c r="AY47" i="1" s="1"/>
  <c r="AY38" i="1"/>
  <c r="AZ29" i="1"/>
  <c r="AY45" i="1"/>
  <c r="AY44" i="1"/>
  <c r="EM265" i="1"/>
  <c r="EL270" i="1"/>
  <c r="EK272" i="1"/>
  <c r="ET276" i="1"/>
  <c r="EL276" i="1"/>
  <c r="CJ170" i="1"/>
  <c r="CI182" i="1"/>
  <c r="CJ180" i="1"/>
  <c r="CI194" i="1"/>
  <c r="CJ194" i="1" s="1"/>
  <c r="AZ50" i="1"/>
  <c r="AY62" i="1"/>
  <c r="AY61" i="1"/>
  <c r="AY60" i="1"/>
  <c r="AY56" i="1"/>
  <c r="ES287" i="1"/>
  <c r="DS349" i="2" l="1"/>
  <c r="CV340" i="198"/>
  <c r="DT347" i="2"/>
  <c r="ET291" i="1"/>
  <c r="CW343" i="198" s="1"/>
  <c r="CV343" i="198"/>
  <c r="DT350" i="2"/>
  <c r="CW337" i="198"/>
  <c r="DU344" i="2"/>
  <c r="CW336" i="198"/>
  <c r="DU343" i="2"/>
  <c r="EU281" i="1"/>
  <c r="ET287" i="1"/>
  <c r="ES289" i="1"/>
  <c r="AZ60" i="1"/>
  <c r="EM277" i="1"/>
  <c r="EN265" i="1"/>
  <c r="EM276" i="1"/>
  <c r="EM270" i="1"/>
  <c r="AY792" i="1"/>
  <c r="AY793" i="1" s="1"/>
  <c r="AY794" i="1" s="1"/>
  <c r="AZ38" i="1"/>
  <c r="BA29" i="1"/>
  <c r="AY39" i="1"/>
  <c r="EI305" i="1"/>
  <c r="EJ298" i="1"/>
  <c r="EI321" i="1"/>
  <c r="EJ321" i="1" s="1"/>
  <c r="EI326" i="1"/>
  <c r="EJ326" i="1" s="1"/>
  <c r="AW77" i="1"/>
  <c r="AX75" i="1"/>
  <c r="CJ195" i="1"/>
  <c r="CI197" i="1"/>
  <c r="CJ197" i="1" s="1"/>
  <c r="ET278" i="1"/>
  <c r="EL278" i="1"/>
  <c r="AX76" i="1"/>
  <c r="AZ62" i="1"/>
  <c r="CI193" i="1"/>
  <c r="CJ193" i="1" s="1"/>
  <c r="CJ182" i="1"/>
  <c r="EL272" i="1"/>
  <c r="EK297" i="1"/>
  <c r="CK797" i="1"/>
  <c r="CK798" i="1" s="1"/>
  <c r="CK170" i="1"/>
  <c r="CK179" i="1"/>
  <c r="CL169" i="1"/>
  <c r="CM164" i="1"/>
  <c r="AZ61" i="1"/>
  <c r="AZ56" i="1"/>
  <c r="AY57" i="1"/>
  <c r="BA50" i="1"/>
  <c r="CK796" i="1"/>
  <c r="CK180" i="1"/>
  <c r="CL153" i="1"/>
  <c r="CM149" i="1"/>
  <c r="CK154" i="1"/>
  <c r="CL154" i="1" s="1"/>
  <c r="CX334" i="198" l="1"/>
  <c r="DV341" i="2"/>
  <c r="CV342" i="198"/>
  <c r="DT349" i="2"/>
  <c r="CW340" i="198"/>
  <c r="DU347" i="2"/>
  <c r="CK182" i="1"/>
  <c r="CL170" i="1"/>
  <c r="EL297" i="1"/>
  <c r="EK298" i="1"/>
  <c r="BA46" i="1"/>
  <c r="BA47" i="1" s="1"/>
  <c r="BA45" i="1"/>
  <c r="BA44" i="1"/>
  <c r="BA43" i="1"/>
  <c r="BA38" i="1"/>
  <c r="BB29" i="1"/>
  <c r="CK194" i="1"/>
  <c r="CL194" i="1" s="1"/>
  <c r="CL180" i="1"/>
  <c r="ET289" i="1"/>
  <c r="AY75" i="1"/>
  <c r="AZ57" i="1"/>
  <c r="AY76" i="1"/>
  <c r="AX77" i="1"/>
  <c r="EJ305" i="1"/>
  <c r="ER305" i="1"/>
  <c r="EO265" i="1"/>
  <c r="EM272" i="1"/>
  <c r="EN270" i="1"/>
  <c r="BA62" i="1"/>
  <c r="BA61" i="1"/>
  <c r="BA60" i="1"/>
  <c r="BA56" i="1"/>
  <c r="BB50" i="1"/>
  <c r="CM174" i="1"/>
  <c r="CM176" i="1"/>
  <c r="CM177" i="1" s="1"/>
  <c r="CM169" i="1"/>
  <c r="CM175" i="1"/>
  <c r="CN164" i="1"/>
  <c r="EN277" i="1"/>
  <c r="EM278" i="1"/>
  <c r="CM158" i="1"/>
  <c r="CM160" i="1"/>
  <c r="CM161" i="1" s="1"/>
  <c r="CM159" i="1"/>
  <c r="CM153" i="1"/>
  <c r="CN149" i="1"/>
  <c r="CK196" i="1"/>
  <c r="CL196" i="1" s="1"/>
  <c r="CK195" i="1"/>
  <c r="CL179" i="1"/>
  <c r="CK181" i="1"/>
  <c r="CL181" i="1" s="1"/>
  <c r="AZ39" i="1"/>
  <c r="AY74" i="1"/>
  <c r="AZ74" i="1" s="1"/>
  <c r="EN276" i="1"/>
  <c r="EV276" i="1"/>
  <c r="EV281" i="1"/>
  <c r="EU284" i="1"/>
  <c r="EU283" i="1"/>
  <c r="EU287" i="1" l="1"/>
  <c r="EV287" i="1" s="1"/>
  <c r="CX336" i="198"/>
  <c r="DV343" i="2"/>
  <c r="CX337" i="198"/>
  <c r="DV344" i="2"/>
  <c r="CY334" i="198"/>
  <c r="DW341" i="2"/>
  <c r="CW342" i="198"/>
  <c r="DU349" i="2"/>
  <c r="EW281" i="1"/>
  <c r="CM796" i="1"/>
  <c r="CM180" i="1"/>
  <c r="CN153" i="1"/>
  <c r="CM154" i="1"/>
  <c r="CN154" i="1" s="1"/>
  <c r="CO149" i="1"/>
  <c r="CK197" i="1"/>
  <c r="CL197" i="1" s="1"/>
  <c r="CL195" i="1"/>
  <c r="BB62" i="1"/>
  <c r="EN272" i="1"/>
  <c r="EM297" i="1"/>
  <c r="AZ76" i="1"/>
  <c r="EV278" i="1"/>
  <c r="EN278" i="1"/>
  <c r="BA792" i="1"/>
  <c r="BA793" i="1" s="1"/>
  <c r="BA794" i="1" s="1"/>
  <c r="BB38" i="1"/>
  <c r="BA39" i="1"/>
  <c r="BC29" i="1"/>
  <c r="CK193" i="1"/>
  <c r="CL193" i="1" s="1"/>
  <c r="CL182" i="1"/>
  <c r="EV283" i="1"/>
  <c r="EU291" i="1"/>
  <c r="BB60" i="1"/>
  <c r="AZ75" i="1"/>
  <c r="AY77" i="1"/>
  <c r="EK305" i="1"/>
  <c r="EL298" i="1"/>
  <c r="EK326" i="1"/>
  <c r="EL326" i="1" s="1"/>
  <c r="EK321" i="1"/>
  <c r="EL321" i="1" s="1"/>
  <c r="BA57" i="1"/>
  <c r="BC50" i="1"/>
  <c r="BB56" i="1"/>
  <c r="EO276" i="1"/>
  <c r="EO270" i="1"/>
  <c r="EP265" i="1"/>
  <c r="EO277" i="1"/>
  <c r="EV284" i="1"/>
  <c r="EU294" i="1"/>
  <c r="EV294" i="1" s="1"/>
  <c r="CM797" i="1"/>
  <c r="CM798" i="1" s="1"/>
  <c r="CM179" i="1"/>
  <c r="CN169" i="1"/>
  <c r="CM170" i="1"/>
  <c r="CO164" i="1"/>
  <c r="BB61" i="1"/>
  <c r="DV347" i="2" l="1"/>
  <c r="EU289" i="1"/>
  <c r="CX342" i="198" s="1"/>
  <c r="CX340" i="198"/>
  <c r="EV291" i="1"/>
  <c r="CY343" i="198" s="1"/>
  <c r="CX343" i="198"/>
  <c r="DV350" i="2"/>
  <c r="CY337" i="198"/>
  <c r="DW344" i="2"/>
  <c r="CY336" i="198"/>
  <c r="DW343" i="2"/>
  <c r="CZ334" i="198"/>
  <c r="DX341" i="2"/>
  <c r="CY340" i="198"/>
  <c r="DW347" i="2"/>
  <c r="CM181" i="1"/>
  <c r="CN181" i="1" s="1"/>
  <c r="CM196" i="1"/>
  <c r="CN196" i="1" s="1"/>
  <c r="CM195" i="1"/>
  <c r="CN179" i="1"/>
  <c r="EQ265" i="1"/>
  <c r="EO272" i="1"/>
  <c r="EP270" i="1"/>
  <c r="CO158" i="1"/>
  <c r="CO153" i="1"/>
  <c r="CO160" i="1"/>
  <c r="CO161" i="1" s="1"/>
  <c r="CO159" i="1"/>
  <c r="CP149" i="1"/>
  <c r="BC45" i="1"/>
  <c r="BC44" i="1"/>
  <c r="BC38" i="1"/>
  <c r="BD29" i="1"/>
  <c r="BC43" i="1"/>
  <c r="BC46" i="1"/>
  <c r="BC47" i="1" s="1"/>
  <c r="CO174" i="1"/>
  <c r="CO169" i="1"/>
  <c r="CO176" i="1"/>
  <c r="CO177" i="1" s="1"/>
  <c r="CP164" i="1"/>
  <c r="CO175" i="1"/>
  <c r="EO278" i="1"/>
  <c r="EP277" i="1"/>
  <c r="BA76" i="1"/>
  <c r="BA75" i="1"/>
  <c r="BB57" i="1"/>
  <c r="EL305" i="1"/>
  <c r="ET305" i="1"/>
  <c r="BB39" i="1"/>
  <c r="BA74" i="1"/>
  <c r="BB74" i="1" s="1"/>
  <c r="EW284" i="1"/>
  <c r="EX281" i="1"/>
  <c r="EW283" i="1"/>
  <c r="EP276" i="1"/>
  <c r="EX276" i="1"/>
  <c r="BD50" i="1"/>
  <c r="BC62" i="1"/>
  <c r="BC61" i="1"/>
  <c r="BC60" i="1"/>
  <c r="BC56" i="1"/>
  <c r="AZ77" i="1"/>
  <c r="EM298" i="1"/>
  <c r="EN297" i="1"/>
  <c r="EV289" i="1"/>
  <c r="CN170" i="1"/>
  <c r="CM182" i="1"/>
  <c r="CN180" i="1"/>
  <c r="CM194" i="1"/>
  <c r="CN194" i="1" s="1"/>
  <c r="DV349" i="2" l="1"/>
  <c r="DA334" i="198"/>
  <c r="DY341" i="2"/>
  <c r="CZ337" i="198"/>
  <c r="DX344" i="2"/>
  <c r="CY342" i="198"/>
  <c r="DW349" i="2"/>
  <c r="CZ336" i="198"/>
  <c r="DX343" i="2"/>
  <c r="CO170" i="1"/>
  <c r="CQ164" i="1"/>
  <c r="CO179" i="1"/>
  <c r="CP169" i="1"/>
  <c r="BE50" i="1"/>
  <c r="BD56" i="1"/>
  <c r="BC57" i="1"/>
  <c r="EW294" i="1"/>
  <c r="EX294" i="1" s="1"/>
  <c r="EX284" i="1"/>
  <c r="GP284" i="1"/>
  <c r="BD60" i="1"/>
  <c r="EX278" i="1"/>
  <c r="EP278" i="1"/>
  <c r="CN195" i="1"/>
  <c r="CM197" i="1"/>
  <c r="CN197" i="1" s="1"/>
  <c r="EM305" i="1"/>
  <c r="EN298" i="1"/>
  <c r="EM326" i="1"/>
  <c r="EN326" i="1" s="1"/>
  <c r="EM321" i="1"/>
  <c r="EN321" i="1" s="1"/>
  <c r="BD61" i="1"/>
  <c r="BA77" i="1"/>
  <c r="BB75" i="1"/>
  <c r="EP272" i="1"/>
  <c r="EO297" i="1"/>
  <c r="EX283" i="1"/>
  <c r="EW291" i="1"/>
  <c r="GP283" i="1"/>
  <c r="BC792" i="1"/>
  <c r="BC793" i="1" s="1"/>
  <c r="BC794" i="1" s="1"/>
  <c r="BD38" i="1"/>
  <c r="BC39" i="1"/>
  <c r="BE29" i="1"/>
  <c r="CO796" i="1"/>
  <c r="CO797" i="1" s="1"/>
  <c r="CO798" i="1" s="1"/>
  <c r="CO180" i="1"/>
  <c r="CP153" i="1"/>
  <c r="CO154" i="1"/>
  <c r="CP154" i="1" s="1"/>
  <c r="CQ149" i="1"/>
  <c r="CM193" i="1"/>
  <c r="CN193" i="1" s="1"/>
  <c r="CN182" i="1"/>
  <c r="CM219" i="1"/>
  <c r="BD62" i="1"/>
  <c r="EW287" i="1"/>
  <c r="BB76" i="1"/>
  <c r="ER265" i="1"/>
  <c r="EQ268" i="1"/>
  <c r="EQ267" i="1"/>
  <c r="DA336" i="198" l="1"/>
  <c r="DY343" i="2"/>
  <c r="EX291" i="1"/>
  <c r="DA343" i="198" s="1"/>
  <c r="CZ343" i="198"/>
  <c r="DX350" i="2"/>
  <c r="EC337" i="198"/>
  <c r="FI344" i="2"/>
  <c r="CZ340" i="198"/>
  <c r="DX347" i="2"/>
  <c r="CT326" i="198"/>
  <c r="DR333" i="2"/>
  <c r="DA337" i="198"/>
  <c r="DY344" i="2"/>
  <c r="EC336" i="198"/>
  <c r="FI343" i="2"/>
  <c r="BD39" i="1"/>
  <c r="BC74" i="1"/>
  <c r="BD74" i="1" s="1"/>
  <c r="EX287" i="1"/>
  <c r="EW289" i="1"/>
  <c r="BE44" i="1"/>
  <c r="BE43" i="1"/>
  <c r="BE46" i="1"/>
  <c r="BE47" i="1" s="1"/>
  <c r="BE45" i="1"/>
  <c r="BE38" i="1"/>
  <c r="BF29" i="1"/>
  <c r="EN305" i="1"/>
  <c r="EV305" i="1"/>
  <c r="BC76" i="1"/>
  <c r="BC75" i="1"/>
  <c r="BD57" i="1"/>
  <c r="CO196" i="1"/>
  <c r="CP196" i="1" s="1"/>
  <c r="CO195" i="1"/>
  <c r="CP179" i="1"/>
  <c r="CO181" i="1"/>
  <c r="CP181" i="1" s="1"/>
  <c r="EQ277" i="1"/>
  <c r="ER277" i="1" s="1"/>
  <c r="ER268" i="1"/>
  <c r="CO194" i="1"/>
  <c r="CP194" i="1" s="1"/>
  <c r="CP180" i="1"/>
  <c r="EP297" i="1"/>
  <c r="EO298" i="1"/>
  <c r="BE62" i="1"/>
  <c r="BE61" i="1"/>
  <c r="BE60" i="1"/>
  <c r="BE56" i="1"/>
  <c r="BF50" i="1"/>
  <c r="CO182" i="1"/>
  <c r="CP170" i="1"/>
  <c r="EQ790" i="1"/>
  <c r="ER267" i="1"/>
  <c r="EQ274" i="1"/>
  <c r="GP294" i="1"/>
  <c r="GQ294" i="1" s="1"/>
  <c r="GQ284" i="1"/>
  <c r="CQ174" i="1"/>
  <c r="CR164" i="1"/>
  <c r="CQ176" i="1"/>
  <c r="CQ177" i="1" s="1"/>
  <c r="CQ169" i="1"/>
  <c r="CQ175" i="1"/>
  <c r="EQ270" i="1"/>
  <c r="CQ158" i="1"/>
  <c r="CQ160" i="1"/>
  <c r="CQ161" i="1" s="1"/>
  <c r="CQ159" i="1"/>
  <c r="CQ153" i="1"/>
  <c r="CR149" i="1"/>
  <c r="GQ283" i="1"/>
  <c r="GP293" i="1"/>
  <c r="GP291" i="1"/>
  <c r="GP287" i="1"/>
  <c r="BB77" i="1"/>
  <c r="GQ291" i="1" l="1"/>
  <c r="EC343" i="198"/>
  <c r="FI350" i="2"/>
  <c r="DA340" i="198"/>
  <c r="DY347" i="2"/>
  <c r="CT328" i="198"/>
  <c r="DR335" i="2"/>
  <c r="EC340" i="198"/>
  <c r="FI347" i="2"/>
  <c r="ED336" i="198"/>
  <c r="FJ343" i="2"/>
  <c r="ED337" i="198"/>
  <c r="FJ344" i="2"/>
  <c r="CU326" i="198"/>
  <c r="DS333" i="2"/>
  <c r="CZ342" i="198"/>
  <c r="DX349" i="2"/>
  <c r="CQ796" i="1"/>
  <c r="CS149" i="1"/>
  <c r="CQ180" i="1"/>
  <c r="CR153" i="1"/>
  <c r="CQ154" i="1"/>
  <c r="CR154" i="1" s="1"/>
  <c r="CO193" i="1"/>
  <c r="CP193" i="1" s="1"/>
  <c r="CP182" i="1"/>
  <c r="CO219" i="1"/>
  <c r="BE57" i="1"/>
  <c r="BF56" i="1"/>
  <c r="BG50" i="1"/>
  <c r="GQ287" i="1"/>
  <c r="GR281" i="1"/>
  <c r="GP289" i="1"/>
  <c r="CQ797" i="1"/>
  <c r="CQ798" i="1" s="1"/>
  <c r="CQ179" i="1"/>
  <c r="CS164" i="1"/>
  <c r="CR169" i="1"/>
  <c r="CQ170" i="1"/>
  <c r="EQ788" i="1"/>
  <c r="ER274" i="1"/>
  <c r="BF62" i="1"/>
  <c r="BD76" i="1"/>
  <c r="GS293" i="1"/>
  <c r="GQ293" i="1"/>
  <c r="BF60" i="1"/>
  <c r="CO197" i="1"/>
  <c r="CP197" i="1" s="1"/>
  <c r="CP195" i="1"/>
  <c r="BE793" i="1"/>
  <c r="BE794" i="1" s="1"/>
  <c r="BE792" i="1"/>
  <c r="BG29" i="1"/>
  <c r="BF38" i="1"/>
  <c r="BE39" i="1"/>
  <c r="ER270" i="1"/>
  <c r="ES265" i="1"/>
  <c r="EQ272" i="1"/>
  <c r="EX289" i="1"/>
  <c r="BF61" i="1"/>
  <c r="EO305" i="1"/>
  <c r="EP298" i="1"/>
  <c r="EO321" i="1"/>
  <c r="EP321" i="1" s="1"/>
  <c r="EO326" i="1"/>
  <c r="EP326" i="1" s="1"/>
  <c r="BD75" i="1"/>
  <c r="BC77" i="1"/>
  <c r="DA342" i="198" l="1"/>
  <c r="DY349" i="2"/>
  <c r="EE334" i="198"/>
  <c r="FK341" i="2"/>
  <c r="ED340" i="198"/>
  <c r="FJ347" i="2"/>
  <c r="CT330" i="198"/>
  <c r="DR337" i="2"/>
  <c r="CV323" i="198"/>
  <c r="DT330" i="2"/>
  <c r="CU328" i="198"/>
  <c r="DS335" i="2"/>
  <c r="EC342" i="198"/>
  <c r="FI349" i="2"/>
  <c r="ED343" i="198"/>
  <c r="FJ350" i="2"/>
  <c r="ER272" i="1"/>
  <c r="EQ297" i="1"/>
  <c r="CR170" i="1"/>
  <c r="CQ182" i="1"/>
  <c r="BD77" i="1"/>
  <c r="ES268" i="1"/>
  <c r="ET265" i="1"/>
  <c r="ES267" i="1"/>
  <c r="BG43" i="1"/>
  <c r="BG46" i="1"/>
  <c r="BG47" i="1" s="1"/>
  <c r="BG38" i="1"/>
  <c r="BH29" i="1"/>
  <c r="BG45" i="1"/>
  <c r="BG44" i="1"/>
  <c r="GQ289" i="1"/>
  <c r="BH50" i="1"/>
  <c r="BG62" i="1"/>
  <c r="BG61" i="1"/>
  <c r="BG60" i="1"/>
  <c r="BG56" i="1"/>
  <c r="CR180" i="1"/>
  <c r="CQ194" i="1"/>
  <c r="CR194" i="1" s="1"/>
  <c r="EP305" i="1"/>
  <c r="EX305" i="1"/>
  <c r="CS174" i="1"/>
  <c r="CS169" i="1"/>
  <c r="CT164" i="1"/>
  <c r="CS176" i="1"/>
  <c r="CS177" i="1" s="1"/>
  <c r="CS175" i="1"/>
  <c r="GR284" i="1"/>
  <c r="GS281" i="1"/>
  <c r="GR283" i="1"/>
  <c r="CS158" i="1"/>
  <c r="CS153" i="1"/>
  <c r="CS160" i="1"/>
  <c r="CS161" i="1" s="1"/>
  <c r="CS159" i="1"/>
  <c r="CT149" i="1"/>
  <c r="BF39" i="1"/>
  <c r="BE74" i="1"/>
  <c r="BF74" i="1" s="1"/>
  <c r="CQ181" i="1"/>
  <c r="CR181" i="1" s="1"/>
  <c r="CQ196" i="1"/>
  <c r="CR196" i="1" s="1"/>
  <c r="CQ195" i="1"/>
  <c r="CR179" i="1"/>
  <c r="BE76" i="1"/>
  <c r="BE75" i="1"/>
  <c r="BF57" i="1"/>
  <c r="ES270" i="1" l="1"/>
  <c r="EU265" i="1" s="1"/>
  <c r="CV325" i="198"/>
  <c r="DT332" i="2"/>
  <c r="EE337" i="198"/>
  <c r="FK344" i="2"/>
  <c r="CV326" i="198"/>
  <c r="DT333" i="2"/>
  <c r="CU330" i="198"/>
  <c r="DS337" i="2"/>
  <c r="GR287" i="1"/>
  <c r="GR289" i="1" s="1"/>
  <c r="EE336" i="198"/>
  <c r="FK343" i="2"/>
  <c r="EF334" i="198"/>
  <c r="FL341" i="2"/>
  <c r="ED342" i="198"/>
  <c r="FJ349" i="2"/>
  <c r="CW323" i="198"/>
  <c r="DU330" i="2"/>
  <c r="BH61" i="1"/>
  <c r="BG793" i="1"/>
  <c r="BG794" i="1" s="1"/>
  <c r="BG792" i="1"/>
  <c r="BH38" i="1"/>
  <c r="BI29" i="1"/>
  <c r="BG39" i="1"/>
  <c r="BH62" i="1"/>
  <c r="BE77" i="1"/>
  <c r="BF75" i="1"/>
  <c r="GR294" i="1"/>
  <c r="GS294" i="1" s="1"/>
  <c r="GS284" i="1"/>
  <c r="CS170" i="1"/>
  <c r="CS179" i="1"/>
  <c r="CT169" i="1"/>
  <c r="CU164" i="1"/>
  <c r="BH56" i="1"/>
  <c r="BG57" i="1"/>
  <c r="BI50" i="1"/>
  <c r="CQ193" i="1"/>
  <c r="CR193" i="1" s="1"/>
  <c r="CR182" i="1"/>
  <c r="CQ219" i="1"/>
  <c r="EQ298" i="1"/>
  <c r="ER297" i="1"/>
  <c r="CR195" i="1"/>
  <c r="CQ197" i="1"/>
  <c r="CR197" i="1" s="1"/>
  <c r="ES790" i="1"/>
  <c r="ET267" i="1"/>
  <c r="ES274" i="1"/>
  <c r="DT338" i="2" s="1"/>
  <c r="BF76" i="1"/>
  <c r="CS180" i="1"/>
  <c r="CT153" i="1"/>
  <c r="CU149" i="1"/>
  <c r="CS154" i="1"/>
  <c r="CT154" i="1" s="1"/>
  <c r="GS283" i="1"/>
  <c r="GR291" i="1"/>
  <c r="BH60" i="1"/>
  <c r="ES277" i="1"/>
  <c r="ET277" i="1" s="1"/>
  <c r="ET268" i="1"/>
  <c r="GT281" i="1" l="1"/>
  <c r="EG334" i="198" s="1"/>
  <c r="ES272" i="1"/>
  <c r="ET272" i="1" s="1"/>
  <c r="GS287" i="1"/>
  <c r="EF340" i="198" s="1"/>
  <c r="ET270" i="1"/>
  <c r="DU335" i="2" s="1"/>
  <c r="CW326" i="198"/>
  <c r="DU333" i="2"/>
  <c r="CX323" i="198"/>
  <c r="DV330" i="2"/>
  <c r="EF336" i="198"/>
  <c r="FL343" i="2"/>
  <c r="EE342" i="198"/>
  <c r="FK349" i="2"/>
  <c r="DT337" i="2"/>
  <c r="FM341" i="2"/>
  <c r="EE340" i="198"/>
  <c r="FK347" i="2"/>
  <c r="GS291" i="1"/>
  <c r="EE343" i="198"/>
  <c r="FK350" i="2"/>
  <c r="CW325" i="198"/>
  <c r="DU332" i="2"/>
  <c r="EF337" i="198"/>
  <c r="FL344" i="2"/>
  <c r="CW328" i="198"/>
  <c r="CV328" i="198"/>
  <c r="DT335" i="2"/>
  <c r="BH57" i="1"/>
  <c r="BG75" i="1"/>
  <c r="BG76" i="1"/>
  <c r="BH76" i="1" s="1"/>
  <c r="CU174" i="1"/>
  <c r="CU176" i="1"/>
  <c r="CU177" i="1" s="1"/>
  <c r="CU169" i="1"/>
  <c r="CU175" i="1"/>
  <c r="CV164" i="1"/>
  <c r="ES788" i="1"/>
  <c r="ET274" i="1"/>
  <c r="BI62" i="1"/>
  <c r="BI61" i="1"/>
  <c r="BI60" i="1"/>
  <c r="BI56" i="1"/>
  <c r="BJ50" i="1"/>
  <c r="CS182" i="1"/>
  <c r="CT170" i="1"/>
  <c r="BH39" i="1"/>
  <c r="BG74" i="1"/>
  <c r="BH74" i="1" s="1"/>
  <c r="CU158" i="1"/>
  <c r="CU160" i="1"/>
  <c r="CU161" i="1" s="1"/>
  <c r="CU159" i="1"/>
  <c r="CU153" i="1"/>
  <c r="CV149" i="1"/>
  <c r="BI46" i="1"/>
  <c r="BI47" i="1" s="1"/>
  <c r="BI45" i="1"/>
  <c r="BI44" i="1"/>
  <c r="BI43" i="1"/>
  <c r="BI38" i="1"/>
  <c r="BJ29" i="1"/>
  <c r="EQ302" i="1"/>
  <c r="ER298" i="1"/>
  <c r="BF77" i="1"/>
  <c r="EV265" i="1"/>
  <c r="EU268" i="1"/>
  <c r="EU267" i="1"/>
  <c r="GT283" i="1"/>
  <c r="GT284" i="1"/>
  <c r="GU281" i="1"/>
  <c r="GS289" i="1"/>
  <c r="CS194" i="1"/>
  <c r="CT194" i="1" s="1"/>
  <c r="CT180" i="1"/>
  <c r="CS196" i="1"/>
  <c r="CT196" i="1" s="1"/>
  <c r="CS195" i="1"/>
  <c r="CT179" i="1"/>
  <c r="CS181" i="1"/>
  <c r="CT181" i="1" s="1"/>
  <c r="CV330" i="198" l="1"/>
  <c r="ES297" i="1"/>
  <c r="ES298" i="1" s="1"/>
  <c r="FL347" i="2"/>
  <c r="EF342" i="198"/>
  <c r="FL349" i="2"/>
  <c r="EF343" i="198"/>
  <c r="FL350" i="2"/>
  <c r="EH334" i="198"/>
  <c r="FN341" i="2"/>
  <c r="CX326" i="198"/>
  <c r="DV333" i="2"/>
  <c r="CT287" i="198"/>
  <c r="DR294" i="2"/>
  <c r="GT287" i="1"/>
  <c r="GU287" i="1" s="1"/>
  <c r="EG336" i="198"/>
  <c r="FM343" i="2"/>
  <c r="CX325" i="198"/>
  <c r="DV332" i="2"/>
  <c r="EG337" i="198"/>
  <c r="FM344" i="2"/>
  <c r="CY323" i="198"/>
  <c r="DW330" i="2"/>
  <c r="CW330" i="198"/>
  <c r="DU337" i="2"/>
  <c r="CS197" i="1"/>
  <c r="CT197" i="1" s="1"/>
  <c r="CT195" i="1"/>
  <c r="EU790" i="1"/>
  <c r="EV267" i="1"/>
  <c r="EU274" i="1"/>
  <c r="DV338" i="2" s="1"/>
  <c r="BJ61" i="1"/>
  <c r="GU284" i="1"/>
  <c r="GT294" i="1"/>
  <c r="GU294" i="1" s="1"/>
  <c r="EU270" i="1"/>
  <c r="CU180" i="1"/>
  <c r="CV153" i="1"/>
  <c r="CU154" i="1"/>
  <c r="CV154" i="1" s="1"/>
  <c r="CW149" i="1"/>
  <c r="BJ60" i="1"/>
  <c r="CU179" i="1"/>
  <c r="CV169" i="1"/>
  <c r="CU170" i="1"/>
  <c r="CW164" i="1"/>
  <c r="EU277" i="1"/>
  <c r="EV277" i="1" s="1"/>
  <c r="EV268" i="1"/>
  <c r="BI792" i="1"/>
  <c r="BI793" i="1"/>
  <c r="BI794" i="1" s="1"/>
  <c r="BJ38" i="1"/>
  <c r="BI39" i="1"/>
  <c r="BK29" i="1"/>
  <c r="BJ62" i="1"/>
  <c r="BH75" i="1"/>
  <c r="BG77" i="1"/>
  <c r="BH77" i="1" s="1"/>
  <c r="GU283" i="1"/>
  <c r="GT291" i="1"/>
  <c r="ER302" i="1"/>
  <c r="EQ303" i="1"/>
  <c r="CS193" i="1"/>
  <c r="CT193" i="1" s="1"/>
  <c r="CT182" i="1"/>
  <c r="CS219" i="1"/>
  <c r="BI57" i="1"/>
  <c r="BK50" i="1"/>
  <c r="BJ56" i="1"/>
  <c r="ET297" i="1" l="1"/>
  <c r="GT289" i="1"/>
  <c r="GU289" i="1" s="1"/>
  <c r="EH340" i="198"/>
  <c r="FN347" i="2"/>
  <c r="EH336" i="198"/>
  <c r="FN343" i="2"/>
  <c r="CT288" i="198"/>
  <c r="DR295" i="2"/>
  <c r="GU291" i="1"/>
  <c r="EG343" i="198"/>
  <c r="FM350" i="2"/>
  <c r="CY325" i="198"/>
  <c r="DW332" i="2"/>
  <c r="EG342" i="198"/>
  <c r="CU287" i="198"/>
  <c r="DS294" i="2"/>
  <c r="CX328" i="198"/>
  <c r="DV335" i="2"/>
  <c r="EG340" i="198"/>
  <c r="FM347" i="2"/>
  <c r="CY326" i="198"/>
  <c r="DW333" i="2"/>
  <c r="EH337" i="198"/>
  <c r="FN344" i="2"/>
  <c r="GV281" i="1"/>
  <c r="GV283" i="1" s="1"/>
  <c r="EQ309" i="1"/>
  <c r="ER303" i="1"/>
  <c r="ET298" i="1"/>
  <c r="ES302" i="1"/>
  <c r="CU181" i="1"/>
  <c r="CV181" i="1" s="1"/>
  <c r="CU196" i="1"/>
  <c r="CV196" i="1" s="1"/>
  <c r="CU195" i="1"/>
  <c r="CV179" i="1"/>
  <c r="CW158" i="1"/>
  <c r="CW153" i="1"/>
  <c r="CW160" i="1"/>
  <c r="CW161" i="1" s="1"/>
  <c r="CW159" i="1"/>
  <c r="CX149" i="1"/>
  <c r="EV270" i="1"/>
  <c r="EW265" i="1"/>
  <c r="EU272" i="1"/>
  <c r="BL50" i="1"/>
  <c r="BK62" i="1"/>
  <c r="BK61" i="1"/>
  <c r="BK60" i="1"/>
  <c r="BK56" i="1"/>
  <c r="BK45" i="1"/>
  <c r="BK44" i="1"/>
  <c r="BK38" i="1"/>
  <c r="BL29" i="1"/>
  <c r="BK43" i="1"/>
  <c r="BK46" i="1"/>
  <c r="BK47" i="1" s="1"/>
  <c r="CV170" i="1"/>
  <c r="CU182" i="1"/>
  <c r="EU788" i="1"/>
  <c r="EV274" i="1"/>
  <c r="CW174" i="1"/>
  <c r="CW169" i="1"/>
  <c r="CW176" i="1"/>
  <c r="CW177" i="1" s="1"/>
  <c r="CX164" i="1"/>
  <c r="CW175" i="1"/>
  <c r="BI75" i="1"/>
  <c r="BI76" i="1"/>
  <c r="BJ57" i="1"/>
  <c r="BJ39" i="1"/>
  <c r="BI74" i="1"/>
  <c r="BJ74" i="1" s="1"/>
  <c r="CV180" i="1"/>
  <c r="CU194" i="1"/>
  <c r="CV194" i="1" s="1"/>
  <c r="GW281" i="1" l="1"/>
  <c r="EJ334" i="198" s="1"/>
  <c r="FM349" i="2"/>
  <c r="GV284" i="1"/>
  <c r="GV287" i="1" s="1"/>
  <c r="EI336" i="198"/>
  <c r="FO343" i="2"/>
  <c r="CZ323" i="198"/>
  <c r="DX330" i="2"/>
  <c r="CY328" i="198"/>
  <c r="DW335" i="2"/>
  <c r="CU288" i="198"/>
  <c r="DS295" i="2"/>
  <c r="EH343" i="198"/>
  <c r="FN350" i="2"/>
  <c r="CT292" i="198"/>
  <c r="DR299" i="2"/>
  <c r="CX330" i="198"/>
  <c r="DV337" i="2"/>
  <c r="CV287" i="198"/>
  <c r="DT294" i="2"/>
  <c r="EH342" i="198"/>
  <c r="FN349" i="2"/>
  <c r="EI334" i="198"/>
  <c r="FO341" i="2"/>
  <c r="CU193" i="1"/>
  <c r="CV193" i="1" s="1"/>
  <c r="CV182" i="1"/>
  <c r="CU219" i="1"/>
  <c r="BL61" i="1"/>
  <c r="EX265" i="1"/>
  <c r="EW268" i="1"/>
  <c r="EW267" i="1"/>
  <c r="CV195" i="1"/>
  <c r="CU197" i="1"/>
  <c r="CV197" i="1" s="1"/>
  <c r="BL62" i="1"/>
  <c r="CW180" i="1"/>
  <c r="CX153" i="1"/>
  <c r="CW154" i="1"/>
  <c r="CX154" i="1" s="1"/>
  <c r="CY149" i="1"/>
  <c r="BJ76" i="1"/>
  <c r="GW284" i="1"/>
  <c r="BM50" i="1"/>
  <c r="BL56" i="1"/>
  <c r="BK57" i="1"/>
  <c r="CW170" i="1"/>
  <c r="CY164" i="1"/>
  <c r="CW179" i="1"/>
  <c r="CX169" i="1"/>
  <c r="ER309" i="1"/>
  <c r="EQ310" i="1"/>
  <c r="EQ311" i="1" s="1"/>
  <c r="BJ75" i="1"/>
  <c r="BI77" i="1"/>
  <c r="BJ77" i="1" s="1"/>
  <c r="GW283" i="1"/>
  <c r="GV291" i="1"/>
  <c r="BK793" i="1"/>
  <c r="BK794" i="1" s="1"/>
  <c r="BK792" i="1"/>
  <c r="BL38" i="1"/>
  <c r="BK39" i="1"/>
  <c r="BM29" i="1"/>
  <c r="BL60" i="1"/>
  <c r="EV272" i="1"/>
  <c r="EU297" i="1"/>
  <c r="ET302" i="1"/>
  <c r="ES303" i="1"/>
  <c r="GV294" i="1" l="1"/>
  <c r="GW294" i="1" s="1"/>
  <c r="FP341" i="2"/>
  <c r="EI337" i="198"/>
  <c r="GW287" i="1"/>
  <c r="FP347" i="2" s="1"/>
  <c r="FO347" i="2"/>
  <c r="GX281" i="1"/>
  <c r="GY281" i="1" s="1"/>
  <c r="GV289" i="1"/>
  <c r="EI340" i="198"/>
  <c r="FO344" i="2"/>
  <c r="CU292" i="198"/>
  <c r="DS299" i="2"/>
  <c r="EI342" i="198"/>
  <c r="FO349" i="2"/>
  <c r="DA323" i="198"/>
  <c r="DY330" i="2"/>
  <c r="CW287" i="198"/>
  <c r="DU294" i="2"/>
  <c r="GW291" i="1"/>
  <c r="EI343" i="198"/>
  <c r="FO350" i="2"/>
  <c r="CT293" i="198"/>
  <c r="DR300" i="2"/>
  <c r="EW270" i="1"/>
  <c r="CZ325" i="198"/>
  <c r="DX332" i="2"/>
  <c r="EK334" i="198"/>
  <c r="CV288" i="198"/>
  <c r="DT295" i="2"/>
  <c r="EJ337" i="198"/>
  <c r="FP344" i="2"/>
  <c r="CY330" i="198"/>
  <c r="DW337" i="2"/>
  <c r="EJ336" i="198"/>
  <c r="FP343" i="2"/>
  <c r="CT294" i="198"/>
  <c r="DR301" i="2"/>
  <c r="CZ326" i="198"/>
  <c r="DX333" i="2"/>
  <c r="EX270" i="1"/>
  <c r="EW272" i="1"/>
  <c r="BL39" i="1"/>
  <c r="BK74" i="1"/>
  <c r="BL74" i="1" s="1"/>
  <c r="BM44" i="1"/>
  <c r="BM43" i="1"/>
  <c r="BM46" i="1"/>
  <c r="BM47" i="1" s="1"/>
  <c r="BM45" i="1"/>
  <c r="BM38" i="1"/>
  <c r="BN29" i="1"/>
  <c r="ER310" i="1"/>
  <c r="BM62" i="1"/>
  <c r="BM61" i="1"/>
  <c r="BM60" i="1"/>
  <c r="BM56" i="1"/>
  <c r="BN50" i="1"/>
  <c r="CW196" i="1"/>
  <c r="CX196" i="1" s="1"/>
  <c r="CW195" i="1"/>
  <c r="CX179" i="1"/>
  <c r="CW181" i="1"/>
  <c r="CX181" i="1" s="1"/>
  <c r="CW194" i="1"/>
  <c r="CX194" i="1" s="1"/>
  <c r="CX180" i="1"/>
  <c r="EW790" i="1"/>
  <c r="EX267" i="1"/>
  <c r="EW274" i="1"/>
  <c r="DX338" i="2" s="1"/>
  <c r="GP267" i="1"/>
  <c r="ES309" i="1"/>
  <c r="ET303" i="1"/>
  <c r="CY174" i="1"/>
  <c r="CZ164" i="1"/>
  <c r="CY176" i="1"/>
  <c r="CY177" i="1" s="1"/>
  <c r="CY169" i="1"/>
  <c r="CY175" i="1"/>
  <c r="BK76" i="1"/>
  <c r="BL57" i="1"/>
  <c r="BK75" i="1"/>
  <c r="CY158" i="1"/>
  <c r="CY160" i="1"/>
  <c r="CY161" i="1" s="1"/>
  <c r="CY159" i="1"/>
  <c r="CY153" i="1"/>
  <c r="CZ149" i="1"/>
  <c r="EW277" i="1"/>
  <c r="EX277" i="1" s="1"/>
  <c r="EX268" i="1"/>
  <c r="GP268" i="1"/>
  <c r="ER311" i="1"/>
  <c r="EQ316" i="1"/>
  <c r="EU298" i="1"/>
  <c r="EV297" i="1"/>
  <c r="CW182" i="1"/>
  <c r="CX170" i="1"/>
  <c r="GW289" i="1"/>
  <c r="GX284" i="1" l="1"/>
  <c r="EK337" i="198" s="1"/>
  <c r="EJ340" i="198"/>
  <c r="GZ281" i="1"/>
  <c r="EM334" i="198" s="1"/>
  <c r="GX283" i="1"/>
  <c r="EK336" i="198" s="1"/>
  <c r="FQ341" i="2"/>
  <c r="EJ342" i="198"/>
  <c r="FP349" i="2"/>
  <c r="CT296" i="198"/>
  <c r="CT297" i="198" s="1"/>
  <c r="CT15" i="198"/>
  <c r="DR303" i="2"/>
  <c r="DR304" i="2" s="1"/>
  <c r="EC325" i="198"/>
  <c r="FI332" i="2"/>
  <c r="EL334" i="198"/>
  <c r="FR341" i="2"/>
  <c r="CZ330" i="198"/>
  <c r="DX337" i="2"/>
  <c r="CZ328" i="198"/>
  <c r="DX335" i="2"/>
  <c r="DA326" i="198"/>
  <c r="DY333" i="2"/>
  <c r="DA328" i="198"/>
  <c r="DY335" i="2"/>
  <c r="EJ343" i="198"/>
  <c r="FP350" i="2"/>
  <c r="CU294" i="198"/>
  <c r="DS301" i="2"/>
  <c r="EC326" i="198"/>
  <c r="FI333" i="2"/>
  <c r="CW288" i="198"/>
  <c r="DU295" i="2"/>
  <c r="DA325" i="198"/>
  <c r="DY332" i="2"/>
  <c r="CV292" i="198"/>
  <c r="DT299" i="2"/>
  <c r="CU293" i="198"/>
  <c r="DS300" i="2"/>
  <c r="CY179" i="1"/>
  <c r="DA164" i="1"/>
  <c r="CZ169" i="1"/>
  <c r="CY170" i="1"/>
  <c r="EW788" i="1"/>
  <c r="EX274" i="1"/>
  <c r="CW193" i="1"/>
  <c r="CX193" i="1" s="1"/>
  <c r="CX182" i="1"/>
  <c r="CW219" i="1"/>
  <c r="EV298" i="1"/>
  <c r="EU302" i="1"/>
  <c r="GP790" i="1"/>
  <c r="GP276" i="1"/>
  <c r="GQ267" i="1"/>
  <c r="GP274" i="1"/>
  <c r="FI338" i="2" s="1"/>
  <c r="GP270" i="1"/>
  <c r="CW197" i="1"/>
  <c r="CX197" i="1" s="1"/>
  <c r="CX195" i="1"/>
  <c r="BN61" i="1"/>
  <c r="GP277" i="1"/>
  <c r="GQ277" i="1" s="1"/>
  <c r="GQ268" i="1"/>
  <c r="BL75" i="1"/>
  <c r="BK77" i="1"/>
  <c r="BL77" i="1" s="1"/>
  <c r="BN62" i="1"/>
  <c r="ET309" i="1"/>
  <c r="ES310" i="1"/>
  <c r="GY283" i="1"/>
  <c r="BM57" i="1"/>
  <c r="BN56" i="1"/>
  <c r="BO50" i="1"/>
  <c r="EX272" i="1"/>
  <c r="EW297" i="1"/>
  <c r="EQ832" i="1"/>
  <c r="EQ320" i="1"/>
  <c r="ER316" i="1"/>
  <c r="EQ324" i="1"/>
  <c r="EQ317" i="1"/>
  <c r="EQ9" i="1"/>
  <c r="ER9" i="1" s="1"/>
  <c r="DA149" i="1"/>
  <c r="CY180" i="1"/>
  <c r="CZ153" i="1"/>
  <c r="CY154" i="1"/>
  <c r="CZ154" i="1" s="1"/>
  <c r="BL76" i="1"/>
  <c r="GX294" i="1"/>
  <c r="GY294" i="1" s="1"/>
  <c r="GZ284" i="1"/>
  <c r="GY284" i="1"/>
  <c r="BN60" i="1"/>
  <c r="BM793" i="1"/>
  <c r="BM794" i="1" s="1"/>
  <c r="BM792" i="1"/>
  <c r="BO29" i="1"/>
  <c r="BN38" i="1"/>
  <c r="BM39" i="1"/>
  <c r="FQ344" i="2" l="1"/>
  <c r="GX291" i="1"/>
  <c r="FQ350" i="2" s="1"/>
  <c r="GZ283" i="1"/>
  <c r="FS343" i="2" s="1"/>
  <c r="FQ343" i="2"/>
  <c r="GX287" i="1"/>
  <c r="EK340" i="198" s="1"/>
  <c r="FS341" i="2"/>
  <c r="EC328" i="198"/>
  <c r="FI335" i="2"/>
  <c r="EM337" i="198"/>
  <c r="FS344" i="2"/>
  <c r="CT300" i="198"/>
  <c r="DR307" i="2"/>
  <c r="EL336" i="198"/>
  <c r="FR343" i="2"/>
  <c r="CX287" i="198"/>
  <c r="DV294" i="2"/>
  <c r="CU296" i="198"/>
  <c r="CU15" i="198"/>
  <c r="CU16" i="198" s="1"/>
  <c r="DS303" i="2"/>
  <c r="DA330" i="198"/>
  <c r="DY337" i="2"/>
  <c r="FQ347" i="2"/>
  <c r="CV293" i="198"/>
  <c r="DT300" i="2"/>
  <c r="ED325" i="198"/>
  <c r="FJ332" i="2"/>
  <c r="EL337" i="198"/>
  <c r="FR344" i="2"/>
  <c r="EK343" i="198"/>
  <c r="CW292" i="198"/>
  <c r="DU299" i="2"/>
  <c r="ED326" i="198"/>
  <c r="FJ333" i="2"/>
  <c r="CT16" i="198"/>
  <c r="EQ321" i="1"/>
  <c r="ER321" i="1" s="1"/>
  <c r="ER320" i="1"/>
  <c r="BM76" i="1"/>
  <c r="BM75" i="1"/>
  <c r="BN57" i="1"/>
  <c r="GQ270" i="1"/>
  <c r="GR265" i="1"/>
  <c r="GP272" i="1"/>
  <c r="CZ170" i="1"/>
  <c r="CY182" i="1"/>
  <c r="BN39" i="1"/>
  <c r="BM74" i="1"/>
  <c r="BN74" i="1" s="1"/>
  <c r="GY287" i="1"/>
  <c r="GX289" i="1"/>
  <c r="GP788" i="1"/>
  <c r="GQ274" i="1"/>
  <c r="FJ338" i="2" s="1"/>
  <c r="DA158" i="1"/>
  <c r="DA153" i="1"/>
  <c r="DA160" i="1"/>
  <c r="DA161" i="1" s="1"/>
  <c r="DA159" i="1"/>
  <c r="DB149" i="1"/>
  <c r="EQ808" i="1"/>
  <c r="EQ772" i="1"/>
  <c r="EQ525" i="1"/>
  <c r="DR14" i="2" s="1"/>
  <c r="ER324" i="1"/>
  <c r="EQ326" i="1"/>
  <c r="ER326" i="1" s="1"/>
  <c r="EQ325" i="1"/>
  <c r="ER325" i="1" s="1"/>
  <c r="EX297" i="1"/>
  <c r="EW298" i="1"/>
  <c r="BP50" i="1"/>
  <c r="BO62" i="1"/>
  <c r="BO61" i="1"/>
  <c r="BO60" i="1"/>
  <c r="BO56" i="1"/>
  <c r="GY291" i="1"/>
  <c r="GZ291" i="1"/>
  <c r="ET310" i="1"/>
  <c r="DA174" i="1"/>
  <c r="DA169" i="1"/>
  <c r="DB164" i="1"/>
  <c r="DA176" i="1"/>
  <c r="DA177" i="1" s="1"/>
  <c r="DA175" i="1"/>
  <c r="CZ180" i="1"/>
  <c r="CY194" i="1"/>
  <c r="CZ194" i="1" s="1"/>
  <c r="ER317" i="1"/>
  <c r="EV302" i="1"/>
  <c r="EU303" i="1"/>
  <c r="BO43" i="1"/>
  <c r="BO46" i="1"/>
  <c r="BO47" i="1" s="1"/>
  <c r="BO38" i="1"/>
  <c r="BP29" i="1"/>
  <c r="BO45" i="1"/>
  <c r="BO44" i="1"/>
  <c r="ES311" i="1"/>
  <c r="GR276" i="1"/>
  <c r="GQ276" i="1"/>
  <c r="CY181" i="1"/>
  <c r="CZ181" i="1" s="1"/>
  <c r="CY196" i="1"/>
  <c r="CZ196" i="1" s="1"/>
  <c r="CY195" i="1"/>
  <c r="CZ179" i="1"/>
  <c r="EM336" i="198" l="1"/>
  <c r="GZ287" i="1"/>
  <c r="CV294" i="198"/>
  <c r="DT301" i="2"/>
  <c r="CY287" i="198"/>
  <c r="DW294" i="2"/>
  <c r="EK342" i="198"/>
  <c r="FQ349" i="2"/>
  <c r="EE323" i="198"/>
  <c r="FK330" i="2"/>
  <c r="CU300" i="198"/>
  <c r="DS307" i="2"/>
  <c r="CW293" i="198"/>
  <c r="DU300" i="2"/>
  <c r="EL340" i="198"/>
  <c r="FR347" i="2"/>
  <c r="ED328" i="198"/>
  <c r="FJ335" i="2"/>
  <c r="EM343" i="198"/>
  <c r="FS350" i="2"/>
  <c r="EM340" i="198"/>
  <c r="FS347" i="2"/>
  <c r="CX288" i="198"/>
  <c r="DV295" i="2"/>
  <c r="EL343" i="198"/>
  <c r="FR350" i="2"/>
  <c r="EC330" i="198"/>
  <c r="FI337" i="2"/>
  <c r="CZ195" i="1"/>
  <c r="CY197" i="1"/>
  <c r="CZ197" i="1" s="1"/>
  <c r="BP60" i="1"/>
  <c r="EX298" i="1"/>
  <c r="EW302" i="1"/>
  <c r="CY193" i="1"/>
  <c r="CZ193" i="1" s="1"/>
  <c r="CZ182" i="1"/>
  <c r="CY219" i="1"/>
  <c r="GQ272" i="1"/>
  <c r="GP297" i="1"/>
  <c r="BM77" i="1"/>
  <c r="BN77" i="1" s="1"/>
  <c r="BN75" i="1"/>
  <c r="DA170" i="1"/>
  <c r="DA179" i="1"/>
  <c r="DB169" i="1"/>
  <c r="DC164" i="1"/>
  <c r="BP61" i="1"/>
  <c r="ER525" i="1"/>
  <c r="DS14" i="2" s="1"/>
  <c r="EQ526" i="1"/>
  <c r="DR15" i="2" s="1"/>
  <c r="GR268" i="1"/>
  <c r="GS265" i="1"/>
  <c r="BN76" i="1"/>
  <c r="ET311" i="1"/>
  <c r="ES316" i="1"/>
  <c r="EU309" i="1"/>
  <c r="EV303" i="1"/>
  <c r="BP62" i="1"/>
  <c r="GZ289" i="1"/>
  <c r="GY289" i="1"/>
  <c r="GT276" i="1"/>
  <c r="GS276" i="1"/>
  <c r="GR267" i="1"/>
  <c r="BO793" i="1"/>
  <c r="BO794" i="1" s="1"/>
  <c r="BO792" i="1"/>
  <c r="BP38" i="1"/>
  <c r="BQ29" i="1"/>
  <c r="BO39" i="1"/>
  <c r="BP56" i="1"/>
  <c r="BO57" i="1"/>
  <c r="BQ50" i="1"/>
  <c r="DA180" i="1"/>
  <c r="DB153" i="1"/>
  <c r="DC149" i="1"/>
  <c r="DA154" i="1"/>
  <c r="DB154" i="1" s="1"/>
  <c r="CW294" i="198" l="1"/>
  <c r="DU301" i="2"/>
  <c r="EE325" i="198"/>
  <c r="FK332" i="2"/>
  <c r="EM342" i="198"/>
  <c r="FS349" i="2"/>
  <c r="CV296" i="198"/>
  <c r="CV297" i="198" s="1"/>
  <c r="CV15" i="198"/>
  <c r="DT303" i="2"/>
  <c r="DT304" i="2" s="1"/>
  <c r="EE326" i="198"/>
  <c r="FK333" i="2"/>
  <c r="CY288" i="198"/>
  <c r="DW295" i="2"/>
  <c r="EL342" i="198"/>
  <c r="FR349" i="2"/>
  <c r="CX292" i="198"/>
  <c r="DV299" i="2"/>
  <c r="EF323" i="198"/>
  <c r="FL330" i="2"/>
  <c r="ED330" i="198"/>
  <c r="FJ337" i="2"/>
  <c r="CZ287" i="198"/>
  <c r="DX294" i="2"/>
  <c r="DA196" i="1"/>
  <c r="DB196" i="1" s="1"/>
  <c r="DA195" i="1"/>
  <c r="DB179" i="1"/>
  <c r="DA181" i="1"/>
  <c r="DB181" i="1" s="1"/>
  <c r="BQ46" i="1"/>
  <c r="BQ47" i="1" s="1"/>
  <c r="BQ45" i="1"/>
  <c r="BQ44" i="1"/>
  <c r="BQ43" i="1"/>
  <c r="BQ38" i="1"/>
  <c r="BR29" i="1"/>
  <c r="GR790" i="1"/>
  <c r="GS267" i="1"/>
  <c r="GR274" i="1"/>
  <c r="FK338" i="2" s="1"/>
  <c r="GR277" i="1"/>
  <c r="GS277" i="1" s="1"/>
  <c r="GS268" i="1"/>
  <c r="DA194" i="1"/>
  <c r="DB194" i="1" s="1"/>
  <c r="DB180" i="1"/>
  <c r="BQ62" i="1"/>
  <c r="BQ61" i="1"/>
  <c r="BQ60" i="1"/>
  <c r="BQ56" i="1"/>
  <c r="BR50" i="1"/>
  <c r="GV276" i="1"/>
  <c r="GU276" i="1"/>
  <c r="ES832" i="1"/>
  <c r="ES324" i="1"/>
  <c r="ES320" i="1"/>
  <c r="ET316" i="1"/>
  <c r="ES317" i="1"/>
  <c r="ES9" i="1"/>
  <c r="ET9" i="1" s="1"/>
  <c r="GR270" i="1"/>
  <c r="ER526" i="1"/>
  <c r="DS15" i="2" s="1"/>
  <c r="DA182" i="1"/>
  <c r="DB170" i="1"/>
  <c r="EX302" i="1"/>
  <c r="EW303" i="1"/>
  <c r="GP302" i="1"/>
  <c r="DC158" i="1"/>
  <c r="DC160" i="1"/>
  <c r="DC161" i="1" s="1"/>
  <c r="DC159" i="1"/>
  <c r="DC153" i="1"/>
  <c r="DD149" i="1"/>
  <c r="BO75" i="1"/>
  <c r="BP57" i="1"/>
  <c r="BO76" i="1"/>
  <c r="BP39" i="1"/>
  <c r="BO74" i="1"/>
  <c r="BP74" i="1" s="1"/>
  <c r="EV309" i="1"/>
  <c r="EU310" i="1"/>
  <c r="DC174" i="1"/>
  <c r="DC176" i="1"/>
  <c r="DC177" i="1" s="1"/>
  <c r="DC169" i="1"/>
  <c r="DC175" i="1"/>
  <c r="DD164" i="1"/>
  <c r="GP298" i="1"/>
  <c r="GQ298" i="1" s="1"/>
  <c r="GQ297" i="1"/>
  <c r="DA287" i="198" l="1"/>
  <c r="DY294" i="2"/>
  <c r="EE328" i="198"/>
  <c r="FK335" i="2"/>
  <c r="EF326" i="198"/>
  <c r="FL333" i="2"/>
  <c r="CV16" i="198"/>
  <c r="EU311" i="1"/>
  <c r="EV311" i="1" s="1"/>
  <c r="CX293" i="198"/>
  <c r="DV300" i="2"/>
  <c r="EC287" i="198"/>
  <c r="FI294" i="2"/>
  <c r="CV300" i="198"/>
  <c r="DT307" i="2"/>
  <c r="CY292" i="198"/>
  <c r="DW299" i="2"/>
  <c r="CZ288" i="198"/>
  <c r="DX295" i="2"/>
  <c r="CW296" i="198"/>
  <c r="CW15" i="198"/>
  <c r="CW16" i="198" s="1"/>
  <c r="DU303" i="2"/>
  <c r="EF325" i="198"/>
  <c r="FL332" i="2"/>
  <c r="BP76" i="1"/>
  <c r="DC180" i="1"/>
  <c r="DD153" i="1"/>
  <c r="DC154" i="1"/>
  <c r="DD154" i="1" s="1"/>
  <c r="DE149" i="1"/>
  <c r="DA193" i="1"/>
  <c r="DB193" i="1" s="1"/>
  <c r="DB182" i="1"/>
  <c r="DA219" i="1"/>
  <c r="ET317" i="1"/>
  <c r="BR62" i="1"/>
  <c r="EW309" i="1"/>
  <c r="EX303" i="1"/>
  <c r="GX276" i="1"/>
  <c r="GW276" i="1"/>
  <c r="BQ57" i="1"/>
  <c r="BS50" i="1"/>
  <c r="BR56" i="1"/>
  <c r="BP75" i="1"/>
  <c r="BO77" i="1"/>
  <c r="ES321" i="1"/>
  <c r="ET321" i="1" s="1"/>
  <c r="ET320" i="1"/>
  <c r="BR60" i="1"/>
  <c r="DA197" i="1"/>
  <c r="DB197" i="1" s="1"/>
  <c r="DB195" i="1"/>
  <c r="DC179" i="1"/>
  <c r="DD169" i="1"/>
  <c r="DC170" i="1"/>
  <c r="DE164" i="1"/>
  <c r="EV310" i="1"/>
  <c r="GQ302" i="1"/>
  <c r="GP305" i="1"/>
  <c r="GP303" i="1"/>
  <c r="GT265" i="1"/>
  <c r="GS270" i="1"/>
  <c r="GR272" i="1"/>
  <c r="ES808" i="1"/>
  <c r="ES772" i="1"/>
  <c r="ES525" i="1"/>
  <c r="DT14" i="2" s="1"/>
  <c r="ET324" i="1"/>
  <c r="ES326" i="1"/>
  <c r="ET326" i="1" s="1"/>
  <c r="ES325" i="1"/>
  <c r="ET325" i="1" s="1"/>
  <c r="BR61" i="1"/>
  <c r="GR788" i="1"/>
  <c r="GS274" i="1"/>
  <c r="FL338" i="2" s="1"/>
  <c r="BQ792" i="1"/>
  <c r="BQ793" i="1" s="1"/>
  <c r="BQ794" i="1" s="1"/>
  <c r="BR38" i="1"/>
  <c r="BQ39" i="1"/>
  <c r="BS29" i="1"/>
  <c r="EU316" i="1" l="1"/>
  <c r="DV303" i="2" s="1"/>
  <c r="DV304" i="2" s="1"/>
  <c r="ED287" i="198"/>
  <c r="FJ294" i="2"/>
  <c r="EC288" i="198"/>
  <c r="FI295" i="2"/>
  <c r="DA288" i="198"/>
  <c r="DY295" i="2"/>
  <c r="EF328" i="198"/>
  <c r="FL335" i="2"/>
  <c r="EE330" i="198"/>
  <c r="FK337" i="2"/>
  <c r="EC306" i="198"/>
  <c r="FI313" i="2"/>
  <c r="CZ292" i="198"/>
  <c r="DX299" i="2"/>
  <c r="CY294" i="198"/>
  <c r="DW301" i="2"/>
  <c r="CX294" i="198"/>
  <c r="DV301" i="2"/>
  <c r="EG323" i="198"/>
  <c r="FM330" i="2"/>
  <c r="CY293" i="198"/>
  <c r="DW300" i="2"/>
  <c r="CW300" i="198"/>
  <c r="DU307" i="2"/>
  <c r="GU265" i="1"/>
  <c r="GT268" i="1"/>
  <c r="GT267" i="1"/>
  <c r="DC181" i="1"/>
  <c r="DD181" i="1" s="1"/>
  <c r="DC196" i="1"/>
  <c r="DD196" i="1" s="1"/>
  <c r="DC195" i="1"/>
  <c r="DD179" i="1"/>
  <c r="BT50" i="1"/>
  <c r="BS62" i="1"/>
  <c r="BS61" i="1"/>
  <c r="BS60" i="1"/>
  <c r="BS56" i="1"/>
  <c r="GY276" i="1"/>
  <c r="DD180" i="1"/>
  <c r="DC194" i="1"/>
  <c r="DD194" i="1" s="1"/>
  <c r="BS45" i="1"/>
  <c r="BS44" i="1"/>
  <c r="BS38" i="1"/>
  <c r="BT29" i="1"/>
  <c r="BS43" i="1"/>
  <c r="BS46" i="1"/>
  <c r="BS47" i="1" s="1"/>
  <c r="BQ76" i="1"/>
  <c r="BR76" i="1" s="1"/>
  <c r="BQ75" i="1"/>
  <c r="BR57" i="1"/>
  <c r="EX309" i="1"/>
  <c r="EW310" i="1"/>
  <c r="GP309" i="1"/>
  <c r="DE158" i="1"/>
  <c r="DE153" i="1"/>
  <c r="DE160" i="1"/>
  <c r="DE161" i="1" s="1"/>
  <c r="DE159" i="1"/>
  <c r="DF149" i="1"/>
  <c r="EU320" i="1"/>
  <c r="BR39" i="1"/>
  <c r="BQ74" i="1"/>
  <c r="BR74" i="1" s="1"/>
  <c r="GS272" i="1"/>
  <c r="GR297" i="1"/>
  <c r="GQ303" i="1"/>
  <c r="DD170" i="1"/>
  <c r="DC182" i="1"/>
  <c r="BP77" i="1"/>
  <c r="ES526" i="1"/>
  <c r="DT15" i="2" s="1"/>
  <c r="ET525" i="1"/>
  <c r="DU14" i="2" s="1"/>
  <c r="DE174" i="1"/>
  <c r="DE169" i="1"/>
  <c r="DE176" i="1"/>
  <c r="DE177" i="1" s="1"/>
  <c r="DF164" i="1"/>
  <c r="DE175" i="1"/>
  <c r="GR305" i="1"/>
  <c r="GQ305" i="1"/>
  <c r="CX15" i="198" l="1"/>
  <c r="CX16" i="198" s="1"/>
  <c r="EU9" i="1"/>
  <c r="EV9" i="1" s="1"/>
  <c r="EU324" i="1"/>
  <c r="EV324" i="1" s="1"/>
  <c r="CX296" i="198"/>
  <c r="CX297" i="198" s="1"/>
  <c r="EU317" i="1"/>
  <c r="CX300" i="198" s="1"/>
  <c r="EU832" i="1"/>
  <c r="EV316" i="1"/>
  <c r="CY296" i="198" s="1"/>
  <c r="EF330" i="198"/>
  <c r="FL337" i="2"/>
  <c r="DA292" i="198"/>
  <c r="DY299" i="2"/>
  <c r="ED288" i="198"/>
  <c r="FJ295" i="2"/>
  <c r="EC292" i="198"/>
  <c r="FI299" i="2"/>
  <c r="EG325" i="198"/>
  <c r="FM332" i="2"/>
  <c r="EH323" i="198"/>
  <c r="FN330" i="2"/>
  <c r="ED306" i="198"/>
  <c r="FJ313" i="2"/>
  <c r="EE306" i="198"/>
  <c r="FK313" i="2"/>
  <c r="EW311" i="1"/>
  <c r="CZ293" i="198"/>
  <c r="DX300" i="2"/>
  <c r="GT270" i="1"/>
  <c r="GU270" i="1" s="1"/>
  <c r="EG326" i="198"/>
  <c r="FM333" i="2"/>
  <c r="EW316" i="1"/>
  <c r="GT305" i="1"/>
  <c r="GS305" i="1"/>
  <c r="EU321" i="1"/>
  <c r="EV321" i="1" s="1"/>
  <c r="EV320" i="1"/>
  <c r="BS792" i="1"/>
  <c r="BS793" i="1" s="1"/>
  <c r="BS794" i="1" s="1"/>
  <c r="BT38" i="1"/>
  <c r="BS39" i="1"/>
  <c r="BU29" i="1"/>
  <c r="BT62" i="1"/>
  <c r="GS297" i="1"/>
  <c r="GR298" i="1"/>
  <c r="GS298" i="1" s="1"/>
  <c r="BQ77" i="1"/>
  <c r="BR77" i="1" s="1"/>
  <c r="BR75" i="1"/>
  <c r="BU50" i="1"/>
  <c r="BT56" i="1"/>
  <c r="BS57" i="1"/>
  <c r="DE180" i="1"/>
  <c r="DF153" i="1"/>
  <c r="DE154" i="1"/>
  <c r="DF154" i="1" s="1"/>
  <c r="DG149" i="1"/>
  <c r="GP313" i="1"/>
  <c r="GQ309" i="1"/>
  <c r="BT60" i="1"/>
  <c r="GT790" i="1"/>
  <c r="GU267" i="1"/>
  <c r="GT274" i="1"/>
  <c r="FM338" i="2" s="1"/>
  <c r="DE170" i="1"/>
  <c r="DG164" i="1"/>
  <c r="DE179" i="1"/>
  <c r="DF169" i="1"/>
  <c r="ET526" i="1"/>
  <c r="DU15" i="2" s="1"/>
  <c r="DC193" i="1"/>
  <c r="DD193" i="1" s="1"/>
  <c r="DD182" i="1"/>
  <c r="DC219" i="1"/>
  <c r="EX310" i="1"/>
  <c r="GP310" i="1"/>
  <c r="BT61" i="1"/>
  <c r="DD195" i="1"/>
  <c r="DC197" i="1"/>
  <c r="DD197" i="1" s="1"/>
  <c r="GT277" i="1"/>
  <c r="GU277" i="1" s="1"/>
  <c r="GU268" i="1"/>
  <c r="EU525" i="1" l="1"/>
  <c r="DV14" i="2" s="1"/>
  <c r="CY15" i="198"/>
  <c r="CY16" i="198" s="1"/>
  <c r="EU808" i="1"/>
  <c r="EV317" i="1"/>
  <c r="CY300" i="198" s="1"/>
  <c r="EU325" i="1"/>
  <c r="EV325" i="1" s="1"/>
  <c r="GT272" i="1"/>
  <c r="FM337" i="2" s="1"/>
  <c r="DW303" i="2"/>
  <c r="EU326" i="1"/>
  <c r="EV326" i="1" s="1"/>
  <c r="EU772" i="1"/>
  <c r="GV265" i="1"/>
  <c r="FO330" i="2" s="1"/>
  <c r="DV307" i="2"/>
  <c r="ED292" i="198"/>
  <c r="FJ299" i="2"/>
  <c r="EG306" i="198"/>
  <c r="FM313" i="2"/>
  <c r="EH325" i="198"/>
  <c r="FN332" i="2"/>
  <c r="EH328" i="198"/>
  <c r="FN335" i="2"/>
  <c r="EC293" i="198"/>
  <c r="FI300" i="2"/>
  <c r="DA293" i="198"/>
  <c r="DY300" i="2"/>
  <c r="EF306" i="198"/>
  <c r="FL313" i="2"/>
  <c r="EH326" i="198"/>
  <c r="FN333" i="2"/>
  <c r="EC309" i="198"/>
  <c r="FI316" i="2"/>
  <c r="CZ296" i="198"/>
  <c r="CZ297" i="198" s="1"/>
  <c r="CZ15" i="198"/>
  <c r="DX303" i="2"/>
  <c r="DX304" i="2" s="1"/>
  <c r="CZ294" i="198"/>
  <c r="DX301" i="2"/>
  <c r="DW307" i="2"/>
  <c r="EX311" i="1"/>
  <c r="EG328" i="198"/>
  <c r="FM335" i="2"/>
  <c r="GQ310" i="1"/>
  <c r="GP314" i="1"/>
  <c r="GR302" i="1"/>
  <c r="DE196" i="1"/>
  <c r="DF196" i="1" s="1"/>
  <c r="DE195" i="1"/>
  <c r="DF179" i="1"/>
  <c r="DE181" i="1"/>
  <c r="DF181" i="1" s="1"/>
  <c r="BU62" i="1"/>
  <c r="BU61" i="1"/>
  <c r="BU60" i="1"/>
  <c r="BU56" i="1"/>
  <c r="BV50" i="1"/>
  <c r="EV525" i="1"/>
  <c r="DW14" i="2" s="1"/>
  <c r="EU526" i="1"/>
  <c r="DV15" i="2" s="1"/>
  <c r="EW832" i="1"/>
  <c r="EW320" i="1"/>
  <c r="EX316" i="1"/>
  <c r="EW317" i="1"/>
  <c r="EW324" i="1"/>
  <c r="EW9" i="1"/>
  <c r="EX9" i="1" s="1"/>
  <c r="GU272" i="1"/>
  <c r="GT297" i="1"/>
  <c r="GP311" i="1"/>
  <c r="BT39" i="1"/>
  <c r="BS74" i="1"/>
  <c r="BT74" i="1" s="1"/>
  <c r="DG174" i="1"/>
  <c r="DH164" i="1"/>
  <c r="DG176" i="1"/>
  <c r="DG177" i="1" s="1"/>
  <c r="DG169" i="1"/>
  <c r="DG175" i="1"/>
  <c r="GT788" i="1"/>
  <c r="GU274" i="1"/>
  <c r="FN338" i="2" s="1"/>
  <c r="GR313" i="1"/>
  <c r="GQ313" i="1"/>
  <c r="DE194" i="1"/>
  <c r="DF194" i="1" s="1"/>
  <c r="DF180" i="1"/>
  <c r="GV305" i="1"/>
  <c r="GU305" i="1"/>
  <c r="GW265" i="1"/>
  <c r="GV267" i="1"/>
  <c r="DE182" i="1"/>
  <c r="DF170" i="1"/>
  <c r="DG158" i="1"/>
  <c r="DG160" i="1"/>
  <c r="DG161" i="1" s="1"/>
  <c r="DG159" i="1"/>
  <c r="DG153" i="1"/>
  <c r="DH149" i="1"/>
  <c r="BS76" i="1"/>
  <c r="BS75" i="1"/>
  <c r="BT57" i="1"/>
  <c r="BU44" i="1"/>
  <c r="BU43" i="1"/>
  <c r="BU46" i="1"/>
  <c r="BU47" i="1" s="1"/>
  <c r="BU45" i="1"/>
  <c r="BU38" i="1"/>
  <c r="BV29" i="1"/>
  <c r="GV268" i="1" l="1"/>
  <c r="EI326" i="198" s="1"/>
  <c r="EG330" i="198"/>
  <c r="EI323" i="198"/>
  <c r="FO333" i="2"/>
  <c r="EI325" i="198"/>
  <c r="FO332" i="2"/>
  <c r="EH306" i="198"/>
  <c r="FN313" i="2"/>
  <c r="ED309" i="198"/>
  <c r="FJ316" i="2"/>
  <c r="EX317" i="1"/>
  <c r="CZ300" i="198"/>
  <c r="DX307" i="2"/>
  <c r="EC310" i="198"/>
  <c r="FI317" i="2"/>
  <c r="GV270" i="1"/>
  <c r="GV272" i="1" s="1"/>
  <c r="EI306" i="198"/>
  <c r="FO313" i="2"/>
  <c r="EE309" i="198"/>
  <c r="FK316" i="2"/>
  <c r="EH330" i="198"/>
  <c r="FN337" i="2"/>
  <c r="DA296" i="198"/>
  <c r="DA15" i="198"/>
  <c r="DA16" i="198" s="1"/>
  <c r="DY303" i="2"/>
  <c r="ED293" i="198"/>
  <c r="FJ300" i="2"/>
  <c r="CZ16" i="198"/>
  <c r="EJ323" i="198"/>
  <c r="FP330" i="2"/>
  <c r="EC294" i="198"/>
  <c r="FI301" i="2"/>
  <c r="EE287" i="198"/>
  <c r="FK294" i="2"/>
  <c r="DA294" i="198"/>
  <c r="DY301" i="2"/>
  <c r="BT76" i="1"/>
  <c r="GS302" i="1"/>
  <c r="GR303" i="1"/>
  <c r="BU793" i="1"/>
  <c r="BU794" i="1" s="1"/>
  <c r="BU792" i="1"/>
  <c r="BW29" i="1"/>
  <c r="BV38" i="1"/>
  <c r="BU39" i="1"/>
  <c r="BT75" i="1"/>
  <c r="BS77" i="1"/>
  <c r="DE193" i="1"/>
  <c r="DF193" i="1" s="1"/>
  <c r="DF182" i="1"/>
  <c r="DE219" i="1"/>
  <c r="GV790" i="1"/>
  <c r="GW267" i="1"/>
  <c r="GV274" i="1"/>
  <c r="FO338" i="2" s="1"/>
  <c r="GT298" i="1"/>
  <c r="GU297" i="1"/>
  <c r="BV61" i="1"/>
  <c r="DE197" i="1"/>
  <c r="DF197" i="1" s="1"/>
  <c r="DF195" i="1"/>
  <c r="GX265" i="1"/>
  <c r="EV526" i="1"/>
  <c r="DW15" i="2" s="1"/>
  <c r="GW268" i="1"/>
  <c r="GV277" i="1"/>
  <c r="GW277" i="1" s="1"/>
  <c r="GX305" i="1"/>
  <c r="GW305" i="1"/>
  <c r="GS313" i="1"/>
  <c r="GT313" i="1"/>
  <c r="EW321" i="1"/>
  <c r="EX321" i="1" s="1"/>
  <c r="EX320" i="1"/>
  <c r="BU57" i="1"/>
  <c r="BV56" i="1"/>
  <c r="BW50" i="1"/>
  <c r="GR314" i="1"/>
  <c r="GQ314" i="1"/>
  <c r="BV62" i="1"/>
  <c r="DI149" i="1"/>
  <c r="DG180" i="1"/>
  <c r="DH153" i="1"/>
  <c r="DG154" i="1"/>
  <c r="DH154" i="1" s="1"/>
  <c r="DG179" i="1"/>
  <c r="DI164" i="1"/>
  <c r="DH169" i="1"/>
  <c r="DG170" i="1"/>
  <c r="GQ311" i="1"/>
  <c r="GP316" i="1"/>
  <c r="EW808" i="1"/>
  <c r="EW772" i="1"/>
  <c r="EW525" i="1"/>
  <c r="DX14" i="2" s="1"/>
  <c r="EW326" i="1"/>
  <c r="EX326" i="1" s="1"/>
  <c r="EW325" i="1"/>
  <c r="EX325" i="1" s="1"/>
  <c r="EX324" i="1"/>
  <c r="BV60" i="1"/>
  <c r="GW270" i="1" l="1"/>
  <c r="EJ328" i="198" s="1"/>
  <c r="EJ326" i="198"/>
  <c r="FP333" i="2"/>
  <c r="EK323" i="198"/>
  <c r="FQ330" i="2"/>
  <c r="EF287" i="198"/>
  <c r="FL294" i="2"/>
  <c r="EE310" i="198"/>
  <c r="FK317" i="2"/>
  <c r="EJ306" i="198"/>
  <c r="FP313" i="2"/>
  <c r="EI328" i="198"/>
  <c r="FO335" i="2"/>
  <c r="EF309" i="198"/>
  <c r="FL316" i="2"/>
  <c r="EC296" i="198"/>
  <c r="EC297" i="198" s="1"/>
  <c r="EC15" i="198"/>
  <c r="FI303" i="2"/>
  <c r="FI304" i="2" s="1"/>
  <c r="ED294" i="198"/>
  <c r="FJ301" i="2"/>
  <c r="EK306" i="198"/>
  <c r="FQ313" i="2"/>
  <c r="EI330" i="198"/>
  <c r="FO337" i="2"/>
  <c r="DA300" i="198"/>
  <c r="DY307" i="2"/>
  <c r="ED310" i="198"/>
  <c r="FJ317" i="2"/>
  <c r="EG309" i="198"/>
  <c r="FM316" i="2"/>
  <c r="FP335" i="2"/>
  <c r="EJ325" i="198"/>
  <c r="FP332" i="2"/>
  <c r="EE288" i="198"/>
  <c r="FK295" i="2"/>
  <c r="GT314" i="1"/>
  <c r="GS314" i="1"/>
  <c r="GW272" i="1"/>
  <c r="GV297" i="1"/>
  <c r="DH170" i="1"/>
  <c r="DG182" i="1"/>
  <c r="BX50" i="1"/>
  <c r="BW62" i="1"/>
  <c r="BW61" i="1"/>
  <c r="BW60" i="1"/>
  <c r="BW56" i="1"/>
  <c r="GZ305" i="1"/>
  <c r="GY305" i="1"/>
  <c r="GS303" i="1"/>
  <c r="GR309" i="1"/>
  <c r="GP317" i="1"/>
  <c r="GQ316" i="1"/>
  <c r="GP324" i="1"/>
  <c r="GP320" i="1"/>
  <c r="GP9" i="1"/>
  <c r="GQ9" i="1" s="1"/>
  <c r="DI174" i="1"/>
  <c r="DI169" i="1"/>
  <c r="DJ164" i="1"/>
  <c r="DI176" i="1"/>
  <c r="DI177" i="1" s="1"/>
  <c r="DI175" i="1"/>
  <c r="DH180" i="1"/>
  <c r="DG194" i="1"/>
  <c r="DH194" i="1" s="1"/>
  <c r="BU76" i="1"/>
  <c r="BV76" i="1" s="1"/>
  <c r="BU75" i="1"/>
  <c r="BV57" i="1"/>
  <c r="GU298" i="1"/>
  <c r="GT302" i="1"/>
  <c r="EW526" i="1"/>
  <c r="DX15" i="2" s="1"/>
  <c r="EX525" i="1"/>
  <c r="DY14" i="2" s="1"/>
  <c r="GV313" i="1"/>
  <c r="GU313" i="1"/>
  <c r="FV39" i="1"/>
  <c r="BV39" i="1"/>
  <c r="BU74" i="1"/>
  <c r="BV74" i="1" s="1"/>
  <c r="DG181" i="1"/>
  <c r="DH181" i="1" s="1"/>
  <c r="DG196" i="1"/>
  <c r="DH196" i="1" s="1"/>
  <c r="DG195" i="1"/>
  <c r="DH179" i="1"/>
  <c r="DI158" i="1"/>
  <c r="DI153" i="1"/>
  <c r="DI160" i="1"/>
  <c r="DI161" i="1" s="1"/>
  <c r="DI159" i="1"/>
  <c r="DJ149" i="1"/>
  <c r="GX268" i="1"/>
  <c r="GZ265" i="1"/>
  <c r="GY265" i="1"/>
  <c r="GX267" i="1"/>
  <c r="GV788" i="1"/>
  <c r="GW274" i="1"/>
  <c r="FP338" i="2" s="1"/>
  <c r="BT77" i="1"/>
  <c r="BW43" i="1"/>
  <c r="BW46" i="1"/>
  <c r="BW47" i="1" s="1"/>
  <c r="BW38" i="1"/>
  <c r="BX29" i="1"/>
  <c r="BW45" i="1"/>
  <c r="BW44" i="1"/>
  <c r="EL323" i="198" l="1"/>
  <c r="FR330" i="2"/>
  <c r="EI309" i="198"/>
  <c r="FO316" i="2"/>
  <c r="EE292" i="198"/>
  <c r="FK299" i="2"/>
  <c r="EJ330" i="198"/>
  <c r="FP337" i="2"/>
  <c r="EK325" i="198"/>
  <c r="FQ332" i="2"/>
  <c r="EH309" i="198"/>
  <c r="FN316" i="2"/>
  <c r="EG287" i="198"/>
  <c r="FM294" i="2"/>
  <c r="EC300" i="198"/>
  <c r="FI307" i="2"/>
  <c r="EF288" i="198"/>
  <c r="FL295" i="2"/>
  <c r="EF310" i="198"/>
  <c r="FL317" i="2"/>
  <c r="EM306" i="198"/>
  <c r="FS313" i="2"/>
  <c r="EM323" i="198"/>
  <c r="FS330" i="2"/>
  <c r="EK326" i="198"/>
  <c r="FQ333" i="2"/>
  <c r="ED296" i="198"/>
  <c r="ED15" i="198"/>
  <c r="ED16" i="198" s="1"/>
  <c r="FJ303" i="2"/>
  <c r="EL306" i="198"/>
  <c r="FR313" i="2"/>
  <c r="EG310" i="198"/>
  <c r="FM317" i="2"/>
  <c r="EC16" i="198"/>
  <c r="GX277" i="1"/>
  <c r="GY277" i="1" s="1"/>
  <c r="GZ268" i="1"/>
  <c r="GY268" i="1"/>
  <c r="DI180" i="1"/>
  <c r="DJ153" i="1"/>
  <c r="DK149" i="1"/>
  <c r="DI154" i="1"/>
  <c r="DJ154" i="1" s="1"/>
  <c r="FW39" i="1"/>
  <c r="FV74" i="1"/>
  <c r="FW74" i="1" s="1"/>
  <c r="FV76" i="1"/>
  <c r="FW76" i="1" s="1"/>
  <c r="FV75" i="1"/>
  <c r="EX526" i="1"/>
  <c r="DY15" i="2" s="1"/>
  <c r="BU77" i="1"/>
  <c r="BV75" i="1"/>
  <c r="GQ317" i="1"/>
  <c r="GS309" i="1"/>
  <c r="BX62" i="1"/>
  <c r="BX56" i="1"/>
  <c r="BW57" i="1"/>
  <c r="BY50" i="1"/>
  <c r="BW793" i="1"/>
  <c r="BW794" i="1" s="1"/>
  <c r="BW792" i="1"/>
  <c r="BX38" i="1"/>
  <c r="BY29" i="1"/>
  <c r="BW39" i="1"/>
  <c r="GX790" i="1"/>
  <c r="GZ267" i="1"/>
  <c r="GY267" i="1"/>
  <c r="GX274" i="1"/>
  <c r="FQ338" i="2" s="1"/>
  <c r="GX270" i="1"/>
  <c r="GW313" i="1"/>
  <c r="GX313" i="1"/>
  <c r="GP772" i="1"/>
  <c r="GP525" i="1"/>
  <c r="GP326" i="1"/>
  <c r="GQ326" i="1" s="1"/>
  <c r="GQ324" i="1"/>
  <c r="GP325" i="1"/>
  <c r="GQ325" i="1" s="1"/>
  <c r="BX60" i="1"/>
  <c r="DG193" i="1"/>
  <c r="DH193" i="1" s="1"/>
  <c r="DH182" i="1"/>
  <c r="DG219" i="1"/>
  <c r="GV314" i="1"/>
  <c r="GU314" i="1"/>
  <c r="GQ320" i="1"/>
  <c r="GP321" i="1"/>
  <c r="GQ321" i="1" s="1"/>
  <c r="DH195" i="1"/>
  <c r="DG197" i="1"/>
  <c r="DH197" i="1" s="1"/>
  <c r="GU302" i="1"/>
  <c r="GT303" i="1"/>
  <c r="DI170" i="1"/>
  <c r="DI179" i="1"/>
  <c r="DJ169" i="1"/>
  <c r="DK164" i="1"/>
  <c r="BX61" i="1"/>
  <c r="GW297" i="1"/>
  <c r="GV298" i="1"/>
  <c r="GR310" i="1"/>
  <c r="EM326" i="198" l="1"/>
  <c r="FS333" i="2"/>
  <c r="EH310" i="198"/>
  <c r="FN317" i="2"/>
  <c r="EJ309" i="198"/>
  <c r="FP316" i="2"/>
  <c r="EM325" i="198"/>
  <c r="FS332" i="2"/>
  <c r="ED300" i="198"/>
  <c r="FJ307" i="2"/>
  <c r="EL326" i="198"/>
  <c r="FR333" i="2"/>
  <c r="EI310" i="198"/>
  <c r="FO317" i="2"/>
  <c r="EK328" i="198"/>
  <c r="FQ335" i="2"/>
  <c r="EE293" i="198"/>
  <c r="FK300" i="2"/>
  <c r="EG288" i="198"/>
  <c r="FM295" i="2"/>
  <c r="U10" i="225"/>
  <c r="U11" i="225" s="1"/>
  <c r="FI14" i="2"/>
  <c r="EH287" i="198"/>
  <c r="FN294" i="2"/>
  <c r="EK309" i="198"/>
  <c r="FQ316" i="2"/>
  <c r="EL325" i="198"/>
  <c r="FR332" i="2"/>
  <c r="EF292" i="198"/>
  <c r="FL299" i="2"/>
  <c r="GY270" i="1"/>
  <c r="GZ270" i="1"/>
  <c r="GX272" i="1"/>
  <c r="BY62" i="1"/>
  <c r="BY61" i="1"/>
  <c r="BY60" i="1"/>
  <c r="BY56" i="1"/>
  <c r="BZ50" i="1"/>
  <c r="DI196" i="1"/>
  <c r="DJ196" i="1" s="1"/>
  <c r="DI195" i="1"/>
  <c r="DJ179" i="1"/>
  <c r="DI181" i="1"/>
  <c r="DJ181" i="1" s="1"/>
  <c r="GT309" i="1"/>
  <c r="GU303" i="1"/>
  <c r="BX57" i="1"/>
  <c r="BW75" i="1"/>
  <c r="BW76" i="1"/>
  <c r="BX76" i="1" s="1"/>
  <c r="GS310" i="1"/>
  <c r="DI182" i="1"/>
  <c r="DJ170" i="1"/>
  <c r="GZ313" i="1"/>
  <c r="GY313" i="1"/>
  <c r="BY46" i="1"/>
  <c r="BY47" i="1" s="1"/>
  <c r="BY45" i="1"/>
  <c r="BY44" i="1"/>
  <c r="BY43" i="1"/>
  <c r="BY38" i="1"/>
  <c r="BZ29" i="1"/>
  <c r="GR311" i="1"/>
  <c r="BV77" i="1"/>
  <c r="FV77" i="1"/>
  <c r="FW77" i="1" s="1"/>
  <c r="FW75" i="1"/>
  <c r="GX314" i="1"/>
  <c r="GW314" i="1"/>
  <c r="GX788" i="1"/>
  <c r="GZ274" i="1"/>
  <c r="FS338" i="2" s="1"/>
  <c r="GY274" i="1"/>
  <c r="FR338" i="2" s="1"/>
  <c r="BX39" i="1"/>
  <c r="BW74" i="1"/>
  <c r="BX74" i="1" s="1"/>
  <c r="DI194" i="1"/>
  <c r="DJ194" i="1" s="1"/>
  <c r="DJ180" i="1"/>
  <c r="GW298" i="1"/>
  <c r="GV302" i="1"/>
  <c r="DK174" i="1"/>
  <c r="DK176" i="1"/>
  <c r="DK177" i="1" s="1"/>
  <c r="DK169" i="1"/>
  <c r="DK175" i="1"/>
  <c r="DL164" i="1"/>
  <c r="GP526" i="1"/>
  <c r="FI15" i="2" s="1"/>
  <c r="GQ525" i="1"/>
  <c r="FJ14" i="2" s="1"/>
  <c r="DK158" i="1"/>
  <c r="DK160" i="1"/>
  <c r="DK161" i="1" s="1"/>
  <c r="DK159" i="1"/>
  <c r="DK153" i="1"/>
  <c r="DL149" i="1"/>
  <c r="EK310" i="198" l="1"/>
  <c r="FQ317" i="2"/>
  <c r="EM309" i="198"/>
  <c r="FS316" i="2"/>
  <c r="EG292" i="198"/>
  <c r="FM299" i="2"/>
  <c r="EL328" i="198"/>
  <c r="FR335" i="2"/>
  <c r="EL309" i="198"/>
  <c r="FR316" i="2"/>
  <c r="EM328" i="198"/>
  <c r="FS335" i="2"/>
  <c r="EE294" i="198"/>
  <c r="FK301" i="2"/>
  <c r="EJ310" i="198"/>
  <c r="FP317" i="2"/>
  <c r="EF293" i="198"/>
  <c r="FL300" i="2"/>
  <c r="EH288" i="198"/>
  <c r="FN295" i="2"/>
  <c r="EI287" i="198"/>
  <c r="FO294" i="2"/>
  <c r="EK330" i="198"/>
  <c r="FQ337" i="2"/>
  <c r="GW302" i="1"/>
  <c r="GV303" i="1"/>
  <c r="BZ60" i="1"/>
  <c r="DK180" i="1"/>
  <c r="DL153" i="1"/>
  <c r="DK154" i="1"/>
  <c r="DL154" i="1" s="1"/>
  <c r="DM149" i="1"/>
  <c r="GQ526" i="1"/>
  <c r="FJ15" i="2" s="1"/>
  <c r="GZ314" i="1"/>
  <c r="GY314" i="1"/>
  <c r="DI197" i="1"/>
  <c r="DJ197" i="1" s="1"/>
  <c r="DJ195" i="1"/>
  <c r="BZ62" i="1"/>
  <c r="BZ61" i="1"/>
  <c r="DK179" i="1"/>
  <c r="DL169" i="1"/>
  <c r="DK170" i="1"/>
  <c r="DM164" i="1"/>
  <c r="GS311" i="1"/>
  <c r="GR316" i="1"/>
  <c r="BY792" i="1"/>
  <c r="BY793" i="1"/>
  <c r="BY794" i="1" s="1"/>
  <c r="BZ38" i="1"/>
  <c r="BY39" i="1"/>
  <c r="CA29" i="1"/>
  <c r="DI193" i="1"/>
  <c r="DJ193" i="1" s="1"/>
  <c r="DJ182" i="1"/>
  <c r="DI219" i="1"/>
  <c r="BX75" i="1"/>
  <c r="BW77" i="1"/>
  <c r="BX77" i="1" s="1"/>
  <c r="GU309" i="1"/>
  <c r="GT310" i="1"/>
  <c r="BY57" i="1"/>
  <c r="CA50" i="1"/>
  <c r="BZ56" i="1"/>
  <c r="GZ272" i="1"/>
  <c r="GY272" i="1"/>
  <c r="GX297" i="1"/>
  <c r="EJ287" i="198" l="1"/>
  <c r="FP294" i="2"/>
  <c r="EM310" i="198"/>
  <c r="FS317" i="2"/>
  <c r="EE296" i="198"/>
  <c r="EE297" i="198" s="1"/>
  <c r="EE15" i="198"/>
  <c r="FK303" i="2"/>
  <c r="FK304" i="2" s="1"/>
  <c r="EM330" i="198"/>
  <c r="FS337" i="2"/>
  <c r="GU310" i="1"/>
  <c r="EG293" i="198"/>
  <c r="FM300" i="2"/>
  <c r="EF294" i="198"/>
  <c r="FL301" i="2"/>
  <c r="EL330" i="198"/>
  <c r="FR337" i="2"/>
  <c r="EH292" i="198"/>
  <c r="FN299" i="2"/>
  <c r="EL310" i="198"/>
  <c r="FR317" i="2"/>
  <c r="EI288" i="198"/>
  <c r="FO295" i="2"/>
  <c r="BY75" i="1"/>
  <c r="BY76" i="1"/>
  <c r="BZ57" i="1"/>
  <c r="GR324" i="1"/>
  <c r="GR320" i="1"/>
  <c r="GR317" i="1"/>
  <c r="GS316" i="1"/>
  <c r="GR9" i="1"/>
  <c r="GS9" i="1" s="1"/>
  <c r="CB50" i="1"/>
  <c r="CA62" i="1"/>
  <c r="CA61" i="1"/>
  <c r="CA60" i="1"/>
  <c r="CA56" i="1"/>
  <c r="DL170" i="1"/>
  <c r="DK182" i="1"/>
  <c r="GX298" i="1"/>
  <c r="GZ297" i="1"/>
  <c r="GY297" i="1"/>
  <c r="CA45" i="1"/>
  <c r="CA44" i="1"/>
  <c r="CA38" i="1"/>
  <c r="CB29" i="1"/>
  <c r="CA43" i="1"/>
  <c r="CA46" i="1"/>
  <c r="CA47" i="1" s="1"/>
  <c r="DK181" i="1"/>
  <c r="DL181" i="1" s="1"/>
  <c r="DK196" i="1"/>
  <c r="DL196" i="1" s="1"/>
  <c r="DK195" i="1"/>
  <c r="DL179" i="1"/>
  <c r="DL180" i="1"/>
  <c r="DK194" i="1"/>
  <c r="DL194" i="1" s="1"/>
  <c r="GW303" i="1"/>
  <c r="GV309" i="1"/>
  <c r="GT311" i="1"/>
  <c r="BZ39" i="1"/>
  <c r="BY74" i="1"/>
  <c r="BZ74" i="1" s="1"/>
  <c r="DM174" i="1"/>
  <c r="DN174" i="1" s="1"/>
  <c r="DM169" i="1"/>
  <c r="DM176" i="1"/>
  <c r="DM175" i="1"/>
  <c r="DN175" i="1" s="1"/>
  <c r="DN164" i="1"/>
  <c r="DM159" i="1"/>
  <c r="DN159" i="1" s="1"/>
  <c r="DM153" i="1"/>
  <c r="DM158" i="1"/>
  <c r="DN158" i="1" s="1"/>
  <c r="DM160" i="1"/>
  <c r="DN149" i="1"/>
  <c r="EJ288" i="198" l="1"/>
  <c r="FP295" i="2"/>
  <c r="EE300" i="198"/>
  <c r="FK307" i="2"/>
  <c r="EH293" i="198"/>
  <c r="FN300" i="2"/>
  <c r="EE16" i="198"/>
  <c r="EI292" i="198"/>
  <c r="FO299" i="2"/>
  <c r="EF296" i="198"/>
  <c r="EF15" i="198"/>
  <c r="EF16" i="198" s="1"/>
  <c r="FL303" i="2"/>
  <c r="EG294" i="198"/>
  <c r="FM301" i="2"/>
  <c r="DM161" i="1"/>
  <c r="DN161" i="1" s="1"/>
  <c r="DN160" i="1"/>
  <c r="DM170" i="1"/>
  <c r="DO164" i="1"/>
  <c r="DM179" i="1"/>
  <c r="DN169" i="1"/>
  <c r="GU311" i="1"/>
  <c r="GT316" i="1"/>
  <c r="DL195" i="1"/>
  <c r="DK197" i="1"/>
  <c r="DL197" i="1" s="1"/>
  <c r="CA793" i="1"/>
  <c r="CA794" i="1" s="1"/>
  <c r="CA792" i="1"/>
  <c r="CB38" i="1"/>
  <c r="CA39" i="1"/>
  <c r="CC29" i="1"/>
  <c r="DK193" i="1"/>
  <c r="DL193" i="1" s="1"/>
  <c r="DL182" i="1"/>
  <c r="DK219" i="1"/>
  <c r="CC50" i="1"/>
  <c r="CB56" i="1"/>
  <c r="CA57" i="1"/>
  <c r="GR321" i="1"/>
  <c r="GS321" i="1" s="1"/>
  <c r="GS320" i="1"/>
  <c r="GY298" i="1"/>
  <c r="GZ298" i="1"/>
  <c r="GX302" i="1"/>
  <c r="GR772" i="1"/>
  <c r="GR525" i="1"/>
  <c r="FK14" i="2" s="1"/>
  <c r="GR325" i="1"/>
  <c r="GS325" i="1" s="1"/>
  <c r="GR326" i="1"/>
  <c r="GS326" i="1" s="1"/>
  <c r="GS324" i="1"/>
  <c r="CB61" i="1"/>
  <c r="BZ76" i="1"/>
  <c r="CB60" i="1"/>
  <c r="DM180" i="1"/>
  <c r="DN153" i="1"/>
  <c r="DM154" i="1"/>
  <c r="DN154" i="1" s="1"/>
  <c r="DO149" i="1"/>
  <c r="DM177" i="1"/>
  <c r="DN177" i="1" s="1"/>
  <c r="DN176" i="1"/>
  <c r="GW309" i="1"/>
  <c r="GV310" i="1"/>
  <c r="CB62" i="1"/>
  <c r="GS317" i="1"/>
  <c r="BZ75" i="1"/>
  <c r="BY77" i="1"/>
  <c r="EK287" i="198" l="1"/>
  <c r="FQ294" i="2"/>
  <c r="EJ292" i="198"/>
  <c r="FP299" i="2"/>
  <c r="EG296" i="198"/>
  <c r="EG297" i="198" s="1"/>
  <c r="EG15" i="198"/>
  <c r="FM303" i="2"/>
  <c r="FM304" i="2" s="1"/>
  <c r="GW310" i="1"/>
  <c r="EI293" i="198"/>
  <c r="FO300" i="2"/>
  <c r="EF300" i="198"/>
  <c r="FL307" i="2"/>
  <c r="EH294" i="198"/>
  <c r="FN301" i="2"/>
  <c r="CC62" i="1"/>
  <c r="CC61" i="1"/>
  <c r="CC60" i="1"/>
  <c r="CC56" i="1"/>
  <c r="CD50" i="1"/>
  <c r="CC44" i="1"/>
  <c r="CC43" i="1"/>
  <c r="CC46" i="1"/>
  <c r="CC47" i="1" s="1"/>
  <c r="CC45" i="1"/>
  <c r="CC38" i="1"/>
  <c r="CD29" i="1"/>
  <c r="DM182" i="1"/>
  <c r="DN170" i="1"/>
  <c r="BZ77" i="1"/>
  <c r="DM194" i="1"/>
  <c r="DN194" i="1" s="1"/>
  <c r="DN180" i="1"/>
  <c r="GY302" i="1"/>
  <c r="GZ302" i="1"/>
  <c r="GX303" i="1"/>
  <c r="CB39" i="1"/>
  <c r="CA74" i="1"/>
  <c r="CB74" i="1" s="1"/>
  <c r="GV311" i="1"/>
  <c r="DO158" i="1"/>
  <c r="DP158" i="1" s="1"/>
  <c r="DO160" i="1"/>
  <c r="DO159" i="1"/>
  <c r="DP159" i="1" s="1"/>
  <c r="DO153" i="1"/>
  <c r="DP149" i="1"/>
  <c r="GR526" i="1"/>
  <c r="FK15" i="2" s="1"/>
  <c r="GS525" i="1"/>
  <c r="FL14" i="2" s="1"/>
  <c r="CA76" i="1"/>
  <c r="CB57" i="1"/>
  <c r="CA75" i="1"/>
  <c r="DM196" i="1"/>
  <c r="DN196" i="1" s="1"/>
  <c r="DM195" i="1"/>
  <c r="DN179" i="1"/>
  <c r="DM181" i="1"/>
  <c r="DN181" i="1" s="1"/>
  <c r="GT317" i="1"/>
  <c r="GU316" i="1"/>
  <c r="GT324" i="1"/>
  <c r="GT320" i="1"/>
  <c r="GT9" i="1"/>
  <c r="GU9" i="1" s="1"/>
  <c r="DO176" i="1"/>
  <c r="DO175" i="1"/>
  <c r="DP175" i="1" s="1"/>
  <c r="DP164" i="1"/>
  <c r="DO174" i="1"/>
  <c r="DP174" i="1" s="1"/>
  <c r="DO169" i="1"/>
  <c r="EJ293" i="198" l="1"/>
  <c r="FP300" i="2"/>
  <c r="EL287" i="198"/>
  <c r="FR294" i="2"/>
  <c r="EG16" i="198"/>
  <c r="EK288" i="198"/>
  <c r="FQ295" i="2"/>
  <c r="GU317" i="1"/>
  <c r="EG300" i="198"/>
  <c r="FM307" i="2"/>
  <c r="EH296" i="198"/>
  <c r="EH15" i="198"/>
  <c r="EH16" i="198" s="1"/>
  <c r="FN303" i="2"/>
  <c r="EI294" i="198"/>
  <c r="FO301" i="2"/>
  <c r="EM287" i="198"/>
  <c r="FS294" i="2"/>
  <c r="GT772" i="1"/>
  <c r="GT525" i="1"/>
  <c r="FM14" i="2" s="1"/>
  <c r="GT326" i="1"/>
  <c r="GU326" i="1" s="1"/>
  <c r="GU324" i="1"/>
  <c r="GT325" i="1"/>
  <c r="GU325" i="1" s="1"/>
  <c r="GU320" i="1"/>
  <c r="GT321" i="1"/>
  <c r="GU321" i="1" s="1"/>
  <c r="CB76" i="1"/>
  <c r="DM193" i="1"/>
  <c r="DN193" i="1" s="1"/>
  <c r="DN182" i="1"/>
  <c r="DM219" i="1"/>
  <c r="DN219" i="1" s="1"/>
  <c r="CD61" i="1"/>
  <c r="DP160" i="1"/>
  <c r="DO161" i="1"/>
  <c r="DP161" i="1" s="1"/>
  <c r="DO179" i="1"/>
  <c r="DQ164" i="1"/>
  <c r="DP169" i="1"/>
  <c r="DO170" i="1"/>
  <c r="DO177" i="1"/>
  <c r="DP177" i="1" s="1"/>
  <c r="DP176" i="1"/>
  <c r="DM197" i="1"/>
  <c r="DN197" i="1" s="1"/>
  <c r="DN195" i="1"/>
  <c r="CB75" i="1"/>
  <c r="CA77" i="1"/>
  <c r="CC792" i="1"/>
  <c r="CC793" i="1" s="1"/>
  <c r="CC794" i="1" s="1"/>
  <c r="CE29" i="1"/>
  <c r="CD38" i="1"/>
  <c r="CC39" i="1"/>
  <c r="CC57" i="1"/>
  <c r="CD56" i="1"/>
  <c r="CE50" i="1"/>
  <c r="CD62" i="1"/>
  <c r="GS526" i="1"/>
  <c r="FL15" i="2" s="1"/>
  <c r="DQ149" i="1"/>
  <c r="DO180" i="1"/>
  <c r="DP153" i="1"/>
  <c r="DO154" i="1"/>
  <c r="DP154" i="1" s="1"/>
  <c r="GW311" i="1"/>
  <c r="GV316" i="1"/>
  <c r="GX309" i="1"/>
  <c r="GZ303" i="1"/>
  <c r="GY303" i="1"/>
  <c r="CD60" i="1"/>
  <c r="EM288" i="198" l="1"/>
  <c r="FS295" i="2"/>
  <c r="EK292" i="198"/>
  <c r="FQ299" i="2"/>
  <c r="EH300" i="198"/>
  <c r="FN307" i="2"/>
  <c r="EI296" i="198"/>
  <c r="EI297" i="198" s="1"/>
  <c r="EI15" i="198"/>
  <c r="FO303" i="2"/>
  <c r="FO304" i="2" s="1"/>
  <c r="EL288" i="198"/>
  <c r="FR295" i="2"/>
  <c r="EJ294" i="198"/>
  <c r="FP301" i="2"/>
  <c r="CE43" i="1"/>
  <c r="CE46" i="1"/>
  <c r="CE47" i="1" s="1"/>
  <c r="CE38" i="1"/>
  <c r="CF29" i="1"/>
  <c r="CE45" i="1"/>
  <c r="CE44" i="1"/>
  <c r="DO181" i="1"/>
  <c r="DP181" i="1" s="1"/>
  <c r="DO196" i="1"/>
  <c r="DP196" i="1" s="1"/>
  <c r="DO195" i="1"/>
  <c r="DP179" i="1"/>
  <c r="CC76" i="1"/>
  <c r="CC75" i="1"/>
  <c r="CD57" i="1"/>
  <c r="DP170" i="1"/>
  <c r="DO182" i="1"/>
  <c r="GT526" i="1"/>
  <c r="FM15" i="2" s="1"/>
  <c r="GU525" i="1"/>
  <c r="FN14" i="2" s="1"/>
  <c r="GV324" i="1"/>
  <c r="GV320" i="1"/>
  <c r="GV317" i="1"/>
  <c r="GW316" i="1"/>
  <c r="GV9" i="1"/>
  <c r="GW9" i="1" s="1"/>
  <c r="DP180" i="1"/>
  <c r="DO194" i="1"/>
  <c r="DP194" i="1" s="1"/>
  <c r="FX39" i="1"/>
  <c r="CD39" i="1"/>
  <c r="CC74" i="1"/>
  <c r="CD74" i="1" s="1"/>
  <c r="GZ309" i="1"/>
  <c r="GY309" i="1"/>
  <c r="GX310" i="1"/>
  <c r="DQ159" i="1"/>
  <c r="DR159" i="1" s="1"/>
  <c r="DQ153" i="1"/>
  <c r="DQ158" i="1"/>
  <c r="DR158" i="1" s="1"/>
  <c r="DQ160" i="1"/>
  <c r="DR149" i="1"/>
  <c r="CF50" i="1"/>
  <c r="CE62" i="1"/>
  <c r="CE61" i="1"/>
  <c r="CE60" i="1"/>
  <c r="CE56" i="1"/>
  <c r="CB77" i="1"/>
  <c r="DQ174" i="1"/>
  <c r="DR174" i="1" s="1"/>
  <c r="DQ169" i="1"/>
  <c r="DR164" i="1"/>
  <c r="DQ176" i="1"/>
  <c r="DQ175" i="1"/>
  <c r="DR175" i="1" s="1"/>
  <c r="EM292" i="198" l="1"/>
  <c r="FS299" i="2"/>
  <c r="EI16" i="198"/>
  <c r="EK293" i="198"/>
  <c r="FQ300" i="2"/>
  <c r="GX311" i="1"/>
  <c r="GZ311" i="1" s="1"/>
  <c r="GW317" i="1"/>
  <c r="EI300" i="198"/>
  <c r="FO307" i="2"/>
  <c r="EL292" i="198"/>
  <c r="FR299" i="2"/>
  <c r="EJ296" i="198"/>
  <c r="EJ15" i="198"/>
  <c r="EJ16" i="198" s="1"/>
  <c r="FP303" i="2"/>
  <c r="CF60" i="1"/>
  <c r="CF56" i="1"/>
  <c r="CE57" i="1"/>
  <c r="CG50" i="1"/>
  <c r="DQ180" i="1"/>
  <c r="DR153" i="1"/>
  <c r="DS149" i="1"/>
  <c r="DQ154" i="1"/>
  <c r="DR154" i="1" s="1"/>
  <c r="FY39" i="1"/>
  <c r="FX74" i="1"/>
  <c r="FY74" i="1" s="1"/>
  <c r="FX75" i="1"/>
  <c r="FX76" i="1"/>
  <c r="FY76" i="1" s="1"/>
  <c r="CD76" i="1"/>
  <c r="CF61" i="1"/>
  <c r="DQ161" i="1"/>
  <c r="DR161" i="1" s="1"/>
  <c r="DR160" i="1"/>
  <c r="GZ310" i="1"/>
  <c r="GY310" i="1"/>
  <c r="GV321" i="1"/>
  <c r="GW321" i="1" s="1"/>
  <c r="GW320" i="1"/>
  <c r="DO193" i="1"/>
  <c r="DP193" i="1" s="1"/>
  <c r="DP182" i="1"/>
  <c r="DO219" i="1"/>
  <c r="DP219" i="1" s="1"/>
  <c r="DP195" i="1"/>
  <c r="DO197" i="1"/>
  <c r="DP197" i="1" s="1"/>
  <c r="CE792" i="1"/>
  <c r="CE793" i="1" s="1"/>
  <c r="CE794" i="1" s="1"/>
  <c r="CF38" i="1"/>
  <c r="CG29" i="1"/>
  <c r="CE39" i="1"/>
  <c r="DQ170" i="1"/>
  <c r="DQ179" i="1"/>
  <c r="DR169" i="1"/>
  <c r="DS164" i="1"/>
  <c r="DQ177" i="1"/>
  <c r="DR177" i="1" s="1"/>
  <c r="DR176" i="1"/>
  <c r="CF62" i="1"/>
  <c r="GX316" i="1"/>
  <c r="GV772" i="1"/>
  <c r="GV525" i="1"/>
  <c r="FO14" i="2" s="1"/>
  <c r="GV325" i="1"/>
  <c r="GW325" i="1" s="1"/>
  <c r="GV326" i="1"/>
  <c r="GW326" i="1" s="1"/>
  <c r="GW324" i="1"/>
  <c r="GU526" i="1"/>
  <c r="FN15" i="2" s="1"/>
  <c r="CC77" i="1"/>
  <c r="CD75" i="1"/>
  <c r="GY311" i="1" l="1"/>
  <c r="FR301" i="2" s="1"/>
  <c r="EM293" i="198"/>
  <c r="FS300" i="2"/>
  <c r="EK294" i="198"/>
  <c r="FQ301" i="2"/>
  <c r="EM294" i="198"/>
  <c r="FS301" i="2"/>
  <c r="EK296" i="198"/>
  <c r="EK297" i="198" s="1"/>
  <c r="EK15" i="198"/>
  <c r="FQ303" i="2"/>
  <c r="FQ304" i="2" s="1"/>
  <c r="EL294" i="198"/>
  <c r="EL293" i="198"/>
  <c r="FR300" i="2"/>
  <c r="EJ300" i="198"/>
  <c r="FP307" i="2"/>
  <c r="CD77" i="1"/>
  <c r="CG46" i="1"/>
  <c r="CG47" i="1" s="1"/>
  <c r="CG45" i="1"/>
  <c r="CG44" i="1"/>
  <c r="CG43" i="1"/>
  <c r="CG38" i="1"/>
  <c r="CH29" i="1"/>
  <c r="CG62" i="1"/>
  <c r="CG61" i="1"/>
  <c r="CG60" i="1"/>
  <c r="CG56" i="1"/>
  <c r="CH50" i="1"/>
  <c r="DQ196" i="1"/>
  <c r="DR196" i="1" s="1"/>
  <c r="DQ195" i="1"/>
  <c r="DR179" i="1"/>
  <c r="DQ181" i="1"/>
  <c r="DR181" i="1" s="1"/>
  <c r="FX77" i="1"/>
  <c r="FY77" i="1" s="1"/>
  <c r="FY75" i="1"/>
  <c r="DS158" i="1"/>
  <c r="DT158" i="1" s="1"/>
  <c r="DS160" i="1"/>
  <c r="DS159" i="1"/>
  <c r="DT159" i="1" s="1"/>
  <c r="DS153" i="1"/>
  <c r="DT149" i="1"/>
  <c r="GX317" i="1"/>
  <c r="GY316" i="1"/>
  <c r="GX324" i="1"/>
  <c r="GX320" i="1"/>
  <c r="GZ316" i="1"/>
  <c r="GX9" i="1"/>
  <c r="DQ182" i="1"/>
  <c r="DR170" i="1"/>
  <c r="CE75" i="1"/>
  <c r="CF57" i="1"/>
  <c r="CE76" i="1"/>
  <c r="CF76" i="1" s="1"/>
  <c r="GV526" i="1"/>
  <c r="FO15" i="2" s="1"/>
  <c r="GW525" i="1"/>
  <c r="FP14" i="2" s="1"/>
  <c r="DS176" i="1"/>
  <c r="DS175" i="1"/>
  <c r="DT175" i="1" s="1"/>
  <c r="DS174" i="1"/>
  <c r="DT174" i="1" s="1"/>
  <c r="DS169" i="1"/>
  <c r="DT164" i="1"/>
  <c r="CF39" i="1"/>
  <c r="CE74" i="1"/>
  <c r="CF74" i="1" s="1"/>
  <c r="DQ194" i="1"/>
  <c r="DR194" i="1" s="1"/>
  <c r="DR180" i="1"/>
  <c r="EL296" i="198" l="1"/>
  <c r="EL15" i="198"/>
  <c r="EL16" i="198" s="1"/>
  <c r="FR303" i="2"/>
  <c r="EM296" i="198"/>
  <c r="EM15" i="198"/>
  <c r="EM16" i="198" s="1"/>
  <c r="FS303" i="2"/>
  <c r="EK300" i="198"/>
  <c r="FQ307" i="2"/>
  <c r="EK16" i="198"/>
  <c r="DS177" i="1"/>
  <c r="DT177" i="1" s="1"/>
  <c r="DT176" i="1"/>
  <c r="GW526" i="1"/>
  <c r="FP15" i="2" s="1"/>
  <c r="GZ9" i="1"/>
  <c r="GY9" i="1"/>
  <c r="DT160" i="1"/>
  <c r="DS161" i="1"/>
  <c r="DT161" i="1" s="1"/>
  <c r="CH60" i="1"/>
  <c r="CG792" i="1"/>
  <c r="CG793" i="1"/>
  <c r="CG794" i="1" s="1"/>
  <c r="CH38" i="1"/>
  <c r="CG39" i="1"/>
  <c r="CI29" i="1"/>
  <c r="GZ317" i="1"/>
  <c r="GY317" i="1"/>
  <c r="DS179" i="1"/>
  <c r="DT169" i="1"/>
  <c r="DS170" i="1"/>
  <c r="DU164" i="1"/>
  <c r="GZ320" i="1"/>
  <c r="GY320" i="1"/>
  <c r="GX321" i="1"/>
  <c r="DS180" i="1"/>
  <c r="DT153" i="1"/>
  <c r="DS154" i="1"/>
  <c r="DT154" i="1" s="1"/>
  <c r="DU149" i="1"/>
  <c r="DQ197" i="1"/>
  <c r="DR197" i="1" s="1"/>
  <c r="DR195" i="1"/>
  <c r="CH62" i="1"/>
  <c r="CH61" i="1"/>
  <c r="CF75" i="1"/>
  <c r="CE77" i="1"/>
  <c r="CF77" i="1" s="1"/>
  <c r="DQ193" i="1"/>
  <c r="DR193" i="1" s="1"/>
  <c r="DR182" i="1"/>
  <c r="DQ219" i="1"/>
  <c r="DR219" i="1" s="1"/>
  <c r="GX772" i="1"/>
  <c r="GX525" i="1"/>
  <c r="FQ14" i="2" s="1"/>
  <c r="GX326" i="1"/>
  <c r="GZ324" i="1"/>
  <c r="GY324" i="1"/>
  <c r="GX325" i="1"/>
  <c r="CG57" i="1"/>
  <c r="CI50" i="1"/>
  <c r="CH56" i="1"/>
  <c r="EL300" i="198" l="1"/>
  <c r="FR307" i="2"/>
  <c r="EM300" i="198"/>
  <c r="FS307" i="2"/>
  <c r="GZ325" i="1"/>
  <c r="GY325" i="1"/>
  <c r="GZ525" i="1"/>
  <c r="FS14" i="2" s="1"/>
  <c r="GX526" i="1"/>
  <c r="FQ15" i="2" s="1"/>
  <c r="GY525" i="1"/>
  <c r="FR14" i="2" s="1"/>
  <c r="DT180" i="1"/>
  <c r="DS194" i="1"/>
  <c r="DT194" i="1" s="1"/>
  <c r="CH39" i="1"/>
  <c r="CG74" i="1"/>
  <c r="CH74" i="1" s="1"/>
  <c r="DU159" i="1"/>
  <c r="DV159" i="1" s="1"/>
  <c r="DU153" i="1"/>
  <c r="DU158" i="1"/>
  <c r="DV158" i="1" s="1"/>
  <c r="DU160" i="1"/>
  <c r="DV149" i="1"/>
  <c r="CJ50" i="1"/>
  <c r="CI62" i="1"/>
  <c r="CI61" i="1"/>
  <c r="CI60" i="1"/>
  <c r="CI56" i="1"/>
  <c r="DU174" i="1"/>
  <c r="DV174" i="1" s="1"/>
  <c r="DU169" i="1"/>
  <c r="DU176" i="1"/>
  <c r="DU175" i="1"/>
  <c r="DV175" i="1" s="1"/>
  <c r="DV164" i="1"/>
  <c r="GZ321" i="1"/>
  <c r="GY321" i="1"/>
  <c r="DS181" i="1"/>
  <c r="DT181" i="1" s="1"/>
  <c r="DS196" i="1"/>
  <c r="DT196" i="1" s="1"/>
  <c r="DS195" i="1"/>
  <c r="DT179" i="1"/>
  <c r="CG76" i="1"/>
  <c r="CG75" i="1"/>
  <c r="CH57" i="1"/>
  <c r="GZ326" i="1"/>
  <c r="GY326" i="1"/>
  <c r="DT170" i="1"/>
  <c r="DS182" i="1"/>
  <c r="CI45" i="1"/>
  <c r="CI44" i="1"/>
  <c r="CI38" i="1"/>
  <c r="CJ29" i="1"/>
  <c r="CI43" i="1"/>
  <c r="CI46" i="1"/>
  <c r="CI47" i="1" s="1"/>
  <c r="DS193" i="1" l="1"/>
  <c r="DT193" i="1" s="1"/>
  <c r="DT182" i="1"/>
  <c r="DS219" i="1"/>
  <c r="DT219" i="1" s="1"/>
  <c r="CH76" i="1"/>
  <c r="DU177" i="1"/>
  <c r="DV177" i="1" s="1"/>
  <c r="DV176" i="1"/>
  <c r="CJ62" i="1"/>
  <c r="DU161" i="1"/>
  <c r="DV161" i="1" s="1"/>
  <c r="DV160" i="1"/>
  <c r="CK50" i="1"/>
  <c r="CJ56" i="1"/>
  <c r="CI57" i="1"/>
  <c r="CJ60" i="1"/>
  <c r="DU180" i="1"/>
  <c r="DV153" i="1"/>
  <c r="DU154" i="1"/>
  <c r="DV154" i="1" s="1"/>
  <c r="DW149" i="1"/>
  <c r="CI793" i="1"/>
  <c r="CI794" i="1" s="1"/>
  <c r="CI792" i="1"/>
  <c r="CJ38" i="1"/>
  <c r="CI39" i="1"/>
  <c r="CK29" i="1"/>
  <c r="DU170" i="1"/>
  <c r="DW164" i="1"/>
  <c r="DU179" i="1"/>
  <c r="DV169" i="1"/>
  <c r="CG77" i="1"/>
  <c r="CH77" i="1" s="1"/>
  <c r="CH75" i="1"/>
  <c r="DT195" i="1"/>
  <c r="DS197" i="1"/>
  <c r="DT197" i="1" s="1"/>
  <c r="CJ61" i="1"/>
  <c r="GZ526" i="1"/>
  <c r="FS15" i="2" s="1"/>
  <c r="GY526" i="1"/>
  <c r="FR15" i="2" s="1"/>
  <c r="DU196" i="1" l="1"/>
  <c r="DV196" i="1" s="1"/>
  <c r="DU195" i="1"/>
  <c r="DV179" i="1"/>
  <c r="DU181" i="1"/>
  <c r="DV181" i="1" s="1"/>
  <c r="CJ39" i="1"/>
  <c r="CI74" i="1"/>
  <c r="CJ74" i="1" s="1"/>
  <c r="DW158" i="1"/>
  <c r="DX158" i="1" s="1"/>
  <c r="DW160" i="1"/>
  <c r="DW159" i="1"/>
  <c r="DX159" i="1" s="1"/>
  <c r="DW153" i="1"/>
  <c r="DX149" i="1"/>
  <c r="CI76" i="1"/>
  <c r="CJ76" i="1" s="1"/>
  <c r="CI75" i="1"/>
  <c r="CJ57" i="1"/>
  <c r="DW176" i="1"/>
  <c r="DW175" i="1"/>
  <c r="DX175" i="1" s="1"/>
  <c r="DX164" i="1"/>
  <c r="DW174" i="1"/>
  <c r="DX174" i="1" s="1"/>
  <c r="DW169" i="1"/>
  <c r="DU182" i="1"/>
  <c r="DV170" i="1"/>
  <c r="CK61" i="1"/>
  <c r="CK60" i="1"/>
  <c r="CK56" i="1"/>
  <c r="CL50" i="1"/>
  <c r="CK62" i="1"/>
  <c r="CK44" i="1"/>
  <c r="CK43" i="1"/>
  <c r="CK46" i="1"/>
  <c r="CK47" i="1" s="1"/>
  <c r="CK45" i="1"/>
  <c r="CK38" i="1"/>
  <c r="CL29" i="1"/>
  <c r="DU194" i="1"/>
  <c r="DV194" i="1" s="1"/>
  <c r="DV180" i="1"/>
  <c r="CK57" i="1" l="1"/>
  <c r="CL56" i="1"/>
  <c r="CM50" i="1"/>
  <c r="DX160" i="1"/>
  <c r="DW161" i="1"/>
  <c r="DX161" i="1" s="1"/>
  <c r="DW177" i="1"/>
  <c r="DX177" i="1" s="1"/>
  <c r="DX176" i="1"/>
  <c r="CL62" i="1"/>
  <c r="CL61" i="1"/>
  <c r="DU193" i="1"/>
  <c r="DV193" i="1" s="1"/>
  <c r="DV182" i="1"/>
  <c r="DU219" i="1"/>
  <c r="DV219" i="1" s="1"/>
  <c r="DY149" i="1"/>
  <c r="DW180" i="1"/>
  <c r="DX153" i="1"/>
  <c r="DW154" i="1"/>
  <c r="DX154" i="1" s="1"/>
  <c r="DU197" i="1"/>
  <c r="DV197" i="1" s="1"/>
  <c r="DV195" i="1"/>
  <c r="CL60" i="1"/>
  <c r="DW179" i="1"/>
  <c r="DY164" i="1"/>
  <c r="DX169" i="1"/>
  <c r="DW170" i="1"/>
  <c r="CK792" i="1"/>
  <c r="CK793" i="1" s="1"/>
  <c r="CK794" i="1" s="1"/>
  <c r="CM29" i="1"/>
  <c r="CL38" i="1"/>
  <c r="CK39" i="1"/>
  <c r="CJ75" i="1"/>
  <c r="CI77" i="1"/>
  <c r="CJ77" i="1" s="1"/>
  <c r="CM43" i="1" l="1"/>
  <c r="CM46" i="1"/>
  <c r="CM47" i="1" s="1"/>
  <c r="CM38" i="1"/>
  <c r="CN29" i="1"/>
  <c r="CM45" i="1"/>
  <c r="CM44" i="1"/>
  <c r="CN50" i="1"/>
  <c r="CM62" i="1"/>
  <c r="CM61" i="1"/>
  <c r="CM60" i="1"/>
  <c r="CM56" i="1"/>
  <c r="DY174" i="1"/>
  <c r="DZ174" i="1" s="1"/>
  <c r="DY169" i="1"/>
  <c r="DZ164" i="1"/>
  <c r="DY176" i="1"/>
  <c r="DY175" i="1"/>
  <c r="DZ175" i="1" s="1"/>
  <c r="DW181" i="1"/>
  <c r="DX181" i="1" s="1"/>
  <c r="DW196" i="1"/>
  <c r="DX196" i="1" s="1"/>
  <c r="DW195" i="1"/>
  <c r="DX179" i="1"/>
  <c r="DX180" i="1"/>
  <c r="DW194" i="1"/>
  <c r="DX194" i="1" s="1"/>
  <c r="CK76" i="1"/>
  <c r="CK75" i="1"/>
  <c r="CL57" i="1"/>
  <c r="FZ39" i="1"/>
  <c r="CL39" i="1"/>
  <c r="CK74" i="1"/>
  <c r="CL74" i="1" s="1"/>
  <c r="DX170" i="1"/>
  <c r="DW182" i="1"/>
  <c r="DY159" i="1"/>
  <c r="DZ159" i="1" s="1"/>
  <c r="DY153" i="1"/>
  <c r="DY158" i="1"/>
  <c r="DZ158" i="1" s="1"/>
  <c r="DY160" i="1"/>
  <c r="DZ149" i="1"/>
  <c r="CL76" i="1" l="1"/>
  <c r="DY180" i="1"/>
  <c r="DZ153" i="1"/>
  <c r="EA149" i="1"/>
  <c r="DY154" i="1"/>
  <c r="DZ154" i="1" s="1"/>
  <c r="CK77" i="1"/>
  <c r="CL77" i="1" s="1"/>
  <c r="CL75" i="1"/>
  <c r="CN62" i="1"/>
  <c r="DY170" i="1"/>
  <c r="DY179" i="1"/>
  <c r="DZ169" i="1"/>
  <c r="EA164" i="1"/>
  <c r="CN56" i="1"/>
  <c r="CM57" i="1"/>
  <c r="CO50" i="1"/>
  <c r="DY161" i="1"/>
  <c r="DZ161" i="1" s="1"/>
  <c r="DZ160" i="1"/>
  <c r="DW193" i="1"/>
  <c r="DX193" i="1" s="1"/>
  <c r="DX182" i="1"/>
  <c r="DW219" i="1"/>
  <c r="DX219" i="1" s="1"/>
  <c r="GA39" i="1"/>
  <c r="FZ74" i="1"/>
  <c r="GA74" i="1" s="1"/>
  <c r="FZ75" i="1"/>
  <c r="FZ76" i="1"/>
  <c r="GA76" i="1" s="1"/>
  <c r="CN60" i="1"/>
  <c r="CM792" i="1"/>
  <c r="CM793" i="1" s="1"/>
  <c r="CM794" i="1" s="1"/>
  <c r="CN38" i="1"/>
  <c r="CO29" i="1"/>
  <c r="CM39" i="1"/>
  <c r="CM64" i="1"/>
  <c r="DX195" i="1"/>
  <c r="DW197" i="1"/>
  <c r="DX197" i="1" s="1"/>
  <c r="DY177" i="1"/>
  <c r="DZ177" i="1" s="1"/>
  <c r="DZ176" i="1"/>
  <c r="CN61" i="1"/>
  <c r="DY182" i="1" l="1"/>
  <c r="DZ170" i="1"/>
  <c r="CN57" i="1"/>
  <c r="CM75" i="1"/>
  <c r="CM76" i="1"/>
  <c r="DY196" i="1"/>
  <c r="DZ196" i="1" s="1"/>
  <c r="DY195" i="1"/>
  <c r="DZ179" i="1"/>
  <c r="DY181" i="1"/>
  <c r="DZ181" i="1" s="1"/>
  <c r="EA158" i="1"/>
  <c r="EB158" i="1" s="1"/>
  <c r="EA160" i="1"/>
  <c r="EA159" i="1"/>
  <c r="EB159" i="1" s="1"/>
  <c r="EA154" i="1"/>
  <c r="EB154" i="1" s="1"/>
  <c r="EA153" i="1"/>
  <c r="EB149" i="1"/>
  <c r="CN39" i="1"/>
  <c r="CM74" i="1"/>
  <c r="CN74" i="1" s="1"/>
  <c r="CM99" i="1"/>
  <c r="EA176" i="1"/>
  <c r="EA175" i="1"/>
  <c r="EB175" i="1" s="1"/>
  <c r="EA174" i="1"/>
  <c r="EB174" i="1" s="1"/>
  <c r="EA169" i="1"/>
  <c r="EB164" i="1"/>
  <c r="DY194" i="1"/>
  <c r="DZ194" i="1" s="1"/>
  <c r="DZ180" i="1"/>
  <c r="CO46" i="1"/>
  <c r="CO47" i="1" s="1"/>
  <c r="CO45" i="1"/>
  <c r="CO44" i="1"/>
  <c r="CO43" i="1"/>
  <c r="CO38" i="1"/>
  <c r="CP29" i="1"/>
  <c r="FZ77" i="1"/>
  <c r="GA77" i="1" s="1"/>
  <c r="GA75" i="1"/>
  <c r="CO62" i="1"/>
  <c r="CO61" i="1"/>
  <c r="CO60" i="1"/>
  <c r="CO56" i="1"/>
  <c r="CP50" i="1"/>
  <c r="CP61" i="1" l="1"/>
  <c r="EA177" i="1"/>
  <c r="EB177" i="1" s="1"/>
  <c r="EB176" i="1"/>
  <c r="DY197" i="1"/>
  <c r="DZ197" i="1" s="1"/>
  <c r="DZ195" i="1"/>
  <c r="CP60" i="1"/>
  <c r="EA180" i="1"/>
  <c r="EB153" i="1"/>
  <c r="EC149" i="1"/>
  <c r="CN76" i="1"/>
  <c r="CP62" i="1"/>
  <c r="CO792" i="1"/>
  <c r="CO793" i="1"/>
  <c r="CO794" i="1" s="1"/>
  <c r="CO64" i="1"/>
  <c r="CP38" i="1"/>
  <c r="CO39" i="1"/>
  <c r="CQ29" i="1"/>
  <c r="EA179" i="1"/>
  <c r="EB169" i="1"/>
  <c r="EA170" i="1"/>
  <c r="EC164" i="1"/>
  <c r="CN75" i="1"/>
  <c r="CM77" i="1"/>
  <c r="CO57" i="1"/>
  <c r="CQ50" i="1"/>
  <c r="CP56" i="1"/>
  <c r="EB160" i="1"/>
  <c r="EA161" i="1"/>
  <c r="EB161" i="1" s="1"/>
  <c r="DY193" i="1"/>
  <c r="DZ193" i="1" s="1"/>
  <c r="DZ182" i="1"/>
  <c r="DY219" i="1"/>
  <c r="DZ219" i="1" s="1"/>
  <c r="EC174" i="1" l="1"/>
  <c r="ED174" i="1" s="1"/>
  <c r="EC169" i="1"/>
  <c r="EC176" i="1"/>
  <c r="EC175" i="1"/>
  <c r="ED175" i="1" s="1"/>
  <c r="ED164" i="1"/>
  <c r="CQ45" i="1"/>
  <c r="CQ44" i="1"/>
  <c r="CQ38" i="1"/>
  <c r="CR29" i="1"/>
  <c r="CQ43" i="1"/>
  <c r="CQ46" i="1"/>
  <c r="CQ47" i="1" s="1"/>
  <c r="EA181" i="1"/>
  <c r="EB181" i="1" s="1"/>
  <c r="EA196" i="1"/>
  <c r="EB196" i="1" s="1"/>
  <c r="EA195" i="1"/>
  <c r="EB179" i="1"/>
  <c r="CR50" i="1"/>
  <c r="CQ62" i="1"/>
  <c r="CQ61" i="1"/>
  <c r="CQ60" i="1"/>
  <c r="CQ56" i="1"/>
  <c r="EB170" i="1"/>
  <c r="EA182" i="1"/>
  <c r="CP39" i="1"/>
  <c r="CO74" i="1"/>
  <c r="CP74" i="1" s="1"/>
  <c r="CO99" i="1"/>
  <c r="EC159" i="1"/>
  <c r="ED159" i="1" s="1"/>
  <c r="EC153" i="1"/>
  <c r="EC158" i="1"/>
  <c r="ED158" i="1" s="1"/>
  <c r="EC160" i="1"/>
  <c r="ED149" i="1"/>
  <c r="CO75" i="1"/>
  <c r="CO76" i="1"/>
  <c r="CP76" i="1" s="1"/>
  <c r="CP57" i="1"/>
  <c r="CN77" i="1"/>
  <c r="EB180" i="1"/>
  <c r="EA194" i="1"/>
  <c r="EB194" i="1" s="1"/>
  <c r="EC161" i="1" l="1"/>
  <c r="ED161" i="1" s="1"/>
  <c r="ED160" i="1"/>
  <c r="EA193" i="1"/>
  <c r="EB193" i="1" s="1"/>
  <c r="EB182" i="1"/>
  <c r="EA219" i="1"/>
  <c r="EB219" i="1" s="1"/>
  <c r="CS50" i="1"/>
  <c r="CR56" i="1"/>
  <c r="CQ57" i="1"/>
  <c r="EC170" i="1"/>
  <c r="EE164" i="1"/>
  <c r="EC179" i="1"/>
  <c r="ED169" i="1"/>
  <c r="CR60" i="1"/>
  <c r="EB195" i="1"/>
  <c r="EA197" i="1"/>
  <c r="EB197" i="1" s="1"/>
  <c r="CP75" i="1"/>
  <c r="CO77" i="1"/>
  <c r="CP77" i="1" s="1"/>
  <c r="CR61" i="1"/>
  <c r="CQ792" i="1"/>
  <c r="CQ793" i="1" s="1"/>
  <c r="CQ794" i="1" s="1"/>
  <c r="CQ64" i="1"/>
  <c r="CR38" i="1"/>
  <c r="CQ39" i="1"/>
  <c r="CS29" i="1"/>
  <c r="EC180" i="1"/>
  <c r="ED153" i="1"/>
  <c r="EC154" i="1"/>
  <c r="ED154" i="1" s="1"/>
  <c r="EE149" i="1"/>
  <c r="CR62" i="1"/>
  <c r="EC177" i="1"/>
  <c r="ED177" i="1" s="1"/>
  <c r="ED176" i="1"/>
  <c r="CQ76" i="1" l="1"/>
  <c r="CR76" i="1" s="1"/>
  <c r="CR57" i="1"/>
  <c r="CQ75" i="1"/>
  <c r="EC194" i="1"/>
  <c r="ED194" i="1" s="1"/>
  <c r="ED180" i="1"/>
  <c r="CR39" i="1"/>
  <c r="CQ74" i="1"/>
  <c r="CR74" i="1" s="1"/>
  <c r="CQ99" i="1"/>
  <c r="EE176" i="1"/>
  <c r="EE175" i="1"/>
  <c r="EF175" i="1" s="1"/>
  <c r="EF164" i="1"/>
  <c r="EE174" i="1"/>
  <c r="EF174" i="1" s="1"/>
  <c r="EE169" i="1"/>
  <c r="CS62" i="1"/>
  <c r="CS61" i="1"/>
  <c r="CS60" i="1"/>
  <c r="CS56" i="1"/>
  <c r="CT50" i="1"/>
  <c r="CS44" i="1"/>
  <c r="CS43" i="1"/>
  <c r="CS46" i="1"/>
  <c r="CS47" i="1" s="1"/>
  <c r="CS45" i="1"/>
  <c r="CS38" i="1"/>
  <c r="CT29" i="1"/>
  <c r="EC196" i="1"/>
  <c r="ED196" i="1" s="1"/>
  <c r="EC195" i="1"/>
  <c r="ED179" i="1"/>
  <c r="EC181" i="1"/>
  <c r="ED181" i="1" s="1"/>
  <c r="EE158" i="1"/>
  <c r="EF158" i="1" s="1"/>
  <c r="EE160" i="1"/>
  <c r="EE159" i="1"/>
  <c r="EF159" i="1" s="1"/>
  <c r="EE153" i="1"/>
  <c r="EF149" i="1"/>
  <c r="EC182" i="1"/>
  <c r="ED170" i="1"/>
  <c r="EF160" i="1" l="1"/>
  <c r="EE161" i="1"/>
  <c r="EF161" i="1" s="1"/>
  <c r="CT61" i="1"/>
  <c r="EC193" i="1"/>
  <c r="ED193" i="1" s="1"/>
  <c r="ED182" i="1"/>
  <c r="EC219" i="1"/>
  <c r="ED219" i="1" s="1"/>
  <c r="EG149" i="1"/>
  <c r="EE180" i="1"/>
  <c r="EF153" i="1"/>
  <c r="EE154" i="1"/>
  <c r="EF154" i="1" s="1"/>
  <c r="CU29" i="1"/>
  <c r="CT38" i="1"/>
  <c r="CS64" i="1"/>
  <c r="CS39" i="1"/>
  <c r="CS57" i="1"/>
  <c r="CT56" i="1"/>
  <c r="CU50" i="1"/>
  <c r="EE179" i="1"/>
  <c r="EG164" i="1"/>
  <c r="EF169" i="1"/>
  <c r="EE170" i="1"/>
  <c r="EE177" i="1"/>
  <c r="EF177" i="1" s="1"/>
  <c r="EF176" i="1"/>
  <c r="CR75" i="1"/>
  <c r="CQ77" i="1"/>
  <c r="CR77" i="1" s="1"/>
  <c r="EC197" i="1"/>
  <c r="ED197" i="1" s="1"/>
  <c r="ED195" i="1"/>
  <c r="CT62" i="1"/>
  <c r="CT60" i="1"/>
  <c r="GB39" i="1" l="1"/>
  <c r="CT39" i="1"/>
  <c r="CS74" i="1"/>
  <c r="CT74" i="1" s="1"/>
  <c r="CS99" i="1"/>
  <c r="CV50" i="1"/>
  <c r="CU62" i="1"/>
  <c r="CU61" i="1"/>
  <c r="CU60" i="1"/>
  <c r="CU56" i="1"/>
  <c r="EE181" i="1"/>
  <c r="EF181" i="1" s="1"/>
  <c r="EE196" i="1"/>
  <c r="EF196" i="1" s="1"/>
  <c r="EE195" i="1"/>
  <c r="EF179" i="1"/>
  <c r="EF180" i="1"/>
  <c r="EE194" i="1"/>
  <c r="EF194" i="1" s="1"/>
  <c r="EG174" i="1"/>
  <c r="EH174" i="1" s="1"/>
  <c r="EG169" i="1"/>
  <c r="EH164" i="1"/>
  <c r="EG176" i="1"/>
  <c r="EG175" i="1"/>
  <c r="EH175" i="1" s="1"/>
  <c r="EF170" i="1"/>
  <c r="EE182" i="1"/>
  <c r="CS76" i="1"/>
  <c r="CT57" i="1"/>
  <c r="CS75" i="1"/>
  <c r="CU43" i="1"/>
  <c r="CU46" i="1"/>
  <c r="CU47" i="1" s="1"/>
  <c r="CU38" i="1"/>
  <c r="CV29" i="1"/>
  <c r="CU45" i="1"/>
  <c r="CU44" i="1"/>
  <c r="EG159" i="1"/>
  <c r="EH159" i="1" s="1"/>
  <c r="EG153" i="1"/>
  <c r="EG158" i="1"/>
  <c r="EH158" i="1" s="1"/>
  <c r="EG160" i="1"/>
  <c r="EH149" i="1"/>
  <c r="CV38" i="1" l="1"/>
  <c r="CW29" i="1"/>
  <c r="CU39" i="1"/>
  <c r="CU64" i="1"/>
  <c r="CV60" i="1"/>
  <c r="EG180" i="1"/>
  <c r="EH153" i="1"/>
  <c r="EI149" i="1"/>
  <c r="EG154" i="1"/>
  <c r="EH154" i="1" s="1"/>
  <c r="CT76" i="1"/>
  <c r="EG170" i="1"/>
  <c r="EG179" i="1"/>
  <c r="EH169" i="1"/>
  <c r="EI164" i="1"/>
  <c r="CV56" i="1"/>
  <c r="CU57" i="1"/>
  <c r="CW50" i="1"/>
  <c r="EG161" i="1"/>
  <c r="EH161" i="1" s="1"/>
  <c r="EH160" i="1"/>
  <c r="CS77" i="1"/>
  <c r="CT77" i="1" s="1"/>
  <c r="CT75" i="1"/>
  <c r="EG177" i="1"/>
  <c r="EH177" i="1" s="1"/>
  <c r="EH176" i="1"/>
  <c r="CV61" i="1"/>
  <c r="GC39" i="1"/>
  <c r="GB74" i="1"/>
  <c r="GC74" i="1" s="1"/>
  <c r="GB75" i="1"/>
  <c r="GB76" i="1"/>
  <c r="GC76" i="1" s="1"/>
  <c r="EE193" i="1"/>
  <c r="EF193" i="1" s="1"/>
  <c r="EF182" i="1"/>
  <c r="EE219" i="1"/>
  <c r="EF219" i="1" s="1"/>
  <c r="EF195" i="1"/>
  <c r="EE197" i="1"/>
  <c r="EF197" i="1" s="1"/>
  <c r="CV62" i="1"/>
  <c r="GB77" i="1" l="1"/>
  <c r="GC77" i="1" s="1"/>
  <c r="GC75" i="1"/>
  <c r="CU75" i="1"/>
  <c r="CV57" i="1"/>
  <c r="CU76" i="1"/>
  <c r="EG196" i="1"/>
  <c r="EH196" i="1" s="1"/>
  <c r="EG195" i="1"/>
  <c r="EH179" i="1"/>
  <c r="EG181" i="1"/>
  <c r="EH181" i="1" s="1"/>
  <c r="EG194" i="1"/>
  <c r="EH194" i="1" s="1"/>
  <c r="EH180" i="1"/>
  <c r="EG182" i="1"/>
  <c r="EH170" i="1"/>
  <c r="CV39" i="1"/>
  <c r="CU74" i="1"/>
  <c r="CV74" i="1" s="1"/>
  <c r="CU99" i="1"/>
  <c r="EI176" i="1"/>
  <c r="EI175" i="1"/>
  <c r="EI174" i="1"/>
  <c r="EI169" i="1"/>
  <c r="EJ164" i="1"/>
  <c r="EI158" i="1"/>
  <c r="EI160" i="1"/>
  <c r="EI159" i="1"/>
  <c r="EI153" i="1"/>
  <c r="EJ149" i="1"/>
  <c r="CW46" i="1"/>
  <c r="CW47" i="1" s="1"/>
  <c r="CW45" i="1"/>
  <c r="CW44" i="1"/>
  <c r="CW43" i="1"/>
  <c r="CW38" i="1"/>
  <c r="CX29" i="1"/>
  <c r="CW62" i="1"/>
  <c r="CW61" i="1"/>
  <c r="CW60" i="1"/>
  <c r="CW56" i="1"/>
  <c r="CX50" i="1"/>
  <c r="EI179" i="1" l="1"/>
  <c r="EJ169" i="1"/>
  <c r="EI170" i="1"/>
  <c r="EK164" i="1"/>
  <c r="CX60" i="1"/>
  <c r="EI180" i="1"/>
  <c r="EJ153" i="1"/>
  <c r="EI154" i="1"/>
  <c r="EJ154" i="1" s="1"/>
  <c r="EK149" i="1"/>
  <c r="EI177" i="1"/>
  <c r="EJ176" i="1"/>
  <c r="CV75" i="1"/>
  <c r="CU77" i="1"/>
  <c r="CX62" i="1"/>
  <c r="CW64" i="1"/>
  <c r="CX38" i="1"/>
  <c r="CW39" i="1"/>
  <c r="CY29" i="1"/>
  <c r="EJ160" i="1"/>
  <c r="EI161" i="1"/>
  <c r="EJ161" i="1" s="1"/>
  <c r="ER174" i="1"/>
  <c r="EJ174" i="1"/>
  <c r="EG197" i="1"/>
  <c r="EH197" i="1" s="1"/>
  <c r="EH195" i="1"/>
  <c r="CV76" i="1"/>
  <c r="CX61" i="1"/>
  <c r="ER159" i="1"/>
  <c r="EJ159" i="1"/>
  <c r="CW57" i="1"/>
  <c r="CY50" i="1"/>
  <c r="CX56" i="1"/>
  <c r="EJ158" i="1"/>
  <c r="ER158" i="1"/>
  <c r="ER175" i="1"/>
  <c r="EJ175" i="1"/>
  <c r="EG193" i="1"/>
  <c r="EH193" i="1" s="1"/>
  <c r="EH182" i="1"/>
  <c r="EG219" i="1"/>
  <c r="EH219" i="1" s="1"/>
  <c r="CW76" i="1" l="1"/>
  <c r="CX76" i="1" s="1"/>
  <c r="CW75" i="1"/>
  <c r="CX57" i="1"/>
  <c r="CV77" i="1"/>
  <c r="EK159" i="1"/>
  <c r="EK153" i="1"/>
  <c r="EK158" i="1"/>
  <c r="EK160" i="1"/>
  <c r="EL149" i="1"/>
  <c r="EK174" i="1"/>
  <c r="EK169" i="1"/>
  <c r="EK176" i="1"/>
  <c r="EK175" i="1"/>
  <c r="EL164" i="1"/>
  <c r="CY45" i="1"/>
  <c r="CY44" i="1"/>
  <c r="CY38" i="1"/>
  <c r="CZ29" i="1"/>
  <c r="CY43" i="1"/>
  <c r="CY46" i="1"/>
  <c r="CY47" i="1" s="1"/>
  <c r="CX39" i="1"/>
  <c r="CW74" i="1"/>
  <c r="CX74" i="1" s="1"/>
  <c r="CW99" i="1"/>
  <c r="EJ170" i="1"/>
  <c r="EI182" i="1"/>
  <c r="CZ50" i="1"/>
  <c r="CY62" i="1"/>
  <c r="CY61" i="1"/>
  <c r="CY60" i="1"/>
  <c r="CY56" i="1"/>
  <c r="ER177" i="1"/>
  <c r="EJ177" i="1"/>
  <c r="EJ180" i="1"/>
  <c r="EI194" i="1"/>
  <c r="EJ194" i="1" s="1"/>
  <c r="EI181" i="1"/>
  <c r="EJ181" i="1" s="1"/>
  <c r="EI196" i="1"/>
  <c r="EI195" i="1"/>
  <c r="EJ179" i="1"/>
  <c r="CY64" i="1" l="1"/>
  <c r="CZ38" i="1"/>
  <c r="CY39" i="1"/>
  <c r="DA29" i="1"/>
  <c r="ET175" i="1"/>
  <c r="EL175" i="1"/>
  <c r="ET159" i="1"/>
  <c r="EL159" i="1"/>
  <c r="CZ60" i="1"/>
  <c r="CZ61" i="1"/>
  <c r="EI193" i="1"/>
  <c r="EJ193" i="1" s="1"/>
  <c r="EJ182" i="1"/>
  <c r="EI219" i="1"/>
  <c r="EJ219" i="1" s="1"/>
  <c r="EK177" i="1"/>
  <c r="EL176" i="1"/>
  <c r="EK161" i="1"/>
  <c r="EL161" i="1" s="1"/>
  <c r="EL160" i="1"/>
  <c r="ER195" i="1"/>
  <c r="EJ195" i="1"/>
  <c r="EI197" i="1"/>
  <c r="CZ62" i="1"/>
  <c r="EK170" i="1"/>
  <c r="EM164" i="1"/>
  <c r="EK179" i="1"/>
  <c r="EL169" i="1"/>
  <c r="EL158" i="1"/>
  <c r="ET158" i="1"/>
  <c r="EJ196" i="1"/>
  <c r="ER196" i="1"/>
  <c r="DA50" i="1"/>
  <c r="CZ56" i="1"/>
  <c r="CY57" i="1"/>
  <c r="ET174" i="1"/>
  <c r="EL174" i="1"/>
  <c r="EK180" i="1"/>
  <c r="EL153" i="1"/>
  <c r="EK154" i="1"/>
  <c r="EL154" i="1" s="1"/>
  <c r="EM149" i="1"/>
  <c r="CW77" i="1"/>
  <c r="CX77" i="1" s="1"/>
  <c r="CX75" i="1"/>
  <c r="CZ39" i="1" l="1"/>
  <c r="CY74" i="1"/>
  <c r="CZ74" i="1" s="1"/>
  <c r="CY99" i="1"/>
  <c r="EK194" i="1"/>
  <c r="EL194" i="1" s="1"/>
  <c r="EL180" i="1"/>
  <c r="DA44" i="1"/>
  <c r="DA43" i="1"/>
  <c r="DA46" i="1"/>
  <c r="DA47" i="1" s="1"/>
  <c r="DA45" i="1"/>
  <c r="DA38" i="1"/>
  <c r="DB29" i="1"/>
  <c r="EM158" i="1"/>
  <c r="EM160" i="1"/>
  <c r="EM159" i="1"/>
  <c r="EM153" i="1"/>
  <c r="EN149" i="1"/>
  <c r="EM176" i="1"/>
  <c r="EM175" i="1"/>
  <c r="EN164" i="1"/>
  <c r="EM174" i="1"/>
  <c r="EM169" i="1"/>
  <c r="DA62" i="1"/>
  <c r="DA61" i="1"/>
  <c r="DA60" i="1"/>
  <c r="DA56" i="1"/>
  <c r="DB50" i="1"/>
  <c r="EK196" i="1"/>
  <c r="EK195" i="1"/>
  <c r="EL179" i="1"/>
  <c r="EK181" i="1"/>
  <c r="EL181" i="1" s="1"/>
  <c r="CY76" i="1"/>
  <c r="CY75" i="1"/>
  <c r="CZ57" i="1"/>
  <c r="EK182" i="1"/>
  <c r="EL170" i="1"/>
  <c r="EJ197" i="1"/>
  <c r="ER197" i="1"/>
  <c r="ET177" i="1"/>
  <c r="EL177" i="1"/>
  <c r="DB60" i="1" l="1"/>
  <c r="EV175" i="1"/>
  <c r="EN175" i="1"/>
  <c r="CZ76" i="1"/>
  <c r="EL196" i="1"/>
  <c r="ET196" i="1"/>
  <c r="DA57" i="1"/>
  <c r="DB56" i="1"/>
  <c r="DC50" i="1"/>
  <c r="EN160" i="1"/>
  <c r="EM161" i="1"/>
  <c r="EN161" i="1" s="1"/>
  <c r="EV158" i="1"/>
  <c r="EN158" i="1"/>
  <c r="DB61" i="1"/>
  <c r="EM179" i="1"/>
  <c r="EO164" i="1"/>
  <c r="EN169" i="1"/>
  <c r="EM170" i="1"/>
  <c r="EM177" i="1"/>
  <c r="EN176" i="1"/>
  <c r="EO149" i="1"/>
  <c r="EM180" i="1"/>
  <c r="EN153" i="1"/>
  <c r="EM154" i="1"/>
  <c r="EN154" i="1" s="1"/>
  <c r="EK193" i="1"/>
  <c r="EL193" i="1" s="1"/>
  <c r="EL182" i="1"/>
  <c r="EK219" i="1"/>
  <c r="EL219" i="1" s="1"/>
  <c r="CZ75" i="1"/>
  <c r="CY77" i="1"/>
  <c r="EK197" i="1"/>
  <c r="ET195" i="1"/>
  <c r="EL195" i="1"/>
  <c r="DB62" i="1"/>
  <c r="EV174" i="1"/>
  <c r="EN174" i="1"/>
  <c r="EV159" i="1"/>
  <c r="EN159" i="1"/>
  <c r="DC29" i="1"/>
  <c r="DB38" i="1"/>
  <c r="DA64" i="1"/>
  <c r="DA39" i="1"/>
  <c r="CZ77" i="1" l="1"/>
  <c r="EP149" i="1"/>
  <c r="EO159" i="1"/>
  <c r="EO153" i="1"/>
  <c r="EO158" i="1"/>
  <c r="EO160" i="1"/>
  <c r="DA76" i="1"/>
  <c r="DA75" i="1"/>
  <c r="DB57" i="1"/>
  <c r="DC43" i="1"/>
  <c r="DC46" i="1"/>
  <c r="DC47" i="1" s="1"/>
  <c r="DC38" i="1"/>
  <c r="DD29" i="1"/>
  <c r="DC45" i="1"/>
  <c r="DC44" i="1"/>
  <c r="EL197" i="1"/>
  <c r="ET197" i="1"/>
  <c r="EN177" i="1"/>
  <c r="EV177" i="1"/>
  <c r="EM181" i="1"/>
  <c r="EN181" i="1" s="1"/>
  <c r="EM196" i="1"/>
  <c r="EM195" i="1"/>
  <c r="EN179" i="1"/>
  <c r="EO174" i="1"/>
  <c r="EO169" i="1"/>
  <c r="EP164" i="1"/>
  <c r="EO176" i="1"/>
  <c r="EO175" i="1"/>
  <c r="GD39" i="1"/>
  <c r="DB39" i="1"/>
  <c r="DA74" i="1"/>
  <c r="DB74" i="1" s="1"/>
  <c r="DA99" i="1"/>
  <c r="EN180" i="1"/>
  <c r="EM194" i="1"/>
  <c r="EN194" i="1" s="1"/>
  <c r="EN170" i="1"/>
  <c r="EM182" i="1"/>
  <c r="DD50" i="1"/>
  <c r="DC62" i="1"/>
  <c r="DC61" i="1"/>
  <c r="DC60" i="1"/>
  <c r="DC56" i="1"/>
  <c r="EM193" i="1" l="1"/>
  <c r="EN193" i="1" s="1"/>
  <c r="EN182" i="1"/>
  <c r="EM219" i="1"/>
  <c r="EN219" i="1" s="1"/>
  <c r="EP158" i="1"/>
  <c r="EX158" i="1"/>
  <c r="DD56" i="1"/>
  <c r="DC57" i="1"/>
  <c r="DE50" i="1"/>
  <c r="GE39" i="1"/>
  <c r="GD74" i="1"/>
  <c r="GE74" i="1" s="1"/>
  <c r="GD75" i="1"/>
  <c r="GD76" i="1"/>
  <c r="GE76" i="1" s="1"/>
  <c r="EO177" i="1"/>
  <c r="EP176" i="1"/>
  <c r="EN196" i="1"/>
  <c r="EV196" i="1"/>
  <c r="EO161" i="1"/>
  <c r="EP160" i="1"/>
  <c r="DD61" i="1"/>
  <c r="EO170" i="1"/>
  <c r="EQ164" i="1"/>
  <c r="EO179" i="1"/>
  <c r="EP169" i="1"/>
  <c r="DA77" i="1"/>
  <c r="DB75" i="1"/>
  <c r="EO180" i="1"/>
  <c r="EP153" i="1"/>
  <c r="EO154" i="1"/>
  <c r="EP154" i="1" s="1"/>
  <c r="EQ149" i="1"/>
  <c r="DD60" i="1"/>
  <c r="DD62" i="1"/>
  <c r="EX175" i="1"/>
  <c r="EP175" i="1"/>
  <c r="EX174" i="1"/>
  <c r="EP174" i="1"/>
  <c r="EN195" i="1"/>
  <c r="EM197" i="1"/>
  <c r="EV195" i="1"/>
  <c r="DD38" i="1"/>
  <c r="DE29" i="1"/>
  <c r="DC39" i="1"/>
  <c r="DC64" i="1"/>
  <c r="DB76" i="1"/>
  <c r="EX159" i="1"/>
  <c r="EP159" i="1"/>
  <c r="EO196" i="1" l="1"/>
  <c r="EO195" i="1"/>
  <c r="EP179" i="1"/>
  <c r="EO181" i="1"/>
  <c r="EP181" i="1" s="1"/>
  <c r="EQ151" i="1"/>
  <c r="EQ150" i="1"/>
  <c r="ER149" i="1"/>
  <c r="DD39" i="1"/>
  <c r="DC74" i="1"/>
  <c r="DD74" i="1" s="1"/>
  <c r="DC99" i="1"/>
  <c r="EN197" i="1"/>
  <c r="EV197" i="1"/>
  <c r="EP161" i="1"/>
  <c r="EQ161" i="1"/>
  <c r="EQ152" i="1" s="1"/>
  <c r="EP177" i="1"/>
  <c r="EX177" i="1"/>
  <c r="DE46" i="1"/>
  <c r="DE47" i="1" s="1"/>
  <c r="DE45" i="1"/>
  <c r="DE44" i="1"/>
  <c r="DE43" i="1"/>
  <c r="DE38" i="1"/>
  <c r="DF29" i="1"/>
  <c r="EQ167" i="1"/>
  <c r="EQ166" i="1"/>
  <c r="ER164" i="1"/>
  <c r="EQ165" i="1"/>
  <c r="DE62" i="1"/>
  <c r="DE61" i="1"/>
  <c r="DE60" i="1"/>
  <c r="DE56" i="1"/>
  <c r="DF50" i="1"/>
  <c r="EO194" i="1"/>
  <c r="EP180" i="1"/>
  <c r="DB77" i="1"/>
  <c r="EO182" i="1"/>
  <c r="EP170" i="1"/>
  <c r="GD77" i="1"/>
  <c r="GE77" i="1" s="1"/>
  <c r="GE75" i="1"/>
  <c r="DD57" i="1"/>
  <c r="DC75" i="1"/>
  <c r="DC76" i="1"/>
  <c r="CT247" i="198" l="1"/>
  <c r="DR254" i="2"/>
  <c r="CT260" i="198"/>
  <c r="DR267" i="2"/>
  <c r="EQ160" i="1"/>
  <c r="ER152" i="1"/>
  <c r="DD75" i="1"/>
  <c r="DC77" i="1"/>
  <c r="DF61" i="1"/>
  <c r="EQ172" i="1"/>
  <c r="ER172" i="1" s="1"/>
  <c r="ER165" i="1"/>
  <c r="EQ789" i="1"/>
  <c r="EQ176" i="1"/>
  <c r="ER167" i="1"/>
  <c r="DE64" i="1"/>
  <c r="DF38" i="1"/>
  <c r="DE39" i="1"/>
  <c r="DG29" i="1"/>
  <c r="EQ156" i="1"/>
  <c r="ER150" i="1"/>
  <c r="EO193" i="1"/>
  <c r="EP182" i="1"/>
  <c r="EO219" i="1"/>
  <c r="EP219" i="1" s="1"/>
  <c r="EP194" i="1"/>
  <c r="EQ194" i="1"/>
  <c r="DE57" i="1"/>
  <c r="DG50" i="1"/>
  <c r="DF56" i="1"/>
  <c r="ER166" i="1"/>
  <c r="EQ153" i="1"/>
  <c r="EO197" i="1"/>
  <c r="EP195" i="1"/>
  <c r="EX195" i="1"/>
  <c r="DF62" i="1"/>
  <c r="ES161" i="1"/>
  <c r="ER161" i="1"/>
  <c r="ER151" i="1"/>
  <c r="DD76" i="1"/>
  <c r="DF60" i="1"/>
  <c r="EQ169" i="1"/>
  <c r="EP196" i="1"/>
  <c r="EX196" i="1"/>
  <c r="CT248" i="198" l="1"/>
  <c r="DR255" i="2"/>
  <c r="ER176" i="1"/>
  <c r="CT272" i="198"/>
  <c r="DR279" i="2"/>
  <c r="ER160" i="1"/>
  <c r="CT254" i="198"/>
  <c r="DR261" i="2"/>
  <c r="CU260" i="198"/>
  <c r="DS267" i="2"/>
  <c r="CT262" i="198"/>
  <c r="DR269" i="2"/>
  <c r="CU247" i="198"/>
  <c r="DS254" i="2"/>
  <c r="ES149" i="1"/>
  <c r="EQ180" i="1"/>
  <c r="ER153" i="1"/>
  <c r="EQ154" i="1"/>
  <c r="CT249" i="198" s="1"/>
  <c r="ES194" i="1"/>
  <c r="ER194" i="1"/>
  <c r="DF39" i="1"/>
  <c r="DE74" i="1"/>
  <c r="DF74" i="1" s="1"/>
  <c r="DE99" i="1"/>
  <c r="ET161" i="1"/>
  <c r="EU161" i="1"/>
  <c r="DD77" i="1"/>
  <c r="EQ179" i="1"/>
  <c r="ES164" i="1"/>
  <c r="ER169" i="1"/>
  <c r="EQ170" i="1"/>
  <c r="DH50" i="1"/>
  <c r="DG62" i="1"/>
  <c r="DG61" i="1"/>
  <c r="DG60" i="1"/>
  <c r="DG56" i="1"/>
  <c r="EQ184" i="1"/>
  <c r="ER184" i="1" s="1"/>
  <c r="ER156" i="1"/>
  <c r="EQ193" i="1"/>
  <c r="EP193" i="1"/>
  <c r="EP197" i="1"/>
  <c r="EX197" i="1"/>
  <c r="DE75" i="1"/>
  <c r="DE76" i="1"/>
  <c r="DF57" i="1"/>
  <c r="DG45" i="1"/>
  <c r="DG44" i="1"/>
  <c r="DG38" i="1"/>
  <c r="DH29" i="1"/>
  <c r="DG43" i="1"/>
  <c r="DG46" i="1"/>
  <c r="DG47" i="1" s="1"/>
  <c r="CU248" i="198" l="1"/>
  <c r="DS255" i="2"/>
  <c r="CU272" i="198"/>
  <c r="DS279" i="2"/>
  <c r="CV257" i="198"/>
  <c r="DT264" i="2"/>
  <c r="CU254" i="198"/>
  <c r="DS261" i="2"/>
  <c r="CU262" i="198"/>
  <c r="DS269" i="2"/>
  <c r="ER180" i="1"/>
  <c r="CT265" i="198"/>
  <c r="DR272" i="2"/>
  <c r="CT264" i="198"/>
  <c r="DR271" i="2"/>
  <c r="CV244" i="198"/>
  <c r="DT251" i="2"/>
  <c r="ES167" i="1"/>
  <c r="ET164" i="1"/>
  <c r="ES166" i="1"/>
  <c r="ES165" i="1"/>
  <c r="DF75" i="1"/>
  <c r="DE77" i="1"/>
  <c r="DF77" i="1" s="1"/>
  <c r="DI50" i="1"/>
  <c r="DH56" i="1"/>
  <c r="DG57" i="1"/>
  <c r="EW161" i="1"/>
  <c r="EX161" i="1" s="1"/>
  <c r="EV161" i="1"/>
  <c r="DG64" i="1"/>
  <c r="DH38" i="1"/>
  <c r="DG39" i="1"/>
  <c r="DI29" i="1"/>
  <c r="DH60" i="1"/>
  <c r="DH61" i="1"/>
  <c r="EQ201" i="1"/>
  <c r="EQ189" i="1"/>
  <c r="EQ181" i="1"/>
  <c r="ER179" i="1"/>
  <c r="EU194" i="1"/>
  <c r="ET194" i="1"/>
  <c r="ES150" i="1"/>
  <c r="ET149" i="1"/>
  <c r="ES152" i="1"/>
  <c r="ES151" i="1"/>
  <c r="DF76" i="1"/>
  <c r="ES193" i="1"/>
  <c r="ER193" i="1"/>
  <c r="DH62" i="1"/>
  <c r="ER170" i="1"/>
  <c r="EQ182" i="1"/>
  <c r="ER154" i="1"/>
  <c r="CU249" i="198" s="1"/>
  <c r="EQ190" i="1"/>
  <c r="CW244" i="198" l="1"/>
  <c r="DU251" i="2"/>
  <c r="CU264" i="198"/>
  <c r="DS271" i="2"/>
  <c r="CV260" i="198"/>
  <c r="DT267" i="2"/>
  <c r="CV245" i="198"/>
  <c r="DT252" i="2"/>
  <c r="ER181" i="1"/>
  <c r="CT266" i="198"/>
  <c r="DR273" i="2"/>
  <c r="CV258" i="198"/>
  <c r="DT265" i="2"/>
  <c r="CU265" i="198"/>
  <c r="DS272" i="2"/>
  <c r="CV246" i="198"/>
  <c r="DT253" i="2"/>
  <c r="CV247" i="198"/>
  <c r="DT254" i="2"/>
  <c r="CT199" i="198"/>
  <c r="DR206" i="2"/>
  <c r="CV259" i="198"/>
  <c r="DT266" i="2"/>
  <c r="CT200" i="198"/>
  <c r="DR207" i="2"/>
  <c r="CT267" i="198"/>
  <c r="DR274" i="2"/>
  <c r="ES153" i="1"/>
  <c r="ES180" i="1" s="1"/>
  <c r="CT205" i="198"/>
  <c r="DR212" i="2"/>
  <c r="CW257" i="198"/>
  <c r="DU264" i="2"/>
  <c r="ER190" i="1"/>
  <c r="EQ501" i="1"/>
  <c r="ER501" i="1" s="1"/>
  <c r="EQ188" i="1"/>
  <c r="ER182" i="1"/>
  <c r="ET152" i="1"/>
  <c r="ES160" i="1"/>
  <c r="DH39" i="1"/>
  <c r="DG74" i="1"/>
  <c r="DH74" i="1" s="1"/>
  <c r="DG99" i="1"/>
  <c r="ET166" i="1"/>
  <c r="ET193" i="1"/>
  <c r="EU193" i="1"/>
  <c r="ER189" i="1"/>
  <c r="ES176" i="1"/>
  <c r="ET167" i="1"/>
  <c r="EW194" i="1"/>
  <c r="EX194" i="1" s="1"/>
  <c r="EV194" i="1"/>
  <c r="DI62" i="1"/>
  <c r="DI61" i="1"/>
  <c r="DI60" i="1"/>
  <c r="DI56" i="1"/>
  <c r="DJ50" i="1"/>
  <c r="ET151" i="1"/>
  <c r="ES156" i="1"/>
  <c r="ET150" i="1"/>
  <c r="ER201" i="1"/>
  <c r="DI44" i="1"/>
  <c r="DI43" i="1"/>
  <c r="DI46" i="1"/>
  <c r="DI47" i="1" s="1"/>
  <c r="DI45" i="1"/>
  <c r="DI38" i="1"/>
  <c r="DJ29" i="1"/>
  <c r="DG76" i="1"/>
  <c r="DH57" i="1"/>
  <c r="DG75" i="1"/>
  <c r="ES172" i="1"/>
  <c r="ET165" i="1"/>
  <c r="ES789" i="1"/>
  <c r="ES169" i="1"/>
  <c r="EU149" i="1" l="1"/>
  <c r="DV251" i="2" s="1"/>
  <c r="ES154" i="1"/>
  <c r="CV249" i="198" s="1"/>
  <c r="CV248" i="198"/>
  <c r="DT255" i="2"/>
  <c r="CU205" i="198"/>
  <c r="DS212" i="2"/>
  <c r="CW259" i="198"/>
  <c r="DU266" i="2"/>
  <c r="CW245" i="198"/>
  <c r="DU252" i="2"/>
  <c r="CW247" i="198"/>
  <c r="DU254" i="2"/>
  <c r="CU200" i="198"/>
  <c r="DS207" i="2"/>
  <c r="CV272" i="198"/>
  <c r="DT279" i="2"/>
  <c r="CX244" i="198"/>
  <c r="ET160" i="1"/>
  <c r="CV254" i="198"/>
  <c r="DT261" i="2"/>
  <c r="CW258" i="198"/>
  <c r="DU265" i="2"/>
  <c r="CU199" i="198"/>
  <c r="DS206" i="2"/>
  <c r="CV269" i="198"/>
  <c r="DT276" i="2"/>
  <c r="CV251" i="198"/>
  <c r="DT258" i="2"/>
  <c r="ET153" i="1"/>
  <c r="CU267" i="198"/>
  <c r="DS274" i="2"/>
  <c r="CV262" i="198"/>
  <c r="DT269" i="2"/>
  <c r="CW246" i="198"/>
  <c r="DU253" i="2"/>
  <c r="CW260" i="198"/>
  <c r="DU267" i="2"/>
  <c r="ET180" i="1"/>
  <c r="CV265" i="198"/>
  <c r="DT272" i="2"/>
  <c r="CT198" i="198"/>
  <c r="DR205" i="2"/>
  <c r="CU266" i="198"/>
  <c r="DS273" i="2"/>
  <c r="ET172" i="1"/>
  <c r="DJ62" i="1"/>
  <c r="EW193" i="1"/>
  <c r="EX193" i="1" s="1"/>
  <c r="EV193" i="1"/>
  <c r="DH75" i="1"/>
  <c r="DG77" i="1"/>
  <c r="DK29" i="1"/>
  <c r="DJ38" i="1"/>
  <c r="DI64" i="1"/>
  <c r="DI39" i="1"/>
  <c r="DJ61" i="1"/>
  <c r="ET176" i="1"/>
  <c r="ET154" i="1"/>
  <c r="CW249" i="198" s="1"/>
  <c r="ES190" i="1"/>
  <c r="ER188" i="1"/>
  <c r="EQ191" i="1"/>
  <c r="DH76" i="1"/>
  <c r="DI57" i="1"/>
  <c r="DJ56" i="1"/>
  <c r="DK50" i="1"/>
  <c r="ES170" i="1"/>
  <c r="EU164" i="1"/>
  <c r="ES179" i="1"/>
  <c r="ET169" i="1"/>
  <c r="ET156" i="1"/>
  <c r="ES184" i="1"/>
  <c r="DJ60" i="1"/>
  <c r="EU152" i="1"/>
  <c r="EU151" i="1"/>
  <c r="EU150" i="1"/>
  <c r="EV149" i="1"/>
  <c r="CY244" i="198" l="1"/>
  <c r="DW251" i="2"/>
  <c r="CV264" i="198"/>
  <c r="DT271" i="2"/>
  <c r="CW248" i="198"/>
  <c r="DU255" i="2"/>
  <c r="CT201" i="198"/>
  <c r="DR208" i="2"/>
  <c r="CU198" i="198"/>
  <c r="DS205" i="2"/>
  <c r="CX245" i="198"/>
  <c r="DV252" i="2"/>
  <c r="ET184" i="1"/>
  <c r="CV274" i="198"/>
  <c r="DT281" i="2"/>
  <c r="CX257" i="198"/>
  <c r="DV264" i="2"/>
  <c r="CV200" i="198"/>
  <c r="DT207" i="2"/>
  <c r="CX247" i="198"/>
  <c r="DV254" i="2"/>
  <c r="CX246" i="198"/>
  <c r="DV253" i="2"/>
  <c r="CW251" i="198"/>
  <c r="DU258" i="2"/>
  <c r="CW269" i="198"/>
  <c r="DU276" i="2"/>
  <c r="CW262" i="198"/>
  <c r="DU269" i="2"/>
  <c r="CW272" i="198"/>
  <c r="DU279" i="2"/>
  <c r="CW265" i="198"/>
  <c r="DU272" i="2"/>
  <c r="CW254" i="198"/>
  <c r="DU261" i="2"/>
  <c r="EU160" i="1"/>
  <c r="EV152" i="1"/>
  <c r="EV151" i="1"/>
  <c r="ET179" i="1"/>
  <c r="ES201" i="1"/>
  <c r="ES189" i="1"/>
  <c r="ES181" i="1"/>
  <c r="EU153" i="1"/>
  <c r="EV164" i="1"/>
  <c r="EU167" i="1"/>
  <c r="EU166" i="1"/>
  <c r="EU165" i="1"/>
  <c r="ER191" i="1"/>
  <c r="EQ200" i="1"/>
  <c r="EQ203" i="1"/>
  <c r="ES182" i="1"/>
  <c r="ET170" i="1"/>
  <c r="DK43" i="1"/>
  <c r="DK46" i="1"/>
  <c r="DK47" i="1" s="1"/>
  <c r="DK38" i="1"/>
  <c r="DL29" i="1"/>
  <c r="DK45" i="1"/>
  <c r="DK44" i="1"/>
  <c r="DI76" i="1"/>
  <c r="DI75" i="1"/>
  <c r="DJ57" i="1"/>
  <c r="DH77" i="1"/>
  <c r="EU156" i="1"/>
  <c r="EV150" i="1"/>
  <c r="DL50" i="1"/>
  <c r="DK62" i="1"/>
  <c r="DK61" i="1"/>
  <c r="DK60" i="1"/>
  <c r="DK56" i="1"/>
  <c r="ET190" i="1"/>
  <c r="ES501" i="1"/>
  <c r="ET501" i="1" s="1"/>
  <c r="GF39" i="1"/>
  <c r="DJ39" i="1"/>
  <c r="DI74" i="1"/>
  <c r="DJ74" i="1" s="1"/>
  <c r="DI99" i="1"/>
  <c r="CX251" i="198" l="1"/>
  <c r="DV258" i="2"/>
  <c r="CV267" i="198"/>
  <c r="DT274" i="2"/>
  <c r="CX258" i="198"/>
  <c r="DV265" i="2"/>
  <c r="CY257" i="198"/>
  <c r="DW264" i="2"/>
  <c r="CV205" i="198"/>
  <c r="DT212" i="2"/>
  <c r="EV160" i="1"/>
  <c r="CX254" i="198"/>
  <c r="DV261" i="2"/>
  <c r="CT207" i="198"/>
  <c r="DR214" i="2"/>
  <c r="CX259" i="198"/>
  <c r="DV266" i="2"/>
  <c r="CX248" i="198"/>
  <c r="DV255" i="2"/>
  <c r="CW264" i="198"/>
  <c r="DU271" i="2"/>
  <c r="CW200" i="198"/>
  <c r="DU207" i="2"/>
  <c r="CT204" i="198"/>
  <c r="DR211" i="2"/>
  <c r="EU169" i="1"/>
  <c r="CV266" i="198"/>
  <c r="DT273" i="2"/>
  <c r="CY246" i="198"/>
  <c r="DW253" i="2"/>
  <c r="CW274" i="198"/>
  <c r="DU281" i="2"/>
  <c r="CY245" i="198"/>
  <c r="DW252" i="2"/>
  <c r="CU201" i="198"/>
  <c r="DS208" i="2"/>
  <c r="CX260" i="198"/>
  <c r="DV267" i="2"/>
  <c r="CV199" i="198"/>
  <c r="DT206" i="2"/>
  <c r="CY247" i="198"/>
  <c r="DW254" i="2"/>
  <c r="DL62" i="1"/>
  <c r="EU179" i="1"/>
  <c r="EW164" i="1"/>
  <c r="EV169" i="1"/>
  <c r="EU170" i="1"/>
  <c r="DL61" i="1"/>
  <c r="EV166" i="1"/>
  <c r="EW149" i="1"/>
  <c r="EU180" i="1"/>
  <c r="EV153" i="1"/>
  <c r="EU154" i="1"/>
  <c r="CX249" i="198" s="1"/>
  <c r="ET181" i="1"/>
  <c r="GG39" i="1"/>
  <c r="GF74" i="1"/>
  <c r="GG74" i="1" s="1"/>
  <c r="GF99" i="1"/>
  <c r="GF75" i="1"/>
  <c r="GF76" i="1"/>
  <c r="GG76" i="1" s="1"/>
  <c r="DL56" i="1"/>
  <c r="DK57" i="1"/>
  <c r="DM50" i="1"/>
  <c r="DI77" i="1"/>
  <c r="DJ77" i="1" s="1"/>
  <c r="DJ75" i="1"/>
  <c r="EQ204" i="1"/>
  <c r="EQ205" i="1" s="1"/>
  <c r="ER203" i="1"/>
  <c r="EU176" i="1"/>
  <c r="EV167" i="1"/>
  <c r="ET189" i="1"/>
  <c r="ES188" i="1"/>
  <c r="ET182" i="1"/>
  <c r="DL60" i="1"/>
  <c r="EV156" i="1"/>
  <c r="DJ76" i="1"/>
  <c r="DL38" i="1"/>
  <c r="DM29" i="1"/>
  <c r="DK39" i="1"/>
  <c r="DK64" i="1"/>
  <c r="ER200" i="1"/>
  <c r="EV165" i="1"/>
  <c r="EU172" i="1"/>
  <c r="EU789" i="1"/>
  <c r="ET201" i="1"/>
  <c r="CU207" i="198" l="1"/>
  <c r="DS214" i="2"/>
  <c r="CW266" i="198"/>
  <c r="DU273" i="2"/>
  <c r="CZ244" i="198"/>
  <c r="DX251" i="2"/>
  <c r="CY262" i="198"/>
  <c r="DW269" i="2"/>
  <c r="CY251" i="198"/>
  <c r="DW258" i="2"/>
  <c r="CT208" i="198"/>
  <c r="DR215" i="2"/>
  <c r="CY259" i="198"/>
  <c r="DW266" i="2"/>
  <c r="CZ257" i="198"/>
  <c r="DX264" i="2"/>
  <c r="CY254" i="198"/>
  <c r="DW261" i="2"/>
  <c r="CX269" i="198"/>
  <c r="DV276" i="2"/>
  <c r="CY258" i="198"/>
  <c r="DW265" i="2"/>
  <c r="CW199" i="198"/>
  <c r="DU206" i="2"/>
  <c r="CW205" i="198"/>
  <c r="DU212" i="2"/>
  <c r="CU204" i="198"/>
  <c r="DS211" i="2"/>
  <c r="CY260" i="198"/>
  <c r="DW267" i="2"/>
  <c r="CY248" i="198"/>
  <c r="DW255" i="2"/>
  <c r="CX264" i="198"/>
  <c r="DV271" i="2"/>
  <c r="CX262" i="198"/>
  <c r="DV269" i="2"/>
  <c r="CV198" i="198"/>
  <c r="DT205" i="2"/>
  <c r="CT209" i="198"/>
  <c r="DR216" i="2"/>
  <c r="CW267" i="198"/>
  <c r="DU274" i="2"/>
  <c r="CX272" i="198"/>
  <c r="DV279" i="2"/>
  <c r="EV180" i="1"/>
  <c r="CX265" i="198"/>
  <c r="DV272" i="2"/>
  <c r="DM44" i="1"/>
  <c r="DN44" i="1" s="1"/>
  <c r="DM45" i="1"/>
  <c r="DN45" i="1" s="1"/>
  <c r="DM46" i="1"/>
  <c r="DM43" i="1"/>
  <c r="DN43" i="1" s="1"/>
  <c r="DM38" i="1"/>
  <c r="DN29" i="1"/>
  <c r="GF77" i="1"/>
  <c r="GG77" i="1" s="1"/>
  <c r="GG75" i="1"/>
  <c r="EV172" i="1"/>
  <c r="DL39" i="1"/>
  <c r="DK74" i="1"/>
  <c r="DL74" i="1" s="1"/>
  <c r="DK99" i="1"/>
  <c r="ET188" i="1"/>
  <c r="ES191" i="1"/>
  <c r="ER204" i="1"/>
  <c r="EU201" i="1"/>
  <c r="EU189" i="1"/>
  <c r="EU181" i="1"/>
  <c r="EV179" i="1"/>
  <c r="EQ211" i="1"/>
  <c r="ER205" i="1"/>
  <c r="EQ213" i="1"/>
  <c r="DK75" i="1"/>
  <c r="DL57" i="1"/>
  <c r="DK76" i="1"/>
  <c r="EW150" i="1"/>
  <c r="EX149" i="1"/>
  <c r="EW152" i="1"/>
  <c r="EW151" i="1"/>
  <c r="DM62" i="1"/>
  <c r="DM61" i="1"/>
  <c r="DM60" i="1"/>
  <c r="DM56" i="1"/>
  <c r="DN50" i="1"/>
  <c r="EV170" i="1"/>
  <c r="EU182" i="1"/>
  <c r="EU184" i="1"/>
  <c r="EV176" i="1"/>
  <c r="EV154" i="1"/>
  <c r="CY249" i="198" s="1"/>
  <c r="EU190" i="1"/>
  <c r="EX164" i="1"/>
  <c r="EW167" i="1"/>
  <c r="EW166" i="1"/>
  <c r="EW165" i="1"/>
  <c r="CX200" i="198" l="1"/>
  <c r="DV207" i="2"/>
  <c r="CX267" i="198"/>
  <c r="DV274" i="2"/>
  <c r="CZ247" i="198"/>
  <c r="DX254" i="2"/>
  <c r="CU209" i="198"/>
  <c r="DS216" i="2"/>
  <c r="CX199" i="198"/>
  <c r="DV206" i="2"/>
  <c r="CW198" i="198"/>
  <c r="DU205" i="2"/>
  <c r="CY269" i="198"/>
  <c r="DW276" i="2"/>
  <c r="CZ258" i="198"/>
  <c r="DX265" i="2"/>
  <c r="EW153" i="1"/>
  <c r="CT227" i="198"/>
  <c r="DR234" i="2"/>
  <c r="CX205" i="198"/>
  <c r="DV212" i="2"/>
  <c r="CZ259" i="198"/>
  <c r="DX266" i="2"/>
  <c r="CY272" i="198"/>
  <c r="DW279" i="2"/>
  <c r="DA244" i="198"/>
  <c r="DY251" i="2"/>
  <c r="CY264" i="198"/>
  <c r="DW271" i="2"/>
  <c r="CU208" i="198"/>
  <c r="DS215" i="2"/>
  <c r="CY265" i="198"/>
  <c r="DW272" i="2"/>
  <c r="CZ260" i="198"/>
  <c r="DX267" i="2"/>
  <c r="DA257" i="198"/>
  <c r="DY264" i="2"/>
  <c r="EV184" i="1"/>
  <c r="CX274" i="198"/>
  <c r="DV281" i="2"/>
  <c r="CZ246" i="198"/>
  <c r="DX253" i="2"/>
  <c r="CZ245" i="198"/>
  <c r="DX252" i="2"/>
  <c r="CT211" i="198"/>
  <c r="CT212" i="198" s="1"/>
  <c r="CT12" i="198"/>
  <c r="DR218" i="2"/>
  <c r="DR219" i="2" s="1"/>
  <c r="EV181" i="1"/>
  <c r="CX266" i="198"/>
  <c r="DV273" i="2"/>
  <c r="CV201" i="198"/>
  <c r="DT208" i="2"/>
  <c r="DN61" i="1"/>
  <c r="ER211" i="1"/>
  <c r="EW172" i="1"/>
  <c r="EX165" i="1"/>
  <c r="EW789" i="1"/>
  <c r="GP165" i="1"/>
  <c r="EW169" i="1"/>
  <c r="DN60" i="1"/>
  <c r="EX152" i="1"/>
  <c r="EW160" i="1"/>
  <c r="GP152" i="1"/>
  <c r="DL75" i="1"/>
  <c r="DK77" i="1"/>
  <c r="DL77" i="1" s="1"/>
  <c r="ES203" i="1"/>
  <c r="ET191" i="1"/>
  <c r="ES200" i="1"/>
  <c r="EX167" i="1"/>
  <c r="EW176" i="1"/>
  <c r="GP167" i="1"/>
  <c r="EU188" i="1"/>
  <c r="EV182" i="1"/>
  <c r="DN62" i="1"/>
  <c r="DL76" i="1"/>
  <c r="EQ831" i="1"/>
  <c r="EQ217" i="1"/>
  <c r="ER213" i="1"/>
  <c r="EQ214" i="1"/>
  <c r="EQ8" i="1"/>
  <c r="ER8" i="1" s="1"/>
  <c r="EV189" i="1"/>
  <c r="EX166" i="1"/>
  <c r="GP166" i="1"/>
  <c r="EW180" i="1"/>
  <c r="EX153" i="1"/>
  <c r="EW154" i="1"/>
  <c r="CZ249" i="198" s="1"/>
  <c r="DM64" i="1"/>
  <c r="DN64" i="1" s="1"/>
  <c r="DN38" i="1"/>
  <c r="DM39" i="1"/>
  <c r="DO29" i="1"/>
  <c r="EV190" i="1"/>
  <c r="EU501" i="1"/>
  <c r="EV501" i="1" s="1"/>
  <c r="DM57" i="1"/>
  <c r="DO50" i="1"/>
  <c r="DN56" i="1"/>
  <c r="EX151" i="1"/>
  <c r="GP151" i="1"/>
  <c r="EW156" i="1"/>
  <c r="EX150" i="1"/>
  <c r="GP150" i="1"/>
  <c r="EV201" i="1"/>
  <c r="DN46" i="1"/>
  <c r="DM47" i="1"/>
  <c r="DN47" i="1" s="1"/>
  <c r="DA245" i="198" l="1"/>
  <c r="DY252" i="2"/>
  <c r="CY200" i="198"/>
  <c r="DW207" i="2"/>
  <c r="EC259" i="198"/>
  <c r="FI266" i="2"/>
  <c r="CT215" i="198"/>
  <c r="DR222" i="2"/>
  <c r="EC260" i="198"/>
  <c r="FI267" i="2"/>
  <c r="CW201" i="198"/>
  <c r="DU208" i="2"/>
  <c r="EC247" i="198"/>
  <c r="FI254" i="2"/>
  <c r="CZ262" i="198"/>
  <c r="DX269" i="2"/>
  <c r="EX172" i="1"/>
  <c r="CZ269" i="198"/>
  <c r="DX276" i="2"/>
  <c r="DA246" i="198"/>
  <c r="DY253" i="2"/>
  <c r="DA259" i="198"/>
  <c r="DY266" i="2"/>
  <c r="CU211" i="198"/>
  <c r="CU12" i="198"/>
  <c r="CU14" i="198" s="1"/>
  <c r="DS218" i="2"/>
  <c r="EX176" i="1"/>
  <c r="CZ272" i="198"/>
  <c r="DX279" i="2"/>
  <c r="CV207" i="198"/>
  <c r="DT214" i="2"/>
  <c r="EX160" i="1"/>
  <c r="CZ254" i="198"/>
  <c r="DX261" i="2"/>
  <c r="EC258" i="198"/>
  <c r="FI265" i="2"/>
  <c r="CU227" i="198"/>
  <c r="DS234" i="2"/>
  <c r="CY266" i="198"/>
  <c r="DW273" i="2"/>
  <c r="EC245" i="198"/>
  <c r="FI252" i="2"/>
  <c r="CZ251" i="198"/>
  <c r="DX258" i="2"/>
  <c r="CY205" i="198"/>
  <c r="DW212" i="2"/>
  <c r="EC246" i="198"/>
  <c r="FI253" i="2"/>
  <c r="DA248" i="198"/>
  <c r="DY255" i="2"/>
  <c r="CY199" i="198"/>
  <c r="DW206" i="2"/>
  <c r="CY267" i="198"/>
  <c r="DW274" i="2"/>
  <c r="DA260" i="198"/>
  <c r="DY267" i="2"/>
  <c r="DA247" i="198"/>
  <c r="DY254" i="2"/>
  <c r="CZ248" i="198"/>
  <c r="DX255" i="2"/>
  <c r="EX180" i="1"/>
  <c r="CZ265" i="198"/>
  <c r="DX272" i="2"/>
  <c r="CX198" i="198"/>
  <c r="DV205" i="2"/>
  <c r="CV204" i="198"/>
  <c r="DT211" i="2"/>
  <c r="DA258" i="198"/>
  <c r="DY265" i="2"/>
  <c r="CT14" i="198"/>
  <c r="CY274" i="198"/>
  <c r="DW281" i="2"/>
  <c r="EX156" i="1"/>
  <c r="EW184" i="1"/>
  <c r="GQ166" i="1"/>
  <c r="GP175" i="1"/>
  <c r="ER214" i="1"/>
  <c r="EW170" i="1"/>
  <c r="EW179" i="1"/>
  <c r="EX169" i="1"/>
  <c r="GP159" i="1"/>
  <c r="GQ151" i="1"/>
  <c r="DO46" i="1"/>
  <c r="DO43" i="1"/>
  <c r="DP43" i="1" s="1"/>
  <c r="DO38" i="1"/>
  <c r="DP29" i="1"/>
  <c r="DO44" i="1"/>
  <c r="DP44" i="1" s="1"/>
  <c r="DO45" i="1"/>
  <c r="DP45" i="1" s="1"/>
  <c r="EX154" i="1"/>
  <c r="DA249" i="198" s="1"/>
  <c r="EW190" i="1"/>
  <c r="EV188" i="1"/>
  <c r="EU191" i="1"/>
  <c r="ES204" i="1"/>
  <c r="ES205" i="1" s="1"/>
  <c r="ET203" i="1"/>
  <c r="GP174" i="1"/>
  <c r="GQ165" i="1"/>
  <c r="GP172" i="1"/>
  <c r="GP789" i="1"/>
  <c r="GP169" i="1"/>
  <c r="GP158" i="1"/>
  <c r="GP156" i="1"/>
  <c r="GQ150" i="1"/>
  <c r="GP153" i="1"/>
  <c r="DP50" i="1"/>
  <c r="DO62" i="1"/>
  <c r="DO61" i="1"/>
  <c r="DO60" i="1"/>
  <c r="DO56" i="1"/>
  <c r="DN39" i="1"/>
  <c r="DM74" i="1"/>
  <c r="DN74" i="1" s="1"/>
  <c r="DM99" i="1"/>
  <c r="DN99" i="1" s="1"/>
  <c r="EQ807" i="1"/>
  <c r="EQ773" i="1"/>
  <c r="EQ521" i="1"/>
  <c r="DR11" i="2" s="1"/>
  <c r="ER217" i="1"/>
  <c r="EQ219" i="1"/>
  <c r="ER219" i="1" s="1"/>
  <c r="EQ218" i="1"/>
  <c r="ER218" i="1" s="1"/>
  <c r="GP176" i="1"/>
  <c r="GQ167" i="1"/>
  <c r="ET200" i="1"/>
  <c r="GP160" i="1"/>
  <c r="GQ152" i="1"/>
  <c r="DM76" i="1"/>
  <c r="DM75" i="1"/>
  <c r="DN57" i="1"/>
  <c r="EC251" i="198" l="1"/>
  <c r="FI258" i="2"/>
  <c r="GQ172" i="1"/>
  <c r="EC269" i="198"/>
  <c r="FI276" i="2"/>
  <c r="CV208" i="198"/>
  <c r="DT215" i="2"/>
  <c r="EC253" i="198"/>
  <c r="FI260" i="2"/>
  <c r="CU215" i="198"/>
  <c r="DS222" i="2"/>
  <c r="DA251" i="198"/>
  <c r="DY258" i="2"/>
  <c r="DA254" i="198"/>
  <c r="DY261" i="2"/>
  <c r="GQ160" i="1"/>
  <c r="EC254" i="198"/>
  <c r="FI261" i="2"/>
  <c r="CV209" i="198"/>
  <c r="DT216" i="2"/>
  <c r="EC252" i="198"/>
  <c r="FI259" i="2"/>
  <c r="ED258" i="198"/>
  <c r="FJ265" i="2"/>
  <c r="CX201" i="198"/>
  <c r="DV208" i="2"/>
  <c r="DA262" i="198"/>
  <c r="DY269" i="2"/>
  <c r="EC271" i="198"/>
  <c r="FI278" i="2"/>
  <c r="DA272" i="198"/>
  <c r="DY279" i="2"/>
  <c r="CW204" i="198"/>
  <c r="DU211" i="2"/>
  <c r="ED247" i="198"/>
  <c r="FJ254" i="2"/>
  <c r="ED260" i="198"/>
  <c r="FJ267" i="2"/>
  <c r="EC248" i="198"/>
  <c r="FI255" i="2"/>
  <c r="EC262" i="198"/>
  <c r="FI269" i="2"/>
  <c r="EC270" i="198"/>
  <c r="FI277" i="2"/>
  <c r="CY198" i="198"/>
  <c r="DW205" i="2"/>
  <c r="CZ264" i="198"/>
  <c r="DX271" i="2"/>
  <c r="ED259" i="198"/>
  <c r="FJ266" i="2"/>
  <c r="GQ176" i="1"/>
  <c r="EC272" i="198"/>
  <c r="FI279" i="2"/>
  <c r="ED245" i="198"/>
  <c r="FJ252" i="2"/>
  <c r="CW207" i="198"/>
  <c r="DU214" i="2"/>
  <c r="CZ200" i="198"/>
  <c r="DX207" i="2"/>
  <c r="ED246" i="198"/>
  <c r="FJ253" i="2"/>
  <c r="EX184" i="1"/>
  <c r="CZ274" i="198"/>
  <c r="DX281" i="2"/>
  <c r="DA265" i="198"/>
  <c r="DY272" i="2"/>
  <c r="DA269" i="198"/>
  <c r="DY276" i="2"/>
  <c r="DP61" i="1"/>
  <c r="DN76" i="1"/>
  <c r="DP60" i="1"/>
  <c r="GP154" i="1"/>
  <c r="GR149" i="1"/>
  <c r="GP180" i="1"/>
  <c r="GQ153" i="1"/>
  <c r="GR159" i="1"/>
  <c r="GQ159" i="1"/>
  <c r="DP62" i="1"/>
  <c r="GQ156" i="1"/>
  <c r="GP184" i="1"/>
  <c r="ET204" i="1"/>
  <c r="EX190" i="1"/>
  <c r="EW501" i="1"/>
  <c r="EX501" i="1" s="1"/>
  <c r="GP190" i="1"/>
  <c r="EW182" i="1"/>
  <c r="EX170" i="1"/>
  <c r="GQ175" i="1"/>
  <c r="GS175" i="1"/>
  <c r="EV191" i="1"/>
  <c r="EU200" i="1"/>
  <c r="EU203" i="1"/>
  <c r="DO47" i="1"/>
  <c r="DP47" i="1" s="1"/>
  <c r="DP46" i="1"/>
  <c r="EX179" i="1"/>
  <c r="EW201" i="1"/>
  <c r="EW189" i="1"/>
  <c r="EW181" i="1"/>
  <c r="DM77" i="1"/>
  <c r="DN75" i="1"/>
  <c r="ES211" i="1"/>
  <c r="ET205" i="1"/>
  <c r="ES213" i="1"/>
  <c r="EQ523" i="1"/>
  <c r="DR13" i="2" s="1"/>
  <c r="ER521" i="1"/>
  <c r="DS11" i="2" s="1"/>
  <c r="DQ50" i="1"/>
  <c r="DP56" i="1"/>
  <c r="DO57" i="1"/>
  <c r="GQ158" i="1"/>
  <c r="GR158" i="1"/>
  <c r="GR164" i="1"/>
  <c r="GP179" i="1"/>
  <c r="GP170" i="1"/>
  <c r="GQ169" i="1"/>
  <c r="GS174" i="1"/>
  <c r="GQ174" i="1"/>
  <c r="DP38" i="1"/>
  <c r="DO39" i="1"/>
  <c r="DQ29" i="1"/>
  <c r="DO64" i="1"/>
  <c r="DP64" i="1" s="1"/>
  <c r="ED262" i="198" l="1"/>
  <c r="FJ269" i="2"/>
  <c r="EE252" i="198"/>
  <c r="FK259" i="2"/>
  <c r="CW209" i="198"/>
  <c r="DU216" i="2"/>
  <c r="EX181" i="1"/>
  <c r="CZ266" i="198"/>
  <c r="DX273" i="2"/>
  <c r="CY201" i="198"/>
  <c r="DW208" i="2"/>
  <c r="CZ267" i="198"/>
  <c r="DX274" i="2"/>
  <c r="CW208" i="198"/>
  <c r="DU215" i="2"/>
  <c r="ED253" i="198"/>
  <c r="FJ260" i="2"/>
  <c r="EE244" i="198"/>
  <c r="FK251" i="2"/>
  <c r="ED252" i="198"/>
  <c r="FJ259" i="2"/>
  <c r="ET211" i="1"/>
  <c r="CV227" i="198"/>
  <c r="DT234" i="2"/>
  <c r="CZ199" i="198"/>
  <c r="DX206" i="2"/>
  <c r="EF271" i="198"/>
  <c r="FL278" i="2"/>
  <c r="EC200" i="198"/>
  <c r="FI207" i="2"/>
  <c r="GQ184" i="1"/>
  <c r="EC274" i="198"/>
  <c r="FI281" i="2"/>
  <c r="EE253" i="198"/>
  <c r="FK260" i="2"/>
  <c r="GQ154" i="1"/>
  <c r="EC249" i="198"/>
  <c r="JC118" i="2"/>
  <c r="ED272" i="198"/>
  <c r="FJ279" i="2"/>
  <c r="ED269" i="198"/>
  <c r="FJ276" i="2"/>
  <c r="EC264" i="198"/>
  <c r="FI271" i="2"/>
  <c r="CZ205" i="198"/>
  <c r="DX212" i="2"/>
  <c r="ED271" i="198"/>
  <c r="FJ278" i="2"/>
  <c r="ED251" i="198"/>
  <c r="FJ258" i="2"/>
  <c r="ED248" i="198"/>
  <c r="FJ255" i="2"/>
  <c r="DA274" i="198"/>
  <c r="DY281" i="2"/>
  <c r="ED270" i="198"/>
  <c r="FJ277" i="2"/>
  <c r="CX207" i="198"/>
  <c r="DV214" i="2"/>
  <c r="EF270" i="198"/>
  <c r="FL277" i="2"/>
  <c r="EE257" i="198"/>
  <c r="FK264" i="2"/>
  <c r="CV211" i="198"/>
  <c r="CV212" i="198" s="1"/>
  <c r="CV12" i="198"/>
  <c r="DT218" i="2"/>
  <c r="DT219" i="2" s="1"/>
  <c r="DA264" i="198"/>
  <c r="DY271" i="2"/>
  <c r="CX204" i="198"/>
  <c r="DV211" i="2"/>
  <c r="DA200" i="198"/>
  <c r="DY207" i="2"/>
  <c r="GQ180" i="1"/>
  <c r="EC265" i="198"/>
  <c r="FI272" i="2"/>
  <c r="ED254" i="198"/>
  <c r="FJ261" i="2"/>
  <c r="GP181" i="1"/>
  <c r="GQ179" i="1"/>
  <c r="DO76" i="1"/>
  <c r="DO75" i="1"/>
  <c r="DP57" i="1"/>
  <c r="EV200" i="1"/>
  <c r="DQ44" i="1"/>
  <c r="DR44" i="1" s="1"/>
  <c r="DQ45" i="1"/>
  <c r="DR45" i="1" s="1"/>
  <c r="DQ46" i="1"/>
  <c r="DQ43" i="1"/>
  <c r="DR43" i="1" s="1"/>
  <c r="DQ38" i="1"/>
  <c r="DR29" i="1"/>
  <c r="GS164" i="1"/>
  <c r="GR167" i="1"/>
  <c r="GR165" i="1"/>
  <c r="GR166" i="1"/>
  <c r="DP39" i="1"/>
  <c r="DO74" i="1"/>
  <c r="DP74" i="1" s="1"/>
  <c r="DO99" i="1"/>
  <c r="DP99" i="1" s="1"/>
  <c r="GT158" i="1"/>
  <c r="GS158" i="1"/>
  <c r="DQ62" i="1"/>
  <c r="DQ61" i="1"/>
  <c r="DQ60" i="1"/>
  <c r="DQ56" i="1"/>
  <c r="DR50" i="1"/>
  <c r="EX189" i="1"/>
  <c r="GP189" i="1"/>
  <c r="EW188" i="1"/>
  <c r="EX182" i="1"/>
  <c r="GR152" i="1"/>
  <c r="GR151" i="1"/>
  <c r="GR150" i="1"/>
  <c r="GS149" i="1"/>
  <c r="DN77" i="1"/>
  <c r="GP182" i="1"/>
  <c r="GQ170" i="1"/>
  <c r="ES831" i="1"/>
  <c r="ET213" i="1"/>
  <c r="ES217" i="1"/>
  <c r="ES214" i="1"/>
  <c r="ES8" i="1"/>
  <c r="ET8" i="1" s="1"/>
  <c r="EX201" i="1"/>
  <c r="GP201" i="1"/>
  <c r="EU204" i="1"/>
  <c r="EV203" i="1"/>
  <c r="GQ190" i="1"/>
  <c r="GP194" i="1"/>
  <c r="GP501" i="1"/>
  <c r="GQ501" i="1" s="1"/>
  <c r="GS159" i="1"/>
  <c r="GT159" i="1"/>
  <c r="CY207" i="198" l="1"/>
  <c r="DW214" i="2"/>
  <c r="EF244" i="198"/>
  <c r="FL251" i="2"/>
  <c r="DA267" i="198"/>
  <c r="DY274" i="2"/>
  <c r="EE260" i="198"/>
  <c r="FK267" i="2"/>
  <c r="CY204" i="198"/>
  <c r="DW211" i="2"/>
  <c r="ED264" i="198"/>
  <c r="FJ271" i="2"/>
  <c r="ED265" i="198"/>
  <c r="FJ272" i="2"/>
  <c r="CV14" i="198"/>
  <c r="ED249" i="198"/>
  <c r="JD118" i="2"/>
  <c r="EF253" i="198"/>
  <c r="FL260" i="2"/>
  <c r="CX208" i="198"/>
  <c r="DV215" i="2"/>
  <c r="EE245" i="198"/>
  <c r="FK252" i="2"/>
  <c r="CZ198" i="198"/>
  <c r="DX205" i="2"/>
  <c r="EF252" i="198"/>
  <c r="FL259" i="2"/>
  <c r="EF257" i="198"/>
  <c r="FL264" i="2"/>
  <c r="GQ181" i="1"/>
  <c r="EC266" i="198"/>
  <c r="FI273" i="2"/>
  <c r="ED274" i="198"/>
  <c r="FJ281" i="2"/>
  <c r="DA266" i="198"/>
  <c r="DY273" i="2"/>
  <c r="EG253" i="198"/>
  <c r="FM260" i="2"/>
  <c r="ET214" i="1"/>
  <c r="CV215" i="198"/>
  <c r="DT222" i="2"/>
  <c r="EC222" i="198"/>
  <c r="FI229" i="2"/>
  <c r="EC205" i="198"/>
  <c r="FI212" i="2"/>
  <c r="GQ182" i="1"/>
  <c r="EC267" i="198"/>
  <c r="FI274" i="2"/>
  <c r="GS151" i="1"/>
  <c r="EE246" i="198"/>
  <c r="FK253" i="2"/>
  <c r="EC199" i="198"/>
  <c r="FI206" i="2"/>
  <c r="EG252" i="198"/>
  <c r="FM259" i="2"/>
  <c r="GS166" i="1"/>
  <c r="EE259" i="198"/>
  <c r="FK266" i="2"/>
  <c r="CW227" i="198"/>
  <c r="DU234" i="2"/>
  <c r="ED200" i="198"/>
  <c r="FJ207" i="2"/>
  <c r="DA205" i="198"/>
  <c r="DY212" i="2"/>
  <c r="CW211" i="198"/>
  <c r="CW12" i="198"/>
  <c r="CW14" i="198" s="1"/>
  <c r="DU218" i="2"/>
  <c r="EE247" i="198"/>
  <c r="FK254" i="2"/>
  <c r="DA199" i="198"/>
  <c r="DY206" i="2"/>
  <c r="EE258" i="198"/>
  <c r="FK265" i="2"/>
  <c r="ES807" i="1"/>
  <c r="ES773" i="1"/>
  <c r="ES521" i="1"/>
  <c r="DT11" i="2" s="1"/>
  <c r="ES218" i="1"/>
  <c r="ET218" i="1" s="1"/>
  <c r="ES219" i="1"/>
  <c r="ET219" i="1" s="1"/>
  <c r="ET217" i="1"/>
  <c r="GS165" i="1"/>
  <c r="GR172" i="1"/>
  <c r="GR789" i="1"/>
  <c r="GR194" i="1"/>
  <c r="GQ194" i="1"/>
  <c r="EV204" i="1"/>
  <c r="GS150" i="1"/>
  <c r="GR156" i="1"/>
  <c r="DR60" i="1"/>
  <c r="GU158" i="1"/>
  <c r="GV158" i="1"/>
  <c r="GR169" i="1"/>
  <c r="DP75" i="1"/>
  <c r="DO77" i="1"/>
  <c r="GQ201" i="1"/>
  <c r="GP196" i="1"/>
  <c r="DQ64" i="1"/>
  <c r="DR64" i="1" s="1"/>
  <c r="DS29" i="1"/>
  <c r="DR38" i="1"/>
  <c r="DQ39" i="1"/>
  <c r="GR160" i="1"/>
  <c r="GS152" i="1"/>
  <c r="GQ189" i="1"/>
  <c r="GP195" i="1"/>
  <c r="DR62" i="1"/>
  <c r="GS167" i="1"/>
  <c r="GR176" i="1"/>
  <c r="EU205" i="1"/>
  <c r="GV159" i="1"/>
  <c r="GU159" i="1"/>
  <c r="EX188" i="1"/>
  <c r="EW191" i="1"/>
  <c r="GP188" i="1"/>
  <c r="DR61" i="1"/>
  <c r="DP76" i="1"/>
  <c r="GR153" i="1"/>
  <c r="DQ57" i="1"/>
  <c r="DR56" i="1"/>
  <c r="DS50" i="1"/>
  <c r="DR46" i="1"/>
  <c r="DQ47" i="1"/>
  <c r="DR47" i="1" s="1"/>
  <c r="ED199" i="198" l="1"/>
  <c r="FJ206" i="2"/>
  <c r="EF245" i="198"/>
  <c r="FL252" i="2"/>
  <c r="EE248" i="198"/>
  <c r="FK255" i="2"/>
  <c r="CZ201" i="198"/>
  <c r="DX208" i="2"/>
  <c r="CX209" i="198"/>
  <c r="DV216" i="2"/>
  <c r="EC230" i="198"/>
  <c r="FI237" i="2"/>
  <c r="EC231" i="198"/>
  <c r="FI238" i="2"/>
  <c r="EE262" i="198"/>
  <c r="FK269" i="2"/>
  <c r="EE251" i="198"/>
  <c r="FK258" i="2"/>
  <c r="EE222" i="198"/>
  <c r="FK229" i="2"/>
  <c r="ED267" i="198"/>
  <c r="FJ274" i="2"/>
  <c r="ED266" i="198"/>
  <c r="FJ273" i="2"/>
  <c r="ED205" i="198"/>
  <c r="FJ212" i="2"/>
  <c r="EI252" i="198"/>
  <c r="FO259" i="2"/>
  <c r="EF246" i="198"/>
  <c r="FL253" i="2"/>
  <c r="EF260" i="198"/>
  <c r="FL267" i="2"/>
  <c r="EH252" i="198"/>
  <c r="FN259" i="2"/>
  <c r="CY208" i="198"/>
  <c r="DW215" i="2"/>
  <c r="GS172" i="1"/>
  <c r="EE269" i="198"/>
  <c r="FK276" i="2"/>
  <c r="EF259" i="198"/>
  <c r="FL266" i="2"/>
  <c r="DA198" i="198"/>
  <c r="DY205" i="2"/>
  <c r="GS176" i="1"/>
  <c r="EE272" i="198"/>
  <c r="FK279" i="2"/>
  <c r="EH253" i="198"/>
  <c r="FN260" i="2"/>
  <c r="EF247" i="198"/>
  <c r="FL254" i="2"/>
  <c r="EC198" i="198"/>
  <c r="FI205" i="2"/>
  <c r="EI253" i="198"/>
  <c r="FO260" i="2"/>
  <c r="GS160" i="1"/>
  <c r="EE254" i="198"/>
  <c r="FK261" i="2"/>
  <c r="ED222" i="198"/>
  <c r="FJ229" i="2"/>
  <c r="EF258" i="198"/>
  <c r="FL265" i="2"/>
  <c r="CW215" i="198"/>
  <c r="DU222" i="2"/>
  <c r="GW159" i="1"/>
  <c r="GX159" i="1"/>
  <c r="DT50" i="1"/>
  <c r="DS62" i="1"/>
  <c r="DS61" i="1"/>
  <c r="DS60" i="1"/>
  <c r="DS56" i="1"/>
  <c r="GQ188" i="1"/>
  <c r="GP193" i="1"/>
  <c r="GP191" i="1"/>
  <c r="DS46" i="1"/>
  <c r="DS43" i="1"/>
  <c r="DT43" i="1" s="1"/>
  <c r="DS38" i="1"/>
  <c r="DT29" i="1"/>
  <c r="DS44" i="1"/>
  <c r="DT44" i="1" s="1"/>
  <c r="DS45" i="1"/>
  <c r="DT45" i="1" s="1"/>
  <c r="GT164" i="1"/>
  <c r="GR179" i="1"/>
  <c r="GR170" i="1"/>
  <c r="GS169" i="1"/>
  <c r="GX158" i="1"/>
  <c r="GW158" i="1"/>
  <c r="ES523" i="1"/>
  <c r="DT13" i="2" s="1"/>
  <c r="ET521" i="1"/>
  <c r="DU11" i="2" s="1"/>
  <c r="DQ76" i="1"/>
  <c r="DQ75" i="1"/>
  <c r="DR57" i="1"/>
  <c r="EW203" i="1"/>
  <c r="EX191" i="1"/>
  <c r="EW200" i="1"/>
  <c r="EU211" i="1"/>
  <c r="EV205" i="1"/>
  <c r="EU213" i="1"/>
  <c r="GR195" i="1"/>
  <c r="GQ195" i="1"/>
  <c r="GP197" i="1"/>
  <c r="GH39" i="1"/>
  <c r="DR39" i="1"/>
  <c r="DQ74" i="1"/>
  <c r="DR74" i="1" s="1"/>
  <c r="DQ99" i="1"/>
  <c r="DR99" i="1" s="1"/>
  <c r="GR196" i="1"/>
  <c r="GQ196" i="1"/>
  <c r="DP77" i="1"/>
  <c r="GR184" i="1"/>
  <c r="GS156" i="1"/>
  <c r="GR180" i="1"/>
  <c r="GS153" i="1"/>
  <c r="GR154" i="1"/>
  <c r="EE249" i="198" s="1"/>
  <c r="GT149" i="1"/>
  <c r="GS194" i="1"/>
  <c r="GT194" i="1"/>
  <c r="EE265" i="198" l="1"/>
  <c r="FK272" i="2"/>
  <c r="EE230" i="198"/>
  <c r="FK237" i="2"/>
  <c r="CZ204" i="198"/>
  <c r="DX211" i="2"/>
  <c r="EJ252" i="198"/>
  <c r="FP259" i="2"/>
  <c r="EE264" i="198"/>
  <c r="FK271" i="2"/>
  <c r="EC201" i="198"/>
  <c r="FI208" i="2"/>
  <c r="GY159" i="1"/>
  <c r="EK253" i="198"/>
  <c r="FQ260" i="2"/>
  <c r="EF254" i="198"/>
  <c r="FL261" i="2"/>
  <c r="ED231" i="198"/>
  <c r="FJ238" i="2"/>
  <c r="EG244" i="198"/>
  <c r="FM251" i="2"/>
  <c r="EF251" i="198"/>
  <c r="FL258" i="2"/>
  <c r="EE231" i="198"/>
  <c r="FK238" i="2"/>
  <c r="CX211" i="198"/>
  <c r="CX212" i="198" s="1"/>
  <c r="CX12" i="198"/>
  <c r="DV218" i="2"/>
  <c r="DV219" i="2" s="1"/>
  <c r="DA201" i="198"/>
  <c r="DY208" i="2"/>
  <c r="GY158" i="1"/>
  <c r="EK252" i="198"/>
  <c r="FQ259" i="2"/>
  <c r="EG257" i="198"/>
  <c r="FM264" i="2"/>
  <c r="EC221" i="198"/>
  <c r="FI228" i="2"/>
  <c r="EJ253" i="198"/>
  <c r="FP260" i="2"/>
  <c r="EF222" i="198"/>
  <c r="FL229" i="2"/>
  <c r="GS184" i="1"/>
  <c r="EE274" i="198"/>
  <c r="FK281" i="2"/>
  <c r="GQ197" i="1"/>
  <c r="EC232" i="198"/>
  <c r="FI239" i="2"/>
  <c r="CY209" i="198"/>
  <c r="DW216" i="2"/>
  <c r="CZ207" i="198"/>
  <c r="DX214" i="2"/>
  <c r="EF262" i="198"/>
  <c r="FL269" i="2"/>
  <c r="ED198" i="198"/>
  <c r="FJ205" i="2"/>
  <c r="EG222" i="198"/>
  <c r="FM229" i="2"/>
  <c r="EF248" i="198"/>
  <c r="FL255" i="2"/>
  <c r="ED230" i="198"/>
  <c r="FJ237" i="2"/>
  <c r="CX227" i="198"/>
  <c r="DV234" i="2"/>
  <c r="EF272" i="198"/>
  <c r="FL279" i="2"/>
  <c r="EF269" i="198"/>
  <c r="FL276" i="2"/>
  <c r="GT152" i="1"/>
  <c r="GT151" i="1"/>
  <c r="GT150" i="1"/>
  <c r="GU149" i="1"/>
  <c r="EU831" i="1"/>
  <c r="EU217" i="1"/>
  <c r="EV213" i="1"/>
  <c r="EU214" i="1"/>
  <c r="EU8" i="1"/>
  <c r="EV8" i="1" s="1"/>
  <c r="GR189" i="1"/>
  <c r="GS179" i="1"/>
  <c r="GR201" i="1"/>
  <c r="GR181" i="1"/>
  <c r="GQ191" i="1"/>
  <c r="DT56" i="1"/>
  <c r="DS57" i="1"/>
  <c r="DU50" i="1"/>
  <c r="GS195" i="1"/>
  <c r="GR197" i="1"/>
  <c r="GT195" i="1"/>
  <c r="EW204" i="1"/>
  <c r="EW205" i="1" s="1"/>
  <c r="EX203" i="1"/>
  <c r="GP203" i="1"/>
  <c r="DT60" i="1"/>
  <c r="GV194" i="1"/>
  <c r="GU194" i="1"/>
  <c r="GS196" i="1"/>
  <c r="GT196" i="1"/>
  <c r="GI39" i="1"/>
  <c r="GH74" i="1"/>
  <c r="GI74" i="1" s="1"/>
  <c r="GH99" i="1"/>
  <c r="GH75" i="1"/>
  <c r="GH76" i="1"/>
  <c r="GI76" i="1" s="1"/>
  <c r="EV211" i="1"/>
  <c r="DQ77" i="1"/>
  <c r="DR75" i="1"/>
  <c r="GR193" i="1"/>
  <c r="GQ193" i="1"/>
  <c r="DT61" i="1"/>
  <c r="GR190" i="1"/>
  <c r="GS154" i="1"/>
  <c r="EF249" i="198" s="1"/>
  <c r="GU164" i="1"/>
  <c r="GT167" i="1"/>
  <c r="GT166" i="1"/>
  <c r="GT165" i="1"/>
  <c r="DT38" i="1"/>
  <c r="DU29" i="1"/>
  <c r="DS39" i="1"/>
  <c r="DS64" i="1"/>
  <c r="DT64" i="1" s="1"/>
  <c r="GS180" i="1"/>
  <c r="EX200" i="1"/>
  <c r="GP200" i="1"/>
  <c r="DR76" i="1"/>
  <c r="GS170" i="1"/>
  <c r="GR182" i="1"/>
  <c r="DS47" i="1"/>
  <c r="DT47" i="1" s="1"/>
  <c r="DT46" i="1"/>
  <c r="DT62" i="1"/>
  <c r="EG258" i="198" l="1"/>
  <c r="FM265" i="2"/>
  <c r="EE267" i="198"/>
  <c r="FK274" i="2"/>
  <c r="EE221" i="198"/>
  <c r="FK228" i="2"/>
  <c r="EI222" i="198"/>
  <c r="FO229" i="2"/>
  <c r="CZ208" i="198"/>
  <c r="DX215" i="2"/>
  <c r="GS181" i="1"/>
  <c r="EE266" i="198"/>
  <c r="FK273" i="2"/>
  <c r="EG247" i="198"/>
  <c r="FM254" i="2"/>
  <c r="EL252" i="198"/>
  <c r="FR259" i="2"/>
  <c r="CX14" i="198"/>
  <c r="EC204" i="198"/>
  <c r="FI211" i="2"/>
  <c r="DA204" i="198"/>
  <c r="DY211" i="2"/>
  <c r="CZ209" i="198"/>
  <c r="DX216" i="2"/>
  <c r="EG260" i="198"/>
  <c r="FM267" i="2"/>
  <c r="EE200" i="198"/>
  <c r="FK207" i="2"/>
  <c r="EG231" i="198"/>
  <c r="FM238" i="2"/>
  <c r="EG230" i="198"/>
  <c r="FM237" i="2"/>
  <c r="GS201" i="1"/>
  <c r="EE205" i="198"/>
  <c r="FK212" i="2"/>
  <c r="CX215" i="198"/>
  <c r="DV222" i="2"/>
  <c r="EH244" i="198"/>
  <c r="FN251" i="2"/>
  <c r="EF274" i="198"/>
  <c r="FL281" i="2"/>
  <c r="ED221" i="198"/>
  <c r="FJ228" i="2"/>
  <c r="GU166" i="1"/>
  <c r="EG259" i="198"/>
  <c r="FM266" i="2"/>
  <c r="EF265" i="198"/>
  <c r="FL272" i="2"/>
  <c r="EH257" i="198"/>
  <c r="FN264" i="2"/>
  <c r="EF231" i="198"/>
  <c r="FL238" i="2"/>
  <c r="EC207" i="198"/>
  <c r="FI214" i="2"/>
  <c r="GS197" i="1"/>
  <c r="EE232" i="198"/>
  <c r="FK239" i="2"/>
  <c r="EF264" i="198"/>
  <c r="FL271" i="2"/>
  <c r="CY211" i="198"/>
  <c r="CY12" i="198"/>
  <c r="CY14" i="198" s="1"/>
  <c r="DW218" i="2"/>
  <c r="EG245" i="198"/>
  <c r="FM252" i="2"/>
  <c r="ED232" i="198"/>
  <c r="FJ239" i="2"/>
  <c r="GT169" i="1"/>
  <c r="GU169" i="1" s="1"/>
  <c r="CY227" i="198"/>
  <c r="DW234" i="2"/>
  <c r="EH222" i="198"/>
  <c r="FN229" i="2"/>
  <c r="DA207" i="198"/>
  <c r="DY214" i="2"/>
  <c r="EF230" i="198"/>
  <c r="FL237" i="2"/>
  <c r="ED201" i="198"/>
  <c r="FJ208" i="2"/>
  <c r="GS189" i="1"/>
  <c r="EE199" i="198"/>
  <c r="FK206" i="2"/>
  <c r="EG246" i="198"/>
  <c r="FM253" i="2"/>
  <c r="EL253" i="198"/>
  <c r="FR260" i="2"/>
  <c r="EU807" i="1"/>
  <c r="EU773" i="1"/>
  <c r="EU521" i="1"/>
  <c r="DV11" i="2" s="1"/>
  <c r="EV217" i="1"/>
  <c r="EU219" i="1"/>
  <c r="EV219" i="1" s="1"/>
  <c r="EU218" i="1"/>
  <c r="EV218" i="1" s="1"/>
  <c r="GS190" i="1"/>
  <c r="GR501" i="1"/>
  <c r="GS501" i="1" s="1"/>
  <c r="GH77" i="1"/>
  <c r="GI77" i="1" s="1"/>
  <c r="GI75" i="1"/>
  <c r="GV196" i="1"/>
  <c r="GU196" i="1"/>
  <c r="GP209" i="1"/>
  <c r="GQ203" i="1"/>
  <c r="GT156" i="1"/>
  <c r="GU150" i="1"/>
  <c r="EW211" i="1"/>
  <c r="EX205" i="1"/>
  <c r="EW213" i="1"/>
  <c r="GT179" i="1"/>
  <c r="GR188" i="1"/>
  <c r="GS182" i="1"/>
  <c r="DT39" i="1"/>
  <c r="DS74" i="1"/>
  <c r="DT74" i="1" s="1"/>
  <c r="DS99" i="1"/>
  <c r="DT99" i="1" s="1"/>
  <c r="EX204" i="1"/>
  <c r="GP204" i="1"/>
  <c r="GP205" i="1" s="1"/>
  <c r="DU62" i="1"/>
  <c r="DU61" i="1"/>
  <c r="DU60" i="1"/>
  <c r="DU56" i="1"/>
  <c r="DV50" i="1"/>
  <c r="GT160" i="1"/>
  <c r="GU152" i="1"/>
  <c r="GT172" i="1"/>
  <c r="GU165" i="1"/>
  <c r="GT789" i="1"/>
  <c r="GS193" i="1"/>
  <c r="GT193" i="1"/>
  <c r="GW194" i="1"/>
  <c r="GX194" i="1"/>
  <c r="GU151" i="1"/>
  <c r="GP207" i="1"/>
  <c r="GQ200" i="1"/>
  <c r="DU44" i="1"/>
  <c r="DV44" i="1" s="1"/>
  <c r="DU45" i="1"/>
  <c r="DV45" i="1" s="1"/>
  <c r="DU46" i="1"/>
  <c r="DU43" i="1"/>
  <c r="DV43" i="1" s="1"/>
  <c r="DU38" i="1"/>
  <c r="DV29" i="1"/>
  <c r="GU167" i="1"/>
  <c r="GT176" i="1"/>
  <c r="DR77" i="1"/>
  <c r="GV195" i="1"/>
  <c r="GU195" i="1"/>
  <c r="GT197" i="1"/>
  <c r="DT57" i="1"/>
  <c r="DS75" i="1"/>
  <c r="DS76" i="1"/>
  <c r="EV214" i="1"/>
  <c r="GT153" i="1"/>
  <c r="GV164" i="1" l="1"/>
  <c r="GT170" i="1"/>
  <c r="EH230" i="198"/>
  <c r="FN237" i="2"/>
  <c r="EH258" i="198"/>
  <c r="FN265" i="2"/>
  <c r="EH262" i="198"/>
  <c r="FN269" i="2"/>
  <c r="CZ211" i="198"/>
  <c r="CZ212" i="198" s="1"/>
  <c r="CZ12" i="198"/>
  <c r="DX218" i="2"/>
  <c r="DX219" i="2" s="1"/>
  <c r="EG251" i="198"/>
  <c r="FM258" i="2"/>
  <c r="EI231" i="198"/>
  <c r="FO238" i="2"/>
  <c r="EF200" i="198"/>
  <c r="FL207" i="2"/>
  <c r="EF199" i="198"/>
  <c r="FL206" i="2"/>
  <c r="EF232" i="198"/>
  <c r="FL239" i="2"/>
  <c r="GU197" i="1"/>
  <c r="EG232" i="198"/>
  <c r="FM239" i="2"/>
  <c r="EJ222" i="198"/>
  <c r="FP229" i="2"/>
  <c r="EI230" i="198"/>
  <c r="FO237" i="2"/>
  <c r="EC225" i="198"/>
  <c r="FI232" i="2"/>
  <c r="EG221" i="198"/>
  <c r="FM228" i="2"/>
  <c r="GU172" i="1"/>
  <c r="EG269" i="198"/>
  <c r="FM276" i="2"/>
  <c r="GQ204" i="1"/>
  <c r="EC208" i="198"/>
  <c r="FI215" i="2"/>
  <c r="DA209" i="198"/>
  <c r="DY216" i="2"/>
  <c r="ED207" i="198"/>
  <c r="FJ214" i="2"/>
  <c r="EF266" i="198"/>
  <c r="FL273" i="2"/>
  <c r="CY215" i="198"/>
  <c r="DW222" i="2"/>
  <c r="EH260" i="198"/>
  <c r="FN267" i="2"/>
  <c r="EC209" i="198"/>
  <c r="FI216" i="2"/>
  <c r="EG248" i="198"/>
  <c r="FM255" i="2"/>
  <c r="EH246" i="198"/>
  <c r="FN253" i="2"/>
  <c r="EF221" i="198"/>
  <c r="FL228" i="2"/>
  <c r="EH247" i="198"/>
  <c r="FN254" i="2"/>
  <c r="DA208" i="198"/>
  <c r="DY215" i="2"/>
  <c r="EF267" i="198"/>
  <c r="FL274" i="2"/>
  <c r="EG264" i="198"/>
  <c r="FM271" i="2"/>
  <c r="EX211" i="1"/>
  <c r="CZ227" i="198"/>
  <c r="DX234" i="2"/>
  <c r="EC226" i="198"/>
  <c r="FI233" i="2"/>
  <c r="EF205" i="198"/>
  <c r="FL212" i="2"/>
  <c r="GU176" i="1"/>
  <c r="EG272" i="198"/>
  <c r="FM279" i="2"/>
  <c r="ED204" i="198"/>
  <c r="FJ211" i="2"/>
  <c r="EK222" i="198"/>
  <c r="FQ229" i="2"/>
  <c r="EG254" i="198"/>
  <c r="FM261" i="2"/>
  <c r="EE198" i="198"/>
  <c r="FK205" i="2"/>
  <c r="EI257" i="198"/>
  <c r="FO264" i="2"/>
  <c r="EH245" i="198"/>
  <c r="FN252" i="2"/>
  <c r="EH231" i="198"/>
  <c r="FN238" i="2"/>
  <c r="EG262" i="198"/>
  <c r="FM269" i="2"/>
  <c r="EH259" i="198"/>
  <c r="FN266" i="2"/>
  <c r="DT75" i="1"/>
  <c r="DS77" i="1"/>
  <c r="GZ194" i="1"/>
  <c r="GY194" i="1"/>
  <c r="DV60" i="1"/>
  <c r="EU523" i="1"/>
  <c r="DV13" i="2" s="1"/>
  <c r="EV521" i="1"/>
  <c r="DW11" i="2" s="1"/>
  <c r="GT154" i="1"/>
  <c r="EG249" i="198" s="1"/>
  <c r="GV149" i="1"/>
  <c r="GT180" i="1"/>
  <c r="GU153" i="1"/>
  <c r="DT76" i="1"/>
  <c r="DU64" i="1"/>
  <c r="DV64" i="1" s="1"/>
  <c r="DV38" i="1"/>
  <c r="DU39" i="1"/>
  <c r="DW29" i="1"/>
  <c r="DU57" i="1"/>
  <c r="DW50" i="1"/>
  <c r="DV56" i="1"/>
  <c r="GS188" i="1"/>
  <c r="GR191" i="1"/>
  <c r="GV167" i="1"/>
  <c r="GV166" i="1"/>
  <c r="GW164" i="1"/>
  <c r="GV165" i="1"/>
  <c r="GW196" i="1"/>
  <c r="GX196" i="1"/>
  <c r="GW195" i="1"/>
  <c r="GV197" i="1"/>
  <c r="GX195" i="1"/>
  <c r="EW831" i="1"/>
  <c r="EX213" i="1"/>
  <c r="EW217" i="1"/>
  <c r="EW214" i="1"/>
  <c r="EW8" i="1"/>
  <c r="EX8" i="1" s="1"/>
  <c r="DV46" i="1"/>
  <c r="DU47" i="1"/>
  <c r="DV47" i="1" s="1"/>
  <c r="GP211" i="1"/>
  <c r="GQ205" i="1"/>
  <c r="GP213" i="1"/>
  <c r="DV61" i="1"/>
  <c r="GU170" i="1"/>
  <c r="GP903" i="1"/>
  <c r="GQ209" i="1"/>
  <c r="GR209" i="1"/>
  <c r="GP899" i="1"/>
  <c r="GR207" i="1"/>
  <c r="GQ207" i="1"/>
  <c r="GV193" i="1"/>
  <c r="GU193" i="1"/>
  <c r="GU160" i="1"/>
  <c r="DV62" i="1"/>
  <c r="GT201" i="1"/>
  <c r="GT181" i="1"/>
  <c r="GT189" i="1"/>
  <c r="GU179" i="1"/>
  <c r="GU156" i="1"/>
  <c r="GT184" i="1"/>
  <c r="GT182" i="1" l="1"/>
  <c r="FM274" i="2" s="1"/>
  <c r="GU201" i="1"/>
  <c r="EG205" i="198"/>
  <c r="FM212" i="2"/>
  <c r="EE226" i="198"/>
  <c r="FK233" i="2"/>
  <c r="GQ211" i="1"/>
  <c r="EC227" i="198"/>
  <c r="FI234" i="2"/>
  <c r="EX214" i="1"/>
  <c r="CZ215" i="198"/>
  <c r="DX222" i="2"/>
  <c r="EK230" i="198"/>
  <c r="FQ237" i="2"/>
  <c r="EJ231" i="198"/>
  <c r="FP238" i="2"/>
  <c r="EI260" i="198"/>
  <c r="FO267" i="2"/>
  <c r="EG265" i="198"/>
  <c r="FM272" i="2"/>
  <c r="DA227" i="198"/>
  <c r="DY234" i="2"/>
  <c r="EH269" i="198"/>
  <c r="FN276" i="2"/>
  <c r="CZ14" i="198"/>
  <c r="GU181" i="1"/>
  <c r="EG266" i="198"/>
  <c r="FM273" i="2"/>
  <c r="ED209" i="198"/>
  <c r="FJ216" i="2"/>
  <c r="EI221" i="198"/>
  <c r="FO228" i="2"/>
  <c r="EG267" i="198"/>
  <c r="ED225" i="198"/>
  <c r="FJ232" i="2"/>
  <c r="ED226" i="198"/>
  <c r="FJ233" i="2"/>
  <c r="GW197" i="1"/>
  <c r="EI232" i="198"/>
  <c r="FO239" i="2"/>
  <c r="GV169" i="1"/>
  <c r="GX164" i="1" s="1"/>
  <c r="EI258" i="198"/>
  <c r="FO265" i="2"/>
  <c r="EE201" i="198"/>
  <c r="FK208" i="2"/>
  <c r="EI244" i="198"/>
  <c r="FO251" i="2"/>
  <c r="EH272" i="198"/>
  <c r="FN279" i="2"/>
  <c r="ED208" i="198"/>
  <c r="FJ215" i="2"/>
  <c r="EH221" i="198"/>
  <c r="FN228" i="2"/>
  <c r="EH251" i="198"/>
  <c r="FN258" i="2"/>
  <c r="EH264" i="198"/>
  <c r="FN271" i="2"/>
  <c r="GU189" i="1"/>
  <c r="EG199" i="198"/>
  <c r="FM206" i="2"/>
  <c r="EH254" i="198"/>
  <c r="FN261" i="2"/>
  <c r="EE225" i="198"/>
  <c r="FK232" i="2"/>
  <c r="EC211" i="198"/>
  <c r="EC212" i="198" s="1"/>
  <c r="EC12" i="198"/>
  <c r="FI218" i="2"/>
  <c r="FI219" i="2" s="1"/>
  <c r="DA211" i="198"/>
  <c r="DA12" i="198"/>
  <c r="DA14" i="198" s="1"/>
  <c r="DY218" i="2"/>
  <c r="EJ230" i="198"/>
  <c r="FP237" i="2"/>
  <c r="EJ257" i="198"/>
  <c r="FP264" i="2"/>
  <c r="EF198" i="198"/>
  <c r="FL205" i="2"/>
  <c r="EL222" i="198"/>
  <c r="FR229" i="2"/>
  <c r="EG274" i="198"/>
  <c r="FM281" i="2"/>
  <c r="EK231" i="198"/>
  <c r="FQ238" i="2"/>
  <c r="GW166" i="1"/>
  <c r="EI259" i="198"/>
  <c r="FO266" i="2"/>
  <c r="EH248" i="198"/>
  <c r="FN255" i="2"/>
  <c r="EM222" i="198"/>
  <c r="FS229" i="2"/>
  <c r="EH232" i="198"/>
  <c r="FN239" i="2"/>
  <c r="GU184" i="1"/>
  <c r="GS191" i="1"/>
  <c r="GU180" i="1"/>
  <c r="GR899" i="1"/>
  <c r="GR208" i="1"/>
  <c r="GS208" i="1" s="1"/>
  <c r="GT207" i="1"/>
  <c r="GS207" i="1"/>
  <c r="GZ196" i="1"/>
  <c r="GY196" i="1"/>
  <c r="GV152" i="1"/>
  <c r="GV151" i="1"/>
  <c r="GV150" i="1"/>
  <c r="GV789" i="1" s="1"/>
  <c r="GW149" i="1"/>
  <c r="GR903" i="1"/>
  <c r="GR210" i="1"/>
  <c r="GS210" i="1" s="1"/>
  <c r="GS209" i="1"/>
  <c r="GT209" i="1"/>
  <c r="GP214" i="1"/>
  <c r="GQ213" i="1"/>
  <c r="GP217" i="1"/>
  <c r="GP8" i="1"/>
  <c r="GQ8" i="1" s="1"/>
  <c r="GZ195" i="1"/>
  <c r="GY195" i="1"/>
  <c r="GX197" i="1"/>
  <c r="DX50" i="1"/>
  <c r="DW62" i="1"/>
  <c r="DW61" i="1"/>
  <c r="DW60" i="1"/>
  <c r="DW56" i="1"/>
  <c r="DW46" i="1"/>
  <c r="DW43" i="1"/>
  <c r="DX43" i="1" s="1"/>
  <c r="DW38" i="1"/>
  <c r="DX29" i="1"/>
  <c r="DW44" i="1"/>
  <c r="DX44" i="1" s="1"/>
  <c r="DW45" i="1"/>
  <c r="DX45" i="1" s="1"/>
  <c r="GT190" i="1"/>
  <c r="GU154" i="1"/>
  <c r="EH249" i="198" s="1"/>
  <c r="DT77" i="1"/>
  <c r="GT188" i="1"/>
  <c r="GU182" i="1"/>
  <c r="GW193" i="1"/>
  <c r="GX193" i="1"/>
  <c r="EW807" i="1"/>
  <c r="EW773" i="1"/>
  <c r="EW521" i="1"/>
  <c r="DX11" i="2" s="1"/>
  <c r="EW218" i="1"/>
  <c r="EX218" i="1" s="1"/>
  <c r="EW219" i="1"/>
  <c r="EX219" i="1" s="1"/>
  <c r="EX217" i="1"/>
  <c r="GV172" i="1"/>
  <c r="GW165" i="1"/>
  <c r="GV176" i="1"/>
  <c r="GW167" i="1"/>
  <c r="DU75" i="1"/>
  <c r="DU76" i="1"/>
  <c r="DV57" i="1"/>
  <c r="DV39" i="1"/>
  <c r="DU74" i="1"/>
  <c r="DV74" i="1" s="1"/>
  <c r="DU99" i="1"/>
  <c r="DV99" i="1" s="1"/>
  <c r="GW169" i="1" l="1"/>
  <c r="EJ262" i="198" s="1"/>
  <c r="GV170" i="1"/>
  <c r="GV179" i="1"/>
  <c r="FO271" i="2" s="1"/>
  <c r="GV153" i="1"/>
  <c r="EI248" i="198" s="1"/>
  <c r="EM230" i="198"/>
  <c r="FS237" i="2"/>
  <c r="GQ214" i="1"/>
  <c r="EC215" i="198"/>
  <c r="FI222" i="2"/>
  <c r="EI247" i="198"/>
  <c r="FO254" i="2"/>
  <c r="EF225" i="198"/>
  <c r="FL232" i="2"/>
  <c r="EH265" i="198"/>
  <c r="FN272" i="2"/>
  <c r="FP269" i="2"/>
  <c r="EI262" i="198"/>
  <c r="FO269" i="2"/>
  <c r="EH266" i="198"/>
  <c r="FN273" i="2"/>
  <c r="EJ258" i="198"/>
  <c r="FP265" i="2"/>
  <c r="EK221" i="198"/>
  <c r="FQ228" i="2"/>
  <c r="EJ260" i="198"/>
  <c r="FP267" i="2"/>
  <c r="GW172" i="1"/>
  <c r="EI269" i="198"/>
  <c r="FO276" i="2"/>
  <c r="EJ221" i="198"/>
  <c r="FP228" i="2"/>
  <c r="EG226" i="198"/>
  <c r="FM233" i="2"/>
  <c r="EJ244" i="198"/>
  <c r="FP251" i="2"/>
  <c r="EG225" i="198"/>
  <c r="FM232" i="2"/>
  <c r="GR200" i="1"/>
  <c r="GS200" i="1" s="1"/>
  <c r="ED227" i="198"/>
  <c r="FJ234" i="2"/>
  <c r="GW176" i="1"/>
  <c r="EI272" i="198"/>
  <c r="FO279" i="2"/>
  <c r="EH267" i="198"/>
  <c r="FN274" i="2"/>
  <c r="EG200" i="198"/>
  <c r="FM207" i="2"/>
  <c r="EK232" i="198"/>
  <c r="FQ239" i="2"/>
  <c r="U8" i="225"/>
  <c r="U9" i="225" s="1"/>
  <c r="EF226" i="198"/>
  <c r="FL233" i="2"/>
  <c r="EI245" i="198"/>
  <c r="FO252" i="2"/>
  <c r="EL231" i="198"/>
  <c r="FR238" i="2"/>
  <c r="EF201" i="198"/>
  <c r="FL208" i="2"/>
  <c r="EJ259" i="198"/>
  <c r="FP266" i="2"/>
  <c r="DA215" i="198"/>
  <c r="DY222" i="2"/>
  <c r="EH205" i="198"/>
  <c r="FN212" i="2"/>
  <c r="EG198" i="198"/>
  <c r="FM205" i="2"/>
  <c r="EL230" i="198"/>
  <c r="FR237" i="2"/>
  <c r="ED211" i="198"/>
  <c r="ED12" i="198"/>
  <c r="ED14" i="198" s="1"/>
  <c r="FJ218" i="2"/>
  <c r="EI246" i="198"/>
  <c r="FO253" i="2"/>
  <c r="EM231" i="198"/>
  <c r="FS238" i="2"/>
  <c r="EH274" i="198"/>
  <c r="FN281" i="2"/>
  <c r="EK257" i="198"/>
  <c r="FQ264" i="2"/>
  <c r="EC14" i="198"/>
  <c r="EH199" i="198"/>
  <c r="FN206" i="2"/>
  <c r="EJ232" i="198"/>
  <c r="FP239" i="2"/>
  <c r="GZ193" i="1"/>
  <c r="GY193" i="1"/>
  <c r="GU188" i="1"/>
  <c r="GT191" i="1"/>
  <c r="DW47" i="1"/>
  <c r="DX47" i="1" s="1"/>
  <c r="DX46" i="1"/>
  <c r="DX60" i="1"/>
  <c r="GZ197" i="1"/>
  <c r="GY197" i="1"/>
  <c r="GP773" i="1"/>
  <c r="GP521" i="1"/>
  <c r="FI11" i="2" s="1"/>
  <c r="GP219" i="1"/>
  <c r="GP218" i="1"/>
  <c r="GQ218" i="1" s="1"/>
  <c r="GQ217" i="1"/>
  <c r="GT903" i="1"/>
  <c r="GT210" i="1"/>
  <c r="GU210" i="1" s="1"/>
  <c r="GU209" i="1"/>
  <c r="GV209" i="1"/>
  <c r="GW151" i="1"/>
  <c r="DV76" i="1"/>
  <c r="DX61" i="1"/>
  <c r="GW152" i="1"/>
  <c r="GV160" i="1"/>
  <c r="GT899" i="1"/>
  <c r="GT208" i="1"/>
  <c r="GU208" i="1" s="1"/>
  <c r="GV207" i="1"/>
  <c r="GU207" i="1"/>
  <c r="GW170" i="1"/>
  <c r="DV75" i="1"/>
  <c r="DU77" i="1"/>
  <c r="GU190" i="1"/>
  <c r="GT501" i="1"/>
  <c r="GU501" i="1" s="1"/>
  <c r="DX38" i="1"/>
  <c r="DW39" i="1"/>
  <c r="DY29" i="1"/>
  <c r="DW64" i="1"/>
  <c r="DX64" i="1" s="1"/>
  <c r="DX62" i="1"/>
  <c r="GX149" i="1"/>
  <c r="GV189" i="1"/>
  <c r="GW179" i="1"/>
  <c r="GV201" i="1"/>
  <c r="EW523" i="1"/>
  <c r="DX13" i="2" s="1"/>
  <c r="EX521" i="1"/>
  <c r="DY11" i="2" s="1"/>
  <c r="DY50" i="1"/>
  <c r="DX56" i="1"/>
  <c r="DW57" i="1"/>
  <c r="GW150" i="1"/>
  <c r="GV156" i="1"/>
  <c r="GR203" i="1"/>
  <c r="GY164" i="1"/>
  <c r="GX167" i="1"/>
  <c r="GX166" i="1"/>
  <c r="GX165" i="1"/>
  <c r="GZ164" i="1"/>
  <c r="GV180" i="1" l="1"/>
  <c r="EI264" i="198"/>
  <c r="GV154" i="1"/>
  <c r="EI249" i="198" s="1"/>
  <c r="GW153" i="1"/>
  <c r="FO255" i="2"/>
  <c r="EK259" i="198"/>
  <c r="FQ266" i="2"/>
  <c r="EI251" i="198"/>
  <c r="FO258" i="2"/>
  <c r="EM257" i="198"/>
  <c r="FS264" i="2"/>
  <c r="EL257" i="198"/>
  <c r="FR264" i="2"/>
  <c r="EK244" i="198"/>
  <c r="FQ251" i="2"/>
  <c r="EI226" i="198"/>
  <c r="FO233" i="2"/>
  <c r="EL221" i="198"/>
  <c r="FR228" i="2"/>
  <c r="EK258" i="198"/>
  <c r="FQ265" i="2"/>
  <c r="EH226" i="198"/>
  <c r="FN233" i="2"/>
  <c r="EL232" i="198"/>
  <c r="FR239" i="2"/>
  <c r="EM221" i="198"/>
  <c r="FS228" i="2"/>
  <c r="EJ269" i="198"/>
  <c r="FP276" i="2"/>
  <c r="EE207" i="198"/>
  <c r="FK214" i="2"/>
  <c r="GW201" i="1"/>
  <c r="EI205" i="198"/>
  <c r="FO212" i="2"/>
  <c r="EJ248" i="198"/>
  <c r="FP255" i="2"/>
  <c r="EH200" i="198"/>
  <c r="FN207" i="2"/>
  <c r="EH225" i="198"/>
  <c r="FN232" i="2"/>
  <c r="EI254" i="198"/>
  <c r="FO261" i="2"/>
  <c r="EF204" i="198"/>
  <c r="FL211" i="2"/>
  <c r="EM232" i="198"/>
  <c r="FS239" i="2"/>
  <c r="EG201" i="198"/>
  <c r="FM208" i="2"/>
  <c r="EE204" i="198"/>
  <c r="FK211" i="2"/>
  <c r="EJ264" i="198"/>
  <c r="FP271" i="2"/>
  <c r="EK260" i="198"/>
  <c r="FQ267" i="2"/>
  <c r="EJ245" i="198"/>
  <c r="FP252" i="2"/>
  <c r="GW189" i="1"/>
  <c r="EI199" i="198"/>
  <c r="FO206" i="2"/>
  <c r="GV181" i="1"/>
  <c r="EI265" i="198"/>
  <c r="FO272" i="2"/>
  <c r="EI225" i="198"/>
  <c r="FO232" i="2"/>
  <c r="EJ247" i="198"/>
  <c r="FP254" i="2"/>
  <c r="EJ246" i="198"/>
  <c r="FP253" i="2"/>
  <c r="EH198" i="198"/>
  <c r="FN205" i="2"/>
  <c r="EJ272" i="198"/>
  <c r="FP279" i="2"/>
  <c r="ED215" i="198"/>
  <c r="FJ222" i="2"/>
  <c r="GZ167" i="1"/>
  <c r="GX176" i="1"/>
  <c r="GY167" i="1"/>
  <c r="GV184" i="1"/>
  <c r="GW156" i="1"/>
  <c r="DY62" i="1"/>
  <c r="DY61" i="1"/>
  <c r="DY60" i="1"/>
  <c r="DY56" i="1"/>
  <c r="DZ50" i="1"/>
  <c r="GX152" i="1"/>
  <c r="GX151" i="1"/>
  <c r="GX150" i="1"/>
  <c r="GX789" i="1" s="1"/>
  <c r="GZ149" i="1"/>
  <c r="GY149" i="1"/>
  <c r="GV899" i="1"/>
  <c r="GV208" i="1"/>
  <c r="GW208" i="1" s="1"/>
  <c r="GX207" i="1"/>
  <c r="GW207" i="1"/>
  <c r="GV903" i="1"/>
  <c r="GV210" i="1"/>
  <c r="GW210" i="1" s="1"/>
  <c r="GW209" i="1"/>
  <c r="GX209" i="1"/>
  <c r="GR204" i="1"/>
  <c r="GS203" i="1"/>
  <c r="GW154" i="1"/>
  <c r="EJ249" i="198" s="1"/>
  <c r="GW160" i="1"/>
  <c r="GT203" i="1"/>
  <c r="GU191" i="1"/>
  <c r="GT200" i="1"/>
  <c r="GZ165" i="1"/>
  <c r="GY165" i="1"/>
  <c r="GX172" i="1"/>
  <c r="GX169" i="1"/>
  <c r="DW76" i="1"/>
  <c r="DX57" i="1"/>
  <c r="DW75" i="1"/>
  <c r="DY44" i="1"/>
  <c r="DZ44" i="1" s="1"/>
  <c r="DY45" i="1"/>
  <c r="DZ45" i="1" s="1"/>
  <c r="DY46" i="1"/>
  <c r="DY43" i="1"/>
  <c r="DZ43" i="1" s="1"/>
  <c r="DY38" i="1"/>
  <c r="DZ29" i="1"/>
  <c r="GR205" i="1"/>
  <c r="GY166" i="1"/>
  <c r="GZ166" i="1"/>
  <c r="GW180" i="1"/>
  <c r="DX39" i="1"/>
  <c r="DW74" i="1"/>
  <c r="DX74" i="1" s="1"/>
  <c r="DW99" i="1"/>
  <c r="DX99" i="1" s="1"/>
  <c r="DV77" i="1"/>
  <c r="GP523" i="1"/>
  <c r="FI13" i="2" s="1"/>
  <c r="GQ521" i="1"/>
  <c r="FJ11" i="2" s="1"/>
  <c r="GV182" i="1" l="1"/>
  <c r="FO274" i="2" s="1"/>
  <c r="GV190" i="1"/>
  <c r="FO207" i="2" s="1"/>
  <c r="EL259" i="198"/>
  <c r="FR266" i="2"/>
  <c r="EG204" i="198"/>
  <c r="FM211" i="2"/>
  <c r="EI267" i="198"/>
  <c r="GS204" i="1"/>
  <c r="EE208" i="198"/>
  <c r="FK215" i="2"/>
  <c r="EK246" i="198"/>
  <c r="FQ253" i="2"/>
  <c r="EJ251" i="198"/>
  <c r="FP258" i="2"/>
  <c r="EM260" i="198"/>
  <c r="FS267" i="2"/>
  <c r="EK269" i="198"/>
  <c r="FQ276" i="2"/>
  <c r="EH201" i="198"/>
  <c r="FN208" i="2"/>
  <c r="EK226" i="198"/>
  <c r="FQ233" i="2"/>
  <c r="EJ225" i="198"/>
  <c r="FP232" i="2"/>
  <c r="EL244" i="198"/>
  <c r="FR251" i="2"/>
  <c r="EK247" i="198"/>
  <c r="FQ254" i="2"/>
  <c r="GW184" i="1"/>
  <c r="EI274" i="198"/>
  <c r="FO281" i="2"/>
  <c r="EJ199" i="198"/>
  <c r="FP206" i="2"/>
  <c r="EE209" i="198"/>
  <c r="FK216" i="2"/>
  <c r="EJ265" i="198"/>
  <c r="FP272" i="2"/>
  <c r="EL258" i="198"/>
  <c r="FR265" i="2"/>
  <c r="EG207" i="198"/>
  <c r="FM214" i="2"/>
  <c r="EI200" i="198"/>
  <c r="EJ226" i="198"/>
  <c r="FP233" i="2"/>
  <c r="EK225" i="198"/>
  <c r="FQ232" i="2"/>
  <c r="EM244" i="198"/>
  <c r="FS251" i="2"/>
  <c r="GX153" i="1"/>
  <c r="GZ153" i="1" s="1"/>
  <c r="EL260" i="198"/>
  <c r="FR267" i="2"/>
  <c r="GW181" i="1"/>
  <c r="EI266" i="198"/>
  <c r="FO273" i="2"/>
  <c r="EJ205" i="198"/>
  <c r="FP212" i="2"/>
  <c r="EM259" i="198"/>
  <c r="FS266" i="2"/>
  <c r="EK262" i="198"/>
  <c r="FQ269" i="2"/>
  <c r="EM258" i="198"/>
  <c r="FS265" i="2"/>
  <c r="EJ254" i="198"/>
  <c r="FP261" i="2"/>
  <c r="EF207" i="198"/>
  <c r="FL214" i="2"/>
  <c r="EK245" i="198"/>
  <c r="FQ252" i="2"/>
  <c r="GY176" i="1"/>
  <c r="EK272" i="198"/>
  <c r="FQ279" i="2"/>
  <c r="DZ46" i="1"/>
  <c r="DY47" i="1"/>
  <c r="DZ47" i="1" s="1"/>
  <c r="GZ172" i="1"/>
  <c r="GY172" i="1"/>
  <c r="GW182" i="1"/>
  <c r="GX903" i="1"/>
  <c r="GX210" i="1"/>
  <c r="GY210" i="1" s="1"/>
  <c r="GY209" i="1"/>
  <c r="GZ209" i="1"/>
  <c r="GX156" i="1"/>
  <c r="GZ150" i="1"/>
  <c r="GY150" i="1"/>
  <c r="DZ62" i="1"/>
  <c r="DX76" i="1"/>
  <c r="GU203" i="1"/>
  <c r="GT204" i="1"/>
  <c r="GT205" i="1" s="1"/>
  <c r="GZ151" i="1"/>
  <c r="GY151" i="1"/>
  <c r="DY57" i="1"/>
  <c r="DZ56" i="1"/>
  <c r="EA50" i="1"/>
  <c r="GR211" i="1"/>
  <c r="GS205" i="1"/>
  <c r="GR213" i="1"/>
  <c r="DY64" i="1"/>
  <c r="DZ64" i="1" s="1"/>
  <c r="EA29" i="1"/>
  <c r="DZ38" i="1"/>
  <c r="DY39" i="1"/>
  <c r="GZ169" i="1"/>
  <c r="GX179" i="1"/>
  <c r="GX170" i="1"/>
  <c r="GY169" i="1"/>
  <c r="GX160" i="1"/>
  <c r="GZ152" i="1"/>
  <c r="GY152" i="1"/>
  <c r="DZ60" i="1"/>
  <c r="DX75" i="1"/>
  <c r="DW77" i="1"/>
  <c r="GU200" i="1"/>
  <c r="GV501" i="1"/>
  <c r="GW501" i="1" s="1"/>
  <c r="GX899" i="1"/>
  <c r="GX208" i="1"/>
  <c r="GY208" i="1" s="1"/>
  <c r="GZ207" i="1"/>
  <c r="GY207" i="1"/>
  <c r="GX180" i="1"/>
  <c r="DZ61" i="1"/>
  <c r="GY153" i="1" l="1"/>
  <c r="GW190" i="1"/>
  <c r="FP207" i="2" s="1"/>
  <c r="GV188" i="1"/>
  <c r="GW188" i="1" s="1"/>
  <c r="GX154" i="1"/>
  <c r="EK249" i="198" s="1"/>
  <c r="EG209" i="198"/>
  <c r="FM216" i="2"/>
  <c r="EE211" i="198"/>
  <c r="EE212" i="198" s="1"/>
  <c r="EE12" i="198"/>
  <c r="FK218" i="2"/>
  <c r="FK219" i="2" s="1"/>
  <c r="EL245" i="198"/>
  <c r="FR252" i="2"/>
  <c r="EL247" i="198"/>
  <c r="FR254" i="2"/>
  <c r="EF209" i="198"/>
  <c r="FL216" i="2"/>
  <c r="EH207" i="198"/>
  <c r="FN214" i="2"/>
  <c r="EM245" i="198"/>
  <c r="FS252" i="2"/>
  <c r="EL269" i="198"/>
  <c r="FR276" i="2"/>
  <c r="EL272" i="198"/>
  <c r="FR279" i="2"/>
  <c r="EK248" i="198"/>
  <c r="FQ255" i="2"/>
  <c r="EF208" i="198"/>
  <c r="FL215" i="2"/>
  <c r="EK265" i="198"/>
  <c r="FQ272" i="2"/>
  <c r="EH204" i="198"/>
  <c r="FN211" i="2"/>
  <c r="GU204" i="1"/>
  <c r="EG208" i="198"/>
  <c r="FM215" i="2"/>
  <c r="EI198" i="198"/>
  <c r="EL248" i="198"/>
  <c r="FR255" i="2"/>
  <c r="EL225" i="198"/>
  <c r="FR232" i="2"/>
  <c r="EM247" i="198"/>
  <c r="FS254" i="2"/>
  <c r="EK264" i="198"/>
  <c r="FQ271" i="2"/>
  <c r="GS211" i="1"/>
  <c r="EE227" i="198"/>
  <c r="FK234" i="2"/>
  <c r="EL246" i="198"/>
  <c r="FR253" i="2"/>
  <c r="EK251" i="198"/>
  <c r="FQ258" i="2"/>
  <c r="EM269" i="198"/>
  <c r="FS276" i="2"/>
  <c r="EJ266" i="198"/>
  <c r="FP273" i="2"/>
  <c r="EL262" i="198"/>
  <c r="FR269" i="2"/>
  <c r="EL226" i="198"/>
  <c r="FR233" i="2"/>
  <c r="EM248" i="198"/>
  <c r="FS255" i="2"/>
  <c r="EM225" i="198"/>
  <c r="FS232" i="2"/>
  <c r="EK254" i="198"/>
  <c r="FQ261" i="2"/>
  <c r="EM262" i="198"/>
  <c r="FS269" i="2"/>
  <c r="EM246" i="198"/>
  <c r="FS253" i="2"/>
  <c r="EM226" i="198"/>
  <c r="FS233" i="2"/>
  <c r="EJ267" i="198"/>
  <c r="FP274" i="2"/>
  <c r="EJ274" i="198"/>
  <c r="FP281" i="2"/>
  <c r="DY76" i="1"/>
  <c r="DY75" i="1"/>
  <c r="DZ57" i="1"/>
  <c r="GV191" i="1"/>
  <c r="DX77" i="1"/>
  <c r="GJ39" i="1"/>
  <c r="DZ39" i="1"/>
  <c r="DY74" i="1"/>
  <c r="DZ74" i="1" s="1"/>
  <c r="DY99" i="1"/>
  <c r="DZ99" i="1" s="1"/>
  <c r="GR217" i="1"/>
  <c r="GR214" i="1"/>
  <c r="GS213" i="1"/>
  <c r="GR8" i="1"/>
  <c r="GS8" i="1" s="1"/>
  <c r="GT211" i="1"/>
  <c r="GU205" i="1"/>
  <c r="GT213" i="1"/>
  <c r="GY160" i="1"/>
  <c r="GZ170" i="1"/>
  <c r="GY170" i="1"/>
  <c r="EB50" i="1"/>
  <c r="EA62" i="1"/>
  <c r="EA61" i="1"/>
  <c r="EA60" i="1"/>
  <c r="EA56" i="1"/>
  <c r="GY156" i="1"/>
  <c r="GX184" i="1"/>
  <c r="GZ156" i="1"/>
  <c r="GZ180" i="1"/>
  <c r="GY180" i="1"/>
  <c r="GX201" i="1"/>
  <c r="GX181" i="1"/>
  <c r="GX189" i="1"/>
  <c r="GZ179" i="1"/>
  <c r="GY179" i="1"/>
  <c r="EA46" i="1"/>
  <c r="EA43" i="1"/>
  <c r="EB43" i="1" s="1"/>
  <c r="EA39" i="1"/>
  <c r="EA38" i="1"/>
  <c r="EB29" i="1"/>
  <c r="EA44" i="1"/>
  <c r="EB44" i="1" s="1"/>
  <c r="EA45" i="1"/>
  <c r="EB45" i="1" s="1"/>
  <c r="GY154" i="1" l="1"/>
  <c r="EL249" i="198" s="1"/>
  <c r="GZ154" i="1"/>
  <c r="JE118" i="2" s="1"/>
  <c r="GX182" i="1"/>
  <c r="GX190" i="1"/>
  <c r="FQ207" i="2" s="1"/>
  <c r="EJ200" i="198"/>
  <c r="FO205" i="2"/>
  <c r="EM264" i="198"/>
  <c r="FS271" i="2"/>
  <c r="EL251" i="198"/>
  <c r="FR258" i="2"/>
  <c r="EK267" i="198"/>
  <c r="FQ274" i="2"/>
  <c r="GU211" i="1"/>
  <c r="EG227" i="198"/>
  <c r="FM234" i="2"/>
  <c r="EM249" i="198"/>
  <c r="EF227" i="198"/>
  <c r="FL234" i="2"/>
  <c r="EL264" i="198"/>
  <c r="FR271" i="2"/>
  <c r="EK274" i="198"/>
  <c r="FQ281" i="2"/>
  <c r="EL265" i="198"/>
  <c r="FR272" i="2"/>
  <c r="EK199" i="198"/>
  <c r="FQ206" i="2"/>
  <c r="EM265" i="198"/>
  <c r="FS272" i="2"/>
  <c r="EL254" i="198"/>
  <c r="FR261" i="2"/>
  <c r="EK200" i="198"/>
  <c r="EH208" i="198"/>
  <c r="FN215" i="2"/>
  <c r="EK266" i="198"/>
  <c r="FQ273" i="2"/>
  <c r="EM251" i="198"/>
  <c r="FS258" i="2"/>
  <c r="EG211" i="198"/>
  <c r="EG212" i="198" s="1"/>
  <c r="EG12" i="198"/>
  <c r="FM218" i="2"/>
  <c r="FM219" i="2" s="1"/>
  <c r="EF211" i="198"/>
  <c r="EF12" i="198"/>
  <c r="EF14" i="198" s="1"/>
  <c r="FL218" i="2"/>
  <c r="EI201" i="198"/>
  <c r="FO208" i="2"/>
  <c r="EK205" i="198"/>
  <c r="FQ212" i="2"/>
  <c r="EH209" i="198"/>
  <c r="FN216" i="2"/>
  <c r="GS214" i="1"/>
  <c r="EE215" i="198"/>
  <c r="FK222" i="2"/>
  <c r="EJ198" i="198"/>
  <c r="FP205" i="2"/>
  <c r="EE14" i="198"/>
  <c r="EA47" i="1"/>
  <c r="EB47" i="1" s="1"/>
  <c r="EB46" i="1"/>
  <c r="GZ181" i="1"/>
  <c r="GY181" i="1"/>
  <c r="EB62" i="1"/>
  <c r="GX188" i="1"/>
  <c r="GZ182" i="1"/>
  <c r="GY182" i="1"/>
  <c r="GK39" i="1"/>
  <c r="GJ74" i="1"/>
  <c r="GK74" i="1" s="1"/>
  <c r="GJ99" i="1"/>
  <c r="GJ75" i="1"/>
  <c r="GJ76" i="1"/>
  <c r="GK76" i="1" s="1"/>
  <c r="DY77" i="1"/>
  <c r="DZ75" i="1"/>
  <c r="EB38" i="1"/>
  <c r="EC29" i="1"/>
  <c r="EA64" i="1"/>
  <c r="EB64" i="1" s="1"/>
  <c r="GY201" i="1"/>
  <c r="GZ201" i="1"/>
  <c r="GZ184" i="1"/>
  <c r="GY184" i="1"/>
  <c r="EB56" i="1"/>
  <c r="EA57" i="1"/>
  <c r="EC50" i="1"/>
  <c r="DZ76" i="1"/>
  <c r="EB39" i="1"/>
  <c r="EA74" i="1"/>
  <c r="EB74" i="1" s="1"/>
  <c r="EA99" i="1"/>
  <c r="EB99" i="1" s="1"/>
  <c r="EB60" i="1"/>
  <c r="GT217" i="1"/>
  <c r="GT214" i="1"/>
  <c r="GU213" i="1"/>
  <c r="GT8" i="1"/>
  <c r="GU8" i="1" s="1"/>
  <c r="GW191" i="1"/>
  <c r="GV200" i="1"/>
  <c r="GV203" i="1"/>
  <c r="GZ189" i="1"/>
  <c r="GY189" i="1"/>
  <c r="EB61" i="1"/>
  <c r="GR773" i="1"/>
  <c r="GR521" i="1"/>
  <c r="FK11" i="2" s="1"/>
  <c r="GR218" i="1"/>
  <c r="GS218" i="1" s="1"/>
  <c r="GS217" i="1"/>
  <c r="GR219" i="1"/>
  <c r="GX501" i="1" l="1"/>
  <c r="GY190" i="1"/>
  <c r="FR207" i="2" s="1"/>
  <c r="GZ190" i="1"/>
  <c r="EM200" i="198" s="1"/>
  <c r="EJ201" i="198"/>
  <c r="FP208" i="2"/>
  <c r="EL205" i="198"/>
  <c r="FR212" i="2"/>
  <c r="EM267" i="198"/>
  <c r="FS274" i="2"/>
  <c r="EM266" i="198"/>
  <c r="FS273" i="2"/>
  <c r="EL200" i="198"/>
  <c r="EL199" i="198"/>
  <c r="FR206" i="2"/>
  <c r="EM199" i="198"/>
  <c r="FS206" i="2"/>
  <c r="EL274" i="198"/>
  <c r="FR281" i="2"/>
  <c r="EK198" i="198"/>
  <c r="FQ205" i="2"/>
  <c r="EI207" i="198"/>
  <c r="FO214" i="2"/>
  <c r="EH211" i="198"/>
  <c r="EH12" i="198"/>
  <c r="EH14" i="198" s="1"/>
  <c r="FN218" i="2"/>
  <c r="EM274" i="198"/>
  <c r="FS281" i="2"/>
  <c r="EI204" i="198"/>
  <c r="FO211" i="2"/>
  <c r="GU214" i="1"/>
  <c r="EG215" i="198"/>
  <c r="FM222" i="2"/>
  <c r="EM205" i="198"/>
  <c r="FS212" i="2"/>
  <c r="EL267" i="198"/>
  <c r="FR274" i="2"/>
  <c r="EL266" i="198"/>
  <c r="FR273" i="2"/>
  <c r="EF215" i="198"/>
  <c r="FL222" i="2"/>
  <c r="EG14" i="198"/>
  <c r="EH227" i="198"/>
  <c r="FN234" i="2"/>
  <c r="GT773" i="1"/>
  <c r="GT521" i="1"/>
  <c r="FM11" i="2" s="1"/>
  <c r="GT218" i="1"/>
  <c r="GU218" i="1" s="1"/>
  <c r="GU217" i="1"/>
  <c r="GT219" i="1"/>
  <c r="DZ77" i="1"/>
  <c r="GZ188" i="1"/>
  <c r="GY188" i="1"/>
  <c r="GX191" i="1"/>
  <c r="GR523" i="1"/>
  <c r="FK13" i="2" s="1"/>
  <c r="GS521" i="1"/>
  <c r="FL11" i="2" s="1"/>
  <c r="GV204" i="1"/>
  <c r="GV205" i="1" s="1"/>
  <c r="GW203" i="1"/>
  <c r="EC62" i="1"/>
  <c r="EC61" i="1"/>
  <c r="EC60" i="1"/>
  <c r="EC56" i="1"/>
  <c r="ED50" i="1"/>
  <c r="GW200" i="1"/>
  <c r="EA75" i="1"/>
  <c r="EB57" i="1"/>
  <c r="EA76" i="1"/>
  <c r="GJ77" i="1"/>
  <c r="GK77" i="1" s="1"/>
  <c r="GK75" i="1"/>
  <c r="GZ501" i="1"/>
  <c r="GY501" i="1"/>
  <c r="EC44" i="1"/>
  <c r="ED44" i="1" s="1"/>
  <c r="EC45" i="1"/>
  <c r="ED45" i="1" s="1"/>
  <c r="EC46" i="1"/>
  <c r="EC43" i="1"/>
  <c r="ED43" i="1" s="1"/>
  <c r="EC38" i="1"/>
  <c r="ED29" i="1"/>
  <c r="FS207" i="2" l="1"/>
  <c r="EJ207" i="198"/>
  <c r="FP214" i="2"/>
  <c r="EK201" i="198"/>
  <c r="FQ208" i="2"/>
  <c r="EJ204" i="198"/>
  <c r="FP211" i="2"/>
  <c r="GW204" i="1"/>
  <c r="EI208" i="198"/>
  <c r="FO215" i="2"/>
  <c r="EL198" i="198"/>
  <c r="FR205" i="2"/>
  <c r="EH215" i="198"/>
  <c r="FN222" i="2"/>
  <c r="EM198" i="198"/>
  <c r="FS205" i="2"/>
  <c r="EI209" i="198"/>
  <c r="FO216" i="2"/>
  <c r="EB76" i="1"/>
  <c r="GV211" i="1"/>
  <c r="GW205" i="1"/>
  <c r="GV213" i="1"/>
  <c r="EC57" i="1"/>
  <c r="EE50" i="1"/>
  <c r="ED56" i="1"/>
  <c r="ED46" i="1"/>
  <c r="EC47" i="1"/>
  <c r="ED47" i="1" s="1"/>
  <c r="ED60" i="1"/>
  <c r="GT523" i="1"/>
  <c r="FM13" i="2" s="1"/>
  <c r="GU521" i="1"/>
  <c r="FN11" i="2" s="1"/>
  <c r="EB75" i="1"/>
  <c r="EA77" i="1"/>
  <c r="ED61" i="1"/>
  <c r="EC64" i="1"/>
  <c r="ED64" i="1" s="1"/>
  <c r="ED38" i="1"/>
  <c r="EC39" i="1"/>
  <c r="EE29" i="1"/>
  <c r="ED62" i="1"/>
  <c r="GX203" i="1"/>
  <c r="GZ191" i="1"/>
  <c r="GY191" i="1"/>
  <c r="GX200" i="1"/>
  <c r="EI211" i="198" l="1"/>
  <c r="EI212" i="198" s="1"/>
  <c r="EI12" i="198"/>
  <c r="FO218" i="2"/>
  <c r="FO219" i="2" s="1"/>
  <c r="EL201" i="198"/>
  <c r="FR208" i="2"/>
  <c r="EJ208" i="198"/>
  <c r="FP215" i="2"/>
  <c r="EM201" i="198"/>
  <c r="FS208" i="2"/>
  <c r="GW211" i="1"/>
  <c r="EI227" i="198"/>
  <c r="FO234" i="2"/>
  <c r="EK204" i="198"/>
  <c r="FQ211" i="2"/>
  <c r="EJ209" i="198"/>
  <c r="FP216" i="2"/>
  <c r="EK207" i="198"/>
  <c r="FQ214" i="2"/>
  <c r="EE62" i="1"/>
  <c r="EE61" i="1"/>
  <c r="EE60" i="1"/>
  <c r="EE56" i="1"/>
  <c r="EF50" i="1"/>
  <c r="EC76" i="1"/>
  <c r="EC75" i="1"/>
  <c r="ED57" i="1"/>
  <c r="GZ200" i="1"/>
  <c r="GY200" i="1"/>
  <c r="GY203" i="1"/>
  <c r="GX204" i="1"/>
  <c r="GZ203" i="1"/>
  <c r="EE46" i="1"/>
  <c r="EE43" i="1"/>
  <c r="EF43" i="1" s="1"/>
  <c r="EE38" i="1"/>
  <c r="EF29" i="1"/>
  <c r="EE44" i="1"/>
  <c r="EF44" i="1" s="1"/>
  <c r="EE45" i="1"/>
  <c r="EF45" i="1" s="1"/>
  <c r="GV214" i="1"/>
  <c r="GW213" i="1"/>
  <c r="GV217" i="1"/>
  <c r="GV8" i="1"/>
  <c r="GW8" i="1" s="1"/>
  <c r="ED39" i="1"/>
  <c r="EC74" i="1"/>
  <c r="ED74" i="1" s="1"/>
  <c r="EC99" i="1"/>
  <c r="ED99" i="1" s="1"/>
  <c r="EB77" i="1"/>
  <c r="EJ211" i="198" l="1"/>
  <c r="EJ12" i="198"/>
  <c r="EJ14" i="198" s="1"/>
  <c r="FP218" i="2"/>
  <c r="GW214" i="1"/>
  <c r="EI215" i="198"/>
  <c r="FO222" i="2"/>
  <c r="EK208" i="198"/>
  <c r="FQ215" i="2"/>
  <c r="EL207" i="198"/>
  <c r="FR214" i="2"/>
  <c r="EL204" i="198"/>
  <c r="FR211" i="2"/>
  <c r="EJ227" i="198"/>
  <c r="FP234" i="2"/>
  <c r="EI14" i="198"/>
  <c r="EM207" i="198"/>
  <c r="FS214" i="2"/>
  <c r="EM204" i="198"/>
  <c r="FS211" i="2"/>
  <c r="GV773" i="1"/>
  <c r="GV521" i="1"/>
  <c r="FO11" i="2" s="1"/>
  <c r="GV219" i="1"/>
  <c r="GV218" i="1"/>
  <c r="GW218" i="1" s="1"/>
  <c r="GW217" i="1"/>
  <c r="EF61" i="1"/>
  <c r="EF38" i="1"/>
  <c r="EE39" i="1"/>
  <c r="EG29" i="1"/>
  <c r="EE64" i="1"/>
  <c r="EF64" i="1" s="1"/>
  <c r="GZ204" i="1"/>
  <c r="GY204" i="1"/>
  <c r="GX205" i="1"/>
  <c r="EC77" i="1"/>
  <c r="ED77" i="1" s="1"/>
  <c r="ED75" i="1"/>
  <c r="EF62" i="1"/>
  <c r="ED76" i="1"/>
  <c r="EG50" i="1"/>
  <c r="EF56" i="1"/>
  <c r="EE57" i="1"/>
  <c r="EE47" i="1"/>
  <c r="EF47" i="1" s="1"/>
  <c r="EF46" i="1"/>
  <c r="EF60" i="1"/>
  <c r="EJ215" i="198" l="1"/>
  <c r="FP222" i="2"/>
  <c r="EL208" i="198"/>
  <c r="FR215" i="2"/>
  <c r="EM208" i="198"/>
  <c r="FS215" i="2"/>
  <c r="EK209" i="198"/>
  <c r="FQ216" i="2"/>
  <c r="GZ205" i="1"/>
  <c r="GX211" i="1"/>
  <c r="GY205" i="1"/>
  <c r="GX213" i="1"/>
  <c r="EG44" i="1"/>
  <c r="EH44" i="1" s="1"/>
  <c r="EG45" i="1"/>
  <c r="EH45" i="1" s="1"/>
  <c r="EG46" i="1"/>
  <c r="EG43" i="1"/>
  <c r="EH43" i="1" s="1"/>
  <c r="EG38" i="1"/>
  <c r="EH29" i="1"/>
  <c r="EG62" i="1"/>
  <c r="EG61" i="1"/>
  <c r="EG60" i="1"/>
  <c r="EG56" i="1"/>
  <c r="EH50" i="1"/>
  <c r="EF39" i="1"/>
  <c r="EE74" i="1"/>
  <c r="EF74" i="1" s="1"/>
  <c r="EE99" i="1"/>
  <c r="EF99" i="1" s="1"/>
  <c r="GV523" i="1"/>
  <c r="FO13" i="2" s="1"/>
  <c r="GW521" i="1"/>
  <c r="FP11" i="2" s="1"/>
  <c r="EE76" i="1"/>
  <c r="EE75" i="1"/>
  <c r="EF57" i="1"/>
  <c r="EK211" i="198" l="1"/>
  <c r="EK212" i="198" s="1"/>
  <c r="EK12" i="198"/>
  <c r="FQ218" i="2"/>
  <c r="FQ219" i="2" s="1"/>
  <c r="EL209" i="198"/>
  <c r="FR216" i="2"/>
  <c r="EK227" i="198"/>
  <c r="FQ234" i="2"/>
  <c r="EM209" i="198"/>
  <c r="FS216" i="2"/>
  <c r="EF75" i="1"/>
  <c r="EE77" i="1"/>
  <c r="EH62" i="1"/>
  <c r="EH46" i="1"/>
  <c r="EG47" i="1"/>
  <c r="EH47" i="1" s="1"/>
  <c r="EF76" i="1"/>
  <c r="EG57" i="1"/>
  <c r="EH56" i="1"/>
  <c r="EI50" i="1"/>
  <c r="GZ211" i="1"/>
  <c r="GY211" i="1"/>
  <c r="EH60" i="1"/>
  <c r="EG64" i="1"/>
  <c r="EH64" i="1" s="1"/>
  <c r="EI29" i="1"/>
  <c r="EH38" i="1"/>
  <c r="EG39" i="1"/>
  <c r="EH61" i="1"/>
  <c r="GZ213" i="1"/>
  <c r="GX214" i="1"/>
  <c r="GY213" i="1"/>
  <c r="GX217" i="1"/>
  <c r="GX8" i="1"/>
  <c r="EK215" i="198" l="1"/>
  <c r="FQ222" i="2"/>
  <c r="EM211" i="198"/>
  <c r="EM12" i="198"/>
  <c r="EM14" i="198" s="1"/>
  <c r="FS218" i="2"/>
  <c r="EL227" i="198"/>
  <c r="FR234" i="2"/>
  <c r="EL211" i="198"/>
  <c r="EL12" i="198"/>
  <c r="EL14" i="198" s="1"/>
  <c r="FR218" i="2"/>
  <c r="EK14" i="198"/>
  <c r="EM227" i="198"/>
  <c r="FS234" i="2"/>
  <c r="GX773" i="1"/>
  <c r="GX521" i="1"/>
  <c r="FQ11" i="2" s="1"/>
  <c r="GZ217" i="1"/>
  <c r="GX219" i="1"/>
  <c r="GZ219" i="1" s="1"/>
  <c r="GY217" i="1"/>
  <c r="GX218" i="1"/>
  <c r="EI46" i="1"/>
  <c r="EI43" i="1"/>
  <c r="EJ43" i="1" s="1"/>
  <c r="EI38" i="1"/>
  <c r="EJ29" i="1"/>
  <c r="EI44" i="1"/>
  <c r="EJ44" i="1" s="1"/>
  <c r="EI45" i="1"/>
  <c r="EJ45" i="1" s="1"/>
  <c r="EI62" i="1"/>
  <c r="EI61" i="1"/>
  <c r="EI60" i="1"/>
  <c r="EI56" i="1"/>
  <c r="EJ50" i="1"/>
  <c r="GY214" i="1"/>
  <c r="GZ214" i="1"/>
  <c r="GL39" i="1"/>
  <c r="EH39" i="1"/>
  <c r="EG74" i="1"/>
  <c r="EH74" i="1" s="1"/>
  <c r="EG99" i="1"/>
  <c r="EH99" i="1" s="1"/>
  <c r="EF77" i="1"/>
  <c r="GZ8" i="1"/>
  <c r="GY8" i="1"/>
  <c r="EG76" i="1"/>
  <c r="EG75" i="1"/>
  <c r="EH57" i="1"/>
  <c r="EM215" i="198" l="1"/>
  <c r="FS222" i="2"/>
  <c r="EL215" i="198"/>
  <c r="FR222" i="2"/>
  <c r="EG77" i="1"/>
  <c r="EH75" i="1"/>
  <c r="EJ61" i="1"/>
  <c r="GZ218" i="1"/>
  <c r="GY218" i="1"/>
  <c r="GZ521" i="1"/>
  <c r="FS11" i="2" s="1"/>
  <c r="GX523" i="1"/>
  <c r="FQ13" i="2" s="1"/>
  <c r="GY521" i="1"/>
  <c r="FR11" i="2" s="1"/>
  <c r="EH76" i="1"/>
  <c r="EJ62" i="1"/>
  <c r="EJ38" i="1"/>
  <c r="EK29" i="1"/>
  <c r="EI39" i="1"/>
  <c r="EI64" i="1"/>
  <c r="EJ64" i="1" s="1"/>
  <c r="EJ60" i="1"/>
  <c r="EI47" i="1"/>
  <c r="EJ46" i="1"/>
  <c r="GM39" i="1"/>
  <c r="GL74" i="1"/>
  <c r="GM74" i="1" s="1"/>
  <c r="GL99" i="1"/>
  <c r="GL76" i="1"/>
  <c r="GM76" i="1" s="1"/>
  <c r="GL75" i="1"/>
  <c r="EJ56" i="1"/>
  <c r="EI57" i="1"/>
  <c r="EK50" i="1"/>
  <c r="EK62" i="1" l="1"/>
  <c r="EK61" i="1"/>
  <c r="EK60" i="1"/>
  <c r="EK56" i="1"/>
  <c r="EL50" i="1"/>
  <c r="EK44" i="1"/>
  <c r="EL44" i="1" s="1"/>
  <c r="EK45" i="1"/>
  <c r="EL45" i="1" s="1"/>
  <c r="EK46" i="1"/>
  <c r="EK43" i="1"/>
  <c r="EL43" i="1" s="1"/>
  <c r="EK38" i="1"/>
  <c r="EL29" i="1"/>
  <c r="EJ57" i="1"/>
  <c r="EI75" i="1"/>
  <c r="EI76" i="1"/>
  <c r="GZ523" i="1"/>
  <c r="FS13" i="2" s="1"/>
  <c r="EJ47" i="1"/>
  <c r="ER47" i="1"/>
  <c r="EH77" i="1"/>
  <c r="GL77" i="1"/>
  <c r="GM77" i="1" s="1"/>
  <c r="GM75" i="1"/>
  <c r="EJ39" i="1"/>
  <c r="EI74" i="1"/>
  <c r="EI99" i="1"/>
  <c r="EJ99" i="1" s="1"/>
  <c r="EK64" i="1" l="1"/>
  <c r="EL64" i="1" s="1"/>
  <c r="EL38" i="1"/>
  <c r="EK39" i="1"/>
  <c r="EM29" i="1"/>
  <c r="EJ74" i="1"/>
  <c r="ER74" i="1"/>
  <c r="EJ75" i="1"/>
  <c r="ER75" i="1"/>
  <c r="EI77" i="1"/>
  <c r="EJ77" i="1" s="1"/>
  <c r="EL60" i="1"/>
  <c r="EL46" i="1"/>
  <c r="EK47" i="1"/>
  <c r="EL61" i="1"/>
  <c r="EJ76" i="1"/>
  <c r="EK57" i="1"/>
  <c r="EM50" i="1"/>
  <c r="EL56" i="1"/>
  <c r="EL62" i="1"/>
  <c r="EM62" i="1" l="1"/>
  <c r="EM61" i="1"/>
  <c r="EM60" i="1"/>
  <c r="EM56" i="1"/>
  <c r="EN50" i="1"/>
  <c r="ET47" i="1"/>
  <c r="EL47" i="1"/>
  <c r="EM46" i="1"/>
  <c r="EM43" i="1"/>
  <c r="EN43" i="1" s="1"/>
  <c r="EM38" i="1"/>
  <c r="EN29" i="1"/>
  <c r="EM44" i="1"/>
  <c r="EN44" i="1" s="1"/>
  <c r="EM45" i="1"/>
  <c r="EN45" i="1" s="1"/>
  <c r="EK75" i="1"/>
  <c r="EK76" i="1"/>
  <c r="EL57" i="1"/>
  <c r="EL39" i="1"/>
  <c r="EK74" i="1"/>
  <c r="EK99" i="1"/>
  <c r="EL99" i="1" s="1"/>
  <c r="EN38" i="1" l="1"/>
  <c r="EM39" i="1"/>
  <c r="EO29" i="1"/>
  <c r="EM64" i="1"/>
  <c r="EN64" i="1" s="1"/>
  <c r="EN60" i="1"/>
  <c r="EL76" i="1"/>
  <c r="EN62" i="1"/>
  <c r="EN61" i="1"/>
  <c r="ET74" i="1"/>
  <c r="EL74" i="1"/>
  <c r="EL75" i="1"/>
  <c r="EK77" i="1"/>
  <c r="ET75" i="1"/>
  <c r="EM47" i="1"/>
  <c r="EN46" i="1"/>
  <c r="EO50" i="1"/>
  <c r="EN56" i="1"/>
  <c r="EM57" i="1"/>
  <c r="EO62" i="1" l="1"/>
  <c r="EO61" i="1"/>
  <c r="EO60" i="1"/>
  <c r="EO56" i="1"/>
  <c r="EP50" i="1"/>
  <c r="EO44" i="1"/>
  <c r="EO45" i="1"/>
  <c r="EO46" i="1"/>
  <c r="EO43" i="1"/>
  <c r="EO38" i="1"/>
  <c r="EP29" i="1"/>
  <c r="EM76" i="1"/>
  <c r="EN57" i="1"/>
  <c r="EM75" i="1"/>
  <c r="EN47" i="1"/>
  <c r="EV47" i="1"/>
  <c r="EL77" i="1"/>
  <c r="EN39" i="1"/>
  <c r="EM74" i="1"/>
  <c r="EM99" i="1"/>
  <c r="EN99" i="1" s="1"/>
  <c r="EN75" i="1" l="1"/>
  <c r="EM77" i="1"/>
  <c r="EN77" i="1" s="1"/>
  <c r="EV75" i="1"/>
  <c r="EP46" i="1"/>
  <c r="EO47" i="1"/>
  <c r="EO57" i="1"/>
  <c r="EP56" i="1"/>
  <c r="EQ50" i="1"/>
  <c r="EN74" i="1"/>
  <c r="EV74" i="1"/>
  <c r="EN76" i="1"/>
  <c r="EO64" i="1"/>
  <c r="EP64" i="1" s="1"/>
  <c r="EP38" i="1"/>
  <c r="EQ29" i="1"/>
  <c r="EO39" i="1"/>
  <c r="EQ44" i="1"/>
  <c r="EP44" i="1"/>
  <c r="EQ61" i="1"/>
  <c r="EP61" i="1"/>
  <c r="EP45" i="1"/>
  <c r="EQ45" i="1"/>
  <c r="EQ60" i="1"/>
  <c r="EP60" i="1"/>
  <c r="EQ43" i="1"/>
  <c r="EP43" i="1"/>
  <c r="EQ62" i="1"/>
  <c r="EP62" i="1"/>
  <c r="EO76" i="1" l="1"/>
  <c r="EO75" i="1"/>
  <c r="EP57" i="1"/>
  <c r="ES60" i="1"/>
  <c r="ER60" i="1"/>
  <c r="ER44" i="1"/>
  <c r="ES44" i="1"/>
  <c r="ES45" i="1"/>
  <c r="EQ36" i="1"/>
  <c r="ER45" i="1"/>
  <c r="GN39" i="1"/>
  <c r="EP39" i="1"/>
  <c r="EO74" i="1"/>
  <c r="EO99" i="1"/>
  <c r="EP99" i="1" s="1"/>
  <c r="ES62" i="1"/>
  <c r="ER62" i="1"/>
  <c r="ES43" i="1"/>
  <c r="ER43" i="1"/>
  <c r="ES61" i="1"/>
  <c r="ER61" i="1"/>
  <c r="EQ35" i="1"/>
  <c r="ER29" i="1"/>
  <c r="EQ34" i="1"/>
  <c r="EQ33" i="1"/>
  <c r="EP47" i="1"/>
  <c r="EX47" i="1"/>
  <c r="EQ52" i="1"/>
  <c r="EQ54" i="1"/>
  <c r="ER50" i="1"/>
  <c r="EQ53" i="1"/>
  <c r="CT158" i="198" l="1"/>
  <c r="DR165" i="2"/>
  <c r="EQ59" i="1"/>
  <c r="ER52" i="1"/>
  <c r="EP76" i="1"/>
  <c r="EQ76" i="1"/>
  <c r="EQ56" i="1"/>
  <c r="EU43" i="1"/>
  <c r="ET43" i="1"/>
  <c r="EU62" i="1"/>
  <c r="ET62" i="1"/>
  <c r="EU45" i="1"/>
  <c r="ET45" i="1"/>
  <c r="EO77" i="1"/>
  <c r="EP77" i="1" s="1"/>
  <c r="EP75" i="1"/>
  <c r="EX75" i="1"/>
  <c r="ER53" i="1"/>
  <c r="EQ46" i="1"/>
  <c r="ER35" i="1"/>
  <c r="GO39" i="1"/>
  <c r="GN74" i="1"/>
  <c r="GO74" i="1" s="1"/>
  <c r="GN99" i="1"/>
  <c r="GN75" i="1"/>
  <c r="GN76" i="1"/>
  <c r="GO76" i="1" s="1"/>
  <c r="EU44" i="1"/>
  <c r="ET44" i="1"/>
  <c r="ER33" i="1"/>
  <c r="EQ41" i="1"/>
  <c r="EQ38" i="1"/>
  <c r="EU61" i="1"/>
  <c r="ET61" i="1"/>
  <c r="EU60" i="1"/>
  <c r="ET60" i="1"/>
  <c r="ER54" i="1"/>
  <c r="ER34" i="1"/>
  <c r="EP74" i="1"/>
  <c r="EX74" i="1"/>
  <c r="ER36" i="1"/>
  <c r="ER46" i="1" l="1"/>
  <c r="CT169" i="198"/>
  <c r="DR176" i="2"/>
  <c r="CT161" i="198"/>
  <c r="DR168" i="2"/>
  <c r="CU158" i="198"/>
  <c r="DS165" i="2"/>
  <c r="ER38" i="1"/>
  <c r="EQ39" i="1"/>
  <c r="EQ64" i="1"/>
  <c r="ER64" i="1" s="1"/>
  <c r="ES29" i="1"/>
  <c r="EQ889" i="1"/>
  <c r="EQ786" i="1"/>
  <c r="ER41" i="1"/>
  <c r="EV44" i="1"/>
  <c r="EW44" i="1"/>
  <c r="EX44" i="1" s="1"/>
  <c r="EW43" i="1"/>
  <c r="EX43" i="1" s="1"/>
  <c r="EV43" i="1"/>
  <c r="EW45" i="1"/>
  <c r="EV45" i="1"/>
  <c r="ER56" i="1"/>
  <c r="ES50" i="1"/>
  <c r="EQ57" i="1"/>
  <c r="EW60" i="1"/>
  <c r="EV60" i="1"/>
  <c r="EW61" i="1"/>
  <c r="EV61" i="1"/>
  <c r="GN77" i="1"/>
  <c r="GO77" i="1" s="1"/>
  <c r="GO75" i="1"/>
  <c r="EW62" i="1"/>
  <c r="EV62" i="1"/>
  <c r="ER76" i="1"/>
  <c r="ES76" i="1"/>
  <c r="EQ77" i="1"/>
  <c r="ER77" i="1" s="1"/>
  <c r="EQ785" i="1"/>
  <c r="ER59" i="1"/>
  <c r="CU161" i="198" l="1"/>
  <c r="DS168" i="2"/>
  <c r="CT162" i="198"/>
  <c r="DR169" i="2"/>
  <c r="CV154" i="198"/>
  <c r="DT161" i="2"/>
  <c r="CU169" i="198"/>
  <c r="DS176" i="2"/>
  <c r="EX61" i="1"/>
  <c r="EX60" i="1"/>
  <c r="EX45" i="1"/>
  <c r="EQ69" i="1"/>
  <c r="EQ68" i="1"/>
  <c r="ER57" i="1"/>
  <c r="EX62" i="1"/>
  <c r="ES54" i="1"/>
  <c r="ET50" i="1"/>
  <c r="ES53" i="1"/>
  <c r="ES52" i="1"/>
  <c r="ET76" i="1"/>
  <c r="EU76" i="1"/>
  <c r="ES77" i="1"/>
  <c r="ET77" i="1" s="1"/>
  <c r="ER39" i="1"/>
  <c r="EQ67" i="1"/>
  <c r="ES35" i="1"/>
  <c r="ES34" i="1"/>
  <c r="ES33" i="1"/>
  <c r="ET29" i="1"/>
  <c r="ES36" i="1"/>
  <c r="CV159" i="198" l="1"/>
  <c r="DT166" i="2"/>
  <c r="CW154" i="198"/>
  <c r="DU161" i="2"/>
  <c r="CV158" i="198"/>
  <c r="DT165" i="2"/>
  <c r="CT110" i="198"/>
  <c r="DR117" i="2"/>
  <c r="CV157" i="198"/>
  <c r="DT164" i="2"/>
  <c r="CV156" i="198"/>
  <c r="DT163" i="2"/>
  <c r="CT109" i="198"/>
  <c r="DR116" i="2"/>
  <c r="ES38" i="1"/>
  <c r="ES39" i="1" s="1"/>
  <c r="CU162" i="198"/>
  <c r="DS169" i="2"/>
  <c r="ET54" i="1"/>
  <c r="EQ81" i="1"/>
  <c r="ER69" i="1"/>
  <c r="ET33" i="1"/>
  <c r="ES41" i="1"/>
  <c r="ER68" i="1"/>
  <c r="EQ70" i="1"/>
  <c r="ER70" i="1" s="1"/>
  <c r="EQ500" i="1"/>
  <c r="ET36" i="1"/>
  <c r="ET34" i="1"/>
  <c r="EV76" i="1"/>
  <c r="EW76" i="1"/>
  <c r="EU77" i="1"/>
  <c r="EV77" i="1" s="1"/>
  <c r="ET52" i="1"/>
  <c r="ES59" i="1"/>
  <c r="ES56" i="1"/>
  <c r="ES46" i="1"/>
  <c r="ET35" i="1"/>
  <c r="EQ80" i="1"/>
  <c r="EQ72" i="1"/>
  <c r="ER67" i="1"/>
  <c r="EQ499" i="1"/>
  <c r="ET53" i="1"/>
  <c r="ET38" i="1" l="1"/>
  <c r="CW161" i="198" s="1"/>
  <c r="EU29" i="1"/>
  <c r="CX154" i="198" s="1"/>
  <c r="CW158" i="198"/>
  <c r="DU165" i="2"/>
  <c r="CW157" i="198"/>
  <c r="DU164" i="2"/>
  <c r="CU110" i="198"/>
  <c r="DS117" i="2"/>
  <c r="CT116" i="198"/>
  <c r="DR123" i="2"/>
  <c r="CU109" i="198"/>
  <c r="DS116" i="2"/>
  <c r="ET46" i="1"/>
  <c r="CV169" i="198"/>
  <c r="DT176" i="2"/>
  <c r="CW159" i="198"/>
  <c r="DU166" i="2"/>
  <c r="CV165" i="198"/>
  <c r="DT172" i="2"/>
  <c r="CV161" i="198"/>
  <c r="DT168" i="2"/>
  <c r="CT112" i="198"/>
  <c r="DR119" i="2"/>
  <c r="CW156" i="198"/>
  <c r="DU163" i="2"/>
  <c r="CV162" i="198"/>
  <c r="DT169" i="2"/>
  <c r="CT115" i="198"/>
  <c r="DR122" i="2"/>
  <c r="ES889" i="1"/>
  <c r="ES786" i="1"/>
  <c r="ET41" i="1"/>
  <c r="ER499" i="1"/>
  <c r="EQ852" i="1"/>
  <c r="EQ502" i="1"/>
  <c r="ER80" i="1"/>
  <c r="EQ505" i="1"/>
  <c r="ES57" i="1"/>
  <c r="ET56" i="1"/>
  <c r="EU50" i="1"/>
  <c r="ES785" i="1"/>
  <c r="ET59" i="1"/>
  <c r="ES67" i="1"/>
  <c r="ET39" i="1"/>
  <c r="EQ854" i="1"/>
  <c r="ER500" i="1"/>
  <c r="ES64" i="1"/>
  <c r="ET64" i="1" s="1"/>
  <c r="EQ83" i="1"/>
  <c r="ER72" i="1"/>
  <c r="EX76" i="1"/>
  <c r="EW77" i="1"/>
  <c r="EX77" i="1" s="1"/>
  <c r="ER81" i="1"/>
  <c r="EQ506" i="1"/>
  <c r="EU34" i="1"/>
  <c r="EU33" i="1"/>
  <c r="DU168" i="2" l="1"/>
  <c r="EV29" i="1"/>
  <c r="DW161" i="2" s="1"/>
  <c r="EU36" i="1"/>
  <c r="CX159" i="198" s="1"/>
  <c r="EU35" i="1"/>
  <c r="CX158" i="198" s="1"/>
  <c r="DV161" i="2"/>
  <c r="CU112" i="198"/>
  <c r="DS119" i="2"/>
  <c r="CX156" i="198"/>
  <c r="DV163" i="2"/>
  <c r="CU116" i="198"/>
  <c r="DS123" i="2"/>
  <c r="CT118" i="198"/>
  <c r="DR125" i="2"/>
  <c r="CW162" i="198"/>
  <c r="DU169" i="2"/>
  <c r="CU115" i="198"/>
  <c r="DS122" i="2"/>
  <c r="CW165" i="198"/>
  <c r="DU172" i="2"/>
  <c r="CX157" i="198"/>
  <c r="DV164" i="2"/>
  <c r="CY154" i="198"/>
  <c r="CV109" i="198"/>
  <c r="DT116" i="2"/>
  <c r="CW169" i="198"/>
  <c r="DU176" i="2"/>
  <c r="EV34" i="1"/>
  <c r="EQ855" i="1"/>
  <c r="EQ856" i="1" s="1"/>
  <c r="ER506" i="1"/>
  <c r="ER505" i="1"/>
  <c r="EQ858" i="1"/>
  <c r="ER502" i="1"/>
  <c r="EU52" i="1"/>
  <c r="EU54" i="1"/>
  <c r="EV50" i="1"/>
  <c r="EU53" i="1"/>
  <c r="EV36" i="1"/>
  <c r="EV35" i="1"/>
  <c r="EU46" i="1"/>
  <c r="ES80" i="1"/>
  <c r="ET67" i="1"/>
  <c r="ES499" i="1"/>
  <c r="ER83" i="1"/>
  <c r="EQ84" i="1"/>
  <c r="EQ508" i="1"/>
  <c r="ER508" i="1" s="1"/>
  <c r="EV33" i="1"/>
  <c r="EU41" i="1"/>
  <c r="ES69" i="1"/>
  <c r="ES68" i="1"/>
  <c r="ET57" i="1"/>
  <c r="EQ85" i="1"/>
  <c r="EU38" i="1" l="1"/>
  <c r="DV165" i="2"/>
  <c r="EQ859" i="1"/>
  <c r="DV166" i="2"/>
  <c r="ES72" i="1"/>
  <c r="ET72" i="1" s="1"/>
  <c r="CV110" i="198"/>
  <c r="DT117" i="2"/>
  <c r="CY156" i="198"/>
  <c r="DW163" i="2"/>
  <c r="CY158" i="198"/>
  <c r="DW165" i="2"/>
  <c r="CW109" i="198"/>
  <c r="DU116" i="2"/>
  <c r="CT120" i="198"/>
  <c r="DR127" i="2"/>
  <c r="CT119" i="198"/>
  <c r="DR126" i="2"/>
  <c r="CV115" i="198"/>
  <c r="DT122" i="2"/>
  <c r="CY159" i="198"/>
  <c r="DW166" i="2"/>
  <c r="CX161" i="198"/>
  <c r="DV168" i="2"/>
  <c r="CX165" i="198"/>
  <c r="DV172" i="2"/>
  <c r="CU118" i="198"/>
  <c r="DS125" i="2"/>
  <c r="EV46" i="1"/>
  <c r="CX169" i="198"/>
  <c r="DV176" i="2"/>
  <c r="CY157" i="198"/>
  <c r="DW164" i="2"/>
  <c r="ET69" i="1"/>
  <c r="ES81" i="1"/>
  <c r="ET499" i="1"/>
  <c r="ES852" i="1"/>
  <c r="EV53" i="1"/>
  <c r="EV52" i="1"/>
  <c r="EU59" i="1"/>
  <c r="EV38" i="1"/>
  <c r="EU39" i="1"/>
  <c r="EW29" i="1"/>
  <c r="ER84" i="1"/>
  <c r="EQ654" i="1"/>
  <c r="EQ509" i="1"/>
  <c r="ER509" i="1" s="1"/>
  <c r="EV54" i="1"/>
  <c r="ER85" i="1"/>
  <c r="EQ93" i="1"/>
  <c r="ES70" i="1"/>
  <c r="ET70" i="1" s="1"/>
  <c r="ET68" i="1"/>
  <c r="ES500" i="1"/>
  <c r="EU889" i="1"/>
  <c r="EU786" i="1"/>
  <c r="EV41" i="1"/>
  <c r="ET80" i="1"/>
  <c r="ES505" i="1"/>
  <c r="EU56" i="1"/>
  <c r="ES83" i="1" l="1"/>
  <c r="ES508" i="1" s="1"/>
  <c r="ET508" i="1" s="1"/>
  <c r="CU120" i="198"/>
  <c r="DS127" i="2"/>
  <c r="CW112" i="198"/>
  <c r="DU119" i="2"/>
  <c r="CT122" i="198"/>
  <c r="CT123" i="198" s="1"/>
  <c r="CT8" i="198"/>
  <c r="DR129" i="2"/>
  <c r="DR130" i="2" s="1"/>
  <c r="CY161" i="198"/>
  <c r="DW168" i="2"/>
  <c r="CY169" i="198"/>
  <c r="DW176" i="2"/>
  <c r="CY165" i="198"/>
  <c r="DW172" i="2"/>
  <c r="CW110" i="198"/>
  <c r="DU117" i="2"/>
  <c r="CZ154" i="198"/>
  <c r="DX161" i="2"/>
  <c r="CV116" i="198"/>
  <c r="DT123" i="2"/>
  <c r="CW115" i="198"/>
  <c r="DU122" i="2"/>
  <c r="CU119" i="198"/>
  <c r="DS126" i="2"/>
  <c r="CX162" i="198"/>
  <c r="DV169" i="2"/>
  <c r="CV112" i="198"/>
  <c r="DT119" i="2"/>
  <c r="EV56" i="1"/>
  <c r="EW50" i="1"/>
  <c r="EU57" i="1"/>
  <c r="EV39" i="1"/>
  <c r="EU67" i="1"/>
  <c r="EU785" i="1"/>
  <c r="EV59" i="1"/>
  <c r="ET505" i="1"/>
  <c r="EQ830" i="1"/>
  <c r="EQ833" i="1" s="1"/>
  <c r="EQ850" i="1" s="1"/>
  <c r="ER93" i="1"/>
  <c r="EQ97" i="1"/>
  <c r="EQ94" i="1"/>
  <c r="EQ7" i="1"/>
  <c r="EU64" i="1"/>
  <c r="EV64" i="1" s="1"/>
  <c r="ES854" i="1"/>
  <c r="ET500" i="1"/>
  <c r="ER654" i="1"/>
  <c r="EQ655" i="1"/>
  <c r="ER655" i="1" s="1"/>
  <c r="EW35" i="1"/>
  <c r="EW34" i="1"/>
  <c r="EW33" i="1"/>
  <c r="EX29" i="1"/>
  <c r="EW36" i="1"/>
  <c r="ES502" i="1"/>
  <c r="ET81" i="1"/>
  <c r="ES506" i="1"/>
  <c r="ET83" i="1" l="1"/>
  <c r="CW118" i="198" s="1"/>
  <c r="ES84" i="1"/>
  <c r="ES654" i="1" s="1"/>
  <c r="ET654" i="1" s="1"/>
  <c r="DT125" i="2"/>
  <c r="CV118" i="198"/>
  <c r="CU122" i="198"/>
  <c r="CU8" i="198"/>
  <c r="DS129" i="2"/>
  <c r="CX109" i="198"/>
  <c r="DV116" i="2"/>
  <c r="CW116" i="198"/>
  <c r="DU123" i="2"/>
  <c r="CY162" i="198"/>
  <c r="DW169" i="2"/>
  <c r="DA154" i="198"/>
  <c r="DY161" i="2"/>
  <c r="CZ156" i="198"/>
  <c r="DX163" i="2"/>
  <c r="CZ157" i="198"/>
  <c r="DX164" i="2"/>
  <c r="CZ159" i="198"/>
  <c r="DX166" i="2"/>
  <c r="CZ158" i="198"/>
  <c r="DX165" i="2"/>
  <c r="ER94" i="1"/>
  <c r="CT126" i="198"/>
  <c r="DR133" i="2"/>
  <c r="CT10" i="198"/>
  <c r="CT22" i="198" s="1"/>
  <c r="CT66" i="198" s="1"/>
  <c r="EX33" i="1"/>
  <c r="EW41" i="1"/>
  <c r="GP33" i="1"/>
  <c r="EU80" i="1"/>
  <c r="EV67" i="1"/>
  <c r="EU499" i="1"/>
  <c r="ES858" i="1"/>
  <c r="ET502" i="1"/>
  <c r="EW46" i="1"/>
  <c r="EX35" i="1"/>
  <c r="GP35" i="1"/>
  <c r="EW54" i="1"/>
  <c r="EX50" i="1"/>
  <c r="EW53" i="1"/>
  <c r="EW52" i="1"/>
  <c r="ES855" i="1"/>
  <c r="ES856" i="1" s="1"/>
  <c r="ET506" i="1"/>
  <c r="EW38" i="1"/>
  <c r="EQ806" i="1"/>
  <c r="EQ809" i="1" s="1"/>
  <c r="EQ826" i="1" s="1"/>
  <c r="EQ770" i="1"/>
  <c r="EQ776" i="1" s="1"/>
  <c r="EQ518" i="1"/>
  <c r="DR8" i="2" s="1"/>
  <c r="ER97" i="1"/>
  <c r="EQ99" i="1"/>
  <c r="ER99" i="1" s="1"/>
  <c r="EQ98" i="1"/>
  <c r="ER98" i="1" s="1"/>
  <c r="EX36" i="1"/>
  <c r="GP36" i="1"/>
  <c r="EX34" i="1"/>
  <c r="GP34" i="1"/>
  <c r="ER7" i="1"/>
  <c r="EQ12" i="1"/>
  <c r="EU69" i="1"/>
  <c r="EU68" i="1"/>
  <c r="EV57" i="1"/>
  <c r="ES85" i="1"/>
  <c r="DU125" i="2" l="1"/>
  <c r="DT126" i="2"/>
  <c r="ES655" i="1"/>
  <c r="ET655" i="1" s="1"/>
  <c r="ES509" i="1"/>
  <c r="ET509" i="1" s="1"/>
  <c r="ET84" i="1"/>
  <c r="CW119" i="198" s="1"/>
  <c r="CV119" i="198"/>
  <c r="EC157" i="198"/>
  <c r="FI164" i="2"/>
  <c r="CZ161" i="198"/>
  <c r="DX168" i="2"/>
  <c r="DA158" i="198"/>
  <c r="DY165" i="2"/>
  <c r="CZ165" i="198"/>
  <c r="DX172" i="2"/>
  <c r="CU10" i="198"/>
  <c r="CU22" i="198" s="1"/>
  <c r="DA159" i="198"/>
  <c r="DY166" i="2"/>
  <c r="EC158" i="198"/>
  <c r="FI165" i="2"/>
  <c r="EC156" i="198"/>
  <c r="FI163" i="2"/>
  <c r="DA157" i="198"/>
  <c r="DY164" i="2"/>
  <c r="CZ169" i="198"/>
  <c r="DX176" i="2"/>
  <c r="CY109" i="198"/>
  <c r="DW116" i="2"/>
  <c r="DA156" i="198"/>
  <c r="DY163" i="2"/>
  <c r="CT68" i="198"/>
  <c r="CT77" i="198"/>
  <c r="CT79" i="198"/>
  <c r="CT75" i="198"/>
  <c r="CT67" i="198"/>
  <c r="CT76" i="198"/>
  <c r="CT69" i="198"/>
  <c r="CT78" i="198"/>
  <c r="CT71" i="198"/>
  <c r="CT73" i="198"/>
  <c r="CT74" i="198"/>
  <c r="CT70" i="198"/>
  <c r="CT72" i="198"/>
  <c r="CU126" i="198"/>
  <c r="DS133" i="2"/>
  <c r="CV120" i="198"/>
  <c r="DT127" i="2"/>
  <c r="CX110" i="198"/>
  <c r="DV117" i="2"/>
  <c r="EC159" i="198"/>
  <c r="FI166" i="2"/>
  <c r="CX115" i="198"/>
  <c r="DV122" i="2"/>
  <c r="EX52" i="1"/>
  <c r="EW59" i="1"/>
  <c r="GP52" i="1"/>
  <c r="EW56" i="1"/>
  <c r="GP43" i="1"/>
  <c r="GQ33" i="1"/>
  <c r="GP41" i="1"/>
  <c r="GP38" i="1"/>
  <c r="ET85" i="1"/>
  <c r="ES93" i="1"/>
  <c r="EX53" i="1"/>
  <c r="GP53" i="1"/>
  <c r="EX46" i="1"/>
  <c r="EV80" i="1"/>
  <c r="EU505" i="1"/>
  <c r="EU81" i="1"/>
  <c r="EV69" i="1"/>
  <c r="GP44" i="1"/>
  <c r="GQ34" i="1"/>
  <c r="GP45" i="1"/>
  <c r="GQ36" i="1"/>
  <c r="ES859" i="1"/>
  <c r="EV499" i="1"/>
  <c r="EU852" i="1"/>
  <c r="EV68" i="1"/>
  <c r="EU70" i="1"/>
  <c r="EV70" i="1" s="1"/>
  <c r="EU500" i="1"/>
  <c r="EU502" i="1" s="1"/>
  <c r="EW889" i="1"/>
  <c r="EW786" i="1"/>
  <c r="EX41" i="1"/>
  <c r="ER12" i="1"/>
  <c r="EQ520" i="1"/>
  <c r="DR10" i="2" s="1"/>
  <c r="ER518" i="1"/>
  <c r="DS8" i="2" s="1"/>
  <c r="EW64" i="1"/>
  <c r="EX64" i="1" s="1"/>
  <c r="EX38" i="1"/>
  <c r="EW39" i="1"/>
  <c r="EX54" i="1"/>
  <c r="GP54" i="1"/>
  <c r="GP46" i="1"/>
  <c r="GQ35" i="1"/>
  <c r="EU72" i="1"/>
  <c r="DU126" i="2" l="1"/>
  <c r="CT80" i="198"/>
  <c r="DA165" i="198"/>
  <c r="DY172" i="2"/>
  <c r="ED157" i="198"/>
  <c r="FJ164" i="2"/>
  <c r="EC165" i="198"/>
  <c r="FI172" i="2"/>
  <c r="CX112" i="198"/>
  <c r="DV119" i="2"/>
  <c r="CY110" i="198"/>
  <c r="DW117" i="2"/>
  <c r="EC167" i="198"/>
  <c r="FI174" i="2"/>
  <c r="CY115" i="198"/>
  <c r="DW122" i="2"/>
  <c r="CV122" i="198"/>
  <c r="CV123" i="198" s="1"/>
  <c r="CV8" i="198"/>
  <c r="DT129" i="2"/>
  <c r="DT130" i="2" s="1"/>
  <c r="ED156" i="198"/>
  <c r="FJ163" i="2"/>
  <c r="ED158" i="198"/>
  <c r="FJ165" i="2"/>
  <c r="CZ162" i="198"/>
  <c r="DX169" i="2"/>
  <c r="ED159" i="198"/>
  <c r="FJ166" i="2"/>
  <c r="DA169" i="198"/>
  <c r="DY176" i="2"/>
  <c r="CW120" i="198"/>
  <c r="DU127" i="2"/>
  <c r="EC166" i="198"/>
  <c r="FI173" i="2"/>
  <c r="EC169" i="198"/>
  <c r="FI176" i="2"/>
  <c r="DA161" i="198"/>
  <c r="DY168" i="2"/>
  <c r="EC168" i="198"/>
  <c r="FI175" i="2"/>
  <c r="CX116" i="198"/>
  <c r="DV123" i="2"/>
  <c r="EC161" i="198"/>
  <c r="FI168" i="2"/>
  <c r="GQ46" i="1"/>
  <c r="EW67" i="1"/>
  <c r="GP39" i="1"/>
  <c r="EX39" i="1"/>
  <c r="EQ533" i="1"/>
  <c r="DR24" i="2" s="1"/>
  <c r="EU854" i="1"/>
  <c r="EV500" i="1"/>
  <c r="GQ53" i="1"/>
  <c r="GP61" i="1"/>
  <c r="GP889" i="1"/>
  <c r="GP786" i="1"/>
  <c r="GQ41" i="1"/>
  <c r="EV81" i="1"/>
  <c r="EU506" i="1"/>
  <c r="GQ52" i="1"/>
  <c r="GP60" i="1"/>
  <c r="GP59" i="1"/>
  <c r="GP56" i="1"/>
  <c r="GR45" i="1"/>
  <c r="GQ45" i="1"/>
  <c r="GR44" i="1"/>
  <c r="GQ44" i="1"/>
  <c r="GR43" i="1"/>
  <c r="GQ43" i="1"/>
  <c r="EV72" i="1"/>
  <c r="EU83" i="1"/>
  <c r="EU858" i="1"/>
  <c r="EV502" i="1"/>
  <c r="EV505" i="1"/>
  <c r="GP62" i="1"/>
  <c r="GQ54" i="1"/>
  <c r="ES830" i="1"/>
  <c r="ES833" i="1" s="1"/>
  <c r="ES850" i="1" s="1"/>
  <c r="ES97" i="1"/>
  <c r="ES94" i="1"/>
  <c r="ES7" i="1"/>
  <c r="ET93" i="1"/>
  <c r="GP64" i="1"/>
  <c r="GQ64" i="1" s="1"/>
  <c r="GQ38" i="1"/>
  <c r="GR29" i="1"/>
  <c r="EW57" i="1"/>
  <c r="EX56" i="1"/>
  <c r="EW785" i="1"/>
  <c r="EX59" i="1"/>
  <c r="EQ592" i="1" l="1"/>
  <c r="ER592" i="1" s="1"/>
  <c r="DS76" i="2" s="1"/>
  <c r="ED168" i="198"/>
  <c r="FJ175" i="2"/>
  <c r="EE154" i="198"/>
  <c r="FK161" i="2"/>
  <c r="EE166" i="198"/>
  <c r="FK173" i="2"/>
  <c r="EE168" i="198"/>
  <c r="FK175" i="2"/>
  <c r="DA162" i="198"/>
  <c r="DY169" i="2"/>
  <c r="ED166" i="198"/>
  <c r="FJ173" i="2"/>
  <c r="ED165" i="198"/>
  <c r="FJ172" i="2"/>
  <c r="ED161" i="198"/>
  <c r="FJ168" i="2"/>
  <c r="ET94" i="1"/>
  <c r="CV126" i="198"/>
  <c r="DT133" i="2"/>
  <c r="CX118" i="198"/>
  <c r="DV125" i="2"/>
  <c r="ED167" i="198"/>
  <c r="FJ174" i="2"/>
  <c r="EC162" i="198"/>
  <c r="FI169" i="2"/>
  <c r="CW122" i="198"/>
  <c r="CW8" i="198"/>
  <c r="DU129" i="2"/>
  <c r="ED169" i="198"/>
  <c r="FJ176" i="2"/>
  <c r="CV10" i="198"/>
  <c r="CY112" i="198"/>
  <c r="DW119" i="2"/>
  <c r="EE167" i="198"/>
  <c r="FK174" i="2"/>
  <c r="CY116" i="198"/>
  <c r="DW123" i="2"/>
  <c r="CZ109" i="198"/>
  <c r="DX116" i="2"/>
  <c r="GR60" i="1"/>
  <c r="GQ60" i="1"/>
  <c r="ES806" i="1"/>
  <c r="ES809" i="1" s="1"/>
  <c r="ES826" i="1" s="1"/>
  <c r="ES770" i="1"/>
  <c r="ES776" i="1" s="1"/>
  <c r="ES518" i="1"/>
  <c r="DT8" i="2" s="1"/>
  <c r="ES98" i="1"/>
  <c r="ET98" i="1" s="1"/>
  <c r="ES99" i="1"/>
  <c r="ET99" i="1" s="1"/>
  <c r="ET97" i="1"/>
  <c r="EV83" i="1"/>
  <c r="EU84" i="1"/>
  <c r="EU508" i="1"/>
  <c r="GT44" i="1"/>
  <c r="GS44" i="1"/>
  <c r="GS45" i="1"/>
  <c r="GR36" i="1"/>
  <c r="GT45" i="1"/>
  <c r="GP785" i="1"/>
  <c r="GQ59" i="1"/>
  <c r="EW80" i="1"/>
  <c r="EX67" i="1"/>
  <c r="EW499" i="1"/>
  <c r="GP67" i="1"/>
  <c r="GS29" i="1"/>
  <c r="GR34" i="1"/>
  <c r="GR35" i="1"/>
  <c r="GR33" i="1"/>
  <c r="ET7" i="1"/>
  <c r="ES12" i="1"/>
  <c r="GQ62" i="1"/>
  <c r="GR62" i="1"/>
  <c r="GT43" i="1"/>
  <c r="GS43" i="1"/>
  <c r="GR61" i="1"/>
  <c r="GQ61" i="1"/>
  <c r="EQ781" i="1"/>
  <c r="EQ557" i="1"/>
  <c r="EQ536" i="1"/>
  <c r="EQ549" i="1"/>
  <c r="DR27" i="2" s="1"/>
  <c r="ER533" i="1"/>
  <c r="DS24" i="2" s="1"/>
  <c r="EQ602" i="1"/>
  <c r="ER602" i="1" s="1"/>
  <c r="EQ605" i="1"/>
  <c r="EQ591" i="1"/>
  <c r="EQ595" i="1"/>
  <c r="EQ600" i="1"/>
  <c r="EQ601" i="1"/>
  <c r="EQ603" i="1"/>
  <c r="EQ598" i="1"/>
  <c r="DR81" i="2" s="1"/>
  <c r="EQ594" i="1"/>
  <c r="EQ596" i="1"/>
  <c r="EQ777" i="1"/>
  <c r="EQ590" i="1"/>
  <c r="EW69" i="1"/>
  <c r="EW68" i="1"/>
  <c r="EX57" i="1"/>
  <c r="GR50" i="1"/>
  <c r="GP57" i="1"/>
  <c r="GQ56" i="1"/>
  <c r="EU855" i="1"/>
  <c r="EU856" i="1" s="1"/>
  <c r="EV506" i="1"/>
  <c r="GQ39" i="1"/>
  <c r="DR76" i="2" l="1"/>
  <c r="GR38" i="1"/>
  <c r="EE161" i="198" s="1"/>
  <c r="EU859" i="1"/>
  <c r="ER594" i="1"/>
  <c r="CT218" i="198"/>
  <c r="DR225" i="2"/>
  <c r="DR78" i="2"/>
  <c r="ER600" i="1"/>
  <c r="CT521" i="198"/>
  <c r="DR528" i="2"/>
  <c r="DR82" i="2"/>
  <c r="EF166" i="198"/>
  <c r="FL173" i="2"/>
  <c r="EE157" i="198"/>
  <c r="FK164" i="2"/>
  <c r="EF167" i="198"/>
  <c r="FL174" i="2"/>
  <c r="CY118" i="198"/>
  <c r="DW125" i="2"/>
  <c r="CV22" i="198"/>
  <c r="ER595" i="1"/>
  <c r="CT440" i="198"/>
  <c r="DR447" i="2"/>
  <c r="DR79" i="2"/>
  <c r="EG166" i="198"/>
  <c r="FM173" i="2"/>
  <c r="DA109" i="198"/>
  <c r="DY116" i="2"/>
  <c r="EG168" i="198"/>
  <c r="FM175" i="2"/>
  <c r="EG167" i="198"/>
  <c r="FM174" i="2"/>
  <c r="CW10" i="198"/>
  <c r="CW22" i="198" s="1"/>
  <c r="ED162" i="198"/>
  <c r="FJ169" i="2"/>
  <c r="EW72" i="1"/>
  <c r="EX72" i="1" s="1"/>
  <c r="CZ110" i="198"/>
  <c r="DX117" i="2"/>
  <c r="ER603" i="1"/>
  <c r="DS84" i="2" s="1"/>
  <c r="DR84" i="2"/>
  <c r="ER591" i="1"/>
  <c r="CT400" i="198"/>
  <c r="DR407" i="2"/>
  <c r="DR75" i="2"/>
  <c r="EE156" i="198"/>
  <c r="FK163" i="2"/>
  <c r="EF154" i="198"/>
  <c r="FL161" i="2"/>
  <c r="CZ115" i="198"/>
  <c r="DX122" i="2"/>
  <c r="EE159" i="198"/>
  <c r="FK166" i="2"/>
  <c r="ER590" i="1"/>
  <c r="CT129" i="198"/>
  <c r="DR136" i="2"/>
  <c r="DR74" i="2"/>
  <c r="ER596" i="1"/>
  <c r="DS80" i="2" s="1"/>
  <c r="DR80" i="2"/>
  <c r="ER601" i="1"/>
  <c r="DS83" i="2" s="1"/>
  <c r="DR83" i="2"/>
  <c r="ER605" i="1"/>
  <c r="DS85" i="2" s="1"/>
  <c r="DR85" i="2"/>
  <c r="EE158" i="198"/>
  <c r="FK165" i="2"/>
  <c r="EC109" i="198"/>
  <c r="FI116" i="2"/>
  <c r="EF168" i="198"/>
  <c r="FL175" i="2"/>
  <c r="CX119" i="198"/>
  <c r="DV126" i="2"/>
  <c r="CW126" i="198"/>
  <c r="DU133" i="2"/>
  <c r="EW83" i="1"/>
  <c r="ER536" i="1"/>
  <c r="EQ537" i="1"/>
  <c r="EQ539" i="1" s="1"/>
  <c r="EQ587" i="1"/>
  <c r="ER587" i="1" s="1"/>
  <c r="GP74" i="1"/>
  <c r="GQ67" i="1"/>
  <c r="GP499" i="1"/>
  <c r="EV84" i="1"/>
  <c r="EU509" i="1"/>
  <c r="EV509" i="1" s="1"/>
  <c r="EU654" i="1"/>
  <c r="EU85" i="1"/>
  <c r="ER549" i="1"/>
  <c r="DS27" i="2" s="1"/>
  <c r="EQ513" i="1"/>
  <c r="EQ550" i="1"/>
  <c r="EQ552" i="1" s="1"/>
  <c r="GT62" i="1"/>
  <c r="GS62" i="1"/>
  <c r="GS34" i="1"/>
  <c r="GV44" i="1"/>
  <c r="GU44" i="1"/>
  <c r="EV508" i="1"/>
  <c r="GR39" i="1"/>
  <c r="GS38" i="1"/>
  <c r="GT29" i="1"/>
  <c r="GQ57" i="1"/>
  <c r="EW70" i="1"/>
  <c r="EX70" i="1" s="1"/>
  <c r="EX68" i="1"/>
  <c r="EW500" i="1"/>
  <c r="EW502" i="1" s="1"/>
  <c r="GP68" i="1"/>
  <c r="ER557" i="1"/>
  <c r="ET12" i="1"/>
  <c r="GS33" i="1"/>
  <c r="GR41" i="1"/>
  <c r="EX499" i="1"/>
  <c r="EW852" i="1"/>
  <c r="GV45" i="1"/>
  <c r="GU45" i="1"/>
  <c r="ET518" i="1"/>
  <c r="DU8" i="2" s="1"/>
  <c r="ES520" i="1"/>
  <c r="DT10" i="2" s="1"/>
  <c r="GV43" i="1"/>
  <c r="GU43" i="1"/>
  <c r="EX80" i="1"/>
  <c r="EW505" i="1"/>
  <c r="GP80" i="1"/>
  <c r="GS60" i="1"/>
  <c r="GT60" i="1"/>
  <c r="GS50" i="1"/>
  <c r="GR54" i="1"/>
  <c r="GR52" i="1"/>
  <c r="GR55" i="1"/>
  <c r="GR53" i="1"/>
  <c r="EW81" i="1"/>
  <c r="EX69" i="1"/>
  <c r="GP69" i="1"/>
  <c r="EQ607" i="1"/>
  <c r="ER598" i="1"/>
  <c r="DS81" i="2" s="1"/>
  <c r="GT61" i="1"/>
  <c r="GS61" i="1"/>
  <c r="GR46" i="1"/>
  <c r="GS35" i="1"/>
  <c r="GS36" i="1"/>
  <c r="FK168" i="2" l="1"/>
  <c r="ER607" i="1"/>
  <c r="DS86" i="2" s="1"/>
  <c r="DR86" i="2"/>
  <c r="DR87" i="2" s="1"/>
  <c r="EF158" i="198"/>
  <c r="FL165" i="2"/>
  <c r="CZ116" i="198"/>
  <c r="DX123" i="2"/>
  <c r="EC115" i="198"/>
  <c r="FI122" i="2"/>
  <c r="EI166" i="198"/>
  <c r="FO173" i="2"/>
  <c r="EI168" i="198"/>
  <c r="FO175" i="2"/>
  <c r="EE165" i="198"/>
  <c r="FK172" i="2"/>
  <c r="EC110" i="198"/>
  <c r="FI117" i="2"/>
  <c r="EC132" i="198"/>
  <c r="FI139" i="2"/>
  <c r="CV77" i="198"/>
  <c r="CV78" i="198"/>
  <c r="CV75" i="198"/>
  <c r="CV79" i="198"/>
  <c r="CV71" i="198"/>
  <c r="CV67" i="198"/>
  <c r="CV69" i="198"/>
  <c r="CV76" i="198"/>
  <c r="CV73" i="198"/>
  <c r="CV74" i="198"/>
  <c r="CV70" i="198"/>
  <c r="CV72" i="198"/>
  <c r="CV66" i="198"/>
  <c r="EE169" i="198"/>
  <c r="FK176" i="2"/>
  <c r="EF156" i="198"/>
  <c r="FL163" i="2"/>
  <c r="EG154" i="198"/>
  <c r="FM161" i="2"/>
  <c r="EH167" i="198"/>
  <c r="FN174" i="2"/>
  <c r="CY119" i="198"/>
  <c r="DW126" i="2"/>
  <c r="CZ118" i="198"/>
  <c r="DX125" i="2"/>
  <c r="CU129" i="198"/>
  <c r="DS136" i="2"/>
  <c r="DS74" i="2"/>
  <c r="CU400" i="198"/>
  <c r="DS407" i="2"/>
  <c r="DS75" i="2"/>
  <c r="DA115" i="198"/>
  <c r="DY122" i="2"/>
  <c r="DA110" i="198"/>
  <c r="DY117" i="2"/>
  <c r="EF161" i="198"/>
  <c r="FL168" i="2"/>
  <c r="EI167" i="198"/>
  <c r="FO174" i="2"/>
  <c r="CT24" i="198"/>
  <c r="DR29" i="2"/>
  <c r="CX120" i="198"/>
  <c r="DV127" i="2"/>
  <c r="DA112" i="198"/>
  <c r="DY119" i="2"/>
  <c r="CZ112" i="198"/>
  <c r="DX119" i="2"/>
  <c r="CU440" i="198"/>
  <c r="DS447" i="2"/>
  <c r="DS79" i="2"/>
  <c r="CU521" i="198"/>
  <c r="DS528" i="2"/>
  <c r="DS82" i="2"/>
  <c r="CU218" i="198"/>
  <c r="DS225" i="2"/>
  <c r="DS78" i="2"/>
  <c r="EF159" i="198"/>
  <c r="FL166" i="2"/>
  <c r="EH166" i="198"/>
  <c r="FN173" i="2"/>
  <c r="EH168" i="198"/>
  <c r="FN175" i="2"/>
  <c r="GS39" i="1"/>
  <c r="EE162" i="198"/>
  <c r="FK169" i="2"/>
  <c r="EF157" i="198"/>
  <c r="FL164" i="2"/>
  <c r="ED109" i="198"/>
  <c r="FJ116" i="2"/>
  <c r="CV68" i="198"/>
  <c r="GS52" i="1"/>
  <c r="GR59" i="1"/>
  <c r="GW43" i="1"/>
  <c r="GX43" i="1"/>
  <c r="GR889" i="1"/>
  <c r="GR786" i="1"/>
  <c r="GS41" i="1"/>
  <c r="GP75" i="1"/>
  <c r="GQ68" i="1"/>
  <c r="GP70" i="1"/>
  <c r="GQ70" i="1" s="1"/>
  <c r="GP500" i="1"/>
  <c r="GP502" i="1" s="1"/>
  <c r="GT35" i="1"/>
  <c r="GT34" i="1"/>
  <c r="GU29" i="1"/>
  <c r="GT33" i="1"/>
  <c r="GR56" i="1"/>
  <c r="EW854" i="1"/>
  <c r="EX500" i="1"/>
  <c r="EQ722" i="1"/>
  <c r="EQ706" i="1"/>
  <c r="ER539" i="1"/>
  <c r="EQ546" i="1"/>
  <c r="GQ74" i="1"/>
  <c r="GR74" i="1"/>
  <c r="GS46" i="1"/>
  <c r="GV61" i="1"/>
  <c r="GU61" i="1"/>
  <c r="GS53" i="1"/>
  <c r="GS54" i="1"/>
  <c r="GV60" i="1"/>
  <c r="GU60" i="1"/>
  <c r="GQ80" i="1"/>
  <c r="GP87" i="1"/>
  <c r="GP505" i="1"/>
  <c r="ES533" i="1"/>
  <c r="GX45" i="1"/>
  <c r="GW45" i="1"/>
  <c r="EW858" i="1"/>
  <c r="EX502" i="1"/>
  <c r="GX44" i="1"/>
  <c r="GW44" i="1"/>
  <c r="ER550" i="1"/>
  <c r="EQ13" i="1"/>
  <c r="EV85" i="1"/>
  <c r="EU93" i="1"/>
  <c r="EV654" i="1"/>
  <c r="EU655" i="1"/>
  <c r="EV655" i="1" s="1"/>
  <c r="GP72" i="1"/>
  <c r="EQ542" i="1"/>
  <c r="ER537" i="1"/>
  <c r="GP81" i="1"/>
  <c r="GQ69" i="1"/>
  <c r="GP76" i="1"/>
  <c r="ER552" i="1"/>
  <c r="EQ554" i="1"/>
  <c r="EQ579" i="1"/>
  <c r="EQ560" i="1"/>
  <c r="EX83" i="1"/>
  <c r="EW84" i="1"/>
  <c r="EW508" i="1"/>
  <c r="EX508" i="1" s="1"/>
  <c r="GP83" i="1"/>
  <c r="EX81" i="1"/>
  <c r="EW506" i="1"/>
  <c r="GS55" i="1"/>
  <c r="EX505" i="1"/>
  <c r="GT36" i="1"/>
  <c r="GU62" i="1"/>
  <c r="GV62" i="1"/>
  <c r="ER513" i="1"/>
  <c r="EQ510" i="1"/>
  <c r="GQ499" i="1"/>
  <c r="GP852" i="1"/>
  <c r="GU36" i="1" l="1"/>
  <c r="EG159" i="198"/>
  <c r="FM166" i="2"/>
  <c r="DA116" i="198"/>
  <c r="DY123" i="2"/>
  <c r="DA118" i="198"/>
  <c r="DY125" i="2"/>
  <c r="CU24" i="198"/>
  <c r="DS29" i="2"/>
  <c r="EH154" i="198"/>
  <c r="FN161" i="2"/>
  <c r="CV80" i="198"/>
  <c r="EC118" i="198"/>
  <c r="FI125" i="2"/>
  <c r="EC136" i="198"/>
  <c r="FI143" i="2"/>
  <c r="CX122" i="198"/>
  <c r="CX123" i="198" s="1"/>
  <c r="CX8" i="198"/>
  <c r="DV129" i="2"/>
  <c r="DV130" i="2" s="1"/>
  <c r="EJ167" i="198"/>
  <c r="FP174" i="2"/>
  <c r="EJ168" i="198"/>
  <c r="FP175" i="2"/>
  <c r="EC140" i="198"/>
  <c r="FI147" i="2"/>
  <c r="EF169" i="198"/>
  <c r="FL176" i="2"/>
  <c r="GU34" i="1"/>
  <c r="EG157" i="198"/>
  <c r="FM164" i="2"/>
  <c r="ED110" i="198"/>
  <c r="FJ117" i="2"/>
  <c r="EC112" i="198"/>
  <c r="FI119" i="2"/>
  <c r="CY120" i="198"/>
  <c r="DW127" i="2"/>
  <c r="EK167" i="198"/>
  <c r="FQ174" i="2"/>
  <c r="EK168" i="198"/>
  <c r="FQ175" i="2"/>
  <c r="ED115" i="198"/>
  <c r="FJ122" i="2"/>
  <c r="EE132" i="198"/>
  <c r="FK139" i="2"/>
  <c r="ER706" i="1"/>
  <c r="CT87" i="198"/>
  <c r="DR94" i="2"/>
  <c r="EG158" i="198"/>
  <c r="FM165" i="2"/>
  <c r="EC135" i="198"/>
  <c r="FI142" i="2"/>
  <c r="EK166" i="198"/>
  <c r="FQ173" i="2"/>
  <c r="CZ119" i="198"/>
  <c r="DX126" i="2"/>
  <c r="CT27" i="198"/>
  <c r="DR32" i="2"/>
  <c r="DR33" i="2" s="1"/>
  <c r="EC116" i="198"/>
  <c r="FI123" i="2"/>
  <c r="ES592" i="1"/>
  <c r="DT76" i="2" s="1"/>
  <c r="DT24" i="2"/>
  <c r="ED132" i="198"/>
  <c r="FJ139" i="2"/>
  <c r="ER722" i="1"/>
  <c r="CT96" i="198"/>
  <c r="DR103" i="2"/>
  <c r="GT38" i="1"/>
  <c r="EG156" i="198"/>
  <c r="FM163" i="2"/>
  <c r="EF165" i="198"/>
  <c r="FL172" i="2"/>
  <c r="EJ166" i="198"/>
  <c r="FP173" i="2"/>
  <c r="EF162" i="198"/>
  <c r="FL169" i="2"/>
  <c r="CT28" i="198"/>
  <c r="GT39" i="1"/>
  <c r="ER579" i="1"/>
  <c r="EQ582" i="1"/>
  <c r="GR57" i="1"/>
  <c r="GS56" i="1"/>
  <c r="GT50" i="1"/>
  <c r="GR64" i="1"/>
  <c r="GS64" i="1" s="1"/>
  <c r="ER510" i="1"/>
  <c r="EQ511" i="1"/>
  <c r="ER511" i="1" s="1"/>
  <c r="GX62" i="1"/>
  <c r="GW62" i="1"/>
  <c r="EW855" i="1"/>
  <c r="EW856" i="1" s="1"/>
  <c r="EX506" i="1"/>
  <c r="GQ83" i="1"/>
  <c r="GP88" i="1"/>
  <c r="GP508" i="1"/>
  <c r="GQ508" i="1" s="1"/>
  <c r="EQ561" i="1"/>
  <c r="ER560" i="1"/>
  <c r="EQ558" i="1"/>
  <c r="GR76" i="1"/>
  <c r="GQ76" i="1"/>
  <c r="GQ72" i="1"/>
  <c r="ER13" i="1"/>
  <c r="EQ14" i="1"/>
  <c r="GY44" i="1"/>
  <c r="GQ87" i="1"/>
  <c r="GR87" i="1"/>
  <c r="GX61" i="1"/>
  <c r="GW61" i="1"/>
  <c r="GP77" i="1"/>
  <c r="GR75" i="1"/>
  <c r="GQ75" i="1"/>
  <c r="GY43" i="1"/>
  <c r="GR785" i="1"/>
  <c r="GS59" i="1"/>
  <c r="EU830" i="1"/>
  <c r="EU833" i="1" s="1"/>
  <c r="EU850" i="1" s="1"/>
  <c r="EV93" i="1"/>
  <c r="EU97" i="1"/>
  <c r="EU94" i="1"/>
  <c r="EU7" i="1"/>
  <c r="EW859" i="1"/>
  <c r="GY45" i="1"/>
  <c r="EX84" i="1"/>
  <c r="EW509" i="1"/>
  <c r="GP84" i="1"/>
  <c r="EW85" i="1"/>
  <c r="EQ640" i="1"/>
  <c r="ER554" i="1"/>
  <c r="GQ81" i="1"/>
  <c r="GP506" i="1"/>
  <c r="GW60" i="1"/>
  <c r="GX60" i="1"/>
  <c r="GT74" i="1"/>
  <c r="GS74" i="1"/>
  <c r="GR67" i="1"/>
  <c r="EQ694" i="1"/>
  <c r="ER694" i="1" s="1"/>
  <c r="EQ641" i="1"/>
  <c r="DR43" i="2" s="1"/>
  <c r="ER546" i="1"/>
  <c r="EQ629" i="1"/>
  <c r="ER629" i="1" s="1"/>
  <c r="GU33" i="1"/>
  <c r="GT41" i="1"/>
  <c r="GU35" i="1"/>
  <c r="GT46" i="1"/>
  <c r="GP858" i="1"/>
  <c r="GQ502" i="1"/>
  <c r="GP854" i="1"/>
  <c r="GQ500" i="1"/>
  <c r="ER542" i="1"/>
  <c r="EQ543" i="1"/>
  <c r="ER543" i="1" s="1"/>
  <c r="EW654" i="1"/>
  <c r="ES781" i="1"/>
  <c r="ES557" i="1"/>
  <c r="ES549" i="1"/>
  <c r="DT27" i="2" s="1"/>
  <c r="ET533" i="1"/>
  <c r="DU24" i="2" s="1"/>
  <c r="ES536" i="1"/>
  <c r="ES605" i="1"/>
  <c r="ES602" i="1"/>
  <c r="ET602" i="1" s="1"/>
  <c r="ES591" i="1"/>
  <c r="ES595" i="1"/>
  <c r="ES601" i="1"/>
  <c r="ES600" i="1"/>
  <c r="ES603" i="1"/>
  <c r="ES598" i="1"/>
  <c r="DT81" i="2" s="1"/>
  <c r="ES594" i="1"/>
  <c r="ES596" i="1"/>
  <c r="ES777" i="1"/>
  <c r="ES590" i="1"/>
  <c r="GQ505" i="1"/>
  <c r="ET592" i="1" l="1"/>
  <c r="DU76" i="2" s="1"/>
  <c r="ET590" i="1"/>
  <c r="CV129" i="198"/>
  <c r="DT136" i="2"/>
  <c r="DT74" i="2"/>
  <c r="ET595" i="1"/>
  <c r="CV440" i="198"/>
  <c r="DT447" i="2"/>
  <c r="DT79" i="2"/>
  <c r="GU46" i="1"/>
  <c r="EG169" i="198"/>
  <c r="FM176" i="2"/>
  <c r="EE109" i="198"/>
  <c r="FK116" i="2"/>
  <c r="CT31" i="198"/>
  <c r="CT32" i="198" s="1"/>
  <c r="DR41" i="2"/>
  <c r="DA119" i="198"/>
  <c r="DY126" i="2"/>
  <c r="CX126" i="198"/>
  <c r="DV133" i="2"/>
  <c r="EE135" i="198"/>
  <c r="FK142" i="2"/>
  <c r="EE140" i="198"/>
  <c r="FK147" i="2"/>
  <c r="EC141" i="198"/>
  <c r="FI148" i="2"/>
  <c r="CT34" i="198"/>
  <c r="DR44" i="2"/>
  <c r="GU39" i="1"/>
  <c r="EG162" i="198"/>
  <c r="FM169" i="2"/>
  <c r="CU96" i="198"/>
  <c r="DS103" i="2"/>
  <c r="CX10" i="198"/>
  <c r="ET603" i="1"/>
  <c r="DU84" i="2" s="1"/>
  <c r="DT84" i="2"/>
  <c r="EH158" i="198"/>
  <c r="FN165" i="2"/>
  <c r="EF132" i="198"/>
  <c r="FL139" i="2"/>
  <c r="CZ120" i="198"/>
  <c r="DX127" i="2"/>
  <c r="EL168" i="198"/>
  <c r="FR175" i="2"/>
  <c r="EC137" i="198"/>
  <c r="FI144" i="2"/>
  <c r="ED140" i="198"/>
  <c r="FJ147" i="2"/>
  <c r="ED112" i="198"/>
  <c r="FJ119" i="2"/>
  <c r="ED118" i="198"/>
  <c r="FJ125" i="2"/>
  <c r="EG161" i="198"/>
  <c r="FM168" i="2"/>
  <c r="CU87" i="198"/>
  <c r="DS94" i="2"/>
  <c r="EH159" i="198"/>
  <c r="FN166" i="2"/>
  <c r="ET591" i="1"/>
  <c r="CV400" i="198"/>
  <c r="DT407" i="2"/>
  <c r="DT75" i="2"/>
  <c r="ET600" i="1"/>
  <c r="CV521" i="198"/>
  <c r="DT528" i="2"/>
  <c r="DT82" i="2"/>
  <c r="EG165" i="198"/>
  <c r="FM172" i="2"/>
  <c r="EG132" i="198"/>
  <c r="FM139" i="2"/>
  <c r="ED116" i="198"/>
  <c r="FJ123" i="2"/>
  <c r="EC119" i="198"/>
  <c r="FI126" i="2"/>
  <c r="CY122" i="198"/>
  <c r="CY8" i="198"/>
  <c r="DW129" i="2"/>
  <c r="EL166" i="198"/>
  <c r="FR173" i="2"/>
  <c r="EL167" i="198"/>
  <c r="FR174" i="2"/>
  <c r="ED136" i="198"/>
  <c r="FJ143" i="2"/>
  <c r="GV29" i="1"/>
  <c r="GV35" i="1" s="1"/>
  <c r="EH157" i="198"/>
  <c r="FN164" i="2"/>
  <c r="ET596" i="1"/>
  <c r="DU80" i="2" s="1"/>
  <c r="DT80" i="2"/>
  <c r="ET594" i="1"/>
  <c r="CV218" i="198"/>
  <c r="DT225" i="2"/>
  <c r="DT78" i="2"/>
  <c r="ET601" i="1"/>
  <c r="DU83" i="2" s="1"/>
  <c r="DT83" i="2"/>
  <c r="ET605" i="1"/>
  <c r="DU85" i="2" s="1"/>
  <c r="DT85" i="2"/>
  <c r="EH156" i="198"/>
  <c r="FN163" i="2"/>
  <c r="CU27" i="198"/>
  <c r="CU28" i="198" s="1"/>
  <c r="DS32" i="2"/>
  <c r="DS33" i="2" s="1"/>
  <c r="ED135" i="198"/>
  <c r="FJ142" i="2"/>
  <c r="EE136" i="198"/>
  <c r="FK143" i="2"/>
  <c r="GU38" i="1"/>
  <c r="GU74" i="1"/>
  <c r="GV74" i="1"/>
  <c r="GT67" i="1"/>
  <c r="ER640" i="1"/>
  <c r="EQ18" i="1"/>
  <c r="ER18" i="1" s="1"/>
  <c r="GY62" i="1"/>
  <c r="GZ62" i="1"/>
  <c r="GS57" i="1"/>
  <c r="GR69" i="1"/>
  <c r="GR68" i="1"/>
  <c r="GR72" i="1" s="1"/>
  <c r="ET598" i="1"/>
  <c r="DU81" i="2" s="1"/>
  <c r="ES607" i="1"/>
  <c r="ET536" i="1"/>
  <c r="ES537" i="1"/>
  <c r="ES539" i="1" s="1"/>
  <c r="ES587" i="1"/>
  <c r="ET587" i="1" s="1"/>
  <c r="GT889" i="1"/>
  <c r="GT786" i="1"/>
  <c r="GU41" i="1"/>
  <c r="EQ922" i="1"/>
  <c r="EQ612" i="1"/>
  <c r="ER641" i="1"/>
  <c r="DS43" i="2" s="1"/>
  <c r="GZ60" i="1"/>
  <c r="GY60" i="1"/>
  <c r="EX85" i="1"/>
  <c r="EW93" i="1"/>
  <c r="GR77" i="1"/>
  <c r="GT75" i="1"/>
  <c r="GS75" i="1"/>
  <c r="EQ559" i="1"/>
  <c r="ER559" i="1" s="1"/>
  <c r="ER558" i="1"/>
  <c r="GP91" i="1"/>
  <c r="GQ84" i="1"/>
  <c r="GP509" i="1"/>
  <c r="GQ509" i="1" s="1"/>
  <c r="EU12" i="1"/>
  <c r="EV7" i="1"/>
  <c r="ES550" i="1"/>
  <c r="ET549" i="1"/>
  <c r="DU27" i="2" s="1"/>
  <c r="ES513" i="1"/>
  <c r="GP85" i="1"/>
  <c r="EX509" i="1"/>
  <c r="EV94" i="1"/>
  <c r="GZ61" i="1"/>
  <c r="GY61" i="1"/>
  <c r="EQ16" i="1"/>
  <c r="ER14" i="1"/>
  <c r="EQ644" i="1"/>
  <c r="DR36" i="2" s="1"/>
  <c r="DR37" i="2" s="1"/>
  <c r="EQ564" i="1"/>
  <c r="ER564" i="1" s="1"/>
  <c r="ER561" i="1"/>
  <c r="GP893" i="1"/>
  <c r="GR88" i="1"/>
  <c r="GQ88" i="1"/>
  <c r="EQ642" i="1"/>
  <c r="ER582" i="1"/>
  <c r="EQ677" i="1"/>
  <c r="EQ630" i="1"/>
  <c r="ER630" i="1" s="1"/>
  <c r="GV33" i="1"/>
  <c r="EX654" i="1"/>
  <c r="GP654" i="1"/>
  <c r="EW655" i="1"/>
  <c r="EX655" i="1" s="1"/>
  <c r="GP855" i="1"/>
  <c r="GP859" i="1" s="1"/>
  <c r="GQ506" i="1"/>
  <c r="GQ77" i="1"/>
  <c r="ET557" i="1"/>
  <c r="EQ764" i="1"/>
  <c r="GR80" i="1"/>
  <c r="GS67" i="1"/>
  <c r="GR499" i="1"/>
  <c r="EU806" i="1"/>
  <c r="EU809" i="1" s="1"/>
  <c r="EU826" i="1" s="1"/>
  <c r="EU770" i="1"/>
  <c r="EU776" i="1" s="1"/>
  <c r="EU518" i="1"/>
  <c r="DV8" i="2" s="1"/>
  <c r="EV97" i="1"/>
  <c r="EU99" i="1"/>
  <c r="EV99" i="1" s="1"/>
  <c r="EU98" i="1"/>
  <c r="EV98" i="1" s="1"/>
  <c r="GT87" i="1"/>
  <c r="GS87" i="1"/>
  <c r="GS76" i="1"/>
  <c r="GT76" i="1"/>
  <c r="GT55" i="1"/>
  <c r="GT53" i="1"/>
  <c r="GU50" i="1"/>
  <c r="GT54" i="1"/>
  <c r="GT52" i="1"/>
  <c r="DR39" i="2" l="1"/>
  <c r="EI158" i="198"/>
  <c r="FO165" i="2"/>
  <c r="CV24" i="198"/>
  <c r="DT29" i="2"/>
  <c r="DA120" i="198"/>
  <c r="DY127" i="2"/>
  <c r="EH132" i="198"/>
  <c r="FN139" i="2"/>
  <c r="CX22" i="198"/>
  <c r="CX68" i="198" s="1"/>
  <c r="EF136" i="198"/>
  <c r="FL143" i="2"/>
  <c r="EE115" i="198"/>
  <c r="FK122" i="2"/>
  <c r="GW29" i="1"/>
  <c r="CU34" i="198"/>
  <c r="DS44" i="2"/>
  <c r="CY126" i="198"/>
  <c r="DW133" i="2"/>
  <c r="ES552" i="1"/>
  <c r="ES579" i="1" s="1"/>
  <c r="EE137" i="198"/>
  <c r="FK144" i="2"/>
  <c r="EH165" i="198"/>
  <c r="FN172" i="2"/>
  <c r="EG109" i="198"/>
  <c r="FM116" i="2"/>
  <c r="EH169" i="198"/>
  <c r="FN176" i="2"/>
  <c r="CW440" i="198"/>
  <c r="DU447" i="2"/>
  <c r="DU79" i="2"/>
  <c r="CW129" i="198"/>
  <c r="DU136" i="2"/>
  <c r="DU74" i="2"/>
  <c r="EE112" i="198"/>
  <c r="FK119" i="2"/>
  <c r="ED119" i="198"/>
  <c r="FJ126" i="2"/>
  <c r="CY10" i="198"/>
  <c r="CY22" i="198" s="1"/>
  <c r="EF140" i="198"/>
  <c r="FL147" i="2"/>
  <c r="GV36" i="1"/>
  <c r="ER642" i="1"/>
  <c r="CT36" i="198"/>
  <c r="DR46" i="2"/>
  <c r="DR47" i="2" s="1"/>
  <c r="CZ122" i="198"/>
  <c r="CZ123" i="198" s="1"/>
  <c r="CZ8" i="198"/>
  <c r="DX129" i="2"/>
  <c r="DX130" i="2" s="1"/>
  <c r="EE110" i="198"/>
  <c r="FK117" i="2"/>
  <c r="EI132" i="198"/>
  <c r="FO139" i="2"/>
  <c r="DR42" i="2"/>
  <c r="EH162" i="198"/>
  <c r="FN169" i="2"/>
  <c r="EC120" i="198"/>
  <c r="FI127" i="2"/>
  <c r="ER612" i="1"/>
  <c r="CT49" i="198"/>
  <c r="DR58" i="2"/>
  <c r="EI154" i="198"/>
  <c r="FO161" i="2"/>
  <c r="EG140" i="198"/>
  <c r="FM147" i="2"/>
  <c r="EI156" i="198"/>
  <c r="FO163" i="2"/>
  <c r="ED141" i="198"/>
  <c r="FJ148" i="2"/>
  <c r="EF135" i="198"/>
  <c r="FL142" i="2"/>
  <c r="EG136" i="198"/>
  <c r="FM143" i="2"/>
  <c r="EF109" i="198"/>
  <c r="FL116" i="2"/>
  <c r="ED137" i="198"/>
  <c r="FJ144" i="2"/>
  <c r="GV34" i="1"/>
  <c r="GV38" i="1" s="1"/>
  <c r="EE141" i="198"/>
  <c r="FK148" i="2"/>
  <c r="EC142" i="198"/>
  <c r="FI149" i="2"/>
  <c r="EG135" i="198"/>
  <c r="FM142" i="2"/>
  <c r="ET607" i="1"/>
  <c r="DU86" i="2" s="1"/>
  <c r="DT86" i="2"/>
  <c r="DT87" i="2" s="1"/>
  <c r="CU31" i="198"/>
  <c r="DS41" i="2"/>
  <c r="EH161" i="198"/>
  <c r="FN168" i="2"/>
  <c r="CW218" i="198"/>
  <c r="DU225" i="2"/>
  <c r="DU78" i="2"/>
  <c r="CW521" i="198"/>
  <c r="DU528" i="2"/>
  <c r="DU82" i="2"/>
  <c r="CW400" i="198"/>
  <c r="DU407" i="2"/>
  <c r="DU75" i="2"/>
  <c r="CT37" i="198"/>
  <c r="GU54" i="1"/>
  <c r="GT56" i="1"/>
  <c r="EU520" i="1"/>
  <c r="DV10" i="2" s="1"/>
  <c r="EV518" i="1"/>
  <c r="DW8" i="2" s="1"/>
  <c r="GS72" i="1"/>
  <c r="EQ721" i="1"/>
  <c r="EQ707" i="1"/>
  <c r="EQ705" i="1"/>
  <c r="EQ714" i="1"/>
  <c r="EQ711" i="1"/>
  <c r="ER711" i="1" s="1"/>
  <c r="EQ684" i="1"/>
  <c r="EQ680" i="1"/>
  <c r="EQ681" i="1" s="1"/>
  <c r="EQ679" i="1"/>
  <c r="EQ675" i="1"/>
  <c r="ER677" i="1"/>
  <c r="EQ701" i="1"/>
  <c r="ER701" i="1" s="1"/>
  <c r="EQ702" i="1"/>
  <c r="EQ704" i="1"/>
  <c r="EQ703" i="1"/>
  <c r="GR893" i="1"/>
  <c r="GR89" i="1"/>
  <c r="GR83" i="1" s="1"/>
  <c r="GS88" i="1"/>
  <c r="GT88" i="1"/>
  <c r="EQ782" i="1"/>
  <c r="ER644" i="1"/>
  <c r="DS36" i="2" s="1"/>
  <c r="DS37" i="2" s="1"/>
  <c r="EQ647" i="1"/>
  <c r="EQ19" i="1"/>
  <c r="ER19" i="1" s="1"/>
  <c r="ER16" i="1"/>
  <c r="EQ17" i="1"/>
  <c r="GQ85" i="1"/>
  <c r="GP93" i="1"/>
  <c r="EV12" i="1"/>
  <c r="GS77" i="1"/>
  <c r="GT80" i="1"/>
  <c r="GU67" i="1"/>
  <c r="GT499" i="1"/>
  <c r="GV76" i="1"/>
  <c r="GU76" i="1"/>
  <c r="GW35" i="1"/>
  <c r="GV46" i="1"/>
  <c r="GP856" i="1"/>
  <c r="ET550" i="1"/>
  <c r="ES13" i="1"/>
  <c r="GQ91" i="1"/>
  <c r="GR91" i="1"/>
  <c r="ES722" i="1"/>
  <c r="ES706" i="1"/>
  <c r="ES546" i="1"/>
  <c r="ET539" i="1"/>
  <c r="GS68" i="1"/>
  <c r="GR70" i="1"/>
  <c r="GS70" i="1" s="1"/>
  <c r="GR500" i="1"/>
  <c r="GR502" i="1" s="1"/>
  <c r="GX74" i="1"/>
  <c r="GW74" i="1"/>
  <c r="GU53" i="1"/>
  <c r="GV87" i="1"/>
  <c r="GU87" i="1"/>
  <c r="GS80" i="1"/>
  <c r="GR505" i="1"/>
  <c r="GW33" i="1"/>
  <c r="GV41" i="1"/>
  <c r="ET513" i="1"/>
  <c r="ES510" i="1"/>
  <c r="EW830" i="1"/>
  <c r="EW833" i="1" s="1"/>
  <c r="EW850" i="1" s="1"/>
  <c r="EW97" i="1"/>
  <c r="EW94" i="1"/>
  <c r="EX93" i="1"/>
  <c r="EW7" i="1"/>
  <c r="ES542" i="1"/>
  <c r="ET537" i="1"/>
  <c r="GR81" i="1"/>
  <c r="GS69" i="1"/>
  <c r="GU52" i="1"/>
  <c r="GT59" i="1"/>
  <c r="GU55" i="1"/>
  <c r="GS499" i="1"/>
  <c r="GR852" i="1"/>
  <c r="GQ654" i="1"/>
  <c r="GP655" i="1"/>
  <c r="GQ655" i="1" s="1"/>
  <c r="ET552" i="1"/>
  <c r="GT77" i="1"/>
  <c r="GU75" i="1"/>
  <c r="GV75" i="1"/>
  <c r="ES554" i="1" l="1"/>
  <c r="ES560" i="1"/>
  <c r="EH135" i="198"/>
  <c r="FN142" i="2"/>
  <c r="CZ126" i="198"/>
  <c r="DX133" i="2"/>
  <c r="ET706" i="1"/>
  <c r="CV87" i="198"/>
  <c r="DT94" i="2"/>
  <c r="EJ158" i="198"/>
  <c r="FP165" i="2"/>
  <c r="EH109" i="198"/>
  <c r="FN116" i="2"/>
  <c r="EC122" i="198"/>
  <c r="EC123" i="198" s="1"/>
  <c r="EC8" i="198"/>
  <c r="FI129" i="2"/>
  <c r="FI130" i="2" s="1"/>
  <c r="EG141" i="198"/>
  <c r="FM148" i="2"/>
  <c r="ER703" i="1"/>
  <c r="CT84" i="198"/>
  <c r="DR91" i="2"/>
  <c r="ER707" i="1"/>
  <c r="CT88" i="198"/>
  <c r="DR95" i="2"/>
  <c r="CZ10" i="198"/>
  <c r="CU36" i="198"/>
  <c r="DS46" i="2"/>
  <c r="EG137" i="198"/>
  <c r="FM144" i="2"/>
  <c r="EI161" i="198"/>
  <c r="FO168" i="2"/>
  <c r="EF115" i="198"/>
  <c r="FL122" i="2"/>
  <c r="EJ132" i="198"/>
  <c r="FP139" i="2"/>
  <c r="EF110" i="198"/>
  <c r="FL117" i="2"/>
  <c r="ET722" i="1"/>
  <c r="CV96" i="198"/>
  <c r="DT103" i="2"/>
  <c r="CW24" i="198"/>
  <c r="DU29" i="2"/>
  <c r="EH136" i="198"/>
  <c r="FN143" i="2"/>
  <c r="EG115" i="198"/>
  <c r="FM122" i="2"/>
  <c r="ED120" i="198"/>
  <c r="FJ127" i="2"/>
  <c r="EF141" i="198"/>
  <c r="FL148" i="2"/>
  <c r="ER704" i="1"/>
  <c r="CT85" i="198"/>
  <c r="DR92" i="2"/>
  <c r="ER721" i="1"/>
  <c r="CT95" i="198"/>
  <c r="DR102" i="2"/>
  <c r="DS39" i="2"/>
  <c r="GW36" i="1"/>
  <c r="EI159" i="198"/>
  <c r="FO166" i="2"/>
  <c r="CX72" i="198"/>
  <c r="CX77" i="198"/>
  <c r="CX78" i="198"/>
  <c r="CX75" i="198"/>
  <c r="CX69" i="198"/>
  <c r="CX79" i="198"/>
  <c r="CX67" i="198"/>
  <c r="CX71" i="198"/>
  <c r="CX76" i="198"/>
  <c r="CX73" i="198"/>
  <c r="CX74" i="198"/>
  <c r="CX70" i="198"/>
  <c r="CX66" i="198"/>
  <c r="EI165" i="198"/>
  <c r="FO172" i="2"/>
  <c r="EH140" i="198"/>
  <c r="FN147" i="2"/>
  <c r="EK132" i="198"/>
  <c r="FQ139" i="2"/>
  <c r="EE142" i="198"/>
  <c r="FK149" i="2"/>
  <c r="EI136" i="198"/>
  <c r="FO143" i="2"/>
  <c r="EF137" i="198"/>
  <c r="FL144" i="2"/>
  <c r="EE118" i="198"/>
  <c r="FK125" i="2"/>
  <c r="ER702" i="1"/>
  <c r="CT83" i="198"/>
  <c r="DR90" i="2"/>
  <c r="EF112" i="198"/>
  <c r="FL119" i="2"/>
  <c r="EI135" i="198"/>
  <c r="FO142" i="2"/>
  <c r="CV27" i="198"/>
  <c r="CV28" i="198" s="1"/>
  <c r="DT32" i="2"/>
  <c r="EE116" i="198"/>
  <c r="FK123" i="2"/>
  <c r="DA122" i="198"/>
  <c r="DA8" i="198"/>
  <c r="DY129" i="2"/>
  <c r="EJ156" i="198"/>
  <c r="FP163" i="2"/>
  <c r="EI140" i="198"/>
  <c r="FO147" i="2"/>
  <c r="ED142" i="198"/>
  <c r="FJ149" i="2"/>
  <c r="GW46" i="1"/>
  <c r="EI169" i="198"/>
  <c r="FO176" i="2"/>
  <c r="ER705" i="1"/>
  <c r="CT86" i="198"/>
  <c r="DR93" i="2"/>
  <c r="GW34" i="1"/>
  <c r="EI157" i="198"/>
  <c r="FO164" i="2"/>
  <c r="CU49" i="198"/>
  <c r="DS58" i="2"/>
  <c r="EJ154" i="198"/>
  <c r="FP161" i="2"/>
  <c r="GS83" i="1"/>
  <c r="GR508" i="1"/>
  <c r="GS508" i="1" s="1"/>
  <c r="ET560" i="1"/>
  <c r="ES561" i="1"/>
  <c r="ES558" i="1"/>
  <c r="GV39" i="1"/>
  <c r="GW38" i="1"/>
  <c r="GX29" i="1"/>
  <c r="GR854" i="1"/>
  <c r="GS500" i="1"/>
  <c r="ES694" i="1"/>
  <c r="ET694" i="1" s="1"/>
  <c r="ES641" i="1"/>
  <c r="DT43" i="2" s="1"/>
  <c r="ET546" i="1"/>
  <c r="ES629" i="1"/>
  <c r="ET629" i="1" s="1"/>
  <c r="GT893" i="1"/>
  <c r="GT89" i="1"/>
  <c r="GV88" i="1"/>
  <c r="GU88" i="1"/>
  <c r="GV50" i="1"/>
  <c r="GT57" i="1"/>
  <c r="GU56" i="1"/>
  <c r="GT64" i="1"/>
  <c r="GU64" i="1" s="1"/>
  <c r="GU77" i="1"/>
  <c r="ES582" i="1"/>
  <c r="ET579" i="1"/>
  <c r="GR858" i="1"/>
  <c r="GS502" i="1"/>
  <c r="ES543" i="1"/>
  <c r="ET543" i="1" s="1"/>
  <c r="ET542" i="1"/>
  <c r="EX94" i="1"/>
  <c r="GV889" i="1"/>
  <c r="GV786" i="1"/>
  <c r="GW41" i="1"/>
  <c r="GS505" i="1"/>
  <c r="GY74" i="1"/>
  <c r="GZ74" i="1"/>
  <c r="ET13" i="1"/>
  <c r="ES14" i="1"/>
  <c r="GU80" i="1"/>
  <c r="GT505" i="1"/>
  <c r="EQ723" i="1"/>
  <c r="EQ678" i="1"/>
  <c r="ER675" i="1"/>
  <c r="EQ717" i="1"/>
  <c r="ER717" i="1" s="1"/>
  <c r="EQ670" i="1"/>
  <c r="ER670" i="1" s="1"/>
  <c r="EQ720" i="1"/>
  <c r="EQ719" i="1"/>
  <c r="EQ718" i="1"/>
  <c r="EQ708" i="1"/>
  <c r="EQ686" i="1"/>
  <c r="EQ685" i="1"/>
  <c r="ER684" i="1"/>
  <c r="GS81" i="1"/>
  <c r="GR506" i="1"/>
  <c r="EW806" i="1"/>
  <c r="EW809" i="1" s="1"/>
  <c r="EW826" i="1" s="1"/>
  <c r="EW770" i="1"/>
  <c r="EW776" i="1" s="1"/>
  <c r="EW518" i="1"/>
  <c r="DX8" i="2" s="1"/>
  <c r="EW98" i="1"/>
  <c r="EX98" i="1" s="1"/>
  <c r="EW99" i="1"/>
  <c r="EX99" i="1" s="1"/>
  <c r="EX97" i="1"/>
  <c r="ET510" i="1"/>
  <c r="ES511" i="1"/>
  <c r="ET511" i="1" s="1"/>
  <c r="GT91" i="1"/>
  <c r="GR84" i="1"/>
  <c r="GS91" i="1"/>
  <c r="GW76" i="1"/>
  <c r="GX76" i="1"/>
  <c r="GP97" i="1"/>
  <c r="GP7" i="1"/>
  <c r="GP94" i="1"/>
  <c r="GQ93" i="1"/>
  <c r="EU533" i="1"/>
  <c r="GV77" i="1"/>
  <c r="GX75" i="1"/>
  <c r="GW75" i="1"/>
  <c r="ES640" i="1"/>
  <c r="ET554" i="1"/>
  <c r="GT785" i="1"/>
  <c r="GU59" i="1"/>
  <c r="EX7" i="1"/>
  <c r="EW12" i="1"/>
  <c r="GX87" i="1"/>
  <c r="GW87" i="1"/>
  <c r="GU499" i="1"/>
  <c r="GT852" i="1"/>
  <c r="ER647" i="1"/>
  <c r="EQ20" i="1"/>
  <c r="ER20" i="1" s="1"/>
  <c r="EQ566" i="1"/>
  <c r="ER679" i="1"/>
  <c r="EQ692" i="1"/>
  <c r="EQ783" i="1"/>
  <c r="EQ690" i="1"/>
  <c r="EQ695" i="1"/>
  <c r="EQ691" i="1"/>
  <c r="ES764" i="1" l="1"/>
  <c r="CW27" i="198"/>
  <c r="CW28" i="198" s="1"/>
  <c r="DU32" i="2"/>
  <c r="DU33" i="2" s="1"/>
  <c r="EI137" i="198"/>
  <c r="FO144" i="2"/>
  <c r="EF142" i="198"/>
  <c r="FL149" i="2"/>
  <c r="ER720" i="1"/>
  <c r="CT94" i="198"/>
  <c r="DR101" i="2"/>
  <c r="DA126" i="198"/>
  <c r="DY133" i="2"/>
  <c r="EH141" i="198"/>
  <c r="FN148" i="2"/>
  <c r="EJ161" i="198"/>
  <c r="FP168" i="2"/>
  <c r="EJ157" i="198"/>
  <c r="FP164" i="2"/>
  <c r="CU86" i="198"/>
  <c r="DS93" i="2"/>
  <c r="CU83" i="198"/>
  <c r="DS90" i="2"/>
  <c r="ER690" i="1"/>
  <c r="CT40" i="198"/>
  <c r="DR50" i="2"/>
  <c r="CV31" i="198"/>
  <c r="CV32" i="198" s="1"/>
  <c r="DT41" i="2"/>
  <c r="DT42" i="2" s="1"/>
  <c r="EU592" i="1"/>
  <c r="DV76" i="2" s="1"/>
  <c r="DV24" i="2"/>
  <c r="EE119" i="198"/>
  <c r="FK126" i="2"/>
  <c r="EF116" i="198"/>
  <c r="FL123" i="2"/>
  <c r="ER708" i="1"/>
  <c r="CT89" i="198"/>
  <c r="DR96" i="2"/>
  <c r="ER723" i="1"/>
  <c r="CT97" i="198"/>
  <c r="DR104" i="2"/>
  <c r="EJ165" i="198"/>
  <c r="FP172" i="2"/>
  <c r="EI141" i="198"/>
  <c r="FO148" i="2"/>
  <c r="EI162" i="198"/>
  <c r="FO169" i="2"/>
  <c r="CU84" i="198"/>
  <c r="DS91" i="2"/>
  <c r="EC10" i="198"/>
  <c r="EC22" i="198" s="1"/>
  <c r="EC66" i="198" s="1"/>
  <c r="CW87" i="198"/>
  <c r="DU94" i="2"/>
  <c r="EJ140" i="198"/>
  <c r="FP147" i="2"/>
  <c r="EJ135" i="198"/>
  <c r="FP142" i="2"/>
  <c r="ED122" i="198"/>
  <c r="ED8" i="198"/>
  <c r="FJ129" i="2"/>
  <c r="EK136" i="198"/>
  <c r="FQ143" i="2"/>
  <c r="EG142" i="198"/>
  <c r="FM149" i="2"/>
  <c r="ER718" i="1"/>
  <c r="CT92" i="198"/>
  <c r="DR99" i="2"/>
  <c r="EM132" i="198"/>
  <c r="FS139" i="2"/>
  <c r="CV34" i="198"/>
  <c r="DT44" i="2"/>
  <c r="EF118" i="198"/>
  <c r="FL125" i="2"/>
  <c r="CU85" i="198"/>
  <c r="DS92" i="2"/>
  <c r="CU88" i="198"/>
  <c r="DS95" i="2"/>
  <c r="ER691" i="1"/>
  <c r="DS51" i="2" s="1"/>
  <c r="DR51" i="2"/>
  <c r="ER692" i="1"/>
  <c r="CU41" i="198" s="1"/>
  <c r="CT41" i="198"/>
  <c r="EK140" i="198"/>
  <c r="FQ147" i="2"/>
  <c r="EK135" i="198"/>
  <c r="FQ142" i="2"/>
  <c r="EC126" i="198"/>
  <c r="FI133" i="2"/>
  <c r="EJ136" i="198"/>
  <c r="FP143" i="2"/>
  <c r="GR85" i="1"/>
  <c r="GS85" i="1" s="1"/>
  <c r="ER719" i="1"/>
  <c r="CT93" i="198"/>
  <c r="DR100" i="2"/>
  <c r="EH115" i="198"/>
  <c r="FN122" i="2"/>
  <c r="EL132" i="198"/>
  <c r="FR139" i="2"/>
  <c r="EH137" i="198"/>
  <c r="FN144" i="2"/>
  <c r="EK154" i="198"/>
  <c r="FQ161" i="2"/>
  <c r="EJ169" i="198"/>
  <c r="FP176" i="2"/>
  <c r="DA10" i="198"/>
  <c r="DA22" i="198" s="1"/>
  <c r="DT33" i="2"/>
  <c r="CX80" i="198"/>
  <c r="EJ159" i="198"/>
  <c r="FP166" i="2"/>
  <c r="CU95" i="198"/>
  <c r="DS102" i="2"/>
  <c r="CW96" i="198"/>
  <c r="DU103" i="2"/>
  <c r="CZ22" i="198"/>
  <c r="EX12" i="1"/>
  <c r="ET640" i="1"/>
  <c r="ES18" i="1"/>
  <c r="ET18" i="1" s="1"/>
  <c r="GX77" i="1"/>
  <c r="GZ75" i="1"/>
  <c r="GY75" i="1"/>
  <c r="GS84" i="1"/>
  <c r="GR509" i="1"/>
  <c r="GS509" i="1" s="1"/>
  <c r="GR654" i="1"/>
  <c r="EX518" i="1"/>
  <c r="DY8" i="2" s="1"/>
  <c r="EW520" i="1"/>
  <c r="DX10" i="2" s="1"/>
  <c r="ER678" i="1"/>
  <c r="EQ693" i="1"/>
  <c r="GW50" i="1"/>
  <c r="GV54" i="1"/>
  <c r="GV52" i="1"/>
  <c r="GV56" i="1"/>
  <c r="GV55" i="1"/>
  <c r="GV53" i="1"/>
  <c r="GV893" i="1"/>
  <c r="GX88" i="1"/>
  <c r="GW88" i="1"/>
  <c r="GV89" i="1"/>
  <c r="ES644" i="1"/>
  <c r="DT36" i="2" s="1"/>
  <c r="DT37" i="2" s="1"/>
  <c r="ET561" i="1"/>
  <c r="ES564" i="1"/>
  <c r="ET564" i="1" s="1"/>
  <c r="GY87" i="1"/>
  <c r="GZ87" i="1"/>
  <c r="GW77" i="1"/>
  <c r="GQ94" i="1"/>
  <c r="GU91" i="1"/>
  <c r="GV91" i="1"/>
  <c r="GR855" i="1"/>
  <c r="GR856" i="1" s="1"/>
  <c r="GS506" i="1"/>
  <c r="ES642" i="1"/>
  <c r="ET582" i="1"/>
  <c r="ES630" i="1"/>
  <c r="ET630" i="1" s="1"/>
  <c r="ES677" i="1"/>
  <c r="GY29" i="1"/>
  <c r="GX35" i="1"/>
  <c r="GX34" i="1"/>
  <c r="GX33" i="1"/>
  <c r="GZ29" i="1"/>
  <c r="GX36" i="1"/>
  <c r="ER566" i="1"/>
  <c r="EQ567" i="1"/>
  <c r="EQ583" i="1"/>
  <c r="EQ626" i="1" s="1"/>
  <c r="GQ7" i="1"/>
  <c r="GP12" i="1"/>
  <c r="EQ687" i="1"/>
  <c r="ER687" i="1" s="1"/>
  <c r="ER685" i="1"/>
  <c r="GU505" i="1"/>
  <c r="EU781" i="1"/>
  <c r="EU557" i="1"/>
  <c r="EV533" i="1"/>
  <c r="DW24" i="2" s="1"/>
  <c r="EU549" i="1"/>
  <c r="DV27" i="2" s="1"/>
  <c r="EU536" i="1"/>
  <c r="EU605" i="1"/>
  <c r="DV85" i="2" s="1"/>
  <c r="EU602" i="1"/>
  <c r="EV602" i="1" s="1"/>
  <c r="EU591" i="1"/>
  <c r="EU595" i="1"/>
  <c r="EU601" i="1"/>
  <c r="DV83" i="2" s="1"/>
  <c r="EU600" i="1"/>
  <c r="EU603" i="1"/>
  <c r="DV84" i="2" s="1"/>
  <c r="EU598" i="1"/>
  <c r="DV81" i="2" s="1"/>
  <c r="EU594" i="1"/>
  <c r="EU596" i="1"/>
  <c r="DV80" i="2" s="1"/>
  <c r="EU590" i="1"/>
  <c r="EU777" i="1"/>
  <c r="GP770" i="1"/>
  <c r="GP776" i="1" s="1"/>
  <c r="GP518" i="1"/>
  <c r="GP99" i="1"/>
  <c r="GP98" i="1"/>
  <c r="GQ98" i="1" s="1"/>
  <c r="GQ97" i="1"/>
  <c r="GY76" i="1"/>
  <c r="GZ76" i="1"/>
  <c r="ER686" i="1"/>
  <c r="EQ697" i="1"/>
  <c r="EQ698" i="1"/>
  <c r="ET14" i="1"/>
  <c r="ES16" i="1"/>
  <c r="GT69" i="1"/>
  <c r="GT68" i="1"/>
  <c r="GU57" i="1"/>
  <c r="ES922" i="1"/>
  <c r="ET641" i="1"/>
  <c r="DU43" i="2" s="1"/>
  <c r="ES612" i="1"/>
  <c r="GW39" i="1"/>
  <c r="GV67" i="1"/>
  <c r="ET558" i="1"/>
  <c r="ES559" i="1"/>
  <c r="ET559" i="1" s="1"/>
  <c r="EV592" i="1" l="1"/>
  <c r="DW76" i="2" s="1"/>
  <c r="GR93" i="1"/>
  <c r="FK129" i="2" s="1"/>
  <c r="FK130" i="2" s="1"/>
  <c r="GR859" i="1"/>
  <c r="CX440" i="198"/>
  <c r="DV447" i="2"/>
  <c r="DV79" i="2"/>
  <c r="EE122" i="198"/>
  <c r="EE123" i="198" s="1"/>
  <c r="EE8" i="198"/>
  <c r="EM154" i="198"/>
  <c r="FS161" i="2"/>
  <c r="EL154" i="198"/>
  <c r="FR161" i="2"/>
  <c r="CW34" i="198"/>
  <c r="DU44" i="2"/>
  <c r="EI142" i="198"/>
  <c r="FO149" i="2"/>
  <c r="EM140" i="198"/>
  <c r="FS147" i="2"/>
  <c r="EK137" i="198"/>
  <c r="FQ144" i="2"/>
  <c r="CZ72" i="198"/>
  <c r="CZ77" i="198"/>
  <c r="CZ79" i="198"/>
  <c r="CZ75" i="198"/>
  <c r="CZ69" i="198"/>
  <c r="CZ78" i="198"/>
  <c r="CZ76" i="198"/>
  <c r="CZ67" i="198"/>
  <c r="CZ71" i="198"/>
  <c r="CZ73" i="198"/>
  <c r="CZ74" i="198"/>
  <c r="CZ70" i="198"/>
  <c r="CZ66" i="198"/>
  <c r="CU97" i="198"/>
  <c r="DS104" i="2"/>
  <c r="CU94" i="198"/>
  <c r="DS101" i="2"/>
  <c r="ET612" i="1"/>
  <c r="CV49" i="198"/>
  <c r="DT58" i="2"/>
  <c r="EG110" i="198"/>
  <c r="FM117" i="2"/>
  <c r="EM136" i="198"/>
  <c r="FS143" i="2"/>
  <c r="CX129" i="198"/>
  <c r="DV136" i="2"/>
  <c r="DV74" i="2"/>
  <c r="CX400" i="198"/>
  <c r="DV407" i="2"/>
  <c r="DV75" i="2"/>
  <c r="EF120" i="198"/>
  <c r="FL127" i="2"/>
  <c r="EK156" i="198"/>
  <c r="FQ163" i="2"/>
  <c r="ET642" i="1"/>
  <c r="CV36" i="198"/>
  <c r="CV37" i="198" s="1"/>
  <c r="DT46" i="2"/>
  <c r="DT47" i="2" s="1"/>
  <c r="EH142" i="198"/>
  <c r="FN149" i="2"/>
  <c r="EL140" i="198"/>
  <c r="FR147" i="2"/>
  <c r="EF119" i="198"/>
  <c r="FL126" i="2"/>
  <c r="CU92" i="198"/>
  <c r="DS99" i="2"/>
  <c r="EC68" i="198"/>
  <c r="EC79" i="198"/>
  <c r="EC67" i="198"/>
  <c r="EC76" i="198"/>
  <c r="EC69" i="198"/>
  <c r="EC71" i="198"/>
  <c r="EC78" i="198"/>
  <c r="EC75" i="198"/>
  <c r="EC77" i="198"/>
  <c r="EC73" i="198"/>
  <c r="EC74" i="198"/>
  <c r="EC70" i="198"/>
  <c r="EC72" i="198"/>
  <c r="EJ162" i="198"/>
  <c r="FP169" i="2"/>
  <c r="ER698" i="1"/>
  <c r="CT45" i="198"/>
  <c r="DR54" i="2"/>
  <c r="EL136" i="198"/>
  <c r="FR143" i="2"/>
  <c r="U6" i="225"/>
  <c r="U7" i="225" s="1"/>
  <c r="FI8" i="2"/>
  <c r="CX521" i="198"/>
  <c r="DV528" i="2"/>
  <c r="DV82" i="2"/>
  <c r="EK157" i="198"/>
  <c r="FQ164" i="2"/>
  <c r="ED126" i="198"/>
  <c r="FJ133" i="2"/>
  <c r="EJ141" i="198"/>
  <c r="FP148" i="2"/>
  <c r="EL135" i="198"/>
  <c r="FR142" i="2"/>
  <c r="CW31" i="198"/>
  <c r="DU41" i="2"/>
  <c r="CU93" i="198"/>
  <c r="DS100" i="2"/>
  <c r="EI109" i="198"/>
  <c r="FO116" i="2"/>
  <c r="ER697" i="1"/>
  <c r="CT44" i="198"/>
  <c r="DR53" i="2"/>
  <c r="CX218" i="198"/>
  <c r="DV225" i="2"/>
  <c r="DV78" i="2"/>
  <c r="EK159" i="198"/>
  <c r="FQ166" i="2"/>
  <c r="EK158" i="198"/>
  <c r="FQ165" i="2"/>
  <c r="EJ137" i="198"/>
  <c r="FP144" i="2"/>
  <c r="EK141" i="198"/>
  <c r="FQ148" i="2"/>
  <c r="ER693" i="1"/>
  <c r="CU42" i="198" s="1"/>
  <c r="CT42" i="198"/>
  <c r="EM135" i="198"/>
  <c r="FS142" i="2"/>
  <c r="CZ68" i="198"/>
  <c r="EE120" i="198"/>
  <c r="FK127" i="2"/>
  <c r="ED10" i="198"/>
  <c r="ED22" i="198" s="1"/>
  <c r="CU89" i="198"/>
  <c r="DS96" i="2"/>
  <c r="DT39" i="2"/>
  <c r="CU40" i="198"/>
  <c r="DS50" i="2"/>
  <c r="GT81" i="1"/>
  <c r="GU69" i="1"/>
  <c r="EV596" i="1"/>
  <c r="DW80" i="2" s="1"/>
  <c r="EV600" i="1"/>
  <c r="GQ12" i="1"/>
  <c r="GX46" i="1"/>
  <c r="GY35" i="1"/>
  <c r="GZ35" i="1"/>
  <c r="GX893" i="1"/>
  <c r="GZ88" i="1"/>
  <c r="GX89" i="1"/>
  <c r="GY88" i="1"/>
  <c r="GW53" i="1"/>
  <c r="GW54" i="1"/>
  <c r="EW533" i="1"/>
  <c r="GS654" i="1"/>
  <c r="GR655" i="1"/>
  <c r="GS655" i="1" s="1"/>
  <c r="GV80" i="1"/>
  <c r="GW67" i="1"/>
  <c r="GV499" i="1"/>
  <c r="EV594" i="1"/>
  <c r="EV601" i="1"/>
  <c r="DW83" i="2" s="1"/>
  <c r="EV605" i="1"/>
  <c r="DW85" i="2" s="1"/>
  <c r="EV557" i="1"/>
  <c r="GY33" i="1"/>
  <c r="GZ33" i="1"/>
  <c r="GX41" i="1"/>
  <c r="ES782" i="1"/>
  <c r="ET644" i="1"/>
  <c r="DU36" i="2" s="1"/>
  <c r="DU37" i="2" s="1"/>
  <c r="ES647" i="1"/>
  <c r="ES19" i="1"/>
  <c r="ET19" i="1" s="1"/>
  <c r="GW55" i="1"/>
  <c r="GZ77" i="1"/>
  <c r="GY77" i="1"/>
  <c r="ES17" i="1"/>
  <c r="ET16" i="1"/>
  <c r="GQ518" i="1"/>
  <c r="FJ8" i="2" s="1"/>
  <c r="GP520" i="1"/>
  <c r="FI10" i="2" s="1"/>
  <c r="EV590" i="1"/>
  <c r="EU607" i="1"/>
  <c r="DV86" i="2" s="1"/>
  <c r="EV598" i="1"/>
  <c r="DW81" i="2" s="1"/>
  <c r="EV595" i="1"/>
  <c r="EU537" i="1"/>
  <c r="EU539" i="1" s="1"/>
  <c r="EV536" i="1"/>
  <c r="EU587" i="1"/>
  <c r="EV587" i="1" s="1"/>
  <c r="GR94" i="1"/>
  <c r="GS93" i="1"/>
  <c r="GR97" i="1"/>
  <c r="GR7" i="1"/>
  <c r="GX38" i="1"/>
  <c r="GX91" i="1"/>
  <c r="GW91" i="1"/>
  <c r="GV57" i="1"/>
  <c r="GW56" i="1"/>
  <c r="GX50" i="1"/>
  <c r="GV64" i="1"/>
  <c r="GW64" i="1" s="1"/>
  <c r="GU68" i="1"/>
  <c r="GT70" i="1"/>
  <c r="GU70" i="1" s="1"/>
  <c r="GT500" i="1"/>
  <c r="GT72" i="1"/>
  <c r="EV603" i="1"/>
  <c r="DW84" i="2" s="1"/>
  <c r="EV591" i="1"/>
  <c r="EU550" i="1"/>
  <c r="EV549" i="1"/>
  <c r="DW27" i="2" s="1"/>
  <c r="EU513" i="1"/>
  <c r="ER567" i="1"/>
  <c r="GZ36" i="1"/>
  <c r="GY36" i="1"/>
  <c r="GZ34" i="1"/>
  <c r="GY34" i="1"/>
  <c r="ES721" i="1"/>
  <c r="ES714" i="1"/>
  <c r="ES711" i="1"/>
  <c r="ET711" i="1" s="1"/>
  <c r="ES707" i="1"/>
  <c r="ES705" i="1"/>
  <c r="ES680" i="1"/>
  <c r="ES681" i="1" s="1"/>
  <c r="ES679" i="1"/>
  <c r="ES675" i="1"/>
  <c r="ET677" i="1"/>
  <c r="ES684" i="1"/>
  <c r="ES703" i="1"/>
  <c r="ES704" i="1"/>
  <c r="ES702" i="1"/>
  <c r="ES701" i="1"/>
  <c r="ET701" i="1" s="1"/>
  <c r="GW52" i="1"/>
  <c r="GV59" i="1"/>
  <c r="EC80" i="198" l="1"/>
  <c r="EL159" i="198"/>
  <c r="FR166" i="2"/>
  <c r="EG112" i="198"/>
  <c r="FM119" i="2"/>
  <c r="EJ142" i="198"/>
  <c r="FP149" i="2"/>
  <c r="EL141" i="198"/>
  <c r="FR148" i="2"/>
  <c r="EM158" i="198"/>
  <c r="FS165" i="2"/>
  <c r="CY521" i="198"/>
  <c r="DW528" i="2"/>
  <c r="DW82" i="2"/>
  <c r="DU39" i="2"/>
  <c r="CW36" i="198"/>
  <c r="DU46" i="2"/>
  <c r="DV87" i="2"/>
  <c r="ET702" i="1"/>
  <c r="CV83" i="198"/>
  <c r="DT90" i="2"/>
  <c r="ET705" i="1"/>
  <c r="CV86" i="198"/>
  <c r="DT93" i="2"/>
  <c r="ET721" i="1"/>
  <c r="CV95" i="198"/>
  <c r="DT102" i="2"/>
  <c r="CX24" i="198"/>
  <c r="DV29" i="2"/>
  <c r="EK142" i="198"/>
  <c r="FQ149" i="2"/>
  <c r="CY129" i="198"/>
  <c r="DW136" i="2"/>
  <c r="DW74" i="2"/>
  <c r="EK165" i="198"/>
  <c r="FQ172" i="2"/>
  <c r="EW592" i="1"/>
  <c r="DX76" i="2" s="1"/>
  <c r="DX24" i="2"/>
  <c r="EL158" i="198"/>
  <c r="FR165" i="2"/>
  <c r="CU45" i="198"/>
  <c r="DS54" i="2"/>
  <c r="CW49" i="198"/>
  <c r="DU58" i="2"/>
  <c r="EE10" i="198"/>
  <c r="ET704" i="1"/>
  <c r="CV85" i="198"/>
  <c r="DT92" i="2"/>
  <c r="ET707" i="1"/>
  <c r="CV88" i="198"/>
  <c r="DT95" i="2"/>
  <c r="EL157" i="198"/>
  <c r="FR164" i="2"/>
  <c r="CY400" i="198"/>
  <c r="DW407" i="2"/>
  <c r="DW75" i="2"/>
  <c r="EK161" i="198"/>
  <c r="FQ168" i="2"/>
  <c r="GS94" i="1"/>
  <c r="EE126" i="198"/>
  <c r="FK133" i="2"/>
  <c r="CY440" i="198"/>
  <c r="DW447" i="2"/>
  <c r="DW79" i="2"/>
  <c r="EL137" i="198"/>
  <c r="FR144" i="2"/>
  <c r="EM156" i="198"/>
  <c r="FS163" i="2"/>
  <c r="EI115" i="198"/>
  <c r="FO122" i="2"/>
  <c r="EM141" i="198"/>
  <c r="FS148" i="2"/>
  <c r="EK169" i="198"/>
  <c r="FQ176" i="2"/>
  <c r="EM159" i="198"/>
  <c r="FS166" i="2"/>
  <c r="EF122" i="198"/>
  <c r="EF8" i="198"/>
  <c r="FL129" i="2"/>
  <c r="EJ109" i="198"/>
  <c r="FP116" i="2"/>
  <c r="ET703" i="1"/>
  <c r="CV84" i="198"/>
  <c r="DT91" i="2"/>
  <c r="EM157" i="198"/>
  <c r="FS164" i="2"/>
  <c r="EH110" i="198"/>
  <c r="FN117" i="2"/>
  <c r="EM137" i="198"/>
  <c r="FS144" i="2"/>
  <c r="EL156" i="198"/>
  <c r="FR163" i="2"/>
  <c r="CY218" i="198"/>
  <c r="DW225" i="2"/>
  <c r="DW78" i="2"/>
  <c r="EG116" i="198"/>
  <c r="FM123" i="2"/>
  <c r="CU44" i="198"/>
  <c r="DS53" i="2"/>
  <c r="CZ80" i="198"/>
  <c r="EU722" i="1"/>
  <c r="EU706" i="1"/>
  <c r="EV539" i="1"/>
  <c r="EU546" i="1"/>
  <c r="ES708" i="1"/>
  <c r="ET684" i="1"/>
  <c r="ES686" i="1"/>
  <c r="ES685" i="1"/>
  <c r="ET679" i="1"/>
  <c r="ES783" i="1"/>
  <c r="ES692" i="1"/>
  <c r="ES690" i="1"/>
  <c r="ES695" i="1"/>
  <c r="ES691" i="1"/>
  <c r="EV550" i="1"/>
  <c r="EU13" i="1"/>
  <c r="GT854" i="1"/>
  <c r="GU500" i="1"/>
  <c r="GT502" i="1"/>
  <c r="GW57" i="1"/>
  <c r="GV69" i="1"/>
  <c r="GV68" i="1"/>
  <c r="GR770" i="1"/>
  <c r="GR776" i="1" s="1"/>
  <c r="GR518" i="1"/>
  <c r="FK8" i="2" s="1"/>
  <c r="GR99" i="1"/>
  <c r="GR98" i="1"/>
  <c r="GS98" i="1" s="1"/>
  <c r="GS97" i="1"/>
  <c r="GX889" i="1"/>
  <c r="GX786" i="1"/>
  <c r="GZ41" i="1"/>
  <c r="GY41" i="1"/>
  <c r="GW80" i="1"/>
  <c r="GV505" i="1"/>
  <c r="EU552" i="1"/>
  <c r="GT83" i="1"/>
  <c r="GU72" i="1"/>
  <c r="GY91" i="1"/>
  <c r="GZ91" i="1"/>
  <c r="GW499" i="1"/>
  <c r="GV852" i="1"/>
  <c r="GV785" i="1"/>
  <c r="GW59" i="1"/>
  <c r="ES723" i="1"/>
  <c r="ES678" i="1"/>
  <c r="ET675" i="1"/>
  <c r="ES720" i="1"/>
  <c r="ES719" i="1"/>
  <c r="ES670" i="1"/>
  <c r="ET670" i="1" s="1"/>
  <c r="ES718" i="1"/>
  <c r="ES717" i="1"/>
  <c r="ET717" i="1" s="1"/>
  <c r="EV513" i="1"/>
  <c r="EU510" i="1"/>
  <c r="GX56" i="1"/>
  <c r="GX55" i="1"/>
  <c r="GX53" i="1"/>
  <c r="GZ50" i="1"/>
  <c r="GY50" i="1"/>
  <c r="GX54" i="1"/>
  <c r="GX52" i="1"/>
  <c r="GZ38" i="1"/>
  <c r="GX39" i="1"/>
  <c r="GY38" i="1"/>
  <c r="EV607" i="1"/>
  <c r="DW86" i="2" s="1"/>
  <c r="GP533" i="1"/>
  <c r="FI24" i="2" s="1"/>
  <c r="GS7" i="1"/>
  <c r="GR12" i="1"/>
  <c r="EU542" i="1"/>
  <c r="EV537" i="1"/>
  <c r="ET647" i="1"/>
  <c r="ES20" i="1"/>
  <c r="ET20" i="1" s="1"/>
  <c r="ES566" i="1"/>
  <c r="EW781" i="1"/>
  <c r="EW557" i="1"/>
  <c r="EX533" i="1"/>
  <c r="DY24" i="2" s="1"/>
  <c r="EW549" i="1"/>
  <c r="DX27" i="2" s="1"/>
  <c r="EW536" i="1"/>
  <c r="EW602" i="1"/>
  <c r="EX602" i="1" s="1"/>
  <c r="EW605" i="1"/>
  <c r="DX85" i="2" s="1"/>
  <c r="EW595" i="1"/>
  <c r="EW600" i="1"/>
  <c r="EW591" i="1"/>
  <c r="EW603" i="1"/>
  <c r="DX84" i="2" s="1"/>
  <c r="EW601" i="1"/>
  <c r="DX83" i="2" s="1"/>
  <c r="EW598" i="1"/>
  <c r="DX81" i="2" s="1"/>
  <c r="EW594" i="1"/>
  <c r="EW596" i="1"/>
  <c r="DX80" i="2" s="1"/>
  <c r="EW777" i="1"/>
  <c r="EW590" i="1"/>
  <c r="GY46" i="1"/>
  <c r="GU81" i="1"/>
  <c r="GT506" i="1"/>
  <c r="GP592" i="1" l="1"/>
  <c r="FI76" i="2" s="1"/>
  <c r="EX592" i="1"/>
  <c r="DY76" i="2" s="1"/>
  <c r="ET719" i="1"/>
  <c r="CV93" i="198"/>
  <c r="DT100" i="2"/>
  <c r="EL165" i="198"/>
  <c r="FR172" i="2"/>
  <c r="CY24" i="198"/>
  <c r="DW29" i="2"/>
  <c r="EF10" i="198"/>
  <c r="EF22" i="198" s="1"/>
  <c r="CZ440" i="198"/>
  <c r="DX447" i="2"/>
  <c r="DX79" i="2"/>
  <c r="EM161" i="198"/>
  <c r="FS168" i="2"/>
  <c r="EH112" i="198"/>
  <c r="FN119" i="2"/>
  <c r="EJ115" i="198"/>
  <c r="FP122" i="2"/>
  <c r="ET690" i="1"/>
  <c r="CV40" i="198"/>
  <c r="DT50" i="2"/>
  <c r="CX96" i="198"/>
  <c r="DV103" i="2"/>
  <c r="CW84" i="198"/>
  <c r="DU91" i="2"/>
  <c r="CW88" i="198"/>
  <c r="DU95" i="2"/>
  <c r="EH116" i="198"/>
  <c r="FN123" i="2"/>
  <c r="EL161" i="198"/>
  <c r="FR168" i="2"/>
  <c r="ET720" i="1"/>
  <c r="CV94" i="198"/>
  <c r="DT101" i="2"/>
  <c r="EM142" i="198"/>
  <c r="FS149" i="2"/>
  <c r="EM165" i="198"/>
  <c r="FS172" i="2"/>
  <c r="EI110" i="198"/>
  <c r="FO117" i="2"/>
  <c r="ET691" i="1"/>
  <c r="DU51" i="2" s="1"/>
  <c r="DT51" i="2"/>
  <c r="EF126" i="198"/>
  <c r="FL133" i="2"/>
  <c r="EE22" i="198"/>
  <c r="EE68" i="198" s="1"/>
  <c r="EM68" i="198" s="1"/>
  <c r="CW86" i="198"/>
  <c r="DU93" i="2"/>
  <c r="ET723" i="1"/>
  <c r="CV97" i="198"/>
  <c r="DT104" i="2"/>
  <c r="EG118" i="198"/>
  <c r="FM125" i="2"/>
  <c r="ET692" i="1"/>
  <c r="CW41" i="198" s="1"/>
  <c r="CV41" i="198"/>
  <c r="CW83" i="198"/>
  <c r="DU90" i="2"/>
  <c r="EL169" i="198"/>
  <c r="FR176" i="2"/>
  <c r="CZ218" i="198"/>
  <c r="DX225" i="2"/>
  <c r="DX78" i="2"/>
  <c r="CZ400" i="198"/>
  <c r="DX407" i="2"/>
  <c r="DX75" i="2"/>
  <c r="CZ129" i="198"/>
  <c r="DX136" i="2"/>
  <c r="DX74" i="2"/>
  <c r="CZ521" i="198"/>
  <c r="DX528" i="2"/>
  <c r="DX82" i="2"/>
  <c r="EK162" i="198"/>
  <c r="FQ169" i="2"/>
  <c r="ET718" i="1"/>
  <c r="CV92" i="198"/>
  <c r="DT99" i="2"/>
  <c r="EL142" i="198"/>
  <c r="FR149" i="2"/>
  <c r="ET708" i="1"/>
  <c r="CV89" i="198"/>
  <c r="DT96" i="2"/>
  <c r="CX87" i="198"/>
  <c r="DV94" i="2"/>
  <c r="CW85" i="198"/>
  <c r="DU92" i="2"/>
  <c r="CW95" i="198"/>
  <c r="DU102" i="2"/>
  <c r="EX596" i="1"/>
  <c r="DY80" i="2" s="1"/>
  <c r="EX603" i="1"/>
  <c r="DY84" i="2" s="1"/>
  <c r="EX605" i="1"/>
  <c r="DY85" i="2" s="1"/>
  <c r="GZ56" i="1"/>
  <c r="GX57" i="1"/>
  <c r="GY56" i="1"/>
  <c r="ET678" i="1"/>
  <c r="ES693" i="1"/>
  <c r="GV81" i="1"/>
  <c r="GW69" i="1"/>
  <c r="EV13" i="1"/>
  <c r="EU14" i="1"/>
  <c r="ES687" i="1"/>
  <c r="ET687" i="1" s="1"/>
  <c r="ET685" i="1"/>
  <c r="GT855" i="1"/>
  <c r="GT856" i="1" s="1"/>
  <c r="GU506" i="1"/>
  <c r="EX594" i="1"/>
  <c r="EX591" i="1"/>
  <c r="EX557" i="1"/>
  <c r="EV542" i="1"/>
  <c r="EU543" i="1"/>
  <c r="EV543" i="1" s="1"/>
  <c r="GZ39" i="1"/>
  <c r="GY39" i="1"/>
  <c r="GX67" i="1"/>
  <c r="GW505" i="1"/>
  <c r="ET686" i="1"/>
  <c r="ES697" i="1"/>
  <c r="ES698" i="1"/>
  <c r="EX590" i="1"/>
  <c r="EX598" i="1"/>
  <c r="DY81" i="2" s="1"/>
  <c r="EW607" i="1"/>
  <c r="DX86" i="2" s="1"/>
  <c r="EX600" i="1"/>
  <c r="EX536" i="1"/>
  <c r="EW537" i="1"/>
  <c r="EW539" i="1" s="1"/>
  <c r="EW587" i="1"/>
  <c r="EX587" i="1" s="1"/>
  <c r="GS12" i="1"/>
  <c r="GZ52" i="1"/>
  <c r="GY52" i="1"/>
  <c r="GX59" i="1"/>
  <c r="GY53" i="1"/>
  <c r="GZ53" i="1"/>
  <c r="GU83" i="1"/>
  <c r="GT508" i="1"/>
  <c r="GU508" i="1" s="1"/>
  <c r="GT84" i="1"/>
  <c r="EV552" i="1"/>
  <c r="EU554" i="1"/>
  <c r="EU579" i="1"/>
  <c r="EU560" i="1"/>
  <c r="GR520" i="1"/>
  <c r="FK10" i="2" s="1"/>
  <c r="GS518" i="1"/>
  <c r="FL8" i="2" s="1"/>
  <c r="GT858" i="1"/>
  <c r="GT859" i="1" s="1"/>
  <c r="GU502" i="1"/>
  <c r="EV706" i="1"/>
  <c r="EX601" i="1"/>
  <c r="DY83" i="2" s="1"/>
  <c r="EX595" i="1"/>
  <c r="EW550" i="1"/>
  <c r="EW552" i="1" s="1"/>
  <c r="EX549" i="1"/>
  <c r="DY27" i="2" s="1"/>
  <c r="EW513" i="1"/>
  <c r="ET566" i="1"/>
  <c r="ES567" i="1"/>
  <c r="ES583" i="1"/>
  <c r="ES626" i="1" s="1"/>
  <c r="GP557" i="1"/>
  <c r="GP549" i="1"/>
  <c r="FI27" i="2" s="1"/>
  <c r="GP536" i="1"/>
  <c r="GQ533" i="1"/>
  <c r="FJ24" i="2" s="1"/>
  <c r="GP602" i="1"/>
  <c r="GQ602" i="1" s="1"/>
  <c r="GP605" i="1"/>
  <c r="FI85" i="2" s="1"/>
  <c r="GP595" i="1"/>
  <c r="GP591" i="1"/>
  <c r="GP600" i="1"/>
  <c r="GP601" i="1"/>
  <c r="FI83" i="2" s="1"/>
  <c r="GP603" i="1"/>
  <c r="FI84" i="2" s="1"/>
  <c r="GP598" i="1"/>
  <c r="FI81" i="2" s="1"/>
  <c r="GP594" i="1"/>
  <c r="GP596" i="1"/>
  <c r="FI80" i="2" s="1"/>
  <c r="GP590" i="1"/>
  <c r="GP777" i="1"/>
  <c r="GX64" i="1"/>
  <c r="GY64" i="1" s="1"/>
  <c r="GZ54" i="1"/>
  <c r="GY54" i="1"/>
  <c r="GY55" i="1"/>
  <c r="GZ55" i="1"/>
  <c r="EV510" i="1"/>
  <c r="EU511" i="1"/>
  <c r="EV511" i="1" s="1"/>
  <c r="GW68" i="1"/>
  <c r="GV70" i="1"/>
  <c r="GW70" i="1" s="1"/>
  <c r="GV500" i="1"/>
  <c r="GV72" i="1"/>
  <c r="EU694" i="1"/>
  <c r="EV694" i="1" s="1"/>
  <c r="EU641" i="1"/>
  <c r="EV546" i="1"/>
  <c r="EU629" i="1"/>
  <c r="EV629" i="1" s="1"/>
  <c r="EV722" i="1"/>
  <c r="GQ592" i="1" l="1"/>
  <c r="FJ76" i="2" s="1"/>
  <c r="CY96" i="198"/>
  <c r="DW103" i="2"/>
  <c r="CX27" i="198"/>
  <c r="DV32" i="2"/>
  <c r="EH118" i="198"/>
  <c r="FN125" i="2"/>
  <c r="EM162" i="198"/>
  <c r="FS169" i="2"/>
  <c r="DA400" i="198"/>
  <c r="DY407" i="2"/>
  <c r="DY75" i="2"/>
  <c r="CW97" i="198"/>
  <c r="DU104" i="2"/>
  <c r="EI112" i="198"/>
  <c r="FO119" i="2"/>
  <c r="EC129" i="198"/>
  <c r="FI136" i="2"/>
  <c r="FI74" i="2"/>
  <c r="EC440" i="198"/>
  <c r="FI447" i="2"/>
  <c r="FI79" i="2"/>
  <c r="CY87" i="198"/>
  <c r="DW94" i="2"/>
  <c r="DA129" i="198"/>
  <c r="DY136" i="2"/>
  <c r="DY74" i="2"/>
  <c r="DA218" i="198"/>
  <c r="DY225" i="2"/>
  <c r="DY78" i="2"/>
  <c r="EI116" i="198"/>
  <c r="FO123" i="2"/>
  <c r="DX87" i="2"/>
  <c r="CW94" i="198"/>
  <c r="DU101" i="2"/>
  <c r="EJ110" i="198"/>
  <c r="FP117" i="2"/>
  <c r="EC400" i="198"/>
  <c r="FI407" i="2"/>
  <c r="FI75" i="2"/>
  <c r="CZ24" i="198"/>
  <c r="DX29" i="2"/>
  <c r="EG119" i="198"/>
  <c r="FM126" i="2"/>
  <c r="DA521" i="198"/>
  <c r="DY528" i="2"/>
  <c r="DY82" i="2"/>
  <c r="ET698" i="1"/>
  <c r="CV45" i="198"/>
  <c r="DT54" i="2"/>
  <c r="EK109" i="198"/>
  <c r="FQ116" i="2"/>
  <c r="ET693" i="1"/>
  <c r="CW42" i="198" s="1"/>
  <c r="CV42" i="198"/>
  <c r="CW89" i="198"/>
  <c r="DU96" i="2"/>
  <c r="CW93" i="198"/>
  <c r="DU100" i="2"/>
  <c r="EU764" i="1"/>
  <c r="DV43" i="2"/>
  <c r="EC218" i="198"/>
  <c r="FI225" i="2"/>
  <c r="FI78" i="2"/>
  <c r="EC521" i="198"/>
  <c r="FI528" i="2"/>
  <c r="FI82" i="2"/>
  <c r="DA440" i="198"/>
  <c r="DY447" i="2"/>
  <c r="DY79" i="2"/>
  <c r="ET697" i="1"/>
  <c r="CV44" i="198"/>
  <c r="DT53" i="2"/>
  <c r="EL162" i="198"/>
  <c r="FR169" i="2"/>
  <c r="CW92" i="198"/>
  <c r="DU99" i="2"/>
  <c r="EE78" i="198"/>
  <c r="EM78" i="198" s="1"/>
  <c r="EE69" i="198"/>
  <c r="EM69" i="198" s="1"/>
  <c r="EE67" i="198"/>
  <c r="EM67" i="198" s="1"/>
  <c r="EE76" i="198"/>
  <c r="EM76" i="198" s="1"/>
  <c r="EE79" i="198"/>
  <c r="EM79" i="198" s="1"/>
  <c r="EE77" i="198"/>
  <c r="EM77" i="198" s="1"/>
  <c r="EE71" i="198"/>
  <c r="EM71" i="198" s="1"/>
  <c r="EE75" i="198"/>
  <c r="EM75" i="198" s="1"/>
  <c r="EE73" i="198"/>
  <c r="EM73" i="198" s="1"/>
  <c r="EE74" i="198"/>
  <c r="EM74" i="198" s="1"/>
  <c r="EE70" i="198"/>
  <c r="EM70" i="198" s="1"/>
  <c r="EE72" i="198"/>
  <c r="EM72" i="198" s="1"/>
  <c r="EE66" i="198"/>
  <c r="CW40" i="198"/>
  <c r="DU50" i="2"/>
  <c r="EW722" i="1"/>
  <c r="EW706" i="1"/>
  <c r="EW546" i="1"/>
  <c r="EX539" i="1"/>
  <c r="GQ590" i="1"/>
  <c r="GQ598" i="1"/>
  <c r="FJ81" i="2" s="1"/>
  <c r="GP607" i="1"/>
  <c r="FI86" i="2" s="1"/>
  <c r="GQ591" i="1"/>
  <c r="EX550" i="1"/>
  <c r="EW13" i="1"/>
  <c r="GP550" i="1"/>
  <c r="EV579" i="1"/>
  <c r="EU582" i="1"/>
  <c r="GY67" i="1"/>
  <c r="GX80" i="1"/>
  <c r="GZ67" i="1"/>
  <c r="GX499" i="1"/>
  <c r="EU16" i="1"/>
  <c r="EV14" i="1"/>
  <c r="GW81" i="1"/>
  <c r="GV506" i="1"/>
  <c r="GX69" i="1"/>
  <c r="GX68" i="1"/>
  <c r="GZ57" i="1"/>
  <c r="GY57" i="1"/>
  <c r="GQ603" i="1"/>
  <c r="FJ84" i="2" s="1"/>
  <c r="GQ595" i="1"/>
  <c r="GQ536" i="1"/>
  <c r="GP587" i="1"/>
  <c r="GQ587" i="1" s="1"/>
  <c r="EX513" i="1"/>
  <c r="EW510" i="1"/>
  <c r="EU640" i="1"/>
  <c r="EV554" i="1"/>
  <c r="EU922" i="1"/>
  <c r="EV641" i="1"/>
  <c r="DW43" i="2" s="1"/>
  <c r="EU612" i="1"/>
  <c r="GV854" i="1"/>
  <c r="GW500" i="1"/>
  <c r="GV502" i="1"/>
  <c r="GQ596" i="1"/>
  <c r="FJ80" i="2" s="1"/>
  <c r="GQ601" i="1"/>
  <c r="FJ83" i="2" s="1"/>
  <c r="GQ605" i="1"/>
  <c r="FJ85" i="2" s="1"/>
  <c r="GP552" i="1"/>
  <c r="GQ549" i="1"/>
  <c r="FJ27" i="2" s="1"/>
  <c r="GP513" i="1"/>
  <c r="ET567" i="1"/>
  <c r="EW579" i="1"/>
  <c r="EW560" i="1"/>
  <c r="EW554" i="1"/>
  <c r="EX552" i="1"/>
  <c r="GX785" i="1"/>
  <c r="GZ59" i="1"/>
  <c r="GY59" i="1"/>
  <c r="EX607" i="1"/>
  <c r="DY86" i="2" s="1"/>
  <c r="GV83" i="1"/>
  <c r="GW72" i="1"/>
  <c r="GQ594" i="1"/>
  <c r="GQ600" i="1"/>
  <c r="GQ557" i="1"/>
  <c r="GR533" i="1"/>
  <c r="FK24" i="2" s="1"/>
  <c r="EU561" i="1"/>
  <c r="EV560" i="1"/>
  <c r="EU558" i="1"/>
  <c r="GU84" i="1"/>
  <c r="GT509" i="1"/>
  <c r="GU509" i="1" s="1"/>
  <c r="GT654" i="1"/>
  <c r="GT85" i="1"/>
  <c r="EW542" i="1"/>
  <c r="EX537" i="1"/>
  <c r="GP537" i="1"/>
  <c r="EC24" i="198" l="1"/>
  <c r="FI29" i="2"/>
  <c r="FI87" i="2"/>
  <c r="EH119" i="198"/>
  <c r="FN126" i="2"/>
  <c r="EJ112" i="198"/>
  <c r="FP119" i="2"/>
  <c r="CX49" i="198"/>
  <c r="DV58" i="2"/>
  <c r="CX31" i="198"/>
  <c r="DV41" i="2"/>
  <c r="DV42" i="2" s="1"/>
  <c r="EJ116" i="198"/>
  <c r="FP123" i="2"/>
  <c r="EM109" i="198"/>
  <c r="FS116" i="2"/>
  <c r="ED400" i="198"/>
  <c r="FJ407" i="2"/>
  <c r="FJ75" i="2"/>
  <c r="EE80" i="198"/>
  <c r="EM66" i="198"/>
  <c r="EG120" i="198"/>
  <c r="FM127" i="2"/>
  <c r="EI118" i="198"/>
  <c r="FO125" i="2"/>
  <c r="ED440" i="198"/>
  <c r="FJ447" i="2"/>
  <c r="FJ79" i="2"/>
  <c r="EK115" i="198"/>
  <c r="FQ122" i="2"/>
  <c r="ED521" i="198"/>
  <c r="FJ528" i="2"/>
  <c r="FJ82" i="2"/>
  <c r="EL109" i="198"/>
  <c r="FR116" i="2"/>
  <c r="CZ87" i="198"/>
  <c r="DX94" i="2"/>
  <c r="CW45" i="198"/>
  <c r="DU54" i="2"/>
  <c r="CX32" i="198"/>
  <c r="CX28" i="198"/>
  <c r="GX72" i="1"/>
  <c r="GX83" i="1" s="1"/>
  <c r="EK110" i="198"/>
  <c r="FQ117" i="2"/>
  <c r="DV33" i="2"/>
  <c r="ED218" i="198"/>
  <c r="FJ225" i="2"/>
  <c r="FJ78" i="2"/>
  <c r="CZ27" i="198"/>
  <c r="CZ28" i="198" s="1"/>
  <c r="DX32" i="2"/>
  <c r="CY27" i="198"/>
  <c r="CY28" i="198" s="1"/>
  <c r="DW32" i="2"/>
  <c r="CX34" i="198"/>
  <c r="DV44" i="2"/>
  <c r="DA24" i="198"/>
  <c r="DY29" i="2"/>
  <c r="ED129" i="198"/>
  <c r="FJ136" i="2"/>
  <c r="FJ74" i="2"/>
  <c r="CZ96" i="198"/>
  <c r="DX103" i="2"/>
  <c r="CW44" i="198"/>
  <c r="DU53" i="2"/>
  <c r="EW543" i="1"/>
  <c r="EX543" i="1" s="1"/>
  <c r="EX542" i="1"/>
  <c r="GU654" i="1"/>
  <c r="GT655" i="1"/>
  <c r="GU655" i="1" s="1"/>
  <c r="GR549" i="1"/>
  <c r="FK27" i="2" s="1"/>
  <c r="GR557" i="1"/>
  <c r="GR536" i="1"/>
  <c r="GS533" i="1"/>
  <c r="FL24" i="2" s="1"/>
  <c r="GR602" i="1"/>
  <c r="GS602" i="1" s="1"/>
  <c r="GR605" i="1"/>
  <c r="GR595" i="1"/>
  <c r="GR591" i="1"/>
  <c r="GR600" i="1"/>
  <c r="GR603" i="1"/>
  <c r="GR601" i="1"/>
  <c r="GR598" i="1"/>
  <c r="FK81" i="2" s="1"/>
  <c r="GR594" i="1"/>
  <c r="GR596" i="1"/>
  <c r="GR777" i="1"/>
  <c r="GR590" i="1"/>
  <c r="GV858" i="1"/>
  <c r="GW502" i="1"/>
  <c r="EV612" i="1"/>
  <c r="GZ499" i="1"/>
  <c r="GY499" i="1"/>
  <c r="GX852" i="1"/>
  <c r="EX13" i="1"/>
  <c r="EW14" i="1"/>
  <c r="EW694" i="1"/>
  <c r="EX694" i="1" s="1"/>
  <c r="EW641" i="1"/>
  <c r="DX43" i="2" s="1"/>
  <c r="EX546" i="1"/>
  <c r="EW629" i="1"/>
  <c r="EX629" i="1" s="1"/>
  <c r="EU559" i="1"/>
  <c r="EV559" i="1" s="1"/>
  <c r="EV558" i="1"/>
  <c r="GR592" i="1"/>
  <c r="FK76" i="2" s="1"/>
  <c r="EW640" i="1"/>
  <c r="EX554" i="1"/>
  <c r="GP579" i="1"/>
  <c r="GQ552" i="1"/>
  <c r="GP560" i="1"/>
  <c r="GP554" i="1"/>
  <c r="GY68" i="1"/>
  <c r="GX70" i="1"/>
  <c r="GZ68" i="1"/>
  <c r="GX500" i="1"/>
  <c r="EV16" i="1"/>
  <c r="EU17" i="1"/>
  <c r="GP542" i="1"/>
  <c r="GP538" i="1"/>
  <c r="GQ537" i="1"/>
  <c r="EX560" i="1"/>
  <c r="EW561" i="1"/>
  <c r="EW558" i="1"/>
  <c r="EX510" i="1"/>
  <c r="EW511" i="1"/>
  <c r="EX511" i="1" s="1"/>
  <c r="GP539" i="1"/>
  <c r="GX81" i="1"/>
  <c r="GY69" i="1"/>
  <c r="GZ69" i="1"/>
  <c r="GV855" i="1"/>
  <c r="GV856" i="1" s="1"/>
  <c r="GW506" i="1"/>
  <c r="GZ80" i="1"/>
  <c r="GY80" i="1"/>
  <c r="GX505" i="1"/>
  <c r="EU642" i="1"/>
  <c r="EV582" i="1"/>
  <c r="EU630" i="1"/>
  <c r="EV630" i="1" s="1"/>
  <c r="EU677" i="1"/>
  <c r="EX706" i="1"/>
  <c r="GU85" i="1"/>
  <c r="GT93" i="1"/>
  <c r="EU644" i="1"/>
  <c r="DV36" i="2" s="1"/>
  <c r="DV39" i="2" s="1"/>
  <c r="EU564" i="1"/>
  <c r="EV564" i="1" s="1"/>
  <c r="EV561" i="1"/>
  <c r="GW83" i="1"/>
  <c r="GV508" i="1"/>
  <c r="GW508" i="1" s="1"/>
  <c r="GV84" i="1"/>
  <c r="GV85" i="1" s="1"/>
  <c r="EW582" i="1"/>
  <c r="EX579" i="1"/>
  <c r="GQ513" i="1"/>
  <c r="GP510" i="1"/>
  <c r="EV640" i="1"/>
  <c r="EU18" i="1"/>
  <c r="EV18" i="1" s="1"/>
  <c r="GP551" i="1"/>
  <c r="GQ550" i="1"/>
  <c r="GP13" i="1"/>
  <c r="GQ607" i="1"/>
  <c r="FJ86" i="2" s="1"/>
  <c r="EX722" i="1"/>
  <c r="GY72" i="1" l="1"/>
  <c r="GZ72" i="1"/>
  <c r="DV37" i="2"/>
  <c r="EJ118" i="198"/>
  <c r="FP125" i="2"/>
  <c r="EL115" i="198"/>
  <c r="FR122" i="2"/>
  <c r="GS595" i="1"/>
  <c r="EE440" i="198"/>
  <c r="FK447" i="2"/>
  <c r="FK79" i="2"/>
  <c r="DA96" i="198"/>
  <c r="DY103" i="2"/>
  <c r="EC25" i="198"/>
  <c r="FI30" i="2"/>
  <c r="EI119" i="198"/>
  <c r="FO126" i="2"/>
  <c r="DA87" i="198"/>
  <c r="DY94" i="2"/>
  <c r="CX36" i="198"/>
  <c r="DV46" i="2"/>
  <c r="DV47" i="2" s="1"/>
  <c r="EK116" i="198"/>
  <c r="FQ123" i="2"/>
  <c r="EC27" i="198"/>
  <c r="EC28" i="198" s="1"/>
  <c r="FI32" i="2"/>
  <c r="FI33" i="2" s="1"/>
  <c r="DA27" i="198"/>
  <c r="DA28" i="198" s="1"/>
  <c r="DY32" i="2"/>
  <c r="DY33" i="2" s="1"/>
  <c r="GS594" i="1"/>
  <c r="EE218" i="198"/>
  <c r="FK225" i="2"/>
  <c r="FK78" i="2"/>
  <c r="GS600" i="1"/>
  <c r="EE521" i="198"/>
  <c r="FK528" i="2"/>
  <c r="FK82" i="2"/>
  <c r="EG122" i="198"/>
  <c r="EG123" i="198" s="1"/>
  <c r="EG8" i="198"/>
  <c r="FM129" i="2"/>
  <c r="FM130" i="2" s="1"/>
  <c r="GS601" i="1"/>
  <c r="FL83" i="2" s="1"/>
  <c r="FK83" i="2"/>
  <c r="EI120" i="198"/>
  <c r="FO127" i="2"/>
  <c r="EM110" i="198"/>
  <c r="FS117" i="2"/>
  <c r="CZ31" i="198"/>
  <c r="CZ32" i="198" s="1"/>
  <c r="DX41" i="2"/>
  <c r="GS590" i="1"/>
  <c r="EE129" i="198"/>
  <c r="FK136" i="2"/>
  <c r="FK74" i="2"/>
  <c r="GS591" i="1"/>
  <c r="EE400" i="198"/>
  <c r="FK407" i="2"/>
  <c r="FK75" i="2"/>
  <c r="EL112" i="198"/>
  <c r="FR119" i="2"/>
  <c r="CX37" i="198"/>
  <c r="DX33" i="2"/>
  <c r="CY49" i="198"/>
  <c r="DW58" i="2"/>
  <c r="EM112" i="198"/>
  <c r="FS119" i="2"/>
  <c r="DW33" i="2"/>
  <c r="ED24" i="198"/>
  <c r="FJ29" i="2"/>
  <c r="CY31" i="198"/>
  <c r="DW41" i="2"/>
  <c r="CZ34" i="198"/>
  <c r="DX44" i="2"/>
  <c r="EH120" i="198"/>
  <c r="FN127" i="2"/>
  <c r="CY34" i="198"/>
  <c r="DW44" i="2"/>
  <c r="EM115" i="198"/>
  <c r="FS122" i="2"/>
  <c r="EL110" i="198"/>
  <c r="FR117" i="2"/>
  <c r="GS596" i="1"/>
  <c r="FL80" i="2" s="1"/>
  <c r="FK80" i="2"/>
  <c r="GS603" i="1"/>
  <c r="FL84" i="2" s="1"/>
  <c r="FK84" i="2"/>
  <c r="GS605" i="1"/>
  <c r="FL85" i="2" s="1"/>
  <c r="FK85" i="2"/>
  <c r="EK118" i="198"/>
  <c r="FQ125" i="2"/>
  <c r="EK112" i="198"/>
  <c r="FQ119" i="2"/>
  <c r="GQ13" i="1"/>
  <c r="GP14" i="1"/>
  <c r="GQ510" i="1"/>
  <c r="GP511" i="1"/>
  <c r="GQ511" i="1" s="1"/>
  <c r="GT97" i="1"/>
  <c r="GT7" i="1"/>
  <c r="GT94" i="1"/>
  <c r="GU93" i="1"/>
  <c r="GY70" i="1"/>
  <c r="GZ70" i="1"/>
  <c r="EW922" i="1"/>
  <c r="EX641" i="1"/>
  <c r="DY43" i="2" s="1"/>
  <c r="EW612" i="1"/>
  <c r="EX14" i="1"/>
  <c r="EW16" i="1"/>
  <c r="GS557" i="1"/>
  <c r="GW84" i="1"/>
  <c r="GV509" i="1"/>
  <c r="GW509" i="1" s="1"/>
  <c r="EU782" i="1"/>
  <c r="EV644" i="1"/>
  <c r="DW36" i="2" s="1"/>
  <c r="DW37" i="2" s="1"/>
  <c r="EU647" i="1"/>
  <c r="EU19" i="1"/>
  <c r="EV19" i="1" s="1"/>
  <c r="EX558" i="1"/>
  <c r="EW559" i="1"/>
  <c r="EX559" i="1" s="1"/>
  <c r="GP582" i="1"/>
  <c r="GQ579" i="1"/>
  <c r="GR513" i="1"/>
  <c r="GS549" i="1"/>
  <c r="FL27" i="2" s="1"/>
  <c r="GQ551" i="1"/>
  <c r="EU721" i="1"/>
  <c r="EU714" i="1"/>
  <c r="EU707" i="1"/>
  <c r="EU705" i="1"/>
  <c r="EU711" i="1"/>
  <c r="EV711" i="1" s="1"/>
  <c r="EU684" i="1"/>
  <c r="EU680" i="1"/>
  <c r="EU681" i="1" s="1"/>
  <c r="EU679" i="1"/>
  <c r="EW677" i="1"/>
  <c r="EU675" i="1"/>
  <c r="EV677" i="1"/>
  <c r="EU703" i="1"/>
  <c r="EU701" i="1"/>
  <c r="EV701" i="1" s="1"/>
  <c r="EU702" i="1"/>
  <c r="EU704" i="1"/>
  <c r="EV642" i="1"/>
  <c r="GY505" i="1"/>
  <c r="GZ505" i="1"/>
  <c r="EW644" i="1"/>
  <c r="DX36" i="2" s="1"/>
  <c r="DX37" i="2" s="1"/>
  <c r="EX561" i="1"/>
  <c r="EW564" i="1"/>
  <c r="EX564" i="1" s="1"/>
  <c r="GX854" i="1"/>
  <c r="GZ500" i="1"/>
  <c r="GY500" i="1"/>
  <c r="GP640" i="1"/>
  <c r="GQ554" i="1"/>
  <c r="EX640" i="1"/>
  <c r="EW18" i="1"/>
  <c r="EX18" i="1" s="1"/>
  <c r="GR607" i="1"/>
  <c r="GS598" i="1"/>
  <c r="FL81" i="2" s="1"/>
  <c r="GV654" i="1"/>
  <c r="GW85" i="1"/>
  <c r="GV93" i="1"/>
  <c r="EW642" i="1"/>
  <c r="EX582" i="1"/>
  <c r="EW630" i="1"/>
  <c r="EX630" i="1" s="1"/>
  <c r="GY81" i="1"/>
  <c r="GZ81" i="1"/>
  <c r="GX506" i="1"/>
  <c r="GP722" i="1"/>
  <c r="GP706" i="1"/>
  <c r="GP546" i="1"/>
  <c r="GQ539" i="1"/>
  <c r="GP802" i="1"/>
  <c r="GP763" i="1"/>
  <c r="GQ538" i="1"/>
  <c r="GP543" i="1"/>
  <c r="GR538" i="1"/>
  <c r="GR537" i="1" s="1"/>
  <c r="GS537" i="1" s="1"/>
  <c r="GP817" i="1"/>
  <c r="GP781" i="1"/>
  <c r="GP561" i="1"/>
  <c r="GQ560" i="1"/>
  <c r="GP558" i="1"/>
  <c r="GS592" i="1"/>
  <c r="FL76" i="2" s="1"/>
  <c r="EW764" i="1"/>
  <c r="GX502" i="1"/>
  <c r="GV859" i="1"/>
  <c r="GS536" i="1"/>
  <c r="GR587" i="1"/>
  <c r="GS587" i="1" s="1"/>
  <c r="GY83" i="1"/>
  <c r="GZ83" i="1"/>
  <c r="GX508" i="1"/>
  <c r="GX84" i="1"/>
  <c r="EF400" i="198" l="1"/>
  <c r="FL407" i="2"/>
  <c r="FL75" i="2"/>
  <c r="EL118" i="198"/>
  <c r="FR125" i="2"/>
  <c r="EC87" i="198"/>
  <c r="FI94" i="2"/>
  <c r="EL116" i="198"/>
  <c r="FR123" i="2"/>
  <c r="EI8" i="198"/>
  <c r="EI122" i="198"/>
  <c r="EI123" i="198" s="1"/>
  <c r="FO129" i="2"/>
  <c r="FO130" i="2" s="1"/>
  <c r="GS607" i="1"/>
  <c r="FL86" i="2" s="1"/>
  <c r="FK86" i="2"/>
  <c r="FK87" i="2" s="1"/>
  <c r="U25" i="225"/>
  <c r="U26" i="225" s="1"/>
  <c r="EC31" i="198"/>
  <c r="EC32" i="198" s="1"/>
  <c r="FI41" i="2"/>
  <c r="CX95" i="198"/>
  <c r="DV102" i="2"/>
  <c r="EG10" i="198"/>
  <c r="EG22" i="198" s="1"/>
  <c r="EG66" i="198" s="1"/>
  <c r="FI42" i="2"/>
  <c r="DA34" i="198"/>
  <c r="DY44" i="2"/>
  <c r="DA31" i="198"/>
  <c r="DY41" i="2"/>
  <c r="EF129" i="198"/>
  <c r="FL136" i="2"/>
  <c r="FL74" i="2"/>
  <c r="EK119" i="198"/>
  <c r="FQ126" i="2"/>
  <c r="EC96" i="198"/>
  <c r="FI103" i="2"/>
  <c r="EJ120" i="198"/>
  <c r="FP127" i="2"/>
  <c r="CY36" i="198"/>
  <c r="DW46" i="2"/>
  <c r="CX84" i="198"/>
  <c r="DV91" i="2"/>
  <c r="CX86" i="198"/>
  <c r="DV93" i="2"/>
  <c r="ED25" i="198"/>
  <c r="FJ30" i="2"/>
  <c r="EC34" i="198"/>
  <c r="FI44" i="2"/>
  <c r="EJ119" i="198"/>
  <c r="FP126" i="2"/>
  <c r="CZ49" i="198"/>
  <c r="DX58" i="2"/>
  <c r="DW39" i="2"/>
  <c r="EF521" i="198"/>
  <c r="FL528" i="2"/>
  <c r="FL82" i="2"/>
  <c r="EF218" i="198"/>
  <c r="FL225" i="2"/>
  <c r="FL78" i="2"/>
  <c r="EF440" i="198"/>
  <c r="FL447" i="2"/>
  <c r="FL79" i="2"/>
  <c r="CX85" i="198"/>
  <c r="DV92" i="2"/>
  <c r="CX88" i="198"/>
  <c r="DV95" i="2"/>
  <c r="EH122" i="198"/>
  <c r="EH8" i="198"/>
  <c r="FN129" i="2"/>
  <c r="EM118" i="198"/>
  <c r="FS125" i="2"/>
  <c r="EM116" i="198"/>
  <c r="FS123" i="2"/>
  <c r="CZ36" i="198"/>
  <c r="CZ37" i="198" s="1"/>
  <c r="DX46" i="2"/>
  <c r="DX47" i="2" s="1"/>
  <c r="ED27" i="198"/>
  <c r="ED28" i="198" s="1"/>
  <c r="FJ32" i="2"/>
  <c r="FJ33" i="2" s="1"/>
  <c r="CX83" i="198"/>
  <c r="DV90" i="2"/>
  <c r="EG126" i="198"/>
  <c r="FM133" i="2"/>
  <c r="DX39" i="2"/>
  <c r="DX42" i="2"/>
  <c r="GQ722" i="1"/>
  <c r="EV679" i="1"/>
  <c r="EU690" i="1"/>
  <c r="EU783" i="1"/>
  <c r="EU692" i="1"/>
  <c r="CX41" i="198" s="1"/>
  <c r="EU695" i="1"/>
  <c r="EU691" i="1"/>
  <c r="DV51" i="2" s="1"/>
  <c r="GY508" i="1"/>
  <c r="GZ508" i="1"/>
  <c r="GR539" i="1"/>
  <c r="GX858" i="1"/>
  <c r="GY502" i="1"/>
  <c r="GZ502" i="1"/>
  <c r="GQ558" i="1"/>
  <c r="GP559" i="1"/>
  <c r="GQ559" i="1" s="1"/>
  <c r="GR802" i="1"/>
  <c r="GR763" i="1"/>
  <c r="GT538" i="1"/>
  <c r="GR551" i="1"/>
  <c r="GR543" i="1"/>
  <c r="GS538" i="1"/>
  <c r="GR576" i="1"/>
  <c r="GR817" i="1"/>
  <c r="GR781" i="1"/>
  <c r="GP843" i="1"/>
  <c r="GP846" i="1"/>
  <c r="GP822" i="1"/>
  <c r="GP837" i="1"/>
  <c r="GP813" i="1"/>
  <c r="GP836" i="1"/>
  <c r="GP812" i="1"/>
  <c r="GP842" i="1"/>
  <c r="GP841" i="1"/>
  <c r="GP818" i="1"/>
  <c r="GP832" i="1"/>
  <c r="GP808" i="1"/>
  <c r="GP831" i="1"/>
  <c r="GP807" i="1"/>
  <c r="GP830" i="1"/>
  <c r="GP806" i="1"/>
  <c r="GQ706" i="1"/>
  <c r="GX855" i="1"/>
  <c r="GY506" i="1"/>
  <c r="GZ506" i="1"/>
  <c r="EX642" i="1"/>
  <c r="GX654" i="1"/>
  <c r="GW654" i="1"/>
  <c r="GV655" i="1"/>
  <c r="GW655" i="1" s="1"/>
  <c r="GQ640" i="1"/>
  <c r="GP18" i="1"/>
  <c r="GQ18" i="1" s="1"/>
  <c r="EW721" i="1"/>
  <c r="EW711" i="1"/>
  <c r="EX711" i="1" s="1"/>
  <c r="EW714" i="1"/>
  <c r="EW707" i="1"/>
  <c r="EW705" i="1"/>
  <c r="EW680" i="1"/>
  <c r="EW681" i="1" s="1"/>
  <c r="EW679" i="1"/>
  <c r="EW675" i="1"/>
  <c r="EX677" i="1"/>
  <c r="EW684" i="1"/>
  <c r="EW703" i="1"/>
  <c r="EW704" i="1"/>
  <c r="EW701" i="1"/>
  <c r="EX701" i="1" s="1"/>
  <c r="EW702" i="1"/>
  <c r="EV721" i="1"/>
  <c r="GS513" i="1"/>
  <c r="GR510" i="1"/>
  <c r="GT770" i="1"/>
  <c r="GT776" i="1" s="1"/>
  <c r="GT518" i="1"/>
  <c r="FM8" i="2" s="1"/>
  <c r="GT98" i="1"/>
  <c r="GU98" i="1" s="1"/>
  <c r="GU97" i="1"/>
  <c r="GT99" i="1"/>
  <c r="EV703" i="1"/>
  <c r="GP564" i="1"/>
  <c r="GQ561" i="1"/>
  <c r="GP694" i="1"/>
  <c r="GQ694" i="1" s="1"/>
  <c r="GP641" i="1"/>
  <c r="FI43" i="2" s="1"/>
  <c r="GQ546" i="1"/>
  <c r="GP629" i="1"/>
  <c r="GQ629" i="1" s="1"/>
  <c r="GV94" i="1"/>
  <c r="GW93" i="1"/>
  <c r="GV97" i="1"/>
  <c r="GV7" i="1"/>
  <c r="EW782" i="1"/>
  <c r="EX644" i="1"/>
  <c r="DY36" i="2" s="1"/>
  <c r="DY37" i="2" s="1"/>
  <c r="EW647" i="1"/>
  <c r="EW19" i="1"/>
  <c r="EX19" i="1" s="1"/>
  <c r="EV704" i="1"/>
  <c r="EV707" i="1"/>
  <c r="EV647" i="1"/>
  <c r="EU20" i="1"/>
  <c r="EV20" i="1" s="1"/>
  <c r="EU566" i="1"/>
  <c r="EX612" i="1"/>
  <c r="GU94" i="1"/>
  <c r="GQ14" i="1"/>
  <c r="GP16" i="1"/>
  <c r="EV705" i="1"/>
  <c r="GZ84" i="1"/>
  <c r="GY84" i="1"/>
  <c r="GX509" i="1"/>
  <c r="GX85" i="1"/>
  <c r="GP820" i="1"/>
  <c r="GX856" i="1"/>
  <c r="EV702" i="1"/>
  <c r="EU723" i="1"/>
  <c r="EU678" i="1"/>
  <c r="EV675" i="1"/>
  <c r="EU718" i="1"/>
  <c r="EU717" i="1"/>
  <c r="EV717" i="1" s="1"/>
  <c r="EU720" i="1"/>
  <c r="EU719" i="1"/>
  <c r="EU670" i="1"/>
  <c r="EV670" i="1" s="1"/>
  <c r="EU708" i="1"/>
  <c r="EU686" i="1"/>
  <c r="EU685" i="1"/>
  <c r="EV684" i="1"/>
  <c r="GP642" i="1"/>
  <c r="GQ582" i="1"/>
  <c r="GP630" i="1"/>
  <c r="GQ630" i="1" s="1"/>
  <c r="EW17" i="1"/>
  <c r="EX16" i="1"/>
  <c r="GT12" i="1"/>
  <c r="GU7" i="1"/>
  <c r="ED34" i="198" l="1"/>
  <c r="FJ44" i="2"/>
  <c r="CX94" i="198"/>
  <c r="DV101" i="2"/>
  <c r="EM119" i="198"/>
  <c r="FS126" i="2"/>
  <c r="EH126" i="198"/>
  <c r="FN133" i="2"/>
  <c r="CZ85" i="198"/>
  <c r="DX92" i="2"/>
  <c r="CZ88" i="198"/>
  <c r="DX95" i="2"/>
  <c r="EI10" i="198"/>
  <c r="GQ642" i="1"/>
  <c r="EC36" i="198"/>
  <c r="EC37" i="198" s="1"/>
  <c r="FI46" i="2"/>
  <c r="CX97" i="198"/>
  <c r="DV104" i="2"/>
  <c r="EK120" i="198"/>
  <c r="FQ127" i="2"/>
  <c r="CY86" i="198"/>
  <c r="DW93" i="2"/>
  <c r="DA49" i="198"/>
  <c r="DY58" i="2"/>
  <c r="CY88" i="198"/>
  <c r="DW95" i="2"/>
  <c r="EJ122" i="198"/>
  <c r="EJ8" i="198"/>
  <c r="FP129" i="2"/>
  <c r="CY84" i="198"/>
  <c r="DW91" i="2"/>
  <c r="CY95" i="198"/>
  <c r="DW102" i="2"/>
  <c r="CZ84" i="198"/>
  <c r="DX91" i="2"/>
  <c r="ED31" i="198"/>
  <c r="FJ41" i="2"/>
  <c r="DA36" i="198"/>
  <c r="DY46" i="2"/>
  <c r="ED87" i="198"/>
  <c r="FJ94" i="2"/>
  <c r="ED96" i="198"/>
  <c r="FJ103" i="2"/>
  <c r="CX89" i="198"/>
  <c r="DV96" i="2"/>
  <c r="CX92" i="198"/>
  <c r="DV99" i="2"/>
  <c r="CY83" i="198"/>
  <c r="DW90" i="2"/>
  <c r="CY85" i="198"/>
  <c r="DW92" i="2"/>
  <c r="EI126" i="198"/>
  <c r="FO133" i="2"/>
  <c r="CZ83" i="198"/>
  <c r="DX90" i="2"/>
  <c r="EH10" i="198"/>
  <c r="EH22" i="198" s="1"/>
  <c r="DY39" i="2"/>
  <c r="CX93" i="198"/>
  <c r="DV100" i="2"/>
  <c r="EL119" i="198"/>
  <c r="FR126" i="2"/>
  <c r="CZ86" i="198"/>
  <c r="DX93" i="2"/>
  <c r="CZ95" i="198"/>
  <c r="DX102" i="2"/>
  <c r="EE25" i="198"/>
  <c r="FK30" i="2"/>
  <c r="CX40" i="198"/>
  <c r="DV50" i="2"/>
  <c r="FI47" i="2"/>
  <c r="EG68" i="198"/>
  <c r="EG77" i="198"/>
  <c r="EG67" i="198"/>
  <c r="EG79" i="198"/>
  <c r="EG75" i="198"/>
  <c r="EG76" i="198"/>
  <c r="EG69" i="198"/>
  <c r="EG78" i="198"/>
  <c r="EG71" i="198"/>
  <c r="EG73" i="198"/>
  <c r="EG74" i="198"/>
  <c r="EG70" i="198"/>
  <c r="EG72" i="198"/>
  <c r="GP809" i="1"/>
  <c r="GP838" i="1"/>
  <c r="EU687" i="1"/>
  <c r="EV687" i="1" s="1"/>
  <c r="EV685" i="1"/>
  <c r="EV719" i="1"/>
  <c r="GZ509" i="1"/>
  <c r="GY509" i="1"/>
  <c r="GP17" i="1"/>
  <c r="GQ16" i="1"/>
  <c r="GW94" i="1"/>
  <c r="GP922" i="1"/>
  <c r="GQ641" i="1"/>
  <c r="FJ43" i="2" s="1"/>
  <c r="GP644" i="1"/>
  <c r="GP612" i="1"/>
  <c r="EX702" i="1"/>
  <c r="EW708" i="1"/>
  <c r="GP684" i="1"/>
  <c r="EX684" i="1"/>
  <c r="EW686" i="1"/>
  <c r="EW685" i="1"/>
  <c r="GP844" i="1"/>
  <c r="GR722" i="1"/>
  <c r="GR706" i="1"/>
  <c r="GS539" i="1"/>
  <c r="GR546" i="1"/>
  <c r="EV686" i="1"/>
  <c r="EU697" i="1"/>
  <c r="EU698" i="1"/>
  <c r="EV720" i="1"/>
  <c r="GY85" i="1"/>
  <c r="GZ85" i="1"/>
  <c r="GX93" i="1"/>
  <c r="EV566" i="1"/>
  <c r="EU567" i="1"/>
  <c r="EU583" i="1"/>
  <c r="EU626" i="1" s="1"/>
  <c r="EX647" i="1"/>
  <c r="EW20" i="1"/>
  <c r="EX20" i="1" s="1"/>
  <c r="EW566" i="1"/>
  <c r="GV12" i="1"/>
  <c r="GW7" i="1"/>
  <c r="EX705" i="1"/>
  <c r="EX721" i="1"/>
  <c r="GR843" i="1"/>
  <c r="GR822" i="1"/>
  <c r="GR846" i="1"/>
  <c r="GR837" i="1"/>
  <c r="GR836" i="1"/>
  <c r="GR813" i="1"/>
  <c r="GR842" i="1"/>
  <c r="GR812" i="1"/>
  <c r="GR841" i="1"/>
  <c r="GR818" i="1"/>
  <c r="GR820" i="1" s="1"/>
  <c r="GR832" i="1"/>
  <c r="GR808" i="1"/>
  <c r="GR831" i="1"/>
  <c r="GR807" i="1"/>
  <c r="GR830" i="1"/>
  <c r="GR806" i="1"/>
  <c r="EV692" i="1"/>
  <c r="CY41" i="198" s="1"/>
  <c r="EV708" i="1"/>
  <c r="EV678" i="1"/>
  <c r="EU693" i="1"/>
  <c r="CX42" i="198" s="1"/>
  <c r="GV770" i="1"/>
  <c r="GV776" i="1" s="1"/>
  <c r="GV518" i="1"/>
  <c r="FO8" i="2" s="1"/>
  <c r="GV98" i="1"/>
  <c r="GW98" i="1" s="1"/>
  <c r="GW97" i="1"/>
  <c r="GV99" i="1"/>
  <c r="GU518" i="1"/>
  <c r="FN8" i="2" s="1"/>
  <c r="GT520" i="1"/>
  <c r="FM10" i="2" s="1"/>
  <c r="EX704" i="1"/>
  <c r="EW723" i="1"/>
  <c r="GP675" i="1"/>
  <c r="EW678" i="1"/>
  <c r="EX675" i="1"/>
  <c r="EW720" i="1"/>
  <c r="EW670" i="1"/>
  <c r="EX670" i="1" s="1"/>
  <c r="EW719" i="1"/>
  <c r="EW718" i="1"/>
  <c r="EW717" i="1"/>
  <c r="EX717" i="1" s="1"/>
  <c r="EX707" i="1"/>
  <c r="GY654" i="1"/>
  <c r="GZ654" i="1"/>
  <c r="GX655" i="1"/>
  <c r="GP833" i="1"/>
  <c r="GP814" i="1"/>
  <c r="GS551" i="1"/>
  <c r="GR550" i="1"/>
  <c r="GU12" i="1"/>
  <c r="EV718" i="1"/>
  <c r="EV723" i="1"/>
  <c r="GP764" i="1"/>
  <c r="GS510" i="1"/>
  <c r="GR511" i="1"/>
  <c r="GS511" i="1" s="1"/>
  <c r="EX703" i="1"/>
  <c r="EX679" i="1"/>
  <c r="EW690" i="1"/>
  <c r="EW692" i="1"/>
  <c r="CZ41" i="198" s="1"/>
  <c r="EW783" i="1"/>
  <c r="EW691" i="1"/>
  <c r="DX51" i="2" s="1"/>
  <c r="EW695" i="1"/>
  <c r="GS576" i="1"/>
  <c r="GR577" i="1"/>
  <c r="GS577" i="1" s="1"/>
  <c r="GT802" i="1"/>
  <c r="GT763" i="1"/>
  <c r="GT551" i="1"/>
  <c r="GU538" i="1"/>
  <c r="GT543" i="1"/>
  <c r="GV538" i="1"/>
  <c r="GT576" i="1"/>
  <c r="GT817" i="1"/>
  <c r="GX859" i="1"/>
  <c r="EV691" i="1"/>
  <c r="DW51" i="2" s="1"/>
  <c r="EV690" i="1"/>
  <c r="GP826" i="1" l="1"/>
  <c r="EG80" i="198"/>
  <c r="EE24" i="198"/>
  <c r="FK29" i="2"/>
  <c r="CZ94" i="198"/>
  <c r="DX101" i="2"/>
  <c r="CZ97" i="198"/>
  <c r="DX104" i="2"/>
  <c r="EM120" i="198"/>
  <c r="FS127" i="2"/>
  <c r="CX44" i="198"/>
  <c r="DV53" i="2"/>
  <c r="EE87" i="198"/>
  <c r="FK94" i="2"/>
  <c r="DA83" i="198"/>
  <c r="DY90" i="2"/>
  <c r="DA84" i="198"/>
  <c r="DY91" i="2"/>
  <c r="CY97" i="198"/>
  <c r="DW104" i="2"/>
  <c r="EF25" i="198"/>
  <c r="FL30" i="2"/>
  <c r="CZ92" i="198"/>
  <c r="DX99" i="2"/>
  <c r="DA85" i="198"/>
  <c r="DY92" i="2"/>
  <c r="GR838" i="1"/>
  <c r="DA95" i="198"/>
  <c r="DY102" i="2"/>
  <c r="EL120" i="198"/>
  <c r="FR127" i="2"/>
  <c r="EE96" i="198"/>
  <c r="FK103" i="2"/>
  <c r="EC49" i="198"/>
  <c r="FI58" i="2"/>
  <c r="EJ126" i="198"/>
  <c r="FP133" i="2"/>
  <c r="ED36" i="198"/>
  <c r="FJ46" i="2"/>
  <c r="CY92" i="198"/>
  <c r="DW99" i="2"/>
  <c r="CZ93" i="198"/>
  <c r="DX100" i="2"/>
  <c r="DA86" i="198"/>
  <c r="DY93" i="2"/>
  <c r="CY94" i="198"/>
  <c r="DW101" i="2"/>
  <c r="U27" i="225"/>
  <c r="U28" i="225" s="1"/>
  <c r="FI36" i="2"/>
  <c r="CY93" i="198"/>
  <c r="DW100" i="2"/>
  <c r="CY40" i="198"/>
  <c r="DW50" i="2"/>
  <c r="EG25" i="198"/>
  <c r="FM30" i="2"/>
  <c r="CZ40" i="198"/>
  <c r="DX50" i="2"/>
  <c r="DA88" i="198"/>
  <c r="DY95" i="2"/>
  <c r="CY89" i="198"/>
  <c r="DW96" i="2"/>
  <c r="EK122" i="198"/>
  <c r="EK123" i="198" s="1"/>
  <c r="EK8" i="198"/>
  <c r="FQ129" i="2"/>
  <c r="FQ130" i="2" s="1"/>
  <c r="CX45" i="198"/>
  <c r="DV54" i="2"/>
  <c r="CZ89" i="198"/>
  <c r="DX96" i="2"/>
  <c r="EJ10" i="198"/>
  <c r="EJ22" i="198" s="1"/>
  <c r="EI22" i="198"/>
  <c r="GP850" i="1"/>
  <c r="GR809" i="1"/>
  <c r="GR814" i="1"/>
  <c r="GU576" i="1"/>
  <c r="GT577" i="1"/>
  <c r="GU577" i="1" s="1"/>
  <c r="GU551" i="1"/>
  <c r="EX678" i="1"/>
  <c r="EW693" i="1"/>
  <c r="CZ42" i="198" s="1"/>
  <c r="EV567" i="1"/>
  <c r="EX686" i="1"/>
  <c r="EW697" i="1"/>
  <c r="EW698" i="1"/>
  <c r="GV802" i="1"/>
  <c r="GV763" i="1"/>
  <c r="GV551" i="1"/>
  <c r="GV543" i="1"/>
  <c r="GX538" i="1"/>
  <c r="GW538" i="1"/>
  <c r="GV576" i="1"/>
  <c r="GV817" i="1"/>
  <c r="EX692" i="1"/>
  <c r="DA41" i="198" s="1"/>
  <c r="GS550" i="1"/>
  <c r="GR13" i="1"/>
  <c r="GR552" i="1"/>
  <c r="EX720" i="1"/>
  <c r="GP723" i="1"/>
  <c r="GQ675" i="1"/>
  <c r="GP677" i="1"/>
  <c r="GP678" i="1"/>
  <c r="GP718" i="1"/>
  <c r="GP719" i="1"/>
  <c r="GP720" i="1"/>
  <c r="GP670" i="1"/>
  <c r="GQ670" i="1" s="1"/>
  <c r="GP717" i="1"/>
  <c r="GQ717" i="1" s="1"/>
  <c r="GV520" i="1"/>
  <c r="FO10" i="2" s="1"/>
  <c r="GW518" i="1"/>
  <c r="FP8" i="2" s="1"/>
  <c r="EV693" i="1"/>
  <c r="CY42" i="198" s="1"/>
  <c r="GR833" i="1"/>
  <c r="GW12" i="1"/>
  <c r="GT843" i="1"/>
  <c r="GT822" i="1"/>
  <c r="GT846" i="1"/>
  <c r="GT837" i="1"/>
  <c r="GT836" i="1"/>
  <c r="GT813" i="1"/>
  <c r="GT841" i="1"/>
  <c r="GT812" i="1"/>
  <c r="GT842" i="1"/>
  <c r="GT818" i="1"/>
  <c r="GT820" i="1" s="1"/>
  <c r="GT832" i="1"/>
  <c r="GT808" i="1"/>
  <c r="GT831" i="1"/>
  <c r="GT807" i="1"/>
  <c r="GT830" i="1"/>
  <c r="GT806" i="1"/>
  <c r="EX690" i="1"/>
  <c r="EX718" i="1"/>
  <c r="EX723" i="1"/>
  <c r="EX566" i="1"/>
  <c r="EW567" i="1"/>
  <c r="EX567" i="1" s="1"/>
  <c r="EW583" i="1"/>
  <c r="EW626" i="1" s="1"/>
  <c r="EV698" i="1"/>
  <c r="GS706" i="1"/>
  <c r="GP708" i="1"/>
  <c r="GP686" i="1"/>
  <c r="GQ684" i="1"/>
  <c r="GQ612" i="1"/>
  <c r="EX691" i="1"/>
  <c r="DY51" i="2" s="1"/>
  <c r="GZ655" i="1"/>
  <c r="GY655" i="1"/>
  <c r="EX719" i="1"/>
  <c r="GT533" i="1"/>
  <c r="FM24" i="2" s="1"/>
  <c r="GR844" i="1"/>
  <c r="GZ93" i="1"/>
  <c r="GX94" i="1"/>
  <c r="GY93" i="1"/>
  <c r="GX97" i="1"/>
  <c r="GX7" i="1"/>
  <c r="EV697" i="1"/>
  <c r="GR694" i="1"/>
  <c r="GS694" i="1" s="1"/>
  <c r="GR641" i="1"/>
  <c r="GS546" i="1"/>
  <c r="GR629" i="1"/>
  <c r="GS629" i="1" s="1"/>
  <c r="GS722" i="1"/>
  <c r="GP685" i="1"/>
  <c r="EW687" i="1"/>
  <c r="EX687" i="1" s="1"/>
  <c r="EX685" i="1"/>
  <c r="EX708" i="1"/>
  <c r="GP782" i="1"/>
  <c r="GQ644" i="1"/>
  <c r="FJ36" i="2" s="1"/>
  <c r="GP19" i="1"/>
  <c r="GQ19" i="1" s="1"/>
  <c r="GR826" i="1" l="1"/>
  <c r="GR850" i="1"/>
  <c r="DA93" i="198"/>
  <c r="DY100" i="2"/>
  <c r="EC89" i="198"/>
  <c r="FI96" i="2"/>
  <c r="DA89" i="198"/>
  <c r="DY96" i="2"/>
  <c r="EF96" i="198"/>
  <c r="FL103" i="2"/>
  <c r="EL122" i="198"/>
  <c r="EL8" i="198"/>
  <c r="FR129" i="2"/>
  <c r="DA92" i="198"/>
  <c r="DY99" i="2"/>
  <c r="DA94" i="198"/>
  <c r="DY101" i="2"/>
  <c r="EI77" i="198"/>
  <c r="EI67" i="198"/>
  <c r="EI78" i="198"/>
  <c r="EI71" i="198"/>
  <c r="EI79" i="198"/>
  <c r="EI75" i="198"/>
  <c r="EI69" i="198"/>
  <c r="EI76" i="198"/>
  <c r="EI73" i="198"/>
  <c r="EI74" i="198"/>
  <c r="EI70" i="198"/>
  <c r="EI72" i="198"/>
  <c r="EI66" i="198"/>
  <c r="EK10" i="198"/>
  <c r="FI37" i="2"/>
  <c r="FI39" i="2"/>
  <c r="EK126" i="198"/>
  <c r="FQ133" i="2"/>
  <c r="FJ39" i="2"/>
  <c r="FJ37" i="2"/>
  <c r="EM122" i="198"/>
  <c r="EM8" i="198"/>
  <c r="EM10" i="198" s="1"/>
  <c r="EM22" i="198" s="1"/>
  <c r="FS129" i="2"/>
  <c r="ED49" i="198"/>
  <c r="FJ58" i="2"/>
  <c r="EF87" i="198"/>
  <c r="FL94" i="2"/>
  <c r="EC93" i="198"/>
  <c r="FI100" i="2"/>
  <c r="EI25" i="198"/>
  <c r="FO30" i="2"/>
  <c r="CZ44" i="198"/>
  <c r="DX53" i="2"/>
  <c r="CY44" i="198"/>
  <c r="DW53" i="2"/>
  <c r="DA40" i="198"/>
  <c r="DY50" i="2"/>
  <c r="EC94" i="198"/>
  <c r="FI101" i="2"/>
  <c r="CZ45" i="198"/>
  <c r="DX54" i="2"/>
  <c r="GR764" i="1"/>
  <c r="FK43" i="2"/>
  <c r="CY45" i="198"/>
  <c r="DW54" i="2"/>
  <c r="DA97" i="198"/>
  <c r="DY104" i="2"/>
  <c r="EC92" i="198"/>
  <c r="FI99" i="2"/>
  <c r="EC97" i="198"/>
  <c r="FI104" i="2"/>
  <c r="EF24" i="198"/>
  <c r="FL29" i="2"/>
  <c r="EH25" i="198"/>
  <c r="FN30" i="2"/>
  <c r="EI68" i="198"/>
  <c r="GT809" i="1"/>
  <c r="GT814" i="1"/>
  <c r="GT838" i="1"/>
  <c r="GQ685" i="1"/>
  <c r="GP687" i="1"/>
  <c r="GQ687" i="1" s="1"/>
  <c r="GZ94" i="1"/>
  <c r="GY94" i="1"/>
  <c r="GT781" i="1"/>
  <c r="GT557" i="1"/>
  <c r="GT549" i="1"/>
  <c r="FM27" i="2" s="1"/>
  <c r="GT536" i="1"/>
  <c r="GU533" i="1"/>
  <c r="FN24" i="2" s="1"/>
  <c r="GT602" i="1"/>
  <c r="GU602" i="1" s="1"/>
  <c r="GT605" i="1"/>
  <c r="FM85" i="2" s="1"/>
  <c r="GT595" i="1"/>
  <c r="GT591" i="1"/>
  <c r="GT601" i="1"/>
  <c r="FM83" i="2" s="1"/>
  <c r="GT600" i="1"/>
  <c r="GT603" i="1"/>
  <c r="FM84" i="2" s="1"/>
  <c r="GT598" i="1"/>
  <c r="FM81" i="2" s="1"/>
  <c r="GT594" i="1"/>
  <c r="GT596" i="1"/>
  <c r="FM80" i="2" s="1"/>
  <c r="GT777" i="1"/>
  <c r="GT590" i="1"/>
  <c r="GQ686" i="1"/>
  <c r="GP697" i="1"/>
  <c r="GP698" i="1"/>
  <c r="GT844" i="1"/>
  <c r="GQ719" i="1"/>
  <c r="GP711" i="1"/>
  <c r="GP721" i="1"/>
  <c r="GP705" i="1"/>
  <c r="GP714" i="1"/>
  <c r="GP707" i="1"/>
  <c r="GQ677" i="1"/>
  <c r="GP680" i="1"/>
  <c r="GP679" i="1"/>
  <c r="GP701" i="1"/>
  <c r="GQ701" i="1" s="1"/>
  <c r="GP702" i="1"/>
  <c r="GP703" i="1"/>
  <c r="GP704" i="1"/>
  <c r="EX698" i="1"/>
  <c r="GZ7" i="1"/>
  <c r="GX12" i="1"/>
  <c r="GY7" i="1"/>
  <c r="GT592" i="1"/>
  <c r="FM76" i="2" s="1"/>
  <c r="GQ708" i="1"/>
  <c r="GV533" i="1"/>
  <c r="FO24" i="2" s="1"/>
  <c r="GQ718" i="1"/>
  <c r="GR554" i="1"/>
  <c r="GR579" i="1"/>
  <c r="GR560" i="1"/>
  <c r="GS552" i="1"/>
  <c r="GX802" i="1"/>
  <c r="GX806" i="1" s="1"/>
  <c r="GX763" i="1"/>
  <c r="GX551" i="1"/>
  <c r="GY538" i="1"/>
  <c r="GX543" i="1"/>
  <c r="GZ543" i="1" s="1"/>
  <c r="GZ538" i="1"/>
  <c r="GX576" i="1"/>
  <c r="GX817" i="1"/>
  <c r="GV843" i="1"/>
  <c r="GV822" i="1"/>
  <c r="GV846" i="1"/>
  <c r="GV837" i="1"/>
  <c r="GV841" i="1"/>
  <c r="GV813" i="1"/>
  <c r="GV836" i="1"/>
  <c r="GV812" i="1"/>
  <c r="GV842" i="1"/>
  <c r="GV818" i="1"/>
  <c r="GV820" i="1" s="1"/>
  <c r="GV832" i="1"/>
  <c r="GV808" i="1"/>
  <c r="GV831" i="1"/>
  <c r="GV807" i="1"/>
  <c r="GV830" i="1"/>
  <c r="GV806" i="1"/>
  <c r="EX697" i="1"/>
  <c r="EX693" i="1"/>
  <c r="DA42" i="198" s="1"/>
  <c r="GR922" i="1"/>
  <c r="GR644" i="1"/>
  <c r="FK36" i="2" s="1"/>
  <c r="GS641" i="1"/>
  <c r="FL43" i="2" s="1"/>
  <c r="GR612" i="1"/>
  <c r="GX770" i="1"/>
  <c r="GX776" i="1" s="1"/>
  <c r="GX518" i="1"/>
  <c r="FQ8" i="2" s="1"/>
  <c r="GX99" i="1"/>
  <c r="GX98" i="1"/>
  <c r="GY98" i="1" s="1"/>
  <c r="GY97" i="1"/>
  <c r="GZ97" i="1"/>
  <c r="GT833" i="1"/>
  <c r="GQ678" i="1"/>
  <c r="GP693" i="1"/>
  <c r="EC42" i="198" s="1"/>
  <c r="GS13" i="1"/>
  <c r="GR14" i="1"/>
  <c r="GQ720" i="1"/>
  <c r="GQ723" i="1"/>
  <c r="GW576" i="1"/>
  <c r="GV577" i="1"/>
  <c r="GW577" i="1" s="1"/>
  <c r="GW551" i="1"/>
  <c r="GP567" i="1"/>
  <c r="GV592" i="1" l="1"/>
  <c r="FO76" i="2" s="1"/>
  <c r="GT826" i="1"/>
  <c r="EI80" i="198"/>
  <c r="ED97" i="198"/>
  <c r="FJ104" i="2"/>
  <c r="EE27" i="198"/>
  <c r="FK32" i="2"/>
  <c r="EL126" i="198"/>
  <c r="FR133" i="2"/>
  <c r="ED94" i="198"/>
  <c r="FJ101" i="2"/>
  <c r="EK25" i="198"/>
  <c r="FQ30" i="2"/>
  <c r="EC85" i="198"/>
  <c r="FI92" i="2"/>
  <c r="ED93" i="198"/>
  <c r="FJ100" i="2"/>
  <c r="EG218" i="198"/>
  <c r="FM225" i="2"/>
  <c r="FM78" i="2"/>
  <c r="EL10" i="198"/>
  <c r="EL22" i="198" s="1"/>
  <c r="DA44" i="198"/>
  <c r="DY53" i="2"/>
  <c r="EC45" i="198"/>
  <c r="FI54" i="2"/>
  <c r="EE49" i="198"/>
  <c r="FK58" i="2"/>
  <c r="EC84" i="198"/>
  <c r="FI91" i="2"/>
  <c r="EC86" i="198"/>
  <c r="FI93" i="2"/>
  <c r="EG129" i="198"/>
  <c r="FM136" i="2"/>
  <c r="FM74" i="2"/>
  <c r="EG400" i="198"/>
  <c r="FM407" i="2"/>
  <c r="FM75" i="2"/>
  <c r="EK22" i="198"/>
  <c r="EK68" i="198" s="1"/>
  <c r="ED89" i="198"/>
  <c r="FJ96" i="2"/>
  <c r="EC83" i="198"/>
  <c r="FI90" i="2"/>
  <c r="EC95" i="198"/>
  <c r="FI102" i="2"/>
  <c r="EG440" i="198"/>
  <c r="FM447" i="2"/>
  <c r="FM79" i="2"/>
  <c r="EJ25" i="198"/>
  <c r="FP30" i="2"/>
  <c r="ED92" i="198"/>
  <c r="FJ99" i="2"/>
  <c r="DA45" i="198"/>
  <c r="DY54" i="2"/>
  <c r="EC88" i="198"/>
  <c r="FI95" i="2"/>
  <c r="EC44" i="198"/>
  <c r="FI53" i="2"/>
  <c r="EG521" i="198"/>
  <c r="FM528" i="2"/>
  <c r="FM82" i="2"/>
  <c r="EM126" i="198"/>
  <c r="FS133" i="2"/>
  <c r="GT850" i="1"/>
  <c r="GP647" i="1"/>
  <c r="GQ567" i="1"/>
  <c r="GP566" i="1"/>
  <c r="GV809" i="1"/>
  <c r="GV814" i="1"/>
  <c r="GV838" i="1"/>
  <c r="GV781" i="1"/>
  <c r="GV549" i="1"/>
  <c r="FO27" i="2" s="1"/>
  <c r="GV557" i="1"/>
  <c r="GV536" i="1"/>
  <c r="GW533" i="1"/>
  <c r="FP24" i="2" s="1"/>
  <c r="GV602" i="1"/>
  <c r="GW602" i="1" s="1"/>
  <c r="GV605" i="1"/>
  <c r="FO85" i="2" s="1"/>
  <c r="GV595" i="1"/>
  <c r="GV591" i="1"/>
  <c r="GV601" i="1"/>
  <c r="FO83" i="2" s="1"/>
  <c r="GV600" i="1"/>
  <c r="GV603" i="1"/>
  <c r="FO84" i="2" s="1"/>
  <c r="GV598" i="1"/>
  <c r="FO81" i="2" s="1"/>
  <c r="GV594" i="1"/>
  <c r="GV596" i="1"/>
  <c r="FO80" i="2" s="1"/>
  <c r="GV777" i="1"/>
  <c r="GV590" i="1"/>
  <c r="GZ12" i="1"/>
  <c r="GY12" i="1"/>
  <c r="GQ703" i="1"/>
  <c r="GQ707" i="1"/>
  <c r="GQ697" i="1"/>
  <c r="GU603" i="1"/>
  <c r="FN84" i="2" s="1"/>
  <c r="GU595" i="1"/>
  <c r="GT537" i="1"/>
  <c r="GU537" i="1" s="1"/>
  <c r="GU536" i="1"/>
  <c r="GT587" i="1"/>
  <c r="GU587" i="1" s="1"/>
  <c r="GR16" i="1"/>
  <c r="GS14" i="1"/>
  <c r="GQ693" i="1"/>
  <c r="ED42" i="198" s="1"/>
  <c r="GR782" i="1"/>
  <c r="GS644" i="1"/>
  <c r="FL36" i="2" s="1"/>
  <c r="GR647" i="1"/>
  <c r="GR19" i="1"/>
  <c r="GS19" i="1" s="1"/>
  <c r="GV833" i="1"/>
  <c r="GZ576" i="1"/>
  <c r="GY576" i="1"/>
  <c r="GX577" i="1"/>
  <c r="GY551" i="1"/>
  <c r="GZ551" i="1"/>
  <c r="GR561" i="1"/>
  <c r="GS560" i="1"/>
  <c r="GR558" i="1"/>
  <c r="GW592" i="1"/>
  <c r="FP76" i="2" s="1"/>
  <c r="GQ702" i="1"/>
  <c r="GP681" i="1"/>
  <c r="GP695" i="1" s="1"/>
  <c r="GU596" i="1"/>
  <c r="FN80" i="2" s="1"/>
  <c r="GU600" i="1"/>
  <c r="GU605" i="1"/>
  <c r="FN85" i="2" s="1"/>
  <c r="GT550" i="1"/>
  <c r="GT513" i="1"/>
  <c r="GU549" i="1"/>
  <c r="FN27" i="2" s="1"/>
  <c r="GS579" i="1"/>
  <c r="GR582" i="1"/>
  <c r="GQ705" i="1"/>
  <c r="GU590" i="1"/>
  <c r="GU594" i="1"/>
  <c r="GU601" i="1"/>
  <c r="FN83" i="2" s="1"/>
  <c r="GU557" i="1"/>
  <c r="GY518" i="1"/>
  <c r="FR8" i="2" s="1"/>
  <c r="GZ518" i="1"/>
  <c r="FS8" i="2" s="1"/>
  <c r="GX520" i="1"/>
  <c r="FQ10" i="2" s="1"/>
  <c r="GS612" i="1"/>
  <c r="GV844" i="1"/>
  <c r="GX843" i="1"/>
  <c r="GX822" i="1"/>
  <c r="GX846" i="1"/>
  <c r="GX841" i="1"/>
  <c r="GX837" i="1"/>
  <c r="GX836" i="1"/>
  <c r="GX813" i="1"/>
  <c r="GX812" i="1"/>
  <c r="GX842" i="1"/>
  <c r="GX818" i="1"/>
  <c r="GX820" i="1" s="1"/>
  <c r="GX832" i="1"/>
  <c r="GX808" i="1"/>
  <c r="GX831" i="1"/>
  <c r="GX807" i="1"/>
  <c r="GX830" i="1"/>
  <c r="GR640" i="1"/>
  <c r="GS554" i="1"/>
  <c r="GU592" i="1"/>
  <c r="FN76" i="2" s="1"/>
  <c r="GQ704" i="1"/>
  <c r="GQ679" i="1"/>
  <c r="GP692" i="1"/>
  <c r="EC41" i="198" s="1"/>
  <c r="GP690" i="1"/>
  <c r="GP691" i="1"/>
  <c r="FI51" i="2" s="1"/>
  <c r="GP783" i="1"/>
  <c r="GQ721" i="1"/>
  <c r="GQ698" i="1"/>
  <c r="GU598" i="1"/>
  <c r="FN81" i="2" s="1"/>
  <c r="GT607" i="1"/>
  <c r="FM86" i="2" s="1"/>
  <c r="GU591" i="1"/>
  <c r="GX809" i="1" l="1"/>
  <c r="FM87" i="2"/>
  <c r="ED85" i="198"/>
  <c r="FJ92" i="2"/>
  <c r="EF49" i="198"/>
  <c r="FL58" i="2"/>
  <c r="ED86" i="198"/>
  <c r="FJ93" i="2"/>
  <c r="EL25" i="198"/>
  <c r="FR30" i="2"/>
  <c r="EI521" i="198"/>
  <c r="FO528" i="2"/>
  <c r="FO82" i="2"/>
  <c r="EE28" i="198"/>
  <c r="ED95" i="198"/>
  <c r="FJ102" i="2"/>
  <c r="EF27" i="198"/>
  <c r="EF28" i="198" s="1"/>
  <c r="FL32" i="2"/>
  <c r="EH218" i="198"/>
  <c r="FN225" i="2"/>
  <c r="FN78" i="2"/>
  <c r="ED83" i="198"/>
  <c r="FJ90" i="2"/>
  <c r="ED88" i="198"/>
  <c r="FJ95" i="2"/>
  <c r="EI129" i="198"/>
  <c r="FO136" i="2"/>
  <c r="FO74" i="2"/>
  <c r="ED45" i="198"/>
  <c r="FJ54" i="2"/>
  <c r="EC40" i="198"/>
  <c r="FI50" i="2"/>
  <c r="GR642" i="1"/>
  <c r="EE34" i="198"/>
  <c r="FK44" i="2"/>
  <c r="GT552" i="1"/>
  <c r="GU552" i="1" s="1"/>
  <c r="EG24" i="198"/>
  <c r="FM29" i="2"/>
  <c r="ED44" i="198"/>
  <c r="FJ53" i="2"/>
  <c r="EI218" i="198"/>
  <c r="FO225" i="2"/>
  <c r="FO78" i="2"/>
  <c r="EH400" i="198"/>
  <c r="FN407" i="2"/>
  <c r="FN75" i="2"/>
  <c r="EI400" i="198"/>
  <c r="FO407" i="2"/>
  <c r="FO75" i="2"/>
  <c r="EK72" i="198"/>
  <c r="EK77" i="198"/>
  <c r="EK79" i="198"/>
  <c r="EK71" i="198"/>
  <c r="EK67" i="198"/>
  <c r="EK69" i="198"/>
  <c r="EK75" i="198"/>
  <c r="EK78" i="198"/>
  <c r="EK76" i="198"/>
  <c r="EK73" i="198"/>
  <c r="EK74" i="198"/>
  <c r="EK70" i="198"/>
  <c r="EK66" i="198"/>
  <c r="EE31" i="198"/>
  <c r="EE32" i="198" s="1"/>
  <c r="FK41" i="2"/>
  <c r="FK39" i="2" s="1"/>
  <c r="EH129" i="198"/>
  <c r="FN136" i="2"/>
  <c r="FN74" i="2"/>
  <c r="EH521" i="198"/>
  <c r="FN528" i="2"/>
  <c r="FN82" i="2"/>
  <c r="EM25" i="198"/>
  <c r="FS30" i="2"/>
  <c r="EH440" i="198"/>
  <c r="FN447" i="2"/>
  <c r="FN79" i="2"/>
  <c r="ED84" i="198"/>
  <c r="FJ91" i="2"/>
  <c r="EI440" i="198"/>
  <c r="FO447" i="2"/>
  <c r="FO79" i="2"/>
  <c r="FK37" i="2"/>
  <c r="FK33" i="2"/>
  <c r="GV826" i="1"/>
  <c r="GX814" i="1"/>
  <c r="GV850" i="1"/>
  <c r="GT579" i="1"/>
  <c r="GQ691" i="1"/>
  <c r="FJ51" i="2" s="1"/>
  <c r="GX838" i="1"/>
  <c r="GX844" i="1"/>
  <c r="GZ520" i="1"/>
  <c r="FS10" i="2" s="1"/>
  <c r="GX533" i="1"/>
  <c r="FQ24" i="2" s="1"/>
  <c r="GR559" i="1"/>
  <c r="GS559" i="1" s="1"/>
  <c r="GS558" i="1"/>
  <c r="GW603" i="1"/>
  <c r="FP84" i="2" s="1"/>
  <c r="GW595" i="1"/>
  <c r="GV537" i="1"/>
  <c r="GW537" i="1" s="1"/>
  <c r="GW536" i="1"/>
  <c r="GV587" i="1"/>
  <c r="GW587" i="1" s="1"/>
  <c r="GU607" i="1"/>
  <c r="FN86" i="2" s="1"/>
  <c r="GQ690" i="1"/>
  <c r="GS640" i="1"/>
  <c r="GR18" i="1"/>
  <c r="GS18" i="1" s="1"/>
  <c r="GS582" i="1"/>
  <c r="GR630" i="1"/>
  <c r="GS630" i="1" s="1"/>
  <c r="GR677" i="1"/>
  <c r="GS16" i="1"/>
  <c r="GR17" i="1"/>
  <c r="GW596" i="1"/>
  <c r="FP80" i="2" s="1"/>
  <c r="GW600" i="1"/>
  <c r="GW605" i="1"/>
  <c r="FP85" i="2" s="1"/>
  <c r="GW557" i="1"/>
  <c r="GQ566" i="1"/>
  <c r="GP583" i="1"/>
  <c r="GP626" i="1" s="1"/>
  <c r="GQ692" i="1"/>
  <c r="ED41" i="198" s="1"/>
  <c r="GX833" i="1"/>
  <c r="GU513" i="1"/>
  <c r="GT510" i="1"/>
  <c r="GS561" i="1"/>
  <c r="GS647" i="1"/>
  <c r="GR20" i="1"/>
  <c r="GR566" i="1"/>
  <c r="GR583" i="1" s="1"/>
  <c r="GW590" i="1"/>
  <c r="GW594" i="1"/>
  <c r="GW601" i="1"/>
  <c r="FP83" i="2" s="1"/>
  <c r="GV550" i="1"/>
  <c r="GV552" i="1" s="1"/>
  <c r="GV513" i="1"/>
  <c r="GW549" i="1"/>
  <c r="FP27" i="2" s="1"/>
  <c r="GU550" i="1"/>
  <c r="GT13" i="1"/>
  <c r="GY577" i="1"/>
  <c r="GZ577" i="1"/>
  <c r="GT539" i="1"/>
  <c r="GV607" i="1"/>
  <c r="FO86" i="2" s="1"/>
  <c r="GW598" i="1"/>
  <c r="FP81" i="2" s="1"/>
  <c r="GW591" i="1"/>
  <c r="GQ647" i="1"/>
  <c r="GP20" i="1"/>
  <c r="GQ20" i="1" s="1"/>
  <c r="GT554" i="1" l="1"/>
  <c r="EG27" i="198" s="1"/>
  <c r="EG28" i="198" s="1"/>
  <c r="GT560" i="1"/>
  <c r="GT561" i="1" s="1"/>
  <c r="GX826" i="1"/>
  <c r="EK80" i="198"/>
  <c r="FK42" i="2"/>
  <c r="GV539" i="1"/>
  <c r="EJ400" i="198"/>
  <c r="FP407" i="2"/>
  <c r="FP75" i="2"/>
  <c r="EJ218" i="198"/>
  <c r="FP225" i="2"/>
  <c r="FP78" i="2"/>
  <c r="EF34" i="198"/>
  <c r="FL44" i="2"/>
  <c r="EJ129" i="198"/>
  <c r="FP136" i="2"/>
  <c r="FP74" i="2"/>
  <c r="EJ521" i="198"/>
  <c r="FP528" i="2"/>
  <c r="FP82" i="2"/>
  <c r="EF31" i="198"/>
  <c r="FL41" i="2"/>
  <c r="FL39" i="2" s="1"/>
  <c r="EE36" i="198"/>
  <c r="EE37" i="198" s="1"/>
  <c r="FK46" i="2"/>
  <c r="FK47" i="2" s="1"/>
  <c r="EH24" i="198"/>
  <c r="FN29" i="2"/>
  <c r="EI24" i="198"/>
  <c r="FO29" i="2"/>
  <c r="EJ440" i="198"/>
  <c r="FP447" i="2"/>
  <c r="FP79" i="2"/>
  <c r="FL37" i="2"/>
  <c r="FL33" i="2"/>
  <c r="ED40" i="198"/>
  <c r="FJ50" i="2"/>
  <c r="FO87" i="2"/>
  <c r="GX850" i="1"/>
  <c r="GW550" i="1"/>
  <c r="GV13" i="1"/>
  <c r="GX781" i="1"/>
  <c r="GX557" i="1"/>
  <c r="GX549" i="1"/>
  <c r="FQ27" i="2" s="1"/>
  <c r="GZ533" i="1"/>
  <c r="FS24" i="2" s="1"/>
  <c r="GX536" i="1"/>
  <c r="GY533" i="1"/>
  <c r="FR24" i="2" s="1"/>
  <c r="GX602" i="1"/>
  <c r="GX605" i="1"/>
  <c r="FQ85" i="2" s="1"/>
  <c r="GX595" i="1"/>
  <c r="GX591" i="1"/>
  <c r="GX601" i="1"/>
  <c r="FQ83" i="2" s="1"/>
  <c r="GX600" i="1"/>
  <c r="GX603" i="1"/>
  <c r="FQ84" i="2" s="1"/>
  <c r="GX598" i="1"/>
  <c r="FQ81" i="2" s="1"/>
  <c r="GX594" i="1"/>
  <c r="GX596" i="1"/>
  <c r="FQ80" i="2" s="1"/>
  <c r="GX590" i="1"/>
  <c r="GX777" i="1"/>
  <c r="GU560" i="1"/>
  <c r="GW607" i="1"/>
  <c r="FP86" i="2" s="1"/>
  <c r="GT722" i="1"/>
  <c r="GT706" i="1"/>
  <c r="GT546" i="1"/>
  <c r="GU539" i="1"/>
  <c r="GV554" i="1"/>
  <c r="GV579" i="1"/>
  <c r="GV560" i="1"/>
  <c r="GW552" i="1"/>
  <c r="GU510" i="1"/>
  <c r="GT511" i="1"/>
  <c r="GU511" i="1" s="1"/>
  <c r="GR721" i="1"/>
  <c r="GR711" i="1"/>
  <c r="GR714" i="1"/>
  <c r="GR707" i="1"/>
  <c r="GR705" i="1"/>
  <c r="GR684" i="1"/>
  <c r="GR680" i="1"/>
  <c r="GR675" i="1"/>
  <c r="GS677" i="1"/>
  <c r="GR704" i="1"/>
  <c r="GR701" i="1"/>
  <c r="GS701" i="1" s="1"/>
  <c r="GR702" i="1"/>
  <c r="GR703" i="1"/>
  <c r="GR679" i="1"/>
  <c r="GS642" i="1"/>
  <c r="GV722" i="1"/>
  <c r="GV706" i="1"/>
  <c r="GW539" i="1"/>
  <c r="GV546" i="1"/>
  <c r="GU13" i="1"/>
  <c r="GT14" i="1"/>
  <c r="GS566" i="1"/>
  <c r="GR567" i="1"/>
  <c r="GS567" i="1" s="1"/>
  <c r="GX592" i="1"/>
  <c r="FQ76" i="2" s="1"/>
  <c r="GT582" i="1"/>
  <c r="GU579" i="1"/>
  <c r="GW513" i="1"/>
  <c r="GV510" i="1"/>
  <c r="GS20" i="1"/>
  <c r="GU554" i="1"/>
  <c r="GT558" i="1" l="1"/>
  <c r="GT640" i="1"/>
  <c r="FM41" i="2" s="1"/>
  <c r="FM32" i="2"/>
  <c r="FM33" i="2" s="1"/>
  <c r="EI96" i="198"/>
  <c r="FO103" i="2"/>
  <c r="EE88" i="198"/>
  <c r="FK95" i="2"/>
  <c r="EG87" i="198"/>
  <c r="FM94" i="2"/>
  <c r="EG31" i="198"/>
  <c r="EG32" i="198" s="1"/>
  <c r="EE85" i="198"/>
  <c r="FK92" i="2"/>
  <c r="EK400" i="198"/>
  <c r="FQ407" i="2"/>
  <c r="FQ75" i="2"/>
  <c r="EE83" i="198"/>
  <c r="FK90" i="2"/>
  <c r="EK521" i="198"/>
  <c r="FQ528" i="2"/>
  <c r="FQ82" i="2"/>
  <c r="EG34" i="198"/>
  <c r="FM44" i="2"/>
  <c r="EI87" i="198"/>
  <c r="FO94" i="2"/>
  <c r="EE84" i="198"/>
  <c r="FK91" i="2"/>
  <c r="EE86" i="198"/>
  <c r="FK93" i="2"/>
  <c r="EE95" i="198"/>
  <c r="FK102" i="2"/>
  <c r="EK129" i="198"/>
  <c r="FQ136" i="2"/>
  <c r="FQ74" i="2"/>
  <c r="EK440" i="198"/>
  <c r="FQ447" i="2"/>
  <c r="FQ79" i="2"/>
  <c r="EH27" i="198"/>
  <c r="EH28" i="198" s="1"/>
  <c r="FN32" i="2"/>
  <c r="FN33" i="2" s="1"/>
  <c r="EF36" i="198"/>
  <c r="FL46" i="2"/>
  <c r="EI27" i="198"/>
  <c r="EI28" i="198" s="1"/>
  <c r="FO32" i="2"/>
  <c r="EG96" i="198"/>
  <c r="FM103" i="2"/>
  <c r="EK218" i="198"/>
  <c r="FQ225" i="2"/>
  <c r="FQ78" i="2"/>
  <c r="EJ24" i="198"/>
  <c r="FP29" i="2"/>
  <c r="FO33" i="2"/>
  <c r="GW510" i="1"/>
  <c r="GV511" i="1"/>
  <c r="GW511" i="1" s="1"/>
  <c r="GZ592" i="1"/>
  <c r="FS76" i="2" s="1"/>
  <c r="GY592" i="1"/>
  <c r="FR76" i="2" s="1"/>
  <c r="GU14" i="1"/>
  <c r="GT16" i="1"/>
  <c r="GW706" i="1"/>
  <c r="GR723" i="1"/>
  <c r="GR685" i="1"/>
  <c r="GS675" i="1"/>
  <c r="GR626" i="1"/>
  <c r="GR718" i="1"/>
  <c r="GR720" i="1"/>
  <c r="GR719" i="1"/>
  <c r="GR717" i="1"/>
  <c r="GS717" i="1" s="1"/>
  <c r="GR670" i="1"/>
  <c r="GS670" i="1" s="1"/>
  <c r="GR678" i="1"/>
  <c r="GS705" i="1"/>
  <c r="GS721" i="1"/>
  <c r="GV561" i="1"/>
  <c r="GW560" i="1"/>
  <c r="GV558" i="1"/>
  <c r="GU722" i="1"/>
  <c r="GY603" i="1"/>
  <c r="FR84" i="2" s="1"/>
  <c r="GZ603" i="1"/>
  <c r="FS84" i="2" s="1"/>
  <c r="GZ595" i="1"/>
  <c r="GY595" i="1"/>
  <c r="GZ536" i="1"/>
  <c r="GX537" i="1"/>
  <c r="GY536" i="1"/>
  <c r="GX587" i="1"/>
  <c r="GT642" i="1"/>
  <c r="GU582" i="1"/>
  <c r="GT630" i="1"/>
  <c r="GU630" i="1" s="1"/>
  <c r="GV694" i="1"/>
  <c r="GV641" i="1"/>
  <c r="FO43" i="2" s="1"/>
  <c r="GW546" i="1"/>
  <c r="GV629" i="1"/>
  <c r="GW722" i="1"/>
  <c r="GS679" i="1"/>
  <c r="GR690" i="1"/>
  <c r="GR783" i="1"/>
  <c r="GR692" i="1"/>
  <c r="EE41" i="198" s="1"/>
  <c r="GR691" i="1"/>
  <c r="FK51" i="2" s="1"/>
  <c r="GS704" i="1"/>
  <c r="GS707" i="1"/>
  <c r="GW579" i="1"/>
  <c r="GV582" i="1"/>
  <c r="GT694" i="1"/>
  <c r="GU694" i="1" s="1"/>
  <c r="GT641" i="1"/>
  <c r="FM43" i="2" s="1"/>
  <c r="GU546" i="1"/>
  <c r="GT629" i="1"/>
  <c r="GU629" i="1" s="1"/>
  <c r="GU561" i="1"/>
  <c r="GZ596" i="1"/>
  <c r="FS80" i="2" s="1"/>
  <c r="GY596" i="1"/>
  <c r="FR80" i="2" s="1"/>
  <c r="GZ600" i="1"/>
  <c r="GY600" i="1"/>
  <c r="GZ605" i="1"/>
  <c r="FS85" i="2" s="1"/>
  <c r="GY605" i="1"/>
  <c r="FR85" i="2" s="1"/>
  <c r="GS703" i="1"/>
  <c r="GR681" i="1"/>
  <c r="GR695" i="1" s="1"/>
  <c r="GV640" i="1"/>
  <c r="GW554" i="1"/>
  <c r="GY594" i="1"/>
  <c r="GZ594" i="1"/>
  <c r="GZ601" i="1"/>
  <c r="FS83" i="2" s="1"/>
  <c r="GY601" i="1"/>
  <c r="FR83" i="2" s="1"/>
  <c r="GZ602" i="1"/>
  <c r="GY602" i="1"/>
  <c r="GZ549" i="1"/>
  <c r="FS27" i="2" s="1"/>
  <c r="GY549" i="1"/>
  <c r="FR27" i="2" s="1"/>
  <c r="GX513" i="1"/>
  <c r="GX550" i="1"/>
  <c r="GS702" i="1"/>
  <c r="GT677" i="1"/>
  <c r="GR708" i="1"/>
  <c r="GS684" i="1"/>
  <c r="GR686" i="1"/>
  <c r="GU706" i="1"/>
  <c r="GU558" i="1"/>
  <c r="GT559" i="1"/>
  <c r="GU559" i="1" s="1"/>
  <c r="GZ590" i="1"/>
  <c r="GY590" i="1"/>
  <c r="GY598" i="1"/>
  <c r="FR81" i="2" s="1"/>
  <c r="GX607" i="1"/>
  <c r="FQ86" i="2" s="1"/>
  <c r="GZ598" i="1"/>
  <c r="FS81" i="2" s="1"/>
  <c r="GZ591" i="1"/>
  <c r="GY591" i="1"/>
  <c r="GY557" i="1"/>
  <c r="GW13" i="1"/>
  <c r="GV14" i="1"/>
  <c r="GU640" i="1" l="1"/>
  <c r="GT18" i="1"/>
  <c r="GU18" i="1" s="1"/>
  <c r="EM521" i="198"/>
  <c r="FS528" i="2"/>
  <c r="FS82" i="2"/>
  <c r="EM400" i="198"/>
  <c r="FS407" i="2"/>
  <c r="FS75" i="2"/>
  <c r="EL129" i="198"/>
  <c r="FR136" i="2"/>
  <c r="FR74" i="2"/>
  <c r="EH87" i="198"/>
  <c r="FN94" i="2"/>
  <c r="EJ27" i="198"/>
  <c r="EJ28" i="198" s="1"/>
  <c r="FP32" i="2"/>
  <c r="EJ96" i="198"/>
  <c r="FP103" i="2"/>
  <c r="EG36" i="198"/>
  <c r="EG37" i="198" s="1"/>
  <c r="FM46" i="2"/>
  <c r="EE92" i="198"/>
  <c r="FK99" i="2"/>
  <c r="EE97" i="198"/>
  <c r="FK104" i="2"/>
  <c r="FQ87" i="2"/>
  <c r="EL400" i="198"/>
  <c r="FR407" i="2"/>
  <c r="FR75" i="2"/>
  <c r="EE89" i="198"/>
  <c r="FK96" i="2"/>
  <c r="EL218" i="198"/>
  <c r="FR225" i="2"/>
  <c r="FR78" i="2"/>
  <c r="EH34" i="198"/>
  <c r="FN44" i="2"/>
  <c r="FM47" i="2"/>
  <c r="EI31" i="198"/>
  <c r="FO41" i="2"/>
  <c r="EF88" i="198"/>
  <c r="FL95" i="2"/>
  <c r="GV764" i="1"/>
  <c r="EL440" i="198"/>
  <c r="FR447" i="2"/>
  <c r="FR79" i="2"/>
  <c r="EH96" i="198"/>
  <c r="FN103" i="2"/>
  <c r="EF95" i="198"/>
  <c r="FL102" i="2"/>
  <c r="EJ87" i="198"/>
  <c r="FP94" i="2"/>
  <c r="EH31" i="198"/>
  <c r="FN41" i="2"/>
  <c r="EF84" i="198"/>
  <c r="FL91" i="2"/>
  <c r="EI34" i="198"/>
  <c r="FO44" i="2"/>
  <c r="EE94" i="198"/>
  <c r="FK101" i="2"/>
  <c r="EM129" i="198"/>
  <c r="FS136" i="2"/>
  <c r="FS74" i="2"/>
  <c r="EF83" i="198"/>
  <c r="FL90" i="2"/>
  <c r="GX552" i="1"/>
  <c r="GY552" i="1" s="1"/>
  <c r="EK24" i="198"/>
  <c r="FQ29" i="2"/>
  <c r="EM218" i="198"/>
  <c r="FS225" i="2"/>
  <c r="FS78" i="2"/>
  <c r="EL521" i="198"/>
  <c r="FR528" i="2"/>
  <c r="FR82" i="2"/>
  <c r="EF85" i="198"/>
  <c r="FL92" i="2"/>
  <c r="EE40" i="198"/>
  <c r="FK50" i="2"/>
  <c r="EM440" i="198"/>
  <c r="FS447" i="2"/>
  <c r="FS79" i="2"/>
  <c r="EF86" i="198"/>
  <c r="FL93" i="2"/>
  <c r="EE93" i="198"/>
  <c r="FK100" i="2"/>
  <c r="FP33" i="2"/>
  <c r="EI32" i="198"/>
  <c r="FM42" i="2"/>
  <c r="GS708" i="1"/>
  <c r="GZ513" i="1"/>
  <c r="GY513" i="1"/>
  <c r="GX510" i="1"/>
  <c r="GT922" i="1"/>
  <c r="GU641" i="1"/>
  <c r="FN43" i="2" s="1"/>
  <c r="GT644" i="1"/>
  <c r="FM36" i="2" s="1"/>
  <c r="FM37" i="2" s="1"/>
  <c r="GT612" i="1"/>
  <c r="GS692" i="1"/>
  <c r="EF41" i="198" s="1"/>
  <c r="GS678" i="1"/>
  <c r="GR693" i="1"/>
  <c r="EE42" i="198" s="1"/>
  <c r="GS720" i="1"/>
  <c r="GT17" i="1"/>
  <c r="GU16" i="1"/>
  <c r="GT711" i="1"/>
  <c r="GT721" i="1"/>
  <c r="GT714" i="1"/>
  <c r="GT707" i="1"/>
  <c r="GT705" i="1"/>
  <c r="GT684" i="1"/>
  <c r="GV677" i="1"/>
  <c r="GU677" i="1"/>
  <c r="GT680" i="1"/>
  <c r="GT675" i="1"/>
  <c r="GT703" i="1"/>
  <c r="GT704" i="1"/>
  <c r="GT701" i="1"/>
  <c r="GU701" i="1" s="1"/>
  <c r="GT702" i="1"/>
  <c r="GT679" i="1"/>
  <c r="GV642" i="1"/>
  <c r="GW582" i="1"/>
  <c r="GV630" i="1"/>
  <c r="GW630" i="1" s="1"/>
  <c r="GV922" i="1"/>
  <c r="GV644" i="1"/>
  <c r="FO36" i="2" s="1"/>
  <c r="FO37" i="2" s="1"/>
  <c r="GW641" i="1"/>
  <c r="FP43" i="2" s="1"/>
  <c r="GV612" i="1"/>
  <c r="GZ537" i="1"/>
  <c r="GY537" i="1"/>
  <c r="GW561" i="1"/>
  <c r="GS718" i="1"/>
  <c r="GR687" i="1"/>
  <c r="GS687" i="1" s="1"/>
  <c r="GS685" i="1"/>
  <c r="GZ607" i="1"/>
  <c r="FS86" i="2" s="1"/>
  <c r="GY607" i="1"/>
  <c r="FR86" i="2" s="1"/>
  <c r="GS686" i="1"/>
  <c r="GR697" i="1"/>
  <c r="GR698" i="1"/>
  <c r="GW640" i="1"/>
  <c r="GV18" i="1"/>
  <c r="GW18" i="1" s="1"/>
  <c r="GS690" i="1"/>
  <c r="GS723" i="1"/>
  <c r="GV16" i="1"/>
  <c r="GW14" i="1"/>
  <c r="GZ550" i="1"/>
  <c r="GY550" i="1"/>
  <c r="GX13" i="1"/>
  <c r="GT764" i="1"/>
  <c r="GS691" i="1"/>
  <c r="FL51" i="2" s="1"/>
  <c r="GW629" i="1"/>
  <c r="GW694" i="1"/>
  <c r="GU642" i="1"/>
  <c r="GZ587" i="1"/>
  <c r="GY587" i="1"/>
  <c r="GX539" i="1"/>
  <c r="GV559" i="1"/>
  <c r="GW559" i="1" s="1"/>
  <c r="GW558" i="1"/>
  <c r="GS719" i="1"/>
  <c r="GZ552" i="1" l="1"/>
  <c r="GX579" i="1"/>
  <c r="GX582" i="1" s="1"/>
  <c r="GX554" i="1"/>
  <c r="FQ32" i="2" s="1"/>
  <c r="FQ33" i="2" s="1"/>
  <c r="FM39" i="2"/>
  <c r="GX560" i="1"/>
  <c r="GX561" i="1" s="1"/>
  <c r="EI49" i="198"/>
  <c r="FO58" i="2"/>
  <c r="EF94" i="198"/>
  <c r="FL101" i="2"/>
  <c r="EF93" i="198"/>
  <c r="FL100" i="2"/>
  <c r="EL24" i="198"/>
  <c r="FR29" i="2"/>
  <c r="EJ34" i="198"/>
  <c r="FP44" i="2"/>
  <c r="EG86" i="198"/>
  <c r="FM93" i="2"/>
  <c r="EJ31" i="198"/>
  <c r="FP41" i="2"/>
  <c r="EF92" i="198"/>
  <c r="FL99" i="2"/>
  <c r="EG83" i="198"/>
  <c r="FM90" i="2"/>
  <c r="EF97" i="198"/>
  <c r="FL104" i="2"/>
  <c r="EE45" i="198"/>
  <c r="FK54" i="2"/>
  <c r="EM24" i="198"/>
  <c r="FS29" i="2"/>
  <c r="EF40" i="198"/>
  <c r="FL50" i="2"/>
  <c r="EE44" i="198"/>
  <c r="FK53" i="2"/>
  <c r="EI36" i="198"/>
  <c r="EI37" i="198" s="1"/>
  <c r="FO46" i="2"/>
  <c r="FO47" i="2" s="1"/>
  <c r="EG85" i="198"/>
  <c r="FM92" i="2"/>
  <c r="EG88" i="198"/>
  <c r="FM95" i="2"/>
  <c r="FO39" i="2"/>
  <c r="EG95" i="198"/>
  <c r="FM102" i="2"/>
  <c r="EG49" i="198"/>
  <c r="FM58" i="2"/>
  <c r="EH36" i="198"/>
  <c r="FN46" i="2"/>
  <c r="EG84" i="198"/>
  <c r="FM91" i="2"/>
  <c r="EF89" i="198"/>
  <c r="FL96" i="2"/>
  <c r="FO42" i="2"/>
  <c r="GZ13" i="1"/>
  <c r="GY13" i="1"/>
  <c r="GX14" i="1"/>
  <c r="GU679" i="1"/>
  <c r="GT692" i="1"/>
  <c r="EG41" i="198" s="1"/>
  <c r="GT690" i="1"/>
  <c r="GT691" i="1"/>
  <c r="FM51" i="2" s="1"/>
  <c r="GT783" i="1"/>
  <c r="GU703" i="1"/>
  <c r="GU707" i="1"/>
  <c r="GT782" i="1"/>
  <c r="GT647" i="1"/>
  <c r="GU644" i="1"/>
  <c r="FN36" i="2" s="1"/>
  <c r="GT19" i="1"/>
  <c r="GU19" i="1" s="1"/>
  <c r="GZ510" i="1"/>
  <c r="GY510" i="1"/>
  <c r="GX511" i="1"/>
  <c r="GX722" i="1"/>
  <c r="GX706" i="1"/>
  <c r="GX546" i="1"/>
  <c r="GZ539" i="1"/>
  <c r="GY539" i="1"/>
  <c r="GW612" i="1"/>
  <c r="GU702" i="1"/>
  <c r="GT723" i="1"/>
  <c r="GT685" i="1"/>
  <c r="GU675" i="1"/>
  <c r="GT717" i="1"/>
  <c r="GU717" i="1" s="1"/>
  <c r="GT670" i="1"/>
  <c r="GU670" i="1" s="1"/>
  <c r="GT718" i="1"/>
  <c r="GT719" i="1"/>
  <c r="GT720" i="1"/>
  <c r="GT678" i="1"/>
  <c r="GV721" i="1"/>
  <c r="GV711" i="1"/>
  <c r="GV714" i="1"/>
  <c r="GV707" i="1"/>
  <c r="GV705" i="1"/>
  <c r="GV684" i="1"/>
  <c r="GV680" i="1"/>
  <c r="GV681" i="1" s="1"/>
  <c r="GV675" i="1"/>
  <c r="GW677" i="1"/>
  <c r="GV702" i="1"/>
  <c r="GV703" i="1"/>
  <c r="GV704" i="1"/>
  <c r="GV701" i="1"/>
  <c r="GW701" i="1" s="1"/>
  <c r="GS693" i="1"/>
  <c r="EF42" i="198" s="1"/>
  <c r="GW16" i="1"/>
  <c r="GV17" i="1"/>
  <c r="GS698" i="1"/>
  <c r="GW642" i="1"/>
  <c r="GV679" i="1"/>
  <c r="GT708" i="1"/>
  <c r="GT686" i="1"/>
  <c r="GU684" i="1"/>
  <c r="GU721" i="1"/>
  <c r="GS697" i="1"/>
  <c r="GV782" i="1"/>
  <c r="GW644" i="1"/>
  <c r="FP36" i="2" s="1"/>
  <c r="FP37" i="2" s="1"/>
  <c r="GV647" i="1"/>
  <c r="GV19" i="1"/>
  <c r="GU704" i="1"/>
  <c r="GT681" i="1"/>
  <c r="GT695" i="1" s="1"/>
  <c r="GU705" i="1"/>
  <c r="GU612" i="1"/>
  <c r="GZ554" i="1"/>
  <c r="GX640" i="1" l="1"/>
  <c r="EK31" i="198" s="1"/>
  <c r="GY554" i="1"/>
  <c r="FR32" i="2" s="1"/>
  <c r="FR33" i="2" s="1"/>
  <c r="EK27" i="198"/>
  <c r="EK28" i="198" s="1"/>
  <c r="GZ579" i="1"/>
  <c r="GY579" i="1"/>
  <c r="GX558" i="1"/>
  <c r="GY560" i="1"/>
  <c r="GW19" i="1"/>
  <c r="EM27" i="198"/>
  <c r="FS32" i="2"/>
  <c r="FS33" i="2" s="1"/>
  <c r="EG93" i="198"/>
  <c r="FM100" i="2"/>
  <c r="EJ49" i="198"/>
  <c r="FP58" i="2"/>
  <c r="EK34" i="198"/>
  <c r="FQ44" i="2"/>
  <c r="EH85" i="198"/>
  <c r="FN92" i="2"/>
  <c r="EI85" i="198"/>
  <c r="FO92" i="2"/>
  <c r="EI88" i="198"/>
  <c r="FO95" i="2"/>
  <c r="EG97" i="198"/>
  <c r="FM104" i="2"/>
  <c r="FN39" i="2"/>
  <c r="FN37" i="2"/>
  <c r="EH84" i="198"/>
  <c r="FN91" i="2"/>
  <c r="FP39" i="2"/>
  <c r="EH49" i="198"/>
  <c r="FN58" i="2"/>
  <c r="EF45" i="198"/>
  <c r="FL54" i="2"/>
  <c r="EL27" i="198"/>
  <c r="EL28" i="198" s="1"/>
  <c r="EH86" i="198"/>
  <c r="FN93" i="2"/>
  <c r="EF44" i="198"/>
  <c r="FL53" i="2"/>
  <c r="EG89" i="198"/>
  <c r="FM96" i="2"/>
  <c r="EI84" i="198"/>
  <c r="FO91" i="2"/>
  <c r="EG94" i="198"/>
  <c r="FM101" i="2"/>
  <c r="EH83" i="198"/>
  <c r="FN90" i="2"/>
  <c r="EH95" i="198"/>
  <c r="FN102" i="2"/>
  <c r="EI83" i="198"/>
  <c r="FO90" i="2"/>
  <c r="EK87" i="198"/>
  <c r="FQ94" i="2"/>
  <c r="EJ36" i="198"/>
  <c r="FP46" i="2"/>
  <c r="EI86" i="198"/>
  <c r="FO93" i="2"/>
  <c r="EI95" i="198"/>
  <c r="FO102" i="2"/>
  <c r="EG92" i="198"/>
  <c r="FM99" i="2"/>
  <c r="EK96" i="198"/>
  <c r="FQ103" i="2"/>
  <c r="EH88" i="198"/>
  <c r="FN95" i="2"/>
  <c r="EG40" i="198"/>
  <c r="FM50" i="2"/>
  <c r="GX642" i="1"/>
  <c r="GY582" i="1"/>
  <c r="GZ582" i="1"/>
  <c r="GX630" i="1"/>
  <c r="GW647" i="1"/>
  <c r="GV20" i="1"/>
  <c r="GV566" i="1"/>
  <c r="GZ561" i="1"/>
  <c r="GY561" i="1"/>
  <c r="GW704" i="1"/>
  <c r="GX677" i="1"/>
  <c r="GV708" i="1"/>
  <c r="GW684" i="1"/>
  <c r="GV686" i="1"/>
  <c r="GU719" i="1"/>
  <c r="GU723" i="1"/>
  <c r="GZ706" i="1"/>
  <c r="GY706" i="1"/>
  <c r="GY511" i="1"/>
  <c r="GZ511" i="1"/>
  <c r="GU686" i="1"/>
  <c r="GT697" i="1"/>
  <c r="GT698" i="1"/>
  <c r="GW703" i="1"/>
  <c r="GV723" i="1"/>
  <c r="GV685" i="1"/>
  <c r="GW675" i="1"/>
  <c r="GV718" i="1"/>
  <c r="GV720" i="1"/>
  <c r="GV719" i="1"/>
  <c r="GV717" i="1"/>
  <c r="GW717" i="1" s="1"/>
  <c r="GV670" i="1"/>
  <c r="GW670" i="1" s="1"/>
  <c r="GW705" i="1"/>
  <c r="GW721" i="1"/>
  <c r="GU718" i="1"/>
  <c r="GZ722" i="1"/>
  <c r="GY722" i="1"/>
  <c r="GU691" i="1"/>
  <c r="FN51" i="2" s="1"/>
  <c r="GX16" i="1"/>
  <c r="GZ14" i="1"/>
  <c r="GY14" i="1"/>
  <c r="GU708" i="1"/>
  <c r="GY558" i="1"/>
  <c r="GX559" i="1"/>
  <c r="GY559" i="1" s="1"/>
  <c r="GW702" i="1"/>
  <c r="GW707" i="1"/>
  <c r="GU678" i="1"/>
  <c r="GT693" i="1"/>
  <c r="EG42" i="198" s="1"/>
  <c r="GV678" i="1"/>
  <c r="GX694" i="1"/>
  <c r="GY694" i="1" s="1"/>
  <c r="GX641" i="1"/>
  <c r="FQ43" i="2" s="1"/>
  <c r="GY546" i="1"/>
  <c r="GZ546" i="1"/>
  <c r="GX629" i="1"/>
  <c r="GU647" i="1"/>
  <c r="GT20" i="1"/>
  <c r="GU20" i="1" s="1"/>
  <c r="GT566" i="1"/>
  <c r="GU690" i="1"/>
  <c r="GW679" i="1"/>
  <c r="GV692" i="1"/>
  <c r="EI41" i="198" s="1"/>
  <c r="GV690" i="1"/>
  <c r="GV783" i="1"/>
  <c r="GV695" i="1"/>
  <c r="GV691" i="1"/>
  <c r="FO51" i="2" s="1"/>
  <c r="GU720" i="1"/>
  <c r="GU685" i="1"/>
  <c r="GT687" i="1"/>
  <c r="GU687" i="1" s="1"/>
  <c r="GU692" i="1"/>
  <c r="EH41" i="198" s="1"/>
  <c r="GX18" i="1" l="1"/>
  <c r="GY18" i="1" s="1"/>
  <c r="GY640" i="1"/>
  <c r="EL31" i="198" s="1"/>
  <c r="GZ640" i="1"/>
  <c r="FS41" i="2" s="1"/>
  <c r="FQ41" i="2"/>
  <c r="FQ42" i="2" s="1"/>
  <c r="EK32" i="198"/>
  <c r="GX764" i="1"/>
  <c r="EH94" i="198"/>
  <c r="FN101" i="2"/>
  <c r="EH89" i="198"/>
  <c r="FN96" i="2"/>
  <c r="EL87" i="198"/>
  <c r="FR94" i="2"/>
  <c r="EH40" i="198"/>
  <c r="FN50" i="2"/>
  <c r="EH92" i="198"/>
  <c r="FN99" i="2"/>
  <c r="EG45" i="198"/>
  <c r="FM54" i="2"/>
  <c r="EH93" i="198"/>
  <c r="FN100" i="2"/>
  <c r="EL34" i="198"/>
  <c r="FR44" i="2"/>
  <c r="EI40" i="198"/>
  <c r="FO50" i="2"/>
  <c r="EI93" i="198"/>
  <c r="FO100" i="2"/>
  <c r="EG44" i="198"/>
  <c r="FM53" i="2"/>
  <c r="EJ83" i="198"/>
  <c r="FP90" i="2"/>
  <c r="EL96" i="198"/>
  <c r="FR103" i="2"/>
  <c r="EJ86" i="198"/>
  <c r="FP93" i="2"/>
  <c r="EI94" i="198"/>
  <c r="FO101" i="2"/>
  <c r="EI97" i="198"/>
  <c r="FO104" i="2"/>
  <c r="EM87" i="198"/>
  <c r="FS94" i="2"/>
  <c r="EJ88" i="198"/>
  <c r="FP95" i="2"/>
  <c r="EJ95" i="198"/>
  <c r="FP102" i="2"/>
  <c r="EJ85" i="198"/>
  <c r="FP92" i="2"/>
  <c r="EK36" i="198"/>
  <c r="EK37" i="198" s="1"/>
  <c r="FQ46" i="2"/>
  <c r="FQ47" i="2" s="1"/>
  <c r="EM96" i="198"/>
  <c r="FS103" i="2"/>
  <c r="EI92" i="198"/>
  <c r="FO99" i="2"/>
  <c r="EJ84" i="198"/>
  <c r="FP91" i="2"/>
  <c r="EH97" i="198"/>
  <c r="FN104" i="2"/>
  <c r="EI89" i="198"/>
  <c r="FO96" i="2"/>
  <c r="EM34" i="198"/>
  <c r="FS44" i="2"/>
  <c r="GU566" i="1"/>
  <c r="GT567" i="1"/>
  <c r="GU567" i="1" s="1"/>
  <c r="GT583" i="1"/>
  <c r="GT626" i="1" s="1"/>
  <c r="GW691" i="1"/>
  <c r="FP51" i="2" s="1"/>
  <c r="GW692" i="1"/>
  <c r="EJ41" i="198" s="1"/>
  <c r="GZ629" i="1"/>
  <c r="GY629" i="1"/>
  <c r="GW718" i="1"/>
  <c r="GV687" i="1"/>
  <c r="GW687" i="1" s="1"/>
  <c r="GW685" i="1"/>
  <c r="GX711" i="1"/>
  <c r="GZ711" i="1" s="1"/>
  <c r="GX721" i="1"/>
  <c r="GX714" i="1"/>
  <c r="GZ714" i="1" s="1"/>
  <c r="GX707" i="1"/>
  <c r="GX705" i="1"/>
  <c r="GX684" i="1"/>
  <c r="GZ677" i="1"/>
  <c r="GY677" i="1"/>
  <c r="GX680" i="1"/>
  <c r="GX675" i="1"/>
  <c r="GX702" i="1"/>
  <c r="GX703" i="1"/>
  <c r="GX701" i="1"/>
  <c r="GX704" i="1"/>
  <c r="GX679" i="1"/>
  <c r="GW566" i="1"/>
  <c r="GV567" i="1"/>
  <c r="GV583" i="1"/>
  <c r="GV626" i="1" s="1"/>
  <c r="GW678" i="1"/>
  <c r="GV693" i="1"/>
  <c r="EI42" i="198" s="1"/>
  <c r="GW723" i="1"/>
  <c r="GW686" i="1"/>
  <c r="GV697" i="1"/>
  <c r="GV698" i="1"/>
  <c r="GW20" i="1"/>
  <c r="GU693" i="1"/>
  <c r="EH42" i="198" s="1"/>
  <c r="GW719" i="1"/>
  <c r="GU698" i="1"/>
  <c r="GZ630" i="1"/>
  <c r="GY630" i="1"/>
  <c r="GZ642" i="1"/>
  <c r="GY642" i="1"/>
  <c r="GW690" i="1"/>
  <c r="GX922" i="1"/>
  <c r="GY641" i="1"/>
  <c r="FR43" i="2" s="1"/>
  <c r="GX644" i="1"/>
  <c r="FQ36" i="2" s="1"/>
  <c r="FQ37" i="2" s="1"/>
  <c r="GZ641" i="1"/>
  <c r="FS43" i="2" s="1"/>
  <c r="GX612" i="1"/>
  <c r="GX17" i="1"/>
  <c r="GZ16" i="1"/>
  <c r="GY16" i="1"/>
  <c r="GW720" i="1"/>
  <c r="GU697" i="1"/>
  <c r="GW708" i="1"/>
  <c r="EM31" i="198" l="1"/>
  <c r="GZ18" i="1"/>
  <c r="FR41" i="2"/>
  <c r="GW567" i="1"/>
  <c r="EJ97" i="198"/>
  <c r="FP104" i="2"/>
  <c r="EL36" i="198"/>
  <c r="FR46" i="2"/>
  <c r="EH45" i="198"/>
  <c r="FN54" i="2"/>
  <c r="EI45" i="198"/>
  <c r="FO54" i="2"/>
  <c r="EK84" i="198"/>
  <c r="FQ91" i="2"/>
  <c r="EK88" i="198"/>
  <c r="FQ95" i="2"/>
  <c r="EJ40" i="198"/>
  <c r="FP50" i="2"/>
  <c r="EK86" i="198"/>
  <c r="FQ93" i="2"/>
  <c r="EH44" i="198"/>
  <c r="FN53" i="2"/>
  <c r="EM36" i="198"/>
  <c r="FS46" i="2"/>
  <c r="EK83" i="198"/>
  <c r="FQ90" i="2"/>
  <c r="EJ89" i="198"/>
  <c r="FP96" i="2"/>
  <c r="EJ93" i="198"/>
  <c r="FP100" i="2"/>
  <c r="EI44" i="198"/>
  <c r="FO53" i="2"/>
  <c r="EJ94" i="198"/>
  <c r="FP101" i="2"/>
  <c r="EK49" i="198"/>
  <c r="FQ58" i="2"/>
  <c r="EK85" i="198"/>
  <c r="FQ92" i="2"/>
  <c r="EK95" i="198"/>
  <c r="FQ102" i="2"/>
  <c r="EJ92" i="198"/>
  <c r="FP99" i="2"/>
  <c r="FQ39" i="2"/>
  <c r="GY612" i="1"/>
  <c r="GZ612" i="1"/>
  <c r="GZ703" i="1"/>
  <c r="GY703" i="1"/>
  <c r="GY707" i="1"/>
  <c r="GZ707" i="1"/>
  <c r="GW698" i="1"/>
  <c r="GZ679" i="1"/>
  <c r="GY679" i="1"/>
  <c r="GX692" i="1"/>
  <c r="EK41" i="198" s="1"/>
  <c r="GX691" i="1"/>
  <c r="FQ51" i="2" s="1"/>
  <c r="GX783" i="1"/>
  <c r="GX695" i="1"/>
  <c r="GX690" i="1"/>
  <c r="GY702" i="1"/>
  <c r="GZ702" i="1"/>
  <c r="GX782" i="1"/>
  <c r="GX647" i="1"/>
  <c r="GZ644" i="1"/>
  <c r="FS36" i="2" s="1"/>
  <c r="FS37" i="2" s="1"/>
  <c r="GY644" i="1"/>
  <c r="FR36" i="2" s="1"/>
  <c r="GX19" i="1"/>
  <c r="GW697" i="1"/>
  <c r="GW693" i="1"/>
  <c r="EJ42" i="198" s="1"/>
  <c r="GZ704" i="1"/>
  <c r="GY704" i="1"/>
  <c r="GX723" i="1"/>
  <c r="GX685" i="1"/>
  <c r="GZ675" i="1"/>
  <c r="GY675" i="1"/>
  <c r="GX720" i="1"/>
  <c r="GX717" i="1"/>
  <c r="GX718" i="1"/>
  <c r="GX719" i="1"/>
  <c r="GX670" i="1"/>
  <c r="GX678" i="1"/>
  <c r="GX708" i="1"/>
  <c r="GX686" i="1"/>
  <c r="GZ684" i="1"/>
  <c r="GY684" i="1"/>
  <c r="GZ721" i="1"/>
  <c r="GY721" i="1"/>
  <c r="GZ701" i="1"/>
  <c r="GY701" i="1"/>
  <c r="GZ680" i="1"/>
  <c r="GX681" i="1"/>
  <c r="GZ705" i="1"/>
  <c r="GY705" i="1"/>
  <c r="EM86" i="198" l="1"/>
  <c r="FS93" i="2"/>
  <c r="EJ44" i="198"/>
  <c r="FP53" i="2"/>
  <c r="EK40" i="198"/>
  <c r="FQ50" i="2"/>
  <c r="EM88" i="198"/>
  <c r="FS95" i="2"/>
  <c r="EM49" i="198"/>
  <c r="FS58" i="2"/>
  <c r="EL95" i="198"/>
  <c r="FR102" i="2"/>
  <c r="EK93" i="198"/>
  <c r="FQ100" i="2"/>
  <c r="EL85" i="198"/>
  <c r="FR92" i="2"/>
  <c r="EL88" i="198"/>
  <c r="FR95" i="2"/>
  <c r="EL49" i="198"/>
  <c r="FR58" i="2"/>
  <c r="EK97" i="198"/>
  <c r="FQ104" i="2"/>
  <c r="EM95" i="198"/>
  <c r="FS102" i="2"/>
  <c r="EK89" i="198"/>
  <c r="FQ96" i="2"/>
  <c r="EK92" i="198"/>
  <c r="FQ99" i="2"/>
  <c r="EM85" i="198"/>
  <c r="FS92" i="2"/>
  <c r="FR39" i="2"/>
  <c r="FR37" i="2"/>
  <c r="EM83" i="198"/>
  <c r="FS90" i="2"/>
  <c r="EL84" i="198"/>
  <c r="FR91" i="2"/>
  <c r="EK94" i="198"/>
  <c r="FQ101" i="2"/>
  <c r="EL86" i="198"/>
  <c r="FR93" i="2"/>
  <c r="EL83" i="198"/>
  <c r="FR90" i="2"/>
  <c r="EJ45" i="198"/>
  <c r="FP54" i="2"/>
  <c r="EM84" i="198"/>
  <c r="FS91" i="2"/>
  <c r="FS39" i="2"/>
  <c r="GY670" i="1"/>
  <c r="GZ670" i="1"/>
  <c r="GZ720" i="1"/>
  <c r="GY720" i="1"/>
  <c r="GY685" i="1"/>
  <c r="GZ685" i="1"/>
  <c r="GX687" i="1"/>
  <c r="GZ19" i="1"/>
  <c r="GY19" i="1"/>
  <c r="GY691" i="1"/>
  <c r="FR51" i="2" s="1"/>
  <c r="GZ691" i="1"/>
  <c r="FS51" i="2" s="1"/>
  <c r="GY686" i="1"/>
  <c r="GZ686" i="1"/>
  <c r="GX697" i="1"/>
  <c r="GX698" i="1"/>
  <c r="GY719" i="1"/>
  <c r="GZ719" i="1"/>
  <c r="GY723" i="1"/>
  <c r="GZ723" i="1"/>
  <c r="GY690" i="1"/>
  <c r="GZ690" i="1"/>
  <c r="GY692" i="1"/>
  <c r="EL41" i="198" s="1"/>
  <c r="GZ692" i="1"/>
  <c r="EM41" i="198" s="1"/>
  <c r="GZ708" i="1"/>
  <c r="GY708" i="1"/>
  <c r="GZ718" i="1"/>
  <c r="GY718" i="1"/>
  <c r="GZ678" i="1"/>
  <c r="GY678" i="1"/>
  <c r="GX693" i="1"/>
  <c r="EK42" i="198" s="1"/>
  <c r="GZ717" i="1"/>
  <c r="GY717" i="1"/>
  <c r="GY647" i="1"/>
  <c r="GX20" i="1"/>
  <c r="GX566" i="1"/>
  <c r="EL92" i="198" l="1"/>
  <c r="FR99" i="2"/>
  <c r="EM92" i="198"/>
  <c r="FS99" i="2"/>
  <c r="EL97" i="198"/>
  <c r="FR104" i="2"/>
  <c r="EK44" i="198"/>
  <c r="FQ53" i="2"/>
  <c r="EL89" i="198"/>
  <c r="FR96" i="2"/>
  <c r="EM40" i="198"/>
  <c r="FS50" i="2"/>
  <c r="EM93" i="198"/>
  <c r="FS100" i="2"/>
  <c r="EM97" i="198"/>
  <c r="FS104" i="2"/>
  <c r="EK45" i="198"/>
  <c r="FQ54" i="2"/>
  <c r="EM94" i="198"/>
  <c r="FS101" i="2"/>
  <c r="EM89" i="198"/>
  <c r="FS96" i="2"/>
  <c r="EL40" i="198"/>
  <c r="FR50" i="2"/>
  <c r="EL93" i="198"/>
  <c r="FR100" i="2"/>
  <c r="EL94" i="198"/>
  <c r="FR101" i="2"/>
  <c r="GZ566" i="1"/>
  <c r="GY566" i="1"/>
  <c r="GX567" i="1"/>
  <c r="GX583" i="1"/>
  <c r="GX626" i="1" s="1"/>
  <c r="GZ20" i="1"/>
  <c r="GY20" i="1"/>
  <c r="GZ698" i="1"/>
  <c r="GY698" i="1"/>
  <c r="GZ697" i="1"/>
  <c r="GY697" i="1"/>
  <c r="GY693" i="1"/>
  <c r="EL42" i="198" s="1"/>
  <c r="GZ693" i="1"/>
  <c r="EM42" i="198" s="1"/>
  <c r="GZ687" i="1"/>
  <c r="GY687" i="1"/>
  <c r="EM44" i="198" l="1"/>
  <c r="FS53" i="2"/>
  <c r="EL44" i="198"/>
  <c r="FR53" i="2"/>
  <c r="EL45" i="198"/>
  <c r="FR54" i="2"/>
  <c r="EM45" i="198"/>
  <c r="FS54" i="2"/>
  <c r="GZ567" i="1"/>
  <c r="GY567" i="1"/>
</calcChain>
</file>

<file path=xl/comments1.xml><?xml version="1.0" encoding="utf-8"?>
<comments xmlns="http://schemas.openxmlformats.org/spreadsheetml/2006/main">
  <authors>
    <author>haybuse</author>
  </authors>
  <commentList>
    <comment ref="A1" authorId="0">
      <text>
        <r>
          <rPr>
            <b/>
            <sz val="8"/>
            <color indexed="81"/>
            <rFont val="Tahoma"/>
            <family val="2"/>
          </rPr>
          <t>卟䙄_x0001_＀＀慗䴇_x0011_灳〵灞㄁⼲ㄳ㈯〰찹_x0018_＀＀_x0018_＀＀_x0008_＀＀_x0001_＀＀_x0001_＀＀晧晦汦䂑慗䴇_x0011_灳〵灞 ⼳ㄳ㈯㄰찰_x0018_＀＀_x0018_＀＀_x0008_＀＀_x0001_＀＀_x0001_＀＀蔟凫䖸䂒慗䴇_x0006_灳〵灞_x0018_＀＀_x0018_＀＀_x0008_＀＀_x0001_＀＀_x0001_＀＀炤਽懗䂓</t>
        </r>
      </text>
    </comment>
    <comment ref="B1" authorId="0">
      <text>
        <r>
          <rPr>
            <b/>
            <sz val="8"/>
            <color indexed="81"/>
            <rFont val="Tahoma"/>
            <family val="2"/>
          </rPr>
          <t>92</t>
        </r>
      </text>
    </comment>
  </commentList>
</comments>
</file>

<file path=xl/comments2.xml><?xml version="1.0" encoding="utf-8"?>
<comments xmlns="http://schemas.openxmlformats.org/spreadsheetml/2006/main">
  <authors>
    <author>dianaz</author>
    <author>Gupta, Tanmay (Research)</author>
    <author>Huang, Bob (Research)</author>
    <author>sanclaur</author>
    <author>Laura Sanchez</author>
    <author>dallyn</author>
    <author>wongalan</author>
    <author>Alan Wong</author>
    <author>bajpais</author>
    <author>haybuse</author>
    <author>mlipton</author>
    <author>Sanchez Bolanos, Laura (Research)</author>
    <author>Zheng, Chaodan (Research)</author>
    <author>Ken Zerbe</author>
    <author>zerbeken</author>
    <author>hayleyl</author>
    <author>Zack Sanders</author>
    <author>Details</author>
    <author>zsanders</author>
    <author>Aerin Lim</author>
    <author>Zamora, Diana (Research)</author>
    <author>Caleb Piper</author>
    <author>Rojas, Isabel (Research)</author>
    <author>Amir Attaar</author>
    <author>Locker, Hayley (Research)</author>
    <author>johnoco</author>
  </authors>
  <commentList>
    <comment ref="B15" authorId="0">
      <text>
        <r>
          <rPr>
            <b/>
            <sz val="8"/>
            <color indexed="81"/>
            <rFont val="Tahoma"/>
            <family val="2"/>
          </rPr>
          <t>dianaz:</t>
        </r>
        <r>
          <rPr>
            <sz val="8"/>
            <color indexed="81"/>
            <rFont val="Tahoma"/>
            <family val="2"/>
          </rPr>
          <t xml:space="preserve">
Direct Equity 
</t>
        </r>
      </text>
    </comment>
    <comment ref="GL20" authorId="1">
      <text>
        <r>
          <rPr>
            <b/>
            <sz val="9"/>
            <color indexed="81"/>
            <rFont val="Tahoma"/>
            <family val="2"/>
          </rPr>
          <t>Gupta, Tanmay (Research):</t>
        </r>
        <r>
          <rPr>
            <sz val="9"/>
            <color indexed="81"/>
            <rFont val="Tahoma"/>
            <family val="2"/>
          </rPr>
          <t xml:space="preserve">
2016 Outlook: $9.75-$10.25</t>
        </r>
      </text>
    </comment>
    <comment ref="GN20" authorId="2">
      <text>
        <r>
          <rPr>
            <b/>
            <sz val="9"/>
            <color indexed="81"/>
            <rFont val="Tahoma"/>
            <family val="2"/>
          </rPr>
          <t>Huang, Bob (Research):</t>
        </r>
        <r>
          <rPr>
            <sz val="9"/>
            <color indexed="81"/>
            <rFont val="Tahoma"/>
            <family val="2"/>
          </rPr>
          <t xml:space="preserve">
2017 outlook: 10.15-10.65</t>
        </r>
      </text>
    </comment>
    <comment ref="GP20" authorId="1">
      <text>
        <r>
          <rPr>
            <b/>
            <sz val="9"/>
            <color indexed="81"/>
            <rFont val="Tahoma"/>
            <family val="2"/>
          </rPr>
          <t>Gupta, Tanmay (Research):</t>
        </r>
        <r>
          <rPr>
            <sz val="9"/>
            <color indexed="81"/>
            <rFont val="Tahoma"/>
            <family val="2"/>
          </rPr>
          <t xml:space="preserve">
2018 outlook: 11.20-11.70</t>
        </r>
      </text>
    </comment>
    <comment ref="B25" authorId="3">
      <text>
        <r>
          <rPr>
            <b/>
            <sz val="8"/>
            <color indexed="81"/>
            <rFont val="Tahoma"/>
            <family val="2"/>
          </rPr>
          <t>sanclaur:</t>
        </r>
        <r>
          <rPr>
            <sz val="8"/>
            <color indexed="81"/>
            <rFont val="Tahoma"/>
            <family val="2"/>
          </rPr>
          <t xml:space="preserve">
=TF(".SPX-UT","TF.PR.PricePchg(sdate=20120101,edate=20120331)")*100</t>
        </r>
      </text>
    </comment>
    <comment ref="DG80" authorId="4">
      <text>
        <r>
          <rPr>
            <b/>
            <sz val="8"/>
            <color indexed="81"/>
            <rFont val="Tahoma"/>
            <family val="2"/>
          </rPr>
          <t>Laura Sanchez:</t>
        </r>
        <r>
          <rPr>
            <sz val="8"/>
            <color indexed="81"/>
            <rFont val="Tahoma"/>
            <family val="2"/>
          </rPr>
          <t xml:space="preserve">
benefit of annual review of assumptions</t>
        </r>
      </text>
    </comment>
    <comment ref="AO93" authorId="5">
      <text>
        <r>
          <rPr>
            <b/>
            <sz val="8"/>
            <color indexed="81"/>
            <rFont val="Tahoma"/>
            <family val="2"/>
          </rPr>
          <t>dallyn:</t>
        </r>
        <r>
          <rPr>
            <sz val="8"/>
            <color indexed="81"/>
            <rFont val="Tahoma"/>
            <family val="2"/>
          </rPr>
          <t xml:space="preserve">
Includes $44 million DAC unlocking offset by $6 million in higher expenses from Skandia.  Run rate $101.</t>
        </r>
      </text>
    </comment>
    <comment ref="AQ93" authorId="6">
      <text>
        <r>
          <rPr>
            <sz val="8"/>
            <color indexed="81"/>
            <rFont val="Tahoma"/>
            <family val="2"/>
          </rPr>
          <t>$9 mil gain from prev. defaulted bond</t>
        </r>
      </text>
    </comment>
    <comment ref="AS93" authorId="7">
      <text>
        <r>
          <rPr>
            <sz val="8"/>
            <color indexed="81"/>
            <rFont val="Tahoma"/>
            <family val="2"/>
          </rPr>
          <t>Run rate $95MM.
Includes $6MM reserve release for GMIB</t>
        </r>
      </text>
    </comment>
    <comment ref="AU93" authorId="7">
      <text>
        <r>
          <rPr>
            <sz val="8"/>
            <color indexed="81"/>
            <rFont val="Tahoma"/>
            <family val="2"/>
          </rPr>
          <t>Includes $57M PT of DAC and GMDB unlocking, run rate $104M.</t>
        </r>
      </text>
    </comment>
    <comment ref="BC96" authorId="7">
      <text>
        <r>
          <rPr>
            <sz val="8"/>
            <color indexed="81"/>
            <rFont val="Tahoma"/>
            <family val="2"/>
          </rPr>
          <t>+$33M DAC Unlocking</t>
        </r>
      </text>
    </comment>
    <comment ref="BK96" authorId="8">
      <text>
        <r>
          <rPr>
            <b/>
            <sz val="8"/>
            <color indexed="81"/>
            <rFont val="Tahoma"/>
            <family val="2"/>
          </rPr>
          <t>$30 million DAC benefit</t>
        </r>
      </text>
    </comment>
    <comment ref="BW96" authorId="9">
      <text>
        <r>
          <rPr>
            <b/>
            <sz val="8"/>
            <color indexed="81"/>
            <rFont val="Tahoma"/>
            <family val="2"/>
          </rPr>
          <t>haybuse:</t>
        </r>
        <r>
          <rPr>
            <sz val="8"/>
            <color indexed="81"/>
            <rFont val="Tahoma"/>
            <family val="2"/>
          </rPr>
          <t xml:space="preserve">
Inc DAC: -32
Fav Hedge Break: +261
GMDB/IB reserve: -215</t>
        </r>
      </text>
    </comment>
    <comment ref="BY96" authorId="9">
      <text>
        <r>
          <rPr>
            <b/>
            <sz val="8"/>
            <color indexed="81"/>
            <rFont val="Tahoma"/>
            <family val="2"/>
          </rPr>
          <t>haybuse:</t>
        </r>
        <r>
          <rPr>
            <sz val="8"/>
            <color indexed="81"/>
            <rFont val="Tahoma"/>
            <family val="2"/>
          </rPr>
          <t xml:space="preserve">
fav DAC adj: 142
GMDB/IB resreve reduction: 274
NPR chrg -112
hedge mrks+57</t>
        </r>
      </text>
    </comment>
    <comment ref="CA96" authorId="9">
      <text>
        <r>
          <rPr>
            <b/>
            <sz val="8"/>
            <color indexed="81"/>
            <rFont val="Tahoma"/>
            <family val="2"/>
          </rPr>
          <t>haybuse:</t>
        </r>
        <r>
          <rPr>
            <sz val="8"/>
            <color indexed="81"/>
            <rFont val="Tahoma"/>
            <family val="2"/>
          </rPr>
          <t xml:space="preserve">
Mtm on capital hedge: -140
GMDB reserve: 180
DAC unlick: 260</t>
        </r>
      </text>
    </comment>
    <comment ref="CC96" authorId="9">
      <text>
        <r>
          <rPr>
            <b/>
            <sz val="8"/>
            <color indexed="81"/>
            <rFont val="Tahoma"/>
            <family val="2"/>
          </rPr>
          <t>haybuse:</t>
        </r>
        <r>
          <rPr>
            <sz val="8"/>
            <color indexed="81"/>
            <rFont val="Tahoma"/>
            <family val="2"/>
          </rPr>
          <t xml:space="preserve">
DAC Unlock: 32
GMDB Reserves: 47
Embedded Derivative: -71
MtM hedge asset: -38</t>
        </r>
      </text>
    </comment>
    <comment ref="CE96" authorId="9">
      <text>
        <r>
          <rPr>
            <b/>
            <sz val="8"/>
            <color indexed="81"/>
            <rFont val="Tahoma"/>
            <family val="2"/>
          </rPr>
          <t>haybuse:</t>
        </r>
        <r>
          <rPr>
            <sz val="8"/>
            <color indexed="81"/>
            <rFont val="Tahoma"/>
            <family val="2"/>
          </rPr>
          <t xml:space="preserve">
DAC Unlock: 21
GMDB Unlock: 53
Reinsurance contract gain: 25</t>
        </r>
      </text>
    </comment>
    <comment ref="CG96" authorId="9">
      <text>
        <r>
          <rPr>
            <b/>
            <sz val="8"/>
            <color indexed="81"/>
            <rFont val="Tahoma"/>
            <family val="2"/>
          </rPr>
          <t>haybuse:</t>
        </r>
        <r>
          <rPr>
            <sz val="8"/>
            <color indexed="81"/>
            <rFont val="Tahoma"/>
            <family val="2"/>
          </rPr>
          <t xml:space="preserve">
DAC Unlock: -88
GMDB Reserves: -196
Embedded Derivative: +32
NPR: +385</t>
        </r>
      </text>
    </comment>
    <comment ref="CI96" authorId="10">
      <text>
        <r>
          <rPr>
            <b/>
            <sz val="8"/>
            <color indexed="81"/>
            <rFont val="Tahoma"/>
            <family val="2"/>
          </rPr>
          <t>mlipton:</t>
        </r>
        <r>
          <rPr>
            <sz val="8"/>
            <color indexed="81"/>
            <rFont val="Tahoma"/>
            <family val="2"/>
          </rPr>
          <t xml:space="preserve">
$245M DAC release
$167M Release reserve for GWIB and GWDB</t>
        </r>
      </text>
    </comment>
    <comment ref="CK96" authorId="10">
      <text>
        <r>
          <rPr>
            <b/>
            <sz val="8"/>
            <color indexed="81"/>
            <rFont val="Tahoma"/>
            <family val="2"/>
          </rPr>
          <t>mlipton:</t>
        </r>
        <r>
          <rPr>
            <sz val="8"/>
            <color indexed="81"/>
            <rFont val="Tahoma"/>
            <family val="2"/>
          </rPr>
          <t xml:space="preserve">
$46M DAC release
$100M Release reserve for GWIB and GWDB</t>
        </r>
      </text>
    </comment>
    <comment ref="CM96" authorId="10">
      <text>
        <r>
          <rPr>
            <b/>
            <sz val="8"/>
            <color indexed="81"/>
            <rFont val="Tahoma"/>
            <family val="2"/>
          </rPr>
          <t>mlipton:</t>
        </r>
        <r>
          <rPr>
            <sz val="8"/>
            <color indexed="81"/>
            <rFont val="Tahoma"/>
            <family val="2"/>
          </rPr>
          <t xml:space="preserve">
$19M DAC release
$40M Release reserve for GMDb</t>
        </r>
      </text>
    </comment>
    <comment ref="CO96" authorId="9">
      <text>
        <r>
          <rPr>
            <b/>
            <sz val="8"/>
            <color indexed="81"/>
            <rFont val="Tahoma"/>
            <family val="2"/>
          </rPr>
          <t>haybuse:</t>
        </r>
        <r>
          <rPr>
            <sz val="8"/>
            <color indexed="81"/>
            <rFont val="Tahoma"/>
            <family val="2"/>
          </rPr>
          <t xml:space="preserve">
DAC: -16
GMDB/IB: -20</t>
        </r>
      </text>
    </comment>
    <comment ref="CQ96" authorId="4">
      <text>
        <r>
          <rPr>
            <b/>
            <sz val="8"/>
            <color indexed="81"/>
            <rFont val="Tahoma"/>
            <family val="2"/>
          </rPr>
          <t>Laura Sanchez:</t>
        </r>
        <r>
          <rPr>
            <sz val="8"/>
            <color indexed="81"/>
            <rFont val="Tahoma"/>
            <family val="2"/>
          </rPr>
          <t xml:space="preserve">
Restated w 3Q12 ER
Impact of mkt performance: -421</t>
        </r>
      </text>
    </comment>
    <comment ref="CS96" authorId="9">
      <text>
        <r>
          <rPr>
            <b/>
            <sz val="8"/>
            <color indexed="81"/>
            <rFont val="Tahoma"/>
            <family val="2"/>
          </rPr>
          <t>haybuse:</t>
        </r>
        <r>
          <rPr>
            <sz val="8"/>
            <color indexed="81"/>
            <rFont val="Tahoma"/>
            <family val="2"/>
          </rPr>
          <t xml:space="preserve">
restated in 4Q12
DAC: 59
GMDB/IB: 121</t>
        </r>
      </text>
    </comment>
    <comment ref="CU96" authorId="3">
      <text>
        <r>
          <rPr>
            <b/>
            <sz val="8"/>
            <color indexed="81"/>
            <rFont val="Tahoma"/>
            <family val="2"/>
          </rPr>
          <t>sanclaur:</t>
        </r>
        <r>
          <rPr>
            <sz val="8"/>
            <color indexed="81"/>
            <rFont val="Tahoma"/>
            <family val="2"/>
          </rPr>
          <t xml:space="preserve">
Reduction in reserves: $136mn
DAC: $60mn</t>
        </r>
      </text>
    </comment>
    <comment ref="CW96" authorId="3">
      <text>
        <r>
          <rPr>
            <b/>
            <sz val="8"/>
            <color indexed="81"/>
            <rFont val="Tahoma"/>
            <family val="2"/>
          </rPr>
          <t>sanclaur:</t>
        </r>
        <r>
          <rPr>
            <sz val="8"/>
            <color indexed="81"/>
            <rFont val="Tahoma"/>
            <family val="2"/>
          </rPr>
          <t xml:space="preserve">
Reserve charge: -90
DAC: -34</t>
        </r>
      </text>
    </comment>
    <comment ref="CY96" authorId="3">
      <text>
        <r>
          <rPr>
            <b/>
            <sz val="8"/>
            <color indexed="81"/>
            <rFont val="Tahoma"/>
            <family val="2"/>
          </rPr>
          <t>sanclaur:</t>
        </r>
        <r>
          <rPr>
            <sz val="8"/>
            <color indexed="81"/>
            <rFont val="Tahoma"/>
            <family val="2"/>
          </rPr>
          <t xml:space="preserve">
Annual review assumptions: -106
Mkt performance: +58</t>
        </r>
      </text>
    </comment>
    <comment ref="DA96" authorId="4">
      <text>
        <r>
          <rPr>
            <b/>
            <sz val="8"/>
            <color indexed="81"/>
            <rFont val="Tahoma"/>
            <family val="2"/>
          </rPr>
          <t>Laura Sanchez:</t>
        </r>
        <r>
          <rPr>
            <sz val="8"/>
            <color indexed="81"/>
            <rFont val="Tahoma"/>
            <family val="2"/>
          </rPr>
          <t xml:space="preserve">
+57mn: change in reserves
-9mn: impairment on a review of recoverability
-17mn: start-up costs</t>
        </r>
      </text>
    </comment>
    <comment ref="DC96" authorId="4">
      <text>
        <r>
          <rPr>
            <b/>
            <sz val="8"/>
            <color indexed="81"/>
            <rFont val="Tahoma"/>
            <family val="2"/>
          </rPr>
          <t>Laura Sanchez:</t>
        </r>
        <r>
          <rPr>
            <sz val="8"/>
            <color indexed="81"/>
            <rFont val="Tahoma"/>
            <family val="2"/>
          </rPr>
          <t xml:space="preserve">
reduction in reserves</t>
        </r>
      </text>
    </comment>
    <comment ref="DE96" authorId="4">
      <text>
        <r>
          <rPr>
            <b/>
            <sz val="8"/>
            <color indexed="81"/>
            <rFont val="Tahoma"/>
            <family val="2"/>
          </rPr>
          <t>Laura Sanchez:</t>
        </r>
        <r>
          <rPr>
            <sz val="8"/>
            <color indexed="81"/>
            <rFont val="Tahoma"/>
            <family val="2"/>
          </rPr>
          <t xml:space="preserve">
lower DAC amortization, other costs and release of reserves</t>
        </r>
      </text>
    </comment>
    <comment ref="DG96" authorId="4">
      <text>
        <r>
          <rPr>
            <b/>
            <sz val="8"/>
            <color indexed="81"/>
            <rFont val="Tahoma"/>
            <family val="2"/>
          </rPr>
          <t>Laura Sanchez:</t>
        </r>
        <r>
          <rPr>
            <sz val="8"/>
            <color indexed="81"/>
            <rFont val="Tahoma"/>
            <family val="2"/>
          </rPr>
          <t xml:space="preserve">
+301 annual review of assumptions
+150 mkt performance</t>
        </r>
      </text>
    </comment>
    <comment ref="DI96" authorId="4">
      <text>
        <r>
          <rPr>
            <b/>
            <sz val="8"/>
            <color indexed="81"/>
            <rFont val="Tahoma"/>
            <family val="2"/>
          </rPr>
          <t>Laura Sanchez:</t>
        </r>
        <r>
          <rPr>
            <sz val="8"/>
            <color indexed="81"/>
            <rFont val="Tahoma"/>
            <family val="2"/>
          </rPr>
          <t xml:space="preserve">
mkt performance</t>
        </r>
      </text>
    </comment>
    <comment ref="DK96" authorId="4">
      <text>
        <r>
          <rPr>
            <b/>
            <sz val="8"/>
            <color indexed="81"/>
            <rFont val="Tahoma"/>
            <family val="2"/>
          </rPr>
          <t>Laura Sanchez:</t>
        </r>
        <r>
          <rPr>
            <sz val="8"/>
            <color indexed="81"/>
            <rFont val="Tahoma"/>
            <family val="2"/>
          </rPr>
          <t xml:space="preserve">
updated estimate of profitability driven by mkt perf</t>
        </r>
      </text>
    </comment>
    <comment ref="DM96" authorId="11">
      <text>
        <r>
          <rPr>
            <b/>
            <sz val="9"/>
            <color indexed="81"/>
            <rFont val="Tahoma"/>
            <family val="2"/>
          </rPr>
          <t>Sanchez Bolanos, Laura (Research):</t>
        </r>
        <r>
          <rPr>
            <sz val="9"/>
            <color indexed="81"/>
            <rFont val="Tahoma"/>
            <family val="2"/>
          </rPr>
          <t xml:space="preserve">
strengthening of reserves for guaranteed
death and income benefits and adjustment of amortization of deferred policy acquisition and other costs reflecting market performance</t>
        </r>
      </text>
    </comment>
    <comment ref="DO96" authorId="11">
      <text>
        <r>
          <rPr>
            <b/>
            <sz val="9"/>
            <color indexed="81"/>
            <rFont val="Tahoma"/>
            <family val="2"/>
          </rPr>
          <t>Sanchez Bolanos, Laura (Research):</t>
        </r>
        <r>
          <rPr>
            <sz val="9"/>
            <color indexed="81"/>
            <rFont val="Tahoma"/>
            <family val="2"/>
          </rPr>
          <t xml:space="preserve">
-50m: strengthening of reserves for guaranteed death and income benefits and adjustment of amortization of DAC reflecting market performance
+14m: annual review of assumptions</t>
        </r>
      </text>
    </comment>
    <comment ref="DQ96" authorId="11">
      <text>
        <r>
          <rPr>
            <b/>
            <sz val="9"/>
            <color indexed="81"/>
            <rFont val="Tahoma"/>
            <family val="2"/>
          </rPr>
          <t>Sanchez Bolanos, Laura (Research):</t>
        </r>
        <r>
          <rPr>
            <sz val="9"/>
            <color indexed="81"/>
            <rFont val="Tahoma"/>
            <family val="2"/>
          </rPr>
          <t xml:space="preserve">
-68M due to updated estimate of profitability based on market performance</t>
        </r>
      </text>
    </comment>
    <comment ref="DS96" authorId="11">
      <text>
        <r>
          <rPr>
            <b/>
            <sz val="9"/>
            <color indexed="81"/>
            <rFont val="Tahoma"/>
            <family val="2"/>
          </rPr>
          <t>Sanchez Bolanos, Laura (Research):</t>
        </r>
        <r>
          <rPr>
            <sz val="9"/>
            <color indexed="81"/>
            <rFont val="Tahoma"/>
            <family val="2"/>
          </rPr>
          <t xml:space="preserve">
+106M: reduced amortization of deferred policy acquisition and other costs and release of reserves for guaranteed death and income benefits, reflecting market performance</t>
        </r>
      </text>
    </comment>
    <comment ref="DU96" authorId="11">
      <text>
        <r>
          <rPr>
            <b/>
            <sz val="9"/>
            <color indexed="81"/>
            <rFont val="Tahoma"/>
            <family val="2"/>
          </rPr>
          <t>Gupta, Tanmay (Research):</t>
        </r>
        <r>
          <rPr>
            <sz val="9"/>
            <color indexed="81"/>
            <rFont val="Tahoma"/>
            <family val="2"/>
          </rPr>
          <t xml:space="preserve">
- actuarial review - $31mn
- DAC unlock - $94mn</t>
        </r>
      </text>
    </comment>
    <comment ref="DW96" authorId="12">
      <text>
        <r>
          <rPr>
            <b/>
            <sz val="9"/>
            <color indexed="81"/>
            <rFont val="Tahoma"/>
            <family val="2"/>
          </rPr>
          <t>Zheng, Chaodan (Research):</t>
        </r>
        <r>
          <rPr>
            <sz val="9"/>
            <color indexed="81"/>
            <rFont val="Tahoma"/>
            <family val="2"/>
          </rPr>
          <t xml:space="preserve">
-104mn impact of mkt performance on reserves
+20mn in reserve refinement
</t>
        </r>
      </text>
    </comment>
    <comment ref="DY96" authorId="1">
      <text>
        <r>
          <rPr>
            <b/>
            <sz val="9"/>
            <color indexed="81"/>
            <rFont val="Tahoma"/>
            <family val="2"/>
          </rPr>
          <t>Gupta, Tanmay (Research):</t>
        </r>
        <r>
          <rPr>
            <sz val="9"/>
            <color indexed="81"/>
            <rFont val="Tahoma"/>
            <family val="2"/>
          </rPr>
          <t xml:space="preserve">
Impact of reserves for GMDB/GMIB + DAC</t>
        </r>
      </text>
    </comment>
    <comment ref="EA96" authorId="1">
      <text>
        <r>
          <rPr>
            <b/>
            <sz val="9"/>
            <color indexed="81"/>
            <rFont val="Tahoma"/>
            <family val="2"/>
          </rPr>
          <t>Gupta, Tanmay (Research):</t>
        </r>
        <r>
          <rPr>
            <sz val="9"/>
            <color indexed="81"/>
            <rFont val="Tahoma"/>
            <family val="2"/>
          </rPr>
          <t xml:space="preserve">
charge of $53 mn reflecting an updated est of profitability for this business-driven market performance</t>
        </r>
      </text>
    </comment>
    <comment ref="EC96" authorId="12">
      <text>
        <r>
          <rPr>
            <b/>
            <sz val="9"/>
            <color indexed="81"/>
            <rFont val="Tahoma"/>
            <family val="2"/>
          </rPr>
          <t>Zheng, Chaodan (Research):</t>
        </r>
        <r>
          <rPr>
            <sz val="9"/>
            <color indexed="81"/>
            <rFont val="Tahoma"/>
            <family val="2"/>
          </rPr>
          <t xml:space="preserve">
$4 mn benefit reflecting updates of actuarial assumptions 
$48 mn benefit from the impact of mkt perf in relation to assumptions
</t>
        </r>
      </text>
    </comment>
    <comment ref="EE96" authorId="12">
      <text>
        <r>
          <rPr>
            <b/>
            <sz val="9"/>
            <color indexed="81"/>
            <rFont val="Tahoma"/>
            <family val="2"/>
          </rPr>
          <t xml:space="preserve">Zheng, Chaodan (Research):
</t>
        </r>
        <r>
          <rPr>
            <sz val="9"/>
            <color indexed="81"/>
            <rFont val="Tahoma"/>
            <family val="2"/>
          </rPr>
          <t xml:space="preserve">- $139 mn benefit from the impact of mkt perf
- $10mn above avg non-coupon inv 
</t>
        </r>
      </text>
    </comment>
    <comment ref="EG96" authorId="2">
      <text>
        <r>
          <rPr>
            <b/>
            <sz val="9"/>
            <color indexed="81"/>
            <rFont val="Tahoma"/>
            <family val="2"/>
          </rPr>
          <t xml:space="preserve">Huang, Bob (Research):
</t>
        </r>
        <r>
          <rPr>
            <sz val="9"/>
            <color indexed="81"/>
            <rFont val="Tahoma"/>
            <family val="2"/>
          </rPr>
          <t>look up:
Market Performance and Experience true-ups</t>
        </r>
      </text>
    </comment>
    <comment ref="EA97" authorId="12">
      <text>
        <r>
          <rPr>
            <b/>
            <sz val="8"/>
            <color indexed="81"/>
            <rFont val="Tahoma"/>
            <family val="2"/>
          </rPr>
          <t>Zheng, Chaodan (Research):</t>
        </r>
        <r>
          <rPr>
            <sz val="8"/>
            <color indexed="81"/>
            <rFont val="Tahoma"/>
            <family val="2"/>
          </rPr>
          <t xml:space="preserve">
call with mgmt:
- ($5) million below non-coupon
- ($31) million lower separate account fees
- $6 million of higher expenses</t>
        </r>
      </text>
    </comment>
    <comment ref="EC97" authorId="12">
      <text>
        <r>
          <rPr>
            <b/>
            <sz val="8"/>
            <color indexed="81"/>
            <rFont val="Tahoma"/>
            <family val="2"/>
          </rPr>
          <t>Zheng, Chaodan (Research):</t>
        </r>
        <r>
          <rPr>
            <sz val="8"/>
            <color indexed="81"/>
            <rFont val="Tahoma"/>
            <family val="2"/>
          </rPr>
          <t xml:space="preserve">
call with mgmt:
- ($5) million below non-coupon
- ($31) million lower separate account fees
- $6 million of higher expenses</t>
        </r>
      </text>
    </comment>
    <comment ref="EE97" authorId="12">
      <text>
        <r>
          <rPr>
            <b/>
            <sz val="8"/>
            <color indexed="81"/>
            <rFont val="Tahoma"/>
            <family val="2"/>
          </rPr>
          <t>Zheng, Chaodan (Research):</t>
        </r>
        <r>
          <rPr>
            <sz val="8"/>
            <color indexed="81"/>
            <rFont val="Tahoma"/>
            <family val="2"/>
          </rPr>
          <t xml:space="preserve">
call with mgmt:
- ($5) million below non-coupon
- ($31) million lower separate account fees
- $6 million of higher expenses</t>
        </r>
      </text>
    </comment>
    <comment ref="GD97" authorId="9">
      <text>
        <r>
          <rPr>
            <b/>
            <sz val="8"/>
            <color indexed="81"/>
            <rFont val="Tahoma"/>
            <family val="2"/>
          </rPr>
          <t>haybuse:</t>
        </r>
        <r>
          <rPr>
            <sz val="8"/>
            <color indexed="81"/>
            <rFont val="Tahoma"/>
            <family val="2"/>
          </rPr>
          <t xml:space="preserve">
includes DAC impact</t>
        </r>
      </text>
    </comment>
    <comment ref="GP99" authorId="1">
      <text>
        <r>
          <rPr>
            <b/>
            <sz val="9"/>
            <color indexed="81"/>
            <rFont val="Tahoma"/>
            <family val="2"/>
          </rPr>
          <t>Gupta, Tanmay (Research):</t>
        </r>
        <r>
          <rPr>
            <sz val="9"/>
            <color indexed="81"/>
            <rFont val="Tahoma"/>
            <family val="2"/>
          </rPr>
          <t xml:space="preserve">
2018 outlook: ROA above the 115bps target</t>
        </r>
      </text>
    </comment>
    <comment ref="EA101" authorId="12">
      <text>
        <r>
          <rPr>
            <b/>
            <sz val="9"/>
            <color indexed="81"/>
            <rFont val="Tahoma"/>
            <family val="2"/>
          </rPr>
          <t>Zheng, Chaodan (Research):</t>
        </r>
        <r>
          <rPr>
            <sz val="9"/>
            <color indexed="81"/>
            <rFont val="Tahoma"/>
            <family val="2"/>
          </rPr>
          <t xml:space="preserve">
from noncoupon</t>
        </r>
      </text>
    </comment>
    <comment ref="EK101" authorId="1">
      <text>
        <r>
          <rPr>
            <b/>
            <sz val="9"/>
            <color indexed="81"/>
            <rFont val="Tahoma"/>
            <family val="2"/>
          </rPr>
          <t>Gupta, Tanmay (Research):</t>
        </r>
        <r>
          <rPr>
            <sz val="9"/>
            <color indexed="81"/>
            <rFont val="Tahoma"/>
            <family val="2"/>
          </rPr>
          <t xml:space="preserve">
non-coupon above plan</t>
        </r>
      </text>
    </comment>
    <comment ref="EM101" authorId="1">
      <text>
        <r>
          <rPr>
            <b/>
            <sz val="9"/>
            <color indexed="81"/>
            <rFont val="Tahoma"/>
            <family val="2"/>
          </rPr>
          <t>Gupta, Tanmay (Research):</t>
        </r>
        <r>
          <rPr>
            <sz val="9"/>
            <color indexed="81"/>
            <rFont val="Tahoma"/>
            <family val="2"/>
          </rPr>
          <t xml:space="preserve">
non-coupon above plan</t>
        </r>
      </text>
    </comment>
    <comment ref="EO101" authorId="1">
      <text>
        <r>
          <rPr>
            <b/>
            <sz val="9"/>
            <color indexed="81"/>
            <rFont val="Tahoma"/>
            <family val="2"/>
          </rPr>
          <t>Gupta, Tanmay (Research):</t>
        </r>
        <r>
          <rPr>
            <sz val="9"/>
            <color indexed="81"/>
            <rFont val="Tahoma"/>
            <family val="2"/>
          </rPr>
          <t xml:space="preserve">
non-coupon above plan</t>
        </r>
      </text>
    </comment>
    <comment ref="B107" authorId="2">
      <text>
        <r>
          <rPr>
            <b/>
            <sz val="9"/>
            <color indexed="81"/>
            <rFont val="Tahoma"/>
            <family val="2"/>
          </rPr>
          <t>Huang, Bob (Research):</t>
        </r>
        <r>
          <rPr>
            <sz val="9"/>
            <color indexed="81"/>
            <rFont val="Tahoma"/>
            <family val="2"/>
          </rPr>
          <t xml:space="preserve">
Supp: COMBINING STATEMENTS OF OPERATIONS - U.S. INDIVIDUAL LIFE AND GROUP INSURANCE DIVISION</t>
        </r>
      </text>
    </comment>
    <comment ref="BC108" authorId="7">
      <text>
        <r>
          <rPr>
            <sz val="8"/>
            <color indexed="81"/>
            <rFont val="Tahoma"/>
            <family val="2"/>
          </rPr>
          <t>-$147M impact due to actuarial assumption changes. (page 35 of qfs)</t>
        </r>
      </text>
    </comment>
    <comment ref="EK108" authorId="1">
      <text>
        <r>
          <rPr>
            <b/>
            <sz val="9"/>
            <color indexed="81"/>
            <rFont val="Tahoma"/>
            <family val="2"/>
          </rPr>
          <t>Gupta, Tanmay (Research):</t>
        </r>
        <r>
          <rPr>
            <sz val="9"/>
            <color indexed="81"/>
            <rFont val="Tahoma"/>
            <family val="2"/>
          </rPr>
          <t xml:space="preserve">
seasonally lower in 2Q
Current quarter results include a net charge of $653 million from updates to reserves and related items. This charge is primarily driven by refinements in calculating estimated mortality claims and a change in the estimate and method of accounting for the net cost of reinsurance</t>
        </r>
      </text>
    </comment>
    <comment ref="EM108" authorId="1">
      <text>
        <r>
          <rPr>
            <b/>
            <sz val="9"/>
            <color indexed="81"/>
            <rFont val="Tahoma"/>
            <family val="2"/>
          </rPr>
          <t>Gupta, Tanmay (Research):</t>
        </r>
        <r>
          <rPr>
            <sz val="9"/>
            <color indexed="81"/>
            <rFont val="Tahoma"/>
            <family val="2"/>
          </rPr>
          <t xml:space="preserve">
seasonally lower in 2Q
Current quarter results include a net charge of $653 million from updates to reserves and related items. This charge is primarily driven by refinements in calculating estimated mortality claims and a change in the estimate and method of accounting for the net cost of reinsurance</t>
        </r>
      </text>
    </comment>
    <comment ref="EO108" authorId="1">
      <text>
        <r>
          <rPr>
            <b/>
            <sz val="9"/>
            <color indexed="81"/>
            <rFont val="Tahoma"/>
            <family val="2"/>
          </rPr>
          <t>Gupta, Tanmay (Research):</t>
        </r>
        <r>
          <rPr>
            <sz val="9"/>
            <color indexed="81"/>
            <rFont val="Tahoma"/>
            <family val="2"/>
          </rPr>
          <t xml:space="preserve">
seasonally lower in 2Q
Current quarter results include a net charge of $653 million from updates to reserves and related items. This charge is primarily driven by refinements in calculating estimated mortality claims and a change in the estimate and method of accounting for the net cost of reinsurance</t>
        </r>
      </text>
    </comment>
    <comment ref="ES108" authorId="1">
      <text>
        <r>
          <rPr>
            <b/>
            <sz val="9"/>
            <color indexed="81"/>
            <rFont val="Tahoma"/>
            <family val="2"/>
          </rPr>
          <t>Gupta, Tanmay (Research):</t>
        </r>
        <r>
          <rPr>
            <sz val="9"/>
            <color indexed="81"/>
            <rFont val="Tahoma"/>
            <family val="2"/>
          </rPr>
          <t xml:space="preserve">
seasonally lower in 2Q
</t>
        </r>
      </text>
    </comment>
    <comment ref="BC115" authorId="7">
      <text>
        <r>
          <rPr>
            <sz val="8"/>
            <color indexed="81"/>
            <rFont val="Tahoma"/>
            <family val="2"/>
          </rPr>
          <t>+$96 impact of actuarial updates</t>
        </r>
      </text>
    </comment>
    <comment ref="BC119" authorId="7">
      <text>
        <r>
          <rPr>
            <sz val="8"/>
            <color indexed="81"/>
            <rFont val="Tahoma"/>
            <family val="2"/>
          </rPr>
          <t>-$289M impact from actuarial updates</t>
        </r>
      </text>
    </comment>
    <comment ref="CC122" authorId="9">
      <text>
        <r>
          <rPr>
            <b/>
            <sz val="8"/>
            <color indexed="81"/>
            <rFont val="Tahoma"/>
            <family val="2"/>
          </rPr>
          <t>haybuse:</t>
        </r>
        <r>
          <rPr>
            <sz val="8"/>
            <color indexed="81"/>
            <rFont val="Tahoma"/>
            <family val="2"/>
          </rPr>
          <t xml:space="preserve">
mortality 32M better than expected</t>
        </r>
      </text>
    </comment>
    <comment ref="U128" authorId="13">
      <text>
        <r>
          <rPr>
            <sz val="8"/>
            <color indexed="81"/>
            <rFont val="Tahoma"/>
            <family val="2"/>
          </rPr>
          <t>Includes favorable mortality.</t>
        </r>
      </text>
    </comment>
    <comment ref="AM128" authorId="14">
      <text>
        <r>
          <rPr>
            <sz val="8"/>
            <color indexed="81"/>
            <rFont val="Tahoma"/>
            <family val="2"/>
          </rPr>
          <t>Includes $18M PT of favorable mortality</t>
        </r>
      </text>
    </comment>
    <comment ref="AO128" authorId="5">
      <text>
        <r>
          <rPr>
            <b/>
            <sz val="8"/>
            <color indexed="81"/>
            <rFont val="Tahoma"/>
            <family val="2"/>
          </rPr>
          <t>dallyn:</t>
        </r>
        <r>
          <rPr>
            <sz val="8"/>
            <color indexed="81"/>
            <rFont val="Tahoma"/>
            <family val="2"/>
          </rPr>
          <t xml:space="preserve">
$15 fav mtly, $13 higher severence, $11 million prepayment
</t>
        </r>
      </text>
    </comment>
    <comment ref="AQ128" authorId="6">
      <text>
        <r>
          <rPr>
            <sz val="8"/>
            <color indexed="81"/>
            <rFont val="Tahoma"/>
            <family val="2"/>
          </rPr>
          <t>Gain on defaulted bond ($10 mil), fav mortality ($10) and lower expenses ($7) benefited the div</t>
        </r>
      </text>
    </comment>
    <comment ref="AS128" authorId="7">
      <text>
        <r>
          <rPr>
            <sz val="8"/>
            <color indexed="81"/>
            <rFont val="Tahoma"/>
            <family val="2"/>
          </rPr>
          <t>Run rate $113MM.
Includes $16MM favorable mortality</t>
        </r>
      </text>
    </comment>
    <comment ref="AU128" authorId="14">
      <text>
        <r>
          <rPr>
            <sz val="8"/>
            <color indexed="81"/>
            <rFont val="Tahoma"/>
            <family val="2"/>
          </rPr>
          <t>Includes $13M PT of favorable mortality, $107M run rate</t>
        </r>
      </text>
    </comment>
    <comment ref="BA131" authorId="7">
      <text>
        <r>
          <rPr>
            <b/>
            <sz val="8"/>
            <color indexed="81"/>
            <rFont val="Tahoma"/>
            <family val="2"/>
          </rPr>
          <t>Adverse mortality</t>
        </r>
      </text>
    </comment>
    <comment ref="BC131" authorId="7">
      <text>
        <r>
          <rPr>
            <sz val="8"/>
            <color indexed="81"/>
            <rFont val="Tahoma"/>
            <family val="2"/>
          </rPr>
          <t>+$46M DAC Unlocking
+$25M Distribution Profit</t>
        </r>
      </text>
    </comment>
    <comment ref="BK131" authorId="8">
      <text>
        <r>
          <rPr>
            <b/>
            <sz val="8"/>
            <color indexed="81"/>
            <rFont val="Tahoma"/>
            <family val="2"/>
          </rPr>
          <t>$78 million DAC benefit
$57 million Profitablility benefit</t>
        </r>
      </text>
    </comment>
    <comment ref="BW131" authorId="9">
      <text>
        <r>
          <rPr>
            <b/>
            <sz val="8"/>
            <color indexed="81"/>
            <rFont val="Tahoma"/>
            <family val="2"/>
          </rPr>
          <t>haybuse:</t>
        </r>
        <r>
          <rPr>
            <sz val="8"/>
            <color indexed="81"/>
            <rFont val="Tahoma"/>
            <family val="2"/>
          </rPr>
          <t xml:space="preserve">
inc dac: -32</t>
        </r>
      </text>
    </comment>
    <comment ref="BY131" authorId="9">
      <text>
        <r>
          <rPr>
            <b/>
            <sz val="8"/>
            <color indexed="81"/>
            <rFont val="Tahoma"/>
            <family val="2"/>
          </rPr>
          <t>haybuse:</t>
        </r>
        <r>
          <rPr>
            <sz val="8"/>
            <color indexed="81"/>
            <rFont val="Tahoma"/>
            <family val="2"/>
          </rPr>
          <t xml:space="preserve">
Abnormal DAC</t>
        </r>
      </text>
    </comment>
    <comment ref="CA131" authorId="9">
      <text>
        <r>
          <rPr>
            <b/>
            <sz val="8"/>
            <color indexed="81"/>
            <rFont val="Tahoma"/>
            <family val="2"/>
          </rPr>
          <t>haybuse:</t>
        </r>
        <r>
          <rPr>
            <sz val="8"/>
            <color indexed="81"/>
            <rFont val="Tahoma"/>
            <family val="2"/>
          </rPr>
          <t xml:space="preserve">
$51 DAC
$55 mkt impact
$30 3rd party comp</t>
        </r>
      </text>
    </comment>
    <comment ref="CC131" authorId="9">
      <text>
        <r>
          <rPr>
            <b/>
            <sz val="8"/>
            <color indexed="81"/>
            <rFont val="Tahoma"/>
            <family val="2"/>
          </rPr>
          <t>haybuse:</t>
        </r>
        <r>
          <rPr>
            <sz val="8"/>
            <color indexed="81"/>
            <rFont val="Tahoma"/>
            <family val="2"/>
          </rPr>
          <t xml:space="preserve">
favorable mortality $19
$114M lower dac amortization</t>
        </r>
      </text>
    </comment>
    <comment ref="CG131" authorId="9">
      <text>
        <r>
          <rPr>
            <b/>
            <sz val="8"/>
            <color indexed="81"/>
            <rFont val="Tahoma"/>
            <family val="2"/>
          </rPr>
          <t>haybuse:</t>
        </r>
        <r>
          <rPr>
            <sz val="8"/>
            <color indexed="81"/>
            <rFont val="Tahoma"/>
            <family val="2"/>
          </rPr>
          <t xml:space="preserve">
DAC unlock: -30</t>
        </r>
      </text>
    </comment>
    <comment ref="CI131" authorId="9">
      <text>
        <r>
          <rPr>
            <b/>
            <sz val="8"/>
            <color indexed="81"/>
            <rFont val="Tahoma"/>
            <family val="2"/>
          </rPr>
          <t>haybuse:</t>
        </r>
        <r>
          <rPr>
            <sz val="8"/>
            <color indexed="81"/>
            <rFont val="Tahoma"/>
            <family val="2"/>
          </rPr>
          <t xml:space="preserve">
DACAssumption change of $52M
</t>
        </r>
      </text>
    </comment>
    <comment ref="CQ131" authorId="4">
      <text>
        <r>
          <rPr>
            <b/>
            <sz val="8"/>
            <color indexed="81"/>
            <rFont val="Tahoma"/>
            <family val="2"/>
          </rPr>
          <t>Laura Sanchez:</t>
        </r>
        <r>
          <rPr>
            <sz val="8"/>
            <color indexed="81"/>
            <rFont val="Tahoma"/>
            <family val="2"/>
          </rPr>
          <t xml:space="preserve">
Restated w 3Q12 ER
Annual review impact: +27
</t>
        </r>
      </text>
    </comment>
    <comment ref="CS131" authorId="9">
      <text>
        <r>
          <rPr>
            <b/>
            <sz val="8"/>
            <color indexed="81"/>
            <rFont val="Tahoma"/>
            <family val="2"/>
          </rPr>
          <t>haybuse:</t>
        </r>
        <r>
          <rPr>
            <sz val="8"/>
            <color indexed="81"/>
            <rFont val="Tahoma"/>
            <family val="2"/>
          </rPr>
          <t xml:space="preserve">
restated in 4Q12
DAC $20M</t>
        </r>
      </text>
    </comment>
    <comment ref="CY131" authorId="4">
      <text>
        <r>
          <rPr>
            <b/>
            <sz val="8"/>
            <color indexed="81"/>
            <rFont val="Tahoma"/>
            <family val="2"/>
          </rPr>
          <t>Laura Sanchez:</t>
        </r>
        <r>
          <rPr>
            <sz val="8"/>
            <color indexed="81"/>
            <rFont val="Tahoma"/>
            <family val="2"/>
          </rPr>
          <t xml:space="preserve">
review of assumptions: -27</t>
        </r>
      </text>
    </comment>
    <comment ref="DA131" authorId="4">
      <text>
        <r>
          <rPr>
            <b/>
            <sz val="8"/>
            <color indexed="81"/>
            <rFont val="Tahoma"/>
            <family val="2"/>
          </rPr>
          <t>Laura Sanchez:</t>
        </r>
        <r>
          <rPr>
            <sz val="8"/>
            <color indexed="81"/>
            <rFont val="Tahoma"/>
            <family val="2"/>
          </rPr>
          <t xml:space="preserve">
-15mn: HIG individual life insurance business acquisition related costs</t>
        </r>
      </text>
    </comment>
    <comment ref="DC131" authorId="4">
      <text>
        <r>
          <rPr>
            <b/>
            <sz val="8"/>
            <color indexed="81"/>
            <rFont val="Tahoma"/>
            <family val="2"/>
          </rPr>
          <t>Laura Sanchez:</t>
        </r>
        <r>
          <rPr>
            <sz val="8"/>
            <color indexed="81"/>
            <rFont val="Tahoma"/>
            <family val="2"/>
          </rPr>
          <t xml:space="preserve">
HIG related costs
</t>
        </r>
      </text>
    </comment>
    <comment ref="DE131" authorId="4">
      <text>
        <r>
          <rPr>
            <b/>
            <sz val="8"/>
            <color indexed="81"/>
            <rFont val="Tahoma"/>
            <family val="2"/>
          </rPr>
          <t>Laura Sanchez:</t>
        </r>
        <r>
          <rPr>
            <sz val="8"/>
            <color indexed="81"/>
            <rFont val="Tahoma"/>
            <family val="2"/>
          </rPr>
          <t xml:space="preserve">
Integration costs</t>
        </r>
      </text>
    </comment>
    <comment ref="DG131" authorId="4">
      <text>
        <r>
          <rPr>
            <b/>
            <sz val="8"/>
            <color indexed="81"/>
            <rFont val="Tahoma"/>
            <family val="2"/>
          </rPr>
          <t>Laura Sanchez:</t>
        </r>
        <r>
          <rPr>
            <sz val="8"/>
            <color indexed="81"/>
            <rFont val="Tahoma"/>
            <family val="2"/>
          </rPr>
          <t xml:space="preserve">
+27mn annual review
-24 HIG integration costs</t>
        </r>
      </text>
    </comment>
    <comment ref="DI131" authorId="4">
      <text>
        <r>
          <rPr>
            <b/>
            <sz val="8"/>
            <color indexed="81"/>
            <rFont val="Tahoma"/>
            <family val="2"/>
          </rPr>
          <t>Laura Sanchez:</t>
        </r>
        <r>
          <rPr>
            <sz val="8"/>
            <color indexed="81"/>
            <rFont val="Tahoma"/>
            <family val="2"/>
          </rPr>
          <t xml:space="preserve">
HIG related</t>
        </r>
      </text>
    </comment>
    <comment ref="DK131" authorId="4">
      <text>
        <r>
          <rPr>
            <b/>
            <sz val="8"/>
            <color indexed="81"/>
            <rFont val="Tahoma"/>
            <family val="2"/>
          </rPr>
          <t>Laura Sanchez:</t>
        </r>
        <r>
          <rPr>
            <sz val="8"/>
            <color indexed="81"/>
            <rFont val="Tahoma"/>
            <family val="2"/>
          </rPr>
          <t xml:space="preserve">
hartford integration costs</t>
        </r>
      </text>
    </comment>
    <comment ref="DM131" authorId="11">
      <text>
        <r>
          <rPr>
            <b/>
            <sz val="9"/>
            <color indexed="81"/>
            <rFont val="Tahoma"/>
            <family val="2"/>
          </rPr>
          <t>Sanchez Bolanos, Laura (Research):</t>
        </r>
        <r>
          <rPr>
            <sz val="9"/>
            <color indexed="81"/>
            <rFont val="Tahoma"/>
            <family val="2"/>
          </rPr>
          <t xml:space="preserve">
integration costs</t>
        </r>
      </text>
    </comment>
    <comment ref="DO131" authorId="11">
      <text>
        <r>
          <rPr>
            <b/>
            <sz val="9"/>
            <color indexed="81"/>
            <rFont val="Tahoma"/>
            <family val="2"/>
          </rPr>
          <t>Sanchez Bolanos, Laura (Research):</t>
        </r>
        <r>
          <rPr>
            <sz val="9"/>
            <color indexed="81"/>
            <rFont val="Tahoma"/>
            <family val="2"/>
          </rPr>
          <t xml:space="preserve">
-8m: hig life integration costs
-63m: annual review</t>
        </r>
      </text>
    </comment>
    <comment ref="DQ131" authorId="11">
      <text>
        <r>
          <rPr>
            <b/>
            <sz val="9"/>
            <color indexed="81"/>
            <rFont val="Tahoma"/>
            <family val="2"/>
          </rPr>
          <t>Sanchez Bolanos, Laura (Research):</t>
        </r>
        <r>
          <rPr>
            <sz val="9"/>
            <color indexed="81"/>
            <rFont val="Tahoma"/>
            <family val="2"/>
          </rPr>
          <t xml:space="preserve">
-9 reserve refinement
-8 charge related to the acquisition of The Hartford`s individual life insurance business.</t>
        </r>
      </text>
    </comment>
    <comment ref="DS131" authorId="11">
      <text>
        <r>
          <rPr>
            <b/>
            <sz val="9"/>
            <color indexed="81"/>
            <rFont val="Tahoma"/>
            <family val="2"/>
          </rPr>
          <t>Sanchez Bolanos, Laura (Research):</t>
        </r>
        <r>
          <rPr>
            <sz val="9"/>
            <color indexed="81"/>
            <rFont val="Tahoma"/>
            <family val="2"/>
          </rPr>
          <t xml:space="preserve">
-9M integration costs</t>
        </r>
      </text>
    </comment>
    <comment ref="DU131" authorId="1">
      <text>
        <r>
          <rPr>
            <b/>
            <sz val="9"/>
            <color indexed="81"/>
            <rFont val="Tahoma"/>
            <family val="2"/>
          </rPr>
          <t>Gupta, Tanmay (Research):</t>
        </r>
        <r>
          <rPr>
            <sz val="9"/>
            <color indexed="81"/>
            <rFont val="Tahoma"/>
            <family val="2"/>
          </rPr>
          <t xml:space="preserve">
Hartford Integration costs - $(8)mn
Act review - $68mn</t>
        </r>
      </text>
    </comment>
    <comment ref="DY131" authorId="1">
      <text>
        <r>
          <rPr>
            <b/>
            <sz val="9"/>
            <color indexed="81"/>
            <rFont val="Tahoma"/>
            <family val="2"/>
          </rPr>
          <t>Gupta, Tanmay (Research):</t>
        </r>
        <r>
          <rPr>
            <sz val="9"/>
            <color indexed="81"/>
            <rFont val="Tahoma"/>
            <family val="2"/>
          </rPr>
          <t xml:space="preserve">
reserve refinements
related to a valuation system conversion. 
</t>
        </r>
      </text>
    </comment>
    <comment ref="EA131" authorId="1">
      <text>
        <r>
          <rPr>
            <b/>
            <sz val="9"/>
            <color indexed="81"/>
            <rFont val="Tahoma"/>
            <family val="2"/>
          </rPr>
          <t>Gupta, Tanmay (Research):</t>
        </r>
        <r>
          <rPr>
            <sz val="9"/>
            <color indexed="81"/>
            <rFont val="Tahoma"/>
            <family val="2"/>
          </rPr>
          <t xml:space="preserve">
-$10 mn lower returns on noncoupon investments
-$35 mn net cont from claims experience and reserve updates and amortization</t>
        </r>
      </text>
    </comment>
    <comment ref="EC131" authorId="12">
      <text>
        <r>
          <rPr>
            <b/>
            <sz val="9"/>
            <color indexed="81"/>
            <rFont val="Tahoma"/>
            <family val="2"/>
          </rPr>
          <t>Zheng, Chaodan (Research):</t>
        </r>
        <r>
          <rPr>
            <sz val="9"/>
            <color indexed="81"/>
            <rFont val="Tahoma"/>
            <family val="2"/>
          </rPr>
          <t xml:space="preserve">
-$420 mn from updates of reserves and related items</t>
        </r>
      </text>
    </comment>
    <comment ref="EE131" authorId="12">
      <text>
        <r>
          <rPr>
            <b/>
            <sz val="9"/>
            <color indexed="81"/>
            <rFont val="Tahoma"/>
            <family val="2"/>
          </rPr>
          <t>Zheng, Chaodan (Research):</t>
        </r>
        <r>
          <rPr>
            <sz val="9"/>
            <color indexed="81"/>
            <rFont val="Tahoma"/>
            <family val="2"/>
          </rPr>
          <t xml:space="preserve">
-$420 mn from updates of reserves and related items</t>
        </r>
      </text>
    </comment>
    <comment ref="GH131" authorId="15">
      <text>
        <r>
          <rPr>
            <b/>
            <sz val="8"/>
            <color indexed="81"/>
            <rFont val="Tahoma"/>
            <family val="2"/>
          </rPr>
          <t xml:space="preserve">hayley:
</t>
        </r>
        <r>
          <rPr>
            <sz val="8"/>
            <color indexed="81"/>
            <rFont val="Tahoma"/>
            <family val="2"/>
          </rPr>
          <t>expecting $60M integration costs from HIG life in 2014 ($51M incurred in 2013). Total exp $120M</t>
        </r>
      </text>
    </comment>
    <comment ref="DC132" authorId="15">
      <text>
        <r>
          <rPr>
            <b/>
            <sz val="8"/>
            <color indexed="81"/>
            <rFont val="Tahoma"/>
            <family val="2"/>
          </rPr>
          <t>hayleyl:</t>
        </r>
        <r>
          <rPr>
            <sz val="8"/>
            <color indexed="81"/>
            <rFont val="Tahoma"/>
            <family val="2"/>
          </rPr>
          <t xml:space="preserve">
incl $32M from HIG life</t>
        </r>
      </text>
    </comment>
    <comment ref="DE132" authorId="15">
      <text>
        <r>
          <rPr>
            <b/>
            <sz val="8"/>
            <color indexed="81"/>
            <rFont val="Tahoma"/>
            <family val="2"/>
          </rPr>
          <t>hayleyl:</t>
        </r>
        <r>
          <rPr>
            <sz val="8"/>
            <color indexed="81"/>
            <rFont val="Tahoma"/>
            <family val="2"/>
          </rPr>
          <t xml:space="preserve">
$42M contribution from HIG life</t>
        </r>
      </text>
    </comment>
    <comment ref="DG132" authorId="15">
      <text>
        <r>
          <rPr>
            <b/>
            <sz val="8"/>
            <color indexed="81"/>
            <rFont val="Tahoma"/>
            <family val="2"/>
          </rPr>
          <t>hayleyl:</t>
        </r>
        <r>
          <rPr>
            <sz val="8"/>
            <color indexed="81"/>
            <rFont val="Tahoma"/>
            <family val="2"/>
          </rPr>
          <t xml:space="preserve">
$32M from HIG life </t>
        </r>
      </text>
    </comment>
    <comment ref="EA132" authorId="12">
      <text>
        <r>
          <rPr>
            <b/>
            <sz val="8"/>
            <color indexed="81"/>
            <rFont val="Tahoma"/>
            <family val="2"/>
          </rPr>
          <t>Zheng, Chaodan (Research):</t>
        </r>
        <r>
          <rPr>
            <sz val="8"/>
            <color indexed="81"/>
            <rFont val="Tahoma"/>
            <family val="2"/>
          </rPr>
          <t xml:space="preserve">
call with mgmt:
- mortality $35 million adverse: frequency and severity
- $10 million non-coupon: $0.06 per share</t>
        </r>
      </text>
    </comment>
    <comment ref="GF132" authorId="15">
      <text>
        <r>
          <rPr>
            <b/>
            <sz val="8"/>
            <color indexed="81"/>
            <rFont val="Tahoma"/>
            <family val="2"/>
          </rPr>
          <t>hayleyl:</t>
        </r>
        <r>
          <rPr>
            <sz val="8"/>
            <color indexed="81"/>
            <rFont val="Tahoma"/>
            <family val="2"/>
          </rPr>
          <t xml:space="preserve">
achieved 65% of expected annual cost saves by YE 2013 (run-rate basis)</t>
        </r>
      </text>
    </comment>
    <comment ref="GJ132" authorId="15">
      <text>
        <r>
          <rPr>
            <b/>
            <sz val="8"/>
            <color indexed="81"/>
            <rFont val="Tahoma"/>
            <family val="2"/>
          </rPr>
          <t>Gupta, Tanmay:</t>
        </r>
        <r>
          <rPr>
            <sz val="8"/>
            <color indexed="81"/>
            <rFont val="Tahoma"/>
            <family val="2"/>
          </rPr>
          <t xml:space="preserve">
2Q15:
HIG restructuring completed.
$90mn annual saves achieved.
expecting $90M of annual cost saves by 2015</t>
        </r>
      </text>
    </comment>
    <comment ref="CW135" authorId="15">
      <text>
        <r>
          <rPr>
            <b/>
            <sz val="8"/>
            <color indexed="81"/>
            <rFont val="Tahoma"/>
            <family val="2"/>
          </rPr>
          <t>hayleyl:</t>
        </r>
        <r>
          <rPr>
            <sz val="8"/>
            <color indexed="81"/>
            <rFont val="Tahoma"/>
            <family val="2"/>
          </rPr>
          <t xml:space="preserve">
adverse mortality. Worst result since 2003</t>
        </r>
      </text>
    </comment>
    <comment ref="CY135" authorId="15">
      <text>
        <r>
          <rPr>
            <b/>
            <sz val="8"/>
            <color indexed="81"/>
            <rFont val="Tahoma"/>
            <family val="2"/>
          </rPr>
          <t>hayleyl:</t>
        </r>
        <r>
          <rPr>
            <sz val="8"/>
            <color indexed="81"/>
            <rFont val="Tahoma"/>
            <family val="2"/>
          </rPr>
          <t xml:space="preserve">
favorable mortality</t>
        </r>
      </text>
    </comment>
    <comment ref="DA135" authorId="15">
      <text>
        <r>
          <rPr>
            <b/>
            <sz val="8"/>
            <color indexed="81"/>
            <rFont val="Tahoma"/>
            <family val="2"/>
          </rPr>
          <t>hayleyl:</t>
        </r>
        <r>
          <rPr>
            <sz val="8"/>
            <color indexed="81"/>
            <rFont val="Tahoma"/>
            <family val="2"/>
          </rPr>
          <t xml:space="preserve">
favorable mortality
</t>
        </r>
      </text>
    </comment>
    <comment ref="DC135" authorId="15">
      <text>
        <r>
          <rPr>
            <b/>
            <sz val="8"/>
            <color indexed="81"/>
            <rFont val="Tahoma"/>
            <family val="2"/>
          </rPr>
          <t>hayleyl:</t>
        </r>
        <r>
          <rPr>
            <sz val="8"/>
            <color indexed="81"/>
            <rFont val="Tahoma"/>
            <family val="2"/>
          </rPr>
          <t xml:space="preserve">
favorable mortality</t>
        </r>
      </text>
    </comment>
    <comment ref="DE135" authorId="15">
      <text>
        <r>
          <rPr>
            <b/>
            <sz val="8"/>
            <color indexed="81"/>
            <rFont val="Tahoma"/>
            <family val="2"/>
          </rPr>
          <t>hayleyl:</t>
        </r>
        <r>
          <rPr>
            <sz val="8"/>
            <color indexed="81"/>
            <rFont val="Tahoma"/>
            <family val="2"/>
          </rPr>
          <t xml:space="preserve">
favorable mortality</t>
        </r>
      </text>
    </comment>
    <comment ref="DI135" authorId="4">
      <text>
        <r>
          <rPr>
            <b/>
            <sz val="8"/>
            <color indexed="81"/>
            <rFont val="Tahoma"/>
            <family val="2"/>
          </rPr>
          <t>Laura Sanchez:</t>
        </r>
        <r>
          <rPr>
            <sz val="8"/>
            <color indexed="81"/>
            <rFont val="Tahoma"/>
            <family val="2"/>
          </rPr>
          <t xml:space="preserve">
+29mn: fav. Individual life mortality</t>
        </r>
      </text>
    </comment>
    <comment ref="DK135" authorId="4">
      <text>
        <r>
          <rPr>
            <b/>
            <sz val="8"/>
            <color indexed="81"/>
            <rFont val="Tahoma"/>
            <family val="2"/>
          </rPr>
          <t>Laura Sanchez:</t>
        </r>
        <r>
          <rPr>
            <sz val="8"/>
            <color indexed="81"/>
            <rFont val="Tahoma"/>
            <family val="2"/>
          </rPr>
          <t xml:space="preserve">
-20mn less fav mortality
+15mn above avg non-coupon investments</t>
        </r>
      </text>
    </comment>
    <comment ref="DM135" authorId="11">
      <text>
        <r>
          <rPr>
            <b/>
            <sz val="9"/>
            <color indexed="81"/>
            <rFont val="Tahoma"/>
            <family val="2"/>
          </rPr>
          <t>Sanchez Bolanos, Laura (Research):</t>
        </r>
        <r>
          <rPr>
            <sz val="9"/>
            <color indexed="81"/>
            <rFont val="Tahoma"/>
            <family val="2"/>
          </rPr>
          <t xml:space="preserve">
favorable mortality</t>
        </r>
      </text>
    </comment>
    <comment ref="DO135" authorId="11">
      <text>
        <r>
          <rPr>
            <b/>
            <sz val="9"/>
            <color indexed="81"/>
            <rFont val="Tahoma"/>
            <family val="2"/>
          </rPr>
          <t>Sanchez Bolanos, Laura (Research):</t>
        </r>
        <r>
          <rPr>
            <sz val="9"/>
            <color indexed="81"/>
            <rFont val="Tahoma"/>
            <family val="2"/>
          </rPr>
          <t xml:space="preserve">
favorable mortality</t>
        </r>
      </text>
    </comment>
    <comment ref="DS135" authorId="11">
      <text>
        <r>
          <rPr>
            <b/>
            <sz val="9"/>
            <color indexed="81"/>
            <rFont val="Tahoma"/>
            <family val="2"/>
          </rPr>
          <t>Sanchez Bolanos, Laura (Research):</t>
        </r>
        <r>
          <rPr>
            <sz val="9"/>
            <color indexed="81"/>
            <rFont val="Tahoma"/>
            <family val="2"/>
          </rPr>
          <t xml:space="preserve">
-35mn adverse experience
+10mn favorable expenses
</t>
        </r>
      </text>
    </comment>
    <comment ref="DU135" authorId="1">
      <text>
        <r>
          <rPr>
            <b/>
            <sz val="9"/>
            <color indexed="81"/>
            <rFont val="Tahoma"/>
            <family val="2"/>
          </rPr>
          <t>Gupta, Tanmay (Research):</t>
        </r>
        <r>
          <rPr>
            <sz val="9"/>
            <color indexed="81"/>
            <rFont val="Tahoma"/>
            <family val="2"/>
          </rPr>
          <t xml:space="preserve">
+$30mn - Fav mortality and Reserve Adj.</t>
        </r>
      </text>
    </comment>
    <comment ref="DW135" authorId="1">
      <text>
        <r>
          <rPr>
            <b/>
            <sz val="9"/>
            <color indexed="81"/>
            <rFont val="Tahoma"/>
            <family val="2"/>
          </rPr>
          <t>Gupta, Tanmay (Research):</t>
        </r>
        <r>
          <rPr>
            <sz val="9"/>
            <color indexed="81"/>
            <rFont val="Tahoma"/>
            <family val="2"/>
          </rPr>
          <t xml:space="preserve">
+$25mn - Fav mortality</t>
        </r>
      </text>
    </comment>
    <comment ref="DY135" authorId="1">
      <text>
        <r>
          <rPr>
            <b/>
            <sz val="9"/>
            <color indexed="81"/>
            <rFont val="Tahoma"/>
            <family val="2"/>
          </rPr>
          <t>Gupta, Tanmay (Research):</t>
        </r>
        <r>
          <rPr>
            <sz val="9"/>
            <color indexed="81"/>
            <rFont val="Tahoma"/>
            <family val="2"/>
          </rPr>
          <t xml:space="preserve">
- $5 million adverse net mortality
- $5 million adverse non-coupon
- $20 million of seasonally higher expenses
</t>
        </r>
      </text>
    </comment>
    <comment ref="EA135" authorId="1">
      <text>
        <r>
          <rPr>
            <b/>
            <sz val="9"/>
            <color indexed="81"/>
            <rFont val="Tahoma"/>
            <family val="2"/>
          </rPr>
          <t>Gupta, Tanmay (Research):</t>
        </r>
        <r>
          <rPr>
            <sz val="9"/>
            <color indexed="81"/>
            <rFont val="Tahoma"/>
            <family val="2"/>
          </rPr>
          <t xml:space="preserve">
- $35 million unfavorable net mortality
- $10 million adverse non-coupon
</t>
        </r>
      </text>
    </comment>
    <comment ref="EC135" authorId="12">
      <text>
        <r>
          <rPr>
            <b/>
            <sz val="9"/>
            <color indexed="81"/>
            <rFont val="Tahoma"/>
            <family val="2"/>
          </rPr>
          <t>Zheng, Chaodan (Research):</t>
        </r>
        <r>
          <rPr>
            <sz val="9"/>
            <color indexed="81"/>
            <rFont val="Tahoma"/>
            <family val="2"/>
          </rPr>
          <t xml:space="preserve">
$20 mn adverse mortality
$5 million adverse noncoupon</t>
        </r>
      </text>
    </comment>
    <comment ref="EE135" authorId="12">
      <text>
        <r>
          <rPr>
            <b/>
            <sz val="9"/>
            <color indexed="81"/>
            <rFont val="Tahoma"/>
            <family val="2"/>
          </rPr>
          <t>Zheng, Chaodan (Research):</t>
        </r>
        <r>
          <rPr>
            <sz val="9"/>
            <color indexed="81"/>
            <rFont val="Tahoma"/>
            <family val="2"/>
          </rPr>
          <t xml:space="preserve">
- $30mn unfavorable claims experience
- $20mn charge for reserve refinements and legal costs
- $10mn non-coupon inv above average</t>
        </r>
      </text>
    </comment>
    <comment ref="EK135" authorId="1">
      <text>
        <r>
          <rPr>
            <b/>
            <sz val="9"/>
            <color indexed="81"/>
            <rFont val="Tahoma"/>
            <family val="2"/>
          </rPr>
          <t>Gupta, Tanmay (Research):</t>
        </r>
        <r>
          <rPr>
            <sz val="9"/>
            <color indexed="81"/>
            <rFont val="Tahoma"/>
            <family val="2"/>
          </rPr>
          <t xml:space="preserve">
$(10)mn unfav mortality</t>
        </r>
      </text>
    </comment>
    <comment ref="EM135" authorId="1">
      <text>
        <r>
          <rPr>
            <b/>
            <sz val="9"/>
            <color indexed="81"/>
            <rFont val="Tahoma"/>
            <family val="2"/>
          </rPr>
          <t>Gupta, Tanmay (Research):</t>
        </r>
        <r>
          <rPr>
            <sz val="9"/>
            <color indexed="81"/>
            <rFont val="Tahoma"/>
            <family val="2"/>
          </rPr>
          <t xml:space="preserve">
$(10)mn unfav mortality</t>
        </r>
      </text>
    </comment>
    <comment ref="EO135" authorId="1">
      <text>
        <r>
          <rPr>
            <b/>
            <sz val="9"/>
            <color indexed="81"/>
            <rFont val="Tahoma"/>
            <family val="2"/>
          </rPr>
          <t>Gupta, Tanmay (Research):</t>
        </r>
        <r>
          <rPr>
            <sz val="9"/>
            <color indexed="81"/>
            <rFont val="Tahoma"/>
            <family val="2"/>
          </rPr>
          <t xml:space="preserve">
$(10)mn unfav mortality</t>
        </r>
      </text>
    </comment>
    <comment ref="DE136" authorId="15">
      <text>
        <r>
          <rPr>
            <b/>
            <sz val="8"/>
            <color indexed="81"/>
            <rFont val="Tahoma"/>
            <family val="2"/>
          </rPr>
          <t>hayleyl:</t>
        </r>
        <r>
          <rPr>
            <sz val="8"/>
            <color indexed="81"/>
            <rFont val="Tahoma"/>
            <family val="2"/>
          </rPr>
          <t xml:space="preserve">
favorable mortality partially offset by higher distrubiton costs - HIG related</t>
        </r>
      </text>
    </comment>
    <comment ref="DG136" authorId="15">
      <text>
        <r>
          <rPr>
            <b/>
            <sz val="8"/>
            <color indexed="81"/>
            <rFont val="Tahoma"/>
            <family val="2"/>
          </rPr>
          <t>hayleyl:</t>
        </r>
        <r>
          <rPr>
            <sz val="8"/>
            <color indexed="81"/>
            <rFont val="Tahoma"/>
            <family val="2"/>
          </rPr>
          <t xml:space="preserve">
higher distribution costs partially offset contribution from HIG life</t>
        </r>
      </text>
    </comment>
    <comment ref="DI136" authorId="15">
      <text>
        <r>
          <rPr>
            <b/>
            <sz val="8"/>
            <color indexed="81"/>
            <rFont val="Tahoma"/>
            <family val="2"/>
          </rPr>
          <t>hayleyl:</t>
        </r>
        <r>
          <rPr>
            <sz val="8"/>
            <color indexed="81"/>
            <rFont val="Tahoma"/>
            <family val="2"/>
          </rPr>
          <t xml:space="preserve">
$51M contribution from HIG life
per 10K, 65% of target $90M annual cost saves in run-rate by YE 2013 (roughly $15M in estimate)</t>
        </r>
      </text>
    </comment>
    <comment ref="S139" authorId="16">
      <text>
        <r>
          <rPr>
            <sz val="8"/>
            <color indexed="81"/>
            <rFont val="Tahoma"/>
            <family val="2"/>
          </rPr>
          <t>Includes both VL and UL</t>
        </r>
      </text>
    </comment>
    <comment ref="DY139" authorId="1">
      <text>
        <r>
          <rPr>
            <b/>
            <sz val="9"/>
            <color indexed="81"/>
            <rFont val="Tahoma"/>
            <family val="2"/>
          </rPr>
          <t>Gupta, Tanmay (Research):</t>
        </r>
        <r>
          <rPr>
            <sz val="9"/>
            <color indexed="81"/>
            <rFont val="Tahoma"/>
            <family val="2"/>
          </rPr>
          <t xml:space="preserve">
Supp Pg 23</t>
        </r>
      </text>
    </comment>
    <comment ref="EA139" authorId="1">
      <text>
        <r>
          <rPr>
            <b/>
            <sz val="9"/>
            <color indexed="81"/>
            <rFont val="Tahoma"/>
            <family val="2"/>
          </rPr>
          <t>Gupta, Tanmay (Research):</t>
        </r>
        <r>
          <rPr>
            <sz val="9"/>
            <color indexed="81"/>
            <rFont val="Tahoma"/>
            <family val="2"/>
          </rPr>
          <t xml:space="preserve">
Supp Pg 23</t>
        </r>
      </text>
    </comment>
    <comment ref="EC139" authorId="12">
      <text>
        <r>
          <rPr>
            <b/>
            <sz val="8"/>
            <color indexed="81"/>
            <rFont val="Tahoma"/>
            <family val="2"/>
          </rPr>
          <t>Zheng, Chaodan (Research):</t>
        </r>
        <r>
          <rPr>
            <sz val="8"/>
            <color indexed="81"/>
            <rFont val="Tahoma"/>
            <family val="2"/>
          </rPr>
          <t xml:space="preserve">
U.S. Individual Life and Group Insurance Division - Individual Life Annualized New Business Premiums, Account Value Activity, and Face Amount in Force</t>
        </r>
      </text>
    </comment>
    <comment ref="EE139" authorId="12">
      <text>
        <r>
          <rPr>
            <b/>
            <sz val="8"/>
            <color indexed="81"/>
            <rFont val="Tahoma"/>
            <family val="2"/>
          </rPr>
          <t>Zheng, Chaodan (Research):</t>
        </r>
        <r>
          <rPr>
            <sz val="8"/>
            <color indexed="81"/>
            <rFont val="Tahoma"/>
            <family val="2"/>
          </rPr>
          <t xml:space="preserve">
U.S. Individual Life and Group Insurance Division - Individual Life Annualized New Business Premiums, Account Value Activity, and Face Amount in Force</t>
        </r>
      </text>
    </comment>
    <comment ref="AK150" authorId="7">
      <text>
        <r>
          <rPr>
            <sz val="8"/>
            <color indexed="81"/>
            <rFont val="Tahoma"/>
            <family val="2"/>
          </rPr>
          <t>Includes acquisition of CIGNA</t>
        </r>
      </text>
    </comment>
    <comment ref="AK168" authorId="7">
      <text>
        <r>
          <rPr>
            <sz val="8"/>
            <color indexed="81"/>
            <rFont val="Tahoma"/>
            <family val="2"/>
          </rPr>
          <t>Includes acquisition of CIGNA</t>
        </r>
      </text>
    </comment>
    <comment ref="AO168" authorId="6">
      <text>
        <r>
          <rPr>
            <b/>
            <sz val="8"/>
            <color indexed="81"/>
            <rFont val="Tahoma"/>
            <family val="2"/>
          </rPr>
          <t>Includes $152 mil reduction in acct value reflecting SOP 03-1</t>
        </r>
      </text>
    </comment>
    <comment ref="FP209" authorId="16">
      <text>
        <r>
          <rPr>
            <sz val="8"/>
            <color indexed="81"/>
            <rFont val="Tahoma"/>
            <family val="2"/>
          </rPr>
          <t xml:space="preserve">Includes $5M of the $60M in integration expenses related to CIGNA transaction, offset by cost saves of $100M </t>
        </r>
      </text>
    </comment>
    <comment ref="AC213" authorId="13">
      <text>
        <r>
          <rPr>
            <sz val="8"/>
            <color indexed="81"/>
            <rFont val="Tahoma"/>
            <family val="2"/>
          </rPr>
          <t>Includes $15M of mortgage prepayment and gains on proprietary separate account investments.  Consider these one-time gains.</t>
        </r>
      </text>
    </comment>
    <comment ref="AQ213" authorId="6">
      <text>
        <r>
          <rPr>
            <sz val="8"/>
            <color indexed="81"/>
            <rFont val="Tahoma"/>
            <family val="2"/>
          </rPr>
          <t>$28 mil gains from abnormal interest recoveries, mortgage prepayments, and reserve releases.</t>
        </r>
      </text>
    </comment>
    <comment ref="AS213" authorId="7">
      <text>
        <r>
          <rPr>
            <sz val="8"/>
            <color indexed="81"/>
            <rFont val="Tahoma"/>
            <family val="2"/>
          </rPr>
          <t>Run rate $107MM. 
Includes $19MM mortgage prepayments, $16MM cleanup of reserves.</t>
        </r>
      </text>
    </comment>
    <comment ref="AU213" authorId="7">
      <text>
        <r>
          <rPr>
            <sz val="8"/>
            <color indexed="81"/>
            <rFont val="Tahoma"/>
            <family val="2"/>
          </rPr>
          <t>Includes $15 million mortgage prepayments, run rate $95 million</t>
        </r>
      </text>
    </comment>
    <comment ref="FP213" authorId="13">
      <text>
        <r>
          <rPr>
            <sz val="8"/>
            <color indexed="81"/>
            <rFont val="Tahoma"/>
            <family val="2"/>
          </rPr>
          <t>Since PRU is taking a $0.10 charge for CIGNA in 2004, it automatically adds ~$80M to pretax earnings in 05.</t>
        </r>
      </text>
    </comment>
    <comment ref="BA216" authorId="7">
      <text>
        <r>
          <rPr>
            <sz val="8"/>
            <color indexed="81"/>
            <rFont val="Tahoma"/>
            <family val="2"/>
          </rPr>
          <t>+$9MM Reserve Release
+$10MM Prepayment Income</t>
        </r>
      </text>
    </comment>
    <comment ref="BK216" authorId="8">
      <text>
        <r>
          <rPr>
            <b/>
            <sz val="8"/>
            <color indexed="81"/>
            <rFont val="Tahoma"/>
            <family val="2"/>
          </rPr>
          <t>$ 81 Million State Street Charge
$ 12 Million decrease in MV of ext managed investments</t>
        </r>
      </text>
    </comment>
    <comment ref="BM216" authorId="8">
      <text>
        <r>
          <rPr>
            <sz val="8"/>
            <color indexed="81"/>
            <rFont val="Tahoma"/>
            <family val="2"/>
          </rPr>
          <t>Includes decreases of $14 million in market value of certain externally managed investments and lower contribution from investment joint venture income</t>
        </r>
      </text>
    </comment>
    <comment ref="BW216" authorId="9">
      <text>
        <r>
          <rPr>
            <b/>
            <sz val="8"/>
            <color indexed="81"/>
            <rFont val="Tahoma"/>
            <family val="2"/>
          </rPr>
          <t>haybuse:</t>
        </r>
        <r>
          <rPr>
            <sz val="8"/>
            <color indexed="81"/>
            <rFont val="Tahoma"/>
            <family val="2"/>
          </rPr>
          <t xml:space="preserve">
Fav Hedge Break: 13</t>
        </r>
      </text>
    </comment>
    <comment ref="BY216" authorId="9">
      <text>
        <r>
          <rPr>
            <b/>
            <sz val="8"/>
            <color indexed="81"/>
            <rFont val="Tahoma"/>
            <family val="2"/>
          </rPr>
          <t>haybuse:</t>
        </r>
        <r>
          <rPr>
            <sz val="8"/>
            <color indexed="81"/>
            <rFont val="Tahoma"/>
            <family val="2"/>
          </rPr>
          <t xml:space="preserve">
NPR chrg</t>
        </r>
      </text>
    </comment>
    <comment ref="CA216" authorId="9">
      <text>
        <r>
          <rPr>
            <b/>
            <sz val="8"/>
            <color indexed="81"/>
            <rFont val="Tahoma"/>
            <family val="2"/>
          </rPr>
          <t>haybuse:</t>
        </r>
        <r>
          <rPr>
            <sz val="8"/>
            <color indexed="81"/>
            <rFont val="Tahoma"/>
            <family val="2"/>
          </rPr>
          <t xml:space="preserve">
-8 chg actuarial assumptions</t>
        </r>
      </text>
    </comment>
    <comment ref="CI216" authorId="10">
      <text>
        <r>
          <rPr>
            <b/>
            <sz val="8"/>
            <color indexed="81"/>
            <rFont val="Tahoma"/>
            <family val="2"/>
          </rPr>
          <t>mlipton:</t>
        </r>
        <r>
          <rPr>
            <sz val="8"/>
            <color indexed="81"/>
            <rFont val="Tahoma"/>
            <family val="2"/>
          </rPr>
          <t xml:space="preserve">
$15M Assumption change for DAC/VOBA</t>
        </r>
      </text>
    </comment>
    <comment ref="CQ216" authorId="4">
      <text>
        <r>
          <rPr>
            <b/>
            <sz val="8"/>
            <color indexed="81"/>
            <rFont val="Tahoma"/>
            <family val="2"/>
          </rPr>
          <t>Laura Sanchez:</t>
        </r>
        <r>
          <rPr>
            <sz val="8"/>
            <color indexed="81"/>
            <rFont val="Tahoma"/>
            <family val="2"/>
          </rPr>
          <t xml:space="preserve">
Restated w 3Q12 ER
Annual review impact: -24</t>
        </r>
      </text>
    </comment>
    <comment ref="CW216" authorId="3">
      <text>
        <r>
          <rPr>
            <b/>
            <sz val="8"/>
            <color indexed="81"/>
            <rFont val="Tahoma"/>
            <family val="2"/>
          </rPr>
          <t>sanclaur:</t>
        </r>
        <r>
          <rPr>
            <sz val="8"/>
            <color indexed="81"/>
            <rFont val="Tahoma"/>
            <family val="2"/>
          </rPr>
          <t xml:space="preserve">
-9M in restructuring costs</t>
        </r>
      </text>
    </comment>
    <comment ref="CY216" authorId="3">
      <text>
        <r>
          <rPr>
            <b/>
            <sz val="8"/>
            <color indexed="81"/>
            <rFont val="Tahoma"/>
            <family val="2"/>
          </rPr>
          <t>sanclaur:</t>
        </r>
        <r>
          <rPr>
            <sz val="8"/>
            <color indexed="81"/>
            <rFont val="Tahoma"/>
            <family val="2"/>
          </rPr>
          <t xml:space="preserve">
Writeoff of intangible assets: -29
Annual review of assumptions: -13</t>
        </r>
      </text>
    </comment>
    <comment ref="DA216" authorId="4">
      <text>
        <r>
          <rPr>
            <b/>
            <sz val="8"/>
            <color indexed="81"/>
            <rFont val="Tahoma"/>
            <family val="2"/>
          </rPr>
          <t>Laura Sanchez:</t>
        </r>
        <r>
          <rPr>
            <sz val="8"/>
            <color indexed="81"/>
            <rFont val="Tahoma"/>
            <family val="2"/>
          </rPr>
          <t xml:space="preserve">
+78mn: prior losses recovery
-16mn: start-up costs</t>
        </r>
      </text>
    </comment>
    <comment ref="DE216" authorId="4">
      <text>
        <r>
          <rPr>
            <b/>
            <sz val="8"/>
            <color indexed="81"/>
            <rFont val="Tahoma"/>
            <family val="2"/>
          </rPr>
          <t>Laura Sanchez:</t>
        </r>
        <r>
          <rPr>
            <sz val="8"/>
            <color indexed="81"/>
            <rFont val="Tahoma"/>
            <family val="2"/>
          </rPr>
          <t xml:space="preserve">
+14 true-up in reported deaths given a change in benefits administration
+35 above avg returns on non-coupon asset classes</t>
        </r>
      </text>
    </comment>
    <comment ref="DG216" authorId="4">
      <text>
        <r>
          <rPr>
            <b/>
            <sz val="8"/>
            <color indexed="81"/>
            <rFont val="Tahoma"/>
            <family val="2"/>
          </rPr>
          <t>Laura Sanchez:</t>
        </r>
        <r>
          <rPr>
            <sz val="8"/>
            <color indexed="81"/>
            <rFont val="Tahoma"/>
            <family val="2"/>
          </rPr>
          <t xml:space="preserve">
-4 annual review</t>
        </r>
      </text>
    </comment>
    <comment ref="DO216" authorId="11">
      <text>
        <r>
          <rPr>
            <b/>
            <sz val="9"/>
            <color indexed="81"/>
            <rFont val="Tahoma"/>
            <family val="2"/>
          </rPr>
          <t>Sanchez Bolanos, Laura (Research):</t>
        </r>
        <r>
          <rPr>
            <sz val="9"/>
            <color indexed="81"/>
            <rFont val="Tahoma"/>
            <family val="2"/>
          </rPr>
          <t xml:space="preserve">
annual review</t>
        </r>
      </text>
    </comment>
    <comment ref="DQ216" authorId="11">
      <text>
        <r>
          <rPr>
            <b/>
            <sz val="9"/>
            <color indexed="81"/>
            <rFont val="Tahoma"/>
            <family val="2"/>
          </rPr>
          <t>Sanchez Bolanos, Laura (Research):</t>
        </r>
        <r>
          <rPr>
            <sz val="9"/>
            <color indexed="81"/>
            <rFont val="Tahoma"/>
            <family val="2"/>
          </rPr>
          <t xml:space="preserve">
+15M reserve refinement</t>
        </r>
      </text>
    </comment>
    <comment ref="DW216" authorId="12">
      <text>
        <r>
          <rPr>
            <b/>
            <sz val="9"/>
            <color indexed="81"/>
            <rFont val="Tahoma"/>
            <family val="2"/>
          </rPr>
          <t>Zheng, Chaodan (Research):</t>
        </r>
        <r>
          <rPr>
            <sz val="9"/>
            <color indexed="81"/>
            <rFont val="Tahoma"/>
            <family val="2"/>
          </rPr>
          <t xml:space="preserve">
PT benefit of $20mn in Retirmeent from reserve refinements related to systems enhancements</t>
        </r>
      </text>
    </comment>
    <comment ref="EC216" authorId="12">
      <text>
        <r>
          <rPr>
            <b/>
            <sz val="9"/>
            <color indexed="81"/>
            <rFont val="Tahoma"/>
            <family val="2"/>
          </rPr>
          <t>Zheng, Chaodan (Research):</t>
        </r>
        <r>
          <rPr>
            <sz val="9"/>
            <color indexed="81"/>
            <rFont val="Tahoma"/>
            <family val="2"/>
          </rPr>
          <t xml:space="preserve">
$6 mn benefit due to adj amortization of DAC and other costs </t>
        </r>
      </text>
    </comment>
    <comment ref="EE216" authorId="12">
      <text>
        <r>
          <rPr>
            <b/>
            <sz val="9"/>
            <color indexed="81"/>
            <rFont val="Tahoma"/>
            <family val="2"/>
          </rPr>
          <t>Zheng, Chaodan (Research):</t>
        </r>
        <r>
          <rPr>
            <sz val="9"/>
            <color indexed="81"/>
            <rFont val="Tahoma"/>
            <family val="2"/>
          </rPr>
          <t xml:space="preserve">
$(34)mn legal matters</t>
        </r>
      </text>
    </comment>
    <comment ref="EG216" authorId="2">
      <text>
        <r>
          <rPr>
            <b/>
            <sz val="9"/>
            <color indexed="81"/>
            <rFont val="Tahoma"/>
            <family val="2"/>
          </rPr>
          <t>Huang, Bob (Research):</t>
        </r>
        <r>
          <rPr>
            <sz val="9"/>
            <color indexed="81"/>
            <rFont val="Tahoma"/>
            <family val="2"/>
          </rPr>
          <t xml:space="preserve">
4Q16 legal settlement matters, favorable impact</t>
        </r>
      </text>
    </comment>
    <comment ref="EI216" authorId="2">
      <text>
        <r>
          <rPr>
            <b/>
            <sz val="9"/>
            <color indexed="81"/>
            <rFont val="Tahoma"/>
            <family val="2"/>
          </rPr>
          <t>Huang, Bob (Research):</t>
        </r>
        <r>
          <rPr>
            <sz val="9"/>
            <color indexed="81"/>
            <rFont val="Tahoma"/>
            <family val="2"/>
          </rPr>
          <t xml:space="preserve">
4Q16 legal settlement matters, favorable impact</t>
        </r>
      </text>
    </comment>
    <comment ref="EK216" authorId="2">
      <text>
        <r>
          <rPr>
            <b/>
            <sz val="9"/>
            <color indexed="81"/>
            <rFont val="Tahoma"/>
            <family val="2"/>
          </rPr>
          <t>Huang, Bob (Research):</t>
        </r>
        <r>
          <rPr>
            <sz val="9"/>
            <color indexed="81"/>
            <rFont val="Tahoma"/>
            <family val="2"/>
          </rPr>
          <t xml:space="preserve">
4Q16 legal settlement matters, favorable impact</t>
        </r>
      </text>
    </comment>
    <comment ref="EM216" authorId="2">
      <text>
        <r>
          <rPr>
            <b/>
            <sz val="9"/>
            <color indexed="81"/>
            <rFont val="Tahoma"/>
            <family val="2"/>
          </rPr>
          <t>Huang, Bob (Research):</t>
        </r>
        <r>
          <rPr>
            <sz val="9"/>
            <color indexed="81"/>
            <rFont val="Tahoma"/>
            <family val="2"/>
          </rPr>
          <t xml:space="preserve">
4Q16 legal settlement matters, favorable impact</t>
        </r>
      </text>
    </comment>
    <comment ref="EO216" authorId="2">
      <text>
        <r>
          <rPr>
            <b/>
            <sz val="9"/>
            <color indexed="81"/>
            <rFont val="Tahoma"/>
            <family val="2"/>
          </rPr>
          <t>Huang, Bob (Research):</t>
        </r>
        <r>
          <rPr>
            <sz val="9"/>
            <color indexed="81"/>
            <rFont val="Tahoma"/>
            <family val="2"/>
          </rPr>
          <t xml:space="preserve">
4Q16 legal settlement matters, favorable impact</t>
        </r>
      </text>
    </comment>
    <comment ref="EA217" authorId="12">
      <text>
        <r>
          <rPr>
            <b/>
            <sz val="8"/>
            <color indexed="81"/>
            <rFont val="Tahoma"/>
            <family val="2"/>
          </rPr>
          <t>Zheng, Chaodan (Research):</t>
        </r>
        <r>
          <rPr>
            <sz val="8"/>
            <color indexed="81"/>
            <rFont val="Tahoma"/>
            <family val="2"/>
          </rPr>
          <t xml:space="preserve">
call with mgmt:
- $18 million less favorable underwriting ($20 million favorable case experience (PRT))
- $36 million less favorable investment spreads (including $40 million non-coupon)
- expenses and lower fees account for the rest</t>
        </r>
      </text>
    </comment>
    <comment ref="EC217" authorId="12">
      <text>
        <r>
          <rPr>
            <b/>
            <sz val="8"/>
            <color indexed="81"/>
            <rFont val="Tahoma"/>
            <family val="2"/>
          </rPr>
          <t>Zheng, Chaodan (Research):</t>
        </r>
        <r>
          <rPr>
            <sz val="8"/>
            <color indexed="81"/>
            <rFont val="Tahoma"/>
            <family val="2"/>
          </rPr>
          <t xml:space="preserve">
call with mgmt:
- $18 million less favorable underwriting ($20 million favorable case experience (PRT))
- $36 million less favorable investment spreads (including $40 million non-coupon)
- expenses and lower fees account for the rest</t>
        </r>
      </text>
    </comment>
    <comment ref="EE217" authorId="12">
      <text>
        <r>
          <rPr>
            <b/>
            <sz val="8"/>
            <color indexed="81"/>
            <rFont val="Tahoma"/>
            <family val="2"/>
          </rPr>
          <t>Zheng, Chaodan (Research):</t>
        </r>
        <r>
          <rPr>
            <sz val="8"/>
            <color indexed="81"/>
            <rFont val="Tahoma"/>
            <family val="2"/>
          </rPr>
          <t xml:space="preserve">
call with mgmt:
- $18 million less favorable underwriting ($20 million favorable case experience (PRT))
- $36 million less favorable investment spreads (including $40 million non-coupon)
- expenses and lower fees account for the rest</t>
        </r>
      </text>
    </comment>
    <comment ref="DI221" authorId="4">
      <text>
        <r>
          <rPr>
            <b/>
            <sz val="8"/>
            <color indexed="81"/>
            <rFont val="Tahoma"/>
            <family val="2"/>
          </rPr>
          <t>Laura Sanchez:</t>
        </r>
        <r>
          <rPr>
            <sz val="8"/>
            <color indexed="81"/>
            <rFont val="Tahoma"/>
            <family val="2"/>
          </rPr>
          <t xml:space="preserve">
+55mn: higher. inv. returns in Retirement
</t>
        </r>
      </text>
    </comment>
    <comment ref="DK221" authorId="4">
      <text>
        <r>
          <rPr>
            <b/>
            <sz val="8"/>
            <color indexed="81"/>
            <rFont val="Tahoma"/>
            <family val="2"/>
          </rPr>
          <t>Laura Sanchez:</t>
        </r>
        <r>
          <rPr>
            <sz val="8"/>
            <color indexed="81"/>
            <rFont val="Tahoma"/>
            <family val="2"/>
          </rPr>
          <t xml:space="preserve">
above avg non-coupon investments</t>
        </r>
      </text>
    </comment>
    <comment ref="DM221" authorId="11">
      <text>
        <r>
          <rPr>
            <b/>
            <sz val="9"/>
            <color indexed="81"/>
            <rFont val="Tahoma"/>
            <family val="2"/>
          </rPr>
          <t>Sanchez Bolanos, Laura (Research):</t>
        </r>
        <r>
          <rPr>
            <sz val="9"/>
            <color indexed="81"/>
            <rFont val="Tahoma"/>
            <family val="2"/>
          </rPr>
          <t xml:space="preserve">
above normal returns</t>
        </r>
      </text>
    </comment>
    <comment ref="DO221" authorId="11">
      <text>
        <r>
          <rPr>
            <b/>
            <sz val="9"/>
            <color indexed="81"/>
            <rFont val="Tahoma"/>
            <family val="2"/>
          </rPr>
          <t>Sanchez Bolanos, Laura (Research):</t>
        </r>
        <r>
          <rPr>
            <sz val="9"/>
            <color indexed="81"/>
            <rFont val="Tahoma"/>
            <family val="2"/>
          </rPr>
          <t xml:space="preserve">
$21M increase in core earnings from investment income (incl $35m non-coupon investments above normal partially offset by spread)</t>
        </r>
      </text>
    </comment>
    <comment ref="DQ221" authorId="11">
      <text>
        <r>
          <rPr>
            <b/>
            <sz val="9"/>
            <color indexed="81"/>
            <rFont val="Tahoma"/>
            <family val="2"/>
          </rPr>
          <t>Sanchez Bolanos, Laura (Research):</t>
        </r>
        <r>
          <rPr>
            <sz val="9"/>
            <color indexed="81"/>
            <rFont val="Tahoma"/>
            <family val="2"/>
          </rPr>
          <t xml:space="preserve">
higher non-coupon inv. Income and higher prepayment fees</t>
        </r>
      </text>
    </comment>
    <comment ref="DS221" authorId="11">
      <text>
        <r>
          <rPr>
            <b/>
            <sz val="9"/>
            <color indexed="81"/>
            <rFont val="Tahoma"/>
            <family val="2"/>
          </rPr>
          <t>Sanchez Bolanos, Laura (Research):</t>
        </r>
        <r>
          <rPr>
            <sz val="9"/>
            <color indexed="81"/>
            <rFont val="Tahoma"/>
            <family val="2"/>
          </rPr>
          <t xml:space="preserve">
+15M: returns on non-coupon investments estimated to exceed average expectations
+45M: favorable experience</t>
        </r>
      </text>
    </comment>
    <comment ref="DU221" authorId="1">
      <text>
        <r>
          <rPr>
            <b/>
            <sz val="9"/>
            <color indexed="81"/>
            <rFont val="Tahoma"/>
            <family val="2"/>
          </rPr>
          <t>Gupta, Tanmay (Research):</t>
        </r>
        <r>
          <rPr>
            <sz val="9"/>
            <color indexed="81"/>
            <rFont val="Tahoma"/>
            <family val="2"/>
          </rPr>
          <t xml:space="preserve">
+$25mn - Fav case experience.
- $20mn - Non-coupon below plan</t>
        </r>
      </text>
    </comment>
    <comment ref="DW221" authorId="1">
      <text>
        <r>
          <rPr>
            <b/>
            <sz val="9"/>
            <color indexed="81"/>
            <rFont val="Tahoma"/>
            <family val="2"/>
          </rPr>
          <t>Gupta, Tanmay (Research):</t>
        </r>
        <r>
          <rPr>
            <sz val="9"/>
            <color indexed="81"/>
            <rFont val="Tahoma"/>
            <family val="2"/>
          </rPr>
          <t xml:space="preserve">
+$10mn - Fav. Case exp
-$10mn - non-coupon investments below</t>
        </r>
      </text>
    </comment>
    <comment ref="DY221" authorId="1">
      <text>
        <r>
          <rPr>
            <b/>
            <sz val="9"/>
            <color indexed="81"/>
            <rFont val="Tahoma"/>
            <family val="2"/>
          </rPr>
          <t>Gupta, Tanmay (Research):</t>
        </r>
        <r>
          <rPr>
            <sz val="9"/>
            <color indexed="81"/>
            <rFont val="Tahoma"/>
            <family val="2"/>
          </rPr>
          <t xml:space="preserve">
-$15mn - Higher expenses
-$20mn - non-coupon investments below</t>
        </r>
      </text>
    </comment>
    <comment ref="EA221" authorId="1">
      <text>
        <r>
          <rPr>
            <b/>
            <sz val="9"/>
            <color indexed="81"/>
            <rFont val="Tahoma"/>
            <family val="2"/>
          </rPr>
          <t>Gupta, Tanmay (Research):</t>
        </r>
        <r>
          <rPr>
            <sz val="9"/>
            <color indexed="81"/>
            <rFont val="Tahoma"/>
            <family val="2"/>
          </rPr>
          <t xml:space="preserve">
+$20 mn from favorable PRT case experience
-$40mn non coupon inv</t>
        </r>
      </text>
    </comment>
    <comment ref="EC221" authorId="12">
      <text>
        <r>
          <rPr>
            <b/>
            <sz val="9"/>
            <color indexed="81"/>
            <rFont val="Tahoma"/>
            <family val="2"/>
          </rPr>
          <t>Zheng, Chaodan (Research):</t>
        </r>
        <r>
          <rPr>
            <sz val="9"/>
            <color indexed="81"/>
            <rFont val="Tahoma"/>
            <family val="2"/>
          </rPr>
          <t xml:space="preserve">
-$6 mn mkt driven items
$20 mn positive case exp
$30 mn below average noncoupon</t>
        </r>
      </text>
    </comment>
    <comment ref="EE221" authorId="12">
      <text>
        <r>
          <rPr>
            <b/>
            <sz val="9"/>
            <color indexed="81"/>
            <rFont val="Tahoma"/>
            <family val="2"/>
          </rPr>
          <t>Zheng, Chaodan (Research):</t>
        </r>
        <r>
          <rPr>
            <sz val="9"/>
            <color indexed="81"/>
            <rFont val="Tahoma"/>
            <family val="2"/>
          </rPr>
          <t xml:space="preserve">
$(20) mn positive case exp
$55 mn above average noncoupon</t>
        </r>
      </text>
    </comment>
    <comment ref="EK221" authorId="12">
      <text>
        <r>
          <rPr>
            <b/>
            <sz val="9"/>
            <color indexed="81"/>
            <rFont val="Tahoma"/>
            <family val="2"/>
          </rPr>
          <t>Zheng, Chaodan (Research):</t>
        </r>
        <r>
          <rPr>
            <sz val="9"/>
            <color indexed="81"/>
            <rFont val="Tahoma"/>
            <family val="2"/>
          </rPr>
          <t xml:space="preserve">
$30 mn positive case exp
$25 mn above average noncoupon</t>
        </r>
      </text>
    </comment>
    <comment ref="EM221" authorId="12">
      <text>
        <r>
          <rPr>
            <b/>
            <sz val="9"/>
            <color indexed="81"/>
            <rFont val="Tahoma"/>
            <family val="2"/>
          </rPr>
          <t>Zheng, Chaodan (Research):</t>
        </r>
        <r>
          <rPr>
            <sz val="9"/>
            <color indexed="81"/>
            <rFont val="Tahoma"/>
            <family val="2"/>
          </rPr>
          <t xml:space="preserve">
$30 mn positive case exp
$25 mn above average noncoupon</t>
        </r>
      </text>
    </comment>
    <comment ref="EO221" authorId="12">
      <text>
        <r>
          <rPr>
            <b/>
            <sz val="9"/>
            <color indexed="81"/>
            <rFont val="Tahoma"/>
            <family val="2"/>
          </rPr>
          <t>Zheng, Chaodan (Research):</t>
        </r>
        <r>
          <rPr>
            <sz val="9"/>
            <color indexed="81"/>
            <rFont val="Tahoma"/>
            <family val="2"/>
          </rPr>
          <t xml:space="preserve">
$30 mn positive case exp
$25 mn above average noncoupon</t>
        </r>
      </text>
    </comment>
    <comment ref="CE242" authorId="9">
      <text>
        <r>
          <rPr>
            <b/>
            <sz val="8"/>
            <color indexed="81"/>
            <rFont val="Tahoma"/>
            <family val="2"/>
          </rPr>
          <t>haybuse:</t>
        </r>
        <r>
          <rPr>
            <sz val="8"/>
            <color indexed="81"/>
            <rFont val="Tahoma"/>
            <family val="2"/>
          </rPr>
          <t xml:space="preserve">
mortality $23M unfavorable</t>
        </r>
      </text>
    </comment>
    <comment ref="CG242" authorId="9">
      <text>
        <r>
          <rPr>
            <b/>
            <sz val="8"/>
            <color indexed="81"/>
            <rFont val="Tahoma"/>
            <family val="2"/>
          </rPr>
          <t>haybuse:</t>
        </r>
        <r>
          <rPr>
            <sz val="8"/>
            <color indexed="81"/>
            <rFont val="Tahoma"/>
            <family val="2"/>
          </rPr>
          <t xml:space="preserve">
mortality $42M unfavorable
half of which is expected to just be noise other half due to loss of favorable business</t>
        </r>
      </text>
    </comment>
    <comment ref="DO242" authorId="11">
      <text>
        <r>
          <rPr>
            <b/>
            <sz val="9"/>
            <color indexed="81"/>
            <rFont val="Tahoma"/>
            <family val="2"/>
          </rPr>
          <t>Sanchez Bolanos, Laura (Research):</t>
        </r>
        <r>
          <rPr>
            <sz val="9"/>
            <color indexed="81"/>
            <rFont val="Tahoma"/>
            <family val="2"/>
          </rPr>
          <t xml:space="preserve">
impacted by annual actuarial review</t>
        </r>
      </text>
    </comment>
    <comment ref="DU242" authorId="1">
      <text>
        <r>
          <rPr>
            <b/>
            <sz val="9"/>
            <color indexed="81"/>
            <rFont val="Tahoma"/>
            <family val="2"/>
          </rPr>
          <t>Gupta, Tanmay (Research):</t>
        </r>
        <r>
          <rPr>
            <sz val="9"/>
            <color indexed="81"/>
            <rFont val="Tahoma"/>
            <family val="2"/>
          </rPr>
          <t xml:space="preserve">
impacted by annual actuarial review</t>
        </r>
      </text>
    </comment>
    <comment ref="GL242" authorId="1">
      <text>
        <r>
          <rPr>
            <b/>
            <sz val="9"/>
            <color indexed="81"/>
            <rFont val="Tahoma"/>
            <family val="2"/>
          </rPr>
          <t>Gupta, Tanmay (Research):</t>
        </r>
        <r>
          <rPr>
            <sz val="9"/>
            <color indexed="81"/>
            <rFont val="Tahoma"/>
            <family val="2"/>
          </rPr>
          <t xml:space="preserve">
2016 Outlook: 87-91%</t>
        </r>
      </text>
    </comment>
    <comment ref="GP242" authorId="1">
      <text>
        <r>
          <rPr>
            <b/>
            <sz val="9"/>
            <color indexed="81"/>
            <rFont val="Tahoma"/>
            <family val="2"/>
          </rPr>
          <t>Gupta, Tanmay (Research):</t>
        </r>
        <r>
          <rPr>
            <sz val="9"/>
            <color indexed="81"/>
            <rFont val="Tahoma"/>
            <family val="2"/>
          </rPr>
          <t xml:space="preserve">
2018 outlook: 86-90%</t>
        </r>
      </text>
    </comment>
    <comment ref="AC248" authorId="13">
      <text>
        <r>
          <rPr>
            <sz val="8"/>
            <color indexed="81"/>
            <rFont val="Tahoma"/>
            <family val="2"/>
          </rPr>
          <t>Benefited from $10M PT of favorable mortality.  Run-rate is $45-50M / qtr.</t>
        </r>
      </text>
    </comment>
    <comment ref="AM248" authorId="14">
      <text>
        <r>
          <rPr>
            <sz val="8"/>
            <color indexed="81"/>
            <rFont val="Tahoma"/>
            <family val="2"/>
          </rPr>
          <t>Includes $11M PT of favorable mortality.</t>
        </r>
      </text>
    </comment>
    <comment ref="AO248" authorId="5">
      <text>
        <r>
          <rPr>
            <b/>
            <sz val="8"/>
            <color indexed="81"/>
            <rFont val="Tahoma"/>
            <family val="2"/>
          </rPr>
          <t>dallyn:</t>
        </r>
        <r>
          <rPr>
            <sz val="8"/>
            <color indexed="81"/>
            <rFont val="Tahoma"/>
            <family val="2"/>
          </rPr>
          <t xml:space="preserve">
$27M fav mortality
</t>
        </r>
      </text>
    </comment>
    <comment ref="AQ248" authorId="6">
      <text>
        <r>
          <rPr>
            <sz val="8"/>
            <color indexed="81"/>
            <rFont val="Tahoma"/>
            <family val="2"/>
          </rPr>
          <t>$4 mil gain from prev defaulted bond</t>
        </r>
      </text>
    </comment>
    <comment ref="BA251" authorId="7">
      <text>
        <r>
          <rPr>
            <b/>
            <sz val="8"/>
            <color indexed="81"/>
            <rFont val="Tahoma"/>
            <family val="2"/>
          </rPr>
          <t>Adverse mortality</t>
        </r>
      </text>
    </comment>
    <comment ref="BC251" authorId="7">
      <text>
        <r>
          <rPr>
            <sz val="8"/>
            <color indexed="81"/>
            <rFont val="Tahoma"/>
            <family val="2"/>
          </rPr>
          <t>+$19M DAC Unlocking
+$13M Favorable Mortality</t>
        </r>
      </text>
    </comment>
    <comment ref="BE251" authorId="7">
      <text>
        <r>
          <rPr>
            <sz val="8"/>
            <color indexed="81"/>
            <rFont val="Tahoma"/>
            <family val="2"/>
          </rPr>
          <t>Regulatory settlement</t>
        </r>
      </text>
    </comment>
    <comment ref="BK251" authorId="8">
      <text>
        <r>
          <rPr>
            <b/>
            <sz val="8"/>
            <color indexed="81"/>
            <rFont val="Tahoma"/>
            <family val="2"/>
          </rPr>
          <t>$ 13 Million refinement benefit of Group Disability reserve</t>
        </r>
      </text>
    </comment>
    <comment ref="BO251" authorId="17">
      <text>
        <r>
          <rPr>
            <b/>
            <sz val="8"/>
            <color indexed="81"/>
            <rFont val="Tahoma"/>
            <family val="2"/>
          </rPr>
          <t>Details:</t>
        </r>
        <r>
          <rPr>
            <sz val="8"/>
            <color indexed="81"/>
            <rFont val="Tahoma"/>
            <family val="2"/>
          </rPr>
          <t xml:space="preserve">
Related to current adjustment of premiums in large group case</t>
        </r>
      </text>
    </comment>
    <comment ref="BQ251" authorId="17">
      <text>
        <r>
          <rPr>
            <b/>
            <sz val="8"/>
            <color indexed="81"/>
            <rFont val="Tahoma"/>
            <family val="2"/>
          </rPr>
          <t>Details:</t>
        </r>
        <r>
          <rPr>
            <sz val="8"/>
            <color indexed="81"/>
            <rFont val="Tahoma"/>
            <family val="2"/>
          </rPr>
          <t xml:space="preserve">
Related to current adjustment of premiums in large group case</t>
        </r>
      </text>
    </comment>
    <comment ref="BS251" authorId="17">
      <text>
        <r>
          <rPr>
            <b/>
            <sz val="8"/>
            <color indexed="81"/>
            <rFont val="Tahoma"/>
            <family val="2"/>
          </rPr>
          <t>Details:</t>
        </r>
        <r>
          <rPr>
            <sz val="8"/>
            <color indexed="81"/>
            <rFont val="Tahoma"/>
            <family val="2"/>
          </rPr>
          <t xml:space="preserve">
Related to current adjustment of premiums in large group case</t>
        </r>
      </text>
    </comment>
    <comment ref="BU251" authorId="17">
      <text>
        <r>
          <rPr>
            <b/>
            <sz val="8"/>
            <color indexed="81"/>
            <rFont val="Tahoma"/>
            <family val="2"/>
          </rPr>
          <t>Details:</t>
        </r>
        <r>
          <rPr>
            <sz val="8"/>
            <color indexed="81"/>
            <rFont val="Tahoma"/>
            <family val="2"/>
          </rPr>
          <t xml:space="preserve">
Related to current adjustment of premiums in large group case</t>
        </r>
      </text>
    </comment>
    <comment ref="CG251" authorId="9">
      <text>
        <r>
          <rPr>
            <b/>
            <sz val="8"/>
            <color indexed="81"/>
            <rFont val="Tahoma"/>
            <family val="2"/>
          </rPr>
          <t>haybuse:</t>
        </r>
        <r>
          <rPr>
            <sz val="8"/>
            <color indexed="81"/>
            <rFont val="Tahoma"/>
            <family val="2"/>
          </rPr>
          <t xml:space="preserve">
does not adjust for abnormally high mortality of $21M; tax refinement of -$7M included</t>
        </r>
      </text>
    </comment>
    <comment ref="CI251" authorId="10">
      <text>
        <r>
          <rPr>
            <b/>
            <sz val="8"/>
            <color indexed="81"/>
            <rFont val="Tahoma"/>
            <family val="2"/>
          </rPr>
          <t>mlipton:</t>
        </r>
        <r>
          <rPr>
            <sz val="8"/>
            <color indexed="81"/>
            <rFont val="Tahoma"/>
            <family val="2"/>
          </rPr>
          <t xml:space="preserve">
Reserve Assumption change $28M</t>
        </r>
      </text>
    </comment>
    <comment ref="CQ251" authorId="9">
      <text>
        <r>
          <rPr>
            <b/>
            <sz val="8"/>
            <color indexed="81"/>
            <rFont val="Tahoma"/>
            <family val="2"/>
          </rPr>
          <t>haybuse:</t>
        </r>
        <r>
          <rPr>
            <sz val="8"/>
            <color indexed="81"/>
            <rFont val="Tahoma"/>
            <family val="2"/>
          </rPr>
          <t xml:space="preserve">
DAC unlock related to annual assumption update
Restated w 3Q12 ER</t>
        </r>
      </text>
    </comment>
    <comment ref="CY251" authorId="4">
      <text>
        <r>
          <rPr>
            <b/>
            <sz val="8"/>
            <color indexed="81"/>
            <rFont val="Tahoma"/>
            <family val="2"/>
          </rPr>
          <t>Laura Sanchez:</t>
        </r>
        <r>
          <rPr>
            <sz val="8"/>
            <color indexed="81"/>
            <rFont val="Tahoma"/>
            <family val="2"/>
          </rPr>
          <t xml:space="preserve">
review of assumptions: +7</t>
        </r>
      </text>
    </comment>
    <comment ref="DA251" authorId="4">
      <text>
        <r>
          <rPr>
            <b/>
            <sz val="8"/>
            <color indexed="81"/>
            <rFont val="Tahoma"/>
            <family val="2"/>
          </rPr>
          <t>Laura Sanchez:</t>
        </r>
        <r>
          <rPr>
            <sz val="8"/>
            <color indexed="81"/>
            <rFont val="Tahoma"/>
            <family val="2"/>
          </rPr>
          <t xml:space="preserve">
-12mn: change in reserves
-18mn start-up costs</t>
        </r>
      </text>
    </comment>
    <comment ref="DG251" authorId="4">
      <text>
        <r>
          <rPr>
            <b/>
            <sz val="8"/>
            <color indexed="81"/>
            <rFont val="Tahoma"/>
            <family val="2"/>
          </rPr>
          <t>Laura Sanchez:</t>
        </r>
        <r>
          <rPr>
            <sz val="8"/>
            <color indexed="81"/>
            <rFont val="Tahoma"/>
            <family val="2"/>
          </rPr>
          <t xml:space="preserve">
+45 annual review of assumptions</t>
        </r>
      </text>
    </comment>
    <comment ref="DO251" authorId="11">
      <text>
        <r>
          <rPr>
            <b/>
            <sz val="9"/>
            <color indexed="81"/>
            <rFont val="Tahoma"/>
            <family val="2"/>
          </rPr>
          <t>Sanchez Bolanos, Laura (Research):</t>
        </r>
        <r>
          <rPr>
            <sz val="9"/>
            <color indexed="81"/>
            <rFont val="Tahoma"/>
            <family val="2"/>
          </rPr>
          <t xml:space="preserve">
annual review, primarily LTC related</t>
        </r>
      </text>
    </comment>
    <comment ref="DU251" authorId="1">
      <text>
        <r>
          <rPr>
            <b/>
            <sz val="9"/>
            <color indexed="81"/>
            <rFont val="Tahoma"/>
            <family val="2"/>
          </rPr>
          <t>Gupta, Tanmay (Research):</t>
        </r>
        <r>
          <rPr>
            <sz val="9"/>
            <color indexed="81"/>
            <rFont val="Tahoma"/>
            <family val="2"/>
          </rPr>
          <t xml:space="preserve">
Act review - $28mn</t>
        </r>
      </text>
    </comment>
    <comment ref="EA252" authorId="12">
      <text>
        <r>
          <rPr>
            <b/>
            <sz val="8"/>
            <color indexed="81"/>
            <rFont val="Tahoma"/>
            <family val="2"/>
          </rPr>
          <t>Zheng, Chaodan (Research):</t>
        </r>
        <r>
          <rPr>
            <sz val="8"/>
            <color indexed="81"/>
            <rFont val="Tahoma"/>
            <family val="2"/>
          </rPr>
          <t xml:space="preserve">
call with mgmt:
- $19 milllion from underwriting
- ($14) million investment results - includes $10 million from non-coupon
- ($7) million adverse expenses</t>
        </r>
      </text>
    </comment>
    <comment ref="DK255" authorId="4">
      <text>
        <r>
          <rPr>
            <b/>
            <sz val="8"/>
            <color indexed="81"/>
            <rFont val="Tahoma"/>
            <family val="2"/>
          </rPr>
          <t>Laura Sanchez:</t>
        </r>
        <r>
          <rPr>
            <sz val="8"/>
            <color indexed="81"/>
            <rFont val="Tahoma"/>
            <family val="2"/>
          </rPr>
          <t xml:space="preserve">
above avg non-coupon investments</t>
        </r>
      </text>
    </comment>
    <comment ref="DY255" authorId="1">
      <text>
        <r>
          <rPr>
            <b/>
            <sz val="9"/>
            <color indexed="81"/>
            <rFont val="Tahoma"/>
            <family val="2"/>
          </rPr>
          <t>Gupta, Tanmay (Research):</t>
        </r>
        <r>
          <rPr>
            <sz val="9"/>
            <color indexed="81"/>
            <rFont val="Tahoma"/>
            <family val="2"/>
          </rPr>
          <t xml:space="preserve">
- $5 adverse of non-coupon
- $10 million seasonality in expenses
</t>
        </r>
      </text>
    </comment>
    <comment ref="EA255" authorId="1">
      <text>
        <r>
          <rPr>
            <b/>
            <sz val="9"/>
            <color indexed="81"/>
            <rFont val="Tahoma"/>
            <family val="2"/>
          </rPr>
          <t>Gupta, Tanmay (Research):</t>
        </r>
        <r>
          <rPr>
            <sz val="9"/>
            <color indexed="81"/>
            <rFont val="Tahoma"/>
            <family val="2"/>
          </rPr>
          <t xml:space="preserve">
-$10 mn noncoupon investments below expectations
</t>
        </r>
      </text>
    </comment>
    <comment ref="EC255" authorId="12">
      <text>
        <r>
          <rPr>
            <b/>
            <sz val="9"/>
            <color indexed="81"/>
            <rFont val="Tahoma"/>
            <family val="2"/>
          </rPr>
          <t>Zheng, Chaodan (Research):</t>
        </r>
        <r>
          <rPr>
            <sz val="9"/>
            <color indexed="81"/>
            <rFont val="Tahoma"/>
            <family val="2"/>
          </rPr>
          <t xml:space="preserve">
$41 mn mkt driven favorable exp</t>
        </r>
      </text>
    </comment>
    <comment ref="EE255" authorId="12">
      <text>
        <r>
          <rPr>
            <b/>
            <sz val="9"/>
            <color indexed="81"/>
            <rFont val="Tahoma"/>
            <family val="2"/>
          </rPr>
          <t>Zheng, Chaodan (Research):</t>
        </r>
        <r>
          <rPr>
            <sz val="9"/>
            <color indexed="81"/>
            <rFont val="Tahoma"/>
            <family val="2"/>
          </rPr>
          <t xml:space="preserve">
$10mn non-coupon inv above expectations</t>
        </r>
      </text>
    </comment>
    <comment ref="EK255" authorId="1">
      <text>
        <r>
          <rPr>
            <b/>
            <sz val="9"/>
            <color indexed="81"/>
            <rFont val="Tahoma"/>
            <family val="2"/>
          </rPr>
          <t>Gupta, Tanmay (Research):</t>
        </r>
        <r>
          <rPr>
            <sz val="9"/>
            <color indexed="81"/>
            <rFont val="Tahoma"/>
            <family val="2"/>
          </rPr>
          <t xml:space="preserve">
$30mn: fav case experience</t>
        </r>
      </text>
    </comment>
    <comment ref="EM255" authorId="1">
      <text>
        <r>
          <rPr>
            <b/>
            <sz val="9"/>
            <color indexed="81"/>
            <rFont val="Tahoma"/>
            <family val="2"/>
          </rPr>
          <t>Gupta, Tanmay (Research):</t>
        </r>
        <r>
          <rPr>
            <sz val="9"/>
            <color indexed="81"/>
            <rFont val="Tahoma"/>
            <family val="2"/>
          </rPr>
          <t xml:space="preserve">
$30mn: fav case experience</t>
        </r>
      </text>
    </comment>
    <comment ref="EO255" authorId="1">
      <text>
        <r>
          <rPr>
            <b/>
            <sz val="9"/>
            <color indexed="81"/>
            <rFont val="Tahoma"/>
            <family val="2"/>
          </rPr>
          <t>Gupta, Tanmay (Research):</t>
        </r>
        <r>
          <rPr>
            <sz val="9"/>
            <color indexed="81"/>
            <rFont val="Tahoma"/>
            <family val="2"/>
          </rPr>
          <t xml:space="preserve">
$30mn: fav case experience</t>
        </r>
      </text>
    </comment>
    <comment ref="U258" authorId="18">
      <text>
        <r>
          <rPr>
            <sz val="8"/>
            <color indexed="81"/>
            <rFont val="Tahoma"/>
            <family val="2"/>
          </rPr>
          <t>Stat sup page 20</t>
        </r>
      </text>
    </comment>
    <comment ref="CQ259" authorId="4">
      <text>
        <r>
          <rPr>
            <b/>
            <sz val="8"/>
            <color indexed="81"/>
            <rFont val="Tahoma"/>
            <family val="2"/>
          </rPr>
          <t>Laura Sanchez:</t>
        </r>
        <r>
          <rPr>
            <sz val="8"/>
            <color indexed="81"/>
            <rFont val="Tahoma"/>
            <family val="2"/>
          </rPr>
          <t xml:space="preserve">
Prior this period, Group disability included LTC and dental products
#s restated w/ 3Q12 Suppl</t>
        </r>
      </text>
    </comment>
    <comment ref="CW269" authorId="3">
      <text>
        <r>
          <rPr>
            <b/>
            <sz val="8"/>
            <color indexed="81"/>
            <rFont val="Tahoma"/>
            <family val="2"/>
          </rPr>
          <t>sanclaur:</t>
        </r>
        <r>
          <rPr>
            <sz val="8"/>
            <color indexed="81"/>
            <rFont val="Tahoma"/>
            <family val="2"/>
          </rPr>
          <t xml:space="preserve">
Includes "Other"</t>
        </r>
      </text>
    </comment>
    <comment ref="CY269" authorId="3">
      <text>
        <r>
          <rPr>
            <b/>
            <sz val="8"/>
            <color indexed="81"/>
            <rFont val="Tahoma"/>
            <family val="2"/>
          </rPr>
          <t>sanclaur:</t>
        </r>
        <r>
          <rPr>
            <sz val="8"/>
            <color indexed="81"/>
            <rFont val="Tahoma"/>
            <family val="2"/>
          </rPr>
          <t xml:space="preserve">
Includes "Other"</t>
        </r>
      </text>
    </comment>
    <comment ref="DW269" authorId="12">
      <text>
        <r>
          <rPr>
            <b/>
            <sz val="9"/>
            <color indexed="81"/>
            <rFont val="Tahoma"/>
            <family val="2"/>
          </rPr>
          <t>Zheng, Chaodan (Research):</t>
        </r>
        <r>
          <rPr>
            <sz val="9"/>
            <color indexed="81"/>
            <rFont val="Tahoma"/>
            <family val="2"/>
          </rPr>
          <t xml:space="preserve">
Net money market flows + other pg. 23 supp</t>
        </r>
      </text>
    </comment>
    <comment ref="DY269" authorId="12">
      <text>
        <r>
          <rPr>
            <b/>
            <sz val="9"/>
            <color indexed="81"/>
            <rFont val="Tahoma"/>
            <family val="2"/>
          </rPr>
          <t>Zheng, Chaodan (Research):</t>
        </r>
        <r>
          <rPr>
            <sz val="9"/>
            <color indexed="81"/>
            <rFont val="Tahoma"/>
            <family val="2"/>
          </rPr>
          <t xml:space="preserve">
Net money market flows + other pg. 23 supp</t>
        </r>
      </text>
    </comment>
    <comment ref="CW309" authorId="0">
      <text>
        <r>
          <rPr>
            <b/>
            <sz val="8"/>
            <color indexed="81"/>
            <rFont val="Tahoma"/>
            <family val="2"/>
          </rPr>
          <t>dianaz:</t>
        </r>
        <r>
          <rPr>
            <sz val="8"/>
            <color indexed="81"/>
            <rFont val="Tahoma"/>
            <family val="2"/>
          </rPr>
          <t xml:space="preserve">
Restated with 2Q13 supplement</t>
        </r>
      </text>
    </comment>
    <comment ref="AC316" authorId="13">
      <text>
        <r>
          <rPr>
            <sz val="8"/>
            <color indexed="81"/>
            <rFont val="Tahoma"/>
            <family val="2"/>
          </rPr>
          <t>Pru loses certain revenues due to the Wachovia venture in 3Q03, resulting in lower earnings.</t>
        </r>
      </text>
    </comment>
    <comment ref="AG316" authorId="13">
      <text>
        <r>
          <rPr>
            <sz val="8"/>
            <color indexed="81"/>
            <rFont val="Tahoma"/>
            <family val="2"/>
          </rPr>
          <t>Includes roughly $15M of unusually high fees related to a real estate sale</t>
        </r>
      </text>
    </comment>
    <comment ref="AO316" authorId="5">
      <text>
        <r>
          <rPr>
            <b/>
            <sz val="8"/>
            <color indexed="81"/>
            <rFont val="Tahoma"/>
            <family val="2"/>
          </rPr>
          <t>dallyn:</t>
        </r>
        <r>
          <rPr>
            <sz val="8"/>
            <color indexed="81"/>
            <rFont val="Tahoma"/>
            <family val="2"/>
          </rPr>
          <t xml:space="preserve">
Incl $20 million outsized mortgage securitization income
</t>
        </r>
      </text>
    </comment>
    <comment ref="AQ316" authorId="6">
      <text>
        <r>
          <rPr>
            <sz val="8"/>
            <color indexed="81"/>
            <rFont val="Tahoma"/>
            <family val="2"/>
          </rPr>
          <t>$35 mil abnormal income from single sale in proprietary investments</t>
        </r>
      </text>
    </comment>
    <comment ref="AS316" authorId="7">
      <text>
        <r>
          <rPr>
            <sz val="8"/>
            <color indexed="81"/>
            <rFont val="Tahoma"/>
            <family val="2"/>
          </rPr>
          <t xml:space="preserve">Run rate $82MM.
Includes $23MM in a single sale in principal investments
</t>
        </r>
      </text>
    </comment>
    <comment ref="AU316" authorId="7">
      <text>
        <r>
          <rPr>
            <sz val="8"/>
            <color indexed="81"/>
            <rFont val="Tahoma"/>
            <family val="2"/>
          </rPr>
          <t>Includes $19 million abnormal mortgage securitizations</t>
        </r>
      </text>
    </comment>
    <comment ref="DQ319" authorId="11">
      <text>
        <r>
          <rPr>
            <b/>
            <sz val="9"/>
            <color indexed="81"/>
            <rFont val="Tahoma"/>
            <family val="2"/>
          </rPr>
          <t>Sanchez Bolanos, Laura (Research):</t>
        </r>
        <r>
          <rPr>
            <sz val="9"/>
            <color indexed="81"/>
            <rFont val="Tahoma"/>
            <family val="2"/>
          </rPr>
          <t xml:space="preserve">
release</t>
        </r>
      </text>
    </comment>
    <comment ref="DU319" authorId="1">
      <text>
        <r>
          <rPr>
            <b/>
            <sz val="9"/>
            <color indexed="81"/>
            <rFont val="Tahoma"/>
            <family val="2"/>
          </rPr>
          <t>Gupta, Tanmay (Research):</t>
        </r>
        <r>
          <rPr>
            <sz val="9"/>
            <color indexed="81"/>
            <rFont val="Tahoma"/>
            <family val="2"/>
          </rPr>
          <t xml:space="preserve">
2Q15 call: ITISCM ~ $24mn</t>
        </r>
      </text>
    </comment>
    <comment ref="BA323" authorId="7">
      <text>
        <r>
          <rPr>
            <sz val="8"/>
            <color indexed="81"/>
            <rFont val="Tahoma"/>
            <family val="2"/>
          </rPr>
          <t>One time abnormal investment gain</t>
        </r>
      </text>
    </comment>
    <comment ref="BE323" authorId="7">
      <text>
        <r>
          <rPr>
            <sz val="8"/>
            <color indexed="81"/>
            <rFont val="Tahoma"/>
            <family val="2"/>
          </rPr>
          <t>Incentive fees related to real estate investment gains</t>
        </r>
      </text>
    </comment>
    <comment ref="BG323" authorId="7">
      <text>
        <r>
          <rPr>
            <sz val="8"/>
            <color indexed="81"/>
            <rFont val="Tahoma"/>
            <family val="2"/>
          </rPr>
          <t>+$20M from Proprietary Investment Gain on Fixed Income Fund Invt</t>
        </r>
      </text>
    </comment>
    <comment ref="BK323" authorId="8">
      <text>
        <r>
          <rPr>
            <b/>
            <sz val="8"/>
            <color indexed="81"/>
            <rFont val="Tahoma"/>
            <family val="2"/>
          </rPr>
          <t>$ 42 million of loss from Commercial Mortgage Securitization operations</t>
        </r>
      </text>
    </comment>
    <comment ref="BM323" authorId="9">
      <text>
        <r>
          <rPr>
            <sz val="8"/>
            <color indexed="81"/>
            <rFont val="Tahoma"/>
            <family val="2"/>
          </rPr>
          <t xml:space="preserve">
Includes losses of $49 million from the segment's commercial mortgage securitization operations.</t>
        </r>
      </text>
    </comment>
    <comment ref="BO323" authorId="9">
      <text>
        <r>
          <rPr>
            <sz val="8"/>
            <color indexed="81"/>
            <rFont val="Tahoma"/>
            <family val="2"/>
          </rPr>
          <t xml:space="preserve">
$ 30 million loss from Fixed Investment Fund</t>
        </r>
      </text>
    </comment>
    <comment ref="BQ323" authorId="9">
      <text>
        <r>
          <rPr>
            <sz val="8"/>
            <color indexed="81"/>
            <rFont val="Tahoma"/>
            <family val="2"/>
          </rPr>
          <t xml:space="preserve">
$ 40 million gain from Fixed Investment Fund</t>
        </r>
      </text>
    </comment>
    <comment ref="BS323" authorId="9">
      <text>
        <r>
          <rPr>
            <sz val="8"/>
            <color indexed="81"/>
            <rFont val="Tahoma"/>
            <family val="2"/>
          </rPr>
          <t xml:space="preserve">
$ 40 million gain from Fixed Investment Fund</t>
        </r>
      </text>
    </comment>
    <comment ref="BU323" authorId="9">
      <text>
        <r>
          <rPr>
            <sz val="8"/>
            <color indexed="81"/>
            <rFont val="Tahoma"/>
            <family val="2"/>
          </rPr>
          <t xml:space="preserve">
$ 40 million gain from Fixed Investment Fund</t>
        </r>
      </text>
    </comment>
    <comment ref="CO323" authorId="19">
      <text>
        <r>
          <rPr>
            <b/>
            <sz val="8"/>
            <color indexed="81"/>
            <rFont val="Tahoma"/>
            <family val="2"/>
          </rPr>
          <t>Aerin Lim:</t>
        </r>
        <r>
          <rPr>
            <sz val="8"/>
            <color indexed="81"/>
            <rFont val="Tahoma"/>
            <family val="2"/>
          </rPr>
          <t xml:space="preserve">
sales of a portion of a real estate seed invmt</t>
        </r>
      </text>
    </comment>
    <comment ref="CS323" authorId="4">
      <text>
        <r>
          <rPr>
            <b/>
            <sz val="8"/>
            <color indexed="81"/>
            <rFont val="Tahoma"/>
            <family val="2"/>
          </rPr>
          <t>Laura Sanchez:</t>
        </r>
        <r>
          <rPr>
            <sz val="8"/>
            <color indexed="81"/>
            <rFont val="Tahoma"/>
            <family val="2"/>
          </rPr>
          <t xml:space="preserve">
Sale of Afore  XXI: 96mn; from 4Q12 call w/ mgmt</t>
        </r>
      </text>
    </comment>
    <comment ref="CW323" authorId="3">
      <text>
        <r>
          <rPr>
            <b/>
            <sz val="8"/>
            <color indexed="81"/>
            <rFont val="Tahoma"/>
            <family val="2"/>
          </rPr>
          <t>sanclaur:</t>
        </r>
        <r>
          <rPr>
            <sz val="8"/>
            <color indexed="81"/>
            <rFont val="Tahoma"/>
            <family val="2"/>
          </rPr>
          <t xml:space="preserve">
impairment in a real estate fund investment
</t>
        </r>
      </text>
    </comment>
    <comment ref="DA323" authorId="4">
      <text>
        <r>
          <rPr>
            <b/>
            <sz val="8"/>
            <color indexed="81"/>
            <rFont val="Tahoma"/>
            <family val="2"/>
          </rPr>
          <t>Laura Sanchez:</t>
        </r>
        <r>
          <rPr>
            <sz val="8"/>
            <color indexed="81"/>
            <rFont val="Tahoma"/>
            <family val="2"/>
          </rPr>
          <t xml:space="preserve">
-9mn: impairment on a review of recoverability
+41mn: sale of real estate investment
-49mn: start-up costs</t>
        </r>
      </text>
    </comment>
    <comment ref="EA324" authorId="12">
      <text>
        <r>
          <rPr>
            <b/>
            <sz val="8"/>
            <color indexed="81"/>
            <rFont val="Tahoma"/>
            <family val="2"/>
          </rPr>
          <t>Zheng, Chaodan (Research):</t>
        </r>
        <r>
          <rPr>
            <sz val="8"/>
            <color indexed="81"/>
            <rFont val="Tahoma"/>
            <family val="2"/>
          </rPr>
          <t xml:space="preserve">
call with mgmt:
- $25 million from ITSICM ($22 million for quarter)
- $10 million lower fees - equity strategy AUM down 12%</t>
        </r>
      </text>
    </comment>
    <comment ref="B340" authorId="13">
      <text>
        <r>
          <rPr>
            <sz val="8"/>
            <color indexed="81"/>
            <rFont val="Tahoma"/>
            <family val="2"/>
          </rPr>
          <t>38% of total</t>
        </r>
      </text>
    </comment>
    <comment ref="FP340" authorId="13">
      <text>
        <r>
          <rPr>
            <sz val="9"/>
            <color indexed="81"/>
            <rFont val="Tahoma"/>
            <family val="2"/>
          </rPr>
          <t>Increase due to significant cost reduction at Wachovia, as they take out redundant overhead in the combined organization.</t>
        </r>
      </text>
    </comment>
    <comment ref="B342" authorId="13">
      <text>
        <r>
          <rPr>
            <sz val="8"/>
            <color indexed="81"/>
            <rFont val="Tahoma"/>
            <family val="2"/>
          </rPr>
          <t>38% of the trans cost amount reported in the stat supp under "supplementary info for FA segment"</t>
        </r>
      </text>
    </comment>
    <comment ref="B343" authorId="13">
      <text>
        <r>
          <rPr>
            <sz val="8"/>
            <color indexed="81"/>
            <rFont val="Tahoma"/>
            <family val="2"/>
          </rPr>
          <t>This is a plug between the amount Pru reports as the trans costs and the 38% line above.</t>
        </r>
      </text>
    </comment>
    <comment ref="AE343" authorId="13">
      <text>
        <r>
          <rPr>
            <sz val="8"/>
            <color indexed="81"/>
            <rFont val="Tahoma"/>
            <family val="2"/>
          </rPr>
          <t>Includes a pretax gain of $19 million realized when the transaction was closed on July 1.</t>
        </r>
      </text>
    </comment>
    <comment ref="AS346" authorId="7">
      <text>
        <r>
          <rPr>
            <sz val="8"/>
            <color indexed="81"/>
            <rFont val="Tahoma"/>
            <family val="2"/>
          </rPr>
          <t>$12MM run rate.
Includes -$109MM in accrual for anticipated market timing settlement.</t>
        </r>
      </text>
    </comment>
    <comment ref="EM358" authorId="2">
      <text>
        <r>
          <rPr>
            <b/>
            <sz val="9"/>
            <color indexed="81"/>
            <rFont val="Tahoma"/>
            <family val="2"/>
          </rPr>
          <t>Huang, Bob (Research):</t>
        </r>
        <r>
          <rPr>
            <sz val="9"/>
            <color indexed="81"/>
            <rFont val="Tahoma"/>
            <family val="2"/>
          </rPr>
          <t xml:space="preserve">
Slide pg 15
Foreign denominated activity translated to U.S. dollars at uniform exchange rates for all periods presented, including Japanese yen 112 per U.S. dollar, and Korean won 1,130 per U.S.
dollar. U.S. dollar-denominated activity is included based on the amounts as transacted in U.S. dollars.</t>
        </r>
      </text>
    </comment>
    <comment ref="EO358" authorId="2">
      <text>
        <r>
          <rPr>
            <b/>
            <sz val="9"/>
            <color indexed="81"/>
            <rFont val="Tahoma"/>
            <family val="2"/>
          </rPr>
          <t>Huang, Bob (Research):</t>
        </r>
        <r>
          <rPr>
            <sz val="9"/>
            <color indexed="81"/>
            <rFont val="Tahoma"/>
            <family val="2"/>
          </rPr>
          <t xml:space="preserve">
Slide pg 15
Foreign denominated activity translated to U.S. dollars at uniform exchange rates for all periods presented, including Japanese yen 112 per U.S. dollar, and Korean won 1,130 per U.S.
dollar. U.S. dollar-denominated activity is included based on the amounts as transacted in U.S. dollars.</t>
        </r>
      </text>
    </comment>
    <comment ref="GL358" authorId="1">
      <text>
        <r>
          <rPr>
            <b/>
            <sz val="9"/>
            <color indexed="81"/>
            <rFont val="Tahoma"/>
            <family val="2"/>
          </rPr>
          <t>Gupta, Tanmay (Research):</t>
        </r>
        <r>
          <rPr>
            <sz val="9"/>
            <color indexed="81"/>
            <rFont val="Tahoma"/>
            <family val="2"/>
          </rPr>
          <t xml:space="preserve">
3Q15 guid: Hedging rate for 2016 ~ 106 Yen/USD</t>
        </r>
      </text>
    </comment>
    <comment ref="GN358" authorId="1">
      <text>
        <r>
          <rPr>
            <b/>
            <sz val="9"/>
            <color indexed="81"/>
            <rFont val="Tahoma"/>
            <family val="2"/>
          </rPr>
          <t>Gupta, Tanmay (Research):</t>
        </r>
        <r>
          <rPr>
            <sz val="9"/>
            <color indexed="81"/>
            <rFont val="Tahoma"/>
            <family val="2"/>
          </rPr>
          <t xml:space="preserve">
3Q16 guid: Hedging rate for 2016 ~ 112 Yen/USD
2017 outlook ~112 Yen, ~1,130 Won</t>
        </r>
      </text>
    </comment>
    <comment ref="GP358" authorId="1">
      <text>
        <r>
          <rPr>
            <b/>
            <sz val="9"/>
            <color indexed="81"/>
            <rFont val="Tahoma"/>
            <family val="2"/>
          </rPr>
          <t>Gupta, Tanmay (Research):</t>
        </r>
        <r>
          <rPr>
            <sz val="9"/>
            <color indexed="81"/>
            <rFont val="Tahoma"/>
            <family val="2"/>
          </rPr>
          <t xml:space="preserve">
2018 outlook: hedged at 111</t>
        </r>
      </text>
    </comment>
    <comment ref="DS364" authorId="1">
      <text>
        <r>
          <rPr>
            <b/>
            <sz val="9"/>
            <color indexed="81"/>
            <rFont val="Tahoma"/>
            <family val="2"/>
          </rPr>
          <t>Gupta, Tanmay (Research):</t>
        </r>
        <r>
          <rPr>
            <sz val="9"/>
            <color indexed="81"/>
            <rFont val="Tahoma"/>
            <family val="2"/>
          </rPr>
          <t xml:space="preserve">
Concentration of annual premium revenues in 1Q</t>
        </r>
      </text>
    </comment>
    <comment ref="FP364" authorId="14">
      <text>
        <r>
          <rPr>
            <sz val="8"/>
            <color indexed="81"/>
            <rFont val="Tahoma"/>
            <family val="2"/>
          </rPr>
          <t>Includes the Aoba life acquistion that closes in 1Q05.</t>
        </r>
      </text>
    </comment>
    <comment ref="CG376" authorId="9">
      <text>
        <r>
          <rPr>
            <b/>
            <sz val="8"/>
            <color indexed="81"/>
            <rFont val="Tahoma"/>
            <family val="2"/>
          </rPr>
          <t>haybuse:</t>
        </r>
        <r>
          <rPr>
            <sz val="8"/>
            <color indexed="81"/>
            <rFont val="Tahoma"/>
            <family val="2"/>
          </rPr>
          <t xml:space="preserve">
~10M of abnormal expenses</t>
        </r>
      </text>
    </comment>
    <comment ref="DO380" authorId="11">
      <text>
        <r>
          <rPr>
            <b/>
            <sz val="9"/>
            <color indexed="81"/>
            <rFont val="Tahoma"/>
            <family val="2"/>
          </rPr>
          <t>Sanchez Bolanos, Laura (Research):</t>
        </r>
        <r>
          <rPr>
            <sz val="9"/>
            <color indexed="81"/>
            <rFont val="Tahoma"/>
            <family val="2"/>
          </rPr>
          <t xml:space="preserve">
seasonal higher in 3Q</t>
        </r>
      </text>
    </comment>
    <comment ref="DW380" authorId="11">
      <text>
        <r>
          <rPr>
            <b/>
            <sz val="9"/>
            <color indexed="81"/>
            <rFont val="Tahoma"/>
            <family val="2"/>
          </rPr>
          <t>Sanchez Bolanos, Laura (Research):</t>
        </r>
        <r>
          <rPr>
            <sz val="9"/>
            <color indexed="81"/>
            <rFont val="Tahoma"/>
            <family val="2"/>
          </rPr>
          <t xml:space="preserve">
seasonal higher in 3Q</t>
        </r>
      </text>
    </comment>
    <comment ref="Y383" authorId="13">
      <text>
        <r>
          <rPr>
            <sz val="8"/>
            <color indexed="81"/>
            <rFont val="Tahoma"/>
            <family val="2"/>
          </rPr>
          <t>Earnings include a positive $12 million impact from a true-up in DAC amortization.  Excluding this, earnings would have been $97 million.</t>
        </r>
      </text>
    </comment>
    <comment ref="AO383" authorId="5">
      <text>
        <r>
          <rPr>
            <b/>
            <sz val="8"/>
            <color indexed="81"/>
            <rFont val="Tahoma"/>
            <family val="2"/>
          </rPr>
          <t xml:space="preserve">Incl $11M writedown, run-rate $137
</t>
        </r>
      </text>
    </comment>
    <comment ref="AQ383" authorId="6">
      <text>
        <r>
          <rPr>
            <sz val="8"/>
            <color indexed="81"/>
            <rFont val="Tahoma"/>
            <family val="2"/>
          </rPr>
          <t>5 months of AOBA earnings added $7 million to earnings</t>
        </r>
      </text>
    </comment>
    <comment ref="AU383" authorId="7">
      <text>
        <r>
          <rPr>
            <sz val="8"/>
            <color indexed="81"/>
            <rFont val="Tahoma"/>
            <family val="2"/>
          </rPr>
          <t>Includes $5 million on rebate from guarantee fund, $5 million on actuarial refinement on a product, run rate $207</t>
        </r>
      </text>
    </comment>
    <comment ref="DS383" authorId="1">
      <text>
        <r>
          <rPr>
            <b/>
            <sz val="9"/>
            <color indexed="81"/>
            <rFont val="Tahoma"/>
            <family val="2"/>
          </rPr>
          <t>Gupta, Tanmay (Research):</t>
        </r>
        <r>
          <rPr>
            <sz val="9"/>
            <color indexed="81"/>
            <rFont val="Tahoma"/>
            <family val="2"/>
          </rPr>
          <t xml:space="preserve">
1Q seasonally highest</t>
        </r>
      </text>
    </comment>
    <comment ref="FP383" authorId="14">
      <text>
        <r>
          <rPr>
            <sz val="8"/>
            <color indexed="81"/>
            <rFont val="Tahoma"/>
            <family val="2"/>
          </rPr>
          <t>Includes the Aoba life acquistion that closes in 1Q05.</t>
        </r>
      </text>
    </comment>
    <comment ref="BC386" authorId="7">
      <text>
        <r>
          <rPr>
            <sz val="8"/>
            <color indexed="81"/>
            <rFont val="Tahoma"/>
            <family val="2"/>
          </rPr>
          <t>+$10M Favorable Mortality</t>
        </r>
      </text>
    </comment>
    <comment ref="BK386" authorId="8">
      <text>
        <r>
          <rPr>
            <b/>
            <sz val="8"/>
            <color indexed="81"/>
            <rFont val="Tahoma"/>
            <family val="2"/>
          </rPr>
          <t>$ 53 Million reduction in MV of ext managed investments</t>
        </r>
      </text>
    </comment>
    <comment ref="BM386" authorId="8">
      <text>
        <r>
          <rPr>
            <sz val="8"/>
            <color indexed="81"/>
            <rFont val="Tahoma"/>
            <family val="2"/>
          </rPr>
          <t>Reflects decreases of $49 million in market value of cetain externally managed investments.</t>
        </r>
      </text>
    </comment>
    <comment ref="BY386" authorId="9">
      <text>
        <r>
          <rPr>
            <b/>
            <sz val="8"/>
            <color indexed="81"/>
            <rFont val="Tahoma"/>
            <family val="2"/>
          </rPr>
          <t>haybuse:</t>
        </r>
        <r>
          <rPr>
            <sz val="8"/>
            <color indexed="81"/>
            <rFont val="Tahoma"/>
            <family val="2"/>
          </rPr>
          <t xml:space="preserve">
new valuation system adjustment</t>
        </r>
      </text>
    </comment>
    <comment ref="CA386" authorId="9">
      <text>
        <r>
          <rPr>
            <b/>
            <sz val="8"/>
            <color indexed="81"/>
            <rFont val="Tahoma"/>
            <family val="2"/>
          </rPr>
          <t>haybuse:</t>
        </r>
        <r>
          <rPr>
            <sz val="8"/>
            <color indexed="81"/>
            <rFont val="Tahoma"/>
            <family val="2"/>
          </rPr>
          <t xml:space="preserve">
higher surrenders from yamato</t>
        </r>
      </text>
    </comment>
    <comment ref="CC386" authorId="9">
      <text>
        <r>
          <rPr>
            <b/>
            <sz val="8"/>
            <color indexed="81"/>
            <rFont val="Tahoma"/>
            <family val="2"/>
          </rPr>
          <t>haybuse:</t>
        </r>
        <r>
          <rPr>
            <sz val="8"/>
            <color indexed="81"/>
            <rFont val="Tahoma"/>
            <family val="2"/>
          </rPr>
          <t xml:space="preserve">
-11M tech expenses offset by $11M benefit from Yamoto</t>
        </r>
      </text>
    </comment>
    <comment ref="CM386" authorId="10">
      <text>
        <r>
          <rPr>
            <b/>
            <sz val="8"/>
            <color indexed="81"/>
            <rFont val="Tahoma"/>
            <family val="2"/>
          </rPr>
          <t>mlipton:</t>
        </r>
        <r>
          <rPr>
            <sz val="8"/>
            <color indexed="81"/>
            <rFont val="Tahoma"/>
            <family val="2"/>
          </rPr>
          <t xml:space="preserve">
$19M Japan Impact. </t>
        </r>
      </text>
    </comment>
    <comment ref="CO386" authorId="10">
      <text>
        <r>
          <rPr>
            <sz val="8"/>
            <color indexed="81"/>
            <rFont val="Tahoma"/>
            <family val="2"/>
          </rPr>
          <t xml:space="preserve">$50M Japan Impact. </t>
        </r>
      </text>
    </comment>
    <comment ref="CY386" authorId="4">
      <text>
        <r>
          <rPr>
            <b/>
            <sz val="8"/>
            <color indexed="81"/>
            <rFont val="Tahoma"/>
            <family val="2"/>
          </rPr>
          <t>Laura Sanchez:</t>
        </r>
        <r>
          <rPr>
            <sz val="8"/>
            <color indexed="81"/>
            <rFont val="Tahoma"/>
            <family val="2"/>
          </rPr>
          <t xml:space="preserve">
annual review assumptions: +20</t>
        </r>
      </text>
    </comment>
    <comment ref="DG386" authorId="4">
      <text>
        <r>
          <rPr>
            <b/>
            <sz val="8"/>
            <color indexed="81"/>
            <rFont val="Tahoma"/>
            <family val="2"/>
          </rPr>
          <t>Laura Sanchez:</t>
        </r>
        <r>
          <rPr>
            <sz val="8"/>
            <color indexed="81"/>
            <rFont val="Tahoma"/>
            <family val="2"/>
          </rPr>
          <t xml:space="preserve">
+19 annual review of assumptions</t>
        </r>
      </text>
    </comment>
    <comment ref="DI386" authorId="4">
      <text>
        <r>
          <rPr>
            <b/>
            <sz val="8"/>
            <color indexed="81"/>
            <rFont val="Tahoma"/>
            <family val="2"/>
          </rPr>
          <t>Laura Sanchez:</t>
        </r>
        <r>
          <rPr>
            <sz val="8"/>
            <color indexed="81"/>
            <rFont val="Tahoma"/>
            <family val="2"/>
          </rPr>
          <t xml:space="preserve">
reserves</t>
        </r>
      </text>
    </comment>
    <comment ref="DK386" authorId="4">
      <text>
        <r>
          <rPr>
            <b/>
            <sz val="8"/>
            <color indexed="81"/>
            <rFont val="Tahoma"/>
            <family val="2"/>
          </rPr>
          <t>Laura Sanchez:</t>
        </r>
        <r>
          <rPr>
            <sz val="8"/>
            <color indexed="81"/>
            <rFont val="Tahoma"/>
            <family val="2"/>
          </rPr>
          <t xml:space="preserve">
refinements of reserves and related items</t>
        </r>
      </text>
    </comment>
    <comment ref="DO386" authorId="11">
      <text>
        <r>
          <rPr>
            <b/>
            <sz val="9"/>
            <color indexed="81"/>
            <rFont val="Tahoma"/>
            <family val="2"/>
          </rPr>
          <t>Sanchez Bolanos, Laura (Research):</t>
        </r>
        <r>
          <rPr>
            <sz val="9"/>
            <color indexed="81"/>
            <rFont val="Tahoma"/>
            <family val="2"/>
          </rPr>
          <t xml:space="preserve">
annual review</t>
        </r>
      </text>
    </comment>
    <comment ref="DQ386" authorId="11">
      <text>
        <r>
          <rPr>
            <b/>
            <sz val="9"/>
            <color indexed="81"/>
            <rFont val="Tahoma"/>
            <family val="2"/>
          </rPr>
          <t>Sanchez Bolanos, Laura (Research):</t>
        </r>
        <r>
          <rPr>
            <sz val="9"/>
            <color indexed="81"/>
            <rFont val="Tahoma"/>
            <family val="2"/>
          </rPr>
          <t xml:space="preserve">
-8M reserve refinement</t>
        </r>
      </text>
    </comment>
    <comment ref="DU386" authorId="1">
      <text>
        <r>
          <rPr>
            <b/>
            <sz val="9"/>
            <color indexed="81"/>
            <rFont val="Tahoma"/>
            <family val="2"/>
          </rPr>
          <t>Gupta, Tanmay (Research):</t>
        </r>
        <r>
          <rPr>
            <sz val="9"/>
            <color indexed="81"/>
            <rFont val="Tahoma"/>
            <family val="2"/>
          </rPr>
          <t xml:space="preserve">
Act Review - $(11)mn</t>
        </r>
      </text>
    </comment>
    <comment ref="EA387" authorId="12">
      <text>
        <r>
          <rPr>
            <b/>
            <sz val="8"/>
            <color indexed="81"/>
            <rFont val="Tahoma"/>
            <family val="2"/>
          </rPr>
          <t>Zheng, Chaodan (Research):</t>
        </r>
        <r>
          <rPr>
            <sz val="8"/>
            <color indexed="81"/>
            <rFont val="Tahoma"/>
            <family val="2"/>
          </rPr>
          <t xml:space="preserve">
call with mgmt:
- $33 million growth
- ($13) million mortality
- ($13) million expense
- ($6) million investment margins, includes $5 million non-coupon
- ($30) million FX</t>
        </r>
      </text>
    </comment>
    <comment ref="EI387" authorId="1">
      <text>
        <r>
          <rPr>
            <b/>
            <sz val="9"/>
            <color indexed="81"/>
            <rFont val="Tahoma"/>
            <family val="2"/>
          </rPr>
          <t>Gupta, Tanmay (Research):</t>
        </r>
        <r>
          <rPr>
            <sz val="9"/>
            <color indexed="81"/>
            <rFont val="Tahoma"/>
            <family val="2"/>
          </rPr>
          <t xml:space="preserve">
Seasonally strongest in 1Q</t>
        </r>
      </text>
    </comment>
    <comment ref="EQ387" authorId="1">
      <text>
        <r>
          <rPr>
            <b/>
            <sz val="9"/>
            <color indexed="81"/>
            <rFont val="Tahoma"/>
            <family val="2"/>
          </rPr>
          <t>Gupta, Tanmay (Research):</t>
        </r>
        <r>
          <rPr>
            <sz val="9"/>
            <color indexed="81"/>
            <rFont val="Tahoma"/>
            <family val="2"/>
          </rPr>
          <t xml:space="preserve">
Seasonally strongest in 1Q</t>
        </r>
      </text>
    </comment>
    <comment ref="DC390" authorId="15">
      <text>
        <r>
          <rPr>
            <b/>
            <sz val="8"/>
            <color indexed="81"/>
            <rFont val="Tahoma"/>
            <family val="2"/>
          </rPr>
          <t>hayleyl:</t>
        </r>
        <r>
          <rPr>
            <sz val="8"/>
            <color indexed="81"/>
            <rFont val="Tahoma"/>
            <family val="2"/>
          </rPr>
          <t xml:space="preserve">
favorable mortality</t>
        </r>
      </text>
    </comment>
    <comment ref="DM390" authorId="11">
      <text>
        <r>
          <rPr>
            <b/>
            <sz val="9"/>
            <color indexed="81"/>
            <rFont val="Tahoma"/>
            <family val="2"/>
          </rPr>
          <t>Sanchez Bolanos, Laura (Research):</t>
        </r>
        <r>
          <rPr>
            <sz val="9"/>
            <color indexed="81"/>
            <rFont val="Tahoma"/>
            <family val="2"/>
          </rPr>
          <t xml:space="preserve">
favorable mortality</t>
        </r>
      </text>
    </comment>
    <comment ref="DO390" authorId="11">
      <text>
        <r>
          <rPr>
            <b/>
            <sz val="9"/>
            <color indexed="81"/>
            <rFont val="Tahoma"/>
            <family val="2"/>
          </rPr>
          <t>Sanchez Bolanos, Laura (Research):</t>
        </r>
        <r>
          <rPr>
            <sz val="9"/>
            <color indexed="81"/>
            <rFont val="Tahoma"/>
            <family val="2"/>
          </rPr>
          <t xml:space="preserve">
$10M favorable mortality
-$32M higher expenses – IT and acquisition expenses; seem likely to persist at current level
</t>
        </r>
      </text>
    </comment>
    <comment ref="DQ390" authorId="11">
      <text>
        <r>
          <rPr>
            <b/>
            <sz val="9"/>
            <color indexed="81"/>
            <rFont val="Tahoma"/>
            <family val="2"/>
          </rPr>
          <t>Sanchez Bolanos, Laura (Research):</t>
        </r>
        <r>
          <rPr>
            <sz val="9"/>
            <color indexed="81"/>
            <rFont val="Tahoma"/>
            <family val="2"/>
          </rPr>
          <t xml:space="preserve">
+25m fav claims experience (release)</t>
        </r>
      </text>
    </comment>
    <comment ref="DS390" authorId="11">
      <text>
        <r>
          <rPr>
            <b/>
            <sz val="9"/>
            <color indexed="81"/>
            <rFont val="Tahoma"/>
            <family val="2"/>
          </rPr>
          <t>Sanchez Bolanos, Laura (Research):</t>
        </r>
        <r>
          <rPr>
            <sz val="9"/>
            <color indexed="81"/>
            <rFont val="Tahoma"/>
            <family val="2"/>
          </rPr>
          <t xml:space="preserve">
15mn favorable mortality
30mn seasonality in production levels</t>
        </r>
      </text>
    </comment>
    <comment ref="DY390" authorId="1">
      <text>
        <r>
          <rPr>
            <b/>
            <sz val="9"/>
            <color indexed="81"/>
            <rFont val="Tahoma"/>
            <family val="2"/>
          </rPr>
          <t>Gupta, Tanmay (Research):</t>
        </r>
        <r>
          <rPr>
            <sz val="9"/>
            <color indexed="81"/>
            <rFont val="Tahoma"/>
            <family val="2"/>
          </rPr>
          <t xml:space="preserve">
Favorable mortality of $10 million
 -$40 million seasonality in expenses
</t>
        </r>
      </text>
    </comment>
    <comment ref="EA390" authorId="1">
      <text>
        <r>
          <rPr>
            <b/>
            <sz val="9"/>
            <color indexed="81"/>
            <rFont val="Tahoma"/>
            <family val="2"/>
          </rPr>
          <t>Gupta, Tanmay (Research):</t>
        </r>
        <r>
          <rPr>
            <sz val="9"/>
            <color indexed="81"/>
            <rFont val="Tahoma"/>
            <family val="2"/>
          </rPr>
          <t xml:space="preserve">
-$5mn non coupon inv
</t>
        </r>
      </text>
    </comment>
    <comment ref="EC390" authorId="12">
      <text>
        <r>
          <rPr>
            <b/>
            <sz val="9"/>
            <color indexed="81"/>
            <rFont val="Tahoma"/>
            <family val="2"/>
          </rPr>
          <t>Zheng, Chaodan (Research):</t>
        </r>
        <r>
          <rPr>
            <sz val="9"/>
            <color indexed="81"/>
            <rFont val="Tahoma"/>
            <family val="2"/>
          </rPr>
          <t xml:space="preserve">
-$38 mn actuarial assumptions (interest rate related)
$10 mn favorable mortality
</t>
        </r>
      </text>
    </comment>
    <comment ref="EE390" authorId="12">
      <text>
        <r>
          <rPr>
            <b/>
            <sz val="9"/>
            <color indexed="81"/>
            <rFont val="Tahoma"/>
            <family val="2"/>
          </rPr>
          <t>Zheng, Chaodan (Research):</t>
        </r>
        <r>
          <rPr>
            <sz val="9"/>
            <color indexed="81"/>
            <rFont val="Tahoma"/>
            <family val="2"/>
          </rPr>
          <t xml:space="preserve">
- $10mn benefit from higher than average from claims experience
- $23mn f/x impact inc hedging</t>
        </r>
      </text>
    </comment>
    <comment ref="EK390" authorId="1">
      <text>
        <r>
          <rPr>
            <b/>
            <sz val="9"/>
            <color indexed="81"/>
            <rFont val="Tahoma"/>
            <family val="2"/>
          </rPr>
          <t>Gupta, Tanmay (Research):</t>
        </r>
        <r>
          <rPr>
            <sz val="9"/>
            <color indexed="81"/>
            <rFont val="Tahoma"/>
            <family val="2"/>
          </rPr>
          <t xml:space="preserve">
$20mn: fav case exp
$10mn: non-coupon
$(25)mn: higher expenses</t>
        </r>
      </text>
    </comment>
    <comment ref="EM390" authorId="1">
      <text>
        <r>
          <rPr>
            <b/>
            <sz val="9"/>
            <color indexed="81"/>
            <rFont val="Tahoma"/>
            <family val="2"/>
          </rPr>
          <t>Gupta, Tanmay (Research):</t>
        </r>
        <r>
          <rPr>
            <sz val="9"/>
            <color indexed="81"/>
            <rFont val="Tahoma"/>
            <family val="2"/>
          </rPr>
          <t xml:space="preserve">
$20mn: fav case exp
$10mn: non-coupon
$(25)mn: higher expenses</t>
        </r>
      </text>
    </comment>
    <comment ref="EO390" authorId="1">
      <text>
        <r>
          <rPr>
            <b/>
            <sz val="9"/>
            <color indexed="81"/>
            <rFont val="Tahoma"/>
            <family val="2"/>
          </rPr>
          <t>Gupta, Tanmay (Research):</t>
        </r>
        <r>
          <rPr>
            <sz val="9"/>
            <color indexed="81"/>
            <rFont val="Tahoma"/>
            <family val="2"/>
          </rPr>
          <t xml:space="preserve">
$20mn: fav case exp
$10mn: non-coupon
$(25)mn: higher expenses</t>
        </r>
      </text>
    </comment>
    <comment ref="DU402" authorId="1">
      <text>
        <r>
          <rPr>
            <b/>
            <sz val="9"/>
            <color indexed="81"/>
            <rFont val="Tahoma"/>
            <family val="2"/>
          </rPr>
          <t>Gupta, Tanmay (Research):</t>
        </r>
        <r>
          <rPr>
            <sz val="9"/>
            <color indexed="81"/>
            <rFont val="Tahoma"/>
            <family val="2"/>
          </rPr>
          <t xml:space="preserve">
Concentration of annual premium revenues in 2Q</t>
        </r>
      </text>
    </comment>
    <comment ref="EG402" authorId="1">
      <text>
        <r>
          <rPr>
            <b/>
            <sz val="9"/>
            <color indexed="81"/>
            <rFont val="Tahoma"/>
            <family val="2"/>
          </rPr>
          <t>Gupta, Tanmay (Research):</t>
        </r>
        <r>
          <rPr>
            <sz val="9"/>
            <color indexed="81"/>
            <rFont val="Tahoma"/>
            <family val="2"/>
          </rPr>
          <t xml:space="preserve">
seasonally weakest in 4Q</t>
        </r>
      </text>
    </comment>
    <comment ref="EW402" authorId="1">
      <text>
        <r>
          <rPr>
            <b/>
            <sz val="9"/>
            <color indexed="81"/>
            <rFont val="Tahoma"/>
            <family val="2"/>
          </rPr>
          <t>Gupta, Tanmay (Research):</t>
        </r>
        <r>
          <rPr>
            <sz val="9"/>
            <color indexed="81"/>
            <rFont val="Tahoma"/>
            <family val="2"/>
          </rPr>
          <t xml:space="preserve">
seasonally weakest in 4Q</t>
        </r>
      </text>
    </comment>
    <comment ref="CI406" authorId="10">
      <text>
        <r>
          <rPr>
            <b/>
            <sz val="8"/>
            <color indexed="81"/>
            <rFont val="Tahoma"/>
            <family val="2"/>
          </rPr>
          <t>mlipton:</t>
        </r>
        <r>
          <rPr>
            <sz val="8"/>
            <color indexed="81"/>
            <rFont val="Tahoma"/>
            <family val="2"/>
          </rPr>
          <t xml:space="preserve">
Strong non interest returns from equities and pooled funds. </t>
        </r>
      </text>
    </comment>
    <comment ref="DQ418" authorId="11">
      <text>
        <r>
          <rPr>
            <b/>
            <sz val="9"/>
            <color indexed="81"/>
            <rFont val="Tahoma"/>
            <family val="2"/>
          </rPr>
          <t>Sanchez Bolanos, Laura (Research):</t>
        </r>
        <r>
          <rPr>
            <sz val="9"/>
            <color indexed="81"/>
            <rFont val="Tahoma"/>
            <family val="2"/>
          </rPr>
          <t xml:space="preserve">
seasonality in 4Q</t>
        </r>
      </text>
    </comment>
    <comment ref="W422" authorId="13">
      <text>
        <r>
          <rPr>
            <sz val="8"/>
            <color indexed="81"/>
            <rFont val="Tahoma"/>
            <family val="2"/>
          </rPr>
          <t>Includes a $9M gain from decreases in its estiamte liability for guaranty fund assessments.</t>
        </r>
      </text>
    </comment>
    <comment ref="Y422" authorId="13">
      <text>
        <r>
          <rPr>
            <sz val="8"/>
            <color indexed="81"/>
            <rFont val="Tahoma"/>
            <family val="2"/>
          </rPr>
          <t>Earnings include a $11 million reserve strengthening reflecting greater than expected policy retention, and a $15 million true-up of liabilities for paid up additions (relating to additional insurance).  Adding these back, earnings would have been $97 million.</t>
        </r>
      </text>
    </comment>
    <comment ref="AA422" authorId="13">
      <text>
        <r>
          <rPr>
            <sz val="8"/>
            <color indexed="81"/>
            <rFont val="Tahoma"/>
            <family val="2"/>
          </rPr>
          <t>Includes a $15 million reserve strengthening to account for stronger policy persistency.</t>
        </r>
      </text>
    </comment>
    <comment ref="AE422" authorId="13">
      <text>
        <r>
          <rPr>
            <sz val="8"/>
            <color indexed="81"/>
            <rFont val="Tahoma"/>
            <family val="2"/>
          </rPr>
          <t>Includes a $9M gain from decreases in its estiamte liability for guaranty fund assessments (similar to 3Q02).</t>
        </r>
      </text>
    </comment>
    <comment ref="AI422" authorId="13">
      <text>
        <r>
          <rPr>
            <sz val="8"/>
            <color indexed="81"/>
            <rFont val="Tahoma"/>
            <family val="2"/>
          </rPr>
          <t>Includes a $12 million reserve strengthening to account for stronger policy persistency.</t>
        </r>
      </text>
    </comment>
    <comment ref="AK422" authorId="14">
      <text>
        <r>
          <rPr>
            <sz val="8"/>
            <color indexed="81"/>
            <rFont val="Tahoma"/>
            <family val="2"/>
          </rPr>
          <t>Includes $9M of reserve release related to a reduction in policyholder liabilities.</t>
        </r>
      </text>
    </comment>
    <comment ref="AO422" authorId="5">
      <text>
        <r>
          <rPr>
            <b/>
            <sz val="8"/>
            <color indexed="81"/>
            <rFont val="Tahoma"/>
            <family val="2"/>
          </rPr>
          <t>dallyn:</t>
        </r>
        <r>
          <rPr>
            <sz val="8"/>
            <color indexed="81"/>
            <rFont val="Tahoma"/>
            <family val="2"/>
          </rPr>
          <t xml:space="preserve">
Incl $4 million of sev exp.
</t>
        </r>
      </text>
    </comment>
    <comment ref="AS422" authorId="7">
      <text>
        <r>
          <rPr>
            <sz val="8"/>
            <color indexed="81"/>
            <rFont val="Tahoma"/>
            <family val="2"/>
          </rPr>
          <t>Run rate $112MM
Includes $9MM reserve true up, $8MM abnormal investment income, and $15MM in seasonality</t>
        </r>
      </text>
    </comment>
    <comment ref="AU422" authorId="7">
      <text>
        <r>
          <rPr>
            <sz val="8"/>
            <color indexed="81"/>
            <rFont val="Tahoma"/>
            <family val="2"/>
          </rPr>
          <t>Includes $10 million rebate from guaranteed fund, run rate $131 MM</t>
        </r>
      </text>
    </comment>
    <comment ref="CM422" authorId="9">
      <text>
        <r>
          <rPr>
            <b/>
            <sz val="8"/>
            <color indexed="81"/>
            <rFont val="Tahoma"/>
            <family val="2"/>
          </rPr>
          <t>haybuse:</t>
        </r>
        <r>
          <rPr>
            <sz val="8"/>
            <color indexed="81"/>
            <rFont val="Tahoma"/>
            <family val="2"/>
          </rPr>
          <t xml:space="preserve">
includes 1 month of Star Edison of $34</t>
        </r>
      </text>
    </comment>
    <comment ref="EG422" authorId="1">
      <text>
        <r>
          <rPr>
            <b/>
            <sz val="9"/>
            <color indexed="81"/>
            <rFont val="Tahoma"/>
            <family val="2"/>
          </rPr>
          <t>Gupta, Tanmay (Research):</t>
        </r>
        <r>
          <rPr>
            <sz val="9"/>
            <color indexed="81"/>
            <rFont val="Tahoma"/>
            <family val="2"/>
          </rPr>
          <t xml:space="preserve">
seasonally weakest in 4Q</t>
        </r>
      </text>
    </comment>
    <comment ref="EK422" authorId="1">
      <text>
        <r>
          <rPr>
            <b/>
            <sz val="9"/>
            <color indexed="81"/>
            <rFont val="Tahoma"/>
            <family val="2"/>
          </rPr>
          <t>Gupta, Tanmay (Research):</t>
        </r>
        <r>
          <rPr>
            <sz val="9"/>
            <color indexed="81"/>
            <rFont val="Tahoma"/>
            <family val="2"/>
          </rPr>
          <t xml:space="preserve">
Seasonally strongest in 2Q</t>
        </r>
      </text>
    </comment>
    <comment ref="ES422" authorId="1">
      <text>
        <r>
          <rPr>
            <b/>
            <sz val="9"/>
            <color indexed="81"/>
            <rFont val="Tahoma"/>
            <family val="2"/>
          </rPr>
          <t>Gupta, Tanmay (Research):</t>
        </r>
        <r>
          <rPr>
            <sz val="9"/>
            <color indexed="81"/>
            <rFont val="Tahoma"/>
            <family val="2"/>
          </rPr>
          <t xml:space="preserve">
2Q strongest</t>
        </r>
      </text>
    </comment>
    <comment ref="EW422" authorId="1">
      <text>
        <r>
          <rPr>
            <b/>
            <sz val="9"/>
            <color indexed="81"/>
            <rFont val="Tahoma"/>
            <family val="2"/>
          </rPr>
          <t>Gupta, Tanmay (Research):</t>
        </r>
        <r>
          <rPr>
            <sz val="9"/>
            <color indexed="81"/>
            <rFont val="Tahoma"/>
            <family val="2"/>
          </rPr>
          <t xml:space="preserve">
seasonally weakest in 4Q</t>
        </r>
      </text>
    </comment>
    <comment ref="CS425" authorId="9">
      <text>
        <r>
          <rPr>
            <b/>
            <sz val="8"/>
            <color indexed="81"/>
            <rFont val="Tahoma"/>
            <family val="2"/>
          </rPr>
          <t>haybuse:</t>
        </r>
        <r>
          <rPr>
            <sz val="8"/>
            <color indexed="81"/>
            <rFont val="Tahoma"/>
            <family val="2"/>
          </rPr>
          <t xml:space="preserve">
press release</t>
        </r>
      </text>
    </comment>
    <comment ref="BA427" authorId="7">
      <text>
        <r>
          <rPr>
            <sz val="8"/>
            <color indexed="81"/>
            <rFont val="Tahoma"/>
            <family val="2"/>
          </rPr>
          <t>-$10MM adverse mortality
-$17MM reserve charge</t>
        </r>
      </text>
    </comment>
    <comment ref="BC427" authorId="7">
      <text>
        <r>
          <rPr>
            <sz val="8"/>
            <color indexed="81"/>
            <rFont val="Tahoma"/>
            <family val="2"/>
          </rPr>
          <t>+$13M Abnormal Investment Income</t>
        </r>
      </text>
    </comment>
    <comment ref="BM427" authorId="9">
      <text>
        <r>
          <rPr>
            <sz val="8"/>
            <color indexed="81"/>
            <rFont val="Tahoma"/>
            <family val="2"/>
          </rPr>
          <t>reflects a decrease of $8 million in market value of certain externally managed investments</t>
        </r>
      </text>
    </comment>
    <comment ref="BO427" authorId="9">
      <text>
        <r>
          <rPr>
            <sz val="8"/>
            <color indexed="81"/>
            <rFont val="Tahoma"/>
            <family val="2"/>
          </rPr>
          <t>reflects a decrease of $8 million in market value of certain externally managed investments</t>
        </r>
      </text>
    </comment>
    <comment ref="BQ427" authorId="9">
      <text>
        <r>
          <rPr>
            <sz val="8"/>
            <color indexed="81"/>
            <rFont val="Tahoma"/>
            <family val="2"/>
          </rPr>
          <t>reflects a decrease of $8 million in market value of certain externally managed investments</t>
        </r>
      </text>
    </comment>
    <comment ref="BS427" authorId="9">
      <text>
        <r>
          <rPr>
            <sz val="8"/>
            <color indexed="81"/>
            <rFont val="Tahoma"/>
            <family val="2"/>
          </rPr>
          <t>reflects a decrease of $8 million in market value of certain externally managed investments</t>
        </r>
      </text>
    </comment>
    <comment ref="BU427" authorId="9">
      <text>
        <r>
          <rPr>
            <sz val="8"/>
            <color indexed="81"/>
            <rFont val="Tahoma"/>
            <family val="2"/>
          </rPr>
          <t>reflects a decrease of $8 million in market value of certain externally managed investments</t>
        </r>
      </text>
    </comment>
    <comment ref="BY427" authorId="9">
      <text>
        <r>
          <rPr>
            <b/>
            <sz val="8"/>
            <color indexed="81"/>
            <rFont val="Tahoma"/>
            <family val="2"/>
          </rPr>
          <t>haybuse:</t>
        </r>
        <r>
          <rPr>
            <sz val="8"/>
            <color indexed="81"/>
            <rFont val="Tahoma"/>
            <family val="2"/>
          </rPr>
          <t xml:space="preserve">
new valuation system adj: 21</t>
        </r>
      </text>
    </comment>
    <comment ref="CG427" authorId="9">
      <text>
        <r>
          <rPr>
            <b/>
            <sz val="8"/>
            <color indexed="81"/>
            <rFont val="Tahoma"/>
            <family val="2"/>
          </rPr>
          <t>haybuse:</t>
        </r>
        <r>
          <rPr>
            <sz val="8"/>
            <color indexed="81"/>
            <rFont val="Tahoma"/>
            <family val="2"/>
          </rPr>
          <t xml:space="preserve">
yamato
also 5M unfavorable currency but not adjusted for</t>
        </r>
      </text>
    </comment>
    <comment ref="CI427" authorId="10">
      <text>
        <r>
          <rPr>
            <b/>
            <sz val="8"/>
            <color indexed="81"/>
            <rFont val="Tahoma"/>
            <family val="2"/>
          </rPr>
          <t>mlipton:</t>
        </r>
        <r>
          <rPr>
            <sz val="8"/>
            <color indexed="81"/>
            <rFont val="Tahoma"/>
            <family val="2"/>
          </rPr>
          <t xml:space="preserve">
8M unfavorable currency but not adjusted for</t>
        </r>
      </text>
    </comment>
    <comment ref="CK427" authorId="10">
      <text>
        <r>
          <rPr>
            <b/>
            <sz val="8"/>
            <color indexed="81"/>
            <rFont val="Tahoma"/>
            <family val="2"/>
          </rPr>
          <t>mlipton:</t>
        </r>
        <r>
          <rPr>
            <sz val="8"/>
            <color indexed="81"/>
            <rFont val="Tahoma"/>
            <family val="2"/>
          </rPr>
          <t xml:space="preserve">
5M unfavorable currency but not adjusted for.
66M from part sale of investment in China Pacific Group</t>
        </r>
      </text>
    </comment>
    <comment ref="CM427" authorId="10">
      <text>
        <r>
          <rPr>
            <b/>
            <sz val="8"/>
            <color indexed="81"/>
            <rFont val="Tahoma"/>
            <family val="2"/>
          </rPr>
          <t>mlipton:</t>
        </r>
        <r>
          <rPr>
            <sz val="8"/>
            <color indexed="81"/>
            <rFont val="Tahoma"/>
            <family val="2"/>
          </rPr>
          <t xml:space="preserve">
$153M part sale of China Pacific
$47M loss on Costs associated to Star Edison ($8M integration)</t>
        </r>
      </text>
    </comment>
    <comment ref="CO427" authorId="19">
      <text>
        <r>
          <rPr>
            <b/>
            <sz val="8"/>
            <color indexed="81"/>
            <rFont val="Tahoma"/>
            <family val="2"/>
          </rPr>
          <t>Aerin Lim:</t>
        </r>
        <r>
          <rPr>
            <sz val="8"/>
            <color indexed="81"/>
            <rFont val="Tahoma"/>
            <family val="2"/>
          </rPr>
          <t xml:space="preserve">
total net charge - japan earth quake</t>
        </r>
      </text>
    </comment>
    <comment ref="CQ427" authorId="4">
      <text>
        <r>
          <rPr>
            <b/>
            <sz val="8"/>
            <color indexed="81"/>
            <rFont val="Tahoma"/>
            <family val="2"/>
          </rPr>
          <t>Laura Sanchez:</t>
        </r>
        <r>
          <rPr>
            <sz val="8"/>
            <color indexed="81"/>
            <rFont val="Tahoma"/>
            <family val="2"/>
          </rPr>
          <t xml:space="preserve">
Partiall sell of an investment: +84</t>
        </r>
      </text>
    </comment>
    <comment ref="CY427" authorId="4">
      <text>
        <r>
          <rPr>
            <b/>
            <sz val="8"/>
            <color indexed="81"/>
            <rFont val="Tahoma"/>
            <family val="2"/>
          </rPr>
          <t>Laura Sanchez:</t>
        </r>
        <r>
          <rPr>
            <sz val="8"/>
            <color indexed="81"/>
            <rFont val="Tahoma"/>
            <family val="2"/>
          </rPr>
          <t xml:space="preserve">
Partiall sell of an investment: +60</t>
        </r>
      </text>
    </comment>
    <comment ref="DC427" authorId="4">
      <text>
        <r>
          <rPr>
            <b/>
            <sz val="8"/>
            <color indexed="81"/>
            <rFont val="Tahoma"/>
            <family val="2"/>
          </rPr>
          <t>Laura Sanchez:</t>
        </r>
        <r>
          <rPr>
            <sz val="8"/>
            <color indexed="81"/>
            <rFont val="Tahoma"/>
            <family val="2"/>
          </rPr>
          <t xml:space="preserve">
+66 sale of remaining investments</t>
        </r>
      </text>
    </comment>
    <comment ref="DG427" authorId="4">
      <text>
        <r>
          <rPr>
            <b/>
            <sz val="8"/>
            <color indexed="81"/>
            <rFont val="Tahoma"/>
            <family val="2"/>
          </rPr>
          <t>Laura Sanchez:</t>
        </r>
        <r>
          <rPr>
            <sz val="8"/>
            <color indexed="81"/>
            <rFont val="Tahoma"/>
            <family val="2"/>
          </rPr>
          <t xml:space="preserve">
-108 annual review of assumptions</t>
        </r>
      </text>
    </comment>
    <comment ref="DI427" authorId="20">
      <text>
        <r>
          <rPr>
            <b/>
            <sz val="9"/>
            <color indexed="81"/>
            <rFont val="Tahoma"/>
            <family val="2"/>
          </rPr>
          <t>Zamora, Diana (Research):</t>
        </r>
        <r>
          <rPr>
            <sz val="9"/>
            <color indexed="81"/>
            <rFont val="Tahoma"/>
            <family val="2"/>
          </rPr>
          <t xml:space="preserve">
Reserve Refinements </t>
        </r>
      </text>
    </comment>
    <comment ref="DO427" authorId="11">
      <text>
        <r>
          <rPr>
            <b/>
            <sz val="9"/>
            <color indexed="81"/>
            <rFont val="Tahoma"/>
            <family val="2"/>
          </rPr>
          <t>Sanchez Bolanos, Laura (Research):</t>
        </r>
        <r>
          <rPr>
            <sz val="9"/>
            <color indexed="81"/>
            <rFont val="Tahoma"/>
            <family val="2"/>
          </rPr>
          <t xml:space="preserve">
annual review</t>
        </r>
      </text>
    </comment>
    <comment ref="DQ427" authorId="11">
      <text>
        <r>
          <rPr>
            <b/>
            <sz val="9"/>
            <color indexed="81"/>
            <rFont val="Tahoma"/>
            <family val="2"/>
          </rPr>
          <t>Sanchez Bolanos, Laura (Research):</t>
        </r>
        <r>
          <rPr>
            <sz val="9"/>
            <color indexed="81"/>
            <rFont val="Tahoma"/>
            <family val="2"/>
          </rPr>
          <t xml:space="preserve">
-73M reserve refinement</t>
        </r>
      </text>
    </comment>
    <comment ref="DU427" authorId="1">
      <text>
        <r>
          <rPr>
            <b/>
            <sz val="9"/>
            <color indexed="81"/>
            <rFont val="Tahoma"/>
            <family val="2"/>
          </rPr>
          <t>Gupta, Tanmay (Research):</t>
        </r>
        <r>
          <rPr>
            <sz val="9"/>
            <color indexed="81"/>
            <rFont val="Tahoma"/>
            <family val="2"/>
          </rPr>
          <t xml:space="preserve">
Act Review - $(10)mn</t>
        </r>
      </text>
    </comment>
    <comment ref="EC427" authorId="12">
      <text>
        <r>
          <rPr>
            <b/>
            <sz val="9"/>
            <color indexed="81"/>
            <rFont val="Tahoma"/>
            <family val="2"/>
          </rPr>
          <t>Zheng, Chaodan (Research):</t>
        </r>
        <r>
          <rPr>
            <sz val="9"/>
            <color indexed="81"/>
            <rFont val="Tahoma"/>
            <family val="2"/>
          </rPr>
          <t xml:space="preserve">
$34 mn of reserve refinements</t>
        </r>
      </text>
    </comment>
    <comment ref="EE427" authorId="12">
      <text>
        <r>
          <rPr>
            <b/>
            <sz val="9"/>
            <color indexed="81"/>
            <rFont val="Tahoma"/>
            <family val="2"/>
          </rPr>
          <t>Zheng, Chaodan (Research):</t>
        </r>
        <r>
          <rPr>
            <sz val="9"/>
            <color indexed="81"/>
            <rFont val="Tahoma"/>
            <family val="2"/>
          </rPr>
          <t xml:space="preserve">
$34 mn of reserve refinements</t>
        </r>
      </text>
    </comment>
    <comment ref="EK428" authorId="1">
      <text>
        <r>
          <rPr>
            <b/>
            <sz val="9"/>
            <color indexed="81"/>
            <rFont val="Tahoma"/>
            <family val="2"/>
          </rPr>
          <t>Gupta, Tanmay (Research):</t>
        </r>
        <r>
          <rPr>
            <sz val="9"/>
            <color indexed="81"/>
            <rFont val="Tahoma"/>
            <family val="2"/>
          </rPr>
          <t xml:space="preserve">
Seasonally strongest in 2Q</t>
        </r>
      </text>
    </comment>
    <comment ref="DC431" authorId="15">
      <text>
        <r>
          <rPr>
            <b/>
            <sz val="8"/>
            <color indexed="81"/>
            <rFont val="Tahoma"/>
            <family val="2"/>
          </rPr>
          <t>hayleyl:</t>
        </r>
        <r>
          <rPr>
            <sz val="8"/>
            <color indexed="81"/>
            <rFont val="Tahoma"/>
            <family val="2"/>
          </rPr>
          <t xml:space="preserve">
hedge fund returns: $25M
favorable mortality: $10M</t>
        </r>
      </text>
    </comment>
    <comment ref="DE431" authorId="15">
      <text>
        <r>
          <rPr>
            <b/>
            <sz val="8"/>
            <color indexed="81"/>
            <rFont val="Tahoma"/>
            <family val="2"/>
          </rPr>
          <t>hayleyl:</t>
        </r>
        <r>
          <rPr>
            <sz val="8"/>
            <color indexed="81"/>
            <rFont val="Tahoma"/>
            <family val="2"/>
          </rPr>
          <t xml:space="preserve">
fav policy benefits: $24M
investment results: $30M</t>
        </r>
      </text>
    </comment>
    <comment ref="DG431" authorId="4">
      <text>
        <r>
          <rPr>
            <b/>
            <sz val="8"/>
            <color indexed="81"/>
            <rFont val="Tahoma"/>
            <family val="2"/>
          </rPr>
          <t>Laura Sanchez:</t>
        </r>
        <r>
          <rPr>
            <sz val="8"/>
            <color indexed="81"/>
            <rFont val="Tahoma"/>
            <family val="2"/>
          </rPr>
          <t xml:space="preserve">
+25mn: above average returns in Gibraltar
$12M favorable mortality</t>
        </r>
      </text>
    </comment>
    <comment ref="DI431" authorId="4">
      <text>
        <r>
          <rPr>
            <b/>
            <sz val="8"/>
            <color indexed="81"/>
            <rFont val="Tahoma"/>
            <family val="2"/>
          </rPr>
          <t>Laura Sanchez:</t>
        </r>
        <r>
          <rPr>
            <sz val="8"/>
            <color indexed="81"/>
            <rFont val="Tahoma"/>
            <family val="2"/>
          </rPr>
          <t xml:space="preserve">
-55mn: seasonality in Gibraltar (40mn on higher expenses and 15mn on less fav. mortality) - sequential change</t>
        </r>
      </text>
    </comment>
    <comment ref="DM431" authorId="11">
      <text>
        <r>
          <rPr>
            <b/>
            <sz val="9"/>
            <color indexed="81"/>
            <rFont val="Tahoma"/>
            <family val="2"/>
          </rPr>
          <t>Sanchez Bolanos, Laura (Research):</t>
        </r>
        <r>
          <rPr>
            <sz val="9"/>
            <color indexed="81"/>
            <rFont val="Tahoma"/>
            <family val="2"/>
          </rPr>
          <t xml:space="preserve">
+11 fav mortality
+30 claims seasonality
+20 lower expenses</t>
        </r>
      </text>
    </comment>
    <comment ref="DQ431" authorId="11">
      <text>
        <r>
          <rPr>
            <b/>
            <sz val="9"/>
            <color indexed="81"/>
            <rFont val="Tahoma"/>
            <family val="2"/>
          </rPr>
          <t>Sanchez Bolanos, Laura (Research):</t>
        </r>
        <r>
          <rPr>
            <sz val="9"/>
            <color indexed="81"/>
            <rFont val="Tahoma"/>
            <family val="2"/>
          </rPr>
          <t xml:space="preserve">
+20m fav level of policy benefits</t>
        </r>
      </text>
    </comment>
    <comment ref="DS431" authorId="11">
      <text>
        <r>
          <rPr>
            <b/>
            <sz val="9"/>
            <color indexed="81"/>
            <rFont val="Tahoma"/>
            <family val="2"/>
          </rPr>
          <t>Sanchez Bolanos, Laura (Research):</t>
        </r>
        <r>
          <rPr>
            <sz val="9"/>
            <color indexed="81"/>
            <rFont val="Tahoma"/>
            <family val="2"/>
          </rPr>
          <t xml:space="preserve">
+25mn favorable mortality</t>
        </r>
      </text>
    </comment>
    <comment ref="DU431" authorId="1">
      <text>
        <r>
          <rPr>
            <b/>
            <sz val="9"/>
            <color indexed="81"/>
            <rFont val="Tahoma"/>
            <family val="2"/>
          </rPr>
          <t>Gupta, Tanmay (Research):</t>
        </r>
        <r>
          <rPr>
            <sz val="9"/>
            <color indexed="81"/>
            <rFont val="Tahoma"/>
            <family val="2"/>
          </rPr>
          <t xml:space="preserve">
+$30mn - Fav non-coupon and MTG prepays</t>
        </r>
      </text>
    </comment>
    <comment ref="DY431" authorId="1">
      <text>
        <r>
          <rPr>
            <b/>
            <sz val="9"/>
            <color indexed="81"/>
            <rFont val="Tahoma"/>
            <family val="2"/>
          </rPr>
          <t>Gupta, Tanmay (Research):</t>
        </r>
        <r>
          <rPr>
            <sz val="9"/>
            <color indexed="81"/>
            <rFont val="Tahoma"/>
            <family val="2"/>
          </rPr>
          <t xml:space="preserve">
- $15 million favorable mortality
- Adverse non-coupon, $10 million
- Adverse expenses of $15
</t>
        </r>
      </text>
    </comment>
    <comment ref="EA431" authorId="1">
      <text>
        <r>
          <rPr>
            <b/>
            <sz val="9"/>
            <color indexed="81"/>
            <rFont val="Tahoma"/>
            <family val="2"/>
          </rPr>
          <t>Gupta, Tanmay (Research):</t>
        </r>
        <r>
          <rPr>
            <sz val="9"/>
            <color indexed="81"/>
            <rFont val="Tahoma"/>
            <family val="2"/>
          </rPr>
          <t xml:space="preserve">
-$20 mn noncoupon investments below expectations
+$5 mn fav mortality</t>
        </r>
      </text>
    </comment>
    <comment ref="EC431" authorId="1">
      <text>
        <r>
          <rPr>
            <b/>
            <sz val="9"/>
            <color indexed="81"/>
            <rFont val="Tahoma"/>
            <family val="2"/>
          </rPr>
          <t>Gupta, Tanmay (Research):</t>
        </r>
        <r>
          <rPr>
            <sz val="9"/>
            <color indexed="81"/>
            <rFont val="Tahoma"/>
            <family val="2"/>
          </rPr>
          <t xml:space="preserve">
$34 mn market driven reserve refinement
$35 mn favorable non coupon (RE fund)
$40 mn gain from sold building</t>
        </r>
      </text>
    </comment>
    <comment ref="EE431" authorId="12">
      <text>
        <r>
          <rPr>
            <b/>
            <sz val="9"/>
            <color indexed="81"/>
            <rFont val="Tahoma"/>
            <family val="2"/>
          </rPr>
          <t>Zheng, Chaodan (Research):</t>
        </r>
        <r>
          <rPr>
            <sz val="9"/>
            <color indexed="81"/>
            <rFont val="Tahoma"/>
            <family val="2"/>
          </rPr>
          <t xml:space="preserve">
- $10mn benefit from higher than average from claims experience offset by policy surrender experience
-$5mn non-coupon below
</t>
        </r>
      </text>
    </comment>
    <comment ref="EK431" authorId="1">
      <text>
        <r>
          <rPr>
            <b/>
            <sz val="9"/>
            <color indexed="81"/>
            <rFont val="Tahoma"/>
            <family val="2"/>
          </rPr>
          <t>Gupta, Tanmay (Research):</t>
        </r>
        <r>
          <rPr>
            <sz val="9"/>
            <color indexed="81"/>
            <rFont val="Tahoma"/>
            <family val="2"/>
          </rPr>
          <t xml:space="preserve">
$10mn: fav case exp
$15mn: non-coupon</t>
        </r>
      </text>
    </comment>
    <comment ref="EM431" authorId="1">
      <text>
        <r>
          <rPr>
            <b/>
            <sz val="9"/>
            <color indexed="81"/>
            <rFont val="Tahoma"/>
            <family val="2"/>
          </rPr>
          <t>Gupta, Tanmay (Research):</t>
        </r>
        <r>
          <rPr>
            <sz val="9"/>
            <color indexed="81"/>
            <rFont val="Tahoma"/>
            <family val="2"/>
          </rPr>
          <t xml:space="preserve">
$10mn: fav case exp
$15mn: non-coupon</t>
        </r>
      </text>
    </comment>
    <comment ref="EO431" authorId="1">
      <text>
        <r>
          <rPr>
            <b/>
            <sz val="9"/>
            <color indexed="81"/>
            <rFont val="Tahoma"/>
            <family val="2"/>
          </rPr>
          <t>Gupta, Tanmay (Research):</t>
        </r>
        <r>
          <rPr>
            <sz val="9"/>
            <color indexed="81"/>
            <rFont val="Tahoma"/>
            <family val="2"/>
          </rPr>
          <t xml:space="preserve">
$10mn: fav case exp
$15mn: non-coupon</t>
        </r>
      </text>
    </comment>
    <comment ref="EA432" authorId="12">
      <text>
        <r>
          <rPr>
            <b/>
            <sz val="8"/>
            <color indexed="81"/>
            <rFont val="Tahoma"/>
            <family val="2"/>
          </rPr>
          <t>Zheng, Chaodan (Research):</t>
        </r>
        <r>
          <rPr>
            <sz val="8"/>
            <color indexed="81"/>
            <rFont val="Tahoma"/>
            <family val="2"/>
          </rPr>
          <t xml:space="preserve">
call with mgmt:
- ($37) million inv results (mostly non-coupon of $20 million)
- $16 million in mortality ($5 million relative to average expectations)
- $18 million for growth (includes Habitat)
- ($28) million FX</t>
        </r>
      </text>
    </comment>
    <comment ref="EC432" authorId="12">
      <text>
        <r>
          <rPr>
            <b/>
            <sz val="8"/>
            <color indexed="81"/>
            <rFont val="Tahoma"/>
            <family val="2"/>
          </rPr>
          <t>Zheng, Chaodan (Research):</t>
        </r>
        <r>
          <rPr>
            <sz val="8"/>
            <color indexed="81"/>
            <rFont val="Tahoma"/>
            <family val="2"/>
          </rPr>
          <t xml:space="preserve">
call with mgmt:
- ($37) million inv results (mostly non-coupon of $20 million)
- $16 million in mortality ($5 million relative to average expectations)
- $18 million for growth (includes Habitat)
- ($28) million FX</t>
        </r>
      </text>
    </comment>
    <comment ref="EE432" authorId="12">
      <text>
        <r>
          <rPr>
            <b/>
            <sz val="8"/>
            <color indexed="81"/>
            <rFont val="Tahoma"/>
            <family val="2"/>
          </rPr>
          <t>Zheng, Chaodan (Research):</t>
        </r>
        <r>
          <rPr>
            <sz val="8"/>
            <color indexed="81"/>
            <rFont val="Tahoma"/>
            <family val="2"/>
          </rPr>
          <t xml:space="preserve">
call with mgmt:
- ($37) million inv results (mostly non-coupon of $20 million)
- $16 million in mortality ($5 million relative to average expectations)
- $18 million for growth (includes Habitat)
- ($28) million FX</t>
        </r>
      </text>
    </comment>
    <comment ref="EG432" authorId="12">
      <text>
        <r>
          <rPr>
            <b/>
            <sz val="8"/>
            <color indexed="81"/>
            <rFont val="Tahoma"/>
            <family val="2"/>
          </rPr>
          <t>Zheng, Chaodan (Research):</t>
        </r>
        <r>
          <rPr>
            <sz val="8"/>
            <color indexed="81"/>
            <rFont val="Tahoma"/>
            <family val="2"/>
          </rPr>
          <t xml:space="preserve">
call with mgmt:
- ($37) million inv results (mostly non-coupon of $20 million)
- $16 million in mortality ($5 million relative to average expectations)
- $18 million for growth (includes Habitat)
- ($28) million FX</t>
        </r>
      </text>
    </comment>
    <comment ref="EI432" authorId="12">
      <text>
        <r>
          <rPr>
            <b/>
            <sz val="8"/>
            <color indexed="81"/>
            <rFont val="Tahoma"/>
            <family val="2"/>
          </rPr>
          <t>Zheng, Chaodan (Research):</t>
        </r>
        <r>
          <rPr>
            <sz val="8"/>
            <color indexed="81"/>
            <rFont val="Tahoma"/>
            <family val="2"/>
          </rPr>
          <t xml:space="preserve">
call with mgmt:
- ($37) million inv results (mostly non-coupon of $20 million)
- $16 million in mortality ($5 million relative to average expectations)
- $18 million for growth (includes Habitat)
- ($28) million FX</t>
        </r>
      </text>
    </comment>
    <comment ref="EK432" authorId="12">
      <text>
        <r>
          <rPr>
            <b/>
            <sz val="8"/>
            <color indexed="81"/>
            <rFont val="Tahoma"/>
            <family val="2"/>
          </rPr>
          <t>Zheng, Chaodan (Research):</t>
        </r>
        <r>
          <rPr>
            <sz val="8"/>
            <color indexed="81"/>
            <rFont val="Tahoma"/>
            <family val="2"/>
          </rPr>
          <t xml:space="preserve">
call with mgmt:
- ($37) million inv results (mostly non-coupon of $20 million)
- $16 million in mortality ($5 million relative to average expectations)
- $18 million for growth (includes Habitat)
- ($28) million FX</t>
        </r>
      </text>
    </comment>
    <comment ref="AM453" authorId="14">
      <text>
        <r>
          <rPr>
            <sz val="8"/>
            <color indexed="81"/>
            <rFont val="Tahoma"/>
            <family val="2"/>
          </rPr>
          <t>On average, Hyundai will contribute $14M of these earnings per quarter.</t>
        </r>
      </text>
    </comment>
    <comment ref="BG456" authorId="7">
      <text>
        <r>
          <rPr>
            <sz val="8"/>
            <color indexed="81"/>
            <rFont val="Tahoma"/>
            <family val="2"/>
          </rPr>
          <t>+$11M MTM income on securities in exchange memberships
+$17M in extra fees and equity related invts</t>
        </r>
      </text>
    </comment>
    <comment ref="BK456" authorId="8">
      <text>
        <r>
          <rPr>
            <b/>
            <sz val="8"/>
            <color indexed="81"/>
            <rFont val="Tahoma"/>
            <family val="2"/>
          </rPr>
          <t>$ 37 Million benefit from sale of interest in JV
$ 22 Million benefit from MV changes in securities held relating to trading exchange memberships
$ 17 Million from recoveries related to Korean investments</t>
        </r>
        <r>
          <rPr>
            <sz val="8"/>
            <color indexed="81"/>
            <rFont val="Tahoma"/>
            <family val="2"/>
          </rPr>
          <t xml:space="preserve">
</t>
        </r>
      </text>
    </comment>
    <comment ref="BO456" authorId="17">
      <text>
        <r>
          <rPr>
            <b/>
            <sz val="8"/>
            <color indexed="81"/>
            <rFont val="Tahoma"/>
            <family val="2"/>
          </rPr>
          <t>Details:</t>
        </r>
        <r>
          <rPr>
            <sz val="8"/>
            <color indexed="81"/>
            <rFont val="Tahoma"/>
            <family val="2"/>
          </rPr>
          <t xml:space="preserve">
$ 19 charge for credit loss relating to a brokerage  client</t>
        </r>
      </text>
    </comment>
    <comment ref="O475" authorId="21">
      <text>
        <r>
          <rPr>
            <b/>
            <sz val="8"/>
            <color indexed="81"/>
            <rFont val="Tahoma"/>
            <family val="2"/>
          </rPr>
          <t>Caleb Piper:</t>
        </r>
        <r>
          <rPr>
            <sz val="8"/>
            <color indexed="81"/>
            <rFont val="Tahoma"/>
            <family val="2"/>
          </rPr>
          <t xml:space="preserve">
$18m cost savings
$5m WTC exposure</t>
        </r>
      </text>
    </comment>
    <comment ref="Q475" authorId="21">
      <text>
        <r>
          <rPr>
            <b/>
            <sz val="8"/>
            <color indexed="81"/>
            <rFont val="Tahoma"/>
            <family val="2"/>
          </rPr>
          <t>Caleb Piper:</t>
        </r>
        <r>
          <rPr>
            <sz val="8"/>
            <color indexed="81"/>
            <rFont val="Tahoma"/>
            <family val="2"/>
          </rPr>
          <t xml:space="preserve">
Includes $39m reserve release from prior year</t>
        </r>
      </text>
    </comment>
    <comment ref="FH475" authorId="21">
      <text>
        <r>
          <rPr>
            <b/>
            <sz val="8"/>
            <color indexed="81"/>
            <rFont val="Tahoma"/>
            <family val="2"/>
          </rPr>
          <t>Caleb Piper:</t>
        </r>
        <r>
          <rPr>
            <sz val="8"/>
            <color indexed="81"/>
            <rFont val="Tahoma"/>
            <family val="2"/>
          </rPr>
          <t xml:space="preserve">
$42 million of expense saves</t>
        </r>
      </text>
    </comment>
    <comment ref="B478" authorId="21">
      <text>
        <r>
          <rPr>
            <sz val="8"/>
            <color indexed="81"/>
            <rFont val="Tahoma"/>
            <family val="2"/>
          </rPr>
          <t>Includes:
* $13M per qtr from the government's new Medicare reimbursement program
* unallocated corporate activities
* international ventures
* divested businesses:- equity underwriting and fixed income business (Pru securities), Gibraltar
* winding down businesses: -individual health insurance, Group credit insurance, Canadian life insurance</t>
        </r>
      </text>
    </comment>
    <comment ref="CW480" authorId="0">
      <text>
        <r>
          <rPr>
            <b/>
            <sz val="8"/>
            <color indexed="81"/>
            <rFont val="Tahoma"/>
            <family val="2"/>
          </rPr>
          <t>dianaz:</t>
        </r>
        <r>
          <rPr>
            <sz val="8"/>
            <color indexed="81"/>
            <rFont val="Tahoma"/>
            <family val="2"/>
          </rPr>
          <t xml:space="preserve">
Restated with 2Q13 supplement</t>
        </r>
      </text>
    </comment>
    <comment ref="FN480" authorId="16">
      <text>
        <r>
          <rPr>
            <sz val="8"/>
            <color indexed="81"/>
            <rFont val="Tahoma"/>
            <family val="2"/>
          </rPr>
          <t>Includes loss of 5% income on $2.1B in general account assets for half (0.5) of the year.</t>
        </r>
      </text>
    </comment>
    <comment ref="AO485" authorId="5">
      <text>
        <r>
          <rPr>
            <b/>
            <sz val="8"/>
            <color indexed="81"/>
            <rFont val="Tahoma"/>
            <family val="2"/>
          </rPr>
          <t>dallyn:</t>
        </r>
        <r>
          <rPr>
            <sz val="8"/>
            <color indexed="81"/>
            <rFont val="Tahoma"/>
            <family val="2"/>
          </rPr>
          <t xml:space="preserve">
Includes $18M waived premium charge
</t>
        </r>
      </text>
    </comment>
    <comment ref="CI485" authorId="10">
      <text>
        <r>
          <rPr>
            <b/>
            <sz val="8"/>
            <color indexed="81"/>
            <rFont val="Tahoma"/>
            <family val="2"/>
          </rPr>
          <t>mlipton:</t>
        </r>
        <r>
          <rPr>
            <sz val="8"/>
            <color indexed="81"/>
            <rFont val="Tahoma"/>
            <family val="2"/>
          </rPr>
          <t xml:space="preserve">
Waved premium charge of $14M b/c equity mkts above plan. </t>
        </r>
      </text>
    </comment>
    <comment ref="DU485" authorId="1">
      <text>
        <r>
          <rPr>
            <b/>
            <sz val="9"/>
            <color indexed="81"/>
            <rFont val="Tahoma"/>
            <family val="2"/>
          </rPr>
          <t>Gupta, Tanmay (Research):</t>
        </r>
        <r>
          <rPr>
            <sz val="9"/>
            <color indexed="81"/>
            <rFont val="Tahoma"/>
            <family val="2"/>
          </rPr>
          <t xml:space="preserve">
2Q15: lower expenses. Can move around</t>
        </r>
      </text>
    </comment>
    <comment ref="FP485" authorId="6">
      <text>
        <r>
          <rPr>
            <b/>
            <sz val="8"/>
            <color indexed="81"/>
            <rFont val="Tahoma"/>
            <family val="2"/>
          </rPr>
          <t>Includes $70 million charge for pension</t>
        </r>
      </text>
    </comment>
    <comment ref="GL485" authorId="1">
      <text>
        <r>
          <rPr>
            <b/>
            <sz val="9"/>
            <color indexed="81"/>
            <rFont val="Tahoma"/>
            <family val="2"/>
          </rPr>
          <t>Gupta, Tanmay (Research):</t>
        </r>
        <r>
          <rPr>
            <sz val="9"/>
            <color indexed="81"/>
            <rFont val="Tahoma"/>
            <family val="2"/>
          </rPr>
          <t xml:space="preserve">
$0.15/sh higher vs 2015 due to tech spend</t>
        </r>
      </text>
    </comment>
    <comment ref="W486" authorId="13">
      <text>
        <r>
          <rPr>
            <sz val="8"/>
            <color indexed="81"/>
            <rFont val="Tahoma"/>
            <family val="2"/>
          </rPr>
          <t>3Q is always the strongest for the Real Estate and Relocation business.  RE earnings tend to fall of sharply in 4Q.</t>
        </r>
      </text>
    </comment>
    <comment ref="AE486" authorId="13">
      <text>
        <r>
          <rPr>
            <sz val="8"/>
            <color indexed="81"/>
            <rFont val="Tahoma"/>
            <family val="2"/>
          </rPr>
          <t>3Q is always the strongest for the Real Estate and Relocation business.  RE earnings tend to fall of sharply in 4Q.</t>
        </r>
      </text>
    </comment>
    <comment ref="FD486" authorId="21">
      <text>
        <r>
          <rPr>
            <b/>
            <sz val="8"/>
            <color indexed="81"/>
            <rFont val="Tahoma"/>
            <family val="2"/>
          </rPr>
          <t>Caleb Piper:</t>
        </r>
        <r>
          <rPr>
            <sz val="8"/>
            <color indexed="81"/>
            <rFont val="Tahoma"/>
            <family val="2"/>
          </rPr>
          <t xml:space="preserve">
$114 reduction in employee benefit liability (law change)</t>
        </r>
      </text>
    </comment>
    <comment ref="FH486" authorId="21">
      <text>
        <r>
          <rPr>
            <sz val="8"/>
            <color indexed="81"/>
            <rFont val="Tahoma"/>
            <family val="2"/>
          </rPr>
          <t>$17m expense save + $125m increase in pension contribution benefit (less 10% for benefit increases)</t>
        </r>
      </text>
    </comment>
    <comment ref="BE489" authorId="7">
      <text>
        <r>
          <rPr>
            <sz val="8"/>
            <color indexed="81"/>
            <rFont val="Tahoma"/>
            <family val="2"/>
          </rPr>
          <t>Mark to market of securities gain</t>
        </r>
      </text>
    </comment>
    <comment ref="BM489" authorId="9">
      <text>
        <r>
          <rPr>
            <sz val="8"/>
            <color indexed="81"/>
            <rFont val="Tahoma"/>
            <family val="2"/>
          </rPr>
          <t xml:space="preserve"> $18 million relating to an insurance guarantee fund in the current quarter </t>
        </r>
      </text>
    </comment>
    <comment ref="BO489" authorId="9">
      <text>
        <r>
          <rPr>
            <sz val="8"/>
            <color indexed="81"/>
            <rFont val="Tahoma"/>
            <family val="2"/>
          </rPr>
          <t xml:space="preserve"> $18 million relating to an insurance guarantee fund in the current quarter </t>
        </r>
      </text>
    </comment>
    <comment ref="BQ489" authorId="9">
      <text>
        <r>
          <rPr>
            <sz val="8"/>
            <color indexed="81"/>
            <rFont val="Tahoma"/>
            <family val="2"/>
          </rPr>
          <t xml:space="preserve"> $18 million relating to an insurance guarantee fund in the current quarter </t>
        </r>
      </text>
    </comment>
    <comment ref="BS489" authorId="9">
      <text>
        <r>
          <rPr>
            <sz val="8"/>
            <color indexed="81"/>
            <rFont val="Tahoma"/>
            <family val="2"/>
          </rPr>
          <t xml:space="preserve"> $18 million relating to an insurance guarantee fund in the current quarter </t>
        </r>
      </text>
    </comment>
    <comment ref="BU489" authorId="9">
      <text>
        <r>
          <rPr>
            <sz val="8"/>
            <color indexed="81"/>
            <rFont val="Tahoma"/>
            <family val="2"/>
          </rPr>
          <t xml:space="preserve"> $18 million relating to an insurance guarantee fund in the current quarter </t>
        </r>
      </text>
    </comment>
    <comment ref="CY489" authorId="4">
      <text>
        <r>
          <rPr>
            <b/>
            <sz val="8"/>
            <color indexed="81"/>
            <rFont val="Tahoma"/>
            <family val="2"/>
          </rPr>
          <t>Laura Sanchez:</t>
        </r>
        <r>
          <rPr>
            <sz val="8"/>
            <color indexed="81"/>
            <rFont val="Tahoma"/>
            <family val="2"/>
          </rPr>
          <t xml:space="preserve">
Annual assumptions review: -78
Bond writeoff prior to maturity: -16</t>
        </r>
      </text>
    </comment>
    <comment ref="DA489" authorId="4">
      <text>
        <r>
          <rPr>
            <b/>
            <sz val="8"/>
            <color indexed="81"/>
            <rFont val="Tahoma"/>
            <family val="2"/>
          </rPr>
          <t>Laura Sanchez:</t>
        </r>
        <r>
          <rPr>
            <sz val="8"/>
            <color indexed="81"/>
            <rFont val="Tahoma"/>
            <family val="2"/>
          </rPr>
          <t xml:space="preserve">
-54mn: employee benefits
-15mn: write off bond issuance cost</t>
        </r>
      </text>
    </comment>
    <comment ref="DC489" authorId="4">
      <text>
        <r>
          <rPr>
            <b/>
            <sz val="8"/>
            <color indexed="81"/>
            <rFont val="Tahoma"/>
            <family val="2"/>
          </rPr>
          <t>Laura Sanchez:</t>
        </r>
        <r>
          <rPr>
            <sz val="8"/>
            <color indexed="81"/>
            <rFont val="Tahoma"/>
            <family val="2"/>
          </rPr>
          <t xml:space="preserve">
write off bond issuance cost</t>
        </r>
      </text>
    </comment>
    <comment ref="DE489" authorId="4">
      <text>
        <r>
          <rPr>
            <b/>
            <sz val="8"/>
            <color indexed="81"/>
            <rFont val="Tahoma"/>
            <family val="2"/>
          </rPr>
          <t>Laura Sanchez:</t>
        </r>
        <r>
          <rPr>
            <sz val="8"/>
            <color indexed="81"/>
            <rFont val="Tahoma"/>
            <family val="2"/>
          </rPr>
          <t xml:space="preserve">
write off of issuance costs on debt securities redeemed pior to maturity</t>
        </r>
      </text>
    </comment>
    <comment ref="DO489" authorId="11">
      <text>
        <r>
          <rPr>
            <b/>
            <sz val="9"/>
            <color indexed="81"/>
            <rFont val="Tahoma"/>
            <family val="2"/>
          </rPr>
          <t>Sanchez Bolanos, Laura (Research):</t>
        </r>
        <r>
          <rPr>
            <sz val="9"/>
            <color indexed="81"/>
            <rFont val="Tahoma"/>
            <family val="2"/>
          </rPr>
          <t xml:space="preserve">
annual review</t>
        </r>
      </text>
    </comment>
    <comment ref="DU489" authorId="1">
      <text>
        <r>
          <rPr>
            <b/>
            <sz val="9"/>
            <color indexed="81"/>
            <rFont val="Tahoma"/>
            <family val="2"/>
          </rPr>
          <t>Gupta, Tanmay (Research):</t>
        </r>
        <r>
          <rPr>
            <sz val="9"/>
            <color indexed="81"/>
            <rFont val="Tahoma"/>
            <family val="2"/>
          </rPr>
          <t xml:space="preserve">
Act Review - $11mn</t>
        </r>
      </text>
    </comment>
    <comment ref="DY489" authorId="1">
      <text>
        <r>
          <rPr>
            <b/>
            <sz val="9"/>
            <color indexed="81"/>
            <rFont val="Tahoma"/>
            <family val="2"/>
          </rPr>
          <t>Gupta, Tanmay (Research):</t>
        </r>
        <r>
          <rPr>
            <sz val="9"/>
            <color indexed="81"/>
            <rFont val="Tahoma"/>
            <family val="2"/>
          </rPr>
          <t xml:space="preserve">
estimated remediation costs related to the administration of certain separate account investments. 
</t>
        </r>
      </text>
    </comment>
    <comment ref="EC489" authorId="12">
      <text>
        <r>
          <rPr>
            <b/>
            <sz val="9"/>
            <color indexed="81"/>
            <rFont val="Tahoma"/>
            <family val="2"/>
          </rPr>
          <t>Zheng, Chaodan (Research):</t>
        </r>
        <r>
          <rPr>
            <sz val="9"/>
            <color indexed="81"/>
            <rFont val="Tahoma"/>
            <family val="2"/>
          </rPr>
          <t xml:space="preserve">
-$36 mn from early debt extinguishment
-$3 mn from adj of reserves </t>
        </r>
      </text>
    </comment>
    <comment ref="EE489" authorId="12">
      <text>
        <r>
          <rPr>
            <b/>
            <sz val="9"/>
            <color indexed="81"/>
            <rFont val="Tahoma"/>
            <family val="2"/>
          </rPr>
          <t>Zheng, Chaodan (Research):</t>
        </r>
        <r>
          <rPr>
            <sz val="9"/>
            <color indexed="81"/>
            <rFont val="Tahoma"/>
            <family val="2"/>
          </rPr>
          <t xml:space="preserve">
-$36 mn from early debt extinguishment
-$3 mn from adj of reserves </t>
        </r>
      </text>
    </comment>
    <comment ref="EI490" authorId="1">
      <text>
        <r>
          <rPr>
            <b/>
            <sz val="9"/>
            <color indexed="81"/>
            <rFont val="Tahoma"/>
            <family val="2"/>
          </rPr>
          <t>Gupta, Tanmay (Research):</t>
        </r>
        <r>
          <rPr>
            <sz val="9"/>
            <color indexed="81"/>
            <rFont val="Tahoma"/>
            <family val="2"/>
          </rPr>
          <t xml:space="preserve">
Higher expenses in 1Q going forward, lower in remainder of year</t>
        </r>
      </text>
    </comment>
    <comment ref="EK490" authorId="1">
      <text>
        <r>
          <rPr>
            <b/>
            <sz val="9"/>
            <color indexed="81"/>
            <rFont val="Tahoma"/>
            <family val="2"/>
          </rPr>
          <t>Gupta, Tanmay (Research):</t>
        </r>
        <r>
          <rPr>
            <sz val="9"/>
            <color indexed="81"/>
            <rFont val="Tahoma"/>
            <family val="2"/>
          </rPr>
          <t xml:space="preserve">
Higher expenses in 1Q going forward, lower in remainder of year</t>
        </r>
      </text>
    </comment>
    <comment ref="EM490" authorId="1">
      <text>
        <r>
          <rPr>
            <b/>
            <sz val="9"/>
            <color indexed="81"/>
            <rFont val="Tahoma"/>
            <family val="2"/>
          </rPr>
          <t>Gupta, Tanmay (Research):</t>
        </r>
        <r>
          <rPr>
            <sz val="9"/>
            <color indexed="81"/>
            <rFont val="Tahoma"/>
            <family val="2"/>
          </rPr>
          <t xml:space="preserve">
Higher expenses in 1Q going forward, lower in remainder of year</t>
        </r>
      </text>
    </comment>
    <comment ref="EO490" authorId="1">
      <text>
        <r>
          <rPr>
            <b/>
            <sz val="9"/>
            <color indexed="81"/>
            <rFont val="Tahoma"/>
            <family val="2"/>
          </rPr>
          <t>Gupta, Tanmay (Research):</t>
        </r>
        <r>
          <rPr>
            <sz val="9"/>
            <color indexed="81"/>
            <rFont val="Tahoma"/>
            <family val="2"/>
          </rPr>
          <t xml:space="preserve">
Higher expenses in 1Q going forward, lower in remainder of year</t>
        </r>
      </text>
    </comment>
    <comment ref="EW490" authorId="1">
      <text>
        <r>
          <rPr>
            <b/>
            <sz val="9"/>
            <color indexed="81"/>
            <rFont val="Tahoma"/>
            <family val="2"/>
          </rPr>
          <t>Gupta, Tanmay (Research):</t>
        </r>
        <r>
          <rPr>
            <sz val="9"/>
            <color indexed="81"/>
            <rFont val="Tahoma"/>
            <family val="2"/>
          </rPr>
          <t xml:space="preserve">
seasonally higher corp expenses in 4Q</t>
        </r>
      </text>
    </comment>
    <comment ref="DI492" authorId="4">
      <text>
        <r>
          <rPr>
            <b/>
            <sz val="8"/>
            <color indexed="81"/>
            <rFont val="Tahoma"/>
            <family val="2"/>
          </rPr>
          <t>Laura Sanchez:</t>
        </r>
        <r>
          <rPr>
            <sz val="8"/>
            <color indexed="81"/>
            <rFont val="Tahoma"/>
            <family val="2"/>
          </rPr>
          <t xml:space="preserve">
-60mn: seasonality in Corporate (employee compensation)</t>
        </r>
      </text>
    </comment>
    <comment ref="DS492" authorId="11">
      <text>
        <r>
          <rPr>
            <b/>
            <sz val="9"/>
            <color indexed="81"/>
            <rFont val="Tahoma"/>
            <family val="2"/>
          </rPr>
          <t>Sanchez Bolanos, Laura (Research):</t>
        </r>
        <r>
          <rPr>
            <sz val="9"/>
            <color indexed="81"/>
            <rFont val="Tahoma"/>
            <family val="2"/>
          </rPr>
          <t xml:space="preserve">
30mn positive inv. Income
20mn assets sales</t>
        </r>
      </text>
    </comment>
    <comment ref="DY492" authorId="1">
      <text>
        <r>
          <rPr>
            <b/>
            <sz val="9"/>
            <color indexed="81"/>
            <rFont val="Tahoma"/>
            <family val="2"/>
          </rPr>
          <t>Gupta, Tanmay (Research):</t>
        </r>
        <r>
          <rPr>
            <sz val="9"/>
            <color indexed="81"/>
            <rFont val="Tahoma"/>
            <family val="2"/>
          </rPr>
          <t xml:space="preserve">
- Expenses $75 million above</t>
        </r>
      </text>
    </comment>
    <comment ref="EA492" authorId="12">
      <text>
        <r>
          <rPr>
            <b/>
            <sz val="9"/>
            <color indexed="81"/>
            <rFont val="Tahoma"/>
            <family val="2"/>
          </rPr>
          <t>Zheng, Chaodan (Research):</t>
        </r>
        <r>
          <rPr>
            <sz val="9"/>
            <color indexed="81"/>
            <rFont val="Tahoma"/>
            <family val="2"/>
          </rPr>
          <t xml:space="preserve">
- $21mn lower spread income due to the surplus-related assets from CB brought in in the prior year from subs</t>
        </r>
      </text>
    </comment>
    <comment ref="EC492" authorId="12">
      <text>
        <r>
          <rPr>
            <b/>
            <sz val="9"/>
            <color indexed="81"/>
            <rFont val="Tahoma"/>
            <family val="2"/>
          </rPr>
          <t>Zheng, Chaodan (Research):</t>
        </r>
        <r>
          <rPr>
            <sz val="9"/>
            <color indexed="81"/>
            <rFont val="Tahoma"/>
            <family val="2"/>
          </rPr>
          <t xml:space="preserve">
$40 mn loss on tax advantage
</t>
        </r>
      </text>
    </comment>
    <comment ref="EE492" authorId="12">
      <text>
        <r>
          <rPr>
            <b/>
            <sz val="9"/>
            <color indexed="81"/>
            <rFont val="Tahoma"/>
            <family val="2"/>
          </rPr>
          <t>Zheng, Chaodan (Research):</t>
        </r>
        <r>
          <rPr>
            <sz val="9"/>
            <color indexed="81"/>
            <rFont val="Tahoma"/>
            <family val="2"/>
          </rPr>
          <t xml:space="preserve">
$40 mn loss on tax advantage
</t>
        </r>
      </text>
    </comment>
    <comment ref="EA493" authorId="12">
      <text>
        <r>
          <rPr>
            <b/>
            <sz val="8"/>
            <color indexed="81"/>
            <rFont val="Tahoma"/>
            <family val="2"/>
          </rPr>
          <t>Zheng, Chaodan (Research):</t>
        </r>
        <r>
          <rPr>
            <sz val="8"/>
            <color indexed="81"/>
            <rFont val="Tahoma"/>
            <family val="2"/>
          </rPr>
          <t xml:space="preserve">
call with mgmt:
- ($21) million spread income
- ($14) million reduced pension benefit
- ($20) million expenses</t>
        </r>
      </text>
    </comment>
    <comment ref="EC493" authorId="12">
      <text>
        <r>
          <rPr>
            <b/>
            <sz val="8"/>
            <color indexed="81"/>
            <rFont val="Tahoma"/>
            <family val="2"/>
          </rPr>
          <t>Zheng, Chaodan (Research):</t>
        </r>
        <r>
          <rPr>
            <sz val="8"/>
            <color indexed="81"/>
            <rFont val="Tahoma"/>
            <family val="2"/>
          </rPr>
          <t xml:space="preserve">
call with mgmt:
- ($21) million spread income
- ($14) million reduced pension benefit
- ($20) million expenses</t>
        </r>
      </text>
    </comment>
    <comment ref="EE493" authorId="12">
      <text>
        <r>
          <rPr>
            <b/>
            <sz val="8"/>
            <color indexed="81"/>
            <rFont val="Tahoma"/>
            <family val="2"/>
          </rPr>
          <t>Zheng, Chaodan (Research):</t>
        </r>
        <r>
          <rPr>
            <sz val="8"/>
            <color indexed="81"/>
            <rFont val="Tahoma"/>
            <family val="2"/>
          </rPr>
          <t xml:space="preserve">
call with mgmt:
- ($21) million spread income
- ($14) million reduced pension benefit
- ($20) million expenses</t>
        </r>
      </text>
    </comment>
    <comment ref="B545" authorId="4">
      <text>
        <r>
          <rPr>
            <b/>
            <sz val="8"/>
            <color indexed="81"/>
            <rFont val="Tahoma"/>
            <family val="2"/>
          </rPr>
          <t>Laura Sanchez:</t>
        </r>
        <r>
          <rPr>
            <sz val="8"/>
            <color indexed="81"/>
            <rFont val="Tahoma"/>
            <family val="2"/>
          </rPr>
          <t xml:space="preserve">
Earnings release</t>
        </r>
      </text>
    </comment>
    <comment ref="EG545" authorId="2">
      <text>
        <r>
          <rPr>
            <b/>
            <sz val="9"/>
            <color indexed="81"/>
            <rFont val="Tahoma"/>
            <family val="2"/>
          </rPr>
          <t>Huang, Bob (Research):</t>
        </r>
        <r>
          <rPr>
            <sz val="9"/>
            <color indexed="81"/>
            <rFont val="Tahoma"/>
            <family val="2"/>
          </rPr>
          <t xml:space="preserve">
4Q16 Difference in earnings allocated to participating unvested share-based payment awards  is 0.02 cents per share</t>
        </r>
      </text>
    </comment>
    <comment ref="EI545" authorId="2">
      <text>
        <r>
          <rPr>
            <b/>
            <sz val="9"/>
            <color indexed="81"/>
            <rFont val="Tahoma"/>
            <family val="2"/>
          </rPr>
          <t>Huang, Bob (Research):</t>
        </r>
        <r>
          <rPr>
            <sz val="9"/>
            <color indexed="81"/>
            <rFont val="Tahoma"/>
            <family val="2"/>
          </rPr>
          <t xml:space="preserve">
direct equity from core a vs e</t>
        </r>
      </text>
    </comment>
    <comment ref="GL547" authorId="22">
      <text>
        <r>
          <rPr>
            <b/>
            <sz val="9"/>
            <color indexed="81"/>
            <rFont val="Tahoma"/>
            <family val="2"/>
          </rPr>
          <t>Rojas, Isabel (Research):</t>
        </r>
        <r>
          <rPr>
            <sz val="9"/>
            <color indexed="81"/>
            <rFont val="Tahoma"/>
            <family val="2"/>
          </rPr>
          <t xml:space="preserve">
1Q15 guid: around 1Q15 levels of 25.6%
2015 outlook: effective tax rate ~27%</t>
        </r>
      </text>
    </comment>
    <comment ref="GL551" authorId="1">
      <text>
        <r>
          <rPr>
            <b/>
            <sz val="9"/>
            <color indexed="81"/>
            <rFont val="Tahoma"/>
            <family val="2"/>
          </rPr>
          <t>Gupta, Tanmay (Research):</t>
        </r>
        <r>
          <rPr>
            <sz val="9"/>
            <color indexed="81"/>
            <rFont val="Tahoma"/>
            <family val="2"/>
          </rPr>
          <t xml:space="preserve">
2016 Outlook: 25%</t>
        </r>
      </text>
    </comment>
    <comment ref="GN551" authorId="2">
      <text>
        <r>
          <rPr>
            <b/>
            <sz val="9"/>
            <color indexed="81"/>
            <rFont val="Tahoma"/>
            <family val="2"/>
          </rPr>
          <t>Huang, Bob (Research):</t>
        </r>
        <r>
          <rPr>
            <sz val="9"/>
            <color indexed="81"/>
            <rFont val="Tahoma"/>
            <family val="2"/>
          </rPr>
          <t xml:space="preserve">
2017 outlook: ~25%</t>
        </r>
      </text>
    </comment>
    <comment ref="GP551" authorId="1">
      <text>
        <r>
          <rPr>
            <b/>
            <sz val="9"/>
            <color indexed="81"/>
            <rFont val="Tahoma"/>
            <family val="2"/>
          </rPr>
          <t>Gupta, Tanmay (Research):</t>
        </r>
        <r>
          <rPr>
            <sz val="9"/>
            <color indexed="81"/>
            <rFont val="Tahoma"/>
            <family val="2"/>
          </rPr>
          <t xml:space="preserve">
2018 outlook: 22%</t>
        </r>
      </text>
    </comment>
    <comment ref="DO560" authorId="11">
      <text>
        <r>
          <rPr>
            <b/>
            <sz val="9"/>
            <color indexed="81"/>
            <rFont val="Tahoma"/>
            <family val="2"/>
          </rPr>
          <t>Sanchez Bolanos, Laura (Research):</t>
        </r>
        <r>
          <rPr>
            <sz val="9"/>
            <color indexed="81"/>
            <rFont val="Tahoma"/>
            <family val="2"/>
          </rPr>
          <t xml:space="preserve">
$37.4mn is equivalent to +0.08 p/shre benefit from tax updates</t>
        </r>
      </text>
    </comment>
    <comment ref="EQ570" authorId="1">
      <text>
        <r>
          <rPr>
            <b/>
            <sz val="9"/>
            <color indexed="81"/>
            <rFont val="Tahoma"/>
            <family val="2"/>
          </rPr>
          <t>Gupta, Tanmay (Research):</t>
        </r>
        <r>
          <rPr>
            <sz val="9"/>
            <color indexed="81"/>
            <rFont val="Tahoma"/>
            <family val="2"/>
          </rPr>
          <t xml:space="preserve">
2018 guid: positive impact on adjusted book value in the first quarter of 2018 of roughly $1 billion. 
1) new accounting standard will result in a reclass of net unrealized gains of approximately $900 million from AOCI to retained earnings.
2) Intend to eliminate the 1-month reporting lag in our Gibraltar operations. Would not result in an extra month of Gibraltar earnings in our 2018 results, but instead, would essentially result in an adjustment to opening equity.</t>
        </r>
      </text>
    </comment>
    <comment ref="CW572" authorId="0">
      <text>
        <r>
          <rPr>
            <b/>
            <sz val="8"/>
            <color indexed="81"/>
            <rFont val="Tahoma"/>
            <family val="2"/>
          </rPr>
          <t>dianaz:</t>
        </r>
        <r>
          <rPr>
            <sz val="8"/>
            <color indexed="81"/>
            <rFont val="Tahoma"/>
            <family val="2"/>
          </rPr>
          <t xml:space="preserve">
Restated with 2Q13 Supplement</t>
        </r>
      </text>
    </comment>
    <comment ref="CY572" authorId="4">
      <text>
        <r>
          <rPr>
            <b/>
            <sz val="8"/>
            <color indexed="81"/>
            <rFont val="Tahoma"/>
            <family val="2"/>
          </rPr>
          <t>Laura Sanchez:</t>
        </r>
        <r>
          <rPr>
            <sz val="8"/>
            <color indexed="81"/>
            <rFont val="Tahoma"/>
            <family val="2"/>
          </rPr>
          <t xml:space="preserve">
LTC was moved to divested businesses</t>
        </r>
      </text>
    </comment>
    <comment ref="DB572" authorId="0">
      <text>
        <r>
          <rPr>
            <b/>
            <sz val="8"/>
            <color indexed="81"/>
            <rFont val="Tahoma"/>
            <family val="2"/>
          </rPr>
          <t>dianaz:</t>
        </r>
        <r>
          <rPr>
            <sz val="8"/>
            <color indexed="81"/>
            <rFont val="Tahoma"/>
            <family val="2"/>
          </rPr>
          <t xml:space="preserve">
Restated with 2Q13 Supplement</t>
        </r>
      </text>
    </comment>
    <comment ref="DD572" authorId="0">
      <text>
        <r>
          <rPr>
            <b/>
            <sz val="8"/>
            <color indexed="81"/>
            <rFont val="Tahoma"/>
            <family val="2"/>
          </rPr>
          <t>dianaz:</t>
        </r>
        <r>
          <rPr>
            <sz val="8"/>
            <color indexed="81"/>
            <rFont val="Tahoma"/>
            <family val="2"/>
          </rPr>
          <t xml:space="preserve">
Restated with 2Q13 Supplement</t>
        </r>
      </text>
    </comment>
    <comment ref="AI574" authorId="6">
      <text>
        <r>
          <rPr>
            <b/>
            <sz val="8"/>
            <color indexed="81"/>
            <rFont val="Tahoma"/>
            <family val="2"/>
          </rPr>
          <t>Includes ($79MM) accounting charge</t>
        </r>
      </text>
    </comment>
    <comment ref="DB576" authorId="0">
      <text>
        <r>
          <rPr>
            <b/>
            <sz val="8"/>
            <color indexed="81"/>
            <rFont val="Tahoma"/>
            <family val="2"/>
          </rPr>
          <t>dianaz:</t>
        </r>
        <r>
          <rPr>
            <sz val="8"/>
            <color indexed="81"/>
            <rFont val="Tahoma"/>
            <family val="2"/>
          </rPr>
          <t xml:space="preserve">
Restated with 2Q13 Supplement</t>
        </r>
      </text>
    </comment>
    <comment ref="AI581" authorId="23">
      <text>
        <r>
          <rPr>
            <b/>
            <sz val="8"/>
            <color indexed="81"/>
            <rFont val="Tahoma"/>
            <family val="2"/>
          </rPr>
          <t>Amir Attaar:</t>
        </r>
        <r>
          <rPr>
            <sz val="8"/>
            <color indexed="81"/>
            <rFont val="Tahoma"/>
            <family val="2"/>
          </rPr>
          <t xml:space="preserve">
Includes ($79MM) accounting charge</t>
        </r>
      </text>
    </comment>
    <comment ref="CK581" authorId="3">
      <text>
        <r>
          <rPr>
            <b/>
            <sz val="8"/>
            <color indexed="81"/>
            <rFont val="Tahoma"/>
            <family val="2"/>
          </rPr>
          <t>sanclaur:</t>
        </r>
        <r>
          <rPr>
            <sz val="8"/>
            <color indexed="81"/>
            <rFont val="Tahoma"/>
            <family val="2"/>
          </rPr>
          <t xml:space="preserve">
4.73?</t>
        </r>
      </text>
    </comment>
    <comment ref="DY611" authorId="1">
      <text>
        <r>
          <rPr>
            <b/>
            <sz val="9"/>
            <color indexed="81"/>
            <rFont val="Tahoma"/>
            <family val="2"/>
          </rPr>
          <t>Gupta, Tanmay (Research):</t>
        </r>
        <r>
          <rPr>
            <sz val="9"/>
            <color indexed="81"/>
            <rFont val="Tahoma"/>
            <family val="2"/>
          </rPr>
          <t xml:space="preserve">
increased dividend to $0.70</t>
        </r>
      </text>
    </comment>
    <comment ref="EQ611" authorId="1">
      <text>
        <r>
          <rPr>
            <b/>
            <sz val="9"/>
            <color indexed="81"/>
            <rFont val="Tahoma"/>
            <family val="2"/>
          </rPr>
          <t>Gupta, Tanmay (Research):</t>
        </r>
        <r>
          <rPr>
            <sz val="9"/>
            <color indexed="81"/>
            <rFont val="Tahoma"/>
            <family val="2"/>
          </rPr>
          <t xml:space="preserve">
4Q17: increased dividend to $0.90</t>
        </r>
      </text>
    </comment>
    <comment ref="AO616" authorId="6">
      <text>
        <r>
          <rPr>
            <sz val="8"/>
            <color indexed="81"/>
            <rFont val="Tahoma"/>
            <family val="2"/>
          </rPr>
          <t>Issued shares in November to settle purchase contracts associated with equity security units issued in connection to its IPO.</t>
        </r>
      </text>
    </comment>
    <comment ref="BY616" authorId="20">
      <text>
        <r>
          <rPr>
            <b/>
            <sz val="9"/>
            <color indexed="81"/>
            <rFont val="Tahoma"/>
            <family val="2"/>
          </rPr>
          <t>Zamora, Diana (Research):</t>
        </r>
        <r>
          <rPr>
            <sz val="9"/>
            <color indexed="81"/>
            <rFont val="Tahoma"/>
            <family val="2"/>
          </rPr>
          <t xml:space="preserve">
2010 10-K, pg 339
"In June 2009, the Company issued 36,858,975 shares of Common Stock in a public offering at a price of $39.00 per share for net proceeds of $1.391 billion"</t>
        </r>
      </text>
    </comment>
    <comment ref="CK616" authorId="20">
      <text>
        <r>
          <rPr>
            <b/>
            <sz val="9"/>
            <color indexed="81"/>
            <rFont val="Tahoma"/>
            <family val="2"/>
          </rPr>
          <t>Zamora, Diana (Research):</t>
        </r>
        <r>
          <rPr>
            <sz val="9"/>
            <color indexed="81"/>
            <rFont val="Tahoma"/>
            <family val="2"/>
          </rPr>
          <t xml:space="preserve">
2010 10-K, pg 339
"In November 2010, the Company issued 18,348,624 shares of Common Stock in a public offering at a price of $54.50 per share for net proceeds of $970 million."</t>
        </r>
      </text>
    </comment>
    <comment ref="Q617" authorId="21">
      <text>
        <r>
          <rPr>
            <b/>
            <sz val="8"/>
            <color indexed="81"/>
            <rFont val="Tahoma"/>
            <family val="2"/>
          </rPr>
          <t>Caleb Piper:</t>
        </r>
        <r>
          <rPr>
            <sz val="8"/>
            <color indexed="81"/>
            <rFont val="Tahoma"/>
            <family val="2"/>
          </rPr>
          <t xml:space="preserve">
includes underwriters discount of $1.24 per share</t>
        </r>
      </text>
    </comment>
    <comment ref="BU621" authorId="20">
      <text>
        <r>
          <rPr>
            <b/>
            <sz val="9"/>
            <color indexed="81"/>
            <rFont val="Tahoma"/>
            <family val="2"/>
          </rPr>
          <t>Zamora, Diana (Research):</t>
        </r>
        <r>
          <rPr>
            <sz val="9"/>
            <color indexed="81"/>
            <rFont val="Tahoma"/>
            <family val="2"/>
          </rPr>
          <t xml:space="preserve">
Company suspended repurchase program effective in October 10,2008</t>
        </r>
      </text>
    </comment>
    <comment ref="BU622" authorId="20">
      <text>
        <r>
          <rPr>
            <b/>
            <sz val="9"/>
            <color indexed="81"/>
            <rFont val="Tahoma"/>
            <family val="2"/>
          </rPr>
          <t>Zamora, Diana (Research):</t>
        </r>
        <r>
          <rPr>
            <sz val="9"/>
            <color indexed="81"/>
            <rFont val="Tahoma"/>
            <family val="2"/>
          </rPr>
          <t xml:space="preserve">
Avg price in Q</t>
        </r>
      </text>
    </comment>
    <comment ref="BW622" authorId="20">
      <text>
        <r>
          <rPr>
            <b/>
            <sz val="9"/>
            <color indexed="81"/>
            <rFont val="Tahoma"/>
            <family val="2"/>
          </rPr>
          <t>Zamora, Diana (Research):</t>
        </r>
        <r>
          <rPr>
            <sz val="9"/>
            <color indexed="81"/>
            <rFont val="Tahoma"/>
            <family val="2"/>
          </rPr>
          <t xml:space="preserve">
Avg price in Q</t>
        </r>
      </text>
    </comment>
    <comment ref="BY622" authorId="20">
      <text>
        <r>
          <rPr>
            <b/>
            <sz val="9"/>
            <color indexed="81"/>
            <rFont val="Tahoma"/>
            <family val="2"/>
          </rPr>
          <t>Zamora, Diana (Research):</t>
        </r>
        <r>
          <rPr>
            <sz val="9"/>
            <color indexed="81"/>
            <rFont val="Tahoma"/>
            <family val="2"/>
          </rPr>
          <t xml:space="preserve">
Avg price in Q</t>
        </r>
      </text>
    </comment>
    <comment ref="CA622" authorId="20">
      <text>
        <r>
          <rPr>
            <b/>
            <sz val="9"/>
            <color indexed="81"/>
            <rFont val="Tahoma"/>
            <family val="2"/>
          </rPr>
          <t>Zamora, Diana (Research):</t>
        </r>
        <r>
          <rPr>
            <sz val="9"/>
            <color indexed="81"/>
            <rFont val="Tahoma"/>
            <family val="2"/>
          </rPr>
          <t xml:space="preserve">
Avg price in Q</t>
        </r>
      </text>
    </comment>
    <comment ref="CC622" authorId="20">
      <text>
        <r>
          <rPr>
            <b/>
            <sz val="9"/>
            <color indexed="81"/>
            <rFont val="Tahoma"/>
            <family val="2"/>
          </rPr>
          <t>Zamora, Diana (Research):</t>
        </r>
        <r>
          <rPr>
            <sz val="9"/>
            <color indexed="81"/>
            <rFont val="Tahoma"/>
            <family val="2"/>
          </rPr>
          <t xml:space="preserve">
Avg price in Q</t>
        </r>
      </text>
    </comment>
    <comment ref="CE622" authorId="20">
      <text>
        <r>
          <rPr>
            <b/>
            <sz val="9"/>
            <color indexed="81"/>
            <rFont val="Tahoma"/>
            <family val="2"/>
          </rPr>
          <t>Zamora, Diana (Research):</t>
        </r>
        <r>
          <rPr>
            <sz val="9"/>
            <color indexed="81"/>
            <rFont val="Tahoma"/>
            <family val="2"/>
          </rPr>
          <t xml:space="preserve">
Avg price in Q</t>
        </r>
      </text>
    </comment>
    <comment ref="CG622" authorId="20">
      <text>
        <r>
          <rPr>
            <b/>
            <sz val="9"/>
            <color indexed="81"/>
            <rFont val="Tahoma"/>
            <family val="2"/>
          </rPr>
          <t>Zamora, Diana (Research):</t>
        </r>
        <r>
          <rPr>
            <sz val="9"/>
            <color indexed="81"/>
            <rFont val="Tahoma"/>
            <family val="2"/>
          </rPr>
          <t xml:space="preserve">
Avg price in Q</t>
        </r>
      </text>
    </comment>
    <comment ref="CI622" authorId="20">
      <text>
        <r>
          <rPr>
            <b/>
            <sz val="9"/>
            <color indexed="81"/>
            <rFont val="Tahoma"/>
            <family val="2"/>
          </rPr>
          <t>Zamora, Diana (Research):</t>
        </r>
        <r>
          <rPr>
            <sz val="9"/>
            <color indexed="81"/>
            <rFont val="Tahoma"/>
            <family val="2"/>
          </rPr>
          <t xml:space="preserve">
Avg price in Q</t>
        </r>
      </text>
    </comment>
    <comment ref="CK622" authorId="20">
      <text>
        <r>
          <rPr>
            <b/>
            <sz val="9"/>
            <color indexed="81"/>
            <rFont val="Tahoma"/>
            <family val="2"/>
          </rPr>
          <t>Zamora, Diana (Research):</t>
        </r>
        <r>
          <rPr>
            <sz val="9"/>
            <color indexed="81"/>
            <rFont val="Tahoma"/>
            <family val="2"/>
          </rPr>
          <t xml:space="preserve">
Avg price in Q</t>
        </r>
      </text>
    </comment>
    <comment ref="CM622" authorId="20">
      <text>
        <r>
          <rPr>
            <b/>
            <sz val="9"/>
            <color indexed="81"/>
            <rFont val="Tahoma"/>
            <family val="2"/>
          </rPr>
          <t>Zamora, Diana (Research):</t>
        </r>
        <r>
          <rPr>
            <sz val="9"/>
            <color indexed="81"/>
            <rFont val="Tahoma"/>
            <family val="2"/>
          </rPr>
          <t xml:space="preserve">
Avg price in Q</t>
        </r>
      </text>
    </comment>
    <comment ref="CO622" authorId="20">
      <text>
        <r>
          <rPr>
            <b/>
            <sz val="9"/>
            <color indexed="81"/>
            <rFont val="Tahoma"/>
            <family val="2"/>
          </rPr>
          <t>Zamora, Diana (Research):</t>
        </r>
        <r>
          <rPr>
            <sz val="9"/>
            <color indexed="81"/>
            <rFont val="Tahoma"/>
            <family val="2"/>
          </rPr>
          <t xml:space="preserve">
Avg price in Q</t>
        </r>
      </text>
    </comment>
    <comment ref="EO622" authorId="2">
      <text>
        <r>
          <rPr>
            <b/>
            <sz val="9"/>
            <color indexed="81"/>
            <rFont val="Tahoma"/>
            <family val="2"/>
          </rPr>
          <t>Huang, Bob (Research):</t>
        </r>
        <r>
          <rPr>
            <sz val="9"/>
            <color indexed="81"/>
            <rFont val="Tahoma"/>
            <family val="2"/>
          </rPr>
          <t xml:space="preserve">
ER</t>
        </r>
      </text>
    </comment>
    <comment ref="B624" authorId="2">
      <text>
        <r>
          <rPr>
            <b/>
            <sz val="9"/>
            <color indexed="81"/>
            <rFont val="Tahoma"/>
            <family val="2"/>
          </rPr>
          <t>Huang, Bob (Research):</t>
        </r>
        <r>
          <rPr>
            <sz val="9"/>
            <color indexed="81"/>
            <rFont val="Tahoma"/>
            <family val="2"/>
          </rPr>
          <t xml:space="preserve">
company acquired xx million shares of its common stock at</t>
        </r>
      </text>
    </comment>
    <comment ref="DW624" authorId="24">
      <text>
        <r>
          <rPr>
            <b/>
            <sz val="9"/>
            <color indexed="81"/>
            <rFont val="Tahoma"/>
            <family val="2"/>
          </rPr>
          <t>Locker, Hayley (Research):</t>
        </r>
        <r>
          <rPr>
            <sz val="9"/>
            <color indexed="81"/>
            <rFont val="Tahoma"/>
            <family val="2"/>
          </rPr>
          <t xml:space="preserve">
reflects benefit of closed block capital relief and benefit of capital hedge settlements</t>
        </r>
      </text>
    </comment>
    <comment ref="DY624" authorId="24">
      <text>
        <r>
          <rPr>
            <b/>
            <sz val="9"/>
            <color indexed="81"/>
            <rFont val="Tahoma"/>
            <family val="2"/>
          </rPr>
          <t>Locker, Hayley (Research):</t>
        </r>
        <r>
          <rPr>
            <sz val="9"/>
            <color indexed="81"/>
            <rFont val="Tahoma"/>
            <family val="2"/>
          </rPr>
          <t xml:space="preserve">
reflects benefit of closed block capital relief and benefit of capital hedge settlements</t>
        </r>
      </text>
    </comment>
    <comment ref="GL624" authorId="1">
      <text>
        <r>
          <rPr>
            <b/>
            <sz val="8"/>
            <color indexed="81"/>
            <rFont val="Tahoma"/>
            <family val="2"/>
          </rPr>
          <t>Gupta, Tanmay (Research):</t>
        </r>
        <r>
          <rPr>
            <sz val="8"/>
            <color indexed="81"/>
            <rFont val="Tahoma"/>
            <family val="2"/>
          </rPr>
          <t xml:space="preserve">
2Q16 earnings: $500 million increase in share repurchase authorization for the second half of 2016, bringing authorization for 2016 to $2 bn
2016 Outlook: $1.5 billion</t>
        </r>
      </text>
    </comment>
    <comment ref="GN624" authorId="2">
      <text>
        <r>
          <rPr>
            <b/>
            <sz val="9"/>
            <color indexed="81"/>
            <rFont val="Tahoma"/>
            <family val="2"/>
          </rPr>
          <t>Huang, Bob (Research):</t>
        </r>
        <r>
          <rPr>
            <sz val="9"/>
            <color indexed="81"/>
            <rFont val="Tahoma"/>
            <family val="2"/>
          </rPr>
          <t xml:space="preserve">
2017 outlook: assuming 1.25 billion</t>
        </r>
      </text>
    </comment>
    <comment ref="GP624" authorId="1">
      <text>
        <r>
          <rPr>
            <b/>
            <sz val="9"/>
            <color indexed="81"/>
            <rFont val="Tahoma"/>
            <family val="2"/>
          </rPr>
          <t>Gupta, Tanmay (Research):</t>
        </r>
        <r>
          <rPr>
            <sz val="9"/>
            <color indexed="81"/>
            <rFont val="Tahoma"/>
            <family val="2"/>
          </rPr>
          <t xml:space="preserve">
2018 outlook: $1.5B</t>
        </r>
      </text>
    </comment>
    <comment ref="DY632" authorId="1">
      <text>
        <r>
          <rPr>
            <b/>
            <sz val="9"/>
            <color indexed="81"/>
            <rFont val="Tahoma"/>
            <family val="2"/>
          </rPr>
          <t>Gupta, Tanmay (Research):</t>
        </r>
        <r>
          <rPr>
            <sz val="9"/>
            <color indexed="81"/>
            <rFont val="Tahoma"/>
            <family val="2"/>
          </rPr>
          <t xml:space="preserve">
From 10K/Q</t>
        </r>
      </text>
    </comment>
    <comment ref="EA632" authorId="1">
      <text>
        <r>
          <rPr>
            <b/>
            <sz val="9"/>
            <color indexed="81"/>
            <rFont val="Tahoma"/>
            <family val="2"/>
          </rPr>
          <t>Zheng, Chaodan (Research):</t>
        </r>
        <r>
          <rPr>
            <sz val="9"/>
            <color indexed="81"/>
            <rFont val="Tahoma"/>
            <family val="2"/>
          </rPr>
          <t xml:space="preserve">
From 10K/Q</t>
        </r>
      </text>
    </comment>
    <comment ref="EC632" authorId="1">
      <text>
        <r>
          <rPr>
            <b/>
            <sz val="9"/>
            <color indexed="81"/>
            <rFont val="Tahoma"/>
            <family val="2"/>
          </rPr>
          <t>Zheng, Chaodan (Research):</t>
        </r>
        <r>
          <rPr>
            <sz val="9"/>
            <color indexed="81"/>
            <rFont val="Tahoma"/>
            <family val="2"/>
          </rPr>
          <t xml:space="preserve">
From 10K/Q</t>
        </r>
      </text>
    </comment>
    <comment ref="EE632" authorId="1">
      <text>
        <r>
          <rPr>
            <b/>
            <sz val="9"/>
            <color indexed="81"/>
            <rFont val="Tahoma"/>
            <family val="2"/>
          </rPr>
          <t>Zheng, Chaodan (Research):</t>
        </r>
        <r>
          <rPr>
            <sz val="9"/>
            <color indexed="81"/>
            <rFont val="Tahoma"/>
            <family val="2"/>
          </rPr>
          <t xml:space="preserve">
From 10K/Q</t>
        </r>
      </text>
    </comment>
    <comment ref="EG632" authorId="2">
      <text>
        <r>
          <rPr>
            <b/>
            <sz val="9"/>
            <color indexed="81"/>
            <rFont val="Tahoma"/>
            <family val="2"/>
          </rPr>
          <t>Huang, Bob (Research):</t>
        </r>
        <r>
          <rPr>
            <sz val="9"/>
            <color indexed="81"/>
            <rFont val="Tahoma"/>
            <family val="2"/>
          </rPr>
          <t xml:space="preserve">
10k/q</t>
        </r>
      </text>
    </comment>
    <comment ref="EI632" authorId="2">
      <text>
        <r>
          <rPr>
            <b/>
            <sz val="9"/>
            <color indexed="81"/>
            <rFont val="Tahoma"/>
            <family val="2"/>
          </rPr>
          <t>Huang, Bob (Research):</t>
        </r>
        <r>
          <rPr>
            <sz val="9"/>
            <color indexed="81"/>
            <rFont val="Tahoma"/>
            <family val="2"/>
          </rPr>
          <t xml:space="preserve">
10k/q</t>
        </r>
      </text>
    </comment>
    <comment ref="B635" authorId="1">
      <text>
        <r>
          <rPr>
            <b/>
            <sz val="9"/>
            <color indexed="81"/>
            <rFont val="Tahoma"/>
            <family val="2"/>
          </rPr>
          <t>Gupta, Tanmay (Research):</t>
        </r>
        <r>
          <rPr>
            <sz val="9"/>
            <color indexed="81"/>
            <rFont val="Tahoma"/>
            <family val="2"/>
          </rPr>
          <t xml:space="preserve">
10Q: In calculating diluted earnings per share under the if-converted method, the potential shares that would be issued assuming a hypothetical exchange, weighted for the period the notes are outstanding, are added to the denominator, and interest expense, net of tax, is added to the numerator, if the overall effect is dilutive</t>
        </r>
      </text>
    </comment>
    <comment ref="DY635" authorId="1">
      <text>
        <r>
          <rPr>
            <b/>
            <sz val="9"/>
            <color indexed="81"/>
            <rFont val="Tahoma"/>
            <family val="2"/>
          </rPr>
          <t>Gupta, Tanmay (Research):</t>
        </r>
        <r>
          <rPr>
            <sz val="9"/>
            <color indexed="81"/>
            <rFont val="Tahoma"/>
            <family val="2"/>
          </rPr>
          <t xml:space="preserve">
10Q/K</t>
        </r>
      </text>
    </comment>
    <comment ref="EA635" authorId="1">
      <text>
        <r>
          <rPr>
            <b/>
            <sz val="9"/>
            <color indexed="81"/>
            <rFont val="Tahoma"/>
            <family val="2"/>
          </rPr>
          <t>Gupta, Tanmay (Research):</t>
        </r>
        <r>
          <rPr>
            <sz val="9"/>
            <color indexed="81"/>
            <rFont val="Tahoma"/>
            <family val="2"/>
          </rPr>
          <t xml:space="preserve">
10Q/K: antidilutive - Pg 42</t>
        </r>
      </text>
    </comment>
    <comment ref="EC635" authorId="1">
      <text>
        <r>
          <rPr>
            <b/>
            <sz val="9"/>
            <color indexed="81"/>
            <rFont val="Tahoma"/>
            <family val="2"/>
          </rPr>
          <t>Gupta, Tanmay (Research):</t>
        </r>
        <r>
          <rPr>
            <sz val="9"/>
            <color indexed="81"/>
            <rFont val="Tahoma"/>
            <family val="2"/>
          </rPr>
          <t xml:space="preserve">
10Q/K: antidilutive - Pg 42</t>
        </r>
      </text>
    </comment>
    <comment ref="EE635" authorId="1">
      <text>
        <r>
          <rPr>
            <b/>
            <sz val="9"/>
            <color indexed="81"/>
            <rFont val="Tahoma"/>
            <family val="2"/>
          </rPr>
          <t>Gupta, Tanmay (Research):</t>
        </r>
        <r>
          <rPr>
            <sz val="9"/>
            <color indexed="81"/>
            <rFont val="Tahoma"/>
            <family val="2"/>
          </rPr>
          <t xml:space="preserve">
10Q/K: antidilutive - Pg 42</t>
        </r>
      </text>
    </comment>
    <comment ref="EG635" authorId="2">
      <text>
        <r>
          <rPr>
            <b/>
            <sz val="9"/>
            <color indexed="81"/>
            <rFont val="Tahoma"/>
            <family val="2"/>
          </rPr>
          <t>Huang, Bob (Research):</t>
        </r>
        <r>
          <rPr>
            <sz val="9"/>
            <color indexed="81"/>
            <rFont val="Tahoma"/>
            <family val="2"/>
          </rPr>
          <t xml:space="preserve">
10Q/K: antidilutive - Pg 42</t>
        </r>
      </text>
    </comment>
    <comment ref="EI635" authorId="2">
      <text>
        <r>
          <rPr>
            <b/>
            <sz val="9"/>
            <color indexed="81"/>
            <rFont val="Tahoma"/>
            <family val="2"/>
          </rPr>
          <t>Huang, Bob (Research):</t>
        </r>
        <r>
          <rPr>
            <sz val="9"/>
            <color indexed="81"/>
            <rFont val="Tahoma"/>
            <family val="2"/>
          </rPr>
          <t xml:space="preserve">
10Q/K: antidilutive - Pg 42</t>
        </r>
      </text>
    </comment>
    <comment ref="EK635" authorId="2">
      <text>
        <r>
          <rPr>
            <b/>
            <sz val="9"/>
            <color indexed="81"/>
            <rFont val="Tahoma"/>
            <family val="2"/>
          </rPr>
          <t>Huang, Bob (Research):</t>
        </r>
        <r>
          <rPr>
            <sz val="9"/>
            <color indexed="81"/>
            <rFont val="Tahoma"/>
            <family val="2"/>
          </rPr>
          <t xml:space="preserve">
10Q/K: antidilutive - Pg 39</t>
        </r>
      </text>
    </comment>
    <comment ref="EM635" authorId="2">
      <text>
        <r>
          <rPr>
            <b/>
            <sz val="9"/>
            <color indexed="81"/>
            <rFont val="Tahoma"/>
            <family val="2"/>
          </rPr>
          <t>Huang, Bob (Research):</t>
        </r>
        <r>
          <rPr>
            <sz val="9"/>
            <color indexed="81"/>
            <rFont val="Tahoma"/>
            <family val="2"/>
          </rPr>
          <t xml:space="preserve">
10Q/K: antidilutive - Pg 39</t>
        </r>
      </text>
    </comment>
    <comment ref="EO635" authorId="2">
      <text>
        <r>
          <rPr>
            <b/>
            <sz val="9"/>
            <color indexed="81"/>
            <rFont val="Tahoma"/>
            <family val="2"/>
          </rPr>
          <t>Huang, Bob (Research):</t>
        </r>
        <r>
          <rPr>
            <sz val="9"/>
            <color indexed="81"/>
            <rFont val="Tahoma"/>
            <family val="2"/>
          </rPr>
          <t xml:space="preserve">
10Q/K: antidilutive - Pg 39</t>
        </r>
      </text>
    </comment>
    <comment ref="EC636" authorId="12">
      <text>
        <r>
          <rPr>
            <b/>
            <sz val="9"/>
            <color indexed="81"/>
            <rFont val="Tahoma"/>
            <family val="2"/>
          </rPr>
          <t>Zheng, Chaodan (Research):</t>
        </r>
        <r>
          <rPr>
            <sz val="9"/>
            <color indexed="81"/>
            <rFont val="Tahoma"/>
            <family val="2"/>
          </rPr>
          <t xml:space="preserve">
adjusted up from 449.3 to 449.7 due to rounding error</t>
        </r>
      </text>
    </comment>
    <comment ref="EE636" authorId="12">
      <text>
        <r>
          <rPr>
            <b/>
            <sz val="9"/>
            <color indexed="81"/>
            <rFont val="Tahoma"/>
            <family val="2"/>
          </rPr>
          <t>Zheng, Chaodan (Research):</t>
        </r>
        <r>
          <rPr>
            <sz val="9"/>
            <color indexed="81"/>
            <rFont val="Tahoma"/>
            <family val="2"/>
          </rPr>
          <t xml:space="preserve">
adjusted up from 449.3 to 449.7 due to rounding error</t>
        </r>
      </text>
    </comment>
    <comment ref="BU640" authorId="17">
      <text>
        <r>
          <rPr>
            <b/>
            <sz val="8"/>
            <color indexed="81"/>
            <rFont val="Tahoma"/>
            <family val="2"/>
          </rPr>
          <t>Details:</t>
        </r>
        <r>
          <rPr>
            <sz val="8"/>
            <color indexed="81"/>
            <rFont val="Tahoma"/>
            <family val="2"/>
          </rPr>
          <t xml:space="preserve">
Only for this quarter, wted avg BASIC common shares have been used for Op EPS calculation since all potential shares are anti-dilutive due to the adj op loss available to shareholders. Refer to footnote 1 on page 1 of supplement. Change this back to FD basis from next qtr. </t>
        </r>
      </text>
    </comment>
    <comment ref="GH640" authorId="11">
      <text>
        <r>
          <rPr>
            <b/>
            <sz val="9"/>
            <color indexed="81"/>
            <rFont val="Tahoma"/>
            <family val="2"/>
          </rPr>
          <t>Sanchez Bolanos, Laura (Research):</t>
        </r>
        <r>
          <rPr>
            <sz val="9"/>
            <color indexed="81"/>
            <rFont val="Tahoma"/>
            <family val="2"/>
          </rPr>
          <t xml:space="preserve">
linked to Qs (direct equity adjustment might be driving to a small diff)</t>
        </r>
      </text>
    </comment>
    <comment ref="O641" authorId="13">
      <text>
        <r>
          <rPr>
            <sz val="8"/>
            <color indexed="81"/>
            <rFont val="Tahoma"/>
            <family val="2"/>
          </rPr>
          <t>Excluding the $32 million pretax (or $19.4 mil after-tax) WTC impact, 3Q01 operating EPS would be $0.21.</t>
        </r>
      </text>
    </comment>
    <comment ref="BU641" authorId="17">
      <text>
        <r>
          <rPr>
            <b/>
            <sz val="8"/>
            <color indexed="81"/>
            <rFont val="Tahoma"/>
            <family val="2"/>
          </rPr>
          <t>Details:</t>
        </r>
        <r>
          <rPr>
            <sz val="8"/>
            <color indexed="81"/>
            <rFont val="Tahoma"/>
            <family val="2"/>
          </rPr>
          <t xml:space="preserve">
Only for this quarter, wted avg BASIC common shares have been used for Op EPS calculation since all potential shares are anti-dilutive due to the adj op loss available to shareholders. Refer to footnote 1 on page 1 of supplement. Change this back to FD basis from next qtr. </t>
        </r>
      </text>
    </comment>
    <comment ref="FN641" authorId="13">
      <text>
        <r>
          <rPr>
            <sz val="8"/>
            <color indexed="81"/>
            <rFont val="Tahoma"/>
            <family val="2"/>
          </rPr>
          <t>Keep in mind that 2004 includes $0.35 of charges related to Wachovia ($0.25) and Cigna ($0.15)</t>
        </r>
      </text>
    </comment>
    <comment ref="O642" authorId="13">
      <text>
        <r>
          <rPr>
            <sz val="8"/>
            <color indexed="81"/>
            <rFont val="Tahoma"/>
            <family val="2"/>
          </rPr>
          <t>Excluding the $32 million pretax (or $19.4 mil after-tax) WTC impact, Net EPS would be $0.12.</t>
        </r>
      </text>
    </comment>
    <comment ref="BU642" authorId="25">
      <text>
        <r>
          <rPr>
            <b/>
            <sz val="8"/>
            <color indexed="81"/>
            <rFont val="Tahoma"/>
            <family val="2"/>
          </rPr>
          <t>johnoco:</t>
        </r>
        <r>
          <rPr>
            <sz val="8"/>
            <color indexed="81"/>
            <rFont val="Tahoma"/>
            <family val="2"/>
          </rPr>
          <t xml:space="preserve">
vs. EOP fully diluted shares</t>
        </r>
      </text>
    </comment>
    <comment ref="CA644" authorId="9">
      <text>
        <r>
          <rPr>
            <b/>
            <sz val="8"/>
            <color indexed="81"/>
            <rFont val="Tahoma"/>
            <family val="2"/>
          </rPr>
          <t>haybuse:</t>
        </r>
        <r>
          <rPr>
            <sz val="8"/>
            <color indexed="81"/>
            <rFont val="Tahoma"/>
            <family val="2"/>
          </rPr>
          <t xml:space="preserve">
core pretax earnis
less taxes (200-22)
less direct equity interest</t>
        </r>
      </text>
    </comment>
    <comment ref="CC644" authorId="9">
      <text>
        <r>
          <rPr>
            <b/>
            <sz val="8"/>
            <color indexed="81"/>
            <rFont val="Tahoma"/>
            <family val="2"/>
          </rPr>
          <t>haybuse:</t>
        </r>
        <r>
          <rPr>
            <sz val="8"/>
            <color indexed="81"/>
            <rFont val="Tahoma"/>
            <family val="2"/>
          </rPr>
          <t xml:space="preserve">
core pretax earnis
less taxes (200-22)
less direct equity interest</t>
        </r>
      </text>
    </comment>
    <comment ref="DA644" authorId="4">
      <text>
        <r>
          <rPr>
            <b/>
            <sz val="8"/>
            <color indexed="81"/>
            <rFont val="Tahoma"/>
            <family val="2"/>
          </rPr>
          <t>Laura Sanchez:</t>
        </r>
        <r>
          <rPr>
            <sz val="8"/>
            <color indexed="81"/>
            <rFont val="Tahoma"/>
            <family val="2"/>
          </rPr>
          <t xml:space="preserve">
Reflects 0.07 impact from low interest rates; release pg 2</t>
        </r>
      </text>
    </comment>
    <comment ref="DS644" authorId="11">
      <text>
        <r>
          <rPr>
            <b/>
            <sz val="9"/>
            <color indexed="81"/>
            <rFont val="Tahoma"/>
            <family val="2"/>
          </rPr>
          <t>Sanchez Bolanos, Laura (Research):</t>
        </r>
        <r>
          <rPr>
            <sz val="9"/>
            <color indexed="81"/>
            <rFont val="Tahoma"/>
            <family val="2"/>
          </rPr>
          <t xml:space="preserve">
adjusting for decimal issues, mgmt core of $2.65</t>
        </r>
      </text>
    </comment>
    <comment ref="EA644" authorId="12">
      <text>
        <r>
          <rPr>
            <b/>
            <sz val="8"/>
            <color indexed="81"/>
            <rFont val="Tahoma"/>
            <family val="2"/>
          </rPr>
          <t>Zheng, Chaodan (Research):</t>
        </r>
        <r>
          <rPr>
            <sz val="8"/>
            <color indexed="81"/>
            <rFont val="Tahoma"/>
            <family val="2"/>
          </rPr>
          <t xml:space="preserve">
call with mgmt:
One-timers:
- annuity DAC/mkt: $0.08
- mortality: $0.01
- noncoupon: $0.14</t>
        </r>
      </text>
    </comment>
    <comment ref="EC644" authorId="12">
      <text>
        <r>
          <rPr>
            <b/>
            <sz val="8"/>
            <color indexed="81"/>
            <rFont val="Tahoma"/>
            <family val="2"/>
          </rPr>
          <t>Zheng, Chaodan (Research):</t>
        </r>
        <r>
          <rPr>
            <sz val="8"/>
            <color indexed="81"/>
            <rFont val="Tahoma"/>
            <family val="2"/>
          </rPr>
          <t xml:space="preserve">
call with mgmt:
One-timers:
- annuity DAC/mkt: $0.08
- mortality: $0.01
- noncoupon: $0.14</t>
        </r>
      </text>
    </comment>
    <comment ref="EE644" authorId="12">
      <text>
        <r>
          <rPr>
            <b/>
            <sz val="8"/>
            <color indexed="81"/>
            <rFont val="Tahoma"/>
            <family val="2"/>
          </rPr>
          <t>Zheng, Chaodan (Research):</t>
        </r>
        <r>
          <rPr>
            <sz val="8"/>
            <color indexed="81"/>
            <rFont val="Tahoma"/>
            <family val="2"/>
          </rPr>
          <t xml:space="preserve">
call with mgmt:
One-timers:
- annuity DAC/mkt: $0.08
- mortality: $0.01
- noncoupon: $0.14</t>
        </r>
      </text>
    </comment>
    <comment ref="EG644" authorId="12">
      <text>
        <r>
          <rPr>
            <b/>
            <sz val="8"/>
            <color indexed="81"/>
            <rFont val="Tahoma"/>
            <family val="2"/>
          </rPr>
          <t>Zheng, Chaodan (Research):</t>
        </r>
        <r>
          <rPr>
            <sz val="8"/>
            <color indexed="81"/>
            <rFont val="Tahoma"/>
            <family val="2"/>
          </rPr>
          <t xml:space="preserve">
call with mgmt:
One-timers:
- annuity DAC/mkt: $0.08
- mortality: $0.01
- noncoupon: $0.14</t>
        </r>
      </text>
    </comment>
    <comment ref="EI644" authorId="12">
      <text>
        <r>
          <rPr>
            <b/>
            <sz val="8"/>
            <color indexed="81"/>
            <rFont val="Tahoma"/>
            <family val="2"/>
          </rPr>
          <t>Zheng, Chaodan (Research):</t>
        </r>
        <r>
          <rPr>
            <sz val="8"/>
            <color indexed="81"/>
            <rFont val="Tahoma"/>
            <family val="2"/>
          </rPr>
          <t xml:space="preserve">
call with mgmt:
One-timers:
- annuity DAC/mkt: $0.08
- mortality: $0.01
- noncoupon: $0.14</t>
        </r>
      </text>
    </comment>
    <comment ref="GD644" authorId="4">
      <text>
        <r>
          <rPr>
            <b/>
            <sz val="8"/>
            <color indexed="81"/>
            <rFont val="Tahoma"/>
            <family val="2"/>
          </rPr>
          <t>Laura Sanchez:</t>
        </r>
        <r>
          <rPr>
            <sz val="8"/>
            <color indexed="81"/>
            <rFont val="Tahoma"/>
            <family val="2"/>
          </rPr>
          <t xml:space="preserve">
Reflects 0.07 impact from low interest rates from 4Q12; release pg 2</t>
        </r>
      </text>
    </comment>
    <comment ref="DO645" authorId="11">
      <text>
        <r>
          <rPr>
            <b/>
            <sz val="9"/>
            <color indexed="81"/>
            <rFont val="Tahoma"/>
            <family val="2"/>
          </rPr>
          <t>Sanchez Bolanos, Laura (Research):</t>
        </r>
        <r>
          <rPr>
            <sz val="9"/>
            <color indexed="81"/>
            <rFont val="Tahoma"/>
            <family val="2"/>
          </rPr>
          <t xml:space="preserve">
call with IR:
3Q14 Core EPS: $2.46
Run-rate EPS: $2.33
US Life mortality: -$0.05
Non-coupon investment income: -$0.05
Life Planner Mortality: -$0.03
</t>
        </r>
      </text>
    </comment>
    <comment ref="EA645" authorId="12">
      <text>
        <r>
          <rPr>
            <b/>
            <sz val="8"/>
            <color indexed="81"/>
            <rFont val="Tahoma"/>
            <family val="2"/>
          </rPr>
          <t>Zheng, Chaodan (Research):</t>
        </r>
        <r>
          <rPr>
            <sz val="8"/>
            <color indexed="81"/>
            <rFont val="Tahoma"/>
            <family val="2"/>
          </rPr>
          <t xml:space="preserve">
call with mgmt:
- adjusted run-rate: $2.40</t>
        </r>
      </text>
    </comment>
    <comment ref="EC645" authorId="12">
      <text>
        <r>
          <rPr>
            <b/>
            <sz val="8"/>
            <color indexed="81"/>
            <rFont val="Tahoma"/>
            <family val="2"/>
          </rPr>
          <t>Zheng, Chaodan (Research):</t>
        </r>
        <r>
          <rPr>
            <sz val="8"/>
            <color indexed="81"/>
            <rFont val="Tahoma"/>
            <family val="2"/>
          </rPr>
          <t xml:space="preserve">
call with mgmt:
- adjusted run-rate: $2.40</t>
        </r>
      </text>
    </comment>
    <comment ref="EE645" authorId="12">
      <text>
        <r>
          <rPr>
            <b/>
            <sz val="8"/>
            <color indexed="81"/>
            <rFont val="Tahoma"/>
            <family val="2"/>
          </rPr>
          <t>Zheng, Chaodan (Research):</t>
        </r>
        <r>
          <rPr>
            <sz val="8"/>
            <color indexed="81"/>
            <rFont val="Tahoma"/>
            <family val="2"/>
          </rPr>
          <t xml:space="preserve">
call with mgmt:
- adjusted run-rate: $2.40</t>
        </r>
      </text>
    </comment>
    <comment ref="EG645" authorId="12">
      <text>
        <r>
          <rPr>
            <b/>
            <sz val="8"/>
            <color indexed="81"/>
            <rFont val="Tahoma"/>
            <family val="2"/>
          </rPr>
          <t>Zheng, Chaodan (Research):</t>
        </r>
        <r>
          <rPr>
            <sz val="8"/>
            <color indexed="81"/>
            <rFont val="Tahoma"/>
            <family val="2"/>
          </rPr>
          <t xml:space="preserve">
call with mgmt:
- adjusted run-rate: $2.40</t>
        </r>
      </text>
    </comment>
    <comment ref="EI645" authorId="12">
      <text>
        <r>
          <rPr>
            <b/>
            <sz val="8"/>
            <color indexed="81"/>
            <rFont val="Tahoma"/>
            <family val="2"/>
          </rPr>
          <t>Zheng, Chaodan (Research):</t>
        </r>
        <r>
          <rPr>
            <sz val="8"/>
            <color indexed="81"/>
            <rFont val="Tahoma"/>
            <family val="2"/>
          </rPr>
          <t xml:space="preserve">
call with mgmt:
- adjusted run-rate: $2.73</t>
        </r>
      </text>
    </comment>
    <comment ref="GJ647" authorId="22">
      <text>
        <r>
          <rPr>
            <b/>
            <sz val="9"/>
            <color indexed="81"/>
            <rFont val="Tahoma"/>
            <family val="2"/>
          </rPr>
          <t>Rojas, Isabel (Research):</t>
        </r>
        <r>
          <rPr>
            <sz val="9"/>
            <color indexed="81"/>
            <rFont val="Tahoma"/>
            <family val="2"/>
          </rPr>
          <t xml:space="preserve">
2015 outlook: $9.60-10.10, excl impact of market unlockings and Hartford integration costs</t>
        </r>
      </text>
    </comment>
    <comment ref="GL647" authorId="11">
      <text>
        <r>
          <rPr>
            <b/>
            <sz val="9"/>
            <color indexed="81"/>
            <rFont val="Tahoma"/>
            <family val="2"/>
          </rPr>
          <t>Sanchez Bolanos, Laura (Research):</t>
        </r>
        <r>
          <rPr>
            <sz val="9"/>
            <color indexed="81"/>
            <rFont val="Tahoma"/>
            <family val="2"/>
          </rPr>
          <t xml:space="preserve">
linked to core for estimated periods</t>
        </r>
      </text>
    </comment>
    <comment ref="GN647" authorId="11">
      <text>
        <r>
          <rPr>
            <b/>
            <sz val="9"/>
            <color indexed="81"/>
            <rFont val="Tahoma"/>
            <family val="2"/>
          </rPr>
          <t>Sanchez Bolanos, Laura (Research):</t>
        </r>
        <r>
          <rPr>
            <sz val="9"/>
            <color indexed="81"/>
            <rFont val="Tahoma"/>
            <family val="2"/>
          </rPr>
          <t xml:space="preserve">
linked to core for estimated periods</t>
        </r>
      </text>
    </comment>
    <comment ref="GP647" authorId="11">
      <text>
        <r>
          <rPr>
            <b/>
            <sz val="9"/>
            <color indexed="81"/>
            <rFont val="Tahoma"/>
            <family val="2"/>
          </rPr>
          <t>Sanchez Bolanos, Laura (Research):</t>
        </r>
        <r>
          <rPr>
            <sz val="9"/>
            <color indexed="81"/>
            <rFont val="Tahoma"/>
            <family val="2"/>
          </rPr>
          <t xml:space="preserve">
linked to core for estimated periods</t>
        </r>
      </text>
    </comment>
    <comment ref="GR647" authorId="11">
      <text>
        <r>
          <rPr>
            <b/>
            <sz val="9"/>
            <color indexed="81"/>
            <rFont val="Tahoma"/>
            <family val="2"/>
          </rPr>
          <t>Sanchez Bolanos, Laura (Research):</t>
        </r>
        <r>
          <rPr>
            <sz val="9"/>
            <color indexed="81"/>
            <rFont val="Tahoma"/>
            <family val="2"/>
          </rPr>
          <t xml:space="preserve">
linked to core for estimated periods</t>
        </r>
      </text>
    </comment>
    <comment ref="GT647" authorId="11">
      <text>
        <r>
          <rPr>
            <b/>
            <sz val="9"/>
            <color indexed="81"/>
            <rFont val="Tahoma"/>
            <family val="2"/>
          </rPr>
          <t>Sanchez Bolanos, Laura (Research):</t>
        </r>
        <r>
          <rPr>
            <sz val="9"/>
            <color indexed="81"/>
            <rFont val="Tahoma"/>
            <family val="2"/>
          </rPr>
          <t xml:space="preserve">
linked to core for estimated periods</t>
        </r>
      </text>
    </comment>
    <comment ref="DS675" authorId="11">
      <text>
        <r>
          <rPr>
            <b/>
            <sz val="9"/>
            <color indexed="81"/>
            <rFont val="Tahoma"/>
            <family val="2"/>
          </rPr>
          <t>Sanchez Bolanos, Laura (Research):</t>
        </r>
        <r>
          <rPr>
            <sz val="9"/>
            <color indexed="81"/>
            <rFont val="Tahoma"/>
            <family val="2"/>
          </rPr>
          <t xml:space="preserve">
supplement, pg 6, capitalization data section</t>
        </r>
      </text>
    </comment>
    <comment ref="EQ676" authorId="1">
      <text>
        <r>
          <rPr>
            <b/>
            <sz val="9"/>
            <color indexed="81"/>
            <rFont val="Tahoma"/>
            <family val="2"/>
          </rPr>
          <t>Gupta, Tanmay (Research):</t>
        </r>
        <r>
          <rPr>
            <sz val="9"/>
            <color indexed="81"/>
            <rFont val="Tahoma"/>
            <family val="2"/>
          </rPr>
          <t xml:space="preserve">
2018 guid: positive impact on adjusted book value in the first quarter of 2018 of roughly $1 billion. 
1) new accounting standard will result in a reclass of net unrealized gains of approximately $900 million from AOCI to retained earnings.
2) Intend to eliminate the 1-month reporting lag in our Gibraltar operations. Would not result in an extra month of Gibraltar earnings in our 2018 results, but instead, would essentially result in an adjustment to opening equity.</t>
        </r>
      </text>
    </comment>
    <comment ref="EQ677" authorId="1">
      <text>
        <r>
          <rPr>
            <b/>
            <sz val="9"/>
            <color indexed="81"/>
            <rFont val="Tahoma"/>
            <family val="2"/>
          </rPr>
          <t>Gupta, Tanmay (Research):</t>
        </r>
        <r>
          <rPr>
            <sz val="9"/>
            <color indexed="81"/>
            <rFont val="Tahoma"/>
            <family val="2"/>
          </rPr>
          <t xml:space="preserve">
2018 guid: positive impact on adjusted book value in the first quarter of 2018 of roughly $1 billion. 
1) new accounting standard will result in a reclass of net unrealized gains of approximately $900 million from AOCI to retained earnings.
2) Intend to eliminate the 1-month reporting lag in our Gibraltar operations. Would not result in an extra month of Gibraltar earnings in our 2018 results, but instead, would essentially result in an adjustment to opening equity.</t>
        </r>
      </text>
    </comment>
    <comment ref="GP691" authorId="1">
      <text>
        <r>
          <rPr>
            <b/>
            <sz val="9"/>
            <color indexed="81"/>
            <rFont val="Tahoma"/>
            <family val="2"/>
          </rPr>
          <t>Gupta, Tanmay (Research):</t>
        </r>
        <r>
          <rPr>
            <sz val="9"/>
            <color indexed="81"/>
            <rFont val="Tahoma"/>
            <family val="2"/>
          </rPr>
          <t xml:space="preserve">
2018 outlook: 12-13%</t>
        </r>
      </text>
    </comment>
    <comment ref="GP692" authorId="2">
      <text>
        <r>
          <rPr>
            <b/>
            <sz val="9"/>
            <color indexed="81"/>
            <rFont val="Tahoma"/>
            <family val="2"/>
          </rPr>
          <t>Huang, Bob (Research):</t>
        </r>
        <r>
          <rPr>
            <sz val="9"/>
            <color indexed="81"/>
            <rFont val="Tahoma"/>
            <family val="2"/>
          </rPr>
          <t xml:space="preserve">
2018 outlook: 12-13% for near/intermediate term</t>
        </r>
      </text>
    </comment>
    <comment ref="DS707" authorId="11">
      <text>
        <r>
          <rPr>
            <b/>
            <sz val="9"/>
            <color indexed="81"/>
            <rFont val="Tahoma"/>
            <family val="2"/>
          </rPr>
          <t>Sanchez Bolanos, Laura (Research):</t>
        </r>
        <r>
          <rPr>
            <sz val="9"/>
            <color indexed="81"/>
            <rFont val="Tahoma"/>
            <family val="2"/>
          </rPr>
          <t xml:space="preserve">
rounding issues</t>
        </r>
      </text>
    </comment>
    <comment ref="EO707" authorId="1">
      <text>
        <r>
          <rPr>
            <b/>
            <sz val="9"/>
            <color indexed="81"/>
            <rFont val="Tahoma"/>
            <family val="2"/>
          </rPr>
          <t>Gupta, Tanmay (Research):</t>
        </r>
        <r>
          <rPr>
            <sz val="9"/>
            <color indexed="81"/>
            <rFont val="Tahoma"/>
            <family val="2"/>
          </rPr>
          <t xml:space="preserve">
4Q17: Exchangeable surplus notes are dilutive when book value per share is greater than $85.00 (equivalent to an additional 5.88 million in diluted shares and an increase of $500
million in equity)</t>
        </r>
      </text>
    </comment>
    <comment ref="DQ710" authorId="11">
      <text>
        <r>
          <rPr>
            <b/>
            <sz val="9"/>
            <color indexed="81"/>
            <rFont val="Tahoma"/>
            <family val="2"/>
          </rPr>
          <t>Sanchez Bolanos, Laura (Research):</t>
        </r>
        <r>
          <rPr>
            <sz val="9"/>
            <color indexed="81"/>
            <rFont val="Tahoma"/>
            <family val="2"/>
          </rPr>
          <t xml:space="preserve">
10K</t>
        </r>
      </text>
    </comment>
    <comment ref="DS714" authorId="11">
      <text>
        <r>
          <rPr>
            <b/>
            <sz val="9"/>
            <color indexed="81"/>
            <rFont val="Tahoma"/>
            <family val="2"/>
          </rPr>
          <t>Sanchez Bolanos, Laura (Research):</t>
        </r>
        <r>
          <rPr>
            <sz val="9"/>
            <color indexed="81"/>
            <rFont val="Tahoma"/>
            <family val="2"/>
          </rPr>
          <t xml:space="preserve">
rounding issues</t>
        </r>
      </text>
    </comment>
    <comment ref="EO714" authorId="1">
      <text>
        <r>
          <rPr>
            <b/>
            <sz val="9"/>
            <color indexed="81"/>
            <rFont val="Tahoma"/>
            <family val="2"/>
          </rPr>
          <t>Gupta, Tanmay (Research):</t>
        </r>
        <r>
          <rPr>
            <sz val="9"/>
            <color indexed="81"/>
            <rFont val="Tahoma"/>
            <family val="2"/>
          </rPr>
          <t xml:space="preserve">
4Q17: Exchangeable surplus notes are dilutive when book value per share is greater than $85.00 (equivalent to an additional 5.88 million in diluted shares and an increase of $500
million in equity)</t>
        </r>
      </text>
    </comment>
    <comment ref="EA717" authorId="12">
      <text>
        <r>
          <rPr>
            <b/>
            <sz val="8"/>
            <color indexed="81"/>
            <rFont val="Tahoma"/>
            <family val="2"/>
          </rPr>
          <t>Zheng, Chaodan (Research):</t>
        </r>
        <r>
          <rPr>
            <sz val="8"/>
            <color indexed="81"/>
            <rFont val="Tahoma"/>
            <family val="2"/>
          </rPr>
          <t xml:space="preserve">
call with mgmt:
- did not change meaningfully, was down not due to deployment activities
- strong capital deployment of $700 million buybacks, dividends
- $530 million Habitat (already earmarked)
- $250 million of debt reduction </t>
        </r>
      </text>
    </comment>
    <comment ref="EC717" authorId="12">
      <text>
        <r>
          <rPr>
            <b/>
            <sz val="8"/>
            <color indexed="81"/>
            <rFont val="Tahoma"/>
            <family val="2"/>
          </rPr>
          <t>Zheng, Chaodan (Research):</t>
        </r>
        <r>
          <rPr>
            <sz val="8"/>
            <color indexed="81"/>
            <rFont val="Tahoma"/>
            <family val="2"/>
          </rPr>
          <t xml:space="preserve">
call with mgmt:
- did not change meaningfully, was down not due to deployment activities
- strong capital deployment of $700 million buybacks, dividends
- $530 million Habitat (already earmarked)
- $250 million of debt reduction </t>
        </r>
      </text>
    </comment>
    <comment ref="EE717" authorId="12">
      <text>
        <r>
          <rPr>
            <b/>
            <sz val="8"/>
            <color indexed="81"/>
            <rFont val="Tahoma"/>
            <family val="2"/>
          </rPr>
          <t>Zheng, Chaodan (Research):</t>
        </r>
        <r>
          <rPr>
            <sz val="8"/>
            <color indexed="81"/>
            <rFont val="Tahoma"/>
            <family val="2"/>
          </rPr>
          <t xml:space="preserve">
call with mgmt:
- did not change meaningfully, was down not due to deployment activities
- strong capital deployment of $700 million buybacks, dividends
- $530 million Habitat (already earmarked)
- $250 million of debt reduction </t>
        </r>
      </text>
    </comment>
    <comment ref="EG717" authorId="12">
      <text>
        <r>
          <rPr>
            <b/>
            <sz val="8"/>
            <color indexed="81"/>
            <rFont val="Tahoma"/>
            <family val="2"/>
          </rPr>
          <t>Zheng, Chaodan (Research):</t>
        </r>
        <r>
          <rPr>
            <sz val="8"/>
            <color indexed="81"/>
            <rFont val="Tahoma"/>
            <family val="2"/>
          </rPr>
          <t xml:space="preserve">
call with mgmt:
- did not change meaningfully, was down not due to deployment activities
- strong capital deployment of $700 million buybacks, dividends
- $530 million Habitat (already earmarked)
- $250 million of debt reduction </t>
        </r>
      </text>
    </comment>
    <comment ref="EI717" authorId="12">
      <text>
        <r>
          <rPr>
            <b/>
            <sz val="8"/>
            <color indexed="81"/>
            <rFont val="Tahoma"/>
            <family val="2"/>
          </rPr>
          <t>Zheng, Chaodan (Research):</t>
        </r>
        <r>
          <rPr>
            <sz val="8"/>
            <color indexed="81"/>
            <rFont val="Tahoma"/>
            <family val="2"/>
          </rPr>
          <t xml:space="preserve">
call with mgmt:
- did not change meaningfully, was down not due to deployment activities
- strong capital deployment of $700 million buybacks, dividends
- $530 million Habitat (already earmarked)
- $250 million of debt reduction </t>
        </r>
      </text>
    </comment>
    <comment ref="EK717" authorId="12">
      <text>
        <r>
          <rPr>
            <b/>
            <sz val="8"/>
            <color indexed="81"/>
            <rFont val="Tahoma"/>
            <family val="2"/>
          </rPr>
          <t>Zheng, Chaodan (Research):</t>
        </r>
        <r>
          <rPr>
            <sz val="8"/>
            <color indexed="81"/>
            <rFont val="Tahoma"/>
            <family val="2"/>
          </rPr>
          <t xml:space="preserve">
call with mgmt:
- did not change meaningfully, was down not due to deployment activities
- strong capital deployment of $700 million buybacks, dividends
- $530 million Habitat (already earmarked)
- $250 million of debt reduction </t>
        </r>
      </text>
    </comment>
    <comment ref="EM717" authorId="12">
      <text>
        <r>
          <rPr>
            <b/>
            <sz val="8"/>
            <color indexed="81"/>
            <rFont val="Tahoma"/>
            <family val="2"/>
          </rPr>
          <t>Zheng, Chaodan (Research):</t>
        </r>
        <r>
          <rPr>
            <sz val="8"/>
            <color indexed="81"/>
            <rFont val="Tahoma"/>
            <family val="2"/>
          </rPr>
          <t xml:space="preserve">
call with mgmt:
- did not change meaningfully, was down not due to deployment activities
- strong capital deployment of $700 million buybacks, dividends
- $530 million Habitat (already earmarked)
- $250 million of debt reduction </t>
        </r>
      </text>
    </comment>
    <comment ref="EO717" authorId="12">
      <text>
        <r>
          <rPr>
            <b/>
            <sz val="8"/>
            <color indexed="81"/>
            <rFont val="Tahoma"/>
            <family val="2"/>
          </rPr>
          <t>Zheng, Chaodan (Research):</t>
        </r>
        <r>
          <rPr>
            <sz val="8"/>
            <color indexed="81"/>
            <rFont val="Tahoma"/>
            <family val="2"/>
          </rPr>
          <t xml:space="preserve">
call with mgmt:
- did not change meaningfully, was down not due to deployment activities
- strong capital deployment of $700 million buybacks, dividends
- $530 million Habitat (already earmarked)
- $250 million of debt reduction </t>
        </r>
      </text>
    </comment>
    <comment ref="DS723" authorId="11">
      <text>
        <r>
          <rPr>
            <b/>
            <sz val="9"/>
            <color indexed="81"/>
            <rFont val="Tahoma"/>
            <family val="2"/>
          </rPr>
          <t>Sanchez Bolanos, Laura (Research):</t>
        </r>
        <r>
          <rPr>
            <sz val="9"/>
            <color indexed="81"/>
            <rFont val="Tahoma"/>
            <family val="2"/>
          </rPr>
          <t xml:space="preserve">
Supplement, pg 6, footnote: "Book value per share of Common Stock including accumulated other comprehensive income for the first quarter of 2015 includes a $500 million increase in equity and a 5.5 million increase in diluted shares reflecting the dilutive impact of exchangeable surplus notes"</t>
        </r>
      </text>
    </comment>
    <comment ref="DU723" authorId="11">
      <text>
        <r>
          <rPr>
            <b/>
            <sz val="9"/>
            <color indexed="81"/>
            <rFont val="Tahoma"/>
            <family val="2"/>
          </rPr>
          <t>Sanchez Bolanos, Laura (Research):</t>
        </r>
        <r>
          <rPr>
            <sz val="9"/>
            <color indexed="81"/>
            <rFont val="Tahoma"/>
            <family val="2"/>
          </rPr>
          <t xml:space="preserve">
Supplement, pg 6, footnote: "Book value per share of Common Stock including accumulated other comprehensive income for the first quarter of 2015 includes a $500 million increase in equity and a 5.5 million increase in diluted shares reflecting the dilutive impact of exchangeable surplus notes"</t>
        </r>
      </text>
    </comment>
    <comment ref="DW723" authorId="11">
      <text>
        <r>
          <rPr>
            <b/>
            <sz val="9"/>
            <color indexed="81"/>
            <rFont val="Tahoma"/>
            <family val="2"/>
          </rPr>
          <t>Sanchez Bolanos, Laura (Research):</t>
        </r>
        <r>
          <rPr>
            <sz val="9"/>
            <color indexed="81"/>
            <rFont val="Tahoma"/>
            <family val="2"/>
          </rPr>
          <t xml:space="preserve">
Supplement, pg 6, footnote: "Book value per share of Common Stock including accumulated other comprehensive income for the first quarter of 2015 includes a $500 million increase in equity and a 5.5 million increase in diluted shares reflecting the dilutive impact of exchangeable surplus notes"</t>
        </r>
      </text>
    </comment>
    <comment ref="DY723" authorId="11">
      <text>
        <r>
          <rPr>
            <b/>
            <sz val="9"/>
            <color indexed="81"/>
            <rFont val="Tahoma"/>
            <family val="2"/>
          </rPr>
          <t>Sanchez Bolanos, Laura (Research):</t>
        </r>
        <r>
          <rPr>
            <sz val="9"/>
            <color indexed="81"/>
            <rFont val="Tahoma"/>
            <family val="2"/>
          </rPr>
          <t xml:space="preserve">
Supplement, pg 6, footnote: "Book value per share of Common Stock including accumulated other comprehensive income for the first quarter of 2015 includes a $500 million increase in equity and a 5.5 million increase in diluted shares reflecting the dilutive impact of exchangeable surplus notes"</t>
        </r>
      </text>
    </comment>
    <comment ref="EA723" authorId="11">
      <text>
        <r>
          <rPr>
            <b/>
            <sz val="9"/>
            <color indexed="81"/>
            <rFont val="Tahoma"/>
            <family val="2"/>
          </rPr>
          <t>Sanchez Bolanos, Laura (Research):</t>
        </r>
        <r>
          <rPr>
            <sz val="9"/>
            <color indexed="81"/>
            <rFont val="Tahoma"/>
            <family val="2"/>
          </rPr>
          <t xml:space="preserve">
ER, pg. 12, footnote: "Book value per share of Common Stock including accumulated other comprehensive income as of March 31,
2015 includes a $500 million increase in equity and a 5.5 million increase in diluted shares reflecting the
dilutive impact of exchangeable surplus notes when book value per share is greater than $90.85, and as of
March 31, 2016 includes a $500 million increase in equity and a 5.6 million increase in diluted shares
reflecting the dilutive impact of exchangeable surplus notes when book value per share is greater than
$88.90."</t>
        </r>
      </text>
    </comment>
    <comment ref="EC723" authorId="11">
      <text>
        <r>
          <rPr>
            <b/>
            <sz val="9"/>
            <color indexed="81"/>
            <rFont val="Tahoma"/>
            <family val="2"/>
          </rPr>
          <t>Sanchez Bolanos, Laura (Research):</t>
        </r>
        <r>
          <rPr>
            <sz val="9"/>
            <color indexed="81"/>
            <rFont val="Tahoma"/>
            <family val="2"/>
          </rPr>
          <t xml:space="preserve">
ER, pg. 12, footnote: "Book value per share of Common Stock including accumulated other comprehensive income as of March 31,
2015 includes a $500 million increase in equity and a 5.5 million increase in diluted shares reflecting the
dilutive impact of exchangeable surplus notes when book value per share is greater than $90.85, and as of
March 31, 2016 includes a $500 million increase in equity and a 5.6 million increase in diluted shares
reflecting the dilutive impact of exchangeable surplus notes when book value per share is greater than
$88.90."</t>
        </r>
      </text>
    </comment>
    <comment ref="EE723" authorId="11">
      <text>
        <r>
          <rPr>
            <b/>
            <sz val="9"/>
            <color indexed="81"/>
            <rFont val="Tahoma"/>
            <family val="2"/>
          </rPr>
          <t>Sanchez Bolanos, Laura (Research):</t>
        </r>
        <r>
          <rPr>
            <sz val="9"/>
            <color indexed="81"/>
            <rFont val="Tahoma"/>
            <family val="2"/>
          </rPr>
          <t xml:space="preserve">
ER, pg. 12, footnote: "Book value per share of Common Stock including accumulated other comprehensive income as of March 31,
2015 includes a $500 million increase in equity and a 5.5 million increase in diluted shares reflecting the
dilutive impact of exchangeable surplus notes when book value per share is greater than $90.85, and as of
March 31, 2016 includes a $500 million increase in equity and a 5.6 million increase in diluted shares
reflecting the dilutive impact of exchangeable surplus notes when book value per share is greater than
$88.90."</t>
        </r>
      </text>
    </comment>
    <comment ref="EG723" authorId="11">
      <text>
        <r>
          <rPr>
            <b/>
            <sz val="9"/>
            <color indexed="81"/>
            <rFont val="Tahoma"/>
            <family val="2"/>
          </rPr>
          <t>Sanchez Bolanos, Laura (Research):</t>
        </r>
        <r>
          <rPr>
            <sz val="9"/>
            <color indexed="81"/>
            <rFont val="Tahoma"/>
            <family val="2"/>
          </rPr>
          <t xml:space="preserve">
ER, pg. 12, footnote: "Book value per share of Common Stock including accumulated other comprehensive income as of March 31,
2015 includes a $500 million increase in equity and a 5.5 million increase in diluted shares reflecting the
dilutive impact of exchangeable surplus notes when book value per share is greater than $90.85, and as of
March 31, 2016 includes a $500 million increase in equity and a 5.6 million increase in diluted shares
reflecting the dilutive impact of exchangeable surplus notes when book value per share is greater than
$88.90."</t>
        </r>
      </text>
    </comment>
    <comment ref="EI723" authorId="11">
      <text>
        <r>
          <rPr>
            <b/>
            <sz val="9"/>
            <color indexed="81"/>
            <rFont val="Tahoma"/>
            <family val="2"/>
          </rPr>
          <t>Sanchez Bolanos, Laura (Research):</t>
        </r>
        <r>
          <rPr>
            <sz val="9"/>
            <color indexed="81"/>
            <rFont val="Tahoma"/>
            <family val="2"/>
          </rPr>
          <t xml:space="preserve">
ER, pg. 12, footnote: "Book value per share of Common Stock including accumulated other comprehensive income as of March 31,
2015 includes a $500 million increase in equity and a 5.5 million increase in diluted shares reflecting the
dilutive impact of exchangeable surplus notes when book value per share is greater than $90.85, and as of
March 31, 2016 includes a $500 million increase in equity and a 5.6 million increase in diluted shares
reflecting the dilutive impact of exchangeable surplus notes when book value per share is greater than
$88.90."</t>
        </r>
      </text>
    </comment>
    <comment ref="EK723" authorId="11">
      <text>
        <r>
          <rPr>
            <b/>
            <sz val="9"/>
            <color indexed="81"/>
            <rFont val="Tahoma"/>
            <family val="2"/>
          </rPr>
          <t>Sanchez Bolanos, Laura (Research):</t>
        </r>
        <r>
          <rPr>
            <sz val="9"/>
            <color indexed="81"/>
            <rFont val="Tahoma"/>
            <family val="2"/>
          </rPr>
          <t xml:space="preserve">
ER, pg. 12, footnote: "Book value per share of Common Stock including accumulated other comprehensive income as of March 31,
2015 includes a $500 million increase in equity and a 5.5 million increase in diluted shares reflecting the
dilutive impact of exchangeable surplus notes when book value per share is greater than $90.85, and as of
March 31, 2016 includes a $500 million increase in equity and a 5.6 million increase in diluted shares
reflecting the dilutive impact of exchangeable surplus notes when book value per share is greater than
$88.90."</t>
        </r>
      </text>
    </comment>
    <comment ref="EM723" authorId="11">
      <text>
        <r>
          <rPr>
            <b/>
            <sz val="9"/>
            <color indexed="81"/>
            <rFont val="Tahoma"/>
            <family val="2"/>
          </rPr>
          <t>Sanchez Bolanos, Laura (Research):</t>
        </r>
        <r>
          <rPr>
            <sz val="9"/>
            <color indexed="81"/>
            <rFont val="Tahoma"/>
            <family val="2"/>
          </rPr>
          <t xml:space="preserve">
ER, pg. 12, footnote: "Book value per share of Common Stock including accumulated other comprehensive income as of March 31,
2015 includes a $500 million increase in equity and a 5.5 million increase in diluted shares reflecting the
dilutive impact of exchangeable surplus notes when book value per share is greater than $90.85, and as of
March 31, 2016 includes a $500 million increase in equity and a 5.6 million increase in diluted shares
reflecting the dilutive impact of exchangeable surplus notes when book value per share is greater than
$88.90."</t>
        </r>
      </text>
    </comment>
    <comment ref="EO723" authorId="11">
      <text>
        <r>
          <rPr>
            <b/>
            <sz val="9"/>
            <color indexed="81"/>
            <rFont val="Tahoma"/>
            <family val="2"/>
          </rPr>
          <t>Sanchez Bolanos, Laura (Research):</t>
        </r>
        <r>
          <rPr>
            <sz val="9"/>
            <color indexed="81"/>
            <rFont val="Tahoma"/>
            <family val="2"/>
          </rPr>
          <t xml:space="preserve">
ER, pg. 12, footnote: "Book value per share of Common Stock including accumulated other comprehensive income as of March 31,
2015 includes a $500 million increase in equity and a 5.5 million increase in diluted shares reflecting the
dilutive impact of exchangeable surplus notes when book value per share is greater than $90.85, and as of
March 31, 2016 includes a $500 million increase in equity and a 5.75 million increase in diluted shares
reflecting the dilutive impact of exchangeable surplus notes when book value per share is greater than
$88.90."</t>
        </r>
      </text>
    </comment>
  </commentList>
</comments>
</file>

<file path=xl/comments3.xml><?xml version="1.0" encoding="utf-8"?>
<comments xmlns="http://schemas.openxmlformats.org/spreadsheetml/2006/main">
  <authors>
    <author>sanclaur</author>
    <author>dianaz</author>
  </authors>
  <commentList>
    <comment ref="BX37" authorId="0">
      <text>
        <r>
          <rPr>
            <b/>
            <sz val="8"/>
            <color indexed="81"/>
            <rFont val="Tahoma"/>
            <family val="2"/>
          </rPr>
          <t>sanclaur:</t>
        </r>
        <r>
          <rPr>
            <sz val="8"/>
            <color indexed="81"/>
            <rFont val="Tahoma"/>
            <family val="2"/>
          </rPr>
          <t xml:space="preserve">
Formula changes as abnormals are taxed at 35%</t>
        </r>
      </text>
    </comment>
    <comment ref="CB37" authorId="1">
      <text>
        <r>
          <rPr>
            <b/>
            <sz val="8"/>
            <color indexed="81"/>
            <rFont val="Tahoma"/>
            <family val="2"/>
          </rPr>
          <t>dianaz:</t>
        </r>
        <r>
          <rPr>
            <sz val="8"/>
            <color indexed="81"/>
            <rFont val="Tahoma"/>
            <family val="2"/>
          </rPr>
          <t xml:space="preserve">
Harcoded in INPUT tab due to impact in low interest rates</t>
        </r>
      </text>
    </comment>
    <comment ref="EW37" authorId="1">
      <text>
        <r>
          <rPr>
            <b/>
            <sz val="8"/>
            <color indexed="81"/>
            <rFont val="Tahoma"/>
            <family val="2"/>
          </rPr>
          <t>dianaz:</t>
        </r>
        <r>
          <rPr>
            <sz val="8"/>
            <color indexed="81"/>
            <rFont val="Tahoma"/>
            <family val="2"/>
          </rPr>
          <t xml:space="preserve">
Harcoded in INPUT tab due to impact in low interest rates</t>
        </r>
      </text>
    </comment>
    <comment ref="EC219" authorId="0">
      <text>
        <r>
          <rPr>
            <b/>
            <sz val="8"/>
            <color indexed="81"/>
            <rFont val="Tahoma"/>
            <family val="2"/>
          </rPr>
          <t>sanclaur:</t>
        </r>
        <r>
          <rPr>
            <sz val="8"/>
            <color indexed="81"/>
            <rFont val="Tahoma"/>
            <family val="2"/>
          </rPr>
          <t xml:space="preserve">
Input excludes Net DAC</t>
        </r>
      </text>
    </comment>
  </commentList>
</comments>
</file>

<file path=xl/comments4.xml><?xml version="1.0" encoding="utf-8"?>
<comments xmlns="http://schemas.openxmlformats.org/spreadsheetml/2006/main">
  <authors>
    <author>Gupta, Tanmay (Research)</author>
  </authors>
  <commentList>
    <comment ref="C63" authorId="0">
      <text>
        <r>
          <rPr>
            <b/>
            <sz val="9"/>
            <color indexed="81"/>
            <rFont val="Tahoma"/>
            <family val="2"/>
          </rPr>
          <t>Gupta, Tanmay (Research):</t>
        </r>
        <r>
          <rPr>
            <sz val="9"/>
            <color indexed="81"/>
            <rFont val="Tahoma"/>
            <family val="2"/>
          </rPr>
          <t xml:space="preserve">
Cost of Capital</t>
        </r>
      </text>
    </comment>
  </commentList>
</comments>
</file>

<file path=xl/comments5.xml><?xml version="1.0" encoding="utf-8"?>
<comments xmlns="http://schemas.openxmlformats.org/spreadsheetml/2006/main">
  <authors>
    <author>Laura Sanchez</author>
    <author>Zamora, Diana (Research)</author>
    <author>Rojas, Isabel (Research)</author>
    <author>Huang, Bob (Research)</author>
    <author>dianaz</author>
    <author>Gupta, Tanmay (Research)</author>
  </authors>
  <commentList>
    <comment ref="W25" authorId="0">
      <text>
        <r>
          <rPr>
            <b/>
            <sz val="8"/>
            <color indexed="81"/>
            <rFont val="Tahoma"/>
            <family val="2"/>
          </rPr>
          <t>Laura Sanchez:</t>
        </r>
        <r>
          <rPr>
            <sz val="8"/>
            <color indexed="81"/>
            <rFont val="Tahoma"/>
            <family val="2"/>
          </rPr>
          <t xml:space="preserve">
Nov. 2012 guid
$7.50-7.90 incl. restructuring</t>
        </r>
      </text>
    </comment>
    <comment ref="X25" authorId="1">
      <text>
        <r>
          <rPr>
            <b/>
            <sz val="9"/>
            <color indexed="81"/>
            <rFont val="Tahoma"/>
            <family val="2"/>
          </rPr>
          <t>Zamora, Diana (Research):</t>
        </r>
        <r>
          <rPr>
            <sz val="9"/>
            <color indexed="81"/>
            <rFont val="Tahoma"/>
            <family val="2"/>
          </rPr>
          <t xml:space="preserve">
3Q13 transcript. For Financial Services Businesses</t>
        </r>
      </text>
    </comment>
    <comment ref="Y25" authorId="2">
      <text>
        <r>
          <rPr>
            <b/>
            <sz val="9"/>
            <color indexed="81"/>
            <rFont val="Tahoma"/>
            <family val="2"/>
          </rPr>
          <t>Rojas, Isabel (Research):</t>
        </r>
        <r>
          <rPr>
            <sz val="9"/>
            <color indexed="81"/>
            <rFont val="Tahoma"/>
            <family val="2"/>
          </rPr>
          <t xml:space="preserve">
2016 outlook: excl impact of market unlockings and Hartford integration costs</t>
        </r>
      </text>
    </comment>
    <comment ref="Z25" authorId="3">
      <text>
        <r>
          <rPr>
            <b/>
            <sz val="9"/>
            <color indexed="81"/>
            <rFont val="Tahoma"/>
            <family val="2"/>
          </rPr>
          <t>Huang, Bob (Research):</t>
        </r>
        <r>
          <rPr>
            <sz val="9"/>
            <color indexed="81"/>
            <rFont val="Tahoma"/>
            <family val="2"/>
          </rPr>
          <t xml:space="preserve">
2017 outlook. Slide 7. excludes impact of market unlockings that are regarded as market driven and discrete. Slide 7. </t>
        </r>
      </text>
    </comment>
    <comment ref="W31" authorId="0">
      <text>
        <r>
          <rPr>
            <b/>
            <sz val="8"/>
            <color indexed="81"/>
            <rFont val="Tahoma"/>
            <family val="2"/>
          </rPr>
          <t>Laura Sanchez:</t>
        </r>
        <r>
          <rPr>
            <sz val="8"/>
            <color indexed="81"/>
            <rFont val="Tahoma"/>
            <family val="2"/>
          </rPr>
          <t xml:space="preserve">
June 2013 Inv. Day: unchanged
May 2012 Inv. Day</t>
        </r>
      </text>
    </comment>
    <comment ref="Z31" authorId="3">
      <text>
        <r>
          <rPr>
            <b/>
            <sz val="9"/>
            <color indexed="81"/>
            <rFont val="Tahoma"/>
            <family val="2"/>
          </rPr>
          <t>Huang, Bob (Research):</t>
        </r>
        <r>
          <rPr>
            <sz val="9"/>
            <color indexed="81"/>
            <rFont val="Tahoma"/>
            <family val="2"/>
          </rPr>
          <t xml:space="preserve">
2017 outlook
moderating near and intermediate term RoE to 12-13%</t>
        </r>
      </text>
    </comment>
    <comment ref="AB31" authorId="4">
      <text>
        <r>
          <rPr>
            <b/>
            <sz val="8"/>
            <color indexed="81"/>
            <rFont val="Tahoma"/>
            <family val="2"/>
          </rPr>
          <t>dianaz:</t>
        </r>
        <r>
          <rPr>
            <sz val="8"/>
            <color indexed="81"/>
            <rFont val="Tahoma"/>
            <family val="2"/>
          </rPr>
          <t xml:space="preserve">
2015 outlook: unchanged
1Q14 guidance unchanged
2Q13 guidance: unchanged
1Q13 call transcript</t>
        </r>
      </text>
    </comment>
    <comment ref="W32" authorId="4">
      <text>
        <r>
          <rPr>
            <b/>
            <sz val="8"/>
            <color indexed="81"/>
            <rFont val="Tahoma"/>
            <family val="2"/>
          </rPr>
          <t>dianaz:</t>
        </r>
        <r>
          <rPr>
            <sz val="8"/>
            <color indexed="81"/>
            <rFont val="Tahoma"/>
            <family val="2"/>
          </rPr>
          <t xml:space="preserve">
Guidance as of Investor Day 11/8/2012</t>
        </r>
      </text>
    </comment>
    <comment ref="X32" authorId="1">
      <text>
        <r>
          <rPr>
            <b/>
            <sz val="9"/>
            <color indexed="81"/>
            <rFont val="Tahoma"/>
            <family val="2"/>
          </rPr>
          <t>Zamora, Diana (Research):</t>
        </r>
        <r>
          <rPr>
            <sz val="9"/>
            <color indexed="81"/>
            <rFont val="Tahoma"/>
            <family val="2"/>
          </rPr>
          <t xml:space="preserve">
3Q13 transcript</t>
        </r>
      </text>
    </comment>
    <comment ref="Y32" authorId="5">
      <text>
        <r>
          <rPr>
            <b/>
            <sz val="9"/>
            <color indexed="81"/>
            <rFont val="Tahoma"/>
            <family val="2"/>
          </rPr>
          <t>Gupta, Tanmay (Research):</t>
        </r>
        <r>
          <rPr>
            <sz val="9"/>
            <color indexed="81"/>
            <rFont val="Tahoma"/>
            <family val="2"/>
          </rPr>
          <t xml:space="preserve">
2016 Outlook</t>
        </r>
      </text>
    </comment>
    <comment ref="Z32" authorId="3">
      <text>
        <r>
          <rPr>
            <b/>
            <sz val="9"/>
            <color indexed="81"/>
            <rFont val="Tahoma"/>
            <family val="2"/>
          </rPr>
          <t>Huang, Bob (Research):</t>
        </r>
        <r>
          <rPr>
            <sz val="9"/>
            <color indexed="81"/>
            <rFont val="Tahoma"/>
            <family val="2"/>
          </rPr>
          <t xml:space="preserve">
2017 outlook</t>
        </r>
      </text>
    </comment>
    <comment ref="X33" authorId="1">
      <text>
        <r>
          <rPr>
            <b/>
            <sz val="9"/>
            <color indexed="81"/>
            <rFont val="Tahoma"/>
            <family val="2"/>
          </rPr>
          <t>Zamora, Diana (Research):</t>
        </r>
        <r>
          <rPr>
            <sz val="9"/>
            <color indexed="81"/>
            <rFont val="Tahoma"/>
            <family val="2"/>
          </rPr>
          <t xml:space="preserve">
3Q14 call: unchanged
1Q14 transcript</t>
        </r>
      </text>
    </comment>
    <comment ref="Y33" authorId="5">
      <text>
        <r>
          <rPr>
            <b/>
            <sz val="9"/>
            <color indexed="81"/>
            <rFont val="Tahoma"/>
            <family val="2"/>
          </rPr>
          <t>Gupta, Tanmay (Research):</t>
        </r>
        <r>
          <rPr>
            <sz val="9"/>
            <color indexed="81"/>
            <rFont val="Tahoma"/>
            <family val="2"/>
          </rPr>
          <t xml:space="preserve">
2Q16 guid: 400%
2016 Outlook</t>
        </r>
      </text>
    </comment>
    <comment ref="Z33" authorId="3">
      <text>
        <r>
          <rPr>
            <b/>
            <sz val="9"/>
            <color indexed="81"/>
            <rFont val="Tahoma"/>
            <family val="2"/>
          </rPr>
          <t>Huang, Bob (Research):</t>
        </r>
        <r>
          <rPr>
            <sz val="9"/>
            <color indexed="81"/>
            <rFont val="Tahoma"/>
            <family val="2"/>
          </rPr>
          <t xml:space="preserve">
no longer disclosed</t>
        </r>
      </text>
    </comment>
    <comment ref="X34" authorId="1">
      <text>
        <r>
          <rPr>
            <b/>
            <sz val="9"/>
            <color indexed="81"/>
            <rFont val="Tahoma"/>
            <family val="2"/>
          </rPr>
          <t>Zamora, Diana (Research):</t>
        </r>
        <r>
          <rPr>
            <sz val="9"/>
            <color indexed="81"/>
            <rFont val="Tahoma"/>
            <family val="2"/>
          </rPr>
          <t xml:space="preserve">
3Q14 call: unchanged
Tokyo Investor Day 2014: unchanged
1Q14 transcript</t>
        </r>
      </text>
    </comment>
    <comment ref="Y34" authorId="5">
      <text>
        <r>
          <rPr>
            <b/>
            <sz val="9"/>
            <color indexed="81"/>
            <rFont val="Tahoma"/>
            <family val="2"/>
          </rPr>
          <t>Gupta, Tanmay (Research):</t>
        </r>
        <r>
          <rPr>
            <sz val="9"/>
            <color indexed="81"/>
            <rFont val="Tahoma"/>
            <family val="2"/>
          </rPr>
          <t xml:space="preserve">
2Q16 guid: 700%
2016 Outlook</t>
        </r>
      </text>
    </comment>
    <comment ref="W35" authorId="1">
      <text>
        <r>
          <rPr>
            <b/>
            <sz val="9"/>
            <color indexed="81"/>
            <rFont val="Tahoma"/>
            <family val="2"/>
          </rPr>
          <t>Zamora, Diana (Research):</t>
        </r>
        <r>
          <rPr>
            <sz val="9"/>
            <color indexed="81"/>
            <rFont val="Tahoma"/>
            <family val="2"/>
          </rPr>
          <t xml:space="preserve">
3Q13 transcript: Assumes 2013 ending S&amp;P 500 level of 1,760, which is near to S&amp;P on 11/07/13 and 6% growth for 2014.</t>
        </r>
      </text>
    </comment>
    <comment ref="X35" authorId="1">
      <text>
        <r>
          <rPr>
            <b/>
            <sz val="9"/>
            <color indexed="81"/>
            <rFont val="Tahoma"/>
            <family val="2"/>
          </rPr>
          <t>Zamora, Diana (Research):</t>
        </r>
        <r>
          <rPr>
            <sz val="9"/>
            <color indexed="81"/>
            <rFont val="Tahoma"/>
            <family val="2"/>
          </rPr>
          <t xml:space="preserve">
2015 outlook: S&amp;P 500 ends 2014 at 2,020
3Q13 transcript: Assumes 2013 ending S&amp;P 500 level of 1,760, which is near to S&amp;P on 11/07/13 and 6% growth for 2014.</t>
        </r>
      </text>
    </comment>
    <comment ref="Y35" authorId="2">
      <text>
        <r>
          <rPr>
            <b/>
            <sz val="9"/>
            <color indexed="81"/>
            <rFont val="Tahoma"/>
            <family val="2"/>
          </rPr>
          <t>Rojas, Isabel (Research):</t>
        </r>
        <r>
          <rPr>
            <sz val="9"/>
            <color indexed="81"/>
            <rFont val="Tahoma"/>
            <family val="2"/>
          </rPr>
          <t xml:space="preserve">
2016 outlook: grows 6% annually; ending 2016 at 2,205</t>
        </r>
      </text>
    </comment>
    <comment ref="Z35" authorId="3">
      <text>
        <r>
          <rPr>
            <b/>
            <sz val="9"/>
            <color indexed="81"/>
            <rFont val="Tahoma"/>
            <family val="2"/>
          </rPr>
          <t>Huang, Bob (Research):</t>
        </r>
        <r>
          <rPr>
            <sz val="9"/>
            <color indexed="81"/>
            <rFont val="Tahoma"/>
            <family val="2"/>
          </rPr>
          <t xml:space="preserve">
outlook 2017</t>
        </r>
      </text>
    </comment>
    <comment ref="Y36" authorId="2">
      <text>
        <r>
          <rPr>
            <b/>
            <sz val="9"/>
            <color indexed="81"/>
            <rFont val="Tahoma"/>
            <family val="2"/>
          </rPr>
          <t>Rojas, Isabel (Research):</t>
        </r>
        <r>
          <rPr>
            <sz val="9"/>
            <color indexed="81"/>
            <rFont val="Tahoma"/>
            <family val="2"/>
          </rPr>
          <t xml:space="preserve">
2016 outlook: within 25% target, see slide 7</t>
        </r>
      </text>
    </comment>
    <comment ref="Z36" authorId="3">
      <text>
        <r>
          <rPr>
            <b/>
            <sz val="9"/>
            <color indexed="81"/>
            <rFont val="Tahoma"/>
            <family val="2"/>
          </rPr>
          <t>Huang, Bob (Research):</t>
        </r>
        <r>
          <rPr>
            <sz val="9"/>
            <color indexed="81"/>
            <rFont val="Tahoma"/>
            <family val="2"/>
          </rPr>
          <t xml:space="preserve">
Financial leverage ratio at 25%, total leverage at 40%</t>
        </r>
      </text>
    </comment>
    <comment ref="Z37" authorId="3">
      <text>
        <r>
          <rPr>
            <b/>
            <sz val="9"/>
            <color indexed="81"/>
            <rFont val="Tahoma"/>
            <family val="2"/>
          </rPr>
          <t>Huang, Bob (Research):</t>
        </r>
        <r>
          <rPr>
            <sz val="9"/>
            <color indexed="81"/>
            <rFont val="Tahoma"/>
            <family val="2"/>
          </rPr>
          <t xml:space="preserve">
~5%, 2017 outlook Q&amp;A</t>
        </r>
      </text>
    </comment>
    <comment ref="Y38" authorId="5">
      <text>
        <r>
          <rPr>
            <b/>
            <sz val="8"/>
            <color indexed="81"/>
            <rFont val="Tahoma"/>
            <family val="2"/>
          </rPr>
          <t>Gupta, Tanmay (Research):</t>
        </r>
        <r>
          <rPr>
            <sz val="8"/>
            <color indexed="81"/>
            <rFont val="Tahoma"/>
            <family val="2"/>
          </rPr>
          <t xml:space="preserve">
2Q16 earnings: brought down from 2% to 1.9%
2016 Outlook: 2.5% by end of 2016 </t>
        </r>
      </text>
    </comment>
    <comment ref="Z38" authorId="3">
      <text>
        <r>
          <rPr>
            <b/>
            <sz val="9"/>
            <color indexed="81"/>
            <rFont val="Tahoma"/>
            <family val="2"/>
          </rPr>
          <t>Huang, Bob (Research):</t>
        </r>
        <r>
          <rPr>
            <sz val="9"/>
            <color indexed="81"/>
            <rFont val="Tahoma"/>
            <family val="2"/>
          </rPr>
          <t xml:space="preserve">
2017 outlook</t>
        </r>
      </text>
    </comment>
    <comment ref="Z39" authorId="3">
      <text>
        <r>
          <rPr>
            <b/>
            <sz val="9"/>
            <color indexed="81"/>
            <rFont val="Tahoma"/>
            <family val="2"/>
          </rPr>
          <t>Huang, Bob (Research):</t>
        </r>
        <r>
          <rPr>
            <sz val="9"/>
            <color indexed="81"/>
            <rFont val="Tahoma"/>
            <family val="2"/>
          </rPr>
          <t xml:space="preserve">
2017 outlook</t>
        </r>
      </text>
    </comment>
    <comment ref="Z40" authorId="3">
      <text>
        <r>
          <rPr>
            <b/>
            <sz val="9"/>
            <color indexed="81"/>
            <rFont val="Tahoma"/>
            <family val="2"/>
          </rPr>
          <t>Huang, Bob (Research):</t>
        </r>
        <r>
          <rPr>
            <sz val="9"/>
            <color indexed="81"/>
            <rFont val="Tahoma"/>
            <family val="2"/>
          </rPr>
          <t xml:space="preserve">
2017 outlook</t>
        </r>
      </text>
    </comment>
  </commentList>
</comments>
</file>

<file path=xl/sharedStrings.xml><?xml version="1.0" encoding="utf-8"?>
<sst xmlns="http://schemas.openxmlformats.org/spreadsheetml/2006/main" count="2267" uniqueCount="1201">
  <si>
    <t>Consolidated Operating Earnings Forecast (Page 1/3)</t>
  </si>
  <si>
    <t>Total Core AT Earnings</t>
  </si>
  <si>
    <t xml:space="preserve"> Total Benefits and Expenses</t>
  </si>
  <si>
    <t>Tax on Non-operating Items</t>
  </si>
  <si>
    <t>Universal Life</t>
  </si>
  <si>
    <t>Sales_VL</t>
  </si>
  <si>
    <t>Net Inv Inc/Avg Total Reserves (%)</t>
  </si>
  <si>
    <t>Interest Credited/Avg Total Reserves (%)</t>
  </si>
  <si>
    <t>Group Benefit Ratio</t>
  </si>
  <si>
    <t>Group_BenefitRatio</t>
  </si>
  <si>
    <t>F2018</t>
  </si>
  <si>
    <t>2018E</t>
  </si>
  <si>
    <t>Core_AssetMgmt_PTEarns</t>
  </si>
  <si>
    <t xml:space="preserve"> Chg = Change      EPS = Earnings per Share   FAS = Financial Accounting Standards    ROE = Return on Average Equity   Excl = Excluding         Incl = Including         Exp = Expenses</t>
  </si>
  <si>
    <t>PctContrib_Pension</t>
  </si>
  <si>
    <t>2013</t>
  </si>
  <si>
    <t>$7.70-8.10</t>
  </si>
  <si>
    <t xml:space="preserve"> Total Debt and Preferred Equity</t>
  </si>
  <si>
    <t>Policyholder Liabilities &amp; Other</t>
  </si>
  <si>
    <t>Retirement_Netflows</t>
  </si>
  <si>
    <t>For SOI</t>
  </si>
  <si>
    <t>Core Pretax Life Earnings</t>
  </si>
  <si>
    <t>Operating ROA (%)</t>
  </si>
  <si>
    <t>Core Pretax Annuities Earnings</t>
  </si>
  <si>
    <t>Core Pretax Group Earnings</t>
  </si>
  <si>
    <t>Core Pretax Asset Mgmt Earnings</t>
  </si>
  <si>
    <t>Direct Equity Adjustment</t>
  </si>
  <si>
    <t>Pretax Income</t>
  </si>
  <si>
    <t xml:space="preserve">  Deposits</t>
  </si>
  <si>
    <t>International PT Earnings</t>
  </si>
  <si>
    <t>Litigation Expenses</t>
  </si>
  <si>
    <t>Transition Costs -- Prudential's portion</t>
  </si>
  <si>
    <t>Transition Costs -- Prudential only</t>
  </si>
  <si>
    <t xml:space="preserve">  Net Investment Spread</t>
  </si>
  <si>
    <t>Net Spread (%)</t>
  </si>
  <si>
    <t>Commissions, Fees &amp; Other Income</t>
  </si>
  <si>
    <t>Shares Issued</t>
  </si>
  <si>
    <t>Average Price</t>
  </si>
  <si>
    <t>Amount Raised</t>
  </si>
  <si>
    <t>Shares Repurchased</t>
  </si>
  <si>
    <t>Amount Repurchased</t>
  </si>
  <si>
    <t xml:space="preserve">Reported EPS </t>
  </si>
  <si>
    <t>FAS 115</t>
  </si>
  <si>
    <t>Return on Equity By Segment</t>
  </si>
  <si>
    <t xml:space="preserve"> Chg = Change      Avg = Average     Excl = Excluding         Incl = Including         Exp = Expenses       Ops = Operations</t>
  </si>
  <si>
    <t xml:space="preserve"> Chg = Change     DAC = Deferred Amortization Cost      BOP = Beginning of Period     Avg = Average</t>
  </si>
  <si>
    <t>Bear Variance ($ mil)</t>
  </si>
  <si>
    <t>PTEarns_PC_InvInc</t>
  </si>
  <si>
    <t>PctContrib_LifeIns</t>
  </si>
  <si>
    <t>PctContrib_Annuity</t>
  </si>
  <si>
    <t>INDIVIDUAL ANNUITIES</t>
  </si>
  <si>
    <t>Bull</t>
  </si>
  <si>
    <t>Bear</t>
  </si>
  <si>
    <t>Base</t>
  </si>
  <si>
    <t>Rep_ROE_ex115</t>
  </si>
  <si>
    <t>Individual Annuities Sub-Segment Operating Earnings Forecast (Page 2/2)</t>
  </si>
  <si>
    <t>PctContrib_C&amp;O</t>
  </si>
  <si>
    <t>Pro Forma Book Value</t>
  </si>
  <si>
    <t>Total Capital Returned to Shareholders</t>
  </si>
  <si>
    <t>International Insurance  - Life Planner</t>
  </si>
  <si>
    <t>F2017</t>
  </si>
  <si>
    <t>1Q13</t>
  </si>
  <si>
    <t>2Q13</t>
  </si>
  <si>
    <t>3Q13</t>
  </si>
  <si>
    <t>4Q13</t>
  </si>
  <si>
    <t>Spread-lending Products</t>
  </si>
  <si>
    <t>invinc</t>
  </si>
  <si>
    <t>Earnings from AG Edwards</t>
  </si>
  <si>
    <t>Contribution to Pretax Earnings</t>
  </si>
  <si>
    <t>Individual Life Sub-Segment Operating Earnings Forecast</t>
  </si>
  <si>
    <t>Asset Mgmt Flows excl Annuities</t>
  </si>
  <si>
    <t xml:space="preserve">  % of Net Income</t>
  </si>
  <si>
    <t>DiscontOperations</t>
  </si>
  <si>
    <t>Expense Synergies</t>
  </si>
  <si>
    <t>Total Incurred Expenses</t>
  </si>
  <si>
    <t>Individual Life</t>
  </si>
  <si>
    <t>Modelware Adjustment</t>
  </si>
  <si>
    <t>Op. Earnings - For Modelware</t>
  </si>
  <si>
    <t>Average Diluted Shares</t>
  </si>
  <si>
    <t>Corporate</t>
  </si>
  <si>
    <t>VA_Bal_EOP</t>
  </si>
  <si>
    <t>FA_Bal_EOP</t>
  </si>
  <si>
    <t>Life Planner</t>
  </si>
  <si>
    <t>Joint Venture Earnings, Before Trans Costs</t>
  </si>
  <si>
    <t>Rev_Pension</t>
  </si>
  <si>
    <t>Assets_Pension</t>
  </si>
  <si>
    <t>Rev_Intl_exRock</t>
  </si>
  <si>
    <t>Rev_Intl_Rock</t>
  </si>
  <si>
    <t>Rev_OtherIntl</t>
  </si>
  <si>
    <t>Rev_CO</t>
  </si>
  <si>
    <t>PRU.N,mscalc:closePriceCurrencyCalc</t>
  </si>
  <si>
    <t>PRU.N,mscalc:targetPrice,,,,USD</t>
  </si>
  <si>
    <t>Sales_COLI</t>
  </si>
  <si>
    <t>LTD_to_LTCap_ex115</t>
  </si>
  <si>
    <t>Prudential Financial</t>
  </si>
  <si>
    <t>International</t>
  </si>
  <si>
    <t>2008</t>
  </si>
  <si>
    <t>Fully Diluted Shares (EOP)</t>
  </si>
  <si>
    <t xml:space="preserve">  Benefit Payments</t>
  </si>
  <si>
    <t>Benefits/BOP Reserves (%)</t>
  </si>
  <si>
    <t>Realized Gains as a % of Operating Income</t>
  </si>
  <si>
    <t xml:space="preserve"> Chg = Change     BOP = Beginning of Period</t>
  </si>
  <si>
    <t>Individual Annuities</t>
  </si>
  <si>
    <t>2011</t>
  </si>
  <si>
    <t>Operating Profit</t>
  </si>
  <si>
    <t>Non-operating Items</t>
  </si>
  <si>
    <t>Net Realized Gains</t>
  </si>
  <si>
    <t>Sales Practices Remedies and Costs</t>
  </si>
  <si>
    <t>Divested Businesses</t>
  </si>
  <si>
    <t>Retail Assets</t>
  </si>
  <si>
    <t>Total Institutional Assets</t>
  </si>
  <si>
    <t>Net Retail Flows</t>
  </si>
  <si>
    <t>Corporate and Other Division</t>
  </si>
  <si>
    <t xml:space="preserve">  Total Attributed Equity</t>
  </si>
  <si>
    <t xml:space="preserve">  Combined ROE</t>
  </si>
  <si>
    <t>1Q03</t>
  </si>
  <si>
    <t>Prudential Financial, Inc.</t>
  </si>
  <si>
    <t>Retirement</t>
  </si>
  <si>
    <t>Shares Outstanding</t>
  </si>
  <si>
    <t>First Year Life Sales</t>
  </si>
  <si>
    <t>FA Net Flows</t>
  </si>
  <si>
    <t>VA Net Flows</t>
  </si>
  <si>
    <t>CorePTEarns_CO</t>
  </si>
  <si>
    <t>CoreOpEarns_PT</t>
  </si>
  <si>
    <t>Core Pretax Retirement Earnings</t>
  </si>
  <si>
    <t>Core Pretax International Earnings</t>
  </si>
  <si>
    <t>Core Pretax Other Earnings</t>
  </si>
  <si>
    <t>Core After Tax Earnings</t>
  </si>
  <si>
    <t>Revenues</t>
  </si>
  <si>
    <t>Benefits and Expenses</t>
  </si>
  <si>
    <t xml:space="preserve">Total </t>
  </si>
  <si>
    <t>Assets By Type</t>
  </si>
  <si>
    <t>Operating ROE (Excl FAS 115)(%)</t>
  </si>
  <si>
    <t>Institutional Investment Products</t>
  </si>
  <si>
    <t>Full Service Net Flows</t>
  </si>
  <si>
    <t>Core Op ROE</t>
  </si>
  <si>
    <t>F2012</t>
  </si>
  <si>
    <t>Contribution By Segment</t>
  </si>
  <si>
    <t>Withdrawals/BOP Reserves (%)</t>
  </si>
  <si>
    <t>New Sales</t>
  </si>
  <si>
    <t>Consolidated Operating Earnings Forecast (Page 2/3)</t>
  </si>
  <si>
    <t>Total</t>
  </si>
  <si>
    <t>TotalNonOpItems</t>
  </si>
  <si>
    <t>DivPayout</t>
  </si>
  <si>
    <t>Below Investment Grade / Fixed Income (%)</t>
  </si>
  <si>
    <t>Below Investment Grade ($)</t>
  </si>
  <si>
    <t>1Q10</t>
  </si>
  <si>
    <t>2Q10</t>
  </si>
  <si>
    <t>3Q10</t>
  </si>
  <si>
    <t>4Q10</t>
  </si>
  <si>
    <t>F2013</t>
  </si>
  <si>
    <t>Annuities</t>
  </si>
  <si>
    <t>2015e</t>
  </si>
  <si>
    <t>2016e</t>
  </si>
  <si>
    <t>Amt Wachovia Reports as Pru's GAAP Earnings</t>
  </si>
  <si>
    <t>Withdrawals/BOP Assets (%)</t>
  </si>
  <si>
    <t>Total Benefits and Expenses</t>
  </si>
  <si>
    <t>Interest Credited/Net investment income (%)</t>
  </si>
  <si>
    <t>2001</t>
  </si>
  <si>
    <t>Pretax Core Earnings</t>
  </si>
  <si>
    <t>Pro Forma Average Equity Excl FAS 115</t>
  </si>
  <si>
    <t>1Q05</t>
  </si>
  <si>
    <t>2Q05</t>
  </si>
  <si>
    <t>3Q05</t>
  </si>
  <si>
    <t>4Q05</t>
  </si>
  <si>
    <t>Net Income</t>
  </si>
  <si>
    <t>EPS</t>
  </si>
  <si>
    <t>GROUP INSURANCE</t>
  </si>
  <si>
    <t>AmtIssued</t>
  </si>
  <si>
    <t>EPS - For Consensus</t>
  </si>
  <si>
    <t xml:space="preserve"> Chg = Change      DAC = Deferred Acquisition Costs   Excl = Excluding         Incl = Including         Exp = Expenses</t>
  </si>
  <si>
    <t>t</t>
  </si>
  <si>
    <t>Core Pretax Earnings (ex-Restructuring)</t>
  </si>
  <si>
    <t>1Q14</t>
  </si>
  <si>
    <t>3Q14</t>
  </si>
  <si>
    <t>2Q14</t>
  </si>
  <si>
    <t>4Q14</t>
  </si>
  <si>
    <t>Benefits (excluding Catastrophes)</t>
  </si>
  <si>
    <t>Cat Losses</t>
  </si>
  <si>
    <t xml:space="preserve">  Total Losses</t>
  </si>
  <si>
    <t>Price Target</t>
  </si>
  <si>
    <t>Currency</t>
  </si>
  <si>
    <t>Current Stock Price</t>
  </si>
  <si>
    <t>Count</t>
  </si>
  <si>
    <t>Retirement Net Flows</t>
  </si>
  <si>
    <t>Restructuring Costs</t>
  </si>
  <si>
    <t>Yen Hedge</t>
  </si>
  <si>
    <t xml:space="preserve">Organic Growth </t>
  </si>
  <si>
    <t>Yen - Adjusted Growth</t>
  </si>
  <si>
    <t>Impact of Yen</t>
  </si>
  <si>
    <t>Organic Growth</t>
  </si>
  <si>
    <t>Adjusted Growth</t>
  </si>
  <si>
    <t>International Segment (ex Gibraltar) Operating Earnings Forecast</t>
  </si>
  <si>
    <t>Sales Analysis</t>
  </si>
  <si>
    <t>Total Sales</t>
  </si>
  <si>
    <t>Operating EPS Incl Restructuring</t>
  </si>
  <si>
    <t>Debt, Preferred Equity, and Liabilities</t>
  </si>
  <si>
    <t>Debt</t>
  </si>
  <si>
    <t>1Q12</t>
  </si>
  <si>
    <t>2Q12</t>
  </si>
  <si>
    <t>3Q12</t>
  </si>
  <si>
    <t>4Q12</t>
  </si>
  <si>
    <t>F2015</t>
  </si>
  <si>
    <t>F2016</t>
  </si>
  <si>
    <t>Operating Expenses - Ongoing</t>
  </si>
  <si>
    <t>4Q01</t>
  </si>
  <si>
    <t>Total Segments</t>
  </si>
  <si>
    <t>3Q01</t>
  </si>
  <si>
    <t>Total Asset Mgmt Assets (ex wrap and GA)</t>
  </si>
  <si>
    <t>International Insurance - Life Planner</t>
  </si>
  <si>
    <t>FA_Withdrawal</t>
  </si>
  <si>
    <t>Pro Forma Reporting ROE (Excl FAS 115) (%)</t>
  </si>
  <si>
    <t xml:space="preserve">  Total Revenues</t>
  </si>
  <si>
    <t>Benefits</t>
  </si>
  <si>
    <t>Sales_UL</t>
  </si>
  <si>
    <t>Policy Charges/Avg Assets (%)</t>
  </si>
  <si>
    <t>Components of Earnings</t>
  </si>
  <si>
    <t>Amt Wachovia Reports as Pru's Integration Costs</t>
  </si>
  <si>
    <t>Revenue Analysis</t>
  </si>
  <si>
    <t>Premium, Policy Charges and Fee Income</t>
  </si>
  <si>
    <t>AvgShrsOut</t>
  </si>
  <si>
    <t>AT Earnings</t>
  </si>
  <si>
    <t>Star-Edison Restructuring Costs</t>
  </si>
  <si>
    <t>Dividends</t>
  </si>
  <si>
    <t>Net Income from Operations</t>
  </si>
  <si>
    <t>Pretax Contribution By Segment</t>
  </si>
  <si>
    <t>Links to this same tab</t>
  </si>
  <si>
    <t>Core Op ROE (Excl FAS 115)(%)</t>
  </si>
  <si>
    <t>Op_EPS</t>
  </si>
  <si>
    <t>Op_ROE</t>
  </si>
  <si>
    <t>OpEarns_AT</t>
  </si>
  <si>
    <t>OpEarns_PT</t>
  </si>
  <si>
    <t>PfdStk</t>
  </si>
  <si>
    <t>RealGainLoss</t>
  </si>
  <si>
    <t>FA_Bal_BOP</t>
  </si>
  <si>
    <t>Dividend Payout Ratio (%)</t>
  </si>
  <si>
    <t>Dividend Amount</t>
  </si>
  <si>
    <t>BUYBACKS/ISSUANCE</t>
  </si>
  <si>
    <t xml:space="preserve">  Interest Credited</t>
  </si>
  <si>
    <t>Core Tax Rate</t>
  </si>
  <si>
    <t>When in Qtr (0%-beg; 100%-end)</t>
  </si>
  <si>
    <t>ShrsRepurch</t>
  </si>
  <si>
    <t>STDebt</t>
  </si>
  <si>
    <t>Unrecorded Goodwill from Pooling and Amortized or Written Off Goodwill</t>
  </si>
  <si>
    <t>Pro Forma Average Equity Incl FAS 115</t>
  </si>
  <si>
    <t>BVPS_ex115</t>
  </si>
  <si>
    <t>DemutExp</t>
  </si>
  <si>
    <t>DivPS</t>
  </si>
  <si>
    <t>DivAmt</t>
  </si>
  <si>
    <t>EOP_Eq_incl115</t>
  </si>
  <si>
    <t>EOP_Eq_ex115</t>
  </si>
  <si>
    <t>Star-Edison Restructuring</t>
  </si>
  <si>
    <t>CorePTEarns_InvMgmt</t>
  </si>
  <si>
    <t>CorePTEarns_Brokerage</t>
  </si>
  <si>
    <t xml:space="preserve">  % of Operating Earnings</t>
  </si>
  <si>
    <t>Profitability Analysis</t>
  </si>
  <si>
    <t>Description</t>
  </si>
  <si>
    <t>Pro Forma Equity</t>
  </si>
  <si>
    <t>Prior WB JV Earnings</t>
  </si>
  <si>
    <t>2009</t>
  </si>
  <si>
    <t>Taxes</t>
  </si>
  <si>
    <t>Total Share Capital</t>
  </si>
  <si>
    <t>Retained Earnings</t>
  </si>
  <si>
    <t>,mscalc:targetPrice,,,,USD</t>
  </si>
  <si>
    <t>,mscalc:sedolCodeCalc</t>
  </si>
  <si>
    <t>,mscalc:closePriceCurrencyCalc</t>
  </si>
  <si>
    <t>PRU.N,mscalc:targetPrice</t>
  </si>
  <si>
    <t>$N$2</t>
  </si>
  <si>
    <t>Policy Charges/BOP Assets (%)</t>
  </si>
  <si>
    <t>ND</t>
  </si>
  <si>
    <t>Investment Income</t>
  </si>
  <si>
    <t>Interest Expense</t>
  </si>
  <si>
    <t>4Q07</t>
  </si>
  <si>
    <t>4Q09</t>
  </si>
  <si>
    <t>3Q09</t>
  </si>
  <si>
    <t>2Q09</t>
  </si>
  <si>
    <t>1Q09</t>
  </si>
  <si>
    <t>GIBRALTAR LIFE</t>
  </si>
  <si>
    <t>Equity Market Performance (%)</t>
  </si>
  <si>
    <t>Market Performance - Scenario Analysis</t>
  </si>
  <si>
    <t>S&amp;P 500 Quarterly Performance (%)</t>
  </si>
  <si>
    <t>Inv Perf/BOP AUM (%)</t>
  </si>
  <si>
    <t>Inv Perf/Mkt Performance (%)</t>
  </si>
  <si>
    <t>Sales_Term</t>
  </si>
  <si>
    <t>Sales_GroupLife</t>
  </si>
  <si>
    <t>Sales_GroupDis</t>
  </si>
  <si>
    <t>PTEarns_LifeIns</t>
  </si>
  <si>
    <t>PTEarns_Annuity</t>
  </si>
  <si>
    <t>PTEarns_Group</t>
  </si>
  <si>
    <t>Net Income for Validation</t>
  </si>
  <si>
    <t>Average Basic Shares</t>
  </si>
  <si>
    <t>Retirement Segment Operating Earnings Forecast (Page 1/2)</t>
  </si>
  <si>
    <t>Asset Management</t>
  </si>
  <si>
    <t>Commissions, Fees and Other Income</t>
  </si>
  <si>
    <t xml:space="preserve">  Exchange Deposits</t>
  </si>
  <si>
    <t>Beginning Reserves</t>
  </si>
  <si>
    <t>Ending Reserves</t>
  </si>
  <si>
    <t>Average Reserves</t>
  </si>
  <si>
    <t>Redemptions/BOP Reserves (%)</t>
  </si>
  <si>
    <t>Core AT Earnings</t>
  </si>
  <si>
    <t xml:space="preserve">  Acquisitions</t>
  </si>
  <si>
    <t>Variable Life</t>
  </si>
  <si>
    <t>Gibralter</t>
  </si>
  <si>
    <t xml:space="preserve">  Withdrawals</t>
  </si>
  <si>
    <t>Group Insurance Segment Operating Earnings Forecast</t>
  </si>
  <si>
    <t>Earnings Per Share</t>
  </si>
  <si>
    <t>Other Expenses</t>
  </si>
  <si>
    <t>Separate Account</t>
  </si>
  <si>
    <t xml:space="preserve"> Total Assets </t>
  </si>
  <si>
    <t xml:space="preserve"> </t>
  </si>
  <si>
    <t>Forecast Only</t>
  </si>
  <si>
    <t>Op. EPS</t>
  </si>
  <si>
    <t>Benefit and Expense Analysis</t>
  </si>
  <si>
    <t>USD</t>
  </si>
  <si>
    <t>F2006</t>
  </si>
  <si>
    <t>F2007</t>
  </si>
  <si>
    <t>Benefits/Fees (%)- Scenario Analysis</t>
  </si>
  <si>
    <t xml:space="preserve"> Chg = Change     DAC = Deferred Amortization Cost      Avg = Average         DC = Defined Contribution</t>
  </si>
  <si>
    <t>TaxRate</t>
  </si>
  <si>
    <t>RETIREMENT</t>
  </si>
  <si>
    <t>LTDebt</t>
  </si>
  <si>
    <t>Spread Analysis</t>
  </si>
  <si>
    <t>Gibraltar Life</t>
  </si>
  <si>
    <t>International Securities and Investments</t>
  </si>
  <si>
    <t>Tax</t>
  </si>
  <si>
    <t>Earnings ex-ITSICM/AUM (bps)</t>
  </si>
  <si>
    <t>Core Earnings ex-ITSICM/AUM (bps)</t>
  </si>
  <si>
    <t>Tax Rate (%)</t>
  </si>
  <si>
    <t>Variable Annuity Net Fund Flows</t>
  </si>
  <si>
    <t>Abnormals per share</t>
  </si>
  <si>
    <t>Fixed Annuity Net Flows</t>
  </si>
  <si>
    <t>Net Investment Spread Analysis</t>
  </si>
  <si>
    <t>Group</t>
  </si>
  <si>
    <t>Total Fees/Average Variable Reserves (%)</t>
  </si>
  <si>
    <t>Premiums</t>
  </si>
  <si>
    <t>Rev_LifeIns</t>
  </si>
  <si>
    <t>Net DAC/G&amp;A Expenses (%)</t>
  </si>
  <si>
    <t>Oper Return on Avg Assets (%)</t>
  </si>
  <si>
    <t>Total Investments</t>
  </si>
  <si>
    <t>DAC Asset</t>
  </si>
  <si>
    <t>Pro Forma Operating ROE (Excl FAS 115) (%)</t>
  </si>
  <si>
    <t>Fees/Average Assets (%)</t>
  </si>
  <si>
    <t>Group Insurance</t>
  </si>
  <si>
    <t>1Q06</t>
  </si>
  <si>
    <t>2Q06</t>
  </si>
  <si>
    <t>4Q06</t>
  </si>
  <si>
    <t>1Q08</t>
  </si>
  <si>
    <t>2Q08</t>
  </si>
  <si>
    <t>3Q08</t>
  </si>
  <si>
    <t>4Q08</t>
  </si>
  <si>
    <t>Base Case ($M)</t>
  </si>
  <si>
    <t>Amount Repurchased - Scenario Analysis</t>
  </si>
  <si>
    <t>2006</t>
  </si>
  <si>
    <t>POJLifeSales</t>
  </si>
  <si>
    <t>Individual Annuities Sub-Segment Operating Earnings Forecast (Page 1/2)</t>
  </si>
  <si>
    <t>Reserves Analysis</t>
  </si>
  <si>
    <t>JapanLifeSales</t>
  </si>
  <si>
    <t xml:space="preserve">  After Tax Non-operating Items</t>
  </si>
  <si>
    <t>BIG_ShrEqPct</t>
  </si>
  <si>
    <t>Benefits/Fees (%) - Scenario Analysis</t>
  </si>
  <si>
    <t xml:space="preserve">  Deposits - Scenario Analysis</t>
  </si>
  <si>
    <t>Premiums - Scenario Analysis</t>
  </si>
  <si>
    <t>Rev_Group</t>
  </si>
  <si>
    <t>Rev_InvMgmt</t>
  </si>
  <si>
    <t>F1999</t>
  </si>
  <si>
    <t>F2000</t>
  </si>
  <si>
    <t>F2001</t>
  </si>
  <si>
    <t>F2002</t>
  </si>
  <si>
    <t>F2003</t>
  </si>
  <si>
    <t>Net Institutional Flows</t>
  </si>
  <si>
    <t>Profitability</t>
  </si>
  <si>
    <t>Net Investment Spread (%)</t>
  </si>
  <si>
    <t>Total Insurance Products</t>
  </si>
  <si>
    <t>Life Planners</t>
  </si>
  <si>
    <t>Total Intl</t>
  </si>
  <si>
    <t>Attributed Equity (Ex FAS 115)</t>
  </si>
  <si>
    <t>International Division</t>
  </si>
  <si>
    <t>Pretax Income (ex-Restructuring)</t>
  </si>
  <si>
    <t>Realized Gains as a % of Invested Assets</t>
  </si>
  <si>
    <t>2Q01</t>
  </si>
  <si>
    <t>Average Equity Incl FAS 115</t>
  </si>
  <si>
    <t>Average Equity Excl FAS 115</t>
  </si>
  <si>
    <t>Reported ROE (Excl FAS 115)(%)</t>
  </si>
  <si>
    <t>Interest Credited/Spread-based Assets (%)</t>
  </si>
  <si>
    <t>2003</t>
  </si>
  <si>
    <t>International Revenues</t>
  </si>
  <si>
    <t>International NII</t>
  </si>
  <si>
    <t>Gibraltar Life Operating Earnings Forecast</t>
  </si>
  <si>
    <t>Net_EPS</t>
  </si>
  <si>
    <t>NetEarns</t>
  </si>
  <si>
    <t>Core_Retirement_PTEarns</t>
  </si>
  <si>
    <t>Core_Other_PTEarns</t>
  </si>
  <si>
    <t>Core_ATEarns</t>
  </si>
  <si>
    <t>Core_OpEPS</t>
  </si>
  <si>
    <t>SOI_Life_Sales</t>
  </si>
  <si>
    <t>SOI_FAFlows</t>
  </si>
  <si>
    <t>SOI_VAFlows</t>
  </si>
  <si>
    <t>Pretax Margin</t>
  </si>
  <si>
    <t xml:space="preserve">  Pretax Income</t>
  </si>
  <si>
    <t xml:space="preserve">  Corporate and Other Division</t>
  </si>
  <si>
    <t>CONTRIBUTION BY SEGMENT</t>
  </si>
  <si>
    <t>Other</t>
  </si>
  <si>
    <t>Net Flows</t>
  </si>
  <si>
    <t>Assets Under Management</t>
  </si>
  <si>
    <t>Operating Expenses</t>
  </si>
  <si>
    <t>Equity</t>
  </si>
  <si>
    <t>Insurance</t>
  </si>
  <si>
    <t>Revenue_Annuity</t>
  </si>
  <si>
    <t>OpExp_Annuity</t>
  </si>
  <si>
    <t>Variable Annuity Reserves</t>
  </si>
  <si>
    <t>PTEarns_InvMgmt</t>
  </si>
  <si>
    <t>PTEarns_Brokerage</t>
  </si>
  <si>
    <t>PTEarns_Pension</t>
  </si>
  <si>
    <t>Group_BenRatio</t>
  </si>
  <si>
    <t>Sales_GrossFA</t>
  </si>
  <si>
    <t>Sales_GrossVA</t>
  </si>
  <si>
    <t>FA_NetFlows</t>
  </si>
  <si>
    <t>VA_NetFlows</t>
  </si>
  <si>
    <t>Core Margin (%)</t>
  </si>
  <si>
    <t>FA_Spread</t>
  </si>
  <si>
    <t>Total New Sales</t>
  </si>
  <si>
    <t xml:space="preserve">  Change in Market Value</t>
  </si>
  <si>
    <t>2012</t>
  </si>
  <si>
    <t>Run-rate Earnings</t>
  </si>
  <si>
    <t>Pretax Run-rate Earnings</t>
  </si>
  <si>
    <t>Institutional Assets</t>
  </si>
  <si>
    <t xml:space="preserve">  Net Money Market Flows</t>
  </si>
  <si>
    <t>Affiliated Institutional AUM</t>
  </si>
  <si>
    <t>Operating Expenses/Total Revenues (%)</t>
  </si>
  <si>
    <t>2Q02</t>
  </si>
  <si>
    <t>Insurance Division</t>
  </si>
  <si>
    <t>Investment Division</t>
  </si>
  <si>
    <t>General and Administrative Expenses</t>
  </si>
  <si>
    <t>Insurance and Annuity Benefits</t>
  </si>
  <si>
    <t>G&amp;A Expenses/Total Revenues (%)</t>
  </si>
  <si>
    <t xml:space="preserve"> Total Revenues</t>
  </si>
  <si>
    <t xml:space="preserve">  Pretax Margin</t>
  </si>
  <si>
    <t>Policy Charges and Fee Income</t>
  </si>
  <si>
    <t>Investment Management</t>
  </si>
  <si>
    <t>1Q01</t>
  </si>
  <si>
    <t xml:space="preserve">  Redemptions</t>
  </si>
  <si>
    <t>VARIABLE ANNUITY RESERVES</t>
  </si>
  <si>
    <t>FIXED ANNUITY RESERVES</t>
  </si>
  <si>
    <t>Interest Credited/BOP Reserves (%)</t>
  </si>
  <si>
    <t>Benefit Payments/BOP Reserves (%)</t>
  </si>
  <si>
    <t>Term Life</t>
  </si>
  <si>
    <t>Benefits/Fees (%)</t>
  </si>
  <si>
    <t xml:space="preserve">  Market Performance</t>
  </si>
  <si>
    <t>2002</t>
  </si>
  <si>
    <t>Core Pretax Intl Operating Margin</t>
  </si>
  <si>
    <t>total Premiums</t>
  </si>
  <si>
    <t>PctContrib_Intl</t>
  </si>
  <si>
    <t>2.2 Group Insurance</t>
  </si>
  <si>
    <t>Asset Mgmt Deposits</t>
  </si>
  <si>
    <t>Asset Mgmt Withdrawals</t>
  </si>
  <si>
    <t>Fixed Annuity Reserves</t>
  </si>
  <si>
    <t>1Q00</t>
  </si>
  <si>
    <t>% Chg</t>
  </si>
  <si>
    <t>2Q00</t>
  </si>
  <si>
    <t>3Q00</t>
  </si>
  <si>
    <t>4Q00</t>
  </si>
  <si>
    <t>1998</t>
  </si>
  <si>
    <t>1999</t>
  </si>
  <si>
    <t>2000</t>
  </si>
  <si>
    <t>Pretax ROA (bps)</t>
  </si>
  <si>
    <t>Core ROA (bps)</t>
  </si>
  <si>
    <t xml:space="preserve">Core ROA </t>
  </si>
  <si>
    <t>Op. Pre-tax Income</t>
  </si>
  <si>
    <t>Op. After-tax Income</t>
  </si>
  <si>
    <t>Op. After-tax Income (Adj)</t>
  </si>
  <si>
    <t>Pretax Income ex-ITSICM</t>
  </si>
  <si>
    <t>Run-rate EPS</t>
  </si>
  <si>
    <t>Non-recurring Items (from call w IR)</t>
  </si>
  <si>
    <t>CORE</t>
  </si>
  <si>
    <t>Pretax Earnings</t>
  </si>
  <si>
    <t>After Tax Earnings</t>
  </si>
  <si>
    <t>NA</t>
  </si>
  <si>
    <t xml:space="preserve">  Total Fees</t>
  </si>
  <si>
    <t>Statutory Tax Rate</t>
  </si>
  <si>
    <t>Perpetual Preferreds Outstanding</t>
  </si>
  <si>
    <t>Other Benefits and Expenses</t>
  </si>
  <si>
    <t>2007</t>
  </si>
  <si>
    <t>PTEarns_Intl_ROCK</t>
  </si>
  <si>
    <t>PTEarns_Intl_exROCK</t>
  </si>
  <si>
    <t>Core EPS</t>
  </si>
  <si>
    <t>Core Operating EPS</t>
  </si>
  <si>
    <t>Full Service</t>
  </si>
  <si>
    <t>CoreOp_EPS</t>
  </si>
  <si>
    <t xml:space="preserve">  Pretax Profit</t>
  </si>
  <si>
    <t>REVENUES</t>
  </si>
  <si>
    <t>INDIVIDUAL LIFE</t>
  </si>
  <si>
    <t>Benefit Ratio</t>
  </si>
  <si>
    <t>LIFE PLANNERS</t>
  </si>
  <si>
    <t>Prudential Ownership Stake (%)</t>
  </si>
  <si>
    <t>AmtRepurch</t>
  </si>
  <si>
    <t>Avg_Eq_ex115</t>
  </si>
  <si>
    <t>Avg_Eq_incl115</t>
  </si>
  <si>
    <t>Deposits/BOP Assets (%)</t>
  </si>
  <si>
    <t>Segment Contribution</t>
  </si>
  <si>
    <t>Institutional Investment Net Flows</t>
  </si>
  <si>
    <t>Reported ROE (Incl FAS 115)(%)</t>
  </si>
  <si>
    <t>Capital Structure Excl FAS 115</t>
  </si>
  <si>
    <t>LT Debt to LT Capital (%)</t>
  </si>
  <si>
    <t>Pro Forma Equity Incl FAS 115</t>
  </si>
  <si>
    <t>GibLifeSales</t>
  </si>
  <si>
    <t>Securities Operations Non-Int Expenses</t>
  </si>
  <si>
    <t>F2014</t>
  </si>
  <si>
    <t xml:space="preserve">Quarterly income statement ratios are annualized where appropriate    E = Morgan Stanley Research Estimates     NM = Not Meaningful      NA = Not Available       CAGR = Cumulative Average Growth Rate       </t>
  </si>
  <si>
    <t>This sheet contains Factset binary data for use with this workbook's =FDS codes.  Modifying the worksheet's contents may damage the workbook's =FDS functionality.</t>
  </si>
  <si>
    <t>Y/Y change</t>
  </si>
  <si>
    <t>Other Metrics</t>
  </si>
  <si>
    <t>ROE</t>
  </si>
  <si>
    <t>Coportate</t>
  </si>
  <si>
    <t>Core PT Earnings</t>
  </si>
  <si>
    <t xml:space="preserve">Tax rate </t>
  </si>
  <si>
    <t>Pretax Margin (%)</t>
  </si>
  <si>
    <t>Pro Forma Equity Excl FAS 115</t>
  </si>
  <si>
    <t>Investment Management Segment Operating Earnings Forecast (Page 1/2)</t>
  </si>
  <si>
    <t>F2008</t>
  </si>
  <si>
    <t>2005</t>
  </si>
  <si>
    <t>Corporate and Other</t>
  </si>
  <si>
    <t>Joint Venture Earnings -- Prudential's Portion</t>
  </si>
  <si>
    <t>Pretax Earnings from Remaining FA business</t>
  </si>
  <si>
    <t>3Q02</t>
  </si>
  <si>
    <t>Financial Advisory Segment (Discontinued)</t>
  </si>
  <si>
    <t>Property &amp; Casualty Segment</t>
  </si>
  <si>
    <t>FOR MODELWARE PURPOSES &amp; OTHERS</t>
  </si>
  <si>
    <t>unrealizedGainsLossesOnAvailableForSaleSecuritiesGrossOfTaxForFinancialServices</t>
  </si>
  <si>
    <t>Average Investment Management Assets</t>
  </si>
  <si>
    <t>Affiliated Retail AUM</t>
  </si>
  <si>
    <t>CorePTEarns_LifeIns</t>
  </si>
  <si>
    <t>CorePTEarns_Annuity</t>
  </si>
  <si>
    <t>CorePTEarns_Group</t>
  </si>
  <si>
    <t>Insurance and Annuity Benefits/Revenues (%)</t>
  </si>
  <si>
    <t>Premium Growth</t>
  </si>
  <si>
    <t>Demutualization Expenses</t>
  </si>
  <si>
    <t xml:space="preserve">  Total Revenue</t>
  </si>
  <si>
    <t>Abnormal Items</t>
  </si>
  <si>
    <t>Core Pretax Income</t>
  </si>
  <si>
    <t>Core Pretax Earnings</t>
  </si>
  <si>
    <t>Abnormal tax Items</t>
  </si>
  <si>
    <t>Core Taxes</t>
  </si>
  <si>
    <t>Rev</t>
  </si>
  <si>
    <t xml:space="preserve"> Chg = Change     DAC = Deferred Amortization Cost      </t>
  </si>
  <si>
    <t>CORE PRETAX PROFIT BY SEGMENT</t>
  </si>
  <si>
    <t>Reported Pretax Earnings</t>
  </si>
  <si>
    <t>CorePTEarns_OtherIntl</t>
  </si>
  <si>
    <t>PTEarns_OtherIntl</t>
  </si>
  <si>
    <t>Abnormal Items Pretax</t>
  </si>
  <si>
    <t>Long-term</t>
  </si>
  <si>
    <t>13-14%</t>
  </si>
  <si>
    <t>Non-Bank Sales</t>
  </si>
  <si>
    <t>Bank Sales</t>
  </si>
  <si>
    <t>Discontinued Operations &amp; other</t>
  </si>
  <si>
    <t>Asset Mgmt</t>
  </si>
  <si>
    <t>Annuity AUM</t>
  </si>
  <si>
    <t>VA as % annuity AUM</t>
  </si>
  <si>
    <t>VA Earns</t>
  </si>
  <si>
    <t>2010</t>
  </si>
  <si>
    <t>1Q11</t>
  </si>
  <si>
    <t>2Q11</t>
  </si>
  <si>
    <t>3Q11</t>
  </si>
  <si>
    <t>4Q11</t>
  </si>
  <si>
    <t>1.1  Individual Annuities</t>
  </si>
  <si>
    <t>Below Investment Grade / Shareholders' Equity (%)</t>
  </si>
  <si>
    <t>BIG_FixPct</t>
  </si>
  <si>
    <t>BIG</t>
  </si>
  <si>
    <t>Core_Intl_PTEarns</t>
  </si>
  <si>
    <t>Financial Advisory</t>
  </si>
  <si>
    <t>PTEarns_CO</t>
  </si>
  <si>
    <t>Total Capital</t>
  </si>
  <si>
    <t>Total_Cap_ex115</t>
  </si>
  <si>
    <t>Shrsissued</t>
  </si>
  <si>
    <t>Tax Rate</t>
  </si>
  <si>
    <t>Total Retirement Products</t>
  </si>
  <si>
    <t>Core_Life_PTEarns</t>
  </si>
  <si>
    <t>Core_Annuities_PTEarns</t>
  </si>
  <si>
    <t>Core_Group_PTEarns</t>
  </si>
  <si>
    <t>1Q02</t>
  </si>
  <si>
    <t>Fee-based Products</t>
  </si>
  <si>
    <t>Core Earnings, Excl Integration Costs</t>
  </si>
  <si>
    <t>"Asymetries in Purchase Accounting"</t>
  </si>
  <si>
    <t>These are amounts</t>
  </si>
  <si>
    <t>reported by Wachovia</t>
  </si>
  <si>
    <t>compared to those</t>
  </si>
  <si>
    <t>reported by Prudential</t>
  </si>
  <si>
    <t>Net Investment Income/Spread-based Assets (%)</t>
  </si>
  <si>
    <t>PRU.N,mscalc:sedolCodeCalc</t>
  </si>
  <si>
    <t>2819118</t>
  </si>
  <si>
    <t>EOPShrsOut</t>
  </si>
  <si>
    <t>Investments</t>
  </si>
  <si>
    <t xml:space="preserve">  Total Non-operating Items (pretax)</t>
  </si>
  <si>
    <t>Financial Advisory Segment Operating Earnings Forecast</t>
  </si>
  <si>
    <t>International Securities and Investments Segment Operating Earnings Forecast</t>
  </si>
  <si>
    <t>LTD_to_LTCap_incl115</t>
  </si>
  <si>
    <t>LTD_to_Cap_incl115</t>
  </si>
  <si>
    <t>3Q06</t>
  </si>
  <si>
    <t>FAS115_Adjmt</t>
  </si>
  <si>
    <t>Dividends Per Share</t>
  </si>
  <si>
    <t>Beginning Assets</t>
  </si>
  <si>
    <t>Ending Assets</t>
  </si>
  <si>
    <t>Average Assets</t>
  </si>
  <si>
    <t>LTD_to_Cap_ex115</t>
  </si>
  <si>
    <t>2Q03</t>
  </si>
  <si>
    <t>3Q03</t>
  </si>
  <si>
    <t>4Q03</t>
  </si>
  <si>
    <t>F1998</t>
  </si>
  <si>
    <t>Individual Life Insurance Sales</t>
  </si>
  <si>
    <t>COLI</t>
  </si>
  <si>
    <t>Retirement AUM</t>
  </si>
  <si>
    <t>Equity Sensitive as % retirment AUM</t>
  </si>
  <si>
    <t>VA Retire Earns</t>
  </si>
  <si>
    <t>Scenario Analysis Assumptions - Variation from Base Case</t>
  </si>
  <si>
    <t>Investment Performance</t>
  </si>
  <si>
    <t>Base Case</t>
  </si>
  <si>
    <t>Bull Variance (%)</t>
  </si>
  <si>
    <t>Mgmt Targets</t>
  </si>
  <si>
    <t>Bear Variance (%)</t>
  </si>
  <si>
    <t>Bull Variance ($ mil)</t>
  </si>
  <si>
    <t>4Q02</t>
  </si>
  <si>
    <t>F2004</t>
  </si>
  <si>
    <t>F2005</t>
  </si>
  <si>
    <t>Commissions &amp; Fees/Fee-based Assets (%)</t>
  </si>
  <si>
    <t>Investment Management Segment Operating Earnings Forecast (Page 2/2)</t>
  </si>
  <si>
    <t>EXPENSES</t>
  </si>
  <si>
    <t>Net DAC</t>
  </si>
  <si>
    <t>Net DAC/Operating Expenses (%)</t>
  </si>
  <si>
    <t>Assets (Excl FAS 115)</t>
  </si>
  <si>
    <t>Sales_FixLife</t>
  </si>
  <si>
    <t>Total Fixed Life</t>
  </si>
  <si>
    <t>Equity EOP Including FAS 115</t>
  </si>
  <si>
    <t>Adjusted Op Earnings (ex-Restruct)</t>
  </si>
  <si>
    <t>AS REPORTED BY COMPANY</t>
  </si>
  <si>
    <t>Adjusted Op Earnings</t>
  </si>
  <si>
    <t>Reported Pretax Earnings (ex-Restruct)</t>
  </si>
  <si>
    <t>Adjusted Core Earnings</t>
  </si>
  <si>
    <t>Reported After Tax Profit (ex-Restruct)</t>
  </si>
  <si>
    <t>Reported After Tax Profit</t>
  </si>
  <si>
    <t>Adjusted Op Earns (ex-Restruct)</t>
  </si>
  <si>
    <t>Value</t>
  </si>
  <si>
    <t>PE (x)</t>
  </si>
  <si>
    <t>JNS</t>
  </si>
  <si>
    <t>IVZ</t>
  </si>
  <si>
    <t>EV</t>
  </si>
  <si>
    <t>BEN</t>
  </si>
  <si>
    <t>UNM</t>
  </si>
  <si>
    <t>AFL</t>
  </si>
  <si>
    <t>PFG</t>
  </si>
  <si>
    <t>VOYA</t>
  </si>
  <si>
    <t>Annuity Peers</t>
  </si>
  <si>
    <t>LNC</t>
  </si>
  <si>
    <t>median</t>
  </si>
  <si>
    <t>Total Division</t>
  </si>
  <si>
    <t>PRU</t>
  </si>
  <si>
    <t>Upside (%)</t>
  </si>
  <si>
    <t>SIFI Discount</t>
  </si>
  <si>
    <t>Abnormal Items (Incl Restruct)</t>
  </si>
  <si>
    <t>Retirement Segment Operating Earnings Forecast (Page 2/2)</t>
  </si>
  <si>
    <t>One-time Integration Charges</t>
  </si>
  <si>
    <t>Expense Ratio</t>
  </si>
  <si>
    <t>Expense Ratio - Scenario Analysis</t>
  </si>
  <si>
    <t>Benefit Ratio - Scenario Analysis</t>
  </si>
  <si>
    <t>F2011</t>
  </si>
  <si>
    <t>1Q07</t>
  </si>
  <si>
    <t>2Q07</t>
  </si>
  <si>
    <t>3Q07</t>
  </si>
  <si>
    <t>Preferred Equity</t>
  </si>
  <si>
    <t>Net Investment Income</t>
  </si>
  <si>
    <t>Interest Credited</t>
  </si>
  <si>
    <t>BENEFITS AND EXPENSES</t>
  </si>
  <si>
    <t xml:space="preserve"> Chg = Change     BOP = Beginning of Period     </t>
  </si>
  <si>
    <t>PRU.N</t>
  </si>
  <si>
    <t>($Millions Except Per Share Data)</t>
  </si>
  <si>
    <t>5-Yr</t>
  </si>
  <si>
    <t>CAGR</t>
  </si>
  <si>
    <t>(%)</t>
  </si>
  <si>
    <t>Rep_ROE_incl115</t>
  </si>
  <si>
    <t>Total_Cap_incl115</t>
  </si>
  <si>
    <t>4Q04</t>
  </si>
  <si>
    <t>1Q04</t>
  </si>
  <si>
    <t>2Q04</t>
  </si>
  <si>
    <t>3Q04</t>
  </si>
  <si>
    <t>p</t>
  </si>
  <si>
    <t>CHECK</t>
  </si>
  <si>
    <t>Operating EPS Excl Restructuring</t>
  </si>
  <si>
    <t>Net Issuance (Repurchase) - FOR MODELWARE PURPOSES</t>
  </si>
  <si>
    <t>US Retirement Solutions &amp; Inv. Mgmt</t>
  </si>
  <si>
    <t>US Individual Life &amp; Group Ins.</t>
  </si>
  <si>
    <t>International Ins.</t>
  </si>
  <si>
    <t>Corporate &amp; Other</t>
  </si>
  <si>
    <t>Total EOP Reserves</t>
  </si>
  <si>
    <t>--- different formulas ---</t>
  </si>
  <si>
    <t>CorePTEarns_Pension</t>
  </si>
  <si>
    <t>CorePTEarns_Intl_exROCK</t>
  </si>
  <si>
    <t>CorePTEarns_Intl_ROCK</t>
  </si>
  <si>
    <t>CorePTEarns_Intl</t>
  </si>
  <si>
    <t>Core PT Earnings (Incl Restruct)</t>
  </si>
  <si>
    <t xml:space="preserve">  Other</t>
  </si>
  <si>
    <t>F2010</t>
  </si>
  <si>
    <t xml:space="preserve">  Policy Charges</t>
  </si>
  <si>
    <t>Group Life Sales</t>
  </si>
  <si>
    <t>Group Disability Sales</t>
  </si>
  <si>
    <t>Short-Term Debt</t>
  </si>
  <si>
    <t>Long-Term Debt</t>
  </si>
  <si>
    <t>LTD + Pref Equity to LT Capital (%)</t>
  </si>
  <si>
    <t>LTD + Pref Equity to Common Equity (%)</t>
  </si>
  <si>
    <t>Pretax Operating Earnings</t>
  </si>
  <si>
    <t>Fee Analysis</t>
  </si>
  <si>
    <t xml:space="preserve">  Net DAC</t>
  </si>
  <si>
    <t>F2009</t>
  </si>
  <si>
    <t xml:space="preserve"> Chg = Change     DAC = Deferred Amortization Cost      Op Exp = Operating Expenses     Non-it = Non-interest</t>
  </si>
  <si>
    <t>Equity EOP Excluding FAS 115</t>
  </si>
  <si>
    <t>PctContrib_Group</t>
  </si>
  <si>
    <t>Equity to Total Assets (%)</t>
  </si>
  <si>
    <t>Capital Structure Incl FAS 115</t>
  </si>
  <si>
    <t>TMK</t>
  </si>
  <si>
    <t>8750-TO</t>
  </si>
  <si>
    <t>8766-TO</t>
  </si>
  <si>
    <t>8316-TO</t>
  </si>
  <si>
    <t>PRU Intl BV ex-AOCI</t>
  </si>
  <si>
    <t>2015e PRU Intl Earnings</t>
  </si>
  <si>
    <t>PRU Intl ROE</t>
  </si>
  <si>
    <t>*distorted by FX hedge but offset is higher ROE so no impact on total value</t>
  </si>
  <si>
    <t>Target PB</t>
  </si>
  <si>
    <t>Target Value</t>
  </si>
  <si>
    <t>RBC</t>
  </si>
  <si>
    <t>SMR</t>
  </si>
  <si>
    <t>600-700%</t>
  </si>
  <si>
    <t>$8.75-9.20</t>
  </si>
  <si>
    <t>S&amp;P500</t>
  </si>
  <si>
    <t>1Q15</t>
  </si>
  <si>
    <t>2Q15</t>
  </si>
  <si>
    <t>3Q15</t>
  </si>
  <si>
    <t>4Q15</t>
  </si>
  <si>
    <t>F2019</t>
  </si>
  <si>
    <t>2019E</t>
  </si>
  <si>
    <t>FD Adjustment</t>
  </si>
  <si>
    <t>Avg Shares Outstanding (Basic)</t>
  </si>
  <si>
    <t>Avg Shares Outstanding (FD)</t>
  </si>
  <si>
    <t>Leverage ratio</t>
  </si>
  <si>
    <t>≤25%</t>
  </si>
  <si>
    <t>Consolidated NII</t>
  </si>
  <si>
    <t>Total Op. Revenues</t>
  </si>
  <si>
    <t>Net Revenues</t>
  </si>
  <si>
    <t>Outstanding Shares (EOP) - 10Q/K</t>
  </si>
  <si>
    <t>Goodwill</t>
  </si>
  <si>
    <t>Foreign FX remeasurement</t>
  </si>
  <si>
    <t>BVPS</t>
  </si>
  <si>
    <t>BVPS ex-AOCI</t>
  </si>
  <si>
    <t>BVPS ex-AOCI &amp; FX</t>
  </si>
  <si>
    <t>TBVPS ex-AOCI</t>
  </si>
  <si>
    <t>Price</t>
  </si>
  <si>
    <t>*valued on PB</t>
  </si>
  <si>
    <t>Adjusted Price Target</t>
  </si>
  <si>
    <t>WDR</t>
  </si>
  <si>
    <t>BLK</t>
  </si>
  <si>
    <t>TROW</t>
  </si>
  <si>
    <t>4Q16E</t>
  </si>
  <si>
    <t>2020E</t>
  </si>
  <si>
    <t>F2020</t>
  </si>
  <si>
    <t>$9.75-10.25</t>
  </si>
  <si>
    <t>~25%</t>
  </si>
  <si>
    <t>2016 Outlook: Expect to close investment in AFP Habitat in Chile in 1Q16, for purchase price of $530-620mn&gt;&gt;funding for this would not alter any existing capital redeployment plans</t>
  </si>
  <si>
    <t xml:space="preserve">2016 Outlook: Elevated net expenses including technology, infrastructure and digital initiatives and
regulatory costs; incremental impact of ~$0.15 per share relative to 2015 </t>
  </si>
  <si>
    <t>Non-coupon investment return</t>
  </si>
  <si>
    <t>&lt; 6-7%</t>
  </si>
  <si>
    <t>10 Year UST</t>
  </si>
  <si>
    <t>Antidilutive Stock Option (10Q/K)</t>
  </si>
  <si>
    <t>2015</t>
  </si>
  <si>
    <t>1Q16</t>
  </si>
  <si>
    <t>average</t>
  </si>
  <si>
    <t>2Q16</t>
  </si>
  <si>
    <t>ITSICM Contribution (Slides)</t>
  </si>
  <si>
    <t>F2021</t>
  </si>
  <si>
    <t>2021E</t>
  </si>
  <si>
    <t>1Q17E</t>
  </si>
  <si>
    <t>2Q17E</t>
  </si>
  <si>
    <t>3Q17E</t>
  </si>
  <si>
    <t>3Q16</t>
  </si>
  <si>
    <t>2017e</t>
  </si>
  <si>
    <t>$10.15-10.65</t>
  </si>
  <si>
    <t>12%-13%</t>
  </si>
  <si>
    <t>~5%</t>
  </si>
  <si>
    <t>Dollar/Yen</t>
  </si>
  <si>
    <t>Dollar/Won</t>
  </si>
  <si>
    <t>4Q16</t>
  </si>
  <si>
    <t>1Q17</t>
  </si>
  <si>
    <t>FAS 115 Adjustment other than FX</t>
  </si>
  <si>
    <t>Equity EOP Excluding FAS 115 other than FX</t>
  </si>
  <si>
    <t>Core Operating ROE (Excl 115 other than FX)(%)</t>
  </si>
  <si>
    <t>Core ROE (ex FAS 115 incl FX)</t>
  </si>
  <si>
    <t>2Q17</t>
  </si>
  <si>
    <t>4Q18E</t>
  </si>
  <si>
    <t>1Q18E</t>
  </si>
  <si>
    <t>2Q18E</t>
  </si>
  <si>
    <t>3Q18E</t>
  </si>
  <si>
    <t>F2022</t>
  </si>
  <si>
    <t>2022E</t>
  </si>
  <si>
    <t>2018e PT</t>
  </si>
  <si>
    <t>2018eAT</t>
  </si>
  <si>
    <t>Shares Out at 4Q18</t>
  </si>
  <si>
    <t>2018 EPS</t>
  </si>
  <si>
    <t>3Q17</t>
  </si>
  <si>
    <t>2017E Rep EPS</t>
  </si>
  <si>
    <t>2017E Core EPS</t>
  </si>
  <si>
    <t>Non-trend items</t>
  </si>
  <si>
    <t>2017E Adj Core</t>
  </si>
  <si>
    <t>2018E MS EPS</t>
  </si>
  <si>
    <t>Implied Growth</t>
  </si>
  <si>
    <t>2018e</t>
  </si>
  <si>
    <t>$11.20-11.70</t>
  </si>
  <si>
    <t>~26%</t>
  </si>
  <si>
    <t>~5-6%</t>
  </si>
  <si>
    <t>4Q17</t>
  </si>
  <si>
    <t>4.1 International - Life Planner</t>
  </si>
  <si>
    <t>4.2  Gibraltar Life</t>
  </si>
  <si>
    <t>5.  Corporate and Other Division</t>
  </si>
  <si>
    <t>6.  Consolidated Income Statement</t>
  </si>
  <si>
    <t>7. Earnings by Segment</t>
  </si>
  <si>
    <t>8.  EPS/DPS Calculation</t>
  </si>
  <si>
    <t>9.  Capital &amp; Other</t>
  </si>
  <si>
    <t>10.  Return on Equity</t>
  </si>
  <si>
    <t>1.2 Individual Life</t>
  </si>
  <si>
    <t>2.1  Retirement</t>
  </si>
  <si>
    <t>3 Asset Management</t>
  </si>
  <si>
    <t>US Individual Solutions</t>
  </si>
  <si>
    <t>US Workplace Solutions</t>
  </si>
  <si>
    <t>US Individual Solutions Division</t>
  </si>
  <si>
    <t>US Workplace Solutions Division</t>
  </si>
  <si>
    <t>Investment Management Division</t>
  </si>
  <si>
    <t>133</t>
  </si>
  <si>
    <t>Research</t>
  </si>
  <si>
    <t>e = Morgan Stanley Research estimates unless otherwise noted</t>
  </si>
  <si>
    <t>Source: Morgan Stanley Research unless otherwise noted</t>
  </si>
  <si>
    <t>Stocks ratings are relative to the analyst's industry coverage universe.</t>
  </si>
  <si>
    <t>1585 Broadway</t>
  </si>
  <si>
    <t>New York, NY  10036-8293</t>
  </si>
  <si>
    <t>United States</t>
  </si>
  <si>
    <t>Tel: +1 (1)212 761 4000</t>
  </si>
  <si>
    <t>Authors: Nigel Dally, Tanmay Gupta, Bob Huang</t>
  </si>
  <si>
    <t>Date: 05 Apr 2018</t>
  </si>
  <si>
    <t>Ticker: PRU.N</t>
  </si>
  <si>
    <t>Stock Rating: Equal-Weight</t>
  </si>
  <si>
    <t>Industry: Insurance - Life/Annuity</t>
  </si>
  <si>
    <t>Industry View: In-Line</t>
  </si>
  <si>
    <t>Price as of 05 Apr 2018: 104.42</t>
  </si>
  <si>
    <t>Target Price: 128</t>
  </si>
  <si>
    <t>Analyst Certification</t>
  </si>
  <si>
    <t>Unless otherwise stated, the individuals listed on the cover page of this report are research analysts.</t>
  </si>
  <si>
    <t>Global Research Conflict Management Policy</t>
  </si>
  <si>
    <t>Important US Regulatory Disclosures on Subject Companies</t>
  </si>
  <si>
    <t>Morgan Stanley &amp; Co. LLC makes a market in the securities of Prudential Financial.</t>
  </si>
  <si>
    <t>STOCK RATINGS</t>
  </si>
  <si>
    <t>Global Stock Ratings Distribution</t>
  </si>
  <si>
    <t>(as of March 31, 2018)</t>
  </si>
  <si>
    <t>Coverage Universe</t>
  </si>
  <si>
    <t>Investment Banking Clients (IBC)</t>
  </si>
  <si>
    <t>Other Material Investment Services Clients (MISC)</t>
  </si>
  <si>
    <t>Stock Rating Category</t>
  </si>
  <si>
    <t>% of Total</t>
  </si>
  <si>
    <t>% of Total IBC</t>
  </si>
  <si>
    <t>% of Rating Category</t>
  </si>
  <si>
    <t>% of Total Other MISC</t>
  </si>
  <si>
    <t>Overweight/Buy</t>
  </si>
  <si>
    <t>Equal-weight/Hold</t>
  </si>
  <si>
    <t>Not-Rated/Hold</t>
  </si>
  <si>
    <t>Underweight/Sell</t>
  </si>
  <si>
    <t>Analyst Stock Ratings</t>
  </si>
  <si>
    <t>Analyst Industry Views</t>
  </si>
  <si>
    <t>.</t>
  </si>
  <si>
    <t>Stock Price, Price Target and Rating History (See Rating Definitions)</t>
  </si>
  <si>
    <t>Important Disclosures for Morgan Stanley Smith Barney LLC Customers</t>
  </si>
  <si>
    <t>Other Important Disclosures</t>
  </si>
  <si>
    <t>Morgan Stanley Research, or any portion thereof may not be reprinted, sold or redistributed without the</t>
  </si>
  <si>
    <t>written consent of Morgan Stanley.</t>
  </si>
  <si>
    <t>The trademarks and service marks contained in Morgan Stanley Research are the property of their</t>
  </si>
  <si>
    <t>respective owners. Third-party data providers make no warranties or representations relating to the</t>
  </si>
  <si>
    <t>accuracy, completeness, or timeliness of the data they provide and shall not have liability for any</t>
  </si>
  <si>
    <t>damages relating to such data. The Global Industry Classification Standard (GICS) was developed by and</t>
  </si>
  <si>
    <t>is the exclusive property of MSCI and S&amp;P.</t>
  </si>
  <si>
    <t>As required by the Capital Markets Board of Turkey, investment information, comments and recommendations</t>
  </si>
  <si>
    <t>stated here, are not within the scope of investment advisory activity. Investment advisory service is</t>
  </si>
  <si>
    <t>provided exclusively to persons based on their risk and income preferences by the authorized firms.</t>
  </si>
  <si>
    <t>Comments and recommendations stated here are general in nature. These opinions may not fit to your</t>
  </si>
  <si>
    <t>financial status, risk and return preferences. For this reason, to make an investment decision by</t>
  </si>
  <si>
    <t>relying solely to this information stated here may not bring about outcomes that fit your expectations.</t>
  </si>
  <si>
    <t>The information in Morgan Stanley Research is being communicated by Morgan Stanley &amp; Co. International</t>
  </si>
  <si>
    <t>plc (QFC Branch), regulated by the Qatar Financial Centre Regulatory Authority (the QFCRA), and is</t>
  </si>
  <si>
    <t>directed at business customers and market counterparties only and is not intended for Retail Customers</t>
  </si>
  <si>
    <t>as defined by the QFCRA.</t>
  </si>
  <si>
    <t>plc (DIFC Branch), regulated by the Dubai Financial Services Authority (the DFSA), and is directed at</t>
  </si>
  <si>
    <t>Professional Clients only, as defined by the DFSA. The financial products or financial services to which</t>
  </si>
  <si>
    <t>this research relates will only be made available to a customer who we are satisfied meets the</t>
  </si>
  <si>
    <t>regulatory criteria to be a Professional Client.</t>
  </si>
  <si>
    <t>Morgan Stanley Research is disseminated in Brazil by Morgan Stanley C.T.V.M. S.A.; in Mexico by Morgan</t>
  </si>
  <si>
    <t>Stanley México, Casa de Bolsa, S.A. de C.V which is regulated by Comision Nacional Bancaria y de</t>
  </si>
  <si>
    <t>Valores. Paseo de los Tamarindos 90, Torre 1, Col. Bosques de las Lomas Floor 29, 05120 Mexico City; in</t>
  </si>
  <si>
    <t>Japan by Morgan Stanley MUFG Securities Co., Ltd. and, for Commodities related research reports only,</t>
  </si>
  <si>
    <t>Morgan Stanley Capital Group Japan Co., Ltd; in Hong Kong by Morgan Stanley Asia Limited (which accepts</t>
  </si>
  <si>
    <t>responsibility for its contents) and by Morgan Stanley Asia International Limited, Hong Kong Branch; in</t>
  </si>
  <si>
    <t>Singapore by Morgan Stanley Asia (Singapore) Pte. (Registration number 199206298Z) and/or Morgan Stanley</t>
  </si>
  <si>
    <t>Asia (Singapore) Securities Pte Ltd (Registration number 200008434H), regulated by the Monetary</t>
  </si>
  <si>
    <t>Authority of Singapore (which accepts legal responsibility for its contents and should be contacted with</t>
  </si>
  <si>
    <t>respect to any matters arising from, or in connection with, Morgan Stanley Research) and by Morgan</t>
  </si>
  <si>
    <t>Stanley Asia International Limited, Singapore Branch (Registration number T11FC0207F); in Australia to</t>
  </si>
  <si>
    <t>"wholesale clients" within the meaning of the Australian Corporations Act by Morgan Stanley Australia</t>
  </si>
  <si>
    <t>Limited A.B.N. 67 003 734 576, holder of Australian financial services license No. 233742, which accepts</t>
  </si>
  <si>
    <t>responsibility for its contents; in Australia to "wholesale clients" and "retail clients" within the</t>
  </si>
  <si>
    <t>meaning of the Australian Corporations Act by Morgan Stanley Wealth Management Australia Pty Ltd (A.B.N.</t>
  </si>
  <si>
    <t>19 009 145 555, holder of Australian financial services license No. 240813, which accepts responsibility</t>
  </si>
  <si>
    <t>for its contents; in Korea by Morgan Stanley &amp; Co International plc, Seoul Branch; in India by Morgan</t>
  </si>
  <si>
    <t>Stanley India Company Private Limited; in Indonesia by PT. Morgan Stanley Sekuritas Indonesia; in Canada</t>
  </si>
  <si>
    <t>by Morgan Stanley Canada Limited, which has approved of and takes responsibility for its contents in</t>
  </si>
  <si>
    <t>Canada; in Germany by Morgan Stanley Bank AG, Frankfurt am Main and Morgan Stanley Private Wealth</t>
  </si>
  <si>
    <t>Management Limited, Niederlassung Deutschland, regulated by Bundesanstalt fuer</t>
  </si>
  <si>
    <t>Finanzdienstleistungsaufsicht (BaFin); in Spain by Morgan Stanley, S.V., S.A., a Morgan Stanley group</t>
  </si>
  <si>
    <t>company, which is supervised by the Spanish Securities Markets Commission (CNMV) and states that Morgan</t>
  </si>
  <si>
    <t>Stanley Research has been written and distributed in accordance with the rules of conduct applicable to</t>
  </si>
  <si>
    <t>financial research as established under Spanish regulations; in the US by Morgan Stanley &amp; Co. LLC,</t>
  </si>
  <si>
    <t>which accepts responsibility for its contents. Morgan Stanley &amp; Co. International plc, authorized by the</t>
  </si>
  <si>
    <t>Prudential Regulatory Authority and regulated by the Financial Conduct Authority and the Prudential</t>
  </si>
  <si>
    <t>Regulatory Authority, disseminates in the UK research that it has prepared, and approves solely for the</t>
  </si>
  <si>
    <t>purposes of section 21 of the Financial Services and Markets Act 2000, research which has been prepared</t>
  </si>
  <si>
    <t>by any of its affiliates. RMB Morgan Stanley Proprietary Limited is a member of the JSE Limited and</t>
  </si>
  <si>
    <t>regulated by the Financial Services Board in South Africa. RMB Morgan Stanley Proprietary Limited is a</t>
  </si>
  <si>
    <t>joint venture owned equally by Morgan Stanley International Holdings Inc. and RMB Investment Advisory</t>
  </si>
  <si>
    <t>(Proprietary) Limited, which is wholly owned by FirstRand Limited. The information in Morgan Stanley</t>
  </si>
  <si>
    <t>Research is being disseminated by Morgan Stanley Saudi Arabia, regulated by the Capital Market Authority</t>
  </si>
  <si>
    <t>in the Kingdom of Saudi Arabia , and is directed at Sophisticated investors only.</t>
  </si>
  <si>
    <t>Morgan Stanley is not incorporated under PRC law and the research in relation to this report is</t>
  </si>
  <si>
    <t>conducted outside the PRC. Morgan Stanley Research does not constitute an offer to sell or the</t>
  </si>
  <si>
    <t>solicitation of an offer to buy any securities in the PRC. PRC investors shall have the relevant</t>
  </si>
  <si>
    <t>qualifications to invest in such securities and shall be responsible for obtaining all relevant</t>
  </si>
  <si>
    <t>approvals, licenses, verifications and/or registrations from the relevant governmental authorities</t>
  </si>
  <si>
    <t>themselves. Neither this report nor any part of it is intended as, or shall constitute, provision of any</t>
  </si>
  <si>
    <t>consultancy or advisory service of securities investment as defined under PRC law. Such information is</t>
  </si>
  <si>
    <t>provided for your reference only.</t>
  </si>
  <si>
    <t>To our readers based in Taiwan or trading in Taiwan securities/instruments: Information on</t>
  </si>
  <si>
    <t>securities/instruments that trade in Taiwan is distributed by Morgan Stanley Taiwan Limited ("MSTL").</t>
  </si>
  <si>
    <t>Such information is for your reference only. The reader should independently evaluate the investment</t>
  </si>
  <si>
    <t>risks and is solely responsible for their investment decisions. Morgan Stanley Research may not be</t>
  </si>
  <si>
    <t>distributed to the public media or quoted or used by the public media without the express written</t>
  </si>
  <si>
    <t>consent of Morgan Stanley. Any non-customer reader within the scope of Article 7-1 of the Taiwan Stock</t>
  </si>
  <si>
    <t>Exchange Recommendation Regulations accessing and/or receiving Morgan Stanley Research is not permitted</t>
  </si>
  <si>
    <t>to provide Morgan Stanley Research to any third party (including but not limited to related parties,</t>
  </si>
  <si>
    <t>affiliated companies and any other third parties) or engage in any activities regarding Morgan Stanley</t>
  </si>
  <si>
    <t>Research which may create or give the appearance of creating a conflict of interest. Information on</t>
  </si>
  <si>
    <t>securities/instruments that do not trade in Taiwan is for informational purposes only and is not to be</t>
  </si>
  <si>
    <t>construed as a recommendation or a solicitation to trade in such securities/instruments. MSTL may not</t>
  </si>
  <si>
    <t>execute transactions for clients in these securities/instruments.</t>
  </si>
  <si>
    <t>Morgan Stanley may make investment decisions that are inconsistent with the recommendations or views in</t>
  </si>
  <si>
    <t>this report.</t>
  </si>
  <si>
    <t>Morgan Stanley Research personnel may participate in company events such as site visits and are</t>
  </si>
  <si>
    <t>generally prohibited from accepting payment by the company of associated expenses unless pre-approved by</t>
  </si>
  <si>
    <t>authorized members of Research management.</t>
  </si>
  <si>
    <t>With the exception of information regarding Morgan Stanley, Morgan Stanley Research is based on public</t>
  </si>
  <si>
    <t>information. Morgan Stanley makes every effort to use reliable, comprehensive information, but we make</t>
  </si>
  <si>
    <t>no representation that it is accurate or complete. We have no obligation to tell you when opinions or</t>
  </si>
  <si>
    <t>information in Morgan Stanley Research change apart from when we intend to discontinue equity research</t>
  </si>
  <si>
    <t>coverage of a subject company. Facts and views presented in Morgan Stanley Research have not been</t>
  </si>
  <si>
    <t>reviewed by, and may not reflect information known to, professionals in other Morgan Stanley business</t>
  </si>
  <si>
    <t>areas, including investment banking personnel.</t>
  </si>
  <si>
    <t>The "Important US Regulatory Disclosures on Subject Companies" section in Morgan Stanley Research lists</t>
  </si>
  <si>
    <t>all companies mentioned where Morgan Stanley owns 1% or more of a class of common equity securities of</t>
  </si>
  <si>
    <t>the companies. For all other companies mentioned in Morgan Stanley Research, Morgan Stanley may have an</t>
  </si>
  <si>
    <t>investment of less than 1% in securities/instruments or derivatives of securities/instruments of</t>
  </si>
  <si>
    <t>companies and may trade them in ways different from those discussed in Morgan Stanley Research.</t>
  </si>
  <si>
    <t>Employees of Morgan Stanley not involved in the preparation of Morgan Stanley Research may have</t>
  </si>
  <si>
    <t>investments in securities/instruments or derivatives of securities/instruments of companies mentioned</t>
  </si>
  <si>
    <t>and may trade them in ways different from those discussed in Morgan Stanley Research. Derivatives may be</t>
  </si>
  <si>
    <t>issued by Morgan Stanley or associated persons.</t>
  </si>
  <si>
    <t>The fixed income research analysts, strategists or economists principally responsible for the</t>
  </si>
  <si>
    <t>preparation of Morgan Stanley Research have received compensation based upon various factors, including</t>
  </si>
  <si>
    <t>quality, accuracy and value of research, firm profitability or revenues (which include fixed income</t>
  </si>
  <si>
    <t>trading and capital markets profitability or revenues), client feedback and competitive factors. Fixed</t>
  </si>
  <si>
    <t>Income Research analysts', strategists' or economists' compensation is not linked to investment banking</t>
  </si>
  <si>
    <t>or capital markets transactions performed by Morgan Stanley or the profitability or revenues of</t>
  </si>
  <si>
    <t>particular trading desks.</t>
  </si>
  <si>
    <t>Morgan Stanley Research does not provide individually tailored investment advice. Morgan Stanley</t>
  </si>
  <si>
    <t>Research has been prepared without regard to the circumstances and objectives of those who receive it.</t>
  </si>
  <si>
    <t>Morgan Stanley recommends that investors independently evaluate particular investments and strategies,</t>
  </si>
  <si>
    <t>and encourages investors to seek the advice of a financial adviser. The appropriateness of an investment</t>
  </si>
  <si>
    <t>or strategy will depend on an investor's circumstances and objectives. The securities, instruments, or</t>
  </si>
  <si>
    <t>strategies discussed in Morgan Stanley Research may not be suitable for all investors, and certain</t>
  </si>
  <si>
    <t>investors may not be eligible to purchase or participate in some or all of them. Morgan Stanley Research</t>
  </si>
  <si>
    <t>is not an offer to buy or sell or the solicitation of an offer to buy or sell any security/instrument or</t>
  </si>
  <si>
    <t>to participate in any particular trading strategy. The value of and income from your investments may</t>
  </si>
  <si>
    <t>vary because of changes in interest rates, foreign exchange rates, default rates, prepayment rates,</t>
  </si>
  <si>
    <t>securities/instruments prices, market indexes, operational or financial conditions of companies or other</t>
  </si>
  <si>
    <t>factors. There may be time limitations on the exercise of options or other rights in</t>
  </si>
  <si>
    <t>securities/instruments transactions. Past performance is not necessarily a guide to future performance.</t>
  </si>
  <si>
    <t>Estimates of future performance are based on assumptions that may not be realized. If provided, and</t>
  </si>
  <si>
    <t>unless otherwise stated, the closing price on the cover page is that of the primary exchange for the</t>
  </si>
  <si>
    <t>subject company's securities/instruments.</t>
  </si>
  <si>
    <t>If you do not agree to our Terms of Use and/or if you do not wish to provide your consent to Morgan</t>
  </si>
  <si>
    <t>Stanley processing your personal data or using cookies please do not access our research.</t>
  </si>
  <si>
    <t>Any access and/or use of Morgan Stanley Research is subject to Morgan Stanley's Terms of Use</t>
  </si>
  <si>
    <t>(http://www.morganstanley.com/terms.html). By accessing and/or using Morgan Stanley Research, you are</t>
  </si>
  <si>
    <t>indicating that you have read and agree to be bound by our Terms of Use</t>
  </si>
  <si>
    <t>(http://www.morganstanley.com/terms.html). In addition you consent to Morgan Stanley processing your</t>
  </si>
  <si>
    <t>personal data and using cookies in accordance with our Privacy Policy and our Global Cookies Policy</t>
  </si>
  <si>
    <t>(http://www.morganstanley.com/privacy_pledge.html), including for the purposes of setting your</t>
  </si>
  <si>
    <t>preferences and to collect readership data so that we can deliver better and more personalized service</t>
  </si>
  <si>
    <t>and products to you. To find out more information about how Morgan Stanley processes personal data, how</t>
  </si>
  <si>
    <t>we use cookies and how to reject cookies see our Privacy Policy and our Global Cookies Policy</t>
  </si>
  <si>
    <t>(http://www.morganstanley.com/privacy_pledge.html).</t>
  </si>
  <si>
    <t>Morgan Stanley Research is provided to our clients through our proprietary research portal on Matrix and</t>
  </si>
  <si>
    <t>also distributed electronically by Morgan Stanley to clients. Certain, but not all, Morgan Stanley</t>
  </si>
  <si>
    <t>Research products are also made available to clients through third-party vendors or redistributed to</t>
  </si>
  <si>
    <t>clients through alternate electronic means as a convenience. For access to all available Morgan Stanley</t>
  </si>
  <si>
    <t>Research, please contact your sales representative or go to Matrix at</t>
  </si>
  <si>
    <t>http://www.morganstanley.com/matrix.</t>
  </si>
  <si>
    <t>Morgan Stanley produces an equity research product called a "Tactical Idea." Views contained in a</t>
  </si>
  <si>
    <t>"Tactical Idea" on a particular stock may be contrary to the recommendations or views expressed in</t>
  </si>
  <si>
    <t>research on the same stock. This may be the result of differing time horizons, methodologies, market</t>
  </si>
  <si>
    <t>events, or other factors. For all research available on a particular stock, please contact your sales</t>
  </si>
  <si>
    <t>representative or go to Matrix at http://www.morganstanley.com/matrix.</t>
  </si>
  <si>
    <t>Morgan Stanley is not acting as a municipal advisor and the opinions or views contained herein are not</t>
  </si>
  <si>
    <t>intended to be, and do not constitute, advice within the meaning of Section 975 of the Dodd-Frank Wall</t>
  </si>
  <si>
    <t>Street Reform and Consumer Protection Act.</t>
  </si>
  <si>
    <t>Morgan Stanley Research policy is to update research reports as and when the Research Analyst and</t>
  </si>
  <si>
    <t>Research Management deem appropriate, based on developments with the issuer, the sector, or the market</t>
  </si>
  <si>
    <t>that may have a material impact on the research views or opinions stated therein. In addition, certain</t>
  </si>
  <si>
    <t>Research publications are intended to be updated on a regular periodic basis</t>
  </si>
  <si>
    <t>(weekly/monthly/quarterly/annual) and will ordinarily be updated with that frequency, unless the</t>
  </si>
  <si>
    <t>Research Analyst and Research Management determine that a different publication schedule is appropriate</t>
  </si>
  <si>
    <t>based on current conditions.</t>
  </si>
  <si>
    <t>Morgan Stanley &amp; Co. International PLC and its affiliates have a significant financial interest in the</t>
  </si>
  <si>
    <t>debt securities of Prudential Financial.</t>
  </si>
  <si>
    <t>Each Morgan Stanley Equity Research report is reviewed and approved on behalf of Morgan Stanley Smith</t>
  </si>
  <si>
    <t>Barney LLC. This review and approval is conducted by the same person who reviews the Equity Research</t>
  </si>
  <si>
    <t>report on behalf of Morgan Stanley. This could create a conflict of interest.</t>
  </si>
  <si>
    <t>Important disclosures regarding the relationship between the companies that are the subject of Morgan</t>
  </si>
  <si>
    <t>Stanley Research and Morgan Stanley Smith Barney LLC or Morgan Stanley or any of their affiliates, are</t>
  </si>
  <si>
    <t>available on the Morgan Stanley Wealth Management disclosure website at</t>
  </si>
  <si>
    <t>www.morganstanley.com/online/researchdisclosures. For Morgan Stanley specific disclosures, you may refer</t>
  </si>
  <si>
    <t>to www.morganstanley.com/researchdisclosures.</t>
  </si>
  <si>
    <t>Benchmarks for each region are as follows: North America - S&amp;P 500; Latin America - relevant MSCI</t>
  </si>
  <si>
    <t>country index or MSCI Latin America Index; Europe - MSCI Europe; Japan - TOPIX; Asia - relevant MSCI</t>
  </si>
  <si>
    <t>country index or MSCI sub-regional index or MSCI AC Asia Pacific ex Japan Index.</t>
  </si>
  <si>
    <t>Cautious (C): The analyst views the performance of his or her industry coverage universe over the next</t>
  </si>
  <si>
    <t>12-18 months with caution vs. the relevant broad market benchmark, as indicated below.</t>
  </si>
  <si>
    <t>In-Line (I): The analyst expects the performance of his or her industry coverage universe over the next</t>
  </si>
  <si>
    <t>12-18 months to be in line with the relevant broad market benchmark, as indicated below.</t>
  </si>
  <si>
    <t>Attractive (A): The analyst expects the performance of his or her industry coverage universe over the</t>
  </si>
  <si>
    <t>next 12-18 months to be attractive vs. the relevant broad market benchmark, as indicated below.</t>
  </si>
  <si>
    <t>Unless otherwise specified, the time frame for price targets included in Morgan Stanley Research is 12</t>
  </si>
  <si>
    <t>to 18 months.</t>
  </si>
  <si>
    <t>Underweight (U). The stock's total return is expected to be below the average total return of the</t>
  </si>
  <si>
    <t>analyst's industry (or industry team's) coverage universe, on a risk-adjusted basis, over the next 12-18</t>
  </si>
  <si>
    <t>months.</t>
  </si>
  <si>
    <t>Not-Rated (NR). Currently the analyst does not have adequate conviction about the stock's total return</t>
  </si>
  <si>
    <t>relative to the average total return of the analyst's industry (or industry team's) coverage universe,</t>
  </si>
  <si>
    <t>on a risk-adjusted basis, over the next 12-18 months.</t>
  </si>
  <si>
    <t>Equal-weight (E). The stock's total return is expected to be in line with the average total return of</t>
  </si>
  <si>
    <t>the analyst's industry (or industry team's) coverage universe, on a risk-adjusted basis, over the next</t>
  </si>
  <si>
    <t>12-18 months.</t>
  </si>
  <si>
    <t>Overweight (O). The stock's total return is expected to exceed the average total return of the analyst's</t>
  </si>
  <si>
    <t>industry (or industry team's) coverage universe, on a risk-adjusted basis, over the next 12-18 months.</t>
  </si>
  <si>
    <t>Data include common stock and ADRs currently assigned ratings. Investment Banking Clients are companies</t>
  </si>
  <si>
    <t>from whom Morgan Stanley received investment banking compensation in the last 12 months. Due to rounding</t>
  </si>
  <si>
    <t>off of decimals, the percentages provided in the "% of total" column may not add up to exactly 100</t>
  </si>
  <si>
    <t>percent.</t>
  </si>
  <si>
    <t>For disclosure purposes only (in accordance with NASD and NYSE requirements), we include the category</t>
  </si>
  <si>
    <t>headings of Buy, Hold, and Sell alongside our ratings of Overweight, Equal-weight, Not-Rated and</t>
  </si>
  <si>
    <t>Underweight. Morgan Stanley does not assign ratings of Buy, Hold or Sell to the stocks we cover.</t>
  </si>
  <si>
    <t>Overweight, Equal-weight, Not-Rated and Underweight are not the equivalent of buy, hold, and sell but</t>
  </si>
  <si>
    <t>represent recommended relative weightings (see definitions below). To satisfy regulatory requirements,</t>
  </si>
  <si>
    <t>we correspond Overweight, our most positive stock rating, with a buy recommendation; we correspond</t>
  </si>
  <si>
    <t>Equal-weight and Not-Rated to hold and Underweight to sell recommendations, respectively.</t>
  </si>
  <si>
    <t>The Stock Ratings described below apply to Morgan Stanley's Fundamental Equity Research and do not apply</t>
  </si>
  <si>
    <t>to Debt Research produced by the Firm.</t>
  </si>
  <si>
    <t>Morgan Stanley uses a relative rating system using terms such as Overweight, Equal-weight, Not-Rated or</t>
  </si>
  <si>
    <t>Underweight (see definitions below). Morgan Stanley does not assign ratings of Buy, Hold or Sell to the</t>
  </si>
  <si>
    <t>stocks we cover. Overweight, Equal-weight, Not-Rated and Underweight are not the equivalent of buy, hold</t>
  </si>
  <si>
    <t>and sell. Investors should carefully read the definitions of all ratings used in Morgan Stanley</t>
  </si>
  <si>
    <t>Research. In addition, since Morgan Stanley Research contains more complete information concerning the</t>
  </si>
  <si>
    <t>analyst's views, investors should carefully read Morgan Stanley Research, in its entirety, and not infer</t>
  </si>
  <si>
    <t>the contents from the rating alone. In any case, ratings (or research) should not be used or relied upon</t>
  </si>
  <si>
    <t>as investment advice. An investor's decision to buy or sell a stock should depend on individual</t>
  </si>
  <si>
    <t>circumstances (such as the investor's existing holdings) and other considerations.</t>
  </si>
  <si>
    <t>Certain disclosures listed above are also for compliance with applicable regulations in non-US</t>
  </si>
  <si>
    <t>jurisdictions.</t>
  </si>
  <si>
    <t>Morgan Stanley and its affiliates do business that relates to companies/instruments covered in Morgan</t>
  </si>
  <si>
    <t>Stanley Research, including market making, providing liquidity, fund management, commercial banking,</t>
  </si>
  <si>
    <t>extension of credit, investment services and investment banking. Morgan Stanley sells to and buys from</t>
  </si>
  <si>
    <t>customers the securities/instruments of companies covered in Morgan Stanley Research on a principal</t>
  </si>
  <si>
    <t>basis. Morgan Stanley may have a position in the debt of the Company or instruments discussed in this</t>
  </si>
  <si>
    <t>report. Morgan Stanley trades or may trade as principal in the debt securities (or in related</t>
  </si>
  <si>
    <t>derivatives) that are the subject of the debt research report.</t>
  </si>
  <si>
    <t>The equity research analysts or strategists principally responsible for the preparation of Morgan</t>
  </si>
  <si>
    <t>Stanley Research have received compensation based upon various factors, including quality of research,</t>
  </si>
  <si>
    <t>investor client feedback, stock picking, competitive factors, firm revenues and overall investment</t>
  </si>
  <si>
    <t>banking revenues. Equity Research analysts' or strategists' compensation is not linked to investment</t>
  </si>
  <si>
    <t>banking or capital markets transactions performed by Morgan Stanley or the profitability or revenues of</t>
  </si>
  <si>
    <t>Within the last 12 months, Morgan Stanley has either provided or is providing non-investment banking,</t>
  </si>
  <si>
    <t>securities-related services to and/or in the past has entered into an agreement to provide services or</t>
  </si>
  <si>
    <t>has a client relationship with the following company: Prudential Financial.</t>
  </si>
  <si>
    <t>Within the last 12 months, Morgan Stanley has provided or is providing investment banking services to,</t>
  </si>
  <si>
    <t>or has an investment banking client relationship with, the following company: Prudential Financial.</t>
  </si>
  <si>
    <t>Within the last 12 months, Morgan Stanley has received compensation for products and services other than</t>
  </si>
  <si>
    <t>investment banking services from Prudential Financial.</t>
  </si>
  <si>
    <t>In the next 3 months, Morgan Stanley expects to receive or intends to seek compensation for investment</t>
  </si>
  <si>
    <t>banking services from Prudential Financial.</t>
  </si>
  <si>
    <t>Within the last 12 months, Morgan Stanley has received compensation for investment banking services from</t>
  </si>
  <si>
    <t>Prudential Financial.</t>
  </si>
  <si>
    <t>Within the last 12 months, Morgan Stanley managed or co-managed a public offering (or 144A offering) of</t>
  </si>
  <si>
    <t>securities of Prudential Financial.</t>
  </si>
  <si>
    <t>Morgan Stanley Research has been published in accordance with our conflict management policy, which is</t>
  </si>
  <si>
    <t>available at www.morganstanley.com/institutional/research/conflictpolicies.</t>
  </si>
  <si>
    <t>The following analysts hereby certify that their views about the companies and their securities</t>
  </si>
  <si>
    <t>discussed in this report are accurately expressed and that they have not received and will not receive</t>
  </si>
  <si>
    <t>direct or indirect compensation in exchange for expressing specific recommendations or views in this</t>
  </si>
  <si>
    <t>report: Nigel Dally.</t>
  </si>
  <si>
    <t>For valuation methodology and risks associated with any recommendation, rating or price target</t>
  </si>
  <si>
    <t>referenced in this research report, please contact the Client Support Team as follows: US/Canada +1 800</t>
  </si>
  <si>
    <t>303-2495; Hong Kong +852 2848-5999; Latin America +1 718 754-5444 (U.S.); London +44 (0)20-7425-8169;</t>
  </si>
  <si>
    <t>Singapore +65 6834-6860; Sydney +61 (0)2-9770-1505; Tokyo +81 (0)3-6836-9000. Alternatively you may</t>
  </si>
  <si>
    <t>contact your investment representative or Morgan Stanley Research at 1585 Broadway, (Attention: Research</t>
  </si>
  <si>
    <t>Management), New York, NY 10036 USA.</t>
  </si>
  <si>
    <t>For important disclosures, stock price charts and equity rating histories regarding companies that are</t>
  </si>
  <si>
    <t>the subject of this report, please see the Morgan Stanley Research Disclosure Website at</t>
  </si>
  <si>
    <t>www.morganstanley.com/researchdisclosures, or contact your investment representative or Morgan Stanley</t>
  </si>
  <si>
    <t>Research at 1585 Broadway, (Attention: Research Management), New York, NY, 10036 USA.</t>
  </si>
  <si>
    <t>The information and opinions in Morgan Stanley Research were prepared by Morgan Stanley &amp; Co. LLC,</t>
  </si>
  <si>
    <t>and/or Morgan Stanley C.T.V.M. S.A., and/or Morgan Stanley Mexico, Casa de Bolsa, S.A. de C.V., and/or</t>
  </si>
  <si>
    <t>Morgan Stanley Canada Limited. As used in this disclosure section, "Morgan Stanley" includes Morgan</t>
  </si>
  <si>
    <t>Stanley &amp; Co. LLC, Morgan Stanley C.T.V.M. S.A., Morgan Stanley Mexico, Casa de Bolsa, S.A. de C.V.,</t>
  </si>
  <si>
    <t>Morgan Stanley Canada Limited and their affiliates as necessary.</t>
  </si>
  <si>
    <t>Morgan Stanley does and seeks to do business with companies covered in Morgan Stanley Research. As a</t>
  </si>
  <si>
    <t>result, investors should be aware that the firm may have a conflict of interest that could affect the</t>
  </si>
  <si>
    <t>objectivity of Morgan Stanley Research. Investors should consider Morgan Stanley Research as only a</t>
  </si>
  <si>
    <t>single factor in making their investment decision.</t>
  </si>
  <si>
    <t>© Copyright 2018 Morgan Stanley</t>
  </si>
  <si>
    <t>MacroVersion</t>
  </si>
  <si>
    <t>PublishDate</t>
  </si>
  <si>
    <t>Discipline</t>
  </si>
  <si>
    <t>ResearchTopic</t>
  </si>
  <si>
    <t>Company</t>
  </si>
  <si>
    <t>DocType</t>
  </si>
  <si>
    <t>Model</t>
  </si>
  <si>
    <t>SubjectCode</t>
  </si>
  <si>
    <t>KeepVersions</t>
  </si>
  <si>
    <t>All</t>
  </si>
  <si>
    <t>Rating</t>
  </si>
  <si>
    <t>CurrYearTotalRevenue*</t>
  </si>
  <si>
    <t>CurrYearEPS*</t>
  </si>
  <si>
    <t>NextYearTotalRevenue*</t>
  </si>
  <si>
    <t>NextYearEPS*</t>
  </si>
  <si>
    <t>FollowingYearTotalRevenue*</t>
  </si>
  <si>
    <t>FollowingYearEPS*</t>
  </si>
  <si>
    <t>5YearGrowthRate</t>
  </si>
  <si>
    <t>UpdateReason</t>
  </si>
  <si>
    <t>Authors</t>
  </si>
  <si>
    <t>Tickers</t>
  </si>
  <si>
    <t>CUSIP</t>
  </si>
  <si>
    <t>RIC</t>
  </si>
  <si>
    <t>SEDOL</t>
  </si>
  <si>
    <t>PathName</t>
  </si>
  <si>
    <t>Distribution</t>
  </si>
  <si>
    <t>Deleted</t>
  </si>
  <si>
    <t>NO</t>
  </si>
  <si>
    <t>EmailAlert</t>
  </si>
  <si>
    <t>YES</t>
  </si>
  <si>
    <t>CurrQtrEPS</t>
  </si>
  <si>
    <t>CYEnd</t>
  </si>
  <si>
    <t>CQEnd</t>
  </si>
  <si>
    <t>CurrYearTotalRevenueActual*</t>
  </si>
  <si>
    <t>NextYearTotalRevenueActual*</t>
  </si>
  <si>
    <t>FollowingYearTotalRevenueActual*</t>
  </si>
  <si>
    <t>Multiplier</t>
  </si>
  <si>
    <t>TemplateRegion</t>
  </si>
  <si>
    <t>ObjectType</t>
  </si>
  <si>
    <t>excel</t>
  </si>
  <si>
    <t>LanguageCode</t>
  </si>
  <si>
    <t>en-US</t>
  </si>
  <si>
    <t>SubmitterUserId</t>
  </si>
  <si>
    <t>IndustryId</t>
  </si>
  <si>
    <t>TickerRegion</t>
  </si>
  <si>
    <t>AdditionalInstructions</t>
  </si>
  <si>
    <t>*Estimated</t>
  </si>
  <si>
    <t>Equal-Weight / In-Line</t>
  </si>
  <si>
    <t>Quarterly Update</t>
  </si>
  <si>
    <t>NorthAmerica</t>
  </si>
  <si>
    <t>huangb</t>
  </si>
  <si>
    <t>MSA10131, MSA86LPP, MSA35NYJ</t>
  </si>
  <si>
    <t>L:\INSURANC\life&amp;annuities\models\Models to Submit\pre1Q18\CopyOf-PRU.xlsm</t>
  </si>
  <si>
    <t>[BRO MSA]</t>
  </si>
  <si>
    <t>[PRODUCT MODEL]</t>
  </si>
  <si>
    <t>[EMAIL_ALERT YES]</t>
  </si>
  <si>
    <t>[DISCIPLINE Company]</t>
  </si>
  <si>
    <t>[SUPPRESSED NO]</t>
  </si>
  <si>
    <t>[DOCDAT 2018-04-05]</t>
  </si>
  <si>
    <t>[DOCTIME 09:16]</t>
  </si>
  <si>
    <t>[PSYM PRU.N(S&amp;P) (None)]</t>
  </si>
  <si>
    <t>[COU 1]</t>
  </si>
  <si>
    <t>[ANA MSA86LPP MSA35NYJ]</t>
  </si>
  <si>
    <t>[HL PRU.N Model]</t>
  </si>
  <si>
    <t>[IND INSURN]</t>
  </si>
  <si>
    <t>[PANA MSA10131]</t>
  </si>
  <si>
    <t>Morgan Stanley is acting as financial advisor to Peak Reinsurance Company Limited ("Peak Re") in relation to the 13.1% minority stake acquisition in Peak Reinsurance Holdings Limited, the sole and direct shareholder of Peak Re, by Prudential Financial, Inc., as announced on 13th February 2018. The transaction is subject to regulatory and other customary closing conditions. Please refer to the notes at the end of the report.</t>
  </si>
</sst>
</file>

<file path=xl/styles.xml><?xml version="1.0" encoding="utf-8"?>
<styleSheet xmlns="http://schemas.openxmlformats.org/spreadsheetml/2006/main" xmlns:mc="http://schemas.openxmlformats.org/markup-compatibility/2006" xmlns:x14ac="http://schemas.microsoft.com/office/spreadsheetml/2009/9/ac" mc:Ignorable="x14ac">
  <numFmts count="19">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00_)"/>
    <numFmt numFmtId="165" formatCode="#,##0_);\(#,##0\);0_);@_)"/>
    <numFmt numFmtId="166" formatCode="#,##0.00_);\(#,##0.00\);0.00_);@_)"/>
    <numFmt numFmtId="167" formatCode="#,##0.0_);\(#,##0.0\);0.0_);@_)"/>
    <numFmt numFmtId="168" formatCode="#,##0.0_);\(#,##0.0\)"/>
    <numFmt numFmtId="169" formatCode="0.0"/>
    <numFmt numFmtId="170" formatCode="#,##0;\-#,##0"/>
    <numFmt numFmtId="171" formatCode="0.0_);\(0.0\)"/>
    <numFmt numFmtId="172" formatCode="_(* #,##0.0_);_(* \(#,##0.0\);_(* &quot;-&quot;??_);_(@_)"/>
    <numFmt numFmtId="173" formatCode="_(* #,##0_);_(* \(#,##0\);_(* &quot;-&quot;??_);_(@_)"/>
    <numFmt numFmtId="174" formatCode="#,##0.000_);\(#,##0.000\);0.000_);@_)"/>
    <numFmt numFmtId="175" formatCode="0_);\(0\)"/>
    <numFmt numFmtId="176" formatCode="#,##0.0"/>
    <numFmt numFmtId="177" formatCode="#,##0_)"/>
    <numFmt numFmtId="178" formatCode="mm/dd/yy\ hh:mm"/>
  </numFmts>
  <fonts count="117" x14ac:knownFonts="1">
    <font>
      <sz val="10"/>
      <name val="Arial"/>
    </font>
    <font>
      <sz val="11"/>
      <color theme="1"/>
      <name val="Calibri"/>
      <family val="2"/>
      <scheme val="minor"/>
    </font>
    <font>
      <sz val="10"/>
      <name val="Arial"/>
      <family val="2"/>
    </font>
    <font>
      <sz val="8"/>
      <name val="Tms Rmn"/>
    </font>
    <font>
      <sz val="10"/>
      <name val="Arial"/>
      <family val="2"/>
    </font>
    <font>
      <sz val="8"/>
      <name val="Arial"/>
      <family val="2"/>
    </font>
    <font>
      <sz val="8"/>
      <color indexed="81"/>
      <name val="Tahoma"/>
      <family val="2"/>
    </font>
    <font>
      <b/>
      <sz val="8"/>
      <color indexed="81"/>
      <name val="Tahoma"/>
      <family val="2"/>
    </font>
    <font>
      <sz val="9"/>
      <color indexed="81"/>
      <name val="Tahoma"/>
      <family val="2"/>
    </font>
    <font>
      <sz val="10"/>
      <color indexed="8"/>
      <name val="Arial"/>
      <family val="2"/>
    </font>
    <font>
      <sz val="10"/>
      <name val="MS Sans Serif"/>
      <family val="2"/>
    </font>
    <font>
      <sz val="12"/>
      <name val="Helv"/>
    </font>
    <font>
      <sz val="11"/>
      <name val="Arial"/>
      <family val="2"/>
    </font>
    <font>
      <b/>
      <sz val="10"/>
      <color indexed="8"/>
      <name val="Times New Roman"/>
      <family val="1"/>
    </font>
    <font>
      <sz val="9"/>
      <name val="Times New Roman"/>
      <family val="1"/>
    </font>
    <font>
      <sz val="10"/>
      <color indexed="8"/>
      <name val="Times New Roman"/>
      <family val="1"/>
    </font>
    <font>
      <i/>
      <sz val="8"/>
      <name val="Times New Roman"/>
      <family val="1"/>
    </font>
    <font>
      <b/>
      <sz val="10"/>
      <name val="Calibri"/>
      <family val="2"/>
    </font>
    <font>
      <sz val="10"/>
      <name val="Calibri"/>
      <family val="2"/>
    </font>
    <font>
      <sz val="10"/>
      <name val="Tahoma"/>
      <family val="2"/>
    </font>
    <font>
      <b/>
      <i/>
      <sz val="10"/>
      <name val="Calibri"/>
      <family val="2"/>
    </font>
    <font>
      <sz val="10"/>
      <color indexed="12"/>
      <name val="Calibri"/>
      <family val="2"/>
    </font>
    <font>
      <b/>
      <sz val="10"/>
      <color indexed="9"/>
      <name val="Calibri"/>
      <family val="2"/>
    </font>
    <font>
      <b/>
      <sz val="10"/>
      <color indexed="12"/>
      <name val="Calibri"/>
      <family val="2"/>
    </font>
    <font>
      <i/>
      <sz val="10"/>
      <name val="Calibri"/>
      <family val="2"/>
    </font>
    <font>
      <sz val="10"/>
      <color indexed="9"/>
      <name val="Calibri"/>
      <family val="2"/>
    </font>
    <font>
      <sz val="10"/>
      <color indexed="2"/>
      <name val="Tahoma"/>
      <family val="2"/>
    </font>
    <font>
      <b/>
      <sz val="10"/>
      <color indexed="0"/>
      <name val="Tahoma"/>
      <family val="2"/>
    </font>
    <font>
      <b/>
      <i/>
      <sz val="10"/>
      <color indexed="4"/>
      <name val="Tahoma"/>
      <family val="2"/>
    </font>
    <font>
      <sz val="10"/>
      <color indexed="4"/>
      <name val="Tahoma"/>
      <family val="2"/>
    </font>
    <font>
      <sz val="10"/>
      <color indexed="10"/>
      <name val="Calibri"/>
      <family val="2"/>
    </font>
    <font>
      <sz val="10"/>
      <color indexed="8"/>
      <name val="Calibri"/>
      <family val="2"/>
    </font>
    <font>
      <b/>
      <sz val="10"/>
      <color indexed="8"/>
      <name val="Calibri"/>
      <family val="2"/>
    </font>
    <font>
      <i/>
      <sz val="10"/>
      <color indexed="22"/>
      <name val="Calibri"/>
      <family val="2"/>
    </font>
    <font>
      <sz val="10"/>
      <color indexed="22"/>
      <name val="Calibri"/>
      <family val="2"/>
    </font>
    <font>
      <b/>
      <i/>
      <sz val="10"/>
      <color indexed="9"/>
      <name val="Calibri"/>
      <family val="2"/>
    </font>
    <font>
      <i/>
      <sz val="10"/>
      <color indexed="12"/>
      <name val="Calibri"/>
      <family val="2"/>
    </font>
    <font>
      <i/>
      <sz val="10"/>
      <color indexed="10"/>
      <name val="Calibri"/>
      <family val="2"/>
    </font>
    <font>
      <sz val="10"/>
      <color indexed="23"/>
      <name val="Calibri"/>
      <family val="2"/>
    </font>
    <font>
      <i/>
      <sz val="10"/>
      <color indexed="23"/>
      <name val="Calibri"/>
      <family val="2"/>
    </font>
    <font>
      <sz val="10"/>
      <color indexed="16"/>
      <name val="Calibri"/>
      <family val="2"/>
    </font>
    <font>
      <i/>
      <sz val="10"/>
      <color indexed="16"/>
      <name val="Calibri"/>
      <family val="2"/>
    </font>
    <font>
      <b/>
      <sz val="10"/>
      <color indexed="10"/>
      <name val="Calibri"/>
      <family val="2"/>
    </font>
    <font>
      <i/>
      <sz val="10"/>
      <color indexed="8"/>
      <name val="Calibri"/>
      <family val="2"/>
    </font>
    <font>
      <b/>
      <i/>
      <sz val="10"/>
      <color indexed="12"/>
      <name val="Calibri"/>
      <family val="2"/>
    </font>
    <font>
      <b/>
      <i/>
      <sz val="10"/>
      <color indexed="8"/>
      <name val="Calibri"/>
      <family val="2"/>
    </font>
    <font>
      <i/>
      <sz val="8"/>
      <name val="Calibri"/>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62"/>
      <name val="Cambria"/>
      <family val="2"/>
    </font>
    <font>
      <b/>
      <sz val="11"/>
      <color indexed="8"/>
      <name val="Calibri"/>
      <family val="2"/>
    </font>
    <font>
      <sz val="11"/>
      <color indexed="10"/>
      <name val="Calibri"/>
      <family val="2"/>
    </font>
    <font>
      <b/>
      <sz val="10"/>
      <color indexed="16"/>
      <name val="Calibri"/>
      <family val="2"/>
    </font>
    <font>
      <b/>
      <u/>
      <sz val="10"/>
      <name val="Calibri"/>
      <family val="2"/>
    </font>
    <font>
      <b/>
      <sz val="18"/>
      <color indexed="12"/>
      <name val="Calibri"/>
      <family val="2"/>
    </font>
    <font>
      <b/>
      <sz val="12"/>
      <color indexed="12"/>
      <name val="Calibri"/>
      <family val="2"/>
    </font>
    <font>
      <sz val="8"/>
      <name val="Times New Roman"/>
      <family val="1"/>
    </font>
    <font>
      <sz val="10"/>
      <name val="Times New Roman"/>
      <family val="1"/>
    </font>
    <font>
      <sz val="8"/>
      <color indexed="12"/>
      <name val="Tms Rmn"/>
      <family val="1"/>
    </font>
    <font>
      <sz val="10"/>
      <color indexed="18"/>
      <name val="Times New Roman"/>
      <family val="1"/>
    </font>
    <font>
      <u/>
      <sz val="8"/>
      <name val="Tms Rmn"/>
    </font>
    <font>
      <u/>
      <sz val="8"/>
      <name val="Times New Roman"/>
      <family val="1"/>
    </font>
    <font>
      <b/>
      <sz val="11"/>
      <name val="Calibri"/>
      <family val="2"/>
    </font>
    <font>
      <sz val="10"/>
      <color indexed="18"/>
      <name val="Calibri"/>
      <family val="2"/>
    </font>
    <font>
      <sz val="10"/>
      <color theme="4"/>
      <name val="Calibri"/>
      <family val="2"/>
    </font>
    <font>
      <b/>
      <sz val="9"/>
      <color indexed="81"/>
      <name val="Tahoma"/>
      <family val="2"/>
    </font>
    <font>
      <sz val="10"/>
      <color rgb="FF000000"/>
      <name val="Arial"/>
      <family val="2"/>
    </font>
    <font>
      <i/>
      <sz val="10"/>
      <color indexed="9"/>
      <name val="Calibri"/>
      <family val="2"/>
    </font>
    <font>
      <b/>
      <sz val="12"/>
      <color indexed="12"/>
      <name val="Calibri"/>
      <family val="2"/>
      <scheme val="minor"/>
    </font>
    <font>
      <i/>
      <sz val="8"/>
      <name val="Calibri"/>
      <family val="2"/>
      <scheme val="minor"/>
    </font>
    <font>
      <sz val="10"/>
      <name val="Calibri"/>
      <family val="2"/>
      <scheme val="minor"/>
    </font>
    <font>
      <i/>
      <sz val="10"/>
      <color indexed="10"/>
      <name val="Calibri"/>
      <family val="2"/>
      <scheme val="minor"/>
    </font>
    <font>
      <i/>
      <sz val="10"/>
      <name val="Calibri"/>
      <family val="2"/>
      <scheme val="minor"/>
    </font>
    <font>
      <b/>
      <sz val="10"/>
      <color indexed="12"/>
      <name val="Calibri"/>
      <family val="2"/>
      <scheme val="minor"/>
    </font>
    <font>
      <b/>
      <sz val="10"/>
      <name val="Calibri"/>
      <family val="2"/>
      <scheme val="minor"/>
    </font>
    <font>
      <b/>
      <i/>
      <sz val="10"/>
      <name val="Calibri"/>
      <family val="2"/>
      <scheme val="minor"/>
    </font>
    <font>
      <sz val="10"/>
      <color indexed="12"/>
      <name val="Calibri"/>
      <family val="2"/>
      <scheme val="minor"/>
    </font>
    <font>
      <i/>
      <sz val="10"/>
      <color indexed="12"/>
      <name val="Calibri"/>
      <family val="2"/>
      <scheme val="minor"/>
    </font>
    <font>
      <b/>
      <sz val="10"/>
      <color indexed="9"/>
      <name val="Calibri"/>
      <family val="2"/>
      <scheme val="minor"/>
    </font>
    <font>
      <i/>
      <sz val="10"/>
      <color indexed="9"/>
      <name val="Calibri"/>
      <family val="2"/>
      <scheme val="minor"/>
    </font>
    <font>
      <b/>
      <i/>
      <sz val="10"/>
      <color indexed="9"/>
      <name val="Calibri"/>
      <family val="2"/>
      <scheme val="minor"/>
    </font>
    <font>
      <b/>
      <sz val="10"/>
      <color indexed="8"/>
      <name val="Calibri"/>
      <family val="2"/>
      <scheme val="minor"/>
    </font>
    <font>
      <b/>
      <sz val="10"/>
      <color rgb="FFFF0000"/>
      <name val="Calibri"/>
      <family val="2"/>
    </font>
    <font>
      <sz val="10"/>
      <color rgb="FF006699"/>
      <name val="Calibri"/>
      <family val="2"/>
    </font>
    <font>
      <sz val="10"/>
      <color rgb="FF0070C0"/>
      <name val="Calibri"/>
      <family val="2"/>
    </font>
    <font>
      <b/>
      <sz val="10"/>
      <color theme="0"/>
      <name val="Calibri"/>
      <family val="2"/>
    </font>
    <font>
      <sz val="10"/>
      <color rgb="FFFF0000"/>
      <name val="Calibri"/>
      <family val="2"/>
    </font>
    <font>
      <sz val="10"/>
      <color theme="0"/>
      <name val="Calibri"/>
      <family val="2"/>
    </font>
    <font>
      <i/>
      <sz val="10"/>
      <color theme="0"/>
      <name val="Calibri"/>
      <family val="2"/>
    </font>
    <font>
      <b/>
      <i/>
      <sz val="10"/>
      <color theme="0"/>
      <name val="Calibri"/>
      <family val="2"/>
    </font>
    <font>
      <b/>
      <sz val="10"/>
      <color rgb="FFCC0000"/>
      <name val="Calibri"/>
      <family val="2"/>
    </font>
    <font>
      <sz val="10"/>
      <color rgb="FFCC0000"/>
      <name val="Calibri"/>
      <family val="2"/>
    </font>
    <font>
      <i/>
      <sz val="10"/>
      <color rgb="FFCC0000"/>
      <name val="Calibri"/>
      <family val="2"/>
    </font>
    <font>
      <b/>
      <i/>
      <sz val="10"/>
      <color rgb="FFCC0000"/>
      <name val="Calibri"/>
      <family val="2"/>
    </font>
    <font>
      <b/>
      <i/>
      <sz val="10"/>
      <color rgb="FF7F7F7F"/>
      <name val="Calibri"/>
      <family val="2"/>
    </font>
    <font>
      <i/>
      <sz val="10"/>
      <color rgb="FF7F7F7F"/>
      <name val="Calibri"/>
      <family val="2"/>
    </font>
    <font>
      <sz val="10"/>
      <color rgb="FF7F7F7F"/>
      <name val="Calibri"/>
      <family val="2"/>
    </font>
    <font>
      <b/>
      <sz val="10"/>
      <color theme="0"/>
      <name val="Calibri"/>
      <family val="2"/>
      <scheme val="minor"/>
    </font>
    <font>
      <sz val="11"/>
      <color theme="0"/>
      <name val="Calibri"/>
      <family val="2"/>
      <scheme val="minor"/>
    </font>
    <font>
      <sz val="10"/>
      <color theme="1"/>
      <name val="Calibri"/>
      <family val="2"/>
      <scheme val="minor"/>
    </font>
    <font>
      <b/>
      <sz val="10"/>
      <color theme="1"/>
      <name val="Calibri"/>
      <family val="2"/>
      <scheme val="minor"/>
    </font>
    <font>
      <sz val="10"/>
      <name val="Courier"/>
      <family val="3"/>
    </font>
    <font>
      <i/>
      <sz val="10"/>
      <name val="Arial"/>
      <family val="2"/>
    </font>
    <font>
      <b/>
      <sz val="12"/>
      <color rgb="FF000080"/>
      <name val="Arial"/>
      <family val="2"/>
    </font>
    <font>
      <i/>
      <sz val="10"/>
      <color rgb="FF000000"/>
      <name val="Arial"/>
      <family val="2"/>
    </font>
  </fonts>
  <fills count="35">
    <fill>
      <patternFill patternType="none"/>
    </fill>
    <fill>
      <patternFill patternType="gray125"/>
    </fill>
    <fill>
      <patternFill patternType="solid">
        <fgColor indexed="47"/>
      </patternFill>
    </fill>
    <fill>
      <patternFill patternType="solid">
        <fgColor indexed="29"/>
      </patternFill>
    </fill>
    <fill>
      <patternFill patternType="solid">
        <fgColor indexed="43"/>
      </patternFill>
    </fill>
    <fill>
      <patternFill patternType="solid">
        <fgColor indexed="27"/>
      </patternFill>
    </fill>
    <fill>
      <patternFill patternType="solid">
        <fgColor indexed="22"/>
      </patternFill>
    </fill>
    <fill>
      <patternFill patternType="solid">
        <fgColor indexed="44"/>
      </patternFill>
    </fill>
    <fill>
      <patternFill patternType="solid">
        <fgColor indexed="49"/>
      </patternFill>
    </fill>
    <fill>
      <patternFill patternType="solid">
        <fgColor indexed="26"/>
      </patternFill>
    </fill>
    <fill>
      <patternFill patternType="solid">
        <fgColor indexed="54"/>
      </patternFill>
    </fill>
    <fill>
      <patternFill patternType="solid">
        <fgColor indexed="45"/>
      </patternFill>
    </fill>
    <fill>
      <patternFill patternType="solid">
        <fgColor indexed="9"/>
      </patternFill>
    </fill>
    <fill>
      <patternFill patternType="solid">
        <fgColor indexed="55"/>
      </patternFill>
    </fill>
    <fill>
      <patternFill patternType="solid">
        <fgColor indexed="48"/>
      </patternFill>
    </fill>
    <fill>
      <patternFill patternType="solid">
        <fgColor indexed="42"/>
      </patternFill>
    </fill>
    <fill>
      <patternFill patternType="solid">
        <fgColor indexed="43"/>
        <bgColor indexed="64"/>
      </patternFill>
    </fill>
    <fill>
      <patternFill patternType="solid">
        <fgColor indexed="22"/>
        <bgColor indexed="64"/>
      </patternFill>
    </fill>
    <fill>
      <patternFill patternType="solid">
        <fgColor indexed="9"/>
        <bgColor indexed="64"/>
      </patternFill>
    </fill>
    <fill>
      <patternFill patternType="solid">
        <fgColor indexed="13"/>
        <bgColor indexed="64"/>
      </patternFill>
    </fill>
    <fill>
      <patternFill patternType="solid">
        <fgColor indexed="47"/>
        <bgColor indexed="64"/>
      </patternFill>
    </fill>
    <fill>
      <patternFill patternType="solid">
        <fgColor indexed="8"/>
        <bgColor indexed="64"/>
      </patternFill>
    </fill>
    <fill>
      <patternFill patternType="solid">
        <fgColor indexed="56"/>
        <bgColor indexed="64"/>
      </patternFill>
    </fill>
    <fill>
      <patternFill patternType="solid">
        <fgColor indexed="41"/>
        <bgColor indexed="64"/>
      </patternFill>
    </fill>
    <fill>
      <patternFill patternType="solid">
        <fgColor indexed="50"/>
        <bgColor indexed="64"/>
      </patternFill>
    </fill>
    <fill>
      <patternFill patternType="solid">
        <fgColor indexed="42"/>
        <bgColor indexed="64"/>
      </patternFill>
    </fill>
    <fill>
      <patternFill patternType="solid">
        <fgColor theme="0" tint="-0.14999847407452621"/>
        <bgColor indexed="64"/>
      </patternFill>
    </fill>
    <fill>
      <patternFill patternType="solid">
        <fgColor theme="0"/>
        <bgColor indexed="64"/>
      </patternFill>
    </fill>
    <fill>
      <patternFill patternType="solid">
        <fgColor rgb="FFFFFF00"/>
        <bgColor indexed="64"/>
      </patternFill>
    </fill>
    <fill>
      <patternFill patternType="solid">
        <fgColor theme="0" tint="-4.9989318521683403E-2"/>
        <bgColor indexed="64"/>
      </patternFill>
    </fill>
    <fill>
      <patternFill patternType="solid">
        <fgColor rgb="FF006699"/>
        <bgColor indexed="64"/>
      </patternFill>
    </fill>
    <fill>
      <patternFill patternType="solid">
        <fgColor theme="8" tint="0.79998168889431442"/>
        <bgColor indexed="64"/>
      </patternFill>
    </fill>
    <fill>
      <patternFill patternType="solid">
        <fgColor rgb="FFFFC000"/>
        <bgColor indexed="64"/>
      </patternFill>
    </fill>
    <fill>
      <patternFill patternType="solid">
        <fgColor theme="4" tint="0.79998168889431442"/>
        <bgColor indexed="64"/>
      </patternFill>
    </fill>
    <fill>
      <patternFill patternType="solid">
        <fgColor indexed="65"/>
        <bgColor indexed="64"/>
      </patternFill>
    </fill>
  </fills>
  <borders count="44">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49"/>
      </bottom>
      <diagonal/>
    </border>
    <border>
      <left/>
      <right/>
      <top/>
      <bottom style="thick">
        <color indexed="22"/>
      </bottom>
      <diagonal/>
    </border>
    <border>
      <left/>
      <right/>
      <top/>
      <bottom style="medium">
        <color indexed="49"/>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bottom style="thin">
        <color indexed="8"/>
      </bottom>
      <diagonal/>
    </border>
    <border>
      <left/>
      <right/>
      <top style="thin">
        <color indexed="49"/>
      </top>
      <bottom style="double">
        <color indexed="49"/>
      </bottom>
      <diagonal/>
    </border>
    <border>
      <left/>
      <right/>
      <top/>
      <bottom style="thin">
        <color indexed="64"/>
      </bottom>
      <diagonal/>
    </border>
    <border>
      <left/>
      <right/>
      <top style="thin">
        <color indexed="64"/>
      </top>
      <bottom/>
      <diagonal/>
    </border>
    <border>
      <left/>
      <right/>
      <top style="thin">
        <color indexed="64"/>
      </top>
      <bottom style="thin">
        <color indexed="64"/>
      </bottom>
      <diagonal/>
    </border>
    <border>
      <left style="thin">
        <color indexed="64"/>
      </left>
      <right/>
      <top/>
      <bottom/>
      <diagonal/>
    </border>
    <border>
      <left style="thin">
        <color theme="0" tint="-0.14996795556505021"/>
      </left>
      <right/>
      <top style="thin">
        <color theme="0" tint="-0.14996795556505021"/>
      </top>
      <bottom/>
      <diagonal/>
    </border>
    <border>
      <left/>
      <right/>
      <top style="thin">
        <color theme="0" tint="-0.14996795556505021"/>
      </top>
      <bottom/>
      <diagonal/>
    </border>
    <border>
      <left/>
      <right style="thin">
        <color theme="0" tint="-0.14996795556505021"/>
      </right>
      <top style="thin">
        <color theme="0" tint="-0.14996795556505021"/>
      </top>
      <bottom/>
      <diagonal/>
    </border>
    <border>
      <left style="thin">
        <color theme="0" tint="-0.14996795556505021"/>
      </left>
      <right/>
      <top/>
      <bottom/>
      <diagonal/>
    </border>
    <border>
      <left/>
      <right style="thin">
        <color theme="0" tint="-0.14996795556505021"/>
      </right>
      <top/>
      <bottom/>
      <diagonal/>
    </border>
    <border>
      <left style="thin">
        <color theme="0" tint="-0.14996795556505021"/>
      </left>
      <right/>
      <top/>
      <bottom style="thin">
        <color indexed="64"/>
      </bottom>
      <diagonal/>
    </border>
    <border>
      <left/>
      <right style="thin">
        <color theme="0" tint="-0.14996795556505021"/>
      </right>
      <top/>
      <bottom style="thin">
        <color indexed="64"/>
      </bottom>
      <diagonal/>
    </border>
    <border>
      <left style="thin">
        <color theme="0" tint="-0.14996795556505021"/>
      </left>
      <right/>
      <top/>
      <bottom style="thin">
        <color theme="0" tint="-0.14996795556505021"/>
      </bottom>
      <diagonal/>
    </border>
    <border>
      <left/>
      <right/>
      <top/>
      <bottom style="thin">
        <color theme="0" tint="-0.14996795556505021"/>
      </bottom>
      <diagonal/>
    </border>
    <border>
      <left/>
      <right style="thin">
        <color theme="0" tint="-0.14996795556505021"/>
      </right>
      <top/>
      <bottom style="thin">
        <color theme="0" tint="-0.14996795556505021"/>
      </bottom>
      <diagonal/>
    </border>
    <border>
      <left style="thin">
        <color theme="0" tint="-0.249977111117893"/>
      </left>
      <right/>
      <top style="thin">
        <color theme="0" tint="-0.249977111117893"/>
      </top>
      <bottom/>
      <diagonal/>
    </border>
    <border>
      <left/>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top/>
      <bottom/>
      <diagonal/>
    </border>
    <border>
      <left/>
      <right style="thin">
        <color theme="0" tint="-0.249977111117893"/>
      </right>
      <top/>
      <bottom/>
      <diagonal/>
    </border>
    <border>
      <left style="thin">
        <color theme="0" tint="-0.249977111117893"/>
      </left>
      <right/>
      <top/>
      <bottom style="thin">
        <color indexed="64"/>
      </bottom>
      <diagonal/>
    </border>
    <border>
      <left style="thin">
        <color theme="0" tint="-0.249977111117893"/>
      </left>
      <right/>
      <top/>
      <bottom style="thin">
        <color theme="0" tint="-0.249977111117893"/>
      </bottom>
      <diagonal/>
    </border>
    <border>
      <left/>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right style="thin">
        <color theme="0" tint="-0.24994659260841701"/>
      </right>
      <top/>
      <bottom/>
      <diagonal/>
    </border>
    <border>
      <left/>
      <right style="thin">
        <color theme="0" tint="-0.24994659260841701"/>
      </right>
      <top/>
      <bottom style="thin">
        <color indexed="64"/>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rgb="FF000000"/>
      </top>
      <bottom style="thin">
        <color rgb="FF000000"/>
      </bottom>
      <diagonal/>
    </border>
    <border>
      <left/>
      <right/>
      <top/>
      <bottom style="thin">
        <color rgb="FF000000"/>
      </bottom>
      <diagonal/>
    </border>
    <border>
      <left/>
      <right/>
      <top style="thin">
        <color rgb="FF000000"/>
      </top>
      <bottom/>
      <diagonal/>
    </border>
  </borders>
  <cellStyleXfs count="105">
    <xf numFmtId="0" fontId="0" fillId="0" borderId="0"/>
    <xf numFmtId="0" fontId="3" fillId="0" borderId="0">
      <alignment horizontal="right"/>
    </xf>
    <xf numFmtId="0" fontId="3" fillId="0" borderId="0">
      <alignment horizontal="right"/>
    </xf>
    <xf numFmtId="0" fontId="3" fillId="0" borderId="0">
      <alignment horizontal="right"/>
    </xf>
    <xf numFmtId="0" fontId="2" fillId="0" borderId="0"/>
    <xf numFmtId="0" fontId="2" fillId="0" borderId="0" applyFont="0" applyFill="0" applyBorder="0" applyAlignment="0" applyProtection="0"/>
    <xf numFmtId="0" fontId="2" fillId="0" borderId="0"/>
    <xf numFmtId="0" fontId="2" fillId="0" borderId="0"/>
    <xf numFmtId="0" fontId="2" fillId="0" borderId="0"/>
    <xf numFmtId="0" fontId="2" fillId="0" borderId="0"/>
    <xf numFmtId="44" fontId="69" fillId="0" borderId="0" applyFont="0" applyFill="0" applyBorder="0" applyAlignment="0" applyProtection="0"/>
    <xf numFmtId="42" fontId="69" fillId="0" borderId="0" applyFont="0" applyFill="0" applyBorder="0" applyAlignment="0" applyProtection="0"/>
    <xf numFmtId="0" fontId="68" fillId="0" borderId="0">
      <alignment horizontal="right"/>
    </xf>
    <xf numFmtId="0" fontId="2" fillId="0" borderId="0"/>
    <xf numFmtId="0" fontId="69" fillId="0" borderId="0"/>
    <xf numFmtId="0" fontId="69" fillId="0" borderId="0"/>
    <xf numFmtId="0" fontId="10" fillId="0" borderId="0"/>
    <xf numFmtId="0" fontId="10" fillId="0" borderId="0"/>
    <xf numFmtId="0" fontId="47" fillId="2" borderId="0" applyNumberFormat="0" applyBorder="0" applyAlignment="0" applyProtection="0"/>
    <xf numFmtId="0" fontId="47" fillId="3" borderId="0" applyNumberFormat="0" applyBorder="0" applyAlignment="0" applyProtection="0"/>
    <xf numFmtId="0" fontId="47" fillId="4" borderId="0" applyNumberFormat="0" applyBorder="0" applyAlignment="0" applyProtection="0"/>
    <xf numFmtId="0" fontId="47" fillId="2" borderId="0" applyNumberFormat="0" applyBorder="0" applyAlignment="0" applyProtection="0"/>
    <xf numFmtId="0" fontId="47" fillId="5" borderId="0" applyNumberFormat="0" applyBorder="0" applyAlignment="0" applyProtection="0"/>
    <xf numFmtId="0" fontId="47" fillId="4" borderId="0" applyNumberFormat="0" applyBorder="0" applyAlignment="0" applyProtection="0"/>
    <xf numFmtId="0" fontId="47" fillId="6" borderId="0" applyNumberFormat="0" applyBorder="0" applyAlignment="0" applyProtection="0"/>
    <xf numFmtId="0" fontId="47" fillId="3" borderId="0" applyNumberFormat="0" applyBorder="0" applyAlignment="0" applyProtection="0"/>
    <xf numFmtId="0" fontId="47" fillId="4" borderId="0" applyNumberFormat="0" applyBorder="0" applyAlignment="0" applyProtection="0"/>
    <xf numFmtId="0" fontId="47" fillId="6" borderId="0" applyNumberFormat="0" applyBorder="0" applyAlignment="0" applyProtection="0"/>
    <xf numFmtId="0" fontId="47" fillId="7" borderId="0" applyNumberFormat="0" applyBorder="0" applyAlignment="0" applyProtection="0"/>
    <xf numFmtId="0" fontId="47" fillId="4" borderId="0" applyNumberFormat="0" applyBorder="0" applyAlignment="0" applyProtection="0"/>
    <xf numFmtId="0" fontId="48" fillId="8" borderId="0" applyNumberFormat="0" applyBorder="0" applyAlignment="0" applyProtection="0"/>
    <xf numFmtId="0" fontId="48" fillId="3" borderId="0" applyNumberFormat="0" applyBorder="0" applyAlignment="0" applyProtection="0"/>
    <xf numFmtId="0" fontId="48" fillId="9" borderId="0" applyNumberFormat="0" applyBorder="0" applyAlignment="0" applyProtection="0"/>
    <xf numFmtId="0" fontId="48" fillId="6" borderId="0" applyNumberFormat="0" applyBorder="0" applyAlignment="0" applyProtection="0"/>
    <xf numFmtId="0" fontId="48" fillId="8" borderId="0" applyNumberFormat="0" applyBorder="0" applyAlignment="0" applyProtection="0"/>
    <xf numFmtId="0" fontId="48" fillId="4" borderId="0" applyNumberFormat="0" applyBorder="0" applyAlignment="0" applyProtection="0"/>
    <xf numFmtId="0" fontId="48" fillId="8" borderId="0" applyNumberFormat="0" applyBorder="0" applyAlignment="0" applyProtection="0"/>
    <xf numFmtId="0" fontId="48" fillId="3" borderId="0" applyNumberFormat="0" applyBorder="0" applyAlignment="0" applyProtection="0"/>
    <xf numFmtId="0" fontId="48" fillId="9" borderId="0" applyNumberFormat="0" applyBorder="0" applyAlignment="0" applyProtection="0"/>
    <xf numFmtId="0" fontId="48" fillId="10" borderId="0" applyNumberFormat="0" applyBorder="0" applyAlignment="0" applyProtection="0"/>
    <xf numFmtId="0" fontId="48" fillId="8" borderId="0" applyNumberFormat="0" applyBorder="0" applyAlignment="0" applyProtection="0"/>
    <xf numFmtId="0" fontId="48" fillId="3" borderId="0" applyNumberFormat="0" applyBorder="0" applyAlignment="0" applyProtection="0"/>
    <xf numFmtId="0" fontId="49" fillId="11" borderId="0" applyNumberFormat="0" applyBorder="0" applyAlignment="0" applyProtection="0"/>
    <xf numFmtId="0" fontId="70" fillId="0" borderId="0" applyNumberFormat="0" applyFill="0" applyBorder="0" applyAlignment="0" applyProtection="0"/>
    <xf numFmtId="0" fontId="13" fillId="0" borderId="0"/>
    <xf numFmtId="0" fontId="50" fillId="12" borderId="1" applyNumberFormat="0" applyAlignment="0" applyProtection="0"/>
    <xf numFmtId="1" fontId="71" fillId="0" borderId="0"/>
    <xf numFmtId="0" fontId="51" fillId="13" borderId="2" applyNumberFormat="0" applyAlignment="0" applyProtection="0"/>
    <xf numFmtId="43" fontId="2" fillId="0" borderId="0" applyFont="0" applyFill="0" applyBorder="0" applyAlignment="0" applyProtection="0"/>
    <xf numFmtId="14" fontId="68" fillId="0" borderId="0">
      <alignment horizontal="right"/>
    </xf>
    <xf numFmtId="0" fontId="68" fillId="0" borderId="0">
      <alignment horizontal="right"/>
    </xf>
    <xf numFmtId="0" fontId="68" fillId="0" borderId="0">
      <alignment horizontal="right"/>
    </xf>
    <xf numFmtId="0" fontId="68" fillId="0" borderId="0">
      <alignment horizontal="right"/>
    </xf>
    <xf numFmtId="0" fontId="52" fillId="0" borderId="0" applyNumberFormat="0" applyFill="0" applyBorder="0" applyAlignment="0" applyProtection="0"/>
    <xf numFmtId="0" fontId="26" fillId="0" borderId="0"/>
    <xf numFmtId="0" fontId="27" fillId="14" borderId="0"/>
    <xf numFmtId="0" fontId="53" fillId="15" borderId="0" applyNumberFormat="0" applyBorder="0" applyAlignment="0" applyProtection="0"/>
    <xf numFmtId="0" fontId="54" fillId="0" borderId="3" applyNumberFormat="0" applyFill="0" applyAlignment="0" applyProtection="0"/>
    <xf numFmtId="0" fontId="55" fillId="0" borderId="4" applyNumberFormat="0" applyFill="0" applyAlignment="0" applyProtection="0"/>
    <xf numFmtId="0" fontId="56" fillId="0" borderId="5" applyNumberFormat="0" applyFill="0" applyAlignment="0" applyProtection="0"/>
    <xf numFmtId="0" fontId="56" fillId="0" borderId="0" applyNumberFormat="0" applyFill="0" applyBorder="0" applyAlignment="0" applyProtection="0"/>
    <xf numFmtId="0" fontId="19" fillId="0" borderId="0">
      <alignment wrapText="1"/>
    </xf>
    <xf numFmtId="0" fontId="57" fillId="4" borderId="1" applyNumberFormat="0" applyAlignment="0" applyProtection="0"/>
    <xf numFmtId="0" fontId="58" fillId="0" borderId="6" applyNumberFormat="0" applyFill="0" applyAlignment="0" applyProtection="0"/>
    <xf numFmtId="0" fontId="27" fillId="0" borderId="0"/>
    <xf numFmtId="0" fontId="28" fillId="0" borderId="0"/>
    <xf numFmtId="0" fontId="29" fillId="0" borderId="0"/>
    <xf numFmtId="0" fontId="59" fillId="4" borderId="0" applyNumberFormat="0" applyBorder="0" applyAlignment="0" applyProtection="0"/>
    <xf numFmtId="0" fontId="4" fillId="0" borderId="0"/>
    <xf numFmtId="0" fontId="11" fillId="0" borderId="0"/>
    <xf numFmtId="0" fontId="2" fillId="0" borderId="0"/>
    <xf numFmtId="0" fontId="2" fillId="4" borderId="7" applyNumberFormat="0" applyFont="0" applyAlignment="0" applyProtection="0"/>
    <xf numFmtId="43" fontId="69" fillId="0" borderId="0" applyFont="0" applyFill="0" applyBorder="0" applyAlignment="0" applyProtection="0"/>
    <xf numFmtId="41" fontId="69" fillId="0" borderId="0" applyFont="0" applyFill="0" applyBorder="0" applyAlignment="0" applyProtection="0"/>
    <xf numFmtId="0" fontId="3" fillId="0" borderId="0"/>
    <xf numFmtId="0" fontId="60" fillId="12" borderId="8" applyNumberFormat="0" applyAlignment="0" applyProtection="0"/>
    <xf numFmtId="0" fontId="14" fillId="0" borderId="0">
      <alignment vertical="center"/>
    </xf>
    <xf numFmtId="0" fontId="29" fillId="0" borderId="0"/>
    <xf numFmtId="9" fontId="2" fillId="0" borderId="0" applyFont="0" applyFill="0" applyBorder="0" applyAlignment="0" applyProtection="0"/>
    <xf numFmtId="0" fontId="68" fillId="0" borderId="0">
      <alignment horizontal="right"/>
    </xf>
    <xf numFmtId="10" fontId="68" fillId="0" borderId="0">
      <alignment horizontal="right"/>
    </xf>
    <xf numFmtId="9" fontId="3" fillId="0" borderId="0">
      <alignment horizontal="right"/>
    </xf>
    <xf numFmtId="0" fontId="4" fillId="16" borderId="0" applyNumberFormat="0" applyFont="0" applyBorder="0" applyAlignment="0" applyProtection="0"/>
    <xf numFmtId="0" fontId="15" fillId="0" borderId="0"/>
    <xf numFmtId="0" fontId="15" fillId="0" borderId="9">
      <alignment horizontal="centerContinuous"/>
    </xf>
    <xf numFmtId="0" fontId="16" fillId="0" borderId="9"/>
    <xf numFmtId="0" fontId="2" fillId="0" borderId="0">
      <alignment vertical="top"/>
    </xf>
    <xf numFmtId="0" fontId="2" fillId="0" borderId="0">
      <alignment vertical="top"/>
    </xf>
    <xf numFmtId="0" fontId="61" fillId="0" borderId="0" applyNumberFormat="0" applyFill="0" applyBorder="0" applyAlignment="0" applyProtection="0"/>
    <xf numFmtId="0" fontId="62" fillId="0" borderId="10" applyNumberFormat="0" applyFill="0" applyAlignment="0" applyProtection="0"/>
    <xf numFmtId="0" fontId="72" fillId="0" borderId="0">
      <alignment horizontal="left"/>
    </xf>
    <xf numFmtId="0" fontId="72" fillId="0" borderId="0">
      <alignment horizontal="right"/>
    </xf>
    <xf numFmtId="0" fontId="73" fillId="0" borderId="0">
      <alignment horizontal="right"/>
    </xf>
    <xf numFmtId="1" fontId="72" fillId="0" borderId="0">
      <alignment horizontal="left"/>
    </xf>
    <xf numFmtId="0" fontId="72" fillId="0" borderId="0">
      <alignment horizontal="right"/>
    </xf>
    <xf numFmtId="168" fontId="72" fillId="0" borderId="0">
      <alignment horizontal="left"/>
    </xf>
    <xf numFmtId="0" fontId="63" fillId="0" borderId="0" applyNumberFormat="0" applyFill="0" applyBorder="0" applyAlignment="0" applyProtection="0"/>
    <xf numFmtId="44" fontId="4" fillId="0" borderId="0" applyFont="0" applyFill="0" applyBorder="0" applyAlignment="0" applyProtection="0"/>
    <xf numFmtId="0" fontId="2" fillId="0" borderId="0"/>
    <xf numFmtId="0" fontId="2" fillId="16" borderId="0" applyNumberFormat="0" applyFont="0" applyBorder="0" applyAlignment="0" applyProtection="0"/>
    <xf numFmtId="44" fontId="2" fillId="0" borderId="0" applyFont="0" applyFill="0" applyBorder="0" applyAlignment="0" applyProtection="0"/>
    <xf numFmtId="0" fontId="2" fillId="0" borderId="0"/>
    <xf numFmtId="44" fontId="2" fillId="0" borderId="0" applyFont="0" applyFill="0" applyBorder="0" applyAlignment="0" applyProtection="0"/>
    <xf numFmtId="0" fontId="1" fillId="0" borderId="0"/>
    <xf numFmtId="0" fontId="113" fillId="0" borderId="0"/>
  </cellStyleXfs>
  <cellXfs count="904">
    <xf numFmtId="0" fontId="0" fillId="0" borderId="0" xfId="0"/>
    <xf numFmtId="49" fontId="0" fillId="0" borderId="0" xfId="0" applyNumberFormat="1"/>
    <xf numFmtId="0" fontId="18" fillId="0" borderId="0" xfId="0" applyFont="1"/>
    <xf numFmtId="0" fontId="18" fillId="0" borderId="0" xfId="0" applyFont="1" applyFill="1" applyBorder="1"/>
    <xf numFmtId="0" fontId="18" fillId="0" borderId="0" xfId="0" applyFont="1" applyBorder="1" applyAlignment="1">
      <alignment horizontal="left"/>
    </xf>
    <xf numFmtId="0" fontId="17" fillId="0" borderId="0" xfId="0" applyFont="1"/>
    <xf numFmtId="2" fontId="18" fillId="0" borderId="0" xfId="0" applyNumberFormat="1" applyFont="1"/>
    <xf numFmtId="1" fontId="18" fillId="0" borderId="0" xfId="0" applyNumberFormat="1" applyFont="1"/>
    <xf numFmtId="0" fontId="18" fillId="17" borderId="0" xfId="0" applyFont="1" applyFill="1" applyBorder="1"/>
    <xf numFmtId="0" fontId="18" fillId="0" borderId="0" xfId="0" applyFont="1" applyFill="1" applyAlignment="1">
      <alignment horizontal="right"/>
    </xf>
    <xf numFmtId="0" fontId="18" fillId="0" borderId="0" xfId="0" applyNumberFormat="1" applyFont="1" applyFill="1"/>
    <xf numFmtId="10" fontId="24" fillId="0" borderId="0" xfId="0" applyNumberFormat="1" applyFont="1" applyFill="1" applyAlignment="1">
      <alignment horizontal="right"/>
    </xf>
    <xf numFmtId="166" fontId="21" fillId="0" borderId="0" xfId="0" applyNumberFormat="1" applyFont="1" applyFill="1" applyAlignment="1">
      <alignment horizontal="right"/>
    </xf>
    <xf numFmtId="166" fontId="18" fillId="0" borderId="0" xfId="0" applyNumberFormat="1" applyFont="1" applyFill="1" applyAlignment="1">
      <alignment horizontal="right"/>
    </xf>
    <xf numFmtId="174" fontId="24" fillId="0" borderId="0" xfId="0" applyNumberFormat="1" applyFont="1" applyFill="1" applyAlignment="1">
      <alignment horizontal="right"/>
    </xf>
    <xf numFmtId="166" fontId="32" fillId="0" borderId="0" xfId="0" applyNumberFormat="1" applyFont="1" applyFill="1" applyAlignment="1">
      <alignment horizontal="right"/>
    </xf>
    <xf numFmtId="0" fontId="31" fillId="0" borderId="0" xfId="0" applyFont="1" applyFill="1" applyAlignment="1">
      <alignment horizontal="right"/>
    </xf>
    <xf numFmtId="1" fontId="24" fillId="0" borderId="0" xfId="0" applyNumberFormat="1" applyFont="1" applyFill="1" applyAlignment="1">
      <alignment horizontal="right"/>
    </xf>
    <xf numFmtId="0" fontId="18" fillId="0" borderId="0" xfId="0" applyFont="1" applyFill="1" applyBorder="1" applyAlignment="1">
      <alignment horizontal="left"/>
    </xf>
    <xf numFmtId="10" fontId="24" fillId="0" borderId="11" xfId="0" applyNumberFormat="1" applyFont="1" applyFill="1" applyBorder="1" applyAlignment="1">
      <alignment horizontal="right"/>
    </xf>
    <xf numFmtId="0" fontId="18" fillId="0" borderId="11" xfId="0" quotePrefix="1" applyFont="1" applyFill="1" applyBorder="1" applyAlignment="1">
      <alignment horizontal="right"/>
    </xf>
    <xf numFmtId="0" fontId="31" fillId="0" borderId="11" xfId="0" quotePrefix="1" applyFont="1" applyFill="1" applyBorder="1" applyAlignment="1">
      <alignment horizontal="right"/>
    </xf>
    <xf numFmtId="0" fontId="18" fillId="17" borderId="0" xfId="0" applyFont="1" applyFill="1" applyBorder="1" applyAlignment="1">
      <alignment horizontal="right"/>
    </xf>
    <xf numFmtId="0" fontId="18" fillId="0" borderId="0" xfId="0" applyNumberFormat="1" applyFont="1" applyFill="1" applyBorder="1" applyAlignment="1">
      <alignment horizontal="right"/>
    </xf>
    <xf numFmtId="0" fontId="18" fillId="17" borderId="0" xfId="0" applyFont="1" applyFill="1" applyBorder="1" applyAlignment="1">
      <alignment horizontal="left"/>
    </xf>
    <xf numFmtId="170" fontId="24" fillId="17" borderId="0" xfId="0" applyNumberFormat="1" applyFont="1" applyFill="1" applyBorder="1" applyAlignment="1">
      <alignment horizontal="right"/>
    </xf>
    <xf numFmtId="177" fontId="18" fillId="17" borderId="0" xfId="0" quotePrefix="1" applyNumberFormat="1" applyFont="1" applyFill="1" applyBorder="1" applyAlignment="1">
      <alignment horizontal="right"/>
    </xf>
    <xf numFmtId="177" fontId="18" fillId="17" borderId="0" xfId="0" applyNumberFormat="1" applyFont="1" applyFill="1" applyBorder="1" applyAlignment="1">
      <alignment horizontal="right"/>
    </xf>
    <xf numFmtId="1" fontId="18" fillId="17" borderId="0" xfId="0" applyNumberFormat="1" applyFont="1" applyFill="1" applyBorder="1" applyAlignment="1">
      <alignment horizontal="right"/>
    </xf>
    <xf numFmtId="1" fontId="24" fillId="17" borderId="0" xfId="0" applyNumberFormat="1" applyFont="1" applyFill="1" applyBorder="1" applyAlignment="1">
      <alignment horizontal="right"/>
    </xf>
    <xf numFmtId="1" fontId="18" fillId="17" borderId="0" xfId="0" quotePrefix="1" applyNumberFormat="1" applyFont="1" applyFill="1" applyBorder="1" applyAlignment="1">
      <alignment horizontal="right"/>
    </xf>
    <xf numFmtId="0" fontId="18" fillId="17" borderId="0" xfId="0" applyNumberFormat="1" applyFont="1" applyFill="1" applyBorder="1" applyAlignment="1">
      <alignment horizontal="left"/>
    </xf>
    <xf numFmtId="10" fontId="24" fillId="17" borderId="0" xfId="0" applyNumberFormat="1" applyFont="1" applyFill="1" applyBorder="1" applyAlignment="1">
      <alignment horizontal="right"/>
    </xf>
    <xf numFmtId="1" fontId="31" fillId="17" borderId="0" xfId="0" quotePrefix="1" applyNumberFormat="1" applyFont="1" applyFill="1" applyBorder="1" applyAlignment="1">
      <alignment horizontal="right"/>
    </xf>
    <xf numFmtId="0" fontId="17" fillId="17" borderId="0" xfId="0" applyFont="1" applyFill="1" applyBorder="1" applyAlignment="1">
      <alignment horizontal="left"/>
    </xf>
    <xf numFmtId="1" fontId="33" fillId="17" borderId="0" xfId="0" applyNumberFormat="1" applyFont="1" applyFill="1" applyBorder="1" applyAlignment="1">
      <alignment horizontal="right"/>
    </xf>
    <xf numFmtId="3" fontId="24" fillId="17" borderId="0" xfId="0" applyNumberFormat="1" applyFont="1" applyFill="1" applyBorder="1" applyAlignment="1">
      <alignment horizontal="right"/>
    </xf>
    <xf numFmtId="168" fontId="34" fillId="17" borderId="0" xfId="0" applyNumberFormat="1" applyFont="1" applyFill="1" applyBorder="1" applyAlignment="1">
      <alignment horizontal="right"/>
    </xf>
    <xf numFmtId="176" fontId="24" fillId="17" borderId="0" xfId="0" applyNumberFormat="1" applyFont="1" applyFill="1" applyBorder="1" applyAlignment="1">
      <alignment horizontal="right"/>
    </xf>
    <xf numFmtId="176" fontId="18" fillId="17" borderId="0" xfId="0" quotePrefix="1" applyNumberFormat="1" applyFont="1" applyFill="1" applyBorder="1" applyAlignment="1">
      <alignment horizontal="right"/>
    </xf>
    <xf numFmtId="176" fontId="31" fillId="17" borderId="0" xfId="0" quotePrefix="1" applyNumberFormat="1" applyFont="1" applyFill="1" applyBorder="1" applyAlignment="1">
      <alignment horizontal="right"/>
    </xf>
    <xf numFmtId="176" fontId="18" fillId="17" borderId="0" xfId="0" applyNumberFormat="1" applyFont="1" applyFill="1" applyBorder="1" applyAlignment="1">
      <alignment horizontal="right"/>
    </xf>
    <xf numFmtId="176" fontId="18" fillId="18" borderId="12" xfId="0" applyNumberFormat="1" applyFont="1" applyFill="1" applyBorder="1" applyAlignment="1">
      <alignment horizontal="right"/>
    </xf>
    <xf numFmtId="168" fontId="33" fillId="17" borderId="0" xfId="0" applyNumberFormat="1" applyFont="1" applyFill="1" applyBorder="1" applyAlignment="1">
      <alignment horizontal="right"/>
    </xf>
    <xf numFmtId="168" fontId="21" fillId="18" borderId="0" xfId="0" applyNumberFormat="1" applyFont="1" applyFill="1" applyBorder="1" applyAlignment="1">
      <alignment horizontal="right"/>
    </xf>
    <xf numFmtId="168" fontId="21" fillId="17" borderId="0" xfId="0" applyNumberFormat="1" applyFont="1" applyFill="1" applyBorder="1" applyAlignment="1">
      <alignment horizontal="right"/>
    </xf>
    <xf numFmtId="168" fontId="21" fillId="18" borderId="11" xfId="0" applyNumberFormat="1" applyFont="1" applyFill="1" applyBorder="1" applyAlignment="1">
      <alignment horizontal="right"/>
    </xf>
    <xf numFmtId="3" fontId="33" fillId="17" borderId="0" xfId="0" applyNumberFormat="1" applyFont="1" applyFill="1" applyBorder="1" applyAlignment="1">
      <alignment horizontal="right"/>
    </xf>
    <xf numFmtId="3" fontId="18" fillId="17" borderId="0" xfId="0" applyNumberFormat="1" applyFont="1" applyFill="1" applyBorder="1" applyAlignment="1">
      <alignment horizontal="right"/>
    </xf>
    <xf numFmtId="3" fontId="18" fillId="17" borderId="0" xfId="0" quotePrefix="1" applyNumberFormat="1" applyFont="1" applyFill="1" applyBorder="1" applyAlignment="1">
      <alignment horizontal="right"/>
    </xf>
    <xf numFmtId="3" fontId="31" fillId="17" borderId="0" xfId="0" quotePrefix="1" applyNumberFormat="1" applyFont="1" applyFill="1" applyBorder="1" applyAlignment="1">
      <alignment horizontal="right"/>
    </xf>
    <xf numFmtId="3" fontId="18" fillId="18" borderId="12" xfId="0" applyNumberFormat="1" applyFont="1" applyFill="1" applyBorder="1" applyAlignment="1">
      <alignment horizontal="right"/>
    </xf>
    <xf numFmtId="37" fontId="34" fillId="17" borderId="0" xfId="0" applyNumberFormat="1" applyFont="1" applyFill="1" applyBorder="1" applyAlignment="1">
      <alignment horizontal="right"/>
    </xf>
    <xf numFmtId="37" fontId="21" fillId="18" borderId="0" xfId="0" applyNumberFormat="1" applyFont="1" applyFill="1" applyBorder="1" applyAlignment="1">
      <alignment horizontal="right"/>
    </xf>
    <xf numFmtId="37" fontId="21" fillId="17" borderId="0" xfId="0" applyNumberFormat="1" applyFont="1" applyFill="1" applyBorder="1" applyAlignment="1">
      <alignment horizontal="right"/>
    </xf>
    <xf numFmtId="37" fontId="21" fillId="18" borderId="11" xfId="0" applyNumberFormat="1" applyFont="1" applyFill="1" applyBorder="1" applyAlignment="1">
      <alignment horizontal="right"/>
    </xf>
    <xf numFmtId="0" fontId="17" fillId="17" borderId="0" xfId="0" applyNumberFormat="1" applyFont="1" applyFill="1" applyBorder="1" applyAlignment="1">
      <alignment horizontal="left"/>
    </xf>
    <xf numFmtId="176" fontId="33" fillId="17" borderId="0" xfId="0" applyNumberFormat="1" applyFont="1" applyFill="1" applyBorder="1" applyAlignment="1">
      <alignment horizontal="right"/>
    </xf>
    <xf numFmtId="4" fontId="24" fillId="17" borderId="0" xfId="0" applyNumberFormat="1" applyFont="1" applyFill="1" applyBorder="1" applyAlignment="1">
      <alignment horizontal="right"/>
    </xf>
    <xf numFmtId="4" fontId="18" fillId="17" borderId="0" xfId="0" quotePrefix="1" applyNumberFormat="1" applyFont="1" applyFill="1" applyBorder="1" applyAlignment="1">
      <alignment horizontal="right"/>
    </xf>
    <xf numFmtId="4" fontId="31" fillId="17" borderId="0" xfId="0" quotePrefix="1" applyNumberFormat="1" applyFont="1" applyFill="1" applyBorder="1" applyAlignment="1">
      <alignment horizontal="right"/>
    </xf>
    <xf numFmtId="37" fontId="33" fillId="17" borderId="0" xfId="0" applyNumberFormat="1" applyFont="1" applyFill="1" applyBorder="1" applyAlignment="1">
      <alignment horizontal="right"/>
    </xf>
    <xf numFmtId="0" fontId="17" fillId="17" borderId="0" xfId="0" applyFont="1" applyFill="1" applyBorder="1" applyAlignment="1"/>
    <xf numFmtId="0" fontId="18" fillId="17" borderId="0" xfId="0" applyFont="1" applyFill="1" applyBorder="1" applyAlignment="1"/>
    <xf numFmtId="39" fontId="34" fillId="17" borderId="0" xfId="0" applyNumberFormat="1" applyFont="1" applyFill="1" applyBorder="1" applyAlignment="1">
      <alignment horizontal="right"/>
    </xf>
    <xf numFmtId="39" fontId="18" fillId="17" borderId="0" xfId="0" applyNumberFormat="1" applyFont="1" applyFill="1" applyBorder="1" applyAlignment="1">
      <alignment horizontal="right"/>
    </xf>
    <xf numFmtId="166" fontId="18" fillId="17" borderId="0" xfId="0" applyNumberFormat="1" applyFont="1" applyFill="1" applyBorder="1" applyAlignment="1">
      <alignment horizontal="right"/>
    </xf>
    <xf numFmtId="39" fontId="18" fillId="18" borderId="11" xfId="0" applyNumberFormat="1" applyFont="1" applyFill="1" applyBorder="1" applyAlignment="1">
      <alignment horizontal="right"/>
    </xf>
    <xf numFmtId="4" fontId="18" fillId="17" borderId="0" xfId="0" applyNumberFormat="1" applyFont="1" applyFill="1" applyBorder="1" applyAlignment="1">
      <alignment horizontal="right"/>
    </xf>
    <xf numFmtId="0" fontId="21" fillId="0" borderId="0" xfId="0" applyFont="1" applyFill="1" applyBorder="1"/>
    <xf numFmtId="0" fontId="17" fillId="0" borderId="0" xfId="0" applyNumberFormat="1" applyFont="1" applyFill="1" applyBorder="1"/>
    <xf numFmtId="166" fontId="21" fillId="0" borderId="0" xfId="0" applyNumberFormat="1" applyFont="1" applyFill="1" applyBorder="1" applyAlignment="1">
      <alignment horizontal="right"/>
    </xf>
    <xf numFmtId="3" fontId="24" fillId="0" borderId="0" xfId="0" applyNumberFormat="1" applyFont="1" applyFill="1" applyAlignment="1">
      <alignment horizontal="right"/>
    </xf>
    <xf numFmtId="166" fontId="18" fillId="0" borderId="0" xfId="0" applyNumberFormat="1" applyFont="1" applyFill="1" applyBorder="1" applyAlignment="1">
      <alignment horizontal="right"/>
    </xf>
    <xf numFmtId="165" fontId="21" fillId="0" borderId="0" xfId="0" applyNumberFormat="1" applyFont="1" applyFill="1" applyBorder="1" applyAlignment="1">
      <alignment horizontal="right"/>
    </xf>
    <xf numFmtId="165" fontId="18" fillId="0" borderId="0" xfId="0" applyNumberFormat="1" applyFont="1" applyFill="1" applyBorder="1" applyAlignment="1">
      <alignment horizontal="right"/>
    </xf>
    <xf numFmtId="0" fontId="18" fillId="0" borderId="0" xfId="0" applyNumberFormat="1" applyFont="1" applyFill="1" applyBorder="1" applyAlignment="1">
      <alignment horizontal="left"/>
    </xf>
    <xf numFmtId="0" fontId="18" fillId="0" borderId="0" xfId="0" applyNumberFormat="1" applyFont="1" applyFill="1" applyBorder="1"/>
    <xf numFmtId="0" fontId="17" fillId="0" borderId="0" xfId="0" applyFont="1" applyFill="1" applyBorder="1"/>
    <xf numFmtId="167" fontId="17" fillId="0" borderId="0" xfId="0" applyNumberFormat="1" applyFont="1" applyFill="1" applyBorder="1" applyAlignment="1">
      <alignment horizontal="right"/>
    </xf>
    <xf numFmtId="3" fontId="20" fillId="0" borderId="0" xfId="0" applyNumberFormat="1" applyFont="1" applyFill="1" applyAlignment="1">
      <alignment horizontal="right"/>
    </xf>
    <xf numFmtId="167" fontId="18" fillId="0" borderId="0" xfId="0" applyNumberFormat="1" applyFont="1" applyFill="1" applyBorder="1" applyAlignment="1">
      <alignment horizontal="right"/>
    </xf>
    <xf numFmtId="167" fontId="24" fillId="0" borderId="0" xfId="0" applyNumberFormat="1" applyFont="1" applyFill="1" applyAlignment="1">
      <alignment horizontal="right"/>
    </xf>
    <xf numFmtId="4" fontId="24" fillId="0" borderId="0" xfId="0" applyNumberFormat="1" applyFont="1" applyFill="1" applyAlignment="1">
      <alignment horizontal="right"/>
    </xf>
    <xf numFmtId="176" fontId="18" fillId="0" borderId="0" xfId="0" applyNumberFormat="1" applyFont="1" applyFill="1" applyBorder="1" applyAlignment="1">
      <alignment horizontal="right"/>
    </xf>
    <xf numFmtId="176" fontId="24" fillId="0" borderId="0" xfId="0" applyNumberFormat="1" applyFont="1" applyFill="1" applyAlignment="1">
      <alignment horizontal="right"/>
    </xf>
    <xf numFmtId="167" fontId="21" fillId="0" borderId="0" xfId="0" applyNumberFormat="1" applyFont="1" applyFill="1" applyBorder="1" applyAlignment="1">
      <alignment horizontal="right"/>
    </xf>
    <xf numFmtId="165" fontId="24" fillId="0" borderId="0" xfId="0" applyNumberFormat="1" applyFont="1" applyFill="1" applyAlignment="1">
      <alignment horizontal="right"/>
    </xf>
    <xf numFmtId="166" fontId="24" fillId="0" borderId="0" xfId="0" applyNumberFormat="1" applyFont="1" applyFill="1" applyAlignment="1">
      <alignment horizontal="right"/>
    </xf>
    <xf numFmtId="0" fontId="17" fillId="0" borderId="0" xfId="0" applyNumberFormat="1" applyFont="1" applyFill="1"/>
    <xf numFmtId="0" fontId="22" fillId="0" borderId="0" xfId="0" applyFont="1" applyFill="1" applyBorder="1"/>
    <xf numFmtId="165" fontId="17" fillId="0" borderId="0" xfId="0" applyNumberFormat="1" applyFont="1" applyFill="1" applyBorder="1" applyAlignment="1">
      <alignment horizontal="right"/>
    </xf>
    <xf numFmtId="3" fontId="36" fillId="0" borderId="0" xfId="0" applyNumberFormat="1" applyFont="1" applyFill="1" applyAlignment="1">
      <alignment horizontal="right"/>
    </xf>
    <xf numFmtId="41" fontId="17" fillId="0" borderId="0" xfId="0" applyNumberFormat="1" applyFont="1" applyFill="1" applyBorder="1"/>
    <xf numFmtId="0" fontId="31" fillId="0" borderId="0" xfId="0" applyFont="1" applyFill="1" applyBorder="1"/>
    <xf numFmtId="3" fontId="24" fillId="18" borderId="0" xfId="0" applyNumberFormat="1" applyFont="1" applyFill="1" applyAlignment="1">
      <alignment horizontal="right"/>
    </xf>
    <xf numFmtId="0" fontId="17" fillId="0" borderId="0" xfId="0" applyFont="1" applyBorder="1" applyAlignment="1">
      <alignment horizontal="left"/>
    </xf>
    <xf numFmtId="167" fontId="17" fillId="0" borderId="0" xfId="0" applyNumberFormat="1" applyFont="1" applyFill="1" applyBorder="1"/>
    <xf numFmtId="3" fontId="17" fillId="0" borderId="0" xfId="0" applyNumberFormat="1" applyFont="1" applyFill="1" applyAlignment="1">
      <alignment horizontal="right"/>
    </xf>
    <xf numFmtId="167" fontId="23" fillId="0" borderId="0" xfId="0" applyNumberFormat="1" applyFont="1" applyFill="1" applyBorder="1"/>
    <xf numFmtId="165" fontId="18" fillId="0" borderId="0" xfId="0" applyNumberFormat="1" applyFont="1" applyFill="1" applyBorder="1"/>
    <xf numFmtId="165" fontId="21" fillId="0" borderId="0" xfId="0" applyNumberFormat="1" applyFont="1" applyFill="1" applyBorder="1"/>
    <xf numFmtId="0" fontId="21" fillId="0" borderId="0" xfId="0" applyFont="1"/>
    <xf numFmtId="165" fontId="31" fillId="0" borderId="0" xfId="0" applyNumberFormat="1" applyFont="1" applyFill="1" applyBorder="1"/>
    <xf numFmtId="167" fontId="21" fillId="0" borderId="0" xfId="0" applyNumberFormat="1" applyFont="1" applyFill="1" applyBorder="1"/>
    <xf numFmtId="167" fontId="18" fillId="0" borderId="0" xfId="0" applyNumberFormat="1" applyFont="1" applyFill="1" applyBorder="1"/>
    <xf numFmtId="166" fontId="18" fillId="0" borderId="0" xfId="0" applyNumberFormat="1" applyFont="1" applyFill="1" applyBorder="1"/>
    <xf numFmtId="166" fontId="21" fillId="0" borderId="0" xfId="0" applyNumberFormat="1" applyFont="1" applyFill="1" applyBorder="1"/>
    <xf numFmtId="166" fontId="21" fillId="0" borderId="0" xfId="2" applyNumberFormat="1" applyFont="1" applyFill="1" applyBorder="1">
      <alignment horizontal="right"/>
    </xf>
    <xf numFmtId="166" fontId="18" fillId="0" borderId="0" xfId="2" applyNumberFormat="1" applyFont="1" applyFill="1" applyBorder="1">
      <alignment horizontal="right"/>
    </xf>
    <xf numFmtId="166" fontId="31" fillId="0" borderId="0" xfId="0" applyNumberFormat="1" applyFont="1" applyFill="1" applyBorder="1"/>
    <xf numFmtId="0" fontId="18" fillId="0" borderId="0" xfId="0" applyFont="1" applyFill="1"/>
    <xf numFmtId="167" fontId="18" fillId="18" borderId="0" xfId="0" applyNumberFormat="1" applyFont="1" applyFill="1" applyBorder="1" applyAlignment="1">
      <alignment horizontal="right"/>
    </xf>
    <xf numFmtId="0" fontId="30" fillId="0" borderId="0" xfId="0" applyNumberFormat="1" applyFont="1" applyFill="1" applyBorder="1"/>
    <xf numFmtId="0" fontId="17" fillId="0" borderId="0" xfId="0" applyNumberFormat="1" applyFont="1" applyFill="1" applyBorder="1" applyAlignment="1">
      <alignment horizontal="left"/>
    </xf>
    <xf numFmtId="165" fontId="31" fillId="0" borderId="0" xfId="0" applyNumberFormat="1" applyFont="1" applyFill="1" applyBorder="1" applyAlignment="1">
      <alignment horizontal="right"/>
    </xf>
    <xf numFmtId="167" fontId="31" fillId="0" borderId="0" xfId="0" applyNumberFormat="1" applyFont="1" applyFill="1" applyBorder="1" applyAlignment="1">
      <alignment horizontal="right"/>
    </xf>
    <xf numFmtId="165" fontId="30" fillId="0" borderId="0" xfId="0" applyNumberFormat="1" applyFont="1" applyFill="1" applyBorder="1" applyAlignment="1">
      <alignment horizontal="right"/>
    </xf>
    <xf numFmtId="0" fontId="31" fillId="0" borderId="0" xfId="0" applyNumberFormat="1" applyFont="1" applyFill="1" applyBorder="1"/>
    <xf numFmtId="9" fontId="21" fillId="0" borderId="0" xfId="78" applyFont="1" applyFill="1" applyBorder="1" applyAlignment="1">
      <alignment horizontal="right"/>
    </xf>
    <xf numFmtId="9" fontId="18" fillId="0" borderId="0" xfId="78" applyFont="1" applyFill="1" applyBorder="1" applyAlignment="1">
      <alignment horizontal="right"/>
    </xf>
    <xf numFmtId="0" fontId="31" fillId="0" borderId="0" xfId="0" applyNumberFormat="1" applyFont="1" applyFill="1"/>
    <xf numFmtId="165" fontId="23" fillId="0" borderId="0" xfId="0" applyNumberFormat="1" applyFont="1" applyFill="1" applyBorder="1" applyAlignment="1">
      <alignment horizontal="right"/>
    </xf>
    <xf numFmtId="0" fontId="38" fillId="0" borderId="0" xfId="0" applyNumberFormat="1" applyFont="1" applyFill="1" applyBorder="1"/>
    <xf numFmtId="165" fontId="38" fillId="0" borderId="0" xfId="0" applyNumberFormat="1" applyFont="1" applyFill="1" applyBorder="1" applyAlignment="1">
      <alignment horizontal="right"/>
    </xf>
    <xf numFmtId="3" fontId="39" fillId="0" borderId="0" xfId="0" applyNumberFormat="1" applyFont="1" applyFill="1" applyAlignment="1">
      <alignment horizontal="right"/>
    </xf>
    <xf numFmtId="0" fontId="38" fillId="0" borderId="0" xfId="0" applyFont="1" applyFill="1" applyBorder="1"/>
    <xf numFmtId="167" fontId="38" fillId="0" borderId="0" xfId="0" applyNumberFormat="1" applyFont="1" applyFill="1" applyBorder="1" applyAlignment="1">
      <alignment horizontal="right"/>
    </xf>
    <xf numFmtId="0" fontId="22" fillId="0" borderId="0" xfId="0" applyNumberFormat="1" applyFont="1" applyFill="1" applyBorder="1"/>
    <xf numFmtId="0" fontId="22" fillId="0" borderId="0" xfId="0" applyFont="1" applyFill="1" applyBorder="1" applyAlignment="1">
      <alignment horizontal="right"/>
    </xf>
    <xf numFmtId="3" fontId="35" fillId="0" borderId="0" xfId="0" applyNumberFormat="1" applyFont="1" applyFill="1" applyBorder="1" applyAlignment="1">
      <alignment horizontal="right"/>
    </xf>
    <xf numFmtId="164" fontId="21" fillId="0" borderId="0" xfId="0" applyNumberFormat="1" applyFont="1" applyFill="1" applyBorder="1" applyAlignment="1">
      <alignment horizontal="right"/>
    </xf>
    <xf numFmtId="3" fontId="36" fillId="0" borderId="0" xfId="0" applyNumberFormat="1" applyFont="1" applyFill="1" applyBorder="1" applyAlignment="1">
      <alignment horizontal="right"/>
    </xf>
    <xf numFmtId="0" fontId="23" fillId="0" borderId="0" xfId="0" applyFont="1" applyFill="1" applyBorder="1"/>
    <xf numFmtId="166" fontId="31" fillId="0" borderId="0" xfId="0" applyNumberFormat="1" applyFont="1" applyFill="1" applyBorder="1" applyAlignment="1">
      <alignment horizontal="right"/>
    </xf>
    <xf numFmtId="0" fontId="40" fillId="0" borderId="0" xfId="0" applyFont="1" applyFill="1" applyBorder="1"/>
    <xf numFmtId="167" fontId="40" fillId="0" borderId="0" xfId="0" applyNumberFormat="1" applyFont="1" applyFill="1" applyBorder="1" applyAlignment="1">
      <alignment horizontal="right"/>
    </xf>
    <xf numFmtId="3" fontId="41" fillId="0" borderId="0" xfId="0" applyNumberFormat="1" applyFont="1" applyFill="1" applyAlignment="1">
      <alignment horizontal="right"/>
    </xf>
    <xf numFmtId="167" fontId="41" fillId="0" borderId="0" xfId="0" applyNumberFormat="1" applyFont="1" applyFill="1" applyAlignment="1">
      <alignment horizontal="right"/>
    </xf>
    <xf numFmtId="0" fontId="21" fillId="0" borderId="0" xfId="0" applyFont="1" applyFill="1" applyAlignment="1">
      <alignment horizontal="right"/>
    </xf>
    <xf numFmtId="167" fontId="18" fillId="0" borderId="0" xfId="0" applyNumberFormat="1" applyFont="1" applyFill="1"/>
    <xf numFmtId="166" fontId="21" fillId="0" borderId="0" xfId="0" applyNumberFormat="1" applyFont="1" applyFill="1"/>
    <xf numFmtId="166" fontId="18" fillId="0" borderId="0" xfId="0" applyNumberFormat="1" applyFont="1" applyFill="1"/>
    <xf numFmtId="167" fontId="18" fillId="0" borderId="0" xfId="2" applyNumberFormat="1" applyFont="1" applyFill="1" applyBorder="1">
      <alignment horizontal="right"/>
    </xf>
    <xf numFmtId="165" fontId="18" fillId="0" borderId="0" xfId="0" applyNumberFormat="1" applyFont="1" applyFill="1" applyAlignment="1">
      <alignment horizontal="right"/>
    </xf>
    <xf numFmtId="165" fontId="31" fillId="0" borderId="0" xfId="0" applyNumberFormat="1" applyFont="1" applyFill="1" applyAlignment="1">
      <alignment horizontal="right"/>
    </xf>
    <xf numFmtId="43" fontId="18" fillId="0" borderId="0" xfId="0" applyNumberFormat="1" applyFont="1" applyFill="1" applyBorder="1"/>
    <xf numFmtId="41" fontId="18" fillId="0" borderId="0" xfId="0" applyNumberFormat="1" applyFont="1" applyFill="1" applyBorder="1"/>
    <xf numFmtId="167" fontId="18" fillId="0" borderId="0" xfId="2" applyNumberFormat="1" applyFont="1" applyFill="1" applyBorder="1" applyAlignment="1"/>
    <xf numFmtId="166" fontId="18" fillId="0" borderId="0" xfId="2" applyNumberFormat="1" applyFont="1" applyFill="1" applyBorder="1" applyAlignment="1"/>
    <xf numFmtId="165" fontId="21" fillId="0" borderId="0" xfId="0" applyNumberFormat="1" applyFont="1" applyFill="1" applyAlignment="1">
      <alignment horizontal="right"/>
    </xf>
    <xf numFmtId="165" fontId="21" fillId="0" borderId="0" xfId="0" applyNumberFormat="1" applyFont="1" applyFill="1"/>
    <xf numFmtId="165" fontId="18" fillId="0" borderId="0" xfId="0" applyNumberFormat="1" applyFont="1" applyFill="1"/>
    <xf numFmtId="165" fontId="31" fillId="0" borderId="0" xfId="0" applyNumberFormat="1" applyFont="1" applyFill="1"/>
    <xf numFmtId="165" fontId="18" fillId="19" borderId="0" xfId="0" applyNumberFormat="1" applyFont="1" applyFill="1" applyBorder="1" applyAlignment="1">
      <alignment horizontal="right"/>
    </xf>
    <xf numFmtId="3" fontId="24" fillId="0" borderId="0" xfId="0" applyNumberFormat="1" applyFont="1" applyFill="1" applyBorder="1" applyAlignment="1">
      <alignment horizontal="right"/>
    </xf>
    <xf numFmtId="165" fontId="32" fillId="0" borderId="0" xfId="0" applyNumberFormat="1" applyFont="1" applyFill="1" applyBorder="1" applyAlignment="1">
      <alignment horizontal="right"/>
    </xf>
    <xf numFmtId="165" fontId="32" fillId="19" borderId="0" xfId="0" applyNumberFormat="1" applyFont="1" applyFill="1" applyBorder="1" applyAlignment="1">
      <alignment horizontal="right"/>
    </xf>
    <xf numFmtId="165" fontId="31" fillId="19" borderId="0" xfId="0" applyNumberFormat="1" applyFont="1" applyFill="1" applyBorder="1" applyAlignment="1">
      <alignment horizontal="right"/>
    </xf>
    <xf numFmtId="166" fontId="18" fillId="19" borderId="0" xfId="0" applyNumberFormat="1" applyFont="1" applyFill="1" applyBorder="1" applyAlignment="1">
      <alignment horizontal="right"/>
    </xf>
    <xf numFmtId="165" fontId="32" fillId="0" borderId="0" xfId="0" applyNumberFormat="1" applyFont="1" applyFill="1" applyAlignment="1">
      <alignment horizontal="right"/>
    </xf>
    <xf numFmtId="10" fontId="20" fillId="0" borderId="0" xfId="0" applyNumberFormat="1" applyFont="1" applyFill="1" applyAlignment="1">
      <alignment horizontal="right"/>
    </xf>
    <xf numFmtId="165" fontId="17" fillId="0" borderId="0" xfId="0" applyNumberFormat="1" applyFont="1" applyFill="1" applyAlignment="1">
      <alignment horizontal="right"/>
    </xf>
    <xf numFmtId="169" fontId="18" fillId="0" borderId="0" xfId="0" applyNumberFormat="1" applyFont="1" applyFill="1" applyAlignment="1">
      <alignment horizontal="right"/>
    </xf>
    <xf numFmtId="0" fontId="22" fillId="0" borderId="0" xfId="0" applyFont="1" applyFill="1" applyAlignment="1">
      <alignment horizontal="left"/>
    </xf>
    <xf numFmtId="3" fontId="21" fillId="0" borderId="0" xfId="0" applyNumberFormat="1" applyFont="1" applyFill="1" applyAlignment="1">
      <alignment horizontal="right"/>
    </xf>
    <xf numFmtId="10" fontId="17" fillId="0" borderId="0" xfId="0" applyNumberFormat="1" applyFont="1" applyFill="1" applyAlignment="1">
      <alignment horizontal="right"/>
    </xf>
    <xf numFmtId="10" fontId="36" fillId="0" borderId="0" xfId="0" applyNumberFormat="1" applyFont="1" applyFill="1" applyAlignment="1">
      <alignment horizontal="right"/>
    </xf>
    <xf numFmtId="0" fontId="24" fillId="0" borderId="0" xfId="0" applyFont="1" applyFill="1" applyBorder="1"/>
    <xf numFmtId="167" fontId="31" fillId="0" borderId="0" xfId="0" applyNumberFormat="1" applyFont="1" applyFill="1" applyAlignment="1">
      <alignment horizontal="right"/>
    </xf>
    <xf numFmtId="167" fontId="21" fillId="0" borderId="0" xfId="0" applyNumberFormat="1" applyFont="1" applyFill="1" applyAlignment="1">
      <alignment horizontal="right"/>
    </xf>
    <xf numFmtId="167" fontId="18" fillId="0" borderId="0" xfId="0" applyNumberFormat="1" applyFont="1" applyFill="1" applyAlignment="1">
      <alignment horizontal="right"/>
    </xf>
    <xf numFmtId="10" fontId="44" fillId="0" borderId="0" xfId="0" applyNumberFormat="1" applyFont="1" applyFill="1" applyAlignment="1">
      <alignment horizontal="right"/>
    </xf>
    <xf numFmtId="167" fontId="32" fillId="0" borderId="0" xfId="0" applyNumberFormat="1" applyFont="1" applyFill="1" applyAlignment="1">
      <alignment horizontal="right"/>
    </xf>
    <xf numFmtId="172" fontId="31" fillId="0" borderId="0" xfId="48" applyNumberFormat="1" applyFont="1" applyFill="1" applyAlignment="1">
      <alignment horizontal="right"/>
    </xf>
    <xf numFmtId="172" fontId="18" fillId="0" borderId="0" xfId="48" applyNumberFormat="1" applyFont="1" applyFill="1" applyAlignment="1">
      <alignment horizontal="right"/>
    </xf>
    <xf numFmtId="166" fontId="17" fillId="0" borderId="0" xfId="0" applyNumberFormat="1" applyFont="1" applyFill="1" applyAlignment="1">
      <alignment horizontal="right"/>
    </xf>
    <xf numFmtId="4" fontId="31" fillId="0" borderId="0" xfId="0" applyNumberFormat="1" applyFont="1" applyFill="1" applyAlignment="1">
      <alignment horizontal="right"/>
    </xf>
    <xf numFmtId="176" fontId="31" fillId="0" borderId="0" xfId="0" applyNumberFormat="1" applyFont="1" applyFill="1" applyAlignment="1">
      <alignment horizontal="right"/>
    </xf>
    <xf numFmtId="0" fontId="32" fillId="0" borderId="0" xfId="0" applyFont="1" applyFill="1" applyAlignment="1">
      <alignment horizontal="right"/>
    </xf>
    <xf numFmtId="167" fontId="17" fillId="0" borderId="0" xfId="0" applyNumberFormat="1" applyFont="1" applyFill="1" applyAlignment="1">
      <alignment horizontal="right"/>
    </xf>
    <xf numFmtId="167" fontId="43" fillId="0" borderId="0" xfId="0" applyNumberFormat="1" applyFont="1" applyFill="1" applyAlignment="1">
      <alignment horizontal="right"/>
    </xf>
    <xf numFmtId="0" fontId="17" fillId="0" borderId="0" xfId="0" applyFont="1" applyFill="1" applyBorder="1" applyAlignment="1">
      <alignment horizontal="left"/>
    </xf>
    <xf numFmtId="43" fontId="18" fillId="0" borderId="0" xfId="0" applyNumberFormat="1" applyFont="1" applyFill="1" applyAlignment="1">
      <alignment horizontal="right"/>
    </xf>
    <xf numFmtId="43" fontId="18" fillId="0" borderId="0" xfId="48" applyFont="1" applyFill="1" applyAlignment="1">
      <alignment horizontal="right"/>
    </xf>
    <xf numFmtId="173" fontId="21" fillId="0" borderId="0" xfId="48" applyNumberFormat="1" applyFont="1" applyFill="1" applyAlignment="1">
      <alignment horizontal="right"/>
    </xf>
    <xf numFmtId="173" fontId="18" fillId="0" borderId="0" xfId="0" applyNumberFormat="1" applyFont="1" applyFill="1" applyAlignment="1">
      <alignment horizontal="right"/>
    </xf>
    <xf numFmtId="173" fontId="24" fillId="0" borderId="0" xfId="0" applyNumberFormat="1" applyFont="1" applyFill="1" applyAlignment="1">
      <alignment horizontal="right"/>
    </xf>
    <xf numFmtId="166" fontId="31" fillId="0" borderId="0" xfId="0" applyNumberFormat="1" applyFont="1" applyFill="1" applyAlignment="1">
      <alignment horizontal="right"/>
    </xf>
    <xf numFmtId="166" fontId="17" fillId="0" borderId="0" xfId="0" applyNumberFormat="1" applyFont="1" applyFill="1" applyBorder="1" applyAlignment="1">
      <alignment horizontal="right"/>
    </xf>
    <xf numFmtId="0" fontId="32" fillId="0" borderId="0" xfId="0" applyNumberFormat="1" applyFont="1" applyFill="1"/>
    <xf numFmtId="166" fontId="23" fillId="0" borderId="0" xfId="0" applyNumberFormat="1" applyFont="1" applyFill="1" applyAlignment="1">
      <alignment horizontal="right"/>
    </xf>
    <xf numFmtId="10" fontId="45" fillId="0" borderId="0" xfId="0" applyNumberFormat="1" applyFont="1" applyFill="1" applyAlignment="1">
      <alignment horizontal="right"/>
    </xf>
    <xf numFmtId="0" fontId="32" fillId="0" borderId="0" xfId="0" applyFont="1" applyFill="1" applyBorder="1"/>
    <xf numFmtId="10" fontId="18" fillId="0" borderId="0" xfId="0" applyNumberFormat="1" applyFont="1" applyAlignment="1"/>
    <xf numFmtId="9" fontId="18" fillId="0" borderId="0" xfId="78" applyFont="1" applyFill="1" applyAlignment="1">
      <alignment horizontal="right"/>
    </xf>
    <xf numFmtId="1" fontId="18" fillId="0" borderId="0" xfId="0" applyNumberFormat="1" applyFont="1" applyFill="1" applyAlignment="1">
      <alignment horizontal="right"/>
    </xf>
    <xf numFmtId="2" fontId="18" fillId="0" borderId="0" xfId="0" applyNumberFormat="1" applyFont="1" applyFill="1" applyAlignment="1">
      <alignment horizontal="right"/>
    </xf>
    <xf numFmtId="0" fontId="18" fillId="0" borderId="0" xfId="0" applyFont="1" applyFill="1" applyAlignment="1">
      <alignment horizontal="left"/>
    </xf>
    <xf numFmtId="169" fontId="24" fillId="0" borderId="0" xfId="0" applyNumberFormat="1" applyFont="1" applyFill="1" applyAlignment="1">
      <alignment horizontal="right"/>
    </xf>
    <xf numFmtId="10" fontId="18" fillId="0" borderId="0" xfId="0" applyNumberFormat="1" applyFont="1" applyFill="1" applyAlignment="1"/>
    <xf numFmtId="0" fontId="17" fillId="0" borderId="0" xfId="0" applyFont="1" applyFill="1" applyBorder="1" applyAlignment="1">
      <alignment horizontal="right"/>
    </xf>
    <xf numFmtId="164" fontId="18" fillId="0" borderId="0" xfId="0" applyNumberFormat="1" applyFont="1" applyFill="1" applyBorder="1" applyAlignment="1">
      <alignment horizontal="right"/>
    </xf>
    <xf numFmtId="173" fontId="18" fillId="0" borderId="0" xfId="48" applyNumberFormat="1" applyFont="1" applyFill="1" applyAlignment="1">
      <alignment horizontal="right"/>
    </xf>
    <xf numFmtId="0" fontId="17" fillId="0" borderId="0" xfId="0" applyFont="1" applyFill="1" applyAlignment="1">
      <alignment horizontal="right"/>
    </xf>
    <xf numFmtId="43" fontId="18" fillId="0" borderId="0" xfId="48" applyNumberFormat="1" applyFont="1" applyFill="1" applyAlignment="1">
      <alignment horizontal="right"/>
    </xf>
    <xf numFmtId="0" fontId="9" fillId="0" borderId="0" xfId="0" applyFont="1"/>
    <xf numFmtId="168" fontId="18" fillId="18" borderId="12" xfId="0" applyNumberFormat="1" applyFont="1" applyFill="1" applyBorder="1" applyAlignment="1">
      <alignment horizontal="right"/>
    </xf>
    <xf numFmtId="165" fontId="30" fillId="0" borderId="0" xfId="0" applyNumberFormat="1" applyFont="1" applyFill="1" applyAlignment="1">
      <alignment horizontal="right"/>
    </xf>
    <xf numFmtId="165" fontId="40" fillId="0" borderId="0" xfId="0" applyNumberFormat="1" applyFont="1" applyFill="1" applyBorder="1" applyAlignment="1">
      <alignment horizontal="right"/>
    </xf>
    <xf numFmtId="168" fontId="18" fillId="17" borderId="0" xfId="0" applyNumberFormat="1" applyFont="1" applyFill="1" applyBorder="1" applyAlignment="1">
      <alignment horizontal="right"/>
    </xf>
    <xf numFmtId="37" fontId="18" fillId="17" borderId="0" xfId="0" applyNumberFormat="1" applyFont="1" applyFill="1" applyBorder="1" applyAlignment="1">
      <alignment horizontal="right"/>
    </xf>
    <xf numFmtId="39" fontId="21" fillId="18" borderId="12" xfId="0" applyNumberFormat="1" applyFont="1" applyFill="1" applyBorder="1" applyAlignment="1">
      <alignment horizontal="right"/>
    </xf>
    <xf numFmtId="3" fontId="36" fillId="17" borderId="0" xfId="0" applyNumberFormat="1" applyFont="1" applyFill="1" applyBorder="1" applyAlignment="1">
      <alignment horizontal="right"/>
    </xf>
    <xf numFmtId="39" fontId="21" fillId="18" borderId="0" xfId="0" applyNumberFormat="1" applyFont="1" applyFill="1" applyBorder="1" applyAlignment="1">
      <alignment horizontal="right"/>
    </xf>
    <xf numFmtId="1" fontId="24" fillId="0" borderId="0" xfId="48" applyNumberFormat="1" applyFont="1" applyFill="1" applyAlignment="1">
      <alignment horizontal="right"/>
    </xf>
    <xf numFmtId="174" fontId="18" fillId="0" borderId="0" xfId="0" applyNumberFormat="1" applyFont="1" applyFill="1" applyBorder="1" applyAlignment="1">
      <alignment horizontal="right"/>
    </xf>
    <xf numFmtId="43" fontId="21" fillId="0" borderId="0" xfId="48" applyFont="1" applyFill="1" applyAlignment="1">
      <alignment horizontal="right"/>
    </xf>
    <xf numFmtId="165" fontId="17" fillId="0" borderId="0" xfId="0" applyNumberFormat="1" applyFont="1" applyFill="1" applyBorder="1" applyAlignment="1">
      <alignment horizontal="left"/>
    </xf>
    <xf numFmtId="177" fontId="24" fillId="0" borderId="11" xfId="0" applyNumberFormat="1" applyFont="1" applyFill="1" applyBorder="1" applyAlignment="1">
      <alignment horizontal="right"/>
    </xf>
    <xf numFmtId="167" fontId="21" fillId="18" borderId="0" xfId="0" applyNumberFormat="1" applyFont="1" applyFill="1" applyBorder="1"/>
    <xf numFmtId="2" fontId="18" fillId="0" borderId="0" xfId="0" applyNumberFormat="1" applyFont="1" applyFill="1" applyBorder="1" applyAlignment="1">
      <alignment horizontal="right"/>
    </xf>
    <xf numFmtId="165" fontId="31" fillId="20" borderId="0" xfId="0" applyNumberFormat="1" applyFont="1" applyFill="1" applyAlignment="1">
      <alignment horizontal="right"/>
    </xf>
    <xf numFmtId="3" fontId="24" fillId="20" borderId="0" xfId="0" applyNumberFormat="1" applyFont="1" applyFill="1" applyAlignment="1">
      <alignment horizontal="right"/>
    </xf>
    <xf numFmtId="165" fontId="18" fillId="20" borderId="0" xfId="0" applyNumberFormat="1" applyFont="1" applyFill="1" applyAlignment="1">
      <alignment horizontal="right"/>
    </xf>
    <xf numFmtId="0" fontId="18" fillId="0" borderId="0" xfId="0" applyNumberFormat="1" applyFont="1" applyFill="1" applyAlignment="1">
      <alignment horizontal="right"/>
    </xf>
    <xf numFmtId="0" fontId="24" fillId="0" borderId="0" xfId="0" applyNumberFormat="1" applyFont="1" applyFill="1" applyAlignment="1">
      <alignment horizontal="right"/>
    </xf>
    <xf numFmtId="0" fontId="30" fillId="0" borderId="0" xfId="0" applyNumberFormat="1" applyFont="1" applyFill="1" applyAlignment="1">
      <alignment horizontal="right"/>
    </xf>
    <xf numFmtId="43" fontId="30" fillId="0" borderId="0" xfId="48" applyFont="1" applyFill="1" applyAlignment="1">
      <alignment horizontal="right"/>
    </xf>
    <xf numFmtId="165" fontId="31" fillId="16" borderId="0" xfId="0" applyNumberFormat="1" applyFont="1" applyFill="1" applyAlignment="1">
      <alignment horizontal="right"/>
    </xf>
    <xf numFmtId="165" fontId="32" fillId="16" borderId="0" xfId="0" applyNumberFormat="1" applyFont="1" applyFill="1" applyAlignment="1">
      <alignment horizontal="right"/>
    </xf>
    <xf numFmtId="165" fontId="31" fillId="16" borderId="0" xfId="0" quotePrefix="1" applyNumberFormat="1" applyFont="1" applyFill="1" applyAlignment="1"/>
    <xf numFmtId="3" fontId="24" fillId="16" borderId="0" xfId="0" applyNumberFormat="1" applyFont="1" applyFill="1" applyAlignment="1">
      <alignment horizontal="right"/>
    </xf>
    <xf numFmtId="0" fontId="40" fillId="0" borderId="0" xfId="0" applyNumberFormat="1" applyFont="1" applyFill="1" applyBorder="1"/>
    <xf numFmtId="0" fontId="40" fillId="0" borderId="0" xfId="0" applyNumberFormat="1" applyFont="1" applyFill="1" applyBorder="1" applyAlignment="1">
      <alignment horizontal="left"/>
    </xf>
    <xf numFmtId="166" fontId="40" fillId="0" borderId="0" xfId="0" applyNumberFormat="1" applyFont="1" applyFill="1" applyBorder="1" applyAlignment="1">
      <alignment horizontal="right"/>
    </xf>
    <xf numFmtId="0" fontId="40" fillId="0" borderId="0" xfId="0" applyFont="1"/>
    <xf numFmtId="167" fontId="40" fillId="0" borderId="0" xfId="0" applyNumberFormat="1" applyFont="1" applyFill="1" applyBorder="1"/>
    <xf numFmtId="0" fontId="40" fillId="0" borderId="0" xfId="0" applyFont="1" applyFill="1" applyAlignment="1">
      <alignment horizontal="right"/>
    </xf>
    <xf numFmtId="10" fontId="41" fillId="0" borderId="0" xfId="0" applyNumberFormat="1" applyFont="1" applyFill="1" applyAlignment="1">
      <alignment horizontal="right"/>
    </xf>
    <xf numFmtId="1" fontId="24" fillId="0" borderId="0" xfId="0" applyNumberFormat="1" applyFont="1" applyFill="1" applyBorder="1" applyAlignment="1">
      <alignment horizontal="right"/>
    </xf>
    <xf numFmtId="176" fontId="24" fillId="0" borderId="0" xfId="0" applyNumberFormat="1" applyFont="1" applyFill="1" applyBorder="1" applyAlignment="1">
      <alignment horizontal="right"/>
    </xf>
    <xf numFmtId="168" fontId="21" fillId="0" borderId="0" xfId="0" applyNumberFormat="1" applyFont="1" applyFill="1" applyBorder="1" applyAlignment="1">
      <alignment horizontal="right"/>
    </xf>
    <xf numFmtId="37" fontId="21" fillId="0" borderId="0" xfId="0" applyNumberFormat="1" applyFont="1" applyFill="1" applyBorder="1" applyAlignment="1">
      <alignment horizontal="right"/>
    </xf>
    <xf numFmtId="39" fontId="18" fillId="0" borderId="0" xfId="0" applyNumberFormat="1" applyFont="1" applyFill="1" applyBorder="1" applyAlignment="1">
      <alignment horizontal="right"/>
    </xf>
    <xf numFmtId="0" fontId="40" fillId="0" borderId="0" xfId="0" applyFont="1" applyFill="1"/>
    <xf numFmtId="0" fontId="18" fillId="0" borderId="0" xfId="0" applyNumberFormat="1" applyFont="1"/>
    <xf numFmtId="165" fontId="18" fillId="0" borderId="0" xfId="0" applyNumberFormat="1" applyFont="1"/>
    <xf numFmtId="0" fontId="17" fillId="17" borderId="0" xfId="0" applyNumberFormat="1" applyFont="1" applyFill="1" applyBorder="1"/>
    <xf numFmtId="165" fontId="17" fillId="17" borderId="0" xfId="0" applyNumberFormat="1" applyFont="1" applyFill="1" applyBorder="1" applyAlignment="1">
      <alignment horizontal="right"/>
    </xf>
    <xf numFmtId="3" fontId="24" fillId="17" borderId="0" xfId="0" applyNumberFormat="1" applyFont="1" applyFill="1" applyAlignment="1">
      <alignment horizontal="right"/>
    </xf>
    <xf numFmtId="165" fontId="24" fillId="17" borderId="0" xfId="0" applyNumberFormat="1" applyFont="1" applyFill="1" applyAlignment="1">
      <alignment horizontal="right"/>
    </xf>
    <xf numFmtId="165" fontId="24" fillId="17" borderId="0" xfId="0" applyNumberFormat="1" applyFont="1" applyFill="1" applyBorder="1" applyAlignment="1">
      <alignment horizontal="right"/>
    </xf>
    <xf numFmtId="0" fontId="18" fillId="21" borderId="13" xfId="0" applyFont="1" applyFill="1" applyBorder="1"/>
    <xf numFmtId="0" fontId="22" fillId="21" borderId="13" xfId="0" applyFont="1" applyFill="1" applyBorder="1"/>
    <xf numFmtId="166" fontId="21" fillId="21" borderId="13" xfId="0" applyNumberFormat="1" applyFont="1" applyFill="1" applyBorder="1" applyAlignment="1">
      <alignment horizontal="right"/>
    </xf>
    <xf numFmtId="3" fontId="21" fillId="21" borderId="13" xfId="0" applyNumberFormat="1" applyFont="1" applyFill="1" applyBorder="1" applyAlignment="1">
      <alignment horizontal="right"/>
    </xf>
    <xf numFmtId="166" fontId="18" fillId="21" borderId="13" xfId="0" applyNumberFormat="1" applyFont="1" applyFill="1" applyBorder="1" applyAlignment="1">
      <alignment horizontal="right"/>
    </xf>
    <xf numFmtId="0" fontId="40" fillId="0" borderId="0" xfId="0" applyFont="1" applyFill="1" applyBorder="1" applyAlignment="1">
      <alignment horizontal="left"/>
    </xf>
    <xf numFmtId="165" fontId="40" fillId="0" borderId="0" xfId="0" applyNumberFormat="1" applyFont="1" applyFill="1" applyAlignment="1">
      <alignment horizontal="right"/>
    </xf>
    <xf numFmtId="9" fontId="18" fillId="0" borderId="0" xfId="78" applyNumberFormat="1" applyFont="1" applyFill="1" applyAlignment="1">
      <alignment horizontal="right"/>
    </xf>
    <xf numFmtId="173" fontId="18" fillId="0" borderId="0" xfId="48" applyNumberFormat="1" applyFont="1" applyFill="1"/>
    <xf numFmtId="1" fontId="18" fillId="0" borderId="0" xfId="0" applyNumberFormat="1" applyFont="1" applyFill="1"/>
    <xf numFmtId="0" fontId="24" fillId="0" borderId="0" xfId="0" applyFont="1"/>
    <xf numFmtId="172" fontId="21" fillId="0" borderId="0" xfId="48" applyNumberFormat="1" applyFont="1" applyFill="1" applyBorder="1" applyAlignment="1">
      <alignment horizontal="right"/>
    </xf>
    <xf numFmtId="172" fontId="18" fillId="0" borderId="0" xfId="48" applyNumberFormat="1" applyFont="1" applyFill="1" applyBorder="1" applyAlignment="1">
      <alignment horizontal="right"/>
    </xf>
    <xf numFmtId="1" fontId="18" fillId="0" borderId="0" xfId="69" applyNumberFormat="1" applyFont="1" applyFill="1" applyBorder="1" applyAlignment="1">
      <alignment horizontal="left"/>
    </xf>
    <xf numFmtId="0" fontId="24" fillId="0" borderId="0" xfId="0" applyFont="1" applyBorder="1" applyAlignment="1">
      <alignment horizontal="left"/>
    </xf>
    <xf numFmtId="0" fontId="18" fillId="0" borderId="0" xfId="0" applyNumberFormat="1" applyFont="1" applyFill="1" applyAlignment="1">
      <alignment horizontal="left" indent="1"/>
    </xf>
    <xf numFmtId="0" fontId="18" fillId="20" borderId="0" xfId="0" applyFont="1" applyFill="1" applyBorder="1"/>
    <xf numFmtId="0" fontId="17" fillId="20" borderId="0" xfId="0" applyNumberFormat="1" applyFont="1" applyFill="1"/>
    <xf numFmtId="0" fontId="18" fillId="20" borderId="0" xfId="0" applyFont="1" applyFill="1" applyAlignment="1">
      <alignment horizontal="right"/>
    </xf>
    <xf numFmtId="10" fontId="24" fillId="20" borderId="0" xfId="0" applyNumberFormat="1" applyFont="1" applyFill="1" applyAlignment="1">
      <alignment horizontal="right"/>
    </xf>
    <xf numFmtId="0" fontId="18" fillId="20" borderId="0" xfId="0" applyFont="1" applyFill="1"/>
    <xf numFmtId="0" fontId="31" fillId="20" borderId="0" xfId="0" applyFont="1" applyFill="1" applyAlignment="1">
      <alignment horizontal="right"/>
    </xf>
    <xf numFmtId="0" fontId="18" fillId="20" borderId="0" xfId="0" applyNumberFormat="1" applyFont="1" applyFill="1"/>
    <xf numFmtId="165" fontId="21" fillId="20" borderId="0" xfId="0" applyNumberFormat="1" applyFont="1" applyFill="1" applyAlignment="1">
      <alignment horizontal="right"/>
    </xf>
    <xf numFmtId="167" fontId="31" fillId="20" borderId="0" xfId="0" applyNumberFormat="1" applyFont="1" applyFill="1" applyAlignment="1">
      <alignment horizontal="right"/>
    </xf>
    <xf numFmtId="167" fontId="18" fillId="20" borderId="0" xfId="0" applyNumberFormat="1" applyFont="1" applyFill="1" applyAlignment="1">
      <alignment horizontal="right"/>
    </xf>
    <xf numFmtId="166" fontId="31" fillId="20" borderId="0" xfId="0" applyNumberFormat="1" applyFont="1" applyFill="1" applyAlignment="1">
      <alignment horizontal="right"/>
    </xf>
    <xf numFmtId="172" fontId="18" fillId="0" borderId="0" xfId="0" applyNumberFormat="1" applyFont="1" applyFill="1" applyAlignment="1">
      <alignment horizontal="right"/>
    </xf>
    <xf numFmtId="0" fontId="18" fillId="0" borderId="0" xfId="0" applyFont="1" applyAlignment="1">
      <alignment horizontal="center"/>
    </xf>
    <xf numFmtId="0" fontId="17" fillId="0" borderId="0" xfId="0" applyFont="1" applyAlignment="1">
      <alignment horizontal="center"/>
    </xf>
    <xf numFmtId="9" fontId="24" fillId="0" borderId="0" xfId="78" applyFont="1"/>
    <xf numFmtId="9" fontId="24" fillId="0" borderId="0" xfId="78" applyFont="1" applyAlignment="1">
      <alignment horizontal="left" indent="1"/>
    </xf>
    <xf numFmtId="3" fontId="18" fillId="0" borderId="0" xfId="0" applyNumberFormat="1" applyFont="1"/>
    <xf numFmtId="37" fontId="18" fillId="0" borderId="0" xfId="0" applyNumberFormat="1" applyFont="1" applyFill="1"/>
    <xf numFmtId="37" fontId="18" fillId="0" borderId="0" xfId="0" applyNumberFormat="1" applyFont="1"/>
    <xf numFmtId="37" fontId="17" fillId="0" borderId="0" xfId="0" applyNumberFormat="1" applyFont="1" applyFill="1"/>
    <xf numFmtId="9" fontId="21" fillId="0" borderId="0" xfId="0" applyNumberFormat="1" applyFont="1"/>
    <xf numFmtId="0" fontId="18" fillId="22" borderId="0" xfId="0" applyFont="1" applyFill="1" applyBorder="1"/>
    <xf numFmtId="0" fontId="22" fillId="22" borderId="0" xfId="0" applyNumberFormat="1" applyFont="1" applyFill="1" applyBorder="1"/>
    <xf numFmtId="0" fontId="22" fillId="22" borderId="0" xfId="0" applyFont="1" applyFill="1" applyBorder="1" applyAlignment="1">
      <alignment horizontal="right"/>
    </xf>
    <xf numFmtId="3" fontId="35" fillId="22" borderId="0" xfId="0" applyNumberFormat="1" applyFont="1" applyFill="1" applyBorder="1" applyAlignment="1">
      <alignment horizontal="right"/>
    </xf>
    <xf numFmtId="0" fontId="17" fillId="22" borderId="0" xfId="0" applyFont="1" applyFill="1" applyBorder="1" applyAlignment="1">
      <alignment horizontal="right"/>
    </xf>
    <xf numFmtId="0" fontId="22" fillId="22" borderId="0" xfId="0" applyFont="1" applyFill="1" applyBorder="1"/>
    <xf numFmtId="0" fontId="30" fillId="23" borderId="0" xfId="0" applyFont="1" applyFill="1" applyAlignment="1">
      <alignment horizontal="right"/>
    </xf>
    <xf numFmtId="0" fontId="18" fillId="23" borderId="0" xfId="0" applyFont="1" applyFill="1" applyBorder="1"/>
    <xf numFmtId="164" fontId="18" fillId="23" borderId="0" xfId="0" applyNumberFormat="1" applyFont="1" applyFill="1" applyBorder="1" applyAlignment="1">
      <alignment horizontal="right"/>
    </xf>
    <xf numFmtId="164" fontId="21" fillId="23" borderId="0" xfId="0" applyNumberFormat="1" applyFont="1" applyFill="1" applyBorder="1" applyAlignment="1">
      <alignment horizontal="right"/>
    </xf>
    <xf numFmtId="1" fontId="21" fillId="23" borderId="0" xfId="0" applyNumberFormat="1" applyFont="1" applyFill="1" applyBorder="1" applyAlignment="1">
      <alignment horizontal="right"/>
    </xf>
    <xf numFmtId="176" fontId="21" fillId="23" borderId="0" xfId="0" applyNumberFormat="1" applyFont="1" applyFill="1" applyBorder="1" applyAlignment="1">
      <alignment horizontal="right"/>
    </xf>
    <xf numFmtId="3" fontId="21" fillId="23" borderId="0" xfId="0" applyNumberFormat="1" applyFont="1" applyFill="1" applyBorder="1" applyAlignment="1">
      <alignment horizontal="right"/>
    </xf>
    <xf numFmtId="4" fontId="21" fillId="23" borderId="0" xfId="0" applyNumberFormat="1" applyFont="1" applyFill="1" applyBorder="1" applyAlignment="1">
      <alignment horizontal="right"/>
    </xf>
    <xf numFmtId="0" fontId="31" fillId="23" borderId="0" xfId="0" applyFont="1" applyFill="1" applyAlignment="1">
      <alignment horizontal="right"/>
    </xf>
    <xf numFmtId="0" fontId="40" fillId="23" borderId="0" xfId="0" applyFont="1" applyFill="1" applyAlignment="1">
      <alignment horizontal="right"/>
    </xf>
    <xf numFmtId="166" fontId="21" fillId="23" borderId="0" xfId="0" applyNumberFormat="1" applyFont="1" applyFill="1" applyBorder="1" applyAlignment="1">
      <alignment horizontal="right"/>
    </xf>
    <xf numFmtId="165" fontId="21" fillId="23" borderId="0" xfId="0" applyNumberFormat="1" applyFont="1" applyFill="1" applyBorder="1" applyAlignment="1">
      <alignment horizontal="right"/>
    </xf>
    <xf numFmtId="165" fontId="40" fillId="23" borderId="0" xfId="0" applyNumberFormat="1" applyFont="1" applyFill="1" applyBorder="1" applyAlignment="1">
      <alignment horizontal="right"/>
    </xf>
    <xf numFmtId="167" fontId="21" fillId="23" borderId="0" xfId="0" applyNumberFormat="1" applyFont="1" applyFill="1" applyBorder="1" applyAlignment="1">
      <alignment horizontal="right"/>
    </xf>
    <xf numFmtId="167" fontId="23" fillId="23" borderId="0" xfId="0" applyNumberFormat="1" applyFont="1" applyFill="1" applyBorder="1" applyAlignment="1">
      <alignment horizontal="right"/>
    </xf>
    <xf numFmtId="167" fontId="18" fillId="23" borderId="0" xfId="0" applyNumberFormat="1" applyFont="1" applyFill="1" applyBorder="1" applyAlignment="1">
      <alignment horizontal="right"/>
    </xf>
    <xf numFmtId="165" fontId="23" fillId="23" borderId="0" xfId="0" applyNumberFormat="1" applyFont="1" applyFill="1" applyBorder="1" applyAlignment="1">
      <alignment horizontal="right"/>
    </xf>
    <xf numFmtId="167" fontId="40" fillId="23" borderId="0" xfId="0" applyNumberFormat="1" applyFont="1" applyFill="1" applyBorder="1" applyAlignment="1">
      <alignment horizontal="right"/>
    </xf>
    <xf numFmtId="166" fontId="23" fillId="23" borderId="0" xfId="0" applyNumberFormat="1" applyFont="1" applyFill="1" applyBorder="1" applyAlignment="1">
      <alignment horizontal="right"/>
    </xf>
    <xf numFmtId="166" fontId="18" fillId="23" borderId="0" xfId="0" applyNumberFormat="1" applyFont="1" applyFill="1"/>
    <xf numFmtId="166" fontId="21" fillId="23" borderId="13" xfId="0" applyNumberFormat="1" applyFont="1" applyFill="1" applyBorder="1"/>
    <xf numFmtId="167" fontId="38" fillId="23" borderId="0" xfId="0" applyNumberFormat="1" applyFont="1" applyFill="1" applyBorder="1" applyAlignment="1">
      <alignment horizontal="right"/>
    </xf>
    <xf numFmtId="167" fontId="64" fillId="23" borderId="0" xfId="0" applyNumberFormat="1" applyFont="1" applyFill="1" applyBorder="1" applyAlignment="1">
      <alignment horizontal="right"/>
    </xf>
    <xf numFmtId="165" fontId="18" fillId="23" borderId="0" xfId="0" applyNumberFormat="1" applyFont="1" applyFill="1" applyBorder="1" applyAlignment="1">
      <alignment horizontal="right"/>
    </xf>
    <xf numFmtId="167" fontId="30" fillId="23" borderId="0" xfId="0" applyNumberFormat="1" applyFont="1" applyFill="1" applyAlignment="1">
      <alignment horizontal="right"/>
    </xf>
    <xf numFmtId="166" fontId="21" fillId="23" borderId="0" xfId="0" applyNumberFormat="1" applyFont="1" applyFill="1"/>
    <xf numFmtId="167" fontId="21" fillId="23" borderId="0" xfId="0" applyNumberFormat="1" applyFont="1" applyFill="1" applyAlignment="1">
      <alignment horizontal="right"/>
    </xf>
    <xf numFmtId="166" fontId="21" fillId="23" borderId="0" xfId="0" applyNumberFormat="1" applyFont="1" applyFill="1" applyAlignment="1">
      <alignment horizontal="right"/>
    </xf>
    <xf numFmtId="166" fontId="40" fillId="23" borderId="0" xfId="0" applyNumberFormat="1" applyFont="1" applyFill="1" applyAlignment="1">
      <alignment horizontal="right"/>
    </xf>
    <xf numFmtId="165" fontId="21" fillId="23" borderId="0" xfId="0" applyNumberFormat="1" applyFont="1" applyFill="1" applyAlignment="1">
      <alignment horizontal="right"/>
    </xf>
    <xf numFmtId="167" fontId="18" fillId="23" borderId="0" xfId="0" applyNumberFormat="1" applyFont="1" applyFill="1"/>
    <xf numFmtId="166" fontId="18" fillId="23" borderId="0" xfId="0" applyNumberFormat="1" applyFont="1" applyFill="1" applyAlignment="1">
      <alignment horizontal="right"/>
    </xf>
    <xf numFmtId="165" fontId="18" fillId="23" borderId="0" xfId="0" applyNumberFormat="1" applyFont="1" applyFill="1"/>
    <xf numFmtId="167" fontId="21" fillId="23" borderId="0" xfId="0" applyNumberFormat="1" applyFont="1" applyFill="1"/>
    <xf numFmtId="165" fontId="21" fillId="23" borderId="0" xfId="0" applyNumberFormat="1" applyFont="1" applyFill="1"/>
    <xf numFmtId="166" fontId="21" fillId="23" borderId="13" xfId="0" applyNumberFormat="1" applyFont="1" applyFill="1" applyBorder="1" applyAlignment="1">
      <alignment horizontal="right"/>
    </xf>
    <xf numFmtId="0" fontId="42" fillId="23" borderId="0" xfId="0" applyFont="1" applyFill="1" applyAlignment="1">
      <alignment horizontal="right"/>
    </xf>
    <xf numFmtId="0" fontId="30" fillId="23" borderId="0" xfId="0" applyNumberFormat="1" applyFont="1" applyFill="1" applyAlignment="1">
      <alignment horizontal="right"/>
    </xf>
    <xf numFmtId="0" fontId="37" fillId="23" borderId="0" xfId="0" applyFont="1" applyFill="1" applyAlignment="1">
      <alignment horizontal="right"/>
    </xf>
    <xf numFmtId="0" fontId="18" fillId="23" borderId="0" xfId="0" applyFont="1" applyFill="1" applyAlignment="1">
      <alignment horizontal="right"/>
    </xf>
    <xf numFmtId="165" fontId="30" fillId="23" borderId="0" xfId="0" applyNumberFormat="1" applyFont="1" applyFill="1" applyAlignment="1">
      <alignment horizontal="right"/>
    </xf>
    <xf numFmtId="4" fontId="30" fillId="23" borderId="0" xfId="0" applyNumberFormat="1" applyFont="1" applyFill="1" applyAlignment="1">
      <alignment horizontal="right"/>
    </xf>
    <xf numFmtId="176" fontId="30" fillId="23" borderId="0" xfId="0" applyNumberFormat="1" applyFont="1" applyFill="1" applyAlignment="1">
      <alignment horizontal="right"/>
    </xf>
    <xf numFmtId="0" fontId="32" fillId="23" borderId="0" xfId="0" applyFont="1" applyFill="1" applyAlignment="1">
      <alignment horizontal="right"/>
    </xf>
    <xf numFmtId="166" fontId="30" fillId="23" borderId="0" xfId="0" applyNumberFormat="1" applyFont="1" applyFill="1" applyAlignment="1">
      <alignment horizontal="right"/>
    </xf>
    <xf numFmtId="0" fontId="18" fillId="23" borderId="0" xfId="0" applyNumberFormat="1" applyFont="1" applyFill="1"/>
    <xf numFmtId="167" fontId="18" fillId="23" borderId="0" xfId="0" applyNumberFormat="1" applyFont="1" applyFill="1" applyAlignment="1">
      <alignment horizontal="right"/>
    </xf>
    <xf numFmtId="0" fontId="24" fillId="23" borderId="0" xfId="0" applyFont="1" applyFill="1" applyAlignment="1">
      <alignment horizontal="right"/>
    </xf>
    <xf numFmtId="165" fontId="18" fillId="23" borderId="0" xfId="0" applyNumberFormat="1" applyFont="1" applyFill="1" applyAlignment="1">
      <alignment horizontal="right"/>
    </xf>
    <xf numFmtId="0" fontId="17" fillId="23" borderId="0" xfId="0" applyFont="1" applyFill="1" applyAlignment="1">
      <alignment horizontal="right"/>
    </xf>
    <xf numFmtId="1" fontId="18" fillId="23" borderId="0" xfId="0" applyNumberFormat="1" applyFont="1" applyFill="1" applyAlignment="1">
      <alignment horizontal="right"/>
    </xf>
    <xf numFmtId="0" fontId="18" fillId="23" borderId="0" xfId="0" applyFont="1" applyFill="1"/>
    <xf numFmtId="0" fontId="46" fillId="0" borderId="12" xfId="0" applyNumberFormat="1" applyFont="1" applyBorder="1"/>
    <xf numFmtId="0" fontId="18" fillId="0" borderId="0" xfId="0" applyFont="1" applyBorder="1"/>
    <xf numFmtId="0" fontId="25" fillId="22" borderId="0" xfId="0" applyFont="1" applyFill="1"/>
    <xf numFmtId="0" fontId="37" fillId="0" borderId="0" xfId="0" applyFont="1"/>
    <xf numFmtId="0" fontId="31" fillId="23" borderId="0" xfId="0" applyFont="1" applyFill="1"/>
    <xf numFmtId="0" fontId="67" fillId="0" borderId="0" xfId="0" applyNumberFormat="1" applyFont="1"/>
    <xf numFmtId="165" fontId="21" fillId="24" borderId="0" xfId="0" applyNumberFormat="1" applyFont="1" applyFill="1" applyBorder="1" applyAlignment="1">
      <alignment horizontal="right"/>
    </xf>
    <xf numFmtId="0" fontId="17" fillId="18" borderId="0" xfId="0" applyNumberFormat="1" applyFont="1" applyFill="1"/>
    <xf numFmtId="0" fontId="18" fillId="18" borderId="0" xfId="0" applyNumberFormat="1" applyFont="1" applyFill="1"/>
    <xf numFmtId="43" fontId="21" fillId="0" borderId="0" xfId="0" applyNumberFormat="1" applyFont="1" applyFill="1" applyAlignment="1">
      <alignment horizontal="right"/>
    </xf>
    <xf numFmtId="0" fontId="31" fillId="20" borderId="0" xfId="0" applyFont="1" applyFill="1" applyBorder="1"/>
    <xf numFmtId="0" fontId="32" fillId="20" borderId="0" xfId="0" applyNumberFormat="1" applyFont="1" applyFill="1"/>
    <xf numFmtId="166" fontId="23" fillId="20" borderId="0" xfId="0" applyNumberFormat="1" applyFont="1" applyFill="1" applyAlignment="1">
      <alignment horizontal="right"/>
    </xf>
    <xf numFmtId="10" fontId="45" fillId="20" borderId="0" xfId="0" applyNumberFormat="1" applyFont="1" applyFill="1" applyAlignment="1">
      <alignment horizontal="right"/>
    </xf>
    <xf numFmtId="166" fontId="17" fillId="20" borderId="0" xfId="0" applyNumberFormat="1" applyFont="1" applyFill="1" applyAlignment="1">
      <alignment horizontal="right"/>
    </xf>
    <xf numFmtId="0" fontId="32" fillId="20" borderId="0" xfId="0" applyFont="1" applyFill="1" applyAlignment="1">
      <alignment horizontal="right"/>
    </xf>
    <xf numFmtId="166" fontId="32" fillId="20" borderId="0" xfId="0" applyNumberFormat="1" applyFont="1" applyFill="1" applyAlignment="1">
      <alignment horizontal="right"/>
    </xf>
    <xf numFmtId="0" fontId="32" fillId="20" borderId="0" xfId="0" applyFont="1" applyFill="1" applyBorder="1"/>
    <xf numFmtId="174" fontId="21" fillId="0" borderId="0" xfId="0" applyNumberFormat="1" applyFont="1" applyFill="1" applyAlignment="1">
      <alignment horizontal="right"/>
    </xf>
    <xf numFmtId="10" fontId="18" fillId="0" borderId="0" xfId="0" applyNumberFormat="1" applyFont="1" applyFill="1" applyAlignment="1">
      <alignment horizontal="right"/>
    </xf>
    <xf numFmtId="0" fontId="65" fillId="0" borderId="0" xfId="0" applyNumberFormat="1" applyFont="1" applyFill="1"/>
    <xf numFmtId="166" fontId="17" fillId="0" borderId="14" xfId="0" applyNumberFormat="1" applyFont="1" applyFill="1" applyBorder="1" applyAlignment="1">
      <alignment horizontal="right"/>
    </xf>
    <xf numFmtId="166" fontId="18" fillId="0" borderId="14" xfId="0" applyNumberFormat="1" applyFont="1" applyFill="1" applyBorder="1" applyAlignment="1">
      <alignment horizontal="right"/>
    </xf>
    <xf numFmtId="166" fontId="31" fillId="0" borderId="14" xfId="0" applyNumberFormat="1" applyFont="1" applyFill="1" applyBorder="1" applyAlignment="1">
      <alignment horizontal="right"/>
    </xf>
    <xf numFmtId="166" fontId="17" fillId="20" borderId="14" xfId="0" applyNumberFormat="1" applyFont="1" applyFill="1" applyBorder="1" applyAlignment="1">
      <alignment horizontal="right"/>
    </xf>
    <xf numFmtId="165" fontId="21" fillId="25" borderId="0" xfId="0" applyNumberFormat="1" applyFont="1" applyFill="1" applyAlignment="1">
      <alignment horizontal="right"/>
    </xf>
    <xf numFmtId="3" fontId="24" fillId="25" borderId="0" xfId="0" applyNumberFormat="1" applyFont="1" applyFill="1" applyAlignment="1">
      <alignment horizontal="right"/>
    </xf>
    <xf numFmtId="0" fontId="17" fillId="0" borderId="11" xfId="0" applyFont="1" applyFill="1" applyBorder="1" applyAlignment="1">
      <alignment horizontal="right"/>
    </xf>
    <xf numFmtId="0" fontId="17" fillId="20" borderId="0" xfId="0" applyFont="1" applyFill="1" applyBorder="1" applyAlignment="1">
      <alignment horizontal="left"/>
    </xf>
    <xf numFmtId="0" fontId="17" fillId="20" borderId="0" xfId="0" applyFont="1" applyFill="1" applyBorder="1" applyAlignment="1">
      <alignment horizontal="right"/>
    </xf>
    <xf numFmtId="10" fontId="20" fillId="20" borderId="0" xfId="0" applyNumberFormat="1" applyFont="1" applyFill="1" applyBorder="1" applyAlignment="1">
      <alignment horizontal="right"/>
    </xf>
    <xf numFmtId="177" fontId="20" fillId="20" borderId="0" xfId="0" applyNumberFormat="1" applyFont="1" applyFill="1" applyBorder="1" applyAlignment="1">
      <alignment horizontal="right"/>
    </xf>
    <xf numFmtId="0" fontId="17" fillId="20" borderId="0" xfId="0" quotePrefix="1" applyFont="1" applyFill="1" applyBorder="1" applyAlignment="1">
      <alignment horizontal="right"/>
    </xf>
    <xf numFmtId="0" fontId="32" fillId="20" borderId="0" xfId="0" quotePrefix="1" applyFont="1" applyFill="1" applyBorder="1" applyAlignment="1">
      <alignment horizontal="right"/>
    </xf>
    <xf numFmtId="0" fontId="17" fillId="20" borderId="0" xfId="0" applyFont="1" applyFill="1"/>
    <xf numFmtId="0" fontId="18" fillId="20" borderId="0" xfId="0" applyFont="1" applyFill="1" applyBorder="1" applyAlignment="1">
      <alignment horizontal="left"/>
    </xf>
    <xf numFmtId="0" fontId="18" fillId="20" borderId="0" xfId="0" applyFont="1" applyFill="1" applyBorder="1" applyAlignment="1">
      <alignment horizontal="right"/>
    </xf>
    <xf numFmtId="10" fontId="24" fillId="20" borderId="0" xfId="0" applyNumberFormat="1" applyFont="1" applyFill="1" applyBorder="1" applyAlignment="1">
      <alignment horizontal="right"/>
    </xf>
    <xf numFmtId="177" fontId="24" fillId="20" borderId="0" xfId="0" applyNumberFormat="1" applyFont="1" applyFill="1" applyBorder="1" applyAlignment="1">
      <alignment horizontal="right"/>
    </xf>
    <xf numFmtId="0" fontId="18" fillId="20" borderId="0" xfId="0" quotePrefix="1" applyFont="1" applyFill="1" applyBorder="1" applyAlignment="1">
      <alignment horizontal="right"/>
    </xf>
    <xf numFmtId="0" fontId="31" fillId="20" borderId="0" xfId="0" quotePrefix="1" applyFont="1" applyFill="1" applyBorder="1" applyAlignment="1">
      <alignment horizontal="right"/>
    </xf>
    <xf numFmtId="10" fontId="43" fillId="20" borderId="0" xfId="0" applyNumberFormat="1" applyFont="1" applyFill="1" applyAlignment="1">
      <alignment horizontal="right"/>
    </xf>
    <xf numFmtId="0" fontId="21" fillId="20" borderId="0" xfId="0" applyFont="1" applyFill="1" applyAlignment="1">
      <alignment horizontal="right"/>
    </xf>
    <xf numFmtId="41" fontId="43" fillId="20" borderId="0" xfId="0" applyNumberFormat="1" applyFont="1" applyFill="1" applyAlignment="1">
      <alignment horizontal="right"/>
    </xf>
    <xf numFmtId="172" fontId="21" fillId="20" borderId="0" xfId="48" applyNumberFormat="1" applyFont="1" applyFill="1" applyBorder="1" applyAlignment="1">
      <alignment horizontal="right"/>
    </xf>
    <xf numFmtId="0" fontId="40" fillId="20" borderId="0" xfId="0" applyFont="1" applyFill="1" applyBorder="1"/>
    <xf numFmtId="0" fontId="40" fillId="20" borderId="0" xfId="0" applyFont="1" applyFill="1" applyAlignment="1">
      <alignment horizontal="right"/>
    </xf>
    <xf numFmtId="10" fontId="41" fillId="20" borderId="0" xfId="0" applyNumberFormat="1" applyFont="1" applyFill="1" applyAlignment="1">
      <alignment horizontal="right"/>
    </xf>
    <xf numFmtId="173" fontId="40" fillId="20" borderId="0" xfId="48" applyNumberFormat="1" applyFont="1" applyFill="1" applyBorder="1" applyAlignment="1">
      <alignment horizontal="right"/>
    </xf>
    <xf numFmtId="41" fontId="41" fillId="20" borderId="0" xfId="0" applyNumberFormat="1" applyFont="1" applyFill="1" applyAlignment="1">
      <alignment horizontal="right"/>
    </xf>
    <xf numFmtId="172" fontId="40" fillId="20" borderId="0" xfId="48" applyNumberFormat="1" applyFont="1" applyFill="1" applyBorder="1" applyAlignment="1">
      <alignment horizontal="right"/>
    </xf>
    <xf numFmtId="0" fontId="40" fillId="20" borderId="0" xfId="0" applyFont="1" applyFill="1"/>
    <xf numFmtId="41" fontId="43" fillId="20" borderId="0" xfId="0" applyNumberFormat="1" applyFont="1" applyFill="1" applyBorder="1" applyAlignment="1">
      <alignment horizontal="right"/>
    </xf>
    <xf numFmtId="172" fontId="18" fillId="20" borderId="0" xfId="48" applyNumberFormat="1" applyFont="1" applyFill="1" applyBorder="1" applyAlignment="1">
      <alignment horizontal="right"/>
    </xf>
    <xf numFmtId="41" fontId="31" fillId="20" borderId="0" xfId="0" applyNumberFormat="1" applyFont="1" applyFill="1" applyBorder="1"/>
    <xf numFmtId="41" fontId="32" fillId="20" borderId="0" xfId="0" applyNumberFormat="1" applyFont="1" applyFill="1" applyBorder="1"/>
    <xf numFmtId="165" fontId="18" fillId="20" borderId="0" xfId="0" applyNumberFormat="1" applyFont="1" applyFill="1" applyBorder="1" applyAlignment="1">
      <alignment horizontal="right"/>
    </xf>
    <xf numFmtId="165" fontId="17" fillId="20" borderId="0" xfId="0" applyNumberFormat="1" applyFont="1" applyFill="1" applyBorder="1" applyAlignment="1">
      <alignment horizontal="right"/>
    </xf>
    <xf numFmtId="165" fontId="18" fillId="20" borderId="0" xfId="0" applyNumberFormat="1" applyFont="1" applyFill="1"/>
    <xf numFmtId="165" fontId="17" fillId="20" borderId="0" xfId="0" applyNumberFormat="1" applyFont="1" applyFill="1"/>
    <xf numFmtId="166" fontId="17" fillId="20" borderId="0" xfId="0" applyNumberFormat="1" applyFont="1" applyFill="1"/>
    <xf numFmtId="1" fontId="18" fillId="20" borderId="0" xfId="0" applyNumberFormat="1" applyFont="1" applyFill="1" applyBorder="1" applyAlignment="1">
      <alignment horizontal="right"/>
    </xf>
    <xf numFmtId="1" fontId="18" fillId="20" borderId="0" xfId="0" applyNumberFormat="1" applyFont="1" applyFill="1" applyAlignment="1">
      <alignment horizontal="right"/>
    </xf>
    <xf numFmtId="164" fontId="23" fillId="23" borderId="0" xfId="0" applyNumberFormat="1" applyFont="1" applyFill="1" applyBorder="1" applyAlignment="1">
      <alignment horizontal="right"/>
    </xf>
    <xf numFmtId="0" fontId="17" fillId="23" borderId="0" xfId="0" applyFont="1" applyFill="1"/>
    <xf numFmtId="10" fontId="20" fillId="0" borderId="11" xfId="0" applyNumberFormat="1" applyFont="1" applyFill="1" applyBorder="1" applyAlignment="1">
      <alignment horizontal="right"/>
    </xf>
    <xf numFmtId="177" fontId="17" fillId="0" borderId="11" xfId="0" applyNumberFormat="1" applyFont="1" applyFill="1" applyBorder="1" applyAlignment="1">
      <alignment horizontal="right"/>
    </xf>
    <xf numFmtId="0" fontId="17" fillId="0" borderId="11" xfId="0" quotePrefix="1" applyFont="1" applyFill="1" applyBorder="1" applyAlignment="1">
      <alignment horizontal="right"/>
    </xf>
    <xf numFmtId="41" fontId="30" fillId="20" borderId="0" xfId="0" applyNumberFormat="1" applyFont="1" applyFill="1" applyBorder="1"/>
    <xf numFmtId="167" fontId="30" fillId="20" borderId="0" xfId="0" applyNumberFormat="1" applyFont="1" applyFill="1" applyBorder="1" applyAlignment="1">
      <alignment horizontal="right"/>
    </xf>
    <xf numFmtId="165" fontId="75" fillId="0" borderId="0" xfId="0" applyNumberFormat="1" applyFont="1" applyFill="1" applyAlignment="1">
      <alignment horizontal="right"/>
    </xf>
    <xf numFmtId="165" fontId="21" fillId="0" borderId="11" xfId="0" applyNumberFormat="1" applyFont="1" applyFill="1" applyBorder="1" applyAlignment="1">
      <alignment horizontal="right"/>
    </xf>
    <xf numFmtId="0" fontId="17" fillId="0" borderId="11" xfId="0" applyFont="1" applyBorder="1" applyAlignment="1">
      <alignment horizontal="right"/>
    </xf>
    <xf numFmtId="172" fontId="18" fillId="0" borderId="0" xfId="48" applyNumberFormat="1" applyFont="1"/>
    <xf numFmtId="173" fontId="18" fillId="0" borderId="0" xfId="48" applyNumberFormat="1" applyFont="1"/>
    <xf numFmtId="4" fontId="18" fillId="0" borderId="0" xfId="0" applyNumberFormat="1" applyFont="1"/>
    <xf numFmtId="176" fontId="18" fillId="0" borderId="0" xfId="0" applyNumberFormat="1" applyFont="1"/>
    <xf numFmtId="0" fontId="17" fillId="0" borderId="0" xfId="0" applyFont="1" applyFill="1"/>
    <xf numFmtId="3" fontId="18" fillId="0" borderId="0" xfId="0" applyNumberFormat="1" applyFont="1" applyFill="1"/>
    <xf numFmtId="4" fontId="18" fillId="0" borderId="0" xfId="0" applyNumberFormat="1" applyFont="1" applyFill="1"/>
    <xf numFmtId="176" fontId="18" fillId="0" borderId="0" xfId="0" applyNumberFormat="1" applyFont="1" applyFill="1"/>
    <xf numFmtId="0" fontId="25" fillId="0" borderId="0" xfId="0" applyFont="1"/>
    <xf numFmtId="173" fontId="17" fillId="20" borderId="0" xfId="48" applyNumberFormat="1" applyFont="1" applyFill="1"/>
    <xf numFmtId="173" fontId="17" fillId="0" borderId="0" xfId="48" applyNumberFormat="1" applyFont="1"/>
    <xf numFmtId="0" fontId="18" fillId="0" borderId="11" xfId="0" applyFont="1" applyBorder="1"/>
    <xf numFmtId="0" fontId="18" fillId="0" borderId="0" xfId="0" applyFont="1" applyAlignment="1">
      <alignment horizontal="left"/>
    </xf>
    <xf numFmtId="0" fontId="67" fillId="27" borderId="0" xfId="0" applyNumberFormat="1" applyFont="1" applyFill="1"/>
    <xf numFmtId="1" fontId="36" fillId="27" borderId="0" xfId="0" applyNumberFormat="1" applyFont="1" applyFill="1" applyAlignment="1">
      <alignment horizontal="right"/>
    </xf>
    <xf numFmtId="3" fontId="36" fillId="27" borderId="0" xfId="0" applyNumberFormat="1" applyFont="1" applyFill="1" applyAlignment="1">
      <alignment horizontal="right"/>
    </xf>
    <xf numFmtId="0" fontId="23" fillId="27" borderId="0" xfId="0" applyNumberFormat="1" applyFont="1" applyFill="1" applyBorder="1"/>
    <xf numFmtId="1" fontId="24" fillId="27" borderId="0" xfId="0" applyNumberFormat="1" applyFont="1" applyFill="1" applyBorder="1" applyAlignment="1">
      <alignment horizontal="right"/>
    </xf>
    <xf numFmtId="3" fontId="24" fillId="27" borderId="0" xfId="0" applyNumberFormat="1" applyFont="1" applyFill="1" applyBorder="1" applyAlignment="1">
      <alignment horizontal="right"/>
    </xf>
    <xf numFmtId="0" fontId="24" fillId="27" borderId="0" xfId="0" applyNumberFormat="1" applyFont="1" applyFill="1" applyBorder="1" applyAlignment="1">
      <alignment horizontal="right"/>
    </xf>
    <xf numFmtId="0" fontId="18" fillId="27" borderId="0" xfId="0" applyNumberFormat="1" applyFont="1" applyFill="1" applyBorder="1"/>
    <xf numFmtId="0" fontId="18" fillId="27" borderId="11" xfId="0" applyNumberFormat="1" applyFont="1" applyFill="1" applyBorder="1"/>
    <xf numFmtId="0" fontId="18" fillId="27" borderId="11" xfId="0" applyNumberFormat="1" applyFont="1" applyFill="1" applyBorder="1" applyAlignment="1">
      <alignment horizontal="right"/>
    </xf>
    <xf numFmtId="3" fontId="24" fillId="27" borderId="11" xfId="0" applyNumberFormat="1" applyFont="1" applyFill="1" applyBorder="1" applyAlignment="1">
      <alignment horizontal="right"/>
    </xf>
    <xf numFmtId="1" fontId="24" fillId="27" borderId="11" xfId="0" applyNumberFormat="1" applyFont="1" applyFill="1" applyBorder="1" applyAlignment="1">
      <alignment horizontal="right"/>
    </xf>
    <xf numFmtId="0" fontId="17" fillId="27" borderId="0" xfId="0" applyNumberFormat="1" applyFont="1" applyFill="1" applyBorder="1"/>
    <xf numFmtId="0" fontId="24" fillId="27" borderId="0" xfId="0" applyFont="1" applyFill="1" applyBorder="1" applyAlignment="1">
      <alignment horizontal="right"/>
    </xf>
    <xf numFmtId="164" fontId="18" fillId="27" borderId="0" xfId="0" applyNumberFormat="1" applyFont="1" applyFill="1" applyBorder="1" applyAlignment="1">
      <alignment horizontal="right"/>
    </xf>
    <xf numFmtId="165" fontId="18" fillId="27" borderId="0" xfId="0" applyNumberFormat="1" applyFont="1" applyFill="1" applyBorder="1" applyAlignment="1">
      <alignment horizontal="right"/>
    </xf>
    <xf numFmtId="173" fontId="18" fillId="27" borderId="0" xfId="48" applyNumberFormat="1" applyFont="1" applyFill="1" applyBorder="1" applyAlignment="1">
      <alignment horizontal="right"/>
    </xf>
    <xf numFmtId="173" fontId="17" fillId="27" borderId="0" xfId="48" applyNumberFormat="1" applyFont="1" applyFill="1" applyBorder="1" applyAlignment="1">
      <alignment horizontal="right"/>
    </xf>
    <xf numFmtId="165" fontId="17" fillId="27" borderId="0" xfId="0" applyNumberFormat="1" applyFont="1" applyFill="1" applyBorder="1" applyAlignment="1">
      <alignment horizontal="right"/>
    </xf>
    <xf numFmtId="0" fontId="18" fillId="27" borderId="0" xfId="0" applyFont="1" applyFill="1" applyBorder="1"/>
    <xf numFmtId="0" fontId="24" fillId="27" borderId="0" xfId="0" applyFont="1" applyFill="1" applyBorder="1"/>
    <xf numFmtId="167" fontId="24" fillId="27" borderId="0" xfId="0" applyNumberFormat="1" applyFont="1" applyFill="1" applyBorder="1" applyAlignment="1">
      <alignment horizontal="right"/>
    </xf>
    <xf numFmtId="167" fontId="18" fillId="27" borderId="0" xfId="0" applyNumberFormat="1" applyFont="1" applyFill="1" applyBorder="1" applyAlignment="1">
      <alignment horizontal="right"/>
    </xf>
    <xf numFmtId="166" fontId="18" fillId="27" borderId="0" xfId="0" applyNumberFormat="1" applyFont="1" applyFill="1" applyBorder="1" applyAlignment="1">
      <alignment horizontal="right"/>
    </xf>
    <xf numFmtId="166" fontId="37" fillId="27" borderId="0" xfId="0" applyNumberFormat="1" applyFont="1" applyFill="1" applyBorder="1" applyAlignment="1">
      <alignment horizontal="right"/>
    </xf>
    <xf numFmtId="3" fontId="37" fillId="27" borderId="0" xfId="0" applyNumberFormat="1" applyFont="1" applyFill="1" applyBorder="1" applyAlignment="1">
      <alignment horizontal="right"/>
    </xf>
    <xf numFmtId="167" fontId="37" fillId="27" borderId="0" xfId="0" applyNumberFormat="1" applyFont="1" applyFill="1" applyBorder="1" applyAlignment="1">
      <alignment horizontal="right"/>
    </xf>
    <xf numFmtId="1" fontId="37" fillId="27" borderId="0" xfId="0" applyNumberFormat="1" applyFont="1" applyFill="1" applyBorder="1" applyAlignment="1">
      <alignment horizontal="right"/>
    </xf>
    <xf numFmtId="166" fontId="21" fillId="27" borderId="0" xfId="0" applyNumberFormat="1" applyFont="1" applyFill="1" applyBorder="1" applyAlignment="1">
      <alignment horizontal="right"/>
    </xf>
    <xf numFmtId="3" fontId="36" fillId="27" borderId="0" xfId="0" applyNumberFormat="1" applyFont="1" applyFill="1" applyBorder="1" applyAlignment="1">
      <alignment horizontal="right"/>
    </xf>
    <xf numFmtId="1" fontId="36" fillId="27" borderId="0" xfId="0" applyNumberFormat="1" applyFont="1" applyFill="1" applyBorder="1" applyAlignment="1">
      <alignment horizontal="right"/>
    </xf>
    <xf numFmtId="165" fontId="24" fillId="27" borderId="0" xfId="0" applyNumberFormat="1" applyFont="1" applyFill="1" applyBorder="1" applyAlignment="1">
      <alignment horizontal="right"/>
    </xf>
    <xf numFmtId="166" fontId="32" fillId="23" borderId="0" xfId="0" applyNumberFormat="1" applyFont="1" applyFill="1" applyBorder="1" applyAlignment="1">
      <alignment horizontal="right"/>
    </xf>
    <xf numFmtId="3" fontId="43" fillId="23" borderId="0" xfId="0" applyNumberFormat="1" applyFont="1" applyFill="1" applyBorder="1" applyAlignment="1">
      <alignment horizontal="right"/>
    </xf>
    <xf numFmtId="0" fontId="43" fillId="23" borderId="0" xfId="0" applyNumberFormat="1" applyFont="1" applyFill="1" applyBorder="1" applyAlignment="1">
      <alignment horizontal="right"/>
    </xf>
    <xf numFmtId="1" fontId="43" fillId="23" borderId="0" xfId="0" applyNumberFormat="1" applyFont="1" applyFill="1" applyBorder="1" applyAlignment="1">
      <alignment horizontal="right"/>
    </xf>
    <xf numFmtId="166" fontId="43" fillId="23" borderId="0" xfId="0" applyNumberFormat="1" applyFont="1" applyFill="1" applyBorder="1" applyAlignment="1">
      <alignment horizontal="right"/>
    </xf>
    <xf numFmtId="0" fontId="37" fillId="0" borderId="0" xfId="0" applyNumberFormat="1" applyFont="1" applyFill="1" applyBorder="1"/>
    <xf numFmtId="166" fontId="37" fillId="0" borderId="0" xfId="0" applyNumberFormat="1" applyFont="1" applyFill="1" applyBorder="1" applyAlignment="1">
      <alignment horizontal="right"/>
    </xf>
    <xf numFmtId="3" fontId="37" fillId="0" borderId="0" xfId="0" applyNumberFormat="1" applyFont="1" applyFill="1" applyBorder="1" applyAlignment="1">
      <alignment horizontal="right"/>
    </xf>
    <xf numFmtId="1" fontId="37" fillId="0" borderId="0" xfId="0" applyNumberFormat="1" applyFont="1" applyFill="1" applyBorder="1" applyAlignment="1">
      <alignment horizontal="right"/>
    </xf>
    <xf numFmtId="167" fontId="37" fillId="0" borderId="0" xfId="0" applyNumberFormat="1" applyFont="1" applyFill="1" applyBorder="1" applyAlignment="1">
      <alignment horizontal="right"/>
    </xf>
    <xf numFmtId="166" fontId="22" fillId="22" borderId="0" xfId="0" applyNumberFormat="1" applyFont="1" applyFill="1" applyBorder="1" applyAlignment="1">
      <alignment horizontal="right"/>
    </xf>
    <xf numFmtId="3" fontId="79" fillId="22" borderId="0" xfId="0" applyNumberFormat="1" applyFont="1" applyFill="1" applyBorder="1" applyAlignment="1">
      <alignment horizontal="right"/>
    </xf>
    <xf numFmtId="1" fontId="79" fillId="22" borderId="0" xfId="0" applyNumberFormat="1" applyFont="1" applyFill="1" applyBorder="1" applyAlignment="1">
      <alignment horizontal="right"/>
    </xf>
    <xf numFmtId="166" fontId="17" fillId="27" borderId="0" xfId="0" applyNumberFormat="1" applyFont="1" applyFill="1" applyBorder="1" applyAlignment="1">
      <alignment horizontal="right"/>
    </xf>
    <xf numFmtId="43" fontId="17" fillId="27" borderId="0" xfId="48" applyNumberFormat="1" applyFont="1" applyFill="1" applyBorder="1" applyAlignment="1">
      <alignment horizontal="right"/>
    </xf>
    <xf numFmtId="43" fontId="24" fillId="27" borderId="0" xfId="0" applyNumberFormat="1" applyFont="1" applyFill="1" applyBorder="1" applyAlignment="1">
      <alignment horizontal="right"/>
    </xf>
    <xf numFmtId="43" fontId="17" fillId="27" borderId="0" xfId="0" applyNumberFormat="1" applyFont="1" applyFill="1" applyBorder="1" applyAlignment="1">
      <alignment horizontal="right"/>
    </xf>
    <xf numFmtId="166" fontId="36" fillId="27" borderId="0" xfId="0" applyNumberFormat="1" applyFont="1" applyFill="1" applyBorder="1" applyAlignment="1">
      <alignment horizontal="right"/>
    </xf>
    <xf numFmtId="167" fontId="18" fillId="27" borderId="0" xfId="48" applyNumberFormat="1" applyFont="1" applyFill="1" applyBorder="1"/>
    <xf numFmtId="2" fontId="24" fillId="27" borderId="0" xfId="0" quotePrefix="1" applyNumberFormat="1" applyFont="1" applyFill="1" applyAlignment="1">
      <alignment horizontal="left"/>
    </xf>
    <xf numFmtId="1" fontId="24" fillId="0" borderId="0" xfId="0" applyNumberFormat="1" applyFont="1" applyAlignment="1">
      <alignment horizontal="right"/>
    </xf>
    <xf numFmtId="3" fontId="24" fillId="0" borderId="0" xfId="0" applyNumberFormat="1" applyFont="1" applyAlignment="1">
      <alignment horizontal="right"/>
    </xf>
    <xf numFmtId="0" fontId="23" fillId="0" borderId="0" xfId="0" applyNumberFormat="1" applyFont="1" applyBorder="1"/>
    <xf numFmtId="1" fontId="24" fillId="0" borderId="0" xfId="0" applyNumberFormat="1" applyFont="1" applyBorder="1" applyAlignment="1">
      <alignment horizontal="right"/>
    </xf>
    <xf numFmtId="3" fontId="24" fillId="0" borderId="0" xfId="0" applyNumberFormat="1" applyFont="1" applyBorder="1" applyAlignment="1">
      <alignment horizontal="right"/>
    </xf>
    <xf numFmtId="0" fontId="24" fillId="0" borderId="0" xfId="0" applyNumberFormat="1" applyFont="1" applyBorder="1" applyAlignment="1">
      <alignment horizontal="right"/>
    </xf>
    <xf numFmtId="0" fontId="18" fillId="0" borderId="0" xfId="0" applyNumberFormat="1" applyFont="1" applyBorder="1"/>
    <xf numFmtId="0" fontId="18" fillId="0" borderId="11" xfId="0" applyNumberFormat="1" applyFont="1" applyBorder="1"/>
    <xf numFmtId="0" fontId="18" fillId="0" borderId="11" xfId="0" applyNumberFormat="1" applyFont="1" applyBorder="1" applyAlignment="1">
      <alignment horizontal="right"/>
    </xf>
    <xf numFmtId="3" fontId="24" fillId="0" borderId="11" xfId="0" applyNumberFormat="1" applyFont="1" applyBorder="1" applyAlignment="1">
      <alignment horizontal="right"/>
    </xf>
    <xf numFmtId="1" fontId="24" fillId="0" borderId="11" xfId="0" applyNumberFormat="1" applyFont="1" applyBorder="1" applyAlignment="1">
      <alignment horizontal="right"/>
    </xf>
    <xf numFmtId="0" fontId="24" fillId="0" borderId="0" xfId="0" applyFont="1" applyFill="1" applyBorder="1" applyAlignment="1">
      <alignment horizontal="right"/>
    </xf>
    <xf numFmtId="165" fontId="24" fillId="0" borderId="0" xfId="0" applyNumberFormat="1" applyFont="1" applyFill="1" applyBorder="1" applyAlignment="1">
      <alignment horizontal="right"/>
    </xf>
    <xf numFmtId="167" fontId="24" fillId="0" borderId="0" xfId="0" applyNumberFormat="1" applyFont="1" applyFill="1" applyBorder="1" applyAlignment="1">
      <alignment horizontal="right"/>
    </xf>
    <xf numFmtId="2" fontId="24" fillId="0" borderId="0" xfId="0" quotePrefix="1" applyNumberFormat="1" applyFont="1" applyAlignment="1">
      <alignment horizontal="left"/>
    </xf>
    <xf numFmtId="0" fontId="24" fillId="0" borderId="12" xfId="0" applyNumberFormat="1" applyFont="1" applyBorder="1"/>
    <xf numFmtId="0" fontId="24" fillId="0" borderId="12" xfId="0" applyNumberFormat="1" applyFont="1" applyBorder="1" applyAlignment="1">
      <alignment horizontal="right"/>
    </xf>
    <xf numFmtId="3" fontId="24" fillId="0" borderId="12" xfId="0" applyNumberFormat="1" applyFont="1" applyBorder="1" applyAlignment="1">
      <alignment horizontal="right"/>
    </xf>
    <xf numFmtId="1" fontId="24" fillId="0" borderId="12" xfId="0" applyNumberFormat="1" applyFont="1" applyBorder="1" applyAlignment="1">
      <alignment horizontal="right"/>
    </xf>
    <xf numFmtId="0" fontId="22" fillId="21" borderId="0" xfId="0" applyNumberFormat="1" applyFont="1" applyFill="1" applyBorder="1"/>
    <xf numFmtId="165" fontId="22" fillId="21" borderId="0" xfId="0" applyNumberFormat="1" applyFont="1" applyFill="1" applyBorder="1" applyAlignment="1">
      <alignment horizontal="right"/>
    </xf>
    <xf numFmtId="1" fontId="79" fillId="21" borderId="0" xfId="0" applyNumberFormat="1" applyFont="1" applyFill="1" applyBorder="1" applyAlignment="1">
      <alignment horizontal="right"/>
    </xf>
    <xf numFmtId="169" fontId="24" fillId="0" borderId="0" xfId="0" applyNumberFormat="1" applyFont="1" applyFill="1" applyBorder="1" applyAlignment="1">
      <alignment horizontal="right"/>
    </xf>
    <xf numFmtId="169" fontId="18" fillId="0" borderId="0" xfId="0" applyNumberFormat="1" applyFont="1" applyFill="1" applyBorder="1" applyAlignment="1">
      <alignment horizontal="right"/>
    </xf>
    <xf numFmtId="0" fontId="24" fillId="0" borderId="0" xfId="0" applyFont="1" applyAlignment="1">
      <alignment horizontal="right"/>
    </xf>
    <xf numFmtId="165" fontId="18" fillId="0" borderId="0" xfId="0" applyNumberFormat="1" applyFont="1" applyAlignment="1">
      <alignment horizontal="right"/>
    </xf>
    <xf numFmtId="0" fontId="22" fillId="21" borderId="0" xfId="0" applyNumberFormat="1" applyFont="1" applyFill="1" applyBorder="1" applyAlignment="1">
      <alignment horizontal="left"/>
    </xf>
    <xf numFmtId="3" fontId="79" fillId="21" borderId="0" xfId="0" applyNumberFormat="1" applyFont="1" applyFill="1" applyBorder="1" applyAlignment="1">
      <alignment horizontal="right"/>
    </xf>
    <xf numFmtId="0" fontId="17" fillId="0" borderId="0" xfId="0" applyNumberFormat="1" applyFont="1"/>
    <xf numFmtId="166" fontId="18" fillId="0" borderId="0" xfId="0" applyNumberFormat="1" applyFont="1" applyAlignment="1">
      <alignment horizontal="right"/>
    </xf>
    <xf numFmtId="0" fontId="17" fillId="0" borderId="0" xfId="0" applyFont="1" applyAlignment="1">
      <alignment horizontal="right"/>
    </xf>
    <xf numFmtId="0" fontId="20" fillId="0" borderId="0" xfId="0" applyNumberFormat="1" applyFont="1"/>
    <xf numFmtId="169" fontId="18" fillId="0" borderId="0" xfId="0" applyNumberFormat="1" applyFont="1"/>
    <xf numFmtId="171" fontId="18" fillId="0" borderId="0" xfId="0" applyNumberFormat="1" applyFont="1" applyFill="1" applyBorder="1" applyAlignment="1">
      <alignment horizontal="right"/>
    </xf>
    <xf numFmtId="175" fontId="18" fillId="0" borderId="0" xfId="0" applyNumberFormat="1" applyFont="1" applyFill="1" applyBorder="1" applyAlignment="1">
      <alignment horizontal="right"/>
    </xf>
    <xf numFmtId="2" fontId="24" fillId="0" borderId="0" xfId="0" applyNumberFormat="1" applyFont="1" applyFill="1" applyBorder="1" applyAlignment="1">
      <alignment horizontal="right"/>
    </xf>
    <xf numFmtId="0" fontId="18" fillId="0" borderId="0" xfId="0" applyFont="1" applyFill="1" applyBorder="1" applyProtection="1">
      <protection locked="0"/>
    </xf>
    <xf numFmtId="167" fontId="18" fillId="0" borderId="0" xfId="0" applyNumberFormat="1" applyFont="1" applyAlignment="1">
      <alignment horizontal="right"/>
    </xf>
    <xf numFmtId="165" fontId="17" fillId="0" borderId="0" xfId="0" applyNumberFormat="1" applyFont="1" applyAlignment="1">
      <alignment horizontal="right"/>
    </xf>
    <xf numFmtId="165" fontId="24" fillId="0" borderId="0" xfId="0" applyNumberFormat="1" applyFont="1" applyAlignment="1">
      <alignment horizontal="right"/>
    </xf>
    <xf numFmtId="165" fontId="79" fillId="21" borderId="0" xfId="0" applyNumberFormat="1" applyFont="1" applyFill="1" applyBorder="1" applyAlignment="1">
      <alignment horizontal="right"/>
    </xf>
    <xf numFmtId="166" fontId="24" fillId="0" borderId="0" xfId="0" applyNumberFormat="1" applyFont="1" applyFill="1" applyBorder="1" applyAlignment="1">
      <alignment horizontal="right"/>
    </xf>
    <xf numFmtId="0" fontId="21" fillId="27" borderId="0" xfId="0" applyFont="1" applyFill="1"/>
    <xf numFmtId="0" fontId="18" fillId="27" borderId="0" xfId="0" applyFont="1" applyFill="1"/>
    <xf numFmtId="0" fontId="37" fillId="27" borderId="0" xfId="0" applyFont="1" applyFill="1"/>
    <xf numFmtId="1" fontId="24" fillId="27" borderId="0" xfId="0" applyNumberFormat="1" applyFont="1" applyFill="1" applyAlignment="1">
      <alignment horizontal="right"/>
    </xf>
    <xf numFmtId="3" fontId="24" fillId="27" borderId="0" xfId="0" applyNumberFormat="1" applyFont="1" applyFill="1" applyAlignment="1">
      <alignment horizontal="right"/>
    </xf>
    <xf numFmtId="174" fontId="18" fillId="27" borderId="0" xfId="0" applyNumberFormat="1" applyFont="1" applyFill="1" applyBorder="1" applyAlignment="1">
      <alignment horizontal="right"/>
    </xf>
    <xf numFmtId="0" fontId="46" fillId="27" borderId="12" xfId="0" applyNumberFormat="1" applyFont="1" applyFill="1" applyBorder="1"/>
    <xf numFmtId="0" fontId="24" fillId="27" borderId="12" xfId="0" applyNumberFormat="1" applyFont="1" applyFill="1" applyBorder="1" applyAlignment="1">
      <alignment horizontal="right"/>
    </xf>
    <xf numFmtId="3" fontId="24" fillId="27" borderId="12" xfId="0" applyNumberFormat="1" applyFont="1" applyFill="1" applyBorder="1" applyAlignment="1">
      <alignment horizontal="right"/>
    </xf>
    <xf numFmtId="1" fontId="24" fillId="27" borderId="12" xfId="0" applyNumberFormat="1" applyFont="1" applyFill="1" applyBorder="1" applyAlignment="1">
      <alignment horizontal="right"/>
    </xf>
    <xf numFmtId="41" fontId="17" fillId="27" borderId="0" xfId="0" applyNumberFormat="1" applyFont="1" applyFill="1" applyBorder="1"/>
    <xf numFmtId="2" fontId="18" fillId="27" borderId="0" xfId="0" applyNumberFormat="1" applyFont="1" applyFill="1" applyBorder="1"/>
    <xf numFmtId="169" fontId="24" fillId="27" borderId="0" xfId="0" applyNumberFormat="1" applyFont="1" applyFill="1" applyBorder="1" applyAlignment="1">
      <alignment horizontal="right"/>
    </xf>
    <xf numFmtId="169" fontId="18" fillId="27" borderId="0" xfId="0" applyNumberFormat="1" applyFont="1" applyFill="1" applyBorder="1"/>
    <xf numFmtId="169" fontId="18" fillId="27" borderId="0" xfId="0" applyNumberFormat="1" applyFont="1" applyFill="1" applyBorder="1" applyAlignment="1">
      <alignment horizontal="right"/>
    </xf>
    <xf numFmtId="0" fontId="24" fillId="27" borderId="0" xfId="0" applyFont="1" applyFill="1" applyAlignment="1">
      <alignment horizontal="right"/>
    </xf>
    <xf numFmtId="0" fontId="18" fillId="27" borderId="0" xfId="0" applyNumberFormat="1" applyFont="1" applyFill="1"/>
    <xf numFmtId="165" fontId="18" fillId="27" borderId="0" xfId="0" applyNumberFormat="1" applyFont="1" applyFill="1" applyAlignment="1">
      <alignment horizontal="right"/>
    </xf>
    <xf numFmtId="0" fontId="80" fillId="0" borderId="0" xfId="0" applyNumberFormat="1" applyFont="1"/>
    <xf numFmtId="0" fontId="82" fillId="0" borderId="0" xfId="0" applyFont="1"/>
    <xf numFmtId="0" fontId="81" fillId="0" borderId="12" xfId="0" applyNumberFormat="1" applyFont="1" applyBorder="1"/>
    <xf numFmtId="0" fontId="82" fillId="0" borderId="0" xfId="0" applyFont="1" applyBorder="1"/>
    <xf numFmtId="0" fontId="82" fillId="22" borderId="0" xfId="0" applyFont="1" applyFill="1"/>
    <xf numFmtId="0" fontId="83" fillId="0" borderId="0" xfId="0" applyFont="1"/>
    <xf numFmtId="0" fontId="82" fillId="23" borderId="0" xfId="0" applyFont="1" applyFill="1"/>
    <xf numFmtId="0" fontId="84" fillId="0" borderId="0" xfId="0" applyFont="1"/>
    <xf numFmtId="1" fontId="84" fillId="0" borderId="0" xfId="0" applyNumberFormat="1" applyFont="1" applyAlignment="1">
      <alignment horizontal="right"/>
    </xf>
    <xf numFmtId="3" fontId="84" fillId="0" borderId="0" xfId="0" applyNumberFormat="1" applyFont="1" applyAlignment="1">
      <alignment horizontal="right"/>
    </xf>
    <xf numFmtId="10" fontId="84" fillId="0" borderId="0" xfId="0" applyNumberFormat="1" applyFont="1" applyAlignment="1">
      <alignment horizontal="right"/>
    </xf>
    <xf numFmtId="0" fontId="85" fillId="0" borderId="0" xfId="0" applyNumberFormat="1" applyFont="1" applyBorder="1"/>
    <xf numFmtId="1" fontId="84" fillId="0" borderId="0" xfId="0" applyNumberFormat="1" applyFont="1" applyBorder="1" applyAlignment="1">
      <alignment horizontal="right"/>
    </xf>
    <xf numFmtId="3" fontId="84" fillId="0" borderId="0" xfId="0" applyNumberFormat="1" applyFont="1" applyBorder="1" applyAlignment="1">
      <alignment horizontal="right"/>
    </xf>
    <xf numFmtId="10" fontId="84" fillId="0" borderId="0" xfId="0" applyNumberFormat="1" applyFont="1" applyBorder="1" applyAlignment="1">
      <alignment horizontal="right"/>
    </xf>
    <xf numFmtId="1" fontId="83" fillId="0" borderId="0" xfId="0" applyNumberFormat="1" applyFont="1" applyBorder="1" applyAlignment="1">
      <alignment horizontal="right"/>
    </xf>
    <xf numFmtId="0" fontId="84" fillId="0" borderId="12" xfId="0" applyNumberFormat="1" applyFont="1" applyBorder="1"/>
    <xf numFmtId="0" fontId="84" fillId="0" borderId="12" xfId="0" applyNumberFormat="1" applyFont="1" applyBorder="1" applyAlignment="1">
      <alignment horizontal="right"/>
    </xf>
    <xf numFmtId="3" fontId="84" fillId="0" borderId="12" xfId="0" applyNumberFormat="1" applyFont="1" applyBorder="1" applyAlignment="1">
      <alignment horizontal="right"/>
    </xf>
    <xf numFmtId="10" fontId="84" fillId="0" borderId="12" xfId="0" applyNumberFormat="1" applyFont="1" applyBorder="1" applyAlignment="1">
      <alignment horizontal="right"/>
    </xf>
    <xf numFmtId="1" fontId="84" fillId="0" borderId="12" xfId="0" applyNumberFormat="1" applyFont="1" applyBorder="1" applyAlignment="1">
      <alignment horizontal="right"/>
    </xf>
    <xf numFmtId="0" fontId="82" fillId="0" borderId="0" xfId="0" applyNumberFormat="1" applyFont="1" applyBorder="1"/>
    <xf numFmtId="0" fontId="84" fillId="0" borderId="0" xfId="0" applyNumberFormat="1" applyFont="1" applyBorder="1" applyAlignment="1">
      <alignment horizontal="right"/>
    </xf>
    <xf numFmtId="49" fontId="84" fillId="0" borderId="0" xfId="0" applyNumberFormat="1" applyFont="1" applyBorder="1" applyAlignment="1">
      <alignment horizontal="right"/>
    </xf>
    <xf numFmtId="0" fontId="82" fillId="0" borderId="11" xfId="0" applyNumberFormat="1" applyFont="1" applyBorder="1"/>
    <xf numFmtId="0" fontId="82" fillId="0" borderId="11" xfId="0" applyNumberFormat="1" applyFont="1" applyBorder="1" applyAlignment="1">
      <alignment horizontal="right"/>
    </xf>
    <xf numFmtId="3" fontId="84" fillId="0" borderId="11" xfId="0" applyNumberFormat="1" applyFont="1" applyBorder="1" applyAlignment="1">
      <alignment horizontal="right"/>
    </xf>
    <xf numFmtId="10" fontId="84" fillId="0" borderId="11" xfId="0" applyNumberFormat="1" applyFont="1" applyBorder="1" applyAlignment="1">
      <alignment horizontal="right"/>
    </xf>
    <xf numFmtId="1" fontId="84" fillId="0" borderId="11" xfId="0" applyNumberFormat="1" applyFont="1" applyBorder="1" applyAlignment="1">
      <alignment horizontal="right"/>
    </xf>
    <xf numFmtId="0" fontId="86" fillId="0" borderId="0" xfId="0" applyNumberFormat="1" applyFont="1" applyFill="1" applyBorder="1"/>
    <xf numFmtId="0" fontId="84" fillId="0" borderId="0" xfId="0" applyFont="1" applyFill="1" applyBorder="1" applyAlignment="1">
      <alignment horizontal="right"/>
    </xf>
    <xf numFmtId="3" fontId="84" fillId="0" borderId="0" xfId="0" applyNumberFormat="1" applyFont="1" applyFill="1" applyBorder="1" applyAlignment="1">
      <alignment horizontal="right"/>
    </xf>
    <xf numFmtId="10" fontId="87" fillId="0" borderId="0" xfId="0" applyNumberFormat="1" applyFont="1" applyFill="1" applyBorder="1" applyAlignment="1">
      <alignment horizontal="right"/>
    </xf>
    <xf numFmtId="0" fontId="82" fillId="0" borderId="0" xfId="0" applyNumberFormat="1" applyFont="1" applyFill="1" applyBorder="1"/>
    <xf numFmtId="165" fontId="82" fillId="0" borderId="0" xfId="0" applyNumberFormat="1" applyFont="1" applyFill="1" applyBorder="1" applyAlignment="1">
      <alignment horizontal="right"/>
    </xf>
    <xf numFmtId="165" fontId="86" fillId="0" borderId="0" xfId="0" applyNumberFormat="1" applyFont="1" applyFill="1" applyBorder="1" applyAlignment="1">
      <alignment horizontal="right"/>
    </xf>
    <xf numFmtId="0" fontId="83" fillId="0" borderId="0" xfId="0" applyNumberFormat="1" applyFont="1" applyFill="1" applyBorder="1"/>
    <xf numFmtId="166" fontId="83" fillId="0" borderId="0" xfId="0" applyNumberFormat="1" applyFont="1" applyFill="1" applyBorder="1" applyAlignment="1">
      <alignment horizontal="right"/>
    </xf>
    <xf numFmtId="3" fontId="83" fillId="0" borderId="0" xfId="0" applyNumberFormat="1" applyFont="1" applyFill="1" applyBorder="1" applyAlignment="1">
      <alignment horizontal="right"/>
    </xf>
    <xf numFmtId="167" fontId="83" fillId="0" borderId="0" xfId="0" applyNumberFormat="1" applyFont="1" applyFill="1" applyBorder="1" applyAlignment="1">
      <alignment horizontal="right"/>
    </xf>
    <xf numFmtId="167" fontId="82" fillId="0" borderId="0" xfId="0" applyNumberFormat="1" applyFont="1" applyFill="1" applyBorder="1" applyAlignment="1">
      <alignment horizontal="right"/>
    </xf>
    <xf numFmtId="165" fontId="84" fillId="0" borderId="0" xfId="0" applyNumberFormat="1" applyFont="1" applyFill="1" applyBorder="1" applyAlignment="1">
      <alignment horizontal="right"/>
    </xf>
    <xf numFmtId="0" fontId="90" fillId="22" borderId="0" xfId="0" applyNumberFormat="1" applyFont="1" applyFill="1" applyBorder="1"/>
    <xf numFmtId="166" fontId="90" fillId="22" borderId="0" xfId="0" applyNumberFormat="1" applyFont="1" applyFill="1" applyBorder="1" applyAlignment="1">
      <alignment horizontal="right"/>
    </xf>
    <xf numFmtId="3" fontId="91" fillId="22" borderId="0" xfId="0" applyNumberFormat="1" applyFont="1" applyFill="1" applyBorder="1" applyAlignment="1">
      <alignment horizontal="right"/>
    </xf>
    <xf numFmtId="166" fontId="92" fillId="22" borderId="0" xfId="0" applyNumberFormat="1" applyFont="1" applyFill="1" applyBorder="1" applyAlignment="1">
      <alignment horizontal="right"/>
    </xf>
    <xf numFmtId="0" fontId="93" fillId="23" borderId="0" xfId="0" applyNumberFormat="1" applyFont="1" applyFill="1" applyBorder="1"/>
    <xf numFmtId="166" fontId="86" fillId="23" borderId="0" xfId="0" applyNumberFormat="1" applyFont="1" applyFill="1" applyBorder="1" applyAlignment="1">
      <alignment horizontal="right"/>
    </xf>
    <xf numFmtId="3" fontId="84" fillId="23" borderId="0" xfId="0" applyNumberFormat="1" applyFont="1" applyFill="1" applyBorder="1" applyAlignment="1">
      <alignment horizontal="right"/>
    </xf>
    <xf numFmtId="166" fontId="87" fillId="23" borderId="0" xfId="0" applyNumberFormat="1" applyFont="1" applyFill="1" applyBorder="1" applyAlignment="1">
      <alignment horizontal="right"/>
    </xf>
    <xf numFmtId="167" fontId="84" fillId="0" borderId="0" xfId="0" applyNumberFormat="1" applyFont="1" applyFill="1" applyBorder="1" applyAlignment="1">
      <alignment horizontal="right"/>
    </xf>
    <xf numFmtId="166" fontId="82" fillId="0" borderId="0" xfId="0" applyNumberFormat="1" applyFont="1" applyFill="1" applyBorder="1" applyAlignment="1">
      <alignment horizontal="right"/>
    </xf>
    <xf numFmtId="166" fontId="84" fillId="0" borderId="0" xfId="0" applyNumberFormat="1" applyFont="1" applyFill="1" applyBorder="1" applyAlignment="1">
      <alignment horizontal="right"/>
    </xf>
    <xf numFmtId="2" fontId="84" fillId="0" borderId="0" xfId="0" quotePrefix="1" applyNumberFormat="1" applyFont="1" applyAlignment="1">
      <alignment horizontal="left"/>
    </xf>
    <xf numFmtId="167" fontId="87" fillId="0" borderId="0" xfId="0" applyNumberFormat="1" applyFont="1" applyFill="1" applyBorder="1" applyAlignment="1">
      <alignment horizontal="right"/>
    </xf>
    <xf numFmtId="0" fontId="90" fillId="21" borderId="0" xfId="0" applyNumberFormat="1" applyFont="1" applyFill="1" applyBorder="1"/>
    <xf numFmtId="165" fontId="90" fillId="21" borderId="0" xfId="0" applyNumberFormat="1" applyFont="1" applyFill="1" applyBorder="1" applyAlignment="1">
      <alignment horizontal="right"/>
    </xf>
    <xf numFmtId="1" fontId="91" fillId="21" borderId="0" xfId="0" applyNumberFormat="1" applyFont="1" applyFill="1" applyBorder="1" applyAlignment="1">
      <alignment horizontal="right"/>
    </xf>
    <xf numFmtId="166" fontId="82" fillId="0" borderId="0" xfId="0" applyNumberFormat="1" applyFont="1" applyFill="1" applyBorder="1"/>
    <xf numFmtId="165" fontId="82" fillId="0" borderId="0" xfId="0" applyNumberFormat="1" applyFont="1" applyAlignment="1">
      <alignment horizontal="right"/>
    </xf>
    <xf numFmtId="2" fontId="82" fillId="0" borderId="0" xfId="0" applyNumberFormat="1" applyFont="1" applyFill="1" applyBorder="1"/>
    <xf numFmtId="169" fontId="82" fillId="0" borderId="0" xfId="0" applyNumberFormat="1" applyFont="1" applyFill="1" applyBorder="1"/>
    <xf numFmtId="169" fontId="82" fillId="0" borderId="0" xfId="0" applyNumberFormat="1" applyFont="1" applyFill="1" applyBorder="1" applyAlignment="1">
      <alignment horizontal="right"/>
    </xf>
    <xf numFmtId="0" fontId="82" fillId="0" borderId="0" xfId="0" applyNumberFormat="1" applyFont="1"/>
    <xf numFmtId="0" fontId="84" fillId="0" borderId="0" xfId="0" applyFont="1" applyAlignment="1">
      <alignment horizontal="right"/>
    </xf>
    <xf numFmtId="0" fontId="90" fillId="21" borderId="0" xfId="0" applyNumberFormat="1" applyFont="1" applyFill="1" applyBorder="1" applyAlignment="1">
      <alignment horizontal="left"/>
    </xf>
    <xf numFmtId="3" fontId="91" fillId="21" borderId="0" xfId="0" applyNumberFormat="1" applyFont="1" applyFill="1" applyBorder="1" applyAlignment="1">
      <alignment horizontal="right"/>
    </xf>
    <xf numFmtId="0" fontId="82" fillId="0" borderId="0" xfId="0" applyNumberFormat="1" applyFont="1" applyFill="1" applyBorder="1" applyAlignment="1">
      <alignment horizontal="left"/>
    </xf>
    <xf numFmtId="0" fontId="86" fillId="0" borderId="0" xfId="0" applyNumberFormat="1" applyFont="1"/>
    <xf numFmtId="166" fontId="82" fillId="0" borderId="0" xfId="0" applyNumberFormat="1" applyFont="1" applyAlignment="1">
      <alignment horizontal="right"/>
    </xf>
    <xf numFmtId="0" fontId="86" fillId="0" borderId="0" xfId="0" applyFont="1" applyAlignment="1">
      <alignment horizontal="right"/>
    </xf>
    <xf numFmtId="10" fontId="86" fillId="0" borderId="0" xfId="0" applyNumberFormat="1" applyFont="1" applyAlignment="1">
      <alignment horizontal="right"/>
    </xf>
    <xf numFmtId="0" fontId="87" fillId="0" borderId="0" xfId="0" applyNumberFormat="1" applyFont="1"/>
    <xf numFmtId="2" fontId="82" fillId="0" borderId="0" xfId="0" applyNumberFormat="1" applyFont="1"/>
    <xf numFmtId="2" fontId="82" fillId="0" borderId="0" xfId="0" applyNumberFormat="1" applyFont="1" applyFill="1" applyBorder="1" applyAlignment="1">
      <alignment horizontal="right"/>
    </xf>
    <xf numFmtId="2" fontId="84" fillId="0" borderId="0" xfId="0" applyNumberFormat="1" applyFont="1" applyFill="1" applyBorder="1" applyAlignment="1">
      <alignment horizontal="right"/>
    </xf>
    <xf numFmtId="0" fontId="82" fillId="0" borderId="0" xfId="0" applyFont="1" applyFill="1" applyBorder="1" applyProtection="1">
      <protection locked="0"/>
    </xf>
    <xf numFmtId="41" fontId="82" fillId="0" borderId="0" xfId="0" applyNumberFormat="1" applyFont="1" applyFill="1" applyBorder="1"/>
    <xf numFmtId="167" fontId="92" fillId="21" borderId="0" xfId="0" applyNumberFormat="1" applyFont="1" applyFill="1" applyBorder="1" applyAlignment="1">
      <alignment horizontal="right"/>
    </xf>
    <xf numFmtId="167" fontId="82" fillId="0" borderId="0" xfId="0" applyNumberFormat="1" applyFont="1" applyAlignment="1">
      <alignment horizontal="right"/>
    </xf>
    <xf numFmtId="165" fontId="86" fillId="0" borderId="0" xfId="0" applyNumberFormat="1" applyFont="1" applyAlignment="1">
      <alignment horizontal="right"/>
    </xf>
    <xf numFmtId="0" fontId="80" fillId="27" borderId="0" xfId="0" applyNumberFormat="1" applyFont="1" applyFill="1"/>
    <xf numFmtId="1" fontId="84" fillId="27" borderId="0" xfId="0" applyNumberFormat="1" applyFont="1" applyFill="1" applyAlignment="1">
      <alignment horizontal="right"/>
    </xf>
    <xf numFmtId="3" fontId="84" fillId="27" borderId="0" xfId="0" applyNumberFormat="1" applyFont="1" applyFill="1" applyAlignment="1">
      <alignment horizontal="right"/>
    </xf>
    <xf numFmtId="10" fontId="84" fillId="27" borderId="0" xfId="0" applyNumberFormat="1" applyFont="1" applyFill="1" applyAlignment="1">
      <alignment horizontal="right"/>
    </xf>
    <xf numFmtId="169" fontId="84" fillId="27" borderId="0" xfId="0" applyNumberFormat="1" applyFont="1" applyFill="1" applyAlignment="1">
      <alignment horizontal="right"/>
    </xf>
    <xf numFmtId="0" fontId="82" fillId="27" borderId="0" xfId="0" applyFont="1" applyFill="1"/>
    <xf numFmtId="0" fontId="85" fillId="27" borderId="0" xfId="0" applyNumberFormat="1" applyFont="1" applyFill="1" applyBorder="1"/>
    <xf numFmtId="1" fontId="84" fillId="27" borderId="0" xfId="0" applyNumberFormat="1" applyFont="1" applyFill="1" applyBorder="1" applyAlignment="1">
      <alignment horizontal="right"/>
    </xf>
    <xf numFmtId="3" fontId="84" fillId="27" borderId="0" xfId="0" applyNumberFormat="1" applyFont="1" applyFill="1" applyBorder="1" applyAlignment="1">
      <alignment horizontal="right"/>
    </xf>
    <xf numFmtId="10" fontId="84" fillId="27" borderId="0" xfId="0" applyNumberFormat="1" applyFont="1" applyFill="1" applyBorder="1" applyAlignment="1">
      <alignment horizontal="right"/>
    </xf>
    <xf numFmtId="1" fontId="83" fillId="27" borderId="0" xfId="0" applyNumberFormat="1" applyFont="1" applyFill="1" applyBorder="1" applyAlignment="1">
      <alignment horizontal="right"/>
    </xf>
    <xf numFmtId="0" fontId="81" fillId="27" borderId="12" xfId="0" applyNumberFormat="1" applyFont="1" applyFill="1" applyBorder="1"/>
    <xf numFmtId="0" fontId="84" fillId="27" borderId="12" xfId="0" applyNumberFormat="1" applyFont="1" applyFill="1" applyBorder="1" applyAlignment="1">
      <alignment horizontal="right"/>
    </xf>
    <xf numFmtId="3" fontId="84" fillId="27" borderId="12" xfId="0" applyNumberFormat="1" applyFont="1" applyFill="1" applyBorder="1" applyAlignment="1">
      <alignment horizontal="right"/>
    </xf>
    <xf numFmtId="10" fontId="84" fillId="27" borderId="12" xfId="0" applyNumberFormat="1" applyFont="1" applyFill="1" applyBorder="1" applyAlignment="1">
      <alignment horizontal="right"/>
    </xf>
    <xf numFmtId="1" fontId="84" fillId="27" borderId="12" xfId="0" applyNumberFormat="1" applyFont="1" applyFill="1" applyBorder="1" applyAlignment="1">
      <alignment horizontal="right"/>
    </xf>
    <xf numFmtId="0" fontId="82" fillId="27" borderId="0" xfId="0" applyFont="1" applyFill="1" applyBorder="1"/>
    <xf numFmtId="0" fontId="82" fillId="27" borderId="0" xfId="0" applyNumberFormat="1" applyFont="1" applyFill="1" applyBorder="1"/>
    <xf numFmtId="0" fontId="84" fillId="27" borderId="0" xfId="0" applyNumberFormat="1" applyFont="1" applyFill="1" applyBorder="1" applyAlignment="1">
      <alignment horizontal="right"/>
    </xf>
    <xf numFmtId="49" fontId="84" fillId="27" borderId="0" xfId="0" applyNumberFormat="1" applyFont="1" applyFill="1" applyBorder="1" applyAlignment="1">
      <alignment horizontal="right"/>
    </xf>
    <xf numFmtId="0" fontId="82" fillId="27" borderId="11" xfId="0" applyNumberFormat="1" applyFont="1" applyFill="1" applyBorder="1"/>
    <xf numFmtId="0" fontId="82" fillId="27" borderId="11" xfId="0" applyNumberFormat="1" applyFont="1" applyFill="1" applyBorder="1" applyAlignment="1">
      <alignment horizontal="right"/>
    </xf>
    <xf numFmtId="3" fontId="84" fillId="27" borderId="11" xfId="0" applyNumberFormat="1" applyFont="1" applyFill="1" applyBorder="1" applyAlignment="1">
      <alignment horizontal="right"/>
    </xf>
    <xf numFmtId="10" fontId="84" fillId="27" borderId="11" xfId="0" applyNumberFormat="1" applyFont="1" applyFill="1" applyBorder="1" applyAlignment="1">
      <alignment horizontal="right"/>
    </xf>
    <xf numFmtId="1" fontId="84" fillId="27" borderId="11" xfId="0" applyNumberFormat="1" applyFont="1" applyFill="1" applyBorder="1" applyAlignment="1">
      <alignment horizontal="right"/>
    </xf>
    <xf numFmtId="0" fontId="86" fillId="27" borderId="0" xfId="0" applyNumberFormat="1" applyFont="1" applyFill="1" applyBorder="1"/>
    <xf numFmtId="0" fontId="84" fillId="27" borderId="0" xfId="0" applyFont="1" applyFill="1" applyBorder="1" applyAlignment="1">
      <alignment horizontal="right"/>
    </xf>
    <xf numFmtId="10" fontId="87" fillId="27" borderId="0" xfId="0" applyNumberFormat="1" applyFont="1" applyFill="1" applyBorder="1" applyAlignment="1">
      <alignment horizontal="right"/>
    </xf>
    <xf numFmtId="165" fontId="82" fillId="27" borderId="0" xfId="0" applyNumberFormat="1" applyFont="1" applyFill="1" applyBorder="1" applyAlignment="1">
      <alignment horizontal="right"/>
    </xf>
    <xf numFmtId="164" fontId="82" fillId="27" borderId="0" xfId="0" applyNumberFormat="1" applyFont="1" applyFill="1" applyBorder="1" applyAlignment="1">
      <alignment horizontal="right"/>
    </xf>
    <xf numFmtId="165" fontId="86" fillId="27" borderId="0" xfId="0" applyNumberFormat="1" applyFont="1" applyFill="1" applyBorder="1" applyAlignment="1">
      <alignment horizontal="right"/>
    </xf>
    <xf numFmtId="0" fontId="83" fillId="27" borderId="0" xfId="0" applyNumberFormat="1" applyFont="1" applyFill="1" applyBorder="1"/>
    <xf numFmtId="166" fontId="83" fillId="27" borderId="0" xfId="0" applyNumberFormat="1" applyFont="1" applyFill="1" applyBorder="1" applyAlignment="1">
      <alignment horizontal="right"/>
    </xf>
    <xf numFmtId="3" fontId="83" fillId="27" borderId="0" xfId="0" applyNumberFormat="1" applyFont="1" applyFill="1" applyBorder="1" applyAlignment="1">
      <alignment horizontal="right"/>
    </xf>
    <xf numFmtId="167" fontId="83" fillId="27" borderId="0" xfId="0" applyNumberFormat="1" applyFont="1" applyFill="1" applyBorder="1" applyAlignment="1">
      <alignment horizontal="right"/>
    </xf>
    <xf numFmtId="166" fontId="88" fillId="27" borderId="0" xfId="0" applyNumberFormat="1" applyFont="1" applyFill="1" applyBorder="1" applyAlignment="1">
      <alignment horizontal="right"/>
    </xf>
    <xf numFmtId="3" fontId="89" fillId="27" borderId="0" xfId="0" applyNumberFormat="1" applyFont="1" applyFill="1" applyBorder="1" applyAlignment="1">
      <alignment horizontal="right"/>
    </xf>
    <xf numFmtId="166" fontId="89" fillId="27" borderId="0" xfId="0" applyNumberFormat="1" applyFont="1" applyFill="1" applyBorder="1" applyAlignment="1">
      <alignment horizontal="right"/>
    </xf>
    <xf numFmtId="167" fontId="82" fillId="27" borderId="0" xfId="0" applyNumberFormat="1" applyFont="1" applyFill="1" applyBorder="1" applyAlignment="1">
      <alignment horizontal="right"/>
    </xf>
    <xf numFmtId="165" fontId="84" fillId="27" borderId="0" xfId="0" applyNumberFormat="1" applyFont="1" applyFill="1" applyBorder="1" applyAlignment="1">
      <alignment horizontal="right"/>
    </xf>
    <xf numFmtId="0" fontId="93" fillId="27" borderId="0" xfId="0" applyNumberFormat="1" applyFont="1" applyFill="1" applyBorder="1"/>
    <xf numFmtId="166" fontId="86" fillId="27" borderId="0" xfId="0" applyNumberFormat="1" applyFont="1" applyFill="1" applyBorder="1" applyAlignment="1">
      <alignment horizontal="right"/>
    </xf>
    <xf numFmtId="166" fontId="87" fillId="27" borderId="0" xfId="0" applyNumberFormat="1" applyFont="1" applyFill="1" applyBorder="1" applyAlignment="1">
      <alignment horizontal="right"/>
    </xf>
    <xf numFmtId="0" fontId="82" fillId="27" borderId="0" xfId="0" applyFont="1" applyFill="1" applyBorder="1" applyAlignment="1">
      <alignment horizontal="left"/>
    </xf>
    <xf numFmtId="167" fontId="84" fillId="27" borderId="0" xfId="0" applyNumberFormat="1" applyFont="1" applyFill="1" applyBorder="1" applyAlignment="1">
      <alignment horizontal="right"/>
    </xf>
    <xf numFmtId="166" fontId="82" fillId="27" borderId="0" xfId="0" applyNumberFormat="1" applyFont="1" applyFill="1" applyBorder="1" applyAlignment="1">
      <alignment horizontal="right"/>
    </xf>
    <xf numFmtId="166" fontId="84" fillId="27" borderId="0" xfId="0" applyNumberFormat="1" applyFont="1" applyFill="1" applyBorder="1" applyAlignment="1">
      <alignment horizontal="right"/>
    </xf>
    <xf numFmtId="167" fontId="82" fillId="27" borderId="0" xfId="48" applyNumberFormat="1" applyFont="1" applyFill="1" applyBorder="1"/>
    <xf numFmtId="2" fontId="84" fillId="27" borderId="0" xfId="0" quotePrefix="1" applyNumberFormat="1" applyFont="1" applyFill="1" applyAlignment="1">
      <alignment horizontal="left"/>
    </xf>
    <xf numFmtId="167" fontId="86" fillId="27" borderId="0" xfId="0" applyNumberFormat="1" applyFont="1" applyFill="1" applyBorder="1" applyAlignment="1">
      <alignment horizontal="right"/>
    </xf>
    <xf numFmtId="0" fontId="86" fillId="27" borderId="0" xfId="0" applyFont="1" applyFill="1" applyBorder="1" applyAlignment="1">
      <alignment horizontal="left"/>
    </xf>
    <xf numFmtId="167" fontId="87" fillId="27" borderId="0" xfId="0" applyNumberFormat="1" applyFont="1" applyFill="1" applyBorder="1" applyAlignment="1">
      <alignment horizontal="right"/>
    </xf>
    <xf numFmtId="0" fontId="83" fillId="27" borderId="0" xfId="0" applyFont="1" applyFill="1"/>
    <xf numFmtId="165" fontId="82" fillId="27" borderId="0" xfId="0" applyNumberFormat="1" applyFont="1" applyFill="1" applyBorder="1"/>
    <xf numFmtId="165" fontId="86" fillId="27" borderId="0" xfId="0" applyNumberFormat="1" applyFont="1" applyFill="1" applyBorder="1"/>
    <xf numFmtId="41" fontId="86" fillId="27" borderId="0" xfId="0" applyNumberFormat="1" applyFont="1" applyFill="1" applyBorder="1"/>
    <xf numFmtId="0" fontId="74" fillId="27" borderId="0" xfId="0" applyFont="1" applyFill="1" applyBorder="1"/>
    <xf numFmtId="9" fontId="21" fillId="0" borderId="0" xfId="0" applyNumberFormat="1" applyFont="1" applyFill="1" applyAlignment="1">
      <alignment horizontal="right"/>
    </xf>
    <xf numFmtId="3" fontId="21" fillId="0" borderId="0" xfId="0" applyNumberFormat="1" applyFont="1"/>
    <xf numFmtId="173" fontId="88" fillId="27" borderId="0" xfId="48" applyNumberFormat="1" applyFont="1" applyFill="1" applyBorder="1" applyAlignment="1">
      <alignment horizontal="right"/>
    </xf>
    <xf numFmtId="172" fontId="21" fillId="20" borderId="0" xfId="48" applyNumberFormat="1" applyFont="1" applyFill="1" applyBorder="1" applyAlignment="1">
      <alignment horizontal="right" wrapText="1"/>
    </xf>
    <xf numFmtId="167" fontId="21" fillId="27" borderId="0" xfId="0" applyNumberFormat="1" applyFont="1" applyFill="1" applyBorder="1" applyAlignment="1">
      <alignment horizontal="right"/>
    </xf>
    <xf numFmtId="0" fontId="18" fillId="0" borderId="11" xfId="0" applyFont="1" applyFill="1" applyBorder="1" applyAlignment="1">
      <alignment horizontal="left"/>
    </xf>
    <xf numFmtId="164" fontId="21" fillId="23" borderId="11" xfId="0" applyNumberFormat="1" applyFont="1" applyFill="1" applyBorder="1" applyAlignment="1">
      <alignment horizontal="right"/>
    </xf>
    <xf numFmtId="0" fontId="18" fillId="0" borderId="11" xfId="0" applyFont="1" applyFill="1" applyBorder="1" applyAlignment="1">
      <alignment horizontal="right"/>
    </xf>
    <xf numFmtId="3" fontId="24" fillId="26" borderId="0" xfId="0" applyNumberFormat="1" applyFont="1" applyFill="1" applyAlignment="1">
      <alignment horizontal="right"/>
    </xf>
    <xf numFmtId="165" fontId="94" fillId="0" borderId="0" xfId="0" applyNumberFormat="1" applyFont="1" applyFill="1" applyAlignment="1">
      <alignment horizontal="right"/>
    </xf>
    <xf numFmtId="166" fontId="95" fillId="0" borderId="0" xfId="0" applyNumberFormat="1" applyFont="1" applyFill="1" applyAlignment="1">
      <alignment horizontal="right"/>
    </xf>
    <xf numFmtId="167" fontId="96" fillId="0" borderId="0" xfId="0" applyNumberFormat="1" applyFont="1" applyFill="1" applyAlignment="1">
      <alignment horizontal="right"/>
    </xf>
    <xf numFmtId="165" fontId="96" fillId="0" borderId="0" xfId="0" applyNumberFormat="1" applyFont="1" applyFill="1" applyAlignment="1">
      <alignment horizontal="right"/>
    </xf>
    <xf numFmtId="9" fontId="21" fillId="0" borderId="0" xfId="78" applyFont="1" applyAlignment="1">
      <alignment horizontal="right"/>
    </xf>
    <xf numFmtId="165" fontId="95" fillId="0" borderId="0" xfId="0" applyNumberFormat="1" applyFont="1" applyFill="1" applyAlignment="1">
      <alignment horizontal="right"/>
    </xf>
    <xf numFmtId="4" fontId="96" fillId="28" borderId="0" xfId="0" applyNumberFormat="1" applyFont="1" applyFill="1"/>
    <xf numFmtId="172" fontId="76" fillId="28" borderId="0" xfId="48" applyNumberFormat="1" applyFont="1" applyFill="1"/>
    <xf numFmtId="166" fontId="94" fillId="0" borderId="0" xfId="0" applyNumberFormat="1" applyFont="1" applyFill="1" applyAlignment="1">
      <alignment horizontal="right"/>
    </xf>
    <xf numFmtId="173" fontId="96" fillId="0" borderId="0" xfId="48" applyNumberFormat="1" applyFont="1" applyFill="1" applyAlignment="1">
      <alignment horizontal="right"/>
    </xf>
    <xf numFmtId="173" fontId="31" fillId="0" borderId="0" xfId="48" applyNumberFormat="1" applyFont="1" applyFill="1" applyAlignment="1">
      <alignment horizontal="right"/>
    </xf>
    <xf numFmtId="3" fontId="17" fillId="0" borderId="11" xfId="0" applyNumberFormat="1" applyFont="1" applyFill="1" applyBorder="1" applyAlignment="1">
      <alignment horizontal="right"/>
    </xf>
    <xf numFmtId="0" fontId="17" fillId="29" borderId="0" xfId="0" applyFont="1" applyFill="1"/>
    <xf numFmtId="3" fontId="17" fillId="29" borderId="0" xfId="0" applyNumberFormat="1" applyFont="1" applyFill="1"/>
    <xf numFmtId="176" fontId="17" fillId="29" borderId="0" xfId="0" applyNumberFormat="1" applyFont="1" applyFill="1"/>
    <xf numFmtId="4" fontId="17" fillId="29" borderId="0" xfId="0" applyNumberFormat="1" applyFont="1" applyFill="1"/>
    <xf numFmtId="0" fontId="97" fillId="30" borderId="0" xfId="0" applyFont="1" applyFill="1"/>
    <xf numFmtId="173" fontId="97" fillId="30" borderId="0" xfId="48" applyNumberFormat="1" applyFont="1" applyFill="1"/>
    <xf numFmtId="0" fontId="17" fillId="27" borderId="0" xfId="0" applyFont="1" applyFill="1"/>
    <xf numFmtId="173" fontId="17" fillId="27" borderId="0" xfId="48" applyNumberFormat="1" applyFont="1" applyFill="1"/>
    <xf numFmtId="172" fontId="17" fillId="27" borderId="0" xfId="48" applyNumberFormat="1" applyFont="1" applyFill="1"/>
    <xf numFmtId="0" fontId="18" fillId="31" borderId="0" xfId="0" applyFont="1" applyFill="1" applyAlignment="1">
      <alignment horizontal="right"/>
    </xf>
    <xf numFmtId="0" fontId="18" fillId="31" borderId="0" xfId="0" applyFont="1" applyFill="1"/>
    <xf numFmtId="0" fontId="18" fillId="27" borderId="0" xfId="0" applyFont="1" applyFill="1" applyAlignment="1">
      <alignment horizontal="left" indent="1"/>
    </xf>
    <xf numFmtId="173" fontId="18" fillId="27" borderId="0" xfId="48" applyNumberFormat="1" applyFont="1" applyFill="1"/>
    <xf numFmtId="172" fontId="18" fillId="27" borderId="0" xfId="48" applyNumberFormat="1" applyFont="1" applyFill="1"/>
    <xf numFmtId="172" fontId="76" fillId="27" borderId="0" xfId="48" applyNumberFormat="1" applyFont="1" applyFill="1"/>
    <xf numFmtId="167" fontId="40" fillId="27" borderId="0" xfId="0" applyNumberFormat="1" applyFont="1" applyFill="1" applyBorder="1" applyAlignment="1">
      <alignment horizontal="right"/>
    </xf>
    <xf numFmtId="165" fontId="18" fillId="27" borderId="0" xfId="0" applyNumberFormat="1" applyFont="1" applyFill="1" applyBorder="1"/>
    <xf numFmtId="166" fontId="18" fillId="27" borderId="0" xfId="2" applyNumberFormat="1" applyFont="1" applyFill="1" applyBorder="1">
      <alignment horizontal="right"/>
    </xf>
    <xf numFmtId="165" fontId="21" fillId="27" borderId="0" xfId="0" applyNumberFormat="1" applyFont="1" applyFill="1" applyBorder="1" applyAlignment="1">
      <alignment horizontal="right"/>
    </xf>
    <xf numFmtId="0" fontId="31" fillId="27" borderId="0" xfId="0" applyFont="1" applyFill="1" applyBorder="1"/>
    <xf numFmtId="166" fontId="98" fillId="0" borderId="0" xfId="0" applyNumberFormat="1" applyFont="1" applyFill="1" applyAlignment="1">
      <alignment horizontal="right"/>
    </xf>
    <xf numFmtId="43" fontId="98" fillId="0" borderId="0" xfId="48" applyFont="1" applyFill="1" applyAlignment="1">
      <alignment horizontal="right"/>
    </xf>
    <xf numFmtId="3" fontId="24" fillId="32" borderId="0" xfId="0" applyNumberFormat="1" applyFont="1" applyFill="1" applyAlignment="1">
      <alignment horizontal="right"/>
    </xf>
    <xf numFmtId="165" fontId="31" fillId="27" borderId="0" xfId="0" applyNumberFormat="1" applyFont="1" applyFill="1" applyBorder="1" applyAlignment="1">
      <alignment horizontal="right"/>
    </xf>
    <xf numFmtId="0" fontId="18" fillId="27" borderId="0" xfId="0" applyFont="1" applyFill="1" applyAlignment="1">
      <alignment horizontal="right"/>
    </xf>
    <xf numFmtId="165" fontId="21" fillId="27" borderId="0" xfId="0" applyNumberFormat="1" applyFont="1" applyFill="1" applyAlignment="1">
      <alignment horizontal="right"/>
    </xf>
    <xf numFmtId="0" fontId="2" fillId="0" borderId="0" xfId="101"/>
    <xf numFmtId="173" fontId="24" fillId="27" borderId="0" xfId="0" applyNumberFormat="1" applyFont="1" applyFill="1" applyBorder="1" applyAlignment="1">
      <alignment horizontal="right"/>
    </xf>
    <xf numFmtId="3" fontId="21" fillId="0" borderId="0" xfId="0" applyNumberFormat="1" applyFont="1" applyAlignment="1">
      <alignment horizontal="right"/>
    </xf>
    <xf numFmtId="10" fontId="21" fillId="0" borderId="0" xfId="78" applyNumberFormat="1" applyFont="1"/>
    <xf numFmtId="167" fontId="18" fillId="27" borderId="0" xfId="0" applyNumberFormat="1" applyFont="1" applyFill="1" applyBorder="1"/>
    <xf numFmtId="167" fontId="40" fillId="27" borderId="0" xfId="0" applyNumberFormat="1" applyFont="1" applyFill="1" applyBorder="1"/>
    <xf numFmtId="165" fontId="32" fillId="27" borderId="0" xfId="0" applyNumberFormat="1" applyFont="1" applyFill="1" applyAlignment="1">
      <alignment horizontal="right"/>
    </xf>
    <xf numFmtId="167" fontId="31" fillId="27" borderId="0" xfId="0" applyNumberFormat="1" applyFont="1" applyFill="1" applyAlignment="1">
      <alignment horizontal="right"/>
    </xf>
    <xf numFmtId="166" fontId="21" fillId="27" borderId="0" xfId="0" applyNumberFormat="1" applyFont="1" applyFill="1" applyAlignment="1">
      <alignment horizontal="right"/>
    </xf>
    <xf numFmtId="173" fontId="18" fillId="27" borderId="0" xfId="48" applyNumberFormat="1" applyFont="1" applyFill="1" applyAlignment="1">
      <alignment horizontal="right"/>
    </xf>
    <xf numFmtId="165" fontId="40" fillId="27" borderId="0" xfId="0" applyNumberFormat="1" applyFont="1" applyFill="1" applyAlignment="1">
      <alignment horizontal="right"/>
    </xf>
    <xf numFmtId="3" fontId="41" fillId="27" borderId="0" xfId="0" applyNumberFormat="1" applyFont="1" applyFill="1" applyAlignment="1">
      <alignment horizontal="right"/>
    </xf>
    <xf numFmtId="37" fontId="97" fillId="30" borderId="0" xfId="48" applyNumberFormat="1" applyFont="1" applyFill="1"/>
    <xf numFmtId="14" fontId="18" fillId="0" borderId="0" xfId="0" applyNumberFormat="1" applyFont="1"/>
    <xf numFmtId="1" fontId="17" fillId="27" borderId="0" xfId="48" applyNumberFormat="1" applyFont="1" applyFill="1"/>
    <xf numFmtId="0" fontId="99" fillId="0" borderId="0" xfId="0" applyFont="1" applyFill="1" applyAlignment="1">
      <alignment horizontal="right"/>
    </xf>
    <xf numFmtId="10" fontId="100" fillId="0" borderId="0" xfId="0" applyNumberFormat="1" applyFont="1" applyFill="1" applyAlignment="1">
      <alignment horizontal="right"/>
    </xf>
    <xf numFmtId="0" fontId="99" fillId="0" borderId="0" xfId="0" applyFont="1" applyFill="1" applyBorder="1"/>
    <xf numFmtId="166" fontId="99" fillId="0" borderId="0" xfId="0" applyNumberFormat="1" applyFont="1" applyFill="1" applyAlignment="1">
      <alignment horizontal="right"/>
    </xf>
    <xf numFmtId="0" fontId="101" fillId="0" borderId="0" xfId="0" applyNumberFormat="1" applyFont="1" applyFill="1" applyAlignment="1">
      <alignment horizontal="right"/>
    </xf>
    <xf numFmtId="0" fontId="99" fillId="0" borderId="0" xfId="0" applyFont="1" applyFill="1"/>
    <xf numFmtId="0" fontId="99" fillId="0" borderId="0" xfId="0" applyNumberFormat="1" applyFont="1" applyFill="1"/>
    <xf numFmtId="0" fontId="99" fillId="0" borderId="0" xfId="0" quotePrefix="1" applyFont="1" applyBorder="1" applyAlignment="1">
      <alignment horizontal="right"/>
    </xf>
    <xf numFmtId="3" fontId="99" fillId="0" borderId="0" xfId="0" applyNumberFormat="1" applyFont="1" applyBorder="1" applyAlignment="1">
      <alignment horizontal="right"/>
    </xf>
    <xf numFmtId="0" fontId="99" fillId="0" borderId="0" xfId="0" quotePrefix="1" applyFont="1" applyFill="1" applyBorder="1" applyAlignment="1">
      <alignment horizontal="right"/>
    </xf>
    <xf numFmtId="0" fontId="99" fillId="0" borderId="0" xfId="0" applyFont="1" applyFill="1" applyBorder="1" applyAlignment="1">
      <alignment horizontal="right"/>
    </xf>
    <xf numFmtId="0" fontId="99" fillId="0" borderId="0" xfId="0" applyFont="1" applyBorder="1" applyAlignment="1">
      <alignment horizontal="right"/>
    </xf>
    <xf numFmtId="3" fontId="99" fillId="0" borderId="0" xfId="0" applyNumberFormat="1" applyFont="1" applyFill="1" applyBorder="1" applyAlignment="1">
      <alignment horizontal="right"/>
    </xf>
    <xf numFmtId="0" fontId="99" fillId="23" borderId="0" xfId="0" applyFont="1" applyFill="1" applyBorder="1"/>
    <xf numFmtId="0" fontId="99" fillId="0" borderId="0" xfId="0" applyFont="1"/>
    <xf numFmtId="174" fontId="100" fillId="0" borderId="0" xfId="0" applyNumberFormat="1" applyFont="1" applyFill="1" applyAlignment="1">
      <alignment horizontal="right"/>
    </xf>
    <xf numFmtId="2" fontId="101" fillId="0" borderId="0" xfId="0" applyNumberFormat="1" applyFont="1" applyFill="1" applyBorder="1" applyAlignment="1">
      <alignment horizontal="right"/>
    </xf>
    <xf numFmtId="177" fontId="100" fillId="0" borderId="0" xfId="0" applyNumberFormat="1" applyFont="1" applyFill="1" applyBorder="1" applyAlignment="1">
      <alignment horizontal="right"/>
    </xf>
    <xf numFmtId="0" fontId="102" fillId="0" borderId="0" xfId="0" applyNumberFormat="1" applyFont="1" applyFill="1"/>
    <xf numFmtId="0" fontId="103" fillId="0" borderId="0" xfId="0" applyFont="1" applyFill="1" applyAlignment="1">
      <alignment horizontal="right"/>
    </xf>
    <xf numFmtId="10" fontId="104" fillId="0" borderId="0" xfId="0" applyNumberFormat="1" applyFont="1" applyFill="1" applyAlignment="1">
      <alignment horizontal="right"/>
    </xf>
    <xf numFmtId="43" fontId="103" fillId="0" borderId="0" xfId="48" applyFont="1" applyFill="1" applyAlignment="1">
      <alignment horizontal="right"/>
    </xf>
    <xf numFmtId="166" fontId="102" fillId="0" borderId="0" xfId="0" applyNumberFormat="1" applyFont="1" applyFill="1" applyAlignment="1">
      <alignment horizontal="right"/>
    </xf>
    <xf numFmtId="0" fontId="103" fillId="23" borderId="0" xfId="0" applyFont="1" applyFill="1" applyAlignment="1">
      <alignment horizontal="right"/>
    </xf>
    <xf numFmtId="166" fontId="103" fillId="0" borderId="0" xfId="0" applyNumberFormat="1" applyFont="1" applyFill="1" applyAlignment="1">
      <alignment horizontal="right"/>
    </xf>
    <xf numFmtId="10" fontId="105" fillId="0" borderId="0" xfId="0" applyNumberFormat="1" applyFont="1" applyFill="1" applyAlignment="1">
      <alignment horizontal="right"/>
    </xf>
    <xf numFmtId="0" fontId="105" fillId="0" borderId="0" xfId="0" applyNumberFormat="1" applyFont="1" applyFill="1" applyAlignment="1">
      <alignment horizontal="right"/>
    </xf>
    <xf numFmtId="2" fontId="106" fillId="0" borderId="0" xfId="0" applyNumberFormat="1" applyFont="1" applyFill="1" applyBorder="1" applyAlignment="1">
      <alignment horizontal="right"/>
    </xf>
    <xf numFmtId="177" fontId="107" fillId="0" borderId="0" xfId="0" applyNumberFormat="1" applyFont="1" applyFill="1" applyBorder="1" applyAlignment="1">
      <alignment horizontal="right"/>
    </xf>
    <xf numFmtId="10" fontId="107" fillId="0" borderId="0" xfId="0" applyNumberFormat="1" applyFont="1" applyFill="1" applyAlignment="1">
      <alignment horizontal="right"/>
    </xf>
    <xf numFmtId="164" fontId="108" fillId="23" borderId="0" xfId="0" applyNumberFormat="1" applyFont="1" applyFill="1" applyBorder="1" applyAlignment="1">
      <alignment horizontal="right"/>
    </xf>
    <xf numFmtId="0" fontId="108" fillId="0" borderId="0" xfId="0" applyFont="1" applyFill="1" applyAlignment="1">
      <alignment horizontal="right"/>
    </xf>
    <xf numFmtId="166" fontId="108" fillId="0" borderId="0" xfId="0" applyNumberFormat="1" applyFont="1" applyFill="1" applyAlignment="1">
      <alignment horizontal="right"/>
    </xf>
    <xf numFmtId="1" fontId="107" fillId="0" borderId="0" xfId="0" applyNumberFormat="1" applyFont="1" applyFill="1" applyAlignment="1">
      <alignment horizontal="right"/>
    </xf>
    <xf numFmtId="1" fontId="107" fillId="0" borderId="0" xfId="48" applyNumberFormat="1" applyFont="1" applyFill="1" applyAlignment="1">
      <alignment horizontal="right"/>
    </xf>
    <xf numFmtId="9" fontId="108" fillId="0" borderId="0" xfId="78" applyFont="1" applyFill="1" applyAlignment="1">
      <alignment horizontal="right"/>
    </xf>
    <xf numFmtId="10" fontId="107" fillId="0" borderId="0" xfId="0" applyNumberFormat="1" applyFont="1" applyFill="1" applyBorder="1" applyAlignment="1">
      <alignment horizontal="right"/>
    </xf>
    <xf numFmtId="3" fontId="100" fillId="0" borderId="0" xfId="0" applyNumberFormat="1" applyFont="1" applyBorder="1" applyAlignment="1">
      <alignment horizontal="right"/>
    </xf>
    <xf numFmtId="1" fontId="24" fillId="20" borderId="0" xfId="0" applyNumberFormat="1" applyFont="1" applyFill="1" applyBorder="1" applyAlignment="1">
      <alignment horizontal="right"/>
    </xf>
    <xf numFmtId="1" fontId="24" fillId="20" borderId="0" xfId="0" applyNumberFormat="1" applyFont="1" applyFill="1" applyAlignment="1">
      <alignment horizontal="right"/>
    </xf>
    <xf numFmtId="0" fontId="24" fillId="20" borderId="0" xfId="0" applyFont="1" applyFill="1"/>
    <xf numFmtId="174" fontId="24" fillId="0" borderId="0" xfId="0" applyNumberFormat="1" applyFont="1" applyFill="1" applyBorder="1" applyAlignment="1">
      <alignment horizontal="right"/>
    </xf>
    <xf numFmtId="3" fontId="36" fillId="21" borderId="13" xfId="0" applyNumberFormat="1" applyFont="1" applyFill="1" applyBorder="1" applyAlignment="1">
      <alignment horizontal="right"/>
    </xf>
    <xf numFmtId="166" fontId="36" fillId="21" borderId="13" xfId="0" applyNumberFormat="1" applyFont="1" applyFill="1" applyBorder="1" applyAlignment="1">
      <alignment horizontal="right"/>
    </xf>
    <xf numFmtId="0" fontId="24" fillId="0" borderId="0" xfId="0" applyFont="1" applyFill="1" applyAlignment="1">
      <alignment horizontal="right"/>
    </xf>
    <xf numFmtId="165" fontId="24" fillId="0" borderId="0" xfId="0" applyNumberFormat="1" applyFont="1"/>
    <xf numFmtId="168" fontId="36" fillId="17" borderId="0" xfId="0" applyNumberFormat="1" applyFont="1" applyFill="1" applyBorder="1" applyAlignment="1">
      <alignment horizontal="right"/>
    </xf>
    <xf numFmtId="37" fontId="36" fillId="17" borderId="0" xfId="0" applyNumberFormat="1" applyFont="1" applyFill="1" applyBorder="1" applyAlignment="1">
      <alignment horizontal="right"/>
    </xf>
    <xf numFmtId="39" fontId="24" fillId="17" borderId="0" xfId="0" applyNumberFormat="1" applyFont="1" applyFill="1" applyBorder="1" applyAlignment="1">
      <alignment horizontal="right"/>
    </xf>
    <xf numFmtId="0" fontId="99" fillId="30" borderId="11" xfId="0" applyFont="1" applyFill="1" applyBorder="1"/>
    <xf numFmtId="0" fontId="97" fillId="30" borderId="11" xfId="0" applyFont="1" applyFill="1" applyBorder="1" applyAlignment="1">
      <alignment horizontal="right"/>
    </xf>
    <xf numFmtId="9" fontId="95" fillId="27" borderId="0" xfId="48" applyNumberFormat="1" applyFont="1" applyFill="1"/>
    <xf numFmtId="166" fontId="102" fillId="28" borderId="0" xfId="0" applyNumberFormat="1" applyFont="1" applyFill="1" applyAlignment="1">
      <alignment horizontal="right"/>
    </xf>
    <xf numFmtId="166" fontId="102" fillId="27" borderId="0" xfId="0" applyNumberFormat="1" applyFont="1" applyFill="1" applyAlignment="1">
      <alignment horizontal="right"/>
    </xf>
    <xf numFmtId="0" fontId="46" fillId="27" borderId="15" xfId="0" applyNumberFormat="1" applyFont="1" applyFill="1" applyBorder="1"/>
    <xf numFmtId="0" fontId="24" fillId="27" borderId="16" xfId="0" applyNumberFormat="1" applyFont="1" applyFill="1" applyBorder="1" applyAlignment="1">
      <alignment horizontal="right"/>
    </xf>
    <xf numFmtId="3" fontId="24" fillId="27" borderId="16" xfId="0" applyNumberFormat="1" applyFont="1" applyFill="1" applyBorder="1" applyAlignment="1">
      <alignment horizontal="right"/>
    </xf>
    <xf numFmtId="1" fontId="24" fillId="27" borderId="16" xfId="0" applyNumberFormat="1" applyFont="1" applyFill="1" applyBorder="1" applyAlignment="1">
      <alignment horizontal="right"/>
    </xf>
    <xf numFmtId="1" fontId="24" fillId="27" borderId="17" xfId="0" applyNumberFormat="1" applyFont="1" applyFill="1" applyBorder="1" applyAlignment="1">
      <alignment horizontal="right"/>
    </xf>
    <xf numFmtId="0" fontId="18" fillId="27" borderId="18" xfId="0" applyNumberFormat="1" applyFont="1" applyFill="1" applyBorder="1"/>
    <xf numFmtId="1" fontId="24" fillId="27" borderId="19" xfId="0" applyNumberFormat="1" applyFont="1" applyFill="1" applyBorder="1" applyAlignment="1">
      <alignment horizontal="right"/>
    </xf>
    <xf numFmtId="0" fontId="18" fillId="27" borderId="20" xfId="0" applyNumberFormat="1" applyFont="1" applyFill="1" applyBorder="1"/>
    <xf numFmtId="1" fontId="24" fillId="27" borderId="21" xfId="0" applyNumberFormat="1" applyFont="1" applyFill="1" applyBorder="1" applyAlignment="1">
      <alignment horizontal="right"/>
    </xf>
    <xf numFmtId="0" fontId="17" fillId="27" borderId="18" xfId="0" applyNumberFormat="1" applyFont="1" applyFill="1" applyBorder="1"/>
    <xf numFmtId="0" fontId="18" fillId="27" borderId="18" xfId="0" applyFont="1" applyFill="1" applyBorder="1" applyAlignment="1">
      <alignment horizontal="left"/>
    </xf>
    <xf numFmtId="0" fontId="17" fillId="27" borderId="18" xfId="0" applyFont="1" applyFill="1" applyBorder="1" applyAlignment="1">
      <alignment horizontal="left"/>
    </xf>
    <xf numFmtId="0" fontId="37" fillId="27" borderId="18" xfId="0" applyNumberFormat="1" applyFont="1" applyFill="1" applyBorder="1"/>
    <xf numFmtId="1" fontId="37" fillId="27" borderId="19" xfId="0" applyNumberFormat="1" applyFont="1" applyFill="1" applyBorder="1" applyAlignment="1">
      <alignment horizontal="right"/>
    </xf>
    <xf numFmtId="0" fontId="18" fillId="27" borderId="22" xfId="0" applyNumberFormat="1" applyFont="1" applyFill="1" applyBorder="1"/>
    <xf numFmtId="166" fontId="18" fillId="27" borderId="23" xfId="0" applyNumberFormat="1" applyFont="1" applyFill="1" applyBorder="1" applyAlignment="1">
      <alignment horizontal="right"/>
    </xf>
    <xf numFmtId="3" fontId="24" fillId="27" borderId="23" xfId="0" applyNumberFormat="1" applyFont="1" applyFill="1" applyBorder="1" applyAlignment="1">
      <alignment horizontal="right"/>
    </xf>
    <xf numFmtId="167" fontId="18" fillId="27" borderId="23" xfId="0" applyNumberFormat="1" applyFont="1" applyFill="1" applyBorder="1" applyAlignment="1">
      <alignment horizontal="right"/>
    </xf>
    <xf numFmtId="1" fontId="24" fillId="27" borderId="23" xfId="0" applyNumberFormat="1" applyFont="1" applyFill="1" applyBorder="1" applyAlignment="1">
      <alignment horizontal="right"/>
    </xf>
    <xf numFmtId="167" fontId="24" fillId="27" borderId="23" xfId="0" applyNumberFormat="1" applyFont="1" applyFill="1" applyBorder="1" applyAlignment="1">
      <alignment horizontal="right"/>
    </xf>
    <xf numFmtId="1" fontId="24" fillId="27" borderId="24" xfId="0" applyNumberFormat="1" applyFont="1" applyFill="1" applyBorder="1" applyAlignment="1">
      <alignment horizontal="right"/>
    </xf>
    <xf numFmtId="0" fontId="46" fillId="27" borderId="25" xfId="0" applyNumberFormat="1" applyFont="1" applyFill="1" applyBorder="1"/>
    <xf numFmtId="0" fontId="24" fillId="27" borderId="26" xfId="0" applyNumberFormat="1" applyFont="1" applyFill="1" applyBorder="1" applyAlignment="1">
      <alignment horizontal="right"/>
    </xf>
    <xf numFmtId="3" fontId="24" fillId="27" borderId="26" xfId="0" applyNumberFormat="1" applyFont="1" applyFill="1" applyBorder="1" applyAlignment="1">
      <alignment horizontal="right"/>
    </xf>
    <xf numFmtId="1" fontId="24" fillId="27" borderId="26" xfId="0" applyNumberFormat="1" applyFont="1" applyFill="1" applyBorder="1" applyAlignment="1">
      <alignment horizontal="right"/>
    </xf>
    <xf numFmtId="1" fontId="24" fillId="27" borderId="27" xfId="0" applyNumberFormat="1" applyFont="1" applyFill="1" applyBorder="1" applyAlignment="1">
      <alignment horizontal="right"/>
    </xf>
    <xf numFmtId="0" fontId="18" fillId="27" borderId="28" xfId="0" applyNumberFormat="1" applyFont="1" applyFill="1" applyBorder="1"/>
    <xf numFmtId="1" fontId="24" fillId="27" borderId="29" xfId="0" applyNumberFormat="1" applyFont="1" applyFill="1" applyBorder="1" applyAlignment="1">
      <alignment horizontal="right"/>
    </xf>
    <xf numFmtId="0" fontId="18" fillId="27" borderId="30" xfId="0" applyNumberFormat="1" applyFont="1" applyFill="1" applyBorder="1"/>
    <xf numFmtId="0" fontId="17" fillId="27" borderId="28" xfId="0" applyNumberFormat="1" applyFont="1" applyFill="1" applyBorder="1"/>
    <xf numFmtId="0" fontId="18" fillId="27" borderId="28" xfId="0" applyFont="1" applyFill="1" applyBorder="1"/>
    <xf numFmtId="0" fontId="31" fillId="27" borderId="28" xfId="0" applyNumberFormat="1" applyFont="1" applyFill="1" applyBorder="1"/>
    <xf numFmtId="0" fontId="37" fillId="27" borderId="28" xfId="0" applyNumberFormat="1" applyFont="1" applyFill="1" applyBorder="1"/>
    <xf numFmtId="1" fontId="37" fillId="27" borderId="29" xfId="0" applyNumberFormat="1" applyFont="1" applyFill="1" applyBorder="1" applyAlignment="1">
      <alignment horizontal="right"/>
    </xf>
    <xf numFmtId="0" fontId="23" fillId="27" borderId="28" xfId="0" applyNumberFormat="1" applyFont="1" applyFill="1" applyBorder="1"/>
    <xf numFmtId="1" fontId="36" fillId="27" borderId="29" xfId="0" applyNumberFormat="1" applyFont="1" applyFill="1" applyBorder="1" applyAlignment="1">
      <alignment horizontal="right"/>
    </xf>
    <xf numFmtId="0" fontId="32" fillId="23" borderId="28" xfId="0" applyNumberFormat="1" applyFont="1" applyFill="1" applyBorder="1"/>
    <xf numFmtId="0" fontId="37" fillId="0" borderId="28" xfId="0" applyNumberFormat="1" applyFont="1" applyFill="1" applyBorder="1"/>
    <xf numFmtId="1" fontId="37" fillId="0" borderId="29" xfId="0" applyNumberFormat="1" applyFont="1" applyFill="1" applyBorder="1" applyAlignment="1">
      <alignment horizontal="right"/>
    </xf>
    <xf numFmtId="0" fontId="22" fillId="22" borderId="28" xfId="0" applyNumberFormat="1" applyFont="1" applyFill="1" applyBorder="1"/>
    <xf numFmtId="1" fontId="79" fillId="22" borderId="29" xfId="0" applyNumberFormat="1" applyFont="1" applyFill="1" applyBorder="1" applyAlignment="1">
      <alignment horizontal="right"/>
    </xf>
    <xf numFmtId="0" fontId="32" fillId="27" borderId="28" xfId="0" applyNumberFormat="1" applyFont="1" applyFill="1" applyBorder="1"/>
    <xf numFmtId="0" fontId="18" fillId="27" borderId="28" xfId="0" applyFont="1" applyFill="1" applyBorder="1" applyAlignment="1">
      <alignment horizontal="left"/>
    </xf>
    <xf numFmtId="0" fontId="31" fillId="27" borderId="31" xfId="0" applyNumberFormat="1" applyFont="1" applyFill="1" applyBorder="1"/>
    <xf numFmtId="166" fontId="18" fillId="27" borderId="32" xfId="0" applyNumberFormat="1" applyFont="1" applyFill="1" applyBorder="1" applyAlignment="1">
      <alignment horizontal="right"/>
    </xf>
    <xf numFmtId="3" fontId="24" fillId="27" borderId="32" xfId="0" applyNumberFormat="1" applyFont="1" applyFill="1" applyBorder="1" applyAlignment="1">
      <alignment horizontal="right"/>
    </xf>
    <xf numFmtId="167" fontId="18" fillId="27" borderId="32" xfId="0" applyNumberFormat="1" applyFont="1" applyFill="1" applyBorder="1" applyAlignment="1">
      <alignment horizontal="right"/>
    </xf>
    <xf numFmtId="1" fontId="24" fillId="27" borderId="32" xfId="0" applyNumberFormat="1" applyFont="1" applyFill="1" applyBorder="1" applyAlignment="1">
      <alignment horizontal="right"/>
    </xf>
    <xf numFmtId="167" fontId="24" fillId="27" borderId="32" xfId="0" applyNumberFormat="1" applyFont="1" applyFill="1" applyBorder="1" applyAlignment="1">
      <alignment horizontal="right"/>
    </xf>
    <xf numFmtId="1" fontId="24" fillId="27" borderId="33" xfId="0" applyNumberFormat="1" applyFont="1" applyFill="1" applyBorder="1" applyAlignment="1">
      <alignment horizontal="right"/>
    </xf>
    <xf numFmtId="0" fontId="109" fillId="30" borderId="34" xfId="0" applyFont="1" applyFill="1" applyBorder="1"/>
    <xf numFmtId="0" fontId="110" fillId="30" borderId="35" xfId="0" applyFont="1" applyFill="1" applyBorder="1"/>
    <xf numFmtId="0" fontId="111" fillId="27" borderId="28" xfId="0" applyFont="1" applyFill="1" applyBorder="1"/>
    <xf numFmtId="2" fontId="111" fillId="27" borderId="29" xfId="0" applyNumberFormat="1" applyFont="1" applyFill="1" applyBorder="1"/>
    <xf numFmtId="0" fontId="111" fillId="33" borderId="28" xfId="0" applyFont="1" applyFill="1" applyBorder="1"/>
    <xf numFmtId="2" fontId="111" fillId="33" borderId="29" xfId="0" applyNumberFormat="1" applyFont="1" applyFill="1" applyBorder="1"/>
    <xf numFmtId="0" fontId="112" fillId="26" borderId="31" xfId="0" applyFont="1" applyFill="1" applyBorder="1"/>
    <xf numFmtId="9" fontId="112" fillId="26" borderId="33" xfId="78" applyFont="1" applyFill="1" applyBorder="1"/>
    <xf numFmtId="39" fontId="18" fillId="0" borderId="0" xfId="0" applyNumberFormat="1" applyFont="1"/>
    <xf numFmtId="3" fontId="24" fillId="28" borderId="0" xfId="0" applyNumberFormat="1" applyFont="1" applyFill="1" applyAlignment="1">
      <alignment horizontal="right"/>
    </xf>
    <xf numFmtId="1" fontId="24" fillId="27" borderId="36" xfId="0" applyNumberFormat="1" applyFont="1" applyFill="1" applyBorder="1" applyAlignment="1">
      <alignment horizontal="right"/>
    </xf>
    <xf numFmtId="1" fontId="24" fillId="27" borderId="37" xfId="0" applyNumberFormat="1" applyFont="1" applyFill="1" applyBorder="1" applyAlignment="1">
      <alignment horizontal="right"/>
    </xf>
    <xf numFmtId="173" fontId="18" fillId="27" borderId="36" xfId="48" applyNumberFormat="1" applyFont="1" applyFill="1" applyBorder="1" applyAlignment="1">
      <alignment horizontal="right"/>
    </xf>
    <xf numFmtId="173" fontId="17" fillId="27" borderId="36" xfId="48" applyNumberFormat="1" applyFont="1" applyFill="1" applyBorder="1" applyAlignment="1">
      <alignment horizontal="right"/>
    </xf>
    <xf numFmtId="0" fontId="18" fillId="27" borderId="36" xfId="0" applyFont="1" applyFill="1" applyBorder="1"/>
    <xf numFmtId="165" fontId="18" fillId="27" borderId="36" xfId="0" applyNumberFormat="1" applyFont="1" applyFill="1" applyBorder="1" applyAlignment="1">
      <alignment horizontal="right"/>
    </xf>
    <xf numFmtId="167" fontId="18" fillId="27" borderId="36" xfId="0" applyNumberFormat="1" applyFont="1" applyFill="1" applyBorder="1" applyAlignment="1">
      <alignment horizontal="right"/>
    </xf>
    <xf numFmtId="167" fontId="37" fillId="27" borderId="36" xfId="0" applyNumberFormat="1" applyFont="1" applyFill="1" applyBorder="1" applyAlignment="1">
      <alignment horizontal="right"/>
    </xf>
    <xf numFmtId="166" fontId="21" fillId="27" borderId="36" xfId="0" applyNumberFormat="1" applyFont="1" applyFill="1" applyBorder="1" applyAlignment="1">
      <alignment horizontal="right"/>
    </xf>
    <xf numFmtId="167" fontId="37" fillId="0" borderId="36" xfId="0" applyNumberFormat="1" applyFont="1" applyFill="1" applyBorder="1" applyAlignment="1">
      <alignment horizontal="right"/>
    </xf>
    <xf numFmtId="173" fontId="17" fillId="0" borderId="0" xfId="48" applyNumberFormat="1" applyFont="1" applyFill="1" applyBorder="1" applyAlignment="1">
      <alignment horizontal="right"/>
    </xf>
    <xf numFmtId="173" fontId="17" fillId="0" borderId="36" xfId="48" applyNumberFormat="1" applyFont="1" applyFill="1" applyBorder="1" applyAlignment="1">
      <alignment horizontal="right"/>
    </xf>
    <xf numFmtId="165" fontId="32" fillId="23" borderId="36" xfId="0" applyNumberFormat="1" applyFont="1" applyFill="1" applyBorder="1" applyAlignment="1">
      <alignment horizontal="right"/>
    </xf>
    <xf numFmtId="0" fontId="2" fillId="34" borderId="0" xfId="104" applyFont="1" applyFill="1" applyAlignment="1">
      <alignment vertical="top"/>
    </xf>
    <xf numFmtId="0" fontId="2" fillId="34" borderId="0" xfId="101" applyFill="1" applyAlignment="1">
      <alignment vertical="top"/>
    </xf>
    <xf numFmtId="0" fontId="2" fillId="34" borderId="0" xfId="101" applyFill="1"/>
    <xf numFmtId="0" fontId="12" fillId="34" borderId="0" xfId="104" applyFont="1" applyFill="1" applyAlignment="1">
      <alignment horizontal="left" vertical="top"/>
    </xf>
    <xf numFmtId="0" fontId="2" fillId="34" borderId="0" xfId="101" applyFont="1" applyFill="1" applyAlignment="1">
      <alignment vertical="top"/>
    </xf>
    <xf numFmtId="0" fontId="114" fillId="34" borderId="0" xfId="104" applyFont="1" applyFill="1" applyAlignment="1">
      <alignment vertical="top"/>
    </xf>
    <xf numFmtId="0" fontId="0" fillId="34" borderId="0" xfId="0" applyFill="1" applyAlignment="1">
      <alignment vertical="top"/>
    </xf>
    <xf numFmtId="0" fontId="78" fillId="34" borderId="0" xfId="0" applyFont="1" applyFill="1" applyAlignment="1">
      <alignment vertical="top"/>
    </xf>
    <xf numFmtId="0" fontId="115" fillId="34" borderId="0" xfId="0" applyFont="1" applyFill="1" applyAlignment="1">
      <alignment vertical="top"/>
    </xf>
    <xf numFmtId="0" fontId="78" fillId="34" borderId="0" xfId="0" applyFont="1" applyFill="1" applyAlignment="1">
      <alignment vertical="top"/>
    </xf>
    <xf numFmtId="0" fontId="0" fillId="34" borderId="0" xfId="0" applyFill="1" applyAlignment="1">
      <alignment vertical="top"/>
    </xf>
    <xf numFmtId="0" fontId="78" fillId="34" borderId="38" xfId="0" applyFont="1" applyFill="1" applyBorder="1" applyAlignment="1">
      <alignment vertical="top"/>
    </xf>
    <xf numFmtId="9" fontId="78" fillId="34" borderId="38" xfId="0" applyNumberFormat="1" applyFont="1" applyFill="1" applyBorder="1" applyAlignment="1">
      <alignment vertical="top"/>
    </xf>
    <xf numFmtId="3" fontId="78" fillId="34" borderId="38" xfId="0" applyNumberFormat="1" applyFont="1" applyFill="1" applyBorder="1" applyAlignment="1">
      <alignment vertical="top"/>
    </xf>
    <xf numFmtId="2" fontId="2" fillId="0" borderId="0" xfId="101" applyNumberFormat="1" applyAlignment="1">
      <alignment horizontal="left"/>
    </xf>
    <xf numFmtId="0" fontId="2" fillId="0" borderId="0" xfId="101" applyNumberFormat="1" applyAlignment="1">
      <alignment horizontal="left"/>
    </xf>
    <xf numFmtId="1" fontId="2" fillId="0" borderId="0" xfId="101" applyNumberFormat="1" applyAlignment="1">
      <alignment horizontal="left"/>
    </xf>
    <xf numFmtId="0" fontId="2" fillId="0" borderId="0" xfId="101" applyFont="1"/>
    <xf numFmtId="178" fontId="2" fillId="0" borderId="0" xfId="101" applyNumberFormat="1" applyAlignment="1">
      <alignment horizontal="left"/>
    </xf>
    <xf numFmtId="49" fontId="2" fillId="0" borderId="0" xfId="101" applyNumberFormat="1"/>
    <xf numFmtId="0" fontId="0" fillId="34" borderId="43" xfId="0" applyFill="1" applyBorder="1" applyAlignment="1">
      <alignment vertical="top"/>
    </xf>
    <xf numFmtId="0" fontId="78" fillId="34" borderId="0" xfId="0" applyFont="1" applyFill="1" applyAlignment="1">
      <alignment vertical="top"/>
    </xf>
    <xf numFmtId="0" fontId="78" fillId="34" borderId="39" xfId="0" applyFont="1" applyFill="1" applyBorder="1" applyAlignment="1">
      <alignment vertical="top"/>
    </xf>
    <xf numFmtId="0" fontId="78" fillId="34" borderId="40" xfId="0" applyFont="1" applyFill="1" applyBorder="1" applyAlignment="1">
      <alignment vertical="top"/>
    </xf>
    <xf numFmtId="0" fontId="78" fillId="34" borderId="41" xfId="0" applyFont="1" applyFill="1" applyBorder="1" applyAlignment="1">
      <alignment vertical="top"/>
    </xf>
    <xf numFmtId="0" fontId="115" fillId="34" borderId="0" xfId="0" applyFont="1" applyFill="1" applyAlignment="1">
      <alignment vertical="top"/>
    </xf>
    <xf numFmtId="0" fontId="0" fillId="34" borderId="0" xfId="0" applyFill="1" applyAlignment="1">
      <alignment vertical="top"/>
    </xf>
    <xf numFmtId="0" fontId="0" fillId="34" borderId="42" xfId="0" applyFill="1" applyBorder="1" applyAlignment="1">
      <alignment vertical="top"/>
    </xf>
    <xf numFmtId="0" fontId="66" fillId="0" borderId="0" xfId="0" applyNumberFormat="1" applyFont="1" applyFill="1" applyBorder="1" applyAlignment="1">
      <alignment horizontal="left"/>
    </xf>
    <xf numFmtId="0" fontId="65" fillId="0" borderId="11" xfId="0" applyFont="1" applyFill="1" applyBorder="1" applyAlignment="1">
      <alignment horizontal="center"/>
    </xf>
    <xf numFmtId="0" fontId="116" fillId="34" borderId="0" xfId="0" applyFont="1" applyFill="1" applyAlignment="1">
      <alignment vertical="top" wrapText="1"/>
    </xf>
  </cellXfs>
  <cellStyles count="105">
    <cellStyle name="$ 0 decimal" xfId="1"/>
    <cellStyle name="$ 1 decimal" xfId="2"/>
    <cellStyle name="$ 2 decimals" xfId="3"/>
    <cellStyle name="%" xfId="4"/>
    <cellStyle name="?? [0.00]_HELPDESK_jp1.xls Chart 1" xfId="5"/>
    <cellStyle name="_RRS1" xfId="6"/>
    <cellStyle name="_RRS11" xfId="7"/>
    <cellStyle name="_RRS4" xfId="8"/>
    <cellStyle name="_SUMMARY " xfId="9"/>
    <cellStyle name="’Ê‰Ý [0.00]_GE 3 MINIMUM" xfId="10"/>
    <cellStyle name="’Ê‰Ý_GE 3 MINIMUM" xfId="11"/>
    <cellStyle name="¥ 0 decimal" xfId="12"/>
    <cellStyle name="=C:\WINNT35\SYSTEM32\COMMAND.COM" xfId="13"/>
    <cellStyle name="•W€_GE 3 MINIMUM" xfId="14"/>
    <cellStyle name="•W_GE 3 MINIMUM" xfId="15"/>
    <cellStyle name="0_Capex &amp; Depreciation " xfId="16"/>
    <cellStyle name="0_Valuing BP " xfId="17"/>
    <cellStyle name="20% - Accent1" xfId="18" builtinId="30" customBuiltin="1"/>
    <cellStyle name="20% - Accent2" xfId="19" builtinId="34" customBuiltin="1"/>
    <cellStyle name="20% - Accent3" xfId="20" builtinId="38" customBuiltin="1"/>
    <cellStyle name="20% - Accent4" xfId="21" builtinId="42" customBuiltin="1"/>
    <cellStyle name="20% - Accent5" xfId="22" builtinId="46" customBuiltin="1"/>
    <cellStyle name="20% - Accent6" xfId="23" builtinId="50" customBuiltin="1"/>
    <cellStyle name="40% - Accent1" xfId="24" builtinId="31" customBuiltin="1"/>
    <cellStyle name="40% - Accent2" xfId="25" builtinId="35" customBuiltin="1"/>
    <cellStyle name="40% - Accent3" xfId="26" builtinId="39" customBuiltin="1"/>
    <cellStyle name="40% - Accent4" xfId="27" builtinId="43" customBuiltin="1"/>
    <cellStyle name="40% - Accent5" xfId="28" builtinId="47" customBuiltin="1"/>
    <cellStyle name="40% - Accent6" xfId="29" builtinId="51" customBuiltin="1"/>
    <cellStyle name="60% - Accent1" xfId="30" builtinId="32" customBuiltin="1"/>
    <cellStyle name="60% - Accent2" xfId="31" builtinId="36" customBuiltin="1"/>
    <cellStyle name="60% - Accent3" xfId="32" builtinId="40" customBuiltin="1"/>
    <cellStyle name="60% - Accent4" xfId="33" builtinId="44" customBuiltin="1"/>
    <cellStyle name="60% - Accent5" xfId="34" builtinId="48" customBuiltin="1"/>
    <cellStyle name="60% - Accent6" xfId="35" builtinId="52" customBuiltin="1"/>
    <cellStyle name="Accent1" xfId="36" builtinId="29" customBuiltin="1"/>
    <cellStyle name="Accent2" xfId="37" builtinId="33" customBuiltin="1"/>
    <cellStyle name="Accent3" xfId="38" builtinId="37" customBuiltin="1"/>
    <cellStyle name="Accent4" xfId="39" builtinId="41" customBuiltin="1"/>
    <cellStyle name="Accent5" xfId="40" builtinId="45" customBuiltin="1"/>
    <cellStyle name="Accent6" xfId="41" builtinId="49" customBuiltin="1"/>
    <cellStyle name="Bad" xfId="42" builtinId="27" customBuiltin="1"/>
    <cellStyle name="Blue" xfId="43"/>
    <cellStyle name="c_HardInc " xfId="44"/>
    <cellStyle name="Calculation" xfId="45" builtinId="22" customBuiltin="1"/>
    <cellStyle name="Changeable" xfId="46"/>
    <cellStyle name="Check Cell" xfId="47" builtinId="23" customBuiltin="1"/>
    <cellStyle name="Comma" xfId="48" builtinId="3"/>
    <cellStyle name="Currency 2" xfId="97"/>
    <cellStyle name="Currency 2 2" xfId="102"/>
    <cellStyle name="Currency 3" xfId="100"/>
    <cellStyle name="date" xfId="49"/>
    <cellStyle name="decimal 0" xfId="50"/>
    <cellStyle name="decimal 1" xfId="51"/>
    <cellStyle name="decimal 2" xfId="52"/>
    <cellStyle name="Explanatory Text" xfId="53" builtinId="53" customBuiltin="1"/>
    <cellStyle name="Fail" xfId="54"/>
    <cellStyle name="FiscalPeriod" xfId="55"/>
    <cellStyle name="Good" xfId="56" builtinId="26" customBuiltin="1"/>
    <cellStyle name="Heading 1" xfId="57" builtinId="16" customBuiltin="1"/>
    <cellStyle name="Heading 2" xfId="58" builtinId="17" customBuiltin="1"/>
    <cellStyle name="Heading 3" xfId="59" builtinId="18" customBuiltin="1"/>
    <cellStyle name="Heading 4" xfId="60" builtinId="19" customBuiltin="1"/>
    <cellStyle name="Hidden" xfId="61"/>
    <cellStyle name="Input" xfId="62" builtinId="20" customBuiltin="1"/>
    <cellStyle name="Linked Cell" xfId="63" builtinId="24" customBuiltin="1"/>
    <cellStyle name="MetricLabel" xfId="64"/>
    <cellStyle name="MetricLabelBlue" xfId="65"/>
    <cellStyle name="MetricValue" xfId="66"/>
    <cellStyle name="Neutral" xfId="67" builtinId="28" customBuiltin="1"/>
    <cellStyle name="Normal" xfId="0" builtinId="0"/>
    <cellStyle name="Normal 2" xfId="68"/>
    <cellStyle name="Normal 2 2" xfId="101"/>
    <cellStyle name="Normal 3" xfId="98"/>
    <cellStyle name="Normal 4" xfId="103"/>
    <cellStyle name="Normal_DisclaimerSheet Samples" xfId="104"/>
    <cellStyle name="Normal_HIG" xfId="69"/>
    <cellStyle name="Normalny_Ferrum . Valuation . CA IB . 8" xfId="70"/>
    <cellStyle name="Note" xfId="71" builtinId="10" customBuiltin="1"/>
    <cellStyle name="Œ…‹æØ‚è [0.00]_GE 3 MINIMUM" xfId="72"/>
    <cellStyle name="Œ…‹æØ‚è_GE 3 MINIMUM" xfId="73"/>
    <cellStyle name="onedecimal" xfId="74"/>
    <cellStyle name="Output" xfId="75" builtinId="21" customBuiltin="1"/>
    <cellStyle name="p " xfId="76"/>
    <cellStyle name="Pass" xfId="77"/>
    <cellStyle name="Percent" xfId="78" builtinId="5"/>
    <cellStyle name="percent 1 decimal" xfId="79"/>
    <cellStyle name="percent 2 decimal" xfId="80"/>
    <cellStyle name="percent no decimal" xfId="81"/>
    <cellStyle name="RRSInstruction" xfId="82"/>
    <cellStyle name="RRSInstruction 2" xfId="99"/>
    <cellStyle name="s_HardInc " xfId="83"/>
    <cellStyle name="s_Valuation " xfId="84"/>
    <cellStyle name="ssp " xfId="85"/>
    <cellStyle name="Style 1" xfId="86"/>
    <cellStyle name="Style 2" xfId="87"/>
    <cellStyle name="Title" xfId="88" builtinId="15" customBuiltin="1"/>
    <cellStyle name="Total" xfId="89" builtinId="25" customBuiltin="1"/>
    <cellStyle name="underline" xfId="90"/>
    <cellStyle name="underline 1 decimal" xfId="91"/>
    <cellStyle name="underline 2 decimals" xfId="92"/>
    <cellStyle name="underline flush left" xfId="93"/>
    <cellStyle name="underline no decimals" xfId="94"/>
    <cellStyle name="underline_UNM new charts" xfId="95"/>
    <cellStyle name="Warning Text" xfId="96" builtinId="11" customBuiltin="1"/>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CC0000"/>
      <rgbColor rgb="0074BE74"/>
      <rgbColor rgb="002270AB"/>
      <rgbColor rgb="00F8CD14"/>
      <rgbColor rgb="00F26163"/>
      <rgbColor rgb="00A8D7E2"/>
      <rgbColor rgb="00B2122B"/>
      <rgbColor rgb="00238B45"/>
      <rgbColor rgb="001B4694"/>
      <rgbColor rgb="0041A95C"/>
      <rgbColor rgb="00800080"/>
      <rgbColor rgb="00238B45"/>
      <rgbColor rgb="00C0C0C0"/>
      <rgbColor rgb="00808080"/>
      <rgbColor rgb="00137CB1"/>
      <rgbColor rgb="00EACC80"/>
      <rgbColor rgb="004AAC6B"/>
      <rgbColor rgb="00A8D7E2"/>
      <rgbColor rgb="00E58061"/>
      <rgbColor rgb="00BCE3A1"/>
      <rgbColor rgb="008E466A"/>
      <rgbColor rgb="00F3A7A9"/>
      <rgbColor rgb="001275A6"/>
      <rgbColor rgb="00E5BF61"/>
      <rgbColor rgb="004AAC6B"/>
      <rgbColor rgb="0097D0DD"/>
      <rgbColor rgb="00763A58"/>
      <rgbColor rgb="00EF8D8F"/>
      <rgbColor rgb="00E2704C"/>
      <rgbColor rgb="00A5D981"/>
      <rgbColor rgb="0069ADCA"/>
      <rgbColor rgb="00C6D9E2"/>
      <rgbColor rgb="00E3EEDE"/>
      <rgbColor rgb="00F3EEA1"/>
      <rgbColor rgb="009DC9DC"/>
      <rgbColor rgb="0012607F"/>
      <rgbColor rgb="009DC9DC"/>
      <rgbColor rgb="00DDDDDD"/>
      <rgbColor rgb="004091BF"/>
      <rgbColor rgb="0097D0DD"/>
      <rgbColor rgb="00A5D981"/>
      <rgbColor rgb="00F8CD14"/>
      <rgbColor rgb="00EACC80"/>
      <rgbColor rgb="00FC7114"/>
      <rgbColor rgb="004091BF"/>
      <rgbColor rgb="00969696"/>
      <rgbColor rgb="00003366"/>
      <rgbColor rgb="0041A95C"/>
      <rgbColor rgb="00125A31"/>
      <rgbColor rgb="00125A31"/>
      <rgbColor rgb="00FFFF00"/>
      <rgbColor rgb="008E466A"/>
      <rgbColor rgb="001B4694"/>
      <rgbColor rgb="00333333"/>
    </indexedColors>
    <mruColors>
      <color rgb="FFFFFF66"/>
      <color rgb="FF006699"/>
      <color rgb="FF7F7F7F"/>
      <color rgb="FFCC0000"/>
      <color rgb="FFBFBFBF"/>
      <color rgb="FFA6A6A6"/>
      <color rgb="FFC0C0C0"/>
      <color rgb="FF12607F"/>
      <color rgb="FF4091B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
<Relationship Id="rId1" Target="worksheets/sheet1.xml" Type="http://schemas.openxmlformats.org/officeDocument/2006/relationships/worksheet"/>
<Relationship Id="rId10" Target="worksheets/sheet10.xml" Type="http://schemas.openxmlformats.org/officeDocument/2006/relationships/worksheet"/>
<Relationship Id="rId11" Target="worksheets/sheet11.xml" Type="http://schemas.openxmlformats.org/officeDocument/2006/relationships/worksheet"/>
<Relationship Id="rId12" Target="worksheets/sheet12.xml" Type="http://schemas.openxmlformats.org/officeDocument/2006/relationships/worksheet"/>
<Relationship Id="rId13" Target="worksheets/sheet13.xml" Type="http://schemas.openxmlformats.org/officeDocument/2006/relationships/worksheet"/>
<Relationship Id="rId14" Target="worksheets/sheet14.xml" Type="http://schemas.openxmlformats.org/officeDocument/2006/relationships/worksheet"/>
<Relationship Id="rId15" Target="externalLinks/externalLink1.xml" Type="http://schemas.openxmlformats.org/officeDocument/2006/relationships/externalLink"/>
<Relationship Id="rId16" Target="theme/theme1.xml" Type="http://schemas.openxmlformats.org/officeDocument/2006/relationships/theme"/>
<Relationship Id="rId17" Target="styles.xml" Type="http://schemas.openxmlformats.org/officeDocument/2006/relationships/styles"/>
<Relationship Id="rId18" Target="sharedStrings.xml" Type="http://schemas.openxmlformats.org/officeDocument/2006/relationships/sharedStrings"/>
<Relationship Id="rId19" Target="calcChain.xml" Type="http://schemas.openxmlformats.org/officeDocument/2006/relationships/calcChain"/>
<Relationship Id="rId2" Target="worksheets/sheet2.xml" Type="http://schemas.openxmlformats.org/officeDocument/2006/relationships/worksheet"/>
<Relationship Id="rId20" Target="../customXml/item1.xml" Type="http://schemas.openxmlformats.org/officeDocument/2006/relationships/customXml"/>
<Relationship Id="rId21" Target="../customXml/item2.xml" Type="http://schemas.openxmlformats.org/officeDocument/2006/relationships/customXml"/>
<Relationship Id="rId3" Target="worksheets/sheet3.xml" Type="http://schemas.openxmlformats.org/officeDocument/2006/relationships/worksheet"/>
<Relationship Id="rId4" Target="worksheets/sheet4.xml" Type="http://schemas.openxmlformats.org/officeDocument/2006/relationships/worksheet"/>
<Relationship Id="rId5" Target="worksheets/sheet5.xml" Type="http://schemas.openxmlformats.org/officeDocument/2006/relationships/worksheet"/>
<Relationship Id="rId6" Target="worksheets/sheet6.xml" Type="http://schemas.openxmlformats.org/officeDocument/2006/relationships/worksheet"/>
<Relationship Id="rId7" Target="worksheets/sheet7.xml" Type="http://schemas.openxmlformats.org/officeDocument/2006/relationships/worksheet"/>
<Relationship Id="rId8" Target="worksheets/sheet8.xml" Type="http://schemas.openxmlformats.org/officeDocument/2006/relationships/worksheet"/>
<Relationship Id="rId9" Target="worksheets/sheet9.xml" Type="http://schemas.openxmlformats.org/officeDocument/2006/relationships/worksheet"/>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
<Relationship Id="rId1" Target="../media/image1.png" Type="http://schemas.openxmlformats.org/officeDocument/2006/relationships/image"/>
<Relationship Id="rId2" Target="../media/image2.jpeg" Type="http://schemas.openxmlformats.org/officeDocument/2006/relationships/image"/>
<Relationship Id="rId3" Target="../media/image3.gif" Type="http://schemas.openxmlformats.org/officeDocument/2006/relationships/image"/>
</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28575</xdr:rowOff>
    </xdr:from>
    <xdr:to>
      <xdr:col>0</xdr:col>
      <xdr:colOff>1581150</xdr:colOff>
      <xdr:row>0</xdr:row>
      <xdr:rowOff>323850</xdr:rowOff>
    </xdr:to>
    <xdr:pic>
      <xdr:nvPicPr>
        <xdr:cNvPr id="2" name="Picture 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050" y="28575"/>
          <a:ext cx="156210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19050</xdr:colOff>
      <xdr:row>0</xdr:row>
      <xdr:rowOff>95250</xdr:rowOff>
    </xdr:from>
    <xdr:to>
      <xdr:col>0</xdr:col>
      <xdr:colOff>2238375</xdr:colOff>
      <xdr:row>0</xdr:row>
      <xdr:rowOff>314325</xdr:rowOff>
    </xdr:to>
    <xdr:pic>
      <xdr:nvPicPr>
        <xdr:cNvPr id="3" name="Picture 6" descr="MSMS_logo_3" hidden="1"/>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9050" y="95250"/>
          <a:ext cx="2219325" cy="219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182</xdr:row>
      <xdr:rowOff>0</xdr:rowOff>
    </xdr:from>
    <xdr:to>
      <xdr:col>1</xdr:col>
      <xdr:colOff>361950</xdr:colOff>
      <xdr:row>205</xdr:row>
      <xdr:rowOff>104775</xdr:rowOff>
    </xdr:to>
    <xdr:pic>
      <xdr:nvPicPr>
        <xdr:cNvPr id="798721" name="Picture 1" descr="C:\Users\huangb\AppData\Local\Temp\MercuryPriceRatingHistoryChart\PRU.N_2018_04_05_00_10_47.gif"/>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27774900"/>
          <a:ext cx="6400800" cy="382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157</xdr:col>
          <xdr:colOff>0</xdr:colOff>
          <xdr:row>437</xdr:row>
          <xdr:rowOff>0</xdr:rowOff>
        </xdr:from>
        <xdr:to>
          <xdr:col>190</xdr:col>
          <xdr:colOff>0</xdr:colOff>
          <xdr:row>437</xdr:row>
          <xdr:rowOff>0</xdr:rowOff>
        </xdr:to>
        <xdr:sp macro="" textlink="">
          <xdr:nvSpPr>
            <xdr:cNvPr id="2510" name="Button 462" hidden="1">
              <a:extLst>
                <a:ext uri="{63B3BB69-23CF-44E3-9099-C40C66FF867C}">
                  <a14:compatExt spid="_x0000_s25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Format</a:t>
              </a:r>
            </a:p>
            <a:p>
              <a:pPr algn="ctr" rtl="0">
                <a:defRPr sz="1000"/>
              </a:pPr>
              <a:r>
                <a:rPr lang="en-US" sz="1000" b="0" i="0" u="none" strike="noStrike" baseline="0">
                  <a:solidFill>
                    <a:srgbClr val="000000"/>
                  </a:solidFill>
                  <a:latin typeface="Arial"/>
                  <a:cs typeface="Arial"/>
                </a:rPr>
                <a:t>Decimals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157</xdr:col>
          <xdr:colOff>0</xdr:colOff>
          <xdr:row>214</xdr:row>
          <xdr:rowOff>0</xdr:rowOff>
        </xdr:from>
        <xdr:to>
          <xdr:col>157</xdr:col>
          <xdr:colOff>0</xdr:colOff>
          <xdr:row>214</xdr:row>
          <xdr:rowOff>0</xdr:rowOff>
        </xdr:to>
        <xdr:sp macro="" textlink="">
          <xdr:nvSpPr>
            <xdr:cNvPr id="2511" name="Button 463" hidden="1">
              <a:extLst>
                <a:ext uri="{63B3BB69-23CF-44E3-9099-C40C66FF867C}">
                  <a14:compatExt spid="_x0000_s2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Blue</a:t>
              </a:r>
            </a:p>
            <a:p>
              <a:pPr algn="ctr" rtl="0">
                <a:defRPr sz="1000"/>
              </a:pPr>
              <a:r>
                <a:rPr lang="en-US" sz="1000" b="0" i="0" u="none" strike="noStrike" baseline="0">
                  <a:solidFill>
                    <a:srgbClr val="000000"/>
                  </a:solidFill>
                  <a:latin typeface="Arial"/>
                  <a:cs typeface="Arial"/>
                </a:rPr>
                <a:t>Font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157</xdr:col>
          <xdr:colOff>0</xdr:colOff>
          <xdr:row>214</xdr:row>
          <xdr:rowOff>0</xdr:rowOff>
        </xdr:from>
        <xdr:to>
          <xdr:col>157</xdr:col>
          <xdr:colOff>0</xdr:colOff>
          <xdr:row>214</xdr:row>
          <xdr:rowOff>0</xdr:rowOff>
        </xdr:to>
        <xdr:sp macro="" textlink="">
          <xdr:nvSpPr>
            <xdr:cNvPr id="2512" name="Button 464" hidden="1">
              <a:extLst>
                <a:ext uri="{63B3BB69-23CF-44E3-9099-C40C66FF867C}">
                  <a14:compatExt spid="_x0000_s251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Black</a:t>
              </a:r>
            </a:p>
            <a:p>
              <a:pPr algn="ctr" rtl="0">
                <a:defRPr sz="1000"/>
              </a:pPr>
              <a:r>
                <a:rPr lang="en-US" sz="1000" b="0" i="0" u="none" strike="noStrike" baseline="0">
                  <a:solidFill>
                    <a:srgbClr val="000000"/>
                  </a:solidFill>
                  <a:latin typeface="Arial"/>
                  <a:cs typeface="Arial"/>
                </a:rPr>
                <a:t>Font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157</xdr:col>
          <xdr:colOff>0</xdr:colOff>
          <xdr:row>437</xdr:row>
          <xdr:rowOff>0</xdr:rowOff>
        </xdr:from>
        <xdr:to>
          <xdr:col>190</xdr:col>
          <xdr:colOff>0</xdr:colOff>
          <xdr:row>437</xdr:row>
          <xdr:rowOff>0</xdr:rowOff>
        </xdr:to>
        <xdr:sp macro="" textlink="">
          <xdr:nvSpPr>
            <xdr:cNvPr id="41448" name="Button 1512" hidden="1">
              <a:extLst>
                <a:ext uri="{63B3BB69-23CF-44E3-9099-C40C66FF867C}">
                  <a14:compatExt spid="_x0000_s4144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Format</a:t>
              </a:r>
            </a:p>
            <a:p>
              <a:pPr algn="ctr" rtl="0">
                <a:defRPr sz="1000"/>
              </a:pPr>
              <a:r>
                <a:rPr lang="en-US" sz="1000" b="0" i="0" u="none" strike="noStrike" baseline="0">
                  <a:solidFill>
                    <a:srgbClr val="000000"/>
                  </a:solidFill>
                  <a:latin typeface="Arial"/>
                  <a:cs typeface="Arial"/>
                </a:rPr>
                <a:t>Decimals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157</xdr:col>
          <xdr:colOff>0</xdr:colOff>
          <xdr:row>214</xdr:row>
          <xdr:rowOff>0</xdr:rowOff>
        </xdr:from>
        <xdr:to>
          <xdr:col>157</xdr:col>
          <xdr:colOff>0</xdr:colOff>
          <xdr:row>214</xdr:row>
          <xdr:rowOff>0</xdr:rowOff>
        </xdr:to>
        <xdr:sp macro="" textlink="">
          <xdr:nvSpPr>
            <xdr:cNvPr id="41449" name="Button 1513" hidden="1">
              <a:extLst>
                <a:ext uri="{63B3BB69-23CF-44E3-9099-C40C66FF867C}">
                  <a14:compatExt spid="_x0000_s41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Blue</a:t>
              </a:r>
            </a:p>
            <a:p>
              <a:pPr algn="ctr" rtl="0">
                <a:defRPr sz="1000"/>
              </a:pPr>
              <a:r>
                <a:rPr lang="en-US" sz="1000" b="0" i="0" u="none" strike="noStrike" baseline="0">
                  <a:solidFill>
                    <a:srgbClr val="000000"/>
                  </a:solidFill>
                  <a:latin typeface="Arial"/>
                  <a:cs typeface="Arial"/>
                </a:rPr>
                <a:t>Font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157</xdr:col>
          <xdr:colOff>0</xdr:colOff>
          <xdr:row>214</xdr:row>
          <xdr:rowOff>0</xdr:rowOff>
        </xdr:from>
        <xdr:to>
          <xdr:col>157</xdr:col>
          <xdr:colOff>0</xdr:colOff>
          <xdr:row>214</xdr:row>
          <xdr:rowOff>0</xdr:rowOff>
        </xdr:to>
        <xdr:sp macro="" textlink="">
          <xdr:nvSpPr>
            <xdr:cNvPr id="41450" name="Button 1514" hidden="1">
              <a:extLst>
                <a:ext uri="{63B3BB69-23CF-44E3-9099-C40C66FF867C}">
                  <a14:compatExt spid="_x0000_s41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Black</a:t>
              </a:r>
            </a:p>
            <a:p>
              <a:pPr algn="ctr" rtl="0">
                <a:defRPr sz="1000"/>
              </a:pPr>
              <a:r>
                <a:rPr lang="en-US" sz="1000" b="0" i="0" u="none" strike="noStrike" baseline="0">
                  <a:solidFill>
                    <a:srgbClr val="000000"/>
                  </a:solidFill>
                  <a:latin typeface="Arial"/>
                  <a:cs typeface="Arial"/>
                </a:rPr>
                <a:t>Font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
<Relationship Id="rId1" Target="CENmodel091205b.xls" TargetMode="External" Type="http://schemas.microsoft.com/office/2006/relationships/xlExternalLinkPath/xlStartup"/>
</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PEB_Blank"/>
      <sheetName val="mwareTaxoPres"/>
      <sheetName val="Model_Template"/>
      <sheetName val="mwareValPrintout"/>
      <sheetName val="mwarePreview"/>
      <sheetName val="CENMODEL"/>
      <sheetName val="Metrics"/>
      <sheetName val="Valuation"/>
      <sheetName val="Assumptions"/>
      <sheetName val="Variance"/>
      <sheetName val="New Pension Sheet"/>
      <sheetName val="Acqs"/>
      <sheetName val="HRS"/>
      <sheetName val="Options"/>
      <sheetName val="OPEBs"/>
      <sheetName val="mwareDates"/>
      <sheetName val="mwareSettings"/>
      <sheetName val="NY UPLOAD shadow"/>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
<Relationship Id="rId1" Target="../printerSettings/printerSettings1.bin" Type="http://schemas.openxmlformats.org/officeDocument/2006/relationships/printerSettings"/>
<Relationship Id="rId2" Target="../drawings/vmlDrawing1.vml" Type="http://schemas.openxmlformats.org/officeDocument/2006/relationships/vmlDrawing"/>
<Relationship Id="rId3" Target="../comments1.xml" Type="http://schemas.openxmlformats.org/officeDocument/2006/relationships/comments"/>
</Relationships>

</file>

<file path=xl/worksheets/_rels/sheet2.xml.rels><?xml version="1.0" encoding="UTF-8" standalone="yes"?>
<Relationships xmlns="http://schemas.openxmlformats.org/package/2006/relationships">
<Relationship Id="rId1" Target="../printerSettings/printerSettings2.bin" Type="http://schemas.openxmlformats.org/officeDocument/2006/relationships/printerSettings"/>
</Relationships>

</file>

<file path=xl/worksheets/_rels/sheet3.xml.rels><?xml version="1.0" encoding="UTF-8" standalone="yes"?>
<Relationships xmlns="http://schemas.openxmlformats.org/package/2006/relationships">
<Relationship Id="rId1" Target="../printerSettings/printerSettings3.bin" Type="http://schemas.openxmlformats.org/officeDocument/2006/relationships/printerSettings"/>
<Relationship Id="rId2" Target="../drawings/drawing1.xml" Type="http://schemas.openxmlformats.org/officeDocument/2006/relationships/drawing"/>
</Relationships>

</file>

<file path=xl/worksheets/_rels/sheet4.xml.rels><?xml version="1.0" encoding="UTF-8" standalone="yes"?>
<Relationships xmlns="http://schemas.openxmlformats.org/package/2006/relationships">
<Relationship Id="rId1" Target="../printerSettings/printerSettings4.bin" Type="http://schemas.openxmlformats.org/officeDocument/2006/relationships/printerSettings"/>
<Relationship Id="rId10" Target="../comments2.xml" Type="http://schemas.openxmlformats.org/officeDocument/2006/relationships/comments"/>
<Relationship Id="rId2" Target="../drawings/drawing2.xml" Type="http://schemas.openxmlformats.org/officeDocument/2006/relationships/drawing"/>
<Relationship Id="rId3" Target="../drawings/vmlDrawing2.vml" Type="http://schemas.openxmlformats.org/officeDocument/2006/relationships/vmlDrawing"/>
<Relationship Id="rId4" Target="../ctrlProps/ctrlProp1.xml" Type="http://schemas.openxmlformats.org/officeDocument/2006/relationships/ctrlProp"/>
<Relationship Id="rId5" Target="../ctrlProps/ctrlProp2.xml" Type="http://schemas.openxmlformats.org/officeDocument/2006/relationships/ctrlProp"/>
<Relationship Id="rId6" Target="../ctrlProps/ctrlProp3.xml" Type="http://schemas.openxmlformats.org/officeDocument/2006/relationships/ctrlProp"/>
<Relationship Id="rId7" Target="../ctrlProps/ctrlProp4.xml" Type="http://schemas.openxmlformats.org/officeDocument/2006/relationships/ctrlProp"/>
<Relationship Id="rId8" Target="../ctrlProps/ctrlProp5.xml" Type="http://schemas.openxmlformats.org/officeDocument/2006/relationships/ctrlProp"/>
<Relationship Id="rId9" Target="../ctrlProps/ctrlProp6.xml" Type="http://schemas.openxmlformats.org/officeDocument/2006/relationships/ctrlProp"/>
</Relationships>

</file>

<file path=xl/worksheets/_rels/sheet5.xml.rels><?xml version="1.0" encoding="UTF-8" standalone="yes"?>
<Relationships xmlns="http://schemas.openxmlformats.org/package/2006/relationships">
<Relationship Id="rId1" Target="../printerSettings/printerSettings5.bin" Type="http://schemas.openxmlformats.org/officeDocument/2006/relationships/printerSettings"/>
<Relationship Id="rId2" Target="../drawings/vmlDrawing3.vml" Type="http://schemas.openxmlformats.org/officeDocument/2006/relationships/vmlDrawing"/>
<Relationship Id="rId3" Target="../comments3.xml" Type="http://schemas.openxmlformats.org/officeDocument/2006/relationships/comments"/>
</Relationships>

</file>

<file path=xl/worksheets/_rels/sheet6.xml.rels><?xml version="1.0" encoding="UTF-8" standalone="yes"?>
<Relationships xmlns="http://schemas.openxmlformats.org/package/2006/relationships">
<Relationship Id="rId1" Target="../printerSettings/printerSettings6.bin" Type="http://schemas.openxmlformats.org/officeDocument/2006/relationships/printerSettings"/>
</Relationships>

</file>

<file path=xl/worksheets/_rels/sheet7.xml.rels><?xml version="1.0" encoding="UTF-8" standalone="yes"?>
<Relationships xmlns="http://schemas.openxmlformats.org/package/2006/relationships">
<Relationship Id="rId1" Target="../printerSettings/printerSettings7.bin" Type="http://schemas.openxmlformats.org/officeDocument/2006/relationships/printerSettings"/>
</Relationships>

</file>

<file path=xl/worksheets/_rels/sheet8.xml.rels><?xml version="1.0" encoding="UTF-8" standalone="yes"?>
<Relationships xmlns="http://schemas.openxmlformats.org/package/2006/relationships">
<Relationship Id="rId1" Target="../printerSettings/printerSettings8.bin" Type="http://schemas.openxmlformats.org/officeDocument/2006/relationships/printerSettings"/>
<Relationship Id="rId2" Target="../drawings/vmlDrawing4.vml" Type="http://schemas.openxmlformats.org/officeDocument/2006/relationships/vmlDrawing"/>
<Relationship Id="rId3" Target="../comments4.xml" Type="http://schemas.openxmlformats.org/officeDocument/2006/relationships/comments"/>
</Relationships>

</file>

<file path=xl/worksheets/_rels/sheet9.xml.rels><?xml version="1.0" encoding="UTF-8" standalone="yes"?>
<Relationships xmlns="http://schemas.openxmlformats.org/package/2006/relationships">
<Relationship Id="rId1" Target="../printerSettings/printerSettings9.bin" Type="http://schemas.openxmlformats.org/officeDocument/2006/relationships/printerSettings"/>
<Relationship Id="rId2" Target="../drawings/vmlDrawing5.vml" Type="http://schemas.openxmlformats.org/officeDocument/2006/relationships/vmlDrawing"/>
<Relationship Id="rId3" Target="../comments5.xml" Type="http://schemas.openxmlformats.org/officeDocument/2006/relationships/comments"/>
</Relationships>

</file>

<file path=xl/worksheets/_rels/sheet10.xml.rels><?xml version="1.0" encoding="UTF-8" standalone="yes"?>
<Relationships xmlns="http://schemas.openxmlformats.org/package/2006/relationships">
<Relationship Id="rId1" Target="../printerSettings/printerSettings10.bin" Type="http://schemas.openxmlformats.org/officeDocument/2006/relationships/printerSettings"/>
</Relationships>

</file>

<file path=xl/worksheets/_rels/sheet12.xml.rels><?xml version="1.0" encoding="UTF-8" standalone="yes"?>
<Relationships xmlns="http://schemas.openxmlformats.org/package/2006/relationships">
<Relationship Id="rId1" Target="../printerSettings/printerSettings11.bin" Type="http://schemas.openxmlformats.org/officeDocument/2006/relationships/printerSettings"/>
</Relationships>

</file>

<file path=xl/worksheets/_rels/sheet13.xml.rels><?xml version="1.0" encoding="UTF-8" standalone="yes"?>
<Relationships xmlns="http://schemas.openxmlformats.org/package/2006/relationships">
<Relationship Id="rId1" Target="../printerSettings/printerSettings12.bin" Type="http://schemas.openxmlformats.org/officeDocument/2006/relationships/printerSettings"/>
</Relationships>

</file>

<file path=xl/worksheets/_rels/sheet14.xml.rels><?xml version="1.0" encoding="UTF-8" standalone="yes"?>
<Relationships xmlns="http://schemas.openxmlformats.org/package/2006/relationships">
<Relationship Id="rId1" Target="../printerSettings/printerSettings13.bin" Type="http://schemas.openxmlformats.org/officeDocument/2006/relationships/printerSettings"/>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DI24"/>
  <sheetViews>
    <sheetView workbookViewId="0"/>
  </sheetViews>
  <sheetFormatPr defaultRowHeight="12.75" x14ac:dyDescent="0.2"/>
  <sheetData>
    <row r="1" spans="1:2" x14ac:dyDescent="0.2">
      <c r="A1" s="206"/>
      <c r="B1" t="s">
        <v>508</v>
      </c>
    </row>
    <row r="24" spans="113:113" x14ac:dyDescent="0.2">
      <c r="DI24" s="102" t="s">
        <v>682</v>
      </c>
    </row>
  </sheetData>
  <phoneticPr fontId="5" type="noConversion"/>
  <pageMargins left="0.75" right="0.75" top="1" bottom="1" header="0.5" footer="0.5"/>
  <pageSetup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N2"/>
  <sheetViews>
    <sheetView workbookViewId="0"/>
  </sheetViews>
  <sheetFormatPr defaultRowHeight="12.75" x14ac:dyDescent="0.2"/>
  <sheetData>
    <row r="1" spans="1:14" x14ac:dyDescent="0.2">
      <c r="A1" t="s">
        <v>267</v>
      </c>
    </row>
    <row r="2" spans="1:14" x14ac:dyDescent="0.2">
      <c r="A2" s="1" t="s">
        <v>587</v>
      </c>
      <c r="B2" s="1" t="s">
        <v>588</v>
      </c>
      <c r="C2" s="1" t="s">
        <v>90</v>
      </c>
      <c r="D2" s="1" t="s">
        <v>313</v>
      </c>
      <c r="E2" s="1" t="s">
        <v>265</v>
      </c>
      <c r="F2" s="1" t="s">
        <v>476</v>
      </c>
      <c r="G2" s="1" t="s">
        <v>263</v>
      </c>
      <c r="H2" s="1" t="s">
        <v>476</v>
      </c>
      <c r="I2" s="1" t="s">
        <v>91</v>
      </c>
      <c r="J2" s="1" t="s">
        <v>830</v>
      </c>
      <c r="K2" s="1" t="s">
        <v>266</v>
      </c>
      <c r="L2" s="1" t="s">
        <v>476</v>
      </c>
      <c r="M2" s="1" t="s">
        <v>264</v>
      </c>
      <c r="N2" s="1" t="s">
        <v>476</v>
      </c>
    </row>
  </sheetData>
  <phoneticPr fontId="5" type="noConversion"/>
  <pageMargins left="0.75" right="0.75" top="1" bottom="1" header="0.5" footer="0.5"/>
  <pageSetup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H399"/>
  <sheetViews>
    <sheetView showGridLines="0" tabSelected="1" workbookViewId="0">
      <selection activeCell="C41" sqref="C41"/>
    </sheetView>
  </sheetViews>
  <sheetFormatPr defaultRowHeight="12.75" x14ac:dyDescent="0.2"/>
  <cols>
    <col min="1" max="1" width="90.5703125" style="875" customWidth="1"/>
    <col min="2" max="5" width="9.140625" style="875"/>
    <col min="6" max="6" width="18.7109375" style="875" customWidth="1"/>
    <col min="7" max="256" width="9.140625" style="875"/>
    <col min="257" max="257" width="100.7109375" style="875" customWidth="1"/>
    <col min="258" max="512" width="9.140625" style="875"/>
    <col min="513" max="513" width="100.7109375" style="875" customWidth="1"/>
    <col min="514" max="768" width="9.140625" style="875"/>
    <col min="769" max="769" width="100.7109375" style="875" customWidth="1"/>
    <col min="770" max="1024" width="9.140625" style="875"/>
    <col min="1025" max="1025" width="100.7109375" style="875" customWidth="1"/>
    <col min="1026" max="1280" width="9.140625" style="875"/>
    <col min="1281" max="1281" width="100.7109375" style="875" customWidth="1"/>
    <col min="1282" max="1536" width="9.140625" style="875"/>
    <col min="1537" max="1537" width="100.7109375" style="875" customWidth="1"/>
    <col min="1538" max="1792" width="9.140625" style="875"/>
    <col min="1793" max="1793" width="100.7109375" style="875" customWidth="1"/>
    <col min="1794" max="2048" width="9.140625" style="875"/>
    <col min="2049" max="2049" width="100.7109375" style="875" customWidth="1"/>
    <col min="2050" max="2304" width="9.140625" style="875"/>
    <col min="2305" max="2305" width="100.7109375" style="875" customWidth="1"/>
    <col min="2306" max="2560" width="9.140625" style="875"/>
    <col min="2561" max="2561" width="100.7109375" style="875" customWidth="1"/>
    <col min="2562" max="2816" width="9.140625" style="875"/>
    <col min="2817" max="2817" width="100.7109375" style="875" customWidth="1"/>
    <col min="2818" max="3072" width="9.140625" style="875"/>
    <col min="3073" max="3073" width="100.7109375" style="875" customWidth="1"/>
    <col min="3074" max="3328" width="9.140625" style="875"/>
    <col min="3329" max="3329" width="100.7109375" style="875" customWidth="1"/>
    <col min="3330" max="3584" width="9.140625" style="875"/>
    <col min="3585" max="3585" width="100.7109375" style="875" customWidth="1"/>
    <col min="3586" max="3840" width="9.140625" style="875"/>
    <col min="3841" max="3841" width="100.7109375" style="875" customWidth="1"/>
    <col min="3842" max="4096" width="9.140625" style="875"/>
    <col min="4097" max="4097" width="100.7109375" style="875" customWidth="1"/>
    <col min="4098" max="4352" width="9.140625" style="875"/>
    <col min="4353" max="4353" width="100.7109375" style="875" customWidth="1"/>
    <col min="4354" max="4608" width="9.140625" style="875"/>
    <col min="4609" max="4609" width="100.7109375" style="875" customWidth="1"/>
    <col min="4610" max="4864" width="9.140625" style="875"/>
    <col min="4865" max="4865" width="100.7109375" style="875" customWidth="1"/>
    <col min="4866" max="5120" width="9.140625" style="875"/>
    <col min="5121" max="5121" width="100.7109375" style="875" customWidth="1"/>
    <col min="5122" max="5376" width="9.140625" style="875"/>
    <col min="5377" max="5377" width="100.7109375" style="875" customWidth="1"/>
    <col min="5378" max="5632" width="9.140625" style="875"/>
    <col min="5633" max="5633" width="100.7109375" style="875" customWidth="1"/>
    <col min="5634" max="5888" width="9.140625" style="875"/>
    <col min="5889" max="5889" width="100.7109375" style="875" customWidth="1"/>
    <col min="5890" max="6144" width="9.140625" style="875"/>
    <col min="6145" max="6145" width="100.7109375" style="875" customWidth="1"/>
    <col min="6146" max="6400" width="9.140625" style="875"/>
    <col min="6401" max="6401" width="100.7109375" style="875" customWidth="1"/>
    <col min="6402" max="6656" width="9.140625" style="875"/>
    <col min="6657" max="6657" width="100.7109375" style="875" customWidth="1"/>
    <col min="6658" max="6912" width="9.140625" style="875"/>
    <col min="6913" max="6913" width="100.7109375" style="875" customWidth="1"/>
    <col min="6914" max="7168" width="9.140625" style="875"/>
    <col min="7169" max="7169" width="100.7109375" style="875" customWidth="1"/>
    <col min="7170" max="7424" width="9.140625" style="875"/>
    <col min="7425" max="7425" width="100.7109375" style="875" customWidth="1"/>
    <col min="7426" max="7680" width="9.140625" style="875"/>
    <col min="7681" max="7681" width="100.7109375" style="875" customWidth="1"/>
    <col min="7682" max="7936" width="9.140625" style="875"/>
    <col min="7937" max="7937" width="100.7109375" style="875" customWidth="1"/>
    <col min="7938" max="8192" width="9.140625" style="875"/>
    <col min="8193" max="8193" width="100.7109375" style="875" customWidth="1"/>
    <col min="8194" max="8448" width="9.140625" style="875"/>
    <col min="8449" max="8449" width="100.7109375" style="875" customWidth="1"/>
    <col min="8450" max="8704" width="9.140625" style="875"/>
    <col min="8705" max="8705" width="100.7109375" style="875" customWidth="1"/>
    <col min="8706" max="8960" width="9.140625" style="875"/>
    <col min="8961" max="8961" width="100.7109375" style="875" customWidth="1"/>
    <col min="8962" max="9216" width="9.140625" style="875"/>
    <col min="9217" max="9217" width="100.7109375" style="875" customWidth="1"/>
    <col min="9218" max="9472" width="9.140625" style="875"/>
    <col min="9473" max="9473" width="100.7109375" style="875" customWidth="1"/>
    <col min="9474" max="9728" width="9.140625" style="875"/>
    <col min="9729" max="9729" width="100.7109375" style="875" customWidth="1"/>
    <col min="9730" max="9984" width="9.140625" style="875"/>
    <col min="9985" max="9985" width="100.7109375" style="875" customWidth="1"/>
    <col min="9986" max="10240" width="9.140625" style="875"/>
    <col min="10241" max="10241" width="100.7109375" style="875" customWidth="1"/>
    <col min="10242" max="10496" width="9.140625" style="875"/>
    <col min="10497" max="10497" width="100.7109375" style="875" customWidth="1"/>
    <col min="10498" max="10752" width="9.140625" style="875"/>
    <col min="10753" max="10753" width="100.7109375" style="875" customWidth="1"/>
    <col min="10754" max="11008" width="9.140625" style="875"/>
    <col min="11009" max="11009" width="100.7109375" style="875" customWidth="1"/>
    <col min="11010" max="11264" width="9.140625" style="875"/>
    <col min="11265" max="11265" width="100.7109375" style="875" customWidth="1"/>
    <col min="11266" max="11520" width="9.140625" style="875"/>
    <col min="11521" max="11521" width="100.7109375" style="875" customWidth="1"/>
    <col min="11522" max="11776" width="9.140625" style="875"/>
    <col min="11777" max="11777" width="100.7109375" style="875" customWidth="1"/>
    <col min="11778" max="12032" width="9.140625" style="875"/>
    <col min="12033" max="12033" width="100.7109375" style="875" customWidth="1"/>
    <col min="12034" max="12288" width="9.140625" style="875"/>
    <col min="12289" max="12289" width="100.7109375" style="875" customWidth="1"/>
    <col min="12290" max="12544" width="9.140625" style="875"/>
    <col min="12545" max="12545" width="100.7109375" style="875" customWidth="1"/>
    <col min="12546" max="12800" width="9.140625" style="875"/>
    <col min="12801" max="12801" width="100.7109375" style="875" customWidth="1"/>
    <col min="12802" max="13056" width="9.140625" style="875"/>
    <col min="13057" max="13057" width="100.7109375" style="875" customWidth="1"/>
    <col min="13058" max="13312" width="9.140625" style="875"/>
    <col min="13313" max="13313" width="100.7109375" style="875" customWidth="1"/>
    <col min="13314" max="13568" width="9.140625" style="875"/>
    <col min="13569" max="13569" width="100.7109375" style="875" customWidth="1"/>
    <col min="13570" max="13824" width="9.140625" style="875"/>
    <col min="13825" max="13825" width="100.7109375" style="875" customWidth="1"/>
    <col min="13826" max="14080" width="9.140625" style="875"/>
    <col min="14081" max="14081" width="100.7109375" style="875" customWidth="1"/>
    <col min="14082" max="14336" width="9.140625" style="875"/>
    <col min="14337" max="14337" width="100.7109375" style="875" customWidth="1"/>
    <col min="14338" max="14592" width="9.140625" style="875"/>
    <col min="14593" max="14593" width="100.7109375" style="875" customWidth="1"/>
    <col min="14594" max="14848" width="9.140625" style="875"/>
    <col min="14849" max="14849" width="100.7109375" style="875" customWidth="1"/>
    <col min="14850" max="15104" width="9.140625" style="875"/>
    <col min="15105" max="15105" width="100.7109375" style="875" customWidth="1"/>
    <col min="15106" max="15360" width="9.140625" style="875"/>
    <col min="15361" max="15361" width="100.7109375" style="875" customWidth="1"/>
    <col min="15362" max="15616" width="9.140625" style="875"/>
    <col min="15617" max="15617" width="100.7109375" style="875" customWidth="1"/>
    <col min="15618" max="15872" width="9.140625" style="875"/>
    <col min="15873" max="15873" width="100.7109375" style="875" customWidth="1"/>
    <col min="15874" max="16128" width="9.140625" style="875"/>
    <col min="16129" max="16129" width="100.7109375" style="875" customWidth="1"/>
    <col min="16130" max="16384" width="9.140625" style="875"/>
  </cols>
  <sheetData>
    <row r="1" spans="1:8" ht="30" customHeight="1" x14ac:dyDescent="0.2">
      <c r="A1" s="873"/>
      <c r="B1" s="874"/>
      <c r="C1" s="874"/>
      <c r="D1" s="874"/>
      <c r="E1" s="874"/>
      <c r="F1" s="874"/>
      <c r="G1" s="874"/>
      <c r="H1" s="874"/>
    </row>
    <row r="2" spans="1:8" ht="14.25" x14ac:dyDescent="0.2">
      <c r="A2" s="876" t="s">
        <v>835</v>
      </c>
      <c r="B2" s="874"/>
      <c r="C2" s="874"/>
      <c r="D2" s="874"/>
      <c r="E2" s="874"/>
      <c r="F2" s="874"/>
      <c r="G2" s="874"/>
      <c r="H2" s="874"/>
    </row>
    <row r="3" spans="1:8" ht="14.25" x14ac:dyDescent="0.2">
      <c r="A3" s="876" t="s">
        <v>836</v>
      </c>
      <c r="B3" s="874"/>
      <c r="C3" s="874"/>
      <c r="D3" s="874"/>
      <c r="E3" s="874"/>
      <c r="F3" s="874"/>
      <c r="G3" s="874"/>
      <c r="H3" s="874"/>
    </row>
    <row r="4" spans="1:8" ht="14.25" x14ac:dyDescent="0.2">
      <c r="A4" s="876" t="s">
        <v>837</v>
      </c>
      <c r="B4" s="874"/>
      <c r="C4" s="874"/>
      <c r="D4" s="874"/>
      <c r="E4" s="874"/>
      <c r="F4" s="874"/>
      <c r="G4" s="874"/>
      <c r="H4" s="874"/>
    </row>
    <row r="5" spans="1:8" ht="14.25" x14ac:dyDescent="0.2">
      <c r="A5" s="876" t="s">
        <v>838</v>
      </c>
      <c r="B5" s="874"/>
      <c r="C5" s="874"/>
      <c r="D5" s="874"/>
      <c r="E5" s="874"/>
      <c r="F5" s="874"/>
      <c r="G5" s="874"/>
      <c r="H5" s="874"/>
    </row>
    <row r="6" spans="1:8" ht="14.25" x14ac:dyDescent="0.2">
      <c r="A6" s="876"/>
      <c r="B6" s="874"/>
      <c r="C6" s="874"/>
      <c r="D6" s="874"/>
      <c r="E6" s="874"/>
      <c r="F6" s="874"/>
      <c r="G6" s="874"/>
      <c r="H6" s="874"/>
    </row>
    <row r="7" spans="1:8" x14ac:dyDescent="0.2">
      <c r="A7" s="873" t="s">
        <v>839</v>
      </c>
      <c r="B7" s="874"/>
      <c r="C7" s="874"/>
      <c r="D7" s="874"/>
      <c r="E7" s="874"/>
      <c r="F7" s="874"/>
      <c r="G7" s="874"/>
      <c r="H7" s="874"/>
    </row>
    <row r="8" spans="1:8" x14ac:dyDescent="0.2">
      <c r="A8" s="873" t="s">
        <v>840</v>
      </c>
      <c r="B8" s="874"/>
      <c r="C8" s="874"/>
      <c r="D8" s="874"/>
      <c r="E8" s="874"/>
      <c r="F8" s="874"/>
      <c r="G8" s="874"/>
      <c r="H8" s="874"/>
    </row>
    <row r="9" spans="1:8" x14ac:dyDescent="0.2">
      <c r="A9" s="873"/>
      <c r="B9" s="874"/>
      <c r="C9" s="874"/>
      <c r="D9" s="874"/>
      <c r="E9" s="874"/>
      <c r="F9" s="874"/>
      <c r="G9" s="874"/>
      <c r="H9" s="874"/>
    </row>
    <row r="10" spans="1:8" x14ac:dyDescent="0.2">
      <c r="A10" s="877" t="s">
        <v>841</v>
      </c>
      <c r="B10" s="874"/>
      <c r="C10" s="874"/>
      <c r="D10" s="874"/>
      <c r="E10" s="874"/>
      <c r="F10" s="874"/>
      <c r="G10" s="874"/>
      <c r="H10" s="874"/>
    </row>
    <row r="11" spans="1:8" x14ac:dyDescent="0.2">
      <c r="A11" s="877" t="s">
        <v>842</v>
      </c>
      <c r="B11" s="874"/>
      <c r="C11" s="874"/>
      <c r="D11" s="874"/>
      <c r="E11" s="874"/>
      <c r="F11" s="874"/>
      <c r="G11" s="874"/>
      <c r="H11" s="874"/>
    </row>
    <row r="12" spans="1:8" x14ac:dyDescent="0.2">
      <c r="A12" s="877" t="s">
        <v>843</v>
      </c>
      <c r="B12" s="874"/>
      <c r="C12" s="874"/>
      <c r="D12" s="874"/>
      <c r="E12" s="874"/>
      <c r="F12" s="874"/>
      <c r="G12" s="874"/>
      <c r="H12" s="874"/>
    </row>
    <row r="13" spans="1:8" x14ac:dyDescent="0.2">
      <c r="A13" s="877" t="s">
        <v>844</v>
      </c>
      <c r="B13" s="874"/>
      <c r="C13" s="874"/>
      <c r="D13" s="874"/>
      <c r="E13" s="874"/>
      <c r="F13" s="874"/>
      <c r="G13" s="874"/>
      <c r="H13" s="874"/>
    </row>
    <row r="14" spans="1:8" x14ac:dyDescent="0.2">
      <c r="A14" s="877" t="s">
        <v>845</v>
      </c>
      <c r="B14" s="874"/>
      <c r="C14" s="874"/>
      <c r="D14" s="874"/>
      <c r="E14" s="874"/>
      <c r="F14" s="874"/>
      <c r="G14" s="874"/>
      <c r="H14" s="874"/>
    </row>
    <row r="15" spans="1:8" x14ac:dyDescent="0.2">
      <c r="A15" s="877" t="s">
        <v>846</v>
      </c>
      <c r="B15" s="874"/>
      <c r="C15" s="874"/>
      <c r="D15" s="874"/>
      <c r="E15" s="874"/>
      <c r="F15" s="874"/>
      <c r="G15" s="874"/>
      <c r="H15" s="874"/>
    </row>
    <row r="16" spans="1:8" x14ac:dyDescent="0.2">
      <c r="A16" s="877"/>
      <c r="B16" s="874"/>
      <c r="C16" s="874"/>
      <c r="D16" s="874"/>
      <c r="E16" s="874"/>
      <c r="F16" s="874"/>
      <c r="G16" s="874"/>
      <c r="H16" s="874"/>
    </row>
    <row r="17" spans="1:8" x14ac:dyDescent="0.2">
      <c r="A17" s="877" t="s">
        <v>832</v>
      </c>
      <c r="B17" s="874"/>
      <c r="C17" s="874"/>
      <c r="D17" s="874"/>
      <c r="E17" s="874"/>
      <c r="F17" s="874"/>
      <c r="G17" s="874"/>
      <c r="H17" s="874"/>
    </row>
    <row r="18" spans="1:8" x14ac:dyDescent="0.2">
      <c r="A18" s="877"/>
      <c r="B18" s="874"/>
      <c r="C18" s="874"/>
      <c r="D18" s="874"/>
      <c r="E18" s="874"/>
      <c r="F18" s="874"/>
      <c r="G18" s="874"/>
      <c r="H18" s="874"/>
    </row>
    <row r="19" spans="1:8" x14ac:dyDescent="0.2">
      <c r="A19" s="877" t="s">
        <v>833</v>
      </c>
      <c r="B19" s="874"/>
      <c r="C19" s="874"/>
      <c r="D19" s="874"/>
      <c r="E19" s="874"/>
      <c r="F19" s="874"/>
      <c r="G19" s="874"/>
      <c r="H19" s="874"/>
    </row>
    <row r="20" spans="1:8" x14ac:dyDescent="0.2">
      <c r="A20" s="873"/>
      <c r="B20" s="874"/>
      <c r="C20" s="874"/>
      <c r="D20" s="874"/>
      <c r="E20" s="874"/>
      <c r="F20" s="874"/>
      <c r="G20" s="874"/>
      <c r="H20" s="874"/>
    </row>
    <row r="21" spans="1:8" x14ac:dyDescent="0.2">
      <c r="A21" s="878" t="s">
        <v>834</v>
      </c>
      <c r="B21" s="874"/>
      <c r="C21" s="874"/>
      <c r="D21" s="874"/>
      <c r="E21" s="874"/>
      <c r="F21" s="874"/>
      <c r="G21" s="874"/>
      <c r="H21" s="874"/>
    </row>
    <row r="22" spans="1:8" x14ac:dyDescent="0.2">
      <c r="A22" s="879"/>
      <c r="B22" s="879"/>
      <c r="C22" s="879"/>
      <c r="D22" s="879"/>
      <c r="E22" s="879"/>
      <c r="F22" s="879"/>
      <c r="G22" s="879"/>
      <c r="H22" s="879"/>
    </row>
    <row r="23" spans="1:8" x14ac:dyDescent="0.2">
      <c r="A23" s="880" t="s">
        <v>1129</v>
      </c>
      <c r="B23" s="879"/>
      <c r="C23" s="879"/>
      <c r="D23" s="879"/>
      <c r="E23" s="879"/>
      <c r="F23" s="879"/>
      <c r="G23" s="879"/>
      <c r="H23" s="879"/>
    </row>
    <row r="24" spans="1:8" x14ac:dyDescent="0.2">
      <c r="A24" s="880" t="s">
        <v>1130</v>
      </c>
      <c r="B24" s="879"/>
      <c r="C24" s="879"/>
      <c r="D24" s="879"/>
      <c r="E24" s="879"/>
      <c r="F24" s="879"/>
      <c r="G24" s="879"/>
      <c r="H24" s="879"/>
    </row>
    <row r="25" spans="1:8" x14ac:dyDescent="0.2">
      <c r="A25" s="880" t="s">
        <v>1131</v>
      </c>
      <c r="B25" s="879"/>
      <c r="C25" s="879"/>
      <c r="D25" s="879"/>
      <c r="E25" s="879"/>
      <c r="F25" s="879"/>
      <c r="G25" s="879"/>
      <c r="H25" s="879"/>
    </row>
    <row r="26" spans="1:8" x14ac:dyDescent="0.2">
      <c r="A26" s="880" t="s">
        <v>1132</v>
      </c>
      <c r="B26" s="879"/>
      <c r="C26" s="879"/>
      <c r="D26" s="879"/>
      <c r="E26" s="879"/>
      <c r="F26" s="879"/>
      <c r="G26" s="879"/>
      <c r="H26" s="879"/>
    </row>
    <row r="27" spans="1:8" x14ac:dyDescent="0.2">
      <c r="A27" s="879"/>
      <c r="B27" s="879"/>
      <c r="C27" s="879"/>
      <c r="D27" s="879"/>
      <c r="E27" s="879"/>
      <c r="F27" s="879"/>
      <c r="G27" s="879"/>
      <c r="H27" s="879"/>
    </row>
    <row r="28" spans="1:8" x14ac:dyDescent="0.2">
      <c r="A28" s="879"/>
      <c r="B28" s="879"/>
      <c r="C28" s="879"/>
      <c r="D28" s="879"/>
      <c r="E28" s="879"/>
      <c r="F28" s="879"/>
      <c r="G28" s="879"/>
      <c r="H28" s="879"/>
    </row>
    <row r="29" spans="1:8" x14ac:dyDescent="0.2">
      <c r="A29" s="880" t="s">
        <v>1124</v>
      </c>
      <c r="B29" s="879"/>
      <c r="C29" s="879"/>
      <c r="D29" s="879"/>
      <c r="E29" s="879"/>
      <c r="F29" s="879"/>
      <c r="G29" s="879"/>
      <c r="H29" s="879"/>
    </row>
    <row r="30" spans="1:8" x14ac:dyDescent="0.2">
      <c r="A30" s="880" t="s">
        <v>1125</v>
      </c>
      <c r="B30" s="879"/>
      <c r="C30" s="879"/>
      <c r="D30" s="879"/>
      <c r="E30" s="879"/>
      <c r="F30" s="879"/>
      <c r="G30" s="879"/>
      <c r="H30" s="879"/>
    </row>
    <row r="31" spans="1:8" x14ac:dyDescent="0.2">
      <c r="A31" s="880" t="s">
        <v>1126</v>
      </c>
      <c r="B31" s="879"/>
      <c r="C31" s="879"/>
      <c r="D31" s="879"/>
      <c r="E31" s="879"/>
      <c r="F31" s="879"/>
      <c r="G31" s="879"/>
      <c r="H31" s="879"/>
    </row>
    <row r="32" spans="1:8" x14ac:dyDescent="0.2">
      <c r="A32" s="880" t="s">
        <v>1127</v>
      </c>
      <c r="B32" s="879"/>
      <c r="C32" s="879"/>
      <c r="D32" s="879"/>
      <c r="E32" s="879"/>
      <c r="F32" s="879"/>
      <c r="G32" s="879"/>
      <c r="H32" s="879"/>
    </row>
    <row r="33" spans="1:8" x14ac:dyDescent="0.2">
      <c r="A33" s="880" t="s">
        <v>1128</v>
      </c>
      <c r="B33" s="879"/>
      <c r="C33" s="879"/>
      <c r="D33" s="879"/>
      <c r="E33" s="879"/>
      <c r="F33" s="879"/>
      <c r="G33" s="879"/>
      <c r="H33" s="879"/>
    </row>
    <row r="34" spans="1:8" x14ac:dyDescent="0.2">
      <c r="A34" s="879"/>
      <c r="B34" s="879"/>
      <c r="C34" s="879"/>
      <c r="D34" s="879"/>
      <c r="E34" s="879"/>
      <c r="F34" s="879"/>
      <c r="G34" s="879"/>
      <c r="H34" s="879"/>
    </row>
    <row r="35" spans="1:8" x14ac:dyDescent="0.2">
      <c r="A35" s="880" t="s">
        <v>1120</v>
      </c>
      <c r="B35" s="879"/>
      <c r="C35" s="879"/>
      <c r="D35" s="879"/>
      <c r="E35" s="879"/>
      <c r="F35" s="879"/>
      <c r="G35" s="879"/>
      <c r="H35" s="879"/>
    </row>
    <row r="36" spans="1:8" x14ac:dyDescent="0.2">
      <c r="A36" s="880" t="s">
        <v>1121</v>
      </c>
      <c r="B36" s="879"/>
      <c r="C36" s="879"/>
      <c r="D36" s="879"/>
      <c r="E36" s="879"/>
      <c r="F36" s="879"/>
      <c r="G36" s="879"/>
      <c r="H36" s="879"/>
    </row>
    <row r="37" spans="1:8" x14ac:dyDescent="0.2">
      <c r="A37" s="880" t="s">
        <v>1122</v>
      </c>
      <c r="B37" s="879"/>
      <c r="C37" s="879"/>
      <c r="D37" s="879"/>
      <c r="E37" s="879"/>
      <c r="F37" s="879"/>
      <c r="G37" s="879"/>
      <c r="H37" s="879"/>
    </row>
    <row r="38" spans="1:8" x14ac:dyDescent="0.2">
      <c r="A38" s="880" t="s">
        <v>1123</v>
      </c>
      <c r="B38" s="879"/>
      <c r="C38" s="879"/>
      <c r="D38" s="879"/>
      <c r="E38" s="879"/>
      <c r="F38" s="879"/>
      <c r="G38" s="879"/>
      <c r="H38" s="879"/>
    </row>
    <row r="39" spans="1:8" x14ac:dyDescent="0.2">
      <c r="A39" s="879"/>
      <c r="B39" s="879"/>
      <c r="C39" s="879"/>
      <c r="D39" s="879"/>
      <c r="E39" s="879"/>
      <c r="F39" s="879"/>
      <c r="G39" s="879"/>
      <c r="H39" s="879"/>
    </row>
    <row r="40" spans="1:8" x14ac:dyDescent="0.2">
      <c r="A40" s="880" t="s">
        <v>1114</v>
      </c>
      <c r="B40" s="879"/>
      <c r="C40" s="879"/>
      <c r="D40" s="879"/>
      <c r="E40" s="879"/>
      <c r="F40" s="879"/>
      <c r="G40" s="879"/>
      <c r="H40" s="879"/>
    </row>
    <row r="41" spans="1:8" x14ac:dyDescent="0.2">
      <c r="A41" s="880" t="s">
        <v>1115</v>
      </c>
      <c r="B41" s="879"/>
      <c r="C41" s="879"/>
      <c r="D41" s="879"/>
      <c r="E41" s="879"/>
      <c r="F41" s="879"/>
      <c r="G41" s="879"/>
      <c r="H41" s="879"/>
    </row>
    <row r="42" spans="1:8" x14ac:dyDescent="0.2">
      <c r="A42" s="880" t="s">
        <v>1116</v>
      </c>
      <c r="B42" s="879"/>
      <c r="C42" s="879"/>
      <c r="D42" s="879"/>
      <c r="E42" s="879"/>
      <c r="F42" s="879"/>
      <c r="G42" s="879"/>
      <c r="H42" s="879"/>
    </row>
    <row r="43" spans="1:8" x14ac:dyDescent="0.2">
      <c r="A43" s="880" t="s">
        <v>1117</v>
      </c>
      <c r="B43" s="879"/>
      <c r="C43" s="879"/>
      <c r="D43" s="879"/>
      <c r="E43" s="879"/>
      <c r="F43" s="879"/>
      <c r="G43" s="879"/>
      <c r="H43" s="879"/>
    </row>
    <row r="44" spans="1:8" x14ac:dyDescent="0.2">
      <c r="A44" s="880" t="s">
        <v>1118</v>
      </c>
      <c r="B44" s="879"/>
      <c r="C44" s="879"/>
      <c r="D44" s="879"/>
      <c r="E44" s="879"/>
      <c r="F44" s="879"/>
      <c r="G44" s="879"/>
      <c r="H44" s="879"/>
    </row>
    <row r="45" spans="1:8" x14ac:dyDescent="0.2">
      <c r="A45" s="880" t="s">
        <v>1119</v>
      </c>
      <c r="B45" s="879"/>
      <c r="C45" s="879"/>
      <c r="D45" s="879"/>
      <c r="E45" s="879"/>
      <c r="F45" s="879"/>
      <c r="G45" s="879"/>
      <c r="H45" s="879"/>
    </row>
    <row r="46" spans="1:8" x14ac:dyDescent="0.2">
      <c r="A46" s="882"/>
      <c r="B46" s="883"/>
      <c r="C46" s="883"/>
      <c r="D46" s="883"/>
      <c r="E46" s="883"/>
      <c r="F46" s="883"/>
      <c r="G46" s="883"/>
      <c r="H46" s="883"/>
    </row>
    <row r="47" spans="1:8" ht="72" customHeight="1" x14ac:dyDescent="0.2">
      <c r="A47" s="903" t="s">
        <v>1200</v>
      </c>
      <c r="B47" s="883"/>
      <c r="C47" s="883"/>
      <c r="D47" s="883"/>
      <c r="E47" s="883"/>
      <c r="F47" s="883"/>
      <c r="G47" s="883"/>
      <c r="H47" s="883"/>
    </row>
    <row r="48" spans="1:8" x14ac:dyDescent="0.2">
      <c r="A48" s="879"/>
      <c r="B48" s="879"/>
      <c r="C48" s="879"/>
      <c r="D48" s="879"/>
      <c r="E48" s="879"/>
      <c r="F48" s="879"/>
      <c r="G48" s="879"/>
      <c r="H48" s="879"/>
    </row>
    <row r="49" spans="1:8" ht="15.75" x14ac:dyDescent="0.2">
      <c r="A49" s="881" t="s">
        <v>847</v>
      </c>
      <c r="B49" s="879"/>
      <c r="C49" s="879"/>
      <c r="D49" s="879"/>
      <c r="E49" s="879"/>
      <c r="F49" s="879"/>
      <c r="G49" s="879"/>
      <c r="H49" s="879"/>
    </row>
    <row r="50" spans="1:8" x14ac:dyDescent="0.2">
      <c r="A50" s="879"/>
      <c r="B50" s="879"/>
      <c r="C50" s="879"/>
      <c r="D50" s="879"/>
      <c r="E50" s="879"/>
      <c r="F50" s="879"/>
      <c r="G50" s="879"/>
      <c r="H50" s="879"/>
    </row>
    <row r="51" spans="1:8" x14ac:dyDescent="0.2">
      <c r="A51" s="880" t="s">
        <v>1110</v>
      </c>
      <c r="B51" s="879"/>
      <c r="C51" s="879"/>
      <c r="D51" s="879"/>
      <c r="E51" s="879"/>
      <c r="F51" s="879"/>
      <c r="G51" s="879"/>
      <c r="H51" s="879"/>
    </row>
    <row r="52" spans="1:8" x14ac:dyDescent="0.2">
      <c r="A52" s="880" t="s">
        <v>1111</v>
      </c>
      <c r="B52" s="879"/>
      <c r="C52" s="879"/>
      <c r="D52" s="879"/>
      <c r="E52" s="879"/>
      <c r="F52" s="879"/>
      <c r="G52" s="879"/>
      <c r="H52" s="879"/>
    </row>
    <row r="53" spans="1:8" x14ac:dyDescent="0.2">
      <c r="A53" s="880" t="s">
        <v>1112</v>
      </c>
      <c r="B53" s="879"/>
      <c r="C53" s="879"/>
      <c r="D53" s="879"/>
      <c r="E53" s="879"/>
      <c r="F53" s="879"/>
      <c r="G53" s="879"/>
      <c r="H53" s="879"/>
    </row>
    <row r="54" spans="1:8" x14ac:dyDescent="0.2">
      <c r="A54" s="880" t="s">
        <v>1113</v>
      </c>
      <c r="B54" s="879"/>
      <c r="C54" s="879"/>
      <c r="D54" s="879"/>
      <c r="E54" s="879"/>
      <c r="F54" s="879"/>
      <c r="G54" s="879"/>
      <c r="H54" s="879"/>
    </row>
    <row r="55" spans="1:8" x14ac:dyDescent="0.2">
      <c r="A55" s="879"/>
      <c r="B55" s="879"/>
      <c r="C55" s="879"/>
      <c r="D55" s="879"/>
      <c r="E55" s="879"/>
      <c r="F55" s="879"/>
      <c r="G55" s="879"/>
      <c r="H55" s="879"/>
    </row>
    <row r="56" spans="1:8" x14ac:dyDescent="0.2">
      <c r="A56" s="880" t="s">
        <v>848</v>
      </c>
      <c r="B56" s="879"/>
      <c r="C56" s="879"/>
      <c r="D56" s="879"/>
      <c r="E56" s="879"/>
      <c r="F56" s="879"/>
      <c r="G56" s="879"/>
      <c r="H56" s="879"/>
    </row>
    <row r="57" spans="1:8" x14ac:dyDescent="0.2">
      <c r="A57" s="879"/>
      <c r="B57" s="879"/>
      <c r="C57" s="879"/>
      <c r="D57" s="879"/>
      <c r="E57" s="879"/>
      <c r="F57" s="879"/>
      <c r="G57" s="879"/>
      <c r="H57" s="879"/>
    </row>
    <row r="58" spans="1:8" ht="15.75" x14ac:dyDescent="0.2">
      <c r="A58" s="881" t="s">
        <v>849</v>
      </c>
      <c r="B58" s="879"/>
      <c r="C58" s="879"/>
      <c r="D58" s="879"/>
      <c r="E58" s="879"/>
      <c r="F58" s="879"/>
      <c r="G58" s="879"/>
      <c r="H58" s="879"/>
    </row>
    <row r="59" spans="1:8" x14ac:dyDescent="0.2">
      <c r="A59" s="879"/>
      <c r="B59" s="879"/>
      <c r="C59" s="879"/>
      <c r="D59" s="879"/>
      <c r="E59" s="879"/>
      <c r="F59" s="879"/>
      <c r="G59" s="879"/>
      <c r="H59" s="879"/>
    </row>
    <row r="60" spans="1:8" x14ac:dyDescent="0.2">
      <c r="A60" s="880" t="s">
        <v>1108</v>
      </c>
      <c r="B60" s="879"/>
      <c r="C60" s="879"/>
      <c r="D60" s="879"/>
      <c r="E60" s="879"/>
      <c r="F60" s="879"/>
      <c r="G60" s="879"/>
      <c r="H60" s="879"/>
    </row>
    <row r="61" spans="1:8" x14ac:dyDescent="0.2">
      <c r="A61" s="880" t="s">
        <v>1109</v>
      </c>
      <c r="B61" s="879"/>
      <c r="C61" s="879"/>
      <c r="D61" s="879"/>
      <c r="E61" s="879"/>
      <c r="F61" s="879"/>
      <c r="G61" s="879"/>
      <c r="H61" s="879"/>
    </row>
    <row r="62" spans="1:8" x14ac:dyDescent="0.2">
      <c r="A62" s="879"/>
      <c r="B62" s="879"/>
      <c r="C62" s="879"/>
      <c r="D62" s="879"/>
      <c r="E62" s="879"/>
      <c r="F62" s="879"/>
      <c r="G62" s="879"/>
      <c r="H62" s="879"/>
    </row>
    <row r="63" spans="1:8" ht="15.75" x14ac:dyDescent="0.2">
      <c r="A63" s="881" t="s">
        <v>850</v>
      </c>
      <c r="B63" s="879"/>
      <c r="C63" s="879"/>
      <c r="D63" s="879"/>
      <c r="E63" s="879"/>
      <c r="F63" s="879"/>
      <c r="G63" s="879"/>
      <c r="H63" s="879"/>
    </row>
    <row r="64" spans="1:8" x14ac:dyDescent="0.2">
      <c r="A64" s="879"/>
      <c r="B64" s="879"/>
      <c r="C64" s="879"/>
      <c r="D64" s="879"/>
      <c r="E64" s="879"/>
      <c r="F64" s="879"/>
      <c r="G64" s="879"/>
      <c r="H64" s="879"/>
    </row>
    <row r="65" spans="1:8" x14ac:dyDescent="0.2">
      <c r="A65" s="880" t="s">
        <v>1106</v>
      </c>
      <c r="B65" s="879"/>
      <c r="C65" s="879"/>
      <c r="D65" s="879"/>
      <c r="E65" s="879"/>
      <c r="F65" s="879"/>
      <c r="G65" s="879"/>
      <c r="H65" s="879"/>
    </row>
    <row r="66" spans="1:8" x14ac:dyDescent="0.2">
      <c r="A66" s="880" t="s">
        <v>1107</v>
      </c>
      <c r="B66" s="879"/>
      <c r="C66" s="879"/>
      <c r="D66" s="879"/>
      <c r="E66" s="879"/>
      <c r="F66" s="879"/>
      <c r="G66" s="879"/>
      <c r="H66" s="879"/>
    </row>
    <row r="67" spans="1:8" x14ac:dyDescent="0.2">
      <c r="A67" s="879"/>
      <c r="B67" s="879"/>
      <c r="C67" s="879"/>
      <c r="D67" s="879"/>
      <c r="E67" s="879"/>
      <c r="F67" s="879"/>
      <c r="G67" s="879"/>
      <c r="H67" s="879"/>
    </row>
    <row r="68" spans="1:8" x14ac:dyDescent="0.2">
      <c r="A68" s="880" t="s">
        <v>1104</v>
      </c>
      <c r="B68" s="879"/>
      <c r="C68" s="879"/>
      <c r="D68" s="879"/>
      <c r="E68" s="879"/>
      <c r="F68" s="879"/>
      <c r="G68" s="879"/>
      <c r="H68" s="879"/>
    </row>
    <row r="69" spans="1:8" x14ac:dyDescent="0.2">
      <c r="A69" s="880" t="s">
        <v>1105</v>
      </c>
      <c r="B69" s="879"/>
      <c r="C69" s="879"/>
      <c r="D69" s="879"/>
      <c r="E69" s="879"/>
      <c r="F69" s="879"/>
      <c r="G69" s="879"/>
      <c r="H69" s="879"/>
    </row>
    <row r="70" spans="1:8" x14ac:dyDescent="0.2">
      <c r="A70" s="879"/>
      <c r="B70" s="879"/>
      <c r="C70" s="879"/>
      <c r="D70" s="879"/>
      <c r="E70" s="879"/>
      <c r="F70" s="879"/>
      <c r="G70" s="879"/>
      <c r="H70" s="879"/>
    </row>
    <row r="71" spans="1:8" x14ac:dyDescent="0.2">
      <c r="A71" s="880" t="s">
        <v>1102</v>
      </c>
      <c r="B71" s="879"/>
      <c r="C71" s="879"/>
      <c r="D71" s="879"/>
      <c r="E71" s="879"/>
      <c r="F71" s="879"/>
      <c r="G71" s="879"/>
      <c r="H71" s="879"/>
    </row>
    <row r="72" spans="1:8" x14ac:dyDescent="0.2">
      <c r="A72" s="880" t="s">
        <v>1103</v>
      </c>
      <c r="B72" s="879"/>
      <c r="C72" s="879"/>
      <c r="D72" s="879"/>
      <c r="E72" s="879"/>
      <c r="F72" s="879"/>
      <c r="G72" s="879"/>
      <c r="H72" s="879"/>
    </row>
    <row r="73" spans="1:8" x14ac:dyDescent="0.2">
      <c r="A73" s="879"/>
      <c r="B73" s="879"/>
      <c r="C73" s="879"/>
      <c r="D73" s="879"/>
      <c r="E73" s="879"/>
      <c r="F73" s="879"/>
      <c r="G73" s="879"/>
      <c r="H73" s="879"/>
    </row>
    <row r="74" spans="1:8" x14ac:dyDescent="0.2">
      <c r="A74" s="880" t="s">
        <v>1100</v>
      </c>
      <c r="B74" s="879"/>
      <c r="C74" s="879"/>
      <c r="D74" s="879"/>
      <c r="E74" s="879"/>
      <c r="F74" s="879"/>
      <c r="G74" s="879"/>
      <c r="H74" s="879"/>
    </row>
    <row r="75" spans="1:8" x14ac:dyDescent="0.2">
      <c r="A75" s="880" t="s">
        <v>1101</v>
      </c>
      <c r="B75" s="879"/>
      <c r="C75" s="879"/>
      <c r="D75" s="879"/>
      <c r="E75" s="879"/>
      <c r="F75" s="879"/>
      <c r="G75" s="879"/>
      <c r="H75" s="879"/>
    </row>
    <row r="76" spans="1:8" x14ac:dyDescent="0.2">
      <c r="A76" s="879"/>
      <c r="B76" s="879"/>
      <c r="C76" s="879"/>
      <c r="D76" s="879"/>
      <c r="E76" s="879"/>
      <c r="F76" s="879"/>
      <c r="G76" s="879"/>
      <c r="H76" s="879"/>
    </row>
    <row r="77" spans="1:8" x14ac:dyDescent="0.2">
      <c r="A77" s="880" t="s">
        <v>1098</v>
      </c>
      <c r="B77" s="879"/>
      <c r="C77" s="879"/>
      <c r="D77" s="879"/>
      <c r="E77" s="879"/>
      <c r="F77" s="879"/>
      <c r="G77" s="879"/>
      <c r="H77" s="879"/>
    </row>
    <row r="78" spans="1:8" x14ac:dyDescent="0.2">
      <c r="A78" s="880" t="s">
        <v>1099</v>
      </c>
      <c r="B78" s="879"/>
      <c r="C78" s="879"/>
      <c r="D78" s="879"/>
      <c r="E78" s="879"/>
      <c r="F78" s="879"/>
      <c r="G78" s="879"/>
      <c r="H78" s="879"/>
    </row>
    <row r="79" spans="1:8" x14ac:dyDescent="0.2">
      <c r="A79" s="879"/>
      <c r="B79" s="879"/>
      <c r="C79" s="879"/>
      <c r="D79" s="879"/>
      <c r="E79" s="879"/>
      <c r="F79" s="879"/>
      <c r="G79" s="879"/>
      <c r="H79" s="879"/>
    </row>
    <row r="80" spans="1:8" x14ac:dyDescent="0.2">
      <c r="A80" s="880" t="s">
        <v>1095</v>
      </c>
      <c r="B80" s="879"/>
      <c r="C80" s="879"/>
      <c r="D80" s="879"/>
      <c r="E80" s="879"/>
      <c r="F80" s="879"/>
      <c r="G80" s="879"/>
      <c r="H80" s="879"/>
    </row>
    <row r="81" spans="1:8" x14ac:dyDescent="0.2">
      <c r="A81" s="880" t="s">
        <v>1096</v>
      </c>
      <c r="B81" s="879"/>
      <c r="C81" s="879"/>
      <c r="D81" s="879"/>
      <c r="E81" s="879"/>
      <c r="F81" s="879"/>
      <c r="G81" s="879"/>
      <c r="H81" s="879"/>
    </row>
    <row r="82" spans="1:8" x14ac:dyDescent="0.2">
      <c r="A82" s="880" t="s">
        <v>1097</v>
      </c>
      <c r="B82" s="879"/>
      <c r="C82" s="879"/>
      <c r="D82" s="879"/>
      <c r="E82" s="879"/>
      <c r="F82" s="879"/>
      <c r="G82" s="879"/>
      <c r="H82" s="879"/>
    </row>
    <row r="83" spans="1:8" x14ac:dyDescent="0.2">
      <c r="A83" s="879"/>
      <c r="B83" s="879"/>
      <c r="C83" s="879"/>
      <c r="D83" s="879"/>
      <c r="E83" s="879"/>
      <c r="F83" s="879"/>
      <c r="G83" s="879"/>
      <c r="H83" s="879"/>
    </row>
    <row r="84" spans="1:8" x14ac:dyDescent="0.2">
      <c r="A84" s="880" t="s">
        <v>851</v>
      </c>
      <c r="B84" s="879"/>
      <c r="C84" s="879"/>
      <c r="D84" s="879"/>
      <c r="E84" s="879"/>
      <c r="F84" s="879"/>
      <c r="G84" s="879"/>
      <c r="H84" s="879"/>
    </row>
    <row r="85" spans="1:8" x14ac:dyDescent="0.2">
      <c r="A85" s="879"/>
      <c r="B85" s="879"/>
      <c r="C85" s="879"/>
      <c r="D85" s="879"/>
      <c r="E85" s="879"/>
      <c r="F85" s="879"/>
      <c r="G85" s="879"/>
      <c r="H85" s="879"/>
    </row>
    <row r="86" spans="1:8" x14ac:dyDescent="0.2">
      <c r="A86" s="880" t="s">
        <v>1090</v>
      </c>
      <c r="B86" s="879"/>
      <c r="C86" s="879"/>
      <c r="D86" s="879"/>
      <c r="E86" s="879"/>
      <c r="F86" s="879"/>
      <c r="G86" s="879"/>
      <c r="H86" s="879"/>
    </row>
    <row r="87" spans="1:8" x14ac:dyDescent="0.2">
      <c r="A87" s="880" t="s">
        <v>1091</v>
      </c>
      <c r="B87" s="879"/>
      <c r="C87" s="879"/>
      <c r="D87" s="879"/>
      <c r="E87" s="879"/>
      <c r="F87" s="879"/>
      <c r="G87" s="879"/>
      <c r="H87" s="879"/>
    </row>
    <row r="88" spans="1:8" x14ac:dyDescent="0.2">
      <c r="A88" s="880" t="s">
        <v>1092</v>
      </c>
      <c r="B88" s="879"/>
      <c r="C88" s="879"/>
      <c r="D88" s="879"/>
      <c r="E88" s="879"/>
      <c r="F88" s="879"/>
      <c r="G88" s="879"/>
      <c r="H88" s="879"/>
    </row>
    <row r="89" spans="1:8" x14ac:dyDescent="0.2">
      <c r="A89" s="880" t="s">
        <v>1093</v>
      </c>
      <c r="B89" s="879"/>
      <c r="C89" s="879"/>
      <c r="D89" s="879"/>
      <c r="E89" s="879"/>
      <c r="F89" s="879"/>
      <c r="G89" s="879"/>
      <c r="H89" s="879"/>
    </row>
    <row r="90" spans="1:8" x14ac:dyDescent="0.2">
      <c r="A90" s="880" t="s">
        <v>1094</v>
      </c>
      <c r="B90" s="879"/>
      <c r="C90" s="879"/>
      <c r="D90" s="879"/>
      <c r="E90" s="879"/>
      <c r="F90" s="879"/>
      <c r="G90" s="879"/>
      <c r="H90" s="879"/>
    </row>
    <row r="91" spans="1:8" x14ac:dyDescent="0.2">
      <c r="A91" s="880" t="s">
        <v>977</v>
      </c>
      <c r="B91" s="879"/>
      <c r="C91" s="879"/>
      <c r="D91" s="879"/>
      <c r="E91" s="879"/>
      <c r="F91" s="879"/>
      <c r="G91" s="879"/>
      <c r="H91" s="879"/>
    </row>
    <row r="92" spans="1:8" x14ac:dyDescent="0.2">
      <c r="A92" s="879"/>
      <c r="B92" s="879"/>
      <c r="C92" s="879"/>
      <c r="D92" s="879"/>
      <c r="E92" s="879"/>
      <c r="F92" s="879"/>
      <c r="G92" s="879"/>
      <c r="H92" s="879"/>
    </row>
    <row r="93" spans="1:8" x14ac:dyDescent="0.2">
      <c r="A93" s="880" t="s">
        <v>1083</v>
      </c>
      <c r="B93" s="879"/>
      <c r="C93" s="879"/>
      <c r="D93" s="879"/>
      <c r="E93" s="879"/>
      <c r="F93" s="879"/>
      <c r="G93" s="879"/>
      <c r="H93" s="879"/>
    </row>
    <row r="94" spans="1:8" x14ac:dyDescent="0.2">
      <c r="A94" s="880" t="s">
        <v>1084</v>
      </c>
      <c r="B94" s="879"/>
      <c r="C94" s="879"/>
      <c r="D94" s="879"/>
      <c r="E94" s="879"/>
      <c r="F94" s="879"/>
      <c r="G94" s="879"/>
      <c r="H94" s="879"/>
    </row>
    <row r="95" spans="1:8" x14ac:dyDescent="0.2">
      <c r="A95" s="880" t="s">
        <v>1085</v>
      </c>
      <c r="B95" s="879"/>
      <c r="C95" s="879"/>
      <c r="D95" s="879"/>
      <c r="E95" s="879"/>
      <c r="F95" s="879"/>
      <c r="G95" s="879"/>
      <c r="H95" s="879"/>
    </row>
    <row r="96" spans="1:8" x14ac:dyDescent="0.2">
      <c r="A96" s="880" t="s">
        <v>1086</v>
      </c>
      <c r="B96" s="879"/>
      <c r="C96" s="879"/>
      <c r="D96" s="879"/>
      <c r="E96" s="879"/>
      <c r="F96" s="879"/>
      <c r="G96" s="879"/>
      <c r="H96" s="879"/>
    </row>
    <row r="97" spans="1:8" x14ac:dyDescent="0.2">
      <c r="A97" s="880" t="s">
        <v>1087</v>
      </c>
      <c r="B97" s="879"/>
      <c r="C97" s="879"/>
      <c r="D97" s="879"/>
      <c r="E97" s="879"/>
      <c r="F97" s="879"/>
      <c r="G97" s="879"/>
      <c r="H97" s="879"/>
    </row>
    <row r="98" spans="1:8" x14ac:dyDescent="0.2">
      <c r="A98" s="880" t="s">
        <v>1088</v>
      </c>
      <c r="B98" s="879"/>
      <c r="C98" s="879"/>
      <c r="D98" s="879"/>
      <c r="E98" s="879"/>
      <c r="F98" s="879"/>
      <c r="G98" s="879"/>
      <c r="H98" s="879"/>
    </row>
    <row r="99" spans="1:8" x14ac:dyDescent="0.2">
      <c r="A99" s="880" t="s">
        <v>1089</v>
      </c>
      <c r="B99" s="879"/>
      <c r="C99" s="879"/>
      <c r="D99" s="879"/>
      <c r="E99" s="879"/>
      <c r="F99" s="879"/>
      <c r="G99" s="879"/>
      <c r="H99" s="879"/>
    </row>
    <row r="100" spans="1:8" x14ac:dyDescent="0.2">
      <c r="A100" s="879"/>
      <c r="B100" s="879"/>
      <c r="C100" s="879"/>
      <c r="D100" s="879"/>
      <c r="E100" s="879"/>
      <c r="F100" s="879"/>
      <c r="G100" s="879"/>
      <c r="H100" s="879"/>
    </row>
    <row r="101" spans="1:8" x14ac:dyDescent="0.2">
      <c r="A101" s="880" t="s">
        <v>1081</v>
      </c>
      <c r="B101" s="879"/>
      <c r="C101" s="879"/>
      <c r="D101" s="879"/>
      <c r="E101" s="879"/>
      <c r="F101" s="879"/>
      <c r="G101" s="879"/>
      <c r="H101" s="879"/>
    </row>
    <row r="102" spans="1:8" x14ac:dyDescent="0.2">
      <c r="A102" s="880" t="s">
        <v>1082</v>
      </c>
      <c r="B102" s="879"/>
      <c r="C102" s="879"/>
      <c r="D102" s="879"/>
      <c r="E102" s="879"/>
      <c r="F102" s="879"/>
      <c r="G102" s="879"/>
      <c r="H102" s="879"/>
    </row>
    <row r="103" spans="1:8" x14ac:dyDescent="0.2">
      <c r="A103" s="879"/>
      <c r="B103" s="879"/>
      <c r="C103" s="879"/>
      <c r="D103" s="879"/>
      <c r="E103" s="879"/>
      <c r="F103" s="879"/>
      <c r="G103" s="879"/>
      <c r="H103" s="879"/>
    </row>
    <row r="104" spans="1:8" ht="15.75" x14ac:dyDescent="0.2">
      <c r="A104" s="881" t="s">
        <v>852</v>
      </c>
      <c r="B104" s="879"/>
      <c r="C104" s="879"/>
      <c r="D104" s="879"/>
      <c r="E104" s="879"/>
      <c r="F104" s="879"/>
      <c r="G104" s="879"/>
      <c r="H104" s="879"/>
    </row>
    <row r="105" spans="1:8" x14ac:dyDescent="0.2">
      <c r="A105" s="879"/>
      <c r="B105" s="879"/>
      <c r="C105" s="879"/>
      <c r="D105" s="879"/>
      <c r="E105" s="879"/>
      <c r="F105" s="879"/>
      <c r="G105" s="879"/>
      <c r="H105" s="879"/>
    </row>
    <row r="106" spans="1:8" x14ac:dyDescent="0.2">
      <c r="A106" s="880" t="s">
        <v>1072</v>
      </c>
      <c r="B106" s="879"/>
      <c r="C106" s="879"/>
      <c r="D106" s="879"/>
      <c r="E106" s="879"/>
      <c r="F106" s="879"/>
      <c r="G106" s="879"/>
      <c r="H106" s="879"/>
    </row>
    <row r="107" spans="1:8" x14ac:dyDescent="0.2">
      <c r="A107" s="880" t="s">
        <v>1073</v>
      </c>
      <c r="B107" s="879"/>
      <c r="C107" s="879"/>
      <c r="D107" s="879"/>
      <c r="E107" s="879"/>
      <c r="F107" s="879"/>
      <c r="G107" s="879"/>
      <c r="H107" s="879"/>
    </row>
    <row r="108" spans="1:8" x14ac:dyDescent="0.2">
      <c r="A108" s="880" t="s">
        <v>1074</v>
      </c>
      <c r="B108" s="879"/>
      <c r="C108" s="879"/>
      <c r="D108" s="879"/>
      <c r="E108" s="879"/>
      <c r="F108" s="879"/>
      <c r="G108" s="879"/>
      <c r="H108" s="879"/>
    </row>
    <row r="109" spans="1:8" x14ac:dyDescent="0.2">
      <c r="A109" s="880" t="s">
        <v>1075</v>
      </c>
      <c r="B109" s="879"/>
      <c r="C109" s="879"/>
      <c r="D109" s="879"/>
      <c r="E109" s="879"/>
      <c r="F109" s="879"/>
      <c r="G109" s="879"/>
      <c r="H109" s="879"/>
    </row>
    <row r="110" spans="1:8" x14ac:dyDescent="0.2">
      <c r="A110" s="880" t="s">
        <v>1076</v>
      </c>
      <c r="B110" s="879"/>
      <c r="C110" s="879"/>
      <c r="D110" s="879"/>
      <c r="E110" s="879"/>
      <c r="F110" s="879"/>
      <c r="G110" s="879"/>
      <c r="H110" s="879"/>
    </row>
    <row r="111" spans="1:8" x14ac:dyDescent="0.2">
      <c r="A111" s="880" t="s">
        <v>1077</v>
      </c>
      <c r="B111" s="879"/>
      <c r="C111" s="879"/>
      <c r="D111" s="879"/>
      <c r="E111" s="879"/>
      <c r="F111" s="879"/>
      <c r="G111" s="879"/>
      <c r="H111" s="879"/>
    </row>
    <row r="112" spans="1:8" x14ac:dyDescent="0.2">
      <c r="A112" s="880" t="s">
        <v>1078</v>
      </c>
      <c r="B112" s="879"/>
      <c r="C112" s="879"/>
      <c r="D112" s="879"/>
      <c r="E112" s="879"/>
      <c r="F112" s="879"/>
      <c r="G112" s="879"/>
      <c r="H112" s="879"/>
    </row>
    <row r="113" spans="1:8" x14ac:dyDescent="0.2">
      <c r="A113" s="880" t="s">
        <v>1079</v>
      </c>
      <c r="B113" s="879"/>
      <c r="C113" s="879"/>
      <c r="D113" s="879"/>
      <c r="E113" s="879"/>
      <c r="F113" s="879"/>
      <c r="G113" s="879"/>
      <c r="H113" s="879"/>
    </row>
    <row r="114" spans="1:8" x14ac:dyDescent="0.2">
      <c r="A114" s="880" t="s">
        <v>1080</v>
      </c>
      <c r="B114" s="879"/>
      <c r="C114" s="879"/>
      <c r="D114" s="879"/>
      <c r="E114" s="879"/>
      <c r="F114" s="879"/>
      <c r="G114" s="879"/>
      <c r="H114" s="879"/>
    </row>
    <row r="115" spans="1:8" x14ac:dyDescent="0.2">
      <c r="A115" s="879"/>
      <c r="B115" s="879"/>
      <c r="C115" s="879"/>
      <c r="D115" s="879"/>
      <c r="E115" s="879"/>
      <c r="F115" s="879"/>
      <c r="G115" s="879"/>
      <c r="H115" s="879"/>
    </row>
    <row r="116" spans="1:8" ht="15.75" x14ac:dyDescent="0.2">
      <c r="A116" s="898" t="s">
        <v>853</v>
      </c>
      <c r="B116" s="898"/>
      <c r="C116" s="898"/>
      <c r="D116" s="898"/>
      <c r="E116" s="898"/>
      <c r="F116" s="898"/>
      <c r="G116" s="898"/>
      <c r="H116" s="898"/>
    </row>
    <row r="117" spans="1:8" x14ac:dyDescent="0.2">
      <c r="A117" s="894" t="s">
        <v>854</v>
      </c>
      <c r="B117" s="894"/>
      <c r="C117" s="894"/>
      <c r="D117" s="894"/>
      <c r="E117" s="894"/>
      <c r="F117" s="894"/>
      <c r="G117" s="894"/>
      <c r="H117" s="894"/>
    </row>
    <row r="118" spans="1:8" x14ac:dyDescent="0.2">
      <c r="A118" s="899"/>
      <c r="B118" s="899"/>
      <c r="C118" s="899"/>
      <c r="D118" s="899"/>
      <c r="E118" s="899"/>
      <c r="F118" s="899"/>
      <c r="G118" s="899"/>
      <c r="H118" s="899"/>
    </row>
    <row r="119" spans="1:8" x14ac:dyDescent="0.2">
      <c r="A119" s="894" t="s">
        <v>1070</v>
      </c>
      <c r="B119" s="894"/>
      <c r="C119" s="894"/>
      <c r="D119" s="894"/>
      <c r="E119" s="894"/>
      <c r="F119" s="894"/>
      <c r="G119" s="894"/>
      <c r="H119" s="894"/>
    </row>
    <row r="120" spans="1:8" x14ac:dyDescent="0.2">
      <c r="A120" s="880" t="s">
        <v>1071</v>
      </c>
      <c r="B120" s="880"/>
      <c r="C120" s="880"/>
      <c r="D120" s="880"/>
      <c r="E120" s="880"/>
      <c r="F120" s="880"/>
      <c r="G120" s="880"/>
      <c r="H120" s="880"/>
    </row>
    <row r="121" spans="1:8" x14ac:dyDescent="0.2">
      <c r="A121" s="899"/>
      <c r="B121" s="899"/>
      <c r="C121" s="899"/>
      <c r="D121" s="899"/>
      <c r="E121" s="899"/>
      <c r="F121" s="899"/>
      <c r="G121" s="899"/>
      <c r="H121" s="899"/>
    </row>
    <row r="122" spans="1:8" x14ac:dyDescent="0.2">
      <c r="A122" s="894" t="s">
        <v>1063</v>
      </c>
      <c r="B122" s="894"/>
      <c r="C122" s="894"/>
      <c r="D122" s="894"/>
      <c r="E122" s="894"/>
      <c r="F122" s="894"/>
      <c r="G122" s="894"/>
      <c r="H122" s="894"/>
    </row>
    <row r="123" spans="1:8" x14ac:dyDescent="0.2">
      <c r="A123" s="880" t="s">
        <v>1064</v>
      </c>
      <c r="B123" s="880"/>
      <c r="C123" s="880"/>
      <c r="D123" s="880"/>
      <c r="E123" s="880"/>
      <c r="F123" s="880"/>
      <c r="G123" s="880"/>
      <c r="H123" s="880"/>
    </row>
    <row r="124" spans="1:8" x14ac:dyDescent="0.2">
      <c r="A124" s="880" t="s">
        <v>1065</v>
      </c>
      <c r="B124" s="880"/>
      <c r="C124" s="880"/>
      <c r="D124" s="880"/>
      <c r="E124" s="880"/>
      <c r="F124" s="880"/>
      <c r="G124" s="880"/>
      <c r="H124" s="880"/>
    </row>
    <row r="125" spans="1:8" x14ac:dyDescent="0.2">
      <c r="A125" s="880" t="s">
        <v>1066</v>
      </c>
      <c r="B125" s="880"/>
      <c r="C125" s="880"/>
      <c r="D125" s="880"/>
      <c r="E125" s="880"/>
      <c r="F125" s="880"/>
      <c r="G125" s="880"/>
      <c r="H125" s="880"/>
    </row>
    <row r="126" spans="1:8" x14ac:dyDescent="0.2">
      <c r="A126" s="880" t="s">
        <v>1067</v>
      </c>
      <c r="B126" s="880"/>
      <c r="C126" s="880"/>
      <c r="D126" s="880"/>
      <c r="E126" s="880"/>
      <c r="F126" s="880"/>
      <c r="G126" s="880"/>
      <c r="H126" s="880"/>
    </row>
    <row r="127" spans="1:8" x14ac:dyDescent="0.2">
      <c r="A127" s="880" t="s">
        <v>1068</v>
      </c>
      <c r="B127" s="880"/>
      <c r="C127" s="880"/>
      <c r="D127" s="880"/>
      <c r="E127" s="880"/>
      <c r="F127" s="880"/>
      <c r="G127" s="880"/>
      <c r="H127" s="880"/>
    </row>
    <row r="128" spans="1:8" x14ac:dyDescent="0.2">
      <c r="A128" s="880" t="s">
        <v>1069</v>
      </c>
      <c r="B128" s="880"/>
      <c r="C128" s="880"/>
      <c r="D128" s="880"/>
      <c r="E128" s="880"/>
      <c r="F128" s="880"/>
      <c r="G128" s="880"/>
      <c r="H128" s="880"/>
    </row>
    <row r="129" spans="1:8" x14ac:dyDescent="0.2">
      <c r="A129" s="900"/>
      <c r="B129" s="900"/>
      <c r="C129" s="900"/>
      <c r="D129" s="900"/>
      <c r="E129" s="900"/>
      <c r="F129" s="900"/>
      <c r="G129" s="900"/>
      <c r="H129" s="900"/>
    </row>
    <row r="130" spans="1:8" x14ac:dyDescent="0.2">
      <c r="A130" s="884"/>
      <c r="B130" s="895" t="s">
        <v>855</v>
      </c>
      <c r="C130" s="896"/>
      <c r="D130" s="895" t="s">
        <v>856</v>
      </c>
      <c r="E130" s="897"/>
      <c r="F130" s="896"/>
      <c r="G130" s="895" t="s">
        <v>857</v>
      </c>
      <c r="H130" s="896"/>
    </row>
    <row r="131" spans="1:8" x14ac:dyDescent="0.2">
      <c r="A131" s="884" t="s">
        <v>858</v>
      </c>
      <c r="B131" s="884" t="s">
        <v>183</v>
      </c>
      <c r="C131" s="884" t="s">
        <v>859</v>
      </c>
      <c r="D131" s="884" t="s">
        <v>183</v>
      </c>
      <c r="E131" s="884" t="s">
        <v>860</v>
      </c>
      <c r="F131" s="884" t="s">
        <v>861</v>
      </c>
      <c r="G131" s="884" t="s">
        <v>183</v>
      </c>
      <c r="H131" s="884" t="s">
        <v>862</v>
      </c>
    </row>
    <row r="132" spans="1:8" x14ac:dyDescent="0.2">
      <c r="A132" s="884" t="s">
        <v>863</v>
      </c>
      <c r="B132" s="884">
        <v>1189</v>
      </c>
      <c r="C132" s="885">
        <v>0.38</v>
      </c>
      <c r="D132" s="884">
        <v>315</v>
      </c>
      <c r="E132" s="885">
        <v>0.41</v>
      </c>
      <c r="F132" s="885">
        <v>0.26</v>
      </c>
      <c r="G132" s="884">
        <v>555</v>
      </c>
      <c r="H132" s="885">
        <v>0.39</v>
      </c>
    </row>
    <row r="133" spans="1:8" x14ac:dyDescent="0.2">
      <c r="A133" s="884" t="s">
        <v>864</v>
      </c>
      <c r="B133" s="884">
        <v>1355</v>
      </c>
      <c r="C133" s="885">
        <v>0.43</v>
      </c>
      <c r="D133" s="884">
        <v>364</v>
      </c>
      <c r="E133" s="885">
        <v>0.47</v>
      </c>
      <c r="F133" s="885">
        <v>0.27</v>
      </c>
      <c r="G133" s="884">
        <v>644</v>
      </c>
      <c r="H133" s="885">
        <v>0.45</v>
      </c>
    </row>
    <row r="134" spans="1:8" x14ac:dyDescent="0.2">
      <c r="A134" s="884" t="s">
        <v>865</v>
      </c>
      <c r="B134" s="884">
        <v>53</v>
      </c>
      <c r="C134" s="885">
        <v>0.02</v>
      </c>
      <c r="D134" s="884">
        <v>4</v>
      </c>
      <c r="E134" s="885">
        <v>0.01</v>
      </c>
      <c r="F134" s="885">
        <v>0.08</v>
      </c>
      <c r="G134" s="884">
        <v>7</v>
      </c>
      <c r="H134" s="885">
        <v>0</v>
      </c>
    </row>
    <row r="135" spans="1:8" x14ac:dyDescent="0.2">
      <c r="A135" s="884" t="s">
        <v>866</v>
      </c>
      <c r="B135" s="884">
        <v>545</v>
      </c>
      <c r="C135" s="885">
        <v>0.17</v>
      </c>
      <c r="D135" s="884">
        <v>84</v>
      </c>
      <c r="E135" s="885">
        <v>0.11</v>
      </c>
      <c r="F135" s="885">
        <v>0.15</v>
      </c>
      <c r="G135" s="884">
        <v>214</v>
      </c>
      <c r="H135" s="885">
        <v>0.15</v>
      </c>
    </row>
    <row r="136" spans="1:8" x14ac:dyDescent="0.2">
      <c r="A136" s="884" t="s">
        <v>141</v>
      </c>
      <c r="B136" s="886">
        <v>3142</v>
      </c>
      <c r="C136" s="884"/>
      <c r="D136" s="884">
        <v>767</v>
      </c>
      <c r="E136" s="884"/>
      <c r="F136" s="884"/>
      <c r="G136" s="884">
        <v>1420</v>
      </c>
      <c r="H136" s="884"/>
    </row>
    <row r="137" spans="1:8" x14ac:dyDescent="0.2">
      <c r="A137" s="893"/>
      <c r="B137" s="893"/>
      <c r="C137" s="893"/>
      <c r="D137" s="893"/>
      <c r="E137" s="893"/>
      <c r="F137" s="893"/>
      <c r="G137" s="893"/>
      <c r="H137" s="893"/>
    </row>
    <row r="138" spans="1:8" x14ac:dyDescent="0.2">
      <c r="A138" s="894" t="s">
        <v>1059</v>
      </c>
      <c r="B138" s="894"/>
      <c r="C138" s="894"/>
      <c r="D138" s="894"/>
      <c r="E138" s="894"/>
      <c r="F138" s="894"/>
      <c r="G138" s="894"/>
      <c r="H138" s="894"/>
    </row>
    <row r="139" spans="1:8" x14ac:dyDescent="0.2">
      <c r="A139" s="880" t="s">
        <v>1060</v>
      </c>
      <c r="B139" s="880"/>
      <c r="C139" s="880"/>
      <c r="D139" s="880"/>
      <c r="E139" s="880"/>
      <c r="F139" s="880"/>
      <c r="G139" s="880"/>
      <c r="H139" s="880"/>
    </row>
    <row r="140" spans="1:8" x14ac:dyDescent="0.2">
      <c r="A140" s="880" t="s">
        <v>1061</v>
      </c>
      <c r="B140" s="880"/>
      <c r="C140" s="880"/>
      <c r="D140" s="880"/>
      <c r="E140" s="880"/>
      <c r="F140" s="880"/>
      <c r="G140" s="880"/>
      <c r="H140" s="880"/>
    </row>
    <row r="141" spans="1:8" x14ac:dyDescent="0.2">
      <c r="A141" s="880" t="s">
        <v>1062</v>
      </c>
      <c r="B141" s="880"/>
      <c r="C141" s="880"/>
      <c r="D141" s="880"/>
      <c r="E141" s="880"/>
      <c r="F141" s="880"/>
      <c r="G141" s="880"/>
      <c r="H141" s="880"/>
    </row>
    <row r="142" spans="1:8" x14ac:dyDescent="0.2">
      <c r="A142" s="879"/>
      <c r="B142" s="879"/>
      <c r="C142" s="879"/>
      <c r="D142" s="879"/>
      <c r="E142" s="879"/>
      <c r="F142" s="879"/>
      <c r="G142" s="879"/>
      <c r="H142" s="879"/>
    </row>
    <row r="143" spans="1:8" ht="15.75" x14ac:dyDescent="0.2">
      <c r="A143" s="881" t="s">
        <v>867</v>
      </c>
      <c r="B143" s="879"/>
      <c r="C143" s="879"/>
      <c r="D143" s="879"/>
      <c r="E143" s="879"/>
      <c r="F143" s="879"/>
      <c r="G143" s="879"/>
      <c r="H143" s="879"/>
    </row>
    <row r="144" spans="1:8" x14ac:dyDescent="0.2">
      <c r="A144" s="879"/>
      <c r="B144" s="879"/>
      <c r="C144" s="879"/>
      <c r="D144" s="879"/>
      <c r="E144" s="879"/>
      <c r="F144" s="879"/>
      <c r="G144" s="879"/>
      <c r="H144" s="879"/>
    </row>
    <row r="145" spans="1:8" x14ac:dyDescent="0.2">
      <c r="A145" s="880" t="s">
        <v>1057</v>
      </c>
      <c r="B145" s="879"/>
      <c r="C145" s="879"/>
      <c r="D145" s="879"/>
      <c r="E145" s="879"/>
      <c r="F145" s="879"/>
      <c r="G145" s="879"/>
      <c r="H145" s="879"/>
    </row>
    <row r="146" spans="1:8" x14ac:dyDescent="0.2">
      <c r="A146" s="880" t="s">
        <v>1058</v>
      </c>
      <c r="B146" s="879"/>
      <c r="C146" s="879"/>
      <c r="D146" s="879"/>
      <c r="E146" s="879"/>
      <c r="F146" s="879"/>
      <c r="G146" s="879"/>
      <c r="H146" s="879"/>
    </row>
    <row r="147" spans="1:8" x14ac:dyDescent="0.2">
      <c r="A147" s="879"/>
      <c r="B147" s="879"/>
      <c r="C147" s="879"/>
      <c r="D147" s="879"/>
      <c r="E147" s="879"/>
      <c r="F147" s="879"/>
      <c r="G147" s="879"/>
      <c r="H147" s="879"/>
    </row>
    <row r="148" spans="1:8" x14ac:dyDescent="0.2">
      <c r="A148" s="880" t="s">
        <v>1054</v>
      </c>
      <c r="B148" s="879"/>
      <c r="C148" s="879"/>
      <c r="D148" s="879"/>
      <c r="E148" s="879"/>
      <c r="F148" s="879"/>
      <c r="G148" s="879"/>
      <c r="H148" s="879"/>
    </row>
    <row r="149" spans="1:8" x14ac:dyDescent="0.2">
      <c r="A149" s="880" t="s">
        <v>1055</v>
      </c>
      <c r="B149" s="879"/>
      <c r="C149" s="879"/>
      <c r="D149" s="879"/>
      <c r="E149" s="879"/>
      <c r="F149" s="879"/>
      <c r="G149" s="879"/>
      <c r="H149" s="879"/>
    </row>
    <row r="150" spans="1:8" x14ac:dyDescent="0.2">
      <c r="A150" s="880" t="s">
        <v>1056</v>
      </c>
      <c r="B150" s="879"/>
      <c r="C150" s="879"/>
      <c r="D150" s="879"/>
      <c r="E150" s="879"/>
      <c r="F150" s="879"/>
      <c r="G150" s="879"/>
      <c r="H150" s="879"/>
    </row>
    <row r="151" spans="1:8" x14ac:dyDescent="0.2">
      <c r="A151" s="879"/>
      <c r="B151" s="879"/>
      <c r="C151" s="879"/>
      <c r="D151" s="879"/>
      <c r="E151" s="879"/>
      <c r="F151" s="879"/>
      <c r="G151" s="879"/>
      <c r="H151" s="879"/>
    </row>
    <row r="152" spans="1:8" x14ac:dyDescent="0.2">
      <c r="A152" s="880" t="s">
        <v>1051</v>
      </c>
      <c r="B152" s="879"/>
      <c r="C152" s="879"/>
      <c r="D152" s="879"/>
      <c r="E152" s="879"/>
      <c r="F152" s="879"/>
      <c r="G152" s="879"/>
      <c r="H152" s="879"/>
    </row>
    <row r="153" spans="1:8" x14ac:dyDescent="0.2">
      <c r="A153" s="880" t="s">
        <v>1052</v>
      </c>
      <c r="B153" s="879"/>
      <c r="C153" s="879"/>
      <c r="D153" s="879"/>
      <c r="E153" s="879"/>
      <c r="F153" s="879"/>
      <c r="G153" s="879"/>
      <c r="H153" s="879"/>
    </row>
    <row r="154" spans="1:8" x14ac:dyDescent="0.2">
      <c r="A154" s="880" t="s">
        <v>1053</v>
      </c>
      <c r="B154" s="879"/>
      <c r="C154" s="879"/>
      <c r="D154" s="879"/>
      <c r="E154" s="879"/>
      <c r="F154" s="879"/>
      <c r="G154" s="879"/>
      <c r="H154" s="879"/>
    </row>
    <row r="155" spans="1:8" x14ac:dyDescent="0.2">
      <c r="A155" s="879"/>
      <c r="B155" s="879"/>
      <c r="C155" s="879"/>
      <c r="D155" s="879"/>
      <c r="E155" s="879"/>
      <c r="F155" s="879"/>
      <c r="G155" s="879"/>
      <c r="H155" s="879"/>
    </row>
    <row r="156" spans="1:8" x14ac:dyDescent="0.2">
      <c r="A156" s="880" t="s">
        <v>1048</v>
      </c>
      <c r="B156" s="879"/>
      <c r="C156" s="879"/>
      <c r="D156" s="879"/>
      <c r="E156" s="879"/>
      <c r="F156" s="879"/>
      <c r="G156" s="879"/>
      <c r="H156" s="879"/>
    </row>
    <row r="157" spans="1:8" x14ac:dyDescent="0.2">
      <c r="A157" s="880" t="s">
        <v>1049</v>
      </c>
      <c r="B157" s="879"/>
      <c r="C157" s="879"/>
      <c r="D157" s="879"/>
      <c r="E157" s="879"/>
      <c r="F157" s="879"/>
      <c r="G157" s="879"/>
      <c r="H157" s="879"/>
    </row>
    <row r="158" spans="1:8" x14ac:dyDescent="0.2">
      <c r="A158" s="880" t="s">
        <v>1050</v>
      </c>
      <c r="B158" s="879"/>
      <c r="C158" s="879"/>
      <c r="D158" s="879"/>
      <c r="E158" s="879"/>
      <c r="F158" s="879"/>
      <c r="G158" s="879"/>
      <c r="H158" s="879"/>
    </row>
    <row r="159" spans="1:8" x14ac:dyDescent="0.2">
      <c r="A159" s="879"/>
      <c r="B159" s="879"/>
      <c r="C159" s="879"/>
      <c r="D159" s="879"/>
      <c r="E159" s="879"/>
      <c r="F159" s="879"/>
      <c r="G159" s="879"/>
      <c r="H159" s="879"/>
    </row>
    <row r="160" spans="1:8" x14ac:dyDescent="0.2">
      <c r="A160" s="880" t="s">
        <v>1046</v>
      </c>
      <c r="B160" s="879"/>
      <c r="C160" s="879"/>
      <c r="D160" s="879"/>
      <c r="E160" s="879"/>
      <c r="F160" s="879"/>
      <c r="G160" s="879"/>
      <c r="H160" s="879"/>
    </row>
    <row r="161" spans="1:8" x14ac:dyDescent="0.2">
      <c r="A161" s="880" t="s">
        <v>1047</v>
      </c>
      <c r="B161" s="879"/>
      <c r="C161" s="879"/>
      <c r="D161" s="879"/>
      <c r="E161" s="879"/>
      <c r="F161" s="879"/>
      <c r="G161" s="879"/>
      <c r="H161" s="879"/>
    </row>
    <row r="162" spans="1:8" x14ac:dyDescent="0.2">
      <c r="A162" s="879"/>
      <c r="B162" s="879"/>
      <c r="C162" s="879"/>
      <c r="D162" s="879"/>
      <c r="E162" s="879"/>
      <c r="F162" s="879"/>
      <c r="G162" s="879"/>
      <c r="H162" s="879"/>
    </row>
    <row r="163" spans="1:8" ht="15.75" x14ac:dyDescent="0.2">
      <c r="A163" s="881" t="s">
        <v>868</v>
      </c>
      <c r="B163" s="879"/>
      <c r="C163" s="879"/>
      <c r="D163" s="879"/>
      <c r="E163" s="879"/>
      <c r="F163" s="879"/>
      <c r="G163" s="879"/>
      <c r="H163" s="879"/>
    </row>
    <row r="164" spans="1:8" x14ac:dyDescent="0.2">
      <c r="A164" s="879"/>
      <c r="B164" s="879"/>
      <c r="C164" s="879"/>
      <c r="D164" s="879"/>
      <c r="E164" s="879"/>
      <c r="F164" s="879"/>
      <c r="G164" s="879"/>
      <c r="H164" s="879"/>
    </row>
    <row r="165" spans="1:8" x14ac:dyDescent="0.2">
      <c r="A165" s="880" t="s">
        <v>1044</v>
      </c>
      <c r="B165" s="879"/>
      <c r="C165" s="879"/>
      <c r="D165" s="879"/>
      <c r="E165" s="879"/>
      <c r="F165" s="879"/>
      <c r="G165" s="879"/>
      <c r="H165" s="879"/>
    </row>
    <row r="166" spans="1:8" x14ac:dyDescent="0.2">
      <c r="A166" s="880" t="s">
        <v>1045</v>
      </c>
      <c r="B166" s="879"/>
      <c r="C166" s="879"/>
      <c r="D166" s="879"/>
      <c r="E166" s="879"/>
      <c r="F166" s="879"/>
      <c r="G166" s="879"/>
      <c r="H166" s="879"/>
    </row>
    <row r="167" spans="1:8" x14ac:dyDescent="0.2">
      <c r="A167" s="879"/>
      <c r="B167" s="879"/>
      <c r="C167" s="879"/>
      <c r="D167" s="879"/>
      <c r="E167" s="879"/>
      <c r="F167" s="879"/>
      <c r="G167" s="879"/>
      <c r="H167" s="879"/>
    </row>
    <row r="168" spans="1:8" x14ac:dyDescent="0.2">
      <c r="A168" s="880" t="s">
        <v>1042</v>
      </c>
      <c r="B168" s="879"/>
      <c r="C168" s="879"/>
      <c r="D168" s="879"/>
      <c r="E168" s="879"/>
      <c r="F168" s="879"/>
      <c r="G168" s="879"/>
      <c r="H168" s="879"/>
    </row>
    <row r="169" spans="1:8" x14ac:dyDescent="0.2">
      <c r="A169" s="880" t="s">
        <v>1043</v>
      </c>
      <c r="B169" s="879"/>
      <c r="C169" s="879"/>
      <c r="D169" s="879"/>
      <c r="E169" s="879"/>
      <c r="F169" s="879"/>
      <c r="G169" s="879"/>
      <c r="H169" s="879"/>
    </row>
    <row r="170" spans="1:8" x14ac:dyDescent="0.2">
      <c r="A170" s="879"/>
      <c r="B170" s="879"/>
      <c r="C170" s="879"/>
      <c r="D170" s="879"/>
      <c r="E170" s="879"/>
      <c r="F170" s="879"/>
      <c r="G170" s="879"/>
      <c r="H170" s="879"/>
    </row>
    <row r="171" spans="1:8" x14ac:dyDescent="0.2">
      <c r="A171" s="880" t="s">
        <v>1040</v>
      </c>
      <c r="B171" s="879"/>
      <c r="C171" s="879"/>
      <c r="D171" s="879"/>
      <c r="E171" s="879"/>
      <c r="F171" s="879"/>
      <c r="G171" s="879"/>
      <c r="H171" s="879"/>
    </row>
    <row r="172" spans="1:8" x14ac:dyDescent="0.2">
      <c r="A172" s="880" t="s">
        <v>1041</v>
      </c>
      <c r="B172" s="879"/>
      <c r="C172" s="879"/>
      <c r="D172" s="879"/>
      <c r="E172" s="879"/>
      <c r="F172" s="879"/>
      <c r="G172" s="879"/>
      <c r="H172" s="879"/>
    </row>
    <row r="173" spans="1:8" x14ac:dyDescent="0.2">
      <c r="A173" s="879"/>
      <c r="B173" s="879"/>
      <c r="C173" s="879"/>
      <c r="D173" s="879"/>
      <c r="E173" s="879"/>
      <c r="F173" s="879"/>
      <c r="G173" s="879"/>
      <c r="H173" s="879"/>
    </row>
    <row r="174" spans="1:8" x14ac:dyDescent="0.2">
      <c r="A174" s="880" t="s">
        <v>1037</v>
      </c>
      <c r="B174" s="879"/>
      <c r="C174" s="879"/>
      <c r="D174" s="879"/>
      <c r="E174" s="879"/>
      <c r="F174" s="879"/>
      <c r="G174" s="879"/>
      <c r="H174" s="879"/>
    </row>
    <row r="175" spans="1:8" x14ac:dyDescent="0.2">
      <c r="A175" s="880" t="s">
        <v>1038</v>
      </c>
      <c r="B175" s="879"/>
      <c r="C175" s="879"/>
      <c r="D175" s="879"/>
      <c r="E175" s="879"/>
      <c r="F175" s="879"/>
      <c r="G175" s="879"/>
      <c r="H175" s="879"/>
    </row>
    <row r="176" spans="1:8" x14ac:dyDescent="0.2">
      <c r="A176" s="880" t="s">
        <v>1039</v>
      </c>
      <c r="B176" s="879"/>
      <c r="C176" s="879"/>
      <c r="D176" s="879"/>
      <c r="E176" s="879"/>
      <c r="F176" s="879"/>
      <c r="G176" s="879"/>
      <c r="H176" s="879"/>
    </row>
    <row r="177" spans="1:8" x14ac:dyDescent="0.2">
      <c r="A177" s="879"/>
      <c r="B177" s="879"/>
      <c r="C177" s="879"/>
      <c r="D177" s="879"/>
      <c r="E177" s="879"/>
      <c r="F177" s="879"/>
      <c r="G177" s="879"/>
      <c r="H177" s="879"/>
    </row>
    <row r="178" spans="1:8" x14ac:dyDescent="0.2">
      <c r="A178" s="879"/>
      <c r="B178" s="879"/>
      <c r="C178" s="879"/>
      <c r="D178" s="879"/>
      <c r="E178" s="879"/>
      <c r="F178" s="879"/>
      <c r="G178" s="879"/>
      <c r="H178" s="879"/>
    </row>
    <row r="179" spans="1:8" x14ac:dyDescent="0.2">
      <c r="A179" s="880" t="s">
        <v>869</v>
      </c>
      <c r="B179" s="879"/>
      <c r="C179" s="879"/>
      <c r="D179" s="879"/>
      <c r="E179" s="879"/>
      <c r="F179" s="879"/>
      <c r="G179" s="879"/>
      <c r="H179" s="879"/>
    </row>
    <row r="180" spans="1:8" x14ac:dyDescent="0.2">
      <c r="A180" s="879"/>
      <c r="B180" s="879"/>
      <c r="C180" s="879"/>
      <c r="D180" s="879"/>
      <c r="E180" s="879"/>
      <c r="F180" s="879"/>
      <c r="G180" s="879"/>
      <c r="H180" s="879"/>
    </row>
    <row r="181" spans="1:8" ht="15.75" x14ac:dyDescent="0.2">
      <c r="A181" s="881" t="s">
        <v>870</v>
      </c>
      <c r="B181" s="879"/>
      <c r="C181" s="879"/>
      <c r="D181" s="879"/>
      <c r="E181" s="879"/>
      <c r="F181" s="879"/>
      <c r="G181" s="879"/>
      <c r="H181" s="879"/>
    </row>
    <row r="182" spans="1:8" x14ac:dyDescent="0.2">
      <c r="A182" s="879"/>
      <c r="B182" s="879"/>
      <c r="C182" s="879"/>
      <c r="D182" s="879"/>
      <c r="E182" s="879"/>
      <c r="F182" s="879"/>
      <c r="G182" s="879"/>
      <c r="H182" s="879"/>
    </row>
    <row r="183" spans="1:8" x14ac:dyDescent="0.2">
      <c r="A183" s="879"/>
      <c r="B183" s="879"/>
      <c r="C183" s="879"/>
      <c r="D183" s="879"/>
      <c r="E183" s="879"/>
      <c r="F183" s="879"/>
      <c r="G183" s="879"/>
      <c r="H183" s="879"/>
    </row>
    <row r="184" spans="1:8" x14ac:dyDescent="0.2">
      <c r="A184" s="879"/>
      <c r="B184" s="879"/>
      <c r="C184" s="879"/>
      <c r="D184" s="879"/>
      <c r="E184" s="879"/>
      <c r="F184" s="879"/>
      <c r="G184" s="879"/>
      <c r="H184" s="879"/>
    </row>
    <row r="185" spans="1:8" x14ac:dyDescent="0.2">
      <c r="A185" s="879"/>
      <c r="B185" s="879"/>
      <c r="C185" s="879"/>
      <c r="D185" s="879"/>
      <c r="E185" s="879"/>
      <c r="F185" s="879"/>
      <c r="G185" s="879"/>
      <c r="H185" s="879"/>
    </row>
    <row r="186" spans="1:8" x14ac:dyDescent="0.2">
      <c r="A186" s="879"/>
      <c r="B186" s="879"/>
      <c r="C186" s="879"/>
      <c r="D186" s="879"/>
      <c r="E186" s="879"/>
      <c r="F186" s="879"/>
      <c r="G186" s="879"/>
      <c r="H186" s="879"/>
    </row>
    <row r="187" spans="1:8" x14ac:dyDescent="0.2">
      <c r="A187" s="879"/>
      <c r="B187" s="879"/>
      <c r="C187" s="879"/>
      <c r="D187" s="879"/>
      <c r="E187" s="879"/>
      <c r="F187" s="879"/>
      <c r="G187" s="879"/>
      <c r="H187" s="879"/>
    </row>
    <row r="188" spans="1:8" x14ac:dyDescent="0.2">
      <c r="A188" s="879"/>
      <c r="B188" s="879"/>
      <c r="C188" s="879"/>
      <c r="D188" s="879"/>
      <c r="E188" s="879"/>
      <c r="F188" s="879"/>
      <c r="G188" s="879"/>
      <c r="H188" s="879"/>
    </row>
    <row r="189" spans="1:8" x14ac:dyDescent="0.2">
      <c r="A189" s="879"/>
      <c r="B189" s="879"/>
      <c r="C189" s="879"/>
      <c r="D189" s="879"/>
      <c r="E189" s="879"/>
      <c r="F189" s="879"/>
      <c r="G189" s="879"/>
      <c r="H189" s="879"/>
    </row>
    <row r="190" spans="1:8" x14ac:dyDescent="0.2">
      <c r="A190" s="879"/>
      <c r="B190" s="879"/>
      <c r="C190" s="879"/>
      <c r="D190" s="879"/>
      <c r="E190" s="879"/>
      <c r="F190" s="879"/>
      <c r="G190" s="879"/>
      <c r="H190" s="879"/>
    </row>
    <row r="191" spans="1:8" x14ac:dyDescent="0.2">
      <c r="A191" s="879"/>
      <c r="B191" s="879"/>
      <c r="C191" s="879"/>
      <c r="D191" s="879"/>
      <c r="E191" s="879"/>
      <c r="F191" s="879"/>
      <c r="G191" s="879"/>
      <c r="H191" s="879"/>
    </row>
    <row r="192" spans="1:8" x14ac:dyDescent="0.2">
      <c r="A192" s="879"/>
      <c r="B192" s="879"/>
      <c r="C192" s="879"/>
      <c r="D192" s="879"/>
      <c r="E192" s="879"/>
      <c r="F192" s="879"/>
      <c r="G192" s="879"/>
      <c r="H192" s="879"/>
    </row>
    <row r="193" spans="1:8" x14ac:dyDescent="0.2">
      <c r="A193" s="879"/>
      <c r="B193" s="879"/>
      <c r="C193" s="879"/>
      <c r="D193" s="879"/>
      <c r="E193" s="879"/>
      <c r="F193" s="879"/>
      <c r="G193" s="879"/>
      <c r="H193" s="879"/>
    </row>
    <row r="194" spans="1:8" x14ac:dyDescent="0.2">
      <c r="A194" s="879"/>
      <c r="B194" s="879"/>
      <c r="C194" s="879"/>
      <c r="D194" s="879"/>
      <c r="E194" s="879"/>
      <c r="F194" s="879"/>
      <c r="G194" s="879"/>
      <c r="H194" s="879"/>
    </row>
    <row r="195" spans="1:8" x14ac:dyDescent="0.2">
      <c r="A195" s="879"/>
      <c r="B195" s="879"/>
      <c r="C195" s="879"/>
      <c r="D195" s="879"/>
      <c r="E195" s="879"/>
      <c r="F195" s="879"/>
      <c r="G195" s="879"/>
      <c r="H195" s="879"/>
    </row>
    <row r="196" spans="1:8" x14ac:dyDescent="0.2">
      <c r="A196" s="879"/>
      <c r="B196" s="879"/>
      <c r="C196" s="879"/>
      <c r="D196" s="879"/>
      <c r="E196" s="879"/>
      <c r="F196" s="879"/>
      <c r="G196" s="879"/>
      <c r="H196" s="879"/>
    </row>
    <row r="197" spans="1:8" x14ac:dyDescent="0.2">
      <c r="A197" s="879"/>
      <c r="B197" s="879"/>
      <c r="C197" s="879"/>
      <c r="D197" s="879"/>
      <c r="E197" s="879"/>
      <c r="F197" s="879"/>
      <c r="G197" s="879"/>
      <c r="H197" s="879"/>
    </row>
    <row r="198" spans="1:8" x14ac:dyDescent="0.2">
      <c r="A198" s="879"/>
      <c r="B198" s="879"/>
      <c r="C198" s="879"/>
      <c r="D198" s="879"/>
      <c r="E198" s="879"/>
      <c r="F198" s="879"/>
      <c r="G198" s="879"/>
      <c r="H198" s="879"/>
    </row>
    <row r="199" spans="1:8" x14ac:dyDescent="0.2">
      <c r="A199" s="879"/>
      <c r="B199" s="879"/>
      <c r="C199" s="879"/>
      <c r="D199" s="879"/>
      <c r="E199" s="879"/>
      <c r="F199" s="879"/>
      <c r="G199" s="879"/>
      <c r="H199" s="879"/>
    </row>
    <row r="200" spans="1:8" x14ac:dyDescent="0.2">
      <c r="A200" s="879"/>
      <c r="B200" s="879"/>
      <c r="C200" s="879"/>
      <c r="D200" s="879"/>
      <c r="E200" s="879"/>
      <c r="F200" s="879"/>
      <c r="G200" s="879"/>
      <c r="H200" s="879"/>
    </row>
    <row r="201" spans="1:8" x14ac:dyDescent="0.2">
      <c r="A201" s="879"/>
      <c r="B201" s="879"/>
      <c r="C201" s="879"/>
      <c r="D201" s="879"/>
      <c r="E201" s="879"/>
      <c r="F201" s="879"/>
      <c r="G201" s="879"/>
      <c r="H201" s="879"/>
    </row>
    <row r="202" spans="1:8" x14ac:dyDescent="0.2">
      <c r="A202" s="879"/>
      <c r="B202" s="879"/>
      <c r="C202" s="879"/>
      <c r="D202" s="879"/>
      <c r="E202" s="879"/>
      <c r="F202" s="879"/>
      <c r="G202" s="879"/>
      <c r="H202" s="879"/>
    </row>
    <row r="203" spans="1:8" x14ac:dyDescent="0.2">
      <c r="A203" s="879"/>
      <c r="B203" s="879"/>
      <c r="C203" s="879"/>
      <c r="D203" s="879"/>
      <c r="E203" s="879"/>
      <c r="F203" s="879"/>
      <c r="G203" s="879"/>
      <c r="H203" s="879"/>
    </row>
    <row r="204" spans="1:8" x14ac:dyDescent="0.2">
      <c r="A204" s="879"/>
      <c r="B204" s="879"/>
      <c r="C204" s="879"/>
      <c r="D204" s="879"/>
      <c r="E204" s="879"/>
      <c r="F204" s="879"/>
      <c r="G204" s="879"/>
      <c r="H204" s="879"/>
    </row>
    <row r="205" spans="1:8" x14ac:dyDescent="0.2">
      <c r="A205" s="879"/>
      <c r="B205" s="879"/>
      <c r="C205" s="879"/>
      <c r="D205" s="879"/>
      <c r="E205" s="879"/>
      <c r="F205" s="879"/>
      <c r="G205" s="879"/>
      <c r="H205" s="879"/>
    </row>
    <row r="206" spans="1:8" x14ac:dyDescent="0.2">
      <c r="A206" s="879"/>
      <c r="B206" s="879"/>
      <c r="C206" s="879"/>
      <c r="D206" s="879"/>
      <c r="E206" s="879"/>
      <c r="F206" s="879"/>
      <c r="G206" s="879"/>
      <c r="H206" s="879"/>
    </row>
    <row r="207" spans="1:8" x14ac:dyDescent="0.2">
      <c r="A207" s="879"/>
      <c r="B207" s="879"/>
      <c r="C207" s="879"/>
      <c r="D207" s="879"/>
      <c r="E207" s="879"/>
      <c r="F207" s="879"/>
      <c r="G207" s="879"/>
      <c r="H207" s="879"/>
    </row>
    <row r="208" spans="1:8" ht="15.75" x14ac:dyDescent="0.2">
      <c r="A208" s="881" t="s">
        <v>871</v>
      </c>
      <c r="B208" s="879"/>
      <c r="C208" s="879"/>
      <c r="D208" s="879"/>
      <c r="E208" s="879"/>
      <c r="F208" s="879"/>
      <c r="G208" s="879"/>
      <c r="H208" s="879"/>
    </row>
    <row r="209" spans="1:8" x14ac:dyDescent="0.2">
      <c r="A209" s="879"/>
      <c r="B209" s="879"/>
      <c r="C209" s="879"/>
      <c r="D209" s="879"/>
      <c r="E209" s="879"/>
      <c r="F209" s="879"/>
      <c r="G209" s="879"/>
      <c r="H209" s="879"/>
    </row>
    <row r="210" spans="1:8" x14ac:dyDescent="0.2">
      <c r="A210" s="880" t="s">
        <v>1032</v>
      </c>
      <c r="B210" s="879"/>
      <c r="C210" s="879"/>
      <c r="D210" s="879"/>
      <c r="E210" s="879"/>
      <c r="F210" s="879"/>
      <c r="G210" s="879"/>
      <c r="H210" s="879"/>
    </row>
    <row r="211" spans="1:8" x14ac:dyDescent="0.2">
      <c r="A211" s="880" t="s">
        <v>1033</v>
      </c>
      <c r="B211" s="879"/>
      <c r="C211" s="879"/>
      <c r="D211" s="879"/>
      <c r="E211" s="879"/>
      <c r="F211" s="879"/>
      <c r="G211" s="879"/>
      <c r="H211" s="879"/>
    </row>
    <row r="212" spans="1:8" x14ac:dyDescent="0.2">
      <c r="A212" s="880" t="s">
        <v>1034</v>
      </c>
      <c r="B212" s="879"/>
      <c r="C212" s="879"/>
      <c r="D212" s="879"/>
      <c r="E212" s="879"/>
      <c r="F212" s="879"/>
      <c r="G212" s="879"/>
      <c r="H212" s="879"/>
    </row>
    <row r="213" spans="1:8" x14ac:dyDescent="0.2">
      <c r="A213" s="880" t="s">
        <v>1035</v>
      </c>
      <c r="B213" s="879"/>
      <c r="C213" s="879"/>
      <c r="D213" s="879"/>
      <c r="E213" s="879"/>
      <c r="F213" s="879"/>
      <c r="G213" s="879"/>
      <c r="H213" s="879"/>
    </row>
    <row r="214" spans="1:8" x14ac:dyDescent="0.2">
      <c r="A214" s="880" t="s">
        <v>1036</v>
      </c>
      <c r="B214" s="879"/>
      <c r="C214" s="879"/>
      <c r="D214" s="879"/>
      <c r="E214" s="879"/>
      <c r="F214" s="879"/>
      <c r="G214" s="879"/>
      <c r="H214" s="879"/>
    </row>
    <row r="215" spans="1:8" x14ac:dyDescent="0.2">
      <c r="A215" s="879"/>
      <c r="B215" s="879"/>
      <c r="C215" s="879"/>
      <c r="D215" s="879"/>
      <c r="E215" s="879"/>
      <c r="F215" s="879"/>
      <c r="G215" s="879"/>
      <c r="H215" s="879"/>
    </row>
    <row r="216" spans="1:8" x14ac:dyDescent="0.2">
      <c r="A216" s="880" t="s">
        <v>1029</v>
      </c>
      <c r="B216" s="879"/>
      <c r="C216" s="879"/>
      <c r="D216" s="879"/>
      <c r="E216" s="879"/>
      <c r="F216" s="879"/>
      <c r="G216" s="879"/>
      <c r="H216" s="879"/>
    </row>
    <row r="217" spans="1:8" x14ac:dyDescent="0.2">
      <c r="A217" s="880" t="s">
        <v>1030</v>
      </c>
      <c r="B217" s="879"/>
      <c r="C217" s="879"/>
      <c r="D217" s="879"/>
      <c r="E217" s="879"/>
      <c r="F217" s="879"/>
      <c r="G217" s="879"/>
      <c r="H217" s="879"/>
    </row>
    <row r="218" spans="1:8" x14ac:dyDescent="0.2">
      <c r="A218" s="880" t="s">
        <v>1031</v>
      </c>
      <c r="B218" s="879"/>
      <c r="C218" s="879"/>
      <c r="D218" s="879"/>
      <c r="E218" s="879"/>
      <c r="F218" s="879"/>
      <c r="G218" s="879"/>
      <c r="H218" s="879"/>
    </row>
    <row r="219" spans="1:8" ht="15.75" x14ac:dyDescent="0.2">
      <c r="A219" s="881" t="s">
        <v>872</v>
      </c>
      <c r="B219" s="879"/>
      <c r="C219" s="879"/>
      <c r="D219" s="879"/>
      <c r="E219" s="879"/>
      <c r="F219" s="879"/>
      <c r="G219" s="879"/>
      <c r="H219" s="879"/>
    </row>
    <row r="220" spans="1:8" x14ac:dyDescent="0.2">
      <c r="A220" s="879"/>
      <c r="B220" s="879"/>
      <c r="C220" s="879"/>
      <c r="D220" s="879"/>
      <c r="E220" s="879"/>
      <c r="F220" s="879"/>
      <c r="G220" s="879"/>
      <c r="H220" s="879"/>
    </row>
    <row r="221" spans="1:8" x14ac:dyDescent="0.2">
      <c r="A221" s="880" t="s">
        <v>1027</v>
      </c>
      <c r="B221" s="879"/>
      <c r="C221" s="879"/>
      <c r="D221" s="879"/>
      <c r="E221" s="879"/>
      <c r="F221" s="879"/>
      <c r="G221" s="879"/>
      <c r="H221" s="879"/>
    </row>
    <row r="222" spans="1:8" x14ac:dyDescent="0.2">
      <c r="A222" s="880" t="s">
        <v>1028</v>
      </c>
      <c r="B222" s="879"/>
      <c r="C222" s="879"/>
      <c r="D222" s="879"/>
      <c r="E222" s="879"/>
      <c r="F222" s="879"/>
      <c r="G222" s="879"/>
      <c r="H222" s="879"/>
    </row>
    <row r="223" spans="1:8" x14ac:dyDescent="0.2">
      <c r="A223" s="879"/>
      <c r="B223" s="879"/>
      <c r="C223" s="879"/>
      <c r="D223" s="879"/>
      <c r="E223" s="879"/>
      <c r="F223" s="879"/>
      <c r="G223" s="879"/>
      <c r="H223" s="879"/>
    </row>
    <row r="224" spans="1:8" x14ac:dyDescent="0.2">
      <c r="A224" s="880" t="s">
        <v>1020</v>
      </c>
      <c r="B224" s="879"/>
      <c r="C224" s="879"/>
      <c r="D224" s="879"/>
      <c r="E224" s="879"/>
      <c r="F224" s="879"/>
      <c r="G224" s="879"/>
      <c r="H224" s="879"/>
    </row>
    <row r="225" spans="1:8" x14ac:dyDescent="0.2">
      <c r="A225" s="880" t="s">
        <v>1021</v>
      </c>
      <c r="B225" s="879"/>
      <c r="C225" s="879"/>
      <c r="D225" s="879"/>
      <c r="E225" s="879"/>
      <c r="F225" s="879"/>
      <c r="G225" s="879"/>
      <c r="H225" s="879"/>
    </row>
    <row r="226" spans="1:8" x14ac:dyDescent="0.2">
      <c r="A226" s="880" t="s">
        <v>1022</v>
      </c>
      <c r="B226" s="879"/>
      <c r="C226" s="879"/>
      <c r="D226" s="879"/>
      <c r="E226" s="879"/>
      <c r="F226" s="879"/>
      <c r="G226" s="879"/>
      <c r="H226" s="879"/>
    </row>
    <row r="227" spans="1:8" x14ac:dyDescent="0.2">
      <c r="A227" s="880" t="s">
        <v>1023</v>
      </c>
      <c r="B227" s="879"/>
      <c r="C227" s="879"/>
      <c r="D227" s="879"/>
      <c r="E227" s="879"/>
      <c r="F227" s="879"/>
      <c r="G227" s="879"/>
      <c r="H227" s="879"/>
    </row>
    <row r="228" spans="1:8" x14ac:dyDescent="0.2">
      <c r="A228" s="880" t="s">
        <v>1024</v>
      </c>
      <c r="B228" s="879"/>
      <c r="C228" s="879"/>
      <c r="D228" s="879"/>
      <c r="E228" s="879"/>
      <c r="F228" s="879"/>
      <c r="G228" s="879"/>
      <c r="H228" s="879"/>
    </row>
    <row r="229" spans="1:8" x14ac:dyDescent="0.2">
      <c r="A229" s="880" t="s">
        <v>1025</v>
      </c>
      <c r="B229" s="879"/>
      <c r="C229" s="879"/>
      <c r="D229" s="879"/>
      <c r="E229" s="879"/>
      <c r="F229" s="879"/>
      <c r="G229" s="879"/>
      <c r="H229" s="879"/>
    </row>
    <row r="230" spans="1:8" x14ac:dyDescent="0.2">
      <c r="A230" s="880" t="s">
        <v>1026</v>
      </c>
      <c r="B230" s="879"/>
      <c r="C230" s="879"/>
      <c r="D230" s="879"/>
      <c r="E230" s="879"/>
      <c r="F230" s="879"/>
      <c r="G230" s="879"/>
      <c r="H230" s="879"/>
    </row>
    <row r="231" spans="1:8" x14ac:dyDescent="0.2">
      <c r="A231" s="879"/>
      <c r="B231" s="879"/>
      <c r="C231" s="879"/>
      <c r="D231" s="879"/>
      <c r="E231" s="879"/>
      <c r="F231" s="879"/>
      <c r="G231" s="879"/>
      <c r="H231" s="879"/>
    </row>
    <row r="232" spans="1:8" x14ac:dyDescent="0.2">
      <c r="A232" s="880" t="s">
        <v>1017</v>
      </c>
      <c r="B232" s="879"/>
      <c r="C232" s="879"/>
      <c r="D232" s="879"/>
      <c r="E232" s="879"/>
      <c r="F232" s="879"/>
      <c r="G232" s="879"/>
      <c r="H232" s="879"/>
    </row>
    <row r="233" spans="1:8" x14ac:dyDescent="0.2">
      <c r="A233" s="880" t="s">
        <v>1018</v>
      </c>
      <c r="B233" s="879"/>
      <c r="C233" s="879"/>
      <c r="D233" s="879"/>
      <c r="E233" s="879"/>
      <c r="F233" s="879"/>
      <c r="G233" s="879"/>
      <c r="H233" s="879"/>
    </row>
    <row r="234" spans="1:8" x14ac:dyDescent="0.2">
      <c r="A234" s="880" t="s">
        <v>1019</v>
      </c>
      <c r="B234" s="879"/>
      <c r="C234" s="879"/>
      <c r="D234" s="879"/>
      <c r="E234" s="879"/>
      <c r="F234" s="879"/>
      <c r="G234" s="879"/>
      <c r="H234" s="879"/>
    </row>
    <row r="235" spans="1:8" x14ac:dyDescent="0.2">
      <c r="A235" s="879"/>
      <c r="B235" s="879"/>
      <c r="C235" s="879"/>
      <c r="D235" s="879"/>
      <c r="E235" s="879"/>
      <c r="F235" s="879"/>
      <c r="G235" s="879"/>
      <c r="H235" s="879"/>
    </row>
    <row r="236" spans="1:8" x14ac:dyDescent="0.2">
      <c r="A236" s="880" t="s">
        <v>1012</v>
      </c>
      <c r="B236" s="879"/>
      <c r="C236" s="879"/>
      <c r="D236" s="879"/>
      <c r="E236" s="879"/>
      <c r="F236" s="879"/>
      <c r="G236" s="879"/>
      <c r="H236" s="879"/>
    </row>
    <row r="237" spans="1:8" x14ac:dyDescent="0.2">
      <c r="A237" s="880" t="s">
        <v>1013</v>
      </c>
      <c r="B237" s="879"/>
      <c r="C237" s="879"/>
      <c r="D237" s="879"/>
      <c r="E237" s="879"/>
      <c r="F237" s="879"/>
      <c r="G237" s="879"/>
      <c r="H237" s="879"/>
    </row>
    <row r="238" spans="1:8" x14ac:dyDescent="0.2">
      <c r="A238" s="880" t="s">
        <v>1014</v>
      </c>
      <c r="B238" s="879"/>
      <c r="C238" s="879"/>
      <c r="D238" s="879"/>
      <c r="E238" s="879"/>
      <c r="F238" s="879"/>
      <c r="G238" s="879"/>
      <c r="H238" s="879"/>
    </row>
    <row r="239" spans="1:8" x14ac:dyDescent="0.2">
      <c r="A239" s="880" t="s">
        <v>1015</v>
      </c>
      <c r="B239" s="879"/>
      <c r="C239" s="879"/>
      <c r="D239" s="879"/>
      <c r="E239" s="879"/>
      <c r="F239" s="879"/>
      <c r="G239" s="879"/>
      <c r="H239" s="879"/>
    </row>
    <row r="240" spans="1:8" x14ac:dyDescent="0.2">
      <c r="A240" s="880" t="s">
        <v>1016</v>
      </c>
      <c r="B240" s="879"/>
      <c r="C240" s="879"/>
      <c r="D240" s="879"/>
      <c r="E240" s="879"/>
      <c r="F240" s="879"/>
      <c r="G240" s="879"/>
      <c r="H240" s="879"/>
    </row>
    <row r="241" spans="1:8" x14ac:dyDescent="0.2">
      <c r="A241" s="879"/>
      <c r="B241" s="879"/>
      <c r="C241" s="879"/>
      <c r="D241" s="879"/>
      <c r="E241" s="879"/>
      <c r="F241" s="879"/>
      <c r="G241" s="879"/>
      <c r="H241" s="879"/>
    </row>
    <row r="242" spans="1:8" x14ac:dyDescent="0.2">
      <c r="A242" s="880" t="s">
        <v>1006</v>
      </c>
      <c r="B242" s="879"/>
      <c r="C242" s="879"/>
      <c r="D242" s="879"/>
      <c r="E242" s="879"/>
      <c r="F242" s="879"/>
      <c r="G242" s="879"/>
      <c r="H242" s="879"/>
    </row>
    <row r="243" spans="1:8" x14ac:dyDescent="0.2">
      <c r="A243" s="880" t="s">
        <v>1007</v>
      </c>
      <c r="B243" s="879"/>
      <c r="C243" s="879"/>
      <c r="D243" s="879"/>
      <c r="E243" s="879"/>
      <c r="F243" s="879"/>
      <c r="G243" s="879"/>
      <c r="H243" s="879"/>
    </row>
    <row r="244" spans="1:8" x14ac:dyDescent="0.2">
      <c r="A244" s="880" t="s">
        <v>1008</v>
      </c>
      <c r="B244" s="879"/>
      <c r="C244" s="879"/>
      <c r="D244" s="879"/>
      <c r="E244" s="879"/>
      <c r="F244" s="879"/>
      <c r="G244" s="879"/>
      <c r="H244" s="879"/>
    </row>
    <row r="245" spans="1:8" x14ac:dyDescent="0.2">
      <c r="A245" s="880" t="s">
        <v>1009</v>
      </c>
      <c r="B245" s="879"/>
      <c r="C245" s="879"/>
      <c r="D245" s="879"/>
      <c r="E245" s="879"/>
      <c r="F245" s="879"/>
      <c r="G245" s="879"/>
      <c r="H245" s="879"/>
    </row>
    <row r="246" spans="1:8" x14ac:dyDescent="0.2">
      <c r="A246" s="880" t="s">
        <v>1010</v>
      </c>
      <c r="B246" s="879"/>
      <c r="C246" s="879"/>
      <c r="D246" s="879"/>
      <c r="E246" s="879"/>
      <c r="F246" s="879"/>
      <c r="G246" s="879"/>
      <c r="H246" s="879"/>
    </row>
    <row r="247" spans="1:8" x14ac:dyDescent="0.2">
      <c r="A247" s="880" t="s">
        <v>1011</v>
      </c>
      <c r="B247" s="879"/>
      <c r="C247" s="879"/>
      <c r="D247" s="879"/>
      <c r="E247" s="879"/>
      <c r="F247" s="879"/>
      <c r="G247" s="879"/>
      <c r="H247" s="879"/>
    </row>
    <row r="248" spans="1:8" x14ac:dyDescent="0.2">
      <c r="A248" s="879"/>
      <c r="B248" s="879"/>
      <c r="C248" s="879"/>
      <c r="D248" s="879"/>
      <c r="E248" s="879"/>
      <c r="F248" s="879"/>
      <c r="G248" s="879"/>
      <c r="H248" s="879"/>
    </row>
    <row r="249" spans="1:8" x14ac:dyDescent="0.2">
      <c r="A249" s="880" t="s">
        <v>996</v>
      </c>
      <c r="B249" s="879"/>
      <c r="C249" s="879"/>
      <c r="D249" s="879"/>
      <c r="E249" s="879"/>
      <c r="F249" s="879"/>
      <c r="G249" s="879"/>
      <c r="H249" s="879"/>
    </row>
    <row r="250" spans="1:8" x14ac:dyDescent="0.2">
      <c r="A250" s="880" t="s">
        <v>997</v>
      </c>
      <c r="B250" s="879"/>
      <c r="C250" s="879"/>
      <c r="D250" s="879"/>
      <c r="E250" s="879"/>
      <c r="F250" s="879"/>
      <c r="G250" s="879"/>
      <c r="H250" s="879"/>
    </row>
    <row r="251" spans="1:8" x14ac:dyDescent="0.2">
      <c r="A251" s="880" t="s">
        <v>998</v>
      </c>
      <c r="B251" s="879"/>
      <c r="C251" s="879"/>
      <c r="D251" s="879"/>
      <c r="E251" s="879"/>
      <c r="F251" s="879"/>
      <c r="G251" s="879"/>
      <c r="H251" s="879"/>
    </row>
    <row r="252" spans="1:8" x14ac:dyDescent="0.2">
      <c r="A252" s="880" t="s">
        <v>999</v>
      </c>
      <c r="B252" s="879"/>
      <c r="C252" s="879"/>
      <c r="D252" s="879"/>
      <c r="E252" s="879"/>
      <c r="F252" s="879"/>
      <c r="G252" s="879"/>
      <c r="H252" s="879"/>
    </row>
    <row r="253" spans="1:8" x14ac:dyDescent="0.2">
      <c r="A253" s="880" t="s">
        <v>1000</v>
      </c>
      <c r="B253" s="879"/>
      <c r="C253" s="879"/>
      <c r="D253" s="879"/>
      <c r="E253" s="879"/>
      <c r="F253" s="879"/>
      <c r="G253" s="879"/>
      <c r="H253" s="879"/>
    </row>
    <row r="254" spans="1:8" x14ac:dyDescent="0.2">
      <c r="A254" s="880" t="s">
        <v>1001</v>
      </c>
      <c r="B254" s="879"/>
      <c r="C254" s="879"/>
      <c r="D254" s="879"/>
      <c r="E254" s="879"/>
      <c r="F254" s="879"/>
      <c r="G254" s="879"/>
      <c r="H254" s="879"/>
    </row>
    <row r="255" spans="1:8" x14ac:dyDescent="0.2">
      <c r="A255" s="880" t="s">
        <v>1002</v>
      </c>
      <c r="B255" s="879"/>
      <c r="C255" s="879"/>
      <c r="D255" s="879"/>
      <c r="E255" s="879"/>
      <c r="F255" s="879"/>
      <c r="G255" s="879"/>
      <c r="H255" s="879"/>
    </row>
    <row r="256" spans="1:8" x14ac:dyDescent="0.2">
      <c r="A256" s="880" t="s">
        <v>1003</v>
      </c>
      <c r="B256" s="879"/>
      <c r="C256" s="879"/>
      <c r="D256" s="879"/>
      <c r="E256" s="879"/>
      <c r="F256" s="879"/>
      <c r="G256" s="879"/>
      <c r="H256" s="879"/>
    </row>
    <row r="257" spans="1:8" x14ac:dyDescent="0.2">
      <c r="A257" s="880" t="s">
        <v>1004</v>
      </c>
      <c r="B257" s="879"/>
      <c r="C257" s="879"/>
      <c r="D257" s="879"/>
      <c r="E257" s="879"/>
      <c r="F257" s="879"/>
      <c r="G257" s="879"/>
      <c r="H257" s="879"/>
    </row>
    <row r="258" spans="1:8" x14ac:dyDescent="0.2">
      <c r="A258" s="880" t="s">
        <v>1005</v>
      </c>
      <c r="B258" s="879"/>
      <c r="C258" s="879"/>
      <c r="D258" s="879"/>
      <c r="E258" s="879"/>
      <c r="F258" s="879"/>
      <c r="G258" s="879"/>
      <c r="H258" s="879"/>
    </row>
    <row r="259" spans="1:8" x14ac:dyDescent="0.2">
      <c r="A259" s="879"/>
      <c r="B259" s="879"/>
      <c r="C259" s="879"/>
      <c r="D259" s="879"/>
      <c r="E259" s="879"/>
      <c r="F259" s="879"/>
      <c r="G259" s="879"/>
      <c r="H259" s="879"/>
    </row>
    <row r="260" spans="1:8" x14ac:dyDescent="0.2">
      <c r="A260" s="880" t="s">
        <v>994</v>
      </c>
      <c r="B260" s="879"/>
      <c r="C260" s="879"/>
      <c r="D260" s="879"/>
      <c r="E260" s="879"/>
      <c r="F260" s="879"/>
      <c r="G260" s="879"/>
      <c r="H260" s="879"/>
    </row>
    <row r="261" spans="1:8" x14ac:dyDescent="0.2">
      <c r="A261" s="880" t="s">
        <v>995</v>
      </c>
      <c r="B261" s="879"/>
      <c r="C261" s="879"/>
      <c r="D261" s="879"/>
      <c r="E261" s="879"/>
      <c r="F261" s="879"/>
      <c r="G261" s="879"/>
      <c r="H261" s="879"/>
    </row>
    <row r="262" spans="1:8" x14ac:dyDescent="0.2">
      <c r="A262" s="879"/>
      <c r="B262" s="879"/>
      <c r="C262" s="879"/>
      <c r="D262" s="879"/>
      <c r="E262" s="879"/>
      <c r="F262" s="879"/>
      <c r="G262" s="879"/>
      <c r="H262" s="879"/>
    </row>
    <row r="263" spans="1:8" x14ac:dyDescent="0.2">
      <c r="A263" s="880" t="s">
        <v>978</v>
      </c>
      <c r="B263" s="879"/>
      <c r="C263" s="879"/>
      <c r="D263" s="879"/>
      <c r="E263" s="879"/>
      <c r="F263" s="879"/>
      <c r="G263" s="879"/>
      <c r="H263" s="879"/>
    </row>
    <row r="264" spans="1:8" x14ac:dyDescent="0.2">
      <c r="A264" s="880" t="s">
        <v>979</v>
      </c>
      <c r="B264" s="879"/>
      <c r="C264" s="879"/>
      <c r="D264" s="879"/>
      <c r="E264" s="879"/>
      <c r="F264" s="879"/>
      <c r="G264" s="879"/>
      <c r="H264" s="879"/>
    </row>
    <row r="265" spans="1:8" x14ac:dyDescent="0.2">
      <c r="A265" s="880" t="s">
        <v>980</v>
      </c>
      <c r="B265" s="879"/>
      <c r="C265" s="879"/>
      <c r="D265" s="879"/>
      <c r="E265" s="879"/>
      <c r="F265" s="879"/>
      <c r="G265" s="879"/>
      <c r="H265" s="879"/>
    </row>
    <row r="266" spans="1:8" x14ac:dyDescent="0.2">
      <c r="A266" s="880" t="s">
        <v>981</v>
      </c>
      <c r="B266" s="879"/>
      <c r="C266" s="879"/>
      <c r="D266" s="879"/>
      <c r="E266" s="879"/>
      <c r="F266" s="879"/>
      <c r="G266" s="879"/>
      <c r="H266" s="879"/>
    </row>
    <row r="267" spans="1:8" x14ac:dyDescent="0.2">
      <c r="A267" s="880" t="s">
        <v>982</v>
      </c>
      <c r="B267" s="879"/>
      <c r="C267" s="879"/>
      <c r="D267" s="879"/>
      <c r="E267" s="879"/>
      <c r="F267" s="879"/>
      <c r="G267" s="879"/>
      <c r="H267" s="879"/>
    </row>
    <row r="268" spans="1:8" x14ac:dyDescent="0.2">
      <c r="A268" s="880" t="s">
        <v>983</v>
      </c>
      <c r="B268" s="879"/>
      <c r="C268" s="879"/>
      <c r="D268" s="879"/>
      <c r="E268" s="879"/>
      <c r="F268" s="879"/>
      <c r="G268" s="879"/>
      <c r="H268" s="879"/>
    </row>
    <row r="269" spans="1:8" x14ac:dyDescent="0.2">
      <c r="A269" s="880" t="s">
        <v>984</v>
      </c>
      <c r="B269" s="879"/>
      <c r="C269" s="879"/>
      <c r="D269" s="879"/>
      <c r="E269" s="879"/>
      <c r="F269" s="879"/>
      <c r="G269" s="879"/>
      <c r="H269" s="879"/>
    </row>
    <row r="270" spans="1:8" x14ac:dyDescent="0.2">
      <c r="A270" s="880" t="s">
        <v>985</v>
      </c>
      <c r="B270" s="879"/>
      <c r="C270" s="879"/>
      <c r="D270" s="879"/>
      <c r="E270" s="879"/>
      <c r="F270" s="879"/>
      <c r="G270" s="879"/>
      <c r="H270" s="879"/>
    </row>
    <row r="271" spans="1:8" x14ac:dyDescent="0.2">
      <c r="A271" s="880" t="s">
        <v>986</v>
      </c>
      <c r="B271" s="879"/>
      <c r="C271" s="879"/>
      <c r="D271" s="879"/>
      <c r="E271" s="879"/>
      <c r="F271" s="879"/>
      <c r="G271" s="879"/>
      <c r="H271" s="879"/>
    </row>
    <row r="272" spans="1:8" x14ac:dyDescent="0.2">
      <c r="A272" s="880" t="s">
        <v>987</v>
      </c>
      <c r="B272" s="879"/>
      <c r="C272" s="879"/>
      <c r="D272" s="879"/>
      <c r="E272" s="879"/>
      <c r="F272" s="879"/>
      <c r="G272" s="879"/>
      <c r="H272" s="879"/>
    </row>
    <row r="273" spans="1:8" x14ac:dyDescent="0.2">
      <c r="A273" s="880" t="s">
        <v>988</v>
      </c>
      <c r="B273" s="879"/>
      <c r="C273" s="879"/>
      <c r="D273" s="879"/>
      <c r="E273" s="879"/>
      <c r="F273" s="879"/>
      <c r="G273" s="879"/>
      <c r="H273" s="879"/>
    </row>
    <row r="274" spans="1:8" x14ac:dyDescent="0.2">
      <c r="A274" s="880" t="s">
        <v>989</v>
      </c>
      <c r="B274" s="879"/>
      <c r="C274" s="879"/>
      <c r="D274" s="879"/>
      <c r="E274" s="879"/>
      <c r="F274" s="879"/>
      <c r="G274" s="879"/>
      <c r="H274" s="879"/>
    </row>
    <row r="275" spans="1:8" x14ac:dyDescent="0.2">
      <c r="A275" s="880" t="s">
        <v>990</v>
      </c>
      <c r="B275" s="879"/>
      <c r="C275" s="879"/>
      <c r="D275" s="879"/>
      <c r="E275" s="879"/>
      <c r="F275" s="879"/>
      <c r="G275" s="879"/>
      <c r="H275" s="879"/>
    </row>
    <row r="276" spans="1:8" x14ac:dyDescent="0.2">
      <c r="A276" s="880" t="s">
        <v>991</v>
      </c>
      <c r="B276" s="879"/>
      <c r="C276" s="879"/>
      <c r="D276" s="879"/>
      <c r="E276" s="879"/>
      <c r="F276" s="879"/>
      <c r="G276" s="879"/>
      <c r="H276" s="879"/>
    </row>
    <row r="277" spans="1:8" x14ac:dyDescent="0.2">
      <c r="A277" s="880" t="s">
        <v>992</v>
      </c>
      <c r="B277" s="879"/>
      <c r="C277" s="879"/>
      <c r="D277" s="879"/>
      <c r="E277" s="879"/>
      <c r="F277" s="879"/>
      <c r="G277" s="879"/>
      <c r="H277" s="879"/>
    </row>
    <row r="278" spans="1:8" x14ac:dyDescent="0.2">
      <c r="A278" s="880" t="s">
        <v>993</v>
      </c>
      <c r="B278" s="879"/>
      <c r="C278" s="879"/>
      <c r="D278" s="879"/>
      <c r="E278" s="879"/>
      <c r="F278" s="879"/>
      <c r="G278" s="879"/>
      <c r="H278" s="879"/>
    </row>
    <row r="279" spans="1:8" x14ac:dyDescent="0.2">
      <c r="A279" s="879"/>
      <c r="B279" s="879"/>
      <c r="C279" s="879"/>
      <c r="D279" s="879"/>
      <c r="E279" s="879"/>
      <c r="F279" s="879"/>
      <c r="G279" s="879"/>
      <c r="H279" s="879"/>
    </row>
    <row r="280" spans="1:8" x14ac:dyDescent="0.2">
      <c r="A280" s="880" t="s">
        <v>971</v>
      </c>
      <c r="B280" s="879"/>
      <c r="C280" s="879"/>
      <c r="D280" s="879"/>
      <c r="E280" s="879"/>
      <c r="F280" s="879"/>
      <c r="G280" s="879"/>
      <c r="H280" s="879"/>
    </row>
    <row r="281" spans="1:8" x14ac:dyDescent="0.2">
      <c r="A281" s="880" t="s">
        <v>972</v>
      </c>
      <c r="B281" s="879"/>
      <c r="C281" s="879"/>
      <c r="D281" s="879"/>
      <c r="E281" s="879"/>
      <c r="F281" s="879"/>
      <c r="G281" s="879"/>
      <c r="H281" s="879"/>
    </row>
    <row r="282" spans="1:8" x14ac:dyDescent="0.2">
      <c r="A282" s="880" t="s">
        <v>973</v>
      </c>
      <c r="B282" s="879"/>
      <c r="C282" s="879"/>
      <c r="D282" s="879"/>
      <c r="E282" s="879"/>
      <c r="F282" s="879"/>
      <c r="G282" s="879"/>
      <c r="H282" s="879"/>
    </row>
    <row r="283" spans="1:8" x14ac:dyDescent="0.2">
      <c r="A283" s="880" t="s">
        <v>974</v>
      </c>
      <c r="B283" s="879"/>
      <c r="C283" s="879"/>
      <c r="D283" s="879"/>
      <c r="E283" s="879"/>
      <c r="F283" s="879"/>
      <c r="G283" s="879"/>
      <c r="H283" s="879"/>
    </row>
    <row r="284" spans="1:8" x14ac:dyDescent="0.2">
      <c r="A284" s="880" t="s">
        <v>975</v>
      </c>
      <c r="B284" s="879"/>
      <c r="C284" s="879"/>
      <c r="D284" s="879"/>
      <c r="E284" s="879"/>
      <c r="F284" s="879"/>
      <c r="G284" s="879"/>
      <c r="H284" s="879"/>
    </row>
    <row r="285" spans="1:8" x14ac:dyDescent="0.2">
      <c r="A285" s="880" t="s">
        <v>976</v>
      </c>
      <c r="B285" s="879"/>
      <c r="C285" s="879"/>
      <c r="D285" s="879"/>
      <c r="E285" s="879"/>
      <c r="F285" s="879"/>
      <c r="G285" s="879"/>
      <c r="H285" s="879"/>
    </row>
    <row r="286" spans="1:8" x14ac:dyDescent="0.2">
      <c r="A286" s="880" t="s">
        <v>977</v>
      </c>
      <c r="B286" s="879"/>
      <c r="C286" s="879"/>
      <c r="D286" s="879"/>
      <c r="E286" s="879"/>
      <c r="F286" s="879"/>
      <c r="G286" s="879"/>
      <c r="H286" s="879"/>
    </row>
    <row r="287" spans="1:8" x14ac:dyDescent="0.2">
      <c r="A287" s="879"/>
      <c r="B287" s="879"/>
      <c r="C287" s="879"/>
      <c r="D287" s="879"/>
      <c r="E287" s="879"/>
      <c r="F287" s="879"/>
      <c r="G287" s="879"/>
      <c r="H287" s="879"/>
    </row>
    <row r="288" spans="1:8" x14ac:dyDescent="0.2">
      <c r="A288" s="880" t="s">
        <v>962</v>
      </c>
      <c r="B288" s="879"/>
      <c r="C288" s="879"/>
      <c r="D288" s="879"/>
      <c r="E288" s="879"/>
      <c r="F288" s="879"/>
      <c r="G288" s="879"/>
      <c r="H288" s="879"/>
    </row>
    <row r="289" spans="1:8" x14ac:dyDescent="0.2">
      <c r="A289" s="880" t="s">
        <v>963</v>
      </c>
      <c r="B289" s="879"/>
      <c r="C289" s="879"/>
      <c r="D289" s="879"/>
      <c r="E289" s="879"/>
      <c r="F289" s="879"/>
      <c r="G289" s="879"/>
      <c r="H289" s="879"/>
    </row>
    <row r="290" spans="1:8" x14ac:dyDescent="0.2">
      <c r="A290" s="880" t="s">
        <v>964</v>
      </c>
      <c r="B290" s="879"/>
      <c r="C290" s="879"/>
      <c r="D290" s="879"/>
      <c r="E290" s="879"/>
      <c r="F290" s="879"/>
      <c r="G290" s="879"/>
      <c r="H290" s="879"/>
    </row>
    <row r="291" spans="1:8" x14ac:dyDescent="0.2">
      <c r="A291" s="880" t="s">
        <v>965</v>
      </c>
      <c r="B291" s="879"/>
      <c r="C291" s="879"/>
      <c r="D291" s="879"/>
      <c r="E291" s="879"/>
      <c r="F291" s="879"/>
      <c r="G291" s="879"/>
      <c r="H291" s="879"/>
    </row>
    <row r="292" spans="1:8" x14ac:dyDescent="0.2">
      <c r="A292" s="880" t="s">
        <v>966</v>
      </c>
      <c r="B292" s="879"/>
      <c r="C292" s="879"/>
      <c r="D292" s="879"/>
      <c r="E292" s="879"/>
      <c r="F292" s="879"/>
      <c r="G292" s="879"/>
      <c r="H292" s="879"/>
    </row>
    <row r="293" spans="1:8" x14ac:dyDescent="0.2">
      <c r="A293" s="880" t="s">
        <v>967</v>
      </c>
      <c r="B293" s="879"/>
      <c r="C293" s="879"/>
      <c r="D293" s="879"/>
      <c r="E293" s="879"/>
      <c r="F293" s="879"/>
      <c r="G293" s="879"/>
      <c r="H293" s="879"/>
    </row>
    <row r="294" spans="1:8" x14ac:dyDescent="0.2">
      <c r="A294" s="880" t="s">
        <v>968</v>
      </c>
      <c r="B294" s="879"/>
      <c r="C294" s="879"/>
      <c r="D294" s="879"/>
      <c r="E294" s="879"/>
      <c r="F294" s="879"/>
      <c r="G294" s="879"/>
      <c r="H294" s="879"/>
    </row>
    <row r="295" spans="1:8" x14ac:dyDescent="0.2">
      <c r="A295" s="880" t="s">
        <v>969</v>
      </c>
      <c r="B295" s="879"/>
      <c r="C295" s="879"/>
      <c r="D295" s="879"/>
      <c r="E295" s="879"/>
      <c r="F295" s="879"/>
      <c r="G295" s="879"/>
      <c r="H295" s="879"/>
    </row>
    <row r="296" spans="1:8" x14ac:dyDescent="0.2">
      <c r="A296" s="880" t="s">
        <v>970</v>
      </c>
      <c r="B296" s="879"/>
      <c r="C296" s="879"/>
      <c r="D296" s="879"/>
      <c r="E296" s="879"/>
      <c r="F296" s="879"/>
      <c r="G296" s="879"/>
      <c r="H296" s="879"/>
    </row>
    <row r="297" spans="1:8" x14ac:dyDescent="0.2">
      <c r="A297" s="879"/>
      <c r="B297" s="879"/>
      <c r="C297" s="879"/>
      <c r="D297" s="879"/>
      <c r="E297" s="879"/>
      <c r="F297" s="879"/>
      <c r="G297" s="879"/>
      <c r="H297" s="879"/>
    </row>
    <row r="298" spans="1:8" x14ac:dyDescent="0.2">
      <c r="A298" s="880" t="s">
        <v>955</v>
      </c>
      <c r="B298" s="879"/>
      <c r="C298" s="879"/>
      <c r="D298" s="879"/>
      <c r="E298" s="879"/>
      <c r="F298" s="879"/>
      <c r="G298" s="879"/>
      <c r="H298" s="879"/>
    </row>
    <row r="299" spans="1:8" x14ac:dyDescent="0.2">
      <c r="A299" s="880" t="s">
        <v>956</v>
      </c>
      <c r="B299" s="879"/>
      <c r="C299" s="879"/>
      <c r="D299" s="879"/>
      <c r="E299" s="879"/>
      <c r="F299" s="879"/>
      <c r="G299" s="879"/>
      <c r="H299" s="879"/>
    </row>
    <row r="300" spans="1:8" x14ac:dyDescent="0.2">
      <c r="A300" s="880" t="s">
        <v>957</v>
      </c>
      <c r="B300" s="879"/>
      <c r="C300" s="879"/>
      <c r="D300" s="879"/>
      <c r="E300" s="879"/>
      <c r="F300" s="879"/>
      <c r="G300" s="879"/>
      <c r="H300" s="879"/>
    </row>
    <row r="301" spans="1:8" x14ac:dyDescent="0.2">
      <c r="A301" s="880" t="s">
        <v>958</v>
      </c>
      <c r="B301" s="879"/>
      <c r="C301" s="879"/>
      <c r="D301" s="879"/>
      <c r="E301" s="879"/>
      <c r="F301" s="879"/>
      <c r="G301" s="879"/>
      <c r="H301" s="879"/>
    </row>
    <row r="302" spans="1:8" x14ac:dyDescent="0.2">
      <c r="A302" s="880" t="s">
        <v>959</v>
      </c>
      <c r="B302" s="879"/>
      <c r="C302" s="879"/>
      <c r="D302" s="879"/>
      <c r="E302" s="879"/>
      <c r="F302" s="879"/>
      <c r="G302" s="879"/>
      <c r="H302" s="879"/>
    </row>
    <row r="303" spans="1:8" x14ac:dyDescent="0.2">
      <c r="A303" s="880" t="s">
        <v>960</v>
      </c>
      <c r="B303" s="879"/>
      <c r="C303" s="879"/>
      <c r="D303" s="879"/>
      <c r="E303" s="879"/>
      <c r="F303" s="879"/>
      <c r="G303" s="879"/>
      <c r="H303" s="879"/>
    </row>
    <row r="304" spans="1:8" x14ac:dyDescent="0.2">
      <c r="A304" s="880" t="s">
        <v>961</v>
      </c>
      <c r="B304" s="879"/>
      <c r="C304" s="879"/>
      <c r="D304" s="879"/>
      <c r="E304" s="879"/>
      <c r="F304" s="879"/>
      <c r="G304" s="879"/>
      <c r="H304" s="879"/>
    </row>
    <row r="305" spans="1:8" x14ac:dyDescent="0.2">
      <c r="A305" s="879"/>
      <c r="B305" s="879"/>
      <c r="C305" s="879"/>
      <c r="D305" s="879"/>
      <c r="E305" s="879"/>
      <c r="F305" s="879"/>
      <c r="G305" s="879"/>
      <c r="H305" s="879"/>
    </row>
    <row r="306" spans="1:8" x14ac:dyDescent="0.2">
      <c r="A306" s="880" t="s">
        <v>952</v>
      </c>
      <c r="B306" s="879"/>
      <c r="C306" s="879"/>
      <c r="D306" s="879"/>
      <c r="E306" s="879"/>
      <c r="F306" s="879"/>
      <c r="G306" s="879"/>
      <c r="H306" s="879"/>
    </row>
    <row r="307" spans="1:8" x14ac:dyDescent="0.2">
      <c r="A307" s="880" t="s">
        <v>953</v>
      </c>
      <c r="B307" s="879"/>
      <c r="C307" s="879"/>
      <c r="D307" s="879"/>
      <c r="E307" s="879"/>
      <c r="F307" s="879"/>
      <c r="G307" s="879"/>
      <c r="H307" s="879"/>
    </row>
    <row r="308" spans="1:8" x14ac:dyDescent="0.2">
      <c r="A308" s="880" t="s">
        <v>954</v>
      </c>
      <c r="B308" s="879"/>
      <c r="C308" s="879"/>
      <c r="D308" s="879"/>
      <c r="E308" s="879"/>
      <c r="F308" s="879"/>
      <c r="G308" s="879"/>
      <c r="H308" s="879"/>
    </row>
    <row r="309" spans="1:8" x14ac:dyDescent="0.2">
      <c r="A309" s="879"/>
      <c r="B309" s="879"/>
      <c r="C309" s="879"/>
      <c r="D309" s="879"/>
      <c r="E309" s="879"/>
      <c r="F309" s="879"/>
      <c r="G309" s="879"/>
      <c r="H309" s="879"/>
    </row>
    <row r="310" spans="1:8" x14ac:dyDescent="0.2">
      <c r="A310" s="880" t="s">
        <v>950</v>
      </c>
      <c r="B310" s="879"/>
      <c r="C310" s="879"/>
      <c r="D310" s="879"/>
      <c r="E310" s="879"/>
      <c r="F310" s="879"/>
      <c r="G310" s="879"/>
      <c r="H310" s="879"/>
    </row>
    <row r="311" spans="1:8" x14ac:dyDescent="0.2">
      <c r="A311" s="880" t="s">
        <v>951</v>
      </c>
      <c r="B311" s="879"/>
      <c r="C311" s="879"/>
      <c r="D311" s="879"/>
      <c r="E311" s="879"/>
      <c r="F311" s="879"/>
      <c r="G311" s="879"/>
      <c r="H311" s="879"/>
    </row>
    <row r="312" spans="1:8" x14ac:dyDescent="0.2">
      <c r="A312" s="879"/>
      <c r="B312" s="879"/>
      <c r="C312" s="879"/>
      <c r="D312" s="879"/>
      <c r="E312" s="879"/>
      <c r="F312" s="879"/>
      <c r="G312" s="879"/>
      <c r="H312" s="879"/>
    </row>
    <row r="313" spans="1:8" x14ac:dyDescent="0.2">
      <c r="A313" s="880" t="s">
        <v>937</v>
      </c>
      <c r="B313" s="879"/>
      <c r="C313" s="879"/>
      <c r="D313" s="879"/>
      <c r="E313" s="879"/>
      <c r="F313" s="879"/>
      <c r="G313" s="879"/>
      <c r="H313" s="879"/>
    </row>
    <row r="314" spans="1:8" x14ac:dyDescent="0.2">
      <c r="A314" s="880" t="s">
        <v>938</v>
      </c>
      <c r="B314" s="879"/>
      <c r="C314" s="879"/>
      <c r="D314" s="879"/>
      <c r="E314" s="879"/>
      <c r="F314" s="879"/>
      <c r="G314" s="879"/>
      <c r="H314" s="879"/>
    </row>
    <row r="315" spans="1:8" x14ac:dyDescent="0.2">
      <c r="A315" s="880" t="s">
        <v>939</v>
      </c>
      <c r="B315" s="879"/>
      <c r="C315" s="879"/>
      <c r="D315" s="879"/>
      <c r="E315" s="879"/>
      <c r="F315" s="879"/>
      <c r="G315" s="879"/>
      <c r="H315" s="879"/>
    </row>
    <row r="316" spans="1:8" x14ac:dyDescent="0.2">
      <c r="A316" s="880" t="s">
        <v>940</v>
      </c>
      <c r="B316" s="879"/>
      <c r="C316" s="879"/>
      <c r="D316" s="879"/>
      <c r="E316" s="879"/>
      <c r="F316" s="879"/>
      <c r="G316" s="879"/>
      <c r="H316" s="879"/>
    </row>
    <row r="317" spans="1:8" x14ac:dyDescent="0.2">
      <c r="A317" s="880" t="s">
        <v>941</v>
      </c>
      <c r="B317" s="879"/>
      <c r="C317" s="879"/>
      <c r="D317" s="879"/>
      <c r="E317" s="879"/>
      <c r="F317" s="879"/>
      <c r="G317" s="879"/>
      <c r="H317" s="879"/>
    </row>
    <row r="318" spans="1:8" x14ac:dyDescent="0.2">
      <c r="A318" s="880" t="s">
        <v>942</v>
      </c>
      <c r="B318" s="879"/>
      <c r="C318" s="879"/>
      <c r="D318" s="879"/>
      <c r="E318" s="879"/>
      <c r="F318" s="879"/>
      <c r="G318" s="879"/>
      <c r="H318" s="879"/>
    </row>
    <row r="319" spans="1:8" x14ac:dyDescent="0.2">
      <c r="A319" s="880" t="s">
        <v>943</v>
      </c>
      <c r="B319" s="879"/>
      <c r="C319" s="879"/>
      <c r="D319" s="879"/>
      <c r="E319" s="879"/>
      <c r="F319" s="879"/>
      <c r="G319" s="879"/>
      <c r="H319" s="879"/>
    </row>
    <row r="320" spans="1:8" x14ac:dyDescent="0.2">
      <c r="A320" s="880" t="s">
        <v>944</v>
      </c>
      <c r="B320" s="879"/>
      <c r="C320" s="879"/>
      <c r="D320" s="879"/>
      <c r="E320" s="879"/>
      <c r="F320" s="879"/>
      <c r="G320" s="879"/>
      <c r="H320" s="879"/>
    </row>
    <row r="321" spans="1:8" x14ac:dyDescent="0.2">
      <c r="A321" s="880" t="s">
        <v>945</v>
      </c>
      <c r="B321" s="879"/>
      <c r="C321" s="879"/>
      <c r="D321" s="879"/>
      <c r="E321" s="879"/>
      <c r="F321" s="879"/>
      <c r="G321" s="879"/>
      <c r="H321" s="879"/>
    </row>
    <row r="322" spans="1:8" x14ac:dyDescent="0.2">
      <c r="A322" s="880" t="s">
        <v>946</v>
      </c>
      <c r="B322" s="879"/>
      <c r="C322" s="879"/>
      <c r="D322" s="879"/>
      <c r="E322" s="879"/>
      <c r="F322" s="879"/>
      <c r="G322" s="879"/>
      <c r="H322" s="879"/>
    </row>
    <row r="323" spans="1:8" x14ac:dyDescent="0.2">
      <c r="A323" s="880" t="s">
        <v>947</v>
      </c>
      <c r="B323" s="879"/>
      <c r="C323" s="879"/>
      <c r="D323" s="879"/>
      <c r="E323" s="879"/>
      <c r="F323" s="879"/>
      <c r="G323" s="879"/>
      <c r="H323" s="879"/>
    </row>
    <row r="324" spans="1:8" x14ac:dyDescent="0.2">
      <c r="A324" s="880" t="s">
        <v>948</v>
      </c>
      <c r="B324" s="879"/>
      <c r="C324" s="879"/>
      <c r="D324" s="879"/>
      <c r="E324" s="879"/>
      <c r="F324" s="879"/>
      <c r="G324" s="879"/>
      <c r="H324" s="879"/>
    </row>
    <row r="325" spans="1:8" x14ac:dyDescent="0.2">
      <c r="A325" s="880" t="s">
        <v>949</v>
      </c>
      <c r="B325" s="879"/>
      <c r="C325" s="879"/>
      <c r="D325" s="879"/>
      <c r="E325" s="879"/>
      <c r="F325" s="879"/>
      <c r="G325" s="879"/>
      <c r="H325" s="879"/>
    </row>
    <row r="326" spans="1:8" x14ac:dyDescent="0.2">
      <c r="A326" s="879"/>
      <c r="B326" s="879"/>
      <c r="C326" s="879"/>
      <c r="D326" s="879"/>
      <c r="E326" s="879"/>
      <c r="F326" s="879"/>
      <c r="G326" s="879"/>
      <c r="H326" s="879"/>
    </row>
    <row r="327" spans="1:8" x14ac:dyDescent="0.2">
      <c r="A327" s="880" t="s">
        <v>929</v>
      </c>
      <c r="B327" s="879"/>
      <c r="C327" s="879"/>
      <c r="D327" s="879"/>
      <c r="E327" s="879"/>
      <c r="F327" s="879"/>
      <c r="G327" s="879"/>
      <c r="H327" s="879"/>
    </row>
    <row r="328" spans="1:8" x14ac:dyDescent="0.2">
      <c r="A328" s="880" t="s">
        <v>930</v>
      </c>
      <c r="B328" s="879"/>
      <c r="C328" s="879"/>
      <c r="D328" s="879"/>
      <c r="E328" s="879"/>
      <c r="F328" s="879"/>
      <c r="G328" s="879"/>
      <c r="H328" s="879"/>
    </row>
    <row r="329" spans="1:8" x14ac:dyDescent="0.2">
      <c r="A329" s="880" t="s">
        <v>931</v>
      </c>
      <c r="B329" s="879"/>
      <c r="C329" s="879"/>
      <c r="D329" s="879"/>
      <c r="E329" s="879"/>
      <c r="F329" s="879"/>
      <c r="G329" s="879"/>
      <c r="H329" s="879"/>
    </row>
    <row r="330" spans="1:8" x14ac:dyDescent="0.2">
      <c r="A330" s="880" t="s">
        <v>932</v>
      </c>
      <c r="B330" s="879"/>
      <c r="C330" s="879"/>
      <c r="D330" s="879"/>
      <c r="E330" s="879"/>
      <c r="F330" s="879"/>
      <c r="G330" s="879"/>
      <c r="H330" s="879"/>
    </row>
    <row r="331" spans="1:8" x14ac:dyDescent="0.2">
      <c r="A331" s="880" t="s">
        <v>933</v>
      </c>
      <c r="B331" s="879"/>
      <c r="C331" s="879"/>
      <c r="D331" s="879"/>
      <c r="E331" s="879"/>
      <c r="F331" s="879"/>
      <c r="G331" s="879"/>
      <c r="H331" s="879"/>
    </row>
    <row r="332" spans="1:8" x14ac:dyDescent="0.2">
      <c r="A332" s="880" t="s">
        <v>934</v>
      </c>
      <c r="B332" s="879"/>
      <c r="C332" s="879"/>
      <c r="D332" s="879"/>
      <c r="E332" s="879"/>
      <c r="F332" s="879"/>
      <c r="G332" s="879"/>
      <c r="H332" s="879"/>
    </row>
    <row r="333" spans="1:8" x14ac:dyDescent="0.2">
      <c r="A333" s="880" t="s">
        <v>935</v>
      </c>
      <c r="B333" s="879"/>
      <c r="C333" s="879"/>
      <c r="D333" s="879"/>
      <c r="E333" s="879"/>
      <c r="F333" s="879"/>
      <c r="G333" s="879"/>
      <c r="H333" s="879"/>
    </row>
    <row r="334" spans="1:8" x14ac:dyDescent="0.2">
      <c r="A334" s="880" t="s">
        <v>936</v>
      </c>
      <c r="B334" s="879"/>
      <c r="C334" s="879"/>
      <c r="D334" s="879"/>
      <c r="E334" s="879"/>
      <c r="F334" s="879"/>
      <c r="G334" s="879"/>
      <c r="H334" s="879"/>
    </row>
    <row r="335" spans="1:8" x14ac:dyDescent="0.2">
      <c r="A335" s="879"/>
      <c r="B335" s="879"/>
      <c r="C335" s="879"/>
      <c r="D335" s="879"/>
      <c r="E335" s="879"/>
      <c r="F335" s="879"/>
      <c r="G335" s="879"/>
      <c r="H335" s="879"/>
    </row>
    <row r="336" spans="1:8" x14ac:dyDescent="0.2">
      <c r="A336" s="880" t="s">
        <v>894</v>
      </c>
      <c r="B336" s="879"/>
      <c r="C336" s="879"/>
      <c r="D336" s="879"/>
      <c r="E336" s="879"/>
      <c r="F336" s="879"/>
      <c r="G336" s="879"/>
      <c r="H336" s="879"/>
    </row>
    <row r="337" spans="1:8" x14ac:dyDescent="0.2">
      <c r="A337" s="880" t="s">
        <v>895</v>
      </c>
      <c r="B337" s="879"/>
      <c r="C337" s="879"/>
      <c r="D337" s="879"/>
      <c r="E337" s="879"/>
      <c r="F337" s="879"/>
      <c r="G337" s="879"/>
      <c r="H337" s="879"/>
    </row>
    <row r="338" spans="1:8" x14ac:dyDescent="0.2">
      <c r="A338" s="880" t="s">
        <v>896</v>
      </c>
      <c r="B338" s="879"/>
      <c r="C338" s="879"/>
      <c r="D338" s="879"/>
      <c r="E338" s="879"/>
      <c r="F338" s="879"/>
      <c r="G338" s="879"/>
      <c r="H338" s="879"/>
    </row>
    <row r="339" spans="1:8" x14ac:dyDescent="0.2">
      <c r="A339" s="880" t="s">
        <v>897</v>
      </c>
      <c r="B339" s="879"/>
      <c r="C339" s="879"/>
      <c r="D339" s="879"/>
      <c r="E339" s="879"/>
      <c r="F339" s="879"/>
      <c r="G339" s="879"/>
      <c r="H339" s="879"/>
    </row>
    <row r="340" spans="1:8" x14ac:dyDescent="0.2">
      <c r="A340" s="880" t="s">
        <v>898</v>
      </c>
      <c r="B340" s="879"/>
      <c r="C340" s="879"/>
      <c r="D340" s="879"/>
      <c r="E340" s="879"/>
      <c r="F340" s="879"/>
      <c r="G340" s="879"/>
      <c r="H340" s="879"/>
    </row>
    <row r="341" spans="1:8" x14ac:dyDescent="0.2">
      <c r="A341" s="880" t="s">
        <v>899</v>
      </c>
      <c r="B341" s="879"/>
      <c r="C341" s="879"/>
      <c r="D341" s="879"/>
      <c r="E341" s="879"/>
      <c r="F341" s="879"/>
      <c r="G341" s="879"/>
      <c r="H341" s="879"/>
    </row>
    <row r="342" spans="1:8" x14ac:dyDescent="0.2">
      <c r="A342" s="880" t="s">
        <v>900</v>
      </c>
      <c r="B342" s="879"/>
      <c r="C342" s="879"/>
      <c r="D342" s="879"/>
      <c r="E342" s="879"/>
      <c r="F342" s="879"/>
      <c r="G342" s="879"/>
      <c r="H342" s="879"/>
    </row>
    <row r="343" spans="1:8" x14ac:dyDescent="0.2">
      <c r="A343" s="880" t="s">
        <v>901</v>
      </c>
      <c r="B343" s="879"/>
      <c r="C343" s="879"/>
      <c r="D343" s="879"/>
      <c r="E343" s="879"/>
      <c r="F343" s="879"/>
      <c r="G343" s="879"/>
      <c r="H343" s="879"/>
    </row>
    <row r="344" spans="1:8" x14ac:dyDescent="0.2">
      <c r="A344" s="880" t="s">
        <v>902</v>
      </c>
      <c r="B344" s="879"/>
      <c r="C344" s="879"/>
      <c r="D344" s="879"/>
      <c r="E344" s="879"/>
      <c r="F344" s="879"/>
      <c r="G344" s="879"/>
      <c r="H344" s="879"/>
    </row>
    <row r="345" spans="1:8" x14ac:dyDescent="0.2">
      <c r="A345" s="880" t="s">
        <v>903</v>
      </c>
      <c r="B345" s="879"/>
      <c r="C345" s="879"/>
      <c r="D345" s="879"/>
      <c r="E345" s="879"/>
      <c r="F345" s="879"/>
      <c r="G345" s="879"/>
      <c r="H345" s="879"/>
    </row>
    <row r="346" spans="1:8" x14ac:dyDescent="0.2">
      <c r="A346" s="880" t="s">
        <v>904</v>
      </c>
      <c r="B346" s="879"/>
      <c r="C346" s="879"/>
      <c r="D346" s="879"/>
      <c r="E346" s="879"/>
      <c r="F346" s="879"/>
      <c r="G346" s="879"/>
      <c r="H346" s="879"/>
    </row>
    <row r="347" spans="1:8" x14ac:dyDescent="0.2">
      <c r="A347" s="880" t="s">
        <v>905</v>
      </c>
      <c r="B347" s="879"/>
      <c r="C347" s="879"/>
      <c r="D347" s="879"/>
      <c r="E347" s="879"/>
      <c r="F347" s="879"/>
      <c r="G347" s="879"/>
      <c r="H347" s="879"/>
    </row>
    <row r="348" spans="1:8" x14ac:dyDescent="0.2">
      <c r="A348" s="880" t="s">
        <v>906</v>
      </c>
      <c r="B348" s="879"/>
      <c r="C348" s="879"/>
      <c r="D348" s="879"/>
      <c r="E348" s="879"/>
      <c r="F348" s="879"/>
      <c r="G348" s="879"/>
      <c r="H348" s="879"/>
    </row>
    <row r="349" spans="1:8" x14ac:dyDescent="0.2">
      <c r="A349" s="880" t="s">
        <v>907</v>
      </c>
      <c r="B349" s="879"/>
      <c r="C349" s="879"/>
      <c r="D349" s="879"/>
      <c r="E349" s="879"/>
      <c r="F349" s="879"/>
      <c r="G349" s="879"/>
      <c r="H349" s="879"/>
    </row>
    <row r="350" spans="1:8" x14ac:dyDescent="0.2">
      <c r="A350" s="880" t="s">
        <v>908</v>
      </c>
      <c r="B350" s="879"/>
      <c r="C350" s="879"/>
      <c r="D350" s="879"/>
      <c r="E350" s="879"/>
      <c r="F350" s="879"/>
      <c r="G350" s="879"/>
      <c r="H350" s="879"/>
    </row>
    <row r="351" spans="1:8" x14ac:dyDescent="0.2">
      <c r="A351" s="880" t="s">
        <v>909</v>
      </c>
      <c r="B351" s="879"/>
      <c r="C351" s="879"/>
      <c r="D351" s="879"/>
      <c r="E351" s="879"/>
      <c r="F351" s="879"/>
      <c r="G351" s="879"/>
      <c r="H351" s="879"/>
    </row>
    <row r="352" spans="1:8" x14ac:dyDescent="0.2">
      <c r="A352" s="880" t="s">
        <v>910</v>
      </c>
      <c r="B352" s="879"/>
      <c r="C352" s="879"/>
      <c r="D352" s="879"/>
      <c r="E352" s="879"/>
      <c r="F352" s="879"/>
      <c r="G352" s="879"/>
      <c r="H352" s="879"/>
    </row>
    <row r="353" spans="1:8" x14ac:dyDescent="0.2">
      <c r="A353" s="880" t="s">
        <v>911</v>
      </c>
      <c r="B353" s="879"/>
      <c r="C353" s="879"/>
      <c r="D353" s="879"/>
      <c r="E353" s="879"/>
      <c r="F353" s="879"/>
      <c r="G353" s="879"/>
      <c r="H353" s="879"/>
    </row>
    <row r="354" spans="1:8" x14ac:dyDescent="0.2">
      <c r="A354" s="880" t="s">
        <v>912</v>
      </c>
      <c r="B354" s="879"/>
      <c r="C354" s="879"/>
      <c r="D354" s="879"/>
      <c r="E354" s="879"/>
      <c r="F354" s="879"/>
      <c r="G354" s="879"/>
      <c r="H354" s="879"/>
    </row>
    <row r="355" spans="1:8" x14ac:dyDescent="0.2">
      <c r="A355" s="880" t="s">
        <v>913</v>
      </c>
      <c r="B355" s="879"/>
      <c r="C355" s="879"/>
      <c r="D355" s="879"/>
      <c r="E355" s="879"/>
      <c r="F355" s="879"/>
      <c r="G355" s="879"/>
      <c r="H355" s="879"/>
    </row>
    <row r="356" spans="1:8" x14ac:dyDescent="0.2">
      <c r="A356" s="880" t="s">
        <v>914</v>
      </c>
      <c r="B356" s="879"/>
      <c r="C356" s="879"/>
      <c r="D356" s="879"/>
      <c r="E356" s="879"/>
      <c r="F356" s="879"/>
      <c r="G356" s="879"/>
      <c r="H356" s="879"/>
    </row>
    <row r="357" spans="1:8" x14ac:dyDescent="0.2">
      <c r="A357" s="880" t="s">
        <v>915</v>
      </c>
      <c r="B357" s="879"/>
      <c r="C357" s="879"/>
      <c r="D357" s="879"/>
      <c r="E357" s="879"/>
      <c r="F357" s="879"/>
      <c r="G357" s="879"/>
      <c r="H357" s="879"/>
    </row>
    <row r="358" spans="1:8" x14ac:dyDescent="0.2">
      <c r="A358" s="880" t="s">
        <v>916</v>
      </c>
      <c r="B358" s="879"/>
      <c r="C358" s="879"/>
      <c r="D358" s="879"/>
      <c r="E358" s="879"/>
      <c r="F358" s="879"/>
      <c r="G358" s="879"/>
      <c r="H358" s="879"/>
    </row>
    <row r="359" spans="1:8" x14ac:dyDescent="0.2">
      <c r="A359" s="880" t="s">
        <v>917</v>
      </c>
      <c r="B359" s="879"/>
      <c r="C359" s="879"/>
      <c r="D359" s="879"/>
      <c r="E359" s="879"/>
      <c r="F359" s="879"/>
      <c r="G359" s="879"/>
      <c r="H359" s="879"/>
    </row>
    <row r="360" spans="1:8" x14ac:dyDescent="0.2">
      <c r="A360" s="880" t="s">
        <v>918</v>
      </c>
      <c r="B360" s="879"/>
      <c r="C360" s="879"/>
      <c r="D360" s="879"/>
      <c r="E360" s="879"/>
      <c r="F360" s="879"/>
      <c r="G360" s="879"/>
      <c r="H360" s="879"/>
    </row>
    <row r="361" spans="1:8" x14ac:dyDescent="0.2">
      <c r="A361" s="880" t="s">
        <v>919</v>
      </c>
      <c r="B361" s="879"/>
      <c r="C361" s="879"/>
      <c r="D361" s="879"/>
      <c r="E361" s="879"/>
      <c r="F361" s="879"/>
      <c r="G361" s="879"/>
      <c r="H361" s="879"/>
    </row>
    <row r="362" spans="1:8" x14ac:dyDescent="0.2">
      <c r="A362" s="880" t="s">
        <v>920</v>
      </c>
      <c r="B362" s="879"/>
      <c r="C362" s="879"/>
      <c r="D362" s="879"/>
      <c r="E362" s="879"/>
      <c r="F362" s="879"/>
      <c r="G362" s="879"/>
      <c r="H362" s="879"/>
    </row>
    <row r="363" spans="1:8" x14ac:dyDescent="0.2">
      <c r="A363" s="880" t="s">
        <v>921</v>
      </c>
      <c r="B363" s="879"/>
      <c r="C363" s="879"/>
      <c r="D363" s="879"/>
      <c r="E363" s="879"/>
      <c r="F363" s="879"/>
      <c r="G363" s="879"/>
      <c r="H363" s="879"/>
    </row>
    <row r="364" spans="1:8" x14ac:dyDescent="0.2">
      <c r="A364" s="880" t="s">
        <v>922</v>
      </c>
      <c r="B364" s="879"/>
      <c r="C364" s="879"/>
      <c r="D364" s="879"/>
      <c r="E364" s="879"/>
      <c r="F364" s="879"/>
      <c r="G364" s="879"/>
      <c r="H364" s="879"/>
    </row>
    <row r="365" spans="1:8" x14ac:dyDescent="0.2">
      <c r="A365" s="880" t="s">
        <v>923</v>
      </c>
      <c r="B365" s="879"/>
      <c r="C365" s="879"/>
      <c r="D365" s="879"/>
      <c r="E365" s="879"/>
      <c r="F365" s="879"/>
      <c r="G365" s="879"/>
      <c r="H365" s="879"/>
    </row>
    <row r="366" spans="1:8" x14ac:dyDescent="0.2">
      <c r="A366" s="880" t="s">
        <v>924</v>
      </c>
      <c r="B366" s="879"/>
      <c r="C366" s="879"/>
      <c r="D366" s="879"/>
      <c r="E366" s="879"/>
      <c r="F366" s="879"/>
      <c r="G366" s="879"/>
      <c r="H366" s="879"/>
    </row>
    <row r="367" spans="1:8" x14ac:dyDescent="0.2">
      <c r="A367" s="880" t="s">
        <v>925</v>
      </c>
      <c r="B367" s="879"/>
      <c r="C367" s="879"/>
      <c r="D367" s="879"/>
      <c r="E367" s="879"/>
      <c r="F367" s="879"/>
      <c r="G367" s="879"/>
      <c r="H367" s="879"/>
    </row>
    <row r="368" spans="1:8" x14ac:dyDescent="0.2">
      <c r="A368" s="880" t="s">
        <v>926</v>
      </c>
      <c r="B368" s="879"/>
      <c r="C368" s="879"/>
      <c r="D368" s="879"/>
      <c r="E368" s="879"/>
      <c r="F368" s="879"/>
      <c r="G368" s="879"/>
      <c r="H368" s="879"/>
    </row>
    <row r="369" spans="1:8" x14ac:dyDescent="0.2">
      <c r="A369" s="880" t="s">
        <v>927</v>
      </c>
      <c r="B369" s="879"/>
      <c r="C369" s="879"/>
      <c r="D369" s="879"/>
      <c r="E369" s="879"/>
      <c r="F369" s="879"/>
      <c r="G369" s="879"/>
      <c r="H369" s="879"/>
    </row>
    <row r="370" spans="1:8" x14ac:dyDescent="0.2">
      <c r="A370" s="880" t="s">
        <v>928</v>
      </c>
      <c r="B370" s="879"/>
      <c r="C370" s="879"/>
      <c r="D370" s="879"/>
      <c r="E370" s="879"/>
      <c r="F370" s="879"/>
      <c r="G370" s="879"/>
      <c r="H370" s="879"/>
    </row>
    <row r="371" spans="1:8" x14ac:dyDescent="0.2">
      <c r="A371" s="879"/>
      <c r="B371" s="879"/>
      <c r="C371" s="879"/>
      <c r="D371" s="879"/>
      <c r="E371" s="879"/>
      <c r="F371" s="879"/>
      <c r="G371" s="879"/>
      <c r="H371" s="879"/>
    </row>
    <row r="372" spans="1:8" x14ac:dyDescent="0.2">
      <c r="A372" s="880" t="s">
        <v>886</v>
      </c>
      <c r="B372" s="879"/>
      <c r="C372" s="879"/>
      <c r="D372" s="879"/>
      <c r="E372" s="879"/>
      <c r="F372" s="879"/>
      <c r="G372" s="879"/>
      <c r="H372" s="879"/>
    </row>
    <row r="373" spans="1:8" x14ac:dyDescent="0.2">
      <c r="A373" s="880" t="s">
        <v>890</v>
      </c>
      <c r="B373" s="879"/>
      <c r="C373" s="879"/>
      <c r="D373" s="879"/>
      <c r="E373" s="879"/>
      <c r="F373" s="879"/>
      <c r="G373" s="879"/>
      <c r="H373" s="879"/>
    </row>
    <row r="374" spans="1:8" x14ac:dyDescent="0.2">
      <c r="A374" s="880" t="s">
        <v>891</v>
      </c>
      <c r="B374" s="879"/>
      <c r="C374" s="879"/>
      <c r="D374" s="879"/>
      <c r="E374" s="879"/>
      <c r="F374" s="879"/>
      <c r="G374" s="879"/>
      <c r="H374" s="879"/>
    </row>
    <row r="375" spans="1:8" x14ac:dyDescent="0.2">
      <c r="A375" s="880" t="s">
        <v>892</v>
      </c>
      <c r="B375" s="879"/>
      <c r="C375" s="879"/>
      <c r="D375" s="879"/>
      <c r="E375" s="879"/>
      <c r="F375" s="879"/>
      <c r="G375" s="879"/>
      <c r="H375" s="879"/>
    </row>
    <row r="376" spans="1:8" x14ac:dyDescent="0.2">
      <c r="A376" s="880" t="s">
        <v>893</v>
      </c>
      <c r="B376" s="879"/>
      <c r="C376" s="879"/>
      <c r="D376" s="879"/>
      <c r="E376" s="879"/>
      <c r="F376" s="879"/>
      <c r="G376" s="879"/>
      <c r="H376" s="879"/>
    </row>
    <row r="377" spans="1:8" x14ac:dyDescent="0.2">
      <c r="A377" s="879"/>
      <c r="B377" s="879"/>
      <c r="C377" s="879"/>
      <c r="D377" s="879"/>
      <c r="E377" s="879"/>
      <c r="F377" s="879"/>
      <c r="G377" s="879"/>
      <c r="H377" s="879"/>
    </row>
    <row r="378" spans="1:8" x14ac:dyDescent="0.2">
      <c r="A378" s="880" t="s">
        <v>886</v>
      </c>
      <c r="B378" s="879"/>
      <c r="C378" s="879"/>
      <c r="D378" s="879"/>
      <c r="E378" s="879"/>
      <c r="F378" s="879"/>
      <c r="G378" s="879"/>
      <c r="H378" s="879"/>
    </row>
    <row r="379" spans="1:8" x14ac:dyDescent="0.2">
      <c r="A379" s="880" t="s">
        <v>887</v>
      </c>
      <c r="B379" s="879"/>
      <c r="C379" s="879"/>
      <c r="D379" s="879"/>
      <c r="E379" s="879"/>
      <c r="F379" s="879"/>
      <c r="G379" s="879"/>
      <c r="H379" s="879"/>
    </row>
    <row r="380" spans="1:8" x14ac:dyDescent="0.2">
      <c r="A380" s="880" t="s">
        <v>888</v>
      </c>
      <c r="B380" s="879"/>
      <c r="C380" s="879"/>
      <c r="D380" s="879"/>
      <c r="E380" s="879"/>
      <c r="F380" s="879"/>
      <c r="G380" s="879"/>
      <c r="H380" s="879"/>
    </row>
    <row r="381" spans="1:8" x14ac:dyDescent="0.2">
      <c r="A381" s="880" t="s">
        <v>889</v>
      </c>
      <c r="B381" s="879"/>
      <c r="C381" s="879"/>
      <c r="D381" s="879"/>
      <c r="E381" s="879"/>
      <c r="F381" s="879"/>
      <c r="G381" s="879"/>
      <c r="H381" s="879"/>
    </row>
    <row r="382" spans="1:8" x14ac:dyDescent="0.2">
      <c r="A382" s="879"/>
      <c r="B382" s="879"/>
      <c r="C382" s="879"/>
      <c r="D382" s="879"/>
      <c r="E382" s="879"/>
      <c r="F382" s="879"/>
      <c r="G382" s="879"/>
      <c r="H382" s="879"/>
    </row>
    <row r="383" spans="1:8" x14ac:dyDescent="0.2">
      <c r="A383" s="880" t="s">
        <v>880</v>
      </c>
      <c r="B383" s="879"/>
      <c r="C383" s="879"/>
      <c r="D383" s="879"/>
      <c r="E383" s="879"/>
      <c r="F383" s="879"/>
      <c r="G383" s="879"/>
      <c r="H383" s="879"/>
    </row>
    <row r="384" spans="1:8" x14ac:dyDescent="0.2">
      <c r="A384" s="880" t="s">
        <v>881</v>
      </c>
      <c r="B384" s="879"/>
      <c r="C384" s="879"/>
      <c r="D384" s="879"/>
      <c r="E384" s="879"/>
      <c r="F384" s="879"/>
      <c r="G384" s="879"/>
      <c r="H384" s="879"/>
    </row>
    <row r="385" spans="1:8" x14ac:dyDescent="0.2">
      <c r="A385" s="880" t="s">
        <v>882</v>
      </c>
      <c r="B385" s="879"/>
      <c r="C385" s="879"/>
      <c r="D385" s="879"/>
      <c r="E385" s="879"/>
      <c r="F385" s="879"/>
      <c r="G385" s="879"/>
      <c r="H385" s="879"/>
    </row>
    <row r="386" spans="1:8" x14ac:dyDescent="0.2">
      <c r="A386" s="880" t="s">
        <v>883</v>
      </c>
      <c r="B386" s="879"/>
      <c r="C386" s="879"/>
      <c r="D386" s="879"/>
      <c r="E386" s="879"/>
      <c r="F386" s="879"/>
      <c r="G386" s="879"/>
      <c r="H386" s="879"/>
    </row>
    <row r="387" spans="1:8" x14ac:dyDescent="0.2">
      <c r="A387" s="880" t="s">
        <v>884</v>
      </c>
      <c r="B387" s="879"/>
      <c r="C387" s="879"/>
      <c r="D387" s="879"/>
      <c r="E387" s="879"/>
      <c r="F387" s="879"/>
      <c r="G387" s="879"/>
      <c r="H387" s="879"/>
    </row>
    <row r="388" spans="1:8" x14ac:dyDescent="0.2">
      <c r="A388" s="880" t="s">
        <v>885</v>
      </c>
      <c r="B388" s="879"/>
      <c r="C388" s="879"/>
      <c r="D388" s="879"/>
      <c r="E388" s="879"/>
      <c r="F388" s="879"/>
      <c r="G388" s="879"/>
      <c r="H388" s="879"/>
    </row>
    <row r="389" spans="1:8" x14ac:dyDescent="0.2">
      <c r="A389" s="879"/>
      <c r="B389" s="879"/>
      <c r="C389" s="879"/>
      <c r="D389" s="879"/>
      <c r="E389" s="879"/>
      <c r="F389" s="879"/>
      <c r="G389" s="879"/>
      <c r="H389" s="879"/>
    </row>
    <row r="390" spans="1:8" x14ac:dyDescent="0.2">
      <c r="A390" s="880" t="s">
        <v>875</v>
      </c>
      <c r="B390" s="879"/>
      <c r="C390" s="879"/>
      <c r="D390" s="879"/>
      <c r="E390" s="879"/>
      <c r="F390" s="879"/>
      <c r="G390" s="879"/>
      <c r="H390" s="879"/>
    </row>
    <row r="391" spans="1:8" x14ac:dyDescent="0.2">
      <c r="A391" s="880" t="s">
        <v>876</v>
      </c>
      <c r="B391" s="879"/>
      <c r="C391" s="879"/>
      <c r="D391" s="879"/>
      <c r="E391" s="879"/>
      <c r="F391" s="879"/>
      <c r="G391" s="879"/>
      <c r="H391" s="879"/>
    </row>
    <row r="392" spans="1:8" x14ac:dyDescent="0.2">
      <c r="A392" s="880" t="s">
        <v>877</v>
      </c>
      <c r="B392" s="879"/>
      <c r="C392" s="879"/>
      <c r="D392" s="879"/>
      <c r="E392" s="879"/>
      <c r="F392" s="879"/>
      <c r="G392" s="879"/>
      <c r="H392" s="879"/>
    </row>
    <row r="393" spans="1:8" x14ac:dyDescent="0.2">
      <c r="A393" s="880" t="s">
        <v>878</v>
      </c>
      <c r="B393" s="879"/>
      <c r="C393" s="879"/>
      <c r="D393" s="879"/>
      <c r="E393" s="879"/>
      <c r="F393" s="879"/>
      <c r="G393" s="879"/>
      <c r="H393" s="879"/>
    </row>
    <row r="394" spans="1:8" x14ac:dyDescent="0.2">
      <c r="A394" s="880" t="s">
        <v>879</v>
      </c>
      <c r="B394" s="879"/>
      <c r="C394" s="879"/>
      <c r="D394" s="879"/>
      <c r="E394" s="879"/>
      <c r="F394" s="879"/>
      <c r="G394" s="879"/>
      <c r="H394" s="879"/>
    </row>
    <row r="395" spans="1:8" x14ac:dyDescent="0.2">
      <c r="A395" s="879"/>
      <c r="B395" s="879"/>
      <c r="C395" s="879"/>
      <c r="D395" s="879"/>
      <c r="E395" s="879"/>
      <c r="F395" s="879"/>
      <c r="G395" s="879"/>
      <c r="H395" s="879"/>
    </row>
    <row r="396" spans="1:8" x14ac:dyDescent="0.2">
      <c r="A396" s="880" t="s">
        <v>873</v>
      </c>
      <c r="B396" s="879"/>
      <c r="C396" s="879"/>
      <c r="D396" s="879"/>
      <c r="E396" s="879"/>
      <c r="F396" s="879"/>
      <c r="G396" s="879"/>
      <c r="H396" s="879"/>
    </row>
    <row r="397" spans="1:8" x14ac:dyDescent="0.2">
      <c r="A397" s="880" t="s">
        <v>874</v>
      </c>
      <c r="B397" s="879"/>
      <c r="C397" s="879"/>
      <c r="D397" s="879"/>
      <c r="E397" s="879"/>
      <c r="F397" s="879"/>
      <c r="G397" s="879"/>
      <c r="H397" s="879"/>
    </row>
    <row r="399" spans="1:8" x14ac:dyDescent="0.2">
      <c r="A399" s="875" t="s">
        <v>1133</v>
      </c>
    </row>
  </sheetData>
  <mergeCells count="12">
    <mergeCell ref="A122:H122"/>
    <mergeCell ref="A129:H129"/>
    <mergeCell ref="A116:H116"/>
    <mergeCell ref="A117:H117"/>
    <mergeCell ref="A118:H118"/>
    <mergeCell ref="A119:H119"/>
    <mergeCell ref="A121:H121"/>
    <mergeCell ref="A137:H137"/>
    <mergeCell ref="A138:H138"/>
    <mergeCell ref="B130:C130"/>
    <mergeCell ref="D130:F130"/>
    <mergeCell ref="G130:H130"/>
  </mergeCells>
  <pageMargins left="0.5" right="0.5" top="0.5" bottom="0.5" header="0.5" footer="0.5"/>
  <pageSetup orientation="portrait" horizontalDpi="300" verticalDpi="0" r:id="rId1"/>
  <headerFooter alignWithMargins="0"/>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autoPageBreaks="0"/>
  </sheetPr>
  <dimension ref="A1:JO925"/>
  <sheetViews>
    <sheetView showGridLines="0" zoomScaleNormal="100" workbookViewId="0">
      <pane xSplit="2" ySplit="25" topLeftCell="EC26" activePane="bottomRight" state="frozen"/>
      <selection activeCell="A86" sqref="A86"/>
      <selection pane="topRight" activeCell="A86" sqref="A86"/>
      <selection pane="bottomLeft" activeCell="A86" sqref="A86"/>
      <selection pane="bottomRight" activeCell="A86" sqref="A86"/>
    </sheetView>
  </sheetViews>
  <sheetFormatPr defaultRowHeight="12.75" customHeight="1" outlineLevelRow="1" outlineLevelCol="1" x14ac:dyDescent="0.2"/>
  <cols>
    <col min="1" max="1" width="16.5703125" style="2" hidden="1" customWidth="1"/>
    <col min="2" max="2" width="36.140625" style="2" customWidth="1"/>
    <col min="3" max="10" width="9.140625" style="2" hidden="1" customWidth="1" outlineLevel="1"/>
    <col min="11" max="11" width="9.140625" style="2" hidden="1" customWidth="1" outlineLevel="1" collapsed="1"/>
    <col min="12" max="12" width="9.140625" style="2" hidden="1" customWidth="1" outlineLevel="1"/>
    <col min="13" max="13" width="9.140625" style="2" hidden="1" customWidth="1" outlineLevel="1" collapsed="1"/>
    <col min="14" max="14" width="9.140625" style="2" hidden="1" customWidth="1" outlineLevel="1"/>
    <col min="15" max="15" width="9.140625" style="2" hidden="1" customWidth="1" outlineLevel="1" collapsed="1"/>
    <col min="16" max="16" width="9.140625" style="2" hidden="1" customWidth="1" outlineLevel="1"/>
    <col min="17" max="17" width="9.140625" style="2" hidden="1" customWidth="1" outlineLevel="1" collapsed="1"/>
    <col min="18" max="28" width="9.140625" style="2" hidden="1" customWidth="1" outlineLevel="1"/>
    <col min="29" max="29" width="9.140625" style="2" hidden="1" customWidth="1" outlineLevel="1" collapsed="1"/>
    <col min="30" max="30" width="9.140625" style="2" hidden="1" customWidth="1" outlineLevel="1"/>
    <col min="31" max="31" width="9.140625" style="2" hidden="1" customWidth="1" outlineLevel="1" collapsed="1"/>
    <col min="32" max="32" width="9.140625" style="2" hidden="1" customWidth="1" outlineLevel="1"/>
    <col min="33" max="33" width="9.140625" style="2" hidden="1" customWidth="1" outlineLevel="1" collapsed="1"/>
    <col min="34" max="50" width="9.140625" style="2" hidden="1" customWidth="1" outlineLevel="1"/>
    <col min="51" max="51" width="9.140625" style="2" hidden="1" customWidth="1" outlineLevel="1" collapsed="1"/>
    <col min="52" max="52" width="9.140625" style="2" hidden="1" customWidth="1" outlineLevel="1"/>
    <col min="53" max="53" width="9.140625" style="2" hidden="1" customWidth="1" outlineLevel="1" collapsed="1"/>
    <col min="54" max="54" width="9.140625" style="2" hidden="1" customWidth="1" outlineLevel="1"/>
    <col min="55" max="55" width="9.140625" style="2" hidden="1" customWidth="1" outlineLevel="1" collapsed="1"/>
    <col min="56" max="56" width="9.140625" style="2" hidden="1" customWidth="1" outlineLevel="1"/>
    <col min="57" max="57" width="9.140625" style="2" hidden="1" customWidth="1" outlineLevel="1" collapsed="1"/>
    <col min="58" max="58" width="9.140625" style="2" hidden="1" customWidth="1" outlineLevel="1"/>
    <col min="59" max="59" width="9.140625" style="2" hidden="1" customWidth="1" outlineLevel="1" collapsed="1"/>
    <col min="60" max="60" width="9.140625" style="2" hidden="1" customWidth="1" outlineLevel="1"/>
    <col min="61" max="61" width="9.140625" style="2" hidden="1" customWidth="1" outlineLevel="1" collapsed="1"/>
    <col min="62" max="62" width="9.140625" style="2" hidden="1" customWidth="1" outlineLevel="1"/>
    <col min="63" max="63" width="9.140625" style="2" hidden="1" customWidth="1" outlineLevel="1" collapsed="1"/>
    <col min="64" max="64" width="9.140625" style="2" hidden="1" customWidth="1" outlineLevel="1"/>
    <col min="65" max="65" width="9.140625" style="2" hidden="1" customWidth="1" outlineLevel="1" collapsed="1"/>
    <col min="66" max="66" width="9.140625" style="2" hidden="1" customWidth="1" outlineLevel="1"/>
    <col min="67" max="67" width="9.140625" style="2" hidden="1" customWidth="1" outlineLevel="1" collapsed="1"/>
    <col min="68" max="68" width="9.140625" style="2" hidden="1" customWidth="1" outlineLevel="1"/>
    <col min="69" max="69" width="9.140625" style="2" hidden="1" customWidth="1" outlineLevel="1" collapsed="1"/>
    <col min="70" max="70" width="9.140625" style="2" hidden="1" customWidth="1" outlineLevel="1"/>
    <col min="71" max="71" width="9.140625" style="2" hidden="1" customWidth="1" outlineLevel="1" collapsed="1"/>
    <col min="72" max="72" width="9.140625" style="2" hidden="1" customWidth="1" outlineLevel="1"/>
    <col min="73" max="73" width="9.140625" style="2" hidden="1" customWidth="1" outlineLevel="1" collapsed="1"/>
    <col min="74" max="74" width="9.140625" style="2" hidden="1" customWidth="1" outlineLevel="1"/>
    <col min="75" max="75" width="9.140625" style="2" hidden="1" customWidth="1" outlineLevel="1" collapsed="1"/>
    <col min="76" max="76" width="9.140625" style="2" hidden="1" customWidth="1" outlineLevel="1"/>
    <col min="77" max="77" width="9.140625" style="2" hidden="1" customWidth="1" outlineLevel="1" collapsed="1"/>
    <col min="78" max="78" width="9.140625" style="2" hidden="1" customWidth="1" outlineLevel="1"/>
    <col min="79" max="79" width="9.140625" style="2" hidden="1" customWidth="1" outlineLevel="1" collapsed="1"/>
    <col min="80" max="80" width="9.140625" style="2" hidden="1" customWidth="1" outlineLevel="1"/>
    <col min="81" max="81" width="9.140625" style="2" hidden="1" customWidth="1" outlineLevel="1" collapsed="1"/>
    <col min="82" max="82" width="9.140625" style="2" hidden="1" customWidth="1" outlineLevel="1"/>
    <col min="83" max="83" width="9.140625" style="2" hidden="1" customWidth="1" outlineLevel="1" collapsed="1"/>
    <col min="84" max="84" width="9.140625" style="2" hidden="1" customWidth="1" outlineLevel="1"/>
    <col min="85" max="85" width="9.140625" style="2" hidden="1" customWidth="1" outlineLevel="1" collapsed="1"/>
    <col min="86" max="86" width="9.140625" style="2" hidden="1" customWidth="1" outlineLevel="1"/>
    <col min="87" max="87" width="9.140625" style="2" hidden="1" customWidth="1" outlineLevel="1" collapsed="1"/>
    <col min="88" max="88" width="9.140625" style="2" hidden="1" customWidth="1" outlineLevel="1"/>
    <col min="89" max="89" width="9.140625" style="2" hidden="1" customWidth="1" outlineLevel="1" collapsed="1"/>
    <col min="90" max="90" width="9.140625" style="2" hidden="1" customWidth="1" outlineLevel="1"/>
    <col min="91" max="91" width="9.140625" style="2" hidden="1" customWidth="1" outlineLevel="1" collapsed="1"/>
    <col min="92" max="92" width="9.140625" style="2" hidden="1" customWidth="1" outlineLevel="1"/>
    <col min="93" max="93" width="9.140625" style="2" hidden="1" customWidth="1" outlineLevel="1" collapsed="1"/>
    <col min="94" max="94" width="9.140625" style="2" hidden="1" customWidth="1" outlineLevel="1"/>
    <col min="95" max="95" width="9.140625" style="2" hidden="1" customWidth="1" outlineLevel="1" collapsed="1"/>
    <col min="96" max="96" width="9.140625" style="2" hidden="1" customWidth="1" outlineLevel="1"/>
    <col min="97" max="97" width="9.140625" style="2" hidden="1" customWidth="1" outlineLevel="1" collapsed="1"/>
    <col min="98" max="98" width="9.140625" style="2" hidden="1" customWidth="1" outlineLevel="1"/>
    <col min="99" max="99" width="9.140625" style="2" hidden="1" customWidth="1" outlineLevel="1" collapsed="1"/>
    <col min="100" max="100" width="9.140625" style="2" hidden="1" customWidth="1" outlineLevel="1"/>
    <col min="101" max="101" width="9.140625" style="2" hidden="1" customWidth="1" outlineLevel="1" collapsed="1"/>
    <col min="102" max="102" width="9.140625" style="2" hidden="1" customWidth="1" outlineLevel="1"/>
    <col min="103" max="103" width="9.140625" style="2" hidden="1" customWidth="1" outlineLevel="1" collapsed="1"/>
    <col min="104" max="104" width="9.140625" style="2" hidden="1" customWidth="1" outlineLevel="1"/>
    <col min="105" max="105" width="9.140625" style="2" hidden="1" customWidth="1" outlineLevel="1" collapsed="1"/>
    <col min="106" max="108" width="9.140625" style="2" hidden="1" customWidth="1" outlineLevel="1"/>
    <col min="109" max="109" width="9.140625" style="2" hidden="1" customWidth="1" outlineLevel="1" collapsed="1"/>
    <col min="110" max="110" width="9.140625" style="2" hidden="1" customWidth="1" outlineLevel="1"/>
    <col min="111" max="111" width="9.140625" style="2" hidden="1" customWidth="1" outlineLevel="1" collapsed="1"/>
    <col min="112" max="112" width="9.140625" style="2" hidden="1" customWidth="1" outlineLevel="1"/>
    <col min="113" max="113" width="9.140625" style="2" hidden="1" customWidth="1" outlineLevel="1" collapsed="1"/>
    <col min="114" max="114" width="9.140625" style="2" hidden="1" customWidth="1" outlineLevel="1"/>
    <col min="115" max="115" width="9.140625" style="2" hidden="1" customWidth="1" outlineLevel="1" collapsed="1"/>
    <col min="116" max="116" width="9.140625" style="2" hidden="1" customWidth="1" outlineLevel="1"/>
    <col min="117" max="117" width="9.140625" style="2" hidden="1" customWidth="1" outlineLevel="1" collapsed="1"/>
    <col min="118" max="118" width="9.140625" style="2" hidden="1" customWidth="1" outlineLevel="1"/>
    <col min="119" max="119" width="9.140625" style="2" hidden="1" customWidth="1" outlineLevel="1" collapsed="1"/>
    <col min="120" max="120" width="9.140625" style="2" hidden="1" customWidth="1" outlineLevel="1"/>
    <col min="121" max="121" width="9.140625" style="2" hidden="1" customWidth="1" outlineLevel="1" collapsed="1"/>
    <col min="122" max="122" width="9.140625" style="2" hidden="1" customWidth="1" outlineLevel="1"/>
    <col min="123" max="123" width="9.140625" style="2" collapsed="1"/>
    <col min="124" max="124" width="9.140625" style="2" hidden="1" customWidth="1" outlineLevel="1"/>
    <col min="125" max="125" width="9.140625" style="2" collapsed="1"/>
    <col min="126" max="126" width="9.140625" style="2" hidden="1" customWidth="1" outlineLevel="1"/>
    <col min="127" max="127" width="9.140625" style="2" collapsed="1"/>
    <col min="128" max="128" width="9.140625" style="2" hidden="1" customWidth="1" outlineLevel="1"/>
    <col min="129" max="129" width="9.140625" style="2" collapsed="1"/>
    <col min="130" max="130" width="9.140625" style="2" hidden="1" customWidth="1" outlineLevel="1"/>
    <col min="131" max="131" width="9.140625" style="2" collapsed="1"/>
    <col min="132" max="132" width="9.140625" style="2" hidden="1" customWidth="1" outlineLevel="1"/>
    <col min="133" max="133" width="9.140625" style="2" collapsed="1"/>
    <col min="134" max="134" width="9.140625" style="2" hidden="1" customWidth="1" outlineLevel="1"/>
    <col min="135" max="135" width="9.140625" style="2" collapsed="1"/>
    <col min="136" max="136" width="9.140625" style="2" hidden="1" customWidth="1" outlineLevel="1"/>
    <col min="137" max="137" width="9.140625" style="2" collapsed="1"/>
    <col min="138" max="138" width="9.140625" style="2" hidden="1" customWidth="1" outlineLevel="1"/>
    <col min="139" max="139" width="9.140625" style="2" collapsed="1"/>
    <col min="140" max="140" width="9.140625" style="2" hidden="1" customWidth="1" outlineLevel="1"/>
    <col min="141" max="141" width="9.140625" style="2" collapsed="1"/>
    <col min="142" max="142" width="9.140625" style="2" hidden="1" customWidth="1" outlineLevel="1"/>
    <col min="143" max="143" width="9.140625" style="2" collapsed="1"/>
    <col min="144" max="144" width="9.140625" style="2" hidden="1" customWidth="1" outlineLevel="1"/>
    <col min="145" max="145" width="9.140625" style="2" collapsed="1"/>
    <col min="146" max="146" width="9.140625" style="2" hidden="1" customWidth="1" outlineLevel="1"/>
    <col min="147" max="147" width="9.140625" style="2" collapsed="1"/>
    <col min="148" max="148" width="9.140625" style="2" hidden="1" customWidth="1" outlineLevel="1"/>
    <col min="149" max="149" width="9.140625" style="2" collapsed="1"/>
    <col min="150" max="150" width="9.140625" style="2" hidden="1" customWidth="1" outlineLevel="1"/>
    <col min="151" max="151" width="9.140625" style="2" collapsed="1"/>
    <col min="152" max="152" width="9.140625" style="2" hidden="1" customWidth="1" outlineLevel="1"/>
    <col min="153" max="153" width="9.140625" style="2" collapsed="1"/>
    <col min="154" max="154" width="9.140625" style="2" hidden="1" customWidth="1" outlineLevel="1"/>
    <col min="155" max="155" width="0.85546875" style="2" customWidth="1" collapsed="1"/>
    <col min="156" max="156" width="0.85546875" style="347" customWidth="1"/>
    <col min="157" max="157" width="0.85546875" style="2" customWidth="1"/>
    <col min="158" max="163" width="9.140625" style="2" hidden="1" customWidth="1" outlineLevel="1"/>
    <col min="164" max="164" width="9.140625" style="2" hidden="1" customWidth="1" outlineLevel="1" collapsed="1"/>
    <col min="165" max="169" width="9.140625" style="2" hidden="1" customWidth="1" outlineLevel="1"/>
    <col min="170" max="170" width="9.140625" style="2" hidden="1" customWidth="1" outlineLevel="1" collapsed="1"/>
    <col min="171" max="171" width="9.140625" style="2" hidden="1" customWidth="1" outlineLevel="1"/>
    <col min="172" max="172" width="9.140625" style="2" hidden="1" customWidth="1" outlineLevel="1" collapsed="1"/>
    <col min="173" max="173" width="9.140625" style="2" hidden="1" customWidth="1" outlineLevel="1"/>
    <col min="174" max="174" width="9.140625" style="2" hidden="1" customWidth="1" outlineLevel="1" collapsed="1"/>
    <col min="175" max="175" width="9.140625" style="2" hidden="1" customWidth="1" outlineLevel="1"/>
    <col min="176" max="176" width="9.140625" style="2" hidden="1" customWidth="1" outlineLevel="1" collapsed="1"/>
    <col min="177" max="177" width="9.140625" style="2" hidden="1" customWidth="1" outlineLevel="1"/>
    <col min="178" max="178" width="9.140625" style="2" hidden="1" customWidth="1" outlineLevel="1" collapsed="1"/>
    <col min="179" max="179" width="9.140625" style="2" hidden="1" customWidth="1" outlineLevel="1"/>
    <col min="180" max="180" width="9.140625" style="2" hidden="1" customWidth="1" outlineLevel="1" collapsed="1"/>
    <col min="181" max="181" width="9.140625" style="2" hidden="1" customWidth="1" outlineLevel="1"/>
    <col min="182" max="182" width="9.140625" style="2" hidden="1" customWidth="1" outlineLevel="1" collapsed="1"/>
    <col min="183" max="183" width="9.140625" style="2" hidden="1" customWidth="1" outlineLevel="1"/>
    <col min="184" max="184" width="9.140625" style="2" hidden="1" customWidth="1" outlineLevel="1" collapsed="1"/>
    <col min="185" max="185" width="9.140625" style="2" hidden="1" customWidth="1" outlineLevel="1"/>
    <col min="186" max="186" width="9.140625" style="2" hidden="1" customWidth="1" outlineLevel="1" collapsed="1"/>
    <col min="187" max="187" width="9.140625" style="2" hidden="1" customWidth="1" outlineLevel="1"/>
    <col min="188" max="188" width="9.140625" style="2" hidden="1" customWidth="1" outlineLevel="1" collapsed="1"/>
    <col min="189" max="189" width="9.140625" style="263" hidden="1" customWidth="1" outlineLevel="1"/>
    <col min="190" max="190" width="9.140625" style="2" hidden="1" customWidth="1" outlineLevel="1"/>
    <col min="191" max="191" width="9.140625" style="263" hidden="1" customWidth="1" outlineLevel="1"/>
    <col min="192" max="192" width="9.140625" style="2" collapsed="1"/>
    <col min="193" max="193" width="9.140625" style="263" hidden="1" customWidth="1" outlineLevel="1"/>
    <col min="194" max="194" width="9.140625" style="2" collapsed="1"/>
    <col min="195" max="195" width="9.140625" style="263" hidden="1" customWidth="1" outlineLevel="1"/>
    <col min="196" max="196" width="9.140625" style="2" collapsed="1"/>
    <col min="197" max="197" width="9.140625" style="263" hidden="1" customWidth="1" outlineLevel="1"/>
    <col min="198" max="198" width="9.140625" style="2" collapsed="1"/>
    <col min="199" max="199" width="9.140625" style="263" hidden="1" customWidth="1" outlineLevel="1"/>
    <col min="200" max="200" width="9.140625" style="2" collapsed="1"/>
    <col min="201" max="201" width="9.140625" style="263" hidden="1" customWidth="1" outlineLevel="1"/>
    <col min="202" max="202" width="9.140625" style="2" collapsed="1"/>
    <col min="203" max="203" width="9.140625" style="263" hidden="1" customWidth="1" outlineLevel="1"/>
    <col min="204" max="204" width="9.140625" style="2" collapsed="1"/>
    <col min="205" max="205" width="9.140625" style="263" hidden="1" customWidth="1" outlineLevel="1"/>
    <col min="206" max="206" width="9.140625" style="2" collapsed="1"/>
    <col min="207" max="207" width="9.140625" style="263" hidden="1" customWidth="1" outlineLevel="1"/>
    <col min="208" max="208" width="9.140625" style="2" collapsed="1"/>
    <col min="209" max="210" width="9.140625" style="2"/>
    <col min="211" max="216" width="9.140625" hidden="1" customWidth="1" outlineLevel="1"/>
    <col min="217" max="217" width="9.140625" style="2" collapsed="1"/>
    <col min="218" max="16384" width="9.140625" style="2"/>
  </cols>
  <sheetData>
    <row r="1" spans="1:217" s="748" customFormat="1" ht="12.75" customHeight="1" x14ac:dyDescent="0.2">
      <c r="B1" s="764"/>
      <c r="C1" s="765"/>
      <c r="D1" s="766"/>
      <c r="E1" s="765"/>
      <c r="F1" s="766"/>
      <c r="G1" s="765"/>
      <c r="H1" s="766"/>
      <c r="I1" s="765"/>
      <c r="J1" s="766"/>
      <c r="K1" s="765"/>
      <c r="L1" s="766"/>
      <c r="M1" s="765"/>
      <c r="N1" s="766"/>
      <c r="O1" s="765"/>
      <c r="P1" s="766"/>
      <c r="Q1" s="765"/>
      <c r="R1" s="766"/>
      <c r="S1" s="765"/>
      <c r="T1" s="766"/>
      <c r="U1" s="765"/>
      <c r="V1" s="766"/>
      <c r="W1" s="765"/>
      <c r="X1" s="766"/>
      <c r="Y1" s="765"/>
      <c r="Z1" s="766"/>
      <c r="AA1" s="765"/>
      <c r="AB1" s="766"/>
      <c r="AC1" s="765"/>
      <c r="AD1" s="766"/>
      <c r="AE1" s="765"/>
      <c r="AF1" s="766"/>
      <c r="AG1" s="765"/>
      <c r="AH1" s="766"/>
      <c r="AI1" s="765"/>
      <c r="AJ1" s="766"/>
      <c r="AK1" s="765"/>
      <c r="AL1" s="766"/>
      <c r="AM1" s="765"/>
      <c r="AN1" s="766"/>
      <c r="AO1" s="765"/>
      <c r="AP1" s="766"/>
      <c r="AQ1" s="765"/>
      <c r="AR1" s="766"/>
      <c r="AS1" s="765"/>
      <c r="AT1" s="766"/>
      <c r="AU1" s="765"/>
      <c r="AV1" s="766"/>
      <c r="AW1" s="765"/>
      <c r="AX1" s="766"/>
      <c r="AY1" s="765"/>
      <c r="AZ1" s="766"/>
      <c r="BA1" s="765"/>
      <c r="BB1" s="766"/>
      <c r="BC1" s="765"/>
      <c r="BD1" s="766"/>
      <c r="BE1" s="765"/>
      <c r="BF1" s="766"/>
      <c r="BG1" s="765"/>
      <c r="BH1" s="766"/>
      <c r="BI1" s="765"/>
      <c r="BJ1" s="766"/>
      <c r="BK1" s="765"/>
      <c r="BL1" s="766"/>
      <c r="BM1" s="765"/>
      <c r="BN1" s="766"/>
      <c r="BO1" s="765"/>
      <c r="BP1" s="766"/>
      <c r="BQ1" s="765"/>
      <c r="BR1" s="766"/>
      <c r="BS1" s="765"/>
      <c r="BT1" s="766"/>
      <c r="BU1" s="765"/>
      <c r="BV1" s="766"/>
      <c r="BW1" s="765"/>
      <c r="BX1" s="766"/>
      <c r="BY1" s="765"/>
      <c r="BZ1" s="766"/>
      <c r="CA1" s="765"/>
      <c r="CB1" s="766"/>
      <c r="CC1" s="765"/>
      <c r="CD1" s="766"/>
      <c r="CE1" s="765"/>
      <c r="CF1" s="766"/>
      <c r="CG1" s="765"/>
      <c r="CH1" s="766"/>
      <c r="CI1" s="765"/>
      <c r="CJ1" s="766"/>
      <c r="CK1" s="765"/>
      <c r="CL1" s="766"/>
      <c r="CM1" s="767"/>
      <c r="CN1" s="766"/>
      <c r="CO1" s="767"/>
      <c r="CP1" s="766"/>
      <c r="CQ1" s="767"/>
      <c r="CR1" s="766"/>
      <c r="CS1" s="767"/>
      <c r="CT1" s="766"/>
      <c r="CU1" s="767"/>
      <c r="CV1" s="766"/>
      <c r="CW1" s="767"/>
      <c r="CX1" s="766"/>
      <c r="CY1" s="767"/>
      <c r="CZ1" s="766"/>
      <c r="DA1" s="767"/>
      <c r="DB1" s="766"/>
      <c r="DC1" s="767"/>
      <c r="DD1" s="766"/>
      <c r="DE1" s="767"/>
      <c r="DF1" s="766"/>
      <c r="DG1" s="767"/>
      <c r="DH1" s="766"/>
      <c r="DI1" s="767"/>
      <c r="DJ1" s="766"/>
      <c r="DK1" s="768"/>
      <c r="DL1" s="766"/>
      <c r="DM1" s="768"/>
      <c r="DN1" s="766"/>
      <c r="DO1" s="768"/>
      <c r="DP1" s="766"/>
      <c r="DQ1" s="768"/>
      <c r="DR1" s="766"/>
      <c r="DS1" s="768"/>
      <c r="DT1" s="766"/>
      <c r="DU1" s="768"/>
      <c r="DV1" s="766"/>
      <c r="DW1" s="768"/>
      <c r="DX1" s="766"/>
      <c r="DY1" s="768"/>
      <c r="DZ1" s="768">
        <v>10.789359787018242</v>
      </c>
      <c r="EA1" s="768"/>
      <c r="EB1" s="768">
        <v>-10.811432481849138</v>
      </c>
      <c r="EC1" s="768"/>
      <c r="ED1" s="768">
        <v>-15.280943837380761</v>
      </c>
      <c r="EE1" s="768"/>
      <c r="EF1" s="768">
        <v>0.4311544823030431</v>
      </c>
      <c r="EG1" s="768"/>
      <c r="EH1" s="768">
        <v>13.669910946626459</v>
      </c>
      <c r="EI1" s="768"/>
      <c r="EJ1" s="768"/>
      <c r="EK1" s="768"/>
      <c r="EL1" s="768"/>
      <c r="EM1" s="768"/>
      <c r="EN1" s="768"/>
      <c r="EO1" s="768"/>
      <c r="EP1" s="768"/>
      <c r="EQ1" s="799"/>
      <c r="ER1" s="799">
        <v>11.962600732192925</v>
      </c>
      <c r="ES1" s="799"/>
      <c r="ET1" s="799">
        <v>6.8873607971251687</v>
      </c>
      <c r="EU1" s="799"/>
      <c r="EV1" s="799">
        <v>6.2302080401786668</v>
      </c>
      <c r="EW1" s="799"/>
      <c r="EX1" s="798"/>
      <c r="EY1" s="768"/>
      <c r="EZ1" s="769"/>
      <c r="FA1" s="766"/>
      <c r="FB1" s="765"/>
      <c r="FC1" s="766"/>
      <c r="FD1" s="765"/>
      <c r="FE1" s="766"/>
      <c r="FF1" s="765"/>
      <c r="FG1" s="766"/>
      <c r="FH1" s="765"/>
      <c r="FI1" s="766"/>
      <c r="FJ1" s="765"/>
      <c r="FK1" s="766"/>
      <c r="FL1" s="765"/>
      <c r="FM1" s="766"/>
      <c r="FN1" s="765"/>
      <c r="FO1" s="766"/>
      <c r="FP1" s="765"/>
      <c r="FQ1" s="766"/>
      <c r="FR1" s="765"/>
      <c r="FS1" s="766"/>
      <c r="FT1" s="765"/>
      <c r="FU1" s="766"/>
      <c r="FV1" s="765"/>
      <c r="FW1" s="766"/>
      <c r="FX1" s="765"/>
      <c r="FY1" s="766"/>
      <c r="FZ1" s="765"/>
      <c r="GA1" s="766"/>
      <c r="GB1" s="765"/>
      <c r="GC1" s="766"/>
      <c r="GD1" s="770"/>
      <c r="GE1" s="766"/>
      <c r="GF1" s="768"/>
      <c r="GG1" s="771"/>
      <c r="GH1" s="768"/>
      <c r="GI1" s="772"/>
      <c r="GJ1" s="768"/>
      <c r="GK1" s="768">
        <v>13.53872876773994</v>
      </c>
      <c r="GL1" s="768"/>
      <c r="GM1" s="768">
        <v>-7.8789870496319452</v>
      </c>
      <c r="GN1" s="768"/>
      <c r="GO1" s="768"/>
      <c r="GP1" s="799"/>
      <c r="GQ1" s="768">
        <v>7.7499384265441051</v>
      </c>
      <c r="GR1" s="799"/>
      <c r="GS1" s="768">
        <v>4.5225422057396685</v>
      </c>
      <c r="GT1" s="799"/>
      <c r="GU1" s="750">
        <v>4.3297821089912389</v>
      </c>
      <c r="GV1" s="799"/>
      <c r="GW1" s="750">
        <v>4.1370558078906612</v>
      </c>
      <c r="GX1" s="799"/>
      <c r="GY1" s="750"/>
      <c r="GZ1" s="747"/>
      <c r="HA1" s="747"/>
      <c r="HB1" s="747"/>
      <c r="HC1"/>
      <c r="HD1"/>
      <c r="HE1"/>
      <c r="HF1"/>
      <c r="HG1"/>
      <c r="HH1"/>
      <c r="HI1" s="751"/>
    </row>
    <row r="2" spans="1:217" customFormat="1" ht="12.75" hidden="1" customHeight="1" outlineLevel="1" x14ac:dyDescent="0.2"/>
    <row r="3" spans="1:217" s="748" customFormat="1" ht="12.75" hidden="1" customHeight="1" outlineLevel="1" x14ac:dyDescent="0.2">
      <c r="B3" s="752"/>
      <c r="C3" s="753" t="s">
        <v>456</v>
      </c>
      <c r="D3" s="754"/>
      <c r="E3" s="753" t="s">
        <v>458</v>
      </c>
      <c r="F3" s="754"/>
      <c r="G3" s="753" t="s">
        <v>459</v>
      </c>
      <c r="H3" s="754"/>
      <c r="I3" s="753" t="s">
        <v>460</v>
      </c>
      <c r="J3" s="754"/>
      <c r="K3" s="753" t="s">
        <v>439</v>
      </c>
      <c r="L3" s="754"/>
      <c r="M3" s="753" t="s">
        <v>379</v>
      </c>
      <c r="N3" s="754"/>
      <c r="O3" s="753" t="s">
        <v>207</v>
      </c>
      <c r="P3" s="754"/>
      <c r="Q3" s="755" t="s">
        <v>205</v>
      </c>
      <c r="R3" s="754"/>
      <c r="S3" s="753" t="s">
        <v>578</v>
      </c>
      <c r="T3" s="754"/>
      <c r="U3" s="753" t="s">
        <v>429</v>
      </c>
      <c r="V3" s="754"/>
      <c r="W3" s="753" t="s">
        <v>523</v>
      </c>
      <c r="X3" s="754"/>
      <c r="Y3" s="753" t="s">
        <v>619</v>
      </c>
      <c r="Z3" s="754"/>
      <c r="AA3" s="753" t="s">
        <v>115</v>
      </c>
      <c r="AB3" s="754"/>
      <c r="AC3" s="755" t="s">
        <v>603</v>
      </c>
      <c r="AD3" s="754"/>
      <c r="AE3" s="753" t="s">
        <v>604</v>
      </c>
      <c r="AF3" s="754"/>
      <c r="AG3" s="756" t="s">
        <v>605</v>
      </c>
      <c r="AH3" s="754"/>
      <c r="AI3" s="757" t="s">
        <v>679</v>
      </c>
      <c r="AJ3" s="754"/>
      <c r="AK3" s="755" t="s">
        <v>680</v>
      </c>
      <c r="AL3" s="754"/>
      <c r="AM3" s="755" t="s">
        <v>681</v>
      </c>
      <c r="AN3" s="754"/>
      <c r="AO3" s="755" t="s">
        <v>678</v>
      </c>
      <c r="AP3" s="754"/>
      <c r="AQ3" s="755" t="s">
        <v>161</v>
      </c>
      <c r="AR3" s="754"/>
      <c r="AS3" s="755" t="s">
        <v>162</v>
      </c>
      <c r="AT3" s="754"/>
      <c r="AU3" s="755" t="s">
        <v>163</v>
      </c>
      <c r="AV3" s="754"/>
      <c r="AW3" s="755" t="s">
        <v>164</v>
      </c>
      <c r="AX3" s="754"/>
      <c r="AY3" s="755" t="s">
        <v>343</v>
      </c>
      <c r="AZ3" s="754"/>
      <c r="BA3" s="757" t="s">
        <v>344</v>
      </c>
      <c r="BB3" s="754"/>
      <c r="BC3" s="757" t="s">
        <v>596</v>
      </c>
      <c r="BD3" s="754"/>
      <c r="BE3" s="757" t="s">
        <v>345</v>
      </c>
      <c r="BF3" s="754"/>
      <c r="BG3" s="757" t="s">
        <v>663</v>
      </c>
      <c r="BH3" s="754"/>
      <c r="BI3" s="757" t="s">
        <v>664</v>
      </c>
      <c r="BJ3" s="754"/>
      <c r="BK3" s="757" t="s">
        <v>665</v>
      </c>
      <c r="BL3" s="754"/>
      <c r="BM3" s="757" t="s">
        <v>272</v>
      </c>
      <c r="BN3" s="754"/>
      <c r="BO3" s="757" t="s">
        <v>346</v>
      </c>
      <c r="BP3" s="754"/>
      <c r="BQ3" s="757" t="s">
        <v>347</v>
      </c>
      <c r="BR3" s="754"/>
      <c r="BS3" s="756" t="s">
        <v>348</v>
      </c>
      <c r="BT3" s="754"/>
      <c r="BU3" s="757" t="s">
        <v>349</v>
      </c>
      <c r="BV3" s="754"/>
      <c r="BW3" s="757" t="s">
        <v>276</v>
      </c>
      <c r="BX3" s="754"/>
      <c r="BY3" s="757" t="s">
        <v>275</v>
      </c>
      <c r="BZ3" s="754"/>
      <c r="CA3" s="757" t="s">
        <v>274</v>
      </c>
      <c r="CB3" s="754"/>
      <c r="CC3" s="757" t="s">
        <v>273</v>
      </c>
      <c r="CD3" s="754"/>
      <c r="CE3" s="757" t="s">
        <v>146</v>
      </c>
      <c r="CF3" s="754"/>
      <c r="CG3" s="757" t="s">
        <v>147</v>
      </c>
      <c r="CH3" s="754"/>
      <c r="CI3" s="757" t="s">
        <v>148</v>
      </c>
      <c r="CJ3" s="754"/>
      <c r="CK3" s="757" t="s">
        <v>149</v>
      </c>
      <c r="CL3" s="754"/>
      <c r="CM3" s="757" t="s">
        <v>559</v>
      </c>
      <c r="CN3" s="754"/>
      <c r="CO3" s="757" t="s">
        <v>560</v>
      </c>
      <c r="CP3" s="754"/>
      <c r="CQ3" s="757" t="s">
        <v>561</v>
      </c>
      <c r="CR3" s="754"/>
      <c r="CS3" s="757" t="s">
        <v>562</v>
      </c>
      <c r="CT3" s="754"/>
      <c r="CU3" s="756" t="s">
        <v>198</v>
      </c>
      <c r="CV3" s="758"/>
      <c r="CW3" s="756" t="s">
        <v>199</v>
      </c>
      <c r="CX3" s="758"/>
      <c r="CY3" s="756" t="s">
        <v>200</v>
      </c>
      <c r="CZ3" s="751"/>
      <c r="DA3" s="756" t="s">
        <v>201</v>
      </c>
      <c r="DB3" s="758"/>
      <c r="DC3" s="756" t="s">
        <v>61</v>
      </c>
      <c r="DD3" s="758"/>
      <c r="DE3" s="756" t="s">
        <v>62</v>
      </c>
      <c r="DF3" s="758"/>
      <c r="DG3" s="756" t="s">
        <v>63</v>
      </c>
      <c r="DH3" s="751"/>
      <c r="DI3" s="756" t="s">
        <v>64</v>
      </c>
      <c r="DJ3" s="758"/>
      <c r="DK3" s="756" t="s">
        <v>173</v>
      </c>
      <c r="DL3" s="758"/>
      <c r="DM3" s="756" t="s">
        <v>175</v>
      </c>
      <c r="DN3" s="758"/>
      <c r="DO3" s="756" t="s">
        <v>174</v>
      </c>
      <c r="DP3" s="758"/>
      <c r="DQ3" s="756" t="s">
        <v>176</v>
      </c>
      <c r="DR3" s="758"/>
      <c r="DS3" s="756" t="s">
        <v>730</v>
      </c>
      <c r="DT3" s="758"/>
      <c r="DU3" s="756" t="s">
        <v>731</v>
      </c>
      <c r="DV3" s="758"/>
      <c r="DW3" s="756" t="s">
        <v>732</v>
      </c>
      <c r="DX3" s="758"/>
      <c r="DY3" s="756" t="s">
        <v>733</v>
      </c>
      <c r="DZ3" s="758"/>
      <c r="EA3" s="756" t="s">
        <v>769</v>
      </c>
      <c r="EB3" s="758"/>
      <c r="EC3" s="756"/>
      <c r="ED3" s="758"/>
      <c r="EE3" s="756"/>
      <c r="EF3" s="758"/>
      <c r="EG3" s="756" t="s">
        <v>757</v>
      </c>
      <c r="EH3" s="758"/>
      <c r="EI3" s="756" t="s">
        <v>775</v>
      </c>
      <c r="EJ3" s="758"/>
      <c r="EK3" s="756" t="s">
        <v>776</v>
      </c>
      <c r="EL3" s="758"/>
      <c r="EM3" s="756" t="s">
        <v>777</v>
      </c>
      <c r="EN3" s="758"/>
      <c r="EO3" s="756" t="s">
        <v>777</v>
      </c>
      <c r="EP3" s="758"/>
      <c r="EQ3" s="756" t="s">
        <v>793</v>
      </c>
      <c r="ER3" s="758"/>
      <c r="ES3" s="756" t="s">
        <v>794</v>
      </c>
      <c r="ET3" s="758"/>
      <c r="EU3" s="756" t="s">
        <v>795</v>
      </c>
      <c r="EV3" s="758"/>
      <c r="EW3" s="756" t="s">
        <v>792</v>
      </c>
      <c r="EX3" s="758"/>
      <c r="EY3" s="758"/>
      <c r="EZ3" s="759"/>
      <c r="FA3" s="758"/>
      <c r="FB3" s="757" t="s">
        <v>606</v>
      </c>
      <c r="FC3" s="754"/>
      <c r="FD3" s="757" t="s">
        <v>364</v>
      </c>
      <c r="FE3" s="754"/>
      <c r="FF3" s="757" t="s">
        <v>365</v>
      </c>
      <c r="FG3" s="754"/>
      <c r="FH3" s="757" t="s">
        <v>366</v>
      </c>
      <c r="FI3" s="754"/>
      <c r="FJ3" s="757" t="s">
        <v>367</v>
      </c>
      <c r="FK3" s="754"/>
      <c r="FL3" s="757" t="s">
        <v>368</v>
      </c>
      <c r="FM3" s="754"/>
      <c r="FN3" s="757" t="s">
        <v>620</v>
      </c>
      <c r="FO3" s="754"/>
      <c r="FP3" s="757" t="s">
        <v>621</v>
      </c>
      <c r="FQ3" s="754"/>
      <c r="FR3" s="757" t="s">
        <v>314</v>
      </c>
      <c r="FS3" s="754"/>
      <c r="FT3" s="757" t="s">
        <v>315</v>
      </c>
      <c r="FU3" s="754"/>
      <c r="FV3" s="757" t="s">
        <v>518</v>
      </c>
      <c r="FW3" s="754"/>
      <c r="FX3" s="757" t="s">
        <v>709</v>
      </c>
      <c r="FY3" s="754"/>
      <c r="FZ3" s="757" t="s">
        <v>698</v>
      </c>
      <c r="GA3" s="754"/>
      <c r="GB3" s="757" t="s">
        <v>662</v>
      </c>
      <c r="GC3" s="754"/>
      <c r="GD3" s="757" t="s">
        <v>136</v>
      </c>
      <c r="GE3" s="754"/>
      <c r="GF3" s="757" t="s">
        <v>150</v>
      </c>
      <c r="GG3" s="783"/>
      <c r="GH3" s="757" t="s">
        <v>506</v>
      </c>
      <c r="GI3" s="783"/>
      <c r="GJ3" s="757" t="s">
        <v>202</v>
      </c>
      <c r="GK3" s="783"/>
      <c r="GL3" s="757" t="s">
        <v>203</v>
      </c>
      <c r="GM3" s="783"/>
      <c r="GN3" s="757" t="s">
        <v>60</v>
      </c>
      <c r="GO3" s="783"/>
      <c r="GP3" s="757" t="s">
        <v>10</v>
      </c>
      <c r="GQ3" s="783"/>
      <c r="GR3" s="757" t="s">
        <v>734</v>
      </c>
      <c r="GS3" s="783"/>
      <c r="GT3" s="757" t="s">
        <v>759</v>
      </c>
      <c r="GU3" s="783"/>
      <c r="GV3" s="757" t="s">
        <v>773</v>
      </c>
      <c r="GW3" s="783"/>
      <c r="GX3" s="757" t="s">
        <v>796</v>
      </c>
      <c r="GY3" s="783"/>
      <c r="GZ3" s="754"/>
      <c r="HA3" s="754"/>
      <c r="HB3" s="758"/>
      <c r="HC3"/>
      <c r="HD3"/>
      <c r="HE3"/>
      <c r="HF3"/>
      <c r="HG3"/>
      <c r="HH3"/>
      <c r="HI3" s="760"/>
    </row>
    <row r="4" spans="1:217" s="748" customFormat="1" ht="12.75" customHeight="1" collapsed="1" x14ac:dyDescent="0.2">
      <c r="B4" s="901" t="s">
        <v>116</v>
      </c>
      <c r="C4" s="746"/>
      <c r="D4" s="747"/>
      <c r="E4" s="746"/>
      <c r="F4" s="747"/>
      <c r="G4" s="746"/>
      <c r="H4" s="747"/>
      <c r="I4" s="746"/>
      <c r="J4" s="747"/>
      <c r="K4" s="749"/>
      <c r="L4" s="747" t="str">
        <f>K6&amp;"/"</f>
        <v>1Q01/</v>
      </c>
      <c r="M4" s="749"/>
      <c r="N4" s="747" t="str">
        <f>M6&amp;"/"</f>
        <v>2Q01/</v>
      </c>
      <c r="O4" s="749"/>
      <c r="P4" s="747" t="str">
        <f>O6&amp;"/"</f>
        <v>3Q01/</v>
      </c>
      <c r="Q4" s="749"/>
      <c r="R4" s="747" t="str">
        <f>Q6&amp;"/"</f>
        <v>4Q01/</v>
      </c>
      <c r="S4" s="749"/>
      <c r="T4" s="747" t="str">
        <f>S6&amp;"/"</f>
        <v>1Q02/</v>
      </c>
      <c r="U4" s="749"/>
      <c r="V4" s="747" t="str">
        <f>U6&amp;"/"</f>
        <v>2Q02/</v>
      </c>
      <c r="W4" s="749"/>
      <c r="X4" s="747" t="str">
        <f>W6&amp;"/"</f>
        <v>3Q02/</v>
      </c>
      <c r="Y4" s="749"/>
      <c r="Z4" s="747" t="str">
        <f>Y6&amp;"/"</f>
        <v>4Q02/</v>
      </c>
      <c r="AA4" s="746"/>
      <c r="AB4" s="747" t="str">
        <f>AA6&amp;"/"</f>
        <v>1Q03/</v>
      </c>
      <c r="AC4" s="749"/>
      <c r="AD4" s="761" t="str">
        <f>AC6&amp;"/"</f>
        <v>2Q03/</v>
      </c>
      <c r="AE4" s="749"/>
      <c r="AF4" s="761" t="str">
        <f>AE6&amp;"/"</f>
        <v>3Q03/</v>
      </c>
      <c r="AG4" s="749"/>
      <c r="AH4" s="747" t="str">
        <f>AG6&amp;"/"</f>
        <v>4Q03/</v>
      </c>
      <c r="AI4" s="749"/>
      <c r="AJ4" s="747" t="str">
        <f>AI6&amp;"/"</f>
        <v>1Q04/</v>
      </c>
      <c r="AK4" s="749"/>
      <c r="AL4" s="747" t="str">
        <f>AK6&amp;"/"</f>
        <v>2Q04/</v>
      </c>
      <c r="AM4" s="749"/>
      <c r="AN4" s="747" t="str">
        <f>AM6&amp;"/"</f>
        <v>3Q04/</v>
      </c>
      <c r="AO4" s="749"/>
      <c r="AP4" s="747" t="str">
        <f>AO6&amp;"/"</f>
        <v>4Q04/</v>
      </c>
      <c r="AQ4" s="749"/>
      <c r="AR4" s="747" t="str">
        <f>AQ6&amp;"/"</f>
        <v>1Q05/</v>
      </c>
      <c r="AS4" s="749"/>
      <c r="AT4" s="747" t="str">
        <f>AS6&amp;"/"</f>
        <v>2Q05/</v>
      </c>
      <c r="AU4" s="749"/>
      <c r="AV4" s="747" t="str">
        <f>AU6&amp;"/"</f>
        <v>3Q05/</v>
      </c>
      <c r="AW4" s="749"/>
      <c r="AX4" s="747" t="str">
        <f>AW6&amp;"/"</f>
        <v>4Q05/</v>
      </c>
      <c r="AY4" s="749"/>
      <c r="AZ4" s="747" t="str">
        <f>AY6&amp;"/"</f>
        <v>1Q06/</v>
      </c>
      <c r="BA4" s="749"/>
      <c r="BB4" s="747" t="str">
        <f>BA6&amp;"/"</f>
        <v>2Q06/</v>
      </c>
      <c r="BC4" s="749"/>
      <c r="BD4" s="747" t="str">
        <f>BC6&amp;"/"</f>
        <v>3Q06/</v>
      </c>
      <c r="BE4" s="749"/>
      <c r="BF4" s="747" t="str">
        <f>BE6&amp;"/"</f>
        <v>4Q06/</v>
      </c>
      <c r="BG4" s="749"/>
      <c r="BH4" s="747" t="str">
        <f>BG6&amp;"/"</f>
        <v>1Q07/</v>
      </c>
      <c r="BI4" s="749"/>
      <c r="BJ4" s="747" t="str">
        <f>BI6&amp;"/"</f>
        <v>2Q07/</v>
      </c>
      <c r="BK4" s="749"/>
      <c r="BL4" s="747" t="str">
        <f>BK6&amp;"/"</f>
        <v>3Q07/</v>
      </c>
      <c r="BM4" s="749"/>
      <c r="BN4" s="747" t="str">
        <f>BM6&amp;"/"</f>
        <v>4Q07/</v>
      </c>
      <c r="BO4" s="749"/>
      <c r="BP4" s="747" t="str">
        <f>BO6&amp;"/"</f>
        <v>1Q08/</v>
      </c>
      <c r="BQ4" s="749"/>
      <c r="BR4" s="747" t="str">
        <f>BQ6&amp;"/"</f>
        <v>2Q08/</v>
      </c>
      <c r="BS4" s="749"/>
      <c r="BT4" s="747" t="str">
        <f>BS6&amp;"/"</f>
        <v>3Q08/</v>
      </c>
      <c r="BU4" s="749"/>
      <c r="BV4" s="747" t="str">
        <f>BU6&amp;"/"</f>
        <v>4Q08/</v>
      </c>
      <c r="BW4" s="749"/>
      <c r="BX4" s="747" t="str">
        <f>BW6&amp;"/"</f>
        <v>1Q09/</v>
      </c>
      <c r="BY4" s="749"/>
      <c r="BZ4" s="747" t="str">
        <f>BY6&amp;"/"</f>
        <v>2Q09/</v>
      </c>
      <c r="CA4" s="749"/>
      <c r="CB4" s="747" t="str">
        <f>CA6&amp;"/"</f>
        <v>3Q09/</v>
      </c>
      <c r="CD4" s="747" t="str">
        <f>CC6&amp;"/"</f>
        <v>4Q09/</v>
      </c>
      <c r="CE4" s="749"/>
      <c r="CF4" s="747" t="str">
        <f>CE6&amp;"/"</f>
        <v>1Q10/</v>
      </c>
      <c r="CG4" s="749"/>
      <c r="CH4" s="747" t="str">
        <f>CG6&amp;"/"</f>
        <v>2Q10/</v>
      </c>
      <c r="CI4" s="749"/>
      <c r="CJ4" s="747" t="str">
        <f>CI6&amp;"/"</f>
        <v>3Q10/</v>
      </c>
      <c r="CK4" s="749"/>
      <c r="CL4" s="747" t="str">
        <f>CK6&amp;"/"</f>
        <v>4Q10/</v>
      </c>
      <c r="CM4" s="749"/>
      <c r="CN4" s="747" t="str">
        <f>CM6&amp;"/"</f>
        <v>1Q11/</v>
      </c>
      <c r="CO4" s="749"/>
      <c r="CP4" s="747" t="str">
        <f>CO6&amp;"/"</f>
        <v>2Q11/</v>
      </c>
      <c r="CQ4" s="749"/>
      <c r="CR4" s="747" t="str">
        <f>CQ6&amp;"/"</f>
        <v>3Q11/</v>
      </c>
      <c r="CS4" s="749"/>
      <c r="CT4" s="747" t="str">
        <f>CS6&amp;"/"</f>
        <v>4Q11/</v>
      </c>
      <c r="CU4" s="749"/>
      <c r="CV4" s="747" t="str">
        <f>CU6&amp;"/"</f>
        <v>1Q12/</v>
      </c>
      <c r="CW4" s="749"/>
      <c r="CX4" s="747" t="str">
        <f>CW6&amp;"/"</f>
        <v>2Q12/</v>
      </c>
      <c r="CY4" s="749"/>
      <c r="CZ4" s="747" t="str">
        <f>CY6&amp;"/"</f>
        <v>3Q12/</v>
      </c>
      <c r="DA4" s="749"/>
      <c r="DB4" s="747" t="str">
        <f>DA6&amp;"/"</f>
        <v>4Q12/</v>
      </c>
      <c r="DC4" s="749"/>
      <c r="DD4" s="747" t="str">
        <f>DC6&amp;"/"</f>
        <v>1Q13/</v>
      </c>
      <c r="DE4" s="749"/>
      <c r="DF4" s="747" t="str">
        <f>DE6&amp;"/"</f>
        <v>2Q13/</v>
      </c>
      <c r="DG4" s="749"/>
      <c r="DH4" s="747" t="str">
        <f>DG6&amp;"/"</f>
        <v>3Q13/</v>
      </c>
      <c r="DI4" s="749"/>
      <c r="DJ4" s="747" t="str">
        <f>DI6&amp;"/"</f>
        <v>4Q13/</v>
      </c>
      <c r="DK4" s="749"/>
      <c r="DL4" s="747" t="str">
        <f>DK6&amp;"/"</f>
        <v>1Q14/</v>
      </c>
      <c r="DM4" s="749"/>
      <c r="DN4" s="747" t="str">
        <f>DM6&amp;"/"</f>
        <v>2Q14/</v>
      </c>
      <c r="DO4" s="749"/>
      <c r="DP4" s="747" t="str">
        <f>DO6&amp;"/"</f>
        <v>3Q14/</v>
      </c>
      <c r="DQ4" s="749"/>
      <c r="DR4" s="747" t="str">
        <f>DQ6&amp;"/"</f>
        <v>4Q14/</v>
      </c>
      <c r="DS4" s="749"/>
      <c r="DT4" s="747" t="str">
        <f>DS6&amp;"/"</f>
        <v>1Q15/</v>
      </c>
      <c r="DU4" s="749"/>
      <c r="DV4" s="747" t="str">
        <f>DU6&amp;"/"</f>
        <v>2Q15/</v>
      </c>
      <c r="DW4" s="762"/>
      <c r="DX4" s="763" t="str">
        <f>DW6&amp;"/"</f>
        <v>3Q15/</v>
      </c>
      <c r="DY4" s="762"/>
      <c r="DZ4" s="763" t="str">
        <f>DY6&amp;"/"</f>
        <v>4Q15/</v>
      </c>
      <c r="EA4" s="762"/>
      <c r="EB4" s="763" t="str">
        <f>EA6&amp;"/"</f>
        <v>1Q16/</v>
      </c>
      <c r="EC4" s="762"/>
      <c r="ED4" s="763" t="str">
        <f>EC6&amp;"/"</f>
        <v>2Q16/</v>
      </c>
      <c r="EE4" s="762"/>
      <c r="EF4" s="774" t="str">
        <f>EE6&amp;"/"</f>
        <v>3Q16/</v>
      </c>
      <c r="EG4" s="762"/>
      <c r="EH4" s="775" t="str">
        <f>EG6&amp;"/"</f>
        <v>4Q16/</v>
      </c>
      <c r="EI4" s="762"/>
      <c r="EJ4" s="775" t="str">
        <f>EI6&amp;"/"</f>
        <v>1Q17/</v>
      </c>
      <c r="EK4" s="773"/>
      <c r="EL4" s="775" t="str">
        <f>EK6&amp;"/"</f>
        <v>2Q17/</v>
      </c>
      <c r="EM4" s="773"/>
      <c r="EN4" s="775" t="str">
        <f>EM6&amp;"/"</f>
        <v>3Q17/</v>
      </c>
      <c r="EO4" s="773"/>
      <c r="EP4" s="775" t="str">
        <f>EO6&amp;"/"</f>
        <v>4Q17/</v>
      </c>
      <c r="EQ4" s="773"/>
      <c r="ER4" s="775" t="str">
        <f t="shared" ref="ER4" si="0">EQ6&amp;"/"</f>
        <v>1Q18E/</v>
      </c>
      <c r="ES4" s="773"/>
      <c r="ET4" s="775" t="str">
        <f t="shared" ref="ET4" si="1">ES6&amp;"/"</f>
        <v>2Q18E/</v>
      </c>
      <c r="EU4" s="773"/>
      <c r="EV4" s="775" t="str">
        <f t="shared" ref="EV4" si="2">EU6&amp;"/"</f>
        <v>3Q18E/</v>
      </c>
      <c r="EW4" s="773"/>
      <c r="EX4" s="775" t="str">
        <f t="shared" ref="EX4" si="3">EW6&amp;"/"</f>
        <v>4Q18E/</v>
      </c>
      <c r="EY4" s="775"/>
      <c r="EZ4" s="776"/>
      <c r="FA4" s="775"/>
      <c r="FB4" s="777"/>
      <c r="FC4" s="775"/>
      <c r="FD4" s="777"/>
      <c r="FE4" s="775" t="str">
        <f>FD6&amp;"/"</f>
        <v>1999/</v>
      </c>
      <c r="FF4" s="777"/>
      <c r="FG4" s="775" t="str">
        <f>FF6&amp;"/"</f>
        <v>2000/</v>
      </c>
      <c r="FH4" s="778"/>
      <c r="FI4" s="775" t="str">
        <f>FH6&amp;"/"</f>
        <v>2001/</v>
      </c>
      <c r="FJ4" s="778"/>
      <c r="FK4" s="775" t="str">
        <f>FJ6&amp;"/"</f>
        <v>2002/</v>
      </c>
      <c r="FL4" s="778"/>
      <c r="FM4" s="775" t="str">
        <f>FL6&amp;"/"</f>
        <v>2003/</v>
      </c>
      <c r="FN4" s="778"/>
      <c r="FO4" s="775" t="str">
        <f>FN6&amp;"/"</f>
        <v>2004/</v>
      </c>
      <c r="FP4" s="778"/>
      <c r="FQ4" s="779" t="str">
        <f>FP6&amp;"/"</f>
        <v>2005/</v>
      </c>
      <c r="FR4" s="778"/>
      <c r="FS4" s="775" t="str">
        <f>FR6&amp;"/"</f>
        <v>2006/</v>
      </c>
      <c r="FT4" s="778"/>
      <c r="FU4" s="775" t="str">
        <f>FT6&amp;"/"</f>
        <v>2007/</v>
      </c>
      <c r="FV4" s="778"/>
      <c r="FW4" s="780" t="str">
        <f>FV6&amp;"/"</f>
        <v>2008/</v>
      </c>
      <c r="FX4" s="778"/>
      <c r="FY4" s="775" t="str">
        <f>FX6&amp;"/"</f>
        <v>2009/</v>
      </c>
      <c r="FZ4" s="778"/>
      <c r="GA4" s="775" t="str">
        <f>FZ6&amp;"/"</f>
        <v>2010/</v>
      </c>
      <c r="GB4" s="778"/>
      <c r="GC4" s="775" t="str">
        <f>GB6&amp;"/"</f>
        <v>2011/</v>
      </c>
      <c r="GD4" s="778"/>
      <c r="GE4" s="775" t="str">
        <f>GD6&amp;"/"</f>
        <v>2012/</v>
      </c>
      <c r="GF4" s="778"/>
      <c r="GG4" s="775" t="str">
        <f>GF6&amp;"/"</f>
        <v>2013/</v>
      </c>
      <c r="GH4" s="781"/>
      <c r="GI4" s="775" t="str">
        <f>GH6&amp;"/"</f>
        <v>2014/</v>
      </c>
      <c r="GJ4" s="773"/>
      <c r="GK4" s="782" t="str">
        <f>GJ6&amp;"/"</f>
        <v>2015/</v>
      </c>
      <c r="GL4" s="773"/>
      <c r="GM4" s="782" t="str">
        <f>GL6&amp;"/"</f>
        <v>2016/</v>
      </c>
      <c r="GN4" s="773"/>
      <c r="GO4" s="782" t="str">
        <f>GN6&amp;"/"</f>
        <v>2017/</v>
      </c>
      <c r="GP4" s="773"/>
      <c r="GQ4" s="782" t="str">
        <f>GP6&amp;"/"</f>
        <v>2018E/</v>
      </c>
      <c r="GR4" s="773"/>
      <c r="GS4" s="782" t="str">
        <f>GR6&amp;"/"</f>
        <v>2019E/</v>
      </c>
      <c r="GT4" s="726"/>
      <c r="GU4" s="747" t="str">
        <f>GT6&amp;"/"</f>
        <v>2020E/</v>
      </c>
      <c r="GV4" s="726"/>
      <c r="GW4" s="747" t="str">
        <f>GV6&amp;"/"</f>
        <v>2021E/</v>
      </c>
      <c r="GX4" s="726"/>
      <c r="GY4" s="747" t="str">
        <f>GX6&amp;"/"</f>
        <v>2022E/</v>
      </c>
      <c r="GZ4" s="11" t="s">
        <v>673</v>
      </c>
      <c r="HA4" s="747"/>
      <c r="HB4" s="747"/>
      <c r="HC4"/>
      <c r="HD4"/>
      <c r="HE4"/>
      <c r="HF4"/>
      <c r="HG4"/>
      <c r="HH4"/>
      <c r="HI4" s="760"/>
    </row>
    <row r="5" spans="1:217" s="3" customFormat="1" ht="12.75" customHeight="1" x14ac:dyDescent="0.2">
      <c r="B5" s="901"/>
      <c r="C5" s="9"/>
      <c r="D5" s="11"/>
      <c r="E5" s="9"/>
      <c r="F5" s="11"/>
      <c r="G5" s="9"/>
      <c r="H5" s="11"/>
      <c r="I5" s="9"/>
      <c r="J5" s="11"/>
      <c r="K5" s="13"/>
      <c r="L5" s="11" t="str">
        <f>C6</f>
        <v>1Q00</v>
      </c>
      <c r="M5" s="13"/>
      <c r="N5" s="11" t="str">
        <f>E6</f>
        <v>2Q00</v>
      </c>
      <c r="O5" s="13"/>
      <c r="P5" s="11" t="str">
        <f>G6</f>
        <v>3Q00</v>
      </c>
      <c r="Q5" s="13"/>
      <c r="R5" s="11" t="str">
        <f>I6</f>
        <v>4Q00</v>
      </c>
      <c r="S5" s="13"/>
      <c r="T5" s="11" t="str">
        <f>K6</f>
        <v>1Q01</v>
      </c>
      <c r="U5" s="13"/>
      <c r="V5" s="11" t="str">
        <f>M6</f>
        <v>2Q01</v>
      </c>
      <c r="W5" s="13"/>
      <c r="X5" s="11" t="str">
        <f>O6</f>
        <v>3Q01</v>
      </c>
      <c r="Y5" s="13"/>
      <c r="Z5" s="11" t="str">
        <f>Q6</f>
        <v>4Q01</v>
      </c>
      <c r="AA5" s="9"/>
      <c r="AB5" s="11" t="str">
        <f>S6</f>
        <v>1Q02</v>
      </c>
      <c r="AC5" s="13"/>
      <c r="AD5" s="14" t="str">
        <f>U6</f>
        <v>2Q02</v>
      </c>
      <c r="AE5" s="13"/>
      <c r="AF5" s="14" t="str">
        <f>W6</f>
        <v>3Q02</v>
      </c>
      <c r="AG5" s="13"/>
      <c r="AH5" s="11" t="str">
        <f>Y6</f>
        <v>4Q02</v>
      </c>
      <c r="AI5" s="13"/>
      <c r="AJ5" s="11" t="str">
        <f>AA6</f>
        <v>1Q03</v>
      </c>
      <c r="AK5" s="13"/>
      <c r="AL5" s="11" t="str">
        <f>AC6</f>
        <v>2Q03</v>
      </c>
      <c r="AM5" s="13"/>
      <c r="AN5" s="11" t="str">
        <f>AE6</f>
        <v>3Q03</v>
      </c>
      <c r="AO5" s="13"/>
      <c r="AP5" s="11" t="str">
        <f>AG6</f>
        <v>4Q03</v>
      </c>
      <c r="AQ5" s="13"/>
      <c r="AR5" s="11" t="str">
        <f>AI6</f>
        <v>1Q04</v>
      </c>
      <c r="AS5" s="13"/>
      <c r="AT5" s="11" t="str">
        <f>AK6</f>
        <v>2Q04</v>
      </c>
      <c r="AU5" s="13"/>
      <c r="AV5" s="11" t="str">
        <f>AM6</f>
        <v>3Q04</v>
      </c>
      <c r="AW5" s="13"/>
      <c r="AX5" s="11" t="str">
        <f>AO6</f>
        <v>4Q04</v>
      </c>
      <c r="AY5" s="13"/>
      <c r="AZ5" s="11" t="str">
        <f>AQ6</f>
        <v>1Q05</v>
      </c>
      <c r="BA5" s="13"/>
      <c r="BB5" s="11" t="str">
        <f>AS6</f>
        <v>2Q05</v>
      </c>
      <c r="BC5" s="13"/>
      <c r="BD5" s="11" t="str">
        <f>AU6</f>
        <v>3Q05</v>
      </c>
      <c r="BE5" s="13"/>
      <c r="BF5" s="11" t="str">
        <f>AW6</f>
        <v>4Q05</v>
      </c>
      <c r="BG5" s="13"/>
      <c r="BH5" s="11" t="str">
        <f>AY6</f>
        <v>1Q06</v>
      </c>
      <c r="BI5" s="13"/>
      <c r="BJ5" s="11" t="str">
        <f>BA6</f>
        <v>2Q06</v>
      </c>
      <c r="BK5" s="13"/>
      <c r="BL5" s="11" t="str">
        <f>BC6</f>
        <v>3Q06</v>
      </c>
      <c r="BM5" s="13"/>
      <c r="BN5" s="11" t="str">
        <f>BE6</f>
        <v>4Q06</v>
      </c>
      <c r="BO5" s="13"/>
      <c r="BP5" s="11" t="str">
        <f>BG6</f>
        <v>1Q07</v>
      </c>
      <c r="BQ5" s="13"/>
      <c r="BR5" s="11" t="str">
        <f>BI6</f>
        <v>2Q07</v>
      </c>
      <c r="BS5" s="13"/>
      <c r="BT5" s="11" t="str">
        <f>BK6</f>
        <v>3Q07</v>
      </c>
      <c r="BU5" s="13"/>
      <c r="BV5" s="11" t="str">
        <f>BM6</f>
        <v>4Q07</v>
      </c>
      <c r="BW5" s="13"/>
      <c r="BX5" s="11" t="str">
        <f>BO6</f>
        <v>1Q08</v>
      </c>
      <c r="BY5" s="13"/>
      <c r="BZ5" s="11" t="str">
        <f>BQ6</f>
        <v>2Q08</v>
      </c>
      <c r="CA5" s="13"/>
      <c r="CB5" s="11" t="str">
        <f>BS6</f>
        <v>3Q08</v>
      </c>
      <c r="CC5" s="13"/>
      <c r="CD5" s="11" t="str">
        <f>BU6</f>
        <v>4Q08</v>
      </c>
      <c r="CE5" s="13"/>
      <c r="CF5" s="11" t="str">
        <f>BW6</f>
        <v>1Q09</v>
      </c>
      <c r="CG5" s="13"/>
      <c r="CH5" s="11" t="str">
        <f>BY6</f>
        <v>2Q09</v>
      </c>
      <c r="CI5" s="13"/>
      <c r="CJ5" s="11" t="str">
        <f>CA6</f>
        <v>3Q09</v>
      </c>
      <c r="CK5" s="13"/>
      <c r="CL5" s="11" t="str">
        <f>CC6</f>
        <v>4Q09</v>
      </c>
      <c r="CM5" s="13"/>
      <c r="CN5" s="11" t="str">
        <f>CE6</f>
        <v>1Q10</v>
      </c>
      <c r="CO5" s="13"/>
      <c r="CP5" s="11" t="str">
        <f>CG6</f>
        <v>2Q10</v>
      </c>
      <c r="CQ5" s="13"/>
      <c r="CR5" s="11" t="str">
        <f>CI6</f>
        <v>3Q10</v>
      </c>
      <c r="CS5" s="13"/>
      <c r="CT5" s="11" t="str">
        <f>CK6</f>
        <v>4Q10</v>
      </c>
      <c r="CU5" s="13"/>
      <c r="CV5" s="11" t="str">
        <f>CM6</f>
        <v>1Q11</v>
      </c>
      <c r="CW5" s="13"/>
      <c r="CX5" s="11" t="str">
        <f>CO6</f>
        <v>2Q11</v>
      </c>
      <c r="CY5" s="13"/>
      <c r="CZ5" s="11" t="str">
        <f>CQ6</f>
        <v>3Q11</v>
      </c>
      <c r="DA5" s="13"/>
      <c r="DB5" s="11" t="str">
        <f>CS6</f>
        <v>4Q11</v>
      </c>
      <c r="DC5" s="13"/>
      <c r="DD5" s="11" t="str">
        <f>CU6</f>
        <v>1Q12</v>
      </c>
      <c r="DE5" s="13"/>
      <c r="DF5" s="11" t="str">
        <f>CW6</f>
        <v>2Q12</v>
      </c>
      <c r="DG5" s="13"/>
      <c r="DH5" s="11" t="str">
        <f>CY6</f>
        <v>3Q12</v>
      </c>
      <c r="DI5" s="13"/>
      <c r="DJ5" s="11" t="str">
        <f>DA6</f>
        <v>4Q12</v>
      </c>
      <c r="DK5" s="12"/>
      <c r="DL5" s="11" t="str">
        <f>DC6</f>
        <v>1Q13</v>
      </c>
      <c r="DM5" s="12"/>
      <c r="DN5" s="11" t="str">
        <f>DE6</f>
        <v>2Q13</v>
      </c>
      <c r="DO5" s="12"/>
      <c r="DP5" s="11" t="str">
        <f>DG6</f>
        <v>3Q13</v>
      </c>
      <c r="DQ5" s="12"/>
      <c r="DR5" s="11" t="str">
        <f>DI6</f>
        <v>4Q13</v>
      </c>
      <c r="DS5" s="12"/>
      <c r="DT5" s="11" t="str">
        <f>DK6</f>
        <v>1Q14</v>
      </c>
      <c r="DU5" s="12"/>
      <c r="DV5" s="11" t="str">
        <f>DM6</f>
        <v>2Q14</v>
      </c>
      <c r="DW5" s="12"/>
      <c r="DX5" s="11" t="str">
        <f>DO6</f>
        <v>3Q14</v>
      </c>
      <c r="DY5" s="12"/>
      <c r="DZ5" s="11" t="str">
        <f>DQ6</f>
        <v>4Q14</v>
      </c>
      <c r="EA5" s="12"/>
      <c r="EB5" s="11" t="str">
        <f>DS6</f>
        <v>1Q15</v>
      </c>
      <c r="EC5" s="12"/>
      <c r="ED5" s="11" t="str">
        <f>DU6</f>
        <v>2Q15</v>
      </c>
      <c r="EE5" s="12"/>
      <c r="EF5" s="11" t="str">
        <f>DW6</f>
        <v>3Q15</v>
      </c>
      <c r="EG5" s="12"/>
      <c r="EH5" s="11" t="str">
        <f>DY6</f>
        <v>4Q15</v>
      </c>
      <c r="EI5" s="12"/>
      <c r="EJ5" s="11" t="str">
        <f>EA6</f>
        <v>1Q16</v>
      </c>
      <c r="EK5" s="12"/>
      <c r="EL5" s="11" t="str">
        <f>EC6</f>
        <v>2Q16</v>
      </c>
      <c r="EM5" s="12"/>
      <c r="EN5" s="11" t="str">
        <f>EE6</f>
        <v>3Q16</v>
      </c>
      <c r="EO5" s="12"/>
      <c r="EP5" s="11" t="str">
        <f>EG6</f>
        <v>4Q16</v>
      </c>
      <c r="EQ5" s="12"/>
      <c r="ER5" s="11" t="str">
        <f t="shared" ref="ER5" si="4">EI6</f>
        <v>1Q17</v>
      </c>
      <c r="ES5" s="12"/>
      <c r="ET5" s="11" t="str">
        <f t="shared" ref="ET5" si="5">EK6</f>
        <v>2Q17</v>
      </c>
      <c r="EU5" s="12"/>
      <c r="EV5" s="11" t="str">
        <f t="shared" ref="EV5" si="6">EM6</f>
        <v>3Q17</v>
      </c>
      <c r="EW5" s="12"/>
      <c r="EX5" s="11" t="str">
        <f t="shared" ref="EX5" si="7">EO6</f>
        <v>4Q17</v>
      </c>
      <c r="EY5" s="11"/>
      <c r="EZ5" s="298"/>
      <c r="FA5" s="11"/>
      <c r="FB5" s="9"/>
      <c r="FC5" s="11"/>
      <c r="FD5" s="9"/>
      <c r="FE5" s="11" t="str">
        <f>FB6</f>
        <v>1998</v>
      </c>
      <c r="FF5" s="9"/>
      <c r="FG5" s="11" t="str">
        <f>FD6</f>
        <v>1999</v>
      </c>
      <c r="FH5" s="13"/>
      <c r="FI5" s="11" t="str">
        <f>FF6</f>
        <v>2000</v>
      </c>
      <c r="FJ5" s="13"/>
      <c r="FK5" s="11" t="str">
        <f>FH6</f>
        <v>2001</v>
      </c>
      <c r="FL5" s="13"/>
      <c r="FM5" s="11" t="str">
        <f>FJ6</f>
        <v>2002</v>
      </c>
      <c r="FN5" s="13"/>
      <c r="FO5" s="11" t="str">
        <f>FL6</f>
        <v>2003</v>
      </c>
      <c r="FP5" s="13"/>
      <c r="FQ5" s="17">
        <f>FN6</f>
        <v>2004</v>
      </c>
      <c r="FR5" s="13">
        <f>FR922</f>
        <v>4.5797204213938416</v>
      </c>
      <c r="FS5" s="11" t="str">
        <f>FP6</f>
        <v>2005</v>
      </c>
      <c r="FT5" s="13">
        <f>FT922</f>
        <v>5.8084356647090232</v>
      </c>
      <c r="FU5" s="11" t="str">
        <f>FR6</f>
        <v>2006</v>
      </c>
      <c r="FV5" s="13">
        <f>FV922</f>
        <v>-1.5723016605166051</v>
      </c>
      <c r="FW5" s="215">
        <f>FT6</f>
        <v>2007</v>
      </c>
      <c r="FX5" s="13">
        <f>FX922</f>
        <v>2.4265788886409285</v>
      </c>
      <c r="FY5" s="11" t="str">
        <f>FV6</f>
        <v>2008</v>
      </c>
      <c r="FZ5" s="13">
        <f>FZ922</f>
        <v>4.264317643965291</v>
      </c>
      <c r="GA5" s="11" t="str">
        <f>FX6</f>
        <v>2009</v>
      </c>
      <c r="GB5" s="13"/>
      <c r="GC5" s="11" t="str">
        <f>FZ6</f>
        <v>2010</v>
      </c>
      <c r="GD5" s="13"/>
      <c r="GE5" s="11" t="str">
        <f>GB6</f>
        <v>2011</v>
      </c>
      <c r="GF5" s="13"/>
      <c r="GG5" s="226" t="str">
        <f>GD6</f>
        <v>2012</v>
      </c>
      <c r="GH5" s="170"/>
      <c r="GI5" s="226" t="str">
        <f>GF6</f>
        <v>2013</v>
      </c>
      <c r="GJ5" s="12"/>
      <c r="GK5" s="226">
        <f>GH6</f>
        <v>2014</v>
      </c>
      <c r="GL5" s="12"/>
      <c r="GM5" s="226" t="str">
        <f>GJ6</f>
        <v>2015</v>
      </c>
      <c r="GN5" s="12"/>
      <c r="GO5" s="226">
        <f>GL6</f>
        <v>2016</v>
      </c>
      <c r="GP5" s="12"/>
      <c r="GQ5" s="226">
        <f>GN6</f>
        <v>2017</v>
      </c>
      <c r="GR5" s="12"/>
      <c r="GS5" s="226" t="str">
        <f>GP6</f>
        <v>2018E</v>
      </c>
      <c r="GT5" s="12"/>
      <c r="GU5" s="226" t="str">
        <f>GR6</f>
        <v>2019E</v>
      </c>
      <c r="GV5" s="12"/>
      <c r="GW5" s="226" t="str">
        <f>GT6</f>
        <v>2020E</v>
      </c>
      <c r="GX5" s="12"/>
      <c r="GY5" s="226" t="str">
        <f>GV6</f>
        <v>2021E</v>
      </c>
      <c r="GZ5" s="11" t="s">
        <v>674</v>
      </c>
      <c r="HA5" s="11"/>
      <c r="HB5" s="11"/>
      <c r="HC5"/>
      <c r="HD5"/>
      <c r="HE5"/>
      <c r="HF5"/>
      <c r="HG5"/>
      <c r="HH5"/>
      <c r="HI5" s="2"/>
    </row>
    <row r="6" spans="1:217" s="691" customFormat="1" ht="12.75" customHeight="1" x14ac:dyDescent="0.2">
      <c r="A6" s="689"/>
      <c r="B6" s="419">
        <v>1</v>
      </c>
      <c r="C6" s="375" t="s">
        <v>456</v>
      </c>
      <c r="D6" s="413"/>
      <c r="E6" s="375" t="s">
        <v>458</v>
      </c>
      <c r="F6" s="413"/>
      <c r="G6" s="375" t="s">
        <v>459</v>
      </c>
      <c r="H6" s="413"/>
      <c r="I6" s="375" t="s">
        <v>460</v>
      </c>
      <c r="J6" s="413"/>
      <c r="K6" s="375" t="s">
        <v>439</v>
      </c>
      <c r="L6" s="19" t="s">
        <v>457</v>
      </c>
      <c r="M6" s="375" t="s">
        <v>379</v>
      </c>
      <c r="N6" s="19" t="s">
        <v>457</v>
      </c>
      <c r="O6" s="375" t="s">
        <v>207</v>
      </c>
      <c r="P6" s="19" t="s">
        <v>457</v>
      </c>
      <c r="Q6" s="375" t="s">
        <v>205</v>
      </c>
      <c r="R6" s="19" t="s">
        <v>457</v>
      </c>
      <c r="S6" s="375" t="s">
        <v>578</v>
      </c>
      <c r="T6" s="19" t="s">
        <v>457</v>
      </c>
      <c r="U6" s="375" t="s">
        <v>429</v>
      </c>
      <c r="V6" s="19" t="s">
        <v>457</v>
      </c>
      <c r="W6" s="375" t="s">
        <v>523</v>
      </c>
      <c r="X6" s="19" t="s">
        <v>457</v>
      </c>
      <c r="Y6" s="375" t="s">
        <v>619</v>
      </c>
      <c r="Z6" s="19" t="s">
        <v>457</v>
      </c>
      <c r="AA6" s="375" t="s">
        <v>115</v>
      </c>
      <c r="AB6" s="19" t="s">
        <v>457</v>
      </c>
      <c r="AC6" s="375" t="s">
        <v>603</v>
      </c>
      <c r="AD6" s="19" t="s">
        <v>457</v>
      </c>
      <c r="AE6" s="375" t="s">
        <v>604</v>
      </c>
      <c r="AF6" s="19" t="s">
        <v>457</v>
      </c>
      <c r="AG6" s="375" t="s">
        <v>605</v>
      </c>
      <c r="AH6" s="19" t="s">
        <v>457</v>
      </c>
      <c r="AI6" s="375" t="s">
        <v>679</v>
      </c>
      <c r="AJ6" s="19" t="s">
        <v>457</v>
      </c>
      <c r="AK6" s="375" t="s">
        <v>680</v>
      </c>
      <c r="AL6" s="19" t="s">
        <v>457</v>
      </c>
      <c r="AM6" s="375" t="s">
        <v>681</v>
      </c>
      <c r="AN6" s="19" t="s">
        <v>457</v>
      </c>
      <c r="AO6" s="375" t="s">
        <v>678</v>
      </c>
      <c r="AP6" s="19" t="s">
        <v>457</v>
      </c>
      <c r="AQ6" s="375" t="s">
        <v>161</v>
      </c>
      <c r="AR6" s="19" t="s">
        <v>457</v>
      </c>
      <c r="AS6" s="375" t="s">
        <v>162</v>
      </c>
      <c r="AT6" s="19" t="s">
        <v>457</v>
      </c>
      <c r="AU6" s="375" t="s">
        <v>163</v>
      </c>
      <c r="AV6" s="19" t="s">
        <v>457</v>
      </c>
      <c r="AW6" s="375" t="s">
        <v>164</v>
      </c>
      <c r="AX6" s="19" t="s">
        <v>457</v>
      </c>
      <c r="AY6" s="375" t="s">
        <v>343</v>
      </c>
      <c r="AZ6" s="19" t="s">
        <v>457</v>
      </c>
      <c r="BA6" s="375" t="s">
        <v>344</v>
      </c>
      <c r="BB6" s="19" t="s">
        <v>457</v>
      </c>
      <c r="BC6" s="375" t="s">
        <v>596</v>
      </c>
      <c r="BD6" s="19" t="s">
        <v>457</v>
      </c>
      <c r="BE6" s="375" t="s">
        <v>345</v>
      </c>
      <c r="BF6" s="19" t="s">
        <v>457</v>
      </c>
      <c r="BG6" s="375" t="s">
        <v>663</v>
      </c>
      <c r="BH6" s="19" t="s">
        <v>457</v>
      </c>
      <c r="BI6" s="375" t="s">
        <v>664</v>
      </c>
      <c r="BJ6" s="19" t="s">
        <v>457</v>
      </c>
      <c r="BK6" s="375" t="s">
        <v>665</v>
      </c>
      <c r="BL6" s="19" t="s">
        <v>457</v>
      </c>
      <c r="BM6" s="375" t="s">
        <v>272</v>
      </c>
      <c r="BN6" s="19" t="s">
        <v>457</v>
      </c>
      <c r="BO6" s="375" t="s">
        <v>346</v>
      </c>
      <c r="BP6" s="19" t="s">
        <v>457</v>
      </c>
      <c r="BQ6" s="375" t="s">
        <v>347</v>
      </c>
      <c r="BR6" s="19" t="s">
        <v>457</v>
      </c>
      <c r="BS6" s="375" t="s">
        <v>348</v>
      </c>
      <c r="BT6" s="19" t="s">
        <v>457</v>
      </c>
      <c r="BU6" s="375" t="s">
        <v>349</v>
      </c>
      <c r="BV6" s="19" t="s">
        <v>457</v>
      </c>
      <c r="BW6" s="375" t="s">
        <v>276</v>
      </c>
      <c r="BX6" s="19" t="s">
        <v>457</v>
      </c>
      <c r="BY6" s="375" t="s">
        <v>275</v>
      </c>
      <c r="BZ6" s="19" t="s">
        <v>457</v>
      </c>
      <c r="CA6" s="375" t="s">
        <v>274</v>
      </c>
      <c r="CB6" s="19" t="s">
        <v>457</v>
      </c>
      <c r="CC6" s="375" t="s">
        <v>273</v>
      </c>
      <c r="CD6" s="19" t="s">
        <v>457</v>
      </c>
      <c r="CE6" s="375" t="s">
        <v>146</v>
      </c>
      <c r="CF6" s="19" t="s">
        <v>457</v>
      </c>
      <c r="CG6" s="375" t="s">
        <v>147</v>
      </c>
      <c r="CH6" s="19" t="s">
        <v>457</v>
      </c>
      <c r="CI6" s="375" t="s">
        <v>148</v>
      </c>
      <c r="CJ6" s="19" t="s">
        <v>457</v>
      </c>
      <c r="CK6" s="375" t="s">
        <v>149</v>
      </c>
      <c r="CL6" s="19" t="s">
        <v>457</v>
      </c>
      <c r="CM6" s="375" t="s">
        <v>559</v>
      </c>
      <c r="CN6" s="19" t="s">
        <v>457</v>
      </c>
      <c r="CO6" s="375" t="s">
        <v>560</v>
      </c>
      <c r="CP6" s="19" t="s">
        <v>457</v>
      </c>
      <c r="CQ6" s="375" t="s">
        <v>561</v>
      </c>
      <c r="CR6" s="19" t="s">
        <v>457</v>
      </c>
      <c r="CS6" s="375" t="s">
        <v>562</v>
      </c>
      <c r="CT6" s="19" t="s">
        <v>457</v>
      </c>
      <c r="CU6" s="375" t="s">
        <v>198</v>
      </c>
      <c r="CV6" s="219" t="s">
        <v>457</v>
      </c>
      <c r="CW6" s="375" t="s">
        <v>199</v>
      </c>
      <c r="CX6" s="219" t="s">
        <v>457</v>
      </c>
      <c r="CY6" s="375" t="s">
        <v>200</v>
      </c>
      <c r="CZ6" s="219" t="s">
        <v>457</v>
      </c>
      <c r="DA6" s="375" t="s">
        <v>201</v>
      </c>
      <c r="DB6" s="219" t="s">
        <v>457</v>
      </c>
      <c r="DC6" s="375" t="s">
        <v>61</v>
      </c>
      <c r="DD6" s="219" t="s">
        <v>457</v>
      </c>
      <c r="DE6" s="375" t="s">
        <v>62</v>
      </c>
      <c r="DF6" s="219" t="s">
        <v>457</v>
      </c>
      <c r="DG6" s="375" t="s">
        <v>63</v>
      </c>
      <c r="DH6" s="219" t="s">
        <v>457</v>
      </c>
      <c r="DI6" s="375" t="s">
        <v>64</v>
      </c>
      <c r="DJ6" s="219" t="s">
        <v>457</v>
      </c>
      <c r="DK6" s="414" t="s">
        <v>173</v>
      </c>
      <c r="DL6" s="219" t="s">
        <v>457</v>
      </c>
      <c r="DM6" s="414" t="s">
        <v>175</v>
      </c>
      <c r="DN6" s="219" t="s">
        <v>457</v>
      </c>
      <c r="DO6" s="414" t="s">
        <v>174</v>
      </c>
      <c r="DP6" s="219" t="s">
        <v>457</v>
      </c>
      <c r="DQ6" s="414" t="s">
        <v>176</v>
      </c>
      <c r="DR6" s="219" t="s">
        <v>457</v>
      </c>
      <c r="DS6" s="414" t="s">
        <v>730</v>
      </c>
      <c r="DT6" s="219" t="s">
        <v>457</v>
      </c>
      <c r="DU6" s="414" t="s">
        <v>731</v>
      </c>
      <c r="DV6" s="219" t="s">
        <v>457</v>
      </c>
      <c r="DW6" s="414" t="s">
        <v>732</v>
      </c>
      <c r="DX6" s="219" t="s">
        <v>457</v>
      </c>
      <c r="DY6" s="414" t="s">
        <v>733</v>
      </c>
      <c r="DZ6" s="219" t="s">
        <v>457</v>
      </c>
      <c r="EA6" s="414" t="s">
        <v>769</v>
      </c>
      <c r="EB6" s="219" t="s">
        <v>457</v>
      </c>
      <c r="EC6" s="414" t="s">
        <v>771</v>
      </c>
      <c r="ED6" s="219" t="s">
        <v>457</v>
      </c>
      <c r="EE6" s="414" t="s">
        <v>778</v>
      </c>
      <c r="EF6" s="219" t="s">
        <v>457</v>
      </c>
      <c r="EG6" s="414" t="s">
        <v>785</v>
      </c>
      <c r="EH6" s="219" t="s">
        <v>457</v>
      </c>
      <c r="EI6" s="414" t="s">
        <v>786</v>
      </c>
      <c r="EJ6" s="219" t="s">
        <v>457</v>
      </c>
      <c r="EK6" s="414" t="s">
        <v>791</v>
      </c>
      <c r="EL6" s="219" t="s">
        <v>457</v>
      </c>
      <c r="EM6" s="414" t="s">
        <v>802</v>
      </c>
      <c r="EN6" s="219" t="s">
        <v>457</v>
      </c>
      <c r="EO6" s="414" t="s">
        <v>813</v>
      </c>
      <c r="EP6" s="219" t="s">
        <v>457</v>
      </c>
      <c r="EQ6" s="414" t="s">
        <v>793</v>
      </c>
      <c r="ER6" s="219" t="s">
        <v>457</v>
      </c>
      <c r="ES6" s="414" t="s">
        <v>794</v>
      </c>
      <c r="ET6" s="219" t="s">
        <v>457</v>
      </c>
      <c r="EU6" s="414" t="s">
        <v>795</v>
      </c>
      <c r="EV6" s="219" t="s">
        <v>457</v>
      </c>
      <c r="EW6" s="414" t="s">
        <v>792</v>
      </c>
      <c r="EX6" s="219" t="s">
        <v>457</v>
      </c>
      <c r="EY6" s="219"/>
      <c r="EZ6" s="690"/>
      <c r="FA6" s="219"/>
      <c r="FB6" s="20" t="s">
        <v>461</v>
      </c>
      <c r="FC6" s="19"/>
      <c r="FD6" s="20" t="s">
        <v>462</v>
      </c>
      <c r="FE6" s="19" t="s">
        <v>457</v>
      </c>
      <c r="FF6" s="21" t="s">
        <v>463</v>
      </c>
      <c r="FG6" s="19" t="s">
        <v>457</v>
      </c>
      <c r="FH6" s="21" t="s">
        <v>158</v>
      </c>
      <c r="FI6" s="19" t="s">
        <v>457</v>
      </c>
      <c r="FJ6" s="21" t="s">
        <v>448</v>
      </c>
      <c r="FK6" s="19" t="s">
        <v>457</v>
      </c>
      <c r="FL6" s="21" t="s">
        <v>384</v>
      </c>
      <c r="FM6" s="19" t="s">
        <v>457</v>
      </c>
      <c r="FN6" s="21">
        <v>2004</v>
      </c>
      <c r="FO6" s="19" t="s">
        <v>457</v>
      </c>
      <c r="FP6" s="20" t="s">
        <v>519</v>
      </c>
      <c r="FQ6" s="19" t="s">
        <v>457</v>
      </c>
      <c r="FR6" s="20" t="s">
        <v>352</v>
      </c>
      <c r="FS6" s="19" t="s">
        <v>457</v>
      </c>
      <c r="FT6" s="20">
        <v>2007</v>
      </c>
      <c r="FU6" s="19" t="s">
        <v>457</v>
      </c>
      <c r="FV6" s="20" t="s">
        <v>96</v>
      </c>
      <c r="FW6" s="19" t="s">
        <v>457</v>
      </c>
      <c r="FX6" s="20" t="s">
        <v>259</v>
      </c>
      <c r="FY6" s="19" t="s">
        <v>457</v>
      </c>
      <c r="FZ6" s="20" t="s">
        <v>558</v>
      </c>
      <c r="GA6" s="19" t="s">
        <v>457</v>
      </c>
      <c r="GB6" s="415" t="s">
        <v>103</v>
      </c>
      <c r="GC6" s="19" t="s">
        <v>457</v>
      </c>
      <c r="GD6" s="415" t="s">
        <v>422</v>
      </c>
      <c r="GE6" s="19" t="s">
        <v>457</v>
      </c>
      <c r="GF6" s="415" t="s">
        <v>15</v>
      </c>
      <c r="GG6" s="19" t="s">
        <v>457</v>
      </c>
      <c r="GH6" s="375">
        <v>2014</v>
      </c>
      <c r="GI6" s="19" t="s">
        <v>457</v>
      </c>
      <c r="GJ6" s="415" t="s">
        <v>768</v>
      </c>
      <c r="GK6" s="19" t="s">
        <v>457</v>
      </c>
      <c r="GL6" s="375">
        <v>2016</v>
      </c>
      <c r="GM6" s="19" t="s">
        <v>457</v>
      </c>
      <c r="GN6" s="375">
        <v>2017</v>
      </c>
      <c r="GO6" s="19" t="s">
        <v>457</v>
      </c>
      <c r="GP6" s="375" t="s">
        <v>11</v>
      </c>
      <c r="GQ6" s="19" t="s">
        <v>457</v>
      </c>
      <c r="GR6" s="375" t="s">
        <v>735</v>
      </c>
      <c r="GS6" s="19" t="s">
        <v>457</v>
      </c>
      <c r="GT6" s="375" t="s">
        <v>758</v>
      </c>
      <c r="GU6" s="19" t="s">
        <v>457</v>
      </c>
      <c r="GV6" s="375" t="s">
        <v>774</v>
      </c>
      <c r="GW6" s="19" t="s">
        <v>457</v>
      </c>
      <c r="GX6" s="375" t="s">
        <v>797</v>
      </c>
      <c r="GY6" s="19" t="s">
        <v>457</v>
      </c>
      <c r="GZ6" s="19" t="s">
        <v>675</v>
      </c>
      <c r="HA6" s="19"/>
      <c r="HB6" s="19"/>
      <c r="HC6"/>
      <c r="HD6"/>
      <c r="HE6"/>
      <c r="HF6"/>
      <c r="HG6"/>
      <c r="HH6"/>
      <c r="HI6" s="432"/>
    </row>
    <row r="7" spans="1:217" s="384" customFormat="1" ht="12.75" customHeight="1" x14ac:dyDescent="0.2">
      <c r="A7" s="383"/>
      <c r="B7" s="402" t="s">
        <v>825</v>
      </c>
      <c r="D7" s="385"/>
      <c r="F7" s="385"/>
      <c r="H7" s="385"/>
      <c r="J7" s="385"/>
      <c r="L7" s="385"/>
      <c r="N7" s="385"/>
      <c r="P7" s="385"/>
      <c r="R7" s="385"/>
      <c r="T7" s="385"/>
      <c r="V7" s="385"/>
      <c r="X7" s="385"/>
      <c r="Z7" s="385"/>
      <c r="AB7" s="385"/>
      <c r="AD7" s="385"/>
      <c r="AF7" s="385"/>
      <c r="AH7" s="385"/>
      <c r="AJ7" s="385"/>
      <c r="AL7" s="385"/>
      <c r="AN7" s="385"/>
      <c r="AP7" s="385"/>
      <c r="AR7" s="385"/>
      <c r="AT7" s="385"/>
      <c r="AV7" s="385"/>
      <c r="AX7" s="385"/>
      <c r="AZ7" s="385"/>
      <c r="BB7" s="385"/>
      <c r="BD7" s="385"/>
      <c r="BF7" s="385"/>
      <c r="BH7" s="385"/>
      <c r="BJ7" s="385"/>
      <c r="BL7" s="385"/>
      <c r="BN7" s="385"/>
      <c r="BP7" s="385"/>
      <c r="BR7" s="385"/>
      <c r="BT7" s="385"/>
      <c r="BV7" s="385"/>
      <c r="BX7" s="385"/>
      <c r="BZ7" s="385"/>
      <c r="CB7" s="385"/>
      <c r="CD7" s="385"/>
      <c r="CF7" s="385"/>
      <c r="CH7" s="385"/>
      <c r="CJ7" s="385"/>
      <c r="CL7" s="385"/>
      <c r="CM7" s="404">
        <f>CM93+CM128</f>
        <v>372</v>
      </c>
      <c r="CN7" s="409" t="str">
        <f t="shared" ref="CN7:CN19" si="8">IF(ISERROR(CM7/CE7),"NA",IF(OR(CM7/CE7&gt;2,CM7/CE7&lt;0.5),"NM",CM7/CE7*100-100))</f>
        <v>NA</v>
      </c>
      <c r="CO7" s="404">
        <f>CO93+CO128</f>
        <v>342</v>
      </c>
      <c r="CP7" s="409" t="str">
        <f t="shared" ref="CP7:CP19" si="9">IF(ISERROR(CO7/CG7),"NA",IF(OR(CO7/CG7&gt;2,CO7/CG7&lt;0.5),"NM",CO7/CG7*100-100))</f>
        <v>NA</v>
      </c>
      <c r="CQ7" s="404">
        <f>CQ93+CQ128</f>
        <v>-81</v>
      </c>
      <c r="CR7" s="409" t="str">
        <f t="shared" ref="CR7:CR19" si="10">IF(ISERROR(CQ7/CI7),"NA",IF(OR(CQ7/CI7&gt;2,CQ7/CI7&lt;0.5),"NM",CQ7/CI7*100-100))</f>
        <v>NA</v>
      </c>
      <c r="CS7" s="404">
        <f>CS93+CS128</f>
        <v>511</v>
      </c>
      <c r="CT7" s="409" t="str">
        <f t="shared" ref="CT7:CT19" si="11">IF(ISERROR(CS7/CK7),"NA",IF(OR(CS7/CK7&gt;2,CS7/CK7&lt;0.5),"NM",CS7/CK7*100-100))</f>
        <v>NA</v>
      </c>
      <c r="CU7" s="404">
        <f>CU93+CU128</f>
        <v>533</v>
      </c>
      <c r="CV7" s="409">
        <f t="shared" ref="CV7:CV19" si="12">IF(ISERROR(CU7/CM7),"NA",IF(OR(CU7/CM7&gt;2,CU7/CM7&lt;0.5),"NM",CU7/CM7*100-100))</f>
        <v>43.27956989247312</v>
      </c>
      <c r="CW7" s="404">
        <f>CW93+CW128</f>
        <v>168</v>
      </c>
      <c r="CX7" s="409" t="str">
        <f t="shared" ref="CX7:CX19" si="13">IF(ISERROR(CW7/CO7),"NA",IF(OR(CW7/CO7&gt;2,CW7/CO7&lt;0.5),"NM",CW7/CO7*100-100))</f>
        <v>NM</v>
      </c>
      <c r="CY7" s="404">
        <f>CY93+CY128</f>
        <v>319</v>
      </c>
      <c r="CZ7" s="409" t="str">
        <f t="shared" ref="CZ7:CZ19" si="14">IF(ISERROR(CY7/CQ7),"NA",IF(OR(CY7/CQ7&gt;2,CY7/CQ7&lt;0.5),"NM",CY7/CQ7*100-100))</f>
        <v>NM</v>
      </c>
      <c r="DA7" s="404">
        <f>DA93+DA128</f>
        <v>403</v>
      </c>
      <c r="DB7" s="409">
        <f t="shared" ref="DB7:DB19" si="15">IF(ISERROR(DA7/CS7),"NA",IF(OR(DA7/CS7&gt;2,DA7/CS7&lt;0.5),"NM",DA7/CS7*100-100))</f>
        <v>-21.135029354207433</v>
      </c>
      <c r="DC7" s="404">
        <f>DC93+DC128</f>
        <v>509</v>
      </c>
      <c r="DD7" s="409">
        <f t="shared" ref="DD7:DD19" si="16">IF(ISERROR(DC7/CU7),"NA",IF(OR(DC7/CU7&gt;2,DC7/CU7&lt;0.5),"NM",DC7/CU7*100-100))</f>
        <v>-4.5028142589118261</v>
      </c>
      <c r="DE7" s="404">
        <f>DE93+DE128</f>
        <v>541</v>
      </c>
      <c r="DF7" s="409" t="str">
        <f t="shared" ref="DF7:DF19" si="17">IF(ISERROR(DE7/CW7),"NA",IF(OR(DE7/CW7&gt;2,DE7/CW7&lt;0.5),"NM",DE7/CW7*100-100))</f>
        <v>NM</v>
      </c>
      <c r="DG7" s="404">
        <f>DG93+DG128</f>
        <v>969</v>
      </c>
      <c r="DH7" s="409" t="str">
        <f t="shared" ref="DH7:DH19" si="18">IF(ISERROR(DG7/CY7),"NA",IF(OR(DG7/CY7&gt;2,DG7/CY7&lt;0.5),"NM",DG7/CY7*100-100))</f>
        <v>NM</v>
      </c>
      <c r="DI7" s="404">
        <f>DI93+DI128</f>
        <v>649</v>
      </c>
      <c r="DJ7" s="409">
        <f t="shared" ref="DJ7:DJ19" si="19">IF(ISERROR(DI7/DA7),"NA",IF(OR(DI7/DA7&gt;2,DI7/DA7&lt;0.5),"NM",DI7/DA7*100-100))</f>
        <v>61.042183622828787</v>
      </c>
      <c r="DK7" s="404">
        <f>DK93+DK128</f>
        <v>513</v>
      </c>
      <c r="DL7" s="409">
        <f t="shared" ref="DL7:DL19" si="20">IF(ISERROR(DK7/DC7),"NA",IF(OR(DK7/DC7&gt;2,DK7/DC7&lt;0.5),"NM",DK7/DC7*100-100))</f>
        <v>0.78585461689586111</v>
      </c>
      <c r="DM7" s="404">
        <f>DM93+DM128</f>
        <v>548</v>
      </c>
      <c r="DN7" s="409">
        <f t="shared" ref="DN7:DN16" si="21">IF(ISERROR(DM7/DE7),"NA",IF(OR(DM7/DE7&gt;2,DM7/DE7&lt;0.5),"NM",DM7/DE7*100-100))</f>
        <v>1.293900184842883</v>
      </c>
      <c r="DO7" s="404">
        <f>DO93+DO128</f>
        <v>464</v>
      </c>
      <c r="DP7" s="409" t="str">
        <f t="shared" ref="DP7:DP16" si="22">IF(ISERROR(DO7/DG7),"NA",IF(OR(DO7/DG7&gt;2,DO7/DG7&lt;0.5),"NM",DO7/DG7*100-100))</f>
        <v>NM</v>
      </c>
      <c r="DQ7" s="404">
        <f>DQ93+DQ128</f>
        <v>440</v>
      </c>
      <c r="DR7" s="409">
        <f t="shared" ref="DR7:DR16" si="23">IF(ISERROR(DQ7/DI7),"NA",IF(OR(DQ7/DI7&gt;2,DQ7/DI7&lt;0.5),"NM",DQ7/DI7*100-100))</f>
        <v>-32.203389830508485</v>
      </c>
      <c r="DS7" s="404">
        <f>DS93+DS128</f>
        <v>645</v>
      </c>
      <c r="DT7" s="409">
        <f t="shared" ref="DT7:DT16" si="24">IF(ISERROR(DS7/DK7),"NA",IF(OR(DS7/DK7&gt;2,DS7/DK7&lt;0.5),"NM",DS7/DK7*100-100))</f>
        <v>25.730994152046776</v>
      </c>
      <c r="DU7" s="404">
        <f>DU93+DU128</f>
        <v>785</v>
      </c>
      <c r="DV7" s="409">
        <f t="shared" ref="DV7:DV16" si="25">IF(ISERROR(DU7/DM7),"NA",IF(OR(DU7/DM7&gt;2,DU7/DM7&lt;0.5),"NM",DU7/DM7*100-100))</f>
        <v>43.248175182481759</v>
      </c>
      <c r="DW7" s="404">
        <f>DW93+DW128</f>
        <v>493</v>
      </c>
      <c r="DX7" s="409">
        <f t="shared" ref="DX7:DX16" si="26">IF(ISERROR(DW7/DO7),"NA",IF(OR(DW7/DO7&gt;2,DW7/DO7&lt;0.5),"NM",DW7/DO7*100-100))</f>
        <v>6.25</v>
      </c>
      <c r="DY7" s="404">
        <f>DY93+DY128</f>
        <v>509</v>
      </c>
      <c r="DZ7" s="409">
        <f t="shared" ref="DZ7:DZ16" si="27">IF(ISERROR(DY7/DQ7),"NA",IF(OR(DY7/DQ7&gt;2,DY7/DQ7&lt;0.5),"NM",DY7/DQ7*100-100))</f>
        <v>15.681818181818173</v>
      </c>
      <c r="EA7" s="404">
        <f>EA93+EA128</f>
        <v>448</v>
      </c>
      <c r="EB7" s="409">
        <f t="shared" ref="EB7:EB16" si="28">IF(ISERROR(EA7/DS7),"NA",IF(OR(EA7/DS7&gt;2,EA7/DS7&lt;0.5),"NM",EA7/DS7*100-100))</f>
        <v>-30.542635658914733</v>
      </c>
      <c r="EC7" s="404">
        <f>EC93+EC128</f>
        <v>137</v>
      </c>
      <c r="ED7" s="409" t="str">
        <f t="shared" ref="ED7:ED16" si="29">IF(ISERROR(EC7/DU7),"NA",IF(OR(EC7/DU7&gt;2,EC7/DU7&lt;0.5),"NM",EC7/DU7*100-100))</f>
        <v>NM</v>
      </c>
      <c r="EE7" s="404">
        <f>EE93+EE128</f>
        <v>699</v>
      </c>
      <c r="EF7" s="409">
        <f t="shared" ref="EF7:EF16" si="30">IF(ISERROR(EE7/DW7),"NA",IF(OR(EE7/DW7&gt;2,EE7/DW7&lt;0.5),"NM",EE7/DW7*100-100))</f>
        <v>41.784989858012182</v>
      </c>
      <c r="EG7" s="404">
        <f>EG93+EG128</f>
        <v>560</v>
      </c>
      <c r="EH7" s="409">
        <f t="shared" ref="EH7:EH16" si="31">IF(ISERROR(EG7/DY7),"NA",IF(OR(EG7/DY7&gt;2,EG7/DY7&lt;0.5),"NM",EG7/DY7*100-100))</f>
        <v>10.019646365422403</v>
      </c>
      <c r="EI7" s="404">
        <f>EI93+EI128</f>
        <v>586</v>
      </c>
      <c r="EJ7" s="409">
        <f t="shared" ref="EJ7:EJ16" si="32">IF(ISERROR(EI7/EA7),"NA",IF(OR(EI7/EA7&gt;2,EI7/EA7&lt;0.5),"NM",EI7/EA7*100-100))</f>
        <v>30.803571428571416</v>
      </c>
      <c r="EK7" s="404">
        <f>EK93+EK128</f>
        <v>55</v>
      </c>
      <c r="EL7" s="409" t="str">
        <f t="shared" ref="EL7:EL16" si="33">IF(ISERROR(EK7/EC7),"NA",IF(OR(EK7/EC7&gt;2,EK7/EC7&lt;0.5),"NM",EK7/EC7*100-100))</f>
        <v>NM</v>
      </c>
      <c r="EM7" s="404">
        <f>EM93+EM128</f>
        <v>727</v>
      </c>
      <c r="EN7" s="409">
        <f t="shared" ref="EN7:EN16" si="34">IF(ISERROR(EM7/EE7),"NA",IF(OR(EM7/EE7&gt;2,EM7/EE7&lt;0.5),"NM",EM7/EE7*100-100))</f>
        <v>4.0057224606580917</v>
      </c>
      <c r="EO7" s="404">
        <f>EO93+EO128</f>
        <v>639</v>
      </c>
      <c r="EP7" s="409">
        <f t="shared" ref="EP7:EP16" si="35">IF(ISERROR(EO7/EG7),"NA",IF(OR(EO7/EG7&gt;2,EO7/EG7&lt;0.5),"NM",EO7/EG7*100-100))</f>
        <v>14.107142857142847</v>
      </c>
      <c r="EQ7" s="404">
        <f>EQ93+EQ128</f>
        <v>622.74350994784834</v>
      </c>
      <c r="ER7" s="409">
        <f t="shared" ref="ER7:ER16" si="36">IF(ISERROR(EQ7/EI7),"NA",IF(OR(EQ7/EI7&gt;2,EQ7/EI7&lt;0.5),"NM",EQ7/EI7*100-100))</f>
        <v>6.2702235405884608</v>
      </c>
      <c r="ES7" s="404">
        <f>ES93+ES128</f>
        <v>637.44650085509784</v>
      </c>
      <c r="ET7" s="409" t="str">
        <f t="shared" ref="ET7:ET16" si="37">IF(ISERROR(ES7/EK7),"NA",IF(OR(ES7/EK7&gt;2,ES7/EK7&lt;0.5),"NM",ES7/EK7*100-100))</f>
        <v>NM</v>
      </c>
      <c r="EU7" s="404">
        <f>EU93+EU128</f>
        <v>638.21405254805597</v>
      </c>
      <c r="EV7" s="409">
        <f t="shared" ref="EV7:EV16" si="38">IF(ISERROR(EU7/EM7),"NA",IF(OR(EU7/EM7&gt;2,EU7/EM7&lt;0.5),"NM",EU7/EM7*100-100))</f>
        <v>-12.212647517461349</v>
      </c>
      <c r="EW7" s="404">
        <f>EW93+EW128</f>
        <v>617.1282972320646</v>
      </c>
      <c r="EX7" s="409">
        <f t="shared" ref="EX7:EX16" si="39">IF(ISERROR(EW7/EO7),"NA",IF(OR(EW7/EO7&gt;2,EW7/EO7&lt;0.5),"NM",EW7/EO7*100-100))</f>
        <v>-3.4228016851229057</v>
      </c>
      <c r="EY7" s="386"/>
      <c r="EZ7" s="299"/>
      <c r="FA7" s="386"/>
      <c r="FB7" s="387"/>
      <c r="FC7" s="385"/>
      <c r="FD7" s="387"/>
      <c r="FE7" s="385"/>
      <c r="FF7" s="388"/>
      <c r="FG7" s="385"/>
      <c r="FH7" s="388"/>
      <c r="FI7" s="385"/>
      <c r="FJ7" s="388"/>
      <c r="FK7" s="385"/>
      <c r="FL7" s="388"/>
      <c r="FM7" s="385"/>
      <c r="FN7" s="388"/>
      <c r="FO7" s="385"/>
      <c r="FP7" s="387"/>
      <c r="FQ7" s="385"/>
      <c r="FR7" s="387"/>
      <c r="FS7" s="385"/>
      <c r="FT7" s="387"/>
      <c r="FU7" s="385"/>
      <c r="FV7" s="387"/>
      <c r="FW7" s="385"/>
      <c r="FX7" s="387"/>
      <c r="FY7" s="385"/>
      <c r="FZ7" s="404">
        <f>FZ93+FZ128</f>
        <v>1432</v>
      </c>
      <c r="GA7" s="385"/>
      <c r="GB7" s="404">
        <f>GB93+GB128</f>
        <v>1144</v>
      </c>
      <c r="GC7" s="409">
        <f t="shared" ref="GC7:GC19" si="40">IF(ISERROR(GB7/FZ7),"NA",IF(OR(GB7/FZ7&gt;2,GB7/FZ7&lt;0.5),"NM",GB7/FZ7*100-100))</f>
        <v>-20.111731843575427</v>
      </c>
      <c r="GD7" s="404">
        <f>GD93+GD128</f>
        <v>1423</v>
      </c>
      <c r="GE7" s="409">
        <f t="shared" ref="GE7:GE19" si="41">IF(ISERROR(GD7/GB7),"NA",IF(OR(GD7/GB7&gt;2,GD7/GB7&lt;0.5),"NM",GD7/GB7*100-100))</f>
        <v>24.388111888111894</v>
      </c>
      <c r="GF7" s="404">
        <f>GF93+GF128</f>
        <v>2668</v>
      </c>
      <c r="GG7" s="784">
        <f t="shared" ref="GG7:GG19" si="42">IF(ISERROR(GF7/GD7),"NA",IF(OR(GF7/GD7&gt;2,GF7/GD7&lt;0.5),"NM",GF7/GD7*100-100))</f>
        <v>87.491215741391414</v>
      </c>
      <c r="GH7" s="404">
        <f>GH93+GH128</f>
        <v>1965</v>
      </c>
      <c r="GI7" s="784">
        <f t="shared" ref="GI7:GI16" si="43">IF(ISERROR(GH7/GF7),"NA",IF(OR(GH7/GF7&gt;2,GH7/GF7&lt;0.5),"NM",GH7/GF7*100-100))</f>
        <v>-26.349325337331337</v>
      </c>
      <c r="GJ7" s="404">
        <f>GJ93+GJ128</f>
        <v>2432</v>
      </c>
      <c r="GK7" s="784">
        <f t="shared" ref="GK7:GK16" si="44">IF(ISERROR(GJ7/GH7),"NA",IF(OR(GJ7/GH7&gt;2,GJ7/GH7&lt;0.5),"NM",GJ7/GH7*100-100))</f>
        <v>23.765903307888038</v>
      </c>
      <c r="GL7" s="404">
        <f>GL93+GL128</f>
        <v>1844</v>
      </c>
      <c r="GM7" s="784">
        <f t="shared" ref="GM7:GM16" si="45">IF(ISERROR(GL7/GJ7),"NA",IF(OR(GL7/GJ7&gt;2,GL7/GJ7&lt;0.5),"NM",GL7/GJ7*100-100))</f>
        <v>-24.17763157894737</v>
      </c>
      <c r="GN7" s="404">
        <f>GN93+GN128</f>
        <v>2007</v>
      </c>
      <c r="GO7" s="784">
        <f t="shared" ref="GO7:GS16" si="46">IF(ISERROR(GN7/GL7),"NA",IF(OR(GN7/GL7&gt;2,GN7/GL7&lt;0.5),"NM",GN7/GL7*100-100))</f>
        <v>8.8394793926247246</v>
      </c>
      <c r="GP7" s="404">
        <f>GP93+GP128</f>
        <v>2515.5323605830663</v>
      </c>
      <c r="GQ7" s="784">
        <f t="shared" si="46"/>
        <v>25.337935255758154</v>
      </c>
      <c r="GR7" s="404">
        <f>GR93+GR128</f>
        <v>2478.2128461797956</v>
      </c>
      <c r="GS7" s="784">
        <f t="shared" si="46"/>
        <v>-1.4835632802044643</v>
      </c>
      <c r="GT7" s="404">
        <f>GT93+GT128</f>
        <v>2443.6431545647856</v>
      </c>
      <c r="GU7" s="784">
        <f t="shared" ref="GU7:GU16" si="47">IF(ISERROR(GT7/GR7),"NA",IF(OR(GT7/GR7&gt;2,GT7/GR7&lt;0.5),"NM",GT7/GR7*100-100))</f>
        <v>-1.3949444119902665</v>
      </c>
      <c r="GV7" s="404">
        <f>GV93+GV128</f>
        <v>2418.1669916557989</v>
      </c>
      <c r="GW7" s="784">
        <f t="shared" ref="GW7:GW16" si="48">IF(ISERROR(GV7/GT7),"NA",IF(OR(GV7/GT7&gt;2,GV7/GT7&lt;0.5),"NM",GV7/GT7*100-100))</f>
        <v>-1.042548412250639</v>
      </c>
      <c r="GX7" s="404">
        <f>GX93+GX128</f>
        <v>2395.4174967177505</v>
      </c>
      <c r="GY7" s="784">
        <f t="shared" ref="GY7:GY16" si="49">IF(ISERROR(GX7/GV7),"NA",IF(OR(GX7/GV7&gt;2,GX7/GV7&lt;0.5),"NM",GX7/GV7*100-100))</f>
        <v>-0.94077435580538804</v>
      </c>
      <c r="GZ7" s="409">
        <f t="shared" ref="GZ7:GZ16" si="50">IF(ISERROR(((GX7/GN7)^0.2-1)*100),"NA",IF((((GX7/GN7)^0.2-1)*100)&gt;100,"NM",IF((((GX7/GN7)^0.2-1)*100)&lt;-50,"NM",((GX7/GN7)^0.2-1)*100)))</f>
        <v>3.6016730872657998</v>
      </c>
      <c r="HA7" s="409"/>
      <c r="HB7" s="409"/>
      <c r="HC7"/>
      <c r="HD7"/>
      <c r="HE7"/>
      <c r="HF7"/>
      <c r="HG7"/>
      <c r="HH7"/>
      <c r="HI7" s="273"/>
    </row>
    <row r="8" spans="1:217" s="384" customFormat="1" ht="12.75" customHeight="1" x14ac:dyDescent="0.2">
      <c r="A8" s="383"/>
      <c r="B8" s="402" t="s">
        <v>826</v>
      </c>
      <c r="D8" s="385"/>
      <c r="F8" s="385"/>
      <c r="H8" s="385"/>
      <c r="J8" s="385"/>
      <c r="L8" s="385"/>
      <c r="N8" s="385"/>
      <c r="P8" s="385"/>
      <c r="R8" s="385"/>
      <c r="T8" s="385"/>
      <c r="V8" s="385"/>
      <c r="X8" s="385"/>
      <c r="Z8" s="385"/>
      <c r="AB8" s="385"/>
      <c r="AD8" s="385"/>
      <c r="AF8" s="385"/>
      <c r="AH8" s="385"/>
      <c r="AJ8" s="385"/>
      <c r="AL8" s="385"/>
      <c r="AN8" s="385"/>
      <c r="AP8" s="385"/>
      <c r="AR8" s="385"/>
      <c r="AT8" s="385"/>
      <c r="AV8" s="385"/>
      <c r="AX8" s="385"/>
      <c r="AZ8" s="385"/>
      <c r="BB8" s="385"/>
      <c r="BD8" s="385"/>
      <c r="BF8" s="385"/>
      <c r="BH8" s="385"/>
      <c r="BJ8" s="385"/>
      <c r="BL8" s="385"/>
      <c r="BN8" s="385"/>
      <c r="BP8" s="385"/>
      <c r="BR8" s="385"/>
      <c r="BT8" s="385"/>
      <c r="BV8" s="385"/>
      <c r="BX8" s="385"/>
      <c r="BZ8" s="385"/>
      <c r="CB8" s="385"/>
      <c r="CD8" s="385"/>
      <c r="CF8" s="385"/>
      <c r="CH8" s="385"/>
      <c r="CJ8" s="385"/>
      <c r="CL8" s="385"/>
      <c r="CM8" s="404">
        <f>CM213+CM248</f>
        <v>211</v>
      </c>
      <c r="CN8" s="409" t="str">
        <f t="shared" si="8"/>
        <v>NA</v>
      </c>
      <c r="CO8" s="404">
        <f>CO213+CO248</f>
        <v>220</v>
      </c>
      <c r="CP8" s="409" t="str">
        <f t="shared" si="9"/>
        <v>NA</v>
      </c>
      <c r="CQ8" s="404">
        <f>CQ213+CQ248</f>
        <v>156</v>
      </c>
      <c r="CR8" s="409" t="str">
        <f t="shared" si="10"/>
        <v>NA</v>
      </c>
      <c r="CS8" s="404">
        <f>CS213+CS248</f>
        <v>182</v>
      </c>
      <c r="CT8" s="409" t="str">
        <f t="shared" si="11"/>
        <v>NA</v>
      </c>
      <c r="CU8" s="404">
        <f>CU213+CU248</f>
        <v>116</v>
      </c>
      <c r="CV8" s="409">
        <f t="shared" si="12"/>
        <v>-45.023696682464454</v>
      </c>
      <c r="CW8" s="404">
        <f>CW213+CW248</f>
        <v>180</v>
      </c>
      <c r="CX8" s="409">
        <f t="shared" si="13"/>
        <v>-18.181818181818173</v>
      </c>
      <c r="CY8" s="404">
        <f>CY213+CY248</f>
        <v>145</v>
      </c>
      <c r="CZ8" s="409">
        <f t="shared" si="14"/>
        <v>-7.051282051282044</v>
      </c>
      <c r="DA8" s="404">
        <f>DA213+DA248</f>
        <v>213</v>
      </c>
      <c r="DB8" s="409">
        <f t="shared" si="15"/>
        <v>17.032967032967036</v>
      </c>
      <c r="DC8" s="404">
        <f>DC213+DC248</f>
        <v>237</v>
      </c>
      <c r="DD8" s="409" t="str">
        <f t="shared" si="16"/>
        <v>NM</v>
      </c>
      <c r="DE8" s="404">
        <f>DE213+DE248</f>
        <v>301</v>
      </c>
      <c r="DF8" s="409">
        <f t="shared" si="17"/>
        <v>67.222222222222229</v>
      </c>
      <c r="DG8" s="404">
        <f>DG213+DG248</f>
        <v>305</v>
      </c>
      <c r="DH8" s="409" t="str">
        <f t="shared" si="18"/>
        <v>NM</v>
      </c>
      <c r="DI8" s="404">
        <f>DI213+DI248</f>
        <v>353</v>
      </c>
      <c r="DJ8" s="409">
        <f t="shared" si="19"/>
        <v>65.727699530516418</v>
      </c>
      <c r="DK8" s="404">
        <f>DK213+DK248</f>
        <v>370</v>
      </c>
      <c r="DL8" s="409">
        <f t="shared" si="20"/>
        <v>56.118143459915615</v>
      </c>
      <c r="DM8" s="404">
        <f>DM213+DM248</f>
        <v>332</v>
      </c>
      <c r="DN8" s="409">
        <f t="shared" si="21"/>
        <v>10.299003322259125</v>
      </c>
      <c r="DO8" s="404">
        <f>DO213+DO248</f>
        <v>183</v>
      </c>
      <c r="DP8" s="409">
        <f t="shared" si="22"/>
        <v>-40</v>
      </c>
      <c r="DQ8" s="404">
        <f>DQ213+DQ248</f>
        <v>353</v>
      </c>
      <c r="DR8" s="409">
        <f t="shared" si="23"/>
        <v>0</v>
      </c>
      <c r="DS8" s="404">
        <f>DS213+DS248</f>
        <v>314</v>
      </c>
      <c r="DT8" s="409">
        <f t="shared" si="24"/>
        <v>-15.13513513513513</v>
      </c>
      <c r="DU8" s="404">
        <f>DU213+DU248</f>
        <v>312</v>
      </c>
      <c r="DV8" s="409">
        <f t="shared" si="25"/>
        <v>-6.0240963855421654</v>
      </c>
      <c r="DW8" s="404">
        <f>DW213+DW248</f>
        <v>286</v>
      </c>
      <c r="DX8" s="409">
        <f t="shared" si="26"/>
        <v>56.284153005464475</v>
      </c>
      <c r="DY8" s="404">
        <f>DY213+DY248</f>
        <v>195</v>
      </c>
      <c r="DZ8" s="409">
        <f t="shared" si="27"/>
        <v>-44.759206798866856</v>
      </c>
      <c r="EA8" s="404">
        <f>EA213+EA248</f>
        <v>245</v>
      </c>
      <c r="EB8" s="409">
        <f t="shared" si="28"/>
        <v>-21.974522292993626</v>
      </c>
      <c r="EC8" s="404">
        <f>EC213+EC248</f>
        <v>325</v>
      </c>
      <c r="ED8" s="409">
        <f t="shared" si="29"/>
        <v>4.1666666666666714</v>
      </c>
      <c r="EE8" s="404">
        <f>EE213+EE248</f>
        <v>301</v>
      </c>
      <c r="EF8" s="409">
        <f t="shared" si="30"/>
        <v>5.2447552447552539</v>
      </c>
      <c r="EG8" s="404">
        <f>EG213+EG248</f>
        <v>361</v>
      </c>
      <c r="EH8" s="409">
        <f t="shared" si="31"/>
        <v>85.128205128205138</v>
      </c>
      <c r="EI8" s="404">
        <f>EI213+EI248</f>
        <v>431</v>
      </c>
      <c r="EJ8" s="409">
        <f t="shared" si="32"/>
        <v>75.918367346938766</v>
      </c>
      <c r="EK8" s="404">
        <f>EK213+EK248</f>
        <v>444</v>
      </c>
      <c r="EL8" s="409">
        <f t="shared" si="33"/>
        <v>36.615384615384613</v>
      </c>
      <c r="EM8" s="404">
        <f>EM213+EM248</f>
        <v>309</v>
      </c>
      <c r="EN8" s="409">
        <f t="shared" si="34"/>
        <v>2.6578073089700922</v>
      </c>
      <c r="EO8" s="404">
        <f>EO213+EO248</f>
        <v>313</v>
      </c>
      <c r="EP8" s="409">
        <f t="shared" si="35"/>
        <v>-13.29639889196676</v>
      </c>
      <c r="EQ8" s="404">
        <f>EQ213+EQ248</f>
        <v>350.73558167286751</v>
      </c>
      <c r="ER8" s="409">
        <f t="shared" si="36"/>
        <v>-18.62283487868504</v>
      </c>
      <c r="ES8" s="404">
        <f>ES213+ES248</f>
        <v>335.04988905634082</v>
      </c>
      <c r="ET8" s="409">
        <f t="shared" si="37"/>
        <v>-24.53831327559891</v>
      </c>
      <c r="EU8" s="404">
        <f>EU213+EU248</f>
        <v>321.01970519265865</v>
      </c>
      <c r="EV8" s="409">
        <f t="shared" si="38"/>
        <v>3.8898722306338556</v>
      </c>
      <c r="EW8" s="404">
        <f>EW213+EW248</f>
        <v>299.06014598105457</v>
      </c>
      <c r="EX8" s="409">
        <f t="shared" si="39"/>
        <v>-4.4536274820911927</v>
      </c>
      <c r="EY8" s="386"/>
      <c r="EZ8" s="299"/>
      <c r="FA8" s="386"/>
      <c r="FB8" s="387"/>
      <c r="FC8" s="385"/>
      <c r="FD8" s="387"/>
      <c r="FE8" s="385"/>
      <c r="FF8" s="388"/>
      <c r="FG8" s="385"/>
      <c r="FH8" s="388"/>
      <c r="FI8" s="385"/>
      <c r="FJ8" s="388"/>
      <c r="FK8" s="385"/>
      <c r="FL8" s="388"/>
      <c r="FM8" s="385"/>
      <c r="FN8" s="388"/>
      <c r="FO8" s="385"/>
      <c r="FP8" s="387"/>
      <c r="FQ8" s="385"/>
      <c r="FR8" s="387"/>
      <c r="FS8" s="385"/>
      <c r="FT8" s="387"/>
      <c r="FU8" s="385"/>
      <c r="FV8" s="387"/>
      <c r="FW8" s="385"/>
      <c r="FX8" s="387"/>
      <c r="FY8" s="385"/>
      <c r="FZ8" s="404">
        <f>FZ213+FZ248</f>
        <v>777</v>
      </c>
      <c r="GA8" s="385"/>
      <c r="GB8" s="404">
        <f>GB213+GB248</f>
        <v>769</v>
      </c>
      <c r="GC8" s="409">
        <f t="shared" si="40"/>
        <v>-1.0296010296010394</v>
      </c>
      <c r="GD8" s="404">
        <f>GD213+GD248</f>
        <v>654</v>
      </c>
      <c r="GE8" s="409">
        <f t="shared" si="41"/>
        <v>-14.954486345903774</v>
      </c>
      <c r="GF8" s="404">
        <f>GF213+GF248</f>
        <v>1196</v>
      </c>
      <c r="GG8" s="784">
        <f t="shared" si="42"/>
        <v>82.874617737003064</v>
      </c>
      <c r="GH8" s="404">
        <f>GH213+GH248</f>
        <v>1238</v>
      </c>
      <c r="GI8" s="784">
        <f t="shared" si="43"/>
        <v>3.5117056856187361</v>
      </c>
      <c r="GJ8" s="404">
        <f>GJ213+GJ248</f>
        <v>1107</v>
      </c>
      <c r="GK8" s="784">
        <f t="shared" si="44"/>
        <v>-10.581583198707591</v>
      </c>
      <c r="GL8" s="404">
        <f>GL213+GL248</f>
        <v>1232</v>
      </c>
      <c r="GM8" s="784">
        <f t="shared" si="45"/>
        <v>11.291779584462503</v>
      </c>
      <c r="GN8" s="404">
        <f>GN213+GN248</f>
        <v>1497</v>
      </c>
      <c r="GO8" s="784">
        <f t="shared" si="46"/>
        <v>21.509740259740255</v>
      </c>
      <c r="GP8" s="404">
        <f>GP213+GP248</f>
        <v>1305.865321902922</v>
      </c>
      <c r="GQ8" s="784">
        <f t="shared" si="46"/>
        <v>-12.767847568275087</v>
      </c>
      <c r="GR8" s="404">
        <f>GR213+GR248</f>
        <v>1342.5536438385088</v>
      </c>
      <c r="GS8" s="784">
        <f t="shared" si="46"/>
        <v>2.8095027351001391</v>
      </c>
      <c r="GT8" s="404">
        <f>GT213+GT248</f>
        <v>1376.5795677804563</v>
      </c>
      <c r="GU8" s="784">
        <f t="shared" si="47"/>
        <v>2.534418203556001</v>
      </c>
      <c r="GV8" s="404">
        <f>GV213+GV248</f>
        <v>1408.7952884427368</v>
      </c>
      <c r="GW8" s="784">
        <f t="shared" si="48"/>
        <v>2.340273051867527</v>
      </c>
      <c r="GX8" s="404">
        <f>GX213+GX248</f>
        <v>1441.7329556187533</v>
      </c>
      <c r="GY8" s="784">
        <f t="shared" si="49"/>
        <v>2.3380023660091354</v>
      </c>
      <c r="GZ8" s="409">
        <f t="shared" si="50"/>
        <v>-0.74952244554367109</v>
      </c>
      <c r="HA8" s="409"/>
      <c r="HB8" s="409"/>
      <c r="HC8"/>
      <c r="HD8"/>
      <c r="HE8"/>
      <c r="HF8"/>
      <c r="HG8"/>
      <c r="HH8"/>
      <c r="HI8" s="273"/>
    </row>
    <row r="9" spans="1:217" s="384" customFormat="1" ht="12.75" customHeight="1" x14ac:dyDescent="0.2">
      <c r="A9" s="383"/>
      <c r="B9" s="402" t="s">
        <v>438</v>
      </c>
      <c r="D9" s="385"/>
      <c r="F9" s="385"/>
      <c r="H9" s="385"/>
      <c r="J9" s="385"/>
      <c r="L9" s="385"/>
      <c r="N9" s="385"/>
      <c r="P9" s="385"/>
      <c r="R9" s="385"/>
      <c r="T9" s="385"/>
      <c r="V9" s="385"/>
      <c r="X9" s="385"/>
      <c r="Z9" s="385"/>
      <c r="AB9" s="385"/>
      <c r="AD9" s="385"/>
      <c r="AF9" s="385"/>
      <c r="AH9" s="385"/>
      <c r="AJ9" s="385"/>
      <c r="AL9" s="385"/>
      <c r="AN9" s="385"/>
      <c r="AP9" s="385"/>
      <c r="AR9" s="385"/>
      <c r="AT9" s="385"/>
      <c r="AV9" s="385"/>
      <c r="AX9" s="385"/>
      <c r="AZ9" s="385"/>
      <c r="BB9" s="385"/>
      <c r="BD9" s="385"/>
      <c r="BF9" s="385"/>
      <c r="BH9" s="385"/>
      <c r="BJ9" s="385"/>
      <c r="BL9" s="385"/>
      <c r="BN9" s="385"/>
      <c r="BP9" s="385"/>
      <c r="BR9" s="385"/>
      <c r="BT9" s="385"/>
      <c r="BV9" s="385"/>
      <c r="BX9" s="385"/>
      <c r="BZ9" s="385"/>
      <c r="CB9" s="385"/>
      <c r="CD9" s="385"/>
      <c r="CF9" s="385"/>
      <c r="CH9" s="385"/>
      <c r="CJ9" s="385"/>
      <c r="CL9" s="385"/>
      <c r="CM9" s="404">
        <f>CM316</f>
        <v>154</v>
      </c>
      <c r="CN9" s="409" t="str">
        <f t="shared" si="8"/>
        <v>NA</v>
      </c>
      <c r="CO9" s="404">
        <f>CO316</f>
        <v>227</v>
      </c>
      <c r="CP9" s="409" t="str">
        <f t="shared" si="9"/>
        <v>NA</v>
      </c>
      <c r="CQ9" s="404">
        <f>CQ316</f>
        <v>123</v>
      </c>
      <c r="CR9" s="409" t="str">
        <f t="shared" si="10"/>
        <v>NA</v>
      </c>
      <c r="CS9" s="404">
        <f>CS316</f>
        <v>256</v>
      </c>
      <c r="CT9" s="409" t="str">
        <f t="shared" si="11"/>
        <v>NA</v>
      </c>
      <c r="CU9" s="404">
        <f>CU316</f>
        <v>147</v>
      </c>
      <c r="CV9" s="409">
        <f t="shared" si="12"/>
        <v>-4.5454545454545467</v>
      </c>
      <c r="CW9" s="404">
        <f>CW316</f>
        <v>55</v>
      </c>
      <c r="CX9" s="409" t="str">
        <f t="shared" si="13"/>
        <v>NM</v>
      </c>
      <c r="CY9" s="404">
        <f>CY316</f>
        <v>197</v>
      </c>
      <c r="CZ9" s="409">
        <f t="shared" si="14"/>
        <v>60.162601626016254</v>
      </c>
      <c r="DA9" s="404">
        <f>DA316</f>
        <v>185</v>
      </c>
      <c r="DB9" s="409">
        <f t="shared" si="15"/>
        <v>-27.734375</v>
      </c>
      <c r="DC9" s="404">
        <f>DC316</f>
        <v>169</v>
      </c>
      <c r="DD9" s="409">
        <f t="shared" si="16"/>
        <v>14.965986394557817</v>
      </c>
      <c r="DE9" s="404">
        <f>DE316</f>
        <v>172</v>
      </c>
      <c r="DF9" s="409" t="str">
        <f t="shared" si="17"/>
        <v>NM</v>
      </c>
      <c r="DG9" s="404">
        <f>DG316</f>
        <v>173</v>
      </c>
      <c r="DH9" s="409">
        <f t="shared" si="18"/>
        <v>-12.182741116751274</v>
      </c>
      <c r="DI9" s="404">
        <f>DI316</f>
        <v>209</v>
      </c>
      <c r="DJ9" s="409">
        <f t="shared" si="19"/>
        <v>12.972972972972968</v>
      </c>
      <c r="DK9" s="404">
        <f>DK316</f>
        <v>193</v>
      </c>
      <c r="DL9" s="409">
        <f t="shared" si="20"/>
        <v>14.201183431952671</v>
      </c>
      <c r="DM9" s="404">
        <f>DM316</f>
        <v>200</v>
      </c>
      <c r="DN9" s="409">
        <f t="shared" si="21"/>
        <v>16.279069767441868</v>
      </c>
      <c r="DO9" s="404">
        <f>DO316</f>
        <v>200</v>
      </c>
      <c r="DP9" s="409">
        <f t="shared" si="22"/>
        <v>15.606936416184979</v>
      </c>
      <c r="DQ9" s="404">
        <f>DQ316</f>
        <v>192</v>
      </c>
      <c r="DR9" s="409">
        <f t="shared" si="23"/>
        <v>-8.1339712918660325</v>
      </c>
      <c r="DS9" s="404">
        <f>DS316</f>
        <v>205</v>
      </c>
      <c r="DT9" s="409">
        <f t="shared" si="24"/>
        <v>6.2176165803108745</v>
      </c>
      <c r="DU9" s="404">
        <f>DU316</f>
        <v>196</v>
      </c>
      <c r="DV9" s="409">
        <f t="shared" si="25"/>
        <v>-2</v>
      </c>
      <c r="DW9" s="404">
        <f>DW316</f>
        <v>180</v>
      </c>
      <c r="DX9" s="409">
        <f t="shared" si="26"/>
        <v>-10</v>
      </c>
      <c r="DY9" s="404">
        <f>DY316</f>
        <v>198</v>
      </c>
      <c r="DZ9" s="409">
        <f t="shared" si="27"/>
        <v>3.125</v>
      </c>
      <c r="EA9" s="404">
        <f>EA316</f>
        <v>165</v>
      </c>
      <c r="EB9" s="409">
        <f t="shared" si="28"/>
        <v>-19.512195121951208</v>
      </c>
      <c r="EC9" s="404">
        <f>EC316</f>
        <v>207</v>
      </c>
      <c r="ED9" s="409">
        <f t="shared" si="29"/>
        <v>5.6122448979591724</v>
      </c>
      <c r="EE9" s="404">
        <f>EE316</f>
        <v>191</v>
      </c>
      <c r="EF9" s="409">
        <f t="shared" si="30"/>
        <v>6.1111111111111143</v>
      </c>
      <c r="EG9" s="404">
        <f>EG316</f>
        <v>224</v>
      </c>
      <c r="EH9" s="409">
        <f t="shared" si="31"/>
        <v>13.131313131313121</v>
      </c>
      <c r="EI9" s="404">
        <f>EI316</f>
        <v>196</v>
      </c>
      <c r="EJ9" s="409">
        <f t="shared" si="32"/>
        <v>18.787878787878796</v>
      </c>
      <c r="EK9" s="404">
        <f>EK316</f>
        <v>218</v>
      </c>
      <c r="EL9" s="409">
        <f t="shared" si="33"/>
        <v>5.3140096618357546</v>
      </c>
      <c r="EM9" s="404">
        <f>EM316</f>
        <v>259</v>
      </c>
      <c r="EN9" s="404">
        <f t="shared" si="34"/>
        <v>35.602094240837687</v>
      </c>
      <c r="EO9" s="404">
        <f>EO316</f>
        <v>306</v>
      </c>
      <c r="EP9" s="409">
        <f t="shared" si="35"/>
        <v>36.607142857142861</v>
      </c>
      <c r="EQ9" s="404">
        <f>EQ316</f>
        <v>248.7617701489836</v>
      </c>
      <c r="ER9" s="409">
        <f t="shared" si="36"/>
        <v>26.9192704841753</v>
      </c>
      <c r="ES9" s="404">
        <f>ES316</f>
        <v>248.08063873696301</v>
      </c>
      <c r="ET9" s="409">
        <f t="shared" si="37"/>
        <v>13.798458136221555</v>
      </c>
      <c r="EU9" s="404">
        <f>EU316</f>
        <v>251.77587255214337</v>
      </c>
      <c r="EV9" s="409">
        <f t="shared" si="38"/>
        <v>-2.7892383968558363</v>
      </c>
      <c r="EW9" s="404">
        <f>EW316</f>
        <v>251.08787798307571</v>
      </c>
      <c r="EX9" s="409">
        <f t="shared" si="39"/>
        <v>-17.945137914027541</v>
      </c>
      <c r="EY9" s="386"/>
      <c r="EZ9" s="299"/>
      <c r="FA9" s="386"/>
      <c r="FB9" s="387"/>
      <c r="FC9" s="385"/>
      <c r="FD9" s="387"/>
      <c r="FE9" s="385"/>
      <c r="FF9" s="388"/>
      <c r="FG9" s="385"/>
      <c r="FH9" s="388"/>
      <c r="FI9" s="385"/>
      <c r="FJ9" s="388"/>
      <c r="FK9" s="385"/>
      <c r="FL9" s="388"/>
      <c r="FM9" s="385"/>
      <c r="FN9" s="388"/>
      <c r="FO9" s="385"/>
      <c r="FP9" s="387"/>
      <c r="FQ9" s="385"/>
      <c r="FR9" s="387"/>
      <c r="FS9" s="385"/>
      <c r="FT9" s="387"/>
      <c r="FU9" s="385"/>
      <c r="FV9" s="387"/>
      <c r="FW9" s="385"/>
      <c r="FX9" s="387"/>
      <c r="FY9" s="385"/>
      <c r="FZ9" s="404">
        <f>FZ316</f>
        <v>487</v>
      </c>
      <c r="GA9" s="385"/>
      <c r="GB9" s="404">
        <f>GB316</f>
        <v>760</v>
      </c>
      <c r="GC9" s="409">
        <f t="shared" si="40"/>
        <v>56.057494866529765</v>
      </c>
      <c r="GD9" s="404">
        <f>GD316</f>
        <v>584</v>
      </c>
      <c r="GE9" s="409">
        <f t="shared" si="41"/>
        <v>-23.15789473684211</v>
      </c>
      <c r="GF9" s="404">
        <f>GF316</f>
        <v>723</v>
      </c>
      <c r="GG9" s="784">
        <f t="shared" si="42"/>
        <v>23.80136986301369</v>
      </c>
      <c r="GH9" s="404">
        <f>GH316</f>
        <v>785</v>
      </c>
      <c r="GI9" s="784">
        <f t="shared" si="43"/>
        <v>8.5753803596127227</v>
      </c>
      <c r="GJ9" s="404">
        <f>GJ316</f>
        <v>779</v>
      </c>
      <c r="GK9" s="784">
        <f t="shared" si="44"/>
        <v>-0.76433121019108796</v>
      </c>
      <c r="GL9" s="404">
        <f>GL316</f>
        <v>787</v>
      </c>
      <c r="GM9" s="784">
        <f t="shared" si="45"/>
        <v>1.0269576379974268</v>
      </c>
      <c r="GN9" s="404">
        <f>GN316</f>
        <v>979</v>
      </c>
      <c r="GO9" s="784">
        <f t="shared" si="46"/>
        <v>24.396442185514616</v>
      </c>
      <c r="GP9" s="404">
        <f>GP316</f>
        <v>999.70615942116592</v>
      </c>
      <c r="GQ9" s="784">
        <f t="shared" si="46"/>
        <v>2.1150316058392065</v>
      </c>
      <c r="GR9" s="404">
        <f>GR316</f>
        <v>1054.0497274759146</v>
      </c>
      <c r="GS9" s="784">
        <f t="shared" si="46"/>
        <v>5.4359541093768655</v>
      </c>
      <c r="GT9" s="404">
        <f>GT316</f>
        <v>1100.2812256602492</v>
      </c>
      <c r="GU9" s="784">
        <f t="shared" si="47"/>
        <v>4.3860832159259928</v>
      </c>
      <c r="GV9" s="404">
        <f>GV316</f>
        <v>1146.0943113049616</v>
      </c>
      <c r="GW9" s="784">
        <f t="shared" si="48"/>
        <v>4.1637614617318519</v>
      </c>
      <c r="GX9" s="404">
        <f>GX316</f>
        <v>1178.6654491965437</v>
      </c>
      <c r="GY9" s="784">
        <f t="shared" si="49"/>
        <v>2.8419247500230682</v>
      </c>
      <c r="GZ9" s="409">
        <f t="shared" si="50"/>
        <v>3.7818892258121739</v>
      </c>
      <c r="HA9" s="409"/>
      <c r="HB9" s="409"/>
      <c r="HC9"/>
      <c r="HD9"/>
      <c r="HE9"/>
      <c r="HF9"/>
      <c r="HG9"/>
      <c r="HH9"/>
      <c r="HI9" s="273"/>
    </row>
    <row r="10" spans="1:217" s="384" customFormat="1" ht="12.75" customHeight="1" x14ac:dyDescent="0.2">
      <c r="A10" s="383"/>
      <c r="B10" s="402" t="s">
        <v>95</v>
      </c>
      <c r="D10" s="385"/>
      <c r="F10" s="385"/>
      <c r="H10" s="385"/>
      <c r="J10" s="385"/>
      <c r="L10" s="385"/>
      <c r="N10" s="385"/>
      <c r="P10" s="385"/>
      <c r="R10" s="385"/>
      <c r="T10" s="385"/>
      <c r="V10" s="385"/>
      <c r="X10" s="385"/>
      <c r="Z10" s="385"/>
      <c r="AB10" s="385"/>
      <c r="AD10" s="385"/>
      <c r="AF10" s="385"/>
      <c r="AH10" s="385"/>
      <c r="AJ10" s="385"/>
      <c r="AL10" s="385"/>
      <c r="AN10" s="385"/>
      <c r="AP10" s="385"/>
      <c r="AR10" s="385"/>
      <c r="AT10" s="385"/>
      <c r="AV10" s="385"/>
      <c r="AX10" s="385"/>
      <c r="AZ10" s="385"/>
      <c r="BB10" s="385"/>
      <c r="BD10" s="385"/>
      <c r="BF10" s="385"/>
      <c r="BH10" s="385"/>
      <c r="BJ10" s="385"/>
      <c r="BL10" s="385"/>
      <c r="BN10" s="385"/>
      <c r="BP10" s="385"/>
      <c r="BR10" s="385"/>
      <c r="BT10" s="385"/>
      <c r="BV10" s="385"/>
      <c r="BX10" s="385"/>
      <c r="BZ10" s="385"/>
      <c r="CB10" s="385"/>
      <c r="CD10" s="385"/>
      <c r="CF10" s="385"/>
      <c r="CH10" s="385"/>
      <c r="CJ10" s="385"/>
      <c r="CL10" s="385"/>
      <c r="CM10" s="404">
        <f>CM383+CM422</f>
        <v>628</v>
      </c>
      <c r="CN10" s="409"/>
      <c r="CO10" s="404">
        <f>CO383+CO422</f>
        <v>500</v>
      </c>
      <c r="CP10" s="409"/>
      <c r="CQ10" s="404">
        <f>CQ383+CQ422</f>
        <v>660</v>
      </c>
      <c r="CR10" s="409"/>
      <c r="CS10" s="404">
        <f>CS383+CS422</f>
        <v>502</v>
      </c>
      <c r="CT10" s="409"/>
      <c r="CU10" s="404">
        <f>CU383+CU422</f>
        <v>597</v>
      </c>
      <c r="CV10" s="409"/>
      <c r="CW10" s="404">
        <f>CW383+CW422</f>
        <v>678</v>
      </c>
      <c r="CX10" s="409"/>
      <c r="CY10" s="404">
        <f>CY383+CY422</f>
        <v>782</v>
      </c>
      <c r="CZ10" s="409"/>
      <c r="DA10" s="404">
        <f>DA383+DA422</f>
        <v>647</v>
      </c>
      <c r="DB10" s="409"/>
      <c r="DC10" s="404">
        <f>DC383+DC422</f>
        <v>877</v>
      </c>
      <c r="DD10" s="409"/>
      <c r="DE10" s="404">
        <f>DE383+DE422</f>
        <v>850</v>
      </c>
      <c r="DF10" s="409"/>
      <c r="DG10" s="404">
        <f>DG383+DG422</f>
        <v>778</v>
      </c>
      <c r="DH10" s="409"/>
      <c r="DI10" s="404">
        <f>DI383+DI422</f>
        <v>647</v>
      </c>
      <c r="DJ10" s="409"/>
      <c r="DK10" s="404">
        <f>DK383+DK422</f>
        <v>837</v>
      </c>
      <c r="DL10" s="409"/>
      <c r="DM10" s="404">
        <f>DM383+DM422</f>
        <v>884</v>
      </c>
      <c r="DN10" s="409"/>
      <c r="DO10" s="404">
        <f>DO383+DO422</f>
        <v>845</v>
      </c>
      <c r="DP10" s="409"/>
      <c r="DQ10" s="404">
        <f>DQ383+DQ422</f>
        <v>686</v>
      </c>
      <c r="DR10" s="409"/>
      <c r="DS10" s="404">
        <f>DS383+DS422</f>
        <v>834</v>
      </c>
      <c r="DT10" s="409"/>
      <c r="DU10" s="404">
        <f>DU383+DU422</f>
        <v>842</v>
      </c>
      <c r="DV10" s="409"/>
      <c r="DW10" s="404">
        <f>DW383+DW422</f>
        <v>812</v>
      </c>
      <c r="DX10" s="409"/>
      <c r="DY10" s="404">
        <f>DY383+DY422</f>
        <v>738</v>
      </c>
      <c r="DZ10" s="409"/>
      <c r="EA10" s="404">
        <f>EA383+EA422</f>
        <v>779</v>
      </c>
      <c r="EB10" s="409"/>
      <c r="EC10" s="404">
        <f>EC383+EC422</f>
        <v>803</v>
      </c>
      <c r="ED10" s="409"/>
      <c r="EE10" s="404">
        <f>EE383+EE422</f>
        <v>780</v>
      </c>
      <c r="EF10" s="409"/>
      <c r="EG10" s="404">
        <f>EG383+EG422</f>
        <v>755</v>
      </c>
      <c r="EH10" s="409"/>
      <c r="EI10" s="404">
        <f>EI383+EI422</f>
        <v>799</v>
      </c>
      <c r="EJ10" s="409"/>
      <c r="EK10" s="404">
        <f>EK383+EK422</f>
        <v>823</v>
      </c>
      <c r="EL10" s="409"/>
      <c r="EM10" s="404">
        <f>EM383+EM422</f>
        <v>799</v>
      </c>
      <c r="EN10" s="404"/>
      <c r="EO10" s="404">
        <f>EO383+EO422</f>
        <v>777</v>
      </c>
      <c r="EP10" s="409"/>
      <c r="EQ10" s="404">
        <f>EQ383+EQ422</f>
        <v>852.70015794827032</v>
      </c>
      <c r="ER10" s="409">
        <f t="shared" si="36"/>
        <v>6.7209208946521102</v>
      </c>
      <c r="ES10" s="404">
        <f>ES383+ES422</f>
        <v>843.72876065871833</v>
      </c>
      <c r="ET10" s="409"/>
      <c r="EU10" s="404">
        <f>EU383+EU422</f>
        <v>813.91301517947613</v>
      </c>
      <c r="EV10" s="409"/>
      <c r="EW10" s="404">
        <f>EW383+EW422</f>
        <v>800.66413558558588</v>
      </c>
      <c r="EX10" s="409"/>
      <c r="EY10" s="386"/>
      <c r="EZ10" s="299"/>
      <c r="FA10" s="386"/>
      <c r="FB10" s="387"/>
      <c r="FC10" s="385"/>
      <c r="FD10" s="387"/>
      <c r="FE10" s="385"/>
      <c r="FF10" s="388"/>
      <c r="FG10" s="385"/>
      <c r="FH10" s="388"/>
      <c r="FI10" s="385"/>
      <c r="FJ10" s="388"/>
      <c r="FK10" s="385"/>
      <c r="FL10" s="388"/>
      <c r="FM10" s="385"/>
      <c r="FN10" s="388"/>
      <c r="FO10" s="385"/>
      <c r="FP10" s="387"/>
      <c r="FQ10" s="385"/>
      <c r="FR10" s="387"/>
      <c r="FS10" s="385"/>
      <c r="FT10" s="387"/>
      <c r="FU10" s="385"/>
      <c r="FV10" s="387"/>
      <c r="FW10" s="385"/>
      <c r="FX10" s="387"/>
      <c r="FY10" s="385"/>
      <c r="FZ10" s="404">
        <f>FZ383+FZ422</f>
        <v>1915</v>
      </c>
      <c r="GA10" s="385"/>
      <c r="GB10" s="404">
        <f>GB383+GB422</f>
        <v>2290</v>
      </c>
      <c r="GC10" s="409"/>
      <c r="GD10" s="404">
        <f>GD383+GD422</f>
        <v>2704</v>
      </c>
      <c r="GE10" s="409"/>
      <c r="GF10" s="404">
        <f>GF383+GF422</f>
        <v>3152</v>
      </c>
      <c r="GG10" s="784"/>
      <c r="GH10" s="404">
        <f>GH383+GH422</f>
        <v>3252</v>
      </c>
      <c r="GI10" s="784"/>
      <c r="GJ10" s="404">
        <f>GJ383+GJ422</f>
        <v>3226</v>
      </c>
      <c r="GK10" s="784"/>
      <c r="GL10" s="404">
        <f>GL383+GL422</f>
        <v>3117</v>
      </c>
      <c r="GM10" s="784"/>
      <c r="GN10" s="404">
        <f>GN383+GN422</f>
        <v>3198</v>
      </c>
      <c r="GO10" s="784"/>
      <c r="GP10" s="404">
        <f>GP383+GP422</f>
        <v>3311.0060693720498</v>
      </c>
      <c r="GQ10" s="784"/>
      <c r="GR10" s="404">
        <f>GR383+GR422</f>
        <v>3389.2492724567583</v>
      </c>
      <c r="GS10" s="784">
        <f t="shared" si="46"/>
        <v>2.3631247253964602</v>
      </c>
      <c r="GT10" s="404">
        <f>GT383+GT422</f>
        <v>3458.8291229184088</v>
      </c>
      <c r="GU10" s="784">
        <f t="shared" si="47"/>
        <v>2.0529575982239265</v>
      </c>
      <c r="GV10" s="404">
        <f>GV383+GV422</f>
        <v>3530.8931708941545</v>
      </c>
      <c r="GW10" s="784">
        <f t="shared" si="48"/>
        <v>2.0834810109075619</v>
      </c>
      <c r="GX10" s="404">
        <f>GX383+GX422</f>
        <v>3605.5345196065246</v>
      </c>
      <c r="GY10" s="784">
        <f t="shared" si="49"/>
        <v>2.1139509211905079</v>
      </c>
      <c r="GZ10" s="409">
        <f t="shared" si="50"/>
        <v>2.4278931342400334</v>
      </c>
      <c r="HA10" s="409"/>
      <c r="HB10" s="409"/>
      <c r="HC10"/>
      <c r="HD10"/>
      <c r="HE10"/>
      <c r="HF10"/>
      <c r="HG10"/>
      <c r="HH10"/>
      <c r="HI10" s="273"/>
    </row>
    <row r="11" spans="1:217" s="384" customFormat="1" ht="12.75" customHeight="1" x14ac:dyDescent="0.2">
      <c r="A11" s="383"/>
      <c r="B11" s="402" t="s">
        <v>689</v>
      </c>
      <c r="D11" s="385"/>
      <c r="F11" s="385"/>
      <c r="H11" s="385"/>
      <c r="J11" s="385"/>
      <c r="L11" s="385"/>
      <c r="N11" s="385"/>
      <c r="P11" s="385"/>
      <c r="R11" s="385"/>
      <c r="T11" s="385"/>
      <c r="V11" s="385"/>
      <c r="X11" s="385"/>
      <c r="Z11" s="385"/>
      <c r="AB11" s="385"/>
      <c r="AD11" s="385"/>
      <c r="AF11" s="385"/>
      <c r="AH11" s="385"/>
      <c r="AJ11" s="385"/>
      <c r="AL11" s="385"/>
      <c r="AN11" s="385"/>
      <c r="AP11" s="385"/>
      <c r="AR11" s="385"/>
      <c r="AT11" s="385"/>
      <c r="AV11" s="385"/>
      <c r="AX11" s="385"/>
      <c r="AZ11" s="385"/>
      <c r="BB11" s="385"/>
      <c r="BD11" s="385"/>
      <c r="BF11" s="385"/>
      <c r="BH11" s="385"/>
      <c r="BJ11" s="385"/>
      <c r="BL11" s="385"/>
      <c r="BN11" s="385"/>
      <c r="BP11" s="385"/>
      <c r="BR11" s="385"/>
      <c r="BT11" s="385"/>
      <c r="BV11" s="385"/>
      <c r="BX11" s="385"/>
      <c r="BZ11" s="385"/>
      <c r="CB11" s="385"/>
      <c r="CD11" s="385"/>
      <c r="CF11" s="385"/>
      <c r="CH11" s="385"/>
      <c r="CJ11" s="385"/>
      <c r="CL11" s="385"/>
      <c r="CM11" s="404">
        <f>CM486</f>
        <v>-269</v>
      </c>
      <c r="CN11" s="409" t="str">
        <f t="shared" si="8"/>
        <v>NA</v>
      </c>
      <c r="CO11" s="404">
        <f>CO486</f>
        <v>-237</v>
      </c>
      <c r="CP11" s="409" t="str">
        <f t="shared" si="9"/>
        <v>NA</v>
      </c>
      <c r="CQ11" s="404">
        <f>CQ486</f>
        <v>-349</v>
      </c>
      <c r="CR11" s="409" t="str">
        <f t="shared" si="10"/>
        <v>NA</v>
      </c>
      <c r="CS11" s="404">
        <f>CS486</f>
        <v>-285</v>
      </c>
      <c r="CT11" s="409" t="str">
        <f t="shared" si="11"/>
        <v>NA</v>
      </c>
      <c r="CU11" s="404">
        <f>CU486</f>
        <v>-326</v>
      </c>
      <c r="CV11" s="409">
        <f t="shared" si="12"/>
        <v>21.189591078066911</v>
      </c>
      <c r="CW11" s="404">
        <f>CW486</f>
        <v>-225</v>
      </c>
      <c r="CX11" s="409">
        <f t="shared" si="13"/>
        <v>-5.0632911392405049</v>
      </c>
      <c r="CY11" s="404">
        <f>CY486</f>
        <v>-414</v>
      </c>
      <c r="CZ11" s="409">
        <f t="shared" si="14"/>
        <v>18.624641833810898</v>
      </c>
      <c r="DA11" s="404">
        <f>DA486</f>
        <v>-372</v>
      </c>
      <c r="DB11" s="409">
        <f t="shared" si="15"/>
        <v>30.526315789473699</v>
      </c>
      <c r="DC11" s="404">
        <f>DC486</f>
        <v>-314</v>
      </c>
      <c r="DD11" s="409">
        <f t="shared" si="16"/>
        <v>-3.6809815950920211</v>
      </c>
      <c r="DE11" s="404">
        <f>DE486</f>
        <v>-347</v>
      </c>
      <c r="DF11" s="409">
        <f t="shared" si="17"/>
        <v>54.222222222222229</v>
      </c>
      <c r="DG11" s="404">
        <f>DG486</f>
        <v>-312</v>
      </c>
      <c r="DH11" s="409">
        <f t="shared" si="18"/>
        <v>-24.637681159420282</v>
      </c>
      <c r="DI11" s="404">
        <f>DI486</f>
        <v>-397</v>
      </c>
      <c r="DJ11" s="409">
        <f t="shared" si="19"/>
        <v>6.7204301075268802</v>
      </c>
      <c r="DK11" s="404">
        <f>DK486</f>
        <v>-342</v>
      </c>
      <c r="DL11" s="409">
        <f t="shared" si="20"/>
        <v>8.9171974522293027</v>
      </c>
      <c r="DM11" s="404">
        <f>DM486</f>
        <v>-341</v>
      </c>
      <c r="DN11" s="409">
        <f t="shared" si="21"/>
        <v>-1.7291066282420786</v>
      </c>
      <c r="DO11" s="404">
        <f>DO486</f>
        <v>-339</v>
      </c>
      <c r="DP11" s="409">
        <f t="shared" si="22"/>
        <v>8.6538461538461462</v>
      </c>
      <c r="DQ11" s="404">
        <f>DQ486</f>
        <v>-326</v>
      </c>
      <c r="DR11" s="409">
        <f t="shared" si="23"/>
        <v>-17.884130982367765</v>
      </c>
      <c r="DS11" s="404">
        <f>DS486</f>
        <v>-253</v>
      </c>
      <c r="DT11" s="409">
        <f t="shared" si="24"/>
        <v>-26.023391812865498</v>
      </c>
      <c r="DU11" s="404">
        <f>DU486</f>
        <v>-294</v>
      </c>
      <c r="DV11" s="409">
        <f t="shared" si="25"/>
        <v>-13.782991202346039</v>
      </c>
      <c r="DW11" s="404">
        <f>DW486</f>
        <v>-308</v>
      </c>
      <c r="DX11" s="409">
        <f t="shared" si="26"/>
        <v>-9.1445427728613566</v>
      </c>
      <c r="DY11" s="404">
        <f>DY486</f>
        <v>-458</v>
      </c>
      <c r="DZ11" s="409">
        <f t="shared" si="27"/>
        <v>40.490797546012288</v>
      </c>
      <c r="EA11" s="404">
        <f>EA486</f>
        <v>-312</v>
      </c>
      <c r="EB11" s="409">
        <f t="shared" si="28"/>
        <v>23.320158102766797</v>
      </c>
      <c r="EC11" s="404">
        <f>EC486</f>
        <v>-415</v>
      </c>
      <c r="ED11" s="409">
        <f t="shared" si="29"/>
        <v>41.156462585034006</v>
      </c>
      <c r="EE11" s="404">
        <f>EE486</f>
        <v>-413</v>
      </c>
      <c r="EF11" s="409">
        <f t="shared" si="30"/>
        <v>34.090909090909093</v>
      </c>
      <c r="EG11" s="404">
        <f>EG486</f>
        <v>-441</v>
      </c>
      <c r="EH11" s="409">
        <f t="shared" si="31"/>
        <v>-3.7117903930131035</v>
      </c>
      <c r="EI11" s="404">
        <f>EI486</f>
        <v>-352</v>
      </c>
      <c r="EJ11" s="409">
        <f t="shared" si="32"/>
        <v>12.820512820512818</v>
      </c>
      <c r="EK11" s="404">
        <f>EK486</f>
        <v>-312</v>
      </c>
      <c r="EL11" s="409">
        <f t="shared" si="33"/>
        <v>-24.819277108433738</v>
      </c>
      <c r="EM11" s="404">
        <f>EM486</f>
        <v>-310</v>
      </c>
      <c r="EN11" s="409">
        <f t="shared" si="34"/>
        <v>-24.939467312348668</v>
      </c>
      <c r="EO11" s="404">
        <f>EO486</f>
        <v>-463</v>
      </c>
      <c r="EP11" s="409">
        <f t="shared" si="35"/>
        <v>4.988662131519277</v>
      </c>
      <c r="EQ11" s="404">
        <f>EQ486</f>
        <v>-360</v>
      </c>
      <c r="ER11" s="409">
        <f t="shared" si="36"/>
        <v>2.2727272727272663</v>
      </c>
      <c r="ES11" s="404">
        <f>ES486</f>
        <v>-340</v>
      </c>
      <c r="ET11" s="409">
        <f t="shared" si="37"/>
        <v>8.9743589743589638</v>
      </c>
      <c r="EU11" s="404">
        <f>EU486</f>
        <v>-320</v>
      </c>
      <c r="EV11" s="409">
        <f t="shared" si="38"/>
        <v>3.2258064516128968</v>
      </c>
      <c r="EW11" s="404">
        <f>EW486</f>
        <v>-430</v>
      </c>
      <c r="EX11" s="409">
        <f t="shared" si="39"/>
        <v>-7.1274298056155487</v>
      </c>
      <c r="EY11" s="386"/>
      <c r="EZ11" s="299"/>
      <c r="FA11" s="386"/>
      <c r="FB11" s="387"/>
      <c r="FC11" s="385"/>
      <c r="FD11" s="387"/>
      <c r="FE11" s="385"/>
      <c r="FF11" s="388"/>
      <c r="FG11" s="385"/>
      <c r="FH11" s="388"/>
      <c r="FI11" s="385"/>
      <c r="FJ11" s="388"/>
      <c r="FK11" s="385"/>
      <c r="FL11" s="388"/>
      <c r="FM11" s="385"/>
      <c r="FN11" s="388"/>
      <c r="FO11" s="385"/>
      <c r="FP11" s="387"/>
      <c r="FQ11" s="385"/>
      <c r="FR11" s="387"/>
      <c r="FS11" s="385"/>
      <c r="FT11" s="387"/>
      <c r="FU11" s="385"/>
      <c r="FV11" s="387"/>
      <c r="FW11" s="385"/>
      <c r="FX11" s="387"/>
      <c r="FY11" s="385"/>
      <c r="FZ11" s="404">
        <f>FZ486</f>
        <v>-949</v>
      </c>
      <c r="GA11" s="385"/>
      <c r="GB11" s="404">
        <f>GB486</f>
        <v>-1140</v>
      </c>
      <c r="GC11" s="409">
        <f t="shared" si="40"/>
        <v>20.126448893572174</v>
      </c>
      <c r="GD11" s="404">
        <f>GD486</f>
        <v>-1337</v>
      </c>
      <c r="GE11" s="409">
        <f t="shared" si="41"/>
        <v>17.280701754385959</v>
      </c>
      <c r="GF11" s="404">
        <f>GF486</f>
        <v>-1370</v>
      </c>
      <c r="GG11" s="784">
        <f t="shared" si="42"/>
        <v>2.4682124158563994</v>
      </c>
      <c r="GH11" s="404">
        <f>GH486</f>
        <v>-1348</v>
      </c>
      <c r="GI11" s="784">
        <f t="shared" si="43"/>
        <v>-1.6058394160584015</v>
      </c>
      <c r="GJ11" s="404">
        <f>GJ486</f>
        <v>-1313</v>
      </c>
      <c r="GK11" s="784">
        <f t="shared" si="44"/>
        <v>-2.5964391691394582</v>
      </c>
      <c r="GL11" s="404">
        <f>GL486</f>
        <v>-1581</v>
      </c>
      <c r="GM11" s="784">
        <f t="shared" si="45"/>
        <v>20.411271896420402</v>
      </c>
      <c r="GN11" s="404">
        <f>GN486</f>
        <v>-1437</v>
      </c>
      <c r="GO11" s="784">
        <f t="shared" si="46"/>
        <v>-9.1081593927893749</v>
      </c>
      <c r="GP11" s="404">
        <f>GP486</f>
        <v>-1450</v>
      </c>
      <c r="GQ11" s="784">
        <f t="shared" si="46"/>
        <v>0.90466249130132326</v>
      </c>
      <c r="GR11" s="404">
        <f>GR486</f>
        <v>-1500.7499999999998</v>
      </c>
      <c r="GS11" s="784">
        <f t="shared" si="46"/>
        <v>3.4999999999999858</v>
      </c>
      <c r="GT11" s="404">
        <f>GT486</f>
        <v>-1545.7724999999998</v>
      </c>
      <c r="GU11" s="784">
        <f t="shared" si="47"/>
        <v>3</v>
      </c>
      <c r="GV11" s="404">
        <f>GV486</f>
        <v>-1592.1456749999998</v>
      </c>
      <c r="GW11" s="784">
        <f t="shared" si="48"/>
        <v>3</v>
      </c>
      <c r="GX11" s="404">
        <f>GX486</f>
        <v>-1641.5021909249997</v>
      </c>
      <c r="GY11" s="784">
        <f t="shared" si="49"/>
        <v>3.0999999999999943</v>
      </c>
      <c r="GZ11" s="409">
        <f t="shared" si="50"/>
        <v>2.6968067130735962</v>
      </c>
      <c r="HA11" s="409"/>
      <c r="HB11" s="409"/>
      <c r="HC11"/>
      <c r="HD11"/>
      <c r="HE11"/>
      <c r="HF11"/>
      <c r="HG11"/>
      <c r="HH11"/>
      <c r="HI11" s="273"/>
    </row>
    <row r="12" spans="1:217" s="377" customFormat="1" ht="12.75" customHeight="1" x14ac:dyDescent="0.2">
      <c r="A12" s="376"/>
      <c r="B12" s="403" t="s">
        <v>467</v>
      </c>
      <c r="D12" s="378"/>
      <c r="F12" s="378"/>
      <c r="H12" s="378"/>
      <c r="J12" s="378"/>
      <c r="L12" s="378"/>
      <c r="N12" s="378"/>
      <c r="P12" s="378"/>
      <c r="R12" s="378"/>
      <c r="T12" s="378"/>
      <c r="V12" s="378"/>
      <c r="X12" s="378"/>
      <c r="Z12" s="378"/>
      <c r="AB12" s="378"/>
      <c r="AD12" s="378"/>
      <c r="AF12" s="378"/>
      <c r="AH12" s="378"/>
      <c r="AJ12" s="378"/>
      <c r="AL12" s="378"/>
      <c r="AN12" s="378"/>
      <c r="AP12" s="378"/>
      <c r="AR12" s="378"/>
      <c r="AT12" s="378"/>
      <c r="AV12" s="378"/>
      <c r="AX12" s="378"/>
      <c r="AZ12" s="378"/>
      <c r="BB12" s="378"/>
      <c r="BD12" s="378"/>
      <c r="BF12" s="378"/>
      <c r="BH12" s="378"/>
      <c r="BJ12" s="378"/>
      <c r="BL12" s="378"/>
      <c r="BN12" s="378"/>
      <c r="BP12" s="378"/>
      <c r="BR12" s="378"/>
      <c r="BT12" s="378"/>
      <c r="BV12" s="378"/>
      <c r="BX12" s="378"/>
      <c r="BZ12" s="378"/>
      <c r="CB12" s="378"/>
      <c r="CD12" s="378"/>
      <c r="CF12" s="378"/>
      <c r="CH12" s="378"/>
      <c r="CJ12" s="378"/>
      <c r="CL12" s="378"/>
      <c r="CM12" s="405">
        <f>CM7+CM8+CM9+CM11+CM10</f>
        <v>1096</v>
      </c>
      <c r="CN12" s="409" t="str">
        <f t="shared" si="8"/>
        <v>NA</v>
      </c>
      <c r="CO12" s="405">
        <f>CO7+CO8+CO9+CO11+CO10</f>
        <v>1052</v>
      </c>
      <c r="CP12" s="409" t="str">
        <f t="shared" si="9"/>
        <v>NA</v>
      </c>
      <c r="CQ12" s="405">
        <f>CQ7+CQ8+CQ9+CQ11+CQ10</f>
        <v>509</v>
      </c>
      <c r="CR12" s="409" t="str">
        <f t="shared" si="10"/>
        <v>NA</v>
      </c>
      <c r="CS12" s="405">
        <f>CS7+CS8+CS9+CS11+CS10</f>
        <v>1166</v>
      </c>
      <c r="CT12" s="409" t="str">
        <f t="shared" si="11"/>
        <v>NA</v>
      </c>
      <c r="CU12" s="405">
        <f>CU7+CU8+CU9+CU11+CU10</f>
        <v>1067</v>
      </c>
      <c r="CV12" s="409">
        <f t="shared" si="12"/>
        <v>-2.6459854014598534</v>
      </c>
      <c r="CW12" s="405">
        <f>CW7+CW8+CW9+CW11+CW10</f>
        <v>856</v>
      </c>
      <c r="CX12" s="409">
        <f t="shared" si="13"/>
        <v>-18.631178707224336</v>
      </c>
      <c r="CY12" s="405">
        <f>CY7+CY8+CY9+CY11+CY10</f>
        <v>1029</v>
      </c>
      <c r="CZ12" s="409" t="str">
        <f t="shared" si="14"/>
        <v>NM</v>
      </c>
      <c r="DA12" s="405">
        <f>DA7+DA8+DA9+DA11+DA10</f>
        <v>1076</v>
      </c>
      <c r="DB12" s="409">
        <f t="shared" si="15"/>
        <v>-7.7186963979416845</v>
      </c>
      <c r="DC12" s="405">
        <f>DC7+DC8+DC9+DC11+DC10</f>
        <v>1478</v>
      </c>
      <c r="DD12" s="409">
        <f t="shared" si="16"/>
        <v>38.519212746016876</v>
      </c>
      <c r="DE12" s="405">
        <f>DE7+DE8+DE9+DE11+DE10</f>
        <v>1517</v>
      </c>
      <c r="DF12" s="409">
        <f t="shared" si="17"/>
        <v>77.219626168224295</v>
      </c>
      <c r="DG12" s="405">
        <f>DG7+DG8+DG9+DG11+DG10</f>
        <v>1913</v>
      </c>
      <c r="DH12" s="409">
        <f t="shared" si="18"/>
        <v>85.908649173955297</v>
      </c>
      <c r="DI12" s="405">
        <f>DI7+DI8+DI9+DI11+DI10</f>
        <v>1461</v>
      </c>
      <c r="DJ12" s="409">
        <f t="shared" si="19"/>
        <v>35.780669144981402</v>
      </c>
      <c r="DK12" s="405">
        <f>DK7+DK8+DK9+DK11+DK10</f>
        <v>1571</v>
      </c>
      <c r="DL12" s="409">
        <f t="shared" si="20"/>
        <v>6.2922868741542572</v>
      </c>
      <c r="DM12" s="405">
        <f>DM7+DM8+DM9+DM11+DM10</f>
        <v>1623</v>
      </c>
      <c r="DN12" s="409">
        <f t="shared" si="21"/>
        <v>6.9874752801582218</v>
      </c>
      <c r="DO12" s="405">
        <f>DO7+DO8+DO9+DO11+DO10</f>
        <v>1353</v>
      </c>
      <c r="DP12" s="409">
        <f t="shared" si="22"/>
        <v>-29.273392577104033</v>
      </c>
      <c r="DQ12" s="405">
        <f>DQ7+DQ8+DQ9+DQ11+DQ10</f>
        <v>1345</v>
      </c>
      <c r="DR12" s="409">
        <f t="shared" si="23"/>
        <v>-7.9397672826830927</v>
      </c>
      <c r="DS12" s="405">
        <f>DS7+DS8+DS9+DS11+DS10</f>
        <v>1745</v>
      </c>
      <c r="DT12" s="409">
        <f t="shared" si="24"/>
        <v>11.075747931253986</v>
      </c>
      <c r="DU12" s="405">
        <f>DU7+DU8+DU9+DU11+DU10</f>
        <v>1841</v>
      </c>
      <c r="DV12" s="409">
        <f t="shared" si="25"/>
        <v>13.431916204559457</v>
      </c>
      <c r="DW12" s="405">
        <f>DW7+DW8+DW9+DW11+DW10</f>
        <v>1463</v>
      </c>
      <c r="DX12" s="409">
        <f t="shared" si="26"/>
        <v>8.1300813008130035</v>
      </c>
      <c r="DY12" s="405">
        <f>DY7+DY8+DY9+DY11+DY10</f>
        <v>1182</v>
      </c>
      <c r="DZ12" s="409">
        <f t="shared" si="27"/>
        <v>-12.118959107806688</v>
      </c>
      <c r="EA12" s="405">
        <f>EA7+EA8+EA9+EA11+EA10</f>
        <v>1325</v>
      </c>
      <c r="EB12" s="409">
        <f t="shared" si="28"/>
        <v>-24.068767908309454</v>
      </c>
      <c r="EC12" s="405">
        <f>EC7+EC8+EC9+EC11+EC10</f>
        <v>1057</v>
      </c>
      <c r="ED12" s="409">
        <f t="shared" si="29"/>
        <v>-42.585551330798474</v>
      </c>
      <c r="EE12" s="405">
        <f>EE7+EE8+EE9+EE11+EE10</f>
        <v>1558</v>
      </c>
      <c r="EF12" s="409">
        <f t="shared" si="30"/>
        <v>6.4935064935064872</v>
      </c>
      <c r="EG12" s="405">
        <f>EG7+EG8+EG9+EG11+EG10</f>
        <v>1459</v>
      </c>
      <c r="EH12" s="409">
        <f t="shared" si="31"/>
        <v>23.434856175972925</v>
      </c>
      <c r="EI12" s="405">
        <f>EI7+EI8+EI9+EI11+EI10</f>
        <v>1660</v>
      </c>
      <c r="EJ12" s="409">
        <f t="shared" si="32"/>
        <v>25.283018867924525</v>
      </c>
      <c r="EK12" s="405">
        <f>EK7+EK8+EK9+EK11+EK10</f>
        <v>1228</v>
      </c>
      <c r="EL12" s="409">
        <f t="shared" si="33"/>
        <v>16.177861873226121</v>
      </c>
      <c r="EM12" s="405">
        <f>EM7+EM8+EM9+EM11+EM10</f>
        <v>1784</v>
      </c>
      <c r="EN12" s="409">
        <f t="shared" si="34"/>
        <v>14.505776636713733</v>
      </c>
      <c r="EO12" s="405">
        <f>EO7+EO8+EO9+EO11+EO10</f>
        <v>1572</v>
      </c>
      <c r="EP12" s="409">
        <f t="shared" si="35"/>
        <v>7.7450308430431818</v>
      </c>
      <c r="EQ12" s="405">
        <f>EQ7+EQ8+EQ9+EQ11+EQ10</f>
        <v>1714.9410197179698</v>
      </c>
      <c r="ER12" s="409">
        <f t="shared" si="36"/>
        <v>3.3096999830102334</v>
      </c>
      <c r="ES12" s="405">
        <f>ES7+ES8+ES9+ES11+ES10</f>
        <v>1724.30578930712</v>
      </c>
      <c r="ET12" s="409">
        <f t="shared" si="37"/>
        <v>40.415780888201937</v>
      </c>
      <c r="EU12" s="405">
        <f>EU7+EU8+EU9+EU11+EU10</f>
        <v>1704.9226454723341</v>
      </c>
      <c r="EV12" s="409">
        <f t="shared" si="38"/>
        <v>-4.4325871372010113</v>
      </c>
      <c r="EW12" s="405">
        <f>EW7+EW8+EW9+EW11+EW10</f>
        <v>1537.9404567817808</v>
      </c>
      <c r="EX12" s="409">
        <f t="shared" si="39"/>
        <v>-2.1666376093014748</v>
      </c>
      <c r="EY12" s="379"/>
      <c r="EZ12" s="411"/>
      <c r="FA12" s="379"/>
      <c r="FB12" s="380"/>
      <c r="FC12" s="378"/>
      <c r="FD12" s="380"/>
      <c r="FE12" s="378"/>
      <c r="FF12" s="381"/>
      <c r="FG12" s="378"/>
      <c r="FH12" s="381"/>
      <c r="FI12" s="378"/>
      <c r="FJ12" s="381"/>
      <c r="FK12" s="378"/>
      <c r="FL12" s="381"/>
      <c r="FM12" s="378"/>
      <c r="FN12" s="381"/>
      <c r="FO12" s="378"/>
      <c r="FP12" s="380"/>
      <c r="FQ12" s="378"/>
      <c r="FR12" s="380"/>
      <c r="FS12" s="378"/>
      <c r="FT12" s="380"/>
      <c r="FU12" s="378"/>
      <c r="FV12" s="380"/>
      <c r="FW12" s="378"/>
      <c r="FX12" s="380"/>
      <c r="FY12" s="378"/>
      <c r="FZ12" s="405">
        <f>FZ7+FZ8+FZ9+FZ11+FZ10</f>
        <v>3662</v>
      </c>
      <c r="GA12" s="378"/>
      <c r="GB12" s="405">
        <f>GB7+GB8+GB9+GB11+GB10</f>
        <v>3823</v>
      </c>
      <c r="GC12" s="409">
        <f t="shared" si="40"/>
        <v>4.3965046422719922</v>
      </c>
      <c r="GD12" s="405">
        <f>GD7+GD8+GD9+GD11+GD10</f>
        <v>4028</v>
      </c>
      <c r="GE12" s="409">
        <f t="shared" si="41"/>
        <v>5.3622809312058592</v>
      </c>
      <c r="GF12" s="405">
        <f>GF7+GF8+GF9+GF11+GF10</f>
        <v>6369</v>
      </c>
      <c r="GG12" s="784">
        <f t="shared" si="42"/>
        <v>58.11817279046673</v>
      </c>
      <c r="GH12" s="405">
        <f>GH7+GH8+GH9+GH11+GH10</f>
        <v>5892</v>
      </c>
      <c r="GI12" s="784">
        <f t="shared" si="43"/>
        <v>-7.4894017899199241</v>
      </c>
      <c r="GJ12" s="405">
        <f>GJ7+GJ8+GJ9+GJ11+GJ10</f>
        <v>6231</v>
      </c>
      <c r="GK12" s="784">
        <f t="shared" si="44"/>
        <v>5.7535641547861616</v>
      </c>
      <c r="GL12" s="405">
        <f>GL7+GL8+GL9+GL11+GL10</f>
        <v>5399</v>
      </c>
      <c r="GM12" s="784">
        <f t="shared" si="45"/>
        <v>-13.35259187931311</v>
      </c>
      <c r="GN12" s="405">
        <f>GN7+GN8+GN9+GN11+GN10</f>
        <v>6244</v>
      </c>
      <c r="GO12" s="784">
        <f t="shared" si="46"/>
        <v>15.651046490090749</v>
      </c>
      <c r="GP12" s="405">
        <f>GP7+GP8+GP9+GP11+GP10</f>
        <v>6682.1099112792035</v>
      </c>
      <c r="GQ12" s="784">
        <f t="shared" si="46"/>
        <v>7.0164944151057682</v>
      </c>
      <c r="GR12" s="405">
        <f>GR7+GR8+GR9+GR11+GR10</f>
        <v>6763.3154899509773</v>
      </c>
      <c r="GS12" s="784">
        <f t="shared" si="46"/>
        <v>1.2152685267074332</v>
      </c>
      <c r="GT12" s="405">
        <f>GT7+GT8+GT9+GT11+GT10</f>
        <v>6833.5605709238998</v>
      </c>
      <c r="GU12" s="784">
        <f t="shared" si="47"/>
        <v>1.0386190186942201</v>
      </c>
      <c r="GV12" s="405">
        <f>GV7+GV8+GV9+GV11+GV10</f>
        <v>6911.8040872976526</v>
      </c>
      <c r="GW12" s="784">
        <f t="shared" si="48"/>
        <v>1.1449889930978543</v>
      </c>
      <c r="GX12" s="405">
        <f>GX7+GX8+GX9+GX11+GX10</f>
        <v>6979.8482302145721</v>
      </c>
      <c r="GY12" s="784">
        <f t="shared" si="49"/>
        <v>0.98446284150284669</v>
      </c>
      <c r="GZ12" s="409">
        <f t="shared" si="50"/>
        <v>2.2531314682770365</v>
      </c>
      <c r="HA12" s="409"/>
      <c r="HB12" s="409"/>
      <c r="HC12"/>
      <c r="HD12"/>
      <c r="HE12"/>
      <c r="HF12"/>
      <c r="HG12"/>
      <c r="HH12"/>
      <c r="HI12" s="382"/>
    </row>
    <row r="13" spans="1:217" s="273" customFormat="1" ht="12.75" customHeight="1" x14ac:dyDescent="0.2">
      <c r="B13" s="402" t="s">
        <v>260</v>
      </c>
      <c r="CM13" s="406">
        <f>CM550</f>
        <v>296</v>
      </c>
      <c r="CN13" s="410" t="str">
        <f t="shared" si="8"/>
        <v>NA</v>
      </c>
      <c r="CO13" s="406">
        <f>CO550</f>
        <v>279</v>
      </c>
      <c r="CP13" s="410" t="str">
        <f t="shared" si="9"/>
        <v>NA</v>
      </c>
      <c r="CQ13" s="406">
        <f>CQ550</f>
        <v>103</v>
      </c>
      <c r="CR13" s="410" t="str">
        <f t="shared" si="10"/>
        <v>NA</v>
      </c>
      <c r="CS13" s="406">
        <f>CS550</f>
        <v>311</v>
      </c>
      <c r="CT13" s="410" t="str">
        <f t="shared" si="11"/>
        <v>NA</v>
      </c>
      <c r="CU13" s="406">
        <f>CU550</f>
        <v>283</v>
      </c>
      <c r="CV13" s="410">
        <f t="shared" si="12"/>
        <v>-4.3918918918919019</v>
      </c>
      <c r="CW13" s="406">
        <f>CW550</f>
        <v>205</v>
      </c>
      <c r="CX13" s="410">
        <f t="shared" si="13"/>
        <v>-26.523297491039415</v>
      </c>
      <c r="CY13" s="406">
        <f>CY550</f>
        <v>270</v>
      </c>
      <c r="CZ13" s="410" t="str">
        <f t="shared" si="14"/>
        <v>NM</v>
      </c>
      <c r="DA13" s="406">
        <f>DA550</f>
        <v>245</v>
      </c>
      <c r="DB13" s="410">
        <f t="shared" si="15"/>
        <v>-21.221864951768481</v>
      </c>
      <c r="DC13" s="406">
        <f>DC550</f>
        <v>406</v>
      </c>
      <c r="DD13" s="410">
        <f t="shared" si="16"/>
        <v>43.462897526501763</v>
      </c>
      <c r="DE13" s="406">
        <f>DE550</f>
        <v>424</v>
      </c>
      <c r="DF13" s="410" t="str">
        <f t="shared" si="17"/>
        <v>NM</v>
      </c>
      <c r="DG13" s="406">
        <f>DG550</f>
        <v>540</v>
      </c>
      <c r="DH13" s="410">
        <f t="shared" si="18"/>
        <v>100</v>
      </c>
      <c r="DI13" s="406">
        <f>DI550</f>
        <v>413</v>
      </c>
      <c r="DJ13" s="410">
        <f t="shared" si="19"/>
        <v>68.571428571428584</v>
      </c>
      <c r="DK13" s="406">
        <f>DK550</f>
        <v>434</v>
      </c>
      <c r="DL13" s="410">
        <f t="shared" si="20"/>
        <v>6.8965517241379217</v>
      </c>
      <c r="DM13" s="406">
        <f>DM550</f>
        <v>447</v>
      </c>
      <c r="DN13" s="410">
        <f t="shared" si="21"/>
        <v>5.4245283018867951</v>
      </c>
      <c r="DO13" s="406">
        <f>DO550</f>
        <v>319</v>
      </c>
      <c r="DP13" s="410">
        <f t="shared" si="22"/>
        <v>-40.925925925925924</v>
      </c>
      <c r="DQ13" s="406">
        <f>DQ550</f>
        <v>337</v>
      </c>
      <c r="DR13" s="410">
        <f t="shared" si="23"/>
        <v>-18.401937046004846</v>
      </c>
      <c r="DS13" s="406">
        <f>DS550</f>
        <v>447</v>
      </c>
      <c r="DT13" s="410">
        <f t="shared" si="24"/>
        <v>2.9953917050691246</v>
      </c>
      <c r="DU13" s="406">
        <f>DU550</f>
        <v>491</v>
      </c>
      <c r="DV13" s="410">
        <f t="shared" si="25"/>
        <v>9.8434004474272854</v>
      </c>
      <c r="DW13" s="406">
        <f>DW550</f>
        <v>353</v>
      </c>
      <c r="DX13" s="410">
        <f t="shared" si="26"/>
        <v>10.658307210031339</v>
      </c>
      <c r="DY13" s="406">
        <f>DY550</f>
        <v>291</v>
      </c>
      <c r="DZ13" s="410">
        <f t="shared" si="27"/>
        <v>-13.649851632047486</v>
      </c>
      <c r="EA13" s="406">
        <f>EA550</f>
        <v>328</v>
      </c>
      <c r="EB13" s="410">
        <f t="shared" si="28"/>
        <v>-26.621923937360179</v>
      </c>
      <c r="EC13" s="406">
        <f>EC550</f>
        <v>228</v>
      </c>
      <c r="ED13" s="410" t="str">
        <f t="shared" si="29"/>
        <v>NM</v>
      </c>
      <c r="EE13" s="406">
        <f>EE550</f>
        <v>367</v>
      </c>
      <c r="EF13" s="410">
        <f t="shared" si="30"/>
        <v>3.9660056657223777</v>
      </c>
      <c r="EG13" s="406">
        <f>EG550</f>
        <v>369</v>
      </c>
      <c r="EH13" s="410">
        <f t="shared" si="31"/>
        <v>26.804123711340196</v>
      </c>
      <c r="EI13" s="406">
        <f>EI550</f>
        <v>423</v>
      </c>
      <c r="EJ13" s="410">
        <f t="shared" si="32"/>
        <v>28.963414634146346</v>
      </c>
      <c r="EK13" s="406">
        <f>EK550</f>
        <v>309</v>
      </c>
      <c r="EL13" s="410">
        <f t="shared" si="33"/>
        <v>35.526315789473699</v>
      </c>
      <c r="EM13" s="406">
        <f>EM550</f>
        <v>461</v>
      </c>
      <c r="EN13" s="410">
        <f t="shared" si="34"/>
        <v>25.613079019073567</v>
      </c>
      <c r="EO13" s="406">
        <f>EO550</f>
        <v>399</v>
      </c>
      <c r="EP13" s="410">
        <f t="shared" si="35"/>
        <v>8.1300813008130035</v>
      </c>
      <c r="EQ13" s="406">
        <f t="shared" ref="EQ13" si="51">EQ550</f>
        <v>377.28702433795343</v>
      </c>
      <c r="ER13" s="410">
        <f t="shared" si="36"/>
        <v>-10.80685003830888</v>
      </c>
      <c r="ES13" s="406">
        <f t="shared" ref="ES13" si="52">ES550</f>
        <v>379.3472736475664</v>
      </c>
      <c r="ET13" s="410">
        <f t="shared" si="37"/>
        <v>22.766107976558715</v>
      </c>
      <c r="EU13" s="406">
        <f t="shared" ref="EU13" si="53">EU550</f>
        <v>375.08298200391351</v>
      </c>
      <c r="EV13" s="410">
        <f t="shared" si="38"/>
        <v>-18.637097179194456</v>
      </c>
      <c r="EW13" s="406">
        <f t="shared" ref="EW13" si="54">EW550</f>
        <v>338.34690049199179</v>
      </c>
      <c r="EX13" s="410">
        <f t="shared" si="39"/>
        <v>-15.201278072182518</v>
      </c>
      <c r="EZ13" s="347"/>
      <c r="FZ13" s="406">
        <f>FZ550</f>
        <v>1613</v>
      </c>
      <c r="GB13" s="406">
        <f>GB550</f>
        <v>1537</v>
      </c>
      <c r="GC13" s="410">
        <f t="shared" si="40"/>
        <v>-4.7117172969621777</v>
      </c>
      <c r="GD13" s="406">
        <f>GD550</f>
        <v>1550</v>
      </c>
      <c r="GE13" s="410">
        <f t="shared" si="41"/>
        <v>0.84580351333767112</v>
      </c>
      <c r="GF13" s="406">
        <f>GF550</f>
        <v>1594</v>
      </c>
      <c r="GG13" s="785">
        <f t="shared" si="42"/>
        <v>2.8387096774193452</v>
      </c>
      <c r="GH13" s="406">
        <f>GH550</f>
        <v>1628</v>
      </c>
      <c r="GI13" s="785">
        <f t="shared" si="43"/>
        <v>2.1329987452948416</v>
      </c>
      <c r="GJ13" s="406">
        <f>GJ550</f>
        <v>1582</v>
      </c>
      <c r="GK13" s="785">
        <f t="shared" si="44"/>
        <v>-2.8255528255528191</v>
      </c>
      <c r="GL13" s="406">
        <f>GL550</f>
        <v>1292</v>
      </c>
      <c r="GM13" s="785">
        <f t="shared" si="45"/>
        <v>-18.33122629582806</v>
      </c>
      <c r="GN13" s="406">
        <f>GN550</f>
        <v>1592</v>
      </c>
      <c r="GO13" s="785">
        <f t="shared" si="46"/>
        <v>23.219814241486063</v>
      </c>
      <c r="GP13" s="406">
        <f>GP550</f>
        <v>1470.0641804814252</v>
      </c>
      <c r="GQ13" s="785">
        <f t="shared" si="46"/>
        <v>-7.6592851456391173</v>
      </c>
      <c r="GR13" s="406">
        <f>GR550</f>
        <v>1487.9294077892152</v>
      </c>
      <c r="GS13" s="785">
        <f t="shared" si="46"/>
        <v>1.215268526707419</v>
      </c>
      <c r="GT13" s="406">
        <f>GT550</f>
        <v>1503.3833256032583</v>
      </c>
      <c r="GU13" s="785">
        <f t="shared" si="47"/>
        <v>1.0386190186942201</v>
      </c>
      <c r="GV13" s="406">
        <f>GV550</f>
        <v>1520.5968992054839</v>
      </c>
      <c r="GW13" s="785">
        <f t="shared" si="48"/>
        <v>1.1449889930978259</v>
      </c>
      <c r="GX13" s="406">
        <f>GX550</f>
        <v>1535.5666106472063</v>
      </c>
      <c r="GY13" s="785">
        <f t="shared" si="49"/>
        <v>0.98446284150284669</v>
      </c>
      <c r="GZ13" s="410">
        <f t="shared" si="50"/>
        <v>-0.71923398389063253</v>
      </c>
      <c r="HA13" s="410"/>
      <c r="HB13" s="410"/>
      <c r="HC13"/>
      <c r="HD13"/>
      <c r="HE13"/>
      <c r="HF13"/>
      <c r="HG13"/>
      <c r="HH13"/>
    </row>
    <row r="14" spans="1:217" s="382" customFormat="1" ht="12.75" hidden="1" customHeight="1" outlineLevel="1" x14ac:dyDescent="0.2">
      <c r="B14" s="403" t="s">
        <v>468</v>
      </c>
      <c r="CM14" s="407">
        <f>CM12-CM13</f>
        <v>800</v>
      </c>
      <c r="CN14" s="410" t="str">
        <f t="shared" si="8"/>
        <v>NA</v>
      </c>
      <c r="CO14" s="407">
        <f>CO12-CO13</f>
        <v>773</v>
      </c>
      <c r="CP14" s="410" t="str">
        <f t="shared" si="9"/>
        <v>NA</v>
      </c>
      <c r="CQ14" s="407">
        <f>CQ12-CQ13</f>
        <v>406</v>
      </c>
      <c r="CR14" s="410" t="str">
        <f t="shared" si="10"/>
        <v>NA</v>
      </c>
      <c r="CS14" s="407">
        <f>CS12-CS13</f>
        <v>855</v>
      </c>
      <c r="CT14" s="410" t="str">
        <f t="shared" si="11"/>
        <v>NA</v>
      </c>
      <c r="CU14" s="407">
        <f>CU12-CU13</f>
        <v>784</v>
      </c>
      <c r="CV14" s="410">
        <f t="shared" si="12"/>
        <v>-2</v>
      </c>
      <c r="CW14" s="407">
        <f>CW12-CW13</f>
        <v>651</v>
      </c>
      <c r="CX14" s="410">
        <f t="shared" si="13"/>
        <v>-15.782664941785256</v>
      </c>
      <c r="CY14" s="407">
        <f>CY12-CY13</f>
        <v>759</v>
      </c>
      <c r="CZ14" s="410">
        <f t="shared" si="14"/>
        <v>86.945812807881794</v>
      </c>
      <c r="DA14" s="407">
        <f>DA12-DA13</f>
        <v>831</v>
      </c>
      <c r="DB14" s="410">
        <f t="shared" si="15"/>
        <v>-2.8070175438596436</v>
      </c>
      <c r="DC14" s="407">
        <f>DC12-DC13</f>
        <v>1072</v>
      </c>
      <c r="DD14" s="410">
        <f t="shared" si="16"/>
        <v>36.734693877551024</v>
      </c>
      <c r="DE14" s="407">
        <f>DE12-DE13</f>
        <v>1093</v>
      </c>
      <c r="DF14" s="410">
        <f t="shared" si="17"/>
        <v>67.895545314900176</v>
      </c>
      <c r="DG14" s="407">
        <f>DG12-DG13</f>
        <v>1373</v>
      </c>
      <c r="DH14" s="410">
        <f t="shared" si="18"/>
        <v>80.895915678524375</v>
      </c>
      <c r="DI14" s="407">
        <f>DI12-DI13</f>
        <v>1048</v>
      </c>
      <c r="DJ14" s="410">
        <f t="shared" si="19"/>
        <v>26.113116726835145</v>
      </c>
      <c r="DK14" s="407">
        <f>DK12-DK13</f>
        <v>1137</v>
      </c>
      <c r="DL14" s="410">
        <f t="shared" si="20"/>
        <v>6.0634328358208904</v>
      </c>
      <c r="DM14" s="407">
        <f>DM12-DM13</f>
        <v>1176</v>
      </c>
      <c r="DN14" s="410">
        <f t="shared" si="21"/>
        <v>7.5937785910338533</v>
      </c>
      <c r="DO14" s="407">
        <f>DO12-DO13</f>
        <v>1034</v>
      </c>
      <c r="DP14" s="410">
        <f t="shared" si="22"/>
        <v>-24.690458849235256</v>
      </c>
      <c r="DQ14" s="407">
        <f>DQ12-DQ13</f>
        <v>1008</v>
      </c>
      <c r="DR14" s="410">
        <f t="shared" si="23"/>
        <v>-3.8167938931297698</v>
      </c>
      <c r="DS14" s="407">
        <f>DS12-DS13</f>
        <v>1298</v>
      </c>
      <c r="DT14" s="410">
        <f t="shared" si="24"/>
        <v>14.16007036059807</v>
      </c>
      <c r="DU14" s="407">
        <f>DU12-DU13</f>
        <v>1350</v>
      </c>
      <c r="DV14" s="410">
        <f t="shared" si="25"/>
        <v>14.795918367346957</v>
      </c>
      <c r="DW14" s="407">
        <f>DW12-DW13</f>
        <v>1110</v>
      </c>
      <c r="DX14" s="410">
        <f t="shared" si="26"/>
        <v>7.3500967117988409</v>
      </c>
      <c r="DY14" s="407">
        <f>DY12-DY13</f>
        <v>891</v>
      </c>
      <c r="DZ14" s="410">
        <f t="shared" si="27"/>
        <v>-11.607142857142861</v>
      </c>
      <c r="EA14" s="407">
        <f>EA12-EA13</f>
        <v>997</v>
      </c>
      <c r="EB14" s="410">
        <f t="shared" si="28"/>
        <v>-23.18952234206472</v>
      </c>
      <c r="EC14" s="407">
        <f>EC12-EC13</f>
        <v>829</v>
      </c>
      <c r="ED14" s="410">
        <f t="shared" si="29"/>
        <v>-38.592592592592588</v>
      </c>
      <c r="EE14" s="407">
        <f>EE12-EE13</f>
        <v>1191</v>
      </c>
      <c r="EF14" s="410">
        <f t="shared" si="30"/>
        <v>7.2972972972972912</v>
      </c>
      <c r="EG14" s="407">
        <f>EG12-EG13</f>
        <v>1090</v>
      </c>
      <c r="EH14" s="410">
        <f t="shared" si="31"/>
        <v>22.334455667789001</v>
      </c>
      <c r="EI14" s="407">
        <f>EI12-EI13</f>
        <v>1237</v>
      </c>
      <c r="EJ14" s="410">
        <f t="shared" si="32"/>
        <v>24.072216649949851</v>
      </c>
      <c r="EK14" s="407">
        <f>EK12-EK13</f>
        <v>919</v>
      </c>
      <c r="EL14" s="410">
        <f t="shared" si="33"/>
        <v>10.856453558504214</v>
      </c>
      <c r="EM14" s="407">
        <f>EM12-EM13</f>
        <v>1323</v>
      </c>
      <c r="EN14" s="410">
        <f t="shared" si="34"/>
        <v>11.08312342569269</v>
      </c>
      <c r="EO14" s="407">
        <f>EO12-EO13</f>
        <v>1173</v>
      </c>
      <c r="EP14" s="410">
        <f t="shared" si="35"/>
        <v>7.6146788990825627</v>
      </c>
      <c r="EQ14" s="407">
        <f t="shared" ref="EQ14" si="55">EQ12-EQ13</f>
        <v>1337.6539953800163</v>
      </c>
      <c r="ER14" s="410">
        <f t="shared" si="36"/>
        <v>8.1369438464039092</v>
      </c>
      <c r="ES14" s="407">
        <f t="shared" ref="ES14" si="56">ES12-ES13</f>
        <v>1344.9585156595535</v>
      </c>
      <c r="ET14" s="410">
        <f t="shared" si="37"/>
        <v>46.350219331833898</v>
      </c>
      <c r="EU14" s="407">
        <f t="shared" ref="EU14" si="57">EU12-EU13</f>
        <v>1329.8396634684207</v>
      </c>
      <c r="EV14" s="410">
        <f t="shared" si="38"/>
        <v>0.51698136571584996</v>
      </c>
      <c r="EW14" s="407">
        <f t="shared" ref="EW14" si="58">EW12-EW13</f>
        <v>1199.5935562897889</v>
      </c>
      <c r="EX14" s="410">
        <f t="shared" si="39"/>
        <v>2.2671403486606039</v>
      </c>
      <c r="EZ14" s="412"/>
      <c r="FZ14" s="407">
        <f>FZ12-FZ13</f>
        <v>2049</v>
      </c>
      <c r="GB14" s="407">
        <f>GB12-GB13</f>
        <v>2286</v>
      </c>
      <c r="GC14" s="410">
        <f t="shared" si="40"/>
        <v>11.566617862371899</v>
      </c>
      <c r="GD14" s="407">
        <f>GD12-GD13</f>
        <v>2478</v>
      </c>
      <c r="GE14" s="410">
        <f t="shared" si="41"/>
        <v>8.3989501312335904</v>
      </c>
      <c r="GF14" s="407">
        <f>GF12-GF13</f>
        <v>4775</v>
      </c>
      <c r="GG14" s="785">
        <f t="shared" si="42"/>
        <v>92.69572235673931</v>
      </c>
      <c r="GH14" s="407">
        <f>GH12-GH13</f>
        <v>4264</v>
      </c>
      <c r="GI14" s="785">
        <f t="shared" si="43"/>
        <v>-10.701570680628265</v>
      </c>
      <c r="GJ14" s="407">
        <f>GJ12-GJ13</f>
        <v>4649</v>
      </c>
      <c r="GK14" s="785">
        <f t="shared" si="44"/>
        <v>9.0290806754221364</v>
      </c>
      <c r="GL14" s="407">
        <f>GL12-GL13</f>
        <v>4107</v>
      </c>
      <c r="GM14" s="785">
        <f t="shared" si="45"/>
        <v>-11.658421165842114</v>
      </c>
      <c r="GN14" s="407">
        <f>GN12-GN13</f>
        <v>4652</v>
      </c>
      <c r="GO14" s="785">
        <f t="shared" si="46"/>
        <v>13.270026783540303</v>
      </c>
      <c r="GP14" s="407">
        <f>GP12-GP13</f>
        <v>5212.0457307977786</v>
      </c>
      <c r="GQ14" s="785">
        <f t="shared" si="46"/>
        <v>12.038816225231713</v>
      </c>
      <c r="GR14" s="407">
        <f>GR12-GR13</f>
        <v>5275.3860821617618</v>
      </c>
      <c r="GS14" s="785">
        <f t="shared" si="46"/>
        <v>1.215268526707419</v>
      </c>
      <c r="GT14" s="407">
        <f>GT12-GT13</f>
        <v>5330.1772453206413</v>
      </c>
      <c r="GU14" s="785">
        <f t="shared" si="47"/>
        <v>1.0386190186942201</v>
      </c>
      <c r="GV14" s="407">
        <f>GV12-GV13</f>
        <v>5391.2071880921685</v>
      </c>
      <c r="GW14" s="785">
        <f t="shared" si="48"/>
        <v>1.1449889930978543</v>
      </c>
      <c r="GX14" s="407">
        <f>GX12-GX13</f>
        <v>5444.2816195673659</v>
      </c>
      <c r="GY14" s="785">
        <f t="shared" si="49"/>
        <v>0.98446284150284669</v>
      </c>
      <c r="GZ14" s="410">
        <f t="shared" si="50"/>
        <v>3.1953611355479472</v>
      </c>
      <c r="HA14" s="410"/>
      <c r="HB14" s="410"/>
      <c r="HC14"/>
      <c r="HD14"/>
      <c r="HE14"/>
      <c r="HF14"/>
      <c r="HG14"/>
      <c r="HH14"/>
    </row>
    <row r="15" spans="1:217" s="273" customFormat="1" ht="12.75" hidden="1" customHeight="1" outlineLevel="1" x14ac:dyDescent="0.2">
      <c r="B15" s="402" t="s">
        <v>401</v>
      </c>
      <c r="CM15" s="406">
        <f>CM545</f>
        <v>0</v>
      </c>
      <c r="CN15" s="410" t="str">
        <f t="shared" si="8"/>
        <v>NA</v>
      </c>
      <c r="CO15" s="406">
        <f>CO545</f>
        <v>2</v>
      </c>
      <c r="CP15" s="410" t="str">
        <f t="shared" si="9"/>
        <v>NA</v>
      </c>
      <c r="CQ15" s="406">
        <f>CQ545</f>
        <v>4</v>
      </c>
      <c r="CR15" s="410" t="str">
        <f t="shared" si="10"/>
        <v>NA</v>
      </c>
      <c r="CS15" s="406">
        <f>CS545</f>
        <v>-4</v>
      </c>
      <c r="CT15" s="410" t="str">
        <f t="shared" si="11"/>
        <v>NA</v>
      </c>
      <c r="CU15" s="406">
        <f>CU545</f>
        <v>6</v>
      </c>
      <c r="CV15" s="410" t="str">
        <f t="shared" si="12"/>
        <v>NA</v>
      </c>
      <c r="CW15" s="406">
        <f>CW545</f>
        <v>6</v>
      </c>
      <c r="CX15" s="410" t="str">
        <f t="shared" si="13"/>
        <v>NM</v>
      </c>
      <c r="CY15" s="406">
        <f>CY545</f>
        <v>-3</v>
      </c>
      <c r="CZ15" s="410" t="str">
        <f t="shared" si="14"/>
        <v>NM</v>
      </c>
      <c r="DA15" s="406">
        <f>DA545</f>
        <v>-3</v>
      </c>
      <c r="DB15" s="410">
        <f t="shared" si="15"/>
        <v>-25</v>
      </c>
      <c r="DC15" s="406">
        <f>DC545</f>
        <v>-3</v>
      </c>
      <c r="DD15" s="410" t="str">
        <f t="shared" si="16"/>
        <v>NM</v>
      </c>
      <c r="DE15" s="406">
        <f>DE545</f>
        <v>-5</v>
      </c>
      <c r="DF15" s="410" t="str">
        <f t="shared" si="17"/>
        <v>NM</v>
      </c>
      <c r="DG15" s="406">
        <f>DG545</f>
        <v>-7</v>
      </c>
      <c r="DH15" s="410" t="str">
        <f t="shared" si="18"/>
        <v>NM</v>
      </c>
      <c r="DI15" s="406">
        <f>DI545</f>
        <v>-10</v>
      </c>
      <c r="DJ15" s="410" t="str">
        <f t="shared" si="19"/>
        <v>NM</v>
      </c>
      <c r="DK15" s="406">
        <f>DK545</f>
        <v>-2</v>
      </c>
      <c r="DL15" s="410">
        <f t="shared" si="20"/>
        <v>-33.333333333333343</v>
      </c>
      <c r="DM15" s="406">
        <f>DM545</f>
        <v>-3</v>
      </c>
      <c r="DN15" s="410">
        <f t="shared" si="21"/>
        <v>-40</v>
      </c>
      <c r="DO15" s="406">
        <f>DO545</f>
        <v>-3</v>
      </c>
      <c r="DP15" s="410" t="str">
        <f t="shared" si="22"/>
        <v>NM</v>
      </c>
      <c r="DQ15" s="406">
        <f>DQ545</f>
        <v>-19</v>
      </c>
      <c r="DR15" s="410">
        <f t="shared" si="23"/>
        <v>90</v>
      </c>
      <c r="DS15" s="406">
        <f>DS545</f>
        <v>0</v>
      </c>
      <c r="DT15" s="410" t="str">
        <f t="shared" si="24"/>
        <v>NM</v>
      </c>
      <c r="DU15" s="406">
        <f>DU545</f>
        <v>0</v>
      </c>
      <c r="DV15" s="410" t="str">
        <f t="shared" si="25"/>
        <v>NM</v>
      </c>
      <c r="DW15" s="406">
        <f>DW545</f>
        <v>0</v>
      </c>
      <c r="DX15" s="410" t="str">
        <f t="shared" si="26"/>
        <v>NM</v>
      </c>
      <c r="DY15" s="406">
        <f>DY545</f>
        <v>0</v>
      </c>
      <c r="DZ15" s="410" t="str">
        <f t="shared" si="27"/>
        <v>NM</v>
      </c>
      <c r="EA15" s="406">
        <f>EA545</f>
        <v>0</v>
      </c>
      <c r="EB15" s="410" t="str">
        <f t="shared" si="28"/>
        <v>NA</v>
      </c>
      <c r="EC15" s="406">
        <f>EC545</f>
        <v>0</v>
      </c>
      <c r="ED15" s="410" t="str">
        <f t="shared" si="29"/>
        <v>NA</v>
      </c>
      <c r="EE15" s="406">
        <f>EE545</f>
        <v>-9.5</v>
      </c>
      <c r="EF15" s="410" t="str">
        <f t="shared" si="30"/>
        <v>NA</v>
      </c>
      <c r="EG15" s="406">
        <f>EG545</f>
        <v>-9</v>
      </c>
      <c r="EH15" s="410" t="str">
        <f t="shared" si="31"/>
        <v>NA</v>
      </c>
      <c r="EI15" s="406">
        <f>EI545</f>
        <v>-10</v>
      </c>
      <c r="EJ15" s="410" t="str">
        <f t="shared" si="32"/>
        <v>NA</v>
      </c>
      <c r="EK15" s="406">
        <f>EK545</f>
        <v>-5</v>
      </c>
      <c r="EL15" s="410" t="str">
        <f t="shared" si="33"/>
        <v>NA</v>
      </c>
      <c r="EM15" s="406">
        <f>EM545</f>
        <v>-12</v>
      </c>
      <c r="EN15" s="410">
        <f t="shared" si="34"/>
        <v>26.315789473684205</v>
      </c>
      <c r="EO15" s="406">
        <f>EO545</f>
        <v>-11</v>
      </c>
      <c r="EP15" s="410">
        <f t="shared" si="35"/>
        <v>22.222222222222229</v>
      </c>
      <c r="EQ15" s="406">
        <f t="shared" ref="EQ15" si="59">EQ545</f>
        <v>-11</v>
      </c>
      <c r="ER15" s="410">
        <f t="shared" si="36"/>
        <v>10.000000000000014</v>
      </c>
      <c r="ES15" s="406">
        <f t="shared" ref="ES15" si="60">ES545</f>
        <v>-11</v>
      </c>
      <c r="ET15" s="410" t="str">
        <f t="shared" si="37"/>
        <v>NM</v>
      </c>
      <c r="EU15" s="406">
        <f t="shared" ref="EU15" si="61">EU545</f>
        <v>-11</v>
      </c>
      <c r="EV15" s="410">
        <f t="shared" si="38"/>
        <v>-8.3333333333333428</v>
      </c>
      <c r="EW15" s="406">
        <f t="shared" ref="EW15" si="62">EW545</f>
        <v>-11</v>
      </c>
      <c r="EX15" s="410">
        <f t="shared" si="39"/>
        <v>0</v>
      </c>
      <c r="EZ15" s="347"/>
      <c r="FZ15" s="406">
        <f>FZ545</f>
        <v>-18</v>
      </c>
      <c r="GB15" s="406">
        <f>GB545</f>
        <v>-27</v>
      </c>
      <c r="GC15" s="410">
        <f t="shared" si="40"/>
        <v>50</v>
      </c>
      <c r="GD15" s="406">
        <f>GD545</f>
        <v>-25</v>
      </c>
      <c r="GE15" s="410">
        <f t="shared" si="41"/>
        <v>-7.4074074074074048</v>
      </c>
      <c r="GF15" s="406">
        <f>GF545</f>
        <v>-22</v>
      </c>
      <c r="GG15" s="785">
        <f t="shared" si="42"/>
        <v>-12</v>
      </c>
      <c r="GH15" s="406">
        <f>GH545</f>
        <v>-19</v>
      </c>
      <c r="GI15" s="785">
        <f t="shared" si="43"/>
        <v>-13.63636363636364</v>
      </c>
      <c r="GJ15" s="406">
        <f>GJ545</f>
        <v>0</v>
      </c>
      <c r="GK15" s="785" t="str">
        <f t="shared" si="44"/>
        <v>NM</v>
      </c>
      <c r="GL15" s="406">
        <f>GL545</f>
        <v>-18.5</v>
      </c>
      <c r="GM15" s="785" t="str">
        <f t="shared" si="45"/>
        <v>NA</v>
      </c>
      <c r="GN15" s="406">
        <f>GN545</f>
        <v>-38</v>
      </c>
      <c r="GO15" s="785" t="str">
        <f t="shared" si="46"/>
        <v>NM</v>
      </c>
      <c r="GP15" s="406">
        <f>GP545</f>
        <v>-44</v>
      </c>
      <c r="GQ15" s="785">
        <f t="shared" si="46"/>
        <v>15.789473684210535</v>
      </c>
      <c r="GR15" s="406">
        <f>GR545</f>
        <v>-44</v>
      </c>
      <c r="GS15" s="785">
        <f t="shared" si="46"/>
        <v>0</v>
      </c>
      <c r="GT15" s="406">
        <f>GT545</f>
        <v>-44</v>
      </c>
      <c r="GU15" s="785">
        <f t="shared" si="47"/>
        <v>0</v>
      </c>
      <c r="GV15" s="406">
        <f>GV545</f>
        <v>-44</v>
      </c>
      <c r="GW15" s="785">
        <f t="shared" si="48"/>
        <v>0</v>
      </c>
      <c r="GX15" s="406">
        <f>GX545</f>
        <v>-44</v>
      </c>
      <c r="GY15" s="785">
        <f t="shared" si="49"/>
        <v>0</v>
      </c>
      <c r="GZ15" s="410">
        <f t="shared" si="50"/>
        <v>2.9754778570413087</v>
      </c>
      <c r="HA15" s="410"/>
      <c r="HB15" s="410"/>
      <c r="HC15"/>
      <c r="HD15"/>
      <c r="HE15"/>
      <c r="HF15"/>
      <c r="HG15"/>
      <c r="HH15"/>
    </row>
    <row r="16" spans="1:217" s="382" customFormat="1" ht="12.75" customHeight="1" collapsed="1" x14ac:dyDescent="0.2">
      <c r="B16" s="403" t="s">
        <v>469</v>
      </c>
      <c r="CM16" s="407">
        <f>CM14+CM15</f>
        <v>800</v>
      </c>
      <c r="CN16" s="410" t="str">
        <f t="shared" si="8"/>
        <v>NA</v>
      </c>
      <c r="CO16" s="407">
        <f>CO14+CO15</f>
        <v>775</v>
      </c>
      <c r="CP16" s="410" t="str">
        <f t="shared" si="9"/>
        <v>NA</v>
      </c>
      <c r="CQ16" s="407">
        <f>CQ14+CQ15</f>
        <v>410</v>
      </c>
      <c r="CR16" s="410" t="str">
        <f t="shared" si="10"/>
        <v>NA</v>
      </c>
      <c r="CS16" s="407">
        <f>CS14+CS15</f>
        <v>851</v>
      </c>
      <c r="CT16" s="410" t="str">
        <f t="shared" si="11"/>
        <v>NA</v>
      </c>
      <c r="CU16" s="407">
        <f>CU14+CU15</f>
        <v>790</v>
      </c>
      <c r="CV16" s="410">
        <f t="shared" si="12"/>
        <v>-1.25</v>
      </c>
      <c r="CW16" s="407">
        <f>CW14+CW15</f>
        <v>657</v>
      </c>
      <c r="CX16" s="410">
        <f t="shared" si="13"/>
        <v>-15.225806451612897</v>
      </c>
      <c r="CY16" s="407">
        <f>CY14+CY15</f>
        <v>756</v>
      </c>
      <c r="CZ16" s="410">
        <f t="shared" si="14"/>
        <v>84.390243902439039</v>
      </c>
      <c r="DA16" s="407">
        <f>DA14+DA15</f>
        <v>828</v>
      </c>
      <c r="DB16" s="410">
        <f t="shared" si="15"/>
        <v>-2.7027027027026946</v>
      </c>
      <c r="DC16" s="407">
        <f>DC14+DC15</f>
        <v>1069</v>
      </c>
      <c r="DD16" s="410">
        <f t="shared" si="16"/>
        <v>35.316455696202553</v>
      </c>
      <c r="DE16" s="407">
        <f>DE14+DE15</f>
        <v>1088</v>
      </c>
      <c r="DF16" s="410">
        <f t="shared" si="17"/>
        <v>65.601217656012182</v>
      </c>
      <c r="DG16" s="407">
        <f>DG14+DG15</f>
        <v>1366</v>
      </c>
      <c r="DH16" s="410">
        <f t="shared" si="18"/>
        <v>80.687830687830683</v>
      </c>
      <c r="DI16" s="407">
        <f>DI14+DI15</f>
        <v>1038</v>
      </c>
      <c r="DJ16" s="410">
        <f t="shared" si="19"/>
        <v>25.362318840579718</v>
      </c>
      <c r="DK16" s="407">
        <f>DK14+DK15</f>
        <v>1135</v>
      </c>
      <c r="DL16" s="410">
        <f t="shared" si="20"/>
        <v>6.173994387277844</v>
      </c>
      <c r="DM16" s="407">
        <f>DM14+DM15</f>
        <v>1173</v>
      </c>
      <c r="DN16" s="410">
        <f t="shared" si="21"/>
        <v>7.8125</v>
      </c>
      <c r="DO16" s="407">
        <f>DO14+DO15</f>
        <v>1031</v>
      </c>
      <c r="DP16" s="410">
        <f t="shared" si="22"/>
        <v>-24.524158125915079</v>
      </c>
      <c r="DQ16" s="407">
        <f>DQ14+DQ15</f>
        <v>989</v>
      </c>
      <c r="DR16" s="410">
        <f t="shared" si="23"/>
        <v>-4.7206165703275502</v>
      </c>
      <c r="DS16" s="407">
        <f>DS14+DS15</f>
        <v>1298</v>
      </c>
      <c r="DT16" s="410">
        <f t="shared" si="24"/>
        <v>14.36123348017621</v>
      </c>
      <c r="DU16" s="407">
        <f>DU14+DU15</f>
        <v>1350</v>
      </c>
      <c r="DV16" s="410">
        <f t="shared" si="25"/>
        <v>15.089514066496164</v>
      </c>
      <c r="DW16" s="407">
        <f>DW14+DW15</f>
        <v>1110</v>
      </c>
      <c r="DX16" s="410">
        <f t="shared" si="26"/>
        <v>7.6624636275460745</v>
      </c>
      <c r="DY16" s="407">
        <f>DY14+DY15</f>
        <v>891</v>
      </c>
      <c r="DZ16" s="410">
        <f t="shared" si="27"/>
        <v>-9.9089989888776557</v>
      </c>
      <c r="EA16" s="407">
        <f>EA14+EA15</f>
        <v>997</v>
      </c>
      <c r="EB16" s="410">
        <f t="shared" si="28"/>
        <v>-23.18952234206472</v>
      </c>
      <c r="EC16" s="407">
        <f>EC14+EC15</f>
        <v>829</v>
      </c>
      <c r="ED16" s="410">
        <f t="shared" si="29"/>
        <v>-38.592592592592588</v>
      </c>
      <c r="EE16" s="407">
        <f>EE14+EE15</f>
        <v>1181.5</v>
      </c>
      <c r="EF16" s="410">
        <f t="shared" si="30"/>
        <v>6.4414414414414267</v>
      </c>
      <c r="EG16" s="407">
        <f>EG14+EG15</f>
        <v>1081</v>
      </c>
      <c r="EH16" s="410">
        <f t="shared" si="31"/>
        <v>21.324354657687977</v>
      </c>
      <c r="EI16" s="407">
        <f>EI14+EI15</f>
        <v>1227</v>
      </c>
      <c r="EJ16" s="410">
        <f t="shared" si="32"/>
        <v>23.069207622868618</v>
      </c>
      <c r="EK16" s="407">
        <f>EK14+EK15</f>
        <v>914</v>
      </c>
      <c r="EL16" s="410">
        <f t="shared" si="33"/>
        <v>10.253317249698426</v>
      </c>
      <c r="EM16" s="407">
        <f>EM14+EM15</f>
        <v>1311</v>
      </c>
      <c r="EN16" s="410">
        <f t="shared" si="34"/>
        <v>10.96064325010579</v>
      </c>
      <c r="EO16" s="407">
        <f>EO14+EO15</f>
        <v>1162</v>
      </c>
      <c r="EP16" s="410">
        <f t="shared" si="35"/>
        <v>7.4930619796484734</v>
      </c>
      <c r="EQ16" s="407">
        <f t="shared" ref="EQ16" si="63">EQ14+EQ15</f>
        <v>1326.6539953800163</v>
      </c>
      <c r="ER16" s="410">
        <f t="shared" si="36"/>
        <v>8.121760014671267</v>
      </c>
      <c r="ES16" s="407">
        <f t="shared" ref="ES16" si="64">ES14+ES15</f>
        <v>1333.9585156595535</v>
      </c>
      <c r="ET16" s="410">
        <f t="shared" si="37"/>
        <v>45.947321188134964</v>
      </c>
      <c r="EU16" s="407">
        <f t="shared" ref="EU16" si="65">EU14+EU15</f>
        <v>1318.8396634684207</v>
      </c>
      <c r="EV16" s="410">
        <f t="shared" si="38"/>
        <v>0.59799111124489457</v>
      </c>
      <c r="EW16" s="407">
        <f t="shared" ref="EW16" si="66">EW14+EW15</f>
        <v>1188.5935562897889</v>
      </c>
      <c r="EX16" s="410">
        <f t="shared" si="39"/>
        <v>2.2886020903432751</v>
      </c>
      <c r="EZ16" s="412"/>
      <c r="FZ16" s="407">
        <f>FZ14+FZ15</f>
        <v>2031</v>
      </c>
      <c r="GB16" s="407">
        <f>GB14+GB15</f>
        <v>2259</v>
      </c>
      <c r="GC16" s="410">
        <f t="shared" si="40"/>
        <v>11.225997045790265</v>
      </c>
      <c r="GD16" s="407">
        <f>GD14+GD15</f>
        <v>2453</v>
      </c>
      <c r="GE16" s="410">
        <f t="shared" si="41"/>
        <v>8.5878707392651705</v>
      </c>
      <c r="GF16" s="407">
        <f>GF14+GF15</f>
        <v>4753</v>
      </c>
      <c r="GG16" s="785">
        <f t="shared" si="42"/>
        <v>93.762739502649822</v>
      </c>
      <c r="GH16" s="407">
        <f>GH14+GH15</f>
        <v>4245</v>
      </c>
      <c r="GI16" s="785">
        <f t="shared" si="43"/>
        <v>-10.687986534820112</v>
      </c>
      <c r="GJ16" s="407">
        <f>GJ14+GJ15</f>
        <v>4649</v>
      </c>
      <c r="GK16" s="785">
        <f t="shared" si="44"/>
        <v>9.5170789163722134</v>
      </c>
      <c r="GL16" s="407">
        <f>GL14+GL15</f>
        <v>4088.5</v>
      </c>
      <c r="GM16" s="785">
        <f t="shared" si="45"/>
        <v>-12.056356205635623</v>
      </c>
      <c r="GN16" s="407">
        <f>GN14+GN15</f>
        <v>4614</v>
      </c>
      <c r="GO16" s="785">
        <f t="shared" si="46"/>
        <v>12.853124617830503</v>
      </c>
      <c r="GP16" s="407">
        <f>GP14+GP15</f>
        <v>5168.0457307977786</v>
      </c>
      <c r="GQ16" s="785">
        <f t="shared" si="46"/>
        <v>12.007926545248779</v>
      </c>
      <c r="GR16" s="407">
        <f>GR14+GR15</f>
        <v>5231.3860821617618</v>
      </c>
      <c r="GS16" s="785">
        <f t="shared" si="46"/>
        <v>1.2256151486145228</v>
      </c>
      <c r="GT16" s="407">
        <f>GT14+GT15</f>
        <v>5286.1772453206413</v>
      </c>
      <c r="GU16" s="785">
        <f t="shared" si="47"/>
        <v>1.0473546073326361</v>
      </c>
      <c r="GV16" s="407">
        <f>GV14+GV15</f>
        <v>5347.2071880921685</v>
      </c>
      <c r="GW16" s="785">
        <f t="shared" si="48"/>
        <v>1.1545194180832823</v>
      </c>
      <c r="GX16" s="407">
        <f>GX14+GX15</f>
        <v>5400.2816195673659</v>
      </c>
      <c r="GY16" s="785">
        <f t="shared" si="49"/>
        <v>0.99256358708879588</v>
      </c>
      <c r="GZ16" s="410">
        <f t="shared" si="50"/>
        <v>3.1971642873517059</v>
      </c>
      <c r="HA16" s="410"/>
      <c r="HB16" s="410"/>
      <c r="HC16"/>
      <c r="HD16"/>
      <c r="HE16"/>
      <c r="HF16"/>
      <c r="HG16"/>
      <c r="HH16"/>
    </row>
    <row r="17" spans="1:217" s="382" customFormat="1" ht="12.75" hidden="1" customHeight="1" outlineLevel="1" x14ac:dyDescent="0.2">
      <c r="B17" s="416" t="s">
        <v>683</v>
      </c>
      <c r="CM17" s="417">
        <f>CM16-CM554</f>
        <v>0</v>
      </c>
      <c r="CN17" s="410"/>
      <c r="CO17" s="417">
        <f>CO16-CO554</f>
        <v>0</v>
      </c>
      <c r="CP17" s="410"/>
      <c r="CQ17" s="417">
        <f>CQ16-CQ554</f>
        <v>0</v>
      </c>
      <c r="CR17" s="410"/>
      <c r="CS17" s="417">
        <f>CS16-CS554</f>
        <v>0</v>
      </c>
      <c r="CT17" s="410"/>
      <c r="CU17" s="417">
        <f>CU16-CU554</f>
        <v>0</v>
      </c>
      <c r="CV17" s="410"/>
      <c r="CW17" s="417">
        <f>CW16-CW554</f>
        <v>0</v>
      </c>
      <c r="CX17" s="410"/>
      <c r="CY17" s="417">
        <f>CY16-CY554</f>
        <v>0</v>
      </c>
      <c r="CZ17" s="410"/>
      <c r="DA17" s="417">
        <f>DA16-DA554</f>
        <v>0</v>
      </c>
      <c r="DB17" s="410"/>
      <c r="DC17" s="417">
        <f>DC16-DC554</f>
        <v>0</v>
      </c>
      <c r="DD17" s="410"/>
      <c r="DE17" s="417">
        <f>DE16-DE554</f>
        <v>0</v>
      </c>
      <c r="DF17" s="410"/>
      <c r="DG17" s="417">
        <f>DG16-DG554</f>
        <v>0</v>
      </c>
      <c r="DH17" s="410"/>
      <c r="DI17" s="417">
        <f>DI16-DI554</f>
        <v>0</v>
      </c>
      <c r="DJ17" s="410"/>
      <c r="DK17" s="417">
        <f>DK16-DK554</f>
        <v>0</v>
      </c>
      <c r="DL17" s="410"/>
      <c r="DM17" s="417">
        <f>DM16-DM554</f>
        <v>0</v>
      </c>
      <c r="DN17" s="410"/>
      <c r="DO17" s="417">
        <f>DO16-DO554</f>
        <v>0</v>
      </c>
      <c r="DP17" s="410"/>
      <c r="DQ17" s="417">
        <f>DQ16-DQ554</f>
        <v>0</v>
      </c>
      <c r="DR17" s="410"/>
      <c r="DS17" s="417">
        <f>DS16-DS554</f>
        <v>0</v>
      </c>
      <c r="DT17" s="410"/>
      <c r="DU17" s="417">
        <f>DU16-DU554</f>
        <v>0</v>
      </c>
      <c r="DV17" s="410"/>
      <c r="DW17" s="417">
        <f>DW16-DW554</f>
        <v>0</v>
      </c>
      <c r="DX17" s="410"/>
      <c r="DY17" s="417">
        <f>DY16-DY554</f>
        <v>0</v>
      </c>
      <c r="DZ17" s="410"/>
      <c r="EA17" s="417">
        <f>EA16-EA554</f>
        <v>0</v>
      </c>
      <c r="EB17" s="410"/>
      <c r="EC17" s="417">
        <f>EC16-EC554</f>
        <v>0</v>
      </c>
      <c r="ED17" s="410"/>
      <c r="EE17" s="417">
        <f>EE16-EE554</f>
        <v>0</v>
      </c>
      <c r="EF17" s="410"/>
      <c r="EG17" s="417">
        <f>EG16-EG554</f>
        <v>0</v>
      </c>
      <c r="EH17" s="410"/>
      <c r="EI17" s="417">
        <f>EI16-EI554</f>
        <v>0</v>
      </c>
      <c r="EJ17" s="410"/>
      <c r="EK17" s="417">
        <f>EK16-EK554</f>
        <v>0</v>
      </c>
      <c r="EL17" s="410"/>
      <c r="EM17" s="417">
        <f>EM16-EM554</f>
        <v>0</v>
      </c>
      <c r="EN17" s="410"/>
      <c r="EO17" s="417">
        <f>EO16-EO554</f>
        <v>0</v>
      </c>
      <c r="EP17" s="410"/>
      <c r="EQ17" s="417">
        <f>EQ16-EQ554</f>
        <v>0</v>
      </c>
      <c r="ER17" s="410"/>
      <c r="ES17" s="417">
        <f>ES16-ES554</f>
        <v>0</v>
      </c>
      <c r="ET17" s="410"/>
      <c r="EU17" s="417">
        <f>EU16-EU554</f>
        <v>0</v>
      </c>
      <c r="EV17" s="410"/>
      <c r="EW17" s="417">
        <f>EW16-EW554</f>
        <v>0</v>
      </c>
      <c r="EX17" s="410"/>
      <c r="EZ17" s="412"/>
      <c r="FZ17" s="417">
        <f>FZ16-FZ554</f>
        <v>0</v>
      </c>
      <c r="GB17" s="417">
        <f>GB16-GB554</f>
        <v>0</v>
      </c>
      <c r="GC17" s="410"/>
      <c r="GD17" s="417">
        <f>GD16-GD554</f>
        <v>0</v>
      </c>
      <c r="GE17" s="410"/>
      <c r="GF17" s="417">
        <f>GF16-GF554</f>
        <v>0</v>
      </c>
      <c r="GG17" s="785"/>
      <c r="GH17" s="417">
        <f>GH16-GH554</f>
        <v>0</v>
      </c>
      <c r="GI17" s="785"/>
      <c r="GJ17" s="417">
        <f>GJ16-GJ554</f>
        <v>0</v>
      </c>
      <c r="GK17" s="785"/>
      <c r="GL17" s="417">
        <f>GL16-GL554</f>
        <v>0</v>
      </c>
      <c r="GM17" s="785"/>
      <c r="GN17" s="417">
        <f>GN16-GN554</f>
        <v>0</v>
      </c>
      <c r="GO17" s="785"/>
      <c r="GP17" s="417">
        <f>GP16-GP554</f>
        <v>0</v>
      </c>
      <c r="GQ17" s="785"/>
      <c r="GR17" s="417">
        <f>GR16-GR554</f>
        <v>0</v>
      </c>
      <c r="GS17" s="785"/>
      <c r="GT17" s="417">
        <f>GT16-GT554</f>
        <v>0</v>
      </c>
      <c r="GU17" s="785"/>
      <c r="GV17" s="417">
        <f>GV16-GV554</f>
        <v>0</v>
      </c>
      <c r="GW17" s="785"/>
      <c r="GX17" s="417">
        <f>GX16-GX554</f>
        <v>0</v>
      </c>
      <c r="GY17" s="785"/>
      <c r="GZ17" s="410"/>
      <c r="HA17" s="410"/>
      <c r="HB17" s="410"/>
      <c r="HC17"/>
      <c r="HD17"/>
      <c r="HE17"/>
      <c r="HF17"/>
      <c r="HG17"/>
      <c r="HH17"/>
    </row>
    <row r="18" spans="1:217" s="273" customFormat="1" ht="12.75" customHeight="1" collapsed="1" x14ac:dyDescent="0.2">
      <c r="B18" s="403" t="s">
        <v>311</v>
      </c>
      <c r="CM18" s="408">
        <f>CM640</f>
        <v>1.6197610852399271</v>
      </c>
      <c r="CN18" s="410" t="str">
        <f t="shared" si="8"/>
        <v>NA</v>
      </c>
      <c r="CO18" s="408">
        <f>CO640</f>
        <v>1.5662894098625706</v>
      </c>
      <c r="CP18" s="410" t="str">
        <f t="shared" si="9"/>
        <v>NA</v>
      </c>
      <c r="CQ18" s="408">
        <f>CQ640</f>
        <v>0.83793173921929287</v>
      </c>
      <c r="CR18" s="410" t="str">
        <f t="shared" si="10"/>
        <v>NA</v>
      </c>
      <c r="CS18" s="408">
        <f>CS640</f>
        <v>1.7840670859538783</v>
      </c>
      <c r="CT18" s="410" t="str">
        <f t="shared" si="11"/>
        <v>NA</v>
      </c>
      <c r="CU18" s="408">
        <f>CU640</f>
        <v>1.6544502617801047</v>
      </c>
      <c r="CV18" s="410">
        <f t="shared" si="12"/>
        <v>2.1416230366492215</v>
      </c>
      <c r="CW18" s="408">
        <f>CW640</f>
        <v>1.3875395987328405</v>
      </c>
      <c r="CX18" s="410">
        <f t="shared" si="13"/>
        <v>-11.412310522192314</v>
      </c>
      <c r="CY18" s="408">
        <f>CY640</f>
        <v>1.6023738872403561</v>
      </c>
      <c r="CZ18" s="410">
        <f t="shared" si="14"/>
        <v>91.229644640660069</v>
      </c>
      <c r="DA18" s="408">
        <f>DA640</f>
        <v>1.7620770376675889</v>
      </c>
      <c r="DB18" s="410">
        <f t="shared" si="15"/>
        <v>-1.2325796748014142</v>
      </c>
      <c r="DC18" s="408">
        <f>DC640</f>
        <v>2.2662709349162604</v>
      </c>
      <c r="DD18" s="410">
        <f t="shared" si="16"/>
        <v>36.980300180065115</v>
      </c>
      <c r="DE18" s="408">
        <f>DE640</f>
        <v>2.3041084286319355</v>
      </c>
      <c r="DF18" s="410">
        <f t="shared" si="17"/>
        <v>66.057129521647113</v>
      </c>
      <c r="DG18" s="408">
        <f>DG640</f>
        <v>2.8940677966101696</v>
      </c>
      <c r="DH18" s="410">
        <f t="shared" si="18"/>
        <v>80.611268047708734</v>
      </c>
      <c r="DI18" s="408">
        <f>DI640</f>
        <v>2.2028862478777591</v>
      </c>
      <c r="DJ18" s="410">
        <f t="shared" si="19"/>
        <v>25.016455057700355</v>
      </c>
      <c r="DK18" s="408">
        <f>DK640</f>
        <v>2.4031336015244547</v>
      </c>
      <c r="DL18" s="410">
        <f t="shared" si="20"/>
        <v>6.0391131748442746</v>
      </c>
      <c r="DM18" s="408">
        <f>DM640</f>
        <v>2.4915038232795244</v>
      </c>
      <c r="DN18" s="410">
        <f>IF(ISERROR(DM18/DE18),"NA",IF(OR(DM18/DE18&gt;2,DM18/DE18&lt;0.5),"NM",DM18/DE18*100-100))</f>
        <v>8.1330979184367038</v>
      </c>
      <c r="DO18" s="408">
        <f>DO640</f>
        <v>2.1982942430703623</v>
      </c>
      <c r="DP18" s="410">
        <f>IF(ISERROR(DO18/DG18),"NA",IF(OR(DO18/DG18&gt;2,DO18/DG18&lt;0.5),"NM",DO18/DG18*100-100))</f>
        <v>-24.04137022480154</v>
      </c>
      <c r="DQ18" s="408">
        <f>DQ640</f>
        <v>2.118226600985222</v>
      </c>
      <c r="DR18" s="410">
        <f>IF(ISERROR(DQ18/DI18),"NA",IF(OR(DQ18/DI18&gt;2,DQ18/DI18&lt;0.5),"NM",DQ18/DI18*100-100))</f>
        <v>-3.8431238550831921</v>
      </c>
      <c r="DS18" s="408">
        <f>DS640</f>
        <v>2.7872020614129269</v>
      </c>
      <c r="DT18" s="410">
        <f>IF(ISERROR(DS18/DK18),"NA",IF(OR(DS18/DK18&gt;2,DS18/DK18&lt;0.5),"NM",DS18/DK18*100-100))</f>
        <v>15.981985339676257</v>
      </c>
      <c r="DU18" s="408">
        <f>DU640</f>
        <v>2.912621359223301</v>
      </c>
      <c r="DV18" s="410">
        <f>IF(ISERROR(DU18/DM18),"NA",IF(OR(DU18/DM18&gt;2,DU18/DM18&lt;0.5),"NM",DU18/DM18*100-100))</f>
        <v>16.902142874878948</v>
      </c>
      <c r="DW18" s="408">
        <f>DW640</f>
        <v>2.4015577672003463</v>
      </c>
      <c r="DX18" s="410">
        <f>IF(ISERROR(DW18/DO18),"NA",IF(OR(DW18/DO18&gt;2,DW18/DO18&lt;0.5),"NM",DW18/DO18*100-100))</f>
        <v>9.2464202538276083</v>
      </c>
      <c r="DY18" s="408">
        <f>DY640</f>
        <v>1.9373776908023483</v>
      </c>
      <c r="DZ18" s="410">
        <f>IF(ISERROR(DY18/DQ18),"NA",IF(OR(DY18/DQ18&gt;2,DY18/DQ18&lt;0.5),"NM",DY18/DQ18*100-100))</f>
        <v>-8.5377508760751937</v>
      </c>
      <c r="EA18" s="408">
        <f>EA640</f>
        <v>2.1787587412587412</v>
      </c>
      <c r="EB18" s="410">
        <f>IF(ISERROR(EA18/DS18),"NA",IF(OR(EA18/DS18&gt;2,EA18/DS18&lt;0.5),"NM",EA18/DS18*100-100))</f>
        <v>-21.829896317088156</v>
      </c>
      <c r="EC18" s="408">
        <f>EC640</f>
        <v>1.8450923659025149</v>
      </c>
      <c r="ED18" s="410">
        <f>IF(ISERROR(EC18/DU18),"NA",IF(OR(EC18/DU18&gt;2,EC18/DU18&lt;0.5),"NM",EC18/DU18*100-100))</f>
        <v>-36.651828770680318</v>
      </c>
      <c r="EE18" s="408">
        <f>EE640</f>
        <v>2.6592392527571458</v>
      </c>
      <c r="EF18" s="410">
        <f>IF(ISERROR(EE18/DW18),"NA",IF(OR(EE18/DW18&gt;2,EE18/DW18&lt;0.5),"NM",EE18/DW18*100-100))</f>
        <v>10.72976420039214</v>
      </c>
      <c r="EG18" s="408">
        <f>EG640</f>
        <v>2.4579354251932695</v>
      </c>
      <c r="EH18" s="410">
        <f>IF(ISERROR(EG18/DY18),"NA",IF(OR(EG18/DY18&gt;2,EG18/DY18&lt;0.5),"NM",EG18/DY18*100-100))</f>
        <v>26.869192148864713</v>
      </c>
      <c r="EI18" s="408">
        <f>EI640</f>
        <v>2.7943520838077887</v>
      </c>
      <c r="EJ18" s="410">
        <f>IF(ISERROR(EI18/EA18),"NA",IF(OR(EI18/EA18&gt;2,EI18/EA18&lt;0.5),"NM",EI18/EA18*100-100))</f>
        <v>28.254314297938237</v>
      </c>
      <c r="EK18" s="408">
        <f>EK640</f>
        <v>2.0903851431707987</v>
      </c>
      <c r="EL18" s="410">
        <f>IF(ISERROR(EK18/EC18),"NA",IF(OR(EK18/EC18&gt;2,EK18/EC18&lt;0.5),"NM",EK18/EC18*100-100))</f>
        <v>13.294335926012053</v>
      </c>
      <c r="EM18" s="408">
        <f>EM640</f>
        <v>3.0137931034482759</v>
      </c>
      <c r="EN18" s="410">
        <f>IF(ISERROR(EM18/EE18),"NA",IF(OR(EM18/EE18&gt;2,EM18/EE18&lt;0.5),"NM",EM18/EE18*100-100))</f>
        <v>13.332905278211513</v>
      </c>
      <c r="EO18" s="408">
        <f>EO640</f>
        <v>2.6854633695400971</v>
      </c>
      <c r="EP18" s="410">
        <f>IF(ISERROR(EO18/EG18),"NA",IF(OR(EO18/EG18&gt;2,EO18/EG18&lt;0.5),"NM",EO18/EG18*100-100))</f>
        <v>9.2568723333704668</v>
      </c>
      <c r="EQ18" s="408">
        <f t="shared" ref="EQ18" si="67">EQ640</f>
        <v>3.0956473436103349</v>
      </c>
      <c r="ER18" s="410">
        <f t="shared" ref="ER18:ER20" si="68">IF(ISERROR(EQ18/EI18),"NA",IF(OR(EQ18/EI18&gt;2,EQ18/EI18&lt;0.5),"NM",EQ18/EI18*100-100))</f>
        <v>10.782294097742295</v>
      </c>
      <c r="ES18" s="408">
        <f t="shared" ref="ES18" si="69">ES640</f>
        <v>3.1369010469049265</v>
      </c>
      <c r="ET18" s="410">
        <f t="shared" ref="ET18:ET20" si="70">IF(ISERROR(ES18/EK18),"NA",IF(OR(ES18/EK18&gt;2,ES18/EK18&lt;0.5),"NM",ES18/EK18*100-100))</f>
        <v>50.063305661784483</v>
      </c>
      <c r="EU18" s="408">
        <f t="shared" ref="EU18" si="71">EU640</f>
        <v>3.1253659827544977</v>
      </c>
      <c r="EV18" s="410">
        <f t="shared" ref="EV18:EV20" si="72">IF(ISERROR(EU18/EM18),"NA",IF(OR(EU18/EM18&gt;2,EU18/EM18&lt;0.5),"NM",EU18/EM18*100-100))</f>
        <v>3.70207494265496</v>
      </c>
      <c r="EW18" s="408">
        <f t="shared" ref="EW18" si="73">EW640</f>
        <v>2.838428618029682</v>
      </c>
      <c r="EX18" s="410">
        <f t="shared" ref="EX18:EX20" si="74">IF(ISERROR(EW18/EO18),"NA",IF(OR(EW18/EO18&gt;2,EW18/EO18&lt;0.5),"NM",EW18/EO18*100-100))</f>
        <v>5.6960467316216352</v>
      </c>
      <c r="EZ18" s="347"/>
      <c r="FZ18" s="408">
        <f>FZ640</f>
        <v>4.2724165132789906</v>
      </c>
      <c r="GB18" s="408">
        <f>GB640</f>
        <v>4.6219948849104862</v>
      </c>
      <c r="GC18" s="410">
        <f t="shared" si="40"/>
        <v>8.1822165639745066</v>
      </c>
      <c r="GD18" s="408">
        <f>GD640</f>
        <v>5.1841284936862682</v>
      </c>
      <c r="GE18" s="410">
        <f t="shared" si="41"/>
        <v>12.162142598015208</v>
      </c>
      <c r="GF18" s="408">
        <f>GF640</f>
        <v>10.074717820995177</v>
      </c>
      <c r="GG18" s="785">
        <f t="shared" si="42"/>
        <v>94.337733589457514</v>
      </c>
      <c r="GH18" s="408">
        <f>GH640</f>
        <v>9.2011582688595634</v>
      </c>
      <c r="GI18" s="785">
        <f>IF(ISERROR(GH18/GF18),"NA",IF(OR(GH18/GF18&gt;2,GH18/GF18&lt;0.5),"NM",GH18/GF18*100-100))</f>
        <v>-8.6708091249480219</v>
      </c>
      <c r="GJ18" s="408">
        <f>GJ640</f>
        <v>10.044833360341382</v>
      </c>
      <c r="GK18" s="785">
        <f>IF(ISERROR(GJ18/GH18),"NA",IF(OR(GJ18/GH18&gt;2,GJ18/GH18&lt;0.5),"NM",GJ18/GH18*100-100))</f>
        <v>9.1692270345697295</v>
      </c>
      <c r="GL18" s="408">
        <f>GL640</f>
        <v>9.1312116136236732</v>
      </c>
      <c r="GM18" s="785">
        <f>IF(ISERROR(GL18/GJ18),"NA",IF(OR(GL18/GJ18&gt;2,GL18/GJ18&lt;0.5),"NM",GL18/GJ18*100-100))</f>
        <v>-9.0954395552726055</v>
      </c>
      <c r="GN18" s="408">
        <f>GN640</f>
        <v>10.582326093438224</v>
      </c>
      <c r="GO18" s="785">
        <f>IF(ISERROR(GN18/GL18),"NA",IF(OR(GN18/GL18&gt;2,GN18/GL18&lt;0.5),"NM",GN18/GL18*100-100))</f>
        <v>15.891806489836497</v>
      </c>
      <c r="GP18" s="408">
        <f>GP640</f>
        <v>12.199348634086146</v>
      </c>
      <c r="GQ18" s="785">
        <f>IF(ISERROR(GP18/GN18),"NA",IF(OR(GP18/GN18&gt;2,GP18/GN18&lt;0.5),"NM",GP18/GN18*100-100))</f>
        <v>15.280407411094515</v>
      </c>
      <c r="GR18" s="408">
        <f>GR640</f>
        <v>12.751069324888016</v>
      </c>
      <c r="GS18" s="785">
        <f>IF(ISERROR(GR18/GP18),"NA",IF(OR(GR18/GP18&gt;2,GR18/GP18&lt;0.5),"NM",GR18/GP18*100-100))</f>
        <v>4.5225422057396685</v>
      </c>
      <c r="GT18" s="408">
        <f>GT640</f>
        <v>13.303162843222088</v>
      </c>
      <c r="GU18" s="785">
        <f>IF(ISERROR(GT18/GR18),"NA",IF(OR(GT18/GR18&gt;2,GT18/GR18&lt;0.5),"NM",GT18/GR18*100-100))</f>
        <v>4.3297821089912389</v>
      </c>
      <c r="GV18" s="408">
        <f>GV640</f>
        <v>13.853522114260759</v>
      </c>
      <c r="GW18" s="785">
        <f>IF(ISERROR(GV18/GT18),"NA",IF(OR(GV18/GT18&gt;2,GV18/GT18&lt;0.5),"NM",GV18/GT18*100-100))</f>
        <v>4.1370558078906612</v>
      </c>
      <c r="GX18" s="408">
        <f>GX640</f>
        <v>14.450625194663479</v>
      </c>
      <c r="GY18" s="785">
        <f>IF(ISERROR(GX18/GV18),"NA",IF(OR(GX18/GV18&gt;2,GX18/GV18&lt;0.5),"NM",GX18/GV18*100-100))</f>
        <v>4.3101174955938717</v>
      </c>
      <c r="GZ18" s="410">
        <f>IF(ISERROR(((GX18/GN18)^0.2-1)*100),"NA",IF((((GX18/GN18)^0.2-1)*100)&gt;100,"NM",IF((((GX18/GN18)^0.2-1)*100)&lt;-50,"NM",((GX18/GN18)^0.2-1)*100)))</f>
        <v>6.429273926309631</v>
      </c>
      <c r="HA18" s="410"/>
      <c r="HB18" s="410"/>
      <c r="HC18"/>
      <c r="HD18"/>
      <c r="HE18"/>
      <c r="HF18"/>
      <c r="HG18"/>
      <c r="HH18"/>
    </row>
    <row r="19" spans="1:217" s="273" customFormat="1" ht="12.75" customHeight="1" x14ac:dyDescent="0.2">
      <c r="B19" s="403" t="s">
        <v>484</v>
      </c>
      <c r="CM19" s="408">
        <f>CM644</f>
        <v>1.4272221097388136</v>
      </c>
      <c r="CN19" s="410" t="str">
        <f t="shared" si="8"/>
        <v>NA</v>
      </c>
      <c r="CO19" s="408">
        <f>CO644</f>
        <v>1.6359135004042038</v>
      </c>
      <c r="CP19" s="410" t="str">
        <f t="shared" si="9"/>
        <v>NA</v>
      </c>
      <c r="CQ19" s="408">
        <f>CQ644</f>
        <v>1.4676067852033516</v>
      </c>
      <c r="CR19" s="410" t="str">
        <f t="shared" si="10"/>
        <v>NA</v>
      </c>
      <c r="CS19" s="408">
        <f>CS644</f>
        <v>1.5278825995807126</v>
      </c>
      <c r="CT19" s="410" t="str">
        <f t="shared" si="11"/>
        <v>NA</v>
      </c>
      <c r="CU19" s="408">
        <f>CU644</f>
        <v>1.4652356020942408</v>
      </c>
      <c r="CV19" s="410">
        <f t="shared" si="12"/>
        <v>2.6634601647520526</v>
      </c>
      <c r="CW19" s="408">
        <f>CW644</f>
        <v>1.7252375923970433</v>
      </c>
      <c r="CX19" s="410">
        <f t="shared" si="13"/>
        <v>5.4601965183837251</v>
      </c>
      <c r="CY19" s="408">
        <f>CY644</f>
        <v>1.8200508690122934</v>
      </c>
      <c r="CZ19" s="410">
        <f t="shared" si="14"/>
        <v>24.014885142419601</v>
      </c>
      <c r="DA19" s="408">
        <f>DA644</f>
        <v>1.769540327729304</v>
      </c>
      <c r="DB19" s="410">
        <f t="shared" si="15"/>
        <v>15.816511570647378</v>
      </c>
      <c r="DC19" s="408">
        <f>DC644</f>
        <v>2.1202035191859232</v>
      </c>
      <c r="DD19" s="410">
        <f t="shared" si="16"/>
        <v>44.70051888962746</v>
      </c>
      <c r="DE19" s="408">
        <f>DE644</f>
        <v>2.1031342651418892</v>
      </c>
      <c r="DF19" s="410">
        <f t="shared" si="17"/>
        <v>21.904036546050236</v>
      </c>
      <c r="DG19" s="408">
        <f>DG644</f>
        <v>2.3459745762711863</v>
      </c>
      <c r="DH19" s="410">
        <f t="shared" si="18"/>
        <v>28.896099346074948</v>
      </c>
      <c r="DI19" s="408">
        <f>DI644</f>
        <v>2.2194397283531409</v>
      </c>
      <c r="DJ19" s="410">
        <f t="shared" si="19"/>
        <v>25.424648061067543</v>
      </c>
      <c r="DK19" s="408">
        <f>DK644</f>
        <v>2.4650645775989837</v>
      </c>
      <c r="DL19" s="410">
        <f t="shared" si="20"/>
        <v>16.265469578386217</v>
      </c>
      <c r="DM19" s="408">
        <f>DM644</f>
        <v>2.508071367884452</v>
      </c>
      <c r="DN19" s="410">
        <f>IF(ISERROR(DM19/DE19),"NA",IF(OR(DM19/DE19&gt;2,DM19/DE19&lt;0.5),"NM",DM19/DE19*100-100))</f>
        <v>19.253982470550611</v>
      </c>
      <c r="DO19" s="408">
        <f>DO644</f>
        <v>2.4567164179104473</v>
      </c>
      <c r="DP19" s="410">
        <f>IF(ISERROR(DO19/DG19),"NA",IF(OR(DO19/DG19&gt;2,DO19/DG19&lt;0.5),"NM",DO19/DG19*100-100))</f>
        <v>4.7205047641769369</v>
      </c>
      <c r="DQ19" s="408">
        <f>DQ644</f>
        <v>2.3284429213964448</v>
      </c>
      <c r="DR19" s="410">
        <f>IF(ISERROR(DQ19/DI19),"NA",IF(OR(DQ19/DI19&gt;2,DQ19/DI19&lt;0.5),"NM",DQ19/DI19*100-100))</f>
        <v>4.9112932264299758</v>
      </c>
      <c r="DS19" s="408">
        <f>DS644</f>
        <v>2.6478144728365902</v>
      </c>
      <c r="DT19" s="410">
        <f>IF(ISERROR(DS19/DK19),"NA",IF(OR(DS19/DK19&gt;2,DS19/DK19&lt;0.5),"NM",DS19/DK19*100-100))</f>
        <v>7.4135946335169791</v>
      </c>
      <c r="DU19" s="408">
        <f>DU644</f>
        <v>2.6279395900755125</v>
      </c>
      <c r="DV19" s="410">
        <f>IF(ISERROR(DU19/DM19),"NA",IF(OR(DU19/DM19&gt;2,DU19/DM19&lt;0.5),"NM",DU19/DM19*100-100))</f>
        <v>4.779298696438957</v>
      </c>
      <c r="DW19" s="408">
        <f>DW644</f>
        <v>2.5196884465599307</v>
      </c>
      <c r="DX19" s="410">
        <f>IF(ISERROR(DW19/DO19),"NA",IF(OR(DW19/DO19&gt;2,DW19/DO19&lt;0.5),"NM",DW19/DO19*100-100))</f>
        <v>2.5632599754042502</v>
      </c>
      <c r="DY19" s="408">
        <f>DY644</f>
        <v>2.0681126331811264</v>
      </c>
      <c r="DZ19" s="410">
        <f>IF(ISERROR(DY19/DQ19),"NA",IF(OR(DY19/DQ19&gt;2,DY19/DQ19&lt;0.5),"NM",DY19/DQ19*100-100))</f>
        <v>-11.180445344959949</v>
      </c>
      <c r="EA19" s="408">
        <f>EA644</f>
        <v>2.4898382867132871</v>
      </c>
      <c r="EB19" s="410">
        <f>IF(ISERROR(EA19/DS19),"NA",IF(OR(EA19/DS19&gt;2,EA19/DS19&lt;0.5),"NM",EA19/DS19*100-100))</f>
        <v>-5.9662860726818252</v>
      </c>
      <c r="EC19" s="408">
        <f>EC644</f>
        <v>2.4555975962608501</v>
      </c>
      <c r="ED19" s="410">
        <f>IF(ISERROR(EC19/DU19),"NA",IF(OR(EC19/DU19&gt;2,EC19/DU19&lt;0.5),"NM",EC19/DU19*100-100))</f>
        <v>-6.5580652791836087</v>
      </c>
      <c r="EE19" s="408">
        <f>EE644</f>
        <v>2.5056268287193335</v>
      </c>
      <c r="EF19" s="410">
        <f>IF(ISERROR(EE19/DW19),"NA",IF(OR(EE19/DW19&gt;2,EE19/DW19&lt;0.5),"NM",EE19/DW19*100-100))</f>
        <v>-0.55806970341095052</v>
      </c>
      <c r="EG19" s="408">
        <f>EG644</f>
        <v>2.4283765347885402</v>
      </c>
      <c r="EH19" s="410">
        <f>IF(ISERROR(EG19/DY19),"NA",IF(OR(EG19/DY19&gt;2,EG19/DY19&lt;0.5),"NM",EG19/DY19*100-100))</f>
        <v>17.419936217558103</v>
      </c>
      <c r="EI19" s="408">
        <f>EI644</f>
        <v>2.7648941015713961</v>
      </c>
      <c r="EJ19" s="410">
        <f>IF(ISERROR(EI19/EA19),"NA",IF(OR(EI19/EA19&gt;2,EI19/EA19&lt;0.5),"NM",EI19/EA19*100-100))</f>
        <v>11.04713572467378</v>
      </c>
      <c r="EK19" s="408">
        <f>EK644</f>
        <v>2.9347726648979964</v>
      </c>
      <c r="EL19" s="410">
        <f>IF(ISERROR(EK19/EC19),"NA",IF(OR(EK19/EC19&gt;2,EK19/EC19&lt;0.5),"NM",EK19/EC19*100-100))</f>
        <v>19.513582737122249</v>
      </c>
      <c r="EM19" s="408">
        <f>EM644</f>
        <v>2.9420689655172412</v>
      </c>
      <c r="EN19" s="410">
        <f>IF(ISERROR(EM19/EE19),"NA",IF(OR(EM19/EE19&gt;2,EM19/EE19&lt;0.5),"NM",EM19/EE19*100-100))</f>
        <v>17.418481147928162</v>
      </c>
      <c r="EO19" s="408">
        <f>EO644</f>
        <v>2.6794545874740008</v>
      </c>
      <c r="EP19" s="410">
        <f>IF(ISERROR(EO19/EG19),"NA",IF(OR(EO19/EG19&gt;2,EO19/EG19&lt;0.5),"NM",EO19/EG19*100-100))</f>
        <v>10.339337787552964</v>
      </c>
      <c r="EQ19" s="408">
        <f t="shared" ref="EQ19" si="75">EQ644</f>
        <v>3.0956473436103349</v>
      </c>
      <c r="ER19" s="410">
        <f t="shared" si="68"/>
        <v>11.962600732192925</v>
      </c>
      <c r="ES19" s="408">
        <f t="shared" ref="ES19" si="76">ES644</f>
        <v>3.1369010469049265</v>
      </c>
      <c r="ET19" s="410">
        <f t="shared" si="70"/>
        <v>6.8873607971251687</v>
      </c>
      <c r="EU19" s="408">
        <f t="shared" ref="EU19" si="77">EU644</f>
        <v>3.1253659827544977</v>
      </c>
      <c r="EV19" s="410">
        <f t="shared" si="72"/>
        <v>6.2302080401786668</v>
      </c>
      <c r="EW19" s="408">
        <f t="shared" ref="EW19" si="78">EW644</f>
        <v>2.838428618029682</v>
      </c>
      <c r="EX19" s="410">
        <f t="shared" si="74"/>
        <v>5.9330742643991101</v>
      </c>
      <c r="EZ19" s="347"/>
      <c r="FZ19" s="408">
        <f>FZ644</f>
        <v>3.7156777691244649</v>
      </c>
      <c r="GB19" s="408">
        <f>GB644</f>
        <v>5.0015532109440137</v>
      </c>
      <c r="GC19" s="410">
        <f t="shared" si="40"/>
        <v>34.606753376317215</v>
      </c>
      <c r="GD19" s="408">
        <f>GD644</f>
        <v>5.6579019390288998</v>
      </c>
      <c r="GE19" s="410">
        <f t="shared" si="41"/>
        <v>13.122898035928415</v>
      </c>
      <c r="GF19" s="408">
        <f>GF644</f>
        <v>9.1956971013724758</v>
      </c>
      <c r="GG19" s="785">
        <f t="shared" si="42"/>
        <v>62.528393041587236</v>
      </c>
      <c r="GH19" s="408">
        <f>GH644</f>
        <v>9.7045114389565974</v>
      </c>
      <c r="GI19" s="785">
        <f>IF(ISERROR(GH19/GF19),"NA",IF(OR(GH19/GF19&gt;2,GH19/GF19&lt;0.5),"NM",GH19/GF19*100-100))</f>
        <v>5.5331785287727797</v>
      </c>
      <c r="GJ19" s="408">
        <f>GJ644</f>
        <v>9.8713876735267121</v>
      </c>
      <c r="GK19" s="785">
        <f>IF(ISERROR(GJ19/GH19),"NA",IF(OR(GJ19/GH19&gt;2,GJ19/GH19&lt;0.5),"NM",GJ19/GH19*100-100))</f>
        <v>1.7195737840055187</v>
      </c>
      <c r="GL19" s="408">
        <f>GL644</f>
        <v>9.7235064209938571</v>
      </c>
      <c r="GM19" s="785">
        <f>IF(ISERROR(GL19/GJ19),"NA",IF(OR(GL19/GJ19&gt;2,GL19/GJ19&lt;0.5),"NM",GL19/GJ19*100-100))</f>
        <v>-1.4980796765731981</v>
      </c>
      <c r="GN19" s="408">
        <f>GN644</f>
        <v>11.321907754409303</v>
      </c>
      <c r="GO19" s="785">
        <f>IF(ISERROR(GN19/GL19),"NA",IF(OR(GN19/GL19&gt;2,GN19/GL19&lt;0.5),"NM",GN19/GL19*100-100))</f>
        <v>16.438528080408972</v>
      </c>
      <c r="GP19" s="408">
        <f>GP644</f>
        <v>12.199348634086146</v>
      </c>
      <c r="GQ19" s="785">
        <f>IF(ISERROR(GP19/GN19),"NA",IF(OR(GP19/GN19&gt;2,GP19/GN19&lt;0.5),"NM",GP19/GN19*100-100))</f>
        <v>7.7499384265441051</v>
      </c>
      <c r="GR19" s="408">
        <f>GR644</f>
        <v>12.751069324888016</v>
      </c>
      <c r="GS19" s="785">
        <f>IF(ISERROR(GR19/GP19),"NA",IF(OR(GR19/GP19&gt;2,GR19/GP19&lt;0.5),"NM",GR19/GP19*100-100))</f>
        <v>4.5225422057396685</v>
      </c>
      <c r="GT19" s="408">
        <f>GT644</f>
        <v>13.303162843222088</v>
      </c>
      <c r="GU19" s="785">
        <f>IF(ISERROR(GT19/GR19),"NA",IF(OR(GT19/GR19&gt;2,GT19/GR19&lt;0.5),"NM",GT19/GR19*100-100))</f>
        <v>4.3297821089912389</v>
      </c>
      <c r="GV19" s="408">
        <f>GV644</f>
        <v>13.853522114260759</v>
      </c>
      <c r="GW19" s="785">
        <f>IF(ISERROR(GV19/GT19),"NA",IF(OR(GV19/GT19&gt;2,GV19/GT19&lt;0.5),"NM",GV19/GT19*100-100))</f>
        <v>4.1370558078906612</v>
      </c>
      <c r="GX19" s="408">
        <f>GX644</f>
        <v>14.450625194663479</v>
      </c>
      <c r="GY19" s="785">
        <f>IF(ISERROR(GX19/GV19),"NA",IF(OR(GX19/GV19&gt;2,GX19/GV19&lt;0.5),"NM",GX19/GV19*100-100))</f>
        <v>4.3101174955938717</v>
      </c>
      <c r="GZ19" s="410">
        <f>IF(ISERROR(((GX19/GN19)^0.2-1)*100),"NA",IF((((GX19/GN19)^0.2-1)*100)&gt;100,"NM",IF((((GX19/GN19)^0.2-1)*100)&lt;-50,"NM",((GX19/GN19)^0.2-1)*100)))</f>
        <v>5.0009926899179602</v>
      </c>
      <c r="HA19" s="410"/>
      <c r="HB19" s="410"/>
      <c r="HC19"/>
      <c r="HD19"/>
      <c r="HE19"/>
      <c r="HF19"/>
      <c r="HG19"/>
      <c r="HH19"/>
    </row>
    <row r="20" spans="1:217" s="273" customFormat="1" ht="12.75" customHeight="1" x14ac:dyDescent="0.2">
      <c r="B20" s="403" t="s">
        <v>169</v>
      </c>
      <c r="CM20" s="408">
        <f>CM647</f>
        <v>1.6197610852399271</v>
      </c>
      <c r="CN20" s="410" t="str">
        <f>IF(ISERROR(CM20/CE20),"NA",IF(OR(CM20/CE20&gt;2,CM20/CE20&lt;0.5),"NM",CM20/CE20*100-100))</f>
        <v>NA</v>
      </c>
      <c r="CO20" s="408">
        <f>CO647</f>
        <v>1.5662894098625706</v>
      </c>
      <c r="CP20" s="410" t="str">
        <f>IF(ISERROR(CO20/CG20),"NA",IF(OR(CO20/CG20&gt;2,CO20/CG20&lt;0.5),"NM",CO20/CG20*100-100))</f>
        <v>NA</v>
      </c>
      <c r="CQ20" s="408">
        <f>CQ647</f>
        <v>0.83793173921929287</v>
      </c>
      <c r="CR20" s="410" t="str">
        <f>IF(ISERROR(CQ20/CI20),"NA",IF(OR(CQ20/CI20&gt;2,CQ20/CI20&lt;0.5),"NM",CQ20/CI20*100-100))</f>
        <v>NA</v>
      </c>
      <c r="CS20" s="408">
        <f>CS647</f>
        <v>1.7840670859538783</v>
      </c>
      <c r="CT20" s="410" t="str">
        <f>IF(ISERROR(CS20/CK20),"NA",IF(OR(CS20/CK20&gt;2,CS20/CK20&lt;0.5),"NM",CS20/CK20*100-100))</f>
        <v>NA</v>
      </c>
      <c r="CU20" s="408">
        <f>CU647</f>
        <v>1.6544502617801047</v>
      </c>
      <c r="CV20" s="410">
        <f>IF(ISERROR(CU20/CM20),"NA",IF(OR(CU20/CM20&gt;2,CU20/CM20&lt;0.5),"NM",CU20/CM20*100-100))</f>
        <v>2.1416230366492215</v>
      </c>
      <c r="CW20" s="408">
        <f>CW647</f>
        <v>1.3875395987328405</v>
      </c>
      <c r="CX20" s="410">
        <f>IF(ISERROR(CW20/CO20),"NA",IF(OR(CW20/CO20&gt;2,CW20/CO20&lt;0.5),"NM",CW20/CO20*100-100))</f>
        <v>-11.412310522192314</v>
      </c>
      <c r="CY20" s="408">
        <f>CY647</f>
        <v>1.6023738872403561</v>
      </c>
      <c r="CZ20" s="410">
        <f>IF(ISERROR(CY20/CQ20),"NA",IF(OR(CY20/CQ20&gt;2,CY20/CQ20&lt;0.5),"NM",CY20/CQ20*100-100))</f>
        <v>91.229644640660069</v>
      </c>
      <c r="DA20" s="408">
        <f>DA647</f>
        <v>1.7620770376675889</v>
      </c>
      <c r="DB20" s="410">
        <f>IF(ISERROR(DA20/CS20),"NA",IF(OR(DA20/CS20&gt;2,DA20/CS20&lt;0.5),"NM",DA20/CS20*100-100))</f>
        <v>-1.2325796748014142</v>
      </c>
      <c r="DC20" s="408">
        <f>DC647</f>
        <v>2.2662709349162604</v>
      </c>
      <c r="DD20" s="410">
        <f>IF(ISERROR(DC20/CU20),"NA",IF(OR(DC20/CU20&gt;2,DC20/CU20&lt;0.5),"NM",DC20/CU20*100-100))</f>
        <v>36.980300180065115</v>
      </c>
      <c r="DE20" s="408">
        <f>DE647</f>
        <v>2.3041084286319355</v>
      </c>
      <c r="DF20" s="410">
        <f>IF(ISERROR(DE20/CW20),"NA",IF(OR(DE20/CW20&gt;2,DE20/CW20&lt;0.5),"NM",DE20/CW20*100-100))</f>
        <v>66.057129521647113</v>
      </c>
      <c r="DG20" s="408">
        <f>DG647</f>
        <v>2.8940677966101696</v>
      </c>
      <c r="DH20" s="410">
        <f>IF(ISERROR(DG20/CY20),"NA",IF(OR(DG20/CY20&gt;2,DG20/CY20&lt;0.5),"NM",DG20/CY20*100-100))</f>
        <v>80.611268047708734</v>
      </c>
      <c r="DI20" s="408">
        <f>DI647</f>
        <v>2.2028862478777591</v>
      </c>
      <c r="DJ20" s="410">
        <f>IF(ISERROR(DI20/DA20),"NA",IF(OR(DI20/DA20&gt;2,DI20/DA20&lt;0.5),"NM",DI20/DA20*100-100))</f>
        <v>25.016455057700355</v>
      </c>
      <c r="DK20" s="408">
        <f>DK647</f>
        <v>2.4031336015244547</v>
      </c>
      <c r="DL20" s="410">
        <f>IF(ISERROR(DK20/DC20),"NA",IF(OR(DK20/DC20&gt;2,DK20/DC20&lt;0.5),"NM",DK20/DC20*100-100))</f>
        <v>6.0391131748442746</v>
      </c>
      <c r="DM20" s="408">
        <f>DM647</f>
        <v>2.4915038232795244</v>
      </c>
      <c r="DN20" s="410">
        <f>IF(ISERROR(DM20/DE20),"NA",IF(OR(DM20/DE20&gt;2,DM20/DE20&lt;0.5),"NM",DM20/DE20*100-100))</f>
        <v>8.1330979184367038</v>
      </c>
      <c r="DO20" s="408">
        <f>DO647</f>
        <v>2.1982942430703623</v>
      </c>
      <c r="DP20" s="410">
        <f>IF(ISERROR(DO20/DG20),"NA",IF(OR(DO20/DG20&gt;2,DO20/DG20&lt;0.5),"NM",DO20/DG20*100-100))</f>
        <v>-24.04137022480154</v>
      </c>
      <c r="DQ20" s="408">
        <f>DQ647</f>
        <v>2.118226600985222</v>
      </c>
      <c r="DR20" s="410">
        <f>IF(ISERROR(DQ20/DI20),"NA",IF(OR(DQ20/DI20&gt;2,DQ20/DI20&lt;0.5),"NM",DQ20/DI20*100-100))</f>
        <v>-3.8431238550831921</v>
      </c>
      <c r="DS20" s="408">
        <f>DS647</f>
        <v>2.7872020614129269</v>
      </c>
      <c r="DT20" s="410">
        <f>IF(ISERROR(DS20/DK20),"NA",IF(OR(DS20/DK20&gt;2,DS20/DK20&lt;0.5),"NM",DS20/DK20*100-100))</f>
        <v>15.981985339676257</v>
      </c>
      <c r="DU20" s="408">
        <f>DU647</f>
        <v>2.912621359223301</v>
      </c>
      <c r="DV20" s="410">
        <f>IF(ISERROR(DU20/DM20),"NA",IF(OR(DU20/DM20&gt;2,DU20/DM20&lt;0.5),"NM",DU20/DM20*100-100))</f>
        <v>16.902142874878948</v>
      </c>
      <c r="DW20" s="408">
        <f>DW647</f>
        <v>2.4015577672003463</v>
      </c>
      <c r="DX20" s="410">
        <f>IF(ISERROR(DW20/DO20),"NA",IF(OR(DW20/DO20&gt;2,DW20/DO20&lt;0.5),"NM",DW20/DO20*100-100))</f>
        <v>9.2464202538276083</v>
      </c>
      <c r="DY20" s="408">
        <f>DY647</f>
        <v>1.9373776908023483</v>
      </c>
      <c r="DZ20" s="410">
        <f>IF(ISERROR(DY20/DQ20),"NA",IF(OR(DY20/DQ20&gt;2,DY20/DQ20&lt;0.5),"NM",DY20/DQ20*100-100))</f>
        <v>-8.5377508760751937</v>
      </c>
      <c r="EA20" s="408">
        <f>EA647</f>
        <v>2.1787587412587412</v>
      </c>
      <c r="EB20" s="410">
        <f>IF(ISERROR(EA20/DS20),"NA",IF(OR(EA20/DS20&gt;2,EA20/DS20&lt;0.5),"NM",EA20/DS20*100-100))</f>
        <v>-21.829896317088156</v>
      </c>
      <c r="EC20" s="408">
        <f>EC647</f>
        <v>1.8450923659025149</v>
      </c>
      <c r="ED20" s="410">
        <f>IF(ISERROR(EC20/DU20),"NA",IF(OR(EC20/DU20&gt;2,EC20/DU20&lt;0.5),"NM",EC20/DU20*100-100))</f>
        <v>-36.651828770680318</v>
      </c>
      <c r="EE20" s="408">
        <f>EE647</f>
        <v>2.6592392527571458</v>
      </c>
      <c r="EF20" s="410">
        <f>IF(ISERROR(EE20/DW20),"NA",IF(OR(EE20/DW20&gt;2,EE20/DW20&lt;0.5),"NM",EE20/DW20*100-100))</f>
        <v>10.72976420039214</v>
      </c>
      <c r="EG20" s="408">
        <f>EG647</f>
        <v>2.4579354251932695</v>
      </c>
      <c r="EH20" s="410">
        <f>IF(ISERROR(EG20/DY20),"NA",IF(OR(EG20/DY20&gt;2,EG20/DY20&lt;0.5),"NM",EG20/DY20*100-100))</f>
        <v>26.869192148864713</v>
      </c>
      <c r="EI20" s="408">
        <f>EI647</f>
        <v>2.7943520838077887</v>
      </c>
      <c r="EJ20" s="410">
        <f>IF(ISERROR(EI20/EA20),"NA",IF(OR(EI20/EA20&gt;2,EI20/EA20&lt;0.5),"NM",EI20/EA20*100-100))</f>
        <v>28.254314297938237</v>
      </c>
      <c r="EK20" s="408">
        <f>EK647</f>
        <v>2.0903851431707987</v>
      </c>
      <c r="EL20" s="410">
        <f>IF(ISERROR(EK20/EC20),"NA",IF(OR(EK20/EC20&gt;2,EK20/EC20&lt;0.5),"NM",EK20/EC20*100-100))</f>
        <v>13.294335926012053</v>
      </c>
      <c r="EM20" s="408">
        <f>EM647</f>
        <v>3.0137931034482759</v>
      </c>
      <c r="EN20" s="410">
        <f>IF(ISERROR(EM20/EE20),"NA",IF(OR(EM20/EE20&gt;2,EM20/EE20&lt;0.5),"NM",EM20/EE20*100-100))</f>
        <v>13.332905278211513</v>
      </c>
      <c r="EO20" s="408">
        <f>EO647</f>
        <v>2.6854633695400971</v>
      </c>
      <c r="EP20" s="410">
        <f>IF(ISERROR(EO20/EG20),"NA",IF(OR(EO20/EG20&gt;2,EO20/EG20&lt;0.5),"NM",EO20/EG20*100-100))</f>
        <v>9.2568723333704668</v>
      </c>
      <c r="EQ20" s="408">
        <f t="shared" ref="EQ20" si="79">EQ647</f>
        <v>3.0956473436103349</v>
      </c>
      <c r="ER20" s="410">
        <f t="shared" si="68"/>
        <v>10.782294097742295</v>
      </c>
      <c r="ES20" s="408">
        <f t="shared" ref="ES20" si="80">ES647</f>
        <v>3.1369010469049265</v>
      </c>
      <c r="ET20" s="410">
        <f t="shared" si="70"/>
        <v>50.063305661784483</v>
      </c>
      <c r="EU20" s="408">
        <f t="shared" ref="EU20" si="81">EU647</f>
        <v>3.1253659827544977</v>
      </c>
      <c r="EV20" s="410">
        <f t="shared" si="72"/>
        <v>3.70207494265496</v>
      </c>
      <c r="EW20" s="408">
        <f t="shared" ref="EW20" si="82">EW647</f>
        <v>2.838428618029682</v>
      </c>
      <c r="EX20" s="410">
        <f t="shared" si="74"/>
        <v>5.6960467316216352</v>
      </c>
      <c r="EZ20" s="347"/>
      <c r="FZ20" s="408">
        <f>FZ647</f>
        <v>4.2724165132789906</v>
      </c>
      <c r="GB20" s="408">
        <f>GB647</f>
        <v>4.6219948849104862</v>
      </c>
      <c r="GC20" s="410">
        <f>IF(ISERROR(GB20/FZ20),"NA",IF(OR(GB20/FZ20&gt;2,GB20/FZ20&lt;0.5),"NM",GB20/FZ20*100-100))</f>
        <v>8.1822165639745066</v>
      </c>
      <c r="GD20" s="408">
        <f>GD647</f>
        <v>5.1841284936862682</v>
      </c>
      <c r="GE20" s="410">
        <f>IF(ISERROR(GD20/GB20),"NA",IF(OR(GD20/GB20&gt;2,GD20/GB20&lt;0.5),"NM",GD20/GB20*100-100))</f>
        <v>12.162142598015208</v>
      </c>
      <c r="GF20" s="408">
        <f>GF647</f>
        <v>10.074717820995177</v>
      </c>
      <c r="GG20" s="785">
        <f>IF(ISERROR(GF20/GD20),"NA",IF(OR(GF20/GD20&gt;2,GF20/GD20&lt;0.5),"NM",GF20/GD20*100-100))</f>
        <v>94.337733589457514</v>
      </c>
      <c r="GH20" s="408">
        <f>GH647</f>
        <v>9.2011582688595634</v>
      </c>
      <c r="GI20" s="785">
        <f>IF(ISERROR(GH20/GF20),"NA",IF(OR(GH20/GF20&gt;2,GH20/GF20&lt;0.5),"NM",GH20/GF20*100-100))</f>
        <v>-8.6708091249480219</v>
      </c>
      <c r="GJ20" s="408">
        <f>GJ647</f>
        <v>10.044833360341382</v>
      </c>
      <c r="GK20" s="785">
        <f>IF(ISERROR(GJ20/GH20),"NA",IF(OR(GJ20/GH20&gt;2,GJ20/GH20&lt;0.5),"NM",GJ20/GH20*100-100))</f>
        <v>9.1692270345697295</v>
      </c>
      <c r="GL20" s="408">
        <f>GL647</f>
        <v>9.1312116136236732</v>
      </c>
      <c r="GM20" s="785">
        <f>IF(ISERROR(GL20/GJ20),"NA",IF(OR(GL20/GJ20&gt;2,GL20/GJ20&lt;0.5),"NM",GL20/GJ20*100-100))</f>
        <v>-9.0954395552726055</v>
      </c>
      <c r="GN20" s="408">
        <f>GN647</f>
        <v>10.582326093438224</v>
      </c>
      <c r="GO20" s="785">
        <f>IF(ISERROR(GN20/GL20),"NA",IF(OR(GN20/GL20&gt;2,GN20/GL20&lt;0.5),"NM",GN20/GL20*100-100))</f>
        <v>15.891806489836497</v>
      </c>
      <c r="GP20" s="408">
        <f>GP647</f>
        <v>12.199348634086146</v>
      </c>
      <c r="GQ20" s="785">
        <f>IF(ISERROR(GP20/GN20),"NA",IF(OR(GP20/GN20&gt;2,GP20/GN20&lt;0.5),"NM",GP20/GN20*100-100))</f>
        <v>15.280407411094515</v>
      </c>
      <c r="GR20" s="408">
        <f>GR647</f>
        <v>12.751069324888016</v>
      </c>
      <c r="GS20" s="785">
        <f>IF(ISERROR(GR20/GP20),"NA",IF(OR(GR20/GP20&gt;2,GR20/GP20&lt;0.5),"NM",GR20/GP20*100-100))</f>
        <v>4.5225422057396685</v>
      </c>
      <c r="GT20" s="408">
        <f>GT647</f>
        <v>13.303162843222088</v>
      </c>
      <c r="GU20" s="785">
        <f>IF(ISERROR(GT20/GR20),"NA",IF(OR(GT20/GR20&gt;2,GT20/GR20&lt;0.5),"NM",GT20/GR20*100-100))</f>
        <v>4.3297821089912389</v>
      </c>
      <c r="GV20" s="408">
        <f>GV647</f>
        <v>13.853522114260759</v>
      </c>
      <c r="GW20" s="785">
        <f>IF(ISERROR(GV20/GT20),"NA",IF(OR(GV20/GT20&gt;2,GV20/GT20&lt;0.5),"NM",GV20/GT20*100-100))</f>
        <v>4.1370558078906612</v>
      </c>
      <c r="GX20" s="408">
        <f>GX647</f>
        <v>14.450625194663479</v>
      </c>
      <c r="GY20" s="785">
        <f>IF(ISERROR(GX20/GV20),"NA",IF(OR(GX20/GV20&gt;2,GX20/GV20&lt;0.5),"NM",GX20/GV20*100-100))</f>
        <v>4.3101174955938717</v>
      </c>
      <c r="GZ20" s="410">
        <f>IF(ISERROR(((GX20/GN20)^0.2-1)*100),"NA",IF((((GX20/GN20)^0.2-1)*100)&gt;100,"NM",IF((((GX20/GN20)^0.2-1)*100)&lt;-50,"NM",((GX20/GN20)^0.2-1)*100)))</f>
        <v>6.429273926309631</v>
      </c>
      <c r="HA20" s="410"/>
      <c r="HB20" s="410"/>
      <c r="HC20"/>
      <c r="HD20"/>
      <c r="HE20"/>
      <c r="HF20"/>
      <c r="HG20"/>
      <c r="HH20"/>
    </row>
    <row r="21" spans="1:217" s="273" customFormat="1" ht="12.75" hidden="1" customHeight="1" outlineLevel="1" x14ac:dyDescent="0.25">
      <c r="EZ21" s="347"/>
      <c r="GG21" s="786"/>
      <c r="GI21" s="786"/>
      <c r="GK21" s="786"/>
      <c r="GM21" s="786"/>
      <c r="GO21" s="786"/>
      <c r="GQ21" s="786"/>
      <c r="GS21" s="786"/>
      <c r="GU21" s="786"/>
      <c r="GW21" s="786"/>
      <c r="GY21" s="786"/>
      <c r="HB21" s="683" t="s">
        <v>29</v>
      </c>
      <c r="HC21"/>
      <c r="HD21"/>
      <c r="HE21"/>
      <c r="HF21"/>
      <c r="HG21"/>
      <c r="HH21"/>
    </row>
    <row r="22" spans="1:217" s="358" customFormat="1" ht="12.75" hidden="1" customHeight="1" outlineLevel="1" x14ac:dyDescent="0.2">
      <c r="B22" s="359" t="s">
        <v>310</v>
      </c>
      <c r="C22" s="274"/>
      <c r="D22" s="389"/>
      <c r="E22" s="274"/>
      <c r="F22" s="389"/>
      <c r="G22" s="274"/>
      <c r="H22" s="389"/>
      <c r="I22" s="274"/>
      <c r="J22" s="389"/>
      <c r="K22" s="274"/>
      <c r="L22" s="389"/>
      <c r="M22" s="274"/>
      <c r="N22" s="389"/>
      <c r="O22" s="274"/>
      <c r="P22" s="389"/>
      <c r="Q22" s="274"/>
      <c r="R22" s="389"/>
      <c r="S22" s="274"/>
      <c r="T22" s="389"/>
      <c r="U22" s="274"/>
      <c r="V22" s="389"/>
      <c r="W22" s="274"/>
      <c r="X22" s="389"/>
      <c r="Y22" s="274"/>
      <c r="Z22" s="389"/>
      <c r="AA22" s="274"/>
      <c r="AB22" s="389"/>
      <c r="AC22" s="274"/>
      <c r="AD22" s="389"/>
      <c r="AE22" s="274"/>
      <c r="AF22" s="389"/>
      <c r="AG22" s="274"/>
      <c r="AH22" s="389"/>
      <c r="AI22" s="274"/>
      <c r="AJ22" s="389"/>
      <c r="AK22" s="274"/>
      <c r="AL22" s="389"/>
      <c r="AM22" s="274"/>
      <c r="AN22" s="389"/>
      <c r="AO22" s="274"/>
      <c r="AP22" s="389"/>
      <c r="AQ22" s="274"/>
      <c r="AR22" s="389"/>
      <c r="AS22" s="274"/>
      <c r="AT22" s="389"/>
      <c r="AU22" s="274"/>
      <c r="AV22" s="389"/>
      <c r="AW22" s="274"/>
      <c r="AX22" s="389"/>
      <c r="AY22" s="274"/>
      <c r="AZ22" s="389"/>
      <c r="BA22" s="274"/>
      <c r="BB22" s="389"/>
      <c r="BC22" s="274"/>
      <c r="BD22" s="389"/>
      <c r="BE22" s="274"/>
      <c r="BF22" s="389"/>
      <c r="BG22" s="274"/>
      <c r="BH22" s="389"/>
      <c r="BI22" s="274"/>
      <c r="BJ22" s="389"/>
      <c r="BK22" s="274"/>
      <c r="BL22" s="389"/>
      <c r="BM22" s="274"/>
      <c r="BN22" s="389"/>
      <c r="BO22" s="274"/>
      <c r="BP22" s="389"/>
      <c r="BQ22" s="274"/>
      <c r="BR22" s="389"/>
      <c r="BS22" s="274"/>
      <c r="BT22" s="389"/>
      <c r="BU22" s="274"/>
      <c r="BV22" s="389"/>
      <c r="BW22" s="274"/>
      <c r="BX22" s="389"/>
      <c r="BY22" s="274"/>
      <c r="BZ22" s="389"/>
      <c r="CA22" s="274"/>
      <c r="CB22" s="389"/>
      <c r="CC22" s="274"/>
      <c r="CD22" s="389"/>
      <c r="CE22" s="274"/>
      <c r="CF22" s="389"/>
      <c r="CG22" s="274"/>
      <c r="CH22" s="389"/>
      <c r="CI22" s="274"/>
      <c r="CJ22" s="389"/>
      <c r="CK22" s="274"/>
      <c r="CL22" s="389"/>
      <c r="CM22" s="274"/>
      <c r="CN22" s="389"/>
      <c r="CO22" s="274"/>
      <c r="CP22" s="389"/>
      <c r="CQ22" s="274"/>
      <c r="CR22" s="389"/>
      <c r="CS22" s="274"/>
      <c r="CT22" s="389"/>
      <c r="CU22" s="274"/>
      <c r="CV22" s="389"/>
      <c r="CW22" s="274"/>
      <c r="CX22" s="389"/>
      <c r="CY22" s="274"/>
      <c r="CZ22" s="389"/>
      <c r="DA22" s="274"/>
      <c r="DB22" s="389"/>
      <c r="DC22" s="274"/>
      <c r="DD22" s="389"/>
      <c r="DE22" s="274"/>
      <c r="DF22" s="389"/>
      <c r="DG22" s="274"/>
      <c r="DH22" s="389"/>
      <c r="DI22" s="274"/>
      <c r="DJ22" s="389"/>
      <c r="DK22" s="274"/>
      <c r="DL22" s="389"/>
      <c r="DM22" s="274"/>
      <c r="DN22" s="389"/>
      <c r="DO22" s="274"/>
      <c r="DP22" s="389"/>
      <c r="DQ22" s="271"/>
      <c r="DR22" s="389"/>
      <c r="DS22" s="271"/>
      <c r="DT22" s="389"/>
      <c r="DU22" s="271"/>
      <c r="DV22" s="389"/>
      <c r="DW22" s="271"/>
      <c r="DX22" s="389"/>
      <c r="DY22" s="271"/>
      <c r="DZ22" s="389"/>
      <c r="EA22" s="271"/>
      <c r="EB22" s="389"/>
      <c r="EC22" s="271"/>
      <c r="ED22" s="389"/>
      <c r="EE22" s="271"/>
      <c r="EF22" s="389"/>
      <c r="EG22" s="271"/>
      <c r="EH22" s="389"/>
      <c r="EI22" s="271"/>
      <c r="EJ22" s="389"/>
      <c r="EK22" s="271"/>
      <c r="EL22" s="389"/>
      <c r="EM22" s="271"/>
      <c r="EN22" s="389"/>
      <c r="EO22" s="271"/>
      <c r="EP22" s="389"/>
      <c r="EQ22" s="271"/>
      <c r="ER22" s="389"/>
      <c r="ES22" s="271"/>
      <c r="ET22" s="389"/>
      <c r="EU22" s="271"/>
      <c r="EV22" s="389"/>
      <c r="EW22" s="271"/>
      <c r="EX22" s="389"/>
      <c r="EY22" s="389"/>
      <c r="EZ22" s="304"/>
      <c r="FA22" s="389"/>
      <c r="FB22" s="274"/>
      <c r="FC22" s="389"/>
      <c r="FD22" s="274"/>
      <c r="FE22" s="389"/>
      <c r="FF22" s="274"/>
      <c r="FG22" s="389"/>
      <c r="FH22" s="274"/>
      <c r="FI22" s="389"/>
      <c r="FJ22" s="274"/>
      <c r="FK22" s="389"/>
      <c r="FL22" s="274"/>
      <c r="FM22" s="389"/>
      <c r="FN22" s="274"/>
      <c r="FO22" s="389"/>
      <c r="FP22" s="274"/>
      <c r="FQ22" s="389"/>
      <c r="FR22" s="271"/>
      <c r="FS22" s="389"/>
      <c r="FT22" s="271"/>
      <c r="FU22" s="389"/>
      <c r="FV22" s="271"/>
      <c r="FW22" s="389"/>
      <c r="FX22" s="271"/>
      <c r="FY22" s="389"/>
      <c r="FZ22" s="271"/>
      <c r="GA22" s="389"/>
      <c r="GB22" s="271"/>
      <c r="GC22" s="389"/>
      <c r="GD22" s="271"/>
      <c r="GE22" s="389"/>
      <c r="GF22" s="271"/>
      <c r="GG22" s="389"/>
      <c r="GH22" s="271"/>
      <c r="GI22" s="389"/>
      <c r="GJ22" s="271"/>
      <c r="GK22" s="389"/>
      <c r="GL22" s="271"/>
      <c r="GM22" s="389"/>
      <c r="GN22" s="271"/>
      <c r="GO22" s="389"/>
      <c r="GP22" s="271"/>
      <c r="GQ22" s="389"/>
      <c r="GR22" s="271"/>
      <c r="GS22" s="389"/>
      <c r="GT22" s="271"/>
      <c r="GU22" s="389"/>
      <c r="GV22" s="271"/>
      <c r="GW22" s="389"/>
      <c r="GX22" s="271"/>
      <c r="GY22" s="389"/>
      <c r="GZ22" s="389"/>
      <c r="HA22" s="389"/>
      <c r="HB22" s="389"/>
      <c r="HC22"/>
      <c r="HD22"/>
      <c r="HE22"/>
      <c r="HF22"/>
      <c r="HG22"/>
      <c r="HH22"/>
      <c r="HI22" s="273"/>
    </row>
    <row r="23" spans="1:217" s="358" customFormat="1" ht="12.75" hidden="1" customHeight="1" outlineLevel="1" x14ac:dyDescent="0.2">
      <c r="B23" s="273" t="s">
        <v>278</v>
      </c>
      <c r="C23" s="274"/>
      <c r="D23" s="389"/>
      <c r="E23" s="274"/>
      <c r="F23" s="389"/>
      <c r="G23" s="274"/>
      <c r="H23" s="389"/>
      <c r="I23" s="274"/>
      <c r="J23" s="389"/>
      <c r="K23" s="274"/>
      <c r="L23" s="389"/>
      <c r="M23" s="274"/>
      <c r="N23" s="389"/>
      <c r="O23" s="274"/>
      <c r="P23" s="389"/>
      <c r="Q23" s="274"/>
      <c r="R23" s="389"/>
      <c r="S23" s="274"/>
      <c r="T23" s="389"/>
      <c r="U23" s="274"/>
      <c r="V23" s="389"/>
      <c r="W23" s="274"/>
      <c r="X23" s="389"/>
      <c r="Y23" s="274"/>
      <c r="Z23" s="389"/>
      <c r="AA23" s="274"/>
      <c r="AB23" s="389"/>
      <c r="AC23" s="274"/>
      <c r="AD23" s="389"/>
      <c r="AE23" s="274"/>
      <c r="AF23" s="389"/>
      <c r="AG23" s="274"/>
      <c r="AH23" s="389"/>
      <c r="AI23" s="274"/>
      <c r="AJ23" s="389"/>
      <c r="AK23" s="274"/>
      <c r="AL23" s="389"/>
      <c r="AM23" s="274"/>
      <c r="AN23" s="389"/>
      <c r="AO23" s="274"/>
      <c r="AP23" s="389"/>
      <c r="AQ23" s="274"/>
      <c r="AR23" s="389"/>
      <c r="AS23" s="274"/>
      <c r="AT23" s="389"/>
      <c r="AU23" s="274"/>
      <c r="AV23" s="389"/>
      <c r="AW23" s="274"/>
      <c r="AX23" s="389"/>
      <c r="AY23" s="274"/>
      <c r="AZ23" s="389"/>
      <c r="BA23" s="390"/>
      <c r="BB23" s="389"/>
      <c r="BC23" s="390"/>
      <c r="BD23" s="389"/>
      <c r="BE23" s="390"/>
      <c r="BF23" s="389"/>
      <c r="BG23" s="390"/>
      <c r="BH23" s="389"/>
      <c r="BI23" s="390"/>
      <c r="BJ23" s="389"/>
      <c r="BK23" s="390"/>
      <c r="BL23" s="389"/>
      <c r="BM23" s="390"/>
      <c r="BN23" s="389"/>
      <c r="BO23" s="390"/>
      <c r="BP23" s="389"/>
      <c r="BQ23" s="390"/>
      <c r="BR23" s="389"/>
      <c r="BS23" s="390"/>
      <c r="BT23" s="389"/>
      <c r="BU23" s="390"/>
      <c r="BV23" s="389"/>
      <c r="BW23" s="390"/>
      <c r="BX23" s="389"/>
      <c r="BY23" s="390"/>
      <c r="BZ23" s="389"/>
      <c r="CA23" s="390"/>
      <c r="CB23" s="389"/>
      <c r="CC23" s="390"/>
      <c r="CD23" s="389"/>
      <c r="CE23" s="390"/>
      <c r="CF23" s="389"/>
      <c r="CG23" s="390"/>
      <c r="CH23" s="389"/>
      <c r="CI23" s="390"/>
      <c r="CJ23" s="389"/>
      <c r="CK23" s="390"/>
      <c r="CL23" s="389"/>
      <c r="CM23" s="390"/>
      <c r="CN23" s="389"/>
      <c r="CO23" s="390"/>
      <c r="CP23" s="389"/>
      <c r="CQ23" s="390"/>
      <c r="CR23" s="389"/>
      <c r="CS23" s="390"/>
      <c r="CT23" s="389"/>
      <c r="CU23" s="390"/>
      <c r="CV23" s="389"/>
      <c r="CW23" s="390"/>
      <c r="CX23" s="389"/>
      <c r="CY23" s="390"/>
      <c r="CZ23" s="391"/>
      <c r="DA23" s="390"/>
      <c r="DB23" s="389"/>
      <c r="DC23" s="390"/>
      <c r="DD23" s="389"/>
      <c r="DE23" s="390"/>
      <c r="DF23" s="389"/>
      <c r="DG23" s="390"/>
      <c r="DH23" s="389"/>
      <c r="DI23" s="390"/>
      <c r="DJ23" s="389"/>
      <c r="DK23" s="390"/>
      <c r="DL23" s="389"/>
      <c r="DM23" s="390"/>
      <c r="DN23" s="389"/>
      <c r="DO23" s="390"/>
      <c r="DP23" s="389"/>
      <c r="DQ23" s="390"/>
      <c r="DR23" s="389"/>
      <c r="DS23" s="392"/>
      <c r="DT23" s="389"/>
      <c r="DU23" s="392"/>
      <c r="DV23" s="389"/>
      <c r="DW23" s="392"/>
      <c r="DX23" s="389"/>
      <c r="DY23" s="392"/>
      <c r="DZ23" s="389"/>
      <c r="EA23" s="392"/>
      <c r="EB23" s="389"/>
      <c r="EC23" s="392"/>
      <c r="ED23" s="389"/>
      <c r="EE23" s="392"/>
      <c r="EF23" s="389"/>
      <c r="EG23" s="392"/>
      <c r="EH23" s="389"/>
      <c r="EI23" s="392">
        <v>2</v>
      </c>
      <c r="EJ23" s="389"/>
      <c r="EK23" s="392">
        <v>2</v>
      </c>
      <c r="EL23" s="389"/>
      <c r="EM23" s="392">
        <v>2</v>
      </c>
      <c r="EN23" s="389"/>
      <c r="EO23" s="392">
        <v>2</v>
      </c>
      <c r="EP23" s="389"/>
      <c r="EQ23" s="392">
        <v>-1.2</v>
      </c>
      <c r="ER23" s="389"/>
      <c r="ES23" s="392">
        <v>2</v>
      </c>
      <c r="ET23" s="389"/>
      <c r="EU23" s="392">
        <v>2</v>
      </c>
      <c r="EV23" s="389"/>
      <c r="EW23" s="392">
        <v>2</v>
      </c>
      <c r="EX23" s="389"/>
      <c r="EY23" s="389"/>
      <c r="EZ23" s="304"/>
      <c r="FA23" s="389"/>
      <c r="FB23" s="274"/>
      <c r="FC23" s="389"/>
      <c r="FD23" s="274"/>
      <c r="FE23" s="389"/>
      <c r="FF23" s="274"/>
      <c r="FG23" s="389"/>
      <c r="FH23" s="274"/>
      <c r="FI23" s="389"/>
      <c r="FJ23" s="274"/>
      <c r="FK23" s="389"/>
      <c r="FL23" s="274"/>
      <c r="FM23" s="389"/>
      <c r="FN23" s="274"/>
      <c r="FO23" s="389"/>
      <c r="FP23" s="390"/>
      <c r="FQ23" s="389"/>
      <c r="FR23" s="271"/>
      <c r="FS23" s="389"/>
      <c r="FT23" s="271"/>
      <c r="FU23" s="389"/>
      <c r="FV23" s="271"/>
      <c r="FW23" s="389"/>
      <c r="FX23" s="271"/>
      <c r="FY23" s="389"/>
      <c r="FZ23" s="271"/>
      <c r="GA23" s="389"/>
      <c r="GB23" s="271"/>
      <c r="GC23" s="389"/>
      <c r="GD23" s="271"/>
      <c r="GE23" s="389"/>
      <c r="GF23" s="271"/>
      <c r="GG23" s="389"/>
      <c r="GH23" s="392">
        <v>8</v>
      </c>
      <c r="GI23" s="389"/>
      <c r="GJ23" s="392">
        <v>8</v>
      </c>
      <c r="GK23" s="389"/>
      <c r="GL23" s="392">
        <v>8</v>
      </c>
      <c r="GM23" s="389"/>
      <c r="GN23" s="392">
        <v>8</v>
      </c>
      <c r="GO23" s="389"/>
      <c r="GP23" s="392">
        <v>8</v>
      </c>
      <c r="GQ23" s="389"/>
      <c r="GR23" s="392">
        <v>8</v>
      </c>
      <c r="GS23" s="389"/>
      <c r="GT23" s="392">
        <v>8</v>
      </c>
      <c r="GU23" s="389"/>
      <c r="GV23" s="392">
        <v>8</v>
      </c>
      <c r="GW23" s="389"/>
      <c r="GX23" s="392">
        <v>8</v>
      </c>
      <c r="GY23" s="389"/>
      <c r="GZ23" s="389"/>
      <c r="HA23" s="389"/>
      <c r="HB23" s="389"/>
      <c r="HC23"/>
      <c r="HD23"/>
      <c r="HE23"/>
      <c r="HF23"/>
      <c r="HG23"/>
      <c r="HH23"/>
      <c r="HI23" s="273"/>
    </row>
    <row r="24" spans="1:217" s="393" customFormat="1" ht="12.75" hidden="1" customHeight="1" outlineLevel="1" x14ac:dyDescent="0.2">
      <c r="B24" s="393" t="s">
        <v>279</v>
      </c>
      <c r="C24" s="394"/>
      <c r="D24" s="395"/>
      <c r="E24" s="394"/>
      <c r="F24" s="395"/>
      <c r="G24" s="394"/>
      <c r="H24" s="395"/>
      <c r="I24" s="394"/>
      <c r="J24" s="395"/>
      <c r="K24" s="394"/>
      <c r="L24" s="395"/>
      <c r="M24" s="394"/>
      <c r="N24" s="395"/>
      <c r="O24" s="394"/>
      <c r="P24" s="395"/>
      <c r="Q24" s="394"/>
      <c r="R24" s="395"/>
      <c r="S24" s="394"/>
      <c r="T24" s="395"/>
      <c r="U24" s="394"/>
      <c r="V24" s="395"/>
      <c r="W24" s="394"/>
      <c r="X24" s="395"/>
      <c r="Y24" s="394"/>
      <c r="Z24" s="395"/>
      <c r="AA24" s="394"/>
      <c r="AB24" s="395"/>
      <c r="AC24" s="394"/>
      <c r="AD24" s="395"/>
      <c r="AE24" s="394"/>
      <c r="AF24" s="395"/>
      <c r="AG24" s="394"/>
      <c r="AH24" s="395"/>
      <c r="AI24" s="394"/>
      <c r="AJ24" s="395"/>
      <c r="AK24" s="394"/>
      <c r="AL24" s="395"/>
      <c r="AM24" s="394"/>
      <c r="AN24" s="395"/>
      <c r="AO24" s="394"/>
      <c r="AP24" s="395"/>
      <c r="AQ24" s="394"/>
      <c r="AR24" s="395"/>
      <c r="AS24" s="394"/>
      <c r="AT24" s="395"/>
      <c r="AU24" s="394"/>
      <c r="AV24" s="395"/>
      <c r="AW24" s="394"/>
      <c r="AX24" s="395"/>
      <c r="AY24" s="394"/>
      <c r="AZ24" s="395"/>
      <c r="BA24" s="394"/>
      <c r="BB24" s="395"/>
      <c r="BC24" s="394"/>
      <c r="BD24" s="395"/>
      <c r="BE24" s="394"/>
      <c r="BF24" s="395"/>
      <c r="BG24" s="394"/>
      <c r="BH24" s="395"/>
      <c r="BI24" s="396"/>
      <c r="BJ24" s="395"/>
      <c r="BK24" s="396"/>
      <c r="BL24" s="395"/>
      <c r="BM24" s="396"/>
      <c r="BN24" s="395"/>
      <c r="BO24" s="396"/>
      <c r="BP24" s="395"/>
      <c r="BQ24" s="396"/>
      <c r="BR24" s="395"/>
      <c r="BS24" s="396"/>
      <c r="BT24" s="395"/>
      <c r="BU24" s="396"/>
      <c r="BV24" s="395"/>
      <c r="BW24" s="396"/>
      <c r="BX24" s="395"/>
      <c r="BY24" s="396"/>
      <c r="BZ24" s="395"/>
      <c r="CA24" s="396"/>
      <c r="CB24" s="395"/>
      <c r="CC24" s="396"/>
      <c r="CD24" s="395"/>
      <c r="CE24" s="396"/>
      <c r="CF24" s="395"/>
      <c r="CG24" s="396"/>
      <c r="CH24" s="395"/>
      <c r="CI24" s="396"/>
      <c r="CJ24" s="395"/>
      <c r="CK24" s="396"/>
      <c r="CL24" s="395"/>
      <c r="CM24" s="396"/>
      <c r="CN24" s="395"/>
      <c r="CO24" s="396"/>
      <c r="CP24" s="395"/>
      <c r="CQ24" s="396"/>
      <c r="CR24" s="395"/>
      <c r="CS24" s="396"/>
      <c r="CT24" s="395"/>
      <c r="CU24" s="396"/>
      <c r="CV24" s="395"/>
      <c r="CW24" s="396"/>
      <c r="CX24" s="395"/>
      <c r="CY24" s="396"/>
      <c r="CZ24" s="397"/>
      <c r="DA24" s="396"/>
      <c r="DB24" s="395"/>
      <c r="DC24" s="396"/>
      <c r="DD24" s="395"/>
      <c r="DE24" s="396"/>
      <c r="DF24" s="395"/>
      <c r="DG24" s="396"/>
      <c r="DH24" s="395"/>
      <c r="DI24" s="396"/>
      <c r="DJ24" s="395"/>
      <c r="DK24" s="396"/>
      <c r="DL24" s="395"/>
      <c r="DM24" s="396"/>
      <c r="DN24" s="395"/>
      <c r="DO24" s="396"/>
      <c r="DP24" s="395"/>
      <c r="DQ24" s="396"/>
      <c r="DR24" s="395"/>
      <c r="DS24" s="398"/>
      <c r="DT24" s="395"/>
      <c r="DU24" s="398"/>
      <c r="DV24" s="395"/>
      <c r="DW24" s="398"/>
      <c r="DX24" s="395"/>
      <c r="DY24" s="398"/>
      <c r="DZ24" s="395"/>
      <c r="EA24" s="398"/>
      <c r="EB24" s="395"/>
      <c r="EC24" s="398"/>
      <c r="ED24" s="395"/>
      <c r="EE24" s="398"/>
      <c r="EF24" s="395"/>
      <c r="EG24" s="398"/>
      <c r="EH24" s="395"/>
      <c r="EI24" s="398">
        <f>IF($B$6=1,EI23,IF($B$6=2,EI23+EI867,IF($B$6=3,EI23+EI868)))</f>
        <v>2</v>
      </c>
      <c r="EJ24" s="395"/>
      <c r="EK24" s="398">
        <f>IF($B$6=1,EK23,IF($B$6=2,EK23+EK867,IF($B$6=3,EK23+EK868)))</f>
        <v>2</v>
      </c>
      <c r="EL24" s="395"/>
      <c r="EM24" s="398">
        <f>IF($B$6=1,EM23,IF($B$6=2,EM23+EM867,IF($B$6=3,EM23+EM868)))</f>
        <v>2</v>
      </c>
      <c r="EN24" s="395"/>
      <c r="EO24" s="398">
        <f>IF($B$6=1,EO23,IF($B$6=2,EO23+EO867,IF($B$6=3,EO23+EO868)))</f>
        <v>2</v>
      </c>
      <c r="EP24" s="395"/>
      <c r="EQ24" s="398">
        <f>IF($B$6=1,EQ23,IF($B$6=2,EQ23+EQ867,IF($B$6=3,EQ23+EQ868)))</f>
        <v>-1.2</v>
      </c>
      <c r="ER24" s="395"/>
      <c r="ES24" s="398">
        <f>IF($B$6=1,ES23,IF($B$6=2,ES23+ES867,IF($B$6=3,ES23+ES868)))</f>
        <v>2</v>
      </c>
      <c r="ET24" s="395"/>
      <c r="EU24" s="398">
        <f>IF($B$6=1,EU23,IF($B$6=2,EU23+EU867,IF($B$6=3,EU23+EU868)))</f>
        <v>2</v>
      </c>
      <c r="EV24" s="395"/>
      <c r="EW24" s="398">
        <f>IF($B$6=1,EW23,IF($B$6=2,EW23+EW867,IF($B$6=3,EW23+EW868)))</f>
        <v>2</v>
      </c>
      <c r="EX24" s="395"/>
      <c r="EY24" s="395"/>
      <c r="EZ24" s="305"/>
      <c r="FA24" s="395"/>
      <c r="FB24" s="394"/>
      <c r="FC24" s="395"/>
      <c r="FD24" s="394"/>
      <c r="FE24" s="395"/>
      <c r="FF24" s="394"/>
      <c r="FG24" s="395"/>
      <c r="FH24" s="394"/>
      <c r="FI24" s="395"/>
      <c r="FJ24" s="394"/>
      <c r="FK24" s="395"/>
      <c r="FL24" s="394"/>
      <c r="FM24" s="395"/>
      <c r="FN24" s="394"/>
      <c r="FO24" s="395"/>
      <c r="FP24" s="394"/>
      <c r="FQ24" s="395"/>
      <c r="FR24" s="396"/>
      <c r="FS24" s="395"/>
      <c r="FT24" s="396"/>
      <c r="FU24" s="395"/>
      <c r="FV24" s="396"/>
      <c r="FW24" s="395"/>
      <c r="FX24" s="396"/>
      <c r="FY24" s="395"/>
      <c r="FZ24" s="396"/>
      <c r="GA24" s="395"/>
      <c r="GB24" s="396"/>
      <c r="GC24" s="395"/>
      <c r="GD24" s="396"/>
      <c r="GE24" s="395"/>
      <c r="GF24" s="396"/>
      <c r="GG24" s="395"/>
      <c r="GH24" s="398">
        <f>IF($B$6=1,GH23,IF($B$6=2,GH23+GH867,IF($B$6=3,GH23+GH868)))</f>
        <v>8</v>
      </c>
      <c r="GI24" s="395"/>
      <c r="GJ24" s="398">
        <f>IF($B$6=1,GJ23,IF($B$6=2,GJ23+GJ867,IF($B$6=3,GJ23+GJ868)))</f>
        <v>8</v>
      </c>
      <c r="GK24" s="395"/>
      <c r="GL24" s="398">
        <f>IF($B$6=1,GL23,IF($B$6=2,GL23+GL867,IF($B$6=3,GL23+GL868)))</f>
        <v>8</v>
      </c>
      <c r="GM24" s="395"/>
      <c r="GN24" s="398">
        <f>IF($B$6=1,GN23,IF($B$6=2,GN23+GN867,IF($B$6=3,GN23+GN868)))</f>
        <v>8</v>
      </c>
      <c r="GO24" s="395"/>
      <c r="GP24" s="398">
        <f>IF($B$6=1,GP23,IF($B$6=2,GP23+GP867,IF($B$6=3,GP23+GP868)))</f>
        <v>8</v>
      </c>
      <c r="GQ24" s="395"/>
      <c r="GR24" s="398">
        <f>IF($B$6=1,GR23,IF($B$6=2,GR23+GR867,IF($B$6=3,GR23+GR868)))</f>
        <v>8</v>
      </c>
      <c r="GS24" s="395"/>
      <c r="GT24" s="398">
        <f>IF($B$6=1,GT23,IF($B$6=2,GT23+GT867,IF($B$6=3,GT23+GT868)))</f>
        <v>8</v>
      </c>
      <c r="GU24" s="395"/>
      <c r="GV24" s="398">
        <f>IF($B$6=1,GV23,IF($B$6=2,GV23+GV867,IF($B$6=3,GV23+GV868)))</f>
        <v>8</v>
      </c>
      <c r="GW24" s="395"/>
      <c r="GX24" s="398">
        <f>IF($B$6=1,GX23,IF($B$6=2,GX23+GX867,IF($B$6=3,GX23+GX868)))</f>
        <v>8</v>
      </c>
      <c r="GY24" s="395"/>
      <c r="GZ24" s="395"/>
      <c r="HA24" s="395"/>
      <c r="HB24" s="395"/>
      <c r="HC24"/>
      <c r="HD24"/>
      <c r="HE24"/>
      <c r="HF24"/>
      <c r="HG24"/>
      <c r="HH24"/>
      <c r="HI24" s="399"/>
    </row>
    <row r="25" spans="1:217" s="358" customFormat="1" ht="12.75" customHeight="1" collapsed="1" x14ac:dyDescent="0.2">
      <c r="B25" s="273" t="s">
        <v>280</v>
      </c>
      <c r="C25" s="274"/>
      <c r="D25" s="389"/>
      <c r="E25" s="274"/>
      <c r="F25" s="389"/>
      <c r="G25" s="274"/>
      <c r="H25" s="389"/>
      <c r="I25" s="274"/>
      <c r="J25" s="389"/>
      <c r="K25" s="274"/>
      <c r="L25" s="389"/>
      <c r="M25" s="274"/>
      <c r="N25" s="389"/>
      <c r="O25" s="274"/>
      <c r="P25" s="389"/>
      <c r="Q25" s="274"/>
      <c r="R25" s="389"/>
      <c r="S25" s="274"/>
      <c r="T25" s="389"/>
      <c r="U25" s="274"/>
      <c r="V25" s="389"/>
      <c r="W25" s="274"/>
      <c r="X25" s="389"/>
      <c r="Y25" s="274"/>
      <c r="Z25" s="389"/>
      <c r="AA25" s="274"/>
      <c r="AB25" s="389"/>
      <c r="AC25" s="274"/>
      <c r="AD25" s="389"/>
      <c r="AE25" s="274"/>
      <c r="AF25" s="389"/>
      <c r="AG25" s="274"/>
      <c r="AH25" s="389"/>
      <c r="AI25" s="274"/>
      <c r="AJ25" s="389"/>
      <c r="AK25" s="274"/>
      <c r="AL25" s="389"/>
      <c r="AM25" s="274"/>
      <c r="AN25" s="389"/>
      <c r="AO25" s="274"/>
      <c r="AP25" s="389"/>
      <c r="AQ25" s="274"/>
      <c r="AR25" s="389"/>
      <c r="AS25" s="274"/>
      <c r="AT25" s="389"/>
      <c r="AU25" s="274"/>
      <c r="AV25" s="389"/>
      <c r="AW25" s="274"/>
      <c r="AX25" s="389"/>
      <c r="AY25" s="392">
        <v>3.7283089231362698</v>
      </c>
      <c r="AZ25" s="391"/>
      <c r="BA25" s="392">
        <v>-1.9021726328686039</v>
      </c>
      <c r="BB25" s="400"/>
      <c r="BC25" s="392">
        <v>5.1684695323571006</v>
      </c>
      <c r="BD25" s="400"/>
      <c r="BE25" s="392">
        <v>6.1721305664655945</v>
      </c>
      <c r="BF25" s="400"/>
      <c r="BG25" s="392">
        <v>0.18046953808017463</v>
      </c>
      <c r="BH25" s="391"/>
      <c r="BI25" s="392">
        <v>5.8056392470503315</v>
      </c>
      <c r="BJ25" s="391"/>
      <c r="BK25" s="392">
        <v>1.5565305189430667</v>
      </c>
      <c r="BL25" s="391"/>
      <c r="BM25" s="392">
        <v>-5.0858355421754542</v>
      </c>
      <c r="BN25" s="391"/>
      <c r="BO25" s="392">
        <v>-9.9199045138729236</v>
      </c>
      <c r="BP25" s="391"/>
      <c r="BQ25" s="392">
        <v>-6.5816170138230046</v>
      </c>
      <c r="BR25" s="391"/>
      <c r="BS25" s="392">
        <v>-9.2265290201432819</v>
      </c>
      <c r="BT25" s="391"/>
      <c r="BU25" s="392">
        <v>-22.204603240456787</v>
      </c>
      <c r="BV25" s="391"/>
      <c r="BW25" s="392">
        <v>-11.667602485938378</v>
      </c>
      <c r="BX25" s="391"/>
      <c r="BY25" s="392">
        <v>13.346267765178554</v>
      </c>
      <c r="BZ25" s="391"/>
      <c r="CA25" s="392">
        <v>14.485620869785819</v>
      </c>
      <c r="CB25" s="391"/>
      <c r="CC25" s="392">
        <v>8.2779053530033906</v>
      </c>
      <c r="CD25" s="391"/>
      <c r="CE25" s="392">
        <v>4.8722181752504978</v>
      </c>
      <c r="CF25" s="391"/>
      <c r="CG25" s="392">
        <v>-12.510815084527206</v>
      </c>
      <c r="CH25" s="391"/>
      <c r="CI25" s="392">
        <v>11.079758128012141</v>
      </c>
      <c r="CJ25" s="391"/>
      <c r="CK25" s="392">
        <v>9.7187238274706758</v>
      </c>
      <c r="CL25" s="391"/>
      <c r="CM25" s="392">
        <v>5.4220607981664726</v>
      </c>
      <c r="CN25" s="391"/>
      <c r="CO25" s="392">
        <v>-0.88336923319399796</v>
      </c>
      <c r="CP25" s="391"/>
      <c r="CQ25" s="392">
        <v>-15.544872991109749</v>
      </c>
      <c r="CR25" s="391"/>
      <c r="CS25" s="392">
        <v>11.152348376376576</v>
      </c>
      <c r="CT25" s="391"/>
      <c r="CU25" s="392">
        <v>11.996669210931078</v>
      </c>
      <c r="CV25" s="391"/>
      <c r="CW25" s="392">
        <v>-3.2879649548801182</v>
      </c>
      <c r="CX25" s="391"/>
      <c r="CY25" s="392">
        <v>5.7636401010160432</v>
      </c>
      <c r="CZ25" s="391"/>
      <c r="DA25" s="392">
        <v>-1.4</v>
      </c>
      <c r="DB25" s="389"/>
      <c r="DC25" s="392">
        <v>9.6999999999999993</v>
      </c>
      <c r="DD25" s="389"/>
      <c r="DE25" s="392">
        <v>2.8236235492935968</v>
      </c>
      <c r="DF25" s="389"/>
      <c r="DG25" s="392">
        <v>4.0999999999999996</v>
      </c>
      <c r="DH25" s="389"/>
      <c r="DI25" s="687">
        <v>9.9</v>
      </c>
      <c r="DJ25" s="389"/>
      <c r="DK25" s="687">
        <v>1.3</v>
      </c>
      <c r="DL25" s="389"/>
      <c r="DM25" s="687">
        <v>4.7</v>
      </c>
      <c r="DN25" s="389"/>
      <c r="DO25" s="687">
        <v>0.6</v>
      </c>
      <c r="DP25" s="389"/>
      <c r="DQ25" s="687">
        <v>4.4000000000000004</v>
      </c>
      <c r="DR25" s="389"/>
      <c r="DS25" s="687">
        <v>0.4</v>
      </c>
      <c r="DT25" s="389"/>
      <c r="DU25" s="687">
        <v>0.4</v>
      </c>
      <c r="DV25" s="389"/>
      <c r="DW25" s="687">
        <v>-7.5762339825360296</v>
      </c>
      <c r="DX25" s="389"/>
      <c r="DY25" s="687">
        <v>6.2438329076438093</v>
      </c>
      <c r="DZ25" s="389"/>
      <c r="EA25" s="687">
        <v>0.7730168204546084</v>
      </c>
      <c r="EB25" s="389"/>
      <c r="EC25" s="687">
        <v>1.2582185526894829</v>
      </c>
      <c r="ED25" s="389"/>
      <c r="EE25" s="687">
        <v>3.1061033310349817</v>
      </c>
      <c r="EF25" s="389"/>
      <c r="EG25" s="687">
        <v>3.2542121833731175</v>
      </c>
      <c r="EH25" s="389"/>
      <c r="EI25" s="687">
        <v>5.5336986521396625</v>
      </c>
      <c r="EJ25" s="389"/>
      <c r="EK25" s="392">
        <v>2.5686496918805535</v>
      </c>
      <c r="EL25" s="389"/>
      <c r="EM25" s="392">
        <v>3.6</v>
      </c>
      <c r="EN25" s="389"/>
      <c r="EO25" s="392">
        <v>6.1</v>
      </c>
      <c r="EP25" s="389"/>
      <c r="EQ25" s="401">
        <f t="shared" ref="EQ25" si="83">EQ24</f>
        <v>-1.2</v>
      </c>
      <c r="ER25" s="389"/>
      <c r="ES25" s="401">
        <f t="shared" ref="ES25" si="84">ES24</f>
        <v>2</v>
      </c>
      <c r="ET25" s="389"/>
      <c r="EU25" s="401">
        <f t="shared" ref="EU25" si="85">EU24</f>
        <v>2</v>
      </c>
      <c r="EV25" s="389"/>
      <c r="EW25" s="401">
        <f t="shared" ref="EW25" si="86">EW24</f>
        <v>2</v>
      </c>
      <c r="EX25" s="389"/>
      <c r="EY25" s="389"/>
      <c r="EZ25" s="304"/>
      <c r="FA25" s="389"/>
      <c r="FB25" s="271"/>
      <c r="FC25" s="389"/>
      <c r="FD25" s="274"/>
      <c r="FE25" s="389"/>
      <c r="FF25" s="274"/>
      <c r="FG25" s="389"/>
      <c r="FH25" s="274"/>
      <c r="FI25" s="389"/>
      <c r="FJ25" s="274"/>
      <c r="FK25" s="389"/>
      <c r="FL25" s="274"/>
      <c r="FM25" s="389"/>
      <c r="FN25" s="274"/>
      <c r="FO25" s="389"/>
      <c r="FP25" s="390"/>
      <c r="FQ25" s="389"/>
      <c r="FR25" s="271"/>
      <c r="FS25" s="389"/>
      <c r="FT25" s="271"/>
      <c r="FU25" s="389"/>
      <c r="FV25" s="271"/>
      <c r="FW25" s="389"/>
      <c r="FX25" s="271"/>
      <c r="FY25" s="389"/>
      <c r="FZ25" s="271"/>
      <c r="GA25" s="389"/>
      <c r="GB25" s="271"/>
      <c r="GC25" s="389"/>
      <c r="GD25" s="271"/>
      <c r="GE25" s="389"/>
      <c r="GF25" s="271"/>
      <c r="GG25" s="389"/>
      <c r="GH25" s="401">
        <f>GH24</f>
        <v>8</v>
      </c>
      <c r="GI25" s="389"/>
      <c r="GJ25" s="401">
        <f>GJ24</f>
        <v>8</v>
      </c>
      <c r="GK25" s="389"/>
      <c r="GL25" s="401">
        <f>GL24</f>
        <v>8</v>
      </c>
      <c r="GM25" s="389"/>
      <c r="GN25" s="401">
        <f>GN24</f>
        <v>8</v>
      </c>
      <c r="GO25" s="389"/>
      <c r="GP25" s="401">
        <f>GP24</f>
        <v>8</v>
      </c>
      <c r="GQ25" s="389"/>
      <c r="GR25" s="401">
        <f>GR24</f>
        <v>8</v>
      </c>
      <c r="GS25" s="389"/>
      <c r="GT25" s="401">
        <f>GT24</f>
        <v>8</v>
      </c>
      <c r="GU25" s="389"/>
      <c r="GV25" s="401">
        <f>GV24</f>
        <v>8</v>
      </c>
      <c r="GW25" s="389"/>
      <c r="GX25" s="401">
        <f>GX24</f>
        <v>8</v>
      </c>
      <c r="GY25" s="389"/>
      <c r="GZ25" s="389"/>
      <c r="HA25" s="389"/>
      <c r="HB25" s="389"/>
      <c r="HC25"/>
      <c r="HD25"/>
      <c r="HE25"/>
      <c r="HF25"/>
      <c r="HG25"/>
      <c r="HH25"/>
      <c r="HI25" s="273"/>
    </row>
    <row r="26" spans="1:217" s="295" customFormat="1" ht="12.75" customHeight="1" x14ac:dyDescent="0.2">
      <c r="B26" s="291" t="s">
        <v>563</v>
      </c>
      <c r="C26" s="292"/>
      <c r="D26" s="293"/>
      <c r="E26" s="292"/>
      <c r="F26" s="293"/>
      <c r="G26" s="292"/>
      <c r="H26" s="293"/>
      <c r="I26" s="292"/>
      <c r="J26" s="293"/>
      <c r="K26" s="292"/>
      <c r="L26" s="293"/>
      <c r="M26" s="292"/>
      <c r="N26" s="293"/>
      <c r="O26" s="292"/>
      <c r="P26" s="293"/>
      <c r="Q26" s="292"/>
      <c r="R26" s="293"/>
      <c r="S26" s="292"/>
      <c r="T26" s="293"/>
      <c r="U26" s="292"/>
      <c r="V26" s="293"/>
      <c r="W26" s="292"/>
      <c r="X26" s="293"/>
      <c r="Y26" s="292"/>
      <c r="Z26" s="293"/>
      <c r="AA26" s="292"/>
      <c r="AB26" s="293"/>
      <c r="AC26" s="292"/>
      <c r="AD26" s="293"/>
      <c r="AE26" s="292"/>
      <c r="AF26" s="293"/>
      <c r="AG26" s="292"/>
      <c r="AH26" s="293"/>
      <c r="AI26" s="292"/>
      <c r="AJ26" s="293"/>
      <c r="AK26" s="292"/>
      <c r="AL26" s="293"/>
      <c r="AM26" s="292"/>
      <c r="AN26" s="293"/>
      <c r="AO26" s="292"/>
      <c r="AP26" s="293"/>
      <c r="AQ26" s="292"/>
      <c r="AR26" s="293"/>
      <c r="AS26" s="292"/>
      <c r="AT26" s="293"/>
      <c r="AU26" s="292"/>
      <c r="AV26" s="293"/>
      <c r="AW26" s="292"/>
      <c r="AX26" s="293"/>
      <c r="AY26" s="292"/>
      <c r="AZ26" s="293"/>
      <c r="BA26" s="292"/>
      <c r="BB26" s="293"/>
      <c r="BC26" s="292"/>
      <c r="BD26" s="293"/>
      <c r="BE26" s="292"/>
      <c r="BF26" s="293"/>
      <c r="BG26" s="292"/>
      <c r="BH26" s="293"/>
      <c r="BI26" s="292"/>
      <c r="BJ26" s="293"/>
      <c r="BK26" s="292"/>
      <c r="BL26" s="293"/>
      <c r="BM26" s="292"/>
      <c r="BN26" s="293"/>
      <c r="BO26" s="292"/>
      <c r="BP26" s="293"/>
      <c r="BQ26" s="294"/>
      <c r="BR26" s="294"/>
      <c r="BS26" s="294"/>
      <c r="BT26" s="293"/>
      <c r="BU26" s="294"/>
      <c r="BV26" s="293"/>
      <c r="BW26" s="294"/>
      <c r="BX26" s="293"/>
      <c r="BY26" s="294"/>
      <c r="BZ26" s="293"/>
      <c r="CA26" s="294"/>
      <c r="CB26" s="293"/>
      <c r="CC26" s="294"/>
      <c r="CD26" s="293"/>
      <c r="CE26" s="294"/>
      <c r="CF26" s="293"/>
      <c r="CG26" s="294"/>
      <c r="CH26" s="293"/>
      <c r="CI26" s="294"/>
      <c r="CJ26" s="293"/>
      <c r="CK26" s="294"/>
      <c r="CL26" s="293"/>
      <c r="CM26" s="294"/>
      <c r="CN26" s="293"/>
      <c r="CO26" s="294"/>
      <c r="CP26" s="293"/>
      <c r="CQ26" s="294"/>
      <c r="CR26" s="293"/>
      <c r="CS26" s="294"/>
      <c r="CT26" s="293"/>
      <c r="CU26" s="294"/>
      <c r="CV26" s="293"/>
      <c r="CW26" s="294"/>
      <c r="CX26" s="293"/>
      <c r="CY26" s="294"/>
      <c r="CZ26" s="293"/>
      <c r="DA26" s="294"/>
      <c r="DB26" s="293"/>
      <c r="DC26" s="292"/>
      <c r="DD26" s="293"/>
      <c r="DE26" s="292"/>
      <c r="DF26" s="293"/>
      <c r="DG26" s="292"/>
      <c r="DH26" s="293"/>
      <c r="DI26" s="292"/>
      <c r="DJ26" s="293"/>
      <c r="DK26" s="292"/>
      <c r="DL26" s="293"/>
      <c r="DM26" s="292"/>
      <c r="DN26" s="293"/>
      <c r="DO26" s="292"/>
      <c r="DP26" s="293"/>
      <c r="DQ26" s="292"/>
      <c r="DR26" s="293"/>
      <c r="DS26" s="292"/>
      <c r="DT26" s="293"/>
      <c r="DU26" s="292"/>
      <c r="DV26" s="293"/>
      <c r="DW26" s="292"/>
      <c r="DX26" s="293"/>
      <c r="DY26" s="292"/>
      <c r="DZ26" s="293"/>
      <c r="EA26" s="292"/>
      <c r="EB26" s="293"/>
      <c r="EC26" s="292"/>
      <c r="ED26" s="293"/>
      <c r="EE26" s="292"/>
      <c r="EF26" s="293"/>
      <c r="EG26" s="292"/>
      <c r="EH26" s="293"/>
      <c r="EI26" s="292"/>
      <c r="EJ26" s="293"/>
      <c r="EK26" s="292"/>
      <c r="EL26" s="293"/>
      <c r="EM26" s="292"/>
      <c r="EN26" s="293"/>
      <c r="EO26" s="292"/>
      <c r="EP26" s="293"/>
      <c r="EQ26" s="292"/>
      <c r="ER26" s="293"/>
      <c r="ES26" s="292"/>
      <c r="ET26" s="293"/>
      <c r="EU26" s="292"/>
      <c r="EV26" s="293"/>
      <c r="EW26" s="292"/>
      <c r="EX26" s="293"/>
      <c r="EY26" s="293"/>
      <c r="EZ26" s="299"/>
      <c r="FA26" s="293"/>
      <c r="FB26" s="292"/>
      <c r="FC26" s="293"/>
      <c r="FD26" s="292"/>
      <c r="FE26" s="293"/>
      <c r="FF26" s="292"/>
      <c r="FG26" s="293"/>
      <c r="FH26" s="292"/>
      <c r="FI26" s="293"/>
      <c r="FJ26" s="292"/>
      <c r="FK26" s="293"/>
      <c r="FL26" s="292"/>
      <c r="FM26" s="293"/>
      <c r="FN26" s="292"/>
      <c r="FO26" s="293"/>
      <c r="FP26" s="292"/>
      <c r="FQ26" s="293"/>
      <c r="FR26" s="294"/>
      <c r="FS26" s="293"/>
      <c r="FT26" s="294"/>
      <c r="FU26" s="293"/>
      <c r="FV26" s="294"/>
      <c r="FW26" s="293"/>
      <c r="FX26" s="294"/>
      <c r="FY26" s="293"/>
      <c r="FZ26" s="294"/>
      <c r="GA26" s="293"/>
      <c r="GB26" s="294"/>
      <c r="GC26" s="293"/>
      <c r="GD26" s="294"/>
      <c r="GE26" s="293"/>
      <c r="GF26" s="294"/>
      <c r="GG26" s="293"/>
      <c r="GH26" s="294"/>
      <c r="GI26" s="293"/>
      <c r="GJ26" s="294"/>
      <c r="GK26" s="293"/>
      <c r="GL26" s="294"/>
      <c r="GM26" s="293"/>
      <c r="GN26" s="294"/>
      <c r="GO26" s="293"/>
      <c r="GP26" s="294"/>
      <c r="GQ26" s="293"/>
      <c r="GR26" s="292"/>
      <c r="GS26" s="293"/>
      <c r="GT26" s="292"/>
      <c r="GU26" s="293"/>
      <c r="GV26" s="292"/>
      <c r="GW26" s="293"/>
      <c r="GX26" s="292"/>
      <c r="GY26" s="293"/>
      <c r="GZ26" s="293"/>
      <c r="HA26" s="293"/>
      <c r="HB26" s="293"/>
      <c r="HC26"/>
      <c r="HD26"/>
      <c r="HE26"/>
      <c r="HF26"/>
      <c r="HG26"/>
      <c r="HH26"/>
      <c r="HI26" s="290"/>
    </row>
    <row r="27" spans="1:217" s="69" customFormat="1" ht="12.75" customHeight="1" x14ac:dyDescent="0.2">
      <c r="B27" s="70"/>
      <c r="C27" s="71"/>
      <c r="D27" s="72"/>
      <c r="E27" s="71"/>
      <c r="F27" s="72"/>
      <c r="G27" s="71"/>
      <c r="H27" s="72"/>
      <c r="I27" s="71"/>
      <c r="J27" s="72"/>
      <c r="K27" s="71"/>
      <c r="L27" s="72"/>
      <c r="M27" s="71"/>
      <c r="N27" s="72"/>
      <c r="O27" s="71"/>
      <c r="P27" s="72"/>
      <c r="Q27" s="71"/>
      <c r="R27" s="72"/>
      <c r="S27" s="71"/>
      <c r="T27" s="72"/>
      <c r="U27" s="71"/>
      <c r="V27" s="72"/>
      <c r="W27" s="71"/>
      <c r="X27" s="72"/>
      <c r="Y27" s="71"/>
      <c r="Z27" s="72"/>
      <c r="AA27" s="71"/>
      <c r="AB27" s="72"/>
      <c r="AC27" s="71"/>
      <c r="AD27" s="72"/>
      <c r="AE27" s="71"/>
      <c r="AF27" s="72"/>
      <c r="AG27" s="71"/>
      <c r="AH27" s="72"/>
      <c r="AI27" s="71"/>
      <c r="AJ27" s="72"/>
      <c r="AK27" s="71"/>
      <c r="AL27" s="72"/>
      <c r="AM27" s="71"/>
      <c r="AN27" s="72"/>
      <c r="AO27" s="71"/>
      <c r="AP27" s="72"/>
      <c r="AQ27" s="71"/>
      <c r="AR27" s="72"/>
      <c r="AS27" s="71"/>
      <c r="AT27" s="72"/>
      <c r="AU27" s="71"/>
      <c r="AV27" s="72"/>
      <c r="AW27" s="71"/>
      <c r="AX27" s="72"/>
      <c r="AY27" s="71"/>
      <c r="AZ27" s="72"/>
      <c r="BA27" s="71"/>
      <c r="BB27" s="72"/>
      <c r="BC27" s="71"/>
      <c r="BD27" s="72"/>
      <c r="BE27" s="71"/>
      <c r="BF27" s="72"/>
      <c r="BG27" s="71"/>
      <c r="BH27" s="72"/>
      <c r="BI27" s="71"/>
      <c r="BJ27" s="72"/>
      <c r="BK27" s="71"/>
      <c r="BL27" s="72"/>
      <c r="BM27" s="71"/>
      <c r="BN27" s="72"/>
      <c r="BO27" s="71"/>
      <c r="BP27" s="72"/>
      <c r="BQ27" s="71"/>
      <c r="BR27" s="72"/>
      <c r="BS27" s="71"/>
      <c r="BT27" s="72"/>
      <c r="BU27" s="71"/>
      <c r="BV27" s="72"/>
      <c r="BW27" s="71"/>
      <c r="BX27" s="72"/>
      <c r="BY27" s="71"/>
      <c r="BZ27" s="72"/>
      <c r="CA27" s="71"/>
      <c r="CB27" s="72"/>
      <c r="CC27" s="71"/>
      <c r="CD27" s="72"/>
      <c r="CE27" s="71"/>
      <c r="CF27" s="72"/>
      <c r="CG27" s="71"/>
      <c r="CH27" s="72"/>
      <c r="CI27" s="71"/>
      <c r="CJ27" s="72"/>
      <c r="CK27" s="71"/>
      <c r="CL27" s="72"/>
      <c r="CM27" s="71"/>
      <c r="CN27" s="72"/>
      <c r="CO27" s="71"/>
      <c r="CP27" s="72"/>
      <c r="CQ27" s="71"/>
      <c r="CR27" s="72"/>
      <c r="CS27" s="71"/>
      <c r="CT27" s="72"/>
      <c r="CU27" s="71"/>
      <c r="CV27" s="72"/>
      <c r="CW27" s="71"/>
      <c r="CX27" s="72"/>
      <c r="CY27" s="71"/>
      <c r="CZ27" s="72"/>
      <c r="DA27" s="71"/>
      <c r="DB27" s="72"/>
      <c r="DC27" s="71"/>
      <c r="DD27" s="72"/>
      <c r="DE27" s="71"/>
      <c r="DF27" s="72"/>
      <c r="DG27" s="71"/>
      <c r="DH27" s="72"/>
      <c r="DI27" s="71"/>
      <c r="DJ27" s="72"/>
      <c r="DK27" s="71"/>
      <c r="DL27" s="72"/>
      <c r="DM27" s="71"/>
      <c r="DN27" s="72"/>
      <c r="DO27" s="71"/>
      <c r="DP27" s="72"/>
      <c r="DQ27" s="71"/>
      <c r="DR27" s="72"/>
      <c r="DS27" s="71"/>
      <c r="DT27" s="72"/>
      <c r="DU27" s="71"/>
      <c r="DV27" s="72"/>
      <c r="DW27" s="71"/>
      <c r="DX27" s="72"/>
      <c r="DY27" s="71"/>
      <c r="DZ27" s="72"/>
      <c r="EA27" s="71"/>
      <c r="EB27" s="72"/>
      <c r="EC27" s="71"/>
      <c r="ED27" s="72"/>
      <c r="EE27" s="71"/>
      <c r="EF27" s="72"/>
      <c r="EG27" s="71"/>
      <c r="EH27" s="72"/>
      <c r="EI27" s="71"/>
      <c r="EJ27" s="72"/>
      <c r="EK27" s="71"/>
      <c r="EL27" s="72"/>
      <c r="EM27" s="71"/>
      <c r="EN27" s="72"/>
      <c r="EO27" s="71"/>
      <c r="EP27" s="72"/>
      <c r="EQ27" s="71"/>
      <c r="ER27" s="72"/>
      <c r="ES27" s="71"/>
      <c r="ET27" s="72"/>
      <c r="EU27" s="71"/>
      <c r="EV27" s="72"/>
      <c r="EW27" s="71"/>
      <c r="EX27" s="72"/>
      <c r="EY27" s="72"/>
      <c r="EZ27" s="306"/>
      <c r="FA27" s="72"/>
      <c r="FB27" s="71"/>
      <c r="FC27" s="72"/>
      <c r="FD27" s="71"/>
      <c r="FE27" s="72"/>
      <c r="FF27" s="71"/>
      <c r="FG27" s="72"/>
      <c r="FH27" s="71"/>
      <c r="FI27" s="72"/>
      <c r="FJ27" s="71"/>
      <c r="FK27" s="72"/>
      <c r="FL27" s="71"/>
      <c r="FM27" s="72"/>
      <c r="FN27" s="71"/>
      <c r="FO27" s="72"/>
      <c r="FP27" s="71"/>
      <c r="FQ27" s="72"/>
      <c r="FR27" s="73"/>
      <c r="FS27" s="72"/>
      <c r="FT27" s="73"/>
      <c r="FU27" s="72"/>
      <c r="FV27" s="73"/>
      <c r="FW27" s="72"/>
      <c r="FX27" s="73"/>
      <c r="FY27" s="72"/>
      <c r="FZ27" s="73"/>
      <c r="GA27" s="72"/>
      <c r="GB27" s="73"/>
      <c r="GC27" s="72"/>
      <c r="GD27" s="73"/>
      <c r="GE27" s="72"/>
      <c r="GF27" s="73"/>
      <c r="GG27" s="72"/>
      <c r="GH27" s="73"/>
      <c r="GI27" s="72"/>
      <c r="GJ27" s="73"/>
      <c r="GK27" s="72"/>
      <c r="GL27" s="73"/>
      <c r="GM27" s="72"/>
      <c r="GN27" s="73"/>
      <c r="GO27" s="72"/>
      <c r="GP27" s="73"/>
      <c r="GQ27" s="72"/>
      <c r="GR27" s="71"/>
      <c r="GS27" s="72"/>
      <c r="GT27" s="71"/>
      <c r="GU27" s="72"/>
      <c r="GV27" s="71"/>
      <c r="GW27" s="72"/>
      <c r="GX27" s="71"/>
      <c r="GY27" s="72"/>
      <c r="GZ27" s="72"/>
      <c r="HA27" s="72"/>
      <c r="HB27" s="72"/>
      <c r="HC27"/>
      <c r="HD27"/>
      <c r="HE27"/>
      <c r="HF27"/>
      <c r="HG27"/>
      <c r="HH27"/>
      <c r="HI27" s="2"/>
    </row>
    <row r="28" spans="1:217" s="69" customFormat="1" ht="12.75" customHeight="1" x14ac:dyDescent="0.2">
      <c r="B28" s="70" t="s">
        <v>441</v>
      </c>
      <c r="C28" s="74"/>
      <c r="D28" s="72"/>
      <c r="E28" s="74"/>
      <c r="F28" s="72"/>
      <c r="G28" s="74"/>
      <c r="H28" s="72"/>
      <c r="I28" s="74"/>
      <c r="J28" s="72"/>
      <c r="K28" s="74"/>
      <c r="L28" s="72"/>
      <c r="M28" s="74"/>
      <c r="N28" s="72"/>
      <c r="O28" s="74"/>
      <c r="P28" s="72"/>
      <c r="Q28" s="74"/>
      <c r="R28" s="72"/>
      <c r="S28" s="74"/>
      <c r="T28" s="72"/>
      <c r="U28" s="74"/>
      <c r="V28" s="72"/>
      <c r="W28" s="74"/>
      <c r="X28" s="72"/>
      <c r="Y28" s="74"/>
      <c r="Z28" s="72"/>
      <c r="AA28" s="74"/>
      <c r="AB28" s="72"/>
      <c r="AC28" s="74"/>
      <c r="AD28" s="72"/>
      <c r="AE28" s="74"/>
      <c r="AF28" s="72"/>
      <c r="AG28" s="74"/>
      <c r="AH28" s="72"/>
      <c r="AI28" s="74"/>
      <c r="AJ28" s="72"/>
      <c r="AK28" s="74"/>
      <c r="AL28" s="72"/>
      <c r="AM28" s="74"/>
      <c r="AN28" s="72"/>
      <c r="AO28" s="74"/>
      <c r="AP28" s="72"/>
      <c r="AQ28" s="74"/>
      <c r="AR28" s="72"/>
      <c r="AS28" s="74"/>
      <c r="AT28" s="72"/>
      <c r="AU28" s="74"/>
      <c r="AV28" s="72"/>
      <c r="AW28" s="74"/>
      <c r="AX28" s="72"/>
      <c r="AY28" s="74"/>
      <c r="AZ28" s="72"/>
      <c r="BA28" s="74"/>
      <c r="BB28" s="72"/>
      <c r="BC28" s="74"/>
      <c r="BD28" s="72"/>
      <c r="BE28" s="74"/>
      <c r="BF28" s="72"/>
      <c r="BG28" s="74"/>
      <c r="BH28" s="72"/>
      <c r="BI28" s="74"/>
      <c r="BJ28" s="72"/>
      <c r="BK28" s="74"/>
      <c r="BL28" s="72"/>
      <c r="BM28" s="74"/>
      <c r="BN28" s="72"/>
      <c r="BO28" s="74"/>
      <c r="BP28" s="72"/>
      <c r="BQ28" s="74"/>
      <c r="BR28" s="72"/>
      <c r="BS28" s="74"/>
      <c r="BT28" s="72"/>
      <c r="BU28" s="74"/>
      <c r="BV28" s="72"/>
      <c r="BW28" s="74"/>
      <c r="BX28" s="72"/>
      <c r="BY28" s="74"/>
      <c r="BZ28" s="72"/>
      <c r="CA28" s="74"/>
      <c r="CB28" s="72"/>
      <c r="CC28" s="74"/>
      <c r="CD28" s="72"/>
      <c r="CE28" s="74"/>
      <c r="CF28" s="72"/>
      <c r="CG28" s="74"/>
      <c r="CH28" s="72"/>
      <c r="CI28" s="74"/>
      <c r="CJ28" s="72"/>
      <c r="CK28" s="74"/>
      <c r="CL28" s="72"/>
      <c r="CM28" s="74"/>
      <c r="CN28" s="72"/>
      <c r="CO28" s="74"/>
      <c r="CP28" s="72"/>
      <c r="CQ28" s="74"/>
      <c r="CR28" s="72"/>
      <c r="CS28" s="74"/>
      <c r="CT28" s="72"/>
      <c r="CU28" s="74"/>
      <c r="CV28" s="72"/>
      <c r="CW28" s="74"/>
      <c r="CX28" s="72"/>
      <c r="CY28" s="74"/>
      <c r="CZ28" s="72"/>
      <c r="DA28" s="74"/>
      <c r="DB28" s="72"/>
      <c r="DC28" s="74"/>
      <c r="DD28" s="72"/>
      <c r="DE28" s="74"/>
      <c r="DF28" s="72"/>
      <c r="DG28" s="74"/>
      <c r="DH28" s="72"/>
      <c r="DI28" s="74"/>
      <c r="DJ28" s="72"/>
      <c r="DK28" s="74"/>
      <c r="DL28" s="72"/>
      <c r="DM28" s="74"/>
      <c r="DN28" s="72"/>
      <c r="DO28" s="74"/>
      <c r="DP28" s="72"/>
      <c r="DQ28" s="74"/>
      <c r="DR28" s="72"/>
      <c r="DS28" s="74"/>
      <c r="DT28" s="72"/>
      <c r="DU28" s="74"/>
      <c r="DV28" s="72"/>
      <c r="DW28" s="74"/>
      <c r="DX28" s="72"/>
      <c r="DY28" s="74"/>
      <c r="DZ28" s="72"/>
      <c r="EA28" s="74"/>
      <c r="EB28" s="72"/>
      <c r="EC28" s="74"/>
      <c r="ED28" s="72"/>
      <c r="EE28" s="74"/>
      <c r="EF28" s="72"/>
      <c r="EG28" s="74"/>
      <c r="EH28" s="72"/>
      <c r="EI28" s="74"/>
      <c r="EJ28" s="72"/>
      <c r="EK28" s="74"/>
      <c r="EL28" s="72"/>
      <c r="EM28" s="74"/>
      <c r="EN28" s="72"/>
      <c r="EO28" s="74"/>
      <c r="EP28" s="72"/>
      <c r="EQ28" s="74"/>
      <c r="ER28" s="72"/>
      <c r="ES28" s="74"/>
      <c r="ET28" s="72"/>
      <c r="EU28" s="74"/>
      <c r="EV28" s="72"/>
      <c r="EW28" s="74"/>
      <c r="EX28" s="72"/>
      <c r="EY28" s="72"/>
      <c r="EZ28" s="307"/>
      <c r="FA28" s="72"/>
      <c r="FB28" s="74"/>
      <c r="FC28" s="72"/>
      <c r="FD28" s="74"/>
      <c r="FE28" s="72"/>
      <c r="FF28" s="75"/>
      <c r="FG28" s="72"/>
      <c r="FH28" s="75"/>
      <c r="FI28" s="72"/>
      <c r="FJ28" s="75"/>
      <c r="FK28" s="72"/>
      <c r="FL28" s="75"/>
      <c r="FM28" s="72"/>
      <c r="FN28" s="75"/>
      <c r="FO28" s="72"/>
      <c r="FP28" s="75"/>
      <c r="FQ28" s="72"/>
      <c r="FR28" s="75"/>
      <c r="FS28" s="72"/>
      <c r="FT28" s="75"/>
      <c r="FU28" s="72"/>
      <c r="FV28" s="75"/>
      <c r="FW28" s="72"/>
      <c r="FX28" s="75"/>
      <c r="FY28" s="72"/>
      <c r="FZ28" s="75"/>
      <c r="GA28" s="72"/>
      <c r="GB28" s="75"/>
      <c r="GC28" s="72"/>
      <c r="GD28" s="75"/>
      <c r="GE28" s="72"/>
      <c r="GF28" s="75"/>
      <c r="GG28" s="72"/>
      <c r="GH28" s="75"/>
      <c r="GI28" s="72"/>
      <c r="GJ28" s="75"/>
      <c r="GK28" s="72"/>
      <c r="GL28" s="75"/>
      <c r="GM28" s="72"/>
      <c r="GN28" s="75"/>
      <c r="GO28" s="72"/>
      <c r="GP28" s="75"/>
      <c r="GQ28" s="72"/>
      <c r="GR28" s="74"/>
      <c r="GS28" s="72"/>
      <c r="GT28" s="74"/>
      <c r="GU28" s="72"/>
      <c r="GV28" s="74"/>
      <c r="GW28" s="72"/>
      <c r="GX28" s="74"/>
      <c r="GY28" s="72"/>
      <c r="GZ28" s="72"/>
      <c r="HA28" s="72"/>
      <c r="HB28" s="72"/>
      <c r="HC28"/>
      <c r="HD28"/>
      <c r="HE28"/>
      <c r="HF28"/>
      <c r="HG28"/>
      <c r="HH28"/>
      <c r="HI28" s="2"/>
    </row>
    <row r="29" spans="1:217" s="3" customFormat="1" ht="12.75" customHeight="1" x14ac:dyDescent="0.2">
      <c r="B29" s="76" t="s">
        <v>295</v>
      </c>
      <c r="C29" s="75">
        <f>FF29</f>
        <v>22614</v>
      </c>
      <c r="D29" s="72"/>
      <c r="E29" s="75">
        <f>C38</f>
        <v>22913</v>
      </c>
      <c r="F29" s="72"/>
      <c r="G29" s="75">
        <f>E38</f>
        <v>22241</v>
      </c>
      <c r="H29" s="72"/>
      <c r="I29" s="75">
        <f t="shared" ref="I29:Y29" si="87">G38</f>
        <v>22229</v>
      </c>
      <c r="J29" s="72"/>
      <c r="K29" s="75">
        <f t="shared" si="87"/>
        <v>21059</v>
      </c>
      <c r="L29" s="72">
        <f t="shared" ref="L29:L39" si="88">IF(ISERROR(K29/C29),"NA",IF(OR(K29/C29&gt;2,K29/C29&lt;0.5),"NM",K29/C29*100-100))</f>
        <v>-6.8762713363403236</v>
      </c>
      <c r="M29" s="75">
        <f t="shared" si="87"/>
        <v>19118</v>
      </c>
      <c r="N29" s="72">
        <f t="shared" ref="N29:N39" si="89">IF(ISERROR(M29/E29),"NA",IF(OR(M29/E29&gt;2,M29/E29&lt;0.5),"NM",M29/E29*100-100))</f>
        <v>-16.562650024003844</v>
      </c>
      <c r="O29" s="75">
        <f t="shared" si="87"/>
        <v>19523</v>
      </c>
      <c r="P29" s="72">
        <f t="shared" ref="P29:P39" si="90">IF(ISERROR(O29/G29),"NA",IF(OR(O29/G29&gt;2,O29/G29&lt;0.5),"NM",O29/G29*100-100))</f>
        <v>-12.220673530866421</v>
      </c>
      <c r="Q29" s="75">
        <f t="shared" si="87"/>
        <v>17190</v>
      </c>
      <c r="R29" s="72">
        <f>IF(ISERROR(Q29/I29),"NA",IF(OR(Q29/I29&gt;2,Q29/I29&lt;0.5),"NM",Q29/I29*100-100))</f>
        <v>-22.668586081245223</v>
      </c>
      <c r="S29" s="75">
        <f t="shared" si="87"/>
        <v>18689</v>
      </c>
      <c r="T29" s="72">
        <f>IF(ISERROR(S29/K29),"NA",IF(OR(S29/K29&gt;2,S29/K29&lt;0.5),"NM",S29/K29*100-100))</f>
        <v>-11.25409563607009</v>
      </c>
      <c r="U29" s="75">
        <f t="shared" si="87"/>
        <v>18435</v>
      </c>
      <c r="V29" s="72">
        <f>IF(ISERROR(U29/M29),"NA",IF(OR(U29/M29&gt;2,U29/M29&lt;0.5),"NM",U29/M29*100-100))</f>
        <v>-3.5725494298566787</v>
      </c>
      <c r="W29" s="75">
        <f t="shared" si="87"/>
        <v>16802</v>
      </c>
      <c r="X29" s="72">
        <f>IF(ISERROR(W29/O29),"NA",IF(OR(W29/O29&gt;2,W29/O29&lt;0.5),"NM",W29/O29*100-100))</f>
        <v>-13.937407160784716</v>
      </c>
      <c r="Y29" s="75">
        <f t="shared" si="87"/>
        <v>14961</v>
      </c>
      <c r="Z29" s="72">
        <f>IF(ISERROR(Y29/Q29),"NA",IF(OR(Y29/Q29&gt;2,Y29/Q29&lt;0.5),"NM",Y29/Q29*100-100))</f>
        <v>-12.966841186736474</v>
      </c>
      <c r="AA29" s="75">
        <f>Y38</f>
        <v>15338</v>
      </c>
      <c r="AB29" s="72">
        <f>IF(ISERROR(AA29/S29),"NA",IF(OR(AA29/S29&gt;2,AA29/S29&lt;0.5),"NM",AA29/S29*100-100))</f>
        <v>-17.930333351169139</v>
      </c>
      <c r="AC29" s="75">
        <f>AA38</f>
        <v>14965</v>
      </c>
      <c r="AD29" s="72">
        <f>IF(ISERROR(AC29/U29),"NA",IF(OR(AC29/U29&gt;2,AC29/U29&lt;0.5),"NM",AC29/U29*100-100))</f>
        <v>-18.822891239490104</v>
      </c>
      <c r="AE29" s="75">
        <f>AC38</f>
        <v>39780</v>
      </c>
      <c r="AF29" s="72" t="str">
        <f>IF(ISERROR(AE29/W29),"NA",IF(OR(AE29/W29&gt;2,AE29/W29&lt;0.5),"NM",AE29/W29*100-100))</f>
        <v>NM</v>
      </c>
      <c r="AG29" s="75">
        <f>AE38</f>
        <v>40815</v>
      </c>
      <c r="AH29" s="72" t="str">
        <f>IF(ISERROR(AG29/Y29),"NA",IF(OR(AG29/Y29&gt;2,AG29/Y29&lt;0.5),"NM",AG29/Y29*100-100))</f>
        <v>NM</v>
      </c>
      <c r="AI29" s="75">
        <f>AG38</f>
        <v>43949</v>
      </c>
      <c r="AJ29" s="72" t="str">
        <f>IF(ISERROR(AI29/AA29),"NA",IF(OR(AI29/AA29&gt;2,AI29/AA29&lt;0.5),"NM",AI29/AA29*100-100))</f>
        <v>NM</v>
      </c>
      <c r="AK29" s="75">
        <f>AI38</f>
        <v>44858</v>
      </c>
      <c r="AL29" s="72" t="str">
        <f>IF(ISERROR(AK29/AC29),"NA",IF(OR(AK29/AC29&gt;2,AK29/AC29&lt;0.5),"NM",AK29/AC29*100-100))</f>
        <v>NM</v>
      </c>
      <c r="AM29" s="75">
        <f>AK38</f>
        <v>44927</v>
      </c>
      <c r="AN29" s="72">
        <f>IF(ISERROR(AM29/AE29),"NA",IF(OR(AM29/AE29&gt;2,AM29/AE29&lt;0.5),"NM",AM29/AE29*100-100))</f>
        <v>12.938662644544991</v>
      </c>
      <c r="AO29" s="75">
        <f>AM38</f>
        <v>44474</v>
      </c>
      <c r="AP29" s="72">
        <f>IF(ISERROR(AO29/AG29),"NA",IF(OR(AO29/AG29&gt;2,AO29/AG29&lt;0.5),"NM",AO29/AG29*100-100))</f>
        <v>8.9648413573441275</v>
      </c>
      <c r="AQ29" s="75">
        <f>AO38</f>
        <v>47418</v>
      </c>
      <c r="AR29" s="72">
        <f t="shared" ref="AR29:AR39" si="91">IF(ISERROR(AQ29/AI29),"NA",IF(OR(AQ29/AI29&gt;2,AQ29/AI29&lt;0.5),"NM",AQ29/AI29*100-100))</f>
        <v>7.8932398916926445</v>
      </c>
      <c r="AS29" s="75">
        <f>AQ38</f>
        <v>46386</v>
      </c>
      <c r="AT29" s="72">
        <f t="shared" ref="AT29:AT39" si="92">IF(ISERROR(AS29/AK29),"NA",IF(OR(AS29/AK29&gt;2,AS29/AK29&lt;0.5),"NM",AS29/AK29*100-100))</f>
        <v>3.4063043381336655</v>
      </c>
      <c r="AU29" s="75">
        <f>AS38</f>
        <v>47402</v>
      </c>
      <c r="AV29" s="72">
        <f t="shared" ref="AV29:AV39" si="93">IF(ISERROR(AU29/AM29),"NA",IF(OR(AU29/AM29&gt;2,AU29/AM29&lt;0.5),"NM",AU29/AM29*100-100))</f>
        <v>5.5089367195672878</v>
      </c>
      <c r="AW29" s="75">
        <f>AU38</f>
        <v>49484</v>
      </c>
      <c r="AX29" s="72">
        <f t="shared" ref="AX29:AX39" si="94">IF(ISERROR(AW29/AO29),"NA",IF(OR(AW29/AO29&gt;2,AW29/AO29&lt;0.5),"NM",AW29/AO29*100-100))</f>
        <v>11.265008769168489</v>
      </c>
      <c r="AY29" s="75">
        <f>AW38</f>
        <v>50778</v>
      </c>
      <c r="AZ29" s="72">
        <f t="shared" ref="AZ29:AZ39" si="95">IF(ISERROR(AY29/AQ29),"NA",IF(OR(AY29/AQ29&gt;2,AY29/AQ29&lt;0.5),"NM",AY29/AQ29*100-100))</f>
        <v>7.0859167404782966</v>
      </c>
      <c r="BA29" s="75">
        <f>AY38</f>
        <v>53181</v>
      </c>
      <c r="BB29" s="72">
        <f t="shared" ref="BB29:BB39" si="96">IF(ISERROR(BA29/AS29),"NA",IF(OR(BA29/AS29&gt;2,BA29/AS29&lt;0.5),"NM",BA29/AS29*100-100))</f>
        <v>14.648816453240215</v>
      </c>
      <c r="BC29" s="75">
        <f>BA38</f>
        <v>68807</v>
      </c>
      <c r="BD29" s="72">
        <f t="shared" ref="BD29:BD39" si="97">IF(ISERROR(BC29/AU29),"NA",IF(OR(BC29/AU29&gt;2,BC29/AU29&lt;0.5),"NM",BC29/AU29*100-100))</f>
        <v>45.1563225180372</v>
      </c>
      <c r="BE29" s="75">
        <f>BC38</f>
        <v>70555</v>
      </c>
      <c r="BF29" s="72">
        <f t="shared" ref="BF29:BF39" si="98">IF(ISERROR(BE29/AW29),"NA",IF(OR(BE29/AW29&gt;2,BE29/AW29&lt;0.5),"NM",BE29/AW29*100-100))</f>
        <v>42.581440465605027</v>
      </c>
      <c r="BG29" s="75">
        <f>BE38</f>
        <v>74555</v>
      </c>
      <c r="BH29" s="72">
        <f t="shared" ref="BH29:BH39" si="99">IF(ISERROR(BG29/AY29),"NA",IF(OR(BG29/AY29&gt;2,BG29/AY29&lt;0.5),"NM",BG29/AY29*100-100))</f>
        <v>46.825396825396808</v>
      </c>
      <c r="BI29" s="75">
        <f>BG38</f>
        <v>75591</v>
      </c>
      <c r="BJ29" s="72">
        <f>IF(ISERROR(BI29/BA29),"NA",IF(OR(BI29/BA29&gt;2,BI29/BA29&lt;0.5),"NM",BI29/BA29*100-100))</f>
        <v>42.139109832458956</v>
      </c>
      <c r="BK29" s="75">
        <f>BI38</f>
        <v>78968</v>
      </c>
      <c r="BL29" s="72">
        <f>IF(ISERROR(BK29/BC29),"NA",IF(OR(BK29/BC29&gt;2,BK29/BC29&lt;0.5),"NM",BK29/BC29*100-100))</f>
        <v>14.767392852471389</v>
      </c>
      <c r="BM29" s="75">
        <f>BK38</f>
        <v>81173</v>
      </c>
      <c r="BN29" s="72">
        <f t="shared" ref="BN29:BN39" si="100">IF(ISERROR(BM29/BE29),"NA",IF(OR(BM29/BE29&gt;2,BM29/BE29&lt;0.5),"NM",BM29/BE29*100-100))</f>
        <v>15.04925235631778</v>
      </c>
      <c r="BO29" s="75">
        <f>BM38</f>
        <v>80330</v>
      </c>
      <c r="BP29" s="72">
        <f>IF(ISERROR(BO29/BG29),"NA",IF(OR(BO29/BG29&gt;2,BO29/BG29&lt;0.5),"NM",BO29/BG29*100-100))</f>
        <v>7.7459593588625779</v>
      </c>
      <c r="BQ29" s="75">
        <f>BO38</f>
        <v>74977</v>
      </c>
      <c r="BR29" s="72">
        <f>IF(ISERROR(BQ29/BI29),"NA",IF(OR(BQ29/BI29&gt;2,BQ29/BI29&lt;0.5),"NM",BQ29/BI29*100-100))</f>
        <v>-0.81226601050389036</v>
      </c>
      <c r="BS29" s="75">
        <f>BQ38</f>
        <v>74707</v>
      </c>
      <c r="BT29" s="72">
        <f>IF(ISERROR(BS29/BK29),"NA",IF(OR(BS29/BK29&gt;2,BS29/BK29&lt;0.5),"NM",BS29/BK29*100-100))</f>
        <v>-5.3958565494883999</v>
      </c>
      <c r="BU29" s="75">
        <f>BS38</f>
        <v>67968</v>
      </c>
      <c r="BV29" s="72">
        <f>IF(ISERROR(BU29/BM29),"NA",IF(OR(BU29/BM29&gt;2,BU29/BM29&lt;0.5),"NM",BU29/BM29*100-100))</f>
        <v>-16.267724489670215</v>
      </c>
      <c r="BW29" s="75">
        <f>BU38</f>
        <v>60007</v>
      </c>
      <c r="BX29" s="72">
        <f>IF(ISERROR(BW29/BO29),"NA",IF(OR(BW29/BO29&gt;2,BW29/BO29&lt;0.5),"NM",BW29/BO29*100-100))</f>
        <v>-25.299390016183239</v>
      </c>
      <c r="BY29" s="75">
        <f>BW38</f>
        <v>57942</v>
      </c>
      <c r="BZ29" s="72">
        <f>IF(ISERROR(BY29/BQ29),"NA",IF(OR(BY29/BQ29&gt;2,BY29/BQ29&lt;0.5),"NM",BY29/BQ29*100-100))</f>
        <v>-22.720300892273627</v>
      </c>
      <c r="CA29" s="75">
        <f>BY38</f>
        <v>65099</v>
      </c>
      <c r="CB29" s="72">
        <f>IF(ISERROR(CA29/BS29),"NA",IF(OR(CA29/BS29&gt;2,CA29/BS29&lt;0.5),"NM",CA29/BS29*100-100))</f>
        <v>-12.860909954890445</v>
      </c>
      <c r="CC29" s="75">
        <f>CA38</f>
        <v>75611</v>
      </c>
      <c r="CD29" s="72">
        <f>IF(ISERROR(CC29/BU29),"NA",IF(OR(CC29/BU29&gt;2,CC29/BU29&lt;0.5),"NM",CC29/BU29*100-100))</f>
        <v>11.244997645951031</v>
      </c>
      <c r="CE29" s="75">
        <f>CC38</f>
        <v>80519</v>
      </c>
      <c r="CF29" s="72">
        <f>IF(ISERROR(CE29/BW29),"NA",IF(OR(CE29/BW29&gt;2,CE29/BW29&lt;0.5),"NM",CE29/BW29*100-100))</f>
        <v>34.182678687486458</v>
      </c>
      <c r="CG29" s="75">
        <f>CE38</f>
        <v>85379</v>
      </c>
      <c r="CH29" s="72">
        <f>IF(ISERROR(CG29/BY29),"NA",IF(OR(CG29/BY29&gt;2,CG29/BY29&lt;0.5),"NM",CG29/BY29*100-100))</f>
        <v>47.352524938731847</v>
      </c>
      <c r="CI29" s="75">
        <f>CG38</f>
        <v>83593</v>
      </c>
      <c r="CJ29" s="72">
        <f>IF(ISERROR(CI29/CA29),"NA",IF(OR(CI29/CA29&gt;2,CI29/CA29&lt;0.5),"NM",CI29/CA29*100-100))</f>
        <v>28.409038541298628</v>
      </c>
      <c r="CK29" s="75">
        <f>CI38</f>
        <v>93375</v>
      </c>
      <c r="CL29" s="72">
        <f>IF(ISERROR(CK29/CC29),"NA",IF(OR(CK29/CC29&gt;2,CK29/CC29&lt;0.5),"NM",CK29/CC29*100-100))</f>
        <v>23.493936067503412</v>
      </c>
      <c r="CM29" s="75">
        <f>CK38</f>
        <v>102348</v>
      </c>
      <c r="CN29" s="72">
        <f>IF(ISERROR(CM29/CE29),"NA",IF(OR(CM29/CE29&gt;2,CM29/CE29&lt;0.5),"NM",CM29/CE29*100-100))</f>
        <v>27.110371465120025</v>
      </c>
      <c r="CO29" s="75">
        <f>CM38</f>
        <v>109969</v>
      </c>
      <c r="CP29" s="72">
        <f>IF(ISERROR(CO29/CG29),"NA",IF(OR(CO29/CG29&gt;2,CO29/CG29&lt;0.5),"NM",CO29/CG29*100-100))</f>
        <v>28.800993218472939</v>
      </c>
      <c r="CQ29" s="75">
        <f>CO38</f>
        <v>112202</v>
      </c>
      <c r="CR29" s="72">
        <f>IF(ISERROR(CQ29/CI29),"NA",IF(OR(CQ29/CI29&gt;2,CQ29/CI29&lt;0.5),"NM",CQ29/CI29*100-100))</f>
        <v>34.224157525151611</v>
      </c>
      <c r="CS29" s="75">
        <f>CQ38</f>
        <v>102879</v>
      </c>
      <c r="CT29" s="72">
        <f>IF(ISERROR(CS29/CK29),"NA",IF(OR(CS29/CK29&gt;2,CS29/CK29&lt;0.5),"NM",CS29/CK29*100-100))</f>
        <v>10.178313253012035</v>
      </c>
      <c r="CU29" s="75">
        <f>CS38</f>
        <v>109743</v>
      </c>
      <c r="CV29" s="72">
        <f>IF(ISERROR(CU29/CM29),"NA",IF(OR(CU29/CM29&gt;2,CU29/CM29&lt;0.5),"NM",CU29/CM29*100-100))</f>
        <v>7.2253488099425454</v>
      </c>
      <c r="CW29" s="75">
        <f>CU38</f>
        <v>120276</v>
      </c>
      <c r="CX29" s="72">
        <f>IF(ISERROR(CW29/CO29),"NA",IF(OR(CW29/CO29&gt;2,CW29/CO29&lt;0.5),"NM",CW29/CO29*100-100))</f>
        <v>9.3726413807527535</v>
      </c>
      <c r="CY29" s="75">
        <f>CW38</f>
        <v>120326</v>
      </c>
      <c r="CZ29" s="72">
        <f>IF(ISERROR(CY29/CQ29),"NA",IF(OR(CY29/CQ29&gt;2,CY29/CQ29&lt;0.5),"NM",CY29/CQ29*100-100))</f>
        <v>7.2405126468333805</v>
      </c>
      <c r="DA29" s="75">
        <f>CY38</f>
        <v>128949</v>
      </c>
      <c r="DB29" s="72">
        <f>IF(ISERROR(DA29/CS29),"NA",IF(OR(DA29/CS29&gt;2,DA29/CS29&lt;0.5),"NM",DA29/CS29*100-100))</f>
        <v>25.340448488029637</v>
      </c>
      <c r="DC29" s="75">
        <f>DA38</f>
        <v>131608</v>
      </c>
      <c r="DD29" s="72">
        <f>IF(ISERROR(DC29/CU29),"NA",IF(OR(DC29/CU29&gt;2,DC29/CU29&lt;0.5),"NM",DC29/CU29*100-100))</f>
        <v>19.923822020538907</v>
      </c>
      <c r="DE29" s="75">
        <f>DC38</f>
        <v>139034</v>
      </c>
      <c r="DF29" s="72">
        <f>IF(ISERROR(DE29/CW29),"NA",IF(OR(DE29/CW29&gt;2,DE29/CW29&lt;0.5),"NM",DE29/CW29*100-100))</f>
        <v>15.59579633509594</v>
      </c>
      <c r="DG29" s="75">
        <f>DE38</f>
        <v>137775</v>
      </c>
      <c r="DH29" s="72">
        <f>IF(ISERROR(DG29/CY29),"NA",IF(OR(DG29/CY29&gt;2,DG29/CY29&lt;0.5),"NM",DG29/CY29*100-100))</f>
        <v>14.501437760749965</v>
      </c>
      <c r="DI29" s="75">
        <f>DG38</f>
        <v>143697</v>
      </c>
      <c r="DJ29" s="72">
        <f>IF(ISERROR(DI29/DA29),"NA",IF(OR(DI29/DA29&gt;2,DI29/DA29&lt;0.5),"NM",DI29/DA29*100-100))</f>
        <v>11.43707977572528</v>
      </c>
      <c r="DK29" s="75">
        <f>DI38</f>
        <v>150467</v>
      </c>
      <c r="DL29" s="72">
        <f>IF(ISERROR(DK29/DC29),"NA",IF(OR(DK29/DC29&gt;2,DK29/DC29&lt;0.5),"NM",DK29/DC29*100-100))</f>
        <v>14.329676007537543</v>
      </c>
      <c r="DM29" s="75">
        <f>DK38</f>
        <v>151620</v>
      </c>
      <c r="DN29" s="72">
        <f>IF(ISERROR(DM29/DE29),"NA",IF(OR(DM29/DE29&gt;2,DM29/DE29&lt;0.5),"NM",DM29/DE29*100-100))</f>
        <v>9.0524619877152332</v>
      </c>
      <c r="DO29" s="75">
        <f>DM38</f>
        <v>155890</v>
      </c>
      <c r="DP29" s="72">
        <f>IF(ISERROR(DO29/DG29),"NA",IF(OR(DO29/DG29&gt;2,DO29/DG29&lt;0.5),"NM",DO29/DG29*100-100))</f>
        <v>13.148248956632187</v>
      </c>
      <c r="DQ29" s="75">
        <f>DO38</f>
        <v>153172</v>
      </c>
      <c r="DR29" s="72">
        <f>IF(ISERROR(DQ29/DI29),"NA",IF(OR(DQ29/DI29&gt;2,DQ29/DI29&lt;0.5),"NM",DQ29/DI29*100-100))</f>
        <v>6.5937354294104864</v>
      </c>
      <c r="DS29" s="75">
        <f>DQ38</f>
        <v>155083</v>
      </c>
      <c r="DT29" s="72">
        <f>IF(ISERROR(DS29/DK29),"NA",IF(OR(DS29/DK29&gt;2,DS29/DK29&lt;0.5),"NM",DS29/DK29*100-100))</f>
        <v>3.067782304425549</v>
      </c>
      <c r="DU29" s="75">
        <f>DS38</f>
        <v>157552</v>
      </c>
      <c r="DV29" s="72">
        <f>IF(ISERROR(DU29/DM29),"NA",IF(OR(DU29/DM29&gt;2,DU29/DM29&lt;0.5),"NM",DU29/DM29*100-100))</f>
        <v>3.9124126104735524</v>
      </c>
      <c r="DW29" s="75">
        <f t="shared" ref="DW29:EE29" si="101">DU38</f>
        <v>155424</v>
      </c>
      <c r="DX29" s="72">
        <f>IF(ISERROR(DW29/DO29),"NA",IF(OR(DW29/DO29&gt;2,DW29/DO29&lt;0.5),"NM",DW29/DO29*100-100))</f>
        <v>-0.29892873179807111</v>
      </c>
      <c r="DY29" s="75">
        <f t="shared" si="101"/>
        <v>146685</v>
      </c>
      <c r="DZ29" s="72">
        <f>IF(ISERROR(DY29/DQ29),"NA",IF(OR(DY29/DQ29&gt;2,DY29/DQ29&lt;0.5),"NM",DY29/DQ29*100-100))</f>
        <v>-4.2351082443266392</v>
      </c>
      <c r="EA29" s="75">
        <f t="shared" si="101"/>
        <v>149441</v>
      </c>
      <c r="EB29" s="72">
        <f>IF(ISERROR(EA29/DS29),"NA",IF(OR(EA29/DS29&gt;2,EA29/DS29&lt;0.5),"NM",EA29/DS29*100-100))</f>
        <v>-3.6380518818954926</v>
      </c>
      <c r="EC29" s="75">
        <f t="shared" si="101"/>
        <v>149246</v>
      </c>
      <c r="ED29" s="72">
        <f>IF(ISERROR(EC29/DU29),"NA",IF(OR(EC29/DU29&gt;2,EC29/DU29&lt;0.5),"NM",EC29/DU29*100-100))</f>
        <v>-5.2719102264649109</v>
      </c>
      <c r="EE29" s="75">
        <f t="shared" si="101"/>
        <v>151188</v>
      </c>
      <c r="EF29" s="72">
        <f>IF(ISERROR(EE29/DW29),"NA",IF(OR(EE29/DW29&gt;2,EE29/DW29&lt;0.5),"NM",EE29/DW29*100-100))</f>
        <v>-2.7254478072884467</v>
      </c>
      <c r="EG29" s="75">
        <f>EE38</f>
        <v>154903</v>
      </c>
      <c r="EH29" s="72">
        <f>IF(ISERROR(EG29/DY29),"NA",IF(OR(EG29/DY29&gt;2,EG29/DY29&lt;0.5),"NM",EG29/DY29*100-100))</f>
        <v>5.6024815079933177</v>
      </c>
      <c r="EI29" s="75">
        <f>EG38</f>
        <v>153295</v>
      </c>
      <c r="EJ29" s="72">
        <f>IF(ISERROR(EI29/EA29),"NA",IF(OR(EI29/EA29&gt;2,EI29/EA29&lt;0.5),"NM",EI29/EA29*100-100))</f>
        <v>2.5789441987138702</v>
      </c>
      <c r="EK29" s="75">
        <f>EI38</f>
        <v>156830</v>
      </c>
      <c r="EL29" s="72">
        <f>IF(ISERROR(EK29/EC29),"NA",IF(OR(EK29/EC29&gt;2,EK29/EC29&lt;0.5),"NM",EK29/EC29*100-100))</f>
        <v>5.0815432239389935</v>
      </c>
      <c r="EM29" s="75">
        <f>EK38</f>
        <v>159202</v>
      </c>
      <c r="EN29" s="72">
        <f>IF(ISERROR(EM29/EE29),"NA",IF(OR(EM29/EE29&gt;2,EM29/EE29&lt;0.5),"NM",EM29/EE29*100-100))</f>
        <v>5.3006852395692761</v>
      </c>
      <c r="EO29" s="75">
        <f>EM38</f>
        <v>162107</v>
      </c>
      <c r="EP29" s="72">
        <f>IF(ISERROR(EO29/EG29),"NA",IF(OR(EO29/EG29&gt;2,EO29/EG29&lt;0.5),"NM",EO29/EG29*100-100))</f>
        <v>4.6506523437247864</v>
      </c>
      <c r="EQ29" s="75">
        <f t="shared" ref="EQ29" si="102">EO38</f>
        <v>165153</v>
      </c>
      <c r="ER29" s="72">
        <f t="shared" ref="ER29:ER30" si="103">IF(ISERROR(EQ29/EI29),"NA",IF(OR(EQ29/EI29&gt;2,EQ29/EI29&lt;0.5),"NM",EQ29/EI29*100-100))</f>
        <v>7.7354121138980361</v>
      </c>
      <c r="ES29" s="75">
        <f t="shared" ref="ES29" si="104">EQ38</f>
        <v>161273.66837276367</v>
      </c>
      <c r="ET29" s="72">
        <f t="shared" ref="ET29:ET30" si="105">IF(ISERROR(ES29/EK29),"NA",IF(OR(ES29/EK29&gt;2,ES29/EK29&lt;0.5),"NM",ES29/EK29*100-100))</f>
        <v>2.833430066163146</v>
      </c>
      <c r="EU29" s="75">
        <f t="shared" ref="EU29" si="106">ES38</f>
        <v>161169.54101638336</v>
      </c>
      <c r="EV29" s="72">
        <f t="shared" ref="EV29:EV30" si="107">IF(ISERROR(EU29/EM29),"NA",IF(OR(EU29/EM29&gt;2,EU29/EM29&lt;0.5),"NM",EU29/EM29*100-100))</f>
        <v>1.235877072136887</v>
      </c>
      <c r="EW29" s="75">
        <f t="shared" ref="EW29" si="108">EU38</f>
        <v>161100.1277123804</v>
      </c>
      <c r="EX29" s="72">
        <f t="shared" ref="EX29:EX30" si="109">IF(ISERROR(EW29/EO29),"NA",IF(OR(EW29/EO29&gt;2,EW29/EO29&lt;0.5),"NM",EW29/EO29*100-100))</f>
        <v>-0.62111586027722865</v>
      </c>
      <c r="EY29" s="72"/>
      <c r="EZ29" s="307"/>
      <c r="FA29" s="72"/>
      <c r="FB29" s="74">
        <v>17608</v>
      </c>
      <c r="FC29" s="72"/>
      <c r="FD29" s="75">
        <f>FB38</f>
        <v>19919</v>
      </c>
      <c r="FE29" s="72">
        <f t="shared" ref="FE29:FE39" si="110">IF(ISERROR(FD29/FB29),"NA",IF(OR(FD29/FB29&gt;2,FD29/FB29&lt;0.5),"NM",FD29/FB29*100-100))</f>
        <v>13.124716038164479</v>
      </c>
      <c r="FF29" s="75">
        <f>FD38</f>
        <v>22614</v>
      </c>
      <c r="FG29" s="72">
        <f t="shared" ref="FG29:FG39" si="111">IF(ISERROR(FF29/FD29),"NA",IF(OR(FF29/FD29&gt;2,FF29/FD29&lt;0.5),"NM",FF29/FD29*100-100))</f>
        <v>13.529795672473526</v>
      </c>
      <c r="FH29" s="75">
        <f>FF38</f>
        <v>21059</v>
      </c>
      <c r="FI29" s="72">
        <f t="shared" ref="FI29:FI39" si="112">IF(ISERROR(FH29/FF29),"NA",IF(OR(FH29/FF29&gt;2,FH29/FF29&lt;0.5),"NM",FH29/FF29*100-100))</f>
        <v>-6.8762713363403236</v>
      </c>
      <c r="FJ29" s="75">
        <f>FH38</f>
        <v>18689</v>
      </c>
      <c r="FK29" s="72">
        <f t="shared" ref="FK29:FK39" si="113">IF(ISERROR(FJ29/FH29),"NA",IF(OR(FJ29/FH29&gt;2,FJ29/FH29&lt;0.5),"NM",FJ29/FH29*100-100))</f>
        <v>-11.25409563607009</v>
      </c>
      <c r="FL29" s="75">
        <f>FJ38</f>
        <v>15338</v>
      </c>
      <c r="FM29" s="72">
        <f t="shared" ref="FM29:FM39" si="114">IF(ISERROR(FL29/FJ29),"NA",IF(OR(FL29/FJ29&gt;2,FL29/FJ29&lt;0.5),"NM",FL29/FJ29*100-100))</f>
        <v>-17.930333351169139</v>
      </c>
      <c r="FN29" s="75">
        <f>FL38</f>
        <v>43949</v>
      </c>
      <c r="FO29" s="72" t="str">
        <f t="shared" ref="FO29:FO39" si="115">IF(ISERROR(FN29/FL29),"NA",IF(OR(FN29/FL29&gt;2,FN29/FL29&lt;0.5),"NM",FN29/FL29*100-100))</f>
        <v>NM</v>
      </c>
      <c r="FP29" s="75">
        <f>FN38</f>
        <v>47418</v>
      </c>
      <c r="FQ29" s="72">
        <f t="shared" ref="FQ29:FQ39" si="116">IF(ISERROR(FP29/FN29),"NA",IF(OR(FP29/FN29&gt;2,FP29/FN29&lt;0.5),"NM",FP29/FN29*100-100))</f>
        <v>7.8932398916926445</v>
      </c>
      <c r="FR29" s="75">
        <f>FP38</f>
        <v>50778</v>
      </c>
      <c r="FS29" s="72">
        <f t="shared" ref="FS29:FS39" si="117">IF(ISERROR(FR29/FP29),"NA",IF(OR(FR29/FP29&gt;2,FR29/FP29&lt;0.5),"NM",FR29/FP29*100-100))</f>
        <v>7.0859167404782966</v>
      </c>
      <c r="FT29" s="75">
        <f>FR38</f>
        <v>74555</v>
      </c>
      <c r="FU29" s="72">
        <f t="shared" ref="FU29:FU39" si="118">IF(ISERROR(FT29/FR29),"NA",IF(OR(FT29/FR29&gt;2,FT29/FR29&lt;0.5),"NM",FT29/FR29*100-100))</f>
        <v>46.825396825396808</v>
      </c>
      <c r="FV29" s="75">
        <f>FT38</f>
        <v>80330</v>
      </c>
      <c r="FW29" s="72">
        <f>IF(ISERROR(FV29/FT29),"NA",IF(OR(FV29/FT29&gt;2,FV29/FT29&lt;0.5),"NM",FV29/FT29*100-100))</f>
        <v>7.7459593588625779</v>
      </c>
      <c r="FX29" s="75">
        <f>FV38</f>
        <v>60007</v>
      </c>
      <c r="FY29" s="72">
        <f>IF(ISERROR(FX29/FV29),"NA",IF(OR(FX29/FV29&gt;2,FX29/FV29&lt;0.5),"NM",FX29/FV29*100-100))</f>
        <v>-25.299390016183239</v>
      </c>
      <c r="FZ29" s="75">
        <f>FX38</f>
        <v>80519</v>
      </c>
      <c r="GA29" s="72">
        <f>IF(ISERROR(FZ29/FX29),"NA",IF(OR(FZ29/FX29&gt;2,FZ29/FX29&lt;0.5),"NM",FZ29/FX29*100-100))</f>
        <v>34.182678687486458</v>
      </c>
      <c r="GB29" s="75">
        <f>FZ38</f>
        <v>102348</v>
      </c>
      <c r="GC29" s="72">
        <f>IF(ISERROR(GB29/FZ29),"NA",IF(OR(GB29/FZ29&gt;2,GB29/FZ29&lt;0.5),"NM",GB29/FZ29*100-100))</f>
        <v>27.110371465120025</v>
      </c>
      <c r="GD29" s="75">
        <f>GB38</f>
        <v>109743</v>
      </c>
      <c r="GE29" s="72">
        <f>IF(ISERROR(GD29/GB29),"NA",IF(OR(GD29/GB29&gt;2,GD29/GB29&lt;0.5),"NM",GD29/GB29*100-100))</f>
        <v>7.2253488099425454</v>
      </c>
      <c r="GF29" s="75">
        <f>GD38</f>
        <v>131608</v>
      </c>
      <c r="GG29" s="72">
        <f>IF(ISERROR(GF29/GD29),"NA",IF(OR(GF29/GD29&gt;2,GF29/GD29&lt;0.5),"NM",GF29/GD29*100-100))</f>
        <v>19.923822020538907</v>
      </c>
      <c r="GH29" s="75">
        <f>GF38</f>
        <v>150467</v>
      </c>
      <c r="GI29" s="72">
        <f t="shared" ref="GI29:GI39" si="119">IF(ISERROR(GH29/GF29),"NA",IF(OR(GH29/GF29&gt;2,GH29/GF29&lt;0.5),"NM",GH29/GF29*100-100))</f>
        <v>14.329676007537543</v>
      </c>
      <c r="GJ29" s="75">
        <f>GH38</f>
        <v>155083</v>
      </c>
      <c r="GK29" s="72">
        <f t="shared" ref="GK29:GK39" si="120">IF(ISERROR(GJ29/GH29),"NA",IF(OR(GJ29/GH29&gt;2,GJ29/GH29&lt;0.5),"NM",GJ29/GH29*100-100))</f>
        <v>3.067782304425549</v>
      </c>
      <c r="GL29" s="75">
        <f>GJ38</f>
        <v>149441</v>
      </c>
      <c r="GM29" s="72">
        <f t="shared" ref="GM29:GM39" si="121">IF(ISERROR(GL29/GJ29),"NA",IF(OR(GL29/GJ29&gt;2,GL29/GJ29&lt;0.5),"NM",GL29/GJ29*100-100))</f>
        <v>-3.6380518818954926</v>
      </c>
      <c r="GN29" s="75">
        <f>GL38</f>
        <v>153295</v>
      </c>
      <c r="GO29" s="72">
        <f t="shared" ref="GO29:GS39" si="122">IF(ISERROR(GN29/GL29),"NA",IF(OR(GN29/GL29&gt;2,GN29/GL29&lt;0.5),"NM",GN29/GL29*100-100))</f>
        <v>2.5789441987138702</v>
      </c>
      <c r="GP29" s="75">
        <f>GN38</f>
        <v>165153</v>
      </c>
      <c r="GQ29" s="72">
        <f t="shared" si="122"/>
        <v>7.7354121138980361</v>
      </c>
      <c r="GR29" s="75">
        <f>GP38</f>
        <v>161065.71608951961</v>
      </c>
      <c r="GS29" s="72">
        <f t="shared" si="122"/>
        <v>-2.4748469058875031</v>
      </c>
      <c r="GT29" s="75">
        <f>GR38</f>
        <v>161454.48436005326</v>
      </c>
      <c r="GU29" s="72">
        <f t="shared" ref="GU29:GU39" si="123">IF(ISERROR(GT29/GR29),"NA",IF(OR(GT29/GR29&gt;2,GT29/GR29&lt;0.5),"NM",GT29/GR29*100-100))</f>
        <v>0.24137245341371738</v>
      </c>
      <c r="GV29" s="75">
        <f>GT38</f>
        <v>162329.92760641861</v>
      </c>
      <c r="GW29" s="72">
        <f>IF(ISERROR(GV29/GT29),"NA",IF(OR(GV29/GT29&gt;2,GV29/GT29&lt;0.5),"NM",GV29/GT29*100-100))</f>
        <v>0.54222293659745446</v>
      </c>
      <c r="GX29" s="75">
        <f>GV38</f>
        <v>163742.64773326155</v>
      </c>
      <c r="GY29" s="72">
        <f>IF(ISERROR(GX29/GV29),"NA",IF(OR(GX29/GV29&gt;2,GX29/GV29&lt;0.5),"NM",GX29/GV29*100-100))</f>
        <v>0.87027706330786714</v>
      </c>
      <c r="GZ29" s="72">
        <f>IF(ISERROR(((GX29/GN29)^0.2-1)*100),"NA",IF((((GX29/GN29)^0.2-1)*100)&gt;100,"NM",IF((((GX29/GN29)^0.2-1)*100)&lt;-50,"NM",((GX29/GN29)^0.2-1)*100)))</f>
        <v>1.3273684382996587</v>
      </c>
      <c r="HA29" s="72"/>
      <c r="HB29" s="72"/>
      <c r="HC29"/>
      <c r="HD29"/>
      <c r="HE29"/>
      <c r="HF29"/>
      <c r="HG29"/>
      <c r="HH29"/>
      <c r="HI29" s="2"/>
    </row>
    <row r="30" spans="1:217" s="3" customFormat="1" ht="12.75" customHeight="1" x14ac:dyDescent="0.2">
      <c r="A30" s="3" t="s">
        <v>415</v>
      </c>
      <c r="B30" s="76" t="s">
        <v>28</v>
      </c>
      <c r="C30" s="74">
        <f>FF30-I30-G30-E30</f>
        <v>516</v>
      </c>
      <c r="D30" s="72"/>
      <c r="E30" s="74">
        <v>507</v>
      </c>
      <c r="F30" s="72"/>
      <c r="G30" s="74">
        <v>403</v>
      </c>
      <c r="H30" s="72"/>
      <c r="I30" s="74">
        <v>383</v>
      </c>
      <c r="J30" s="72"/>
      <c r="K30" s="74">
        <v>339</v>
      </c>
      <c r="L30" s="72">
        <f t="shared" si="88"/>
        <v>-34.302325581395351</v>
      </c>
      <c r="M30" s="74">
        <v>328</v>
      </c>
      <c r="N30" s="72">
        <f t="shared" si="89"/>
        <v>-35.30571992110454</v>
      </c>
      <c r="O30" s="74">
        <v>274</v>
      </c>
      <c r="P30" s="72">
        <f t="shared" si="90"/>
        <v>-32.009925558312659</v>
      </c>
      <c r="Q30" s="74">
        <v>330</v>
      </c>
      <c r="R30" s="72">
        <f>IF(ISERROR(Q30/I30),"NA",IF(OR(Q30/I30&gt;2,Q30/I30&lt;0.5),"NM",Q30/I30*100-100))</f>
        <v>-13.838120104438644</v>
      </c>
      <c r="S30" s="74">
        <v>374</v>
      </c>
      <c r="T30" s="72">
        <f>IF(ISERROR(S30/K30),"NA",IF(OR(S30/K30&gt;2,S30/K30&lt;0.5),"NM",S30/K30*100-100))</f>
        <v>10.324483775811217</v>
      </c>
      <c r="U30" s="74">
        <v>406</v>
      </c>
      <c r="V30" s="72">
        <f>IF(ISERROR(U30/M30),"NA",IF(OR(U30/M30&gt;2,U30/M30&lt;0.5),"NM",U30/M30*100-100))</f>
        <v>23.780487804878049</v>
      </c>
      <c r="W30" s="74">
        <v>339</v>
      </c>
      <c r="X30" s="72">
        <f>IF(ISERROR(W30/O30),"NA",IF(OR(W30/O30&gt;2,W30/O30&lt;0.5),"NM",W30/O30*100-100))</f>
        <v>23.72262773722629</v>
      </c>
      <c r="Y30" s="74">
        <v>276</v>
      </c>
      <c r="Z30" s="72">
        <f>IF(ISERROR(Y30/Q30),"NA",IF(OR(Y30/Q30&gt;2,Y30/Q30&lt;0.5),"NM",Y30/Q30*100-100))</f>
        <v>-16.363636363636374</v>
      </c>
      <c r="AA30" s="74">
        <v>331</v>
      </c>
      <c r="AB30" s="72">
        <f>IF(ISERROR(AA30/S30),"NA",IF(OR(AA30/S30&gt;2,AA30/S30&lt;0.5),"NM",AA30/S30*100-100))</f>
        <v>-11.497326203208559</v>
      </c>
      <c r="AC30" s="74">
        <v>1070</v>
      </c>
      <c r="AD30" s="72" t="str">
        <f>IF(ISERROR(AC30/U30),"NA",IF(OR(AC30/U30&gt;2,AC30/U30&lt;0.5),"NM",AC30/U30*100-100))</f>
        <v>NM</v>
      </c>
      <c r="AE30" s="74">
        <v>1469</v>
      </c>
      <c r="AF30" s="72" t="str">
        <f>IF(ISERROR(AE30/W30),"NA",IF(OR(AE30/W30&gt;2,AE30/W30&lt;0.5),"NM",AE30/W30*100-100))</f>
        <v>NM</v>
      </c>
      <c r="AG30" s="74">
        <v>1548</v>
      </c>
      <c r="AH30" s="72" t="str">
        <f>IF(ISERROR(AG30/Y30),"NA",IF(OR(AG30/Y30&gt;2,AG30/Y30&lt;0.5),"NM",AG30/Y30*100-100))</f>
        <v>NM</v>
      </c>
      <c r="AI30" s="74">
        <v>1723</v>
      </c>
      <c r="AJ30" s="72" t="str">
        <f>IF(ISERROR(AI30/AA30),"NA",IF(OR(AI30/AA30&gt;2,AI30/AA30&lt;0.5),"NM",AI30/AA30*100-100))</f>
        <v>NM</v>
      </c>
      <c r="AK30" s="74">
        <v>1536</v>
      </c>
      <c r="AL30" s="72">
        <f>IF(ISERROR(AK30/AC30),"NA",IF(OR(AK30/AC30&gt;2,AK30/AC30&lt;0.5),"NM",AK30/AC30*100-100))</f>
        <v>43.551401869158866</v>
      </c>
      <c r="AM30" s="74">
        <v>1259</v>
      </c>
      <c r="AN30" s="72">
        <f>IF(ISERROR(AM30/AE30),"NA",IF(OR(AM30/AE30&gt;2,AM30/AE30&lt;0.5),"NM",AM30/AE30*100-100))</f>
        <v>-14.295439074200132</v>
      </c>
      <c r="AO30" s="74">
        <v>1288</v>
      </c>
      <c r="AP30" s="72">
        <f>IF(ISERROR(AO30/AG30),"NA",IF(OR(AO30/AG30&gt;2,AO30/AG30&lt;0.5),"NM",AO30/AG30*100-100))</f>
        <v>-16.795865633074939</v>
      </c>
      <c r="AQ30" s="74">
        <v>1433</v>
      </c>
      <c r="AR30" s="72">
        <f t="shared" si="91"/>
        <v>-16.831108531630875</v>
      </c>
      <c r="AS30" s="74">
        <v>1779</v>
      </c>
      <c r="AT30" s="72">
        <f t="shared" si="92"/>
        <v>15.8203125</v>
      </c>
      <c r="AU30" s="74">
        <v>1930</v>
      </c>
      <c r="AV30" s="72">
        <f t="shared" si="93"/>
        <v>53.296266878474967</v>
      </c>
      <c r="AW30" s="74">
        <v>1964</v>
      </c>
      <c r="AX30" s="72">
        <f t="shared" si="94"/>
        <v>52.484472049689458</v>
      </c>
      <c r="AY30" s="74">
        <v>2129</v>
      </c>
      <c r="AZ30" s="72">
        <f t="shared" si="95"/>
        <v>48.569434752267966</v>
      </c>
      <c r="BA30" s="74">
        <v>2500</v>
      </c>
      <c r="BB30" s="72">
        <f t="shared" si="96"/>
        <v>40.528386734120289</v>
      </c>
      <c r="BC30" s="74">
        <v>2323</v>
      </c>
      <c r="BD30" s="72">
        <f t="shared" si="97"/>
        <v>20.362694300518143</v>
      </c>
      <c r="BE30" s="74">
        <v>2641</v>
      </c>
      <c r="BF30" s="72">
        <f t="shared" si="98"/>
        <v>34.470468431771877</v>
      </c>
      <c r="BG30" s="74">
        <v>2779</v>
      </c>
      <c r="BH30" s="72">
        <f t="shared" si="99"/>
        <v>30.530765617660876</v>
      </c>
      <c r="BI30" s="74">
        <v>3033</v>
      </c>
      <c r="BJ30" s="72">
        <f>IF(ISERROR(BI30/BA30),"NA",IF(OR(BI30/BA30&gt;2,BI30/BA30&lt;0.5),"NM",BI30/BA30*100-100))</f>
        <v>21.320000000000007</v>
      </c>
      <c r="BK30" s="74">
        <v>2825</v>
      </c>
      <c r="BL30" s="72">
        <f>IF(ISERROR(BK30/BC30),"NA",IF(OR(BK30/BC30&gt;2,BK30/BC30&lt;0.5),"NM",BK30/BC30*100-100))</f>
        <v>21.609987085665082</v>
      </c>
      <c r="BM30" s="74">
        <v>3041</v>
      </c>
      <c r="BN30" s="72">
        <f t="shared" si="100"/>
        <v>15.145778114350634</v>
      </c>
      <c r="BO30" s="74">
        <v>2829</v>
      </c>
      <c r="BP30" s="72">
        <f>IF(ISERROR(BO30/BG30),"NA",IF(OR(BO30/BG30&gt;2,BO30/BG30&lt;0.5),"NM",BO30/BG30*100-100))</f>
        <v>1.7992083483267436</v>
      </c>
      <c r="BQ30" s="74">
        <v>2740</v>
      </c>
      <c r="BR30" s="72">
        <f>IF(ISERROR(BQ30/BI30),"NA",IF(OR(BQ30/BI30&gt;2,BQ30/BI30&lt;0.5),"NM",BQ30/BI30*100-100))</f>
        <v>-9.6604022420046221</v>
      </c>
      <c r="BS30" s="74">
        <v>2507</v>
      </c>
      <c r="BT30" s="72">
        <f>IF(ISERROR(BS30/BK30),"NA",IF(OR(BS30/BK30&gt;2,BS30/BK30&lt;0.5),"NM",BS30/BK30*100-100))</f>
        <v>-11.256637168141594</v>
      </c>
      <c r="BU30" s="74">
        <v>2132</v>
      </c>
      <c r="BV30" s="72">
        <f>IF(ISERROR(BU30/BM30),"NA",IF(OR(BU30/BM30&gt;2,BU30/BM30&lt;0.5),"NM",BU30/BM30*100-100))</f>
        <v>-29.891483064781326</v>
      </c>
      <c r="BW30" s="74">
        <v>2108</v>
      </c>
      <c r="BX30" s="72">
        <f>IF(ISERROR(BW30/BO30),"NA",IF(OR(BW30/BO30&gt;2,BW30/BO30&lt;0.5),"NM",BW30/BO30*100-100))</f>
        <v>-25.48603746907034</v>
      </c>
      <c r="BY30" s="74">
        <v>3378</v>
      </c>
      <c r="BZ30" s="72">
        <f>IF(ISERROR(BY30/BQ30),"NA",IF(OR(BY30/BQ30&gt;2,BY30/BQ30&lt;0.5),"NM",BY30/BQ30*100-100))</f>
        <v>23.28467153284673</v>
      </c>
      <c r="CA30" s="74">
        <v>5829</v>
      </c>
      <c r="CB30" s="72" t="str">
        <f>IF(ISERROR(CA30/BS30),"NA",IF(OR(CA30/BS30&gt;2,CA30/BS30&lt;0.5),"NM",CA30/BS30*100-100))</f>
        <v>NM</v>
      </c>
      <c r="CC30" s="74">
        <v>4802</v>
      </c>
      <c r="CD30" s="72" t="str">
        <f>IF(ISERROR(CC30/BU30),"NA",IF(OR(CC30/BU30&gt;2,CC30/BU30&lt;0.5),"NM",CC30/BU30*100-100))</f>
        <v>NM</v>
      </c>
      <c r="CE30" s="74">
        <v>4867</v>
      </c>
      <c r="CF30" s="72" t="str">
        <f>IF(ISERROR(CE30/BW30),"NA",IF(OR(CE30/BW30&gt;2,CE30/BW30&lt;0.5),"NM",CE30/BW30*100-100))</f>
        <v>NM</v>
      </c>
      <c r="CG30" s="74">
        <v>5308</v>
      </c>
      <c r="CH30" s="72">
        <f>IF(ISERROR(CG30/BY30),"NA",IF(OR(CG30/BY30&gt;2,CG30/BY30&lt;0.5),"NM",CG30/BY30*100-100))</f>
        <v>57.134399052693908</v>
      </c>
      <c r="CI30" s="74">
        <v>5368</v>
      </c>
      <c r="CJ30" s="72">
        <f>IF(ISERROR(CI30/CA30),"NA",IF(OR(CI30/CA30&gt;2,CI30/CA30&lt;0.5),"NM",CI30/CA30*100-100))</f>
        <v>-7.9087322010636569</v>
      </c>
      <c r="CK30" s="74">
        <v>6108</v>
      </c>
      <c r="CL30" s="72">
        <f>IF(ISERROR(CK30/CC30),"NA",IF(OR(CK30/CC30&gt;2,CK30/CC30&lt;0.5),"NM",CK30/CC30*100-100))</f>
        <v>27.197001249479385</v>
      </c>
      <c r="CM30" s="74">
        <v>6815</v>
      </c>
      <c r="CN30" s="72">
        <f>IF(ISERROR(CM30/CE30),"NA",IF(OR(CM30/CE30&gt;2,CM30/CE30&lt;0.5),"NM",CM30/CE30*100-100))</f>
        <v>40.024655845490031</v>
      </c>
      <c r="CO30" s="74">
        <v>4531</v>
      </c>
      <c r="CP30" s="72">
        <f>IF(ISERROR(CO30/CG30),"NA",IF(OR(CO30/CG30&gt;2,CO30/CG30&lt;0.5),"NM",CO30/CG30*100-100))</f>
        <v>-14.638281838733988</v>
      </c>
      <c r="CQ30" s="74">
        <v>4472</v>
      </c>
      <c r="CR30" s="72">
        <f>IF(ISERROR(CQ30/CI30),"NA",IF(OR(CQ30/CI30&gt;2,CQ30/CI30&lt;0.5),"NM",CQ30/CI30*100-100))</f>
        <v>-16.691505216095379</v>
      </c>
      <c r="CS30" s="74">
        <v>4406</v>
      </c>
      <c r="CT30" s="72">
        <f>IF(ISERROR(CS30/CK30),"NA",IF(OR(CS30/CK30&gt;2,CS30/CK30&lt;0.5),"NM",CS30/CK30*100-100))</f>
        <v>-27.865094957432873</v>
      </c>
      <c r="CU30" s="74">
        <v>4943</v>
      </c>
      <c r="CV30" s="72">
        <f>IF(ISERROR(CU30/CM30),"NA",IF(OR(CU30/CM30&gt;2,CU30/CM30&lt;0.5),"NM",CU30/CM30*100-100))</f>
        <v>-27.46881878209831</v>
      </c>
      <c r="CW30" s="74">
        <v>5344</v>
      </c>
      <c r="CX30" s="72">
        <f>IF(ISERROR(CW30/CO30),"NA",IF(OR(CW30/CO30&gt;2,CW30/CO30&lt;0.5),"NM",CW30/CO30*100-100))</f>
        <v>17.943058927389103</v>
      </c>
      <c r="CY30" s="74">
        <v>5912</v>
      </c>
      <c r="CZ30" s="72">
        <f>IF(ISERROR(CY30/CQ30),"NA",IF(OR(CY30/CQ30&gt;2,CY30/CQ30&lt;0.5),"NM",CY30/CQ30*100-100))</f>
        <v>32.200357781753155</v>
      </c>
      <c r="DA30" s="74">
        <v>3778</v>
      </c>
      <c r="DB30" s="72">
        <f>IF(ISERROR(DA30/CS30),"NA",IF(OR(DA30/CS30&gt;2,DA30/CS30&lt;0.5),"NM",DA30/CS30*100-100))</f>
        <v>-14.253290966863361</v>
      </c>
      <c r="DC30" s="74">
        <v>4208</v>
      </c>
      <c r="DD30" s="72">
        <f>IF(ISERROR(DC30/CU30),"NA",IF(OR(DC30/CU30&gt;2,DC30/CU30&lt;0.5),"NM",DC30/CU30*100-100))</f>
        <v>-14.869512441836946</v>
      </c>
      <c r="DE30" s="74">
        <v>2439</v>
      </c>
      <c r="DF30" s="72" t="str">
        <f>IF(ISERROR(DE30/CW30),"NA",IF(OR(DE30/CW30&gt;2,DE30/CW30&lt;0.5),"NM",DE30/CW30*100-100))</f>
        <v>NM</v>
      </c>
      <c r="DG30" s="74">
        <v>2388</v>
      </c>
      <c r="DH30" s="72" t="str">
        <f>IF(ISERROR(DG30/CY30),"NA",IF(OR(DG30/CY30&gt;2,DG30/CY30&lt;0.5),"NM",DG30/CY30*100-100))</f>
        <v>NM</v>
      </c>
      <c r="DI30" s="74">
        <v>2412</v>
      </c>
      <c r="DJ30" s="72">
        <f>IF(ISERROR(DI30/DA30),"NA",IF(OR(DI30/DA30&gt;2,DI30/DA30&lt;0.5),"NM",DI30/DA30*100-100))</f>
        <v>-36.156696664902064</v>
      </c>
      <c r="DK30" s="74">
        <v>2304</v>
      </c>
      <c r="DL30" s="72">
        <f>IF(ISERROR(DK30/DC30),"NA",IF(OR(DK30/DC30&gt;2,DK30/DC30&lt;0.5),"NM",DK30/DC30*100-100))</f>
        <v>-45.247148288973385</v>
      </c>
      <c r="DM30" s="74">
        <v>2651</v>
      </c>
      <c r="DN30" s="72">
        <f>IF(ISERROR(DM30/DE30),"NA",IF(OR(DM30/DE30&gt;2,DM30/DE30&lt;0.5),"NM",DM30/DE30*100-100))</f>
        <v>8.6920869208692011</v>
      </c>
      <c r="DO30" s="74">
        <v>2561</v>
      </c>
      <c r="DP30" s="72">
        <f>IF(ISERROR(DO30/DG30),"NA",IF(OR(DO30/DG30&gt;2,DO30/DG30&lt;0.5),"NM",DO30/DG30*100-100))</f>
        <v>7.2445561139028456</v>
      </c>
      <c r="DQ30" s="74">
        <v>2441</v>
      </c>
      <c r="DR30" s="72">
        <f>IF(ISERROR(DQ30/DI30),"NA",IF(OR(DQ30/DI30&gt;2,DQ30/DI30&lt;0.5),"NM",DQ30/DI30*100-100))</f>
        <v>1.2023217247097762</v>
      </c>
      <c r="DS30" s="74">
        <v>2215</v>
      </c>
      <c r="DT30" s="72">
        <f>IF(ISERROR(DS30/DK30),"NA",IF(OR(DS30/DK30&gt;2,DS30/DK30&lt;0.5),"NM",DS30/DK30*100-100))</f>
        <v>-3.8628472222222143</v>
      </c>
      <c r="DU30" s="74">
        <v>2326</v>
      </c>
      <c r="DV30" s="72">
        <f>IF(ISERROR(DU30/DM30),"NA",IF(OR(DU30/DM30&gt;2,DU30/DM30&lt;0.5),"NM",DU30/DM30*100-100))</f>
        <v>-12.259524707657491</v>
      </c>
      <c r="DW30" s="74">
        <v>2115</v>
      </c>
      <c r="DX30" s="72">
        <f>IF(ISERROR(DW30/DO30),"NA",IF(OR(DW30/DO30&gt;2,DW30/DO30&lt;0.5),"NM",DW30/DO30*100-100))</f>
        <v>-17.415072237407259</v>
      </c>
      <c r="DY30" s="74">
        <v>2076</v>
      </c>
      <c r="DZ30" s="72">
        <f>IF(ISERROR(DY30/DQ30),"NA",IF(OR(DY30/DQ30&gt;2,DY30/DQ30&lt;0.5),"NM",DY30/DQ30*100-100))</f>
        <v>-14.952888160589922</v>
      </c>
      <c r="EA30" s="74">
        <v>2001</v>
      </c>
      <c r="EB30" s="72">
        <f>IF(ISERROR(EA30/DS30),"NA",IF(OR(EA30/DS30&gt;2,EA30/DS30&lt;0.5),"NM",EA30/DS30*100-100))</f>
        <v>-9.661399548532728</v>
      </c>
      <c r="EC30" s="74">
        <v>2267</v>
      </c>
      <c r="ED30" s="72">
        <f>IF(ISERROR(EC30/DU30),"NA",IF(OR(EC30/DU30&gt;2,EC30/DU30&lt;0.5),"NM",EC30/DU30*100-100))</f>
        <v>-2.5365434221840104</v>
      </c>
      <c r="EE30" s="74">
        <v>2088</v>
      </c>
      <c r="EF30" s="72">
        <f>IF(ISERROR(EE30/DW30),"NA",IF(OR(EE30/DW30&gt;2,EE30/DW30&lt;0.5),"NM",EE30/DW30*100-100))</f>
        <v>-1.2765957446808471</v>
      </c>
      <c r="EG30" s="74">
        <v>1638</v>
      </c>
      <c r="EH30" s="72">
        <f>IF(ISERROR(EG30/DY30),"NA",IF(OR(EG30/DY30&gt;2,EG30/DY30&lt;0.5),"NM",EG30/DY30*100-100))</f>
        <v>-21.098265895953759</v>
      </c>
      <c r="EI30" s="74">
        <v>1428</v>
      </c>
      <c r="EJ30" s="72">
        <f>IF(ISERROR(EI30/EA30),"NA",IF(OR(EI30/EA30&gt;2,EI30/EA30&lt;0.5),"NM",EI30/EA30*100-100))</f>
        <v>-28.635682158920545</v>
      </c>
      <c r="EK30" s="74">
        <v>1493</v>
      </c>
      <c r="EL30" s="72">
        <f>IF(ISERROR(EK30/EC30),"NA",IF(OR(EK30/EC30&gt;2,EK30/EC30&lt;0.5),"NM",EK30/EC30*100-100))</f>
        <v>-34.142037935597699</v>
      </c>
      <c r="EM30" s="74">
        <v>1318</v>
      </c>
      <c r="EN30" s="72">
        <f>IF(ISERROR(EM30/EE30),"NA",IF(OR(EM30/EE30&gt;2,EM30/EE30&lt;0.5),"NM",EM30/EE30*100-100))</f>
        <v>-36.877394636015325</v>
      </c>
      <c r="EO30" s="74">
        <v>1613</v>
      </c>
      <c r="EP30" s="72">
        <f>IF(ISERROR(EO30/EG30),"NA",IF(OR(EO30/EG30&gt;2,EO30/EG30&lt;0.5),"NM",EO30/EG30*100-100))</f>
        <v>-1.5262515262515137</v>
      </c>
      <c r="EQ30" s="74">
        <f t="shared" ref="EQ30" si="124">EO30*1.02</f>
        <v>1645.26</v>
      </c>
      <c r="ER30" s="72">
        <f t="shared" si="103"/>
        <v>15.214285714285708</v>
      </c>
      <c r="ES30" s="74">
        <f t="shared" ref="ES30" si="125">EQ30*1.02</f>
        <v>1678.1651999999999</v>
      </c>
      <c r="ET30" s="72">
        <f t="shared" si="105"/>
        <v>12.402223710649693</v>
      </c>
      <c r="EU30" s="74">
        <f t="shared" ref="EU30" si="126">ES30*1.02</f>
        <v>1711.7285039999999</v>
      </c>
      <c r="EV30" s="72">
        <f t="shared" si="107"/>
        <v>29.873179362670697</v>
      </c>
      <c r="EW30" s="74">
        <f t="shared" ref="EW30" si="127">EU30*1.02</f>
        <v>1745.9630740800001</v>
      </c>
      <c r="EX30" s="72">
        <f t="shared" si="109"/>
        <v>8.2432160000000039</v>
      </c>
      <c r="EY30" s="72"/>
      <c r="EZ30" s="307"/>
      <c r="FA30" s="72"/>
      <c r="FB30" s="74">
        <v>2276</v>
      </c>
      <c r="FC30" s="72"/>
      <c r="FD30" s="74">
        <v>2025</v>
      </c>
      <c r="FE30" s="72">
        <f t="shared" si="110"/>
        <v>-11.028119507908613</v>
      </c>
      <c r="FF30" s="74">
        <v>1809</v>
      </c>
      <c r="FG30" s="72">
        <f t="shared" si="111"/>
        <v>-10.666666666666671</v>
      </c>
      <c r="FH30" s="75">
        <f t="shared" ref="FH30:FH37" si="128">K30+M30+O30+Q30</f>
        <v>1271</v>
      </c>
      <c r="FI30" s="72">
        <f t="shared" si="112"/>
        <v>-29.740187949143177</v>
      </c>
      <c r="FJ30" s="75">
        <f t="shared" ref="FJ30:FJ37" si="129">S30+U30+W30+Y30</f>
        <v>1395</v>
      </c>
      <c r="FK30" s="72">
        <f t="shared" si="113"/>
        <v>9.7560975609756184</v>
      </c>
      <c r="FL30" s="75">
        <f t="shared" ref="FL30:FL37" si="130">AA30+AC30+AE30+AG30</f>
        <v>4418</v>
      </c>
      <c r="FM30" s="72" t="str">
        <f t="shared" si="114"/>
        <v>NM</v>
      </c>
      <c r="FN30" s="75">
        <f t="shared" ref="FN30:FN37" si="131">AI30+AK30+AM30+AO30</f>
        <v>5806</v>
      </c>
      <c r="FO30" s="72">
        <f t="shared" si="115"/>
        <v>31.416930737890453</v>
      </c>
      <c r="FP30" s="75">
        <f>AQ30+AS30+AU30+AW30</f>
        <v>7106</v>
      </c>
      <c r="FQ30" s="72">
        <f t="shared" si="116"/>
        <v>22.390630382363071</v>
      </c>
      <c r="FR30" s="75">
        <f t="shared" ref="FR30:FR37" si="132">AY30+BA30+BC30+BE30</f>
        <v>9593</v>
      </c>
      <c r="FS30" s="72">
        <f t="shared" si="117"/>
        <v>34.998592738530817</v>
      </c>
      <c r="FT30" s="75">
        <f t="shared" ref="FT30:FT37" si="133">BG30+BI30+BK30+BM30</f>
        <v>11678</v>
      </c>
      <c r="FU30" s="72">
        <f t="shared" si="118"/>
        <v>21.734598144480358</v>
      </c>
      <c r="FV30" s="75">
        <f t="shared" ref="FV30:FV37" si="134">BO30+BQ30+BS30+BU30</f>
        <v>10208</v>
      </c>
      <c r="FW30" s="72">
        <f>IF(ISERROR(FV30/FT30),"NA",IF(OR(FV30/FT30&gt;2,FV30/FT30&lt;0.5),"NM",FV30/FT30*100-100))</f>
        <v>-12.587771878746352</v>
      </c>
      <c r="FX30" s="75">
        <f>BW30+BY30+CA30+CC30</f>
        <v>16117</v>
      </c>
      <c r="FY30" s="72">
        <f>IF(ISERROR(FX30/FV30),"NA",IF(OR(FX30/FV30&gt;2,FX30/FV30&lt;0.5),"NM",FX30/FV30*100-100))</f>
        <v>57.885971786833863</v>
      </c>
      <c r="FZ30" s="75">
        <f>CE30+CG30+CI30+CK30</f>
        <v>21651</v>
      </c>
      <c r="GA30" s="72">
        <f>IF(ISERROR(FZ30/FX30),"NA",IF(OR(FZ30/FX30&gt;2,FZ30/FX30&lt;0.5),"NM",FZ30/FX30*100-100))</f>
        <v>34.33641496556433</v>
      </c>
      <c r="GB30" s="75">
        <f>CM30+CO30+CQ30+CS30</f>
        <v>20224</v>
      </c>
      <c r="GC30" s="72">
        <f>IF(ISERROR(GB30/FZ30),"NA",IF(OR(GB30/FZ30&gt;2,GB30/FZ30&lt;0.5),"NM",GB30/FZ30*100-100))</f>
        <v>-6.5909195880097968</v>
      </c>
      <c r="GD30" s="75">
        <f>CU30+CW30+CY30+DA30</f>
        <v>19977</v>
      </c>
      <c r="GE30" s="72">
        <f>IF(ISERROR(GD30/GB30),"NA",IF(OR(GD30/GB30&gt;2,GD30/GB30&lt;0.5),"NM",GD30/GB30*100-100))</f>
        <v>-1.2213212025316409</v>
      </c>
      <c r="GF30" s="75">
        <f>DC30+DE30+DG30+DI30</f>
        <v>11447</v>
      </c>
      <c r="GG30" s="72">
        <f>IF(ISERROR(GF30/GD30),"NA",IF(OR(GF30/GD30&gt;2,GF30/GD30&lt;0.5),"NM",GF30/GD30*100-100))</f>
        <v>-42.699103969565002</v>
      </c>
      <c r="GH30" s="75">
        <f>DK30+DM30+DO30+DQ30</f>
        <v>9957</v>
      </c>
      <c r="GI30" s="72">
        <f t="shared" si="119"/>
        <v>-13.016510876212109</v>
      </c>
      <c r="GJ30" s="75">
        <f>DS30+DU30+DW30+DY30</f>
        <v>8732</v>
      </c>
      <c r="GK30" s="72">
        <f t="shared" si="120"/>
        <v>-12.302902480666873</v>
      </c>
      <c r="GL30" s="75">
        <f>EA30+EC30+EE30+EG30</f>
        <v>7994</v>
      </c>
      <c r="GM30" s="72">
        <f t="shared" si="121"/>
        <v>-8.4516720109940451</v>
      </c>
      <c r="GN30" s="75">
        <f>EI30+EK30+EM30+EO30</f>
        <v>5852</v>
      </c>
      <c r="GO30" s="72">
        <f t="shared" si="122"/>
        <v>-26.79509632224169</v>
      </c>
      <c r="GP30" s="75">
        <f>EQ30+ES30+EU30+EW30</f>
        <v>6781.1167780799997</v>
      </c>
      <c r="GQ30" s="72">
        <f t="shared" si="122"/>
        <v>15.8769100833903</v>
      </c>
      <c r="GR30" s="74">
        <f>GP30*1.1</f>
        <v>7459.2284558880001</v>
      </c>
      <c r="GS30" s="72">
        <f t="shared" si="122"/>
        <v>10.000000000000014</v>
      </c>
      <c r="GT30" s="74">
        <f>GR30*1.1</f>
        <v>8205.1513014768007</v>
      </c>
      <c r="GU30" s="72">
        <f t="shared" si="123"/>
        <v>10.000000000000014</v>
      </c>
      <c r="GV30" s="74">
        <f>GT30*1.1</f>
        <v>9025.6664316244824</v>
      </c>
      <c r="GW30" s="72">
        <f t="shared" ref="GW30:GW39" si="135">IF(ISERROR(GV30/GT30),"NA",IF(OR(GV30/GT30&gt;2,GV30/GT30&lt;0.5),"NM",GV30/GT30*100-100))</f>
        <v>10.000000000000014</v>
      </c>
      <c r="GX30" s="74">
        <f>GV30*1.1</f>
        <v>9928.233074786931</v>
      </c>
      <c r="GY30" s="72">
        <f t="shared" ref="GY30:GY39" si="136">IF(ISERROR(GX30/GV30),"NA",IF(OR(GX30/GV30&gt;2,GX30/GV30&lt;0.5),"NM",GX30/GV30*100-100))</f>
        <v>10.000000000000014</v>
      </c>
      <c r="GZ30" s="72">
        <f>IF(ISERROR(((GX30/GN30)^0.2-1)*100),"NA",IF((((GX30/GN30)^0.2-1)*100)&gt;100,"NM",IF((((GX30/GN30)^0.2-1)*100)&lt;-50,"NM",((GX30/GN30)^0.2-1)*100)))</f>
        <v>11.15103967679476</v>
      </c>
      <c r="HA30" s="72"/>
      <c r="HB30" s="72"/>
      <c r="HC30"/>
      <c r="HD30"/>
      <c r="HE30"/>
      <c r="HF30"/>
      <c r="HG30"/>
      <c r="HH30"/>
      <c r="HI30" s="2"/>
    </row>
    <row r="31" spans="1:217" s="135" customFormat="1" ht="12.75" hidden="1" customHeight="1" outlineLevel="1" x14ac:dyDescent="0.2">
      <c r="B31" s="234" t="s">
        <v>360</v>
      </c>
      <c r="C31" s="209"/>
      <c r="D31" s="137"/>
      <c r="E31" s="209"/>
      <c r="F31" s="137"/>
      <c r="G31" s="209"/>
      <c r="H31" s="137"/>
      <c r="I31" s="209"/>
      <c r="J31" s="137"/>
      <c r="K31" s="209"/>
      <c r="L31" s="137"/>
      <c r="M31" s="209"/>
      <c r="N31" s="137"/>
      <c r="O31" s="209"/>
      <c r="P31" s="137"/>
      <c r="Q31" s="209"/>
      <c r="R31" s="137"/>
      <c r="S31" s="209"/>
      <c r="T31" s="137"/>
      <c r="U31" s="209"/>
      <c r="V31" s="137"/>
      <c r="W31" s="209"/>
      <c r="X31" s="137"/>
      <c r="Y31" s="209"/>
      <c r="Z31" s="137"/>
      <c r="AA31" s="209"/>
      <c r="AB31" s="137"/>
      <c r="AC31" s="209"/>
      <c r="AD31" s="137"/>
      <c r="AE31" s="209"/>
      <c r="AF31" s="137"/>
      <c r="AG31" s="209"/>
      <c r="AH31" s="137"/>
      <c r="AI31" s="209"/>
      <c r="AJ31" s="137"/>
      <c r="AK31" s="209"/>
      <c r="AL31" s="137"/>
      <c r="AM31" s="209"/>
      <c r="AN31" s="137"/>
      <c r="AO31" s="209"/>
      <c r="AP31" s="137"/>
      <c r="AQ31" s="209"/>
      <c r="AR31" s="137"/>
      <c r="AS31" s="209"/>
      <c r="AT31" s="137"/>
      <c r="AU31" s="209"/>
      <c r="AV31" s="137"/>
      <c r="AW31" s="209"/>
      <c r="AX31" s="137"/>
      <c r="AY31" s="209"/>
      <c r="AZ31" s="137"/>
      <c r="BA31" s="209"/>
      <c r="BB31" s="137"/>
      <c r="BC31" s="209"/>
      <c r="BD31" s="137"/>
      <c r="BE31" s="209"/>
      <c r="BF31" s="137"/>
      <c r="BG31" s="209"/>
      <c r="BH31" s="137"/>
      <c r="BI31" s="209"/>
      <c r="BJ31" s="137"/>
      <c r="BK31" s="209"/>
      <c r="BL31" s="137"/>
      <c r="BM31" s="209"/>
      <c r="BN31" s="137"/>
      <c r="BO31" s="209"/>
      <c r="BP31" s="137"/>
      <c r="BQ31" s="209"/>
      <c r="BR31" s="137"/>
      <c r="BS31" s="209"/>
      <c r="BT31" s="137"/>
      <c r="BU31" s="209"/>
      <c r="BV31" s="137"/>
      <c r="BW31" s="209"/>
      <c r="BX31" s="137"/>
      <c r="BY31" s="209"/>
      <c r="BZ31" s="137"/>
      <c r="CA31" s="209"/>
      <c r="CB31" s="137"/>
      <c r="CC31" s="209"/>
      <c r="CD31" s="137"/>
      <c r="CE31" s="209"/>
      <c r="CF31" s="137"/>
      <c r="CG31" s="209"/>
      <c r="CH31" s="137"/>
      <c r="CI31" s="209"/>
      <c r="CJ31" s="137"/>
      <c r="CK31" s="209"/>
      <c r="CL31" s="137"/>
      <c r="CM31" s="209"/>
      <c r="CN31" s="137"/>
      <c r="CO31" s="209"/>
      <c r="CP31" s="137"/>
      <c r="CQ31" s="209"/>
      <c r="CR31" s="137"/>
      <c r="CS31" s="209"/>
      <c r="CT31" s="137"/>
      <c r="CU31" s="209"/>
      <c r="CV31" s="137"/>
      <c r="CW31" s="209"/>
      <c r="CX31" s="137"/>
      <c r="CY31" s="209"/>
      <c r="CZ31" s="137"/>
      <c r="DA31" s="209"/>
      <c r="DB31" s="137"/>
      <c r="DC31" s="209"/>
      <c r="DD31" s="137"/>
      <c r="DE31" s="209"/>
      <c r="DF31" s="137"/>
      <c r="DG31" s="209"/>
      <c r="DH31" s="137"/>
      <c r="DI31" s="209"/>
      <c r="DJ31" s="137"/>
      <c r="DK31" s="209"/>
      <c r="DL31" s="137"/>
      <c r="DM31" s="209"/>
      <c r="DN31" s="137"/>
      <c r="DO31" s="209"/>
      <c r="DP31" s="137"/>
      <c r="DQ31" s="209"/>
      <c r="DR31" s="137"/>
      <c r="DS31" s="209"/>
      <c r="DT31" s="137"/>
      <c r="DU31" s="209"/>
      <c r="DV31" s="137"/>
      <c r="DW31" s="209"/>
      <c r="DX31" s="137"/>
      <c r="DY31" s="209"/>
      <c r="DZ31" s="137"/>
      <c r="EA31" s="209"/>
      <c r="EB31" s="137"/>
      <c r="EC31" s="209"/>
      <c r="ED31" s="137"/>
      <c r="EE31" s="209"/>
      <c r="EF31" s="137"/>
      <c r="EG31" s="209">
        <f>IF($B$6=1,EG30,IF($B$6=2,EG30+EG890,IF($B$6=3,EG30+EG891)))</f>
        <v>1638</v>
      </c>
      <c r="EH31" s="137"/>
      <c r="EI31" s="209">
        <f>IF($B$6=1,EI30,IF($B$6=2,EI30+EI890,IF($B$6=3,EI30+EI891)))</f>
        <v>1428</v>
      </c>
      <c r="EJ31" s="137"/>
      <c r="EK31" s="209">
        <f>IF($B$6=1,EK30,IF($B$6=2,EK30+EK890,IF($B$6=3,EK30+EK891)))</f>
        <v>1493</v>
      </c>
      <c r="EL31" s="137"/>
      <c r="EM31" s="209">
        <f>IF($B$6=1,EM30,IF($B$6=2,EM30+EM890,IF($B$6=3,EM30+EM891)))</f>
        <v>1318</v>
      </c>
      <c r="EN31" s="137"/>
      <c r="EO31" s="209">
        <f>IF($B$6=1,EO30,IF($B$6=2,EO30+EO890,IF($B$6=3,EO30+EO891)))</f>
        <v>1613</v>
      </c>
      <c r="EP31" s="137"/>
      <c r="EQ31" s="209">
        <f>IF($B$6=1,EQ30,IF($B$6=2,EQ30+EQ890,IF($B$6=3,EQ30+EQ891)))</f>
        <v>1645.26</v>
      </c>
      <c r="ER31" s="137"/>
      <c r="ES31" s="209">
        <f>IF($B$6=1,ES30,IF($B$6=2,ES30+ES890,IF($B$6=3,ES30+ES891)))</f>
        <v>1678.1651999999999</v>
      </c>
      <c r="ET31" s="137"/>
      <c r="EU31" s="209">
        <f>IF($B$6=1,EU30,IF($B$6=2,EU30+EU890,IF($B$6=3,EU30+EU891)))</f>
        <v>1711.7285039999999</v>
      </c>
      <c r="EV31" s="137"/>
      <c r="EW31" s="209">
        <f>IF($B$6=1,EW30,IF($B$6=2,EW30+EW890,IF($B$6=3,EW30+EW891)))</f>
        <v>1745.9630740800001</v>
      </c>
      <c r="EX31" s="137"/>
      <c r="EY31" s="137"/>
      <c r="EZ31" s="308"/>
      <c r="FA31" s="137"/>
      <c r="FB31" s="209"/>
      <c r="FC31" s="137"/>
      <c r="FD31" s="209"/>
      <c r="FE31" s="137"/>
      <c r="FF31" s="209"/>
      <c r="FG31" s="137"/>
      <c r="FH31" s="209"/>
      <c r="FI31" s="137"/>
      <c r="FJ31" s="209"/>
      <c r="FK31" s="137"/>
      <c r="FL31" s="209"/>
      <c r="FM31" s="137"/>
      <c r="FN31" s="209"/>
      <c r="FO31" s="137"/>
      <c r="FP31" s="209"/>
      <c r="FQ31" s="137"/>
      <c r="FR31" s="209"/>
      <c r="FS31" s="137"/>
      <c r="FT31" s="209"/>
      <c r="FU31" s="137"/>
      <c r="FV31" s="209"/>
      <c r="FW31" s="137"/>
      <c r="FX31" s="209"/>
      <c r="FY31" s="137"/>
      <c r="FZ31" s="209"/>
      <c r="GA31" s="137"/>
      <c r="GB31" s="209"/>
      <c r="GC31" s="137"/>
      <c r="GD31" s="209"/>
      <c r="GE31" s="137"/>
      <c r="GF31" s="209"/>
      <c r="GG31" s="137"/>
      <c r="GH31" s="209"/>
      <c r="GI31" s="72" t="str">
        <f t="shared" si="119"/>
        <v>NA</v>
      </c>
      <c r="GJ31" s="209"/>
      <c r="GK31" s="72" t="str">
        <f t="shared" si="120"/>
        <v>NA</v>
      </c>
      <c r="GL31" s="209"/>
      <c r="GM31" s="72" t="str">
        <f t="shared" si="121"/>
        <v>NA</v>
      </c>
      <c r="GN31" s="209"/>
      <c r="GO31" s="72" t="str">
        <f t="shared" si="122"/>
        <v>NA</v>
      </c>
      <c r="GP31" s="209"/>
      <c r="GQ31" s="72" t="str">
        <f t="shared" si="122"/>
        <v>NA</v>
      </c>
      <c r="GR31" s="209">
        <f>IF($B$6=1,GR30,IF($B$6=2,GR30+GR890,IF($B$6=3,GR30+GR891)))</f>
        <v>7459.2284558880001</v>
      </c>
      <c r="GS31" s="72" t="str">
        <f t="shared" si="122"/>
        <v>NA</v>
      </c>
      <c r="GT31" s="209">
        <f>IF($B$6=1,GT30,IF($B$6=2,GT30+GT890,IF($B$6=3,GT30+GT891)))</f>
        <v>8205.1513014768007</v>
      </c>
      <c r="GU31" s="72">
        <f t="shared" si="123"/>
        <v>10.000000000000014</v>
      </c>
      <c r="GV31" s="209">
        <f>IF($B$6=1,GV30,IF($B$6=2,GV30+GV890,IF($B$6=3,GV30+GV891)))</f>
        <v>9025.6664316244824</v>
      </c>
      <c r="GW31" s="72">
        <f t="shared" si="135"/>
        <v>10.000000000000014</v>
      </c>
      <c r="GX31" s="209">
        <f>IF($B$6=1,GX30,IF($B$6=2,GX30+GX890,IF($B$6=3,GX30+GX891)))</f>
        <v>9928.233074786931</v>
      </c>
      <c r="GY31" s="72">
        <f t="shared" si="136"/>
        <v>10.000000000000014</v>
      </c>
      <c r="GZ31" s="137"/>
      <c r="HA31" s="137"/>
      <c r="HB31" s="137"/>
      <c r="HC31"/>
      <c r="HD31"/>
      <c r="HE31"/>
      <c r="HF31"/>
      <c r="HG31"/>
      <c r="HH31"/>
      <c r="HI31" s="236"/>
    </row>
    <row r="32" spans="1:217" s="3" customFormat="1" ht="12.75" customHeight="1" collapsed="1" x14ac:dyDescent="0.2">
      <c r="B32" s="77" t="s">
        <v>294</v>
      </c>
      <c r="C32" s="74">
        <f>FF32-I32-G32-E32</f>
        <v>177</v>
      </c>
      <c r="D32" s="72"/>
      <c r="E32" s="74">
        <v>288</v>
      </c>
      <c r="F32" s="72"/>
      <c r="G32" s="74">
        <v>11</v>
      </c>
      <c r="H32" s="72"/>
      <c r="I32" s="74">
        <v>5</v>
      </c>
      <c r="J32" s="72"/>
      <c r="K32" s="74">
        <v>0</v>
      </c>
      <c r="L32" s="72" t="str">
        <f t="shared" si="88"/>
        <v>NM</v>
      </c>
      <c r="M32" s="74">
        <v>0</v>
      </c>
      <c r="N32" s="72" t="str">
        <f t="shared" si="89"/>
        <v>NM</v>
      </c>
      <c r="O32" s="74">
        <v>0</v>
      </c>
      <c r="P32" s="72" t="str">
        <f t="shared" si="90"/>
        <v>NM</v>
      </c>
      <c r="Q32" s="74">
        <v>0</v>
      </c>
      <c r="R32" s="72" t="str">
        <f t="shared" ref="R32:R39" si="137">IF(ISERROR(Q32/I32),"NA",IF(OR(Q32/I32&gt;2,Q32/I32&lt;0.5),"NM",Q32/I32*100-100))</f>
        <v>NM</v>
      </c>
      <c r="S32" s="74">
        <v>0</v>
      </c>
      <c r="T32" s="72" t="str">
        <f t="shared" ref="T32:T39" si="138">IF(ISERROR(S32/K32),"NA",IF(OR(S32/K32&gt;2,S32/K32&lt;0.5),"NM",S32/K32*100-100))</f>
        <v>NA</v>
      </c>
      <c r="U32" s="74">
        <v>0</v>
      </c>
      <c r="V32" s="72" t="str">
        <f t="shared" ref="V32:V39" si="139">IF(ISERROR(U32/M32),"NA",IF(OR(U32/M32&gt;2,U32/M32&lt;0.5),"NM",U32/M32*100-100))</f>
        <v>NA</v>
      </c>
      <c r="W32" s="74">
        <v>0</v>
      </c>
      <c r="X32" s="72" t="str">
        <f t="shared" ref="X32:X39" si="140">IF(ISERROR(W32/O32),"NA",IF(OR(W32/O32&gt;2,W32/O32&lt;0.5),"NM",W32/O32*100-100))</f>
        <v>NA</v>
      </c>
      <c r="Y32" s="74">
        <v>0</v>
      </c>
      <c r="Z32" s="72" t="str">
        <f t="shared" ref="Z32:Z39" si="141">IF(ISERROR(Y32/Q32),"NA",IF(OR(Y32/Q32&gt;2,Y32/Q32&lt;0.5),"NM",Y32/Q32*100-100))</f>
        <v>NA</v>
      </c>
      <c r="AA32" s="74">
        <v>0</v>
      </c>
      <c r="AB32" s="72" t="str">
        <f t="shared" ref="AB32:AB39" si="142">IF(ISERROR(AA32/S32),"NA",IF(OR(AA32/S32&gt;2,AA32/S32&lt;0.5),"NM",AA32/S32*100-100))</f>
        <v>NA</v>
      </c>
      <c r="AC32" s="74">
        <v>0</v>
      </c>
      <c r="AD32" s="72" t="str">
        <f t="shared" ref="AD32:AD39" si="143">IF(ISERROR(AC32/U32),"NA",IF(OR(AC32/U32&gt;2,AC32/U32&lt;0.5),"NM",AC32/U32*100-100))</f>
        <v>NA</v>
      </c>
      <c r="AE32" s="74">
        <v>0</v>
      </c>
      <c r="AF32" s="72" t="str">
        <f t="shared" ref="AF32:AF39" si="144">IF(ISERROR(AE32/W32),"NA",IF(OR(AE32/W32&gt;2,AE32/W32&lt;0.5),"NM",AE32/W32*100-100))</f>
        <v>NA</v>
      </c>
      <c r="AG32" s="74">
        <v>0</v>
      </c>
      <c r="AH32" s="72" t="str">
        <f t="shared" ref="AH32:AH39" si="145">IF(ISERROR(AG32/Y32),"NA",IF(OR(AG32/Y32&gt;2,AG32/Y32&lt;0.5),"NM",AG32/Y32*100-100))</f>
        <v>NA</v>
      </c>
      <c r="AI32" s="74">
        <v>0</v>
      </c>
      <c r="AJ32" s="72" t="str">
        <f t="shared" ref="AJ32:AJ39" si="146">IF(ISERROR(AI32/AA32),"NA",IF(OR(AI32/AA32&gt;2,AI32/AA32&lt;0.5),"NM",AI32/AA32*100-100))</f>
        <v>NA</v>
      </c>
      <c r="AK32" s="74">
        <v>0</v>
      </c>
      <c r="AL32" s="72" t="str">
        <f t="shared" ref="AL32:AL39" si="147">IF(ISERROR(AK32/AC32),"NA",IF(OR(AK32/AC32&gt;2,AK32/AC32&lt;0.5),"NM",AK32/AC32*100-100))</f>
        <v>NA</v>
      </c>
      <c r="AM32" s="74">
        <v>0</v>
      </c>
      <c r="AN32" s="72" t="str">
        <f t="shared" ref="AN32:AN39" si="148">IF(ISERROR(AM32/AE32),"NA",IF(OR(AM32/AE32&gt;2,AM32/AE32&lt;0.5),"NM",AM32/AE32*100-100))</f>
        <v>NA</v>
      </c>
      <c r="AO32" s="74">
        <v>0</v>
      </c>
      <c r="AP32" s="72" t="str">
        <f t="shared" ref="AP32:AP39" si="149">IF(ISERROR(AO32/AG32),"NA",IF(OR(AO32/AG32&gt;2,AO32/AG32&lt;0.5),"NM",AO32/AG32*100-100))</f>
        <v>NA</v>
      </c>
      <c r="AQ32" s="74">
        <v>0</v>
      </c>
      <c r="AR32" s="72" t="str">
        <f t="shared" si="91"/>
        <v>NA</v>
      </c>
      <c r="AS32" s="74">
        <v>0</v>
      </c>
      <c r="AT32" s="72" t="str">
        <f t="shared" si="92"/>
        <v>NA</v>
      </c>
      <c r="AU32" s="74">
        <v>0</v>
      </c>
      <c r="AV32" s="72" t="str">
        <f t="shared" si="93"/>
        <v>NA</v>
      </c>
      <c r="AW32" s="74">
        <v>0</v>
      </c>
      <c r="AX32" s="72" t="str">
        <f t="shared" si="94"/>
        <v>NA</v>
      </c>
      <c r="AY32" s="74">
        <v>0</v>
      </c>
      <c r="AZ32" s="72" t="str">
        <f t="shared" si="95"/>
        <v>NA</v>
      </c>
      <c r="BA32" s="74">
        <v>0</v>
      </c>
      <c r="BB32" s="72" t="str">
        <f t="shared" si="96"/>
        <v>NA</v>
      </c>
      <c r="BC32" s="74">
        <v>0</v>
      </c>
      <c r="BD32" s="72" t="str">
        <f t="shared" si="97"/>
        <v>NA</v>
      </c>
      <c r="BE32" s="74">
        <v>0</v>
      </c>
      <c r="BF32" s="72" t="str">
        <f t="shared" si="98"/>
        <v>NA</v>
      </c>
      <c r="BG32" s="74">
        <v>0</v>
      </c>
      <c r="BH32" s="72" t="str">
        <f t="shared" si="99"/>
        <v>NA</v>
      </c>
      <c r="BI32" s="74">
        <v>0</v>
      </c>
      <c r="BJ32" s="72" t="str">
        <f t="shared" ref="BJ32:BJ39" si="150">IF(ISERROR(BI32/BA32),"NA",IF(OR(BI32/BA32&gt;2,BI32/BA32&lt;0.5),"NM",BI32/BA32*100-100))</f>
        <v>NA</v>
      </c>
      <c r="BK32" s="74">
        <v>0</v>
      </c>
      <c r="BL32" s="72" t="str">
        <f t="shared" ref="BL32:BL39" si="151">IF(ISERROR(BK32/BC32),"NA",IF(OR(BK32/BC32&gt;2,BK32/BC32&lt;0.5),"NM",BK32/BC32*100-100))</f>
        <v>NA</v>
      </c>
      <c r="BM32" s="74">
        <v>0</v>
      </c>
      <c r="BN32" s="72" t="str">
        <f t="shared" si="100"/>
        <v>NA</v>
      </c>
      <c r="BO32" s="74">
        <v>0</v>
      </c>
      <c r="BP32" s="72" t="str">
        <f t="shared" ref="BP32:BP39" si="152">IF(ISERROR(BO32/BG32),"NA",IF(OR(BO32/BG32&gt;2,BO32/BG32&lt;0.5),"NM",BO32/BG32*100-100))</f>
        <v>NA</v>
      </c>
      <c r="BQ32" s="74">
        <v>0</v>
      </c>
      <c r="BR32" s="72" t="str">
        <f t="shared" ref="BR32:BR39" si="153">IF(ISERROR(BQ32/BI32),"NA",IF(OR(BQ32/BI32&gt;2,BQ32/BI32&lt;0.5),"NM",BQ32/BI32*100-100))</f>
        <v>NA</v>
      </c>
      <c r="BS32" s="74">
        <v>0</v>
      </c>
      <c r="BT32" s="72" t="str">
        <f t="shared" ref="BT32:BT39" si="154">IF(ISERROR(BS32/BK32),"NA",IF(OR(BS32/BK32&gt;2,BS32/BK32&lt;0.5),"NM",BS32/BK32*100-100))</f>
        <v>NA</v>
      </c>
      <c r="BU32" s="74">
        <v>0</v>
      </c>
      <c r="BV32" s="72" t="str">
        <f t="shared" ref="BV32:BV39" si="155">IF(ISERROR(BU32/BM32),"NA",IF(OR(BU32/BM32&gt;2,BU32/BM32&lt;0.5),"NM",BU32/BM32*100-100))</f>
        <v>NA</v>
      </c>
      <c r="BW32" s="74">
        <v>0</v>
      </c>
      <c r="BX32" s="72" t="str">
        <f t="shared" ref="BX32:BX39" si="156">IF(ISERROR(BW32/BO32),"NA",IF(OR(BW32/BO32&gt;2,BW32/BO32&lt;0.5),"NM",BW32/BO32*100-100))</f>
        <v>NA</v>
      </c>
      <c r="BY32" s="74">
        <v>0</v>
      </c>
      <c r="BZ32" s="72" t="str">
        <f t="shared" ref="BZ32:BZ39" si="157">IF(ISERROR(BY32/BQ32),"NA",IF(OR(BY32/BQ32&gt;2,BY32/BQ32&lt;0.5),"NM",BY32/BQ32*100-100))</f>
        <v>NA</v>
      </c>
      <c r="CA32" s="74">
        <v>0</v>
      </c>
      <c r="CB32" s="72" t="str">
        <f t="shared" ref="CB32:CB39" si="158">IF(ISERROR(CA32/BS32),"NA",IF(OR(CA32/BS32&gt;2,CA32/BS32&lt;0.5),"NM",CA32/BS32*100-100))</f>
        <v>NA</v>
      </c>
      <c r="CC32" s="74">
        <v>0</v>
      </c>
      <c r="CD32" s="72" t="str">
        <f t="shared" ref="CD32:CD39" si="159">IF(ISERROR(CC32/BU32),"NA",IF(OR(CC32/BU32&gt;2,CC32/BU32&lt;0.5),"NM",CC32/BU32*100-100))</f>
        <v>NA</v>
      </c>
      <c r="CE32" s="74">
        <v>0</v>
      </c>
      <c r="CF32" s="72" t="str">
        <f t="shared" ref="CF32:CF39" si="160">IF(ISERROR(CE32/BW32),"NA",IF(OR(CE32/BW32&gt;2,CE32/BW32&lt;0.5),"NM",CE32/BW32*100-100))</f>
        <v>NA</v>
      </c>
      <c r="CG32" s="74">
        <v>0</v>
      </c>
      <c r="CH32" s="72" t="str">
        <f t="shared" ref="CH32:CH39" si="161">IF(ISERROR(CG32/BY32),"NA",IF(OR(CG32/BY32&gt;2,CG32/BY32&lt;0.5),"NM",CG32/BY32*100-100))</f>
        <v>NA</v>
      </c>
      <c r="CI32" s="74">
        <v>0</v>
      </c>
      <c r="CJ32" s="72" t="str">
        <f t="shared" ref="CJ32:CT39" si="162">IF(ISERROR(CI32/CA32),"NA",IF(OR(CI32/CA32&gt;2,CI32/CA32&lt;0.5),"NM",CI32/CA32*100-100))</f>
        <v>NA</v>
      </c>
      <c r="CK32" s="74">
        <v>0</v>
      </c>
      <c r="CL32" s="72" t="str">
        <f t="shared" si="162"/>
        <v>NA</v>
      </c>
      <c r="CM32" s="74">
        <v>0</v>
      </c>
      <c r="CN32" s="72" t="str">
        <f t="shared" si="162"/>
        <v>NA</v>
      </c>
      <c r="CO32" s="74">
        <v>0</v>
      </c>
      <c r="CP32" s="72" t="str">
        <f t="shared" si="162"/>
        <v>NA</v>
      </c>
      <c r="CQ32" s="74">
        <v>0</v>
      </c>
      <c r="CR32" s="72" t="str">
        <f t="shared" si="162"/>
        <v>NA</v>
      </c>
      <c r="CS32" s="74">
        <v>0</v>
      </c>
      <c r="CT32" s="72" t="str">
        <f t="shared" si="162"/>
        <v>NA</v>
      </c>
      <c r="CU32" s="74">
        <v>0</v>
      </c>
      <c r="CV32" s="72" t="str">
        <f t="shared" ref="CV32:CV39" si="163">IF(ISERROR(CU32/CM32),"NA",IF(OR(CU32/CM32&gt;2,CU32/CM32&lt;0.5),"NM",CU32/CM32*100-100))</f>
        <v>NA</v>
      </c>
      <c r="CW32" s="74">
        <v>0</v>
      </c>
      <c r="CX32" s="72" t="str">
        <f t="shared" ref="CX32:CX39" si="164">IF(ISERROR(CW32/CO32),"NA",IF(OR(CW32/CO32&gt;2,CW32/CO32&lt;0.5),"NM",CW32/CO32*100-100))</f>
        <v>NA</v>
      </c>
      <c r="CY32" s="74">
        <v>0</v>
      </c>
      <c r="CZ32" s="72" t="str">
        <f t="shared" ref="CZ32:CZ39" si="165">IF(ISERROR(CY32/CQ32),"NA",IF(OR(CY32/CQ32&gt;2,CY32/CQ32&lt;0.5),"NM",CY32/CQ32*100-100))</f>
        <v>NA</v>
      </c>
      <c r="DA32" s="74">
        <v>0</v>
      </c>
      <c r="DB32" s="72" t="str">
        <f t="shared" ref="DB32:DB39" si="166">IF(ISERROR(DA32/CS32),"NA",IF(OR(DA32/CS32&gt;2,DA32/CS32&lt;0.5),"NM",DA32/CS32*100-100))</f>
        <v>NA</v>
      </c>
      <c r="DC32" s="74">
        <v>0</v>
      </c>
      <c r="DD32" s="72" t="str">
        <f t="shared" ref="DD32:DD39" si="167">IF(ISERROR(DC32/CU32),"NA",IF(OR(DC32/CU32&gt;2,DC32/CU32&lt;0.5),"NM",DC32/CU32*100-100))</f>
        <v>NA</v>
      </c>
      <c r="DE32" s="74">
        <v>0</v>
      </c>
      <c r="DF32" s="72" t="str">
        <f t="shared" ref="DF32:DF39" si="168">IF(ISERROR(DE32/CW32),"NA",IF(OR(DE32/CW32&gt;2,DE32/CW32&lt;0.5),"NM",DE32/CW32*100-100))</f>
        <v>NA</v>
      </c>
      <c r="DG32" s="74">
        <v>0</v>
      </c>
      <c r="DH32" s="72" t="str">
        <f t="shared" ref="DH32:DH39" si="169">IF(ISERROR(DG32/CY32),"NA",IF(OR(DG32/CY32&gt;2,DG32/CY32&lt;0.5),"NM",DG32/CY32*100-100))</f>
        <v>NA</v>
      </c>
      <c r="DI32" s="74">
        <v>0</v>
      </c>
      <c r="DJ32" s="72" t="str">
        <f t="shared" ref="DJ32:DJ39" si="170">IF(ISERROR(DI32/DA32),"NA",IF(OR(DI32/DA32&gt;2,DI32/DA32&lt;0.5),"NM",DI32/DA32*100-100))</f>
        <v>NA</v>
      </c>
      <c r="DK32" s="74">
        <v>0</v>
      </c>
      <c r="DL32" s="72" t="str">
        <f t="shared" ref="DL32:DL39" si="171">IF(ISERROR(DK32/DC32),"NA",IF(OR(DK32/DC32&gt;2,DK32/DC32&lt;0.5),"NM",DK32/DC32*100-100))</f>
        <v>NA</v>
      </c>
      <c r="DM32" s="74">
        <v>0</v>
      </c>
      <c r="DN32" s="72" t="str">
        <f t="shared" ref="DN32:DZ39" si="172">IF(ISERROR(DM32/DE32),"NA",IF(OR(DM32/DE32&gt;2,DM32/DE32&lt;0.5),"NM",DM32/DE32*100-100))</f>
        <v>NA</v>
      </c>
      <c r="DO32" s="74">
        <v>0</v>
      </c>
      <c r="DP32" s="72" t="str">
        <f t="shared" si="172"/>
        <v>NA</v>
      </c>
      <c r="DQ32" s="74">
        <v>0</v>
      </c>
      <c r="DR32" s="72" t="str">
        <f t="shared" si="172"/>
        <v>NA</v>
      </c>
      <c r="DS32" s="74">
        <v>0</v>
      </c>
      <c r="DT32" s="72" t="str">
        <f t="shared" si="172"/>
        <v>NA</v>
      </c>
      <c r="DU32" s="74">
        <v>0</v>
      </c>
      <c r="DV32" s="72" t="str">
        <f t="shared" si="172"/>
        <v>NA</v>
      </c>
      <c r="DW32" s="74">
        <v>0</v>
      </c>
      <c r="DX32" s="72" t="str">
        <f t="shared" si="172"/>
        <v>NA</v>
      </c>
      <c r="DY32" s="74">
        <v>0</v>
      </c>
      <c r="DZ32" s="72" t="str">
        <f t="shared" si="172"/>
        <v>NA</v>
      </c>
      <c r="EA32" s="74">
        <v>0</v>
      </c>
      <c r="EB32" s="72" t="str">
        <f t="shared" ref="EB32:EB39" si="173">IF(ISERROR(EA32/DS32),"NA",IF(OR(EA32/DS32&gt;2,EA32/DS32&lt;0.5),"NM",EA32/DS32*100-100))</f>
        <v>NA</v>
      </c>
      <c r="EC32" s="74">
        <v>0</v>
      </c>
      <c r="ED32" s="72" t="str">
        <f t="shared" ref="ED32:ED39" si="174">IF(ISERROR(EC32/DU32),"NA",IF(OR(EC32/DU32&gt;2,EC32/DU32&lt;0.5),"NM",EC32/DU32*100-100))</f>
        <v>NA</v>
      </c>
      <c r="EE32" s="74">
        <v>0</v>
      </c>
      <c r="EF32" s="72" t="str">
        <f t="shared" ref="EF32:EF39" si="175">IF(ISERROR(EE32/DW32),"NA",IF(OR(EE32/DW32&gt;2,EE32/DW32&lt;0.5),"NM",EE32/DW32*100-100))</f>
        <v>NA</v>
      </c>
      <c r="EG32" s="74">
        <v>0</v>
      </c>
      <c r="EH32" s="72" t="str">
        <f t="shared" ref="EH32:EH39" si="176">IF(ISERROR(EG32/DY32),"NA",IF(OR(EG32/DY32&gt;2,EG32/DY32&lt;0.5),"NM",EG32/DY32*100-100))</f>
        <v>NA</v>
      </c>
      <c r="EI32" s="74">
        <v>0</v>
      </c>
      <c r="EJ32" s="72" t="str">
        <f t="shared" ref="EJ32:EJ39" si="177">IF(ISERROR(EI32/EA32),"NA",IF(OR(EI32/EA32&gt;2,EI32/EA32&lt;0.5),"NM",EI32/EA32*100-100))</f>
        <v>NA</v>
      </c>
      <c r="EK32" s="74">
        <v>0</v>
      </c>
      <c r="EL32" s="72" t="str">
        <f t="shared" ref="EL32:EL39" si="178">IF(ISERROR(EK32/EC32),"NA",IF(OR(EK32/EC32&gt;2,EK32/EC32&lt;0.5),"NM",EK32/EC32*100-100))</f>
        <v>NA</v>
      </c>
      <c r="EM32" s="74">
        <v>0</v>
      </c>
      <c r="EN32" s="72" t="str">
        <f t="shared" ref="EN32:EN39" si="179">IF(ISERROR(EM32/EE32),"NA",IF(OR(EM32/EE32&gt;2,EM32/EE32&lt;0.5),"NM",EM32/EE32*100-100))</f>
        <v>NA</v>
      </c>
      <c r="EO32" s="74">
        <v>0</v>
      </c>
      <c r="EP32" s="72" t="str">
        <f t="shared" ref="EP32:EP39" si="180">IF(ISERROR(EO32/EG32),"NA",IF(OR(EO32/EG32&gt;2,EO32/EG32&lt;0.5),"NM",EO32/EG32*100-100))</f>
        <v>NA</v>
      </c>
      <c r="EQ32" s="74">
        <v>0</v>
      </c>
      <c r="ER32" s="72" t="str">
        <f t="shared" ref="ER32:ER39" si="181">IF(ISERROR(EQ32/EI32),"NA",IF(OR(EQ32/EI32&gt;2,EQ32/EI32&lt;0.5),"NM",EQ32/EI32*100-100))</f>
        <v>NA</v>
      </c>
      <c r="ES32" s="74">
        <v>0</v>
      </c>
      <c r="ET32" s="72" t="str">
        <f t="shared" ref="ET32:ET39" si="182">IF(ISERROR(ES32/EK32),"NA",IF(OR(ES32/EK32&gt;2,ES32/EK32&lt;0.5),"NM",ES32/EK32*100-100))</f>
        <v>NA</v>
      </c>
      <c r="EU32" s="74">
        <v>0</v>
      </c>
      <c r="EV32" s="72" t="str">
        <f t="shared" ref="EV32:EV39" si="183">IF(ISERROR(EU32/EM32),"NA",IF(OR(EU32/EM32&gt;2,EU32/EM32&lt;0.5),"NM",EU32/EM32*100-100))</f>
        <v>NA</v>
      </c>
      <c r="EW32" s="74">
        <v>0</v>
      </c>
      <c r="EX32" s="72" t="str">
        <f t="shared" ref="EX32:EX39" si="184">IF(ISERROR(EW32/EO32),"NA",IF(OR(EW32/EO32&gt;2,EW32/EO32&lt;0.5),"NM",EW32/EO32*100-100))</f>
        <v>NA</v>
      </c>
      <c r="EY32" s="72"/>
      <c r="EZ32" s="306"/>
      <c r="FA32" s="72"/>
      <c r="FB32" s="74">
        <v>988</v>
      </c>
      <c r="FC32" s="72"/>
      <c r="FD32" s="74">
        <v>1402</v>
      </c>
      <c r="FE32" s="72">
        <f t="shared" si="110"/>
        <v>41.902834008097159</v>
      </c>
      <c r="FF32" s="74">
        <v>481</v>
      </c>
      <c r="FG32" s="72" t="str">
        <f t="shared" si="111"/>
        <v>NM</v>
      </c>
      <c r="FH32" s="75">
        <f t="shared" si="128"/>
        <v>0</v>
      </c>
      <c r="FI32" s="72" t="str">
        <f t="shared" si="112"/>
        <v>NM</v>
      </c>
      <c r="FJ32" s="75">
        <f t="shared" si="129"/>
        <v>0</v>
      </c>
      <c r="FK32" s="72" t="str">
        <f t="shared" si="113"/>
        <v>NA</v>
      </c>
      <c r="FL32" s="75">
        <f t="shared" si="130"/>
        <v>0</v>
      </c>
      <c r="FM32" s="72" t="str">
        <f t="shared" si="114"/>
        <v>NA</v>
      </c>
      <c r="FN32" s="75">
        <f t="shared" si="131"/>
        <v>0</v>
      </c>
      <c r="FO32" s="72" t="str">
        <f t="shared" si="115"/>
        <v>NA</v>
      </c>
      <c r="FP32" s="74">
        <v>0</v>
      </c>
      <c r="FQ32" s="72" t="str">
        <f t="shared" si="116"/>
        <v>NA</v>
      </c>
      <c r="FR32" s="75">
        <f t="shared" si="132"/>
        <v>0</v>
      </c>
      <c r="FS32" s="72" t="str">
        <f t="shared" si="117"/>
        <v>NA</v>
      </c>
      <c r="FT32" s="75">
        <f t="shared" si="133"/>
        <v>0</v>
      </c>
      <c r="FU32" s="72" t="str">
        <f t="shared" si="118"/>
        <v>NA</v>
      </c>
      <c r="FV32" s="75">
        <f t="shared" si="134"/>
        <v>0</v>
      </c>
      <c r="FW32" s="72" t="str">
        <f t="shared" ref="FW32:GG39" si="185">IF(ISERROR(FV32/FT32),"NA",IF(OR(FV32/FT32&gt;2,FV32/FT32&lt;0.5),"NM",FV32/FT32*100-100))</f>
        <v>NA</v>
      </c>
      <c r="FX32" s="75">
        <f t="shared" ref="FX32:FX37" si="186">BW32+BY32+CA32+CC32</f>
        <v>0</v>
      </c>
      <c r="FY32" s="72" t="str">
        <f t="shared" si="185"/>
        <v>NA</v>
      </c>
      <c r="FZ32" s="75">
        <f t="shared" ref="FZ32:FZ37" si="187">CE32+CG32+CI32+CK32</f>
        <v>0</v>
      </c>
      <c r="GA32" s="72" t="str">
        <f t="shared" si="185"/>
        <v>NA</v>
      </c>
      <c r="GB32" s="75">
        <f t="shared" ref="GB32:GB37" si="188">CM32+CO32+CQ32+CS32</f>
        <v>0</v>
      </c>
      <c r="GC32" s="72" t="str">
        <f t="shared" si="185"/>
        <v>NA</v>
      </c>
      <c r="GD32" s="75">
        <f t="shared" ref="GD32:GD37" si="189">CU32+CW32+CY32+DA32</f>
        <v>0</v>
      </c>
      <c r="GE32" s="72" t="str">
        <f t="shared" si="185"/>
        <v>NA</v>
      </c>
      <c r="GF32" s="75">
        <f t="shared" ref="GF32:GF37" si="190">DC32+DE32+DG32+DI32</f>
        <v>0</v>
      </c>
      <c r="GG32" s="72" t="str">
        <f t="shared" si="185"/>
        <v>NA</v>
      </c>
      <c r="GH32" s="75">
        <f t="shared" ref="GH32:GH37" si="191">DK32+DM32+DO32+DQ32</f>
        <v>0</v>
      </c>
      <c r="GI32" s="72" t="str">
        <f t="shared" si="119"/>
        <v>NA</v>
      </c>
      <c r="GJ32" s="75">
        <f t="shared" ref="GJ32:GJ37" si="192">DS32+DU32+DW32+DY32</f>
        <v>0</v>
      </c>
      <c r="GK32" s="72" t="str">
        <f t="shared" si="120"/>
        <v>NA</v>
      </c>
      <c r="GL32" s="75">
        <f t="shared" ref="GL32:GL37" si="193">EA32+EC32+EE32+EG32</f>
        <v>0</v>
      </c>
      <c r="GM32" s="72" t="str">
        <f t="shared" si="121"/>
        <v>NA</v>
      </c>
      <c r="GN32" s="75">
        <f t="shared" ref="GN32:GN37" si="194">EI32+EK32+EM32+EO32</f>
        <v>0</v>
      </c>
      <c r="GO32" s="72" t="str">
        <f t="shared" si="122"/>
        <v>NA</v>
      </c>
      <c r="GP32" s="75">
        <f t="shared" ref="GP32:GP37" si="195">EQ32+ES32+EU32+EW32</f>
        <v>0</v>
      </c>
      <c r="GQ32" s="72" t="str">
        <f t="shared" si="122"/>
        <v>NA</v>
      </c>
      <c r="GR32" s="74">
        <v>0</v>
      </c>
      <c r="GS32" s="72" t="str">
        <f t="shared" si="122"/>
        <v>NA</v>
      </c>
      <c r="GT32" s="74">
        <v>0</v>
      </c>
      <c r="GU32" s="72" t="str">
        <f t="shared" si="123"/>
        <v>NA</v>
      </c>
      <c r="GV32" s="74">
        <v>0</v>
      </c>
      <c r="GW32" s="72" t="str">
        <f t="shared" si="135"/>
        <v>NA</v>
      </c>
      <c r="GX32" s="74">
        <v>0</v>
      </c>
      <c r="GY32" s="72" t="str">
        <f t="shared" si="136"/>
        <v>NA</v>
      </c>
      <c r="GZ32" s="72" t="str">
        <f t="shared" ref="GZ32:GZ39" si="196">IF(ISERROR(((GX32/GN32)^0.2-1)*100),"NA",IF((((GX32/GN32)^0.2-1)*100)&gt;100,"NM",IF((((GX32/GN32)^0.2-1)*100)&lt;-50,"NM",((GX32/GN32)^0.2-1)*100)))</f>
        <v>NA</v>
      </c>
      <c r="HA32" s="72"/>
      <c r="HB32" s="72"/>
      <c r="HC32"/>
      <c r="HD32"/>
      <c r="HE32"/>
      <c r="HF32"/>
      <c r="HG32"/>
      <c r="HH32"/>
      <c r="HI32" s="2"/>
    </row>
    <row r="33" spans="1:217" s="3" customFormat="1" ht="12.75" customHeight="1" x14ac:dyDescent="0.2">
      <c r="B33" s="77" t="s">
        <v>440</v>
      </c>
      <c r="C33" s="74">
        <f>FF33-I33-G33-E33</f>
        <v>-885</v>
      </c>
      <c r="D33" s="72"/>
      <c r="E33" s="74">
        <v>-876</v>
      </c>
      <c r="F33" s="72"/>
      <c r="G33" s="74">
        <v>-628</v>
      </c>
      <c r="H33" s="72"/>
      <c r="I33" s="74">
        <v>-600</v>
      </c>
      <c r="J33" s="72"/>
      <c r="K33" s="74">
        <v>-665</v>
      </c>
      <c r="L33" s="72">
        <f t="shared" si="88"/>
        <v>-24.858757062146893</v>
      </c>
      <c r="M33" s="74">
        <v>-591</v>
      </c>
      <c r="N33" s="72">
        <f t="shared" si="89"/>
        <v>-32.534246575342465</v>
      </c>
      <c r="O33" s="74">
        <v>-552</v>
      </c>
      <c r="P33" s="72">
        <f t="shared" si="90"/>
        <v>-12.101910828025481</v>
      </c>
      <c r="Q33" s="74">
        <v>-548</v>
      </c>
      <c r="R33" s="72">
        <f t="shared" si="137"/>
        <v>-8.6666666666666714</v>
      </c>
      <c r="S33" s="74">
        <v>-534</v>
      </c>
      <c r="T33" s="72">
        <f t="shared" si="138"/>
        <v>-19.699248120300751</v>
      </c>
      <c r="U33" s="74">
        <v>-563</v>
      </c>
      <c r="V33" s="72">
        <f t="shared" si="139"/>
        <v>-4.7377326565143818</v>
      </c>
      <c r="W33" s="74">
        <v>-487</v>
      </c>
      <c r="X33" s="72">
        <f t="shared" si="140"/>
        <v>-11.775362318840578</v>
      </c>
      <c r="Y33" s="74">
        <v>-447</v>
      </c>
      <c r="Z33" s="72">
        <f t="shared" si="141"/>
        <v>-18.430656934306569</v>
      </c>
      <c r="AA33" s="74">
        <v>-418</v>
      </c>
      <c r="AB33" s="72">
        <f t="shared" si="142"/>
        <v>-21.722846441947567</v>
      </c>
      <c r="AC33" s="74">
        <v>-924</v>
      </c>
      <c r="AD33" s="72">
        <f t="shared" si="143"/>
        <v>64.120781527531079</v>
      </c>
      <c r="AE33" s="74">
        <v>-1159</v>
      </c>
      <c r="AF33" s="72" t="str">
        <f t="shared" si="144"/>
        <v>NM</v>
      </c>
      <c r="AG33" s="74">
        <v>-1215</v>
      </c>
      <c r="AH33" s="72" t="str">
        <f t="shared" si="145"/>
        <v>NM</v>
      </c>
      <c r="AI33" s="74">
        <v>-1352</v>
      </c>
      <c r="AJ33" s="72" t="str">
        <f t="shared" si="146"/>
        <v>NM</v>
      </c>
      <c r="AK33" s="74">
        <v>-1263</v>
      </c>
      <c r="AL33" s="72">
        <f t="shared" si="147"/>
        <v>36.688311688311671</v>
      </c>
      <c r="AM33" s="74">
        <v>-1266</v>
      </c>
      <c r="AN33" s="72">
        <f t="shared" si="148"/>
        <v>9.2320966350301887</v>
      </c>
      <c r="AO33" s="74">
        <v>-1343</v>
      </c>
      <c r="AP33" s="72">
        <f t="shared" si="149"/>
        <v>10.534979423868322</v>
      </c>
      <c r="AQ33" s="74">
        <v>-1388</v>
      </c>
      <c r="AR33" s="72">
        <f t="shared" si="91"/>
        <v>2.6627218934911241</v>
      </c>
      <c r="AS33" s="74">
        <v>-1470</v>
      </c>
      <c r="AT33" s="72">
        <f t="shared" si="92"/>
        <v>16.389548693586704</v>
      </c>
      <c r="AU33" s="74">
        <v>-1397</v>
      </c>
      <c r="AV33" s="72">
        <f t="shared" si="93"/>
        <v>10.347551342811997</v>
      </c>
      <c r="AW33" s="74">
        <v>-1436</v>
      </c>
      <c r="AX33" s="72">
        <f t="shared" si="94"/>
        <v>6.9247952345495207</v>
      </c>
      <c r="AY33" s="74">
        <v>-1585</v>
      </c>
      <c r="AZ33" s="72">
        <f t="shared" si="95"/>
        <v>14.19308357348703</v>
      </c>
      <c r="BA33" s="74">
        <v>-1757</v>
      </c>
      <c r="BB33" s="72">
        <f t="shared" si="96"/>
        <v>19.523809523809518</v>
      </c>
      <c r="BC33" s="74">
        <v>-2084</v>
      </c>
      <c r="BD33" s="72">
        <f t="shared" si="97"/>
        <v>49.176807444523973</v>
      </c>
      <c r="BE33" s="74">
        <v>-2296</v>
      </c>
      <c r="BF33" s="72">
        <f t="shared" si="98"/>
        <v>59.888579387186638</v>
      </c>
      <c r="BG33" s="74">
        <v>-2310</v>
      </c>
      <c r="BH33" s="72">
        <f t="shared" si="99"/>
        <v>45.741324921135657</v>
      </c>
      <c r="BI33" s="74">
        <v>-2515</v>
      </c>
      <c r="BJ33" s="72">
        <f t="shared" si="150"/>
        <v>43.141718838929989</v>
      </c>
      <c r="BK33" s="74">
        <v>-2328</v>
      </c>
      <c r="BL33" s="72">
        <f t="shared" si="151"/>
        <v>11.708253358925134</v>
      </c>
      <c r="BM33" s="74">
        <v>-2415</v>
      </c>
      <c r="BN33" s="72">
        <f t="shared" si="100"/>
        <v>5.1829268292682826</v>
      </c>
      <c r="BO33" s="74">
        <v>-2173</v>
      </c>
      <c r="BP33" s="72">
        <f t="shared" si="152"/>
        <v>-5.9307359307359349</v>
      </c>
      <c r="BQ33" s="74">
        <v>-2185</v>
      </c>
      <c r="BR33" s="72">
        <f t="shared" si="153"/>
        <v>-13.121272365805169</v>
      </c>
      <c r="BS33" s="74">
        <v>-1988</v>
      </c>
      <c r="BT33" s="72">
        <f t="shared" si="154"/>
        <v>-14.604810996563572</v>
      </c>
      <c r="BU33" s="74">
        <v>-1654</v>
      </c>
      <c r="BV33" s="72">
        <f t="shared" si="155"/>
        <v>-31.511387163561082</v>
      </c>
      <c r="BW33" s="74">
        <v>-1443</v>
      </c>
      <c r="BX33" s="72">
        <f t="shared" si="156"/>
        <v>-33.594109526000921</v>
      </c>
      <c r="BY33" s="74">
        <v>-1315</v>
      </c>
      <c r="BZ33" s="72">
        <f t="shared" si="157"/>
        <v>-39.816933638443942</v>
      </c>
      <c r="CA33" s="74">
        <v>-1444</v>
      </c>
      <c r="CB33" s="72">
        <f t="shared" si="158"/>
        <v>-27.364185110663982</v>
      </c>
      <c r="CC33" s="74">
        <v>-1574</v>
      </c>
      <c r="CD33" s="72">
        <f t="shared" si="159"/>
        <v>-4.8367593712212766</v>
      </c>
      <c r="CE33" s="74">
        <v>-1670</v>
      </c>
      <c r="CF33" s="72">
        <f t="shared" si="160"/>
        <v>15.731115731115736</v>
      </c>
      <c r="CG33" s="74">
        <v>-1714</v>
      </c>
      <c r="CH33" s="72">
        <f t="shared" si="161"/>
        <v>30.342205323193923</v>
      </c>
      <c r="CI33" s="74">
        <v>-1660</v>
      </c>
      <c r="CJ33" s="72">
        <f t="shared" si="162"/>
        <v>14.958448753462591</v>
      </c>
      <c r="CK33" s="74">
        <v>-1879</v>
      </c>
      <c r="CL33" s="72">
        <f t="shared" si="162"/>
        <v>19.377382465057181</v>
      </c>
      <c r="CM33" s="74">
        <v>-1967</v>
      </c>
      <c r="CN33" s="72">
        <f t="shared" si="162"/>
        <v>17.784431137724539</v>
      </c>
      <c r="CO33" s="74">
        <v>-1933</v>
      </c>
      <c r="CP33" s="72">
        <f t="shared" si="162"/>
        <v>12.777129521586943</v>
      </c>
      <c r="CQ33" s="74">
        <v>-1623</v>
      </c>
      <c r="CR33" s="72">
        <f t="shared" si="162"/>
        <v>-2.2289156626505928</v>
      </c>
      <c r="CS33" s="74">
        <v>-1526</v>
      </c>
      <c r="CT33" s="72">
        <f t="shared" si="162"/>
        <v>-18.786588610963278</v>
      </c>
      <c r="CU33" s="74">
        <v>-1676</v>
      </c>
      <c r="CV33" s="72">
        <f t="shared" si="163"/>
        <v>-14.794102694458573</v>
      </c>
      <c r="CW33" s="74">
        <v>-1626</v>
      </c>
      <c r="CX33" s="72">
        <f t="shared" si="164"/>
        <v>-15.882048629073978</v>
      </c>
      <c r="CY33" s="74">
        <v>-1579</v>
      </c>
      <c r="CZ33" s="72">
        <f t="shared" si="165"/>
        <v>-2.7110289587184155</v>
      </c>
      <c r="DA33" s="74">
        <v>-1765</v>
      </c>
      <c r="DB33" s="72">
        <f t="shared" si="166"/>
        <v>15.661861074705115</v>
      </c>
      <c r="DC33" s="74">
        <v>-1776</v>
      </c>
      <c r="DD33" s="72">
        <f t="shared" si="167"/>
        <v>5.9665871121718368</v>
      </c>
      <c r="DE33" s="74">
        <v>-1898</v>
      </c>
      <c r="DF33" s="72">
        <f t="shared" si="168"/>
        <v>16.72816728167281</v>
      </c>
      <c r="DG33" s="74">
        <v>-1824</v>
      </c>
      <c r="DH33" s="72">
        <f t="shared" si="169"/>
        <v>15.516149461684606</v>
      </c>
      <c r="DI33" s="74">
        <v>-2069</v>
      </c>
      <c r="DJ33" s="72">
        <f t="shared" si="170"/>
        <v>17.223796033994333</v>
      </c>
      <c r="DK33" s="74">
        <v>-2158</v>
      </c>
      <c r="DL33" s="72">
        <f t="shared" si="171"/>
        <v>21.509009009009006</v>
      </c>
      <c r="DM33" s="74">
        <v>-2187</v>
      </c>
      <c r="DN33" s="72">
        <f t="shared" si="172"/>
        <v>15.226554267650158</v>
      </c>
      <c r="DO33" s="74">
        <v>-2152</v>
      </c>
      <c r="DP33" s="72">
        <f t="shared" si="172"/>
        <v>17.982456140350877</v>
      </c>
      <c r="DQ33" s="74">
        <v>-2217</v>
      </c>
      <c r="DR33" s="72">
        <f t="shared" si="172"/>
        <v>7.1532141130981017</v>
      </c>
      <c r="DS33" s="74">
        <v>-2167</v>
      </c>
      <c r="DT33" s="72">
        <f t="shared" si="172"/>
        <v>0.41705282669137489</v>
      </c>
      <c r="DU33" s="74">
        <v>-2170</v>
      </c>
      <c r="DV33" s="72">
        <f t="shared" si="172"/>
        <v>-0.77732053040695348</v>
      </c>
      <c r="DW33" s="74">
        <v>-1965</v>
      </c>
      <c r="DX33" s="72">
        <f t="shared" si="172"/>
        <v>-8.6895910780669112</v>
      </c>
      <c r="DY33" s="74">
        <v>-1989</v>
      </c>
      <c r="DZ33" s="72">
        <f t="shared" si="172"/>
        <v>-10.284167794316645</v>
      </c>
      <c r="EA33" s="74">
        <v>-1748</v>
      </c>
      <c r="EB33" s="72">
        <f t="shared" si="173"/>
        <v>-19.335486848177212</v>
      </c>
      <c r="EC33" s="74">
        <v>-1914</v>
      </c>
      <c r="ED33" s="72">
        <f t="shared" si="174"/>
        <v>-11.79723502304148</v>
      </c>
      <c r="EE33" s="74">
        <v>-1992</v>
      </c>
      <c r="EF33" s="72">
        <f t="shared" si="175"/>
        <v>1.3740458015267194</v>
      </c>
      <c r="EG33" s="74">
        <v>-2122</v>
      </c>
      <c r="EH33" s="72">
        <f t="shared" si="176"/>
        <v>6.6867772750125738</v>
      </c>
      <c r="EI33" s="74">
        <v>-2326</v>
      </c>
      <c r="EJ33" s="72">
        <f t="shared" si="177"/>
        <v>33.066361556064095</v>
      </c>
      <c r="EK33" s="74">
        <v>-2382</v>
      </c>
      <c r="EL33" s="72">
        <f t="shared" si="178"/>
        <v>24.451410658307211</v>
      </c>
      <c r="EM33" s="74">
        <v>-2288</v>
      </c>
      <c r="EN33" s="72">
        <f t="shared" si="179"/>
        <v>14.859437751004023</v>
      </c>
      <c r="EO33" s="74">
        <v>-2721</v>
      </c>
      <c r="EP33" s="72">
        <f t="shared" si="180"/>
        <v>28.228086710650331</v>
      </c>
      <c r="EQ33" s="75">
        <f t="shared" ref="EQ33" si="197">EQ29*-EQ43/400</f>
        <v>-2772.1277489559366</v>
      </c>
      <c r="ER33" s="72">
        <f t="shared" si="181"/>
        <v>19.180040797761677</v>
      </c>
      <c r="ES33" s="75">
        <f t="shared" ref="ES33" si="198">ES29*-ES43/400</f>
        <v>-2707.0123538298158</v>
      </c>
      <c r="ET33" s="72">
        <f t="shared" si="182"/>
        <v>13.644515274131635</v>
      </c>
      <c r="EU33" s="75">
        <f t="shared" ref="EU33" si="199">EU29*-EU43/400</f>
        <v>-2705.2645543102963</v>
      </c>
      <c r="EV33" s="72">
        <f t="shared" si="183"/>
        <v>18.237087163911553</v>
      </c>
      <c r="EW33" s="75">
        <f t="shared" ref="EW33" si="200">EW29*-EW43/400</f>
        <v>-2704.0994374418569</v>
      </c>
      <c r="EX33" s="72">
        <f t="shared" si="184"/>
        <v>-0.62111586027722865</v>
      </c>
      <c r="EY33" s="72"/>
      <c r="EZ33" s="306"/>
      <c r="FA33" s="72"/>
      <c r="FB33" s="74">
        <v>-2528</v>
      </c>
      <c r="FC33" s="72"/>
      <c r="FD33" s="74">
        <v>-3432</v>
      </c>
      <c r="FE33" s="72">
        <f t="shared" si="110"/>
        <v>35.759493670886059</v>
      </c>
      <c r="FF33" s="74">
        <v>-2989</v>
      </c>
      <c r="FG33" s="72">
        <f t="shared" si="111"/>
        <v>-12.907925407925404</v>
      </c>
      <c r="FH33" s="75">
        <f t="shared" si="128"/>
        <v>-2356</v>
      </c>
      <c r="FI33" s="72">
        <f t="shared" si="112"/>
        <v>-21.177651388424223</v>
      </c>
      <c r="FJ33" s="75">
        <f t="shared" si="129"/>
        <v>-2031</v>
      </c>
      <c r="FK33" s="72">
        <f t="shared" si="113"/>
        <v>-13.794567062818345</v>
      </c>
      <c r="FL33" s="75">
        <f t="shared" si="130"/>
        <v>-3716</v>
      </c>
      <c r="FM33" s="72">
        <f t="shared" si="114"/>
        <v>82.964057114721811</v>
      </c>
      <c r="FN33" s="75">
        <f t="shared" si="131"/>
        <v>-5224</v>
      </c>
      <c r="FO33" s="72">
        <f t="shared" si="115"/>
        <v>40.581270182992455</v>
      </c>
      <c r="FP33" s="75">
        <f>AQ33+AS33+AU33+AW33</f>
        <v>-5691</v>
      </c>
      <c r="FQ33" s="72">
        <f t="shared" si="116"/>
        <v>8.9395099540581953</v>
      </c>
      <c r="FR33" s="75">
        <f t="shared" si="132"/>
        <v>-7722</v>
      </c>
      <c r="FS33" s="72">
        <f t="shared" si="117"/>
        <v>35.687928307854492</v>
      </c>
      <c r="FT33" s="75">
        <f t="shared" si="133"/>
        <v>-9568</v>
      </c>
      <c r="FU33" s="72">
        <f t="shared" si="118"/>
        <v>23.905723905723903</v>
      </c>
      <c r="FV33" s="75">
        <f t="shared" si="134"/>
        <v>-8000</v>
      </c>
      <c r="FW33" s="72">
        <f t="shared" si="185"/>
        <v>-16.38795986622074</v>
      </c>
      <c r="FX33" s="75">
        <f t="shared" si="186"/>
        <v>-5776</v>
      </c>
      <c r="FY33" s="72">
        <f t="shared" si="185"/>
        <v>-27.799999999999997</v>
      </c>
      <c r="FZ33" s="75">
        <f t="shared" si="187"/>
        <v>-6923</v>
      </c>
      <c r="GA33" s="72">
        <f t="shared" si="185"/>
        <v>19.858033240997216</v>
      </c>
      <c r="GB33" s="75">
        <f t="shared" si="188"/>
        <v>-7049</v>
      </c>
      <c r="GC33" s="72">
        <f t="shared" si="185"/>
        <v>1.8200202224469137</v>
      </c>
      <c r="GD33" s="75">
        <f t="shared" si="189"/>
        <v>-6646</v>
      </c>
      <c r="GE33" s="72">
        <f t="shared" si="185"/>
        <v>-5.7171229961696639</v>
      </c>
      <c r="GF33" s="75">
        <f t="shared" si="190"/>
        <v>-7567</v>
      </c>
      <c r="GG33" s="72">
        <f t="shared" si="185"/>
        <v>13.857959674992486</v>
      </c>
      <c r="GH33" s="75">
        <f t="shared" si="191"/>
        <v>-8714</v>
      </c>
      <c r="GI33" s="72">
        <f t="shared" si="119"/>
        <v>15.157922558477608</v>
      </c>
      <c r="GJ33" s="75">
        <f t="shared" si="192"/>
        <v>-8291</v>
      </c>
      <c r="GK33" s="72">
        <f t="shared" si="120"/>
        <v>-4.8542575166398905</v>
      </c>
      <c r="GL33" s="75">
        <f t="shared" si="193"/>
        <v>-7776</v>
      </c>
      <c r="GM33" s="72">
        <f t="shared" si="121"/>
        <v>-6.2115546978651537</v>
      </c>
      <c r="GN33" s="75">
        <f t="shared" si="194"/>
        <v>-9717</v>
      </c>
      <c r="GO33" s="72">
        <f t="shared" si="122"/>
        <v>24.961419753086417</v>
      </c>
      <c r="GP33" s="75">
        <f t="shared" si="195"/>
        <v>-10888.504094537904</v>
      </c>
      <c r="GQ33" s="72">
        <f t="shared" si="122"/>
        <v>12.056232320036059</v>
      </c>
      <c r="GR33" s="75">
        <f>GR29*-GR43/100</f>
        <v>-10860.628861991079</v>
      </c>
      <c r="GS33" s="72">
        <f t="shared" si="122"/>
        <v>-0.25600608040188888</v>
      </c>
      <c r="GT33" s="75">
        <f>GT29*-GT43/100</f>
        <v>-11129.025154871506</v>
      </c>
      <c r="GU33" s="72">
        <f t="shared" si="123"/>
        <v>2.4712776423079248</v>
      </c>
      <c r="GV33" s="75">
        <f>GV29*-GV43/100</f>
        <v>-11432.864173290547</v>
      </c>
      <c r="GW33" s="72">
        <f t="shared" si="135"/>
        <v>2.7301494442758383</v>
      </c>
      <c r="GX33" s="75">
        <f>GX29*-GX43/100</f>
        <v>-11777.97573946973</v>
      </c>
      <c r="GY33" s="72">
        <f t="shared" si="136"/>
        <v>3.0185923750011057</v>
      </c>
      <c r="GZ33" s="72">
        <f t="shared" si="196"/>
        <v>3.9220464953905854</v>
      </c>
      <c r="HA33" s="72"/>
      <c r="HB33" s="72"/>
      <c r="HC33"/>
      <c r="HD33"/>
      <c r="HE33"/>
      <c r="HF33"/>
      <c r="HG33"/>
      <c r="HH33"/>
      <c r="HI33" s="2"/>
    </row>
    <row r="34" spans="1:217" s="3" customFormat="1" ht="12.75" customHeight="1" x14ac:dyDescent="0.2">
      <c r="B34" s="77" t="s">
        <v>98</v>
      </c>
      <c r="C34" s="74"/>
      <c r="D34" s="72"/>
      <c r="E34" s="74"/>
      <c r="F34" s="72"/>
      <c r="G34" s="74"/>
      <c r="H34" s="72"/>
      <c r="I34" s="74"/>
      <c r="J34" s="72"/>
      <c r="K34" s="74"/>
      <c r="L34" s="72" t="str">
        <f t="shared" si="88"/>
        <v>NA</v>
      </c>
      <c r="M34" s="74"/>
      <c r="N34" s="72" t="str">
        <f t="shared" si="89"/>
        <v>NA</v>
      </c>
      <c r="O34" s="74"/>
      <c r="P34" s="72" t="str">
        <f t="shared" si="90"/>
        <v>NA</v>
      </c>
      <c r="Q34" s="74"/>
      <c r="R34" s="72" t="str">
        <f t="shared" si="137"/>
        <v>NA</v>
      </c>
      <c r="S34" s="74">
        <v>-73</v>
      </c>
      <c r="T34" s="72" t="str">
        <f t="shared" si="138"/>
        <v>NA</v>
      </c>
      <c r="U34" s="74">
        <v>-74</v>
      </c>
      <c r="V34" s="72" t="str">
        <f t="shared" si="139"/>
        <v>NA</v>
      </c>
      <c r="W34" s="74">
        <v>-70</v>
      </c>
      <c r="X34" s="72" t="str">
        <f t="shared" si="140"/>
        <v>NA</v>
      </c>
      <c r="Y34" s="74">
        <v>-56</v>
      </c>
      <c r="Z34" s="72" t="str">
        <f t="shared" si="141"/>
        <v>NA</v>
      </c>
      <c r="AA34" s="74">
        <v>-66</v>
      </c>
      <c r="AB34" s="72">
        <f t="shared" si="142"/>
        <v>-9.5890410958904226</v>
      </c>
      <c r="AC34" s="74">
        <v>-114</v>
      </c>
      <c r="AD34" s="72">
        <f t="shared" si="143"/>
        <v>54.054054054054063</v>
      </c>
      <c r="AE34" s="74">
        <v>-136</v>
      </c>
      <c r="AF34" s="72">
        <f t="shared" si="144"/>
        <v>94.285714285714278</v>
      </c>
      <c r="AG34" s="74">
        <v>-133</v>
      </c>
      <c r="AH34" s="72" t="str">
        <f t="shared" si="145"/>
        <v>NM</v>
      </c>
      <c r="AI34" s="74">
        <v>-161</v>
      </c>
      <c r="AJ34" s="72" t="str">
        <f t="shared" si="146"/>
        <v>NM</v>
      </c>
      <c r="AK34" s="74">
        <v>-143</v>
      </c>
      <c r="AL34" s="72">
        <f t="shared" si="147"/>
        <v>25.438596491228054</v>
      </c>
      <c r="AM34" s="74">
        <v>-154</v>
      </c>
      <c r="AN34" s="72">
        <f t="shared" si="148"/>
        <v>13.235294117647058</v>
      </c>
      <c r="AO34" s="74">
        <v>-155</v>
      </c>
      <c r="AP34" s="72">
        <f t="shared" si="149"/>
        <v>16.541353383458656</v>
      </c>
      <c r="AQ34" s="74">
        <v>-145</v>
      </c>
      <c r="AR34" s="72">
        <f t="shared" si="91"/>
        <v>-9.9378881987577614</v>
      </c>
      <c r="AS34" s="74">
        <v>-148</v>
      </c>
      <c r="AT34" s="72">
        <f t="shared" si="92"/>
        <v>3.4965034965034931</v>
      </c>
      <c r="AU34" s="74">
        <v>-151</v>
      </c>
      <c r="AV34" s="72">
        <f t="shared" si="93"/>
        <v>-1.9480519480519405</v>
      </c>
      <c r="AW34" s="74">
        <v>-158</v>
      </c>
      <c r="AX34" s="72">
        <f t="shared" si="94"/>
        <v>1.9354838709677296</v>
      </c>
      <c r="AY34" s="74">
        <v>-198</v>
      </c>
      <c r="AZ34" s="72">
        <f t="shared" si="95"/>
        <v>36.551724137931046</v>
      </c>
      <c r="BA34" s="74">
        <v>-225</v>
      </c>
      <c r="BB34" s="72">
        <f t="shared" si="96"/>
        <v>52.027027027027032</v>
      </c>
      <c r="BC34" s="74">
        <v>-244</v>
      </c>
      <c r="BD34" s="72">
        <f t="shared" si="97"/>
        <v>61.589403973509945</v>
      </c>
      <c r="BE34" s="74">
        <v>-264</v>
      </c>
      <c r="BF34" s="72">
        <f t="shared" si="98"/>
        <v>67.088607594936718</v>
      </c>
      <c r="BG34" s="74">
        <v>-306</v>
      </c>
      <c r="BH34" s="72">
        <f t="shared" si="99"/>
        <v>54.545454545454533</v>
      </c>
      <c r="BI34" s="74">
        <v>-299</v>
      </c>
      <c r="BJ34" s="72">
        <f t="shared" si="150"/>
        <v>32.888888888888886</v>
      </c>
      <c r="BK34" s="74">
        <v>-265</v>
      </c>
      <c r="BL34" s="72">
        <f t="shared" si="151"/>
        <v>8.6065573770491852</v>
      </c>
      <c r="BM34" s="74">
        <v>-261</v>
      </c>
      <c r="BN34" s="72">
        <f t="shared" si="100"/>
        <v>-1.1363636363636402</v>
      </c>
      <c r="BO34" s="74">
        <v>-294</v>
      </c>
      <c r="BP34" s="72">
        <f t="shared" si="152"/>
        <v>-3.9215686274509807</v>
      </c>
      <c r="BQ34" s="74">
        <v>-262</v>
      </c>
      <c r="BR34" s="72">
        <f t="shared" si="153"/>
        <v>-12.374581939799327</v>
      </c>
      <c r="BS34" s="74">
        <v>-259</v>
      </c>
      <c r="BT34" s="72">
        <f t="shared" si="154"/>
        <v>-2.2641509433962312</v>
      </c>
      <c r="BU34" s="74">
        <v>-242</v>
      </c>
      <c r="BV34" s="72">
        <f t="shared" si="155"/>
        <v>-7.279693486590034</v>
      </c>
      <c r="BW34" s="74">
        <v>-256</v>
      </c>
      <c r="BX34" s="72">
        <f t="shared" si="156"/>
        <v>-12.925170068027214</v>
      </c>
      <c r="BY34" s="74">
        <v>-236</v>
      </c>
      <c r="BZ34" s="72">
        <f t="shared" si="157"/>
        <v>-9.92366412213741</v>
      </c>
      <c r="CA34" s="74">
        <v>-239</v>
      </c>
      <c r="CB34" s="72">
        <f t="shared" si="158"/>
        <v>-7.7220077220077172</v>
      </c>
      <c r="CC34" s="74">
        <v>-257</v>
      </c>
      <c r="CD34" s="72">
        <f t="shared" si="159"/>
        <v>6.1983471074380105</v>
      </c>
      <c r="CE34" s="74">
        <v>-266</v>
      </c>
      <c r="CF34" s="72">
        <f t="shared" si="160"/>
        <v>3.90625</v>
      </c>
      <c r="CG34" s="74">
        <v>-203</v>
      </c>
      <c r="CH34" s="72">
        <f t="shared" si="161"/>
        <v>-13.983050847457619</v>
      </c>
      <c r="CI34" s="74">
        <v>-260</v>
      </c>
      <c r="CJ34" s="72">
        <f t="shared" si="162"/>
        <v>8.7866108786610795</v>
      </c>
      <c r="CK34" s="74">
        <v>-252</v>
      </c>
      <c r="CL34" s="72">
        <f t="shared" si="162"/>
        <v>-1.9455252918288011</v>
      </c>
      <c r="CM34" s="74">
        <v>-254</v>
      </c>
      <c r="CN34" s="72">
        <f t="shared" si="162"/>
        <v>-4.5112781954887282</v>
      </c>
      <c r="CO34" s="74">
        <v>-290</v>
      </c>
      <c r="CP34" s="72">
        <f t="shared" si="162"/>
        <v>42.857142857142861</v>
      </c>
      <c r="CQ34" s="74">
        <v>-272</v>
      </c>
      <c r="CR34" s="72">
        <f t="shared" si="162"/>
        <v>4.6153846153846274</v>
      </c>
      <c r="CS34" s="74">
        <v>-276</v>
      </c>
      <c r="CT34" s="72">
        <f t="shared" si="162"/>
        <v>9.5238095238095326</v>
      </c>
      <c r="CU34" s="74">
        <v>-285</v>
      </c>
      <c r="CV34" s="72">
        <f t="shared" si="163"/>
        <v>12.204724409448815</v>
      </c>
      <c r="CW34" s="74">
        <v>-288</v>
      </c>
      <c r="CX34" s="72">
        <f t="shared" si="164"/>
        <v>-0.68965517241379359</v>
      </c>
      <c r="CY34" s="74">
        <v>-283</v>
      </c>
      <c r="CZ34" s="72">
        <f t="shared" si="165"/>
        <v>4.044117647058826</v>
      </c>
      <c r="DA34" s="74">
        <v>-313</v>
      </c>
      <c r="DB34" s="72">
        <f t="shared" si="166"/>
        <v>13.405797101449267</v>
      </c>
      <c r="DC34" s="74">
        <v>-310</v>
      </c>
      <c r="DD34" s="72">
        <f t="shared" si="167"/>
        <v>8.7719298245614112</v>
      </c>
      <c r="DE34" s="74">
        <v>-326</v>
      </c>
      <c r="DF34" s="72">
        <f t="shared" si="168"/>
        <v>13.194444444444443</v>
      </c>
      <c r="DG34" s="74">
        <v>-310</v>
      </c>
      <c r="DH34" s="72">
        <f t="shared" si="169"/>
        <v>9.5406360424028236</v>
      </c>
      <c r="DI34" s="74">
        <v>-336</v>
      </c>
      <c r="DJ34" s="72">
        <f t="shared" si="170"/>
        <v>7.3482428115015921</v>
      </c>
      <c r="DK34" s="74">
        <v>-340</v>
      </c>
      <c r="DL34" s="72">
        <f t="shared" si="171"/>
        <v>9.6774193548387046</v>
      </c>
      <c r="DM34" s="74">
        <v>-406</v>
      </c>
      <c r="DN34" s="72">
        <f t="shared" si="172"/>
        <v>24.539877300613483</v>
      </c>
      <c r="DO34" s="74">
        <v>-345</v>
      </c>
      <c r="DP34" s="72">
        <f t="shared" si="172"/>
        <v>11.290322580645153</v>
      </c>
      <c r="DQ34" s="74">
        <v>-368</v>
      </c>
      <c r="DR34" s="72">
        <f t="shared" si="172"/>
        <v>9.5238095238095326</v>
      </c>
      <c r="DS34" s="74">
        <v>-400</v>
      </c>
      <c r="DT34" s="72">
        <f t="shared" si="172"/>
        <v>17.64705882352942</v>
      </c>
      <c r="DU34" s="74">
        <v>-390</v>
      </c>
      <c r="DV34" s="72">
        <f t="shared" si="172"/>
        <v>-3.9408866995073879</v>
      </c>
      <c r="DW34" s="74">
        <v>-400</v>
      </c>
      <c r="DX34" s="72">
        <f t="shared" si="172"/>
        <v>15.94202898550725</v>
      </c>
      <c r="DY34" s="74">
        <v>-351</v>
      </c>
      <c r="DZ34" s="72">
        <f t="shared" si="172"/>
        <v>-4.6195652173913118</v>
      </c>
      <c r="EA34" s="74">
        <v>-355</v>
      </c>
      <c r="EB34" s="72">
        <f t="shared" si="173"/>
        <v>-11.25</v>
      </c>
      <c r="EC34" s="74">
        <v>-399</v>
      </c>
      <c r="ED34" s="72">
        <f t="shared" si="174"/>
        <v>2.3076923076922924</v>
      </c>
      <c r="EE34" s="74">
        <v>-349</v>
      </c>
      <c r="EF34" s="72">
        <f t="shared" si="175"/>
        <v>-12.75</v>
      </c>
      <c r="EG34" s="74">
        <v>-347</v>
      </c>
      <c r="EH34" s="72">
        <f t="shared" si="176"/>
        <v>-1.1396011396011403</v>
      </c>
      <c r="EI34" s="74">
        <v>-413</v>
      </c>
      <c r="EJ34" s="72">
        <f t="shared" si="177"/>
        <v>16.338028169014081</v>
      </c>
      <c r="EK34" s="74">
        <v>-391</v>
      </c>
      <c r="EL34" s="72">
        <f t="shared" si="178"/>
        <v>-2.0050125313283189</v>
      </c>
      <c r="EM34" s="74">
        <v>-359</v>
      </c>
      <c r="EN34" s="72">
        <f t="shared" si="179"/>
        <v>2.8653295128939789</v>
      </c>
      <c r="EO34" s="74">
        <v>-395</v>
      </c>
      <c r="EP34" s="72">
        <f t="shared" si="180"/>
        <v>13.8328530259366</v>
      </c>
      <c r="EQ34" s="75">
        <f t="shared" ref="EQ34" si="201">+EQ29*EQ44/400</f>
        <v>-402.42207307519107</v>
      </c>
      <c r="ER34" s="72">
        <f t="shared" si="181"/>
        <v>-2.5612413861522754</v>
      </c>
      <c r="ES34" s="75">
        <f t="shared" ref="ES34" si="202">+ES29*ES44/400</f>
        <v>-392.96945232002111</v>
      </c>
      <c r="ET34" s="72">
        <f t="shared" si="182"/>
        <v>0.50369624552968162</v>
      </c>
      <c r="EU34" s="75">
        <f t="shared" ref="EU34" si="203">+EU29*EU44/400</f>
        <v>-392.71572912626493</v>
      </c>
      <c r="EV34" s="72">
        <f t="shared" si="183"/>
        <v>9.3915680017450995</v>
      </c>
      <c r="EW34" s="75">
        <f t="shared" ref="EW34" si="204">+EW29*EW44/400</f>
        <v>-392.54659235190496</v>
      </c>
      <c r="EX34" s="72">
        <f t="shared" si="184"/>
        <v>-0.62111586027722865</v>
      </c>
      <c r="EY34" s="72"/>
      <c r="EZ34" s="306"/>
      <c r="FA34" s="72"/>
      <c r="FB34" s="74">
        <v>0</v>
      </c>
      <c r="FC34" s="72"/>
      <c r="FD34" s="74">
        <v>0</v>
      </c>
      <c r="FE34" s="72" t="str">
        <f t="shared" si="110"/>
        <v>NA</v>
      </c>
      <c r="FF34" s="74">
        <v>0</v>
      </c>
      <c r="FG34" s="72" t="str">
        <f t="shared" si="111"/>
        <v>NA</v>
      </c>
      <c r="FH34" s="75">
        <f t="shared" si="128"/>
        <v>0</v>
      </c>
      <c r="FI34" s="72" t="str">
        <f t="shared" si="112"/>
        <v>NA</v>
      </c>
      <c r="FJ34" s="75">
        <f t="shared" si="129"/>
        <v>-273</v>
      </c>
      <c r="FK34" s="72" t="str">
        <f t="shared" si="113"/>
        <v>NA</v>
      </c>
      <c r="FL34" s="75">
        <f t="shared" si="130"/>
        <v>-449</v>
      </c>
      <c r="FM34" s="72">
        <f t="shared" si="114"/>
        <v>64.468864468864467</v>
      </c>
      <c r="FN34" s="75">
        <f t="shared" si="131"/>
        <v>-613</v>
      </c>
      <c r="FO34" s="72">
        <f t="shared" si="115"/>
        <v>36.525612472160361</v>
      </c>
      <c r="FP34" s="75">
        <f>AQ34+AS34+AU34+AW34</f>
        <v>-602</v>
      </c>
      <c r="FQ34" s="72">
        <f t="shared" si="116"/>
        <v>-1.7944535073409469</v>
      </c>
      <c r="FR34" s="75">
        <f t="shared" si="132"/>
        <v>-931</v>
      </c>
      <c r="FS34" s="72">
        <f t="shared" si="117"/>
        <v>54.651162790697697</v>
      </c>
      <c r="FT34" s="75">
        <f t="shared" si="133"/>
        <v>-1131</v>
      </c>
      <c r="FU34" s="72">
        <f t="shared" si="118"/>
        <v>21.482277121374864</v>
      </c>
      <c r="FV34" s="75">
        <f t="shared" si="134"/>
        <v>-1057</v>
      </c>
      <c r="FW34" s="72">
        <f t="shared" si="185"/>
        <v>-6.5428824049513707</v>
      </c>
      <c r="FX34" s="75">
        <f t="shared" si="186"/>
        <v>-988</v>
      </c>
      <c r="FY34" s="72">
        <f t="shared" si="185"/>
        <v>-6.5279091769157986</v>
      </c>
      <c r="FZ34" s="75">
        <f t="shared" si="187"/>
        <v>-981</v>
      </c>
      <c r="GA34" s="72">
        <f t="shared" si="185"/>
        <v>-0.70850202429150499</v>
      </c>
      <c r="GB34" s="75">
        <f t="shared" si="188"/>
        <v>-1092</v>
      </c>
      <c r="GC34" s="72">
        <f t="shared" si="185"/>
        <v>11.314984709480115</v>
      </c>
      <c r="GD34" s="75">
        <f t="shared" si="189"/>
        <v>-1169</v>
      </c>
      <c r="GE34" s="72">
        <f t="shared" si="185"/>
        <v>7.051282051282044</v>
      </c>
      <c r="GF34" s="75">
        <f t="shared" si="190"/>
        <v>-1282</v>
      </c>
      <c r="GG34" s="72">
        <f t="shared" si="185"/>
        <v>9.6663815226689422</v>
      </c>
      <c r="GH34" s="75">
        <f t="shared" si="191"/>
        <v>-1459</v>
      </c>
      <c r="GI34" s="72">
        <f t="shared" si="119"/>
        <v>13.806552262090491</v>
      </c>
      <c r="GJ34" s="75">
        <f t="shared" si="192"/>
        <v>-1541</v>
      </c>
      <c r="GK34" s="72">
        <f t="shared" si="120"/>
        <v>5.6202878684030111</v>
      </c>
      <c r="GL34" s="75">
        <f t="shared" si="193"/>
        <v>-1450</v>
      </c>
      <c r="GM34" s="72">
        <f t="shared" si="121"/>
        <v>-5.9052563270603429</v>
      </c>
      <c r="GN34" s="75">
        <f t="shared" si="194"/>
        <v>-1558</v>
      </c>
      <c r="GO34" s="72">
        <f t="shared" si="122"/>
        <v>7.4482758620689822</v>
      </c>
      <c r="GP34" s="75">
        <f t="shared" si="195"/>
        <v>-1580.653846873382</v>
      </c>
      <c r="GQ34" s="72">
        <f t="shared" si="122"/>
        <v>1.4540338172902381</v>
      </c>
      <c r="GR34" s="75">
        <f>+GR29*GR44/100</f>
        <v>-1541.5350840512442</v>
      </c>
      <c r="GS34" s="72">
        <f t="shared" si="122"/>
        <v>-2.4748469058875031</v>
      </c>
      <c r="GT34" s="75">
        <f>+GT29*GT44/100</f>
        <v>-1545.255925103852</v>
      </c>
      <c r="GU34" s="72">
        <f t="shared" si="123"/>
        <v>0.24137245341371738</v>
      </c>
      <c r="GV34" s="75">
        <f>+GV29*GV44/100</f>
        <v>-1553.6346571588961</v>
      </c>
      <c r="GW34" s="72">
        <f t="shared" si="135"/>
        <v>0.54222293659745446</v>
      </c>
      <c r="GX34" s="75">
        <f>+GX29*GX44/100</f>
        <v>-1567.155583227752</v>
      </c>
      <c r="GY34" s="72">
        <f t="shared" si="136"/>
        <v>0.87027706330789556</v>
      </c>
      <c r="GZ34" s="72">
        <f t="shared" si="196"/>
        <v>0.11725465588143802</v>
      </c>
      <c r="HA34" s="72"/>
      <c r="HB34" s="72"/>
      <c r="HC34"/>
      <c r="HD34"/>
      <c r="HE34"/>
      <c r="HF34"/>
      <c r="HG34"/>
      <c r="HH34"/>
      <c r="HI34" s="2"/>
    </row>
    <row r="35" spans="1:217" s="3" customFormat="1" ht="12.75" customHeight="1" x14ac:dyDescent="0.2">
      <c r="B35" s="77" t="s">
        <v>421</v>
      </c>
      <c r="C35" s="74">
        <f>FF35-I35-G35-E35</f>
        <v>491</v>
      </c>
      <c r="D35" s="72"/>
      <c r="E35" s="74">
        <v>-591</v>
      </c>
      <c r="F35" s="72"/>
      <c r="G35" s="74">
        <v>202</v>
      </c>
      <c r="H35" s="72"/>
      <c r="I35" s="74">
        <v>-958</v>
      </c>
      <c r="J35" s="72"/>
      <c r="K35" s="74">
        <v>-1615</v>
      </c>
      <c r="L35" s="72" t="str">
        <f t="shared" si="88"/>
        <v>NM</v>
      </c>
      <c r="M35" s="74">
        <v>668</v>
      </c>
      <c r="N35" s="72" t="str">
        <f t="shared" si="89"/>
        <v>NM</v>
      </c>
      <c r="O35" s="74">
        <v>-2055</v>
      </c>
      <c r="P35" s="72" t="str">
        <f t="shared" si="90"/>
        <v>NM</v>
      </c>
      <c r="Q35" s="74">
        <v>1717</v>
      </c>
      <c r="R35" s="72" t="str">
        <f t="shared" si="137"/>
        <v>NM</v>
      </c>
      <c r="S35" s="74">
        <v>31</v>
      </c>
      <c r="T35" s="72" t="str">
        <f t="shared" si="138"/>
        <v>NM</v>
      </c>
      <c r="U35" s="74">
        <v>-1352</v>
      </c>
      <c r="V35" s="72" t="str">
        <f t="shared" si="139"/>
        <v>NM</v>
      </c>
      <c r="W35" s="74">
        <v>-1580</v>
      </c>
      <c r="X35" s="72">
        <f t="shared" si="140"/>
        <v>-23.114355231143563</v>
      </c>
      <c r="Y35" s="74">
        <v>646</v>
      </c>
      <c r="Z35" s="72" t="str">
        <f t="shared" si="141"/>
        <v>NM</v>
      </c>
      <c r="AA35" s="74">
        <v>-180</v>
      </c>
      <c r="AB35" s="72" t="str">
        <f t="shared" si="142"/>
        <v>NM</v>
      </c>
      <c r="AC35" s="74">
        <v>2447</v>
      </c>
      <c r="AD35" s="72" t="str">
        <f t="shared" si="143"/>
        <v>NM</v>
      </c>
      <c r="AE35" s="74">
        <v>990</v>
      </c>
      <c r="AF35" s="72" t="str">
        <f t="shared" si="144"/>
        <v>NM</v>
      </c>
      <c r="AG35" s="74">
        <v>3072</v>
      </c>
      <c r="AH35" s="72" t="str">
        <f t="shared" si="145"/>
        <v>NM</v>
      </c>
      <c r="AI35" s="74">
        <v>843</v>
      </c>
      <c r="AJ35" s="72" t="str">
        <f t="shared" si="146"/>
        <v>NM</v>
      </c>
      <c r="AK35" s="74">
        <v>84</v>
      </c>
      <c r="AL35" s="72" t="str">
        <f t="shared" si="147"/>
        <v>NM</v>
      </c>
      <c r="AM35" s="74">
        <v>-146</v>
      </c>
      <c r="AN35" s="72" t="str">
        <f t="shared" si="148"/>
        <v>NM</v>
      </c>
      <c r="AO35" s="74">
        <v>3310</v>
      </c>
      <c r="AP35" s="72">
        <f t="shared" si="149"/>
        <v>7.7473958333333286</v>
      </c>
      <c r="AQ35" s="74">
        <v>-774</v>
      </c>
      <c r="AR35" s="72" t="str">
        <f t="shared" si="91"/>
        <v>NM</v>
      </c>
      <c r="AS35" s="74">
        <v>1015</v>
      </c>
      <c r="AT35" s="72" t="str">
        <f t="shared" si="92"/>
        <v>NM</v>
      </c>
      <c r="AU35" s="74">
        <v>1876</v>
      </c>
      <c r="AV35" s="72" t="str">
        <f t="shared" si="93"/>
        <v>NM</v>
      </c>
      <c r="AW35" s="74">
        <v>1106</v>
      </c>
      <c r="AX35" s="72" t="str">
        <f t="shared" si="94"/>
        <v>NM</v>
      </c>
      <c r="AY35" s="74">
        <v>2241</v>
      </c>
      <c r="AZ35" s="72" t="str">
        <f t="shared" si="95"/>
        <v>NM</v>
      </c>
      <c r="BA35" s="74">
        <v>-1000</v>
      </c>
      <c r="BB35" s="72" t="str">
        <f t="shared" si="96"/>
        <v>NM</v>
      </c>
      <c r="BC35" s="74">
        <v>2012</v>
      </c>
      <c r="BD35" s="72">
        <f t="shared" si="97"/>
        <v>7.2494669509594871</v>
      </c>
      <c r="BE35" s="74">
        <v>4208</v>
      </c>
      <c r="BF35" s="72" t="str">
        <f t="shared" si="98"/>
        <v>NM</v>
      </c>
      <c r="BG35" s="74">
        <v>1168</v>
      </c>
      <c r="BH35" s="72">
        <f t="shared" si="99"/>
        <v>-47.880410531012942</v>
      </c>
      <c r="BI35" s="74">
        <v>3478</v>
      </c>
      <c r="BJ35" s="72" t="str">
        <f t="shared" si="150"/>
        <v>NM</v>
      </c>
      <c r="BK35" s="74">
        <v>2295</v>
      </c>
      <c r="BL35" s="72">
        <f t="shared" si="151"/>
        <v>14.065606361829026</v>
      </c>
      <c r="BM35" s="74">
        <v>-865</v>
      </c>
      <c r="BN35" s="72" t="str">
        <f t="shared" si="100"/>
        <v>NM</v>
      </c>
      <c r="BO35" s="74">
        <v>-5409</v>
      </c>
      <c r="BP35" s="72" t="str">
        <f t="shared" si="152"/>
        <v>NM</v>
      </c>
      <c r="BQ35" s="74">
        <v>-246</v>
      </c>
      <c r="BR35" s="72" t="str">
        <f t="shared" si="153"/>
        <v>NM</v>
      </c>
      <c r="BS35" s="74">
        <v>-6712</v>
      </c>
      <c r="BT35" s="72" t="str">
        <f t="shared" si="154"/>
        <v>NM</v>
      </c>
      <c r="BU35" s="74">
        <v>-7986</v>
      </c>
      <c r="BV35" s="72" t="str">
        <f t="shared" si="155"/>
        <v>NM</v>
      </c>
      <c r="BW35" s="74">
        <v>-2269</v>
      </c>
      <c r="BX35" s="72" t="str">
        <f t="shared" si="156"/>
        <v>NM</v>
      </c>
      <c r="BY35" s="74">
        <v>5566</v>
      </c>
      <c r="BZ35" s="72" t="str">
        <f t="shared" si="157"/>
        <v>NM</v>
      </c>
      <c r="CA35" s="74">
        <v>6650</v>
      </c>
      <c r="CB35" s="72" t="str">
        <f t="shared" si="158"/>
        <v>NM</v>
      </c>
      <c r="CC35" s="74">
        <v>2273</v>
      </c>
      <c r="CD35" s="72" t="str">
        <f t="shared" si="159"/>
        <v>NM</v>
      </c>
      <c r="CE35" s="74">
        <v>2288</v>
      </c>
      <c r="CF35" s="72" t="str">
        <f t="shared" si="160"/>
        <v>NM</v>
      </c>
      <c r="CG35" s="74">
        <v>-4784</v>
      </c>
      <c r="CH35" s="72" t="str">
        <f t="shared" si="161"/>
        <v>NM</v>
      </c>
      <c r="CI35" s="74">
        <v>6756</v>
      </c>
      <c r="CJ35" s="72">
        <f t="shared" si="162"/>
        <v>1.5939849624060116</v>
      </c>
      <c r="CK35" s="74">
        <v>5488</v>
      </c>
      <c r="CL35" s="72" t="str">
        <f t="shared" si="162"/>
        <v>NM</v>
      </c>
      <c r="CM35" s="74">
        <v>3552</v>
      </c>
      <c r="CN35" s="72">
        <f t="shared" si="162"/>
        <v>55.244755244755254</v>
      </c>
      <c r="CO35" s="74">
        <v>493</v>
      </c>
      <c r="CP35" s="72" t="str">
        <f t="shared" si="162"/>
        <v>NM</v>
      </c>
      <c r="CQ35" s="74">
        <v>-11330</v>
      </c>
      <c r="CR35" s="72" t="str">
        <f t="shared" si="162"/>
        <v>NM</v>
      </c>
      <c r="CS35" s="74">
        <v>4835</v>
      </c>
      <c r="CT35" s="72">
        <f t="shared" si="162"/>
        <v>-11.898688046647237</v>
      </c>
      <c r="CU35" s="74">
        <v>8171</v>
      </c>
      <c r="CV35" s="72" t="str">
        <f t="shared" si="163"/>
        <v>NM</v>
      </c>
      <c r="CW35" s="74">
        <v>-2742</v>
      </c>
      <c r="CX35" s="72" t="str">
        <f t="shared" si="164"/>
        <v>NM</v>
      </c>
      <c r="CY35" s="74">
        <v>5264</v>
      </c>
      <c r="CZ35" s="72" t="str">
        <f t="shared" si="165"/>
        <v>NM</v>
      </c>
      <c r="DA35" s="74">
        <v>1687</v>
      </c>
      <c r="DB35" s="72" t="str">
        <f t="shared" si="166"/>
        <v>NM</v>
      </c>
      <c r="DC35" s="74">
        <v>6039</v>
      </c>
      <c r="DD35" s="72">
        <f t="shared" si="167"/>
        <v>-26.092277567005269</v>
      </c>
      <c r="DE35" s="74">
        <v>-666</v>
      </c>
      <c r="DF35" s="72" t="str">
        <f t="shared" si="168"/>
        <v>NM</v>
      </c>
      <c r="DG35" s="74">
        <v>6479</v>
      </c>
      <c r="DH35" s="72">
        <f t="shared" si="169"/>
        <v>23.081306990881473</v>
      </c>
      <c r="DI35" s="74">
        <v>7603</v>
      </c>
      <c r="DJ35" s="72" t="str">
        <f t="shared" si="170"/>
        <v>NM</v>
      </c>
      <c r="DK35" s="74">
        <v>2194</v>
      </c>
      <c r="DL35" s="72" t="str">
        <f t="shared" si="171"/>
        <v>NM</v>
      </c>
      <c r="DM35" s="74">
        <v>5081</v>
      </c>
      <c r="DN35" s="72" t="str">
        <f t="shared" si="172"/>
        <v>NM</v>
      </c>
      <c r="DO35" s="74">
        <v>-1891</v>
      </c>
      <c r="DP35" s="72" t="str">
        <f t="shared" si="172"/>
        <v>NM</v>
      </c>
      <c r="DQ35" s="74">
        <v>2945</v>
      </c>
      <c r="DR35" s="72" t="str">
        <f t="shared" si="172"/>
        <v>NM</v>
      </c>
      <c r="DS35" s="74">
        <v>3713</v>
      </c>
      <c r="DT35" s="72">
        <f t="shared" si="172"/>
        <v>69.234275296262524</v>
      </c>
      <c r="DU35" s="74">
        <v>-983</v>
      </c>
      <c r="DV35" s="72" t="str">
        <f t="shared" si="172"/>
        <v>NM</v>
      </c>
      <c r="DW35" s="74">
        <v>-7594</v>
      </c>
      <c r="DX35" s="72" t="str">
        <f t="shared" si="172"/>
        <v>NM</v>
      </c>
      <c r="DY35" s="74">
        <v>3909</v>
      </c>
      <c r="DZ35" s="72">
        <f t="shared" si="172"/>
        <v>32.73344651952462</v>
      </c>
      <c r="EA35" s="74">
        <v>764</v>
      </c>
      <c r="EB35" s="72" t="str">
        <f t="shared" si="173"/>
        <v>NM</v>
      </c>
      <c r="EC35" s="74">
        <v>2873</v>
      </c>
      <c r="ED35" s="72" t="str">
        <f t="shared" si="174"/>
        <v>NM</v>
      </c>
      <c r="EE35" s="74">
        <v>4877</v>
      </c>
      <c r="EF35" s="72" t="str">
        <f t="shared" si="175"/>
        <v>NM</v>
      </c>
      <c r="EG35" s="74">
        <v>124</v>
      </c>
      <c r="EH35" s="72" t="str">
        <f t="shared" si="176"/>
        <v>NM</v>
      </c>
      <c r="EI35" s="74">
        <v>5751</v>
      </c>
      <c r="EJ35" s="72" t="str">
        <f t="shared" si="177"/>
        <v>NM</v>
      </c>
      <c r="EK35" s="74">
        <v>4578</v>
      </c>
      <c r="EL35" s="72">
        <f t="shared" si="178"/>
        <v>59.345631743821798</v>
      </c>
      <c r="EM35" s="74">
        <v>5170</v>
      </c>
      <c r="EN35" s="72">
        <f t="shared" si="179"/>
        <v>6.0077916752101714</v>
      </c>
      <c r="EO35" s="74">
        <v>5494</v>
      </c>
      <c r="EP35" s="72" t="str">
        <f t="shared" si="180"/>
        <v>NM</v>
      </c>
      <c r="EQ35" s="75">
        <f t="shared" ref="EQ35" si="205">EQ29*(EQ47/100*EQ$25/100)</f>
        <v>-1387.2851999999998</v>
      </c>
      <c r="ER35" s="72" t="str">
        <f t="shared" si="181"/>
        <v>NM</v>
      </c>
      <c r="ES35" s="75">
        <f t="shared" ref="ES35" si="206">ES29*(ES47/100*ES$25/100)</f>
        <v>2257.8313572186912</v>
      </c>
      <c r="ET35" s="72" t="str">
        <f t="shared" si="182"/>
        <v>NM</v>
      </c>
      <c r="EU35" s="75">
        <f t="shared" ref="EU35" si="207">EU29*(EU47/100*EU$25/100)</f>
        <v>2256.3735742293666</v>
      </c>
      <c r="EV35" s="72" t="str">
        <f t="shared" si="183"/>
        <v>NM</v>
      </c>
      <c r="EW35" s="75">
        <f t="shared" ref="EW35" si="208">EW29*(EW47/100*EW$25/100)</f>
        <v>2255.4017879733256</v>
      </c>
      <c r="EX35" s="72" t="str">
        <f t="shared" si="184"/>
        <v>NM</v>
      </c>
      <c r="EY35" s="72"/>
      <c r="EZ35" s="306"/>
      <c r="FA35" s="72"/>
      <c r="FB35" s="74">
        <v>1575</v>
      </c>
      <c r="FC35" s="72"/>
      <c r="FD35" s="74">
        <v>2700</v>
      </c>
      <c r="FE35" s="72">
        <f t="shared" si="110"/>
        <v>71.428571428571416</v>
      </c>
      <c r="FF35" s="74">
        <v>-856</v>
      </c>
      <c r="FG35" s="72" t="str">
        <f t="shared" si="111"/>
        <v>NM</v>
      </c>
      <c r="FH35" s="75">
        <f t="shared" si="128"/>
        <v>-1285</v>
      </c>
      <c r="FI35" s="72">
        <f t="shared" si="112"/>
        <v>50.116822429906534</v>
      </c>
      <c r="FJ35" s="75">
        <f t="shared" si="129"/>
        <v>-2255</v>
      </c>
      <c r="FK35" s="72">
        <f t="shared" si="113"/>
        <v>75.486381322957186</v>
      </c>
      <c r="FL35" s="75">
        <f t="shared" si="130"/>
        <v>6329</v>
      </c>
      <c r="FM35" s="72" t="str">
        <f t="shared" si="114"/>
        <v>NM</v>
      </c>
      <c r="FN35" s="75">
        <f t="shared" si="131"/>
        <v>4091</v>
      </c>
      <c r="FO35" s="72">
        <f t="shared" si="115"/>
        <v>-35.361036498656972</v>
      </c>
      <c r="FP35" s="75">
        <f>AQ35+AS35+AU35+AW35</f>
        <v>3223</v>
      </c>
      <c r="FQ35" s="72">
        <f t="shared" si="116"/>
        <v>-21.217306282082617</v>
      </c>
      <c r="FR35" s="75">
        <f t="shared" si="132"/>
        <v>7461</v>
      </c>
      <c r="FS35" s="72" t="str">
        <f t="shared" si="117"/>
        <v>NM</v>
      </c>
      <c r="FT35" s="75">
        <f t="shared" si="133"/>
        <v>6076</v>
      </c>
      <c r="FU35" s="72">
        <f t="shared" si="118"/>
        <v>-18.563195282133762</v>
      </c>
      <c r="FV35" s="75">
        <f t="shared" si="134"/>
        <v>-20353</v>
      </c>
      <c r="FW35" s="72" t="str">
        <f t="shared" si="185"/>
        <v>NM</v>
      </c>
      <c r="FX35" s="75">
        <f t="shared" si="186"/>
        <v>12220</v>
      </c>
      <c r="FY35" s="72" t="str">
        <f t="shared" si="185"/>
        <v>NM</v>
      </c>
      <c r="FZ35" s="75">
        <f t="shared" si="187"/>
        <v>9748</v>
      </c>
      <c r="GA35" s="72">
        <f t="shared" si="185"/>
        <v>-20.229132569558104</v>
      </c>
      <c r="GB35" s="75">
        <f t="shared" si="188"/>
        <v>-2450</v>
      </c>
      <c r="GC35" s="72" t="str">
        <f t="shared" si="185"/>
        <v>NM</v>
      </c>
      <c r="GD35" s="75">
        <f>CU35+CW35+CY35+DA35</f>
        <v>12380</v>
      </c>
      <c r="GE35" s="72" t="str">
        <f t="shared" si="185"/>
        <v>NM</v>
      </c>
      <c r="GF35" s="75">
        <f>DC35+DE35+DG35+DI35</f>
        <v>19455</v>
      </c>
      <c r="GG35" s="72">
        <f t="shared" si="185"/>
        <v>57.148626817447507</v>
      </c>
      <c r="GH35" s="75">
        <f t="shared" si="191"/>
        <v>8329</v>
      </c>
      <c r="GI35" s="72" t="str">
        <f t="shared" si="119"/>
        <v>NM</v>
      </c>
      <c r="GJ35" s="75">
        <f t="shared" si="192"/>
        <v>-955</v>
      </c>
      <c r="GK35" s="72" t="str">
        <f t="shared" si="120"/>
        <v>NM</v>
      </c>
      <c r="GL35" s="75">
        <f t="shared" si="193"/>
        <v>8638</v>
      </c>
      <c r="GM35" s="72" t="str">
        <f t="shared" si="121"/>
        <v>NM</v>
      </c>
      <c r="GN35" s="75">
        <f t="shared" si="194"/>
        <v>20993</v>
      </c>
      <c r="GO35" s="72" t="str">
        <f t="shared" si="122"/>
        <v>NM</v>
      </c>
      <c r="GP35" s="75">
        <f t="shared" si="195"/>
        <v>5382.3215194213835</v>
      </c>
      <c r="GQ35" s="72" t="str">
        <f t="shared" si="122"/>
        <v>NM</v>
      </c>
      <c r="GR35" s="75">
        <f>GR29*(GR47/100*GR$25/100)</f>
        <v>9019.6801010130966</v>
      </c>
      <c r="GS35" s="72">
        <f t="shared" si="122"/>
        <v>67.579734292475734</v>
      </c>
      <c r="GT35" s="75">
        <f>GT29*(GT47/100*GT$25/100)</f>
        <v>9041.4511241629825</v>
      </c>
      <c r="GU35" s="72">
        <f t="shared" si="123"/>
        <v>0.24137245341373159</v>
      </c>
      <c r="GV35" s="75">
        <f>GV29*(GV47/100*GV$25/100)</f>
        <v>9090.4759459594407</v>
      </c>
      <c r="GW35" s="72">
        <f t="shared" si="135"/>
        <v>0.54222293659742604</v>
      </c>
      <c r="GX35" s="75">
        <f>GX29*(GX47/100*GX$25/100)</f>
        <v>9169.5882730626454</v>
      </c>
      <c r="GY35" s="72">
        <f t="shared" si="136"/>
        <v>0.87027706330786714</v>
      </c>
      <c r="GZ35" s="72">
        <f t="shared" si="196"/>
        <v>-15.266515559823624</v>
      </c>
      <c r="HA35" s="72"/>
      <c r="HB35" s="72"/>
      <c r="HC35"/>
      <c r="HD35"/>
      <c r="HE35"/>
      <c r="HF35"/>
      <c r="HG35"/>
      <c r="HH35"/>
      <c r="HI35" s="2"/>
    </row>
    <row r="36" spans="1:217" s="3" customFormat="1" ht="12.75" customHeight="1" x14ac:dyDescent="0.2">
      <c r="B36" s="77" t="s">
        <v>699</v>
      </c>
      <c r="C36" s="74"/>
      <c r="D36" s="72"/>
      <c r="E36" s="74"/>
      <c r="F36" s="72"/>
      <c r="G36" s="74"/>
      <c r="H36" s="72"/>
      <c r="I36" s="74"/>
      <c r="J36" s="72"/>
      <c r="K36" s="74"/>
      <c r="L36" s="72" t="str">
        <f t="shared" si="88"/>
        <v>NA</v>
      </c>
      <c r="M36" s="74"/>
      <c r="N36" s="72" t="str">
        <f t="shared" si="89"/>
        <v>NA</v>
      </c>
      <c r="O36" s="74"/>
      <c r="P36" s="72" t="str">
        <f t="shared" si="90"/>
        <v>NA</v>
      </c>
      <c r="Q36" s="74"/>
      <c r="R36" s="72" t="str">
        <f t="shared" si="137"/>
        <v>NA</v>
      </c>
      <c r="S36" s="74">
        <v>-52</v>
      </c>
      <c r="T36" s="72" t="str">
        <f t="shared" si="138"/>
        <v>NA</v>
      </c>
      <c r="U36" s="74">
        <v>-50</v>
      </c>
      <c r="V36" s="72" t="str">
        <f t="shared" si="139"/>
        <v>NA</v>
      </c>
      <c r="W36" s="74">
        <v>-43</v>
      </c>
      <c r="X36" s="72" t="str">
        <f t="shared" si="140"/>
        <v>NA</v>
      </c>
      <c r="Y36" s="74">
        <v>-42</v>
      </c>
      <c r="Z36" s="72" t="str">
        <f t="shared" si="141"/>
        <v>NA</v>
      </c>
      <c r="AA36" s="74">
        <v>-40</v>
      </c>
      <c r="AB36" s="72">
        <f t="shared" si="142"/>
        <v>-23.076923076923066</v>
      </c>
      <c r="AC36" s="74">
        <v>-95</v>
      </c>
      <c r="AD36" s="72">
        <f t="shared" si="143"/>
        <v>90</v>
      </c>
      <c r="AE36" s="74">
        <v>-129</v>
      </c>
      <c r="AF36" s="72" t="str">
        <f t="shared" si="144"/>
        <v>NM</v>
      </c>
      <c r="AG36" s="74">
        <v>-138</v>
      </c>
      <c r="AH36" s="72" t="str">
        <f t="shared" si="145"/>
        <v>NM</v>
      </c>
      <c r="AI36" s="74">
        <v>-144</v>
      </c>
      <c r="AJ36" s="72" t="str">
        <f t="shared" si="146"/>
        <v>NM</v>
      </c>
      <c r="AK36" s="74">
        <v>-145</v>
      </c>
      <c r="AL36" s="72">
        <f t="shared" si="147"/>
        <v>52.631578947368439</v>
      </c>
      <c r="AM36" s="74">
        <v>-146</v>
      </c>
      <c r="AN36" s="72">
        <f t="shared" si="148"/>
        <v>13.178294573643413</v>
      </c>
      <c r="AO36" s="74">
        <v>-156</v>
      </c>
      <c r="AP36" s="72">
        <f t="shared" si="149"/>
        <v>13.043478260869563</v>
      </c>
      <c r="AQ36" s="74">
        <v>-158</v>
      </c>
      <c r="AR36" s="72">
        <f t="shared" si="91"/>
        <v>9.7222222222222285</v>
      </c>
      <c r="AS36" s="74">
        <v>-160</v>
      </c>
      <c r="AT36" s="72">
        <f t="shared" si="92"/>
        <v>10.34482758620689</v>
      </c>
      <c r="AU36" s="74">
        <v>-176</v>
      </c>
      <c r="AV36" s="72">
        <f t="shared" si="93"/>
        <v>20.547945205479451</v>
      </c>
      <c r="AW36" s="74">
        <v>-182</v>
      </c>
      <c r="AX36" s="72">
        <f t="shared" si="94"/>
        <v>16.666666666666671</v>
      </c>
      <c r="AY36" s="74">
        <v>-184</v>
      </c>
      <c r="AZ36" s="72">
        <f t="shared" si="95"/>
        <v>16.455696202531641</v>
      </c>
      <c r="BA36" s="74">
        <v>-204</v>
      </c>
      <c r="BB36" s="72">
        <f t="shared" si="96"/>
        <v>27.499999999999986</v>
      </c>
      <c r="BC36" s="74">
        <v>-259</v>
      </c>
      <c r="BD36" s="72">
        <f t="shared" si="97"/>
        <v>47.159090909090907</v>
      </c>
      <c r="BE36" s="74">
        <v>-289</v>
      </c>
      <c r="BF36" s="72">
        <f t="shared" si="98"/>
        <v>58.791208791208788</v>
      </c>
      <c r="BG36" s="74">
        <v>-295</v>
      </c>
      <c r="BH36" s="72">
        <f t="shared" si="99"/>
        <v>60.326086956521721</v>
      </c>
      <c r="BI36" s="74">
        <v>-320</v>
      </c>
      <c r="BJ36" s="72">
        <f t="shared" si="150"/>
        <v>56.862745098039227</v>
      </c>
      <c r="BK36" s="74">
        <v>-322</v>
      </c>
      <c r="BL36" s="72">
        <f t="shared" si="151"/>
        <v>24.324324324324323</v>
      </c>
      <c r="BM36" s="74">
        <v>-343</v>
      </c>
      <c r="BN36" s="72">
        <f t="shared" si="100"/>
        <v>18.68512110726644</v>
      </c>
      <c r="BO36" s="74">
        <v>-306</v>
      </c>
      <c r="BP36" s="72">
        <f t="shared" si="152"/>
        <v>3.7288135593220488</v>
      </c>
      <c r="BQ36" s="74">
        <v>-317</v>
      </c>
      <c r="BR36" s="72">
        <f t="shared" si="153"/>
        <v>-0.9375</v>
      </c>
      <c r="BS36" s="74">
        <v>-287</v>
      </c>
      <c r="BT36" s="72">
        <f t="shared" si="154"/>
        <v>-10.869565217391312</v>
      </c>
      <c r="BU36" s="74">
        <v>-211</v>
      </c>
      <c r="BV36" s="72">
        <f t="shared" si="155"/>
        <v>-38.483965014577258</v>
      </c>
      <c r="BW36" s="74">
        <v>-205</v>
      </c>
      <c r="BX36" s="72">
        <f t="shared" si="156"/>
        <v>-33.006535947712422</v>
      </c>
      <c r="BY36" s="74">
        <v>-236</v>
      </c>
      <c r="BZ36" s="72">
        <f t="shared" si="157"/>
        <v>-25.552050473186114</v>
      </c>
      <c r="CA36" s="74">
        <v>-284</v>
      </c>
      <c r="CB36" s="72">
        <f t="shared" si="158"/>
        <v>-1.0452961672473862</v>
      </c>
      <c r="CC36" s="74">
        <v>-336</v>
      </c>
      <c r="CD36" s="72">
        <f t="shared" si="159"/>
        <v>59.241706161137444</v>
      </c>
      <c r="CE36" s="74">
        <v>-359</v>
      </c>
      <c r="CF36" s="72">
        <f t="shared" si="160"/>
        <v>75.121951219512198</v>
      </c>
      <c r="CG36" s="74">
        <v>-393</v>
      </c>
      <c r="CH36" s="72">
        <f t="shared" si="161"/>
        <v>66.525423728813564</v>
      </c>
      <c r="CI36" s="74">
        <v>-422</v>
      </c>
      <c r="CJ36" s="72">
        <f t="shared" si="162"/>
        <v>48.591549295774655</v>
      </c>
      <c r="CK36" s="74">
        <v>-492</v>
      </c>
      <c r="CL36" s="72">
        <f t="shared" si="162"/>
        <v>46.428571428571416</v>
      </c>
      <c r="CM36" s="74">
        <v>-525</v>
      </c>
      <c r="CN36" s="72">
        <f t="shared" si="162"/>
        <v>46.239554317548738</v>
      </c>
      <c r="CO36" s="74">
        <v>-568</v>
      </c>
      <c r="CP36" s="72">
        <f t="shared" si="162"/>
        <v>44.529262086513995</v>
      </c>
      <c r="CQ36" s="74">
        <v>-570</v>
      </c>
      <c r="CR36" s="72">
        <f t="shared" si="162"/>
        <v>35.071090047393369</v>
      </c>
      <c r="CS36" s="74">
        <v>-575</v>
      </c>
      <c r="CT36" s="72">
        <f t="shared" si="162"/>
        <v>16.869918699186996</v>
      </c>
      <c r="CU36" s="74">
        <v>-620</v>
      </c>
      <c r="CV36" s="72">
        <f t="shared" si="163"/>
        <v>18.095238095238102</v>
      </c>
      <c r="CW36" s="74">
        <v>-638</v>
      </c>
      <c r="CX36" s="72">
        <f t="shared" si="164"/>
        <v>12.323943661971825</v>
      </c>
      <c r="CY36" s="74">
        <v>-691</v>
      </c>
      <c r="CZ36" s="72">
        <f t="shared" si="165"/>
        <v>21.228070175438603</v>
      </c>
      <c r="DA36" s="74">
        <v>-728</v>
      </c>
      <c r="DB36" s="72">
        <f t="shared" si="166"/>
        <v>26.608695652173921</v>
      </c>
      <c r="DC36" s="74">
        <v>-735</v>
      </c>
      <c r="DD36" s="72">
        <f t="shared" si="167"/>
        <v>18.548387096774206</v>
      </c>
      <c r="DE36" s="74">
        <v>-808</v>
      </c>
      <c r="DF36" s="72">
        <f t="shared" si="168"/>
        <v>26.645768025078368</v>
      </c>
      <c r="DG36" s="74">
        <v>-811</v>
      </c>
      <c r="DH36" s="72">
        <f t="shared" si="169"/>
        <v>17.366136034732278</v>
      </c>
      <c r="DI36" s="74">
        <v>-840</v>
      </c>
      <c r="DJ36" s="72">
        <f t="shared" si="170"/>
        <v>15.384615384615373</v>
      </c>
      <c r="DK36" s="74">
        <v>-847</v>
      </c>
      <c r="DL36" s="72">
        <f t="shared" si="171"/>
        <v>15.238095238095227</v>
      </c>
      <c r="DM36" s="74">
        <v>-869</v>
      </c>
      <c r="DN36" s="72">
        <f t="shared" si="172"/>
        <v>7.5495049504950487</v>
      </c>
      <c r="DO36" s="74">
        <v>-891</v>
      </c>
      <c r="DP36" s="72">
        <f t="shared" si="172"/>
        <v>9.8643649815043091</v>
      </c>
      <c r="DQ36" s="74">
        <v>-890</v>
      </c>
      <c r="DR36" s="72">
        <f t="shared" si="172"/>
        <v>5.952380952380949</v>
      </c>
      <c r="DS36" s="74">
        <v>-892</v>
      </c>
      <c r="DT36" s="72">
        <f t="shared" si="172"/>
        <v>5.3128689492325947</v>
      </c>
      <c r="DU36" s="74">
        <v>-911</v>
      </c>
      <c r="DV36" s="72">
        <f t="shared" si="172"/>
        <v>4.833141542002295</v>
      </c>
      <c r="DW36" s="74">
        <v>-895</v>
      </c>
      <c r="DX36" s="72">
        <f t="shared" si="172"/>
        <v>0.44893378226711889</v>
      </c>
      <c r="DY36" s="74">
        <v>-889</v>
      </c>
      <c r="DZ36" s="72">
        <f t="shared" si="172"/>
        <v>-0.11235955056180558</v>
      </c>
      <c r="EA36" s="74">
        <v>-857</v>
      </c>
      <c r="EB36" s="72">
        <f t="shared" si="173"/>
        <v>-3.9237668161434982</v>
      </c>
      <c r="EC36" s="74">
        <v>-885</v>
      </c>
      <c r="ED36" s="72">
        <f t="shared" si="174"/>
        <v>-2.8540065861690493</v>
      </c>
      <c r="EE36" s="74">
        <v>-909</v>
      </c>
      <c r="EF36" s="72">
        <f t="shared" si="175"/>
        <v>1.5642458100558798</v>
      </c>
      <c r="EG36" s="74">
        <v>-901</v>
      </c>
      <c r="EH36" s="72">
        <f t="shared" si="176"/>
        <v>1.3498312710911193</v>
      </c>
      <c r="EI36" s="74">
        <v>-905</v>
      </c>
      <c r="EJ36" s="72">
        <f t="shared" si="177"/>
        <v>5.6009334889148192</v>
      </c>
      <c r="EK36" s="74">
        <v>-926</v>
      </c>
      <c r="EL36" s="72">
        <f t="shared" si="178"/>
        <v>4.632768361581924</v>
      </c>
      <c r="EM36" s="74">
        <v>-936</v>
      </c>
      <c r="EN36" s="72">
        <f t="shared" si="179"/>
        <v>2.9702970297029765</v>
      </c>
      <c r="EO36" s="74">
        <v>-945</v>
      </c>
      <c r="EP36" s="72">
        <f t="shared" si="180"/>
        <v>4.8834628190898854</v>
      </c>
      <c r="EQ36" s="75">
        <f t="shared" ref="EQ36" si="209">EQ45/400*EQ29</f>
        <v>-962.75660520520398</v>
      </c>
      <c r="ER36" s="72">
        <f t="shared" si="181"/>
        <v>6.3819453265418815</v>
      </c>
      <c r="ES36" s="75">
        <f t="shared" ref="ES36" si="210">ES45/400*ES29</f>
        <v>-940.14210744916431</v>
      </c>
      <c r="ET36" s="72">
        <f t="shared" si="182"/>
        <v>1.5272254264756384</v>
      </c>
      <c r="EU36" s="75">
        <f t="shared" ref="EU36" si="211">EU45/400*EU29</f>
        <v>-939.53509879574779</v>
      </c>
      <c r="EV36" s="72">
        <f t="shared" si="183"/>
        <v>0.37768149527219919</v>
      </c>
      <c r="EW36" s="75">
        <f t="shared" ref="EW36" si="212">EW45/400*EW29</f>
        <v>-939.13045512038025</v>
      </c>
      <c r="EX36" s="72">
        <f t="shared" si="184"/>
        <v>-0.62111586027722865</v>
      </c>
      <c r="EY36" s="72"/>
      <c r="EZ36" s="306"/>
      <c r="FA36" s="72"/>
      <c r="FB36" s="74">
        <v>0</v>
      </c>
      <c r="FC36" s="72"/>
      <c r="FD36" s="74">
        <v>0</v>
      </c>
      <c r="FE36" s="72" t="str">
        <f t="shared" si="110"/>
        <v>NA</v>
      </c>
      <c r="FF36" s="74">
        <v>0</v>
      </c>
      <c r="FG36" s="72" t="str">
        <f t="shared" si="111"/>
        <v>NA</v>
      </c>
      <c r="FH36" s="75">
        <f t="shared" si="128"/>
        <v>0</v>
      </c>
      <c r="FI36" s="72" t="str">
        <f t="shared" si="112"/>
        <v>NA</v>
      </c>
      <c r="FJ36" s="75">
        <f t="shared" si="129"/>
        <v>-187</v>
      </c>
      <c r="FK36" s="72" t="str">
        <f t="shared" si="113"/>
        <v>NA</v>
      </c>
      <c r="FL36" s="75">
        <f t="shared" si="130"/>
        <v>-402</v>
      </c>
      <c r="FM36" s="72" t="str">
        <f t="shared" si="114"/>
        <v>NM</v>
      </c>
      <c r="FN36" s="75">
        <f t="shared" si="131"/>
        <v>-591</v>
      </c>
      <c r="FO36" s="72">
        <f t="shared" si="115"/>
        <v>47.014925373134332</v>
      </c>
      <c r="FP36" s="75">
        <f>AQ36+AS36+AU36+AW36</f>
        <v>-676</v>
      </c>
      <c r="FQ36" s="72">
        <f t="shared" si="116"/>
        <v>14.382402707275801</v>
      </c>
      <c r="FR36" s="75">
        <f t="shared" si="132"/>
        <v>-936</v>
      </c>
      <c r="FS36" s="72">
        <f t="shared" si="117"/>
        <v>38.461538461538453</v>
      </c>
      <c r="FT36" s="75">
        <f t="shared" si="133"/>
        <v>-1280</v>
      </c>
      <c r="FU36" s="72">
        <f t="shared" si="118"/>
        <v>36.752136752136749</v>
      </c>
      <c r="FV36" s="75">
        <f t="shared" si="134"/>
        <v>-1121</v>
      </c>
      <c r="FW36" s="72">
        <f t="shared" si="185"/>
        <v>-12.421875</v>
      </c>
      <c r="FX36" s="75">
        <f t="shared" si="186"/>
        <v>-1061</v>
      </c>
      <c r="FY36" s="72">
        <f t="shared" si="185"/>
        <v>-5.3523639607493294</v>
      </c>
      <c r="FZ36" s="75">
        <f t="shared" si="187"/>
        <v>-1666</v>
      </c>
      <c r="GA36" s="72">
        <f t="shared" si="185"/>
        <v>57.021677662582448</v>
      </c>
      <c r="GB36" s="75">
        <f t="shared" si="188"/>
        <v>-2238</v>
      </c>
      <c r="GC36" s="72">
        <f t="shared" si="185"/>
        <v>34.333733493397375</v>
      </c>
      <c r="GD36" s="75">
        <f t="shared" si="189"/>
        <v>-2677</v>
      </c>
      <c r="GE36" s="72">
        <f t="shared" si="185"/>
        <v>19.61572832886506</v>
      </c>
      <c r="GF36" s="75">
        <f t="shared" si="190"/>
        <v>-3194</v>
      </c>
      <c r="GG36" s="72">
        <f t="shared" si="185"/>
        <v>19.31266342921181</v>
      </c>
      <c r="GH36" s="75">
        <f t="shared" si="191"/>
        <v>-3497</v>
      </c>
      <c r="GI36" s="72">
        <f t="shared" si="119"/>
        <v>9.4865372573575542</v>
      </c>
      <c r="GJ36" s="75">
        <f t="shared" si="192"/>
        <v>-3587</v>
      </c>
      <c r="GK36" s="72">
        <f t="shared" si="120"/>
        <v>2.5736345438947694</v>
      </c>
      <c r="GL36" s="75">
        <f t="shared" si="193"/>
        <v>-3552</v>
      </c>
      <c r="GM36" s="72">
        <f t="shared" si="121"/>
        <v>-0.97574574853638296</v>
      </c>
      <c r="GN36" s="75">
        <f t="shared" si="194"/>
        <v>-3712</v>
      </c>
      <c r="GO36" s="72">
        <f t="shared" si="122"/>
        <v>4.5045045045044958</v>
      </c>
      <c r="GP36" s="75">
        <f t="shared" si="195"/>
        <v>-3781.5642665704963</v>
      </c>
      <c r="GQ36" s="72">
        <f t="shared" si="122"/>
        <v>1.8740373537310404</v>
      </c>
      <c r="GR36" s="75">
        <f>GR45/100*GR29</f>
        <v>-3687.9763403251291</v>
      </c>
      <c r="GS36" s="72">
        <f t="shared" si="122"/>
        <v>-2.4748469058874889</v>
      </c>
      <c r="GT36" s="75">
        <f>GT45/100*GT29</f>
        <v>-3696.8780992990892</v>
      </c>
      <c r="GU36" s="72">
        <f t="shared" si="123"/>
        <v>0.24137245341371738</v>
      </c>
      <c r="GV36" s="75">
        <f>GV45/100*GV29</f>
        <v>-3716.9234202915368</v>
      </c>
      <c r="GW36" s="72">
        <f t="shared" si="135"/>
        <v>0.54222293659745446</v>
      </c>
      <c r="GX36" s="75">
        <f>GX45/100*GX29</f>
        <v>-3749.2709522790524</v>
      </c>
      <c r="GY36" s="72">
        <f t="shared" si="136"/>
        <v>0.87027706330786714</v>
      </c>
      <c r="GZ36" s="72">
        <f t="shared" si="196"/>
        <v>0.20001162558163088</v>
      </c>
      <c r="HA36" s="72"/>
      <c r="HB36" s="72"/>
      <c r="HC36"/>
      <c r="HD36"/>
      <c r="HE36"/>
      <c r="HF36"/>
      <c r="HG36"/>
      <c r="HH36"/>
      <c r="HI36" s="2"/>
    </row>
    <row r="37" spans="1:217" s="3" customFormat="1" ht="12.75" customHeight="1" x14ac:dyDescent="0.2">
      <c r="B37" s="77" t="s">
        <v>300</v>
      </c>
      <c r="C37" s="74"/>
      <c r="D37" s="72"/>
      <c r="E37" s="74"/>
      <c r="F37" s="72"/>
      <c r="G37" s="74"/>
      <c r="H37" s="72"/>
      <c r="I37" s="74"/>
      <c r="J37" s="72"/>
      <c r="K37" s="74"/>
      <c r="L37" s="72" t="str">
        <f t="shared" si="88"/>
        <v>NA</v>
      </c>
      <c r="M37" s="74"/>
      <c r="N37" s="72" t="str">
        <f t="shared" si="89"/>
        <v>NA</v>
      </c>
      <c r="O37" s="74"/>
      <c r="P37" s="72" t="str">
        <f t="shared" si="90"/>
        <v>NA</v>
      </c>
      <c r="Q37" s="74"/>
      <c r="R37" s="72" t="str">
        <f t="shared" si="137"/>
        <v>NA</v>
      </c>
      <c r="S37" s="74">
        <v>0</v>
      </c>
      <c r="T37" s="72" t="str">
        <f t="shared" si="138"/>
        <v>NA</v>
      </c>
      <c r="U37" s="74">
        <v>0</v>
      </c>
      <c r="V37" s="72" t="str">
        <f t="shared" si="139"/>
        <v>NA</v>
      </c>
      <c r="W37" s="74">
        <v>0</v>
      </c>
      <c r="X37" s="72" t="str">
        <f t="shared" si="140"/>
        <v>NA</v>
      </c>
      <c r="Y37" s="74">
        <v>0</v>
      </c>
      <c r="Z37" s="72" t="str">
        <f t="shared" si="141"/>
        <v>NA</v>
      </c>
      <c r="AA37" s="74">
        <v>0</v>
      </c>
      <c r="AB37" s="72" t="str">
        <f t="shared" si="142"/>
        <v>NA</v>
      </c>
      <c r="AC37" s="74">
        <v>22431</v>
      </c>
      <c r="AD37" s="72" t="str">
        <f t="shared" si="143"/>
        <v>NA</v>
      </c>
      <c r="AE37" s="74">
        <v>0</v>
      </c>
      <c r="AF37" s="72" t="str">
        <f t="shared" si="144"/>
        <v>NA</v>
      </c>
      <c r="AG37" s="74">
        <v>0</v>
      </c>
      <c r="AH37" s="72" t="str">
        <f t="shared" si="145"/>
        <v>NA</v>
      </c>
      <c r="AI37" s="74">
        <v>0</v>
      </c>
      <c r="AJ37" s="72" t="str">
        <f t="shared" si="146"/>
        <v>NA</v>
      </c>
      <c r="AK37" s="74">
        <v>0</v>
      </c>
      <c r="AL37" s="72" t="str">
        <f t="shared" si="147"/>
        <v>NM</v>
      </c>
      <c r="AM37" s="74">
        <v>0</v>
      </c>
      <c r="AN37" s="72" t="str">
        <f t="shared" si="148"/>
        <v>NA</v>
      </c>
      <c r="AO37" s="74">
        <v>0</v>
      </c>
      <c r="AP37" s="72" t="str">
        <f t="shared" si="149"/>
        <v>NA</v>
      </c>
      <c r="AQ37" s="74">
        <v>0</v>
      </c>
      <c r="AR37" s="72" t="str">
        <f t="shared" si="91"/>
        <v>NA</v>
      </c>
      <c r="AS37" s="74">
        <v>0</v>
      </c>
      <c r="AT37" s="72" t="str">
        <f t="shared" si="92"/>
        <v>NA</v>
      </c>
      <c r="AU37" s="74">
        <v>0</v>
      </c>
      <c r="AV37" s="72" t="str">
        <f t="shared" si="93"/>
        <v>NA</v>
      </c>
      <c r="AW37" s="74">
        <v>0</v>
      </c>
      <c r="AX37" s="72" t="str">
        <f t="shared" si="94"/>
        <v>NA</v>
      </c>
      <c r="AY37" s="74">
        <v>0</v>
      </c>
      <c r="AZ37" s="72" t="str">
        <f t="shared" si="95"/>
        <v>NA</v>
      </c>
      <c r="BA37" s="74">
        <v>16312</v>
      </c>
      <c r="BB37" s="72" t="str">
        <f t="shared" si="96"/>
        <v>NA</v>
      </c>
      <c r="BC37" s="74">
        <v>0</v>
      </c>
      <c r="BD37" s="72" t="str">
        <f t="shared" si="97"/>
        <v>NA</v>
      </c>
      <c r="BE37" s="74">
        <v>0</v>
      </c>
      <c r="BF37" s="72" t="str">
        <f t="shared" si="98"/>
        <v>NA</v>
      </c>
      <c r="BG37" s="74">
        <v>0</v>
      </c>
      <c r="BH37" s="72" t="str">
        <f t="shared" si="99"/>
        <v>NA</v>
      </c>
      <c r="BI37" s="74">
        <v>0</v>
      </c>
      <c r="BJ37" s="72" t="str">
        <f t="shared" si="150"/>
        <v>NM</v>
      </c>
      <c r="BK37" s="74">
        <v>0</v>
      </c>
      <c r="BL37" s="72" t="str">
        <f t="shared" si="151"/>
        <v>NA</v>
      </c>
      <c r="BM37" s="74">
        <v>0</v>
      </c>
      <c r="BN37" s="72" t="str">
        <f t="shared" si="100"/>
        <v>NA</v>
      </c>
      <c r="BO37" s="74">
        <v>0</v>
      </c>
      <c r="BP37" s="72" t="str">
        <f t="shared" si="152"/>
        <v>NA</v>
      </c>
      <c r="BQ37" s="74">
        <v>0</v>
      </c>
      <c r="BR37" s="72" t="str">
        <f t="shared" si="153"/>
        <v>NA</v>
      </c>
      <c r="BS37" s="74">
        <v>0</v>
      </c>
      <c r="BT37" s="72" t="str">
        <f t="shared" si="154"/>
        <v>NA</v>
      </c>
      <c r="BU37" s="74">
        <v>0</v>
      </c>
      <c r="BV37" s="72" t="str">
        <f t="shared" si="155"/>
        <v>NA</v>
      </c>
      <c r="BW37" s="74">
        <v>0</v>
      </c>
      <c r="BX37" s="72" t="str">
        <f t="shared" si="156"/>
        <v>NA</v>
      </c>
      <c r="BY37" s="74">
        <v>0</v>
      </c>
      <c r="BZ37" s="72" t="str">
        <f t="shared" si="157"/>
        <v>NA</v>
      </c>
      <c r="CA37" s="74">
        <v>0</v>
      </c>
      <c r="CB37" s="72" t="str">
        <f t="shared" si="158"/>
        <v>NA</v>
      </c>
      <c r="CC37" s="74">
        <v>0</v>
      </c>
      <c r="CD37" s="72" t="str">
        <f t="shared" si="159"/>
        <v>NA</v>
      </c>
      <c r="CE37" s="74">
        <v>0</v>
      </c>
      <c r="CF37" s="72" t="str">
        <f t="shared" si="160"/>
        <v>NA</v>
      </c>
      <c r="CG37" s="74">
        <v>0</v>
      </c>
      <c r="CH37" s="72" t="str">
        <f t="shared" si="161"/>
        <v>NA</v>
      </c>
      <c r="CI37" s="74">
        <v>0</v>
      </c>
      <c r="CJ37" s="72" t="str">
        <f t="shared" si="162"/>
        <v>NA</v>
      </c>
      <c r="CK37" s="74">
        <v>0</v>
      </c>
      <c r="CL37" s="72" t="str">
        <f t="shared" si="162"/>
        <v>NA</v>
      </c>
      <c r="CM37" s="74">
        <v>0</v>
      </c>
      <c r="CN37" s="72" t="str">
        <f t="shared" si="162"/>
        <v>NA</v>
      </c>
      <c r="CO37" s="74">
        <v>0</v>
      </c>
      <c r="CP37" s="72" t="str">
        <f t="shared" si="162"/>
        <v>NA</v>
      </c>
      <c r="CQ37" s="74">
        <v>0</v>
      </c>
      <c r="CR37" s="72" t="str">
        <f t="shared" si="162"/>
        <v>NA</v>
      </c>
      <c r="CS37" s="74">
        <v>0</v>
      </c>
      <c r="CT37" s="72" t="str">
        <f t="shared" si="162"/>
        <v>NA</v>
      </c>
      <c r="CU37" s="74">
        <v>0</v>
      </c>
      <c r="CV37" s="72" t="str">
        <f t="shared" si="163"/>
        <v>NA</v>
      </c>
      <c r="CW37" s="74">
        <v>0</v>
      </c>
      <c r="CX37" s="72" t="str">
        <f t="shared" si="164"/>
        <v>NA</v>
      </c>
      <c r="CY37" s="74">
        <v>0</v>
      </c>
      <c r="CZ37" s="72" t="str">
        <f t="shared" si="165"/>
        <v>NA</v>
      </c>
      <c r="DA37" s="74">
        <v>0</v>
      </c>
      <c r="DB37" s="72" t="str">
        <f t="shared" si="166"/>
        <v>NA</v>
      </c>
      <c r="DC37" s="74">
        <v>0</v>
      </c>
      <c r="DD37" s="72" t="str">
        <f t="shared" si="167"/>
        <v>NA</v>
      </c>
      <c r="DE37" s="74">
        <v>0</v>
      </c>
      <c r="DF37" s="72" t="str">
        <f t="shared" si="168"/>
        <v>NA</v>
      </c>
      <c r="DG37" s="74">
        <v>0</v>
      </c>
      <c r="DH37" s="72" t="str">
        <f t="shared" si="169"/>
        <v>NA</v>
      </c>
      <c r="DI37" s="74">
        <v>0</v>
      </c>
      <c r="DJ37" s="72" t="str">
        <f t="shared" si="170"/>
        <v>NA</v>
      </c>
      <c r="DK37" s="74">
        <v>0</v>
      </c>
      <c r="DL37" s="72" t="str">
        <f t="shared" si="171"/>
        <v>NA</v>
      </c>
      <c r="DM37" s="74">
        <v>0</v>
      </c>
      <c r="DN37" s="72" t="str">
        <f t="shared" si="172"/>
        <v>NA</v>
      </c>
      <c r="DO37" s="74">
        <v>0</v>
      </c>
      <c r="DP37" s="72" t="str">
        <f t="shared" si="172"/>
        <v>NA</v>
      </c>
      <c r="DQ37" s="74">
        <v>0</v>
      </c>
      <c r="DR37" s="72" t="str">
        <f t="shared" si="172"/>
        <v>NA</v>
      </c>
      <c r="DS37" s="74">
        <v>0</v>
      </c>
      <c r="DT37" s="72" t="str">
        <f t="shared" si="172"/>
        <v>NA</v>
      </c>
      <c r="DU37" s="74">
        <v>0</v>
      </c>
      <c r="DV37" s="72" t="str">
        <f t="shared" si="172"/>
        <v>NA</v>
      </c>
      <c r="DW37" s="74">
        <v>0</v>
      </c>
      <c r="DX37" s="72" t="str">
        <f t="shared" si="172"/>
        <v>NA</v>
      </c>
      <c r="DY37" s="74">
        <v>0</v>
      </c>
      <c r="DZ37" s="72" t="str">
        <f t="shared" si="172"/>
        <v>NA</v>
      </c>
      <c r="EA37" s="74">
        <v>0</v>
      </c>
      <c r="EB37" s="72" t="str">
        <f t="shared" si="173"/>
        <v>NA</v>
      </c>
      <c r="EC37" s="74">
        <v>0</v>
      </c>
      <c r="ED37" s="72" t="str">
        <f t="shared" si="174"/>
        <v>NA</v>
      </c>
      <c r="EE37" s="74">
        <v>0</v>
      </c>
      <c r="EF37" s="72" t="str">
        <f t="shared" si="175"/>
        <v>NA</v>
      </c>
      <c r="EG37" s="74">
        <v>0</v>
      </c>
      <c r="EH37" s="72" t="str">
        <f t="shared" si="176"/>
        <v>NA</v>
      </c>
      <c r="EI37" s="74">
        <v>0</v>
      </c>
      <c r="EJ37" s="72" t="str">
        <f t="shared" si="177"/>
        <v>NA</v>
      </c>
      <c r="EK37" s="74">
        <v>0</v>
      </c>
      <c r="EL37" s="72" t="str">
        <f t="shared" si="178"/>
        <v>NA</v>
      </c>
      <c r="EM37" s="74">
        <v>0</v>
      </c>
      <c r="EN37" s="72" t="str">
        <f t="shared" si="179"/>
        <v>NA</v>
      </c>
      <c r="EO37" s="74"/>
      <c r="EP37" s="72" t="str">
        <f t="shared" si="180"/>
        <v>NA</v>
      </c>
      <c r="EQ37" s="74">
        <v>0</v>
      </c>
      <c r="ER37" s="72" t="str">
        <f t="shared" si="181"/>
        <v>NA</v>
      </c>
      <c r="ES37" s="74">
        <v>0</v>
      </c>
      <c r="ET37" s="72" t="str">
        <f t="shared" si="182"/>
        <v>NA</v>
      </c>
      <c r="EU37" s="74">
        <v>0</v>
      </c>
      <c r="EV37" s="72" t="str">
        <f t="shared" si="183"/>
        <v>NA</v>
      </c>
      <c r="EW37" s="74">
        <v>0</v>
      </c>
      <c r="EX37" s="72" t="str">
        <f t="shared" si="184"/>
        <v>NA</v>
      </c>
      <c r="EY37" s="72"/>
      <c r="EZ37" s="306"/>
      <c r="FA37" s="72"/>
      <c r="FB37" s="74">
        <v>0</v>
      </c>
      <c r="FC37" s="72"/>
      <c r="FD37" s="74">
        <v>0</v>
      </c>
      <c r="FE37" s="72" t="str">
        <f t="shared" si="110"/>
        <v>NA</v>
      </c>
      <c r="FF37" s="74">
        <v>0</v>
      </c>
      <c r="FG37" s="72" t="str">
        <f t="shared" si="111"/>
        <v>NA</v>
      </c>
      <c r="FH37" s="75">
        <f t="shared" si="128"/>
        <v>0</v>
      </c>
      <c r="FI37" s="72" t="str">
        <f t="shared" si="112"/>
        <v>NA</v>
      </c>
      <c r="FJ37" s="75">
        <f t="shared" si="129"/>
        <v>0</v>
      </c>
      <c r="FK37" s="72" t="str">
        <f t="shared" si="113"/>
        <v>NA</v>
      </c>
      <c r="FL37" s="75">
        <f t="shared" si="130"/>
        <v>22431</v>
      </c>
      <c r="FM37" s="72" t="str">
        <f t="shared" si="114"/>
        <v>NA</v>
      </c>
      <c r="FN37" s="75">
        <f t="shared" si="131"/>
        <v>0</v>
      </c>
      <c r="FO37" s="72" t="str">
        <f t="shared" si="115"/>
        <v>NM</v>
      </c>
      <c r="FP37" s="75">
        <f>AQ37+AS37+AU37+AW37</f>
        <v>0</v>
      </c>
      <c r="FQ37" s="72" t="str">
        <f t="shared" si="116"/>
        <v>NA</v>
      </c>
      <c r="FR37" s="75">
        <f t="shared" si="132"/>
        <v>16312</v>
      </c>
      <c r="FS37" s="72" t="str">
        <f t="shared" si="117"/>
        <v>NA</v>
      </c>
      <c r="FT37" s="75">
        <f t="shared" si="133"/>
        <v>0</v>
      </c>
      <c r="FU37" s="72" t="str">
        <f t="shared" si="118"/>
        <v>NM</v>
      </c>
      <c r="FV37" s="75">
        <f t="shared" si="134"/>
        <v>0</v>
      </c>
      <c r="FW37" s="72" t="str">
        <f t="shared" si="185"/>
        <v>NA</v>
      </c>
      <c r="FX37" s="75">
        <f t="shared" si="186"/>
        <v>0</v>
      </c>
      <c r="FY37" s="72" t="str">
        <f t="shared" si="185"/>
        <v>NA</v>
      </c>
      <c r="FZ37" s="75">
        <f t="shared" si="187"/>
        <v>0</v>
      </c>
      <c r="GA37" s="72" t="str">
        <f t="shared" si="185"/>
        <v>NA</v>
      </c>
      <c r="GB37" s="75">
        <f t="shared" si="188"/>
        <v>0</v>
      </c>
      <c r="GC37" s="72" t="str">
        <f t="shared" si="185"/>
        <v>NA</v>
      </c>
      <c r="GD37" s="75">
        <f t="shared" si="189"/>
        <v>0</v>
      </c>
      <c r="GE37" s="72" t="str">
        <f t="shared" si="185"/>
        <v>NA</v>
      </c>
      <c r="GF37" s="75">
        <f t="shared" si="190"/>
        <v>0</v>
      </c>
      <c r="GG37" s="72" t="str">
        <f t="shared" si="185"/>
        <v>NA</v>
      </c>
      <c r="GH37" s="75">
        <f t="shared" si="191"/>
        <v>0</v>
      </c>
      <c r="GI37" s="72" t="str">
        <f t="shared" si="119"/>
        <v>NA</v>
      </c>
      <c r="GJ37" s="75">
        <f t="shared" si="192"/>
        <v>0</v>
      </c>
      <c r="GK37" s="72" t="str">
        <f t="shared" si="120"/>
        <v>NA</v>
      </c>
      <c r="GL37" s="75">
        <f t="shared" si="193"/>
        <v>0</v>
      </c>
      <c r="GM37" s="72" t="str">
        <f t="shared" si="121"/>
        <v>NA</v>
      </c>
      <c r="GN37" s="75">
        <f t="shared" si="194"/>
        <v>0</v>
      </c>
      <c r="GO37" s="72" t="str">
        <f t="shared" si="122"/>
        <v>NA</v>
      </c>
      <c r="GP37" s="75">
        <f t="shared" si="195"/>
        <v>0</v>
      </c>
      <c r="GQ37" s="72" t="str">
        <f t="shared" si="122"/>
        <v>NA</v>
      </c>
      <c r="GR37" s="74">
        <v>0</v>
      </c>
      <c r="GS37" s="72" t="str">
        <f t="shared" si="122"/>
        <v>NA</v>
      </c>
      <c r="GT37" s="74">
        <v>0</v>
      </c>
      <c r="GU37" s="72" t="str">
        <f t="shared" si="123"/>
        <v>NA</v>
      </c>
      <c r="GV37" s="74">
        <v>0</v>
      </c>
      <c r="GW37" s="72" t="str">
        <f t="shared" si="135"/>
        <v>NA</v>
      </c>
      <c r="GX37" s="74">
        <v>0</v>
      </c>
      <c r="GY37" s="72" t="str">
        <f t="shared" si="136"/>
        <v>NA</v>
      </c>
      <c r="GZ37" s="72" t="str">
        <f t="shared" si="196"/>
        <v>NA</v>
      </c>
      <c r="HA37" s="72"/>
      <c r="HB37" s="72"/>
      <c r="HC37"/>
      <c r="HD37"/>
      <c r="HE37"/>
      <c r="HF37"/>
      <c r="HG37"/>
      <c r="HH37"/>
      <c r="HI37" s="2"/>
    </row>
    <row r="38" spans="1:217" s="3" customFormat="1" ht="12.75" customHeight="1" x14ac:dyDescent="0.2">
      <c r="A38" s="3" t="s">
        <v>80</v>
      </c>
      <c r="B38" s="3" t="s">
        <v>296</v>
      </c>
      <c r="C38" s="75">
        <f>SUM(C29:C37)</f>
        <v>22913</v>
      </c>
      <c r="D38" s="72"/>
      <c r="E38" s="75">
        <f>SUM(E29:E37)</f>
        <v>22241</v>
      </c>
      <c r="F38" s="72"/>
      <c r="G38" s="75">
        <f>SUM(G29:G37)</f>
        <v>22229</v>
      </c>
      <c r="H38" s="75"/>
      <c r="I38" s="75">
        <f>SUM(I29:I37)</f>
        <v>21059</v>
      </c>
      <c r="J38" s="72"/>
      <c r="K38" s="75">
        <f>SUM(K29:K37)</f>
        <v>19118</v>
      </c>
      <c r="L38" s="72">
        <f t="shared" si="88"/>
        <v>-16.562650024003844</v>
      </c>
      <c r="M38" s="75">
        <f>SUM(M29:M37)</f>
        <v>19523</v>
      </c>
      <c r="N38" s="72">
        <f t="shared" si="89"/>
        <v>-12.220673530866421</v>
      </c>
      <c r="O38" s="75">
        <f>SUM(O29:O37)</f>
        <v>17190</v>
      </c>
      <c r="P38" s="72">
        <f t="shared" si="90"/>
        <v>-22.668586081245223</v>
      </c>
      <c r="Q38" s="75">
        <f>SUM(Q29:Q37)</f>
        <v>18689</v>
      </c>
      <c r="R38" s="72">
        <f t="shared" si="137"/>
        <v>-11.25409563607009</v>
      </c>
      <c r="S38" s="75">
        <f>SUM(S29:S37)</f>
        <v>18435</v>
      </c>
      <c r="T38" s="72">
        <f t="shared" si="138"/>
        <v>-3.5725494298566787</v>
      </c>
      <c r="U38" s="75">
        <f>SUM(U29:U37)</f>
        <v>16802</v>
      </c>
      <c r="V38" s="72">
        <f t="shared" si="139"/>
        <v>-13.937407160784716</v>
      </c>
      <c r="W38" s="75">
        <f>SUM(W29:W37)</f>
        <v>14961</v>
      </c>
      <c r="X38" s="72">
        <f t="shared" si="140"/>
        <v>-12.966841186736474</v>
      </c>
      <c r="Y38" s="75">
        <f>SUM(Y29:Y37)</f>
        <v>15338</v>
      </c>
      <c r="Z38" s="72">
        <f t="shared" si="141"/>
        <v>-17.930333351169139</v>
      </c>
      <c r="AA38" s="75">
        <f>SUM(AA29:AA37)</f>
        <v>14965</v>
      </c>
      <c r="AB38" s="72">
        <f t="shared" si="142"/>
        <v>-18.822891239490104</v>
      </c>
      <c r="AC38" s="75">
        <f>SUM(AC29:AC37)</f>
        <v>39780</v>
      </c>
      <c r="AD38" s="72" t="str">
        <f t="shared" si="143"/>
        <v>NM</v>
      </c>
      <c r="AE38" s="75">
        <f>SUM(AE29:AE37)</f>
        <v>40815</v>
      </c>
      <c r="AF38" s="72" t="str">
        <f t="shared" si="144"/>
        <v>NM</v>
      </c>
      <c r="AG38" s="75">
        <f>SUM(AG29:AG37)</f>
        <v>43949</v>
      </c>
      <c r="AH38" s="72" t="str">
        <f t="shared" si="145"/>
        <v>NM</v>
      </c>
      <c r="AI38" s="75">
        <f>SUM(AI29:AI37)</f>
        <v>44858</v>
      </c>
      <c r="AJ38" s="72" t="str">
        <f t="shared" si="146"/>
        <v>NM</v>
      </c>
      <c r="AK38" s="75">
        <f>SUM(AK29:AK37)</f>
        <v>44927</v>
      </c>
      <c r="AL38" s="72">
        <f t="shared" si="147"/>
        <v>12.938662644544991</v>
      </c>
      <c r="AM38" s="75">
        <f>SUM(AM29:AM37)</f>
        <v>44474</v>
      </c>
      <c r="AN38" s="72">
        <f t="shared" si="148"/>
        <v>8.9648413573441275</v>
      </c>
      <c r="AO38" s="75">
        <f>SUM(AO29:AO37)</f>
        <v>47418</v>
      </c>
      <c r="AP38" s="72">
        <f t="shared" si="149"/>
        <v>7.8932398916926445</v>
      </c>
      <c r="AQ38" s="75">
        <f>SUM(AQ29:AQ37)</f>
        <v>46386</v>
      </c>
      <c r="AR38" s="72">
        <f t="shared" si="91"/>
        <v>3.4063043381336655</v>
      </c>
      <c r="AS38" s="75">
        <f>SUM(AS29:AS37)</f>
        <v>47402</v>
      </c>
      <c r="AT38" s="72">
        <f t="shared" si="92"/>
        <v>5.5089367195672878</v>
      </c>
      <c r="AU38" s="75">
        <f>SUM(AU29:AU37)</f>
        <v>49484</v>
      </c>
      <c r="AV38" s="72">
        <f t="shared" si="93"/>
        <v>11.265008769168489</v>
      </c>
      <c r="AW38" s="75">
        <f>SUM(AW29:AW37)</f>
        <v>50778</v>
      </c>
      <c r="AX38" s="72">
        <f t="shared" si="94"/>
        <v>7.0859167404782966</v>
      </c>
      <c r="AY38" s="75">
        <f>SUM(AY29:AY37)</f>
        <v>53181</v>
      </c>
      <c r="AZ38" s="72">
        <f t="shared" si="95"/>
        <v>14.648816453240215</v>
      </c>
      <c r="BA38" s="75">
        <f>SUM(BA29:BA37)</f>
        <v>68807</v>
      </c>
      <c r="BB38" s="72">
        <f t="shared" si="96"/>
        <v>45.1563225180372</v>
      </c>
      <c r="BC38" s="75">
        <f>SUM(BC32:BC37)+BC29+BC30</f>
        <v>70555</v>
      </c>
      <c r="BD38" s="72">
        <f t="shared" si="97"/>
        <v>42.581440465605027</v>
      </c>
      <c r="BE38" s="75">
        <f>SUM(BE32:BE37)+BE29+BE30</f>
        <v>74555</v>
      </c>
      <c r="BF38" s="72">
        <f t="shared" si="98"/>
        <v>46.825396825396808</v>
      </c>
      <c r="BG38" s="75">
        <f>SUM(BG32:BG37)+BG29+BG30</f>
        <v>75591</v>
      </c>
      <c r="BH38" s="72">
        <f t="shared" si="99"/>
        <v>42.139109832458956</v>
      </c>
      <c r="BI38" s="75">
        <f>SUM(BI32:BI37)+BI29+BI30</f>
        <v>78968</v>
      </c>
      <c r="BJ38" s="72">
        <f t="shared" si="150"/>
        <v>14.767392852471389</v>
      </c>
      <c r="BK38" s="75">
        <f>SUM(BK32:BK37)+BK29+BK30</f>
        <v>81173</v>
      </c>
      <c r="BL38" s="72">
        <f t="shared" si="151"/>
        <v>15.04925235631778</v>
      </c>
      <c r="BM38" s="75">
        <f>SUM(BM32:BM37)+BM29+BM30</f>
        <v>80330</v>
      </c>
      <c r="BN38" s="72">
        <f t="shared" si="100"/>
        <v>7.7459593588625779</v>
      </c>
      <c r="BO38" s="75">
        <f>SUM(BO32:BO37)+BO29+BO30</f>
        <v>74977</v>
      </c>
      <c r="BP38" s="72">
        <f t="shared" si="152"/>
        <v>-0.81226601050389036</v>
      </c>
      <c r="BQ38" s="75">
        <f>SUM(BQ32:BQ37)+BQ29+BQ30</f>
        <v>74707</v>
      </c>
      <c r="BR38" s="72">
        <f t="shared" si="153"/>
        <v>-5.3958565494883999</v>
      </c>
      <c r="BS38" s="75">
        <f>SUM(BS32:BS37)+BS29+BS30</f>
        <v>67968</v>
      </c>
      <c r="BT38" s="72">
        <f t="shared" si="154"/>
        <v>-16.267724489670215</v>
      </c>
      <c r="BU38" s="75">
        <f>SUM(BU32:BU37)+BU29+BU30</f>
        <v>60007</v>
      </c>
      <c r="BV38" s="72">
        <f t="shared" si="155"/>
        <v>-25.299390016183239</v>
      </c>
      <c r="BW38" s="75">
        <f>SUM(BW32:BW37)+BW29+BW30</f>
        <v>57942</v>
      </c>
      <c r="BX38" s="72">
        <f t="shared" si="156"/>
        <v>-22.720300892273627</v>
      </c>
      <c r="BY38" s="75">
        <f>SUM(BY32:BY37)+BY29+BY30</f>
        <v>65099</v>
      </c>
      <c r="BZ38" s="72">
        <f t="shared" si="157"/>
        <v>-12.860909954890445</v>
      </c>
      <c r="CA38" s="75">
        <f>SUM(CA32:CA37)+CA29+CA30</f>
        <v>75611</v>
      </c>
      <c r="CB38" s="72">
        <f t="shared" si="158"/>
        <v>11.244997645951031</v>
      </c>
      <c r="CC38" s="75">
        <f>SUM(CC32:CC37)+CC29+CC30</f>
        <v>80519</v>
      </c>
      <c r="CD38" s="72">
        <f t="shared" si="159"/>
        <v>34.182678687486458</v>
      </c>
      <c r="CE38" s="75">
        <f>SUM(CE32:CE37)+CE29+CE30</f>
        <v>85379</v>
      </c>
      <c r="CF38" s="72">
        <f t="shared" si="160"/>
        <v>47.352524938731847</v>
      </c>
      <c r="CG38" s="75">
        <f>SUM(CG32:CG37)+CG29+CG30</f>
        <v>83593</v>
      </c>
      <c r="CH38" s="72">
        <f t="shared" si="161"/>
        <v>28.409038541298628</v>
      </c>
      <c r="CI38" s="75">
        <f>SUM(CI32:CI37)+CI29+CI30</f>
        <v>93375</v>
      </c>
      <c r="CJ38" s="72">
        <f t="shared" si="162"/>
        <v>23.493936067503412</v>
      </c>
      <c r="CK38" s="75">
        <f>SUM(CK32:CK37)+CK29+CK30</f>
        <v>102348</v>
      </c>
      <c r="CL38" s="72">
        <f t="shared" si="162"/>
        <v>27.110371465120025</v>
      </c>
      <c r="CM38" s="75">
        <f>SUM(CM32:CM37)+CM29+CM30</f>
        <v>109969</v>
      </c>
      <c r="CN38" s="72">
        <f t="shared" si="162"/>
        <v>28.800993218472939</v>
      </c>
      <c r="CO38" s="75">
        <f>SUM(CO32:CO37)+CO29+CO30</f>
        <v>112202</v>
      </c>
      <c r="CP38" s="72">
        <f t="shared" si="162"/>
        <v>34.224157525151611</v>
      </c>
      <c r="CQ38" s="75">
        <f>SUM(CQ32:CQ37)+CQ29+CQ30</f>
        <v>102879</v>
      </c>
      <c r="CR38" s="72">
        <f t="shared" si="162"/>
        <v>10.178313253012035</v>
      </c>
      <c r="CS38" s="75">
        <f>SUM(CS32:CS37)+CS29+CS30</f>
        <v>109743</v>
      </c>
      <c r="CT38" s="72">
        <f t="shared" si="162"/>
        <v>7.2253488099425454</v>
      </c>
      <c r="CU38" s="75">
        <f>SUM(CU32:CU37)+CU29+CU30</f>
        <v>120276</v>
      </c>
      <c r="CV38" s="72">
        <f t="shared" si="163"/>
        <v>9.3726413807527535</v>
      </c>
      <c r="CW38" s="75">
        <f>SUM(CW32:CW37)+CW29+CW30</f>
        <v>120326</v>
      </c>
      <c r="CX38" s="72">
        <f t="shared" si="164"/>
        <v>7.2405126468333805</v>
      </c>
      <c r="CY38" s="75">
        <f>SUM(CY32:CY37)+CY29+CY30</f>
        <v>128949</v>
      </c>
      <c r="CZ38" s="72">
        <f t="shared" si="165"/>
        <v>25.340448488029637</v>
      </c>
      <c r="DA38" s="75">
        <f>SUM(DA32:DA37)+DA29+DA30</f>
        <v>131608</v>
      </c>
      <c r="DB38" s="72">
        <f t="shared" si="166"/>
        <v>19.923822020538907</v>
      </c>
      <c r="DC38" s="75">
        <f>SUM(DC32:DC37)+DC29+DC30</f>
        <v>139034</v>
      </c>
      <c r="DD38" s="72">
        <f t="shared" si="167"/>
        <v>15.59579633509594</v>
      </c>
      <c r="DE38" s="75">
        <f>SUM(DE32:DE37)+DE29+DE30</f>
        <v>137775</v>
      </c>
      <c r="DF38" s="72">
        <f t="shared" si="168"/>
        <v>14.501437760749965</v>
      </c>
      <c r="DG38" s="75">
        <f>SUM(DG32:DG37)+DG29+DG30</f>
        <v>143697</v>
      </c>
      <c r="DH38" s="72">
        <f t="shared" si="169"/>
        <v>11.43707977572528</v>
      </c>
      <c r="DI38" s="75">
        <f>SUM(DI32:DI37)+DI29+DI30</f>
        <v>150467</v>
      </c>
      <c r="DJ38" s="72">
        <f t="shared" si="170"/>
        <v>14.329676007537543</v>
      </c>
      <c r="DK38" s="75">
        <f>SUM(DK32:DK37)+DK29+DK30</f>
        <v>151620</v>
      </c>
      <c r="DL38" s="72">
        <f t="shared" si="171"/>
        <v>9.0524619877152332</v>
      </c>
      <c r="DM38" s="75">
        <f>SUM(DM32:DM37)+DM29+DM30</f>
        <v>155890</v>
      </c>
      <c r="DN38" s="72">
        <f t="shared" si="172"/>
        <v>13.148248956632187</v>
      </c>
      <c r="DO38" s="75">
        <f>SUM(DO32:DO37)+DO29+DO30</f>
        <v>153172</v>
      </c>
      <c r="DP38" s="72">
        <f t="shared" si="172"/>
        <v>6.5937354294104864</v>
      </c>
      <c r="DQ38" s="75">
        <f>SUM(DQ32:DQ37)+DQ29+DQ30</f>
        <v>155083</v>
      </c>
      <c r="DR38" s="72">
        <f t="shared" si="172"/>
        <v>3.067782304425549</v>
      </c>
      <c r="DS38" s="75">
        <f>SUM(DS32:DS37)+DS29+DS30</f>
        <v>157552</v>
      </c>
      <c r="DT38" s="72">
        <f t="shared" si="172"/>
        <v>3.9124126104735524</v>
      </c>
      <c r="DU38" s="75">
        <f>SUM(DU32:DU37)+DU29+DU30</f>
        <v>155424</v>
      </c>
      <c r="DV38" s="72">
        <f t="shared" si="172"/>
        <v>-0.29892873179807111</v>
      </c>
      <c r="DW38" s="75">
        <f>SUM(DW32:DW37)+DW29+DW30</f>
        <v>146685</v>
      </c>
      <c r="DX38" s="72">
        <f t="shared" si="172"/>
        <v>-4.2351082443266392</v>
      </c>
      <c r="DY38" s="75">
        <f>SUM(DY32:DY37)+DY29+DY30</f>
        <v>149441</v>
      </c>
      <c r="DZ38" s="72">
        <f t="shared" si="172"/>
        <v>-3.6380518818954926</v>
      </c>
      <c r="EA38" s="75">
        <f>SUM(EA32:EA37)+EA29+EA30</f>
        <v>149246</v>
      </c>
      <c r="EB38" s="72">
        <f t="shared" si="173"/>
        <v>-5.2719102264649109</v>
      </c>
      <c r="EC38" s="75">
        <f>SUM(EC32:EC37)+EC29+EC30</f>
        <v>151188</v>
      </c>
      <c r="ED38" s="72">
        <f t="shared" si="174"/>
        <v>-2.7254478072884467</v>
      </c>
      <c r="EE38" s="75">
        <f>SUM(EE32:EE37)+EE29+EE30</f>
        <v>154903</v>
      </c>
      <c r="EF38" s="72">
        <f t="shared" si="175"/>
        <v>5.6024815079933177</v>
      </c>
      <c r="EG38" s="75">
        <f>SUM(EG32:EG37)+EG29+EG30</f>
        <v>153295</v>
      </c>
      <c r="EH38" s="72">
        <f t="shared" si="176"/>
        <v>2.5789441987138702</v>
      </c>
      <c r="EI38" s="75">
        <f>SUM(EI32:EI37)+EI29+EI30</f>
        <v>156830</v>
      </c>
      <c r="EJ38" s="72">
        <f t="shared" si="177"/>
        <v>5.0815432239389935</v>
      </c>
      <c r="EK38" s="75">
        <f>SUM(EK32:EK37)+EK29+EK30</f>
        <v>159202</v>
      </c>
      <c r="EL38" s="72">
        <f t="shared" si="178"/>
        <v>5.3006852395692761</v>
      </c>
      <c r="EM38" s="75">
        <f>SUM(EM32:EM37)+EM29+EM30</f>
        <v>162107</v>
      </c>
      <c r="EN38" s="72">
        <f t="shared" si="179"/>
        <v>4.6506523437247864</v>
      </c>
      <c r="EO38" s="75">
        <f>SUM(EO32:EO37)+EO29+EO30</f>
        <v>165153</v>
      </c>
      <c r="EP38" s="72">
        <f t="shared" si="180"/>
        <v>7.7354121138980361</v>
      </c>
      <c r="EQ38" s="75">
        <f t="shared" ref="EQ38" si="213">SUM(EQ32:EQ37)+EQ29+EQ30</f>
        <v>161273.66837276367</v>
      </c>
      <c r="ER38" s="72">
        <f t="shared" si="181"/>
        <v>2.833430066163146</v>
      </c>
      <c r="ES38" s="75">
        <f t="shared" ref="ES38" si="214">SUM(ES32:ES37)+ES29+ES30</f>
        <v>161169.54101638336</v>
      </c>
      <c r="ET38" s="72">
        <f t="shared" si="182"/>
        <v>1.235877072136887</v>
      </c>
      <c r="EU38" s="75">
        <f t="shared" ref="EU38" si="215">SUM(EU32:EU37)+EU29+EU30</f>
        <v>161100.1277123804</v>
      </c>
      <c r="EV38" s="72">
        <f t="shared" si="183"/>
        <v>-0.62111586027722865</v>
      </c>
      <c r="EW38" s="75">
        <f t="shared" ref="EW38" si="216">SUM(EW32:EW37)+EW29+EW30</f>
        <v>161065.71608951958</v>
      </c>
      <c r="EX38" s="72">
        <f t="shared" si="184"/>
        <v>-2.4748469058875173</v>
      </c>
      <c r="EY38" s="72"/>
      <c r="EZ38" s="306"/>
      <c r="FA38" s="72"/>
      <c r="FB38" s="75">
        <f>SUM(FB29:FB37)</f>
        <v>19919</v>
      </c>
      <c r="FC38" s="72"/>
      <c r="FD38" s="75">
        <f>SUM(FD29:FD37)</f>
        <v>22614</v>
      </c>
      <c r="FE38" s="72">
        <f t="shared" si="110"/>
        <v>13.529795672473526</v>
      </c>
      <c r="FF38" s="75">
        <f>SUM(FF29:FF37)</f>
        <v>21059</v>
      </c>
      <c r="FG38" s="72">
        <f t="shared" si="111"/>
        <v>-6.8762713363403236</v>
      </c>
      <c r="FH38" s="75">
        <f>SUM(FH29:FH37)</f>
        <v>18689</v>
      </c>
      <c r="FI38" s="72">
        <f t="shared" si="112"/>
        <v>-11.25409563607009</v>
      </c>
      <c r="FJ38" s="75">
        <f>SUM(FJ29:FJ37)</f>
        <v>15338</v>
      </c>
      <c r="FK38" s="72">
        <f t="shared" si="113"/>
        <v>-17.930333351169139</v>
      </c>
      <c r="FL38" s="75">
        <f>SUM(FL29:FL37)</f>
        <v>43949</v>
      </c>
      <c r="FM38" s="72" t="str">
        <f t="shared" si="114"/>
        <v>NM</v>
      </c>
      <c r="FN38" s="75">
        <f>SUM(FN29:FN37)</f>
        <v>47418</v>
      </c>
      <c r="FO38" s="72">
        <f t="shared" si="115"/>
        <v>7.8932398916926445</v>
      </c>
      <c r="FP38" s="75">
        <f>SUM(FP29:FP37)</f>
        <v>50778</v>
      </c>
      <c r="FQ38" s="72">
        <f t="shared" si="116"/>
        <v>7.0859167404782966</v>
      </c>
      <c r="FR38" s="75">
        <f>SUM(FR32:FR37)+FR29+FR30</f>
        <v>74555</v>
      </c>
      <c r="FS38" s="72">
        <f t="shared" si="117"/>
        <v>46.825396825396808</v>
      </c>
      <c r="FT38" s="75">
        <f>SUM(FT32:FT37)+FT29+FT30</f>
        <v>80330</v>
      </c>
      <c r="FU38" s="72">
        <f t="shared" si="118"/>
        <v>7.7459593588625779</v>
      </c>
      <c r="FV38" s="75">
        <f>SUM(FV32:FV37)+FV29+FV30</f>
        <v>60007</v>
      </c>
      <c r="FW38" s="72">
        <f t="shared" si="185"/>
        <v>-25.299390016183239</v>
      </c>
      <c r="FX38" s="75">
        <f>SUM(FX32:FX37)+FX29+FX30</f>
        <v>80519</v>
      </c>
      <c r="FY38" s="72">
        <f t="shared" si="185"/>
        <v>34.182678687486458</v>
      </c>
      <c r="FZ38" s="75">
        <f>SUM(FZ32:FZ37)+FZ29+FZ30</f>
        <v>102348</v>
      </c>
      <c r="GA38" s="72">
        <f t="shared" si="185"/>
        <v>27.110371465120025</v>
      </c>
      <c r="GB38" s="75">
        <f>SUM(GB32:GB37)+GB29+GB30</f>
        <v>109743</v>
      </c>
      <c r="GC38" s="72">
        <f t="shared" si="185"/>
        <v>7.2253488099425454</v>
      </c>
      <c r="GD38" s="75">
        <f>SUM(GD32:GD37)+GD29+GD30</f>
        <v>131608</v>
      </c>
      <c r="GE38" s="72">
        <f t="shared" si="185"/>
        <v>19.923822020538907</v>
      </c>
      <c r="GF38" s="75">
        <f>SUM(GF32:GF37)+GF29+GF30</f>
        <v>150467</v>
      </c>
      <c r="GG38" s="72">
        <f t="shared" si="185"/>
        <v>14.329676007537543</v>
      </c>
      <c r="GH38" s="75">
        <f>SUM(GH32:GH37)+GH29+GH30</f>
        <v>155083</v>
      </c>
      <c r="GI38" s="72">
        <f t="shared" si="119"/>
        <v>3.067782304425549</v>
      </c>
      <c r="GJ38" s="75">
        <f>SUM(GJ32:GJ37)+GJ29+GJ30</f>
        <v>149441</v>
      </c>
      <c r="GK38" s="72">
        <f t="shared" si="120"/>
        <v>-3.6380518818954926</v>
      </c>
      <c r="GL38" s="75">
        <f>SUM(GL32:GL37)+GL29+GL30</f>
        <v>153295</v>
      </c>
      <c r="GM38" s="72">
        <f t="shared" si="121"/>
        <v>2.5789441987138702</v>
      </c>
      <c r="GN38" s="75">
        <f>SUM(GN32:GN37)+GN29+GN30</f>
        <v>165153</v>
      </c>
      <c r="GO38" s="72">
        <f t="shared" si="122"/>
        <v>7.7354121138980361</v>
      </c>
      <c r="GP38" s="75">
        <f>SUM(GP32:GP37)+GP29+GP30</f>
        <v>161065.71608951961</v>
      </c>
      <c r="GQ38" s="72">
        <f t="shared" si="122"/>
        <v>-2.4748469058875031</v>
      </c>
      <c r="GR38" s="75">
        <f>SUM(GR32:GR37)+GR29+GR31</f>
        <v>161454.48436005326</v>
      </c>
      <c r="GS38" s="72">
        <f t="shared" si="122"/>
        <v>0.24137245341371738</v>
      </c>
      <c r="GT38" s="75">
        <f>SUM(GT32:GT37)+GT29+GT31</f>
        <v>162329.92760641861</v>
      </c>
      <c r="GU38" s="72">
        <f t="shared" si="123"/>
        <v>0.54222293659745446</v>
      </c>
      <c r="GV38" s="75">
        <f>SUM(GV32:GV37)+GV29+GV31</f>
        <v>163742.64773326155</v>
      </c>
      <c r="GW38" s="72">
        <f t="shared" si="135"/>
        <v>0.87027706330786714</v>
      </c>
      <c r="GX38" s="75">
        <f>SUM(GX32:GX37)+GX29+GX31</f>
        <v>165746.06680613459</v>
      </c>
      <c r="GY38" s="72">
        <f t="shared" si="136"/>
        <v>1.2235169643382164</v>
      </c>
      <c r="GZ38" s="72">
        <f t="shared" si="196"/>
        <v>7.1717347238942075E-2</v>
      </c>
      <c r="HA38" s="72"/>
      <c r="HB38" s="72"/>
      <c r="HC38"/>
      <c r="HD38"/>
      <c r="HE38"/>
      <c r="HF38"/>
      <c r="HG38"/>
      <c r="HH38"/>
      <c r="HI38" s="2"/>
    </row>
    <row r="39" spans="1:217" s="69" customFormat="1" ht="12.75" customHeight="1" x14ac:dyDescent="0.2">
      <c r="A39" s="3"/>
      <c r="B39" s="77" t="s">
        <v>297</v>
      </c>
      <c r="C39" s="75">
        <f>AVERAGE(C38,C29)</f>
        <v>22763.5</v>
      </c>
      <c r="D39" s="72"/>
      <c r="E39" s="75">
        <f>AVERAGE(E38,E29)</f>
        <v>22577</v>
      </c>
      <c r="F39" s="72"/>
      <c r="G39" s="75">
        <f>AVERAGE(G38,G29)</f>
        <v>22235</v>
      </c>
      <c r="H39" s="72"/>
      <c r="I39" s="75">
        <f>AVERAGE(I38,I29)</f>
        <v>21644</v>
      </c>
      <c r="J39" s="72"/>
      <c r="K39" s="75">
        <f>AVERAGE(K38,K29)</f>
        <v>20088.5</v>
      </c>
      <c r="L39" s="72">
        <f t="shared" si="88"/>
        <v>-11.751268478046001</v>
      </c>
      <c r="M39" s="75">
        <f>AVERAGE(M38,M29)</f>
        <v>19320.5</v>
      </c>
      <c r="N39" s="72">
        <f t="shared" si="89"/>
        <v>-14.423971298223861</v>
      </c>
      <c r="O39" s="75">
        <f>AVERAGE(O38,O29)</f>
        <v>18356.5</v>
      </c>
      <c r="P39" s="72">
        <f t="shared" si="90"/>
        <v>-17.443220148414667</v>
      </c>
      <c r="Q39" s="75">
        <f>AVERAGE(Q38,Q29)</f>
        <v>17939.5</v>
      </c>
      <c r="R39" s="72">
        <f t="shared" si="137"/>
        <v>-17.115597856218812</v>
      </c>
      <c r="S39" s="75">
        <f>AVERAGE(S38,S29)</f>
        <v>18562</v>
      </c>
      <c r="T39" s="72">
        <f t="shared" si="138"/>
        <v>-7.5988749782213745</v>
      </c>
      <c r="U39" s="75">
        <f>AVERAGE(U38,U29)</f>
        <v>17618.5</v>
      </c>
      <c r="V39" s="72">
        <f t="shared" si="139"/>
        <v>-8.8092958256773812</v>
      </c>
      <c r="W39" s="75">
        <f>AVERAGE(W38,W29)</f>
        <v>15881.5</v>
      </c>
      <c r="X39" s="72">
        <f t="shared" si="140"/>
        <v>-13.48296243837332</v>
      </c>
      <c r="Y39" s="75">
        <f>AVERAGE(Y38,Y29)</f>
        <v>15149.5</v>
      </c>
      <c r="Z39" s="72">
        <f t="shared" si="141"/>
        <v>-15.552272917305388</v>
      </c>
      <c r="AA39" s="75">
        <f>AVERAGE(AA38,AA29)</f>
        <v>15151.5</v>
      </c>
      <c r="AB39" s="72">
        <f t="shared" si="142"/>
        <v>-18.373558883740984</v>
      </c>
      <c r="AC39" s="75">
        <f>AVERAGE(AC38,AC29)</f>
        <v>27372.5</v>
      </c>
      <c r="AD39" s="72">
        <f t="shared" si="143"/>
        <v>55.36226125947158</v>
      </c>
      <c r="AE39" s="75">
        <f>AVERAGE(AE38,AE29)</f>
        <v>40297.5</v>
      </c>
      <c r="AF39" s="72" t="str">
        <f t="shared" si="144"/>
        <v>NM</v>
      </c>
      <c r="AG39" s="75">
        <f>AVERAGE(AG38,AG29)</f>
        <v>42382</v>
      </c>
      <c r="AH39" s="72" t="str">
        <f t="shared" si="145"/>
        <v>NM</v>
      </c>
      <c r="AI39" s="75">
        <f>AVERAGE(AI38,AI29)</f>
        <v>44403.5</v>
      </c>
      <c r="AJ39" s="72" t="str">
        <f t="shared" si="146"/>
        <v>NM</v>
      </c>
      <c r="AK39" s="75">
        <f>AVERAGE(AK38,AK29)</f>
        <v>44892.5</v>
      </c>
      <c r="AL39" s="72">
        <f t="shared" si="147"/>
        <v>64.005845282674215</v>
      </c>
      <c r="AM39" s="75">
        <f>AVERAGE(AM38,AM29)</f>
        <v>44700.5</v>
      </c>
      <c r="AN39" s="72">
        <f t="shared" si="148"/>
        <v>10.926236118865944</v>
      </c>
      <c r="AO39" s="75">
        <f>AVERAGE(AO38,AO29)</f>
        <v>45946</v>
      </c>
      <c r="AP39" s="72">
        <f t="shared" si="149"/>
        <v>8.409230333632209</v>
      </c>
      <c r="AQ39" s="75">
        <f>AVERAGE(AQ38,AQ29)</f>
        <v>46902</v>
      </c>
      <c r="AR39" s="72">
        <f t="shared" si="91"/>
        <v>5.6268086975125726</v>
      </c>
      <c r="AS39" s="75">
        <f>AVERAGE(AS38,AS29)</f>
        <v>46894</v>
      </c>
      <c r="AT39" s="72">
        <f t="shared" si="92"/>
        <v>4.4584284680069004</v>
      </c>
      <c r="AU39" s="75">
        <f>AVERAGE(AU38,AU29)</f>
        <v>48443</v>
      </c>
      <c r="AV39" s="72">
        <f t="shared" si="93"/>
        <v>8.3723895705864635</v>
      </c>
      <c r="AW39" s="75">
        <f>AVERAGE(AW38,AW29)</f>
        <v>50131</v>
      </c>
      <c r="AX39" s="72">
        <f t="shared" si="94"/>
        <v>9.1085186958603543</v>
      </c>
      <c r="AY39" s="75">
        <f>AVERAGE(AY38,AY29)</f>
        <v>51979.5</v>
      </c>
      <c r="AZ39" s="72">
        <f t="shared" si="95"/>
        <v>10.825764359728794</v>
      </c>
      <c r="BA39" s="75">
        <f>AVERAGE(BA38,BA29)</f>
        <v>60994</v>
      </c>
      <c r="BB39" s="72">
        <f t="shared" si="96"/>
        <v>30.067812513327937</v>
      </c>
      <c r="BC39" s="75">
        <f>AVERAGE(BC38,BC29)</f>
        <v>69681</v>
      </c>
      <c r="BD39" s="72">
        <f t="shared" si="97"/>
        <v>43.841215449084473</v>
      </c>
      <c r="BE39" s="75">
        <f>AVERAGE(BE38,BE29)</f>
        <v>72555</v>
      </c>
      <c r="BF39" s="72">
        <f t="shared" si="98"/>
        <v>44.730805290139841</v>
      </c>
      <c r="BG39" s="75">
        <f>AVERAGE(BG38,BG29)</f>
        <v>75073</v>
      </c>
      <c r="BH39" s="72">
        <f t="shared" si="99"/>
        <v>44.428091843900006</v>
      </c>
      <c r="BI39" s="75">
        <f>AVERAGE(BI38,BI29)</f>
        <v>77279.5</v>
      </c>
      <c r="BJ39" s="72">
        <f t="shared" si="150"/>
        <v>26.700167229563561</v>
      </c>
      <c r="BK39" s="75">
        <f>AVERAGE(BK38,BK29)</f>
        <v>80070.5</v>
      </c>
      <c r="BL39" s="72">
        <f t="shared" si="151"/>
        <v>14.91009026850935</v>
      </c>
      <c r="BM39" s="75">
        <f>AVERAGE(BM38,BM29)</f>
        <v>80751.5</v>
      </c>
      <c r="BN39" s="72">
        <f t="shared" si="100"/>
        <v>11.296947143546276</v>
      </c>
      <c r="BO39" s="75">
        <f>AVERAGE(BO38,BO29)</f>
        <v>77653.5</v>
      </c>
      <c r="BP39" s="72">
        <f t="shared" si="152"/>
        <v>3.4373210075526544</v>
      </c>
      <c r="BQ39" s="75">
        <f>AVERAGE(BQ38,BQ29)</f>
        <v>74842</v>
      </c>
      <c r="BR39" s="72">
        <f t="shared" si="153"/>
        <v>-3.1541353140224828</v>
      </c>
      <c r="BS39" s="75">
        <f>AVERAGE(BS38,BS29)</f>
        <v>71337.5</v>
      </c>
      <c r="BT39" s="72">
        <f t="shared" si="154"/>
        <v>-10.906638524800016</v>
      </c>
      <c r="BU39" s="75">
        <f>AVERAGE(BU38,BU29)</f>
        <v>63987.5</v>
      </c>
      <c r="BV39" s="72">
        <f t="shared" si="155"/>
        <v>-20.759985882615183</v>
      </c>
      <c r="BW39" s="75">
        <f>AVERAGE(BW38,BW29)</f>
        <v>58974.5</v>
      </c>
      <c r="BX39" s="72">
        <f t="shared" si="156"/>
        <v>-24.054292465890143</v>
      </c>
      <c r="BY39" s="75">
        <f>AVERAGE(BY38,BY29)</f>
        <v>61520.5</v>
      </c>
      <c r="BZ39" s="72">
        <f t="shared" si="157"/>
        <v>-17.799497608294814</v>
      </c>
      <c r="CA39" s="75">
        <f>AVERAGE(CA38,CA29)</f>
        <v>70355</v>
      </c>
      <c r="CB39" s="72">
        <f t="shared" si="158"/>
        <v>-1.3772560014017898</v>
      </c>
      <c r="CC39" s="75">
        <f>AVERAGE(CC38,CC29)</f>
        <v>78065</v>
      </c>
      <c r="CD39" s="72">
        <f t="shared" si="159"/>
        <v>22.000390701308859</v>
      </c>
      <c r="CE39" s="75">
        <f>AVERAGE(CE38,CE29)</f>
        <v>82949</v>
      </c>
      <c r="CF39" s="72">
        <f t="shared" si="160"/>
        <v>40.652315831418662</v>
      </c>
      <c r="CG39" s="75">
        <f>AVERAGE(CG38,CG29)</f>
        <v>84486</v>
      </c>
      <c r="CH39" s="72">
        <f t="shared" si="161"/>
        <v>37.329833145049207</v>
      </c>
      <c r="CI39" s="75">
        <f>AVERAGE(CI38,CI29)</f>
        <v>88484</v>
      </c>
      <c r="CJ39" s="72">
        <f t="shared" si="162"/>
        <v>25.767891407860134</v>
      </c>
      <c r="CK39" s="75">
        <f>AVERAGE(CK38,CK29)</f>
        <v>97861.5</v>
      </c>
      <c r="CL39" s="72">
        <f t="shared" si="162"/>
        <v>25.358995708704285</v>
      </c>
      <c r="CM39" s="75">
        <f>AVERAGE(CM38,CM29)</f>
        <v>106158.5</v>
      </c>
      <c r="CN39" s="72">
        <f t="shared" si="162"/>
        <v>27.980445816103867</v>
      </c>
      <c r="CO39" s="75">
        <f>AVERAGE(CO38,CO29)</f>
        <v>111085.5</v>
      </c>
      <c r="CP39" s="72">
        <f t="shared" si="162"/>
        <v>31.483914494709182</v>
      </c>
      <c r="CQ39" s="75">
        <f>AVERAGE(CQ38,CQ29)</f>
        <v>107540.5</v>
      </c>
      <c r="CR39" s="72">
        <f t="shared" si="162"/>
        <v>21.536661995388997</v>
      </c>
      <c r="CS39" s="75">
        <f>AVERAGE(CS38,CS29)</f>
        <v>106311</v>
      </c>
      <c r="CT39" s="72">
        <f t="shared" si="162"/>
        <v>8.6341411075857195</v>
      </c>
      <c r="CU39" s="75">
        <f>AVERAGE(CU38,CU29)</f>
        <v>115009.5</v>
      </c>
      <c r="CV39" s="72">
        <f t="shared" si="163"/>
        <v>8.3375330284433176</v>
      </c>
      <c r="CW39" s="75">
        <f>AVERAGE(CW38,CW29)</f>
        <v>120301</v>
      </c>
      <c r="CX39" s="72">
        <f t="shared" si="164"/>
        <v>8.2958621962362429</v>
      </c>
      <c r="CY39" s="75">
        <f>AVERAGE(CY38,CY29)</f>
        <v>124637.5</v>
      </c>
      <c r="CZ39" s="72">
        <f t="shared" si="165"/>
        <v>15.898196493414105</v>
      </c>
      <c r="DA39" s="75">
        <f>AVERAGE(DA38,DA29)</f>
        <v>130278.5</v>
      </c>
      <c r="DB39" s="72">
        <f t="shared" si="166"/>
        <v>22.54470374655493</v>
      </c>
      <c r="DC39" s="75">
        <f>AVERAGE(DC38,DC29)</f>
        <v>135321</v>
      </c>
      <c r="DD39" s="72">
        <f t="shared" si="167"/>
        <v>17.660714984414327</v>
      </c>
      <c r="DE39" s="75">
        <f>AVERAGE(DE38,DE29)</f>
        <v>138404.5</v>
      </c>
      <c r="DF39" s="72">
        <f t="shared" si="168"/>
        <v>15.048503337461867</v>
      </c>
      <c r="DG39" s="75">
        <f>AVERAGE(DG38,DG29)</f>
        <v>140736</v>
      </c>
      <c r="DH39" s="72">
        <f t="shared" si="169"/>
        <v>12.916257145722597</v>
      </c>
      <c r="DI39" s="75">
        <f>AVERAGE(DI38,DI29)</f>
        <v>147082</v>
      </c>
      <c r="DJ39" s="72">
        <f t="shared" si="170"/>
        <v>12.898137451690033</v>
      </c>
      <c r="DK39" s="75">
        <f>AVERAGE(DK38,DK29)</f>
        <v>151043.5</v>
      </c>
      <c r="DL39" s="72">
        <f t="shared" si="171"/>
        <v>11.618669681719766</v>
      </c>
      <c r="DM39" s="75">
        <f>AVERAGE(DM38,DM29)</f>
        <v>153755</v>
      </c>
      <c r="DN39" s="72">
        <f t="shared" si="172"/>
        <v>11.091041114992635</v>
      </c>
      <c r="DO39" s="75">
        <f>AVERAGE(DO38,DO29)</f>
        <v>154531</v>
      </c>
      <c r="DP39" s="72">
        <f t="shared" si="172"/>
        <v>9.8020407003183436</v>
      </c>
      <c r="DQ39" s="75">
        <f>AVERAGE(DQ38,DQ29)</f>
        <v>154127.5</v>
      </c>
      <c r="DR39" s="72">
        <f t="shared" si="172"/>
        <v>4.7901850668334589</v>
      </c>
      <c r="DS39" s="75">
        <f>AVERAGE(DS38,DS29)</f>
        <v>156317.5</v>
      </c>
      <c r="DT39" s="72">
        <f t="shared" si="172"/>
        <v>3.4917093420107506</v>
      </c>
      <c r="DU39" s="75">
        <f>AVERAGE(DU38,DU29)</f>
        <v>156488</v>
      </c>
      <c r="DV39" s="72">
        <f t="shared" si="172"/>
        <v>1.7775031706285915</v>
      </c>
      <c r="DW39" s="75">
        <f>AVERAGE(DW38,DW29)</f>
        <v>151054.5</v>
      </c>
      <c r="DX39" s="72">
        <f t="shared" si="172"/>
        <v>-2.2497104140916662</v>
      </c>
      <c r="DY39" s="75">
        <f>AVERAGE(DY38,DY29)</f>
        <v>148063</v>
      </c>
      <c r="DZ39" s="72">
        <f t="shared" si="172"/>
        <v>-3.9347293636761833</v>
      </c>
      <c r="EA39" s="75">
        <f>(0.95*EA29)+(0.5*(EA30+EA33+EA34+EA36))</f>
        <v>141489.44999999998</v>
      </c>
      <c r="EB39" s="72">
        <f t="shared" si="173"/>
        <v>-9.4858541110240537</v>
      </c>
      <c r="EC39" s="75">
        <f>AVERAGE(EC38,EC29)</f>
        <v>150217</v>
      </c>
      <c r="ED39" s="72">
        <f t="shared" si="174"/>
        <v>-4.0073360257655537</v>
      </c>
      <c r="EE39" s="75">
        <f>AVERAGE(EE38,EE29)</f>
        <v>153045.5</v>
      </c>
      <c r="EF39" s="72">
        <f t="shared" si="175"/>
        <v>1.3180673200732258</v>
      </c>
      <c r="EG39" s="75">
        <f>AVERAGE(EG38,EG29)</f>
        <v>154099</v>
      </c>
      <c r="EH39" s="72">
        <f t="shared" si="176"/>
        <v>4.0766430505933187</v>
      </c>
      <c r="EI39" s="75">
        <f>AVERAGE(EI38,EI29)</f>
        <v>155062.5</v>
      </c>
      <c r="EJ39" s="72">
        <f t="shared" si="177"/>
        <v>9.5929767201724303</v>
      </c>
      <c r="EK39" s="75">
        <f>AVERAGE(EK38,EK29)</f>
        <v>158016</v>
      </c>
      <c r="EL39" s="72">
        <f t="shared" si="178"/>
        <v>5.191822496787978</v>
      </c>
      <c r="EM39" s="75">
        <f>AVERAGE(EM38,EM29)</f>
        <v>160654.5</v>
      </c>
      <c r="EN39" s="72">
        <f t="shared" si="179"/>
        <v>4.9717240951220276</v>
      </c>
      <c r="EO39" s="75">
        <f>AVERAGE(EO38,EO29)</f>
        <v>163630</v>
      </c>
      <c r="EP39" s="72">
        <f t="shared" si="180"/>
        <v>6.1849849771899841</v>
      </c>
      <c r="EQ39" s="75">
        <f t="shared" ref="EQ39" si="217">AVERAGE(EQ38,EQ29)</f>
        <v>163213.33418638184</v>
      </c>
      <c r="ER39" s="72">
        <f t="shared" si="181"/>
        <v>5.256483151233752</v>
      </c>
      <c r="ES39" s="75">
        <f t="shared" ref="ES39" si="218">AVERAGE(ES38,ES29)</f>
        <v>161221.6046945735</v>
      </c>
      <c r="ET39" s="72">
        <f t="shared" si="182"/>
        <v>2.0286582969911251</v>
      </c>
      <c r="EU39" s="75">
        <f t="shared" ref="EU39" si="219">AVERAGE(EU38,EU29)</f>
        <v>161134.83436438188</v>
      </c>
      <c r="EV39" s="72">
        <f t="shared" si="183"/>
        <v>0.29898593838446175</v>
      </c>
      <c r="EW39" s="75">
        <f t="shared" ref="EW39" si="220">AVERAGE(EW38,EW29)</f>
        <v>161082.92190094999</v>
      </c>
      <c r="EX39" s="72">
        <f t="shared" si="184"/>
        <v>-1.556608261962964</v>
      </c>
      <c r="EY39" s="72"/>
      <c r="EZ39" s="309"/>
      <c r="FA39" s="72"/>
      <c r="FB39" s="75">
        <f>AVERAGE(FB38,FB29)</f>
        <v>18763.5</v>
      </c>
      <c r="FC39" s="72"/>
      <c r="FD39" s="75">
        <f>AVERAGE(FD38,FD29)</f>
        <v>21266.5</v>
      </c>
      <c r="FE39" s="72">
        <f t="shared" si="110"/>
        <v>13.339728728648709</v>
      </c>
      <c r="FF39" s="75">
        <f>AVERAGE(FF38,FF29)</f>
        <v>21836.5</v>
      </c>
      <c r="FG39" s="72">
        <f t="shared" si="111"/>
        <v>2.6802717889638643</v>
      </c>
      <c r="FH39" s="75">
        <f>AVERAGE(FH38,FH29)</f>
        <v>19874</v>
      </c>
      <c r="FI39" s="72">
        <f t="shared" si="112"/>
        <v>-8.9872461246078785</v>
      </c>
      <c r="FJ39" s="75">
        <f>AVERAGE(FJ38,FJ29)</f>
        <v>17013.5</v>
      </c>
      <c r="FK39" s="72">
        <f t="shared" si="113"/>
        <v>-14.393177015195732</v>
      </c>
      <c r="FL39" s="75">
        <f>AVERAGE(FL38,FL29)</f>
        <v>29643.5</v>
      </c>
      <c r="FM39" s="72">
        <f t="shared" si="114"/>
        <v>74.235166191553759</v>
      </c>
      <c r="FN39" s="75">
        <f>AVERAGE(FN38,FN29)</f>
        <v>45683.5</v>
      </c>
      <c r="FO39" s="72">
        <f t="shared" si="115"/>
        <v>54.109669910773022</v>
      </c>
      <c r="FP39" s="75">
        <f>AVERAGE(FP38,FP29)</f>
        <v>49098</v>
      </c>
      <c r="FQ39" s="72">
        <f t="shared" si="116"/>
        <v>7.474252191710363</v>
      </c>
      <c r="FR39" s="75">
        <f>AVERAGE(FR38,FR29)</f>
        <v>62666.5</v>
      </c>
      <c r="FS39" s="72">
        <f t="shared" si="117"/>
        <v>27.635545236058491</v>
      </c>
      <c r="FT39" s="75">
        <f>AVERAGE(FT38,FT29)</f>
        <v>77442.5</v>
      </c>
      <c r="FU39" s="72">
        <f t="shared" si="118"/>
        <v>23.578786113792845</v>
      </c>
      <c r="FV39" s="75">
        <f>AVERAGE(BU39,BS39,BQ39,BO39)</f>
        <v>71955.125</v>
      </c>
      <c r="FW39" s="72">
        <f t="shared" si="185"/>
        <v>-7.0857410336701463</v>
      </c>
      <c r="FX39" s="75">
        <f>AVERAGE(CC39,CA39,BY39,BW39)</f>
        <v>67228.75</v>
      </c>
      <c r="FY39" s="72">
        <f t="shared" si="185"/>
        <v>-6.5685036333409101</v>
      </c>
      <c r="FZ39" s="75">
        <f>AVERAGE(CK39,CI39,CG39,CE39)</f>
        <v>88445.125</v>
      </c>
      <c r="GA39" s="72">
        <f t="shared" si="185"/>
        <v>31.558485023148563</v>
      </c>
      <c r="GB39" s="75">
        <f>AVERAGE(CS39,CQ39,CO39,CM39)</f>
        <v>107773.875</v>
      </c>
      <c r="GC39" s="72">
        <f t="shared" si="185"/>
        <v>21.853946161532349</v>
      </c>
      <c r="GD39" s="75">
        <f>AVERAGE(DA39,CY39,CW39,CU39)</f>
        <v>122556.625</v>
      </c>
      <c r="GE39" s="72">
        <f t="shared" si="185"/>
        <v>13.71645029929563</v>
      </c>
      <c r="GF39" s="75">
        <f>AVERAGE(DI39,DG39,DE39,DC39)</f>
        <v>140385.875</v>
      </c>
      <c r="GG39" s="72">
        <f t="shared" si="185"/>
        <v>14.547765165693832</v>
      </c>
      <c r="GH39" s="75">
        <f>AVERAGE(DQ39,DO39,DM39,DK39)</f>
        <v>153364.25</v>
      </c>
      <c r="GI39" s="72">
        <f t="shared" si="119"/>
        <v>9.2447869132133036</v>
      </c>
      <c r="GJ39" s="75">
        <f>AVERAGE(DY39,DW39,DU39,DS39)</f>
        <v>152980.75</v>
      </c>
      <c r="GK39" s="72">
        <f t="shared" si="120"/>
        <v>-0.25005827629320265</v>
      </c>
      <c r="GL39" s="75">
        <f>AVERAGE(EG39,EE39,EC39,EA39)</f>
        <v>149712.73749999999</v>
      </c>
      <c r="GM39" s="72">
        <f t="shared" si="121"/>
        <v>-2.1362246557164895</v>
      </c>
      <c r="GN39" s="75">
        <f>AVERAGE(EO39,EM39,EK39,EI39)</f>
        <v>159340.75</v>
      </c>
      <c r="GO39" s="72">
        <f t="shared" si="122"/>
        <v>6.4309908834577385</v>
      </c>
      <c r="GP39" s="75">
        <f>AVERAGE(EW39,EU39,ES39,EQ39)</f>
        <v>161663.1737865718</v>
      </c>
      <c r="GQ39" s="72">
        <f t="shared" si="122"/>
        <v>1.4575203057421362</v>
      </c>
      <c r="GR39" s="75">
        <f>AVERAGE(GR38,GR29)</f>
        <v>161260.10022478644</v>
      </c>
      <c r="GS39" s="72">
        <f t="shared" si="122"/>
        <v>-0.24932923951963915</v>
      </c>
      <c r="GT39" s="75">
        <f>AVERAGE(GT38,GT29)</f>
        <v>161892.20598323594</v>
      </c>
      <c r="GU39" s="72">
        <f t="shared" si="123"/>
        <v>0.39197901872091734</v>
      </c>
      <c r="GV39" s="75">
        <f>AVERAGE(GV38,GV29)</f>
        <v>163036.28766984009</v>
      </c>
      <c r="GW39" s="72">
        <f t="shared" si="135"/>
        <v>0.70669349376994717</v>
      </c>
      <c r="GX39" s="75">
        <f>AVERAGE(GX38,GX29)</f>
        <v>164744.35726969806</v>
      </c>
      <c r="GY39" s="72">
        <f t="shared" si="136"/>
        <v>1.0476622255512353</v>
      </c>
      <c r="GZ39" s="72">
        <f t="shared" si="196"/>
        <v>0.66922802337805454</v>
      </c>
      <c r="HA39" s="72"/>
      <c r="HB39" s="72"/>
      <c r="HC39"/>
      <c r="HD39"/>
      <c r="HE39"/>
      <c r="HF39"/>
      <c r="HG39"/>
      <c r="HH39"/>
      <c r="HI39" s="2"/>
    </row>
    <row r="40" spans="1:217" s="78" customFormat="1" ht="12.75" customHeight="1" x14ac:dyDescent="0.2">
      <c r="C40" s="79"/>
      <c r="D40" s="80"/>
      <c r="E40" s="79"/>
      <c r="F40" s="80"/>
      <c r="G40" s="79"/>
      <c r="H40" s="80"/>
      <c r="I40" s="79"/>
      <c r="J40" s="72"/>
      <c r="K40" s="79"/>
      <c r="L40" s="72"/>
      <c r="M40" s="79"/>
      <c r="N40" s="72"/>
      <c r="O40" s="79"/>
      <c r="P40" s="72"/>
      <c r="Q40" s="79"/>
      <c r="R40" s="72"/>
      <c r="S40" s="79"/>
      <c r="T40" s="72"/>
      <c r="U40" s="79"/>
      <c r="V40" s="72"/>
      <c r="W40" s="79"/>
      <c r="X40" s="72"/>
      <c r="Y40" s="79"/>
      <c r="Z40" s="72"/>
      <c r="AA40" s="79"/>
      <c r="AB40" s="72"/>
      <c r="AC40" s="79"/>
      <c r="AD40" s="72"/>
      <c r="AE40" s="79"/>
      <c r="AF40" s="72"/>
      <c r="AG40" s="79"/>
      <c r="AH40" s="72"/>
      <c r="AI40" s="79"/>
      <c r="AJ40" s="72"/>
      <c r="AK40" s="79"/>
      <c r="AL40" s="72"/>
      <c r="AM40" s="79"/>
      <c r="AN40" s="72"/>
      <c r="AO40" s="79"/>
      <c r="AP40" s="72"/>
      <c r="AQ40" s="79"/>
      <c r="AR40" s="72"/>
      <c r="AS40" s="79"/>
      <c r="AT40" s="72"/>
      <c r="AU40" s="79"/>
      <c r="AV40" s="72"/>
      <c r="AW40" s="79"/>
      <c r="AX40" s="72"/>
      <c r="AY40" s="79"/>
      <c r="AZ40" s="72"/>
      <c r="BA40" s="79"/>
      <c r="BB40" s="72"/>
      <c r="BC40" s="79"/>
      <c r="BD40" s="72"/>
      <c r="BE40" s="79"/>
      <c r="BF40" s="72"/>
      <c r="BG40" s="79"/>
      <c r="BH40" s="72"/>
      <c r="BI40" s="79"/>
      <c r="BJ40" s="72"/>
      <c r="BK40" s="79"/>
      <c r="BL40" s="72"/>
      <c r="BM40" s="79"/>
      <c r="BN40" s="72"/>
      <c r="BO40" s="79"/>
      <c r="BP40" s="72"/>
      <c r="BQ40" s="79"/>
      <c r="BR40" s="72"/>
      <c r="BS40" s="79"/>
      <c r="BT40" s="72"/>
      <c r="BU40" s="79"/>
      <c r="BV40" s="72"/>
      <c r="BW40" s="79"/>
      <c r="BX40" s="72"/>
      <c r="BY40" s="79"/>
      <c r="BZ40" s="72"/>
      <c r="CA40" s="79"/>
      <c r="CB40" s="72"/>
      <c r="CC40" s="79"/>
      <c r="CD40" s="72"/>
      <c r="CE40" s="79"/>
      <c r="CF40" s="72"/>
      <c r="CG40" s="79"/>
      <c r="CH40" s="72"/>
      <c r="CI40" s="79"/>
      <c r="CJ40" s="72"/>
      <c r="CK40" s="79"/>
      <c r="CL40" s="72"/>
      <c r="CM40" s="79"/>
      <c r="CN40" s="72"/>
      <c r="CO40" s="79"/>
      <c r="CP40" s="72"/>
      <c r="CQ40" s="79"/>
      <c r="CR40" s="72"/>
      <c r="CS40" s="79"/>
      <c r="CT40" s="72"/>
      <c r="CU40" s="79"/>
      <c r="CV40" s="72"/>
      <c r="CW40" s="79"/>
      <c r="CX40" s="72"/>
      <c r="CY40" s="79"/>
      <c r="CZ40" s="72"/>
      <c r="DA40" s="79"/>
      <c r="DB40" s="72"/>
      <c r="DC40" s="79"/>
      <c r="DD40" s="72"/>
      <c r="DE40" s="79"/>
      <c r="DF40" s="72"/>
      <c r="DG40" s="79"/>
      <c r="DH40" s="72"/>
      <c r="DI40" s="79"/>
      <c r="DJ40" s="72"/>
      <c r="DK40" s="79"/>
      <c r="DL40" s="72"/>
      <c r="DM40" s="79"/>
      <c r="DN40" s="72"/>
      <c r="DO40" s="79"/>
      <c r="DP40" s="72"/>
      <c r="DQ40" s="79"/>
      <c r="DR40" s="72"/>
      <c r="DS40" s="79"/>
      <c r="DT40" s="72"/>
      <c r="DU40" s="79"/>
      <c r="DV40" s="72"/>
      <c r="DW40" s="79"/>
      <c r="DX40" s="72"/>
      <c r="DY40" s="79"/>
      <c r="DZ40" s="72"/>
      <c r="EA40" s="79"/>
      <c r="EB40" s="72"/>
      <c r="EC40" s="79"/>
      <c r="ED40" s="72"/>
      <c r="EE40" s="79"/>
      <c r="EF40" s="72"/>
      <c r="EG40" s="79"/>
      <c r="EH40" s="72"/>
      <c r="EI40" s="79"/>
      <c r="EJ40" s="72"/>
      <c r="EK40" s="79"/>
      <c r="EL40" s="72"/>
      <c r="EM40" s="79"/>
      <c r="EN40" s="72"/>
      <c r="EO40" s="79"/>
      <c r="EP40" s="72"/>
      <c r="EQ40" s="79"/>
      <c r="ER40" s="72"/>
      <c r="ES40" s="79"/>
      <c r="ET40" s="72"/>
      <c r="EU40" s="79"/>
      <c r="EV40" s="72"/>
      <c r="EW40" s="79"/>
      <c r="EX40" s="72"/>
      <c r="EY40" s="72"/>
      <c r="EZ40" s="310"/>
      <c r="FA40" s="72"/>
      <c r="FB40" s="79"/>
      <c r="FC40" s="80"/>
      <c r="FD40" s="79"/>
      <c r="FE40" s="72"/>
      <c r="FF40" s="79"/>
      <c r="FG40" s="72"/>
      <c r="FH40" s="79"/>
      <c r="FI40" s="72"/>
      <c r="FJ40" s="79"/>
      <c r="FK40" s="72"/>
      <c r="FL40" s="79"/>
      <c r="FM40" s="72"/>
      <c r="FN40" s="79"/>
      <c r="FO40" s="72"/>
      <c r="FP40" s="79"/>
      <c r="FQ40" s="72"/>
      <c r="FR40" s="79"/>
      <c r="FS40" s="72"/>
      <c r="FT40" s="79"/>
      <c r="FU40" s="72"/>
      <c r="FV40" s="79"/>
      <c r="FW40" s="72"/>
      <c r="FX40" s="79"/>
      <c r="FY40" s="72"/>
      <c r="FZ40" s="79"/>
      <c r="GA40" s="72"/>
      <c r="GB40" s="79"/>
      <c r="GC40" s="72"/>
      <c r="GD40" s="79"/>
      <c r="GE40" s="72"/>
      <c r="GF40" s="79"/>
      <c r="GG40" s="72"/>
      <c r="GH40" s="79"/>
      <c r="GI40" s="72"/>
      <c r="GJ40" s="79"/>
      <c r="GK40" s="72"/>
      <c r="GL40" s="79"/>
      <c r="GM40" s="72"/>
      <c r="GN40" s="79"/>
      <c r="GO40" s="72"/>
      <c r="GP40" s="79"/>
      <c r="GQ40" s="72"/>
      <c r="GR40" s="79"/>
      <c r="GS40" s="72"/>
      <c r="GT40" s="79"/>
      <c r="GU40" s="72"/>
      <c r="GV40" s="79"/>
      <c r="GW40" s="72"/>
      <c r="GX40" s="79"/>
      <c r="GY40" s="72"/>
      <c r="GZ40" s="72"/>
      <c r="HA40" s="72"/>
      <c r="HB40" s="72"/>
      <c r="HC40"/>
      <c r="HD40"/>
      <c r="HE40"/>
      <c r="HF40"/>
      <c r="HG40"/>
      <c r="HH40"/>
      <c r="HI40" s="2"/>
    </row>
    <row r="41" spans="1:217" s="3" customFormat="1" ht="12.75" customHeight="1" x14ac:dyDescent="0.2">
      <c r="A41" s="3" t="s">
        <v>417</v>
      </c>
      <c r="B41" s="77" t="s">
        <v>328</v>
      </c>
      <c r="C41" s="75">
        <f>C30+C32+C33</f>
        <v>-192</v>
      </c>
      <c r="D41" s="72"/>
      <c r="E41" s="75">
        <f>E30+E32+E33</f>
        <v>-81</v>
      </c>
      <c r="F41" s="72"/>
      <c r="G41" s="75">
        <f>G30+G32+G33</f>
        <v>-214</v>
      </c>
      <c r="H41" s="72"/>
      <c r="I41" s="75">
        <f>I30+I32+I33</f>
        <v>-212</v>
      </c>
      <c r="J41" s="72"/>
      <c r="K41" s="75">
        <f>K30+K32+K33</f>
        <v>-326</v>
      </c>
      <c r="L41" s="72">
        <f>IF(ISERROR(K41/C41),"NA",IF(OR(K41/C41&gt;2,K41/C41&lt;0.5),"NM",K41/C41*100-100))</f>
        <v>69.791666666666686</v>
      </c>
      <c r="M41" s="75">
        <f>M30+M32+M33</f>
        <v>-263</v>
      </c>
      <c r="N41" s="72" t="str">
        <f>IF(ISERROR(M41/E41),"NA",IF(OR(M41/E41&gt;2,M41/E41&lt;0.5),"NM",M41/E41*100-100))</f>
        <v>NM</v>
      </c>
      <c r="O41" s="75">
        <f>O30+O32+O33</f>
        <v>-278</v>
      </c>
      <c r="P41" s="72">
        <f>IF(ISERROR(O41/G41),"NA",IF(OR(O41/G41&gt;2,O41/G41&lt;0.5),"NM",O41/G41*100-100))</f>
        <v>29.906542056074784</v>
      </c>
      <c r="Q41" s="75">
        <f>Q30+Q32+Q33</f>
        <v>-218</v>
      </c>
      <c r="R41" s="72">
        <f>IF(ISERROR(Q41/I41),"NA",IF(OR(Q41/I41&gt;2,Q41/I41&lt;0.5),"NM",Q41/I41*100-100))</f>
        <v>2.8301886792452962</v>
      </c>
      <c r="S41" s="75">
        <f>S30+S32+S33</f>
        <v>-160</v>
      </c>
      <c r="T41" s="72" t="str">
        <f>IF(ISERROR(S41/K41),"NA",IF(OR(S41/K41&gt;2,S41/K41&lt;0.5),"NM",S41/K41*100-100))</f>
        <v>NM</v>
      </c>
      <c r="U41" s="75">
        <f>U30+U32+U33</f>
        <v>-157</v>
      </c>
      <c r="V41" s="72">
        <f>IF(ISERROR(U41/M41),"NA",IF(OR(U41/M41&gt;2,U41/M41&lt;0.5),"NM",U41/M41*100-100))</f>
        <v>-40.304182509505701</v>
      </c>
      <c r="W41" s="75">
        <f>W30+W32+W33</f>
        <v>-148</v>
      </c>
      <c r="X41" s="72">
        <f>IF(ISERROR(W41/O41),"NA",IF(OR(W41/O41&gt;2,W41/O41&lt;0.5),"NM",W41/O41*100-100))</f>
        <v>-46.762589928057551</v>
      </c>
      <c r="Y41" s="75">
        <f>Y30+Y32+Y33</f>
        <v>-171</v>
      </c>
      <c r="Z41" s="72">
        <f>IF(ISERROR(Y41/Q41),"NA",IF(OR(Y41/Q41&gt;2,Y41/Q41&lt;0.5),"NM",Y41/Q41*100-100))</f>
        <v>-21.559633027522935</v>
      </c>
      <c r="AA41" s="75">
        <f>AA30+AA32+AA33</f>
        <v>-87</v>
      </c>
      <c r="AB41" s="72">
        <f>IF(ISERROR(AA41/S41),"NA",IF(OR(AA41/S41&gt;2,AA41/S41&lt;0.5),"NM",AA41/S41*100-100))</f>
        <v>-45.625000000000007</v>
      </c>
      <c r="AC41" s="75">
        <f>AC30+AC32+AC33</f>
        <v>146</v>
      </c>
      <c r="AD41" s="72" t="str">
        <f>IF(ISERROR(AC41/U41),"NA",IF(OR(AC41/U41&gt;2,AC41/U41&lt;0.5),"NM",AC41/U41*100-100))</f>
        <v>NM</v>
      </c>
      <c r="AE41" s="75">
        <f>AE30+AE32+AE33</f>
        <v>310</v>
      </c>
      <c r="AF41" s="72" t="str">
        <f>IF(ISERROR(AE41/W41),"NA",IF(OR(AE41/W41&gt;2,AE41/W41&lt;0.5),"NM",AE41/W41*100-100))</f>
        <v>NM</v>
      </c>
      <c r="AG41" s="75">
        <f>AG30+AG32+AG33</f>
        <v>333</v>
      </c>
      <c r="AH41" s="72" t="str">
        <f>IF(ISERROR(AG41/Y41),"NA",IF(OR(AG41/Y41&gt;2,AG41/Y41&lt;0.5),"NM",AG41/Y41*100-100))</f>
        <v>NM</v>
      </c>
      <c r="AI41" s="75">
        <f>AI30+AI32+AI33</f>
        <v>371</v>
      </c>
      <c r="AJ41" s="72" t="str">
        <f>IF(ISERROR(AI41/AA41),"NA",IF(OR(AI41/AA41&gt;2,AI41/AA41&lt;0.5),"NM",AI41/AA41*100-100))</f>
        <v>NM</v>
      </c>
      <c r="AK41" s="75">
        <f>AK30+AK32+AK33</f>
        <v>273</v>
      </c>
      <c r="AL41" s="72">
        <f>IF(ISERROR(AK41/AC41),"NA",IF(OR(AK41/AC41&gt;2,AK41/AC41&lt;0.5),"NM",AK41/AC41*100-100))</f>
        <v>86.986301369863014</v>
      </c>
      <c r="AM41" s="75">
        <f>AM30+AM32+AM33</f>
        <v>-7</v>
      </c>
      <c r="AN41" s="72" t="str">
        <f>IF(ISERROR(AM41/AE41),"NA",IF(OR(AM41/AE41&gt;2,AM41/AE41&lt;0.5),"NM",AM41/AE41*100-100))</f>
        <v>NM</v>
      </c>
      <c r="AO41" s="75">
        <f>AO30+AO32+AO33</f>
        <v>-55</v>
      </c>
      <c r="AP41" s="72" t="str">
        <f>IF(ISERROR(AO41/AG41),"NA",IF(OR(AO41/AG41&gt;2,AO41/AG41&lt;0.5),"NM",AO41/AG41*100-100))</f>
        <v>NM</v>
      </c>
      <c r="AQ41" s="75">
        <f>AQ30+AQ32+AQ33</f>
        <v>45</v>
      </c>
      <c r="AR41" s="72" t="str">
        <f>IF(ISERROR(AQ41/AI41),"NA",IF(OR(AQ41/AI41&gt;2,AQ41/AI41&lt;0.5),"NM",AQ41/AI41*100-100))</f>
        <v>NM</v>
      </c>
      <c r="AS41" s="75">
        <f>AS30+AS32+AS33</f>
        <v>309</v>
      </c>
      <c r="AT41" s="72">
        <f>IF(ISERROR(AS41/AK41),"NA",IF(OR(AS41/AK41&gt;2,AS41/AK41&lt;0.5),"NM",AS41/AK41*100-100))</f>
        <v>13.186813186813183</v>
      </c>
      <c r="AU41" s="75">
        <f>AU30+AU32+AU33</f>
        <v>533</v>
      </c>
      <c r="AV41" s="72" t="str">
        <f>IF(ISERROR(AU41/AM41),"NA",IF(OR(AU41/AM41&gt;2,AU41/AM41&lt;0.5),"NM",AU41/AM41*100-100))</f>
        <v>NM</v>
      </c>
      <c r="AW41" s="75">
        <f>AW30+AW32+AW33</f>
        <v>528</v>
      </c>
      <c r="AX41" s="72" t="str">
        <f>IF(ISERROR(AW41/AO41),"NA",IF(OR(AW41/AO41&gt;2,AW41/AO41&lt;0.5),"NM",AW41/AO41*100-100))</f>
        <v>NM</v>
      </c>
      <c r="AY41" s="75">
        <f>AY30+AY32+AY33</f>
        <v>544</v>
      </c>
      <c r="AZ41" s="72" t="str">
        <f>IF(ISERROR(AY41/AQ41),"NA",IF(OR(AY41/AQ41&gt;2,AY41/AQ41&lt;0.5),"NM",AY41/AQ41*100-100))</f>
        <v>NM</v>
      </c>
      <c r="BA41" s="75">
        <f>BA30+BA32+BA33</f>
        <v>743</v>
      </c>
      <c r="BB41" s="72" t="str">
        <f>IF(ISERROR(BA41/AS41),"NA",IF(OR(BA41/AS41&gt;2,BA41/AS41&lt;0.5),"NM",BA41/AS41*100-100))</f>
        <v>NM</v>
      </c>
      <c r="BC41" s="75">
        <f>BC30+BC32+BC33</f>
        <v>239</v>
      </c>
      <c r="BD41" s="72" t="str">
        <f>IF(ISERROR(BC41/AU41),"NA",IF(OR(BC41/AU41&gt;2,BC41/AU41&lt;0.5),"NM",BC41/AU41*100-100))</f>
        <v>NM</v>
      </c>
      <c r="BE41" s="75">
        <f>BE30+BE32+BE33</f>
        <v>345</v>
      </c>
      <c r="BF41" s="72">
        <f>IF(ISERROR(BE41/AW41),"NA",IF(OR(BE41/AW41&gt;2,BE41/AW41&lt;0.5),"NM",BE41/AW41*100-100))</f>
        <v>-34.659090909090907</v>
      </c>
      <c r="BG41" s="75">
        <f>BG30+BG32+BG33</f>
        <v>469</v>
      </c>
      <c r="BH41" s="72">
        <f>IF(ISERROR(BG41/AY41),"NA",IF(OR(BG41/AY41&gt;2,BG41/AY41&lt;0.5),"NM",BG41/AY41*100-100))</f>
        <v>-13.786764705882348</v>
      </c>
      <c r="BI41" s="75">
        <f>BI30+BI32+BI33</f>
        <v>518</v>
      </c>
      <c r="BJ41" s="72">
        <f>IF(ISERROR(BI41/BA41),"NA",IF(OR(BI41/BA41&gt;2,BI41/BA41&lt;0.5),"NM",BI41/BA41*100-100))</f>
        <v>-30.282637954239561</v>
      </c>
      <c r="BK41" s="75">
        <f>BK30+BK32+BK33</f>
        <v>497</v>
      </c>
      <c r="BL41" s="72" t="str">
        <f>IF(ISERROR(BK41/BC41),"NA",IF(OR(BK41/BC41&gt;2,BK41/BC41&lt;0.5),"NM",BK41/BC41*100-100))</f>
        <v>NM</v>
      </c>
      <c r="BM41" s="75">
        <f>BM30+BM32+BM33</f>
        <v>626</v>
      </c>
      <c r="BN41" s="72">
        <f>IF(ISERROR(BM41/BE41),"NA",IF(OR(BM41/BE41&gt;2,BM41/BE41&lt;0.5),"NM",BM41/BE41*100-100))</f>
        <v>81.449275362318843</v>
      </c>
      <c r="BO41" s="75">
        <f>BO30+BO32+BO33</f>
        <v>656</v>
      </c>
      <c r="BP41" s="72">
        <f>IF(ISERROR(BO41/BG41),"NA",IF(OR(BO41/BG41&gt;2,BO41/BG41&lt;0.5),"NM",BO41/BG41*100-100))</f>
        <v>39.872068230277193</v>
      </c>
      <c r="BQ41" s="75">
        <f>BQ30+BQ32+BQ33</f>
        <v>555</v>
      </c>
      <c r="BR41" s="72">
        <f>IF(ISERROR(BQ41/BI41),"NA",IF(OR(BQ41/BI41&gt;2,BQ41/BI41&lt;0.5),"NM",BQ41/BI41*100-100))</f>
        <v>7.1428571428571388</v>
      </c>
      <c r="BS41" s="75">
        <f>BS30+BS32+BS33</f>
        <v>519</v>
      </c>
      <c r="BT41" s="72">
        <f>IF(ISERROR(BS41/BK41),"NA",IF(OR(BS41/BK41&gt;2,BS41/BK41&lt;0.5),"NM",BS41/BK41*100-100))</f>
        <v>4.4265593561368348</v>
      </c>
      <c r="BU41" s="75">
        <f>BU30+BU32+BU33</f>
        <v>478</v>
      </c>
      <c r="BV41" s="72">
        <f>IF(ISERROR(BU41/BM41),"NA",IF(OR(BU41/BM41&gt;2,BU41/BM41&lt;0.5),"NM",BU41/BM41*100-100))</f>
        <v>-23.642172523961662</v>
      </c>
      <c r="BW41" s="75">
        <f>BW30+BW32+BW33</f>
        <v>665</v>
      </c>
      <c r="BX41" s="72">
        <f>IF(ISERROR(BW41/BO41),"NA",IF(OR(BW41/BO41&gt;2,BW41/BO41&lt;0.5),"NM",BW41/BO41*100-100))</f>
        <v>1.3719512195121979</v>
      </c>
      <c r="BY41" s="75">
        <f>BY30+BY32+BY33</f>
        <v>2063</v>
      </c>
      <c r="BZ41" s="72" t="str">
        <f>IF(ISERROR(BY41/BQ41),"NA",IF(OR(BY41/BQ41&gt;2,BY41/BQ41&lt;0.5),"NM",BY41/BQ41*100-100))</f>
        <v>NM</v>
      </c>
      <c r="CA41" s="75">
        <f>CA30+CA32+CA33</f>
        <v>4385</v>
      </c>
      <c r="CB41" s="72" t="str">
        <f>IF(ISERROR(CA41/BS41),"NA",IF(OR(CA41/BS41&gt;2,CA41/BS41&lt;0.5),"NM",CA41/BS41*100-100))</f>
        <v>NM</v>
      </c>
      <c r="CC41" s="75">
        <f>CC30+CC32+CC33</f>
        <v>3228</v>
      </c>
      <c r="CD41" s="72" t="str">
        <f>IF(ISERROR(CC41/BU41),"NA",IF(OR(CC41/BU41&gt;2,CC41/BU41&lt;0.5),"NM",CC41/BU41*100-100))</f>
        <v>NM</v>
      </c>
      <c r="CE41" s="75">
        <f>CE30+CE32+CE33</f>
        <v>3197</v>
      </c>
      <c r="CF41" s="72" t="str">
        <f>IF(ISERROR(CE41/BW41),"NA",IF(OR(CE41/BW41&gt;2,CE41/BW41&lt;0.5),"NM",CE41/BW41*100-100))</f>
        <v>NM</v>
      </c>
      <c r="CG41" s="75">
        <f>CG30+CG32+CG33</f>
        <v>3594</v>
      </c>
      <c r="CH41" s="72">
        <f>IF(ISERROR(CG41/BY41),"NA",IF(OR(CG41/BY41&gt;2,CG41/BY41&lt;0.5),"NM",CG41/BY41*100-100))</f>
        <v>74.212312166747466</v>
      </c>
      <c r="CI41" s="75">
        <f>CI30+CI32+CI33</f>
        <v>3708</v>
      </c>
      <c r="CJ41" s="72">
        <f>IF(ISERROR(CI41/CA41),"NA",IF(OR(CI41/CA41&gt;2,CI41/CA41&lt;0.5),"NM",CI41/CA41*100-100))</f>
        <v>-15.43899657924743</v>
      </c>
      <c r="CK41" s="75">
        <f>CK30+CK32+CK33</f>
        <v>4229</v>
      </c>
      <c r="CL41" s="72">
        <f>IF(ISERROR(CK41/CC41),"NA",IF(OR(CK41/CC41&gt;2,CK41/CC41&lt;0.5),"NM",CK41/CC41*100-100))</f>
        <v>31.009913258983914</v>
      </c>
      <c r="CM41" s="75">
        <f>CM30+CM32+CM33</f>
        <v>4848</v>
      </c>
      <c r="CN41" s="72">
        <f>IF(ISERROR(CM41/CE41),"NA",IF(OR(CM41/CE41&gt;2,CM41/CE41&lt;0.5),"NM",CM41/CE41*100-100))</f>
        <v>51.642164529246173</v>
      </c>
      <c r="CO41" s="75">
        <f>CO30+CO32+CO33</f>
        <v>2598</v>
      </c>
      <c r="CP41" s="72">
        <f>IF(ISERROR(CO41/CG41),"NA",IF(OR(CO41/CG41&gt;2,CO41/CG41&lt;0.5),"NM",CO41/CG41*100-100))</f>
        <v>-27.71285475792989</v>
      </c>
      <c r="CQ41" s="75">
        <f>CQ30+CQ32+CQ33</f>
        <v>2849</v>
      </c>
      <c r="CR41" s="72">
        <f>IF(ISERROR(CQ41/CI41),"NA",IF(OR(CQ41/CI41&gt;2,CQ41/CI41&lt;0.5),"NM",CQ41/CI41*100-100))</f>
        <v>-23.166127292340889</v>
      </c>
      <c r="CS41" s="75">
        <f>CS30+CS32+CS33</f>
        <v>2880</v>
      </c>
      <c r="CT41" s="72">
        <f>IF(ISERROR(CS41/CK41),"NA",IF(OR(CS41/CK41&gt;2,CS41/CK41&lt;0.5),"NM",CS41/CK41*100-100))</f>
        <v>-31.89879404114447</v>
      </c>
      <c r="CU41" s="75">
        <f>CU30+CU32+CU33</f>
        <v>3267</v>
      </c>
      <c r="CV41" s="72">
        <f>IF(ISERROR(CU41/CM41),"NA",IF(OR(CU41/CM41&gt;2,CU41/CM41&lt;0.5),"NM",CU41/CM41*100-100))</f>
        <v>-32.611386138613867</v>
      </c>
      <c r="CW41" s="75">
        <f>CW30+CW32+CW33</f>
        <v>3718</v>
      </c>
      <c r="CX41" s="72">
        <f>IF(ISERROR(CW41/CO41),"NA",IF(OR(CW41/CO41&gt;2,CW41/CO41&lt;0.5),"NM",CW41/CO41*100-100))</f>
        <v>43.110084680523499</v>
      </c>
      <c r="CY41" s="75">
        <f>CY30+CY32+CY33</f>
        <v>4333</v>
      </c>
      <c r="CZ41" s="72">
        <f>IF(ISERROR(CY41/CQ41),"NA",IF(OR(CY41/CQ41&gt;2,CY41/CQ41&lt;0.5),"NM",CY41/CQ41*100-100))</f>
        <v>52.088452088452101</v>
      </c>
      <c r="DA41" s="75">
        <f>DA30+DA32+DA33</f>
        <v>2013</v>
      </c>
      <c r="DB41" s="72">
        <f>IF(ISERROR(DA41/CS41),"NA",IF(OR(DA41/CS41&gt;2,DA41/CS41&lt;0.5),"NM",DA41/CS41*100-100))</f>
        <v>-30.104166666666671</v>
      </c>
      <c r="DC41" s="75">
        <f>DC30+DC32+DC33</f>
        <v>2432</v>
      </c>
      <c r="DD41" s="72">
        <f>IF(ISERROR(DC41/CU41),"NA",IF(OR(DC41/CU41&gt;2,DC41/CU41&lt;0.5),"NM",DC41/CU41*100-100))</f>
        <v>-25.558616467707367</v>
      </c>
      <c r="DE41" s="75">
        <f>DE30+DE32+DE33</f>
        <v>541</v>
      </c>
      <c r="DF41" s="72" t="str">
        <f>IF(ISERROR(DE41/CW41),"NA",IF(OR(DE41/CW41&gt;2,DE41/CW41&lt;0.5),"NM",DE41/CW41*100-100))</f>
        <v>NM</v>
      </c>
      <c r="DG41" s="75">
        <f>DG30+DG32+DG33</f>
        <v>564</v>
      </c>
      <c r="DH41" s="72" t="str">
        <f>IF(ISERROR(DG41/CY41),"NA",IF(OR(DG41/CY41&gt;2,DG41/CY41&lt;0.5),"NM",DG41/CY41*100-100))</f>
        <v>NM</v>
      </c>
      <c r="DI41" s="75">
        <f>DI30+DI32+DI33</f>
        <v>343</v>
      </c>
      <c r="DJ41" s="72" t="str">
        <f>IF(ISERROR(DI41/DA41),"NA",IF(OR(DI41/DA41&gt;2,DI41/DA41&lt;0.5),"NM",DI41/DA41*100-100))</f>
        <v>NM</v>
      </c>
      <c r="DK41" s="75">
        <f>DK30+DK32+DK33</f>
        <v>146</v>
      </c>
      <c r="DL41" s="72" t="str">
        <f>IF(ISERROR(DK41/DC41),"NA",IF(OR(DK41/DC41&gt;2,DK41/DC41&lt;0.5),"NM",DK41/DC41*100-100))</f>
        <v>NM</v>
      </c>
      <c r="DM41" s="75">
        <f>DM30+DM32+DM33</f>
        <v>464</v>
      </c>
      <c r="DN41" s="72">
        <f>IF(ISERROR(DM41/DE41),"NA",IF(OR(DM41/DE41&gt;2,DM41/DE41&lt;0.5),"NM",DM41/DE41*100-100))</f>
        <v>-14.232902033271728</v>
      </c>
      <c r="DO41" s="75">
        <f>DO30+DO32+DO33</f>
        <v>409</v>
      </c>
      <c r="DP41" s="72">
        <f>IF(ISERROR(DO41/DG41),"NA",IF(OR(DO41/DG41&gt;2,DO41/DG41&lt;0.5),"NM",DO41/DG41*100-100))</f>
        <v>-27.482269503546092</v>
      </c>
      <c r="DQ41" s="75">
        <f>DQ30+DQ32+DQ33</f>
        <v>224</v>
      </c>
      <c r="DR41" s="72">
        <f>IF(ISERROR(DQ41/DI41),"NA",IF(OR(DQ41/DI41&gt;2,DQ41/DI41&lt;0.5),"NM",DQ41/DI41*100-100))</f>
        <v>-34.693877551020407</v>
      </c>
      <c r="DS41" s="75">
        <f>DS30+DS32+DS33</f>
        <v>48</v>
      </c>
      <c r="DT41" s="72" t="str">
        <f>IF(ISERROR(DS41/DK41),"NA",IF(OR(DS41/DK41&gt;2,DS41/DK41&lt;0.5),"NM",DS41/DK41*100-100))</f>
        <v>NM</v>
      </c>
      <c r="DU41" s="75">
        <f>DU30+DU32+DU33</f>
        <v>156</v>
      </c>
      <c r="DV41" s="72" t="str">
        <f>IF(ISERROR(DU41/DM41),"NA",IF(OR(DU41/DM41&gt;2,DU41/DM41&lt;0.5),"NM",DU41/DM41*100-100))</f>
        <v>NM</v>
      </c>
      <c r="DW41" s="75">
        <f>DW30+DW32+DW33</f>
        <v>150</v>
      </c>
      <c r="DX41" s="72" t="str">
        <f>IF(ISERROR(DW41/DO41),"NA",IF(OR(DW41/DO41&gt;2,DW41/DO41&lt;0.5),"NM",DW41/DO41*100-100))</f>
        <v>NM</v>
      </c>
      <c r="DY41" s="75">
        <f>DY30+DY32+DY33</f>
        <v>87</v>
      </c>
      <c r="DZ41" s="72" t="str">
        <f>IF(ISERROR(DY41/DQ41),"NA",IF(OR(DY41/DQ41&gt;2,DY41/DQ41&lt;0.5),"NM",DY41/DQ41*100-100))</f>
        <v>NM</v>
      </c>
      <c r="EA41" s="75">
        <f>EA30+EA32+EA33</f>
        <v>253</v>
      </c>
      <c r="EB41" s="72" t="str">
        <f>IF(ISERROR(EA41/DS41),"NA",IF(OR(EA41/DS41&gt;2,EA41/DS41&lt;0.5),"NM",EA41/DS41*100-100))</f>
        <v>NM</v>
      </c>
      <c r="EC41" s="75">
        <f>EC30+EC32+EC33</f>
        <v>353</v>
      </c>
      <c r="ED41" s="72" t="str">
        <f>IF(ISERROR(EC41/DU41),"NA",IF(OR(EC41/DU41&gt;2,EC41/DU41&lt;0.5),"NM",EC41/DU41*100-100))</f>
        <v>NM</v>
      </c>
      <c r="EE41" s="75">
        <f>EE30+EE32+EE33</f>
        <v>96</v>
      </c>
      <c r="EF41" s="72">
        <f>IF(ISERROR(EE41/DW41),"NA",IF(OR(EE41/DW41&gt;2,EE41/DW41&lt;0.5),"NM",EE41/DW41*100-100))</f>
        <v>-36</v>
      </c>
      <c r="EG41" s="75">
        <f>EG31+EG32+EG33</f>
        <v>-484</v>
      </c>
      <c r="EH41" s="72" t="str">
        <f>IF(ISERROR(EG41/DY41),"NA",IF(OR(EG41/DY41&gt;2,EG41/DY41&lt;0.5),"NM",EG41/DY41*100-100))</f>
        <v>NM</v>
      </c>
      <c r="EI41" s="75">
        <f>EI31+EI32+EI33</f>
        <v>-898</v>
      </c>
      <c r="EJ41" s="72" t="str">
        <f>IF(ISERROR(EI41/EA41),"NA",IF(OR(EI41/EA41&gt;2,EI41/EA41&lt;0.5),"NM",EI41/EA41*100-100))</f>
        <v>NM</v>
      </c>
      <c r="EK41" s="75">
        <f>EK31+EK32+EK33</f>
        <v>-889</v>
      </c>
      <c r="EL41" s="72" t="str">
        <f>IF(ISERROR(EK41/EC41),"NA",IF(OR(EK41/EC41&gt;2,EK41/EC41&lt;0.5),"NM",EK41/EC41*100-100))</f>
        <v>NM</v>
      </c>
      <c r="EM41" s="75">
        <f>EM31+EM32+EM33</f>
        <v>-970</v>
      </c>
      <c r="EN41" s="72" t="str">
        <f>IF(ISERROR(EM41/EE41),"NA",IF(OR(EM41/EE41&gt;2,EM41/EE41&lt;0.5),"NM",EM41/EE41*100-100))</f>
        <v>NM</v>
      </c>
      <c r="EO41" s="75">
        <f>EO31+EO32+EO33</f>
        <v>-1108</v>
      </c>
      <c r="EP41" s="72" t="str">
        <f>IF(ISERROR(EO41/EG41),"NA",IF(OR(EO41/EG41&gt;2,EO41/EG41&lt;0.5),"NM",EO41/EG41*100-100))</f>
        <v>NM</v>
      </c>
      <c r="EQ41" s="75">
        <f t="shared" ref="EQ41" si="221">EQ31+EQ32+EQ33</f>
        <v>-1126.8677489559366</v>
      </c>
      <c r="ER41" s="72">
        <f t="shared" ref="ER41" si="222">IF(ISERROR(EQ41/EI41),"NA",IF(OR(EQ41/EI41&gt;2,EQ41/EI41&lt;0.5),"NM",EQ41/EI41*100-100))</f>
        <v>25.486386297988474</v>
      </c>
      <c r="ES41" s="75">
        <f t="shared" ref="ES41" si="223">ES31+ES32+ES33</f>
        <v>-1028.8471538298159</v>
      </c>
      <c r="ET41" s="72">
        <f t="shared" ref="ET41" si="224">IF(ISERROR(ES41/EK41),"NA",IF(OR(ES41/EK41&gt;2,ES41/EK41&lt;0.5),"NM",ES41/EK41*100-100))</f>
        <v>15.730838451047902</v>
      </c>
      <c r="EU41" s="75">
        <f t="shared" ref="EU41" si="225">EU31+EU32+EU33</f>
        <v>-993.53605031029633</v>
      </c>
      <c r="EV41" s="72">
        <f t="shared" ref="EV41" si="226">IF(ISERROR(EU41/EM41),"NA",IF(OR(EU41/EM41&gt;2,EU41/EM41&lt;0.5),"NM",EU41/EM41*100-100))</f>
        <v>2.4263969392058158</v>
      </c>
      <c r="EW41" s="75">
        <f t="shared" ref="EW41" si="227">EW31+EW32+EW33</f>
        <v>-958.13636336185687</v>
      </c>
      <c r="EX41" s="72">
        <f t="shared" ref="EX41" si="228">IF(ISERROR(EW41/EO41),"NA",IF(OR(EW41/EO41&gt;2,EW41/EO41&lt;0.5),"NM",EW41/EO41*100-100))</f>
        <v>-13.52559897456166</v>
      </c>
      <c r="EY41" s="72"/>
      <c r="EZ41" s="306"/>
      <c r="FA41" s="72"/>
      <c r="FB41" s="75">
        <f>FB30+FB32+FB33</f>
        <v>736</v>
      </c>
      <c r="FC41" s="72"/>
      <c r="FD41" s="75">
        <f>FD30+FD32+FD33</f>
        <v>-5</v>
      </c>
      <c r="FE41" s="72" t="str">
        <f>IF(ISERROR(FD41/FB41),"NA",IF(OR(FD41/FB41&gt;2,FD41/FB41&lt;0.5),"NM",FD41/FB41*100-100))</f>
        <v>NM</v>
      </c>
      <c r="FF41" s="75">
        <f>FF30+FF32+FF33</f>
        <v>-699</v>
      </c>
      <c r="FG41" s="72" t="str">
        <f>IF(ISERROR(FF41/FD41),"NA",IF(OR(FF41/FD41&gt;2,FF41/FD41&lt;0.5),"NM",FF41/FD41*100-100))</f>
        <v>NM</v>
      </c>
      <c r="FH41" s="75">
        <f>FH30+FH32+FH33</f>
        <v>-1085</v>
      </c>
      <c r="FI41" s="72">
        <f>IF(ISERROR(FH41/FF41),"NA",IF(OR(FH41/FF41&gt;2,FH41/FF41&lt;0.5),"NM",FH41/FF41*100-100))</f>
        <v>55.221745350500697</v>
      </c>
      <c r="FJ41" s="75">
        <f>FJ30+FJ32+FJ33</f>
        <v>-636</v>
      </c>
      <c r="FK41" s="72">
        <f>IF(ISERROR(FJ41/FH41),"NA",IF(OR(FJ41/FH41&gt;2,FJ41/FH41&lt;0.5),"NM",FJ41/FH41*100-100))</f>
        <v>-41.382488479262669</v>
      </c>
      <c r="FL41" s="75">
        <f>FL30+FL32+FL33</f>
        <v>702</v>
      </c>
      <c r="FM41" s="72" t="str">
        <f>IF(ISERROR(FL41/FJ41),"NA",IF(OR(FL41/FJ41&gt;2,FL41/FJ41&lt;0.5),"NM",FL41/FJ41*100-100))</f>
        <v>NM</v>
      </c>
      <c r="FN41" s="75">
        <f>FN30+FN32+FN33</f>
        <v>582</v>
      </c>
      <c r="FO41" s="72">
        <f>IF(ISERROR(FN41/FL41),"NA",IF(OR(FN41/FL41&gt;2,FN41/FL41&lt;0.5),"NM",FN41/FL41*100-100))</f>
        <v>-17.09401709401709</v>
      </c>
      <c r="FP41" s="75">
        <f>FP30+FP32+FP33</f>
        <v>1415</v>
      </c>
      <c r="FQ41" s="72" t="str">
        <f>IF(ISERROR(FP41/FN41),"NA",IF(OR(FP41/FN41&gt;2,FP41/FN41&lt;0.5),"NM",FP41/FN41*100-100))</f>
        <v>NM</v>
      </c>
      <c r="FR41" s="75">
        <f>FR30+FR32+FR33</f>
        <v>1871</v>
      </c>
      <c r="FS41" s="72">
        <f>IF(ISERROR(FR41/FP41),"NA",IF(OR(FR41/FP41&gt;2,FR41/FP41&lt;0.5),"NM",FR41/FP41*100-100))</f>
        <v>32.226148409893995</v>
      </c>
      <c r="FT41" s="75">
        <f>FT30+FT32+FT33</f>
        <v>2110</v>
      </c>
      <c r="FU41" s="72">
        <f>IF(ISERROR(FT41/FR41),"NA",IF(OR(FT41/FR41&gt;2,FT41/FR41&lt;0.5),"NM",FT41/FR41*100-100))</f>
        <v>12.773917691074303</v>
      </c>
      <c r="FV41" s="75">
        <f>FV30+FV32+FV33</f>
        <v>2208</v>
      </c>
      <c r="FW41" s="72">
        <f>IF(ISERROR(FV41/FT41),"NA",IF(OR(FV41/FT41&gt;2,FV41/FT41&lt;0.5),"NM",FV41/FT41*100-100))</f>
        <v>4.6445497630331687</v>
      </c>
      <c r="FX41" s="75">
        <f>FX30+FX32+FX33</f>
        <v>10341</v>
      </c>
      <c r="FY41" s="72" t="str">
        <f>IF(ISERROR(FX41/FV41),"NA",IF(OR(FX41/FV41&gt;2,FX41/FV41&lt;0.5),"NM",FX41/FV41*100-100))</f>
        <v>NM</v>
      </c>
      <c r="FZ41" s="75">
        <f>FZ30+FZ32+FZ33</f>
        <v>14728</v>
      </c>
      <c r="GA41" s="72">
        <f>IF(ISERROR(FZ41/FX41),"NA",IF(OR(FZ41/FX41&gt;2,FZ41/FX41&lt;0.5),"NM",FZ41/FX41*100-100))</f>
        <v>42.423363311091776</v>
      </c>
      <c r="GB41" s="75">
        <f>GB30+GB32+GB33</f>
        <v>13175</v>
      </c>
      <c r="GC41" s="72">
        <f>IF(ISERROR(GB41/FZ41),"NA",IF(OR(GB41/FZ41&gt;2,GB41/FZ41&lt;0.5),"NM",GB41/FZ41*100-100))</f>
        <v>-10.544541010320472</v>
      </c>
      <c r="GD41" s="75">
        <f>GD30+GD32+GD33</f>
        <v>13331</v>
      </c>
      <c r="GE41" s="72">
        <f>IF(ISERROR(GD41/GB41),"NA",IF(OR(GD41/GB41&gt;2,GD41/GB41&lt;0.5),"NM",GD41/GB41*100-100))</f>
        <v>1.1840607210626075</v>
      </c>
      <c r="GF41" s="75">
        <f>GF30+GF32+GF33</f>
        <v>3880</v>
      </c>
      <c r="GG41" s="72" t="str">
        <f>IF(ISERROR(GF41/GD41),"NA",IF(OR(GF41/GD41&gt;2,GF41/GD41&lt;0.5),"NM",GF41/GD41*100-100))</f>
        <v>NM</v>
      </c>
      <c r="GH41" s="75">
        <f>GH30+GH32+GH33</f>
        <v>1243</v>
      </c>
      <c r="GI41" s="72" t="str">
        <f>IF(ISERROR(GH41/GF41),"NA",IF(OR(GH41/GF41&gt;2,GH41/GF41&lt;0.5),"NM",GH41/GF41*100-100))</f>
        <v>NM</v>
      </c>
      <c r="GJ41" s="75">
        <f>GJ30+GJ32+GJ33</f>
        <v>441</v>
      </c>
      <c r="GK41" s="72" t="str">
        <f>IF(ISERROR(GJ41/GH41),"NA",IF(OR(GJ41/GH41&gt;2,GJ41/GH41&lt;0.5),"NM",GJ41/GH41*100-100))</f>
        <v>NM</v>
      </c>
      <c r="GL41" s="75">
        <f>GL30+GL32+GL33</f>
        <v>218</v>
      </c>
      <c r="GM41" s="72" t="str">
        <f>IF(ISERROR(GL41/GJ41),"NA",IF(OR(GL41/GJ41&gt;2,GL41/GJ41&lt;0.5),"NM",GL41/GJ41*100-100))</f>
        <v>NM</v>
      </c>
      <c r="GN41" s="75">
        <f>GN30+GN32+GN33</f>
        <v>-3865</v>
      </c>
      <c r="GO41" s="72" t="str">
        <f>IF(ISERROR(GN41/GL41),"NA",IF(OR(GN41/GL41&gt;2,GN41/GL41&lt;0.5),"NM",GN41/GL41*100-100))</f>
        <v>NM</v>
      </c>
      <c r="GP41" s="75">
        <f>GP30+GP32+GP33</f>
        <v>-4107.3873164579045</v>
      </c>
      <c r="GQ41" s="72">
        <f>IF(ISERROR(GP41/GN41),"NA",IF(OR(GP41/GN41&gt;2,GP41/GN41&lt;0.5),"NM",GP41/GN41*100-100))</f>
        <v>6.2713406586779996</v>
      </c>
      <c r="GR41" s="75">
        <f>GR31+GR32+GR33</f>
        <v>-3401.4004061030791</v>
      </c>
      <c r="GS41" s="72">
        <f>IF(ISERROR(GR41/GP41),"NA",IF(OR(GR41/GP41&gt;2,GR41/GP41&lt;0.5),"NM",GR41/GP41*100-100))</f>
        <v>-17.188223460836141</v>
      </c>
      <c r="GT41" s="75">
        <f>GT31+GT32+GT33</f>
        <v>-2923.8738533947053</v>
      </c>
      <c r="GU41" s="72">
        <f>IF(ISERROR(GT41/GR41),"NA",IF(OR(GT41/GR41&gt;2,GT41/GR41&lt;0.5),"NM",GT41/GR41*100-100))</f>
        <v>-14.039116119688686</v>
      </c>
      <c r="GV41" s="75">
        <f>GV31+GV32+GV33</f>
        <v>-2407.1977416660648</v>
      </c>
      <c r="GW41" s="72">
        <f>IF(ISERROR(GV41/GT41),"NA",IF(OR(GV41/GT41&gt;2,GV41/GT41&lt;0.5),"NM",GV41/GT41*100-100))</f>
        <v>-17.670944015890569</v>
      </c>
      <c r="GX41" s="75">
        <f>GX31+GX32+GX33</f>
        <v>-1849.7426646827989</v>
      </c>
      <c r="GY41" s="72">
        <f>IF(ISERROR(GX41/GV41),"NA",IF(OR(GX41/GV41&gt;2,GX41/GV41&lt;0.5),"NM",GX41/GV41*100-100))</f>
        <v>-23.157843135788298</v>
      </c>
      <c r="GZ41" s="72">
        <f>IF(ISERROR(((GX41/GN41)^0.2-1)*100),"NA",IF((((GX41/GN41)^0.2-1)*100)&gt;100,"NM",IF((((GX41/GN41)^0.2-1)*100)&lt;-50,"NM",((GX41/GN41)^0.2-1)*100)))</f>
        <v>-13.703662723870869</v>
      </c>
      <c r="HA41" s="72"/>
      <c r="HB41" s="72"/>
      <c r="HC41"/>
      <c r="HD41"/>
      <c r="HE41"/>
      <c r="HF41"/>
      <c r="HG41"/>
      <c r="HH41"/>
      <c r="HI41" s="2"/>
    </row>
    <row r="42" spans="1:217" s="3" customFormat="1" ht="12.75" customHeight="1" x14ac:dyDescent="0.2">
      <c r="B42" s="77"/>
      <c r="C42" s="75"/>
      <c r="D42" s="72"/>
      <c r="E42" s="75"/>
      <c r="F42" s="72"/>
      <c r="G42" s="75"/>
      <c r="H42" s="72"/>
      <c r="I42" s="75"/>
      <c r="J42" s="72"/>
      <c r="K42" s="75"/>
      <c r="L42" s="72"/>
      <c r="M42" s="75"/>
      <c r="N42" s="72"/>
      <c r="O42" s="75"/>
      <c r="P42" s="72"/>
      <c r="Q42" s="75"/>
      <c r="R42" s="72"/>
      <c r="S42" s="75"/>
      <c r="T42" s="72"/>
      <c r="U42" s="75"/>
      <c r="V42" s="72"/>
      <c r="W42" s="75"/>
      <c r="X42" s="72"/>
      <c r="Y42" s="75"/>
      <c r="Z42" s="72"/>
      <c r="AA42" s="75"/>
      <c r="AB42" s="72"/>
      <c r="AC42" s="75"/>
      <c r="AD42" s="72"/>
      <c r="AE42" s="75"/>
      <c r="AF42" s="72"/>
      <c r="AG42" s="75"/>
      <c r="AH42" s="72"/>
      <c r="AI42" s="75"/>
      <c r="AJ42" s="72"/>
      <c r="AK42" s="75"/>
      <c r="AL42" s="72"/>
      <c r="AM42" s="75"/>
      <c r="AN42" s="72"/>
      <c r="AO42" s="75"/>
      <c r="AP42" s="72"/>
      <c r="AQ42" s="75"/>
      <c r="AR42" s="72"/>
      <c r="AS42" s="75"/>
      <c r="AT42" s="72"/>
      <c r="AU42" s="75"/>
      <c r="AV42" s="72"/>
      <c r="AW42" s="75"/>
      <c r="AX42" s="72"/>
      <c r="AY42" s="75"/>
      <c r="AZ42" s="72"/>
      <c r="BA42" s="75"/>
      <c r="BB42" s="72"/>
      <c r="BC42" s="75"/>
      <c r="BD42" s="72"/>
      <c r="BE42" s="75"/>
      <c r="BF42" s="72"/>
      <c r="BG42" s="75"/>
      <c r="BH42" s="72"/>
      <c r="BI42" s="75"/>
      <c r="BJ42" s="72"/>
      <c r="BK42" s="75"/>
      <c r="BL42" s="72"/>
      <c r="BM42" s="75"/>
      <c r="BN42" s="72"/>
      <c r="BO42" s="75"/>
      <c r="BP42" s="72"/>
      <c r="BQ42" s="75"/>
      <c r="BR42" s="72"/>
      <c r="BS42" s="75"/>
      <c r="BT42" s="72"/>
      <c r="BU42" s="75"/>
      <c r="BV42" s="72"/>
      <c r="BW42" s="75"/>
      <c r="BX42" s="72"/>
      <c r="BY42" s="75"/>
      <c r="BZ42" s="72"/>
      <c r="CA42" s="75"/>
      <c r="CB42" s="72"/>
      <c r="CC42" s="75"/>
      <c r="CD42" s="72"/>
      <c r="CE42" s="75"/>
      <c r="CF42" s="72"/>
      <c r="CG42" s="75"/>
      <c r="CH42" s="72"/>
      <c r="CI42" s="75"/>
      <c r="CJ42" s="72"/>
      <c r="CK42" s="75"/>
      <c r="CL42" s="72"/>
      <c r="CM42" s="75"/>
      <c r="CN42" s="72"/>
      <c r="CO42" s="75"/>
      <c r="CP42" s="72"/>
      <c r="CQ42" s="75"/>
      <c r="CR42" s="72"/>
      <c r="CS42" s="75"/>
      <c r="CT42" s="72"/>
      <c r="CU42" s="75"/>
      <c r="CV42" s="72"/>
      <c r="CW42" s="75"/>
      <c r="CX42" s="72"/>
      <c r="CY42" s="75"/>
      <c r="CZ42" s="72"/>
      <c r="DA42" s="120"/>
      <c r="DB42" s="72"/>
      <c r="DC42" s="120"/>
      <c r="DD42" s="72"/>
      <c r="DE42" s="120"/>
      <c r="DF42" s="72"/>
      <c r="DG42" s="120"/>
      <c r="DH42" s="72"/>
      <c r="DI42" s="120"/>
      <c r="DJ42" s="72"/>
      <c r="DK42" s="120"/>
      <c r="DL42" s="72"/>
      <c r="DM42" s="120"/>
      <c r="DN42" s="72"/>
      <c r="DO42" s="120"/>
      <c r="DP42" s="72"/>
      <c r="DQ42" s="120"/>
      <c r="DR42" s="72"/>
      <c r="DS42" s="120"/>
      <c r="DT42" s="72"/>
      <c r="DU42" s="120"/>
      <c r="DV42" s="72"/>
      <c r="DW42" s="120"/>
      <c r="DX42" s="72"/>
      <c r="DY42" s="120"/>
      <c r="DZ42" s="72"/>
      <c r="EA42" s="120"/>
      <c r="EB42" s="72"/>
      <c r="EC42" s="120"/>
      <c r="ED42" s="72"/>
      <c r="EE42" s="120"/>
      <c r="EF42" s="72"/>
      <c r="EG42" s="120"/>
      <c r="EH42" s="72"/>
      <c r="EI42" s="120"/>
      <c r="EJ42" s="72"/>
      <c r="EK42" s="120"/>
      <c r="EL42" s="72"/>
      <c r="EM42" s="120"/>
      <c r="EN42" s="72"/>
      <c r="EO42" s="120"/>
      <c r="EP42" s="72"/>
      <c r="EQ42" s="75"/>
      <c r="ER42" s="72"/>
      <c r="ES42" s="75"/>
      <c r="ET42" s="72"/>
      <c r="EU42" s="75"/>
      <c r="EV42" s="72"/>
      <c r="EW42" s="75"/>
      <c r="EX42" s="72"/>
      <c r="EY42" s="72"/>
      <c r="EZ42" s="306"/>
      <c r="FA42" s="72"/>
      <c r="FB42" s="75"/>
      <c r="FC42" s="72"/>
      <c r="FD42" s="75"/>
      <c r="FE42" s="72"/>
      <c r="FF42" s="75"/>
      <c r="FG42" s="72"/>
      <c r="FH42" s="75"/>
      <c r="FI42" s="72"/>
      <c r="FJ42" s="75"/>
      <c r="FK42" s="72"/>
      <c r="FL42" s="75"/>
      <c r="FM42" s="72"/>
      <c r="FN42" s="75"/>
      <c r="FO42" s="72"/>
      <c r="FP42" s="75"/>
      <c r="FQ42" s="72"/>
      <c r="FR42" s="75"/>
      <c r="FS42" s="72"/>
      <c r="FT42" s="75"/>
      <c r="FU42" s="72"/>
      <c r="FV42" s="75"/>
      <c r="FW42" s="72"/>
      <c r="FX42" s="75"/>
      <c r="FY42" s="72"/>
      <c r="FZ42" s="75"/>
      <c r="GA42" s="72"/>
      <c r="GB42" s="75"/>
      <c r="GC42" s="72"/>
      <c r="GD42" s="75"/>
      <c r="GE42" s="72"/>
      <c r="GF42" s="75"/>
      <c r="GG42" s="72"/>
      <c r="GH42" s="75"/>
      <c r="GI42" s="72"/>
      <c r="GJ42" s="75"/>
      <c r="GK42" s="72"/>
      <c r="GL42" s="75"/>
      <c r="GM42" s="72"/>
      <c r="GN42" s="75"/>
      <c r="GO42" s="72"/>
      <c r="GP42" s="75"/>
      <c r="GQ42" s="72"/>
      <c r="GR42" s="75"/>
      <c r="GS42" s="72"/>
      <c r="GT42" s="75"/>
      <c r="GU42" s="72"/>
      <c r="GV42" s="75"/>
      <c r="GW42" s="72"/>
      <c r="GX42" s="75"/>
      <c r="GY42" s="72"/>
      <c r="GZ42" s="72"/>
      <c r="HA42" s="72"/>
      <c r="HB42" s="72"/>
      <c r="HC42"/>
      <c r="HD42"/>
      <c r="HE42"/>
      <c r="HF42"/>
      <c r="HG42"/>
      <c r="HH42"/>
      <c r="HI42" s="2"/>
    </row>
    <row r="43" spans="1:217" s="3" customFormat="1" ht="12.75" customHeight="1" x14ac:dyDescent="0.2">
      <c r="B43" s="10" t="s">
        <v>298</v>
      </c>
      <c r="C43" s="81">
        <f>-C33/C$29*400</f>
        <v>15.654019633855135</v>
      </c>
      <c r="D43" s="72"/>
      <c r="E43" s="81">
        <f>-E33/E$29*400</f>
        <v>15.29262863876402</v>
      </c>
      <c r="F43" s="72"/>
      <c r="G43" s="81">
        <f>-G33/G$29*400</f>
        <v>11.294456184524076</v>
      </c>
      <c r="H43" s="72"/>
      <c r="I43" s="81">
        <f>-I33/I$29*400</f>
        <v>10.796707004363668</v>
      </c>
      <c r="J43" s="72"/>
      <c r="K43" s="81">
        <f>-K33/K$29*400</f>
        <v>12.63117906833183</v>
      </c>
      <c r="L43" s="72"/>
      <c r="M43" s="81">
        <f>-M33/M$29*400</f>
        <v>12.365310178889006</v>
      </c>
      <c r="N43" s="72"/>
      <c r="O43" s="81">
        <f>-O33/O$29*400</f>
        <v>11.309737233007223</v>
      </c>
      <c r="P43" s="72"/>
      <c r="Q43" s="81">
        <f>-Q33/Q$29*400</f>
        <v>12.751599767306573</v>
      </c>
      <c r="R43" s="72"/>
      <c r="S43" s="81">
        <f>-S33/S$29*400</f>
        <v>11.429182941837444</v>
      </c>
      <c r="T43" s="72"/>
      <c r="U43" s="81">
        <f>-U33/U$29*400</f>
        <v>12.21589368049905</v>
      </c>
      <c r="V43" s="72"/>
      <c r="W43" s="81">
        <f>-W33/W$29*400</f>
        <v>11.593857874062612</v>
      </c>
      <c r="X43" s="72"/>
      <c r="Y43" s="81">
        <f>-Y33/Y$29*400</f>
        <v>11.951072789252056</v>
      </c>
      <c r="Z43" s="72"/>
      <c r="AA43" s="81">
        <f>-AA33/AA$29*400</f>
        <v>10.901030121267441</v>
      </c>
      <c r="AB43" s="72"/>
      <c r="AC43" s="81">
        <f>-AC33/AC$29*400</f>
        <v>24.697627798195789</v>
      </c>
      <c r="AD43" s="72"/>
      <c r="AE43" s="81">
        <f>-AE33/AE$29*400</f>
        <v>11.654097536450477</v>
      </c>
      <c r="AF43" s="72"/>
      <c r="AG43" s="81">
        <f>-AG33/AG$29*400</f>
        <v>11.907386990077178</v>
      </c>
      <c r="AH43" s="72"/>
      <c r="AI43" s="81">
        <f>-AI33/AI$29*400</f>
        <v>12.305171903797584</v>
      </c>
      <c r="AJ43" s="72"/>
      <c r="AK43" s="81">
        <f>-AK33/AK$29*400</f>
        <v>11.262205180792725</v>
      </c>
      <c r="AL43" s="72"/>
      <c r="AM43" s="81">
        <f>-AM33/AM$29*400</f>
        <v>11.271618403187393</v>
      </c>
      <c r="AN43" s="72"/>
      <c r="AO43" s="81">
        <f>-AO33/AO$29*400</f>
        <v>12.078967486621396</v>
      </c>
      <c r="AP43" s="72"/>
      <c r="AQ43" s="81">
        <f>-AQ33/AQ$29*400</f>
        <v>11.708633852123667</v>
      </c>
      <c r="AR43" s="72"/>
      <c r="AS43" s="81">
        <f>-AS33/AS$29*400</f>
        <v>12.676238520243178</v>
      </c>
      <c r="AT43" s="72"/>
      <c r="AU43" s="81">
        <f>-AU33/AU$29*400</f>
        <v>11.788532129446015</v>
      </c>
      <c r="AV43" s="72"/>
      <c r="AW43" s="81">
        <f>-AW33/AW$29*400</f>
        <v>11.607792417751192</v>
      </c>
      <c r="AX43" s="72"/>
      <c r="AY43" s="81">
        <f>-AY33/AY$29*400</f>
        <v>12.485722163141517</v>
      </c>
      <c r="AZ43" s="72"/>
      <c r="BA43" s="81">
        <f>-BA33/BA$29*400</f>
        <v>13.215246046520374</v>
      </c>
      <c r="BB43" s="72"/>
      <c r="BC43" s="81">
        <f>-BC33/BC$29*400</f>
        <v>12.115046434229075</v>
      </c>
      <c r="BD43" s="72"/>
      <c r="BE43" s="81">
        <f>-BE33/BE$29*400</f>
        <v>13.016795407837856</v>
      </c>
      <c r="BF43" s="72"/>
      <c r="BG43" s="81">
        <f>-BG33/BG$29*400</f>
        <v>12.393534974180136</v>
      </c>
      <c r="BH43" s="72"/>
      <c r="BI43" s="81">
        <f>-BI33/BI$29*400</f>
        <v>13.308462647669698</v>
      </c>
      <c r="BJ43" s="72"/>
      <c r="BK43" s="81">
        <f>-BK33/BK$29*400</f>
        <v>11.792118326410698</v>
      </c>
      <c r="BL43" s="72"/>
      <c r="BM43" s="81">
        <f>-BM33/BM$29*400</f>
        <v>11.900508789868553</v>
      </c>
      <c r="BN43" s="72"/>
      <c r="BO43" s="81">
        <f>-BO33/BO$29*400</f>
        <v>10.820365990290053</v>
      </c>
      <c r="BP43" s="72"/>
      <c r="BQ43" s="81">
        <f>-BQ33/BQ$29*400</f>
        <v>11.656908118489669</v>
      </c>
      <c r="BR43" s="72"/>
      <c r="BS43" s="81">
        <f>-BS33/BS$29*400</f>
        <v>10.644250204130804</v>
      </c>
      <c r="BT43" s="72"/>
      <c r="BU43" s="81">
        <f>-BU33/BU$29*400</f>
        <v>9.7339924670433149</v>
      </c>
      <c r="BV43" s="72"/>
      <c r="BW43" s="81">
        <f>-BW33/BW$29*400</f>
        <v>9.6188777975902813</v>
      </c>
      <c r="BX43" s="72"/>
      <c r="BY43" s="81">
        <f>-BY33/BY$29*400</f>
        <v>9.0780435608021826</v>
      </c>
      <c r="BZ43" s="72"/>
      <c r="CA43" s="81">
        <f>-CA33/CA$29*400</f>
        <v>8.8726401327209317</v>
      </c>
      <c r="CB43" s="72"/>
      <c r="CC43" s="81">
        <f>-CC33/CC$29*400</f>
        <v>8.3268307521392391</v>
      </c>
      <c r="CD43" s="72"/>
      <c r="CE43" s="81">
        <f>-CE33/CE$29*400</f>
        <v>8.2961785417106526</v>
      </c>
      <c r="CF43" s="72"/>
      <c r="CG43" s="81">
        <f>-CG33/CG$29*400</f>
        <v>8.0300776537556082</v>
      </c>
      <c r="CH43" s="72"/>
      <c r="CI43" s="81">
        <f>-CI33/CI$29*400</f>
        <v>7.9432488366250764</v>
      </c>
      <c r="CJ43" s="72"/>
      <c r="CK43" s="81">
        <f>-CK33/CK$29*400</f>
        <v>8.0492637215528777</v>
      </c>
      <c r="CL43" s="72"/>
      <c r="CM43" s="81">
        <f>-CM33/CM$29*400</f>
        <v>7.6874975573533444</v>
      </c>
      <c r="CN43" s="72"/>
      <c r="CO43" s="81">
        <f>-CO33/CO$29*400</f>
        <v>7.0310723931289729</v>
      </c>
      <c r="CP43" s="72"/>
      <c r="CQ43" s="81">
        <f>-CQ33/CQ$29*400</f>
        <v>5.7859931195522361</v>
      </c>
      <c r="CR43" s="72"/>
      <c r="CS43" s="81">
        <f>-CS33/CS$29*400</f>
        <v>5.9331836429203237</v>
      </c>
      <c r="CT43" s="72"/>
      <c r="CU43" s="81">
        <f>-CU33/CU$29*400</f>
        <v>6.1088178744885777</v>
      </c>
      <c r="CV43" s="72"/>
      <c r="CW43" s="81">
        <f>-CW33/CW$29*400</f>
        <v>5.4075626060061861</v>
      </c>
      <c r="CX43" s="72"/>
      <c r="CY43" s="81">
        <f>-CY33/CY$29*400</f>
        <v>5.2490733507305158</v>
      </c>
      <c r="CZ43" s="72"/>
      <c r="DA43" s="81">
        <f>-DA33/DA$29*400</f>
        <v>5.4750327648915462</v>
      </c>
      <c r="DB43" s="72"/>
      <c r="DC43" s="81">
        <f>-DC33/DC$29*400</f>
        <v>5.3978481551273481</v>
      </c>
      <c r="DD43" s="72"/>
      <c r="DE43" s="81">
        <f>-DE33/DE$29*400</f>
        <v>5.4605348332062658</v>
      </c>
      <c r="DF43" s="72"/>
      <c r="DG43" s="81">
        <f>-DG33/DG$29*400</f>
        <v>5.2955906369080017</v>
      </c>
      <c r="DH43" s="72"/>
      <c r="DI43" s="81">
        <f>-DI33/DI$29*400</f>
        <v>5.7593408352296853</v>
      </c>
      <c r="DJ43" s="72"/>
      <c r="DK43" s="81">
        <f>-DK33/DK$29*400</f>
        <v>5.7368060770800238</v>
      </c>
      <c r="DL43" s="72"/>
      <c r="DM43" s="81">
        <f>-DM33/DM$29*400</f>
        <v>5.7696873763355754</v>
      </c>
      <c r="DN43" s="72">
        <f t="shared" ref="DN43:DZ47" si="229">IF(ISERROR(DM43/DE43),"NA",IF(OR(DM43/DE43&gt;2,DM43/DE43&lt;0.5),"NM",DM43/DE43*100-100))</f>
        <v>5.6615799106217679</v>
      </c>
      <c r="DO43" s="81">
        <f>-DO33/DO$29*400</f>
        <v>5.5218423247161459</v>
      </c>
      <c r="DP43" s="72">
        <f t="shared" si="229"/>
        <v>4.2724542609329887</v>
      </c>
      <c r="DQ43" s="81">
        <f>-DQ33/DQ$29*400</f>
        <v>5.7895698952811223</v>
      </c>
      <c r="DR43" s="72">
        <f t="shared" si="229"/>
        <v>0.52487013559827744</v>
      </c>
      <c r="DS43" s="81">
        <f>-DS33/DS$29*400</f>
        <v>5.5892651032028011</v>
      </c>
      <c r="DT43" s="72">
        <f t="shared" si="229"/>
        <v>-2.5718312924448554</v>
      </c>
      <c r="DU43" s="81">
        <f>-DU33/DU$29*400</f>
        <v>5.5092921702041231</v>
      </c>
      <c r="DV43" s="72">
        <f t="shared" si="229"/>
        <v>-4.5131597112083739</v>
      </c>
      <c r="DW43" s="81">
        <f>-DW33/DW$29*400</f>
        <v>5.0571340333539228</v>
      </c>
      <c r="DX43" s="72">
        <f t="shared" si="229"/>
        <v>-8.4158196492166581</v>
      </c>
      <c r="DY43" s="81">
        <f>-DY33/DY$29*400</f>
        <v>5.4238674711115653</v>
      </c>
      <c r="DZ43" s="72">
        <f t="shared" si="229"/>
        <v>-6.3165732650991657</v>
      </c>
      <c r="EA43" s="81">
        <f>-EA33/EA$29*400</f>
        <v>4.6787695478483142</v>
      </c>
      <c r="EB43" s="72">
        <f>IF(ISERROR(EA43/DS43),"NA",IF(OR(EA43/DS43&gt;2,EA43/DS43&lt;0.5),"NM",EA43/DS43*100-100))</f>
        <v>-16.290076397212729</v>
      </c>
      <c r="EC43" s="81">
        <f>-EC33/EC$29*400</f>
        <v>5.1297857229004462</v>
      </c>
      <c r="ED43" s="72">
        <f>IF(ISERROR(EC43/DU43),"NA",IF(OR(EC43/DU43&gt;2,EC43/DU43&lt;0.5),"NM",EC43/DU43*100-100))</f>
        <v>-6.8884792379710689</v>
      </c>
      <c r="EE43" s="81">
        <f>-EE33/EE$29*400</f>
        <v>5.2702595444082867</v>
      </c>
      <c r="EF43" s="72">
        <f>IF(ISERROR(EE43/DW43),"NA",IF(OR(EE43/DW43&gt;2,EE43/DW43&lt;0.5),"NM",EE43/DW43*100-100))</f>
        <v>4.2143536170627698</v>
      </c>
      <c r="EG43" s="81">
        <f>-EG33/EG$29*400</f>
        <v>5.4795581751160398</v>
      </c>
      <c r="EH43" s="72">
        <f>IF(ISERROR(EG43/DY43),"NA",IF(OR(EG43/DY43&gt;2,EG43/DY43&lt;0.5),"NM",EG43/DY43*100-100))</f>
        <v>1.0267711056933564</v>
      </c>
      <c r="EI43" s="81">
        <f>-EI33/EI$29*400</f>
        <v>6.0693434228122252</v>
      </c>
      <c r="EJ43" s="72">
        <f>IF(ISERROR(EI43/EA43),"NA",IF(OR(EI43/EA43&gt;2,EI43/EA43&lt;0.5),"NM",EI43/EA43*100-100))</f>
        <v>29.720931128215369</v>
      </c>
      <c r="EK43" s="81">
        <f>-EK33/EK$29*400</f>
        <v>6.075368233118664</v>
      </c>
      <c r="EL43" s="72">
        <f>IF(ISERROR(EK43/EC43),"NA",IF(OR(EK43/EC43&gt;2,EK43/EC43&lt;0.5),"NM",EK43/EC43*100-100))</f>
        <v>18.433177549637961</v>
      </c>
      <c r="EM43" s="81">
        <f>-EM33/EM$29*400</f>
        <v>5.7486714991017696</v>
      </c>
      <c r="EN43" s="72">
        <f>IF(ISERROR(EM43/EE43),"NA",IF(OR(EM43/EE43&gt;2,EM43/EE43&lt;0.5),"NM",EM43/EE43*100-100))</f>
        <v>9.0775786403361423</v>
      </c>
      <c r="EO43" s="81">
        <f>-EO33/EO$29*400</f>
        <v>6.7140839075425491</v>
      </c>
      <c r="EP43" s="72">
        <f>IF(ISERROR(EO43/EG43),"NA",IF(OR(EO43/EG43&gt;2,EO43/EG43&lt;0.5),"NM",EO43/EG43*100-100))</f>
        <v>22.529658285822762</v>
      </c>
      <c r="EQ43" s="86">
        <f t="shared" ref="EQ43:EQ45" si="230">EO43</f>
        <v>6.7140839075425491</v>
      </c>
      <c r="ER43" s="72">
        <f t="shared" ref="ER43:ER47" si="231">IF(ISERROR(EQ43/EI43),"NA",IF(OR(EQ43/EI43&gt;2,EQ43/EI43&lt;0.5),"NM",EQ43/EI43*100-100))</f>
        <v>10.622903332624148</v>
      </c>
      <c r="ES43" s="86">
        <f t="shared" ref="ES43:ES45" si="232">EQ43</f>
        <v>6.7140839075425491</v>
      </c>
      <c r="ET43" s="72">
        <f t="shared" ref="ET43:ET47" si="233">IF(ISERROR(ES43/EK43),"NA",IF(OR(ES43/EK43&gt;2,ES43/EK43&lt;0.5),"NM",ES43/EK43*100-100))</f>
        <v>10.51320100964503</v>
      </c>
      <c r="EU43" s="86">
        <f t="shared" ref="EU43:EU45" si="234">ES43</f>
        <v>6.7140839075425491</v>
      </c>
      <c r="EV43" s="72">
        <f t="shared" ref="EV43:EV47" si="235">IF(ISERROR(EU43/EM43),"NA",IF(OR(EU43/EM43&gt;2,EU43/EM43&lt;0.5),"NM",EU43/EM43*100-100))</f>
        <v>16.793661084854563</v>
      </c>
      <c r="EW43" s="86">
        <f t="shared" ref="EW43:EW45" si="236">EU43</f>
        <v>6.7140839075425491</v>
      </c>
      <c r="EX43" s="72">
        <f t="shared" ref="EX43:EX47" si="237">IF(ISERROR(EW43/EO43),"NA",IF(OR(EW43/EO43&gt;2,EW43/EO43&lt;0.5),"NM",EW43/EO43*100-100))</f>
        <v>0</v>
      </c>
      <c r="EY43" s="72"/>
      <c r="EZ43" s="306"/>
      <c r="FA43" s="72"/>
      <c r="FB43" s="81">
        <f>-FB33/FB$29*100</f>
        <v>14.357110404361654</v>
      </c>
      <c r="FC43" s="88"/>
      <c r="FD43" s="81">
        <f>-FD33/FD$29*100</f>
        <v>17.229780611476482</v>
      </c>
      <c r="FE43" s="88"/>
      <c r="FF43" s="81">
        <f>-FF33/FF$29*100</f>
        <v>13.217475899885029</v>
      </c>
      <c r="FG43" s="88"/>
      <c r="FH43" s="81">
        <f>-FH33/FH$29*100</f>
        <v>11.187615746236764</v>
      </c>
      <c r="FI43" s="88"/>
      <c r="FJ43" s="81">
        <f>-FJ33/FJ$29*100</f>
        <v>10.867355128685324</v>
      </c>
      <c r="FK43" s="88"/>
      <c r="FL43" s="81">
        <f>-FL33/FL$29*100</f>
        <v>24.227409049419744</v>
      </c>
      <c r="FM43" s="88"/>
      <c r="FN43" s="81">
        <f>-FN33/FN$29*100</f>
        <v>11.886504812396186</v>
      </c>
      <c r="FO43" s="88"/>
      <c r="FP43" s="81">
        <f>-FP33/FP$29*100</f>
        <v>12.00177147918512</v>
      </c>
      <c r="FQ43" s="88"/>
      <c r="FR43" s="81">
        <f>-FR33/FR$29*100</f>
        <v>15.207373271889402</v>
      </c>
      <c r="FS43" s="88"/>
      <c r="FT43" s="81">
        <f>-FT33/FT$29*100</f>
        <v>12.833478639930254</v>
      </c>
      <c r="FU43" s="88"/>
      <c r="FV43" s="81">
        <f>-FV33/FV$29*100</f>
        <v>9.9589194572388884</v>
      </c>
      <c r="FW43" s="88"/>
      <c r="FX43" s="81">
        <f>-FX33/FX$29*100</f>
        <v>9.6255436865699</v>
      </c>
      <c r="FY43" s="88"/>
      <c r="FZ43" s="81">
        <f>-FZ33/FZ$29*100</f>
        <v>8.597970665308809</v>
      </c>
      <c r="GA43" s="88"/>
      <c r="GB43" s="81">
        <f>-GB33/GB$29*100</f>
        <v>6.8872865126822207</v>
      </c>
      <c r="GC43" s="88"/>
      <c r="GD43" s="81">
        <f>-GD33/GD$29*100</f>
        <v>6.0559671231878118</v>
      </c>
      <c r="GE43" s="88"/>
      <c r="GF43" s="81">
        <f>-GF33/GF$29*100</f>
        <v>5.7496504771746402</v>
      </c>
      <c r="GG43" s="88"/>
      <c r="GH43" s="81">
        <f>-GH33/GH$29*100</f>
        <v>5.7913030764220723</v>
      </c>
      <c r="GI43" s="72">
        <f>IF(ISERROR(GH43/GF43),"NA",IF(OR(GH43/GF43&gt;2,GH43/GF43&lt;0.5),"NM",GH43/GF43*100-100))</f>
        <v>0.72443706644061479</v>
      </c>
      <c r="GJ43" s="81">
        <f>-GJ33/GJ$29*100</f>
        <v>5.3461694705415805</v>
      </c>
      <c r="GK43" s="72">
        <f>IF(ISERROR(GJ43/GH43),"NA",IF(OR(GJ43/GH43&gt;2,GJ43/GH43&lt;0.5),"NM",GJ43/GH43*100-100))</f>
        <v>-7.6862426297934263</v>
      </c>
      <c r="GL43" s="81">
        <f>-GL33/GL$29*100</f>
        <v>5.2033913049297045</v>
      </c>
      <c r="GM43" s="72">
        <f>IF(ISERROR(GL43/GJ43),"NA",IF(OR(GL43/GJ43&gt;2,GL43/GJ43&lt;0.5),"NM",GL43/GJ43*100-100))</f>
        <v>-2.6706629185365642</v>
      </c>
      <c r="GN43" s="81">
        <f>-GN33/GN$29*100</f>
        <v>6.3387586026941518</v>
      </c>
      <c r="GO43" s="72">
        <f>IF(ISERROR(GN43/GL43),"NA",IF(OR(GN43/GL43&gt;2,GN43/GL43&lt;0.5),"NM",GN43/GL43*100-100))</f>
        <v>21.819756217234669</v>
      </c>
      <c r="GP43" s="81">
        <f>-GP33/GP$29*100</f>
        <v>6.5929799001761422</v>
      </c>
      <c r="GQ43" s="72">
        <f>IF(ISERROR(GP43/GN43),"NA",IF(OR(GP43/GN43&gt;2,GP43/GN43&lt;0.5),"NM",GP43/GN43*100-100))</f>
        <v>4.0105849333643846</v>
      </c>
      <c r="GR43" s="86">
        <f>GP43+0.15</f>
        <v>6.7429799001761426</v>
      </c>
      <c r="GS43" s="72">
        <f>IF(ISERROR(GR43/GP43),"NA",IF(OR(GR43/GP43&gt;2,GR43/GP43&lt;0.5),"NM",GR43/GP43*100-100))</f>
        <v>2.2751472364718239</v>
      </c>
      <c r="GT43" s="86">
        <f>GR43+0.15</f>
        <v>6.8929799001761429</v>
      </c>
      <c r="GU43" s="72">
        <f>IF(ISERROR(GT43/GR43),"NA",IF(OR(GT43/GR43&gt;2,GT43/GR43&lt;0.5),"NM",GT43/GR43*100-100))</f>
        <v>2.2245357723234918</v>
      </c>
      <c r="GV43" s="86">
        <f>GT43+0.15</f>
        <v>7.0429799001761433</v>
      </c>
      <c r="GW43" s="72">
        <f>IF(ISERROR(GV43/GT43),"NA",IF(OR(GV43/GT43&gt;2,GV43/GT43&lt;0.5),"NM",GV43/GT43*100-100))</f>
        <v>2.1761270476962693</v>
      </c>
      <c r="GX43" s="86">
        <f>GV43+0.15</f>
        <v>7.1929799001761436</v>
      </c>
      <c r="GY43" s="72">
        <f>IF(ISERROR(GX43/GV43),"NA",IF(OR(GX43/GV43&gt;2,GX43/GV43&lt;0.5),"NM",GX43/GV43*100-100))</f>
        <v>2.1297803220516016</v>
      </c>
      <c r="GZ43" s="72"/>
      <c r="HA43" s="72"/>
      <c r="HB43" s="72"/>
      <c r="HC43"/>
      <c r="HD43"/>
      <c r="HE43"/>
      <c r="HF43"/>
      <c r="HG43"/>
      <c r="HH43"/>
      <c r="HI43" s="2"/>
    </row>
    <row r="44" spans="1:217" s="3" customFormat="1" ht="12.75" customHeight="1" x14ac:dyDescent="0.2">
      <c r="B44" s="10" t="s">
        <v>99</v>
      </c>
      <c r="C44" s="81">
        <f>+C34/C29*400</f>
        <v>0</v>
      </c>
      <c r="D44" s="72"/>
      <c r="E44" s="81">
        <f>+E34/E29*400</f>
        <v>0</v>
      </c>
      <c r="F44" s="72"/>
      <c r="G44" s="81">
        <f>+G34/G29*400</f>
        <v>0</v>
      </c>
      <c r="H44" s="72"/>
      <c r="I44" s="81">
        <f>+I34/I29*400</f>
        <v>0</v>
      </c>
      <c r="J44" s="72"/>
      <c r="K44" s="81">
        <f>+K34/K29*400</f>
        <v>0</v>
      </c>
      <c r="L44" s="72"/>
      <c r="M44" s="81">
        <f>+M34/M29*400</f>
        <v>0</v>
      </c>
      <c r="N44" s="72"/>
      <c r="O44" s="81">
        <f>+O34/O29*400</f>
        <v>0</v>
      </c>
      <c r="P44" s="72"/>
      <c r="Q44" s="81">
        <f>+Q34/Q29*400</f>
        <v>0</v>
      </c>
      <c r="R44" s="72"/>
      <c r="S44" s="81">
        <f>+S34/S29*400</f>
        <v>-1.562416394670662</v>
      </c>
      <c r="T44" s="72"/>
      <c r="U44" s="81">
        <f>+U34/U29*400</f>
        <v>-1.6056414429075128</v>
      </c>
      <c r="V44" s="72"/>
      <c r="W44" s="81">
        <f>+W34/W29*400</f>
        <v>-1.6664682775860016</v>
      </c>
      <c r="X44" s="72"/>
      <c r="Y44" s="81">
        <f>+Y34/Y29*400</f>
        <v>-1.4972261212485798</v>
      </c>
      <c r="Z44" s="72"/>
      <c r="AA44" s="81">
        <f>+AA34/AA29*400</f>
        <v>-1.7212152823053852</v>
      </c>
      <c r="AB44" s="72"/>
      <c r="AC44" s="81">
        <f>+AC34/AC29*400</f>
        <v>-3.047109923154026</v>
      </c>
      <c r="AD44" s="72"/>
      <c r="AE44" s="81">
        <f>+AE34/AE29*400</f>
        <v>-1.3675213675213675</v>
      </c>
      <c r="AF44" s="72"/>
      <c r="AG44" s="81">
        <f>+AG34/AG29*400</f>
        <v>-1.303442361876761</v>
      </c>
      <c r="AH44" s="72"/>
      <c r="AI44" s="81">
        <f>+AI34/AI29*400</f>
        <v>-1.4653348199048897</v>
      </c>
      <c r="AJ44" s="72"/>
      <c r="AK44" s="81">
        <f>+AK34/AK29*400</f>
        <v>-1.2751348700343306</v>
      </c>
      <c r="AL44" s="72"/>
      <c r="AM44" s="81">
        <f>+AM34/AM29*400</f>
        <v>-1.3711131390923053</v>
      </c>
      <c r="AN44" s="72"/>
      <c r="AO44" s="81">
        <f>+AO34/AO29*400</f>
        <v>-1.3940729414939064</v>
      </c>
      <c r="AP44" s="72"/>
      <c r="AQ44" s="81">
        <f>+AQ34/AQ29*400</f>
        <v>-1.2231641992492304</v>
      </c>
      <c r="AR44" s="72"/>
      <c r="AS44" s="81">
        <f>+AS34/AS29*400</f>
        <v>-1.2762471435346872</v>
      </c>
      <c r="AT44" s="72"/>
      <c r="AU44" s="81">
        <f>+AU34/AU29*400</f>
        <v>-1.2742078393316738</v>
      </c>
      <c r="AV44" s="72"/>
      <c r="AW44" s="81">
        <f>+AW34/AW29*400</f>
        <v>-1.2771805027887801</v>
      </c>
      <c r="AX44" s="72"/>
      <c r="AY44" s="81">
        <f>+AY34/AY29*400</f>
        <v>-1.5597305919886566</v>
      </c>
      <c r="AZ44" s="72"/>
      <c r="BA44" s="81">
        <f>+BA34/BA29*400</f>
        <v>-1.6923337282112032</v>
      </c>
      <c r="BB44" s="72"/>
      <c r="BC44" s="81">
        <f>+BC34/BC29*400</f>
        <v>-1.4184603310709667</v>
      </c>
      <c r="BD44" s="72"/>
      <c r="BE44" s="81">
        <f>+BE34/BE29*400</f>
        <v>-1.4967046984621928</v>
      </c>
      <c r="BF44" s="72"/>
      <c r="BG44" s="81">
        <f>+BG34/BG29*400</f>
        <v>-1.6417409965797061</v>
      </c>
      <c r="BH44" s="72"/>
      <c r="BI44" s="81">
        <f>+BI34/BI29*400</f>
        <v>-1.5821989390271327</v>
      </c>
      <c r="BJ44" s="72"/>
      <c r="BK44" s="81">
        <f>+BK34/BK29*400</f>
        <v>-1.342315874784723</v>
      </c>
      <c r="BL44" s="72"/>
      <c r="BM44" s="81">
        <f>+BM34/BM29*400</f>
        <v>-1.286141943749769</v>
      </c>
      <c r="BN44" s="72"/>
      <c r="BO44" s="81">
        <f>+BO34/BO29*400</f>
        <v>-1.4639611602141167</v>
      </c>
      <c r="BP44" s="72"/>
      <c r="BQ44" s="81">
        <f>+BQ34/BQ29*400</f>
        <v>-1.3977619803406378</v>
      </c>
      <c r="BR44" s="72"/>
      <c r="BS44" s="81">
        <f>+BS34/BS29*400</f>
        <v>-1.3867509068761963</v>
      </c>
      <c r="BT44" s="72"/>
      <c r="BU44" s="81">
        <f>+BU34/BU29*400</f>
        <v>-1.4241996233521657</v>
      </c>
      <c r="BV44" s="72"/>
      <c r="BW44" s="81">
        <f>+BW34/BW29*400</f>
        <v>-1.7064675787824755</v>
      </c>
      <c r="BX44" s="72"/>
      <c r="BY44" s="81">
        <f>+BY34/BY29*400</f>
        <v>-1.6292154223188706</v>
      </c>
      <c r="BZ44" s="72"/>
      <c r="CA44" s="81">
        <f>+CA34/CA29*400</f>
        <v>-1.4685325427425919</v>
      </c>
      <c r="CB44" s="72"/>
      <c r="CC44" s="81">
        <f>+CC34/CC29*400</f>
        <v>-1.3595905357686051</v>
      </c>
      <c r="CD44" s="72"/>
      <c r="CE44" s="81">
        <f>+CE34/CE29*400</f>
        <v>-1.3214272407754692</v>
      </c>
      <c r="CF44" s="72"/>
      <c r="CG44" s="81">
        <f>+CG34/CG29*400</f>
        <v>-0.95105353775518564</v>
      </c>
      <c r="CH44" s="72"/>
      <c r="CI44" s="81">
        <f>+CI34/CI29*400</f>
        <v>-1.2441233117605541</v>
      </c>
      <c r="CJ44" s="72"/>
      <c r="CK44" s="81">
        <f>+CK34/CK29*400</f>
        <v>-1.0795180722891566</v>
      </c>
      <c r="CL44" s="72"/>
      <c r="CM44" s="81">
        <f>+CM34/CM29*400</f>
        <v>-0.99269160120373634</v>
      </c>
      <c r="CN44" s="72"/>
      <c r="CO44" s="81">
        <f>+CO34/CO29*400</f>
        <v>-1.0548427284052779</v>
      </c>
      <c r="CP44" s="72"/>
      <c r="CQ44" s="81">
        <f>+CQ34/CQ29*400</f>
        <v>-0.9696796848541025</v>
      </c>
      <c r="CR44" s="72"/>
      <c r="CS44" s="81">
        <f>+CS34/CS29*400</f>
        <v>-1.0731052984574112</v>
      </c>
      <c r="CT44" s="72"/>
      <c r="CU44" s="81">
        <f>+CU34/CU29*400</f>
        <v>-1.0387906290150624</v>
      </c>
      <c r="CV44" s="72"/>
      <c r="CW44" s="81">
        <f>+CW34/CW29*400</f>
        <v>-0.95779706674648313</v>
      </c>
      <c r="CX44" s="72"/>
      <c r="CY44" s="81">
        <f>+CY34/CY29*400</f>
        <v>-0.94077755431078902</v>
      </c>
      <c r="CZ44" s="72"/>
      <c r="DA44" s="81">
        <f>+DA34/DA29*400</f>
        <v>-0.97092649031787748</v>
      </c>
      <c r="DB44" s="72"/>
      <c r="DC44" s="81">
        <f>+DC34/DC29*400</f>
        <v>-0.94219196401434568</v>
      </c>
      <c r="DD44" s="72"/>
      <c r="DE44" s="81">
        <f>+DE34/DE29*400</f>
        <v>-0.93790008199433239</v>
      </c>
      <c r="DF44" s="72"/>
      <c r="DG44" s="81">
        <f>+DG34/DG29*400</f>
        <v>-0.90001814552712744</v>
      </c>
      <c r="DH44" s="72"/>
      <c r="DI44" s="81">
        <f>+DI34/DI29*400</f>
        <v>-0.93530136328524605</v>
      </c>
      <c r="DJ44" s="72"/>
      <c r="DK44" s="81">
        <f>+DK34/DK29*400</f>
        <v>-0.90385267201446151</v>
      </c>
      <c r="DL44" s="72"/>
      <c r="DM44" s="81">
        <f>+DM34/DM29*400</f>
        <v>-1.0710987996306556</v>
      </c>
      <c r="DN44" s="72">
        <f t="shared" si="229"/>
        <v>14.201802536693677</v>
      </c>
      <c r="DO44" s="81">
        <f>+DO34/DO29*400</f>
        <v>-0.88523959202001412</v>
      </c>
      <c r="DP44" s="72">
        <f t="shared" si="229"/>
        <v>-1.6420283947117298</v>
      </c>
      <c r="DQ44" s="81">
        <f>+DQ34/DQ29*400</f>
        <v>-0.96101115086308209</v>
      </c>
      <c r="DR44" s="72">
        <f t="shared" si="229"/>
        <v>2.7488239178365319</v>
      </c>
      <c r="DS44" s="81">
        <f>+DS34/DS29*400</f>
        <v>-1.0317056028062392</v>
      </c>
      <c r="DT44" s="72">
        <f t="shared" si="229"/>
        <v>14.145328630475305</v>
      </c>
      <c r="DU44" s="81">
        <f>+DU34/DU29*400</f>
        <v>-0.9901492840459023</v>
      </c>
      <c r="DV44" s="72">
        <f t="shared" si="229"/>
        <v>-7.5576142567489484</v>
      </c>
      <c r="DW44" s="81">
        <f>+DW34/DW29*400</f>
        <v>-1.0294420424130122</v>
      </c>
      <c r="DX44" s="72">
        <f t="shared" si="229"/>
        <v>16.289652167945263</v>
      </c>
      <c r="DY44" s="81">
        <f>+DY34/DY29*400</f>
        <v>-0.95715308313733505</v>
      </c>
      <c r="DZ44" s="72">
        <f t="shared" si="229"/>
        <v>-0.40145920495116627</v>
      </c>
      <c r="EA44" s="81">
        <f>+EA34/EA29*400</f>
        <v>-0.95020777430557879</v>
      </c>
      <c r="EB44" s="72">
        <f>IF(ISERROR(EA44/DS44),"NA",IF(OR(EA44/DS44&gt;2,EA44/DS44&lt;0.5),"NM",EA44/DS44*100-100))</f>
        <v>-7.8993298358549566</v>
      </c>
      <c r="EC44" s="81">
        <f>+EC34/EC29*400</f>
        <v>-1.0693753936453907</v>
      </c>
      <c r="ED44" s="72">
        <f>IF(ISERROR(EC44/DU44),"NA",IF(OR(EC44/DU44&gt;2,EC44/DU44&lt;0.5),"NM",EC44/DU44*100-100))</f>
        <v>8.0014307818067891</v>
      </c>
      <c r="EE44" s="81">
        <f>+EE34/EE29*400</f>
        <v>-0.92335370532052807</v>
      </c>
      <c r="EF44" s="72">
        <f>IF(ISERROR(EE44/DW44),"NA",IF(OR(EE44/DW44&gt;2,EE44/DW44&lt;0.5),"NM",EE44/DW44*100-100))</f>
        <v>-10.305421065163912</v>
      </c>
      <c r="EG44" s="81">
        <f>+EG34/EG29*400</f>
        <v>-0.89604462147279262</v>
      </c>
      <c r="EH44" s="72">
        <f>IF(ISERROR(EG44/DY44),"NA",IF(OR(EG44/DY44&gt;2,EG44/DY44&lt;0.5),"NM",EG44/DY44*100-100))</f>
        <v>-6.3843979339482928</v>
      </c>
      <c r="EI44" s="81">
        <f>+EI34/EI29*400</f>
        <v>-1.0776607195277079</v>
      </c>
      <c r="EJ44" s="72">
        <f>IF(ISERROR(EI44/EA44),"NA",IF(OR(EI44/EA44&gt;2,EI44/EA44&lt;0.5),"NM",EI44/EA44*100-100))</f>
        <v>13.413165906295916</v>
      </c>
      <c r="EK44" s="81">
        <f>+EK34/EK29*400</f>
        <v>-0.99725817764458324</v>
      </c>
      <c r="EL44" s="72">
        <f>IF(ISERROR(EK44/EC44),"NA",IF(OR(EK44/EC44&gt;2,EK44/EC44&lt;0.5),"NM",EK44/EC44*100-100))</f>
        <v>-6.7438634205867771</v>
      </c>
      <c r="EM44" s="81">
        <f>+EM34/EM29*400</f>
        <v>-0.90199871860906278</v>
      </c>
      <c r="EN44" s="72">
        <f>IF(ISERROR(EM44/EE44),"NA",IF(OR(EM44/EE44&gt;2,EM44/EE44&lt;0.5),"NM",EM44/EE44*100-100))</f>
        <v>-2.312763417573791</v>
      </c>
      <c r="EO44" s="81">
        <f>+EO34/EO29*400</f>
        <v>-0.97466488183730504</v>
      </c>
      <c r="EP44" s="72">
        <f>IF(ISERROR(EO44/EG44),"NA",IF(OR(EO44/EG44&gt;2,EO44/EG44&lt;0.5),"NM",EO44/EG44*100-100))</f>
        <v>8.7741456709251224</v>
      </c>
      <c r="EQ44" s="86">
        <f t="shared" si="230"/>
        <v>-0.97466488183730504</v>
      </c>
      <c r="ER44" s="72">
        <f t="shared" si="231"/>
        <v>-9.557352868492913</v>
      </c>
      <c r="ES44" s="86">
        <f t="shared" si="232"/>
        <v>-0.97466488183730504</v>
      </c>
      <c r="ET44" s="72">
        <f t="shared" si="233"/>
        <v>-2.2655412924906955</v>
      </c>
      <c r="EU44" s="86">
        <f t="shared" si="234"/>
        <v>-0.97466488183730504</v>
      </c>
      <c r="EV44" s="72">
        <f t="shared" si="235"/>
        <v>8.0561271018541873</v>
      </c>
      <c r="EW44" s="86">
        <f t="shared" si="236"/>
        <v>-0.97466488183730504</v>
      </c>
      <c r="EX44" s="72">
        <f t="shared" si="237"/>
        <v>0</v>
      </c>
      <c r="EY44" s="72"/>
      <c r="EZ44" s="306"/>
      <c r="FA44" s="72"/>
      <c r="FB44" s="81">
        <f>+FB34/FB29*100</f>
        <v>0</v>
      </c>
      <c r="FC44" s="88"/>
      <c r="FD44" s="81">
        <f>+FD34/FD29*100</f>
        <v>0</v>
      </c>
      <c r="FE44" s="88"/>
      <c r="FF44" s="81">
        <f>+FF34/FF29*100</f>
        <v>0</v>
      </c>
      <c r="FG44" s="88"/>
      <c r="FH44" s="81">
        <f>+FH34/FH29*100</f>
        <v>0</v>
      </c>
      <c r="FI44" s="88"/>
      <c r="FJ44" s="81">
        <f>+FJ34/FJ29*100</f>
        <v>-1.4607523141955161</v>
      </c>
      <c r="FK44" s="88"/>
      <c r="FL44" s="81">
        <f>+FL34/FL29*100</f>
        <v>-2.9273699308905985</v>
      </c>
      <c r="FM44" s="88"/>
      <c r="FN44" s="81">
        <f>+FN34/FN29*100</f>
        <v>-1.3947985164622632</v>
      </c>
      <c r="FO44" s="88"/>
      <c r="FP44" s="81">
        <f>+FP34/FP29*100</f>
        <v>-1.2695600826690288</v>
      </c>
      <c r="FQ44" s="88"/>
      <c r="FR44" s="81">
        <f>+FR34/FR29*100</f>
        <v>-1.833471188309898</v>
      </c>
      <c r="FS44" s="88"/>
      <c r="FT44" s="81">
        <f>+FT34/FT29*100</f>
        <v>-1.5170008718395815</v>
      </c>
      <c r="FU44" s="88"/>
      <c r="FV44" s="81">
        <f>+FV34/FV29*100</f>
        <v>-1.3158222332876883</v>
      </c>
      <c r="FW44" s="88"/>
      <c r="FX44" s="81">
        <f>+FX34/FX29*100</f>
        <v>-1.6464745779659038</v>
      </c>
      <c r="FY44" s="88"/>
      <c r="FZ44" s="81">
        <f>+FZ34/FZ29*100</f>
        <v>-1.2183459804518189</v>
      </c>
      <c r="GA44" s="88"/>
      <c r="GB44" s="81">
        <f>+GB34/GB29*100</f>
        <v>-1.066948059561496</v>
      </c>
      <c r="GC44" s="88"/>
      <c r="GD44" s="81">
        <f>+GD34/GD29*100</f>
        <v>-1.0652160046654457</v>
      </c>
      <c r="GE44" s="88"/>
      <c r="GF44" s="81">
        <f>+GF34/GF29*100</f>
        <v>-0.97410491763418627</v>
      </c>
      <c r="GG44" s="88"/>
      <c r="GH44" s="81">
        <f>+GH34/GH29*100</f>
        <v>-0.96964782975669084</v>
      </c>
      <c r="GI44" s="72">
        <f>IF(ISERROR(GH44/GF44),"NA",IF(OR(GH44/GF44&gt;2,GH44/GF44&lt;0.5),"NM",GH44/GF44*100-100))</f>
        <v>-0.4575572709683513</v>
      </c>
      <c r="GJ44" s="81">
        <f>+GJ34/GJ29*100</f>
        <v>-0.99366145870275913</v>
      </c>
      <c r="GK44" s="72">
        <f>IF(ISERROR(GJ44/GH44),"NA",IF(OR(GJ44/GH44&gt;2,GJ44/GH44&lt;0.5),"NM",GJ44/GH44*100-100))</f>
        <v>2.4765309846662547</v>
      </c>
      <c r="GL44" s="81">
        <f>+GL34/GL29*100</f>
        <v>-0.97028258643879517</v>
      </c>
      <c r="GM44" s="72">
        <f>IF(ISERROR(GL44/GJ44),"NA",IF(OR(GL44/GJ44&gt;2,GL44/GJ44&lt;0.5),"NM",GL44/GJ44*100-100))</f>
        <v>-2.3528005498457674</v>
      </c>
      <c r="GN44" s="81">
        <f>+GN34/GN29*100</f>
        <v>-1.0163410417821845</v>
      </c>
      <c r="GO44" s="72">
        <f>IF(ISERROR(GN44/GL44),"NA",IF(OR(GN44/GL44&gt;2,GN44/GL44&lt;0.5),"NM",GN44/GL44*100-100))</f>
        <v>4.7469114654975471</v>
      </c>
      <c r="GP44" s="81">
        <f>+GP34/GP29*100</f>
        <v>-0.9570845500071945</v>
      </c>
      <c r="GQ44" s="72">
        <f>IF(ISERROR(GP44/GN44),"NA",IF(OR(GP44/GN44&gt;2,GP44/GN44&lt;0.5),"NM",GP44/GN44*100-100))</f>
        <v>-5.8303747796194472</v>
      </c>
      <c r="GR44" s="86">
        <f>GP44</f>
        <v>-0.9570845500071945</v>
      </c>
      <c r="GS44" s="72">
        <f>IF(ISERROR(GR44/GP44),"NA",IF(OR(GR44/GP44&gt;2,GR44/GP44&lt;0.5),"NM",GR44/GP44*100-100))</f>
        <v>0</v>
      </c>
      <c r="GT44" s="86">
        <f>GR44</f>
        <v>-0.9570845500071945</v>
      </c>
      <c r="GU44" s="72">
        <f>IF(ISERROR(GT44/GR44),"NA",IF(OR(GT44/GR44&gt;2,GT44/GR44&lt;0.5),"NM",GT44/GR44*100-100))</f>
        <v>0</v>
      </c>
      <c r="GV44" s="86">
        <f>GT44</f>
        <v>-0.9570845500071945</v>
      </c>
      <c r="GW44" s="72">
        <f>IF(ISERROR(GV44/GT44),"NA",IF(OR(GV44/GT44&gt;2,GV44/GT44&lt;0.5),"NM",GV44/GT44*100-100))</f>
        <v>0</v>
      </c>
      <c r="GX44" s="86">
        <f>GV44</f>
        <v>-0.9570845500071945</v>
      </c>
      <c r="GY44" s="72">
        <f>IF(ISERROR(GX44/GV44),"NA",IF(OR(GX44/GV44&gt;2,GX44/GV44&lt;0.5),"NM",GX44/GV44*100-100))</f>
        <v>0</v>
      </c>
      <c r="GZ44" s="72"/>
      <c r="HA44" s="72"/>
      <c r="HB44" s="72"/>
      <c r="HC44"/>
      <c r="HD44"/>
      <c r="HE44"/>
      <c r="HF44"/>
      <c r="HG44"/>
      <c r="HH44"/>
      <c r="HI44" s="2"/>
    </row>
    <row r="45" spans="1:217" s="3" customFormat="1" ht="12.75" customHeight="1" x14ac:dyDescent="0.2">
      <c r="B45" s="10" t="s">
        <v>268</v>
      </c>
      <c r="C45" s="81">
        <f>C36/C29*400</f>
        <v>0</v>
      </c>
      <c r="D45" s="72"/>
      <c r="E45" s="81">
        <f>E36/E29*400</f>
        <v>0</v>
      </c>
      <c r="F45" s="72"/>
      <c r="G45" s="81">
        <f>G36/G29*400</f>
        <v>0</v>
      </c>
      <c r="H45" s="72"/>
      <c r="I45" s="81">
        <f>I36/I29*400</f>
        <v>0</v>
      </c>
      <c r="J45" s="72"/>
      <c r="K45" s="81">
        <f>K36/K29*400</f>
        <v>0</v>
      </c>
      <c r="L45" s="72"/>
      <c r="M45" s="81">
        <f>M36/M29*400</f>
        <v>0</v>
      </c>
      <c r="N45" s="72"/>
      <c r="O45" s="81">
        <f>O36/O29*400</f>
        <v>0</v>
      </c>
      <c r="P45" s="72"/>
      <c r="Q45" s="81">
        <f>Q36/Q29*400</f>
        <v>0</v>
      </c>
      <c r="R45" s="72"/>
      <c r="S45" s="81">
        <f>S36/S29*400</f>
        <v>-1.1129541441489648</v>
      </c>
      <c r="T45" s="72"/>
      <c r="U45" s="81">
        <f>U36/U29*400</f>
        <v>-1.0848928668294007</v>
      </c>
      <c r="V45" s="72"/>
      <c r="W45" s="81">
        <f>W36/W29*400</f>
        <v>-1.023687656231401</v>
      </c>
      <c r="X45" s="72"/>
      <c r="Y45" s="81">
        <f>Y36/Y29*400</f>
        <v>-1.1229195909364347</v>
      </c>
      <c r="Z45" s="72"/>
      <c r="AA45" s="81">
        <f>AA36/AA29*400</f>
        <v>-1.0431607771547791</v>
      </c>
      <c r="AB45" s="72"/>
      <c r="AC45" s="81">
        <f>AC36/AC29*400</f>
        <v>-2.5392582692950216</v>
      </c>
      <c r="AD45" s="72"/>
      <c r="AE45" s="81">
        <f>AE36/AE29*400</f>
        <v>-1.297134238310709</v>
      </c>
      <c r="AF45" s="72"/>
      <c r="AG45" s="81">
        <f>AG36/AG29*400</f>
        <v>-1.3524439544285189</v>
      </c>
      <c r="AH45" s="72"/>
      <c r="AI45" s="81">
        <f>AI36/AI29*400</f>
        <v>-1.3106100252565474</v>
      </c>
      <c r="AJ45" s="72"/>
      <c r="AK45" s="81">
        <f>AK36/AK29*400</f>
        <v>-1.2929689241606848</v>
      </c>
      <c r="AL45" s="72"/>
      <c r="AM45" s="81">
        <f>AM36/AM29*400</f>
        <v>-1.2998864825160816</v>
      </c>
      <c r="AN45" s="72"/>
      <c r="AO45" s="81">
        <f>AO36/AO29*400</f>
        <v>-1.4030669604712867</v>
      </c>
      <c r="AP45" s="72"/>
      <c r="AQ45" s="81">
        <f>AQ36/AQ29*400</f>
        <v>-1.3328271964232992</v>
      </c>
      <c r="AR45" s="72"/>
      <c r="AS45" s="81">
        <f>AS36/AS29*400</f>
        <v>-1.3797266416591214</v>
      </c>
      <c r="AT45" s="72"/>
      <c r="AU45" s="81">
        <f>AU36/AU29*400</f>
        <v>-1.4851694021349311</v>
      </c>
      <c r="AV45" s="72"/>
      <c r="AW45" s="81">
        <f>AW36/AW29*400</f>
        <v>-1.471182604478215</v>
      </c>
      <c r="AX45" s="72"/>
      <c r="AY45" s="81">
        <f>AY36/AY29*400</f>
        <v>-1.4494466107369333</v>
      </c>
      <c r="AZ45" s="72"/>
      <c r="BA45" s="81">
        <f>BA36/BA29*400</f>
        <v>-1.5343825802448243</v>
      </c>
      <c r="BB45" s="72"/>
      <c r="BC45" s="81">
        <f>BC36/BC29*400</f>
        <v>-1.5056607612597555</v>
      </c>
      <c r="BD45" s="72"/>
      <c r="BE45" s="81">
        <f>BE36/BE29*400</f>
        <v>-1.6384380979377791</v>
      </c>
      <c r="BF45" s="72"/>
      <c r="BG45" s="81">
        <f>BG36/BG29*400</f>
        <v>-1.5827241633693245</v>
      </c>
      <c r="BH45" s="72"/>
      <c r="BI45" s="81">
        <f>BI36/BI29*400</f>
        <v>-1.6933232792263628</v>
      </c>
      <c r="BJ45" s="72"/>
      <c r="BK45" s="81">
        <f>BK36/BK29*400</f>
        <v>-1.6310404214365315</v>
      </c>
      <c r="BL45" s="72"/>
      <c r="BM45" s="81">
        <f>BM36/BM29*400</f>
        <v>-1.6902171904450987</v>
      </c>
      <c r="BN45" s="72"/>
      <c r="BO45" s="81">
        <f>BO36/BO29*400</f>
        <v>-1.52371467695755</v>
      </c>
      <c r="BP45" s="72"/>
      <c r="BQ45" s="81">
        <f>BQ36/BQ29*400</f>
        <v>-1.6911852968243595</v>
      </c>
      <c r="BR45" s="72"/>
      <c r="BS45" s="81">
        <f>BS36/BS29*400</f>
        <v>-1.5366699238357853</v>
      </c>
      <c r="BT45" s="72"/>
      <c r="BU45" s="81">
        <f>BU36/BU29*400</f>
        <v>-1.2417608286252353</v>
      </c>
      <c r="BV45" s="72"/>
      <c r="BW45" s="81">
        <f>BW36/BW29*400</f>
        <v>-1.3665072408219041</v>
      </c>
      <c r="BX45" s="72"/>
      <c r="BY45" s="81">
        <f>BY36/BY29*400</f>
        <v>-1.6292154223188706</v>
      </c>
      <c r="BZ45" s="72"/>
      <c r="CA45" s="81">
        <f>CA36/CA29*400</f>
        <v>-1.7450344859368039</v>
      </c>
      <c r="CB45" s="72"/>
      <c r="CC45" s="81">
        <f>CC36/CC29*400</f>
        <v>-1.7775191440398883</v>
      </c>
      <c r="CD45" s="72"/>
      <c r="CE45" s="81">
        <f>CE36/CE29*400</f>
        <v>-1.7834299978886969</v>
      </c>
      <c r="CF45" s="72"/>
      <c r="CG45" s="81">
        <f>CG36/CG29*400</f>
        <v>-1.8412021691516651</v>
      </c>
      <c r="CH45" s="72"/>
      <c r="CI45" s="81">
        <f>CI36/CI29*400</f>
        <v>-2.0193078367805919</v>
      </c>
      <c r="CJ45" s="72"/>
      <c r="CK45" s="81">
        <f>CK36/CK29*400</f>
        <v>-2.1076305220883533</v>
      </c>
      <c r="CL45" s="72"/>
      <c r="CM45" s="81">
        <f>CM36/CM29*400</f>
        <v>-2.0518231914644156</v>
      </c>
      <c r="CN45" s="72"/>
      <c r="CO45" s="81">
        <f>CO36/CO29*400</f>
        <v>-2.066036792186889</v>
      </c>
      <c r="CP45" s="72"/>
      <c r="CQ45" s="81">
        <f>CQ36/CQ29*400</f>
        <v>-2.0320493395839647</v>
      </c>
      <c r="CR45" s="72"/>
      <c r="CS45" s="81">
        <f>CS36/CS29*400</f>
        <v>-2.2356360384529399</v>
      </c>
      <c r="CT45" s="72"/>
      <c r="CU45" s="81">
        <f>CU36/CU29*400</f>
        <v>-2.2598252280327675</v>
      </c>
      <c r="CV45" s="72"/>
      <c r="CW45" s="81">
        <f>CW36/CW29*400</f>
        <v>-2.121786557584223</v>
      </c>
      <c r="CX45" s="72"/>
      <c r="CY45" s="81">
        <f>CY36/CY29*400</f>
        <v>-2.2970928976281102</v>
      </c>
      <c r="CZ45" s="72"/>
      <c r="DA45" s="81">
        <f>DA36/DA29*400</f>
        <v>-2.2582571404198557</v>
      </c>
      <c r="DB45" s="72"/>
      <c r="DC45" s="81">
        <f>DC36/DC29*400</f>
        <v>-2.2339067533888519</v>
      </c>
      <c r="DD45" s="72"/>
      <c r="DE45" s="81">
        <f>DE36/DE29*400</f>
        <v>-2.3246112461700013</v>
      </c>
      <c r="DF45" s="72"/>
      <c r="DG45" s="81">
        <f>DG36/DG29*400</f>
        <v>-2.354563600072582</v>
      </c>
      <c r="DH45" s="72"/>
      <c r="DI45" s="81">
        <f>DI36/DI29*400</f>
        <v>-2.3382534082131152</v>
      </c>
      <c r="DJ45" s="72"/>
      <c r="DK45" s="81">
        <f>DK36/DK29*400</f>
        <v>-2.2516565094007324</v>
      </c>
      <c r="DL45" s="72"/>
      <c r="DM45" s="81">
        <f>DM36/DM29*400</f>
        <v>-2.2925735391109354</v>
      </c>
      <c r="DN45" s="72">
        <f t="shared" si="229"/>
        <v>-1.378196337639281</v>
      </c>
      <c r="DO45" s="81">
        <f>DO36/DO29*400</f>
        <v>-2.2862274680864711</v>
      </c>
      <c r="DP45" s="72">
        <f t="shared" si="229"/>
        <v>-2.9022843971598178</v>
      </c>
      <c r="DQ45" s="81">
        <f>DQ36/DQ29*400</f>
        <v>-2.3241845768156062</v>
      </c>
      <c r="DR45" s="72">
        <f t="shared" si="229"/>
        <v>-0.60168120991900764</v>
      </c>
      <c r="DS45" s="81">
        <f>DS36/DS29*400</f>
        <v>-2.3007034942579137</v>
      </c>
      <c r="DT45" s="72">
        <f t="shared" si="229"/>
        <v>2.1782622994408314</v>
      </c>
      <c r="DU45" s="81">
        <f>DU36/DU29*400</f>
        <v>-2.3128871737585053</v>
      </c>
      <c r="DV45" s="72">
        <f t="shared" si="229"/>
        <v>0.8860625101451518</v>
      </c>
      <c r="DW45" s="81">
        <f>DW36/DW29*400</f>
        <v>-2.3033765698991147</v>
      </c>
      <c r="DX45" s="72">
        <f t="shared" si="229"/>
        <v>0.75010479280948061</v>
      </c>
      <c r="DY45" s="81">
        <f>DY36/DY29*400</f>
        <v>-2.4242424242424243</v>
      </c>
      <c r="DZ45" s="72">
        <f t="shared" si="229"/>
        <v>4.3050732039495898</v>
      </c>
      <c r="EA45" s="81">
        <f>EA36/EA29*400</f>
        <v>-2.2938818664222</v>
      </c>
      <c r="EB45" s="72">
        <f>IF(ISERROR(EA45/DS45),"NA",IF(OR(EA45/DS45&gt;2,EA45/DS45&lt;0.5),"NM",EA45/DS45*100-100))</f>
        <v>-0.29650182445234918</v>
      </c>
      <c r="EC45" s="81">
        <f>EC36/EC29*400</f>
        <v>-2.3719228656044384</v>
      </c>
      <c r="ED45" s="72">
        <f>IF(ISERROR(EC45/DU45),"NA",IF(OR(EC45/DU45&gt;2,EC45/DU45&lt;0.5),"NM",EC45/DU45*100-100))</f>
        <v>2.5524674318634624</v>
      </c>
      <c r="EE45" s="81">
        <f>EE36/EE29*400</f>
        <v>-2.404952774029685</v>
      </c>
      <c r="EF45" s="72">
        <f>IF(ISERROR(EE45/DW45),"NA",IF(OR(EE45/DW45&gt;2,EE45/DW45&lt;0.5),"NM",EE45/DW45*100-100))</f>
        <v>4.4098826678183656</v>
      </c>
      <c r="EG45" s="81">
        <f>EG36/EG29*400</f>
        <v>-2.3266173024408823</v>
      </c>
      <c r="EH45" s="72">
        <f>IF(ISERROR(EG45/DY45),"NA",IF(OR(EG45/DY45&gt;2,EG45/DY45&lt;0.5),"NM",EG45/DY45*100-100))</f>
        <v>-4.0270362743136161</v>
      </c>
      <c r="EI45" s="81">
        <f>EI36/EI29*400</f>
        <v>-2.361459930199941</v>
      </c>
      <c r="EJ45" s="72">
        <f>IF(ISERROR(EI45/EA45),"NA",IF(OR(EI45/EA45&gt;2,EI45/EA45&lt;0.5),"NM",EI45/EA45*100-100))</f>
        <v>2.9460132523364564</v>
      </c>
      <c r="EK45" s="81">
        <f>EK36/EK29*400</f>
        <v>-2.3617930242938212</v>
      </c>
      <c r="EL45" s="72">
        <f>IF(ISERROR(EK45/EC45),"NA",IF(OR(EK45/EC45&gt;2,EK45/EC45&lt;0.5),"NM",EK45/EC45*100-100))</f>
        <v>-0.42707296504079295</v>
      </c>
      <c r="EM45" s="81">
        <f>EM36/EM29*400</f>
        <v>-2.3517292496325424</v>
      </c>
      <c r="EN45" s="72">
        <f>IF(ISERROR(EM45/EE45),"NA",IF(OR(EM45/EE45&gt;2,EM45/EE45&lt;0.5),"NM",EM45/EE45*100-100))</f>
        <v>-2.2130798147841517</v>
      </c>
      <c r="EO45" s="81">
        <f>EO36/EO29*400</f>
        <v>-2.3317931983196285</v>
      </c>
      <c r="EP45" s="72">
        <f>IF(ISERROR(EO45/EG45),"NA",IF(OR(EO45/EG45&gt;2,EO45/EG45&lt;0.5),"NM",EO45/EG45*100-100))</f>
        <v>0.22246442822016377</v>
      </c>
      <c r="EQ45" s="86">
        <f t="shared" si="230"/>
        <v>-2.3317931983196285</v>
      </c>
      <c r="ER45" s="72">
        <f t="shared" si="231"/>
        <v>-1.2562877523736233</v>
      </c>
      <c r="ES45" s="86">
        <f t="shared" si="232"/>
        <v>-2.3317931983196285</v>
      </c>
      <c r="ET45" s="72">
        <f t="shared" si="233"/>
        <v>-1.2702140139126925</v>
      </c>
      <c r="EU45" s="86">
        <f t="shared" si="234"/>
        <v>-2.3317931983196285</v>
      </c>
      <c r="EV45" s="72">
        <f t="shared" si="235"/>
        <v>-0.84771881440130414</v>
      </c>
      <c r="EW45" s="86">
        <f t="shared" si="236"/>
        <v>-2.3317931983196285</v>
      </c>
      <c r="EX45" s="72">
        <f t="shared" si="237"/>
        <v>0</v>
      </c>
      <c r="EY45" s="72"/>
      <c r="EZ45" s="306"/>
      <c r="FA45" s="72"/>
      <c r="FB45" s="81">
        <f>FB36/FB29*400</f>
        <v>0</v>
      </c>
      <c r="FC45" s="88"/>
      <c r="FD45" s="81">
        <f>FD36/FD29*400</f>
        <v>0</v>
      </c>
      <c r="FE45" s="88"/>
      <c r="FF45" s="81">
        <f>FF36/FF29*400</f>
        <v>0</v>
      </c>
      <c r="FG45" s="88"/>
      <c r="FH45" s="81">
        <f>FH36/FH29*400</f>
        <v>0</v>
      </c>
      <c r="FI45" s="88"/>
      <c r="FJ45" s="81">
        <f>FJ36/FJ29*400</f>
        <v>-4.002354326074161</v>
      </c>
      <c r="FK45" s="88"/>
      <c r="FL45" s="81">
        <f>FL36/FL29*400</f>
        <v>-10.483765810405529</v>
      </c>
      <c r="FM45" s="88"/>
      <c r="FN45" s="81">
        <f>FN36/FN29*400</f>
        <v>-5.3789619786570801</v>
      </c>
      <c r="FO45" s="88"/>
      <c r="FP45" s="81">
        <f>FP36/FP29*400</f>
        <v>-5.7024758530515838</v>
      </c>
      <c r="FQ45" s="88"/>
      <c r="FR45" s="81">
        <f>FR36/FR29*400</f>
        <v>-7.3732718894009217</v>
      </c>
      <c r="FS45" s="88"/>
      <c r="FT45" s="81">
        <f>FT36/FT29*400</f>
        <v>-6.8674133190262223</v>
      </c>
      <c r="FU45" s="88"/>
      <c r="FV45" s="81">
        <f>FV36/FV29*400</f>
        <v>-5.581974355782398</v>
      </c>
      <c r="FW45" s="88"/>
      <c r="FX45" s="81">
        <f>FX36/FX29*400</f>
        <v>-7.0725082073758063</v>
      </c>
      <c r="FY45" s="88"/>
      <c r="FZ45" s="81">
        <f>FZ36/FZ29*400</f>
        <v>-8.2763074553832006</v>
      </c>
      <c r="GA45" s="88"/>
      <c r="GB45" s="81">
        <f>GB36/GB29*100</f>
        <v>-2.1866572869035057</v>
      </c>
      <c r="GC45" s="88"/>
      <c r="GD45" s="81">
        <f>GD36/GD29*100</f>
        <v>-2.4393355384853703</v>
      </c>
      <c r="GE45" s="88"/>
      <c r="GF45" s="81">
        <f>GF36/GF29*100</f>
        <v>-2.4269041395659841</v>
      </c>
      <c r="GG45" s="88"/>
      <c r="GH45" s="81">
        <f>GH36/GH29*100</f>
        <v>-2.3240976426724798</v>
      </c>
      <c r="GI45" s="72">
        <f>IF(ISERROR(GH45/GF45),"NA",IF(OR(GH45/GF45&gt;2,GH45/GF45&lt;0.5),"NM",GH45/GF45*100-100))</f>
        <v>-4.2361169202129929</v>
      </c>
      <c r="GJ45" s="81">
        <f>GJ36/GJ29*100</f>
        <v>-2.3129549982912376</v>
      </c>
      <c r="GK45" s="72">
        <f>IF(ISERROR(GJ45/GH45),"NA",IF(OR(GJ45/GH45&gt;2,GJ45/GH45&lt;0.5),"NM",GJ45/GH45*100-100))</f>
        <v>-0.47943959740129571</v>
      </c>
      <c r="GL45" s="81">
        <f>GL36/GL29*100</f>
        <v>-2.3768577565728277</v>
      </c>
      <c r="GM45" s="72">
        <f>IF(ISERROR(GL45/GJ45),"NA",IF(OR(GL45/GJ45&gt;2,GL45/GJ45&lt;0.5),"NM",GL45/GJ45*100-100))</f>
        <v>2.7628189190364765</v>
      </c>
      <c r="GN45" s="81">
        <f>GN36/GN29*100</f>
        <v>-2.4214749339508792</v>
      </c>
      <c r="GO45" s="72">
        <f>IF(ISERROR(GN45/GL45),"NA",IF(OR(GN45/GL45&gt;2,GN45/GL45&lt;0.5),"NM",GN45/GL45*100-100))</f>
        <v>1.8771496634440723</v>
      </c>
      <c r="GP45" s="81">
        <f>GP36/GP29*100</f>
        <v>-2.2897339234349339</v>
      </c>
      <c r="GQ45" s="72">
        <f>IF(ISERROR(GP45/GN45),"NA",IF(OR(GP45/GN45&gt;2,GP45/GN45&lt;0.5),"NM",GP45/GN45*100-100))</f>
        <v>-5.4405275342246426</v>
      </c>
      <c r="GR45" s="86">
        <f>GP45</f>
        <v>-2.2897339234349339</v>
      </c>
      <c r="GS45" s="72">
        <f>IF(ISERROR(GR45/GP45),"NA",IF(OR(GR45/GP45&gt;2,GR45/GP45&lt;0.5),"NM",GR45/GP45*100-100))</f>
        <v>0</v>
      </c>
      <c r="GT45" s="86">
        <f>GR45</f>
        <v>-2.2897339234349339</v>
      </c>
      <c r="GU45" s="72">
        <f>IF(ISERROR(GT45/GR45),"NA",IF(OR(GT45/GR45&gt;2,GT45/GR45&lt;0.5),"NM",GT45/GR45*100-100))</f>
        <v>0</v>
      </c>
      <c r="GV45" s="86">
        <f>GT45</f>
        <v>-2.2897339234349339</v>
      </c>
      <c r="GW45" s="72">
        <f>IF(ISERROR(GV45/GT45),"NA",IF(OR(GV45/GT45&gt;2,GV45/GT45&lt;0.5),"NM",GV45/GT45*100-100))</f>
        <v>0</v>
      </c>
      <c r="GX45" s="86">
        <f>GV45</f>
        <v>-2.2897339234349339</v>
      </c>
      <c r="GY45" s="72">
        <f>IF(ISERROR(GX45/GV45),"NA",IF(OR(GX45/GV45&gt;2,GX45/GV45&lt;0.5),"NM",GX45/GV45*100-100))</f>
        <v>0</v>
      </c>
      <c r="GZ45" s="72"/>
      <c r="HA45" s="72"/>
      <c r="HB45" s="72"/>
      <c r="HC45"/>
      <c r="HD45"/>
      <c r="HE45"/>
      <c r="HF45"/>
      <c r="HG45"/>
      <c r="HH45"/>
      <c r="HI45" s="2"/>
    </row>
    <row r="46" spans="1:217" s="3" customFormat="1" ht="12.75" customHeight="1" x14ac:dyDescent="0.2">
      <c r="B46" s="266" t="s">
        <v>281</v>
      </c>
      <c r="C46" s="81">
        <f>C35/C$29*400</f>
        <v>8.6848854691783863</v>
      </c>
      <c r="D46" s="72"/>
      <c r="E46" s="81">
        <f>E35/E$29*400</f>
        <v>-10.317287129577096</v>
      </c>
      <c r="F46" s="72"/>
      <c r="G46" s="81">
        <f>G35/G$29*400</f>
        <v>3.6329301740029676</v>
      </c>
      <c r="H46" s="72"/>
      <c r="I46" s="81">
        <f>I35/I$29*400</f>
        <v>-17.238742183633992</v>
      </c>
      <c r="J46" s="72"/>
      <c r="K46" s="81">
        <f>K35/K$29*400</f>
        <v>-30.675720594520158</v>
      </c>
      <c r="L46" s="72"/>
      <c r="M46" s="81">
        <f>M35/M$29*400</f>
        <v>13.976357359556438</v>
      </c>
      <c r="N46" s="72"/>
      <c r="O46" s="81">
        <f>O35/O$29*400</f>
        <v>-42.104184807662762</v>
      </c>
      <c r="P46" s="72"/>
      <c r="Q46" s="81">
        <f>Q35/Q$29*400</f>
        <v>39.953461314717856</v>
      </c>
      <c r="R46" s="72"/>
      <c r="S46" s="81">
        <f>S35/S$29*400</f>
        <v>0.66349189362726735</v>
      </c>
      <c r="T46" s="72"/>
      <c r="U46" s="81">
        <f>U35/U$29*400</f>
        <v>-29.335503119066992</v>
      </c>
      <c r="V46" s="72"/>
      <c r="W46" s="81">
        <f>W35/W$29*400</f>
        <v>-37.614569694084039</v>
      </c>
      <c r="X46" s="72"/>
      <c r="Y46" s="81">
        <f>Y35/Y$29*400</f>
        <v>17.27157275583183</v>
      </c>
      <c r="Z46" s="72"/>
      <c r="AA46" s="81">
        <f>AA35/AA$29*400</f>
        <v>-4.6942234971965053</v>
      </c>
      <c r="AB46" s="72"/>
      <c r="AC46" s="81">
        <f>AC35/AC$29*400</f>
        <v>65.405947210157038</v>
      </c>
      <c r="AD46" s="72"/>
      <c r="AE46" s="81">
        <f>AE35/AE$29*400</f>
        <v>9.9547511312217196</v>
      </c>
      <c r="AF46" s="72"/>
      <c r="AG46" s="81">
        <f>AG35/AG$29*400</f>
        <v>30.106578463800069</v>
      </c>
      <c r="AH46" s="72"/>
      <c r="AI46" s="81">
        <f>AI35/AI$29*400</f>
        <v>7.6725295228560375</v>
      </c>
      <c r="AJ46" s="72"/>
      <c r="AK46" s="81">
        <f>AK35/AK$29*400</f>
        <v>0.74903027330687943</v>
      </c>
      <c r="AL46" s="72"/>
      <c r="AM46" s="81">
        <f>AM35/AM$29*400</f>
        <v>-1.2998864825160816</v>
      </c>
      <c r="AN46" s="72"/>
      <c r="AO46" s="81">
        <f>AO35/AO$29*400</f>
        <v>29.770202815127938</v>
      </c>
      <c r="AP46" s="72"/>
      <c r="AQ46" s="81">
        <f>AQ35/AQ$29*400</f>
        <v>-6.5291661394407186</v>
      </c>
      <c r="AR46" s="72"/>
      <c r="AS46" s="81">
        <f>AS35/AS$29*400</f>
        <v>8.7526408830250499</v>
      </c>
      <c r="AT46" s="72"/>
      <c r="AU46" s="81">
        <f>AU35/AU$29*400</f>
        <v>15.830555672756425</v>
      </c>
      <c r="AV46" s="72"/>
      <c r="AW46" s="81">
        <f>AW35/AW$29*400</f>
        <v>8.9402635195214621</v>
      </c>
      <c r="AX46" s="72"/>
      <c r="AY46" s="81">
        <f>AY35/AY$29*400</f>
        <v>17.653314427507976</v>
      </c>
      <c r="AZ46" s="72"/>
      <c r="BA46" s="81">
        <f>BA35/BA$29*400</f>
        <v>-7.5214832364942366</v>
      </c>
      <c r="BB46" s="72"/>
      <c r="BC46" s="81">
        <f>BC35/BC$29*400</f>
        <v>11.696484369322889</v>
      </c>
      <c r="BD46" s="72"/>
      <c r="BE46" s="81">
        <f>BE35/BE$29*400</f>
        <v>23.856565799730706</v>
      </c>
      <c r="BF46" s="72"/>
      <c r="BG46" s="81">
        <f>BG35/BG$29*400</f>
        <v>6.266514653611428</v>
      </c>
      <c r="BH46" s="72"/>
      <c r="BI46" s="81">
        <f>BI35/BI$29*400</f>
        <v>18.404307391091532</v>
      </c>
      <c r="BJ46" s="72"/>
      <c r="BK46" s="81">
        <f>BK35/BK$29*400</f>
        <v>11.624962009928073</v>
      </c>
      <c r="BL46" s="72"/>
      <c r="BM46" s="81">
        <f>BM35/BM$29*400</f>
        <v>-4.2625010779446368</v>
      </c>
      <c r="BN46" s="72"/>
      <c r="BO46" s="81">
        <f>BO35/BO$29*400</f>
        <v>-26.933897672102574</v>
      </c>
      <c r="BP46" s="72"/>
      <c r="BQ46" s="81">
        <f>BQ35/BQ$29*400</f>
        <v>-1.3124024700908279</v>
      </c>
      <c r="BR46" s="72"/>
      <c r="BS46" s="81">
        <f>BS35/BS$29*400</f>
        <v>-35.937730065455717</v>
      </c>
      <c r="BT46" s="72"/>
      <c r="BU46" s="81">
        <f>BU35/BU$29*400</f>
        <v>-46.998587570621467</v>
      </c>
      <c r="BV46" s="72"/>
      <c r="BW46" s="81">
        <f>BW35/BW$29*400</f>
        <v>-15.124902094755614</v>
      </c>
      <c r="BX46" s="72"/>
      <c r="BY46" s="81">
        <f>BY35/BY$29*400</f>
        <v>38.424631528079807</v>
      </c>
      <c r="BZ46" s="72"/>
      <c r="CA46" s="81">
        <f>CA35/CA$29*400</f>
        <v>40.860842716477983</v>
      </c>
      <c r="CB46" s="72"/>
      <c r="CC46" s="81">
        <f>CC35/CC$29*400</f>
        <v>12.024705400007935</v>
      </c>
      <c r="CD46" s="72"/>
      <c r="CE46" s="81">
        <f>CE35/CE$29*400</f>
        <v>11.366261379301781</v>
      </c>
      <c r="CF46" s="72"/>
      <c r="CG46" s="81">
        <f>CG35/CG$29*400</f>
        <v>-22.413005540003983</v>
      </c>
      <c r="CH46" s="72"/>
      <c r="CI46" s="81">
        <f>CI35/CI$29*400</f>
        <v>32.328065747131937</v>
      </c>
      <c r="CJ46" s="72"/>
      <c r="CK46" s="81">
        <f>CK35/CK$29*400</f>
        <v>23.509504685408299</v>
      </c>
      <c r="CL46" s="72"/>
      <c r="CM46" s="81">
        <f>CM35/CM$29*400</f>
        <v>13.882049478250675</v>
      </c>
      <c r="CN46" s="72"/>
      <c r="CO46" s="81">
        <f>CO35/CO$29*400</f>
        <v>1.7932326382889723</v>
      </c>
      <c r="CP46" s="72"/>
      <c r="CQ46" s="81">
        <f>CQ35/CQ$29*400</f>
        <v>-40.391436872783018</v>
      </c>
      <c r="CR46" s="72"/>
      <c r="CS46" s="81">
        <f>CS35/CS$29*400</f>
        <v>18.798783036382545</v>
      </c>
      <c r="CT46" s="72"/>
      <c r="CU46" s="81">
        <f>CU35/CU$29*400</f>
        <v>29.782309577831846</v>
      </c>
      <c r="CV46" s="72"/>
      <c r="CW46" s="81">
        <f>CW35/CW$29*400</f>
        <v>-9.1190262396488073</v>
      </c>
      <c r="CX46" s="72"/>
      <c r="CY46" s="81">
        <f>CY35/CY$29*400</f>
        <v>17.499127370643087</v>
      </c>
      <c r="CZ46" s="72"/>
      <c r="DA46" s="81">
        <f>DA35/DA$29*400</f>
        <v>5.2330766427037041</v>
      </c>
      <c r="DB46" s="72"/>
      <c r="DC46" s="81">
        <f>DC35/DC$29*400</f>
        <v>18.354507324782688</v>
      </c>
      <c r="DD46" s="72"/>
      <c r="DE46" s="81">
        <f>DE35/DE$29*400</f>
        <v>-1.9160780816203231</v>
      </c>
      <c r="DF46" s="72"/>
      <c r="DG46" s="81">
        <f>DG35/DG$29*400</f>
        <v>18.810379241516966</v>
      </c>
      <c r="DH46" s="72"/>
      <c r="DI46" s="81">
        <f>DI35/DI$29*400</f>
        <v>21.163976979338468</v>
      </c>
      <c r="DJ46" s="72"/>
      <c r="DK46" s="81">
        <f>DK35/DK$29*400</f>
        <v>5.8325081247050843</v>
      </c>
      <c r="DL46" s="72"/>
      <c r="DM46" s="81">
        <f>DM35/DM$29*400</f>
        <v>13.404564041683157</v>
      </c>
      <c r="DN46" s="72" t="str">
        <f t="shared" si="229"/>
        <v>NM</v>
      </c>
      <c r="DO46" s="81">
        <f>DO35/DO$29*400</f>
        <v>-4.8521393290140482</v>
      </c>
      <c r="DP46" s="72" t="str">
        <f t="shared" si="229"/>
        <v>NM</v>
      </c>
      <c r="DQ46" s="81">
        <f>DQ35/DQ$29*400</f>
        <v>7.6907006502493935</v>
      </c>
      <c r="DR46" s="72" t="str">
        <f t="shared" si="229"/>
        <v>NM</v>
      </c>
      <c r="DS46" s="81">
        <f>DS35/DS$29*400</f>
        <v>9.5768072580489161</v>
      </c>
      <c r="DT46" s="72">
        <f t="shared" si="229"/>
        <v>64.197066738473836</v>
      </c>
      <c r="DU46" s="81">
        <f>DU35/DU$29*400</f>
        <v>-2.4956839646592872</v>
      </c>
      <c r="DV46" s="72" t="str">
        <f t="shared" si="229"/>
        <v>NM</v>
      </c>
      <c r="DW46" s="81">
        <f>DW35/DW$29*400</f>
        <v>-19.543957175211034</v>
      </c>
      <c r="DX46" s="72" t="str">
        <f t="shared" si="229"/>
        <v>NM</v>
      </c>
      <c r="DY46" s="81">
        <f>DY35/DY$29*400</f>
        <v>10.659576643828613</v>
      </c>
      <c r="DZ46" s="72">
        <f t="shared" si="229"/>
        <v>38.603452774916491</v>
      </c>
      <c r="EA46" s="81">
        <f>EA35/EA$29*400</f>
        <v>2.0449541959703157</v>
      </c>
      <c r="EB46" s="72" t="str">
        <f>IF(ISERROR(EA46/DS46),"NA",IF(OR(EA46/DS46&gt;2,EA46/DS46&lt;0.5),"NM",EA46/DS46*100-100))</f>
        <v>NM</v>
      </c>
      <c r="EC46" s="81">
        <f>EC35/EC$29*400</f>
        <v>7.7000388620130522</v>
      </c>
      <c r="ED46" s="72" t="str">
        <f>IF(ISERROR(EC46/DU46),"NA",IF(OR(EC46/DU46&gt;2,EC46/DU46&lt;0.5),"NM",EC46/DU46*100-100))</f>
        <v>NM</v>
      </c>
      <c r="EE46" s="81">
        <f>EE35/EE$29*400</f>
        <v>12.903140460883138</v>
      </c>
      <c r="EF46" s="72" t="str">
        <f>IF(ISERROR(EE46/DW46),"NA",IF(OR(EE46/DW46&gt;2,EE46/DW46&lt;0.5),"NM",EE46/DW46*100-100))</f>
        <v>NM</v>
      </c>
      <c r="EG46" s="81">
        <f>EG35/EG$29*400</f>
        <v>0.32020038346578183</v>
      </c>
      <c r="EH46" s="72" t="str">
        <f>IF(ISERROR(EG46/DY46),"NA",IF(OR(EG46/DY46&gt;2,EG46/DY46&lt;0.5),"NM",EG46/DY46*100-100))</f>
        <v>NM</v>
      </c>
      <c r="EI46" s="81">
        <f>EI35/EI$29*400</f>
        <v>15.006360285723606</v>
      </c>
      <c r="EJ46" s="72" t="str">
        <f>IF(ISERROR(EI46/EA46),"NA",IF(OR(EI46/EA46&gt;2,EI46/EA46&lt;0.5),"NM",EI46/EA46*100-100))</f>
        <v>NM</v>
      </c>
      <c r="EK46" s="81">
        <f>EK35/EK$29*400</f>
        <v>11.676337435439647</v>
      </c>
      <c r="EL46" s="72">
        <f>IF(ISERROR(EK46/EC46),"NA",IF(OR(EK46/EC46&gt;2,EK46/EC46&lt;0.5),"NM",EK46/EC46*100-100))</f>
        <v>51.639980585592212</v>
      </c>
      <c r="EM46" s="81">
        <f>EM35/EM$29*400</f>
        <v>12.989786560470346</v>
      </c>
      <c r="EN46" s="72">
        <f>IF(ISERROR(EM46/EE46),"NA",IF(OR(EM46/EE46&gt;2,EM46/EE46&lt;0.5),"NM",EM46/EE46*100-100))</f>
        <v>0.67151171336841742</v>
      </c>
      <c r="EO46" s="81">
        <f>EO35/EO$29*400</f>
        <v>13.556478128643427</v>
      </c>
      <c r="EP46" s="72" t="str">
        <f>IF(ISERROR(EO46/EG46),"NA",IF(OR(EO46/EG46&gt;2,EO46/EG46&lt;0.5),"NM",EO46/EG46*100-100))</f>
        <v>NM</v>
      </c>
      <c r="EQ46" s="81">
        <f t="shared" ref="EQ46" si="238">EQ35/EQ$29*400</f>
        <v>-3.36</v>
      </c>
      <c r="ER46" s="72" t="str">
        <f t="shared" si="231"/>
        <v>NM</v>
      </c>
      <c r="ES46" s="81">
        <f t="shared" ref="ES46" si="239">ES35/ES$29*400</f>
        <v>5.6</v>
      </c>
      <c r="ET46" s="72" t="str">
        <f t="shared" si="233"/>
        <v>NM</v>
      </c>
      <c r="EU46" s="81">
        <f t="shared" ref="EU46" si="240">EU35/EU$29*400</f>
        <v>5.5999999999999988</v>
      </c>
      <c r="EV46" s="72" t="str">
        <f t="shared" si="235"/>
        <v>NM</v>
      </c>
      <c r="EW46" s="81">
        <f t="shared" ref="EW46" si="241">EW35/EW$29*400</f>
        <v>5.6000000000000005</v>
      </c>
      <c r="EX46" s="72" t="str">
        <f t="shared" si="237"/>
        <v>NM</v>
      </c>
      <c r="EY46" s="72"/>
      <c r="EZ46" s="306"/>
      <c r="FA46" s="72"/>
      <c r="FB46" s="81">
        <f>FB35/FB$29*100</f>
        <v>8.9447978191731039</v>
      </c>
      <c r="FC46" s="88"/>
      <c r="FD46" s="81">
        <f>FD35/FD$29*100</f>
        <v>13.554897334203526</v>
      </c>
      <c r="FE46" s="88"/>
      <c r="FF46" s="81">
        <f>FF35/FF$29*100</f>
        <v>-3.78526576457062</v>
      </c>
      <c r="FG46" s="88"/>
      <c r="FH46" s="81">
        <f>FH35/FH$29*100</f>
        <v>-6.1019041739873687</v>
      </c>
      <c r="FI46" s="88"/>
      <c r="FJ46" s="81">
        <f>FJ35/FJ$29*100</f>
        <v>-12.065921130076514</v>
      </c>
      <c r="FK46" s="88"/>
      <c r="FL46" s="81">
        <f>FL35/FL$29*100</f>
        <v>41.263528491328728</v>
      </c>
      <c r="FM46" s="88"/>
      <c r="FN46" s="81">
        <f>FN35/FN$29*100</f>
        <v>9.3085166897995393</v>
      </c>
      <c r="FO46" s="88"/>
      <c r="FP46" s="81">
        <f>FP35/FP$29*100</f>
        <v>6.7969969210004644</v>
      </c>
      <c r="FQ46" s="88"/>
      <c r="FR46" s="81">
        <f>FR35/FR$29*100</f>
        <v>14.693371144984049</v>
      </c>
      <c r="FS46" s="88"/>
      <c r="FT46" s="81">
        <f>FT35/FT$29*100</f>
        <v>8.1496881496881493</v>
      </c>
      <c r="FU46" s="88"/>
      <c r="FV46" s="81">
        <f>FV35/FV$29*100</f>
        <v>-25.336735964147888</v>
      </c>
      <c r="FW46" s="88"/>
      <c r="FX46" s="81">
        <f>FX35/FX$29*100</f>
        <v>20.364290832736181</v>
      </c>
      <c r="FY46" s="88"/>
      <c r="FZ46" s="81">
        <f>FZ35/FZ$29*100</f>
        <v>12.106459344999317</v>
      </c>
      <c r="GA46" s="88"/>
      <c r="GB46" s="81">
        <f>GB35/GB$29*100</f>
        <v>-2.3937937233751514</v>
      </c>
      <c r="GC46" s="88"/>
      <c r="GD46" s="81">
        <f>GD35/GD$29*100</f>
        <v>11.280901743163572</v>
      </c>
      <c r="GE46" s="88"/>
      <c r="GF46" s="81">
        <f>GF35/GF$29*100</f>
        <v>14.782536016047656</v>
      </c>
      <c r="GG46" s="88"/>
      <c r="GH46" s="81">
        <f>GH35/GH$29*100</f>
        <v>5.5354330185356257</v>
      </c>
      <c r="GI46" s="72" t="str">
        <f>IF(ISERROR(GH46/GF46),"NA",IF(OR(GH46/GF46&gt;2,GH46/GF46&lt;0.5),"NM",GH46/GF46*100-100))</f>
        <v>NM</v>
      </c>
      <c r="GJ46" s="81">
        <f>GJ35/GJ$29*100</f>
        <v>-0.615799281674974</v>
      </c>
      <c r="GK46" s="72" t="str">
        <f>IF(ISERROR(GJ46/GH46),"NA",IF(OR(GJ46/GH46&gt;2,GJ46/GH46&lt;0.5),"NM",GJ46/GH46*100-100))</f>
        <v>NM</v>
      </c>
      <c r="GL46" s="81">
        <f>GL35/GL$29*100</f>
        <v>5.7802075735574574</v>
      </c>
      <c r="GM46" s="72" t="str">
        <f>IF(ISERROR(GL46/GJ46),"NA",IF(OR(GL46/GJ46&gt;2,GL46/GJ46&lt;0.5),"NM",GL46/GJ46*100-100))</f>
        <v>NM</v>
      </c>
      <c r="GN46" s="81">
        <f>GN35/GN$29*100</f>
        <v>13.694510584167782</v>
      </c>
      <c r="GO46" s="72" t="str">
        <f>IF(ISERROR(GN46/GL46),"NA",IF(OR(GN46/GL46&gt;2,GN46/GL46&lt;0.5),"NM",GN46/GL46*100-100))</f>
        <v>NM</v>
      </c>
      <c r="GP46" s="81">
        <f>GP35/GP$29*100</f>
        <v>3.2589910685372856</v>
      </c>
      <c r="GQ46" s="72" t="str">
        <f>IF(ISERROR(GP46/GN46),"NA",IF(OR(GP46/GN46&gt;2,GP46/GN46&lt;0.5),"NM",GP46/GN46*100-100))</f>
        <v>NM</v>
      </c>
      <c r="GR46" s="81">
        <f>GR35/GR$29*100</f>
        <v>5.5999999999999988</v>
      </c>
      <c r="GS46" s="72">
        <f>IF(ISERROR(GR46/GP46),"NA",IF(OR(GR46/GP46&gt;2,GR46/GP46&lt;0.5),"NM",GR46/GP46*100-100))</f>
        <v>71.832321176425154</v>
      </c>
      <c r="GT46" s="81">
        <f>GT35/GT$29*100</f>
        <v>5.6000000000000005</v>
      </c>
      <c r="GU46" s="72">
        <f>IF(ISERROR(GT46/GR46),"NA",IF(OR(GT46/GR46&gt;2,GT46/GR46&lt;0.5),"NM",GT46/GR46*100-100))</f>
        <v>2.8421709430404007E-14</v>
      </c>
      <c r="GV46" s="81">
        <f>GV35/GV$29*100</f>
        <v>5.5999999999999988</v>
      </c>
      <c r="GW46" s="72">
        <f>IF(ISERROR(GV46/GT46),"NA",IF(OR(GV46/GT46&gt;2,GV46/GT46&lt;0.5),"NM",GV46/GT46*100-100))</f>
        <v>-2.8421709430404007E-14</v>
      </c>
      <c r="GX46" s="81">
        <f>GX35/GX$29*100</f>
        <v>5.6</v>
      </c>
      <c r="GY46" s="72">
        <f>IF(ISERROR(GX46/GV46),"NA",IF(OR(GX46/GV46&gt;2,GX46/GV46&lt;0.5),"NM",GX46/GV46*100-100))</f>
        <v>2.8421709430404007E-14</v>
      </c>
      <c r="GZ46" s="72"/>
      <c r="HA46" s="72"/>
      <c r="HB46" s="72"/>
      <c r="HC46"/>
      <c r="HD46"/>
      <c r="HE46"/>
      <c r="HF46"/>
      <c r="HG46"/>
      <c r="HH46"/>
      <c r="HI46" s="2"/>
    </row>
    <row r="47" spans="1:217" s="3" customFormat="1" ht="12.75" customHeight="1" x14ac:dyDescent="0.2">
      <c r="B47" s="266" t="s">
        <v>282</v>
      </c>
      <c r="C47" s="81"/>
      <c r="D47" s="72"/>
      <c r="E47" s="81"/>
      <c r="F47" s="72"/>
      <c r="G47" s="81"/>
      <c r="H47" s="72"/>
      <c r="I47" s="81"/>
      <c r="J47" s="72"/>
      <c r="K47" s="81"/>
      <c r="L47" s="72"/>
      <c r="M47" s="81"/>
      <c r="N47" s="72"/>
      <c r="O47" s="81"/>
      <c r="P47" s="72"/>
      <c r="Q47" s="81"/>
      <c r="R47" s="72"/>
      <c r="S47" s="81"/>
      <c r="T47" s="72"/>
      <c r="U47" s="81"/>
      <c r="V47" s="72"/>
      <c r="W47" s="81"/>
      <c r="X47" s="72"/>
      <c r="Y47" s="81"/>
      <c r="Z47" s="72"/>
      <c r="AA47" s="81"/>
      <c r="AB47" s="72"/>
      <c r="AC47" s="81"/>
      <c r="AD47" s="72"/>
      <c r="AE47" s="81"/>
      <c r="AF47" s="72"/>
      <c r="AG47" s="81"/>
      <c r="AH47" s="72"/>
      <c r="AI47" s="81"/>
      <c r="AJ47" s="72"/>
      <c r="AK47" s="81"/>
      <c r="AL47" s="72"/>
      <c r="AM47" s="81"/>
      <c r="AN47" s="72"/>
      <c r="AO47" s="81"/>
      <c r="AP47" s="72"/>
      <c r="AQ47" s="81"/>
      <c r="AR47" s="72"/>
      <c r="AS47" s="81"/>
      <c r="AT47" s="72"/>
      <c r="AU47" s="81"/>
      <c r="AV47" s="72"/>
      <c r="AW47" s="81"/>
      <c r="AX47" s="72"/>
      <c r="AY47" s="265">
        <f>(AY46/4)/AY$25*100</f>
        <v>118.37346898723409</v>
      </c>
      <c r="AZ47" s="72"/>
      <c r="BA47" s="265">
        <f>(BA46/4)/BA$25*100</f>
        <v>98.853846208891866</v>
      </c>
      <c r="BB47" s="72"/>
      <c r="BC47" s="265">
        <f>(BC46/4)/BC$25*100</f>
        <v>56.57615032891885</v>
      </c>
      <c r="BD47" s="72"/>
      <c r="BE47" s="265">
        <f>(BE46/4)/BE$25*100</f>
        <v>96.630189295363195</v>
      </c>
      <c r="BF47" s="72"/>
      <c r="BG47" s="265">
        <f>(BG46/4)/BG$25*100</f>
        <v>868.08481922687315</v>
      </c>
      <c r="BH47" s="72"/>
      <c r="BI47" s="265">
        <f>(BI46/4)/BI$25*100</f>
        <v>79.251855859120937</v>
      </c>
      <c r="BJ47" s="72"/>
      <c r="BK47" s="265">
        <f>(BK46/4)/BK$25*100</f>
        <v>186.71272211581481</v>
      </c>
      <c r="BL47" s="72"/>
      <c r="BM47" s="265">
        <f>(BM46/4)/BM$25*100</f>
        <v>20.952806292087462</v>
      </c>
      <c r="BN47" s="72"/>
      <c r="BO47" s="265">
        <f>(BO46/4)/BO$25*100</f>
        <v>67.878419682456851</v>
      </c>
      <c r="BP47" s="72"/>
      <c r="BQ47" s="265">
        <f>(BQ46/4)/BQ$25*100</f>
        <v>4.9851064994151963</v>
      </c>
      <c r="BR47" s="72"/>
      <c r="BS47" s="265">
        <f>(BS46/4)/BS$25*100</f>
        <v>97.376082563108952</v>
      </c>
      <c r="BT47" s="72"/>
      <c r="BU47" s="265">
        <f>(BU46/4)/BU$25*100</f>
        <v>52.915365185393227</v>
      </c>
      <c r="BV47" s="72"/>
      <c r="BW47" s="265">
        <f>(BW46/4)/BW$25*100</f>
        <v>32.407904950875562</v>
      </c>
      <c r="BX47" s="72"/>
      <c r="BY47" s="265">
        <f>(BY46/4)/BY$25*100</f>
        <v>71.976361114851599</v>
      </c>
      <c r="BZ47" s="72"/>
      <c r="CA47" s="265">
        <f>(CA46/4)/CA$25*100</f>
        <v>70.519660641032189</v>
      </c>
      <c r="CB47" s="72"/>
      <c r="CC47" s="265">
        <f>(CC46/4)/CC$25*100</f>
        <v>36.31566467368804</v>
      </c>
      <c r="CD47" s="72"/>
      <c r="CE47" s="265">
        <f>(CE46/4)/CE$25*100</f>
        <v>58.321800104515034</v>
      </c>
      <c r="CF47" s="72"/>
      <c r="CG47" s="265">
        <f>(CG46/4)/CG$25*100</f>
        <v>44.78726083907064</v>
      </c>
      <c r="CH47" s="72"/>
      <c r="CI47" s="265">
        <f>(CI46/4)/CI$25*100</f>
        <v>72.943978951578501</v>
      </c>
      <c r="CJ47" s="72"/>
      <c r="CK47" s="265">
        <f>(CK46/4)/CK$25*100</f>
        <v>60.474772981399525</v>
      </c>
      <c r="CL47" s="72"/>
      <c r="CM47" s="265">
        <f>(CM46/4)/CM$25*100</f>
        <v>64.007256627152898</v>
      </c>
      <c r="CN47" s="72"/>
      <c r="CO47" s="265">
        <f>(CO46/4)/CO$25*100</f>
        <v>-50.749804580729553</v>
      </c>
      <c r="CP47" s="72"/>
      <c r="CQ47" s="265">
        <f>(CQ46/4)/CQ$25*100</f>
        <v>64.959419250133536</v>
      </c>
      <c r="CR47" s="72"/>
      <c r="CS47" s="265">
        <f>(CS46/4)/CS$25*100</f>
        <v>42.140862179760731</v>
      </c>
      <c r="CT47" s="72"/>
      <c r="CU47" s="265">
        <f>(CU46/4)/CU$25*100</f>
        <v>62.063705046345106</v>
      </c>
      <c r="CV47" s="72"/>
      <c r="CW47" s="265">
        <f>(CW46/4)/CW$25*100</f>
        <v>69.336400819251537</v>
      </c>
      <c r="CX47" s="72"/>
      <c r="CY47" s="265">
        <f>(CY46/4)/CY$25*100</f>
        <v>75.903105780139953</v>
      </c>
      <c r="CZ47" s="72"/>
      <c r="DA47" s="265">
        <f>(DA46/4)/DA$25*100</f>
        <v>-93.447797191137582</v>
      </c>
      <c r="DB47" s="72"/>
      <c r="DC47" s="265">
        <f>(DC46/4)/DC$25*100</f>
        <v>47.30543124943992</v>
      </c>
      <c r="DD47" s="72"/>
      <c r="DE47" s="265">
        <f>(DE46/4)/DE$25*100</f>
        <v>-16.964709071254205</v>
      </c>
      <c r="DF47" s="72"/>
      <c r="DG47" s="265">
        <f>(DG46/4)/DG$25*100</f>
        <v>114.69743439949372</v>
      </c>
      <c r="DH47" s="72"/>
      <c r="DI47" s="265">
        <f>(DI46/4)/DI$25*100</f>
        <v>53.444386311460775</v>
      </c>
      <c r="DJ47" s="72"/>
      <c r="DK47" s="265">
        <f>(DK46/4)/DK$25*100</f>
        <v>112.16361778279007</v>
      </c>
      <c r="DL47" s="72"/>
      <c r="DM47" s="265">
        <f>(DM46/4)/DM$25*100</f>
        <v>71.300872562144448</v>
      </c>
      <c r="DN47" s="72" t="str">
        <f t="shared" si="229"/>
        <v>NM</v>
      </c>
      <c r="DO47" s="265">
        <f>(DO46/4)/DO$25*100</f>
        <v>-202.17247204225202</v>
      </c>
      <c r="DP47" s="72" t="str">
        <f t="shared" si="229"/>
        <v>NM</v>
      </c>
      <c r="DQ47" s="265">
        <f>(DQ46/4)/DQ$25*100</f>
        <v>43.697162785507913</v>
      </c>
      <c r="DR47" s="72">
        <f t="shared" si="229"/>
        <v>-18.238068015503885</v>
      </c>
      <c r="DS47" s="265">
        <f>(DS46/4)/DS$25*100</f>
        <v>598.55045362805731</v>
      </c>
      <c r="DT47" s="72" t="str">
        <f t="shared" si="229"/>
        <v>NM</v>
      </c>
      <c r="DU47" s="265">
        <f>(DU46/4)/DU$25*100</f>
        <v>-155.98024779120544</v>
      </c>
      <c r="DV47" s="72" t="str">
        <f t="shared" si="229"/>
        <v>NM</v>
      </c>
      <c r="DW47" s="265">
        <f>(DW46/4)/DW$25*100</f>
        <v>64.491003116659911</v>
      </c>
      <c r="DX47" s="72" t="str">
        <f t="shared" si="229"/>
        <v>NM</v>
      </c>
      <c r="DY47" s="265">
        <f>(DY46/4)/DY$25*100</f>
        <v>42.680420830844838</v>
      </c>
      <c r="DZ47" s="72">
        <f t="shared" si="229"/>
        <v>-2.3267916950440508</v>
      </c>
      <c r="EA47" s="265">
        <f>(EA46/4)/EA$25*100</f>
        <v>66.13550125493019</v>
      </c>
      <c r="EB47" s="72" t="str">
        <f>IF(ISERROR(EA47/DS47),"NA",IF(OR(EA47/DS47&gt;2,EA47/DS47&lt;0.5),"NM",EA47/DS47*100-100))</f>
        <v>NM</v>
      </c>
      <c r="EC47" s="265">
        <f>(EC46/4)/EC$25*100</f>
        <v>152.99486018454365</v>
      </c>
      <c r="ED47" s="72" t="str">
        <f>IF(ISERROR(EC47/DU47),"NA",IF(OR(EC47/DU47&gt;2,EC47/DU47&lt;0.5),"NM",EC47/DU47*100-100))</f>
        <v>NM</v>
      </c>
      <c r="EE47" s="265">
        <f>(EE46/4)/EE$25*100</f>
        <v>103.85311663620425</v>
      </c>
      <c r="EF47" s="72">
        <f>IF(ISERROR(EE47/DW47),"NA",IF(OR(EE47/DW47&gt;2,EE47/DW47&lt;0.5),"NM",EE47/DW47*100-100))</f>
        <v>61.035046157277009</v>
      </c>
      <c r="EG47" s="265">
        <f>(EG46/4)/EG$25*100</f>
        <v>2.4598917143586632</v>
      </c>
      <c r="EH47" s="72" t="str">
        <f>IF(ISERROR(EG47/DY47),"NA",IF(OR(EG47/DY47&gt;2,EG47/DY47&lt;0.5),"NM",EG47/DY47*100-100))</f>
        <v>NM</v>
      </c>
      <c r="EI47" s="265">
        <f>(EI46/4)/EI$25*100</f>
        <v>67.795344619648006</v>
      </c>
      <c r="EJ47" s="72">
        <f>IF(ISERROR(EI47/EA47),"NA",IF(OR(EI47/EA47&gt;2,EI47/EA47&lt;0.5),"NM",EI47/EA47*100-100))</f>
        <v>2.5097615247817942</v>
      </c>
      <c r="EK47" s="265">
        <f>(EK46/4)/EK$25*100</f>
        <v>113.64275821989564</v>
      </c>
      <c r="EL47" s="72">
        <f>IF(ISERROR(EK47/EC47),"NA",IF(OR(EK47/EC47&gt;2,EK47/EC47&lt;0.5),"NM",EK47/EC47*100-100))</f>
        <v>-25.721192148011497</v>
      </c>
      <c r="EM47" s="265">
        <f>(EM46/4)/EM$25*100</f>
        <v>90.2068511143774</v>
      </c>
      <c r="EN47" s="72">
        <f>IF(ISERROR(EM47/EE47),"NA",IF(OR(EM47/EE47&gt;2,EM47/EE47&lt;0.5),"NM",EM47/EE47*100-100))</f>
        <v>-13.139967257438684</v>
      </c>
      <c r="EO47" s="265">
        <f>(EO46/4)/EO$25*100</f>
        <v>55.559336592800932</v>
      </c>
      <c r="EP47" s="72" t="str">
        <f>IF(ISERROR(EO47/EG47),"NA",IF(OR(EO47/EG47&gt;2,EO47/EG47&lt;0.5),"NM",EO47/EG47*100-100))</f>
        <v>NM</v>
      </c>
      <c r="EQ47" s="86">
        <v>70</v>
      </c>
      <c r="ER47" s="72">
        <f t="shared" si="231"/>
        <v>3.2519273892931153</v>
      </c>
      <c r="ES47" s="86">
        <f t="shared" ref="ES47" si="242">EQ47</f>
        <v>70</v>
      </c>
      <c r="ET47" s="72">
        <f t="shared" si="233"/>
        <v>-38.403466180790943</v>
      </c>
      <c r="EU47" s="86">
        <f t="shared" ref="EU47" si="243">ES47</f>
        <v>70</v>
      </c>
      <c r="EV47" s="72">
        <f t="shared" si="235"/>
        <v>-22.400572533849129</v>
      </c>
      <c r="EW47" s="86">
        <f t="shared" ref="EW47" si="244">EU47</f>
        <v>70</v>
      </c>
      <c r="EX47" s="72">
        <f t="shared" si="237"/>
        <v>25.991425191117571</v>
      </c>
      <c r="EY47" s="72"/>
      <c r="EZ47" s="306"/>
      <c r="FA47" s="72"/>
      <c r="FB47" s="265"/>
      <c r="FC47" s="88"/>
      <c r="FD47" s="265"/>
      <c r="FE47" s="88"/>
      <c r="FF47" s="265"/>
      <c r="FG47" s="88"/>
      <c r="FH47" s="265"/>
      <c r="FI47" s="88"/>
      <c r="FJ47" s="265"/>
      <c r="FK47" s="88"/>
      <c r="FL47" s="265"/>
      <c r="FM47" s="88"/>
      <c r="FN47" s="265"/>
      <c r="FO47" s="88"/>
      <c r="FP47" s="265"/>
      <c r="FQ47" s="88"/>
      <c r="FR47" s="265"/>
      <c r="FS47" s="88"/>
      <c r="FT47" s="265"/>
      <c r="FU47" s="88"/>
      <c r="FV47" s="265"/>
      <c r="FW47" s="88"/>
      <c r="FX47" s="265"/>
      <c r="FY47" s="88"/>
      <c r="FZ47" s="265"/>
      <c r="GA47" s="88"/>
      <c r="GB47" s="265"/>
      <c r="GC47" s="88"/>
      <c r="GD47" s="265"/>
      <c r="GE47" s="88"/>
      <c r="GF47" s="265"/>
      <c r="GG47" s="88"/>
      <c r="GH47" s="265"/>
      <c r="GI47" s="88"/>
      <c r="GJ47" s="265"/>
      <c r="GK47" s="88"/>
      <c r="GL47" s="265"/>
      <c r="GM47" s="88"/>
      <c r="GN47" s="265"/>
      <c r="GO47" s="88"/>
      <c r="GP47" s="265"/>
      <c r="GQ47" s="88"/>
      <c r="GR47" s="86">
        <v>70</v>
      </c>
      <c r="GS47" s="88"/>
      <c r="GT47" s="86">
        <f>GR47</f>
        <v>70</v>
      </c>
      <c r="GU47" s="88"/>
      <c r="GV47" s="86">
        <f>GT47</f>
        <v>70</v>
      </c>
      <c r="GW47" s="88"/>
      <c r="GX47" s="86">
        <f>GV47</f>
        <v>70</v>
      </c>
      <c r="GY47" s="88"/>
      <c r="GZ47" s="72"/>
      <c r="HA47" s="72"/>
      <c r="HB47" s="72"/>
      <c r="HC47"/>
      <c r="HD47"/>
      <c r="HE47"/>
      <c r="HF47"/>
      <c r="HG47"/>
      <c r="HH47"/>
      <c r="HI47" s="2"/>
    </row>
    <row r="48" spans="1:217" s="69" customFormat="1" ht="12.75" customHeight="1" x14ac:dyDescent="0.2">
      <c r="A48" s="3"/>
      <c r="B48" s="77"/>
      <c r="C48" s="86"/>
      <c r="D48" s="72"/>
      <c r="E48" s="86"/>
      <c r="F48" s="72"/>
      <c r="G48" s="86"/>
      <c r="H48" s="72"/>
      <c r="I48" s="86"/>
      <c r="J48" s="72"/>
      <c r="K48" s="86"/>
      <c r="L48" s="72"/>
      <c r="M48" s="86"/>
      <c r="N48" s="72"/>
      <c r="O48" s="86"/>
      <c r="P48" s="72"/>
      <c r="Q48" s="86"/>
      <c r="R48" s="72"/>
      <c r="S48" s="86"/>
      <c r="T48" s="72"/>
      <c r="U48" s="86"/>
      <c r="V48" s="72"/>
      <c r="W48" s="86"/>
      <c r="X48" s="72"/>
      <c r="Y48" s="86"/>
      <c r="Z48" s="72"/>
      <c r="AA48" s="86"/>
      <c r="AB48" s="72"/>
      <c r="AC48" s="86"/>
      <c r="AD48" s="72"/>
      <c r="AE48" s="86"/>
      <c r="AF48" s="72"/>
      <c r="AG48" s="86"/>
      <c r="AH48" s="72"/>
      <c r="AI48" s="86"/>
      <c r="AJ48" s="72"/>
      <c r="AK48" s="86"/>
      <c r="AL48" s="72"/>
      <c r="AM48" s="86"/>
      <c r="AN48" s="72"/>
      <c r="AO48" s="86"/>
      <c r="AP48" s="72"/>
      <c r="AQ48" s="86"/>
      <c r="AR48" s="72"/>
      <c r="AS48" s="86"/>
      <c r="AT48" s="72"/>
      <c r="AU48" s="86"/>
      <c r="AV48" s="72"/>
      <c r="AW48" s="86"/>
      <c r="AX48" s="72"/>
      <c r="AY48" s="86"/>
      <c r="AZ48" s="72"/>
      <c r="BA48" s="86"/>
      <c r="BB48" s="72"/>
      <c r="BC48" s="86"/>
      <c r="BD48" s="72"/>
      <c r="BE48" s="86"/>
      <c r="BF48" s="72"/>
      <c r="BG48" s="86"/>
      <c r="BH48" s="72"/>
      <c r="BI48" s="86"/>
      <c r="BJ48" s="72"/>
      <c r="BK48" s="86"/>
      <c r="BL48" s="72"/>
      <c r="BM48" s="86"/>
      <c r="BN48" s="72"/>
      <c r="BO48" s="86"/>
      <c r="BP48" s="72"/>
      <c r="BQ48" s="86"/>
      <c r="BR48" s="72"/>
      <c r="BS48" s="86"/>
      <c r="BT48" s="72"/>
      <c r="BU48" s="86"/>
      <c r="BV48" s="72"/>
      <c r="BW48" s="86"/>
      <c r="BX48" s="72"/>
      <c r="BY48" s="86"/>
      <c r="BZ48" s="72"/>
      <c r="CA48" s="86"/>
      <c r="CB48" s="72"/>
      <c r="CC48" s="86"/>
      <c r="CD48" s="72"/>
      <c r="CE48" s="86"/>
      <c r="CF48" s="72"/>
      <c r="CG48" s="86"/>
      <c r="CH48" s="72"/>
      <c r="CI48" s="86"/>
      <c r="CJ48" s="72"/>
      <c r="CK48" s="86"/>
      <c r="CL48" s="72"/>
      <c r="CM48" s="86"/>
      <c r="CN48" s="72"/>
      <c r="CO48" s="86"/>
      <c r="CP48" s="72"/>
      <c r="CQ48" s="86"/>
      <c r="CR48" s="72"/>
      <c r="CS48" s="86"/>
      <c r="CT48" s="72"/>
      <c r="CU48" s="86"/>
      <c r="CV48" s="72"/>
      <c r="CW48" s="86"/>
      <c r="CX48" s="72"/>
      <c r="CY48" s="86"/>
      <c r="CZ48" s="72"/>
      <c r="DA48" s="86"/>
      <c r="DB48" s="72"/>
      <c r="DC48" s="86"/>
      <c r="DD48" s="72"/>
      <c r="DE48" s="86"/>
      <c r="DF48" s="72"/>
      <c r="DG48" s="86"/>
      <c r="DH48" s="72"/>
      <c r="DI48" s="86"/>
      <c r="DJ48" s="72"/>
      <c r="DK48" s="86"/>
      <c r="DL48" s="72"/>
      <c r="DM48" s="86"/>
      <c r="DN48" s="72"/>
      <c r="DO48" s="86"/>
      <c r="DP48" s="72"/>
      <c r="DQ48" s="86"/>
      <c r="DR48" s="72"/>
      <c r="DS48" s="86"/>
      <c r="DT48" s="72"/>
      <c r="DU48" s="86"/>
      <c r="DV48" s="72"/>
      <c r="DW48" s="81"/>
      <c r="DX48" s="72"/>
      <c r="DY48" s="81"/>
      <c r="DZ48" s="72"/>
      <c r="EA48" s="81"/>
      <c r="EB48" s="72"/>
      <c r="EC48" s="81"/>
      <c r="ED48" s="72"/>
      <c r="EE48" s="81"/>
      <c r="EF48" s="72"/>
      <c r="EG48" s="81"/>
      <c r="EH48" s="72"/>
      <c r="EI48" s="81"/>
      <c r="EJ48" s="72"/>
      <c r="EK48" s="81"/>
      <c r="EL48" s="72"/>
      <c r="EM48" s="81"/>
      <c r="EN48" s="72"/>
      <c r="EO48" s="81"/>
      <c r="EP48" s="72"/>
      <c r="EQ48" s="81"/>
      <c r="ER48" s="72"/>
      <c r="ES48" s="81"/>
      <c r="ET48" s="72"/>
      <c r="EU48" s="81"/>
      <c r="EV48" s="72"/>
      <c r="EW48" s="81"/>
      <c r="EX48" s="72"/>
      <c r="EY48" s="72"/>
      <c r="EZ48" s="309"/>
      <c r="FA48" s="72"/>
      <c r="FB48" s="86"/>
      <c r="FC48" s="72"/>
      <c r="FD48" s="86"/>
      <c r="FE48" s="72"/>
      <c r="FF48" s="81"/>
      <c r="FG48" s="72"/>
      <c r="FH48" s="81"/>
      <c r="FI48" s="72"/>
      <c r="FJ48" s="81"/>
      <c r="FK48" s="72"/>
      <c r="FL48" s="81"/>
      <c r="FM48" s="72"/>
      <c r="FN48" s="81"/>
      <c r="FO48" s="72"/>
      <c r="FP48" s="86"/>
      <c r="FQ48" s="72"/>
      <c r="FR48" s="81"/>
      <c r="FS48" s="72"/>
      <c r="FT48" s="81"/>
      <c r="FU48" s="72"/>
      <c r="FV48" s="81"/>
      <c r="FW48" s="72"/>
      <c r="FX48" s="81"/>
      <c r="FY48" s="72"/>
      <c r="FZ48" s="81"/>
      <c r="GA48" s="72"/>
      <c r="GB48" s="81"/>
      <c r="GC48" s="72"/>
      <c r="GD48" s="81"/>
      <c r="GE48" s="72"/>
      <c r="GF48" s="81"/>
      <c r="GG48" s="72"/>
      <c r="GH48" s="81"/>
      <c r="GI48" s="72"/>
      <c r="GJ48" s="81"/>
      <c r="GK48" s="72"/>
      <c r="GL48" s="81"/>
      <c r="GM48" s="72"/>
      <c r="GN48" s="81"/>
      <c r="GO48" s="72"/>
      <c r="GP48" s="81"/>
      <c r="GQ48" s="72"/>
      <c r="GR48" s="81"/>
      <c r="GS48" s="72"/>
      <c r="GT48" s="81"/>
      <c r="GU48" s="72"/>
      <c r="GV48" s="81"/>
      <c r="GW48" s="72"/>
      <c r="GX48" s="81"/>
      <c r="GY48" s="72"/>
      <c r="GZ48" s="72"/>
      <c r="HA48" s="72"/>
      <c r="HB48" s="72"/>
      <c r="HC48"/>
      <c r="HD48"/>
      <c r="HE48"/>
      <c r="HF48"/>
      <c r="HG48"/>
      <c r="HH48"/>
      <c r="HI48" s="2"/>
    </row>
    <row r="49" spans="1:217" s="3" customFormat="1" ht="12.75" customHeight="1" x14ac:dyDescent="0.2">
      <c r="B49" s="70" t="s">
        <v>442</v>
      </c>
      <c r="C49" s="81"/>
      <c r="D49" s="72"/>
      <c r="E49" s="81"/>
      <c r="F49" s="72"/>
      <c r="G49" s="81"/>
      <c r="H49" s="72"/>
      <c r="I49" s="81"/>
      <c r="J49" s="72"/>
      <c r="K49" s="81"/>
      <c r="L49" s="72"/>
      <c r="M49" s="81"/>
      <c r="N49" s="72"/>
      <c r="O49" s="81"/>
      <c r="P49" s="72"/>
      <c r="Q49" s="81"/>
      <c r="R49" s="72"/>
      <c r="S49" s="81"/>
      <c r="T49" s="72"/>
      <c r="U49" s="81"/>
      <c r="V49" s="72"/>
      <c r="W49" s="81"/>
      <c r="X49" s="72"/>
      <c r="Y49" s="81"/>
      <c r="Z49" s="72"/>
      <c r="AA49" s="81"/>
      <c r="AB49" s="72"/>
      <c r="AC49" s="81"/>
      <c r="AD49" s="72"/>
      <c r="AE49" s="81"/>
      <c r="AF49" s="72"/>
      <c r="AG49" s="81"/>
      <c r="AH49" s="72"/>
      <c r="AI49" s="81"/>
      <c r="AJ49" s="72"/>
      <c r="AK49" s="81"/>
      <c r="AL49" s="72"/>
      <c r="AM49" s="81"/>
      <c r="AN49" s="72"/>
      <c r="AO49" s="81"/>
      <c r="AP49" s="72"/>
      <c r="AQ49" s="81"/>
      <c r="AR49" s="72"/>
      <c r="AS49" s="81"/>
      <c r="AT49" s="72"/>
      <c r="AU49" s="81"/>
      <c r="AV49" s="72"/>
      <c r="AW49" s="81"/>
      <c r="AX49" s="72"/>
      <c r="AY49" s="81"/>
      <c r="AZ49" s="72"/>
      <c r="BA49" s="81"/>
      <c r="BB49" s="72"/>
      <c r="BC49" s="81"/>
      <c r="BD49" s="72"/>
      <c r="BE49" s="81"/>
      <c r="BF49" s="72"/>
      <c r="BG49" s="81"/>
      <c r="BH49" s="72"/>
      <c r="BI49" s="81"/>
      <c r="BJ49" s="72"/>
      <c r="BK49" s="81"/>
      <c r="BL49" s="72"/>
      <c r="BM49" s="81"/>
      <c r="BN49" s="72"/>
      <c r="BO49" s="81"/>
      <c r="BP49" s="72"/>
      <c r="BQ49" s="81"/>
      <c r="BR49" s="72"/>
      <c r="BS49" s="81"/>
      <c r="BT49" s="72"/>
      <c r="BU49" s="81"/>
      <c r="BV49" s="72"/>
      <c r="BW49" s="81"/>
      <c r="BX49" s="72"/>
      <c r="BY49" s="81"/>
      <c r="BZ49" s="72"/>
      <c r="CA49" s="81"/>
      <c r="CB49" s="72"/>
      <c r="CC49" s="81"/>
      <c r="CD49" s="72"/>
      <c r="CE49" s="81"/>
      <c r="CF49" s="72"/>
      <c r="CG49" s="81"/>
      <c r="CH49" s="72"/>
      <c r="CI49" s="81"/>
      <c r="CJ49" s="72"/>
      <c r="CK49" s="81"/>
      <c r="CL49" s="72"/>
      <c r="CM49" s="81"/>
      <c r="CN49" s="72"/>
      <c r="CO49" s="81"/>
      <c r="CP49" s="72"/>
      <c r="CQ49" s="81"/>
      <c r="CR49" s="72"/>
      <c r="CS49" s="81"/>
      <c r="CT49" s="72"/>
      <c r="CU49" s="81"/>
      <c r="CV49" s="72"/>
      <c r="CW49" s="81"/>
      <c r="CX49" s="72"/>
      <c r="CY49" s="81"/>
      <c r="CZ49" s="72"/>
      <c r="DA49" s="81"/>
      <c r="DB49" s="72"/>
      <c r="DC49" s="81"/>
      <c r="DD49" s="72"/>
      <c r="DE49" s="81"/>
      <c r="DF49" s="72"/>
      <c r="DG49" s="81"/>
      <c r="DH49" s="72"/>
      <c r="DI49" s="81"/>
      <c r="DJ49" s="72"/>
      <c r="DK49" s="81"/>
      <c r="DL49" s="72"/>
      <c r="DM49" s="81"/>
      <c r="DN49" s="72"/>
      <c r="DO49" s="81"/>
      <c r="DP49" s="72"/>
      <c r="DQ49" s="81"/>
      <c r="DR49" s="72"/>
      <c r="DS49" s="81"/>
      <c r="DT49" s="72"/>
      <c r="DU49" s="81"/>
      <c r="DV49" s="72"/>
      <c r="DW49" s="81"/>
      <c r="DX49" s="72"/>
      <c r="DY49" s="81"/>
      <c r="DZ49" s="72"/>
      <c r="EA49" s="81"/>
      <c r="EB49" s="72"/>
      <c r="EC49" s="81"/>
      <c r="ED49" s="72"/>
      <c r="EE49" s="81"/>
      <c r="EF49" s="72"/>
      <c r="EG49" s="81"/>
      <c r="EH49" s="72"/>
      <c r="EI49" s="81"/>
      <c r="EJ49" s="72"/>
      <c r="EK49" s="81"/>
      <c r="EL49" s="72"/>
      <c r="EM49" s="81"/>
      <c r="EN49" s="72"/>
      <c r="EO49" s="81"/>
      <c r="EP49" s="72"/>
      <c r="EQ49" s="81"/>
      <c r="ER49" s="72"/>
      <c r="ES49" s="81"/>
      <c r="ET49" s="72"/>
      <c r="EU49" s="81"/>
      <c r="EV49" s="72"/>
      <c r="EW49" s="81"/>
      <c r="EX49" s="72"/>
      <c r="EY49" s="72"/>
      <c r="EZ49" s="309"/>
      <c r="FA49" s="72"/>
      <c r="FB49" s="81"/>
      <c r="FC49" s="72"/>
      <c r="FD49" s="81"/>
      <c r="FE49" s="72"/>
      <c r="FF49" s="81"/>
      <c r="FG49" s="72"/>
      <c r="FH49" s="81"/>
      <c r="FI49" s="72"/>
      <c r="FJ49" s="81"/>
      <c r="FK49" s="72"/>
      <c r="FL49" s="81"/>
      <c r="FM49" s="72"/>
      <c r="FN49" s="81"/>
      <c r="FO49" s="72"/>
      <c r="FP49" s="81"/>
      <c r="FQ49" s="72"/>
      <c r="FR49" s="81"/>
      <c r="FS49" s="72"/>
      <c r="FT49" s="81"/>
      <c r="FU49" s="72"/>
      <c r="FV49" s="81"/>
      <c r="FW49" s="72"/>
      <c r="FX49" s="81"/>
      <c r="FY49" s="72"/>
      <c r="FZ49" s="81"/>
      <c r="GA49" s="72"/>
      <c r="GB49" s="81"/>
      <c r="GC49" s="72"/>
      <c r="GD49" s="81"/>
      <c r="GE49" s="72"/>
      <c r="GF49" s="81"/>
      <c r="GG49" s="72"/>
      <c r="GH49" s="81"/>
      <c r="GI49" s="72"/>
      <c r="GJ49" s="81"/>
      <c r="GK49" s="72"/>
      <c r="GL49" s="81"/>
      <c r="GM49" s="72"/>
      <c r="GN49" s="81"/>
      <c r="GO49" s="72"/>
      <c r="GP49" s="81"/>
      <c r="GQ49" s="72"/>
      <c r="GR49" s="81"/>
      <c r="GS49" s="72"/>
      <c r="GT49" s="81"/>
      <c r="GU49" s="72"/>
      <c r="GV49" s="81"/>
      <c r="GW49" s="72"/>
      <c r="GX49" s="81"/>
      <c r="GY49" s="72"/>
      <c r="GZ49" s="72"/>
      <c r="HA49" s="72"/>
      <c r="HB49" s="72"/>
      <c r="HC49"/>
      <c r="HD49"/>
      <c r="HE49"/>
      <c r="HF49"/>
      <c r="HG49"/>
      <c r="HH49"/>
      <c r="HI49" s="2"/>
    </row>
    <row r="50" spans="1:217" s="69" customFormat="1" ht="12.75" customHeight="1" x14ac:dyDescent="0.2">
      <c r="A50" s="3" t="s">
        <v>234</v>
      </c>
      <c r="B50" s="76" t="s">
        <v>295</v>
      </c>
      <c r="C50" s="75">
        <f>FF50</f>
        <v>3020</v>
      </c>
      <c r="D50" s="72"/>
      <c r="E50" s="75">
        <f>C56</f>
        <v>2989</v>
      </c>
      <c r="F50" s="72"/>
      <c r="G50" s="75">
        <f>E56</f>
        <v>2945</v>
      </c>
      <c r="H50" s="72"/>
      <c r="I50" s="75">
        <f t="shared" ref="I50:Y50" si="245">G56</f>
        <v>2942</v>
      </c>
      <c r="J50" s="72"/>
      <c r="K50" s="75">
        <f t="shared" si="245"/>
        <v>2926</v>
      </c>
      <c r="L50" s="72">
        <f t="shared" ref="L50:L57" si="246">IF(ISERROR(K50/C50),"NA",IF(OR(K50/C50&gt;2,K50/C50&lt;0.5),"NM",K50/C50*100-100))</f>
        <v>-3.1125827814569504</v>
      </c>
      <c r="M50" s="75">
        <f t="shared" si="245"/>
        <v>2889</v>
      </c>
      <c r="N50" s="72">
        <f t="shared" ref="N50:N57" si="247">IF(ISERROR(M50/E50),"NA",IF(OR(M50/E50&gt;2,M50/E50&lt;0.5),"NM",M50/E50*100-100))</f>
        <v>-3.3456005352960858</v>
      </c>
      <c r="O50" s="75">
        <f t="shared" si="245"/>
        <v>2872</v>
      </c>
      <c r="P50" s="72">
        <f t="shared" ref="P50:P57" si="248">IF(ISERROR(O50/G50),"NA",IF(OR(O50/G50&gt;2,O50/G50&lt;0.5),"NM",O50/G50*100-100))</f>
        <v>-2.4787775891341255</v>
      </c>
      <c r="Q50" s="75">
        <f t="shared" si="245"/>
        <v>2865</v>
      </c>
      <c r="R50" s="72">
        <f t="shared" ref="R50:AP57" si="249">IF(ISERROR(Q50/I50),"NA",IF(OR(Q50/I50&gt;2,Q50/I50&lt;0.5),"NM",Q50/I50*100-100))</f>
        <v>-2.617267165193752</v>
      </c>
      <c r="S50" s="75">
        <f t="shared" si="245"/>
        <v>2975</v>
      </c>
      <c r="T50" s="72">
        <f t="shared" si="249"/>
        <v>1.6746411483253638</v>
      </c>
      <c r="U50" s="75">
        <f t="shared" si="245"/>
        <v>2909</v>
      </c>
      <c r="V50" s="72">
        <f t="shared" si="249"/>
        <v>0.69228106611282669</v>
      </c>
      <c r="W50" s="75">
        <f t="shared" si="245"/>
        <v>3048</v>
      </c>
      <c r="X50" s="72">
        <f t="shared" si="249"/>
        <v>6.1281337047353759</v>
      </c>
      <c r="Y50" s="75">
        <f t="shared" si="245"/>
        <v>3260</v>
      </c>
      <c r="Z50" s="72">
        <f t="shared" si="249"/>
        <v>13.787085514834203</v>
      </c>
      <c r="AA50" s="75">
        <f>Y56</f>
        <v>3396</v>
      </c>
      <c r="AB50" s="72">
        <f t="shared" si="249"/>
        <v>14.151260504201673</v>
      </c>
      <c r="AC50" s="75">
        <f>AA56</f>
        <v>3473</v>
      </c>
      <c r="AD50" s="72">
        <f t="shared" si="249"/>
        <v>19.388105878308707</v>
      </c>
      <c r="AE50" s="75">
        <f>AC56</f>
        <v>3498</v>
      </c>
      <c r="AF50" s="72">
        <f t="shared" si="249"/>
        <v>14.763779527559052</v>
      </c>
      <c r="AG50" s="75">
        <f>AE56</f>
        <v>3523</v>
      </c>
      <c r="AH50" s="72">
        <f t="shared" si="249"/>
        <v>8.0674846625767032</v>
      </c>
      <c r="AI50" s="75">
        <f>AG56</f>
        <v>3514</v>
      </c>
      <c r="AJ50" s="72">
        <f t="shared" si="249"/>
        <v>3.4746760895170752</v>
      </c>
      <c r="AK50" s="75">
        <f>AI56</f>
        <v>3574</v>
      </c>
      <c r="AL50" s="72">
        <f t="shared" si="249"/>
        <v>2.908148574719263</v>
      </c>
      <c r="AM50" s="75">
        <f>AK56</f>
        <v>3722</v>
      </c>
      <c r="AN50" s="72">
        <f t="shared" si="249"/>
        <v>6.4036592338479181</v>
      </c>
      <c r="AO50" s="75">
        <f>AM56</f>
        <v>3860</v>
      </c>
      <c r="AP50" s="72">
        <f t="shared" si="249"/>
        <v>9.5657110417258053</v>
      </c>
      <c r="AQ50" s="75">
        <f>AO56</f>
        <v>3879</v>
      </c>
      <c r="AR50" s="72">
        <f t="shared" ref="AR50:AR57" si="250">IF(ISERROR(AQ50/AI50),"NA",IF(OR(AQ50/AI50&gt;2,AQ50/AI50&lt;0.5),"NM",AQ50/AI50*100-100))</f>
        <v>10.387023335230509</v>
      </c>
      <c r="AS50" s="75">
        <f>AQ56</f>
        <v>3879</v>
      </c>
      <c r="AT50" s="72">
        <f t="shared" ref="AT50:AT57" si="251">IF(ISERROR(AS50/AK50),"NA",IF(OR(AS50/AK50&gt;2,AS50/AK50&lt;0.5),"NM",AS50/AK50*100-100))</f>
        <v>8.5338556239507426</v>
      </c>
      <c r="AU50" s="75">
        <f>AS56</f>
        <v>4064</v>
      </c>
      <c r="AV50" s="72">
        <f t="shared" ref="AV50:AV57" si="252">IF(ISERROR(AU50/AM50),"NA",IF(OR(AU50/AM50&gt;2,AU50/AM50&lt;0.5),"NM",AU50/AM50*100-100))</f>
        <v>9.188608275120913</v>
      </c>
      <c r="AW50" s="75">
        <f>AU56</f>
        <v>4033</v>
      </c>
      <c r="AX50" s="72">
        <f t="shared" ref="AX50:AX57" si="253">IF(ISERROR(AW50/AO50),"NA",IF(OR(AW50/AO50&gt;2,AW50/AO50&lt;0.5),"NM",AW50/AO50*100-100))</f>
        <v>4.4818652849740914</v>
      </c>
      <c r="AY50" s="75">
        <f>AW56</f>
        <v>3991</v>
      </c>
      <c r="AZ50" s="72">
        <f t="shared" ref="AZ50:AZ57" si="254">IF(ISERROR(AY50/AQ50),"NA",IF(OR(AY50/AQ50&gt;2,AY50/AQ50&lt;0.5),"NM",AY50/AQ50*100-100))</f>
        <v>2.8873420984789817</v>
      </c>
      <c r="BA50" s="75">
        <f>AY56</f>
        <v>3941</v>
      </c>
      <c r="BB50" s="72">
        <f t="shared" ref="BB50:BB57" si="255">IF(ISERROR(BA50/AS50),"NA",IF(OR(BA50/AS50&gt;2,BA50/AS50&lt;0.5),"NM",BA50/AS50*100-100))</f>
        <v>1.5983500902294452</v>
      </c>
      <c r="BC50" s="75">
        <f>BA56</f>
        <v>3871</v>
      </c>
      <c r="BD50" s="72">
        <f t="shared" ref="BD50:BD57" si="256">IF(ISERROR(BC50/AU50),"NA",IF(OR(BC50/AU50&gt;2,BC50/AU50&lt;0.5),"NM",BC50/AU50*100-100))</f>
        <v>-4.7490157480314963</v>
      </c>
      <c r="BE50" s="75">
        <f>BC56</f>
        <v>3814</v>
      </c>
      <c r="BF50" s="72">
        <f t="shared" ref="BF50:BF57" si="257">IF(ISERROR(BE50/AW50),"NA",IF(OR(BE50/AW50&gt;2,BE50/AW50&lt;0.5),"NM",BE50/AW50*100-100))</f>
        <v>-5.4302008430448723</v>
      </c>
      <c r="BG50" s="75">
        <f>BE56</f>
        <v>3748</v>
      </c>
      <c r="BH50" s="72">
        <f t="shared" ref="BH50:BH57" si="258">IF(ISERROR(BG50/AY50),"NA",IF(OR(BG50/AY50&gt;2,BG50/AY50&lt;0.5),"NM",BG50/AY50*100-100))</f>
        <v>-6.0886995740415841</v>
      </c>
      <c r="BI50" s="75">
        <f>BG56</f>
        <v>3679</v>
      </c>
      <c r="BJ50" s="72">
        <f t="shared" ref="BJ50:BJ57" si="259">IF(ISERROR(BI50/BA50),"NA",IF(OR(BI50/BA50&gt;2,BI50/BA50&lt;0.5),"NM",BI50/BA50*100-100))</f>
        <v>-6.6480588683075439</v>
      </c>
      <c r="BK50" s="75">
        <f>BI56</f>
        <v>3608</v>
      </c>
      <c r="BL50" s="72">
        <f t="shared" ref="BL50:BL57" si="260">IF(ISERROR(BK50/BC50),"NA",IF(OR(BK50/BC50&gt;2,BK50/BC50&lt;0.5),"NM",BK50/BC50*100-100))</f>
        <v>-6.7941100490829172</v>
      </c>
      <c r="BM50" s="75">
        <f>BK56</f>
        <v>3546</v>
      </c>
      <c r="BN50" s="72">
        <f t="shared" ref="BN50:BN57" si="261">IF(ISERROR(BM50/BE50),"NA",IF(OR(BM50/BE50&gt;2,BM50/BE50&lt;0.5),"NM",BM50/BE50*100-100))</f>
        <v>-7.0267435762978465</v>
      </c>
      <c r="BO50" s="75">
        <f>BM56</f>
        <v>3488</v>
      </c>
      <c r="BP50" s="72">
        <f t="shared" ref="BP50:BP57" si="262">IF(ISERROR(BO50/BG50),"NA",IF(OR(BO50/BG50&gt;2,BO50/BG50&lt;0.5),"NM",BO50/BG50*100-100))</f>
        <v>-6.9370330843116221</v>
      </c>
      <c r="BQ50" s="75">
        <f>BO56</f>
        <v>3440</v>
      </c>
      <c r="BR50" s="72">
        <f t="shared" ref="BR50:BR57" si="263">IF(ISERROR(BQ50/BI50),"NA",IF(OR(BQ50/BI50&gt;2,BQ50/BI50&lt;0.5),"NM",BQ50/BI50*100-100))</f>
        <v>-6.4963305245990739</v>
      </c>
      <c r="BS50" s="75">
        <f>BQ56</f>
        <v>3394</v>
      </c>
      <c r="BT50" s="72">
        <f t="shared" ref="BT50:BT57" si="264">IF(ISERROR(BS50/BK50),"NA",IF(OR(BS50/BK50&gt;2,BS50/BK50&lt;0.5),"NM",BS50/BK50*100-100))</f>
        <v>-5.9312638580931321</v>
      </c>
      <c r="BU50" s="75">
        <f>BS56</f>
        <v>3349</v>
      </c>
      <c r="BV50" s="72">
        <f t="shared" ref="BV50:BV57" si="265">IF(ISERROR(BU50/BM50),"NA",IF(OR(BU50/BM50&gt;2,BU50/BM50&lt;0.5),"NM",BU50/BM50*100-100))</f>
        <v>-5.5555555555555571</v>
      </c>
      <c r="BW50" s="75">
        <f>BU56</f>
        <v>3295</v>
      </c>
      <c r="BX50" s="72">
        <f t="shared" ref="BX50:BX57" si="266">IF(ISERROR(BW50/BO50),"NA",IF(OR(BW50/BO50&gt;2,BW50/BO50&lt;0.5),"NM",BW50/BO50*100-100))</f>
        <v>-5.5332568807339442</v>
      </c>
      <c r="BY50" s="75">
        <f>BW56</f>
        <v>3263</v>
      </c>
      <c r="BZ50" s="72">
        <f t="shared" ref="BZ50:BZ57" si="267">IF(ISERROR(BY50/BQ50),"NA",IF(OR(BY50/BQ50&gt;2,BY50/BQ50&lt;0.5),"NM",BY50/BQ50*100-100))</f>
        <v>-5.1453488372093119</v>
      </c>
      <c r="CA50" s="75">
        <f>BY56</f>
        <v>3221</v>
      </c>
      <c r="CB50" s="72">
        <f t="shared" ref="CB50:CB57" si="268">IF(ISERROR(CA50/BS50),"NA",IF(OR(CA50/BS50&gt;2,CA50/BS50&lt;0.5),"NM",CA50/BS50*100-100))</f>
        <v>-5.0972304065998912</v>
      </c>
      <c r="CC50" s="75">
        <f>CA56</f>
        <v>3213</v>
      </c>
      <c r="CD50" s="72">
        <f t="shared" ref="CD50:CD57" si="269">IF(ISERROR(CC50/BU50),"NA",IF(OR(CC50/BU50&gt;2,CC50/BU50&lt;0.5),"NM",CC50/BU50*100-100))</f>
        <v>-4.0609137055837579</v>
      </c>
      <c r="CE50" s="75">
        <f>CC56</f>
        <v>3452</v>
      </c>
      <c r="CF50" s="72">
        <f t="shared" ref="CF50:CF57" si="270">IF(ISERROR(CE50/BW50),"NA",IF(OR(CE50/BW50&gt;2,CE50/BW50&lt;0.5),"NM",CE50/BW50*100-100))</f>
        <v>4.7647951441578158</v>
      </c>
      <c r="CG50" s="75">
        <f>CE56</f>
        <v>3739</v>
      </c>
      <c r="CH50" s="72">
        <f t="shared" ref="CH50:CH57" si="271">IF(ISERROR(CG50/BY50),"NA",IF(OR(CG50/BY50&gt;2,CG50/BY50&lt;0.5),"NM",CG50/BY50*100-100))</f>
        <v>14.587802635611396</v>
      </c>
      <c r="CI50" s="75">
        <f>CG56</f>
        <v>3766</v>
      </c>
      <c r="CJ50" s="72">
        <f t="shared" ref="CJ50:CT57" si="272">IF(ISERROR(CI50/CA50),"NA",IF(OR(CI50/CA50&gt;2,CI50/CA50&lt;0.5),"NM",CI50/CA50*100-100))</f>
        <v>16.920211114560701</v>
      </c>
      <c r="CK50" s="75">
        <f>CI56</f>
        <v>3828</v>
      </c>
      <c r="CL50" s="72">
        <f t="shared" si="272"/>
        <v>19.140989729225026</v>
      </c>
      <c r="CM50" s="75">
        <f>CK56</f>
        <v>3837</v>
      </c>
      <c r="CN50" s="72">
        <f t="shared" si="272"/>
        <v>11.152954808806498</v>
      </c>
      <c r="CO50" s="75">
        <f>CM56</f>
        <v>3841</v>
      </c>
      <c r="CP50" s="72">
        <f t="shared" si="272"/>
        <v>2.7280021396095293</v>
      </c>
      <c r="CQ50" s="75">
        <f>CO56</f>
        <v>3825</v>
      </c>
      <c r="CR50" s="72">
        <f t="shared" si="272"/>
        <v>1.5666489644184765</v>
      </c>
      <c r="CS50" s="75">
        <f>CQ56</f>
        <v>3810</v>
      </c>
      <c r="CT50" s="72">
        <f t="shared" si="272"/>
        <v>-0.47021943573668068</v>
      </c>
      <c r="CU50" s="75">
        <f>CS56</f>
        <v>3792</v>
      </c>
      <c r="CV50" s="72">
        <f t="shared" ref="CV50:CV57" si="273">IF(ISERROR(CU50/CM50),"NA",IF(OR(CU50/CM50&gt;2,CU50/CM50&lt;0.5),"NM",CU50/CM50*100-100))</f>
        <v>-1.1727912431587271</v>
      </c>
      <c r="CW50" s="75">
        <f>CU56</f>
        <v>3778</v>
      </c>
      <c r="CX50" s="72">
        <f t="shared" ref="CX50:CX57" si="274">IF(ISERROR(CW50/CO50),"NA",IF(OR(CW50/CO50&gt;2,CW50/CO50&lt;0.5),"NM",CW50/CO50*100-100))</f>
        <v>-1.6401978651392852</v>
      </c>
      <c r="CY50" s="75">
        <f>CW56</f>
        <v>3768</v>
      </c>
      <c r="CZ50" s="72">
        <f t="shared" ref="CZ50:CZ57" si="275">IF(ISERROR(CY50/CQ50),"NA",IF(OR(CY50/CQ50&gt;2,CY50/CQ50&lt;0.5),"NM",CY50/CQ50*100-100))</f>
        <v>-1.4901960784313673</v>
      </c>
      <c r="DA50" s="75">
        <f>CY56</f>
        <v>3756</v>
      </c>
      <c r="DB50" s="72">
        <f t="shared" ref="DB50:DB57" si="276">IF(ISERROR(DA50/CS50),"NA",IF(OR(DA50/CS50&gt;2,DA50/CS50&lt;0.5),"NM",DA50/CS50*100-100))</f>
        <v>-1.4173228346456739</v>
      </c>
      <c r="DC50" s="75">
        <f>DA56</f>
        <v>3734</v>
      </c>
      <c r="DD50" s="72">
        <f t="shared" ref="DD50:DD57" si="277">IF(ISERROR(DC50/CU50),"NA",IF(OR(DC50/CU50&gt;2,DC50/CU50&lt;0.5),"NM",DC50/CU50*100-100))</f>
        <v>-1.5295358649788966</v>
      </c>
      <c r="DE50" s="75">
        <f>DC56</f>
        <v>3714</v>
      </c>
      <c r="DF50" s="72">
        <f t="shared" ref="DF50:DF57" si="278">IF(ISERROR(DE50/CW50),"NA",IF(OR(DE50/CW50&gt;2,DE50/CW50&lt;0.5),"NM",DE50/CW50*100-100))</f>
        <v>-1.6940179989412485</v>
      </c>
      <c r="DG50" s="75">
        <f>DE56</f>
        <v>3699</v>
      </c>
      <c r="DH50" s="72">
        <f t="shared" ref="DH50:DH57" si="279">IF(ISERROR(DG50/CY50),"NA",IF(OR(DG50/CY50&gt;2,DG50/CY50&lt;0.5),"NM",DG50/CY50*100-100))</f>
        <v>-1.8312101910828034</v>
      </c>
      <c r="DI50" s="75">
        <f>DG56</f>
        <v>3681</v>
      </c>
      <c r="DJ50" s="72">
        <f t="shared" ref="DJ50:DJ57" si="280">IF(ISERROR(DI50/DA50),"NA",IF(OR(DI50/DA50&gt;2,DI50/DA50&lt;0.5),"NM",DI50/DA50*100-100))</f>
        <v>-1.9968051118210894</v>
      </c>
      <c r="DK50" s="75">
        <f>DI56</f>
        <v>3673</v>
      </c>
      <c r="DL50" s="72">
        <f t="shared" ref="DL50:DL57" si="281">IF(ISERROR(DK50/DC50),"NA",IF(OR(DK50/DC50&gt;2,DK50/DC50&lt;0.5),"NM",DK50/DC50*100-100))</f>
        <v>-1.6336368505623966</v>
      </c>
      <c r="DM50" s="75">
        <f>DK56</f>
        <v>3656</v>
      </c>
      <c r="DN50" s="72">
        <f t="shared" ref="DN50:DZ57" si="282">IF(ISERROR(DM50/DE50),"NA",IF(OR(DM50/DE50&gt;2,DM50/DE50&lt;0.5),"NM",DM50/DE50*100-100))</f>
        <v>-1.5616585891222456</v>
      </c>
      <c r="DO50" s="75">
        <f>DM56</f>
        <v>3638</v>
      </c>
      <c r="DP50" s="72">
        <f t="shared" si="282"/>
        <v>-1.6490943498242814</v>
      </c>
      <c r="DQ50" s="75">
        <f>DO56</f>
        <v>3611</v>
      </c>
      <c r="DR50" s="72">
        <f t="shared" si="282"/>
        <v>-1.9016571583808712</v>
      </c>
      <c r="DS50" s="75">
        <f>DQ56</f>
        <v>3581</v>
      </c>
      <c r="DT50" s="72">
        <f t="shared" si="282"/>
        <v>-2.5047644976858123</v>
      </c>
      <c r="DU50" s="75">
        <f>DS56</f>
        <v>3575</v>
      </c>
      <c r="DV50" s="72">
        <f t="shared" si="282"/>
        <v>-2.2155361050328253</v>
      </c>
      <c r="DW50" s="75">
        <f t="shared" ref="DW50:EE50" si="283">DU56</f>
        <v>3552</v>
      </c>
      <c r="DX50" s="72">
        <f t="shared" si="282"/>
        <v>-2.3639362286970851</v>
      </c>
      <c r="DY50" s="75">
        <f t="shared" si="283"/>
        <v>3532</v>
      </c>
      <c r="DZ50" s="72">
        <f t="shared" si="282"/>
        <v>-2.1877596233730259</v>
      </c>
      <c r="EA50" s="75">
        <f t="shared" si="283"/>
        <v>3504</v>
      </c>
      <c r="EB50" s="72">
        <f t="shared" ref="EB50:EB57" si="284">IF(ISERROR(EA50/DS50),"NA",IF(OR(EA50/DS50&gt;2,EA50/DS50&lt;0.5),"NM",EA50/DS50*100-100))</f>
        <v>-2.1502373638648322</v>
      </c>
      <c r="EC50" s="75">
        <f t="shared" si="283"/>
        <v>3487</v>
      </c>
      <c r="ED50" s="72">
        <f t="shared" ref="ED50:ED57" si="285">IF(ISERROR(EC50/DU50),"NA",IF(OR(EC50/DU50&gt;2,EC50/DU50&lt;0.5),"NM",EC50/DU50*100-100))</f>
        <v>-2.4615384615384528</v>
      </c>
      <c r="EE50" s="75">
        <f t="shared" si="283"/>
        <v>3489</v>
      </c>
      <c r="EF50" s="72">
        <f t="shared" ref="EF50:EF57" si="286">IF(ISERROR(EE50/DW50),"NA",IF(OR(EE50/DW50&gt;2,EE50/DW50&lt;0.5),"NM",EE50/DW50*100-100))</f>
        <v>-1.7736486486486456</v>
      </c>
      <c r="EG50" s="75">
        <f>EE56</f>
        <v>3485</v>
      </c>
      <c r="EH50" s="72">
        <f t="shared" ref="EH50:EH57" si="287">IF(ISERROR(EG50/DY50),"NA",IF(OR(EG50/DY50&gt;2,EG50/DY50&lt;0.5),"NM",EG50/DY50*100-100))</f>
        <v>-1.3306908267270643</v>
      </c>
      <c r="EI50" s="75">
        <f>EG56</f>
        <v>3488</v>
      </c>
      <c r="EJ50" s="72">
        <f t="shared" ref="EJ50:EJ57" si="288">IF(ISERROR(EI50/EA50),"NA",IF(OR(EI50/EA50&gt;2,EI50/EA50&lt;0.5),"NM",EI50/EA50*100-100))</f>
        <v>-0.45662100456621602</v>
      </c>
      <c r="EK50" s="75">
        <f>EI56</f>
        <v>3489</v>
      </c>
      <c r="EL50" s="72">
        <f t="shared" ref="EL50:EL57" si="289">IF(ISERROR(EK50/EC50),"NA",IF(OR(EK50/EC50&gt;2,EK50/EC50&lt;0.5),"NM",EK50/EC50*100-100))</f>
        <v>5.7355893318032258E-2</v>
      </c>
      <c r="EM50" s="75">
        <f>EK56</f>
        <v>3492</v>
      </c>
      <c r="EN50" s="72">
        <f t="shared" ref="EN50:EN57" si="290">IF(ISERROR(EM50/EE50),"NA",IF(OR(EM50/EE50&gt;2,EM50/EE50&lt;0.5),"NM",EM50/EE50*100-100))</f>
        <v>8.5984522785892636E-2</v>
      </c>
      <c r="EO50" s="75">
        <f>EM56</f>
        <v>3493</v>
      </c>
      <c r="EP50" s="72">
        <f t="shared" ref="EP50:EP57" si="291">IF(ISERROR(EO50/EG50),"NA",IF(OR(EO50/EG50&gt;2,EO50/EG50&lt;0.5),"NM",EO50/EG50*100-100))</f>
        <v>0.22955523672882805</v>
      </c>
      <c r="EQ50" s="75">
        <f t="shared" ref="EQ50" si="292">EO56</f>
        <v>3473</v>
      </c>
      <c r="ER50" s="72">
        <f t="shared" ref="ER50:ER57" si="293">IF(ISERROR(EQ50/EI50),"NA",IF(OR(EQ50/EI50&gt;2,EQ50/EI50&lt;0.5),"NM",EQ50/EI50*100-100))</f>
        <v>-0.43004587155964202</v>
      </c>
      <c r="ES50" s="75">
        <f t="shared" ref="ES50" si="294">EQ56</f>
        <v>3458.1431434297169</v>
      </c>
      <c r="ET50" s="72">
        <f t="shared" ref="ET50:ET57" si="295">IF(ISERROR(ES50/EK50),"NA",IF(OR(ES50/EK50&gt;2,ES50/EK50&lt;0.5),"NM",ES50/EK50*100-100))</f>
        <v>-0.88440402895622583</v>
      </c>
      <c r="EU50" s="75">
        <f t="shared" ref="EU50" si="296">ES56</f>
        <v>3443.892619929647</v>
      </c>
      <c r="EV50" s="72">
        <f t="shared" ref="EV50:EV57" si="297">IF(ISERROR(EU50/EM50),"NA",IF(OR(EU50/EM50&gt;2,EU50/EM50&lt;0.5),"NM",EU50/EM50*100-100))</f>
        <v>-1.3776454773869631</v>
      </c>
      <c r="EW50" s="75">
        <f t="shared" ref="EW50" si="298">EU56</f>
        <v>3430.2690898700303</v>
      </c>
      <c r="EX50" s="72">
        <f t="shared" ref="EX50:EX57" si="299">IF(ISERROR(EW50/EO50),"NA",IF(OR(EW50/EO50&gt;2,EW50/EO50&lt;0.5),"NM",EW50/EO50*100-100))</f>
        <v>-1.7959035250492406</v>
      </c>
      <c r="EY50" s="72"/>
      <c r="EZ50" s="309"/>
      <c r="FA50" s="72"/>
      <c r="FB50" s="74">
        <v>3723</v>
      </c>
      <c r="FC50" s="72"/>
      <c r="FD50" s="75">
        <f>FB56</f>
        <v>3249</v>
      </c>
      <c r="FE50" s="72">
        <f t="shared" ref="FE50:FE57" si="300">IF(ISERROR(FD50/FB50),"NA",IF(OR(FD50/FB50&gt;2,FD50/FB50&lt;0.5),"NM",FD50/FB50*100-100))</f>
        <v>-12.731668009669619</v>
      </c>
      <c r="FF50" s="75">
        <f>FD56</f>
        <v>3020</v>
      </c>
      <c r="FG50" s="72">
        <f t="shared" ref="FG50:FG57" si="301">IF(ISERROR(FF50/FD50),"NA",IF(OR(FF50/FD50&gt;2,FF50/FD50&lt;0.5),"NM",FF50/FD50*100-100))</f>
        <v>-7.0483225607879376</v>
      </c>
      <c r="FH50" s="75">
        <f>FF56</f>
        <v>2926</v>
      </c>
      <c r="FI50" s="72">
        <f t="shared" ref="FI50:FI57" si="302">IF(ISERROR(FH50/FF50),"NA",IF(OR(FH50/FF50&gt;2,FH50/FF50&lt;0.5),"NM",FH50/FF50*100-100))</f>
        <v>-3.1125827814569504</v>
      </c>
      <c r="FJ50" s="75">
        <f>FH56</f>
        <v>2975</v>
      </c>
      <c r="FK50" s="72">
        <f t="shared" ref="FK50:FK57" si="303">IF(ISERROR(FJ50/FH50),"NA",IF(OR(FJ50/FH50&gt;2,FJ50/FH50&lt;0.5),"NM",FJ50/FH50*100-100))</f>
        <v>1.6746411483253638</v>
      </c>
      <c r="FL50" s="75">
        <f>FJ56</f>
        <v>3396</v>
      </c>
      <c r="FM50" s="72">
        <f t="shared" ref="FM50:FM57" si="304">IF(ISERROR(FL50/FJ50),"NA",IF(OR(FL50/FJ50&gt;2,FL50/FJ50&lt;0.5),"NM",FL50/FJ50*100-100))</f>
        <v>14.151260504201673</v>
      </c>
      <c r="FN50" s="75">
        <f>FL56</f>
        <v>3514</v>
      </c>
      <c r="FO50" s="72">
        <f t="shared" ref="FO50:FO57" si="305">IF(ISERROR(FN50/FL50),"NA",IF(OR(FN50/FL50&gt;2,FN50/FL50&lt;0.5),"NM",FN50/FL50*100-100))</f>
        <v>3.4746760895170752</v>
      </c>
      <c r="FP50" s="75">
        <f>FN56</f>
        <v>3879</v>
      </c>
      <c r="FQ50" s="72">
        <f t="shared" ref="FQ50:FQ57" si="306">IF(ISERROR(FP50/FN50),"NA",IF(OR(FP50/FN50&gt;2,FP50/FN50&lt;0.5),"NM",FP50/FN50*100-100))</f>
        <v>10.387023335230509</v>
      </c>
      <c r="FR50" s="75">
        <f>FP56</f>
        <v>3991</v>
      </c>
      <c r="FS50" s="72">
        <f t="shared" ref="FS50:FS57" si="307">IF(ISERROR(FR50/FP50),"NA",IF(OR(FR50/FP50&gt;2,FR50/FP50&lt;0.5),"NM",FR50/FP50*100-100))</f>
        <v>2.8873420984789817</v>
      </c>
      <c r="FT50" s="75">
        <f>FR56</f>
        <v>3748</v>
      </c>
      <c r="FU50" s="72">
        <f t="shared" ref="FU50:FU57" si="308">IF(ISERROR(FT50/FR50),"NA",IF(OR(FT50/FR50&gt;2,FT50/FR50&lt;0.5),"NM",FT50/FR50*100-100))</f>
        <v>-6.0886995740415841</v>
      </c>
      <c r="FV50" s="75">
        <f>FT56</f>
        <v>3488</v>
      </c>
      <c r="FW50" s="72">
        <f t="shared" ref="FW50:GG57" si="309">IF(ISERROR(FV50/FT50),"NA",IF(OR(FV50/FT50&gt;2,FV50/FT50&lt;0.5),"NM",FV50/FT50*100-100))</f>
        <v>-6.9370330843116221</v>
      </c>
      <c r="FX50" s="75">
        <f>FV56</f>
        <v>3295</v>
      </c>
      <c r="FY50" s="72">
        <f t="shared" si="309"/>
        <v>-5.5332568807339442</v>
      </c>
      <c r="FZ50" s="75">
        <f>FX56</f>
        <v>3452</v>
      </c>
      <c r="GA50" s="72">
        <f t="shared" si="309"/>
        <v>4.7647951441578158</v>
      </c>
      <c r="GB50" s="75">
        <f>FZ56</f>
        <v>3837</v>
      </c>
      <c r="GC50" s="72">
        <f t="shared" si="309"/>
        <v>11.152954808806498</v>
      </c>
      <c r="GD50" s="75">
        <f>GB56</f>
        <v>3792</v>
      </c>
      <c r="GE50" s="72">
        <f t="shared" si="309"/>
        <v>-1.1727912431587271</v>
      </c>
      <c r="GF50" s="75">
        <f>GD56</f>
        <v>3734</v>
      </c>
      <c r="GG50" s="72">
        <f t="shared" si="309"/>
        <v>-1.5295358649788966</v>
      </c>
      <c r="GH50" s="75">
        <f>GF56</f>
        <v>3673</v>
      </c>
      <c r="GI50" s="72">
        <f t="shared" ref="GI50:GU57" si="310">IF(ISERROR(GH50/GF50),"NA",IF(OR(GH50/GF50&gt;2,GH50/GF50&lt;0.5),"NM",GH50/GF50*100-100))</f>
        <v>-1.6336368505623966</v>
      </c>
      <c r="GJ50" s="75">
        <f>GH56</f>
        <v>3581</v>
      </c>
      <c r="GK50" s="72">
        <f t="shared" si="310"/>
        <v>-2.5047644976858123</v>
      </c>
      <c r="GL50" s="75">
        <f>GJ56</f>
        <v>3504</v>
      </c>
      <c r="GM50" s="72">
        <f t="shared" si="310"/>
        <v>-2.1502373638648322</v>
      </c>
      <c r="GN50" s="75">
        <f>GL56</f>
        <v>3488</v>
      </c>
      <c r="GO50" s="72">
        <f t="shared" si="310"/>
        <v>-0.45662100456621602</v>
      </c>
      <c r="GP50" s="75">
        <f>GN56</f>
        <v>3473</v>
      </c>
      <c r="GQ50" s="72">
        <f t="shared" si="310"/>
        <v>-0.43004587155964202</v>
      </c>
      <c r="GR50" s="75">
        <f>GP56</f>
        <v>3417.2943157512927</v>
      </c>
      <c r="GS50" s="72">
        <f t="shared" si="310"/>
        <v>-1.6039644183330637</v>
      </c>
      <c r="GT50" s="75">
        <f>GR56</f>
        <v>3367.4835845707803</v>
      </c>
      <c r="GU50" s="72">
        <f t="shared" si="310"/>
        <v>-1.4576072933174231</v>
      </c>
      <c r="GV50" s="75">
        <f>GT56</f>
        <v>3323.8311074006715</v>
      </c>
      <c r="GW50" s="72">
        <f t="shared" ref="GW50:GW57" si="311">IF(ISERROR(GV50/GT50),"NA",IF(OR(GV50/GT50&gt;2,GV50/GT50&lt;0.5),"NM",GV50/GT50*100-100))</f>
        <v>-1.296293688560695</v>
      </c>
      <c r="GX50" s="75">
        <f>GV56</f>
        <v>3286.6357955149829</v>
      </c>
      <c r="GY50" s="72">
        <f t="shared" ref="GY50:GY57" si="312">IF(ISERROR(GX50/GV50),"NA",IF(OR(GX50/GV50&gt;2,GX50/GV50&lt;0.5),"NM",GX50/GV50*100-100))</f>
        <v>-1.1190493946239144</v>
      </c>
      <c r="GZ50" s="72">
        <f t="shared" ref="GZ50:GZ57" si="313">IF(ISERROR(((GX50/GN50)^0.2-1)*100),"NA",IF((((GX50/GN50)^0.2-1)*100)&gt;100,"NM",IF((((GX50/GN50)^0.2-1)*100)&lt;-50,"NM",((GX50/GN50)^0.2-1)*100)))</f>
        <v>-1.1822363925916402</v>
      </c>
      <c r="HA50" s="72"/>
      <c r="HB50" s="72"/>
      <c r="HC50"/>
      <c r="HD50"/>
      <c r="HE50"/>
      <c r="HF50"/>
      <c r="HG50"/>
      <c r="HH50"/>
      <c r="HI50" s="2"/>
    </row>
    <row r="51" spans="1:217" s="69" customFormat="1" ht="12.75" customHeight="1" x14ac:dyDescent="0.2">
      <c r="A51" s="3" t="s">
        <v>414</v>
      </c>
      <c r="B51" s="76" t="s">
        <v>28</v>
      </c>
      <c r="C51" s="74">
        <f>FF51-I51-G51-E51</f>
        <v>79</v>
      </c>
      <c r="D51" s="72"/>
      <c r="E51" s="74">
        <v>63</v>
      </c>
      <c r="F51" s="72"/>
      <c r="G51" s="74">
        <v>49</v>
      </c>
      <c r="H51" s="72"/>
      <c r="I51" s="74">
        <v>30</v>
      </c>
      <c r="J51" s="72"/>
      <c r="K51" s="74">
        <v>30</v>
      </c>
      <c r="L51" s="72" t="str">
        <f t="shared" si="246"/>
        <v>NM</v>
      </c>
      <c r="M51" s="74">
        <v>27</v>
      </c>
      <c r="N51" s="72" t="str">
        <f t="shared" si="247"/>
        <v>NM</v>
      </c>
      <c r="O51" s="74">
        <v>32</v>
      </c>
      <c r="P51" s="72">
        <f t="shared" si="248"/>
        <v>-34.693877551020407</v>
      </c>
      <c r="Q51" s="74">
        <v>31</v>
      </c>
      <c r="R51" s="72">
        <f t="shared" si="249"/>
        <v>3.3333333333333428</v>
      </c>
      <c r="S51" s="74">
        <v>37</v>
      </c>
      <c r="T51" s="72">
        <f t="shared" si="249"/>
        <v>23.333333333333343</v>
      </c>
      <c r="U51" s="74">
        <v>181</v>
      </c>
      <c r="V51" s="72" t="str">
        <f t="shared" si="249"/>
        <v>NM</v>
      </c>
      <c r="W51" s="74">
        <v>224</v>
      </c>
      <c r="X51" s="72" t="str">
        <f t="shared" si="249"/>
        <v>NM</v>
      </c>
      <c r="Y51" s="74">
        <v>163</v>
      </c>
      <c r="Z51" s="72" t="str">
        <f t="shared" si="249"/>
        <v>NM</v>
      </c>
      <c r="AA51" s="74">
        <v>110</v>
      </c>
      <c r="AB51" s="72" t="str">
        <f t="shared" si="249"/>
        <v>NM</v>
      </c>
      <c r="AC51" s="74">
        <v>57</v>
      </c>
      <c r="AD51" s="72" t="str">
        <f t="shared" si="249"/>
        <v>NM</v>
      </c>
      <c r="AE51" s="74">
        <v>47</v>
      </c>
      <c r="AF51" s="72" t="str">
        <f t="shared" si="249"/>
        <v>NM</v>
      </c>
      <c r="AG51" s="74">
        <v>33</v>
      </c>
      <c r="AH51" s="72" t="str">
        <f t="shared" si="249"/>
        <v>NM</v>
      </c>
      <c r="AI51" s="74">
        <v>92</v>
      </c>
      <c r="AJ51" s="72">
        <f t="shared" si="249"/>
        <v>-16.363636363636374</v>
      </c>
      <c r="AK51" s="74">
        <v>196</v>
      </c>
      <c r="AL51" s="72" t="str">
        <f t="shared" si="249"/>
        <v>NM</v>
      </c>
      <c r="AM51" s="74">
        <v>175</v>
      </c>
      <c r="AN51" s="72" t="str">
        <f t="shared" si="249"/>
        <v>NM</v>
      </c>
      <c r="AO51" s="74">
        <v>69</v>
      </c>
      <c r="AP51" s="72" t="str">
        <f t="shared" si="249"/>
        <v>NM</v>
      </c>
      <c r="AQ51" s="74">
        <v>52</v>
      </c>
      <c r="AR51" s="72">
        <f t="shared" si="250"/>
        <v>-43.478260869565219</v>
      </c>
      <c r="AS51" s="74">
        <v>243</v>
      </c>
      <c r="AT51" s="72">
        <f t="shared" si="251"/>
        <v>23.979591836734699</v>
      </c>
      <c r="AU51" s="74">
        <v>39</v>
      </c>
      <c r="AV51" s="72" t="str">
        <f t="shared" si="252"/>
        <v>NM</v>
      </c>
      <c r="AW51" s="74">
        <v>27</v>
      </c>
      <c r="AX51" s="72" t="str">
        <f t="shared" si="253"/>
        <v>NM</v>
      </c>
      <c r="AY51" s="74">
        <v>28</v>
      </c>
      <c r="AZ51" s="72">
        <f t="shared" si="254"/>
        <v>-46.153846153846153</v>
      </c>
      <c r="BA51" s="74">
        <v>32</v>
      </c>
      <c r="BB51" s="72" t="str">
        <f t="shared" si="255"/>
        <v>NM</v>
      </c>
      <c r="BC51" s="74">
        <v>33</v>
      </c>
      <c r="BD51" s="72">
        <f t="shared" si="256"/>
        <v>-15.384615384615387</v>
      </c>
      <c r="BE51" s="74">
        <v>26</v>
      </c>
      <c r="BF51" s="72">
        <f t="shared" si="257"/>
        <v>-3.7037037037037095</v>
      </c>
      <c r="BG51" s="74">
        <v>21</v>
      </c>
      <c r="BH51" s="72">
        <f t="shared" si="258"/>
        <v>-25</v>
      </c>
      <c r="BI51" s="74">
        <v>20</v>
      </c>
      <c r="BJ51" s="72">
        <f t="shared" si="259"/>
        <v>-37.5</v>
      </c>
      <c r="BK51" s="74">
        <v>16</v>
      </c>
      <c r="BL51" s="72" t="str">
        <f t="shared" si="260"/>
        <v>NM</v>
      </c>
      <c r="BM51" s="74">
        <v>16</v>
      </c>
      <c r="BN51" s="72">
        <f t="shared" si="261"/>
        <v>-38.46153846153846</v>
      </c>
      <c r="BO51" s="74">
        <v>17</v>
      </c>
      <c r="BP51" s="72">
        <f t="shared" si="262"/>
        <v>-19.047619047619051</v>
      </c>
      <c r="BQ51" s="74">
        <v>24</v>
      </c>
      <c r="BR51" s="72">
        <f t="shared" si="263"/>
        <v>20</v>
      </c>
      <c r="BS51" s="74">
        <v>33</v>
      </c>
      <c r="BT51" s="72" t="str">
        <f t="shared" si="264"/>
        <v>NM</v>
      </c>
      <c r="BU51" s="74">
        <v>47</v>
      </c>
      <c r="BV51" s="72" t="str">
        <f t="shared" si="265"/>
        <v>NM</v>
      </c>
      <c r="BW51" s="74">
        <v>55</v>
      </c>
      <c r="BX51" s="72" t="str">
        <f t="shared" si="266"/>
        <v>NM</v>
      </c>
      <c r="BY51" s="74">
        <v>41</v>
      </c>
      <c r="BZ51" s="72">
        <f t="shared" si="267"/>
        <v>70.833333333333314</v>
      </c>
      <c r="CA51" s="74">
        <v>46</v>
      </c>
      <c r="CB51" s="72">
        <f t="shared" si="268"/>
        <v>39.393939393939405</v>
      </c>
      <c r="CC51" s="74">
        <v>37</v>
      </c>
      <c r="CD51" s="72">
        <f t="shared" si="269"/>
        <v>-21.276595744680847</v>
      </c>
      <c r="CE51" s="74">
        <v>30</v>
      </c>
      <c r="CF51" s="72">
        <f t="shared" si="270"/>
        <v>-45.45454545454546</v>
      </c>
      <c r="CG51" s="74">
        <v>32</v>
      </c>
      <c r="CH51" s="72">
        <f t="shared" si="271"/>
        <v>-21.951219512195124</v>
      </c>
      <c r="CI51" s="74">
        <v>29</v>
      </c>
      <c r="CJ51" s="72">
        <f t="shared" si="272"/>
        <v>-36.95652173913043</v>
      </c>
      <c r="CK51" s="74">
        <v>12</v>
      </c>
      <c r="CL51" s="72" t="str">
        <f t="shared" si="272"/>
        <v>NM</v>
      </c>
      <c r="CM51" s="74">
        <v>18</v>
      </c>
      <c r="CN51" s="72">
        <f t="shared" si="272"/>
        <v>-40</v>
      </c>
      <c r="CO51" s="74">
        <v>20</v>
      </c>
      <c r="CP51" s="72">
        <f t="shared" si="272"/>
        <v>-37.5</v>
      </c>
      <c r="CQ51" s="74">
        <v>15</v>
      </c>
      <c r="CR51" s="72">
        <f t="shared" si="272"/>
        <v>-48.275862068965516</v>
      </c>
      <c r="CS51" s="74">
        <v>16</v>
      </c>
      <c r="CT51" s="72">
        <f t="shared" si="272"/>
        <v>33.333333333333314</v>
      </c>
      <c r="CU51" s="74">
        <v>16</v>
      </c>
      <c r="CV51" s="72">
        <f t="shared" si="273"/>
        <v>-11.111111111111114</v>
      </c>
      <c r="CW51" s="74">
        <v>14</v>
      </c>
      <c r="CX51" s="72">
        <f t="shared" si="274"/>
        <v>-30</v>
      </c>
      <c r="CY51" s="74">
        <v>14</v>
      </c>
      <c r="CZ51" s="72">
        <f t="shared" si="275"/>
        <v>-6.6666666666666714</v>
      </c>
      <c r="DA51" s="74">
        <v>11</v>
      </c>
      <c r="DB51" s="72">
        <f t="shared" si="276"/>
        <v>-31.25</v>
      </c>
      <c r="DC51" s="74">
        <v>16</v>
      </c>
      <c r="DD51" s="72">
        <f t="shared" si="277"/>
        <v>0</v>
      </c>
      <c r="DE51" s="74">
        <v>14</v>
      </c>
      <c r="DF51" s="72">
        <f t="shared" si="278"/>
        <v>0</v>
      </c>
      <c r="DG51" s="74">
        <v>16</v>
      </c>
      <c r="DH51" s="72">
        <f t="shared" si="279"/>
        <v>14.285714285714278</v>
      </c>
      <c r="DI51" s="74">
        <v>20</v>
      </c>
      <c r="DJ51" s="72">
        <f t="shared" si="280"/>
        <v>81.818181818181813</v>
      </c>
      <c r="DK51" s="74">
        <v>17</v>
      </c>
      <c r="DL51" s="74">
        <f>DD51*1.05</f>
        <v>0</v>
      </c>
      <c r="DM51" s="74">
        <v>13</v>
      </c>
      <c r="DN51" s="72">
        <f t="shared" si="282"/>
        <v>-7.1428571428571388</v>
      </c>
      <c r="DO51" s="74">
        <v>13</v>
      </c>
      <c r="DP51" s="72">
        <f t="shared" si="282"/>
        <v>-18.75</v>
      </c>
      <c r="DQ51" s="74">
        <v>8</v>
      </c>
      <c r="DR51" s="72" t="str">
        <f t="shared" si="282"/>
        <v>NM</v>
      </c>
      <c r="DS51" s="74">
        <v>12</v>
      </c>
      <c r="DT51" s="72">
        <f t="shared" si="282"/>
        <v>-29.411764705882348</v>
      </c>
      <c r="DU51" s="74">
        <v>15</v>
      </c>
      <c r="DV51" s="72">
        <f t="shared" si="282"/>
        <v>15.384615384615373</v>
      </c>
      <c r="DW51" s="74">
        <v>8</v>
      </c>
      <c r="DX51" s="72">
        <f t="shared" si="282"/>
        <v>-38.46153846153846</v>
      </c>
      <c r="DY51" s="74">
        <v>13</v>
      </c>
      <c r="DZ51" s="72">
        <f t="shared" si="282"/>
        <v>62.5</v>
      </c>
      <c r="EA51" s="74">
        <v>16</v>
      </c>
      <c r="EB51" s="72">
        <f t="shared" si="284"/>
        <v>33.333333333333314</v>
      </c>
      <c r="EC51" s="74">
        <v>14</v>
      </c>
      <c r="ED51" s="72">
        <f t="shared" si="285"/>
        <v>-6.6666666666666714</v>
      </c>
      <c r="EE51" s="74">
        <v>12</v>
      </c>
      <c r="EF51" s="72">
        <f t="shared" si="286"/>
        <v>50</v>
      </c>
      <c r="EG51" s="74">
        <v>18</v>
      </c>
      <c r="EH51" s="72">
        <f t="shared" si="287"/>
        <v>38.461538461538453</v>
      </c>
      <c r="EI51" s="74">
        <v>12</v>
      </c>
      <c r="EJ51" s="72">
        <f t="shared" si="288"/>
        <v>-25</v>
      </c>
      <c r="EK51" s="74">
        <v>14</v>
      </c>
      <c r="EL51" s="72">
        <f t="shared" si="289"/>
        <v>0</v>
      </c>
      <c r="EM51" s="74">
        <v>11</v>
      </c>
      <c r="EN51" s="72">
        <f t="shared" si="290"/>
        <v>-8.3333333333333428</v>
      </c>
      <c r="EO51" s="74">
        <v>5</v>
      </c>
      <c r="EP51" s="72" t="str">
        <f t="shared" si="291"/>
        <v>NM</v>
      </c>
      <c r="EQ51" s="74">
        <v>10</v>
      </c>
      <c r="ER51" s="72">
        <f t="shared" si="293"/>
        <v>-16.666666666666657</v>
      </c>
      <c r="ES51" s="74">
        <f t="shared" ref="ES51" si="314">EQ51*1.05</f>
        <v>10.5</v>
      </c>
      <c r="ET51" s="72">
        <f t="shared" si="295"/>
        <v>-25</v>
      </c>
      <c r="EU51" s="74">
        <f t="shared" ref="EU51" si="315">ES51*1.05</f>
        <v>11.025</v>
      </c>
      <c r="EV51" s="72">
        <f t="shared" si="297"/>
        <v>0.22727272727271952</v>
      </c>
      <c r="EW51" s="74">
        <f t="shared" ref="EW51" si="316">EU51*1.05</f>
        <v>11.576250000000002</v>
      </c>
      <c r="EX51" s="72" t="str">
        <f t="shared" si="299"/>
        <v>NM</v>
      </c>
      <c r="EY51" s="72"/>
      <c r="EZ51" s="307"/>
      <c r="FA51" s="72"/>
      <c r="FB51" s="74">
        <v>56</v>
      </c>
      <c r="FC51" s="87"/>
      <c r="FD51" s="74">
        <v>160</v>
      </c>
      <c r="FE51" s="72" t="str">
        <f t="shared" si="300"/>
        <v>NM</v>
      </c>
      <c r="FF51" s="74">
        <v>221</v>
      </c>
      <c r="FG51" s="72">
        <f t="shared" si="301"/>
        <v>38.125</v>
      </c>
      <c r="FH51" s="75">
        <f>K51+M51+O51+Q51</f>
        <v>120</v>
      </c>
      <c r="FI51" s="72">
        <f t="shared" si="302"/>
        <v>-45.701357466063349</v>
      </c>
      <c r="FJ51" s="75">
        <f>S51+U51+W51+Y51</f>
        <v>605</v>
      </c>
      <c r="FK51" s="72" t="str">
        <f t="shared" si="303"/>
        <v>NM</v>
      </c>
      <c r="FL51" s="75">
        <f>AA51+AC51+AE51+AG51</f>
        <v>247</v>
      </c>
      <c r="FM51" s="72" t="str">
        <f t="shared" si="304"/>
        <v>NM</v>
      </c>
      <c r="FN51" s="75">
        <f>AI51+AK51+AM51+AO51</f>
        <v>532</v>
      </c>
      <c r="FO51" s="72" t="str">
        <f t="shared" si="305"/>
        <v>NM</v>
      </c>
      <c r="FP51" s="75">
        <f>AQ51+AS51+AU51+AW51</f>
        <v>361</v>
      </c>
      <c r="FQ51" s="72">
        <f t="shared" si="306"/>
        <v>-32.142857142857139</v>
      </c>
      <c r="FR51" s="75">
        <f>AY51+BA51+BC51+BE51</f>
        <v>119</v>
      </c>
      <c r="FS51" s="72" t="str">
        <f t="shared" si="307"/>
        <v>NM</v>
      </c>
      <c r="FT51" s="75">
        <f>BG51+BI51+BK51+BM51</f>
        <v>73</v>
      </c>
      <c r="FU51" s="72">
        <f t="shared" si="308"/>
        <v>-38.655462184873947</v>
      </c>
      <c r="FV51" s="75">
        <f>BO51+BQ51+BS51+BU51</f>
        <v>121</v>
      </c>
      <c r="FW51" s="72">
        <f t="shared" si="309"/>
        <v>65.753424657534254</v>
      </c>
      <c r="FX51" s="75">
        <f>BW51+BY51+CA51+CC51</f>
        <v>179</v>
      </c>
      <c r="FY51" s="72">
        <f t="shared" si="309"/>
        <v>47.933884297520649</v>
      </c>
      <c r="FZ51" s="75">
        <f>CE51+CG51+CI51+CK51</f>
        <v>103</v>
      </c>
      <c r="GA51" s="72">
        <f t="shared" si="309"/>
        <v>-42.458100558659218</v>
      </c>
      <c r="GB51" s="75">
        <f>CM51+CO51+CQ51+CS51</f>
        <v>69</v>
      </c>
      <c r="GC51" s="72">
        <f t="shared" si="309"/>
        <v>-33.009708737864074</v>
      </c>
      <c r="GD51" s="75">
        <f>CU51+CW51+CY51+DA51</f>
        <v>55</v>
      </c>
      <c r="GE51" s="72">
        <f t="shared" si="309"/>
        <v>-20.289855072463766</v>
      </c>
      <c r="GF51" s="75">
        <f>DC51+DE51+DG51+DI51</f>
        <v>66</v>
      </c>
      <c r="GG51" s="72">
        <f t="shared" si="309"/>
        <v>20</v>
      </c>
      <c r="GH51" s="75">
        <f>DK51+DM51+DO51+DQ51</f>
        <v>51</v>
      </c>
      <c r="GI51" s="72">
        <f t="shared" si="310"/>
        <v>-22.727272727272734</v>
      </c>
      <c r="GJ51" s="75">
        <f>DS51+DU51+DW51+DY51</f>
        <v>48</v>
      </c>
      <c r="GK51" s="72">
        <f t="shared" si="310"/>
        <v>-5.8823529411764781</v>
      </c>
      <c r="GL51" s="75">
        <f>EA51+EC51+EE51+EG51</f>
        <v>60</v>
      </c>
      <c r="GM51" s="72">
        <f t="shared" si="310"/>
        <v>25</v>
      </c>
      <c r="GN51" s="75">
        <f>EI51+EK51+EM51+EO51</f>
        <v>42</v>
      </c>
      <c r="GO51" s="72">
        <f t="shared" si="310"/>
        <v>-30</v>
      </c>
      <c r="GP51" s="75">
        <f>EQ51+ES51+EU51+EW51</f>
        <v>43.10125</v>
      </c>
      <c r="GQ51" s="72">
        <f t="shared" si="310"/>
        <v>2.6220238095238102</v>
      </c>
      <c r="GR51" s="74">
        <f>GP51*1.1</f>
        <v>47.411375000000007</v>
      </c>
      <c r="GS51" s="72">
        <f t="shared" si="310"/>
        <v>10.000000000000014</v>
      </c>
      <c r="GT51" s="74">
        <f>GR51*1.1</f>
        <v>52.152512500000014</v>
      </c>
      <c r="GU51" s="72">
        <f t="shared" si="310"/>
        <v>10.000000000000014</v>
      </c>
      <c r="GV51" s="74">
        <f>GT51*1.1</f>
        <v>57.367763750000023</v>
      </c>
      <c r="GW51" s="72">
        <f t="shared" si="311"/>
        <v>10.000000000000014</v>
      </c>
      <c r="GX51" s="74">
        <f>GV51*1.1</f>
        <v>63.104540125000028</v>
      </c>
      <c r="GY51" s="72">
        <f t="shared" si="312"/>
        <v>10.000000000000014</v>
      </c>
      <c r="GZ51" s="72">
        <f t="shared" si="313"/>
        <v>8.4831439895586946</v>
      </c>
      <c r="HA51" s="72"/>
      <c r="HB51" s="72"/>
      <c r="HC51"/>
      <c r="HD51"/>
      <c r="HE51"/>
      <c r="HF51"/>
      <c r="HG51"/>
      <c r="HH51"/>
      <c r="HI51" s="2"/>
    </row>
    <row r="52" spans="1:217" s="69" customFormat="1" ht="12.75" customHeight="1" x14ac:dyDescent="0.2">
      <c r="A52" s="3" t="s">
        <v>210</v>
      </c>
      <c r="B52" s="77" t="s">
        <v>440</v>
      </c>
      <c r="C52" s="74">
        <f>FF52-I52-G52-E52</f>
        <v>-111</v>
      </c>
      <c r="D52" s="72"/>
      <c r="E52" s="74">
        <v>-124</v>
      </c>
      <c r="F52" s="72"/>
      <c r="G52" s="74">
        <v>-65</v>
      </c>
      <c r="H52" s="72"/>
      <c r="I52" s="74">
        <v>-61</v>
      </c>
      <c r="J52" s="72"/>
      <c r="K52" s="74">
        <v>-69</v>
      </c>
      <c r="L52" s="72">
        <f t="shared" si="246"/>
        <v>-37.837837837837839</v>
      </c>
      <c r="M52" s="74">
        <v>-55</v>
      </c>
      <c r="N52" s="72" t="str">
        <f t="shared" si="247"/>
        <v>NM</v>
      </c>
      <c r="O52" s="74">
        <v>-48</v>
      </c>
      <c r="P52" s="72">
        <f t="shared" si="248"/>
        <v>-26.153846153846146</v>
      </c>
      <c r="Q52" s="74">
        <v>-44</v>
      </c>
      <c r="R52" s="72">
        <f t="shared" si="249"/>
        <v>-27.868852459016395</v>
      </c>
      <c r="S52" s="74">
        <v>-42</v>
      </c>
      <c r="T52" s="72">
        <f t="shared" si="249"/>
        <v>-39.130434782608688</v>
      </c>
      <c r="U52" s="74">
        <v>-36</v>
      </c>
      <c r="V52" s="72">
        <f t="shared" si="249"/>
        <v>-34.545454545454547</v>
      </c>
      <c r="W52" s="74">
        <v>-31</v>
      </c>
      <c r="X52" s="72">
        <f t="shared" si="249"/>
        <v>-35.416666666666657</v>
      </c>
      <c r="Y52" s="74">
        <v>-34</v>
      </c>
      <c r="Z52" s="72">
        <f t="shared" si="249"/>
        <v>-22.727272727272734</v>
      </c>
      <c r="AA52" s="74">
        <v>-34</v>
      </c>
      <c r="AB52" s="72">
        <f t="shared" si="249"/>
        <v>-19.047619047619051</v>
      </c>
      <c r="AC52" s="74">
        <v>-32</v>
      </c>
      <c r="AD52" s="72">
        <f t="shared" si="249"/>
        <v>-11.111111111111114</v>
      </c>
      <c r="AE52" s="74">
        <v>-33</v>
      </c>
      <c r="AF52" s="72">
        <f t="shared" si="249"/>
        <v>6.4516129032257936</v>
      </c>
      <c r="AG52" s="74">
        <v>-42</v>
      </c>
      <c r="AH52" s="72">
        <f t="shared" si="249"/>
        <v>23.529411764705884</v>
      </c>
      <c r="AI52" s="74">
        <v>-51</v>
      </c>
      <c r="AJ52" s="72">
        <f t="shared" si="249"/>
        <v>50</v>
      </c>
      <c r="AK52" s="74">
        <v>-51</v>
      </c>
      <c r="AL52" s="72">
        <f t="shared" si="249"/>
        <v>59.375</v>
      </c>
      <c r="AM52" s="74">
        <v>-44</v>
      </c>
      <c r="AN52" s="72">
        <f t="shared" si="249"/>
        <v>33.333333333333314</v>
      </c>
      <c r="AO52" s="74">
        <v>-45</v>
      </c>
      <c r="AP52" s="72">
        <f t="shared" si="249"/>
        <v>7.1428571428571388</v>
      </c>
      <c r="AQ52" s="74">
        <v>-56</v>
      </c>
      <c r="AR52" s="72">
        <f t="shared" si="250"/>
        <v>9.8039215686274588</v>
      </c>
      <c r="AS52" s="74">
        <v>-53</v>
      </c>
      <c r="AT52" s="72">
        <f t="shared" si="251"/>
        <v>3.9215686274509949</v>
      </c>
      <c r="AU52" s="74">
        <v>-56</v>
      </c>
      <c r="AV52" s="72">
        <f t="shared" si="252"/>
        <v>27.272727272727266</v>
      </c>
      <c r="AW52" s="74">
        <v>-66</v>
      </c>
      <c r="AX52" s="72">
        <f t="shared" si="253"/>
        <v>46.666666666666657</v>
      </c>
      <c r="AY52" s="74">
        <v>-69</v>
      </c>
      <c r="AZ52" s="72">
        <f t="shared" si="254"/>
        <v>23.214285714285722</v>
      </c>
      <c r="BA52" s="74">
        <v>-92</v>
      </c>
      <c r="BB52" s="72">
        <f t="shared" si="255"/>
        <v>73.584905660377359</v>
      </c>
      <c r="BC52" s="74">
        <v>-75</v>
      </c>
      <c r="BD52" s="72">
        <f t="shared" si="256"/>
        <v>33.928571428571416</v>
      </c>
      <c r="BE52" s="74">
        <v>-77</v>
      </c>
      <c r="BF52" s="72">
        <f t="shared" si="257"/>
        <v>16.666666666666671</v>
      </c>
      <c r="BG52" s="74">
        <v>-81</v>
      </c>
      <c r="BH52" s="72">
        <f t="shared" si="258"/>
        <v>17.391304347826093</v>
      </c>
      <c r="BI52" s="74">
        <v>-74</v>
      </c>
      <c r="BJ52" s="72">
        <f t="shared" si="259"/>
        <v>-19.565217391304344</v>
      </c>
      <c r="BK52" s="74">
        <v>-69</v>
      </c>
      <c r="BL52" s="72">
        <f t="shared" si="260"/>
        <v>-8</v>
      </c>
      <c r="BM52" s="74">
        <v>-62</v>
      </c>
      <c r="BN52" s="72">
        <f t="shared" si="261"/>
        <v>-19.480519480519476</v>
      </c>
      <c r="BO52" s="74">
        <v>-53</v>
      </c>
      <c r="BP52" s="72">
        <f t="shared" si="262"/>
        <v>-34.567901234567898</v>
      </c>
      <c r="BQ52" s="74">
        <v>-61</v>
      </c>
      <c r="BR52" s="72">
        <f t="shared" si="263"/>
        <v>-17.567567567567565</v>
      </c>
      <c r="BS52" s="74">
        <v>-71</v>
      </c>
      <c r="BT52" s="72">
        <f t="shared" si="264"/>
        <v>2.8985507246376727</v>
      </c>
      <c r="BU52" s="74">
        <v>-91</v>
      </c>
      <c r="BV52" s="72">
        <f t="shared" si="265"/>
        <v>46.774193548387103</v>
      </c>
      <c r="BW52" s="74">
        <v>-77</v>
      </c>
      <c r="BX52" s="72">
        <f t="shared" si="266"/>
        <v>45.283018867924511</v>
      </c>
      <c r="BY52" s="74">
        <v>-75</v>
      </c>
      <c r="BZ52" s="72">
        <f t="shared" si="267"/>
        <v>22.950819672131146</v>
      </c>
      <c r="CA52" s="74">
        <v>-49</v>
      </c>
      <c r="CB52" s="72">
        <f t="shared" si="268"/>
        <v>-30.985915492957744</v>
      </c>
      <c r="CC52" s="74">
        <v>-57</v>
      </c>
      <c r="CD52" s="72">
        <f t="shared" si="269"/>
        <v>-37.362637362637365</v>
      </c>
      <c r="CE52" s="74">
        <v>-48</v>
      </c>
      <c r="CF52" s="72">
        <f t="shared" si="270"/>
        <v>-37.662337662337663</v>
      </c>
      <c r="CG52" s="74">
        <v>-78</v>
      </c>
      <c r="CH52" s="72">
        <f t="shared" si="271"/>
        <v>4</v>
      </c>
      <c r="CI52" s="74">
        <v>-44</v>
      </c>
      <c r="CJ52" s="72">
        <f t="shared" si="272"/>
        <v>-10.204081632653057</v>
      </c>
      <c r="CK52" s="74">
        <v>-45</v>
      </c>
      <c r="CL52" s="72">
        <f t="shared" si="272"/>
        <v>-21.05263157894737</v>
      </c>
      <c r="CM52" s="74">
        <v>-48</v>
      </c>
      <c r="CN52" s="72">
        <f t="shared" si="272"/>
        <v>0</v>
      </c>
      <c r="CO52" s="74">
        <v>-45</v>
      </c>
      <c r="CP52" s="72">
        <f t="shared" si="272"/>
        <v>-42.307692307692314</v>
      </c>
      <c r="CQ52" s="74">
        <v>-46</v>
      </c>
      <c r="CR52" s="72">
        <f t="shared" si="272"/>
        <v>4.5454545454545467</v>
      </c>
      <c r="CS52" s="74">
        <v>-44</v>
      </c>
      <c r="CT52" s="72">
        <f t="shared" si="272"/>
        <v>-2.2222222222222285</v>
      </c>
      <c r="CU52" s="74">
        <v>-43</v>
      </c>
      <c r="CV52" s="72">
        <f t="shared" si="273"/>
        <v>-10.416666666666657</v>
      </c>
      <c r="CW52" s="74">
        <v>-34</v>
      </c>
      <c r="CX52" s="72">
        <f t="shared" si="274"/>
        <v>-24.444444444444443</v>
      </c>
      <c r="CY52" s="74">
        <v>-35</v>
      </c>
      <c r="CZ52" s="72">
        <f t="shared" si="275"/>
        <v>-23.91304347826086</v>
      </c>
      <c r="DA52" s="74">
        <v>-48</v>
      </c>
      <c r="DB52" s="72">
        <f t="shared" si="276"/>
        <v>9.0909090909090793</v>
      </c>
      <c r="DC52" s="74">
        <v>-41</v>
      </c>
      <c r="DD52" s="72">
        <f t="shared" si="277"/>
        <v>-4.6511627906976685</v>
      </c>
      <c r="DE52" s="74">
        <v>-38</v>
      </c>
      <c r="DF52" s="72">
        <f t="shared" si="278"/>
        <v>11.764705882352942</v>
      </c>
      <c r="DG52" s="74">
        <v>-40</v>
      </c>
      <c r="DH52" s="72">
        <f t="shared" si="279"/>
        <v>14.285714285714278</v>
      </c>
      <c r="DI52" s="74">
        <v>-41</v>
      </c>
      <c r="DJ52" s="72">
        <f t="shared" si="280"/>
        <v>-14.583333333333343</v>
      </c>
      <c r="DK52" s="74">
        <v>-35</v>
      </c>
      <c r="DL52" s="72">
        <f t="shared" si="281"/>
        <v>-14.634146341463421</v>
      </c>
      <c r="DM52" s="74">
        <v>-34</v>
      </c>
      <c r="DN52" s="72">
        <f t="shared" si="282"/>
        <v>-10.526315789473685</v>
      </c>
      <c r="DO52" s="74">
        <v>-30</v>
      </c>
      <c r="DP52" s="72">
        <f t="shared" si="282"/>
        <v>-25</v>
      </c>
      <c r="DQ52" s="74">
        <v>-39</v>
      </c>
      <c r="DR52" s="72">
        <f t="shared" si="282"/>
        <v>-4.8780487804878021</v>
      </c>
      <c r="DS52" s="74">
        <v>-29</v>
      </c>
      <c r="DT52" s="72">
        <f t="shared" si="282"/>
        <v>-17.142857142857139</v>
      </c>
      <c r="DU52" s="74">
        <v>-33</v>
      </c>
      <c r="DV52" s="72">
        <f t="shared" si="282"/>
        <v>-2.941176470588232</v>
      </c>
      <c r="DW52" s="74">
        <v>-30</v>
      </c>
      <c r="DX52" s="72">
        <f t="shared" si="282"/>
        <v>0</v>
      </c>
      <c r="DY52" s="74">
        <v>-32</v>
      </c>
      <c r="DZ52" s="72">
        <f t="shared" si="282"/>
        <v>-17.948717948717956</v>
      </c>
      <c r="EA52" s="74">
        <v>-31</v>
      </c>
      <c r="EB52" s="72">
        <f t="shared" si="284"/>
        <v>6.8965517241379217</v>
      </c>
      <c r="EC52" s="74">
        <v>-26</v>
      </c>
      <c r="ED52" s="72">
        <f t="shared" si="285"/>
        <v>-21.212121212121218</v>
      </c>
      <c r="EE52" s="74">
        <v>-21</v>
      </c>
      <c r="EF52" s="72">
        <f t="shared" si="286"/>
        <v>-30</v>
      </c>
      <c r="EG52" s="74">
        <v>-27</v>
      </c>
      <c r="EH52" s="72">
        <f t="shared" si="287"/>
        <v>-15.625</v>
      </c>
      <c r="EI52" s="74">
        <v>-27</v>
      </c>
      <c r="EJ52" s="72">
        <f t="shared" si="288"/>
        <v>-12.903225806451616</v>
      </c>
      <c r="EK52" s="74">
        <v>-25</v>
      </c>
      <c r="EL52" s="72">
        <f t="shared" si="289"/>
        <v>-3.8461538461538396</v>
      </c>
      <c r="EM52" s="74">
        <v>-21</v>
      </c>
      <c r="EN52" s="72">
        <f t="shared" si="290"/>
        <v>0</v>
      </c>
      <c r="EO52" s="74">
        <v>-31</v>
      </c>
      <c r="EP52" s="72">
        <f t="shared" si="291"/>
        <v>14.81481481481481</v>
      </c>
      <c r="EQ52" s="75">
        <f t="shared" ref="EQ52" si="317">-EQ50*EQ60/400</f>
        <v>-30.822502147151443</v>
      </c>
      <c r="ER52" s="72">
        <f t="shared" si="293"/>
        <v>14.157415359820163</v>
      </c>
      <c r="ES52" s="75">
        <f t="shared" ref="ES52" si="318">-ES50*ES60/400</f>
        <v>-30.690649140086233</v>
      </c>
      <c r="ET52" s="72">
        <f t="shared" si="295"/>
        <v>22.762596560344946</v>
      </c>
      <c r="EU52" s="75">
        <f t="shared" ref="EU52" si="319">-EU50*EU60/400</f>
        <v>-30.56417727392472</v>
      </c>
      <c r="EV52" s="72">
        <f t="shared" si="297"/>
        <v>45.543701304403442</v>
      </c>
      <c r="EW52" s="75">
        <f t="shared" ref="EW52" si="320">-EW50*EW60/400</f>
        <v>-30.443269907234736</v>
      </c>
      <c r="EX52" s="72">
        <f t="shared" si="299"/>
        <v>-1.7959035250492406</v>
      </c>
      <c r="EY52" s="72"/>
      <c r="EZ52" s="309"/>
      <c r="FA52" s="72"/>
      <c r="FB52" s="74">
        <v>-575</v>
      </c>
      <c r="FC52" s="72"/>
      <c r="FD52" s="74">
        <v>-425</v>
      </c>
      <c r="FE52" s="72">
        <f t="shared" si="300"/>
        <v>-26.08695652173914</v>
      </c>
      <c r="FF52" s="74">
        <v>-361</v>
      </c>
      <c r="FG52" s="72">
        <f t="shared" si="301"/>
        <v>-15.058823529411768</v>
      </c>
      <c r="FH52" s="75">
        <f>K52+M52+O52+Q52</f>
        <v>-216</v>
      </c>
      <c r="FI52" s="72">
        <f t="shared" si="302"/>
        <v>-40.166204986149587</v>
      </c>
      <c r="FJ52" s="75">
        <f>S52+U52+W52+Y52</f>
        <v>-143</v>
      </c>
      <c r="FK52" s="72">
        <f t="shared" si="303"/>
        <v>-33.796296296296291</v>
      </c>
      <c r="FL52" s="75">
        <f>AA52+AC52+AE52+AG52</f>
        <v>-141</v>
      </c>
      <c r="FM52" s="72">
        <f t="shared" si="304"/>
        <v>-1.3986013986014001</v>
      </c>
      <c r="FN52" s="75">
        <f>AI52+AK52+AM52+AO52</f>
        <v>-191</v>
      </c>
      <c r="FO52" s="72">
        <f t="shared" si="305"/>
        <v>35.460992907801426</v>
      </c>
      <c r="FP52" s="75">
        <f>AQ52+AS52+AU52+AW52</f>
        <v>-231</v>
      </c>
      <c r="FQ52" s="72">
        <f t="shared" si="306"/>
        <v>20.942408376963357</v>
      </c>
      <c r="FR52" s="75">
        <f>AY52+BA52+BC52+BE52</f>
        <v>-313</v>
      </c>
      <c r="FS52" s="72">
        <f t="shared" si="307"/>
        <v>35.497835497835496</v>
      </c>
      <c r="FT52" s="75">
        <f>BG52+BI52+BK52+BM52</f>
        <v>-286</v>
      </c>
      <c r="FU52" s="72">
        <f t="shared" si="308"/>
        <v>-8.626198083067095</v>
      </c>
      <c r="FV52" s="75">
        <f>BO52+BQ52+BS52+BU52</f>
        <v>-276</v>
      </c>
      <c r="FW52" s="72">
        <f t="shared" si="309"/>
        <v>-3.4965034965034931</v>
      </c>
      <c r="FX52" s="75">
        <f>BW52+BY52+CA52+CC52</f>
        <v>-258</v>
      </c>
      <c r="FY52" s="72">
        <f t="shared" si="309"/>
        <v>-6.5217391304347814</v>
      </c>
      <c r="FZ52" s="75">
        <f>CE52+CG52+CI52+CK52</f>
        <v>-215</v>
      </c>
      <c r="GA52" s="72">
        <f t="shared" si="309"/>
        <v>-16.666666666666657</v>
      </c>
      <c r="GB52" s="75">
        <f>CM52+CO52+CQ52+CS52</f>
        <v>-183</v>
      </c>
      <c r="GC52" s="72">
        <f t="shared" si="309"/>
        <v>-14.883720930232556</v>
      </c>
      <c r="GD52" s="75">
        <f>CU52+CW52+CY52+DA52</f>
        <v>-160</v>
      </c>
      <c r="GE52" s="72">
        <f t="shared" si="309"/>
        <v>-12.568306010928964</v>
      </c>
      <c r="GF52" s="75">
        <f>DC52+DE52+DG52+DI52</f>
        <v>-160</v>
      </c>
      <c r="GG52" s="72">
        <f t="shared" si="309"/>
        <v>0</v>
      </c>
      <c r="GH52" s="75">
        <f>DK52+DM52+DO52+DQ52</f>
        <v>-138</v>
      </c>
      <c r="GI52" s="72">
        <f t="shared" si="310"/>
        <v>-13.75</v>
      </c>
      <c r="GJ52" s="75">
        <f>DS52+DU52+DW52+DY52</f>
        <v>-124</v>
      </c>
      <c r="GK52" s="72">
        <f t="shared" si="310"/>
        <v>-10.14492753623189</v>
      </c>
      <c r="GL52" s="75">
        <f>EA52+EC52+EE52+EG52</f>
        <v>-105</v>
      </c>
      <c r="GM52" s="72">
        <f t="shared" si="310"/>
        <v>-15.322580645161281</v>
      </c>
      <c r="GN52" s="75">
        <f>EI52+EK52+EM52+EO52</f>
        <v>-104</v>
      </c>
      <c r="GO52" s="72">
        <f t="shared" si="310"/>
        <v>-0.952380952380949</v>
      </c>
      <c r="GP52" s="75">
        <f>EQ52+ES52+EU52+EW52</f>
        <v>-122.52059846839714</v>
      </c>
      <c r="GQ52" s="72">
        <f t="shared" si="310"/>
        <v>17.80826775807418</v>
      </c>
      <c r="GR52" s="75">
        <f>-GR50*GR60/100</f>
        <v>-120.55541166383533</v>
      </c>
      <c r="GS52" s="72">
        <f t="shared" si="310"/>
        <v>-1.6039644183330637</v>
      </c>
      <c r="GT52" s="75">
        <f>-GT50*GT60/100</f>
        <v>-118.79818719093443</v>
      </c>
      <c r="GU52" s="72">
        <f t="shared" si="310"/>
        <v>-1.4576072933174231</v>
      </c>
      <c r="GV52" s="75">
        <f>-GV50*GV60/100</f>
        <v>-117.25821378825381</v>
      </c>
      <c r="GW52" s="72">
        <f t="shared" si="311"/>
        <v>-1.296293688560695</v>
      </c>
      <c r="GX52" s="75">
        <f>-GX50*GX60/100</f>
        <v>-115.94603645670954</v>
      </c>
      <c r="GY52" s="72">
        <f t="shared" si="312"/>
        <v>-1.1190493946239144</v>
      </c>
      <c r="GZ52" s="72">
        <f t="shared" si="313"/>
        <v>2.1984981178041263</v>
      </c>
      <c r="HA52" s="72"/>
      <c r="HB52" s="72"/>
      <c r="HC52"/>
      <c r="HD52"/>
      <c r="HE52"/>
      <c r="HF52"/>
      <c r="HG52"/>
      <c r="HH52"/>
      <c r="HI52" s="2"/>
    </row>
    <row r="53" spans="1:217" s="3" customFormat="1" ht="12.75" customHeight="1" x14ac:dyDescent="0.2">
      <c r="B53" s="77" t="s">
        <v>98</v>
      </c>
      <c r="C53" s="74"/>
      <c r="D53" s="72"/>
      <c r="E53" s="74"/>
      <c r="F53" s="72"/>
      <c r="G53" s="74"/>
      <c r="H53" s="72"/>
      <c r="I53" s="74"/>
      <c r="J53" s="72"/>
      <c r="K53" s="74"/>
      <c r="L53" s="72" t="str">
        <f t="shared" si="246"/>
        <v>NA</v>
      </c>
      <c r="M53" s="74"/>
      <c r="N53" s="72" t="str">
        <f t="shared" si="247"/>
        <v>NA</v>
      </c>
      <c r="O53" s="74"/>
      <c r="P53" s="72" t="str">
        <f t="shared" si="248"/>
        <v>NA</v>
      </c>
      <c r="Q53" s="74"/>
      <c r="R53" s="72" t="str">
        <f t="shared" si="249"/>
        <v>NA</v>
      </c>
      <c r="S53" s="74">
        <v>-35</v>
      </c>
      <c r="T53" s="72" t="str">
        <f t="shared" si="249"/>
        <v>NA</v>
      </c>
      <c r="U53" s="74">
        <v>-35</v>
      </c>
      <c r="V53" s="72" t="str">
        <f t="shared" si="249"/>
        <v>NA</v>
      </c>
      <c r="W53" s="74">
        <v>-36</v>
      </c>
      <c r="X53" s="72" t="str">
        <f t="shared" si="249"/>
        <v>NA</v>
      </c>
      <c r="Y53" s="74">
        <v>-39</v>
      </c>
      <c r="Z53" s="72" t="str">
        <f t="shared" si="249"/>
        <v>NA</v>
      </c>
      <c r="AA53" s="74">
        <v>-41</v>
      </c>
      <c r="AB53" s="72">
        <f t="shared" si="249"/>
        <v>17.142857142857153</v>
      </c>
      <c r="AC53" s="74">
        <v>-46</v>
      </c>
      <c r="AD53" s="72">
        <f t="shared" si="249"/>
        <v>31.428571428571416</v>
      </c>
      <c r="AE53" s="74">
        <v>-39</v>
      </c>
      <c r="AF53" s="72">
        <f t="shared" si="249"/>
        <v>8.3333333333333286</v>
      </c>
      <c r="AG53" s="74">
        <v>-36</v>
      </c>
      <c r="AH53" s="72">
        <f t="shared" si="249"/>
        <v>-7.6923076923076934</v>
      </c>
      <c r="AI53" s="74">
        <v>-45</v>
      </c>
      <c r="AJ53" s="72">
        <f t="shared" si="249"/>
        <v>9.7560975609756184</v>
      </c>
      <c r="AK53" s="74">
        <v>-38</v>
      </c>
      <c r="AL53" s="72">
        <f t="shared" si="249"/>
        <v>-17.391304347826093</v>
      </c>
      <c r="AM53" s="74">
        <v>-41</v>
      </c>
      <c r="AN53" s="72">
        <f t="shared" si="249"/>
        <v>5.1282051282051384</v>
      </c>
      <c r="AO53" s="74">
        <v>-39</v>
      </c>
      <c r="AP53" s="72">
        <f t="shared" si="249"/>
        <v>8.3333333333333286</v>
      </c>
      <c r="AQ53" s="74">
        <v>-41</v>
      </c>
      <c r="AR53" s="72">
        <f t="shared" si="250"/>
        <v>-8.8888888888888857</v>
      </c>
      <c r="AS53" s="74">
        <v>-43</v>
      </c>
      <c r="AT53" s="72">
        <f t="shared" si="251"/>
        <v>13.157894736842096</v>
      </c>
      <c r="AU53" s="74">
        <v>-35</v>
      </c>
      <c r="AV53" s="72">
        <f t="shared" si="252"/>
        <v>-14.634146341463421</v>
      </c>
      <c r="AW53" s="74">
        <v>-41</v>
      </c>
      <c r="AX53" s="72">
        <f t="shared" si="253"/>
        <v>5.1282051282051384</v>
      </c>
      <c r="AY53" s="74">
        <v>-43</v>
      </c>
      <c r="AZ53" s="72">
        <f t="shared" si="254"/>
        <v>4.8780487804878021</v>
      </c>
      <c r="BA53" s="74">
        <v>-42</v>
      </c>
      <c r="BB53" s="72">
        <f t="shared" si="255"/>
        <v>-2.3255813953488484</v>
      </c>
      <c r="BC53" s="74">
        <v>-41</v>
      </c>
      <c r="BD53" s="72">
        <f t="shared" si="256"/>
        <v>17.142857142857153</v>
      </c>
      <c r="BE53" s="74">
        <v>-50</v>
      </c>
      <c r="BF53" s="72">
        <f t="shared" si="257"/>
        <v>21.951219512195124</v>
      </c>
      <c r="BG53" s="74">
        <v>-43</v>
      </c>
      <c r="BH53" s="72">
        <f t="shared" si="258"/>
        <v>0</v>
      </c>
      <c r="BI53" s="74">
        <v>-45</v>
      </c>
      <c r="BJ53" s="72">
        <f t="shared" si="259"/>
        <v>7.1428571428571388</v>
      </c>
      <c r="BK53" s="74">
        <v>-41</v>
      </c>
      <c r="BL53" s="72">
        <f t="shared" si="260"/>
        <v>0</v>
      </c>
      <c r="BM53" s="74">
        <v>-38</v>
      </c>
      <c r="BN53" s="72">
        <f t="shared" si="261"/>
        <v>-24</v>
      </c>
      <c r="BO53" s="74">
        <v>-43</v>
      </c>
      <c r="BP53" s="72">
        <f t="shared" si="262"/>
        <v>0</v>
      </c>
      <c r="BQ53" s="74">
        <v>-40</v>
      </c>
      <c r="BR53" s="72">
        <f t="shared" si="263"/>
        <v>-11.111111111111114</v>
      </c>
      <c r="BS53" s="74">
        <v>-37</v>
      </c>
      <c r="BT53" s="72">
        <f t="shared" si="264"/>
        <v>-9.7560975609756042</v>
      </c>
      <c r="BU53" s="74">
        <v>-40</v>
      </c>
      <c r="BV53" s="72">
        <f t="shared" si="265"/>
        <v>5.2631578947368354</v>
      </c>
      <c r="BW53" s="74">
        <v>-43</v>
      </c>
      <c r="BX53" s="72">
        <f t="shared" si="266"/>
        <v>0</v>
      </c>
      <c r="BY53" s="74">
        <v>-37</v>
      </c>
      <c r="BZ53" s="72">
        <f t="shared" si="267"/>
        <v>-7.5</v>
      </c>
      <c r="CA53" s="74">
        <v>-41</v>
      </c>
      <c r="CB53" s="72">
        <f t="shared" si="268"/>
        <v>10.810810810810807</v>
      </c>
      <c r="CC53" s="74">
        <v>-39</v>
      </c>
      <c r="CD53" s="72">
        <f t="shared" si="269"/>
        <v>-2.5</v>
      </c>
      <c r="CE53" s="74">
        <v>-57</v>
      </c>
      <c r="CF53" s="72">
        <f t="shared" si="270"/>
        <v>32.558139534883708</v>
      </c>
      <c r="CG53" s="74">
        <v>-80</v>
      </c>
      <c r="CH53" s="72" t="str">
        <f t="shared" si="271"/>
        <v>NM</v>
      </c>
      <c r="CI53" s="74">
        <v>-62</v>
      </c>
      <c r="CJ53" s="72">
        <f t="shared" si="272"/>
        <v>51.219512195121951</v>
      </c>
      <c r="CK53" s="74">
        <v>-68</v>
      </c>
      <c r="CL53" s="72">
        <f t="shared" si="272"/>
        <v>74.358974358974365</v>
      </c>
      <c r="CM53" s="74">
        <v>-67</v>
      </c>
      <c r="CN53" s="72">
        <f t="shared" si="272"/>
        <v>17.543859649122822</v>
      </c>
      <c r="CO53" s="74">
        <v>-65</v>
      </c>
      <c r="CP53" s="72">
        <f t="shared" si="272"/>
        <v>-18.75</v>
      </c>
      <c r="CQ53" s="74">
        <v>-67</v>
      </c>
      <c r="CR53" s="72">
        <f t="shared" si="272"/>
        <v>8.0645161290322562</v>
      </c>
      <c r="CS53" s="74">
        <v>-77</v>
      </c>
      <c r="CT53" s="72">
        <f t="shared" si="272"/>
        <v>13.235294117647058</v>
      </c>
      <c r="CU53" s="74">
        <v>-83</v>
      </c>
      <c r="CV53" s="72">
        <f t="shared" si="273"/>
        <v>23.880597014925371</v>
      </c>
      <c r="CW53" s="74">
        <v>-62</v>
      </c>
      <c r="CX53" s="72">
        <f t="shared" si="274"/>
        <v>-4.6153846153846132</v>
      </c>
      <c r="CY53" s="74">
        <v>-68</v>
      </c>
      <c r="CZ53" s="72">
        <f t="shared" si="275"/>
        <v>1.4925373134328339</v>
      </c>
      <c r="DA53" s="74">
        <v>-68</v>
      </c>
      <c r="DB53" s="72">
        <f t="shared" si="276"/>
        <v>-11.688311688311686</v>
      </c>
      <c r="DC53" s="74">
        <v>-71</v>
      </c>
      <c r="DD53" s="72">
        <f t="shared" si="277"/>
        <v>-14.457831325301214</v>
      </c>
      <c r="DE53" s="74">
        <v>-96</v>
      </c>
      <c r="DF53" s="72">
        <f t="shared" si="278"/>
        <v>54.838709677419359</v>
      </c>
      <c r="DG53" s="74">
        <v>-83</v>
      </c>
      <c r="DH53" s="72">
        <f t="shared" si="279"/>
        <v>22.058823529411768</v>
      </c>
      <c r="DI53" s="74">
        <v>-85</v>
      </c>
      <c r="DJ53" s="72">
        <f t="shared" si="280"/>
        <v>25</v>
      </c>
      <c r="DK53" s="74">
        <v>-71</v>
      </c>
      <c r="DL53" s="72">
        <f t="shared" si="281"/>
        <v>0</v>
      </c>
      <c r="DM53" s="74">
        <v>-75</v>
      </c>
      <c r="DN53" s="72">
        <f t="shared" si="282"/>
        <v>-21.875</v>
      </c>
      <c r="DO53" s="74">
        <v>-109</v>
      </c>
      <c r="DP53" s="72">
        <f t="shared" si="282"/>
        <v>31.325301204819255</v>
      </c>
      <c r="DQ53" s="74">
        <v>-85</v>
      </c>
      <c r="DR53" s="72">
        <f t="shared" si="282"/>
        <v>0</v>
      </c>
      <c r="DS53" s="74">
        <v>-88</v>
      </c>
      <c r="DT53" s="72">
        <f t="shared" si="282"/>
        <v>23.943661971830977</v>
      </c>
      <c r="DU53" s="74">
        <v>-99</v>
      </c>
      <c r="DV53" s="72">
        <f t="shared" si="282"/>
        <v>32</v>
      </c>
      <c r="DW53" s="74">
        <v>-91</v>
      </c>
      <c r="DX53" s="72">
        <f t="shared" si="282"/>
        <v>-16.513761467889907</v>
      </c>
      <c r="DY53" s="74">
        <v>-91</v>
      </c>
      <c r="DZ53" s="72">
        <f t="shared" si="282"/>
        <v>7.058823529411768</v>
      </c>
      <c r="EA53" s="74">
        <v>-88</v>
      </c>
      <c r="EB53" s="72">
        <f t="shared" si="284"/>
        <v>0</v>
      </c>
      <c r="EC53" s="74">
        <v>-90</v>
      </c>
      <c r="ED53" s="72">
        <f t="shared" si="285"/>
        <v>-9.0909090909090935</v>
      </c>
      <c r="EE53" s="74">
        <v>-91</v>
      </c>
      <c r="EF53" s="72">
        <f t="shared" si="286"/>
        <v>0</v>
      </c>
      <c r="EG53" s="74">
        <v>-75</v>
      </c>
      <c r="EH53" s="72">
        <f t="shared" si="287"/>
        <v>-17.582417582417591</v>
      </c>
      <c r="EI53" s="74">
        <v>-84</v>
      </c>
      <c r="EJ53" s="72">
        <f t="shared" si="288"/>
        <v>-4.5454545454545467</v>
      </c>
      <c r="EK53" s="74">
        <v>-82</v>
      </c>
      <c r="EL53" s="72">
        <f t="shared" si="289"/>
        <v>-8.8888888888888857</v>
      </c>
      <c r="EM53" s="74">
        <v>-72</v>
      </c>
      <c r="EN53" s="72">
        <f t="shared" si="290"/>
        <v>-20.879120879120876</v>
      </c>
      <c r="EO53" s="74">
        <v>-77</v>
      </c>
      <c r="EP53" s="72">
        <f t="shared" si="291"/>
        <v>2.6666666666666572</v>
      </c>
      <c r="EQ53" s="75">
        <f t="shared" ref="EQ53" si="321">-EQ50*EQ61/400</f>
        <v>-76.559118236472941</v>
      </c>
      <c r="ER53" s="72">
        <f t="shared" si="293"/>
        <v>-8.8581925756274558</v>
      </c>
      <c r="ES53" s="75">
        <f t="shared" ref="ES53" si="322">-ES50*ES61/400</f>
        <v>-76.231612380214202</v>
      </c>
      <c r="ET53" s="72">
        <f t="shared" si="295"/>
        <v>-7.0346190485192608</v>
      </c>
      <c r="EU53" s="75">
        <f t="shared" ref="EU53" si="323">-EU50*EU61/400</f>
        <v>-75.917472583619471</v>
      </c>
      <c r="EV53" s="72">
        <f t="shared" si="297"/>
        <v>5.4409341439159391</v>
      </c>
      <c r="EW53" s="75">
        <f t="shared" ref="EW53" si="324">-EW50*EW61/400</f>
        <v>-75.61715428571209</v>
      </c>
      <c r="EX53" s="72">
        <f t="shared" si="299"/>
        <v>-1.7959035250492406</v>
      </c>
      <c r="EY53" s="72"/>
      <c r="EZ53" s="306"/>
      <c r="FA53" s="72"/>
      <c r="FB53" s="74">
        <v>0</v>
      </c>
      <c r="FC53" s="72"/>
      <c r="FD53" s="74">
        <v>0</v>
      </c>
      <c r="FE53" s="72" t="str">
        <f t="shared" si="300"/>
        <v>NA</v>
      </c>
      <c r="FF53" s="74">
        <v>0</v>
      </c>
      <c r="FG53" s="72" t="str">
        <f t="shared" si="301"/>
        <v>NA</v>
      </c>
      <c r="FH53" s="75">
        <f>K53+M53+O53+Q53</f>
        <v>0</v>
      </c>
      <c r="FI53" s="72" t="str">
        <f t="shared" si="302"/>
        <v>NA</v>
      </c>
      <c r="FJ53" s="75">
        <f>S53+U53+W53+Y53</f>
        <v>-145</v>
      </c>
      <c r="FK53" s="72" t="str">
        <f t="shared" si="303"/>
        <v>NA</v>
      </c>
      <c r="FL53" s="75">
        <f>AA53+AC53+AE53+AG53</f>
        <v>-162</v>
      </c>
      <c r="FM53" s="72">
        <f t="shared" si="304"/>
        <v>11.724137931034477</v>
      </c>
      <c r="FN53" s="75">
        <f>AI53+AK53+AM53+AO53</f>
        <v>-163</v>
      </c>
      <c r="FO53" s="72">
        <f t="shared" si="305"/>
        <v>0.61728395061729202</v>
      </c>
      <c r="FP53" s="75">
        <f>AQ53+AS53+AU53+AW53</f>
        <v>-160</v>
      </c>
      <c r="FQ53" s="72">
        <f t="shared" si="306"/>
        <v>-1.8404907975460105</v>
      </c>
      <c r="FR53" s="75">
        <f>AY53+BA53+BC53+BE53</f>
        <v>-176</v>
      </c>
      <c r="FS53" s="72">
        <f t="shared" si="307"/>
        <v>10.000000000000014</v>
      </c>
      <c r="FT53" s="75">
        <f>BG53+BI53+BK53+BM53</f>
        <v>-167</v>
      </c>
      <c r="FU53" s="72">
        <f t="shared" si="308"/>
        <v>-5.1136363636363598</v>
      </c>
      <c r="FV53" s="75">
        <f>BO53+BQ53+BS53+BU53</f>
        <v>-160</v>
      </c>
      <c r="FW53" s="72">
        <f t="shared" si="309"/>
        <v>-4.1916167664670638</v>
      </c>
      <c r="FX53" s="75">
        <f>BW53+BY53+CA53+CC53</f>
        <v>-160</v>
      </c>
      <c r="FY53" s="72">
        <f t="shared" si="309"/>
        <v>0</v>
      </c>
      <c r="FZ53" s="75">
        <f>CE53+CG53+CI53+CK53</f>
        <v>-267</v>
      </c>
      <c r="GA53" s="72">
        <f t="shared" si="309"/>
        <v>66.875</v>
      </c>
      <c r="GB53" s="75">
        <f>CM53+CO53+CQ53+CS53</f>
        <v>-276</v>
      </c>
      <c r="GC53" s="72">
        <f t="shared" si="309"/>
        <v>3.3707865168539399</v>
      </c>
      <c r="GD53" s="75">
        <f>CU53+CW53+CY53+DA53</f>
        <v>-281</v>
      </c>
      <c r="GE53" s="72">
        <f t="shared" si="309"/>
        <v>1.8115942028985614</v>
      </c>
      <c r="GF53" s="75">
        <f>DC53+DE53+DG53+DI53</f>
        <v>-335</v>
      </c>
      <c r="GG53" s="72">
        <f t="shared" si="309"/>
        <v>19.217081850533816</v>
      </c>
      <c r="GH53" s="75">
        <f>DK53+DM53+DO53+DQ53</f>
        <v>-340</v>
      </c>
      <c r="GI53" s="72">
        <f t="shared" si="310"/>
        <v>1.4925373134328339</v>
      </c>
      <c r="GJ53" s="75">
        <f>DS53+DU53+DW53+DY53</f>
        <v>-369</v>
      </c>
      <c r="GK53" s="72">
        <f t="shared" si="310"/>
        <v>8.5294117647058698</v>
      </c>
      <c r="GL53" s="75">
        <f>EA53+EC53+EE53+EG53</f>
        <v>-344</v>
      </c>
      <c r="GM53" s="72">
        <f t="shared" si="310"/>
        <v>-6.7750677506775077</v>
      </c>
      <c r="GN53" s="75">
        <f>EI53+EK53+EM53+EO53</f>
        <v>-315</v>
      </c>
      <c r="GO53" s="72">
        <f t="shared" si="310"/>
        <v>-8.4302325581395365</v>
      </c>
      <c r="GP53" s="75">
        <f>EQ53+ES53+EU53+EW53</f>
        <v>-304.32535748601873</v>
      </c>
      <c r="GQ53" s="72">
        <f t="shared" si="310"/>
        <v>-3.3887754012638993</v>
      </c>
      <c r="GR53" s="75">
        <f>-GR50*GR61/100</f>
        <v>-299.4440870359781</v>
      </c>
      <c r="GS53" s="72">
        <f t="shared" si="310"/>
        <v>-1.6039644183330637</v>
      </c>
      <c r="GT53" s="75">
        <f>-GT50*GT61/100</f>
        <v>-295.07936818393392</v>
      </c>
      <c r="GU53" s="72">
        <f t="shared" si="310"/>
        <v>-1.4576072933174231</v>
      </c>
      <c r="GV53" s="75">
        <f>-GV50*GV61/100</f>
        <v>-291.25427295792082</v>
      </c>
      <c r="GW53" s="72">
        <f t="shared" si="311"/>
        <v>-1.296293688560695</v>
      </c>
      <c r="GX53" s="75">
        <f>-GX50*GX61/100</f>
        <v>-287.99499377956892</v>
      </c>
      <c r="GY53" s="72">
        <f t="shared" si="312"/>
        <v>-1.1190493946239144</v>
      </c>
      <c r="GZ53" s="72">
        <f t="shared" si="313"/>
        <v>-1.7766194975185612</v>
      </c>
      <c r="HA53" s="72"/>
      <c r="HB53" s="72"/>
      <c r="HC53"/>
      <c r="HD53"/>
      <c r="HE53"/>
      <c r="HF53"/>
      <c r="HG53"/>
      <c r="HH53"/>
      <c r="HI53" s="2"/>
    </row>
    <row r="54" spans="1:217" s="3" customFormat="1" ht="12.75" customHeight="1" x14ac:dyDescent="0.2">
      <c r="B54" s="77" t="s">
        <v>238</v>
      </c>
      <c r="C54" s="74">
        <f>FF54-I54-G54-E54</f>
        <v>1</v>
      </c>
      <c r="D54" s="72"/>
      <c r="E54" s="74">
        <v>17</v>
      </c>
      <c r="F54" s="72"/>
      <c r="G54" s="74">
        <v>13</v>
      </c>
      <c r="H54" s="72"/>
      <c r="I54" s="74">
        <v>15</v>
      </c>
      <c r="J54" s="72"/>
      <c r="K54" s="74">
        <v>2</v>
      </c>
      <c r="L54" s="72">
        <f t="shared" si="246"/>
        <v>100</v>
      </c>
      <c r="M54" s="74">
        <v>11</v>
      </c>
      <c r="N54" s="72">
        <f t="shared" si="247"/>
        <v>-35.294117647058826</v>
      </c>
      <c r="O54" s="74">
        <v>9</v>
      </c>
      <c r="P54" s="72">
        <f t="shared" si="248"/>
        <v>-30.769230769230774</v>
      </c>
      <c r="Q54" s="74">
        <v>123</v>
      </c>
      <c r="R54" s="72" t="str">
        <f t="shared" si="249"/>
        <v>NM</v>
      </c>
      <c r="S54" s="74">
        <v>-26</v>
      </c>
      <c r="T54" s="72" t="str">
        <f t="shared" si="249"/>
        <v>NM</v>
      </c>
      <c r="U54" s="74">
        <v>30</v>
      </c>
      <c r="V54" s="72" t="str">
        <f t="shared" si="249"/>
        <v>NM</v>
      </c>
      <c r="W54" s="74">
        <v>56</v>
      </c>
      <c r="X54" s="72" t="str">
        <f t="shared" si="249"/>
        <v>NM</v>
      </c>
      <c r="Y54" s="74">
        <v>47</v>
      </c>
      <c r="Z54" s="72" t="str">
        <f t="shared" si="249"/>
        <v>NM</v>
      </c>
      <c r="AA54" s="74">
        <v>43</v>
      </c>
      <c r="AB54" s="72" t="str">
        <f t="shared" si="249"/>
        <v>NM</v>
      </c>
      <c r="AC54" s="74">
        <v>47</v>
      </c>
      <c r="AD54" s="72">
        <f t="shared" si="249"/>
        <v>56.666666666666657</v>
      </c>
      <c r="AE54" s="74">
        <v>51</v>
      </c>
      <c r="AF54" s="72">
        <f t="shared" si="249"/>
        <v>-8.9285714285714306</v>
      </c>
      <c r="AG54" s="74">
        <v>37</v>
      </c>
      <c r="AH54" s="72">
        <f t="shared" si="249"/>
        <v>-21.276595744680847</v>
      </c>
      <c r="AI54" s="74">
        <v>65</v>
      </c>
      <c r="AJ54" s="72">
        <f t="shared" si="249"/>
        <v>51.16279069767441</v>
      </c>
      <c r="AK54" s="74">
        <v>42</v>
      </c>
      <c r="AL54" s="72">
        <f t="shared" si="249"/>
        <v>-10.638297872340431</v>
      </c>
      <c r="AM54" s="74">
        <v>49</v>
      </c>
      <c r="AN54" s="72">
        <f t="shared" si="249"/>
        <v>-3.9215686274509807</v>
      </c>
      <c r="AO54" s="74">
        <v>35</v>
      </c>
      <c r="AP54" s="72">
        <f t="shared" si="249"/>
        <v>-5.4054054054054035</v>
      </c>
      <c r="AQ54" s="74">
        <v>46</v>
      </c>
      <c r="AR54" s="72">
        <f t="shared" si="250"/>
        <v>-29.230769230769226</v>
      </c>
      <c r="AS54" s="74">
        <v>40</v>
      </c>
      <c r="AT54" s="72">
        <f t="shared" si="251"/>
        <v>-4.7619047619047734</v>
      </c>
      <c r="AU54" s="74">
        <v>22</v>
      </c>
      <c r="AV54" s="72" t="str">
        <f t="shared" si="252"/>
        <v>NM</v>
      </c>
      <c r="AW54" s="74">
        <v>39</v>
      </c>
      <c r="AX54" s="72">
        <f t="shared" si="253"/>
        <v>11.428571428571431</v>
      </c>
      <c r="AY54" s="74">
        <v>35</v>
      </c>
      <c r="AZ54" s="72">
        <f t="shared" si="254"/>
        <v>-23.91304347826086</v>
      </c>
      <c r="BA54" s="74">
        <v>33</v>
      </c>
      <c r="BB54" s="72">
        <f t="shared" si="255"/>
        <v>-17.5</v>
      </c>
      <c r="BC54" s="74">
        <v>27</v>
      </c>
      <c r="BD54" s="72">
        <f t="shared" si="256"/>
        <v>22.727272727272734</v>
      </c>
      <c r="BE54" s="74">
        <v>36</v>
      </c>
      <c r="BF54" s="72">
        <f t="shared" si="257"/>
        <v>-7.6923076923076934</v>
      </c>
      <c r="BG54" s="74">
        <v>35</v>
      </c>
      <c r="BH54" s="72">
        <f t="shared" si="258"/>
        <v>0</v>
      </c>
      <c r="BI54" s="74">
        <v>29</v>
      </c>
      <c r="BJ54" s="72">
        <f t="shared" si="259"/>
        <v>-12.121212121212125</v>
      </c>
      <c r="BK54" s="74">
        <v>33</v>
      </c>
      <c r="BL54" s="72">
        <f t="shared" si="260"/>
        <v>22.222222222222229</v>
      </c>
      <c r="BM54" s="74">
        <v>27</v>
      </c>
      <c r="BN54" s="72">
        <f t="shared" si="261"/>
        <v>-25</v>
      </c>
      <c r="BO54" s="74">
        <v>32</v>
      </c>
      <c r="BP54" s="72">
        <f t="shared" si="262"/>
        <v>-8.5714285714285694</v>
      </c>
      <c r="BQ54" s="74">
        <v>31</v>
      </c>
      <c r="BR54" s="72">
        <f t="shared" si="263"/>
        <v>6.8965517241379217</v>
      </c>
      <c r="BS54" s="74">
        <v>32</v>
      </c>
      <c r="BT54" s="72">
        <f t="shared" si="264"/>
        <v>-3.0303030303030312</v>
      </c>
      <c r="BU54" s="74">
        <v>32</v>
      </c>
      <c r="BV54" s="72">
        <f t="shared" si="265"/>
        <v>18.518518518518505</v>
      </c>
      <c r="BW54" s="74">
        <v>33</v>
      </c>
      <c r="BX54" s="72">
        <f t="shared" si="266"/>
        <v>3.125</v>
      </c>
      <c r="BY54" s="74">
        <v>30</v>
      </c>
      <c r="BZ54" s="72">
        <f t="shared" si="267"/>
        <v>-3.2258064516128968</v>
      </c>
      <c r="CA54" s="74">
        <v>36</v>
      </c>
      <c r="CB54" s="72">
        <f t="shared" si="268"/>
        <v>12.5</v>
      </c>
      <c r="CC54" s="74">
        <v>298</v>
      </c>
      <c r="CD54" s="72" t="str">
        <f t="shared" si="269"/>
        <v>NM</v>
      </c>
      <c r="CE54" s="74">
        <v>363</v>
      </c>
      <c r="CF54" s="72" t="str">
        <f t="shared" si="270"/>
        <v>NM</v>
      </c>
      <c r="CG54" s="74">
        <v>153</v>
      </c>
      <c r="CH54" s="72" t="str">
        <f t="shared" si="271"/>
        <v>NM</v>
      </c>
      <c r="CI54" s="74">
        <v>139</v>
      </c>
      <c r="CJ54" s="72" t="str">
        <f t="shared" si="272"/>
        <v>NM</v>
      </c>
      <c r="CK54" s="74">
        <f>111-1</f>
        <v>110</v>
      </c>
      <c r="CL54" s="72" t="str">
        <f t="shared" si="272"/>
        <v>NM</v>
      </c>
      <c r="CM54" s="74">
        <v>102</v>
      </c>
      <c r="CN54" s="72" t="str">
        <f t="shared" si="272"/>
        <v>NM</v>
      </c>
      <c r="CO54" s="74">
        <v>74</v>
      </c>
      <c r="CP54" s="72" t="str">
        <f t="shared" si="272"/>
        <v>NM</v>
      </c>
      <c r="CQ54" s="74">
        <v>83</v>
      </c>
      <c r="CR54" s="72">
        <f t="shared" si="272"/>
        <v>-40.287769784172667</v>
      </c>
      <c r="CS54" s="74">
        <v>87</v>
      </c>
      <c r="CT54" s="72">
        <f t="shared" si="272"/>
        <v>-20.909090909090907</v>
      </c>
      <c r="CU54" s="74">
        <v>96</v>
      </c>
      <c r="CV54" s="72">
        <f t="shared" si="273"/>
        <v>-5.8823529411764781</v>
      </c>
      <c r="CW54" s="74">
        <v>73</v>
      </c>
      <c r="CX54" s="72">
        <f t="shared" si="274"/>
        <v>-1.3513513513513544</v>
      </c>
      <c r="CY54" s="74">
        <v>78</v>
      </c>
      <c r="CZ54" s="72">
        <f t="shared" si="275"/>
        <v>-6.0240963855421654</v>
      </c>
      <c r="DA54" s="74">
        <v>83</v>
      </c>
      <c r="DB54" s="72">
        <f t="shared" si="276"/>
        <v>-4.5977011494252906</v>
      </c>
      <c r="DC54" s="74">
        <v>77</v>
      </c>
      <c r="DD54" s="72">
        <f t="shared" si="277"/>
        <v>-19.791666666666657</v>
      </c>
      <c r="DE54" s="74">
        <v>105</v>
      </c>
      <c r="DF54" s="72">
        <f t="shared" si="278"/>
        <v>43.835616438356169</v>
      </c>
      <c r="DG54" s="74">
        <v>91</v>
      </c>
      <c r="DH54" s="72">
        <f t="shared" si="279"/>
        <v>16.666666666666671</v>
      </c>
      <c r="DI54" s="74">
        <v>98</v>
      </c>
      <c r="DJ54" s="72">
        <f t="shared" si="280"/>
        <v>18.07228915662651</v>
      </c>
      <c r="DK54" s="74">
        <v>73</v>
      </c>
      <c r="DL54" s="72">
        <f t="shared" si="281"/>
        <v>-5.1948051948051983</v>
      </c>
      <c r="DM54" s="74">
        <v>78</v>
      </c>
      <c r="DN54" s="72">
        <f t="shared" si="282"/>
        <v>-25.714285714285708</v>
      </c>
      <c r="DO54" s="74">
        <v>100</v>
      </c>
      <c r="DP54" s="72">
        <f t="shared" si="282"/>
        <v>9.8901098901098976</v>
      </c>
      <c r="DQ54" s="74">
        <v>86</v>
      </c>
      <c r="DR54" s="72">
        <f t="shared" si="282"/>
        <v>-12.244897959183675</v>
      </c>
      <c r="DS54" s="74">
        <v>99</v>
      </c>
      <c r="DT54" s="72">
        <f t="shared" si="282"/>
        <v>35.616438356164394</v>
      </c>
      <c r="DU54" s="74">
        <v>94</v>
      </c>
      <c r="DV54" s="72">
        <f t="shared" si="282"/>
        <v>20.512820512820511</v>
      </c>
      <c r="DW54" s="74">
        <v>94</v>
      </c>
      <c r="DX54" s="72">
        <f t="shared" si="282"/>
        <v>-6</v>
      </c>
      <c r="DY54" s="74">
        <v>83</v>
      </c>
      <c r="DZ54" s="72">
        <f t="shared" si="282"/>
        <v>-3.4883720930232442</v>
      </c>
      <c r="EA54" s="74">
        <v>86</v>
      </c>
      <c r="EB54" s="72">
        <f t="shared" si="284"/>
        <v>-13.131313131313121</v>
      </c>
      <c r="EC54" s="74">
        <v>105</v>
      </c>
      <c r="ED54" s="72">
        <f t="shared" si="285"/>
        <v>11.702127659574458</v>
      </c>
      <c r="EE54" s="74">
        <v>96</v>
      </c>
      <c r="EF54" s="72">
        <f t="shared" si="286"/>
        <v>2.1276595744680833</v>
      </c>
      <c r="EG54" s="74">
        <v>87</v>
      </c>
      <c r="EH54" s="72">
        <f t="shared" si="287"/>
        <v>4.8192771084337238</v>
      </c>
      <c r="EI54" s="74">
        <v>100</v>
      </c>
      <c r="EJ54" s="72">
        <f t="shared" si="288"/>
        <v>16.279069767441868</v>
      </c>
      <c r="EK54" s="74">
        <v>96</v>
      </c>
      <c r="EL54" s="72">
        <f t="shared" si="289"/>
        <v>-8.5714285714285694</v>
      </c>
      <c r="EM54" s="74">
        <v>84</v>
      </c>
      <c r="EN54" s="72">
        <f t="shared" si="290"/>
        <v>-12.5</v>
      </c>
      <c r="EO54" s="74">
        <v>83</v>
      </c>
      <c r="EP54" s="72">
        <f t="shared" si="291"/>
        <v>-4.5977011494252906</v>
      </c>
      <c r="EQ54" s="75">
        <f t="shared" ref="EQ54" si="325">EQ50*EQ62/400</f>
        <v>82.524763813340954</v>
      </c>
      <c r="ER54" s="72">
        <f t="shared" si="293"/>
        <v>-17.475236186659046</v>
      </c>
      <c r="ES54" s="75">
        <f t="shared" ref="ES54" si="326">ES50*ES62/400</f>
        <v>82.17173802023089</v>
      </c>
      <c r="ET54" s="72">
        <f t="shared" si="295"/>
        <v>-14.404439562259483</v>
      </c>
      <c r="EU54" s="75">
        <f t="shared" ref="EU54" si="327">EU50*EU62/400</f>
        <v>81.83311979792748</v>
      </c>
      <c r="EV54" s="72">
        <f t="shared" si="297"/>
        <v>-2.5796192881815614</v>
      </c>
      <c r="EW54" s="75">
        <f t="shared" ref="EW54" si="328">EW50*EW62/400</f>
        <v>81.50940007420914</v>
      </c>
      <c r="EX54" s="72">
        <f t="shared" si="299"/>
        <v>-1.7959035250492263</v>
      </c>
      <c r="EY54" s="72"/>
      <c r="EZ54" s="309"/>
      <c r="FA54" s="72"/>
      <c r="FB54" s="74">
        <v>45</v>
      </c>
      <c r="FC54" s="72"/>
      <c r="FD54" s="74">
        <v>36</v>
      </c>
      <c r="FE54" s="72">
        <f t="shared" si="300"/>
        <v>-20</v>
      </c>
      <c r="FF54" s="74">
        <v>46</v>
      </c>
      <c r="FG54" s="72">
        <f t="shared" si="301"/>
        <v>27.777777777777771</v>
      </c>
      <c r="FH54" s="75">
        <f>K54+M54+O54+Q54</f>
        <v>145</v>
      </c>
      <c r="FI54" s="72" t="str">
        <f t="shared" si="302"/>
        <v>NM</v>
      </c>
      <c r="FJ54" s="75">
        <f>S54+U54+W54+Y54</f>
        <v>107</v>
      </c>
      <c r="FK54" s="72">
        <f t="shared" si="303"/>
        <v>-26.206896551724128</v>
      </c>
      <c r="FL54" s="75">
        <f>AA54+AC54+AE54+AG54</f>
        <v>178</v>
      </c>
      <c r="FM54" s="72">
        <f t="shared" si="304"/>
        <v>66.355140186915889</v>
      </c>
      <c r="FN54" s="75">
        <f>AI54+AK54+AM54+AO54</f>
        <v>191</v>
      </c>
      <c r="FO54" s="72">
        <f t="shared" si="305"/>
        <v>7.3033707865168651</v>
      </c>
      <c r="FP54" s="75">
        <f>AQ54+AS54+AU54+AW54</f>
        <v>147</v>
      </c>
      <c r="FQ54" s="72">
        <f t="shared" si="306"/>
        <v>-23.03664921465969</v>
      </c>
      <c r="FR54" s="75">
        <f>AY54+BA54+BC54+BE54</f>
        <v>131</v>
      </c>
      <c r="FS54" s="72">
        <f t="shared" si="307"/>
        <v>-10.884353741496597</v>
      </c>
      <c r="FT54" s="75">
        <f>BG54+BI54+BK54+BM54</f>
        <v>124</v>
      </c>
      <c r="FU54" s="72">
        <f t="shared" si="308"/>
        <v>-5.3435114503816834</v>
      </c>
      <c r="FV54" s="75">
        <f>BO54+BQ54+BS54+BU54</f>
        <v>127</v>
      </c>
      <c r="FW54" s="72">
        <f t="shared" si="309"/>
        <v>2.4193548387096797</v>
      </c>
      <c r="FX54" s="75">
        <f>BW54+BY54+CA54+CC54</f>
        <v>397</v>
      </c>
      <c r="FY54" s="72" t="str">
        <f t="shared" si="309"/>
        <v>NM</v>
      </c>
      <c r="FZ54" s="75">
        <f>CE54+CG54+CI54+CK54</f>
        <v>765</v>
      </c>
      <c r="GA54" s="72">
        <f t="shared" si="309"/>
        <v>92.69521410579344</v>
      </c>
      <c r="GB54" s="75">
        <f>CM54+CO54+CQ54+CS54</f>
        <v>346</v>
      </c>
      <c r="GC54" s="72" t="str">
        <f t="shared" si="309"/>
        <v>NM</v>
      </c>
      <c r="GD54" s="75">
        <f>CU54+CW54+CY54+DA54</f>
        <v>330</v>
      </c>
      <c r="GE54" s="72">
        <f t="shared" si="309"/>
        <v>-4.6242774566473912</v>
      </c>
      <c r="GF54" s="75">
        <f>DC54+DE54+DG54+DI54</f>
        <v>371</v>
      </c>
      <c r="GG54" s="72">
        <f t="shared" si="309"/>
        <v>12.424242424242422</v>
      </c>
      <c r="GH54" s="75">
        <f>DK54+DM54+DO54+DQ54</f>
        <v>337</v>
      </c>
      <c r="GI54" s="72">
        <f t="shared" si="310"/>
        <v>-9.1644204851752136</v>
      </c>
      <c r="GJ54" s="75">
        <f>DS54+DU54+DW54+DY54</f>
        <v>370</v>
      </c>
      <c r="GK54" s="72">
        <f t="shared" si="310"/>
        <v>9.7922848664688331</v>
      </c>
      <c r="GL54" s="75">
        <f>EA54+EC54+EE54+EG54</f>
        <v>374</v>
      </c>
      <c r="GM54" s="72">
        <f t="shared" si="310"/>
        <v>1.0810810810810665</v>
      </c>
      <c r="GN54" s="75">
        <f>EI54+EK54+EM54+EO54</f>
        <v>363</v>
      </c>
      <c r="GO54" s="72">
        <f t="shared" si="310"/>
        <v>-2.941176470588232</v>
      </c>
      <c r="GP54" s="75">
        <f>EQ54+ES54+EU54+EW54</f>
        <v>328.03902170570848</v>
      </c>
      <c r="GQ54" s="72">
        <f t="shared" si="310"/>
        <v>-9.6311234970500124</v>
      </c>
      <c r="GR54" s="75">
        <f>GR50*GR62/100</f>
        <v>322.77739251930103</v>
      </c>
      <c r="GS54" s="72">
        <f t="shared" si="310"/>
        <v>-1.6039644183330637</v>
      </c>
      <c r="GT54" s="75">
        <f>GT50*GT62/100</f>
        <v>318.07256570475988</v>
      </c>
      <c r="GU54" s="72">
        <f t="shared" si="310"/>
        <v>-1.4576072933174373</v>
      </c>
      <c r="GV54" s="75">
        <f>GV50*GV62/100</f>
        <v>313.94941111048598</v>
      </c>
      <c r="GW54" s="72">
        <f t="shared" si="311"/>
        <v>-1.296293688560695</v>
      </c>
      <c r="GX54" s="75">
        <f>GX50*GX62/100</f>
        <v>310.43616212602876</v>
      </c>
      <c r="GY54" s="72">
        <f t="shared" si="312"/>
        <v>-1.1190493946239002</v>
      </c>
      <c r="GZ54" s="72">
        <f t="shared" si="313"/>
        <v>-3.0800601068203592</v>
      </c>
      <c r="HA54" s="72"/>
      <c r="HB54" s="72"/>
      <c r="HC54"/>
      <c r="HD54"/>
      <c r="HE54"/>
      <c r="HF54"/>
      <c r="HG54"/>
      <c r="HH54"/>
      <c r="HI54" s="2"/>
    </row>
    <row r="55" spans="1:217" s="3" customFormat="1" ht="12.75" customHeight="1" x14ac:dyDescent="0.2">
      <c r="B55" s="77" t="s">
        <v>699</v>
      </c>
      <c r="C55" s="74"/>
      <c r="D55" s="72"/>
      <c r="E55" s="74"/>
      <c r="F55" s="72"/>
      <c r="G55" s="74"/>
      <c r="H55" s="72"/>
      <c r="I55" s="74"/>
      <c r="J55" s="72"/>
      <c r="K55" s="74"/>
      <c r="L55" s="72" t="str">
        <f t="shared" si="246"/>
        <v>NA</v>
      </c>
      <c r="M55" s="74"/>
      <c r="N55" s="72" t="str">
        <f t="shared" si="247"/>
        <v>NA</v>
      </c>
      <c r="O55" s="74"/>
      <c r="P55" s="72" t="str">
        <f t="shared" si="248"/>
        <v>NA</v>
      </c>
      <c r="Q55" s="74"/>
      <c r="R55" s="72" t="str">
        <f t="shared" si="249"/>
        <v>NA</v>
      </c>
      <c r="S55" s="74">
        <v>0</v>
      </c>
      <c r="T55" s="72" t="str">
        <f t="shared" si="249"/>
        <v>NA</v>
      </c>
      <c r="U55" s="74">
        <v>-1</v>
      </c>
      <c r="V55" s="72" t="str">
        <f t="shared" si="249"/>
        <v>NA</v>
      </c>
      <c r="W55" s="74">
        <v>-1</v>
      </c>
      <c r="X55" s="72" t="str">
        <f t="shared" si="249"/>
        <v>NA</v>
      </c>
      <c r="Y55" s="74">
        <v>-1</v>
      </c>
      <c r="Z55" s="72" t="str">
        <f t="shared" si="249"/>
        <v>NA</v>
      </c>
      <c r="AA55" s="74">
        <v>-1</v>
      </c>
      <c r="AB55" s="72" t="str">
        <f t="shared" si="249"/>
        <v>NA</v>
      </c>
      <c r="AC55" s="74">
        <v>-1</v>
      </c>
      <c r="AD55" s="72">
        <f t="shared" si="249"/>
        <v>0</v>
      </c>
      <c r="AE55" s="74">
        <v>-1</v>
      </c>
      <c r="AF55" s="72">
        <f t="shared" si="249"/>
        <v>0</v>
      </c>
      <c r="AG55" s="74">
        <v>-1</v>
      </c>
      <c r="AH55" s="72">
        <f t="shared" si="249"/>
        <v>0</v>
      </c>
      <c r="AI55" s="74">
        <v>-1</v>
      </c>
      <c r="AJ55" s="72">
        <f t="shared" si="249"/>
        <v>0</v>
      </c>
      <c r="AK55" s="74">
        <v>-1</v>
      </c>
      <c r="AL55" s="72">
        <f t="shared" si="249"/>
        <v>0</v>
      </c>
      <c r="AM55" s="74">
        <v>-1</v>
      </c>
      <c r="AN55" s="72">
        <f t="shared" si="249"/>
        <v>0</v>
      </c>
      <c r="AO55" s="74">
        <v>-1</v>
      </c>
      <c r="AP55" s="72">
        <f t="shared" si="249"/>
        <v>0</v>
      </c>
      <c r="AQ55" s="74">
        <v>-1</v>
      </c>
      <c r="AR55" s="72">
        <f t="shared" si="250"/>
        <v>0</v>
      </c>
      <c r="AS55" s="74">
        <v>-2</v>
      </c>
      <c r="AT55" s="72">
        <f t="shared" si="251"/>
        <v>100</v>
      </c>
      <c r="AU55" s="74">
        <v>-1</v>
      </c>
      <c r="AV55" s="72">
        <f t="shared" si="252"/>
        <v>0</v>
      </c>
      <c r="AW55" s="74">
        <v>-1</v>
      </c>
      <c r="AX55" s="72">
        <f t="shared" si="253"/>
        <v>0</v>
      </c>
      <c r="AY55" s="74">
        <v>-1</v>
      </c>
      <c r="AZ55" s="72">
        <f t="shared" si="254"/>
        <v>0</v>
      </c>
      <c r="BA55" s="74">
        <v>-1</v>
      </c>
      <c r="BB55" s="72">
        <f t="shared" si="255"/>
        <v>-50</v>
      </c>
      <c r="BC55" s="74">
        <v>-1</v>
      </c>
      <c r="BD55" s="72">
        <f t="shared" si="256"/>
        <v>0</v>
      </c>
      <c r="BE55" s="74">
        <v>-1</v>
      </c>
      <c r="BF55" s="72">
        <f t="shared" si="257"/>
        <v>0</v>
      </c>
      <c r="BG55" s="74">
        <v>-1</v>
      </c>
      <c r="BH55" s="72">
        <f t="shared" si="258"/>
        <v>0</v>
      </c>
      <c r="BI55" s="74">
        <v>-1</v>
      </c>
      <c r="BJ55" s="72">
        <f t="shared" si="259"/>
        <v>0</v>
      </c>
      <c r="BK55" s="74">
        <v>-1</v>
      </c>
      <c r="BL55" s="72">
        <f t="shared" si="260"/>
        <v>0</v>
      </c>
      <c r="BM55" s="74">
        <v>-1</v>
      </c>
      <c r="BN55" s="72">
        <f t="shared" si="261"/>
        <v>0</v>
      </c>
      <c r="BO55" s="74">
        <v>-1</v>
      </c>
      <c r="BP55" s="72">
        <f t="shared" si="262"/>
        <v>0</v>
      </c>
      <c r="BQ55" s="74">
        <v>0</v>
      </c>
      <c r="BR55" s="72" t="str">
        <f t="shared" si="263"/>
        <v>NM</v>
      </c>
      <c r="BS55" s="74">
        <v>-2</v>
      </c>
      <c r="BT55" s="72">
        <f t="shared" si="264"/>
        <v>100</v>
      </c>
      <c r="BU55" s="74">
        <v>-2</v>
      </c>
      <c r="BV55" s="72">
        <f t="shared" si="265"/>
        <v>100</v>
      </c>
      <c r="BW55" s="74">
        <v>0</v>
      </c>
      <c r="BX55" s="72" t="str">
        <f t="shared" si="266"/>
        <v>NM</v>
      </c>
      <c r="BY55" s="74">
        <v>-1</v>
      </c>
      <c r="BZ55" s="72" t="str">
        <f t="shared" si="267"/>
        <v>NA</v>
      </c>
      <c r="CA55" s="74">
        <v>0</v>
      </c>
      <c r="CB55" s="72" t="str">
        <f t="shared" si="268"/>
        <v>NM</v>
      </c>
      <c r="CC55" s="74">
        <v>0</v>
      </c>
      <c r="CD55" s="72" t="str">
        <f t="shared" si="269"/>
        <v>NM</v>
      </c>
      <c r="CE55" s="74">
        <v>-1</v>
      </c>
      <c r="CF55" s="72" t="str">
        <f t="shared" si="270"/>
        <v>NA</v>
      </c>
      <c r="CG55" s="74">
        <v>0</v>
      </c>
      <c r="CH55" s="72" t="str">
        <f t="shared" si="271"/>
        <v>NM</v>
      </c>
      <c r="CI55" s="74">
        <v>0</v>
      </c>
      <c r="CJ55" s="72" t="str">
        <f t="shared" si="272"/>
        <v>NA</v>
      </c>
      <c r="CK55" s="74">
        <v>0</v>
      </c>
      <c r="CL55" s="72" t="str">
        <f t="shared" si="272"/>
        <v>NA</v>
      </c>
      <c r="CM55" s="74">
        <v>-1</v>
      </c>
      <c r="CN55" s="72">
        <f t="shared" si="272"/>
        <v>0</v>
      </c>
      <c r="CO55" s="74">
        <v>0</v>
      </c>
      <c r="CP55" s="72" t="str">
        <f t="shared" si="272"/>
        <v>NA</v>
      </c>
      <c r="CQ55" s="74">
        <v>0</v>
      </c>
      <c r="CR55" s="72" t="str">
        <f t="shared" si="272"/>
        <v>NA</v>
      </c>
      <c r="CS55" s="74">
        <v>0</v>
      </c>
      <c r="CT55" s="72" t="str">
        <f t="shared" si="272"/>
        <v>NA</v>
      </c>
      <c r="CU55" s="74">
        <v>0</v>
      </c>
      <c r="CV55" s="72" t="str">
        <f t="shared" si="273"/>
        <v>NM</v>
      </c>
      <c r="CW55" s="74">
        <v>-1</v>
      </c>
      <c r="CX55" s="72" t="str">
        <f t="shared" si="274"/>
        <v>NA</v>
      </c>
      <c r="CY55" s="74">
        <v>-1</v>
      </c>
      <c r="CZ55" s="72" t="str">
        <f t="shared" si="275"/>
        <v>NA</v>
      </c>
      <c r="DA55" s="74">
        <v>0</v>
      </c>
      <c r="DB55" s="72" t="str">
        <f t="shared" si="276"/>
        <v>NA</v>
      </c>
      <c r="DC55" s="74">
        <v>-1</v>
      </c>
      <c r="DD55" s="72" t="str">
        <f t="shared" si="277"/>
        <v>NA</v>
      </c>
      <c r="DE55" s="74">
        <v>0</v>
      </c>
      <c r="DF55" s="72" t="str">
        <f t="shared" si="278"/>
        <v>NM</v>
      </c>
      <c r="DG55" s="74">
        <v>-2</v>
      </c>
      <c r="DH55" s="72">
        <f t="shared" si="279"/>
        <v>100</v>
      </c>
      <c r="DI55" s="74">
        <v>0</v>
      </c>
      <c r="DJ55" s="72" t="str">
        <f t="shared" si="280"/>
        <v>NA</v>
      </c>
      <c r="DK55" s="74">
        <v>-1</v>
      </c>
      <c r="DL55" s="72">
        <f t="shared" si="281"/>
        <v>0</v>
      </c>
      <c r="DM55" s="74">
        <v>0</v>
      </c>
      <c r="DN55" s="72" t="str">
        <f t="shared" si="282"/>
        <v>NA</v>
      </c>
      <c r="DO55" s="74">
        <v>-1</v>
      </c>
      <c r="DP55" s="72">
        <f t="shared" si="282"/>
        <v>-50</v>
      </c>
      <c r="DQ55" s="74">
        <v>0</v>
      </c>
      <c r="DR55" s="72" t="str">
        <f t="shared" si="282"/>
        <v>NA</v>
      </c>
      <c r="DS55" s="74">
        <v>0</v>
      </c>
      <c r="DT55" s="72" t="str">
        <f t="shared" si="282"/>
        <v>NM</v>
      </c>
      <c r="DU55" s="74">
        <v>0</v>
      </c>
      <c r="DV55" s="72" t="str">
        <f t="shared" si="282"/>
        <v>NA</v>
      </c>
      <c r="DW55" s="74">
        <v>-1</v>
      </c>
      <c r="DX55" s="72">
        <f t="shared" si="282"/>
        <v>0</v>
      </c>
      <c r="DY55" s="74">
        <v>-1</v>
      </c>
      <c r="DZ55" s="72" t="str">
        <f t="shared" si="282"/>
        <v>NA</v>
      </c>
      <c r="EA55" s="74">
        <v>0</v>
      </c>
      <c r="EB55" s="72" t="str">
        <f t="shared" si="284"/>
        <v>NA</v>
      </c>
      <c r="EC55" s="74">
        <v>-1</v>
      </c>
      <c r="ED55" s="72" t="str">
        <f t="shared" si="285"/>
        <v>NA</v>
      </c>
      <c r="EE55" s="74">
        <v>0</v>
      </c>
      <c r="EF55" s="72" t="str">
        <f t="shared" si="286"/>
        <v>NM</v>
      </c>
      <c r="EG55" s="74">
        <f>EE55</f>
        <v>0</v>
      </c>
      <c r="EH55" s="72" t="str">
        <f t="shared" si="287"/>
        <v>NM</v>
      </c>
      <c r="EI55" s="74"/>
      <c r="EJ55" s="72" t="str">
        <f t="shared" si="288"/>
        <v>NA</v>
      </c>
      <c r="EK55" s="74"/>
      <c r="EL55" s="72" t="str">
        <f t="shared" si="289"/>
        <v>NM</v>
      </c>
      <c r="EM55" s="74">
        <v>-1</v>
      </c>
      <c r="EN55" s="72" t="str">
        <f t="shared" si="290"/>
        <v>NA</v>
      </c>
      <c r="EO55" s="74"/>
      <c r="EP55" s="72" t="str">
        <f t="shared" si="291"/>
        <v>NA</v>
      </c>
      <c r="EQ55" s="74">
        <f t="shared" ref="EQ55" si="329">EO55</f>
        <v>0</v>
      </c>
      <c r="ER55" s="72" t="str">
        <f t="shared" si="293"/>
        <v>NA</v>
      </c>
      <c r="ES55" s="74">
        <f t="shared" ref="ES55" si="330">EQ55</f>
        <v>0</v>
      </c>
      <c r="ET55" s="72" t="str">
        <f t="shared" si="295"/>
        <v>NA</v>
      </c>
      <c r="EU55" s="74">
        <f t="shared" ref="EU55" si="331">ES55</f>
        <v>0</v>
      </c>
      <c r="EV55" s="72" t="str">
        <f t="shared" si="297"/>
        <v>NM</v>
      </c>
      <c r="EW55" s="74">
        <f t="shared" ref="EW55" si="332">EU55</f>
        <v>0</v>
      </c>
      <c r="EX55" s="72" t="str">
        <f t="shared" si="299"/>
        <v>NA</v>
      </c>
      <c r="EY55" s="72"/>
      <c r="EZ55" s="306"/>
      <c r="FA55" s="72"/>
      <c r="FB55" s="71">
        <v>0</v>
      </c>
      <c r="FC55" s="88"/>
      <c r="FD55" s="71">
        <v>0</v>
      </c>
      <c r="FE55" s="72" t="str">
        <f t="shared" si="300"/>
        <v>NA</v>
      </c>
      <c r="FF55" s="71">
        <v>0</v>
      </c>
      <c r="FG55" s="72" t="str">
        <f t="shared" si="301"/>
        <v>NA</v>
      </c>
      <c r="FH55" s="73">
        <f>K55+M55+O55+Q55</f>
        <v>0</v>
      </c>
      <c r="FI55" s="72" t="str">
        <f t="shared" si="302"/>
        <v>NA</v>
      </c>
      <c r="FJ55" s="73">
        <f>S55+U55+W55+Y55</f>
        <v>-3</v>
      </c>
      <c r="FK55" s="72" t="str">
        <f t="shared" si="303"/>
        <v>NA</v>
      </c>
      <c r="FL55" s="73">
        <f>AA55+AC55+AE55+AG55</f>
        <v>-4</v>
      </c>
      <c r="FM55" s="72">
        <f t="shared" si="304"/>
        <v>33.333333333333314</v>
      </c>
      <c r="FN55" s="73">
        <f>AI55+AK55+AM55+AO55</f>
        <v>-4</v>
      </c>
      <c r="FO55" s="72">
        <f t="shared" si="305"/>
        <v>0</v>
      </c>
      <c r="FP55" s="73">
        <f>AQ55+AS55+AU55+AW55</f>
        <v>-5</v>
      </c>
      <c r="FQ55" s="72">
        <f t="shared" si="306"/>
        <v>25</v>
      </c>
      <c r="FR55" s="75">
        <f>AY55+BA55+BC55+BE55</f>
        <v>-4</v>
      </c>
      <c r="FS55" s="72">
        <f t="shared" si="307"/>
        <v>-20</v>
      </c>
      <c r="FT55" s="75">
        <f>BG55+BI55+BK55+BM55</f>
        <v>-4</v>
      </c>
      <c r="FU55" s="72">
        <f t="shared" si="308"/>
        <v>0</v>
      </c>
      <c r="FV55" s="75">
        <f>BO55+BQ55+BS55+BU55</f>
        <v>-5</v>
      </c>
      <c r="FW55" s="72">
        <f t="shared" si="309"/>
        <v>25</v>
      </c>
      <c r="FX55" s="75">
        <f>BW55+BY55+CA55+CC55</f>
        <v>-1</v>
      </c>
      <c r="FY55" s="72" t="str">
        <f t="shared" si="309"/>
        <v>NM</v>
      </c>
      <c r="FZ55" s="75">
        <f>CE55+CG55+CI55+CK55</f>
        <v>-1</v>
      </c>
      <c r="GA55" s="72">
        <f t="shared" si="309"/>
        <v>0</v>
      </c>
      <c r="GB55" s="75">
        <f>CM55+CO55+CQ55+CS55</f>
        <v>-1</v>
      </c>
      <c r="GC55" s="72">
        <f t="shared" si="309"/>
        <v>0</v>
      </c>
      <c r="GD55" s="75">
        <f>CU55+CW55+CY55+DA55</f>
        <v>-2</v>
      </c>
      <c r="GE55" s="72">
        <f t="shared" si="309"/>
        <v>100</v>
      </c>
      <c r="GF55" s="75">
        <f>DC55+DE55+DG55+DI55</f>
        <v>-3</v>
      </c>
      <c r="GG55" s="72">
        <f t="shared" si="309"/>
        <v>50</v>
      </c>
      <c r="GH55" s="75">
        <f>DK55+DM55+DO55+DQ55</f>
        <v>-2</v>
      </c>
      <c r="GI55" s="72">
        <f t="shared" si="310"/>
        <v>-33.333333333333343</v>
      </c>
      <c r="GJ55" s="75">
        <f>DS55+DU55+DW55+DY55</f>
        <v>-2</v>
      </c>
      <c r="GK55" s="72">
        <f t="shared" si="310"/>
        <v>0</v>
      </c>
      <c r="GL55" s="75">
        <f>EA55+EC55+EE55+EG55</f>
        <v>-1</v>
      </c>
      <c r="GM55" s="72">
        <f t="shared" si="310"/>
        <v>-50</v>
      </c>
      <c r="GN55" s="75">
        <f>EI55+EK55+EM55+EO55</f>
        <v>-1</v>
      </c>
      <c r="GO55" s="72">
        <f t="shared" si="310"/>
        <v>0</v>
      </c>
      <c r="GP55" s="75">
        <f>EQ55+ES55+EU55+EW55</f>
        <v>0</v>
      </c>
      <c r="GQ55" s="72" t="str">
        <f t="shared" si="310"/>
        <v>NM</v>
      </c>
      <c r="GR55" s="74">
        <f>GR50/GP50*GP55</f>
        <v>0</v>
      </c>
      <c r="GS55" s="72" t="str">
        <f t="shared" si="310"/>
        <v>NA</v>
      </c>
      <c r="GT55" s="74">
        <f>GT50/GR50*GR55</f>
        <v>0</v>
      </c>
      <c r="GU55" s="72" t="str">
        <f t="shared" si="310"/>
        <v>NA</v>
      </c>
      <c r="GV55" s="74">
        <f>GV50/GT50*GT55</f>
        <v>0</v>
      </c>
      <c r="GW55" s="72" t="str">
        <f t="shared" si="311"/>
        <v>NA</v>
      </c>
      <c r="GX55" s="74">
        <f>GX50/GV50*GV55</f>
        <v>0</v>
      </c>
      <c r="GY55" s="72" t="str">
        <f t="shared" si="312"/>
        <v>NA</v>
      </c>
      <c r="GZ55" s="72" t="str">
        <f t="shared" si="313"/>
        <v>NM</v>
      </c>
      <c r="HA55" s="72"/>
      <c r="HB55" s="72"/>
      <c r="HC55"/>
      <c r="HD55"/>
      <c r="HE55"/>
      <c r="HF55"/>
      <c r="HG55"/>
      <c r="HH55"/>
      <c r="HI55" s="2"/>
    </row>
    <row r="56" spans="1:217" s="69" customFormat="1" ht="12.75" customHeight="1" x14ac:dyDescent="0.2">
      <c r="A56" s="3" t="s">
        <v>81</v>
      </c>
      <c r="B56" s="3" t="s">
        <v>296</v>
      </c>
      <c r="C56" s="75">
        <f>SUM(C50:C54)</f>
        <v>2989</v>
      </c>
      <c r="D56" s="72"/>
      <c r="E56" s="75">
        <f>SUM(E50:E54)</f>
        <v>2945</v>
      </c>
      <c r="F56" s="72"/>
      <c r="G56" s="75">
        <f>SUM(G50:G54)</f>
        <v>2942</v>
      </c>
      <c r="H56" s="72"/>
      <c r="I56" s="75">
        <f>SUM(I50:I54)</f>
        <v>2926</v>
      </c>
      <c r="J56" s="72"/>
      <c r="K56" s="75">
        <f>SUM(K50:K54)</f>
        <v>2889</v>
      </c>
      <c r="L56" s="72">
        <f t="shared" si="246"/>
        <v>-3.3456005352960858</v>
      </c>
      <c r="M56" s="75">
        <f>SUM(M50:M54)</f>
        <v>2872</v>
      </c>
      <c r="N56" s="72">
        <f t="shared" si="247"/>
        <v>-2.4787775891341255</v>
      </c>
      <c r="O56" s="75">
        <f>SUM(O50:O54)</f>
        <v>2865</v>
      </c>
      <c r="P56" s="72">
        <f t="shared" si="248"/>
        <v>-2.617267165193752</v>
      </c>
      <c r="Q56" s="75">
        <f>SUM(Q50:Q54)</f>
        <v>2975</v>
      </c>
      <c r="R56" s="72">
        <f t="shared" si="249"/>
        <v>1.6746411483253638</v>
      </c>
      <c r="S56" s="75">
        <f>SUM(S50:S55)</f>
        <v>2909</v>
      </c>
      <c r="T56" s="72">
        <f t="shared" si="249"/>
        <v>0.69228106611282669</v>
      </c>
      <c r="U56" s="75">
        <f>SUM(U50:U55)</f>
        <v>3048</v>
      </c>
      <c r="V56" s="72">
        <f t="shared" si="249"/>
        <v>6.1281337047353759</v>
      </c>
      <c r="W56" s="75">
        <f>SUM(W50:W55)</f>
        <v>3260</v>
      </c>
      <c r="X56" s="72">
        <f t="shared" si="249"/>
        <v>13.787085514834203</v>
      </c>
      <c r="Y56" s="75">
        <f>SUM(Y50:Y55)</f>
        <v>3396</v>
      </c>
      <c r="Z56" s="72">
        <f t="shared" si="249"/>
        <v>14.151260504201673</v>
      </c>
      <c r="AA56" s="75">
        <f>SUM(AA50:AA55)</f>
        <v>3473</v>
      </c>
      <c r="AB56" s="72">
        <f t="shared" si="249"/>
        <v>19.388105878308707</v>
      </c>
      <c r="AC56" s="75">
        <f>SUM(AC50:AC55)</f>
        <v>3498</v>
      </c>
      <c r="AD56" s="72">
        <f t="shared" si="249"/>
        <v>14.763779527559052</v>
      </c>
      <c r="AE56" s="75">
        <f>SUM(AE50:AE55)</f>
        <v>3523</v>
      </c>
      <c r="AF56" s="72">
        <f t="shared" si="249"/>
        <v>8.0674846625767032</v>
      </c>
      <c r="AG56" s="75">
        <f>SUM(AG50:AG55)</f>
        <v>3514</v>
      </c>
      <c r="AH56" s="72">
        <f t="shared" si="249"/>
        <v>3.4746760895170752</v>
      </c>
      <c r="AI56" s="75">
        <f>SUM(AI50:AI55)</f>
        <v>3574</v>
      </c>
      <c r="AJ56" s="72">
        <f t="shared" si="249"/>
        <v>2.908148574719263</v>
      </c>
      <c r="AK56" s="75">
        <f>SUM(AK50:AK55)</f>
        <v>3722</v>
      </c>
      <c r="AL56" s="72">
        <f t="shared" si="249"/>
        <v>6.4036592338479181</v>
      </c>
      <c r="AM56" s="75">
        <f>SUM(AM50:AM55)</f>
        <v>3860</v>
      </c>
      <c r="AN56" s="72">
        <f t="shared" si="249"/>
        <v>9.5657110417258053</v>
      </c>
      <c r="AO56" s="75">
        <f>SUM(AO50:AO55)</f>
        <v>3879</v>
      </c>
      <c r="AP56" s="72">
        <f t="shared" si="249"/>
        <v>10.387023335230509</v>
      </c>
      <c r="AQ56" s="75">
        <f>SUM(AQ50:AQ55)</f>
        <v>3879</v>
      </c>
      <c r="AR56" s="72">
        <f t="shared" si="250"/>
        <v>8.5338556239507426</v>
      </c>
      <c r="AS56" s="75">
        <f>SUM(AS50:AS55)</f>
        <v>4064</v>
      </c>
      <c r="AT56" s="72">
        <f t="shared" si="251"/>
        <v>9.188608275120913</v>
      </c>
      <c r="AU56" s="75">
        <f>SUM(AU50:AU55)</f>
        <v>4033</v>
      </c>
      <c r="AV56" s="72">
        <f t="shared" si="252"/>
        <v>4.4818652849740914</v>
      </c>
      <c r="AW56" s="75">
        <f>SUM(AW50:AW55)</f>
        <v>3991</v>
      </c>
      <c r="AX56" s="72">
        <f t="shared" si="253"/>
        <v>2.8873420984789817</v>
      </c>
      <c r="AY56" s="75">
        <f>SUM(AY50:AY55)</f>
        <v>3941</v>
      </c>
      <c r="AZ56" s="72">
        <f t="shared" si="254"/>
        <v>1.5983500902294452</v>
      </c>
      <c r="BA56" s="75">
        <f>SUM(BA50:BA55)</f>
        <v>3871</v>
      </c>
      <c r="BB56" s="72">
        <f t="shared" si="255"/>
        <v>-4.7490157480314963</v>
      </c>
      <c r="BC56" s="75">
        <f>SUM(BC50:BC55)</f>
        <v>3814</v>
      </c>
      <c r="BD56" s="72">
        <f t="shared" si="256"/>
        <v>-5.4302008430448723</v>
      </c>
      <c r="BE56" s="75">
        <f>SUM(BE50:BE55)</f>
        <v>3748</v>
      </c>
      <c r="BF56" s="72">
        <f t="shared" si="257"/>
        <v>-6.0886995740415841</v>
      </c>
      <c r="BG56" s="75">
        <f>SUM(BG50:BG55)</f>
        <v>3679</v>
      </c>
      <c r="BH56" s="72">
        <f t="shared" si="258"/>
        <v>-6.6480588683075439</v>
      </c>
      <c r="BI56" s="75">
        <f>SUM(BI50:BI55)</f>
        <v>3608</v>
      </c>
      <c r="BJ56" s="72">
        <f t="shared" si="259"/>
        <v>-6.7941100490829172</v>
      </c>
      <c r="BK56" s="75">
        <f>SUM(BK50:BK55)</f>
        <v>3546</v>
      </c>
      <c r="BL56" s="72">
        <f t="shared" si="260"/>
        <v>-7.0267435762978465</v>
      </c>
      <c r="BM56" s="75">
        <f>SUM(BM50:BM55)</f>
        <v>3488</v>
      </c>
      <c r="BN56" s="72">
        <f t="shared" si="261"/>
        <v>-6.9370330843116221</v>
      </c>
      <c r="BO56" s="75">
        <f>SUM(BO50:BO55)</f>
        <v>3440</v>
      </c>
      <c r="BP56" s="72">
        <f t="shared" si="262"/>
        <v>-6.4963305245990739</v>
      </c>
      <c r="BQ56" s="75">
        <f>SUM(BQ50:BQ55)</f>
        <v>3394</v>
      </c>
      <c r="BR56" s="72">
        <f t="shared" si="263"/>
        <v>-5.9312638580931321</v>
      </c>
      <c r="BS56" s="75">
        <f>SUM(BS50:BS55)</f>
        <v>3349</v>
      </c>
      <c r="BT56" s="72">
        <f t="shared" si="264"/>
        <v>-5.5555555555555571</v>
      </c>
      <c r="BU56" s="75">
        <f>SUM(BU50:BU55)</f>
        <v>3295</v>
      </c>
      <c r="BV56" s="72">
        <f t="shared" si="265"/>
        <v>-5.5332568807339442</v>
      </c>
      <c r="BW56" s="75">
        <f>SUM(BW50:BW55)</f>
        <v>3263</v>
      </c>
      <c r="BX56" s="72">
        <f t="shared" si="266"/>
        <v>-5.1453488372093119</v>
      </c>
      <c r="BY56" s="75">
        <f>SUM(BY50:BY55)</f>
        <v>3221</v>
      </c>
      <c r="BZ56" s="72">
        <f t="shared" si="267"/>
        <v>-5.0972304065998912</v>
      </c>
      <c r="CA56" s="75">
        <f>SUM(CA50:CA55)</f>
        <v>3213</v>
      </c>
      <c r="CB56" s="72">
        <f t="shared" si="268"/>
        <v>-4.0609137055837579</v>
      </c>
      <c r="CC56" s="75">
        <f>SUM(CC50:CC55)</f>
        <v>3452</v>
      </c>
      <c r="CD56" s="72">
        <f t="shared" si="269"/>
        <v>4.7647951441578158</v>
      </c>
      <c r="CE56" s="75">
        <f>SUM(CE50:CE55)</f>
        <v>3739</v>
      </c>
      <c r="CF56" s="72">
        <f t="shared" si="270"/>
        <v>14.587802635611396</v>
      </c>
      <c r="CG56" s="75">
        <f>SUM(CG50:CG55)</f>
        <v>3766</v>
      </c>
      <c r="CH56" s="72">
        <f t="shared" si="271"/>
        <v>16.920211114560701</v>
      </c>
      <c r="CI56" s="75">
        <f>SUM(CI50:CI55)</f>
        <v>3828</v>
      </c>
      <c r="CJ56" s="72">
        <f t="shared" si="272"/>
        <v>19.140989729225026</v>
      </c>
      <c r="CK56" s="75">
        <f>SUM(CK50:CK55)</f>
        <v>3837</v>
      </c>
      <c r="CL56" s="72">
        <f t="shared" si="272"/>
        <v>11.152954808806498</v>
      </c>
      <c r="CM56" s="75">
        <f>SUM(CM50:CM55)</f>
        <v>3841</v>
      </c>
      <c r="CN56" s="72">
        <f t="shared" si="272"/>
        <v>2.7280021396095293</v>
      </c>
      <c r="CO56" s="75">
        <f>SUM(CO50:CO55)</f>
        <v>3825</v>
      </c>
      <c r="CP56" s="72">
        <f t="shared" si="272"/>
        <v>1.5666489644184765</v>
      </c>
      <c r="CQ56" s="75">
        <f>SUM(CQ50:CQ55)</f>
        <v>3810</v>
      </c>
      <c r="CR56" s="72">
        <f t="shared" si="272"/>
        <v>-0.47021943573668068</v>
      </c>
      <c r="CS56" s="75">
        <f>SUM(CS50:CS55)</f>
        <v>3792</v>
      </c>
      <c r="CT56" s="72">
        <f t="shared" si="272"/>
        <v>-1.1727912431587271</v>
      </c>
      <c r="CU56" s="75">
        <f>SUM(CU50:CU55)</f>
        <v>3778</v>
      </c>
      <c r="CV56" s="72">
        <f t="shared" si="273"/>
        <v>-1.6401978651392852</v>
      </c>
      <c r="CW56" s="75">
        <f>SUM(CW50:CW55)</f>
        <v>3768</v>
      </c>
      <c r="CX56" s="72">
        <f t="shared" si="274"/>
        <v>-1.4901960784313673</v>
      </c>
      <c r="CY56" s="75">
        <f>SUM(CY50:CY55)</f>
        <v>3756</v>
      </c>
      <c r="CZ56" s="72">
        <f t="shared" si="275"/>
        <v>-1.4173228346456739</v>
      </c>
      <c r="DA56" s="75">
        <f>SUM(DA50:DA55)</f>
        <v>3734</v>
      </c>
      <c r="DB56" s="72">
        <f t="shared" si="276"/>
        <v>-1.5295358649788966</v>
      </c>
      <c r="DC56" s="75">
        <f>SUM(DC50:DC55)</f>
        <v>3714</v>
      </c>
      <c r="DD56" s="72">
        <f t="shared" si="277"/>
        <v>-1.6940179989412485</v>
      </c>
      <c r="DE56" s="75">
        <f>SUM(DE50:DE55)</f>
        <v>3699</v>
      </c>
      <c r="DF56" s="72">
        <f t="shared" si="278"/>
        <v>-1.8312101910828034</v>
      </c>
      <c r="DG56" s="75">
        <f>SUM(DG50:DG55)</f>
        <v>3681</v>
      </c>
      <c r="DH56" s="72">
        <f t="shared" si="279"/>
        <v>-1.9968051118210894</v>
      </c>
      <c r="DI56" s="75">
        <f>SUM(DI50:DI55)</f>
        <v>3673</v>
      </c>
      <c r="DJ56" s="72">
        <f t="shared" si="280"/>
        <v>-1.6336368505623966</v>
      </c>
      <c r="DK56" s="75">
        <f>SUM(DK50:DK55)</f>
        <v>3656</v>
      </c>
      <c r="DL56" s="72">
        <f t="shared" si="281"/>
        <v>-1.5616585891222456</v>
      </c>
      <c r="DM56" s="75">
        <f>SUM(DM50:DM55)</f>
        <v>3638</v>
      </c>
      <c r="DN56" s="72">
        <f t="shared" si="282"/>
        <v>-1.6490943498242814</v>
      </c>
      <c r="DO56" s="75">
        <f>SUM(DO50:DO55)</f>
        <v>3611</v>
      </c>
      <c r="DP56" s="72">
        <f t="shared" si="282"/>
        <v>-1.9016571583808712</v>
      </c>
      <c r="DQ56" s="75">
        <f>SUM(DQ50:DQ55)</f>
        <v>3581</v>
      </c>
      <c r="DR56" s="72">
        <f t="shared" si="282"/>
        <v>-2.5047644976858123</v>
      </c>
      <c r="DS56" s="75">
        <f>SUM(DS50:DS55)</f>
        <v>3575</v>
      </c>
      <c r="DT56" s="72">
        <f t="shared" si="282"/>
        <v>-2.2155361050328253</v>
      </c>
      <c r="DU56" s="75">
        <f>SUM(DU50:DU55)</f>
        <v>3552</v>
      </c>
      <c r="DV56" s="72">
        <f t="shared" si="282"/>
        <v>-2.3639362286970851</v>
      </c>
      <c r="DW56" s="75">
        <f>SUM(DW50:DW55)</f>
        <v>3532</v>
      </c>
      <c r="DX56" s="72">
        <f t="shared" si="282"/>
        <v>-2.1877596233730259</v>
      </c>
      <c r="DY56" s="75">
        <f>SUM(DY50:DY55)</f>
        <v>3504</v>
      </c>
      <c r="DZ56" s="72">
        <f t="shared" si="282"/>
        <v>-2.1502373638648322</v>
      </c>
      <c r="EA56" s="75">
        <f>SUM(EA50:EA55)</f>
        <v>3487</v>
      </c>
      <c r="EB56" s="72">
        <f t="shared" si="284"/>
        <v>-2.4615384615384528</v>
      </c>
      <c r="EC56" s="75">
        <f>SUM(EC50:EC55)</f>
        <v>3489</v>
      </c>
      <c r="ED56" s="72">
        <f t="shared" si="285"/>
        <v>-1.7736486486486456</v>
      </c>
      <c r="EE56" s="75">
        <f>SUM(EE50:EE55)</f>
        <v>3485</v>
      </c>
      <c r="EF56" s="72">
        <f t="shared" si="286"/>
        <v>-1.3306908267270643</v>
      </c>
      <c r="EG56" s="75">
        <f>SUM(EG50:EG55)</f>
        <v>3488</v>
      </c>
      <c r="EH56" s="72">
        <f t="shared" si="287"/>
        <v>-0.45662100456621602</v>
      </c>
      <c r="EI56" s="75">
        <f>SUM(EI50:EI55)</f>
        <v>3489</v>
      </c>
      <c r="EJ56" s="72">
        <f t="shared" si="288"/>
        <v>5.7355893318032258E-2</v>
      </c>
      <c r="EK56" s="75">
        <f>SUM(EK50:EK55)</f>
        <v>3492</v>
      </c>
      <c r="EL56" s="72">
        <f t="shared" si="289"/>
        <v>8.5984522785892636E-2</v>
      </c>
      <c r="EM56" s="75">
        <f>SUM(EM50:EM55)</f>
        <v>3493</v>
      </c>
      <c r="EN56" s="72">
        <f t="shared" si="290"/>
        <v>0.22955523672882805</v>
      </c>
      <c r="EO56" s="75">
        <f>SUM(EO50:EO55)</f>
        <v>3473</v>
      </c>
      <c r="EP56" s="72">
        <f t="shared" si="291"/>
        <v>-0.43004587155964202</v>
      </c>
      <c r="EQ56" s="75">
        <f t="shared" ref="EQ56" si="333">SUM(EQ50:EQ55)</f>
        <v>3458.1431434297169</v>
      </c>
      <c r="ER56" s="72">
        <f t="shared" si="293"/>
        <v>-0.88440402895622583</v>
      </c>
      <c r="ES56" s="75">
        <f t="shared" ref="ES56" si="334">SUM(ES50:ES55)</f>
        <v>3443.892619929647</v>
      </c>
      <c r="ET56" s="72">
        <f t="shared" si="295"/>
        <v>-1.3776454773869631</v>
      </c>
      <c r="EU56" s="75">
        <f t="shared" ref="EU56" si="335">SUM(EU50:EU55)</f>
        <v>3430.2690898700303</v>
      </c>
      <c r="EV56" s="72">
        <f t="shared" si="297"/>
        <v>-1.7959035250492406</v>
      </c>
      <c r="EW56" s="75">
        <f t="shared" ref="EW56" si="336">SUM(EW50:EW55)</f>
        <v>3417.2943157512927</v>
      </c>
      <c r="EX56" s="72">
        <f t="shared" si="299"/>
        <v>-1.6039644183330637</v>
      </c>
      <c r="EY56" s="72"/>
      <c r="EZ56" s="309"/>
      <c r="FA56" s="72"/>
      <c r="FB56" s="75">
        <f>SUM(FB50:FB55)</f>
        <v>3249</v>
      </c>
      <c r="FC56" s="72"/>
      <c r="FD56" s="75">
        <f>SUM(FD50:FD55)</f>
        <v>3020</v>
      </c>
      <c r="FE56" s="72">
        <f t="shared" si="300"/>
        <v>-7.0483225607879376</v>
      </c>
      <c r="FF56" s="75">
        <f>SUM(FF50:FF55)</f>
        <v>2926</v>
      </c>
      <c r="FG56" s="72">
        <f t="shared" si="301"/>
        <v>-3.1125827814569504</v>
      </c>
      <c r="FH56" s="75">
        <f>SUM(FH50:FH55)</f>
        <v>2975</v>
      </c>
      <c r="FI56" s="72">
        <f t="shared" si="302"/>
        <v>1.6746411483253638</v>
      </c>
      <c r="FJ56" s="75">
        <f>SUM(FJ50:FJ55)</f>
        <v>3396</v>
      </c>
      <c r="FK56" s="72">
        <f t="shared" si="303"/>
        <v>14.151260504201673</v>
      </c>
      <c r="FL56" s="75">
        <f>SUM(FL50:FL55)</f>
        <v>3514</v>
      </c>
      <c r="FM56" s="72">
        <f t="shared" si="304"/>
        <v>3.4746760895170752</v>
      </c>
      <c r="FN56" s="75">
        <f>SUM(FN50:FN55)</f>
        <v>3879</v>
      </c>
      <c r="FO56" s="72">
        <f t="shared" si="305"/>
        <v>10.387023335230509</v>
      </c>
      <c r="FP56" s="75">
        <f>SUM(FP50:FP55)</f>
        <v>3991</v>
      </c>
      <c r="FQ56" s="72">
        <f t="shared" si="306"/>
        <v>2.8873420984789817</v>
      </c>
      <c r="FR56" s="75">
        <f>SUM(FR50:FR55)</f>
        <v>3748</v>
      </c>
      <c r="FS56" s="72">
        <f t="shared" si="307"/>
        <v>-6.0886995740415841</v>
      </c>
      <c r="FT56" s="75">
        <f>SUM(FT50:FT55)</f>
        <v>3488</v>
      </c>
      <c r="FU56" s="72">
        <f t="shared" si="308"/>
        <v>-6.9370330843116221</v>
      </c>
      <c r="FV56" s="75">
        <f>SUM(FV50:FV55)</f>
        <v>3295</v>
      </c>
      <c r="FW56" s="72">
        <f t="shared" si="309"/>
        <v>-5.5332568807339442</v>
      </c>
      <c r="FX56" s="75">
        <f>SUM(FX50:FX55)</f>
        <v>3452</v>
      </c>
      <c r="FY56" s="72">
        <f t="shared" si="309"/>
        <v>4.7647951441578158</v>
      </c>
      <c r="FZ56" s="75">
        <f>SUM(FZ50:FZ55)</f>
        <v>3837</v>
      </c>
      <c r="GA56" s="72">
        <f t="shared" si="309"/>
        <v>11.152954808806498</v>
      </c>
      <c r="GB56" s="75">
        <f>SUM(GB50:GB55)</f>
        <v>3792</v>
      </c>
      <c r="GC56" s="72">
        <f t="shared" si="309"/>
        <v>-1.1727912431587271</v>
      </c>
      <c r="GD56" s="75">
        <f>SUM(GD50:GD55)</f>
        <v>3734</v>
      </c>
      <c r="GE56" s="72">
        <f t="shared" si="309"/>
        <v>-1.5295358649788966</v>
      </c>
      <c r="GF56" s="75">
        <f>SUM(GF50:GF55)</f>
        <v>3673</v>
      </c>
      <c r="GG56" s="72">
        <f t="shared" si="309"/>
        <v>-1.6336368505623966</v>
      </c>
      <c r="GH56" s="75">
        <f>SUM(GH50:GH55)</f>
        <v>3581</v>
      </c>
      <c r="GI56" s="72">
        <f t="shared" si="310"/>
        <v>-2.5047644976858123</v>
      </c>
      <c r="GJ56" s="75">
        <f>SUM(GJ50:GJ55)</f>
        <v>3504</v>
      </c>
      <c r="GK56" s="72">
        <f t="shared" si="310"/>
        <v>-2.1502373638648322</v>
      </c>
      <c r="GL56" s="75">
        <f>SUM(GL50:GL55)</f>
        <v>3488</v>
      </c>
      <c r="GM56" s="72">
        <f t="shared" si="310"/>
        <v>-0.45662100456621602</v>
      </c>
      <c r="GN56" s="75">
        <f>SUM(GN50:GN55)</f>
        <v>3473</v>
      </c>
      <c r="GO56" s="72">
        <f t="shared" si="310"/>
        <v>-0.43004587155964202</v>
      </c>
      <c r="GP56" s="75">
        <f>SUM(GP50:GP55)</f>
        <v>3417.2943157512927</v>
      </c>
      <c r="GQ56" s="72">
        <f t="shared" si="310"/>
        <v>-1.6039644183330637</v>
      </c>
      <c r="GR56" s="75">
        <f>SUM(GR50:GR55)</f>
        <v>3367.4835845707803</v>
      </c>
      <c r="GS56" s="72">
        <f t="shared" si="310"/>
        <v>-1.4576072933174231</v>
      </c>
      <c r="GT56" s="75">
        <f>SUM(GT50:GT55)</f>
        <v>3323.8311074006715</v>
      </c>
      <c r="GU56" s="72">
        <f t="shared" si="310"/>
        <v>-1.296293688560695</v>
      </c>
      <c r="GV56" s="75">
        <f>SUM(GV50:GV55)</f>
        <v>3286.6357955149829</v>
      </c>
      <c r="GW56" s="72">
        <f t="shared" si="311"/>
        <v>-1.1190493946239144</v>
      </c>
      <c r="GX56" s="75">
        <f>SUM(GX50:GX55)</f>
        <v>3256.2354675297329</v>
      </c>
      <c r="GY56" s="72">
        <f t="shared" si="312"/>
        <v>-0.92496795740906634</v>
      </c>
      <c r="GZ56" s="72">
        <f t="shared" si="313"/>
        <v>-1.2806689450664877</v>
      </c>
      <c r="HA56" s="72"/>
      <c r="HB56" s="72"/>
      <c r="HC56"/>
      <c r="HD56"/>
      <c r="HE56"/>
      <c r="HF56"/>
      <c r="HG56"/>
      <c r="HH56"/>
      <c r="HI56" s="2"/>
    </row>
    <row r="57" spans="1:217" s="78" customFormat="1" ht="12.75" customHeight="1" x14ac:dyDescent="0.2">
      <c r="B57" s="77" t="s">
        <v>297</v>
      </c>
      <c r="C57" s="75">
        <f>AVERAGE(C56,C50)</f>
        <v>3004.5</v>
      </c>
      <c r="D57" s="80"/>
      <c r="E57" s="75">
        <f>AVERAGE(E56,E50)</f>
        <v>2967</v>
      </c>
      <c r="F57" s="80"/>
      <c r="G57" s="75">
        <f>AVERAGE(G56,G50)</f>
        <v>2943.5</v>
      </c>
      <c r="H57" s="80"/>
      <c r="I57" s="75">
        <f>AVERAGE(I56,I50)</f>
        <v>2934</v>
      </c>
      <c r="J57" s="72"/>
      <c r="K57" s="75">
        <f>AVERAGE(K56,K50)</f>
        <v>2907.5</v>
      </c>
      <c r="L57" s="72">
        <f t="shared" si="246"/>
        <v>-3.2284905974371725</v>
      </c>
      <c r="M57" s="75">
        <f>AVERAGE(M56,M50)</f>
        <v>2880.5</v>
      </c>
      <c r="N57" s="72">
        <f t="shared" si="247"/>
        <v>-2.9154027637344058</v>
      </c>
      <c r="O57" s="75">
        <f>AVERAGE(O56,O50)</f>
        <v>2868.5</v>
      </c>
      <c r="P57" s="72">
        <f t="shared" si="248"/>
        <v>-2.5479870901987454</v>
      </c>
      <c r="Q57" s="75">
        <f>AVERAGE(Q56,Q50)</f>
        <v>2920</v>
      </c>
      <c r="R57" s="72">
        <f t="shared" si="249"/>
        <v>-0.47716428084527251</v>
      </c>
      <c r="S57" s="75">
        <f>AVERAGE(S56,S50)</f>
        <v>2942</v>
      </c>
      <c r="T57" s="72">
        <f t="shared" si="249"/>
        <v>1.1865864144454008</v>
      </c>
      <c r="U57" s="75">
        <f>AVERAGE(U56,U50)</f>
        <v>2978.5</v>
      </c>
      <c r="V57" s="72">
        <f t="shared" si="249"/>
        <v>3.4021871202916145</v>
      </c>
      <c r="W57" s="75">
        <f>AVERAGE(W56,W50)</f>
        <v>3154</v>
      </c>
      <c r="X57" s="72">
        <f t="shared" si="249"/>
        <v>9.9529370751263713</v>
      </c>
      <c r="Y57" s="75">
        <f>AVERAGE(Y56,Y50)</f>
        <v>3328</v>
      </c>
      <c r="Z57" s="72">
        <f t="shared" si="249"/>
        <v>13.972602739726028</v>
      </c>
      <c r="AA57" s="75">
        <f>AVERAGE(AA56,AA50)</f>
        <v>3434.5</v>
      </c>
      <c r="AB57" s="72">
        <f t="shared" si="249"/>
        <v>16.740312712440513</v>
      </c>
      <c r="AC57" s="75">
        <f>AVERAGE(AC56,AC50)</f>
        <v>3485.5</v>
      </c>
      <c r="AD57" s="72">
        <f t="shared" si="249"/>
        <v>17.02199093503441</v>
      </c>
      <c r="AE57" s="75">
        <f>AVERAGE(AE56,AE50)</f>
        <v>3510.5</v>
      </c>
      <c r="AF57" s="72">
        <f t="shared" si="249"/>
        <v>11.303107165504116</v>
      </c>
      <c r="AG57" s="75">
        <f>AVERAGE(AG56,AG50)</f>
        <v>3518.5</v>
      </c>
      <c r="AH57" s="72">
        <f t="shared" si="249"/>
        <v>5.7241586538461462</v>
      </c>
      <c r="AI57" s="75">
        <f>AVERAGE(AI56,AI50)</f>
        <v>3544</v>
      </c>
      <c r="AJ57" s="72">
        <f t="shared" si="249"/>
        <v>3.1882370068423427</v>
      </c>
      <c r="AK57" s="75">
        <f>AVERAGE(AK56,AK50)</f>
        <v>3648</v>
      </c>
      <c r="AL57" s="72">
        <f t="shared" si="249"/>
        <v>4.662171854827136</v>
      </c>
      <c r="AM57" s="75">
        <f>AVERAGE(AM56,AM50)</f>
        <v>3791</v>
      </c>
      <c r="AN57" s="72">
        <f t="shared" si="249"/>
        <v>7.9903147699757824</v>
      </c>
      <c r="AO57" s="75">
        <f>AVERAGE(AO56,AO50)</f>
        <v>3869.5</v>
      </c>
      <c r="AP57" s="72">
        <f t="shared" si="249"/>
        <v>9.9758419781156675</v>
      </c>
      <c r="AQ57" s="75">
        <f>AVERAGE(AQ56,AQ50)</f>
        <v>3879</v>
      </c>
      <c r="AR57" s="72">
        <f t="shared" si="250"/>
        <v>9.452595936794566</v>
      </c>
      <c r="AS57" s="75">
        <f>AVERAGE(AS56,AS50)</f>
        <v>3971.5</v>
      </c>
      <c r="AT57" s="72">
        <f t="shared" si="251"/>
        <v>8.8678728070175481</v>
      </c>
      <c r="AU57" s="75">
        <f>AVERAGE(AU56,AU50)</f>
        <v>4048.5</v>
      </c>
      <c r="AV57" s="72">
        <f t="shared" si="252"/>
        <v>6.7924030598786516</v>
      </c>
      <c r="AW57" s="75">
        <f>AVERAGE(AW56,AW50)</f>
        <v>4012</v>
      </c>
      <c r="AX57" s="72">
        <f t="shared" si="253"/>
        <v>3.6826463367360134</v>
      </c>
      <c r="AY57" s="75">
        <f>AVERAGE(AY56,AY50)</f>
        <v>3966</v>
      </c>
      <c r="AZ57" s="72">
        <f t="shared" si="254"/>
        <v>2.2428460943542063</v>
      </c>
      <c r="BA57" s="75">
        <f>AVERAGE(BA56,BA50)</f>
        <v>3906</v>
      </c>
      <c r="BB57" s="72">
        <f t="shared" si="255"/>
        <v>-1.6492509127533594</v>
      </c>
      <c r="BC57" s="75">
        <f>AVERAGE(BC56,BC50)</f>
        <v>3842.5</v>
      </c>
      <c r="BD57" s="72">
        <f t="shared" si="256"/>
        <v>-5.0883043102383567</v>
      </c>
      <c r="BE57" s="75">
        <f>AVERAGE(BE56,BE50)</f>
        <v>3781</v>
      </c>
      <c r="BF57" s="72">
        <f t="shared" si="257"/>
        <v>-5.7577268195413751</v>
      </c>
      <c r="BG57" s="75">
        <f>AVERAGE(BG56,BG50)</f>
        <v>3713.5</v>
      </c>
      <c r="BH57" s="72">
        <f t="shared" si="258"/>
        <v>-6.3666162380231981</v>
      </c>
      <c r="BI57" s="75">
        <f>AVERAGE(BI56,BI50)</f>
        <v>3643.5</v>
      </c>
      <c r="BJ57" s="72">
        <f t="shared" si="259"/>
        <v>-6.7204301075268802</v>
      </c>
      <c r="BK57" s="75">
        <f>AVERAGE(BK56,BK50)</f>
        <v>3577</v>
      </c>
      <c r="BL57" s="72">
        <f t="shared" si="260"/>
        <v>-6.9095640858815983</v>
      </c>
      <c r="BM57" s="75">
        <f>AVERAGE(BM56,BM50)</f>
        <v>3517</v>
      </c>
      <c r="BN57" s="72">
        <f t="shared" si="261"/>
        <v>-6.9822798201534084</v>
      </c>
      <c r="BO57" s="75">
        <f>AVERAGE(BO56,BO50)</f>
        <v>3464</v>
      </c>
      <c r="BP57" s="72">
        <f t="shared" si="262"/>
        <v>-6.7187289618957777</v>
      </c>
      <c r="BQ57" s="75">
        <f>AVERAGE(BQ56,BQ50)</f>
        <v>3417</v>
      </c>
      <c r="BR57" s="72">
        <f t="shared" si="263"/>
        <v>-6.2165500205846058</v>
      </c>
      <c r="BS57" s="75">
        <f>AVERAGE(BS56,BS50)</f>
        <v>3371.5</v>
      </c>
      <c r="BT57" s="72">
        <f t="shared" si="264"/>
        <v>-5.745037741123852</v>
      </c>
      <c r="BU57" s="75">
        <f>AVERAGE(BU56,BU50)</f>
        <v>3322</v>
      </c>
      <c r="BV57" s="72">
        <f t="shared" si="265"/>
        <v>-5.5444981518339489</v>
      </c>
      <c r="BW57" s="75">
        <f>AVERAGE(BW56,BW50)</f>
        <v>3279</v>
      </c>
      <c r="BX57" s="72">
        <f t="shared" si="266"/>
        <v>-5.3406466512702053</v>
      </c>
      <c r="BY57" s="75">
        <f>AVERAGE(BY56,BY50)</f>
        <v>3242</v>
      </c>
      <c r="BZ57" s="72">
        <f t="shared" si="267"/>
        <v>-5.1214515657009088</v>
      </c>
      <c r="CA57" s="75">
        <f>AVERAGE(CA56,CA50)</f>
        <v>3217</v>
      </c>
      <c r="CB57" s="72">
        <f t="shared" si="268"/>
        <v>-4.5825300311434063</v>
      </c>
      <c r="CC57" s="75">
        <f>AVERAGE(CC56,CC50)</f>
        <v>3332.5</v>
      </c>
      <c r="CD57" s="72">
        <f t="shared" si="269"/>
        <v>0.31607465382299438</v>
      </c>
      <c r="CE57" s="75">
        <f>AVERAGE(CE56,CE50)</f>
        <v>3595.5</v>
      </c>
      <c r="CF57" s="72">
        <f t="shared" si="270"/>
        <v>9.6523330283623068</v>
      </c>
      <c r="CG57" s="75">
        <f>AVERAGE(CG56,CG50)</f>
        <v>3752.5</v>
      </c>
      <c r="CH57" s="72">
        <f t="shared" si="271"/>
        <v>15.746452806909318</v>
      </c>
      <c r="CI57" s="75">
        <f>AVERAGE(CI56,CI50)</f>
        <v>3797</v>
      </c>
      <c r="CJ57" s="72">
        <f t="shared" si="272"/>
        <v>18.02921976997203</v>
      </c>
      <c r="CK57" s="75">
        <f>AVERAGE(CK56,CK50)</f>
        <v>3832.5</v>
      </c>
      <c r="CL57" s="72">
        <f t="shared" si="272"/>
        <v>15.003750937734424</v>
      </c>
      <c r="CM57" s="75">
        <f>AVERAGE(CM56,CM50)</f>
        <v>3839</v>
      </c>
      <c r="CN57" s="72">
        <f t="shared" si="272"/>
        <v>6.7723543318036548</v>
      </c>
      <c r="CO57" s="75">
        <f>AVERAGE(CO56,CO50)</f>
        <v>3833</v>
      </c>
      <c r="CP57" s="72">
        <f t="shared" si="272"/>
        <v>2.1452365089940031</v>
      </c>
      <c r="CQ57" s="75">
        <f>AVERAGE(CQ56,CQ50)</f>
        <v>3817.5</v>
      </c>
      <c r="CR57" s="72">
        <f t="shared" si="272"/>
        <v>0.53989992099026551</v>
      </c>
      <c r="CS57" s="75">
        <f>AVERAGE(CS56,CS50)</f>
        <v>3801</v>
      </c>
      <c r="CT57" s="72">
        <f t="shared" si="272"/>
        <v>-0.82191780821916893</v>
      </c>
      <c r="CU57" s="75">
        <f>AVERAGE(CU56,CU50)</f>
        <v>3785</v>
      </c>
      <c r="CV57" s="72">
        <f t="shared" si="273"/>
        <v>-1.4066163063297807</v>
      </c>
      <c r="CW57" s="75">
        <f>AVERAGE(CW56,CW50)</f>
        <v>3773</v>
      </c>
      <c r="CX57" s="72">
        <f t="shared" si="274"/>
        <v>-1.5653535090007722</v>
      </c>
      <c r="CY57" s="75">
        <f>AVERAGE(CY56,CY50)</f>
        <v>3762</v>
      </c>
      <c r="CZ57" s="72">
        <f t="shared" si="275"/>
        <v>-1.4538310412573736</v>
      </c>
      <c r="DA57" s="75">
        <f>AVERAGE(DA56,DA50)</f>
        <v>3745</v>
      </c>
      <c r="DB57" s="72">
        <f t="shared" si="276"/>
        <v>-1.4732965009208101</v>
      </c>
      <c r="DC57" s="75">
        <f>AVERAGE(DC56,DC50)</f>
        <v>3724</v>
      </c>
      <c r="DD57" s="72">
        <f t="shared" si="277"/>
        <v>-1.6116248348745046</v>
      </c>
      <c r="DE57" s="75">
        <f>AVERAGE(DE56,DE50)</f>
        <v>3706.5</v>
      </c>
      <c r="DF57" s="72">
        <f t="shared" si="278"/>
        <v>-1.7625231910946297</v>
      </c>
      <c r="DG57" s="75">
        <f>AVERAGE(DG56,DG50)</f>
        <v>3690</v>
      </c>
      <c r="DH57" s="72">
        <f t="shared" si="279"/>
        <v>-1.913875598086122</v>
      </c>
      <c r="DI57" s="75">
        <f>AVERAGE(DI56,DI50)</f>
        <v>3677</v>
      </c>
      <c r="DJ57" s="72">
        <f t="shared" si="280"/>
        <v>-1.8157543391188256</v>
      </c>
      <c r="DK57" s="75">
        <f>AVERAGE(DK56,DK50)</f>
        <v>3664.5</v>
      </c>
      <c r="DL57" s="72">
        <f t="shared" si="281"/>
        <v>-1.5977443609022544</v>
      </c>
      <c r="DM57" s="75">
        <f>AVERAGE(DM56,DM50)</f>
        <v>3647</v>
      </c>
      <c r="DN57" s="72">
        <f t="shared" si="282"/>
        <v>-1.605288007554293</v>
      </c>
      <c r="DO57" s="75">
        <f>AVERAGE(DO56,DO50)</f>
        <v>3624.5</v>
      </c>
      <c r="DP57" s="72">
        <f t="shared" si="282"/>
        <v>-1.7750677506775077</v>
      </c>
      <c r="DQ57" s="75">
        <f>AVERAGE(DQ56,DQ50)</f>
        <v>3596</v>
      </c>
      <c r="DR57" s="72">
        <f t="shared" si="282"/>
        <v>-2.2028827848789803</v>
      </c>
      <c r="DS57" s="75">
        <f>AVERAGE(DS56,DS50)</f>
        <v>3578</v>
      </c>
      <c r="DT57" s="72">
        <f t="shared" si="282"/>
        <v>-2.3604857415745641</v>
      </c>
      <c r="DU57" s="75">
        <f>AVERAGE(DU56,DU50)</f>
        <v>3563.5</v>
      </c>
      <c r="DV57" s="72">
        <f t="shared" si="282"/>
        <v>-2.289553057307387</v>
      </c>
      <c r="DW57" s="75">
        <f>AVERAGE(DW56,DW50)</f>
        <v>3542</v>
      </c>
      <c r="DX57" s="72">
        <f t="shared" si="282"/>
        <v>-2.2761760242792093</v>
      </c>
      <c r="DY57" s="75">
        <f>AVERAGE(DY56,DY50)</f>
        <v>3518</v>
      </c>
      <c r="DZ57" s="72">
        <f t="shared" si="282"/>
        <v>-2.169076751946605</v>
      </c>
      <c r="EA57" s="75">
        <f>AVERAGE(EA56,EA50)</f>
        <v>3495.5</v>
      </c>
      <c r="EB57" s="72">
        <f t="shared" si="284"/>
        <v>-2.3057574063722797</v>
      </c>
      <c r="EC57" s="75">
        <f>AVERAGE(EC56,EC50)</f>
        <v>3488</v>
      </c>
      <c r="ED57" s="72">
        <f t="shared" si="285"/>
        <v>-2.118703521818432</v>
      </c>
      <c r="EE57" s="75">
        <f>AVERAGE(EE56,EE50)</f>
        <v>3487</v>
      </c>
      <c r="EF57" s="72">
        <f t="shared" si="286"/>
        <v>-1.5527950310558936</v>
      </c>
      <c r="EG57" s="75">
        <f>AVERAGE(EG56,EG50)</f>
        <v>3486.5</v>
      </c>
      <c r="EH57" s="72">
        <f t="shared" si="287"/>
        <v>-0.89539511085844481</v>
      </c>
      <c r="EI57" s="75">
        <f>AVERAGE(EI56,EI50)</f>
        <v>3488.5</v>
      </c>
      <c r="EJ57" s="72">
        <f t="shared" si="288"/>
        <v>-0.20025747389500737</v>
      </c>
      <c r="EK57" s="75">
        <f>AVERAGE(EK56,EK50)</f>
        <v>3490.5</v>
      </c>
      <c r="EL57" s="72">
        <f t="shared" si="289"/>
        <v>7.1674311926599898E-2</v>
      </c>
      <c r="EM57" s="75">
        <f>AVERAGE(EM56,EM50)</f>
        <v>3492.5</v>
      </c>
      <c r="EN57" s="72">
        <f t="shared" si="290"/>
        <v>0.15772870662461003</v>
      </c>
      <c r="EO57" s="75">
        <f>AVERAGE(EO56,EO50)</f>
        <v>3483</v>
      </c>
      <c r="EP57" s="72">
        <f t="shared" si="291"/>
        <v>-0.10038720780151777</v>
      </c>
      <c r="EQ57" s="75">
        <f t="shared" ref="EQ57" si="337">AVERAGE(EQ56,EQ50)</f>
        <v>3465.5715717148587</v>
      </c>
      <c r="ER57" s="72">
        <f t="shared" si="293"/>
        <v>-0.6572575113986403</v>
      </c>
      <c r="ES57" s="75">
        <f t="shared" ref="ES57" si="338">AVERAGE(ES56,ES50)</f>
        <v>3451.017881679682</v>
      </c>
      <c r="ET57" s="72">
        <f t="shared" si="295"/>
        <v>-1.1311307354338425</v>
      </c>
      <c r="EU57" s="75">
        <f t="shared" ref="EU57" si="339">AVERAGE(EU56,EU50)</f>
        <v>3437.0808548998384</v>
      </c>
      <c r="EV57" s="72">
        <f t="shared" si="297"/>
        <v>-1.586804440949507</v>
      </c>
      <c r="EW57" s="75">
        <f t="shared" ref="EW57" si="340">AVERAGE(EW56,EW50)</f>
        <v>3423.7817028106615</v>
      </c>
      <c r="EX57" s="72">
        <f t="shared" si="299"/>
        <v>-1.7002095087378279</v>
      </c>
      <c r="EY57" s="72"/>
      <c r="EZ57" s="310"/>
      <c r="FA57" s="72"/>
      <c r="FB57" s="75">
        <f>AVERAGE(FB56,FB50)</f>
        <v>3486</v>
      </c>
      <c r="FC57" s="80"/>
      <c r="FD57" s="75">
        <f>AVERAGE(FD56,FD50)</f>
        <v>3134.5</v>
      </c>
      <c r="FE57" s="72">
        <f t="shared" si="300"/>
        <v>-10.083189902467012</v>
      </c>
      <c r="FF57" s="75">
        <f>AVERAGE(FF56,FF50)</f>
        <v>2973</v>
      </c>
      <c r="FG57" s="72">
        <f t="shared" si="301"/>
        <v>-5.1523368958366547</v>
      </c>
      <c r="FH57" s="75">
        <f>AVERAGE(FH56,FH50)</f>
        <v>2950.5</v>
      </c>
      <c r="FI57" s="72">
        <f t="shared" si="302"/>
        <v>-0.75681130171544453</v>
      </c>
      <c r="FJ57" s="75">
        <f>AVERAGE(FJ56,FJ50)</f>
        <v>3185.5</v>
      </c>
      <c r="FK57" s="72">
        <f t="shared" si="303"/>
        <v>7.9647517369937333</v>
      </c>
      <c r="FL57" s="75">
        <f>AVERAGE(FL56,FL50)</f>
        <v>3455</v>
      </c>
      <c r="FM57" s="72">
        <f t="shared" si="304"/>
        <v>8.4602103280489729</v>
      </c>
      <c r="FN57" s="75">
        <f>AVERAGE(FN56,FN50)</f>
        <v>3696.5</v>
      </c>
      <c r="FO57" s="72">
        <f t="shared" si="305"/>
        <v>6.9898697539797467</v>
      </c>
      <c r="FP57" s="75">
        <f>AVERAGE(FP56,FP50)</f>
        <v>3935</v>
      </c>
      <c r="FQ57" s="72">
        <f t="shared" si="306"/>
        <v>6.4520492357635675</v>
      </c>
      <c r="FR57" s="75">
        <f>AVERAGE(FR56,FR50)</f>
        <v>3869.5</v>
      </c>
      <c r="FS57" s="72">
        <f t="shared" si="307"/>
        <v>-1.6645489199491692</v>
      </c>
      <c r="FT57" s="75">
        <f>AVERAGE(FT56,FT50)</f>
        <v>3618</v>
      </c>
      <c r="FU57" s="72">
        <f t="shared" si="308"/>
        <v>-6.4995477451867174</v>
      </c>
      <c r="FV57" s="75">
        <f>AVERAGE(FV56,FV50)</f>
        <v>3391.5</v>
      </c>
      <c r="FW57" s="72">
        <f t="shared" si="309"/>
        <v>-6.2603648424543934</v>
      </c>
      <c r="FX57" s="75">
        <f>AVERAGE(FX56,FX50)</f>
        <v>3373.5</v>
      </c>
      <c r="FY57" s="72">
        <f t="shared" si="309"/>
        <v>-0.53073861123397137</v>
      </c>
      <c r="FZ57" s="75">
        <f>AVERAGE(FZ56,FZ50)</f>
        <v>3644.5</v>
      </c>
      <c r="GA57" s="72">
        <f t="shared" si="309"/>
        <v>8.0331999407143826</v>
      </c>
      <c r="GB57" s="75">
        <f>AVERAGE(GB56,GB50)</f>
        <v>3814.5</v>
      </c>
      <c r="GC57" s="72">
        <f t="shared" si="309"/>
        <v>4.6645630401975495</v>
      </c>
      <c r="GD57" s="75">
        <f>AVERAGE(GD56,GD50)</f>
        <v>3763</v>
      </c>
      <c r="GE57" s="72">
        <f t="shared" si="309"/>
        <v>-1.350111416961596</v>
      </c>
      <c r="GF57" s="75">
        <f>AVERAGE(GF56,GF50)</f>
        <v>3703.5</v>
      </c>
      <c r="GG57" s="72">
        <f t="shared" si="309"/>
        <v>-1.5811852245548863</v>
      </c>
      <c r="GH57" s="75">
        <f>AVERAGE(GH56,GH50)</f>
        <v>3627</v>
      </c>
      <c r="GI57" s="72">
        <f t="shared" si="310"/>
        <v>-2.0656136087484782</v>
      </c>
      <c r="GJ57" s="75">
        <f>AVERAGE(GJ56,GJ50)</f>
        <v>3542.5</v>
      </c>
      <c r="GK57" s="72">
        <f t="shared" si="310"/>
        <v>-2.3297491039426603</v>
      </c>
      <c r="GL57" s="75">
        <f>AVERAGE(GL56,GL50)</f>
        <v>3496</v>
      </c>
      <c r="GM57" s="72">
        <f t="shared" si="310"/>
        <v>-1.3126323218066318</v>
      </c>
      <c r="GN57" s="75">
        <f>AVERAGE(GN56,GN50)</f>
        <v>3480.5</v>
      </c>
      <c r="GO57" s="72">
        <f t="shared" si="310"/>
        <v>-0.44336384439360188</v>
      </c>
      <c r="GP57" s="75">
        <f>AVERAGE(GP56,GP50)</f>
        <v>3445.1471578756464</v>
      </c>
      <c r="GQ57" s="72">
        <f t="shared" si="310"/>
        <v>-1.0157403282388628</v>
      </c>
      <c r="GR57" s="75">
        <f>AVERAGE(GR56,GR50)</f>
        <v>3392.3889501610365</v>
      </c>
      <c r="GS57" s="72">
        <f t="shared" si="310"/>
        <v>-1.5313774795948518</v>
      </c>
      <c r="GT57" s="75">
        <f>AVERAGE(GT56,GT50)</f>
        <v>3345.6573459857259</v>
      </c>
      <c r="GU57" s="72">
        <f t="shared" si="310"/>
        <v>-1.3775426362325618</v>
      </c>
      <c r="GV57" s="75">
        <f>AVERAGE(GV56,GV50)</f>
        <v>3305.233451457827</v>
      </c>
      <c r="GW57" s="72">
        <f t="shared" si="311"/>
        <v>-1.2082496904950943</v>
      </c>
      <c r="GX57" s="75">
        <f>AVERAGE(GX56,GX50)</f>
        <v>3271.4356315223577</v>
      </c>
      <c r="GY57" s="72">
        <f t="shared" si="312"/>
        <v>-1.0225546979310138</v>
      </c>
      <c r="GZ57" s="72">
        <f t="shared" si="313"/>
        <v>-1.2312975660839665</v>
      </c>
      <c r="HA57" s="72"/>
      <c r="HB57" s="72"/>
      <c r="HC57"/>
      <c r="HD57"/>
      <c r="HE57"/>
      <c r="HF57"/>
      <c r="HG57"/>
      <c r="HH57"/>
      <c r="HI57" s="2"/>
    </row>
    <row r="58" spans="1:217" s="3" customFormat="1" ht="12.75" customHeight="1" x14ac:dyDescent="0.2">
      <c r="B58" s="78"/>
      <c r="C58" s="73"/>
      <c r="D58" s="72"/>
      <c r="E58" s="73"/>
      <c r="F58" s="72"/>
      <c r="G58" s="73"/>
      <c r="H58" s="72"/>
      <c r="I58" s="73"/>
      <c r="J58" s="72"/>
      <c r="K58" s="73"/>
      <c r="L58" s="72"/>
      <c r="M58" s="73"/>
      <c r="N58" s="72"/>
      <c r="O58" s="73"/>
      <c r="P58" s="72"/>
      <c r="Q58" s="73"/>
      <c r="R58" s="72"/>
      <c r="S58" s="73"/>
      <c r="T58" s="72"/>
      <c r="U58" s="73"/>
      <c r="V58" s="72"/>
      <c r="W58" s="73"/>
      <c r="X58" s="72"/>
      <c r="Y58" s="73"/>
      <c r="Z58" s="72"/>
      <c r="AA58" s="73"/>
      <c r="AB58" s="72"/>
      <c r="AC58" s="73"/>
      <c r="AD58" s="72"/>
      <c r="AE58" s="73"/>
      <c r="AF58" s="72"/>
      <c r="AG58" s="73"/>
      <c r="AH58" s="72"/>
      <c r="AI58" s="73"/>
      <c r="AJ58" s="72"/>
      <c r="AK58" s="73"/>
      <c r="AL58" s="72"/>
      <c r="AM58" s="73"/>
      <c r="AN58" s="72"/>
      <c r="AO58" s="73"/>
      <c r="AP58" s="72"/>
      <c r="AQ58" s="73"/>
      <c r="AR58" s="72"/>
      <c r="AS58" s="73"/>
      <c r="AT58" s="72"/>
      <c r="AU58" s="73"/>
      <c r="AV58" s="72"/>
      <c r="AW58" s="73"/>
      <c r="AX58" s="72"/>
      <c r="AY58" s="73"/>
      <c r="AZ58" s="72"/>
      <c r="BA58" s="73"/>
      <c r="BB58" s="72"/>
      <c r="BC58" s="73"/>
      <c r="BD58" s="72"/>
      <c r="BE58" s="73"/>
      <c r="BF58" s="72"/>
      <c r="BG58" s="73"/>
      <c r="BH58" s="72"/>
      <c r="BI58" s="73"/>
      <c r="BJ58" s="72"/>
      <c r="BK58" s="73"/>
      <c r="BL58" s="72"/>
      <c r="BM58" s="73"/>
      <c r="BN58" s="72"/>
      <c r="BO58" s="73"/>
      <c r="BP58" s="72"/>
      <c r="BQ58" s="73"/>
      <c r="BR58" s="72"/>
      <c r="BS58" s="73"/>
      <c r="BT58" s="72"/>
      <c r="BU58" s="73"/>
      <c r="BV58" s="72"/>
      <c r="BW58" s="73"/>
      <c r="BX58" s="72"/>
      <c r="BY58" s="73"/>
      <c r="BZ58" s="72"/>
      <c r="CA58" s="73"/>
      <c r="CB58" s="72"/>
      <c r="CC58" s="73"/>
      <c r="CD58" s="72"/>
      <c r="CE58" s="73"/>
      <c r="CF58" s="72"/>
      <c r="CG58" s="73"/>
      <c r="CH58" s="72"/>
      <c r="CI58" s="73"/>
      <c r="CJ58" s="72"/>
      <c r="CK58" s="73"/>
      <c r="CL58" s="72"/>
      <c r="CM58" s="73"/>
      <c r="CN58" s="72"/>
      <c r="CO58" s="73"/>
      <c r="CP58" s="72"/>
      <c r="CQ58" s="73"/>
      <c r="CR58" s="72"/>
      <c r="CS58" s="73"/>
      <c r="CT58" s="72"/>
      <c r="CU58" s="73"/>
      <c r="CV58" s="72"/>
      <c r="CW58" s="73"/>
      <c r="CX58" s="72"/>
      <c r="CY58" s="73"/>
      <c r="CZ58" s="72"/>
      <c r="DA58" s="73"/>
      <c r="DB58" s="72"/>
      <c r="DC58" s="73"/>
      <c r="DD58" s="72"/>
      <c r="DE58" s="73"/>
      <c r="DF58" s="72"/>
      <c r="DG58" s="73"/>
      <c r="DH58" s="72"/>
      <c r="DI58" s="73"/>
      <c r="DJ58" s="72"/>
      <c r="DK58" s="73"/>
      <c r="DL58" s="72"/>
      <c r="DM58" s="73"/>
      <c r="DN58" s="72"/>
      <c r="DO58" s="73"/>
      <c r="DP58" s="72"/>
      <c r="DQ58" s="73"/>
      <c r="DR58" s="72"/>
      <c r="DS58" s="73"/>
      <c r="DT58" s="72"/>
      <c r="DU58" s="73"/>
      <c r="DV58" s="72"/>
      <c r="DW58" s="73"/>
      <c r="DX58" s="72"/>
      <c r="DY58" s="73"/>
      <c r="DZ58" s="72"/>
      <c r="EA58" s="73"/>
      <c r="EB58" s="72"/>
      <c r="EC58" s="73"/>
      <c r="ED58" s="72"/>
      <c r="EE58" s="73"/>
      <c r="EF58" s="72"/>
      <c r="EG58" s="73"/>
      <c r="EH58" s="72"/>
      <c r="EI58" s="73"/>
      <c r="EJ58" s="72"/>
      <c r="EK58" s="73"/>
      <c r="EL58" s="72"/>
      <c r="EM58" s="73"/>
      <c r="EN58" s="72"/>
      <c r="EO58" s="73"/>
      <c r="EP58" s="72"/>
      <c r="EQ58" s="73"/>
      <c r="ER58" s="72"/>
      <c r="ES58" s="73"/>
      <c r="ET58" s="72"/>
      <c r="EU58" s="73"/>
      <c r="EV58" s="72"/>
      <c r="EW58" s="73"/>
      <c r="EX58" s="72"/>
      <c r="EY58" s="72"/>
      <c r="EZ58" s="306"/>
      <c r="FA58" s="72"/>
      <c r="FB58" s="73"/>
      <c r="FC58" s="72"/>
      <c r="FD58" s="73"/>
      <c r="FE58" s="72"/>
      <c r="FF58" s="73"/>
      <c r="FG58" s="72"/>
      <c r="FH58" s="73"/>
      <c r="FI58" s="72"/>
      <c r="FJ58" s="73"/>
      <c r="FK58" s="72"/>
      <c r="FL58" s="73"/>
      <c r="FM58" s="72"/>
      <c r="FN58" s="73"/>
      <c r="FO58" s="72"/>
      <c r="FP58" s="73"/>
      <c r="FQ58" s="72"/>
      <c r="FR58" s="73"/>
      <c r="FS58" s="72"/>
      <c r="FT58" s="73"/>
      <c r="FU58" s="72"/>
      <c r="FV58" s="73"/>
      <c r="FW58" s="72"/>
      <c r="FX58" s="73"/>
      <c r="FY58" s="72"/>
      <c r="FZ58" s="73"/>
      <c r="GA58" s="72"/>
      <c r="GB58" s="73"/>
      <c r="GC58" s="72"/>
      <c r="GD58" s="73"/>
      <c r="GE58" s="72"/>
      <c r="GF58" s="73"/>
      <c r="GG58" s="72"/>
      <c r="GH58" s="73"/>
      <c r="GI58" s="72"/>
      <c r="GJ58" s="73"/>
      <c r="GK58" s="72"/>
      <c r="GL58" s="73"/>
      <c r="GM58" s="72"/>
      <c r="GN58" s="73"/>
      <c r="GO58" s="72"/>
      <c r="GP58" s="73"/>
      <c r="GQ58" s="72"/>
      <c r="GR58" s="73"/>
      <c r="GS58" s="72"/>
      <c r="GT58" s="73"/>
      <c r="GU58" s="72"/>
      <c r="GV58" s="73"/>
      <c r="GW58" s="72"/>
      <c r="GX58" s="73"/>
      <c r="GY58" s="72"/>
      <c r="GZ58" s="72"/>
      <c r="HA58" s="72"/>
      <c r="HB58" s="72"/>
      <c r="HC58"/>
      <c r="HD58"/>
      <c r="HE58"/>
      <c r="HF58"/>
      <c r="HG58"/>
      <c r="HH58"/>
      <c r="HI58" s="2"/>
    </row>
    <row r="59" spans="1:217" s="3" customFormat="1" ht="12.75" customHeight="1" x14ac:dyDescent="0.2">
      <c r="A59" s="3" t="s">
        <v>416</v>
      </c>
      <c r="B59" s="77" t="s">
        <v>330</v>
      </c>
      <c r="C59" s="75">
        <f>C51+C52</f>
        <v>-32</v>
      </c>
      <c r="D59" s="72"/>
      <c r="E59" s="75">
        <f>E51+E52</f>
        <v>-61</v>
      </c>
      <c r="F59" s="72"/>
      <c r="G59" s="75">
        <f>G51+G52</f>
        <v>-16</v>
      </c>
      <c r="H59" s="72"/>
      <c r="I59" s="75">
        <f>I51+I52</f>
        <v>-31</v>
      </c>
      <c r="J59" s="72"/>
      <c r="K59" s="75">
        <f>K51+K52</f>
        <v>-39</v>
      </c>
      <c r="L59" s="72">
        <f>IF(ISERROR(K59/C59),"NA",IF(OR(K59/C59&gt;2,K59/C59&lt;0.5),"NM",K59/C59*100-100))</f>
        <v>21.875</v>
      </c>
      <c r="M59" s="75">
        <f>M51+M52</f>
        <v>-28</v>
      </c>
      <c r="N59" s="72" t="str">
        <f>IF(ISERROR(M59/E59),"NA",IF(OR(M59/E59&gt;2,M59/E59&lt;0.5),"NM",M59/E59*100-100))</f>
        <v>NM</v>
      </c>
      <c r="O59" s="75">
        <f>O51+O52</f>
        <v>-16</v>
      </c>
      <c r="P59" s="72">
        <f>IF(ISERROR(O59/G59),"NA",IF(OR(O59/G59&gt;2,O59/G59&lt;0.5),"NM",O59/G59*100-100))</f>
        <v>0</v>
      </c>
      <c r="Q59" s="75">
        <f>Q51+Q52</f>
        <v>-13</v>
      </c>
      <c r="R59" s="72" t="str">
        <f>IF(ISERROR(Q59/I59),"NA",IF(OR(Q59/I59&gt;2,Q59/I59&lt;0.5),"NM",Q59/I59*100-100))</f>
        <v>NM</v>
      </c>
      <c r="S59" s="75">
        <f>S51+S52</f>
        <v>-5</v>
      </c>
      <c r="T59" s="72" t="str">
        <f>IF(ISERROR(S59/K59),"NA",IF(OR(S59/K59&gt;2,S59/K59&lt;0.5),"NM",S59/K59*100-100))</f>
        <v>NM</v>
      </c>
      <c r="U59" s="75">
        <f>U51+U52</f>
        <v>145</v>
      </c>
      <c r="V59" s="72" t="str">
        <f>IF(ISERROR(U59/M59),"NA",IF(OR(U59/M59&gt;2,U59/M59&lt;0.5),"NM",U59/M59*100-100))</f>
        <v>NM</v>
      </c>
      <c r="W59" s="75">
        <f>W51+W52</f>
        <v>193</v>
      </c>
      <c r="X59" s="72" t="str">
        <f>IF(ISERROR(W59/O59),"NA",IF(OR(W59/O59&gt;2,W59/O59&lt;0.5),"NM",W59/O59*100-100))</f>
        <v>NM</v>
      </c>
      <c r="Y59" s="75">
        <f>Y51+Y52</f>
        <v>129</v>
      </c>
      <c r="Z59" s="72" t="str">
        <f>IF(ISERROR(Y59/Q59),"NA",IF(OR(Y59/Q59&gt;2,Y59/Q59&lt;0.5),"NM",Y59/Q59*100-100))</f>
        <v>NM</v>
      </c>
      <c r="AA59" s="75">
        <f>AA51+AA52</f>
        <v>76</v>
      </c>
      <c r="AB59" s="72" t="str">
        <f>IF(ISERROR(AA59/S59),"NA",IF(OR(AA59/S59&gt;2,AA59/S59&lt;0.5),"NM",AA59/S59*100-100))</f>
        <v>NM</v>
      </c>
      <c r="AC59" s="75">
        <f>AC51+AC52</f>
        <v>25</v>
      </c>
      <c r="AD59" s="72" t="str">
        <f>IF(ISERROR(AC59/U59),"NA",IF(OR(AC59/U59&gt;2,AC59/U59&lt;0.5),"NM",AC59/U59*100-100))</f>
        <v>NM</v>
      </c>
      <c r="AE59" s="75">
        <f>AE51+AE52</f>
        <v>14</v>
      </c>
      <c r="AF59" s="72" t="str">
        <f>IF(ISERROR(AE59/W59),"NA",IF(OR(AE59/W59&gt;2,AE59/W59&lt;0.5),"NM",AE59/W59*100-100))</f>
        <v>NM</v>
      </c>
      <c r="AG59" s="75">
        <f>AG51+AG52</f>
        <v>-9</v>
      </c>
      <c r="AH59" s="72" t="str">
        <f>IF(ISERROR(AG59/Y59),"NA",IF(OR(AG59/Y59&gt;2,AG59/Y59&lt;0.5),"NM",AG59/Y59*100-100))</f>
        <v>NM</v>
      </c>
      <c r="AI59" s="75">
        <f>AI51+AI52</f>
        <v>41</v>
      </c>
      <c r="AJ59" s="72">
        <f>IF(ISERROR(AI59/AA59),"NA",IF(OR(AI59/AA59&gt;2,AI59/AA59&lt;0.5),"NM",AI59/AA59*100-100))</f>
        <v>-46.05263157894737</v>
      </c>
      <c r="AK59" s="75">
        <f>AK51+AK52</f>
        <v>145</v>
      </c>
      <c r="AL59" s="72" t="str">
        <f>IF(ISERROR(AK59/AC59),"NA",IF(OR(AK59/AC59&gt;2,AK59/AC59&lt;0.5),"NM",AK59/AC59*100-100))</f>
        <v>NM</v>
      </c>
      <c r="AM59" s="75">
        <f>AM51+AM52</f>
        <v>131</v>
      </c>
      <c r="AN59" s="72" t="str">
        <f>IF(ISERROR(AM59/AE59),"NA",IF(OR(AM59/AE59&gt;2,AM59/AE59&lt;0.5),"NM",AM59/AE59*100-100))</f>
        <v>NM</v>
      </c>
      <c r="AO59" s="75">
        <f>AO51+AO52</f>
        <v>24</v>
      </c>
      <c r="AP59" s="72" t="str">
        <f>IF(ISERROR(AO59/AG59),"NA",IF(OR(AO59/AG59&gt;2,AO59/AG59&lt;0.5),"NM",AO59/AG59*100-100))</f>
        <v>NM</v>
      </c>
      <c r="AQ59" s="75">
        <f>AQ51+AQ52</f>
        <v>-4</v>
      </c>
      <c r="AR59" s="72" t="str">
        <f>IF(ISERROR(AQ59/AI59),"NA",IF(OR(AQ59/AI59&gt;2,AQ59/AI59&lt;0.5),"NM",AQ59/AI59*100-100))</f>
        <v>NM</v>
      </c>
      <c r="AS59" s="75">
        <f>AS51+AS52</f>
        <v>190</v>
      </c>
      <c r="AT59" s="72">
        <f>IF(ISERROR(AS59/AK59),"NA",IF(OR(AS59/AK59&gt;2,AS59/AK59&lt;0.5),"NM",AS59/AK59*100-100))</f>
        <v>31.034482758620697</v>
      </c>
      <c r="AU59" s="75">
        <f>AU51+AU52</f>
        <v>-17</v>
      </c>
      <c r="AV59" s="72" t="str">
        <f>IF(ISERROR(AU59/AM59),"NA",IF(OR(AU59/AM59&gt;2,AU59/AM59&lt;0.5),"NM",AU59/AM59*100-100))</f>
        <v>NM</v>
      </c>
      <c r="AW59" s="75">
        <f>AW51+AW52</f>
        <v>-39</v>
      </c>
      <c r="AX59" s="72" t="str">
        <f>IF(ISERROR(AW59/AO59),"NA",IF(OR(AW59/AO59&gt;2,AW59/AO59&lt;0.5),"NM",AW59/AO59*100-100))</f>
        <v>NM</v>
      </c>
      <c r="AY59" s="75">
        <f>AY51+AY52</f>
        <v>-41</v>
      </c>
      <c r="AZ59" s="72" t="str">
        <f>IF(ISERROR(AY59/AQ59),"NA",IF(OR(AY59/AQ59&gt;2,AY59/AQ59&lt;0.5),"NM",AY59/AQ59*100-100))</f>
        <v>NM</v>
      </c>
      <c r="BA59" s="75">
        <f>BA51+BA52</f>
        <v>-60</v>
      </c>
      <c r="BB59" s="72" t="str">
        <f>IF(ISERROR(BA59/AS59),"NA",IF(OR(BA59/AS59&gt;2,BA59/AS59&lt;0.5),"NM",BA59/AS59*100-100))</f>
        <v>NM</v>
      </c>
      <c r="BC59" s="75">
        <f>BC51+BC52</f>
        <v>-42</v>
      </c>
      <c r="BD59" s="72" t="str">
        <f>IF(ISERROR(BC59/AU59),"NA",IF(OR(BC59/AU59&gt;2,BC59/AU59&lt;0.5),"NM",BC59/AU59*100-100))</f>
        <v>NM</v>
      </c>
      <c r="BE59" s="75">
        <f>BE51+BE52</f>
        <v>-51</v>
      </c>
      <c r="BF59" s="72">
        <f>IF(ISERROR(BE59/AW59),"NA",IF(OR(BE59/AW59&gt;2,BE59/AW59&lt;0.5),"NM",BE59/AW59*100-100))</f>
        <v>30.769230769230774</v>
      </c>
      <c r="BG59" s="75">
        <f>BG51+BG52</f>
        <v>-60</v>
      </c>
      <c r="BH59" s="72">
        <f>IF(ISERROR(BG59/AY59),"NA",IF(OR(BG59/AY59&gt;2,BG59/AY59&lt;0.5),"NM",BG59/AY59*100-100))</f>
        <v>46.341463414634148</v>
      </c>
      <c r="BI59" s="75">
        <f>BI51+BI52</f>
        <v>-54</v>
      </c>
      <c r="BJ59" s="72">
        <f>IF(ISERROR(BI59/BA59),"NA",IF(OR(BI59/BA59&gt;2,BI59/BA59&lt;0.5),"NM",BI59/BA59*100-100))</f>
        <v>-10</v>
      </c>
      <c r="BK59" s="75">
        <f>BK51+BK52</f>
        <v>-53</v>
      </c>
      <c r="BL59" s="72">
        <f>IF(ISERROR(BK59/BC59),"NA",IF(OR(BK59/BC59&gt;2,BK59/BC59&lt;0.5),"NM",BK59/BC59*100-100))</f>
        <v>26.19047619047619</v>
      </c>
      <c r="BM59" s="75">
        <f>BM51+BM52</f>
        <v>-46</v>
      </c>
      <c r="BN59" s="72">
        <f>IF(ISERROR(BM59/BE59),"NA",IF(OR(BM59/BE59&gt;2,BM59/BE59&lt;0.5),"NM",BM59/BE59*100-100))</f>
        <v>-9.8039215686274446</v>
      </c>
      <c r="BO59" s="75">
        <f>BO51+BO52</f>
        <v>-36</v>
      </c>
      <c r="BP59" s="72">
        <f>IF(ISERROR(BO59/BG59),"NA",IF(OR(BO59/BG59&gt;2,BO59/BG59&lt;0.5),"NM",BO59/BG59*100-100))</f>
        <v>-40</v>
      </c>
      <c r="BQ59" s="75">
        <f>BQ51+BQ52</f>
        <v>-37</v>
      </c>
      <c r="BR59" s="72">
        <f>IF(ISERROR(BQ59/BI59),"NA",IF(OR(BQ59/BI59&gt;2,BQ59/BI59&lt;0.5),"NM",BQ59/BI59*100-100))</f>
        <v>-31.481481481481481</v>
      </c>
      <c r="BS59" s="75">
        <f>BS51+BS52</f>
        <v>-38</v>
      </c>
      <c r="BT59" s="72">
        <f>IF(ISERROR(BS59/BK59),"NA",IF(OR(BS59/BK59&gt;2,BS59/BK59&lt;0.5),"NM",BS59/BK59*100-100))</f>
        <v>-28.301886792452834</v>
      </c>
      <c r="BU59" s="75">
        <f>BU51+BU52</f>
        <v>-44</v>
      </c>
      <c r="BV59" s="72">
        <f>IF(ISERROR(BU59/BM59),"NA",IF(OR(BU59/BM59&gt;2,BU59/BM59&lt;0.5),"NM",BU59/BM59*100-100))</f>
        <v>-4.3478260869565162</v>
      </c>
      <c r="BW59" s="75">
        <f>BW51+BW52</f>
        <v>-22</v>
      </c>
      <c r="BX59" s="72">
        <f>IF(ISERROR(BW59/BO59),"NA",IF(OR(BW59/BO59&gt;2,BW59/BO59&lt;0.5),"NM",BW59/BO59*100-100))</f>
        <v>-38.888888888888886</v>
      </c>
      <c r="BY59" s="75">
        <f>BY51+BY52</f>
        <v>-34</v>
      </c>
      <c r="BZ59" s="72">
        <f>IF(ISERROR(BY59/BQ59),"NA",IF(OR(BY59/BQ59&gt;2,BY59/BQ59&lt;0.5),"NM",BY59/BQ59*100-100))</f>
        <v>-8.1081081081080981</v>
      </c>
      <c r="CA59" s="75">
        <f>CA51+CA52</f>
        <v>-3</v>
      </c>
      <c r="CB59" s="72" t="str">
        <f>IF(ISERROR(CA59/BS59),"NA",IF(OR(CA59/BS59&gt;2,CA59/BS59&lt;0.5),"NM",CA59/BS59*100-100))</f>
        <v>NM</v>
      </c>
      <c r="CC59" s="75">
        <f>CC51+CC52</f>
        <v>-20</v>
      </c>
      <c r="CD59" s="72" t="str">
        <f>IF(ISERROR(CC59/BU59),"NA",IF(OR(CC59/BU59&gt;2,CC59/BU59&lt;0.5),"NM",CC59/BU59*100-100))</f>
        <v>NM</v>
      </c>
      <c r="CE59" s="75">
        <f>CE51+CE52</f>
        <v>-18</v>
      </c>
      <c r="CF59" s="72">
        <f>IF(ISERROR(CE59/BW59),"NA",IF(OR(CE59/BW59&gt;2,CE59/BW59&lt;0.5),"NM",CE59/BW59*100-100))</f>
        <v>-18.181818181818173</v>
      </c>
      <c r="CG59" s="75">
        <f>CG51+CG52</f>
        <v>-46</v>
      </c>
      <c r="CH59" s="72">
        <f>IF(ISERROR(CG59/BY59),"NA",IF(OR(CG59/BY59&gt;2,CG59/BY59&lt;0.5),"NM",CG59/BY59*100-100))</f>
        <v>35.29411764705884</v>
      </c>
      <c r="CI59" s="75">
        <f>CI51+CI52</f>
        <v>-15</v>
      </c>
      <c r="CJ59" s="72" t="str">
        <f>IF(ISERROR(CI59/CA59),"NA",IF(OR(CI59/CA59&gt;2,CI59/CA59&lt;0.5),"NM",CI59/CA59*100-100))</f>
        <v>NM</v>
      </c>
      <c r="CK59" s="75">
        <f>CK51+CK52</f>
        <v>-33</v>
      </c>
      <c r="CL59" s="72">
        <f>IF(ISERROR(CK59/CC59),"NA",IF(OR(CK59/CC59&gt;2,CK59/CC59&lt;0.5),"NM",CK59/CC59*100-100))</f>
        <v>65</v>
      </c>
      <c r="CM59" s="75">
        <f>CM51+CM52</f>
        <v>-30</v>
      </c>
      <c r="CN59" s="72">
        <f>IF(ISERROR(CM59/CE59),"NA",IF(OR(CM59/CE59&gt;2,CM59/CE59&lt;0.5),"NM",CM59/CE59*100-100))</f>
        <v>66.666666666666686</v>
      </c>
      <c r="CO59" s="75">
        <f>CO51+CO52</f>
        <v>-25</v>
      </c>
      <c r="CP59" s="72">
        <f>IF(ISERROR(CO59/CG59),"NA",IF(OR(CO59/CG59&gt;2,CO59/CG59&lt;0.5),"NM",CO59/CG59*100-100))</f>
        <v>-45.652173913043484</v>
      </c>
      <c r="CQ59" s="75">
        <f>CQ51+CQ52</f>
        <v>-31</v>
      </c>
      <c r="CR59" s="72" t="str">
        <f>IF(ISERROR(CQ59/CI59),"NA",IF(OR(CQ59/CI59&gt;2,CQ59/CI59&lt;0.5),"NM",CQ59/CI59*100-100))</f>
        <v>NM</v>
      </c>
      <c r="CS59" s="75">
        <f>CS51+CS52</f>
        <v>-28</v>
      </c>
      <c r="CT59" s="72">
        <f>IF(ISERROR(CS59/CK59),"NA",IF(OR(CS59/CK59&gt;2,CS59/CK59&lt;0.5),"NM",CS59/CK59*100-100))</f>
        <v>-15.151515151515156</v>
      </c>
      <c r="CU59" s="75">
        <f>CU51+CU52</f>
        <v>-27</v>
      </c>
      <c r="CV59" s="72">
        <f>IF(ISERROR(CU59/CM59),"NA",IF(OR(CU59/CM59&gt;2,CU59/CM59&lt;0.5),"NM",CU59/CM59*100-100))</f>
        <v>-10</v>
      </c>
      <c r="CW59" s="75">
        <f>CW51+CW52</f>
        <v>-20</v>
      </c>
      <c r="CX59" s="72">
        <f>IF(ISERROR(CW59/CO59),"NA",IF(OR(CW59/CO59&gt;2,CW59/CO59&lt;0.5),"NM",CW59/CO59*100-100))</f>
        <v>-20</v>
      </c>
      <c r="CY59" s="75">
        <f>CY51+CY52</f>
        <v>-21</v>
      </c>
      <c r="CZ59" s="72">
        <f>IF(ISERROR(CY59/CQ59),"NA",IF(OR(CY59/CQ59&gt;2,CY59/CQ59&lt;0.5),"NM",CY59/CQ59*100-100))</f>
        <v>-32.258064516129039</v>
      </c>
      <c r="DA59" s="75">
        <f>DA51+DA52</f>
        <v>-37</v>
      </c>
      <c r="DB59" s="72">
        <f>IF(ISERROR(DA59/CS59),"NA",IF(OR(DA59/CS59&gt;2,DA59/CS59&lt;0.5),"NM",DA59/CS59*100-100))</f>
        <v>32.142857142857139</v>
      </c>
      <c r="DC59" s="75">
        <f>DC51+DC52</f>
        <v>-25</v>
      </c>
      <c r="DD59" s="72">
        <f>IF(ISERROR(DC59/CU59),"NA",IF(OR(DC59/CU59&gt;2,DC59/CU59&lt;0.5),"NM",DC59/CU59*100-100))</f>
        <v>-7.4074074074074048</v>
      </c>
      <c r="DE59" s="75">
        <f>DE51+DE52</f>
        <v>-24</v>
      </c>
      <c r="DF59" s="72">
        <f>IF(ISERROR(DE59/CW59),"NA",IF(OR(DE59/CW59&gt;2,DE59/CW59&lt;0.5),"NM",DE59/CW59*100-100))</f>
        <v>20</v>
      </c>
      <c r="DG59" s="75">
        <f>DG51+DG52</f>
        <v>-24</v>
      </c>
      <c r="DH59" s="72">
        <f>IF(ISERROR(DG59/CY59),"NA",IF(OR(DG59/CY59&gt;2,DG59/CY59&lt;0.5),"NM",DG59/CY59*100-100))</f>
        <v>14.285714285714278</v>
      </c>
      <c r="DI59" s="75">
        <f>DI51+DI52</f>
        <v>-21</v>
      </c>
      <c r="DJ59" s="72">
        <f>IF(ISERROR(DI59/DA59),"NA",IF(OR(DI59/DA59&gt;2,DI59/DA59&lt;0.5),"NM",DI59/DA59*100-100))</f>
        <v>-43.243243243243242</v>
      </c>
      <c r="DK59" s="75">
        <f>DK51+DK52</f>
        <v>-18</v>
      </c>
      <c r="DL59" s="72">
        <f>IF(ISERROR(DK59/DC59),"NA",IF(OR(DK59/DC59&gt;2,DK59/DC59&lt;0.5),"NM",DK59/DC59*100-100))</f>
        <v>-28</v>
      </c>
      <c r="DM59" s="75">
        <f>DM51+DM52</f>
        <v>-21</v>
      </c>
      <c r="DN59" s="72">
        <f t="shared" ref="DN59:DZ62" si="341">IF(ISERROR(DM59/DE59),"NA",IF(OR(DM59/DE59&gt;2,DM59/DE59&lt;0.5),"NM",DM59/DE59*100-100))</f>
        <v>-12.5</v>
      </c>
      <c r="DO59" s="75">
        <f>DO51+DO52</f>
        <v>-17</v>
      </c>
      <c r="DP59" s="72">
        <f t="shared" si="341"/>
        <v>-29.166666666666657</v>
      </c>
      <c r="DQ59" s="75">
        <f>DQ51+DQ52</f>
        <v>-31</v>
      </c>
      <c r="DR59" s="72">
        <f t="shared" si="341"/>
        <v>47.61904761904762</v>
      </c>
      <c r="DS59" s="75">
        <f>DS51+DS52</f>
        <v>-17</v>
      </c>
      <c r="DT59" s="72">
        <f t="shared" si="341"/>
        <v>-5.5555555555555571</v>
      </c>
      <c r="DU59" s="75">
        <f>DU51+DU52</f>
        <v>-18</v>
      </c>
      <c r="DV59" s="72">
        <f t="shared" si="341"/>
        <v>-14.285714285714292</v>
      </c>
      <c r="DW59" s="75">
        <f>DW51+DW52</f>
        <v>-22</v>
      </c>
      <c r="DX59" s="72">
        <f t="shared" si="341"/>
        <v>29.411764705882348</v>
      </c>
      <c r="DY59" s="75">
        <f>DY51+DY52</f>
        <v>-19</v>
      </c>
      <c r="DZ59" s="72">
        <f t="shared" si="341"/>
        <v>-38.70967741935484</v>
      </c>
      <c r="EA59" s="75">
        <f>EA51+EA52</f>
        <v>-15</v>
      </c>
      <c r="EB59" s="72">
        <f>IF(ISERROR(EA59/DS59),"NA",IF(OR(EA59/DS59&gt;2,EA59/DS59&lt;0.5),"NM",EA59/DS59*100-100))</f>
        <v>-11.764705882352942</v>
      </c>
      <c r="EC59" s="75">
        <f>EC51+EC52</f>
        <v>-12</v>
      </c>
      <c r="ED59" s="72">
        <f>IF(ISERROR(EC59/DU59),"NA",IF(OR(EC59/DU59&gt;2,EC59/DU59&lt;0.5),"NM",EC59/DU59*100-100))</f>
        <v>-33.333333333333343</v>
      </c>
      <c r="EE59" s="75">
        <f>EE51+EE52</f>
        <v>-9</v>
      </c>
      <c r="EF59" s="72" t="str">
        <f>IF(ISERROR(EE59/DW59),"NA",IF(OR(EE59/DW59&gt;2,EE59/DW59&lt;0.5),"NM",EE59/DW59*100-100))</f>
        <v>NM</v>
      </c>
      <c r="EG59" s="75">
        <f>EG51+EG52</f>
        <v>-9</v>
      </c>
      <c r="EH59" s="72" t="str">
        <f>IF(ISERROR(EG59/DY59),"NA",IF(OR(EG59/DY59&gt;2,EG59/DY59&lt;0.5),"NM",EG59/DY59*100-100))</f>
        <v>NM</v>
      </c>
      <c r="EI59" s="75">
        <f>EI51+EI52</f>
        <v>-15</v>
      </c>
      <c r="EJ59" s="72">
        <f>IF(ISERROR(EI59/EA59),"NA",IF(OR(EI59/EA59&gt;2,EI59/EA59&lt;0.5),"NM",EI59/EA59*100-100))</f>
        <v>0</v>
      </c>
      <c r="EK59" s="75">
        <f>EK51+EK52</f>
        <v>-11</v>
      </c>
      <c r="EL59" s="72">
        <f>IF(ISERROR(EK59/EC59),"NA",IF(OR(EK59/EC59&gt;2,EK59/EC59&lt;0.5),"NM",EK59/EC59*100-100))</f>
        <v>-8.3333333333333428</v>
      </c>
      <c r="EM59" s="75">
        <f>EM51+EM52</f>
        <v>-10</v>
      </c>
      <c r="EN59" s="72">
        <f>IF(ISERROR(EM59/EE59),"NA",IF(OR(EM59/EE59&gt;2,EM59/EE59&lt;0.5),"NM",EM59/EE59*100-100))</f>
        <v>11.111111111111114</v>
      </c>
      <c r="EO59" s="75">
        <f>EO51+EO52</f>
        <v>-26</v>
      </c>
      <c r="EP59" s="72" t="str">
        <f>IF(ISERROR(EO59/EG59),"NA",IF(OR(EO59/EG59&gt;2,EO59/EG59&lt;0.5),"NM",EO59/EG59*100-100))</f>
        <v>NM</v>
      </c>
      <c r="EQ59" s="75">
        <f t="shared" ref="EQ59" si="342">EQ51+EQ52</f>
        <v>-20.822502147151443</v>
      </c>
      <c r="ER59" s="72">
        <f t="shared" ref="ER59:ER62" si="343">IF(ISERROR(EQ59/EI59),"NA",IF(OR(EQ59/EI59&gt;2,EQ59/EI59&lt;0.5),"NM",EQ59/EI59*100-100))</f>
        <v>38.816680981009597</v>
      </c>
      <c r="ES59" s="75">
        <f t="shared" ref="ES59" si="344">ES51+ES52</f>
        <v>-20.190649140086233</v>
      </c>
      <c r="ET59" s="72">
        <f t="shared" ref="ET59:ET62" si="345">IF(ISERROR(ES59/EK59),"NA",IF(OR(ES59/EK59&gt;2,ES59/EK59&lt;0.5),"NM",ES59/EK59*100-100))</f>
        <v>83.55135581896576</v>
      </c>
      <c r="EU59" s="75">
        <f t="shared" ref="EU59" si="346">EU51+EU52</f>
        <v>-19.539177273924722</v>
      </c>
      <c r="EV59" s="72">
        <f t="shared" ref="EV59:EV62" si="347">IF(ISERROR(EU59/EM59),"NA",IF(OR(EU59/EM59&gt;2,EU59/EM59&lt;0.5),"NM",EU59/EM59*100-100))</f>
        <v>95.391772739247216</v>
      </c>
      <c r="EW59" s="75">
        <f t="shared" ref="EW59" si="348">EW51+EW52</f>
        <v>-18.867019907234734</v>
      </c>
      <c r="EX59" s="72">
        <f t="shared" ref="EX59:EX62" si="349">IF(ISERROR(EW59/EO59),"NA",IF(OR(EW59/EO59&gt;2,EW59/EO59&lt;0.5),"NM",EW59/EO59*100-100))</f>
        <v>-27.434538818327951</v>
      </c>
      <c r="EY59" s="72"/>
      <c r="EZ59" s="306"/>
      <c r="FA59" s="72"/>
      <c r="FB59" s="75">
        <f>FB51+FB52</f>
        <v>-519</v>
      </c>
      <c r="FC59" s="72"/>
      <c r="FD59" s="75">
        <f>FD51+FD52</f>
        <v>-265</v>
      </c>
      <c r="FE59" s="72">
        <f>IF(ISERROR(FD59/FB59),"NA",IF(OR(FD59/FB59&gt;2,FD59/FB59&lt;0.5),"NM",FD59/FB59*100-100))</f>
        <v>-48.940269749518308</v>
      </c>
      <c r="FF59" s="75">
        <f>FF51+FF52</f>
        <v>-140</v>
      </c>
      <c r="FG59" s="72">
        <f>IF(ISERROR(FF59/FD59),"NA",IF(OR(FF59/FD59&gt;2,FF59/FD59&lt;0.5),"NM",FF59/FD59*100-100))</f>
        <v>-47.169811320754718</v>
      </c>
      <c r="FH59" s="75">
        <f>FH51+FH52</f>
        <v>-96</v>
      </c>
      <c r="FI59" s="72">
        <f>IF(ISERROR(FH59/FF59),"NA",IF(OR(FH59/FF59&gt;2,FH59/FF59&lt;0.5),"NM",FH59/FF59*100-100))</f>
        <v>-31.428571428571431</v>
      </c>
      <c r="FJ59" s="75">
        <f>FJ51+FJ52</f>
        <v>462</v>
      </c>
      <c r="FK59" s="72" t="str">
        <f>IF(ISERROR(FJ59/FH59),"NA",IF(OR(FJ59/FH59&gt;2,FJ59/FH59&lt;0.5),"NM",FJ59/FH59*100-100))</f>
        <v>NM</v>
      </c>
      <c r="FL59" s="75">
        <f>FL51+FL52</f>
        <v>106</v>
      </c>
      <c r="FM59" s="72" t="str">
        <f>IF(ISERROR(FL59/FJ59),"NA",IF(OR(FL59/FJ59&gt;2,FL59/FJ59&lt;0.5),"NM",FL59/FJ59*100-100))</f>
        <v>NM</v>
      </c>
      <c r="FN59" s="75">
        <f>FN51+FN52</f>
        <v>341</v>
      </c>
      <c r="FO59" s="72" t="str">
        <f>IF(ISERROR(FN59/FL59),"NA",IF(OR(FN59/FL59&gt;2,FN59/FL59&lt;0.5),"NM",FN59/FL59*100-100))</f>
        <v>NM</v>
      </c>
      <c r="FP59" s="75">
        <f>FP51+FP52</f>
        <v>130</v>
      </c>
      <c r="FQ59" s="72" t="str">
        <f>IF(ISERROR(FP59/FN59),"NA",IF(OR(FP59/FN59&gt;2,FP59/FN59&lt;0.5),"NM",FP59/FN59*100-100))</f>
        <v>NM</v>
      </c>
      <c r="FR59" s="75">
        <f>FR51+FR52</f>
        <v>-194</v>
      </c>
      <c r="FS59" s="72" t="str">
        <f>IF(ISERROR(FR59/FP59),"NA",IF(OR(FR59/FP59&gt;2,FR59/FP59&lt;0.5),"NM",FR59/FP59*100-100))</f>
        <v>NM</v>
      </c>
      <c r="FT59" s="75">
        <f>FT51+FT52</f>
        <v>-213</v>
      </c>
      <c r="FU59" s="72">
        <f>IF(ISERROR(FT59/FR59),"NA",IF(OR(FT59/FR59&gt;2,FT59/FR59&lt;0.5),"NM",FT59/FR59*100-100))</f>
        <v>9.7938144329897057</v>
      </c>
      <c r="FV59" s="75">
        <f>FV51+FV52</f>
        <v>-155</v>
      </c>
      <c r="FW59" s="72">
        <f>IF(ISERROR(FV59/FT59),"NA",IF(OR(FV59/FT59&gt;2,FV59/FT59&lt;0.5),"NM",FV59/FT59*100-100))</f>
        <v>-27.230046948356815</v>
      </c>
      <c r="FX59" s="75">
        <f>FX51+FX52</f>
        <v>-79</v>
      </c>
      <c r="FY59" s="72">
        <f>IF(ISERROR(FX59/FV59),"NA",IF(OR(FX59/FV59&gt;2,FX59/FV59&lt;0.5),"NM",FX59/FV59*100-100))</f>
        <v>-49.032258064516135</v>
      </c>
      <c r="FZ59" s="75">
        <f>FZ51+FZ52</f>
        <v>-112</v>
      </c>
      <c r="GA59" s="72">
        <f>IF(ISERROR(FZ59/FX59),"NA",IF(OR(FZ59/FX59&gt;2,FZ59/FX59&lt;0.5),"NM",FZ59/FX59*100-100))</f>
        <v>41.772151898734165</v>
      </c>
      <c r="GB59" s="75">
        <f>GB51+GB52</f>
        <v>-114</v>
      </c>
      <c r="GC59" s="72">
        <f>IF(ISERROR(GB59/FZ59),"NA",IF(OR(GB59/FZ59&gt;2,GB59/FZ59&lt;0.5),"NM",GB59/FZ59*100-100))</f>
        <v>1.7857142857142776</v>
      </c>
      <c r="GD59" s="75">
        <f>GD51+GD52</f>
        <v>-105</v>
      </c>
      <c r="GE59" s="72">
        <f>IF(ISERROR(GD59/GB59),"NA",IF(OR(GD59/GB59&gt;2,GD59/GB59&lt;0.5),"NM",GD59/GB59*100-100))</f>
        <v>-7.8947368421052602</v>
      </c>
      <c r="GF59" s="75">
        <f>GF51+GF52</f>
        <v>-94</v>
      </c>
      <c r="GG59" s="72">
        <f>IF(ISERROR(GF59/GD59),"NA",IF(OR(GF59/GD59&gt;2,GF59/GD59&lt;0.5),"NM",GF59/GD59*100-100))</f>
        <v>-10.476190476190467</v>
      </c>
      <c r="GH59" s="75">
        <f>GH51+GH52</f>
        <v>-87</v>
      </c>
      <c r="GI59" s="72">
        <f t="shared" ref="GI59:GU62" si="350">IF(ISERROR(GH59/GF59),"NA",IF(OR(GH59/GF59&gt;2,GH59/GF59&lt;0.5),"NM",GH59/GF59*100-100))</f>
        <v>-7.4468085106383057</v>
      </c>
      <c r="GJ59" s="75">
        <f>GJ51+GJ52</f>
        <v>-76</v>
      </c>
      <c r="GK59" s="72">
        <f t="shared" si="350"/>
        <v>-12.643678160919535</v>
      </c>
      <c r="GL59" s="75">
        <f>GL51+GL52</f>
        <v>-45</v>
      </c>
      <c r="GM59" s="72">
        <f t="shared" si="350"/>
        <v>-40.789473684210535</v>
      </c>
      <c r="GN59" s="75">
        <f>GN51+GN52</f>
        <v>-62</v>
      </c>
      <c r="GO59" s="72">
        <f t="shared" si="350"/>
        <v>37.777777777777771</v>
      </c>
      <c r="GP59" s="75">
        <f>GP51+GP52</f>
        <v>-79.419348468397146</v>
      </c>
      <c r="GQ59" s="72">
        <f t="shared" si="350"/>
        <v>28.095723336124422</v>
      </c>
      <c r="GR59" s="75">
        <f>GR51+GR52</f>
        <v>-73.144036663835323</v>
      </c>
      <c r="GS59" s="72">
        <f t="shared" si="350"/>
        <v>-7.901489908418128</v>
      </c>
      <c r="GT59" s="75">
        <f>GT51+GT52</f>
        <v>-66.645674690934413</v>
      </c>
      <c r="GU59" s="72">
        <f t="shared" si="350"/>
        <v>-8.8843359886834179</v>
      </c>
      <c r="GV59" s="75">
        <f>GV51+GV52</f>
        <v>-59.890450038253789</v>
      </c>
      <c r="GW59" s="72">
        <f>IF(ISERROR(GV59/GT59),"NA",IF(OR(GV59/GT59&gt;2,GV59/GT59&lt;0.5),"NM",GV59/GT59*100-100))</f>
        <v>-10.136028608019359</v>
      </c>
      <c r="GX59" s="75">
        <f>GX51+GX52</f>
        <v>-52.841496331709507</v>
      </c>
      <c r="GY59" s="72">
        <f>IF(ISERROR(GX59/GV59),"NA",IF(OR(GX59/GV59&gt;2,GX59/GV59&lt;0.5),"NM",GX59/GV59*100-100))</f>
        <v>-11.769745764211009</v>
      </c>
      <c r="GZ59" s="72">
        <f>IF(ISERROR(((GX59/GN59)^0.2-1)*100),"NA",IF((((GX59/GN59)^0.2-1)*100)&gt;100,"NM",IF((((GX59/GN59)^0.2-1)*100)&lt;-50,"NM",((GX59/GN59)^0.2-1)*100)))</f>
        <v>-3.146195791986095</v>
      </c>
      <c r="HA59" s="72"/>
      <c r="HB59" s="72"/>
      <c r="HC59"/>
      <c r="HD59"/>
      <c r="HE59"/>
      <c r="HF59"/>
      <c r="HG59"/>
      <c r="HH59"/>
      <c r="HI59" s="2"/>
    </row>
    <row r="60" spans="1:217" s="3" customFormat="1" ht="12.75" customHeight="1" x14ac:dyDescent="0.2">
      <c r="B60" s="10" t="s">
        <v>298</v>
      </c>
      <c r="C60" s="73">
        <f>-C52/C$50*400</f>
        <v>14.701986754966887</v>
      </c>
      <c r="D60" s="72"/>
      <c r="E60" s="73">
        <f>-E52/E$50*400</f>
        <v>16.594178655068585</v>
      </c>
      <c r="F60" s="72"/>
      <c r="G60" s="73">
        <f>-G52/G$50*400</f>
        <v>8.828522920203735</v>
      </c>
      <c r="H60" s="72"/>
      <c r="I60" s="73">
        <f>-I52/I$50*400</f>
        <v>8.2936777702243383</v>
      </c>
      <c r="J60" s="72"/>
      <c r="K60" s="73">
        <f>-K52/K$50*400</f>
        <v>9.4326725905673268</v>
      </c>
      <c r="L60" s="72">
        <f>IF(ISERROR(K60/C60),"NA",IF(OR(K60/C60&gt;2,K60/C60&lt;0.5),"NM",K60/C60*100-100))</f>
        <v>-35.840830577672691</v>
      </c>
      <c r="M60" s="73">
        <f>-M52/M$50*400</f>
        <v>7.6150917272412606</v>
      </c>
      <c r="N60" s="72" t="str">
        <f>IF(ISERROR(M60/E60),"NA",IF(OR(M60/E60&gt;2,M60/E60&lt;0.5),"NM",M60/E60*100-100))</f>
        <v>NM</v>
      </c>
      <c r="O60" s="73">
        <f>-O52/O$50*400</f>
        <v>6.6852367688022287</v>
      </c>
      <c r="P60" s="72">
        <f>IF(ISERROR(O60/G60),"NA",IF(OR(O60/G60&gt;2,O60/G60&lt;0.5),"NM",O60/G60*100-100))</f>
        <v>-24.276837368759374</v>
      </c>
      <c r="Q60" s="73">
        <f>-Q52/Q$50*400</f>
        <v>6.1431064572425829</v>
      </c>
      <c r="R60" s="72">
        <f>IF(ISERROR(Q60/I60),"NA",IF(OR(Q60/I60&gt;2,Q60/I60&lt;0.5),"NM",Q60/I60*100-100))</f>
        <v>-25.930249191771821</v>
      </c>
      <c r="S60" s="73">
        <f>-S52/S$50*400</f>
        <v>5.6470588235294121</v>
      </c>
      <c r="T60" s="72">
        <f>IF(ISERROR(S60/K60),"NA",IF(OR(S60/K60&gt;2,S60/K60&lt;0.5),"NM",S60/K60*100-100))</f>
        <v>-40.132992327365727</v>
      </c>
      <c r="U60" s="73">
        <f>-U52/U$50*400</f>
        <v>4.9501546923341353</v>
      </c>
      <c r="V60" s="72">
        <f>IF(ISERROR(U60/M60),"NA",IF(OR(U60/M60&gt;2,U60/M60&lt;0.5),"NM",U60/M60*100-100))</f>
        <v>-34.99546860839402</v>
      </c>
      <c r="W60" s="73">
        <f>-W52/W$50*400</f>
        <v>4.0682414698162725</v>
      </c>
      <c r="X60" s="72">
        <f>IF(ISERROR(W60/O60),"NA",IF(OR(W60/O60&gt;2,W60/O60&lt;0.5),"NM",W60/O60*100-100))</f>
        <v>-39.145888013998267</v>
      </c>
      <c r="Y60" s="73">
        <f>-Y52/Y$50*400</f>
        <v>4.1717791411042944</v>
      </c>
      <c r="Z60" s="72">
        <f>IF(ISERROR(Y60/Q60),"NA",IF(OR(Y60/Q60&gt;2,Y60/Q60&lt;0.5),"NM",Y60/Q60*100-100))</f>
        <v>-32.090072504182928</v>
      </c>
      <c r="AA60" s="73">
        <f>-AA52/AA$50*400</f>
        <v>4.0047114252061249</v>
      </c>
      <c r="AB60" s="72">
        <f>IF(ISERROR(AA60/S60),"NA",IF(OR(AA60/S60&gt;2,AA60/S60&lt;0.5),"NM",AA60/S60*100-100))</f>
        <v>-29.083235178641544</v>
      </c>
      <c r="AC60" s="73">
        <f>-AC52/AC$50*400</f>
        <v>3.6855744313273826</v>
      </c>
      <c r="AD60" s="72">
        <f>IF(ISERROR(AC60/U60),"NA",IF(OR(AC60/U60&gt;2,AC60/U60&lt;0.5),"NM",AC60/U60*100-100))</f>
        <v>-25.546277633810021</v>
      </c>
      <c r="AE60" s="73">
        <f>-AE52/AE$50*400</f>
        <v>3.7735849056603774</v>
      </c>
      <c r="AF60" s="72">
        <f>IF(ISERROR(AE60/W60),"NA",IF(OR(AE60/W60&gt;2,AE60/W60&lt;0.5),"NM",AE60/W60*100-100))</f>
        <v>-7.2428484479610376</v>
      </c>
      <c r="AG60" s="73">
        <f>-AG52/AG$50*400</f>
        <v>4.7686630712460971</v>
      </c>
      <c r="AH60" s="72">
        <f>IF(ISERROR(AG60/Y60),"NA",IF(OR(AG60/Y60&gt;2,AG60/Y60&lt;0.5),"NM",AG60/Y60*100-100))</f>
        <v>14.307658913693217</v>
      </c>
      <c r="AI60" s="73">
        <f>-AI52/AI$50*400</f>
        <v>5.8053500284575978</v>
      </c>
      <c r="AJ60" s="72">
        <f>IF(ISERROR(AI60/AA60),"NA",IF(OR(AI60/AA60&gt;2,AI60/AA60&lt;0.5),"NM",AI60/AA60*100-100))</f>
        <v>44.963005122367662</v>
      </c>
      <c r="AK60" s="73">
        <f>-AK52/AK$50*400</f>
        <v>5.7078903189703416</v>
      </c>
      <c r="AL60" s="72">
        <f>IF(ISERROR(AK60/AC60),"NA",IF(OR(AK60/AC60&gt;2,AK60/AC60&lt;0.5),"NM",AK60/AC60*100-100))</f>
        <v>54.871117795187473</v>
      </c>
      <c r="AM60" s="73">
        <f>-AM52/AM$50*400</f>
        <v>4.7286405158516924</v>
      </c>
      <c r="AN60" s="72">
        <f>IF(ISERROR(AM60/AE60),"NA",IF(OR(AM60/AE60&gt;2,AM60/AE60&lt;0.5),"NM",AM60/AE60*100-100))</f>
        <v>25.308973670069861</v>
      </c>
      <c r="AO60" s="73">
        <f>-AO52/AO$50*400</f>
        <v>4.6632124352331603</v>
      </c>
      <c r="AP60" s="72">
        <f>IF(ISERROR(AO60/AG60),"NA",IF(OR(AO60/AG60&gt;2,AO60/AG60&lt;0.5),"NM",AO60/AG60*100-100))</f>
        <v>-2.2113249444855683</v>
      </c>
      <c r="AQ60" s="73">
        <f>-AQ52/AQ$50*400</f>
        <v>5.7746841969579794</v>
      </c>
      <c r="AR60" s="72">
        <f>IF(ISERROR(AQ60/AI60),"NA",IF(OR(AQ60/AI60&gt;2,AQ60/AI60&lt;0.5),"NM",AQ60/AI60*100-100))</f>
        <v>-0.52823397985126519</v>
      </c>
      <c r="AS60" s="73">
        <f>-AS52/AS$50*400</f>
        <v>5.4653261149780867</v>
      </c>
      <c r="AT60" s="72">
        <f>IF(ISERROR(AS60/AK60),"NA",IF(OR(AS60/AK60&gt;2,AS60/AK60&lt;0.5),"NM",AS60/AK60*100-100))</f>
        <v>-4.249629730727051</v>
      </c>
      <c r="AU60" s="73">
        <f>-AU52/AU$50*400</f>
        <v>5.5118110236220472</v>
      </c>
      <c r="AV60" s="72">
        <f>IF(ISERROR(AU60/AM60),"NA",IF(OR(AU60/AM60&gt;2,AU60/AM60&lt;0.5),"NM",AU60/AM60*100-100))</f>
        <v>16.562276306370791</v>
      </c>
      <c r="AW60" s="73">
        <f>-AW52/AW$50*400</f>
        <v>6.5459955368212253</v>
      </c>
      <c r="AX60" s="72">
        <f>IF(ISERROR(AW60/AO60),"NA",IF(OR(AW60/AO60&gt;2,AW60/AO60&lt;0.5),"NM",AW60/AO60*100-100))</f>
        <v>40.37523762294407</v>
      </c>
      <c r="AY60" s="73">
        <f>-AY52/AY$50*400</f>
        <v>6.9155600100225509</v>
      </c>
      <c r="AZ60" s="72">
        <f>IF(ISERROR(AY60/AQ60),"NA",IF(OR(AY60/AQ60&gt;2,AY60/AQ60&lt;0.5),"NM",AY60/AQ60*100-100))</f>
        <v>19.756505709274435</v>
      </c>
      <c r="BA60" s="73">
        <f>-BA52/BA$50*400</f>
        <v>9.3377315402182184</v>
      </c>
      <c r="BB60" s="72">
        <f>IF(ISERROR(BA60/AS60),"NA",IF(OR(BA60/AS60&gt;2,BA60/AS60&lt;0.5),"NM",BA60/AS60*100-100))</f>
        <v>70.854059643898466</v>
      </c>
      <c r="BC60" s="73">
        <f>-BC52/BC$50*400</f>
        <v>7.7499354172048562</v>
      </c>
      <c r="BD60" s="72">
        <f>IF(ISERROR(BC60/AU60),"NA",IF(OR(BC60/AU60&gt;2,BC60/AU60&lt;0.5),"NM",BC60/AU60*100-100))</f>
        <v>40.605971140716662</v>
      </c>
      <c r="BE60" s="73">
        <f>-BE52/BE$50*400</f>
        <v>8.0755112742527526</v>
      </c>
      <c r="BF60" s="72">
        <f>IF(ISERROR(BE60/AW60),"NA",IF(OR(BE60/AW60&gt;2,BE60/AW60&lt;0.5),"NM",BE60/AW60*100-100))</f>
        <v>23.365670337353592</v>
      </c>
      <c r="BG60" s="81">
        <f>-BG52/BG$50*400</f>
        <v>8.6446104589114192</v>
      </c>
      <c r="BH60" s="72">
        <f>IF(ISERROR(BG60/AY60),"NA",IF(OR(BG60/AY60&gt;2,BG60/AY60&lt;0.5),"NM",BG60/AY60*100-100))</f>
        <v>25.002320077954622</v>
      </c>
      <c r="BI60" s="81">
        <f>-BI52/BI$50*400</f>
        <v>8.0456645827670563</v>
      </c>
      <c r="BJ60" s="72">
        <f>IF(ISERROR(BI60/BA60),"NA",IF(OR(BI60/BA60&gt;2,BI60/BA60&lt;0.5),"NM",BI60/BA60*100-100))</f>
        <v>-13.837054019877797</v>
      </c>
      <c r="BK60" s="81">
        <f>-BK52/BK$50*400</f>
        <v>7.6496674057649665</v>
      </c>
      <c r="BL60" s="72">
        <f>IF(ISERROR(BK60/BC60),"NA",IF(OR(BK60/BC60&gt;2,BK60/BC60&lt;0.5),"NM",BK60/BC60*100-100))</f>
        <v>-1.293791574279382</v>
      </c>
      <c r="BM60" s="81">
        <f>-BM52/BM$50*400</f>
        <v>6.9937958262831366</v>
      </c>
      <c r="BN60" s="72">
        <f>IF(ISERROR(BM60/BE60),"NA",IF(OR(BM60/BE60&gt;2,BM60/BE60&lt;0.5),"NM",BM60/BE60*100-100))</f>
        <v>-13.39500882648089</v>
      </c>
      <c r="BO60" s="81">
        <f>-BO52/BO$50*400</f>
        <v>6.0779816513761471</v>
      </c>
      <c r="BP60" s="72">
        <f>IF(ISERROR(BO60/BG60),"NA",IF(OR(BO60/BG60&gt;2,BO60/BG60&lt;0.5),"NM",BO60/BG60*100-100))</f>
        <v>-29.690508551364815</v>
      </c>
      <c r="BQ60" s="81">
        <f>-BQ52/BQ$50*400</f>
        <v>7.0930232558139528</v>
      </c>
      <c r="BR60" s="72">
        <f>IF(ISERROR(BQ60/BI60),"NA",IF(OR(BQ60/BI60&gt;2,BQ60/BI60&lt;0.5),"NM",BQ60/BI60*100-100))</f>
        <v>-11.840430546825914</v>
      </c>
      <c r="BS60" s="81">
        <f>-BS52/BS$50*400</f>
        <v>8.3677077195050096</v>
      </c>
      <c r="BT60" s="72">
        <f>IF(ISERROR(BS60/BK60),"NA",IF(OR(BS60/BK60&gt;2,BS60/BK60&lt;0.5),"NM",BS60/BK60*100-100))</f>
        <v>9.3865559854133096</v>
      </c>
      <c r="BU60" s="81">
        <f>-BU52/BU$50*400</f>
        <v>10.868916094356525</v>
      </c>
      <c r="BV60" s="72">
        <f>IF(ISERROR(BU60/BM60),"NA",IF(OR(BU60/BM60&gt;2,BU60/BM60&lt;0.5),"NM",BU60/BM60*100-100))</f>
        <v>55.407969639468689</v>
      </c>
      <c r="BW60" s="81">
        <f>-BW52/BW$50*400</f>
        <v>9.3474962063732931</v>
      </c>
      <c r="BX60" s="72">
        <f>IF(ISERROR(BW60/BO60),"NA",IF(OR(BW60/BO60&gt;2,BW60/BO60&lt;0.5),"NM",BW60/BO60*100-100))</f>
        <v>53.792767772783236</v>
      </c>
      <c r="BY60" s="81">
        <f>-BY52/BY$50*400</f>
        <v>9.1939932577382777</v>
      </c>
      <c r="BZ60" s="72">
        <f>IF(ISERROR(BY60/BQ60),"NA",IF(OR(BY60/BQ60&gt;2,BY60/BQ60&lt;0.5),"NM",BY60/BQ60*100-100))</f>
        <v>29.620232814015083</v>
      </c>
      <c r="CA60" s="81">
        <f>-CA52/CA$50*400</f>
        <v>6.0850667494566908</v>
      </c>
      <c r="CB60" s="72">
        <f>IF(ISERROR(CA60/BS60),"NA",IF(OR(CA60/BS60&gt;2,CA60/BS60&lt;0.5),"NM",CA60/BS60*100-100))</f>
        <v>-27.279167085718285</v>
      </c>
      <c r="CC60" s="81">
        <f>-CC52/CC$50*400</f>
        <v>7.0961718020541547</v>
      </c>
      <c r="CD60" s="72">
        <f>IF(ISERROR(CC60/BU60),"NA",IF(OR(CC60/BU60&gt;2,CC60/BU60&lt;0.5),"NM",CC60/BU60*100-100))</f>
        <v>-34.711320425606147</v>
      </c>
      <c r="CE60" s="81">
        <f>-CE52/CE$50*400</f>
        <v>5.5619930475086905</v>
      </c>
      <c r="CF60" s="72">
        <f>IF(ISERROR(CE60/BW60),"NA",IF(OR(CE60/BW60&gt;2,CE60/BW60&lt;0.5),"NM",CE60/BW60*100-100))</f>
        <v>-40.497509443048266</v>
      </c>
      <c r="CG60" s="81">
        <f>-CG52/CG$50*400</f>
        <v>8.3444771329232417</v>
      </c>
      <c r="CH60" s="72">
        <f>IF(ISERROR(CG60/BY60),"NA",IF(OR(CG60/BY60&gt;2,CG60/BY60&lt;0.5),"NM",CG60/BY60*100-100))</f>
        <v>-9.2399037175715364</v>
      </c>
      <c r="CI60" s="81">
        <f>-CI52/CI$50*400</f>
        <v>4.6733935209771644</v>
      </c>
      <c r="CJ60" s="72">
        <f>IF(ISERROR(CI60/CA60),"NA",IF(OR(CI60/CA60&gt;2,CI60/CA60&lt;0.5),"NM",CI60/CA60*100-100))</f>
        <v>-23.198976882308955</v>
      </c>
      <c r="CK60" s="81">
        <f>-CK52/CK$50*400</f>
        <v>4.7021943573667713</v>
      </c>
      <c r="CL60" s="72">
        <f>IF(ISERROR(CK60/CC60),"NA",IF(OR(CK60/CC60&gt;2,CK60/CC60&lt;0.5),"NM",CK60/CC60*100-100))</f>
        <v>-33.736182148160367</v>
      </c>
      <c r="CM60" s="81">
        <f>-CM52/CM$50*400</f>
        <v>5.0039093041438623</v>
      </c>
      <c r="CN60" s="72">
        <f>IF(ISERROR(CM60/CE60),"NA",IF(OR(CM60/CE60&gt;2,CM60/CE60&lt;0.5),"NM",CM60/CE60*100-100))</f>
        <v>-10.033880635913476</v>
      </c>
      <c r="CO60" s="81">
        <f>-CO52/CO$50*400</f>
        <v>4.6862796146836763</v>
      </c>
      <c r="CP60" s="72">
        <f>IF(ISERROR(CO60/CG60),"NA",IF(OR(CO60/CG60&gt;2,CO60/CG60&lt;0.5),"NM",CO60/CG60*100-100))</f>
        <v>-43.839745258646587</v>
      </c>
      <c r="CQ60" s="81">
        <f>-CQ52/CQ$50*400</f>
        <v>4.8104575163398691</v>
      </c>
      <c r="CR60" s="72">
        <f>IF(ISERROR(CQ60/CI60),"NA",IF(OR(CQ60/CI60&gt;2,CQ60/CI60&lt;0.5),"NM",CQ60/CI60*100-100))</f>
        <v>2.9328579916815016</v>
      </c>
      <c r="CS60" s="81">
        <f>-CS52/CS$50*400</f>
        <v>4.6194225721784772</v>
      </c>
      <c r="CT60" s="72">
        <f>IF(ISERROR(CS60/CK60),"NA",IF(OR(CS60/CK60&gt;2,CS60/CK60&lt;0.5),"NM",CS60/CK60*100-100))</f>
        <v>-1.7602799650043863</v>
      </c>
      <c r="CU60" s="81">
        <f>-CU52/CU$50*400</f>
        <v>4.5358649789029535</v>
      </c>
      <c r="CV60" s="72">
        <f>IF(ISERROR(CU60/CM60),"NA",IF(OR(CU60/CM60&gt;2,CU60/CM60&lt;0.5),"NM",CU60/CM60*100-100))</f>
        <v>-9.3535733122362785</v>
      </c>
      <c r="CW60" s="81">
        <f>-CW52/CW$50*400</f>
        <v>3.5997882477501326</v>
      </c>
      <c r="CX60" s="72">
        <f>IF(ISERROR(CW60/CO60),"NA",IF(OR(CW60/CO60&gt;2,CW60/CO60&lt;0.5),"NM",CW60/CO60*100-100))</f>
        <v>-23.184518557731892</v>
      </c>
      <c r="CY60" s="81">
        <f>-CY52/CY$50*400</f>
        <v>3.7154989384288748</v>
      </c>
      <c r="CZ60" s="72">
        <f>IF(ISERROR(CY60/CQ60),"NA",IF(OR(CY60/CQ60&gt;2,CY60/CQ60&lt;0.5),"NM",CY60/CQ60*100-100))</f>
        <v>-22.762046524508435</v>
      </c>
      <c r="DA60" s="81">
        <f>-DA52/DA$50*400</f>
        <v>5.1118210862619806</v>
      </c>
      <c r="DB60" s="72">
        <f>IF(ISERROR(DA60/CS60),"NA",IF(OR(DA60/CS60&gt;2,DA60/CS60&lt;0.5),"NM",DA60/CS60*100-100))</f>
        <v>10.659308742375842</v>
      </c>
      <c r="DC60" s="81">
        <f>-DC52/DC$50*400</f>
        <v>4.3920728441349759</v>
      </c>
      <c r="DD60" s="72">
        <f>IF(ISERROR(DC60/CU60),"NA",IF(OR(DC60/CU60&gt;2,DC60/CU60&lt;0.5),"NM",DC60/CU60*100-100))</f>
        <v>-3.1701149711637839</v>
      </c>
      <c r="DE60" s="81">
        <f>-DE52/DE$50*400</f>
        <v>4.0926225094238013</v>
      </c>
      <c r="DF60" s="72">
        <f>IF(ISERROR(DE60/CW60),"NA",IF(OR(DE60/CW60&gt;2,DE60/CW60&lt;0.5),"NM",DE60/CW60*100-100))</f>
        <v>13.690645886787649</v>
      </c>
      <c r="DG60" s="81">
        <f>-DG52/DG$50*400</f>
        <v>4.325493376588267</v>
      </c>
      <c r="DH60" s="72">
        <f>IF(ISERROR(DG60/CY60),"NA",IF(OR(DG60/CY60&gt;2,DG60/CY60&lt;0.5),"NM",DG60/CY60*100-100))</f>
        <v>16.417564592747084</v>
      </c>
      <c r="DI60" s="81">
        <f>-DI52/DI$50*400</f>
        <v>4.4553110567780498</v>
      </c>
      <c r="DJ60" s="72">
        <f>IF(ISERROR(DI60/DA60),"NA",IF(OR(DI60/DA60&gt;2,DI60/DA60&lt;0.5),"NM",DI60/DA60*100-100))</f>
        <v>-12.84297745177939</v>
      </c>
      <c r="DK60" s="81">
        <f>-DK52/DK$50*400</f>
        <v>3.8115981486523278</v>
      </c>
      <c r="DL60" s="72">
        <f>IF(ISERROR(DK60/DC60),"NA",IF(OR(DK60/DC60&gt;2,DK60/DC60&lt;0.5),"NM",DK60/DC60*100-100))</f>
        <v>-13.216417761781756</v>
      </c>
      <c r="DM60" s="81">
        <f>-DM52/DM$50*400</f>
        <v>3.7199124726477026</v>
      </c>
      <c r="DN60" s="72">
        <f t="shared" si="341"/>
        <v>-9.1068755038580917</v>
      </c>
      <c r="DO60" s="81">
        <f>-DO52/DO$50*400</f>
        <v>3.2985156679494225</v>
      </c>
      <c r="DP60" s="72">
        <f t="shared" si="341"/>
        <v>-23.742440901594293</v>
      </c>
      <c r="DQ60" s="81">
        <f>-DQ52/DQ$50*400</f>
        <v>4.3201329271669895</v>
      </c>
      <c r="DR60" s="72">
        <f t="shared" si="341"/>
        <v>-3.0340896042579999</v>
      </c>
      <c r="DS60" s="81">
        <f>-DS52/DS$50*400</f>
        <v>3.2393186260821003</v>
      </c>
      <c r="DT60" s="72">
        <f t="shared" si="341"/>
        <v>-15.01416204571747</v>
      </c>
      <c r="DU60" s="81">
        <f>-DU52/DU$50*400</f>
        <v>3.6923076923076925</v>
      </c>
      <c r="DV60" s="72">
        <f t="shared" si="341"/>
        <v>-0.74208144796379827</v>
      </c>
      <c r="DW60" s="81">
        <f>-DW52/DW$50*400</f>
        <v>3.3783783783783785</v>
      </c>
      <c r="DX60" s="72">
        <f t="shared" si="341"/>
        <v>2.4211711711711814</v>
      </c>
      <c r="DY60" s="81">
        <f>-DY52/DY$50*400</f>
        <v>3.6240090600226504</v>
      </c>
      <c r="DZ60" s="72">
        <f t="shared" si="341"/>
        <v>-16.113482591398778</v>
      </c>
      <c r="EA60" s="81">
        <f>-EA52/EA$50*400</f>
        <v>3.5388127853881275</v>
      </c>
      <c r="EB60" s="72">
        <f>IF(ISERROR(EA60/DS60),"NA",IF(OR(EA60/DS60&gt;2,EA60/DS60&lt;0.5),"NM",EA60/DS60*100-100))</f>
        <v>9.2455912454731219</v>
      </c>
      <c r="EC60" s="81">
        <f>-EC52/EC$50*400</f>
        <v>2.9825064525379985</v>
      </c>
      <c r="ED60" s="72">
        <f>IF(ISERROR(EC60/DU60),"NA",IF(OR(EC60/DU60&gt;2,EC60/DU60&lt;0.5),"NM",EC60/DU60*100-100))</f>
        <v>-19.223783577095872</v>
      </c>
      <c r="EE60" s="81">
        <f>-EE52/EE$50*400</f>
        <v>2.407566638005159</v>
      </c>
      <c r="EF60" s="72">
        <f>IF(ISERROR(EE60/DW60),"NA",IF(OR(EE60/DW60&gt;2,EE60/DW60&lt;0.5),"NM",EE60/DW60*100-100))</f>
        <v>-28.736027515047297</v>
      </c>
      <c r="EG60" s="81">
        <f>-EG52/EG$50*400</f>
        <v>3.0989956958393114</v>
      </c>
      <c r="EH60" s="72">
        <f>IF(ISERROR(EG60/DY60),"NA",IF(OR(EG60/DY60&gt;2,EG60/DY60&lt;0.5),"NM",EG60/DY60*100-100))</f>
        <v>-14.487087517934</v>
      </c>
      <c r="EI60" s="81">
        <f>-EI52/EI$50*400</f>
        <v>3.096330275229358</v>
      </c>
      <c r="EJ60" s="72">
        <f>IF(ISERROR(EI60/EA60),"NA",IF(OR(EI60/EA60&gt;2,EI60/EA60&lt;0.5),"NM",EI60/EA60*100-100))</f>
        <v>-12.503699319325236</v>
      </c>
      <c r="EK60" s="81">
        <f>-EK52/EK$50*400</f>
        <v>2.8661507595299516</v>
      </c>
      <c r="EL60" s="72">
        <f>IF(ISERROR(EK60/EC60),"NA",IF(OR(EK60/EC60&gt;2,EK60/EC60&lt;0.5),"NM",EK60/EC60*100-100))</f>
        <v>-3.9012721299909572</v>
      </c>
      <c r="EM60" s="81">
        <f>-EM52/EM$50*400</f>
        <v>2.4054982817869419</v>
      </c>
      <c r="EN60" s="72">
        <f>IF(ISERROR(EM60/EE60),"NA",IF(OR(EM60/EE60&gt;2,EM60/EE60&lt;0.5),"NM",EM60/EE60*100-100))</f>
        <v>-8.5910652920944131E-2</v>
      </c>
      <c r="EO60" s="81">
        <f>-EO52/EO$50*400</f>
        <v>3.5499570569710848</v>
      </c>
      <c r="EP60" s="72">
        <f>IF(ISERROR(EO60/EG60),"NA",IF(OR(EO60/EG60&gt;2,EO60/EG60&lt;0.5),"NM",EO60/EG60*100-100))</f>
        <v>14.551855032816945</v>
      </c>
      <c r="EQ60" s="86">
        <f t="shared" ref="EQ60:EQ61" si="351">EO60</f>
        <v>3.5499570569710848</v>
      </c>
      <c r="ER60" s="72">
        <f t="shared" si="343"/>
        <v>14.650464951066141</v>
      </c>
      <c r="ES60" s="86">
        <f t="shared" ref="ES60:ES61" si="352">EQ60</f>
        <v>3.5499570569710848</v>
      </c>
      <c r="ET60" s="72">
        <f t="shared" si="345"/>
        <v>23.858001717721152</v>
      </c>
      <c r="EU60" s="86">
        <f t="shared" ref="EU60:EU61" si="353">ES60</f>
        <v>3.5499570569710848</v>
      </c>
      <c r="EV60" s="72">
        <f t="shared" si="347"/>
        <v>47.576786225512222</v>
      </c>
      <c r="EW60" s="86">
        <f t="shared" ref="EW60:EW61" si="354">EU60</f>
        <v>3.5499570569710848</v>
      </c>
      <c r="EX60" s="72">
        <f t="shared" si="349"/>
        <v>0</v>
      </c>
      <c r="EY60" s="72"/>
      <c r="EZ60" s="306"/>
      <c r="FA60" s="72"/>
      <c r="FB60" s="73">
        <f>-FB52/FB$50*100</f>
        <v>15.44453397797475</v>
      </c>
      <c r="FC60" s="88"/>
      <c r="FD60" s="73">
        <f>-FD52/FD$50*100</f>
        <v>13.080947983995076</v>
      </c>
      <c r="FE60" s="72">
        <f>IF(ISERROR(FD60/FB60),"NA",IF(OR(FD60/FB60&gt;2,FD60/FB60&lt;0.5),"NM",FD60/FB60*100-100))</f>
        <v>-15.303705487976231</v>
      </c>
      <c r="FF60" s="73">
        <f>-FF52/FF$50*100</f>
        <v>11.95364238410596</v>
      </c>
      <c r="FG60" s="72">
        <f>IF(ISERROR(FF60/FD60),"NA",IF(OR(FF60/FD60&gt;2,FF60/FD60&lt;0.5),"NM",FF60/FD60*100-100))</f>
        <v>-8.617919750681736</v>
      </c>
      <c r="FH60" s="73">
        <f>-FH52/FH$50*100</f>
        <v>7.3820915926179076</v>
      </c>
      <c r="FI60" s="72">
        <f>IF(ISERROR(FH60/FF60),"NA",IF(OR(FH60/FF60&gt;2,FH60/FF60&lt;0.5),"NM",FH60/FF60*100-100))</f>
        <v>-38.243998311063486</v>
      </c>
      <c r="FJ60" s="73">
        <f>-FJ52/FJ$50*100</f>
        <v>4.8067226890756301</v>
      </c>
      <c r="FK60" s="72">
        <f>IF(ISERROR(FJ60/FH60),"NA",IF(OR(FJ60/FH60&gt;2,FJ60/FH60&lt;0.5),"NM",FJ60/FH60*100-100))</f>
        <v>-34.886710239651407</v>
      </c>
      <c r="FL60" s="73">
        <f>-FL52/FL$50*100</f>
        <v>4.1519434628975258</v>
      </c>
      <c r="FM60" s="72">
        <f>IF(ISERROR(FL60/FJ60),"NA",IF(OR(FL60/FJ60&gt;2,FL60/FJ60&lt;0.5),"NM",FL60/FJ60*100-100))</f>
        <v>-13.622155229929092</v>
      </c>
      <c r="FN60" s="73">
        <f>-FN52/FN$50*100</f>
        <v>5.4354012521343193</v>
      </c>
      <c r="FO60" s="72">
        <f>IF(ISERROR(FN60/FL60),"NA",IF(OR(FN60/FL60&gt;2,FN60/FL60&lt;0.5),"NM",FN60/FL60*100-100))</f>
        <v>30.912217391830865</v>
      </c>
      <c r="FP60" s="73">
        <f>-FP52/FP$50*100</f>
        <v>5.9551430781129158</v>
      </c>
      <c r="FQ60" s="72">
        <f>IF(ISERROR(FP60/FN60),"NA",IF(OR(FP60/FN60&gt;2,FP60/FN60&lt;0.5),"NM",FP60/FN60*100-100))</f>
        <v>9.5621611334491377</v>
      </c>
      <c r="FR60" s="73">
        <f>-FR52/FR$50*100</f>
        <v>7.8426459533951389</v>
      </c>
      <c r="FS60" s="72">
        <f>IF(ISERROR(FR60/FP60),"NA",IF(OR(FR60/FP60&gt;2,FR60/FP60&lt;0.5),"NM",FR60/FP60*100-100))</f>
        <v>31.695340490128757</v>
      </c>
      <c r="FT60" s="73">
        <f>-FT52/FT$50*100</f>
        <v>7.6307363927427954</v>
      </c>
      <c r="FU60" s="72">
        <f>IF(ISERROR(FT60/FR60),"NA",IF(OR(FT60/FR60&gt;2,FT60/FR60&lt;0.5),"NM",FT60/FR60*100-100))</f>
        <v>-2.7020161551549648</v>
      </c>
      <c r="FV60" s="81">
        <f>-FV52/FV$50*100</f>
        <v>7.9128440366972477</v>
      </c>
      <c r="FW60" s="72">
        <f>IF(ISERROR(FV60/FT60),"NA",IF(OR(FV60/FT60&gt;2,FV60/FT60&lt;0.5),"NM",FV60/FT60*100-100))</f>
        <v>3.6969910823121808</v>
      </c>
      <c r="FX60" s="81">
        <f>-FX52/FX$50*100</f>
        <v>7.8300455235204858</v>
      </c>
      <c r="FY60" s="72">
        <f>IF(ISERROR(FX60/FV60),"NA",IF(OR(FX60/FV60&gt;2,FX60/FV60&lt;0.5),"NM",FX60/FV60*100-100))</f>
        <v>-1.0463812100019823</v>
      </c>
      <c r="FZ60" s="81">
        <f>-FZ52/FZ$50*100</f>
        <v>6.2282734646581694</v>
      </c>
      <c r="GA60" s="72">
        <f>IF(ISERROR(FZ60/FX60),"NA",IF(OR(FZ60/FX60&gt;2,FZ60/FX60&lt;0.5),"NM",FZ60/FX60*100-100))</f>
        <v>-20.456740054074928</v>
      </c>
      <c r="GB60" s="81">
        <f>-GB52/GB$50*100</f>
        <v>4.7693510555121188</v>
      </c>
      <c r="GC60" s="72">
        <f>IF(ISERROR(GB60/FZ60),"NA",IF(OR(GB60/FZ60&gt;2,GB60/FZ60&lt;0.5),"NM",GB60/FZ60*100-100))</f>
        <v>-23.424186773824033</v>
      </c>
      <c r="GD60" s="81">
        <f>-GD52/GD$50*100</f>
        <v>4.2194092827004219</v>
      </c>
      <c r="GE60" s="72">
        <f>IF(ISERROR(GD60/GB60),"NA",IF(OR(GD60/GB60&gt;2,GD60/GB60&lt;0.5),"NM",GD60/GB60*100-100))</f>
        <v>-11.530746351248538</v>
      </c>
      <c r="GF60" s="81">
        <f>-GF52/GF$50*100</f>
        <v>4.284949116229245</v>
      </c>
      <c r="GG60" s="72">
        <f>IF(ISERROR(GF60/GD60),"NA",IF(OR(GF60/GD60&gt;2,GF60/GD60&lt;0.5),"NM",GF60/GD60*100-100))</f>
        <v>1.5532940546331133</v>
      </c>
      <c r="GH60" s="81">
        <f>-GH52/GH$50*100</f>
        <v>3.7571467465287229</v>
      </c>
      <c r="GI60" s="72">
        <f t="shared" si="350"/>
        <v>-12.317587802885939</v>
      </c>
      <c r="GJ60" s="81">
        <f>-GJ52/GJ$50*100</f>
        <v>3.4627199106394864</v>
      </c>
      <c r="GK60" s="72">
        <f t="shared" si="350"/>
        <v>-7.8364475958055522</v>
      </c>
      <c r="GL60" s="81">
        <f>-GL52/GL$50*100</f>
        <v>2.9965753424657531</v>
      </c>
      <c r="GM60" s="72">
        <f t="shared" si="350"/>
        <v>-13.461804021210796</v>
      </c>
      <c r="GN60" s="81">
        <f>-GN52/GN$50*100</f>
        <v>2.9816513761467891</v>
      </c>
      <c r="GO60" s="72">
        <f t="shared" si="350"/>
        <v>-0.49803407601571337</v>
      </c>
      <c r="GP60" s="81">
        <f>-GP52/GP$50*100</f>
        <v>3.5278030080160421</v>
      </c>
      <c r="GQ60" s="72">
        <f t="shared" si="350"/>
        <v>18.317085499614947</v>
      </c>
      <c r="GR60" s="86">
        <f>GP60</f>
        <v>3.5278030080160421</v>
      </c>
      <c r="GS60" s="72">
        <f t="shared" si="350"/>
        <v>0</v>
      </c>
      <c r="GT60" s="86">
        <f>GR60</f>
        <v>3.5278030080160421</v>
      </c>
      <c r="GU60" s="72">
        <f t="shared" si="350"/>
        <v>0</v>
      </c>
      <c r="GV60" s="86">
        <f>GT60</f>
        <v>3.5278030080160421</v>
      </c>
      <c r="GW60" s="72">
        <f>IF(ISERROR(GV60/GT60),"NA",IF(OR(GV60/GT60&gt;2,GV60/GT60&lt;0.5),"NM",GV60/GT60*100-100))</f>
        <v>0</v>
      </c>
      <c r="GX60" s="86">
        <f>GV60</f>
        <v>3.5278030080160421</v>
      </c>
      <c r="GY60" s="72">
        <f>IF(ISERROR(GX60/GV60),"NA",IF(OR(GX60/GV60&gt;2,GX60/GV60&lt;0.5),"NM",GX60/GV60*100-100))</f>
        <v>0</v>
      </c>
      <c r="GZ60" s="72">
        <f>IF(ISERROR(((GX60/GN60)^0.2-1)*100),"NA",IF((((GX60/GN60)^0.2-1)*100)&gt;100,"NM",IF((((GX60/GN60)^0.2-1)*100)&lt;-50,"NM",((GX60/GN60)^0.2-1)*100)))</f>
        <v>3.4211809567225471</v>
      </c>
      <c r="HA60" s="72"/>
      <c r="HB60" s="72"/>
      <c r="HC60"/>
      <c r="HD60"/>
      <c r="HE60"/>
      <c r="HF60"/>
      <c r="HG60"/>
      <c r="HH60"/>
      <c r="HI60" s="111"/>
    </row>
    <row r="61" spans="1:217" s="3" customFormat="1" ht="12.75" customHeight="1" x14ac:dyDescent="0.2">
      <c r="B61" s="10" t="s">
        <v>444</v>
      </c>
      <c r="C61" s="73">
        <f>-C53/C50*400</f>
        <v>0</v>
      </c>
      <c r="D61" s="72"/>
      <c r="E61" s="73">
        <f>-E53/E50*400</f>
        <v>0</v>
      </c>
      <c r="F61" s="72"/>
      <c r="G61" s="73">
        <f>-G53/G50*400</f>
        <v>0</v>
      </c>
      <c r="H61" s="72"/>
      <c r="I61" s="73">
        <f>-I53/I50*400</f>
        <v>0</v>
      </c>
      <c r="J61" s="72"/>
      <c r="K61" s="73">
        <f>-K53/K50*400</f>
        <v>0</v>
      </c>
      <c r="L61" s="72" t="str">
        <f>IF(ISERROR(K61/C61),"NA",IF(OR(K61/C61&gt;2,K61/C61&lt;0.5),"NM",K61/C61*100-100))</f>
        <v>NA</v>
      </c>
      <c r="M61" s="73">
        <f>-M53/M50*400</f>
        <v>0</v>
      </c>
      <c r="N61" s="72" t="str">
        <f>IF(ISERROR(M61/E61),"NA",IF(OR(M61/E61&gt;2,M61/E61&lt;0.5),"NM",M61/E61*100-100))</f>
        <v>NA</v>
      </c>
      <c r="O61" s="73">
        <f>-O53/O50*400</f>
        <v>0</v>
      </c>
      <c r="P61" s="72" t="str">
        <f>IF(ISERROR(O61/G61),"NA",IF(OR(O61/G61&gt;2,O61/G61&lt;0.5),"NM",O61/G61*100-100))</f>
        <v>NA</v>
      </c>
      <c r="Q61" s="73">
        <f>-Q53/Q50*400</f>
        <v>0</v>
      </c>
      <c r="R61" s="72" t="str">
        <f>IF(ISERROR(Q61/I61),"NA",IF(OR(Q61/I61&gt;2,Q61/I61&lt;0.5),"NM",Q61/I61*100-100))</f>
        <v>NA</v>
      </c>
      <c r="S61" s="73">
        <f>-S53/S50*400</f>
        <v>4.7058823529411766</v>
      </c>
      <c r="T61" s="72" t="str">
        <f>IF(ISERROR(S61/K61),"NA",IF(OR(S61/K61&gt;2,S61/K61&lt;0.5),"NM",S61/K61*100-100))</f>
        <v>NA</v>
      </c>
      <c r="U61" s="73">
        <f>-U53/U50*400</f>
        <v>4.8126503953248534</v>
      </c>
      <c r="V61" s="72" t="str">
        <f>IF(ISERROR(U61/M61),"NA",IF(OR(U61/M61&gt;2,U61/M61&lt;0.5),"NM",U61/M61*100-100))</f>
        <v>NA</v>
      </c>
      <c r="W61" s="73">
        <f>-W53/W50*400</f>
        <v>4.7244094488188972</v>
      </c>
      <c r="X61" s="72" t="str">
        <f>IF(ISERROR(W61/O61),"NA",IF(OR(W61/O61&gt;2,W61/O61&lt;0.5),"NM",W61/O61*100-100))</f>
        <v>NA</v>
      </c>
      <c r="Y61" s="73">
        <f>-Y53/Y50*400</f>
        <v>4.7852760736196318</v>
      </c>
      <c r="Z61" s="72" t="str">
        <f>IF(ISERROR(Y61/Q61),"NA",IF(OR(Y61/Q61&gt;2,Y61/Q61&lt;0.5),"NM",Y61/Q61*100-100))</f>
        <v>NA</v>
      </c>
      <c r="AA61" s="73">
        <f>-AA53/AA50*400</f>
        <v>4.8292108362779746</v>
      </c>
      <c r="AB61" s="72">
        <f>IF(ISERROR(AA61/S61),"NA",IF(OR(AA61/S61&gt;2,AA61/S61&lt;0.5),"NM",AA61/S61*100-100))</f>
        <v>2.6207302709069609</v>
      </c>
      <c r="AC61" s="73">
        <f>-AC53/AC50*400</f>
        <v>5.298013245033113</v>
      </c>
      <c r="AD61" s="72">
        <f>IF(ISERROR(AC61/U61),"NA",IF(OR(AC61/U61&gt;2,AC61/U61&lt;0.5),"NM",AC61/U61*100-100))</f>
        <v>10.085146641438044</v>
      </c>
      <c r="AE61" s="73">
        <f>-AE53/AE50*400</f>
        <v>4.4596912521440828</v>
      </c>
      <c r="AF61" s="72">
        <f>IF(ISERROR(AE61/W61),"NA",IF(OR(AE61/W61&gt;2,AE61/W61&lt;0.5),"NM",AE61/W61*100-100))</f>
        <v>-5.603201829616907</v>
      </c>
      <c r="AG61" s="73">
        <f>-AG53/AG50*400</f>
        <v>4.0874254896395117</v>
      </c>
      <c r="AH61" s="72">
        <f>IF(ISERROR(AG61/Y61),"NA",IF(OR(AG61/Y61&gt;2,AG61/Y61&lt;0.5),"NM",AG61/Y61*100-100))</f>
        <v>-14.583287844712771</v>
      </c>
      <c r="AI61" s="73">
        <f>-AI53/AI50*400</f>
        <v>5.122367672168469</v>
      </c>
      <c r="AJ61" s="72">
        <f>IF(ISERROR(AI61/AA61),"NA",IF(OR(AI61/AA61&gt;2,AI61/AA61&lt;0.5),"NM",AI61/AA61*100-100))</f>
        <v>6.0704915529519354</v>
      </c>
      <c r="AK61" s="73">
        <f>-AK53/AK50*400</f>
        <v>4.2529378847229991</v>
      </c>
      <c r="AL61" s="72">
        <f>IF(ISERROR(AK61/AC61),"NA",IF(OR(AK61/AC61&gt;2,AK61/AC61&lt;0.5),"NM",AK61/AC61*100-100))</f>
        <v>-19.725797425853401</v>
      </c>
      <c r="AM61" s="73">
        <f>-AM53/AM50*400</f>
        <v>4.406233207952714</v>
      </c>
      <c r="AN61" s="72">
        <f>IF(ISERROR(AM61/AE61),"NA",IF(OR(AM61/AE61&gt;2,AM61/AE61&lt;0.5),"NM",AM61/AE61*100-100))</f>
        <v>-1.1986938370603042</v>
      </c>
      <c r="AO61" s="73">
        <f>-AO53/AO50*400</f>
        <v>4.0414507772020727</v>
      </c>
      <c r="AP61" s="72">
        <f>IF(ISERROR(AO61/AG61),"NA",IF(OR(AO61/AG61&gt;2,AO61/AG61&lt;0.5),"NM",AO61/AG61*100-100))</f>
        <v>-1.1247841105354013</v>
      </c>
      <c r="AQ61" s="73">
        <f>-AQ53/AQ50*400</f>
        <v>4.2278937870585205</v>
      </c>
      <c r="AR61" s="72">
        <f>IF(ISERROR(AQ61/AI61),"NA",IF(OR(AQ61/AI61&gt;2,AQ61/AI61&lt;0.5),"NM",AQ61/AI61*100-100))</f>
        <v>-17.462117957090882</v>
      </c>
      <c r="AS61" s="73">
        <f>-AS53/AS50*400</f>
        <v>4.4341325083784477</v>
      </c>
      <c r="AT61" s="72">
        <f>IF(ISERROR(AS61/AK61),"NA",IF(OR(AS61/AK61&gt;2,AS61/AK61&lt;0.5),"NM",AS61/AK61*100-100))</f>
        <v>4.2604577956879837</v>
      </c>
      <c r="AU61" s="73">
        <f>-AU53/AU50*400</f>
        <v>3.4448818897637796</v>
      </c>
      <c r="AV61" s="72">
        <f>IF(ISERROR(AU61/AM61),"NA",IF(OR(AU61/AM61&gt;2,AU61/AM61&lt;0.5),"NM",AU61/AM61*100-100))</f>
        <v>-21.817985404263496</v>
      </c>
      <c r="AW61" s="73">
        <f>-AW53/AW50*400</f>
        <v>4.0664517728737914</v>
      </c>
      <c r="AX61" s="72">
        <f>IF(ISERROR(AW61/AO61),"NA",IF(OR(AW61/AO61&gt;2,AW61/AO61&lt;0.5),"NM",AW61/AO61*100-100))</f>
        <v>0.61861438008227765</v>
      </c>
      <c r="AY61" s="73">
        <f>-AY53/AY50*400</f>
        <v>4.3096968178401402</v>
      </c>
      <c r="AZ61" s="72">
        <f>IF(ISERROR(AY61/AQ61),"NA",IF(OR(AY61/AQ61&gt;2,AY61/AQ61&lt;0.5),"NM",AY61/AQ61*100-100))</f>
        <v>1.9348411975725952</v>
      </c>
      <c r="BA61" s="73">
        <f>-BA53/BA50*400</f>
        <v>4.2628774422735347</v>
      </c>
      <c r="BB61" s="72">
        <f>IF(ISERROR(BA61/AS61),"NA",IF(OR(BA61/AS61&gt;2,BA61/AS61&lt;0.5),"NM",BA61/AS61*100-100))</f>
        <v>-3.8622000082613823</v>
      </c>
      <c r="BC61" s="73">
        <f>-BC53/BC50*400</f>
        <v>4.2366313614053217</v>
      </c>
      <c r="BD61" s="72">
        <f>IF(ISERROR(BC61/AU61),"NA",IF(OR(BC61/AU61&gt;2,BC61/AU61&lt;0.5),"NM",BC61/AU61*100-100))</f>
        <v>22.983356091080196</v>
      </c>
      <c r="BE61" s="73">
        <f>-BE53/BE50*400</f>
        <v>5.2438384897745145</v>
      </c>
      <c r="BF61" s="72">
        <f>IF(ISERROR(BE61/AW61),"NA",IF(OR(BE61/AW61&gt;2,BE61/AW61&lt;0.5),"NM",BE61/AW61*100-100))</f>
        <v>28.95366237354034</v>
      </c>
      <c r="BG61" s="81">
        <f>-BG53/BG50*400</f>
        <v>4.5891141942369265</v>
      </c>
      <c r="BH61" s="72">
        <f>IF(ISERROR(BG61/AY61),"NA",IF(OR(BG61/AY61&gt;2,BG61/AY61&lt;0.5),"NM",BG61/AY61*100-100))</f>
        <v>6.4834578441835617</v>
      </c>
      <c r="BI61" s="81">
        <f>-BI53/BI50*400</f>
        <v>4.8926338678988861</v>
      </c>
      <c r="BJ61" s="72">
        <f>IF(ISERROR(BI61/BA61),"NA",IF(OR(BI61/BA61&gt;2,BI61/BA61&lt;0.5),"NM",BI61/BA61*100-100))</f>
        <v>14.773036151128039</v>
      </c>
      <c r="BK61" s="81">
        <f>-BK53/BK50*400</f>
        <v>4.5454545454545459</v>
      </c>
      <c r="BL61" s="72">
        <f>IF(ISERROR(BK61/BC61),"NA",IF(OR(BK61/BC61&gt;2,BK61/BC61&lt;0.5),"NM",BK61/BC61*100-100))</f>
        <v>7.2893569844789425</v>
      </c>
      <c r="BM61" s="81">
        <f>-BM53/BM50*400</f>
        <v>4.2865200225606319</v>
      </c>
      <c r="BN61" s="72">
        <f>IF(ISERROR(BM61/BE61),"NA",IF(OR(BM61/BE61&gt;2,BM61/BE61&lt;0.5),"NM",BM61/BE61*100-100))</f>
        <v>-18.256063169768737</v>
      </c>
      <c r="BO61" s="81">
        <f>-BO53/BO50*400</f>
        <v>4.931192660550459</v>
      </c>
      <c r="BP61" s="72">
        <f>IF(ISERROR(BO61/BG61),"NA",IF(OR(BO61/BG61&gt;2,BO61/BG61&lt;0.5),"NM",BO61/BG61*100-100))</f>
        <v>7.4541284403669721</v>
      </c>
      <c r="BQ61" s="81">
        <f>-BQ53/BQ50*400</f>
        <v>4.6511627906976747</v>
      </c>
      <c r="BR61" s="72">
        <f>IF(ISERROR(BQ61/BI61),"NA",IF(OR(BQ61/BI61&gt;2,BQ61/BI61&lt;0.5),"NM",BQ61/BI61*100-100))</f>
        <v>-4.9354005167958803</v>
      </c>
      <c r="BS61" s="81">
        <f>-BS53/BS50*400</f>
        <v>4.3606364172068357</v>
      </c>
      <c r="BT61" s="72">
        <f>IF(ISERROR(BS61/BK61),"NA",IF(OR(BS61/BK61&gt;2,BS61/BK61&lt;0.5),"NM",BS61/BK61*100-100))</f>
        <v>-4.0659988214496252</v>
      </c>
      <c r="BU61" s="81">
        <f>-BU53/BU50*400</f>
        <v>4.7775455359808898</v>
      </c>
      <c r="BV61" s="72">
        <f>IF(ISERROR(BU61/BM61),"NA",IF(OR(BU61/BM61&gt;2,BU61/BM61&lt;0.5),"NM",BU61/BM61*100-100))</f>
        <v>11.455108359133121</v>
      </c>
      <c r="BW61" s="81">
        <f>-BW53/BW50*400</f>
        <v>5.2200303490136575</v>
      </c>
      <c r="BX61" s="72">
        <f>IF(ISERROR(BW61/BO61),"NA",IF(OR(BW61/BO61&gt;2,BW61/BO61&lt;0.5),"NM",BW61/BO61*100-100))</f>
        <v>5.8573596358118465</v>
      </c>
      <c r="BY61" s="81">
        <f>-BY53/BY50*400</f>
        <v>4.5357033404842175</v>
      </c>
      <c r="BZ61" s="72">
        <f>IF(ISERROR(BY61/BQ61),"NA",IF(OR(BY61/BQ61&gt;2,BY61/BQ61&lt;0.5),"NM",BY61/BQ61*100-100))</f>
        <v>-2.4823781795893325</v>
      </c>
      <c r="CA61" s="81">
        <f>-CA53/CA50*400</f>
        <v>5.0915864638311081</v>
      </c>
      <c r="CB61" s="72">
        <f>IF(ISERROR(CA61/BS61),"NA",IF(OR(CA61/BS61&gt;2,CA61/BS61&lt;0.5),"NM",CA61/BS61*100-100))</f>
        <v>16.762462555694469</v>
      </c>
      <c r="CC61" s="81">
        <f>-CC53/CC50*400</f>
        <v>4.8552754435107381</v>
      </c>
      <c r="CD61" s="72">
        <f>IF(ISERROR(CC61/BU61),"NA",IF(OR(CC61/BU61&gt;2,CC61/BU61&lt;0.5),"NM",CC61/BU61*100-100))</f>
        <v>1.6269841269841407</v>
      </c>
      <c r="CE61" s="81">
        <f>-CE53/CE50*400</f>
        <v>6.6048667439165696</v>
      </c>
      <c r="CF61" s="72">
        <f>IF(ISERROR(CE61/BW61),"NA",IF(OR(CE61/BW61&gt;2,CE61/BW61&lt;0.5),"NM",CE61/BW61*100-100))</f>
        <v>26.529278611657531</v>
      </c>
      <c r="CG61" s="81">
        <f>-CG53/CG50*400</f>
        <v>8.5584380850494792</v>
      </c>
      <c r="CH61" s="72">
        <f>IF(ISERROR(CG61/BY61),"NA",IF(OR(CG61/BY61&gt;2,CG61/BY61&lt;0.5),"NM",CG61/BY61*100-100))</f>
        <v>88.69042886159761</v>
      </c>
      <c r="CI61" s="81">
        <f>-CI53/CI50*400</f>
        <v>6.5852363250132768</v>
      </c>
      <c r="CJ61" s="72">
        <f>IF(ISERROR(CI61/CA61),"NA",IF(OR(CI61/CA61&gt;2,CI61/CA61&lt;0.5),"NM",CI61/CA61*100-100))</f>
        <v>29.335647578461987</v>
      </c>
      <c r="CK61" s="81">
        <f>-CK53/CK50*400</f>
        <v>7.105538140020899</v>
      </c>
      <c r="CL61" s="72">
        <f>IF(ISERROR(CK61/CC61),"NA",IF(OR(CK61/CC61&gt;2,CK61/CC61&lt;0.5),"NM",CK61/CC61*100-100))</f>
        <v>46.346756691584289</v>
      </c>
      <c r="CM61" s="81">
        <f>-CM53/CM50*400</f>
        <v>6.9846234037008088</v>
      </c>
      <c r="CN61" s="72">
        <f>IF(ISERROR(CM61/CE61),"NA",IF(OR(CM61/CE61&gt;2,CM61/CE61&lt;0.5),"NM",CM61/CE61*100-100))</f>
        <v>5.7496490770841717</v>
      </c>
      <c r="CO61" s="81">
        <f>-CO53/CO50*400</f>
        <v>6.7690705545430871</v>
      </c>
      <c r="CP61" s="72">
        <f>IF(ISERROR(CO61/CG61),"NA",IF(OR(CO61/CG61&gt;2,CO61/CG61&lt;0.5),"NM",CO61/CG61*100-100))</f>
        <v>-20.907641239260627</v>
      </c>
      <c r="CQ61" s="81">
        <f>-CQ53/CQ50*400</f>
        <v>7.0065359477124183</v>
      </c>
      <c r="CR61" s="72">
        <f>IF(ISERROR(CQ61/CI61),"NA",IF(OR(CQ61/CI61&gt;2,CQ61/CI61&lt;0.5),"NM",CQ61/CI61*100-100))</f>
        <v>6.3976386253426227</v>
      </c>
      <c r="CS61" s="81">
        <f>-CS53/CS50*400</f>
        <v>8.0839895013123364</v>
      </c>
      <c r="CT61" s="72">
        <f>IF(ISERROR(CS61/CK61),"NA",IF(OR(CS61/CK61&gt;2,CS61/CK61&lt;0.5),"NM",CS61/CK61*100-100))</f>
        <v>13.770264011116254</v>
      </c>
      <c r="CU61" s="81">
        <f>-CU53/CU50*400</f>
        <v>8.7552742616033754</v>
      </c>
      <c r="CV61" s="72">
        <f>IF(ISERROR(CU61/CM61),"NA",IF(OR(CU61/CM61&gt;2,CU61/CM61&lt;0.5),"NM",CU61/CM61*100-100))</f>
        <v>25.350699036463226</v>
      </c>
      <c r="CW61" s="81">
        <f>-CW53/CW50*400</f>
        <v>6.5643197458972997</v>
      </c>
      <c r="CX61" s="72">
        <f>IF(ISERROR(CW61/CO61),"NA",IF(OR(CW61/CO61&gt;2,CW61/CO61&lt;0.5),"NM",CW61/CO61*100-100))</f>
        <v>-3.0247994461864209</v>
      </c>
      <c r="CY61" s="81">
        <f>-CY53/CY50*400</f>
        <v>7.2186836518046711</v>
      </c>
      <c r="CZ61" s="72">
        <f>IF(ISERROR(CY61/CQ61),"NA",IF(OR(CY61/CQ61&gt;2,CY61/CQ61&lt;0.5),"NM",CY61/CQ61*100-100))</f>
        <v>3.0278543587793507</v>
      </c>
      <c r="DA61" s="81">
        <f>-DA53/DA50*400</f>
        <v>7.2417465388711397</v>
      </c>
      <c r="DB61" s="72">
        <f>IF(ISERROR(DA61/CS61),"NA",IF(OR(DA61/CS61&gt;2,DA61/CS61&lt;0.5),"NM",DA61/CS61*100-100))</f>
        <v>-10.41865482760052</v>
      </c>
      <c r="DC61" s="81">
        <f>-DC53/DC50*400</f>
        <v>7.6057846813069094</v>
      </c>
      <c r="DD61" s="72">
        <f>IF(ISERROR(DC61/CU61),"NA",IF(OR(DC61/CU61&gt;2,DC61/CU61&lt;0.5),"NM",DC61/CU61*100-100))</f>
        <v>-13.129109905072895</v>
      </c>
      <c r="DE61" s="81">
        <f>-DE53/DE50*400</f>
        <v>10.339256865912763</v>
      </c>
      <c r="DF61" s="72">
        <f>IF(ISERROR(DE61/CW61),"NA",IF(OR(DE61/CW61&gt;2,DE61/CW61&lt;0.5),"NM",DE61/CW61*100-100))</f>
        <v>57.506904997654914</v>
      </c>
      <c r="DG61" s="81">
        <f>-DG53/DG50*400</f>
        <v>8.9753987564206543</v>
      </c>
      <c r="DH61" s="72">
        <f>IF(ISERROR(DG61/CY61),"NA",IF(OR(DG61/CY61&gt;2,DG61/CY61&lt;0.5),"NM",DG61/CY61*100-100))</f>
        <v>24.335671008062604</v>
      </c>
      <c r="DI61" s="81">
        <f>-DI53/DI50*400</f>
        <v>9.2366204835642485</v>
      </c>
      <c r="DJ61" s="72">
        <f>IF(ISERROR(DI61/DA61),"NA",IF(OR(DI61/DA61&gt;2,DI61/DA61&lt;0.5),"NM",DI61/DA61*100-100))</f>
        <v>27.546862265688659</v>
      </c>
      <c r="DK61" s="81">
        <f>-DK53/DK50*400</f>
        <v>7.7320991015518645</v>
      </c>
      <c r="DL61" s="72">
        <f>IF(ISERROR(DK61/DC61),"NA",IF(OR(DK61/DC61&gt;2,DK61/DC61&lt;0.5),"NM",DK61/DC61*100-100))</f>
        <v>1.660767764769929</v>
      </c>
      <c r="DM61" s="81">
        <f>-DM53/DM50*400</f>
        <v>8.205689277899344</v>
      </c>
      <c r="DN61" s="72">
        <f t="shared" si="341"/>
        <v>-20.635599015317283</v>
      </c>
      <c r="DO61" s="81">
        <f>-DO53/DO50*400</f>
        <v>11.984606926882902</v>
      </c>
      <c r="DP61" s="72">
        <f t="shared" si="341"/>
        <v>33.527292236565842</v>
      </c>
      <c r="DQ61" s="81">
        <f>-DQ53/DQ50*400</f>
        <v>9.4156743284408755</v>
      </c>
      <c r="DR61" s="72">
        <f t="shared" si="341"/>
        <v>1.9385211852672484</v>
      </c>
      <c r="DS61" s="81">
        <f>-DS53/DS50*400</f>
        <v>9.8296565205249937</v>
      </c>
      <c r="DT61" s="72">
        <f t="shared" si="341"/>
        <v>27.127916901015141</v>
      </c>
      <c r="DU61" s="81">
        <f>-DU53/DU50*400</f>
        <v>11.076923076923077</v>
      </c>
      <c r="DV61" s="72">
        <f t="shared" si="341"/>
        <v>34.990769230769217</v>
      </c>
      <c r="DW61" s="81">
        <f>-DW53/DW50*400</f>
        <v>10.247747747747747</v>
      </c>
      <c r="DX61" s="72">
        <f t="shared" si="341"/>
        <v>-14.492416728655272</v>
      </c>
      <c r="DY61" s="81">
        <f>-DY53/DY50*400</f>
        <v>10.30577576443941</v>
      </c>
      <c r="DZ61" s="72">
        <f t="shared" si="341"/>
        <v>9.4534008393844431</v>
      </c>
      <c r="EA61" s="81">
        <f>-EA53/EA50*400</f>
        <v>10.045662100456621</v>
      </c>
      <c r="EB61" s="72">
        <f>IF(ISERROR(EA61/DS61),"NA",IF(OR(EA61/DS61&gt;2,EA61/DS61&lt;0.5),"NM",EA61/DS61*100-100))</f>
        <v>2.1974885844748826</v>
      </c>
      <c r="EC61" s="81">
        <f>-EC53/EC50*400</f>
        <v>10.324060797246917</v>
      </c>
      <c r="ED61" s="72">
        <f>IF(ISERROR(EC61/DU61),"NA",IF(OR(EC61/DU61&gt;2,EC61/DU61&lt;0.5),"NM",EC61/DU61*100-100))</f>
        <v>-6.7966733581875616</v>
      </c>
      <c r="EE61" s="81">
        <f>-EE53/EE50*400</f>
        <v>10.432788764689024</v>
      </c>
      <c r="EF61" s="72">
        <f>IF(ISERROR(EE61/DW61),"NA",IF(OR(EE61/DW61&gt;2,EE61/DW61&lt;0.5),"NM",EE61/DW61*100-100))</f>
        <v>1.8056749785038733</v>
      </c>
      <c r="EG61" s="81">
        <f>-EG53/EG50*400</f>
        <v>8.6083213773314213</v>
      </c>
      <c r="EH61" s="72">
        <f>IF(ISERROR(EG61/DY61),"NA",IF(OR(EG61/DY61&gt;2,EG61/DY61&lt;0.5),"NM",EG61/DY61*100-100))</f>
        <v>-16.470903558421483</v>
      </c>
      <c r="EI61" s="81">
        <f>-EI53/EI50*400</f>
        <v>9.6330275229357802</v>
      </c>
      <c r="EJ61" s="72">
        <f>IF(ISERROR(EI61/EA61),"NA",IF(OR(EI61/EA61&gt;2,EI61/EA61&lt;0.5),"NM",EI61/EA61*100-100))</f>
        <v>-4.1075896580483686</v>
      </c>
      <c r="EK61" s="81">
        <f>-EK53/EK50*400</f>
        <v>9.4009744912582409</v>
      </c>
      <c r="EL61" s="72">
        <f>IF(ISERROR(EK61/EC61),"NA",IF(OR(EK61/EC61&gt;2,EK61/EC61&lt;0.5),"NM",EK61/EC61*100-100))</f>
        <v>-8.9411165249514255</v>
      </c>
      <c r="EM61" s="81">
        <f>-EM53/EM50*400</f>
        <v>8.2474226804123703</v>
      </c>
      <c r="EN61" s="72">
        <f>IF(ISERROR(EM61/EE61),"NA",IF(OR(EM61/EE61&gt;2,EM61/EE61&lt;0.5),"NM",EM61/EE61*100-100))</f>
        <v>-20.947094142970442</v>
      </c>
      <c r="EO61" s="81">
        <f>-EO53/EO50*400</f>
        <v>8.8176352705410821</v>
      </c>
      <c r="EP61" s="72">
        <f>IF(ISERROR(EO61/EG61),"NA",IF(OR(EO61/EG61&gt;2,EO61/EG61&lt;0.5),"NM",EO61/EG61*100-100))</f>
        <v>2.4315297261188817</v>
      </c>
      <c r="EQ61" s="86">
        <f t="shared" si="351"/>
        <v>8.8176352705410821</v>
      </c>
      <c r="ER61" s="72">
        <f t="shared" si="343"/>
        <v>-8.4645481439068675</v>
      </c>
      <c r="ES61" s="86">
        <f t="shared" si="352"/>
        <v>8.8176352705410821</v>
      </c>
      <c r="ET61" s="72">
        <f t="shared" si="345"/>
        <v>-6.2050931130553835</v>
      </c>
      <c r="EU61" s="86">
        <f t="shared" si="353"/>
        <v>8.8176352705410821</v>
      </c>
      <c r="EV61" s="72">
        <f t="shared" si="347"/>
        <v>6.9138276553106266</v>
      </c>
      <c r="EW61" s="86">
        <f t="shared" si="354"/>
        <v>8.8176352705410821</v>
      </c>
      <c r="EX61" s="72">
        <f t="shared" si="349"/>
        <v>0</v>
      </c>
      <c r="EY61" s="72"/>
      <c r="EZ61" s="306"/>
      <c r="FA61" s="72"/>
      <c r="FB61" s="73">
        <f>-FB53/FB50*100</f>
        <v>0</v>
      </c>
      <c r="FC61" s="88"/>
      <c r="FD61" s="73">
        <f>-FD53/FD50*100</f>
        <v>0</v>
      </c>
      <c r="FE61" s="72" t="str">
        <f>IF(ISERROR(FD61/FB61),"NA",IF(OR(FD61/FB61&gt;2,FD61/FB61&lt;0.5),"NM",FD61/FB61*100-100))</f>
        <v>NA</v>
      </c>
      <c r="FF61" s="73">
        <f>-FF53/FF50*100</f>
        <v>0</v>
      </c>
      <c r="FG61" s="72" t="str">
        <f>IF(ISERROR(FF61/FD61),"NA",IF(OR(FF61/FD61&gt;2,FF61/FD61&lt;0.5),"NM",FF61/FD61*100-100))</f>
        <v>NA</v>
      </c>
      <c r="FH61" s="73">
        <f>-FH53/FH50*100</f>
        <v>0</v>
      </c>
      <c r="FI61" s="72" t="str">
        <f>IF(ISERROR(FH61/FF61),"NA",IF(OR(FH61/FF61&gt;2,FH61/FF61&lt;0.5),"NM",FH61/FF61*100-100))</f>
        <v>NA</v>
      </c>
      <c r="FJ61" s="73">
        <f>-FJ53/FJ50*100</f>
        <v>4.8739495798319332</v>
      </c>
      <c r="FK61" s="72" t="str">
        <f>IF(ISERROR(FJ61/FH61),"NA",IF(OR(FJ61/FH61&gt;2,FJ61/FH61&lt;0.5),"NM",FJ61/FH61*100-100))</f>
        <v>NA</v>
      </c>
      <c r="FL61" s="73">
        <f>-FL53/FL50*100</f>
        <v>4.7703180212014136</v>
      </c>
      <c r="FM61" s="72">
        <f>IF(ISERROR(FL61/FJ61),"NA",IF(OR(FL61/FJ61&gt;2,FL61/FJ61&lt;0.5),"NM",FL61/FJ61*100-100))</f>
        <v>-2.126233702936517</v>
      </c>
      <c r="FN61" s="73">
        <f>-FN53/FN50*100</f>
        <v>4.638588503130336</v>
      </c>
      <c r="FO61" s="72">
        <f>IF(ISERROR(FN61/FL61),"NA",IF(OR(FN61/FL61&gt;2,FN61/FL61&lt;0.5),"NM",FN61/FL61*100-100))</f>
        <v>-2.7614410084529624</v>
      </c>
      <c r="FP61" s="73">
        <f>-FP53/FP50*100</f>
        <v>4.1247744263985568</v>
      </c>
      <c r="FQ61" s="72">
        <f>IF(ISERROR(FP61/FN61),"NA",IF(OR(FP61/FN61&gt;2,FP61/FN61&lt;0.5),"NM",FP61/FN61*100-100))</f>
        <v>-11.076948868929264</v>
      </c>
      <c r="FR61" s="73">
        <f>-FR53/FR50*100</f>
        <v>4.4099223252317712</v>
      </c>
      <c r="FS61" s="72">
        <f>IF(ISERROR(FR61/FP61),"NA",IF(OR(FR61/FP61&gt;2,FR61/FP61&lt;0.5),"NM",FR61/FP61*100-100))</f>
        <v>6.91305437233774</v>
      </c>
      <c r="FT61" s="73">
        <f>-FT53/FT50*100</f>
        <v>4.4557097118463185</v>
      </c>
      <c r="FU61" s="72">
        <f>IF(ISERROR(FT61/FR61),"NA",IF(OR(FT61/FR61&gt;2,FT61/FR61&lt;0.5),"NM",FT61/FR61*100-100))</f>
        <v>1.0382810226060144</v>
      </c>
      <c r="FV61" s="81">
        <f>-FV53/FV50*100</f>
        <v>4.5871559633027523</v>
      </c>
      <c r="FW61" s="72">
        <f>IF(ISERROR(FV61/FT61),"NA",IF(OR(FV61/FT61&gt;2,FV61/FT61&lt;0.5),"NM",FV61/FT61*100-100))</f>
        <v>2.9500631763994818</v>
      </c>
      <c r="FX61" s="81">
        <f>-FX53/FX50*100</f>
        <v>4.8558421851289832</v>
      </c>
      <c r="FY61" s="72">
        <f>IF(ISERROR(FX61/FV61),"NA",IF(OR(FX61/FV61&gt;2,FX61/FV61&lt;0.5),"NM",FX61/FV61*100-100))</f>
        <v>5.8573596358118465</v>
      </c>
      <c r="FZ61" s="81">
        <f>-FZ53/FZ50*100</f>
        <v>7.7346465816917735</v>
      </c>
      <c r="GA61" s="72">
        <f>IF(ISERROR(FZ61/FX61),"NA",IF(OR(FZ61/FX61&gt;2,FZ61/FX61&lt;0.5),"NM",FZ61/FX61*100-100))</f>
        <v>59.285378041714978</v>
      </c>
      <c r="GB61" s="81">
        <f>-GB53/GB50*100</f>
        <v>7.1931196247068021</v>
      </c>
      <c r="GC61" s="72">
        <f>IF(ISERROR(GB61/FZ61),"NA",IF(OR(GB61/FZ61&gt;2,GB61/FZ61&lt;0.5),"NM",GB61/FZ61*100-100))</f>
        <v>-7.0013148146521331</v>
      </c>
      <c r="GD61" s="81">
        <f>-GD53/GD50*100</f>
        <v>7.4103375527426154</v>
      </c>
      <c r="GE61" s="72">
        <f>IF(ISERROR(GD61/GB61),"NA",IF(OR(GD61/GB61&gt;2,GD61/GB61&lt;0.5),"NM",GD61/GB61*100-100))</f>
        <v>3.0198014125848403</v>
      </c>
      <c r="GF61" s="81">
        <f>-GF53/GF50*100</f>
        <v>8.9716122121049811</v>
      </c>
      <c r="GG61" s="72">
        <f>IF(ISERROR(GF61/GD61),"NA",IF(OR(GF61/GD61&gt;2,GF61/GD61&lt;0.5),"NM",GF61/GD61*100-100))</f>
        <v>21.068873695025232</v>
      </c>
      <c r="GH61" s="81">
        <f>-GH53/GH50*100</f>
        <v>9.2567383610127969</v>
      </c>
      <c r="GI61" s="72">
        <f t="shared" si="350"/>
        <v>3.1780926567814447</v>
      </c>
      <c r="GJ61" s="81">
        <f>-GJ53/GJ50*100</f>
        <v>10.30438425020944</v>
      </c>
      <c r="GK61" s="72">
        <f t="shared" si="350"/>
        <v>11.317656914762566</v>
      </c>
      <c r="GL61" s="81">
        <f>-GL53/GL50*100</f>
        <v>9.8173515981735147</v>
      </c>
      <c r="GM61" s="72">
        <f t="shared" si="350"/>
        <v>-4.7264605066142167</v>
      </c>
      <c r="GN61" s="81">
        <f>-GN53/GN50*100</f>
        <v>9.0309633027522942</v>
      </c>
      <c r="GO61" s="72">
        <f t="shared" si="350"/>
        <v>-8.0101877533603414</v>
      </c>
      <c r="GP61" s="81">
        <f>-GP53/GP50*100</f>
        <v>8.7626074715237188</v>
      </c>
      <c r="GQ61" s="72">
        <f t="shared" si="350"/>
        <v>-2.971508378810384</v>
      </c>
      <c r="GR61" s="86">
        <f>GP61</f>
        <v>8.7626074715237188</v>
      </c>
      <c r="GS61" s="72">
        <f t="shared" si="350"/>
        <v>0</v>
      </c>
      <c r="GT61" s="86">
        <f>GR61</f>
        <v>8.7626074715237188</v>
      </c>
      <c r="GU61" s="72">
        <f t="shared" si="350"/>
        <v>0</v>
      </c>
      <c r="GV61" s="86">
        <f>GT61</f>
        <v>8.7626074715237188</v>
      </c>
      <c r="GW61" s="72">
        <f>IF(ISERROR(GV61/GT61),"NA",IF(OR(GV61/GT61&gt;2,GV61/GT61&lt;0.5),"NM",GV61/GT61*100-100))</f>
        <v>0</v>
      </c>
      <c r="GX61" s="86">
        <f>GV61</f>
        <v>8.7626074715237188</v>
      </c>
      <c r="GY61" s="72">
        <f>IF(ISERROR(GX61/GV61),"NA",IF(OR(GX61/GV61&gt;2,GX61/GV61&lt;0.5),"NM",GX61/GV61*100-100))</f>
        <v>0</v>
      </c>
      <c r="GZ61" s="72">
        <f>IF(ISERROR(((GX61/GN61)^0.2-1)*100),"NA",IF((((GX61/GN61)^0.2-1)*100)&gt;100,"NM",IF((((GX61/GN61)^0.2-1)*100)&lt;-50,"NM",((GX61/GN61)^0.2-1)*100)))</f>
        <v>-0.60149418811817901</v>
      </c>
      <c r="HA61" s="72"/>
      <c r="HB61" s="72"/>
      <c r="HC61"/>
      <c r="HD61"/>
      <c r="HE61"/>
      <c r="HF61"/>
      <c r="HG61"/>
      <c r="HH61"/>
      <c r="HI61" s="111"/>
    </row>
    <row r="62" spans="1:217" s="3" customFormat="1" ht="12.75" customHeight="1" x14ac:dyDescent="0.2">
      <c r="B62" s="10" t="s">
        <v>443</v>
      </c>
      <c r="C62" s="73">
        <f>C54/C$50*400</f>
        <v>0.13245033112582782</v>
      </c>
      <c r="D62" s="72"/>
      <c r="E62" s="73">
        <f>E54/E$50*400</f>
        <v>2.2750083640013385</v>
      </c>
      <c r="F62" s="72"/>
      <c r="G62" s="73">
        <f>G54/G$50*400</f>
        <v>1.7657045840407468</v>
      </c>
      <c r="H62" s="72"/>
      <c r="I62" s="73">
        <f>I54/I$50*400</f>
        <v>2.0394289598912305</v>
      </c>
      <c r="J62" s="72"/>
      <c r="K62" s="73">
        <f>K54/K$50*400</f>
        <v>0.27341079972658922</v>
      </c>
      <c r="L62" s="72" t="str">
        <f>IF(ISERROR(K62/C62),"NA",IF(OR(K62/C62&gt;2,K62/C62&lt;0.5),"NM",K62/C62*100-100))</f>
        <v>NM</v>
      </c>
      <c r="M62" s="73">
        <f>M54/M$50*400</f>
        <v>1.523018345448252</v>
      </c>
      <c r="N62" s="72">
        <f>IF(ISERROR(M62/E62),"NA",IF(OR(M62/E62&gt;2,M62/E62&lt;0.5),"NM",M62/E62*100-100))</f>
        <v>-33.054384786105516</v>
      </c>
      <c r="O62" s="73">
        <f>O54/O$50*400</f>
        <v>1.2534818941504178</v>
      </c>
      <c r="P62" s="72">
        <f>IF(ISERROR(O62/G62),"NA",IF(OR(O62/G62&gt;2,O62/G62&lt;0.5),"NM",O62/G62*100-100))</f>
        <v>-29.009535033211904</v>
      </c>
      <c r="Q62" s="73">
        <f>Q54/Q$50*400</f>
        <v>17.172774869109947</v>
      </c>
      <c r="R62" s="72" t="str">
        <f>IF(ISERROR(Q62/I62),"NA",IF(OR(Q62/I62&gt;2,Q62/I62&lt;0.5),"NM",Q62/I62*100-100))</f>
        <v>NM</v>
      </c>
      <c r="S62" s="73">
        <f>S54/S$50*400</f>
        <v>-3.4957983193277311</v>
      </c>
      <c r="T62" s="72" t="str">
        <f>IF(ISERROR(S62/K62),"NA",IF(OR(S62/K62&gt;2,S62/K62&lt;0.5),"NM",S62/K62*100-100))</f>
        <v>NM</v>
      </c>
      <c r="U62" s="73">
        <f>U54/U$50*400</f>
        <v>4.1251289102784465</v>
      </c>
      <c r="V62" s="72" t="str">
        <f>IF(ISERROR(U62/M62),"NA",IF(OR(U62/M62&gt;2,U62/M62&lt;0.5),"NM",U62/M62*100-100))</f>
        <v>NM</v>
      </c>
      <c r="W62" s="73">
        <f>W54/W$50*400</f>
        <v>7.349081364829396</v>
      </c>
      <c r="X62" s="72" t="str">
        <f>IF(ISERROR(W62/O62),"NA",IF(OR(W62/O62&gt;2,W62/O62&lt;0.5),"NM",W62/O62*100-100))</f>
        <v>NM</v>
      </c>
      <c r="Y62" s="73">
        <f>Y54/Y$50*400</f>
        <v>5.7668711656441722</v>
      </c>
      <c r="Z62" s="72" t="str">
        <f>IF(ISERROR(Y62/Q62),"NA",IF(OR(Y62/Q62&gt;2,Y62/Q62&lt;0.5),"NM",Y62/Q62*100-100))</f>
        <v>NM</v>
      </c>
      <c r="AA62" s="73">
        <f>AA54/AA$50*400</f>
        <v>5.0647820965842163</v>
      </c>
      <c r="AB62" s="72" t="str">
        <f>IF(ISERROR(AA62/S62),"NA",IF(OR(AA62/S62&gt;2,AA62/S62&lt;0.5),"NM",AA62/S62*100-100))</f>
        <v>NM</v>
      </c>
      <c r="AC62" s="73">
        <f>AC54/AC$50*400</f>
        <v>5.4131874460120928</v>
      </c>
      <c r="AD62" s="72">
        <f>IF(ISERROR(AC62/U62),"NA",IF(OR(AC62/U62&gt;2,AC62/U62&lt;0.5),"NM",AC62/U62*100-100))</f>
        <v>31.224685670409826</v>
      </c>
      <c r="AE62" s="73">
        <f>AE54/AE$50*400</f>
        <v>5.8319039451114927</v>
      </c>
      <c r="AF62" s="72">
        <f>IF(ISERROR(AE62/W62),"NA",IF(OR(AE62/W62&gt;2,AE62/W62&lt;0.5),"NM",AE62/W62*100-100))</f>
        <v>-20.644449889732897</v>
      </c>
      <c r="AG62" s="73">
        <f>AG54/AG$50*400</f>
        <v>4.2009650865739427</v>
      </c>
      <c r="AH62" s="72">
        <f>IF(ISERROR(AG62/Y62),"NA",IF(OR(AG62/Y62&gt;2,AG62/Y62&lt;0.5),"NM",AG62/Y62*100-100))</f>
        <v>-27.153477754090147</v>
      </c>
      <c r="AI62" s="73">
        <f>AI54/AI$50*400</f>
        <v>7.3989755264655663</v>
      </c>
      <c r="AJ62" s="72">
        <f>IF(ISERROR(AI62/AA62),"NA",IF(OR(AI62/AA62&gt;2,AI62/AA62&lt;0.5),"NM",AI62/AA62*100-100))</f>
        <v>46.086749348122481</v>
      </c>
      <c r="AK62" s="73">
        <f>AK54/AK$50*400</f>
        <v>4.7006155567991046</v>
      </c>
      <c r="AL62" s="72">
        <f>IF(ISERROR(AK62/AC62),"NA",IF(OR(AK62/AC62&gt;2,AK62/AC62&lt;0.5),"NM",AK62/AC62*100-100))</f>
        <v>-13.163628570408022</v>
      </c>
      <c r="AM62" s="73">
        <f>AM54/AM$50*400</f>
        <v>5.2659860290166574</v>
      </c>
      <c r="AN62" s="72">
        <f>IF(ISERROR(AM62/AE62),"NA",IF(OR(AM62/AE62&gt;2,AM62/AE62&lt;0.5),"NM",AM62/AE62*100-100))</f>
        <v>-9.7038277965673245</v>
      </c>
      <c r="AO62" s="73">
        <f>AO54/AO$50*400</f>
        <v>3.6269430051813467</v>
      </c>
      <c r="AP62" s="72">
        <f>IF(ISERROR(AO62/AG62),"NA",IF(OR(AO62/AG62&gt;2,AO62/AG62&lt;0.5),"NM",AO62/AG62*100-100))</f>
        <v>-13.664052653689978</v>
      </c>
      <c r="AQ62" s="73">
        <f>AQ54/AQ$50*400</f>
        <v>4.7434905903583395</v>
      </c>
      <c r="AR62" s="72">
        <f>IF(ISERROR(AQ62/AI62),"NA",IF(OR(AQ62/AI62&gt;2,AQ62/AI62&lt;0.5),"NM",AQ62/AI62*100-100))</f>
        <v>-35.889900251849213</v>
      </c>
      <c r="AS62" s="73">
        <f>AS54/AS$50*400</f>
        <v>4.1247744263985568</v>
      </c>
      <c r="AT62" s="72">
        <f>IF(ISERROR(AS62/AK62),"NA",IF(OR(AS62/AK62&gt;2,AS62/AK62&lt;0.5),"NM",AS62/AK62*100-100))</f>
        <v>-12.250334524116411</v>
      </c>
      <c r="AU62" s="73">
        <f>AU54/AU$50*400</f>
        <v>2.1653543307086616</v>
      </c>
      <c r="AV62" s="72" t="str">
        <f>IF(ISERROR(AU62/AM62),"NA",IF(OR(AU62/AM62&gt;2,AU62/AM62&lt;0.5),"NM",AU62/AM62*100-100))</f>
        <v>NM</v>
      </c>
      <c r="AW62" s="73">
        <f>AW54/AW$50*400</f>
        <v>3.8680882717579967</v>
      </c>
      <c r="AX62" s="72">
        <f>IF(ISERROR(AW62/AO62),"NA",IF(OR(AW62/AO62&gt;2,AW62/AO62&lt;0.5),"NM",AW62/AO62*100-100))</f>
        <v>6.6487194927562001</v>
      </c>
      <c r="AY62" s="73">
        <f>AY54/AY$50*400</f>
        <v>3.5078927587070909</v>
      </c>
      <c r="AZ62" s="72">
        <f>IF(ISERROR(AY62/AQ62),"NA",IF(OR(AY62/AQ62&gt;2,AY62/AQ62&lt;0.5),"NM",AY62/AQ62*100-100))</f>
        <v>-26.048282548778218</v>
      </c>
      <c r="BA62" s="73">
        <f>BA54/BA$50*400</f>
        <v>3.3494037046434917</v>
      </c>
      <c r="BB62" s="72">
        <f>IF(ISERROR(BA62/AS62),"NA",IF(OR(BA62/AS62&gt;2,BA62/AS62&lt;0.5),"NM",BA62/AS62*100-100))</f>
        <v>-18.797893935549354</v>
      </c>
      <c r="BC62" s="73">
        <f>BC54/BC$50*400</f>
        <v>2.7899767501937482</v>
      </c>
      <c r="BD62" s="72">
        <f>IF(ISERROR(BC62/AU62),"NA",IF(OR(BC62/AU62&gt;2,BC62/AU62&lt;0.5),"NM",BC62/AU62*100-100))</f>
        <v>28.84619900894765</v>
      </c>
      <c r="BE62" s="73">
        <f>BE54/BE$50*400</f>
        <v>3.7755637126376507</v>
      </c>
      <c r="BF62" s="72">
        <f>IF(ISERROR(BE62/AW62),"NA",IF(OR(BE62/AW62&gt;2,BE62/AW62&lt;0.5),"NM",BE62/AW62*100-100))</f>
        <v>-2.3919970957202281</v>
      </c>
      <c r="BG62" s="81">
        <f>BG54/BG$50*400</f>
        <v>3.7353255069370332</v>
      </c>
      <c r="BH62" s="72">
        <f>IF(ISERROR(BG62/AY62),"NA",IF(OR(BG62/AY62&gt;2,BG62/AY62&lt;0.5),"NM",BG62/AY62*100-100))</f>
        <v>6.4834578441835617</v>
      </c>
      <c r="BI62" s="81">
        <f>BI54/BI$50*400</f>
        <v>3.1530307148681707</v>
      </c>
      <c r="BJ62" s="72">
        <f>IF(ISERROR(BI62/BA62),"NA",IF(OR(BI62/BA62&gt;2,BI62/BA62&lt;0.5),"NM",BI62/BA62*100-100))</f>
        <v>-5.8629238841253084</v>
      </c>
      <c r="BK62" s="81">
        <f>BK54/BK$50*400</f>
        <v>3.6585365853658534</v>
      </c>
      <c r="BL62" s="72">
        <f>IF(ISERROR(BK62/BC62),"NA",IF(OR(BK62/BC62&gt;2,BK62/BC62&lt;0.5),"NM",BK62/BC62*100-100))</f>
        <v>31.131436314363157</v>
      </c>
      <c r="BM62" s="81">
        <f>BM54/BM$50*400</f>
        <v>3.0456852791878175</v>
      </c>
      <c r="BN62" s="72">
        <f>IF(ISERROR(BM62/BE62),"NA",IF(OR(BM62/BE62&gt;2,BM62/BE62&lt;0.5),"NM",BM62/BE62*100-100))</f>
        <v>-19.331641285955996</v>
      </c>
      <c r="BO62" s="81">
        <f>BO54/BO$50*400</f>
        <v>3.669724770642202</v>
      </c>
      <c r="BP62" s="72">
        <f>IF(ISERROR(BO62/BG62),"NA",IF(OR(BO62/BG62&gt;2,BO62/BG62&lt;0.5),"NM",BO62/BG62*100-100))</f>
        <v>-1.7562254259501913</v>
      </c>
      <c r="BQ62" s="81">
        <f>BQ54/BQ$50*400</f>
        <v>3.6046511627906979</v>
      </c>
      <c r="BR62" s="72">
        <f>IF(ISERROR(BQ62/BI62),"NA",IF(OR(BQ62/BI62&gt;2,BQ62/BI62&lt;0.5),"NM",BQ62/BI62*100-100))</f>
        <v>14.323376102646364</v>
      </c>
      <c r="BS62" s="81">
        <f>BS54/BS$50*400</f>
        <v>3.7713612256923983</v>
      </c>
      <c r="BT62" s="72">
        <f>IF(ISERROR(BS62/BK62),"NA",IF(OR(BS62/BK62&gt;2,BS62/BK62&lt;0.5),"NM",BS62/BK62*100-100))</f>
        <v>3.0838735022588963</v>
      </c>
      <c r="BU62" s="81">
        <f>BU54/BU$50*400</f>
        <v>3.8220364287847119</v>
      </c>
      <c r="BV62" s="72">
        <f>IF(ISERROR(BU62/BM62),"NA",IF(OR(BU62/BM62&gt;2,BU62/BM62&lt;0.5),"NM",BU62/BM62*100-100))</f>
        <v>25.490196078431367</v>
      </c>
      <c r="BW62" s="81">
        <f>BW54/BW$50*400</f>
        <v>4.0060698027314112</v>
      </c>
      <c r="BX62" s="72">
        <f>IF(ISERROR(BW62/BO62),"NA",IF(OR(BW62/BO62&gt;2,BW62/BO62&lt;0.5),"NM",BW62/BO62*100-100))</f>
        <v>9.1654021244309547</v>
      </c>
      <c r="BY62" s="81">
        <f>BY54/BY$50*400</f>
        <v>3.6775973030953111</v>
      </c>
      <c r="BZ62" s="72">
        <f>IF(ISERROR(BY62/BQ62),"NA",IF(OR(BY62/BQ62&gt;2,BY62/BQ62&lt;0.5),"NM",BY62/BQ62*100-100))</f>
        <v>2.0236671181279746</v>
      </c>
      <c r="CA62" s="81">
        <f>CA54/CA$50*400</f>
        <v>4.4706612853151197</v>
      </c>
      <c r="CB62" s="72">
        <f>IF(ISERROR(CA62/BS62),"NA",IF(OR(CA62/BS62&gt;2,CA62/BS62&lt;0.5),"NM",CA62/BS62*100-100))</f>
        <v>18.542378143433709</v>
      </c>
      <c r="CC62" s="81">
        <f>CC54/CC$50*400</f>
        <v>37.099284158107686</v>
      </c>
      <c r="CD62" s="72" t="str">
        <f>IF(ISERROR(CC62/BU62),"NA",IF(OR(CC62/BU62&gt;2,CC62/BU62&lt;0.5),"NM",CC62/BU62*100-100))</f>
        <v>NM</v>
      </c>
      <c r="CE62" s="81">
        <f>CE54/CE$50*400</f>
        <v>42.062572421784473</v>
      </c>
      <c r="CF62" s="72" t="str">
        <f>IF(ISERROR(CE62/BW62),"NA",IF(OR(CE62/BW62&gt;2,CE62/BW62&lt;0.5),"NM",CE62/BW62*100-100))</f>
        <v>NM</v>
      </c>
      <c r="CG62" s="81">
        <f>CG54/CG$50*400</f>
        <v>16.36801283765713</v>
      </c>
      <c r="CH62" s="72" t="str">
        <f>IF(ISERROR(CG62/BY62),"NA",IF(OR(CG62/BY62&gt;2,CG62/BY62&lt;0.5),"NM",CG62/BY62*100-100))</f>
        <v>NM</v>
      </c>
      <c r="CI62" s="81">
        <f>CI54/CI$50*400</f>
        <v>14.763674986723313</v>
      </c>
      <c r="CJ62" s="72" t="str">
        <f>IF(ISERROR(CI62/CA62),"NA",IF(OR(CI62/CA62&gt;2,CI62/CA62&lt;0.5),"NM",CI62/CA62*100-100))</f>
        <v>NM</v>
      </c>
      <c r="CK62" s="81">
        <f>CK54/CK$50*400</f>
        <v>11.494252873563218</v>
      </c>
      <c r="CL62" s="72" t="str">
        <f>IF(ISERROR(CK62/CC62),"NA",IF(OR(CK62/CC62&gt;2,CK62/CC62&lt;0.5),"NM",CK62/CC62*100-100))</f>
        <v>NM</v>
      </c>
      <c r="CM62" s="81">
        <f>CM54/CM$50*400</f>
        <v>10.633307271305707</v>
      </c>
      <c r="CN62" s="72" t="str">
        <f>IF(ISERROR(CM62/CE62),"NA",IF(OR(CM62/CE62&gt;2,CM62/CE62&lt;0.5),"NM",CM62/CE62*100-100))</f>
        <v>NM</v>
      </c>
      <c r="CO62" s="81">
        <f>CO54/CO$50*400</f>
        <v>7.7063264774798235</v>
      </c>
      <c r="CP62" s="72" t="str">
        <f>IF(ISERROR(CO62/CG62),"NA",IF(OR(CO62/CG62&gt;2,CO62/CG62&lt;0.5),"NM",CO62/CG62*100-100))</f>
        <v>NM</v>
      </c>
      <c r="CQ62" s="81">
        <f>CQ54/CQ$50*400</f>
        <v>8.6797385620915026</v>
      </c>
      <c r="CR62" s="72">
        <f>IF(ISERROR(CQ62/CI62),"NA",IF(OR(CQ62/CI62&gt;2,CQ62/CI62&lt;0.5),"NM",CQ62/CI62*100-100))</f>
        <v>-41.208821178351442</v>
      </c>
      <c r="CS62" s="81">
        <f>CS54/CS$50*400</f>
        <v>9.1338582677165352</v>
      </c>
      <c r="CT62" s="72">
        <f>IF(ISERROR(CS62/CK62),"NA",IF(OR(CS62/CK62&gt;2,CS62/CK62&lt;0.5),"NM",CS62/CK62*100-100))</f>
        <v>-20.535433070866134</v>
      </c>
      <c r="CU62" s="81">
        <f>CU54/CU$50*400</f>
        <v>10.126582278481013</v>
      </c>
      <c r="CV62" s="72">
        <f>IF(ISERROR(CU62/CM62),"NA",IF(OR(CU62/CM62&gt;2,CU62/CM62&lt;0.5),"NM",CU62/CM62*100-100))</f>
        <v>-4.7654504839910459</v>
      </c>
      <c r="CW62" s="81">
        <f>CW54/CW$50*400</f>
        <v>7.7289571201694027</v>
      </c>
      <c r="CX62" s="72">
        <f>IF(ISERROR(CW62/CO62),"NA",IF(OR(CW62/CO62&gt;2,CW62/CO62&lt;0.5),"NM",CW62/CO62*100-100))</f>
        <v>0.29366317084686955</v>
      </c>
      <c r="CY62" s="81">
        <f>CY54/CY$50*400</f>
        <v>8.2802547770700627</v>
      </c>
      <c r="CZ62" s="72">
        <f>IF(ISERROR(CY62/CQ62),"NA",IF(OR(CY62/CQ62&gt;2,CY62/CQ62&lt;0.5),"NM",CY62/CQ62*100-100))</f>
        <v>-4.602486378635561</v>
      </c>
      <c r="DA62" s="81">
        <f>DA54/DA$50*400</f>
        <v>8.8391906283280086</v>
      </c>
      <c r="DB62" s="72">
        <f>IF(ISERROR(DA62/CS62),"NA",IF(OR(DA62/CS62&gt;2,DA62/CS62&lt;0.5),"NM",DA62/CS62*100-100))</f>
        <v>-3.2261026036502471</v>
      </c>
      <c r="DC62" s="81">
        <f>DC54/DC$50*400</f>
        <v>8.2485270487412965</v>
      </c>
      <c r="DD62" s="72">
        <f>IF(ISERROR(DC62/CU62),"NA",IF(OR(DC62/CU62&gt;2,DC62/CU62&lt;0.5),"NM",DC62/CU62*100-100))</f>
        <v>-18.545795393679697</v>
      </c>
      <c r="DE62" s="81">
        <f>DE54/DE$50*400</f>
        <v>11.308562197092083</v>
      </c>
      <c r="DF62" s="72">
        <f>IF(ISERROR(DE62/CW62),"NA",IF(OR(DE62/CW62&gt;2,DE62/CW62&lt;0.5),"NM",DE62/CW62*100-100))</f>
        <v>46.314205413061273</v>
      </c>
      <c r="DG62" s="81">
        <f>DG54/DG$50*400</f>
        <v>9.8404974317383065</v>
      </c>
      <c r="DH62" s="72">
        <f>IF(ISERROR(DG62/CY62),"NA",IF(OR(DG62/CY62&gt;2,DG62/CY62&lt;0.5),"NM",DG62/CY62*100-100))</f>
        <v>18.842930521762639</v>
      </c>
      <c r="DI62" s="81">
        <f>DI54/DI$50*400</f>
        <v>10.649280086932897</v>
      </c>
      <c r="DJ62" s="72">
        <f>IF(ISERROR(DI62/DA62),"NA",IF(OR(DI62/DA62&gt;2,DI62/DA62&lt;0.5),"NM",DI62/DA62*100-100))</f>
        <v>20.478000019638444</v>
      </c>
      <c r="DK62" s="81">
        <f>DK54/DK$50*400</f>
        <v>7.9499047100462832</v>
      </c>
      <c r="DL62" s="72">
        <f>IF(ISERROR(DK62/DC62),"NA",IF(OR(DK62/DC62&gt;2,DK62/DC62&lt;0.5),"NM",DK62/DC62*100-100))</f>
        <v>-3.6203110801531864</v>
      </c>
      <c r="DM62" s="81">
        <f>DM54/DM$50*400</f>
        <v>8.5339168490153181</v>
      </c>
      <c r="DN62" s="72">
        <f t="shared" si="341"/>
        <v>-24.535792435135974</v>
      </c>
      <c r="DO62" s="81">
        <f>DO54/DO$50*400</f>
        <v>10.995052226498075</v>
      </c>
      <c r="DP62" s="72">
        <f t="shared" si="341"/>
        <v>11.732687323671385</v>
      </c>
      <c r="DQ62" s="81">
        <f>DQ54/DQ$50*400</f>
        <v>9.5264469675990036</v>
      </c>
      <c r="DR62" s="72">
        <f t="shared" si="341"/>
        <v>-10.543746714969544</v>
      </c>
      <c r="DS62" s="81">
        <f>DS54/DS$50*400</f>
        <v>11.058363585590616</v>
      </c>
      <c r="DT62" s="72">
        <f t="shared" si="341"/>
        <v>39.100580307788817</v>
      </c>
      <c r="DU62" s="81">
        <f>DU54/DU$50*400</f>
        <v>10.517482517482518</v>
      </c>
      <c r="DV62" s="72">
        <f t="shared" si="341"/>
        <v>23.24332078178233</v>
      </c>
      <c r="DW62" s="81">
        <f>DW54/DW$50*400</f>
        <v>10.585585585585585</v>
      </c>
      <c r="DX62" s="72">
        <f t="shared" si="341"/>
        <v>-3.7240990990990923</v>
      </c>
      <c r="DY62" s="81">
        <f>DY54/DY$50*400</f>
        <v>9.3997734994337492</v>
      </c>
      <c r="DZ62" s="72">
        <f t="shared" si="341"/>
        <v>-1.3297031789091136</v>
      </c>
      <c r="EA62" s="81">
        <f>EA54/EA$50*400</f>
        <v>9.8173515981735147</v>
      </c>
      <c r="EB62" s="72">
        <f>IF(ISERROR(EA62/DS62),"NA",IF(OR(EA62/DS62&gt;2,EA62/DS62&lt;0.5),"NM",EA62/DS62*100-100))</f>
        <v>-11.222383653890518</v>
      </c>
      <c r="EC62" s="81">
        <f>EC54/EC$50*400</f>
        <v>12.044737596788071</v>
      </c>
      <c r="ED62" s="72">
        <f>IF(ISERROR(EC62/DU62),"NA",IF(OR(EC62/DU62&gt;2,EC62/DU62&lt;0.5),"NM",EC62/DU62*100-100))</f>
        <v>14.521108799248267</v>
      </c>
      <c r="EE62" s="81">
        <f>EE54/EE$50*400</f>
        <v>11.006018916595012</v>
      </c>
      <c r="EF62" s="72">
        <f>IF(ISERROR(EE62/DW62),"NA",IF(OR(EE62/DW62&gt;2,EE62/DW62&lt;0.5),"NM",EE62/DW62*100-100))</f>
        <v>3.9717531695358588</v>
      </c>
      <c r="EG62" s="81">
        <f>EG54/EG$50*400</f>
        <v>9.9856527977044465</v>
      </c>
      <c r="EH62" s="72">
        <f>IF(ISERROR(EG62/DY62),"NA",IF(OR(EG62/DY62&gt;2,EG62/DY62&lt;0.5),"NM",EG62/DY62*100-100))</f>
        <v>6.2329086791930877</v>
      </c>
      <c r="EI62" s="81">
        <f>EI54/EI$50*400</f>
        <v>11.467889908256881</v>
      </c>
      <c r="EJ62" s="72">
        <f>IF(ISERROR(EI62/EA62),"NA",IF(OR(EI62/EA62&gt;2,EI62/EA62&lt;0.5),"NM",EI62/EA62*100-100))</f>
        <v>16.812459995732894</v>
      </c>
      <c r="EK62" s="81">
        <f>EK54/EK$50*400</f>
        <v>11.006018916595012</v>
      </c>
      <c r="EL62" s="72">
        <f>IF(ISERROR(EK62/EC62),"NA",IF(OR(EK62/EC62&gt;2,EK62/EC62&lt;0.5),"NM",EK62/EC62*100-100))</f>
        <v>-8.6238381853171404</v>
      </c>
      <c r="EM62" s="81">
        <f>EM54/EM$50*400</f>
        <v>9.6219931271477677</v>
      </c>
      <c r="EN62" s="72">
        <f>IF(ISERROR(EM62/EE62),"NA",IF(OR(EM62/EE62&gt;2,EM62/EE62&lt;0.5),"NM",EM62/EE62*100-100))</f>
        <v>-12.57517182130583</v>
      </c>
      <c r="EO62" s="81">
        <f>EO54/EO$50*400</f>
        <v>9.5047237331806471</v>
      </c>
      <c r="EP62" s="72">
        <f>IF(ISERROR(EO62/EG62),"NA",IF(OR(EO62/EG62&gt;2,EO62/EG62&lt;0.5),"NM",EO62/EG62*100-100))</f>
        <v>-4.8162005455903483</v>
      </c>
      <c r="EQ62" s="86">
        <f t="shared" ref="EQ62" si="355">+EO62</f>
        <v>9.5047237331806471</v>
      </c>
      <c r="ER62" s="72">
        <f t="shared" si="343"/>
        <v>-17.118809046664765</v>
      </c>
      <c r="ES62" s="86">
        <f t="shared" ref="ES62" si="356">+EQ62</f>
        <v>9.5047237331806471</v>
      </c>
      <c r="ET62" s="72">
        <f t="shared" si="345"/>
        <v>-13.640674205553964</v>
      </c>
      <c r="EU62" s="86">
        <f t="shared" ref="EU62" si="357">+ES62</f>
        <v>9.5047237331806471</v>
      </c>
      <c r="EV62" s="72">
        <f t="shared" si="347"/>
        <v>-1.2187640587297182</v>
      </c>
      <c r="EW62" s="86">
        <f t="shared" ref="EW62" si="358">+EU62</f>
        <v>9.5047237331806471</v>
      </c>
      <c r="EX62" s="72">
        <f t="shared" si="349"/>
        <v>0</v>
      </c>
      <c r="EY62" s="72"/>
      <c r="EZ62" s="306"/>
      <c r="FA62" s="72"/>
      <c r="FB62" s="73">
        <f>FB54/FB$50*100</f>
        <v>1.2087026591458501</v>
      </c>
      <c r="FC62" s="88"/>
      <c r="FD62" s="73">
        <f>FD54/FD$50*100</f>
        <v>1.10803324099723</v>
      </c>
      <c r="FE62" s="72">
        <f>IF(ISERROR(FD62/FB62),"NA",IF(OR(FD62/FB62&gt;2,FD62/FB62&lt;0.5),"NM",FD62/FB62*100-100))</f>
        <v>-8.3287165281625022</v>
      </c>
      <c r="FF62" s="73">
        <f>FF54/FF$50*100</f>
        <v>1.5231788079470199</v>
      </c>
      <c r="FG62" s="72">
        <f>IF(ISERROR(FF62/FD62),"NA",IF(OR(FF62/FD62&gt;2,FF62/FD62&lt;0.5),"NM",FF62/FD62*100-100))</f>
        <v>37.466887417218544</v>
      </c>
      <c r="FH62" s="73">
        <f>FH54/FH$50*100</f>
        <v>4.9555707450444286</v>
      </c>
      <c r="FI62" s="72" t="str">
        <f>IF(ISERROR(FH62/FF62),"NA",IF(OR(FH62/FF62&gt;2,FH62/FF62&lt;0.5),"NM",FH62/FF62*100-100))</f>
        <v>NM</v>
      </c>
      <c r="FJ62" s="73">
        <f>FJ54/FJ$50*100</f>
        <v>3.596638655462185</v>
      </c>
      <c r="FK62" s="72">
        <f>IF(ISERROR(FJ62/FH62),"NA",IF(OR(FJ62/FH62&gt;2,FJ62/FH62&lt;0.5),"NM",FJ62/FH62*100-100))</f>
        <v>-27.422312373225139</v>
      </c>
      <c r="FL62" s="73">
        <f>FL54/FL$50*100</f>
        <v>5.2414605418138986</v>
      </c>
      <c r="FM62" s="72">
        <f>IF(ISERROR(FL62/FJ62),"NA",IF(OR(FL62/FJ62&gt;2,FL62/FJ62&lt;0.5),"NM",FL62/FJ62*100-100))</f>
        <v>45.732197307442505</v>
      </c>
      <c r="FN62" s="73">
        <f>FN54/FN$50*100</f>
        <v>5.4354012521343193</v>
      </c>
      <c r="FO62" s="72">
        <f>IF(ISERROR(FN62/FL62),"NA",IF(OR(FN62/FL62&gt;2,FN62/FL62&lt;0.5),"NM",FN62/FL62*100-100))</f>
        <v>3.7001272598210448</v>
      </c>
      <c r="FP62" s="73">
        <f>FP54/FP$50*100</f>
        <v>3.7896365042536742</v>
      </c>
      <c r="FQ62" s="72">
        <f>IF(ISERROR(FP62/FN62),"NA",IF(OR(FP62/FN62&gt;2,FP62/FN62&lt;0.5),"NM",FP62/FN62*100-100))</f>
        <v>-30.278624733259619</v>
      </c>
      <c r="FR62" s="73">
        <f>FR54/FR$50*100</f>
        <v>3.2823853670759204</v>
      </c>
      <c r="FS62" s="72">
        <f>IF(ISERROR(FR62/FP62),"NA",IF(OR(FR62/FP62&gt;2,FR62/FP62&lt;0.5),"NM",FR62/FP62*100-100))</f>
        <v>-13.385218783078273</v>
      </c>
      <c r="FT62" s="73">
        <f>FT54/FT$50*100</f>
        <v>3.3084311632870866</v>
      </c>
      <c r="FU62" s="72">
        <f>IF(ISERROR(FT62/FR62),"NA",IF(OR(FT62/FR62&gt;2,FT62/FR62&lt;0.5),"NM",FT62/FR62*100-100))</f>
        <v>0.79350208151728907</v>
      </c>
      <c r="FV62" s="81">
        <f>FV54/FV$50*100</f>
        <v>3.6410550458715591</v>
      </c>
      <c r="FW62" s="72">
        <f>IF(ISERROR(FV62/FT62),"NA",IF(OR(FV62/FT62&gt;2,FV62/FT62&lt;0.5),"NM",FV62/FT62*100-100))</f>
        <v>10.053825096182294</v>
      </c>
      <c r="FX62" s="81">
        <f>FX54/FX$50*100</f>
        <v>12.04855842185129</v>
      </c>
      <c r="FY62" s="72" t="str">
        <f>IF(ISERROR(FX62/FV62),"NA",IF(OR(FX62/FV62&gt;2,FX62/FV62&lt;0.5),"NM",FX62/FV62*100-100))</f>
        <v>NM</v>
      </c>
      <c r="FZ62" s="81">
        <f>FZ54/FZ$50*100</f>
        <v>22.16106604866744</v>
      </c>
      <c r="GA62" s="72">
        <f>IF(ISERROR(FZ62/FX62),"NA",IF(OR(FZ62/FX62&gt;2,FZ62/FX62&lt;0.5),"NM",FZ62/FX62*100-100))</f>
        <v>83.931266071433811</v>
      </c>
      <c r="GB62" s="81">
        <f>GB54/GB$50*100</f>
        <v>9.0174615585092521</v>
      </c>
      <c r="GC62" s="72" t="str">
        <f>IF(ISERROR(GB62/FZ62),"NA",IF(OR(GB62/FZ62&gt;2,GB62/FZ62&lt;0.5),"NM",GB62/FZ62*100-100))</f>
        <v>NM</v>
      </c>
      <c r="GD62" s="81">
        <f>GD54/GD$50*100</f>
        <v>8.7025316455696213</v>
      </c>
      <c r="GE62" s="72">
        <f>IF(ISERROR(GD62/GB62),"NA",IF(OR(GD62/GB62&gt;2,GD62/GB62&lt;0.5),"NM",GD62/GB62*100-100))</f>
        <v>-3.4924453062120335</v>
      </c>
      <c r="GF62" s="81">
        <f>GF54/GF$50*100</f>
        <v>9.9357257632565616</v>
      </c>
      <c r="GG62" s="72">
        <f>IF(ISERROR(GF62/GD62),"NA",IF(OR(GF62/GD62&gt;2,GF62/GD62&lt;0.5),"NM",GF62/GD62*100-100))</f>
        <v>14.170521497784478</v>
      </c>
      <c r="GH62" s="81">
        <f>GH54/GH$50*100</f>
        <v>9.1750612578273891</v>
      </c>
      <c r="GI62" s="72">
        <f t="shared" si="350"/>
        <v>-7.6558524616510226</v>
      </c>
      <c r="GJ62" s="81">
        <f>GJ54/GJ$50*100</f>
        <v>10.332309410779111</v>
      </c>
      <c r="GK62" s="72">
        <f t="shared" si="350"/>
        <v>12.612974675939697</v>
      </c>
      <c r="GL62" s="81">
        <f>GL54/GL$50*100</f>
        <v>10.673515981735161</v>
      </c>
      <c r="GM62" s="72">
        <f t="shared" si="350"/>
        <v>3.3023262989016615</v>
      </c>
      <c r="GN62" s="81">
        <f>GN54/GN$50*100</f>
        <v>10.407110091743119</v>
      </c>
      <c r="GO62" s="72">
        <f t="shared" si="350"/>
        <v>-2.4959525094441517</v>
      </c>
      <c r="GP62" s="81">
        <f>GP54/GP$50*100</f>
        <v>9.4454080537203708</v>
      </c>
      <c r="GQ62" s="72">
        <f t="shared" si="350"/>
        <v>-9.2408173791276766</v>
      </c>
      <c r="GR62" s="86">
        <f>GP62</f>
        <v>9.4454080537203708</v>
      </c>
      <c r="GS62" s="72">
        <f t="shared" si="350"/>
        <v>0</v>
      </c>
      <c r="GT62" s="86">
        <f>GR62</f>
        <v>9.4454080537203708</v>
      </c>
      <c r="GU62" s="72">
        <f t="shared" si="350"/>
        <v>0</v>
      </c>
      <c r="GV62" s="86">
        <f>GT62</f>
        <v>9.4454080537203708</v>
      </c>
      <c r="GW62" s="72">
        <f>IF(ISERROR(GV62/GT62),"NA",IF(OR(GV62/GT62&gt;2,GV62/GT62&lt;0.5),"NM",GV62/GT62*100-100))</f>
        <v>0</v>
      </c>
      <c r="GX62" s="86">
        <f>GV62</f>
        <v>9.4454080537203708</v>
      </c>
      <c r="GY62" s="72">
        <f>IF(ISERROR(GX62/GV62),"NA",IF(OR(GX62/GV62&gt;2,GX62/GV62&lt;0.5),"NM",GX62/GV62*100-100))</f>
        <v>0</v>
      </c>
      <c r="GZ62" s="72">
        <f>IF(ISERROR(((GX62/GN62)^0.2-1)*100),"NA",IF((((GX62/GN62)^0.2-1)*100)&gt;100,"NM",IF((((GX62/GN62)^0.2-1)*100)&lt;-50,"NM",((GX62/GN62)^0.2-1)*100)))</f>
        <v>-1.9205289058843222</v>
      </c>
      <c r="HA62" s="72"/>
      <c r="HB62" s="72"/>
      <c r="HC62"/>
      <c r="HD62"/>
      <c r="HE62"/>
      <c r="HF62"/>
      <c r="HG62"/>
      <c r="HH62"/>
      <c r="HI62" s="111"/>
    </row>
    <row r="63" spans="1:217" s="3" customFormat="1" ht="12.75" customHeight="1" x14ac:dyDescent="0.2">
      <c r="B63" s="10"/>
      <c r="C63" s="81"/>
      <c r="D63" s="72"/>
      <c r="E63" s="81"/>
      <c r="F63" s="72"/>
      <c r="G63" s="81"/>
      <c r="H63" s="72"/>
      <c r="I63" s="81"/>
      <c r="J63" s="72"/>
      <c r="K63" s="81"/>
      <c r="L63" s="72"/>
      <c r="M63" s="81"/>
      <c r="N63" s="72"/>
      <c r="O63" s="81"/>
      <c r="P63" s="72"/>
      <c r="Q63" s="81"/>
      <c r="R63" s="72"/>
      <c r="S63" s="81"/>
      <c r="T63" s="72"/>
      <c r="U63" s="81"/>
      <c r="V63" s="72"/>
      <c r="W63" s="81"/>
      <c r="X63" s="72"/>
      <c r="Y63" s="81"/>
      <c r="Z63" s="72"/>
      <c r="AA63" s="81"/>
      <c r="AB63" s="72"/>
      <c r="AC63" s="81"/>
      <c r="AD63" s="72"/>
      <c r="AE63" s="81"/>
      <c r="AF63" s="72"/>
      <c r="AG63" s="81"/>
      <c r="AH63" s="72"/>
      <c r="AI63" s="81"/>
      <c r="AJ63" s="72"/>
      <c r="AK63" s="81"/>
      <c r="AL63" s="72"/>
      <c r="AM63" s="81"/>
      <c r="AN63" s="72"/>
      <c r="AO63" s="81"/>
      <c r="AP63" s="72"/>
      <c r="AQ63" s="81"/>
      <c r="AR63" s="72"/>
      <c r="AS63" s="81"/>
      <c r="AT63" s="72"/>
      <c r="AU63" s="81"/>
      <c r="AV63" s="72"/>
      <c r="AW63" s="81"/>
      <c r="AX63" s="72"/>
      <c r="AY63" s="81"/>
      <c r="AZ63" s="72"/>
      <c r="BA63" s="81"/>
      <c r="BB63" s="72"/>
      <c r="BC63" s="81"/>
      <c r="BD63" s="72"/>
      <c r="BE63" s="81"/>
      <c r="BF63" s="72"/>
      <c r="BG63" s="81"/>
      <c r="BH63" s="72"/>
      <c r="BI63" s="81"/>
      <c r="BJ63" s="72"/>
      <c r="BK63" s="81"/>
      <c r="BL63" s="72"/>
      <c r="BM63" s="81"/>
      <c r="BN63" s="72"/>
      <c r="BO63" s="81"/>
      <c r="BP63" s="72"/>
      <c r="BQ63" s="81"/>
      <c r="BR63" s="72"/>
      <c r="BS63" s="81"/>
      <c r="BT63" s="72"/>
      <c r="BU63" s="81"/>
      <c r="BV63" s="72"/>
      <c r="BW63" s="81"/>
      <c r="BX63" s="72"/>
      <c r="BY63" s="81"/>
      <c r="BZ63" s="72"/>
      <c r="CA63" s="81"/>
      <c r="CB63" s="72"/>
      <c r="CC63" s="81"/>
      <c r="CD63" s="72"/>
      <c r="CE63" s="81"/>
      <c r="CF63" s="72"/>
      <c r="CG63" s="81"/>
      <c r="CH63" s="72"/>
      <c r="CI63" s="81"/>
      <c r="CJ63" s="72"/>
      <c r="CK63" s="81"/>
      <c r="CL63" s="72"/>
      <c r="CM63" s="81"/>
      <c r="CN63" s="72"/>
      <c r="CO63" s="81"/>
      <c r="CP63" s="72"/>
      <c r="CQ63" s="81"/>
      <c r="CR63" s="72"/>
      <c r="CS63" s="81"/>
      <c r="CT63" s="72"/>
      <c r="CU63" s="81"/>
      <c r="CV63" s="72"/>
      <c r="CW63" s="81"/>
      <c r="CX63" s="72"/>
      <c r="CY63" s="81"/>
      <c r="CZ63" s="72"/>
      <c r="DA63" s="81"/>
      <c r="DB63" s="72"/>
      <c r="DC63" s="81"/>
      <c r="DD63" s="72"/>
      <c r="DE63" s="81"/>
      <c r="DF63" s="72"/>
      <c r="DG63" s="81"/>
      <c r="DH63" s="72"/>
      <c r="DI63" s="81"/>
      <c r="DJ63" s="72"/>
      <c r="DK63" s="81"/>
      <c r="DL63" s="72"/>
      <c r="DM63" s="81"/>
      <c r="DN63" s="72"/>
      <c r="DO63" s="81"/>
      <c r="DP63" s="72"/>
      <c r="DQ63" s="81"/>
      <c r="DR63" s="72"/>
      <c r="DS63" s="81"/>
      <c r="DT63" s="72"/>
      <c r="DU63" s="81"/>
      <c r="DV63" s="72"/>
      <c r="DW63" s="81"/>
      <c r="DX63" s="72"/>
      <c r="DY63" s="81"/>
      <c r="DZ63" s="72"/>
      <c r="EA63" s="81"/>
      <c r="EB63" s="72"/>
      <c r="EC63" s="81"/>
      <c r="ED63" s="72"/>
      <c r="EE63" s="81"/>
      <c r="EF63" s="72"/>
      <c r="EG63" s="81"/>
      <c r="EH63" s="72"/>
      <c r="EI63" s="81"/>
      <c r="EJ63" s="72"/>
      <c r="EK63" s="81"/>
      <c r="EL63" s="72"/>
      <c r="EM63" s="81"/>
      <c r="EN63" s="72"/>
      <c r="EO63" s="81"/>
      <c r="EP63" s="72"/>
      <c r="EQ63" s="81"/>
      <c r="ER63" s="72"/>
      <c r="ES63" s="81"/>
      <c r="ET63" s="72"/>
      <c r="EU63" s="81"/>
      <c r="EV63" s="72"/>
      <c r="EW63" s="81"/>
      <c r="EX63" s="72"/>
      <c r="EY63" s="72"/>
      <c r="EZ63" s="309"/>
      <c r="FA63" s="72"/>
      <c r="FB63" s="81"/>
      <c r="FC63" s="72"/>
      <c r="FD63" s="81"/>
      <c r="FE63" s="72"/>
      <c r="FF63" s="81"/>
      <c r="FG63" s="72"/>
      <c r="FH63" s="81"/>
      <c r="FI63" s="72"/>
      <c r="FJ63" s="81"/>
      <c r="FK63" s="72"/>
      <c r="FL63" s="81"/>
      <c r="FM63" s="72"/>
      <c r="FN63" s="81"/>
      <c r="FO63" s="72"/>
      <c r="FP63" s="81"/>
      <c r="FQ63" s="72"/>
      <c r="FR63" s="81"/>
      <c r="FS63" s="72"/>
      <c r="FT63" s="81"/>
      <c r="FU63" s="72"/>
      <c r="FV63" s="81"/>
      <c r="FW63" s="72"/>
      <c r="FX63" s="81"/>
      <c r="FY63" s="72"/>
      <c r="FZ63" s="81"/>
      <c r="GA63" s="72"/>
      <c r="GB63" s="81"/>
      <c r="GC63" s="72"/>
      <c r="GD63" s="81"/>
      <c r="GE63" s="72"/>
      <c r="GF63" s="81"/>
      <c r="GG63" s="72"/>
      <c r="GH63" s="81"/>
      <c r="GI63" s="72"/>
      <c r="GJ63" s="81"/>
      <c r="GK63" s="72"/>
      <c r="GL63" s="81"/>
      <c r="GM63" s="72"/>
      <c r="GN63" s="81"/>
      <c r="GO63" s="72"/>
      <c r="GP63" s="81"/>
      <c r="GQ63" s="72"/>
      <c r="GR63" s="81"/>
      <c r="GS63" s="72"/>
      <c r="GT63" s="81"/>
      <c r="GU63" s="72"/>
      <c r="GV63" s="81"/>
      <c r="GW63" s="72"/>
      <c r="GX63" s="81"/>
      <c r="GY63" s="72"/>
      <c r="GZ63" s="72"/>
      <c r="HA63" s="72"/>
      <c r="HB63" s="72"/>
      <c r="HC63"/>
      <c r="HD63"/>
      <c r="HE63"/>
      <c r="HF63"/>
      <c r="HG63"/>
      <c r="HH63"/>
      <c r="HI63" s="111"/>
    </row>
    <row r="64" spans="1:217" s="3" customFormat="1" ht="12.75" customHeight="1" x14ac:dyDescent="0.2">
      <c r="B64" s="10" t="s">
        <v>690</v>
      </c>
      <c r="C64" s="81"/>
      <c r="D64" s="72"/>
      <c r="E64" s="81"/>
      <c r="F64" s="72"/>
      <c r="G64" s="81"/>
      <c r="H64" s="72"/>
      <c r="I64" s="81"/>
      <c r="J64" s="72"/>
      <c r="K64" s="81"/>
      <c r="L64" s="72"/>
      <c r="M64" s="81"/>
      <c r="N64" s="72"/>
      <c r="O64" s="81"/>
      <c r="P64" s="72"/>
      <c r="Q64" s="81"/>
      <c r="R64" s="72"/>
      <c r="S64" s="81"/>
      <c r="T64" s="72"/>
      <c r="U64" s="81"/>
      <c r="V64" s="72"/>
      <c r="W64" s="81"/>
      <c r="X64" s="72"/>
      <c r="Y64" s="81"/>
      <c r="Z64" s="72"/>
      <c r="AA64" s="81"/>
      <c r="AB64" s="72"/>
      <c r="AC64" s="81"/>
      <c r="AD64" s="72"/>
      <c r="AE64" s="81"/>
      <c r="AF64" s="72"/>
      <c r="AG64" s="81"/>
      <c r="AH64" s="72"/>
      <c r="AI64" s="81"/>
      <c r="AJ64" s="72"/>
      <c r="AK64" s="81"/>
      <c r="AL64" s="72"/>
      <c r="AM64" s="81"/>
      <c r="AN64" s="72"/>
      <c r="AO64" s="81"/>
      <c r="AP64" s="72"/>
      <c r="AQ64" s="81"/>
      <c r="AR64" s="72"/>
      <c r="AS64" s="81"/>
      <c r="AT64" s="72"/>
      <c r="AU64" s="81"/>
      <c r="AV64" s="72"/>
      <c r="AW64" s="81"/>
      <c r="AX64" s="72"/>
      <c r="AY64" s="81"/>
      <c r="AZ64" s="72"/>
      <c r="BA64" s="81"/>
      <c r="BB64" s="72"/>
      <c r="BC64" s="81"/>
      <c r="BD64" s="72"/>
      <c r="BE64" s="81"/>
      <c r="BF64" s="72"/>
      <c r="BG64" s="81"/>
      <c r="BH64" s="72"/>
      <c r="BI64" s="81"/>
      <c r="BJ64" s="72"/>
      <c r="BK64" s="81"/>
      <c r="BL64" s="72"/>
      <c r="BM64" s="81"/>
      <c r="BN64" s="72"/>
      <c r="BO64" s="81"/>
      <c r="BP64" s="72"/>
      <c r="BQ64" s="81"/>
      <c r="BR64" s="72"/>
      <c r="BS64" s="81"/>
      <c r="BT64" s="72"/>
      <c r="BU64" s="81"/>
      <c r="BV64" s="72"/>
      <c r="BW64" s="81"/>
      <c r="BX64" s="72"/>
      <c r="BY64" s="81"/>
      <c r="BZ64" s="72"/>
      <c r="CA64" s="81"/>
      <c r="CB64" s="72"/>
      <c r="CC64" s="81"/>
      <c r="CD64" s="72"/>
      <c r="CE64" s="81"/>
      <c r="CF64" s="72"/>
      <c r="CG64" s="81"/>
      <c r="CH64" s="72"/>
      <c r="CI64" s="81"/>
      <c r="CJ64" s="72"/>
      <c r="CK64" s="81"/>
      <c r="CL64" s="72"/>
      <c r="CM64" s="75">
        <f>CM38+CM56</f>
        <v>113810</v>
      </c>
      <c r="CN64" s="72"/>
      <c r="CO64" s="75">
        <f>CO38+CO56</f>
        <v>116027</v>
      </c>
      <c r="CP64" s="72"/>
      <c r="CQ64" s="75">
        <f>CQ38+CQ56</f>
        <v>106689</v>
      </c>
      <c r="CR64" s="72"/>
      <c r="CS64" s="75">
        <f>CS38+CS56</f>
        <v>113535</v>
      </c>
      <c r="CT64" s="72"/>
      <c r="CU64" s="75">
        <f>CU38+CU56</f>
        <v>124054</v>
      </c>
      <c r="CV64" s="72"/>
      <c r="CW64" s="75">
        <f>CW38+CW56</f>
        <v>124094</v>
      </c>
      <c r="CX64" s="72"/>
      <c r="CY64" s="75">
        <f>CY38+CY56</f>
        <v>132705</v>
      </c>
      <c r="CZ64" s="72"/>
      <c r="DA64" s="75">
        <f>DA38+DA56</f>
        <v>135342</v>
      </c>
      <c r="DB64" s="72"/>
      <c r="DC64" s="75">
        <f>DC38+DC56</f>
        <v>142748</v>
      </c>
      <c r="DD64" s="72"/>
      <c r="DE64" s="75">
        <f>DE38+DE56</f>
        <v>141474</v>
      </c>
      <c r="DF64" s="72"/>
      <c r="DG64" s="75">
        <f>DG38+DG56</f>
        <v>147378</v>
      </c>
      <c r="DH64" s="72"/>
      <c r="DI64" s="75">
        <f>DI38+DI56</f>
        <v>154140</v>
      </c>
      <c r="DJ64" s="72"/>
      <c r="DK64" s="75">
        <f>DK38+DK56</f>
        <v>155276</v>
      </c>
      <c r="DL64" s="72"/>
      <c r="DM64" s="75">
        <f>DM38+DM56</f>
        <v>159528</v>
      </c>
      <c r="DN64" s="72">
        <f>IF(ISERROR(DM64/DE64),"NA",IF(OR(DM64/DE64&gt;2,DM64/DE64&lt;0.5),"NM",DM64/DE64*100-100))</f>
        <v>12.761355443403019</v>
      </c>
      <c r="DO64" s="75">
        <f>DO38+DO56</f>
        <v>156783</v>
      </c>
      <c r="DP64" s="72">
        <f>IF(ISERROR(DO64/DG64),"NA",IF(OR(DO64/DG64&gt;2,DO64/DG64&lt;0.5),"NM",DO64/DG64*100-100))</f>
        <v>6.3815494849977625</v>
      </c>
      <c r="DQ64" s="75">
        <f>DQ38+DQ56</f>
        <v>158664</v>
      </c>
      <c r="DR64" s="72">
        <f>IF(ISERROR(DQ64/DI64),"NA",IF(OR(DQ64/DI64&gt;2,DQ64/DI64&lt;0.5),"NM",DQ64/DI64*100-100))</f>
        <v>2.9349941611521899</v>
      </c>
      <c r="DS64" s="75">
        <f>DS38+DS56</f>
        <v>161127</v>
      </c>
      <c r="DT64" s="72">
        <f>IF(ISERROR(DS64/DK64),"NA",IF(OR(DS64/DK64&gt;2,DS64/DK64&lt;0.5),"NM",DS64/DK64*100-100))</f>
        <v>3.7681290089904422</v>
      </c>
      <c r="DU64" s="75">
        <f>DU38+DU56</f>
        <v>158976</v>
      </c>
      <c r="DV64" s="72">
        <f>IF(ISERROR(DU64/DM64),"NA",IF(OR(DU64/DM64&gt;2,DU64/DM64&lt;0.5),"NM",DU64/DM64*100-100))</f>
        <v>-0.34602076124568271</v>
      </c>
      <c r="DW64" s="75">
        <f>DW38+DW56</f>
        <v>150217</v>
      </c>
      <c r="DX64" s="72">
        <f>IF(ISERROR(DW64/DO64),"NA",IF(OR(DW64/DO64&gt;2,DW64/DO64&lt;0.5),"NM",DW64/DO64*100-100))</f>
        <v>-4.1879540511407498</v>
      </c>
      <c r="DY64" s="75">
        <f>DY38+DY56</f>
        <v>152945</v>
      </c>
      <c r="DZ64" s="72">
        <f>IF(ISERROR(DY64/DQ64),"NA",IF(OR(DY64/DQ64&gt;2,DY64/DQ64&lt;0.5),"NM",DY64/DQ64*100-100))</f>
        <v>-3.6044723440730024</v>
      </c>
      <c r="EA64" s="75">
        <f>EA38+EA56</f>
        <v>152733</v>
      </c>
      <c r="EB64" s="72">
        <f>IF(ISERROR(EA64/DS64),"NA",IF(OR(EA64/DS64&gt;2,EA64/DS64&lt;0.5),"NM",EA64/DS64*100-100))</f>
        <v>-5.2095551955910508</v>
      </c>
      <c r="EC64" s="75">
        <f>EC38+EC56</f>
        <v>154677</v>
      </c>
      <c r="ED64" s="72">
        <f>IF(ISERROR(EC64/DU64),"NA",IF(OR(EC64/DU64&gt;2,EC64/DU64&lt;0.5),"NM",EC64/DU64*100-100))</f>
        <v>-2.7041817632850353</v>
      </c>
      <c r="EE64" s="75">
        <f>EE38+EE56</f>
        <v>158388</v>
      </c>
      <c r="EF64" s="72">
        <f>IF(ISERROR(EE64/DW64),"NA",IF(OR(EE64/DW64&gt;2,EE64/DW64&lt;0.5),"NM",EE64/DW64*100-100))</f>
        <v>5.4394642417302919</v>
      </c>
      <c r="EG64" s="75">
        <f>EG38+EG56</f>
        <v>156783</v>
      </c>
      <c r="EH64" s="72">
        <f>IF(ISERROR(EG64/DY64),"NA",IF(OR(EG64/DY64&gt;2,EG64/DY64&lt;0.5),"NM",EG64/DY64*100-100))</f>
        <v>2.5093988034914645</v>
      </c>
      <c r="EI64" s="75">
        <f>EI38+EI56</f>
        <v>160319</v>
      </c>
      <c r="EJ64" s="72">
        <f>IF(ISERROR(EI64/EA64),"NA",IF(OR(EI64/EA64&gt;2,EI64/EA64&lt;0.5),"NM",EI64/EA64*100-100))</f>
        <v>4.9668375531155817</v>
      </c>
      <c r="EK64" s="75">
        <f>EK38+EK56</f>
        <v>162694</v>
      </c>
      <c r="EL64" s="72">
        <f>IF(ISERROR(EK64/EC64),"NA",IF(OR(EK64/EC64&gt;2,EK64/EC64&lt;0.5),"NM",EK64/EC64*100-100))</f>
        <v>5.183058890462064</v>
      </c>
      <c r="EM64" s="75">
        <f>EM38+EM56</f>
        <v>165600</v>
      </c>
      <c r="EN64" s="72">
        <f>IF(ISERROR(EM64/EE64),"NA",IF(OR(EM64/EE64&gt;2,EM64/EE64&lt;0.5),"NM",EM64/EE64*100-100))</f>
        <v>4.5533752557011837</v>
      </c>
      <c r="EO64" s="75">
        <f>EO38+EO56</f>
        <v>168626</v>
      </c>
      <c r="EP64" s="72">
        <f>IF(ISERROR(EO64/EG64),"NA",IF(OR(EO64/EG64&gt;2,EO64/EG64&lt;0.5),"NM",EO64/EG64*100-100))</f>
        <v>7.5537526389978495</v>
      </c>
      <c r="EQ64" s="75">
        <f t="shared" ref="EQ64" si="359">EQ38+EQ56</f>
        <v>164731.81151619338</v>
      </c>
      <c r="ER64" s="72">
        <f t="shared" ref="ER64" si="360">IF(ISERROR(EQ64/EI64),"NA",IF(OR(EQ64/EI64&gt;2,EQ64/EI64&lt;0.5),"NM",EQ64/EI64*100-100))</f>
        <v>2.752519362142607</v>
      </c>
      <c r="ES64" s="75">
        <f t="shared" ref="ES64" si="361">ES38+ES56</f>
        <v>164613.43363631301</v>
      </c>
      <c r="ET64" s="72">
        <f t="shared" ref="ET64" si="362">IF(ISERROR(ES64/EK64),"NA",IF(OR(ES64/EK64&gt;2,ES64/EK64&lt;0.5),"NM",ES64/EK64*100-100))</f>
        <v>1.1797814524893369</v>
      </c>
      <c r="EU64" s="75">
        <f t="shared" ref="EU64" si="363">EU38+EU56</f>
        <v>164530.39680225044</v>
      </c>
      <c r="EV64" s="72">
        <f t="shared" ref="EV64" si="364">IF(ISERROR(EU64/EM64),"NA",IF(OR(EU64/EM64&gt;2,EU64/EM64&lt;0.5),"NM",EU64/EM64*100-100))</f>
        <v>-0.64589565081494982</v>
      </c>
      <c r="EW64" s="75">
        <f t="shared" ref="EW64" si="365">EW38+EW56</f>
        <v>164483.01040527088</v>
      </c>
      <c r="EX64" s="72">
        <f t="shared" ref="EX64" si="366">IF(ISERROR(EW64/EO64),"NA",IF(OR(EW64/EO64&gt;2,EW64/EO64&lt;0.5),"NM",EW64/EO64*100-100))</f>
        <v>-2.456910319125825</v>
      </c>
      <c r="EY64" s="72"/>
      <c r="EZ64" s="309"/>
      <c r="FA64" s="72"/>
      <c r="FB64" s="81"/>
      <c r="FC64" s="72"/>
      <c r="FD64" s="81"/>
      <c r="FE64" s="72"/>
      <c r="FF64" s="81"/>
      <c r="FG64" s="72"/>
      <c r="FH64" s="81"/>
      <c r="FI64" s="72"/>
      <c r="FJ64" s="81"/>
      <c r="FK64" s="72"/>
      <c r="FL64" s="81"/>
      <c r="FM64" s="72"/>
      <c r="FN64" s="81"/>
      <c r="FO64" s="72"/>
      <c r="FP64" s="81"/>
      <c r="FQ64" s="72"/>
      <c r="FR64" s="81"/>
      <c r="FS64" s="72"/>
      <c r="FT64" s="81"/>
      <c r="FU64" s="72"/>
      <c r="FV64" s="81"/>
      <c r="FW64" s="72"/>
      <c r="FX64" s="81"/>
      <c r="FY64" s="72"/>
      <c r="FZ64" s="81"/>
      <c r="GA64" s="72"/>
      <c r="GB64" s="75">
        <f>GB38+GB56</f>
        <v>113535</v>
      </c>
      <c r="GC64" s="72"/>
      <c r="GD64" s="75">
        <f>GD38+GD56</f>
        <v>135342</v>
      </c>
      <c r="GE64" s="72"/>
      <c r="GF64" s="75">
        <f>GF38+GF56</f>
        <v>154140</v>
      </c>
      <c r="GG64" s="72"/>
      <c r="GH64" s="75">
        <f>GH38+GH56</f>
        <v>158664</v>
      </c>
      <c r="GI64" s="72">
        <f t="shared" ref="GI64:GU64" si="367">IF(ISERROR(GH64/GF64),"NA",IF(OR(GH64/GF64&gt;2,GH64/GF64&lt;0.5),"NM",GH64/GF64*100-100))</f>
        <v>2.9349941611521899</v>
      </c>
      <c r="GJ64" s="75">
        <f>GJ38+GJ56</f>
        <v>152945</v>
      </c>
      <c r="GK64" s="72">
        <f t="shared" si="367"/>
        <v>-3.6044723440730024</v>
      </c>
      <c r="GL64" s="75">
        <f>GL38+GL56</f>
        <v>156783</v>
      </c>
      <c r="GM64" s="72">
        <f t="shared" si="367"/>
        <v>2.5093988034914645</v>
      </c>
      <c r="GN64" s="75">
        <f>GN38+GN56</f>
        <v>168626</v>
      </c>
      <c r="GO64" s="72">
        <f t="shared" si="367"/>
        <v>7.5537526389978495</v>
      </c>
      <c r="GP64" s="75">
        <f>GP38+GP56</f>
        <v>164483.01040527091</v>
      </c>
      <c r="GQ64" s="72">
        <f t="shared" si="367"/>
        <v>-2.4569103191258108</v>
      </c>
      <c r="GR64" s="75">
        <f>GR38+GR56</f>
        <v>164821.96794462405</v>
      </c>
      <c r="GS64" s="72">
        <f t="shared" si="367"/>
        <v>0.20607449882999163</v>
      </c>
      <c r="GT64" s="75">
        <f>GT38+GT56</f>
        <v>165653.75871381929</v>
      </c>
      <c r="GU64" s="72">
        <f t="shared" si="367"/>
        <v>0.50466013697561607</v>
      </c>
      <c r="GV64" s="75">
        <f>GV38+GV56</f>
        <v>167029.28352877652</v>
      </c>
      <c r="GW64" s="72">
        <f>IF(ISERROR(GV64/GT64),"NA",IF(OR(GV64/GT64&gt;2,GV64/GT64&lt;0.5),"NM",GV64/GT64*100-100))</f>
        <v>0.83036136676714989</v>
      </c>
      <c r="GX64" s="75">
        <f>GX38+GX56</f>
        <v>169002.30227366433</v>
      </c>
      <c r="GY64" s="72">
        <f>IF(ISERROR(GX64/GV64),"NA",IF(OR(GX64/GV64&gt;2,GX64/GV64&lt;0.5),"NM",GX64/GV64*100-100))</f>
        <v>1.1812412190272568</v>
      </c>
      <c r="GZ64" s="72"/>
      <c r="HA64" s="72"/>
      <c r="HB64" s="72"/>
      <c r="HC64"/>
      <c r="HD64"/>
      <c r="HE64"/>
      <c r="HF64"/>
      <c r="HG64"/>
      <c r="HH64"/>
      <c r="HI64" s="111"/>
    </row>
    <row r="65" spans="1:217" s="3" customFormat="1" ht="12.75" customHeight="1" x14ac:dyDescent="0.2">
      <c r="B65" s="10"/>
      <c r="C65" s="81"/>
      <c r="D65" s="72"/>
      <c r="E65" s="81"/>
      <c r="F65" s="72"/>
      <c r="G65" s="81"/>
      <c r="H65" s="72"/>
      <c r="I65" s="81"/>
      <c r="J65" s="72"/>
      <c r="K65" s="81"/>
      <c r="L65" s="72"/>
      <c r="M65" s="81"/>
      <c r="N65" s="72"/>
      <c r="O65" s="81"/>
      <c r="P65" s="72"/>
      <c r="Q65" s="81"/>
      <c r="R65" s="72"/>
      <c r="S65" s="81"/>
      <c r="T65" s="72"/>
      <c r="U65" s="81"/>
      <c r="V65" s="72"/>
      <c r="W65" s="81"/>
      <c r="X65" s="72"/>
      <c r="Y65" s="81"/>
      <c r="Z65" s="72"/>
      <c r="AA65" s="81"/>
      <c r="AB65" s="72"/>
      <c r="AC65" s="81"/>
      <c r="AD65" s="72"/>
      <c r="AE65" s="81"/>
      <c r="AF65" s="72"/>
      <c r="AG65" s="81"/>
      <c r="AH65" s="72"/>
      <c r="AI65" s="81"/>
      <c r="AJ65" s="72"/>
      <c r="AK65" s="81"/>
      <c r="AL65" s="72"/>
      <c r="AM65" s="81"/>
      <c r="AN65" s="72"/>
      <c r="AO65" s="81"/>
      <c r="AP65" s="72"/>
      <c r="AQ65" s="81"/>
      <c r="AR65" s="72"/>
      <c r="AS65" s="81"/>
      <c r="AT65" s="72"/>
      <c r="AU65" s="81"/>
      <c r="AV65" s="72"/>
      <c r="AW65" s="81"/>
      <c r="AX65" s="72"/>
      <c r="AY65" s="81"/>
      <c r="AZ65" s="72"/>
      <c r="BA65" s="81"/>
      <c r="BB65" s="72"/>
      <c r="BC65" s="81"/>
      <c r="BD65" s="72"/>
      <c r="BE65" s="81"/>
      <c r="BF65" s="72"/>
      <c r="BG65" s="81"/>
      <c r="BH65" s="72"/>
      <c r="BI65" s="81"/>
      <c r="BJ65" s="72"/>
      <c r="BK65" s="81"/>
      <c r="BL65" s="72"/>
      <c r="BM65" s="81"/>
      <c r="BN65" s="72"/>
      <c r="BO65" s="81"/>
      <c r="BP65" s="72"/>
      <c r="BQ65" s="81"/>
      <c r="BR65" s="72"/>
      <c r="BS65" s="81"/>
      <c r="BT65" s="72"/>
      <c r="BU65" s="81"/>
      <c r="BV65" s="72"/>
      <c r="BW65" s="81"/>
      <c r="BX65" s="72"/>
      <c r="BY65" s="81"/>
      <c r="BZ65" s="72"/>
      <c r="CA65" s="81"/>
      <c r="CB65" s="72"/>
      <c r="CC65" s="81"/>
      <c r="CD65" s="72"/>
      <c r="CE65" s="81"/>
      <c r="CF65" s="72"/>
      <c r="CG65" s="81"/>
      <c r="CH65" s="72"/>
      <c r="CI65" s="81"/>
      <c r="CJ65" s="72"/>
      <c r="CK65" s="81"/>
      <c r="CL65" s="72"/>
      <c r="CM65" s="81"/>
      <c r="CN65" s="72"/>
      <c r="CO65" s="81"/>
      <c r="CP65" s="72"/>
      <c r="CQ65" s="81"/>
      <c r="CR65" s="72"/>
      <c r="CS65" s="81"/>
      <c r="CT65" s="72"/>
      <c r="CU65" s="81"/>
      <c r="CV65" s="72"/>
      <c r="CW65" s="81"/>
      <c r="CX65" s="72"/>
      <c r="CY65" s="81"/>
      <c r="CZ65" s="72"/>
      <c r="DA65" s="81"/>
      <c r="DB65" s="72"/>
      <c r="DC65" s="81"/>
      <c r="DD65" s="72"/>
      <c r="DE65" s="81"/>
      <c r="DF65" s="72"/>
      <c r="DG65" s="81"/>
      <c r="DH65" s="72"/>
      <c r="DI65" s="81"/>
      <c r="DJ65" s="72"/>
      <c r="DK65" s="81"/>
      <c r="DL65" s="72"/>
      <c r="DM65" s="81"/>
      <c r="DN65" s="72"/>
      <c r="DO65" s="81"/>
      <c r="DP65" s="72"/>
      <c r="DQ65" s="81"/>
      <c r="DR65" s="72"/>
      <c r="DS65" s="81"/>
      <c r="DT65" s="72"/>
      <c r="DU65" s="81"/>
      <c r="DV65" s="72"/>
      <c r="DW65" s="81"/>
      <c r="DX65" s="72"/>
      <c r="DY65" s="81"/>
      <c r="DZ65" s="72"/>
      <c r="EA65" s="81"/>
      <c r="EB65" s="72"/>
      <c r="EC65" s="81"/>
      <c r="ED65" s="72"/>
      <c r="EE65" s="81"/>
      <c r="EF65" s="72"/>
      <c r="EG65" s="81"/>
      <c r="EH65" s="72"/>
      <c r="EI65" s="81"/>
      <c r="EJ65" s="72"/>
      <c r="EK65" s="81"/>
      <c r="EL65" s="72"/>
      <c r="EM65" s="81"/>
      <c r="EN65" s="72"/>
      <c r="EO65" s="81"/>
      <c r="EP65" s="72"/>
      <c r="EQ65" s="81"/>
      <c r="ER65" s="72"/>
      <c r="ES65" s="81"/>
      <c r="ET65" s="72"/>
      <c r="EU65" s="81"/>
      <c r="EV65" s="72"/>
      <c r="EW65" s="81"/>
      <c r="EX65" s="72"/>
      <c r="EY65" s="72"/>
      <c r="EZ65" s="309"/>
      <c r="FA65" s="72"/>
      <c r="FB65" s="81"/>
      <c r="FC65" s="72"/>
      <c r="FD65" s="81"/>
      <c r="FE65" s="72"/>
      <c r="FF65" s="81"/>
      <c r="FG65" s="72"/>
      <c r="FH65" s="81"/>
      <c r="FI65" s="72"/>
      <c r="FJ65" s="81"/>
      <c r="FK65" s="72"/>
      <c r="FL65" s="81"/>
      <c r="FM65" s="72"/>
      <c r="FN65" s="81"/>
      <c r="FO65" s="72"/>
      <c r="FP65" s="81"/>
      <c r="FQ65" s="72"/>
      <c r="FR65" s="81"/>
      <c r="FS65" s="72"/>
      <c r="FT65" s="81"/>
      <c r="FU65" s="72"/>
      <c r="FV65" s="81"/>
      <c r="FW65" s="72"/>
      <c r="FX65" s="81"/>
      <c r="FY65" s="72"/>
      <c r="FZ65" s="81"/>
      <c r="GA65" s="72"/>
      <c r="GB65" s="81"/>
      <c r="GC65" s="72"/>
      <c r="GD65" s="81"/>
      <c r="GE65" s="72"/>
      <c r="GF65" s="81"/>
      <c r="GG65" s="72"/>
      <c r="GH65" s="81"/>
      <c r="GI65" s="72"/>
      <c r="GJ65" s="81"/>
      <c r="GK65" s="72"/>
      <c r="GL65" s="81"/>
      <c r="GM65" s="72"/>
      <c r="GN65" s="81"/>
      <c r="GO65" s="72"/>
      <c r="GP65" s="81"/>
      <c r="GQ65" s="72"/>
      <c r="GR65" s="81"/>
      <c r="GS65" s="72"/>
      <c r="GT65" s="81"/>
      <c r="GU65" s="72"/>
      <c r="GV65" s="81"/>
      <c r="GW65" s="72"/>
      <c r="GX65" s="81"/>
      <c r="GY65" s="72"/>
      <c r="GZ65" s="72"/>
      <c r="HA65" s="72"/>
      <c r="HB65" s="72"/>
      <c r="HC65"/>
      <c r="HD65"/>
      <c r="HE65"/>
      <c r="HF65"/>
      <c r="HG65"/>
      <c r="HH65"/>
      <c r="HI65" s="111"/>
    </row>
    <row r="66" spans="1:217" s="3" customFormat="1" ht="12.75" customHeight="1" x14ac:dyDescent="0.2">
      <c r="B66" s="89" t="s">
        <v>489</v>
      </c>
      <c r="C66" s="81"/>
      <c r="D66" s="72"/>
      <c r="E66" s="81"/>
      <c r="F66" s="72"/>
      <c r="G66" s="81"/>
      <c r="H66" s="72"/>
      <c r="I66" s="81"/>
      <c r="J66" s="72"/>
      <c r="K66" s="81"/>
      <c r="L66" s="72"/>
      <c r="M66" s="81"/>
      <c r="N66" s="72"/>
      <c r="O66" s="81"/>
      <c r="P66" s="72"/>
      <c r="Q66" s="81"/>
      <c r="R66" s="72"/>
      <c r="S66" s="81"/>
      <c r="T66" s="72"/>
      <c r="U66" s="81"/>
      <c r="V66" s="72"/>
      <c r="W66" s="81"/>
      <c r="X66" s="72"/>
      <c r="Y66" s="81"/>
      <c r="Z66" s="72"/>
      <c r="AA66" s="81"/>
      <c r="AB66" s="72"/>
      <c r="AC66" s="81"/>
      <c r="AD66" s="72"/>
      <c r="AE66" s="81"/>
      <c r="AF66" s="72"/>
      <c r="AG66" s="81"/>
      <c r="AH66" s="72"/>
      <c r="AI66" s="81"/>
      <c r="AJ66" s="72"/>
      <c r="AK66" s="81"/>
      <c r="AL66" s="72"/>
      <c r="AM66" s="81"/>
      <c r="AN66" s="72"/>
      <c r="AO66" s="81"/>
      <c r="AP66" s="72"/>
      <c r="AQ66" s="81"/>
      <c r="AR66" s="72"/>
      <c r="AS66" s="81"/>
      <c r="AT66" s="72"/>
      <c r="AU66" s="81"/>
      <c r="AV66" s="72"/>
      <c r="AW66" s="81"/>
      <c r="AX66" s="72"/>
      <c r="AY66" s="81"/>
      <c r="AZ66" s="72"/>
      <c r="BA66" s="81"/>
      <c r="BB66" s="72"/>
      <c r="BC66" s="81"/>
      <c r="BD66" s="72"/>
      <c r="BE66" s="81"/>
      <c r="BF66" s="72"/>
      <c r="BG66" s="81"/>
      <c r="BH66" s="72"/>
      <c r="BI66" s="81"/>
      <c r="BJ66" s="72"/>
      <c r="BK66" s="81"/>
      <c r="BL66" s="72"/>
      <c r="BM66" s="81"/>
      <c r="BN66" s="72"/>
      <c r="BO66" s="81"/>
      <c r="BP66" s="72"/>
      <c r="BQ66" s="81"/>
      <c r="BR66" s="72"/>
      <c r="BS66" s="81"/>
      <c r="BT66" s="72"/>
      <c r="BU66" s="81"/>
      <c r="BV66" s="72"/>
      <c r="BW66" s="81"/>
      <c r="BX66" s="72"/>
      <c r="BY66" s="81"/>
      <c r="BZ66" s="72"/>
      <c r="CA66" s="81"/>
      <c r="CB66" s="72"/>
      <c r="CC66" s="81"/>
      <c r="CD66" s="72"/>
      <c r="CE66" s="81"/>
      <c r="CF66" s="72"/>
      <c r="CG66" s="81"/>
      <c r="CH66" s="72"/>
      <c r="CI66" s="81"/>
      <c r="CJ66" s="72"/>
      <c r="CK66" s="81"/>
      <c r="CL66" s="72"/>
      <c r="CM66" s="81"/>
      <c r="CN66" s="72"/>
      <c r="CO66" s="81"/>
      <c r="CP66" s="72"/>
      <c r="CQ66" s="81"/>
      <c r="CR66" s="72"/>
      <c r="CS66" s="81"/>
      <c r="CT66" s="72"/>
      <c r="CU66" s="81"/>
      <c r="CV66" s="72"/>
      <c r="CW66" s="81"/>
      <c r="CX66" s="72"/>
      <c r="CY66" s="81"/>
      <c r="CZ66" s="72"/>
      <c r="DA66" s="81"/>
      <c r="DB66" s="72"/>
      <c r="DC66" s="81"/>
      <c r="DD66" s="72"/>
      <c r="DE66" s="81"/>
      <c r="DF66" s="72"/>
      <c r="DG66" s="81"/>
      <c r="DH66" s="72"/>
      <c r="DI66" s="81"/>
      <c r="DJ66" s="72"/>
      <c r="DK66" s="81"/>
      <c r="DL66" s="72"/>
      <c r="DM66" s="81"/>
      <c r="DN66" s="72"/>
      <c r="DO66" s="81"/>
      <c r="DP66" s="72"/>
      <c r="DQ66" s="81"/>
      <c r="DR66" s="72"/>
      <c r="DS66" s="81"/>
      <c r="DT66" s="72"/>
      <c r="DU66" s="81"/>
      <c r="DV66" s="72"/>
      <c r="DW66" s="81"/>
      <c r="DX66" s="72"/>
      <c r="DY66" s="81"/>
      <c r="DZ66" s="72"/>
      <c r="EA66" s="81"/>
      <c r="EB66" s="72"/>
      <c r="EC66" s="81"/>
      <c r="ED66" s="72"/>
      <c r="EE66" s="81"/>
      <c r="EF66" s="72"/>
      <c r="EG66" s="81"/>
      <c r="EH66" s="72"/>
      <c r="EI66" s="81"/>
      <c r="EJ66" s="72"/>
      <c r="EK66" s="81"/>
      <c r="EL66" s="72"/>
      <c r="EM66" s="81"/>
      <c r="EN66" s="72"/>
      <c r="EO66" s="81"/>
      <c r="EP66" s="72"/>
      <c r="EQ66" s="81"/>
      <c r="ER66" s="72"/>
      <c r="ES66" s="81"/>
      <c r="ET66" s="72"/>
      <c r="EU66" s="81"/>
      <c r="EV66" s="72"/>
      <c r="EW66" s="81"/>
      <c r="EX66" s="72"/>
      <c r="EY66" s="72"/>
      <c r="EZ66" s="309"/>
      <c r="FA66" s="72"/>
      <c r="FB66" s="81"/>
      <c r="FC66" s="72"/>
      <c r="FD66" s="81"/>
      <c r="FE66" s="72"/>
      <c r="FF66" s="81"/>
      <c r="FG66" s="72"/>
      <c r="FH66" s="81"/>
      <c r="FI66" s="72"/>
      <c r="FJ66" s="81"/>
      <c r="FK66" s="72"/>
      <c r="FL66" s="81"/>
      <c r="FM66" s="72"/>
      <c r="FN66" s="81"/>
      <c r="FO66" s="72"/>
      <c r="FP66" s="81"/>
      <c r="FQ66" s="72"/>
      <c r="FR66" s="81"/>
      <c r="FS66" s="72"/>
      <c r="FT66" s="81"/>
      <c r="FU66" s="72"/>
      <c r="FV66" s="81"/>
      <c r="FW66" s="72"/>
      <c r="FX66" s="81"/>
      <c r="FY66" s="72"/>
      <c r="FZ66" s="81"/>
      <c r="GA66" s="72"/>
      <c r="GB66" s="81"/>
      <c r="GC66" s="72"/>
      <c r="GD66" s="81"/>
      <c r="GE66" s="72"/>
      <c r="GF66" s="81"/>
      <c r="GG66" s="72"/>
      <c r="GH66" s="81"/>
      <c r="GI66" s="72"/>
      <c r="GJ66" s="81"/>
      <c r="GK66" s="72"/>
      <c r="GL66" s="81"/>
      <c r="GM66" s="72"/>
      <c r="GN66" s="81"/>
      <c r="GO66" s="72"/>
      <c r="GP66" s="81"/>
      <c r="GQ66" s="72"/>
      <c r="GR66" s="81"/>
      <c r="GS66" s="72"/>
      <c r="GT66" s="81"/>
      <c r="GU66" s="72"/>
      <c r="GV66" s="81"/>
      <c r="GW66" s="72"/>
      <c r="GX66" s="81"/>
      <c r="GY66" s="72"/>
      <c r="GZ66" s="72"/>
      <c r="HA66" s="72"/>
      <c r="HB66" s="72"/>
      <c r="HC66"/>
      <c r="HD66"/>
      <c r="HE66"/>
      <c r="HF66"/>
      <c r="HG66"/>
      <c r="HH66"/>
      <c r="HI66" s="111"/>
    </row>
    <row r="67" spans="1:217" s="3" customFormat="1" ht="12.75" customHeight="1" x14ac:dyDescent="0.2">
      <c r="B67" s="77" t="s">
        <v>219</v>
      </c>
      <c r="C67" s="74">
        <v>93</v>
      </c>
      <c r="D67" s="72"/>
      <c r="E67" s="74">
        <v>91</v>
      </c>
      <c r="F67" s="72"/>
      <c r="G67" s="74">
        <v>87</v>
      </c>
      <c r="H67" s="72"/>
      <c r="I67" s="74">
        <v>85</v>
      </c>
      <c r="J67" s="72"/>
      <c r="K67" s="74">
        <v>77</v>
      </c>
      <c r="L67" s="72">
        <f t="shared" ref="L67:L72" si="368">IF(ISERROR(K67/C67),"NA",IF(OR(K67/C67&gt;2,K67/C67&lt;0.5),"NM",K67/C67*100-100))</f>
        <v>-17.204301075268816</v>
      </c>
      <c r="M67" s="74">
        <v>78</v>
      </c>
      <c r="N67" s="72">
        <f t="shared" ref="N67:N72" si="369">IF(ISERROR(M67/E67),"NA",IF(OR(M67/E67&gt;2,M67/E67&lt;0.5),"NM",M67/E67*100-100))</f>
        <v>-14.285714285714292</v>
      </c>
      <c r="O67" s="74">
        <v>69</v>
      </c>
      <c r="P67" s="72">
        <f t="shared" ref="P67:P72" si="370">IF(ISERROR(O67/G67),"NA",IF(OR(O67/G67&gt;2,O67/G67&lt;0.5),"NM",O67/G67*100-100))</f>
        <v>-20.689655172413794</v>
      </c>
      <c r="Q67" s="74">
        <v>64</v>
      </c>
      <c r="R67" s="72">
        <f t="shared" ref="R67:AP72" si="371">IF(ISERROR(Q67/I67),"NA",IF(OR(Q67/I67&gt;2,Q67/I67&lt;0.5),"NM",Q67/I67*100-100))</f>
        <v>-24.705882352941174</v>
      </c>
      <c r="S67" s="74">
        <v>65</v>
      </c>
      <c r="T67" s="72">
        <f t="shared" si="371"/>
        <v>-15.584415584415595</v>
      </c>
      <c r="U67" s="74">
        <v>77</v>
      </c>
      <c r="V67" s="72">
        <f t="shared" si="371"/>
        <v>-1.2820512820512704</v>
      </c>
      <c r="W67" s="74">
        <v>62</v>
      </c>
      <c r="X67" s="72">
        <f t="shared" si="371"/>
        <v>-10.14492753623189</v>
      </c>
      <c r="Y67" s="74">
        <v>61</v>
      </c>
      <c r="Z67" s="72">
        <f t="shared" si="371"/>
        <v>-4.6875</v>
      </c>
      <c r="AA67" s="74">
        <v>63</v>
      </c>
      <c r="AB67" s="72">
        <f t="shared" si="371"/>
        <v>-3.0769230769230802</v>
      </c>
      <c r="AC67" s="74">
        <v>123</v>
      </c>
      <c r="AD67" s="72">
        <f t="shared" si="371"/>
        <v>59.740259740259745</v>
      </c>
      <c r="AE67" s="74">
        <v>152</v>
      </c>
      <c r="AF67" s="72" t="str">
        <f t="shared" si="371"/>
        <v>NM</v>
      </c>
      <c r="AG67" s="74">
        <v>156</v>
      </c>
      <c r="AH67" s="72" t="str">
        <f t="shared" si="371"/>
        <v>NM</v>
      </c>
      <c r="AI67" s="74">
        <f>14+155</f>
        <v>169</v>
      </c>
      <c r="AJ67" s="72" t="str">
        <f t="shared" si="371"/>
        <v>NM</v>
      </c>
      <c r="AK67" s="74">
        <f>17+156</f>
        <v>173</v>
      </c>
      <c r="AL67" s="72">
        <f t="shared" si="371"/>
        <v>40.650406504065046</v>
      </c>
      <c r="AM67" s="74">
        <f>16+157</f>
        <v>173</v>
      </c>
      <c r="AN67" s="72">
        <f t="shared" si="371"/>
        <v>13.815789473684205</v>
      </c>
      <c r="AO67" s="74">
        <f>16+168</f>
        <v>184</v>
      </c>
      <c r="AP67" s="72">
        <f t="shared" si="371"/>
        <v>17.948717948717956</v>
      </c>
      <c r="AQ67" s="74">
        <f>25+169</f>
        <v>194</v>
      </c>
      <c r="AR67" s="72">
        <f t="shared" ref="AR67:AR72" si="372">IF(ISERROR(AQ67/AI67),"NA",IF(OR(AQ67/AI67&gt;2,AQ67/AI67&lt;0.5),"NM",AQ67/AI67*100-100))</f>
        <v>14.792899408284029</v>
      </c>
      <c r="AS67" s="74">
        <f>12+178</f>
        <v>190</v>
      </c>
      <c r="AT67" s="72">
        <f t="shared" ref="AT67:AT72" si="373">IF(ISERROR(AS67/AK67),"NA",IF(OR(AS67/AK67&gt;2,AS67/AK67&lt;0.5),"NM",AS67/AK67*100-100))</f>
        <v>9.8265895953757223</v>
      </c>
      <c r="AU67" s="74">
        <f>13+185</f>
        <v>198</v>
      </c>
      <c r="AV67" s="72">
        <f t="shared" ref="AV67:AV72" si="374">IF(ISERROR(AU67/AM67),"NA",IF(OR(AU67/AM67&gt;2,AU67/AM67&lt;0.5),"NM",AU67/AM67*100-100))</f>
        <v>14.450867052023114</v>
      </c>
      <c r="AW67" s="74">
        <f>17+181</f>
        <v>198</v>
      </c>
      <c r="AX67" s="72">
        <f t="shared" ref="AX67:AX72" si="375">IF(ISERROR(AW67/AO67),"NA",IF(OR(AW67/AO67&gt;2,AW67/AO67&lt;0.5),"NM",AW67/AO67*100-100))</f>
        <v>7.6086956521739069</v>
      </c>
      <c r="AY67" s="74">
        <f>200+15</f>
        <v>215</v>
      </c>
      <c r="AZ67" s="72">
        <f t="shared" ref="AZ67:AZ72" si="376">IF(ISERROR(AY67/AQ67),"NA",IF(OR(AY67/AQ67&gt;2,AY67/AQ67&lt;0.5),"NM",AY67/AQ67*100-100))</f>
        <v>10.824742268041248</v>
      </c>
      <c r="BA67" s="74">
        <f>16+225</f>
        <v>241</v>
      </c>
      <c r="BB67" s="72">
        <f t="shared" ref="BB67:BB72" si="377">IF(ISERROR(BA67/AS67),"NA",IF(OR(BA67/AS67&gt;2,BA67/AS67&lt;0.5),"NM",BA67/AS67*100-100))</f>
        <v>26.84210526315789</v>
      </c>
      <c r="BC67" s="74">
        <f>26+270</f>
        <v>296</v>
      </c>
      <c r="BD67" s="72">
        <f t="shared" ref="BD67:BD72" si="378">IF(ISERROR(BC67/AU67),"NA",IF(OR(BC67/AU67&gt;2,BC67/AU67&lt;0.5),"NM",BC67/AU67*100-100))</f>
        <v>49.494949494949509</v>
      </c>
      <c r="BE67" s="74">
        <f>24+291</f>
        <v>315</v>
      </c>
      <c r="BF67" s="72">
        <f t="shared" ref="BF67:BF72" si="379">IF(ISERROR(BE67/AW67),"NA",IF(OR(BE67/AW67&gt;2,BE67/AW67&lt;0.5),"NM",BE67/AW67*100-100))</f>
        <v>59.090909090909093</v>
      </c>
      <c r="BG67" s="74">
        <f>21+299</f>
        <v>320</v>
      </c>
      <c r="BH67" s="72">
        <f t="shared" ref="BH67:BH72" si="380">IF(ISERROR(BG67/AY67),"NA",IF(OR(BG67/AY67&gt;2,BG67/AY67&lt;0.5),"NM",BG67/AY67*100-100))</f>
        <v>48.83720930232559</v>
      </c>
      <c r="BI67" s="74">
        <f>19+320</f>
        <v>339</v>
      </c>
      <c r="BJ67" s="72">
        <f t="shared" ref="BJ67:BJ72" si="381">IF(ISERROR(BI67/BA67),"NA",IF(OR(BI67/BA67&gt;2,BI67/BA67&lt;0.5),"NM",BI67/BA67*100-100))</f>
        <v>40.663900414937757</v>
      </c>
      <c r="BK67" s="74">
        <f>13+322</f>
        <v>335</v>
      </c>
      <c r="BL67" s="72">
        <f t="shared" ref="BL67:BL72" si="382">IF(ISERROR(BK67/BC67),"NA",IF(OR(BK67/BC67&gt;2,BK67/BC67&lt;0.5),"NM",BK67/BC67*100-100))</f>
        <v>13.175675675675677</v>
      </c>
      <c r="BM67" s="74">
        <f>17+339</f>
        <v>356</v>
      </c>
      <c r="BN67" s="72">
        <f t="shared" ref="BN67:BN72" si="383">IF(ISERROR(BM67/BE67),"NA",IF(OR(BM67/BE67&gt;2,BM67/BE67&lt;0.5),"NM",BM67/BE67*100-100))</f>
        <v>13.015873015873012</v>
      </c>
      <c r="BO67" s="74">
        <f>19+304</f>
        <v>323</v>
      </c>
      <c r="BP67" s="72">
        <f t="shared" ref="BP67:BP72" si="384">IF(ISERROR(BO67/BG67),"NA",IF(OR(BO67/BG67&gt;2,BO67/BG67&lt;0.5),"NM",BO67/BG67*100-100))</f>
        <v>0.93749999999998579</v>
      </c>
      <c r="BQ67" s="74">
        <f>13+307</f>
        <v>320</v>
      </c>
      <c r="BR67" s="72">
        <f t="shared" ref="BR67:BR72" si="385">IF(ISERROR(BQ67/BI67),"NA",IF(OR(BQ67/BI67&gt;2,BQ67/BI67&lt;0.5),"NM",BQ67/BI67*100-100))</f>
        <v>-5.6047197640118043</v>
      </c>
      <c r="BS67" s="74">
        <f>18+286</f>
        <v>304</v>
      </c>
      <c r="BT67" s="72">
        <f t="shared" ref="BT67:BT72" si="386">IF(ISERROR(BS67/BK67),"NA",IF(OR(BS67/BK67&gt;2,BS67/BK67&lt;0.5),"NM",BS67/BK67*100-100))</f>
        <v>-9.2537313432835759</v>
      </c>
      <c r="BU67" s="74">
        <f>14+210</f>
        <v>224</v>
      </c>
      <c r="BV67" s="72">
        <f t="shared" ref="BV67:BV72" si="387">IF(ISERROR(BU67/BM67),"NA",IF(OR(BU67/BM67&gt;2,BU67/BM67&lt;0.5),"NM",BU67/BM67*100-100))</f>
        <v>-37.078651685393261</v>
      </c>
      <c r="BW67" s="74">
        <f>200+17</f>
        <v>217</v>
      </c>
      <c r="BX67" s="72">
        <f t="shared" ref="BX67:BX72" si="388">IF(ISERROR(BW67/BO67),"NA",IF(OR(BW67/BO67&gt;2,BW67/BO67&lt;0.5),"NM",BW67/BO67*100-100))</f>
        <v>-32.817337461300312</v>
      </c>
      <c r="BY67" s="74">
        <f>220+16</f>
        <v>236</v>
      </c>
      <c r="BZ67" s="72">
        <f t="shared" ref="BZ67:BZ72" si="389">IF(ISERROR(BY67/BQ67),"NA",IF(OR(BY67/BQ67&gt;2,BY67/BQ67&lt;0.5),"NM",BY67/BQ67*100-100))</f>
        <v>-26.25</v>
      </c>
      <c r="CA67" s="74">
        <f>28+265</f>
        <v>293</v>
      </c>
      <c r="CB67" s="72">
        <f t="shared" ref="CB67:CB72" si="390">IF(ISERROR(CA67/BS67),"NA",IF(OR(CA67/BS67&gt;2,CA67/BS67&lt;0.5),"NM",CA67/BS67*100-100))</f>
        <v>-3.6184210526315752</v>
      </c>
      <c r="CC67" s="74">
        <f>27+306</f>
        <v>333</v>
      </c>
      <c r="CD67" s="72">
        <f t="shared" ref="CD67:CD72" si="391">IF(ISERROR(CC67/BU67),"NA",IF(OR(CC67/BU67&gt;2,CC67/BU67&lt;0.5),"NM",CC67/BU67*100-100))</f>
        <v>48.660714285714278</v>
      </c>
      <c r="CE67" s="74">
        <f>37+345</f>
        <v>382</v>
      </c>
      <c r="CF67" s="72">
        <f t="shared" ref="CF67:CF72" si="392">IF(ISERROR(CE67/BW67),"NA",IF(OR(CE67/BW67&gt;2,CE67/BW67&lt;0.5),"NM",CE67/BW67*100-100))</f>
        <v>76.036866359447004</v>
      </c>
      <c r="CG67" s="74">
        <f>43+345</f>
        <v>388</v>
      </c>
      <c r="CH67" s="72">
        <f t="shared" ref="CH67:CH72" si="393">IF(ISERROR(CG67/BY67),"NA",IF(OR(CG67/BY67&gt;2,CG67/BY67&lt;0.5),"NM",CG67/BY67*100-100))</f>
        <v>64.406779661016969</v>
      </c>
      <c r="CI67" s="74">
        <f>49+365</f>
        <v>414</v>
      </c>
      <c r="CJ67" s="72">
        <f t="shared" ref="CJ67:CT72" si="394">IF(ISERROR(CI67/CA67),"NA",IF(OR(CI67/CA67&gt;2,CI67/CA67&lt;0.5),"NM",CI67/CA67*100-100))</f>
        <v>41.296928327645048</v>
      </c>
      <c r="CK67" s="74">
        <f>37+406</f>
        <v>443</v>
      </c>
      <c r="CL67" s="72">
        <f t="shared" si="394"/>
        <v>33.033033033033036</v>
      </c>
      <c r="CM67" s="74">
        <f>443+39</f>
        <v>482</v>
      </c>
      <c r="CN67" s="72">
        <f t="shared" si="394"/>
        <v>26.178010471204189</v>
      </c>
      <c r="CO67" s="74">
        <f>31+475</f>
        <v>506</v>
      </c>
      <c r="CP67" s="72">
        <f t="shared" si="394"/>
        <v>30.412371134020617</v>
      </c>
      <c r="CQ67" s="74">
        <f>469+27</f>
        <v>496</v>
      </c>
      <c r="CR67" s="72">
        <f t="shared" si="394"/>
        <v>19.806763285024147</v>
      </c>
      <c r="CS67" s="74">
        <f>24+463</f>
        <v>487</v>
      </c>
      <c r="CT67" s="72">
        <f t="shared" si="394"/>
        <v>9.9322799097065513</v>
      </c>
      <c r="CU67" s="74">
        <f>27+494</f>
        <v>521</v>
      </c>
      <c r="CV67" s="72">
        <f t="shared" ref="CV67:CV72" si="395">IF(ISERROR(CU67/CM67),"NA",IF(OR(CU67/CM67&gt;2,CU67/CM67&lt;0.5),"NM",CU67/CM67*100-100))</f>
        <v>8.0912863070539345</v>
      </c>
      <c r="CW67" s="74">
        <f>27+506</f>
        <v>533</v>
      </c>
      <c r="CX67" s="72">
        <f t="shared" ref="CX67:CX72" si="396">IF(ISERROR(CW67/CO67),"NA",IF(OR(CW67/CO67&gt;2,CW67/CO67&lt;0.5),"NM",CW67/CO67*100-100))</f>
        <v>5.3359683794466264</v>
      </c>
      <c r="CY67" s="74">
        <f>24+531</f>
        <v>555</v>
      </c>
      <c r="CZ67" s="72">
        <f t="shared" ref="CZ67:CZ72" si="397">IF(ISERROR(CY67/CQ67),"NA",IF(OR(CY67/CQ67&gt;2,CY67/CQ67&lt;0.5),"NM",CY67/CQ67*100-100))</f>
        <v>11.895161290322577</v>
      </c>
      <c r="DA67" s="74">
        <f>24+549</f>
        <v>573</v>
      </c>
      <c r="DB67" s="72">
        <f t="shared" ref="DB67:DB72" si="398">IF(ISERROR(DA67/CS67),"NA",IF(OR(DA67/CS67&gt;2,DA67/CS67&lt;0.5),"NM",DA67/CS67*100-100))</f>
        <v>17.659137577002056</v>
      </c>
      <c r="DC67" s="74">
        <f>24+571</f>
        <v>595</v>
      </c>
      <c r="DD67" s="72">
        <f t="shared" ref="DD67:DD72" si="399">IF(ISERROR(DC67/CU67),"NA",IF(OR(DC67/CU67&gt;2,DC67/CU67&lt;0.5),"NM",DC67/CU67*100-100))</f>
        <v>14.203454894433776</v>
      </c>
      <c r="DE67" s="74">
        <f>29+600</f>
        <v>629</v>
      </c>
      <c r="DF67" s="72">
        <f t="shared" ref="DF67:DF72" si="400">IF(ISERROR(DE67/CW67),"NA",IF(OR(DE67/CW67&gt;2,DE67/CW67&lt;0.5),"NM",DE67/CW67*100-100))</f>
        <v>18.011257035647276</v>
      </c>
      <c r="DG67" s="74">
        <f>26+613</f>
        <v>639</v>
      </c>
      <c r="DH67" s="72">
        <f t="shared" ref="DH67:DH72" si="401">IF(ISERROR(DG67/CY67),"NA",IF(OR(DG67/CY67&gt;2,DG67/CY67&lt;0.5),"NM",DG67/CY67*100-100))</f>
        <v>15.13513513513513</v>
      </c>
      <c r="DI67" s="74">
        <f>29+637</f>
        <v>666</v>
      </c>
      <c r="DJ67" s="72">
        <f t="shared" ref="DJ67:DJ72" si="402">IF(ISERROR(DI67/DA67),"NA",IF(OR(DI67/DA67&gt;2,DI67/DA67&lt;0.5),"NM",DI67/DA67*100-100))</f>
        <v>16.230366492146601</v>
      </c>
      <c r="DK67" s="74">
        <f>29+642</f>
        <v>671</v>
      </c>
      <c r="DL67" s="72">
        <f t="shared" ref="DL67:DL72" si="403">IF(ISERROR(DK67/DC67),"NA",IF(OR(DK67/DC67&gt;2,DK67/DC67&lt;0.5),"NM",DK67/DC67*100-100))</f>
        <v>12.773109243697476</v>
      </c>
      <c r="DM67" s="74">
        <f>28+660</f>
        <v>688</v>
      </c>
      <c r="DN67" s="72">
        <f t="shared" ref="DN67:DZ72" si="404">IF(ISERROR(DM67/DE67),"NA",IF(OR(DM67/DE67&gt;2,DM67/DE67&lt;0.5),"NM",DM67/DE67*100-100))</f>
        <v>9.3799682034976257</v>
      </c>
      <c r="DO67" s="74">
        <f>20+676</f>
        <v>696</v>
      </c>
      <c r="DP67" s="72">
        <f t="shared" si="404"/>
        <v>8.9201877934272318</v>
      </c>
      <c r="DQ67" s="74">
        <f>28+671</f>
        <v>699</v>
      </c>
      <c r="DR67" s="72">
        <f t="shared" si="404"/>
        <v>4.9549549549549425</v>
      </c>
      <c r="DS67" s="74">
        <f>29+669</f>
        <v>698</v>
      </c>
      <c r="DT67" s="72">
        <f t="shared" si="404"/>
        <v>4.0238450074515697</v>
      </c>
      <c r="DU67" s="74">
        <f>31+682</f>
        <v>713</v>
      </c>
      <c r="DV67" s="72">
        <f t="shared" si="404"/>
        <v>3.6337209302325562</v>
      </c>
      <c r="DW67" s="74">
        <f>664+28</f>
        <v>692</v>
      </c>
      <c r="DX67" s="72">
        <f t="shared" si="404"/>
        <v>-0.57471264367816843</v>
      </c>
      <c r="DY67" s="74">
        <f>653+29</f>
        <v>682</v>
      </c>
      <c r="DZ67" s="72">
        <f t="shared" si="404"/>
        <v>-2.4320457796852679</v>
      </c>
      <c r="EA67" s="74">
        <f>620+32</f>
        <v>652</v>
      </c>
      <c r="EB67" s="72">
        <f t="shared" ref="EB67:EB72" si="405">IF(ISERROR(EA67/DS67),"NA",IF(OR(EA67/DS67&gt;2,EA67/DS67&lt;0.5),"NM",EA67/DS67*100-100))</f>
        <v>-6.5902578796561642</v>
      </c>
      <c r="EC67" s="74">
        <f>44+631</f>
        <v>675</v>
      </c>
      <c r="ED67" s="72">
        <f t="shared" ref="ED67:ED72" si="406">IF(ISERROR(EC67/DU67),"NA",IF(OR(EC67/DU67&gt;2,EC67/DU67&lt;0.5),"NM",EC67/DU67*100-100))</f>
        <v>-5.3295932678821885</v>
      </c>
      <c r="EE67" s="74">
        <f>39+667</f>
        <v>706</v>
      </c>
      <c r="EF67" s="72">
        <f t="shared" ref="EF67:EF72" si="407">IF(ISERROR(EE67/DW67),"NA",IF(OR(EE67/DW67&gt;2,EE67/DW67&lt;0.5),"NM",EE67/DW67*100-100))</f>
        <v>2.0231213872832399</v>
      </c>
      <c r="EG67" s="74">
        <f>651+44</f>
        <v>695</v>
      </c>
      <c r="EH67" s="72">
        <f t="shared" ref="EH67:EH72" si="408">IF(ISERROR(EG67/DY67),"NA",IF(OR(EG67/DY67&gt;2,EG67/DY67&lt;0.5),"NM",EG67/DY67*100-100))</f>
        <v>1.9061583577712611</v>
      </c>
      <c r="EI67" s="74">
        <f>39+659</f>
        <v>698</v>
      </c>
      <c r="EJ67" s="72">
        <f t="shared" ref="EJ67:EJ72" si="409">IF(ISERROR(EI67/EA67),"NA",IF(OR(EI67/EA67&gt;2,EI67/EA67&lt;0.5),"NM",EI67/EA67*100-100))</f>
        <v>7.0552147239263832</v>
      </c>
      <c r="EK67" s="74">
        <f>41+712</f>
        <v>753</v>
      </c>
      <c r="EL67" s="72">
        <f t="shared" ref="EL67:EL72" si="410">IF(ISERROR(EK67/EC67),"NA",IF(OR(EK67/EC67&gt;2,EK67/EC67&lt;0.5),"NM",EK67/EC67*100-100))</f>
        <v>11.555555555555557</v>
      </c>
      <c r="EM67" s="74">
        <f>41+726</f>
        <v>767</v>
      </c>
      <c r="EN67" s="72">
        <f t="shared" ref="EN67:EN72" si="411">IF(ISERROR(EM67/EE67),"NA",IF(OR(EM67/EE67&gt;2,EM67/EE67&lt;0.5),"NM",EM67/EE67*100-100))</f>
        <v>8.6402266288951921</v>
      </c>
      <c r="EO67" s="74">
        <f>27+736</f>
        <v>763</v>
      </c>
      <c r="EP67" s="72">
        <f t="shared" ref="EP67:EP72" si="412">IF(ISERROR(EO67/EG67),"NA",IF(OR(EO67/EG67&gt;2,EO67/EG67&lt;0.5),"NM",EO67/EG67*100-100))</f>
        <v>9.7841726618704996</v>
      </c>
      <c r="EQ67" s="75">
        <f t="shared" ref="EQ67" si="413">EQ74/400*EQ39</f>
        <v>754.86167061201604</v>
      </c>
      <c r="ER67" s="72">
        <f t="shared" ref="ER67:ER72" si="414">IF(ISERROR(EQ67/EI67),"NA",IF(OR(EQ67/EI67&gt;2,EQ67/EI67&lt;0.5),"NM",EQ67/EI67*100-100))</f>
        <v>8.1463711478533014</v>
      </c>
      <c r="ES67" s="75">
        <f t="shared" ref="ES67" si="415">ES74/400*ES39</f>
        <v>743.63465165372031</v>
      </c>
      <c r="ET67" s="72">
        <f t="shared" ref="ET67:ET72" si="416">IF(ISERROR(ES67/EK67),"NA",IF(OR(ES67/EK67&gt;2,ES67/EK67&lt;0.5),"NM",ES67/EK67*100-100))</f>
        <v>-1.2437381601965001</v>
      </c>
      <c r="EU67" s="75">
        <f t="shared" ref="EU67" si="417">EU74/400*EU39</f>
        <v>741.22023807615676</v>
      </c>
      <c r="EV67" s="72">
        <f t="shared" ref="EV67:EV72" si="418">IF(ISERROR(EU67/EM67),"NA",IF(OR(EU67/EM67&gt;2,EU67/EM67&lt;0.5),"NM",EU67/EM67*100-100))</f>
        <v>-3.3611162873328908</v>
      </c>
      <c r="EW67" s="75">
        <f t="shared" ref="EW67" si="419">EW74/400*EW39</f>
        <v>738.96790422060826</v>
      </c>
      <c r="EX67" s="72">
        <f t="shared" ref="EX67:EX72" si="420">IF(ISERROR(EW67/EO67),"NA",IF(OR(EW67/EO67&gt;2,EW67/EO67&lt;0.5),"NM",EW67/EO67*100-100))</f>
        <v>-3.1496848990028496</v>
      </c>
      <c r="EY67" s="72"/>
      <c r="EZ67" s="309"/>
      <c r="FA67" s="72"/>
      <c r="FB67" s="75">
        <v>284</v>
      </c>
      <c r="FC67" s="72"/>
      <c r="FD67" s="75">
        <v>316</v>
      </c>
      <c r="FE67" s="72">
        <f t="shared" ref="FE67:FE72" si="421">IF(ISERROR(FD67/FB67),"NA",IF(OR(FD67/FB67&gt;2,FD67/FB67&lt;0.5),"NM",FD67/FB67*100-100))</f>
        <v>11.26760563380283</v>
      </c>
      <c r="FF67" s="75">
        <v>356</v>
      </c>
      <c r="FG67" s="72">
        <f t="shared" ref="FG67:FG72" si="422">IF(ISERROR(FF67/FD67),"NA",IF(OR(FF67/FD67&gt;2,FF67/FD67&lt;0.5),"NM",FF67/FD67*100-100))</f>
        <v>12.658227848101262</v>
      </c>
      <c r="FH67" s="75">
        <f>K67+M67+O67+Q67</f>
        <v>288</v>
      </c>
      <c r="FI67" s="72">
        <f t="shared" ref="FI67:FI72" si="423">IF(ISERROR(FH67/FF67),"NA",IF(OR(FH67/FF67&gt;2,FH67/FF67&lt;0.5),"NM",FH67/FF67*100-100))</f>
        <v>-19.101123595505626</v>
      </c>
      <c r="FJ67" s="75">
        <f>S67+U67+W67+Y67</f>
        <v>265</v>
      </c>
      <c r="FK67" s="72">
        <f t="shared" ref="FK67:FK72" si="424">IF(ISERROR(FJ67/FH67),"NA",IF(OR(FJ67/FH67&gt;2,FJ67/FH67&lt;0.5),"NM",FJ67/FH67*100-100))</f>
        <v>-7.9861111111111143</v>
      </c>
      <c r="FL67" s="75">
        <f>AA67+AC67+AE67+AG67</f>
        <v>494</v>
      </c>
      <c r="FM67" s="72">
        <f t="shared" ref="FM67:FM72" si="425">IF(ISERROR(FL67/FJ67),"NA",IF(OR(FL67/FJ67&gt;2,FL67/FJ67&lt;0.5),"NM",FL67/FJ67*100-100))</f>
        <v>86.415094339622641</v>
      </c>
      <c r="FN67" s="75">
        <f>AI67+AK67+AM67+AO67</f>
        <v>699</v>
      </c>
      <c r="FO67" s="72">
        <f t="shared" ref="FO67:FO72" si="426">IF(ISERROR(FN67/FL67),"NA",IF(OR(FN67/FL67&gt;2,FN67/FL67&lt;0.5),"NM",FN67/FL67*100-100))</f>
        <v>41.497975708502025</v>
      </c>
      <c r="FP67" s="75">
        <f>AQ67+AS67+AU67+AW67</f>
        <v>780</v>
      </c>
      <c r="FQ67" s="72">
        <f t="shared" ref="FQ67:FQ72" si="427">IF(ISERROR(FP67/FN67),"NA",IF(OR(FP67/FN67&gt;2,FP67/FN67&lt;0.5),"NM",FP67/FN67*100-100))</f>
        <v>11.58798283261801</v>
      </c>
      <c r="FR67" s="75">
        <f>AY67+BA67+BC67+BE67</f>
        <v>1067</v>
      </c>
      <c r="FS67" s="72">
        <f t="shared" ref="FS67:FS72" si="428">IF(ISERROR(FR67/FP67),"NA",IF(OR(FR67/FP67&gt;2,FR67/FP67&lt;0.5),"NM",FR67/FP67*100-100))</f>
        <v>36.794871794871796</v>
      </c>
      <c r="FT67" s="75">
        <f>BG67+BI67+BK67+BM67</f>
        <v>1350</v>
      </c>
      <c r="FU67" s="72">
        <f t="shared" ref="FU67:FU72" si="429">IF(ISERROR(FT67/FR67),"NA",IF(OR(FT67/FR67&gt;2,FT67/FR67&lt;0.5),"NM",FT67/FR67*100-100))</f>
        <v>26.522961574507974</v>
      </c>
      <c r="FV67" s="75">
        <f>64+1107</f>
        <v>1171</v>
      </c>
      <c r="FW67" s="72">
        <f t="shared" ref="FW67:GG72" si="430">IF(ISERROR(FV67/FT67),"NA",IF(OR(FV67/FT67&gt;2,FV67/FT67&lt;0.5),"NM",FV67/FT67*100-100))</f>
        <v>-13.259259259259267</v>
      </c>
      <c r="FX67" s="75">
        <f>88+991</f>
        <v>1079</v>
      </c>
      <c r="FY67" s="72">
        <f t="shared" si="430"/>
        <v>-7.8565328778821453</v>
      </c>
      <c r="FZ67" s="75">
        <f>CE67+CG67+CI67+CK67</f>
        <v>1627</v>
      </c>
      <c r="GA67" s="72">
        <f t="shared" si="430"/>
        <v>50.787766450417053</v>
      </c>
      <c r="GB67" s="75">
        <f>CM67+CO67+CQ67+CS67</f>
        <v>1971</v>
      </c>
      <c r="GC67" s="72">
        <f t="shared" si="430"/>
        <v>21.143208358942829</v>
      </c>
      <c r="GD67" s="75">
        <f>CU67+CW67+CY67+DA67</f>
        <v>2182</v>
      </c>
      <c r="GE67" s="72">
        <f t="shared" si="430"/>
        <v>10.705225773718922</v>
      </c>
      <c r="GF67" s="75">
        <f>DC67+DE67+DG67+DI67</f>
        <v>2529</v>
      </c>
      <c r="GG67" s="72">
        <f t="shared" si="430"/>
        <v>15.902841429880851</v>
      </c>
      <c r="GH67" s="75">
        <f>DK67+DM67+DO67+DQ67</f>
        <v>2754</v>
      </c>
      <c r="GI67" s="72">
        <f t="shared" ref="GI67:GU72" si="431">IF(ISERROR(GH67/GF67),"NA",IF(OR(GH67/GF67&gt;2,GH67/GF67&lt;0.5),"NM",GH67/GF67*100-100))</f>
        <v>8.8967971530249201</v>
      </c>
      <c r="GJ67" s="75">
        <f>DS67+DU67+DW67+DY67</f>
        <v>2785</v>
      </c>
      <c r="GK67" s="72">
        <f t="shared" si="431"/>
        <v>1.1256354393609342</v>
      </c>
      <c r="GL67" s="75">
        <f>EA67+EC67+EE67+EG67</f>
        <v>2728</v>
      </c>
      <c r="GM67" s="72">
        <f t="shared" si="431"/>
        <v>-2.046678635547579</v>
      </c>
      <c r="GN67" s="75">
        <f>EI67+EK67+EM67+EO67</f>
        <v>2981</v>
      </c>
      <c r="GO67" s="72">
        <f t="shared" si="431"/>
        <v>9.2741935483871032</v>
      </c>
      <c r="GP67" s="75">
        <f>EQ67+ES67+EU67+EW67</f>
        <v>2978.6844645625015</v>
      </c>
      <c r="GQ67" s="72">
        <f t="shared" si="431"/>
        <v>-7.7676465531652639E-2</v>
      </c>
      <c r="GR67" s="75">
        <f>GR74/100*GR39</f>
        <v>2939.0057131943609</v>
      </c>
      <c r="GS67" s="72">
        <f t="shared" si="431"/>
        <v>-1.332089781250744</v>
      </c>
      <c r="GT67" s="75">
        <f>GT74/100*GT39</f>
        <v>2918.1475577524448</v>
      </c>
      <c r="GU67" s="72">
        <f t="shared" si="431"/>
        <v>-0.70970108524373643</v>
      </c>
      <c r="GV67" s="75">
        <f>GV74/100*GV39</f>
        <v>2906.1626591477198</v>
      </c>
      <c r="GW67" s="72">
        <f t="shared" ref="GW67:GW72" si="432">IF(ISERROR(GV67/GT67),"NA",IF(OR(GV67/GT67&gt;2,GV67/GT67&lt;0.5),"NM",GV67/GT67*100-100))</f>
        <v>-0.41070228175698276</v>
      </c>
      <c r="GX67" s="75">
        <f>GX74/100*GX39</f>
        <v>2903.6605560867456</v>
      </c>
      <c r="GY67" s="72">
        <f t="shared" ref="GY67:GY72" si="433">IF(ISERROR(GX67/GV67),"NA",IF(OR(GX67/GV67&gt;2,GX67/GV67&lt;0.5),"NM",GX67/GV67*100-100))</f>
        <v>-8.609645620138906E-2</v>
      </c>
      <c r="GZ67" s="72">
        <f t="shared" ref="GZ67:GZ72" si="434">IF(ISERROR(((GX67/GN67)^0.2-1)*100),"NA",IF((((GX67/GN67)^0.2-1)*100)&gt;100,"NM",IF((((GX67/GN67)^0.2-1)*100)&lt;-50,"NM",((GX67/GN67)^0.2-1)*100)))</f>
        <v>-0.52435270590711625</v>
      </c>
      <c r="HA67" s="72"/>
      <c r="HB67" s="72"/>
      <c r="HC67"/>
      <c r="HD67"/>
      <c r="HE67"/>
      <c r="HF67"/>
      <c r="HG67"/>
      <c r="HH67"/>
      <c r="HI67" s="111"/>
    </row>
    <row r="68" spans="1:217" s="3" customFormat="1" ht="12.75" customHeight="1" x14ac:dyDescent="0.2">
      <c r="B68" s="10" t="s">
        <v>667</v>
      </c>
      <c r="C68" s="74">
        <f>FF68-I68-G68-E68</f>
        <v>130</v>
      </c>
      <c r="D68" s="72"/>
      <c r="E68" s="74">
        <v>110</v>
      </c>
      <c r="F68" s="72"/>
      <c r="G68" s="74">
        <v>114</v>
      </c>
      <c r="H68" s="72"/>
      <c r="I68" s="74">
        <v>117</v>
      </c>
      <c r="J68" s="72"/>
      <c r="K68" s="74">
        <v>120</v>
      </c>
      <c r="L68" s="72">
        <f t="shared" si="368"/>
        <v>-7.6923076923076934</v>
      </c>
      <c r="M68" s="74">
        <v>108</v>
      </c>
      <c r="N68" s="72">
        <f t="shared" si="369"/>
        <v>-1.818181818181813</v>
      </c>
      <c r="O68" s="74">
        <v>107</v>
      </c>
      <c r="P68" s="72">
        <f t="shared" si="370"/>
        <v>-6.1403508771929864</v>
      </c>
      <c r="Q68" s="74">
        <v>105</v>
      </c>
      <c r="R68" s="72">
        <f t="shared" si="371"/>
        <v>-10.256410256410248</v>
      </c>
      <c r="S68" s="74">
        <v>100</v>
      </c>
      <c r="T68" s="72">
        <f t="shared" si="371"/>
        <v>-16.666666666666657</v>
      </c>
      <c r="U68" s="74">
        <v>100</v>
      </c>
      <c r="V68" s="72">
        <f t="shared" si="371"/>
        <v>-7.4074074074074048</v>
      </c>
      <c r="W68" s="74">
        <v>108</v>
      </c>
      <c r="X68" s="72">
        <f t="shared" si="371"/>
        <v>0.93457943925233167</v>
      </c>
      <c r="Y68" s="74">
        <v>107</v>
      </c>
      <c r="Z68" s="72">
        <f t="shared" si="371"/>
        <v>1.904761904761898</v>
      </c>
      <c r="AA68" s="74">
        <v>107</v>
      </c>
      <c r="AB68" s="72">
        <f t="shared" si="371"/>
        <v>7</v>
      </c>
      <c r="AC68" s="74">
        <v>114</v>
      </c>
      <c r="AD68" s="72">
        <f t="shared" si="371"/>
        <v>13.999999999999986</v>
      </c>
      <c r="AE68" s="74">
        <v>109</v>
      </c>
      <c r="AF68" s="72">
        <f t="shared" si="371"/>
        <v>0.92592592592592382</v>
      </c>
      <c r="AG68" s="74">
        <v>121</v>
      </c>
      <c r="AH68" s="72">
        <f t="shared" si="371"/>
        <v>13.084112149532714</v>
      </c>
      <c r="AI68" s="74">
        <v>137</v>
      </c>
      <c r="AJ68" s="72">
        <f t="shared" si="371"/>
        <v>28.037383177570092</v>
      </c>
      <c r="AK68" s="74">
        <v>143</v>
      </c>
      <c r="AL68" s="72">
        <f t="shared" si="371"/>
        <v>25.438596491228054</v>
      </c>
      <c r="AM68" s="74">
        <v>155</v>
      </c>
      <c r="AN68" s="72">
        <f t="shared" si="371"/>
        <v>42.201834862385311</v>
      </c>
      <c r="AO68" s="74">
        <v>155</v>
      </c>
      <c r="AP68" s="72">
        <f t="shared" si="371"/>
        <v>28.099173553718998</v>
      </c>
      <c r="AQ68" s="74">
        <v>157</v>
      </c>
      <c r="AR68" s="72">
        <f t="shared" si="372"/>
        <v>14.59854014598541</v>
      </c>
      <c r="AS68" s="74">
        <v>153</v>
      </c>
      <c r="AT68" s="72">
        <f t="shared" si="373"/>
        <v>6.9930069930070005</v>
      </c>
      <c r="AU68" s="74">
        <v>156</v>
      </c>
      <c r="AV68" s="72">
        <f t="shared" si="374"/>
        <v>0.64516129032257652</v>
      </c>
      <c r="AW68" s="74">
        <v>151</v>
      </c>
      <c r="AX68" s="72">
        <f t="shared" si="375"/>
        <v>-2.5806451612903203</v>
      </c>
      <c r="AY68" s="74">
        <v>144</v>
      </c>
      <c r="AZ68" s="72">
        <f t="shared" si="376"/>
        <v>-8.2802547770700556</v>
      </c>
      <c r="BA68" s="74">
        <v>149</v>
      </c>
      <c r="BB68" s="72">
        <f t="shared" si="377"/>
        <v>-2.6143790849673252</v>
      </c>
      <c r="BC68" s="74">
        <v>169</v>
      </c>
      <c r="BD68" s="72">
        <f t="shared" si="378"/>
        <v>8.3333333333333286</v>
      </c>
      <c r="BE68" s="74">
        <v>156</v>
      </c>
      <c r="BF68" s="72">
        <f t="shared" si="379"/>
        <v>3.3112582781456865</v>
      </c>
      <c r="BG68" s="74">
        <v>151</v>
      </c>
      <c r="BH68" s="72">
        <f t="shared" si="380"/>
        <v>4.8611111111111143</v>
      </c>
      <c r="BI68" s="74">
        <v>148</v>
      </c>
      <c r="BJ68" s="72">
        <f t="shared" si="381"/>
        <v>-0.67114093959730781</v>
      </c>
      <c r="BK68" s="74">
        <v>144</v>
      </c>
      <c r="BL68" s="72">
        <f t="shared" si="382"/>
        <v>-14.792899408284015</v>
      </c>
      <c r="BM68" s="74">
        <v>137</v>
      </c>
      <c r="BN68" s="72">
        <f t="shared" si="383"/>
        <v>-12.179487179487182</v>
      </c>
      <c r="BO68" s="74">
        <v>161</v>
      </c>
      <c r="BP68" s="72">
        <f t="shared" si="384"/>
        <v>6.622516556291373</v>
      </c>
      <c r="BQ68" s="74">
        <v>174</v>
      </c>
      <c r="BR68" s="72">
        <f t="shared" si="385"/>
        <v>17.567567567567565</v>
      </c>
      <c r="BS68" s="74">
        <v>200</v>
      </c>
      <c r="BT68" s="72">
        <f t="shared" si="386"/>
        <v>38.888888888888886</v>
      </c>
      <c r="BU68" s="74">
        <v>265</v>
      </c>
      <c r="BV68" s="72">
        <f t="shared" si="387"/>
        <v>93.430656934306569</v>
      </c>
      <c r="BW68" s="74">
        <v>274</v>
      </c>
      <c r="BX68" s="72">
        <f t="shared" si="388"/>
        <v>70.18633540372673</v>
      </c>
      <c r="BY68" s="74">
        <v>251</v>
      </c>
      <c r="BZ68" s="72">
        <f t="shared" si="389"/>
        <v>44.252873563218373</v>
      </c>
      <c r="CA68" s="74">
        <v>236</v>
      </c>
      <c r="CB68" s="72">
        <f t="shared" si="390"/>
        <v>18</v>
      </c>
      <c r="CC68" s="74">
        <v>218</v>
      </c>
      <c r="CD68" s="72">
        <f t="shared" si="391"/>
        <v>-17.735849056603769</v>
      </c>
      <c r="CE68" s="74">
        <v>224</v>
      </c>
      <c r="CF68" s="72">
        <f t="shared" si="392"/>
        <v>-18.248175182481745</v>
      </c>
      <c r="CG68" s="74">
        <v>216</v>
      </c>
      <c r="CH68" s="72">
        <f t="shared" si="393"/>
        <v>-13.944223107569726</v>
      </c>
      <c r="CI68" s="74">
        <v>220</v>
      </c>
      <c r="CJ68" s="72">
        <f t="shared" si="394"/>
        <v>-6.7796610169491629</v>
      </c>
      <c r="CK68" s="74">
        <v>218</v>
      </c>
      <c r="CL68" s="72">
        <f t="shared" si="394"/>
        <v>0</v>
      </c>
      <c r="CM68" s="74">
        <v>201</v>
      </c>
      <c r="CN68" s="72">
        <f t="shared" si="394"/>
        <v>-10.267857142857139</v>
      </c>
      <c r="CO68" s="74">
        <v>197</v>
      </c>
      <c r="CP68" s="72">
        <f t="shared" si="394"/>
        <v>-8.7962962962962905</v>
      </c>
      <c r="CQ68" s="74">
        <v>195</v>
      </c>
      <c r="CR68" s="72">
        <f t="shared" si="394"/>
        <v>-11.36363636363636</v>
      </c>
      <c r="CS68" s="74">
        <f>197</f>
        <v>197</v>
      </c>
      <c r="CT68" s="72">
        <f t="shared" si="394"/>
        <v>-9.6330275229357767</v>
      </c>
      <c r="CU68" s="74">
        <v>197</v>
      </c>
      <c r="CV68" s="72">
        <f t="shared" si="395"/>
        <v>-1.990049751243788</v>
      </c>
      <c r="CW68" s="74">
        <v>191</v>
      </c>
      <c r="CX68" s="72">
        <f t="shared" si="396"/>
        <v>-3.0456852791878219</v>
      </c>
      <c r="CY68" s="74">
        <v>197</v>
      </c>
      <c r="CZ68" s="72">
        <f t="shared" si="397"/>
        <v>1.025641025641022</v>
      </c>
      <c r="DA68" s="74">
        <v>185</v>
      </c>
      <c r="DB68" s="72">
        <f t="shared" si="398"/>
        <v>-6.0913705583756297</v>
      </c>
      <c r="DC68" s="74">
        <v>176</v>
      </c>
      <c r="DD68" s="72">
        <f t="shared" si="399"/>
        <v>-10.659898477157356</v>
      </c>
      <c r="DE68" s="74">
        <v>181</v>
      </c>
      <c r="DF68" s="72">
        <f t="shared" si="400"/>
        <v>-5.2356020942408463</v>
      </c>
      <c r="DG68" s="74">
        <v>169</v>
      </c>
      <c r="DH68" s="72">
        <f t="shared" si="401"/>
        <v>-14.213197969543145</v>
      </c>
      <c r="DI68" s="74">
        <v>167</v>
      </c>
      <c r="DJ68" s="72">
        <f t="shared" si="402"/>
        <v>-9.7297297297297263</v>
      </c>
      <c r="DK68" s="74">
        <v>165</v>
      </c>
      <c r="DL68" s="72">
        <f t="shared" si="403"/>
        <v>-6.25</v>
      </c>
      <c r="DM68" s="74">
        <v>153</v>
      </c>
      <c r="DN68" s="72">
        <f t="shared" si="404"/>
        <v>-15.469613259668506</v>
      </c>
      <c r="DO68" s="74">
        <v>154</v>
      </c>
      <c r="DP68" s="72">
        <f t="shared" si="404"/>
        <v>-8.8757396449704089</v>
      </c>
      <c r="DQ68" s="74">
        <v>158</v>
      </c>
      <c r="DR68" s="72">
        <f t="shared" si="404"/>
        <v>-5.3892215568862269</v>
      </c>
      <c r="DS68" s="74">
        <v>151</v>
      </c>
      <c r="DT68" s="72">
        <f t="shared" si="404"/>
        <v>-8.4848484848484844</v>
      </c>
      <c r="DU68" s="74">
        <v>143</v>
      </c>
      <c r="DV68" s="72">
        <f t="shared" si="404"/>
        <v>-6.5359477124183059</v>
      </c>
      <c r="DW68" s="74">
        <v>156</v>
      </c>
      <c r="DX68" s="72">
        <f t="shared" si="404"/>
        <v>1.2987012987012889</v>
      </c>
      <c r="DY68" s="74">
        <v>153</v>
      </c>
      <c r="DZ68" s="72">
        <f t="shared" si="404"/>
        <v>-3.1645569620253156</v>
      </c>
      <c r="EA68" s="74">
        <v>161</v>
      </c>
      <c r="EB68" s="72">
        <f t="shared" si="405"/>
        <v>6.622516556291373</v>
      </c>
      <c r="EC68" s="74">
        <v>161</v>
      </c>
      <c r="ED68" s="72">
        <f t="shared" si="406"/>
        <v>12.587412587412587</v>
      </c>
      <c r="EE68" s="74">
        <v>192</v>
      </c>
      <c r="EF68" s="72">
        <f t="shared" si="407"/>
        <v>23.07692307692308</v>
      </c>
      <c r="EG68" s="74">
        <v>184</v>
      </c>
      <c r="EH68" s="72">
        <f t="shared" si="408"/>
        <v>20.261437908496731</v>
      </c>
      <c r="EI68" s="74">
        <v>190</v>
      </c>
      <c r="EJ68" s="72">
        <f t="shared" si="409"/>
        <v>18.012422360248451</v>
      </c>
      <c r="EK68" s="74">
        <v>184</v>
      </c>
      <c r="EL68" s="72">
        <f t="shared" si="410"/>
        <v>14.285714285714278</v>
      </c>
      <c r="EM68" s="74">
        <v>182</v>
      </c>
      <c r="EN68" s="72">
        <f t="shared" si="411"/>
        <v>-5.2083333333333428</v>
      </c>
      <c r="EO68" s="74">
        <v>186</v>
      </c>
      <c r="EP68" s="72">
        <f t="shared" si="412"/>
        <v>1.0869565217391397</v>
      </c>
      <c r="EQ68" s="75">
        <f t="shared" ref="EQ68" si="435">(EQ$57+EQ39)*EQ75/400</f>
        <v>183.34679633390635</v>
      </c>
      <c r="ER68" s="72">
        <f t="shared" si="414"/>
        <v>-3.5016861400492871</v>
      </c>
      <c r="ES68" s="75">
        <f t="shared" ref="ES68" si="436">(ES$57+ES39)*ES75/400</f>
        <v>181.13988483387848</v>
      </c>
      <c r="ET68" s="72">
        <f t="shared" si="416"/>
        <v>-1.5544104163703878</v>
      </c>
      <c r="EU68" s="75">
        <f t="shared" ref="EU68" si="437">(EU$57+EU39)*EU75/400</f>
        <v>181.02910674120986</v>
      </c>
      <c r="EV68" s="72">
        <f t="shared" si="418"/>
        <v>-0.53345783450006934</v>
      </c>
      <c r="EW68" s="75">
        <f t="shared" ref="EW68" si="438">(EW$57+EW39)*EW75/400</f>
        <v>180.95737396413671</v>
      </c>
      <c r="EX68" s="72">
        <f t="shared" si="420"/>
        <v>-2.711089266593163</v>
      </c>
      <c r="EY68" s="72"/>
      <c r="EZ68" s="306"/>
      <c r="FA68" s="72"/>
      <c r="FB68" s="74">
        <v>557</v>
      </c>
      <c r="FC68" s="72"/>
      <c r="FD68" s="74">
        <v>477</v>
      </c>
      <c r="FE68" s="72">
        <f t="shared" si="421"/>
        <v>-14.362657091561942</v>
      </c>
      <c r="FF68" s="74">
        <v>471</v>
      </c>
      <c r="FG68" s="72">
        <f t="shared" si="422"/>
        <v>-1.2578616352201237</v>
      </c>
      <c r="FH68" s="75">
        <f>K68+M68+O68+Q68</f>
        <v>440</v>
      </c>
      <c r="FI68" s="72">
        <f t="shared" si="423"/>
        <v>-6.5817409766454347</v>
      </c>
      <c r="FJ68" s="75">
        <f>S68+U68+W68+Y68</f>
        <v>415</v>
      </c>
      <c r="FK68" s="72">
        <f t="shared" si="424"/>
        <v>-5.6818181818181728</v>
      </c>
      <c r="FL68" s="75">
        <f>AA68+AC68+AE68+AG68</f>
        <v>451</v>
      </c>
      <c r="FM68" s="72">
        <f t="shared" si="425"/>
        <v>8.6746987951807171</v>
      </c>
      <c r="FN68" s="75">
        <f>AI68+AK68+AM68+AO68</f>
        <v>590</v>
      </c>
      <c r="FO68" s="72">
        <f t="shared" si="426"/>
        <v>30.820399113082033</v>
      </c>
      <c r="FP68" s="75">
        <f>AQ68+AS68+AU68+AW68</f>
        <v>617</v>
      </c>
      <c r="FQ68" s="72">
        <f t="shared" si="427"/>
        <v>4.5762711864406782</v>
      </c>
      <c r="FR68" s="75">
        <f>AY68+BA68+BC68+BE68</f>
        <v>618</v>
      </c>
      <c r="FS68" s="72">
        <f t="shared" si="428"/>
        <v>0.16207455429497486</v>
      </c>
      <c r="FT68" s="75">
        <f>BG68+BI68+BK68+BM68</f>
        <v>580</v>
      </c>
      <c r="FU68" s="72">
        <f t="shared" si="429"/>
        <v>-6.1488673139158578</v>
      </c>
      <c r="FV68" s="75">
        <f>BO68+BQ68+BS68+BU68</f>
        <v>800</v>
      </c>
      <c r="FW68" s="72">
        <f t="shared" si="430"/>
        <v>37.931034482758633</v>
      </c>
      <c r="FX68" s="75">
        <f>BW68+BY68+CA68+CC68</f>
        <v>979</v>
      </c>
      <c r="FY68" s="72">
        <f t="shared" si="430"/>
        <v>22.374999999999986</v>
      </c>
      <c r="FZ68" s="75">
        <f>CE68+CG68+CI68+CK68</f>
        <v>878</v>
      </c>
      <c r="GA68" s="72">
        <f t="shared" si="430"/>
        <v>-10.316649642492337</v>
      </c>
      <c r="GB68" s="75">
        <f>CM68+CO68+CQ68+CS68</f>
        <v>790</v>
      </c>
      <c r="GC68" s="72">
        <f t="shared" si="430"/>
        <v>-10.022779043280181</v>
      </c>
      <c r="GD68" s="75">
        <f>CU68+CW68+CY68+DA68</f>
        <v>770</v>
      </c>
      <c r="GE68" s="72">
        <f t="shared" si="430"/>
        <v>-2.5316455696202524</v>
      </c>
      <c r="GF68" s="75">
        <f>DC68+DE68+DG68+DI68</f>
        <v>693</v>
      </c>
      <c r="GG68" s="72">
        <f t="shared" si="430"/>
        <v>-10</v>
      </c>
      <c r="GH68" s="75">
        <f>DK68+DM68+DO68+DQ68</f>
        <v>630</v>
      </c>
      <c r="GI68" s="72">
        <f t="shared" si="431"/>
        <v>-9.0909090909090935</v>
      </c>
      <c r="GJ68" s="75">
        <f>DS68+DU68+DW68+DY68</f>
        <v>603</v>
      </c>
      <c r="GK68" s="72">
        <f t="shared" si="431"/>
        <v>-4.2857142857142776</v>
      </c>
      <c r="GL68" s="75">
        <f>EA68+EC68+EE68+EG68</f>
        <v>698</v>
      </c>
      <c r="GM68" s="72">
        <f t="shared" si="431"/>
        <v>15.754560530679939</v>
      </c>
      <c r="GN68" s="75">
        <f>EI68+EK68+EM68+EO68</f>
        <v>742</v>
      </c>
      <c r="GO68" s="72">
        <f t="shared" si="431"/>
        <v>6.3037249283667762</v>
      </c>
      <c r="GP68" s="75">
        <f>EQ68+ES68+EU68+EW68</f>
        <v>726.4731618731314</v>
      </c>
      <c r="GQ68" s="72">
        <f t="shared" si="431"/>
        <v>-2.0925657852922654</v>
      </c>
      <c r="GR68" s="75">
        <f>(GR$57+GR39)*GR75/100</f>
        <v>724.46751161288614</v>
      </c>
      <c r="GS68" s="72">
        <f t="shared" si="431"/>
        <v>-0.27608043428250539</v>
      </c>
      <c r="GT68" s="75">
        <f>(GT$57+GT39)*GT75/100</f>
        <v>718.78125249261882</v>
      </c>
      <c r="GU68" s="72">
        <f t="shared" si="431"/>
        <v>-0.78488807698332153</v>
      </c>
      <c r="GV68" s="75">
        <f>(GV$57+GV39)*GV75/100</f>
        <v>715.26506476885606</v>
      </c>
      <c r="GW68" s="72">
        <f t="shared" si="432"/>
        <v>-0.48918745606805203</v>
      </c>
      <c r="GX68" s="75">
        <f>(GX$57+GX39)*GX75/100</f>
        <v>714.06360879006388</v>
      </c>
      <c r="GY68" s="72">
        <f t="shared" si="433"/>
        <v>-0.16797353008990967</v>
      </c>
      <c r="GZ68" s="72">
        <f t="shared" si="434"/>
        <v>-0.76460584048206881</v>
      </c>
      <c r="HA68" s="72"/>
      <c r="HB68" s="72"/>
      <c r="HC68"/>
      <c r="HD68"/>
      <c r="HE68"/>
      <c r="HF68"/>
      <c r="HG68"/>
      <c r="HH68"/>
      <c r="HI68" s="111"/>
    </row>
    <row r="69" spans="1:217" s="3" customFormat="1" ht="12.75" customHeight="1" x14ac:dyDescent="0.2">
      <c r="B69" s="10" t="s">
        <v>668</v>
      </c>
      <c r="C69" s="74">
        <f>FF69-I69-G69-E69</f>
        <v>64</v>
      </c>
      <c r="D69" s="72"/>
      <c r="E69" s="74">
        <v>66</v>
      </c>
      <c r="F69" s="72"/>
      <c r="G69" s="74">
        <v>66</v>
      </c>
      <c r="H69" s="72"/>
      <c r="I69" s="74">
        <v>68</v>
      </c>
      <c r="J69" s="72"/>
      <c r="K69" s="74">
        <v>68</v>
      </c>
      <c r="L69" s="72">
        <f t="shared" si="368"/>
        <v>6.25</v>
      </c>
      <c r="M69" s="74">
        <v>65</v>
      </c>
      <c r="N69" s="72">
        <f t="shared" si="369"/>
        <v>-1.5151515151515156</v>
      </c>
      <c r="O69" s="74">
        <v>63</v>
      </c>
      <c r="P69" s="72">
        <f t="shared" si="370"/>
        <v>-4.5454545454545467</v>
      </c>
      <c r="Q69" s="74">
        <v>63</v>
      </c>
      <c r="R69" s="72">
        <f t="shared" si="371"/>
        <v>-7.3529411764705799</v>
      </c>
      <c r="S69" s="74">
        <v>60</v>
      </c>
      <c r="T69" s="72">
        <f t="shared" si="371"/>
        <v>-11.764705882352942</v>
      </c>
      <c r="U69" s="74">
        <v>60</v>
      </c>
      <c r="V69" s="72">
        <f t="shared" si="371"/>
        <v>-7.6923076923076934</v>
      </c>
      <c r="W69" s="74">
        <v>66</v>
      </c>
      <c r="X69" s="72">
        <f t="shared" si="371"/>
        <v>4.7619047619047734</v>
      </c>
      <c r="Y69" s="74">
        <v>69</v>
      </c>
      <c r="Z69" s="72">
        <f t="shared" si="371"/>
        <v>9.5238095238095326</v>
      </c>
      <c r="AA69" s="74">
        <v>61</v>
      </c>
      <c r="AB69" s="72">
        <f t="shared" si="371"/>
        <v>1.6666666666666572</v>
      </c>
      <c r="AC69" s="74">
        <v>66</v>
      </c>
      <c r="AD69" s="72">
        <f t="shared" si="371"/>
        <v>10.000000000000014</v>
      </c>
      <c r="AE69" s="74">
        <v>69</v>
      </c>
      <c r="AF69" s="72">
        <f t="shared" si="371"/>
        <v>4.5454545454545467</v>
      </c>
      <c r="AG69" s="74">
        <v>72</v>
      </c>
      <c r="AH69" s="72">
        <f t="shared" si="371"/>
        <v>4.3478260869565162</v>
      </c>
      <c r="AI69" s="74">
        <v>89</v>
      </c>
      <c r="AJ69" s="72">
        <f t="shared" si="371"/>
        <v>45.901639344262293</v>
      </c>
      <c r="AK69" s="74">
        <v>90</v>
      </c>
      <c r="AL69" s="72">
        <f t="shared" si="371"/>
        <v>36.363636363636346</v>
      </c>
      <c r="AM69" s="74">
        <v>91</v>
      </c>
      <c r="AN69" s="72">
        <f t="shared" si="371"/>
        <v>31.884057971014499</v>
      </c>
      <c r="AO69" s="74">
        <v>88</v>
      </c>
      <c r="AP69" s="72">
        <f t="shared" si="371"/>
        <v>22.222222222222229</v>
      </c>
      <c r="AQ69" s="74">
        <v>84</v>
      </c>
      <c r="AR69" s="72">
        <f t="shared" si="372"/>
        <v>-5.6179775280898951</v>
      </c>
      <c r="AS69" s="74">
        <v>87</v>
      </c>
      <c r="AT69" s="72">
        <f t="shared" si="373"/>
        <v>-3.3333333333333286</v>
      </c>
      <c r="AU69" s="74">
        <v>87</v>
      </c>
      <c r="AV69" s="72">
        <f t="shared" si="374"/>
        <v>-4.3956043956043942</v>
      </c>
      <c r="AW69" s="74">
        <v>79</v>
      </c>
      <c r="AX69" s="72">
        <f t="shared" si="375"/>
        <v>-10.227272727272734</v>
      </c>
      <c r="AY69" s="74">
        <v>83</v>
      </c>
      <c r="AZ69" s="72">
        <f t="shared" si="376"/>
        <v>-1.1904761904761898</v>
      </c>
      <c r="BA69" s="74">
        <v>83</v>
      </c>
      <c r="BB69" s="72">
        <f t="shared" si="377"/>
        <v>-4.5977011494252906</v>
      </c>
      <c r="BC69" s="74">
        <v>93</v>
      </c>
      <c r="BD69" s="72">
        <f t="shared" si="378"/>
        <v>6.8965517241379217</v>
      </c>
      <c r="BE69" s="74">
        <v>97</v>
      </c>
      <c r="BF69" s="72">
        <f t="shared" si="379"/>
        <v>22.784810126582286</v>
      </c>
      <c r="BG69" s="74">
        <v>89</v>
      </c>
      <c r="BH69" s="72">
        <f t="shared" si="380"/>
        <v>7.228915662650607</v>
      </c>
      <c r="BI69" s="74">
        <v>93</v>
      </c>
      <c r="BJ69" s="72">
        <f t="shared" si="381"/>
        <v>12.048192771084331</v>
      </c>
      <c r="BK69" s="74">
        <v>87</v>
      </c>
      <c r="BL69" s="72">
        <f t="shared" si="382"/>
        <v>-6.4516129032258078</v>
      </c>
      <c r="BM69" s="74">
        <v>90</v>
      </c>
      <c r="BN69" s="72">
        <f t="shared" si="383"/>
        <v>-7.2164948453608275</v>
      </c>
      <c r="BO69" s="74">
        <v>102</v>
      </c>
      <c r="BP69" s="72">
        <f t="shared" si="384"/>
        <v>14.606741573033702</v>
      </c>
      <c r="BQ69" s="74">
        <v>112</v>
      </c>
      <c r="BR69" s="72">
        <f t="shared" si="385"/>
        <v>20.430107526881727</v>
      </c>
      <c r="BS69" s="74">
        <v>141</v>
      </c>
      <c r="BT69" s="72">
        <f t="shared" si="386"/>
        <v>62.068965517241367</v>
      </c>
      <c r="BU69" s="74">
        <v>157</v>
      </c>
      <c r="BV69" s="72">
        <f t="shared" si="387"/>
        <v>74.444444444444457</v>
      </c>
      <c r="BW69" s="74">
        <v>174</v>
      </c>
      <c r="BX69" s="72">
        <f t="shared" si="388"/>
        <v>70.588235294117652</v>
      </c>
      <c r="BY69" s="74">
        <v>138</v>
      </c>
      <c r="BZ69" s="72">
        <f t="shared" si="389"/>
        <v>23.214285714285722</v>
      </c>
      <c r="CA69" s="74">
        <v>155</v>
      </c>
      <c r="CB69" s="72">
        <f t="shared" si="390"/>
        <v>9.929078014184384</v>
      </c>
      <c r="CC69" s="74">
        <v>151</v>
      </c>
      <c r="CD69" s="72">
        <f t="shared" si="391"/>
        <v>-3.8216560509554114</v>
      </c>
      <c r="CE69" s="74">
        <v>157</v>
      </c>
      <c r="CF69" s="72">
        <f t="shared" si="392"/>
        <v>-9.7701149425287355</v>
      </c>
      <c r="CG69" s="74">
        <v>182</v>
      </c>
      <c r="CH69" s="72">
        <f t="shared" si="393"/>
        <v>31.884057971014499</v>
      </c>
      <c r="CI69" s="74">
        <v>98</v>
      </c>
      <c r="CJ69" s="72">
        <f t="shared" si="394"/>
        <v>-36.774193548387103</v>
      </c>
      <c r="CK69" s="74">
        <v>144</v>
      </c>
      <c r="CL69" s="72">
        <f t="shared" si="394"/>
        <v>-4.6357615894039697</v>
      </c>
      <c r="CM69" s="74">
        <v>136</v>
      </c>
      <c r="CN69" s="72">
        <f t="shared" si="394"/>
        <v>-13.375796178343947</v>
      </c>
      <c r="CO69" s="74">
        <v>136</v>
      </c>
      <c r="CP69" s="72">
        <f t="shared" si="394"/>
        <v>-25.27472527472527</v>
      </c>
      <c r="CQ69" s="74">
        <v>182</v>
      </c>
      <c r="CR69" s="72">
        <f t="shared" si="394"/>
        <v>85.714285714285722</v>
      </c>
      <c r="CS69" s="74">
        <v>116</v>
      </c>
      <c r="CT69" s="72">
        <f t="shared" si="394"/>
        <v>-19.444444444444443</v>
      </c>
      <c r="CU69" s="74">
        <v>117</v>
      </c>
      <c r="CV69" s="72">
        <f t="shared" si="395"/>
        <v>-13.970588235294116</v>
      </c>
      <c r="CW69" s="74">
        <v>142</v>
      </c>
      <c r="CX69" s="72">
        <f t="shared" si="396"/>
        <v>4.4117647058823621</v>
      </c>
      <c r="CY69" s="74">
        <v>72</v>
      </c>
      <c r="CZ69" s="72" t="str">
        <f t="shared" si="397"/>
        <v>NM</v>
      </c>
      <c r="DA69" s="74">
        <v>121</v>
      </c>
      <c r="DB69" s="72">
        <f t="shared" si="398"/>
        <v>4.3103448275862064</v>
      </c>
      <c r="DC69" s="74">
        <v>118</v>
      </c>
      <c r="DD69" s="72">
        <f t="shared" si="399"/>
        <v>0.85470085470085166</v>
      </c>
      <c r="DE69" s="74">
        <v>113</v>
      </c>
      <c r="DF69" s="72">
        <f t="shared" si="400"/>
        <v>-20.422535211267601</v>
      </c>
      <c r="DG69" s="74">
        <v>54</v>
      </c>
      <c r="DH69" s="72">
        <f t="shared" si="401"/>
        <v>-25</v>
      </c>
      <c r="DI69" s="74">
        <v>96</v>
      </c>
      <c r="DJ69" s="72">
        <f t="shared" si="402"/>
        <v>-20.661157024793383</v>
      </c>
      <c r="DK69" s="74">
        <v>105</v>
      </c>
      <c r="DL69" s="72">
        <f t="shared" si="403"/>
        <v>-11.016949152542381</v>
      </c>
      <c r="DM69" s="74">
        <v>107</v>
      </c>
      <c r="DN69" s="72">
        <f t="shared" si="404"/>
        <v>-5.3097345132743357</v>
      </c>
      <c r="DO69" s="74">
        <v>107</v>
      </c>
      <c r="DP69" s="72">
        <f t="shared" si="404"/>
        <v>98.148148148148152</v>
      </c>
      <c r="DQ69" s="74">
        <v>110</v>
      </c>
      <c r="DR69" s="72">
        <f t="shared" si="404"/>
        <v>14.583333333333329</v>
      </c>
      <c r="DS69" s="74">
        <v>81</v>
      </c>
      <c r="DT69" s="72">
        <f t="shared" si="404"/>
        <v>-22.857142857142847</v>
      </c>
      <c r="DU69" s="74">
        <v>81</v>
      </c>
      <c r="DV69" s="72">
        <f t="shared" si="404"/>
        <v>-24.299065420560751</v>
      </c>
      <c r="DW69" s="74">
        <v>106</v>
      </c>
      <c r="DX69" s="72">
        <f t="shared" si="404"/>
        <v>-0.93457943925233167</v>
      </c>
      <c r="DY69" s="74">
        <v>95</v>
      </c>
      <c r="DZ69" s="72">
        <f t="shared" si="404"/>
        <v>-13.63636363636364</v>
      </c>
      <c r="EA69" s="74">
        <v>100</v>
      </c>
      <c r="EB69" s="72">
        <f t="shared" si="405"/>
        <v>23.456790123456784</v>
      </c>
      <c r="EC69" s="74">
        <v>98</v>
      </c>
      <c r="ED69" s="72">
        <f t="shared" si="406"/>
        <v>20.987654320987659</v>
      </c>
      <c r="EE69" s="74">
        <v>72</v>
      </c>
      <c r="EF69" s="72">
        <f t="shared" si="407"/>
        <v>-32.075471698113205</v>
      </c>
      <c r="EG69" s="74">
        <v>92</v>
      </c>
      <c r="EH69" s="72">
        <f t="shared" si="408"/>
        <v>-3.1578947368421098</v>
      </c>
      <c r="EI69" s="74">
        <v>87</v>
      </c>
      <c r="EJ69" s="72">
        <f t="shared" si="409"/>
        <v>-13</v>
      </c>
      <c r="EK69" s="74">
        <v>77</v>
      </c>
      <c r="EL69" s="72">
        <f t="shared" si="410"/>
        <v>-21.428571428571431</v>
      </c>
      <c r="EM69" s="74">
        <v>81</v>
      </c>
      <c r="EN69" s="72">
        <f t="shared" si="411"/>
        <v>12.5</v>
      </c>
      <c r="EO69" s="74">
        <v>85</v>
      </c>
      <c r="EP69" s="72">
        <f t="shared" si="412"/>
        <v>-7.6086956521739069</v>
      </c>
      <c r="EQ69" s="75">
        <f t="shared" ref="EQ69" si="439">(EQ$57+EQ39)*EQ76/400</f>
        <v>84.779203230378357</v>
      </c>
      <c r="ER69" s="72">
        <f t="shared" si="414"/>
        <v>-2.5526399650823492</v>
      </c>
      <c r="ES69" s="75">
        <f t="shared" ref="ES69" si="440">(ES$57+ES39)*ES76/400</f>
        <v>83.758731630582403</v>
      </c>
      <c r="ET69" s="72">
        <f t="shared" si="416"/>
        <v>8.7775735462109168</v>
      </c>
      <c r="EU69" s="75">
        <f t="shared" ref="EU69" si="441">(EU$57+EU39)*EU76/400</f>
        <v>83.707508055261684</v>
      </c>
      <c r="EV69" s="72">
        <f t="shared" si="418"/>
        <v>3.3426025373600936</v>
      </c>
      <c r="EW69" s="75">
        <f t="shared" ref="EW69" si="442">(EW$57+EW39)*EW76/400</f>
        <v>83.674338958187903</v>
      </c>
      <c r="EX69" s="72">
        <f t="shared" si="420"/>
        <v>-1.5596012256612823</v>
      </c>
      <c r="EY69" s="72"/>
      <c r="EZ69" s="306"/>
      <c r="FA69" s="72"/>
      <c r="FB69" s="74">
        <v>294</v>
      </c>
      <c r="FC69" s="72"/>
      <c r="FD69" s="74">
        <v>271</v>
      </c>
      <c r="FE69" s="72">
        <f t="shared" si="421"/>
        <v>-7.8231292517006779</v>
      </c>
      <c r="FF69" s="74">
        <v>264</v>
      </c>
      <c r="FG69" s="72">
        <f t="shared" si="422"/>
        <v>-2.5830258302583076</v>
      </c>
      <c r="FH69" s="75">
        <f>K69+M69+O69+Q69</f>
        <v>259</v>
      </c>
      <c r="FI69" s="72">
        <f t="shared" si="423"/>
        <v>-1.8939393939393909</v>
      </c>
      <c r="FJ69" s="75">
        <f>S69+U69+W69+Y69</f>
        <v>255</v>
      </c>
      <c r="FK69" s="72">
        <f t="shared" si="424"/>
        <v>-1.5444015444015378</v>
      </c>
      <c r="FL69" s="75">
        <f>AA69+AC69+AE69+AG69</f>
        <v>268</v>
      </c>
      <c r="FM69" s="72">
        <f t="shared" si="425"/>
        <v>5.0980392156862848</v>
      </c>
      <c r="FN69" s="75">
        <f>AI69+AK69+AM69+AO69</f>
        <v>358</v>
      </c>
      <c r="FO69" s="72">
        <f t="shared" si="426"/>
        <v>33.582089552238813</v>
      </c>
      <c r="FP69" s="75">
        <f>AQ69+AS69+AU69+AW69</f>
        <v>337</v>
      </c>
      <c r="FQ69" s="72">
        <f t="shared" si="427"/>
        <v>-5.865921787709496</v>
      </c>
      <c r="FR69" s="75">
        <f>AY69+BA69+BC69+BE69</f>
        <v>356</v>
      </c>
      <c r="FS69" s="72">
        <f t="shared" si="428"/>
        <v>5.6379821958457086</v>
      </c>
      <c r="FT69" s="75">
        <f>BG69+BI69+BK69+BM69</f>
        <v>359</v>
      </c>
      <c r="FU69" s="72">
        <f t="shared" si="429"/>
        <v>0.84269662921347788</v>
      </c>
      <c r="FV69" s="74">
        <v>568</v>
      </c>
      <c r="FW69" s="72">
        <f t="shared" si="430"/>
        <v>58.217270194986071</v>
      </c>
      <c r="FX69" s="75">
        <v>618</v>
      </c>
      <c r="FY69" s="72">
        <f t="shared" si="430"/>
        <v>8.8028169014084483</v>
      </c>
      <c r="FZ69" s="75">
        <f>CE69+CG69+CI69+CK69</f>
        <v>581</v>
      </c>
      <c r="GA69" s="72">
        <f t="shared" si="430"/>
        <v>-5.9870550161812304</v>
      </c>
      <c r="GB69" s="75">
        <f>CM69+CO69+CQ69+CS69</f>
        <v>570</v>
      </c>
      <c r="GC69" s="72">
        <f t="shared" si="430"/>
        <v>-1.8932874354561164</v>
      </c>
      <c r="GD69" s="75">
        <f>CU69+CW69+CY69+DA69</f>
        <v>452</v>
      </c>
      <c r="GE69" s="72">
        <f t="shared" si="430"/>
        <v>-20.701754385964904</v>
      </c>
      <c r="GF69" s="75">
        <f>DC69+DE69+DG69+DI69</f>
        <v>381</v>
      </c>
      <c r="GG69" s="72">
        <f t="shared" si="430"/>
        <v>-15.707964601769902</v>
      </c>
      <c r="GH69" s="75">
        <f>DK69+DM69+DO69+DQ69</f>
        <v>429</v>
      </c>
      <c r="GI69" s="72">
        <f t="shared" si="431"/>
        <v>12.5984251968504</v>
      </c>
      <c r="GJ69" s="75">
        <f>DS69+DU69+DW69+DY69</f>
        <v>363</v>
      </c>
      <c r="GK69" s="72">
        <f t="shared" si="431"/>
        <v>-15.384615384615387</v>
      </c>
      <c r="GL69" s="75">
        <f>EA69+EC69+EE69+EG69</f>
        <v>362</v>
      </c>
      <c r="GM69" s="72">
        <f t="shared" si="431"/>
        <v>-0.27548209366391063</v>
      </c>
      <c r="GN69" s="75">
        <f>EI69+EK69+EM69+EO69</f>
        <v>330</v>
      </c>
      <c r="GO69" s="72">
        <f t="shared" si="431"/>
        <v>-8.8397790055248606</v>
      </c>
      <c r="GP69" s="75">
        <f>EQ69+ES69+EU69+EW69</f>
        <v>335.91978187441038</v>
      </c>
      <c r="GQ69" s="72">
        <f t="shared" si="431"/>
        <v>1.7938732952758727</v>
      </c>
      <c r="GR69" s="75">
        <f>(GR$57+GR39)*GR76/100</f>
        <v>351.45762199926548</v>
      </c>
      <c r="GS69" s="72">
        <f t="shared" si="431"/>
        <v>4.6254614831418905</v>
      </c>
      <c r="GT69" s="75">
        <f>(GT$57+GT39)*GT76/100</f>
        <v>369.23091393803639</v>
      </c>
      <c r="GU69" s="72">
        <f t="shared" si="431"/>
        <v>5.0570227607151139</v>
      </c>
      <c r="GV69" s="75">
        <f>(GV$57+GV39)*GV76/100</f>
        <v>388.33123552871507</v>
      </c>
      <c r="GW69" s="72">
        <f t="shared" si="432"/>
        <v>5.173001736762501</v>
      </c>
      <c r="GX69" s="75">
        <f>(GX$57+GX39)*GX76/100</f>
        <v>409.04147228767221</v>
      </c>
      <c r="GY69" s="72">
        <f t="shared" si="433"/>
        <v>5.3331369882620976</v>
      </c>
      <c r="GZ69" s="72">
        <f t="shared" si="434"/>
        <v>4.3880249289329987</v>
      </c>
      <c r="HA69" s="72"/>
      <c r="HB69" s="72"/>
      <c r="HC69"/>
      <c r="HD69"/>
      <c r="HE69"/>
      <c r="HF69"/>
      <c r="HG69"/>
      <c r="HH69"/>
      <c r="HI69" s="111"/>
    </row>
    <row r="70" spans="1:217" s="3" customFormat="1" ht="12.75" customHeight="1" x14ac:dyDescent="0.2">
      <c r="B70" s="10" t="s">
        <v>33</v>
      </c>
      <c r="C70" s="75">
        <f>C68-C69</f>
        <v>66</v>
      </c>
      <c r="D70" s="72"/>
      <c r="E70" s="75">
        <f>E68-E69</f>
        <v>44</v>
      </c>
      <c r="F70" s="72"/>
      <c r="G70" s="75">
        <f>G68-G69</f>
        <v>48</v>
      </c>
      <c r="H70" s="72"/>
      <c r="I70" s="75">
        <f>I68-I69</f>
        <v>49</v>
      </c>
      <c r="J70" s="72"/>
      <c r="K70" s="75">
        <f>K68-K69</f>
        <v>52</v>
      </c>
      <c r="L70" s="72">
        <f t="shared" si="368"/>
        <v>-21.212121212121218</v>
      </c>
      <c r="M70" s="75">
        <f>M68-M69</f>
        <v>43</v>
      </c>
      <c r="N70" s="72">
        <f t="shared" si="369"/>
        <v>-2.2727272727272663</v>
      </c>
      <c r="O70" s="75">
        <f>O68-O69</f>
        <v>44</v>
      </c>
      <c r="P70" s="72">
        <f t="shared" si="370"/>
        <v>-8.3333333333333428</v>
      </c>
      <c r="Q70" s="75">
        <f>Q68-Q69</f>
        <v>42</v>
      </c>
      <c r="R70" s="72">
        <f t="shared" si="371"/>
        <v>-14.285714285714292</v>
      </c>
      <c r="S70" s="75">
        <f>S68-S69</f>
        <v>40</v>
      </c>
      <c r="T70" s="72">
        <f t="shared" si="371"/>
        <v>-23.076923076923066</v>
      </c>
      <c r="U70" s="75">
        <f>U68-U69</f>
        <v>40</v>
      </c>
      <c r="V70" s="72">
        <f t="shared" si="371"/>
        <v>-6.9767441860465169</v>
      </c>
      <c r="W70" s="75">
        <f>W68-W69</f>
        <v>42</v>
      </c>
      <c r="X70" s="72">
        <f t="shared" si="371"/>
        <v>-4.5454545454545467</v>
      </c>
      <c r="Y70" s="75">
        <f>Y68-Y69</f>
        <v>38</v>
      </c>
      <c r="Z70" s="72">
        <f t="shared" si="371"/>
        <v>-9.5238095238095184</v>
      </c>
      <c r="AA70" s="75">
        <f>AA68-AA69</f>
        <v>46</v>
      </c>
      <c r="AB70" s="72">
        <f t="shared" si="371"/>
        <v>14.999999999999986</v>
      </c>
      <c r="AC70" s="75">
        <f>AC68-AC69</f>
        <v>48</v>
      </c>
      <c r="AD70" s="72">
        <f t="shared" si="371"/>
        <v>20</v>
      </c>
      <c r="AE70" s="75">
        <f>AE68-AE69</f>
        <v>40</v>
      </c>
      <c r="AF70" s="72">
        <f t="shared" si="371"/>
        <v>-4.7619047619047734</v>
      </c>
      <c r="AG70" s="75">
        <f>AG68-AG69</f>
        <v>49</v>
      </c>
      <c r="AH70" s="72">
        <f t="shared" si="371"/>
        <v>28.94736842105263</v>
      </c>
      <c r="AI70" s="75">
        <f>AI68-AI69</f>
        <v>48</v>
      </c>
      <c r="AJ70" s="72">
        <f t="shared" si="371"/>
        <v>4.3478260869565162</v>
      </c>
      <c r="AK70" s="75">
        <f>AK68-AK69</f>
        <v>53</v>
      </c>
      <c r="AL70" s="72">
        <f t="shared" si="371"/>
        <v>10.416666666666671</v>
      </c>
      <c r="AM70" s="75">
        <f>AM68-AM69</f>
        <v>64</v>
      </c>
      <c r="AN70" s="72">
        <f t="shared" si="371"/>
        <v>60</v>
      </c>
      <c r="AO70" s="75">
        <f>AO68-AO69</f>
        <v>67</v>
      </c>
      <c r="AP70" s="72">
        <f t="shared" si="371"/>
        <v>36.734693877551024</v>
      </c>
      <c r="AQ70" s="75">
        <f>AQ68-AQ69</f>
        <v>73</v>
      </c>
      <c r="AR70" s="72">
        <f t="shared" si="372"/>
        <v>52.083333333333314</v>
      </c>
      <c r="AS70" s="75">
        <f>AS68-AS69</f>
        <v>66</v>
      </c>
      <c r="AT70" s="72">
        <f t="shared" si="373"/>
        <v>24.528301886792448</v>
      </c>
      <c r="AU70" s="75">
        <f>AU68-AU69</f>
        <v>69</v>
      </c>
      <c r="AV70" s="72">
        <f t="shared" si="374"/>
        <v>7.8125</v>
      </c>
      <c r="AW70" s="75">
        <f>AW68-AW69</f>
        <v>72</v>
      </c>
      <c r="AX70" s="72">
        <f t="shared" si="375"/>
        <v>7.4626865671641838</v>
      </c>
      <c r="AY70" s="75">
        <f>AY68-AY69</f>
        <v>61</v>
      </c>
      <c r="AZ70" s="72">
        <f t="shared" si="376"/>
        <v>-16.438356164383563</v>
      </c>
      <c r="BA70" s="75">
        <f>BA68-BA69</f>
        <v>66</v>
      </c>
      <c r="BB70" s="72">
        <f t="shared" si="377"/>
        <v>0</v>
      </c>
      <c r="BC70" s="75">
        <f>BC68-BC69</f>
        <v>76</v>
      </c>
      <c r="BD70" s="72">
        <f t="shared" si="378"/>
        <v>10.14492753623189</v>
      </c>
      <c r="BE70" s="75">
        <f>BE68-BE69</f>
        <v>59</v>
      </c>
      <c r="BF70" s="72">
        <f t="shared" si="379"/>
        <v>-18.055555555555557</v>
      </c>
      <c r="BG70" s="75">
        <f>BG68-BG69</f>
        <v>62</v>
      </c>
      <c r="BH70" s="72">
        <f t="shared" si="380"/>
        <v>1.6393442622950829</v>
      </c>
      <c r="BI70" s="75">
        <f>BI68-BI69</f>
        <v>55</v>
      </c>
      <c r="BJ70" s="72">
        <f t="shared" si="381"/>
        <v>-16.666666666666657</v>
      </c>
      <c r="BK70" s="75">
        <f>BK68-BK69</f>
        <v>57</v>
      </c>
      <c r="BL70" s="72">
        <f t="shared" si="382"/>
        <v>-25</v>
      </c>
      <c r="BM70" s="75">
        <f>BM68-BM69</f>
        <v>47</v>
      </c>
      <c r="BN70" s="72">
        <f t="shared" si="383"/>
        <v>-20.33898305084746</v>
      </c>
      <c r="BO70" s="75">
        <f>BO68-BO69</f>
        <v>59</v>
      </c>
      <c r="BP70" s="72">
        <f t="shared" si="384"/>
        <v>-4.8387096774193452</v>
      </c>
      <c r="BQ70" s="75">
        <f>BQ68-BQ69</f>
        <v>62</v>
      </c>
      <c r="BR70" s="72">
        <f t="shared" si="385"/>
        <v>12.72727272727272</v>
      </c>
      <c r="BS70" s="75">
        <f>BS68-BS69</f>
        <v>59</v>
      </c>
      <c r="BT70" s="72">
        <f t="shared" si="386"/>
        <v>3.5087719298245759</v>
      </c>
      <c r="BU70" s="75">
        <f>BU68-BU69</f>
        <v>108</v>
      </c>
      <c r="BV70" s="72" t="str">
        <f t="shared" si="387"/>
        <v>NM</v>
      </c>
      <c r="BW70" s="75">
        <f>BW68-BW69</f>
        <v>100</v>
      </c>
      <c r="BX70" s="72">
        <f t="shared" si="388"/>
        <v>69.491525423728802</v>
      </c>
      <c r="BY70" s="75">
        <f>BY68-BY69</f>
        <v>113</v>
      </c>
      <c r="BZ70" s="72">
        <f t="shared" si="389"/>
        <v>82.258064516129025</v>
      </c>
      <c r="CA70" s="75">
        <f>CA68-CA69</f>
        <v>81</v>
      </c>
      <c r="CB70" s="72">
        <f t="shared" si="390"/>
        <v>37.288135593220318</v>
      </c>
      <c r="CC70" s="75">
        <f>CC68-CC69</f>
        <v>67</v>
      </c>
      <c r="CD70" s="72">
        <f t="shared" si="391"/>
        <v>-37.962962962962962</v>
      </c>
      <c r="CE70" s="75">
        <f>CE68-CE69</f>
        <v>67</v>
      </c>
      <c r="CF70" s="72">
        <f t="shared" si="392"/>
        <v>-33</v>
      </c>
      <c r="CG70" s="75">
        <f>CG68-CG69</f>
        <v>34</v>
      </c>
      <c r="CH70" s="72" t="str">
        <f t="shared" si="393"/>
        <v>NM</v>
      </c>
      <c r="CI70" s="75">
        <f>CI68-CI69</f>
        <v>122</v>
      </c>
      <c r="CJ70" s="72">
        <f t="shared" si="394"/>
        <v>50.617283950617292</v>
      </c>
      <c r="CK70" s="75">
        <f>CK68-CK69</f>
        <v>74</v>
      </c>
      <c r="CL70" s="72">
        <f t="shared" si="394"/>
        <v>10.447761194029852</v>
      </c>
      <c r="CM70" s="75">
        <f>CM68-CM69</f>
        <v>65</v>
      </c>
      <c r="CN70" s="72">
        <f t="shared" si="394"/>
        <v>-2.9850746268656678</v>
      </c>
      <c r="CO70" s="75">
        <f>CO68-CO69</f>
        <v>61</v>
      </c>
      <c r="CP70" s="72">
        <f t="shared" si="394"/>
        <v>79.411764705882348</v>
      </c>
      <c r="CQ70" s="75">
        <f>CQ68-CQ69</f>
        <v>13</v>
      </c>
      <c r="CR70" s="72" t="str">
        <f t="shared" si="394"/>
        <v>NM</v>
      </c>
      <c r="CS70" s="75">
        <f>CS68-CS69</f>
        <v>81</v>
      </c>
      <c r="CT70" s="72">
        <f t="shared" si="394"/>
        <v>9.4594594594594525</v>
      </c>
      <c r="CU70" s="75">
        <f>CU68-CU69</f>
        <v>80</v>
      </c>
      <c r="CV70" s="72">
        <f t="shared" si="395"/>
        <v>23.07692307692308</v>
      </c>
      <c r="CW70" s="75">
        <f>CW68-CW69</f>
        <v>49</v>
      </c>
      <c r="CX70" s="72">
        <f t="shared" si="396"/>
        <v>-19.672131147540981</v>
      </c>
      <c r="CY70" s="75">
        <f>CY68-CY69</f>
        <v>125</v>
      </c>
      <c r="CZ70" s="72" t="str">
        <f t="shared" si="397"/>
        <v>NM</v>
      </c>
      <c r="DA70" s="75">
        <f>DA68-DA69</f>
        <v>64</v>
      </c>
      <c r="DB70" s="72">
        <f t="shared" si="398"/>
        <v>-20.987654320987659</v>
      </c>
      <c r="DC70" s="75">
        <f>DC68-DC69</f>
        <v>58</v>
      </c>
      <c r="DD70" s="72">
        <f t="shared" si="399"/>
        <v>-27.5</v>
      </c>
      <c r="DE70" s="75">
        <f>DE68-DE69</f>
        <v>68</v>
      </c>
      <c r="DF70" s="72">
        <f t="shared" si="400"/>
        <v>38.775510204081627</v>
      </c>
      <c r="DG70" s="75">
        <f>DG68-DG69</f>
        <v>115</v>
      </c>
      <c r="DH70" s="72">
        <f t="shared" si="401"/>
        <v>-8</v>
      </c>
      <c r="DI70" s="75">
        <f>DI68-DI69</f>
        <v>71</v>
      </c>
      <c r="DJ70" s="72">
        <f t="shared" si="402"/>
        <v>10.9375</v>
      </c>
      <c r="DK70" s="75">
        <f>DK68-DK69</f>
        <v>60</v>
      </c>
      <c r="DL70" s="72">
        <f t="shared" si="403"/>
        <v>3.448275862068968</v>
      </c>
      <c r="DM70" s="75">
        <f>DM68-DM69</f>
        <v>46</v>
      </c>
      <c r="DN70" s="72">
        <f t="shared" si="404"/>
        <v>-32.35294117647058</v>
      </c>
      <c r="DO70" s="75">
        <f>DO68-DO69</f>
        <v>47</v>
      </c>
      <c r="DP70" s="72" t="str">
        <f t="shared" si="404"/>
        <v>NM</v>
      </c>
      <c r="DQ70" s="75">
        <f>DQ68-DQ69</f>
        <v>48</v>
      </c>
      <c r="DR70" s="72">
        <f t="shared" si="404"/>
        <v>-32.394366197183103</v>
      </c>
      <c r="DS70" s="75">
        <f>DS68-DS69</f>
        <v>70</v>
      </c>
      <c r="DT70" s="72">
        <f t="shared" si="404"/>
        <v>16.666666666666671</v>
      </c>
      <c r="DU70" s="75">
        <f>DU68-DU69</f>
        <v>62</v>
      </c>
      <c r="DV70" s="72">
        <f t="shared" si="404"/>
        <v>34.782608695652186</v>
      </c>
      <c r="DW70" s="75">
        <f>DW68-DW69</f>
        <v>50</v>
      </c>
      <c r="DX70" s="72">
        <f t="shared" si="404"/>
        <v>6.3829787234042499</v>
      </c>
      <c r="DY70" s="75">
        <f>DY68-DY69</f>
        <v>58</v>
      </c>
      <c r="DZ70" s="72">
        <f t="shared" si="404"/>
        <v>20.833333333333329</v>
      </c>
      <c r="EA70" s="75">
        <f>EA68-EA69</f>
        <v>61</v>
      </c>
      <c r="EB70" s="72">
        <f t="shared" si="405"/>
        <v>-12.857142857142861</v>
      </c>
      <c r="EC70" s="75">
        <f>EC68-EC69</f>
        <v>63</v>
      </c>
      <c r="ED70" s="72">
        <f t="shared" si="406"/>
        <v>1.6129032258064484</v>
      </c>
      <c r="EE70" s="75">
        <f>EE68-EE69</f>
        <v>120</v>
      </c>
      <c r="EF70" s="72" t="str">
        <f t="shared" si="407"/>
        <v>NM</v>
      </c>
      <c r="EG70" s="75">
        <f>EG68-EG69</f>
        <v>92</v>
      </c>
      <c r="EH70" s="72">
        <f t="shared" si="408"/>
        <v>58.620689655172413</v>
      </c>
      <c r="EI70" s="75">
        <f>EI68-EI69</f>
        <v>103</v>
      </c>
      <c r="EJ70" s="72">
        <f t="shared" si="409"/>
        <v>68.852459016393453</v>
      </c>
      <c r="EK70" s="75">
        <f>EK68-EK69</f>
        <v>107</v>
      </c>
      <c r="EL70" s="72">
        <f t="shared" si="410"/>
        <v>69.841269841269849</v>
      </c>
      <c r="EM70" s="75">
        <f>EM68-EM69</f>
        <v>101</v>
      </c>
      <c r="EN70" s="72">
        <f t="shared" si="411"/>
        <v>-15.833333333333329</v>
      </c>
      <c r="EO70" s="75">
        <f>EO68-EO69</f>
        <v>101</v>
      </c>
      <c r="EP70" s="72">
        <f t="shared" si="412"/>
        <v>9.7826086956521721</v>
      </c>
      <c r="EQ70" s="75">
        <f t="shared" ref="EQ70" si="443">EQ68-EQ69</f>
        <v>98.567593103527997</v>
      </c>
      <c r="ER70" s="72">
        <f t="shared" si="414"/>
        <v>-4.3033076664776786</v>
      </c>
      <c r="ES70" s="75">
        <f t="shared" ref="ES70" si="444">ES68-ES69</f>
        <v>97.38115320329608</v>
      </c>
      <c r="ET70" s="72">
        <f t="shared" si="416"/>
        <v>-8.9895764455176845</v>
      </c>
      <c r="EU70" s="75">
        <f t="shared" ref="EU70" si="445">EU68-EU69</f>
        <v>97.321598685948175</v>
      </c>
      <c r="EV70" s="72">
        <f t="shared" si="418"/>
        <v>-3.6419814990612025</v>
      </c>
      <c r="EW70" s="75">
        <f t="shared" ref="EW70" si="446">EW68-EW69</f>
        <v>97.283035005948804</v>
      </c>
      <c r="EX70" s="72">
        <f t="shared" si="420"/>
        <v>-3.680163360446727</v>
      </c>
      <c r="EY70" s="72"/>
      <c r="EZ70" s="306"/>
      <c r="FA70" s="72"/>
      <c r="FB70" s="75">
        <f>FB68-FB69</f>
        <v>263</v>
      </c>
      <c r="FC70" s="72"/>
      <c r="FD70" s="75">
        <f>FD68-FD69</f>
        <v>206</v>
      </c>
      <c r="FE70" s="72">
        <f t="shared" si="421"/>
        <v>-21.673003802281372</v>
      </c>
      <c r="FF70" s="75">
        <f>FF68-FF69</f>
        <v>207</v>
      </c>
      <c r="FG70" s="72">
        <f t="shared" si="422"/>
        <v>0.48543689320388239</v>
      </c>
      <c r="FH70" s="75">
        <f>FH68-FH69</f>
        <v>181</v>
      </c>
      <c r="FI70" s="72">
        <f t="shared" si="423"/>
        <v>-12.560386473429958</v>
      </c>
      <c r="FJ70" s="75">
        <f>FJ68-FJ69</f>
        <v>160</v>
      </c>
      <c r="FK70" s="72">
        <f t="shared" si="424"/>
        <v>-11.60220994475138</v>
      </c>
      <c r="FL70" s="75">
        <f>FL68-FL69</f>
        <v>183</v>
      </c>
      <c r="FM70" s="72">
        <f t="shared" si="425"/>
        <v>14.375</v>
      </c>
      <c r="FN70" s="75">
        <f>FN68-FN69</f>
        <v>232</v>
      </c>
      <c r="FO70" s="72">
        <f t="shared" si="426"/>
        <v>26.775956284153011</v>
      </c>
      <c r="FP70" s="75">
        <f>FP68-FP69</f>
        <v>280</v>
      </c>
      <c r="FQ70" s="72">
        <f t="shared" si="427"/>
        <v>20.689655172413794</v>
      </c>
      <c r="FR70" s="75">
        <f>FR68-FR69</f>
        <v>262</v>
      </c>
      <c r="FS70" s="72">
        <f t="shared" si="428"/>
        <v>-6.4285714285714306</v>
      </c>
      <c r="FT70" s="75">
        <f>FT68-FT69</f>
        <v>221</v>
      </c>
      <c r="FU70" s="72">
        <f t="shared" si="429"/>
        <v>-15.648854961832058</v>
      </c>
      <c r="FV70" s="75">
        <f>FV68-FV69</f>
        <v>232</v>
      </c>
      <c r="FW70" s="72">
        <f t="shared" si="430"/>
        <v>4.9773755656108705</v>
      </c>
      <c r="FX70" s="75">
        <f>FX68-FX69</f>
        <v>361</v>
      </c>
      <c r="FY70" s="72">
        <f t="shared" si="430"/>
        <v>55.603448275862064</v>
      </c>
      <c r="FZ70" s="75">
        <f>FZ68-FZ69</f>
        <v>297</v>
      </c>
      <c r="GA70" s="72">
        <f t="shared" si="430"/>
        <v>-17.72853185595568</v>
      </c>
      <c r="GB70" s="75">
        <f>GB68-GB69</f>
        <v>220</v>
      </c>
      <c r="GC70" s="72">
        <f t="shared" si="430"/>
        <v>-25.925925925925924</v>
      </c>
      <c r="GD70" s="75">
        <f>GD68-GD69</f>
        <v>318</v>
      </c>
      <c r="GE70" s="72">
        <f t="shared" si="430"/>
        <v>44.545454545454561</v>
      </c>
      <c r="GF70" s="75">
        <f>GF68-GF69</f>
        <v>312</v>
      </c>
      <c r="GG70" s="72">
        <f t="shared" si="430"/>
        <v>-1.8867924528301927</v>
      </c>
      <c r="GH70" s="75">
        <f>GH68-GH69</f>
        <v>201</v>
      </c>
      <c r="GI70" s="72">
        <f t="shared" si="431"/>
        <v>-35.576923076923066</v>
      </c>
      <c r="GJ70" s="75">
        <f>GJ68-GJ69</f>
        <v>240</v>
      </c>
      <c r="GK70" s="72">
        <f t="shared" si="431"/>
        <v>19.402985074626855</v>
      </c>
      <c r="GL70" s="75">
        <f>GL68-GL69</f>
        <v>336</v>
      </c>
      <c r="GM70" s="72">
        <f t="shared" si="431"/>
        <v>40</v>
      </c>
      <c r="GN70" s="75">
        <f>GN68-GN69</f>
        <v>412</v>
      </c>
      <c r="GO70" s="72">
        <f t="shared" si="431"/>
        <v>22.61904761904762</v>
      </c>
      <c r="GP70" s="75">
        <f>GP68-GP69</f>
        <v>390.55337999872103</v>
      </c>
      <c r="GQ70" s="72">
        <f t="shared" si="431"/>
        <v>-5.2054902915725734</v>
      </c>
      <c r="GR70" s="75">
        <f>GR68-GR69</f>
        <v>373.00988961362066</v>
      </c>
      <c r="GS70" s="72">
        <f t="shared" si="431"/>
        <v>-4.4919571263620384</v>
      </c>
      <c r="GT70" s="75">
        <f>GT68-GT69</f>
        <v>349.55033855458242</v>
      </c>
      <c r="GU70" s="72">
        <f t="shared" si="431"/>
        <v>-6.2892571248817575</v>
      </c>
      <c r="GV70" s="75">
        <f>GV68-GV69</f>
        <v>326.93382924014099</v>
      </c>
      <c r="GW70" s="72">
        <f t="shared" si="432"/>
        <v>-6.470172338542838</v>
      </c>
      <c r="GX70" s="75">
        <f>GX68-GX69</f>
        <v>305.02213650239167</v>
      </c>
      <c r="GY70" s="72">
        <f t="shared" si="433"/>
        <v>-6.7021797006068198</v>
      </c>
      <c r="GZ70" s="72">
        <f t="shared" si="434"/>
        <v>-5.8355815607271877</v>
      </c>
      <c r="HA70" s="72"/>
      <c r="HB70" s="72"/>
      <c r="HC70"/>
      <c r="HD70"/>
      <c r="HE70"/>
      <c r="HF70"/>
      <c r="HG70"/>
      <c r="HH70"/>
      <c r="HI70" s="111"/>
    </row>
    <row r="71" spans="1:217" s="90" customFormat="1" ht="12.75" customHeight="1" x14ac:dyDescent="0.2">
      <c r="B71" s="77" t="s">
        <v>293</v>
      </c>
      <c r="C71" s="74">
        <f>FF71-I71-G71-E71</f>
        <v>21</v>
      </c>
      <c r="D71" s="72"/>
      <c r="E71" s="74">
        <v>22</v>
      </c>
      <c r="F71" s="72"/>
      <c r="G71" s="74">
        <v>22</v>
      </c>
      <c r="H71" s="72"/>
      <c r="I71" s="74">
        <v>21</v>
      </c>
      <c r="J71" s="72"/>
      <c r="K71" s="74">
        <v>19</v>
      </c>
      <c r="L71" s="72">
        <f t="shared" si="368"/>
        <v>-9.5238095238095184</v>
      </c>
      <c r="M71" s="74">
        <v>20</v>
      </c>
      <c r="N71" s="72">
        <f t="shared" si="369"/>
        <v>-9.0909090909090935</v>
      </c>
      <c r="O71" s="74">
        <v>18</v>
      </c>
      <c r="P71" s="72">
        <f t="shared" si="370"/>
        <v>-18.181818181818173</v>
      </c>
      <c r="Q71" s="74">
        <v>16</v>
      </c>
      <c r="R71" s="72">
        <f t="shared" si="371"/>
        <v>-23.80952380952381</v>
      </c>
      <c r="S71" s="74">
        <v>17</v>
      </c>
      <c r="T71" s="72">
        <f t="shared" si="371"/>
        <v>-10.526315789473685</v>
      </c>
      <c r="U71" s="74">
        <v>16</v>
      </c>
      <c r="V71" s="72">
        <f t="shared" si="371"/>
        <v>-20</v>
      </c>
      <c r="W71" s="74">
        <v>14</v>
      </c>
      <c r="X71" s="72">
        <f t="shared" si="371"/>
        <v>-22.222222222222214</v>
      </c>
      <c r="Y71" s="74">
        <v>14</v>
      </c>
      <c r="Z71" s="72">
        <f t="shared" si="371"/>
        <v>-12.5</v>
      </c>
      <c r="AA71" s="74">
        <v>13</v>
      </c>
      <c r="AB71" s="72">
        <f t="shared" si="371"/>
        <v>-23.529411764705884</v>
      </c>
      <c r="AC71" s="74">
        <v>46</v>
      </c>
      <c r="AD71" s="72" t="str">
        <f t="shared" si="371"/>
        <v>NM</v>
      </c>
      <c r="AE71" s="74">
        <v>68</v>
      </c>
      <c r="AF71" s="72" t="str">
        <f t="shared" si="371"/>
        <v>NM</v>
      </c>
      <c r="AG71" s="74">
        <v>72</v>
      </c>
      <c r="AH71" s="72" t="str">
        <f t="shared" si="371"/>
        <v>NM</v>
      </c>
      <c r="AI71" s="74">
        <v>72</v>
      </c>
      <c r="AJ71" s="72" t="str">
        <f t="shared" si="371"/>
        <v>NM</v>
      </c>
      <c r="AK71" s="74">
        <v>71</v>
      </c>
      <c r="AL71" s="72">
        <f t="shared" si="371"/>
        <v>54.34782608695653</v>
      </c>
      <c r="AM71" s="74">
        <v>70</v>
      </c>
      <c r="AN71" s="72">
        <f t="shared" si="371"/>
        <v>2.941176470588232</v>
      </c>
      <c r="AO71" s="74">
        <v>76</v>
      </c>
      <c r="AP71" s="72">
        <f t="shared" si="371"/>
        <v>5.5555555555555571</v>
      </c>
      <c r="AQ71" s="74">
        <v>73</v>
      </c>
      <c r="AR71" s="72">
        <f t="shared" si="372"/>
        <v>1.3888888888888857</v>
      </c>
      <c r="AS71" s="74">
        <v>77</v>
      </c>
      <c r="AT71" s="72">
        <f t="shared" si="373"/>
        <v>8.4507042253521263</v>
      </c>
      <c r="AU71" s="74">
        <v>87</v>
      </c>
      <c r="AV71" s="72">
        <f t="shared" si="374"/>
        <v>24.285714285714292</v>
      </c>
      <c r="AW71" s="74">
        <v>83</v>
      </c>
      <c r="AX71" s="72">
        <f t="shared" si="375"/>
        <v>9.2105263157894655</v>
      </c>
      <c r="AY71" s="74">
        <v>94</v>
      </c>
      <c r="AZ71" s="72">
        <f t="shared" si="376"/>
        <v>28.767123287671239</v>
      </c>
      <c r="BA71" s="74">
        <v>79</v>
      </c>
      <c r="BB71" s="72">
        <f t="shared" si="377"/>
        <v>2.5974025974025921</v>
      </c>
      <c r="BC71" s="74">
        <v>118</v>
      </c>
      <c r="BD71" s="72">
        <f t="shared" si="378"/>
        <v>35.63218390804596</v>
      </c>
      <c r="BE71" s="74">
        <v>125</v>
      </c>
      <c r="BF71" s="72">
        <f t="shared" si="379"/>
        <v>50.602409638554235</v>
      </c>
      <c r="BG71" s="74">
        <v>133</v>
      </c>
      <c r="BH71" s="72">
        <f t="shared" si="380"/>
        <v>41.489361702127667</v>
      </c>
      <c r="BI71" s="74">
        <v>145</v>
      </c>
      <c r="BJ71" s="72">
        <f t="shared" si="381"/>
        <v>83.544303797468359</v>
      </c>
      <c r="BK71" s="74">
        <v>154</v>
      </c>
      <c r="BL71" s="72">
        <f t="shared" si="382"/>
        <v>30.508474576271198</v>
      </c>
      <c r="BM71" s="74">
        <v>141</v>
      </c>
      <c r="BN71" s="72">
        <f t="shared" si="383"/>
        <v>12.799999999999983</v>
      </c>
      <c r="BO71" s="74">
        <v>89</v>
      </c>
      <c r="BP71" s="72">
        <f t="shared" si="384"/>
        <v>-33.082706766917298</v>
      </c>
      <c r="BQ71" s="74">
        <v>128</v>
      </c>
      <c r="BR71" s="72">
        <f t="shared" si="385"/>
        <v>-11.724137931034477</v>
      </c>
      <c r="BS71" s="74">
        <v>24</v>
      </c>
      <c r="BT71" s="72" t="str">
        <f t="shared" si="386"/>
        <v>NM</v>
      </c>
      <c r="BU71" s="74">
        <v>-213</v>
      </c>
      <c r="BV71" s="72" t="str">
        <f t="shared" si="387"/>
        <v>NM</v>
      </c>
      <c r="BW71" s="74">
        <v>83</v>
      </c>
      <c r="BX71" s="72">
        <f t="shared" si="388"/>
        <v>-6.7415730337078656</v>
      </c>
      <c r="BY71" s="74">
        <v>104</v>
      </c>
      <c r="BZ71" s="72">
        <f t="shared" si="389"/>
        <v>-18.75</v>
      </c>
      <c r="CA71" s="74">
        <v>124</v>
      </c>
      <c r="CB71" s="72" t="str">
        <f t="shared" si="390"/>
        <v>NM</v>
      </c>
      <c r="CC71" s="74">
        <v>146</v>
      </c>
      <c r="CD71" s="72" t="str">
        <f t="shared" si="391"/>
        <v>NM</v>
      </c>
      <c r="CE71" s="74">
        <v>153</v>
      </c>
      <c r="CF71" s="72">
        <f t="shared" si="392"/>
        <v>84.337349397590373</v>
      </c>
      <c r="CG71" s="74">
        <v>164</v>
      </c>
      <c r="CH71" s="72">
        <f t="shared" si="393"/>
        <v>57.692307692307679</v>
      </c>
      <c r="CI71" s="74">
        <v>173</v>
      </c>
      <c r="CJ71" s="72">
        <f t="shared" si="394"/>
        <v>39.516129032258078</v>
      </c>
      <c r="CK71" s="74">
        <v>200</v>
      </c>
      <c r="CL71" s="72">
        <f t="shared" si="394"/>
        <v>36.986301369863014</v>
      </c>
      <c r="CM71" s="74">
        <v>215</v>
      </c>
      <c r="CN71" s="72">
        <f t="shared" si="394"/>
        <v>40.522875816993462</v>
      </c>
      <c r="CO71" s="74">
        <v>230</v>
      </c>
      <c r="CP71" s="72">
        <f t="shared" si="394"/>
        <v>40.243902439024396</v>
      </c>
      <c r="CQ71" s="74">
        <v>214</v>
      </c>
      <c r="CR71" s="72">
        <f t="shared" si="394"/>
        <v>23.69942196531791</v>
      </c>
      <c r="CS71" s="74">
        <v>218</v>
      </c>
      <c r="CT71" s="72">
        <f t="shared" si="394"/>
        <v>9.0000000000000142</v>
      </c>
      <c r="CU71" s="74">
        <v>240</v>
      </c>
      <c r="CV71" s="72">
        <f t="shared" si="395"/>
        <v>11.627906976744185</v>
      </c>
      <c r="CW71" s="74">
        <v>244</v>
      </c>
      <c r="CX71" s="72">
        <f t="shared" si="396"/>
        <v>6.0869565217391397</v>
      </c>
      <c r="CY71" s="74">
        <v>266</v>
      </c>
      <c r="CZ71" s="72">
        <f t="shared" si="397"/>
        <v>24.299065420560751</v>
      </c>
      <c r="DA71" s="74">
        <v>281</v>
      </c>
      <c r="DB71" s="72">
        <f t="shared" si="398"/>
        <v>28.89908256880733</v>
      </c>
      <c r="DC71" s="74">
        <v>297</v>
      </c>
      <c r="DD71" s="72">
        <f t="shared" si="399"/>
        <v>23.75</v>
      </c>
      <c r="DE71" s="74">
        <v>309</v>
      </c>
      <c r="DF71" s="72">
        <f t="shared" si="400"/>
        <v>26.639344262295083</v>
      </c>
      <c r="DG71" s="74">
        <v>312</v>
      </c>
      <c r="DH71" s="72">
        <f t="shared" si="401"/>
        <v>17.293233082706763</v>
      </c>
      <c r="DI71" s="74">
        <v>325</v>
      </c>
      <c r="DJ71" s="72">
        <f t="shared" si="402"/>
        <v>15.658362989323834</v>
      </c>
      <c r="DK71" s="74">
        <v>321</v>
      </c>
      <c r="DL71" s="74">
        <f>DJ71*1.022</f>
        <v>16.002846975088957</v>
      </c>
      <c r="DM71" s="74">
        <v>330</v>
      </c>
      <c r="DN71" s="72">
        <f t="shared" si="404"/>
        <v>6.7961165048543677</v>
      </c>
      <c r="DO71" s="74">
        <v>341</v>
      </c>
      <c r="DP71" s="72">
        <f t="shared" si="404"/>
        <v>9.2948717948717814</v>
      </c>
      <c r="DQ71" s="74">
        <v>334</v>
      </c>
      <c r="DR71" s="72">
        <f t="shared" si="404"/>
        <v>2.7692307692307736</v>
      </c>
      <c r="DS71" s="74">
        <v>338</v>
      </c>
      <c r="DT71" s="72">
        <f t="shared" si="404"/>
        <v>5.2959501557632223</v>
      </c>
      <c r="DU71" s="74">
        <v>344</v>
      </c>
      <c r="DV71" s="72">
        <f t="shared" si="404"/>
        <v>4.2424242424242493</v>
      </c>
      <c r="DW71" s="74">
        <v>319</v>
      </c>
      <c r="DX71" s="72">
        <f t="shared" si="404"/>
        <v>-6.4516129032258078</v>
      </c>
      <c r="DY71" s="74">
        <v>306</v>
      </c>
      <c r="DZ71" s="72">
        <f t="shared" si="404"/>
        <v>-8.3832335329341277</v>
      </c>
      <c r="EA71" s="74">
        <v>296</v>
      </c>
      <c r="EB71" s="72">
        <f t="shared" si="405"/>
        <v>-12.42603550295857</v>
      </c>
      <c r="EC71" s="74">
        <v>307</v>
      </c>
      <c r="ED71" s="72">
        <f t="shared" si="406"/>
        <v>-10.755813953488371</v>
      </c>
      <c r="EE71" s="74">
        <v>323</v>
      </c>
      <c r="EF71" s="72">
        <f t="shared" si="407"/>
        <v>1.2539184952978104</v>
      </c>
      <c r="EG71" s="74">
        <v>314</v>
      </c>
      <c r="EH71" s="72">
        <f t="shared" si="408"/>
        <v>2.614379084967311</v>
      </c>
      <c r="EI71" s="74">
        <v>327</v>
      </c>
      <c r="EJ71" s="72">
        <f t="shared" si="409"/>
        <v>10.472972972972983</v>
      </c>
      <c r="EK71" s="74">
        <v>369</v>
      </c>
      <c r="EL71" s="72">
        <f t="shared" si="410"/>
        <v>20.195439739413686</v>
      </c>
      <c r="EM71" s="74">
        <v>355</v>
      </c>
      <c r="EN71" s="72">
        <f t="shared" si="411"/>
        <v>9.9071207430340564</v>
      </c>
      <c r="EO71" s="74">
        <v>336</v>
      </c>
      <c r="EP71" s="72">
        <f t="shared" si="412"/>
        <v>7.0063694267515899</v>
      </c>
      <c r="EQ71" s="74">
        <f t="shared" ref="EQ71" si="447">EO71*1.01</f>
        <v>339.36</v>
      </c>
      <c r="ER71" s="72">
        <f t="shared" si="414"/>
        <v>3.7798165137614745</v>
      </c>
      <c r="ES71" s="74">
        <f t="shared" ref="ES71" si="448">EQ71*1.01</f>
        <v>342.75360000000001</v>
      </c>
      <c r="ET71" s="72">
        <f t="shared" si="416"/>
        <v>-7.1128455284552814</v>
      </c>
      <c r="EU71" s="74">
        <f t="shared" ref="EU71" si="449">ES71*1.01</f>
        <v>346.18113599999998</v>
      </c>
      <c r="EV71" s="72">
        <f t="shared" si="418"/>
        <v>-2.4841870422535237</v>
      </c>
      <c r="EW71" s="74">
        <f t="shared" ref="EW71" si="450">EU71*1.01</f>
        <v>349.64294735999999</v>
      </c>
      <c r="EX71" s="72">
        <f t="shared" si="420"/>
        <v>4.0604009999999988</v>
      </c>
      <c r="EY71" s="72"/>
      <c r="EZ71" s="306"/>
      <c r="FA71" s="72"/>
      <c r="FB71" s="74">
        <v>71</v>
      </c>
      <c r="FC71" s="72"/>
      <c r="FD71" s="74">
        <v>81</v>
      </c>
      <c r="FE71" s="72">
        <f t="shared" si="421"/>
        <v>14.08450704225352</v>
      </c>
      <c r="FF71" s="74">
        <v>86</v>
      </c>
      <c r="FG71" s="72">
        <f t="shared" si="422"/>
        <v>6.1728395061728492</v>
      </c>
      <c r="FH71" s="75">
        <f>K71+M71+O71+Q71</f>
        <v>73</v>
      </c>
      <c r="FI71" s="72">
        <f t="shared" si="423"/>
        <v>-15.116279069767444</v>
      </c>
      <c r="FJ71" s="75">
        <f>S71+U71+W71+Y71</f>
        <v>61</v>
      </c>
      <c r="FK71" s="72">
        <f t="shared" si="424"/>
        <v>-16.438356164383563</v>
      </c>
      <c r="FL71" s="75">
        <f>AA71+AC71+AE71+AG71</f>
        <v>199</v>
      </c>
      <c r="FM71" s="72" t="str">
        <f t="shared" si="425"/>
        <v>NM</v>
      </c>
      <c r="FN71" s="75">
        <f>AI71+AK71+AM71+AO71</f>
        <v>289</v>
      </c>
      <c r="FO71" s="72">
        <f t="shared" si="426"/>
        <v>45.226130653266324</v>
      </c>
      <c r="FP71" s="75">
        <f>AQ71+AS71+AU71+AW71</f>
        <v>320</v>
      </c>
      <c r="FQ71" s="72">
        <f t="shared" si="427"/>
        <v>10.726643598615922</v>
      </c>
      <c r="FR71" s="75">
        <f>AY71+BA71+BC71+BE71</f>
        <v>416</v>
      </c>
      <c r="FS71" s="72">
        <f t="shared" si="428"/>
        <v>30</v>
      </c>
      <c r="FT71" s="75">
        <f>BG71+BI71+BK71+BM71</f>
        <v>573</v>
      </c>
      <c r="FU71" s="72">
        <f t="shared" si="429"/>
        <v>37.740384615384613</v>
      </c>
      <c r="FV71" s="74">
        <v>466</v>
      </c>
      <c r="FW71" s="72">
        <f t="shared" si="430"/>
        <v>-18.673647469458984</v>
      </c>
      <c r="FX71" s="75">
        <v>457</v>
      </c>
      <c r="FY71" s="72">
        <f t="shared" si="430"/>
        <v>-1.9313304721029994</v>
      </c>
      <c r="FZ71" s="75">
        <f>CE71+CG71+CI71+CK71</f>
        <v>690</v>
      </c>
      <c r="GA71" s="72">
        <f t="shared" si="430"/>
        <v>50.984682713347922</v>
      </c>
      <c r="GB71" s="75">
        <f>CM71+CO71+CQ71+CS71</f>
        <v>877</v>
      </c>
      <c r="GC71" s="72">
        <f t="shared" si="430"/>
        <v>27.101449275362313</v>
      </c>
      <c r="GD71" s="75">
        <f>CU71+CW71+CY71+DA71</f>
        <v>1031</v>
      </c>
      <c r="GE71" s="72">
        <f t="shared" si="430"/>
        <v>17.559863169897369</v>
      </c>
      <c r="GF71" s="75">
        <f>DC71+DE71+DG71+DI71</f>
        <v>1243</v>
      </c>
      <c r="GG71" s="72">
        <f t="shared" si="430"/>
        <v>20.562560620756543</v>
      </c>
      <c r="GH71" s="75">
        <f>DK71+DM71+DO71+DQ71</f>
        <v>1326</v>
      </c>
      <c r="GI71" s="72">
        <f t="shared" si="431"/>
        <v>6.677393403057124</v>
      </c>
      <c r="GJ71" s="75">
        <f>DS71+DU71+DW71+DY71</f>
        <v>1307</v>
      </c>
      <c r="GK71" s="72">
        <f t="shared" si="431"/>
        <v>-1.4328808446455525</v>
      </c>
      <c r="GL71" s="75">
        <f>EA71+EC71+EE71+EG71</f>
        <v>1240</v>
      </c>
      <c r="GM71" s="72">
        <f t="shared" si="431"/>
        <v>-5.1262433052792602</v>
      </c>
      <c r="GN71" s="75">
        <f>EI71+EK71+EM71+EO71</f>
        <v>1387</v>
      </c>
      <c r="GO71" s="72">
        <f t="shared" si="431"/>
        <v>11.854838709677423</v>
      </c>
      <c r="GP71" s="75">
        <f>EQ71+ES71+EU71+EW71</f>
        <v>1377.9376833599999</v>
      </c>
      <c r="GQ71" s="72">
        <f t="shared" si="431"/>
        <v>-0.65337538860850941</v>
      </c>
      <c r="GR71" s="74">
        <f>GP71*1.02</f>
        <v>1405.4964370272</v>
      </c>
      <c r="GS71" s="72">
        <f t="shared" si="431"/>
        <v>2</v>
      </c>
      <c r="GT71" s="74">
        <f>GR71*1.02</f>
        <v>1433.6063657677441</v>
      </c>
      <c r="GU71" s="72">
        <f t="shared" si="431"/>
        <v>2</v>
      </c>
      <c r="GV71" s="74">
        <f>GT71*1.02</f>
        <v>1462.278493083099</v>
      </c>
      <c r="GW71" s="72">
        <f t="shared" si="432"/>
        <v>2</v>
      </c>
      <c r="GX71" s="74">
        <f>GV71*1.02</f>
        <v>1491.524062944761</v>
      </c>
      <c r="GY71" s="72">
        <f t="shared" si="433"/>
        <v>2</v>
      </c>
      <c r="GZ71" s="72">
        <f t="shared" si="434"/>
        <v>1.4637152520397434</v>
      </c>
      <c r="HA71" s="72"/>
      <c r="HB71" s="72"/>
      <c r="HC71"/>
      <c r="HD71"/>
      <c r="HE71"/>
      <c r="HF71"/>
      <c r="HG71"/>
      <c r="HH71"/>
      <c r="HI71" s="111"/>
    </row>
    <row r="72" spans="1:217" s="90" customFormat="1" ht="12.75" customHeight="1" x14ac:dyDescent="0.2">
      <c r="A72" s="3" t="s">
        <v>407</v>
      </c>
      <c r="B72" s="70" t="s">
        <v>212</v>
      </c>
      <c r="C72" s="91">
        <f>C67+C68+C71</f>
        <v>244</v>
      </c>
      <c r="D72" s="72"/>
      <c r="E72" s="91">
        <f>E67+E68+E71</f>
        <v>223</v>
      </c>
      <c r="F72" s="72"/>
      <c r="G72" s="91">
        <f>G67+G68+G71</f>
        <v>223</v>
      </c>
      <c r="H72" s="72"/>
      <c r="I72" s="91">
        <f>I67+I68+I71</f>
        <v>223</v>
      </c>
      <c r="J72" s="72"/>
      <c r="K72" s="91">
        <f>K67+K68+K71</f>
        <v>216</v>
      </c>
      <c r="L72" s="72">
        <f t="shared" si="368"/>
        <v>-11.47540983606558</v>
      </c>
      <c r="M72" s="91">
        <f>M67+M68+M71</f>
        <v>206</v>
      </c>
      <c r="N72" s="72">
        <f t="shared" si="369"/>
        <v>-7.6233183856502222</v>
      </c>
      <c r="O72" s="91">
        <f>O67+O68+O71</f>
        <v>194</v>
      </c>
      <c r="P72" s="72">
        <f t="shared" si="370"/>
        <v>-13.004484304932745</v>
      </c>
      <c r="Q72" s="91">
        <f>Q67+Q68+Q71</f>
        <v>185</v>
      </c>
      <c r="R72" s="72">
        <f t="shared" si="371"/>
        <v>-17.040358744394624</v>
      </c>
      <c r="S72" s="91">
        <f>S67+S68+S71</f>
        <v>182</v>
      </c>
      <c r="T72" s="72">
        <f t="shared" si="371"/>
        <v>-15.740740740740748</v>
      </c>
      <c r="U72" s="91">
        <f>U67+U68+U71</f>
        <v>193</v>
      </c>
      <c r="V72" s="72">
        <f t="shared" si="371"/>
        <v>-6.3106796116504853</v>
      </c>
      <c r="W72" s="91">
        <f>W67+W68+W71</f>
        <v>184</v>
      </c>
      <c r="X72" s="72">
        <f t="shared" si="371"/>
        <v>-5.1546391752577421</v>
      </c>
      <c r="Y72" s="91">
        <f>Y67+Y68+Y71</f>
        <v>182</v>
      </c>
      <c r="Z72" s="72">
        <f t="shared" si="371"/>
        <v>-1.6216216216216139</v>
      </c>
      <c r="AA72" s="91">
        <f>AA67+AA68+AA71</f>
        <v>183</v>
      </c>
      <c r="AB72" s="72">
        <f t="shared" si="371"/>
        <v>0.54945054945054039</v>
      </c>
      <c r="AC72" s="91">
        <f>AC67+AC68+AC71</f>
        <v>283</v>
      </c>
      <c r="AD72" s="72">
        <f t="shared" si="371"/>
        <v>46.63212435233163</v>
      </c>
      <c r="AE72" s="91">
        <f>AE67+AE68+AE71</f>
        <v>329</v>
      </c>
      <c r="AF72" s="72">
        <f t="shared" si="371"/>
        <v>78.804347826086968</v>
      </c>
      <c r="AG72" s="91">
        <f>AG67+AG68+AG71</f>
        <v>349</v>
      </c>
      <c r="AH72" s="72">
        <f t="shared" si="371"/>
        <v>91.758241758241752</v>
      </c>
      <c r="AI72" s="91">
        <f>AI67+AI68+AI71</f>
        <v>378</v>
      </c>
      <c r="AJ72" s="72" t="str">
        <f t="shared" si="371"/>
        <v>NM</v>
      </c>
      <c r="AK72" s="91">
        <f>AK67+AK68+AK71</f>
        <v>387</v>
      </c>
      <c r="AL72" s="72">
        <f t="shared" si="371"/>
        <v>36.749116607773857</v>
      </c>
      <c r="AM72" s="91">
        <f>AM67+AM68+AM71</f>
        <v>398</v>
      </c>
      <c r="AN72" s="72">
        <f t="shared" si="371"/>
        <v>20.972644376899694</v>
      </c>
      <c r="AO72" s="91">
        <f>AO67+AO68+AO71</f>
        <v>415</v>
      </c>
      <c r="AP72" s="72">
        <f t="shared" si="371"/>
        <v>18.911174785100286</v>
      </c>
      <c r="AQ72" s="91">
        <f>AQ67+AQ68+AQ71</f>
        <v>424</v>
      </c>
      <c r="AR72" s="72">
        <f t="shared" si="372"/>
        <v>12.169312169312164</v>
      </c>
      <c r="AS72" s="91">
        <f>AS67+AS68+AS71</f>
        <v>420</v>
      </c>
      <c r="AT72" s="72">
        <f t="shared" si="373"/>
        <v>8.5271317829457303</v>
      </c>
      <c r="AU72" s="91">
        <f>AU67+AU68+AU71</f>
        <v>441</v>
      </c>
      <c r="AV72" s="72">
        <f t="shared" si="374"/>
        <v>10.804020100502527</v>
      </c>
      <c r="AW72" s="91">
        <f>AW67+AW68+AW71</f>
        <v>432</v>
      </c>
      <c r="AX72" s="72">
        <f t="shared" si="375"/>
        <v>4.0963855421686617</v>
      </c>
      <c r="AY72" s="91">
        <f>AY67+AY68+AY71</f>
        <v>453</v>
      </c>
      <c r="AZ72" s="72">
        <f t="shared" si="376"/>
        <v>6.8396226415094361</v>
      </c>
      <c r="BA72" s="91">
        <f>BA67+BA68+BA71</f>
        <v>469</v>
      </c>
      <c r="BB72" s="72">
        <f t="shared" si="377"/>
        <v>11.666666666666671</v>
      </c>
      <c r="BC72" s="91">
        <f>BC67+BC68+BC71</f>
        <v>583</v>
      </c>
      <c r="BD72" s="72">
        <f t="shared" si="378"/>
        <v>32.199546485260782</v>
      </c>
      <c r="BE72" s="91">
        <f>BE67+BE68+BE71</f>
        <v>596</v>
      </c>
      <c r="BF72" s="72">
        <f t="shared" si="379"/>
        <v>37.962962962962962</v>
      </c>
      <c r="BG72" s="91">
        <f>BG67+BG68+BG71</f>
        <v>604</v>
      </c>
      <c r="BH72" s="72">
        <f t="shared" si="380"/>
        <v>33.333333333333314</v>
      </c>
      <c r="BI72" s="91">
        <f>BI67+BI68+BI71</f>
        <v>632</v>
      </c>
      <c r="BJ72" s="72">
        <f t="shared" si="381"/>
        <v>34.754797441364616</v>
      </c>
      <c r="BK72" s="91">
        <f>BK67+BK68+BK71</f>
        <v>633</v>
      </c>
      <c r="BL72" s="72">
        <f t="shared" si="382"/>
        <v>8.5763293310463098</v>
      </c>
      <c r="BM72" s="91">
        <f>BM67+BM68+BM71</f>
        <v>634</v>
      </c>
      <c r="BN72" s="72">
        <f t="shared" si="383"/>
        <v>6.3758389261745094</v>
      </c>
      <c r="BO72" s="91">
        <f>BO67+BO68+BO71</f>
        <v>573</v>
      </c>
      <c r="BP72" s="72">
        <f t="shared" si="384"/>
        <v>-5.1324503311258241</v>
      </c>
      <c r="BQ72" s="91">
        <f>BQ67+BQ68+BQ71</f>
        <v>622</v>
      </c>
      <c r="BR72" s="72">
        <f t="shared" si="385"/>
        <v>-1.5822784810126507</v>
      </c>
      <c r="BS72" s="91">
        <f>BS67+BS68+BS71</f>
        <v>528</v>
      </c>
      <c r="BT72" s="72">
        <f t="shared" si="386"/>
        <v>-16.587677725118482</v>
      </c>
      <c r="BU72" s="91">
        <f>BU67+BU68+BU71</f>
        <v>276</v>
      </c>
      <c r="BV72" s="72" t="str">
        <f t="shared" si="387"/>
        <v>NM</v>
      </c>
      <c r="BW72" s="91">
        <f>BW67+BW68+BW71</f>
        <v>574</v>
      </c>
      <c r="BX72" s="72">
        <f t="shared" si="388"/>
        <v>0.17452006980802537</v>
      </c>
      <c r="BY72" s="91">
        <f>BY67+BY68+BY71</f>
        <v>591</v>
      </c>
      <c r="BZ72" s="72">
        <f t="shared" si="389"/>
        <v>-4.9839228295819851</v>
      </c>
      <c r="CA72" s="91">
        <f>CA67+CA68+CA71</f>
        <v>653</v>
      </c>
      <c r="CB72" s="72">
        <f t="shared" si="390"/>
        <v>23.674242424242436</v>
      </c>
      <c r="CC72" s="91">
        <f>CC67+CC68+CC71</f>
        <v>697</v>
      </c>
      <c r="CD72" s="72" t="str">
        <f t="shared" si="391"/>
        <v>NM</v>
      </c>
      <c r="CE72" s="91">
        <f>CE67+CE68+CE71</f>
        <v>759</v>
      </c>
      <c r="CF72" s="72">
        <f t="shared" si="392"/>
        <v>32.229965156794407</v>
      </c>
      <c r="CG72" s="91">
        <f>CG67+CG68+CG71</f>
        <v>768</v>
      </c>
      <c r="CH72" s="72">
        <f t="shared" si="393"/>
        <v>29.949238578680195</v>
      </c>
      <c r="CI72" s="91">
        <f>CI67+CI68+CI71</f>
        <v>807</v>
      </c>
      <c r="CJ72" s="72">
        <f t="shared" si="394"/>
        <v>23.583460949464012</v>
      </c>
      <c r="CK72" s="91">
        <f>CK67+CK68+CK71</f>
        <v>861</v>
      </c>
      <c r="CL72" s="72">
        <f t="shared" si="394"/>
        <v>23.529411764705884</v>
      </c>
      <c r="CM72" s="91">
        <f>CM67+CM68+CM71</f>
        <v>898</v>
      </c>
      <c r="CN72" s="72">
        <f t="shared" si="394"/>
        <v>18.313570487483517</v>
      </c>
      <c r="CO72" s="91">
        <f>CO67+CO68+CO71</f>
        <v>933</v>
      </c>
      <c r="CP72" s="72">
        <f t="shared" si="394"/>
        <v>21.484375</v>
      </c>
      <c r="CQ72" s="91">
        <f>CQ67+CQ68+CQ71</f>
        <v>905</v>
      </c>
      <c r="CR72" s="72">
        <f t="shared" si="394"/>
        <v>12.143742255266417</v>
      </c>
      <c r="CS72" s="91">
        <f>CS67+CS68+CS71</f>
        <v>902</v>
      </c>
      <c r="CT72" s="72">
        <f t="shared" si="394"/>
        <v>4.7619047619047734</v>
      </c>
      <c r="CU72" s="91">
        <f>CU67+CU68+CU71</f>
        <v>958</v>
      </c>
      <c r="CV72" s="72">
        <f t="shared" si="395"/>
        <v>6.6815144766146943</v>
      </c>
      <c r="CW72" s="91">
        <f>CW67+CW68+CW71</f>
        <v>968</v>
      </c>
      <c r="CX72" s="72">
        <f t="shared" si="396"/>
        <v>3.7513397642015036</v>
      </c>
      <c r="CY72" s="91">
        <f>CY67+CY68+CY71</f>
        <v>1018</v>
      </c>
      <c r="CZ72" s="72">
        <f t="shared" si="397"/>
        <v>12.48618784530386</v>
      </c>
      <c r="DA72" s="91">
        <f>DA67+DA68+DA71</f>
        <v>1039</v>
      </c>
      <c r="DB72" s="72">
        <f t="shared" si="398"/>
        <v>15.188470066518846</v>
      </c>
      <c r="DC72" s="91">
        <f>DC67+DC68+DC71</f>
        <v>1068</v>
      </c>
      <c r="DD72" s="72">
        <f t="shared" si="399"/>
        <v>11.48225469728601</v>
      </c>
      <c r="DE72" s="91">
        <f>DE67+DE68+DE71</f>
        <v>1119</v>
      </c>
      <c r="DF72" s="72">
        <f t="shared" si="400"/>
        <v>15.599173553718998</v>
      </c>
      <c r="DG72" s="91">
        <f>DG67+DG68+DG71</f>
        <v>1120</v>
      </c>
      <c r="DH72" s="72">
        <f t="shared" si="401"/>
        <v>10.019646365422403</v>
      </c>
      <c r="DI72" s="91">
        <f>DI67+DI68+DI71</f>
        <v>1158</v>
      </c>
      <c r="DJ72" s="72">
        <f t="shared" si="402"/>
        <v>11.453320500481226</v>
      </c>
      <c r="DK72" s="91">
        <f>DK67+DK68+DK71</f>
        <v>1157</v>
      </c>
      <c r="DL72" s="72">
        <f t="shared" si="403"/>
        <v>8.3333333333333286</v>
      </c>
      <c r="DM72" s="91">
        <f>DM67+DM68+DM71</f>
        <v>1171</v>
      </c>
      <c r="DN72" s="72">
        <f t="shared" si="404"/>
        <v>4.6470062555853389</v>
      </c>
      <c r="DO72" s="91">
        <f>DO67+DO68+DO71</f>
        <v>1191</v>
      </c>
      <c r="DP72" s="72">
        <f t="shared" si="404"/>
        <v>6.3392857142857224</v>
      </c>
      <c r="DQ72" s="91">
        <f>DQ67+DQ68+DQ71</f>
        <v>1191</v>
      </c>
      <c r="DR72" s="72">
        <f t="shared" si="404"/>
        <v>2.8497409326425043</v>
      </c>
      <c r="DS72" s="91">
        <f>DS67+DS68+DS71</f>
        <v>1187</v>
      </c>
      <c r="DT72" s="72">
        <f t="shared" si="404"/>
        <v>2.5929127052722691</v>
      </c>
      <c r="DU72" s="91">
        <f>DU67+DU68+DU71</f>
        <v>1200</v>
      </c>
      <c r="DV72" s="72">
        <f t="shared" si="404"/>
        <v>2.4765157984628416</v>
      </c>
      <c r="DW72" s="91">
        <f>DW67+DW68+DW71</f>
        <v>1167</v>
      </c>
      <c r="DX72" s="72">
        <f t="shared" si="404"/>
        <v>-2.0151133501259437</v>
      </c>
      <c r="DY72" s="91">
        <f>DY67+DY68+DY71</f>
        <v>1141</v>
      </c>
      <c r="DZ72" s="72">
        <f t="shared" si="404"/>
        <v>-4.1981528127623733</v>
      </c>
      <c r="EA72" s="91">
        <f>EA67+EA68+EA71</f>
        <v>1109</v>
      </c>
      <c r="EB72" s="72">
        <f t="shared" si="405"/>
        <v>-6.5711878685762457</v>
      </c>
      <c r="EC72" s="91">
        <f>EC67+EC68+EC71</f>
        <v>1143</v>
      </c>
      <c r="ED72" s="72">
        <f t="shared" si="406"/>
        <v>-4.75</v>
      </c>
      <c r="EE72" s="91">
        <f>EE67+EE68+EE71</f>
        <v>1221</v>
      </c>
      <c r="EF72" s="72">
        <f t="shared" si="407"/>
        <v>4.6272493573264768</v>
      </c>
      <c r="EG72" s="91">
        <f>EG67+EG68+EG71</f>
        <v>1193</v>
      </c>
      <c r="EH72" s="72">
        <f t="shared" si="408"/>
        <v>4.5574057843996485</v>
      </c>
      <c r="EI72" s="91">
        <f>EI67+EI68+EI71</f>
        <v>1215</v>
      </c>
      <c r="EJ72" s="72">
        <f t="shared" si="409"/>
        <v>9.5581605049594174</v>
      </c>
      <c r="EK72" s="91">
        <f>EK67+EK68+EK71</f>
        <v>1306</v>
      </c>
      <c r="EL72" s="72">
        <f t="shared" si="410"/>
        <v>14.260717410323707</v>
      </c>
      <c r="EM72" s="91">
        <f>EM67+EM68+EM71</f>
        <v>1304</v>
      </c>
      <c r="EN72" s="72">
        <f t="shared" si="411"/>
        <v>6.7977067977067946</v>
      </c>
      <c r="EO72" s="91">
        <f>EO67+EO68+EO71</f>
        <v>1285</v>
      </c>
      <c r="EP72" s="72">
        <f t="shared" si="412"/>
        <v>7.7116512992456023</v>
      </c>
      <c r="EQ72" s="91">
        <f t="shared" ref="EQ72" si="451">EQ67+EQ68+EQ71</f>
        <v>1277.5684669459224</v>
      </c>
      <c r="ER72" s="72">
        <f t="shared" si="414"/>
        <v>5.1496680613927879</v>
      </c>
      <c r="ES72" s="91">
        <f t="shared" ref="ES72" si="452">ES67+ES68+ES71</f>
        <v>1267.5281364875987</v>
      </c>
      <c r="ET72" s="72">
        <f t="shared" si="416"/>
        <v>-2.9457782168760644</v>
      </c>
      <c r="EU72" s="91">
        <f t="shared" ref="EU72" si="453">EU67+EU68+EU71</f>
        <v>1268.4304808173665</v>
      </c>
      <c r="EV72" s="72">
        <f t="shared" si="418"/>
        <v>-2.7277238636988841</v>
      </c>
      <c r="EW72" s="91">
        <f t="shared" ref="EW72" si="454">EW67+EW68+EW71</f>
        <v>1269.568225544745</v>
      </c>
      <c r="EX72" s="72">
        <f t="shared" si="420"/>
        <v>-1.2009163000198413</v>
      </c>
      <c r="EY72" s="72"/>
      <c r="EZ72" s="306"/>
      <c r="FA72" s="72"/>
      <c r="FB72" s="91">
        <f>FB67+FB68+FB71</f>
        <v>912</v>
      </c>
      <c r="FC72" s="80"/>
      <c r="FD72" s="91">
        <f>FD67+FD68+FD71</f>
        <v>874</v>
      </c>
      <c r="FE72" s="72">
        <f t="shared" si="421"/>
        <v>-4.1666666666666572</v>
      </c>
      <c r="FF72" s="91">
        <f>FF67+FF68+FF71</f>
        <v>913</v>
      </c>
      <c r="FG72" s="72">
        <f t="shared" si="422"/>
        <v>4.4622425629290632</v>
      </c>
      <c r="FH72" s="91">
        <f>FH67+FH68+FH71</f>
        <v>801</v>
      </c>
      <c r="FI72" s="72">
        <f t="shared" si="423"/>
        <v>-12.267250821467684</v>
      </c>
      <c r="FJ72" s="91">
        <f>FJ67+FJ68+FJ71</f>
        <v>741</v>
      </c>
      <c r="FK72" s="72">
        <f t="shared" si="424"/>
        <v>-7.4906367041198507</v>
      </c>
      <c r="FL72" s="91">
        <f>FL67+FL68+FL71</f>
        <v>1144</v>
      </c>
      <c r="FM72" s="72">
        <f t="shared" si="425"/>
        <v>54.385964912280684</v>
      </c>
      <c r="FN72" s="91">
        <f>FN67+FN68+FN71</f>
        <v>1578</v>
      </c>
      <c r="FO72" s="72">
        <f t="shared" si="426"/>
        <v>37.937062937062933</v>
      </c>
      <c r="FP72" s="91">
        <f>FP67+FP68+FP71</f>
        <v>1717</v>
      </c>
      <c r="FQ72" s="72">
        <f t="shared" si="427"/>
        <v>8.8086185044359979</v>
      </c>
      <c r="FR72" s="91">
        <f>FR67+FR68+FR71</f>
        <v>2101</v>
      </c>
      <c r="FS72" s="72">
        <f t="shared" si="428"/>
        <v>22.364589400116472</v>
      </c>
      <c r="FT72" s="91">
        <f>FT67+FT68+FT71</f>
        <v>2503</v>
      </c>
      <c r="FU72" s="72">
        <f t="shared" si="429"/>
        <v>19.133745835316503</v>
      </c>
      <c r="FV72" s="91">
        <f>FV67+FV68+FV71</f>
        <v>2437</v>
      </c>
      <c r="FW72" s="72">
        <f t="shared" si="430"/>
        <v>-2.6368357970435454</v>
      </c>
      <c r="FX72" s="91">
        <f>FX67+FX68+FX71</f>
        <v>2515</v>
      </c>
      <c r="FY72" s="72">
        <f t="shared" si="430"/>
        <v>3.2006565449322864</v>
      </c>
      <c r="FZ72" s="91">
        <f>FZ67+FZ68+FZ71</f>
        <v>3195</v>
      </c>
      <c r="GA72" s="72">
        <f t="shared" si="430"/>
        <v>27.037773359840941</v>
      </c>
      <c r="GB72" s="91">
        <f>GB67+GB68+GB71</f>
        <v>3638</v>
      </c>
      <c r="GC72" s="72">
        <f t="shared" si="430"/>
        <v>13.865414710485126</v>
      </c>
      <c r="GD72" s="91">
        <f>GD67+GD68+GD71</f>
        <v>3983</v>
      </c>
      <c r="GE72" s="72">
        <f t="shared" si="430"/>
        <v>9.4832325453545963</v>
      </c>
      <c r="GF72" s="91">
        <f>GF67+GF68+GF71</f>
        <v>4465</v>
      </c>
      <c r="GG72" s="72">
        <f t="shared" si="430"/>
        <v>12.101431082098912</v>
      </c>
      <c r="GH72" s="91">
        <f>GH67+GH68+GH71</f>
        <v>4710</v>
      </c>
      <c r="GI72" s="72">
        <f t="shared" si="431"/>
        <v>5.4871220604703268</v>
      </c>
      <c r="GJ72" s="91">
        <f>GJ67+GJ68+GJ71</f>
        <v>4695</v>
      </c>
      <c r="GK72" s="72">
        <f t="shared" si="431"/>
        <v>-0.31847133757962354</v>
      </c>
      <c r="GL72" s="91">
        <f>GL67+GL68+GL71</f>
        <v>4666</v>
      </c>
      <c r="GM72" s="72">
        <f t="shared" si="431"/>
        <v>-0.61767838125665264</v>
      </c>
      <c r="GN72" s="91">
        <f>GN67+GN68+GN71</f>
        <v>5110</v>
      </c>
      <c r="GO72" s="72">
        <f t="shared" si="431"/>
        <v>9.5156450921560349</v>
      </c>
      <c r="GP72" s="91">
        <f>GP67+GP68+GP71</f>
        <v>5083.0953097956326</v>
      </c>
      <c r="GQ72" s="72">
        <f t="shared" si="431"/>
        <v>-0.52651057151403791</v>
      </c>
      <c r="GR72" s="91">
        <f>GR67+GR68+GR71</f>
        <v>5068.9696618344469</v>
      </c>
      <c r="GS72" s="72">
        <f t="shared" si="431"/>
        <v>-0.27789461145778205</v>
      </c>
      <c r="GT72" s="91">
        <f>GT67+GT68+GT71</f>
        <v>5070.5351760128078</v>
      </c>
      <c r="GU72" s="72">
        <f t="shared" si="431"/>
        <v>3.088426806236555E-2</v>
      </c>
      <c r="GV72" s="91">
        <f>GV67+GV68+GV71</f>
        <v>5083.7062169996752</v>
      </c>
      <c r="GW72" s="72">
        <f t="shared" si="432"/>
        <v>0.25975642668205978</v>
      </c>
      <c r="GX72" s="91">
        <f>GX67+GX68+GX71</f>
        <v>5109.2482278215703</v>
      </c>
      <c r="GY72" s="72">
        <f t="shared" si="433"/>
        <v>0.50242893140605815</v>
      </c>
      <c r="GZ72" s="72">
        <f t="shared" si="434"/>
        <v>-2.942530027305601E-3</v>
      </c>
      <c r="HA72" s="72"/>
      <c r="HB72" s="72"/>
      <c r="HC72"/>
      <c r="HD72"/>
      <c r="HE72"/>
      <c r="HF72"/>
      <c r="HG72"/>
      <c r="HH72"/>
      <c r="HI72" s="111"/>
    </row>
    <row r="73" spans="1:217" s="90" customFormat="1" ht="12.75" customHeight="1" x14ac:dyDescent="0.2">
      <c r="A73" s="3"/>
      <c r="B73" s="70"/>
      <c r="C73" s="91"/>
      <c r="D73" s="72"/>
      <c r="E73" s="91"/>
      <c r="F73" s="72"/>
      <c r="G73" s="91"/>
      <c r="H73" s="72"/>
      <c r="I73" s="91"/>
      <c r="J73" s="72"/>
      <c r="K73" s="91"/>
      <c r="L73" s="72"/>
      <c r="M73" s="91"/>
      <c r="N73" s="72"/>
      <c r="O73" s="91"/>
      <c r="P73" s="72"/>
      <c r="Q73" s="91"/>
      <c r="R73" s="72"/>
      <c r="S73" s="91"/>
      <c r="T73" s="72"/>
      <c r="U73" s="91"/>
      <c r="V73" s="72"/>
      <c r="W73" s="91"/>
      <c r="X73" s="72"/>
      <c r="Y73" s="91"/>
      <c r="Z73" s="72"/>
      <c r="AA73" s="91"/>
      <c r="AB73" s="72"/>
      <c r="AC73" s="91"/>
      <c r="AD73" s="72"/>
      <c r="AE73" s="91"/>
      <c r="AF73" s="72"/>
      <c r="AG73" s="91"/>
      <c r="AH73" s="72"/>
      <c r="AI73" s="91"/>
      <c r="AJ73" s="72"/>
      <c r="AK73" s="91"/>
      <c r="AL73" s="72"/>
      <c r="AM73" s="91"/>
      <c r="AN73" s="72"/>
      <c r="AO73" s="91"/>
      <c r="AP73" s="72"/>
      <c r="AQ73" s="91"/>
      <c r="AR73" s="72"/>
      <c r="AS73" s="91"/>
      <c r="AT73" s="72"/>
      <c r="AU73" s="91"/>
      <c r="AV73" s="72"/>
      <c r="AW73" s="91"/>
      <c r="AX73" s="72"/>
      <c r="AY73" s="91"/>
      <c r="AZ73" s="72"/>
      <c r="BA73" s="91"/>
      <c r="BB73" s="72"/>
      <c r="BC73" s="91"/>
      <c r="BD73" s="72"/>
      <c r="BE73" s="91"/>
      <c r="BF73" s="72"/>
      <c r="BG73" s="91"/>
      <c r="BH73" s="72"/>
      <c r="BI73" s="91"/>
      <c r="BJ73" s="72"/>
      <c r="BK73" s="91"/>
      <c r="BL73" s="72"/>
      <c r="BM73" s="91"/>
      <c r="BN73" s="72"/>
      <c r="BO73" s="91"/>
      <c r="BP73" s="72"/>
      <c r="BQ73" s="91"/>
      <c r="BR73" s="72"/>
      <c r="BS73" s="91"/>
      <c r="BT73" s="72"/>
      <c r="BU73" s="91"/>
      <c r="BV73" s="72"/>
      <c r="BW73" s="91"/>
      <c r="BX73" s="72"/>
      <c r="BY73" s="91"/>
      <c r="BZ73" s="72"/>
      <c r="CA73" s="91"/>
      <c r="CB73" s="72"/>
      <c r="CC73" s="91"/>
      <c r="CD73" s="72"/>
      <c r="CE73" s="91"/>
      <c r="CF73" s="72"/>
      <c r="CG73" s="91"/>
      <c r="CH73" s="72"/>
      <c r="CI73" s="91"/>
      <c r="CJ73" s="72"/>
      <c r="CK73" s="91"/>
      <c r="CL73" s="72"/>
      <c r="CM73" s="91"/>
      <c r="CN73" s="72"/>
      <c r="CO73" s="91"/>
      <c r="CP73" s="72"/>
      <c r="CQ73" s="91"/>
      <c r="CR73" s="72"/>
      <c r="CS73" s="91"/>
      <c r="CT73" s="72"/>
      <c r="CU73" s="91"/>
      <c r="CV73" s="72"/>
      <c r="CW73" s="91"/>
      <c r="CX73" s="72"/>
      <c r="CY73" s="91"/>
      <c r="CZ73" s="72"/>
      <c r="DA73" s="91"/>
      <c r="DB73" s="72"/>
      <c r="DC73" s="91"/>
      <c r="DD73" s="72"/>
      <c r="DE73" s="91"/>
      <c r="DF73" s="72"/>
      <c r="DG73" s="91"/>
      <c r="DH73" s="72"/>
      <c r="DI73" s="91"/>
      <c r="DJ73" s="72"/>
      <c r="DK73" s="91"/>
      <c r="DL73" s="72"/>
      <c r="DM73" s="91"/>
      <c r="DN73" s="72"/>
      <c r="DO73" s="91"/>
      <c r="DP73" s="72"/>
      <c r="DQ73" s="91"/>
      <c r="DR73" s="72"/>
      <c r="DS73" s="91"/>
      <c r="DT73" s="72"/>
      <c r="DU73" s="91"/>
      <c r="DV73" s="72"/>
      <c r="DW73" s="91"/>
      <c r="DX73" s="72"/>
      <c r="DY73" s="91"/>
      <c r="DZ73" s="72"/>
      <c r="EA73" s="91"/>
      <c r="EB73" s="72"/>
      <c r="EC73" s="91"/>
      <c r="ED73" s="72"/>
      <c r="EE73" s="91"/>
      <c r="EF73" s="72"/>
      <c r="EG73" s="91"/>
      <c r="EH73" s="72"/>
      <c r="EI73" s="91"/>
      <c r="EJ73" s="72"/>
      <c r="EK73" s="91"/>
      <c r="EL73" s="72"/>
      <c r="EM73" s="91"/>
      <c r="EN73" s="72"/>
      <c r="EO73" s="91"/>
      <c r="EP73" s="72"/>
      <c r="EQ73" s="91"/>
      <c r="ER73" s="72"/>
      <c r="ES73" s="91"/>
      <c r="ET73" s="72"/>
      <c r="EU73" s="91"/>
      <c r="EV73" s="72"/>
      <c r="EW73" s="91"/>
      <c r="EX73" s="72"/>
      <c r="EY73" s="72"/>
      <c r="EZ73" s="306"/>
      <c r="FA73" s="72"/>
      <c r="FB73" s="91"/>
      <c r="FC73" s="80"/>
      <c r="FD73" s="91"/>
      <c r="FE73" s="72"/>
      <c r="FF73" s="91"/>
      <c r="FG73" s="72"/>
      <c r="FH73" s="91"/>
      <c r="FI73" s="72"/>
      <c r="FJ73" s="91"/>
      <c r="FK73" s="72"/>
      <c r="FL73" s="91"/>
      <c r="FM73" s="72"/>
      <c r="FN73" s="91"/>
      <c r="FO73" s="72"/>
      <c r="FP73" s="91"/>
      <c r="FQ73" s="72"/>
      <c r="FR73" s="91"/>
      <c r="FS73" s="72"/>
      <c r="FT73" s="91"/>
      <c r="FU73" s="72"/>
      <c r="FV73" s="91"/>
      <c r="FW73" s="72"/>
      <c r="FX73" s="91"/>
      <c r="FY73" s="72"/>
      <c r="FZ73" s="91"/>
      <c r="GA73" s="72"/>
      <c r="GB73" s="189"/>
      <c r="GC73" s="72"/>
      <c r="GD73" s="189"/>
      <c r="GE73" s="72"/>
      <c r="GF73" s="189"/>
      <c r="GG73" s="72"/>
      <c r="GH73" s="189"/>
      <c r="GI73" s="72"/>
      <c r="GJ73" s="189"/>
      <c r="GK73" s="72"/>
      <c r="GL73" s="189"/>
      <c r="GM73" s="72"/>
      <c r="GN73" s="189"/>
      <c r="GO73" s="72"/>
      <c r="GP73" s="189"/>
      <c r="GQ73" s="72"/>
      <c r="GR73" s="91"/>
      <c r="GS73" s="72"/>
      <c r="GT73" s="91"/>
      <c r="GU73" s="72"/>
      <c r="GV73" s="91"/>
      <c r="GW73" s="72"/>
      <c r="GX73" s="91"/>
      <c r="GY73" s="72"/>
      <c r="GZ73" s="72"/>
      <c r="HA73" s="72"/>
      <c r="HB73" s="72"/>
      <c r="HC73"/>
      <c r="HD73"/>
      <c r="HE73"/>
      <c r="HF73"/>
      <c r="HG73"/>
      <c r="HH73"/>
      <c r="HI73" s="111"/>
    </row>
    <row r="74" spans="1:217" s="3" customFormat="1" ht="12.75" customHeight="1" x14ac:dyDescent="0.2">
      <c r="A74" s="3" t="s">
        <v>171</v>
      </c>
      <c r="B74" s="10" t="s">
        <v>333</v>
      </c>
      <c r="C74" s="73">
        <f>C67/C39*400</f>
        <v>1.6341950930217235</v>
      </c>
      <c r="D74" s="72"/>
      <c r="E74" s="73">
        <f>E67/E39*400</f>
        <v>1.6122602648713291</v>
      </c>
      <c r="F74" s="72"/>
      <c r="G74" s="73">
        <f>G67/G39*400</f>
        <v>1.5651000674612097</v>
      </c>
      <c r="H74" s="72"/>
      <c r="I74" s="73">
        <f>I67/I39*400</f>
        <v>1.5708741452596562</v>
      </c>
      <c r="J74" s="72"/>
      <c r="K74" s="73">
        <f>K67/K39*400</f>
        <v>1.5332155213181671</v>
      </c>
      <c r="L74" s="72">
        <f>IF(ISERROR(K74/C74),"NA",IF(OR(K74/C74&gt;2,K74/C74&lt;0.5),"NM",K74/C74*100-100))</f>
        <v>-6.1791625819191012</v>
      </c>
      <c r="M74" s="73">
        <f>M67/M39*400</f>
        <v>1.6148650397246449</v>
      </c>
      <c r="N74" s="72">
        <f>IF(ISERROR(M74/E74),"NA",IF(OR(M74/E74&gt;2,M74/E74&lt;0.5),"NM",M74/E74*100-100))</f>
        <v>0.16156044467943786</v>
      </c>
      <c r="O74" s="73">
        <f>O67/O39*400</f>
        <v>1.5035545991882984</v>
      </c>
      <c r="P74" s="72">
        <f>IF(ISERROR(O74/G74),"NA",IF(OR(O74/G74&gt;2,O74/G74&lt;0.5),"NM",O74/G74*100-100))</f>
        <v>-3.9323663420924788</v>
      </c>
      <c r="Q74" s="73">
        <f>Q67/Q39*400</f>
        <v>1.427018590261713</v>
      </c>
      <c r="R74" s="72">
        <f>IF(ISERROR(Q74/I74),"NA",IF(OR(Q74/I74&gt;2,Q74/I74&lt;0.5),"NM",Q74/I74*100-100))</f>
        <v>-9.1576753893396585</v>
      </c>
      <c r="S74" s="73">
        <f>S67/S39*400</f>
        <v>1.4007111302661353</v>
      </c>
      <c r="T74" s="72">
        <f>IF(ISERROR(S74/K74),"NA",IF(OR(S74/K74&gt;2,S74/K74&lt;0.5),"NM",S74/K74*100-100))</f>
        <v>-8.642254739119295</v>
      </c>
      <c r="U74" s="73">
        <f>U67/U39*400</f>
        <v>1.7481624428867384</v>
      </c>
      <c r="V74" s="72">
        <f>IF(ISERROR(U74/M74),"NA",IF(OR(U74/M74&gt;2,U74/M74&lt;0.5),"NM",U74/M74*100-100))</f>
        <v>8.2543989672859936</v>
      </c>
      <c r="W74" s="73">
        <f>W67/W39*400</f>
        <v>1.5615653433239933</v>
      </c>
      <c r="X74" s="72">
        <f>IF(ISERROR(W74/O74),"NA",IF(OR(W74/O74&gt;2,W74/O74&lt;0.5),"NM",W74/O74*100-100))</f>
        <v>3.8582399446626283</v>
      </c>
      <c r="Y74" s="73">
        <f>Y67/Y39*400</f>
        <v>1.6106142116901547</v>
      </c>
      <c r="Z74" s="72">
        <f>IF(ISERROR(Y74/Q74),"NA",IF(OR(Y74/Q74&gt;2,Y74/Q74&lt;0.5),"NM",Y74/Q74*100-100))</f>
        <v>12.865678322716917</v>
      </c>
      <c r="AA74" s="73">
        <f>AA67/AA39*400</f>
        <v>1.6632016632016633</v>
      </c>
      <c r="AB74" s="72">
        <f>IF(ISERROR(AA74/S74),"NA",IF(OR(AA74/S74&gt;2,AA74/S74&lt;0.5),"NM",AA74/S74*100-100))</f>
        <v>18.739804893651041</v>
      </c>
      <c r="AC74" s="73">
        <f>AC67/AC39*400</f>
        <v>1.7974244223216733</v>
      </c>
      <c r="AD74" s="72">
        <f>IF(ISERROR(AC74/U74),"NA",IF(OR(AC74/U74&gt;2,AC74/U74&lt;0.5),"NM",AC74/U74*100-100))</f>
        <v>2.8179291710207792</v>
      </c>
      <c r="AE74" s="73">
        <f>AE67/AE39*400</f>
        <v>1.5087784602022458</v>
      </c>
      <c r="AF74" s="72">
        <f>IF(ISERROR(AE74/W74),"NA",IF(OR(AE74/W74&gt;2,AE74/W74&lt;0.5),"NM",AE74/W74*100-100))</f>
        <v>-3.3803825979759381</v>
      </c>
      <c r="AG74" s="73">
        <f>AG67/AG39*400</f>
        <v>1.4723231560568166</v>
      </c>
      <c r="AH74" s="72">
        <f>IF(ISERROR(AG74/Y74),"NA",IF(OR(AG74/Y74&gt;2,AG74/Y74&lt;0.5),"NM",AG74/Y74*100-100))</f>
        <v>-8.5862309316280943</v>
      </c>
      <c r="AI74" s="73">
        <f>AI67/AI39*400</f>
        <v>1.5224025133153918</v>
      </c>
      <c r="AJ74" s="72">
        <f>IF(ISERROR(AI74/AA74),"NA",IF(OR(AI74/AA74&gt;2,AI74/AA74&lt;0.5),"NM",AI74/AA74*100-100))</f>
        <v>-8.4655488869120745</v>
      </c>
      <c r="AK74" s="73">
        <f>AK67/AK39*400</f>
        <v>1.5414601548142786</v>
      </c>
      <c r="AL74" s="72">
        <f>IF(ISERROR(AK74/AC74),"NA",IF(OR(AK74/AC74&gt;2,AK74/AC74&lt;0.5),"NM",AK74/AC74*100-100))</f>
        <v>-14.240613642980009</v>
      </c>
      <c r="AM74" s="73">
        <f>AM67/AM39*400</f>
        <v>1.5480811176608762</v>
      </c>
      <c r="AN74" s="72">
        <f>IF(ISERROR(AM74/AE74),"NA",IF(OR(AM74/AE74&gt;2,AM74/AE74&lt;0.5),"NM",AM74/AE74*100-100))</f>
        <v>2.6049323008867589</v>
      </c>
      <c r="AO74" s="73">
        <f>AO67/AO39*400</f>
        <v>1.6018804683759196</v>
      </c>
      <c r="AP74" s="72">
        <f>IF(ISERROR(AO74/AG74),"NA",IF(OR(AO74/AG74&gt;2,AO74/AG74&lt;0.5),"NM",AO74/AG74*100-100))</f>
        <v>8.7995160428016277</v>
      </c>
      <c r="AQ74" s="73">
        <f>AQ67/AQ39*400</f>
        <v>1.654513666794593</v>
      </c>
      <c r="AR74" s="72">
        <f>IF(ISERROR(AQ74/AI74),"NA",IF(OR(AQ74/AI74&gt;2,AQ74/AI74&lt;0.5),"NM",AQ74/AI74*100-100))</f>
        <v>8.6778071057895119</v>
      </c>
      <c r="AS74" s="73">
        <f>AS67/AS39*400</f>
        <v>1.6206764191581013</v>
      </c>
      <c r="AT74" s="72">
        <f>IF(ISERROR(AS74/AK74),"NA",IF(OR(AS74/AK74&gt;2,AS74/AK74&lt;0.5),"NM",AS74/AK74*100-100))</f>
        <v>5.1390406749350745</v>
      </c>
      <c r="AU74" s="73">
        <f>AU67/AU39*400</f>
        <v>1.634911132671387</v>
      </c>
      <c r="AV74" s="72">
        <f>IF(ISERROR(AU74/AM74),"NA",IF(OR(AU74/AM74&gt;2,AU74/AM74&lt;0.5),"NM",AU74/AM74*100-100))</f>
        <v>5.6088801820481677</v>
      </c>
      <c r="AW74" s="73">
        <f>AW67/AW39*400</f>
        <v>1.5798607647962339</v>
      </c>
      <c r="AX74" s="72">
        <f>IF(ISERROR(AW74/AO74),"NA",IF(OR(AW74/AO74&gt;2,AW74/AO74&lt;0.5),"NM",AW74/AO74*100-100))</f>
        <v>-1.3746158976525038</v>
      </c>
      <c r="AY74" s="73">
        <f>AY67/AY39*400</f>
        <v>1.654498408026241</v>
      </c>
      <c r="AZ74" s="72">
        <f>IF(ISERROR(AY74/AQ74),"NA",IF(OR(AY74/AQ74&gt;2,AY74/AQ74&lt;0.5),"NM",AY74/AQ74*100-100))</f>
        <v>-9.2225097067455408E-4</v>
      </c>
      <c r="BA74" s="73">
        <f>BA67/BA39*400</f>
        <v>1.5804833262288094</v>
      </c>
      <c r="BB74" s="72">
        <f>IF(ISERROR(BA74/AS74),"NA",IF(OR(BA74/AS74&gt;2,BA74/AS74&lt;0.5),"NM",BA74/AS74*100-100))</f>
        <v>-2.4800196050344994</v>
      </c>
      <c r="BC74" s="73">
        <f>BC67/BC39*400</f>
        <v>1.6991719407011954</v>
      </c>
      <c r="BD74" s="72">
        <f>IF(ISERROR(BC74/AU74),"NA",IF(OR(BC74/AU74&gt;2,BC74/AU74&lt;0.5),"NM",BC74/AU74*100-100))</f>
        <v>3.9305382871060743</v>
      </c>
      <c r="BE74" s="73">
        <f>BE67/BE39*400</f>
        <v>1.7366136034732274</v>
      </c>
      <c r="BF74" s="72">
        <f>IF(ISERROR(BE74/AW74),"NA",IF(OR(BE74/AW74&gt;2,BE74/AW74&lt;0.5),"NM",BE74/AW74*100-100))</f>
        <v>9.9219400956014567</v>
      </c>
      <c r="BG74" s="81">
        <f>BG67/BG39*400</f>
        <v>1.7050071263969735</v>
      </c>
      <c r="BH74" s="72">
        <f>IF(ISERROR(BG74/AY74),"NA",IF(OR(BG74/AY74&gt;2,BG74/AY74&lt;0.5),"NM",BG74/AY74*100-100))</f>
        <v>3.0528115425017148</v>
      </c>
      <c r="BI74" s="81">
        <f>BI67/BI39*400</f>
        <v>1.7546697377700426</v>
      </c>
      <c r="BJ74" s="72">
        <f>IF(ISERROR(BI74/BA74),"NA",IF(OR(BI74/BA74&gt;2,BI74/BA74&lt;0.5),"NM",BI74/BA74*100-100))</f>
        <v>11.021085047246856</v>
      </c>
      <c r="BK74" s="81">
        <f>BK67/BK39*400</f>
        <v>1.6735252059122896</v>
      </c>
      <c r="BL74" s="72">
        <f>IF(ISERROR(BK74/BC74),"NA",IF(OR(BK74/BC74&gt;2,BK74/BC74&lt;0.5),"NM",BK74/BC74*100-100))</f>
        <v>-1.5093666611704037</v>
      </c>
      <c r="BM74" s="81">
        <f>BM67/BM39*400</f>
        <v>1.7634347349584838</v>
      </c>
      <c r="BN74" s="72">
        <f>IF(ISERROR(BM74/BE74),"NA",IF(OR(BM74/BE74&gt;2,BM74/BE74&lt;0.5),"NM",BM74/BE74*100-100))</f>
        <v>1.544450154692683</v>
      </c>
      <c r="BO74" s="81">
        <f>BO67/BO39*400</f>
        <v>1.6638013740526827</v>
      </c>
      <c r="BP74" s="72">
        <f>IF(ISERROR(BO74/BG74),"NA",IF(OR(BO74/BG74&gt;2,BO74/BG74&lt;0.5),"NM",BO74/BG74*100-100))</f>
        <v>-2.416749566986681</v>
      </c>
      <c r="BQ74" s="81">
        <f>BQ67/BQ39*400</f>
        <v>1.7102696346970951</v>
      </c>
      <c r="BR74" s="72">
        <f>IF(ISERROR(BQ74/BI74),"NA",IF(OR(BQ74/BI74&gt;2,BQ74/BI74&lt;0.5),"NM",BQ74/BI74*100-100))</f>
        <v>-2.5303965821724574</v>
      </c>
      <c r="BS74" s="81">
        <f>BS67/BS39*400</f>
        <v>1.7045733309970212</v>
      </c>
      <c r="BT74" s="72">
        <f>IF(ISERROR(BS74/BK74),"NA",IF(OR(BS74/BK74&gt;2,BS74/BK74&lt;0.5),"NM",BS74/BK74*100-100))</f>
        <v>1.8552529101470157</v>
      </c>
      <c r="BU74" s="81">
        <f>BU67/BU39*400</f>
        <v>1.4002734909161947</v>
      </c>
      <c r="BV74" s="72">
        <f>IF(ISERROR(BU74/BM74),"NA",IF(OR(BU74/BM74&gt;2,BU74/BM74&lt;0.5),"NM",BU74/BM74*100-100))</f>
        <v>-20.59397134710737</v>
      </c>
      <c r="BW74" s="81">
        <f>BW67/BW39*400</f>
        <v>1.4718225673808172</v>
      </c>
      <c r="BX74" s="72">
        <f>IF(ISERROR(BW74/BO74),"NA",IF(OR(BW74/BO74&gt;2,BW74/BO74&lt;0.5),"NM",BW74/BO74*100-100))</f>
        <v>-11.538565219731979</v>
      </c>
      <c r="BY74" s="81">
        <f>BY67/BY39*400</f>
        <v>1.5344478669711721</v>
      </c>
      <c r="BZ74" s="72">
        <f>IF(ISERROR(BY74/BQ74),"NA",IF(OR(BY74/BQ74&gt;2,BY74/BQ74&lt;0.5),"NM",BY74/BQ74*100-100))</f>
        <v>-10.280353703237139</v>
      </c>
      <c r="CA74" s="81">
        <f>CA67/CA39*400</f>
        <v>1.665837538199133</v>
      </c>
      <c r="CB74" s="72">
        <f>IF(ISERROR(CA74/BS74),"NA",IF(OR(CA74/BS74&gt;2,CA74/BS74&lt;0.5),"NM",CA74/BS74*100-100))</f>
        <v>-2.2724626798678855</v>
      </c>
      <c r="CC74" s="81">
        <f>CC67/CC39*400</f>
        <v>1.7062704156792416</v>
      </c>
      <c r="CD74" s="72">
        <f>IF(ISERROR(CC74/BU74),"NA",IF(OR(CC74/BU74&gt;2,CC74/BU74&lt;0.5),"NM",CC74/BU74*100-100))</f>
        <v>21.852654267048521</v>
      </c>
      <c r="CE74" s="81">
        <f>CE67/CE39*400</f>
        <v>1.8420957455786084</v>
      </c>
      <c r="CF74" s="72">
        <f>IF(ISERROR(CE74/BW74),"NA",IF(OR(CE74/BW74&gt;2,CE74/BW74&lt;0.5),"NM",CE74/BW74*100-100))</f>
        <v>25.15746030832446</v>
      </c>
      <c r="CG74" s="81">
        <f>CG67/CG39*400</f>
        <v>1.8369907440285966</v>
      </c>
      <c r="CH74" s="72">
        <f>IF(ISERROR(CG74/BY74),"NA",IF(OR(CG74/BY74&gt;2,CG74/BY74&lt;0.5),"NM",CG74/BY74*100-100))</f>
        <v>19.716725707639071</v>
      </c>
      <c r="CI74" s="81">
        <f>CI67/CI39*400</f>
        <v>1.8715247954432441</v>
      </c>
      <c r="CJ74" s="72">
        <f>IF(ISERROR(CI74/CA74),"NA",IF(OR(CI74/CA74&gt;2,CI74/CA74&lt;0.5),"NM",CI74/CA74*100-100))</f>
        <v>12.347377972192348</v>
      </c>
      <c r="CK74" s="73">
        <f>CK67/CK39*400</f>
        <v>1.8107222963065148</v>
      </c>
      <c r="CL74" s="72">
        <f>IF(ISERROR(CK74/CC74),"NA",IF(OR(CK74/CC74&gt;2,CK74/CC74&lt;0.5),"NM",CK74/CC74*100-100))</f>
        <v>6.1216486945706379</v>
      </c>
      <c r="CM74" s="73">
        <f>CM67/CM39*400</f>
        <v>1.816152262889924</v>
      </c>
      <c r="CN74" s="72">
        <f>IF(ISERROR(CM74/CE74),"NA",IF(OR(CM74/CE74&gt;2,CM74/CE74&lt;0.5),"NM",CM74/CE74*100-100))</f>
        <v>-1.4083677654081725</v>
      </c>
      <c r="CO74" s="73">
        <f>CO67/CO39*400</f>
        <v>1.8220199756043769</v>
      </c>
      <c r="CP74" s="72">
        <f>IF(ISERROR(CO74/CG74),"NA",IF(OR(CO74/CG74&gt;2,CO74/CG74&lt;0.5),"NM",CO74/CG74*100-100))</f>
        <v>-0.81496155997979258</v>
      </c>
      <c r="CQ74" s="73">
        <f>CQ67/CQ39*400</f>
        <v>1.8448863451443875</v>
      </c>
      <c r="CR74" s="72">
        <f>IF(ISERROR(CQ74/CI74),"NA",IF(OR(CQ74/CI74&gt;2,CQ74/CI74&lt;0.5),"NM",CQ74/CI74*100-100))</f>
        <v>-1.4233554566690998</v>
      </c>
      <c r="CS74" s="73">
        <f>CS67/CS39*400</f>
        <v>1.8323597746235103</v>
      </c>
      <c r="CT74" s="72">
        <f>IF(ISERROR(CS74/CK74),"NA",IF(OR(CS74/CK74&gt;2,CS74/CK74&lt;0.5),"NM",CS74/CK74*100-100))</f>
        <v>1.1949639302023911</v>
      </c>
      <c r="CU74" s="73">
        <f>CU67/CU39*400</f>
        <v>1.8120242240858362</v>
      </c>
      <c r="CV74" s="72">
        <f>IF(ISERROR(CU74/CM74),"NA",IF(OR(CU74/CM74&gt;2,CU74/CM74&lt;0.5),"NM",CU74/CM74*100-100))</f>
        <v>-0.22729585445216571</v>
      </c>
      <c r="CW74" s="73">
        <f>CW67/CW39*400</f>
        <v>1.7722213447934763</v>
      </c>
      <c r="CX74" s="72">
        <f>IF(ISERROR(CW74/CO74),"NA",IF(OR(CW74/CO74&gt;2,CW74/CO74&lt;0.5),"NM",CW74/CO74*100-100))</f>
        <v>-2.7331550409803782</v>
      </c>
      <c r="CY74" s="73">
        <f>CY67/CY39*400</f>
        <v>1.7811653796008426</v>
      </c>
      <c r="CZ74" s="72">
        <f>IF(ISERROR(CY74/CQ74),"NA",IF(OR(CY74/CQ74&gt;2,CY74/CQ74&lt;0.5),"NM",CY74/CQ74*100-100))</f>
        <v>-3.453923636610682</v>
      </c>
      <c r="DA74" s="73">
        <f>DA67/DA39*400</f>
        <v>1.7593079441350645</v>
      </c>
      <c r="DB74" s="72">
        <f>IF(ISERROR(DA74/CS74),"NA",IF(OR(DA74/CS74&gt;2,DA74/CS74&lt;0.5),"NM",DA74/CS74*100-100))</f>
        <v>-3.9867623978732922</v>
      </c>
      <c r="DC74" s="73">
        <f>DC67/DC39*400</f>
        <v>1.758780972650217</v>
      </c>
      <c r="DD74" s="72">
        <f>IF(ISERROR(DC74/CU74),"NA",IF(OR(DC74/CU74&gt;2,DC74/CU74&lt;0.5),"NM",DC74/CU74*100-100))</f>
        <v>-2.9383300028718082</v>
      </c>
      <c r="DE74" s="73">
        <f>DE67/DE39*400</f>
        <v>1.817859968425882</v>
      </c>
      <c r="DF74" s="72">
        <f>IF(ISERROR(DE74/CW74),"NA",IF(OR(DE74/CW74&gt;2,DE74/CW74&lt;0.5),"NM",DE74/CW74*100-100))</f>
        <v>2.5752214172617443</v>
      </c>
      <c r="DG74" s="73">
        <f>DG67/DG39*400</f>
        <v>1.8161664392905865</v>
      </c>
      <c r="DH74" s="72">
        <f>IF(ISERROR(DG74/CY74),"NA",IF(OR(DG74/CY74&gt;2,DG74/CY74&lt;0.5),"NM",DG74/CY74*100-100))</f>
        <v>1.9650651248110051</v>
      </c>
      <c r="DI74" s="73">
        <f>DI67/DI39*400</f>
        <v>1.8112345494350091</v>
      </c>
      <c r="DJ74" s="72">
        <f>IF(ISERROR(DI74/DA74),"NA",IF(OR(DI74/DA74&gt;2,DI74/DA74&lt;0.5),"NM",DI74/DA74*100-100))</f>
        <v>2.951535885064942</v>
      </c>
      <c r="DK74" s="73">
        <f>DK67/DK39*400</f>
        <v>1.7769715346903376</v>
      </c>
      <c r="DL74" s="72">
        <f>IF(ISERROR(DK74/DC74),"NA",IF(OR(DK74/DC74&gt;2,DK74/DC74&lt;0.5),"NM",DK74/DC74*100-100))</f>
        <v>1.0342710276601679</v>
      </c>
      <c r="DM74" s="73">
        <f>DM67/DM39*400</f>
        <v>1.7898604923417125</v>
      </c>
      <c r="DN74" s="72">
        <f t="shared" ref="DN74:DZ77" si="455">IF(ISERROR(DM74/DE74),"NA",IF(OR(DM74/DE74&gt;2,DM74/DE74&lt;0.5),"NM",DM74/DE74*100-100))</f>
        <v>-1.5402438345355449</v>
      </c>
      <c r="DO74" s="73">
        <f>DO67/DO39*400</f>
        <v>1.8015802654483566</v>
      </c>
      <c r="DP74" s="72">
        <f t="shared" si="455"/>
        <v>-0.80312979728485345</v>
      </c>
      <c r="DQ74" s="73">
        <f>DQ67/DQ39*400</f>
        <v>1.8140824966342801</v>
      </c>
      <c r="DR74" s="72">
        <f t="shared" si="455"/>
        <v>0.15723790163784201</v>
      </c>
      <c r="DS74" s="73">
        <f>DS67/DS39*400</f>
        <v>1.7861084011706945</v>
      </c>
      <c r="DT74" s="72">
        <f t="shared" si="455"/>
        <v>0.51418192705878596</v>
      </c>
      <c r="DU74" s="73">
        <f>DU67/DU39*400</f>
        <v>1.8225039619651346</v>
      </c>
      <c r="DV74" s="72">
        <f t="shared" si="455"/>
        <v>1.8237996627722595</v>
      </c>
      <c r="DW74" s="73">
        <f>DW67/DW39*400</f>
        <v>1.8324512013875787</v>
      </c>
      <c r="DX74" s="72">
        <f t="shared" si="455"/>
        <v>1.7135476298936396</v>
      </c>
      <c r="DY74" s="73">
        <f>DY67/DY39*400</f>
        <v>1.8424589532833997</v>
      </c>
      <c r="DZ74" s="72">
        <f t="shared" si="455"/>
        <v>1.5642318748881223</v>
      </c>
      <c r="EA74" s="73">
        <f>EA67/EA39*400</f>
        <v>1.8432469700037708</v>
      </c>
      <c r="EB74" s="72">
        <f>IF(ISERROR(EA74/DS74),"NA",IF(OR(EA74/DS74&gt;2,EA74/DS74&lt;0.5),"NM",EA74/DS74*100-100))</f>
        <v>3.1990538085832299</v>
      </c>
      <c r="EC74" s="73">
        <f>EC67/EC39*400</f>
        <v>1.7973997616781054</v>
      </c>
      <c r="ED74" s="72">
        <f>IF(ISERROR(EC74/DU74),"NA",IF(OR(EC74/DU74&gt;2,EC74/DU74&lt;0.5),"NM",EC74/DU74*100-100))</f>
        <v>-1.3774565548796005</v>
      </c>
      <c r="EE74" s="73">
        <f>EE67/EE39*400</f>
        <v>1.8452028971776366</v>
      </c>
      <c r="EF74" s="72">
        <f>IF(ISERROR(EE74/DW74),"NA",IF(OR(EE74/DW74&gt;2,EE74/DW74&lt;0.5),"NM",EE74/DW74*100-100))</f>
        <v>0.6958818756211258</v>
      </c>
      <c r="EG74" s="73">
        <f>EG67/EG39*400</f>
        <v>1.804035068365142</v>
      </c>
      <c r="EH74" s="72">
        <f>IF(ISERROR(EG74/DY74),"NA",IF(OR(EG74/DY74&gt;2,EG74/DY74&lt;0.5),"NM",EG74/DY74*100-100))</f>
        <v>-2.0854676219398698</v>
      </c>
      <c r="EI74" s="73">
        <f>EI67/EI39*400</f>
        <v>1.8005642885933093</v>
      </c>
      <c r="EJ74" s="72">
        <f>IF(ISERROR(EI74/EA74),"NA",IF(OR(EI74/EA74&gt;2,EI74/EA74&lt;0.5),"NM",EI74/EA74*100-100))</f>
        <v>-2.3156246615381235</v>
      </c>
      <c r="EK74" s="73">
        <f>EK67/EK39*400</f>
        <v>1.9061360874848117</v>
      </c>
      <c r="EL74" s="72">
        <f>IF(ISERROR(EK74/EC74),"NA",IF(OR(EK74/EC74&gt;2,EK74/EC74&lt;0.5),"NM",EK74/EC74*100-100))</f>
        <v>6.0496461680392457</v>
      </c>
      <c r="EM74" s="73">
        <f>EM67/EM39*400</f>
        <v>1.9096881817814004</v>
      </c>
      <c r="EN74" s="72">
        <f>IF(ISERROR(EM74/EE74),"NA",IF(OR(EM74/EE74&gt;2,EM74/EE74&lt;0.5),"NM",EM74/EE74*100-100))</f>
        <v>3.4947530541166145</v>
      </c>
      <c r="EO74" s="73">
        <f>EO67/EO39*400</f>
        <v>1.865183646030679</v>
      </c>
      <c r="EP74" s="72">
        <f>IF(ISERROR(EO74/EG74),"NA",IF(OR(EO74/EG74&gt;2,EO74/EG74&lt;0.5),"NM",EO74/EG74*100-100))</f>
        <v>3.389544845209187</v>
      </c>
      <c r="EQ74" s="71">
        <v>1.85</v>
      </c>
      <c r="ER74" s="72">
        <f t="shared" ref="ER74:ER77" si="456">IF(ISERROR(EQ74/EI74),"NA",IF(OR(EQ74/EI74&gt;2,EQ74/EI74&lt;0.5),"NM",EQ74/EI74*100-100))</f>
        <v>2.7455676934097397</v>
      </c>
      <c r="ES74" s="71">
        <f>EQ74-0.005</f>
        <v>1.8450000000000002</v>
      </c>
      <c r="ET74" s="72">
        <f t="shared" ref="ET74:ET77" si="457">IF(ISERROR(ES74/EK74),"NA",IF(OR(ES74/EK74&gt;2,ES74/EK74&lt;0.5),"NM",ES74/EK74*100-100))</f>
        <v>-3.2073306772908268</v>
      </c>
      <c r="EU74" s="71">
        <f>ES74-0.005</f>
        <v>1.8400000000000003</v>
      </c>
      <c r="EV74" s="72">
        <f t="shared" ref="EV74:EV77" si="458">IF(ISERROR(EU74/EM74),"NA",IF(OR(EU74/EM74&gt;2,EU74/EM74&lt;0.5),"NM",EU74/EM74*100-100))</f>
        <v>-3.6491916558018147</v>
      </c>
      <c r="EW74" s="71">
        <f>EU74-0.005</f>
        <v>1.8350000000000004</v>
      </c>
      <c r="EX74" s="72">
        <f t="shared" ref="EX74:EX77" si="459">IF(ISERROR(EW74/EO74),"NA",IF(OR(EW74/EO74&gt;2,EW74/EO74&lt;0.5),"NM",EW74/EO74*100-100))</f>
        <v>-1.6182667103538506</v>
      </c>
      <c r="EY74" s="72"/>
      <c r="EZ74" s="306"/>
      <c r="FA74" s="72"/>
      <c r="FB74" s="73">
        <f>FB67/FB39*100</f>
        <v>1.513576891304927</v>
      </c>
      <c r="FC74" s="88"/>
      <c r="FD74" s="73">
        <f>FD67/FD39*100</f>
        <v>1.4859050619518963</v>
      </c>
      <c r="FE74" s="72">
        <f>IF(ISERROR(FD74/FB74),"NA",IF(OR(FD74/FB74&gt;2,FD74/FB74&lt;0.5),"NM",FD74/FB74*100-100))</f>
        <v>-1.8282407396675779</v>
      </c>
      <c r="FF74" s="73">
        <f>FF67/FF39*100</f>
        <v>1.6302978957250476</v>
      </c>
      <c r="FG74" s="72">
        <f>IF(ISERROR(FF74/FD74),"NA",IF(OR(FF74/FD74&gt;2,FF74/FD74&lt;0.5),"NM",FF74/FD74*100-100))</f>
        <v>9.717500631128857</v>
      </c>
      <c r="FH74" s="73">
        <f>FH67/FH39*100</f>
        <v>1.449129515950488</v>
      </c>
      <c r="FI74" s="72">
        <f>IF(ISERROR(FH74/FF74),"NA",IF(OR(FH74/FF74&gt;2,FH74/FF74&lt;0.5),"NM",FH74/FF74*100-100))</f>
        <v>-11.112593609402168</v>
      </c>
      <c r="FJ74" s="73">
        <f>FJ67/FJ39*100</f>
        <v>1.5575866223881036</v>
      </c>
      <c r="FK74" s="72">
        <f>IF(ISERROR(FJ74/FH74),"NA",IF(OR(FJ74/FH74&gt;2,FJ74/FH74&lt;0.5),"NM",FJ74/FH74*100-100))</f>
        <v>7.4842935185457407</v>
      </c>
      <c r="FL74" s="73">
        <f>FL67/FL39*100</f>
        <v>1.6664698837856529</v>
      </c>
      <c r="FM74" s="72">
        <f>IF(ISERROR(FL74/FJ74),"NA",IF(OR(FL74/FJ74&gt;2,FL74/FJ74&lt;0.5),"NM",FL74/FJ74*100-100))</f>
        <v>6.9905108218384981</v>
      </c>
      <c r="FN74" s="73">
        <f>FN67/FN39*100</f>
        <v>1.5300929219521271</v>
      </c>
      <c r="FO74" s="72">
        <f>IF(ISERROR(FN74/FL74),"NA",IF(OR(FN74/FL74&gt;2,FN74/FL74&lt;0.5),"NM",FN74/FL74*100-100))</f>
        <v>-8.1835839435468074</v>
      </c>
      <c r="FP74" s="73">
        <f>FP67/FP39*100</f>
        <v>1.5886594158621532</v>
      </c>
      <c r="FQ74" s="72">
        <f>IF(ISERROR(FP74/FN74),"NA",IF(OR(FP74/FN74&gt;2,FP74/FN74&lt;0.5),"NM",FP74/FN74*100-100))</f>
        <v>3.8276429535603569</v>
      </c>
      <c r="FR74" s="73">
        <f>FR67/FR39*100</f>
        <v>1.7026641028300606</v>
      </c>
      <c r="FS74" s="72">
        <f>IF(ISERROR(FR74/FP74),"NA",IF(OR(FR74/FP74&gt;2,FR74/FP74&lt;0.5),"NM",FR74/FP74*100-100))</f>
        <v>7.1761565650645167</v>
      </c>
      <c r="FT74" s="73">
        <f>FT67/FT39*100</f>
        <v>1.7432288472092197</v>
      </c>
      <c r="FU74" s="72">
        <f>IF(ISERROR(FT74/FR74),"NA",IF(OR(FT74/FR74&gt;2,FT74/FR74&lt;0.5),"NM",FT74/FR74*100-100))</f>
        <v>2.3824278853201264</v>
      </c>
      <c r="FV74" s="73">
        <f>FV67/FV39*100</f>
        <v>1.6274031905302089</v>
      </c>
      <c r="FW74" s="72">
        <f>IF(ISERROR(FV74/FT74),"NA",IF(OR(FV74/FT74&gt;2,FV74/FT74&lt;0.5),"NM",FV74/FT74*100-100))</f>
        <v>-6.644317346195777</v>
      </c>
      <c r="FX74" s="73">
        <f>FX67/FX39*100</f>
        <v>1.6049681126006359</v>
      </c>
      <c r="FY74" s="72">
        <f>IF(ISERROR(FX74/FV74),"NA",IF(OR(FX74/FV74&gt;2,FX74/FV74&lt;0.5),"NM",FX74/FV74*100-100))</f>
        <v>-1.3785814148652094</v>
      </c>
      <c r="FZ74" s="73">
        <f>FZ67/FZ39*100</f>
        <v>1.8395587094257597</v>
      </c>
      <c r="GA74" s="72">
        <f>IF(ISERROR(FZ74/FX74),"NA",IF(OR(FZ74/FX74&gt;2,FZ74/FX74&lt;0.5),"NM",FZ74/FX74*100-100))</f>
        <v>14.616526956725707</v>
      </c>
      <c r="GB74" s="73">
        <f>GB67/GB39*100</f>
        <v>1.8288291109510537</v>
      </c>
      <c r="GC74" s="72">
        <f>IF(ISERROR(GB74/FZ74),"NA",IF(OR(GB74/FZ74&gt;2,GB74/FZ74&lt;0.5),"NM",GB74/FZ74*100-100))</f>
        <v>-0.58327023865714978</v>
      </c>
      <c r="GD74" s="73">
        <f>GD67/GD39*100</f>
        <v>1.7804015082823959</v>
      </c>
      <c r="GE74" s="72">
        <f>IF(ISERROR(GD74/GB74),"NA",IF(OR(GD74/GB74&gt;2,GD74/GB74&lt;0.5),"NM",GD74/GB74*100-100))</f>
        <v>-2.648011363044958</v>
      </c>
      <c r="GF74" s="73">
        <f>GF67/GF39*100</f>
        <v>1.801463288240359</v>
      </c>
      <c r="GG74" s="72">
        <f>IF(ISERROR(GF74/GD74),"NA",IF(OR(GF74/GD74&gt;2,GF74/GD74&lt;0.5),"NM",GF74/GD74*100-100))</f>
        <v>1.1829792246290651</v>
      </c>
      <c r="GH74" s="73">
        <f>GH67/GH39*100</f>
        <v>1.795724883732682</v>
      </c>
      <c r="GI74" s="72">
        <f t="shared" ref="GI74:GU77" si="460">IF(ISERROR(GH74/GF74),"NA",IF(OR(GH74/GF74&gt;2,GH74/GF74&lt;0.5),"NM",GH74/GF74*100-100))</f>
        <v>-0.31854129613056159</v>
      </c>
      <c r="GJ74" s="73">
        <f>GJ67/GJ39*100</f>
        <v>1.8204904865481442</v>
      </c>
      <c r="GK74" s="72">
        <f t="shared" si="460"/>
        <v>1.3791423753054488</v>
      </c>
      <c r="GL74" s="73">
        <f>GL67/GL39*100</f>
        <v>1.8221562477274189</v>
      </c>
      <c r="GM74" s="72">
        <f t="shared" si="460"/>
        <v>9.1500680260807599E-2</v>
      </c>
      <c r="GN74" s="73">
        <f>GN67/GN39*100</f>
        <v>1.8708334183189173</v>
      </c>
      <c r="GO74" s="72">
        <f t="shared" si="460"/>
        <v>2.6714048618063515</v>
      </c>
      <c r="GP74" s="73">
        <f>GP67/GP39*100</f>
        <v>1.842525044383311</v>
      </c>
      <c r="GQ74" s="72">
        <f t="shared" si="460"/>
        <v>-1.5131424133444966</v>
      </c>
      <c r="GR74" s="71">
        <f>GP74-0.02</f>
        <v>1.822525044383311</v>
      </c>
      <c r="GS74" s="72">
        <f t="shared" si="460"/>
        <v>-1.0854669281683442</v>
      </c>
      <c r="GT74" s="71">
        <f>GR74-0.02</f>
        <v>1.802525044383311</v>
      </c>
      <c r="GU74" s="72">
        <f t="shared" si="460"/>
        <v>-1.0973786100573051</v>
      </c>
      <c r="GV74" s="71">
        <f>GT74-0.02</f>
        <v>1.7825250443833109</v>
      </c>
      <c r="GW74" s="72">
        <f>IF(ISERROR(GV74/GT74),"NA",IF(OR(GV74/GT74&gt;2,GV74/GT74&lt;0.5),"NM",GV74/GT74*100-100))</f>
        <v>-1.1095546251809481</v>
      </c>
      <c r="GX74" s="71">
        <f>GV74-0.02</f>
        <v>1.7625250443833109</v>
      </c>
      <c r="GY74" s="72">
        <f>IF(ISERROR(GX74/GV74),"NA",IF(OR(GX74/GV74&gt;2,GX74/GV74&lt;0.5),"NM",GX74/GV74*100-100))</f>
        <v>-1.1220038710266351</v>
      </c>
      <c r="GZ74" s="72">
        <f>IF(ISERROR(((GX74/GN74)^0.2-1)*100),"NA",IF((((GX74/GN74)^0.2-1)*100)&gt;100,"NM",IF((((GX74/GN74)^0.2-1)*100)&lt;-50,"NM",((GX74/GN74)^0.2-1)*100)))</f>
        <v>-1.1856460536361579</v>
      </c>
      <c r="HA74" s="72"/>
      <c r="HB74" s="72"/>
      <c r="HC74"/>
      <c r="HD74"/>
      <c r="HE74"/>
      <c r="HF74"/>
      <c r="HG74"/>
      <c r="HH74"/>
      <c r="HI74" s="111"/>
    </row>
    <row r="75" spans="1:217" s="3" customFormat="1" ht="12.75" customHeight="1" x14ac:dyDescent="0.2">
      <c r="B75" s="10" t="s">
        <v>6</v>
      </c>
      <c r="C75" s="73">
        <f>C68/C57*400</f>
        <v>17.307372274920951</v>
      </c>
      <c r="D75" s="72"/>
      <c r="E75" s="73">
        <f>E68/E57*400</f>
        <v>14.829794405123021</v>
      </c>
      <c r="F75" s="72"/>
      <c r="G75" s="73">
        <f>G68/G57*400</f>
        <v>15.491761508408358</v>
      </c>
      <c r="H75" s="72"/>
      <c r="I75" s="73">
        <f>I68/I57*400</f>
        <v>15.950920245398773</v>
      </c>
      <c r="J75" s="72"/>
      <c r="K75" s="73">
        <f>K68/K57*400</f>
        <v>16.50902837489252</v>
      </c>
      <c r="L75" s="72">
        <f>IF(ISERROR(K75/C75),"NA",IF(OR(K75/C75&gt;2,K75/C75&lt;0.5),"NM",K75/C75*100-100))</f>
        <v>-4.612738937760426</v>
      </c>
      <c r="M75" s="73">
        <f>M68/M57*400</f>
        <v>14.997396285367124</v>
      </c>
      <c r="N75" s="72">
        <f>IF(ISERROR(M75/E75),"NA",IF(OR(M75/E75&gt;2,M75/E75&lt;0.5),"NM",M75/E75*100-100))</f>
        <v>1.130169951555132</v>
      </c>
      <c r="O75" s="73">
        <f>O68/O57*400</f>
        <v>14.920690256231481</v>
      </c>
      <c r="P75" s="72">
        <f>IF(ISERROR(O75/G75),"NA",IF(OR(O75/G75&gt;2,O75/G75&lt;0.5),"NM",O75/G75*100-100))</f>
        <v>-3.6862899797864799</v>
      </c>
      <c r="Q75" s="73">
        <f>Q68/Q57*400</f>
        <v>14.383561643835616</v>
      </c>
      <c r="R75" s="72">
        <f>IF(ISERROR(Q75/I75),"NA",IF(OR(Q75/I75&gt;2,Q75/I75&lt;0.5),"NM",Q75/I75*100-100))</f>
        <v>-9.8261327713382514</v>
      </c>
      <c r="S75" s="73">
        <f>S68/S57*400</f>
        <v>13.596193065941536</v>
      </c>
      <c r="T75" s="72">
        <f>IF(ISERROR(S75/K75),"NA",IF(OR(S75/K75&gt;2,S75/K75&lt;0.5),"NM",S75/K75*100-100))</f>
        <v>-17.64389304328121</v>
      </c>
      <c r="U75" s="73">
        <f>U68/U57*400</f>
        <v>13.429578646969951</v>
      </c>
      <c r="V75" s="72">
        <f>IF(ISERROR(U75/M75),"NA",IF(OR(U75/M75&gt;2,U75/M75&lt;0.5),"NM",U75/M75*100-100))</f>
        <v>-10.453932193062627</v>
      </c>
      <c r="W75" s="73">
        <f>W68/W57*400</f>
        <v>13.696892834495877</v>
      </c>
      <c r="X75" s="72">
        <f>IF(ISERROR(W75/O75),"NA",IF(OR(W75/O75&gt;2,W75/O75&lt;0.5),"NM",W75/O75*100-100))</f>
        <v>-8.2020161314219138</v>
      </c>
      <c r="Y75" s="73">
        <f>Y68/Y57*400</f>
        <v>12.860576923076922</v>
      </c>
      <c r="Z75" s="72">
        <f>IF(ISERROR(Y75/Q75),"NA",IF(OR(Y75/Q75&gt;2,Y75/Q75&lt;0.5),"NM",Y75/Q75*100-100))</f>
        <v>-10.588369963369971</v>
      </c>
      <c r="AA75" s="73">
        <f>AA68/AA57*400</f>
        <v>12.461784830397438</v>
      </c>
      <c r="AB75" s="72">
        <f>IF(ISERROR(AA75/S75),"NA",IF(OR(AA75/S75&gt;2,AA75/S75&lt;0.5),"NM",AA75/S75*100-100))</f>
        <v>-8.3435725724268508</v>
      </c>
      <c r="AC75" s="73">
        <f>AC68/AC57*400</f>
        <v>13.082771481853392</v>
      </c>
      <c r="AD75" s="72">
        <f>IF(ISERROR(AC75/U75),"NA",IF(OR(AC75/U75&gt;2,AC75/U75&lt;0.5),"NM",AC75/U75*100-100))</f>
        <v>-2.582412853249167</v>
      </c>
      <c r="AE75" s="73">
        <f>AE68/AE57*400</f>
        <v>12.419883207520297</v>
      </c>
      <c r="AF75" s="72">
        <f>IF(ISERROR(AE75/W75),"NA",IF(OR(AE75/W75&gt;2,AE75/W75&lt;0.5),"NM",AE75/W75*100-100))</f>
        <v>-9.3233526932430095</v>
      </c>
      <c r="AG75" s="73">
        <f>AG68/AG57*400</f>
        <v>13.755861872957226</v>
      </c>
      <c r="AH75" s="72">
        <f>IF(ISERROR(AG75/Y75),"NA",IF(OR(AG75/Y75&gt;2,AG75/Y75&lt;0.5),"NM",AG75/Y75*100-100))</f>
        <v>6.9614680214992006</v>
      </c>
      <c r="AI75" s="73">
        <f>AI68/AI57*400</f>
        <v>15.4627539503386</v>
      </c>
      <c r="AJ75" s="72">
        <f>IF(ISERROR(AI75/AA75),"NA",IF(OR(AI75/AA75&gt;2,AI75/AA75&lt;0.5),"NM",AI75/AA75*100-100))</f>
        <v>24.081374865509162</v>
      </c>
      <c r="AK75" s="73">
        <f>AK68/AK57*400</f>
        <v>15.679824561403507</v>
      </c>
      <c r="AL75" s="72">
        <f>IF(ISERROR(AK75/AC75),"NA",IF(OR(AK75/AC75&gt;2,AK75/AC75&lt;0.5),"NM",AK75/AC75*100-100))</f>
        <v>19.850939712219144</v>
      </c>
      <c r="AM75" s="73">
        <f>AM68/AM57*400</f>
        <v>16.354523872329203</v>
      </c>
      <c r="AN75" s="72">
        <f>IF(ISERROR(AM75/AE75),"NA",IF(OR(AM75/AE75&gt;2,AM75/AE75&lt;0.5),"NM",AM75/AE75*100-100))</f>
        <v>31.680174435347851</v>
      </c>
      <c r="AO75" s="73">
        <f>AO68/AO57*400</f>
        <v>16.022741956325106</v>
      </c>
      <c r="AP75" s="72">
        <f>IF(ISERROR(AO75/AG75),"NA",IF(OR(AO75/AG75&gt;2,AO75/AG75&lt;0.5),"NM",AO75/AG75*100-100))</f>
        <v>16.479375151508037</v>
      </c>
      <c r="AQ75" s="73">
        <f>AQ68/AQ57*400</f>
        <v>16.189739623614333</v>
      </c>
      <c r="AR75" s="72">
        <f>IF(ISERROR(AQ75/AI75),"NA",IF(OR(AQ75/AI75&gt;2,AQ75/AI75&lt;0.5),"NM",AQ75/AI75*100-100))</f>
        <v>4.7015277848342976</v>
      </c>
      <c r="AS75" s="73">
        <f>AS68/AS57*400</f>
        <v>15.409794787863529</v>
      </c>
      <c r="AT75" s="72">
        <f>IF(ISERROR(AS75/AK75),"NA",IF(OR(AS75/AK75&gt;2,AS75/AK75&lt;0.5),"NM",AS75/AK75*100-100))</f>
        <v>-1.7221479263528749</v>
      </c>
      <c r="AU75" s="73">
        <f>AU68/AU57*400</f>
        <v>15.413115968877362</v>
      </c>
      <c r="AV75" s="72">
        <f>IF(ISERROR(AU75/AM75),"NA",IF(OR(AU75/AM75&gt;2,AU75/AM75&lt;0.5),"NM",AU75/AM75*100-100))</f>
        <v>-5.7562538096547229</v>
      </c>
      <c r="AW75" s="73">
        <f>AW68/AW57*400</f>
        <v>15.054835493519441</v>
      </c>
      <c r="AX75" s="72">
        <f>IF(ISERROR(AW75/AO75),"NA",IF(OR(AW75/AO75&gt;2,AW75/AO75&lt;0.5),"NM",AW75/AO75*100-100))</f>
        <v>-6.040829125526642</v>
      </c>
      <c r="AY75" s="73">
        <f>AY68/(AY57+AY39)*400</f>
        <v>1.0295734241359895</v>
      </c>
      <c r="AZ75" s="72" t="str">
        <f>IF(ISERROR(AY75/AQ75),"NA",IF(OR(AY75/AQ75&gt;2,AY75/AQ75&lt;0.5),"NM",AY75/AQ75*100-100))</f>
        <v>NM</v>
      </c>
      <c r="BA75" s="73">
        <f>BA68/(BA57+BA39)*400</f>
        <v>0.91833590138674892</v>
      </c>
      <c r="BB75" s="72" t="str">
        <f>IF(ISERROR(BA75/AS75),"NA",IF(OR(BA75/AS75&gt;2,BA75/AS75&lt;0.5),"NM",BA75/AS75*100-100))</f>
        <v>NM</v>
      </c>
      <c r="BC75" s="73">
        <f>BC68/(BC57+BC39)*400</f>
        <v>0.91943392248736799</v>
      </c>
      <c r="BD75" s="72" t="str">
        <f>IF(ISERROR(BC75/AU75),"NA",IF(OR(BC75/AU75&gt;2,BC75/AU75&lt;0.5),"NM",BC75/AU75*100-100))</f>
        <v>NM</v>
      </c>
      <c r="BE75" s="73">
        <f>BE68/(BE57+BE39)*400</f>
        <v>0.81743869209809261</v>
      </c>
      <c r="BF75" s="72" t="str">
        <f>IF(ISERROR(BE75/AW75),"NA",IF(OR(BE75/AW75&gt;2,BE75/AW75&lt;0.5),"NM",BE75/AW75*100-100))</f>
        <v>NM</v>
      </c>
      <c r="BG75" s="73">
        <f>BG68/(BG57+BG39)*400</f>
        <v>0.76662880061939542</v>
      </c>
      <c r="BH75" s="72">
        <f>IF(ISERROR(BG75/AY75),"NA",IF(OR(BG75/AY75&gt;2,BG75/AY75&lt;0.5),"NM",BG75/AY75*100-100))</f>
        <v>-25.539181310672944</v>
      </c>
      <c r="BI75" s="73">
        <f>BI68/(BI57+BI39)*400</f>
        <v>0.73155963076010533</v>
      </c>
      <c r="BJ75" s="72">
        <f>IF(ISERROR(BI75/BA75),"NA",IF(OR(BI75/BA75&gt;2,BI75/BA75&lt;0.5),"NM",BI75/BA75*100-100))</f>
        <v>-20.338556986022098</v>
      </c>
      <c r="BK75" s="73">
        <f>BK68/(BK57+BK39)*400</f>
        <v>0.68860396305926663</v>
      </c>
      <c r="BL75" s="72">
        <f>IF(ISERROR(BK75/BC75),"NA",IF(OR(BK75/BC75&gt;2,BK75/BC75&lt;0.5),"NM",BK75/BC75*100-100))</f>
        <v>-25.105660535520727</v>
      </c>
      <c r="BM75" s="73">
        <f>BM68/(BM57+BM39)*400</f>
        <v>0.65030230750517692</v>
      </c>
      <c r="BN75" s="72">
        <f>IF(ISERROR(BM75/BE75),"NA",IF(OR(BM75/BE75&gt;2,BM75/BE75&lt;0.5),"NM",BM75/BE75*100-100))</f>
        <v>-20.446351048533344</v>
      </c>
      <c r="BO75" s="73">
        <f>BO68/(BO57+BO39)*400</f>
        <v>0.79391006872746328</v>
      </c>
      <c r="BP75" s="72">
        <f>IF(ISERROR(BO75/BG75),"NA",IF(OR(BO75/BG75&gt;2,BO75/BG75&lt;0.5),"NM",BO75/BG75*100-100))</f>
        <v>3.5586020360865831</v>
      </c>
      <c r="BQ75" s="73">
        <f>BQ68/(BQ57+BQ39)*400</f>
        <v>0.88935457902605453</v>
      </c>
      <c r="BR75" s="72">
        <f>IF(ISERROR(BQ75/BI75),"NA",IF(OR(BQ75/BI75&gt;2,BQ75/BI75&lt;0.5),"NM",BQ75/BI75*100-100))</f>
        <v>21.569663173184807</v>
      </c>
      <c r="BS75" s="73">
        <f>BS68/(BS57+BS39)*400</f>
        <v>1.0708214539078289</v>
      </c>
      <c r="BT75" s="72">
        <f>IF(ISERROR(BS75/BK75),"NA",IF(OR(BS75/BK75&gt;2,BS75/BK75&lt;0.5),"NM",BS75/BK75*100-100))</f>
        <v>55.506141607213721</v>
      </c>
      <c r="BU75" s="73">
        <f>BU68/(BU57+BU39)*400</f>
        <v>1.5748148478298012</v>
      </c>
      <c r="BV75" s="72" t="str">
        <f>IF(ISERROR(BU75/BM75),"NA",IF(OR(BU75/BM75&gt;2,BU75/BM75&lt;0.5),"NM",BU75/BM75*100-100))</f>
        <v>NM</v>
      </c>
      <c r="BW75" s="73">
        <f>BW68/(BW57+BW39)*400</f>
        <v>1.7605435838948815</v>
      </c>
      <c r="BX75" s="72" t="str">
        <f>IF(ISERROR(BW75/BO75),"NA",IF(OR(BW75/BO75&gt;2,BW75/BO75&lt;0.5),"NM",BW75/BO75*100-100))</f>
        <v>NM</v>
      </c>
      <c r="BY75" s="73">
        <f>BY68/(BY57+BY39)*400</f>
        <v>1.5502798687512063</v>
      </c>
      <c r="BZ75" s="72">
        <f>IF(ISERROR(BY75/BQ75),"NA",IF(OR(BY75/BQ75&gt;2,BY75/BQ75&lt;0.5),"NM",BY75/BQ75*100-100))</f>
        <v>74.315161276725064</v>
      </c>
      <c r="CA75" s="73">
        <f>CA68/(CA57+CA39)*400</f>
        <v>1.283096830315881</v>
      </c>
      <c r="CB75" s="72">
        <f>IF(ISERROR(CA75/BS75),"NA",IF(OR(CA75/BS75&gt;2,CA75/BS75&lt;0.5),"NM",CA75/BS75*100-100))</f>
        <v>19.82360137008645</v>
      </c>
      <c r="CC75" s="73">
        <f>CC68/(CC57+CC39)*400</f>
        <v>1.0712859731564237</v>
      </c>
      <c r="CD75" s="72">
        <f>IF(ISERROR(CC75/BU75),"NA",IF(OR(CC75/BU75&gt;2,CC75/BU75&lt;0.5),"NM",CC75/BU75*100-100))</f>
        <v>-31.973846028139334</v>
      </c>
      <c r="CE75" s="73">
        <f>CE68/(CE57+CE39)*400</f>
        <v>1.0353055364581225</v>
      </c>
      <c r="CF75" s="72">
        <f>IF(ISERROR(CE75/BW75),"NA",IF(OR(CE75/BW75&gt;2,CE75/BW75&lt;0.5),"NM",CE75/BW75*100-100))</f>
        <v>-41.193984293890765</v>
      </c>
      <c r="CG75" s="73">
        <f>CG68/(CG57+CG39)*400</f>
        <v>0.97916442369260592</v>
      </c>
      <c r="CH75" s="72">
        <f>IF(ISERROR(CG75/BY75),"NA",IF(OR(CG75/BY75&gt;2,CG75/BY75&lt;0.5),"NM",CG75/BY75*100-100))</f>
        <v>-36.83950598666096</v>
      </c>
      <c r="CI75" s="73">
        <f>CI68/(CI57+CI39)*400</f>
        <v>0.9536090852938307</v>
      </c>
      <c r="CJ75" s="72">
        <f>IF(ISERROR(CI75/CA75),"NA",IF(OR(CI75/CA75&gt;2,CI75/CA75&lt;0.5),"NM",CI75/CA75*100-100))</f>
        <v>-25.67910209402784</v>
      </c>
      <c r="CK75" s="73">
        <f>CK68/(CK57+CK39)*400</f>
        <v>0.85747438393612208</v>
      </c>
      <c r="CL75" s="72">
        <f>IF(ISERROR(CK75/CC75),"NA",IF(OR(CK75/CC75&gt;2,CK75/CC75&lt;0.5),"NM",CK75/CC75*100-100))</f>
        <v>-19.958404625641634</v>
      </c>
      <c r="CM75" s="73">
        <f>CM68/(CM57+CM39)*400</f>
        <v>0.73092570285688307</v>
      </c>
      <c r="CN75" s="72">
        <f>IF(ISERROR(CM75/CE75),"NA",IF(OR(CM75/CE75&gt;2,CM75/CE75&lt;0.5),"NM",CM75/CE75*100-100))</f>
        <v>-29.400000568194713</v>
      </c>
      <c r="CO75" s="73">
        <f>CO68/(CO57+CO39)*400</f>
        <v>0.68570334628454077</v>
      </c>
      <c r="CP75" s="72">
        <f>IF(ISERROR(CO75/CG75),"NA",IF(OR(CO75/CG75&gt;2,CO75/CG75&lt;0.5),"NM",CO75/CG75*100-100))</f>
        <v>-29.970561665360592</v>
      </c>
      <c r="CQ75" s="73">
        <f>CQ68/(CQ57+CQ39)*400</f>
        <v>0.70044361428904978</v>
      </c>
      <c r="CR75" s="72">
        <f>IF(ISERROR(CQ75/CI75),"NA",IF(OR(CQ75/CI75&gt;2,CQ75/CI75&lt;0.5),"NM",CQ75/CI75*100-100))</f>
        <v>-26.548139579309307</v>
      </c>
      <c r="CS75" s="73">
        <f>CS68/(CS57+CS39)*400</f>
        <v>0.71563498982853824</v>
      </c>
      <c r="CT75" s="72">
        <f>IF(ISERROR(CS75/CK75),"NA",IF(OR(CS75/CK75&gt;2,CS75/CK75&lt;0.5),"NM",CS75/CK75*100-100))</f>
        <v>-16.541531358230074</v>
      </c>
      <c r="CU75" s="73">
        <f>CU68/(CU57+CU39)*400</f>
        <v>0.66333037303915576</v>
      </c>
      <c r="CV75" s="72">
        <f>IF(ISERROR(CU75/CM75),"NA",IF(OR(CU75/CM75&gt;2,CU75/CM75&lt;0.5),"NM",CU75/CM75*100-100))</f>
        <v>-9.2479070791361409</v>
      </c>
      <c r="CW75" s="73">
        <f>CW68/(CW57+CW39)*400</f>
        <v>0.61576156164869356</v>
      </c>
      <c r="CX75" s="72">
        <f>IF(ISERROR(CW75/CO75),"NA",IF(OR(CW75/CO75&gt;2,CW75/CO75&lt;0.5),"NM",CW75/CO75*100-100))</f>
        <v>-10.200006316845943</v>
      </c>
      <c r="CY75" s="73">
        <f>CY68/(CY57+CY39)*400</f>
        <v>0.61370955494374979</v>
      </c>
      <c r="CZ75" s="72">
        <f>IF(ISERROR(CY75/CQ75),"NA",IF(OR(CY75/CQ75&gt;2,CY75/CQ75&lt;0.5),"NM",CY75/CQ75*100-100))</f>
        <v>-12.38273253919732</v>
      </c>
      <c r="DA75" s="73">
        <f>DA68/(DA57+DA39)*400</f>
        <v>0.55214197510138152</v>
      </c>
      <c r="DB75" s="72">
        <f>IF(ISERROR(DA75/CS75),"NA",IF(OR(DA75/CS75&gt;2,DA75/CS75&lt;0.5),"NM",DA75/CS75*100-100))</f>
        <v>-22.845866545224212</v>
      </c>
      <c r="DC75" s="73">
        <f>DC68/(DC57+DC39)*400</f>
        <v>0.50631090654104782</v>
      </c>
      <c r="DD75" s="72">
        <f>IF(ISERROR(DC75/CU75),"NA",IF(OR(DC75/CU75&gt;2,DC75/CU75&lt;0.5),"NM",DC75/CU75*100-100))</f>
        <v>-23.67138199607804</v>
      </c>
      <c r="DE75" s="73">
        <f>DE68/(DE57+DE39)*400</f>
        <v>0.50946091435567975</v>
      </c>
      <c r="DF75" s="72">
        <f>IF(ISERROR(DE75/CW75),"NA",IF(OR(DE75/CW75&gt;2,DE75/CW75&lt;0.5),"NM",DE75/CW75*100-100))</f>
        <v>-17.263280775174593</v>
      </c>
      <c r="DG75" s="73">
        <f>DG68/(DG57+DG39)*400</f>
        <v>0.46805976763186685</v>
      </c>
      <c r="DH75" s="72">
        <f>IF(ISERROR(DG75/CY75),"NA",IF(OR(DG75/CY75&gt;2,DG75/CY75&lt;0.5),"NM",DG75/CY75*100-100))</f>
        <v>-23.732690185218416</v>
      </c>
      <c r="DI75" s="73">
        <f>DI68/(DI57+DI39)*400</f>
        <v>0.44309129139885511</v>
      </c>
      <c r="DJ75" s="72">
        <f>IF(ISERROR(DI75/DA75),"NA",IF(OR(DI75/DA75&gt;2,DI75/DA75&lt;0.5),"NM",DI75/DA75*100-100))</f>
        <v>-19.750478793521012</v>
      </c>
      <c r="DK75" s="73">
        <f>DK68/(DK57+DK39)*400</f>
        <v>0.42661013005145176</v>
      </c>
      <c r="DL75" s="72">
        <f>IF(ISERROR(DK75/DC75),"NA",IF(OR(DK75/DC75&gt;2,DK75/DC75&lt;0.5),"NM",DK75/DC75*100-100))</f>
        <v>-15.741469413346437</v>
      </c>
      <c r="DM75" s="73">
        <f>DM68/(DM57+DM39)*400</f>
        <v>0.38881335688237761</v>
      </c>
      <c r="DN75" s="72">
        <f t="shared" si="455"/>
        <v>-23.681415801227118</v>
      </c>
      <c r="DO75" s="73">
        <f>DO68/(DO57+DO39)*400</f>
        <v>0.38949009044895688</v>
      </c>
      <c r="DP75" s="72">
        <f t="shared" si="455"/>
        <v>-16.786248811862365</v>
      </c>
      <c r="DQ75" s="73">
        <f>DQ68/(DQ57+DQ39)*400</f>
        <v>0.40070122714750811</v>
      </c>
      <c r="DR75" s="72">
        <f t="shared" si="455"/>
        <v>-9.5668917611808695</v>
      </c>
      <c r="DS75" s="73">
        <f>DS68/(DS57+DS39)*400</f>
        <v>0.37774671582377239</v>
      </c>
      <c r="DT75" s="72">
        <f t="shared" si="455"/>
        <v>-11.453880436872453</v>
      </c>
      <c r="DU75" s="73">
        <f>DU68/(DU57+DU39)*400</f>
        <v>0.35738496671383896</v>
      </c>
      <c r="DV75" s="72">
        <f t="shared" si="455"/>
        <v>-8.0831559956018282</v>
      </c>
      <c r="DW75" s="73">
        <f>DW68/(DW57+DW39)*400</f>
        <v>0.40363138880893162</v>
      </c>
      <c r="DX75" s="72">
        <f t="shared" si="455"/>
        <v>3.6307209622905532</v>
      </c>
      <c r="DY75" s="73">
        <f>DY68/(DY57+DY39)*400</f>
        <v>0.4037445326261207</v>
      </c>
      <c r="DZ75" s="72">
        <f t="shared" si="455"/>
        <v>0.75949492350626713</v>
      </c>
      <c r="EA75" s="73">
        <f>EA68/(EA57+EA39)*400</f>
        <v>0.4441840342739023</v>
      </c>
      <c r="EB75" s="72">
        <f>IF(ISERROR(EA75/DS75),"NA",IF(OR(EA75/DS75&gt;2,EA75/DS75&lt;0.5),"NM",EA75/DS75*100-100))</f>
        <v>17.587795119607193</v>
      </c>
      <c r="EC75" s="73">
        <f>EC68/(EC57+EC39)*400</f>
        <v>0.41898441820370191</v>
      </c>
      <c r="ED75" s="72">
        <f>IF(ISERROR(EC75/DU75),"NA",IF(OR(EC75/DU75&gt;2,EC75/DU75&lt;0.5),"NM",EC75/DU75*100-100))</f>
        <v>17.236161905821334</v>
      </c>
      <c r="EE75" s="73">
        <f>EE68/(EE57+EE39)*400</f>
        <v>0.49063293565234056</v>
      </c>
      <c r="EF75" s="72">
        <f>IF(ISERROR(EE75/DW75),"NA",IF(OR(EE75/DW75&gt;2,EE75/DW75&lt;0.5),"NM",EE75/DW75*100-100))</f>
        <v>21.554702943232499</v>
      </c>
      <c r="EG75" s="73">
        <f>EG68/(EG57+EG39)*400</f>
        <v>0.46704804693325208</v>
      </c>
      <c r="EH75" s="72">
        <f>IF(ISERROR(EG75/DY75),"NA",IF(OR(EG75/DY75&gt;2,EG75/DY75&lt;0.5),"NM",EG75/DY75*100-100))</f>
        <v>15.679101310766796</v>
      </c>
      <c r="EI75" s="73">
        <f>EI68/(EI57+EI39)*400</f>
        <v>0.47934103222307017</v>
      </c>
      <c r="EJ75" s="72">
        <f>IF(ISERROR(EI75/EA75),"NA",IF(OR(EI75/EA75&gt;2,EI75/EA75&lt;0.5),"NM",EI75/EA75*100-100))</f>
        <v>7.9149620959785665</v>
      </c>
      <c r="EK75" s="73">
        <f>EK68/(EK57+EK39)*400</f>
        <v>0.45570921294189393</v>
      </c>
      <c r="EL75" s="72">
        <f>IF(ISERROR(EK75/EC75),"NA",IF(OR(EK75/EC75&gt;2,EK75/EC75&lt;0.5),"NM",EK75/EC75*100-100))</f>
        <v>8.7651934398040368</v>
      </c>
      <c r="EM75" s="73">
        <f>EM68/(EM57+EM39)*400</f>
        <v>0.44350490718685087</v>
      </c>
      <c r="EN75" s="72">
        <f>IF(ISERROR(EM75/EE75),"NA",IF(OR(EM75/EE75&gt;2,EM75/EE75&lt;0.5),"NM",EM75/EE75*100-100))</f>
        <v>-9.6055574424144083</v>
      </c>
      <c r="EO75" s="73">
        <f>EO68/(EO57+EO39)*400</f>
        <v>0.44520773368918037</v>
      </c>
      <c r="EP75" s="72">
        <f>IF(ISERROR(EO75/EG75),"NA",IF(OR(EO75/EG75&gt;2,EO75/EG75&lt;0.5),"NM",EO75/EG75*100-100))</f>
        <v>-4.6762454928310717</v>
      </c>
      <c r="EQ75" s="71">
        <v>0.44</v>
      </c>
      <c r="ER75" s="72">
        <f t="shared" si="456"/>
        <v>-8.2073157894736823</v>
      </c>
      <c r="ES75" s="71">
        <f t="shared" ref="ES75" si="461">EQ75</f>
        <v>0.44</v>
      </c>
      <c r="ET75" s="72">
        <f t="shared" si="457"/>
        <v>-3.4472010869565111</v>
      </c>
      <c r="EU75" s="71">
        <f t="shared" ref="EU75" si="462">ES75</f>
        <v>0.44</v>
      </c>
      <c r="EV75" s="72">
        <f t="shared" si="458"/>
        <v>-0.79027472527474174</v>
      </c>
      <c r="EW75" s="71">
        <f t="shared" ref="EW75" si="463">EU75</f>
        <v>0.44</v>
      </c>
      <c r="EX75" s="72">
        <f t="shared" si="459"/>
        <v>-1.1697311827957009</v>
      </c>
      <c r="EY75" s="72"/>
      <c r="EZ75" s="309"/>
      <c r="FA75" s="72"/>
      <c r="FB75" s="81">
        <f>FB68/FB57*100</f>
        <v>15.978198508318991</v>
      </c>
      <c r="FC75" s="82"/>
      <c r="FD75" s="81">
        <f>FD68/FD57*100</f>
        <v>15.217738076248205</v>
      </c>
      <c r="FE75" s="72">
        <f>IF(ISERROR(FD75/FB75),"NA",IF(OR(FD75/FB75&gt;2,FD75/FB75&lt;0.5),"NM",FD75/FB75*100-100))</f>
        <v>-4.7593627759403176</v>
      </c>
      <c r="FF75" s="81">
        <f>FF68/FF57*100</f>
        <v>15.842583249243189</v>
      </c>
      <c r="FG75" s="72">
        <f>IF(ISERROR(FF75/FD75),"NA",IF(OR(FF75/FD75&gt;2,FF75/FD75&lt;0.5),"NM",FF75/FD75*100-100))</f>
        <v>4.1060318548276342</v>
      </c>
      <c r="FH75" s="81">
        <f>FH68/FH57*100</f>
        <v>14.912726656498897</v>
      </c>
      <c r="FI75" s="72">
        <f>IF(ISERROR(FH75/FF75),"NA",IF(OR(FH75/FF75&gt;2,FH75/FF75&lt;0.5),"NM",FH75/FF75*100-100))</f>
        <v>-5.8693495758572851</v>
      </c>
      <c r="FJ75" s="81">
        <f>FJ68/FJ57*100</f>
        <v>13.027782137811961</v>
      </c>
      <c r="FK75" s="72">
        <f>IF(ISERROR(FJ75/FH75),"NA",IF(OR(FJ75/FH75&gt;2,FJ75/FH75&lt;0.5),"NM",FJ75/FH75*100-100))</f>
        <v>-12.639838187240471</v>
      </c>
      <c r="FL75" s="81">
        <f>FL68/FL57*100</f>
        <v>13.05354558610709</v>
      </c>
      <c r="FM75" s="72">
        <f>IF(ISERROR(FL75/FJ75),"NA",IF(OR(FL75/FJ75&gt;2,FL75/FJ75&lt;0.5),"NM",FL75/FJ75*100-100))</f>
        <v>0.1977577458894757</v>
      </c>
      <c r="FN75" s="81">
        <f>FN68/FN57*100</f>
        <v>15.961044231029353</v>
      </c>
      <c r="FO75" s="72">
        <f>IF(ISERROR(FN75/FL75),"NA",IF(OR(FN75/FL75&gt;2,FN75/FL75&lt;0.5),"NM",FN75/FL75*100-100))</f>
        <v>22.273631525956588</v>
      </c>
      <c r="FP75" s="81">
        <f>FP68/FP57*100</f>
        <v>15.679796696315121</v>
      </c>
      <c r="FQ75" s="72">
        <f>IF(ISERROR(FP75/FN75),"NA",IF(OR(FP75/FN75&gt;2,FP75/FN75&lt;0.5),"NM",FP75/FN75*100-100))</f>
        <v>-1.7620873085951843</v>
      </c>
      <c r="FR75" s="81">
        <f>FR68/FR57*100</f>
        <v>15.971055691949864</v>
      </c>
      <c r="FS75" s="72">
        <f>IF(ISERROR(FR75/FP75),"NA",IF(OR(FR75/FP75&gt;2,FR75/FP75&lt;0.5),"NM",FR75/FP75*100-100))</f>
        <v>1.857543189339907</v>
      </c>
      <c r="FT75" s="73">
        <f>FT68/(FT57+FT39)*100</f>
        <v>0.71551495487938022</v>
      </c>
      <c r="FU75" s="72" t="str">
        <f>IF(ISERROR(FT75/FR75),"NA",IF(OR(FT75/FR75&gt;2,FT75/FR75&lt;0.5),"NM",FT75/FR75*100-100))</f>
        <v>NM</v>
      </c>
      <c r="FV75" s="73">
        <f>FV68/(FV57+FV39)*100</f>
        <v>1.0617595678638558</v>
      </c>
      <c r="FW75" s="72">
        <f>IF(ISERROR(FV75/FT75),"NA",IF(OR(FV75/FT75&gt;2,FV75/FT75&lt;0.5),"NM",FV75/FT75*100-100))</f>
        <v>48.390968018669099</v>
      </c>
      <c r="FX75" s="73">
        <f>FX68/(FX57+FX39)*100</f>
        <v>1.3866413605798682</v>
      </c>
      <c r="FY75" s="72">
        <f>IF(ISERROR(FX75/FV75),"NA",IF(OR(FX75/FV75&gt;2,FX75/FV75&lt;0.5),"NM",FX75/FV75*100-100))</f>
        <v>30.598433256376381</v>
      </c>
      <c r="FZ75" s="73">
        <f>FZ68/(FZ57+FZ39)*100</f>
        <v>0.95341901978643095</v>
      </c>
      <c r="GA75" s="72">
        <f>IF(ISERROR(FZ75/FX75),"NA",IF(OR(FZ75/FX75&gt;2,FZ75/FX75&lt;0.5),"NM",FZ75/FX75*100-100))</f>
        <v>-31.242565894058686</v>
      </c>
      <c r="GB75" s="73">
        <f>GB68/(GB57+GB39)*100</f>
        <v>0.70795905039391427</v>
      </c>
      <c r="GC75" s="72">
        <f>IF(ISERROR(GB75/FZ75),"NA",IF(OR(GB75/FZ75&gt;2,GB75/FZ75&lt;0.5),"NM",GB75/FZ75*100-100))</f>
        <v>-25.745235232196279</v>
      </c>
      <c r="GD75" s="73">
        <f>GD68/(GD57+GD39)*100</f>
        <v>0.60956482415143332</v>
      </c>
      <c r="GE75" s="72">
        <f>IF(ISERROR(GD75/GB75),"NA",IF(OR(GD75/GB75&gt;2,GD75/GB75&lt;0.5),"NM",GD75/GB75*100-100))</f>
        <v>-13.89829343769722</v>
      </c>
      <c r="GF75" s="73">
        <f>GF68/(GF57+GF39)*100</f>
        <v>0.48095149278008875</v>
      </c>
      <c r="GG75" s="72">
        <f>IF(ISERROR(GF75/GD75),"NA",IF(OR(GF75/GD75&gt;2,GF75/GD75&lt;0.5),"NM",GF75/GD75*100-100))</f>
        <v>-21.099204920557113</v>
      </c>
      <c r="GH75" s="73">
        <f>GH68/(GH57+GH39)*100</f>
        <v>0.4012962505872143</v>
      </c>
      <c r="GI75" s="72">
        <f t="shared" si="460"/>
        <v>-16.562011634985438</v>
      </c>
      <c r="GJ75" s="73">
        <f>GJ68/(GJ57+GJ39)*100</f>
        <v>0.38524628130325689</v>
      </c>
      <c r="GK75" s="72">
        <f t="shared" si="460"/>
        <v>-3.9995313338890242</v>
      </c>
      <c r="GL75" s="73">
        <f>GL68/(GL57+GL39)*100</f>
        <v>0.45558759336424925</v>
      </c>
      <c r="GM75" s="72">
        <f t="shared" si="460"/>
        <v>18.258790668409162</v>
      </c>
      <c r="GN75" s="73">
        <f>GN68/(GN57+GN39)*100</f>
        <v>0.45571447215888589</v>
      </c>
      <c r="GO75" s="72">
        <f t="shared" si="460"/>
        <v>2.7849484157300708E-2</v>
      </c>
      <c r="GP75" s="73">
        <f>GP68/(GP57+GP39)*100</f>
        <v>0.43999791029160878</v>
      </c>
      <c r="GQ75" s="72">
        <f t="shared" si="460"/>
        <v>-3.4487739203940606</v>
      </c>
      <c r="GR75" s="71">
        <f>GP75</f>
        <v>0.43999791029160878</v>
      </c>
      <c r="GS75" s="72">
        <f t="shared" si="460"/>
        <v>0</v>
      </c>
      <c r="GT75" s="71">
        <f>GR75-0.005</f>
        <v>0.43499791029160878</v>
      </c>
      <c r="GU75" s="72">
        <f t="shared" si="460"/>
        <v>-1.1363690333634224</v>
      </c>
      <c r="GV75" s="71">
        <f>GT75-0.005</f>
        <v>0.42999791029160878</v>
      </c>
      <c r="GW75" s="72">
        <f>IF(ISERROR(GV75/GT75),"NA",IF(OR(GV75/GT75&gt;2,GV75/GT75&lt;0.5),"NM",GV75/GT75*100-100))</f>
        <v>-1.1494308091384084</v>
      </c>
      <c r="GX75" s="71">
        <f>GV75-0.005</f>
        <v>0.42499791029160877</v>
      </c>
      <c r="GY75" s="72">
        <f>IF(ISERROR(GX75/GV75),"NA",IF(OR(GX75/GV75&gt;2,GX75/GV75&lt;0.5),"NM",GX75/GV75*100-100))</f>
        <v>-1.1627963486169506</v>
      </c>
      <c r="GZ75" s="72">
        <f>IF(ISERROR(((GX75/GN75)^0.2-1)*100),"NA",IF((((GX75/GN75)^0.2-1)*100)&gt;100,"NM",IF((((GX75/GN75)^0.2-1)*100)&lt;-50,"NM",((GX75/GN75)^0.2-1)*100)))</f>
        <v>-1.3859501161377463</v>
      </c>
      <c r="HA75" s="72"/>
      <c r="HB75" s="72"/>
      <c r="HC75"/>
      <c r="HD75"/>
      <c r="HE75"/>
      <c r="HF75"/>
      <c r="HG75"/>
      <c r="HH75"/>
      <c r="HI75" s="111"/>
    </row>
    <row r="76" spans="1:217" s="3" customFormat="1" ht="12.75" customHeight="1" x14ac:dyDescent="0.2">
      <c r="B76" s="10" t="s">
        <v>7</v>
      </c>
      <c r="C76" s="73">
        <f>C69/C57*400</f>
        <v>8.5205525045764681</v>
      </c>
      <c r="D76" s="72"/>
      <c r="E76" s="73">
        <f>E69/E57*400</f>
        <v>8.8978766430738112</v>
      </c>
      <c r="F76" s="72"/>
      <c r="G76" s="73">
        <f>G69/G57*400</f>
        <v>8.9689145574995752</v>
      </c>
      <c r="H76" s="72"/>
      <c r="I76" s="73">
        <f>I69/I57*400</f>
        <v>9.2706203135650984</v>
      </c>
      <c r="J76" s="72"/>
      <c r="K76" s="73">
        <f>K69/K57*400</f>
        <v>9.3551160791057608</v>
      </c>
      <c r="L76" s="72">
        <f>IF(ISERROR(K76/C76),"NA",IF(OR(K76/C76&gt;2,K76/C76&lt;0.5),"NM",K76/C76*100-100))</f>
        <v>9.7947119518486687</v>
      </c>
      <c r="M76" s="73">
        <f>M69/M57*400</f>
        <v>9.0262107273042869</v>
      </c>
      <c r="N76" s="72">
        <f>IF(ISERROR(M76/E76),"NA",IF(OR(M76/E76&gt;2,M76/E76&lt;0.5),"NM",M76/E76*100-100))</f>
        <v>1.4423001057265878</v>
      </c>
      <c r="O76" s="73">
        <f>O69/O57*400</f>
        <v>8.7850793097437681</v>
      </c>
      <c r="P76" s="72">
        <f>IF(ISERROR(O76/G76),"NA",IF(OR(O76/G76&gt;2,O76/G76&lt;0.5),"NM",O76/G76*100-100))</f>
        <v>-2.0496933779137123</v>
      </c>
      <c r="Q76" s="73">
        <f>Q69/Q57*400</f>
        <v>8.6301369863013697</v>
      </c>
      <c r="R76" s="72">
        <f>IF(ISERROR(Q76/I76),"NA",IF(OR(Q76/I76&gt;2,Q76/I76&lt;0.5),"NM",Q76/I76*100-100))</f>
        <v>-6.9087429492344796</v>
      </c>
      <c r="S76" s="73">
        <f>S69/S57*400</f>
        <v>8.1577158395649221</v>
      </c>
      <c r="T76" s="72">
        <f>IF(ISERROR(S76/K76),"NA",IF(OR(S76/K76&gt;2,S76/K76&lt;0.5),"NM",S76/K76*100-100))</f>
        <v>-12.79941616347422</v>
      </c>
      <c r="U76" s="73">
        <f>U69/U57*400</f>
        <v>8.0577471881819704</v>
      </c>
      <c r="V76" s="72">
        <f>IF(ISERROR(U76/M76),"NA",IF(OR(U76/M76&gt;2,U76/M76&lt;0.5),"NM",U76/M76*100-100))</f>
        <v>-10.729458555545506</v>
      </c>
      <c r="W76" s="73">
        <f>W69/W57*400</f>
        <v>8.3703233988585914</v>
      </c>
      <c r="X76" s="72">
        <f>IF(ISERROR(W76/O76),"NA",IF(OR(W76/O76&gt;2,W76/O76&lt;0.5),"NM",W76/O76*100-100))</f>
        <v>-4.7211401998973344</v>
      </c>
      <c r="Y76" s="73">
        <f>Y69/Y57*400</f>
        <v>8.2932692307692299</v>
      </c>
      <c r="Z76" s="72">
        <f>IF(ISERROR(Y76/Q76),"NA",IF(OR(Y76/Q76&gt;2,Y76/Q76&lt;0.5),"NM",Y76/Q76*100-100))</f>
        <v>-3.9033882783882916</v>
      </c>
      <c r="AA76" s="73">
        <f>AA69/AA57*400</f>
        <v>7.1043820061144274</v>
      </c>
      <c r="AB76" s="72">
        <f>IF(ISERROR(AA76/S76),"NA",IF(OR(AA76/S76&gt;2,AA76/S76&lt;0.5),"NM",AA76/S76*100-100))</f>
        <v>-12.912117241713986</v>
      </c>
      <c r="AC76" s="73">
        <f>AC69/AC57*400</f>
        <v>7.5742361210730165</v>
      </c>
      <c r="AD76" s="72">
        <f>IF(ISERROR(AC76/U76),"NA",IF(OR(AC76/U76&gt;2,AC76/U76&lt;0.5),"NM",AC76/U76*100-100))</f>
        <v>-6.0005738057667486</v>
      </c>
      <c r="AE76" s="73">
        <f>AE69/AE57*400</f>
        <v>7.8621279020082602</v>
      </c>
      <c r="AF76" s="72">
        <f>IF(ISERROR(AE76/W76),"NA",IF(OR(AE76/W76&gt;2,AE76/W76&lt;0.5),"NM",AE76/W76*100-100))</f>
        <v>-6.0713962010073601</v>
      </c>
      <c r="AG76" s="73">
        <f>AG69/AG57*400</f>
        <v>8.1853062384538866</v>
      </c>
      <c r="AH76" s="72">
        <f>IF(ISERROR(AG76/Y76),"NA",IF(OR(AG76/Y76&gt;2,AG76/Y76&lt;0.5),"NM",AG76/Y76*100-100))</f>
        <v>-1.3018146319763133</v>
      </c>
      <c r="AI76" s="73">
        <f>AI69/AI57*400</f>
        <v>10.045146726862303</v>
      </c>
      <c r="AJ76" s="72">
        <f>IF(ISERROR(AI76/AA76),"NA",IF(OR(AI76/AA76&gt;2,AI76/AA76&lt;0.5),"NM",AI76/AA76*100-100))</f>
        <v>41.393673907412193</v>
      </c>
      <c r="AK76" s="73">
        <f>AK69/AK57*400</f>
        <v>9.8684210526315788</v>
      </c>
      <c r="AL76" s="72">
        <f>IF(ISERROR(AK76/AC76),"NA",IF(OR(AK76/AC76&gt;2,AK76/AC76&lt;0.5),"NM",AK76/AC76*100-100))</f>
        <v>30.289324162679407</v>
      </c>
      <c r="AM76" s="73">
        <f>AM69/AM57*400</f>
        <v>9.6016882089158546</v>
      </c>
      <c r="AN76" s="72">
        <f>IF(ISERROR(AM76/AE76),"NA",IF(OR(AM76/AE76&gt;2,AM76/AE76&lt;0.5),"NM",AM76/AE76*100-100))</f>
        <v>22.125820497822858</v>
      </c>
      <c r="AO76" s="73">
        <f>AO69/AO57*400</f>
        <v>9.0967825300426401</v>
      </c>
      <c r="AP76" s="72">
        <f>IF(ISERROR(AO76/AG76),"NA",IF(OR(AO76/AG76&gt;2,AO76/AG76&lt;0.5),"NM",AO76/AG76*100-100))</f>
        <v>11.135518513732734</v>
      </c>
      <c r="AQ76" s="73">
        <f>AQ69/AQ57*400</f>
        <v>8.6620262954369682</v>
      </c>
      <c r="AR76" s="72">
        <f>IF(ISERROR(AQ76/AI76),"NA",IF(OR(AQ76/AI76&gt;2,AQ76/AI76&lt;0.5),"NM",AQ76/AI76*100-100))</f>
        <v>-13.769041598234239</v>
      </c>
      <c r="AS76" s="73">
        <f>AS69/AS57*400</f>
        <v>8.7624323303537714</v>
      </c>
      <c r="AT76" s="72">
        <f>IF(ISERROR(AS76/AK76),"NA",IF(OR(AS76/AK76&gt;2,AS76/AK76&lt;0.5),"NM",AS76/AK76*100-100))</f>
        <v>-11.20735238574845</v>
      </c>
      <c r="AU76" s="73">
        <f>AU69/AU57*400</f>
        <v>8.5957762134123747</v>
      </c>
      <c r="AV76" s="72">
        <f>IF(ISERROR(AU76/AM76),"NA",IF(OR(AU76/AM76&gt;2,AU76/AM76&lt;0.5),"NM",AU76/AM76*100-100))</f>
        <v>-10.476407623499156</v>
      </c>
      <c r="AW76" s="73">
        <f>AW69/AW57*400</f>
        <v>7.8763708873379858</v>
      </c>
      <c r="AX76" s="72">
        <f>IF(ISERROR(AW76/AO76),"NA",IF(OR(AW76/AO76&gt;2,AW76/AO76&lt;0.5),"NM",AW76/AO76*100-100))</f>
        <v>-13.415860373425176</v>
      </c>
      <c r="AY76" s="73">
        <f>AY69/(AY57+AY39)*400</f>
        <v>0.59343468196727167</v>
      </c>
      <c r="AZ76" s="72" t="str">
        <f>IF(ISERROR(AY76/AQ76),"NA",IF(OR(AY76/AQ76&gt;2,AY76/AQ76&lt;0.5),"NM",AY76/AQ76*100-100))</f>
        <v>NM</v>
      </c>
      <c r="BA76" s="73">
        <f>BA69/(BA57+BA39)*400</f>
        <v>0.51155624036979963</v>
      </c>
      <c r="BB76" s="72" t="str">
        <f>IF(ISERROR(BA76/AS76),"NA",IF(OR(BA76/AS76&gt;2,BA76/AS76&lt;0.5),"NM",BA76/AS76*100-100))</f>
        <v>NM</v>
      </c>
      <c r="BC76" s="73">
        <f>BC69/(BC57+BC39)*400</f>
        <v>0.50596067923861077</v>
      </c>
      <c r="BD76" s="72" t="str">
        <f>IF(ISERROR(BC76/AU76),"NA",IF(OR(BC76/AU76&gt;2,BC76/AU76&lt;0.5),"NM",BC76/AU76*100-100))</f>
        <v>NM</v>
      </c>
      <c r="BE76" s="73">
        <f>BE69/(BE57+BE39)*400</f>
        <v>0.50827918675330119</v>
      </c>
      <c r="BF76" s="72" t="str">
        <f>IF(ISERROR(BE76/AW76),"NA",IF(OR(BE76/AW76&gt;2,BE76/AW76&lt;0.5),"NM",BE76/AW76*100-100))</f>
        <v>NM</v>
      </c>
      <c r="BG76" s="73">
        <f>BG69/(BG57+BG39)*400</f>
        <v>0.45185406129222649</v>
      </c>
      <c r="BH76" s="72">
        <f>IF(ISERROR(BG76/AY76),"NA",IF(OR(BG76/AY76&gt;2,BG76/AY76&lt;0.5),"NM",BG76/AY76*100-100))</f>
        <v>-23.857827150529346</v>
      </c>
      <c r="BI76" s="73">
        <f>BI69/(BI57+BI39)*400</f>
        <v>0.45969625446412021</v>
      </c>
      <c r="BJ76" s="72">
        <f>IF(ISERROR(BI76/BA76),"NA",IF(OR(BI76/BA76&gt;2,BI76/BA76&lt;0.5),"NM",BI76/BA76*100-100))</f>
        <v>-10.137690015899381</v>
      </c>
      <c r="BK76" s="73">
        <f>BK69/(BK57+BK39)*400</f>
        <v>0.41603156101497357</v>
      </c>
      <c r="BL76" s="72">
        <f>IF(ISERROR(BK76/BC76),"NA",IF(OR(BK76/BC76&gt;2,BK76/BC76&lt;0.5),"NM",BK76/BC76*100-100))</f>
        <v>-17.773934203536541</v>
      </c>
      <c r="BM76" s="73">
        <f>BM69/(BM57+BM39)*400</f>
        <v>0.42720589544135712</v>
      </c>
      <c r="BN76" s="72">
        <f>IF(ISERROR(BM76/BE76),"NA",IF(OR(BM76/BE76&gt;2,BM76/BE76&lt;0.5),"NM",BM76/BE76*100-100))</f>
        <v>-15.950543210279804</v>
      </c>
      <c r="BO76" s="73">
        <f>BO69/(BO57+BO39)*400</f>
        <v>0.50297408080870343</v>
      </c>
      <c r="BP76" s="72">
        <f>IF(ISERROR(BO76/BG76),"NA",IF(OR(BO76/BG76&gt;2,BO76/BG76&lt;0.5),"NM",BO76/BG76*100-100))</f>
        <v>11.313391622569966</v>
      </c>
      <c r="BQ76" s="73">
        <f>BQ69/(BQ57+BQ39)*400</f>
        <v>0.57245811983286266</v>
      </c>
      <c r="BR76" s="72">
        <f>IF(ISERROR(BQ76/BI76),"NA",IF(OR(BQ76/BI76&gt;2,BQ76/BI76&lt;0.5),"NM",BQ76/BI76*100-100))</f>
        <v>24.529646320523497</v>
      </c>
      <c r="BS76" s="73">
        <f>BS69/(BS57+BS39)*400</f>
        <v>0.75492912500501941</v>
      </c>
      <c r="BT76" s="72">
        <f>IF(ISERROR(BS76/BK76),"NA",IF(OR(BS76/BK76&gt;2,BS76/BK76&lt;0.5),"NM",BS76/BK76*100-100))</f>
        <v>81.459580413383208</v>
      </c>
      <c r="BU76" s="73">
        <f>BU69/(BU57+BU39)*400</f>
        <v>0.93300351361991996</v>
      </c>
      <c r="BV76" s="72" t="str">
        <f>IF(ISERROR(BU76/BM76),"NA",IF(OR(BU76/BM76&gt;2,BU76/BM76&lt;0.5),"NM",BU76/BM76*100-100))</f>
        <v>NM</v>
      </c>
      <c r="BW76" s="73">
        <f>BW69/(BW57+BW39)*400</f>
        <v>1.1180094291887204</v>
      </c>
      <c r="BX76" s="72" t="str">
        <f>IF(ISERROR(BW76/BO76),"NA",IF(OR(BW76/BO76&gt;2,BW76/BO76&lt;0.5),"NM",BW76/BO76*100-100))</f>
        <v>NM</v>
      </c>
      <c r="BY76" s="73">
        <f>BY69/(BY57+BY39)*400</f>
        <v>0.85234510712217715</v>
      </c>
      <c r="BZ76" s="72">
        <f>IF(ISERROR(BY76/BQ76),"NA",IF(OR(BY76/BQ76&gt;2,BY76/BQ76&lt;0.5),"NM",BY76/BQ76*100-100))</f>
        <v>48.892133344362634</v>
      </c>
      <c r="CA76" s="73">
        <f>CA69/(CA57+CA39)*400</f>
        <v>0.8427119012667863</v>
      </c>
      <c r="CB76" s="72">
        <f>IF(ISERROR(CA76/BS76),"NA",IF(OR(CA76/BS76&gt;2,CA76/BS76&lt;0.5),"NM",CA76/BS76*100-100))</f>
        <v>11.627949347057353</v>
      </c>
      <c r="CC76" s="73">
        <f>CC69/(CC57+CC39)*400</f>
        <v>0.74203753186522925</v>
      </c>
      <c r="CD76" s="72">
        <f>IF(ISERROR(CC76/BU76),"NA",IF(OR(CC76/BU76&gt;2,CC76/BU76&lt;0.5),"NM",CC76/BU76*100-100))</f>
        <v>-20.467873804008534</v>
      </c>
      <c r="CE76" s="73">
        <f>CE69/(CE57+CE39)*400</f>
        <v>0.725638255463952</v>
      </c>
      <c r="CF76" s="72">
        <f>IF(ISERROR(CE76/BW76),"NA",IF(OR(CE76/BW76&gt;2,CE76/BW76&lt;0.5),"NM",CE76/BW76*100-100))</f>
        <v>-35.095515608440891</v>
      </c>
      <c r="CG76" s="73">
        <f>CG69/(CG57+CG39)*400</f>
        <v>0.82503669033358462</v>
      </c>
      <c r="CH76" s="72">
        <f>IF(ISERROR(CG76/BY76),"NA",IF(OR(CG76/BY76&gt;2,CG76/BY76&lt;0.5),"NM",CG76/BY76*100-100))</f>
        <v>-3.2039154751290226</v>
      </c>
      <c r="CI76" s="73">
        <f>CI69/(CI57+CI39)*400</f>
        <v>0.4247895016308883</v>
      </c>
      <c r="CJ76" s="72">
        <f>IF(ISERROR(CI76/CA76),"NA",IF(OR(CI76/CA76&gt;2,CI76/CA76&lt;0.5),"NM",CI76/CA76*100-100))</f>
        <v>-49.592559332277887</v>
      </c>
      <c r="CK76" s="73">
        <f>CK69/(CK57+CK39)*400</f>
        <v>0.56640509764587887</v>
      </c>
      <c r="CL76" s="72">
        <f>IF(ISERROR(CK76/CC76),"NA",IF(OR(CK76/CC76&gt;2,CK76/CC76&lt;0.5),"NM",CK76/CC76*100-100))</f>
        <v>-23.668942159552273</v>
      </c>
      <c r="CM76" s="73">
        <f>CM69/(CM57+CM39)*400</f>
        <v>0.49455669447032891</v>
      </c>
      <c r="CN76" s="72">
        <f>IF(ISERROR(CM76/CE76),"NA",IF(OR(CM76/CE76&gt;2,CM76/CE76&lt;0.5),"NM",CM76/CE76*100-100))</f>
        <v>-31.845283686962773</v>
      </c>
      <c r="CO76" s="73">
        <f>CO69/(CO57+CO39)*400</f>
        <v>0.47337895987156114</v>
      </c>
      <c r="CP76" s="72">
        <f>IF(ISERROR(CO76/CG76),"NA",IF(OR(CO76/CG76&gt;2,CO76/CG76&lt;0.5),"NM",CO76/CG76*100-100))</f>
        <v>-42.623283859029193</v>
      </c>
      <c r="CQ76" s="73">
        <f>CQ69/(CQ57+CQ39)*400</f>
        <v>0.65374737333644639</v>
      </c>
      <c r="CR76" s="72">
        <f>IF(ISERROR(CQ76/CI76),"NA",IF(OR(CQ76/CI76&gt;2,CQ76/CI76&lt;0.5),"NM",CQ76/CI76*100-100))</f>
        <v>53.899136119542362</v>
      </c>
      <c r="CS76" s="73">
        <f>CS69/(CS57+CS39)*400</f>
        <v>0.42138913106655046</v>
      </c>
      <c r="CT76" s="72">
        <f>IF(ISERROR(CS76/CK76),"NA",IF(OR(CS76/CK76&gt;2,CS76/CK76&lt;0.5),"NM",CS76/CK76*100-100))</f>
        <v>-25.60287101617746</v>
      </c>
      <c r="CU76" s="73">
        <f>CU69/(CU57+CU39)*400</f>
        <v>0.39395763271868645</v>
      </c>
      <c r="CV76" s="72">
        <f>IF(ISERROR(CU76/CM76),"NA",IF(OR(CU76/CM76&gt;2,CU76/CM76&lt;0.5),"NM",CU76/CM76*100-100))</f>
        <v>-20.341259733504216</v>
      </c>
      <c r="CW76" s="73">
        <f>CW69/(CW57+CW39)*400</f>
        <v>0.45779131808436901</v>
      </c>
      <c r="CX76" s="72">
        <f>IF(ISERROR(CW76/CO76),"NA",IF(OR(CW76/CO76&gt;2,CW76/CO76&lt;0.5),"NM",CW76/CO76*100-100))</f>
        <v>-3.2928463469144162</v>
      </c>
      <c r="CY76" s="73">
        <f>CY69/(CY57+CY39)*400</f>
        <v>0.22429993886269026</v>
      </c>
      <c r="CZ76" s="72" t="str">
        <f>IF(ISERROR(CY76/CQ76),"NA",IF(OR(CY76/CQ76&gt;2,CY76/CQ76&lt;0.5),"NM",CY76/CQ76*100-100))</f>
        <v>NM</v>
      </c>
      <c r="DA76" s="73">
        <f>DA69/(DA57+DA39)*400</f>
        <v>0.36113069722847113</v>
      </c>
      <c r="DB76" s="72">
        <f>IF(ISERROR(DA76/CS76),"NA",IF(OR(DA76/CS76&gt;2,DA76/CS76&lt;0.5),"NM",DA76/CS76*100-100))</f>
        <v>-14.299949712884896</v>
      </c>
      <c r="DC76" s="73">
        <f>DC69/(DC57+DC39)*400</f>
        <v>0.3394584487036571</v>
      </c>
      <c r="DD76" s="72">
        <f>IF(ISERROR(DC76/CU76),"NA",IF(OR(DC76/CU76&gt;2,DC76/CU76&lt;0.5),"NM",DC76/CU76*100-100))</f>
        <v>-13.83376776810556</v>
      </c>
      <c r="DE76" s="73">
        <f>DE69/(DE57+DE39)*400</f>
        <v>0.3180612338242641</v>
      </c>
      <c r="DF76" s="72">
        <f>IF(ISERROR(DE76/CW76),"NA",IF(OR(DE76/CW76&gt;2,DE76/CW76&lt;0.5),"NM",DE76/CW76*100-100))</f>
        <v>-30.522659286070876</v>
      </c>
      <c r="DG76" s="73">
        <f>DG69/(DG57+DG39)*400</f>
        <v>0.14955755888828881</v>
      </c>
      <c r="DH76" s="72">
        <f>IF(ISERROR(DG76/CY76),"NA",IF(OR(DG76/CY76&gt;2,DG76/CY76&lt;0.5),"NM",DG76/CY76*100-100))</f>
        <v>-33.32251464417763</v>
      </c>
      <c r="DI76" s="73">
        <f>DI69/(DI57+DI39)*400</f>
        <v>0.25471116152269518</v>
      </c>
      <c r="DJ76" s="72">
        <f>IF(ISERROR(DI76/DA76),"NA",IF(OR(DI76/DA76&gt;2,DI76/DA76&lt;0.5),"NM",DI76/DA76*100-100))</f>
        <v>-29.46842694971707</v>
      </c>
      <c r="DK76" s="73">
        <f>DK69/(DK57+DK39)*400</f>
        <v>0.27147917366910568</v>
      </c>
      <c r="DL76" s="72">
        <f>IF(ISERROR(DK76/DC76),"NA",IF(OR(DK76/DC76&gt;2,DK76/DC76&lt;0.5),"NM",DK76/DC76*100-100))</f>
        <v>-20.02580147707458</v>
      </c>
      <c r="DM76" s="73">
        <f>DM69/(DM57+DM39)*400</f>
        <v>0.27191522344061703</v>
      </c>
      <c r="DN76" s="72">
        <f t="shared" si="455"/>
        <v>-14.508530269093953</v>
      </c>
      <c r="DO76" s="73">
        <f>DO69/(DO57+DO39)*400</f>
        <v>0.27061973816908047</v>
      </c>
      <c r="DP76" s="72">
        <f t="shared" si="455"/>
        <v>80.94688104077602</v>
      </c>
      <c r="DQ76" s="73">
        <f>DQ69/(DQ57+DQ39)*400</f>
        <v>0.27896920877358161</v>
      </c>
      <c r="DR76" s="72">
        <f t="shared" si="455"/>
        <v>9.5237472538968433</v>
      </c>
      <c r="DS76" s="73">
        <f>DS69/(DS57+DS39)*400</f>
        <v>0.20263234424983817</v>
      </c>
      <c r="DT76" s="72">
        <f t="shared" si="455"/>
        <v>-25.359893537609608</v>
      </c>
      <c r="DU76" s="73">
        <f>DU69/(DU57+DU39)*400</f>
        <v>0.20243484128546124</v>
      </c>
      <c r="DV76" s="72">
        <f t="shared" si="455"/>
        <v>-25.552222224265961</v>
      </c>
      <c r="DW76" s="73">
        <f>DW69/(DW57+DW39)*400</f>
        <v>0.27426235393427406</v>
      </c>
      <c r="DX76" s="72">
        <f t="shared" si="455"/>
        <v>1.3460273776917546</v>
      </c>
      <c r="DY76" s="73">
        <f>DY69/(DY57+DY39)*400</f>
        <v>0.25069104966981348</v>
      </c>
      <c r="DZ76" s="72">
        <f t="shared" si="455"/>
        <v>-10.136659607734487</v>
      </c>
      <c r="EA76" s="73">
        <f>EA69/(EA57+EA39)*400</f>
        <v>0.27589070451795172</v>
      </c>
      <c r="EB76" s="72">
        <f>IF(ISERROR(EA76/DS76),"NA",IF(OR(EA76/DS76&gt;2,EA76/DS76&lt;0.5),"NM",EA76/DS76*100-100))</f>
        <v>36.15333995138937</v>
      </c>
      <c r="EC76" s="73">
        <f>EC69/(EC57+EC39)*400</f>
        <v>0.25503399368920987</v>
      </c>
      <c r="ED76" s="72">
        <f>IF(ISERROR(EC76/DU76),"NA",IF(OR(EC76/DU76&gt;2,EC76/DU76&lt;0.5),"NM",EC76/DU76*100-100))</f>
        <v>25.983250743668435</v>
      </c>
      <c r="EE76" s="73">
        <f>EE69/(EE57+EE39)*400</f>
        <v>0.1839873508696277</v>
      </c>
      <c r="EF76" s="72">
        <f>IF(ISERROR(EE76/DW76),"NA",IF(OR(EE76/DW76&gt;2,EE76/DW76&lt;0.5),"NM",EE76/DW76*100-100))</f>
        <v>-32.915564885102839</v>
      </c>
      <c r="EG76" s="73">
        <f>EG69/(EG57+EG39)*400</f>
        <v>0.23352402346662604</v>
      </c>
      <c r="EH76" s="72">
        <f>IF(ISERROR(EG76/DY76),"NA",IF(OR(EG76/DY76&gt;2,EG76/DY76&lt;0.5),"NM",EG76/DY76*100-100))</f>
        <v>-6.847881576066726</v>
      </c>
      <c r="EI76" s="73">
        <f>EI69/(EI57+EI39)*400</f>
        <v>0.21948773580740583</v>
      </c>
      <c r="EJ76" s="72">
        <f>IF(ISERROR(EI76/EA76),"NA",IF(OR(EI76/EA76&gt;2,EI76/EA76&lt;0.5),"NM",EI76/EA76*100-100))</f>
        <v>-20.443953995875148</v>
      </c>
      <c r="EK76" s="73">
        <f>EK69/(EK57+EK39)*400</f>
        <v>0.19070439889416216</v>
      </c>
      <c r="EL76" s="72">
        <f>IF(ISERROR(EK76/EC76),"NA",IF(OR(EK76/EC76&gt;2,EK76/EC76&lt;0.5),"NM",EK76/EC76*100-100))</f>
        <v>-25.22392951013471</v>
      </c>
      <c r="EM76" s="73">
        <f>EM69/(EM57+EM39)*400</f>
        <v>0.19738405209964241</v>
      </c>
      <c r="EN76" s="72">
        <f>IF(ISERROR(EM76/EE76),"NA",IF(OR(EM76/EE76&gt;2,EM76/EE76&lt;0.5),"NM",EM76/EE76*100-100))</f>
        <v>7.2813164419697216</v>
      </c>
      <c r="EO76" s="73">
        <f>EO69/(EO57+EO39)*400</f>
        <v>0.20345514711602328</v>
      </c>
      <c r="EP76" s="72">
        <f>IF(ISERROR(EO76/EG76),"NA",IF(OR(EO76/EG76&gt;2,EO76/EG76&lt;0.5),"NM",EO76/EG76*100-100))</f>
        <v>-12.876138353662796</v>
      </c>
      <c r="EQ76" s="71">
        <f t="shared" ref="EQ76" si="464">+EO76</f>
        <v>0.20345514711602328</v>
      </c>
      <c r="ER76" s="72">
        <f t="shared" si="456"/>
        <v>-7.3045487632396373</v>
      </c>
      <c r="ES76" s="71">
        <f t="shared" ref="ES76" si="465">+EQ76</f>
        <v>0.20345514711602328</v>
      </c>
      <c r="ET76" s="72">
        <f t="shared" si="457"/>
        <v>6.6861322003052237</v>
      </c>
      <c r="EU76" s="71">
        <f t="shared" ref="EU76" si="466">+ES76</f>
        <v>0.20345514711602328</v>
      </c>
      <c r="EV76" s="72">
        <f t="shared" si="458"/>
        <v>3.0757778816477526</v>
      </c>
      <c r="EW76" s="71">
        <f t="shared" ref="EW76" si="467">+EU76</f>
        <v>0.20345514711602328</v>
      </c>
      <c r="EX76" s="72">
        <f t="shared" si="459"/>
        <v>0</v>
      </c>
      <c r="EY76" s="72"/>
      <c r="EZ76" s="309"/>
      <c r="FA76" s="72"/>
      <c r="FB76" s="81">
        <f>FB69/FB57*100</f>
        <v>8.4337349397590362</v>
      </c>
      <c r="FC76" s="82"/>
      <c r="FD76" s="81">
        <f>FD69/FD57*100</f>
        <v>8.6457170202584148</v>
      </c>
      <c r="FE76" s="72">
        <f>IF(ISERROR(FD76/FB76),"NA",IF(OR(FD76/FB76&gt;2,FD76/FB76&lt;0.5),"NM",FD76/FB76*100-100))</f>
        <v>2.5135018116354928</v>
      </c>
      <c r="FF76" s="81">
        <f>FF69/FF57*100</f>
        <v>8.8799192734611516</v>
      </c>
      <c r="FG76" s="72">
        <f>IF(ISERROR(FF76/FD76),"NA",IF(OR(FF76/FD76&gt;2,FF76/FD76&lt;0.5),"NM",FF76/FD76*100-100))</f>
        <v>2.7088817810478929</v>
      </c>
      <c r="FH76" s="81">
        <f>FH69/FH57*100</f>
        <v>8.7781731909845782</v>
      </c>
      <c r="FI76" s="72">
        <f>IF(ISERROR(FH76/FF76),"NA",IF(OR(FH76/FF76&gt;2,FH76/FF76&lt;0.5),"NM",FH76/FF76*100-100))</f>
        <v>-1.14579963334414</v>
      </c>
      <c r="FJ76" s="81">
        <f>FJ69/FJ57*100</f>
        <v>8.0050227593784324</v>
      </c>
      <c r="FK76" s="72">
        <f>IF(ISERROR(FJ76/FH76),"NA",IF(OR(FJ76/FH76&gt;2,FJ76/FH76&lt;0.5),"NM",FJ76/FH76*100-100))</f>
        <v>-8.8076461330267648</v>
      </c>
      <c r="FL76" s="81">
        <f>FL69/FL57*100</f>
        <v>7.7568740955137478</v>
      </c>
      <c r="FM76" s="72">
        <f>IF(ISERROR(FL76/FJ76),"NA",IF(OR(FL76/FJ76&gt;2,FL76/FJ76&lt;0.5),"NM",FL76/FJ76*100-100))</f>
        <v>-3.0999120342782476</v>
      </c>
      <c r="FN76" s="81">
        <f>FN69/FN57*100</f>
        <v>9.6848370079805228</v>
      </c>
      <c r="FO76" s="72">
        <f>IF(ISERROR(FN76/FL76),"NA",IF(OR(FN76/FL76&gt;2,FN76/FL76&lt;0.5),"NM",FN76/FL76*100-100))</f>
        <v>24.854895009599659</v>
      </c>
      <c r="FP76" s="81">
        <f>FP69/FP57*100</f>
        <v>8.5641677255400257</v>
      </c>
      <c r="FQ76" s="72">
        <f>IF(ISERROR(FP76/FN76),"NA",IF(OR(FP76/FN76&gt;2,FP76/FN76&lt;0.5),"NM",FP76/FN76*100-100))</f>
        <v>-11.571379895366746</v>
      </c>
      <c r="FR76" s="81">
        <f>FR69/FR57*100</f>
        <v>9.2001550587931256</v>
      </c>
      <c r="FS76" s="72">
        <f>IF(ISERROR(FR76/FP76),"NA",IF(OR(FR76/FP76&gt;2,FR76/FP76&lt;0.5),"NM",FR76/FP76*100-100))</f>
        <v>7.4261428971838228</v>
      </c>
      <c r="FT76" s="73">
        <f>FT69/(FT57+FT39)*100</f>
        <v>0.44287908414085775</v>
      </c>
      <c r="FU76" s="72" t="str">
        <f>IF(ISERROR(FT76/FR76),"NA",IF(OR(FT76/FR76&gt;2,FT76/FR76&lt;0.5),"NM",FT76/FR76*100-100))</f>
        <v>NM</v>
      </c>
      <c r="FV76" s="73">
        <f>FV69/(FV57+FV39)*100</f>
        <v>0.75384929318333771</v>
      </c>
      <c r="FW76" s="72">
        <f>IF(ISERROR(FV76/FT76),"NA",IF(OR(FV76/FT76&gt;2,FV76/FT76&lt;0.5),"NM",FV76/FT76*100-100))</f>
        <v>70.215600640913493</v>
      </c>
      <c r="FX76" s="73">
        <f>FX69/(FX57+FX39)*100</f>
        <v>0.87532621127513632</v>
      </c>
      <c r="FY76" s="72">
        <f>IF(ISERROR(FX76/FV76),"NA",IF(OR(FX76/FV76&gt;2,FX76/FV76&lt;0.5),"NM",FX76/FV76*100-100))</f>
        <v>16.114217946511374</v>
      </c>
      <c r="FZ76" s="73">
        <f>FZ69/(FZ57+FZ39)*100</f>
        <v>0.63090711901585006</v>
      </c>
      <c r="GA76" s="72">
        <f>IF(ISERROR(FZ76/FX76),"NA",IF(OR(FZ76/FX76&gt;2,FZ76/FX76&lt;0.5),"NM",FZ76/FX76*100-100))</f>
        <v>-27.923200414988997</v>
      </c>
      <c r="GB76" s="73">
        <f>GB69/(GB57+GB39)*100</f>
        <v>0.51080589711965962</v>
      </c>
      <c r="GC76" s="72">
        <f>IF(ISERROR(GB76/FZ76),"NA",IF(OR(GB76/FZ76&gt;2,GB76/FZ76&lt;0.5),"NM",GB76/FZ76*100-100))</f>
        <v>-19.036276224547279</v>
      </c>
      <c r="GD76" s="73">
        <f>GD69/(GD57+GD39)*100</f>
        <v>0.35782246820317903</v>
      </c>
      <c r="GE76" s="72">
        <f>IF(ISERROR(GD76/GB76),"NA",IF(OR(GD76/GB76&gt;2,GD76/GB76&lt;0.5),"NM",GD76/GB76*100-100))</f>
        <v>-29.949424973189622</v>
      </c>
      <c r="GF76" s="73">
        <f>GF69/(GF57+GF39)*100</f>
        <v>0.26441921897433451</v>
      </c>
      <c r="GG76" s="72">
        <f>IF(ISERROR(GF76/GD76),"NA",IF(OR(GF76/GD76&gt;2,GF76/GD76&lt;0.5),"NM",GF76/GD76*100-100))</f>
        <v>-26.103237646834458</v>
      </c>
      <c r="GH76" s="73">
        <f>GH69/(GH57+GH39)*100</f>
        <v>0.27326363730462683</v>
      </c>
      <c r="GI76" s="72">
        <f t="shared" si="460"/>
        <v>3.344847006431408</v>
      </c>
      <c r="GJ76" s="73">
        <f>GJ69/(GJ57+GJ39)*100</f>
        <v>0.23191442804822929</v>
      </c>
      <c r="GK76" s="72">
        <f t="shared" si="460"/>
        <v>-15.131617826744574</v>
      </c>
      <c r="GL76" s="73">
        <f>GL69/(GL57+GL39)*100</f>
        <v>0.23627895243246164</v>
      </c>
      <c r="GM76" s="72">
        <f t="shared" si="460"/>
        <v>1.8819546592955732</v>
      </c>
      <c r="GN76" s="73">
        <f>GN69/(GN57+GN39)*100</f>
        <v>0.20267624772565004</v>
      </c>
      <c r="GO76" s="72">
        <f t="shared" si="460"/>
        <v>-14.221624211922418</v>
      </c>
      <c r="GP76" s="73">
        <f>GP69/(GP57+GP39)*100</f>
        <v>0.20345418083891387</v>
      </c>
      <c r="GQ76" s="72">
        <f t="shared" si="460"/>
        <v>0.38383043005455875</v>
      </c>
      <c r="GR76" s="71">
        <f>GP76+0.01</f>
        <v>0.21345418083891388</v>
      </c>
      <c r="GS76" s="72">
        <f t="shared" si="460"/>
        <v>4.9151115788166351</v>
      </c>
      <c r="GT76" s="71">
        <f>GR76+0.01</f>
        <v>0.22345418083891389</v>
      </c>
      <c r="GU76" s="72">
        <f t="shared" si="460"/>
        <v>4.6848461626275935</v>
      </c>
      <c r="GV76" s="71">
        <f>GT76+0.01</f>
        <v>0.23345418083891389</v>
      </c>
      <c r="GW76" s="72">
        <f>IF(ISERROR(GV76/GT76),"NA",IF(OR(GV76/GT76&gt;2,GV76/GT76&lt;0.5),"NM",GV76/GT76*100-100))</f>
        <v>4.4751903779365563</v>
      </c>
      <c r="GX76" s="71">
        <f>GV76+0.01</f>
        <v>0.2434541808389139</v>
      </c>
      <c r="GY76" s="72">
        <f>IF(ISERROR(GX76/GV76),"NA",IF(OR(GX76/GV76&gt;2,GX76/GV76&lt;0.5),"NM",GX76/GV76*100-100))</f>
        <v>4.2834957866529493</v>
      </c>
      <c r="GZ76" s="72">
        <f>IF(ISERROR(((GX76/GN76)^0.2-1)*100),"NA",IF((((GX76/GN76)^0.2-1)*100)&gt;100,"NM",IF((((GX76/GN76)^0.2-1)*100)&lt;-50,"NM",((GX76/GN76)^0.2-1)*100)))</f>
        <v>3.7344183978566647</v>
      </c>
      <c r="HA76" s="72"/>
      <c r="HB76" s="72"/>
      <c r="HC76"/>
      <c r="HD76"/>
      <c r="HE76"/>
      <c r="HF76"/>
      <c r="HG76"/>
      <c r="HH76"/>
      <c r="HI76" s="2"/>
    </row>
    <row r="77" spans="1:217" s="3" customFormat="1" ht="12.75" customHeight="1" x14ac:dyDescent="0.2">
      <c r="A77" s="3" t="s">
        <v>419</v>
      </c>
      <c r="B77" s="10" t="s">
        <v>34</v>
      </c>
      <c r="C77" s="73">
        <f>C75-C76</f>
        <v>8.7868197703444828</v>
      </c>
      <c r="D77" s="72"/>
      <c r="E77" s="73">
        <f>E75-E76</f>
        <v>5.9319177620492098</v>
      </c>
      <c r="F77" s="72"/>
      <c r="G77" s="73">
        <f>G75-G76</f>
        <v>6.5228469509087823</v>
      </c>
      <c r="H77" s="72"/>
      <c r="I77" s="73">
        <f>I75-I76</f>
        <v>6.6802999318336749</v>
      </c>
      <c r="J77" s="72"/>
      <c r="K77" s="73">
        <f>K75-K76</f>
        <v>7.1539122957867587</v>
      </c>
      <c r="L77" s="72">
        <f>IF(ISERROR(K77/C77),"NA",IF(OR(K77/C77&gt;2,K77/C77&lt;0.5),"NM",K77/C77*100-100))</f>
        <v>-18.583600406472272</v>
      </c>
      <c r="M77" s="73">
        <f>M75-M76</f>
        <v>5.971185558062837</v>
      </c>
      <c r="N77" s="72">
        <f>IF(ISERROR(M77/E77),"NA",IF(OR(M77/E77&gt;2,M77/E77&lt;0.5),"NM",M77/E77*100-100))</f>
        <v>0.66197472029789139</v>
      </c>
      <c r="O77" s="73">
        <f>O75-O76</f>
        <v>6.1356109464877129</v>
      </c>
      <c r="P77" s="72">
        <f>IF(ISERROR(O77/G77),"NA",IF(OR(O77/G77&gt;2,O77/G77&lt;0.5),"NM",O77/G77*100-100))</f>
        <v>-5.9366103073615619</v>
      </c>
      <c r="Q77" s="73">
        <f>Q75-Q76</f>
        <v>5.7534246575342465</v>
      </c>
      <c r="R77" s="72">
        <f>IF(ISERROR(Q77/I77),"NA",IF(OR(Q77/I77&gt;2,Q77/I77&lt;0.5),"NM",Q77/I77*100-100))</f>
        <v>-13.874755381604714</v>
      </c>
      <c r="S77" s="73">
        <f>S75-S76</f>
        <v>5.4384772263766141</v>
      </c>
      <c r="T77" s="72">
        <f>IF(ISERROR(S77/K77),"NA",IF(OR(S77/K77&gt;2,S77/K77&lt;0.5),"NM",S77/K77*100-100))</f>
        <v>-23.978978193798056</v>
      </c>
      <c r="U77" s="73">
        <f>U75-U76</f>
        <v>5.3718314587879803</v>
      </c>
      <c r="V77" s="72">
        <f>IF(ISERROR(U77/M77),"NA",IF(OR(U77/M77&gt;2,U77/M77&lt;0.5),"NM",U77/M77*100-100))</f>
        <v>-10.03743885442573</v>
      </c>
      <c r="W77" s="73">
        <f>W75-W76</f>
        <v>5.3265694356372855</v>
      </c>
      <c r="X77" s="72">
        <f>IF(ISERROR(W77/O77),"NA",IF(OR(W77/O77&gt;2,W77/O77&lt;0.5),"NM",W77/O77*100-100))</f>
        <v>-13.185997578832115</v>
      </c>
      <c r="Y77" s="73">
        <f>Y75-Y76</f>
        <v>4.5673076923076916</v>
      </c>
      <c r="Z77" s="72">
        <f>IF(ISERROR(Y77/Q77),"NA",IF(OR(Y77/Q77&gt;2,Y77/Q77&lt;0.5),"NM",Y77/Q77*100-100))</f>
        <v>-20.61584249084251</v>
      </c>
      <c r="AA77" s="73">
        <f>AA75-AA76</f>
        <v>5.3574028242830103</v>
      </c>
      <c r="AB77" s="72">
        <f>IF(ISERROR(AA77/S77),"NA",IF(OR(AA77/S77&gt;2,AA77/S77&lt;0.5),"NM",AA77/S77*100-100))</f>
        <v>-1.4907555684961409</v>
      </c>
      <c r="AC77" s="73">
        <f>AC75-AC76</f>
        <v>5.5085353607803755</v>
      </c>
      <c r="AD77" s="72">
        <f>IF(ISERROR(AC77/U77),"NA",IF(OR(AC77/U77&gt;2,AC77/U77&lt;0.5),"NM",AC77/U77*100-100))</f>
        <v>2.5448285755271769</v>
      </c>
      <c r="AE77" s="73">
        <f>AE75-AE76</f>
        <v>4.5577553055120363</v>
      </c>
      <c r="AF77" s="72">
        <f>IF(ISERROR(AE77/W77),"NA",IF(OR(AE77/W77&gt;2,AE77/W77&lt;0.5),"NM",AE77/W77*100-100))</f>
        <v>-14.43357003818474</v>
      </c>
      <c r="AG77" s="73">
        <f>AG75-AG76</f>
        <v>5.5705556345033393</v>
      </c>
      <c r="AH77" s="72">
        <f>IF(ISERROR(AG77/Y77),"NA",IF(OR(AG77/Y77&gt;2,AG77/Y77&lt;0.5),"NM",AG77/Y77*100-100))</f>
        <v>21.965849681757348</v>
      </c>
      <c r="AI77" s="73">
        <f>AI75-AI76</f>
        <v>5.4176072234762973</v>
      </c>
      <c r="AJ77" s="72">
        <f>IF(ISERROR(AI77/AA77),"NA",IF(OR(AI77/AA77&gt;2,AI77/AA77&lt;0.5),"NM",AI77/AA77*100-100))</f>
        <v>1.1237609186377568</v>
      </c>
      <c r="AK77" s="73">
        <f>AK75-AK76</f>
        <v>5.811403508771928</v>
      </c>
      <c r="AL77" s="72">
        <f>IF(ISERROR(AK77/AC77),"NA",IF(OR(AK77/AC77&gt;2,AK77/AC77&lt;0.5),"NM",AK77/AC77*100-100))</f>
        <v>5.4981610928362272</v>
      </c>
      <c r="AM77" s="73">
        <f>AM75-AM76</f>
        <v>6.7528356634133484</v>
      </c>
      <c r="AN77" s="72">
        <f>IF(ISERROR(AM77/AE77),"NA",IF(OR(AM77/AE77&gt;2,AM77/AE77&lt;0.5),"NM",AM77/AE77*100-100))</f>
        <v>48.161434977578466</v>
      </c>
      <c r="AO77" s="73">
        <f>AO75-AO76</f>
        <v>6.925959426282466</v>
      </c>
      <c r="AP77" s="72">
        <f>IF(ISERROR(AO77/AG77),"NA",IF(OR(AO77/AG77&gt;2,AO77/AG77&lt;0.5),"NM",AO77/AG77*100-100))</f>
        <v>24.331572660075793</v>
      </c>
      <c r="AQ77" s="73">
        <f>AQ75-AQ76</f>
        <v>7.5277133281773647</v>
      </c>
      <c r="AR77" s="72">
        <f>IF(ISERROR(AQ77/AI77),"NA",IF(OR(AQ77/AI77&gt;2,AQ77/AI77&lt;0.5),"NM",AQ77/AI77*100-100))</f>
        <v>38.949041849273868</v>
      </c>
      <c r="AS77" s="73">
        <f>AS75-AS76</f>
        <v>6.6473624575097574</v>
      </c>
      <c r="AT77" s="72">
        <f>IF(ISERROR(AS77/AK77),"NA",IF(OR(AS77/AK77&gt;2,AS77/AK77&lt;0.5),"NM",AS77/AK77*100-100))</f>
        <v>14.384803042432083</v>
      </c>
      <c r="AU77" s="73">
        <f>AU75-AU76</f>
        <v>6.8173397554649871</v>
      </c>
      <c r="AV77" s="72">
        <f>IF(ISERROR(AU77/AM77),"NA",IF(OR(AU77/AM77&gt;2,AU77/AM77&lt;0.5),"NM",AU77/AM77*100-100))</f>
        <v>0.95521489440531582</v>
      </c>
      <c r="AW77" s="73">
        <f>AW75-AW76</f>
        <v>7.1784646061814552</v>
      </c>
      <c r="AX77" s="72">
        <f>IF(ISERROR(AW77/AO77),"NA",IF(OR(AW77/AO77&gt;2,AW77/AO77&lt;0.5),"NM",AW77/AO77*100-100))</f>
        <v>3.6457790806684329</v>
      </c>
      <c r="AY77" s="73">
        <f>AY75-AY76</f>
        <v>0.43613874216871784</v>
      </c>
      <c r="AZ77" s="72" t="str">
        <f>IF(ISERROR(AY77/AQ77),"NA",IF(OR(AY77/AQ77&gt;2,AY77/AQ77&lt;0.5),"NM",AY77/AQ77*100-100))</f>
        <v>NM</v>
      </c>
      <c r="BA77" s="73">
        <f>BA75-BA76</f>
        <v>0.40677966101694929</v>
      </c>
      <c r="BB77" s="72" t="str">
        <f>IF(ISERROR(BA77/AS77),"NA",IF(OR(BA77/AS77&gt;2,BA77/AS77&lt;0.5),"NM",BA77/AS77*100-100))</f>
        <v>NM</v>
      </c>
      <c r="BC77" s="73">
        <f>BC75-BC76</f>
        <v>0.41347324324875723</v>
      </c>
      <c r="BD77" s="72" t="str">
        <f>IF(ISERROR(BC77/AU77),"NA",IF(OR(BC77/AU77&gt;2,BC77/AU77&lt;0.5),"NM",BC77/AU77*100-100))</f>
        <v>NM</v>
      </c>
      <c r="BE77" s="73">
        <f>BE75-BE76</f>
        <v>0.30915950534479142</v>
      </c>
      <c r="BF77" s="72" t="str">
        <f>IF(ISERROR(BE77/AW77),"NA",IF(OR(BE77/AW77&gt;2,BE77/AW77&lt;0.5),"NM",BE77/AW77*100-100))</f>
        <v>NM</v>
      </c>
      <c r="BG77" s="73">
        <f>BG75-BG76</f>
        <v>0.31477473932716893</v>
      </c>
      <c r="BH77" s="72">
        <f>IF(ISERROR(BG77/AY77),"NA",IF(OR(BG77/AY77&gt;2,BG77/AY77&lt;0.5),"NM",BG77/AY77*100-100))</f>
        <v>-27.826925495786369</v>
      </c>
      <c r="BI77" s="73">
        <f>BI75-BI76</f>
        <v>0.27186337629598512</v>
      </c>
      <c r="BJ77" s="72">
        <f>IF(ISERROR(BI77/BA77),"NA",IF(OR(BI77/BA77&gt;2,BI77/BA77&lt;0.5),"NM",BI77/BA77*100-100))</f>
        <v>-33.166919993903676</v>
      </c>
      <c r="BK77" s="73">
        <f>BK75-BK76</f>
        <v>0.27257240204429306</v>
      </c>
      <c r="BL77" s="72">
        <f>IF(ISERROR(BK77/BC77),"NA",IF(OR(BK77/BC77&gt;2,BK77/BC77&lt;0.5),"NM",BK77/BC77*100-100))</f>
        <v>-34.077378283869805</v>
      </c>
      <c r="BM77" s="73">
        <f>BM75-BM76</f>
        <v>0.2230964120638198</v>
      </c>
      <c r="BN77" s="72">
        <f>IF(ISERROR(BM77/BE77),"NA",IF(OR(BM77/BE77&gt;2,BM77/BE77&lt;0.5),"NM",BM77/BE77*100-100))</f>
        <v>-27.837763935153603</v>
      </c>
      <c r="BO77" s="73">
        <f>BO75-BO76</f>
        <v>0.29093598791875985</v>
      </c>
      <c r="BP77" s="72">
        <f>IF(ISERROR(BO77/BG77),"NA",IF(OR(BO77/BG77&gt;2,BO77/BG77&lt;0.5),"NM",BO77/BG77*100-100))</f>
        <v>-7.5732733380589679</v>
      </c>
      <c r="BQ77" s="73">
        <f>BQ75-BQ76</f>
        <v>0.31689645919319187</v>
      </c>
      <c r="BR77" s="72">
        <f>IF(ISERROR(BQ77/BI77),"NA",IF(OR(BQ77/BI77&gt;2,BQ77/BI77&lt;0.5),"NM",BQ77/BI77*100-100))</f>
        <v>16.564600760412105</v>
      </c>
      <c r="BS77" s="73">
        <f>BS75-BS76</f>
        <v>0.31589232890280949</v>
      </c>
      <c r="BT77" s="72">
        <f>IF(ISERROR(BS77/BK77),"NA",IF(OR(BS77/BK77&gt;2,BS77/BK77&lt;0.5),"NM",BS77/BK77*100-100))</f>
        <v>15.892998166218206</v>
      </c>
      <c r="BU77" s="73">
        <f>BU75-BU76</f>
        <v>0.64181133420988123</v>
      </c>
      <c r="BV77" s="72" t="str">
        <f>IF(ISERROR(BU77/BM77),"NA",IF(OR(BU77/BM77&gt;2,BU77/BM77&lt;0.5),"NM",BU77/BM77*100-100))</f>
        <v>NM</v>
      </c>
      <c r="BW77" s="73">
        <f>BW75-BW76</f>
        <v>0.64253415470616115</v>
      </c>
      <c r="BX77" s="72" t="str">
        <f>IF(ISERROR(BW77/BO77),"NA",IF(OR(BW77/BO77&gt;2,BW77/BO77&lt;0.5),"NM",BW77/BO77*100-100))</f>
        <v>NM</v>
      </c>
      <c r="BY77" s="73">
        <f>BY75-BY76</f>
        <v>0.69793476162902912</v>
      </c>
      <c r="BZ77" s="72" t="str">
        <f>IF(ISERROR(BY77/BQ77),"NA",IF(OR(BY77/BQ77&gt;2,BY77/BQ77&lt;0.5),"NM",BY77/BQ77*100-100))</f>
        <v>NM</v>
      </c>
      <c r="CA77" s="73">
        <f>CA75-CA76</f>
        <v>0.44038492904909465</v>
      </c>
      <c r="CB77" s="72">
        <f>IF(ISERROR(CA77/BS77),"NA",IF(OR(CA77/BS77&gt;2,CA77/BS77&lt;0.5),"NM",CA77/BS77*100-100))</f>
        <v>39.409820611562793</v>
      </c>
      <c r="CC77" s="73">
        <f>CC75-CC76</f>
        <v>0.32924844129119446</v>
      </c>
      <c r="CD77" s="72">
        <f>IF(ISERROR(CC77/BU77),"NA",IF(OR(CC77/BU77&gt;2,CC77/BU77&lt;0.5),"NM",CC77/BU77*100-100))</f>
        <v>-48.700120465070249</v>
      </c>
      <c r="CE77" s="73">
        <f>CE75-CE76</f>
        <v>0.30966728099417051</v>
      </c>
      <c r="CF77" s="72" t="str">
        <f>IF(ISERROR(CE77/BW77),"NA",IF(OR(CE77/BW77&gt;2,CE77/BW77&lt;0.5),"NM",CE77/BW77*100-100))</f>
        <v>NM</v>
      </c>
      <c r="CG77" s="73">
        <f>CG75-CG76</f>
        <v>0.1541277333590213</v>
      </c>
      <c r="CH77" s="72" t="str">
        <f>IF(ISERROR(CG77/BY77),"NA",IF(OR(CG77/BY77&gt;2,CG77/BY77&lt;0.5),"NM",CG77/BY77*100-100))</f>
        <v>NM</v>
      </c>
      <c r="CI77" s="73">
        <f>CI75-CI76</f>
        <v>0.52881958366294235</v>
      </c>
      <c r="CJ77" s="72">
        <f>IF(ISERROR(CI77/CA77),"NA",IF(OR(CI77/CA77&gt;2,CI77/CA77&lt;0.5),"NM",CI77/CA77*100-100))</f>
        <v>20.081217312500016</v>
      </c>
      <c r="CK77" s="73">
        <f>CK75-CK76</f>
        <v>0.2910692862902432</v>
      </c>
      <c r="CL77" s="72">
        <f>IF(ISERROR(CK77/CC77),"NA",IF(OR(CK77/CC77&gt;2,CK77/CC77&lt;0.5),"NM",CK77/CC77*100-100))</f>
        <v>-11.595849885037055</v>
      </c>
      <c r="CM77" s="73">
        <f>CM75-CM76</f>
        <v>0.23636900838655417</v>
      </c>
      <c r="CN77" s="72">
        <f>IF(ISERROR(CM77/CE77),"NA",IF(OR(CM77/CE77&gt;2,CM77/CE77&lt;0.5),"NM",CM77/CE77*100-100))</f>
        <v>-23.67000878242483</v>
      </c>
      <c r="CO77" s="73">
        <f>CO75-CO76</f>
        <v>0.21232438641297963</v>
      </c>
      <c r="CP77" s="72">
        <f>IF(ISERROR(CO77/CG77),"NA",IF(OR(CO77/CG77&gt;2,CO77/CG77&lt;0.5),"NM",CO77/CG77*100-100))</f>
        <v>37.758715959571333</v>
      </c>
      <c r="CQ77" s="73">
        <f>CQ75-CQ76</f>
        <v>4.6696240952603385E-2</v>
      </c>
      <c r="CR77" s="72" t="str">
        <f>IF(ISERROR(CQ77/CI77),"NA",IF(OR(CQ77/CI77&gt;2,CQ77/CI77&lt;0.5),"NM",CQ77/CI77*100-100))</f>
        <v>NM</v>
      </c>
      <c r="CS77" s="73">
        <f>CS75-CS76</f>
        <v>0.29424585876198778</v>
      </c>
      <c r="CT77" s="72">
        <f>IF(ISERROR(CS77/CK77),"NA",IF(OR(CS77/CK77&gt;2,CS77/CK77&lt;0.5),"NM",CS77/CK77*100-100))</f>
        <v>1.0913458139918646</v>
      </c>
      <c r="CU77" s="73">
        <f>CU75-CU76</f>
        <v>0.26937274032046932</v>
      </c>
      <c r="CV77" s="72">
        <f>IF(ISERROR(CU77/CM77),"NA",IF(OR(CU77/CM77&gt;2,CU77/CM77&lt;0.5),"NM",CU77/CM77*100-100))</f>
        <v>13.962800013080127</v>
      </c>
      <c r="CW77" s="73">
        <f>CW75-CW76</f>
        <v>0.15797024356432454</v>
      </c>
      <c r="CX77" s="72">
        <f>IF(ISERROR(CW77/CO77),"NA",IF(OR(CW77/CO77&gt;2,CW77/CO77&lt;0.5),"NM",CW77/CO77*100-100))</f>
        <v>-25.59957608587365</v>
      </c>
      <c r="CY77" s="73">
        <f>CY75-CY76</f>
        <v>0.38940961608105951</v>
      </c>
      <c r="CZ77" s="72" t="str">
        <f>IF(ISERROR(CY77/CQ77),"NA",IF(OR(CY77/CQ77&gt;2,CY77/CQ77&lt;0.5),"NM",CY77/CQ77*100-100))</f>
        <v>NM</v>
      </c>
      <c r="DA77" s="73">
        <f>DA75-DA76</f>
        <v>0.19101127787291039</v>
      </c>
      <c r="DB77" s="72">
        <f>IF(ISERROR(DA77/CS77),"NA",IF(OR(DA77/CS77&gt;2,DA77/CS77&lt;0.5),"NM",DA77/CS77*100-100))</f>
        <v>-35.084463490302738</v>
      </c>
      <c r="DC77" s="73">
        <f>DC75-DC76</f>
        <v>0.16685245783739072</v>
      </c>
      <c r="DD77" s="72">
        <f>IF(ISERROR(DC77/CU77),"NA",IF(OR(DC77/CU77&gt;2,DC77/CU77&lt;0.5),"NM",DC77/CU77*100-100))</f>
        <v>-38.058892804487762</v>
      </c>
      <c r="DE77" s="73">
        <f>DE75-DE76</f>
        <v>0.19139968053141565</v>
      </c>
      <c r="DF77" s="72">
        <f>IF(ISERROR(DE77/CW77),"NA",IF(OR(DE77/CW77&gt;2,DE77/CW77&lt;0.5),"NM",DE77/CW77*100-100))</f>
        <v>21.161856950279898</v>
      </c>
      <c r="DG77" s="73">
        <f>DG75-DG76</f>
        <v>0.31850220874357804</v>
      </c>
      <c r="DH77" s="72">
        <f>IF(ISERROR(DG77/CY77),"NA",IF(OR(DG77/CY77&gt;2,DG77/CY77&lt;0.5),"NM",DG77/CY77*100-100))</f>
        <v>-18.208951296857904</v>
      </c>
      <c r="DI77" s="73">
        <f>DI75-DI76</f>
        <v>0.18838012987615993</v>
      </c>
      <c r="DJ77" s="72">
        <f>IF(ISERROR(DI77/DA77),"NA",IF(OR(DI77/DA77&gt;2,DI77/DA77&lt;0.5),"NM",DI77/DA77*100-100))</f>
        <v>-1.3774830607128337</v>
      </c>
      <c r="DK77" s="73">
        <f>DK75-DK76</f>
        <v>0.15513095638234609</v>
      </c>
      <c r="DL77" s="72">
        <f>IF(ISERROR(DK77/DC77),"NA",IF(OR(DK77/DC77&gt;2,DK77/DC77&lt;0.5),"NM",DK77/DC77*100-100))</f>
        <v>-7.0250696974856908</v>
      </c>
      <c r="DM77" s="73">
        <f>DM75-DM76</f>
        <v>0.11689813344176059</v>
      </c>
      <c r="DN77" s="72">
        <f t="shared" si="455"/>
        <v>-38.924593229624882</v>
      </c>
      <c r="DO77" s="73">
        <f>DO75-DO76</f>
        <v>0.11887035227987641</v>
      </c>
      <c r="DP77" s="72" t="str">
        <f t="shared" si="455"/>
        <v>NM</v>
      </c>
      <c r="DQ77" s="73">
        <f>DQ75-DQ76</f>
        <v>0.1217320183739265</v>
      </c>
      <c r="DR77" s="72">
        <f t="shared" si="455"/>
        <v>-35.379586767483147</v>
      </c>
      <c r="DS77" s="73">
        <f>DS75-DS76</f>
        <v>0.17511437157393422</v>
      </c>
      <c r="DT77" s="72">
        <f t="shared" si="455"/>
        <v>12.881642489417573</v>
      </c>
      <c r="DU77" s="73">
        <f>DU75-DU76</f>
        <v>0.15495012542837772</v>
      </c>
      <c r="DV77" s="72">
        <f t="shared" si="455"/>
        <v>32.551411101508222</v>
      </c>
      <c r="DW77" s="73">
        <f>DW75-DW76</f>
        <v>0.12936903487465756</v>
      </c>
      <c r="DX77" s="72">
        <f t="shared" si="455"/>
        <v>8.8320446548878238</v>
      </c>
      <c r="DY77" s="73">
        <f>DY75-DY76</f>
        <v>0.15305348295630722</v>
      </c>
      <c r="DZ77" s="72">
        <f t="shared" si="455"/>
        <v>25.729849057599608</v>
      </c>
      <c r="EA77" s="73">
        <f>EA75-EA76</f>
        <v>0.16829332975595057</v>
      </c>
      <c r="EB77" s="72">
        <f>IF(ISERROR(EA77/DS77),"NA",IF(OR(EA77/DS77&gt;2,EA77/DS77&lt;0.5),"NM",EA77/DS77*100-100))</f>
        <v>-3.8951924714550188</v>
      </c>
      <c r="EC77" s="73">
        <f>EC75-EC76</f>
        <v>0.16395042451449204</v>
      </c>
      <c r="ED77" s="72">
        <f>IF(ISERROR(EC77/DU77),"NA",IF(OR(EC77/DU77&gt;2,EC77/DU77&lt;0.5),"NM",EC77/DU77*100-100))</f>
        <v>5.8085135854081642</v>
      </c>
      <c r="EE77" s="73">
        <f>EE75-EE76</f>
        <v>0.30664558478271287</v>
      </c>
      <c r="EF77" s="72" t="str">
        <f>IF(ISERROR(EE77/DW77),"NA",IF(OR(EE77/DW77&gt;2,EE77/DW77&lt;0.5),"NM",EE77/DW77*100-100))</f>
        <v>NM</v>
      </c>
      <c r="EG77" s="73">
        <f>EG75-EG76</f>
        <v>0.23352402346662604</v>
      </c>
      <c r="EH77" s="72">
        <f>IF(ISERROR(EG77/DY77),"NA",IF(OR(EG77/DY77&gt;2,EG77/DY77&lt;0.5),"NM",EG77/DY77*100-100))</f>
        <v>52.576745694373415</v>
      </c>
      <c r="EI77" s="73">
        <f>EI75-EI76</f>
        <v>0.25985329641566435</v>
      </c>
      <c r="EJ77" s="72">
        <f>IF(ISERROR(EI77/EA77),"NA",IF(OR(EI77/EA77&gt;2,EI77/EA77&lt;0.5),"NM",EI77/EA77*100-100))</f>
        <v>54.404988476066677</v>
      </c>
      <c r="EK77" s="73">
        <f>EK75-EK76</f>
        <v>0.2650048140477318</v>
      </c>
      <c r="EL77" s="72">
        <f>IF(ISERROR(EK77/EC77),"NA",IF(OR(EK77/EC77&gt;2,EK77/EC77&lt;0.5),"NM",EK77/EC77*100-100))</f>
        <v>61.637162473042139</v>
      </c>
      <c r="EM77" s="73">
        <f>EM75-EM76</f>
        <v>0.24612085508720846</v>
      </c>
      <c r="EN77" s="72">
        <f>IF(ISERROR(EM77/EE77),"NA",IF(OR(EM77/EE77&gt;2,EM77/EE77&lt;0.5),"NM",EM77/EE77*100-100))</f>
        <v>-19.737681773044883</v>
      </c>
      <c r="EO77" s="73">
        <f>EO75-EO76</f>
        <v>0.2417525865731571</v>
      </c>
      <c r="EP77" s="72">
        <f>IF(ISERROR(EO77/EG77),"NA",IF(OR(EO77/EG77&gt;2,EO77/EG77&lt;0.5),"NM",EO77/EG77*100-100))</f>
        <v>3.523647368000681</v>
      </c>
      <c r="EQ77" s="73">
        <f t="shared" ref="EQ77" si="468">EQ75-EQ76</f>
        <v>0.23654485288397673</v>
      </c>
      <c r="ER77" s="72">
        <f t="shared" si="456"/>
        <v>-8.9698471611470865</v>
      </c>
      <c r="ES77" s="73">
        <f t="shared" ref="ES77" si="469">ES75-ES76</f>
        <v>0.23654485288397673</v>
      </c>
      <c r="ET77" s="72">
        <f t="shared" si="457"/>
        <v>-10.739412891808428</v>
      </c>
      <c r="EU77" s="73">
        <f t="shared" ref="EU77" si="470">EU75-EU76</f>
        <v>0.23654485288397673</v>
      </c>
      <c r="EV77" s="72">
        <f t="shared" si="458"/>
        <v>-3.8907723605294109</v>
      </c>
      <c r="EW77" s="73">
        <f t="shared" ref="EW77" si="471">EW75-EW76</f>
        <v>0.23654485288397673</v>
      </c>
      <c r="EX77" s="72">
        <f t="shared" si="459"/>
        <v>-2.1541584158415787</v>
      </c>
      <c r="EY77" s="72"/>
      <c r="EZ77" s="311"/>
      <c r="FA77" s="72"/>
      <c r="FB77" s="81">
        <f>FB75-FB76</f>
        <v>7.544463568559955</v>
      </c>
      <c r="FC77" s="82"/>
      <c r="FD77" s="81">
        <f>FD75-FD76</f>
        <v>6.57202105598979</v>
      </c>
      <c r="FE77" s="72">
        <f>IF(ISERROR(FD77/FB77),"NA",IF(OR(FD77/FB77&gt;2,FD77/FB77&lt;0.5),"NM",FD77/FB77*100-100))</f>
        <v>-12.889485166614435</v>
      </c>
      <c r="FF77" s="81">
        <f>FF75-FF76</f>
        <v>6.9626639757820374</v>
      </c>
      <c r="FG77" s="72">
        <f>IF(ISERROR(FF77/FD77),"NA",IF(OR(FF77/FD77&gt;2,FF77/FD77&lt;0.5),"NM",FF77/FD77*100-100))</f>
        <v>5.9440302528582549</v>
      </c>
      <c r="FH77" s="81">
        <f>FH75-FH76</f>
        <v>6.134553465514319</v>
      </c>
      <c r="FI77" s="72">
        <f>IF(ISERROR(FH77/FF77),"NA",IF(OR(FH77/FF77&gt;2,FH77/FF77&lt;0.5),"NM",FH77/FF77*100-100))</f>
        <v>-11.893587183700134</v>
      </c>
      <c r="FJ77" s="81">
        <f>FJ75-FJ76</f>
        <v>5.0227593784335287</v>
      </c>
      <c r="FK77" s="72">
        <f>IF(ISERROR(FJ77/FH77),"NA",IF(OR(FJ77/FH77&gt;2,FJ77/FH77&lt;0.5),"NM",FJ77/FH77*100-100))</f>
        <v>-18.123472121170565</v>
      </c>
      <c r="FL77" s="81">
        <f>FL75-FL76</f>
        <v>5.2966714905933419</v>
      </c>
      <c r="FM77" s="72">
        <f>IF(ISERROR(FL77/FJ77),"NA",IF(OR(FL77/FJ77&gt;2,FL77/FJ77&lt;0.5),"NM",FL77/FJ77*100-100))</f>
        <v>5.4534189580317758</v>
      </c>
      <c r="FN77" s="81">
        <f>FN75-FN76</f>
        <v>6.2762072230488304</v>
      </c>
      <c r="FO77" s="72">
        <f>IF(ISERROR(FN77/FL77),"NA",IF(OR(FN77/FL77&gt;2,FN77/FL77&lt;0.5),"NM",FN77/FL77*100-100))</f>
        <v>18.493420522588593</v>
      </c>
      <c r="FP77" s="81">
        <f>FP75-FP76</f>
        <v>7.115628970775095</v>
      </c>
      <c r="FQ77" s="72">
        <f>IF(ISERROR(FP77/FN77),"NA",IF(OR(FP77/FN77&gt;2,FP77/FN77&lt;0.5),"NM",FP77/FN77*100-100))</f>
        <v>13.374665907198874</v>
      </c>
      <c r="FR77" s="81">
        <f>FR75-FR76</f>
        <v>6.7709006331567387</v>
      </c>
      <c r="FS77" s="72">
        <f>IF(ISERROR(FR77/FP77),"NA",IF(OR(FR77/FP77&gt;2,FR77/FP77&lt;0.5),"NM",FR77/FP77*100-100))</f>
        <v>-4.8446643161722562</v>
      </c>
      <c r="FT77" s="73">
        <f>FT75-FT76</f>
        <v>0.27263587073852247</v>
      </c>
      <c r="FU77" s="72" t="str">
        <f>IF(ISERROR(FT77/FR77),"NA",IF(OR(FT77/FR77&gt;2,FT77/FR77&lt;0.5),"NM",FT77/FR77*100-100))</f>
        <v>NM</v>
      </c>
      <c r="FV77" s="73">
        <f>FV75-FV76</f>
        <v>0.30791027468051813</v>
      </c>
      <c r="FW77" s="72">
        <f>IF(ISERROR(FV77/FT77),"NA",IF(OR(FV77/FT77&gt;2,FV77/FT77&lt;0.5),"NM",FV77/FT77*100-100))</f>
        <v>12.938284256742705</v>
      </c>
      <c r="FX77" s="73">
        <f>FX75-FX76</f>
        <v>0.51131514930473188</v>
      </c>
      <c r="FY77" s="72">
        <f>IF(ISERROR(FX77/FV77),"NA",IF(OR(FX77/FV77&gt;2,FX77/FV77&lt;0.5),"NM",FX77/FV77*100-100))</f>
        <v>66.059787980528682</v>
      </c>
      <c r="FZ77" s="73">
        <f>FZ75-FZ76</f>
        <v>0.32251190077058089</v>
      </c>
      <c r="GA77" s="72">
        <f>IF(ISERROR(FZ77/FX77),"NA",IF(OR(FZ77/FX77&gt;2,FZ77/FX77&lt;0.5),"NM",FZ77/FX77*100-100))</f>
        <v>-36.925025356842823</v>
      </c>
      <c r="GB77" s="73">
        <f>GB75-GB76</f>
        <v>0.19715315327425464</v>
      </c>
      <c r="GC77" s="72">
        <f>IF(ISERROR(GB77/FZ77),"NA",IF(OR(GB77/FZ77&gt;2,GB77/FZ77&lt;0.5),"NM",GB77/FZ77*100-100))</f>
        <v>-38.869495109112364</v>
      </c>
      <c r="GD77" s="73">
        <f>GD75-GD76</f>
        <v>0.25174235594825428</v>
      </c>
      <c r="GE77" s="72">
        <f>IF(ISERROR(GD77/GB77),"NA",IF(OR(GD77/GB77&gt;2,GD77/GB77&lt;0.5),"NM",GD77/GB77*100-100))</f>
        <v>27.688729176987607</v>
      </c>
      <c r="GF77" s="73">
        <f>GF75-GF76</f>
        <v>0.21653227380575424</v>
      </c>
      <c r="GG77" s="72">
        <f>IF(ISERROR(GF77/GD77),"NA",IF(OR(GF77/GD77&gt;2,GF77/GD77&lt;0.5),"NM",GF77/GD77*100-100))</f>
        <v>-13.98655463037673</v>
      </c>
      <c r="GH77" s="73">
        <f>GH75-GH76</f>
        <v>0.12803261328258747</v>
      </c>
      <c r="GI77" s="72">
        <f t="shared" si="460"/>
        <v>-40.871348629792536</v>
      </c>
      <c r="GJ77" s="73">
        <f>GJ75-GJ76</f>
        <v>0.1533318532550276</v>
      </c>
      <c r="GK77" s="72">
        <f t="shared" si="460"/>
        <v>19.759996553847458</v>
      </c>
      <c r="GL77" s="73">
        <f>GL75-GL76</f>
        <v>0.21930864093178762</v>
      </c>
      <c r="GM77" s="72">
        <f t="shared" si="460"/>
        <v>43.028755132193453</v>
      </c>
      <c r="GN77" s="73">
        <f>GN75-GN76</f>
        <v>0.25303822443323587</v>
      </c>
      <c r="GO77" s="72">
        <f t="shared" si="460"/>
        <v>15.379961025767017</v>
      </c>
      <c r="GP77" s="73">
        <f>GP75-GP76</f>
        <v>0.23654372945269492</v>
      </c>
      <c r="GQ77" s="72">
        <f t="shared" si="460"/>
        <v>-6.5185783758504954</v>
      </c>
      <c r="GR77" s="73">
        <f>GR75-GR76</f>
        <v>0.22654372945269491</v>
      </c>
      <c r="GS77" s="72">
        <f t="shared" si="460"/>
        <v>-4.2275481253033433</v>
      </c>
      <c r="GT77" s="73">
        <f>GT75-GT76</f>
        <v>0.2115437294526949</v>
      </c>
      <c r="GU77" s="72">
        <f t="shared" si="460"/>
        <v>-6.6212382202051572</v>
      </c>
      <c r="GV77" s="73">
        <f>GV75-GV76</f>
        <v>0.19654372945269488</v>
      </c>
      <c r="GW77" s="72">
        <f>IF(ISERROR(GV77/GT77),"NA",IF(OR(GV77/GT77&gt;2,GV77/GT77&lt;0.5),"NM",GV77/GT77*100-100))</f>
        <v>-7.0907325113384161</v>
      </c>
      <c r="GX77" s="73">
        <f>GX75-GX76</f>
        <v>0.18154372945269487</v>
      </c>
      <c r="GY77" s="72">
        <f>IF(ISERROR(GX77/GV77),"NA",IF(OR(GX77/GV77&gt;2,GX77/GV77&lt;0.5),"NM",GX77/GV77*100-100))</f>
        <v>-7.6318893722886685</v>
      </c>
      <c r="GZ77" s="72">
        <f>IF(ISERROR(((GX77/GN77)^0.2-1)*100),"NA",IF((((GX77/GN77)^0.2-1)*100)&gt;100,"NM",IF((((GX77/GN77)^0.2-1)*100)&lt;-50,"NM",((GX77/GN77)^0.2-1)*100)))</f>
        <v>-6.4251748491222287</v>
      </c>
      <c r="HA77" s="72"/>
      <c r="HB77" s="72"/>
      <c r="HC77"/>
      <c r="HD77"/>
      <c r="HE77"/>
      <c r="HF77"/>
      <c r="HG77"/>
      <c r="HH77"/>
      <c r="HI77" s="2"/>
    </row>
    <row r="78" spans="1:217" s="3" customFormat="1" ht="12.75" customHeight="1" x14ac:dyDescent="0.2">
      <c r="B78" s="10"/>
      <c r="C78" s="73"/>
      <c r="D78" s="72"/>
      <c r="E78" s="73"/>
      <c r="F78" s="72"/>
      <c r="G78" s="73"/>
      <c r="H78" s="72"/>
      <c r="I78" s="73"/>
      <c r="J78" s="72"/>
      <c r="K78" s="73"/>
      <c r="L78" s="72"/>
      <c r="M78" s="73"/>
      <c r="N78" s="72"/>
      <c r="O78" s="73"/>
      <c r="P78" s="72"/>
      <c r="Q78" s="73"/>
      <c r="R78" s="72"/>
      <c r="S78" s="73"/>
      <c r="T78" s="72"/>
      <c r="U78" s="73"/>
      <c r="V78" s="72"/>
      <c r="W78" s="73"/>
      <c r="X78" s="72"/>
      <c r="Y78" s="73"/>
      <c r="Z78" s="72"/>
      <c r="AA78" s="73"/>
      <c r="AB78" s="72"/>
      <c r="AC78" s="73"/>
      <c r="AD78" s="72"/>
      <c r="AE78" s="73"/>
      <c r="AF78" s="72"/>
      <c r="AG78" s="73"/>
      <c r="AH78" s="72"/>
      <c r="AI78" s="73"/>
      <c r="AJ78" s="72"/>
      <c r="AK78" s="73"/>
      <c r="AL78" s="72"/>
      <c r="AM78" s="73"/>
      <c r="AN78" s="72"/>
      <c r="AO78" s="73"/>
      <c r="AP78" s="72"/>
      <c r="AQ78" s="73"/>
      <c r="AR78" s="72"/>
      <c r="AS78" s="73"/>
      <c r="AT78" s="72"/>
      <c r="AU78" s="73"/>
      <c r="AV78" s="72"/>
      <c r="AW78" s="73"/>
      <c r="AX78" s="72"/>
      <c r="AY78" s="73"/>
      <c r="AZ78" s="72"/>
      <c r="BA78" s="73"/>
      <c r="BB78" s="72"/>
      <c r="BC78" s="73"/>
      <c r="BD78" s="72"/>
      <c r="BE78" s="73"/>
      <c r="BF78" s="72"/>
      <c r="BG78" s="73"/>
      <c r="BH78" s="72"/>
      <c r="BI78" s="73"/>
      <c r="BJ78" s="72"/>
      <c r="BK78" s="73"/>
      <c r="BL78" s="72"/>
      <c r="BM78" s="73"/>
      <c r="BN78" s="72"/>
      <c r="BO78" s="73"/>
      <c r="BP78" s="72"/>
      <c r="BQ78" s="73"/>
      <c r="BR78" s="72"/>
      <c r="BS78" s="73"/>
      <c r="BT78" s="72"/>
      <c r="BU78" s="73"/>
      <c r="BV78" s="72"/>
      <c r="BW78" s="73"/>
      <c r="BX78" s="72"/>
      <c r="BY78" s="73"/>
      <c r="BZ78" s="72"/>
      <c r="CA78" s="73"/>
      <c r="CB78" s="72"/>
      <c r="CC78" s="73"/>
      <c r="CD78" s="72"/>
      <c r="CE78" s="73"/>
      <c r="CF78" s="72"/>
      <c r="CG78" s="73"/>
      <c r="CH78" s="72"/>
      <c r="CI78" s="73"/>
      <c r="CJ78" s="72"/>
      <c r="CK78" s="73"/>
      <c r="CL78" s="72"/>
      <c r="CM78" s="73"/>
      <c r="CN78" s="72"/>
      <c r="CO78" s="73"/>
      <c r="CP78" s="72"/>
      <c r="CQ78" s="73"/>
      <c r="CR78" s="72"/>
      <c r="CS78" s="73"/>
      <c r="CT78" s="72"/>
      <c r="CU78" s="73"/>
      <c r="CV78" s="72"/>
      <c r="CW78" s="73"/>
      <c r="CX78" s="72"/>
      <c r="CY78" s="73"/>
      <c r="CZ78" s="72"/>
      <c r="DA78" s="73"/>
      <c r="DB78" s="72"/>
      <c r="DC78" s="73"/>
      <c r="DD78" s="72"/>
      <c r="DE78" s="73"/>
      <c r="DF78" s="72"/>
      <c r="DG78" s="73"/>
      <c r="DH78" s="72"/>
      <c r="DI78" s="73"/>
      <c r="DJ78" s="72"/>
      <c r="DK78" s="73"/>
      <c r="DL78" s="72"/>
      <c r="DM78" s="73"/>
      <c r="DN78" s="72"/>
      <c r="DO78" s="73"/>
      <c r="DP78" s="72"/>
      <c r="DQ78" s="73"/>
      <c r="DR78" s="72"/>
      <c r="DS78" s="73"/>
      <c r="DT78" s="72"/>
      <c r="DU78" s="73"/>
      <c r="DV78" s="72"/>
      <c r="DW78" s="73"/>
      <c r="DX78" s="72"/>
      <c r="DY78" s="73"/>
      <c r="DZ78" s="72"/>
      <c r="EA78" s="73"/>
      <c r="EB78" s="72"/>
      <c r="EC78" s="73"/>
      <c r="ED78" s="72"/>
      <c r="EE78" s="73"/>
      <c r="EF78" s="72"/>
      <c r="EG78" s="73"/>
      <c r="EH78" s="72"/>
      <c r="EI78" s="73"/>
      <c r="EJ78" s="72"/>
      <c r="EK78" s="73"/>
      <c r="EL78" s="72"/>
      <c r="EM78" s="73"/>
      <c r="EN78" s="72"/>
      <c r="EO78" s="73"/>
      <c r="EP78" s="72"/>
      <c r="EQ78" s="73"/>
      <c r="ER78" s="72"/>
      <c r="ES78" s="73"/>
      <c r="ET78" s="72"/>
      <c r="EU78" s="73"/>
      <c r="EV78" s="72"/>
      <c r="EW78" s="73"/>
      <c r="EX78" s="72"/>
      <c r="EY78" s="72"/>
      <c r="EZ78" s="306"/>
      <c r="FA78" s="72"/>
      <c r="FB78" s="73"/>
      <c r="FC78" s="72"/>
      <c r="FD78" s="73"/>
      <c r="FE78" s="72"/>
      <c r="FF78" s="73"/>
      <c r="FG78" s="72"/>
      <c r="FH78" s="73"/>
      <c r="FI78" s="72"/>
      <c r="FJ78" s="73"/>
      <c r="FK78" s="72"/>
      <c r="FL78" s="73"/>
      <c r="FM78" s="72"/>
      <c r="FN78" s="73"/>
      <c r="FO78" s="72"/>
      <c r="FP78" s="73"/>
      <c r="FQ78" s="72"/>
      <c r="FR78" s="73"/>
      <c r="FS78" s="72"/>
      <c r="FT78" s="73"/>
      <c r="FU78" s="72"/>
      <c r="FV78" s="73"/>
      <c r="FW78" s="72"/>
      <c r="FX78" s="73"/>
      <c r="FY78" s="72"/>
      <c r="FZ78" s="73"/>
      <c r="GA78" s="72"/>
      <c r="GB78" s="189"/>
      <c r="GC78" s="72"/>
      <c r="GD78" s="189"/>
      <c r="GE78" s="72"/>
      <c r="GF78" s="189"/>
      <c r="GG78" s="72"/>
      <c r="GH78" s="189"/>
      <c r="GI78" s="72"/>
      <c r="GJ78" s="189"/>
      <c r="GK78" s="72"/>
      <c r="GL78" s="189"/>
      <c r="GM78" s="72"/>
      <c r="GN78" s="189"/>
      <c r="GO78" s="72"/>
      <c r="GP78" s="189"/>
      <c r="GQ78" s="72"/>
      <c r="GR78" s="73"/>
      <c r="GS78" s="72"/>
      <c r="GT78" s="73"/>
      <c r="GU78" s="72"/>
      <c r="GV78" s="73"/>
      <c r="GW78" s="72"/>
      <c r="GX78" s="73"/>
      <c r="GY78" s="72"/>
      <c r="GZ78" s="72"/>
      <c r="HA78" s="72"/>
      <c r="HB78" s="72"/>
      <c r="HC78"/>
      <c r="HD78"/>
      <c r="HE78"/>
      <c r="HF78"/>
      <c r="HG78"/>
      <c r="HH78"/>
      <c r="HI78" s="2"/>
    </row>
    <row r="79" spans="1:217" s="3" customFormat="1" ht="12.75" customHeight="1" x14ac:dyDescent="0.2">
      <c r="B79" s="70" t="s">
        <v>624</v>
      </c>
      <c r="C79" s="73"/>
      <c r="D79" s="72"/>
      <c r="E79" s="73"/>
      <c r="F79" s="72"/>
      <c r="G79" s="73"/>
      <c r="H79" s="72"/>
      <c r="I79" s="73"/>
      <c r="J79" s="72"/>
      <c r="K79" s="73"/>
      <c r="L79" s="72"/>
      <c r="M79" s="73"/>
      <c r="N79" s="72"/>
      <c r="O79" s="73"/>
      <c r="P79" s="72"/>
      <c r="Q79" s="73"/>
      <c r="R79" s="72"/>
      <c r="S79" s="73"/>
      <c r="T79" s="72"/>
      <c r="U79" s="73"/>
      <c r="V79" s="72"/>
      <c r="W79" s="73"/>
      <c r="X79" s="72"/>
      <c r="Y79" s="73"/>
      <c r="Z79" s="72"/>
      <c r="AA79" s="73"/>
      <c r="AB79" s="72"/>
      <c r="AC79" s="73"/>
      <c r="AD79" s="72"/>
      <c r="AE79" s="73"/>
      <c r="AF79" s="72"/>
      <c r="AG79" s="73"/>
      <c r="AH79" s="72"/>
      <c r="AI79" s="73"/>
      <c r="AJ79" s="72"/>
      <c r="AK79" s="73"/>
      <c r="AL79" s="72"/>
      <c r="AM79" s="73"/>
      <c r="AN79" s="72"/>
      <c r="AO79" s="73"/>
      <c r="AP79" s="72"/>
      <c r="AQ79" s="73"/>
      <c r="AR79" s="72"/>
      <c r="AS79" s="73"/>
      <c r="AT79" s="72"/>
      <c r="AU79" s="73"/>
      <c r="AV79" s="72"/>
      <c r="AW79" s="73"/>
      <c r="AX79" s="72"/>
      <c r="AY79" s="73"/>
      <c r="AZ79" s="72"/>
      <c r="BA79" s="73"/>
      <c r="BB79" s="72"/>
      <c r="BC79" s="73"/>
      <c r="BD79" s="72"/>
      <c r="BE79" s="73"/>
      <c r="BF79" s="72"/>
      <c r="BG79" s="73"/>
      <c r="BH79" s="72"/>
      <c r="BI79" s="73"/>
      <c r="BJ79" s="72"/>
      <c r="BK79" s="73"/>
      <c r="BL79" s="72"/>
      <c r="BM79" s="73"/>
      <c r="BN79" s="72"/>
      <c r="BO79" s="73"/>
      <c r="BP79" s="72"/>
      <c r="BQ79" s="73"/>
      <c r="BR79" s="72"/>
      <c r="BS79" s="73"/>
      <c r="BT79" s="72"/>
      <c r="BU79" s="73"/>
      <c r="BV79" s="72"/>
      <c r="BW79" s="73"/>
      <c r="BX79" s="72"/>
      <c r="BY79" s="73"/>
      <c r="BZ79" s="72"/>
      <c r="CA79" s="73"/>
      <c r="CB79" s="72"/>
      <c r="CC79" s="73"/>
      <c r="CD79" s="72"/>
      <c r="CE79" s="73"/>
      <c r="CF79" s="72"/>
      <c r="CG79" s="73"/>
      <c r="CH79" s="72"/>
      <c r="CI79" s="73"/>
      <c r="CJ79" s="72"/>
      <c r="CK79" s="73"/>
      <c r="CL79" s="72"/>
      <c r="CM79" s="73"/>
      <c r="CN79" s="72"/>
      <c r="CO79" s="73"/>
      <c r="CP79" s="72"/>
      <c r="CQ79" s="73"/>
      <c r="CR79" s="72"/>
      <c r="CS79" s="73"/>
      <c r="CT79" s="72"/>
      <c r="CU79" s="73"/>
      <c r="CV79" s="72"/>
      <c r="CW79" s="73"/>
      <c r="CX79" s="72"/>
      <c r="CY79" s="73"/>
      <c r="CZ79" s="72"/>
      <c r="DA79" s="73"/>
      <c r="DB79" s="72"/>
      <c r="DC79" s="73"/>
      <c r="DD79" s="72"/>
      <c r="DE79" s="73"/>
      <c r="DF79" s="72"/>
      <c r="DG79" s="73"/>
      <c r="DH79" s="72"/>
      <c r="DI79" s="73"/>
      <c r="DJ79" s="72"/>
      <c r="DK79" s="73"/>
      <c r="DL79" s="72"/>
      <c r="DM79" s="73"/>
      <c r="DN79" s="72"/>
      <c r="DO79" s="73"/>
      <c r="DP79" s="72"/>
      <c r="DQ79" s="73"/>
      <c r="DR79" s="72"/>
      <c r="DS79" s="73"/>
      <c r="DT79" s="72"/>
      <c r="DU79" s="73"/>
      <c r="DV79" s="72"/>
      <c r="DW79" s="73"/>
      <c r="DX79" s="72"/>
      <c r="DY79" s="73"/>
      <c r="DZ79" s="72"/>
      <c r="EA79" s="73"/>
      <c r="EB79" s="72"/>
      <c r="EC79" s="73"/>
      <c r="ED79" s="72"/>
      <c r="EE79" s="73"/>
      <c r="EF79" s="72"/>
      <c r="EG79" s="73"/>
      <c r="EH79" s="72"/>
      <c r="EI79" s="73"/>
      <c r="EJ79" s="72"/>
      <c r="EK79" s="73"/>
      <c r="EL79" s="72"/>
      <c r="EM79" s="73"/>
      <c r="EN79" s="72"/>
      <c r="EO79" s="73"/>
      <c r="EP79" s="72"/>
      <c r="EQ79" s="73"/>
      <c r="ER79" s="72"/>
      <c r="ES79" s="73"/>
      <c r="ET79" s="72"/>
      <c r="EU79" s="73"/>
      <c r="EV79" s="72"/>
      <c r="EW79" s="73"/>
      <c r="EX79" s="72"/>
      <c r="EY79" s="72"/>
      <c r="EZ79" s="306"/>
      <c r="FA79" s="72"/>
      <c r="FB79" s="73"/>
      <c r="FC79" s="72"/>
      <c r="FD79" s="73"/>
      <c r="FE79" s="72"/>
      <c r="FF79" s="73"/>
      <c r="FG79" s="72"/>
      <c r="FH79" s="73"/>
      <c r="FI79" s="72"/>
      <c r="FJ79" s="73"/>
      <c r="FK79" s="72"/>
      <c r="FL79" s="73"/>
      <c r="FM79" s="72"/>
      <c r="FN79" s="73"/>
      <c r="FO79" s="72"/>
      <c r="FP79" s="73"/>
      <c r="FQ79" s="72"/>
      <c r="FR79" s="73"/>
      <c r="FS79" s="72"/>
      <c r="FT79" s="73"/>
      <c r="FU79" s="72"/>
      <c r="FV79" s="73"/>
      <c r="FW79" s="72"/>
      <c r="FX79" s="73"/>
      <c r="FY79" s="72"/>
      <c r="FZ79" s="73"/>
      <c r="GA79" s="72"/>
      <c r="GB79" s="73"/>
      <c r="GC79" s="72"/>
      <c r="GD79" s="73"/>
      <c r="GE79" s="72"/>
      <c r="GF79" s="73"/>
      <c r="GG79" s="72"/>
      <c r="GH79" s="73"/>
      <c r="GI79" s="72"/>
      <c r="GJ79" s="73"/>
      <c r="GK79" s="72"/>
      <c r="GL79" s="73"/>
      <c r="GM79" s="72"/>
      <c r="GN79" s="73"/>
      <c r="GO79" s="72"/>
      <c r="GP79" s="73"/>
      <c r="GQ79" s="72"/>
      <c r="GR79" s="73"/>
      <c r="GS79" s="72"/>
      <c r="GT79" s="73"/>
      <c r="GU79" s="72"/>
      <c r="GV79" s="73"/>
      <c r="GW79" s="72"/>
      <c r="GX79" s="73"/>
      <c r="GY79" s="72"/>
      <c r="GZ79" s="72"/>
      <c r="HA79" s="72"/>
      <c r="HB79" s="72"/>
      <c r="HC79"/>
      <c r="HD79"/>
      <c r="HE79"/>
      <c r="HF79"/>
      <c r="HG79"/>
      <c r="HH79"/>
      <c r="HI79" s="2"/>
    </row>
    <row r="80" spans="1:217" s="3" customFormat="1" ht="12.75" customHeight="1" x14ac:dyDescent="0.2">
      <c r="B80" s="77" t="s">
        <v>213</v>
      </c>
      <c r="C80" s="74">
        <f>FF80-I80-G80-E80</f>
        <v>38</v>
      </c>
      <c r="D80" s="72"/>
      <c r="E80" s="74">
        <v>36</v>
      </c>
      <c r="F80" s="72"/>
      <c r="G80" s="74">
        <v>35</v>
      </c>
      <c r="H80" s="72"/>
      <c r="I80" s="74">
        <v>44</v>
      </c>
      <c r="J80" s="72"/>
      <c r="K80" s="74">
        <v>24</v>
      </c>
      <c r="L80" s="72">
        <f t="shared" ref="L80:L85" si="472">IF(ISERROR(K80/C80),"NA",IF(OR(K80/C80&gt;2,K80/C80&lt;0.5),"NM",K80/C80*100-100))</f>
        <v>-36.842105263157897</v>
      </c>
      <c r="M80" s="74">
        <v>25</v>
      </c>
      <c r="N80" s="72">
        <f t="shared" ref="N80:N85" si="473">IF(ISERROR(M80/E80),"NA",IF(OR(M80/E80&gt;2,M80/E80&lt;0.5),"NM",M80/E80*100-100))</f>
        <v>-30.555555555555557</v>
      </c>
      <c r="O80" s="74">
        <v>28</v>
      </c>
      <c r="P80" s="72">
        <f t="shared" ref="P80:P85" si="474">IF(ISERROR(O80/G80),"NA",IF(OR(O80/G80&gt;2,O80/G80&lt;0.5),"NM",O80/G80*100-100))</f>
        <v>-20</v>
      </c>
      <c r="Q80" s="74">
        <v>33</v>
      </c>
      <c r="R80" s="72">
        <f t="shared" ref="R80:AP85" si="475">IF(ISERROR(Q80/I80),"NA",IF(OR(Q80/I80&gt;2,Q80/I80&lt;0.5),"NM",Q80/I80*100-100))</f>
        <v>-25</v>
      </c>
      <c r="S80" s="74">
        <v>28</v>
      </c>
      <c r="T80" s="72">
        <f t="shared" si="475"/>
        <v>16.666666666666671</v>
      </c>
      <c r="U80" s="74">
        <v>37</v>
      </c>
      <c r="V80" s="72">
        <f t="shared" si="475"/>
        <v>48</v>
      </c>
      <c r="W80" s="74">
        <v>37</v>
      </c>
      <c r="X80" s="72">
        <f t="shared" si="475"/>
        <v>32.142857142857139</v>
      </c>
      <c r="Y80" s="74">
        <v>37</v>
      </c>
      <c r="Z80" s="72">
        <f t="shared" si="475"/>
        <v>12.12121212121211</v>
      </c>
      <c r="AA80" s="74">
        <v>43</v>
      </c>
      <c r="AB80" s="72">
        <f t="shared" si="475"/>
        <v>53.571428571428584</v>
      </c>
      <c r="AC80" s="74">
        <v>41</v>
      </c>
      <c r="AD80" s="72">
        <f t="shared" si="475"/>
        <v>10.810810810810807</v>
      </c>
      <c r="AE80" s="74">
        <v>50</v>
      </c>
      <c r="AF80" s="72">
        <f t="shared" si="475"/>
        <v>35.13513513513513</v>
      </c>
      <c r="AG80" s="74">
        <v>77</v>
      </c>
      <c r="AH80" s="72" t="str">
        <f t="shared" si="475"/>
        <v>NM</v>
      </c>
      <c r="AI80" s="74">
        <v>43</v>
      </c>
      <c r="AJ80" s="72">
        <f t="shared" si="475"/>
        <v>0</v>
      </c>
      <c r="AK80" s="74">
        <v>50</v>
      </c>
      <c r="AL80" s="72">
        <f t="shared" si="475"/>
        <v>21.951219512195124</v>
      </c>
      <c r="AM80" s="74">
        <v>55</v>
      </c>
      <c r="AN80" s="72">
        <f t="shared" si="475"/>
        <v>10.000000000000014</v>
      </c>
      <c r="AO80" s="74">
        <v>53</v>
      </c>
      <c r="AP80" s="72">
        <f t="shared" si="475"/>
        <v>-31.168831168831161</v>
      </c>
      <c r="AQ80" s="74">
        <v>62</v>
      </c>
      <c r="AR80" s="72">
        <f t="shared" ref="AR80:AR85" si="476">IF(ISERROR(AQ80/AI80),"NA",IF(OR(AQ80/AI80&gt;2,AQ80/AI80&lt;0.5),"NM",AQ80/AI80*100-100))</f>
        <v>44.186046511627893</v>
      </c>
      <c r="AS80" s="74">
        <v>51</v>
      </c>
      <c r="AT80" s="72">
        <f t="shared" ref="AT80:AT85" si="477">IF(ISERROR(AS80/AK80),"NA",IF(OR(AS80/AK80&gt;2,AS80/AK80&lt;0.5),"NM",AS80/AK80*100-100))</f>
        <v>2</v>
      </c>
      <c r="AU80" s="74">
        <v>16</v>
      </c>
      <c r="AV80" s="72" t="str">
        <f t="shared" ref="AV80:AV85" si="478">IF(ISERROR(AU80/AM80),"NA",IF(OR(AU80/AM80&gt;2,AU80/AM80&lt;0.5),"NM",AU80/AM80*100-100))</f>
        <v>NM</v>
      </c>
      <c r="AW80" s="74">
        <v>39</v>
      </c>
      <c r="AX80" s="72">
        <f t="shared" ref="AX80:AX85" si="479">IF(ISERROR(AW80/AO80),"NA",IF(OR(AW80/AO80&gt;2,AW80/AO80&lt;0.5),"NM",AW80/AO80*100-100))</f>
        <v>-26.415094339622641</v>
      </c>
      <c r="AY80" s="74">
        <v>49</v>
      </c>
      <c r="AZ80" s="72">
        <f t="shared" ref="AZ80:AZ85" si="480">IF(ISERROR(AY80/AQ80),"NA",IF(OR(AY80/AQ80&gt;2,AY80/AQ80&lt;0.5),"NM",AY80/AQ80*100-100))</f>
        <v>-20.967741935483872</v>
      </c>
      <c r="BA80" s="74">
        <v>51</v>
      </c>
      <c r="BB80" s="72">
        <f t="shared" ref="BB80:BB85" si="481">IF(ISERROR(BA80/AS80),"NA",IF(OR(BA80/AS80&gt;2,BA80/AS80&lt;0.5),"NM",BA80/AS80*100-100))</f>
        <v>0</v>
      </c>
      <c r="BC80" s="74">
        <v>66</v>
      </c>
      <c r="BD80" s="72" t="str">
        <f t="shared" ref="BD80:BD85" si="482">IF(ISERROR(BC80/AU80),"NA",IF(OR(BC80/AU80&gt;2,BC80/AU80&lt;0.5),"NM",BC80/AU80*100-100))</f>
        <v>NM</v>
      </c>
      <c r="BE80" s="74">
        <v>67</v>
      </c>
      <c r="BF80" s="72">
        <f t="shared" ref="BF80:BF85" si="483">IF(ISERROR(BE80/AW80),"NA",IF(OR(BE80/AW80&gt;2,BE80/AW80&lt;0.5),"NM",BE80/AW80*100-100))</f>
        <v>71.794871794871796</v>
      </c>
      <c r="BG80" s="74">
        <v>59</v>
      </c>
      <c r="BH80" s="72">
        <f t="shared" ref="BH80:BH85" si="484">IF(ISERROR(BG80/AY80),"NA",IF(OR(BG80/AY80&gt;2,BG80/AY80&lt;0.5),"NM",BG80/AY80*100-100))</f>
        <v>20.408163265306129</v>
      </c>
      <c r="BI80" s="74">
        <v>59</v>
      </c>
      <c r="BJ80" s="72">
        <f t="shared" ref="BJ80:BJ85" si="485">IF(ISERROR(BI80/BA80),"NA",IF(OR(BI80/BA80&gt;2,BI80/BA80&lt;0.5),"NM",BI80/BA80*100-100))</f>
        <v>15.686274509803937</v>
      </c>
      <c r="BK80" s="74">
        <v>31</v>
      </c>
      <c r="BL80" s="72" t="str">
        <f t="shared" ref="BL80:BL85" si="486">IF(ISERROR(BK80/BC80),"NA",IF(OR(BK80/BC80&gt;2,BK80/BC80&lt;0.5),"NM",BK80/BC80*100-100))</f>
        <v>NM</v>
      </c>
      <c r="BM80" s="74">
        <v>62</v>
      </c>
      <c r="BN80" s="72">
        <f t="shared" ref="BN80:BN85" si="487">IF(ISERROR(BM80/BE80),"NA",IF(OR(BM80/BE80&gt;2,BM80/BE80&lt;0.5),"NM",BM80/BE80*100-100))</f>
        <v>-7.4626865671641838</v>
      </c>
      <c r="BO80" s="74">
        <v>71</v>
      </c>
      <c r="BP80" s="72">
        <f t="shared" ref="BP80:BP85" si="488">IF(ISERROR(BO80/BG80),"NA",IF(OR(BO80/BG80&gt;2,BO80/BG80&lt;0.5),"NM",BO80/BG80*100-100))</f>
        <v>20.338983050847446</v>
      </c>
      <c r="BQ80" s="74">
        <v>58</v>
      </c>
      <c r="BR80" s="72">
        <f t="shared" ref="BR80:BR85" si="489">IF(ISERROR(BQ80/BI80),"NA",IF(OR(BQ80/BI80&gt;2,BQ80/BI80&lt;0.5),"NM",BQ80/BI80*100-100))</f>
        <v>-1.6949152542372872</v>
      </c>
      <c r="BS80" s="74">
        <v>344</v>
      </c>
      <c r="BT80" s="72" t="str">
        <f t="shared" ref="BT80:BT85" si="490">IF(ISERROR(BS80/BK80),"NA",IF(OR(BS80/BK80&gt;2,BS80/BK80&lt;0.5),"NM",BS80/BK80*100-100))</f>
        <v>NM</v>
      </c>
      <c r="BU80" s="74">
        <v>474</v>
      </c>
      <c r="BV80" s="72" t="str">
        <f t="shared" ref="BV80:BV85" si="491">IF(ISERROR(BU80/BM80),"NA",IF(OR(BU80/BM80&gt;2,BU80/BM80&lt;0.5),"NM",BU80/BM80*100-100))</f>
        <v>NM</v>
      </c>
      <c r="BW80" s="74">
        <v>304</v>
      </c>
      <c r="BX80" s="72" t="str">
        <f t="shared" ref="BX80:BX85" si="492">IF(ISERROR(BW80/BO80),"NA",IF(OR(BW80/BO80&gt;2,BW80/BO80&lt;0.5),"NM",BW80/BO80*100-100))</f>
        <v>NM</v>
      </c>
      <c r="BY80" s="74">
        <v>-179</v>
      </c>
      <c r="BZ80" s="72" t="str">
        <f t="shared" ref="BZ80:BZ85" si="493">IF(ISERROR(BY80/BQ80),"NA",IF(OR(BY80/BQ80&gt;2,BY80/BQ80&lt;0.5),"NM",BY80/BQ80*100-100))</f>
        <v>NM</v>
      </c>
      <c r="CA80" s="74">
        <v>-85</v>
      </c>
      <c r="CB80" s="72" t="str">
        <f t="shared" ref="CB80:CB85" si="494">IF(ISERROR(CA80/BS80),"NA",IF(OR(CA80/BS80&gt;2,CA80/BS80&lt;0.5),"NM",CA80/BS80*100-100))</f>
        <v>NM</v>
      </c>
      <c r="CC80" s="74">
        <v>49</v>
      </c>
      <c r="CD80" s="72" t="str">
        <f t="shared" ref="CD80:CD85" si="495">IF(ISERROR(CC80/BU80),"NA",IF(OR(CC80/BU80&gt;2,CC80/BU80&lt;0.5),"NM",CC80/BU80*100-100))</f>
        <v>NM</v>
      </c>
      <c r="CE80" s="74">
        <v>39</v>
      </c>
      <c r="CF80" s="72" t="str">
        <f t="shared" ref="CF80:CF85" si="496">IF(ISERROR(CE80/BW80),"NA",IF(OR(CE80/BW80&gt;2,CE80/BW80&lt;0.5),"NM",CE80/BW80*100-100))</f>
        <v>NM</v>
      </c>
      <c r="CG80" s="74">
        <v>298</v>
      </c>
      <c r="CH80" s="72" t="str">
        <f t="shared" ref="CH80:CH85" si="497">IF(ISERROR(CG80/BY80),"NA",IF(OR(CG80/BY80&gt;2,CG80/BY80&lt;0.5),"NM",CG80/BY80*100-100))</f>
        <v>NM</v>
      </c>
      <c r="CI80" s="74">
        <v>-49</v>
      </c>
      <c r="CJ80" s="72">
        <f t="shared" ref="CJ80:CT85" si="498">IF(ISERROR(CI80/CA80),"NA",IF(OR(CI80/CA80&gt;2,CI80/CA80&lt;0.5),"NM",CI80/CA80*100-100))</f>
        <v>-42.352941176470594</v>
      </c>
      <c r="CK80" s="74">
        <v>3</v>
      </c>
      <c r="CL80" s="72" t="str">
        <f t="shared" si="498"/>
        <v>NM</v>
      </c>
      <c r="CM80" s="74">
        <v>60</v>
      </c>
      <c r="CN80" s="72">
        <f t="shared" si="498"/>
        <v>53.846153846153868</v>
      </c>
      <c r="CO80" s="74">
        <v>110</v>
      </c>
      <c r="CP80" s="72" t="str">
        <f t="shared" si="498"/>
        <v>NM</v>
      </c>
      <c r="CQ80" s="74">
        <v>331</v>
      </c>
      <c r="CR80" s="72" t="str">
        <f t="shared" si="498"/>
        <v>NM</v>
      </c>
      <c r="CS80" s="74">
        <v>-25</v>
      </c>
      <c r="CT80" s="72" t="str">
        <f t="shared" si="498"/>
        <v>NM</v>
      </c>
      <c r="CU80" s="74">
        <v>-45</v>
      </c>
      <c r="CV80" s="72" t="str">
        <f t="shared" ref="CV80:CV85" si="499">IF(ISERROR(CU80/CM80),"NA",IF(OR(CU80/CM80&gt;2,CU80/CM80&lt;0.5),"NM",CU80/CM80*100-100))</f>
        <v>NM</v>
      </c>
      <c r="CW80" s="74">
        <v>178</v>
      </c>
      <c r="CX80" s="72">
        <f t="shared" ref="CX80:CX85" si="500">IF(ISERROR(CW80/CO80),"NA",IF(OR(CW80/CO80&gt;2,CW80/CO80&lt;0.5),"NM",CW80/CO80*100-100))</f>
        <v>61.818181818181813</v>
      </c>
      <c r="CY80" s="74">
        <v>385</v>
      </c>
      <c r="CZ80" s="72">
        <f t="shared" ref="CZ80:CZ85" si="501">IF(ISERROR(CY80/CQ80),"NA",IF(OR(CY80/CQ80&gt;2,CY80/CQ80&lt;0.5),"NM",CY80/CQ80*100-100))</f>
        <v>16.314199395770387</v>
      </c>
      <c r="DA80" s="74">
        <v>55</v>
      </c>
      <c r="DB80" s="72" t="str">
        <f t="shared" ref="DB80:DB85" si="502">IF(ISERROR(DA80/CS80),"NA",IF(OR(DA80/CS80&gt;2,DA80/CS80&lt;0.5),"NM",DA80/CS80*100-100))</f>
        <v>NM</v>
      </c>
      <c r="DC80" s="74">
        <v>42</v>
      </c>
      <c r="DD80" s="72" t="str">
        <f t="shared" ref="DD80:DD85" si="503">IF(ISERROR(DC80/CU80),"NA",IF(OR(DC80/CU80&gt;2,DC80/CU80&lt;0.5),"NM",DC80/CU80*100-100))</f>
        <v>NM</v>
      </c>
      <c r="DE80" s="74">
        <v>73</v>
      </c>
      <c r="DF80" s="72" t="str">
        <f t="shared" ref="DF80:DF85" si="504">IF(ISERROR(DE80/CW80),"NA",IF(OR(DE80/CW80&gt;2,DE80/CW80&lt;0.5),"NM",DE80/CW80*100-100))</f>
        <v>NM</v>
      </c>
      <c r="DG80" s="74">
        <v>-68</v>
      </c>
      <c r="DH80" s="72" t="str">
        <f t="shared" ref="DH80:DH85" si="505">IF(ISERROR(DG80/CY80),"NA",IF(OR(DG80/CY80&gt;2,DG80/CY80&lt;0.5),"NM",DG80/CY80*100-100))</f>
        <v>NM</v>
      </c>
      <c r="DI80" s="74">
        <v>30</v>
      </c>
      <c r="DJ80" s="72">
        <f t="shared" ref="DJ80:DJ85" si="506">IF(ISERROR(DI80/DA80),"NA",IF(OR(DI80/DA80&gt;2,DI80/DA80&lt;0.5),"NM",DI80/DA80*100-100))</f>
        <v>-45.45454545454546</v>
      </c>
      <c r="DK80" s="74">
        <v>115</v>
      </c>
      <c r="DL80" s="72" t="str">
        <f t="shared" ref="DL80:DL85" si="507">IF(ISERROR(DK80/DC80),"NA",IF(OR(DK80/DC80&gt;2,DK80/DC80&lt;0.5),"NM",DK80/DC80*100-100))</f>
        <v>NM</v>
      </c>
      <c r="DM80" s="74">
        <v>99</v>
      </c>
      <c r="DN80" s="72">
        <f t="shared" ref="DN80:DZ85" si="508">IF(ISERROR(DM80/DE80),"NA",IF(OR(DM80/DE80&gt;2,DM80/DE80&lt;0.5),"NM",DM80/DE80*100-100))</f>
        <v>35.616438356164394</v>
      </c>
      <c r="DO80" s="74">
        <v>123</v>
      </c>
      <c r="DP80" s="72" t="str">
        <f t="shared" si="508"/>
        <v>NM</v>
      </c>
      <c r="DQ80" s="74">
        <v>144</v>
      </c>
      <c r="DR80" s="72" t="str">
        <f t="shared" si="508"/>
        <v>NM</v>
      </c>
      <c r="DS80" s="74">
        <v>48</v>
      </c>
      <c r="DT80" s="72" t="str">
        <f t="shared" si="508"/>
        <v>NM</v>
      </c>
      <c r="DU80" s="74">
        <v>33</v>
      </c>
      <c r="DV80" s="72" t="str">
        <f t="shared" si="508"/>
        <v>NM</v>
      </c>
      <c r="DW80" s="74">
        <v>154</v>
      </c>
      <c r="DX80" s="72">
        <f t="shared" si="508"/>
        <v>25.203252032520311</v>
      </c>
      <c r="DY80" s="74">
        <v>79</v>
      </c>
      <c r="DZ80" s="72">
        <f t="shared" si="508"/>
        <v>-45.138888888888886</v>
      </c>
      <c r="EA80" s="74">
        <v>111</v>
      </c>
      <c r="EB80" s="72" t="str">
        <f t="shared" ref="EB80:EB85" si="509">IF(ISERROR(EA80/DS80),"NA",IF(OR(EA80/DS80&gt;2,EA80/DS80&lt;0.5),"NM",EA80/DS80*100-100))</f>
        <v>NM</v>
      </c>
      <c r="EC80" s="74">
        <v>57</v>
      </c>
      <c r="ED80" s="72">
        <f t="shared" ref="ED80:ED85" si="510">IF(ISERROR(EC80/DU80),"NA",IF(OR(EC80/DU80&gt;2,EC80/DU80&lt;0.5),"NM",EC80/DU80*100-100))</f>
        <v>72.72727272727272</v>
      </c>
      <c r="EE80" s="74">
        <v>38</v>
      </c>
      <c r="EF80" s="72" t="str">
        <f t="shared" ref="EF80:EF85" si="511">IF(ISERROR(EE80/DW80),"NA",IF(OR(EE80/DW80&gt;2,EE80/DW80&lt;0.5),"NM",EE80/DW80*100-100))</f>
        <v>NM</v>
      </c>
      <c r="EG80" s="74">
        <v>100</v>
      </c>
      <c r="EH80" s="72">
        <f t="shared" ref="EH80:EH85" si="512">IF(ISERROR(EG80/DY80),"NA",IF(OR(EG80/DY80&gt;2,EG80/DY80&lt;0.5),"NM",EG80/DY80*100-100))</f>
        <v>26.582278481012665</v>
      </c>
      <c r="EI80" s="74">
        <v>88</v>
      </c>
      <c r="EJ80" s="72">
        <f t="shared" ref="EJ80:EJ85" si="513">IF(ISERROR(EI80/EA80),"NA",IF(OR(EI80/EA80&gt;2,EI80/EA80&lt;0.5),"NM",EI80/EA80*100-100))</f>
        <v>-20.72072072072072</v>
      </c>
      <c r="EK80" s="74">
        <v>71</v>
      </c>
      <c r="EL80" s="72">
        <f t="shared" ref="EL80:EL85" si="514">IF(ISERROR(EK80/EC80),"NA",IF(OR(EK80/EC80&gt;2,EK80/EC80&lt;0.5),"NM",EK80/EC80*100-100))</f>
        <v>24.561403508771946</v>
      </c>
      <c r="EM80" s="74">
        <v>87</v>
      </c>
      <c r="EN80" s="72" t="str">
        <f t="shared" ref="EN80:EN85" si="515">IF(ISERROR(EM80/EE80),"NA",IF(OR(EM80/EE80&gt;2,EM80/EE80&lt;0.5),"NM",EM80/EE80*100-100))</f>
        <v>NM</v>
      </c>
      <c r="EO80" s="74">
        <v>72</v>
      </c>
      <c r="EP80" s="72">
        <f t="shared" ref="EP80:EP85" si="516">IF(ISERROR(EO80/EG80),"NA",IF(OR(EO80/EG80&gt;2,EO80/EG80&lt;0.5),"NM",EO80/EG80*100-100))</f>
        <v>-28</v>
      </c>
      <c r="EQ80" s="75">
        <f t="shared" ref="EQ80" si="517">EQ67*EQ87/100</f>
        <v>86.809092120381848</v>
      </c>
      <c r="ER80" s="72">
        <f t="shared" ref="ER80:ER85" si="518">IF(ISERROR(EQ80/EI80),"NA",IF(OR(EQ80/EI80&gt;2,EQ80/EI80&lt;0.5),"NM",EQ80/EI80*100-100))</f>
        <v>-1.3533044086569816</v>
      </c>
      <c r="ES80" s="75">
        <f t="shared" ref="ES80" si="519">ES67*ES87/100</f>
        <v>85.517984940177826</v>
      </c>
      <c r="ET80" s="72">
        <f t="shared" ref="ET80:ET85" si="520">IF(ISERROR(ES80/EK80),"NA",IF(OR(ES80/EK80&gt;2,ES80/EK80&lt;0.5),"NM",ES80/EK80*100-100))</f>
        <v>20.447866112926505</v>
      </c>
      <c r="EU80" s="75">
        <f t="shared" ref="EU80" si="521">EU67*EU87/100</f>
        <v>85.240327378758025</v>
      </c>
      <c r="EV80" s="72">
        <f t="shared" ref="EV80:EV85" si="522">IF(ISERROR(EU80/EM80),"NA",IF(OR(EU80/EM80&gt;2,EU80/EM80&lt;0.5),"NM",EU80/EM80*100-100))</f>
        <v>-2.0226122083241194</v>
      </c>
      <c r="EW80" s="75">
        <f t="shared" ref="EW80" si="523">EW67*EW87/100</f>
        <v>84.981308985369935</v>
      </c>
      <c r="EX80" s="72">
        <f t="shared" ref="EX80:EX85" si="524">IF(ISERROR(EW80/EO80),"NA",IF(OR(EW80/EO80&gt;2,EW80/EO80&lt;0.5),"NM",EW80/EO80*100-100))</f>
        <v>18.029595813013799</v>
      </c>
      <c r="EY80" s="72"/>
      <c r="EZ80" s="309"/>
      <c r="FA80" s="72"/>
      <c r="FB80" s="74">
        <v>125</v>
      </c>
      <c r="FC80" s="72"/>
      <c r="FD80" s="74">
        <v>118</v>
      </c>
      <c r="FE80" s="72">
        <f t="shared" ref="FE80:FE85" si="525">IF(ISERROR(FD80/FB80),"NA",IF(OR(FD80/FB80&gt;2,FD80/FB80&lt;0.5),"NM",FD80/FB80*100-100))</f>
        <v>-5.6000000000000085</v>
      </c>
      <c r="FF80" s="74">
        <v>153</v>
      </c>
      <c r="FG80" s="72">
        <f t="shared" ref="FG80:FG85" si="526">IF(ISERROR(FF80/FD80),"NA",IF(OR(FF80/FD80&gt;2,FF80/FD80&lt;0.5),"NM",FF80/FD80*100-100))</f>
        <v>29.661016949152554</v>
      </c>
      <c r="FH80" s="75">
        <f>K80+M80+O80+Q80</f>
        <v>110</v>
      </c>
      <c r="FI80" s="72">
        <f t="shared" ref="FI80:FI85" si="527">IF(ISERROR(FH80/FF80),"NA",IF(OR(FH80/FF80&gt;2,FH80/FF80&lt;0.5),"NM",FH80/FF80*100-100))</f>
        <v>-28.104575163398692</v>
      </c>
      <c r="FJ80" s="75">
        <f>S80+U80+W80+Y80</f>
        <v>139</v>
      </c>
      <c r="FK80" s="72">
        <f t="shared" ref="FK80:FK85" si="528">IF(ISERROR(FJ80/FH80),"NA",IF(OR(FJ80/FH80&gt;2,FJ80/FH80&lt;0.5),"NM",FJ80/FH80*100-100))</f>
        <v>26.363636363636374</v>
      </c>
      <c r="FL80" s="75">
        <f>AA80+AC80+AE80+AG80</f>
        <v>211</v>
      </c>
      <c r="FM80" s="72">
        <f t="shared" ref="FM80:FM85" si="529">IF(ISERROR(FL80/FJ80),"NA",IF(OR(FL80/FJ80&gt;2,FL80/FJ80&lt;0.5),"NM",FL80/FJ80*100-100))</f>
        <v>51.798561151079156</v>
      </c>
      <c r="FN80" s="75">
        <f>AI80+AK80+AM80+AO80</f>
        <v>201</v>
      </c>
      <c r="FO80" s="72">
        <f t="shared" ref="FO80:FO85" si="530">IF(ISERROR(FN80/FL80),"NA",IF(OR(FN80/FL80&gt;2,FN80/FL80&lt;0.5),"NM",FN80/FL80*100-100))</f>
        <v>-4.7393364928909989</v>
      </c>
      <c r="FP80" s="75">
        <f>AQ80+AS80+AU80+AW80</f>
        <v>168</v>
      </c>
      <c r="FQ80" s="72">
        <f t="shared" ref="FQ80:FQ85" si="531">IF(ISERROR(FP80/FN80),"NA",IF(OR(FP80/FN80&gt;2,FP80/FN80&lt;0.5),"NM",FP80/FN80*100-100))</f>
        <v>-16.417910447761201</v>
      </c>
      <c r="FR80" s="75">
        <f>AY80+BA80+BC80+BE80</f>
        <v>233</v>
      </c>
      <c r="FS80" s="72">
        <f t="shared" ref="FS80:FS85" si="532">IF(ISERROR(FR80/FP80),"NA",IF(OR(FR80/FP80&gt;2,FR80/FP80&lt;0.5),"NM",FR80/FP80*100-100))</f>
        <v>38.690476190476176</v>
      </c>
      <c r="FT80" s="75">
        <f>BG80+BI80+BK80+BM80</f>
        <v>211</v>
      </c>
      <c r="FU80" s="72">
        <f t="shared" ref="FU80:FU85" si="533">IF(ISERROR(FT80/FR80),"NA",IF(OR(FT80/FR80&gt;2,FT80/FR80&lt;0.5),"NM",FT80/FR80*100-100))</f>
        <v>-9.4420600858369141</v>
      </c>
      <c r="FV80" s="75">
        <f>BO80+BQ80+BS80+BU80</f>
        <v>947</v>
      </c>
      <c r="FW80" s="72" t="str">
        <f t="shared" ref="FW80:GG85" si="534">IF(ISERROR(FV80/FT80),"NA",IF(OR(FV80/FT80&gt;2,FV80/FT80&lt;0.5),"NM",FV80/FT80*100-100))</f>
        <v>NM</v>
      </c>
      <c r="FX80" s="75">
        <f>BW80+BY80+CA80+CC80</f>
        <v>89</v>
      </c>
      <c r="FY80" s="72" t="str">
        <f t="shared" si="534"/>
        <v>NM</v>
      </c>
      <c r="FZ80" s="75">
        <f>CE80+CG80+CI80+CK80</f>
        <v>291</v>
      </c>
      <c r="GA80" s="72" t="str">
        <f t="shared" si="534"/>
        <v>NM</v>
      </c>
      <c r="GB80" s="75">
        <f>CM80+CO80+CQ80+CS80</f>
        <v>476</v>
      </c>
      <c r="GC80" s="72">
        <f t="shared" si="534"/>
        <v>63.573883161512015</v>
      </c>
      <c r="GD80" s="75">
        <f>CU80+CW80+CY80+DA80</f>
        <v>573</v>
      </c>
      <c r="GE80" s="72">
        <f t="shared" si="534"/>
        <v>20.378151260504197</v>
      </c>
      <c r="GF80" s="75">
        <f>DC80+DE80+DG80+DI80</f>
        <v>77</v>
      </c>
      <c r="GG80" s="72" t="str">
        <f t="shared" si="534"/>
        <v>NM</v>
      </c>
      <c r="GH80" s="75">
        <f>DK80+DM80+DO80+DQ80</f>
        <v>481</v>
      </c>
      <c r="GI80" s="72" t="str">
        <f t="shared" ref="GI80:GU85" si="535">IF(ISERROR(GH80/GF80),"NA",IF(OR(GH80/GF80&gt;2,GH80/GF80&lt;0.5),"NM",GH80/GF80*100-100))</f>
        <v>NM</v>
      </c>
      <c r="GJ80" s="75">
        <f>DS80+DU80+DW80+DY80</f>
        <v>314</v>
      </c>
      <c r="GK80" s="72">
        <f t="shared" si="535"/>
        <v>-34.719334719334711</v>
      </c>
      <c r="GL80" s="75">
        <f>EA80+EC80+EE80+EG80</f>
        <v>306</v>
      </c>
      <c r="GM80" s="72">
        <f t="shared" si="535"/>
        <v>-2.5477707006369457</v>
      </c>
      <c r="GN80" s="75">
        <f>EI80+EK80+EM80+EO80</f>
        <v>318</v>
      </c>
      <c r="GO80" s="72">
        <f t="shared" si="535"/>
        <v>3.9215686274509949</v>
      </c>
      <c r="GP80" s="75">
        <f>EQ80+ES80+EU80+EW80</f>
        <v>342.54871342468761</v>
      </c>
      <c r="GQ80" s="72">
        <f t="shared" si="535"/>
        <v>7.7197212027319466</v>
      </c>
      <c r="GR80" s="75">
        <f>GR67*GR87/100</f>
        <v>340.92466273054583</v>
      </c>
      <c r="GS80" s="72">
        <f t="shared" si="535"/>
        <v>-0.47410795326160837</v>
      </c>
      <c r="GT80" s="75">
        <f>GT67*GT87/100</f>
        <v>341.42326425703601</v>
      </c>
      <c r="GU80" s="72">
        <f t="shared" si="535"/>
        <v>0.14624976746966922</v>
      </c>
      <c r="GV80" s="75">
        <f>GV67*GV87/100</f>
        <v>342.92719377943081</v>
      </c>
      <c r="GW80" s="72">
        <f t="shared" ref="GW80:GW85" si="536">IF(ISERROR(GV80/GT80),"NA",IF(OR(GV80/GT80&gt;2,GV80/GT80&lt;0.5),"NM",GV80/GT80*100-100))</f>
        <v>0.44048829703137926</v>
      </c>
      <c r="GX80" s="75">
        <f>GX67*GX87/100</f>
        <v>345.5356061743226</v>
      </c>
      <c r="GY80" s="72">
        <f t="shared" ref="GY80:GY85" si="537">IF(ISERROR(GX80/GV80),"NA",IF(OR(GX80/GV80&gt;2,GX80/GV80&lt;0.5),"NM",GX80/GV80*100-100))</f>
        <v>0.76063153993248989</v>
      </c>
      <c r="GZ80" s="72">
        <f t="shared" ref="GZ80:GZ85" si="538">IF(ISERROR(((GX80/GN80)^0.2-1)*100),"NA",IF((((GX80/GN80)^0.2-1)*100)&gt;100,"NM",IF((((GX80/GN80)^0.2-1)*100)&lt;-50,"NM",((GX80/GN80)^0.2-1)*100)))</f>
        <v>1.6747556353318371</v>
      </c>
      <c r="HA80" s="72"/>
      <c r="HB80" s="72"/>
      <c r="HC80"/>
      <c r="HD80"/>
      <c r="HE80"/>
      <c r="HF80"/>
      <c r="HG80"/>
      <c r="HH80"/>
      <c r="HI80" s="2"/>
    </row>
    <row r="81" spans="1:217" s="69" customFormat="1" ht="12.75" customHeight="1" x14ac:dyDescent="0.2">
      <c r="B81" s="77" t="s">
        <v>668</v>
      </c>
      <c r="C81" s="75">
        <f>C69</f>
        <v>64</v>
      </c>
      <c r="D81" s="72"/>
      <c r="E81" s="75">
        <f>E69</f>
        <v>66</v>
      </c>
      <c r="F81" s="72"/>
      <c r="G81" s="75">
        <f>G69</f>
        <v>66</v>
      </c>
      <c r="H81" s="72"/>
      <c r="I81" s="75">
        <f>I69</f>
        <v>68</v>
      </c>
      <c r="J81" s="72"/>
      <c r="K81" s="75">
        <f>K69</f>
        <v>68</v>
      </c>
      <c r="L81" s="72">
        <f t="shared" si="472"/>
        <v>6.25</v>
      </c>
      <c r="M81" s="75">
        <f>M69</f>
        <v>65</v>
      </c>
      <c r="N81" s="72">
        <f t="shared" si="473"/>
        <v>-1.5151515151515156</v>
      </c>
      <c r="O81" s="75">
        <f>O69</f>
        <v>63</v>
      </c>
      <c r="P81" s="72">
        <f t="shared" si="474"/>
        <v>-4.5454545454545467</v>
      </c>
      <c r="Q81" s="75">
        <f>Q69</f>
        <v>63</v>
      </c>
      <c r="R81" s="72">
        <f t="shared" si="475"/>
        <v>-7.3529411764705799</v>
      </c>
      <c r="S81" s="75">
        <f>S69</f>
        <v>60</v>
      </c>
      <c r="T81" s="72">
        <f t="shared" si="475"/>
        <v>-11.764705882352942</v>
      </c>
      <c r="U81" s="75">
        <f>U69</f>
        <v>60</v>
      </c>
      <c r="V81" s="72">
        <f t="shared" si="475"/>
        <v>-7.6923076923076934</v>
      </c>
      <c r="W81" s="75">
        <f>W69</f>
        <v>66</v>
      </c>
      <c r="X81" s="72">
        <f t="shared" si="475"/>
        <v>4.7619047619047734</v>
      </c>
      <c r="Y81" s="75">
        <f>Y69</f>
        <v>69</v>
      </c>
      <c r="Z81" s="72">
        <f t="shared" si="475"/>
        <v>9.5238095238095326</v>
      </c>
      <c r="AA81" s="75">
        <f>AA69</f>
        <v>61</v>
      </c>
      <c r="AB81" s="72">
        <f t="shared" si="475"/>
        <v>1.6666666666666572</v>
      </c>
      <c r="AC81" s="75">
        <f>AC69</f>
        <v>66</v>
      </c>
      <c r="AD81" s="72">
        <f t="shared" si="475"/>
        <v>10.000000000000014</v>
      </c>
      <c r="AE81" s="75">
        <f>AE69</f>
        <v>69</v>
      </c>
      <c r="AF81" s="72">
        <f t="shared" si="475"/>
        <v>4.5454545454545467</v>
      </c>
      <c r="AG81" s="75">
        <f>AG69</f>
        <v>72</v>
      </c>
      <c r="AH81" s="72">
        <f t="shared" si="475"/>
        <v>4.3478260869565162</v>
      </c>
      <c r="AI81" s="75">
        <f>AI69</f>
        <v>89</v>
      </c>
      <c r="AJ81" s="72">
        <f t="shared" si="475"/>
        <v>45.901639344262293</v>
      </c>
      <c r="AK81" s="75">
        <f>AK69</f>
        <v>90</v>
      </c>
      <c r="AL81" s="72">
        <f t="shared" si="475"/>
        <v>36.363636363636346</v>
      </c>
      <c r="AM81" s="75">
        <f>AM69</f>
        <v>91</v>
      </c>
      <c r="AN81" s="72">
        <f t="shared" si="475"/>
        <v>31.884057971014499</v>
      </c>
      <c r="AO81" s="75">
        <f>AO69</f>
        <v>88</v>
      </c>
      <c r="AP81" s="72">
        <f t="shared" si="475"/>
        <v>22.222222222222229</v>
      </c>
      <c r="AQ81" s="75">
        <f>AQ69</f>
        <v>84</v>
      </c>
      <c r="AR81" s="72">
        <f t="shared" si="476"/>
        <v>-5.6179775280898951</v>
      </c>
      <c r="AS81" s="75">
        <f>AS69</f>
        <v>87</v>
      </c>
      <c r="AT81" s="72">
        <f t="shared" si="477"/>
        <v>-3.3333333333333286</v>
      </c>
      <c r="AU81" s="75">
        <f>AU69</f>
        <v>87</v>
      </c>
      <c r="AV81" s="72">
        <f t="shared" si="478"/>
        <v>-4.3956043956043942</v>
      </c>
      <c r="AW81" s="75">
        <f>AW69</f>
        <v>79</v>
      </c>
      <c r="AX81" s="72">
        <f t="shared" si="479"/>
        <v>-10.227272727272734</v>
      </c>
      <c r="AY81" s="75">
        <f>AY69</f>
        <v>83</v>
      </c>
      <c r="AZ81" s="72">
        <f t="shared" si="480"/>
        <v>-1.1904761904761898</v>
      </c>
      <c r="BA81" s="75">
        <f>BA69</f>
        <v>83</v>
      </c>
      <c r="BB81" s="72">
        <f t="shared" si="481"/>
        <v>-4.5977011494252906</v>
      </c>
      <c r="BC81" s="75">
        <f>BC69</f>
        <v>93</v>
      </c>
      <c r="BD81" s="72">
        <f t="shared" si="482"/>
        <v>6.8965517241379217</v>
      </c>
      <c r="BE81" s="75">
        <f>BE69</f>
        <v>97</v>
      </c>
      <c r="BF81" s="72">
        <f t="shared" si="483"/>
        <v>22.784810126582286</v>
      </c>
      <c r="BG81" s="75">
        <f>BG69</f>
        <v>89</v>
      </c>
      <c r="BH81" s="72">
        <f t="shared" si="484"/>
        <v>7.228915662650607</v>
      </c>
      <c r="BI81" s="75">
        <f>BI69</f>
        <v>93</v>
      </c>
      <c r="BJ81" s="72">
        <f t="shared" si="485"/>
        <v>12.048192771084331</v>
      </c>
      <c r="BK81" s="75">
        <f>BK69</f>
        <v>87</v>
      </c>
      <c r="BL81" s="72">
        <f t="shared" si="486"/>
        <v>-6.4516129032258078</v>
      </c>
      <c r="BM81" s="75">
        <f>BM69</f>
        <v>90</v>
      </c>
      <c r="BN81" s="72">
        <f t="shared" si="487"/>
        <v>-7.2164948453608275</v>
      </c>
      <c r="BO81" s="75">
        <f>BO69</f>
        <v>102</v>
      </c>
      <c r="BP81" s="72">
        <f t="shared" si="488"/>
        <v>14.606741573033702</v>
      </c>
      <c r="BQ81" s="75">
        <f>BQ69</f>
        <v>112</v>
      </c>
      <c r="BR81" s="72">
        <f t="shared" si="489"/>
        <v>20.430107526881727</v>
      </c>
      <c r="BS81" s="75">
        <f>BS69</f>
        <v>141</v>
      </c>
      <c r="BT81" s="72">
        <f t="shared" si="490"/>
        <v>62.068965517241367</v>
      </c>
      <c r="BU81" s="75">
        <f>BU69</f>
        <v>157</v>
      </c>
      <c r="BV81" s="72">
        <f t="shared" si="491"/>
        <v>74.444444444444457</v>
      </c>
      <c r="BW81" s="75">
        <f>BW69</f>
        <v>174</v>
      </c>
      <c r="BX81" s="72">
        <f t="shared" si="492"/>
        <v>70.588235294117652</v>
      </c>
      <c r="BY81" s="75">
        <f>BY69</f>
        <v>138</v>
      </c>
      <c r="BZ81" s="72">
        <f t="shared" si="493"/>
        <v>23.214285714285722</v>
      </c>
      <c r="CA81" s="75">
        <f>CA69</f>
        <v>155</v>
      </c>
      <c r="CB81" s="72">
        <f t="shared" si="494"/>
        <v>9.929078014184384</v>
      </c>
      <c r="CC81" s="75">
        <f>CC69</f>
        <v>151</v>
      </c>
      <c r="CD81" s="72">
        <f t="shared" si="495"/>
        <v>-3.8216560509554114</v>
      </c>
      <c r="CE81" s="75">
        <f>CE69</f>
        <v>157</v>
      </c>
      <c r="CF81" s="72">
        <f t="shared" si="496"/>
        <v>-9.7701149425287355</v>
      </c>
      <c r="CG81" s="75">
        <f>CG69</f>
        <v>182</v>
      </c>
      <c r="CH81" s="72">
        <f t="shared" si="497"/>
        <v>31.884057971014499</v>
      </c>
      <c r="CI81" s="75">
        <f>CI69</f>
        <v>98</v>
      </c>
      <c r="CJ81" s="72">
        <f t="shared" si="498"/>
        <v>-36.774193548387103</v>
      </c>
      <c r="CK81" s="75">
        <f>CK69</f>
        <v>144</v>
      </c>
      <c r="CL81" s="72">
        <f t="shared" si="498"/>
        <v>-4.6357615894039697</v>
      </c>
      <c r="CM81" s="75">
        <f>CM69</f>
        <v>136</v>
      </c>
      <c r="CN81" s="72">
        <f t="shared" si="498"/>
        <v>-13.375796178343947</v>
      </c>
      <c r="CO81" s="75">
        <f>CO69</f>
        <v>136</v>
      </c>
      <c r="CP81" s="72">
        <f t="shared" si="498"/>
        <v>-25.27472527472527</v>
      </c>
      <c r="CQ81" s="75">
        <f>CQ69</f>
        <v>182</v>
      </c>
      <c r="CR81" s="72">
        <f t="shared" si="498"/>
        <v>85.714285714285722</v>
      </c>
      <c r="CS81" s="75">
        <f>CS69</f>
        <v>116</v>
      </c>
      <c r="CT81" s="72">
        <f t="shared" si="498"/>
        <v>-19.444444444444443</v>
      </c>
      <c r="CU81" s="75">
        <f>CU69</f>
        <v>117</v>
      </c>
      <c r="CV81" s="72">
        <f t="shared" si="499"/>
        <v>-13.970588235294116</v>
      </c>
      <c r="CW81" s="75">
        <f>CW69</f>
        <v>142</v>
      </c>
      <c r="CX81" s="72">
        <f t="shared" si="500"/>
        <v>4.4117647058823621</v>
      </c>
      <c r="CY81" s="75">
        <f>CY69</f>
        <v>72</v>
      </c>
      <c r="CZ81" s="72" t="str">
        <f t="shared" si="501"/>
        <v>NM</v>
      </c>
      <c r="DA81" s="75">
        <f>DA69</f>
        <v>121</v>
      </c>
      <c r="DB81" s="72">
        <f t="shared" si="502"/>
        <v>4.3103448275862064</v>
      </c>
      <c r="DC81" s="75">
        <f>DC69</f>
        <v>118</v>
      </c>
      <c r="DD81" s="72">
        <f t="shared" si="503"/>
        <v>0.85470085470085166</v>
      </c>
      <c r="DE81" s="75">
        <f>DE69</f>
        <v>113</v>
      </c>
      <c r="DF81" s="72">
        <f t="shared" si="504"/>
        <v>-20.422535211267601</v>
      </c>
      <c r="DG81" s="75">
        <f>DG69</f>
        <v>54</v>
      </c>
      <c r="DH81" s="72">
        <f t="shared" si="505"/>
        <v>-25</v>
      </c>
      <c r="DI81" s="75">
        <f>DI69</f>
        <v>96</v>
      </c>
      <c r="DJ81" s="72">
        <f t="shared" si="506"/>
        <v>-20.661157024793383</v>
      </c>
      <c r="DK81" s="75">
        <f>DK69</f>
        <v>105</v>
      </c>
      <c r="DL81" s="72">
        <f t="shared" si="507"/>
        <v>-11.016949152542381</v>
      </c>
      <c r="DM81" s="75">
        <f>DM69</f>
        <v>107</v>
      </c>
      <c r="DN81" s="72">
        <f t="shared" si="508"/>
        <v>-5.3097345132743357</v>
      </c>
      <c r="DO81" s="75">
        <f>DO69</f>
        <v>107</v>
      </c>
      <c r="DP81" s="72">
        <f t="shared" si="508"/>
        <v>98.148148148148152</v>
      </c>
      <c r="DQ81" s="75">
        <f>DQ69</f>
        <v>110</v>
      </c>
      <c r="DR81" s="72">
        <f t="shared" si="508"/>
        <v>14.583333333333329</v>
      </c>
      <c r="DS81" s="75">
        <f>DS69</f>
        <v>81</v>
      </c>
      <c r="DT81" s="72">
        <f t="shared" si="508"/>
        <v>-22.857142857142847</v>
      </c>
      <c r="DU81" s="75">
        <f>DU69</f>
        <v>81</v>
      </c>
      <c r="DV81" s="72">
        <f t="shared" si="508"/>
        <v>-24.299065420560751</v>
      </c>
      <c r="DW81" s="75">
        <f>DW69</f>
        <v>106</v>
      </c>
      <c r="DX81" s="72">
        <f t="shared" si="508"/>
        <v>-0.93457943925233167</v>
      </c>
      <c r="DY81" s="75">
        <f>DY69</f>
        <v>95</v>
      </c>
      <c r="DZ81" s="72">
        <f t="shared" si="508"/>
        <v>-13.63636363636364</v>
      </c>
      <c r="EA81" s="75">
        <f>EA69</f>
        <v>100</v>
      </c>
      <c r="EB81" s="72">
        <f t="shared" si="509"/>
        <v>23.456790123456784</v>
      </c>
      <c r="EC81" s="75">
        <f>EC69</f>
        <v>98</v>
      </c>
      <c r="ED81" s="72">
        <f t="shared" si="510"/>
        <v>20.987654320987659</v>
      </c>
      <c r="EE81" s="75">
        <f>EE69</f>
        <v>72</v>
      </c>
      <c r="EF81" s="72">
        <f t="shared" si="511"/>
        <v>-32.075471698113205</v>
      </c>
      <c r="EG81" s="75">
        <f>EG69</f>
        <v>92</v>
      </c>
      <c r="EH81" s="72">
        <f t="shared" si="512"/>
        <v>-3.1578947368421098</v>
      </c>
      <c r="EI81" s="75">
        <f>EI69</f>
        <v>87</v>
      </c>
      <c r="EJ81" s="72">
        <f t="shared" si="513"/>
        <v>-13</v>
      </c>
      <c r="EK81" s="75">
        <f>EK69</f>
        <v>77</v>
      </c>
      <c r="EL81" s="72">
        <f t="shared" si="514"/>
        <v>-21.428571428571431</v>
      </c>
      <c r="EM81" s="75">
        <f>EM69</f>
        <v>81</v>
      </c>
      <c r="EN81" s="72">
        <f t="shared" si="515"/>
        <v>12.5</v>
      </c>
      <c r="EO81" s="75">
        <f>EO69</f>
        <v>85</v>
      </c>
      <c r="EP81" s="72">
        <f t="shared" si="516"/>
        <v>-7.6086956521739069</v>
      </c>
      <c r="EQ81" s="75">
        <f t="shared" ref="EQ81" si="539">EQ69</f>
        <v>84.779203230378357</v>
      </c>
      <c r="ER81" s="72">
        <f t="shared" si="518"/>
        <v>-2.5526399650823492</v>
      </c>
      <c r="ES81" s="75">
        <f t="shared" ref="ES81" si="540">ES69</f>
        <v>83.758731630582403</v>
      </c>
      <c r="ET81" s="72">
        <f t="shared" si="520"/>
        <v>8.7775735462109168</v>
      </c>
      <c r="EU81" s="75">
        <f t="shared" ref="EU81" si="541">EU69</f>
        <v>83.707508055261684</v>
      </c>
      <c r="EV81" s="72">
        <f t="shared" si="522"/>
        <v>3.3426025373600936</v>
      </c>
      <c r="EW81" s="75">
        <f t="shared" ref="EW81" si="542">EW69</f>
        <v>83.674338958187903</v>
      </c>
      <c r="EX81" s="72">
        <f t="shared" si="524"/>
        <v>-1.5596012256612823</v>
      </c>
      <c r="EY81" s="72"/>
      <c r="EZ81" s="307"/>
      <c r="FA81" s="72"/>
      <c r="FB81" s="75">
        <f>FB69</f>
        <v>294</v>
      </c>
      <c r="FC81" s="72"/>
      <c r="FD81" s="75">
        <f>FD69</f>
        <v>271</v>
      </c>
      <c r="FE81" s="72">
        <f t="shared" si="525"/>
        <v>-7.8231292517006779</v>
      </c>
      <c r="FF81" s="75">
        <f>FF69</f>
        <v>264</v>
      </c>
      <c r="FG81" s="72">
        <f t="shared" si="526"/>
        <v>-2.5830258302583076</v>
      </c>
      <c r="FH81" s="75">
        <f>FH69</f>
        <v>259</v>
      </c>
      <c r="FI81" s="72">
        <f t="shared" si="527"/>
        <v>-1.8939393939393909</v>
      </c>
      <c r="FJ81" s="75">
        <f>FJ69</f>
        <v>255</v>
      </c>
      <c r="FK81" s="72">
        <f t="shared" si="528"/>
        <v>-1.5444015444015378</v>
      </c>
      <c r="FL81" s="75">
        <f>FL69</f>
        <v>268</v>
      </c>
      <c r="FM81" s="72">
        <f t="shared" si="529"/>
        <v>5.0980392156862848</v>
      </c>
      <c r="FN81" s="75">
        <f>FN69</f>
        <v>358</v>
      </c>
      <c r="FO81" s="72">
        <f t="shared" si="530"/>
        <v>33.582089552238813</v>
      </c>
      <c r="FP81" s="75">
        <f>FP69</f>
        <v>337</v>
      </c>
      <c r="FQ81" s="72">
        <f t="shared" si="531"/>
        <v>-5.865921787709496</v>
      </c>
      <c r="FR81" s="75">
        <f>FR69</f>
        <v>356</v>
      </c>
      <c r="FS81" s="72">
        <f t="shared" si="532"/>
        <v>5.6379821958457086</v>
      </c>
      <c r="FT81" s="75">
        <f>FT69</f>
        <v>359</v>
      </c>
      <c r="FU81" s="72">
        <f t="shared" si="533"/>
        <v>0.84269662921347788</v>
      </c>
      <c r="FV81" s="75">
        <f>FV69</f>
        <v>568</v>
      </c>
      <c r="FW81" s="72">
        <f t="shared" si="534"/>
        <v>58.217270194986071</v>
      </c>
      <c r="FX81" s="75">
        <f>FX69</f>
        <v>618</v>
      </c>
      <c r="FY81" s="72">
        <f t="shared" si="534"/>
        <v>8.8028169014084483</v>
      </c>
      <c r="FZ81" s="75">
        <f>FZ69</f>
        <v>581</v>
      </c>
      <c r="GA81" s="72">
        <f t="shared" si="534"/>
        <v>-5.9870550161812304</v>
      </c>
      <c r="GB81" s="75">
        <f>GB69</f>
        <v>570</v>
      </c>
      <c r="GC81" s="72">
        <f t="shared" si="534"/>
        <v>-1.8932874354561164</v>
      </c>
      <c r="GD81" s="75">
        <f>GD69</f>
        <v>452</v>
      </c>
      <c r="GE81" s="72">
        <f t="shared" si="534"/>
        <v>-20.701754385964904</v>
      </c>
      <c r="GF81" s="75">
        <f>GF69</f>
        <v>381</v>
      </c>
      <c r="GG81" s="72">
        <f t="shared" si="534"/>
        <v>-15.707964601769902</v>
      </c>
      <c r="GH81" s="75">
        <f>GH69</f>
        <v>429</v>
      </c>
      <c r="GI81" s="72">
        <f t="shared" si="535"/>
        <v>12.5984251968504</v>
      </c>
      <c r="GJ81" s="75">
        <f>GJ69</f>
        <v>363</v>
      </c>
      <c r="GK81" s="72">
        <f t="shared" si="535"/>
        <v>-15.384615384615387</v>
      </c>
      <c r="GL81" s="75">
        <f>GL69</f>
        <v>362</v>
      </c>
      <c r="GM81" s="72">
        <f t="shared" si="535"/>
        <v>-0.27548209366391063</v>
      </c>
      <c r="GN81" s="75">
        <f>GN69</f>
        <v>330</v>
      </c>
      <c r="GO81" s="72">
        <f t="shared" si="535"/>
        <v>-8.8397790055248606</v>
      </c>
      <c r="GP81" s="75">
        <f>GP69</f>
        <v>335.91978187441038</v>
      </c>
      <c r="GQ81" s="72">
        <f t="shared" si="535"/>
        <v>1.7938732952758727</v>
      </c>
      <c r="GR81" s="75">
        <f>GR69</f>
        <v>351.45762199926548</v>
      </c>
      <c r="GS81" s="72">
        <f t="shared" si="535"/>
        <v>4.6254614831418905</v>
      </c>
      <c r="GT81" s="75">
        <f>GT69</f>
        <v>369.23091393803639</v>
      </c>
      <c r="GU81" s="72">
        <f t="shared" si="535"/>
        <v>5.0570227607151139</v>
      </c>
      <c r="GV81" s="75">
        <f>GV69</f>
        <v>388.33123552871507</v>
      </c>
      <c r="GW81" s="72">
        <f t="shared" si="536"/>
        <v>5.173001736762501</v>
      </c>
      <c r="GX81" s="75">
        <f>GX69</f>
        <v>409.04147228767221</v>
      </c>
      <c r="GY81" s="72">
        <f t="shared" si="537"/>
        <v>5.3331369882620976</v>
      </c>
      <c r="GZ81" s="72">
        <f t="shared" si="538"/>
        <v>4.3880249289329987</v>
      </c>
      <c r="HA81" s="72"/>
      <c r="HB81" s="72"/>
      <c r="HC81"/>
      <c r="HD81"/>
      <c r="HE81"/>
      <c r="HF81"/>
      <c r="HG81"/>
      <c r="HH81"/>
      <c r="HI81" s="2"/>
    </row>
    <row r="82" spans="1:217" s="69" customFormat="1" ht="12.75" customHeight="1" x14ac:dyDescent="0.2">
      <c r="B82" s="77" t="s">
        <v>271</v>
      </c>
      <c r="C82" s="74">
        <f>FF82-I82-G82-E82</f>
        <v>0</v>
      </c>
      <c r="D82" s="72"/>
      <c r="E82" s="74">
        <v>1</v>
      </c>
      <c r="F82" s="72"/>
      <c r="G82" s="74">
        <v>-1</v>
      </c>
      <c r="H82" s="72"/>
      <c r="I82" s="74">
        <v>-2</v>
      </c>
      <c r="J82" s="72"/>
      <c r="K82" s="74">
        <v>1</v>
      </c>
      <c r="L82" s="72" t="str">
        <f t="shared" si="472"/>
        <v>NA</v>
      </c>
      <c r="M82" s="74">
        <v>1</v>
      </c>
      <c r="N82" s="72">
        <f t="shared" si="473"/>
        <v>0</v>
      </c>
      <c r="O82" s="74">
        <v>0</v>
      </c>
      <c r="P82" s="72" t="str">
        <f t="shared" si="474"/>
        <v>NM</v>
      </c>
      <c r="Q82" s="74">
        <v>1</v>
      </c>
      <c r="R82" s="72" t="str">
        <f t="shared" si="475"/>
        <v>NM</v>
      </c>
      <c r="S82" s="74">
        <v>0</v>
      </c>
      <c r="T82" s="72" t="str">
        <f t="shared" si="475"/>
        <v>NM</v>
      </c>
      <c r="U82" s="74">
        <v>0</v>
      </c>
      <c r="V82" s="72" t="str">
        <f t="shared" si="475"/>
        <v>NM</v>
      </c>
      <c r="W82" s="74">
        <v>-1</v>
      </c>
      <c r="X82" s="72" t="str">
        <f t="shared" si="475"/>
        <v>NA</v>
      </c>
      <c r="Y82" s="74">
        <v>0</v>
      </c>
      <c r="Z82" s="72" t="str">
        <f t="shared" si="475"/>
        <v>NM</v>
      </c>
      <c r="AA82" s="74">
        <v>0</v>
      </c>
      <c r="AB82" s="72" t="str">
        <f t="shared" si="475"/>
        <v>NA</v>
      </c>
      <c r="AC82" s="74">
        <v>0</v>
      </c>
      <c r="AD82" s="72" t="str">
        <f t="shared" si="475"/>
        <v>NA</v>
      </c>
      <c r="AE82" s="74">
        <v>-1</v>
      </c>
      <c r="AF82" s="72">
        <f t="shared" si="475"/>
        <v>0</v>
      </c>
      <c r="AG82" s="74">
        <v>0</v>
      </c>
      <c r="AH82" s="72" t="str">
        <f t="shared" si="475"/>
        <v>NA</v>
      </c>
      <c r="AI82" s="74">
        <v>1</v>
      </c>
      <c r="AJ82" s="72" t="str">
        <f t="shared" si="475"/>
        <v>NA</v>
      </c>
      <c r="AK82" s="74">
        <v>1</v>
      </c>
      <c r="AL82" s="72" t="str">
        <f t="shared" si="475"/>
        <v>NA</v>
      </c>
      <c r="AM82" s="74">
        <v>4</v>
      </c>
      <c r="AN82" s="72" t="str">
        <f t="shared" si="475"/>
        <v>NM</v>
      </c>
      <c r="AO82" s="74">
        <v>3</v>
      </c>
      <c r="AP82" s="72" t="str">
        <f t="shared" si="475"/>
        <v>NA</v>
      </c>
      <c r="AQ82" s="74">
        <v>5</v>
      </c>
      <c r="AR82" s="72" t="str">
        <f t="shared" si="476"/>
        <v>NM</v>
      </c>
      <c r="AS82" s="74">
        <v>6</v>
      </c>
      <c r="AT82" s="72" t="str">
        <f t="shared" si="477"/>
        <v>NM</v>
      </c>
      <c r="AU82" s="74">
        <v>9</v>
      </c>
      <c r="AV82" s="72" t="str">
        <f t="shared" si="478"/>
        <v>NM</v>
      </c>
      <c r="AW82" s="74">
        <v>10</v>
      </c>
      <c r="AX82" s="72" t="str">
        <f t="shared" si="479"/>
        <v>NM</v>
      </c>
      <c r="AY82" s="74">
        <v>10</v>
      </c>
      <c r="AZ82" s="72">
        <f t="shared" si="480"/>
        <v>100</v>
      </c>
      <c r="BA82" s="74">
        <v>10</v>
      </c>
      <c r="BB82" s="72">
        <f t="shared" si="481"/>
        <v>66.666666666666686</v>
      </c>
      <c r="BC82" s="74">
        <v>15</v>
      </c>
      <c r="BD82" s="72">
        <f t="shared" si="482"/>
        <v>66.666666666666686</v>
      </c>
      <c r="BE82" s="74">
        <v>15</v>
      </c>
      <c r="BF82" s="72">
        <f t="shared" si="483"/>
        <v>50</v>
      </c>
      <c r="BG82" s="74">
        <v>13</v>
      </c>
      <c r="BH82" s="72">
        <f t="shared" si="484"/>
        <v>30</v>
      </c>
      <c r="BI82" s="74">
        <v>14</v>
      </c>
      <c r="BJ82" s="72">
        <f t="shared" si="485"/>
        <v>40</v>
      </c>
      <c r="BK82" s="74">
        <v>16</v>
      </c>
      <c r="BL82" s="72">
        <f t="shared" si="486"/>
        <v>6.6666666666666714</v>
      </c>
      <c r="BM82" s="74">
        <v>16</v>
      </c>
      <c r="BN82" s="72">
        <f t="shared" si="487"/>
        <v>6.6666666666666714</v>
      </c>
      <c r="BO82" s="74">
        <v>14</v>
      </c>
      <c r="BP82" s="72">
        <f t="shared" si="488"/>
        <v>7.6923076923076934</v>
      </c>
      <c r="BQ82" s="74">
        <v>15</v>
      </c>
      <c r="BR82" s="72">
        <f t="shared" si="489"/>
        <v>7.1428571428571388</v>
      </c>
      <c r="BS82" s="74">
        <v>15</v>
      </c>
      <c r="BT82" s="72">
        <f t="shared" si="490"/>
        <v>-6.25</v>
      </c>
      <c r="BU82" s="74">
        <v>14</v>
      </c>
      <c r="BV82" s="72">
        <f t="shared" si="491"/>
        <v>-12.5</v>
      </c>
      <c r="BW82" s="74">
        <v>4</v>
      </c>
      <c r="BX82" s="72" t="str">
        <f t="shared" si="492"/>
        <v>NM</v>
      </c>
      <c r="BY82" s="74">
        <v>3</v>
      </c>
      <c r="BZ82" s="72" t="str">
        <f t="shared" si="493"/>
        <v>NM</v>
      </c>
      <c r="CA82" s="74">
        <v>2</v>
      </c>
      <c r="CB82" s="72" t="str">
        <f t="shared" si="494"/>
        <v>NM</v>
      </c>
      <c r="CC82" s="74">
        <v>4</v>
      </c>
      <c r="CD82" s="72" t="str">
        <f t="shared" si="495"/>
        <v>NM</v>
      </c>
      <c r="CE82" s="74">
        <v>15</v>
      </c>
      <c r="CF82" s="72" t="str">
        <f t="shared" si="496"/>
        <v>NM</v>
      </c>
      <c r="CG82" s="74">
        <v>15</v>
      </c>
      <c r="CH82" s="72" t="str">
        <f t="shared" si="497"/>
        <v>NM</v>
      </c>
      <c r="CI82" s="74">
        <v>16</v>
      </c>
      <c r="CJ82" s="72" t="str">
        <f t="shared" si="498"/>
        <v>NM</v>
      </c>
      <c r="CK82" s="74">
        <v>20</v>
      </c>
      <c r="CL82" s="72" t="str">
        <f t="shared" si="498"/>
        <v>NM</v>
      </c>
      <c r="CM82" s="74">
        <v>27</v>
      </c>
      <c r="CN82" s="72">
        <f t="shared" si="498"/>
        <v>80</v>
      </c>
      <c r="CO82" s="74">
        <v>28</v>
      </c>
      <c r="CP82" s="72">
        <f t="shared" si="498"/>
        <v>86.666666666666657</v>
      </c>
      <c r="CQ82" s="74">
        <v>28</v>
      </c>
      <c r="CR82" s="72">
        <f t="shared" si="498"/>
        <v>75</v>
      </c>
      <c r="CS82" s="74">
        <v>29</v>
      </c>
      <c r="CT82" s="72">
        <f t="shared" si="498"/>
        <v>45</v>
      </c>
      <c r="CU82" s="74">
        <v>28</v>
      </c>
      <c r="CV82" s="72">
        <f t="shared" si="499"/>
        <v>3.7037037037036953</v>
      </c>
      <c r="CW82" s="74">
        <v>28</v>
      </c>
      <c r="CX82" s="72">
        <f t="shared" si="500"/>
        <v>0</v>
      </c>
      <c r="CY82" s="74">
        <v>29</v>
      </c>
      <c r="CZ82" s="72">
        <f t="shared" si="501"/>
        <v>3.5714285714285836</v>
      </c>
      <c r="DA82" s="74">
        <v>24</v>
      </c>
      <c r="DB82" s="72">
        <f t="shared" si="502"/>
        <v>-17.241379310344826</v>
      </c>
      <c r="DC82" s="74">
        <v>23</v>
      </c>
      <c r="DD82" s="72">
        <f t="shared" si="503"/>
        <v>-17.857142857142861</v>
      </c>
      <c r="DE82" s="74">
        <v>22</v>
      </c>
      <c r="DF82" s="72">
        <f t="shared" si="504"/>
        <v>-21.428571428571431</v>
      </c>
      <c r="DG82" s="74">
        <v>22</v>
      </c>
      <c r="DH82" s="72">
        <f t="shared" si="505"/>
        <v>-24.137931034482762</v>
      </c>
      <c r="DI82" s="74">
        <v>24</v>
      </c>
      <c r="DJ82" s="72">
        <f t="shared" si="506"/>
        <v>0</v>
      </c>
      <c r="DK82" s="74">
        <v>27</v>
      </c>
      <c r="DL82" s="72">
        <f t="shared" si="507"/>
        <v>17.391304347826093</v>
      </c>
      <c r="DM82" s="74">
        <v>26</v>
      </c>
      <c r="DN82" s="72">
        <f t="shared" si="508"/>
        <v>18.181818181818187</v>
      </c>
      <c r="DO82" s="74">
        <v>27</v>
      </c>
      <c r="DP82" s="72">
        <f t="shared" si="508"/>
        <v>22.727272727272734</v>
      </c>
      <c r="DQ82" s="74">
        <v>27</v>
      </c>
      <c r="DR82" s="72">
        <f t="shared" si="508"/>
        <v>12.5</v>
      </c>
      <c r="DS82" s="74">
        <v>25</v>
      </c>
      <c r="DT82" s="72">
        <f t="shared" si="508"/>
        <v>-7.4074074074074048</v>
      </c>
      <c r="DU82" s="74">
        <v>15</v>
      </c>
      <c r="DV82" s="72">
        <f t="shared" si="508"/>
        <v>-42.307692307692314</v>
      </c>
      <c r="DW82" s="74">
        <v>15</v>
      </c>
      <c r="DX82" s="72">
        <f t="shared" si="508"/>
        <v>-44.444444444444443</v>
      </c>
      <c r="DY82" s="74">
        <v>14</v>
      </c>
      <c r="DZ82" s="72">
        <f t="shared" si="508"/>
        <v>-48.148148148148152</v>
      </c>
      <c r="EA82" s="74">
        <v>18</v>
      </c>
      <c r="EB82" s="72">
        <f t="shared" si="509"/>
        <v>-28</v>
      </c>
      <c r="EC82" s="74">
        <v>19</v>
      </c>
      <c r="ED82" s="72">
        <f t="shared" si="510"/>
        <v>26.666666666666657</v>
      </c>
      <c r="EE82" s="74">
        <v>20</v>
      </c>
      <c r="EF82" s="72">
        <f t="shared" si="511"/>
        <v>33.333333333333314</v>
      </c>
      <c r="EG82" s="74">
        <v>14</v>
      </c>
      <c r="EH82" s="72">
        <f t="shared" si="512"/>
        <v>0</v>
      </c>
      <c r="EI82" s="74">
        <v>14</v>
      </c>
      <c r="EJ82" s="72">
        <f t="shared" si="513"/>
        <v>-22.222222222222214</v>
      </c>
      <c r="EK82" s="74">
        <v>17</v>
      </c>
      <c r="EL82" s="72">
        <f t="shared" si="514"/>
        <v>-10.526315789473685</v>
      </c>
      <c r="EM82" s="74">
        <v>20</v>
      </c>
      <c r="EN82" s="72">
        <f t="shared" si="515"/>
        <v>0</v>
      </c>
      <c r="EO82" s="74">
        <v>19</v>
      </c>
      <c r="EP82" s="72">
        <f t="shared" si="516"/>
        <v>35.714285714285722</v>
      </c>
      <c r="EQ82" s="74">
        <f>EO82*1.01</f>
        <v>19.190000000000001</v>
      </c>
      <c r="ER82" s="72">
        <f t="shared" si="518"/>
        <v>37.071428571428584</v>
      </c>
      <c r="ES82" s="74">
        <f>EQ82*1.01</f>
        <v>19.381900000000002</v>
      </c>
      <c r="ET82" s="72">
        <f t="shared" si="520"/>
        <v>14.011176470588254</v>
      </c>
      <c r="EU82" s="74">
        <f>ES82*1.01</f>
        <v>19.575719000000003</v>
      </c>
      <c r="EV82" s="72">
        <f t="shared" si="522"/>
        <v>-2.1214049999999816</v>
      </c>
      <c r="EW82" s="74">
        <f>EU82*1.01</f>
        <v>19.771476190000005</v>
      </c>
      <c r="EX82" s="72">
        <f t="shared" si="524"/>
        <v>4.0604010000000272</v>
      </c>
      <c r="EY82" s="72"/>
      <c r="EZ82" s="307"/>
      <c r="FA82" s="72"/>
      <c r="FB82" s="74">
        <v>3</v>
      </c>
      <c r="FC82" s="72"/>
      <c r="FD82" s="74">
        <v>4</v>
      </c>
      <c r="FE82" s="72">
        <f t="shared" si="525"/>
        <v>33.333333333333314</v>
      </c>
      <c r="FF82" s="74">
        <v>-2</v>
      </c>
      <c r="FG82" s="72" t="str">
        <f t="shared" si="526"/>
        <v>NM</v>
      </c>
      <c r="FH82" s="75">
        <f>K82+M82+O82+Q82</f>
        <v>3</v>
      </c>
      <c r="FI82" s="72" t="str">
        <f t="shared" si="527"/>
        <v>NM</v>
      </c>
      <c r="FJ82" s="75">
        <f>S82+U82+W82+Y82</f>
        <v>-1</v>
      </c>
      <c r="FK82" s="72" t="str">
        <f t="shared" si="528"/>
        <v>NM</v>
      </c>
      <c r="FL82" s="75">
        <f>AA82+AC82+AE82+AG82</f>
        <v>-1</v>
      </c>
      <c r="FM82" s="72">
        <f t="shared" si="529"/>
        <v>0</v>
      </c>
      <c r="FN82" s="75">
        <f>AI82+AK82+AM82+AO82</f>
        <v>9</v>
      </c>
      <c r="FO82" s="72" t="str">
        <f t="shared" si="530"/>
        <v>NM</v>
      </c>
      <c r="FP82" s="75">
        <f>AQ82+AS82+AU82+AW82</f>
        <v>30</v>
      </c>
      <c r="FQ82" s="72" t="str">
        <f t="shared" si="531"/>
        <v>NM</v>
      </c>
      <c r="FR82" s="75">
        <f>AY82+BA82+BC82+BE82</f>
        <v>50</v>
      </c>
      <c r="FS82" s="72">
        <f t="shared" si="532"/>
        <v>66.666666666666686</v>
      </c>
      <c r="FT82" s="75">
        <f>BG82+BI82+BK82+BM82</f>
        <v>59</v>
      </c>
      <c r="FU82" s="72">
        <f t="shared" si="533"/>
        <v>18</v>
      </c>
      <c r="FV82" s="75">
        <f>BO82+BQ82+BS82+BU82</f>
        <v>58</v>
      </c>
      <c r="FW82" s="72">
        <f t="shared" si="534"/>
        <v>-1.6949152542372872</v>
      </c>
      <c r="FX82" s="75">
        <f>BW82+BY82+CA82+CC82</f>
        <v>13</v>
      </c>
      <c r="FY82" s="72" t="str">
        <f t="shared" si="534"/>
        <v>NM</v>
      </c>
      <c r="FZ82" s="75">
        <f>CE82+CG82+CI82+CK82</f>
        <v>66</v>
      </c>
      <c r="GA82" s="72" t="str">
        <f t="shared" si="534"/>
        <v>NM</v>
      </c>
      <c r="GB82" s="75">
        <f>CM82+CO82+CQ82+CS82</f>
        <v>112</v>
      </c>
      <c r="GC82" s="72">
        <f t="shared" si="534"/>
        <v>69.696969696969688</v>
      </c>
      <c r="GD82" s="75">
        <f>CU82+CW82+CY82+DA82</f>
        <v>109</v>
      </c>
      <c r="GE82" s="72">
        <f t="shared" si="534"/>
        <v>-2.6785714285714306</v>
      </c>
      <c r="GF82" s="75">
        <f>DC82+DE82+DG82+DI82</f>
        <v>91</v>
      </c>
      <c r="GG82" s="72">
        <f t="shared" si="534"/>
        <v>-16.513761467889907</v>
      </c>
      <c r="GH82" s="75">
        <f>DK82+DM82+DO82+DQ82</f>
        <v>107</v>
      </c>
      <c r="GI82" s="72">
        <f t="shared" si="535"/>
        <v>17.582417582417591</v>
      </c>
      <c r="GJ82" s="75">
        <f>DS82+DU82+DW82+DY82</f>
        <v>69</v>
      </c>
      <c r="GK82" s="72">
        <f t="shared" si="535"/>
        <v>-35.514018691588788</v>
      </c>
      <c r="GL82" s="75">
        <f>EA82+EC82+EE82+EG82</f>
        <v>71</v>
      </c>
      <c r="GM82" s="72">
        <f t="shared" si="535"/>
        <v>2.8985507246376727</v>
      </c>
      <c r="GN82" s="75">
        <f>EI82+EK82+EM82+EO82</f>
        <v>70</v>
      </c>
      <c r="GO82" s="72">
        <f t="shared" si="535"/>
        <v>-1.4084507042253449</v>
      </c>
      <c r="GP82" s="75">
        <f>EQ82+ES82+EU82+EW82</f>
        <v>77.919095190000007</v>
      </c>
      <c r="GQ82" s="72">
        <f t="shared" si="535"/>
        <v>11.312993128571435</v>
      </c>
      <c r="GR82" s="74">
        <f>GP82*1.08</f>
        <v>84.152622805200011</v>
      </c>
      <c r="GS82" s="72">
        <f t="shared" si="535"/>
        <v>8</v>
      </c>
      <c r="GT82" s="74">
        <f>GR82*1.08</f>
        <v>90.884832629616014</v>
      </c>
      <c r="GU82" s="72">
        <f t="shared" si="535"/>
        <v>8</v>
      </c>
      <c r="GV82" s="74">
        <f>GT82*1.08</f>
        <v>98.155619239985299</v>
      </c>
      <c r="GW82" s="72">
        <f t="shared" si="536"/>
        <v>8</v>
      </c>
      <c r="GX82" s="74">
        <f>GV82*1.08</f>
        <v>106.00806877918413</v>
      </c>
      <c r="GY82" s="72">
        <f t="shared" si="537"/>
        <v>8</v>
      </c>
      <c r="GZ82" s="72">
        <f t="shared" si="538"/>
        <v>8.6546148144916124</v>
      </c>
      <c r="HA82" s="72"/>
      <c r="HB82" s="72"/>
      <c r="HC82"/>
      <c r="HD82"/>
      <c r="HE82"/>
      <c r="HF82"/>
      <c r="HG82"/>
      <c r="HH82"/>
      <c r="HI82" s="2"/>
    </row>
    <row r="83" spans="1:217" s="69" customFormat="1" ht="12.75" customHeight="1" x14ac:dyDescent="0.2">
      <c r="A83" s="3" t="s">
        <v>408</v>
      </c>
      <c r="B83" s="77" t="s">
        <v>404</v>
      </c>
      <c r="C83" s="74">
        <f>FF83-I83-G83-E83</f>
        <v>98</v>
      </c>
      <c r="D83" s="72"/>
      <c r="E83" s="74">
        <v>103</v>
      </c>
      <c r="F83" s="72"/>
      <c r="G83" s="74">
        <v>83</v>
      </c>
      <c r="H83" s="72"/>
      <c r="I83" s="74">
        <v>76</v>
      </c>
      <c r="J83" s="72"/>
      <c r="K83" s="74">
        <v>73</v>
      </c>
      <c r="L83" s="72">
        <f t="shared" si="472"/>
        <v>-25.510204081632651</v>
      </c>
      <c r="M83" s="74">
        <v>76</v>
      </c>
      <c r="N83" s="72">
        <f t="shared" si="473"/>
        <v>-26.213592233009706</v>
      </c>
      <c r="O83" s="74">
        <v>68</v>
      </c>
      <c r="P83" s="72">
        <f t="shared" si="474"/>
        <v>-18.07228915662651</v>
      </c>
      <c r="Q83" s="74">
        <v>70</v>
      </c>
      <c r="R83" s="72">
        <f t="shared" si="475"/>
        <v>-7.8947368421052602</v>
      </c>
      <c r="S83" s="74">
        <v>70</v>
      </c>
      <c r="T83" s="72">
        <f t="shared" si="475"/>
        <v>-4.1095890410959015</v>
      </c>
      <c r="U83" s="74">
        <v>78</v>
      </c>
      <c r="V83" s="72">
        <f t="shared" si="475"/>
        <v>2.6315789473684248</v>
      </c>
      <c r="W83" s="74">
        <v>80</v>
      </c>
      <c r="X83" s="72">
        <f t="shared" si="475"/>
        <v>17.64705882352942</v>
      </c>
      <c r="Y83" s="74">
        <v>63</v>
      </c>
      <c r="Z83" s="72">
        <f t="shared" si="475"/>
        <v>-10</v>
      </c>
      <c r="AA83" s="74">
        <v>66</v>
      </c>
      <c r="AB83" s="72">
        <f t="shared" si="475"/>
        <v>-5.7142857142857224</v>
      </c>
      <c r="AC83" s="74">
        <v>156</v>
      </c>
      <c r="AD83" s="72">
        <f t="shared" si="475"/>
        <v>100</v>
      </c>
      <c r="AE83" s="74">
        <v>195</v>
      </c>
      <c r="AF83" s="72" t="str">
        <f t="shared" si="475"/>
        <v>NM</v>
      </c>
      <c r="AG83" s="74">
        <v>207</v>
      </c>
      <c r="AH83" s="72" t="str">
        <f t="shared" si="475"/>
        <v>NM</v>
      </c>
      <c r="AI83" s="74">
        <v>208</v>
      </c>
      <c r="AJ83" s="72" t="str">
        <f t="shared" si="475"/>
        <v>NM</v>
      </c>
      <c r="AK83" s="74">
        <v>209</v>
      </c>
      <c r="AL83" s="72">
        <f t="shared" si="475"/>
        <v>33.974358974358978</v>
      </c>
      <c r="AM83" s="74">
        <v>191</v>
      </c>
      <c r="AN83" s="72">
        <f t="shared" si="475"/>
        <v>-2.0512820512820582</v>
      </c>
      <c r="AO83" s="74">
        <v>203</v>
      </c>
      <c r="AP83" s="72">
        <f t="shared" si="475"/>
        <v>-1.9323671497584485</v>
      </c>
      <c r="AQ83" s="74">
        <v>202</v>
      </c>
      <c r="AR83" s="72">
        <f t="shared" si="476"/>
        <v>-2.8846153846153868</v>
      </c>
      <c r="AS83" s="74">
        <v>237</v>
      </c>
      <c r="AT83" s="72">
        <f t="shared" si="477"/>
        <v>13.397129186602868</v>
      </c>
      <c r="AU83" s="74">
        <v>249</v>
      </c>
      <c r="AV83" s="72">
        <f t="shared" si="478"/>
        <v>30.366492146596869</v>
      </c>
      <c r="AW83" s="74">
        <v>237</v>
      </c>
      <c r="AX83" s="72">
        <f t="shared" si="479"/>
        <v>16.748768472906406</v>
      </c>
      <c r="AY83" s="74">
        <v>255</v>
      </c>
      <c r="AZ83" s="72">
        <f t="shared" si="480"/>
        <v>26.237623762376245</v>
      </c>
      <c r="BA83" s="74">
        <v>285</v>
      </c>
      <c r="BB83" s="72">
        <f t="shared" si="481"/>
        <v>20.25316455696202</v>
      </c>
      <c r="BC83" s="74">
        <v>320</v>
      </c>
      <c r="BD83" s="72">
        <f t="shared" si="482"/>
        <v>28.514056224899605</v>
      </c>
      <c r="BE83" s="74">
        <v>347</v>
      </c>
      <c r="BF83" s="72">
        <f t="shared" si="483"/>
        <v>46.413502109704666</v>
      </c>
      <c r="BG83" s="74">
        <v>357</v>
      </c>
      <c r="BH83" s="72">
        <f t="shared" si="484"/>
        <v>40</v>
      </c>
      <c r="BI83" s="74">
        <v>379</v>
      </c>
      <c r="BJ83" s="72">
        <f t="shared" si="485"/>
        <v>32.982456140350877</v>
      </c>
      <c r="BK83" s="74">
        <v>386</v>
      </c>
      <c r="BL83" s="72">
        <f t="shared" si="486"/>
        <v>20.625</v>
      </c>
      <c r="BM83" s="74">
        <v>398</v>
      </c>
      <c r="BN83" s="72">
        <f t="shared" si="487"/>
        <v>14.697406340057626</v>
      </c>
      <c r="BO83" s="74">
        <v>371</v>
      </c>
      <c r="BP83" s="72">
        <f t="shared" si="488"/>
        <v>3.9215686274509949</v>
      </c>
      <c r="BQ83" s="74">
        <v>362</v>
      </c>
      <c r="BR83" s="72">
        <f t="shared" si="489"/>
        <v>-4.4854881266490736</v>
      </c>
      <c r="BS83" s="74">
        <v>363</v>
      </c>
      <c r="BT83" s="72">
        <f t="shared" si="490"/>
        <v>-5.9585492227979273</v>
      </c>
      <c r="BU83" s="74">
        <v>681</v>
      </c>
      <c r="BV83" s="72">
        <f t="shared" si="491"/>
        <v>71.105527638190949</v>
      </c>
      <c r="BW83" s="74">
        <v>365</v>
      </c>
      <c r="BX83" s="72">
        <f t="shared" si="492"/>
        <v>-1.6172506738544428</v>
      </c>
      <c r="BY83" s="74">
        <v>368</v>
      </c>
      <c r="BZ83" s="72">
        <f t="shared" si="493"/>
        <v>1.6574585635359256</v>
      </c>
      <c r="CA83" s="74">
        <v>521</v>
      </c>
      <c r="CB83" s="72">
        <f t="shared" si="494"/>
        <v>43.526170798898079</v>
      </c>
      <c r="CC83" s="74">
        <v>494</v>
      </c>
      <c r="CD83" s="72">
        <f t="shared" si="495"/>
        <v>-27.459618208516886</v>
      </c>
      <c r="CE83" s="74">
        <v>482</v>
      </c>
      <c r="CF83" s="72">
        <f t="shared" si="496"/>
        <v>32.054794520547944</v>
      </c>
      <c r="CG83" s="74">
        <v>529</v>
      </c>
      <c r="CH83" s="72">
        <f t="shared" si="497"/>
        <v>43.75</v>
      </c>
      <c r="CI83" s="74">
        <v>526</v>
      </c>
      <c r="CJ83" s="72">
        <f t="shared" si="498"/>
        <v>0.95969289827255011</v>
      </c>
      <c r="CK83" s="74">
        <v>628</v>
      </c>
      <c r="CL83" s="72">
        <f t="shared" si="498"/>
        <v>27.125506072874501</v>
      </c>
      <c r="CM83" s="74">
        <v>663</v>
      </c>
      <c r="CN83" s="72">
        <f t="shared" si="498"/>
        <v>37.551867219917</v>
      </c>
      <c r="CO83" s="74">
        <v>556</v>
      </c>
      <c r="CP83" s="72">
        <f t="shared" si="498"/>
        <v>5.1039697542533133</v>
      </c>
      <c r="CQ83" s="74">
        <v>553</v>
      </c>
      <c r="CR83" s="72">
        <f t="shared" si="498"/>
        <v>5.1330798479087321</v>
      </c>
      <c r="CS83" s="74">
        <v>548</v>
      </c>
      <c r="CT83" s="72">
        <f t="shared" si="498"/>
        <v>-12.738853503184714</v>
      </c>
      <c r="CU83" s="74">
        <v>605</v>
      </c>
      <c r="CV83" s="72">
        <f t="shared" si="499"/>
        <v>-8.748114630467569</v>
      </c>
      <c r="CW83" s="74">
        <v>630</v>
      </c>
      <c r="CX83" s="72">
        <f t="shared" si="500"/>
        <v>13.309352517985616</v>
      </c>
      <c r="CY83" s="74">
        <v>649</v>
      </c>
      <c r="CZ83" s="72">
        <f t="shared" si="501"/>
        <v>17.359855334538878</v>
      </c>
      <c r="DA83" s="74">
        <v>604</v>
      </c>
      <c r="DB83" s="72">
        <f t="shared" si="502"/>
        <v>10.218978102189794</v>
      </c>
      <c r="DC83" s="74">
        <v>602</v>
      </c>
      <c r="DD83" s="72">
        <f t="shared" si="503"/>
        <v>-0.49586776859503345</v>
      </c>
      <c r="DE83" s="74">
        <v>514</v>
      </c>
      <c r="DF83" s="72">
        <f t="shared" si="504"/>
        <v>-18.412698412698418</v>
      </c>
      <c r="DG83" s="74">
        <v>514</v>
      </c>
      <c r="DH83" s="72">
        <f t="shared" si="505"/>
        <v>-20.801232665639446</v>
      </c>
      <c r="DI83" s="74">
        <v>542</v>
      </c>
      <c r="DJ83" s="72">
        <f t="shared" si="506"/>
        <v>-10.264900662251648</v>
      </c>
      <c r="DK83" s="74">
        <v>516</v>
      </c>
      <c r="DL83" s="72">
        <f t="shared" si="507"/>
        <v>-14.285714285714292</v>
      </c>
      <c r="DM83" s="74">
        <v>552</v>
      </c>
      <c r="DN83" s="72">
        <f t="shared" si="508"/>
        <v>7.3929961089494185</v>
      </c>
      <c r="DO83" s="74">
        <v>553</v>
      </c>
      <c r="DP83" s="72">
        <f t="shared" si="508"/>
        <v>7.5875486381322901</v>
      </c>
      <c r="DQ83" s="74">
        <v>560</v>
      </c>
      <c r="DR83" s="72">
        <f t="shared" si="508"/>
        <v>3.3210332103321036</v>
      </c>
      <c r="DS83" s="74">
        <v>524</v>
      </c>
      <c r="DT83" s="72">
        <f t="shared" si="508"/>
        <v>1.5503875968992276</v>
      </c>
      <c r="DU83" s="74">
        <v>543</v>
      </c>
      <c r="DV83" s="72">
        <f t="shared" si="508"/>
        <v>-1.6304347826086882</v>
      </c>
      <c r="DW83" s="74">
        <v>523</v>
      </c>
      <c r="DX83" s="72">
        <f t="shared" si="508"/>
        <v>-5.4249547920434082</v>
      </c>
      <c r="DY83" s="74">
        <v>527</v>
      </c>
      <c r="DZ83" s="72">
        <f t="shared" si="508"/>
        <v>-5.8928571428571388</v>
      </c>
      <c r="EA83" s="74">
        <v>508</v>
      </c>
      <c r="EB83" s="72">
        <f t="shared" si="509"/>
        <v>-3.0534351145038272</v>
      </c>
      <c r="EC83" s="74">
        <v>537</v>
      </c>
      <c r="ED83" s="72">
        <f t="shared" si="510"/>
        <v>-1.1049723756906076</v>
      </c>
      <c r="EE83" s="74">
        <v>523</v>
      </c>
      <c r="EF83" s="72">
        <f t="shared" si="511"/>
        <v>0</v>
      </c>
      <c r="EG83" s="74">
        <v>518</v>
      </c>
      <c r="EH83" s="72">
        <f t="shared" si="512"/>
        <v>-1.7077798861480034</v>
      </c>
      <c r="EI83" s="74">
        <v>509</v>
      </c>
      <c r="EJ83" s="72">
        <f t="shared" si="513"/>
        <v>0.19685039370078528</v>
      </c>
      <c r="EK83" s="74">
        <v>507</v>
      </c>
      <c r="EL83" s="72">
        <f t="shared" si="514"/>
        <v>-5.5865921787709567</v>
      </c>
      <c r="EM83" s="74">
        <v>494</v>
      </c>
      <c r="EN83" s="72">
        <f t="shared" si="515"/>
        <v>-5.5449330783938819</v>
      </c>
      <c r="EO83" s="74">
        <v>534</v>
      </c>
      <c r="EP83" s="72">
        <f t="shared" si="516"/>
        <v>3.0888030888030755</v>
      </c>
      <c r="EQ83" s="75">
        <f t="shared" ref="EQ83" si="543">+EQ72*EQ89/100</f>
        <v>511.02738677836896</v>
      </c>
      <c r="ER83" s="72">
        <f t="shared" si="518"/>
        <v>0.3983078150037187</v>
      </c>
      <c r="ES83" s="75">
        <f t="shared" ref="ES83" si="544">+ES72*ES89/100</f>
        <v>507.01125459503947</v>
      </c>
      <c r="ET83" s="72">
        <f t="shared" si="520"/>
        <v>2.2198412306551063E-3</v>
      </c>
      <c r="EU83" s="75">
        <f t="shared" ref="EU83" si="545">+EU72*EU89/100</f>
        <v>507.37219232694662</v>
      </c>
      <c r="EV83" s="72">
        <f t="shared" si="522"/>
        <v>2.706921523673401</v>
      </c>
      <c r="EW83" s="75">
        <f t="shared" ref="EW83" si="546">+EW72*EW89/100</f>
        <v>526.87081360106913</v>
      </c>
      <c r="EX83" s="72">
        <f t="shared" si="524"/>
        <v>-1.3350536327585871</v>
      </c>
      <c r="EY83" s="72"/>
      <c r="EZ83" s="307"/>
      <c r="FA83" s="72"/>
      <c r="FB83" s="74">
        <v>407</v>
      </c>
      <c r="FC83" s="72"/>
      <c r="FD83" s="74">
        <v>405</v>
      </c>
      <c r="FE83" s="72">
        <f t="shared" si="525"/>
        <v>-0.49140049140049769</v>
      </c>
      <c r="FF83" s="74">
        <v>360</v>
      </c>
      <c r="FG83" s="72">
        <f t="shared" si="526"/>
        <v>-11.111111111111114</v>
      </c>
      <c r="FH83" s="75">
        <f>K83+M83+O83+Q83</f>
        <v>287</v>
      </c>
      <c r="FI83" s="72">
        <f t="shared" si="527"/>
        <v>-20.277777777777771</v>
      </c>
      <c r="FJ83" s="75">
        <f>S83+U83+W83+Y83</f>
        <v>291</v>
      </c>
      <c r="FK83" s="72">
        <f t="shared" si="528"/>
        <v>1.3937282229965291</v>
      </c>
      <c r="FL83" s="75">
        <f>AA83+AC83+AE83+AG83</f>
        <v>624</v>
      </c>
      <c r="FM83" s="72" t="str">
        <f t="shared" si="529"/>
        <v>NM</v>
      </c>
      <c r="FN83" s="75">
        <f>AI83+AK83+AM83+AO83</f>
        <v>811</v>
      </c>
      <c r="FO83" s="72">
        <f t="shared" si="530"/>
        <v>29.96794871794873</v>
      </c>
      <c r="FP83" s="75">
        <f>AQ83+AS83+AU83+AW83</f>
        <v>925</v>
      </c>
      <c r="FQ83" s="72">
        <f t="shared" si="531"/>
        <v>14.056720098643652</v>
      </c>
      <c r="FR83" s="75">
        <f>AY83+BA83+BC83+BE83</f>
        <v>1207</v>
      </c>
      <c r="FS83" s="72">
        <f t="shared" si="532"/>
        <v>30.486486486486484</v>
      </c>
      <c r="FT83" s="75">
        <f>BG83+BI83+BK83+BM83</f>
        <v>1520</v>
      </c>
      <c r="FU83" s="72">
        <f t="shared" si="533"/>
        <v>25.932062966031481</v>
      </c>
      <c r="FV83" s="74">
        <v>1819</v>
      </c>
      <c r="FW83" s="72">
        <f t="shared" si="534"/>
        <v>19.671052631578959</v>
      </c>
      <c r="FX83" s="75">
        <f>BW83+BY83+CA83+CC83</f>
        <v>1748</v>
      </c>
      <c r="FY83" s="72">
        <f t="shared" si="534"/>
        <v>-3.9032435404068195</v>
      </c>
      <c r="FZ83" s="75">
        <f>CE83+CG83+CI83+CK83</f>
        <v>2165</v>
      </c>
      <c r="GA83" s="72">
        <f t="shared" si="534"/>
        <v>23.855835240274587</v>
      </c>
      <c r="GB83" s="75">
        <f>CM83+CO83+CQ83+CS83</f>
        <v>2320</v>
      </c>
      <c r="GC83" s="72">
        <f t="shared" si="534"/>
        <v>7.1593533487297947</v>
      </c>
      <c r="GD83" s="75">
        <f>CU83+CW83+CY83+DA83</f>
        <v>2488</v>
      </c>
      <c r="GE83" s="72">
        <f t="shared" si="534"/>
        <v>7.2413793103448256</v>
      </c>
      <c r="GF83" s="75">
        <f>DC83+DE83+DG83+DI83</f>
        <v>2172</v>
      </c>
      <c r="GG83" s="72">
        <f t="shared" si="534"/>
        <v>-12.700964630225073</v>
      </c>
      <c r="GH83" s="75">
        <f>DK83+DM83+DO83+DQ83</f>
        <v>2181</v>
      </c>
      <c r="GI83" s="72">
        <f t="shared" si="535"/>
        <v>0.41436464088397429</v>
      </c>
      <c r="GJ83" s="75">
        <f>DS83+DU83+DW83+DY83</f>
        <v>2117</v>
      </c>
      <c r="GK83" s="72">
        <f t="shared" si="535"/>
        <v>-2.9344337459880734</v>
      </c>
      <c r="GL83" s="75">
        <f>EA83+EC83+EE83+EG83</f>
        <v>2086</v>
      </c>
      <c r="GM83" s="72">
        <f t="shared" si="535"/>
        <v>-1.4643363249881958</v>
      </c>
      <c r="GN83" s="75">
        <f>EI83+EK83+EM83+EO83</f>
        <v>2044</v>
      </c>
      <c r="GO83" s="72">
        <f t="shared" si="535"/>
        <v>-2.0134228187919376</v>
      </c>
      <c r="GP83" s="75">
        <f>EQ83+ES83+EU83+EW83</f>
        <v>2052.2816473014241</v>
      </c>
      <c r="GQ83" s="72">
        <f t="shared" si="535"/>
        <v>0.40516865466848628</v>
      </c>
      <c r="GR83" s="75">
        <f>GR72*GR89/100</f>
        <v>2051.6474368534705</v>
      </c>
      <c r="GS83" s="72">
        <f t="shared" si="535"/>
        <v>-3.0902700357302137E-2</v>
      </c>
      <c r="GT83" s="75">
        <f>GT72*GT89/100</f>
        <v>2057.3516083235759</v>
      </c>
      <c r="GU83" s="72">
        <f t="shared" si="535"/>
        <v>0.27802883515180099</v>
      </c>
      <c r="GV83" s="75">
        <f>GV72*GV89/100</f>
        <v>2067.7794175626427</v>
      </c>
      <c r="GW83" s="72">
        <f t="shared" si="536"/>
        <v>0.50685595971432917</v>
      </c>
      <c r="GX83" s="75">
        <f>GX72*GX89/100</f>
        <v>2083.277787821959</v>
      </c>
      <c r="GY83" s="72">
        <f t="shared" si="537"/>
        <v>0.74951758043827965</v>
      </c>
      <c r="GZ83" s="72">
        <f t="shared" si="538"/>
        <v>0.38140230523251439</v>
      </c>
      <c r="HA83" s="72"/>
      <c r="HB83" s="72"/>
      <c r="HC83"/>
      <c r="HD83"/>
      <c r="HE83"/>
      <c r="HF83"/>
      <c r="HG83"/>
      <c r="HH83"/>
      <c r="HI83" s="2"/>
    </row>
    <row r="84" spans="1:217" s="69" customFormat="1" ht="12.75" customHeight="1" x14ac:dyDescent="0.2">
      <c r="A84" s="3"/>
      <c r="B84" s="77" t="s">
        <v>625</v>
      </c>
      <c r="C84" s="74">
        <v>-27</v>
      </c>
      <c r="D84" s="92"/>
      <c r="E84" s="74">
        <v>-15</v>
      </c>
      <c r="F84" s="92"/>
      <c r="G84" s="74">
        <v>4</v>
      </c>
      <c r="H84" s="92"/>
      <c r="I84" s="74">
        <v>29</v>
      </c>
      <c r="J84" s="92"/>
      <c r="K84" s="74">
        <v>15</v>
      </c>
      <c r="L84" s="72" t="str">
        <f t="shared" si="472"/>
        <v>NM</v>
      </c>
      <c r="M84" s="74">
        <v>-3</v>
      </c>
      <c r="N84" s="72" t="str">
        <f t="shared" si="473"/>
        <v>NM</v>
      </c>
      <c r="O84" s="74">
        <v>27</v>
      </c>
      <c r="P84" s="72" t="str">
        <f t="shared" si="474"/>
        <v>NM</v>
      </c>
      <c r="Q84" s="74">
        <v>-4</v>
      </c>
      <c r="R84" s="72" t="str">
        <f t="shared" si="475"/>
        <v>NM</v>
      </c>
      <c r="S84" s="74">
        <v>-5</v>
      </c>
      <c r="T84" s="72" t="str">
        <f t="shared" si="475"/>
        <v>NM</v>
      </c>
      <c r="U84" s="74">
        <v>35</v>
      </c>
      <c r="V84" s="72" t="str">
        <f t="shared" si="475"/>
        <v>NM</v>
      </c>
      <c r="W84" s="74">
        <v>71</v>
      </c>
      <c r="X84" s="72" t="str">
        <f t="shared" si="475"/>
        <v>NM</v>
      </c>
      <c r="Y84" s="74">
        <v>-2</v>
      </c>
      <c r="Z84" s="72">
        <f t="shared" si="475"/>
        <v>-50</v>
      </c>
      <c r="AA84" s="74">
        <v>-10</v>
      </c>
      <c r="AB84" s="72">
        <f t="shared" si="475"/>
        <v>100</v>
      </c>
      <c r="AC84" s="74">
        <v>-45</v>
      </c>
      <c r="AD84" s="72" t="str">
        <f t="shared" si="475"/>
        <v>NM</v>
      </c>
      <c r="AE84" s="74">
        <v>-62</v>
      </c>
      <c r="AF84" s="72" t="str">
        <f t="shared" si="475"/>
        <v>NM</v>
      </c>
      <c r="AG84" s="74">
        <v>-103</v>
      </c>
      <c r="AH84" s="72" t="str">
        <f t="shared" si="475"/>
        <v>NM</v>
      </c>
      <c r="AI84" s="74">
        <f>37-98</f>
        <v>-61</v>
      </c>
      <c r="AJ84" s="72" t="str">
        <f t="shared" si="475"/>
        <v>NM</v>
      </c>
      <c r="AK84" s="74">
        <f>-97+40</f>
        <v>-57</v>
      </c>
      <c r="AL84" s="72">
        <f t="shared" si="475"/>
        <v>26.666666666666657</v>
      </c>
      <c r="AM84" s="74">
        <f>-83+44</f>
        <v>-39</v>
      </c>
      <c r="AN84" s="72">
        <f t="shared" si="475"/>
        <v>-37.096774193548384</v>
      </c>
      <c r="AO84" s="74">
        <f>4-75</f>
        <v>-71</v>
      </c>
      <c r="AP84" s="72">
        <f t="shared" si="475"/>
        <v>-31.067961165048544</v>
      </c>
      <c r="AQ84" s="74">
        <f>54-83</f>
        <v>-29</v>
      </c>
      <c r="AR84" s="72" t="str">
        <f t="shared" si="476"/>
        <v>NM</v>
      </c>
      <c r="AS84" s="74">
        <f>55-117</f>
        <v>-62</v>
      </c>
      <c r="AT84" s="72">
        <f t="shared" si="477"/>
        <v>8.7719298245614112</v>
      </c>
      <c r="AU84" s="74">
        <f>27-108</f>
        <v>-81</v>
      </c>
      <c r="AV84" s="72" t="str">
        <f t="shared" si="478"/>
        <v>NM</v>
      </c>
      <c r="AW84" s="74">
        <f>-113+37</f>
        <v>-76</v>
      </c>
      <c r="AX84" s="72">
        <f t="shared" si="479"/>
        <v>7.042253521126753</v>
      </c>
      <c r="AY84" s="74">
        <f>-119+57</f>
        <v>-62</v>
      </c>
      <c r="AZ84" s="72" t="str">
        <f t="shared" si="480"/>
        <v>NM</v>
      </c>
      <c r="BA84" s="74">
        <f>-133+51</f>
        <v>-82</v>
      </c>
      <c r="BB84" s="72">
        <f t="shared" si="481"/>
        <v>32.258064516129025</v>
      </c>
      <c r="BC84" s="74">
        <f>-131+28</f>
        <v>-103</v>
      </c>
      <c r="BD84" s="72">
        <f t="shared" si="482"/>
        <v>27.160493827160508</v>
      </c>
      <c r="BE84" s="74">
        <f>-151+67</f>
        <v>-84</v>
      </c>
      <c r="BF84" s="72">
        <f t="shared" si="483"/>
        <v>10.526315789473699</v>
      </c>
      <c r="BG84" s="74">
        <f>-154+74</f>
        <v>-80</v>
      </c>
      <c r="BH84" s="72">
        <f t="shared" si="484"/>
        <v>29.032258064516128</v>
      </c>
      <c r="BI84" s="74">
        <f>-168+75</f>
        <v>-93</v>
      </c>
      <c r="BJ84" s="72">
        <f t="shared" si="485"/>
        <v>13.414634146341456</v>
      </c>
      <c r="BK84" s="74">
        <f>-158+66</f>
        <v>-92</v>
      </c>
      <c r="BL84" s="72">
        <f t="shared" si="486"/>
        <v>-10.679611650485427</v>
      </c>
      <c r="BM84" s="74">
        <f>-173+70</f>
        <v>-103</v>
      </c>
      <c r="BN84" s="72">
        <f t="shared" si="487"/>
        <v>22.61904761904762</v>
      </c>
      <c r="BO84" s="74">
        <f>-163+63</f>
        <v>-100</v>
      </c>
      <c r="BP84" s="72">
        <f t="shared" si="488"/>
        <v>25</v>
      </c>
      <c r="BQ84" s="74">
        <f>-155+76</f>
        <v>-79</v>
      </c>
      <c r="BR84" s="72">
        <f t="shared" si="489"/>
        <v>-15.053763440860209</v>
      </c>
      <c r="BS84" s="74">
        <f>-149+121</f>
        <v>-28</v>
      </c>
      <c r="BT84" s="72" t="str">
        <f t="shared" si="490"/>
        <v>NM</v>
      </c>
      <c r="BU84" s="74">
        <f>-130+119</f>
        <v>-11</v>
      </c>
      <c r="BV84" s="72" t="str">
        <f t="shared" si="491"/>
        <v>NM</v>
      </c>
      <c r="BW84" s="74">
        <f>-132+103</f>
        <v>-29</v>
      </c>
      <c r="BX84" s="72" t="str">
        <f t="shared" si="492"/>
        <v>NM</v>
      </c>
      <c r="BY84" s="74">
        <f>-197-31</f>
        <v>-228</v>
      </c>
      <c r="BZ84" s="72" t="str">
        <f t="shared" si="493"/>
        <v>NM</v>
      </c>
      <c r="CA84" s="74">
        <f>-327+72</f>
        <v>-255</v>
      </c>
      <c r="CB84" s="72" t="str">
        <f t="shared" si="494"/>
        <v>NM</v>
      </c>
      <c r="CC84" s="74">
        <f>-297+99</f>
        <v>-198</v>
      </c>
      <c r="CD84" s="72" t="str">
        <f t="shared" si="495"/>
        <v>NM</v>
      </c>
      <c r="CE84" s="74">
        <f>-226+67</f>
        <v>-159</v>
      </c>
      <c r="CF84" s="72" t="str">
        <f t="shared" si="496"/>
        <v>NM</v>
      </c>
      <c r="CG84" s="74">
        <f>-267+155</f>
        <v>-112</v>
      </c>
      <c r="CH84" s="72" t="str">
        <f t="shared" si="497"/>
        <v>NM</v>
      </c>
      <c r="CI84" s="74">
        <f>-277-59</f>
        <v>-336</v>
      </c>
      <c r="CJ84" s="72">
        <f t="shared" si="498"/>
        <v>31.764705882352928</v>
      </c>
      <c r="CK84" s="74">
        <f>-319+68</f>
        <v>-251</v>
      </c>
      <c r="CL84" s="72">
        <f t="shared" si="498"/>
        <v>26.767676767676775</v>
      </c>
      <c r="CM84" s="74">
        <f>-345+83</f>
        <v>-262</v>
      </c>
      <c r="CN84" s="72">
        <f t="shared" si="498"/>
        <v>64.779874213836479</v>
      </c>
      <c r="CO84" s="74">
        <f>-235+131</f>
        <v>-104</v>
      </c>
      <c r="CP84" s="72">
        <f t="shared" si="498"/>
        <v>-7.1428571428571388</v>
      </c>
      <c r="CQ84" s="74">
        <f>-230+233</f>
        <v>3</v>
      </c>
      <c r="CR84" s="72" t="str">
        <f t="shared" si="498"/>
        <v>NM</v>
      </c>
      <c r="CS84" s="74">
        <f>-228+89</f>
        <v>-139</v>
      </c>
      <c r="CT84" s="72">
        <f t="shared" si="498"/>
        <v>-44.621513944223111</v>
      </c>
      <c r="CU84" s="74">
        <f>-254+86</f>
        <v>-168</v>
      </c>
      <c r="CV84" s="72">
        <f t="shared" si="499"/>
        <v>-35.877862595419856</v>
      </c>
      <c r="CW84" s="74">
        <f>-274+157</f>
        <v>-117</v>
      </c>
      <c r="CX84" s="72">
        <f t="shared" si="500"/>
        <v>12.5</v>
      </c>
      <c r="CY84" s="74">
        <f>-288-36</f>
        <v>-324</v>
      </c>
      <c r="CZ84" s="72" t="str">
        <f t="shared" si="501"/>
        <v>NM</v>
      </c>
      <c r="DA84" s="74">
        <f>-200+131</f>
        <v>-69</v>
      </c>
      <c r="DB84" s="72" t="str">
        <f t="shared" si="502"/>
        <v>NM</v>
      </c>
      <c r="DC84" s="74">
        <f>-223+134</f>
        <v>-89</v>
      </c>
      <c r="DD84" s="72">
        <f t="shared" si="503"/>
        <v>-47.023809523809526</v>
      </c>
      <c r="DE84" s="74">
        <f>-127+124</f>
        <v>-3</v>
      </c>
      <c r="DF84" s="72" t="str">
        <f t="shared" si="504"/>
        <v>NM</v>
      </c>
      <c r="DG84" s="74">
        <f>-124-99</f>
        <v>-223</v>
      </c>
      <c r="DH84" s="72">
        <f t="shared" si="505"/>
        <v>-31.172839506172849</v>
      </c>
      <c r="DI84" s="74">
        <f>-124+98</f>
        <v>-26</v>
      </c>
      <c r="DJ84" s="72" t="str">
        <f t="shared" si="506"/>
        <v>NM</v>
      </c>
      <c r="DK84" s="74">
        <f>-116+122</f>
        <v>6</v>
      </c>
      <c r="DL84" s="72" t="str">
        <f t="shared" si="507"/>
        <v>NM</v>
      </c>
      <c r="DM84" s="74">
        <f>-132+129</f>
        <v>-3</v>
      </c>
      <c r="DN84" s="72">
        <f t="shared" si="508"/>
        <v>0</v>
      </c>
      <c r="DO84" s="74">
        <f>-127+141</f>
        <v>14</v>
      </c>
      <c r="DP84" s="72" t="str">
        <f t="shared" si="508"/>
        <v>NM</v>
      </c>
      <c r="DQ84" s="74">
        <f>-123+151</f>
        <v>28</v>
      </c>
      <c r="DR84" s="72" t="str">
        <f t="shared" si="508"/>
        <v>NM</v>
      </c>
      <c r="DS84" s="74">
        <f>-109+89</f>
        <v>-20</v>
      </c>
      <c r="DT84" s="72" t="str">
        <f t="shared" si="508"/>
        <v>NM</v>
      </c>
      <c r="DU84" s="74">
        <f>-112+92</f>
        <v>-20</v>
      </c>
      <c r="DV84" s="72" t="str">
        <f t="shared" si="508"/>
        <v>NM</v>
      </c>
      <c r="DW84" s="74">
        <f>-104+163</f>
        <v>59</v>
      </c>
      <c r="DX84" s="72" t="str">
        <f t="shared" si="508"/>
        <v>NM</v>
      </c>
      <c r="DY84" s="74">
        <f>-105+121</f>
        <v>16</v>
      </c>
      <c r="DZ84" s="72">
        <f t="shared" si="508"/>
        <v>-42.857142857142861</v>
      </c>
      <c r="EA84" s="74">
        <f>-100+144</f>
        <v>44</v>
      </c>
      <c r="EB84" s="72" t="str">
        <f t="shared" si="509"/>
        <v>NM</v>
      </c>
      <c r="EC84" s="74">
        <f>-117+122</f>
        <v>5</v>
      </c>
      <c r="ED84" s="72" t="str">
        <f t="shared" si="510"/>
        <v>NM</v>
      </c>
      <c r="EE84" s="74">
        <f>-104+84</f>
        <v>-20</v>
      </c>
      <c r="EF84" s="72" t="str">
        <f t="shared" si="511"/>
        <v>NM</v>
      </c>
      <c r="EG84" s="74">
        <f>-87+134</f>
        <v>47</v>
      </c>
      <c r="EH84" s="72" t="str">
        <f t="shared" si="512"/>
        <v>NM</v>
      </c>
      <c r="EI84" s="74">
        <f>-79+128</f>
        <v>49</v>
      </c>
      <c r="EJ84" s="72">
        <f t="shared" si="513"/>
        <v>11.36363636363636</v>
      </c>
      <c r="EK84" s="74">
        <f>-80+102</f>
        <v>22</v>
      </c>
      <c r="EL84" s="72" t="str">
        <f t="shared" si="514"/>
        <v>NM</v>
      </c>
      <c r="EM84" s="74">
        <f>-71+116</f>
        <v>45</v>
      </c>
      <c r="EN84" s="72" t="str">
        <f t="shared" si="515"/>
        <v>NM</v>
      </c>
      <c r="EO84" s="74">
        <f>-84+118</f>
        <v>34</v>
      </c>
      <c r="EP84" s="72">
        <f t="shared" si="516"/>
        <v>-27.659574468085097</v>
      </c>
      <c r="EQ84" s="75">
        <f t="shared" ref="EQ84" si="547">-EQ91/100*EQ83</f>
        <v>48.547601743945052</v>
      </c>
      <c r="ER84" s="72">
        <f t="shared" si="518"/>
        <v>-0.92326174705091546</v>
      </c>
      <c r="ES84" s="75">
        <f t="shared" ref="ES84" si="548">-ES91/100*ES83</f>
        <v>48.166069186528752</v>
      </c>
      <c r="ET84" s="72" t="str">
        <f t="shared" si="520"/>
        <v>NM</v>
      </c>
      <c r="EU84" s="75">
        <f t="shared" ref="EU84" si="549">-EU91/100*EU83</f>
        <v>48.200358271059926</v>
      </c>
      <c r="EV84" s="72">
        <f t="shared" si="522"/>
        <v>7.111907269022069</v>
      </c>
      <c r="EW84" s="75">
        <f t="shared" ref="EW84" si="550">-EW91/100*EW83</f>
        <v>50.052727292101565</v>
      </c>
      <c r="EX84" s="72">
        <f t="shared" si="524"/>
        <v>47.213903800298738</v>
      </c>
      <c r="EY84" s="72"/>
      <c r="EZ84" s="307"/>
      <c r="FA84" s="72"/>
      <c r="FB84" s="74">
        <v>-92</v>
      </c>
      <c r="FC84" s="92"/>
      <c r="FD84" s="74">
        <v>-24</v>
      </c>
      <c r="FE84" s="72" t="str">
        <f t="shared" si="525"/>
        <v>NM</v>
      </c>
      <c r="FF84" s="74">
        <v>-9</v>
      </c>
      <c r="FG84" s="72" t="str">
        <f t="shared" si="526"/>
        <v>NM</v>
      </c>
      <c r="FH84" s="75">
        <f>K84+M84+O84+Q84</f>
        <v>35</v>
      </c>
      <c r="FI84" s="72" t="str">
        <f t="shared" si="527"/>
        <v>NM</v>
      </c>
      <c r="FJ84" s="75">
        <f>S84+U84+W84+Y84</f>
        <v>99</v>
      </c>
      <c r="FK84" s="72" t="str">
        <f t="shared" si="528"/>
        <v>NM</v>
      </c>
      <c r="FL84" s="75">
        <f>AA84+AC84+AE84+AG84</f>
        <v>-220</v>
      </c>
      <c r="FM84" s="72" t="str">
        <f t="shared" si="529"/>
        <v>NM</v>
      </c>
      <c r="FN84" s="75">
        <f>AI84+AK84+AM84+AO84</f>
        <v>-228</v>
      </c>
      <c r="FO84" s="72">
        <f t="shared" si="530"/>
        <v>3.6363636363636402</v>
      </c>
      <c r="FP84" s="75">
        <f>AQ84+AS84+AU84+AW84</f>
        <v>-248</v>
      </c>
      <c r="FQ84" s="72">
        <f t="shared" si="531"/>
        <v>8.7719298245614112</v>
      </c>
      <c r="FR84" s="75">
        <f>AY84+BA84+BC84+BE84</f>
        <v>-331</v>
      </c>
      <c r="FS84" s="72">
        <f t="shared" si="532"/>
        <v>33.467741935483872</v>
      </c>
      <c r="FT84" s="75">
        <f>BG84+BI84+BK84+BM84</f>
        <v>-368</v>
      </c>
      <c r="FU84" s="72">
        <f t="shared" si="533"/>
        <v>11.178247734138978</v>
      </c>
      <c r="FV84" s="74">
        <v>0</v>
      </c>
      <c r="FW84" s="72" t="str">
        <f t="shared" si="534"/>
        <v>NM</v>
      </c>
      <c r="FX84" s="74">
        <f>-833+208</f>
        <v>-625</v>
      </c>
      <c r="FY84" s="72" t="str">
        <f t="shared" si="534"/>
        <v>NA</v>
      </c>
      <c r="FZ84" s="75">
        <f>CE84+CG84+CI84+CK84</f>
        <v>-858</v>
      </c>
      <c r="GA84" s="72">
        <f t="shared" si="534"/>
        <v>37.28</v>
      </c>
      <c r="GB84" s="75">
        <f>CM84+CO84+CQ84+CS84</f>
        <v>-502</v>
      </c>
      <c r="GC84" s="72">
        <f t="shared" si="534"/>
        <v>-41.491841491841498</v>
      </c>
      <c r="GD84" s="75">
        <f>CU84+CW84+CY84+DA84</f>
        <v>-678</v>
      </c>
      <c r="GE84" s="72">
        <f t="shared" si="534"/>
        <v>35.059760956175296</v>
      </c>
      <c r="GF84" s="75">
        <f>DC84+DE84+DG84+DI84</f>
        <v>-341</v>
      </c>
      <c r="GG84" s="72">
        <f t="shared" si="534"/>
        <v>-49.705014749262531</v>
      </c>
      <c r="GH84" s="75">
        <f>DK84+DM84+DO84+DQ84</f>
        <v>45</v>
      </c>
      <c r="GI84" s="72" t="str">
        <f t="shared" si="535"/>
        <v>NM</v>
      </c>
      <c r="GJ84" s="75">
        <f>DS84+DU84+DW84+DY84</f>
        <v>35</v>
      </c>
      <c r="GK84" s="72">
        <f t="shared" si="535"/>
        <v>-22.222222222222214</v>
      </c>
      <c r="GL84" s="75">
        <f>EA84+EC84+EE84+EG84</f>
        <v>76</v>
      </c>
      <c r="GM84" s="72" t="str">
        <f t="shared" si="535"/>
        <v>NM</v>
      </c>
      <c r="GN84" s="75">
        <f>EI84+EK84+EM84+EO84</f>
        <v>150</v>
      </c>
      <c r="GO84" s="72">
        <f t="shared" si="535"/>
        <v>97.368421052631561</v>
      </c>
      <c r="GP84" s="75">
        <f>EQ84+ES84+EU84+EW84</f>
        <v>194.96675649363527</v>
      </c>
      <c r="GQ84" s="72">
        <f t="shared" si="535"/>
        <v>29.977837662423525</v>
      </c>
      <c r="GR84" s="75">
        <f>-GR91/100*GR83</f>
        <v>194.90650650107966</v>
      </c>
      <c r="GS84" s="72">
        <f t="shared" si="535"/>
        <v>-3.0902700357316348E-2</v>
      </c>
      <c r="GT84" s="75">
        <f>-GT91/100*GT83</f>
        <v>195.44840279073969</v>
      </c>
      <c r="GU84" s="72">
        <f t="shared" si="535"/>
        <v>0.27802883515180099</v>
      </c>
      <c r="GV84" s="75">
        <f>-GV91/100*GV83</f>
        <v>196.43904466845103</v>
      </c>
      <c r="GW84" s="72">
        <f t="shared" si="536"/>
        <v>0.50685595971432917</v>
      </c>
      <c r="GX84" s="75">
        <f>-GX91/100*GX83</f>
        <v>197.91138984308608</v>
      </c>
      <c r="GY84" s="72">
        <f t="shared" si="537"/>
        <v>0.74951758043827965</v>
      </c>
      <c r="GZ84" s="72">
        <f t="shared" si="538"/>
        <v>5.7002235756733688</v>
      </c>
      <c r="HA84" s="72"/>
      <c r="HB84" s="72"/>
      <c r="HC84"/>
      <c r="HD84"/>
      <c r="HE84"/>
      <c r="HF84"/>
      <c r="HG84"/>
      <c r="HH84"/>
      <c r="HI84" s="2"/>
    </row>
    <row r="85" spans="1:217" s="78" customFormat="1" ht="12.75" customHeight="1" x14ac:dyDescent="0.2">
      <c r="B85" s="93" t="s">
        <v>156</v>
      </c>
      <c r="C85" s="91">
        <f>SUM(C80:C84)</f>
        <v>173</v>
      </c>
      <c r="D85" s="80"/>
      <c r="E85" s="91">
        <f>SUM(E80:E84)</f>
        <v>191</v>
      </c>
      <c r="F85" s="80"/>
      <c r="G85" s="91">
        <f>SUM(G80:G84)</f>
        <v>187</v>
      </c>
      <c r="H85" s="80"/>
      <c r="I85" s="91">
        <f>SUM(I80:I84)</f>
        <v>215</v>
      </c>
      <c r="J85" s="72"/>
      <c r="K85" s="91">
        <f>SUM(K80:K84)</f>
        <v>181</v>
      </c>
      <c r="L85" s="72">
        <f t="shared" si="472"/>
        <v>4.6242774566473912</v>
      </c>
      <c r="M85" s="91">
        <f>SUM(M80:M84)</f>
        <v>164</v>
      </c>
      <c r="N85" s="72">
        <f t="shared" si="473"/>
        <v>-14.136125654450254</v>
      </c>
      <c r="O85" s="91">
        <f>SUM(O80:O84)</f>
        <v>186</v>
      </c>
      <c r="P85" s="72">
        <f t="shared" si="474"/>
        <v>-0.53475935828876686</v>
      </c>
      <c r="Q85" s="91">
        <f>SUM(Q80:Q84)</f>
        <v>163</v>
      </c>
      <c r="R85" s="72">
        <f t="shared" si="475"/>
        <v>-24.186046511627907</v>
      </c>
      <c r="S85" s="91">
        <f>SUM(S80:S84)</f>
        <v>153</v>
      </c>
      <c r="T85" s="72">
        <f t="shared" si="475"/>
        <v>-15.469613259668506</v>
      </c>
      <c r="U85" s="91">
        <f>SUM(U80:U84)</f>
        <v>210</v>
      </c>
      <c r="V85" s="72">
        <f t="shared" si="475"/>
        <v>28.048780487804891</v>
      </c>
      <c r="W85" s="91">
        <f>SUM(W80:W84)</f>
        <v>253</v>
      </c>
      <c r="X85" s="72">
        <f t="shared" si="475"/>
        <v>36.021505376344066</v>
      </c>
      <c r="Y85" s="91">
        <f>SUM(Y80:Y84)</f>
        <v>167</v>
      </c>
      <c r="Z85" s="72">
        <f t="shared" si="475"/>
        <v>2.4539877300613568</v>
      </c>
      <c r="AA85" s="91">
        <f>SUM(AA80:AA84)</f>
        <v>160</v>
      </c>
      <c r="AB85" s="72">
        <f t="shared" si="475"/>
        <v>4.5751633986928226</v>
      </c>
      <c r="AC85" s="91">
        <f>SUM(AC80:AC84)</f>
        <v>218</v>
      </c>
      <c r="AD85" s="72">
        <f t="shared" si="475"/>
        <v>3.8095238095238244</v>
      </c>
      <c r="AE85" s="91">
        <f>SUM(AE80:AE84)</f>
        <v>251</v>
      </c>
      <c r="AF85" s="72">
        <f t="shared" si="475"/>
        <v>-0.79051383399209385</v>
      </c>
      <c r="AG85" s="91">
        <f>SUM(AG80:AG84)</f>
        <v>253</v>
      </c>
      <c r="AH85" s="72">
        <f t="shared" si="475"/>
        <v>51.497005988023972</v>
      </c>
      <c r="AI85" s="91">
        <f>SUM(AI80:AI84)</f>
        <v>280</v>
      </c>
      <c r="AJ85" s="72">
        <f t="shared" si="475"/>
        <v>75</v>
      </c>
      <c r="AK85" s="91">
        <f>SUM(AK80:AK84)</f>
        <v>293</v>
      </c>
      <c r="AL85" s="72">
        <f t="shared" si="475"/>
        <v>34.403669724770651</v>
      </c>
      <c r="AM85" s="91">
        <f>SUM(AM80:AM84)</f>
        <v>302</v>
      </c>
      <c r="AN85" s="72">
        <f t="shared" si="475"/>
        <v>20.318725099601593</v>
      </c>
      <c r="AO85" s="91">
        <f>SUM(AO80:AO84)</f>
        <v>276</v>
      </c>
      <c r="AP85" s="72">
        <f t="shared" si="475"/>
        <v>9.0909090909090793</v>
      </c>
      <c r="AQ85" s="91">
        <f>SUM(AQ80:AQ84)</f>
        <v>324</v>
      </c>
      <c r="AR85" s="72">
        <f t="shared" si="476"/>
        <v>15.714285714285722</v>
      </c>
      <c r="AS85" s="91">
        <f>SUM(AS80:AS84)</f>
        <v>319</v>
      </c>
      <c r="AT85" s="72">
        <f t="shared" si="477"/>
        <v>8.8737201365187701</v>
      </c>
      <c r="AU85" s="91">
        <f>SUM(AU80:AU84)</f>
        <v>280</v>
      </c>
      <c r="AV85" s="72">
        <f t="shared" si="478"/>
        <v>-7.2847682119205359</v>
      </c>
      <c r="AW85" s="91">
        <f>SUM(AW80:AW84)</f>
        <v>289</v>
      </c>
      <c r="AX85" s="72">
        <f t="shared" si="479"/>
        <v>4.7101449275362341</v>
      </c>
      <c r="AY85" s="91">
        <f>SUM(AY80:AY84)</f>
        <v>335</v>
      </c>
      <c r="AZ85" s="72">
        <f t="shared" si="480"/>
        <v>3.3950617283950493</v>
      </c>
      <c r="BA85" s="91">
        <f>SUM(BA80:BA84)</f>
        <v>347</v>
      </c>
      <c r="BB85" s="72">
        <f t="shared" si="481"/>
        <v>8.7774294670846444</v>
      </c>
      <c r="BC85" s="91">
        <f>SUM(BC80:BC84)</f>
        <v>391</v>
      </c>
      <c r="BD85" s="72">
        <f t="shared" si="482"/>
        <v>39.642857142857139</v>
      </c>
      <c r="BE85" s="91">
        <f>SUM(BE80:BE84)</f>
        <v>442</v>
      </c>
      <c r="BF85" s="72">
        <f t="shared" si="483"/>
        <v>52.941176470588232</v>
      </c>
      <c r="BG85" s="91">
        <f>SUM(BG80:BG84)</f>
        <v>438</v>
      </c>
      <c r="BH85" s="72">
        <f t="shared" si="484"/>
        <v>30.74626865671641</v>
      </c>
      <c r="BI85" s="91">
        <f>SUM(BI80:BI84)</f>
        <v>452</v>
      </c>
      <c r="BJ85" s="72">
        <f t="shared" si="485"/>
        <v>30.259365994236305</v>
      </c>
      <c r="BK85" s="91">
        <f>SUM(BK80:BK84)</f>
        <v>428</v>
      </c>
      <c r="BL85" s="72">
        <f t="shared" si="486"/>
        <v>9.4629156010230133</v>
      </c>
      <c r="BM85" s="91">
        <f>SUM(BM80:BM84)</f>
        <v>463</v>
      </c>
      <c r="BN85" s="72">
        <f t="shared" si="487"/>
        <v>4.7511312217194615</v>
      </c>
      <c r="BO85" s="91">
        <f>SUM(BO80:BO84)</f>
        <v>458</v>
      </c>
      <c r="BP85" s="72">
        <f t="shared" si="488"/>
        <v>4.5662100456621175</v>
      </c>
      <c r="BQ85" s="91">
        <f>SUM(BQ80:BQ84)</f>
        <v>468</v>
      </c>
      <c r="BR85" s="72">
        <f t="shared" si="489"/>
        <v>3.5398230088495666</v>
      </c>
      <c r="BS85" s="91">
        <f>SUM(BS80:BS84)</f>
        <v>835</v>
      </c>
      <c r="BT85" s="72">
        <f t="shared" si="490"/>
        <v>95.093457943925216</v>
      </c>
      <c r="BU85" s="91">
        <f>SUM(BU80:BU84)</f>
        <v>1315</v>
      </c>
      <c r="BV85" s="72" t="str">
        <f t="shared" si="491"/>
        <v>NM</v>
      </c>
      <c r="BW85" s="91">
        <f>SUM(BW80:BW84)</f>
        <v>818</v>
      </c>
      <c r="BX85" s="72">
        <f t="shared" si="492"/>
        <v>78.602620087336248</v>
      </c>
      <c r="BY85" s="91">
        <f>SUM(BY80:BY84)</f>
        <v>102</v>
      </c>
      <c r="BZ85" s="72" t="str">
        <f t="shared" si="493"/>
        <v>NM</v>
      </c>
      <c r="CA85" s="91">
        <f>SUM(CA80:CA84)</f>
        <v>338</v>
      </c>
      <c r="CB85" s="72" t="str">
        <f t="shared" si="494"/>
        <v>NM</v>
      </c>
      <c r="CC85" s="91">
        <f>SUM(CC80:CC84)</f>
        <v>500</v>
      </c>
      <c r="CD85" s="72" t="str">
        <f t="shared" si="495"/>
        <v>NM</v>
      </c>
      <c r="CE85" s="91">
        <f>SUM(CE80:CE84)</f>
        <v>534</v>
      </c>
      <c r="CF85" s="72">
        <f t="shared" si="496"/>
        <v>-34.718826405867972</v>
      </c>
      <c r="CG85" s="91">
        <f>SUM(CG80:CG84)</f>
        <v>912</v>
      </c>
      <c r="CH85" s="72" t="str">
        <f t="shared" si="497"/>
        <v>NM</v>
      </c>
      <c r="CI85" s="91">
        <f>SUM(CI80:CI84)</f>
        <v>255</v>
      </c>
      <c r="CJ85" s="72">
        <f t="shared" si="498"/>
        <v>-24.556213017751489</v>
      </c>
      <c r="CK85" s="91">
        <f>SUM(CK80:CK84)</f>
        <v>544</v>
      </c>
      <c r="CL85" s="72">
        <f t="shared" si="498"/>
        <v>8.8000000000000114</v>
      </c>
      <c r="CM85" s="91">
        <f>SUM(CM80:CM84)</f>
        <v>624</v>
      </c>
      <c r="CN85" s="72">
        <f t="shared" si="498"/>
        <v>16.853932584269657</v>
      </c>
      <c r="CO85" s="91">
        <f>SUM(CO80:CO84)</f>
        <v>726</v>
      </c>
      <c r="CP85" s="72">
        <f t="shared" si="498"/>
        <v>-20.39473684210526</v>
      </c>
      <c r="CQ85" s="91">
        <f>SUM(CQ80:CQ84)</f>
        <v>1097</v>
      </c>
      <c r="CR85" s="72" t="str">
        <f t="shared" si="498"/>
        <v>NM</v>
      </c>
      <c r="CS85" s="91">
        <f>SUM(CS80:CS84)</f>
        <v>529</v>
      </c>
      <c r="CT85" s="72">
        <f t="shared" si="498"/>
        <v>-2.7573529411764781</v>
      </c>
      <c r="CU85" s="91">
        <f>SUM(CU80:CU84)</f>
        <v>537</v>
      </c>
      <c r="CV85" s="72">
        <f t="shared" si="499"/>
        <v>-13.942307692307693</v>
      </c>
      <c r="CW85" s="91">
        <f>SUM(CW80:CW84)</f>
        <v>861</v>
      </c>
      <c r="CX85" s="72">
        <f t="shared" si="500"/>
        <v>18.595041322314046</v>
      </c>
      <c r="CY85" s="91">
        <f>SUM(CY80:CY84)</f>
        <v>811</v>
      </c>
      <c r="CZ85" s="72">
        <f t="shared" si="501"/>
        <v>-26.07110300820419</v>
      </c>
      <c r="DA85" s="91">
        <f>SUM(DA80:DA84)</f>
        <v>735</v>
      </c>
      <c r="DB85" s="72">
        <f t="shared" si="502"/>
        <v>38.941398865784493</v>
      </c>
      <c r="DC85" s="91">
        <f>SUM(DC80:DC84)</f>
        <v>696</v>
      </c>
      <c r="DD85" s="72">
        <f t="shared" si="503"/>
        <v>29.608938547486019</v>
      </c>
      <c r="DE85" s="91">
        <f>SUM(DE80:DE84)</f>
        <v>719</v>
      </c>
      <c r="DF85" s="72">
        <f t="shared" si="504"/>
        <v>-16.492450638792093</v>
      </c>
      <c r="DG85" s="91">
        <f>SUM(DG80:DG84)</f>
        <v>299</v>
      </c>
      <c r="DH85" s="72" t="str">
        <f t="shared" si="505"/>
        <v>NM</v>
      </c>
      <c r="DI85" s="91">
        <f>SUM(DI80:DI84)</f>
        <v>666</v>
      </c>
      <c r="DJ85" s="72">
        <f t="shared" si="506"/>
        <v>-9.3877551020408134</v>
      </c>
      <c r="DK85" s="91">
        <f>SUM(DK80:DK84)</f>
        <v>769</v>
      </c>
      <c r="DL85" s="72">
        <f t="shared" si="507"/>
        <v>10.488505747126425</v>
      </c>
      <c r="DM85" s="91">
        <f>SUM(DM80:DM84)</f>
        <v>781</v>
      </c>
      <c r="DN85" s="72">
        <f t="shared" si="508"/>
        <v>8.6230876216968113</v>
      </c>
      <c r="DO85" s="91">
        <f>SUM(DO80:DO84)</f>
        <v>824</v>
      </c>
      <c r="DP85" s="72" t="str">
        <f t="shared" si="508"/>
        <v>NM</v>
      </c>
      <c r="DQ85" s="91">
        <f>SUM(DQ80:DQ84)</f>
        <v>869</v>
      </c>
      <c r="DR85" s="72">
        <f t="shared" si="508"/>
        <v>30.48048048048048</v>
      </c>
      <c r="DS85" s="91">
        <f>SUM(DS80:DS84)</f>
        <v>658</v>
      </c>
      <c r="DT85" s="72">
        <f t="shared" si="508"/>
        <v>-14.434330299089723</v>
      </c>
      <c r="DU85" s="91">
        <f>SUM(DU80:DU84)</f>
        <v>652</v>
      </c>
      <c r="DV85" s="72">
        <f t="shared" si="508"/>
        <v>-16.517285531370035</v>
      </c>
      <c r="DW85" s="91">
        <f>SUM(DW80:DW84)</f>
        <v>857</v>
      </c>
      <c r="DX85" s="72">
        <f t="shared" si="508"/>
        <v>4.0048543689320297</v>
      </c>
      <c r="DY85" s="91">
        <f>SUM(DY80:DY84)</f>
        <v>731</v>
      </c>
      <c r="DZ85" s="72">
        <f t="shared" si="508"/>
        <v>-15.880322209436144</v>
      </c>
      <c r="EA85" s="91">
        <f>SUM(EA80:EA84)</f>
        <v>781</v>
      </c>
      <c r="EB85" s="72">
        <f t="shared" si="509"/>
        <v>18.693009118541042</v>
      </c>
      <c r="EC85" s="91">
        <f>SUM(EC80:EC84)</f>
        <v>716</v>
      </c>
      <c r="ED85" s="72">
        <f t="shared" si="510"/>
        <v>9.8159509202454132</v>
      </c>
      <c r="EE85" s="91">
        <f>SUM(EE80:EE84)</f>
        <v>633</v>
      </c>
      <c r="EF85" s="72">
        <f t="shared" si="511"/>
        <v>-26.137689614935823</v>
      </c>
      <c r="EG85" s="91">
        <f>SUM(EG80:EG84)</f>
        <v>771</v>
      </c>
      <c r="EH85" s="72">
        <f t="shared" si="512"/>
        <v>5.4719562243502224</v>
      </c>
      <c r="EI85" s="91">
        <f>SUM(EI80:EI84)</f>
        <v>747</v>
      </c>
      <c r="EJ85" s="72">
        <f t="shared" si="513"/>
        <v>-4.3533930857874452</v>
      </c>
      <c r="EK85" s="91">
        <f>SUM(EK80:EK84)</f>
        <v>694</v>
      </c>
      <c r="EL85" s="72">
        <f t="shared" si="514"/>
        <v>-3.0726256983240319</v>
      </c>
      <c r="EM85" s="91">
        <f>SUM(EM80:EM84)</f>
        <v>727</v>
      </c>
      <c r="EN85" s="72">
        <f t="shared" si="515"/>
        <v>14.849921011058441</v>
      </c>
      <c r="EO85" s="91">
        <f>SUM(EO80:EO84)</f>
        <v>744</v>
      </c>
      <c r="EP85" s="72">
        <f t="shared" si="516"/>
        <v>-3.5019455252918306</v>
      </c>
      <c r="EQ85" s="91">
        <f t="shared" ref="EQ85" si="551">SUM(EQ80:EQ84)</f>
        <v>750.35328387307425</v>
      </c>
      <c r="ER85" s="72">
        <f t="shared" si="518"/>
        <v>0.44890011687741094</v>
      </c>
      <c r="ES85" s="91">
        <f t="shared" ref="ES85" si="552">SUM(ES80:ES84)</f>
        <v>743.83594035232841</v>
      </c>
      <c r="ET85" s="72">
        <f t="shared" si="520"/>
        <v>7.1809712323239694</v>
      </c>
      <c r="EU85" s="91">
        <f t="shared" ref="EU85" si="553">SUM(EU80:EU84)</f>
        <v>744.09610503202623</v>
      </c>
      <c r="EV85" s="72">
        <f t="shared" si="522"/>
        <v>2.3515962905125605</v>
      </c>
      <c r="EW85" s="91">
        <f t="shared" ref="EW85" si="554">SUM(EW80:EW84)</f>
        <v>765.35066502672862</v>
      </c>
      <c r="EX85" s="72">
        <f t="shared" si="524"/>
        <v>2.8697130412269587</v>
      </c>
      <c r="EY85" s="72"/>
      <c r="EZ85" s="312"/>
      <c r="FA85" s="72"/>
      <c r="FB85" s="91">
        <f>SUM(FB80:FB84)</f>
        <v>737</v>
      </c>
      <c r="FC85" s="80"/>
      <c r="FD85" s="91">
        <f>SUM(FD80:FD84)</f>
        <v>774</v>
      </c>
      <c r="FE85" s="72">
        <f t="shared" si="525"/>
        <v>5.0203527815468192</v>
      </c>
      <c r="FF85" s="91">
        <f>SUM(FF80:FF84)</f>
        <v>766</v>
      </c>
      <c r="FG85" s="72">
        <f t="shared" si="526"/>
        <v>-1.0335917312661422</v>
      </c>
      <c r="FH85" s="91">
        <f>SUM(FH80:FH84)</f>
        <v>694</v>
      </c>
      <c r="FI85" s="72">
        <f t="shared" si="527"/>
        <v>-9.3994778067885107</v>
      </c>
      <c r="FJ85" s="91">
        <f>SUM(FJ80:FJ84)</f>
        <v>783</v>
      </c>
      <c r="FK85" s="72">
        <f t="shared" si="528"/>
        <v>12.824207492795381</v>
      </c>
      <c r="FL85" s="91">
        <f>SUM(FL80:FL84)</f>
        <v>882</v>
      </c>
      <c r="FM85" s="72">
        <f t="shared" si="529"/>
        <v>12.643678160919535</v>
      </c>
      <c r="FN85" s="91">
        <f>SUM(FN80:FN84)</f>
        <v>1151</v>
      </c>
      <c r="FO85" s="72">
        <f t="shared" si="530"/>
        <v>30.498866213151928</v>
      </c>
      <c r="FP85" s="91">
        <f>SUM(FP80:FP84)</f>
        <v>1212</v>
      </c>
      <c r="FQ85" s="72">
        <f t="shared" si="531"/>
        <v>5.2997393570807958</v>
      </c>
      <c r="FR85" s="91">
        <f>SUM(FR80:FR84)</f>
        <v>1515</v>
      </c>
      <c r="FS85" s="72">
        <f t="shared" si="532"/>
        <v>25</v>
      </c>
      <c r="FT85" s="91">
        <f>SUM(FT80:FT84)</f>
        <v>1781</v>
      </c>
      <c r="FU85" s="72">
        <f t="shared" si="533"/>
        <v>17.557755775577562</v>
      </c>
      <c r="FV85" s="91">
        <f>SUM(FV80:FV84)</f>
        <v>3392</v>
      </c>
      <c r="FW85" s="72">
        <f t="shared" si="534"/>
        <v>90.454800673778777</v>
      </c>
      <c r="FX85" s="91">
        <f>SUM(FX80:FX84)</f>
        <v>1843</v>
      </c>
      <c r="FY85" s="72">
        <f t="shared" si="534"/>
        <v>-45.66627358490566</v>
      </c>
      <c r="FZ85" s="91">
        <f>SUM(FZ80:FZ84)</f>
        <v>2245</v>
      </c>
      <c r="GA85" s="72">
        <f t="shared" si="534"/>
        <v>21.812262615301137</v>
      </c>
      <c r="GB85" s="91">
        <f>SUM(GB80:GB84)</f>
        <v>2976</v>
      </c>
      <c r="GC85" s="72">
        <f t="shared" si="534"/>
        <v>32.561247216035639</v>
      </c>
      <c r="GD85" s="91">
        <f>SUM(GD80:GD84)</f>
        <v>2944</v>
      </c>
      <c r="GE85" s="72">
        <f t="shared" si="534"/>
        <v>-1.0752688172043037</v>
      </c>
      <c r="GF85" s="91">
        <f>SUM(GF80:GF84)</f>
        <v>2380</v>
      </c>
      <c r="GG85" s="72">
        <f t="shared" si="534"/>
        <v>-19.157608695652172</v>
      </c>
      <c r="GH85" s="91">
        <f>SUM(GH80:GH84)</f>
        <v>3243</v>
      </c>
      <c r="GI85" s="72">
        <f t="shared" si="535"/>
        <v>36.260504201680675</v>
      </c>
      <c r="GJ85" s="91">
        <f>SUM(GJ80:GJ84)</f>
        <v>2898</v>
      </c>
      <c r="GK85" s="72">
        <f t="shared" si="535"/>
        <v>-10.638297872340431</v>
      </c>
      <c r="GL85" s="91">
        <f>SUM(GL80:GL84)</f>
        <v>2901</v>
      </c>
      <c r="GM85" s="72">
        <f t="shared" si="535"/>
        <v>0.1035196687370501</v>
      </c>
      <c r="GN85" s="91">
        <f>SUM(GN80:GN84)</f>
        <v>2912</v>
      </c>
      <c r="GO85" s="72">
        <f t="shared" si="535"/>
        <v>0.37917959324371964</v>
      </c>
      <c r="GP85" s="91">
        <f>SUM(GP80:GP84)</f>
        <v>3003.6359942841573</v>
      </c>
      <c r="GQ85" s="72">
        <f t="shared" si="535"/>
        <v>3.1468404630548434</v>
      </c>
      <c r="GR85" s="91">
        <f>SUM(GR80:GR84)</f>
        <v>3023.0888508895614</v>
      </c>
      <c r="GS85" s="72">
        <f t="shared" si="535"/>
        <v>0.64764361069124732</v>
      </c>
      <c r="GT85" s="91">
        <f>SUM(GT80:GT84)</f>
        <v>3054.3390219390039</v>
      </c>
      <c r="GU85" s="72">
        <f t="shared" si="535"/>
        <v>1.0337165922280889</v>
      </c>
      <c r="GV85" s="91">
        <f>SUM(GV80:GV84)</f>
        <v>3093.632510779225</v>
      </c>
      <c r="GW85" s="72">
        <f t="shared" si="536"/>
        <v>1.2864809229748317</v>
      </c>
      <c r="GX85" s="91">
        <f>SUM(GX80:GX84)</f>
        <v>3141.7743249062241</v>
      </c>
      <c r="GY85" s="72">
        <f t="shared" si="537"/>
        <v>1.5561581396386686</v>
      </c>
      <c r="GZ85" s="72">
        <f t="shared" si="538"/>
        <v>1.5305463342751402</v>
      </c>
      <c r="HA85" s="72"/>
      <c r="HB85" s="72"/>
      <c r="HC85"/>
      <c r="HD85"/>
      <c r="HE85"/>
      <c r="HF85"/>
      <c r="HG85"/>
      <c r="HH85"/>
      <c r="HI85" s="2"/>
    </row>
    <row r="86" spans="1:217" s="69" customFormat="1" ht="12.75" customHeight="1" x14ac:dyDescent="0.2">
      <c r="B86" s="94"/>
      <c r="C86" s="75"/>
      <c r="D86" s="72"/>
      <c r="E86" s="75"/>
      <c r="F86" s="72"/>
      <c r="G86" s="75"/>
      <c r="H86" s="72"/>
      <c r="I86" s="75"/>
      <c r="J86" s="72"/>
      <c r="K86" s="75"/>
      <c r="L86" s="72"/>
      <c r="M86" s="75"/>
      <c r="N86" s="72"/>
      <c r="O86" s="75"/>
      <c r="P86" s="72"/>
      <c r="Q86" s="75"/>
      <c r="R86" s="72"/>
      <c r="S86" s="75"/>
      <c r="T86" s="72"/>
      <c r="U86" s="75"/>
      <c r="V86" s="72"/>
      <c r="W86" s="75"/>
      <c r="X86" s="72"/>
      <c r="Y86" s="75"/>
      <c r="Z86" s="72"/>
      <c r="AA86" s="75"/>
      <c r="AB86" s="72"/>
      <c r="AC86" s="75"/>
      <c r="AD86" s="72"/>
      <c r="AE86" s="75"/>
      <c r="AF86" s="72"/>
      <c r="AG86" s="75"/>
      <c r="AH86" s="72"/>
      <c r="AI86" s="75"/>
      <c r="AJ86" s="72"/>
      <c r="AK86" s="75"/>
      <c r="AL86" s="72"/>
      <c r="AM86" s="75"/>
      <c r="AN86" s="72"/>
      <c r="AO86" s="75"/>
      <c r="AP86" s="72"/>
      <c r="AQ86" s="75"/>
      <c r="AR86" s="72"/>
      <c r="AS86" s="75"/>
      <c r="AT86" s="72"/>
      <c r="AU86" s="75"/>
      <c r="AV86" s="72"/>
      <c r="AW86" s="75"/>
      <c r="AX86" s="72"/>
      <c r="AY86" s="75"/>
      <c r="AZ86" s="72"/>
      <c r="BA86" s="75"/>
      <c r="BB86" s="72"/>
      <c r="BC86" s="75"/>
      <c r="BD86" s="72"/>
      <c r="BE86" s="75"/>
      <c r="BF86" s="72"/>
      <c r="BG86" s="75"/>
      <c r="BH86" s="72"/>
      <c r="BI86" s="75"/>
      <c r="BJ86" s="72"/>
      <c r="BK86" s="75"/>
      <c r="BL86" s="72"/>
      <c r="BM86" s="75"/>
      <c r="BN86" s="72"/>
      <c r="BO86" s="75"/>
      <c r="BP86" s="72"/>
      <c r="BQ86" s="75"/>
      <c r="BR86" s="72"/>
      <c r="BS86" s="75"/>
      <c r="BT86" s="72"/>
      <c r="BU86" s="75"/>
      <c r="BV86" s="72"/>
      <c r="BW86" s="75"/>
      <c r="BX86" s="72"/>
      <c r="BY86" s="75"/>
      <c r="BZ86" s="72"/>
      <c r="CA86" s="75"/>
      <c r="CB86" s="72"/>
      <c r="CC86" s="75"/>
      <c r="CD86" s="72"/>
      <c r="CE86" s="75"/>
      <c r="CF86" s="72"/>
      <c r="CG86" s="75"/>
      <c r="CH86" s="72"/>
      <c r="CI86" s="75"/>
      <c r="CJ86" s="72"/>
      <c r="CK86" s="75"/>
      <c r="CL86" s="72"/>
      <c r="CM86" s="75"/>
      <c r="CN86" s="72"/>
      <c r="CO86" s="75"/>
      <c r="CP86" s="72"/>
      <c r="CQ86" s="75"/>
      <c r="CR86" s="72"/>
      <c r="CS86" s="75"/>
      <c r="CT86" s="72"/>
      <c r="CU86" s="75"/>
      <c r="CV86" s="72"/>
      <c r="CW86" s="75"/>
      <c r="CX86" s="72"/>
      <c r="CY86" s="75"/>
      <c r="CZ86" s="72"/>
      <c r="DA86" s="75"/>
      <c r="DB86" s="72"/>
      <c r="DC86" s="75"/>
      <c r="DD86" s="72"/>
      <c r="DE86" s="75"/>
      <c r="DF86" s="72"/>
      <c r="DG86" s="75"/>
      <c r="DH86" s="72"/>
      <c r="DI86" s="75"/>
      <c r="DJ86" s="72"/>
      <c r="DK86" s="75"/>
      <c r="DL86" s="72"/>
      <c r="DM86" s="75"/>
      <c r="DN86" s="72"/>
      <c r="DO86" s="75"/>
      <c r="DP86" s="72"/>
      <c r="DQ86" s="75"/>
      <c r="DR86" s="72"/>
      <c r="DS86" s="75"/>
      <c r="DT86" s="72"/>
      <c r="DU86" s="75"/>
      <c r="DV86" s="72"/>
      <c r="DW86" s="75"/>
      <c r="DX86" s="72"/>
      <c r="DY86" s="75"/>
      <c r="DZ86" s="72"/>
      <c r="EA86" s="75"/>
      <c r="EB86" s="72"/>
      <c r="EC86" s="75"/>
      <c r="ED86" s="72"/>
      <c r="EE86" s="75"/>
      <c r="EF86" s="72"/>
      <c r="EG86" s="75"/>
      <c r="EH86" s="72"/>
      <c r="EI86" s="75"/>
      <c r="EJ86" s="72"/>
      <c r="EK86" s="75"/>
      <c r="EL86" s="72"/>
      <c r="EM86" s="75"/>
      <c r="EN86" s="72"/>
      <c r="EO86" s="75"/>
      <c r="EP86" s="72"/>
      <c r="EQ86" s="75"/>
      <c r="ER86" s="72"/>
      <c r="ES86" s="75"/>
      <c r="ET86" s="72"/>
      <c r="EU86" s="75"/>
      <c r="EV86" s="72"/>
      <c r="EW86" s="75"/>
      <c r="EX86" s="72"/>
      <c r="EY86" s="72"/>
      <c r="EZ86" s="307"/>
      <c r="FA86" s="72"/>
      <c r="FB86" s="75"/>
      <c r="FC86" s="72"/>
      <c r="FD86" s="75"/>
      <c r="FE86" s="72"/>
      <c r="FF86" s="75"/>
      <c r="FG86" s="72"/>
      <c r="FH86" s="75"/>
      <c r="FI86" s="72"/>
      <c r="FJ86" s="75"/>
      <c r="FK86" s="72"/>
      <c r="FL86" s="75"/>
      <c r="FM86" s="72"/>
      <c r="FN86" s="75"/>
      <c r="FO86" s="72"/>
      <c r="FP86" s="75"/>
      <c r="FQ86" s="72"/>
      <c r="FR86" s="75"/>
      <c r="FS86" s="72"/>
      <c r="FT86" s="75"/>
      <c r="FU86" s="72"/>
      <c r="FV86" s="75"/>
      <c r="FW86" s="72"/>
      <c r="FX86" s="75"/>
      <c r="FY86" s="72"/>
      <c r="FZ86" s="75"/>
      <c r="GA86" s="72"/>
      <c r="GB86" s="75"/>
      <c r="GC86" s="72"/>
      <c r="GD86" s="75"/>
      <c r="GE86" s="72"/>
      <c r="GF86" s="75"/>
      <c r="GG86" s="72"/>
      <c r="GH86" s="75"/>
      <c r="GI86" s="72"/>
      <c r="GJ86" s="75"/>
      <c r="GK86" s="72"/>
      <c r="GL86" s="75"/>
      <c r="GM86" s="72"/>
      <c r="GN86" s="75"/>
      <c r="GO86" s="72"/>
      <c r="GP86" s="75"/>
      <c r="GQ86" s="72"/>
      <c r="GR86" s="75"/>
      <c r="GS86" s="72"/>
      <c r="GT86" s="75"/>
      <c r="GU86" s="72"/>
      <c r="GV86" s="75"/>
      <c r="GW86" s="72"/>
      <c r="GX86" s="75"/>
      <c r="GY86" s="72"/>
      <c r="GZ86" s="72"/>
      <c r="HA86" s="72"/>
      <c r="HB86" s="72"/>
      <c r="HC86"/>
      <c r="HD86"/>
      <c r="HE86"/>
      <c r="HF86"/>
      <c r="HG86"/>
      <c r="HH86"/>
      <c r="HI86" s="2"/>
    </row>
    <row r="87" spans="1:217" s="3" customFormat="1" ht="12.75" customHeight="1" x14ac:dyDescent="0.2">
      <c r="B87" s="77" t="s">
        <v>446</v>
      </c>
      <c r="C87" s="81">
        <f>C80/C67*100</f>
        <v>40.86021505376344</v>
      </c>
      <c r="D87" s="72"/>
      <c r="E87" s="81">
        <f>E80/E67*100</f>
        <v>39.560439560439562</v>
      </c>
      <c r="F87" s="72"/>
      <c r="G87" s="81">
        <f>G80/G67*100</f>
        <v>40.229885057471265</v>
      </c>
      <c r="H87" s="72"/>
      <c r="I87" s="81">
        <f>I80/I67*100</f>
        <v>51.764705882352949</v>
      </c>
      <c r="J87" s="72"/>
      <c r="K87" s="81">
        <f>K80/K67*100</f>
        <v>31.168831168831169</v>
      </c>
      <c r="L87" s="72">
        <f>IF(ISERROR(K87/C87),"NA",IF(OR(K87/C87&gt;2,K87/C87&lt;0.5),"NM",K87/C87*100-100))</f>
        <v>-23.718386876281613</v>
      </c>
      <c r="M87" s="81">
        <f>M80/M67*100</f>
        <v>32.051282051282051</v>
      </c>
      <c r="N87" s="72">
        <f>IF(ISERROR(M87/E87),"NA",IF(OR(M87/E87&gt;2,M87/E87&lt;0.5),"NM",M87/E87*100-100))</f>
        <v>-18.981481481481495</v>
      </c>
      <c r="O87" s="81">
        <f>O80/O67*100</f>
        <v>40.579710144927539</v>
      </c>
      <c r="P87" s="72">
        <f>IF(ISERROR(O87/G87),"NA",IF(OR(O87/G87&gt;2,O87/G87&lt;0.5),"NM",O87/G87*100-100))</f>
        <v>0.86956521739129755</v>
      </c>
      <c r="Q87" s="81">
        <f>Q80/Q67*100</f>
        <v>51.5625</v>
      </c>
      <c r="R87" s="72">
        <f>IF(ISERROR(Q87/I87),"NA",IF(OR(Q87/I87&gt;2,Q87/I87&lt;0.5),"NM",Q87/I87*100-100))</f>
        <v>-0.39062500000001421</v>
      </c>
      <c r="S87" s="81">
        <f>S80/S67*100</f>
        <v>43.07692307692308</v>
      </c>
      <c r="T87" s="72">
        <f>IF(ISERROR(S87/K87),"NA",IF(OR(S87/K87&gt;2,S87/K87&lt;0.5),"NM",S87/K87*100-100))</f>
        <v>38.205128205128233</v>
      </c>
      <c r="U87" s="81">
        <f>U80/U67*100</f>
        <v>48.051948051948052</v>
      </c>
      <c r="V87" s="72">
        <f>IF(ISERROR(U87/M87),"NA",IF(OR(U87/M87&gt;2,U87/M87&lt;0.5),"NM",U87/M87*100-100))</f>
        <v>49.922077922077932</v>
      </c>
      <c r="W87" s="81">
        <f>W80/W67*100</f>
        <v>59.677419354838712</v>
      </c>
      <c r="X87" s="72">
        <f>IF(ISERROR(W87/O87),"NA",IF(OR(W87/O87&gt;2,W87/O87&lt;0.5),"NM",W87/O87*100-100))</f>
        <v>47.062211981566804</v>
      </c>
      <c r="Y87" s="81">
        <f>Y80/Y67*100</f>
        <v>60.655737704918032</v>
      </c>
      <c r="Z87" s="72">
        <f>IF(ISERROR(Y87/Q87),"NA",IF(OR(Y87/Q87&gt;2,Y87/Q87&lt;0.5),"NM",Y87/Q87*100-100))</f>
        <v>17.635370094386488</v>
      </c>
      <c r="AA87" s="81">
        <f>AA80/AA67*100</f>
        <v>68.253968253968253</v>
      </c>
      <c r="AB87" s="72">
        <f>IF(ISERROR(AA87/S87),"NA",IF(OR(AA87/S87&gt;2,AA87/S87&lt;0.5),"NM",AA87/S87*100-100))</f>
        <v>58.446712018140573</v>
      </c>
      <c r="AC87" s="81">
        <f>AC80/AC67*100</f>
        <v>33.333333333333329</v>
      </c>
      <c r="AD87" s="72">
        <f>IF(ISERROR(AC87/U87),"NA",IF(OR(AC87/U87&gt;2,AC87/U87&lt;0.5),"NM",AC87/U87*100-100))</f>
        <v>-30.630630630630634</v>
      </c>
      <c r="AE87" s="81">
        <f>AE80/AE67*100</f>
        <v>32.894736842105267</v>
      </c>
      <c r="AF87" s="72">
        <f>IF(ISERROR(AE87/W87),"NA",IF(OR(AE87/W87&gt;2,AE87/W87&lt;0.5),"NM",AE87/W87*100-100))</f>
        <v>-44.879089615931711</v>
      </c>
      <c r="AG87" s="81">
        <f>AG80/AG67*100</f>
        <v>49.358974358974365</v>
      </c>
      <c r="AH87" s="72">
        <f>IF(ISERROR(AG87/Y87),"NA",IF(OR(AG87/Y87&gt;2,AG87/Y87&lt;0.5),"NM",AG87/Y87*100-100))</f>
        <v>-18.624393624393605</v>
      </c>
      <c r="AI87" s="81">
        <f>AI80/AI67*100</f>
        <v>25.443786982248522</v>
      </c>
      <c r="AJ87" s="72" t="str">
        <f>IF(ISERROR(AI87/AA87),"NA",IF(OR(AI87/AA87&gt;2,AI87/AA87&lt;0.5),"NM",AI87/AA87*100-100))</f>
        <v>NM</v>
      </c>
      <c r="AK87" s="81">
        <f>AK80/AK67*100</f>
        <v>28.901734104046245</v>
      </c>
      <c r="AL87" s="72">
        <f>IF(ISERROR(AK87/AC87),"NA",IF(OR(AK87/AC87&gt;2,AK87/AC87&lt;0.5),"NM",AK87/AC87*100-100))</f>
        <v>-13.294797687861248</v>
      </c>
      <c r="AM87" s="81">
        <f>AM80/AM67*100</f>
        <v>31.79190751445087</v>
      </c>
      <c r="AN87" s="72">
        <f>IF(ISERROR(AM87/AE87),"NA",IF(OR(AM87/AE87&gt;2,AM87/AE87&lt;0.5),"NM",AM87/AE87*100-100))</f>
        <v>-3.3526011560693689</v>
      </c>
      <c r="AO87" s="81">
        <f>AO80/AO67*100</f>
        <v>28.804347826086957</v>
      </c>
      <c r="AP87" s="72">
        <f>IF(ISERROR(AO87/AG87),"NA",IF(OR(AO87/AG87&gt;2,AO87/AG87&lt;0.5),"NM",AO87/AG87*100-100))</f>
        <v>-41.643139469226433</v>
      </c>
      <c r="AQ87" s="81">
        <f>AQ80/AQ67*100</f>
        <v>31.958762886597935</v>
      </c>
      <c r="AR87" s="72">
        <f>IF(ISERROR(AQ87/AI87),"NA",IF(OR(AQ87/AI87&gt;2,AQ87/AI87&lt;0.5),"NM",AQ87/AI87*100-100))</f>
        <v>25.605370414768629</v>
      </c>
      <c r="AS87" s="81">
        <f>AS80/AS67*100</f>
        <v>26.842105263157894</v>
      </c>
      <c r="AT87" s="72">
        <f>IF(ISERROR(AS87/AK87),"NA",IF(OR(AS87/AK87&gt;2,AS87/AK87&lt;0.5),"NM",AS87/AK87*100-100))</f>
        <v>-7.1263157894736935</v>
      </c>
      <c r="AU87" s="81">
        <f>AU80/AU67*100</f>
        <v>8.0808080808080813</v>
      </c>
      <c r="AV87" s="72" t="str">
        <f>IF(ISERROR(AU87/AM87),"NA",IF(OR(AU87/AM87&gt;2,AU87/AM87&lt;0.5),"NM",AU87/AM87*100-100))</f>
        <v>NM</v>
      </c>
      <c r="AW87" s="81">
        <f>AW80/AW67*100</f>
        <v>19.696969696969695</v>
      </c>
      <c r="AX87" s="72">
        <f>IF(ISERROR(AW87/AO87),"NA",IF(OR(AW87/AO87&gt;2,AW87/AO87&lt;0.5),"NM",AW87/AO87*100-100))</f>
        <v>-31.618067467124078</v>
      </c>
      <c r="AY87" s="81">
        <f>AY80/AY67*100</f>
        <v>22.790697674418606</v>
      </c>
      <c r="AZ87" s="72">
        <f>IF(ISERROR(AY87/AQ87),"NA",IF(OR(AY87/AQ87&gt;2,AY87/AQ87&lt;0.5),"NM",AY87/AQ87*100-100))</f>
        <v>-28.687171792948234</v>
      </c>
      <c r="BA87" s="81">
        <f>BA80/BA67*100</f>
        <v>21.161825726141078</v>
      </c>
      <c r="BB87" s="72">
        <f>IF(ISERROR(BA87/AS87),"NA",IF(OR(BA87/AS87&gt;2,BA87/AS87&lt;0.5),"NM",BA87/AS87*100-100))</f>
        <v>-21.161825726141075</v>
      </c>
      <c r="BC87" s="81">
        <f>BC80/BC67*100</f>
        <v>22.297297297297298</v>
      </c>
      <c r="BD87" s="72" t="str">
        <f>IF(ISERROR(BC87/AU87),"NA",IF(OR(BC87/AU87&gt;2,BC87/AU87&lt;0.5),"NM",BC87/AU87*100-100))</f>
        <v>NM</v>
      </c>
      <c r="BE87" s="81">
        <f>BE80/BE67*100</f>
        <v>21.269841269841269</v>
      </c>
      <c r="BF87" s="72">
        <f>IF(ISERROR(BE87/AW87),"NA",IF(OR(BE87/AW87&gt;2,BE87/AW87&lt;0.5),"NM",BE87/AW87*100-100))</f>
        <v>7.9853479853479854</v>
      </c>
      <c r="BG87" s="81">
        <f>BG80/BG67*100</f>
        <v>18.4375</v>
      </c>
      <c r="BH87" s="72">
        <f>IF(ISERROR(BG87/AY87),"NA",IF(OR(BG87/AY87&gt;2,BG87/AY87&lt;0.5),"NM",BG87/AY87*100-100))</f>
        <v>-19.100765306122454</v>
      </c>
      <c r="BI87" s="81">
        <f>BI80/BI67*100</f>
        <v>17.404129793510325</v>
      </c>
      <c r="BJ87" s="72">
        <f>IF(ISERROR(BI87/BA87),"NA",IF(OR(BI87/BA87&gt;2,BI87/BA87&lt;0.5),"NM",BI87/BA87*100-100))</f>
        <v>-17.756955289490421</v>
      </c>
      <c r="BK87" s="81">
        <f>BK80/BK67*100</f>
        <v>9.2537313432835813</v>
      </c>
      <c r="BL87" s="72" t="str">
        <f>IF(ISERROR(BK87/BC87),"NA",IF(OR(BK87/BC87&gt;2,BK87/BC87&lt;0.5),"NM",BK87/BC87*100-100))</f>
        <v>NM</v>
      </c>
      <c r="BM87" s="81">
        <f>BM80/BM67*100</f>
        <v>17.415730337078653</v>
      </c>
      <c r="BN87" s="72">
        <f>IF(ISERROR(BM87/BE87),"NA",IF(OR(BM87/BE87&gt;2,BM87/BE87&lt;0.5),"NM",BM87/BE87*100-100))</f>
        <v>-18.120073788361552</v>
      </c>
      <c r="BO87" s="81">
        <f>BO80/BO67*100</f>
        <v>21.981424148606813</v>
      </c>
      <c r="BP87" s="72">
        <f>IF(ISERROR(BO87/BG87),"NA",IF(OR(BO87/BG87&gt;2,BO87/BG87&lt;0.5),"NM",BO87/BG87*100-100))</f>
        <v>19.221283517867448</v>
      </c>
      <c r="BQ87" s="81">
        <f>BQ80/BQ67*100</f>
        <v>18.125</v>
      </c>
      <c r="BR87" s="72">
        <f>IF(ISERROR(BQ87/BI87),"NA",IF(OR(BQ87/BI87&gt;2,BQ87/BI87&lt;0.5),"NM",BQ87/BI87*100-100))</f>
        <v>4.1419491525423808</v>
      </c>
      <c r="BS87" s="81">
        <f>BS80/BS67*100</f>
        <v>113.1578947368421</v>
      </c>
      <c r="BT87" s="72" t="str">
        <f>IF(ISERROR(BS87/BK87),"NA",IF(OR(BS87/BK87&gt;2,BS87/BK87&lt;0.5),"NM",BS87/BK87*100-100))</f>
        <v>NM</v>
      </c>
      <c r="BU87" s="81">
        <f>BU80/BU67*100</f>
        <v>211.60714285714283</v>
      </c>
      <c r="BV87" s="72" t="str">
        <f>IF(ISERROR(BU87/BM87),"NA",IF(OR(BU87/BM87&gt;2,BU87/BM87&lt;0.5),"NM",BU87/BM87*100-100))</f>
        <v>NM</v>
      </c>
      <c r="BW87" s="81">
        <f>BW80/BW67*100</f>
        <v>140.09216589861751</v>
      </c>
      <c r="BX87" s="72" t="str">
        <f>IF(ISERROR(BW87/BO87),"NA",IF(OR(BW87/BO87&gt;2,BW87/BO87&lt;0.5),"NM",BW87/BO87*100-100))</f>
        <v>NM</v>
      </c>
      <c r="BY87" s="81">
        <f>BY80/BY67*100</f>
        <v>-75.847457627118644</v>
      </c>
      <c r="BZ87" s="72" t="str">
        <f>IF(ISERROR(BY87/BQ87),"NA",IF(OR(BY87/BQ87&gt;2,BY87/BQ87&lt;0.5),"NM",BY87/BQ87*100-100))</f>
        <v>NM</v>
      </c>
      <c r="CA87" s="81">
        <f>CA80/CA67*100</f>
        <v>-29.010238907849828</v>
      </c>
      <c r="CB87" s="72" t="str">
        <f>IF(ISERROR(CA87/BS87),"NA",IF(OR(CA87/BS87&gt;2,CA87/BS87&lt;0.5),"NM",CA87/BS87*100-100))</f>
        <v>NM</v>
      </c>
      <c r="CC87" s="81">
        <f>CC80/CC67*100</f>
        <v>14.714714714714713</v>
      </c>
      <c r="CD87" s="72" t="str">
        <f>IF(ISERROR(CC87/BU87),"NA",IF(OR(CC87/BU87&gt;2,CC87/BU87&lt;0.5),"NM",CC87/BU87*100-100))</f>
        <v>NM</v>
      </c>
      <c r="CE87" s="81">
        <f>CE80/CE67*100</f>
        <v>10.209424083769633</v>
      </c>
      <c r="CF87" s="72" t="str">
        <f>IF(ISERROR(CE87/BW87),"NA",IF(OR(CE87/BW87&gt;2,CE87/BW87&lt;0.5),"NM",CE87/BW87*100-100))</f>
        <v>NM</v>
      </c>
      <c r="CG87" s="81">
        <f>CG80/CG67*100</f>
        <v>76.80412371134021</v>
      </c>
      <c r="CH87" s="72" t="str">
        <f>IF(ISERROR(CG87/BY87),"NA",IF(OR(CG87/BY87&gt;2,CG87/BY87&lt;0.5),"NM",CG87/BY87*100-100))</f>
        <v>NM</v>
      </c>
      <c r="CI87" s="81">
        <f>CI80/CI67*100</f>
        <v>-11.835748792270531</v>
      </c>
      <c r="CJ87" s="72" t="str">
        <f>IF(ISERROR(CI87/CA87),"NA",IF(OR(CI87/CA87&gt;2,CI87/CA87&lt;0.5),"NM",CI87/CA87*100-100))</f>
        <v>NM</v>
      </c>
      <c r="CK87" s="81">
        <f>CK80/CK67*100</f>
        <v>0.67720090293453727</v>
      </c>
      <c r="CL87" s="72" t="str">
        <f>IF(ISERROR(CK87/CC87),"NA",IF(OR(CK87/CC87&gt;2,CK87/CC87&lt;0.5),"NM",CK87/CC87*100-100))</f>
        <v>NM</v>
      </c>
      <c r="CM87" s="81">
        <f>CM80/CM67*100</f>
        <v>12.448132780082988</v>
      </c>
      <c r="CN87" s="72">
        <f>IF(ISERROR(CM87/CE87),"NA",IF(OR(CM87/CE87&gt;2,CM87/CE87&lt;0.5),"NM",CM87/CE87*100-100))</f>
        <v>21.927864666453885</v>
      </c>
      <c r="CO87" s="81">
        <f>CO80/CO67*100</f>
        <v>21.739130434782609</v>
      </c>
      <c r="CP87" s="72" t="str">
        <f>IF(ISERROR(CO87/CG87),"NA",IF(OR(CO87/CG87&gt;2,CO87/CG87&lt;0.5),"NM",CO87/CG87*100-100))</f>
        <v>NM</v>
      </c>
      <c r="CQ87" s="81">
        <f>CQ80/CQ67*100</f>
        <v>66.733870967741936</v>
      </c>
      <c r="CR87" s="72" t="str">
        <f>IF(ISERROR(CQ87/CI87),"NA",IF(OR(CQ87/CI87&gt;2,CQ87/CI87&lt;0.5),"NM",CQ87/CI87*100-100))</f>
        <v>NM</v>
      </c>
      <c r="CS87" s="81">
        <f>CS80/CS67*100</f>
        <v>-5.1334702258726894</v>
      </c>
      <c r="CT87" s="72" t="str">
        <f>IF(ISERROR(CS87/CK87),"NA",IF(OR(CS87/CK87&gt;2,CS87/CK87&lt;0.5),"NM",CS87/CK87*100-100))</f>
        <v>NM</v>
      </c>
      <c r="CU87" s="81">
        <f>CU80/CU67*100</f>
        <v>-8.6372360844529741</v>
      </c>
      <c r="CV87" s="72" t="str">
        <f>IF(ISERROR(CU87/CM87),"NA",IF(OR(CU87/CM87&gt;2,CU87/CM87&lt;0.5),"NM",CU87/CM87*100-100))</f>
        <v>NM</v>
      </c>
      <c r="CW87" s="81">
        <f>CW80/CW67*100</f>
        <v>33.395872420262663</v>
      </c>
      <c r="CX87" s="72">
        <f>IF(ISERROR(CW87/CO87),"NA",IF(OR(CW87/CO87&gt;2,CW87/CO87&lt;0.5),"NM",CW87/CO87*100-100))</f>
        <v>53.621013133208237</v>
      </c>
      <c r="CY87" s="81">
        <f>CY80/CY67*100</f>
        <v>69.369369369369366</v>
      </c>
      <c r="CZ87" s="72">
        <f>IF(ISERROR(CY87/CQ87),"NA",IF(OR(CY87/CQ87&gt;2,CY87/CQ87&lt;0.5),"NM",CY87/CQ87*100-100))</f>
        <v>3.9492664870308261</v>
      </c>
      <c r="DA87" s="81">
        <f>DA80/DA67*100</f>
        <v>9.5986038394415356</v>
      </c>
      <c r="DB87" s="72" t="str">
        <f>IF(ISERROR(DA87/CS87),"NA",IF(OR(DA87/CS87&gt;2,DA87/CS87&lt;0.5),"NM",DA87/CS87*100-100))</f>
        <v>NM</v>
      </c>
      <c r="DC87" s="81">
        <f>DC80/DC67*100</f>
        <v>7.0588235294117645</v>
      </c>
      <c r="DD87" s="72" t="str">
        <f>IF(ISERROR(DC87/CU87),"NA",IF(OR(DC87/CU87&gt;2,DC87/CU87&lt;0.5),"NM",DC87/CU87*100-100))</f>
        <v>NM</v>
      </c>
      <c r="DE87" s="81">
        <f>DE80/DE67*100</f>
        <v>11.605723370429253</v>
      </c>
      <c r="DF87" s="72" t="str">
        <f>IF(ISERROR(DE87/CW87),"NA",IF(OR(DE87/CW87&gt;2,DE87/CW87&lt;0.5),"NM",DE87/CW87*100-100))</f>
        <v>NM</v>
      </c>
      <c r="DG87" s="81">
        <f>DG80/DG67*100</f>
        <v>-10.641627543035993</v>
      </c>
      <c r="DH87" s="72" t="str">
        <f>IF(ISERROR(DG87/CY87),"NA",IF(OR(DG87/CY87&gt;2,DG87/CY87&lt;0.5),"NM",DG87/CY87*100-100))</f>
        <v>NM</v>
      </c>
      <c r="DI87" s="81">
        <f>DI80/DI67*100</f>
        <v>4.5045045045045047</v>
      </c>
      <c r="DJ87" s="72" t="str">
        <f>IF(ISERROR(DI87/DA87),"NA",IF(OR(DI87/DA87&gt;2,DI87/DA87&lt;0.5),"NM",DI87/DA87*100-100))</f>
        <v>NM</v>
      </c>
      <c r="DK87" s="81">
        <f>DK80/DK67*100</f>
        <v>17.138599105812222</v>
      </c>
      <c r="DL87" s="72" t="str">
        <f>IF(ISERROR(DK87/DC87),"NA",IF(OR(DK87/DC87&gt;2,DK87/DC87&lt;0.5),"NM",DK87/DC87*100-100))</f>
        <v>NM</v>
      </c>
      <c r="DM87" s="81">
        <f>DM80/DM67*100</f>
        <v>14.38953488372093</v>
      </c>
      <c r="DN87" s="72">
        <f t="shared" ref="DN87:DZ88" si="555">IF(ISERROR(DM87/DE87),"NA",IF(OR(DM87/DE87&gt;2,DM87/DE87&lt;0.5),"NM",DM87/DE87*100-100))</f>
        <v>23.98654029945844</v>
      </c>
      <c r="DO87" s="81">
        <f>DO80/DO67*100</f>
        <v>17.672413793103448</v>
      </c>
      <c r="DP87" s="72" t="str">
        <f t="shared" si="555"/>
        <v>NM</v>
      </c>
      <c r="DQ87" s="81">
        <f>DQ80/DQ67*100</f>
        <v>20.600858369098713</v>
      </c>
      <c r="DR87" s="72" t="str">
        <f t="shared" si="555"/>
        <v>NM</v>
      </c>
      <c r="DS87" s="81">
        <f>DS80/DS67*100</f>
        <v>6.8767908309455592</v>
      </c>
      <c r="DT87" s="72" t="str">
        <f t="shared" si="555"/>
        <v>NM</v>
      </c>
      <c r="DU87" s="81">
        <f>DU80/DU67*100</f>
        <v>4.6283309957924264</v>
      </c>
      <c r="DV87" s="72" t="str">
        <f t="shared" si="555"/>
        <v>NM</v>
      </c>
      <c r="DW87" s="81">
        <f>DW80/DW67*100</f>
        <v>22.254335260115607</v>
      </c>
      <c r="DX87" s="72">
        <f t="shared" si="555"/>
        <v>25.926970252361485</v>
      </c>
      <c r="DY87" s="81">
        <f>DY80/DY67*100</f>
        <v>11.583577712609969</v>
      </c>
      <c r="DZ87" s="72">
        <f t="shared" si="555"/>
        <v>-43.771383186705783</v>
      </c>
      <c r="EA87" s="81">
        <f>EA80/EA67*100</f>
        <v>17.024539877300612</v>
      </c>
      <c r="EB87" s="72" t="str">
        <f>IF(ISERROR(EA87/DS87),"NA",IF(OR(EA87/DS87&gt;2,EA87/DS87&lt;0.5),"NM",EA87/DS87*100-100))</f>
        <v>NM</v>
      </c>
      <c r="EC87" s="81">
        <f>EC80/EC67*100</f>
        <v>8.4444444444444446</v>
      </c>
      <c r="ED87" s="72">
        <f>IF(ISERROR(EC87/DU87),"NA",IF(OR(EC87/DU87&gt;2,EC87/DU87&lt;0.5),"NM",EC87/DU87*100-100))</f>
        <v>82.451178451178464</v>
      </c>
      <c r="EE87" s="81">
        <f>EE80/EE67*100</f>
        <v>5.382436260623229</v>
      </c>
      <c r="EF87" s="72" t="str">
        <f>IF(ISERROR(EE87/DW87),"NA",IF(OR(EE87/DW87&gt;2,EE87/DW87&lt;0.5),"NM",EE87/DW87*100-100))</f>
        <v>NM</v>
      </c>
      <c r="EG87" s="81">
        <f>EG80/EG67*100</f>
        <v>14.388489208633093</v>
      </c>
      <c r="EH87" s="72">
        <f>IF(ISERROR(EG87/DY87),"NA",IF(OR(EG87/DY87&gt;2,EG87/DY87&lt;0.5),"NM",EG87/DY87*100-100))</f>
        <v>24.214552408705956</v>
      </c>
      <c r="EI87" s="81">
        <f>EI80/EI67*100</f>
        <v>12.607449856733524</v>
      </c>
      <c r="EJ87" s="72">
        <f>IF(ISERROR(EI87/EA87),"NA",IF(OR(EI87/EA87&gt;2,EI87/EA87&lt;0.5),"NM",EI87/EA87*100-100))</f>
        <v>-25.945429670358038</v>
      </c>
      <c r="EK87" s="81">
        <f>EK80/EK67*100</f>
        <v>9.4289508632138119</v>
      </c>
      <c r="EL87" s="72">
        <f>IF(ISERROR(EK87/EC87),"NA",IF(OR(EK87/EC87&gt;2,EK87/EC87&lt;0.5),"NM",EK87/EC87*100-100))</f>
        <v>11.65862864332145</v>
      </c>
      <c r="EM87" s="81">
        <f>EM80/EM67*100</f>
        <v>11.342894393741851</v>
      </c>
      <c r="EN87" s="72" t="str">
        <f>IF(ISERROR(EM87/EE87),"NA",IF(OR(EM87/EE87&gt;2,EM87/EE87&lt;0.5),"NM",EM87/EE87*100-100))</f>
        <v>NM</v>
      </c>
      <c r="EO87" s="81">
        <f>EO80/EO67*100</f>
        <v>9.4364351245085185</v>
      </c>
      <c r="EP87" s="72">
        <f>IF(ISERROR(EO87/EG87),"NA",IF(OR(EO87/EG87&gt;2,EO87/EG87&lt;0.5),"NM",EO87/EG87*100-100))</f>
        <v>-34.416775884665796</v>
      </c>
      <c r="EQ87" s="86">
        <v>11.5</v>
      </c>
      <c r="ER87" s="72">
        <f t="shared" ref="ER87:ER88" si="556">IF(ISERROR(EQ87/EI87),"NA",IF(OR(EQ87/EI87&gt;2,EQ87/EI87&lt;0.5),"NM",EQ87/EI87*100-100))</f>
        <v>-8.7840909090909065</v>
      </c>
      <c r="ES87" s="86">
        <f t="shared" ref="ES87" si="557">EQ87</f>
        <v>11.5</v>
      </c>
      <c r="ET87" s="72">
        <f t="shared" ref="ET87:ET88" si="558">IF(ISERROR(ES87/EK87),"NA",IF(OR(ES87/EK87&gt;2,ES87/EK87&lt;0.5),"NM",ES87/EK87*100-100))</f>
        <v>21.964788732394354</v>
      </c>
      <c r="EU87" s="86">
        <f t="shared" ref="EU87" si="559">ES87</f>
        <v>11.5</v>
      </c>
      <c r="EV87" s="72">
        <f t="shared" ref="EV87:EV88" si="560">IF(ISERROR(EU87/EM87),"NA",IF(OR(EU87/EM87&gt;2,EU87/EM87&lt;0.5),"NM",EU87/EM87*100-100))</f>
        <v>1.3850574712643606</v>
      </c>
      <c r="EW87" s="86">
        <f t="shared" ref="EW87" si="561">EU87</f>
        <v>11.5</v>
      </c>
      <c r="EX87" s="72">
        <f t="shared" ref="EX87:EX88" si="562">IF(ISERROR(EW87/EO87),"NA",IF(OR(EW87/EO87&gt;2,EW87/EO87&lt;0.5),"NM",EW87/EO87*100-100))</f>
        <v>21.868055555555557</v>
      </c>
      <c r="EY87" s="72"/>
      <c r="EZ87" s="309"/>
      <c r="FA87" s="72"/>
      <c r="FB87" s="81">
        <f>FB80/FB67*100</f>
        <v>44.014084507042256</v>
      </c>
      <c r="FC87" s="82"/>
      <c r="FD87" s="81">
        <f>FD80/FD67*100</f>
        <v>37.341772151898731</v>
      </c>
      <c r="FE87" s="72">
        <f>IF(ISERROR(FD87/FB87),"NA",IF(OR(FD87/FB87&gt;2,FD87/FB87&lt;0.5),"NM",FD87/FB87*100-100))</f>
        <v>-15.159493670886093</v>
      </c>
      <c r="FF87" s="81">
        <f>FF80/FF67*100</f>
        <v>42.977528089887642</v>
      </c>
      <c r="FG87" s="72">
        <f>IF(ISERROR(FF87/FD87),"NA",IF(OR(FF87/FD87&gt;2,FF87/FD87&lt;0.5),"NM",FF87/FD87*100-100))</f>
        <v>15.092363359360121</v>
      </c>
      <c r="FH87" s="81">
        <f>FH80/FH67*100</f>
        <v>38.194444444444443</v>
      </c>
      <c r="FI87" s="72">
        <f>IF(ISERROR(FH87/FF87),"NA",IF(OR(FH87/FF87&gt;2,FH87/FF87&lt;0.5),"NM",FH87/FF87*100-100))</f>
        <v>-11.129266521423389</v>
      </c>
      <c r="FJ87" s="81">
        <f>FJ80/FJ67*100</f>
        <v>52.452830188679243</v>
      </c>
      <c r="FK87" s="72">
        <f>IF(ISERROR(FJ87/FH87),"NA",IF(OR(FJ87/FH87&gt;2,FJ87/FH87&lt;0.5),"NM",FJ87/FH87*100-100))</f>
        <v>37.331046312178387</v>
      </c>
      <c r="FL87" s="81">
        <f>FL80/FL67*100</f>
        <v>42.712550607287447</v>
      </c>
      <c r="FM87" s="72">
        <f>IF(ISERROR(FL87/FJ87),"NA",IF(OR(FL87/FJ87&gt;2,FL87/FJ87&lt;0.5),"NM",FL87/FJ87*100-100))</f>
        <v>-18.569597763085071</v>
      </c>
      <c r="FN87" s="81">
        <f>FN80/FN67*100</f>
        <v>28.75536480686695</v>
      </c>
      <c r="FO87" s="72">
        <f>IF(ISERROR(FN87/FL87),"NA",IF(OR(FN87/FL87&gt;2,FN87/FL87&lt;0.5),"NM",FN87/FL87*100-100))</f>
        <v>-32.67701320098449</v>
      </c>
      <c r="FP87" s="81">
        <f>FP80/FP67*100</f>
        <v>21.53846153846154</v>
      </c>
      <c r="FQ87" s="72">
        <f>IF(ISERROR(FP87/FN87),"NA",IF(OR(FP87/FN87&gt;2,FP87/FN87&lt;0.5),"NM",FP87/FN87*100-100))</f>
        <v>-25.097588978185982</v>
      </c>
      <c r="FR87" s="81">
        <f>FR80/FR67*100</f>
        <v>21.836925960637302</v>
      </c>
      <c r="FS87" s="72">
        <f>IF(ISERROR(FR87/FP87),"NA",IF(OR(FR87/FP87&gt;2,FR87/FP87&lt;0.5),"NM",FR87/FP87*100-100))</f>
        <v>1.3857276743874678</v>
      </c>
      <c r="FT87" s="112">
        <f>FT80/FT67*100</f>
        <v>15.62962962962963</v>
      </c>
      <c r="FU87" s="95">
        <f>IF(ISERROR(FT87/FR87),"NA",IF(OR(FT87/FR87&gt;2,FT87/FR87&lt;0.5),"NM",FT87/FR87*100-100))</f>
        <v>-28.425687490065172</v>
      </c>
      <c r="FV87" s="81">
        <f>FV80/FV67*100</f>
        <v>80.871050384286931</v>
      </c>
      <c r="FW87" s="72" t="str">
        <f>IF(ISERROR(FV87/FT87),"NA",IF(OR(FV87/FT87&gt;2,FV87/FT87&lt;0.5),"NM",FV87/FT87*100-100))</f>
        <v>NM</v>
      </c>
      <c r="FX87" s="81">
        <f>FX80/FX67*100</f>
        <v>8.2483781278961992</v>
      </c>
      <c r="FY87" s="72" t="str">
        <f>IF(ISERROR(FX87/FV87),"NA",IF(OR(FX87/FV87&gt;2,FX87/FV87&lt;0.5),"NM",FX87/FV87*100-100))</f>
        <v>NM</v>
      </c>
      <c r="FZ87" s="81">
        <f>FZ80/FZ67*100</f>
        <v>17.885679164105717</v>
      </c>
      <c r="GA87" s="72" t="str">
        <f>IF(ISERROR(FZ87/FX87),"NA",IF(OR(FZ87/FX87&gt;2,FZ87/FX87&lt;0.5),"NM",FZ87/FX87*100-100))</f>
        <v>NM</v>
      </c>
      <c r="GB87" s="81">
        <f>GB80/GB67*100</f>
        <v>24.150177574835109</v>
      </c>
      <c r="GC87" s="72">
        <f>IF(ISERROR(GB87/FZ87),"NA",IF(OR(GB87/FZ87&gt;2,GB87/FZ87&lt;0.5),"NM",GB87/FZ87*100-100))</f>
        <v>35.025219636621017</v>
      </c>
      <c r="GD87" s="81">
        <f>GD80/GD67*100</f>
        <v>26.26031164069661</v>
      </c>
      <c r="GE87" s="72">
        <f>IF(ISERROR(GD87/GB87),"NA",IF(OR(GD87/GB87&gt;2,GD87/GB87&lt;0.5),"NM",GD87/GB87*100-100))</f>
        <v>8.7375509323802873</v>
      </c>
      <c r="GF87" s="81">
        <f>GF80/GF67*100</f>
        <v>3.0446816923685249</v>
      </c>
      <c r="GG87" s="72" t="str">
        <f>IF(ISERROR(GF87/GD87),"NA",IF(OR(GF87/GD87&gt;2,GF87/GD87&lt;0.5),"NM",GF87/GD87*100-100))</f>
        <v>NM</v>
      </c>
      <c r="GH87" s="81">
        <f>GH80/GH67*100</f>
        <v>17.465504720406681</v>
      </c>
      <c r="GI87" s="72" t="str">
        <f t="shared" ref="GI87:GU88" si="563">IF(ISERROR(GH87/GF87),"NA",IF(OR(GH87/GF87&gt;2,GH87/GF87&lt;0.5),"NM",GH87/GF87*100-100))</f>
        <v>NM</v>
      </c>
      <c r="GJ87" s="81">
        <f>GJ80/GJ67*100</f>
        <v>11.274685816876122</v>
      </c>
      <c r="GK87" s="72">
        <f t="shared" si="563"/>
        <v>-35.445977672189528</v>
      </c>
      <c r="GL87" s="81">
        <f>GL80/GL67*100</f>
        <v>11.217008797653959</v>
      </c>
      <c r="GM87" s="72">
        <f t="shared" si="563"/>
        <v>-0.51156209724115342</v>
      </c>
      <c r="GN87" s="81">
        <f>GN80/GN67*100</f>
        <v>10.667561221066755</v>
      </c>
      <c r="GO87" s="72">
        <f t="shared" si="563"/>
        <v>-4.8983431010780691</v>
      </c>
      <c r="GP87" s="81">
        <f>GP80/GP67*100</f>
        <v>11.499999999999998</v>
      </c>
      <c r="GQ87" s="72">
        <f t="shared" si="563"/>
        <v>7.8034591194968499</v>
      </c>
      <c r="GR87" s="86">
        <f>GP87+0.1</f>
        <v>11.599999999999998</v>
      </c>
      <c r="GS87" s="72">
        <f t="shared" si="563"/>
        <v>0.86956521739129755</v>
      </c>
      <c r="GT87" s="86">
        <f>GR87+0.1</f>
        <v>11.699999999999998</v>
      </c>
      <c r="GU87" s="72">
        <f t="shared" si="563"/>
        <v>0.86206896551723844</v>
      </c>
      <c r="GV87" s="86">
        <f>GT87+0.1</f>
        <v>11.799999999999997</v>
      </c>
      <c r="GW87" s="72">
        <f>IF(ISERROR(GV87/GT87),"NA",IF(OR(GV87/GT87&gt;2,GV87/GT87&lt;0.5),"NM",GV87/GT87*100-100))</f>
        <v>0.85470085470085166</v>
      </c>
      <c r="GX87" s="86">
        <f>GV87+0.1</f>
        <v>11.899999999999997</v>
      </c>
      <c r="GY87" s="72">
        <f>IF(ISERROR(GX87/GV87),"NA",IF(OR(GX87/GV87&gt;2,GX87/GV87&lt;0.5),"NM",GX87/GV87*100-100))</f>
        <v>0.84745762711864359</v>
      </c>
      <c r="GZ87" s="72">
        <f>IF(ISERROR(((GX87/GN87)^0.2-1)*100),"NA",IF((((GX87/GN87)^0.2-1)*100)&gt;100,"NM",IF((((GX87/GN87)^0.2-1)*100)&lt;-50,"NM",((GX87/GN87)^0.2-1)*100)))</f>
        <v>2.2107002075969939</v>
      </c>
      <c r="HA87" s="72"/>
      <c r="HB87" s="72"/>
      <c r="HC87"/>
      <c r="HD87"/>
      <c r="HE87"/>
      <c r="HF87"/>
      <c r="HG87"/>
      <c r="HH87"/>
      <c r="HI87" s="2"/>
    </row>
    <row r="88" spans="1:217" s="3" customFormat="1" ht="12.75" customHeight="1" x14ac:dyDescent="0.2">
      <c r="B88" s="76" t="s">
        <v>428</v>
      </c>
      <c r="C88" s="81">
        <f>C83/C72*100</f>
        <v>40.16393442622951</v>
      </c>
      <c r="D88" s="72"/>
      <c r="E88" s="81">
        <f>E83/E72*100</f>
        <v>46.188340807174889</v>
      </c>
      <c r="F88" s="72"/>
      <c r="G88" s="81">
        <f>G83/G72*100</f>
        <v>37.219730941704036</v>
      </c>
      <c r="H88" s="72"/>
      <c r="I88" s="81">
        <f>I83/I72*100</f>
        <v>34.080717488789233</v>
      </c>
      <c r="J88" s="72"/>
      <c r="K88" s="81">
        <f>K83/K72*100</f>
        <v>33.796296296296298</v>
      </c>
      <c r="L88" s="72">
        <f>IF(ISERROR(K88/C88),"NA",IF(OR(K88/C88&gt;2,K88/C88&lt;0.5),"NM",K88/C88*100-100))</f>
        <v>-15.854119425547992</v>
      </c>
      <c r="M88" s="81">
        <f>M83/M72*100</f>
        <v>36.893203883495147</v>
      </c>
      <c r="N88" s="72">
        <f>IF(ISERROR(M88/E88),"NA",IF(OR(M88/E88&gt;2,M88/E88&lt;0.5),"NM",M88/E88*100-100))</f>
        <v>-20.124422660005663</v>
      </c>
      <c r="O88" s="81">
        <f>O83/O72*100</f>
        <v>35.051546391752574</v>
      </c>
      <c r="P88" s="72">
        <f>IF(ISERROR(O88/G88),"NA",IF(OR(O88/G88&gt;2,O88/G88&lt;0.5),"NM",O88/G88*100-100))</f>
        <v>-5.8253633089057359</v>
      </c>
      <c r="Q88" s="81">
        <f>Q83/Q72*100</f>
        <v>37.837837837837839</v>
      </c>
      <c r="R88" s="72">
        <f>IF(ISERROR(Q88/I88),"NA",IF(OR(Q88/I88&gt;2,Q88/I88&lt;0.5),"NM",Q88/I88*100-100))</f>
        <v>11.024182076813688</v>
      </c>
      <c r="S88" s="81">
        <f>S83/S72*100</f>
        <v>38.461538461538467</v>
      </c>
      <c r="T88" s="72">
        <f>IF(ISERROR(S88/K88),"NA",IF(OR(S88/K88&gt;2,S88/K88&lt;0.5),"NM",S88/K88*100-100))</f>
        <v>13.804004214963129</v>
      </c>
      <c r="U88" s="81">
        <f>U83/U72*100</f>
        <v>40.414507772020727</v>
      </c>
      <c r="V88" s="72">
        <f>IF(ISERROR(U88/M88),"NA",IF(OR(U88/M88&gt;2,U88/M88&lt;0.5),"NM",U88/M88*100-100))</f>
        <v>9.544586855740377</v>
      </c>
      <c r="W88" s="81">
        <f>W83/W72*100</f>
        <v>43.478260869565219</v>
      </c>
      <c r="X88" s="72">
        <f>IF(ISERROR(W88/O88),"NA",IF(OR(W88/O88&gt;2,W88/O88&lt;0.5),"NM",W88/O88*100-100))</f>
        <v>24.040920716112552</v>
      </c>
      <c r="Y88" s="81">
        <f>Y83/Y72*100</f>
        <v>34.615384615384613</v>
      </c>
      <c r="Z88" s="72">
        <f>IF(ISERROR(Y88/Q88),"NA",IF(OR(Y88/Q88&gt;2,Y88/Q88&lt;0.5),"NM",Y88/Q88*100-100))</f>
        <v>-8.5164835164835182</v>
      </c>
      <c r="AA88" s="81">
        <f>AA83/AA72*100</f>
        <v>36.065573770491802</v>
      </c>
      <c r="AB88" s="72">
        <f>IF(ISERROR(AA88/S88),"NA",IF(OR(AA88/S88&gt;2,AA88/S88&lt;0.5),"NM",AA88/S88*100-100))</f>
        <v>-6.2295081967213264</v>
      </c>
      <c r="AC88" s="81">
        <f>AC83/AC72*100</f>
        <v>55.123674911660778</v>
      </c>
      <c r="AD88" s="72">
        <f>IF(ISERROR(AC88/U88),"NA",IF(OR(AC88/U88&gt;2,AC88/U88&lt;0.5),"NM",AC88/U88*100-100))</f>
        <v>36.39575971731449</v>
      </c>
      <c r="AE88" s="81">
        <f>AE83/AE72*100</f>
        <v>59.270516717325229</v>
      </c>
      <c r="AF88" s="72">
        <f>IF(ISERROR(AE88/W88),"NA",IF(OR(AE88/W88&gt;2,AE88/W88&lt;0.5),"NM",AE88/W88*100-100))</f>
        <v>36.322188449848028</v>
      </c>
      <c r="AG88" s="81">
        <f>AG83/AG72*100</f>
        <v>59.312320916905449</v>
      </c>
      <c r="AH88" s="72">
        <f>IF(ISERROR(AG88/Y88),"NA",IF(OR(AG88/Y88&gt;2,AG88/Y88&lt;0.5),"NM",AG88/Y88*100-100))</f>
        <v>71.346704871060211</v>
      </c>
      <c r="AI88" s="81">
        <f>AI83/AI72*100</f>
        <v>55.026455026455025</v>
      </c>
      <c r="AJ88" s="72">
        <f>IF(ISERROR(AI88/AA88),"NA",IF(OR(AI88/AA88&gt;2,AI88/AA88&lt;0.5),"NM",AI88/AA88*100-100))</f>
        <v>52.573352573352594</v>
      </c>
      <c r="AK88" s="81">
        <f>AK83/AK72*100</f>
        <v>54.00516795865633</v>
      </c>
      <c r="AL88" s="72">
        <f>IF(ISERROR(AK88/AC88),"NA",IF(OR(AK88/AC88&gt;2,AK88/AC88&lt;0.5),"NM",AK88/AC88*100-100))</f>
        <v>-2.0290863314119179</v>
      </c>
      <c r="AM88" s="81">
        <f>AM83/AM72*100</f>
        <v>47.989949748743719</v>
      </c>
      <c r="AN88" s="72">
        <f>IF(ISERROR(AM88/AE88),"NA",IF(OR(AM88/AE88&gt;2,AM88/AE88&lt;0.5),"NM",AM88/AE88*100-100))</f>
        <v>-19.032341193145214</v>
      </c>
      <c r="AO88" s="81">
        <f>AO83/AO72*100</f>
        <v>48.915662650602407</v>
      </c>
      <c r="AP88" s="72">
        <f>IF(ISERROR(AO88/AG88),"NA",IF(OR(AO88/AG88&gt;2,AO88/AG88&lt;0.5),"NM",AO88/AG88*100-100))</f>
        <v>-17.528665386182425</v>
      </c>
      <c r="AQ88" s="81">
        <f>AQ83/AQ72*100</f>
        <v>47.641509433962263</v>
      </c>
      <c r="AR88" s="72">
        <f>IF(ISERROR(AQ88/AI88),"NA",IF(OR(AQ88/AI88&gt;2,AQ88/AI88&lt;0.5),"NM",AQ88/AI88*100-100))</f>
        <v>-13.420718432510881</v>
      </c>
      <c r="AS88" s="81">
        <f>AS83/AS72*100</f>
        <v>56.428571428571431</v>
      </c>
      <c r="AT88" s="72">
        <f>IF(ISERROR(AS88/AK88),"NA",IF(OR(AS88/AK88&gt;2,AS88/AK88&lt;0.5),"NM",AS88/AK88*100-100))</f>
        <v>4.487354750512651</v>
      </c>
      <c r="AU88" s="81">
        <f>AU83/AU72*100</f>
        <v>56.4625850340136</v>
      </c>
      <c r="AV88" s="72">
        <f>IF(ISERROR(AU88/AM88),"NA",IF(OR(AU88/AM88&gt;2,AU88/AM88&lt;0.5),"NM",AU88/AM88*100-100))</f>
        <v>17.655020123232518</v>
      </c>
      <c r="AW88" s="81">
        <f>AW83/AW72*100</f>
        <v>54.861111111111114</v>
      </c>
      <c r="AX88" s="72">
        <f>IF(ISERROR(AW88/AO88),"NA",IF(OR(AW88/AO88&gt;2,AW88/AO88&lt;0.5),"NM",AW88/AO88*100-100))</f>
        <v>12.154488232074456</v>
      </c>
      <c r="AY88" s="81">
        <f>AY83/AY72*100</f>
        <v>56.29139072847682</v>
      </c>
      <c r="AZ88" s="72">
        <f>IF(ISERROR(AY88/AQ88),"NA",IF(OR(AY88/AQ88&gt;2,AY88/AQ88&lt;0.5),"NM",AY88/AQ88*100-100))</f>
        <v>18.156186479575112</v>
      </c>
      <c r="BA88" s="81">
        <f>BA83/BA72*100</f>
        <v>60.767590618336889</v>
      </c>
      <c r="BB88" s="72">
        <f>IF(ISERROR(BA88/AS88),"NA",IF(OR(BA88/AS88&gt;2,BA88/AS88&lt;0.5),"NM",BA88/AS88*100-100))</f>
        <v>7.6894010957868915</v>
      </c>
      <c r="BC88" s="81">
        <f>BC83/BC72*100</f>
        <v>54.888507718696403</v>
      </c>
      <c r="BD88" s="72">
        <f>IF(ISERROR(BC88/AU88),"NA",IF(OR(BC88/AU88&gt;2,BC88/AU88&lt;0.5),"NM",BC88/AU88*100-100))</f>
        <v>-2.7878236789352684</v>
      </c>
      <c r="BE88" s="81">
        <f>BE83/BE72*100</f>
        <v>58.221476510067113</v>
      </c>
      <c r="BF88" s="72">
        <f>IF(ISERROR(BE88/AW88),"NA",IF(OR(BE88/AW88&gt;2,BE88/AW88&lt;0.5),"NM",BE88/AW88*100-100))</f>
        <v>6.1252230056919359</v>
      </c>
      <c r="BG88" s="81">
        <f>BG83/BG72*100</f>
        <v>59.105960264900659</v>
      </c>
      <c r="BH88" s="72">
        <f>IF(ISERROR(BG88/AY88),"NA",IF(OR(BG88/AY88&gt;2,BG88/AY88&lt;0.5),"NM",BG88/AY88*100-100))</f>
        <v>5</v>
      </c>
      <c r="BI88" s="81">
        <f>BI83/BI72*100</f>
        <v>59.968354430379748</v>
      </c>
      <c r="BJ88" s="72">
        <f>IF(ISERROR(BI88/BA88),"NA",IF(OR(BI88/BA88&gt;2,BI88/BA88&lt;0.5),"NM",BI88/BA88*100-100))</f>
        <v>-1.3152342882522703</v>
      </c>
      <c r="BK88" s="81">
        <f>BK83/BK72*100</f>
        <v>60.979462875197477</v>
      </c>
      <c r="BL88" s="72">
        <f>IF(ISERROR(BK88/BC88),"NA",IF(OR(BK88/BC88&gt;2,BK88/BC88&lt;0.5),"NM",BK88/BC88*100-100))</f>
        <v>11.0969589257504</v>
      </c>
      <c r="BM88" s="81">
        <f>BM83/BM72*100</f>
        <v>62.776025236593057</v>
      </c>
      <c r="BN88" s="72">
        <f>IF(ISERROR(BM88/BE88),"NA",IF(OR(BM88/BE88&gt;2,BM88/BE88&lt;0.5),"NM",BM88/BE88*100-100))</f>
        <v>7.8227983890762687</v>
      </c>
      <c r="BO88" s="81">
        <f>BO83/BO72*100</f>
        <v>64.746945898778364</v>
      </c>
      <c r="BP88" s="72">
        <f>IF(ISERROR(BO88/BG88),"NA",IF(OR(BO88/BG88&gt;2,BO88/BG88&lt;0.5),"NM",BO88/BG88*100-100))</f>
        <v>9.5438524449919555</v>
      </c>
      <c r="BQ88" s="81">
        <f>BQ83/BQ72*100</f>
        <v>58.199356913183273</v>
      </c>
      <c r="BR88" s="72">
        <f>IF(ISERROR(BQ88/BI88),"NA",IF(OR(BQ88/BI88&gt;2,BQ88/BI88&lt;0.5),"NM",BQ88/BI88*100-100))</f>
        <v>-2.9498850418685265</v>
      </c>
      <c r="BS88" s="81">
        <f>BS83/BS72*100</f>
        <v>68.75</v>
      </c>
      <c r="BT88" s="72">
        <f>IF(ISERROR(BS88/BK88),"NA",IF(OR(BS88/BK88&gt;2,BS88/BK88&lt;0.5),"NM",BS88/BK88*100-100))</f>
        <v>12.742875647668384</v>
      </c>
      <c r="BU88" s="81">
        <f>BU83/BU72*100</f>
        <v>246.73913043478262</v>
      </c>
      <c r="BV88" s="72" t="str">
        <f>IF(ISERROR(BU88/BM88),"NA",IF(OR(BU88/BM88&gt;2,BU88/BM88&lt;0.5),"NM",BU88/BM88*100-100))</f>
        <v>NM</v>
      </c>
      <c r="BW88" s="81">
        <f>BW83/BW72*100</f>
        <v>63.588850174216027</v>
      </c>
      <c r="BX88" s="72">
        <f>IF(ISERROR(BW88/BO88),"NA",IF(OR(BW88/BO88&gt;2,BW88/BO88&lt;0.5),"NM",BW88/BO88*100-100))</f>
        <v>-1.7886491918442573</v>
      </c>
      <c r="BY88" s="81">
        <f>BY83/BY72*100</f>
        <v>62.267343485617602</v>
      </c>
      <c r="BZ88" s="72">
        <f>IF(ISERROR(BY88/BQ88),"NA",IF(OR(BY88/BQ88&gt;2,BY88/BQ88&lt;0.5),"NM",BY88/BQ88*100-100))</f>
        <v>6.9897448841274894</v>
      </c>
      <c r="CA88" s="81">
        <f>CA83/CA72*100</f>
        <v>79.785604900459418</v>
      </c>
      <c r="CB88" s="72">
        <f>IF(ISERROR(CA88/BS88),"NA",IF(OR(CA88/BS88&gt;2,CA88/BS88&lt;0.5),"NM",CA88/BS88*100-100))</f>
        <v>16.051788946122784</v>
      </c>
      <c r="CC88" s="81">
        <f>CC83/CC72*100</f>
        <v>70.875179340028694</v>
      </c>
      <c r="CD88" s="72" t="str">
        <f>IF(ISERROR(CC88/BU88),"NA",IF(OR(CC88/BU88&gt;2,CC88/BU88&lt;0.5),"NM",CC88/BU88*100-100))</f>
        <v>NM</v>
      </c>
      <c r="CE88" s="81">
        <f>CE83/CE72*100</f>
        <v>63.504611330698289</v>
      </c>
      <c r="CF88" s="72">
        <f>IF(ISERROR(CE88/BW88),"NA",IF(OR(CE88/BW88&gt;2,CE88/BW88&lt;0.5),"NM",CE88/BW88*100-100))</f>
        <v>-0.13247423610735609</v>
      </c>
      <c r="CG88" s="81">
        <f>CG83/CG72*100</f>
        <v>68.880208333333343</v>
      </c>
      <c r="CH88" s="72">
        <f>IF(ISERROR(CG88/BY88),"NA",IF(OR(CG88/BY88&gt;2,CG88/BY88&lt;0.5),"NM",CG88/BY88*100-100))</f>
        <v>10.6201171875</v>
      </c>
      <c r="CI88" s="81">
        <f>CI83/CI72*100</f>
        <v>65.179677819083025</v>
      </c>
      <c r="CJ88" s="72">
        <f>IF(ISERROR(CI88/CA88),"NA",IF(OR(CI88/CA88&gt;2,CI88/CA88&lt;0.5),"NM",CI88/CA88*100-100))</f>
        <v>-18.30646906744488</v>
      </c>
      <c r="CK88" s="81">
        <f>CK83/CK72*100</f>
        <v>72.938443670150988</v>
      </c>
      <c r="CL88" s="72">
        <f>IF(ISERROR(CK88/CC88),"NA",IF(OR(CK88/CC88&gt;2,CK88/CC88&lt;0.5),"NM",CK88/CC88*100-100))</f>
        <v>2.9111239637555428</v>
      </c>
      <c r="CM88" s="81">
        <f>CM83/CM72*100</f>
        <v>73.830734966592431</v>
      </c>
      <c r="CN88" s="72">
        <f>IF(ISERROR(CM88/CE88),"NA",IF(OR(CM88/CE88&gt;2,CM88/CE88&lt;0.5),"NM",CM88/CE88*100-100))</f>
        <v>16.260431202580179</v>
      </c>
      <c r="CO88" s="81">
        <f>CO83/CO72*100</f>
        <v>59.59271168274384</v>
      </c>
      <c r="CP88" s="72">
        <f>IF(ISERROR(CO88/CG88),"NA",IF(OR(CO88/CG88&gt;2,CO88/CG88&lt;0.5),"NM",CO88/CG88*100-100))</f>
        <v>-13.483549012576063</v>
      </c>
      <c r="CQ88" s="81">
        <f>CQ83/CQ72*100</f>
        <v>61.1049723756906</v>
      </c>
      <c r="CR88" s="72">
        <f>IF(ISERROR(CQ88/CI88),"NA",IF(OR(CQ88/CI88&gt;2,CQ88/CI88&lt;0.5),"NM",CQ88/CI88*100-100))</f>
        <v>-6.2514967544062472</v>
      </c>
      <c r="CS88" s="81">
        <f>CS83/CS72*100</f>
        <v>60.753880266075392</v>
      </c>
      <c r="CT88" s="72">
        <f>IF(ISERROR(CS88/CK88),"NA",IF(OR(CS88/CK88&gt;2,CS88/CK88&lt;0.5),"NM",CS88/CK88*100-100))</f>
        <v>-16.705269253039944</v>
      </c>
      <c r="CU88" s="81">
        <f>CU83/CU72*100</f>
        <v>63.152400835073067</v>
      </c>
      <c r="CV88" s="92">
        <f>IF(ISERROR(CU88/CM88),"NA",IF(OR(CU88/CM88&gt;2,CU88/CM88&lt;0.5),"NM",CU88/CM88*100-100))</f>
        <v>-14.463264027306764</v>
      </c>
      <c r="CW88" s="81">
        <f>CW83/CW72*100</f>
        <v>65.082644628099175</v>
      </c>
      <c r="CX88" s="92">
        <f>IF(ISERROR(CW88/CO88),"NA",IF(OR(CW88/CO88&gt;2,CW88/CO88&lt;0.5),"NM",CW88/CO88*100-100))</f>
        <v>9.2124234496700126</v>
      </c>
      <c r="CY88" s="81">
        <f>CY83/CY72*100</f>
        <v>63.752455795677797</v>
      </c>
      <c r="CZ88" s="92">
        <f>IF(ISERROR(CY88/CQ88),"NA",IF(OR(CY88/CQ88&gt;2,CY88/CQ88&lt;0.5),"NM",CY88/CQ88*100-100))</f>
        <v>4.3326808229446954</v>
      </c>
      <c r="DA88" s="81">
        <f>DA83/DA72*100</f>
        <v>58.132820019249273</v>
      </c>
      <c r="DB88" s="72">
        <f>IF(ISERROR(DA88/CS88),"NA",IF(OR(DA88/CS88&gt;2,DA88/CS88&lt;0.5),"NM",DA88/CS88*100-100))</f>
        <v>-4.3142269026225506</v>
      </c>
      <c r="DC88" s="81">
        <f>DC83/DC72*100</f>
        <v>56.36704119850188</v>
      </c>
      <c r="DD88" s="72">
        <f>IF(ISERROR(DC88/CU88),"NA",IF(OR(DC88/CU88&gt;2,DC88/CU88&lt;0.5),"NM",DC88/CU88*100-100))</f>
        <v>-10.744420713777174</v>
      </c>
      <c r="DE88" s="81">
        <f>DE83/DE72*100</f>
        <v>45.933869526362827</v>
      </c>
      <c r="DF88" s="72">
        <f>IF(ISERROR(DE88/CW88),"NA",IF(OR(DE88/CW88&gt;2,DE88/CW88&lt;0.5),"NM",DE88/CW88*100-100))</f>
        <v>-29.42224491822347</v>
      </c>
      <c r="DG88" s="81">
        <f>DG83/DG72*100</f>
        <v>45.892857142857139</v>
      </c>
      <c r="DH88" s="72">
        <f>IF(ISERROR(DG88/CY88),"NA",IF(OR(DG88/CY88&gt;2,DG88/CY88&lt;0.5),"NM",DG88/CY88*100-100))</f>
        <v>-28.013977547875854</v>
      </c>
      <c r="DI88" s="81">
        <f>DI83/DI72*100</f>
        <v>46.804835924006909</v>
      </c>
      <c r="DJ88" s="72">
        <f>IF(ISERROR(DI88/DA88),"NA",IF(OR(DI88/DA88&gt;2,DI88/DA88&lt;0.5),"NM",DI88/DA88*100-100))</f>
        <v>-19.486383236683466</v>
      </c>
      <c r="DK88" s="81">
        <f>DK83/DK72*100</f>
        <v>44.598098530682798</v>
      </c>
      <c r="DL88" s="72">
        <f>IF(ISERROR(DK88/DC88),"NA",IF(OR(DK88/DC88&gt;2,DK88/DC88&lt;0.5),"NM",DK88/DC88*100-100))</f>
        <v>-20.87912087912089</v>
      </c>
      <c r="DM88" s="81">
        <f>DM83/DM72*100</f>
        <v>47.139197267292907</v>
      </c>
      <c r="DN88" s="72">
        <f t="shared" si="555"/>
        <v>2.624050081908095</v>
      </c>
      <c r="DO88" s="81">
        <f>DO83/DO72*100</f>
        <v>46.43157010915197</v>
      </c>
      <c r="DP88" s="72">
        <f t="shared" si="555"/>
        <v>1.1738492650782462</v>
      </c>
      <c r="DQ88" s="81">
        <f>DQ83/DQ72*100</f>
        <v>47.019311502938706</v>
      </c>
      <c r="DR88" s="72">
        <f t="shared" si="555"/>
        <v>0.45823380148158321</v>
      </c>
      <c r="DS88" s="81">
        <f>DS83/DS72*100</f>
        <v>44.144903117101933</v>
      </c>
      <c r="DT88" s="72">
        <f t="shared" si="555"/>
        <v>-1.0161765378160084</v>
      </c>
      <c r="DU88" s="81">
        <f>DU83/DU72*100</f>
        <v>45.25</v>
      </c>
      <c r="DV88" s="72">
        <f t="shared" si="555"/>
        <v>-4.0076992753623131</v>
      </c>
      <c r="DW88" s="81">
        <f>DW83/DW72*100</f>
        <v>44.815766923736078</v>
      </c>
      <c r="DX88" s="72">
        <f t="shared" si="555"/>
        <v>-3.4799667157872136</v>
      </c>
      <c r="DY88" s="81">
        <f>DY83/DY72*100</f>
        <v>46.187554776511831</v>
      </c>
      <c r="DZ88" s="72">
        <f t="shared" si="555"/>
        <v>-1.7689683235257263</v>
      </c>
      <c r="EA88" s="81">
        <f>EA83/EA72*100</f>
        <v>45.807033363390445</v>
      </c>
      <c r="EB88" s="72">
        <f>IF(ISERROR(EA88/DS88),"NA",IF(OR(EA88/DS88&gt;2,EA88/DS88&lt;0.5),"NM",EA88/DS88*100-100))</f>
        <v>3.765169088443642</v>
      </c>
      <c r="EC88" s="81">
        <f>EC83/EC72*100</f>
        <v>46.981627296587924</v>
      </c>
      <c r="ED88" s="72">
        <f>IF(ISERROR(EC88/DU88),"NA",IF(OR(EC88/DU88&gt;2,EC88/DU88&lt;0.5),"NM",EC88/DU88*100-100))</f>
        <v>3.8268006554429235</v>
      </c>
      <c r="EE88" s="81">
        <f>EE83/EE72*100</f>
        <v>42.833742833742832</v>
      </c>
      <c r="EF88" s="72">
        <f>IF(ISERROR(EE88/DW88),"NA",IF(OR(EE88/DW88&gt;2,EE88/DW88&lt;0.5),"NM",EE88/DW88*100-100))</f>
        <v>-4.4226044226044365</v>
      </c>
      <c r="EG88" s="81">
        <f>EG83/EG72*100</f>
        <v>43.419949706621964</v>
      </c>
      <c r="EH88" s="72">
        <f>IF(ISERROR(EG88/DY88),"NA",IF(OR(EG88/DY88&gt;2,EG88/DY88&lt;0.5),"NM",EG88/DY88*100-100))</f>
        <v>-5.9921012993251281</v>
      </c>
      <c r="EI88" s="81">
        <f>EI83/EI72*100</f>
        <v>41.89300411522634</v>
      </c>
      <c r="EJ88" s="72">
        <f>IF(ISERROR(EI88/EA88),"NA",IF(OR(EI88/EA88&gt;2,EI88/EA88&lt;0.5),"NM",EI88/EA88*100-100))</f>
        <v>-8.5446032208936913</v>
      </c>
      <c r="EK88" s="81">
        <f>EK83/EK72*100</f>
        <v>38.820826952526801</v>
      </c>
      <c r="EL88" s="72">
        <f>IF(ISERROR(EK88/EC88),"NA",IF(OR(EK88/EC88&gt;2,EK88/EC88&lt;0.5),"NM",EK88/EC88*100-100))</f>
        <v>-17.370195145739046</v>
      </c>
      <c r="EM88" s="81">
        <f>EM83/EM72*100</f>
        <v>37.883435582822081</v>
      </c>
      <c r="EN88" s="72">
        <f>IF(ISERROR(EM88/EE88),"NA",IF(OR(EM88/EE88&gt;2,EM88/EE88&lt;0.5),"NM",EM88/EE88*100-100))</f>
        <v>-11.557027061901024</v>
      </c>
      <c r="EO88" s="81">
        <f>EO83/EO72*100</f>
        <v>41.556420233463037</v>
      </c>
      <c r="EP88" s="72">
        <f>IF(ISERROR(EO88/EG88),"NA",IF(OR(EO88/EG88&gt;2,EO88/EG88&lt;0.5),"NM",EO88/EG88*100-100))</f>
        <v>-4.2918738638582994</v>
      </c>
      <c r="EQ88" s="86">
        <v>40</v>
      </c>
      <c r="ER88" s="72">
        <f t="shared" si="556"/>
        <v>-4.518664047151276</v>
      </c>
      <c r="ES88" s="86">
        <f>EQ88</f>
        <v>40</v>
      </c>
      <c r="ET88" s="72">
        <f t="shared" si="558"/>
        <v>3.0374753451676497</v>
      </c>
      <c r="EU88" s="86">
        <f>ES88</f>
        <v>40</v>
      </c>
      <c r="EV88" s="72">
        <f t="shared" si="560"/>
        <v>5.5870445344129678</v>
      </c>
      <c r="EW88" s="86">
        <v>41.5</v>
      </c>
      <c r="EX88" s="72">
        <f t="shared" si="562"/>
        <v>-0.13576779026217878</v>
      </c>
      <c r="EY88" s="72"/>
      <c r="EZ88" s="309"/>
      <c r="FA88" s="72"/>
      <c r="FB88" s="81">
        <f>FB83/FB72*100</f>
        <v>44.627192982456144</v>
      </c>
      <c r="FC88" s="82"/>
      <c r="FD88" s="81">
        <f>FD83/FD72*100</f>
        <v>46.338672768878716</v>
      </c>
      <c r="FE88" s="72">
        <f>IF(ISERROR(FD88/FB88),"NA",IF(OR(FD88/FB88&gt;2,FD88/FB88&lt;0.5),"NM",FD88/FB88*100-100))</f>
        <v>3.8350603567994739</v>
      </c>
      <c r="FF88" s="81">
        <f>FF83/FF72*100</f>
        <v>39.430449069003288</v>
      </c>
      <c r="FG88" s="72">
        <f>IF(ISERROR(FF88/FD88),"NA",IF(OR(FF88/FD88&gt;2,FF88/FD88&lt;0.5),"NM",FF88/FD88*100-100))</f>
        <v>-14.908117317755867</v>
      </c>
      <c r="FH88" s="81">
        <f>FH83/FH72*100</f>
        <v>35.830212234706615</v>
      </c>
      <c r="FI88" s="72">
        <f>IF(ISERROR(FH88/FF88),"NA",IF(OR(FH88/FF88&gt;2,FH88/FF88&lt;0.5),"NM",FH88/FF88*100-100))</f>
        <v>-9.1306006380912805</v>
      </c>
      <c r="FJ88" s="81">
        <f>FJ83/FJ72*100</f>
        <v>39.271255060728741</v>
      </c>
      <c r="FK88" s="72">
        <f>IF(ISERROR(FJ88/FH88),"NA",IF(OR(FJ88/FH88&gt;2,FJ88/FH88&lt;0.5),"NM",FJ88/FH88*100-100))</f>
        <v>9.6037467025913656</v>
      </c>
      <c r="FL88" s="81">
        <f>FL83/FL72*100</f>
        <v>54.54545454545454</v>
      </c>
      <c r="FM88" s="72">
        <f>IF(ISERROR(FL88/FJ88),"NA",IF(OR(FL88/FJ88&gt;2,FL88/FJ88&lt;0.5),"NM",FL88/FJ88*100-100))</f>
        <v>38.894095595126544</v>
      </c>
      <c r="FN88" s="81">
        <f>FN83/FN72*100</f>
        <v>51.394169835234472</v>
      </c>
      <c r="FO88" s="72">
        <f>IF(ISERROR(FN88/FL88),"NA",IF(OR(FN88/FL88&gt;2,FN88/FL88&lt;0.5),"NM",FN88/FL88*100-100))</f>
        <v>-5.7773553020701343</v>
      </c>
      <c r="FP88" s="81">
        <f>FP83/FP72*100</f>
        <v>53.873034362259752</v>
      </c>
      <c r="FQ88" s="72">
        <f>IF(ISERROR(FP88/FN88),"NA",IF(OR(FP88/FN88&gt;2,FP88/FN88&lt;0.5),"NM",FP88/FN88*100-100))</f>
        <v>4.8232407196620102</v>
      </c>
      <c r="FR88" s="81">
        <f>FR83/FR72*100</f>
        <v>57.448833888624463</v>
      </c>
      <c r="FS88" s="72">
        <f>IF(ISERROR(FR88/FP88),"NA",IF(OR(FR88/FP88&gt;2,FR88/FP88&lt;0.5),"NM",FR88/FP88*100-100))</f>
        <v>6.6374570667764488</v>
      </c>
      <c r="FT88" s="81">
        <f>FT83/FT72*100</f>
        <v>60.727127447063523</v>
      </c>
      <c r="FU88" s="72">
        <f>IF(ISERROR(FT88/FR88),"NA",IF(OR(FT88/FR88&gt;2,FT88/FR88&lt;0.5),"NM",FT88/FR88*100-100))</f>
        <v>5.7064579670923479</v>
      </c>
      <c r="FV88" s="81">
        <f>FV83/FV72*100</f>
        <v>74.640951990151834</v>
      </c>
      <c r="FW88" s="72">
        <f>IF(ISERROR(FV88/FT88),"NA",IF(OR(FV88/FT88&gt;2,FV88/FT88&lt;0.5),"NM",FV88/FT88*100-100))</f>
        <v>22.912041336414489</v>
      </c>
      <c r="FX88" s="81">
        <f>FX83/FX72*100</f>
        <v>69.502982107355862</v>
      </c>
      <c r="FY88" s="72">
        <f>IF(ISERROR(FX88/FV88),"NA",IF(OR(FX88/FV88&gt;2,FX88/FV88&lt;0.5),"NM",FX88/FV88*100-100))</f>
        <v>-6.8835803212610074</v>
      </c>
      <c r="FZ88" s="81">
        <f>FZ83/FZ72*100</f>
        <v>67.762128325508613</v>
      </c>
      <c r="GA88" s="72">
        <f>IF(ISERROR(FZ88/FX88),"NA",IF(OR(FZ88/FX88&gt;2,FZ88/FX88&lt;0.5),"NM",FZ88/FX88*100-100))</f>
        <v>-2.5047181128980753</v>
      </c>
      <c r="GB88" s="81">
        <f>GB83/GB72*100</f>
        <v>63.771302913688842</v>
      </c>
      <c r="GC88" s="72">
        <f>IF(ISERROR(GB88/FZ88),"NA",IF(OR(GB88/FZ88&gt;2,GB88/FZ88&lt;0.5),"NM",GB88/FZ88*100-100))</f>
        <v>-5.8894629056647432</v>
      </c>
      <c r="GD88" s="81">
        <f>GD83/GD72*100</f>
        <v>62.465478282701483</v>
      </c>
      <c r="GE88" s="72">
        <f>IF(ISERROR(GD88/GB88),"NA",IF(OR(GD88/GB88&gt;2,GD88/GB88&lt;0.5),"NM",GD88/GB88*100-100))</f>
        <v>-2.0476681066948288</v>
      </c>
      <c r="GF88" s="81">
        <f>GF83/GF72*100</f>
        <v>48.645016797312429</v>
      </c>
      <c r="GG88" s="72">
        <f>IF(ISERROR(GF88/GD88),"NA",IF(OR(GF88/GD88&gt;2,GF88/GD88&lt;0.5),"NM",GF88/GD88*100-100))</f>
        <v>-22.124959041923063</v>
      </c>
      <c r="GH88" s="81">
        <f>GH83/GH72*100</f>
        <v>46.305732484076437</v>
      </c>
      <c r="GI88" s="72">
        <f t="shared" si="563"/>
        <v>-4.8088878722830231</v>
      </c>
      <c r="GJ88" s="81">
        <f>GJ83/GJ72*100</f>
        <v>45.090521831735892</v>
      </c>
      <c r="GK88" s="72">
        <f t="shared" si="563"/>
        <v>-2.6243201157835756</v>
      </c>
      <c r="GL88" s="81">
        <f>GL83/GL72*100</f>
        <v>44.706386626660951</v>
      </c>
      <c r="GM88" s="72">
        <f t="shared" si="563"/>
        <v>-0.85192006982846635</v>
      </c>
      <c r="GN88" s="81">
        <f>GN83/GN72*100</f>
        <v>40</v>
      </c>
      <c r="GO88" s="72">
        <f t="shared" si="563"/>
        <v>-10.527325023969311</v>
      </c>
      <c r="GP88" s="81">
        <f>GP83/GP72*100</f>
        <v>40.374644231959849</v>
      </c>
      <c r="GQ88" s="72">
        <f t="shared" si="563"/>
        <v>0.9366105798996216</v>
      </c>
      <c r="GR88" s="86">
        <f>GP88+0.1</f>
        <v>40.47464423195985</v>
      </c>
      <c r="GS88" s="72">
        <f t="shared" si="563"/>
        <v>0.24768020103280719</v>
      </c>
      <c r="GT88" s="86">
        <f>GR88+0.1</f>
        <v>40.574644231959851</v>
      </c>
      <c r="GU88" s="72">
        <f t="shared" si="563"/>
        <v>0.24706826186513808</v>
      </c>
      <c r="GV88" s="86">
        <f>GT88+0.1</f>
        <v>40.674644231959853</v>
      </c>
      <c r="GW88" s="72">
        <f>IF(ISERROR(GV88/GT88),"NA",IF(OR(GV88/GT88&gt;2,GV88/GT88&lt;0.5),"NM",GV88/GT88*100-100))</f>
        <v>0.24645933905991058</v>
      </c>
      <c r="GX88" s="86">
        <f>GV88+0.1</f>
        <v>40.774644231959854</v>
      </c>
      <c r="GY88" s="72">
        <f>IF(ISERROR(GX88/GV88),"NA",IF(OR(GX88/GV88&gt;2,GX88/GV88&lt;0.5),"NM",GX88/GV88*100-100))</f>
        <v>0.24585341036966213</v>
      </c>
      <c r="GZ88" s="72">
        <f>IF(ISERROR(((GX88/GN88)^0.2-1)*100),"NA",IF((((GX88/GN88)^0.2-1)*100)&gt;100,"NM",IF((((GX88/GN88)^0.2-1)*100)&lt;-50,"NM",((GX88/GN88)^0.2-1)*100)))</f>
        <v>0.38435614505480942</v>
      </c>
      <c r="HA88" s="72"/>
      <c r="HB88" s="72"/>
      <c r="HC88"/>
      <c r="HD88"/>
      <c r="HE88"/>
      <c r="HF88"/>
      <c r="HG88"/>
      <c r="HH88"/>
      <c r="HI88" s="2"/>
    </row>
    <row r="89" spans="1:217" s="135" customFormat="1" ht="12.75" hidden="1" customHeight="1" outlineLevel="1" x14ac:dyDescent="0.2">
      <c r="B89" s="234" t="s">
        <v>660</v>
      </c>
      <c r="C89" s="235"/>
      <c r="D89" s="137"/>
      <c r="E89" s="235"/>
      <c r="F89" s="137"/>
      <c r="G89" s="235"/>
      <c r="H89" s="137"/>
      <c r="I89" s="235"/>
      <c r="J89" s="137"/>
      <c r="K89" s="235"/>
      <c r="L89" s="137"/>
      <c r="M89" s="235"/>
      <c r="N89" s="137"/>
      <c r="O89" s="235"/>
      <c r="P89" s="137"/>
      <c r="Q89" s="235"/>
      <c r="R89" s="137"/>
      <c r="S89" s="235"/>
      <c r="T89" s="137"/>
      <c r="U89" s="235"/>
      <c r="V89" s="137"/>
      <c r="W89" s="235"/>
      <c r="X89" s="137"/>
      <c r="Y89" s="235"/>
      <c r="Z89" s="137"/>
      <c r="AA89" s="235"/>
      <c r="AB89" s="137"/>
      <c r="AC89" s="235"/>
      <c r="AD89" s="137"/>
      <c r="AE89" s="235"/>
      <c r="AF89" s="137"/>
      <c r="AG89" s="235"/>
      <c r="AH89" s="137"/>
      <c r="AI89" s="235"/>
      <c r="AJ89" s="137"/>
      <c r="AK89" s="235"/>
      <c r="AL89" s="137"/>
      <c r="AM89" s="235"/>
      <c r="AN89" s="137"/>
      <c r="AO89" s="235"/>
      <c r="AP89" s="137"/>
      <c r="AQ89" s="235"/>
      <c r="AR89" s="137"/>
      <c r="AS89" s="235"/>
      <c r="AT89" s="137"/>
      <c r="AU89" s="235"/>
      <c r="AV89" s="137"/>
      <c r="AW89" s="235"/>
      <c r="AX89" s="137"/>
      <c r="AY89" s="235"/>
      <c r="AZ89" s="137"/>
      <c r="BA89" s="235"/>
      <c r="BB89" s="137"/>
      <c r="BC89" s="235"/>
      <c r="BD89" s="137"/>
      <c r="BE89" s="235"/>
      <c r="BF89" s="137"/>
      <c r="BG89" s="235"/>
      <c r="BH89" s="137"/>
      <c r="BI89" s="235"/>
      <c r="BJ89" s="137"/>
      <c r="BK89" s="235"/>
      <c r="BL89" s="137"/>
      <c r="BM89" s="235"/>
      <c r="BN89" s="137"/>
      <c r="BO89" s="235"/>
      <c r="BP89" s="137"/>
      <c r="BQ89" s="235"/>
      <c r="BR89" s="137"/>
      <c r="BS89" s="235"/>
      <c r="BT89" s="137"/>
      <c r="BU89" s="235"/>
      <c r="BV89" s="137"/>
      <c r="BW89" s="235"/>
      <c r="BX89" s="137"/>
      <c r="BY89" s="235"/>
      <c r="BZ89" s="137"/>
      <c r="CA89" s="235"/>
      <c r="CB89" s="137"/>
      <c r="CC89" s="235"/>
      <c r="CD89" s="137"/>
      <c r="CE89" s="235"/>
      <c r="CF89" s="137"/>
      <c r="CG89" s="235"/>
      <c r="CH89" s="137"/>
      <c r="CI89" s="235"/>
      <c r="CJ89" s="137"/>
      <c r="CK89" s="235"/>
      <c r="CL89" s="137"/>
      <c r="CM89" s="235"/>
      <c r="CN89" s="137"/>
      <c r="CO89" s="235"/>
      <c r="CP89" s="137"/>
      <c r="CQ89" s="235"/>
      <c r="CR89" s="137"/>
      <c r="CS89" s="235"/>
      <c r="CT89" s="137"/>
      <c r="CU89" s="235"/>
      <c r="CV89" s="137"/>
      <c r="CW89" s="235"/>
      <c r="CX89" s="137"/>
      <c r="CY89" s="235"/>
      <c r="CZ89" s="137"/>
      <c r="DA89" s="235"/>
      <c r="DB89" s="137"/>
      <c r="DC89" s="235"/>
      <c r="DD89" s="137"/>
      <c r="DE89" s="235"/>
      <c r="DF89" s="137"/>
      <c r="DG89" s="235"/>
      <c r="DH89" s="137"/>
      <c r="DI89" s="235"/>
      <c r="DJ89" s="137"/>
      <c r="DK89" s="235"/>
      <c r="DL89" s="137"/>
      <c r="DM89" s="235"/>
      <c r="DN89" s="137"/>
      <c r="DO89" s="235"/>
      <c r="DP89" s="137"/>
      <c r="DQ89" s="235"/>
      <c r="DR89" s="137"/>
      <c r="DS89" s="235"/>
      <c r="DT89" s="137"/>
      <c r="DU89" s="235"/>
      <c r="DV89" s="137"/>
      <c r="DW89" s="136">
        <f>IF($B$6=1, DW88, IF($B$6=2, DW88+DW894, IF($B$6=3, DW88+DW895)))</f>
        <v>44.815766923736078</v>
      </c>
      <c r="DX89" s="137"/>
      <c r="DY89" s="136">
        <f>IF($B$6=1, DY88, IF($B$6=2, DY88+DY894, IF($B$6=3, DY88+DY895)))</f>
        <v>46.187554776511831</v>
      </c>
      <c r="DZ89" s="137"/>
      <c r="EA89" s="136">
        <f>IF($B$6=1, EA88, IF($B$6=2, EA88+EA894, IF($B$6=3, EA88+EA895)))</f>
        <v>45.807033363390445</v>
      </c>
      <c r="EB89" s="137"/>
      <c r="EC89" s="136">
        <f>IF($B$6=1, EC88, IF($B$6=2, EC88+EC894, IF($B$6=3, EC88+EC895)))</f>
        <v>46.981627296587924</v>
      </c>
      <c r="ED89" s="137"/>
      <c r="EE89" s="136">
        <f>IF($B$6=1, EE88, IF($B$6=2, EE88+EE894, IF($B$6=3, EE88+EE895)))</f>
        <v>42.833742833742832</v>
      </c>
      <c r="EF89" s="137"/>
      <c r="EG89" s="136">
        <f>IF($B$6=1, EG88, IF($B$6=2, EG88+EG894, IF($B$6=3, EG88+EG895)))</f>
        <v>43.419949706621964</v>
      </c>
      <c r="EH89" s="137"/>
      <c r="EI89" s="136">
        <f>IF($B$6=1, EI88, IF($B$6=2, EI88+EI894, IF($B$6=3, EI88+EI895)))</f>
        <v>41.89300411522634</v>
      </c>
      <c r="EJ89" s="137"/>
      <c r="EK89" s="136">
        <f>IF($B$6=1, EK88, IF($B$6=2, EK88+EK894, IF($B$6=3, EK88+EK895)))</f>
        <v>38.820826952526801</v>
      </c>
      <c r="EL89" s="137"/>
      <c r="EM89" s="136">
        <f>IF($B$6=1, EM88, IF($B$6=2, EM88+EM894, IF($B$6=3, EM88+EM895)))</f>
        <v>37.883435582822081</v>
      </c>
      <c r="EN89" s="137"/>
      <c r="EO89" s="136">
        <f>IF($B$6=1, EO88, IF($B$6=2, EO88+EO894, IF($B$6=3, EO88+EO895)))</f>
        <v>41.556420233463037</v>
      </c>
      <c r="EP89" s="137"/>
      <c r="EQ89" s="136">
        <f>IF($B$6=1, EQ88, IF($B$6=2, EQ88+EQ894, IF($B$6=3, EQ88+EQ895)))</f>
        <v>40</v>
      </c>
      <c r="ER89" s="137"/>
      <c r="ES89" s="136">
        <f>IF($B$6=1, ES88, IF($B$6=2, ES88+ES894, IF($B$6=3, ES88+ES895)))</f>
        <v>40</v>
      </c>
      <c r="ET89" s="137"/>
      <c r="EU89" s="136">
        <f>IF($B$6=1, EU88, IF($B$6=2, EU88+EU894, IF($B$6=3, EU88+EU895)))</f>
        <v>40</v>
      </c>
      <c r="EV89" s="137"/>
      <c r="EW89" s="136">
        <f>IF($B$6=1, EW88, IF($B$6=2, EW88+EW894, IF($B$6=3, EW88+EW895)))</f>
        <v>41.5</v>
      </c>
      <c r="EX89" s="137"/>
      <c r="EY89" s="137"/>
      <c r="EZ89" s="313"/>
      <c r="FA89" s="137"/>
      <c r="FB89" s="235"/>
      <c r="FC89" s="137"/>
      <c r="FD89" s="235"/>
      <c r="FE89" s="137"/>
      <c r="FF89" s="235"/>
      <c r="FG89" s="137"/>
      <c r="FH89" s="235"/>
      <c r="FI89" s="137"/>
      <c r="FJ89" s="235"/>
      <c r="FK89" s="137"/>
      <c r="FL89" s="235"/>
      <c r="FM89" s="137"/>
      <c r="FN89" s="235"/>
      <c r="FO89" s="137"/>
      <c r="FP89" s="235"/>
      <c r="FQ89" s="137"/>
      <c r="FR89" s="235"/>
      <c r="FS89" s="137"/>
      <c r="FT89" s="235"/>
      <c r="FU89" s="137"/>
      <c r="FV89" s="235"/>
      <c r="FW89" s="137"/>
      <c r="FX89" s="235"/>
      <c r="FY89" s="137"/>
      <c r="FZ89" s="235"/>
      <c r="GA89" s="137"/>
      <c r="GB89" s="235"/>
      <c r="GC89" s="137"/>
      <c r="GD89" s="235"/>
      <c r="GE89" s="137"/>
      <c r="GF89" s="235"/>
      <c r="GG89" s="137"/>
      <c r="GH89" s="235"/>
      <c r="GI89" s="137"/>
      <c r="GJ89" s="235"/>
      <c r="GK89" s="137"/>
      <c r="GL89" s="235"/>
      <c r="GM89" s="137"/>
      <c r="GN89" s="235"/>
      <c r="GO89" s="137"/>
      <c r="GP89" s="235"/>
      <c r="GQ89" s="137"/>
      <c r="GR89" s="136">
        <f>IF($B$6=1, GR88, IF($B$6=2, GR88+GR894, IF($B$6=3, GR88+GR895)))</f>
        <v>40.47464423195985</v>
      </c>
      <c r="GS89" s="137"/>
      <c r="GT89" s="136">
        <f>IF($B$6=1, GT88, IF($B$6=2, GT88+GT894, IF($B$6=3, GT88+GT895)))</f>
        <v>40.574644231959851</v>
      </c>
      <c r="GU89" s="137"/>
      <c r="GV89" s="136">
        <f>IF($B$6=1, GV88, IF($B$6=2, GV88+GV894, IF($B$6=3, GV88+GV895)))</f>
        <v>40.674644231959853</v>
      </c>
      <c r="GW89" s="137"/>
      <c r="GX89" s="136">
        <f>IF($B$6=1, GX88, IF($B$6=2, GX88+GX894, IF($B$6=3, GX88+GX895)))</f>
        <v>40.774644231959854</v>
      </c>
      <c r="GY89" s="137"/>
      <c r="GZ89" s="137"/>
      <c r="HA89" s="137"/>
      <c r="HB89" s="137"/>
      <c r="HC89"/>
      <c r="HD89"/>
      <c r="HE89"/>
      <c r="HF89"/>
      <c r="HG89"/>
      <c r="HH89"/>
      <c r="HI89" s="236"/>
    </row>
    <row r="90" spans="1:217" s="3" customFormat="1" ht="12.75" customHeight="1" collapsed="1" x14ac:dyDescent="0.2">
      <c r="B90" s="76"/>
      <c r="C90" s="73"/>
      <c r="D90" s="72"/>
      <c r="E90" s="73"/>
      <c r="F90" s="72"/>
      <c r="G90" s="73"/>
      <c r="H90" s="72"/>
      <c r="I90" s="73"/>
      <c r="J90" s="72"/>
      <c r="K90" s="73"/>
      <c r="L90" s="72"/>
      <c r="M90" s="73"/>
      <c r="N90" s="72"/>
      <c r="O90" s="73"/>
      <c r="P90" s="72"/>
      <c r="Q90" s="73"/>
      <c r="R90" s="72"/>
      <c r="S90" s="73"/>
      <c r="T90" s="72"/>
      <c r="U90" s="73"/>
      <c r="V90" s="72"/>
      <c r="W90" s="73"/>
      <c r="X90" s="72"/>
      <c r="Y90" s="73"/>
      <c r="Z90" s="72"/>
      <c r="AA90" s="73"/>
      <c r="AB90" s="72"/>
      <c r="AC90" s="73"/>
      <c r="AD90" s="72"/>
      <c r="AE90" s="73"/>
      <c r="AF90" s="72"/>
      <c r="AG90" s="73"/>
      <c r="AH90" s="72"/>
      <c r="AI90" s="73"/>
      <c r="AJ90" s="72"/>
      <c r="AK90" s="73"/>
      <c r="AL90" s="72"/>
      <c r="AM90" s="73"/>
      <c r="AN90" s="72"/>
      <c r="AO90" s="73"/>
      <c r="AP90" s="72"/>
      <c r="AQ90" s="73"/>
      <c r="AR90" s="72"/>
      <c r="AS90" s="73"/>
      <c r="AT90" s="72"/>
      <c r="AU90" s="73"/>
      <c r="AV90" s="72"/>
      <c r="AW90" s="73"/>
      <c r="AX90" s="72"/>
      <c r="AY90" s="73"/>
      <c r="AZ90" s="72"/>
      <c r="BA90" s="73"/>
      <c r="BB90" s="72"/>
      <c r="BC90" s="73"/>
      <c r="BD90" s="72"/>
      <c r="BE90" s="73"/>
      <c r="BF90" s="72"/>
      <c r="BG90" s="73"/>
      <c r="BH90" s="72"/>
      <c r="BI90" s="73"/>
      <c r="BJ90" s="72"/>
      <c r="BK90" s="73"/>
      <c r="BL90" s="72"/>
      <c r="BM90" s="73"/>
      <c r="BN90" s="72"/>
      <c r="BO90" s="73"/>
      <c r="BP90" s="72"/>
      <c r="BQ90" s="73"/>
      <c r="BR90" s="72"/>
      <c r="BS90" s="73"/>
      <c r="BT90" s="72"/>
      <c r="BU90" s="73"/>
      <c r="BV90" s="72"/>
      <c r="BW90" s="73"/>
      <c r="BX90" s="72"/>
      <c r="BY90" s="73"/>
      <c r="BZ90" s="72"/>
      <c r="CA90" s="73"/>
      <c r="CB90" s="72"/>
      <c r="CC90" s="73"/>
      <c r="CD90" s="72"/>
      <c r="CE90" s="73"/>
      <c r="CF90" s="72"/>
      <c r="CG90" s="73"/>
      <c r="CH90" s="72"/>
      <c r="CI90" s="73"/>
      <c r="CJ90" s="72"/>
      <c r="CK90" s="73"/>
      <c r="CL90" s="72"/>
      <c r="CM90" s="73"/>
      <c r="CN90" s="72"/>
      <c r="CO90" s="73"/>
      <c r="CP90" s="72"/>
      <c r="CQ90" s="73"/>
      <c r="CR90" s="72"/>
      <c r="CS90" s="73"/>
      <c r="CT90" s="72"/>
      <c r="CU90" s="73"/>
      <c r="CV90" s="72"/>
      <c r="CW90" s="73"/>
      <c r="CX90" s="72"/>
      <c r="CY90" s="73"/>
      <c r="CZ90" s="72"/>
      <c r="DA90" s="73"/>
      <c r="DB90" s="72"/>
      <c r="DC90" s="73"/>
      <c r="DD90" s="72"/>
      <c r="DE90" s="73"/>
      <c r="DF90" s="72"/>
      <c r="DG90" s="73"/>
      <c r="DH90" s="72"/>
      <c r="DI90" s="73"/>
      <c r="DJ90" s="72"/>
      <c r="DK90" s="73"/>
      <c r="DL90" s="72"/>
      <c r="DM90" s="73"/>
      <c r="DN90" s="72"/>
      <c r="DO90" s="73"/>
      <c r="DP90" s="72"/>
      <c r="DQ90" s="73"/>
      <c r="DR90" s="72"/>
      <c r="DS90" s="73"/>
      <c r="DT90" s="72"/>
      <c r="DU90" s="73"/>
      <c r="DV90" s="72"/>
      <c r="DW90" s="73"/>
      <c r="DX90" s="72"/>
      <c r="DY90" s="73"/>
      <c r="DZ90" s="72"/>
      <c r="EA90" s="73"/>
      <c r="EB90" s="72"/>
      <c r="EC90" s="73"/>
      <c r="ED90" s="72"/>
      <c r="EE90" s="73"/>
      <c r="EF90" s="72"/>
      <c r="EG90" s="73"/>
      <c r="EH90" s="72"/>
      <c r="EI90" s="73"/>
      <c r="EJ90" s="72"/>
      <c r="EK90" s="73"/>
      <c r="EL90" s="72"/>
      <c r="EM90" s="73"/>
      <c r="EN90" s="72"/>
      <c r="EO90" s="73"/>
      <c r="EP90" s="72"/>
      <c r="EQ90" s="73"/>
      <c r="ER90" s="72"/>
      <c r="ES90" s="73"/>
      <c r="ET90" s="72"/>
      <c r="EU90" s="73"/>
      <c r="EV90" s="72"/>
      <c r="EW90" s="73"/>
      <c r="EX90" s="72"/>
      <c r="EY90" s="72"/>
      <c r="EZ90" s="309"/>
      <c r="FA90" s="72"/>
      <c r="FB90" s="73"/>
      <c r="FC90" s="72"/>
      <c r="FD90" s="73"/>
      <c r="FE90" s="72"/>
      <c r="FF90" s="73"/>
      <c r="FG90" s="72"/>
      <c r="FH90" s="73"/>
      <c r="FI90" s="72"/>
      <c r="FJ90" s="73"/>
      <c r="FK90" s="72"/>
      <c r="FL90" s="73"/>
      <c r="FM90" s="72"/>
      <c r="FN90" s="73"/>
      <c r="FO90" s="72"/>
      <c r="FP90" s="73"/>
      <c r="FQ90" s="72"/>
      <c r="FR90" s="73"/>
      <c r="FS90" s="72"/>
      <c r="FT90" s="73"/>
      <c r="FU90" s="72"/>
      <c r="FV90" s="73"/>
      <c r="FW90" s="72"/>
      <c r="FX90" s="73"/>
      <c r="FY90" s="72"/>
      <c r="FZ90" s="73"/>
      <c r="GA90" s="72"/>
      <c r="GB90" s="73"/>
      <c r="GC90" s="72"/>
      <c r="GD90" s="73"/>
      <c r="GE90" s="72"/>
      <c r="GF90" s="73"/>
      <c r="GG90" s="72"/>
      <c r="GH90" s="73"/>
      <c r="GI90" s="72"/>
      <c r="GJ90" s="73"/>
      <c r="GK90" s="72"/>
      <c r="GL90" s="73"/>
      <c r="GM90" s="72"/>
      <c r="GN90" s="73"/>
      <c r="GO90" s="72"/>
      <c r="GP90" s="73"/>
      <c r="GQ90" s="72"/>
      <c r="GR90" s="73"/>
      <c r="GS90" s="72"/>
      <c r="GT90" s="73"/>
      <c r="GU90" s="72"/>
      <c r="GV90" s="73"/>
      <c r="GW90" s="72"/>
      <c r="GX90" s="73"/>
      <c r="GY90" s="72"/>
      <c r="GZ90" s="72"/>
      <c r="HA90" s="72"/>
      <c r="HB90" s="72"/>
      <c r="HC90"/>
      <c r="HD90"/>
      <c r="HE90"/>
      <c r="HF90"/>
      <c r="HG90"/>
      <c r="HH90"/>
      <c r="HI90" s="2"/>
    </row>
    <row r="91" spans="1:217" s="3" customFormat="1" ht="12.75" customHeight="1" x14ac:dyDescent="0.2">
      <c r="B91" s="76" t="s">
        <v>626</v>
      </c>
      <c r="C91" s="81">
        <f>-C84/C83*100</f>
        <v>27.551020408163261</v>
      </c>
      <c r="D91" s="72"/>
      <c r="E91" s="81">
        <f>-E84/E83*100</f>
        <v>14.563106796116504</v>
      </c>
      <c r="F91" s="72"/>
      <c r="G91" s="81">
        <f>-G84/G83*100</f>
        <v>-4.8192771084337354</v>
      </c>
      <c r="H91" s="72"/>
      <c r="I91" s="81">
        <f>-I84/I83*100</f>
        <v>-38.15789473684211</v>
      </c>
      <c r="J91" s="72"/>
      <c r="K91" s="81">
        <f>-K84/K83*100</f>
        <v>-20.547945205479451</v>
      </c>
      <c r="L91" s="72" t="str">
        <f>IF(ISERROR(K91/C91),"NA",IF(OR(K91/C91&gt;2,K91/C91&lt;0.5),"NM",K91/C91*100-100))</f>
        <v>NM</v>
      </c>
      <c r="M91" s="81">
        <f>-M84/M83*100</f>
        <v>3.9473684210526314</v>
      </c>
      <c r="N91" s="72" t="str">
        <f>IF(ISERROR(M91/E91),"NA",IF(OR(M91/E91&gt;2,M91/E91&lt;0.5),"NM",M91/E91*100-100))</f>
        <v>NM</v>
      </c>
      <c r="O91" s="81">
        <f>-O84/O83*100</f>
        <v>-39.705882352941174</v>
      </c>
      <c r="P91" s="72" t="str">
        <f>IF(ISERROR(O91/G91),"NA",IF(OR(O91/G91&gt;2,O91/G91&lt;0.5),"NM",O91/G91*100-100))</f>
        <v>NM</v>
      </c>
      <c r="Q91" s="81">
        <f>-Q84/Q83*100</f>
        <v>5.7142857142857144</v>
      </c>
      <c r="R91" s="72" t="str">
        <f>IF(ISERROR(Q91/I91),"NA",IF(OR(Q91/I91&gt;2,Q91/I91&lt;0.5),"NM",Q91/I91*100-100))</f>
        <v>NM</v>
      </c>
      <c r="S91" s="81">
        <f>-S84/S83*100</f>
        <v>7.1428571428571423</v>
      </c>
      <c r="T91" s="72" t="str">
        <f>IF(ISERROR(S91/K91),"NA",IF(OR(S91/K91&gt;2,S91/K91&lt;0.5),"NM",S91/K91*100-100))</f>
        <v>NM</v>
      </c>
      <c r="U91" s="81">
        <f>-U84/U83*100</f>
        <v>-44.871794871794876</v>
      </c>
      <c r="V91" s="72" t="str">
        <f>IF(ISERROR(U91/M91),"NA",IF(OR(U91/M91&gt;2,U91/M91&lt;0.5),"NM",U91/M91*100-100))</f>
        <v>NM</v>
      </c>
      <c r="W91" s="81">
        <f>-W84/W83*100</f>
        <v>-88.75</v>
      </c>
      <c r="X91" s="72" t="str">
        <f>IF(ISERROR(W91/O91),"NA",IF(OR(W91/O91&gt;2,W91/O91&lt;0.5),"NM",W91/O91*100-100))</f>
        <v>NM</v>
      </c>
      <c r="Y91" s="81">
        <f>-Y84/Y83*100</f>
        <v>3.1746031746031744</v>
      </c>
      <c r="Z91" s="72">
        <f>IF(ISERROR(Y91/Q91),"NA",IF(OR(Y91/Q91&gt;2,Y91/Q91&lt;0.5),"NM",Y91/Q91*100-100))</f>
        <v>-44.44444444444445</v>
      </c>
      <c r="AA91" s="81">
        <f>-AA84/AA83*100</f>
        <v>15.151515151515152</v>
      </c>
      <c r="AB91" s="72" t="str">
        <f>IF(ISERROR(AA91/S91),"NA",IF(OR(AA91/S91&gt;2,AA91/S91&lt;0.5),"NM",AA91/S91*100-100))</f>
        <v>NM</v>
      </c>
      <c r="AC91" s="81">
        <f>-AC84/AC83*100</f>
        <v>28.846153846153843</v>
      </c>
      <c r="AD91" s="72" t="str">
        <f>IF(ISERROR(AC91/U91),"NA",IF(OR(AC91/U91&gt;2,AC91/U91&lt;0.5),"NM",AC91/U91*100-100))</f>
        <v>NM</v>
      </c>
      <c r="AE91" s="81">
        <f>-AE84/AE83*100</f>
        <v>31.794871794871792</v>
      </c>
      <c r="AF91" s="72" t="str">
        <f>IF(ISERROR(AE91/W91),"NA",IF(OR(AE91/W91&gt;2,AE91/W91&lt;0.5),"NM",AE91/W91*100-100))</f>
        <v>NM</v>
      </c>
      <c r="AG91" s="81">
        <f>-AG84/AG83*100</f>
        <v>49.75845410628019</v>
      </c>
      <c r="AH91" s="72" t="str">
        <f>IF(ISERROR(AG91/Y91),"NA",IF(OR(AG91/Y91&gt;2,AG91/Y91&lt;0.5),"NM",AG91/Y91*100-100))</f>
        <v>NM</v>
      </c>
      <c r="AI91" s="81">
        <f>-AI84/AI83*100</f>
        <v>29.326923076923077</v>
      </c>
      <c r="AJ91" s="72">
        <f>IF(ISERROR(AI91/AA91),"NA",IF(OR(AI91/AA91&gt;2,AI91/AA91&lt;0.5),"NM",AI91/AA91*100-100))</f>
        <v>93.557692307692292</v>
      </c>
      <c r="AK91" s="81">
        <f>-AK84/AK83*100</f>
        <v>27.27272727272727</v>
      </c>
      <c r="AL91" s="72">
        <f>IF(ISERROR(AK91/AC91),"NA",IF(OR(AK91/AC91&gt;2,AK91/AC91&lt;0.5),"NM",AK91/AC91*100-100))</f>
        <v>-5.4545454545454533</v>
      </c>
      <c r="AM91" s="81">
        <f>-AM84/AM83*100</f>
        <v>20.418848167539267</v>
      </c>
      <c r="AN91" s="72">
        <f>IF(ISERROR(AM91/AE91),"NA",IF(OR(AM91/AE91&gt;2,AM91/AE91&lt;0.5),"NM",AM91/AE91*100-100))</f>
        <v>-35.779429150481334</v>
      </c>
      <c r="AO91" s="81">
        <f>-AO84/AO83*100</f>
        <v>34.975369458128078</v>
      </c>
      <c r="AP91" s="72">
        <f>IF(ISERROR(AO91/AG91),"NA",IF(OR(AO91/AG91&gt;2,AO91/AG91&lt;0.5),"NM",AO91/AG91*100-100))</f>
        <v>-29.70969438997561</v>
      </c>
      <c r="AQ91" s="81">
        <f>-AQ84/AQ83*100</f>
        <v>14.356435643564355</v>
      </c>
      <c r="AR91" s="72" t="str">
        <f>IF(ISERROR(AQ91/AI91),"NA",IF(OR(AQ91/AI91&gt;2,AQ91/AI91&lt;0.5),"NM",AQ91/AI91*100-100))</f>
        <v>NM</v>
      </c>
      <c r="AS91" s="81">
        <f>-AS84/AS83*100</f>
        <v>26.160337552742618</v>
      </c>
      <c r="AT91" s="72">
        <f>IF(ISERROR(AS91/AK91),"NA",IF(OR(AS91/AK91&gt;2,AS91/AK91&lt;0.5),"NM",AS91/AK91*100-100))</f>
        <v>-4.0787623066104004</v>
      </c>
      <c r="AU91" s="81">
        <f>-AU84/AU83*100</f>
        <v>32.53012048192771</v>
      </c>
      <c r="AV91" s="72">
        <f>IF(ISERROR(AU91/AM91),"NA",IF(OR(AU91/AM91&gt;2,AU91/AM91&lt;0.5),"NM",AU91/AM91*100-100))</f>
        <v>59.31417979610751</v>
      </c>
      <c r="AW91" s="81">
        <f>-AW84/AW83*100</f>
        <v>32.067510548523209</v>
      </c>
      <c r="AX91" s="72">
        <f>IF(ISERROR(AW91/AO91),"NA",IF(OR(AW91/AO91&gt;2,AW91/AO91&lt;0.5),"NM",AW91/AO91*100-100))</f>
        <v>-8.3140191359125026</v>
      </c>
      <c r="AY91" s="81">
        <f>-AY84/AY83*100</f>
        <v>24.313725490196077</v>
      </c>
      <c r="AZ91" s="72">
        <f>IF(ISERROR(AY91/AQ91),"NA",IF(OR(AY91/AQ91&gt;2,AY91/AQ91&lt;0.5),"NM",AY91/AQ91*100-100))</f>
        <v>69.357674104124413</v>
      </c>
      <c r="BA91" s="81">
        <f>-BA84/BA83*100</f>
        <v>28.771929824561404</v>
      </c>
      <c r="BB91" s="72">
        <f>IF(ISERROR(BA91/AS91),"NA",IF(OR(BA91/AS91&gt;2,BA91/AS91&lt;0.5),"NM",BA91/AS91*100-100))</f>
        <v>9.9830220713073032</v>
      </c>
      <c r="BC91" s="81">
        <f>-BC84/BC83*100</f>
        <v>32.1875</v>
      </c>
      <c r="BD91" s="72">
        <f>IF(ISERROR(BC91/AU91),"NA",IF(OR(BC91/AU91&gt;2,BC91/AU91&lt;0.5),"NM",BC91/AU91*100-100))</f>
        <v>-1.0532407407407334</v>
      </c>
      <c r="BE91" s="81">
        <f>-BE84/BE83*100</f>
        <v>24.207492795389047</v>
      </c>
      <c r="BF91" s="72">
        <f>IF(ISERROR(BE91/AW91),"NA",IF(OR(BE91/AW91&gt;2,BE91/AW91&lt;0.5),"NM",BE91/AW91*100-100))</f>
        <v>-24.510844835431527</v>
      </c>
      <c r="BG91" s="81">
        <f>-BG84/BG83*100</f>
        <v>22.408963585434176</v>
      </c>
      <c r="BH91" s="72">
        <f>IF(ISERROR(BG91/AY91),"NA",IF(OR(BG91/AY91&gt;2,BG91/AY91&lt;0.5),"NM",BG91/AY91*100-100))</f>
        <v>-7.8341013824884698</v>
      </c>
      <c r="BI91" s="81">
        <f>-BI84/BI83*100</f>
        <v>24.538258575197887</v>
      </c>
      <c r="BJ91" s="72">
        <f>IF(ISERROR(BI91/BA91),"NA",IF(OR(BI91/BA91&gt;2,BI91/BA91&lt;0.5),"NM",BI91/BA91*100-100))</f>
        <v>-14.714589098397596</v>
      </c>
      <c r="BK91" s="81">
        <f>-BK84/BK83*100</f>
        <v>23.834196891191709</v>
      </c>
      <c r="BL91" s="72">
        <f>IF(ISERROR(BK91/BC91),"NA",IF(OR(BK91/BC91&gt;2,BK91/BC91&lt;0.5),"NM",BK91/BC91*100-100))</f>
        <v>-25.952009658433525</v>
      </c>
      <c r="BM91" s="81">
        <f>-BM84/BM83*100</f>
        <v>25.879396984924625</v>
      </c>
      <c r="BN91" s="72">
        <f>IF(ISERROR(BM91/BE91),"NA",IF(OR(BM91/BE91&gt;2,BM91/BE91&lt;0.5),"NM",BM91/BE91*100-100))</f>
        <v>6.9065565924862398</v>
      </c>
      <c r="BO91" s="81">
        <f>-BO84/BO83*100</f>
        <v>26.954177897574123</v>
      </c>
      <c r="BP91" s="72">
        <f>IF(ISERROR(BO91/BG91),"NA",IF(OR(BO91/BG91&gt;2,BO91/BG91&lt;0.5),"NM",BO91/BG91*100-100))</f>
        <v>20.283018867924511</v>
      </c>
      <c r="BQ91" s="81">
        <f>-BQ84/BQ83*100</f>
        <v>21.823204419889503</v>
      </c>
      <c r="BR91" s="72">
        <f>IF(ISERROR(BQ91/BI91),"NA",IF(OR(BQ91/BI91&gt;2,BQ91/BI91&lt;0.5),"NM",BQ91/BI91*100-100))</f>
        <v>-11.064575536149221</v>
      </c>
      <c r="BS91" s="81">
        <f>-BS84/BS83*100</f>
        <v>7.7134986225895315</v>
      </c>
      <c r="BT91" s="72" t="str">
        <f>IF(ISERROR(BS91/BK91),"NA",IF(OR(BS91/BK91&gt;2,BS91/BK91&lt;0.5),"NM",BS91/BK91*100-100))</f>
        <v>NM</v>
      </c>
      <c r="BU91" s="81">
        <f>-BU84/BU83*100</f>
        <v>1.6152716593245229</v>
      </c>
      <c r="BV91" s="72" t="str">
        <f>IF(ISERROR(BU91/BM91),"NA",IF(OR(BU91/BM91&gt;2,BU91/BM91&lt;0.5),"NM",BU91/BM91*100-100))</f>
        <v>NM</v>
      </c>
      <c r="BW91" s="81">
        <f>-BW84/BW83*100</f>
        <v>7.9452054794520555</v>
      </c>
      <c r="BX91" s="72" t="str">
        <f>IF(ISERROR(BW91/BO91),"NA",IF(OR(BW91/BO91&gt;2,BW91/BO91&lt;0.5),"NM",BW91/BO91*100-100))</f>
        <v>NM</v>
      </c>
      <c r="BY91" s="81">
        <f>-BY84/BY83*100</f>
        <v>61.95652173913043</v>
      </c>
      <c r="BZ91" s="72" t="str">
        <f>IF(ISERROR(BY91/BQ91),"NA",IF(OR(BY91/BQ91&gt;2,BY91/BQ91&lt;0.5),"NM",BY91/BQ91*100-100))</f>
        <v>NM</v>
      </c>
      <c r="CA91" s="81">
        <f>-CA84/CA83*100</f>
        <v>48.944337811900191</v>
      </c>
      <c r="CB91" s="72" t="str">
        <f>IF(ISERROR(CA91/BS91),"NA",IF(OR(CA91/BS91&gt;2,CA91/BS91&lt;0.5),"NM",CA91/BS91*100-100))</f>
        <v>NM</v>
      </c>
      <c r="CC91" s="81">
        <f>-CC84/CC83*100</f>
        <v>40.08097165991903</v>
      </c>
      <c r="CD91" s="72" t="str">
        <f>IF(ISERROR(CC91/BU91),"NA",IF(OR(CC91/BU91&gt;2,CC91/BU91&lt;0.5),"NM",CC91/BU91*100-100))</f>
        <v>NM</v>
      </c>
      <c r="CE91" s="81">
        <f>-CE84/CE83*100</f>
        <v>32.987551867219914</v>
      </c>
      <c r="CF91" s="72" t="str">
        <f>IF(ISERROR(CE91/BW91),"NA",IF(OR(CE91/BW91&gt;2,CE91/BW91&lt;0.5),"NM",CE91/BW91*100-100))</f>
        <v>NM</v>
      </c>
      <c r="CG91" s="81">
        <f>-CG84/CG83*100</f>
        <v>21.172022684310019</v>
      </c>
      <c r="CH91" s="72" t="str">
        <f>IF(ISERROR(CG91/BY91),"NA",IF(OR(CG91/BY91&gt;2,CG91/BY91&lt;0.5),"NM",CG91/BY91*100-100))</f>
        <v>NM</v>
      </c>
      <c r="CI91" s="81">
        <f>-CI84/CI83*100</f>
        <v>63.878326996197721</v>
      </c>
      <c r="CJ91" s="72">
        <f>IF(ISERROR(CI91/CA91),"NA",IF(OR(CI91/CA91&gt;2,CI91/CA91&lt;0.5),"NM",CI91/CA91*100-100))</f>
        <v>30.512189666741222</v>
      </c>
      <c r="CK91" s="81">
        <f>-CK84/CK83*100</f>
        <v>39.968152866242043</v>
      </c>
      <c r="CL91" s="72">
        <f>IF(ISERROR(CK91/CC91),"NA",IF(OR(CK91/CC91&gt;2,CK91/CC91&lt;0.5),"NM",CK91/CC91*100-100))</f>
        <v>-0.28147719230521773</v>
      </c>
      <c r="CM91" s="81">
        <f>-CM84/CM83*100</f>
        <v>39.517345399698343</v>
      </c>
      <c r="CN91" s="72">
        <f>IF(ISERROR(CM91/CE91),"NA",IF(OR(CM91/CE91&gt;2,CM91/CE91&lt;0.5),"NM",CM91/CE91*100-100))</f>
        <v>19.794720016695621</v>
      </c>
      <c r="CO91" s="81">
        <f>-CO84/CO83*100</f>
        <v>18.705035971223023</v>
      </c>
      <c r="CP91" s="72">
        <f>IF(ISERROR(CO91/CG91),"NA",IF(OR(CO91/CG91&gt;2,CO91/CG91&lt;0.5),"NM",CO91/CG91*100-100))</f>
        <v>-11.652106885919835</v>
      </c>
      <c r="CQ91" s="81">
        <f>-CQ84/CQ83*100</f>
        <v>-0.54249547920433994</v>
      </c>
      <c r="CR91" s="72" t="str">
        <f>IF(ISERROR(CQ91/CI91),"NA",IF(OR(CQ91/CI91&gt;2,CQ91/CI91&lt;0.5),"NM",CQ91/CI91*100-100))</f>
        <v>NM</v>
      </c>
      <c r="CS91" s="81">
        <f>-CS84/CS83*100</f>
        <v>25.364963503649633</v>
      </c>
      <c r="CT91" s="72">
        <f>IF(ISERROR(CS91/CK91),"NA",IF(OR(CS91/CK91&gt;2,CS91/CK91&lt;0.5),"NM",CS91/CK91*100-100))</f>
        <v>-36.537063425131599</v>
      </c>
      <c r="CU91" s="81">
        <f>-CU84/CU83*100</f>
        <v>27.768595041322314</v>
      </c>
      <c r="CV91" s="72">
        <f>IF(ISERROR(CU91/CM91),"NA",IF(OR(CU91/CM91&gt;2,CU91/CM91&lt;0.5),"NM",CU91/CM91*100-100))</f>
        <v>-29.730616364898125</v>
      </c>
      <c r="CW91" s="81">
        <f>-CW84/CW83*100</f>
        <v>18.571428571428573</v>
      </c>
      <c r="CX91" s="72">
        <f>IF(ISERROR(CW91/CO91),"NA",IF(OR(CW91/CO91&gt;2,CW91/CO91&lt;0.5),"NM",CW91/CO91*100-100))</f>
        <v>-0.7142857142857082</v>
      </c>
      <c r="CY91" s="81">
        <f>-CY84/CY83*100</f>
        <v>49.922958397534664</v>
      </c>
      <c r="CZ91" s="72" t="str">
        <f>IF(ISERROR(CY91/CQ91),"NA",IF(OR(CY91/CQ91&gt;2,CY91/CQ91&lt;0.5),"NM",CY91/CQ91*100-100))</f>
        <v>NM</v>
      </c>
      <c r="DA91" s="81">
        <f>-DA84/DA83*100</f>
        <v>11.423841059602649</v>
      </c>
      <c r="DB91" s="72" t="str">
        <f>IF(ISERROR(DA91/CS91),"NA",IF(OR(DA91/CS91&gt;2,DA91/CS91&lt;0.5),"NM",DA91/CS91*100-100))</f>
        <v>NM</v>
      </c>
      <c r="DC91" s="81">
        <f>-DC84/DC83*100</f>
        <v>14.784053156146179</v>
      </c>
      <c r="DD91" s="72">
        <f>IF(ISERROR(DC91/CU91),"NA",IF(OR(DC91/CU91&gt;2,DC91/CU91&lt;0.5),"NM",DC91/CU91*100-100))</f>
        <v>-46.759808574592633</v>
      </c>
      <c r="DE91" s="81">
        <f>-DE84/DE83*100</f>
        <v>0.58365758754863817</v>
      </c>
      <c r="DF91" s="72" t="str">
        <f>IF(ISERROR(DE91/CW91),"NA",IF(OR(DE91/CW91&gt;2,DE91/CW91&lt;0.5),"NM",DE91/CW91*100-100))</f>
        <v>NM</v>
      </c>
      <c r="DG91" s="81">
        <f>-DG84/DG83*100</f>
        <v>43.385214007782103</v>
      </c>
      <c r="DH91" s="72">
        <f>IF(ISERROR(DG91/CY91),"NA",IF(OR(DG91/CY91&gt;2,DG91/CY91&lt;0.5),"NM",DG91/CY91*100-100))</f>
        <v>-13.095667002930284</v>
      </c>
      <c r="DI91" s="81">
        <f>-DI84/DI83*100</f>
        <v>4.7970479704797047</v>
      </c>
      <c r="DJ91" s="72" t="str">
        <f>IF(ISERROR(DI91/DA91),"NA",IF(OR(DI91/DA91&gt;2,DI91/DA91&lt;0.5),"NM",DI91/DA91*100-100))</f>
        <v>NM</v>
      </c>
      <c r="DK91" s="81">
        <f>-DK84/DK83*100</f>
        <v>-1.1627906976744187</v>
      </c>
      <c r="DL91" s="72" t="str">
        <f>IF(ISERROR(DK91/DC91),"NA",IF(OR(DK91/DC91&gt;2,DK91/DC91&lt;0.5),"NM",DK91/DC91*100-100))</f>
        <v>NM</v>
      </c>
      <c r="DM91" s="81">
        <f>-DM84/DM83*100</f>
        <v>0.54347826086956519</v>
      </c>
      <c r="DN91" s="72">
        <f>IF(ISERROR(DM91/DE91),"NA",IF(OR(DM91/DE91&gt;2,DM91/DE91&lt;0.5),"NM",DM91/DE91*100-100))</f>
        <v>-6.8840579710144993</v>
      </c>
      <c r="DO91" s="81">
        <f>-DO84/DO83*100</f>
        <v>-2.5316455696202533</v>
      </c>
      <c r="DP91" s="72" t="str">
        <f>IF(ISERROR(DO91/DG91),"NA",IF(OR(DO91/DG91&gt;2,DO91/DG91&lt;0.5),"NM",DO91/DG91*100-100))</f>
        <v>NM</v>
      </c>
      <c r="DQ91" s="81">
        <f>-DQ84/DQ83*100</f>
        <v>-5</v>
      </c>
      <c r="DR91" s="72" t="str">
        <f>IF(ISERROR(DQ91/DI91),"NA",IF(OR(DQ91/DI91&gt;2,DQ91/DI91&lt;0.5),"NM",DQ91/DI91*100-100))</f>
        <v>NM</v>
      </c>
      <c r="DS91" s="81">
        <f>-DS84/DS83*100</f>
        <v>3.8167938931297711</v>
      </c>
      <c r="DT91" s="72" t="str">
        <f>IF(ISERROR(DS91/DK91),"NA",IF(OR(DS91/DK91&gt;2,DS91/DK91&lt;0.5),"NM",DS91/DK91*100-100))</f>
        <v>NM</v>
      </c>
      <c r="DU91" s="81">
        <f>-DU84/DU83*100</f>
        <v>3.6832412523020261</v>
      </c>
      <c r="DV91" s="72" t="str">
        <f>IF(ISERROR(DU91/DM91),"NA",IF(OR(DU91/DM91&gt;2,DU91/DM91&lt;0.5),"NM",DU91/DM91*100-100))</f>
        <v>NM</v>
      </c>
      <c r="DW91" s="81">
        <f>-DW84/DW83*100</f>
        <v>-11.281070745697896</v>
      </c>
      <c r="DX91" s="72" t="str">
        <f>IF(ISERROR(DW91/DO91),"NA",IF(OR(DW91/DO91&gt;2,DW91/DO91&lt;0.5),"NM",DW91/DO91*100-100))</f>
        <v>NM</v>
      </c>
      <c r="DY91" s="81">
        <f>-DY84/DY83*100</f>
        <v>-3.0360531309297913</v>
      </c>
      <c r="DZ91" s="72">
        <f>IF(ISERROR(DY91/DQ91),"NA",IF(OR(DY91/DQ91&gt;2,DY91/DQ91&lt;0.5),"NM",DY91/DQ91*100-100))</f>
        <v>-39.278937381404177</v>
      </c>
      <c r="EA91" s="81">
        <f>-EA84/EA83*100</f>
        <v>-8.6614173228346463</v>
      </c>
      <c r="EB91" s="72" t="str">
        <f>IF(ISERROR(EA91/DS91),"NA",IF(OR(EA91/DS91&gt;2,EA91/DS91&lt;0.5),"NM",EA91/DS91*100-100))</f>
        <v>NM</v>
      </c>
      <c r="EC91" s="81">
        <f>-EC84/EC83*100</f>
        <v>-0.93109869646182497</v>
      </c>
      <c r="ED91" s="72" t="str">
        <f>IF(ISERROR(EC91/DU91),"NA",IF(OR(EC91/DU91&gt;2,EC91/DU91&lt;0.5),"NM",EC91/DU91*100-100))</f>
        <v>NM</v>
      </c>
      <c r="EE91" s="81">
        <f>-EE84/EE83*100</f>
        <v>3.8240917782026771</v>
      </c>
      <c r="EF91" s="72" t="str">
        <f>IF(ISERROR(EE91/DW91),"NA",IF(OR(EE91/DW91&gt;2,EE91/DW91&lt;0.5),"NM",EE91/DW91*100-100))</f>
        <v>NM</v>
      </c>
      <c r="EG91" s="81">
        <f>-EG84/EG83*100</f>
        <v>-9.0733590733590734</v>
      </c>
      <c r="EH91" s="72" t="str">
        <f>IF(ISERROR(EG91/DY91),"NA",IF(OR(EG91/DY91&gt;2,EG91/DY91&lt;0.5),"NM",EG91/DY91*100-100))</f>
        <v>NM</v>
      </c>
      <c r="EI91" s="81">
        <f>-EI84/EI83*100</f>
        <v>-9.6267190569744603</v>
      </c>
      <c r="EJ91" s="72">
        <f>IF(ISERROR(EI91/EA91),"NA",IF(OR(EI91/EA91&gt;2,EI91/EA91&lt;0.5),"NM",EI91/EA91*100-100))</f>
        <v>11.144847294159675</v>
      </c>
      <c r="EK91" s="81">
        <f>-EK84/EK83*100</f>
        <v>-4.3392504930966469</v>
      </c>
      <c r="EL91" s="72" t="str">
        <f>IF(ISERROR(EK91/EC91),"NA",IF(OR(EK91/EC91&gt;2,EK91/EC91&lt;0.5),"NM",EK91/EC91*100-100))</f>
        <v>NM</v>
      </c>
      <c r="EM91" s="81">
        <f>-EM84/EM83*100</f>
        <v>-9.1093117408906874</v>
      </c>
      <c r="EN91" s="72" t="str">
        <f>IF(ISERROR(EM91/EE91),"NA",IF(OR(EM91/EE91&gt;2,EM91/EE91&lt;0.5),"NM",EM91/EE91*100-100))</f>
        <v>NM</v>
      </c>
      <c r="EO91" s="81">
        <f>-EO84/EO83*100</f>
        <v>-6.3670411985018731</v>
      </c>
      <c r="EP91" s="72">
        <f>IF(ISERROR(EO91/EG91),"NA",IF(OR(EO91/EG91&gt;2,EO91/EG91&lt;0.5),"NM",EO91/EG91*100-100))</f>
        <v>-29.827077854809147</v>
      </c>
      <c r="EQ91" s="86">
        <v>-9.5</v>
      </c>
      <c r="ER91" s="72">
        <f t="shared" ref="ER91" si="564">IF(ISERROR(EQ91/EI91),"NA",IF(OR(EQ91/EI91&gt;2,EQ91/EI91&lt;0.5),"NM",EQ91/EI91*100-100))</f>
        <v>-1.3163265306122582</v>
      </c>
      <c r="ES91" s="86">
        <f t="shared" ref="ES91" si="565">EQ91</f>
        <v>-9.5</v>
      </c>
      <c r="ET91" s="72" t="str">
        <f t="shared" ref="ET91" si="566">IF(ISERROR(ES91/EK91),"NA",IF(OR(ES91/EK91&gt;2,ES91/EK91&lt;0.5),"NM",ES91/EK91*100-100))</f>
        <v>NM</v>
      </c>
      <c r="EU91" s="86">
        <f t="shared" ref="EU91" si="567">ES91</f>
        <v>-9.5</v>
      </c>
      <c r="EV91" s="72">
        <f t="shared" ref="EV91" si="568">IF(ISERROR(EU91/EM91),"NA",IF(OR(EU91/EM91&gt;2,EU91/EM91&lt;0.5),"NM",EU91/EM91*100-100))</f>
        <v>4.2888888888888914</v>
      </c>
      <c r="EW91" s="86">
        <f t="shared" ref="EW91" si="569">EU91</f>
        <v>-9.5</v>
      </c>
      <c r="EX91" s="72">
        <f t="shared" ref="EX91" si="570">IF(ISERROR(EW91/EO91),"NA",IF(OR(EW91/EO91&gt;2,EW91/EO91&lt;0.5),"NM",EW91/EO91*100-100))</f>
        <v>49.20588235294116</v>
      </c>
      <c r="EY91" s="72"/>
      <c r="EZ91" s="309"/>
      <c r="FA91" s="72"/>
      <c r="FB91" s="81">
        <f>-FB84/FB83*100</f>
        <v>22.604422604422606</v>
      </c>
      <c r="FC91" s="82"/>
      <c r="FD91" s="81">
        <f>-FD84/FD83*100</f>
        <v>5.9259259259259265</v>
      </c>
      <c r="FE91" s="72" t="str">
        <f>IF(ISERROR(FD91/FB91),"NA",IF(OR(FD91/FB91&gt;2,FD91/FB91&lt;0.5),"NM",FD91/FB91*100-100))</f>
        <v>NM</v>
      </c>
      <c r="FF91" s="81">
        <f>-FF84/FF83*100</f>
        <v>2.5</v>
      </c>
      <c r="FG91" s="72" t="str">
        <f>IF(ISERROR(FF91/FD91),"NA",IF(OR(FF91/FD91&gt;2,FF91/FD91&lt;0.5),"NM",FF91/FD91*100-100))</f>
        <v>NM</v>
      </c>
      <c r="FH91" s="81">
        <f>-FH84/FH83*100</f>
        <v>-12.195121951219512</v>
      </c>
      <c r="FI91" s="72" t="str">
        <f>IF(ISERROR(FH91/FF91),"NA",IF(OR(FH91/FF91&gt;2,FH91/FF91&lt;0.5),"NM",FH91/FF91*100-100))</f>
        <v>NM</v>
      </c>
      <c r="FJ91" s="81">
        <f>-FJ84/FJ83*100</f>
        <v>-34.020618556701031</v>
      </c>
      <c r="FK91" s="72" t="str">
        <f>IF(ISERROR(FJ91/FH91),"NA",IF(OR(FJ91/FH91&gt;2,FJ91/FH91&lt;0.5),"NM",FJ91/FH91*100-100))</f>
        <v>NM</v>
      </c>
      <c r="FL91" s="81">
        <f>-FL84/FL83*100</f>
        <v>35.256410256410255</v>
      </c>
      <c r="FM91" s="72" t="str">
        <f>IF(ISERROR(FL91/FJ91),"NA",IF(OR(FL91/FJ91&gt;2,FL91/FJ91&lt;0.5),"NM",FL91/FJ91*100-100))</f>
        <v>NM</v>
      </c>
      <c r="FN91" s="81">
        <f>-FN84/FN83*100</f>
        <v>28.113440197287296</v>
      </c>
      <c r="FO91" s="72">
        <f>IF(ISERROR(FN91/FL91),"NA",IF(OR(FN91/FL91&gt;2,FN91/FL91&lt;0.5),"NM",FN91/FL91*100-100))</f>
        <v>-20.260060531330566</v>
      </c>
      <c r="FP91" s="81">
        <f>-FP84/FP83*100</f>
        <v>26.810810810810811</v>
      </c>
      <c r="FQ91" s="72">
        <f>IF(ISERROR(FP91/FN91),"NA",IF(OR(FP91/FN91&gt;2,FP91/FN91&lt;0.5),"NM",FP91/FN91*100-100))</f>
        <v>-4.6334755808439922</v>
      </c>
      <c r="FR91" s="81">
        <f>-FR84/FR83*100</f>
        <v>27.423363711681858</v>
      </c>
      <c r="FS91" s="72">
        <f>IF(ISERROR(FR91/FP91),"NA",IF(OR(FR91/FP91&gt;2,FR91/FP91&lt;0.5),"NM",FR91/FP91*100-100))</f>
        <v>2.2847235213940422</v>
      </c>
      <c r="FT91" s="81">
        <f>-FT84/FT83*100</f>
        <v>24.210526315789473</v>
      </c>
      <c r="FU91" s="72">
        <f>IF(ISERROR(FT91/FR91),"NA",IF(OR(FT91/FR91&gt;2,FT91/FR91&lt;0.5),"NM",FT91/FR91*100-100))</f>
        <v>-11.715694069009402</v>
      </c>
      <c r="FV91" s="81">
        <f>-FV84/FV83*100</f>
        <v>0</v>
      </c>
      <c r="FW91" s="72" t="str">
        <f>IF(ISERROR(FV91/FT91),"NA",IF(OR(FV91/FT91&gt;2,FV91/FT91&lt;0.5),"NM",FV91/FT91*100-100))</f>
        <v>NM</v>
      </c>
      <c r="FX91" s="81">
        <f>-FX84/FX83*100</f>
        <v>35.755148741418765</v>
      </c>
      <c r="FY91" s="72" t="str">
        <f>IF(ISERROR(FX91/FV91),"NA",IF(OR(FX91/FV91&gt;2,FX91/FV91&lt;0.5),"NM",FX91/FV91*100-100))</f>
        <v>NA</v>
      </c>
      <c r="FZ91" s="81">
        <f>-FZ84/FZ83*100</f>
        <v>39.630484988452658</v>
      </c>
      <c r="GA91" s="72">
        <f>IF(ISERROR(FZ91/FX91),"NA",IF(OR(FZ91/FX91&gt;2,FZ91/FX91&lt;0.5),"NM",FZ91/FX91*100-100))</f>
        <v>10.838540415704401</v>
      </c>
      <c r="GB91" s="81">
        <f>-GB84/GB83*100</f>
        <v>21.637931034482758</v>
      </c>
      <c r="GC91" s="72">
        <f>IF(ISERROR(GB91/FZ91),"NA",IF(OR(GB91/FZ91&gt;2,GB91/FZ91&lt;0.5),"NM",GB91/FZ91*100-100))</f>
        <v>-45.400791736998634</v>
      </c>
      <c r="GD91" s="81">
        <f>-GD84/GD83*100</f>
        <v>27.2508038585209</v>
      </c>
      <c r="GE91" s="72">
        <f>IF(ISERROR(GD91/GB91),"NA",IF(OR(GD91/GB91&gt;2,GD91/GB91&lt;0.5),"NM",GD91/GB91*100-100))</f>
        <v>25.939970023443209</v>
      </c>
      <c r="GF91" s="81">
        <f>-GF84/GF83*100</f>
        <v>15.699815837937384</v>
      </c>
      <c r="GG91" s="72">
        <f>IF(ISERROR(GF91/GD91),"NA",IF(OR(GF91/GD91&gt;2,GF91/GD91&lt;0.5),"NM",GF91/GD91*100-100))</f>
        <v>-42.387696453114728</v>
      </c>
      <c r="GH91" s="81">
        <f>-GH84/GH83*100</f>
        <v>-2.0632737276478679</v>
      </c>
      <c r="GI91" s="72" t="str">
        <f t="shared" ref="GI91:GU91" si="571">IF(ISERROR(GH91/GF91),"NA",IF(OR(GH91/GF91&gt;2,GH91/GF91&lt;0.5),"NM",GH91/GF91*100-100))</f>
        <v>NM</v>
      </c>
      <c r="GJ91" s="81">
        <f>-GJ84/GJ83*100</f>
        <v>-1.6532829475673121</v>
      </c>
      <c r="GK91" s="72">
        <f t="shared" si="571"/>
        <v>-19.870886474570938</v>
      </c>
      <c r="GL91" s="81">
        <f>-GL84/GL83*100</f>
        <v>-3.6433365292425699</v>
      </c>
      <c r="GM91" s="72" t="str">
        <f t="shared" si="571"/>
        <v>NM</v>
      </c>
      <c r="GN91" s="81">
        <f>-GN84/GN83*100</f>
        <v>-7.3385518590998036</v>
      </c>
      <c r="GO91" s="72" t="str">
        <f t="shared" si="571"/>
        <v>NM</v>
      </c>
      <c r="GP91" s="81">
        <f>-GP84/GP83*100</f>
        <v>-9.4999999999999982</v>
      </c>
      <c r="GQ91" s="72">
        <f t="shared" si="571"/>
        <v>29.453333333333319</v>
      </c>
      <c r="GR91" s="86">
        <f>GP91</f>
        <v>-9.4999999999999982</v>
      </c>
      <c r="GS91" s="72">
        <f t="shared" si="571"/>
        <v>0</v>
      </c>
      <c r="GT91" s="86">
        <f>GR91</f>
        <v>-9.4999999999999982</v>
      </c>
      <c r="GU91" s="72">
        <f t="shared" si="571"/>
        <v>0</v>
      </c>
      <c r="GV91" s="86">
        <f>GT91</f>
        <v>-9.4999999999999982</v>
      </c>
      <c r="GW91" s="72">
        <f>IF(ISERROR(GV91/GT91),"NA",IF(OR(GV91/GT91&gt;2,GV91/GT91&lt;0.5),"NM",GV91/GT91*100-100))</f>
        <v>0</v>
      </c>
      <c r="GX91" s="86">
        <f>GV91</f>
        <v>-9.4999999999999982</v>
      </c>
      <c r="GY91" s="72">
        <f>IF(ISERROR(GX91/GV91),"NA",IF(OR(GX91/GV91&gt;2,GX91/GV91&lt;0.5),"NM",GX91/GV91*100-100))</f>
        <v>0</v>
      </c>
      <c r="GZ91" s="72">
        <f>IF(ISERROR(((GX91/GN91)^0.2-1)*100),"NA",IF((((GX91/GN91)^0.2-1)*100)&gt;100,"NM",IF((((GX91/GN91)^0.2-1)*100)&lt;-50,"NM",((GX91/GN91)^0.2-1)*100)))</f>
        <v>5.2986122412075343</v>
      </c>
      <c r="HA91" s="72"/>
      <c r="HB91" s="72"/>
      <c r="HC91"/>
      <c r="HD91"/>
      <c r="HE91"/>
      <c r="HF91"/>
      <c r="HG91"/>
      <c r="HH91"/>
      <c r="HI91" s="2"/>
    </row>
    <row r="92" spans="1:217" s="3" customFormat="1" ht="12.75" customHeight="1" x14ac:dyDescent="0.2">
      <c r="B92" s="76"/>
      <c r="C92" s="73"/>
      <c r="D92" s="72"/>
      <c r="E92" s="73"/>
      <c r="F92" s="72"/>
      <c r="G92" s="73"/>
      <c r="H92" s="72"/>
      <c r="I92" s="73"/>
      <c r="J92" s="72"/>
      <c r="K92" s="73"/>
      <c r="L92" s="72"/>
      <c r="M92" s="73"/>
      <c r="N92" s="72"/>
      <c r="O92" s="73"/>
      <c r="P92" s="72"/>
      <c r="Q92" s="73"/>
      <c r="R92" s="72"/>
      <c r="S92" s="73"/>
      <c r="T92" s="72"/>
      <c r="U92" s="73"/>
      <c r="V92" s="72"/>
      <c r="W92" s="73"/>
      <c r="X92" s="72"/>
      <c r="Y92" s="73"/>
      <c r="Z92" s="72"/>
      <c r="AA92" s="73"/>
      <c r="AB92" s="72"/>
      <c r="AC92" s="73"/>
      <c r="AD92" s="72"/>
      <c r="AE92" s="73"/>
      <c r="AF92" s="72"/>
      <c r="AG92" s="73"/>
      <c r="AH92" s="72"/>
      <c r="AI92" s="73"/>
      <c r="AJ92" s="72"/>
      <c r="AK92" s="73"/>
      <c r="AL92" s="72"/>
      <c r="AM92" s="73"/>
      <c r="AN92" s="72"/>
      <c r="AO92" s="73"/>
      <c r="AP92" s="72"/>
      <c r="AQ92" s="73"/>
      <c r="AR92" s="72"/>
      <c r="AS92" s="73"/>
      <c r="AT92" s="72"/>
      <c r="AU92" s="73"/>
      <c r="AV92" s="72"/>
      <c r="AW92" s="73"/>
      <c r="AX92" s="72"/>
      <c r="AY92" s="73"/>
      <c r="AZ92" s="72"/>
      <c r="BA92" s="73"/>
      <c r="BB92" s="72"/>
      <c r="BC92" s="73"/>
      <c r="BD92" s="72"/>
      <c r="BE92" s="73"/>
      <c r="BF92" s="72"/>
      <c r="BG92" s="73"/>
      <c r="BH92" s="72"/>
      <c r="BI92" s="73"/>
      <c r="BJ92" s="72"/>
      <c r="BK92" s="73"/>
      <c r="BL92" s="72"/>
      <c r="BM92" s="73"/>
      <c r="BN92" s="72"/>
      <c r="BO92" s="73"/>
      <c r="BP92" s="72"/>
      <c r="BQ92" s="73"/>
      <c r="BR92" s="72"/>
      <c r="BS92" s="73"/>
      <c r="BT92" s="72"/>
      <c r="BU92" s="73"/>
      <c r="BV92" s="72"/>
      <c r="BW92" s="73"/>
      <c r="BX92" s="72"/>
      <c r="BY92" s="73"/>
      <c r="BZ92" s="72"/>
      <c r="CA92" s="73"/>
      <c r="CB92" s="72"/>
      <c r="CC92" s="73"/>
      <c r="CD92" s="72"/>
      <c r="CE92" s="73"/>
      <c r="CF92" s="72"/>
      <c r="CG92" s="73"/>
      <c r="CH92" s="72"/>
      <c r="CI92" s="73"/>
      <c r="CJ92" s="72"/>
      <c r="CK92" s="73"/>
      <c r="CL92" s="72"/>
      <c r="CM92" s="73"/>
      <c r="CN92" s="72"/>
      <c r="CO92" s="73"/>
      <c r="CP92" s="72"/>
      <c r="CQ92" s="73"/>
      <c r="CR92" s="72"/>
      <c r="CS92" s="73"/>
      <c r="CT92" s="72"/>
      <c r="CU92" s="73"/>
      <c r="CV92" s="72"/>
      <c r="CW92" s="73"/>
      <c r="CX92" s="72"/>
      <c r="CY92" s="73"/>
      <c r="CZ92" s="72"/>
      <c r="DA92" s="73"/>
      <c r="DB92" s="72"/>
      <c r="DC92" s="73"/>
      <c r="DD92" s="72"/>
      <c r="DE92" s="73"/>
      <c r="DF92" s="72"/>
      <c r="DG92" s="73"/>
      <c r="DH92" s="72"/>
      <c r="DI92" s="73"/>
      <c r="DJ92" s="72"/>
      <c r="DK92" s="73"/>
      <c r="DL92" s="72"/>
      <c r="DM92" s="73"/>
      <c r="DN92" s="72"/>
      <c r="DO92" s="73"/>
      <c r="DP92" s="72"/>
      <c r="DQ92" s="73"/>
      <c r="DR92" s="72"/>
      <c r="DS92" s="73"/>
      <c r="DT92" s="72"/>
      <c r="DU92" s="73"/>
      <c r="DV92" s="72"/>
      <c r="DW92" s="73"/>
      <c r="DX92" s="72"/>
      <c r="DY92" s="73"/>
      <c r="DZ92" s="72"/>
      <c r="EA92" s="73"/>
      <c r="EB92" s="72"/>
      <c r="EC92" s="73"/>
      <c r="ED92" s="72"/>
      <c r="EE92" s="73"/>
      <c r="EF92" s="72"/>
      <c r="EG92" s="73"/>
      <c r="EH92" s="72"/>
      <c r="EI92" s="73"/>
      <c r="EJ92" s="72"/>
      <c r="EK92" s="73"/>
      <c r="EL92" s="72"/>
      <c r="EM92" s="73"/>
      <c r="EN92" s="72"/>
      <c r="EO92" s="73"/>
      <c r="EP92" s="72"/>
      <c r="EQ92" s="73"/>
      <c r="ER92" s="72"/>
      <c r="ES92" s="73"/>
      <c r="ET92" s="72"/>
      <c r="EU92" s="73"/>
      <c r="EV92" s="72"/>
      <c r="EW92" s="73"/>
      <c r="EX92" s="72"/>
      <c r="EY92" s="72"/>
      <c r="EZ92" s="309"/>
      <c r="FA92" s="72"/>
      <c r="FB92" s="73"/>
      <c r="FC92" s="72"/>
      <c r="FD92" s="73"/>
      <c r="FE92" s="72"/>
      <c r="FF92" s="73"/>
      <c r="FG92" s="72"/>
      <c r="FH92" s="73"/>
      <c r="FI92" s="72"/>
      <c r="FJ92" s="73"/>
      <c r="FK92" s="72"/>
      <c r="FL92" s="73"/>
      <c r="FM92" s="72"/>
      <c r="FN92" s="73"/>
      <c r="FO92" s="72"/>
      <c r="FP92" s="71"/>
      <c r="FQ92" s="72"/>
      <c r="FR92" s="73"/>
      <c r="FS92" s="72"/>
      <c r="FT92" s="73"/>
      <c r="FU92" s="72"/>
      <c r="FV92" s="73"/>
      <c r="FW92" s="72"/>
      <c r="FX92" s="75"/>
      <c r="FY92" s="72"/>
      <c r="FZ92" s="73"/>
      <c r="GA92" s="72"/>
      <c r="GB92" s="73"/>
      <c r="GC92" s="72"/>
      <c r="GD92" s="73"/>
      <c r="GE92" s="72"/>
      <c r="GF92" s="73"/>
      <c r="GG92" s="72"/>
      <c r="GH92" s="73"/>
      <c r="GI92" s="72"/>
      <c r="GJ92" s="73"/>
      <c r="GK92" s="72"/>
      <c r="GL92" s="73"/>
      <c r="GM92" s="72"/>
      <c r="GN92" s="73"/>
      <c r="GO92" s="72"/>
      <c r="GP92" s="73"/>
      <c r="GQ92" s="72"/>
      <c r="GR92" s="73"/>
      <c r="GS92" s="72"/>
      <c r="GT92" s="73"/>
      <c r="GU92" s="72"/>
      <c r="GV92" s="73"/>
      <c r="GW92" s="72"/>
      <c r="GX92" s="73"/>
      <c r="GY92" s="72"/>
      <c r="GZ92" s="72"/>
      <c r="HA92" s="72"/>
      <c r="HB92" s="72"/>
      <c r="HC92"/>
      <c r="HD92"/>
      <c r="HE92"/>
      <c r="HF92"/>
      <c r="HG92"/>
      <c r="HH92"/>
      <c r="HI92" s="2"/>
    </row>
    <row r="93" spans="1:217" s="78" customFormat="1" ht="12.75" customHeight="1" x14ac:dyDescent="0.2">
      <c r="A93" s="3" t="s">
        <v>287</v>
      </c>
      <c r="B93" s="70" t="s">
        <v>27</v>
      </c>
      <c r="C93" s="91">
        <f>C72-C85</f>
        <v>71</v>
      </c>
      <c r="D93" s="80"/>
      <c r="E93" s="91">
        <f>E72-E85</f>
        <v>32</v>
      </c>
      <c r="F93" s="80"/>
      <c r="G93" s="91">
        <f>G72-G85</f>
        <v>36</v>
      </c>
      <c r="H93" s="80"/>
      <c r="I93" s="91">
        <f>I72-I85</f>
        <v>8</v>
      </c>
      <c r="J93" s="72"/>
      <c r="K93" s="91">
        <f>K72-K85</f>
        <v>35</v>
      </c>
      <c r="L93" s="72" t="str">
        <f>IF(ISERROR(K93/C93),"NA",IF(OR(K93/C93&gt;2,K93/C93&lt;0.5),"NM",K93/C93*100-100))</f>
        <v>NM</v>
      </c>
      <c r="M93" s="91">
        <f>M72-M85</f>
        <v>42</v>
      </c>
      <c r="N93" s="72">
        <f>IF(ISERROR(M93/E93),"NA",IF(OR(M93/E93&gt;2,M93/E93&lt;0.5),"NM",M93/E93*100-100))</f>
        <v>31.25</v>
      </c>
      <c r="O93" s="91">
        <f>O72-O85</f>
        <v>8</v>
      </c>
      <c r="P93" s="72" t="str">
        <f>IF(ISERROR(O93/G93),"NA",IF(OR(O93/G93&gt;2,O93/G93&lt;0.5),"NM",O93/G93*100-100))</f>
        <v>NM</v>
      </c>
      <c r="Q93" s="91">
        <f>Q72-Q85</f>
        <v>22</v>
      </c>
      <c r="R93" s="72" t="str">
        <f>IF(ISERROR(Q93/I93),"NA",IF(OR(Q93/I93&gt;2,Q93/I93&lt;0.5),"NM",Q93/I93*100-100))</f>
        <v>NM</v>
      </c>
      <c r="S93" s="91">
        <f>S72-S85</f>
        <v>29</v>
      </c>
      <c r="T93" s="72">
        <f>IF(ISERROR(S93/K93),"NA",IF(OR(S93/K93&gt;2,S93/K93&lt;0.5),"NM",S93/K93*100-100))</f>
        <v>-17.142857142857139</v>
      </c>
      <c r="U93" s="91">
        <f>U72-U85</f>
        <v>-17</v>
      </c>
      <c r="V93" s="72" t="str">
        <f>IF(ISERROR(U93/M93),"NA",IF(OR(U93/M93&gt;2,U93/M93&lt;0.5),"NM",U93/M93*100-100))</f>
        <v>NM</v>
      </c>
      <c r="W93" s="91">
        <f>W72-W85</f>
        <v>-69</v>
      </c>
      <c r="X93" s="72" t="str">
        <f>IF(ISERROR(W93/O93),"NA",IF(OR(W93/O93&gt;2,W93/O93&lt;0.5),"NM",W93/O93*100-100))</f>
        <v>NM</v>
      </c>
      <c r="Y93" s="91">
        <f>Y72-Y85</f>
        <v>15</v>
      </c>
      <c r="Z93" s="72">
        <f>IF(ISERROR(Y93/Q93),"NA",IF(OR(Y93/Q93&gt;2,Y93/Q93&lt;0.5),"NM",Y93/Q93*100-100))</f>
        <v>-31.818181818181827</v>
      </c>
      <c r="AA93" s="91">
        <f>AA72-AA85</f>
        <v>23</v>
      </c>
      <c r="AB93" s="72">
        <f>IF(ISERROR(AA93/S93),"NA",IF(OR(AA93/S93&gt;2,AA93/S93&lt;0.5),"NM",AA93/S93*100-100))</f>
        <v>-20.689655172413794</v>
      </c>
      <c r="AC93" s="91">
        <f>AC72-AC85</f>
        <v>65</v>
      </c>
      <c r="AD93" s="72" t="str">
        <f>IF(ISERROR(AC93/U93),"NA",IF(OR(AC93/U93&gt;2,AC93/U93&lt;0.5),"NM",AC93/U93*100-100))</f>
        <v>NM</v>
      </c>
      <c r="AE93" s="91">
        <f>AE72-AE85</f>
        <v>78</v>
      </c>
      <c r="AF93" s="72" t="str">
        <f>IF(ISERROR(AE93/W93),"NA",IF(OR(AE93/W93&gt;2,AE93/W93&lt;0.5),"NM",AE93/W93*100-100))</f>
        <v>NM</v>
      </c>
      <c r="AG93" s="91">
        <f>AG72-AG85</f>
        <v>96</v>
      </c>
      <c r="AH93" s="72" t="str">
        <f>IF(ISERROR(AG93/Y93),"NA",IF(OR(AG93/Y93&gt;2,AG93/Y93&lt;0.5),"NM",AG93/Y93*100-100))</f>
        <v>NM</v>
      </c>
      <c r="AI93" s="91">
        <f>AI72-AI85</f>
        <v>98</v>
      </c>
      <c r="AJ93" s="72" t="str">
        <f>IF(ISERROR(AI93/AA93),"NA",IF(OR(AI93/AA93&gt;2,AI93/AA93&lt;0.5),"NM",AI93/AA93*100-100))</f>
        <v>NM</v>
      </c>
      <c r="AK93" s="91">
        <f>AK72-AK85</f>
        <v>94</v>
      </c>
      <c r="AL93" s="72">
        <f>IF(ISERROR(AK93/AC93),"NA",IF(OR(AK93/AC93&gt;2,AK93/AC93&lt;0.5),"NM",AK93/AC93*100-100))</f>
        <v>44.615384615384613</v>
      </c>
      <c r="AM93" s="91">
        <f>AM72-AM85</f>
        <v>96</v>
      </c>
      <c r="AN93" s="72">
        <f>IF(ISERROR(AM93/AE93),"NA",IF(OR(AM93/AE93&gt;2,AM93/AE93&lt;0.5),"NM",AM93/AE93*100-100))</f>
        <v>23.07692307692308</v>
      </c>
      <c r="AO93" s="91">
        <f>AO72-AO85</f>
        <v>139</v>
      </c>
      <c r="AP93" s="72">
        <f>IF(ISERROR(AO93/AG93),"NA",IF(OR(AO93/AG93&gt;2,AO93/AG93&lt;0.5),"NM",AO93/AG93*100-100))</f>
        <v>44.791666666666686</v>
      </c>
      <c r="AQ93" s="91">
        <f>AQ72-AQ85</f>
        <v>100</v>
      </c>
      <c r="AR93" s="72">
        <f>IF(ISERROR(AQ93/AI93),"NA",IF(OR(AQ93/AI93&gt;2,AQ93/AI93&lt;0.5),"NM",AQ93/AI93*100-100))</f>
        <v>2.0408163265306172</v>
      </c>
      <c r="AS93" s="91">
        <f>AS72-AS85</f>
        <v>101</v>
      </c>
      <c r="AT93" s="72">
        <f>IF(ISERROR(AS93/AK93),"NA",IF(OR(AS93/AK93&gt;2,AS93/AK93&lt;0.5),"NM",AS93/AK93*100-100))</f>
        <v>7.4468085106383057</v>
      </c>
      <c r="AU93" s="91">
        <f>AU72-AU85</f>
        <v>161</v>
      </c>
      <c r="AV93" s="72">
        <f>IF(ISERROR(AU93/AM93),"NA",IF(OR(AU93/AM93&gt;2,AU93/AM93&lt;0.5),"NM",AU93/AM93*100-100))</f>
        <v>67.708333333333314</v>
      </c>
      <c r="AW93" s="91">
        <f>AW72-AW85</f>
        <v>143</v>
      </c>
      <c r="AX93" s="72">
        <f>IF(ISERROR(AW93/AO93),"NA",IF(OR(AW93/AO93&gt;2,AW93/AO93&lt;0.5),"NM",AW93/AO93*100-100))</f>
        <v>2.8776978417266292</v>
      </c>
      <c r="AY93" s="91">
        <f>AY72-AY85</f>
        <v>118</v>
      </c>
      <c r="AZ93" s="72">
        <f>IF(ISERROR(AY93/AQ93),"NA",IF(OR(AY93/AQ93&gt;2,AY93/AQ93&lt;0.5),"NM",AY93/AQ93*100-100))</f>
        <v>18</v>
      </c>
      <c r="BA93" s="91">
        <f>BA72-BA85</f>
        <v>122</v>
      </c>
      <c r="BB93" s="72">
        <f>IF(ISERROR(BA93/AS93),"NA",IF(OR(BA93/AS93&gt;2,BA93/AS93&lt;0.5),"NM",BA93/AS93*100-100))</f>
        <v>20.792079207920793</v>
      </c>
      <c r="BC93" s="91">
        <f>BC72-BC85</f>
        <v>192</v>
      </c>
      <c r="BD93" s="72">
        <f>IF(ISERROR(BC93/AU93),"NA",IF(OR(BC93/AU93&gt;2,BC93/AU93&lt;0.5),"NM",BC93/AU93*100-100))</f>
        <v>19.254658385093165</v>
      </c>
      <c r="BE93" s="91">
        <f>BE72-BE85</f>
        <v>154</v>
      </c>
      <c r="BF93" s="72">
        <f>IF(ISERROR(BE93/AW93),"NA",IF(OR(BE93/AW93&gt;2,BE93/AW93&lt;0.5),"NM",BE93/AW93*100-100))</f>
        <v>7.6923076923076934</v>
      </c>
      <c r="BG93" s="91">
        <f>BG72-BG85</f>
        <v>166</v>
      </c>
      <c r="BH93" s="72">
        <f>IF(ISERROR(BG93/AY93),"NA",IF(OR(BG93/AY93&gt;2,BG93/AY93&lt;0.5),"NM",BG93/AY93*100-100))</f>
        <v>40.677966101694921</v>
      </c>
      <c r="BI93" s="91">
        <f>BI72-BI85</f>
        <v>180</v>
      </c>
      <c r="BJ93" s="72">
        <f>IF(ISERROR(BI93/BA93),"NA",IF(OR(BI93/BA93&gt;2,BI93/BA93&lt;0.5),"NM",BI93/BA93*100-100))</f>
        <v>47.540983606557376</v>
      </c>
      <c r="BK93" s="91">
        <f>BK72-BK85</f>
        <v>205</v>
      </c>
      <c r="BL93" s="72">
        <f>IF(ISERROR(BK93/BC93),"NA",IF(OR(BK93/BC93&gt;2,BK93/BC93&lt;0.5),"NM",BK93/BC93*100-100))</f>
        <v>6.7708333333333286</v>
      </c>
      <c r="BM93" s="91">
        <f>BM72-BM85</f>
        <v>171</v>
      </c>
      <c r="BN93" s="72">
        <f>IF(ISERROR(BM93/BE93),"NA",IF(OR(BM93/BE93&gt;2,BM93/BE93&lt;0.5),"NM",BM93/BE93*100-100))</f>
        <v>11.038961038961048</v>
      </c>
      <c r="BO93" s="91">
        <f>BO72-BO85</f>
        <v>115</v>
      </c>
      <c r="BP93" s="72">
        <f>IF(ISERROR(BO93/BG93),"NA",IF(OR(BO93/BG93&gt;2,BO93/BG93&lt;0.5),"NM",BO93/BG93*100-100))</f>
        <v>-30.722891566265062</v>
      </c>
      <c r="BQ93" s="91">
        <f>BQ72-BQ85</f>
        <v>154</v>
      </c>
      <c r="BR93" s="72">
        <f>IF(ISERROR(BQ93/BI93),"NA",IF(OR(BQ93/BI93&gt;2,BQ93/BI93&lt;0.5),"NM",BQ93/BI93*100-100))</f>
        <v>-14.444444444444443</v>
      </c>
      <c r="BS93" s="91">
        <f>BS72-BS85</f>
        <v>-307</v>
      </c>
      <c r="BT93" s="72" t="str">
        <f>IF(ISERROR(BS93/BK93),"NA",IF(OR(BS93/BK93&gt;2,BS93/BK93&lt;0.5),"NM",BS93/BK93*100-100))</f>
        <v>NM</v>
      </c>
      <c r="BU93" s="91">
        <f>BU72-BU85</f>
        <v>-1039</v>
      </c>
      <c r="BV93" s="72" t="str">
        <f>IF(ISERROR(BU93/BM93),"NA",IF(OR(BU93/BM93&gt;2,BU93/BM93&lt;0.5),"NM",BU93/BM93*100-100))</f>
        <v>NM</v>
      </c>
      <c r="BW93" s="91">
        <f>BW72-BW85</f>
        <v>-244</v>
      </c>
      <c r="BX93" s="72" t="str">
        <f>IF(ISERROR(BW93/BO93),"NA",IF(OR(BW93/BO93&gt;2,BW93/BO93&lt;0.5),"NM",BW93/BO93*100-100))</f>
        <v>NM</v>
      </c>
      <c r="BY93" s="91">
        <f>BY72-BY85</f>
        <v>489</v>
      </c>
      <c r="BZ93" s="72" t="str">
        <f>IF(ISERROR(BY93/BQ93),"NA",IF(OR(BY93/BQ93&gt;2,BY93/BQ93&lt;0.5),"NM",BY93/BQ93*100-100))</f>
        <v>NM</v>
      </c>
      <c r="CA93" s="91">
        <f>CA72-CA85</f>
        <v>315</v>
      </c>
      <c r="CB93" s="72" t="str">
        <f>IF(ISERROR(CA93/BS93),"NA",IF(OR(CA93/BS93&gt;2,CA93/BS93&lt;0.5),"NM",CA93/BS93*100-100))</f>
        <v>NM</v>
      </c>
      <c r="CC93" s="91">
        <f>CC72-CC85</f>
        <v>197</v>
      </c>
      <c r="CD93" s="72" t="str">
        <f>IF(ISERROR(CC93/BU93),"NA",IF(OR(CC93/BU93&gt;2,CC93/BU93&lt;0.5),"NM",CC93/BU93*100-100))</f>
        <v>NM</v>
      </c>
      <c r="CE93" s="91">
        <f>CE72-CE85</f>
        <v>225</v>
      </c>
      <c r="CF93" s="72" t="str">
        <f>IF(ISERROR(CE93/BW93),"NA",IF(OR(CE93/BW93&gt;2,CE93/BW93&lt;0.5),"NM",CE93/BW93*100-100))</f>
        <v>NM</v>
      </c>
      <c r="CG93" s="91">
        <f>CG72-CG85</f>
        <v>-144</v>
      </c>
      <c r="CH93" s="72" t="str">
        <f>IF(ISERROR(CG93/BY93),"NA",IF(OR(CG93/BY93&gt;2,CG93/BY93&lt;0.5),"NM",CG93/BY93*100-100))</f>
        <v>NM</v>
      </c>
      <c r="CI93" s="91">
        <f>CI72-CI85</f>
        <v>552</v>
      </c>
      <c r="CJ93" s="72">
        <f>IF(ISERROR(CI93/CA93),"NA",IF(OR(CI93/CA93&gt;2,CI93/CA93&lt;0.5),"NM",CI93/CA93*100-100))</f>
        <v>75.238095238095241</v>
      </c>
      <c r="CK93" s="91">
        <f>CK72-CK85</f>
        <v>317</v>
      </c>
      <c r="CL93" s="72">
        <f>IF(ISERROR(CK93/CC93),"NA",IF(OR(CK93/CC93&gt;2,CK93/CC93&lt;0.5),"NM",CK93/CC93*100-100))</f>
        <v>60.913705583756354</v>
      </c>
      <c r="CM93" s="91">
        <f>CM72-CM85</f>
        <v>274</v>
      </c>
      <c r="CN93" s="72">
        <f>IF(ISERROR(CM93/CE93),"NA",IF(OR(CM93/CE93&gt;2,CM93/CE93&lt;0.5),"NM",CM93/CE93*100-100))</f>
        <v>21.777777777777786</v>
      </c>
      <c r="CO93" s="91">
        <f>CO72-CO85</f>
        <v>207</v>
      </c>
      <c r="CP93" s="72" t="str">
        <f>IF(ISERROR(CO93/CG93),"NA",IF(OR(CO93/CG93&gt;2,CO93/CG93&lt;0.5),"NM",CO93/CG93*100-100))</f>
        <v>NM</v>
      </c>
      <c r="CQ93" s="91">
        <f>CQ72-CQ85</f>
        <v>-192</v>
      </c>
      <c r="CR93" s="72" t="str">
        <f>IF(ISERROR(CQ93/CI93),"NA",IF(OR(CQ93/CI93&gt;2,CQ93/CI93&lt;0.5),"NM",CQ93/CI93*100-100))</f>
        <v>NM</v>
      </c>
      <c r="CS93" s="91">
        <f>CS72-CS85</f>
        <v>373</v>
      </c>
      <c r="CT93" s="72">
        <f>IF(ISERROR(CS93/CK93),"NA",IF(OR(CS93/CK93&gt;2,CS93/CK93&lt;0.5),"NM",CS93/CK93*100-100))</f>
        <v>17.66561514195584</v>
      </c>
      <c r="CU93" s="91">
        <f>CU72-CU85</f>
        <v>421</v>
      </c>
      <c r="CV93" s="72">
        <f>IF(ISERROR(CU93/CM93),"NA",IF(OR(CU93/CM93&gt;2,CU93/CM93&lt;0.5),"NM",CU93/CM93*100-100))</f>
        <v>53.649635036496363</v>
      </c>
      <c r="CW93" s="91">
        <f>CW72-CW85</f>
        <v>107</v>
      </c>
      <c r="CX93" s="72">
        <f>IF(ISERROR(CW93/CO93),"NA",IF(OR(CW93/CO93&gt;2,CW93/CO93&lt;0.5),"NM",CW93/CO93*100-100))</f>
        <v>-48.309178743961354</v>
      </c>
      <c r="CY93" s="91">
        <f>CY72-CY85</f>
        <v>207</v>
      </c>
      <c r="CZ93" s="72" t="str">
        <f>IF(ISERROR(CY93/CQ93),"NA",IF(OR(CY93/CQ93&gt;2,CY93/CQ93&lt;0.5),"NM",CY93/CQ93*100-100))</f>
        <v>NM</v>
      </c>
      <c r="DA93" s="91">
        <f>DA72-DA85</f>
        <v>304</v>
      </c>
      <c r="DB93" s="72">
        <f>IF(ISERROR(DA93/CS93),"NA",IF(OR(DA93/CS93&gt;2,DA93/CS93&lt;0.5),"NM",DA93/CS93*100-100))</f>
        <v>-18.498659517426276</v>
      </c>
      <c r="DC93" s="91">
        <f>DC72-DC85</f>
        <v>372</v>
      </c>
      <c r="DD93" s="72">
        <f>IF(ISERROR(DC93/CU93),"NA",IF(OR(DC93/CU93&gt;2,DC93/CU93&lt;0.5),"NM",DC93/CU93*100-100))</f>
        <v>-11.63895486935867</v>
      </c>
      <c r="DE93" s="91">
        <f>DE72-DE85</f>
        <v>400</v>
      </c>
      <c r="DF93" s="72" t="str">
        <f>IF(ISERROR(DE93/CW93),"NA",IF(OR(DE93/CW93&gt;2,DE93/CW93&lt;0.5),"NM",DE93/CW93*100-100))</f>
        <v>NM</v>
      </c>
      <c r="DG93" s="91">
        <f>DG72-DG85</f>
        <v>821</v>
      </c>
      <c r="DH93" s="72" t="str">
        <f>IF(ISERROR(DG93/CY93),"NA",IF(OR(DG93/CY93&gt;2,DG93/CY93&lt;0.5),"NM",DG93/CY93*100-100))</f>
        <v>NM</v>
      </c>
      <c r="DI93" s="91">
        <f>DI72-DI85</f>
        <v>492</v>
      </c>
      <c r="DJ93" s="72">
        <f>IF(ISERROR(DI93/DA93),"NA",IF(OR(DI93/DA93&gt;2,DI93/DA93&lt;0.5),"NM",DI93/DA93*100-100))</f>
        <v>61.84210526315789</v>
      </c>
      <c r="DK93" s="91">
        <f>DK72-DK85</f>
        <v>388</v>
      </c>
      <c r="DL93" s="72">
        <f>IF(ISERROR(DK93/DC93),"NA",IF(OR(DK93/DC93&gt;2,DK93/DC93&lt;0.5),"NM",DK93/DC93*100-100))</f>
        <v>4.3010752688172005</v>
      </c>
      <c r="DM93" s="91">
        <f>DM72-DM85</f>
        <v>390</v>
      </c>
      <c r="DN93" s="72">
        <f t="shared" ref="DN93:DZ94" si="572">IF(ISERROR(DM93/DE93),"NA",IF(OR(DM93/DE93&gt;2,DM93/DE93&lt;0.5),"NM",DM93/DE93*100-100))</f>
        <v>-2.5</v>
      </c>
      <c r="DO93" s="91">
        <f>DO72-DO85</f>
        <v>367</v>
      </c>
      <c r="DP93" s="72" t="str">
        <f t="shared" si="572"/>
        <v>NM</v>
      </c>
      <c r="DQ93" s="91">
        <f>DQ72-DQ85</f>
        <v>322</v>
      </c>
      <c r="DR93" s="72">
        <f t="shared" si="572"/>
        <v>-34.552845528455293</v>
      </c>
      <c r="DS93" s="91">
        <f>DS72-DS85</f>
        <v>529</v>
      </c>
      <c r="DT93" s="72">
        <f t="shared" si="572"/>
        <v>36.340206185567013</v>
      </c>
      <c r="DU93" s="91">
        <f>DU72-DU85</f>
        <v>548</v>
      </c>
      <c r="DV93" s="72">
        <f t="shared" si="572"/>
        <v>40.512820512820497</v>
      </c>
      <c r="DW93" s="91">
        <f>DW72-DW85</f>
        <v>310</v>
      </c>
      <c r="DX93" s="72">
        <f t="shared" si="572"/>
        <v>-15.53133514986375</v>
      </c>
      <c r="DY93" s="91">
        <f>DY72-DY85</f>
        <v>410</v>
      </c>
      <c r="DZ93" s="72">
        <f t="shared" si="572"/>
        <v>27.329192546583855</v>
      </c>
      <c r="EA93" s="91">
        <f>EA72-EA85</f>
        <v>328</v>
      </c>
      <c r="EB93" s="72">
        <f>IF(ISERROR(EA93/DS93),"NA",IF(OR(EA93/DS93&gt;2,EA93/DS93&lt;0.5),"NM",EA93/DS93*100-100))</f>
        <v>-37.996219281663514</v>
      </c>
      <c r="EC93" s="91">
        <f>EC72-EC85</f>
        <v>427</v>
      </c>
      <c r="ED93" s="72">
        <f>IF(ISERROR(EC93/DU93),"NA",IF(OR(EC93/DU93&gt;2,EC93/DU93&lt;0.5),"NM",EC93/DU93*100-100))</f>
        <v>-22.080291970802918</v>
      </c>
      <c r="EE93" s="91">
        <f>EE72-EE85</f>
        <v>588</v>
      </c>
      <c r="EF93" s="72">
        <f>IF(ISERROR(EE93/DW93),"NA",IF(OR(EE93/DW93&gt;2,EE93/DW93&lt;0.5),"NM",EE93/DW93*100-100))</f>
        <v>89.677419354838719</v>
      </c>
      <c r="EG93" s="91">
        <f>EG72-EG85</f>
        <v>422</v>
      </c>
      <c r="EH93" s="72">
        <f>IF(ISERROR(EG93/DY93),"NA",IF(OR(EG93/DY93&gt;2,EG93/DY93&lt;0.5),"NM",EG93/DY93*100-100))</f>
        <v>2.9268292682926926</v>
      </c>
      <c r="EI93" s="91">
        <f>EI72-EI85</f>
        <v>468</v>
      </c>
      <c r="EJ93" s="72">
        <f>IF(ISERROR(EI93/EA93),"NA",IF(OR(EI93/EA93&gt;2,EI93/EA93&lt;0.5),"NM",EI93/EA93*100-100))</f>
        <v>42.682926829268297</v>
      </c>
      <c r="EK93" s="91">
        <f>EK72-EK85</f>
        <v>612</v>
      </c>
      <c r="EL93" s="72">
        <f>IF(ISERROR(EK93/EC93),"NA",IF(OR(EK93/EC93&gt;2,EK93/EC93&lt;0.5),"NM",EK93/EC93*100-100))</f>
        <v>43.325526932084301</v>
      </c>
      <c r="EM93" s="91">
        <f>EM72-EM85</f>
        <v>577</v>
      </c>
      <c r="EN93" s="72">
        <f>IF(ISERROR(EM93/EE93),"NA",IF(OR(EM93/EE93&gt;2,EM93/EE93&lt;0.5),"NM",EM93/EE93*100-100))</f>
        <v>-1.8707482993197289</v>
      </c>
      <c r="EO93" s="91">
        <f>EO72-EO85</f>
        <v>541</v>
      </c>
      <c r="EP93" s="72">
        <f>IF(ISERROR(EO93/EG93),"NA",IF(OR(EO93/EG93&gt;2,EO93/EG93&lt;0.5),"NM",EO93/EG93*100-100))</f>
        <v>28.199052132701411</v>
      </c>
      <c r="EQ93" s="91">
        <f t="shared" ref="EQ93" si="573">EQ72-EQ85</f>
        <v>527.21518307284816</v>
      </c>
      <c r="ER93" s="72">
        <f t="shared" ref="ER93:ER94" si="574">IF(ISERROR(EQ93/EI93),"NA",IF(OR(EQ93/EI93&gt;2,EQ93/EI93&lt;0.5),"NM",EQ93/EI93*100-100))</f>
        <v>12.652816895907733</v>
      </c>
      <c r="ES93" s="91">
        <f t="shared" ref="ES93" si="575">ES72-ES85</f>
        <v>523.69219613527025</v>
      </c>
      <c r="ET93" s="72">
        <f t="shared" ref="ET93:ET94" si="576">IF(ISERROR(ES93/EK93),"NA",IF(OR(ES93/EK93&gt;2,ES93/EK93&lt;0.5),"NM",ES93/EK93*100-100))</f>
        <v>-14.42937971645911</v>
      </c>
      <c r="EU93" s="91">
        <f t="shared" ref="EU93" si="577">EU72-EU85</f>
        <v>524.33437578534028</v>
      </c>
      <c r="EV93" s="72">
        <f t="shared" ref="EV93:EV94" si="578">IF(ISERROR(EU93/EM93),"NA",IF(OR(EU93/EM93&gt;2,EU93/EM93&lt;0.5),"NM",EU93/EM93*100-100))</f>
        <v>-9.1274911983812359</v>
      </c>
      <c r="EW93" s="91">
        <f t="shared" ref="EW93" si="579">EW72-EW85</f>
        <v>504.2175605180164</v>
      </c>
      <c r="EX93" s="72">
        <f t="shared" ref="EX93:EX94" si="580">IF(ISERROR(EW93/EO93),"NA",IF(OR(EW93/EO93&gt;2,EW93/EO93&lt;0.5),"NM",EW93/EO93*100-100))</f>
        <v>-6.798972177815827</v>
      </c>
      <c r="EY93" s="72"/>
      <c r="EZ93" s="314"/>
      <c r="FA93" s="72"/>
      <c r="FB93" s="91">
        <f>FB72-FB85</f>
        <v>175</v>
      </c>
      <c r="FC93" s="80"/>
      <c r="FD93" s="91">
        <f>FD72-FD85</f>
        <v>100</v>
      </c>
      <c r="FE93" s="72">
        <f>IF(ISERROR(FD93/FB93),"NA",IF(OR(FD93/FB93&gt;2,FD93/FB93&lt;0.5),"NM",FD93/FB93*100-100))</f>
        <v>-42.857142857142861</v>
      </c>
      <c r="FF93" s="91">
        <f>FF72-FF85</f>
        <v>147</v>
      </c>
      <c r="FG93" s="72">
        <f>IF(ISERROR(FF93/FD93),"NA",IF(OR(FF93/FD93&gt;2,FF93/FD93&lt;0.5),"NM",FF93/FD93*100-100))</f>
        <v>47</v>
      </c>
      <c r="FH93" s="91">
        <f>FH72-FH85</f>
        <v>107</v>
      </c>
      <c r="FI93" s="72">
        <f>IF(ISERROR(FH93/FF93),"NA",IF(OR(FH93/FF93&gt;2,FH93/FF93&lt;0.5),"NM",FH93/FF93*100-100))</f>
        <v>-27.210884353741491</v>
      </c>
      <c r="FJ93" s="91">
        <f>FJ72-FJ85</f>
        <v>-42</v>
      </c>
      <c r="FK93" s="72" t="str">
        <f>IF(ISERROR(FJ93/FH93),"NA",IF(OR(FJ93/FH93&gt;2,FJ93/FH93&lt;0.5),"NM",FJ93/FH93*100-100))</f>
        <v>NM</v>
      </c>
      <c r="FL93" s="91">
        <f>FL72-FL85</f>
        <v>262</v>
      </c>
      <c r="FM93" s="72" t="str">
        <f>IF(ISERROR(FL93/FJ93),"NA",IF(OR(FL93/FJ93&gt;2,FL93/FJ93&lt;0.5),"NM",FL93/FJ93*100-100))</f>
        <v>NM</v>
      </c>
      <c r="FN93" s="91">
        <f>FN72-FN85</f>
        <v>427</v>
      </c>
      <c r="FO93" s="72">
        <f>IF(ISERROR(FN93/FL93),"NA",IF(OR(FN93/FL93&gt;2,FN93/FL93&lt;0.5),"NM",FN93/FL93*100-100))</f>
        <v>62.977099236641237</v>
      </c>
      <c r="FP93" s="91">
        <f>FP72-FP85</f>
        <v>505</v>
      </c>
      <c r="FQ93" s="72">
        <f>IF(ISERROR(FP93/FN93),"NA",IF(OR(FP93/FN93&gt;2,FP93/FN93&lt;0.5),"NM",FP93/FN93*100-100))</f>
        <v>18.266978922716632</v>
      </c>
      <c r="FR93" s="91">
        <f>FR72-FR85</f>
        <v>586</v>
      </c>
      <c r="FS93" s="72">
        <f>IF(ISERROR(FR93/FP93),"NA",IF(OR(FR93/FP93&gt;2,FR93/FP93&lt;0.5),"NM",FR93/FP93*100-100))</f>
        <v>16.039603960396036</v>
      </c>
      <c r="FT93" s="91">
        <f>FT72-FT85</f>
        <v>722</v>
      </c>
      <c r="FU93" s="72">
        <f>IF(ISERROR(FT93/FR93),"NA",IF(OR(FT93/FR93&gt;2,FT93/FR93&lt;0.5),"NM",FT93/FR93*100-100))</f>
        <v>23.208191126279857</v>
      </c>
      <c r="FV93" s="91">
        <f>FV72-FV85</f>
        <v>-955</v>
      </c>
      <c r="FW93" s="72" t="str">
        <f>IF(ISERROR(FV93/FT93),"NA",IF(OR(FV93/FT93&gt;2,FV93/FT93&lt;0.5),"NM",FV93/FT93*100-100))</f>
        <v>NM</v>
      </c>
      <c r="FX93" s="91">
        <f>FX72-FX85</f>
        <v>672</v>
      </c>
      <c r="FY93" s="72" t="str">
        <f>IF(ISERROR(FX93/FV93),"NA",IF(OR(FX93/FV93&gt;2,FX93/FV93&lt;0.5),"NM",FX93/FV93*100-100))</f>
        <v>NM</v>
      </c>
      <c r="FZ93" s="91">
        <f>FZ72-FZ85</f>
        <v>950</v>
      </c>
      <c r="GA93" s="72">
        <f>IF(ISERROR(FZ93/FX93),"NA",IF(OR(FZ93/FX93&gt;2,FZ93/FX93&lt;0.5),"NM",FZ93/FX93*100-100))</f>
        <v>41.36904761904762</v>
      </c>
      <c r="GB93" s="91">
        <f>GB72-GB85</f>
        <v>662</v>
      </c>
      <c r="GC93" s="72">
        <f>IF(ISERROR(GB93/FZ93),"NA",IF(OR(GB93/FZ93&gt;2,GB93/FZ93&lt;0.5),"NM",GB93/FZ93*100-100))</f>
        <v>-30.315789473684205</v>
      </c>
      <c r="GD93" s="91">
        <f>GD72-GD85</f>
        <v>1039</v>
      </c>
      <c r="GE93" s="72">
        <f>IF(ISERROR(GD93/GB93),"NA",IF(OR(GD93/GB93&gt;2,GD93/GB93&lt;0.5),"NM",GD93/GB93*100-100))</f>
        <v>56.948640483383684</v>
      </c>
      <c r="GF93" s="91">
        <f>GF72-GF85</f>
        <v>2085</v>
      </c>
      <c r="GG93" s="72" t="str">
        <f>IF(ISERROR(GF93/GD93),"NA",IF(OR(GF93/GD93&gt;2,GF93/GD93&lt;0.5),"NM",GF93/GD93*100-100))</f>
        <v>NM</v>
      </c>
      <c r="GH93" s="91">
        <f>GH72-GH85</f>
        <v>1467</v>
      </c>
      <c r="GI93" s="72">
        <f t="shared" ref="GI93:GU94" si="581">IF(ISERROR(GH93/GF93),"NA",IF(OR(GH93/GF93&gt;2,GH93/GF93&lt;0.5),"NM",GH93/GF93*100-100))</f>
        <v>-29.640287769784166</v>
      </c>
      <c r="GJ93" s="91">
        <f>GJ72-GJ85</f>
        <v>1797</v>
      </c>
      <c r="GK93" s="72">
        <f t="shared" si="581"/>
        <v>22.494887525562362</v>
      </c>
      <c r="GL93" s="91">
        <f>GL72-GL85</f>
        <v>1765</v>
      </c>
      <c r="GM93" s="72">
        <f t="shared" si="581"/>
        <v>-1.780745687256541</v>
      </c>
      <c r="GN93" s="91">
        <f>GN72-GN85</f>
        <v>2198</v>
      </c>
      <c r="GO93" s="72">
        <f t="shared" si="581"/>
        <v>24.532577903682721</v>
      </c>
      <c r="GP93" s="91">
        <f>GP72-GP85</f>
        <v>2079.4593155114753</v>
      </c>
      <c r="GQ93" s="72">
        <f t="shared" si="581"/>
        <v>-5.3931157638091349</v>
      </c>
      <c r="GR93" s="91">
        <f>GR72-GR85</f>
        <v>2045.8808109448855</v>
      </c>
      <c r="GS93" s="72">
        <f t="shared" si="581"/>
        <v>-1.6147709318530588</v>
      </c>
      <c r="GT93" s="91">
        <f>GT72-GT85</f>
        <v>2016.1961540738039</v>
      </c>
      <c r="GU93" s="72">
        <f t="shared" si="581"/>
        <v>-1.4509475191456573</v>
      </c>
      <c r="GV93" s="91">
        <f>GV72-GV85</f>
        <v>1990.0737062204503</v>
      </c>
      <c r="GW93" s="72">
        <f>IF(ISERROR(GV93/GT93),"NA",IF(OR(GV93/GT93&gt;2,GV93/GT93&lt;0.5),"NM",GV93/GT93*100-100))</f>
        <v>-1.2956302788581411</v>
      </c>
      <c r="GX93" s="91">
        <f>GX72-GX85</f>
        <v>1967.4739029153461</v>
      </c>
      <c r="GY93" s="72">
        <f>IF(ISERROR(GX93/GV93),"NA",IF(OR(GX93/GV93&gt;2,GX93/GV93&lt;0.5),"NM",GX93/GV93*100-100))</f>
        <v>-1.135626446119204</v>
      </c>
      <c r="GZ93" s="72">
        <f>IF(ISERROR(((GX93/GN93)^0.2-1)*100),"NA",IF((((GX93/GN93)^0.2-1)*100)&gt;100,"NM",IF((((GX93/GN93)^0.2-1)*100)&lt;-50,"NM",((GX93/GN93)^0.2-1)*100)))</f>
        <v>-2.1915765948057664</v>
      </c>
      <c r="HA93" s="72"/>
      <c r="HB93" s="72"/>
      <c r="HC93"/>
      <c r="HD93"/>
      <c r="HE93"/>
      <c r="HF93"/>
      <c r="HG93"/>
      <c r="HH93"/>
      <c r="HI93" s="2"/>
    </row>
    <row r="94" spans="1:217" s="3" customFormat="1" ht="12.75" customHeight="1" x14ac:dyDescent="0.2">
      <c r="B94" s="77" t="s">
        <v>397</v>
      </c>
      <c r="C94" s="81">
        <f>C93/C72*100</f>
        <v>29.098360655737704</v>
      </c>
      <c r="D94" s="72"/>
      <c r="E94" s="81">
        <f>E93/E72*100</f>
        <v>14.349775784753364</v>
      </c>
      <c r="F94" s="72"/>
      <c r="G94" s="81">
        <f>G93/G72*100</f>
        <v>16.143497757847534</v>
      </c>
      <c r="H94" s="72"/>
      <c r="I94" s="81">
        <f>I93/I72*100</f>
        <v>3.5874439461883409</v>
      </c>
      <c r="J94" s="72"/>
      <c r="K94" s="81">
        <f>K93/K72*100</f>
        <v>16.203703703703702</v>
      </c>
      <c r="L94" s="72">
        <f>IF(ISERROR(K94/C94),"NA",IF(OR(K94/C94&gt;2,K94/C94&lt;0.5),"NM",K94/C94*100-100))</f>
        <v>-44.314032342201358</v>
      </c>
      <c r="M94" s="81">
        <f>M93/M72*100</f>
        <v>20.388349514563107</v>
      </c>
      <c r="N94" s="72">
        <f>IF(ISERROR(M94/E94),"NA",IF(OR(M94/E94&gt;2,M94/E94&lt;0.5),"NM",M94/E94*100-100))</f>
        <v>42.081310679611647</v>
      </c>
      <c r="O94" s="81">
        <f>O93/O72*100</f>
        <v>4.1237113402061851</v>
      </c>
      <c r="P94" s="72" t="str">
        <f>IF(ISERROR(O94/G94),"NA",IF(OR(O94/G94&gt;2,O94/G94&lt;0.5),"NM",O94/G94*100-100))</f>
        <v>NM</v>
      </c>
      <c r="Q94" s="81">
        <f>Q93/Q72*100</f>
        <v>11.891891891891893</v>
      </c>
      <c r="R94" s="72" t="str">
        <f>IF(ISERROR(Q94/I94),"NA",IF(OR(Q94/I94&gt;2,Q94/I94&lt;0.5),"NM",Q94/I94*100-100))</f>
        <v>NM</v>
      </c>
      <c r="S94" s="81">
        <f>S93/S72*100</f>
        <v>15.934065934065933</v>
      </c>
      <c r="T94" s="72">
        <f>IF(ISERROR(S94/K94),"NA",IF(OR(S94/K94&gt;2,S94/K94&lt;0.5),"NM",S94/K94*100-100))</f>
        <v>-1.6640502354788111</v>
      </c>
      <c r="U94" s="81">
        <f>U93/U72*100</f>
        <v>-8.8082901554404138</v>
      </c>
      <c r="V94" s="72" t="str">
        <f>IF(ISERROR(U94/M94),"NA",IF(OR(U94/M94&gt;2,U94/M94&lt;0.5),"NM",U94/M94*100-100))</f>
        <v>NM</v>
      </c>
      <c r="W94" s="81">
        <f>W93/W72*100</f>
        <v>-37.5</v>
      </c>
      <c r="X94" s="72" t="str">
        <f>IF(ISERROR(W94/O94),"NA",IF(OR(W94/O94&gt;2,W94/O94&lt;0.5),"NM",W94/O94*100-100))</f>
        <v>NM</v>
      </c>
      <c r="Y94" s="81">
        <f>Y93/Y72*100</f>
        <v>8.2417582417582409</v>
      </c>
      <c r="Z94" s="72">
        <f>IF(ISERROR(Y94/Q94),"NA",IF(OR(Y94/Q94&gt;2,Y94/Q94&lt;0.5),"NM",Y94/Q94*100-100))</f>
        <v>-30.694305694305712</v>
      </c>
      <c r="AA94" s="81">
        <f>AA93/AA72*100</f>
        <v>12.568306010928962</v>
      </c>
      <c r="AB94" s="72">
        <f>IF(ISERROR(AA94/S94),"NA",IF(OR(AA94/S94&gt;2,AA94/S94&lt;0.5),"NM",AA94/S94*100-100))</f>
        <v>-21.123045034859615</v>
      </c>
      <c r="AC94" s="81">
        <f>AC93/AC72*100</f>
        <v>22.968197879858657</v>
      </c>
      <c r="AD94" s="72" t="str">
        <f>IF(ISERROR(AC94/U94),"NA",IF(OR(AC94/U94&gt;2,AC94/U94&lt;0.5),"NM",AC94/U94*100-100))</f>
        <v>NM</v>
      </c>
      <c r="AE94" s="81">
        <f>AE93/AE72*100</f>
        <v>23.70820668693009</v>
      </c>
      <c r="AF94" s="72" t="str">
        <f>IF(ISERROR(AE94/W94),"NA",IF(OR(AE94/W94&gt;2,AE94/W94&lt;0.5),"NM",AE94/W94*100-100))</f>
        <v>NM</v>
      </c>
      <c r="AG94" s="81">
        <f>AG93/AG72*100</f>
        <v>27.507163323782237</v>
      </c>
      <c r="AH94" s="72" t="str">
        <f>IF(ISERROR(AG94/Y94),"NA",IF(OR(AG94/Y94&gt;2,AG94/Y94&lt;0.5),"NM",AG94/Y94*100-100))</f>
        <v>NM</v>
      </c>
      <c r="AI94" s="81">
        <f>AI93/AI72*100</f>
        <v>25.925925925925924</v>
      </c>
      <c r="AJ94" s="72" t="str">
        <f>IF(ISERROR(AI94/AA94),"NA",IF(OR(AI94/AA94&gt;2,AI94/AA94&lt;0.5),"NM",AI94/AA94*100-100))</f>
        <v>NM</v>
      </c>
      <c r="AK94" s="81">
        <f>AK93/AK72*100</f>
        <v>24.289405684754524</v>
      </c>
      <c r="AL94" s="72">
        <f>IF(ISERROR(AK94/AC94),"NA",IF(OR(AK94/AC94&gt;2,AK94/AC94&lt;0.5),"NM",AK94/AC94*100-100))</f>
        <v>5.7523355197773895</v>
      </c>
      <c r="AM94" s="81">
        <f>AM93/AM72*100</f>
        <v>24.120603015075375</v>
      </c>
      <c r="AN94" s="72">
        <f>IF(ISERROR(AM94/AE94),"NA",IF(OR(AM94/AE94&gt;2,AM94/AE94&lt;0.5),"NM",AM94/AE94*100-100))</f>
        <v>1.7394665635871718</v>
      </c>
      <c r="AO94" s="81">
        <f>AO93/AO72*100</f>
        <v>33.493975903614462</v>
      </c>
      <c r="AP94" s="72">
        <f>IF(ISERROR(AO94/AG94),"NA",IF(OR(AO94/AG94&gt;2,AO94/AG94&lt;0.5),"NM",AO94/AG94*100-100))</f>
        <v>21.764558232931734</v>
      </c>
      <c r="AQ94" s="81">
        <f>AQ93/AQ72*100</f>
        <v>23.584905660377359</v>
      </c>
      <c r="AR94" s="72">
        <f>IF(ISERROR(AQ94/AI94),"NA",IF(OR(AQ94/AI94&gt;2,AQ94/AI94&lt;0.5),"NM",AQ94/AI94*100-100))</f>
        <v>-9.0296495956873173</v>
      </c>
      <c r="AS94" s="81">
        <f>AS93/AS72*100</f>
        <v>24.047619047619047</v>
      </c>
      <c r="AT94" s="72">
        <f>IF(ISERROR(AS94/AK94),"NA",IF(OR(AS94/AK94&gt;2,AS94/AK94&lt;0.5),"NM",AS94/AK94*100-100))</f>
        <v>-0.99544072948329188</v>
      </c>
      <c r="AU94" s="81">
        <f>AU93/AU72*100</f>
        <v>36.507936507936506</v>
      </c>
      <c r="AV94" s="72">
        <f>IF(ISERROR(AU94/AM94),"NA",IF(OR(AU94/AM94&gt;2,AU94/AM94&lt;0.5),"NM",AU94/AM94*100-100))</f>
        <v>51.355820105820129</v>
      </c>
      <c r="AW94" s="81">
        <f>AW93/AW72*100</f>
        <v>33.101851851851855</v>
      </c>
      <c r="AX94" s="72">
        <f>IF(ISERROR(AW94/AO94),"NA",IF(OR(AW94/AO94&gt;2,AW94/AO94&lt;0.5),"NM",AW94/AO94*100-100))</f>
        <v>-1.1707300826005849</v>
      </c>
      <c r="AY94" s="81">
        <f>AY93/AY72*100</f>
        <v>26.048565121412803</v>
      </c>
      <c r="AZ94" s="72">
        <f>IF(ISERROR(AY94/AQ94),"NA",IF(OR(AY94/AQ94&gt;2,AY94/AQ94&lt;0.5),"NM",AY94/AQ94*100-100))</f>
        <v>10.445916114790293</v>
      </c>
      <c r="BA94" s="81">
        <f>BA93/BA72*100</f>
        <v>26.012793176972281</v>
      </c>
      <c r="BB94" s="72">
        <f>IF(ISERROR(BA94/AS94),"NA",IF(OR(BA94/AS94&gt;2,BA94/AS94&lt;0.5),"NM",BA94/AS94*100-100))</f>
        <v>8.1720112309738369</v>
      </c>
      <c r="BC94" s="81">
        <f>BC93/BC72*100</f>
        <v>32.933104631217844</v>
      </c>
      <c r="BD94" s="72">
        <f>IF(ISERROR(BC94/AU94),"NA",IF(OR(BC94/AU94&gt;2,BC94/AU94&lt;0.5),"NM",BC94/AU94*100-100))</f>
        <v>-9.791930792751117</v>
      </c>
      <c r="BE94" s="81">
        <f>BE93/BE72*100</f>
        <v>25.838926174496645</v>
      </c>
      <c r="BF94" s="72">
        <f>IF(ISERROR(BE94/AW94),"NA",IF(OR(BE94/AW94&gt;2,BE94/AW94&lt;0.5),"NM",BE94/AW94*100-100))</f>
        <v>-21.941146102219932</v>
      </c>
      <c r="BG94" s="81">
        <f>BG93/BG72*100</f>
        <v>27.483443708609272</v>
      </c>
      <c r="BH94" s="72">
        <f>IF(ISERROR(BG94/AY94),"NA",IF(OR(BG94/AY94&gt;2,BG94/AY94&lt;0.5),"NM",BG94/AY94*100-100))</f>
        <v>5.5084745762711975</v>
      </c>
      <c r="BI94" s="81">
        <f>BI93/BI72*100</f>
        <v>28.481012658227851</v>
      </c>
      <c r="BJ94" s="72">
        <f>IF(ISERROR(BI94/BA94),"NA",IF(OR(BI94/BA94&gt;2,BI94/BA94&lt;0.5),"NM",BI94/BA94*100-100))</f>
        <v>9.488483087777567</v>
      </c>
      <c r="BK94" s="81">
        <f>BK93/BK72*100</f>
        <v>32.385466034755133</v>
      </c>
      <c r="BL94" s="72">
        <f>IF(ISERROR(BK94/BC94),"NA",IF(OR(BK94/BC94&gt;2,BK94/BC94&lt;0.5),"NM",BK94/BC94*100-100))</f>
        <v>-1.6628817798841737</v>
      </c>
      <c r="BM94" s="81">
        <f>BM93/BM72*100</f>
        <v>26.971608832807568</v>
      </c>
      <c r="BN94" s="72">
        <f>IF(ISERROR(BM94/BE94),"NA",IF(OR(BM94/BE94&gt;2,BM94/BE94&lt;0.5),"NM",BM94/BE94*100-100))</f>
        <v>4.3836289893071978</v>
      </c>
      <c r="BO94" s="81">
        <f>BO93/BO72*100</f>
        <v>20.069808027923212</v>
      </c>
      <c r="BP94" s="72">
        <f>IF(ISERROR(BO94/BG94),"NA",IF(OR(BO94/BG94&gt;2,BO94/BG94&lt;0.5),"NM",BO94/BG94*100-100))</f>
        <v>-26.974915368279397</v>
      </c>
      <c r="BQ94" s="81">
        <f>BQ93/BQ72*100</f>
        <v>24.758842443729904</v>
      </c>
      <c r="BR94" s="72">
        <f>IF(ISERROR(BQ94/BI94),"NA",IF(OR(BQ94/BI94&gt;2,BQ94/BI94&lt;0.5),"NM",BQ94/BI94*100-100))</f>
        <v>-13.068953197570565</v>
      </c>
      <c r="BS94" s="81">
        <f>BS93/BS72*100</f>
        <v>-58.143939393939391</v>
      </c>
      <c r="BT94" s="72" t="str">
        <f>IF(ISERROR(BS94/BK94),"NA",IF(OR(BS94/BK94&gt;2,BS94/BK94&lt;0.5),"NM",BS94/BK94*100-100))</f>
        <v>NM</v>
      </c>
      <c r="BU94" s="75">
        <f>BU93/BU72*100</f>
        <v>-376.44927536231887</v>
      </c>
      <c r="BV94" s="72" t="str">
        <f>IF(ISERROR(BU94/BM94),"NA",IF(OR(BU94/BM94&gt;2,BU94/BM94&lt;0.5),"NM",BU94/BM94*100-100))</f>
        <v>NM</v>
      </c>
      <c r="BW94" s="81">
        <f>BW93/BW72*100</f>
        <v>-42.508710801393725</v>
      </c>
      <c r="BX94" s="72" t="str">
        <f>IF(ISERROR(BW94/BO94),"NA",IF(OR(BW94/BO94&gt;2,BW94/BO94&lt;0.5),"NM",BW94/BO94*100-100))</f>
        <v>NM</v>
      </c>
      <c r="BY94" s="81">
        <f>BY93/BY72*100</f>
        <v>82.741116751269033</v>
      </c>
      <c r="BZ94" s="72" t="str">
        <f>IF(ISERROR(BY94/BQ94),"NA",IF(OR(BY94/BQ94&gt;2,BY94/BQ94&lt;0.5),"NM",BY94/BQ94*100-100))</f>
        <v>NM</v>
      </c>
      <c r="CA94" s="81">
        <f>CA93/CA72*100</f>
        <v>48.238897396630939</v>
      </c>
      <c r="CB94" s="72" t="str">
        <f>IF(ISERROR(CA94/BS94),"NA",IF(OR(CA94/BS94&gt;2,CA94/BS94&lt;0.5),"NM",CA94/BS94*100-100))</f>
        <v>NM</v>
      </c>
      <c r="CC94" s="81">
        <f>CC93/CC72*100</f>
        <v>28.263988522238165</v>
      </c>
      <c r="CD94" s="72" t="str">
        <f>IF(ISERROR(CC94/BU94),"NA",IF(OR(CC94/BU94&gt;2,CC94/BU94&lt;0.5),"NM",CC94/BU94*100-100))</f>
        <v>NM</v>
      </c>
      <c r="CE94" s="81">
        <f>CE93/CE72*100</f>
        <v>29.644268774703558</v>
      </c>
      <c r="CF94" s="72" t="str">
        <f>IF(ISERROR(CE94/BW94),"NA",IF(OR(CE94/BW94&gt;2,CE94/BW94&lt;0.5),"NM",CE94/BW94*100-100))</f>
        <v>NM</v>
      </c>
      <c r="CG94" s="81">
        <f>CG93/CG72*100</f>
        <v>-18.75</v>
      </c>
      <c r="CH94" s="72" t="str">
        <f>IF(ISERROR(CG94/BY94),"NA",IF(OR(CG94/BY94&gt;2,CG94/BY94&lt;0.5),"NM",CG94/BY94*100-100))</f>
        <v>NM</v>
      </c>
      <c r="CI94" s="81">
        <f>CI93/CI72*100</f>
        <v>68.40148698884758</v>
      </c>
      <c r="CJ94" s="72">
        <f>IF(ISERROR(CI94/CA94),"NA",IF(OR(CI94/CA94&gt;2,CI94/CA94&lt;0.5),"NM",CI94/CA94*100-100))</f>
        <v>41.797368265769734</v>
      </c>
      <c r="CK94" s="81">
        <f>CK93/CK72*100</f>
        <v>36.817653890824623</v>
      </c>
      <c r="CL94" s="72">
        <f>IF(ISERROR(CK94/CC94),"NA",IF(OR(CK94/CC94&gt;2,CK94/CC94&lt;0.5),"NM",CK94/CC94*100-100))</f>
        <v>30.263475948755143</v>
      </c>
      <c r="CM94" s="81">
        <f>CM93/CM72*100</f>
        <v>30.512249443207129</v>
      </c>
      <c r="CN94" s="72">
        <f>IF(ISERROR(CM94/CE94),"NA",IF(OR(CM94/CE94&gt;2,CM94/CE94&lt;0.5),"NM",CM94/CE94*100-100))</f>
        <v>2.9279881217520369</v>
      </c>
      <c r="CO94" s="81">
        <f>CO93/CO72*100</f>
        <v>22.186495176848876</v>
      </c>
      <c r="CP94" s="72" t="str">
        <f>IF(ISERROR(CO94/CG94),"NA",IF(OR(CO94/CG94&gt;2,CO94/CG94&lt;0.5),"NM",CO94/CG94*100-100))</f>
        <v>NM</v>
      </c>
      <c r="CQ94" s="81">
        <f>CQ93/CQ72*100</f>
        <v>-21.215469613259668</v>
      </c>
      <c r="CR94" s="72" t="str">
        <f>IF(ISERROR(CQ94/CI94),"NA",IF(OR(CQ94/CI94&gt;2,CQ94/CI94&lt;0.5),"NM",CQ94/CI94*100-100))</f>
        <v>NM</v>
      </c>
      <c r="CS94" s="81">
        <f>CS93/CS72*100</f>
        <v>41.352549889135254</v>
      </c>
      <c r="CT94" s="72">
        <f>IF(ISERROR(CS94/CK94),"NA",IF(OR(CS94/CK94&gt;2,CS94/CK94&lt;0.5),"NM",CS94/CK94*100-100))</f>
        <v>12.317178090048756</v>
      </c>
      <c r="CU94" s="81">
        <f>CU93/CU72*100</f>
        <v>43.945720250521916</v>
      </c>
      <c r="CV94" s="72">
        <f>IF(ISERROR(CU94/CM94),"NA",IF(OR(CU94/CM94&gt;2,CU94/CM94&lt;0.5),"NM",CU94/CM94*100-100))</f>
        <v>44.026484616673997</v>
      </c>
      <c r="CW94" s="81">
        <f>CW93/CW72*100</f>
        <v>11.053719008264464</v>
      </c>
      <c r="CX94" s="72" t="str">
        <f>IF(ISERROR(CW94/CO94),"NA",IF(OR(CW94/CO94&gt;2,CW94/CO94&lt;0.5),"NM",CW94/CO94*100-100))</f>
        <v>NM</v>
      </c>
      <c r="CY94" s="81">
        <f>CY93/CY72*100</f>
        <v>20.333988212180746</v>
      </c>
      <c r="CZ94" s="72" t="str">
        <f>IF(ISERROR(CY94/CQ94),"NA",IF(OR(CY94/CQ94&gt;2,CY94/CQ94&lt;0.5),"NM",CY94/CQ94*100-100))</f>
        <v>NM</v>
      </c>
      <c r="DA94" s="81">
        <f>DA93/DA72*100</f>
        <v>29.258902791145331</v>
      </c>
      <c r="DB94" s="72">
        <f>IF(ISERROR(DA94/CS94),"NA",IF(OR(DA94/CS94&gt;2,DA94/CS94&lt;0.5),"NM",DA94/CS94*100-100))</f>
        <v>-29.245227030527914</v>
      </c>
      <c r="DC94" s="81">
        <f>DC93/DC72*100</f>
        <v>34.831460674157306</v>
      </c>
      <c r="DD94" s="72">
        <f>IF(ISERROR(DC94/CU94),"NA",IF(OR(DC94/CU94&gt;2,DC94/CU94&lt;0.5),"NM",DC94/CU94*100-100))</f>
        <v>-20.739811577570777</v>
      </c>
      <c r="DE94" s="81">
        <f>DE93/DE72*100</f>
        <v>35.746201966041106</v>
      </c>
      <c r="DF94" s="72" t="str">
        <f>IF(ISERROR(DE94/CW94),"NA",IF(OR(DE94/CW94&gt;2,DE94/CW94&lt;0.5),"NM",DE94/CW94*100-100))</f>
        <v>NM</v>
      </c>
      <c r="DG94" s="81">
        <f>DG93/DG72*100</f>
        <v>73.303571428571416</v>
      </c>
      <c r="DH94" s="72" t="str">
        <f>IF(ISERROR(DG94/CY94),"NA",IF(OR(DG94/CY94&gt;2,DG94/CY94&lt;0.5),"NM",DG94/CY94*100-100))</f>
        <v>NM</v>
      </c>
      <c r="DI94" s="81">
        <f>DI93/DI72*100</f>
        <v>42.487046632124354</v>
      </c>
      <c r="DJ94" s="72">
        <f>IF(ISERROR(DI94/DA94),"NA",IF(OR(DI94/DA94&gt;2,DI94/DA94&lt;0.5),"NM",DI94/DA94*100-100))</f>
        <v>45.210662667030277</v>
      </c>
      <c r="DK94" s="81">
        <f>DK93/DK72*100</f>
        <v>33.535004321521178</v>
      </c>
      <c r="DL94" s="72">
        <f>IF(ISERROR(DK94/DC94),"NA",IF(OR(DK94/DC94&gt;2,DK94/DC94&lt;0.5),"NM",DK94/DC94*100-100))</f>
        <v>-3.7220843672456567</v>
      </c>
      <c r="DM94" s="81">
        <f>DM93/DM72*100</f>
        <v>33.304867634500432</v>
      </c>
      <c r="DN94" s="72">
        <f t="shared" si="572"/>
        <v>-6.8296327924850289</v>
      </c>
      <c r="DO94" s="81">
        <f>DO93/DO72*100</f>
        <v>30.814441645675906</v>
      </c>
      <c r="DP94" s="72" t="str">
        <f t="shared" si="572"/>
        <v>NM</v>
      </c>
      <c r="DQ94" s="81">
        <f>DQ93/DQ72*100</f>
        <v>27.036104114189758</v>
      </c>
      <c r="DR94" s="72">
        <f t="shared" si="572"/>
        <v>-36.366242755626544</v>
      </c>
      <c r="DS94" s="81">
        <f>DS93/DS72*100</f>
        <v>44.566133108677334</v>
      </c>
      <c r="DT94" s="72">
        <f t="shared" si="572"/>
        <v>32.894371151390914</v>
      </c>
      <c r="DU94" s="81">
        <f>DU93/DU72*100</f>
        <v>45.666666666666664</v>
      </c>
      <c r="DV94" s="72">
        <f t="shared" si="572"/>
        <v>37.11709401709399</v>
      </c>
      <c r="DW94" s="81">
        <f>DW93/DW72*100</f>
        <v>26.563838903170524</v>
      </c>
      <c r="DX94" s="72">
        <f t="shared" si="572"/>
        <v>-13.794190371454789</v>
      </c>
      <c r="DY94" s="81">
        <f>DY93/DY72*100</f>
        <v>35.933391761612619</v>
      </c>
      <c r="DZ94" s="72">
        <f t="shared" si="572"/>
        <v>32.908911764225536</v>
      </c>
      <c r="EA94" s="81">
        <f>EA93/EA72*100</f>
        <v>29.576194770063118</v>
      </c>
      <c r="EB94" s="72">
        <f>IF(ISERROR(EA94/DS94),"NA",IF(OR(EA94/DS94&gt;2,EA94/DS94&lt;0.5),"NM",EA94/DS94*100-100))</f>
        <v>-33.635268067930198</v>
      </c>
      <c r="EC94" s="81">
        <f>EC93/EC72*100</f>
        <v>37.357830271216095</v>
      </c>
      <c r="ED94" s="72">
        <f>IF(ISERROR(EC94/DU94),"NA",IF(OR(EC94/DU94&gt;2,EC94/DU94&lt;0.5),"NM",EC94/DU94*100-100))</f>
        <v>-18.19453225281147</v>
      </c>
      <c r="EE94" s="81">
        <f>EE93/EE72*100</f>
        <v>48.157248157248155</v>
      </c>
      <c r="EF94" s="72">
        <f>IF(ISERROR(EE94/DW94),"NA",IF(OR(EE94/DW94&gt;2,EE94/DW94&lt;0.5),"NM",EE94/DW94*100-100))</f>
        <v>81.288737417769653</v>
      </c>
      <c r="EG94" s="81">
        <f>EG93/EG72*100</f>
        <v>35.373009220452637</v>
      </c>
      <c r="EH94" s="72">
        <f>IF(ISERROR(EG94/DY94),"NA",IF(OR(EG94/DY94&gt;2,EG94/DY94&lt;0.5),"NM",EG94/DY94*100-100))</f>
        <v>-1.5595036084476561</v>
      </c>
      <c r="EI94" s="81">
        <f>EI93/EI72*100</f>
        <v>38.518518518518519</v>
      </c>
      <c r="EJ94" s="72">
        <f>IF(ISERROR(EI94/EA94),"NA",IF(OR(EI94/EA94&gt;2,EI94/EA94&lt;0.5),"NM",EI94/EA94*100-100))</f>
        <v>30.234869015356821</v>
      </c>
      <c r="EK94" s="81">
        <f>EK93/EK72*100</f>
        <v>46.86064318529862</v>
      </c>
      <c r="EL94" s="72">
        <f>IF(ISERROR(EK94/EC94),"NA",IF(OR(EK94/EC94&gt;2,EK94/EC94&lt;0.5),"NM",EK94/EC94*100-100))</f>
        <v>25.437272039335653</v>
      </c>
      <c r="EM94" s="81">
        <f>EM93/EM72*100</f>
        <v>44.24846625766871</v>
      </c>
      <c r="EN94" s="72">
        <f>IF(ISERROR(EM94/EE94),"NA",IF(OR(EM94/EE94&gt;2,EM94/EE94&lt;0.5),"NM",EM94/EE94*100-100))</f>
        <v>-8.1167052710654843</v>
      </c>
      <c r="EO94" s="81">
        <f>EO93/EO72*100</f>
        <v>42.101167315175097</v>
      </c>
      <c r="EP94" s="72">
        <f>IF(ISERROR(EO94/EG94),"NA",IF(OR(EO94/EG94&gt;2,EO94/EG94&lt;0.5),"NM",EO94/EG94*100-100))</f>
        <v>19.02059859479597</v>
      </c>
      <c r="EQ94" s="81">
        <f t="shared" ref="EQ94" si="582">EQ93/EQ72*100</f>
        <v>41.267078572561886</v>
      </c>
      <c r="ER94" s="72">
        <f t="shared" si="574"/>
        <v>7.1356847556895104</v>
      </c>
      <c r="ES94" s="81">
        <f t="shared" ref="ES94" si="583">ES93/ES72*100</f>
        <v>41.316021401028202</v>
      </c>
      <c r="ET94" s="72">
        <f t="shared" si="576"/>
        <v>-11.832150408916945</v>
      </c>
      <c r="EU94" s="81">
        <f t="shared" ref="EU94" si="584">EU93/EU72*100</f>
        <v>41.337257635709243</v>
      </c>
      <c r="EV94" s="72">
        <f t="shared" si="578"/>
        <v>-6.5792305771839636</v>
      </c>
      <c r="EW94" s="81">
        <f t="shared" ref="EW94" si="585">EW93/EW72*100</f>
        <v>39.715672649389703</v>
      </c>
      <c r="EX94" s="72">
        <f t="shared" si="580"/>
        <v>-5.6661010083812045</v>
      </c>
      <c r="EY94" s="72"/>
      <c r="EZ94" s="309"/>
      <c r="FA94" s="72"/>
      <c r="FB94" s="81">
        <f>FB93/FB72*100</f>
        <v>19.188596491228072</v>
      </c>
      <c r="FC94" s="82"/>
      <c r="FD94" s="81">
        <f>FD93/FD72*100</f>
        <v>11.441647597254006</v>
      </c>
      <c r="FE94" s="72">
        <f>IF(ISERROR(FD94/FB94),"NA",IF(OR(FD94/FB94&gt;2,FD94/FB94&lt;0.5),"NM",FD94/FB94*100-100))</f>
        <v>-40.372670807453417</v>
      </c>
      <c r="FF94" s="81">
        <f>FF93/FF72*100</f>
        <v>16.10076670317634</v>
      </c>
      <c r="FG94" s="72">
        <f>IF(ISERROR(FF94/FD94),"NA",IF(OR(FF94/FD94&gt;2,FF94/FD94&lt;0.5),"NM",FF94/FD94*100-100))</f>
        <v>40.720700985761198</v>
      </c>
      <c r="FH94" s="81">
        <f>FH93/FH72*100</f>
        <v>13.358302122347066</v>
      </c>
      <c r="FI94" s="72">
        <f>IF(ISERROR(FH94/FF94),"NA",IF(OR(FH94/FF94&gt;2,FH94/FF94&lt;0.5),"NM",FH94/FF94*100-100))</f>
        <v>-17.033130355762765</v>
      </c>
      <c r="FJ94" s="81">
        <f>FJ93/FJ72*100</f>
        <v>-5.668016194331984</v>
      </c>
      <c r="FK94" s="72" t="str">
        <f>IF(ISERROR(FJ94/FH94),"NA",IF(OR(FJ94/FH94&gt;2,FJ94/FH94&lt;0.5),"NM",FJ94/FH94*100-100))</f>
        <v>NM</v>
      </c>
      <c r="FL94" s="81">
        <f>FL93/FL72*100</f>
        <v>22.9020979020979</v>
      </c>
      <c r="FM94" s="72" t="str">
        <f>IF(ISERROR(FL94/FJ94),"NA",IF(OR(FL94/FJ94&gt;2,FL94/FJ94&lt;0.5),"NM",FL94/FJ94*100-100))</f>
        <v>NM</v>
      </c>
      <c r="FN94" s="81">
        <f>FN93/FN72*100</f>
        <v>27.059569074778199</v>
      </c>
      <c r="FO94" s="72">
        <f>IF(ISERROR(FN94/FL94),"NA",IF(OR(FN94/FL94&gt;2,FN94/FL94&lt;0.5),"NM",FN94/FL94*100-100))</f>
        <v>18.153232906665124</v>
      </c>
      <c r="FP94" s="81">
        <f>FP93/FP72*100</f>
        <v>29.411764705882355</v>
      </c>
      <c r="FQ94" s="72">
        <f>IF(ISERROR(FP94/FN94),"NA",IF(OR(FP94/FN94&gt;2,FP94/FN94&lt;0.5),"NM",FP94/FN94*100-100))</f>
        <v>8.6926573908251896</v>
      </c>
      <c r="FR94" s="81">
        <f>FR93/FR72*100</f>
        <v>27.891480247501189</v>
      </c>
      <c r="FS94" s="72">
        <f>IF(ISERROR(FR94/FP94),"NA",IF(OR(FR94/FP94&gt;2,FR94/FP94&lt;0.5),"NM",FR94/FP94*100-100))</f>
        <v>-5.1689671584959598</v>
      </c>
      <c r="FT94" s="81">
        <f>FT93/FT72*100</f>
        <v>28.845385537355174</v>
      </c>
      <c r="FU94" s="72">
        <f>IF(ISERROR(FT94/FR94),"NA",IF(OR(FT94/FR94&gt;2,FT94/FR94&lt;0.5),"NM",FT94/FR94*100-100))</f>
        <v>3.4200597508246204</v>
      </c>
      <c r="FV94" s="81">
        <f>FV93/FV72*100</f>
        <v>-39.187525646286417</v>
      </c>
      <c r="FW94" s="72" t="str">
        <f>IF(ISERROR(FV94/FT94),"NA",IF(OR(FV94/FT94&gt;2,FV94/FT94&lt;0.5),"NM",FV94/FT94*100-100))</f>
        <v>NM</v>
      </c>
      <c r="FX94" s="81">
        <f>FX93/FX72*100</f>
        <v>26.719681908548708</v>
      </c>
      <c r="FY94" s="72" t="str">
        <f>IF(ISERROR(FX94/FV94),"NA",IF(OR(FX94/FV94&gt;2,FX94/FV94&lt;0.5),"NM",FX94/FV94*100-100))</f>
        <v>NM</v>
      </c>
      <c r="FZ94" s="81">
        <f>FZ93/FZ72*100</f>
        <v>29.733959311424101</v>
      </c>
      <c r="GA94" s="72">
        <f>IF(ISERROR(FZ94/FX94),"NA",IF(OR(FZ94/FX94&gt;2,FZ94/FX94&lt;0.5),"NM",FZ94/FX94*100-100))</f>
        <v>11.281112601535142</v>
      </c>
      <c r="GB94" s="81">
        <f>GB93/GB72*100</f>
        <v>18.196811434854315</v>
      </c>
      <c r="GC94" s="72">
        <f>IF(ISERROR(GB94/FZ94),"NA",IF(OR(GB94/FZ94&gt;2,GB94/FZ94&lt;0.5),"NM",GB94/FZ94*100-100))</f>
        <v>-38.801249963832078</v>
      </c>
      <c r="GD94" s="81">
        <f>GD93/GD72*100</f>
        <v>26.085864925935226</v>
      </c>
      <c r="GE94" s="72">
        <f>IF(ISERROR(GD94/GB94),"NA",IF(OR(GD94/GB94&gt;2,GD94/GB94&lt;0.5),"NM",GD94/GB94*100-100))</f>
        <v>43.35404320325128</v>
      </c>
      <c r="GF94" s="81">
        <f>GF93/GF72*100</f>
        <v>46.696528555431129</v>
      </c>
      <c r="GG94" s="72">
        <f>IF(ISERROR(GF94/GD94),"NA",IF(OR(GF94/GD94&gt;2,GF94/GD94&lt;0.5),"NM",GF94/GD94*100-100))</f>
        <v>79.010850083043465</v>
      </c>
      <c r="GH94" s="81">
        <f>GH93/GH72*100</f>
        <v>31.146496815286621</v>
      </c>
      <c r="GI94" s="72">
        <f t="shared" si="581"/>
        <v>-33.300187875177571</v>
      </c>
      <c r="GJ94" s="81">
        <f>GJ93/GJ72*100</f>
        <v>38.274760383386578</v>
      </c>
      <c r="GK94" s="72">
        <f t="shared" si="581"/>
        <v>22.886244993695158</v>
      </c>
      <c r="GL94" s="81">
        <f>GL93/GL72*100</f>
        <v>37.826832404629236</v>
      </c>
      <c r="GM94" s="72">
        <f t="shared" si="581"/>
        <v>-1.1702959712107486</v>
      </c>
      <c r="GN94" s="81">
        <f>GN93/GN72*100</f>
        <v>43.013698630136986</v>
      </c>
      <c r="GO94" s="72">
        <f t="shared" si="581"/>
        <v>13.712134735534946</v>
      </c>
      <c r="GP94" s="81">
        <f>GP93/GP72*100</f>
        <v>40.909311920713932</v>
      </c>
      <c r="GQ94" s="72">
        <f t="shared" si="581"/>
        <v>-4.8923640059835236</v>
      </c>
      <c r="GR94" s="81">
        <f>GR93/GR72*100</f>
        <v>40.360880956712741</v>
      </c>
      <c r="GS94" s="72">
        <f t="shared" si="581"/>
        <v>-1.3406017805044002</v>
      </c>
      <c r="GT94" s="81">
        <f>GT93/GT72*100</f>
        <v>39.76298524881215</v>
      </c>
      <c r="GU94" s="72">
        <f t="shared" si="581"/>
        <v>-1.4813742756057167</v>
      </c>
      <c r="GV94" s="81">
        <f>GV93/GV72*100</f>
        <v>39.146119411183463</v>
      </c>
      <c r="GW94" s="72">
        <f>IF(ISERROR(GV94/GT94),"NA",IF(OR(GV94/GT94&gt;2,GV94/GT94&lt;0.5),"NM",GV94/GT94*100-100))</f>
        <v>-1.5513569561458382</v>
      </c>
      <c r="GX94" s="81">
        <f>GX93/GX72*100</f>
        <v>38.508089941721579</v>
      </c>
      <c r="GY94" s="72">
        <f>IF(ISERROR(GX94/GV94),"NA",IF(OR(GX94/GV94&gt;2,GX94/GV94&lt;0.5),"NM",GX94/GV94*100-100))</f>
        <v>-1.6298664569025192</v>
      </c>
      <c r="GZ94" s="72">
        <f>IF(ISERROR(((GX94/GN94)^0.2-1)*100),"NA",IF((((GX94/GN94)^0.2-1)*100)&gt;100,"NM",IF((((GX94/GN94)^0.2-1)*100)&lt;-50,"NM",((GX94/GN94)^0.2-1)*100)))</f>
        <v>-2.188698467888095</v>
      </c>
      <c r="HA94" s="72"/>
      <c r="HB94" s="72"/>
      <c r="HC94"/>
      <c r="HD94"/>
      <c r="HE94"/>
      <c r="HF94"/>
      <c r="HG94"/>
      <c r="HH94"/>
      <c r="HI94" s="2"/>
    </row>
    <row r="95" spans="1:217" s="3" customFormat="1" ht="12.75" customHeight="1" x14ac:dyDescent="0.2">
      <c r="B95" s="77"/>
      <c r="C95" s="73"/>
      <c r="D95" s="72"/>
      <c r="E95" s="73"/>
      <c r="F95" s="72"/>
      <c r="G95" s="73"/>
      <c r="H95" s="72"/>
      <c r="I95" s="73"/>
      <c r="J95" s="72"/>
      <c r="K95" s="73"/>
      <c r="L95" s="72"/>
      <c r="M95" s="73"/>
      <c r="N95" s="72"/>
      <c r="O95" s="73"/>
      <c r="P95" s="72"/>
      <c r="Q95" s="73"/>
      <c r="R95" s="72"/>
      <c r="S95" s="73"/>
      <c r="T95" s="72"/>
      <c r="U95" s="73"/>
      <c r="V95" s="72"/>
      <c r="W95" s="73"/>
      <c r="X95" s="72"/>
      <c r="Y95" s="73"/>
      <c r="Z95" s="72"/>
      <c r="AA95" s="73"/>
      <c r="AB95" s="72"/>
      <c r="AC95" s="73"/>
      <c r="AD95" s="72"/>
      <c r="AE95" s="73"/>
      <c r="AF95" s="72"/>
      <c r="AG95" s="73"/>
      <c r="AH95" s="72"/>
      <c r="AI95" s="73"/>
      <c r="AJ95" s="72"/>
      <c r="AK95" s="73"/>
      <c r="AL95" s="72"/>
      <c r="AM95" s="73"/>
      <c r="AN95" s="72"/>
      <c r="AO95" s="73"/>
      <c r="AP95" s="72"/>
      <c r="AQ95" s="73"/>
      <c r="AR95" s="72"/>
      <c r="AS95" s="73"/>
      <c r="AT95" s="72"/>
      <c r="AU95" s="73"/>
      <c r="AV95" s="72"/>
      <c r="AW95" s="73"/>
      <c r="AX95" s="72"/>
      <c r="AY95" s="73"/>
      <c r="AZ95" s="72"/>
      <c r="BA95" s="73"/>
      <c r="BB95" s="72"/>
      <c r="BC95" s="73"/>
      <c r="BD95" s="72"/>
      <c r="BE95" s="73"/>
      <c r="BF95" s="72"/>
      <c r="BG95" s="73"/>
      <c r="BH95" s="72"/>
      <c r="BI95" s="73"/>
      <c r="BJ95" s="72"/>
      <c r="BK95" s="73"/>
      <c r="BL95" s="72"/>
      <c r="BM95" s="73"/>
      <c r="BN95" s="72"/>
      <c r="BO95" s="73"/>
      <c r="BP95" s="72"/>
      <c r="BQ95" s="73"/>
      <c r="BR95" s="72"/>
      <c r="BS95" s="73"/>
      <c r="BT95" s="72"/>
      <c r="BU95" s="73"/>
      <c r="BV95" s="72"/>
      <c r="BW95" s="73"/>
      <c r="BX95" s="72"/>
      <c r="BY95" s="73"/>
      <c r="BZ95" s="72"/>
      <c r="CA95" s="73"/>
      <c r="CB95" s="72"/>
      <c r="CC95" s="73"/>
      <c r="CD95" s="72"/>
      <c r="CE95" s="73"/>
      <c r="CF95" s="72"/>
      <c r="CG95" s="73"/>
      <c r="CH95" s="72"/>
      <c r="CI95" s="73"/>
      <c r="CJ95" s="72"/>
      <c r="CK95" s="73"/>
      <c r="CL95" s="72"/>
      <c r="CM95" s="73"/>
      <c r="CN95" s="72"/>
      <c r="CO95" s="73"/>
      <c r="CP95" s="72"/>
      <c r="CQ95" s="73"/>
      <c r="CR95" s="72"/>
      <c r="CS95" s="73"/>
      <c r="CT95" s="72"/>
      <c r="CU95" s="73"/>
      <c r="CV95" s="72"/>
      <c r="CW95" s="73"/>
      <c r="CX95" s="72"/>
      <c r="CY95" s="73"/>
      <c r="CZ95" s="72"/>
      <c r="DA95" s="73"/>
      <c r="DB95" s="72"/>
      <c r="DC95" s="73"/>
      <c r="DD95" s="72"/>
      <c r="DE95" s="73"/>
      <c r="DF95" s="72"/>
      <c r="DG95" s="73"/>
      <c r="DH95" s="72"/>
      <c r="DI95" s="73"/>
      <c r="DJ95" s="72"/>
      <c r="DK95" s="73"/>
      <c r="DL95" s="72"/>
      <c r="DM95" s="73"/>
      <c r="DN95" s="72"/>
      <c r="DO95" s="73"/>
      <c r="DP95" s="72"/>
      <c r="DQ95" s="73"/>
      <c r="DR95" s="72"/>
      <c r="DS95" s="73"/>
      <c r="DT95" s="72"/>
      <c r="DU95" s="73"/>
      <c r="DV95" s="72"/>
      <c r="DW95" s="73"/>
      <c r="DX95" s="72"/>
      <c r="DY95" s="73"/>
      <c r="DZ95" s="72"/>
      <c r="EA95" s="73"/>
      <c r="EB95" s="72"/>
      <c r="EC95" s="73"/>
      <c r="ED95" s="72"/>
      <c r="EE95" s="73"/>
      <c r="EF95" s="72"/>
      <c r="EG95" s="73"/>
      <c r="EH95" s="72"/>
      <c r="EI95" s="73"/>
      <c r="EJ95" s="72"/>
      <c r="EK95" s="73"/>
      <c r="EL95" s="72"/>
      <c r="EM95" s="73"/>
      <c r="EN95" s="72"/>
      <c r="EO95" s="73"/>
      <c r="EP95" s="72"/>
      <c r="EQ95" s="73"/>
      <c r="ER95" s="72"/>
      <c r="ES95" s="73"/>
      <c r="ET95" s="72"/>
      <c r="EU95" s="73"/>
      <c r="EV95" s="72"/>
      <c r="EW95" s="73"/>
      <c r="EX95" s="72"/>
      <c r="EY95" s="72"/>
      <c r="EZ95" s="307"/>
      <c r="FA95" s="72"/>
      <c r="FB95" s="73"/>
      <c r="FC95" s="72"/>
      <c r="FD95" s="73"/>
      <c r="FE95" s="72"/>
      <c r="FF95" s="73"/>
      <c r="FG95" s="72"/>
      <c r="FH95" s="73"/>
      <c r="FI95" s="72"/>
      <c r="FJ95" s="73"/>
      <c r="FK95" s="72"/>
      <c r="FL95" s="73"/>
      <c r="FM95" s="72"/>
      <c r="FN95" s="73"/>
      <c r="FO95" s="72"/>
      <c r="FP95" s="73"/>
      <c r="FQ95" s="72"/>
      <c r="FR95" s="73"/>
      <c r="FS95" s="72"/>
      <c r="FT95" s="73"/>
      <c r="FU95" s="72"/>
      <c r="FV95" s="73"/>
      <c r="FW95" s="72"/>
      <c r="FX95" s="73"/>
      <c r="FY95" s="72"/>
      <c r="FZ95" s="73"/>
      <c r="GA95" s="72"/>
      <c r="GB95" s="73"/>
      <c r="GC95" s="72"/>
      <c r="GD95" s="73"/>
      <c r="GE95" s="72"/>
      <c r="GF95" s="73"/>
      <c r="GG95" s="72"/>
      <c r="GH95" s="73"/>
      <c r="GI95" s="72"/>
      <c r="GJ95" s="73"/>
      <c r="GK95" s="72"/>
      <c r="GL95" s="73"/>
      <c r="GM95" s="72"/>
      <c r="GN95" s="73"/>
      <c r="GO95" s="72"/>
      <c r="GP95" s="73"/>
      <c r="GQ95" s="72"/>
      <c r="GR95" s="73"/>
      <c r="GS95" s="72"/>
      <c r="GT95" s="73"/>
      <c r="GU95" s="72"/>
      <c r="GV95" s="73"/>
      <c r="GW95" s="72"/>
      <c r="GX95" s="73"/>
      <c r="GY95" s="72"/>
      <c r="GZ95" s="72"/>
      <c r="HA95" s="72"/>
      <c r="HB95" s="72"/>
      <c r="HC95"/>
      <c r="HD95"/>
      <c r="HE95"/>
      <c r="HF95"/>
      <c r="HG95"/>
      <c r="HH95"/>
      <c r="HI95" s="2"/>
    </row>
    <row r="96" spans="1:217" s="3" customFormat="1" ht="12.75" customHeight="1" x14ac:dyDescent="0.2">
      <c r="B96" s="77" t="s">
        <v>537</v>
      </c>
      <c r="C96" s="74">
        <v>0</v>
      </c>
      <c r="D96" s="72"/>
      <c r="E96" s="74">
        <v>0</v>
      </c>
      <c r="F96" s="72"/>
      <c r="G96" s="74">
        <v>0</v>
      </c>
      <c r="H96" s="72"/>
      <c r="I96" s="74">
        <v>0</v>
      </c>
      <c r="J96" s="72"/>
      <c r="K96" s="74">
        <v>0</v>
      </c>
      <c r="L96" s="72" t="str">
        <f>IF(ISERROR(K96/C96),"NA",IF(OR(K96/C96&gt;2,K96/C96&lt;0.5),"NM",K96/C96*100-100))</f>
        <v>NA</v>
      </c>
      <c r="M96" s="74">
        <v>0</v>
      </c>
      <c r="N96" s="72" t="str">
        <f>IF(ISERROR(M96/E96),"NA",IF(OR(M96/E96&gt;2,M96/E96&lt;0.5),"NM",M96/E96*100-100))</f>
        <v>NA</v>
      </c>
      <c r="O96" s="74">
        <v>0</v>
      </c>
      <c r="P96" s="72" t="str">
        <f>IF(ISERROR(O96/G96),"NA",IF(OR(O96/G96&gt;2,O96/G96&lt;0.5),"NM",O96/G96*100-100))</f>
        <v>NA</v>
      </c>
      <c r="Q96" s="74">
        <v>0</v>
      </c>
      <c r="R96" s="72" t="str">
        <f>IF(ISERROR(Q96/I96),"NA",IF(OR(Q96/I96&gt;2,Q96/I96&lt;0.5),"NM",Q96/I96*100-100))</f>
        <v>NA</v>
      </c>
      <c r="S96" s="74">
        <v>0</v>
      </c>
      <c r="T96" s="72" t="str">
        <f>IF(ISERROR(S96/K96),"NA",IF(OR(S96/K96&gt;2,S96/K96&lt;0.5),"NM",S96/K96*100-100))</f>
        <v>NA</v>
      </c>
      <c r="U96" s="74">
        <v>0</v>
      </c>
      <c r="V96" s="72" t="str">
        <f>IF(ISERROR(U96/M96),"NA",IF(OR(U96/M96&gt;2,U96/M96&lt;0.5),"NM",U96/M96*100-100))</f>
        <v>NA</v>
      </c>
      <c r="W96" s="74">
        <v>0</v>
      </c>
      <c r="X96" s="72" t="str">
        <f>IF(ISERROR(W96/O96),"NA",IF(OR(W96/O96&gt;2,W96/O96&lt;0.5),"NM",W96/O96*100-100))</f>
        <v>NA</v>
      </c>
      <c r="Y96" s="74">
        <v>0</v>
      </c>
      <c r="Z96" s="72" t="str">
        <f>IF(ISERROR(Y96/Q96),"NA",IF(OR(Y96/Q96&gt;2,Y96/Q96&lt;0.5),"NM",Y96/Q96*100-100))</f>
        <v>NA</v>
      </c>
      <c r="AA96" s="74">
        <v>0</v>
      </c>
      <c r="AB96" s="72" t="str">
        <f>IF(ISERROR(AA96/S96),"NA",IF(OR(AA96/S96&gt;2,AA96/S96&lt;0.5),"NM",AA96/S96*100-100))</f>
        <v>NA</v>
      </c>
      <c r="AC96" s="74">
        <v>0</v>
      </c>
      <c r="AD96" s="72" t="str">
        <f>IF(ISERROR(AC96/U96),"NA",IF(OR(AC96/U96&gt;2,AC96/U96&lt;0.5),"NM",AC96/U96*100-100))</f>
        <v>NA</v>
      </c>
      <c r="AE96" s="74">
        <v>0</v>
      </c>
      <c r="AF96" s="72" t="str">
        <f>IF(ISERROR(AE96/W96),"NA",IF(OR(AE96/W96&gt;2,AE96/W96&lt;0.5),"NM",AE96/W96*100-100))</f>
        <v>NA</v>
      </c>
      <c r="AG96" s="74">
        <v>0</v>
      </c>
      <c r="AH96" s="72" t="str">
        <f>IF(ISERROR(AG96/Y96),"NA",IF(OR(AG96/Y96&gt;2,AG96/Y96&lt;0.5),"NM",AG96/Y96*100-100))</f>
        <v>NA</v>
      </c>
      <c r="AI96" s="74">
        <v>0</v>
      </c>
      <c r="AJ96" s="72" t="str">
        <f>IF(ISERROR(AI96/AA96),"NA",IF(OR(AI96/AA96&gt;2,AI96/AA96&lt;0.5),"NM",AI96/AA96*100-100))</f>
        <v>NA</v>
      </c>
      <c r="AK96" s="74">
        <v>0</v>
      </c>
      <c r="AL96" s="72" t="str">
        <f>IF(ISERROR(AK96/AC96),"NA",IF(OR(AK96/AC96&gt;2,AK96/AC96&lt;0.5),"NM",AK96/AC96*100-100))</f>
        <v>NA</v>
      </c>
      <c r="AM96" s="74">
        <v>0</v>
      </c>
      <c r="AN96" s="72" t="str">
        <f>IF(ISERROR(AM96/AE96),"NA",IF(OR(AM96/AE96&gt;2,AM96/AE96&lt;0.5),"NM",AM96/AE96*100-100))</f>
        <v>NA</v>
      </c>
      <c r="AO96" s="74">
        <f>44-6</f>
        <v>38</v>
      </c>
      <c r="AP96" s="72" t="str">
        <f>IF(ISERROR(AO96/AG96),"NA",IF(OR(AO96/AG96&gt;2,AO96/AG96&lt;0.5),"NM",AO96/AG96*100-100))</f>
        <v>NA</v>
      </c>
      <c r="AQ96" s="74">
        <v>9</v>
      </c>
      <c r="AR96" s="72" t="str">
        <f>IF(ISERROR(AQ96/AI96),"NA",IF(OR(AQ96/AI96&gt;2,AQ96/AI96&lt;0.5),"NM",AQ96/AI96*100-100))</f>
        <v>NA</v>
      </c>
      <c r="AS96" s="74">
        <v>6</v>
      </c>
      <c r="AT96" s="72" t="str">
        <f>IF(ISERROR(AS96/AK96),"NA",IF(OR(AS96/AK96&gt;2,AS96/AK96&lt;0.5),"NM",AS96/AK96*100-100))</f>
        <v>NA</v>
      </c>
      <c r="AU96" s="74">
        <v>57</v>
      </c>
      <c r="AV96" s="72" t="str">
        <f>IF(ISERROR(AU96/AM96),"NA",IF(OR(AU96/AM96&gt;2,AU96/AM96&lt;0.5),"NM",AU96/AM96*100-100))</f>
        <v>NA</v>
      </c>
      <c r="AW96" s="74">
        <v>30</v>
      </c>
      <c r="AX96" s="72">
        <f>IF(ISERROR(AW96/AO96),"NA",IF(OR(AW96/AO96&gt;2,AW96/AO96&lt;0.5),"NM",AW96/AO96*100-100))</f>
        <v>-21.05263157894737</v>
      </c>
      <c r="AY96" s="74">
        <v>0</v>
      </c>
      <c r="AZ96" s="72" t="str">
        <f>IF(ISERROR(AY96/AQ96),"NA",IF(OR(AY96/AQ96&gt;2,AY96/AQ96&lt;0.5),"NM",AY96/AQ96*100-100))</f>
        <v>NM</v>
      </c>
      <c r="BA96" s="74">
        <v>0</v>
      </c>
      <c r="BB96" s="72" t="str">
        <f>IF(ISERROR(BA96/AS96),"NA",IF(OR(BA96/AS96&gt;2,BA96/AS96&lt;0.5),"NM",BA96/AS96*100-100))</f>
        <v>NM</v>
      </c>
      <c r="BC96" s="74">
        <v>37</v>
      </c>
      <c r="BD96" s="72">
        <f>IF(ISERROR(BC96/AU96),"NA",IF(OR(BC96/AU96&gt;2,BC96/AU96&lt;0.5),"NM",BC96/AU96*100-100))</f>
        <v>-35.087719298245617</v>
      </c>
      <c r="BE96" s="74">
        <v>0</v>
      </c>
      <c r="BF96" s="72" t="str">
        <f>IF(ISERROR(BE96/AW96),"NA",IF(OR(BE96/AW96&gt;2,BE96/AW96&lt;0.5),"NM",BE96/AW96*100-100))</f>
        <v>NM</v>
      </c>
      <c r="BG96" s="74">
        <v>0</v>
      </c>
      <c r="BH96" s="72" t="str">
        <f>IF(ISERROR(BG96/AY96),"NA",IF(OR(BG96/AY96&gt;2,BG96/AY96&lt;0.5),"NM",BG96/AY96*100-100))</f>
        <v>NA</v>
      </c>
      <c r="BI96" s="74">
        <v>0</v>
      </c>
      <c r="BJ96" s="72" t="str">
        <f>IF(ISERROR(BI96/BA96),"NA",IF(OR(BI96/BA96&gt;2,BI96/BA96&lt;0.5),"NM",BI96/BA96*100-100))</f>
        <v>NA</v>
      </c>
      <c r="BK96" s="74">
        <f>30-3</f>
        <v>27</v>
      </c>
      <c r="BL96" s="72">
        <f>IF(ISERROR(BK96/BC96),"NA",IF(OR(BK96/BC96&gt;2,BK96/BC96&lt;0.5),"NM",BK96/BC96*100-100))</f>
        <v>-27.027027027027032</v>
      </c>
      <c r="BM96" s="74">
        <v>-4</v>
      </c>
      <c r="BN96" s="72" t="str">
        <f>IF(ISERROR(BM96/BE96),"NA",IF(OR(BM96/BE96&gt;2,BM96/BE96&lt;0.5),"NM",BM96/BE96*100-100))</f>
        <v>NA</v>
      </c>
      <c r="BO96" s="74">
        <v>0</v>
      </c>
      <c r="BP96" s="72" t="str">
        <f>IF(ISERROR(BO96/BG96),"NA",IF(OR(BO96/BG96&gt;2,BO96/BG96&lt;0.5),"NM",BO96/BG96*100-100))</f>
        <v>NA</v>
      </c>
      <c r="BQ96" s="74">
        <v>0</v>
      </c>
      <c r="BR96" s="72" t="str">
        <f>IF(ISERROR(BQ96/BI96),"NA",IF(OR(BQ96/BI96&gt;2,BQ96/BI96&lt;0.5),"NM",BQ96/BI96*100-100))</f>
        <v>NA</v>
      </c>
      <c r="BS96" s="74">
        <f>-380-37</f>
        <v>-417</v>
      </c>
      <c r="BT96" s="72" t="str">
        <f>IF(ISERROR(BS96/BK96),"NA",IF(OR(BS96/BK96&gt;2,BS96/BK96&lt;0.5),"NM",BS96/BK96*100-100))</f>
        <v>NM</v>
      </c>
      <c r="BU96" s="74">
        <f>-97-1037</f>
        <v>-1134</v>
      </c>
      <c r="BV96" s="72" t="str">
        <f>IF(ISERROR(BU96/BM96),"NA",IF(OR(BU96/BM96&gt;2,BU96/BM96&lt;0.5),"NM",BU96/BM96*100-100))</f>
        <v>NM</v>
      </c>
      <c r="BW96" s="74">
        <f>-112+261-215-261</f>
        <v>-327</v>
      </c>
      <c r="BX96" s="72" t="str">
        <f>IF(ISERROR(BW96/BO96),"NA",IF(OR(BW96/BO96&gt;2,BW96/BO96&lt;0.5),"NM",BW96/BO96*100-100))</f>
        <v>NA</v>
      </c>
      <c r="BY96" s="74">
        <f>142+274</f>
        <v>416</v>
      </c>
      <c r="BZ96" s="72" t="str">
        <f>IF(ISERROR(BY96/BQ96),"NA",IF(OR(BY96/BQ96&gt;2,BY96/BQ96&lt;0.5),"NM",BY96/BQ96*100-100))</f>
        <v>NA</v>
      </c>
      <c r="CA96" s="74">
        <f>260-180</f>
        <v>80</v>
      </c>
      <c r="CB96" s="72" t="str">
        <f>IF(ISERROR(CA96/BS96),"NA",IF(OR(CA96/BS96&gt;2,CA96/BS96&lt;0.5),"NM",CA96/BS96*100-100))</f>
        <v>NM</v>
      </c>
      <c r="CC96" s="74">
        <f>47+32</f>
        <v>79</v>
      </c>
      <c r="CD96" s="72" t="str">
        <f>IF(ISERROR(CC96/BU96),"NA",IF(OR(CC96/BU96&gt;2,CC96/BU96&lt;0.5),"NM",CC96/BU96*100-100))</f>
        <v>NM</v>
      </c>
      <c r="CE96" s="74">
        <v>99</v>
      </c>
      <c r="CF96" s="72" t="str">
        <f>IF(ISERROR(CE96/BW96),"NA",IF(OR(CE96/BW96&gt;2,CE96/BW96&lt;0.5),"NM",CE96/BW96*100-100))</f>
        <v>NM</v>
      </c>
      <c r="CG96" s="74">
        <f>-88-196</f>
        <v>-284</v>
      </c>
      <c r="CH96" s="72" t="str">
        <f>IF(ISERROR(CG96/BY96),"NA",IF(OR(CG96/BY96&gt;2,CG96/BY96&lt;0.5),"NM",CG96/BY96*100-100))</f>
        <v>NM</v>
      </c>
      <c r="CI96" s="74">
        <f>245+167</f>
        <v>412</v>
      </c>
      <c r="CJ96" s="72" t="str">
        <f>IF(ISERROR(CI96/CA96),"NA",IF(OR(CI96/CA96&gt;2,CI96/CA96&lt;0.5),"NM",CI96/CA96*100-100))</f>
        <v>NM</v>
      </c>
      <c r="CK96" s="74">
        <v>146</v>
      </c>
      <c r="CL96" s="72">
        <f>IF(ISERROR(CK96/CC96),"NA",IF(OR(CK96/CC96&gt;2,CK96/CC96&lt;0.5),"NM",CK96/CC96*100-100))</f>
        <v>84.810126582278485</v>
      </c>
      <c r="CM96" s="74">
        <f>59.4-1</f>
        <v>58.4</v>
      </c>
      <c r="CN96" s="72">
        <f>IF(ISERROR(CM96/CE96),"NA",IF(OR(CM96/CE96&gt;2,CM96/CE96&lt;0.5),"NM",CM96/CE96*100-100))</f>
        <v>-41.01010101010101</v>
      </c>
      <c r="CO96" s="74">
        <v>-35</v>
      </c>
      <c r="CP96" s="72" t="str">
        <f>IF(ISERROR(CO96/CG96),"NA",IF(OR(CO96/CG96&gt;2,CO96/CG96&lt;0.5),"NM",CO96/CG96*100-100))</f>
        <v>NM</v>
      </c>
      <c r="CQ96" s="74">
        <v>-421</v>
      </c>
      <c r="CR96" s="72" t="str">
        <f>IF(ISERROR(CQ96/CI96),"NA",IF(OR(CQ96/CI96&gt;2,CQ96/CI96&lt;0.5),"NM",CQ96/CI96*100-100))</f>
        <v>NM</v>
      </c>
      <c r="CS96" s="74">
        <v>176</v>
      </c>
      <c r="CT96" s="72">
        <f>IF(ISERROR(CS96/CK96),"NA",IF(OR(CS96/CK96&gt;2,CS96/CK96&lt;0.5),"NM",CS96/CK96*100-100))</f>
        <v>20.547945205479451</v>
      </c>
      <c r="CU96" s="74">
        <f>136+60</f>
        <v>196</v>
      </c>
      <c r="CV96" s="72" t="str">
        <f>IF(ISERROR(CU96/CM96),"NA",IF(OR(CU96/CM96&gt;2,CU96/CM96&lt;0.5),"NM",CU96/CM96*100-100))</f>
        <v>NM</v>
      </c>
      <c r="CW96" s="74">
        <v>-124</v>
      </c>
      <c r="CX96" s="72" t="str">
        <f>IF(ISERROR(CW96/CO96),"NA",IF(OR(CW96/CO96&gt;2,CW96/CO96&lt;0.5),"NM",CW96/CO96*100-100))</f>
        <v>NM</v>
      </c>
      <c r="CY96" s="74">
        <f>58-106</f>
        <v>-48</v>
      </c>
      <c r="CZ96" s="72" t="str">
        <f>IF(ISERROR(CY96/CQ96),"NA",IF(OR(CY96/CQ96&gt;2,CY96/CQ96&lt;0.5),"NM",CY96/CQ96*100-100))</f>
        <v>NM</v>
      </c>
      <c r="DA96" s="74">
        <f>57-9-17</f>
        <v>31</v>
      </c>
      <c r="DB96" s="72" t="str">
        <f>IF(ISERROR(DA96/CS96),"NA",IF(OR(DA96/CS96&gt;2,DA96/CS96&lt;0.5),"NM",DA96/CS96*100-100))</f>
        <v>NM</v>
      </c>
      <c r="DC96" s="74">
        <v>62</v>
      </c>
      <c r="DD96" s="72" t="str">
        <f>IF(ISERROR(DC96/CU96),"NA",IF(OR(DC96/CU96&gt;2,DC96/CU96&lt;0.5),"NM",DC96/CU96*100-100))</f>
        <v>NM</v>
      </c>
      <c r="DE96" s="74">
        <v>75</v>
      </c>
      <c r="DF96" s="72" t="str">
        <f>IF(ISERROR(DE96/CW96),"NA",IF(OR(DE96/CW96&gt;2,DE96/CW96&lt;0.5),"NM",DE96/CW96*100-100))</f>
        <v>NM</v>
      </c>
      <c r="DG96" s="74">
        <f>301+150</f>
        <v>451</v>
      </c>
      <c r="DH96" s="72" t="str">
        <f>IF(ISERROR(DG96/CY96),"NA",IF(OR(DG96/CY96&gt;2,DG96/CY96&lt;0.5),"NM",DG96/CY96*100-100))</f>
        <v>NM</v>
      </c>
      <c r="DI96" s="74">
        <v>108</v>
      </c>
      <c r="DJ96" s="72" t="str">
        <f>IF(ISERROR(DI96/DA96),"NA",IF(OR(DI96/DA96&gt;2,DI96/DA96&lt;0.5),"NM",DI96/DA96*100-100))</f>
        <v>NM</v>
      </c>
      <c r="DK96" s="74">
        <v>-21</v>
      </c>
      <c r="DL96" s="72" t="str">
        <f>IF(ISERROR(DK96/DC96),"NA",IF(OR(DK96/DC96&gt;2,DK96/DC96&lt;0.5),"NM",DK96/DC96*100-100))</f>
        <v>NM</v>
      </c>
      <c r="DM96" s="74">
        <v>-4</v>
      </c>
      <c r="DN96" s="72" t="str">
        <f t="shared" ref="DN96:DZ99" si="586">IF(ISERROR(DM96/DE96),"NA",IF(OR(DM96/DE96&gt;2,DM96/DE96&lt;0.5),"NM",DM96/DE96*100-100))</f>
        <v>NM</v>
      </c>
      <c r="DO96" s="74">
        <f>-50+14</f>
        <v>-36</v>
      </c>
      <c r="DP96" s="72" t="str">
        <f t="shared" si="586"/>
        <v>NM</v>
      </c>
      <c r="DQ96" s="74">
        <v>-68</v>
      </c>
      <c r="DR96" s="72" t="str">
        <f t="shared" si="586"/>
        <v>NM</v>
      </c>
      <c r="DS96" s="74">
        <v>106</v>
      </c>
      <c r="DT96" s="72" t="str">
        <f t="shared" si="586"/>
        <v>NM</v>
      </c>
      <c r="DU96" s="74">
        <f>94+31</f>
        <v>125</v>
      </c>
      <c r="DV96" s="72" t="str">
        <f t="shared" si="586"/>
        <v>NM</v>
      </c>
      <c r="DW96" s="74">
        <v>-104</v>
      </c>
      <c r="DX96" s="72" t="str">
        <f t="shared" si="586"/>
        <v>NM</v>
      </c>
      <c r="DY96" s="74">
        <v>7</v>
      </c>
      <c r="DZ96" s="72" t="str">
        <f t="shared" si="586"/>
        <v>NM</v>
      </c>
      <c r="EA96" s="74">
        <v>-53</v>
      </c>
      <c r="EB96" s="72" t="str">
        <f>IF(ISERROR(EA96/DS96),"NA",IF(OR(EA96/DS96&gt;2,EA96/DS96&lt;0.5),"NM",EA96/DS96*100-100))</f>
        <v>NM</v>
      </c>
      <c r="EC96" s="74">
        <f>4+48</f>
        <v>52</v>
      </c>
      <c r="ED96" s="72" t="str">
        <f>IF(ISERROR(EC96/DU96),"NA",IF(OR(EC96/DU96&gt;2,EC96/DU96&lt;0.5),"NM",EC96/DU96*100-100))</f>
        <v>NM</v>
      </c>
      <c r="EE96" s="74">
        <f>139</f>
        <v>139</v>
      </c>
      <c r="EF96" s="72" t="str">
        <f>IF(ISERROR(EE96/DW96),"NA",IF(OR(EE96/DW96&gt;2,EE96/DW96&lt;0.5),"NM",EE96/DW96*100-100))</f>
        <v>NM</v>
      </c>
      <c r="EG96" s="74">
        <v>0</v>
      </c>
      <c r="EH96" s="72" t="str">
        <f>IF(ISERROR(EG96/DY96),"NA",IF(OR(EG96/DY96&gt;2,EG96/DY96&lt;0.5),"NM",EG96/DY96*100-100))</f>
        <v>NM</v>
      </c>
      <c r="EI96" s="74">
        <v>19.899999999999999</v>
      </c>
      <c r="EJ96" s="72" t="str">
        <f>IF(ISERROR(EI96/EA96),"NA",IF(OR(EI96/EA96&gt;2,EI96/EA96&lt;0.5),"NM",EI96/EA96*100-100))</f>
        <v>NM</v>
      </c>
      <c r="EK96" s="74">
        <v>100</v>
      </c>
      <c r="EL96" s="72">
        <f>IF(ISERROR(EK96/EC96),"NA",IF(OR(EK96/EC96&gt;2,EK96/EC96&lt;0.5),"NM",EK96/EC96*100-100))</f>
        <v>92.307692307692321</v>
      </c>
      <c r="EM96" s="74">
        <v>48</v>
      </c>
      <c r="EN96" s="72" t="str">
        <f>IF(ISERROR(EM96/EE96),"NA",IF(OR(EM96/EE96&gt;2,EM96/EE96&lt;0.5),"NM",EM96/EE96*100-100))</f>
        <v>NM</v>
      </c>
      <c r="EO96" s="74">
        <v>16</v>
      </c>
      <c r="EP96" s="72" t="str">
        <f>IF(ISERROR(EO96/EG96),"NA",IF(OR(EO96/EG96&gt;2,EO96/EG96&lt;0.5),"NM",EO96/EG96*100-100))</f>
        <v>NA</v>
      </c>
      <c r="EQ96" s="74">
        <v>0</v>
      </c>
      <c r="ER96" s="72" t="str">
        <f t="shared" ref="ER96:ER99" si="587">IF(ISERROR(EQ96/EI96),"NA",IF(OR(EQ96/EI96&gt;2,EQ96/EI96&lt;0.5),"NM",EQ96/EI96*100-100))</f>
        <v>NM</v>
      </c>
      <c r="ES96" s="74">
        <v>0</v>
      </c>
      <c r="ET96" s="72" t="str">
        <f t="shared" ref="ET96:ET99" si="588">IF(ISERROR(ES96/EK96),"NA",IF(OR(ES96/EK96&gt;2,ES96/EK96&lt;0.5),"NM",ES96/EK96*100-100))</f>
        <v>NM</v>
      </c>
      <c r="EU96" s="74">
        <v>0</v>
      </c>
      <c r="EV96" s="72" t="str">
        <f t="shared" ref="EV96:EV99" si="589">IF(ISERROR(EU96/EM96),"NA",IF(OR(EU96/EM96&gt;2,EU96/EM96&lt;0.5),"NM",EU96/EM96*100-100))</f>
        <v>NM</v>
      </c>
      <c r="EW96" s="74">
        <v>0</v>
      </c>
      <c r="EX96" s="72" t="str">
        <f t="shared" ref="EX96:EX99" si="590">IF(ISERROR(EW96/EO96),"NA",IF(OR(EW96/EO96&gt;2,EW96/EO96&lt;0.5),"NM",EW96/EO96*100-100))</f>
        <v>NM</v>
      </c>
      <c r="EY96" s="72"/>
      <c r="EZ96" s="307"/>
      <c r="FA96" s="72"/>
      <c r="FB96" s="75">
        <v>0</v>
      </c>
      <c r="FC96" s="87"/>
      <c r="FD96" s="75">
        <v>0</v>
      </c>
      <c r="FE96" s="72" t="str">
        <f>IF(ISERROR(FD96/FB96),"NA",IF(OR(FD96/FB96&gt;2,FD96/FB96&lt;0.5),"NM",FD96/FB96*100-100))</f>
        <v>NA</v>
      </c>
      <c r="FF96" s="75">
        <v>0</v>
      </c>
      <c r="FG96" s="72" t="str">
        <f>IF(ISERROR(FF96/FD96),"NA",IF(OR(FF96/FD96&gt;2,FF96/FD96&lt;0.5),"NM",FF96/FD96*100-100))</f>
        <v>NA</v>
      </c>
      <c r="FH96" s="75">
        <v>0</v>
      </c>
      <c r="FI96" s="72" t="str">
        <f>IF(ISERROR(FH96/FF96),"NA",IF(OR(FH96/FF96&gt;2,FH96/FF96&lt;0.5),"NM",FH96/FF96*100-100))</f>
        <v>NA</v>
      </c>
      <c r="FJ96" s="75">
        <v>0</v>
      </c>
      <c r="FK96" s="72" t="str">
        <f>IF(ISERROR(FJ96/FH96),"NA",IF(OR(FJ96/FH96&gt;2,FJ96/FH96&lt;0.5),"NM",FJ96/FH96*100-100))</f>
        <v>NA</v>
      </c>
      <c r="FL96" s="75">
        <v>0</v>
      </c>
      <c r="FM96" s="72" t="str">
        <f>IF(ISERROR(FL96/FJ96),"NA",IF(OR(FL96/FJ96&gt;2,FL96/FJ96&lt;0.5),"NM",FL96/FJ96*100-100))</f>
        <v>NA</v>
      </c>
      <c r="FN96" s="75">
        <f>AI96+AK96+AM96+AO96</f>
        <v>38</v>
      </c>
      <c r="FO96" s="72" t="str">
        <f>IF(ISERROR(FN96/FL96),"NA",IF(OR(FN96/FL96&gt;2,FN96/FL96&lt;0.5),"NM",FN96/FL96*100-100))</f>
        <v>NA</v>
      </c>
      <c r="FP96" s="75">
        <f>AQ96+AS96+AU96+AW96</f>
        <v>102</v>
      </c>
      <c r="FQ96" s="72" t="str">
        <f>IF(ISERROR(FP96/FN96),"NA",IF(OR(FP96/FN96&gt;2,FP96/FN96&lt;0.5),"NM",FP96/FN96*100-100))</f>
        <v>NM</v>
      </c>
      <c r="FR96" s="75">
        <f>SUM(AY96,BA96,BC96,BE96)</f>
        <v>37</v>
      </c>
      <c r="FS96" s="72" t="str">
        <f>IF(ISERROR(FR96/FP96),"NA",IF(OR(FR96/FP96&gt;2,FR96/FP96&lt;0.5),"NM",FR96/FP96*100-100))</f>
        <v>NM</v>
      </c>
      <c r="FT96" s="75">
        <f>SUM(BG96,BI96,BK96,BM96)</f>
        <v>23</v>
      </c>
      <c r="FU96" s="72">
        <f>IF(ISERROR(FT96/FR96),"NA",IF(OR(FT96/FR96&gt;2,FT96/FR96&lt;0.5),"NM",FT96/FR96*100-100))</f>
        <v>-37.837837837837839</v>
      </c>
      <c r="FV96" s="75">
        <f>BO96+BQ96+BS96+BU96</f>
        <v>-1551</v>
      </c>
      <c r="FW96" s="72" t="str">
        <f>IF(ISERROR(FV96/FT96),"NA",IF(OR(FV96/FT96&gt;2,FV96/FT96&lt;0.5),"NM",FV96/FT96*100-100))</f>
        <v>NM</v>
      </c>
      <c r="FX96" s="75">
        <f>BW96+BY96+CA96+CC96</f>
        <v>248</v>
      </c>
      <c r="FY96" s="72" t="str">
        <f>IF(ISERROR(FX96/FV96),"NA",IF(OR(FX96/FV96&gt;2,FX96/FV96&lt;0.5),"NM",FX96/FV96*100-100))</f>
        <v>NM</v>
      </c>
      <c r="FZ96" s="75">
        <f>CE96+CG96+CI96+CK96</f>
        <v>373</v>
      </c>
      <c r="GA96" s="72">
        <f>IF(ISERROR(FZ96/FX96),"NA",IF(OR(FZ96/FX96&gt;2,FZ96/FX96&lt;0.5),"NM",FZ96/FX96*100-100))</f>
        <v>50.403225806451616</v>
      </c>
      <c r="GB96" s="75">
        <f>CM96+CO96+CQ96+CS96</f>
        <v>-221.60000000000002</v>
      </c>
      <c r="GC96" s="72" t="str">
        <f>IF(ISERROR(GB96/FZ96),"NA",IF(OR(GB96/FZ96&gt;2,GB96/FZ96&lt;0.5),"NM",GB96/FZ96*100-100))</f>
        <v>NM</v>
      </c>
      <c r="GD96" s="75">
        <f>CU96+CW96+CY96+DA96</f>
        <v>55</v>
      </c>
      <c r="GE96" s="72" t="str">
        <f>IF(ISERROR(GD96/GB96),"NA",IF(OR(GD96/GB96&gt;2,GD96/GB96&lt;0.5),"NM",GD96/GB96*100-100))</f>
        <v>NM</v>
      </c>
      <c r="GF96" s="75">
        <f>DC96+DE96+DG96+DI96</f>
        <v>696</v>
      </c>
      <c r="GG96" s="72" t="str">
        <f>IF(ISERROR(GF96/GD96),"NA",IF(OR(GF96/GD96&gt;2,GF96/GD96&lt;0.5),"NM",GF96/GD96*100-100))</f>
        <v>NM</v>
      </c>
      <c r="GH96" s="75">
        <f>DK96+DM96+DO96+DQ96</f>
        <v>-129</v>
      </c>
      <c r="GI96" s="72" t="str">
        <f t="shared" ref="GI96:GU98" si="591">IF(ISERROR(GH96/GF96),"NA",IF(OR(GH96/GF96&gt;2,GH96/GF96&lt;0.5),"NM",GH96/GF96*100-100))</f>
        <v>NM</v>
      </c>
      <c r="GJ96" s="75">
        <f>DS96+DU96+DW96+DY96</f>
        <v>134</v>
      </c>
      <c r="GK96" s="72" t="str">
        <f t="shared" si="591"/>
        <v>NM</v>
      </c>
      <c r="GL96" s="75">
        <f>EA96+EC96+EE96+EG96</f>
        <v>138</v>
      </c>
      <c r="GM96" s="72">
        <f t="shared" si="591"/>
        <v>2.985074626865682</v>
      </c>
      <c r="GN96" s="75">
        <f>EI96+EK96+EM96+EO96</f>
        <v>183.9</v>
      </c>
      <c r="GO96" s="72">
        <f t="shared" si="591"/>
        <v>33.260869565217376</v>
      </c>
      <c r="GP96" s="75">
        <f>EQ96+ES96+EU96+EW96</f>
        <v>0</v>
      </c>
      <c r="GQ96" s="72" t="str">
        <f t="shared" si="591"/>
        <v>NM</v>
      </c>
      <c r="GR96" s="74">
        <v>0</v>
      </c>
      <c r="GS96" s="72" t="str">
        <f t="shared" si="591"/>
        <v>NA</v>
      </c>
      <c r="GT96" s="74">
        <v>0</v>
      </c>
      <c r="GU96" s="72" t="str">
        <f t="shared" si="591"/>
        <v>NA</v>
      </c>
      <c r="GV96" s="74">
        <v>0</v>
      </c>
      <c r="GW96" s="72" t="str">
        <f>IF(ISERROR(GV96/GT96),"NA",IF(OR(GV96/GT96&gt;2,GV96/GT96&lt;0.5),"NM",GV96/GT96*100-100))</f>
        <v>NA</v>
      </c>
      <c r="GX96" s="74">
        <v>0</v>
      </c>
      <c r="GY96" s="72" t="str">
        <f>IF(ISERROR(GX96/GV96),"NA",IF(OR(GX96/GV96&gt;2,GX96/GV96&lt;0.5),"NM",GX96/GV96*100-100))</f>
        <v>NA</v>
      </c>
      <c r="GZ96" s="72" t="str">
        <f>IF(ISERROR(((GX96/GN96)^0.2-1)*100),"NA",IF((((GX96/GN96)^0.2-1)*100)&gt;100,"NM",IF((((GX96/GN96)^0.2-1)*100)&lt;-50,"NM",((GX96/GN96)^0.2-1)*100)))</f>
        <v>NM</v>
      </c>
      <c r="HA96" s="72"/>
      <c r="HB96" s="72"/>
      <c r="HC96"/>
      <c r="HD96"/>
      <c r="HE96"/>
      <c r="HF96"/>
      <c r="HG96"/>
      <c r="HH96"/>
      <c r="HI96" s="2"/>
    </row>
    <row r="97" spans="1:217" s="78" customFormat="1" ht="12.75" customHeight="1" x14ac:dyDescent="0.2">
      <c r="A97" s="3"/>
      <c r="B97" s="70" t="s">
        <v>539</v>
      </c>
      <c r="C97" s="91">
        <f>C93-C96</f>
        <v>71</v>
      </c>
      <c r="D97" s="80"/>
      <c r="E97" s="91">
        <f>E93-E96</f>
        <v>32</v>
      </c>
      <c r="F97" s="80"/>
      <c r="G97" s="91">
        <f>G93-G96</f>
        <v>36</v>
      </c>
      <c r="H97" s="80"/>
      <c r="I97" s="91">
        <f>I93-I96</f>
        <v>8</v>
      </c>
      <c r="J97" s="80"/>
      <c r="K97" s="91">
        <f>K93-K96</f>
        <v>35</v>
      </c>
      <c r="L97" s="72" t="str">
        <f>IF(ISERROR(K97/C97),"NA",IF(OR(K97/C97&gt;2,K97/C97&lt;0.5),"NM",K97/C97*100-100))</f>
        <v>NM</v>
      </c>
      <c r="M97" s="91">
        <f>M93-M96</f>
        <v>42</v>
      </c>
      <c r="N97" s="72">
        <f>IF(ISERROR(M97/E97),"NA",IF(OR(M97/E97&gt;2,M97/E97&lt;0.5),"NM",M97/E97*100-100))</f>
        <v>31.25</v>
      </c>
      <c r="O97" s="91">
        <f>O93-O96</f>
        <v>8</v>
      </c>
      <c r="P97" s="72" t="str">
        <f>IF(ISERROR(O97/G97),"NA",IF(OR(O97/G97&gt;2,O97/G97&lt;0.5),"NM",O97/G97*100-100))</f>
        <v>NM</v>
      </c>
      <c r="Q97" s="91">
        <f>Q93-Q96</f>
        <v>22</v>
      </c>
      <c r="R97" s="72" t="str">
        <f>IF(ISERROR(Q97/I97),"NA",IF(OR(Q97/I97&gt;2,Q97/I97&lt;0.5),"NM",Q97/I97*100-100))</f>
        <v>NM</v>
      </c>
      <c r="S97" s="91">
        <f>S93-S96</f>
        <v>29</v>
      </c>
      <c r="T97" s="72">
        <f>IF(ISERROR(S97/K97),"NA",IF(OR(S97/K97&gt;2,S97/K97&lt;0.5),"NM",S97/K97*100-100))</f>
        <v>-17.142857142857139</v>
      </c>
      <c r="U97" s="91">
        <f>U93-U96</f>
        <v>-17</v>
      </c>
      <c r="V97" s="72" t="str">
        <f>IF(ISERROR(U97/M97),"NA",IF(OR(U97/M97&gt;2,U97/M97&lt;0.5),"NM",U97/M97*100-100))</f>
        <v>NM</v>
      </c>
      <c r="W97" s="91">
        <f>W93-W96</f>
        <v>-69</v>
      </c>
      <c r="X97" s="72" t="str">
        <f>IF(ISERROR(W97/O97),"NA",IF(OR(W97/O97&gt;2,W97/O97&lt;0.5),"NM",W97/O97*100-100))</f>
        <v>NM</v>
      </c>
      <c r="Y97" s="91">
        <f>Y93-Y96</f>
        <v>15</v>
      </c>
      <c r="Z97" s="72">
        <f>IF(ISERROR(Y97/Q97),"NA",IF(OR(Y97/Q97&gt;2,Y97/Q97&lt;0.5),"NM",Y97/Q97*100-100))</f>
        <v>-31.818181818181827</v>
      </c>
      <c r="AA97" s="91">
        <f>AA93-AA96</f>
        <v>23</v>
      </c>
      <c r="AB97" s="72">
        <f>IF(ISERROR(AA97/S97),"NA",IF(OR(AA97/S97&gt;2,AA97/S97&lt;0.5),"NM",AA97/S97*100-100))</f>
        <v>-20.689655172413794</v>
      </c>
      <c r="AC97" s="91">
        <f>AC93-AC96</f>
        <v>65</v>
      </c>
      <c r="AD97" s="72" t="str">
        <f>IF(ISERROR(AC97/U97),"NA",IF(OR(AC97/U97&gt;2,AC97/U97&lt;0.5),"NM",AC97/U97*100-100))</f>
        <v>NM</v>
      </c>
      <c r="AE97" s="91">
        <f>AE93-AE96</f>
        <v>78</v>
      </c>
      <c r="AF97" s="72" t="str">
        <f>IF(ISERROR(AE97/W97),"NA",IF(OR(AE97/W97&gt;2,AE97/W97&lt;0.5),"NM",AE97/W97*100-100))</f>
        <v>NM</v>
      </c>
      <c r="AG97" s="91">
        <f>AG93-AG96</f>
        <v>96</v>
      </c>
      <c r="AH97" s="72" t="str">
        <f>IF(ISERROR(AG97/Y97),"NA",IF(OR(AG97/Y97&gt;2,AG97/Y97&lt;0.5),"NM",AG97/Y97*100-100))</f>
        <v>NM</v>
      </c>
      <c r="AI97" s="91">
        <f>AI93-AI96</f>
        <v>98</v>
      </c>
      <c r="AJ97" s="72" t="str">
        <f>IF(ISERROR(AI97/AA97),"NA",IF(OR(AI97/AA97&gt;2,AI97/AA97&lt;0.5),"NM",AI97/AA97*100-100))</f>
        <v>NM</v>
      </c>
      <c r="AK97" s="91">
        <f>AK93-AK96</f>
        <v>94</v>
      </c>
      <c r="AL97" s="72">
        <f>IF(ISERROR(AK97/AC97),"NA",IF(OR(AK97/AC97&gt;2,AK97/AC97&lt;0.5),"NM",AK97/AC97*100-100))</f>
        <v>44.615384615384613</v>
      </c>
      <c r="AM97" s="91">
        <f>AM93-AM96</f>
        <v>96</v>
      </c>
      <c r="AN97" s="72">
        <f>IF(ISERROR(AM97/AE97),"NA",IF(OR(AM97/AE97&gt;2,AM97/AE97&lt;0.5),"NM",AM97/AE97*100-100))</f>
        <v>23.07692307692308</v>
      </c>
      <c r="AO97" s="91">
        <f>AO93-AO96</f>
        <v>101</v>
      </c>
      <c r="AP97" s="72">
        <f>IF(ISERROR(AO97/AG97),"NA",IF(OR(AO97/AG97&gt;2,AO97/AG97&lt;0.5),"NM",AO97/AG97*100-100))</f>
        <v>5.2083333333333286</v>
      </c>
      <c r="AQ97" s="91">
        <f>AQ93-AQ96</f>
        <v>91</v>
      </c>
      <c r="AR97" s="72">
        <f>IF(ISERROR(AQ97/AI97),"NA",IF(OR(AQ97/AI97&gt;2,AQ97/AI97&lt;0.5),"NM",AQ97/AI97*100-100))</f>
        <v>-7.1428571428571388</v>
      </c>
      <c r="AS97" s="91">
        <f>AS93-AS96</f>
        <v>95</v>
      </c>
      <c r="AT97" s="72">
        <f>IF(ISERROR(AS97/AK97),"NA",IF(OR(AS97/AK97&gt;2,AS97/AK97&lt;0.5),"NM",AS97/AK97*100-100))</f>
        <v>1.0638297872340559</v>
      </c>
      <c r="AU97" s="91">
        <f>AU93-AU96</f>
        <v>104</v>
      </c>
      <c r="AV97" s="72">
        <f>IF(ISERROR(AU97/AM97),"NA",IF(OR(AU97/AM97&gt;2,AU97/AM97&lt;0.5),"NM",AU97/AM97*100-100))</f>
        <v>8.3333333333333286</v>
      </c>
      <c r="AW97" s="91">
        <f>AW93-AW96</f>
        <v>113</v>
      </c>
      <c r="AX97" s="72">
        <f>IF(ISERROR(AW97/AO97),"NA",IF(OR(AW97/AO97&gt;2,AW97/AO97&lt;0.5),"NM",AW97/AO97*100-100))</f>
        <v>11.881188118811892</v>
      </c>
      <c r="AY97" s="91">
        <f>AY93-AY96</f>
        <v>118</v>
      </c>
      <c r="AZ97" s="72">
        <f>IF(ISERROR(AY97/AQ97),"NA",IF(OR(AY97/AQ97&gt;2,AY97/AQ97&lt;0.5),"NM",AY97/AQ97*100-100))</f>
        <v>29.670329670329664</v>
      </c>
      <c r="BA97" s="91">
        <f>BA93-BA96</f>
        <v>122</v>
      </c>
      <c r="BB97" s="72">
        <f>IF(ISERROR(BA97/AS97),"NA",IF(OR(BA97/AS97&gt;2,BA97/AS97&lt;0.5),"NM",BA97/AS97*100-100))</f>
        <v>28.421052631578959</v>
      </c>
      <c r="BC97" s="91">
        <f>BC93-BC96</f>
        <v>155</v>
      </c>
      <c r="BD97" s="72">
        <f>IF(ISERROR(BC97/AU97),"NA",IF(OR(BC97/AU97&gt;2,BC97/AU97&lt;0.5),"NM",BC97/AU97*100-100))</f>
        <v>49.038461538461547</v>
      </c>
      <c r="BE97" s="91">
        <f>BE93-BE96</f>
        <v>154</v>
      </c>
      <c r="BF97" s="72">
        <f>IF(ISERROR(BE97/AW97),"NA",IF(OR(BE97/AW97&gt;2,BE97/AW97&lt;0.5),"NM",BE97/AW97*100-100))</f>
        <v>36.283185840707944</v>
      </c>
      <c r="BG97" s="91">
        <f>BG93-BG96</f>
        <v>166</v>
      </c>
      <c r="BH97" s="72">
        <f>IF(ISERROR(BG97/AY97),"NA",IF(OR(BG97/AY97&gt;2,BG97/AY97&lt;0.5),"NM",BG97/AY97*100-100))</f>
        <v>40.677966101694921</v>
      </c>
      <c r="BI97" s="91">
        <f>BI93-BI96</f>
        <v>180</v>
      </c>
      <c r="BJ97" s="72">
        <f>IF(ISERROR(BI97/BA97),"NA",IF(OR(BI97/BA97&gt;2,BI97/BA97&lt;0.5),"NM",BI97/BA97*100-100))</f>
        <v>47.540983606557376</v>
      </c>
      <c r="BK97" s="91">
        <f>BK93-BK96</f>
        <v>178</v>
      </c>
      <c r="BL97" s="72">
        <f>IF(ISERROR(BK97/BC97),"NA",IF(OR(BK97/BC97&gt;2,BK97/BC97&lt;0.5),"NM",BK97/BC97*100-100))</f>
        <v>14.838709677419359</v>
      </c>
      <c r="BM97" s="91">
        <f>BM93-BM96</f>
        <v>175</v>
      </c>
      <c r="BN97" s="72">
        <f>IF(ISERROR(BM97/BE97),"NA",IF(OR(BM97/BE97&gt;2,BM97/BE97&lt;0.5),"NM",BM97/BE97*100-100))</f>
        <v>13.63636363636364</v>
      </c>
      <c r="BO97" s="91">
        <f>BO93-BO96</f>
        <v>115</v>
      </c>
      <c r="BP97" s="72">
        <f>IF(ISERROR(BO97/BG97),"NA",IF(OR(BO97/BG97&gt;2,BO97/BG97&lt;0.5),"NM",BO97/BG97*100-100))</f>
        <v>-30.722891566265062</v>
      </c>
      <c r="BQ97" s="91">
        <f>BQ93-BQ96</f>
        <v>154</v>
      </c>
      <c r="BR97" s="72">
        <f>IF(ISERROR(BQ97/BI97),"NA",IF(OR(BQ97/BI97&gt;2,BQ97/BI97&lt;0.5),"NM",BQ97/BI97*100-100))</f>
        <v>-14.444444444444443</v>
      </c>
      <c r="BS97" s="91">
        <f>BS93-BS96</f>
        <v>110</v>
      </c>
      <c r="BT97" s="72">
        <f>IF(ISERROR(BS97/BK97),"NA",IF(OR(BS97/BK97&gt;2,BS97/BK97&lt;0.5),"NM",BS97/BK97*100-100))</f>
        <v>-38.202247191011239</v>
      </c>
      <c r="BU97" s="91">
        <f>BU93-BU96</f>
        <v>95</v>
      </c>
      <c r="BV97" s="72">
        <f>IF(ISERROR(BU97/BM97),"NA",IF(OR(BU97/BM97&gt;2,BU97/BM97&lt;0.5),"NM",BU97/BM97*100-100))</f>
        <v>-45.714285714285715</v>
      </c>
      <c r="BW97" s="91">
        <f>BW93-BW96</f>
        <v>83</v>
      </c>
      <c r="BX97" s="72">
        <f>IF(ISERROR(BW97/BO97),"NA",IF(OR(BW97/BO97&gt;2,BW97/BO97&lt;0.5),"NM",BW97/BO97*100-100))</f>
        <v>-27.826086956521735</v>
      </c>
      <c r="BY97" s="91">
        <f>BY93-BY96</f>
        <v>73</v>
      </c>
      <c r="BZ97" s="72" t="str">
        <f>IF(ISERROR(BY97/BQ97),"NA",IF(OR(BY97/BQ97&gt;2,BY97/BQ97&lt;0.5),"NM",BY97/BQ97*100-100))</f>
        <v>NM</v>
      </c>
      <c r="CA97" s="91">
        <f>CA93-CA96</f>
        <v>235</v>
      </c>
      <c r="CB97" s="72" t="str">
        <f>IF(ISERROR(CA97/BS97),"NA",IF(OR(CA97/BS97&gt;2,CA97/BS97&lt;0.5),"NM",CA97/BS97*100-100))</f>
        <v>NM</v>
      </c>
      <c r="CC97" s="91">
        <f>CC93-CC96</f>
        <v>118</v>
      </c>
      <c r="CD97" s="72">
        <f>IF(ISERROR(CC97/BU97),"NA",IF(OR(CC97/BU97&gt;2,CC97/BU97&lt;0.5),"NM",CC97/BU97*100-100))</f>
        <v>24.21052631578948</v>
      </c>
      <c r="CE97" s="91">
        <f>CE93-CE96</f>
        <v>126</v>
      </c>
      <c r="CF97" s="72">
        <f>IF(ISERROR(CE97/BW97),"NA",IF(OR(CE97/BW97&gt;2,CE97/BW97&lt;0.5),"NM",CE97/BW97*100-100))</f>
        <v>51.807228915662648</v>
      </c>
      <c r="CG97" s="91">
        <f>CG93-CG96</f>
        <v>140</v>
      </c>
      <c r="CH97" s="72">
        <f>IF(ISERROR(CG97/BY97),"NA",IF(OR(CG97/BY97&gt;2,CG97/BY97&lt;0.5),"NM",CG97/BY97*100-100))</f>
        <v>91.780821917808197</v>
      </c>
      <c r="CI97" s="91">
        <f>CI93-CI96</f>
        <v>140</v>
      </c>
      <c r="CJ97" s="72">
        <f>IF(ISERROR(CI97/CA97),"NA",IF(OR(CI97/CA97&gt;2,CI97/CA97&lt;0.5),"NM",CI97/CA97*100-100))</f>
        <v>-40.425531914893618</v>
      </c>
      <c r="CK97" s="91">
        <f>CK93-CK96</f>
        <v>171</v>
      </c>
      <c r="CL97" s="72">
        <f>IF(ISERROR(CK97/CC97),"NA",IF(OR(CK97/CC97&gt;2,CK97/CC97&lt;0.5),"NM",CK97/CC97*100-100))</f>
        <v>44.915254237288138</v>
      </c>
      <c r="CM97" s="91">
        <f>CM93-CM96</f>
        <v>215.6</v>
      </c>
      <c r="CN97" s="72">
        <f>IF(ISERROR(CM97/CE97),"NA",IF(OR(CM97/CE97&gt;2,CM97/CE97&lt;0.5),"NM",CM97/CE97*100-100))</f>
        <v>71.111111111111114</v>
      </c>
      <c r="CO97" s="91">
        <f>CO93-CO96</f>
        <v>242</v>
      </c>
      <c r="CP97" s="72">
        <f>IF(ISERROR(CO97/CG97),"NA",IF(OR(CO97/CG97&gt;2,CO97/CG97&lt;0.5),"NM",CO97/CG97*100-100))</f>
        <v>72.857142857142861</v>
      </c>
      <c r="CQ97" s="91">
        <f>CQ93-CQ96</f>
        <v>229</v>
      </c>
      <c r="CR97" s="72">
        <f>IF(ISERROR(CQ97/CI97),"NA",IF(OR(CQ97/CI97&gt;2,CQ97/CI97&lt;0.5),"NM",CQ97/CI97*100-100))</f>
        <v>63.571428571428555</v>
      </c>
      <c r="CS97" s="91">
        <f>CS93-CS96</f>
        <v>197</v>
      </c>
      <c r="CT97" s="72">
        <f>IF(ISERROR(CS97/CK97),"NA",IF(OR(CS97/CK97&gt;2,CS97/CK97&lt;0.5),"NM",CS97/CK97*100-100))</f>
        <v>15.204678362573105</v>
      </c>
      <c r="CU97" s="91">
        <f>CU93-CU96</f>
        <v>225</v>
      </c>
      <c r="CV97" s="72">
        <f>IF(ISERROR(CU97/CM97),"NA",IF(OR(CU97/CM97&gt;2,CU97/CM97&lt;0.5),"NM",CU97/CM97*100-100))</f>
        <v>4.3599257884972218</v>
      </c>
      <c r="CW97" s="91">
        <f>CW93-CW96</f>
        <v>231</v>
      </c>
      <c r="CX97" s="72">
        <f>IF(ISERROR(CW97/CO97),"NA",IF(OR(CW97/CO97&gt;2,CW97/CO97&lt;0.5),"NM",CW97/CO97*100-100))</f>
        <v>-4.5454545454545467</v>
      </c>
      <c r="CY97" s="91">
        <f>CY93-CY96</f>
        <v>255</v>
      </c>
      <c r="CZ97" s="72">
        <f>IF(ISERROR(CY97/CQ97),"NA",IF(OR(CY97/CQ97&gt;2,CY97/CQ97&lt;0.5),"NM",CY97/CQ97*100-100))</f>
        <v>11.353711790393021</v>
      </c>
      <c r="DA97" s="91">
        <f>DA93-DA96</f>
        <v>273</v>
      </c>
      <c r="DB97" s="72">
        <f>IF(ISERROR(DA97/CS97),"NA",IF(OR(DA97/CS97&gt;2,DA97/CS97&lt;0.5),"NM",DA97/CS97*100-100))</f>
        <v>38.578680203045678</v>
      </c>
      <c r="DC97" s="91">
        <f>DC93-DC96</f>
        <v>310</v>
      </c>
      <c r="DD97" s="72">
        <f>IF(ISERROR(DC97/CU97),"NA",IF(OR(DC97/CU97&gt;2,DC97/CU97&lt;0.5),"NM",DC97/CU97*100-100))</f>
        <v>37.777777777777771</v>
      </c>
      <c r="DE97" s="91">
        <f>DE93-DE96</f>
        <v>325</v>
      </c>
      <c r="DF97" s="72">
        <f>IF(ISERROR(DE97/CW97),"NA",IF(OR(DE97/CW97&gt;2,DE97/CW97&lt;0.5),"NM",DE97/CW97*100-100))</f>
        <v>40.69264069264068</v>
      </c>
      <c r="DG97" s="91">
        <f>DG93-DG96</f>
        <v>370</v>
      </c>
      <c r="DH97" s="72">
        <f>IF(ISERROR(DG97/CY97),"NA",IF(OR(DG97/CY97&gt;2,DG97/CY97&lt;0.5),"NM",DG97/CY97*100-100))</f>
        <v>45.098039215686271</v>
      </c>
      <c r="DI97" s="91">
        <f>DI93-DI96</f>
        <v>384</v>
      </c>
      <c r="DJ97" s="72">
        <f>IF(ISERROR(DI97/DA97),"NA",IF(OR(DI97/DA97&gt;2,DI97/DA97&lt;0.5),"NM",DI97/DA97*100-100))</f>
        <v>40.659340659340671</v>
      </c>
      <c r="DK97" s="91">
        <f>DK93-DK96</f>
        <v>409</v>
      </c>
      <c r="DL97" s="72">
        <f>IF(ISERROR(DK97/DC97),"NA",IF(OR(DK97/DC97&gt;2,DK97/DC97&lt;0.5),"NM",DK97/DC97*100-100))</f>
        <v>31.935483870967744</v>
      </c>
      <c r="DM97" s="91">
        <f>DM93-DM96</f>
        <v>394</v>
      </c>
      <c r="DN97" s="72">
        <f t="shared" si="586"/>
        <v>21.230769230769226</v>
      </c>
      <c r="DO97" s="91">
        <f>DO93-DO96</f>
        <v>403</v>
      </c>
      <c r="DP97" s="72">
        <f t="shared" si="586"/>
        <v>8.9189189189189193</v>
      </c>
      <c r="DQ97" s="91">
        <f>DQ93-DQ96</f>
        <v>390</v>
      </c>
      <c r="DR97" s="72">
        <f t="shared" si="586"/>
        <v>1.5625</v>
      </c>
      <c r="DS97" s="91">
        <f>DS93-DS96</f>
        <v>423</v>
      </c>
      <c r="DT97" s="72">
        <f t="shared" si="586"/>
        <v>3.4229828850855739</v>
      </c>
      <c r="DU97" s="91">
        <f>DU93-DU96</f>
        <v>423</v>
      </c>
      <c r="DV97" s="72">
        <f t="shared" si="586"/>
        <v>7.3604060913705638</v>
      </c>
      <c r="DW97" s="91">
        <f>DW93-DW96</f>
        <v>414</v>
      </c>
      <c r="DX97" s="72">
        <f t="shared" si="586"/>
        <v>2.7295285359801369</v>
      </c>
      <c r="DY97" s="91">
        <f>DY93-DY96</f>
        <v>403</v>
      </c>
      <c r="DZ97" s="72">
        <f t="shared" si="586"/>
        <v>3.3333333333333428</v>
      </c>
      <c r="EA97" s="91">
        <f>EA93-EA96</f>
        <v>381</v>
      </c>
      <c r="EB97" s="72">
        <f>IF(ISERROR(EA97/DS97),"NA",IF(OR(EA97/DS97&gt;2,EA97/DS97&lt;0.5),"NM",EA97/DS97*100-100))</f>
        <v>-9.9290780141843982</v>
      </c>
      <c r="EC97" s="91">
        <f>EC93-EC96</f>
        <v>375</v>
      </c>
      <c r="ED97" s="72">
        <f>IF(ISERROR(EC97/DU97),"NA",IF(OR(EC97/DU97&gt;2,EC97/DU97&lt;0.5),"NM",EC97/DU97*100-100))</f>
        <v>-11.347517730496463</v>
      </c>
      <c r="EE97" s="91">
        <f>EE93-EE96</f>
        <v>449</v>
      </c>
      <c r="EF97" s="72">
        <f>IF(ISERROR(EE97/DW97),"NA",IF(OR(EE97/DW97&gt;2,EE97/DW97&lt;0.5),"NM",EE97/DW97*100-100))</f>
        <v>8.4541062801932298</v>
      </c>
      <c r="EG97" s="91">
        <f>EG93-EG96</f>
        <v>422</v>
      </c>
      <c r="EH97" s="72">
        <f>IF(ISERROR(EG97/DY97),"NA",IF(OR(EG97/DY97&gt;2,EG97/DY97&lt;0.5),"NM",EG97/DY97*100-100))</f>
        <v>4.7146401985111481</v>
      </c>
      <c r="EI97" s="91">
        <f>EI93-EI96</f>
        <v>448.1</v>
      </c>
      <c r="EJ97" s="72">
        <f>IF(ISERROR(EI97/EA97),"NA",IF(OR(EI97/EA97&gt;2,EI97/EA97&lt;0.5),"NM",EI97/EA97*100-100))</f>
        <v>17.611548556430449</v>
      </c>
      <c r="EK97" s="91">
        <f>EK93-EK96</f>
        <v>512</v>
      </c>
      <c r="EL97" s="72">
        <f>IF(ISERROR(EK97/EC97),"NA",IF(OR(EK97/EC97&gt;2,EK97/EC97&lt;0.5),"NM",EK97/EC97*100-100))</f>
        <v>36.533333333333331</v>
      </c>
      <c r="EM97" s="91">
        <f>EM93-EM96</f>
        <v>529</v>
      </c>
      <c r="EN97" s="72">
        <f>IF(ISERROR(EM97/EE97),"NA",IF(OR(EM97/EE97&gt;2,EM97/EE97&lt;0.5),"NM",EM97/EE97*100-100))</f>
        <v>17.817371937639194</v>
      </c>
      <c r="EO97" s="91">
        <f>EO93-EO96</f>
        <v>525</v>
      </c>
      <c r="EP97" s="72">
        <f>IF(ISERROR(EO97/EG97),"NA",IF(OR(EO97/EG97&gt;2,EO97/EG97&lt;0.5),"NM",EO97/EG97*100-100))</f>
        <v>24.407582938388629</v>
      </c>
      <c r="EQ97" s="91">
        <f t="shared" ref="EQ97" si="592">EQ93-EQ96</f>
        <v>527.21518307284816</v>
      </c>
      <c r="ER97" s="72">
        <f t="shared" si="587"/>
        <v>17.655698074726203</v>
      </c>
      <c r="ES97" s="91">
        <f t="shared" ref="ES97" si="593">ES93-ES96</f>
        <v>523.69219613527025</v>
      </c>
      <c r="ET97" s="72">
        <f t="shared" si="588"/>
        <v>2.2836320576699762</v>
      </c>
      <c r="EU97" s="91">
        <f t="shared" ref="EU97" si="594">EU93-EU96</f>
        <v>524.33437578534028</v>
      </c>
      <c r="EV97" s="72">
        <f t="shared" si="589"/>
        <v>-0.88197055097538168</v>
      </c>
      <c r="EW97" s="91">
        <f t="shared" ref="EW97" si="595">EW93-EW96</f>
        <v>504.2175605180164</v>
      </c>
      <c r="EX97" s="72">
        <f t="shared" si="590"/>
        <v>-3.9585599013302044</v>
      </c>
      <c r="EY97" s="72"/>
      <c r="EZ97" s="314"/>
      <c r="FA97" s="72"/>
      <c r="FB97" s="91">
        <f>FB93-FB96</f>
        <v>175</v>
      </c>
      <c r="FC97" s="80"/>
      <c r="FD97" s="91">
        <f>FD93-FD96</f>
        <v>100</v>
      </c>
      <c r="FE97" s="72">
        <f>IF(ISERROR(FD97/FB97),"NA",IF(OR(FD97/FB97&gt;2,FD97/FB97&lt;0.5),"NM",FD97/FB97*100-100))</f>
        <v>-42.857142857142861</v>
      </c>
      <c r="FF97" s="91">
        <f>FF93-FF96</f>
        <v>147</v>
      </c>
      <c r="FG97" s="72">
        <f>IF(ISERROR(FF97/FD97),"NA",IF(OR(FF97/FD97&gt;2,FF97/FD97&lt;0.5),"NM",FF97/FD97*100-100))</f>
        <v>47</v>
      </c>
      <c r="FH97" s="91">
        <f>FH93-FH96</f>
        <v>107</v>
      </c>
      <c r="FI97" s="72">
        <f>IF(ISERROR(FH97/FF97),"NA",IF(OR(FH97/FF97&gt;2,FH97/FF97&lt;0.5),"NM",FH97/FF97*100-100))</f>
        <v>-27.210884353741491</v>
      </c>
      <c r="FJ97" s="91">
        <f>FJ93-FJ96</f>
        <v>-42</v>
      </c>
      <c r="FK97" s="72" t="str">
        <f>IF(ISERROR(FJ97/FH97),"NA",IF(OR(FJ97/FH97&gt;2,FJ97/FH97&lt;0.5),"NM",FJ97/FH97*100-100))</f>
        <v>NM</v>
      </c>
      <c r="FL97" s="91">
        <f>FL93-FL96</f>
        <v>262</v>
      </c>
      <c r="FM97" s="72" t="str">
        <f>IF(ISERROR(FL97/FJ97),"NA",IF(OR(FL97/FJ97&gt;2,FL97/FJ97&lt;0.5),"NM",FL97/FJ97*100-100))</f>
        <v>NM</v>
      </c>
      <c r="FN97" s="75">
        <f>AI97+AK97+AM97+AO97</f>
        <v>389</v>
      </c>
      <c r="FO97" s="72">
        <f>IF(ISERROR(FN97/FL97),"NA",IF(OR(FN97/FL97&gt;2,FN97/FL97&lt;0.5),"NM",FN97/FL97*100-100))</f>
        <v>48.473282442748086</v>
      </c>
      <c r="FP97" s="91">
        <f>AQ97+AS97+AU97+AW97</f>
        <v>403</v>
      </c>
      <c r="FQ97" s="72">
        <f>IF(ISERROR(FP97/FN97),"NA",IF(OR(FP97/FN97&gt;2,FP97/FN97&lt;0.5),"NM",FP97/FN97*100-100))</f>
        <v>3.5989717223650359</v>
      </c>
      <c r="FR97" s="91">
        <f>FR93-FR96</f>
        <v>549</v>
      </c>
      <c r="FS97" s="72">
        <f>IF(ISERROR(FR97/FP97),"NA",IF(OR(FR97/FP97&gt;2,FR97/FP97&lt;0.5),"NM",FR97/FP97*100-100))</f>
        <v>36.228287841191076</v>
      </c>
      <c r="FT97" s="91">
        <f>FT93-FT96</f>
        <v>699</v>
      </c>
      <c r="FU97" s="72">
        <f>IF(ISERROR(FT97/FR97),"NA",IF(OR(FT97/FR97&gt;2,FT97/FR97&lt;0.5),"NM",FT97/FR97*100-100))</f>
        <v>27.32240437158471</v>
      </c>
      <c r="FV97" s="91">
        <f>FV93-FV96</f>
        <v>596</v>
      </c>
      <c r="FW97" s="72">
        <f>IF(ISERROR(FV97/FT97),"NA",IF(OR(FV97/FT97&gt;2,FV97/FT97&lt;0.5),"NM",FV97/FT97*100-100))</f>
        <v>-14.735336194563658</v>
      </c>
      <c r="FX97" s="91">
        <f>FX93-FX96</f>
        <v>424</v>
      </c>
      <c r="FY97" s="72">
        <f>IF(ISERROR(FX97/FV97),"NA",IF(OR(FX97/FV97&gt;2,FX97/FV97&lt;0.5),"NM",FX97/FV97*100-100))</f>
        <v>-28.859060402684563</v>
      </c>
      <c r="FZ97" s="91">
        <f>FZ93-FZ96</f>
        <v>577</v>
      </c>
      <c r="GA97" s="72">
        <f>IF(ISERROR(FZ97/FX97),"NA",IF(OR(FZ97/FX97&gt;2,FZ97/FX97&lt;0.5),"NM",FZ97/FX97*100-100))</f>
        <v>36.084905660377359</v>
      </c>
      <c r="GB97" s="91">
        <f>GB93-GB96</f>
        <v>883.6</v>
      </c>
      <c r="GC97" s="72">
        <f>IF(ISERROR(GB97/FZ97),"NA",IF(OR(GB97/FZ97&gt;2,GB97/FZ97&lt;0.5),"NM",GB97/FZ97*100-100))</f>
        <v>53.136915077989613</v>
      </c>
      <c r="GD97" s="91">
        <f>GD93-GD96</f>
        <v>984</v>
      </c>
      <c r="GE97" s="72">
        <f>IF(ISERROR(GD97/GB97),"NA",IF(OR(GD97/GB97&gt;2,GD97/GB97&lt;0.5),"NM",GD97/GB97*100-100))</f>
        <v>11.362607514712536</v>
      </c>
      <c r="GF97" s="91">
        <f>GF93-GF96</f>
        <v>1389</v>
      </c>
      <c r="GG97" s="72">
        <f>IF(ISERROR(GF97/GD97),"NA",IF(OR(GF97/GD97&gt;2,GF97/GD97&lt;0.5),"NM",GF97/GD97*100-100))</f>
        <v>41.158536585365852</v>
      </c>
      <c r="GH97" s="91">
        <f>GH93-GH96</f>
        <v>1596</v>
      </c>
      <c r="GI97" s="72">
        <f t="shared" si="591"/>
        <v>14.90280777537798</v>
      </c>
      <c r="GJ97" s="91">
        <f>GJ93-GJ96</f>
        <v>1663</v>
      </c>
      <c r="GK97" s="72">
        <f t="shared" si="591"/>
        <v>4.1979949874686611</v>
      </c>
      <c r="GL97" s="91">
        <f>GL93-GL96</f>
        <v>1627</v>
      </c>
      <c r="GM97" s="72">
        <f t="shared" si="591"/>
        <v>-2.1647624774503811</v>
      </c>
      <c r="GN97" s="91">
        <f>GN93-GN96</f>
        <v>2014.1</v>
      </c>
      <c r="GO97" s="72">
        <f t="shared" si="591"/>
        <v>23.79225568531038</v>
      </c>
      <c r="GP97" s="91">
        <f>GP93-GP96</f>
        <v>2079.4593155114753</v>
      </c>
      <c r="GQ97" s="72">
        <f t="shared" si="591"/>
        <v>3.2450879058376216</v>
      </c>
      <c r="GR97" s="91">
        <f>GR93-GR96</f>
        <v>2045.8808109448855</v>
      </c>
      <c r="GS97" s="72">
        <f t="shared" si="591"/>
        <v>-1.6147709318530588</v>
      </c>
      <c r="GT97" s="91">
        <f>GT93-GT96</f>
        <v>2016.1961540738039</v>
      </c>
      <c r="GU97" s="72">
        <f t="shared" si="591"/>
        <v>-1.4509475191456573</v>
      </c>
      <c r="GV97" s="91">
        <f>GV93-GV96</f>
        <v>1990.0737062204503</v>
      </c>
      <c r="GW97" s="72">
        <f>IF(ISERROR(GV97/GT97),"NA",IF(OR(GV97/GT97&gt;2,GV97/GT97&lt;0.5),"NM",GV97/GT97*100-100))</f>
        <v>-1.2956302788581411</v>
      </c>
      <c r="GX97" s="91">
        <f>GX93-GX96</f>
        <v>1967.4739029153461</v>
      </c>
      <c r="GY97" s="72">
        <f>IF(ISERROR(GX97/GV97),"NA",IF(OR(GX97/GV97&gt;2,GX97/GV97&lt;0.5),"NM",GX97/GV97*100-100))</f>
        <v>-1.135626446119204</v>
      </c>
      <c r="GZ97" s="72">
        <f>IF(ISERROR(((GX97/GN97)^0.2-1)*100),"NA",IF((((GX97/GN97)^0.2-1)*100)&gt;100,"NM",IF((((GX97/GN97)^0.2-1)*100)&lt;-50,"NM",((GX97/GN97)^0.2-1)*100)))</f>
        <v>-0.46734469743515694</v>
      </c>
      <c r="HA97" s="72"/>
      <c r="HB97" s="72"/>
      <c r="HC97"/>
      <c r="HD97"/>
      <c r="HE97"/>
      <c r="HF97"/>
      <c r="HG97"/>
      <c r="HH97"/>
      <c r="HI97" s="2"/>
    </row>
    <row r="98" spans="1:217" s="3" customFormat="1" ht="12.75" customHeight="1" x14ac:dyDescent="0.2">
      <c r="B98" s="77" t="s">
        <v>418</v>
      </c>
      <c r="C98" s="75"/>
      <c r="D98" s="72"/>
      <c r="E98" s="75"/>
      <c r="F98" s="72"/>
      <c r="G98" s="75"/>
      <c r="H98" s="72"/>
      <c r="I98" s="75"/>
      <c r="J98" s="72"/>
      <c r="K98" s="75"/>
      <c r="L98" s="72"/>
      <c r="M98" s="75"/>
      <c r="N98" s="72"/>
      <c r="O98" s="75"/>
      <c r="P98" s="72"/>
      <c r="Q98" s="75"/>
      <c r="R98" s="72"/>
      <c r="S98" s="75"/>
      <c r="T98" s="72"/>
      <c r="U98" s="75"/>
      <c r="V98" s="72"/>
      <c r="W98" s="75"/>
      <c r="X98" s="72"/>
      <c r="Y98" s="75"/>
      <c r="Z98" s="72"/>
      <c r="AA98" s="75"/>
      <c r="AB98" s="72"/>
      <c r="AC98" s="75"/>
      <c r="AD98" s="72"/>
      <c r="AE98" s="75"/>
      <c r="AF98" s="72"/>
      <c r="AG98" s="75"/>
      <c r="AH98" s="72"/>
      <c r="AI98" s="75"/>
      <c r="AJ98" s="72"/>
      <c r="AK98" s="75"/>
      <c r="AL98" s="72"/>
      <c r="AM98" s="75"/>
      <c r="AN98" s="72"/>
      <c r="AO98" s="75"/>
      <c r="AP98" s="72"/>
      <c r="AQ98" s="75"/>
      <c r="AR98" s="72"/>
      <c r="AS98" s="75"/>
      <c r="AT98" s="72"/>
      <c r="AU98" s="75"/>
      <c r="AV98" s="72"/>
      <c r="AW98" s="75"/>
      <c r="AX98" s="72"/>
      <c r="AY98" s="75"/>
      <c r="AZ98" s="72"/>
      <c r="BA98" s="75"/>
      <c r="BB98" s="72"/>
      <c r="BC98" s="75"/>
      <c r="BD98" s="72"/>
      <c r="BE98" s="75"/>
      <c r="BF98" s="72"/>
      <c r="BG98" s="75"/>
      <c r="BH98" s="72"/>
      <c r="BI98" s="75"/>
      <c r="BJ98" s="72"/>
      <c r="BK98" s="75"/>
      <c r="BL98" s="72"/>
      <c r="BM98" s="75"/>
      <c r="BN98" s="72"/>
      <c r="BO98" s="75"/>
      <c r="BP98" s="72"/>
      <c r="BQ98" s="75"/>
      <c r="BR98" s="72"/>
      <c r="BS98" s="75"/>
      <c r="BT98" s="72"/>
      <c r="BU98" s="75"/>
      <c r="BV98" s="72"/>
      <c r="BW98" s="75"/>
      <c r="BX98" s="72"/>
      <c r="BY98" s="75"/>
      <c r="BZ98" s="72"/>
      <c r="CA98" s="75"/>
      <c r="CB98" s="72"/>
      <c r="CC98" s="75"/>
      <c r="CD98" s="72"/>
      <c r="CE98" s="75"/>
      <c r="CF98" s="72"/>
      <c r="CG98" s="75"/>
      <c r="CH98" s="72"/>
      <c r="CI98" s="75"/>
      <c r="CJ98" s="72"/>
      <c r="CK98" s="75"/>
      <c r="CL98" s="72"/>
      <c r="CM98" s="81">
        <f>CM97/CM72*100</f>
        <v>24.008908685968819</v>
      </c>
      <c r="CN98" s="72"/>
      <c r="CO98" s="81">
        <f>CO97/CO72*100</f>
        <v>25.937834941050376</v>
      </c>
      <c r="CP98" s="72"/>
      <c r="CQ98" s="81">
        <f>CQ97/CQ72*100</f>
        <v>25.303867403314918</v>
      </c>
      <c r="CR98" s="72"/>
      <c r="CS98" s="81">
        <f>CS97/CS72*100</f>
        <v>21.840354767184035</v>
      </c>
      <c r="CT98" s="72"/>
      <c r="CU98" s="81">
        <f>CU97/CU72*100</f>
        <v>23.486430062630482</v>
      </c>
      <c r="CV98" s="72"/>
      <c r="CW98" s="81">
        <f>CW97/CW72*100</f>
        <v>23.863636363636363</v>
      </c>
      <c r="CX98" s="72"/>
      <c r="CY98" s="81">
        <f>CY97/CY72*100</f>
        <v>25.04911591355599</v>
      </c>
      <c r="CZ98" s="72"/>
      <c r="DA98" s="81">
        <f>DA97/DA72*100</f>
        <v>26.27526467757459</v>
      </c>
      <c r="DB98" s="72"/>
      <c r="DC98" s="81">
        <f>DC97/DC72*100</f>
        <v>29.026217228464418</v>
      </c>
      <c r="DD98" s="72"/>
      <c r="DE98" s="81">
        <f>DE97/DE72*100</f>
        <v>29.0437890974084</v>
      </c>
      <c r="DF98" s="72"/>
      <c r="DG98" s="81">
        <f>DG97/DG72*100</f>
        <v>33.035714285714285</v>
      </c>
      <c r="DH98" s="72"/>
      <c r="DI98" s="81">
        <f>DI97/DI72*100</f>
        <v>33.160621761658035</v>
      </c>
      <c r="DJ98" s="72"/>
      <c r="DK98" s="81">
        <f>DK97/DK72*100</f>
        <v>35.350043215211755</v>
      </c>
      <c r="DL98" s="72"/>
      <c r="DM98" s="81">
        <f>DM97/DM72*100</f>
        <v>33.6464560204953</v>
      </c>
      <c r="DN98" s="72">
        <f t="shared" si="586"/>
        <v>15.847336267489979</v>
      </c>
      <c r="DO98" s="81">
        <f>DO97/DO72*100</f>
        <v>33.837111670864815</v>
      </c>
      <c r="DP98" s="72">
        <f t="shared" si="586"/>
        <v>2.4258515442394497</v>
      </c>
      <c r="DQ98" s="81">
        <f>DQ97/DQ72*100</f>
        <v>32.7455919395466</v>
      </c>
      <c r="DR98" s="72">
        <f t="shared" si="586"/>
        <v>-1.2515743073047929</v>
      </c>
      <c r="DS98" s="81">
        <f>DS97/DS72*100</f>
        <v>35.636057287278852</v>
      </c>
      <c r="DT98" s="72">
        <f t="shared" si="586"/>
        <v>0.80909115252232766</v>
      </c>
      <c r="DU98" s="81">
        <f>DU97/DU72*100</f>
        <v>35.25</v>
      </c>
      <c r="DV98" s="72">
        <f t="shared" si="586"/>
        <v>4.7658629441624356</v>
      </c>
      <c r="DW98" s="81">
        <f>DW97/DW72*100</f>
        <v>35.475578406169667</v>
      </c>
      <c r="DX98" s="72">
        <f t="shared" si="586"/>
        <v>4.8422180688537821</v>
      </c>
      <c r="DY98" s="81">
        <f>DY97/DY72*100</f>
        <v>35.319894829097279</v>
      </c>
      <c r="DZ98" s="72">
        <f t="shared" si="586"/>
        <v>7.8615249780893919</v>
      </c>
      <c r="EA98" s="81">
        <f>EA97/EA72*100</f>
        <v>34.355275022542827</v>
      </c>
      <c r="EB98" s="72">
        <f>IF(ISERROR(EA98/DS98),"NA",IF(OR(EA98/DS98&gt;2,EA98/DS98&lt;0.5),"NM",EA98/DS98*100-100))</f>
        <v>-3.5940627618006147</v>
      </c>
      <c r="EC98" s="81">
        <f>EC97/EC72*100</f>
        <v>32.808398950131235</v>
      </c>
      <c r="ED98" s="72">
        <f>IF(ISERROR(EC98/DU98),"NA",IF(OR(EC98/DU98&gt;2,EC98/DU98&lt;0.5),"NM",EC98/DU98*100-100))</f>
        <v>-6.9265278010461486</v>
      </c>
      <c r="EE98" s="81">
        <f>EE97/EE72*100</f>
        <v>36.77313677313677</v>
      </c>
      <c r="EF98" s="72">
        <f>IF(ISERROR(EE98/DW98),"NA",IF(OR(EE98/DW98&gt;2,EE98/DW98&lt;0.5),"NM",EE98/DW98*100-100))</f>
        <v>3.657610179349291</v>
      </c>
      <c r="EG98" s="81">
        <f>EG97/EG72*100</f>
        <v>35.373009220452637</v>
      </c>
      <c r="EH98" s="72">
        <f>IF(ISERROR(EG98/DY98),"NA",IF(OR(EG98/DY98&gt;2,EG98/DY98&lt;0.5),"NM",EG98/DY98*100-100))</f>
        <v>0.15038094425921145</v>
      </c>
      <c r="EI98" s="81">
        <f>EI97/EI72*100</f>
        <v>36.880658436213992</v>
      </c>
      <c r="EJ98" s="72">
        <f>IF(ISERROR(EI98/EA98),"NA",IF(OR(EI98/EA98&gt;2,EI98/EA98&lt;0.5),"NM",EI98/EA98*100-100))</f>
        <v>7.3507879416307702</v>
      </c>
      <c r="EK98" s="81">
        <f>EK97/EK72*100</f>
        <v>39.203675344563557</v>
      </c>
      <c r="EL98" s="72">
        <f>IF(ISERROR(EK98/EC98),"NA",IF(OR(EK98/EC98&gt;2,EK98/EC98&lt;0.5),"NM",EK98/EC98*100-100))</f>
        <v>19.492802450229703</v>
      </c>
      <c r="EM98" s="81">
        <f>EM97/EM72*100</f>
        <v>40.567484662576689</v>
      </c>
      <c r="EN98" s="72">
        <f>IF(ISERROR(EM98/EE98),"NA",IF(OR(EM98/EE98&gt;2,EM98/EE98&lt;0.5),"NM",EM98/EE98*100-100))</f>
        <v>10.318260073510331</v>
      </c>
      <c r="EO98" s="81">
        <f>EO97/EO72*100</f>
        <v>40.856031128404666</v>
      </c>
      <c r="EP98" s="72">
        <f>IF(ISERROR(EO98/EG98),"NA",IF(OR(EO98/EG98&gt;2,EO98/EG98&lt;0.5),"NM",EO98/EG98*100-100))</f>
        <v>15.500580891437849</v>
      </c>
      <c r="EQ98" s="81">
        <f t="shared" ref="EQ98" si="596">EQ97/EQ72*100</f>
        <v>41.267078572561886</v>
      </c>
      <c r="ER98" s="72">
        <f t="shared" si="587"/>
        <v>11.893551585946653</v>
      </c>
      <c r="ES98" s="81">
        <f t="shared" ref="ES98" si="597">ES97/ES72*100</f>
        <v>41.316021401028202</v>
      </c>
      <c r="ET98" s="72">
        <f t="shared" si="588"/>
        <v>5.3881327143414666</v>
      </c>
      <c r="EU98" s="81">
        <f t="shared" ref="EU98" si="598">EU97/EU72*100</f>
        <v>41.337257635709243</v>
      </c>
      <c r="EV98" s="72">
        <f t="shared" si="589"/>
        <v>1.8975122059827072</v>
      </c>
      <c r="EW98" s="81">
        <f t="shared" ref="EW98" si="599">EW97/EW72*100</f>
        <v>39.715672649389703</v>
      </c>
      <c r="EX98" s="72">
        <f t="shared" si="590"/>
        <v>-2.79116313435091</v>
      </c>
      <c r="EY98" s="72"/>
      <c r="EZ98" s="306"/>
      <c r="FA98" s="72"/>
      <c r="FB98" s="75"/>
      <c r="FC98" s="72"/>
      <c r="FD98" s="75"/>
      <c r="FE98" s="72"/>
      <c r="FF98" s="75"/>
      <c r="FG98" s="72"/>
      <c r="FH98" s="75"/>
      <c r="FI98" s="72"/>
      <c r="FJ98" s="75"/>
      <c r="FK98" s="72"/>
      <c r="FL98" s="75"/>
      <c r="FM98" s="72"/>
      <c r="FN98" s="75"/>
      <c r="FO98" s="72"/>
      <c r="FP98" s="75"/>
      <c r="FQ98" s="72"/>
      <c r="FR98" s="75"/>
      <c r="FS98" s="72"/>
      <c r="FT98" s="75"/>
      <c r="FU98" s="72"/>
      <c r="FV98" s="75"/>
      <c r="FW98" s="72"/>
      <c r="FX98" s="75"/>
      <c r="FY98" s="72"/>
      <c r="FZ98" s="75"/>
      <c r="GA98" s="72"/>
      <c r="GB98" s="81">
        <f>GB97/GB72*100</f>
        <v>24.28807036833425</v>
      </c>
      <c r="GC98" s="72"/>
      <c r="GD98" s="81">
        <f>GD97/GD72*100</f>
        <v>24.704996233994478</v>
      </c>
      <c r="GE98" s="72"/>
      <c r="GF98" s="81">
        <f>GF97/GF72*100</f>
        <v>31.108622620380739</v>
      </c>
      <c r="GG98" s="72"/>
      <c r="GH98" s="81">
        <f>GH97/GH72*100</f>
        <v>33.885350318471339</v>
      </c>
      <c r="GI98" s="72">
        <f t="shared" si="591"/>
        <v>8.9259101310111788</v>
      </c>
      <c r="GJ98" s="81">
        <f>GJ97/GJ72*100</f>
        <v>35.42066027689031</v>
      </c>
      <c r="GK98" s="72">
        <f t="shared" si="591"/>
        <v>4.5308959299206464</v>
      </c>
      <c r="GL98" s="81">
        <f>GL97/GL72*100</f>
        <v>34.869267038148308</v>
      </c>
      <c r="GM98" s="72">
        <f t="shared" si="591"/>
        <v>-1.5566994924195399</v>
      </c>
      <c r="GN98" s="81">
        <f>GN97/GN72*100</f>
        <v>39.414872798434445</v>
      </c>
      <c r="GO98" s="72">
        <f t="shared" si="591"/>
        <v>13.036137970187525</v>
      </c>
      <c r="GP98" s="81">
        <f>GP97/GP72*100</f>
        <v>40.909311920713932</v>
      </c>
      <c r="GQ98" s="72">
        <f t="shared" si="591"/>
        <v>3.7915614492071796</v>
      </c>
      <c r="GR98" s="81">
        <f>GR97/GR72*100</f>
        <v>40.360880956712741</v>
      </c>
      <c r="GS98" s="72">
        <f t="shared" si="591"/>
        <v>-1.3406017805044002</v>
      </c>
      <c r="GT98" s="81">
        <f>GT97/GT72*100</f>
        <v>39.76298524881215</v>
      </c>
      <c r="GU98" s="72">
        <f t="shared" si="591"/>
        <v>-1.4813742756057167</v>
      </c>
      <c r="GV98" s="81">
        <f>GV97/GV72*100</f>
        <v>39.146119411183463</v>
      </c>
      <c r="GW98" s="72">
        <f>IF(ISERROR(GV98/GT98),"NA",IF(OR(GV98/GT98&gt;2,GV98/GT98&lt;0.5),"NM",GV98/GT98*100-100))</f>
        <v>-1.5513569561458382</v>
      </c>
      <c r="GX98" s="81">
        <f>GX97/GX72*100</f>
        <v>38.508089941721579</v>
      </c>
      <c r="GY98" s="72">
        <f>IF(ISERROR(GX98/GV98),"NA",IF(OR(GX98/GV98&gt;2,GX98/GV98&lt;0.5),"NM",GX98/GV98*100-100))</f>
        <v>-1.6298664569025192</v>
      </c>
      <c r="GZ98" s="72"/>
      <c r="HA98" s="72"/>
      <c r="HB98" s="72"/>
      <c r="HC98"/>
      <c r="HD98"/>
      <c r="HE98"/>
      <c r="HF98"/>
      <c r="HG98"/>
      <c r="HH98"/>
      <c r="HI98" s="2"/>
    </row>
    <row r="99" spans="1:217" s="3" customFormat="1" ht="12.75" customHeight="1" x14ac:dyDescent="0.2">
      <c r="B99" s="77" t="s">
        <v>464</v>
      </c>
      <c r="C99" s="75"/>
      <c r="D99" s="72"/>
      <c r="E99" s="75"/>
      <c r="F99" s="72"/>
      <c r="G99" s="75"/>
      <c r="H99" s="72"/>
      <c r="I99" s="75"/>
      <c r="J99" s="72"/>
      <c r="K99" s="75"/>
      <c r="L99" s="72"/>
      <c r="M99" s="75"/>
      <c r="N99" s="72"/>
      <c r="O99" s="75"/>
      <c r="P99" s="72"/>
      <c r="Q99" s="75"/>
      <c r="R99" s="72"/>
      <c r="S99" s="75"/>
      <c r="T99" s="72"/>
      <c r="U99" s="75"/>
      <c r="V99" s="72"/>
      <c r="W99" s="75"/>
      <c r="X99" s="72"/>
      <c r="Y99" s="75"/>
      <c r="Z99" s="72"/>
      <c r="AA99" s="75"/>
      <c r="AB99" s="72"/>
      <c r="AC99" s="75"/>
      <c r="AD99" s="72"/>
      <c r="AE99" s="75"/>
      <c r="AF99" s="72"/>
      <c r="AG99" s="75"/>
      <c r="AH99" s="72"/>
      <c r="AI99" s="75"/>
      <c r="AJ99" s="72"/>
      <c r="AK99" s="75"/>
      <c r="AL99" s="72"/>
      <c r="AM99" s="75"/>
      <c r="AN99" s="72"/>
      <c r="AO99" s="75"/>
      <c r="AP99" s="72"/>
      <c r="AQ99" s="75"/>
      <c r="AR99" s="72"/>
      <c r="AS99" s="75"/>
      <c r="AT99" s="72"/>
      <c r="AU99" s="75"/>
      <c r="AV99" s="72"/>
      <c r="AW99" s="75"/>
      <c r="AX99" s="72"/>
      <c r="AY99" s="75"/>
      <c r="AZ99" s="72"/>
      <c r="BA99" s="75"/>
      <c r="BB99" s="72"/>
      <c r="BC99" s="75"/>
      <c r="BD99" s="72"/>
      <c r="BE99" s="75"/>
      <c r="BF99" s="72"/>
      <c r="BG99" s="75"/>
      <c r="BH99" s="72"/>
      <c r="BI99" s="75"/>
      <c r="BJ99" s="72"/>
      <c r="BK99" s="75"/>
      <c r="BL99" s="72"/>
      <c r="BM99" s="75"/>
      <c r="BN99" s="72"/>
      <c r="BO99" s="75"/>
      <c r="BP99" s="72"/>
      <c r="BQ99" s="75"/>
      <c r="BR99" s="72"/>
      <c r="BS99" s="75"/>
      <c r="BT99" s="72"/>
      <c r="BU99" s="75"/>
      <c r="BV99" s="72"/>
      <c r="BW99" s="75"/>
      <c r="BX99" s="72"/>
      <c r="BY99" s="75"/>
      <c r="BZ99" s="72"/>
      <c r="CA99" s="75"/>
      <c r="CB99" s="72"/>
      <c r="CC99" s="75"/>
      <c r="CD99" s="72"/>
      <c r="CE99" s="75"/>
      <c r="CF99" s="72"/>
      <c r="CG99" s="75"/>
      <c r="CH99" s="72"/>
      <c r="CI99" s="75"/>
      <c r="CJ99" s="72"/>
      <c r="CK99" s="75"/>
      <c r="CL99" s="72"/>
      <c r="CM99" s="265">
        <f>CM97/(CM39+CM57)*40000</f>
        <v>78.401781858678603</v>
      </c>
      <c r="CN99" s="72"/>
      <c r="CO99" s="265">
        <f>CO97/(CO39+CO57)*40000</f>
        <v>84.233609035968968</v>
      </c>
      <c r="CP99" s="72"/>
      <c r="CQ99" s="265">
        <f>CQ97/(CQ39+CQ57)*40000</f>
        <v>82.257224447278148</v>
      </c>
      <c r="CR99" s="72"/>
      <c r="CS99" s="265">
        <f>CS97/(CS39+CS57)*40000</f>
        <v>71.563498982853815</v>
      </c>
      <c r="CT99" s="72"/>
      <c r="CU99" s="265">
        <f>CU97/(CU39+CU57)*40000</f>
        <v>75.761083215132018</v>
      </c>
      <c r="CV99" s="72"/>
      <c r="CW99" s="265">
        <f>CW97/(CW39+CW57)*40000</f>
        <v>74.471686251752985</v>
      </c>
      <c r="CX99" s="72"/>
      <c r="CY99" s="265">
        <f>CY97/(CY39+CY57)*40000</f>
        <v>79.439561680536144</v>
      </c>
      <c r="CZ99" s="72"/>
      <c r="DA99" s="265">
        <f>DA97/(DA39+DA57)*40000</f>
        <v>81.478248217663321</v>
      </c>
      <c r="DB99" s="72"/>
      <c r="DC99" s="265">
        <f>DC97/(DC39+DC57)*40000</f>
        <v>89.179761947570938</v>
      </c>
      <c r="DD99" s="72"/>
      <c r="DE99" s="265">
        <f>DE97/(DE39+DE57)*40000</f>
        <v>91.477788489279504</v>
      </c>
      <c r="DF99" s="72"/>
      <c r="DG99" s="265">
        <f>DG97/(DG39+DG57)*40000</f>
        <v>102.47462368271641</v>
      </c>
      <c r="DH99" s="72"/>
      <c r="DI99" s="265">
        <f>DI97/(DI39+DI57)*40000</f>
        <v>101.88446460907807</v>
      </c>
      <c r="DJ99" s="72"/>
      <c r="DK99" s="265">
        <f>DK97/(DK39+DK57)*40000</f>
        <v>105.74760193396592</v>
      </c>
      <c r="DL99" s="72"/>
      <c r="DM99" s="265">
        <f>DM97/(DM39+DM57)*40000</f>
        <v>100.12579255663842</v>
      </c>
      <c r="DN99" s="72">
        <f t="shared" si="586"/>
        <v>9.4536654308957253</v>
      </c>
      <c r="DO99" s="265">
        <f>DO97/(DO39+DO57)*40000</f>
        <v>101.92500418891534</v>
      </c>
      <c r="DP99" s="72">
        <f t="shared" si="586"/>
        <v>-0.53634692575482745</v>
      </c>
      <c r="DQ99" s="265">
        <f>DQ97/(DQ39+DQ57)*40000</f>
        <v>98.907264928815295</v>
      </c>
      <c r="DR99" s="72">
        <f t="shared" si="586"/>
        <v>-2.9221331158641561</v>
      </c>
      <c r="DS99" s="265">
        <f>DS97/(DS39+DS57)*40000</f>
        <v>105.81911310824883</v>
      </c>
      <c r="DT99" s="72">
        <f t="shared" si="586"/>
        <v>6.7624393343265865E-2</v>
      </c>
      <c r="DU99" s="265">
        <f>DU97/(DU39+DU57)*40000</f>
        <v>105.71597267129643</v>
      </c>
      <c r="DV99" s="72">
        <f t="shared" si="586"/>
        <v>5.583156918828692</v>
      </c>
      <c r="DW99" s="265">
        <f>DW97/(DW39+DW57)*40000</f>
        <v>107.11756087621647</v>
      </c>
      <c r="DX99" s="72">
        <f t="shared" si="586"/>
        <v>5.0944875878315941</v>
      </c>
      <c r="DY99" s="265">
        <f>DY97/(DY39+DY57)*40000</f>
        <v>106.34578212308931</v>
      </c>
      <c r="DZ99" s="72">
        <f t="shared" si="586"/>
        <v>7.5206985044299728</v>
      </c>
      <c r="EA99" s="265">
        <f>EA97/(EA39+EA57)*40000</f>
        <v>105.11435842133962</v>
      </c>
      <c r="EB99" s="72">
        <f>IF(ISERROR(EA99/DS99),"NA",IF(OR(EA99/DS99&gt;2,EA99/DS99&lt;0.5),"NM",EA99/DS99*100-100))</f>
        <v>-0.6659994269544427</v>
      </c>
      <c r="EC99" s="265">
        <f>EC97/(EC39+EC57)*40000</f>
        <v>97.589538401483352</v>
      </c>
      <c r="ED99" s="72">
        <f>IF(ISERROR(EC99/DU99),"NA",IF(OR(EC99/DU99&gt;2,EC99/DU99&lt;0.5),"NM",EC99/DU99*100-100))</f>
        <v>-7.6870448849585529</v>
      </c>
      <c r="EE99" s="265">
        <f>EE97/(EE39+EE57)*40000</f>
        <v>114.73655630619838</v>
      </c>
      <c r="EF99" s="72">
        <f>IF(ISERROR(EE99/DW99),"NA",IF(OR(EE99/DW99&gt;2,EE99/DW99&lt;0.5),"NM",EE99/DW99*100-100))</f>
        <v>7.1127417088840446</v>
      </c>
      <c r="EG99" s="265">
        <f>EG97/(EG39+EG57)*40000</f>
        <v>107.11645424230021</v>
      </c>
      <c r="EH99" s="72">
        <f>IF(ISERROR(EG99/DY99),"NA",IF(OR(EG99/DY99&gt;2,EG99/DY99&lt;0.5),"NM",EG99/DY99*100-100))</f>
        <v>0.72468517681207345</v>
      </c>
      <c r="EI99" s="265">
        <f>EI97/(EI39+EI57)*40000</f>
        <v>113.04879817850407</v>
      </c>
      <c r="EJ99" s="72">
        <f>IF(ISERROR(EI99/EA99),"NA",IF(OR(EI99/EA99&gt;2,EI99/EA99&lt;0.5),"NM",EI99/EA99*100-100))</f>
        <v>7.5483881330085296</v>
      </c>
      <c r="EK99" s="265">
        <f>EK97/(EK39+EK57)*40000</f>
        <v>126.80604186209223</v>
      </c>
      <c r="EL99" s="72">
        <f>IF(ISERROR(EK99/EC99),"NA",IF(OR(EK99/EC99&gt;2,EK99/EC99&lt;0.5),"NM",EK99/EC99*100-100))</f>
        <v>29.938151096085903</v>
      </c>
      <c r="EM99" s="265">
        <f>EM97/(EM39+EM57)*40000</f>
        <v>128.90884390211212</v>
      </c>
      <c r="EN99" s="72">
        <f>IF(ISERROR(EM99/EE99),"NA",IF(OR(EM99/EE99&gt;2,EM99/EE99&lt;0.5),"NM",EM99/EE99*100-100))</f>
        <v>12.352024544027657</v>
      </c>
      <c r="EO99" s="265">
        <f>EO97/(EO39+EO57)*40000</f>
        <v>125.66347321872027</v>
      </c>
      <c r="EP99" s="72">
        <f>IF(ISERROR(EO99/EG99),"NA",IF(OR(EO99/EG99&gt;2,EO99/EG99&lt;0.5),"NM",EO99/EG99*100-100))</f>
        <v>17.314817884529887</v>
      </c>
      <c r="EQ99" s="265">
        <f t="shared" ref="EQ99" si="600">EQ97/(EQ39+EQ57)*40000</f>
        <v>126.52235282561853</v>
      </c>
      <c r="ER99" s="72">
        <f t="shared" si="587"/>
        <v>11.918352838956949</v>
      </c>
      <c r="ES99" s="265">
        <f t="shared" ref="ES99" si="601">ES97/(ES39+ES57)*40000</f>
        <v>127.20807817165108</v>
      </c>
      <c r="ET99" s="72">
        <f t="shared" si="588"/>
        <v>0.31704822866096549</v>
      </c>
      <c r="EU99" s="265">
        <f t="shared" ref="EU99" si="602">EU97/(EU39+EU57)*40000</f>
        <v>127.44200614951774</v>
      </c>
      <c r="EV99" s="72">
        <f t="shared" si="589"/>
        <v>-1.1378876019617792</v>
      </c>
      <c r="EW99" s="265">
        <f t="shared" ref="EW99" si="603">EW97/(EW39+EW57)*40000</f>
        <v>122.60109757776215</v>
      </c>
      <c r="EX99" s="72">
        <f t="shared" si="590"/>
        <v>-2.4369656213687421</v>
      </c>
      <c r="EY99" s="72"/>
      <c r="EZ99" s="306"/>
      <c r="FA99" s="72"/>
      <c r="FB99" s="75"/>
      <c r="FC99" s="72"/>
      <c r="FD99" s="75"/>
      <c r="FE99" s="72"/>
      <c r="FF99" s="75"/>
      <c r="FG99" s="72"/>
      <c r="FH99" s="75"/>
      <c r="FI99" s="72"/>
      <c r="FJ99" s="75"/>
      <c r="FK99" s="72"/>
      <c r="FL99" s="75"/>
      <c r="FM99" s="72"/>
      <c r="FN99" s="75"/>
      <c r="FO99" s="72"/>
      <c r="FP99" s="75"/>
      <c r="FQ99" s="72"/>
      <c r="FR99" s="75"/>
      <c r="FS99" s="72"/>
      <c r="FT99" s="75"/>
      <c r="FU99" s="72"/>
      <c r="FV99" s="75"/>
      <c r="FW99" s="72"/>
      <c r="FX99" s="75"/>
      <c r="FY99" s="72"/>
      <c r="FZ99" s="75"/>
      <c r="GA99" s="72"/>
      <c r="GB99" s="81"/>
      <c r="GC99" s="72"/>
      <c r="GD99" s="81"/>
      <c r="GE99" s="72"/>
      <c r="GF99" s="265">
        <f>GF97/(GF39+GF57)*10000</f>
        <v>96.398502665446358</v>
      </c>
      <c r="GG99" s="72"/>
      <c r="GH99" s="265">
        <f>GH97/(GH39+GH57)*10000</f>
        <v>101.66171681542761</v>
      </c>
      <c r="GI99" s="72"/>
      <c r="GJ99" s="265">
        <f>GJ97/(GJ39+GJ57)*10000</f>
        <v>106.24619665129622</v>
      </c>
      <c r="GK99" s="72"/>
      <c r="GL99" s="265">
        <f>GL97/(GL39+GL57)*10000</f>
        <v>106.19498773691024</v>
      </c>
      <c r="GM99" s="72"/>
      <c r="GN99" s="265">
        <f>GN97/(GN39+GN57)*10000</f>
        <v>123.70006986188842</v>
      </c>
      <c r="GO99" s="72"/>
      <c r="GP99" s="265">
        <f>GP97/(GP39+GP57)*10000</f>
        <v>125.94515549650177</v>
      </c>
      <c r="GQ99" s="72"/>
      <c r="GR99" s="265">
        <f>GR97/(GR39+GR57)*10000</f>
        <v>124.25447202143934</v>
      </c>
      <c r="GS99" s="72"/>
      <c r="GT99" s="265">
        <f>GT97/(GT39+GT57)*10000</f>
        <v>122.01780593450991</v>
      </c>
      <c r="GU99" s="72"/>
      <c r="GV99" s="265">
        <f>GV97/(GV39+GV57)*10000</f>
        <v>119.63782059978088</v>
      </c>
      <c r="GW99" s="72"/>
      <c r="GX99" s="265">
        <f>GX97/(GX39+GX57)*10000</f>
        <v>117.10053376185063</v>
      </c>
      <c r="GY99" s="72"/>
      <c r="GZ99" s="72"/>
      <c r="HA99" s="72"/>
      <c r="HB99" s="72"/>
      <c r="HC99"/>
      <c r="HD99"/>
      <c r="HE99"/>
      <c r="HF99"/>
      <c r="HG99"/>
      <c r="HH99"/>
      <c r="HI99" s="2"/>
    </row>
    <row r="100" spans="1:217" s="3" customFormat="1" ht="12.75" customHeight="1" x14ac:dyDescent="0.2">
      <c r="B100" s="10"/>
      <c r="C100" s="74"/>
      <c r="D100" s="72"/>
      <c r="E100" s="74"/>
      <c r="F100" s="72"/>
      <c r="G100" s="74"/>
      <c r="H100" s="72"/>
      <c r="I100" s="74"/>
      <c r="J100" s="72"/>
      <c r="K100" s="74"/>
      <c r="L100" s="72"/>
      <c r="M100" s="74"/>
      <c r="N100" s="72"/>
      <c r="O100" s="74"/>
      <c r="P100" s="72"/>
      <c r="Q100" s="74"/>
      <c r="R100" s="72"/>
      <c r="S100" s="74"/>
      <c r="T100" s="72"/>
      <c r="U100" s="74"/>
      <c r="V100" s="72"/>
      <c r="W100" s="74"/>
      <c r="X100" s="72"/>
      <c r="Y100" s="74"/>
      <c r="Z100" s="72"/>
      <c r="AA100" s="74"/>
      <c r="AB100" s="72"/>
      <c r="AC100" s="74"/>
      <c r="AD100" s="72"/>
      <c r="AE100" s="74"/>
      <c r="AF100" s="72"/>
      <c r="AG100" s="74"/>
      <c r="AH100" s="72"/>
      <c r="AI100" s="74"/>
      <c r="AJ100" s="72"/>
      <c r="AK100" s="74"/>
      <c r="AL100" s="72"/>
      <c r="AM100" s="74"/>
      <c r="AN100" s="72"/>
      <c r="AO100" s="74"/>
      <c r="AP100" s="72"/>
      <c r="AQ100" s="74"/>
      <c r="AR100" s="72"/>
      <c r="AS100" s="74"/>
      <c r="AT100" s="72"/>
      <c r="AU100" s="74"/>
      <c r="AV100" s="72"/>
      <c r="AW100" s="74"/>
      <c r="AX100" s="72"/>
      <c r="AY100" s="74"/>
      <c r="AZ100" s="72"/>
      <c r="BA100" s="74"/>
      <c r="BB100" s="72"/>
      <c r="BC100" s="74"/>
      <c r="BD100" s="72"/>
      <c r="BE100" s="74"/>
      <c r="BF100" s="72"/>
      <c r="BG100" s="74"/>
      <c r="BH100" s="72"/>
      <c r="BI100" s="74"/>
      <c r="BJ100" s="72"/>
      <c r="BK100" s="74"/>
      <c r="BL100" s="72"/>
      <c r="BM100" s="74"/>
      <c r="BN100" s="72"/>
      <c r="BO100" s="74"/>
      <c r="BP100" s="72"/>
      <c r="BQ100" s="74"/>
      <c r="BR100" s="72"/>
      <c r="BS100" s="74"/>
      <c r="BT100" s="72"/>
      <c r="BU100" s="74"/>
      <c r="BV100" s="72"/>
      <c r="BW100" s="74"/>
      <c r="BX100" s="72"/>
      <c r="BY100" s="74"/>
      <c r="BZ100" s="72"/>
      <c r="CA100" s="74"/>
      <c r="CB100" s="72"/>
      <c r="CC100" s="74"/>
      <c r="CD100" s="72"/>
      <c r="CE100" s="74"/>
      <c r="CF100" s="72"/>
      <c r="CG100" s="74"/>
      <c r="CH100" s="72"/>
      <c r="CI100" s="74"/>
      <c r="CJ100" s="72"/>
      <c r="CK100" s="74"/>
      <c r="CL100" s="72"/>
      <c r="CM100" s="74"/>
      <c r="CN100" s="72"/>
      <c r="CO100" s="74"/>
      <c r="CP100" s="72"/>
      <c r="CQ100" s="74"/>
      <c r="CR100" s="72"/>
      <c r="CS100" s="74"/>
      <c r="CT100" s="72"/>
      <c r="CU100" s="74"/>
      <c r="CV100" s="72"/>
      <c r="CW100" s="74"/>
      <c r="CX100" s="72"/>
      <c r="CY100" s="74"/>
      <c r="CZ100" s="72"/>
      <c r="DA100" s="74"/>
      <c r="DB100" s="72"/>
      <c r="DC100" s="74"/>
      <c r="DD100" s="72"/>
      <c r="DE100" s="74"/>
      <c r="DF100" s="72"/>
      <c r="DG100" s="74"/>
      <c r="DH100" s="72"/>
      <c r="DI100" s="74"/>
      <c r="DJ100" s="72"/>
      <c r="DK100" s="74"/>
      <c r="DL100" s="72"/>
      <c r="DM100" s="74"/>
      <c r="DN100" s="72"/>
      <c r="DO100" s="74"/>
      <c r="DP100" s="72"/>
      <c r="DQ100" s="74"/>
      <c r="DR100" s="72"/>
      <c r="DS100" s="74"/>
      <c r="DT100" s="72"/>
      <c r="DU100" s="74"/>
      <c r="DV100" s="72"/>
      <c r="DW100" s="75"/>
      <c r="DX100" s="72"/>
      <c r="DY100" s="75"/>
      <c r="DZ100" s="72"/>
      <c r="EA100" s="75"/>
      <c r="EB100" s="72"/>
      <c r="EC100" s="75"/>
      <c r="ED100" s="72"/>
      <c r="EE100" s="75"/>
      <c r="EF100" s="72"/>
      <c r="EG100" s="75"/>
      <c r="EH100" s="72"/>
      <c r="EI100" s="75"/>
      <c r="EJ100" s="72"/>
      <c r="EK100" s="75"/>
      <c r="EL100" s="72"/>
      <c r="EM100" s="75"/>
      <c r="EN100" s="72"/>
      <c r="EO100" s="75"/>
      <c r="EP100" s="72"/>
      <c r="EQ100" s="75"/>
      <c r="ER100" s="72"/>
      <c r="ES100" s="75"/>
      <c r="ET100" s="72"/>
      <c r="EU100" s="75"/>
      <c r="EV100" s="72"/>
      <c r="EW100" s="75"/>
      <c r="EX100" s="72"/>
      <c r="EY100" s="72"/>
      <c r="EZ100" s="307"/>
      <c r="FA100" s="72"/>
      <c r="FB100" s="74"/>
      <c r="FC100" s="72"/>
      <c r="FD100" s="75"/>
      <c r="FE100" s="72"/>
      <c r="FF100" s="75"/>
      <c r="FG100" s="72"/>
      <c r="FH100" s="75"/>
      <c r="FI100" s="72"/>
      <c r="FJ100" s="75"/>
      <c r="FK100" s="72"/>
      <c r="FL100" s="75"/>
      <c r="FM100" s="72"/>
      <c r="FN100" s="75"/>
      <c r="FO100" s="72"/>
      <c r="FP100" s="74"/>
      <c r="FQ100" s="72"/>
      <c r="FR100" s="75"/>
      <c r="FS100" s="72"/>
      <c r="FT100" s="75"/>
      <c r="FU100" s="72"/>
      <c r="FV100" s="75"/>
      <c r="FW100" s="72"/>
      <c r="FX100" s="75"/>
      <c r="FY100" s="72"/>
      <c r="FZ100" s="81"/>
      <c r="GA100" s="72"/>
      <c r="GB100" s="81"/>
      <c r="GC100" s="72"/>
      <c r="GD100" s="81"/>
      <c r="GE100" s="72"/>
      <c r="GF100" s="81"/>
      <c r="GG100" s="72"/>
      <c r="GH100" s="81"/>
      <c r="GI100" s="72"/>
      <c r="GJ100" s="81"/>
      <c r="GK100" s="72"/>
      <c r="GL100" s="81"/>
      <c r="GM100" s="72"/>
      <c r="GN100" s="81"/>
      <c r="GO100" s="72"/>
      <c r="GP100" s="81"/>
      <c r="GQ100" s="72"/>
      <c r="GR100" s="75"/>
      <c r="GS100" s="72"/>
      <c r="GT100" s="75"/>
      <c r="GU100" s="72"/>
      <c r="GV100" s="75"/>
      <c r="GW100" s="72"/>
      <c r="GX100" s="75"/>
      <c r="GY100" s="72"/>
      <c r="GZ100" s="72"/>
      <c r="HA100" s="72"/>
      <c r="HB100" s="72"/>
      <c r="HC100"/>
      <c r="HD100"/>
      <c r="HE100"/>
      <c r="HF100"/>
      <c r="HG100"/>
      <c r="HH100"/>
      <c r="HI100" s="2"/>
    </row>
    <row r="101" spans="1:217" s="3" customFormat="1" ht="12.75" customHeight="1" x14ac:dyDescent="0.2">
      <c r="B101" s="10" t="s">
        <v>472</v>
      </c>
      <c r="C101" s="145"/>
      <c r="D101" s="11"/>
      <c r="E101" s="145"/>
      <c r="F101" s="11"/>
      <c r="G101" s="145"/>
      <c r="H101" s="11"/>
      <c r="I101" s="145"/>
      <c r="J101" s="11"/>
      <c r="K101" s="145"/>
      <c r="L101" s="72"/>
      <c r="M101" s="145"/>
      <c r="N101" s="72"/>
      <c r="O101" s="145"/>
      <c r="P101" s="72"/>
      <c r="Q101" s="145"/>
      <c r="R101" s="72"/>
      <c r="S101" s="145"/>
      <c r="T101" s="72"/>
      <c r="U101" s="145"/>
      <c r="V101" s="72"/>
      <c r="W101" s="145"/>
      <c r="X101" s="72"/>
      <c r="Y101" s="145"/>
      <c r="Z101" s="72"/>
      <c r="AA101" s="145"/>
      <c r="AB101" s="72"/>
      <c r="AC101" s="145"/>
      <c r="AD101" s="72"/>
      <c r="AE101" s="145"/>
      <c r="AF101" s="72"/>
      <c r="AG101" s="145"/>
      <c r="AH101" s="72"/>
      <c r="AI101" s="145"/>
      <c r="AJ101" s="72"/>
      <c r="AK101" s="145"/>
      <c r="AL101" s="72"/>
      <c r="AM101" s="145"/>
      <c r="AN101" s="72"/>
      <c r="AO101" s="145"/>
      <c r="AP101" s="72"/>
      <c r="AQ101" s="145"/>
      <c r="AR101" s="72"/>
      <c r="AS101" s="145"/>
      <c r="AT101" s="72"/>
      <c r="AU101" s="145"/>
      <c r="AV101" s="72"/>
      <c r="AW101" s="145"/>
      <c r="AX101" s="72"/>
      <c r="AY101" s="145"/>
      <c r="AZ101" s="72"/>
      <c r="BA101" s="145"/>
      <c r="BB101" s="72"/>
      <c r="BC101" s="145"/>
      <c r="BD101" s="72"/>
      <c r="BE101" s="145"/>
      <c r="BF101" s="72"/>
      <c r="BG101" s="145"/>
      <c r="BH101" s="72"/>
      <c r="BI101" s="145"/>
      <c r="BJ101" s="72"/>
      <c r="BK101" s="145"/>
      <c r="BL101" s="72"/>
      <c r="BM101" s="145"/>
      <c r="BN101" s="72"/>
      <c r="BO101" s="145"/>
      <c r="BP101" s="72"/>
      <c r="BQ101" s="145"/>
      <c r="BR101" s="72"/>
      <c r="BS101" s="145"/>
      <c r="BT101" s="72"/>
      <c r="BU101" s="145"/>
      <c r="BV101" s="72"/>
      <c r="BW101" s="145"/>
      <c r="BX101" s="72"/>
      <c r="BY101" s="145"/>
      <c r="BZ101" s="72"/>
      <c r="CA101" s="145"/>
      <c r="CB101" s="72"/>
      <c r="CC101" s="145"/>
      <c r="CD101" s="72"/>
      <c r="CE101" s="145"/>
      <c r="CF101" s="72"/>
      <c r="CG101" s="145"/>
      <c r="CH101" s="72"/>
      <c r="CI101" s="145"/>
      <c r="CJ101" s="72"/>
      <c r="CK101" s="145"/>
      <c r="CL101" s="72"/>
      <c r="CM101" s="145"/>
      <c r="CN101" s="72"/>
      <c r="CO101" s="145"/>
      <c r="CP101" s="72"/>
      <c r="CQ101" s="145"/>
      <c r="CR101" s="72"/>
      <c r="CS101" s="145"/>
      <c r="CT101" s="72"/>
      <c r="CU101" s="145"/>
      <c r="CV101" s="72"/>
      <c r="CW101" s="145"/>
      <c r="CX101" s="72"/>
      <c r="CY101" s="145"/>
      <c r="CZ101" s="72"/>
      <c r="DA101" s="145"/>
      <c r="DB101" s="72"/>
      <c r="DC101" s="145"/>
      <c r="DD101" s="72"/>
      <c r="DE101" s="145"/>
      <c r="DF101" s="72"/>
      <c r="DG101" s="150">
        <v>0</v>
      </c>
      <c r="DH101" s="72"/>
      <c r="DI101" s="150">
        <v>0</v>
      </c>
      <c r="DJ101" s="72"/>
      <c r="DK101" s="150">
        <v>0</v>
      </c>
      <c r="DL101" s="72"/>
      <c r="DM101" s="150">
        <v>0</v>
      </c>
      <c r="DN101" s="72" t="str">
        <f t="shared" ref="DN101:DZ102" si="604">IF(ISERROR(DM101/DE101),"NA",IF(OR(DM101/DE101&gt;2,DM101/DE101&lt;0.5),"NM",DM101/DE101*100-100))</f>
        <v>NA</v>
      </c>
      <c r="DO101" s="150">
        <v>0</v>
      </c>
      <c r="DP101" s="72" t="str">
        <f t="shared" si="604"/>
        <v>NA</v>
      </c>
      <c r="DQ101" s="150">
        <v>0</v>
      </c>
      <c r="DR101" s="72" t="str">
        <f t="shared" si="604"/>
        <v>NA</v>
      </c>
      <c r="DS101" s="150">
        <v>0</v>
      </c>
      <c r="DT101" s="72" t="str">
        <f t="shared" si="604"/>
        <v>NA</v>
      </c>
      <c r="DU101" s="150">
        <v>0</v>
      </c>
      <c r="DV101" s="72" t="str">
        <f t="shared" si="604"/>
        <v>NA</v>
      </c>
      <c r="DW101" s="150">
        <v>0</v>
      </c>
      <c r="DX101" s="72" t="str">
        <f t="shared" si="604"/>
        <v>NA</v>
      </c>
      <c r="DY101" s="150">
        <v>0</v>
      </c>
      <c r="DZ101" s="72" t="str">
        <f t="shared" si="604"/>
        <v>NA</v>
      </c>
      <c r="EA101" s="150">
        <v>-5</v>
      </c>
      <c r="EB101" s="72" t="str">
        <f>IF(ISERROR(EA101/DS101),"NA",IF(OR(EA101/DS101&gt;2,EA101/DS101&lt;0.5),"NM",EA101/DS101*100-100))</f>
        <v>NA</v>
      </c>
      <c r="EC101" s="150">
        <v>0</v>
      </c>
      <c r="ED101" s="72" t="str">
        <f>IF(ISERROR(EC101/DU101),"NA",IF(OR(EC101/DU101&gt;2,EC101/DU101&lt;0.5),"NM",EC101/DU101*100-100))</f>
        <v>NA</v>
      </c>
      <c r="EE101" s="150">
        <v>10</v>
      </c>
      <c r="EF101" s="72" t="str">
        <f>IF(ISERROR(EE101/DW101),"NA",IF(OR(EE101/DW101&gt;2,EE101/DW101&lt;0.5),"NM",EE101/DW101*100-100))</f>
        <v>NA</v>
      </c>
      <c r="EG101" s="150">
        <v>10</v>
      </c>
      <c r="EH101" s="72" t="str">
        <f>IF(ISERROR(EG101/DY101),"NA",IF(OR(EG101/DY101&gt;2,EG101/DY101&lt;0.5),"NM",EG101/DY101*100-100))</f>
        <v>NA</v>
      </c>
      <c r="EI101" s="150">
        <v>11.5</v>
      </c>
      <c r="EJ101" s="72" t="str">
        <f>IF(ISERROR(EI101/EA101),"NA",IF(OR(EI101/EA101&gt;2,EI101/EA101&lt;0.5),"NM",EI101/EA101*100-100))</f>
        <v>NM</v>
      </c>
      <c r="EK101" s="150">
        <v>5</v>
      </c>
      <c r="EL101" s="72" t="str">
        <f>IF(ISERROR(EK101/EC101),"NA",IF(OR(EK101/EC101&gt;2,EK101/EC101&lt;0.5),"NM",EK101/EC101*100-100))</f>
        <v>NA</v>
      </c>
      <c r="EM101" s="150">
        <v>5</v>
      </c>
      <c r="EN101" s="72">
        <f>IF(ISERROR(EM101/EE101),"NA",IF(OR(EM101/EE101&gt;2,EM101/EE101&lt;0.5),"NM",EM101/EE101*100-100))</f>
        <v>-50</v>
      </c>
      <c r="EO101" s="150">
        <v>10</v>
      </c>
      <c r="EP101" s="72">
        <f>IF(ISERROR(EO101/EG101),"NA",IF(OR(EO101/EG101&gt;2,EO101/EG101&lt;0.5),"NM",EO101/EG101*100-100))</f>
        <v>0</v>
      </c>
      <c r="EQ101" s="144"/>
      <c r="ER101" s="72" t="str">
        <f t="shared" ref="ER101:ER102" si="605">IF(ISERROR(EQ101/EI101),"NA",IF(OR(EQ101/EI101&gt;2,EQ101/EI101&lt;0.5),"NM",EQ101/EI101*100-100))</f>
        <v>NM</v>
      </c>
      <c r="ES101" s="144"/>
      <c r="ET101" s="72" t="str">
        <f t="shared" ref="ET101:ET102" si="606">IF(ISERROR(ES101/EK101),"NA",IF(OR(ES101/EK101&gt;2,ES101/EK101&lt;0.5),"NM",ES101/EK101*100-100))</f>
        <v>NM</v>
      </c>
      <c r="EU101" s="144"/>
      <c r="EV101" s="72" t="str">
        <f t="shared" ref="EV101:EV102" si="607">IF(ISERROR(EU101/EM101),"NA",IF(OR(EU101/EM101&gt;2,EU101/EM101&lt;0.5),"NM",EU101/EM101*100-100))</f>
        <v>NM</v>
      </c>
      <c r="EW101" s="144"/>
      <c r="EX101" s="72" t="str">
        <f t="shared" ref="EX101:EX102" si="608">IF(ISERROR(EW101/EO101),"NA",IF(OR(EW101/EO101&gt;2,EW101/EO101&lt;0.5),"NM",EW101/EO101*100-100))</f>
        <v>NM</v>
      </c>
      <c r="EY101" s="72"/>
      <c r="EZ101" s="296"/>
      <c r="FA101" s="72"/>
      <c r="FB101" s="145"/>
      <c r="FC101" s="11"/>
      <c r="FD101" s="145"/>
      <c r="FE101" s="72"/>
      <c r="FF101" s="145"/>
      <c r="FG101" s="72"/>
      <c r="FH101" s="145"/>
      <c r="FI101" s="72"/>
      <c r="FJ101" s="145"/>
      <c r="FK101" s="72"/>
      <c r="FL101" s="145"/>
      <c r="FM101" s="72"/>
      <c r="FN101" s="145"/>
      <c r="FO101" s="72"/>
      <c r="FP101" s="145"/>
      <c r="FQ101" s="72"/>
      <c r="FR101" s="144"/>
      <c r="FS101" s="72"/>
      <c r="FT101" s="144"/>
      <c r="FU101" s="72"/>
      <c r="FV101" s="144"/>
      <c r="FW101" s="72"/>
      <c r="FX101" s="144"/>
      <c r="FY101" s="72"/>
      <c r="FZ101" s="144"/>
      <c r="GA101" s="72"/>
      <c r="GB101" s="144"/>
      <c r="GC101" s="72"/>
      <c r="GD101" s="144"/>
      <c r="GE101" s="72"/>
      <c r="GF101" s="144">
        <f>DC101+DE101+DG101+DI101</f>
        <v>0</v>
      </c>
      <c r="GG101" s="72"/>
      <c r="GH101" s="144">
        <f>DK101+DM101+DO101+DQ101</f>
        <v>0</v>
      </c>
      <c r="GI101" s="72"/>
      <c r="GJ101" s="75">
        <f>DS101+DU101+DW101+DY101</f>
        <v>0</v>
      </c>
      <c r="GK101" s="72"/>
      <c r="GL101" s="75">
        <f>EA101+EC101+EE101+EG101</f>
        <v>15</v>
      </c>
      <c r="GM101" s="72"/>
      <c r="GN101" s="75">
        <f>EI101+EK101+EM101+EO101</f>
        <v>31.5</v>
      </c>
      <c r="GO101" s="72"/>
      <c r="GP101" s="144"/>
      <c r="GQ101" s="72"/>
      <c r="GR101" s="144"/>
      <c r="GS101" s="72"/>
      <c r="GT101" s="144"/>
      <c r="GU101" s="72"/>
      <c r="GV101" s="144"/>
      <c r="GW101" s="72"/>
      <c r="GX101" s="144"/>
      <c r="GY101" s="72"/>
      <c r="GZ101" s="72"/>
      <c r="HA101" s="72"/>
      <c r="HB101" s="72"/>
      <c r="HC101"/>
      <c r="HD101"/>
      <c r="HE101"/>
      <c r="HF101"/>
      <c r="HG101"/>
      <c r="HH101"/>
      <c r="HI101" s="2"/>
    </row>
    <row r="102" spans="1:217" s="78" customFormat="1" ht="12.75" customHeight="1" x14ac:dyDescent="0.2">
      <c r="A102" s="3"/>
      <c r="B102" s="70" t="s">
        <v>424</v>
      </c>
      <c r="C102" s="91"/>
      <c r="D102" s="80"/>
      <c r="E102" s="91"/>
      <c r="F102" s="80"/>
      <c r="G102" s="91"/>
      <c r="H102" s="80"/>
      <c r="I102" s="91"/>
      <c r="J102" s="80"/>
      <c r="K102" s="91"/>
      <c r="L102" s="72"/>
      <c r="M102" s="91"/>
      <c r="N102" s="72"/>
      <c r="O102" s="91"/>
      <c r="P102" s="72"/>
      <c r="Q102" s="91"/>
      <c r="R102" s="72"/>
      <c r="S102" s="91"/>
      <c r="T102" s="72"/>
      <c r="U102" s="91"/>
      <c r="V102" s="72"/>
      <c r="W102" s="91"/>
      <c r="X102" s="72"/>
      <c r="Y102" s="91"/>
      <c r="Z102" s="72"/>
      <c r="AA102" s="91"/>
      <c r="AB102" s="72"/>
      <c r="AC102" s="91"/>
      <c r="AD102" s="72"/>
      <c r="AE102" s="91"/>
      <c r="AF102" s="72"/>
      <c r="AG102" s="91"/>
      <c r="AH102" s="72"/>
      <c r="AI102" s="91"/>
      <c r="AJ102" s="72"/>
      <c r="AK102" s="91"/>
      <c r="AL102" s="72"/>
      <c r="AM102" s="91"/>
      <c r="AN102" s="72"/>
      <c r="AO102" s="91"/>
      <c r="AP102" s="72"/>
      <c r="AQ102" s="91"/>
      <c r="AR102" s="72"/>
      <c r="AS102" s="91"/>
      <c r="AT102" s="72"/>
      <c r="AU102" s="91"/>
      <c r="AV102" s="72"/>
      <c r="AW102" s="91"/>
      <c r="AX102" s="72"/>
      <c r="AY102" s="91"/>
      <c r="AZ102" s="72"/>
      <c r="BA102" s="91"/>
      <c r="BB102" s="72"/>
      <c r="BC102" s="91"/>
      <c r="BD102" s="72"/>
      <c r="BE102" s="91"/>
      <c r="BF102" s="72"/>
      <c r="BG102" s="91"/>
      <c r="BH102" s="72"/>
      <c r="BI102" s="91"/>
      <c r="BJ102" s="72"/>
      <c r="BK102" s="91"/>
      <c r="BL102" s="72"/>
      <c r="BM102" s="91"/>
      <c r="BN102" s="72"/>
      <c r="BO102" s="91"/>
      <c r="BP102" s="72"/>
      <c r="BQ102" s="91"/>
      <c r="BR102" s="72"/>
      <c r="BS102" s="91"/>
      <c r="BT102" s="72"/>
      <c r="BU102" s="91"/>
      <c r="BV102" s="72"/>
      <c r="BW102" s="91"/>
      <c r="BX102" s="72"/>
      <c r="BY102" s="91"/>
      <c r="BZ102" s="72"/>
      <c r="CA102" s="91"/>
      <c r="CB102" s="72"/>
      <c r="CC102" s="91"/>
      <c r="CD102" s="72"/>
      <c r="CE102" s="91"/>
      <c r="CF102" s="72"/>
      <c r="CG102" s="91"/>
      <c r="CH102" s="72"/>
      <c r="CI102" s="91"/>
      <c r="CJ102" s="72"/>
      <c r="CK102" s="91"/>
      <c r="CL102" s="72"/>
      <c r="CM102" s="91"/>
      <c r="CN102" s="72"/>
      <c r="CO102" s="91"/>
      <c r="CP102" s="72"/>
      <c r="CQ102" s="91"/>
      <c r="CR102" s="72"/>
      <c r="CS102" s="91"/>
      <c r="CT102" s="72"/>
      <c r="CU102" s="91"/>
      <c r="CV102" s="72"/>
      <c r="CW102" s="91"/>
      <c r="CX102" s="72"/>
      <c r="CY102" s="91"/>
      <c r="CZ102" s="72"/>
      <c r="DA102" s="91"/>
      <c r="DB102" s="72"/>
      <c r="DC102" s="91"/>
      <c r="DD102" s="72"/>
      <c r="DE102" s="91"/>
      <c r="DF102" s="72"/>
      <c r="DG102" s="91">
        <f>DG97-DG101</f>
        <v>370</v>
      </c>
      <c r="DH102" s="72"/>
      <c r="DI102" s="91">
        <f>DI97-DI101</f>
        <v>384</v>
      </c>
      <c r="DJ102" s="72"/>
      <c r="DK102" s="91">
        <f>DK97-DK101</f>
        <v>409</v>
      </c>
      <c r="DL102" s="72"/>
      <c r="DM102" s="91">
        <f>DM97-DM101</f>
        <v>394</v>
      </c>
      <c r="DN102" s="72" t="str">
        <f t="shared" si="604"/>
        <v>NA</v>
      </c>
      <c r="DO102" s="91">
        <f>DO97-DO101</f>
        <v>403</v>
      </c>
      <c r="DP102" s="72">
        <f t="shared" si="604"/>
        <v>8.9189189189189193</v>
      </c>
      <c r="DQ102" s="91">
        <f>DQ97-DQ101</f>
        <v>390</v>
      </c>
      <c r="DR102" s="72">
        <f t="shared" si="604"/>
        <v>1.5625</v>
      </c>
      <c r="DS102" s="91">
        <f>DS97-DS101</f>
        <v>423</v>
      </c>
      <c r="DT102" s="72">
        <f t="shared" si="604"/>
        <v>3.4229828850855739</v>
      </c>
      <c r="DU102" s="91">
        <f>DU97-DU101</f>
        <v>423</v>
      </c>
      <c r="DV102" s="72">
        <f t="shared" si="604"/>
        <v>7.3604060913705638</v>
      </c>
      <c r="DW102" s="91">
        <f>DW97-DW101</f>
        <v>414</v>
      </c>
      <c r="DX102" s="72">
        <f t="shared" si="604"/>
        <v>2.7295285359801369</v>
      </c>
      <c r="DY102" s="91">
        <f>DY97-DY101</f>
        <v>403</v>
      </c>
      <c r="DZ102" s="72">
        <f t="shared" si="604"/>
        <v>3.3333333333333428</v>
      </c>
      <c r="EA102" s="91">
        <f>EA97-EA101</f>
        <v>386</v>
      </c>
      <c r="EB102" s="72">
        <f>IF(ISERROR(EA102/DS102),"NA",IF(OR(EA102/DS102&gt;2,EA102/DS102&lt;0.5),"NM",EA102/DS102*100-100))</f>
        <v>-8.7470449172576821</v>
      </c>
      <c r="EC102" s="91">
        <f>EC97-EC101</f>
        <v>375</v>
      </c>
      <c r="ED102" s="72">
        <f>IF(ISERROR(EC102/DU102),"NA",IF(OR(EC102/DU102&gt;2,EC102/DU102&lt;0.5),"NM",EC102/DU102*100-100))</f>
        <v>-11.347517730496463</v>
      </c>
      <c r="EE102" s="91">
        <f>EE97-EE101</f>
        <v>439</v>
      </c>
      <c r="EF102" s="72">
        <f>IF(ISERROR(EE102/DW102),"NA",IF(OR(EE102/DW102&gt;2,EE102/DW102&lt;0.5),"NM",EE102/DW102*100-100))</f>
        <v>6.0386473429951764</v>
      </c>
      <c r="EG102" s="91">
        <f>EG97-EG101</f>
        <v>412</v>
      </c>
      <c r="EH102" s="72">
        <f>IF(ISERROR(EG102/DY102),"NA",IF(OR(EG102/DY102&gt;2,EG102/DY102&lt;0.5),"NM",EG102/DY102*100-100))</f>
        <v>2.2332506203474054</v>
      </c>
      <c r="EI102" s="91">
        <f>EI97-EI101</f>
        <v>436.6</v>
      </c>
      <c r="EJ102" s="72">
        <f>IF(ISERROR(EI102/EA102),"NA",IF(OR(EI102/EA102&gt;2,EI102/EA102&lt;0.5),"NM",EI102/EA102*100-100))</f>
        <v>13.108808290155437</v>
      </c>
      <c r="EK102" s="91">
        <f>EK97-EK101</f>
        <v>507</v>
      </c>
      <c r="EL102" s="72">
        <f>IF(ISERROR(EK102/EC102),"NA",IF(OR(EK102/EC102&gt;2,EK102/EC102&lt;0.5),"NM",EK102/EC102*100-100))</f>
        <v>35.200000000000017</v>
      </c>
      <c r="EM102" s="91">
        <f>EM97-EM101</f>
        <v>524</v>
      </c>
      <c r="EN102" s="72">
        <f>IF(ISERROR(EM102/EE102),"NA",IF(OR(EM102/EE102&gt;2,EM102/EE102&lt;0.5),"NM",EM102/EE102*100-100))</f>
        <v>19.362186788154887</v>
      </c>
      <c r="EO102" s="91">
        <f>EO97-EO101</f>
        <v>515</v>
      </c>
      <c r="EP102" s="72">
        <f>IF(ISERROR(EO102/EG102),"NA",IF(OR(EO102/EG102&gt;2,EO102/EG102&lt;0.5),"NM",EO102/EG102*100-100))</f>
        <v>25</v>
      </c>
      <c r="EQ102" s="91"/>
      <c r="ER102" s="72" t="str">
        <f t="shared" si="605"/>
        <v>NM</v>
      </c>
      <c r="ES102" s="91"/>
      <c r="ET102" s="72" t="str">
        <f t="shared" si="606"/>
        <v>NM</v>
      </c>
      <c r="EU102" s="91"/>
      <c r="EV102" s="72" t="str">
        <f t="shared" si="607"/>
        <v>NM</v>
      </c>
      <c r="EW102" s="91"/>
      <c r="EX102" s="72" t="str">
        <f t="shared" si="608"/>
        <v>NM</v>
      </c>
      <c r="EY102" s="72"/>
      <c r="EZ102" s="314"/>
      <c r="FA102" s="72"/>
      <c r="FB102" s="91"/>
      <c r="FC102" s="80"/>
      <c r="FD102" s="91"/>
      <c r="FE102" s="72"/>
      <c r="FF102" s="91"/>
      <c r="FG102" s="72"/>
      <c r="FH102" s="91"/>
      <c r="FI102" s="72"/>
      <c r="FJ102" s="91"/>
      <c r="FK102" s="72"/>
      <c r="FL102" s="91"/>
      <c r="FM102" s="72"/>
      <c r="FN102" s="75"/>
      <c r="FO102" s="72"/>
      <c r="FP102" s="91"/>
      <c r="FQ102" s="72"/>
      <c r="FR102" s="91"/>
      <c r="FS102" s="72"/>
      <c r="FT102" s="91"/>
      <c r="FU102" s="72"/>
      <c r="FV102" s="91"/>
      <c r="FW102" s="72"/>
      <c r="FX102" s="91"/>
      <c r="FY102" s="72"/>
      <c r="FZ102" s="91"/>
      <c r="GA102" s="72"/>
      <c r="GB102" s="91"/>
      <c r="GC102" s="72"/>
      <c r="GD102" s="91"/>
      <c r="GE102" s="72"/>
      <c r="GF102" s="91">
        <f>GF97-GF101</f>
        <v>1389</v>
      </c>
      <c r="GG102" s="72"/>
      <c r="GH102" s="91">
        <f>GH97-GH101</f>
        <v>1596</v>
      </c>
      <c r="GI102" s="72"/>
      <c r="GJ102" s="91">
        <f>GJ97-GJ101</f>
        <v>1663</v>
      </c>
      <c r="GK102" s="72"/>
      <c r="GL102" s="91">
        <f>GL97-GL101</f>
        <v>1612</v>
      </c>
      <c r="GM102" s="72"/>
      <c r="GN102" s="91">
        <f>GN97-GN101</f>
        <v>1982.6</v>
      </c>
      <c r="GO102" s="72"/>
      <c r="GP102" s="91"/>
      <c r="GQ102" s="72"/>
      <c r="GR102" s="91"/>
      <c r="GS102" s="72"/>
      <c r="GT102" s="91"/>
      <c r="GU102" s="72"/>
      <c r="GV102" s="91"/>
      <c r="GW102" s="72"/>
      <c r="GX102" s="91"/>
      <c r="GY102" s="72"/>
      <c r="GZ102" s="72"/>
      <c r="HA102" s="72"/>
      <c r="HB102" s="72"/>
      <c r="HC102"/>
      <c r="HD102"/>
      <c r="HE102"/>
      <c r="HF102"/>
      <c r="HG102"/>
      <c r="HH102"/>
      <c r="HI102" s="2"/>
    </row>
    <row r="103" spans="1:217" s="193" customFormat="1" ht="12.75" customHeight="1" x14ac:dyDescent="0.2">
      <c r="A103" s="94"/>
      <c r="B103" s="190"/>
      <c r="C103" s="191"/>
      <c r="D103" s="192"/>
      <c r="E103" s="191"/>
      <c r="F103" s="192"/>
      <c r="G103" s="191"/>
      <c r="H103" s="192"/>
      <c r="I103" s="191"/>
      <c r="J103" s="192"/>
      <c r="K103" s="191"/>
      <c r="L103" s="72"/>
      <c r="M103" s="191"/>
      <c r="N103" s="72"/>
      <c r="O103" s="191"/>
      <c r="P103" s="72"/>
      <c r="Q103" s="191"/>
      <c r="R103" s="72"/>
      <c r="S103" s="191"/>
      <c r="T103" s="72"/>
      <c r="U103" s="191"/>
      <c r="V103" s="72"/>
      <c r="W103" s="191"/>
      <c r="X103" s="72"/>
      <c r="Y103" s="191"/>
      <c r="Z103" s="72"/>
      <c r="AA103" s="191"/>
      <c r="AB103" s="72"/>
      <c r="AC103" s="191"/>
      <c r="AD103" s="72"/>
      <c r="AE103" s="191"/>
      <c r="AF103" s="72"/>
      <c r="AG103" s="191"/>
      <c r="AH103" s="72"/>
      <c r="AI103" s="191"/>
      <c r="AJ103" s="72"/>
      <c r="AK103" s="191"/>
      <c r="AL103" s="72"/>
      <c r="AM103" s="191"/>
      <c r="AN103" s="72"/>
      <c r="AO103" s="191"/>
      <c r="AP103" s="72"/>
      <c r="AQ103" s="191"/>
      <c r="AR103" s="72"/>
      <c r="AS103" s="191"/>
      <c r="AT103" s="72"/>
      <c r="AU103" s="191"/>
      <c r="AV103" s="72"/>
      <c r="AW103" s="191"/>
      <c r="AX103" s="72"/>
      <c r="AY103" s="191"/>
      <c r="AZ103" s="72"/>
      <c r="BA103" s="191"/>
      <c r="BB103" s="72"/>
      <c r="BC103" s="191"/>
      <c r="BD103" s="72"/>
      <c r="BE103" s="191"/>
      <c r="BF103" s="72"/>
      <c r="BG103" s="191"/>
      <c r="BH103" s="72"/>
      <c r="BI103" s="191"/>
      <c r="BJ103" s="72"/>
      <c r="BK103" s="191"/>
      <c r="BL103" s="72"/>
      <c r="BM103" s="191"/>
      <c r="BN103" s="72"/>
      <c r="BO103" s="191"/>
      <c r="BP103" s="72"/>
      <c r="BQ103" s="191"/>
      <c r="BR103" s="72"/>
      <c r="BS103" s="191"/>
      <c r="BT103" s="72"/>
      <c r="BU103" s="191"/>
      <c r="BV103" s="72"/>
      <c r="BW103" s="191"/>
      <c r="BX103" s="72"/>
      <c r="BY103" s="191"/>
      <c r="BZ103" s="72"/>
      <c r="CA103" s="191"/>
      <c r="CB103" s="72"/>
      <c r="CC103" s="191"/>
      <c r="CD103" s="72"/>
      <c r="CE103" s="176"/>
      <c r="CF103" s="72"/>
      <c r="CG103" s="176"/>
      <c r="CH103" s="72"/>
      <c r="CI103" s="176"/>
      <c r="CJ103" s="72"/>
      <c r="CK103" s="176"/>
      <c r="CL103" s="72"/>
      <c r="CM103" s="369"/>
      <c r="CN103" s="72"/>
      <c r="CO103" s="176"/>
      <c r="CP103" s="72"/>
      <c r="CQ103" s="176"/>
      <c r="CR103" s="72"/>
      <c r="CS103" s="176"/>
      <c r="CT103" s="72"/>
      <c r="CU103" s="176"/>
      <c r="CV103" s="72"/>
      <c r="CW103" s="176"/>
      <c r="CX103" s="72"/>
      <c r="CY103" s="176"/>
      <c r="CZ103" s="72"/>
      <c r="DA103" s="191"/>
      <c r="DB103" s="72"/>
      <c r="DC103" s="176"/>
      <c r="DD103" s="72"/>
      <c r="DE103" s="176"/>
      <c r="DF103" s="72"/>
      <c r="DG103" s="176"/>
      <c r="DH103" s="72"/>
      <c r="DI103" s="176"/>
      <c r="DJ103" s="72"/>
      <c r="DK103" s="176"/>
      <c r="DL103" s="72"/>
      <c r="DM103" s="176"/>
      <c r="DN103" s="72"/>
      <c r="DO103" s="176"/>
      <c r="DP103" s="72"/>
      <c r="DQ103" s="176"/>
      <c r="DR103" s="72"/>
      <c r="DS103" s="176"/>
      <c r="DT103" s="72"/>
      <c r="DU103" s="176"/>
      <c r="DV103" s="72"/>
      <c r="DW103" s="176"/>
      <c r="DX103" s="72"/>
      <c r="DY103" s="176"/>
      <c r="DZ103" s="72"/>
      <c r="EA103" s="176"/>
      <c r="EB103" s="72"/>
      <c r="EC103" s="176"/>
      <c r="ED103" s="72"/>
      <c r="EE103" s="176"/>
      <c r="EF103" s="72"/>
      <c r="EG103" s="176"/>
      <c r="EH103" s="72"/>
      <c r="EI103" s="176"/>
      <c r="EJ103" s="72"/>
      <c r="EK103" s="176"/>
      <c r="EL103" s="72"/>
      <c r="EM103" s="176"/>
      <c r="EN103" s="72"/>
      <c r="EO103" s="176"/>
      <c r="EP103" s="72"/>
      <c r="EQ103" s="176"/>
      <c r="ER103" s="72"/>
      <c r="ES103" s="176"/>
      <c r="ET103" s="72"/>
      <c r="EU103" s="176"/>
      <c r="EV103" s="72"/>
      <c r="EW103" s="176"/>
      <c r="EX103" s="72"/>
      <c r="EY103" s="72"/>
      <c r="EZ103" s="339"/>
      <c r="FA103" s="72"/>
      <c r="FB103" s="179"/>
      <c r="FC103" s="192"/>
      <c r="FD103" s="179"/>
      <c r="FE103" s="72"/>
      <c r="FF103" s="179"/>
      <c r="FG103" s="72"/>
      <c r="FH103" s="179"/>
      <c r="FI103" s="72"/>
      <c r="FJ103" s="179"/>
      <c r="FK103" s="72"/>
      <c r="FL103" s="179"/>
      <c r="FM103" s="72"/>
      <c r="FN103" s="15"/>
      <c r="FO103" s="72"/>
      <c r="FP103" s="176"/>
      <c r="FQ103" s="72"/>
      <c r="FR103" s="176"/>
      <c r="FS103" s="72"/>
      <c r="FT103" s="176"/>
      <c r="FU103" s="72"/>
      <c r="FV103" s="176"/>
      <c r="FW103" s="72"/>
      <c r="FX103" s="176"/>
      <c r="FY103" s="72"/>
      <c r="FZ103" s="176"/>
      <c r="GA103" s="72"/>
      <c r="GB103" s="176"/>
      <c r="GC103" s="72"/>
      <c r="GD103" s="191"/>
      <c r="GE103" s="72"/>
      <c r="GF103" s="176"/>
      <c r="GG103" s="72"/>
      <c r="GH103" s="176"/>
      <c r="GI103" s="72"/>
      <c r="GJ103" s="176"/>
      <c r="GK103" s="72"/>
      <c r="GL103" s="176"/>
      <c r="GM103" s="72"/>
      <c r="GN103" s="176"/>
      <c r="GO103" s="72"/>
      <c r="GP103" s="176"/>
      <c r="GQ103" s="72"/>
      <c r="GR103" s="176"/>
      <c r="GS103" s="72"/>
      <c r="GT103" s="176"/>
      <c r="GU103" s="72"/>
      <c r="GV103" s="176"/>
      <c r="GW103" s="72"/>
      <c r="GX103" s="176"/>
      <c r="GY103" s="72"/>
      <c r="GZ103" s="72"/>
      <c r="HA103" s="72"/>
      <c r="HB103" s="72"/>
      <c r="HC103"/>
      <c r="HD103"/>
      <c r="HE103"/>
      <c r="HF103"/>
      <c r="HG103"/>
      <c r="HH103"/>
      <c r="HI103" s="2"/>
    </row>
    <row r="104" spans="1:217" s="295" customFormat="1" ht="12.75" customHeight="1" collapsed="1" x14ac:dyDescent="0.2">
      <c r="B104" s="291" t="s">
        <v>822</v>
      </c>
      <c r="C104" s="292"/>
      <c r="D104" s="293"/>
      <c r="E104" s="292"/>
      <c r="F104" s="293"/>
      <c r="G104" s="292"/>
      <c r="H104" s="293"/>
      <c r="I104" s="292"/>
      <c r="J104" s="293"/>
      <c r="K104" s="292"/>
      <c r="L104" s="293"/>
      <c r="M104" s="292"/>
      <c r="N104" s="293"/>
      <c r="O104" s="292"/>
      <c r="P104" s="293"/>
      <c r="Q104" s="292"/>
      <c r="R104" s="293"/>
      <c r="S104" s="292"/>
      <c r="T104" s="293"/>
      <c r="U104" s="292"/>
      <c r="V104" s="293"/>
      <c r="W104" s="292"/>
      <c r="X104" s="293"/>
      <c r="Y104" s="292"/>
      <c r="Z104" s="293"/>
      <c r="AA104" s="292"/>
      <c r="AB104" s="293"/>
      <c r="AC104" s="292"/>
      <c r="AD104" s="293"/>
      <c r="AE104" s="292"/>
      <c r="AF104" s="293"/>
      <c r="AG104" s="292"/>
      <c r="AH104" s="293"/>
      <c r="AI104" s="292"/>
      <c r="AJ104" s="293"/>
      <c r="AK104" s="292"/>
      <c r="AL104" s="293"/>
      <c r="AM104" s="292"/>
      <c r="AN104" s="293"/>
      <c r="AO104" s="292"/>
      <c r="AP104" s="293"/>
      <c r="AQ104" s="292"/>
      <c r="AR104" s="293"/>
      <c r="AS104" s="292"/>
      <c r="AT104" s="293"/>
      <c r="AU104" s="292"/>
      <c r="AV104" s="293"/>
      <c r="AW104" s="292"/>
      <c r="AX104" s="293"/>
      <c r="AY104" s="292"/>
      <c r="AZ104" s="293"/>
      <c r="BA104" s="292"/>
      <c r="BB104" s="293"/>
      <c r="BC104" s="292"/>
      <c r="BD104" s="293"/>
      <c r="BE104" s="292"/>
      <c r="BF104" s="293"/>
      <c r="BG104" s="292"/>
      <c r="BH104" s="293"/>
      <c r="BI104" s="292"/>
      <c r="BJ104" s="293"/>
      <c r="BK104" s="292"/>
      <c r="BL104" s="293"/>
      <c r="BM104" s="292"/>
      <c r="BN104" s="293"/>
      <c r="BO104" s="292"/>
      <c r="BP104" s="293"/>
      <c r="BQ104" s="294"/>
      <c r="BR104" s="294"/>
      <c r="BS104" s="294"/>
      <c r="BT104" s="293"/>
      <c r="BU104" s="294"/>
      <c r="BV104" s="293"/>
      <c r="BW104" s="294"/>
      <c r="BX104" s="293"/>
      <c r="BY104" s="294"/>
      <c r="BZ104" s="293"/>
      <c r="CA104" s="294"/>
      <c r="CB104" s="293"/>
      <c r="CC104" s="294"/>
      <c r="CD104" s="293"/>
      <c r="CE104" s="294"/>
      <c r="CF104" s="293"/>
      <c r="CG104" s="294"/>
      <c r="CH104" s="293"/>
      <c r="CI104" s="294"/>
      <c r="CJ104" s="293"/>
      <c r="CK104" s="294"/>
      <c r="CL104" s="293"/>
      <c r="CM104" s="294"/>
      <c r="CN104" s="293"/>
      <c r="CO104" s="294"/>
      <c r="CP104" s="293"/>
      <c r="CQ104" s="294"/>
      <c r="CR104" s="293"/>
      <c r="CS104" s="294"/>
      <c r="CT104" s="293"/>
      <c r="CU104" s="294"/>
      <c r="CV104" s="293"/>
      <c r="CW104" s="294"/>
      <c r="CX104" s="293"/>
      <c r="CY104" s="294"/>
      <c r="CZ104" s="293"/>
      <c r="DA104" s="294"/>
      <c r="DB104" s="293"/>
      <c r="DC104" s="294"/>
      <c r="DD104" s="293"/>
      <c r="DE104" s="294"/>
      <c r="DF104" s="293"/>
      <c r="DG104" s="294"/>
      <c r="DH104" s="293"/>
      <c r="DI104" s="294"/>
      <c r="DJ104" s="293"/>
      <c r="DK104" s="294"/>
      <c r="DL104" s="293"/>
      <c r="DM104" s="294"/>
      <c r="DN104" s="293"/>
      <c r="DO104" s="294"/>
      <c r="DP104" s="293"/>
      <c r="DQ104" s="294"/>
      <c r="DR104" s="293"/>
      <c r="DS104" s="294"/>
      <c r="DT104" s="293"/>
      <c r="DU104" s="294"/>
      <c r="DV104" s="293"/>
      <c r="DW104" s="292"/>
      <c r="DX104" s="293"/>
      <c r="DY104" s="292"/>
      <c r="DZ104" s="293"/>
      <c r="EA104" s="292"/>
      <c r="EB104" s="293"/>
      <c r="EC104" s="292"/>
      <c r="ED104" s="293"/>
      <c r="EE104" s="292"/>
      <c r="EF104" s="293"/>
      <c r="EG104" s="292"/>
      <c r="EH104" s="293"/>
      <c r="EI104" s="292"/>
      <c r="EJ104" s="293"/>
      <c r="EK104" s="292"/>
      <c r="EL104" s="293"/>
      <c r="EM104" s="292"/>
      <c r="EN104" s="293"/>
      <c r="EO104" s="292"/>
      <c r="EP104" s="293"/>
      <c r="EQ104" s="292"/>
      <c r="ER104" s="293"/>
      <c r="ES104" s="292"/>
      <c r="ET104" s="293"/>
      <c r="EU104" s="292"/>
      <c r="EV104" s="293"/>
      <c r="EW104" s="292"/>
      <c r="EX104" s="293"/>
      <c r="EY104" s="293"/>
      <c r="EZ104" s="299"/>
      <c r="FA104" s="293"/>
      <c r="FB104" s="292"/>
      <c r="FC104" s="293"/>
      <c r="FD104" s="292"/>
      <c r="FE104" s="293"/>
      <c r="FF104" s="292"/>
      <c r="FG104" s="293"/>
      <c r="FH104" s="292"/>
      <c r="FI104" s="293"/>
      <c r="FJ104" s="292"/>
      <c r="FK104" s="293"/>
      <c r="FL104" s="292"/>
      <c r="FM104" s="293"/>
      <c r="FN104" s="292"/>
      <c r="FO104" s="293"/>
      <c r="FP104" s="292"/>
      <c r="FQ104" s="293"/>
      <c r="FR104" s="294"/>
      <c r="FS104" s="293"/>
      <c r="FT104" s="294"/>
      <c r="FU104" s="293"/>
      <c r="FV104" s="294"/>
      <c r="FW104" s="293"/>
      <c r="FX104" s="294"/>
      <c r="FY104" s="293"/>
      <c r="FZ104" s="294"/>
      <c r="GA104" s="293"/>
      <c r="GB104" s="294"/>
      <c r="GC104" s="293"/>
      <c r="GD104" s="294"/>
      <c r="GE104" s="293"/>
      <c r="GF104" s="294"/>
      <c r="GG104" s="293"/>
      <c r="GH104" s="294"/>
      <c r="GI104" s="293"/>
      <c r="GJ104" s="294"/>
      <c r="GK104" s="293"/>
      <c r="GL104" s="294"/>
      <c r="GM104" s="293"/>
      <c r="GN104" s="294"/>
      <c r="GO104" s="293"/>
      <c r="GP104" s="294"/>
      <c r="GQ104" s="293"/>
      <c r="GR104" s="292"/>
      <c r="GS104" s="293"/>
      <c r="GT104" s="292"/>
      <c r="GU104" s="293"/>
      <c r="GV104" s="292"/>
      <c r="GW104" s="293"/>
      <c r="GX104" s="292"/>
      <c r="GY104" s="293"/>
      <c r="GZ104" s="293"/>
      <c r="HA104" s="293"/>
      <c r="HB104" s="293"/>
      <c r="HC104"/>
      <c r="HD104"/>
      <c r="HE104"/>
      <c r="HF104"/>
      <c r="HG104"/>
      <c r="HH104"/>
      <c r="HI104" s="290"/>
    </row>
    <row r="105" spans="1:217" s="90" customFormat="1" ht="12.75" customHeight="1" x14ac:dyDescent="0.2">
      <c r="B105" s="128"/>
      <c r="C105" s="129"/>
      <c r="D105" s="130"/>
      <c r="E105" s="129"/>
      <c r="F105" s="130"/>
      <c r="G105" s="129"/>
      <c r="H105" s="130"/>
      <c r="I105" s="129"/>
      <c r="J105" s="130"/>
      <c r="K105" s="129"/>
      <c r="L105" s="130"/>
      <c r="M105" s="129"/>
      <c r="N105" s="130"/>
      <c r="O105" s="129"/>
      <c r="P105" s="130"/>
      <c r="Q105" s="129"/>
      <c r="R105" s="130"/>
      <c r="S105" s="129"/>
      <c r="T105" s="130"/>
      <c r="U105" s="129"/>
      <c r="V105" s="130"/>
      <c r="W105" s="129"/>
      <c r="X105" s="130"/>
      <c r="Y105" s="129"/>
      <c r="Z105" s="130"/>
      <c r="AA105" s="129"/>
      <c r="AB105" s="130"/>
      <c r="AC105" s="129"/>
      <c r="AD105" s="130"/>
      <c r="AE105" s="129"/>
      <c r="AF105" s="130"/>
      <c r="AG105" s="129"/>
      <c r="AH105" s="130"/>
      <c r="AI105" s="129"/>
      <c r="AJ105" s="130"/>
      <c r="AK105" s="129"/>
      <c r="AL105" s="130"/>
      <c r="AM105" s="129"/>
      <c r="AN105" s="130"/>
      <c r="AO105" s="129"/>
      <c r="AP105" s="130"/>
      <c r="AQ105" s="129"/>
      <c r="AR105" s="130"/>
      <c r="AS105" s="129"/>
      <c r="AT105" s="130"/>
      <c r="AU105" s="129"/>
      <c r="AV105" s="130"/>
      <c r="AW105" s="129"/>
      <c r="AX105" s="130"/>
      <c r="AY105" s="129"/>
      <c r="AZ105" s="130"/>
      <c r="BA105" s="129"/>
      <c r="BB105" s="130"/>
      <c r="BC105" s="129"/>
      <c r="BD105" s="130"/>
      <c r="BE105" s="129"/>
      <c r="BF105" s="130"/>
      <c r="BG105" s="129"/>
      <c r="BH105" s="130"/>
      <c r="BI105" s="129"/>
      <c r="BJ105" s="130"/>
      <c r="BK105" s="129"/>
      <c r="BL105" s="130"/>
      <c r="BM105" s="129"/>
      <c r="BN105" s="130"/>
      <c r="BO105" s="129"/>
      <c r="BP105" s="130"/>
      <c r="BQ105" s="129"/>
      <c r="BR105" s="130"/>
      <c r="BS105" s="129"/>
      <c r="BT105" s="130"/>
      <c r="BU105" s="129"/>
      <c r="BV105" s="130"/>
      <c r="BW105" s="129"/>
      <c r="BX105" s="130"/>
      <c r="BY105" s="129"/>
      <c r="BZ105" s="130"/>
      <c r="CA105" s="129"/>
      <c r="CB105" s="130"/>
      <c r="CC105" s="129"/>
      <c r="CD105" s="130"/>
      <c r="CE105" s="129"/>
      <c r="CF105" s="130"/>
      <c r="CG105" s="129"/>
      <c r="CH105" s="130"/>
      <c r="CI105" s="129"/>
      <c r="CJ105" s="130"/>
      <c r="CK105" s="129"/>
      <c r="CL105" s="130"/>
      <c r="CM105" s="129"/>
      <c r="CN105" s="130"/>
      <c r="CO105" s="129"/>
      <c r="CP105" s="130"/>
      <c r="CQ105" s="129"/>
      <c r="CR105" s="130"/>
      <c r="CS105" s="129"/>
      <c r="CT105" s="130"/>
      <c r="CU105" s="129"/>
      <c r="CV105" s="130"/>
      <c r="CW105" s="129"/>
      <c r="CX105" s="130"/>
      <c r="CY105" s="129"/>
      <c r="CZ105" s="130"/>
      <c r="DA105" s="129"/>
      <c r="DB105" s="130"/>
      <c r="DC105" s="129"/>
      <c r="DD105" s="130"/>
      <c r="DE105" s="129"/>
      <c r="DF105" s="130"/>
      <c r="DG105" s="129"/>
      <c r="DH105" s="130"/>
      <c r="DI105" s="129"/>
      <c r="DJ105" s="130"/>
      <c r="DK105" s="129"/>
      <c r="DL105" s="130"/>
      <c r="DM105" s="129"/>
      <c r="DN105" s="130"/>
      <c r="DO105" s="129"/>
      <c r="DP105" s="130"/>
      <c r="DQ105" s="129"/>
      <c r="DR105" s="130"/>
      <c r="DS105" s="129"/>
      <c r="DT105" s="130"/>
      <c r="DU105" s="129"/>
      <c r="DV105" s="130"/>
      <c r="DW105" s="129"/>
      <c r="DX105" s="130"/>
      <c r="DY105" s="129"/>
      <c r="DZ105" s="130"/>
      <c r="EA105" s="129"/>
      <c r="EB105" s="130"/>
      <c r="EC105" s="129"/>
      <c r="ED105" s="130"/>
      <c r="EE105" s="129"/>
      <c r="EF105" s="130"/>
      <c r="EG105" s="129"/>
      <c r="EH105" s="130"/>
      <c r="EI105" s="129"/>
      <c r="EJ105" s="130"/>
      <c r="EK105" s="129"/>
      <c r="EL105" s="130"/>
      <c r="EM105" s="129"/>
      <c r="EN105" s="130"/>
      <c r="EO105" s="129"/>
      <c r="EP105" s="130"/>
      <c r="EQ105" s="129"/>
      <c r="ER105" s="130"/>
      <c r="ES105" s="129"/>
      <c r="ET105" s="130"/>
      <c r="EU105" s="129"/>
      <c r="EV105" s="130"/>
      <c r="EW105" s="129"/>
      <c r="EX105" s="130"/>
      <c r="EY105" s="130"/>
      <c r="EZ105" s="299"/>
      <c r="FA105" s="130"/>
      <c r="FB105" s="129"/>
      <c r="FC105" s="130"/>
      <c r="FD105" s="129"/>
      <c r="FE105" s="130"/>
      <c r="FF105" s="129"/>
      <c r="FG105" s="130"/>
      <c r="FH105" s="129"/>
      <c r="FI105" s="130"/>
      <c r="FJ105" s="129"/>
      <c r="FK105" s="130"/>
      <c r="FL105" s="129"/>
      <c r="FM105" s="130"/>
      <c r="FN105" s="129"/>
      <c r="FO105" s="130"/>
      <c r="FP105" s="129"/>
      <c r="FQ105" s="130"/>
      <c r="FR105" s="129"/>
      <c r="FS105" s="130"/>
      <c r="FT105" s="129"/>
      <c r="FU105" s="130"/>
      <c r="FV105" s="129"/>
      <c r="FW105" s="130"/>
      <c r="FX105" s="129"/>
      <c r="FY105" s="130"/>
      <c r="FZ105" s="129"/>
      <c r="GA105" s="130"/>
      <c r="GB105" s="201"/>
      <c r="GC105" s="130"/>
      <c r="GD105" s="201"/>
      <c r="GE105" s="130"/>
      <c r="GF105" s="201"/>
      <c r="GG105" s="130"/>
      <c r="GH105" s="201"/>
      <c r="GI105" s="130"/>
      <c r="GJ105" s="201"/>
      <c r="GK105" s="130"/>
      <c r="GL105" s="201"/>
      <c r="GM105" s="130"/>
      <c r="GN105" s="201"/>
      <c r="GO105" s="130"/>
      <c r="GP105" s="201"/>
      <c r="GQ105" s="130"/>
      <c r="GR105" s="129"/>
      <c r="GS105" s="130"/>
      <c r="GT105" s="129"/>
      <c r="GU105" s="130"/>
      <c r="GV105" s="129"/>
      <c r="GW105" s="130"/>
      <c r="GX105" s="129"/>
      <c r="GY105" s="130"/>
      <c r="GZ105" s="130"/>
      <c r="HA105" s="130"/>
      <c r="HB105" s="130"/>
      <c r="HC105"/>
      <c r="HD105"/>
      <c r="HE105"/>
      <c r="HF105"/>
      <c r="HG105"/>
      <c r="HH105"/>
      <c r="HI105" s="2"/>
    </row>
    <row r="106" spans="1:217" s="3" customFormat="1" ht="12.75" customHeight="1" x14ac:dyDescent="0.2">
      <c r="B106" s="70" t="s">
        <v>489</v>
      </c>
      <c r="C106" s="131"/>
      <c r="D106" s="132"/>
      <c r="E106" s="131"/>
      <c r="F106" s="132"/>
      <c r="G106" s="131"/>
      <c r="H106" s="132"/>
      <c r="I106" s="131"/>
      <c r="J106" s="132"/>
      <c r="K106" s="131"/>
      <c r="L106" s="132"/>
      <c r="M106" s="131"/>
      <c r="N106" s="132"/>
      <c r="O106" s="131"/>
      <c r="P106" s="132"/>
      <c r="Q106" s="131"/>
      <c r="R106" s="132"/>
      <c r="S106" s="131"/>
      <c r="T106" s="132"/>
      <c r="U106" s="131"/>
      <c r="V106" s="132"/>
      <c r="W106" s="131"/>
      <c r="X106" s="132"/>
      <c r="Y106" s="131"/>
      <c r="Z106" s="132"/>
      <c r="AA106" s="131"/>
      <c r="AB106" s="132"/>
      <c r="AC106" s="131"/>
      <c r="AD106" s="132"/>
      <c r="AE106" s="131"/>
      <c r="AF106" s="132"/>
      <c r="AG106" s="131"/>
      <c r="AH106" s="132"/>
      <c r="AI106" s="131"/>
      <c r="AJ106" s="132"/>
      <c r="AK106" s="131"/>
      <c r="AL106" s="132"/>
      <c r="AM106" s="131"/>
      <c r="AN106" s="132"/>
      <c r="AO106" s="131"/>
      <c r="AP106" s="132"/>
      <c r="AQ106" s="131"/>
      <c r="AR106" s="132"/>
      <c r="AS106" s="131"/>
      <c r="AT106" s="132"/>
      <c r="AU106" s="131"/>
      <c r="AV106" s="132"/>
      <c r="AW106" s="131"/>
      <c r="AX106" s="132"/>
      <c r="AY106" s="131"/>
      <c r="AZ106" s="132"/>
      <c r="BA106" s="131"/>
      <c r="BB106" s="132"/>
      <c r="BC106" s="131"/>
      <c r="BD106" s="132"/>
      <c r="BE106" s="131"/>
      <c r="BF106" s="132"/>
      <c r="BG106" s="131"/>
      <c r="BH106" s="132"/>
      <c r="BI106" s="131"/>
      <c r="BJ106" s="132"/>
      <c r="BK106" s="131"/>
      <c r="BL106" s="132"/>
      <c r="BM106" s="131"/>
      <c r="BN106" s="132"/>
      <c r="BO106" s="131"/>
      <c r="BP106" s="132"/>
      <c r="BQ106" s="131"/>
      <c r="BR106" s="132"/>
      <c r="BS106" s="131"/>
      <c r="BT106" s="132"/>
      <c r="BU106" s="131"/>
      <c r="BV106" s="132"/>
      <c r="BW106" s="131"/>
      <c r="BX106" s="132"/>
      <c r="BY106" s="131"/>
      <c r="BZ106" s="132"/>
      <c r="CA106" s="131"/>
      <c r="CB106" s="132"/>
      <c r="CC106" s="131"/>
      <c r="CD106" s="132"/>
      <c r="CE106" s="131"/>
      <c r="CF106" s="132"/>
      <c r="CG106" s="131"/>
      <c r="CH106" s="132"/>
      <c r="CI106" s="131"/>
      <c r="CJ106" s="132"/>
      <c r="CK106" s="131"/>
      <c r="CL106" s="132"/>
      <c r="CM106" s="131"/>
      <c r="CN106" s="132"/>
      <c r="CO106" s="131"/>
      <c r="CP106" s="132"/>
      <c r="CQ106" s="131"/>
      <c r="CR106" s="132"/>
      <c r="CS106" s="131"/>
      <c r="CT106" s="132"/>
      <c r="CU106" s="131"/>
      <c r="CV106" s="132"/>
      <c r="CW106" s="131"/>
      <c r="CX106" s="132"/>
      <c r="CY106" s="131"/>
      <c r="CZ106" s="132"/>
      <c r="DA106" s="131"/>
      <c r="DB106" s="132"/>
      <c r="DC106" s="131"/>
      <c r="DD106" s="132"/>
      <c r="DE106" s="131"/>
      <c r="DF106" s="132"/>
      <c r="DG106" s="131"/>
      <c r="DH106" s="132"/>
      <c r="DI106" s="131"/>
      <c r="DJ106" s="132"/>
      <c r="DK106" s="131"/>
      <c r="DL106" s="132"/>
      <c r="DM106" s="131"/>
      <c r="DN106" s="132"/>
      <c r="DO106" s="131"/>
      <c r="DP106" s="132"/>
      <c r="DQ106" s="131"/>
      <c r="DR106" s="132"/>
      <c r="DS106" s="131"/>
      <c r="DT106" s="132"/>
      <c r="DU106" s="131"/>
      <c r="DV106" s="132"/>
      <c r="DW106" s="131"/>
      <c r="DX106" s="132"/>
      <c r="DY106" s="131"/>
      <c r="DZ106" s="132"/>
      <c r="EA106" s="131"/>
      <c r="EB106" s="132"/>
      <c r="EC106" s="131"/>
      <c r="ED106" s="132"/>
      <c r="EE106" s="131"/>
      <c r="EF106" s="132"/>
      <c r="EG106" s="131"/>
      <c r="EH106" s="132"/>
      <c r="EI106" s="131"/>
      <c r="EJ106" s="132"/>
      <c r="EK106" s="131"/>
      <c r="EL106" s="132"/>
      <c r="EM106" s="131"/>
      <c r="EN106" s="132"/>
      <c r="EO106" s="131"/>
      <c r="EP106" s="132"/>
      <c r="EQ106" s="131"/>
      <c r="ER106" s="132"/>
      <c r="ES106" s="131"/>
      <c r="ET106" s="132"/>
      <c r="EU106" s="131"/>
      <c r="EV106" s="132"/>
      <c r="EW106" s="131"/>
      <c r="EX106" s="132"/>
      <c r="EY106" s="132"/>
      <c r="EZ106" s="299"/>
      <c r="FA106" s="132"/>
      <c r="FB106" s="131"/>
      <c r="FC106" s="132"/>
      <c r="FD106" s="131"/>
      <c r="FE106" s="132"/>
      <c r="FF106" s="131"/>
      <c r="FG106" s="132"/>
      <c r="FH106" s="131"/>
      <c r="FI106" s="132"/>
      <c r="FJ106" s="131"/>
      <c r="FK106" s="132"/>
      <c r="FL106" s="131"/>
      <c r="FM106" s="132"/>
      <c r="FN106" s="131"/>
      <c r="FO106" s="132"/>
      <c r="FP106" s="131"/>
      <c r="FQ106" s="132"/>
      <c r="FR106" s="131"/>
      <c r="FS106" s="132"/>
      <c r="FT106" s="131"/>
      <c r="FU106" s="132"/>
      <c r="FV106" s="131"/>
      <c r="FW106" s="132"/>
      <c r="FX106" s="131"/>
      <c r="FY106" s="132"/>
      <c r="FZ106" s="131"/>
      <c r="GA106" s="132"/>
      <c r="GB106" s="202"/>
      <c r="GC106" s="132"/>
      <c r="GD106" s="202"/>
      <c r="GE106" s="132"/>
      <c r="GF106" s="202"/>
      <c r="GG106" s="132"/>
      <c r="GH106" s="202"/>
      <c r="GI106" s="132"/>
      <c r="GJ106" s="202"/>
      <c r="GK106" s="132"/>
      <c r="GL106" s="202"/>
      <c r="GM106" s="132"/>
      <c r="GN106" s="202"/>
      <c r="GO106" s="132"/>
      <c r="GP106" s="202"/>
      <c r="GQ106" s="132"/>
      <c r="GR106" s="131"/>
      <c r="GS106" s="132"/>
      <c r="GT106" s="131"/>
      <c r="GU106" s="132"/>
      <c r="GV106" s="131"/>
      <c r="GW106" s="132"/>
      <c r="GX106" s="131"/>
      <c r="GY106" s="132"/>
      <c r="GZ106" s="132"/>
      <c r="HA106" s="132"/>
      <c r="HB106" s="132"/>
      <c r="HC106"/>
      <c r="HD106"/>
      <c r="HE106"/>
      <c r="HF106"/>
      <c r="HG106"/>
      <c r="HH106"/>
      <c r="HI106" s="2"/>
    </row>
    <row r="107" spans="1:217" s="3" customFormat="1" ht="12.75" customHeight="1" x14ac:dyDescent="0.2">
      <c r="B107" s="77" t="s">
        <v>334</v>
      </c>
      <c r="C107" s="74">
        <f>FF107-I107-G107-E107</f>
        <v>100</v>
      </c>
      <c r="D107" s="72"/>
      <c r="E107" s="74">
        <v>81</v>
      </c>
      <c r="F107" s="72"/>
      <c r="G107" s="74">
        <v>54</v>
      </c>
      <c r="H107" s="72"/>
      <c r="I107" s="74">
        <v>70</v>
      </c>
      <c r="J107" s="72"/>
      <c r="K107" s="74">
        <v>87</v>
      </c>
      <c r="L107" s="72">
        <f t="shared" ref="L107:L112" si="609">IF(ISERROR(K107/C107),"NA",IF(OR(K107/C107&gt;2,K107/C107&lt;0.5),"NM",K107/C107*100-100))</f>
        <v>-13</v>
      </c>
      <c r="M107" s="74">
        <v>96</v>
      </c>
      <c r="N107" s="72">
        <f t="shared" ref="N107:N112" si="610">IF(ISERROR(M107/E107),"NA",IF(OR(M107/E107&gt;2,M107/E107&lt;0.5),"NM",M107/E107*100-100))</f>
        <v>18.518518518518505</v>
      </c>
      <c r="O107" s="74">
        <v>71</v>
      </c>
      <c r="P107" s="72">
        <f t="shared" ref="P107:P112" si="611">IF(ISERROR(O107/G107),"NA",IF(OR(O107/G107&gt;2,O107/G107&lt;0.5),"NM",O107/G107*100-100))</f>
        <v>31.481481481481495</v>
      </c>
      <c r="Q107" s="74">
        <v>133</v>
      </c>
      <c r="R107" s="72">
        <f t="shared" ref="R107:AP112" si="612">IF(ISERROR(Q107/I107),"NA",IF(OR(Q107/I107&gt;2,Q107/I107&lt;0.5),"NM",Q107/I107*100-100))</f>
        <v>90</v>
      </c>
      <c r="S107" s="74">
        <v>56</v>
      </c>
      <c r="T107" s="72">
        <f t="shared" si="612"/>
        <v>-35.632183908045974</v>
      </c>
      <c r="U107" s="74">
        <v>65</v>
      </c>
      <c r="V107" s="72">
        <f t="shared" si="612"/>
        <v>-32.291666666666657</v>
      </c>
      <c r="W107" s="74">
        <v>109</v>
      </c>
      <c r="X107" s="72">
        <f t="shared" si="612"/>
        <v>53.521126760563362</v>
      </c>
      <c r="Y107" s="74">
        <v>165</v>
      </c>
      <c r="Z107" s="72">
        <f t="shared" si="612"/>
        <v>24.060150375939855</v>
      </c>
      <c r="AA107" s="74">
        <v>94</v>
      </c>
      <c r="AB107" s="72">
        <f t="shared" si="612"/>
        <v>67.857142857142861</v>
      </c>
      <c r="AC107" s="74">
        <v>96</v>
      </c>
      <c r="AD107" s="72">
        <f t="shared" si="612"/>
        <v>47.692307692307708</v>
      </c>
      <c r="AE107" s="74">
        <v>77</v>
      </c>
      <c r="AF107" s="72">
        <f t="shared" si="612"/>
        <v>-29.357798165137609</v>
      </c>
      <c r="AG107" s="74">
        <v>85</v>
      </c>
      <c r="AH107" s="72">
        <f t="shared" si="612"/>
        <v>-48.484848484848484</v>
      </c>
      <c r="AI107" s="74">
        <v>81</v>
      </c>
      <c r="AJ107" s="72">
        <f t="shared" si="612"/>
        <v>-13.829787234042556</v>
      </c>
      <c r="AK107" s="74">
        <v>80</v>
      </c>
      <c r="AL107" s="72">
        <f t="shared" si="612"/>
        <v>-16.666666666666657</v>
      </c>
      <c r="AM107" s="74">
        <v>80</v>
      </c>
      <c r="AN107" s="72">
        <f t="shared" si="612"/>
        <v>3.896103896103881</v>
      </c>
      <c r="AO107" s="74">
        <v>93</v>
      </c>
      <c r="AP107" s="72">
        <f t="shared" si="612"/>
        <v>9.4117647058823621</v>
      </c>
      <c r="AQ107" s="74">
        <v>92</v>
      </c>
      <c r="AR107" s="72">
        <f t="shared" ref="AR107:AR112" si="613">IF(ISERROR(AQ107/AI107),"NA",IF(OR(AQ107/AI107&gt;2,AQ107/AI107&lt;0.5),"NM",AQ107/AI107*100-100))</f>
        <v>13.58024691358024</v>
      </c>
      <c r="AS107" s="74">
        <v>93</v>
      </c>
      <c r="AT107" s="72">
        <f t="shared" ref="AT107:AT112" si="614">IF(ISERROR(AS107/AK107),"NA",IF(OR(AS107/AK107&gt;2,AS107/AK107&lt;0.5),"NM",AS107/AK107*100-100))</f>
        <v>16.250000000000014</v>
      </c>
      <c r="AU107" s="74">
        <v>97</v>
      </c>
      <c r="AV107" s="72">
        <f t="shared" ref="AV107:AV112" si="615">IF(ISERROR(AU107/AM107),"NA",IF(OR(AU107/AM107&gt;2,AU107/AM107&lt;0.5),"NM",AU107/AM107*100-100))</f>
        <v>21.249999999999986</v>
      </c>
      <c r="AW107" s="74">
        <v>109</v>
      </c>
      <c r="AX107" s="72">
        <f t="shared" ref="AX107:AX112" si="616">IF(ISERROR(AW107/AO107),"NA",IF(OR(AW107/AO107&gt;2,AW107/AO107&lt;0.5),"NM",AW107/AO107*100-100))</f>
        <v>17.20430107526883</v>
      </c>
      <c r="AY107" s="74">
        <v>100</v>
      </c>
      <c r="AZ107" s="72">
        <f t="shared" ref="AZ107:AZ112" si="617">IF(ISERROR(AY107/AQ107),"NA",IF(OR(AY107/AQ107&gt;2,AY107/AQ107&lt;0.5),"NM",AY107/AQ107*100-100))</f>
        <v>8.6956521739130324</v>
      </c>
      <c r="BA107" s="74">
        <v>103</v>
      </c>
      <c r="BB107" s="72">
        <f t="shared" ref="BB107:BB112" si="618">IF(ISERROR(BA107/AS107),"NA",IF(OR(BA107/AS107&gt;2,BA107/AS107&lt;0.5),"NM",BA107/AS107*100-100))</f>
        <v>10.752688172043008</v>
      </c>
      <c r="BC107" s="74">
        <v>109</v>
      </c>
      <c r="BD107" s="72">
        <f t="shared" ref="BD107:BD112" si="619">IF(ISERROR(BC107/AU107),"NA",IF(OR(BC107/AU107&gt;2,BC107/AU107&lt;0.5),"NM",BC107/AU107*100-100))</f>
        <v>12.371134020618555</v>
      </c>
      <c r="BE107" s="74">
        <v>117</v>
      </c>
      <c r="BF107" s="72">
        <f t="shared" ref="BF107:BF112" si="620">IF(ISERROR(BE107/AW107),"NA",IF(OR(BE107/AW107&gt;2,BE107/AW107&lt;0.5),"NM",BE107/AW107*100-100))</f>
        <v>7.3394495412844094</v>
      </c>
      <c r="BG107" s="74">
        <v>126</v>
      </c>
      <c r="BH107" s="72">
        <f t="shared" ref="BH107:BH112" si="621">IF(ISERROR(BG107/AY107),"NA",IF(OR(BG107/AY107&gt;2,BG107/AY107&lt;0.5),"NM",BG107/AY107*100-100))</f>
        <v>26</v>
      </c>
      <c r="BI107" s="74">
        <v>126</v>
      </c>
      <c r="BJ107" s="72">
        <f t="shared" ref="BJ107:BJ112" si="622">IF(ISERROR(BI107/BA107),"NA",IF(OR(BI107/BA107&gt;2,BI107/BA107&lt;0.5),"NM",BI107/BA107*100-100))</f>
        <v>22.330097087378633</v>
      </c>
      <c r="BK107" s="74">
        <v>137</v>
      </c>
      <c r="BL107" s="72">
        <f t="shared" ref="BL107:BL112" si="623">IF(ISERROR(BK107/BC107),"NA",IF(OR(BK107/BC107&gt;2,BK107/BC107&lt;0.5),"NM",BK107/BC107*100-100))</f>
        <v>25.688073394495419</v>
      </c>
      <c r="BM107" s="74">
        <v>144</v>
      </c>
      <c r="BN107" s="72">
        <f t="shared" ref="BN107:BN112" si="624">IF(ISERROR(BM107/BE107),"NA",IF(OR(BM107/BE107&gt;2,BM107/BE107&lt;0.5),"NM",BM107/BE107*100-100))</f>
        <v>23.07692307692308</v>
      </c>
      <c r="BO107" s="74">
        <v>148</v>
      </c>
      <c r="BP107" s="72">
        <f t="shared" ref="BP107:BP112" si="625">IF(ISERROR(BO107/BG107),"NA",IF(OR(BO107/BG107&gt;2,BO107/BG107&lt;0.5),"NM",BO107/BG107*100-100))</f>
        <v>17.460317460317469</v>
      </c>
      <c r="BQ107" s="74">
        <v>148</v>
      </c>
      <c r="BR107" s="72">
        <f t="shared" ref="BR107:BR112" si="626">IF(ISERROR(BQ107/BI107),"NA",IF(OR(BQ107/BI107&gt;2,BQ107/BI107&lt;0.5),"NM",BQ107/BI107*100-100))</f>
        <v>17.460317460317469</v>
      </c>
      <c r="BS107" s="74">
        <v>155</v>
      </c>
      <c r="BT107" s="72">
        <f t="shared" ref="BT107:BT112" si="627">IF(ISERROR(BS107/BK107),"NA",IF(OR(BS107/BK107&gt;2,BS107/BK107&lt;0.5),"NM",BS107/BK107*100-100))</f>
        <v>13.138686131386862</v>
      </c>
      <c r="BU107" s="74">
        <v>162</v>
      </c>
      <c r="BV107" s="72">
        <f t="shared" ref="BV107:BV112" si="628">IF(ISERROR(BU107/BM107),"NA",IF(OR(BU107/BM107&gt;2,BU107/BM107&lt;0.5),"NM",BU107/BM107*100-100))</f>
        <v>12.5</v>
      </c>
      <c r="BW107" s="74">
        <v>160</v>
      </c>
      <c r="BX107" s="72">
        <f t="shared" ref="BX107:BX112" si="629">IF(ISERROR(BW107/BO107),"NA",IF(OR(BW107/BO107&gt;2,BW107/BO107&lt;0.5),"NM",BW107/BO107*100-100))</f>
        <v>8.1081081081081123</v>
      </c>
      <c r="BY107" s="74">
        <v>170</v>
      </c>
      <c r="BZ107" s="72">
        <f t="shared" ref="BZ107:BZ112" si="630">IF(ISERROR(BY107/BQ107),"NA",IF(OR(BY107/BQ107&gt;2,BY107/BQ107&lt;0.5),"NM",BY107/BQ107*100-100))</f>
        <v>14.86486486486487</v>
      </c>
      <c r="CA107" s="74">
        <v>178</v>
      </c>
      <c r="CB107" s="72">
        <f t="shared" ref="CB107:CB112" si="631">IF(ISERROR(CA107/BS107),"NA",IF(OR(CA107/BS107&gt;2,CA107/BS107&lt;0.5),"NM",CA107/BS107*100-100))</f>
        <v>14.838709677419359</v>
      </c>
      <c r="CC107" s="74">
        <v>178</v>
      </c>
      <c r="CD107" s="72">
        <f t="shared" ref="CD107:CD112" si="632">IF(ISERROR(CC107/BU107),"NA",IF(OR(CC107/BU107&gt;2,CC107/BU107&lt;0.5),"NM",CC107/BU107*100-100))</f>
        <v>9.8765432098765444</v>
      </c>
      <c r="CE107" s="74">
        <v>176</v>
      </c>
      <c r="CF107" s="72">
        <f t="shared" ref="CF107:CF112" si="633">IF(ISERROR(CE107/BW107),"NA",IF(OR(CE107/BW107&gt;2,CE107/BW107&lt;0.5),"NM",CE107/BW107*100-100))</f>
        <v>10.000000000000014</v>
      </c>
      <c r="CG107" s="74">
        <v>177</v>
      </c>
      <c r="CH107" s="72">
        <f t="shared" ref="CH107:CH112" si="634">IF(ISERROR(CG107/BY107),"NA",IF(OR(CG107/BY107&gt;2,CG107/BY107&lt;0.5),"NM",CG107/BY107*100-100))</f>
        <v>4.1176470588235361</v>
      </c>
      <c r="CI107" s="74">
        <v>181</v>
      </c>
      <c r="CJ107" s="72">
        <f t="shared" ref="CJ107:CT112" si="635">IF(ISERROR(CI107/CA107),"NA",IF(OR(CI107/CA107&gt;2,CI107/CA107&lt;0.5),"NM",CI107/CA107*100-100))</f>
        <v>1.6853932584269558</v>
      </c>
      <c r="CK107" s="74">
        <v>180</v>
      </c>
      <c r="CL107" s="72">
        <f t="shared" si="635"/>
        <v>1.1235955056179847</v>
      </c>
      <c r="CM107" s="74">
        <v>172</v>
      </c>
      <c r="CN107" s="72">
        <f t="shared" si="635"/>
        <v>-2.2727272727272663</v>
      </c>
      <c r="CO107" s="74">
        <v>183</v>
      </c>
      <c r="CP107" s="72">
        <f t="shared" si="635"/>
        <v>3.3898305084745743</v>
      </c>
      <c r="CQ107" s="74">
        <v>182</v>
      </c>
      <c r="CR107" s="72">
        <f t="shared" si="635"/>
        <v>0.552486187845318</v>
      </c>
      <c r="CS107" s="74">
        <v>179</v>
      </c>
      <c r="CT107" s="72">
        <f t="shared" si="635"/>
        <v>-0.55555555555555713</v>
      </c>
      <c r="CU107" s="74">
        <v>175</v>
      </c>
      <c r="CV107" s="72">
        <f t="shared" ref="CV107:CV112" si="636">IF(ISERROR(CU107/CM107),"NA",IF(OR(CU107/CM107&gt;2,CU107/CM107&lt;0.5),"NM",CU107/CM107*100-100))</f>
        <v>1.7441860465116292</v>
      </c>
      <c r="CW107" s="74">
        <v>183</v>
      </c>
      <c r="CX107" s="72">
        <f t="shared" ref="CX107:CX112" si="637">IF(ISERROR(CW107/CO107),"NA",IF(OR(CW107/CO107&gt;2,CW107/CO107&lt;0.5),"NM",CW107/CO107*100-100))</f>
        <v>0</v>
      </c>
      <c r="CY107" s="74">
        <v>184</v>
      </c>
      <c r="CZ107" s="72">
        <f t="shared" ref="CZ107:CZ112" si="638">IF(ISERROR(CY107/CQ107),"NA",IF(OR(CY107/CQ107&gt;2,CY107/CQ107&lt;0.5),"NM",CY107/CQ107*100-100))</f>
        <v>1.098901098901095</v>
      </c>
      <c r="DA107" s="74">
        <v>183</v>
      </c>
      <c r="DB107" s="72">
        <f t="shared" ref="DB107:DB112" si="639">IF(ISERROR(DA107/CS107),"NA",IF(OR(DA107/CS107&gt;2,DA107/CS107&lt;0.5),"NM",DA107/CS107*100-100))</f>
        <v>2.2346368715083713</v>
      </c>
      <c r="DC107" s="74">
        <v>193</v>
      </c>
      <c r="DD107" s="72">
        <f t="shared" ref="DD107:DD112" si="640">IF(ISERROR(DC107/CU107),"NA",IF(OR(DC107/CU107&gt;2,DC107/CU107&lt;0.5),"NM",DC107/CU107*100-100))</f>
        <v>10.285714285714278</v>
      </c>
      <c r="DE107" s="74">
        <v>204</v>
      </c>
      <c r="DF107" s="72">
        <f t="shared" ref="DF107:DF112" si="641">IF(ISERROR(DE107/CW107),"NA",IF(OR(DE107/CW107&gt;2,DE107/CW107&lt;0.5),"NM",DE107/CW107*100-100))</f>
        <v>11.475409836065566</v>
      </c>
      <c r="DG107" s="74">
        <v>198</v>
      </c>
      <c r="DH107" s="72">
        <f t="shared" ref="DH107:DH112" si="642">IF(ISERROR(DG107/CY107),"NA",IF(OR(DG107/CY107&gt;2,DG107/CY107&lt;0.5),"NM",DG107/CY107*100-100))</f>
        <v>7.6086956521739069</v>
      </c>
      <c r="DI107" s="74">
        <v>215</v>
      </c>
      <c r="DJ107" s="72">
        <f t="shared" ref="DJ107:DJ112" si="643">IF(ISERROR(DI107/DA107),"NA",IF(OR(DI107/DA107&gt;2,DI107/DA107&lt;0.5),"NM",DI107/DA107*100-100))</f>
        <v>17.486338797814199</v>
      </c>
      <c r="DK107" s="74">
        <v>214</v>
      </c>
      <c r="DL107" s="72">
        <f t="shared" ref="DL107:DL112" si="644">IF(ISERROR(DK107/DC107),"NA",IF(OR(DK107/DC107&gt;2,DK107/DC107&lt;0.5),"NM",DK107/DC107*100-100))</f>
        <v>10.880829015544037</v>
      </c>
      <c r="DM107" s="74">
        <v>219</v>
      </c>
      <c r="DN107" s="72">
        <f t="shared" ref="DN107:DZ112" si="645">IF(ISERROR(DM107/DE107),"NA",IF(OR(DM107/DE107&gt;2,DM107/DE107&lt;0.5),"NM",DM107/DE107*100-100))</f>
        <v>7.3529411764705799</v>
      </c>
      <c r="DO107" s="74">
        <v>210</v>
      </c>
      <c r="DP107" s="72">
        <f t="shared" si="645"/>
        <v>6.0606060606060623</v>
      </c>
      <c r="DQ107" s="74">
        <v>205</v>
      </c>
      <c r="DR107" s="72">
        <f t="shared" si="645"/>
        <v>-4.6511627906976685</v>
      </c>
      <c r="DS107" s="74">
        <v>232</v>
      </c>
      <c r="DT107" s="72">
        <f t="shared" si="645"/>
        <v>8.4112149532710134</v>
      </c>
      <c r="DU107" s="74">
        <v>229</v>
      </c>
      <c r="DV107" s="72">
        <f t="shared" si="645"/>
        <v>4.5662100456621175</v>
      </c>
      <c r="DW107" s="74">
        <v>219</v>
      </c>
      <c r="DX107" s="72">
        <f t="shared" si="645"/>
        <v>4.2857142857142918</v>
      </c>
      <c r="DY107" s="74">
        <v>216</v>
      </c>
      <c r="DZ107" s="72">
        <f t="shared" si="645"/>
        <v>5.3658536585365937</v>
      </c>
      <c r="EA107" s="74">
        <v>210</v>
      </c>
      <c r="EB107" s="72">
        <f t="shared" ref="EB107:EB112" si="646">IF(ISERROR(EA107/DS107),"NA",IF(OR(EA107/DS107&gt;2,EA107/DS107&lt;0.5),"NM",EA107/DS107*100-100))</f>
        <v>-9.4827586206896513</v>
      </c>
      <c r="EC107" s="74">
        <v>216</v>
      </c>
      <c r="ED107" s="72">
        <f t="shared" ref="ED107:ED112" si="647">IF(ISERROR(EC107/DU107),"NA",IF(OR(EC107/DU107&gt;2,EC107/DU107&lt;0.5),"NM",EC107/DU107*100-100))</f>
        <v>-5.6768558951965105</v>
      </c>
      <c r="EE107" s="74">
        <v>216</v>
      </c>
      <c r="EF107" s="72">
        <f t="shared" ref="EF107:EF112" si="648">IF(ISERROR(EE107/DW107),"NA",IF(OR(EE107/DW107&gt;2,EE107/DW107&lt;0.5),"NM",EE107/DW107*100-100))</f>
        <v>-1.3698630136986338</v>
      </c>
      <c r="EG107" s="74">
        <v>218</v>
      </c>
      <c r="EH107" s="72">
        <f t="shared" ref="EH107:EH112" si="649">IF(ISERROR(EG107/DY107),"NA",IF(OR(EG107/DY107&gt;2,EG107/DY107&lt;0.5),"NM",EG107/DY107*100-100))</f>
        <v>0.92592592592592382</v>
      </c>
      <c r="EI107" s="74">
        <v>216</v>
      </c>
      <c r="EJ107" s="72">
        <f t="shared" ref="EJ107:EJ112" si="650">IF(ISERROR(EI107/EA107),"NA",IF(OR(EI107/EA107&gt;2,EI107/EA107&lt;0.5),"NM",EI107/EA107*100-100))</f>
        <v>2.857142857142847</v>
      </c>
      <c r="EK107" s="74">
        <v>230</v>
      </c>
      <c r="EL107" s="72">
        <f t="shared" ref="EL107:EL112" si="651">IF(ISERROR(EK107/EC107),"NA",IF(OR(EK107/EC107&gt;2,EK107/EC107&lt;0.5),"NM",EK107/EC107*100-100))</f>
        <v>6.4814814814814952</v>
      </c>
      <c r="EM107" s="74">
        <v>223</v>
      </c>
      <c r="EN107" s="72">
        <f t="shared" ref="EN107:EN112" si="652">IF(ISERROR(EM107/EE107),"NA",IF(OR(EM107/EE107&gt;2,EM107/EE107&lt;0.5),"NM",EM107/EE107*100-100))</f>
        <v>3.2407407407407476</v>
      </c>
      <c r="EO107" s="74">
        <v>226</v>
      </c>
      <c r="EP107" s="72">
        <f t="shared" ref="EP107:EP112" si="653">IF(ISERROR(EO107/EG107),"NA",IF(OR(EO107/EG107&gt;2,EO107/EG107&lt;0.5),"NM",EO107/EG107*100-100))</f>
        <v>3.6697247706422047</v>
      </c>
      <c r="EQ107" s="74">
        <f t="shared" ref="EQ107" si="654">EI107*1.06</f>
        <v>228.96</v>
      </c>
      <c r="ER107" s="72">
        <f t="shared" ref="ER107:ER112" si="655">IF(ISERROR(EQ107/EI107),"NA",IF(OR(EQ107/EI107&gt;2,EQ107/EI107&lt;0.5),"NM",EQ107/EI107*100-100))</f>
        <v>6</v>
      </c>
      <c r="ES107" s="74">
        <f t="shared" ref="ES107" si="656">EK107*1.06</f>
        <v>243.8</v>
      </c>
      <c r="ET107" s="72">
        <f t="shared" ref="ET107:ET112" si="657">IF(ISERROR(ES107/EK107),"NA",IF(OR(ES107/EK107&gt;2,ES107/EK107&lt;0.5),"NM",ES107/EK107*100-100))</f>
        <v>6</v>
      </c>
      <c r="EU107" s="74">
        <f t="shared" ref="EU107" si="658">EM107*1.06</f>
        <v>236.38000000000002</v>
      </c>
      <c r="EV107" s="72">
        <f t="shared" ref="EV107:EV112" si="659">IF(ISERROR(EU107/EM107),"NA",IF(OR(EU107/EM107&gt;2,EU107/EM107&lt;0.5),"NM",EU107/EM107*100-100))</f>
        <v>6</v>
      </c>
      <c r="EW107" s="74">
        <f t="shared" ref="EW107" si="660">EO107*1.06</f>
        <v>239.56</v>
      </c>
      <c r="EX107" s="72">
        <f t="shared" ref="EX107:EX112" si="661">IF(ISERROR(EW107/EO107),"NA",IF(OR(EW107/EO107&gt;2,EW107/EO107&lt;0.5),"NM",EW107/EO107*100-100))</f>
        <v>6</v>
      </c>
      <c r="EY107" s="72"/>
      <c r="EZ107" s="307"/>
      <c r="FA107" s="72"/>
      <c r="FB107" s="74">
        <v>228</v>
      </c>
      <c r="FC107" s="72"/>
      <c r="FD107" s="74">
        <v>269</v>
      </c>
      <c r="FE107" s="72">
        <f t="shared" ref="FE107:FE112" si="662">IF(ISERROR(FD107/FB107),"NA",IF(OR(FD107/FB107&gt;2,FD107/FB107&lt;0.5),"NM",FD107/FB107*100-100))</f>
        <v>17.982456140350877</v>
      </c>
      <c r="FF107" s="74">
        <v>305</v>
      </c>
      <c r="FG107" s="72">
        <f t="shared" ref="FG107:FG112" si="663">IF(ISERROR(FF107/FD107),"NA",IF(OR(FF107/FD107&gt;2,FF107/FD107&lt;0.5),"NM",FF107/FD107*100-100))</f>
        <v>13.382899628252787</v>
      </c>
      <c r="FH107" s="75">
        <f>K107+M107+O107+Q107</f>
        <v>387</v>
      </c>
      <c r="FI107" s="72">
        <f t="shared" ref="FI107:FI112" si="664">IF(ISERROR(FH107/FF107),"NA",IF(OR(FH107/FF107&gt;2,FH107/FF107&lt;0.5),"NM",FH107/FF107*100-100))</f>
        <v>26.885245901639337</v>
      </c>
      <c r="FJ107" s="75">
        <f>S107+U107+W107+Y107</f>
        <v>395</v>
      </c>
      <c r="FK107" s="72">
        <f t="shared" ref="FK107:FK112" si="665">IF(ISERROR(FJ107/FH107),"NA",IF(OR(FJ107/FH107&gt;2,FJ107/FH107&lt;0.5),"NM",FJ107/FH107*100-100))</f>
        <v>2.0671834625322987</v>
      </c>
      <c r="FL107" s="75">
        <f>AA107+AC107+AE107+AG107</f>
        <v>352</v>
      </c>
      <c r="FM107" s="72">
        <f t="shared" ref="FM107:FM112" si="666">IF(ISERROR(FL107/FJ107),"NA",IF(OR(FL107/FJ107&gt;2,FL107/FJ107&lt;0.5),"NM",FL107/FJ107*100-100))</f>
        <v>-10.886075949367097</v>
      </c>
      <c r="FN107" s="75">
        <f>AI107+AK107+AM107+AO107</f>
        <v>334</v>
      </c>
      <c r="FO107" s="72">
        <f t="shared" ref="FO107:FO112" si="667">IF(ISERROR(FN107/FL107),"NA",IF(OR(FN107/FL107&gt;2,FN107/FL107&lt;0.5),"NM",FN107/FL107*100-100))</f>
        <v>-5.1136363636363598</v>
      </c>
      <c r="FP107" s="75">
        <f>AQ107+AS107+AU107+AW107</f>
        <v>391</v>
      </c>
      <c r="FQ107" s="72">
        <f t="shared" ref="FQ107:FQ112" si="668">IF(ISERROR(FP107/FN107),"NA",IF(OR(FP107/FN107&gt;2,FP107/FN107&lt;0.5),"NM",FP107/FN107*100-100))</f>
        <v>17.06586826347305</v>
      </c>
      <c r="FR107" s="75">
        <f>AY107+BA107+BC107+BE107</f>
        <v>429</v>
      </c>
      <c r="FS107" s="72">
        <f t="shared" ref="FS107:FS112" si="669">IF(ISERROR(FR107/FP107),"NA",IF(OR(FR107/FP107&gt;2,FR107/FP107&lt;0.5),"NM",FR107/FP107*100-100))</f>
        <v>9.7186700767263261</v>
      </c>
      <c r="FT107" s="75">
        <f>BG107+BI107+BK107+BM107</f>
        <v>533</v>
      </c>
      <c r="FU107" s="72">
        <f t="shared" ref="FU107:FU112" si="670">IF(ISERROR(FT107/FR107),"NA",IF(OR(FT107/FR107&gt;2,FT107/FR107&lt;0.5),"NM",FT107/FR107*100-100))</f>
        <v>24.242424242424249</v>
      </c>
      <c r="FV107" s="75">
        <f>BO107+BQ107+BS107+BU107</f>
        <v>613</v>
      </c>
      <c r="FW107" s="72">
        <f t="shared" ref="FW107:GG112" si="671">IF(ISERROR(FV107/FT107),"NA",IF(OR(FV107/FT107&gt;2,FV107/FT107&lt;0.5),"NM",FV107/FT107*100-100))</f>
        <v>15.009380863039397</v>
      </c>
      <c r="FX107" s="75">
        <f>BW107+BY107+CA107+CC107</f>
        <v>686</v>
      </c>
      <c r="FY107" s="72">
        <f t="shared" si="671"/>
        <v>11.908646003262646</v>
      </c>
      <c r="FZ107" s="75">
        <f>CE107+CG107+CI107+CK107</f>
        <v>714</v>
      </c>
      <c r="GA107" s="72">
        <f t="shared" si="671"/>
        <v>4.0816326530612344</v>
      </c>
      <c r="GB107" s="75">
        <f>CM107+CO107+CQ107+CS107</f>
        <v>716</v>
      </c>
      <c r="GC107" s="72">
        <f t="shared" si="671"/>
        <v>0.28011204481792618</v>
      </c>
      <c r="GD107" s="75">
        <f>CU107+CW107+CY107+DA107</f>
        <v>725</v>
      </c>
      <c r="GE107" s="72">
        <f t="shared" si="671"/>
        <v>1.2569832402234482</v>
      </c>
      <c r="GF107" s="75">
        <f>DC107+DE107+DG107+DI107</f>
        <v>810</v>
      </c>
      <c r="GG107" s="72">
        <f t="shared" si="671"/>
        <v>11.724137931034477</v>
      </c>
      <c r="GH107" s="75">
        <f>DK107+DM107+DO107+DQ107</f>
        <v>848</v>
      </c>
      <c r="GI107" s="72">
        <f t="shared" ref="GI107:GU112" si="672">IF(ISERROR(GH107/GF107),"NA",IF(OR(GH107/GF107&gt;2,GH107/GF107&lt;0.5),"NM",GH107/GF107*100-100))</f>
        <v>4.6913580246913682</v>
      </c>
      <c r="GJ107" s="75">
        <f>DS107+DU107+DW107+DY107</f>
        <v>896</v>
      </c>
      <c r="GK107" s="72">
        <f t="shared" si="672"/>
        <v>5.6603773584905639</v>
      </c>
      <c r="GL107" s="75">
        <f>EA107+EC107+EE107+EG107</f>
        <v>860</v>
      </c>
      <c r="GM107" s="72">
        <f t="shared" si="672"/>
        <v>-4.0178571428571388</v>
      </c>
      <c r="GN107" s="75">
        <f>EI107+EK107+EM107+EO107</f>
        <v>895</v>
      </c>
      <c r="GO107" s="72">
        <f t="shared" si="672"/>
        <v>4.0697674418604777</v>
      </c>
      <c r="GP107" s="75">
        <f>EQ107+ES107+EU107+EW107</f>
        <v>948.7</v>
      </c>
      <c r="GQ107" s="72">
        <f t="shared" si="672"/>
        <v>6</v>
      </c>
      <c r="GR107" s="74">
        <f>GP107*1.06</f>
        <v>1005.6220000000001</v>
      </c>
      <c r="GS107" s="72">
        <f t="shared" si="672"/>
        <v>6</v>
      </c>
      <c r="GT107" s="74">
        <f>GR107*1.06</f>
        <v>1065.9593200000002</v>
      </c>
      <c r="GU107" s="72">
        <f t="shared" si="672"/>
        <v>6</v>
      </c>
      <c r="GV107" s="74">
        <f>GT107*1.06</f>
        <v>1129.9168792000003</v>
      </c>
      <c r="GW107" s="72">
        <f t="shared" ref="GW107:GW112" si="673">IF(ISERROR(GV107/GT107),"NA",IF(OR(GV107/GT107&gt;2,GV107/GT107&lt;0.5),"NM",GV107/GT107*100-100))</f>
        <v>6</v>
      </c>
      <c r="GX107" s="74">
        <f>GV107*1.06</f>
        <v>1197.7118919520003</v>
      </c>
      <c r="GY107" s="72">
        <f t="shared" ref="GY107:GY112" si="674">IF(ISERROR(GX107/GV107),"NA",IF(OR(GX107/GV107&gt;2,GX107/GV107&lt;0.5),"NM",GX107/GV107*100-100))</f>
        <v>6</v>
      </c>
      <c r="GZ107" s="72">
        <f t="shared" ref="GZ107:GZ112" si="675">IF(ISERROR(((GX107/GN107)^0.2-1)*100),"NA",IF((((GX107/GN107)^0.2-1)*100)&gt;100,"NM",IF((((GX107/GN107)^0.2-1)*100)&lt;-50,"NM",((GX107/GN107)^0.2-1)*100)))</f>
        <v>6.0000000000000053</v>
      </c>
      <c r="HA107" s="72"/>
      <c r="HB107" s="72"/>
      <c r="HC107"/>
      <c r="HD107"/>
      <c r="HE107"/>
      <c r="HF107"/>
      <c r="HG107"/>
      <c r="HH107"/>
      <c r="HI107" s="2"/>
    </row>
    <row r="108" spans="1:217" s="69" customFormat="1" ht="12.75" customHeight="1" x14ac:dyDescent="0.2">
      <c r="B108" s="77" t="s">
        <v>437</v>
      </c>
      <c r="C108" s="74">
        <f>FF108-I108-G108-E108</f>
        <v>254</v>
      </c>
      <c r="D108" s="72"/>
      <c r="E108" s="74">
        <v>253</v>
      </c>
      <c r="F108" s="72"/>
      <c r="G108" s="74">
        <v>258</v>
      </c>
      <c r="H108" s="72"/>
      <c r="I108" s="74">
        <v>258</v>
      </c>
      <c r="J108" s="72"/>
      <c r="K108" s="74">
        <v>251</v>
      </c>
      <c r="L108" s="72">
        <f t="shared" si="609"/>
        <v>-1.1811023622047259</v>
      </c>
      <c r="M108" s="74">
        <v>256</v>
      </c>
      <c r="N108" s="72">
        <f t="shared" si="610"/>
        <v>1.1857707509881408</v>
      </c>
      <c r="O108" s="74">
        <v>248</v>
      </c>
      <c r="P108" s="72">
        <f t="shared" si="611"/>
        <v>-3.8759689922480618</v>
      </c>
      <c r="Q108" s="74">
        <v>262</v>
      </c>
      <c r="R108" s="72">
        <f t="shared" si="612"/>
        <v>1.5503875968992276</v>
      </c>
      <c r="S108" s="74">
        <v>250</v>
      </c>
      <c r="T108" s="72">
        <f t="shared" si="612"/>
        <v>-0.39840637450198813</v>
      </c>
      <c r="U108" s="74">
        <v>252</v>
      </c>
      <c r="V108" s="72">
        <f t="shared" si="612"/>
        <v>-1.5625</v>
      </c>
      <c r="W108" s="74">
        <v>248</v>
      </c>
      <c r="X108" s="72">
        <f t="shared" si="612"/>
        <v>0</v>
      </c>
      <c r="Y108" s="74">
        <v>264</v>
      </c>
      <c r="Z108" s="72">
        <f t="shared" si="612"/>
        <v>0.76335877862594259</v>
      </c>
      <c r="AA108" s="74">
        <v>254</v>
      </c>
      <c r="AB108" s="72">
        <f t="shared" si="612"/>
        <v>1.5999999999999943</v>
      </c>
      <c r="AC108" s="74">
        <v>258</v>
      </c>
      <c r="AD108" s="72">
        <f t="shared" si="612"/>
        <v>2.3809523809523796</v>
      </c>
      <c r="AE108" s="74">
        <v>255</v>
      </c>
      <c r="AF108" s="72">
        <f t="shared" si="612"/>
        <v>2.8225806451612954</v>
      </c>
      <c r="AG108" s="74">
        <v>258</v>
      </c>
      <c r="AH108" s="72">
        <f t="shared" si="612"/>
        <v>-2.2727272727272663</v>
      </c>
      <c r="AI108" s="74">
        <v>256</v>
      </c>
      <c r="AJ108" s="72">
        <f t="shared" si="612"/>
        <v>0.7874015748031411</v>
      </c>
      <c r="AK108" s="74">
        <v>254</v>
      </c>
      <c r="AL108" s="72">
        <f t="shared" si="612"/>
        <v>-1.5503875968992276</v>
      </c>
      <c r="AM108" s="74">
        <v>263</v>
      </c>
      <c r="AN108" s="72">
        <f t="shared" si="612"/>
        <v>3.1372549019608016</v>
      </c>
      <c r="AO108" s="74">
        <v>254</v>
      </c>
      <c r="AP108" s="72">
        <f t="shared" si="612"/>
        <v>-1.5503875968992276</v>
      </c>
      <c r="AQ108" s="74">
        <v>261</v>
      </c>
      <c r="AR108" s="72">
        <f t="shared" si="613"/>
        <v>1.953125</v>
      </c>
      <c r="AS108" s="74">
        <v>259</v>
      </c>
      <c r="AT108" s="72">
        <f t="shared" si="614"/>
        <v>1.968503937007867</v>
      </c>
      <c r="AU108" s="74">
        <v>298</v>
      </c>
      <c r="AV108" s="72">
        <f t="shared" si="615"/>
        <v>13.307984790874514</v>
      </c>
      <c r="AW108" s="74">
        <v>277</v>
      </c>
      <c r="AX108" s="72">
        <f t="shared" si="616"/>
        <v>9.0551181102362222</v>
      </c>
      <c r="AY108" s="74">
        <v>266</v>
      </c>
      <c r="AZ108" s="72">
        <f t="shared" si="617"/>
        <v>1.915708812260533</v>
      </c>
      <c r="BA108" s="74">
        <v>270</v>
      </c>
      <c r="BB108" s="72">
        <f t="shared" si="618"/>
        <v>4.2471042471042324</v>
      </c>
      <c r="BC108" s="74">
        <v>117</v>
      </c>
      <c r="BD108" s="72" t="str">
        <f t="shared" si="619"/>
        <v>NM</v>
      </c>
      <c r="BE108" s="74">
        <v>267</v>
      </c>
      <c r="BF108" s="72">
        <f t="shared" si="620"/>
        <v>-3.6101083032490919</v>
      </c>
      <c r="BG108" s="74">
        <v>272</v>
      </c>
      <c r="BH108" s="72">
        <f t="shared" si="621"/>
        <v>2.2556390977443499</v>
      </c>
      <c r="BI108" s="74">
        <v>264</v>
      </c>
      <c r="BJ108" s="72">
        <f t="shared" si="622"/>
        <v>-2.2222222222222285</v>
      </c>
      <c r="BK108" s="74">
        <v>226</v>
      </c>
      <c r="BL108" s="72">
        <f t="shared" si="623"/>
        <v>93.162393162393158</v>
      </c>
      <c r="BM108" s="74">
        <v>278</v>
      </c>
      <c r="BN108" s="72">
        <f t="shared" si="624"/>
        <v>4.119850187265925</v>
      </c>
      <c r="BO108" s="74">
        <v>285</v>
      </c>
      <c r="BP108" s="72">
        <f t="shared" si="625"/>
        <v>4.779411764705884</v>
      </c>
      <c r="BQ108" s="74">
        <v>273</v>
      </c>
      <c r="BR108" s="72">
        <f t="shared" si="626"/>
        <v>3.4090909090909207</v>
      </c>
      <c r="BS108" s="74">
        <v>209</v>
      </c>
      <c r="BT108" s="72">
        <f t="shared" si="627"/>
        <v>-7.5221238938053148</v>
      </c>
      <c r="BU108" s="74">
        <v>299</v>
      </c>
      <c r="BV108" s="72">
        <f t="shared" si="628"/>
        <v>7.5539568345323715</v>
      </c>
      <c r="BW108" s="74">
        <v>276</v>
      </c>
      <c r="BX108" s="72">
        <f t="shared" si="629"/>
        <v>-3.1578947368421098</v>
      </c>
      <c r="BY108" s="74">
        <v>278</v>
      </c>
      <c r="BZ108" s="72">
        <f t="shared" si="630"/>
        <v>1.831501831501825</v>
      </c>
      <c r="CA108" s="74">
        <v>181</v>
      </c>
      <c r="CB108" s="72">
        <f t="shared" si="631"/>
        <v>-13.397129186602868</v>
      </c>
      <c r="CC108" s="74">
        <v>290</v>
      </c>
      <c r="CD108" s="72">
        <f t="shared" si="632"/>
        <v>-3.0100334448160453</v>
      </c>
      <c r="CE108" s="74">
        <v>249</v>
      </c>
      <c r="CF108" s="72">
        <f t="shared" si="633"/>
        <v>-9.7826086956521721</v>
      </c>
      <c r="CG108" s="74">
        <v>294</v>
      </c>
      <c r="CH108" s="72">
        <f t="shared" si="634"/>
        <v>5.7553956834532443</v>
      </c>
      <c r="CI108" s="74">
        <v>168</v>
      </c>
      <c r="CJ108" s="72">
        <f t="shared" si="635"/>
        <v>-7.1823204419889493</v>
      </c>
      <c r="CK108" s="74">
        <v>266</v>
      </c>
      <c r="CL108" s="72">
        <f t="shared" si="635"/>
        <v>-8.2758620689655231</v>
      </c>
      <c r="CM108" s="74">
        <v>264</v>
      </c>
      <c r="CN108" s="72">
        <f t="shared" si="635"/>
        <v>6.0240963855421796</v>
      </c>
      <c r="CO108" s="74">
        <v>274</v>
      </c>
      <c r="CP108" s="72">
        <f t="shared" si="635"/>
        <v>-6.8027210884353764</v>
      </c>
      <c r="CQ108" s="74">
        <v>156</v>
      </c>
      <c r="CR108" s="72">
        <f t="shared" si="635"/>
        <v>-7.1428571428571388</v>
      </c>
      <c r="CS108" s="74">
        <v>258</v>
      </c>
      <c r="CT108" s="72">
        <f t="shared" si="635"/>
        <v>-3.0075187969924855</v>
      </c>
      <c r="CU108" s="74">
        <v>265</v>
      </c>
      <c r="CV108" s="72">
        <f t="shared" si="636"/>
        <v>0.37878787878788955</v>
      </c>
      <c r="CW108" s="74">
        <v>275</v>
      </c>
      <c r="CX108" s="72">
        <f t="shared" si="637"/>
        <v>0.36496350364963348</v>
      </c>
      <c r="CY108" s="74">
        <v>407</v>
      </c>
      <c r="CZ108" s="72" t="str">
        <f t="shared" si="638"/>
        <v>NM</v>
      </c>
      <c r="DA108" s="74">
        <v>304</v>
      </c>
      <c r="DB108" s="72">
        <f t="shared" si="639"/>
        <v>17.829457364341096</v>
      </c>
      <c r="DC108" s="74">
        <v>515</v>
      </c>
      <c r="DD108" s="72">
        <f t="shared" si="640"/>
        <v>94.339622641509436</v>
      </c>
      <c r="DE108" s="74">
        <v>523</v>
      </c>
      <c r="DF108" s="72">
        <f t="shared" si="641"/>
        <v>90.181818181818187</v>
      </c>
      <c r="DG108" s="74">
        <v>374</v>
      </c>
      <c r="DH108" s="72">
        <f t="shared" si="642"/>
        <v>-8.1081081081080981</v>
      </c>
      <c r="DI108" s="74">
        <v>494</v>
      </c>
      <c r="DJ108" s="72">
        <f t="shared" si="643"/>
        <v>62.5</v>
      </c>
      <c r="DK108" s="74">
        <v>541</v>
      </c>
      <c r="DL108" s="72">
        <f t="shared" si="644"/>
        <v>5.0485436893203968</v>
      </c>
      <c r="DM108" s="74">
        <v>538</v>
      </c>
      <c r="DN108" s="72">
        <f t="shared" si="645"/>
        <v>2.8680688336520035</v>
      </c>
      <c r="DO108" s="74">
        <v>502</v>
      </c>
      <c r="DP108" s="72">
        <f t="shared" si="645"/>
        <v>34.224598930481278</v>
      </c>
      <c r="DQ108" s="74">
        <v>562</v>
      </c>
      <c r="DR108" s="72">
        <f t="shared" si="645"/>
        <v>13.76518218623481</v>
      </c>
      <c r="DS108" s="74">
        <v>563</v>
      </c>
      <c r="DT108" s="72">
        <f t="shared" si="645"/>
        <v>4.0665434380776446</v>
      </c>
      <c r="DU108" s="74">
        <v>360</v>
      </c>
      <c r="DV108" s="72">
        <f t="shared" si="645"/>
        <v>-33.085501858736052</v>
      </c>
      <c r="DW108" s="74">
        <v>578</v>
      </c>
      <c r="DX108" s="72">
        <f t="shared" si="645"/>
        <v>15.139442231075705</v>
      </c>
      <c r="DY108" s="74">
        <v>553</v>
      </c>
      <c r="DZ108" s="72">
        <f t="shared" si="645"/>
        <v>-1.6014234875444799</v>
      </c>
      <c r="EA108" s="74">
        <v>570</v>
      </c>
      <c r="EB108" s="72">
        <f t="shared" si="646"/>
        <v>1.2433392539964387</v>
      </c>
      <c r="EC108" s="74">
        <v>329</v>
      </c>
      <c r="ED108" s="72">
        <f t="shared" si="647"/>
        <v>-8.6111111111111143</v>
      </c>
      <c r="EE108" s="74">
        <v>555</v>
      </c>
      <c r="EF108" s="72">
        <f t="shared" si="648"/>
        <v>-3.9792387543252659</v>
      </c>
      <c r="EG108" s="74">
        <v>566</v>
      </c>
      <c r="EH108" s="72">
        <f t="shared" si="649"/>
        <v>2.3508137432188221</v>
      </c>
      <c r="EI108" s="74">
        <v>573</v>
      </c>
      <c r="EJ108" s="72">
        <f t="shared" si="650"/>
        <v>0.52631578947368496</v>
      </c>
      <c r="EK108" s="74">
        <v>-240</v>
      </c>
      <c r="EL108" s="72" t="str">
        <f t="shared" si="651"/>
        <v>NM</v>
      </c>
      <c r="EM108" s="74">
        <v>519</v>
      </c>
      <c r="EN108" s="72">
        <f t="shared" si="652"/>
        <v>-6.4864864864864842</v>
      </c>
      <c r="EO108" s="74">
        <v>550</v>
      </c>
      <c r="EP108" s="72">
        <f t="shared" si="653"/>
        <v>-2.8268551236749033</v>
      </c>
      <c r="EQ108" s="74">
        <f t="shared" ref="EQ108" si="676">EI108*1.025</f>
        <v>587.32499999999993</v>
      </c>
      <c r="ER108" s="72">
        <f t="shared" si="655"/>
        <v>2.4999999999999858</v>
      </c>
      <c r="ES108" s="74">
        <f>-EK108*1.6</f>
        <v>384</v>
      </c>
      <c r="ET108" s="72" t="str">
        <f t="shared" si="657"/>
        <v>NM</v>
      </c>
      <c r="EU108" s="74">
        <f t="shared" ref="EU108" si="677">EM108*1.025</f>
        <v>531.97499999999991</v>
      </c>
      <c r="EV108" s="72">
        <f t="shared" si="659"/>
        <v>2.4999999999999858</v>
      </c>
      <c r="EW108" s="74">
        <f t="shared" ref="EW108" si="678">EO108*1.025</f>
        <v>563.75</v>
      </c>
      <c r="EX108" s="72">
        <f t="shared" si="661"/>
        <v>2.4999999999999858</v>
      </c>
      <c r="EY108" s="72"/>
      <c r="EZ108" s="307"/>
      <c r="FA108" s="72"/>
      <c r="FB108" s="74">
        <v>1056</v>
      </c>
      <c r="FC108" s="72"/>
      <c r="FD108" s="74">
        <v>1030</v>
      </c>
      <c r="FE108" s="72">
        <f t="shared" si="662"/>
        <v>-2.4621212121212182</v>
      </c>
      <c r="FF108" s="74">
        <v>1023</v>
      </c>
      <c r="FG108" s="72">
        <f t="shared" si="663"/>
        <v>-0.67961165048544103</v>
      </c>
      <c r="FH108" s="75">
        <f>K108+M108+O108+Q108</f>
        <v>1017</v>
      </c>
      <c r="FI108" s="72">
        <f t="shared" si="664"/>
        <v>-0.58651026392962535</v>
      </c>
      <c r="FJ108" s="75">
        <f>S108+U108+W108+Y108</f>
        <v>1014</v>
      </c>
      <c r="FK108" s="72">
        <f t="shared" si="665"/>
        <v>-0.29498525073746862</v>
      </c>
      <c r="FL108" s="75">
        <f>AA108+AC108+AE108+AG108</f>
        <v>1025</v>
      </c>
      <c r="FM108" s="72">
        <f t="shared" si="666"/>
        <v>1.0848126232741606</v>
      </c>
      <c r="FN108" s="75">
        <f>AI108+AK108+AM108+AO108</f>
        <v>1027</v>
      </c>
      <c r="FO108" s="72">
        <f t="shared" si="667"/>
        <v>0.19512195121950526</v>
      </c>
      <c r="FP108" s="75">
        <f>AQ108+AS108+AU108+AW108</f>
        <v>1095</v>
      </c>
      <c r="FQ108" s="72">
        <f t="shared" si="668"/>
        <v>6.6212268743914393</v>
      </c>
      <c r="FR108" s="75">
        <f>AY108+BA108+BC108+BE108</f>
        <v>920</v>
      </c>
      <c r="FS108" s="72">
        <f t="shared" si="669"/>
        <v>-15.981735159817362</v>
      </c>
      <c r="FT108" s="75">
        <f>BG108+BI108+BK108+BM108</f>
        <v>1040</v>
      </c>
      <c r="FU108" s="72">
        <f t="shared" si="670"/>
        <v>13.043478260869563</v>
      </c>
      <c r="FV108" s="75">
        <f>BO108+BQ108+BS108+BU108</f>
        <v>1066</v>
      </c>
      <c r="FW108" s="72">
        <f t="shared" si="671"/>
        <v>2.4999999999999858</v>
      </c>
      <c r="FX108" s="74">
        <v>1024</v>
      </c>
      <c r="FY108" s="72">
        <f t="shared" si="671"/>
        <v>-3.9399624765478478</v>
      </c>
      <c r="FZ108" s="75">
        <f>CE108+CG108+CI108+CK108</f>
        <v>977</v>
      </c>
      <c r="GA108" s="72">
        <f t="shared" si="671"/>
        <v>-4.58984375</v>
      </c>
      <c r="GB108" s="75">
        <f>CM108+CO108+CQ108+CS108</f>
        <v>952</v>
      </c>
      <c r="GC108" s="72">
        <f t="shared" si="671"/>
        <v>-2.5588536335721557</v>
      </c>
      <c r="GD108" s="75">
        <f>CU108+CW108+CY108+DA108</f>
        <v>1251</v>
      </c>
      <c r="GE108" s="72">
        <f t="shared" si="671"/>
        <v>31.407563025210095</v>
      </c>
      <c r="GF108" s="75">
        <f>DC108+DE108+DG108+DI108</f>
        <v>1906</v>
      </c>
      <c r="GG108" s="72">
        <f t="shared" si="671"/>
        <v>52.358113509192634</v>
      </c>
      <c r="GH108" s="75">
        <f>DK108+DM108+DO108+DQ108</f>
        <v>2143</v>
      </c>
      <c r="GI108" s="72">
        <f t="shared" si="672"/>
        <v>12.434417628541453</v>
      </c>
      <c r="GJ108" s="75">
        <f>DS108+DU108+DW108+DY108</f>
        <v>2054</v>
      </c>
      <c r="GK108" s="72">
        <f t="shared" si="672"/>
        <v>-4.1530564629024695</v>
      </c>
      <c r="GL108" s="75">
        <f>EA108+EC108+EE108+EG108</f>
        <v>2020</v>
      </c>
      <c r="GM108" s="72">
        <f t="shared" si="672"/>
        <v>-1.6553067185978563</v>
      </c>
      <c r="GN108" s="75">
        <f>EI108+EK108+EM108+EO108</f>
        <v>1402</v>
      </c>
      <c r="GO108" s="72">
        <f t="shared" si="672"/>
        <v>-30.594059405940598</v>
      </c>
      <c r="GP108" s="75">
        <f>EQ108+ES108+EU108+EW108</f>
        <v>2067.0499999999997</v>
      </c>
      <c r="GQ108" s="72">
        <f t="shared" si="672"/>
        <v>47.435805991440759</v>
      </c>
      <c r="GR108" s="74">
        <f>GP108*1.06</f>
        <v>2191.0729999999999</v>
      </c>
      <c r="GS108" s="72">
        <f t="shared" si="672"/>
        <v>6</v>
      </c>
      <c r="GT108" s="74">
        <f>GR108*1.06</f>
        <v>2322.5373799999998</v>
      </c>
      <c r="GU108" s="72">
        <f t="shared" si="672"/>
        <v>6</v>
      </c>
      <c r="GV108" s="74">
        <f>GT108*1.06</f>
        <v>2461.8896227999999</v>
      </c>
      <c r="GW108" s="72">
        <f t="shared" si="673"/>
        <v>6</v>
      </c>
      <c r="GX108" s="74">
        <f>GV108*1.06</f>
        <v>2609.6030001680001</v>
      </c>
      <c r="GY108" s="72">
        <f t="shared" si="674"/>
        <v>6</v>
      </c>
      <c r="GZ108" s="72">
        <f t="shared" si="675"/>
        <v>13.230985156196539</v>
      </c>
      <c r="HA108" s="72"/>
      <c r="HB108" s="72"/>
      <c r="HC108"/>
      <c r="HD108"/>
      <c r="HE108"/>
      <c r="HF108"/>
      <c r="HG108"/>
      <c r="HH108"/>
      <c r="HI108" s="2"/>
    </row>
    <row r="109" spans="1:217" s="69" customFormat="1" ht="12.75" customHeight="1" x14ac:dyDescent="0.2">
      <c r="B109" s="77" t="s">
        <v>477</v>
      </c>
      <c r="C109" s="75">
        <f>C108+C107</f>
        <v>354</v>
      </c>
      <c r="D109" s="72"/>
      <c r="E109" s="75">
        <f>E108+E107</f>
        <v>334</v>
      </c>
      <c r="F109" s="72"/>
      <c r="G109" s="75">
        <f>G108+G107</f>
        <v>312</v>
      </c>
      <c r="H109" s="72"/>
      <c r="I109" s="75">
        <f>I108+I107</f>
        <v>328</v>
      </c>
      <c r="J109" s="72"/>
      <c r="K109" s="75">
        <f>K108+K107</f>
        <v>338</v>
      </c>
      <c r="L109" s="72">
        <f t="shared" si="609"/>
        <v>-4.5197740112994325</v>
      </c>
      <c r="M109" s="75">
        <f>M108+M107</f>
        <v>352</v>
      </c>
      <c r="N109" s="72">
        <f t="shared" si="610"/>
        <v>5.3892215568862412</v>
      </c>
      <c r="O109" s="75">
        <f>O108+O107</f>
        <v>319</v>
      </c>
      <c r="P109" s="72">
        <f t="shared" si="611"/>
        <v>2.2435897435897374</v>
      </c>
      <c r="Q109" s="75">
        <f>Q108+Q107</f>
        <v>395</v>
      </c>
      <c r="R109" s="72">
        <f t="shared" si="612"/>
        <v>20.426829268292693</v>
      </c>
      <c r="S109" s="75">
        <f>S108+S107</f>
        <v>306</v>
      </c>
      <c r="T109" s="72">
        <f t="shared" si="612"/>
        <v>-9.4674556213017809</v>
      </c>
      <c r="U109" s="75">
        <f>U108+U107</f>
        <v>317</v>
      </c>
      <c r="V109" s="72">
        <f t="shared" si="612"/>
        <v>-9.9431818181818272</v>
      </c>
      <c r="W109" s="75">
        <f>W108+W107</f>
        <v>357</v>
      </c>
      <c r="X109" s="72">
        <f t="shared" si="612"/>
        <v>11.912225705329149</v>
      </c>
      <c r="Y109" s="75">
        <f>Y108+Y107</f>
        <v>429</v>
      </c>
      <c r="Z109" s="72">
        <f t="shared" si="612"/>
        <v>8.607594936708864</v>
      </c>
      <c r="AA109" s="75">
        <f>AA108+AA107</f>
        <v>348</v>
      </c>
      <c r="AB109" s="72">
        <f t="shared" si="612"/>
        <v>13.725490196078425</v>
      </c>
      <c r="AC109" s="75">
        <f>AC108+AC107</f>
        <v>354</v>
      </c>
      <c r="AD109" s="72">
        <f t="shared" si="612"/>
        <v>11.671924290220815</v>
      </c>
      <c r="AE109" s="75">
        <f>AE108+AE107</f>
        <v>332</v>
      </c>
      <c r="AF109" s="72">
        <f t="shared" si="612"/>
        <v>-7.0028011204481828</v>
      </c>
      <c r="AG109" s="75">
        <f>AG108+AG107</f>
        <v>343</v>
      </c>
      <c r="AH109" s="72">
        <f t="shared" si="612"/>
        <v>-20.046620046620049</v>
      </c>
      <c r="AI109" s="75">
        <f>AI108+AI107</f>
        <v>337</v>
      </c>
      <c r="AJ109" s="72">
        <f t="shared" si="612"/>
        <v>-3.1609195402298838</v>
      </c>
      <c r="AK109" s="75">
        <f>AK108+AK107</f>
        <v>334</v>
      </c>
      <c r="AL109" s="72">
        <f t="shared" si="612"/>
        <v>-5.6497175141242906</v>
      </c>
      <c r="AM109" s="75">
        <f>AM108+AM107</f>
        <v>343</v>
      </c>
      <c r="AN109" s="72">
        <f t="shared" si="612"/>
        <v>3.3132530120481931</v>
      </c>
      <c r="AO109" s="75">
        <f>AO108+AO107</f>
        <v>347</v>
      </c>
      <c r="AP109" s="72">
        <f t="shared" si="612"/>
        <v>1.1661807580174894</v>
      </c>
      <c r="AQ109" s="75">
        <f>AQ108+AQ107</f>
        <v>353</v>
      </c>
      <c r="AR109" s="72">
        <f t="shared" si="613"/>
        <v>4.7477744807121809</v>
      </c>
      <c r="AS109" s="75">
        <f>AS108+AS107</f>
        <v>352</v>
      </c>
      <c r="AT109" s="72">
        <f t="shared" si="614"/>
        <v>5.3892215568862412</v>
      </c>
      <c r="AU109" s="75">
        <f>AU108+AU107</f>
        <v>395</v>
      </c>
      <c r="AV109" s="72">
        <f t="shared" si="615"/>
        <v>15.160349854227405</v>
      </c>
      <c r="AW109" s="75">
        <f>AW108+AW107</f>
        <v>386</v>
      </c>
      <c r="AX109" s="72">
        <f t="shared" si="616"/>
        <v>11.239193083573483</v>
      </c>
      <c r="AY109" s="75">
        <f>AY108+AY107</f>
        <v>366</v>
      </c>
      <c r="AZ109" s="72">
        <f t="shared" si="617"/>
        <v>3.68271954674222</v>
      </c>
      <c r="BA109" s="75">
        <f>BA108+BA107</f>
        <v>373</v>
      </c>
      <c r="BB109" s="72">
        <f t="shared" si="618"/>
        <v>5.9659090909090793</v>
      </c>
      <c r="BC109" s="75">
        <f>BC108+BC107</f>
        <v>226</v>
      </c>
      <c r="BD109" s="72">
        <f t="shared" si="619"/>
        <v>-42.784810126582272</v>
      </c>
      <c r="BE109" s="75">
        <f>BE108+BE107</f>
        <v>384</v>
      </c>
      <c r="BF109" s="72">
        <f t="shared" si="620"/>
        <v>-0.51813471502590858</v>
      </c>
      <c r="BG109" s="75">
        <f>BG108+BG107</f>
        <v>398</v>
      </c>
      <c r="BH109" s="72">
        <f t="shared" si="621"/>
        <v>8.7431693989071135</v>
      </c>
      <c r="BI109" s="75">
        <f>BI108+BI107</f>
        <v>390</v>
      </c>
      <c r="BJ109" s="72">
        <f t="shared" si="622"/>
        <v>4.5576407506702452</v>
      </c>
      <c r="BK109" s="75">
        <f>BK108+BK107</f>
        <v>363</v>
      </c>
      <c r="BL109" s="72">
        <f t="shared" si="623"/>
        <v>60.619469026548671</v>
      </c>
      <c r="BM109" s="75">
        <f>BM108+BM107</f>
        <v>422</v>
      </c>
      <c r="BN109" s="72">
        <f t="shared" si="624"/>
        <v>9.8958333333333286</v>
      </c>
      <c r="BO109" s="75">
        <f>BO108+BO107</f>
        <v>433</v>
      </c>
      <c r="BP109" s="72">
        <f t="shared" si="625"/>
        <v>8.7939698492462242</v>
      </c>
      <c r="BQ109" s="75">
        <f>BQ108+BQ107</f>
        <v>421</v>
      </c>
      <c r="BR109" s="72">
        <f t="shared" si="626"/>
        <v>7.9487179487179418</v>
      </c>
      <c r="BS109" s="75">
        <f>BS108+BS107</f>
        <v>364</v>
      </c>
      <c r="BT109" s="72">
        <f t="shared" si="627"/>
        <v>0.27548209366389642</v>
      </c>
      <c r="BU109" s="75">
        <f>BU108+BU107</f>
        <v>461</v>
      </c>
      <c r="BV109" s="72">
        <f t="shared" si="628"/>
        <v>9.2417061611374436</v>
      </c>
      <c r="BW109" s="75">
        <f>BW108+BW107</f>
        <v>436</v>
      </c>
      <c r="BX109" s="72">
        <f t="shared" si="629"/>
        <v>0.69284064665127687</v>
      </c>
      <c r="BY109" s="75">
        <f>BY108+BY107</f>
        <v>448</v>
      </c>
      <c r="BZ109" s="72">
        <f t="shared" si="630"/>
        <v>6.4133016627078376</v>
      </c>
      <c r="CA109" s="75">
        <f>CA108+CA107</f>
        <v>359</v>
      </c>
      <c r="CB109" s="72">
        <f t="shared" si="631"/>
        <v>-1.3736263736263652</v>
      </c>
      <c r="CC109" s="75">
        <f>CC108+CC107</f>
        <v>468</v>
      </c>
      <c r="CD109" s="72">
        <f t="shared" si="632"/>
        <v>1.518438177874188</v>
      </c>
      <c r="CE109" s="75">
        <f>CE108+CE107</f>
        <v>425</v>
      </c>
      <c r="CF109" s="72">
        <f t="shared" si="633"/>
        <v>-2.5229357798165211</v>
      </c>
      <c r="CG109" s="75">
        <f>CG108+CG107</f>
        <v>471</v>
      </c>
      <c r="CH109" s="72">
        <f t="shared" si="634"/>
        <v>5.1339285714285836</v>
      </c>
      <c r="CI109" s="75">
        <f>CI108+CI107</f>
        <v>349</v>
      </c>
      <c r="CJ109" s="72">
        <f t="shared" si="635"/>
        <v>-2.7855153203342695</v>
      </c>
      <c r="CK109" s="75">
        <f>CK108+CK107</f>
        <v>446</v>
      </c>
      <c r="CL109" s="72">
        <f t="shared" si="635"/>
        <v>-4.7008547008547055</v>
      </c>
      <c r="CM109" s="75">
        <f>CM108+CM107</f>
        <v>436</v>
      </c>
      <c r="CN109" s="72">
        <f t="shared" si="635"/>
        <v>2.5882352941176521</v>
      </c>
      <c r="CO109" s="75">
        <f>CO108+CO107</f>
        <v>457</v>
      </c>
      <c r="CP109" s="72">
        <f t="shared" si="635"/>
        <v>-2.9723991507431009</v>
      </c>
      <c r="CQ109" s="75">
        <f>CQ108+CQ107</f>
        <v>338</v>
      </c>
      <c r="CR109" s="72">
        <f t="shared" si="635"/>
        <v>-3.151862464183381</v>
      </c>
      <c r="CS109" s="75">
        <f>CS108+CS107</f>
        <v>437</v>
      </c>
      <c r="CT109" s="72">
        <f t="shared" si="635"/>
        <v>-2.0179372197309391</v>
      </c>
      <c r="CU109" s="75">
        <f>CU108+CU107</f>
        <v>440</v>
      </c>
      <c r="CV109" s="72">
        <f t="shared" si="636"/>
        <v>0.91743119266054407</v>
      </c>
      <c r="CW109" s="75">
        <f>CW108+CW107</f>
        <v>458</v>
      </c>
      <c r="CX109" s="72">
        <f t="shared" si="637"/>
        <v>0.21881838074398274</v>
      </c>
      <c r="CY109" s="75">
        <f>CY108+CY107</f>
        <v>591</v>
      </c>
      <c r="CZ109" s="72">
        <f t="shared" si="638"/>
        <v>74.852071005917139</v>
      </c>
      <c r="DA109" s="75">
        <f>DA108+DA107</f>
        <v>487</v>
      </c>
      <c r="DB109" s="72">
        <f t="shared" si="639"/>
        <v>11.441647597254018</v>
      </c>
      <c r="DC109" s="75">
        <f>DC108+DC107</f>
        <v>708</v>
      </c>
      <c r="DD109" s="72">
        <f t="shared" si="640"/>
        <v>60.909090909090907</v>
      </c>
      <c r="DE109" s="75">
        <f>DE108+DE107</f>
        <v>727</v>
      </c>
      <c r="DF109" s="72">
        <f t="shared" si="641"/>
        <v>58.733624454148469</v>
      </c>
      <c r="DG109" s="75">
        <f>DG108+DG107</f>
        <v>572</v>
      </c>
      <c r="DH109" s="72">
        <f t="shared" si="642"/>
        <v>-3.2148900169204637</v>
      </c>
      <c r="DI109" s="75">
        <f>DI108+DI107</f>
        <v>709</v>
      </c>
      <c r="DJ109" s="72">
        <f t="shared" si="643"/>
        <v>45.585215605749482</v>
      </c>
      <c r="DK109" s="75">
        <f>DK108+DK107</f>
        <v>755</v>
      </c>
      <c r="DL109" s="72">
        <f t="shared" si="644"/>
        <v>6.6384180790960414</v>
      </c>
      <c r="DM109" s="75">
        <f>DM108+DM107</f>
        <v>757</v>
      </c>
      <c r="DN109" s="72">
        <f t="shared" si="645"/>
        <v>4.1265474552957215</v>
      </c>
      <c r="DO109" s="75">
        <f>DO108+DO107</f>
        <v>712</v>
      </c>
      <c r="DP109" s="72">
        <f t="shared" si="645"/>
        <v>24.47552447552448</v>
      </c>
      <c r="DQ109" s="75">
        <f>DQ108+DQ107</f>
        <v>767</v>
      </c>
      <c r="DR109" s="72">
        <f t="shared" si="645"/>
        <v>8.1805359661495203</v>
      </c>
      <c r="DS109" s="75">
        <f>DS108+DS107</f>
        <v>795</v>
      </c>
      <c r="DT109" s="72">
        <f t="shared" si="645"/>
        <v>5.2980132450331183</v>
      </c>
      <c r="DU109" s="75">
        <f>DU108+DU107</f>
        <v>589</v>
      </c>
      <c r="DV109" s="72">
        <f t="shared" si="645"/>
        <v>-22.192866578599734</v>
      </c>
      <c r="DW109" s="75">
        <f>DW108+DW107</f>
        <v>797</v>
      </c>
      <c r="DX109" s="72">
        <f t="shared" si="645"/>
        <v>11.938202247191015</v>
      </c>
      <c r="DY109" s="75">
        <f>DY108+DY107</f>
        <v>769</v>
      </c>
      <c r="DZ109" s="72">
        <f t="shared" si="645"/>
        <v>0.26075619295957608</v>
      </c>
      <c r="EA109" s="75">
        <f>EA108+EA107</f>
        <v>780</v>
      </c>
      <c r="EB109" s="72">
        <f t="shared" si="646"/>
        <v>-1.8867924528301927</v>
      </c>
      <c r="EC109" s="75">
        <f>EC108+EC107</f>
        <v>545</v>
      </c>
      <c r="ED109" s="72">
        <f t="shared" si="647"/>
        <v>-7.4702886247877842</v>
      </c>
      <c r="EE109" s="75">
        <f>EE108+EE107</f>
        <v>771</v>
      </c>
      <c r="EF109" s="72">
        <f t="shared" si="648"/>
        <v>-3.2622333751568391</v>
      </c>
      <c r="EG109" s="75">
        <f>EG108+EG107</f>
        <v>784</v>
      </c>
      <c r="EH109" s="72">
        <f t="shared" si="649"/>
        <v>1.9505851755526606</v>
      </c>
      <c r="EI109" s="75">
        <f>EI108+EI107</f>
        <v>789</v>
      </c>
      <c r="EJ109" s="72">
        <f t="shared" si="650"/>
        <v>1.1538461538461462</v>
      </c>
      <c r="EK109" s="75">
        <f>EK108+EK107</f>
        <v>-10</v>
      </c>
      <c r="EL109" s="72" t="str">
        <f t="shared" si="651"/>
        <v>NM</v>
      </c>
      <c r="EM109" s="75">
        <f>EM108+EM107</f>
        <v>742</v>
      </c>
      <c r="EN109" s="72">
        <f t="shared" si="652"/>
        <v>-3.7613488975356688</v>
      </c>
      <c r="EO109" s="75">
        <f>EO108+EO107</f>
        <v>776</v>
      </c>
      <c r="EP109" s="72">
        <f t="shared" si="653"/>
        <v>-1.0204081632653015</v>
      </c>
      <c r="EQ109" s="75">
        <f t="shared" ref="EQ109" si="679">EQ108+EQ107</f>
        <v>816.28499999999997</v>
      </c>
      <c r="ER109" s="72">
        <f t="shared" si="655"/>
        <v>3.4581749049429504</v>
      </c>
      <c r="ES109" s="75">
        <f t="shared" ref="ES109" si="680">ES108+ES107</f>
        <v>627.79999999999995</v>
      </c>
      <c r="ET109" s="72" t="str">
        <f t="shared" si="657"/>
        <v>NM</v>
      </c>
      <c r="EU109" s="75">
        <f t="shared" ref="EU109" si="681">EU108+EU107</f>
        <v>768.3549999999999</v>
      </c>
      <c r="EV109" s="72">
        <f t="shared" si="659"/>
        <v>3.5518867924528195</v>
      </c>
      <c r="EW109" s="75">
        <f t="shared" ref="EW109" si="682">EW108+EW107</f>
        <v>803.31</v>
      </c>
      <c r="EX109" s="72">
        <f t="shared" si="661"/>
        <v>3.5193298969072231</v>
      </c>
      <c r="EY109" s="72"/>
      <c r="EZ109" s="307"/>
      <c r="FA109" s="72"/>
      <c r="FB109" s="75">
        <f>FB108+FB107</f>
        <v>1284</v>
      </c>
      <c r="FC109" s="72"/>
      <c r="FD109" s="75">
        <f>FD108+FD107</f>
        <v>1299</v>
      </c>
      <c r="FE109" s="72">
        <f t="shared" si="662"/>
        <v>1.1682242990654288</v>
      </c>
      <c r="FF109" s="75">
        <f>FF108+FF107</f>
        <v>1328</v>
      </c>
      <c r="FG109" s="72">
        <f t="shared" si="663"/>
        <v>2.2324865280985335</v>
      </c>
      <c r="FH109" s="75">
        <f>FH108+FH107</f>
        <v>1404</v>
      </c>
      <c r="FI109" s="72">
        <f t="shared" si="664"/>
        <v>5.7228915662650621</v>
      </c>
      <c r="FJ109" s="75">
        <f>FJ108+FJ107</f>
        <v>1409</v>
      </c>
      <c r="FK109" s="72">
        <f t="shared" si="665"/>
        <v>0.35612535612534657</v>
      </c>
      <c r="FL109" s="75">
        <f>FL108+FL107</f>
        <v>1377</v>
      </c>
      <c r="FM109" s="72">
        <f t="shared" si="666"/>
        <v>-2.2711142654364807</v>
      </c>
      <c r="FN109" s="75">
        <f>FN108+FN107</f>
        <v>1361</v>
      </c>
      <c r="FO109" s="72">
        <f t="shared" si="667"/>
        <v>-1.1619462599854842</v>
      </c>
      <c r="FP109" s="75">
        <f>FP108+FP107</f>
        <v>1486</v>
      </c>
      <c r="FQ109" s="72">
        <f t="shared" si="668"/>
        <v>9.1844232182219088</v>
      </c>
      <c r="FR109" s="75">
        <f>FR108+FR107</f>
        <v>1349</v>
      </c>
      <c r="FS109" s="72">
        <f t="shared" si="669"/>
        <v>-9.2193808882907149</v>
      </c>
      <c r="FT109" s="75">
        <f>FT108+FT107</f>
        <v>1573</v>
      </c>
      <c r="FU109" s="72">
        <f t="shared" si="670"/>
        <v>16.604892512972569</v>
      </c>
      <c r="FV109" s="75">
        <f>FV108+FV107</f>
        <v>1679</v>
      </c>
      <c r="FW109" s="72">
        <f t="shared" si="671"/>
        <v>6.7387158296249368</v>
      </c>
      <c r="FX109" s="75">
        <f>FX108+FX107</f>
        <v>1710</v>
      </c>
      <c r="FY109" s="72">
        <f t="shared" si="671"/>
        <v>1.8463371054198774</v>
      </c>
      <c r="FZ109" s="75">
        <f>FZ108+FZ107</f>
        <v>1691</v>
      </c>
      <c r="GA109" s="72">
        <f t="shared" si="671"/>
        <v>-1.1111111111111143</v>
      </c>
      <c r="GB109" s="75">
        <f>GB108+GB107</f>
        <v>1668</v>
      </c>
      <c r="GC109" s="72">
        <f t="shared" si="671"/>
        <v>-1.3601419278533484</v>
      </c>
      <c r="GD109" s="75">
        <f>GD108+GD107</f>
        <v>1976</v>
      </c>
      <c r="GE109" s="72">
        <f t="shared" si="671"/>
        <v>18.465227817745799</v>
      </c>
      <c r="GF109" s="75">
        <f>GF108+GF107</f>
        <v>2716</v>
      </c>
      <c r="GG109" s="72">
        <f t="shared" si="671"/>
        <v>37.449392712550605</v>
      </c>
      <c r="GH109" s="75">
        <f>GH108+GH107</f>
        <v>2991</v>
      </c>
      <c r="GI109" s="72">
        <f t="shared" si="672"/>
        <v>10.125184094256269</v>
      </c>
      <c r="GJ109" s="75">
        <f>GJ108+GJ107</f>
        <v>2950</v>
      </c>
      <c r="GK109" s="72">
        <f t="shared" si="672"/>
        <v>-1.370779003677697</v>
      </c>
      <c r="GL109" s="75">
        <f>GL108+GL107</f>
        <v>2880</v>
      </c>
      <c r="GM109" s="72">
        <f t="shared" si="672"/>
        <v>-2.3728813559321935</v>
      </c>
      <c r="GN109" s="75">
        <f>GN108+GN107</f>
        <v>2297</v>
      </c>
      <c r="GO109" s="72">
        <f t="shared" si="672"/>
        <v>-20.243055555555557</v>
      </c>
      <c r="GP109" s="75">
        <f>GP108+GP107</f>
        <v>3015.75</v>
      </c>
      <c r="GQ109" s="72">
        <f t="shared" si="672"/>
        <v>31.290814105354826</v>
      </c>
      <c r="GR109" s="75">
        <f>GR108+GR107</f>
        <v>3196.6949999999997</v>
      </c>
      <c r="GS109" s="72">
        <f t="shared" si="672"/>
        <v>5.9999999999999858</v>
      </c>
      <c r="GT109" s="75">
        <f>GT108+GT107</f>
        <v>3388.4966999999997</v>
      </c>
      <c r="GU109" s="72">
        <f t="shared" si="672"/>
        <v>6</v>
      </c>
      <c r="GV109" s="75">
        <f>GV108+GV107</f>
        <v>3591.8065020000004</v>
      </c>
      <c r="GW109" s="72">
        <f t="shared" si="673"/>
        <v>6.0000000000000284</v>
      </c>
      <c r="GX109" s="75">
        <f>GX108+GX107</f>
        <v>3807.3148921200004</v>
      </c>
      <c r="GY109" s="72">
        <f t="shared" si="674"/>
        <v>6</v>
      </c>
      <c r="GZ109" s="72">
        <f t="shared" si="675"/>
        <v>10.634750420517181</v>
      </c>
      <c r="HA109" s="72"/>
      <c r="HB109" s="72"/>
      <c r="HC109"/>
      <c r="HD109"/>
      <c r="HE109"/>
      <c r="HF109"/>
      <c r="HG109"/>
      <c r="HH109"/>
      <c r="HI109" s="2"/>
    </row>
    <row r="110" spans="1:217" s="69" customFormat="1" ht="12.75" customHeight="1" x14ac:dyDescent="0.2">
      <c r="B110" s="77" t="s">
        <v>667</v>
      </c>
      <c r="C110" s="74">
        <f>FF110-I110-G110-E110</f>
        <v>97</v>
      </c>
      <c r="D110" s="72"/>
      <c r="E110" s="74">
        <v>97</v>
      </c>
      <c r="F110" s="72"/>
      <c r="G110" s="74">
        <v>93</v>
      </c>
      <c r="H110" s="72"/>
      <c r="I110" s="74">
        <v>87</v>
      </c>
      <c r="J110" s="72"/>
      <c r="K110" s="74">
        <v>99</v>
      </c>
      <c r="L110" s="72">
        <f t="shared" si="609"/>
        <v>2.0618556701030855</v>
      </c>
      <c r="M110" s="74">
        <v>97</v>
      </c>
      <c r="N110" s="72">
        <f t="shared" si="610"/>
        <v>0</v>
      </c>
      <c r="O110" s="74">
        <v>95</v>
      </c>
      <c r="P110" s="72">
        <f t="shared" si="611"/>
        <v>2.1505376344086073</v>
      </c>
      <c r="Q110" s="74">
        <v>100</v>
      </c>
      <c r="R110" s="72">
        <f t="shared" si="612"/>
        <v>14.94252873563218</v>
      </c>
      <c r="S110" s="74">
        <v>105</v>
      </c>
      <c r="T110" s="72">
        <f t="shared" si="612"/>
        <v>6.0606060606060623</v>
      </c>
      <c r="U110" s="74">
        <v>101</v>
      </c>
      <c r="V110" s="72">
        <f t="shared" si="612"/>
        <v>4.1237113402061993</v>
      </c>
      <c r="W110" s="74">
        <v>104</v>
      </c>
      <c r="X110" s="72">
        <f t="shared" si="612"/>
        <v>9.4736842105263293</v>
      </c>
      <c r="Y110" s="74">
        <v>108</v>
      </c>
      <c r="Z110" s="72">
        <f t="shared" si="612"/>
        <v>8</v>
      </c>
      <c r="AA110" s="74">
        <v>101</v>
      </c>
      <c r="AB110" s="72">
        <f t="shared" si="612"/>
        <v>-3.8095238095238102</v>
      </c>
      <c r="AC110" s="74">
        <v>101</v>
      </c>
      <c r="AD110" s="72">
        <f t="shared" si="612"/>
        <v>0</v>
      </c>
      <c r="AE110" s="74">
        <v>100</v>
      </c>
      <c r="AF110" s="72">
        <f t="shared" si="612"/>
        <v>-3.8461538461538396</v>
      </c>
      <c r="AG110" s="74">
        <v>106</v>
      </c>
      <c r="AH110" s="72">
        <f t="shared" si="612"/>
        <v>-1.8518518518518476</v>
      </c>
      <c r="AI110" s="74">
        <v>97</v>
      </c>
      <c r="AJ110" s="72">
        <f t="shared" si="612"/>
        <v>-3.9603960396039639</v>
      </c>
      <c r="AK110" s="74">
        <v>97</v>
      </c>
      <c r="AL110" s="72">
        <f t="shared" si="612"/>
        <v>-3.9603960396039639</v>
      </c>
      <c r="AM110" s="74">
        <v>104</v>
      </c>
      <c r="AN110" s="72">
        <f t="shared" si="612"/>
        <v>4</v>
      </c>
      <c r="AO110" s="74">
        <v>123</v>
      </c>
      <c r="AP110" s="72">
        <f t="shared" si="612"/>
        <v>16.037735849056617</v>
      </c>
      <c r="AQ110" s="74">
        <v>125</v>
      </c>
      <c r="AR110" s="72">
        <f t="shared" si="613"/>
        <v>28.86597938144331</v>
      </c>
      <c r="AS110" s="74">
        <v>119</v>
      </c>
      <c r="AT110" s="72">
        <f t="shared" si="614"/>
        <v>22.680412371134025</v>
      </c>
      <c r="AU110" s="74">
        <v>126</v>
      </c>
      <c r="AV110" s="72">
        <f t="shared" si="615"/>
        <v>21.153846153846146</v>
      </c>
      <c r="AW110" s="74">
        <v>130</v>
      </c>
      <c r="AX110" s="72">
        <f t="shared" si="616"/>
        <v>5.6910569105691025</v>
      </c>
      <c r="AY110" s="74">
        <v>126</v>
      </c>
      <c r="AZ110" s="72">
        <f t="shared" si="617"/>
        <v>0.79999999999999716</v>
      </c>
      <c r="BA110" s="74">
        <v>136</v>
      </c>
      <c r="BB110" s="72">
        <f t="shared" si="618"/>
        <v>14.285714285714278</v>
      </c>
      <c r="BC110" s="74">
        <v>137</v>
      </c>
      <c r="BD110" s="72">
        <f t="shared" si="619"/>
        <v>8.7301587301587205</v>
      </c>
      <c r="BE110" s="74">
        <v>149</v>
      </c>
      <c r="BF110" s="72">
        <f t="shared" si="620"/>
        <v>14.615384615384613</v>
      </c>
      <c r="BG110" s="74">
        <v>155</v>
      </c>
      <c r="BH110" s="72">
        <f t="shared" si="621"/>
        <v>23.015873015873026</v>
      </c>
      <c r="BI110" s="74">
        <v>161</v>
      </c>
      <c r="BJ110" s="72">
        <f t="shared" si="622"/>
        <v>18.382352941176478</v>
      </c>
      <c r="BK110" s="74">
        <v>165</v>
      </c>
      <c r="BL110" s="72">
        <f t="shared" si="623"/>
        <v>20.43795620437956</v>
      </c>
      <c r="BM110" s="74">
        <v>175</v>
      </c>
      <c r="BN110" s="72">
        <f t="shared" si="624"/>
        <v>17.449664429530202</v>
      </c>
      <c r="BO110" s="74">
        <v>180</v>
      </c>
      <c r="BP110" s="72">
        <f t="shared" si="625"/>
        <v>16.129032258064527</v>
      </c>
      <c r="BQ110" s="74">
        <v>182</v>
      </c>
      <c r="BR110" s="72">
        <f t="shared" si="626"/>
        <v>13.043478260869563</v>
      </c>
      <c r="BS110" s="74">
        <v>191</v>
      </c>
      <c r="BT110" s="72">
        <f t="shared" si="627"/>
        <v>15.757575757575751</v>
      </c>
      <c r="BU110" s="74">
        <v>196</v>
      </c>
      <c r="BV110" s="72">
        <f t="shared" si="628"/>
        <v>12.000000000000014</v>
      </c>
      <c r="BW110" s="74">
        <v>197</v>
      </c>
      <c r="BX110" s="72">
        <f t="shared" si="629"/>
        <v>9.4444444444444571</v>
      </c>
      <c r="BY110" s="74">
        <v>200</v>
      </c>
      <c r="BZ110" s="72">
        <f t="shared" si="630"/>
        <v>9.8901098901098976</v>
      </c>
      <c r="CA110" s="74">
        <v>205</v>
      </c>
      <c r="CB110" s="72">
        <f t="shared" si="631"/>
        <v>7.329842931937165</v>
      </c>
      <c r="CC110" s="74">
        <v>207</v>
      </c>
      <c r="CD110" s="72">
        <f t="shared" si="632"/>
        <v>5.6122448979591724</v>
      </c>
      <c r="CE110" s="74">
        <v>213</v>
      </c>
      <c r="CF110" s="72">
        <f t="shared" si="633"/>
        <v>8.1218274111675157</v>
      </c>
      <c r="CG110" s="74">
        <v>223</v>
      </c>
      <c r="CH110" s="72">
        <f t="shared" si="634"/>
        <v>11.5</v>
      </c>
      <c r="CI110" s="74">
        <v>230</v>
      </c>
      <c r="CJ110" s="72">
        <f t="shared" si="635"/>
        <v>12.195121951219519</v>
      </c>
      <c r="CK110" s="74">
        <v>237</v>
      </c>
      <c r="CL110" s="72">
        <f t="shared" si="635"/>
        <v>14.492753623188406</v>
      </c>
      <c r="CM110" s="74">
        <v>236</v>
      </c>
      <c r="CN110" s="72">
        <f t="shared" si="635"/>
        <v>10.798122065727696</v>
      </c>
      <c r="CO110" s="74">
        <v>245</v>
      </c>
      <c r="CP110" s="72">
        <f t="shared" si="635"/>
        <v>9.8654708520179497</v>
      </c>
      <c r="CQ110" s="74">
        <v>248</v>
      </c>
      <c r="CR110" s="72">
        <f t="shared" si="635"/>
        <v>7.8260869565217348</v>
      </c>
      <c r="CS110" s="74">
        <v>249</v>
      </c>
      <c r="CT110" s="72">
        <f t="shared" si="635"/>
        <v>5.0632911392405049</v>
      </c>
      <c r="CU110" s="74">
        <v>254</v>
      </c>
      <c r="CV110" s="72">
        <f t="shared" si="636"/>
        <v>7.6271186440677923</v>
      </c>
      <c r="CW110" s="74">
        <v>256</v>
      </c>
      <c r="CX110" s="72">
        <f t="shared" si="637"/>
        <v>4.4897959183673493</v>
      </c>
      <c r="CY110" s="74">
        <v>261</v>
      </c>
      <c r="CZ110" s="72">
        <f t="shared" si="638"/>
        <v>5.2419354838709751</v>
      </c>
      <c r="DA110" s="74">
        <v>262</v>
      </c>
      <c r="DB110" s="72">
        <f t="shared" si="639"/>
        <v>5.2208835341365472</v>
      </c>
      <c r="DC110" s="74">
        <v>330</v>
      </c>
      <c r="DD110" s="72">
        <f t="shared" si="640"/>
        <v>29.921259842519675</v>
      </c>
      <c r="DE110" s="74">
        <v>354</v>
      </c>
      <c r="DF110" s="72">
        <f t="shared" si="641"/>
        <v>38.28125</v>
      </c>
      <c r="DG110" s="74">
        <v>353</v>
      </c>
      <c r="DH110" s="72">
        <f t="shared" si="642"/>
        <v>35.249042145593876</v>
      </c>
      <c r="DI110" s="74">
        <v>369</v>
      </c>
      <c r="DJ110" s="72">
        <f t="shared" si="643"/>
        <v>40.839694656488547</v>
      </c>
      <c r="DK110" s="74">
        <v>399</v>
      </c>
      <c r="DL110" s="72">
        <f t="shared" si="644"/>
        <v>20.909090909090907</v>
      </c>
      <c r="DM110" s="74">
        <v>395</v>
      </c>
      <c r="DN110" s="72">
        <f t="shared" si="645"/>
        <v>11.581920903954796</v>
      </c>
      <c r="DO110" s="74">
        <v>415</v>
      </c>
      <c r="DP110" s="72">
        <f t="shared" si="645"/>
        <v>17.563739376770542</v>
      </c>
      <c r="DQ110" s="74">
        <v>411</v>
      </c>
      <c r="DR110" s="72">
        <f t="shared" si="645"/>
        <v>11.382113821138205</v>
      </c>
      <c r="DS110" s="74">
        <v>403</v>
      </c>
      <c r="DT110" s="72">
        <f t="shared" si="645"/>
        <v>1.0025062656641666</v>
      </c>
      <c r="DU110" s="74">
        <v>409</v>
      </c>
      <c r="DV110" s="72">
        <f t="shared" si="645"/>
        <v>3.5443037974683449</v>
      </c>
      <c r="DW110" s="74">
        <v>436</v>
      </c>
      <c r="DX110" s="72">
        <f t="shared" si="645"/>
        <v>5.0602409638554207</v>
      </c>
      <c r="DY110" s="74">
        <v>421</v>
      </c>
      <c r="DZ110" s="72">
        <f t="shared" si="645"/>
        <v>2.4330900243308946</v>
      </c>
      <c r="EA110" s="74">
        <v>436</v>
      </c>
      <c r="EB110" s="72">
        <f t="shared" si="646"/>
        <v>8.1885856079404391</v>
      </c>
      <c r="EC110" s="74">
        <v>445</v>
      </c>
      <c r="ED110" s="72">
        <f t="shared" si="647"/>
        <v>8.8019559902200513</v>
      </c>
      <c r="EE110" s="74">
        <v>469</v>
      </c>
      <c r="EF110" s="72">
        <f t="shared" si="648"/>
        <v>7.5688073394495348</v>
      </c>
      <c r="EG110" s="74">
        <v>472</v>
      </c>
      <c r="EH110" s="72">
        <f t="shared" si="649"/>
        <v>12.11401425178147</v>
      </c>
      <c r="EI110" s="74">
        <v>482</v>
      </c>
      <c r="EJ110" s="72">
        <f t="shared" si="650"/>
        <v>10.550458715596321</v>
      </c>
      <c r="EK110" s="74">
        <v>483</v>
      </c>
      <c r="EL110" s="72">
        <f t="shared" si="651"/>
        <v>8.539325842696627</v>
      </c>
      <c r="EM110" s="74">
        <v>484</v>
      </c>
      <c r="EN110" s="72">
        <f t="shared" si="652"/>
        <v>3.1982942430703645</v>
      </c>
      <c r="EO110" s="74">
        <v>499</v>
      </c>
      <c r="EP110" s="72">
        <f t="shared" si="653"/>
        <v>5.7203389830508371</v>
      </c>
      <c r="EQ110" s="74">
        <f>EO110*0.99</f>
        <v>494.01</v>
      </c>
      <c r="ER110" s="72">
        <f t="shared" si="655"/>
        <v>2.4917012448132851</v>
      </c>
      <c r="ES110" s="74">
        <f t="shared" ref="ES110:ES111" si="683">EQ110*1.01</f>
        <v>498.95010000000002</v>
      </c>
      <c r="ET110" s="72">
        <f t="shared" si="657"/>
        <v>3.3022981366459732</v>
      </c>
      <c r="EU110" s="74">
        <f t="shared" ref="EU110:EU111" si="684">ES110*1.01</f>
        <v>503.93960100000004</v>
      </c>
      <c r="EV110" s="72">
        <f t="shared" si="659"/>
        <v>4.1197522727272684</v>
      </c>
      <c r="EW110" s="74">
        <f t="shared" ref="EW110:EW111" si="685">EU110*1.01</f>
        <v>508.97899701000006</v>
      </c>
      <c r="EX110" s="72">
        <f t="shared" si="661"/>
        <v>1.9997989999999959</v>
      </c>
      <c r="EY110" s="72"/>
      <c r="EZ110" s="307"/>
      <c r="FA110" s="72"/>
      <c r="FB110" s="74">
        <v>300</v>
      </c>
      <c r="FC110" s="72"/>
      <c r="FD110" s="74">
        <v>316</v>
      </c>
      <c r="FE110" s="72">
        <f t="shared" si="662"/>
        <v>5.3333333333333286</v>
      </c>
      <c r="FF110" s="74">
        <v>374</v>
      </c>
      <c r="FG110" s="72">
        <f t="shared" si="663"/>
        <v>18.354430379746844</v>
      </c>
      <c r="FH110" s="75">
        <f>K110+M110+O110+Q110</f>
        <v>391</v>
      </c>
      <c r="FI110" s="72">
        <f t="shared" si="664"/>
        <v>4.5454545454545467</v>
      </c>
      <c r="FJ110" s="75">
        <f>S110+U110+W110+Y110</f>
        <v>418</v>
      </c>
      <c r="FK110" s="72">
        <f t="shared" si="665"/>
        <v>6.9053708439897719</v>
      </c>
      <c r="FL110" s="75">
        <f>AA110+AC110+AE110+AG110</f>
        <v>408</v>
      </c>
      <c r="FM110" s="72">
        <f t="shared" si="666"/>
        <v>-2.3923444976076524</v>
      </c>
      <c r="FN110" s="75">
        <f>AI110+AK110+AM110+AO110</f>
        <v>421</v>
      </c>
      <c r="FO110" s="72">
        <f t="shared" si="667"/>
        <v>3.1862745098039369</v>
      </c>
      <c r="FP110" s="75">
        <f>AQ110+AS110+AU110+AW110</f>
        <v>500</v>
      </c>
      <c r="FQ110" s="72">
        <f t="shared" si="668"/>
        <v>18.764845605700714</v>
      </c>
      <c r="FR110" s="75">
        <f>AY110+BA110+BC110+BE110</f>
        <v>548</v>
      </c>
      <c r="FS110" s="72">
        <f t="shared" si="669"/>
        <v>9.6000000000000085</v>
      </c>
      <c r="FT110" s="75">
        <f>BG110+BI110+BK110+BM110</f>
        <v>656</v>
      </c>
      <c r="FU110" s="72">
        <f t="shared" si="670"/>
        <v>19.708029197080307</v>
      </c>
      <c r="FV110" s="75">
        <f>BO110+BQ110+BS110+BU110</f>
        <v>749</v>
      </c>
      <c r="FW110" s="72">
        <f t="shared" si="671"/>
        <v>14.176829268292693</v>
      </c>
      <c r="FX110" s="75">
        <f>BW110+BY110+CA110+CC110</f>
        <v>809</v>
      </c>
      <c r="FY110" s="72">
        <f t="shared" si="671"/>
        <v>8.0106809078771732</v>
      </c>
      <c r="FZ110" s="75">
        <f>CE110+CG110+CI110+CK110</f>
        <v>903</v>
      </c>
      <c r="GA110" s="72">
        <f t="shared" si="671"/>
        <v>11.619283065512988</v>
      </c>
      <c r="GB110" s="75">
        <f>CM110+CO110+CQ110+CS110</f>
        <v>978</v>
      </c>
      <c r="GC110" s="72">
        <f t="shared" si="671"/>
        <v>8.305647840531563</v>
      </c>
      <c r="GD110" s="75">
        <f>CU110+CW110+CY110+DA110</f>
        <v>1033</v>
      </c>
      <c r="GE110" s="72">
        <f t="shared" si="671"/>
        <v>5.623721881390594</v>
      </c>
      <c r="GF110" s="75">
        <f>DC110+DE110+DG110+DI110</f>
        <v>1406</v>
      </c>
      <c r="GG110" s="72">
        <f t="shared" si="671"/>
        <v>36.108422071635999</v>
      </c>
      <c r="GH110" s="75">
        <f>DK110+DM110+DO110+DQ110</f>
        <v>1620</v>
      </c>
      <c r="GI110" s="72">
        <f t="shared" si="672"/>
        <v>15.220483641536276</v>
      </c>
      <c r="GJ110" s="75">
        <f>DS110+DU110+DW110+DY110</f>
        <v>1669</v>
      </c>
      <c r="GK110" s="72">
        <f t="shared" si="672"/>
        <v>3.0246913580246968</v>
      </c>
      <c r="GL110" s="75">
        <f>EA110+EC110+EE110+EG110</f>
        <v>1822</v>
      </c>
      <c r="GM110" s="72">
        <f t="shared" si="672"/>
        <v>9.1671659676453032</v>
      </c>
      <c r="GN110" s="75">
        <f>EI110+EK110+EM110+EO110</f>
        <v>1948</v>
      </c>
      <c r="GO110" s="72">
        <f t="shared" si="672"/>
        <v>6.9154774972557647</v>
      </c>
      <c r="GP110" s="75">
        <f>EQ110+ES110+EU110+EW110</f>
        <v>2005.8786980100001</v>
      </c>
      <c r="GQ110" s="72">
        <f t="shared" si="672"/>
        <v>2.9711857294661286</v>
      </c>
      <c r="GR110" s="74">
        <f>GP110*1.04</f>
        <v>2086.1138459304002</v>
      </c>
      <c r="GS110" s="72">
        <f t="shared" si="672"/>
        <v>4</v>
      </c>
      <c r="GT110" s="74">
        <f>GR110*1.04</f>
        <v>2169.5583997676163</v>
      </c>
      <c r="GU110" s="72">
        <f t="shared" si="672"/>
        <v>4</v>
      </c>
      <c r="GV110" s="74">
        <f>GT110*1.04</f>
        <v>2256.340735758321</v>
      </c>
      <c r="GW110" s="72">
        <f t="shared" si="673"/>
        <v>4</v>
      </c>
      <c r="GX110" s="74">
        <f>GV110*1.04</f>
        <v>2346.5943651886537</v>
      </c>
      <c r="GY110" s="72">
        <f t="shared" si="674"/>
        <v>4</v>
      </c>
      <c r="GZ110" s="72">
        <f t="shared" si="675"/>
        <v>3.7934180804437556</v>
      </c>
      <c r="HA110" s="72"/>
      <c r="HB110" s="72"/>
      <c r="HC110"/>
      <c r="HD110"/>
      <c r="HE110"/>
      <c r="HF110"/>
      <c r="HG110"/>
      <c r="HH110"/>
      <c r="HI110" s="2"/>
    </row>
    <row r="111" spans="1:217" s="69" customFormat="1" ht="12.75" customHeight="1" x14ac:dyDescent="0.2">
      <c r="B111" s="77" t="s">
        <v>293</v>
      </c>
      <c r="C111" s="74">
        <f>FF111-I111-G111-E111</f>
        <v>37</v>
      </c>
      <c r="D111" s="72"/>
      <c r="E111" s="74">
        <v>32</v>
      </c>
      <c r="F111" s="72"/>
      <c r="G111" s="74">
        <v>33</v>
      </c>
      <c r="H111" s="72"/>
      <c r="I111" s="74">
        <v>51</v>
      </c>
      <c r="J111" s="72"/>
      <c r="K111" s="74">
        <v>30</v>
      </c>
      <c r="L111" s="72">
        <f t="shared" si="609"/>
        <v>-18.918918918918919</v>
      </c>
      <c r="M111" s="74">
        <v>29</v>
      </c>
      <c r="N111" s="72">
        <f t="shared" si="610"/>
        <v>-9.375</v>
      </c>
      <c r="O111" s="74">
        <v>35</v>
      </c>
      <c r="P111" s="72">
        <f t="shared" si="611"/>
        <v>6.0606060606060623</v>
      </c>
      <c r="Q111" s="74">
        <v>30</v>
      </c>
      <c r="R111" s="72">
        <f t="shared" si="612"/>
        <v>-41.17647058823529</v>
      </c>
      <c r="S111" s="74">
        <v>32</v>
      </c>
      <c r="T111" s="72">
        <f t="shared" si="612"/>
        <v>6.6666666666666714</v>
      </c>
      <c r="U111" s="74">
        <v>37</v>
      </c>
      <c r="V111" s="72">
        <f t="shared" si="612"/>
        <v>27.58620689655173</v>
      </c>
      <c r="W111" s="74">
        <v>34</v>
      </c>
      <c r="X111" s="72">
        <f t="shared" si="612"/>
        <v>-2.8571428571428612</v>
      </c>
      <c r="Y111" s="74">
        <v>33</v>
      </c>
      <c r="Z111" s="72">
        <f t="shared" si="612"/>
        <v>10.000000000000014</v>
      </c>
      <c r="AA111" s="74">
        <v>34</v>
      </c>
      <c r="AB111" s="72">
        <f t="shared" si="612"/>
        <v>6.25</v>
      </c>
      <c r="AC111" s="74">
        <v>31</v>
      </c>
      <c r="AD111" s="72">
        <f t="shared" si="612"/>
        <v>-16.21621621621621</v>
      </c>
      <c r="AE111" s="74">
        <v>35</v>
      </c>
      <c r="AF111" s="72">
        <f t="shared" si="612"/>
        <v>2.941176470588232</v>
      </c>
      <c r="AG111" s="74">
        <v>59</v>
      </c>
      <c r="AH111" s="72">
        <f t="shared" si="612"/>
        <v>78.787878787878782</v>
      </c>
      <c r="AI111" s="74">
        <v>67</v>
      </c>
      <c r="AJ111" s="72">
        <f t="shared" si="612"/>
        <v>97.058823529411768</v>
      </c>
      <c r="AK111" s="74">
        <v>76</v>
      </c>
      <c r="AL111" s="72" t="str">
        <f t="shared" si="612"/>
        <v>NM</v>
      </c>
      <c r="AM111" s="74">
        <v>83</v>
      </c>
      <c r="AN111" s="72" t="str">
        <f t="shared" si="612"/>
        <v>NM</v>
      </c>
      <c r="AO111" s="74">
        <v>65</v>
      </c>
      <c r="AP111" s="72">
        <f t="shared" si="612"/>
        <v>10.169491525423723</v>
      </c>
      <c r="AQ111" s="74">
        <v>54</v>
      </c>
      <c r="AR111" s="72">
        <f t="shared" si="613"/>
        <v>-19.402985074626869</v>
      </c>
      <c r="AS111" s="74">
        <v>77</v>
      </c>
      <c r="AT111" s="72">
        <f t="shared" si="614"/>
        <v>1.3157894736842053</v>
      </c>
      <c r="AU111" s="74">
        <v>81</v>
      </c>
      <c r="AV111" s="72">
        <f t="shared" si="615"/>
        <v>-2.409638554216869</v>
      </c>
      <c r="AW111" s="74">
        <v>64</v>
      </c>
      <c r="AX111" s="72">
        <f t="shared" si="616"/>
        <v>-1.538461538461533</v>
      </c>
      <c r="AY111" s="74">
        <v>67</v>
      </c>
      <c r="AZ111" s="72">
        <f t="shared" si="617"/>
        <v>24.074074074074076</v>
      </c>
      <c r="BA111" s="74">
        <v>77</v>
      </c>
      <c r="BB111" s="72">
        <f t="shared" si="618"/>
        <v>0</v>
      </c>
      <c r="BC111" s="74">
        <v>104</v>
      </c>
      <c r="BD111" s="72">
        <f t="shared" si="619"/>
        <v>28.395061728395063</v>
      </c>
      <c r="BE111" s="74">
        <v>72</v>
      </c>
      <c r="BF111" s="72">
        <f t="shared" si="620"/>
        <v>12.5</v>
      </c>
      <c r="BG111" s="74">
        <v>78</v>
      </c>
      <c r="BH111" s="72">
        <f t="shared" si="621"/>
        <v>16.417910447761201</v>
      </c>
      <c r="BI111" s="74">
        <v>78</v>
      </c>
      <c r="BJ111" s="72">
        <f t="shared" si="622"/>
        <v>1.2987012987012889</v>
      </c>
      <c r="BK111" s="74">
        <v>144</v>
      </c>
      <c r="BL111" s="72">
        <f t="shared" si="623"/>
        <v>38.461538461538453</v>
      </c>
      <c r="BM111" s="74">
        <v>73</v>
      </c>
      <c r="BN111" s="72">
        <f t="shared" si="624"/>
        <v>1.3888888888888857</v>
      </c>
      <c r="BO111" s="74">
        <v>67</v>
      </c>
      <c r="BP111" s="72">
        <f t="shared" si="625"/>
        <v>-14.102564102564102</v>
      </c>
      <c r="BQ111" s="74">
        <v>73</v>
      </c>
      <c r="BR111" s="72">
        <f t="shared" si="626"/>
        <v>-6.4102564102564088</v>
      </c>
      <c r="BS111" s="74">
        <v>127</v>
      </c>
      <c r="BT111" s="72">
        <f t="shared" si="627"/>
        <v>-11.805555555555557</v>
      </c>
      <c r="BU111" s="74">
        <v>59</v>
      </c>
      <c r="BV111" s="72">
        <f t="shared" si="628"/>
        <v>-19.178082191780817</v>
      </c>
      <c r="BW111" s="74">
        <v>47</v>
      </c>
      <c r="BX111" s="72">
        <f t="shared" si="629"/>
        <v>-29.850746268656707</v>
      </c>
      <c r="BY111" s="74">
        <v>55</v>
      </c>
      <c r="BZ111" s="72">
        <f t="shared" si="630"/>
        <v>-24.657534246575338</v>
      </c>
      <c r="CA111" s="74">
        <v>92</v>
      </c>
      <c r="CB111" s="72">
        <f t="shared" si="631"/>
        <v>-27.559055118110237</v>
      </c>
      <c r="CC111" s="74">
        <v>54</v>
      </c>
      <c r="CD111" s="72">
        <f t="shared" si="632"/>
        <v>-8.4745762711864359</v>
      </c>
      <c r="CE111" s="74">
        <v>49</v>
      </c>
      <c r="CF111" s="72">
        <f t="shared" si="633"/>
        <v>4.2553191489361808</v>
      </c>
      <c r="CG111" s="74">
        <v>57</v>
      </c>
      <c r="CH111" s="72">
        <f t="shared" si="634"/>
        <v>3.6363636363636402</v>
      </c>
      <c r="CI111" s="74">
        <v>61</v>
      </c>
      <c r="CJ111" s="72">
        <f t="shared" si="635"/>
        <v>-33.695652173913047</v>
      </c>
      <c r="CK111" s="74">
        <v>56</v>
      </c>
      <c r="CL111" s="72">
        <f t="shared" si="635"/>
        <v>3.7037037037036953</v>
      </c>
      <c r="CM111" s="74">
        <v>53</v>
      </c>
      <c r="CN111" s="72">
        <f t="shared" si="635"/>
        <v>8.1632653061224545</v>
      </c>
      <c r="CO111" s="74">
        <v>61</v>
      </c>
      <c r="CP111" s="72">
        <f t="shared" si="635"/>
        <v>7.0175438596491233</v>
      </c>
      <c r="CQ111" s="74">
        <v>57</v>
      </c>
      <c r="CR111" s="72">
        <f t="shared" si="635"/>
        <v>-6.5573770491803174</v>
      </c>
      <c r="CS111" s="74">
        <v>83</v>
      </c>
      <c r="CT111" s="72">
        <f t="shared" si="635"/>
        <v>48.214285714285722</v>
      </c>
      <c r="CU111" s="74">
        <v>82</v>
      </c>
      <c r="CV111" s="72">
        <f t="shared" si="636"/>
        <v>54.716981132075489</v>
      </c>
      <c r="CW111" s="74">
        <v>89</v>
      </c>
      <c r="CX111" s="72">
        <f t="shared" si="637"/>
        <v>45.901639344262293</v>
      </c>
      <c r="CY111" s="74">
        <v>96</v>
      </c>
      <c r="CZ111" s="72">
        <f t="shared" si="638"/>
        <v>68.421052631578931</v>
      </c>
      <c r="DA111" s="74">
        <v>91</v>
      </c>
      <c r="DB111" s="72">
        <f t="shared" si="639"/>
        <v>9.638554216867476</v>
      </c>
      <c r="DC111" s="74">
        <v>117</v>
      </c>
      <c r="DD111" s="72">
        <f>IF(ISERROR(DC111/CU111),"NA",IF(OR(DC111/CU111&gt;2,DC111/CU111&lt;0.5),"NM",DC111/CU111*100-100))</f>
        <v>42.682926829268297</v>
      </c>
      <c r="DE111" s="74">
        <v>131</v>
      </c>
      <c r="DF111" s="72">
        <f>IF(ISERROR(DE111/CW111),"NA",IF(OR(DE111/CW111&gt;2,DE111/CW111&lt;0.5),"NM",DE111/CW111*100-100))</f>
        <v>47.191011235955074</v>
      </c>
      <c r="DG111" s="74">
        <v>116</v>
      </c>
      <c r="DH111" s="72">
        <f>IF(ISERROR(DG111/CY111),"NA",IF(OR(DG111/CY111&gt;2,DG111/CY111&lt;0.5),"NM",DG111/CY111*100-100))</f>
        <v>20.833333333333329</v>
      </c>
      <c r="DI111" s="74">
        <v>134</v>
      </c>
      <c r="DJ111" s="72">
        <f t="shared" si="643"/>
        <v>47.25274725274727</v>
      </c>
      <c r="DK111" s="74">
        <v>142</v>
      </c>
      <c r="DL111" s="72">
        <f>IF(ISERROR(DK111/DC111),"NA",IF(OR(DK111/DC111&gt;2,DK111/DC111&lt;0.5),"NM",DK111/DC111*100-100))</f>
        <v>21.367521367521363</v>
      </c>
      <c r="DM111" s="74">
        <v>166</v>
      </c>
      <c r="DN111" s="72">
        <f t="shared" si="645"/>
        <v>26.717557251908389</v>
      </c>
      <c r="DO111" s="74">
        <v>154</v>
      </c>
      <c r="DP111" s="72">
        <f t="shared" si="645"/>
        <v>32.758620689655174</v>
      </c>
      <c r="DQ111" s="74">
        <v>153</v>
      </c>
      <c r="DR111" s="72">
        <f t="shared" si="645"/>
        <v>14.179104477611943</v>
      </c>
      <c r="DS111" s="74">
        <v>153</v>
      </c>
      <c r="DT111" s="72">
        <f t="shared" si="645"/>
        <v>7.7464788732394254</v>
      </c>
      <c r="DU111" s="74">
        <v>162</v>
      </c>
      <c r="DV111" s="72">
        <f t="shared" si="645"/>
        <v>-2.409638554216869</v>
      </c>
      <c r="DW111" s="74">
        <v>142</v>
      </c>
      <c r="DX111" s="72">
        <f t="shared" si="645"/>
        <v>-7.7922077922077904</v>
      </c>
      <c r="DY111" s="74">
        <v>157</v>
      </c>
      <c r="DZ111" s="72">
        <f t="shared" si="645"/>
        <v>2.614379084967311</v>
      </c>
      <c r="EA111" s="74">
        <v>150</v>
      </c>
      <c r="EB111" s="72">
        <f t="shared" si="646"/>
        <v>-1.9607843137254974</v>
      </c>
      <c r="EC111" s="74">
        <v>165</v>
      </c>
      <c r="ED111" s="72">
        <f t="shared" si="647"/>
        <v>1.8518518518518619</v>
      </c>
      <c r="EE111" s="74">
        <v>170</v>
      </c>
      <c r="EF111" s="72">
        <f t="shared" si="648"/>
        <v>19.718309859154928</v>
      </c>
      <c r="EG111" s="74">
        <v>168</v>
      </c>
      <c r="EH111" s="72">
        <f t="shared" si="649"/>
        <v>7.0063694267515899</v>
      </c>
      <c r="EI111" s="74">
        <v>174</v>
      </c>
      <c r="EJ111" s="72">
        <f t="shared" si="650"/>
        <v>15.999999999999986</v>
      </c>
      <c r="EK111" s="74">
        <v>181</v>
      </c>
      <c r="EL111" s="72">
        <f t="shared" si="651"/>
        <v>9.6969696969696884</v>
      </c>
      <c r="EM111" s="74">
        <v>185</v>
      </c>
      <c r="EN111" s="72">
        <f t="shared" si="652"/>
        <v>8.8235294117646959</v>
      </c>
      <c r="EO111" s="74">
        <v>189</v>
      </c>
      <c r="EP111" s="72">
        <f t="shared" si="653"/>
        <v>12.5</v>
      </c>
      <c r="EQ111" s="74">
        <f t="shared" ref="EQ111" si="686">EO111*1.01</f>
        <v>190.89000000000001</v>
      </c>
      <c r="ER111" s="72">
        <f t="shared" si="655"/>
        <v>9.7068965517241423</v>
      </c>
      <c r="ES111" s="74">
        <f t="shared" si="683"/>
        <v>192.7989</v>
      </c>
      <c r="ET111" s="72">
        <f t="shared" si="657"/>
        <v>6.5187292817679605</v>
      </c>
      <c r="EU111" s="74">
        <f t="shared" si="684"/>
        <v>194.726889</v>
      </c>
      <c r="EV111" s="72">
        <f t="shared" si="659"/>
        <v>5.2577778378378355</v>
      </c>
      <c r="EW111" s="74">
        <f t="shared" si="685"/>
        <v>196.67415789</v>
      </c>
      <c r="EX111" s="72">
        <f t="shared" si="661"/>
        <v>4.0604009999999988</v>
      </c>
      <c r="EY111" s="72"/>
      <c r="EZ111" s="307"/>
      <c r="FA111" s="72"/>
      <c r="FB111" s="74">
        <v>90</v>
      </c>
      <c r="FC111" s="72"/>
      <c r="FD111" s="74">
        <v>108</v>
      </c>
      <c r="FE111" s="72">
        <f t="shared" si="662"/>
        <v>20</v>
      </c>
      <c r="FF111" s="74">
        <v>153</v>
      </c>
      <c r="FG111" s="72">
        <f t="shared" si="663"/>
        <v>41.666666666666686</v>
      </c>
      <c r="FH111" s="75">
        <f>K111+M111+O111+Q111</f>
        <v>124</v>
      </c>
      <c r="FI111" s="72">
        <f t="shared" si="664"/>
        <v>-18.954248366013076</v>
      </c>
      <c r="FJ111" s="75">
        <f>S111+U111+W111+Y111</f>
        <v>136</v>
      </c>
      <c r="FK111" s="72">
        <f t="shared" si="665"/>
        <v>9.6774193548387046</v>
      </c>
      <c r="FL111" s="75">
        <f>AA111+AC111+AE111+AG111</f>
        <v>159</v>
      </c>
      <c r="FM111" s="72">
        <f t="shared" si="666"/>
        <v>16.911764705882362</v>
      </c>
      <c r="FN111" s="75">
        <f>AI111+AK111+AM111+AO111</f>
        <v>291</v>
      </c>
      <c r="FO111" s="72">
        <f t="shared" si="667"/>
        <v>83.018867924528308</v>
      </c>
      <c r="FP111" s="75">
        <f>AQ111+AS111+AU111+AW111</f>
        <v>276</v>
      </c>
      <c r="FQ111" s="72">
        <f t="shared" si="668"/>
        <v>-5.1546391752577421</v>
      </c>
      <c r="FR111" s="75">
        <f>AY111+BA111+BC111+BE111</f>
        <v>320</v>
      </c>
      <c r="FS111" s="72">
        <f t="shared" si="669"/>
        <v>15.94202898550725</v>
      </c>
      <c r="FT111" s="75">
        <f>BG111+BI111+BK111+BM111</f>
        <v>373</v>
      </c>
      <c r="FU111" s="72">
        <f t="shared" si="670"/>
        <v>16.562499999999986</v>
      </c>
      <c r="FV111" s="75">
        <f>BO111+BQ111+BS111+BU111</f>
        <v>326</v>
      </c>
      <c r="FW111" s="72">
        <f t="shared" si="671"/>
        <v>-12.600536193029484</v>
      </c>
      <c r="FX111" s="75">
        <f>BW111+BY111+CA111+CC111</f>
        <v>248</v>
      </c>
      <c r="FY111" s="72">
        <f t="shared" si="671"/>
        <v>-23.926380368098151</v>
      </c>
      <c r="FZ111" s="75">
        <f>CE111+CG111+CI111+CK111</f>
        <v>223</v>
      </c>
      <c r="GA111" s="72">
        <f t="shared" si="671"/>
        <v>-10.08064516129032</v>
      </c>
      <c r="GB111" s="75">
        <f>CM111+CO111+CQ111+CS111</f>
        <v>254</v>
      </c>
      <c r="GC111" s="72">
        <f t="shared" si="671"/>
        <v>13.901345291479814</v>
      </c>
      <c r="GD111" s="75">
        <f>CU111+CW111+CY111+DA111</f>
        <v>358</v>
      </c>
      <c r="GE111" s="72">
        <f t="shared" si="671"/>
        <v>40.944881889763764</v>
      </c>
      <c r="GF111" s="75">
        <f>DC111+DE111+DG111+DI111</f>
        <v>498</v>
      </c>
      <c r="GG111" s="72">
        <f t="shared" si="671"/>
        <v>39.10614525139664</v>
      </c>
      <c r="GH111" s="75">
        <f>DK111+DM111+DO111+DQ111</f>
        <v>615</v>
      </c>
      <c r="GI111" s="72">
        <f t="shared" si="672"/>
        <v>23.493975903614455</v>
      </c>
      <c r="GJ111" s="75">
        <f>DS111+DU111+DW111+DY111</f>
        <v>614</v>
      </c>
      <c r="GK111" s="72">
        <f t="shared" si="672"/>
        <v>-0.16260162601625439</v>
      </c>
      <c r="GL111" s="75">
        <f>EA111+EC111+EE111+EG111</f>
        <v>653</v>
      </c>
      <c r="GM111" s="72">
        <f t="shared" si="672"/>
        <v>6.3517915309446238</v>
      </c>
      <c r="GN111" s="75">
        <f>EI111+EK111+EM111+EO111</f>
        <v>729</v>
      </c>
      <c r="GO111" s="72">
        <f t="shared" si="672"/>
        <v>11.638591117917301</v>
      </c>
      <c r="GP111" s="75">
        <f>EQ111+ES111+EU111+EW111</f>
        <v>775.08994688999996</v>
      </c>
      <c r="GQ111" s="72">
        <f t="shared" si="672"/>
        <v>6.3223521111111012</v>
      </c>
      <c r="GR111" s="74">
        <f>GP111*1.04</f>
        <v>806.09354476559997</v>
      </c>
      <c r="GS111" s="72">
        <f t="shared" si="672"/>
        <v>4</v>
      </c>
      <c r="GT111" s="74">
        <f>GR111*1.04</f>
        <v>838.33728655622394</v>
      </c>
      <c r="GU111" s="72">
        <f t="shared" si="672"/>
        <v>4</v>
      </c>
      <c r="GV111" s="74">
        <f>GT111*1.04</f>
        <v>871.87077801847295</v>
      </c>
      <c r="GW111" s="72">
        <f t="shared" si="673"/>
        <v>4</v>
      </c>
      <c r="GX111" s="74">
        <f>GV111*1.04</f>
        <v>906.74560913921187</v>
      </c>
      <c r="GY111" s="72">
        <f t="shared" si="674"/>
        <v>4</v>
      </c>
      <c r="GZ111" s="72">
        <f t="shared" si="675"/>
        <v>4.4603764458175821</v>
      </c>
      <c r="HA111" s="72"/>
      <c r="HB111" s="72"/>
      <c r="HC111"/>
      <c r="HD111"/>
      <c r="HE111"/>
      <c r="HF111"/>
      <c r="HG111"/>
      <c r="HH111"/>
      <c r="HI111" s="2"/>
    </row>
    <row r="112" spans="1:217" s="133" customFormat="1" ht="12.75" customHeight="1" x14ac:dyDescent="0.2">
      <c r="A112" s="133" t="s">
        <v>335</v>
      </c>
      <c r="B112" s="70" t="s">
        <v>212</v>
      </c>
      <c r="C112" s="91">
        <f>C109+C110+C111</f>
        <v>488</v>
      </c>
      <c r="D112" s="80"/>
      <c r="E112" s="91">
        <f>E109+E110+E111</f>
        <v>463</v>
      </c>
      <c r="F112" s="80"/>
      <c r="G112" s="91">
        <f>G109+G110+G111</f>
        <v>438</v>
      </c>
      <c r="H112" s="80"/>
      <c r="I112" s="91">
        <f>I109+I110+I111</f>
        <v>466</v>
      </c>
      <c r="J112" s="80"/>
      <c r="K112" s="91">
        <f>K109+K110+K111</f>
        <v>467</v>
      </c>
      <c r="L112" s="72">
        <f t="shared" si="609"/>
        <v>-4.3032786885245855</v>
      </c>
      <c r="M112" s="91">
        <f>M109+M110+M111</f>
        <v>478</v>
      </c>
      <c r="N112" s="72">
        <f t="shared" si="610"/>
        <v>3.2397408207343545</v>
      </c>
      <c r="O112" s="91">
        <f>O109+O110+O111</f>
        <v>449</v>
      </c>
      <c r="P112" s="72">
        <f t="shared" si="611"/>
        <v>2.5114155251141597</v>
      </c>
      <c r="Q112" s="91">
        <f>Q109+Q110+Q111</f>
        <v>525</v>
      </c>
      <c r="R112" s="72">
        <f t="shared" si="612"/>
        <v>12.66094420600858</v>
      </c>
      <c r="S112" s="91">
        <f>S109+S110+S111</f>
        <v>443</v>
      </c>
      <c r="T112" s="72">
        <f t="shared" si="612"/>
        <v>-5.1391862955032224</v>
      </c>
      <c r="U112" s="91">
        <f>U109+U110+U111</f>
        <v>455</v>
      </c>
      <c r="V112" s="72">
        <f t="shared" si="612"/>
        <v>-4.8117154811715466</v>
      </c>
      <c r="W112" s="91">
        <f>W109+W110+W111</f>
        <v>495</v>
      </c>
      <c r="X112" s="72">
        <f t="shared" si="612"/>
        <v>10.244988864142528</v>
      </c>
      <c r="Y112" s="91">
        <f>Y109+Y110+Y111</f>
        <v>570</v>
      </c>
      <c r="Z112" s="72">
        <f t="shared" si="612"/>
        <v>8.5714285714285694</v>
      </c>
      <c r="AA112" s="91">
        <f>AA109+AA110+AA111</f>
        <v>483</v>
      </c>
      <c r="AB112" s="72">
        <f t="shared" si="612"/>
        <v>9.0293453724604973</v>
      </c>
      <c r="AC112" s="91">
        <f>AC109+AC110+AC111</f>
        <v>486</v>
      </c>
      <c r="AD112" s="72">
        <f t="shared" si="612"/>
        <v>6.8131868131868174</v>
      </c>
      <c r="AE112" s="91">
        <f>AE109+AE110+AE111</f>
        <v>467</v>
      </c>
      <c r="AF112" s="72">
        <f t="shared" si="612"/>
        <v>-5.656565656565661</v>
      </c>
      <c r="AG112" s="91">
        <f>AG109+AG110+AG111</f>
        <v>508</v>
      </c>
      <c r="AH112" s="72">
        <f t="shared" si="612"/>
        <v>-10.877192982456137</v>
      </c>
      <c r="AI112" s="91">
        <f>AI109+AI110+AI111</f>
        <v>501</v>
      </c>
      <c r="AJ112" s="72">
        <f t="shared" si="612"/>
        <v>3.726708074534173</v>
      </c>
      <c r="AK112" s="91">
        <f>AK109+AK110+AK111</f>
        <v>507</v>
      </c>
      <c r="AL112" s="72">
        <f t="shared" si="612"/>
        <v>4.3209876543209873</v>
      </c>
      <c r="AM112" s="91">
        <f>AM109+AM110+AM111</f>
        <v>530</v>
      </c>
      <c r="AN112" s="72">
        <f t="shared" si="612"/>
        <v>13.490364025695925</v>
      </c>
      <c r="AO112" s="91">
        <f>AO109+AO110+AO111</f>
        <v>535</v>
      </c>
      <c r="AP112" s="72">
        <f t="shared" si="612"/>
        <v>5.3149606299212451</v>
      </c>
      <c r="AQ112" s="91">
        <f>AQ109+AQ110+AQ111</f>
        <v>532</v>
      </c>
      <c r="AR112" s="72">
        <f t="shared" si="613"/>
        <v>6.1876247504990118</v>
      </c>
      <c r="AS112" s="91">
        <f>AS109+AS110+AS111</f>
        <v>548</v>
      </c>
      <c r="AT112" s="72">
        <f t="shared" si="614"/>
        <v>8.0867850098619272</v>
      </c>
      <c r="AU112" s="91">
        <f>AU109+AU110+AU111</f>
        <v>602</v>
      </c>
      <c r="AV112" s="72">
        <f t="shared" si="615"/>
        <v>13.584905660377359</v>
      </c>
      <c r="AW112" s="91">
        <f>AW109+AW110+AW111</f>
        <v>580</v>
      </c>
      <c r="AX112" s="72">
        <f t="shared" si="616"/>
        <v>8.4112149532710134</v>
      </c>
      <c r="AY112" s="91">
        <f>AY109+AY110+AY111</f>
        <v>559</v>
      </c>
      <c r="AZ112" s="72">
        <f t="shared" si="617"/>
        <v>5.0751879699248121</v>
      </c>
      <c r="BA112" s="91">
        <f>BA109+BA110+BA111</f>
        <v>586</v>
      </c>
      <c r="BB112" s="72">
        <f t="shared" si="618"/>
        <v>6.9343065693430646</v>
      </c>
      <c r="BC112" s="91">
        <f>BC109+BC110+BC111</f>
        <v>467</v>
      </c>
      <c r="BD112" s="72">
        <f t="shared" si="619"/>
        <v>-22.425249169435219</v>
      </c>
      <c r="BE112" s="91">
        <f>BE109+BE110+BE111</f>
        <v>605</v>
      </c>
      <c r="BF112" s="72">
        <f t="shared" si="620"/>
        <v>4.3103448275862064</v>
      </c>
      <c r="BG112" s="91">
        <f>BG109+BG110+BG111</f>
        <v>631</v>
      </c>
      <c r="BH112" s="72">
        <f t="shared" si="621"/>
        <v>12.880143112701248</v>
      </c>
      <c r="BI112" s="91">
        <f>BI109+BI110+BI111</f>
        <v>629</v>
      </c>
      <c r="BJ112" s="72">
        <f t="shared" si="622"/>
        <v>7.3378839590443761</v>
      </c>
      <c r="BK112" s="91">
        <f>BK109+BK110+BK111</f>
        <v>672</v>
      </c>
      <c r="BL112" s="72">
        <f t="shared" si="623"/>
        <v>43.897216274089942</v>
      </c>
      <c r="BM112" s="91">
        <f>BM109+BM110+BM111</f>
        <v>670</v>
      </c>
      <c r="BN112" s="72">
        <f t="shared" si="624"/>
        <v>10.743801652892571</v>
      </c>
      <c r="BO112" s="91">
        <f>BO109+BO110+BO111</f>
        <v>680</v>
      </c>
      <c r="BP112" s="72">
        <f t="shared" si="625"/>
        <v>7.7654516640253632</v>
      </c>
      <c r="BQ112" s="91">
        <f>BQ109+BQ110+BQ111</f>
        <v>676</v>
      </c>
      <c r="BR112" s="72">
        <f t="shared" si="626"/>
        <v>7.4721780604133556</v>
      </c>
      <c r="BS112" s="91">
        <f>BS109+BS110+BS111</f>
        <v>682</v>
      </c>
      <c r="BT112" s="72">
        <f t="shared" si="627"/>
        <v>1.4880952380952266</v>
      </c>
      <c r="BU112" s="91">
        <f>BU109+BU110+BU111</f>
        <v>716</v>
      </c>
      <c r="BV112" s="72">
        <f t="shared" si="628"/>
        <v>6.8656716417910388</v>
      </c>
      <c r="BW112" s="91">
        <f>BW109+BW110+BW111</f>
        <v>680</v>
      </c>
      <c r="BX112" s="72">
        <f t="shared" si="629"/>
        <v>0</v>
      </c>
      <c r="BY112" s="91">
        <f>BY109+BY110+BY111</f>
        <v>703</v>
      </c>
      <c r="BZ112" s="72">
        <f t="shared" si="630"/>
        <v>3.9940828402366719</v>
      </c>
      <c r="CA112" s="91">
        <f>CA109+CA110+CA111</f>
        <v>656</v>
      </c>
      <c r="CB112" s="72">
        <f t="shared" si="631"/>
        <v>-3.8123167155425222</v>
      </c>
      <c r="CC112" s="91">
        <f>CC109+CC110+CC111</f>
        <v>729</v>
      </c>
      <c r="CD112" s="72">
        <f t="shared" si="632"/>
        <v>1.8156424581005552</v>
      </c>
      <c r="CE112" s="91">
        <f>CE109+CE110+CE111</f>
        <v>687</v>
      </c>
      <c r="CF112" s="72">
        <f t="shared" si="633"/>
        <v>1.029411764705884</v>
      </c>
      <c r="CG112" s="91">
        <f>CG109+CG110+CG111</f>
        <v>751</v>
      </c>
      <c r="CH112" s="72">
        <f t="shared" si="634"/>
        <v>6.827880512091042</v>
      </c>
      <c r="CI112" s="91">
        <f>CI109+CI110+CI111</f>
        <v>640</v>
      </c>
      <c r="CJ112" s="72">
        <f t="shared" si="635"/>
        <v>-2.4390243902439011</v>
      </c>
      <c r="CK112" s="91">
        <f>CK109+CK110+CK111</f>
        <v>739</v>
      </c>
      <c r="CL112" s="72">
        <f t="shared" si="635"/>
        <v>1.3717421124828491</v>
      </c>
      <c r="CM112" s="91">
        <f>CM109+CM110+CM111</f>
        <v>725</v>
      </c>
      <c r="CN112" s="72">
        <f t="shared" si="635"/>
        <v>5.5312954876273608</v>
      </c>
      <c r="CO112" s="91">
        <f>CO109+CO110+CO111</f>
        <v>763</v>
      </c>
      <c r="CP112" s="72">
        <f t="shared" si="635"/>
        <v>1.5978695073235656</v>
      </c>
      <c r="CQ112" s="91">
        <f>CQ109+CQ110+CQ111</f>
        <v>643</v>
      </c>
      <c r="CR112" s="72">
        <f t="shared" si="635"/>
        <v>0.46875</v>
      </c>
      <c r="CS112" s="91">
        <f>CS109+CS110+CS111</f>
        <v>769</v>
      </c>
      <c r="CT112" s="72">
        <f t="shared" si="635"/>
        <v>4.0595399188092074</v>
      </c>
      <c r="CU112" s="91">
        <f>CU109+CU110+CU111</f>
        <v>776</v>
      </c>
      <c r="CV112" s="72">
        <f t="shared" si="636"/>
        <v>7.0344827586206833</v>
      </c>
      <c r="CW112" s="91">
        <f>CW109+CW110+CW111</f>
        <v>803</v>
      </c>
      <c r="CX112" s="72">
        <f t="shared" si="637"/>
        <v>5.2424639580602985</v>
      </c>
      <c r="CY112" s="91">
        <f>CY109+CY110+CY111</f>
        <v>948</v>
      </c>
      <c r="CZ112" s="72">
        <f t="shared" si="638"/>
        <v>47.433903576982885</v>
      </c>
      <c r="DA112" s="91">
        <f>DA109+DA110+DA111</f>
        <v>840</v>
      </c>
      <c r="DB112" s="72">
        <f t="shared" si="639"/>
        <v>9.2327698309492945</v>
      </c>
      <c r="DC112" s="91">
        <f>DC109+DC110+DC111</f>
        <v>1155</v>
      </c>
      <c r="DD112" s="72">
        <f t="shared" si="640"/>
        <v>48.840206185567013</v>
      </c>
      <c r="DE112" s="91">
        <f>DE109+DE110+DE111</f>
        <v>1212</v>
      </c>
      <c r="DF112" s="72">
        <f t="shared" si="641"/>
        <v>50.933997509339974</v>
      </c>
      <c r="DG112" s="91">
        <f>DG109+DG110+DG111</f>
        <v>1041</v>
      </c>
      <c r="DH112" s="72">
        <f t="shared" si="642"/>
        <v>9.8101265822784853</v>
      </c>
      <c r="DI112" s="91">
        <f>DI109+DI110+DI111</f>
        <v>1212</v>
      </c>
      <c r="DJ112" s="72">
        <f t="shared" si="643"/>
        <v>44.285714285714278</v>
      </c>
      <c r="DK112" s="91">
        <f>DK109+DK110+DK111</f>
        <v>1296</v>
      </c>
      <c r="DL112" s="72">
        <f t="shared" si="644"/>
        <v>12.207792207792195</v>
      </c>
      <c r="DM112" s="91">
        <f>DM109+DM110+DM111</f>
        <v>1318</v>
      </c>
      <c r="DN112" s="72">
        <f t="shared" si="645"/>
        <v>8.7458745874587436</v>
      </c>
      <c r="DO112" s="91">
        <f>DO109+DO110+DO111</f>
        <v>1281</v>
      </c>
      <c r="DP112" s="72">
        <f t="shared" si="645"/>
        <v>23.054755043227672</v>
      </c>
      <c r="DQ112" s="91">
        <f>DQ109+DQ110+DQ111</f>
        <v>1331</v>
      </c>
      <c r="DR112" s="72">
        <f t="shared" si="645"/>
        <v>9.8184818481848168</v>
      </c>
      <c r="DS112" s="91">
        <f>DS109+DS110+DS111</f>
        <v>1351</v>
      </c>
      <c r="DT112" s="72">
        <f t="shared" si="645"/>
        <v>4.2438271604938222</v>
      </c>
      <c r="DU112" s="91">
        <f>DU109+DU110+DU111</f>
        <v>1160</v>
      </c>
      <c r="DV112" s="72">
        <f t="shared" si="645"/>
        <v>-11.987860394537179</v>
      </c>
      <c r="DW112" s="91">
        <f>DW109+DW110+DW111</f>
        <v>1375</v>
      </c>
      <c r="DX112" s="72">
        <f t="shared" si="645"/>
        <v>7.3380171740827507</v>
      </c>
      <c r="DY112" s="91">
        <f>DY109+DY110+DY111</f>
        <v>1347</v>
      </c>
      <c r="DZ112" s="72">
        <f t="shared" si="645"/>
        <v>1.2021036814425372</v>
      </c>
      <c r="EA112" s="91">
        <f>EA109+EA110+EA111</f>
        <v>1366</v>
      </c>
      <c r="EB112" s="72">
        <f t="shared" si="646"/>
        <v>1.1102886750555143</v>
      </c>
      <c r="EC112" s="91">
        <f>EC109+EC110+EC111</f>
        <v>1155</v>
      </c>
      <c r="ED112" s="72">
        <f t="shared" si="647"/>
        <v>-0.43103448275861922</v>
      </c>
      <c r="EE112" s="91">
        <f>EE109+EE110+EE111</f>
        <v>1410</v>
      </c>
      <c r="EF112" s="72">
        <f t="shared" si="648"/>
        <v>2.5454545454545325</v>
      </c>
      <c r="EG112" s="91">
        <f>EG109+EG110+EG111</f>
        <v>1424</v>
      </c>
      <c r="EH112" s="72">
        <f t="shared" si="649"/>
        <v>5.7164068299925646</v>
      </c>
      <c r="EI112" s="91">
        <f>EI109+EI110+EI111</f>
        <v>1445</v>
      </c>
      <c r="EJ112" s="72">
        <f t="shared" si="650"/>
        <v>5.7833089311859425</v>
      </c>
      <c r="EK112" s="91">
        <f>EK109+EK110+EK111</f>
        <v>654</v>
      </c>
      <c r="EL112" s="72">
        <f t="shared" si="651"/>
        <v>-43.376623376623378</v>
      </c>
      <c r="EM112" s="91">
        <f>EM109+EM110+EM111</f>
        <v>1411</v>
      </c>
      <c r="EN112" s="72">
        <f t="shared" si="652"/>
        <v>7.0921985815601829E-2</v>
      </c>
      <c r="EO112" s="91">
        <f>EO109+EO110+EO111</f>
        <v>1464</v>
      </c>
      <c r="EP112" s="72">
        <f t="shared" si="653"/>
        <v>2.8089887640449405</v>
      </c>
      <c r="EQ112" s="91">
        <f t="shared" ref="EQ112" si="687">EQ109+EQ110+EQ111</f>
        <v>1501.1850000000002</v>
      </c>
      <c r="ER112" s="72">
        <f t="shared" si="655"/>
        <v>3.8882352941176634</v>
      </c>
      <c r="ES112" s="91">
        <f t="shared" ref="ES112" si="688">ES109+ES110+ES111</f>
        <v>1319.549</v>
      </c>
      <c r="ET112" s="72" t="str">
        <f t="shared" si="657"/>
        <v>NM</v>
      </c>
      <c r="EU112" s="91">
        <f t="shared" ref="EU112" si="689">EU109+EU110+EU111</f>
        <v>1467.0214900000001</v>
      </c>
      <c r="EV112" s="72">
        <f t="shared" si="659"/>
        <v>3.9703394755492525</v>
      </c>
      <c r="EW112" s="91">
        <f t="shared" ref="EW112" si="690">EW109+EW110+EW111</f>
        <v>1508.9631549000001</v>
      </c>
      <c r="EX112" s="72">
        <f t="shared" si="661"/>
        <v>3.071253750000011</v>
      </c>
      <c r="EY112" s="72"/>
      <c r="EZ112" s="312"/>
      <c r="FA112" s="72"/>
      <c r="FB112" s="91">
        <f>FB109+FB110+FB111</f>
        <v>1674</v>
      </c>
      <c r="FC112" s="80"/>
      <c r="FD112" s="91">
        <f>FD109+FD110+FD111</f>
        <v>1723</v>
      </c>
      <c r="FE112" s="72">
        <f t="shared" si="662"/>
        <v>2.9271206690561655</v>
      </c>
      <c r="FF112" s="91">
        <f>FF109+FF110+FF111</f>
        <v>1855</v>
      </c>
      <c r="FG112" s="72">
        <f t="shared" si="663"/>
        <v>7.6610562971561222</v>
      </c>
      <c r="FH112" s="91">
        <f>FH109+FH110+FH111</f>
        <v>1919</v>
      </c>
      <c r="FI112" s="72">
        <f t="shared" si="664"/>
        <v>3.4501347708894912</v>
      </c>
      <c r="FJ112" s="91">
        <f>FJ109+FJ110+FJ111</f>
        <v>1963</v>
      </c>
      <c r="FK112" s="72">
        <f t="shared" si="665"/>
        <v>2.2928608650338589</v>
      </c>
      <c r="FL112" s="91">
        <f>FL109+FL110+FL111</f>
        <v>1944</v>
      </c>
      <c r="FM112" s="72">
        <f t="shared" si="666"/>
        <v>-0.96790626591950968</v>
      </c>
      <c r="FN112" s="91">
        <f>FN109+FN110+FN111</f>
        <v>2073</v>
      </c>
      <c r="FO112" s="72">
        <f t="shared" si="667"/>
        <v>6.6358024691357969</v>
      </c>
      <c r="FP112" s="91">
        <f>FP109+FP110+FP111</f>
        <v>2262</v>
      </c>
      <c r="FQ112" s="72">
        <f t="shared" si="668"/>
        <v>9.1172214182344362</v>
      </c>
      <c r="FR112" s="91">
        <f>FR109+FR110+FR111</f>
        <v>2217</v>
      </c>
      <c r="FS112" s="72">
        <f t="shared" si="669"/>
        <v>-1.9893899204244008</v>
      </c>
      <c r="FT112" s="91">
        <f>FT109+FT110+FT111</f>
        <v>2602</v>
      </c>
      <c r="FU112" s="72">
        <f t="shared" si="670"/>
        <v>17.365809652683822</v>
      </c>
      <c r="FV112" s="91">
        <f>FV109+FV110+FV111</f>
        <v>2754</v>
      </c>
      <c r="FW112" s="72">
        <f t="shared" si="671"/>
        <v>5.841660261337438</v>
      </c>
      <c r="FX112" s="91">
        <f>FX109+FX110+FX111</f>
        <v>2767</v>
      </c>
      <c r="FY112" s="72">
        <f t="shared" si="671"/>
        <v>0.4720406681191065</v>
      </c>
      <c r="FZ112" s="91">
        <f>FZ109+FZ110+FZ111</f>
        <v>2817</v>
      </c>
      <c r="GA112" s="72">
        <f t="shared" si="671"/>
        <v>1.8070112034694716</v>
      </c>
      <c r="GB112" s="91">
        <f>GB109+GB110+GB111</f>
        <v>2900</v>
      </c>
      <c r="GC112" s="72">
        <f t="shared" si="671"/>
        <v>2.9463968761093327</v>
      </c>
      <c r="GD112" s="91">
        <f>GD109+GD110+GD111</f>
        <v>3367</v>
      </c>
      <c r="GE112" s="72">
        <f t="shared" si="671"/>
        <v>16.103448275862078</v>
      </c>
      <c r="GF112" s="91">
        <f>GF109+GF110+GF111</f>
        <v>4620</v>
      </c>
      <c r="GG112" s="72">
        <f t="shared" si="671"/>
        <v>37.214137214137224</v>
      </c>
      <c r="GH112" s="91">
        <f>GH109+GH110+GH111</f>
        <v>5226</v>
      </c>
      <c r="GI112" s="72">
        <f t="shared" si="672"/>
        <v>13.11688311688313</v>
      </c>
      <c r="GJ112" s="91">
        <f>GJ109+GJ110+GJ111</f>
        <v>5233</v>
      </c>
      <c r="GK112" s="72">
        <f t="shared" si="672"/>
        <v>0.13394565633370803</v>
      </c>
      <c r="GL112" s="91">
        <f>GL109+GL110+GL111</f>
        <v>5355</v>
      </c>
      <c r="GM112" s="72">
        <f t="shared" si="672"/>
        <v>2.3313586852665651</v>
      </c>
      <c r="GN112" s="91">
        <f>GN109+GN110+GN111</f>
        <v>4974</v>
      </c>
      <c r="GO112" s="72">
        <f t="shared" si="672"/>
        <v>-7.1148459383753533</v>
      </c>
      <c r="GP112" s="91">
        <f>GP109+GP110+GP111</f>
        <v>5796.7186449000001</v>
      </c>
      <c r="GQ112" s="72">
        <f t="shared" si="672"/>
        <v>16.540382889022936</v>
      </c>
      <c r="GR112" s="91">
        <f>GR109+GR110+GR111</f>
        <v>6088.9023906960001</v>
      </c>
      <c r="GS112" s="72">
        <f t="shared" si="672"/>
        <v>5.040502458284152</v>
      </c>
      <c r="GT112" s="91">
        <f>GT109+GT110+GT111</f>
        <v>6396.3923863238406</v>
      </c>
      <c r="GU112" s="72">
        <f t="shared" si="672"/>
        <v>5.0500069782313091</v>
      </c>
      <c r="GV112" s="91">
        <f>GV109+GV110+GV111</f>
        <v>6720.0180157767945</v>
      </c>
      <c r="GW112" s="72">
        <f t="shared" si="673"/>
        <v>5.0595024493009504</v>
      </c>
      <c r="GX112" s="91">
        <f>GX109+GX110+GX111</f>
        <v>7060.6548664478669</v>
      </c>
      <c r="GY112" s="72">
        <f t="shared" si="674"/>
        <v>5.0689871644889877</v>
      </c>
      <c r="GZ112" s="72">
        <f t="shared" si="675"/>
        <v>7.2575420853762118</v>
      </c>
      <c r="HA112" s="72"/>
      <c r="HB112" s="72"/>
      <c r="HC112"/>
      <c r="HD112"/>
      <c r="HE112"/>
      <c r="HF112"/>
      <c r="HG112"/>
      <c r="HH112"/>
      <c r="HI112" s="2"/>
    </row>
    <row r="113" spans="1:217" s="69" customFormat="1" ht="12.75" customHeight="1" x14ac:dyDescent="0.2">
      <c r="B113" s="77"/>
      <c r="C113" s="75"/>
      <c r="D113" s="72"/>
      <c r="E113" s="75"/>
      <c r="F113" s="72"/>
      <c r="G113" s="75"/>
      <c r="H113" s="72"/>
      <c r="I113" s="75"/>
      <c r="J113" s="72"/>
      <c r="K113" s="75"/>
      <c r="L113" s="72"/>
      <c r="M113" s="75"/>
      <c r="N113" s="72"/>
      <c r="O113" s="75"/>
      <c r="P113" s="72"/>
      <c r="Q113" s="75"/>
      <c r="R113" s="72"/>
      <c r="S113" s="75"/>
      <c r="T113" s="72"/>
      <c r="U113" s="75"/>
      <c r="V113" s="72"/>
      <c r="W113" s="75"/>
      <c r="X113" s="72"/>
      <c r="Y113" s="75"/>
      <c r="Z113" s="72"/>
      <c r="AA113" s="75"/>
      <c r="AB113" s="72"/>
      <c r="AC113" s="75"/>
      <c r="AD113" s="72"/>
      <c r="AE113" s="75"/>
      <c r="AF113" s="72"/>
      <c r="AG113" s="75"/>
      <c r="AH113" s="72"/>
      <c r="AI113" s="75"/>
      <c r="AJ113" s="72"/>
      <c r="AK113" s="75"/>
      <c r="AL113" s="72"/>
      <c r="AM113" s="75"/>
      <c r="AN113" s="72"/>
      <c r="AO113" s="75"/>
      <c r="AP113" s="72"/>
      <c r="AQ113" s="75"/>
      <c r="AR113" s="72"/>
      <c r="AS113" s="75"/>
      <c r="AT113" s="72"/>
      <c r="AU113" s="75"/>
      <c r="AV113" s="72"/>
      <c r="AW113" s="75"/>
      <c r="AX113" s="72"/>
      <c r="AY113" s="75"/>
      <c r="AZ113" s="72"/>
      <c r="BA113" s="75"/>
      <c r="BB113" s="72"/>
      <c r="BC113" s="75"/>
      <c r="BD113" s="72"/>
      <c r="BE113" s="75"/>
      <c r="BF113" s="72"/>
      <c r="BG113" s="75"/>
      <c r="BH113" s="72"/>
      <c r="BI113" s="75"/>
      <c r="BJ113" s="72"/>
      <c r="BK113" s="75"/>
      <c r="BL113" s="72"/>
      <c r="BM113" s="75"/>
      <c r="BN113" s="72"/>
      <c r="BO113" s="75"/>
      <c r="BP113" s="72"/>
      <c r="BQ113" s="75"/>
      <c r="BR113" s="72"/>
      <c r="BS113" s="75"/>
      <c r="BT113" s="72"/>
      <c r="BU113" s="75"/>
      <c r="BV113" s="72"/>
      <c r="BW113" s="75"/>
      <c r="BX113" s="72"/>
      <c r="BY113" s="75"/>
      <c r="BZ113" s="72"/>
      <c r="CA113" s="75"/>
      <c r="CB113" s="72"/>
      <c r="CC113" s="75"/>
      <c r="CD113" s="72"/>
      <c r="CE113" s="75"/>
      <c r="CF113" s="72"/>
      <c r="CG113" s="75"/>
      <c r="CH113" s="72"/>
      <c r="CI113" s="75"/>
      <c r="CJ113" s="72"/>
      <c r="CK113" s="75"/>
      <c r="CL113" s="72"/>
      <c r="CM113" s="75"/>
      <c r="CN113" s="72"/>
      <c r="CO113" s="75"/>
      <c r="CP113" s="72"/>
      <c r="CQ113" s="75"/>
      <c r="CR113" s="72"/>
      <c r="CS113" s="75"/>
      <c r="CT113" s="72"/>
      <c r="CU113" s="75"/>
      <c r="CV113" s="72"/>
      <c r="CW113" s="75"/>
      <c r="CX113" s="72"/>
      <c r="CY113" s="75"/>
      <c r="CZ113" s="72"/>
      <c r="DA113" s="75"/>
      <c r="DB113" s="72"/>
      <c r="DC113" s="75"/>
      <c r="DD113" s="72"/>
      <c r="DE113" s="75"/>
      <c r="DF113" s="72"/>
      <c r="DG113" s="75"/>
      <c r="DH113" s="72"/>
      <c r="DI113" s="75"/>
      <c r="DJ113" s="72"/>
      <c r="DK113" s="75"/>
      <c r="DL113" s="72"/>
      <c r="DM113" s="75"/>
      <c r="DN113" s="72"/>
      <c r="DO113" s="75"/>
      <c r="DP113" s="72"/>
      <c r="DQ113" s="75"/>
      <c r="DR113" s="72"/>
      <c r="DS113" s="75"/>
      <c r="DT113" s="72"/>
      <c r="DU113" s="75"/>
      <c r="DV113" s="72"/>
      <c r="DW113" s="449"/>
      <c r="DX113" s="72"/>
      <c r="DY113" s="449"/>
      <c r="DZ113" s="72"/>
      <c r="EA113" s="449"/>
      <c r="EB113" s="72"/>
      <c r="EC113" s="75"/>
      <c r="ED113" s="72"/>
      <c r="EE113" s="449"/>
      <c r="EF113" s="72"/>
      <c r="EG113" s="449"/>
      <c r="EH113" s="72"/>
      <c r="EI113" s="449"/>
      <c r="EJ113" s="72"/>
      <c r="EK113" s="75"/>
      <c r="EL113" s="72"/>
      <c r="EM113" s="75"/>
      <c r="EN113" s="72"/>
      <c r="EO113" s="75"/>
      <c r="EP113" s="72"/>
      <c r="EQ113" s="75"/>
      <c r="ER113" s="72"/>
      <c r="ES113" s="75"/>
      <c r="ET113" s="72"/>
      <c r="EU113" s="75"/>
      <c r="EV113" s="72"/>
      <c r="EW113" s="75"/>
      <c r="EX113" s="72"/>
      <c r="EY113" s="72"/>
      <c r="EZ113" s="307"/>
      <c r="FA113" s="72"/>
      <c r="FB113" s="75"/>
      <c r="FC113" s="72"/>
      <c r="FD113" s="75"/>
      <c r="FE113" s="72"/>
      <c r="FF113" s="75"/>
      <c r="FG113" s="72"/>
      <c r="FH113" s="75"/>
      <c r="FI113" s="72"/>
      <c r="FJ113" s="75"/>
      <c r="FK113" s="72"/>
      <c r="FL113" s="75"/>
      <c r="FM113" s="72"/>
      <c r="FN113" s="75"/>
      <c r="FO113" s="72"/>
      <c r="FP113" s="75"/>
      <c r="FQ113" s="72"/>
      <c r="FR113" s="75"/>
      <c r="FS113" s="72"/>
      <c r="FT113" s="75"/>
      <c r="FU113" s="72"/>
      <c r="FV113" s="75"/>
      <c r="FW113" s="72"/>
      <c r="FX113" s="75"/>
      <c r="FY113" s="72"/>
      <c r="FZ113" s="75"/>
      <c r="GA113" s="72"/>
      <c r="GB113" s="75"/>
      <c r="GC113" s="72"/>
      <c r="GD113" s="75"/>
      <c r="GE113" s="72"/>
      <c r="GF113" s="75"/>
      <c r="GG113" s="72"/>
      <c r="GH113" s="75"/>
      <c r="GI113" s="72"/>
      <c r="GJ113" s="75"/>
      <c r="GK113" s="72"/>
      <c r="GL113" s="75"/>
      <c r="GM113" s="72"/>
      <c r="GN113" s="75"/>
      <c r="GO113" s="72"/>
      <c r="GP113" s="75"/>
      <c r="GQ113" s="72"/>
      <c r="GR113" s="75"/>
      <c r="GS113" s="72"/>
      <c r="GT113" s="75"/>
      <c r="GU113" s="72"/>
      <c r="GV113" s="75"/>
      <c r="GW113" s="72"/>
      <c r="GX113" s="75"/>
      <c r="GY113" s="72"/>
      <c r="GZ113" s="72"/>
      <c r="HA113" s="72"/>
      <c r="HB113" s="72"/>
      <c r="HC113"/>
      <c r="HD113"/>
      <c r="HE113"/>
      <c r="HF113"/>
      <c r="HG113"/>
      <c r="HH113"/>
      <c r="HI113" s="2"/>
    </row>
    <row r="114" spans="1:217" s="94" customFormat="1" ht="12.75" customHeight="1" x14ac:dyDescent="0.2">
      <c r="B114" s="70" t="s">
        <v>669</v>
      </c>
      <c r="C114" s="115"/>
      <c r="D114" s="72"/>
      <c r="E114" s="115"/>
      <c r="F114" s="72"/>
      <c r="G114" s="115"/>
      <c r="H114" s="72"/>
      <c r="I114" s="115"/>
      <c r="J114" s="72"/>
      <c r="K114" s="115"/>
      <c r="L114" s="72"/>
      <c r="M114" s="115"/>
      <c r="N114" s="72"/>
      <c r="O114" s="115"/>
      <c r="P114" s="72"/>
      <c r="Q114" s="115"/>
      <c r="R114" s="72"/>
      <c r="S114" s="115"/>
      <c r="T114" s="72"/>
      <c r="U114" s="115"/>
      <c r="V114" s="72"/>
      <c r="W114" s="115"/>
      <c r="X114" s="72"/>
      <c r="Y114" s="115"/>
      <c r="Z114" s="72"/>
      <c r="AA114" s="115"/>
      <c r="AB114" s="72"/>
      <c r="AC114" s="115"/>
      <c r="AD114" s="72"/>
      <c r="AE114" s="115"/>
      <c r="AF114" s="72"/>
      <c r="AG114" s="115"/>
      <c r="AH114" s="72"/>
      <c r="AI114" s="115"/>
      <c r="AJ114" s="72"/>
      <c r="AK114" s="115"/>
      <c r="AL114" s="72"/>
      <c r="AM114" s="115"/>
      <c r="AN114" s="72"/>
      <c r="AO114" s="115"/>
      <c r="AP114" s="72"/>
      <c r="AQ114" s="115"/>
      <c r="AR114" s="72"/>
      <c r="AS114" s="115"/>
      <c r="AT114" s="72"/>
      <c r="AU114" s="115"/>
      <c r="AV114" s="72"/>
      <c r="AW114" s="115"/>
      <c r="AX114" s="72"/>
      <c r="AY114" s="115"/>
      <c r="AZ114" s="72"/>
      <c r="BA114" s="115"/>
      <c r="BB114" s="72"/>
      <c r="BC114" s="115"/>
      <c r="BD114" s="72"/>
      <c r="BE114" s="115"/>
      <c r="BF114" s="72"/>
      <c r="BG114" s="115"/>
      <c r="BH114" s="72"/>
      <c r="BI114" s="115"/>
      <c r="BJ114" s="72"/>
      <c r="BK114" s="115"/>
      <c r="BL114" s="72"/>
      <c r="BM114" s="115"/>
      <c r="BN114" s="72"/>
      <c r="BO114" s="115"/>
      <c r="BP114" s="72"/>
      <c r="BQ114" s="115"/>
      <c r="BR114" s="72"/>
      <c r="BS114" s="115"/>
      <c r="BT114" s="72"/>
      <c r="BU114" s="115"/>
      <c r="BV114" s="72"/>
      <c r="BW114" s="115"/>
      <c r="BX114" s="72"/>
      <c r="BY114" s="115"/>
      <c r="BZ114" s="72"/>
      <c r="CA114" s="115"/>
      <c r="CB114" s="72"/>
      <c r="CC114" s="115"/>
      <c r="CD114" s="72"/>
      <c r="CE114" s="115"/>
      <c r="CF114" s="72"/>
      <c r="CG114" s="115"/>
      <c r="CH114" s="72"/>
      <c r="CI114" s="115"/>
      <c r="CJ114" s="72"/>
      <c r="CK114" s="115"/>
      <c r="CL114" s="72"/>
      <c r="CM114" s="115"/>
      <c r="CN114" s="72"/>
      <c r="CO114" s="115"/>
      <c r="CP114" s="72"/>
      <c r="CQ114" s="115"/>
      <c r="CR114" s="72"/>
      <c r="CS114" s="115"/>
      <c r="CT114" s="72"/>
      <c r="CU114" s="115"/>
      <c r="CV114" s="72"/>
      <c r="CW114" s="115"/>
      <c r="CX114" s="72"/>
      <c r="CY114" s="115"/>
      <c r="CZ114" s="72"/>
      <c r="DA114" s="115"/>
      <c r="DB114" s="72"/>
      <c r="DC114" s="115"/>
      <c r="DD114" s="72"/>
      <c r="DE114" s="115"/>
      <c r="DF114" s="72"/>
      <c r="DG114" s="115"/>
      <c r="DH114" s="72"/>
      <c r="DI114" s="115"/>
      <c r="DJ114" s="72"/>
      <c r="DK114" s="115"/>
      <c r="DL114" s="72"/>
      <c r="DM114" s="115"/>
      <c r="DN114" s="72"/>
      <c r="DO114" s="115"/>
      <c r="DP114" s="72"/>
      <c r="DQ114" s="115"/>
      <c r="DR114" s="72"/>
      <c r="DS114" s="115"/>
      <c r="DT114" s="72"/>
      <c r="DU114" s="115"/>
      <c r="DV114" s="72"/>
      <c r="DW114" s="728"/>
      <c r="DX114" s="72"/>
      <c r="DY114" s="728"/>
      <c r="DZ114" s="72"/>
      <c r="EA114" s="728"/>
      <c r="EB114" s="72"/>
      <c r="EC114" s="115"/>
      <c r="ED114" s="72"/>
      <c r="EE114" s="728"/>
      <c r="EF114" s="72"/>
      <c r="EG114" s="728"/>
      <c r="EH114" s="72"/>
      <c r="EI114" s="728"/>
      <c r="EJ114" s="72"/>
      <c r="EK114" s="115"/>
      <c r="EL114" s="72"/>
      <c r="EM114" s="115"/>
      <c r="EN114" s="72"/>
      <c r="EO114" s="115"/>
      <c r="EP114" s="72"/>
      <c r="EQ114" s="115"/>
      <c r="ER114" s="72"/>
      <c r="ES114" s="115"/>
      <c r="ET114" s="72"/>
      <c r="EU114" s="115"/>
      <c r="EV114" s="72"/>
      <c r="EW114" s="115"/>
      <c r="EX114" s="72"/>
      <c r="EY114" s="72"/>
      <c r="EZ114" s="307"/>
      <c r="FA114" s="72"/>
      <c r="FB114" s="115"/>
      <c r="FC114" s="72"/>
      <c r="FD114" s="115"/>
      <c r="FE114" s="72"/>
      <c r="FF114" s="115"/>
      <c r="FG114" s="72"/>
      <c r="FH114" s="115"/>
      <c r="FI114" s="72"/>
      <c r="FJ114" s="115"/>
      <c r="FK114" s="72"/>
      <c r="FL114" s="115"/>
      <c r="FM114" s="72"/>
      <c r="FN114" s="115"/>
      <c r="FO114" s="72"/>
      <c r="FP114" s="115"/>
      <c r="FQ114" s="72"/>
      <c r="FR114" s="75"/>
      <c r="FS114" s="72"/>
      <c r="FT114" s="75"/>
      <c r="FU114" s="72"/>
      <c r="FV114" s="75"/>
      <c r="FW114" s="72"/>
      <c r="FX114" s="75"/>
      <c r="FY114" s="72"/>
      <c r="FZ114" s="75"/>
      <c r="GA114" s="72"/>
      <c r="GB114" s="75"/>
      <c r="GC114" s="72"/>
      <c r="GD114" s="75"/>
      <c r="GE114" s="72"/>
      <c r="GF114" s="75"/>
      <c r="GG114" s="72"/>
      <c r="GH114" s="75"/>
      <c r="GI114" s="72"/>
      <c r="GJ114" s="75"/>
      <c r="GK114" s="72"/>
      <c r="GL114" s="75"/>
      <c r="GM114" s="72"/>
      <c r="GN114" s="75"/>
      <c r="GO114" s="72"/>
      <c r="GP114" s="75"/>
      <c r="GQ114" s="72"/>
      <c r="GR114" s="134"/>
      <c r="GS114" s="72"/>
      <c r="GT114" s="134"/>
      <c r="GU114" s="72"/>
      <c r="GV114" s="134"/>
      <c r="GW114" s="72"/>
      <c r="GX114" s="134"/>
      <c r="GY114" s="72"/>
      <c r="GZ114" s="72"/>
      <c r="HA114" s="72"/>
      <c r="HB114" s="72"/>
      <c r="HC114"/>
      <c r="HD114"/>
      <c r="HE114"/>
      <c r="HF114"/>
      <c r="HG114"/>
      <c r="HH114"/>
      <c r="HI114" s="2"/>
    </row>
    <row r="115" spans="1:217" s="94" customFormat="1" ht="12.75" customHeight="1" x14ac:dyDescent="0.2">
      <c r="B115" s="77" t="s">
        <v>213</v>
      </c>
      <c r="C115" s="74">
        <f>FF115-I115-G115-E115</f>
        <v>174</v>
      </c>
      <c r="D115" s="72"/>
      <c r="E115" s="74">
        <v>140</v>
      </c>
      <c r="F115" s="72"/>
      <c r="G115" s="74">
        <v>157</v>
      </c>
      <c r="H115" s="72"/>
      <c r="I115" s="74">
        <v>179</v>
      </c>
      <c r="J115" s="72"/>
      <c r="K115" s="74">
        <v>157</v>
      </c>
      <c r="L115" s="72">
        <f t="shared" ref="L115:L120" si="691">IF(ISERROR(K115/C115),"NA",IF(OR(K115/C115&gt;2,K115/C115&lt;0.5),"NM",K115/C115*100-100))</f>
        <v>-9.7701149425287355</v>
      </c>
      <c r="M115" s="74">
        <v>173</v>
      </c>
      <c r="N115" s="72">
        <f t="shared" ref="N115:N120" si="692">IF(ISERROR(M115/E115),"NA",IF(OR(M115/E115&gt;2,M115/E115&lt;0.5),"NM",M115/E115*100-100))</f>
        <v>23.571428571428584</v>
      </c>
      <c r="O115" s="74">
        <v>165</v>
      </c>
      <c r="P115" s="72">
        <f t="shared" ref="P115:P120" si="693">IF(ISERROR(O115/G115),"NA",IF(OR(O115/G115&gt;2,O115/G115&lt;0.5),"NM",O115/G115*100-100))</f>
        <v>5.0955414012738913</v>
      </c>
      <c r="Q115" s="74">
        <v>203</v>
      </c>
      <c r="R115" s="72">
        <f t="shared" ref="R115:AP120" si="694">IF(ISERROR(Q115/I115),"NA",IF(OR(Q115/I115&gt;2,Q115/I115&lt;0.5),"NM",Q115/I115*100-100))</f>
        <v>13.407821229050285</v>
      </c>
      <c r="S115" s="74">
        <v>129</v>
      </c>
      <c r="T115" s="72">
        <f t="shared" si="694"/>
        <v>-17.834394904458591</v>
      </c>
      <c r="U115" s="74">
        <v>128</v>
      </c>
      <c r="V115" s="72">
        <f t="shared" si="694"/>
        <v>-26.011560693641627</v>
      </c>
      <c r="W115" s="74">
        <v>152</v>
      </c>
      <c r="X115" s="72">
        <f t="shared" si="694"/>
        <v>-7.8787878787878753</v>
      </c>
      <c r="Y115" s="74">
        <v>283</v>
      </c>
      <c r="Z115" s="72">
        <f t="shared" si="694"/>
        <v>39.408866995073879</v>
      </c>
      <c r="AA115" s="74">
        <v>173</v>
      </c>
      <c r="AB115" s="72">
        <f t="shared" si="694"/>
        <v>34.108527131782949</v>
      </c>
      <c r="AC115" s="74">
        <v>178</v>
      </c>
      <c r="AD115" s="72">
        <f t="shared" si="694"/>
        <v>39.0625</v>
      </c>
      <c r="AE115" s="74">
        <v>193</v>
      </c>
      <c r="AF115" s="72">
        <f t="shared" si="694"/>
        <v>26.973684210526301</v>
      </c>
      <c r="AG115" s="74">
        <v>246</v>
      </c>
      <c r="AH115" s="72">
        <f t="shared" si="694"/>
        <v>-13.074204946996474</v>
      </c>
      <c r="AI115" s="74">
        <v>160</v>
      </c>
      <c r="AJ115" s="72">
        <f t="shared" si="694"/>
        <v>-7.5144508670520196</v>
      </c>
      <c r="AK115" s="74">
        <v>147</v>
      </c>
      <c r="AL115" s="72">
        <f t="shared" si="694"/>
        <v>-17.415730337078656</v>
      </c>
      <c r="AM115" s="74">
        <v>146</v>
      </c>
      <c r="AN115" s="72">
        <f t="shared" si="694"/>
        <v>-24.352331606217618</v>
      </c>
      <c r="AO115" s="74">
        <v>156</v>
      </c>
      <c r="AP115" s="72">
        <f t="shared" si="694"/>
        <v>-36.585365853658537</v>
      </c>
      <c r="AQ115" s="74">
        <v>163</v>
      </c>
      <c r="AR115" s="72">
        <f t="shared" ref="AR115:AR120" si="695">IF(ISERROR(AQ115/AI115),"NA",IF(OR(AQ115/AI115&gt;2,AQ115/AI115&lt;0.5),"NM",AQ115/AI115*100-100))</f>
        <v>1.875</v>
      </c>
      <c r="AS115" s="74">
        <v>160</v>
      </c>
      <c r="AT115" s="72">
        <f t="shared" ref="AT115:AT120" si="696">IF(ISERROR(AS115/AK115),"NA",IF(OR(AS115/AK115&gt;2,AS115/AK115&lt;0.5),"NM",AS115/AK115*100-100))</f>
        <v>8.8435374149659935</v>
      </c>
      <c r="AU115" s="74">
        <v>133</v>
      </c>
      <c r="AV115" s="72">
        <f t="shared" ref="AV115:AV120" si="697">IF(ISERROR(AU115/AM115),"NA",IF(OR(AU115/AM115&gt;2,AU115/AM115&lt;0.5),"NM",AU115/AM115*100-100))</f>
        <v>-8.9041095890410986</v>
      </c>
      <c r="AW115" s="74">
        <v>175</v>
      </c>
      <c r="AX115" s="72">
        <f t="shared" ref="AX115:AX120" si="698">IF(ISERROR(AW115/AO115),"NA",IF(OR(AW115/AO115&gt;2,AW115/AO115&lt;0.5),"NM",AW115/AO115*100-100))</f>
        <v>12.179487179487182</v>
      </c>
      <c r="AY115" s="74">
        <v>161</v>
      </c>
      <c r="AZ115" s="72">
        <f t="shared" ref="AZ115:AZ120" si="699">IF(ISERROR(AY115/AQ115),"NA",IF(OR(AY115/AQ115&gt;2,AY115/AQ115&lt;0.5),"NM",AY115/AQ115*100-100))</f>
        <v>-1.2269938650306784</v>
      </c>
      <c r="BA115" s="74">
        <v>199</v>
      </c>
      <c r="BB115" s="72">
        <f t="shared" ref="BB115:BB120" si="700">IF(ISERROR(BA115/AS115),"NA",IF(OR(BA115/AS115&gt;2,BA115/AS115&lt;0.5),"NM",BA115/AS115*100-100))</f>
        <v>24.374999999999986</v>
      </c>
      <c r="BC115" s="74">
        <v>300</v>
      </c>
      <c r="BD115" s="72" t="str">
        <f t="shared" ref="BD115:BD120" si="701">IF(ISERROR(BC115/AU115),"NA",IF(OR(BC115/AU115&gt;2,BC115/AU115&lt;0.5),"NM",BC115/AU115*100-100))</f>
        <v>NM</v>
      </c>
      <c r="BE115" s="74">
        <v>203</v>
      </c>
      <c r="BF115" s="72">
        <f t="shared" ref="BF115:BF120" si="702">IF(ISERROR(BE115/AW115),"NA",IF(OR(BE115/AW115&gt;2,BE115/AW115&lt;0.5),"NM",BE115/AW115*100-100))</f>
        <v>15.999999999999986</v>
      </c>
      <c r="BG115" s="74">
        <v>236</v>
      </c>
      <c r="BH115" s="72">
        <f t="shared" ref="BH115:BH120" si="703">IF(ISERROR(BG115/AY115),"NA",IF(OR(BG115/AY115&gt;2,BG115/AY115&lt;0.5),"NM",BG115/AY115*100-100))</f>
        <v>46.583850931677034</v>
      </c>
      <c r="BI115" s="74">
        <v>203</v>
      </c>
      <c r="BJ115" s="72">
        <f t="shared" ref="BJ115:BJ120" si="704">IF(ISERROR(BI115/BA115),"NA",IF(OR(BI115/BA115&gt;2,BI115/BA115&lt;0.5),"NM",BI115/BA115*100-100))</f>
        <v>2.0100502512562883</v>
      </c>
      <c r="BK115" s="74">
        <v>254</v>
      </c>
      <c r="BL115" s="72">
        <f t="shared" ref="BL115:BL120" si="705">IF(ISERROR(BK115/BC115),"NA",IF(OR(BK115/BC115&gt;2,BK115/BC115&lt;0.5),"NM",BK115/BC115*100-100))</f>
        <v>-15.333333333333329</v>
      </c>
      <c r="BM115" s="74">
        <v>211</v>
      </c>
      <c r="BN115" s="72">
        <f t="shared" ref="BN115:BN126" si="706">IF(ISERROR(BM115/BE115),"NA",IF(OR(BM115/BE115&gt;2,BM115/BE115&lt;0.5),"NM",BM115/BE115*100-100))</f>
        <v>3.9408866995073879</v>
      </c>
      <c r="BO115" s="74">
        <v>239</v>
      </c>
      <c r="BP115" s="72">
        <f t="shared" ref="BP115:BP120" si="707">IF(ISERROR(BO115/BG115),"NA",IF(OR(BO115/BG115&gt;2,BO115/BG115&lt;0.5),"NM",BO115/BG115*100-100))</f>
        <v>1.2711864406779654</v>
      </c>
      <c r="BQ115" s="74">
        <v>249</v>
      </c>
      <c r="BR115" s="72">
        <f t="shared" ref="BR115:BR120" si="708">IF(ISERROR(BQ115/BI115),"NA",IF(OR(BQ115/BI115&gt;2,BQ115/BI115&lt;0.5),"NM",BQ115/BI115*100-100))</f>
        <v>22.660098522167488</v>
      </c>
      <c r="BS115" s="74">
        <v>230</v>
      </c>
      <c r="BT115" s="72">
        <f t="shared" ref="BT115:BT120" si="709">IF(ISERROR(BS115/BK115),"NA",IF(OR(BS115/BK115&gt;2,BS115/BK115&lt;0.5),"NM",BS115/BK115*100-100))</f>
        <v>-9.4488188976378069</v>
      </c>
      <c r="BU115" s="74">
        <v>247</v>
      </c>
      <c r="BV115" s="72">
        <f t="shared" ref="BV115:BV120" si="710">IF(ISERROR(BU115/BM115),"NA",IF(OR(BU115/BM115&gt;2,BU115/BM115&lt;0.5),"NM",BU115/BM115*100-100))</f>
        <v>17.061611374407576</v>
      </c>
      <c r="BW115" s="74">
        <v>272</v>
      </c>
      <c r="BX115" s="72">
        <f t="shared" ref="BX115:BX120" si="711">IF(ISERROR(BW115/BO115),"NA",IF(OR(BW115/BO115&gt;2,BW115/BO115&lt;0.5),"NM",BW115/BO115*100-100))</f>
        <v>13.807531380753147</v>
      </c>
      <c r="BY115" s="74">
        <v>250</v>
      </c>
      <c r="BZ115" s="72">
        <f t="shared" ref="BZ115:BZ120" si="712">IF(ISERROR(BY115/BQ115),"NA",IF(OR(BY115/BQ115&gt;2,BY115/BQ115&lt;0.5),"NM",BY115/BQ115*100-100))</f>
        <v>0.40160642570282334</v>
      </c>
      <c r="CA115" s="74">
        <v>269</v>
      </c>
      <c r="CB115" s="72">
        <f t="shared" ref="CB115:CB120" si="713">IF(ISERROR(CA115/BS115),"NA",IF(OR(CA115/BS115&gt;2,CA115/BS115&lt;0.5),"NM",CA115/BS115*100-100))</f>
        <v>16.956521739130423</v>
      </c>
      <c r="CC115" s="74">
        <v>251</v>
      </c>
      <c r="CD115" s="72">
        <f t="shared" ref="CD115:CD120" si="714">IF(ISERROR(CC115/BU115),"NA",IF(OR(CC115/BU115&gt;2,CC115/BU115&lt;0.5),"NM",CC115/BU115*100-100))</f>
        <v>1.6194331983805625</v>
      </c>
      <c r="CE115" s="74">
        <v>309</v>
      </c>
      <c r="CF115" s="72">
        <f t="shared" ref="CF115:CF120" si="715">IF(ISERROR(CE115/BW115),"NA",IF(OR(CE115/BW115&gt;2,CE115/BW115&lt;0.5),"NM",CE115/BW115*100-100))</f>
        <v>13.60294117647058</v>
      </c>
      <c r="CG115" s="74">
        <v>270</v>
      </c>
      <c r="CH115" s="72">
        <f t="shared" ref="CH115:CH120" si="716">IF(ISERROR(CG115/BY115),"NA",IF(OR(CG115/BY115&gt;2,CG115/BY115&lt;0.5),"NM",CG115/BY115*100-100))</f>
        <v>8</v>
      </c>
      <c r="CI115" s="74">
        <v>265</v>
      </c>
      <c r="CJ115" s="72">
        <f t="shared" ref="CJ115:CT120" si="717">IF(ISERROR(CI115/CA115),"NA",IF(OR(CI115/CA115&gt;2,CI115/CA115&lt;0.5),"NM",CI115/CA115*100-100))</f>
        <v>-1.4869888475836461</v>
      </c>
      <c r="CK115" s="74">
        <v>276</v>
      </c>
      <c r="CL115" s="72">
        <f t="shared" si="717"/>
        <v>9.9601593625497884</v>
      </c>
      <c r="CM115" s="74">
        <v>297</v>
      </c>
      <c r="CN115" s="72">
        <f t="shared" si="717"/>
        <v>-3.8834951456310591</v>
      </c>
      <c r="CO115" s="74">
        <v>268</v>
      </c>
      <c r="CP115" s="72">
        <f t="shared" si="717"/>
        <v>-0.74074074074074758</v>
      </c>
      <c r="CQ115" s="74">
        <v>303</v>
      </c>
      <c r="CR115" s="72">
        <f t="shared" si="717"/>
        <v>14.339622641509436</v>
      </c>
      <c r="CS115" s="74">
        <v>276</v>
      </c>
      <c r="CT115" s="72">
        <f t="shared" si="717"/>
        <v>0</v>
      </c>
      <c r="CU115" s="74">
        <v>294</v>
      </c>
      <c r="CV115" s="72">
        <f t="shared" ref="CV115:CV120" si="718">IF(ISERROR(CU115/CM115),"NA",IF(OR(CU115/CM115&gt;2,CU115/CM115&lt;0.5),"NM",CU115/CM115*100-100))</f>
        <v>-1.0101010101010104</v>
      </c>
      <c r="CW115" s="74">
        <v>350</v>
      </c>
      <c r="CX115" s="72">
        <f t="shared" ref="CX115:CX120" si="719">IF(ISERROR(CW115/CO115),"NA",IF(OR(CW115/CO115&gt;2,CW115/CO115&lt;0.5),"NM",CW115/CO115*100-100))</f>
        <v>30.597014925373145</v>
      </c>
      <c r="CY115" s="74">
        <v>299</v>
      </c>
      <c r="CZ115" s="72">
        <f t="shared" ref="CZ115:CZ120" si="720">IF(ISERROR(CY115/CQ115),"NA",IF(OR(CY115/CQ115&gt;2,CY115/CQ115&lt;0.5),"NM",CY115/CQ115*100-100))</f>
        <v>-1.3201320132013308</v>
      </c>
      <c r="DA115" s="74">
        <v>298</v>
      </c>
      <c r="DB115" s="72">
        <f t="shared" ref="DB115:DB120" si="721">IF(ISERROR(DA115/CS115),"NA",IF(OR(DA115/CS115&gt;2,DA115/CS115&lt;0.5),"NM",DA115/CS115*100-100))</f>
        <v>7.9710144927536106</v>
      </c>
      <c r="DC115" s="74">
        <v>468</v>
      </c>
      <c r="DD115" s="72">
        <f t="shared" ref="DD115:DD120" si="722">IF(ISERROR(DC115/CU115),"NA",IF(OR(DC115/CU115&gt;2,DC115/CU115&lt;0.5),"NM",DC115/CU115*100-100))</f>
        <v>59.183673469387742</v>
      </c>
      <c r="DE115" s="74">
        <v>466</v>
      </c>
      <c r="DF115" s="72">
        <f t="shared" ref="DF115:DF120" si="723">IF(ISERROR(DE115/CW115),"NA",IF(OR(DE115/CW115&gt;2,DE115/CW115&lt;0.5),"NM",DE115/CW115*100-100))</f>
        <v>33.142857142857139</v>
      </c>
      <c r="DG115" s="74">
        <f>487</f>
        <v>487</v>
      </c>
      <c r="DH115" s="72">
        <f t="shared" ref="DH115:DH120" si="724">IF(ISERROR(DG115/CY115),"NA",IF(OR(DG115/CY115&gt;2,DG115/CY115&lt;0.5),"NM",DG115/CY115*100-100))</f>
        <v>62.876254180602018</v>
      </c>
      <c r="DI115" s="74">
        <v>481</v>
      </c>
      <c r="DJ115" s="72">
        <f t="shared" ref="DJ115:DJ120" si="725">IF(ISERROR(DI115/DA115),"NA",IF(OR(DI115/DA115&gt;2,DI115/DA115&lt;0.5),"NM",DI115/DA115*100-100))</f>
        <v>61.409395973154346</v>
      </c>
      <c r="DK115" s="74">
        <v>548</v>
      </c>
      <c r="DL115" s="72">
        <f t="shared" ref="DL115:DL120" si="726">IF(ISERROR(DK115/DC115),"NA",IF(OR(DK115/DC115&gt;2,DK115/DC115&lt;0.5),"NM",DK115/DC115*100-100))</f>
        <v>17.094017094017104</v>
      </c>
      <c r="DM115" s="74">
        <v>520</v>
      </c>
      <c r="DN115" s="72">
        <f t="shared" ref="DN115:DZ120" si="727">IF(ISERROR(DM115/DE115),"NA",IF(OR(DM115/DE115&gt;2,DM115/DE115&lt;0.5),"NM",DM115/DE115*100-100))</f>
        <v>11.58798283261801</v>
      </c>
      <c r="DO115" s="74">
        <v>548</v>
      </c>
      <c r="DP115" s="72">
        <f t="shared" si="727"/>
        <v>12.525667351129371</v>
      </c>
      <c r="DQ115" s="74">
        <v>524</v>
      </c>
      <c r="DR115" s="72">
        <f t="shared" si="727"/>
        <v>8.9397089397089502</v>
      </c>
      <c r="DS115" s="74">
        <v>615</v>
      </c>
      <c r="DT115" s="72">
        <f t="shared" si="727"/>
        <v>12.226277372262786</v>
      </c>
      <c r="DU115" s="74">
        <v>540</v>
      </c>
      <c r="DV115" s="72">
        <f t="shared" si="727"/>
        <v>3.8461538461538538</v>
      </c>
      <c r="DW115" s="74">
        <v>525</v>
      </c>
      <c r="DX115" s="72">
        <f t="shared" si="727"/>
        <v>-4.1970802919708063</v>
      </c>
      <c r="DY115" s="74">
        <v>598</v>
      </c>
      <c r="DZ115" s="72">
        <f t="shared" si="727"/>
        <v>14.122137404580144</v>
      </c>
      <c r="EA115" s="74">
        <v>614</v>
      </c>
      <c r="EB115" s="72">
        <f t="shared" ref="EB115:EB120" si="728">IF(ISERROR(EA115/DS115),"NA",IF(OR(EA115/DS115&gt;2,EA115/DS115&lt;0.5),"NM",EA115/DS115*100-100))</f>
        <v>-0.16260162601625439</v>
      </c>
      <c r="EC115" s="74">
        <v>949</v>
      </c>
      <c r="ED115" s="72">
        <f t="shared" ref="ED115:ED120" si="729">IF(ISERROR(EC115/DU115),"NA",IF(OR(EC115/DU115&gt;2,EC115/DU115&lt;0.5),"NM",EC115/DU115*100-100))</f>
        <v>75.740740740740733</v>
      </c>
      <c r="EE115" s="74">
        <v>619</v>
      </c>
      <c r="EF115" s="72">
        <f t="shared" ref="EF115:EF120" si="730">IF(ISERROR(EE115/DW115),"NA",IF(OR(EE115/DW115&gt;2,EE115/DW115&lt;0.5),"NM",EE115/DW115*100-100))</f>
        <v>17.904761904761912</v>
      </c>
      <c r="EG115" s="74">
        <v>603</v>
      </c>
      <c r="EH115" s="72">
        <f t="shared" ref="EH115:EH120" si="731">IF(ISERROR(EG115/DY115),"NA",IF(OR(EG115/DY115&gt;2,EG115/DY115&lt;0.5),"NM",EG115/DY115*100-100))</f>
        <v>0.83612040133780852</v>
      </c>
      <c r="EI115" s="74">
        <v>642</v>
      </c>
      <c r="EJ115" s="72">
        <f t="shared" ref="EJ115:EJ120" si="732">IF(ISERROR(EI115/EA115),"NA",IF(OR(EI115/EA115&gt;2,EI115/EA115&lt;0.5),"NM",EI115/EA115*100-100))</f>
        <v>4.5602605863192167</v>
      </c>
      <c r="EK115" s="74">
        <v>289</v>
      </c>
      <c r="EL115" s="72" t="str">
        <f t="shared" ref="EL115:EL120" si="733">IF(ISERROR(EK115/EC115),"NA",IF(OR(EK115/EC115&gt;2,EK115/EC115&lt;0.5),"NM",EK115/EC115*100-100))</f>
        <v>NM</v>
      </c>
      <c r="EM115" s="74">
        <v>555</v>
      </c>
      <c r="EN115" s="72">
        <f t="shared" ref="EN115:EN120" si="734">IF(ISERROR(EM115/EE115),"NA",IF(OR(EM115/EE115&gt;2,EM115/EE115&lt;0.5),"NM",EM115/EE115*100-100))</f>
        <v>-10.339256865912759</v>
      </c>
      <c r="EO115" s="74">
        <v>650</v>
      </c>
      <c r="EP115" s="72">
        <f t="shared" ref="EP115:EP120" si="735">IF(ISERROR(EO115/EG115),"NA",IF(OR(EO115/EG115&gt;2,EO115/EG115&lt;0.5),"NM",EO115/EG115*100-100))</f>
        <v>7.7943615257048009</v>
      </c>
      <c r="EQ115" s="75">
        <f t="shared" ref="EQ115" si="736">EQ109*EQ123/100</f>
        <v>669.3537</v>
      </c>
      <c r="ER115" s="72">
        <f t="shared" ref="ER115:ER120" si="737">IF(ISERROR(EQ115/EI115),"NA",IF(OR(EQ115/EI115&gt;2,EQ115/EI115&lt;0.5),"NM",EQ115/EI115*100-100))</f>
        <v>4.2607009345794467</v>
      </c>
      <c r="ES115" s="75">
        <f t="shared" ref="ES115" si="738">ES109*ES123/100</f>
        <v>508.51799999999997</v>
      </c>
      <c r="ET115" s="72">
        <f t="shared" ref="ET115:ET120" si="739">IF(ISERROR(ES115/EK115),"NA",IF(OR(ES115/EK115&gt;2,ES115/EK115&lt;0.5),"NM",ES115/EK115*100-100))</f>
        <v>75.957785467128019</v>
      </c>
      <c r="EU115" s="75">
        <f t="shared" ref="EU115" si="740">EU109*EU123/100</f>
        <v>614.68399999999997</v>
      </c>
      <c r="EV115" s="72">
        <f t="shared" ref="EV115:EV120" si="741">IF(ISERROR(EU115/EM115),"NA",IF(OR(EU115/EM115&gt;2,EU115/EM115&lt;0.5),"NM",EU115/EM115*100-100))</f>
        <v>10.753873873873872</v>
      </c>
      <c r="EW115" s="75">
        <f t="shared" ref="EW115" si="742">EW109*EW123/100</f>
        <v>634.61490000000003</v>
      </c>
      <c r="EX115" s="72">
        <f t="shared" ref="EX115:EX120" si="743">IF(ISERROR(EW115/EO115),"NA",IF(OR(EW115/EO115&gt;2,EW115/EO115&lt;0.5),"NM",EW115/EO115*100-100))</f>
        <v>-2.366938461538453</v>
      </c>
      <c r="EY115" s="72"/>
      <c r="EZ115" s="307"/>
      <c r="FA115" s="72"/>
      <c r="FB115" s="74">
        <v>525</v>
      </c>
      <c r="FC115" s="72"/>
      <c r="FD115" s="74">
        <v>519</v>
      </c>
      <c r="FE115" s="72">
        <f t="shared" ref="FE115:FE120" si="744">IF(ISERROR(FD115/FB115),"NA",IF(OR(FD115/FB115&gt;2,FD115/FB115&lt;0.5),"NM",FD115/FB115*100-100))</f>
        <v>-1.1428571428571388</v>
      </c>
      <c r="FF115" s="74">
        <v>650</v>
      </c>
      <c r="FG115" s="72">
        <f t="shared" ref="FG115:FG120" si="745">IF(ISERROR(FF115/FD115),"NA",IF(OR(FF115/FD115&gt;2,FF115/FD115&lt;0.5),"NM",FF115/FD115*100-100))</f>
        <v>25.240847784200398</v>
      </c>
      <c r="FH115" s="75">
        <f>K115+M115+O115+Q115</f>
        <v>698</v>
      </c>
      <c r="FI115" s="72">
        <f t="shared" ref="FI115:FI120" si="746">IF(ISERROR(FH115/FF115),"NA",IF(OR(FH115/FF115&gt;2,FH115/FF115&lt;0.5),"NM",FH115/FF115*100-100))</f>
        <v>7.3846153846153868</v>
      </c>
      <c r="FJ115" s="75">
        <f>S115+U115+W115+Y115</f>
        <v>692</v>
      </c>
      <c r="FK115" s="72">
        <f t="shared" ref="FK115:FK120" si="747">IF(ISERROR(FJ115/FH115),"NA",IF(OR(FJ115/FH115&gt;2,FJ115/FH115&lt;0.5),"NM",FJ115/FH115*100-100))</f>
        <v>-0.85959885386819224</v>
      </c>
      <c r="FL115" s="75">
        <f>AA115+AC115+AE115+AG115</f>
        <v>790</v>
      </c>
      <c r="FM115" s="72">
        <f t="shared" ref="FM115:FM120" si="748">IF(ISERROR(FL115/FJ115),"NA",IF(OR(FL115/FJ115&gt;2,FL115/FJ115&lt;0.5),"NM",FL115/FJ115*100-100))</f>
        <v>14.161849710982665</v>
      </c>
      <c r="FN115" s="75">
        <f>AI115+AK115+AM115+AO115</f>
        <v>609</v>
      </c>
      <c r="FO115" s="72">
        <f t="shared" ref="FO115:FO120" si="749">IF(ISERROR(FN115/FL115),"NA",IF(OR(FN115/FL115&gt;2,FN115/FL115&lt;0.5),"NM",FN115/FL115*100-100))</f>
        <v>-22.911392405063296</v>
      </c>
      <c r="FP115" s="75">
        <f>AQ115+AS115+AU115+AW115</f>
        <v>631</v>
      </c>
      <c r="FQ115" s="72">
        <f t="shared" ref="FQ115:FQ120" si="750">IF(ISERROR(FP115/FN115),"NA",IF(OR(FP115/FN115&gt;2,FP115/FN115&lt;0.5),"NM",FP115/FN115*100-100))</f>
        <v>3.6124794745484365</v>
      </c>
      <c r="FR115" s="75">
        <f>AY115+BA115+BC115+BE115</f>
        <v>863</v>
      </c>
      <c r="FS115" s="72">
        <f t="shared" ref="FS115:FS120" si="751">IF(ISERROR(FR115/FP115),"NA",IF(OR(FR115/FP115&gt;2,FR115/FP115&lt;0.5),"NM",FR115/FP115*100-100))</f>
        <v>36.767036450079246</v>
      </c>
      <c r="FT115" s="75">
        <f>BG115+BI115+BK115+BM115</f>
        <v>904</v>
      </c>
      <c r="FU115" s="72">
        <f t="shared" ref="FU115:FU120" si="752">IF(ISERROR(FT115/FR115),"NA",IF(OR(FT115/FR115&gt;2,FT115/FR115&lt;0.5),"NM",FT115/FR115*100-100))</f>
        <v>4.7508690614136668</v>
      </c>
      <c r="FV115" s="75">
        <f>BO115+BQ115+BS115+BU115</f>
        <v>965</v>
      </c>
      <c r="FW115" s="72">
        <f t="shared" ref="FW115:GG120" si="753">IF(ISERROR(FV115/FT115),"NA",IF(OR(FV115/FT115&gt;2,FV115/FT115&lt;0.5),"NM",FV115/FT115*100-100))</f>
        <v>6.7477876106194685</v>
      </c>
      <c r="FX115" s="75">
        <f>BW115+BY115+CA115+CC115</f>
        <v>1042</v>
      </c>
      <c r="FY115" s="72">
        <f t="shared" si="753"/>
        <v>7.9792746113989494</v>
      </c>
      <c r="FZ115" s="75">
        <f>CE115+CG115+CI115+CK115</f>
        <v>1120</v>
      </c>
      <c r="GA115" s="72">
        <f t="shared" si="753"/>
        <v>7.485604606525925</v>
      </c>
      <c r="GB115" s="75">
        <f>CM115+CO115+CQ115+CS115</f>
        <v>1144</v>
      </c>
      <c r="GC115" s="72">
        <f t="shared" si="753"/>
        <v>2.1428571428571388</v>
      </c>
      <c r="GD115" s="75">
        <f>CU115+CW115+CY115+DA115</f>
        <v>1241</v>
      </c>
      <c r="GE115" s="72">
        <f t="shared" si="753"/>
        <v>8.479020979020973</v>
      </c>
      <c r="GF115" s="75">
        <f>DC115+DE115+DG115+DI115</f>
        <v>1902</v>
      </c>
      <c r="GG115" s="72">
        <f t="shared" si="753"/>
        <v>53.263497179693786</v>
      </c>
      <c r="GH115" s="75">
        <f>DK115+DM115+DO115+DQ115</f>
        <v>2140</v>
      </c>
      <c r="GI115" s="72">
        <f t="shared" ref="GI115:GU120" si="754">IF(ISERROR(GH115/GF115),"NA",IF(OR(GH115/GF115&gt;2,GH115/GF115&lt;0.5),"NM",GH115/GF115*100-100))</f>
        <v>12.513144058885388</v>
      </c>
      <c r="GJ115" s="75">
        <f>DS115+DU115+DW115+DY115</f>
        <v>2278</v>
      </c>
      <c r="GK115" s="72">
        <f t="shared" si="754"/>
        <v>6.448598130841134</v>
      </c>
      <c r="GL115" s="75">
        <f>EA115+EC115+EE115+EG115</f>
        <v>2785</v>
      </c>
      <c r="GM115" s="72">
        <f t="shared" si="754"/>
        <v>22.256365232660229</v>
      </c>
      <c r="GN115" s="75">
        <f>EI115+EK115+EM115+EO115</f>
        <v>2136</v>
      </c>
      <c r="GO115" s="72">
        <f t="shared" si="754"/>
        <v>-23.303411131059249</v>
      </c>
      <c r="GP115" s="75">
        <f>EQ115+ES115+EU115+EW115</f>
        <v>2427.1705999999999</v>
      </c>
      <c r="GQ115" s="72">
        <f t="shared" si="754"/>
        <v>13.631582397003754</v>
      </c>
      <c r="GR115" s="75">
        <f>GR109*GR123/100</f>
        <v>2572.8008359999994</v>
      </c>
      <c r="GS115" s="72">
        <f t="shared" si="754"/>
        <v>5.9999999999999858</v>
      </c>
      <c r="GT115" s="75">
        <f>GT109*GT123/100</f>
        <v>2727.1688861599996</v>
      </c>
      <c r="GU115" s="72">
        <f t="shared" si="754"/>
        <v>6</v>
      </c>
      <c r="GV115" s="75">
        <f>GV109*GV123/100</f>
        <v>2890.7990193295996</v>
      </c>
      <c r="GW115" s="72">
        <f t="shared" ref="GW115:GW120" si="755">IF(ISERROR(GV115/GT115),"NA",IF(OR(GV115/GT115&gt;2,GV115/GT115&lt;0.5),"NM",GV115/GT115*100-100))</f>
        <v>6</v>
      </c>
      <c r="GX115" s="75">
        <f>GX109*GX123/100</f>
        <v>3064.2469604893759</v>
      </c>
      <c r="GY115" s="72">
        <f t="shared" ref="GY115:GY120" si="756">IF(ISERROR(GX115/GV115),"NA",IF(OR(GX115/GV115&gt;2,GX115/GV115&lt;0.5),"NM",GX115/GV115*100-100))</f>
        <v>6</v>
      </c>
      <c r="GZ115" s="72">
        <f t="shared" ref="GZ115:GZ120" si="757">IF(ISERROR(((GX115/GN115)^0.2-1)*100),"NA",IF((((GX115/GN115)^0.2-1)*100)&gt;100,"NM",IF((((GX115/GN115)^0.2-1)*100)&lt;-50,"NM",((GX115/GN115)^0.2-1)*100)))</f>
        <v>7.4841690025876151</v>
      </c>
      <c r="HA115" s="72"/>
      <c r="HB115" s="72"/>
      <c r="HC115"/>
      <c r="HD115"/>
      <c r="HE115"/>
      <c r="HF115"/>
      <c r="HG115"/>
      <c r="HH115"/>
      <c r="HI115" s="2"/>
    </row>
    <row r="116" spans="1:217" s="3" customFormat="1" ht="12.75" customHeight="1" x14ac:dyDescent="0.2">
      <c r="B116" s="77" t="s">
        <v>668</v>
      </c>
      <c r="C116" s="74">
        <f>FF116-I116-G116-E116</f>
        <v>32</v>
      </c>
      <c r="D116" s="72"/>
      <c r="E116" s="74">
        <v>33</v>
      </c>
      <c r="F116" s="72"/>
      <c r="G116" s="74">
        <v>33</v>
      </c>
      <c r="H116" s="72"/>
      <c r="I116" s="74">
        <v>33</v>
      </c>
      <c r="J116" s="72"/>
      <c r="K116" s="74">
        <v>35</v>
      </c>
      <c r="L116" s="72">
        <f t="shared" si="691"/>
        <v>9.375</v>
      </c>
      <c r="M116" s="74">
        <v>34</v>
      </c>
      <c r="N116" s="72">
        <f t="shared" si="692"/>
        <v>3.0303030303030312</v>
      </c>
      <c r="O116" s="74">
        <v>33</v>
      </c>
      <c r="P116" s="72">
        <f t="shared" si="693"/>
        <v>0</v>
      </c>
      <c r="Q116" s="74">
        <v>35</v>
      </c>
      <c r="R116" s="72">
        <f t="shared" si="694"/>
        <v>6.0606060606060623</v>
      </c>
      <c r="S116" s="74">
        <v>33</v>
      </c>
      <c r="T116" s="72">
        <f t="shared" si="694"/>
        <v>-5.7142857142857224</v>
      </c>
      <c r="U116" s="74">
        <v>36</v>
      </c>
      <c r="V116" s="72">
        <f t="shared" si="694"/>
        <v>5.8823529411764781</v>
      </c>
      <c r="W116" s="74">
        <v>37</v>
      </c>
      <c r="X116" s="72">
        <f t="shared" si="694"/>
        <v>12.12121212121211</v>
      </c>
      <c r="Y116" s="74">
        <v>37</v>
      </c>
      <c r="Z116" s="72">
        <f t="shared" si="694"/>
        <v>5.7142857142857224</v>
      </c>
      <c r="AA116" s="74">
        <v>36</v>
      </c>
      <c r="AB116" s="72">
        <f t="shared" si="694"/>
        <v>9.0909090909090793</v>
      </c>
      <c r="AC116" s="74">
        <v>38</v>
      </c>
      <c r="AD116" s="72">
        <f t="shared" si="694"/>
        <v>5.5555555555555571</v>
      </c>
      <c r="AE116" s="74">
        <v>39</v>
      </c>
      <c r="AF116" s="72">
        <f t="shared" si="694"/>
        <v>5.4054054054053893</v>
      </c>
      <c r="AG116" s="74">
        <v>39</v>
      </c>
      <c r="AH116" s="72">
        <f t="shared" si="694"/>
        <v>5.4054054054053893</v>
      </c>
      <c r="AI116" s="74">
        <v>39</v>
      </c>
      <c r="AJ116" s="72">
        <f t="shared" si="694"/>
        <v>8.3333333333333286</v>
      </c>
      <c r="AK116" s="74">
        <v>41</v>
      </c>
      <c r="AL116" s="72">
        <f t="shared" si="694"/>
        <v>7.8947368421052602</v>
      </c>
      <c r="AM116" s="74">
        <v>42</v>
      </c>
      <c r="AN116" s="72">
        <f t="shared" si="694"/>
        <v>7.6923076923076934</v>
      </c>
      <c r="AO116" s="74">
        <v>43</v>
      </c>
      <c r="AP116" s="72">
        <f t="shared" si="694"/>
        <v>10.256410256410263</v>
      </c>
      <c r="AQ116" s="74">
        <v>42</v>
      </c>
      <c r="AR116" s="72">
        <f t="shared" si="695"/>
        <v>7.6923076923076934</v>
      </c>
      <c r="AS116" s="74">
        <v>44</v>
      </c>
      <c r="AT116" s="72">
        <f t="shared" si="696"/>
        <v>7.3170731707317174</v>
      </c>
      <c r="AU116" s="74">
        <v>43</v>
      </c>
      <c r="AV116" s="72">
        <f t="shared" si="697"/>
        <v>2.3809523809523796</v>
      </c>
      <c r="AW116" s="74">
        <v>48</v>
      </c>
      <c r="AX116" s="72">
        <f t="shared" si="698"/>
        <v>11.627906976744185</v>
      </c>
      <c r="AY116" s="74">
        <v>48</v>
      </c>
      <c r="AZ116" s="72">
        <f t="shared" si="699"/>
        <v>14.285714285714278</v>
      </c>
      <c r="BA116" s="74">
        <v>50</v>
      </c>
      <c r="BB116" s="72">
        <f t="shared" si="700"/>
        <v>13.63636363636364</v>
      </c>
      <c r="BC116" s="74">
        <v>51</v>
      </c>
      <c r="BD116" s="72">
        <f t="shared" si="701"/>
        <v>18.604651162790702</v>
      </c>
      <c r="BE116" s="74">
        <v>54</v>
      </c>
      <c r="BF116" s="72">
        <f t="shared" si="702"/>
        <v>12.5</v>
      </c>
      <c r="BG116" s="74">
        <v>54</v>
      </c>
      <c r="BH116" s="72">
        <f t="shared" si="703"/>
        <v>12.5</v>
      </c>
      <c r="BI116" s="74">
        <v>54</v>
      </c>
      <c r="BJ116" s="72">
        <f t="shared" si="704"/>
        <v>8</v>
      </c>
      <c r="BK116" s="74">
        <v>54</v>
      </c>
      <c r="BL116" s="72">
        <f t="shared" si="705"/>
        <v>5.8823529411764781</v>
      </c>
      <c r="BM116" s="74">
        <v>56</v>
      </c>
      <c r="BN116" s="72">
        <f t="shared" si="706"/>
        <v>3.7037037037036953</v>
      </c>
      <c r="BO116" s="74">
        <v>55</v>
      </c>
      <c r="BP116" s="72">
        <f t="shared" si="707"/>
        <v>1.8518518518518619</v>
      </c>
      <c r="BQ116" s="74">
        <v>57</v>
      </c>
      <c r="BR116" s="72">
        <f t="shared" si="708"/>
        <v>5.5555555555555571</v>
      </c>
      <c r="BS116" s="74">
        <v>59</v>
      </c>
      <c r="BT116" s="72">
        <f t="shared" si="709"/>
        <v>9.2592592592592524</v>
      </c>
      <c r="BU116" s="74">
        <v>60</v>
      </c>
      <c r="BV116" s="72">
        <f t="shared" si="710"/>
        <v>7.1428571428571388</v>
      </c>
      <c r="BW116" s="74">
        <v>62</v>
      </c>
      <c r="BX116" s="72">
        <f t="shared" si="711"/>
        <v>12.72727272727272</v>
      </c>
      <c r="BY116" s="74">
        <v>65</v>
      </c>
      <c r="BZ116" s="72">
        <f t="shared" si="712"/>
        <v>14.035087719298247</v>
      </c>
      <c r="CA116" s="74">
        <v>68</v>
      </c>
      <c r="CB116" s="72">
        <f t="shared" si="713"/>
        <v>15.254237288135599</v>
      </c>
      <c r="CC116" s="74">
        <v>68</v>
      </c>
      <c r="CD116" s="72">
        <f t="shared" si="714"/>
        <v>13.333333333333329</v>
      </c>
      <c r="CE116" s="74">
        <v>69</v>
      </c>
      <c r="CF116" s="72">
        <f t="shared" si="715"/>
        <v>11.290322580645153</v>
      </c>
      <c r="CG116" s="74">
        <v>70</v>
      </c>
      <c r="CH116" s="72">
        <f t="shared" si="716"/>
        <v>7.6923076923076934</v>
      </c>
      <c r="CI116" s="74">
        <v>73</v>
      </c>
      <c r="CJ116" s="72">
        <f t="shared" si="717"/>
        <v>7.3529411764705799</v>
      </c>
      <c r="CK116" s="74">
        <v>72</v>
      </c>
      <c r="CL116" s="72">
        <f t="shared" si="717"/>
        <v>5.8823529411764781</v>
      </c>
      <c r="CM116" s="74">
        <v>71</v>
      </c>
      <c r="CN116" s="72">
        <f t="shared" si="717"/>
        <v>2.8985507246376727</v>
      </c>
      <c r="CO116" s="74">
        <v>74</v>
      </c>
      <c r="CP116" s="72">
        <f t="shared" si="717"/>
        <v>5.7142857142857224</v>
      </c>
      <c r="CQ116" s="74">
        <v>77</v>
      </c>
      <c r="CR116" s="72">
        <f t="shared" si="717"/>
        <v>5.4794520547945211</v>
      </c>
      <c r="CS116" s="74">
        <v>77</v>
      </c>
      <c r="CT116" s="72">
        <f t="shared" si="717"/>
        <v>6.9444444444444429</v>
      </c>
      <c r="CU116" s="74">
        <v>77</v>
      </c>
      <c r="CV116" s="72">
        <f t="shared" si="718"/>
        <v>8.4507042253521263</v>
      </c>
      <c r="CW116" s="74">
        <v>81</v>
      </c>
      <c r="CX116" s="72">
        <f t="shared" si="719"/>
        <v>9.4594594594594525</v>
      </c>
      <c r="CY116" s="74">
        <v>83</v>
      </c>
      <c r="CZ116" s="72">
        <f t="shared" si="720"/>
        <v>7.7922077922077904</v>
      </c>
      <c r="DA116" s="74">
        <v>88</v>
      </c>
      <c r="DB116" s="72">
        <f t="shared" si="721"/>
        <v>14.285714285714278</v>
      </c>
      <c r="DC116" s="74">
        <v>136</v>
      </c>
      <c r="DD116" s="72">
        <f t="shared" si="722"/>
        <v>76.623376623376629</v>
      </c>
      <c r="DE116" s="74">
        <v>145</v>
      </c>
      <c r="DF116" s="72">
        <f t="shared" si="723"/>
        <v>79.012345679012356</v>
      </c>
      <c r="DG116" s="74">
        <v>149</v>
      </c>
      <c r="DH116" s="72">
        <f t="shared" si="724"/>
        <v>79.518072289156606</v>
      </c>
      <c r="DI116" s="74">
        <v>146</v>
      </c>
      <c r="DJ116" s="72">
        <f t="shared" si="725"/>
        <v>65.909090909090907</v>
      </c>
      <c r="DK116" s="74">
        <v>149</v>
      </c>
      <c r="DL116" s="72">
        <f t="shared" si="726"/>
        <v>9.558823529411768</v>
      </c>
      <c r="DM116" s="74">
        <v>151</v>
      </c>
      <c r="DN116" s="72">
        <f t="shared" si="727"/>
        <v>4.1379310344827616</v>
      </c>
      <c r="DO116" s="74">
        <v>152</v>
      </c>
      <c r="DP116" s="72">
        <f t="shared" si="727"/>
        <v>2.0134228187919518</v>
      </c>
      <c r="DQ116" s="74">
        <v>154</v>
      </c>
      <c r="DR116" s="72">
        <f t="shared" si="727"/>
        <v>5.4794520547945211</v>
      </c>
      <c r="DS116" s="74">
        <v>155</v>
      </c>
      <c r="DT116" s="72">
        <f t="shared" si="727"/>
        <v>4.0268456375838895</v>
      </c>
      <c r="DU116" s="74">
        <v>160</v>
      </c>
      <c r="DV116" s="72">
        <f t="shared" si="727"/>
        <v>5.9602649006622528</v>
      </c>
      <c r="DW116" s="74">
        <v>165</v>
      </c>
      <c r="DX116" s="72">
        <f t="shared" si="727"/>
        <v>8.5526315789473699</v>
      </c>
      <c r="DY116" s="74">
        <v>164</v>
      </c>
      <c r="DZ116" s="72">
        <f t="shared" si="727"/>
        <v>6.4935064935064872</v>
      </c>
      <c r="EA116" s="74">
        <v>164</v>
      </c>
      <c r="EB116" s="72">
        <f t="shared" si="728"/>
        <v>5.8064516129032313</v>
      </c>
      <c r="EC116" s="74">
        <v>169</v>
      </c>
      <c r="ED116" s="72">
        <f t="shared" si="729"/>
        <v>5.6249999999999858</v>
      </c>
      <c r="EE116" s="74">
        <v>171</v>
      </c>
      <c r="EF116" s="72">
        <f t="shared" si="730"/>
        <v>3.6363636363636402</v>
      </c>
      <c r="EG116" s="74">
        <v>176</v>
      </c>
      <c r="EH116" s="72">
        <f t="shared" si="731"/>
        <v>7.3170731707317174</v>
      </c>
      <c r="EI116" s="74">
        <v>176</v>
      </c>
      <c r="EJ116" s="72">
        <f t="shared" si="732"/>
        <v>7.3170731707317174</v>
      </c>
      <c r="EK116" s="74">
        <v>178</v>
      </c>
      <c r="EL116" s="72">
        <f t="shared" si="733"/>
        <v>5.3254437869822482</v>
      </c>
      <c r="EM116" s="74">
        <v>182</v>
      </c>
      <c r="EN116" s="72">
        <f t="shared" si="734"/>
        <v>6.4327485380117082</v>
      </c>
      <c r="EO116" s="74">
        <v>183</v>
      </c>
      <c r="EP116" s="72">
        <f t="shared" si="735"/>
        <v>3.9772727272727337</v>
      </c>
      <c r="EQ116" s="75">
        <f t="shared" ref="EQ116" si="758">EQ110*EQ124/100</f>
        <v>182.78369999999998</v>
      </c>
      <c r="ER116" s="72">
        <f t="shared" si="737"/>
        <v>3.8543749999999903</v>
      </c>
      <c r="ES116" s="75">
        <f t="shared" ref="ES116" si="759">ES110*ES124/100</f>
        <v>184.61153700000003</v>
      </c>
      <c r="ET116" s="72">
        <f t="shared" si="739"/>
        <v>3.7143466292135088</v>
      </c>
      <c r="EU116" s="75">
        <f t="shared" ref="EU116" si="760">EU110*EU124/100</f>
        <v>186.45765237000001</v>
      </c>
      <c r="EV116" s="72">
        <f t="shared" si="741"/>
        <v>2.4492595439560461</v>
      </c>
      <c r="EW116" s="75">
        <f t="shared" ref="EW116" si="761">EW110*EW124/100</f>
        <v>188.32222889370001</v>
      </c>
      <c r="EX116" s="72">
        <f t="shared" si="743"/>
        <v>2.9083217998360738</v>
      </c>
      <c r="EY116" s="72"/>
      <c r="EZ116" s="307"/>
      <c r="FA116" s="72"/>
      <c r="FB116" s="74">
        <v>117</v>
      </c>
      <c r="FC116" s="72"/>
      <c r="FD116" s="74">
        <v>126</v>
      </c>
      <c r="FE116" s="72">
        <f t="shared" si="744"/>
        <v>7.6923076923076934</v>
      </c>
      <c r="FF116" s="74">
        <v>131</v>
      </c>
      <c r="FG116" s="72">
        <f t="shared" si="745"/>
        <v>3.9682539682539755</v>
      </c>
      <c r="FH116" s="75">
        <f>K116+M116+O116+Q116</f>
        <v>137</v>
      </c>
      <c r="FI116" s="72">
        <f t="shared" si="746"/>
        <v>4.5801526717557266</v>
      </c>
      <c r="FJ116" s="75">
        <f>S116+U116+W116+Y116</f>
        <v>143</v>
      </c>
      <c r="FK116" s="72">
        <f t="shared" si="747"/>
        <v>4.379562043795616</v>
      </c>
      <c r="FL116" s="75">
        <f>AA116+AC116+AE116+AG116</f>
        <v>152</v>
      </c>
      <c r="FM116" s="72">
        <f t="shared" si="748"/>
        <v>6.2937062937062933</v>
      </c>
      <c r="FN116" s="75">
        <f>AI116+AK116+AM116+AO116</f>
        <v>165</v>
      </c>
      <c r="FO116" s="72">
        <f t="shared" si="749"/>
        <v>8.5526315789473699</v>
      </c>
      <c r="FP116" s="75">
        <f>AQ116+AS116+AU116+AW116</f>
        <v>177</v>
      </c>
      <c r="FQ116" s="72">
        <f t="shared" si="750"/>
        <v>7.2727272727272805</v>
      </c>
      <c r="FR116" s="75">
        <f>AY116+BA116+BC116+BE116</f>
        <v>203</v>
      </c>
      <c r="FS116" s="72">
        <f t="shared" si="751"/>
        <v>14.689265536723155</v>
      </c>
      <c r="FT116" s="75">
        <f>BG116+BI116+BK116+BM116</f>
        <v>218</v>
      </c>
      <c r="FU116" s="72">
        <f t="shared" si="752"/>
        <v>7.3891625615763559</v>
      </c>
      <c r="FV116" s="75">
        <f>BO116+BQ116+BS116+BU116</f>
        <v>231</v>
      </c>
      <c r="FW116" s="72">
        <f t="shared" si="753"/>
        <v>5.963302752293572</v>
      </c>
      <c r="FX116" s="75">
        <f>BW116+BY116+CA116+CC116</f>
        <v>263</v>
      </c>
      <c r="FY116" s="72">
        <f t="shared" si="753"/>
        <v>13.852813852813853</v>
      </c>
      <c r="FZ116" s="75">
        <f>CE116+CG116+CI116+CK116</f>
        <v>284</v>
      </c>
      <c r="GA116" s="72">
        <f t="shared" si="753"/>
        <v>7.9847908745247054</v>
      </c>
      <c r="GB116" s="75">
        <f>CM116+CO116+CQ116+CS116</f>
        <v>299</v>
      </c>
      <c r="GC116" s="72">
        <f t="shared" si="753"/>
        <v>5.2816901408450718</v>
      </c>
      <c r="GD116" s="75">
        <f>CU116+CW116+CY116+DA116</f>
        <v>329</v>
      </c>
      <c r="GE116" s="72">
        <f t="shared" si="753"/>
        <v>10.033444816053503</v>
      </c>
      <c r="GF116" s="75">
        <f>DC116+DE116+DG116+DI116</f>
        <v>576</v>
      </c>
      <c r="GG116" s="72">
        <f t="shared" si="753"/>
        <v>75.075987841945278</v>
      </c>
      <c r="GH116" s="75">
        <f>DK116+DM116+DO116+DQ116</f>
        <v>606</v>
      </c>
      <c r="GI116" s="72">
        <f t="shared" si="754"/>
        <v>5.2083333333333286</v>
      </c>
      <c r="GJ116" s="75">
        <f>DS116+DU116+DW116+DY116</f>
        <v>644</v>
      </c>
      <c r="GK116" s="72">
        <f t="shared" si="754"/>
        <v>6.2706270627062679</v>
      </c>
      <c r="GL116" s="75">
        <f>EA116+EC116+EE116+EG116</f>
        <v>680</v>
      </c>
      <c r="GM116" s="72">
        <f t="shared" si="754"/>
        <v>5.5900621118012452</v>
      </c>
      <c r="GN116" s="75">
        <f>EI116+EK116+EM116+EO116</f>
        <v>719</v>
      </c>
      <c r="GO116" s="72">
        <f t="shared" si="754"/>
        <v>5.735294117647058</v>
      </c>
      <c r="GP116" s="75">
        <f>EQ116+ES116+EU116+EW116</f>
        <v>742.17511826369991</v>
      </c>
      <c r="GQ116" s="72">
        <f t="shared" si="754"/>
        <v>3.223243152114037</v>
      </c>
      <c r="GR116" s="75">
        <f>GR110*GR124/100</f>
        <v>782.29269222389996</v>
      </c>
      <c r="GS116" s="72">
        <f t="shared" si="754"/>
        <v>5.4054054054054177</v>
      </c>
      <c r="GT116" s="75">
        <f>GT110*GT124/100</f>
        <v>824.43219191169408</v>
      </c>
      <c r="GU116" s="72">
        <f t="shared" si="754"/>
        <v>5.3866666666666703</v>
      </c>
      <c r="GV116" s="75">
        <f>GV110*GV124/100</f>
        <v>861.9221610596785</v>
      </c>
      <c r="GW116" s="72">
        <f t="shared" si="755"/>
        <v>4.5473684210526386</v>
      </c>
      <c r="GX116" s="75">
        <f>GX110*GX124/100</f>
        <v>901.09223623244293</v>
      </c>
      <c r="GY116" s="72">
        <f t="shared" si="756"/>
        <v>4.5445026178010437</v>
      </c>
      <c r="GZ116" s="72">
        <f t="shared" si="757"/>
        <v>4.6183994482946966</v>
      </c>
      <c r="HA116" s="72"/>
      <c r="HB116" s="72"/>
      <c r="HC116"/>
      <c r="HD116"/>
      <c r="HE116"/>
      <c r="HF116"/>
      <c r="HG116"/>
      <c r="HH116"/>
      <c r="HI116" s="2"/>
    </row>
    <row r="117" spans="1:217" s="3" customFormat="1" ht="12.75" customHeight="1" x14ac:dyDescent="0.2">
      <c r="B117" s="77" t="s">
        <v>271</v>
      </c>
      <c r="C117" s="74">
        <f>FF117-I117-G117-E117</f>
        <v>0</v>
      </c>
      <c r="D117" s="72"/>
      <c r="E117" s="74">
        <v>0</v>
      </c>
      <c r="F117" s="72"/>
      <c r="G117" s="74">
        <v>0</v>
      </c>
      <c r="H117" s="72"/>
      <c r="I117" s="74">
        <v>10</v>
      </c>
      <c r="J117" s="72"/>
      <c r="K117" s="74">
        <v>0</v>
      </c>
      <c r="L117" s="72" t="str">
        <f t="shared" si="691"/>
        <v>NA</v>
      </c>
      <c r="M117" s="74">
        <v>1</v>
      </c>
      <c r="N117" s="72" t="str">
        <f t="shared" si="692"/>
        <v>NA</v>
      </c>
      <c r="O117" s="74">
        <v>0</v>
      </c>
      <c r="P117" s="72" t="str">
        <f t="shared" si="693"/>
        <v>NA</v>
      </c>
      <c r="Q117" s="74">
        <v>-1</v>
      </c>
      <c r="R117" s="72" t="str">
        <f t="shared" si="694"/>
        <v>NM</v>
      </c>
      <c r="S117" s="74">
        <v>0</v>
      </c>
      <c r="T117" s="72" t="str">
        <f t="shared" si="694"/>
        <v>NA</v>
      </c>
      <c r="U117" s="74">
        <v>0</v>
      </c>
      <c r="V117" s="72" t="str">
        <f t="shared" si="694"/>
        <v>NM</v>
      </c>
      <c r="W117" s="74">
        <v>-1</v>
      </c>
      <c r="X117" s="72" t="str">
        <f t="shared" si="694"/>
        <v>NA</v>
      </c>
      <c r="Y117" s="74">
        <v>-1</v>
      </c>
      <c r="Z117" s="72">
        <f t="shared" si="694"/>
        <v>0</v>
      </c>
      <c r="AA117" s="74">
        <v>-1</v>
      </c>
      <c r="AB117" s="72" t="str">
        <f t="shared" si="694"/>
        <v>NA</v>
      </c>
      <c r="AC117" s="74">
        <v>-1</v>
      </c>
      <c r="AD117" s="72" t="str">
        <f t="shared" si="694"/>
        <v>NA</v>
      </c>
      <c r="AE117" s="74">
        <v>0</v>
      </c>
      <c r="AF117" s="72" t="str">
        <f t="shared" si="694"/>
        <v>NM</v>
      </c>
      <c r="AG117" s="74">
        <v>-1</v>
      </c>
      <c r="AH117" s="72">
        <f t="shared" si="694"/>
        <v>0</v>
      </c>
      <c r="AI117" s="74">
        <v>0</v>
      </c>
      <c r="AJ117" s="72" t="str">
        <f t="shared" si="694"/>
        <v>NM</v>
      </c>
      <c r="AK117" s="74">
        <v>0</v>
      </c>
      <c r="AL117" s="72" t="str">
        <f t="shared" si="694"/>
        <v>NM</v>
      </c>
      <c r="AM117" s="74">
        <v>3</v>
      </c>
      <c r="AN117" s="72" t="str">
        <f t="shared" si="694"/>
        <v>NA</v>
      </c>
      <c r="AO117" s="74">
        <v>12</v>
      </c>
      <c r="AP117" s="72" t="str">
        <f t="shared" si="694"/>
        <v>NM</v>
      </c>
      <c r="AQ117" s="74">
        <v>15</v>
      </c>
      <c r="AR117" s="72" t="str">
        <f t="shared" si="695"/>
        <v>NA</v>
      </c>
      <c r="AS117" s="74">
        <v>15</v>
      </c>
      <c r="AT117" s="72" t="str">
        <f t="shared" si="696"/>
        <v>NA</v>
      </c>
      <c r="AU117" s="74">
        <v>18</v>
      </c>
      <c r="AV117" s="72" t="str">
        <f t="shared" si="697"/>
        <v>NM</v>
      </c>
      <c r="AW117" s="74">
        <v>18</v>
      </c>
      <c r="AX117" s="72">
        <f t="shared" si="698"/>
        <v>50</v>
      </c>
      <c r="AY117" s="74">
        <v>17</v>
      </c>
      <c r="AZ117" s="72">
        <f t="shared" si="699"/>
        <v>13.333333333333329</v>
      </c>
      <c r="BA117" s="74">
        <v>18</v>
      </c>
      <c r="BB117" s="72">
        <f t="shared" si="700"/>
        <v>20</v>
      </c>
      <c r="BC117" s="74">
        <v>20</v>
      </c>
      <c r="BD117" s="72">
        <f t="shared" si="701"/>
        <v>11.111111111111114</v>
      </c>
      <c r="BE117" s="74">
        <v>27</v>
      </c>
      <c r="BF117" s="72">
        <f t="shared" si="702"/>
        <v>50</v>
      </c>
      <c r="BG117" s="74">
        <v>38</v>
      </c>
      <c r="BH117" s="72" t="str">
        <f t="shared" si="703"/>
        <v>NM</v>
      </c>
      <c r="BI117" s="74">
        <v>37</v>
      </c>
      <c r="BJ117" s="72" t="str">
        <f t="shared" si="704"/>
        <v>NM</v>
      </c>
      <c r="BK117" s="74">
        <v>41</v>
      </c>
      <c r="BL117" s="72" t="str">
        <f t="shared" si="705"/>
        <v>NM</v>
      </c>
      <c r="BM117" s="74">
        <v>49</v>
      </c>
      <c r="BN117" s="72">
        <f t="shared" si="706"/>
        <v>81.481481481481495</v>
      </c>
      <c r="BO117" s="74">
        <v>52</v>
      </c>
      <c r="BP117" s="72">
        <f t="shared" si="707"/>
        <v>36.84210526315789</v>
      </c>
      <c r="BQ117" s="74">
        <v>49</v>
      </c>
      <c r="BR117" s="72">
        <f t="shared" si="708"/>
        <v>32.432432432432421</v>
      </c>
      <c r="BS117" s="74">
        <v>51</v>
      </c>
      <c r="BT117" s="72">
        <f t="shared" si="709"/>
        <v>24.390243902439025</v>
      </c>
      <c r="BU117" s="74">
        <v>62</v>
      </c>
      <c r="BV117" s="72">
        <f t="shared" si="710"/>
        <v>26.530612244897966</v>
      </c>
      <c r="BW117" s="74">
        <v>51</v>
      </c>
      <c r="BX117" s="72">
        <f t="shared" si="711"/>
        <v>-1.923076923076934</v>
      </c>
      <c r="BY117" s="74">
        <v>47</v>
      </c>
      <c r="BZ117" s="72">
        <f t="shared" si="712"/>
        <v>-4.0816326530612344</v>
      </c>
      <c r="CA117" s="74">
        <v>42</v>
      </c>
      <c r="CB117" s="72">
        <f t="shared" si="713"/>
        <v>-17.64705882352942</v>
      </c>
      <c r="CC117" s="74">
        <v>41</v>
      </c>
      <c r="CD117" s="72">
        <f t="shared" si="714"/>
        <v>-33.870967741935488</v>
      </c>
      <c r="CE117" s="74">
        <v>35</v>
      </c>
      <c r="CF117" s="72">
        <f t="shared" si="715"/>
        <v>-31.372549019607845</v>
      </c>
      <c r="CG117" s="74">
        <v>37</v>
      </c>
      <c r="CH117" s="72">
        <f t="shared" si="716"/>
        <v>-21.276595744680847</v>
      </c>
      <c r="CI117" s="74">
        <v>45</v>
      </c>
      <c r="CJ117" s="72">
        <f t="shared" si="717"/>
        <v>7.1428571428571388</v>
      </c>
      <c r="CK117" s="74">
        <v>45</v>
      </c>
      <c r="CL117" s="72">
        <f t="shared" si="717"/>
        <v>9.7560975609756184</v>
      </c>
      <c r="CM117" s="74">
        <v>45</v>
      </c>
      <c r="CN117" s="72">
        <f t="shared" si="717"/>
        <v>28.571428571428584</v>
      </c>
      <c r="CO117" s="74">
        <v>48</v>
      </c>
      <c r="CP117" s="72">
        <f t="shared" si="717"/>
        <v>29.72972972972974</v>
      </c>
      <c r="CQ117" s="74">
        <v>48</v>
      </c>
      <c r="CR117" s="72">
        <f t="shared" si="717"/>
        <v>6.6666666666666714</v>
      </c>
      <c r="CS117" s="74">
        <v>73</v>
      </c>
      <c r="CT117" s="72">
        <f t="shared" si="717"/>
        <v>62.222222222222229</v>
      </c>
      <c r="CU117" s="74">
        <v>77</v>
      </c>
      <c r="CV117" s="72">
        <f t="shared" si="718"/>
        <v>71.111111111111114</v>
      </c>
      <c r="CW117" s="74">
        <v>78</v>
      </c>
      <c r="CX117" s="72">
        <f t="shared" si="719"/>
        <v>62.5</v>
      </c>
      <c r="CY117" s="74">
        <v>80</v>
      </c>
      <c r="CZ117" s="72">
        <f t="shared" si="720"/>
        <v>66.666666666666686</v>
      </c>
      <c r="DA117" s="74">
        <v>81</v>
      </c>
      <c r="DB117" s="72">
        <f t="shared" si="721"/>
        <v>10.958904109589042</v>
      </c>
      <c r="DC117" s="74">
        <v>94</v>
      </c>
      <c r="DD117" s="72">
        <f t="shared" si="722"/>
        <v>22.077922077922068</v>
      </c>
      <c r="DE117" s="74">
        <v>95</v>
      </c>
      <c r="DF117" s="72">
        <f t="shared" si="723"/>
        <v>21.794871794871781</v>
      </c>
      <c r="DG117" s="74">
        <v>108</v>
      </c>
      <c r="DH117" s="72">
        <f t="shared" si="724"/>
        <v>35</v>
      </c>
      <c r="DI117" s="74">
        <v>110</v>
      </c>
      <c r="DJ117" s="72">
        <f t="shared" si="725"/>
        <v>35.802469135802482</v>
      </c>
      <c r="DK117" s="74">
        <v>122</v>
      </c>
      <c r="DL117" s="72">
        <f t="shared" si="726"/>
        <v>29.787234042553195</v>
      </c>
      <c r="DM117" s="74">
        <v>127</v>
      </c>
      <c r="DN117" s="72">
        <f t="shared" si="727"/>
        <v>33.68421052631578</v>
      </c>
      <c r="DO117" s="74">
        <v>146</v>
      </c>
      <c r="DP117" s="72">
        <f t="shared" si="727"/>
        <v>35.18518518518519</v>
      </c>
      <c r="DQ117" s="74">
        <v>138</v>
      </c>
      <c r="DR117" s="72">
        <f t="shared" si="727"/>
        <v>25.454545454545467</v>
      </c>
      <c r="DS117" s="74">
        <v>134</v>
      </c>
      <c r="DT117" s="72">
        <f t="shared" si="727"/>
        <v>9.8360655737704974</v>
      </c>
      <c r="DU117" s="74">
        <v>137</v>
      </c>
      <c r="DV117" s="72">
        <f t="shared" si="727"/>
        <v>7.8740157480315105</v>
      </c>
      <c r="DW117" s="74">
        <v>140</v>
      </c>
      <c r="DX117" s="72">
        <f t="shared" si="727"/>
        <v>-4.1095890410959015</v>
      </c>
      <c r="DY117" s="74">
        <v>139</v>
      </c>
      <c r="DZ117" s="72">
        <f t="shared" si="727"/>
        <v>0.72463768115942173</v>
      </c>
      <c r="EA117" s="74">
        <v>141</v>
      </c>
      <c r="EB117" s="727">
        <f t="shared" si="728"/>
        <v>5.2238805970149258</v>
      </c>
      <c r="EC117" s="74">
        <v>145</v>
      </c>
      <c r="ED117" s="727">
        <f t="shared" si="729"/>
        <v>5.8394160583941499</v>
      </c>
      <c r="EE117" s="74">
        <v>146</v>
      </c>
      <c r="EF117" s="727">
        <f t="shared" si="730"/>
        <v>4.2857142857142918</v>
      </c>
      <c r="EG117" s="74">
        <v>151</v>
      </c>
      <c r="EH117" s="72">
        <f t="shared" si="731"/>
        <v>8.6330935251798451</v>
      </c>
      <c r="EI117" s="74">
        <v>156</v>
      </c>
      <c r="EJ117" s="72">
        <f t="shared" si="732"/>
        <v>10.638297872340431</v>
      </c>
      <c r="EK117" s="74">
        <v>162</v>
      </c>
      <c r="EL117" s="72">
        <f t="shared" si="733"/>
        <v>11.724137931034477</v>
      </c>
      <c r="EM117" s="74">
        <v>163</v>
      </c>
      <c r="EN117" s="72">
        <f t="shared" si="734"/>
        <v>11.643835616438352</v>
      </c>
      <c r="EO117" s="74">
        <v>167</v>
      </c>
      <c r="EP117" s="72">
        <f t="shared" si="735"/>
        <v>10.596026490066237</v>
      </c>
      <c r="EQ117" s="74">
        <f t="shared" ref="EQ117" si="762">EI117*1.05</f>
        <v>163.80000000000001</v>
      </c>
      <c r="ER117" s="72">
        <f t="shared" si="737"/>
        <v>5</v>
      </c>
      <c r="ES117" s="74">
        <f t="shared" ref="ES117" si="763">EK117*1.05</f>
        <v>170.1</v>
      </c>
      <c r="ET117" s="72">
        <f t="shared" si="739"/>
        <v>5</v>
      </c>
      <c r="EU117" s="74">
        <f t="shared" ref="EU117" si="764">EM117*1.05</f>
        <v>171.15</v>
      </c>
      <c r="EV117" s="72">
        <f t="shared" si="741"/>
        <v>5</v>
      </c>
      <c r="EW117" s="74">
        <f t="shared" ref="EW117" si="765">EO117*1.05</f>
        <v>175.35</v>
      </c>
      <c r="EX117" s="72">
        <f t="shared" si="743"/>
        <v>5</v>
      </c>
      <c r="EY117" s="72"/>
      <c r="EZ117" s="306"/>
      <c r="FA117" s="72"/>
      <c r="FB117" s="74">
        <v>4</v>
      </c>
      <c r="FC117" s="72"/>
      <c r="FD117" s="74">
        <v>4</v>
      </c>
      <c r="FE117" s="72">
        <f t="shared" si="744"/>
        <v>0</v>
      </c>
      <c r="FF117" s="74">
        <v>10</v>
      </c>
      <c r="FG117" s="72" t="str">
        <f t="shared" si="745"/>
        <v>NM</v>
      </c>
      <c r="FH117" s="75">
        <f>K117+M117+O117+Q117</f>
        <v>0</v>
      </c>
      <c r="FI117" s="72" t="str">
        <f t="shared" si="746"/>
        <v>NM</v>
      </c>
      <c r="FJ117" s="75">
        <f>S117+U117+W117+Y117</f>
        <v>-2</v>
      </c>
      <c r="FK117" s="72" t="str">
        <f t="shared" si="747"/>
        <v>NA</v>
      </c>
      <c r="FL117" s="75">
        <f>AA117+AC117+AE117+AG117</f>
        <v>-3</v>
      </c>
      <c r="FM117" s="72">
        <f t="shared" si="748"/>
        <v>50</v>
      </c>
      <c r="FN117" s="75">
        <f>AI117+AK117+AM117+AO117</f>
        <v>15</v>
      </c>
      <c r="FO117" s="72" t="str">
        <f t="shared" si="749"/>
        <v>NM</v>
      </c>
      <c r="FP117" s="75">
        <f>AQ117+AS117+AU117+AW117</f>
        <v>66</v>
      </c>
      <c r="FQ117" s="72" t="str">
        <f t="shared" si="750"/>
        <v>NM</v>
      </c>
      <c r="FR117" s="75">
        <f>AY117+BA117+BC117+BE117</f>
        <v>82</v>
      </c>
      <c r="FS117" s="72">
        <f t="shared" si="751"/>
        <v>24.242424242424249</v>
      </c>
      <c r="FT117" s="75">
        <f>BG117+BI117+BK117+BM117</f>
        <v>165</v>
      </c>
      <c r="FU117" s="72" t="str">
        <f t="shared" si="752"/>
        <v>NM</v>
      </c>
      <c r="FV117" s="75">
        <f>BO117+BQ117+BS117+BU117</f>
        <v>214</v>
      </c>
      <c r="FW117" s="72">
        <f t="shared" si="753"/>
        <v>29.696969696969688</v>
      </c>
      <c r="FX117" s="75">
        <f>BW117+BY117+CA117+CC117</f>
        <v>181</v>
      </c>
      <c r="FY117" s="72">
        <f t="shared" si="753"/>
        <v>-15.420560747663544</v>
      </c>
      <c r="FZ117" s="75">
        <f>CE117+CG117+CI117+CK117</f>
        <v>162</v>
      </c>
      <c r="GA117" s="72">
        <f t="shared" si="753"/>
        <v>-10.497237569060772</v>
      </c>
      <c r="GB117" s="75">
        <f>CM117+CO117+CQ117+CS117</f>
        <v>214</v>
      </c>
      <c r="GC117" s="72">
        <f t="shared" si="753"/>
        <v>32.098765432098787</v>
      </c>
      <c r="GD117" s="75">
        <f>CU117+CW117+CY117+DA117</f>
        <v>316</v>
      </c>
      <c r="GE117" s="72">
        <f t="shared" si="753"/>
        <v>47.663551401869142</v>
      </c>
      <c r="GF117" s="75">
        <f>DC117+DE117+DG117+DI117</f>
        <v>407</v>
      </c>
      <c r="GG117" s="72">
        <f t="shared" si="753"/>
        <v>28.797468354430379</v>
      </c>
      <c r="GH117" s="75">
        <f>DK117+DM117+DO117+DQ117</f>
        <v>533</v>
      </c>
      <c r="GI117" s="72">
        <f t="shared" si="754"/>
        <v>30.958230958230956</v>
      </c>
      <c r="GJ117" s="75">
        <f>DS117+DU117+DW117+DY117</f>
        <v>550</v>
      </c>
      <c r="GK117" s="72">
        <f t="shared" si="754"/>
        <v>3.1894934333958673</v>
      </c>
      <c r="GL117" s="75">
        <f>EA117+EC117+EE117+EG117</f>
        <v>583</v>
      </c>
      <c r="GM117" s="72">
        <f t="shared" si="754"/>
        <v>6</v>
      </c>
      <c r="GN117" s="75">
        <f>EI117+EK117+EM117+EO117</f>
        <v>648</v>
      </c>
      <c r="GO117" s="72">
        <f t="shared" si="754"/>
        <v>11.149228130360214</v>
      </c>
      <c r="GP117" s="75">
        <f>EQ117+ES117+EU117+EW117</f>
        <v>680.4</v>
      </c>
      <c r="GQ117" s="72">
        <f t="shared" si="754"/>
        <v>5</v>
      </c>
      <c r="GR117" s="74">
        <f>GP117*1.05</f>
        <v>714.42</v>
      </c>
      <c r="GS117" s="72">
        <f t="shared" si="754"/>
        <v>5</v>
      </c>
      <c r="GT117" s="74">
        <f>GR117*1.05</f>
        <v>750.14099999999996</v>
      </c>
      <c r="GU117" s="72">
        <f t="shared" si="754"/>
        <v>5</v>
      </c>
      <c r="GV117" s="74">
        <f>GT117*1.05</f>
        <v>787.64805000000001</v>
      </c>
      <c r="GW117" s="72">
        <f t="shared" si="755"/>
        <v>5</v>
      </c>
      <c r="GX117" s="74">
        <f>GV117*1.05</f>
        <v>827.03045250000002</v>
      </c>
      <c r="GY117" s="72">
        <f t="shared" si="756"/>
        <v>5</v>
      </c>
      <c r="GZ117" s="72">
        <f t="shared" si="757"/>
        <v>5.0000000000000044</v>
      </c>
      <c r="HA117" s="72"/>
      <c r="HB117" s="72"/>
      <c r="HC117"/>
      <c r="HD117"/>
      <c r="HE117"/>
      <c r="HF117"/>
      <c r="HG117"/>
      <c r="HH117"/>
      <c r="HI117" s="2"/>
    </row>
    <row r="118" spans="1:217" s="94" customFormat="1" ht="12.75" customHeight="1" x14ac:dyDescent="0.2">
      <c r="B118" s="77" t="s">
        <v>204</v>
      </c>
      <c r="C118" s="74">
        <f>FF118-I118-G118-E118</f>
        <v>251</v>
      </c>
      <c r="D118" s="72"/>
      <c r="E118" s="74">
        <v>224</v>
      </c>
      <c r="F118" s="72"/>
      <c r="G118" s="74">
        <v>268</v>
      </c>
      <c r="H118" s="72"/>
      <c r="I118" s="74">
        <v>312</v>
      </c>
      <c r="J118" s="72"/>
      <c r="K118" s="74">
        <v>210</v>
      </c>
      <c r="L118" s="72">
        <f t="shared" si="691"/>
        <v>-16.334661354581669</v>
      </c>
      <c r="M118" s="74">
        <v>205</v>
      </c>
      <c r="N118" s="72">
        <f t="shared" si="692"/>
        <v>-8.4821428571428612</v>
      </c>
      <c r="O118" s="74">
        <v>189</v>
      </c>
      <c r="P118" s="72">
        <f t="shared" si="693"/>
        <v>-29.477611940298516</v>
      </c>
      <c r="Q118" s="74">
        <v>276</v>
      </c>
      <c r="R118" s="72">
        <f t="shared" si="694"/>
        <v>-11.538461538461547</v>
      </c>
      <c r="S118" s="74">
        <v>177</v>
      </c>
      <c r="T118" s="72">
        <f t="shared" si="694"/>
        <v>-15.714285714285708</v>
      </c>
      <c r="U118" s="74">
        <v>178</v>
      </c>
      <c r="V118" s="72">
        <f t="shared" si="694"/>
        <v>-13.170731707317074</v>
      </c>
      <c r="W118" s="74">
        <v>176</v>
      </c>
      <c r="X118" s="72">
        <f t="shared" si="694"/>
        <v>-6.878306878306887</v>
      </c>
      <c r="Y118" s="74">
        <v>189</v>
      </c>
      <c r="Z118" s="72">
        <f t="shared" si="694"/>
        <v>-31.521739130434781</v>
      </c>
      <c r="AA118" s="74">
        <v>179</v>
      </c>
      <c r="AB118" s="72">
        <f t="shared" si="694"/>
        <v>1.1299435028248439</v>
      </c>
      <c r="AC118" s="74">
        <v>183</v>
      </c>
      <c r="AD118" s="72">
        <f t="shared" si="694"/>
        <v>2.8089887640449405</v>
      </c>
      <c r="AE118" s="74">
        <v>172</v>
      </c>
      <c r="AF118" s="72">
        <f t="shared" si="694"/>
        <v>-2.2727272727272663</v>
      </c>
      <c r="AG118" s="74">
        <v>213</v>
      </c>
      <c r="AH118" s="72">
        <f t="shared" si="694"/>
        <v>12.698412698412696</v>
      </c>
      <c r="AI118" s="74">
        <v>222</v>
      </c>
      <c r="AJ118" s="72">
        <f t="shared" si="694"/>
        <v>24.022346368715077</v>
      </c>
      <c r="AK118" s="74">
        <v>228</v>
      </c>
      <c r="AL118" s="72">
        <f t="shared" si="694"/>
        <v>24.590163934426229</v>
      </c>
      <c r="AM118" s="74">
        <v>235</v>
      </c>
      <c r="AN118" s="72">
        <f t="shared" si="694"/>
        <v>36.627906976744185</v>
      </c>
      <c r="AO118" s="74">
        <v>246</v>
      </c>
      <c r="AP118" s="72">
        <f t="shared" si="694"/>
        <v>15.492957746478879</v>
      </c>
      <c r="AQ118" s="74">
        <v>197</v>
      </c>
      <c r="AR118" s="72">
        <f t="shared" si="695"/>
        <v>-11.261261261261254</v>
      </c>
      <c r="AS118" s="74">
        <v>219</v>
      </c>
      <c r="AT118" s="72">
        <f t="shared" si="696"/>
        <v>-3.9473684210526301</v>
      </c>
      <c r="AU118" s="74">
        <v>215</v>
      </c>
      <c r="AV118" s="72">
        <f t="shared" si="697"/>
        <v>-8.5106382978723474</v>
      </c>
      <c r="AW118" s="74">
        <v>204</v>
      </c>
      <c r="AX118" s="72">
        <f t="shared" si="698"/>
        <v>-17.073170731707322</v>
      </c>
      <c r="AY118" s="74">
        <v>206</v>
      </c>
      <c r="AZ118" s="72">
        <f t="shared" si="699"/>
        <v>4.5685279187817258</v>
      </c>
      <c r="BA118" s="74">
        <v>214</v>
      </c>
      <c r="BB118" s="72">
        <f t="shared" si="700"/>
        <v>-2.2831050228310517</v>
      </c>
      <c r="BC118" s="74">
        <v>224</v>
      </c>
      <c r="BD118" s="72">
        <f t="shared" si="701"/>
        <v>4.1860465116279073</v>
      </c>
      <c r="BE118" s="74">
        <v>229</v>
      </c>
      <c r="BF118" s="72">
        <f t="shared" si="702"/>
        <v>12.254901960784309</v>
      </c>
      <c r="BG118" s="74">
        <v>227</v>
      </c>
      <c r="BH118" s="72">
        <f t="shared" si="703"/>
        <v>10.194174757281544</v>
      </c>
      <c r="BI118" s="74">
        <v>245</v>
      </c>
      <c r="BJ118" s="72">
        <f t="shared" si="704"/>
        <v>14.485981308411212</v>
      </c>
      <c r="BK118" s="74">
        <v>255</v>
      </c>
      <c r="BL118" s="72">
        <f t="shared" si="705"/>
        <v>13.839285714285722</v>
      </c>
      <c r="BM118" s="74">
        <v>254</v>
      </c>
      <c r="BN118" s="72">
        <f t="shared" si="706"/>
        <v>10.917030567685586</v>
      </c>
      <c r="BO118" s="74">
        <v>235</v>
      </c>
      <c r="BP118" s="72">
        <f t="shared" si="707"/>
        <v>3.5242290748898739</v>
      </c>
      <c r="BQ118" s="74">
        <v>248</v>
      </c>
      <c r="BR118" s="72">
        <f t="shared" si="708"/>
        <v>1.2244897959183589</v>
      </c>
      <c r="BS118" s="74">
        <v>255</v>
      </c>
      <c r="BT118" s="72">
        <f t="shared" si="709"/>
        <v>0</v>
      </c>
      <c r="BU118" s="74">
        <v>233</v>
      </c>
      <c r="BV118" s="72">
        <f t="shared" si="710"/>
        <v>-8.2677165354330668</v>
      </c>
      <c r="BW118" s="74">
        <v>242</v>
      </c>
      <c r="BX118" s="72">
        <f t="shared" si="711"/>
        <v>2.9787234042553052</v>
      </c>
      <c r="BY118" s="74">
        <v>262</v>
      </c>
      <c r="BZ118" s="72">
        <f t="shared" si="712"/>
        <v>5.6451612903225765</v>
      </c>
      <c r="CA118" s="74">
        <v>260</v>
      </c>
      <c r="CB118" s="72">
        <f t="shared" si="713"/>
        <v>1.9607843137254832</v>
      </c>
      <c r="CC118" s="74">
        <v>261</v>
      </c>
      <c r="CD118" s="72">
        <f t="shared" si="714"/>
        <v>12.017167381974247</v>
      </c>
      <c r="CE118" s="74">
        <v>235</v>
      </c>
      <c r="CF118" s="72">
        <f t="shared" si="715"/>
        <v>-2.8925619834710687</v>
      </c>
      <c r="CG118" s="74">
        <v>233</v>
      </c>
      <c r="CH118" s="72">
        <f t="shared" si="716"/>
        <v>-11.068702290076331</v>
      </c>
      <c r="CI118" s="74">
        <v>229</v>
      </c>
      <c r="CJ118" s="72">
        <f t="shared" si="717"/>
        <v>-11.92307692307692</v>
      </c>
      <c r="CK118" s="74">
        <v>230</v>
      </c>
      <c r="CL118" s="72">
        <f t="shared" si="717"/>
        <v>-11.877394636015325</v>
      </c>
      <c r="CM118" s="74">
        <v>219</v>
      </c>
      <c r="CN118" s="72">
        <f t="shared" si="717"/>
        <v>-6.8085106382978751</v>
      </c>
      <c r="CO118" s="74">
        <v>239</v>
      </c>
      <c r="CP118" s="72">
        <f t="shared" si="717"/>
        <v>2.5751072961373467</v>
      </c>
      <c r="CQ118" s="74">
        <v>242</v>
      </c>
      <c r="CR118" s="72">
        <f t="shared" si="717"/>
        <v>5.6768558951965105</v>
      </c>
      <c r="CS118" s="74">
        <v>243</v>
      </c>
      <c r="CT118" s="72">
        <f t="shared" si="717"/>
        <v>5.6521739130434696</v>
      </c>
      <c r="CU118" s="74">
        <v>249</v>
      </c>
      <c r="CV118" s="72">
        <f t="shared" si="718"/>
        <v>13.69863013698631</v>
      </c>
      <c r="CW118" s="74">
        <v>257</v>
      </c>
      <c r="CX118" s="72">
        <f t="shared" si="719"/>
        <v>7.5313807531380803</v>
      </c>
      <c r="CY118" s="74">
        <v>268</v>
      </c>
      <c r="CZ118" s="72">
        <f t="shared" si="720"/>
        <v>10.743801652892571</v>
      </c>
      <c r="DA118" s="74">
        <v>340</v>
      </c>
      <c r="DB118" s="72">
        <f t="shared" si="721"/>
        <v>39.91769547325103</v>
      </c>
      <c r="DC118" s="74">
        <v>469</v>
      </c>
      <c r="DD118" s="72">
        <f t="shared" si="722"/>
        <v>88.353413654618493</v>
      </c>
      <c r="DE118" s="74">
        <v>454</v>
      </c>
      <c r="DF118" s="72">
        <f t="shared" si="723"/>
        <v>76.653696498054472</v>
      </c>
      <c r="DG118" s="74">
        <v>435</v>
      </c>
      <c r="DH118" s="72">
        <f t="shared" si="724"/>
        <v>62.31343283582089</v>
      </c>
      <c r="DI118" s="74">
        <v>445</v>
      </c>
      <c r="DJ118" s="72">
        <f t="shared" si="725"/>
        <v>30.882352941176464</v>
      </c>
      <c r="DK118" s="74">
        <v>399</v>
      </c>
      <c r="DL118" s="72">
        <f t="shared" si="726"/>
        <v>-14.925373134328353</v>
      </c>
      <c r="DM118" s="74">
        <v>394</v>
      </c>
      <c r="DN118" s="72">
        <f t="shared" si="727"/>
        <v>-13.215859030837009</v>
      </c>
      <c r="DO118" s="74">
        <v>436</v>
      </c>
      <c r="DP118" s="72">
        <f t="shared" si="727"/>
        <v>0.22988505747125032</v>
      </c>
      <c r="DQ118" s="74">
        <v>422</v>
      </c>
      <c r="DR118" s="72">
        <f t="shared" si="727"/>
        <v>-5.168539325842687</v>
      </c>
      <c r="DS118" s="74">
        <v>384</v>
      </c>
      <c r="DT118" s="72">
        <f t="shared" si="727"/>
        <v>-3.7593984962406068</v>
      </c>
      <c r="DU118" s="74">
        <v>362</v>
      </c>
      <c r="DV118" s="72">
        <f t="shared" si="727"/>
        <v>-8.1218274111675157</v>
      </c>
      <c r="DW118" s="74">
        <v>431</v>
      </c>
      <c r="DX118" s="72">
        <f t="shared" si="727"/>
        <v>-1.1467889908256836</v>
      </c>
      <c r="DY118" s="74">
        <v>466</v>
      </c>
      <c r="DZ118" s="72">
        <f t="shared" si="727"/>
        <v>10.426540284360186</v>
      </c>
      <c r="EA118" s="74">
        <v>412</v>
      </c>
      <c r="EB118" s="72">
        <f t="shared" si="728"/>
        <v>7.2916666666666714</v>
      </c>
      <c r="EC118" s="74">
        <v>467</v>
      </c>
      <c r="ED118" s="72">
        <f t="shared" si="729"/>
        <v>29.005524861878456</v>
      </c>
      <c r="EE118" s="74">
        <v>450</v>
      </c>
      <c r="EF118" s="72">
        <f t="shared" si="730"/>
        <v>4.4083526682134675</v>
      </c>
      <c r="EG118" s="74">
        <v>490</v>
      </c>
      <c r="EH118" s="72">
        <f t="shared" si="731"/>
        <v>5.1502145922746649</v>
      </c>
      <c r="EI118" s="74">
        <v>465</v>
      </c>
      <c r="EJ118" s="72">
        <f t="shared" si="732"/>
        <v>12.864077669902912</v>
      </c>
      <c r="EK118" s="74">
        <v>490</v>
      </c>
      <c r="EL118" s="72">
        <f t="shared" si="733"/>
        <v>4.925053533190578</v>
      </c>
      <c r="EM118" s="74">
        <v>451</v>
      </c>
      <c r="EN118" s="72">
        <f t="shared" si="734"/>
        <v>0.22222222222221433</v>
      </c>
      <c r="EO118" s="74">
        <v>464</v>
      </c>
      <c r="EP118" s="72">
        <f t="shared" si="735"/>
        <v>-5.3061224489795933</v>
      </c>
      <c r="EQ118" s="75">
        <f t="shared" ref="EQ118" si="766">EQ112*EQ125/100</f>
        <v>487.88512500000002</v>
      </c>
      <c r="ER118" s="72">
        <f t="shared" si="737"/>
        <v>4.9215322580645022</v>
      </c>
      <c r="ES118" s="75">
        <f t="shared" ref="ES118" si="767">ES112*ES125/100</f>
        <v>428.85342500000002</v>
      </c>
      <c r="ET118" s="72">
        <f t="shared" si="739"/>
        <v>-12.478892857142853</v>
      </c>
      <c r="EU118" s="75">
        <f t="shared" ref="EU118" si="768">EU112*EU125/100</f>
        <v>476.78198425000005</v>
      </c>
      <c r="EV118" s="72">
        <f t="shared" si="741"/>
        <v>5.7166262195122073</v>
      </c>
      <c r="EW118" s="75">
        <f t="shared" ref="EW118" si="769">EW112*EW125/100</f>
        <v>497.95784111699999</v>
      </c>
      <c r="EX118" s="72">
        <f t="shared" si="743"/>
        <v>7.318500240732746</v>
      </c>
      <c r="EY118" s="72"/>
      <c r="EZ118" s="306"/>
      <c r="FA118" s="72"/>
      <c r="FB118" s="74">
        <v>1040</v>
      </c>
      <c r="FC118" s="72"/>
      <c r="FD118" s="74">
        <v>1064</v>
      </c>
      <c r="FE118" s="72">
        <f t="shared" si="744"/>
        <v>2.3076923076922924</v>
      </c>
      <c r="FF118" s="74">
        <v>1055</v>
      </c>
      <c r="FG118" s="72">
        <f t="shared" si="745"/>
        <v>-0.84586466165413299</v>
      </c>
      <c r="FH118" s="75">
        <f>K118+M118+O118+Q118</f>
        <v>880</v>
      </c>
      <c r="FI118" s="72">
        <f t="shared" si="746"/>
        <v>-16.587677725118482</v>
      </c>
      <c r="FJ118" s="75">
        <f>S118+U118+W118+Y118</f>
        <v>720</v>
      </c>
      <c r="FK118" s="72">
        <f t="shared" si="747"/>
        <v>-18.181818181818173</v>
      </c>
      <c r="FL118" s="75">
        <f>AA118+AC118+AE118+AG118</f>
        <v>747</v>
      </c>
      <c r="FM118" s="72">
        <f t="shared" si="748"/>
        <v>3.7500000000000142</v>
      </c>
      <c r="FN118" s="75">
        <f>AI118+AK118+AM118+AO118</f>
        <v>931</v>
      </c>
      <c r="FO118" s="72">
        <f t="shared" si="749"/>
        <v>24.631860776439083</v>
      </c>
      <c r="FP118" s="75">
        <f>AQ118+AS118+AU118+AW118</f>
        <v>835</v>
      </c>
      <c r="FQ118" s="72">
        <f t="shared" si="750"/>
        <v>-10.311493018259938</v>
      </c>
      <c r="FR118" s="75">
        <f>AY118+BA118+BC118+BE118</f>
        <v>873</v>
      </c>
      <c r="FS118" s="72">
        <f t="shared" si="751"/>
        <v>4.5508982035928227</v>
      </c>
      <c r="FT118" s="75">
        <f>BG118+BI118+BK118+BM118</f>
        <v>981</v>
      </c>
      <c r="FU118" s="72">
        <f t="shared" si="752"/>
        <v>12.371134020618555</v>
      </c>
      <c r="FV118" s="75">
        <f>BO118+BQ118+BS118+BU118</f>
        <v>971</v>
      </c>
      <c r="FW118" s="72">
        <f t="shared" si="753"/>
        <v>-1.0193679918450584</v>
      </c>
      <c r="FX118" s="75">
        <f>BW118+BY118+CA118+CC118</f>
        <v>1025</v>
      </c>
      <c r="FY118" s="72">
        <f t="shared" si="753"/>
        <v>5.5612770339855899</v>
      </c>
      <c r="FZ118" s="75">
        <f>CE118+CG118+CI118+CK118</f>
        <v>927</v>
      </c>
      <c r="GA118" s="72">
        <f t="shared" si="753"/>
        <v>-9.5609756097560989</v>
      </c>
      <c r="GB118" s="75">
        <f>CM118+CO118+CQ118+CS118</f>
        <v>943</v>
      </c>
      <c r="GC118" s="72">
        <f t="shared" si="753"/>
        <v>1.7259978425026929</v>
      </c>
      <c r="GD118" s="75">
        <f>CU118+CW118+CY118+DA118</f>
        <v>1114</v>
      </c>
      <c r="GE118" s="72">
        <f t="shared" si="753"/>
        <v>18.133616118769893</v>
      </c>
      <c r="GF118" s="75">
        <f>DC118+DE118+DG118+DI118</f>
        <v>1803</v>
      </c>
      <c r="GG118" s="72">
        <f t="shared" si="753"/>
        <v>61.849192100538602</v>
      </c>
      <c r="GH118" s="75">
        <f>DK118+DM118+DO118+DQ118</f>
        <v>1651</v>
      </c>
      <c r="GI118" s="72">
        <f t="shared" si="754"/>
        <v>-8.4303937881308997</v>
      </c>
      <c r="GJ118" s="75">
        <f>DS118+DU118+DW118+DY118</f>
        <v>1643</v>
      </c>
      <c r="GK118" s="72">
        <f t="shared" si="754"/>
        <v>-0.48455481526346489</v>
      </c>
      <c r="GL118" s="75">
        <f>EA118+EC118+EE118+EG118</f>
        <v>1819</v>
      </c>
      <c r="GM118" s="72">
        <f t="shared" si="754"/>
        <v>10.712111990261718</v>
      </c>
      <c r="GN118" s="75">
        <f>EI118+EK118+EM118+EO118</f>
        <v>1870</v>
      </c>
      <c r="GO118" s="72">
        <f t="shared" si="754"/>
        <v>2.803738317756995</v>
      </c>
      <c r="GP118" s="75">
        <f>EQ118+ES118+EU118+EW118</f>
        <v>1891.4783753670001</v>
      </c>
      <c r="GQ118" s="72">
        <f t="shared" si="754"/>
        <v>1.1485762228342367</v>
      </c>
      <c r="GR118" s="75">
        <f>GR112*GR125/100</f>
        <v>1986.8183893752869</v>
      </c>
      <c r="GS118" s="72">
        <f t="shared" si="754"/>
        <v>5.040502458284152</v>
      </c>
      <c r="GT118" s="75">
        <f>GT112*GT125/100</f>
        <v>2087.1528566835218</v>
      </c>
      <c r="GU118" s="72">
        <f t="shared" si="754"/>
        <v>5.0500069782313091</v>
      </c>
      <c r="GV118" s="75">
        <f>GV112*GV125/100</f>
        <v>2192.7524065880793</v>
      </c>
      <c r="GW118" s="72">
        <f t="shared" si="755"/>
        <v>5.0595024493009504</v>
      </c>
      <c r="GX118" s="75">
        <f>GX112*GX125/100</f>
        <v>2303.902744627052</v>
      </c>
      <c r="GY118" s="72">
        <f t="shared" si="756"/>
        <v>5.0689871644889593</v>
      </c>
      <c r="GZ118" s="72">
        <f t="shared" si="757"/>
        <v>4.2616292375307285</v>
      </c>
      <c r="HA118" s="72"/>
      <c r="HB118" s="72"/>
      <c r="HC118"/>
      <c r="HD118"/>
      <c r="HE118"/>
      <c r="HF118"/>
      <c r="HG118"/>
      <c r="HH118"/>
      <c r="HI118" s="2"/>
    </row>
    <row r="119" spans="1:217" s="3" customFormat="1" ht="12.75" customHeight="1" x14ac:dyDescent="0.2">
      <c r="B119" s="3" t="s">
        <v>625</v>
      </c>
      <c r="C119" s="74">
        <v>-22</v>
      </c>
      <c r="D119" s="92"/>
      <c r="E119" s="74">
        <v>-15</v>
      </c>
      <c r="F119" s="92"/>
      <c r="G119" s="74">
        <v>-31</v>
      </c>
      <c r="H119" s="92"/>
      <c r="I119" s="74">
        <v>-37</v>
      </c>
      <c r="J119" s="92"/>
      <c r="K119" s="74">
        <v>-14</v>
      </c>
      <c r="L119" s="72">
        <f t="shared" si="691"/>
        <v>-36.363636363636367</v>
      </c>
      <c r="M119" s="74">
        <v>-22</v>
      </c>
      <c r="N119" s="72">
        <f t="shared" si="692"/>
        <v>46.666666666666657</v>
      </c>
      <c r="O119" s="74">
        <v>-14</v>
      </c>
      <c r="P119" s="72" t="str">
        <f t="shared" si="693"/>
        <v>NM</v>
      </c>
      <c r="Q119" s="74">
        <v>-19</v>
      </c>
      <c r="R119" s="72">
        <f t="shared" si="694"/>
        <v>-48.648648648648653</v>
      </c>
      <c r="S119" s="74">
        <v>-13</v>
      </c>
      <c r="T119" s="72">
        <f t="shared" si="694"/>
        <v>-7.1428571428571388</v>
      </c>
      <c r="U119" s="74">
        <v>-17</v>
      </c>
      <c r="V119" s="72">
        <f t="shared" si="694"/>
        <v>-22.727272727272734</v>
      </c>
      <c r="W119" s="74">
        <v>16</v>
      </c>
      <c r="X119" s="72" t="str">
        <f t="shared" si="694"/>
        <v>NM</v>
      </c>
      <c r="Y119" s="74">
        <v>-8</v>
      </c>
      <c r="Z119" s="72" t="str">
        <f t="shared" si="694"/>
        <v>NM</v>
      </c>
      <c r="AA119" s="74">
        <v>-10</v>
      </c>
      <c r="AB119" s="72">
        <f t="shared" si="694"/>
        <v>-23.076923076923066</v>
      </c>
      <c r="AC119" s="74">
        <v>-25</v>
      </c>
      <c r="AD119" s="72">
        <f t="shared" si="694"/>
        <v>47.058823529411768</v>
      </c>
      <c r="AE119" s="74">
        <v>-12</v>
      </c>
      <c r="AF119" s="72" t="str">
        <f t="shared" si="694"/>
        <v>NM</v>
      </c>
      <c r="AG119" s="74">
        <v>-52</v>
      </c>
      <c r="AH119" s="72" t="str">
        <f t="shared" si="694"/>
        <v>NM</v>
      </c>
      <c r="AI119" s="74">
        <v>-7</v>
      </c>
      <c r="AJ119" s="72">
        <f t="shared" si="694"/>
        <v>-30</v>
      </c>
      <c r="AK119" s="74">
        <f>-75+68</f>
        <v>-7</v>
      </c>
      <c r="AL119" s="72" t="str">
        <f t="shared" si="694"/>
        <v>NM</v>
      </c>
      <c r="AM119" s="74">
        <f>75-72</f>
        <v>3</v>
      </c>
      <c r="AN119" s="72" t="str">
        <f t="shared" si="694"/>
        <v>NM</v>
      </c>
      <c r="AO119" s="74">
        <f>61-87</f>
        <v>-26</v>
      </c>
      <c r="AP119" s="72">
        <f t="shared" si="694"/>
        <v>-50</v>
      </c>
      <c r="AQ119" s="74">
        <f>72-74</f>
        <v>-2</v>
      </c>
      <c r="AR119" s="72" t="str">
        <f t="shared" si="695"/>
        <v>NM</v>
      </c>
      <c r="AS119" s="74">
        <f>70-79</f>
        <v>-9</v>
      </c>
      <c r="AT119" s="72">
        <f t="shared" si="696"/>
        <v>28.571428571428584</v>
      </c>
      <c r="AU119" s="74">
        <f>152-79</f>
        <v>73</v>
      </c>
      <c r="AV119" s="72" t="str">
        <f t="shared" si="697"/>
        <v>NM</v>
      </c>
      <c r="AW119" s="74">
        <f>75-82</f>
        <v>-7</v>
      </c>
      <c r="AX119" s="72" t="str">
        <f t="shared" si="698"/>
        <v>NM</v>
      </c>
      <c r="AY119" s="74">
        <f>-80+74</f>
        <v>-6</v>
      </c>
      <c r="AZ119" s="72" t="str">
        <f t="shared" si="699"/>
        <v>NM</v>
      </c>
      <c r="BA119" s="74">
        <f>-83+91</f>
        <v>8</v>
      </c>
      <c r="BB119" s="72" t="str">
        <f t="shared" si="700"/>
        <v>NM</v>
      </c>
      <c r="BC119" s="74">
        <f>-91-220</f>
        <v>-311</v>
      </c>
      <c r="BD119" s="72" t="str">
        <f t="shared" si="701"/>
        <v>NM</v>
      </c>
      <c r="BE119" s="74">
        <f>-97+57</f>
        <v>-40</v>
      </c>
      <c r="BF119" s="72" t="str">
        <f t="shared" si="702"/>
        <v>NM</v>
      </c>
      <c r="BG119" s="74">
        <f>-103+78</f>
        <v>-25</v>
      </c>
      <c r="BH119" s="72" t="str">
        <f t="shared" si="703"/>
        <v>NM</v>
      </c>
      <c r="BI119" s="74">
        <f>-115+64</f>
        <v>-51</v>
      </c>
      <c r="BJ119" s="72" t="str">
        <f t="shared" si="704"/>
        <v>NM</v>
      </c>
      <c r="BK119" s="74">
        <f>-115-68</f>
        <v>-183</v>
      </c>
      <c r="BL119" s="72">
        <f t="shared" si="705"/>
        <v>-41.157556270096464</v>
      </c>
      <c r="BM119" s="74">
        <f>-119+90</f>
        <v>-29</v>
      </c>
      <c r="BN119" s="72">
        <f t="shared" si="706"/>
        <v>-27.5</v>
      </c>
      <c r="BO119" s="74">
        <f>-108+111</f>
        <v>3</v>
      </c>
      <c r="BP119" s="72" t="str">
        <f t="shared" si="707"/>
        <v>NM</v>
      </c>
      <c r="BQ119" s="74">
        <f>-113+83</f>
        <v>-30</v>
      </c>
      <c r="BR119" s="72">
        <f t="shared" si="708"/>
        <v>-41.17647058823529</v>
      </c>
      <c r="BS119" s="74">
        <f>-111-40</f>
        <v>-151</v>
      </c>
      <c r="BT119" s="72">
        <f t="shared" si="709"/>
        <v>-17.486338797814199</v>
      </c>
      <c r="BU119" s="74">
        <f>-113+218</f>
        <v>105</v>
      </c>
      <c r="BV119" s="72" t="str">
        <f t="shared" si="710"/>
        <v>NM</v>
      </c>
      <c r="BW119" s="74">
        <f>-115+128</f>
        <v>13</v>
      </c>
      <c r="BX119" s="72" t="str">
        <f t="shared" si="711"/>
        <v>NM</v>
      </c>
      <c r="BY119" s="74">
        <f>-128+69</f>
        <v>-59</v>
      </c>
      <c r="BZ119" s="72">
        <f t="shared" si="712"/>
        <v>96.666666666666657</v>
      </c>
      <c r="CA119" s="74">
        <f>-124-102</f>
        <v>-226</v>
      </c>
      <c r="CB119" s="72">
        <f t="shared" si="713"/>
        <v>49.66887417218544</v>
      </c>
      <c r="CC119" s="74">
        <f>-124+91</f>
        <v>-33</v>
      </c>
      <c r="CD119" s="72" t="str">
        <f t="shared" si="714"/>
        <v>NM</v>
      </c>
      <c r="CE119" s="74">
        <f>-88+41</f>
        <v>-47</v>
      </c>
      <c r="CF119" s="72" t="str">
        <f t="shared" si="715"/>
        <v>NM</v>
      </c>
      <c r="CG119" s="74">
        <f>-79+113</f>
        <v>34</v>
      </c>
      <c r="CH119" s="72" t="str">
        <f t="shared" si="716"/>
        <v>NM</v>
      </c>
      <c r="CI119" s="74">
        <f>-80-49</f>
        <v>-129</v>
      </c>
      <c r="CJ119" s="72">
        <f t="shared" si="717"/>
        <v>-42.920353982300888</v>
      </c>
      <c r="CK119" s="74">
        <f>-77+61</f>
        <v>-16</v>
      </c>
      <c r="CL119" s="72" t="str">
        <f t="shared" si="717"/>
        <v>NM</v>
      </c>
      <c r="CM119" s="74">
        <f>-72+67</f>
        <v>-5</v>
      </c>
      <c r="CN119" s="72" t="str">
        <f t="shared" si="717"/>
        <v>NM</v>
      </c>
      <c r="CO119" s="74">
        <f>-78+77</f>
        <v>-1</v>
      </c>
      <c r="CP119" s="72" t="str">
        <f t="shared" si="717"/>
        <v>NM</v>
      </c>
      <c r="CQ119" s="74">
        <f>-82-56</f>
        <v>-138</v>
      </c>
      <c r="CR119" s="72">
        <f t="shared" si="717"/>
        <v>6.9767441860465027</v>
      </c>
      <c r="CS119" s="74">
        <f>-85+47</f>
        <v>-38</v>
      </c>
      <c r="CT119" s="72" t="str">
        <f t="shared" si="717"/>
        <v>NM</v>
      </c>
      <c r="CU119" s="74">
        <f>-89+56</f>
        <v>-33</v>
      </c>
      <c r="CV119" s="72" t="str">
        <f t="shared" si="718"/>
        <v>NM</v>
      </c>
      <c r="CW119" s="74">
        <f>-100+76</f>
        <v>-24</v>
      </c>
      <c r="CX119" s="72" t="str">
        <f t="shared" si="719"/>
        <v>NM</v>
      </c>
      <c r="CY119" s="74">
        <f>-103+209</f>
        <v>106</v>
      </c>
      <c r="CZ119" s="72" t="str">
        <f t="shared" si="720"/>
        <v>NM</v>
      </c>
      <c r="DA119" s="74">
        <f>-144+78</f>
        <v>-66</v>
      </c>
      <c r="DB119" s="72">
        <f t="shared" si="721"/>
        <v>73.684210526315809</v>
      </c>
      <c r="DC119" s="74">
        <f>-220+71</f>
        <v>-149</v>
      </c>
      <c r="DD119" s="72" t="str">
        <f t="shared" si="722"/>
        <v>NM</v>
      </c>
      <c r="DE119" s="74">
        <f>-188+99</f>
        <v>-89</v>
      </c>
      <c r="DF119" s="72" t="str">
        <f t="shared" si="723"/>
        <v>NM</v>
      </c>
      <c r="DG119" s="74">
        <f>-173-113</f>
        <v>-286</v>
      </c>
      <c r="DH119" s="72" t="str">
        <f t="shared" si="724"/>
        <v>NM</v>
      </c>
      <c r="DI119" s="74">
        <f>-181+54</f>
        <v>-127</v>
      </c>
      <c r="DJ119" s="72">
        <f t="shared" si="725"/>
        <v>92.424242424242436</v>
      </c>
      <c r="DK119" s="74">
        <f>-143+96</f>
        <v>-47</v>
      </c>
      <c r="DL119" s="72" t="str">
        <f t="shared" si="726"/>
        <v>NM</v>
      </c>
      <c r="DM119" s="74">
        <f>-130+98</f>
        <v>-32</v>
      </c>
      <c r="DN119" s="72" t="str">
        <f t="shared" si="727"/>
        <v>NM</v>
      </c>
      <c r="DO119" s="74">
        <f>-125+27</f>
        <v>-98</v>
      </c>
      <c r="DP119" s="72" t="str">
        <f t="shared" si="727"/>
        <v>NM</v>
      </c>
      <c r="DQ119" s="74">
        <f>-149+124</f>
        <v>-25</v>
      </c>
      <c r="DR119" s="72" t="str">
        <f t="shared" si="727"/>
        <v>NM</v>
      </c>
      <c r="DS119" s="74">
        <f>-139+86</f>
        <v>-53</v>
      </c>
      <c r="DT119" s="72">
        <f t="shared" si="727"/>
        <v>12.7659574468085</v>
      </c>
      <c r="DU119" s="74">
        <f>-148-128</f>
        <v>-276</v>
      </c>
      <c r="DV119" s="72" t="str">
        <f t="shared" si="727"/>
        <v>NM</v>
      </c>
      <c r="DW119" s="74">
        <f>-166+97</f>
        <v>-69</v>
      </c>
      <c r="DX119" s="72">
        <f t="shared" si="727"/>
        <v>-29.591836734693871</v>
      </c>
      <c r="DY119" s="74">
        <f>-197+78</f>
        <v>-119</v>
      </c>
      <c r="DZ119" s="72" t="str">
        <f t="shared" si="727"/>
        <v>NM</v>
      </c>
      <c r="EA119" s="74">
        <f>-162+77</f>
        <v>-85</v>
      </c>
      <c r="EB119" s="72">
        <f t="shared" si="728"/>
        <v>60.377358490566053</v>
      </c>
      <c r="EC119" s="74">
        <f>-172-113</f>
        <v>-285</v>
      </c>
      <c r="ED119" s="72">
        <f t="shared" si="729"/>
        <v>3.2608695652173765</v>
      </c>
      <c r="EE119" s="74">
        <f>-169+82</f>
        <v>-87</v>
      </c>
      <c r="EF119" s="72">
        <f t="shared" si="730"/>
        <v>26.08695652173914</v>
      </c>
      <c r="EG119" s="74">
        <f>-203+69</f>
        <v>-134</v>
      </c>
      <c r="EH119" s="72">
        <f t="shared" si="731"/>
        <v>12.605042016806721</v>
      </c>
      <c r="EI119" s="74">
        <f>-183+71</f>
        <v>-112</v>
      </c>
      <c r="EJ119" s="72">
        <f t="shared" si="732"/>
        <v>31.764705882352928</v>
      </c>
      <c r="EK119" s="74">
        <f>-166+258</f>
        <v>92</v>
      </c>
      <c r="EL119" s="72" t="str">
        <f t="shared" si="733"/>
        <v>NM</v>
      </c>
      <c r="EM119" s="74">
        <f>-161+71</f>
        <v>-90</v>
      </c>
      <c r="EN119" s="72">
        <f t="shared" si="734"/>
        <v>3.448275862068968</v>
      </c>
      <c r="EO119" s="74">
        <f>-181+83</f>
        <v>-98</v>
      </c>
      <c r="EP119" s="72">
        <f t="shared" si="735"/>
        <v>-26.865671641791039</v>
      </c>
      <c r="EQ119" s="75">
        <f t="shared" ref="EQ119" si="770">EQ126/100*EQ118</f>
        <v>-98.165851875000001</v>
      </c>
      <c r="ER119" s="72">
        <f t="shared" si="737"/>
        <v>-12.351917968750001</v>
      </c>
      <c r="ES119" s="75">
        <f t="shared" ref="ES119" si="771">ES126/100*ES118</f>
        <v>-86.28826671982759</v>
      </c>
      <c r="ET119" s="72" t="str">
        <f t="shared" si="739"/>
        <v>NM</v>
      </c>
      <c r="EU119" s="75">
        <f t="shared" ref="EU119" si="772">EU126/100*EU118</f>
        <v>-95.931823382715521</v>
      </c>
      <c r="EV119" s="72">
        <f t="shared" si="741"/>
        <v>6.5909148696838997</v>
      </c>
      <c r="EW119" s="75">
        <f t="shared" ref="EW119" si="773">EW126/100*EW118</f>
        <v>-100.19255182474809</v>
      </c>
      <c r="EX119" s="72">
        <f t="shared" si="743"/>
        <v>2.2372977803551919</v>
      </c>
      <c r="EY119" s="72"/>
      <c r="EZ119" s="306"/>
      <c r="FA119" s="72"/>
      <c r="FB119" s="74">
        <v>-190</v>
      </c>
      <c r="FC119" s="92"/>
      <c r="FD119" s="74">
        <v>-107</v>
      </c>
      <c r="FE119" s="72">
        <f t="shared" si="744"/>
        <v>-43.684210526315795</v>
      </c>
      <c r="FF119" s="74">
        <v>-105</v>
      </c>
      <c r="FG119" s="72">
        <f t="shared" si="745"/>
        <v>-1.8691588785046775</v>
      </c>
      <c r="FH119" s="74">
        <v>-69</v>
      </c>
      <c r="FI119" s="72">
        <f t="shared" si="746"/>
        <v>-34.285714285714292</v>
      </c>
      <c r="FJ119" s="74">
        <v>-22</v>
      </c>
      <c r="FK119" s="72" t="str">
        <f t="shared" si="747"/>
        <v>NM</v>
      </c>
      <c r="FL119" s="74">
        <v>-99</v>
      </c>
      <c r="FM119" s="72" t="str">
        <f t="shared" si="748"/>
        <v>NM</v>
      </c>
      <c r="FN119" s="75">
        <f>AI119+AK119+AM119+AO119</f>
        <v>-37</v>
      </c>
      <c r="FO119" s="72" t="str">
        <f t="shared" si="749"/>
        <v>NM</v>
      </c>
      <c r="FP119" s="75">
        <f>AQ119+AS119+AU119+AW119</f>
        <v>55</v>
      </c>
      <c r="FQ119" s="72" t="str">
        <f t="shared" si="750"/>
        <v>NM</v>
      </c>
      <c r="FR119" s="75">
        <f>AY119+BA119+BC119+BE119</f>
        <v>-349</v>
      </c>
      <c r="FS119" s="72" t="str">
        <f t="shared" si="751"/>
        <v>NM</v>
      </c>
      <c r="FT119" s="75">
        <f>BG119+BI119+BK119+BM119</f>
        <v>-288</v>
      </c>
      <c r="FU119" s="72">
        <f t="shared" si="752"/>
        <v>-17.47851002865329</v>
      </c>
      <c r="FV119" s="74">
        <f>-365+275</f>
        <v>-90</v>
      </c>
      <c r="FW119" s="72" t="str">
        <f t="shared" si="753"/>
        <v>NM</v>
      </c>
      <c r="FX119" s="74">
        <f>-408+150</f>
        <v>-258</v>
      </c>
      <c r="FY119" s="72" t="str">
        <f t="shared" si="753"/>
        <v>NM</v>
      </c>
      <c r="FZ119" s="75">
        <f>CE119+CG119+CI119+CK119</f>
        <v>-158</v>
      </c>
      <c r="GA119" s="72">
        <f t="shared" si="753"/>
        <v>-38.759689922480625</v>
      </c>
      <c r="GB119" s="75">
        <f>CM119+CO119+CQ119+CS119</f>
        <v>-182</v>
      </c>
      <c r="GC119" s="72">
        <f t="shared" si="753"/>
        <v>15.189873417721515</v>
      </c>
      <c r="GD119" s="75">
        <f>CU119+CW119+CY119+DA119</f>
        <v>-17</v>
      </c>
      <c r="GE119" s="72" t="str">
        <f t="shared" si="753"/>
        <v>NM</v>
      </c>
      <c r="GF119" s="75">
        <f>DC119+DE119+DG119+DI119</f>
        <v>-651</v>
      </c>
      <c r="GG119" s="72" t="str">
        <f t="shared" si="753"/>
        <v>NM</v>
      </c>
      <c r="GH119" s="75">
        <f>DK119+DM119+DO119+DQ119</f>
        <v>-202</v>
      </c>
      <c r="GI119" s="72" t="str">
        <f t="shared" si="754"/>
        <v>NM</v>
      </c>
      <c r="GJ119" s="75">
        <f>DS119+DU119+DW119+DY119</f>
        <v>-517</v>
      </c>
      <c r="GK119" s="72" t="str">
        <f t="shared" si="754"/>
        <v>NM</v>
      </c>
      <c r="GL119" s="75">
        <f>EA119+EC119+EE119+EG119</f>
        <v>-591</v>
      </c>
      <c r="GM119" s="72">
        <f t="shared" si="754"/>
        <v>14.313346228239851</v>
      </c>
      <c r="GN119" s="75">
        <f>EI119+EK119+EM119+EO119</f>
        <v>-208</v>
      </c>
      <c r="GO119" s="72" t="str">
        <f t="shared" si="754"/>
        <v>NM</v>
      </c>
      <c r="GP119" s="75">
        <f>EQ119+ES119+EU119+EW119</f>
        <v>-380.57849380229118</v>
      </c>
      <c r="GQ119" s="72">
        <f t="shared" si="754"/>
        <v>82.970429712639998</v>
      </c>
      <c r="GR119" s="75">
        <f>GR126/100*GR118</f>
        <v>-399.76156213809639</v>
      </c>
      <c r="GS119" s="72">
        <f t="shared" si="754"/>
        <v>5.0405024582841378</v>
      </c>
      <c r="GT119" s="75">
        <f>GT126/100*GT118</f>
        <v>-419.94954892235677</v>
      </c>
      <c r="GU119" s="72">
        <f t="shared" si="754"/>
        <v>5.0500069782313091</v>
      </c>
      <c r="GV119" s="75">
        <f>GV126/100*GV118</f>
        <v>-441.19690663591172</v>
      </c>
      <c r="GW119" s="72">
        <f t="shared" si="755"/>
        <v>5.0595024493009504</v>
      </c>
      <c r="GX119" s="75">
        <f>GX126/100*GX118</f>
        <v>-463.56112120340845</v>
      </c>
      <c r="GY119" s="72">
        <f t="shared" si="756"/>
        <v>5.0689871644889593</v>
      </c>
      <c r="GZ119" s="72">
        <f t="shared" si="757"/>
        <v>17.383953888212144</v>
      </c>
      <c r="HA119" s="72"/>
      <c r="HB119" s="72"/>
      <c r="HC119"/>
      <c r="HD119"/>
      <c r="HE119"/>
      <c r="HF119"/>
      <c r="HG119"/>
      <c r="HH119"/>
      <c r="HI119" s="2"/>
    </row>
    <row r="120" spans="1:217" s="133" customFormat="1" ht="12.75" customHeight="1" x14ac:dyDescent="0.2">
      <c r="B120" s="93" t="s">
        <v>156</v>
      </c>
      <c r="C120" s="91">
        <f>SUM(C115:C119)</f>
        <v>435</v>
      </c>
      <c r="D120" s="80"/>
      <c r="E120" s="91">
        <f>SUM(E115:E119)</f>
        <v>382</v>
      </c>
      <c r="F120" s="80"/>
      <c r="G120" s="91">
        <f>SUM(G115:G119)</f>
        <v>427</v>
      </c>
      <c r="H120" s="80"/>
      <c r="I120" s="91">
        <f>SUM(I115:I119)</f>
        <v>497</v>
      </c>
      <c r="J120" s="80"/>
      <c r="K120" s="91">
        <f>SUM(K115:K119)</f>
        <v>388</v>
      </c>
      <c r="L120" s="72">
        <f t="shared" si="691"/>
        <v>-10.804597701149419</v>
      </c>
      <c r="M120" s="91">
        <f>SUM(M115:M119)</f>
        <v>391</v>
      </c>
      <c r="N120" s="72">
        <f t="shared" si="692"/>
        <v>2.3560209424083922</v>
      </c>
      <c r="O120" s="91">
        <f>SUM(O115:O119)</f>
        <v>373</v>
      </c>
      <c r="P120" s="72">
        <f t="shared" si="693"/>
        <v>-12.646370023419209</v>
      </c>
      <c r="Q120" s="91">
        <f>SUM(Q115:Q119)</f>
        <v>494</v>
      </c>
      <c r="R120" s="72">
        <f t="shared" si="694"/>
        <v>-0.60362173038230083</v>
      </c>
      <c r="S120" s="91">
        <f>SUM(S115:S119)</f>
        <v>326</v>
      </c>
      <c r="T120" s="72">
        <f t="shared" si="694"/>
        <v>-15.979381443298962</v>
      </c>
      <c r="U120" s="91">
        <f>SUM(U115:U119)</f>
        <v>325</v>
      </c>
      <c r="V120" s="72">
        <f t="shared" si="694"/>
        <v>-16.879795396419439</v>
      </c>
      <c r="W120" s="91">
        <f>SUM(W115:W119)</f>
        <v>380</v>
      </c>
      <c r="X120" s="72">
        <f t="shared" si="694"/>
        <v>1.8766756032171656</v>
      </c>
      <c r="Y120" s="91">
        <f>SUM(Y115:Y119)</f>
        <v>500</v>
      </c>
      <c r="Z120" s="72">
        <f t="shared" si="694"/>
        <v>1.214574898785429</v>
      </c>
      <c r="AA120" s="91">
        <f>SUM(AA115:AA119)</f>
        <v>377</v>
      </c>
      <c r="AB120" s="72">
        <f t="shared" si="694"/>
        <v>15.644171779141104</v>
      </c>
      <c r="AC120" s="91">
        <f>SUM(AC115:AC119)</f>
        <v>373</v>
      </c>
      <c r="AD120" s="72">
        <f t="shared" si="694"/>
        <v>14.769230769230774</v>
      </c>
      <c r="AE120" s="91">
        <f>SUM(AE115:AE119)</f>
        <v>392</v>
      </c>
      <c r="AF120" s="72">
        <f t="shared" si="694"/>
        <v>3.1578947368421098</v>
      </c>
      <c r="AG120" s="91">
        <f>SUM(AG115:AG119)</f>
        <v>445</v>
      </c>
      <c r="AH120" s="72">
        <f t="shared" si="694"/>
        <v>-11</v>
      </c>
      <c r="AI120" s="91">
        <f>SUM(AI115:AI119)</f>
        <v>414</v>
      </c>
      <c r="AJ120" s="72">
        <f t="shared" si="694"/>
        <v>9.8143236074270703</v>
      </c>
      <c r="AK120" s="91">
        <f>SUM(AK115:AK119)</f>
        <v>409</v>
      </c>
      <c r="AL120" s="72">
        <f t="shared" si="694"/>
        <v>9.6514745308311092</v>
      </c>
      <c r="AM120" s="91">
        <f>SUM(AM115:AM119)</f>
        <v>429</v>
      </c>
      <c r="AN120" s="72">
        <f t="shared" si="694"/>
        <v>9.4387755102040956</v>
      </c>
      <c r="AO120" s="91">
        <f>SUM(AO115:AO119)</f>
        <v>431</v>
      </c>
      <c r="AP120" s="72">
        <f t="shared" si="694"/>
        <v>-3.1460674157303288</v>
      </c>
      <c r="AQ120" s="91">
        <f>SUM(AQ115:AQ119)</f>
        <v>415</v>
      </c>
      <c r="AR120" s="72">
        <f t="shared" si="695"/>
        <v>0.24154589371980251</v>
      </c>
      <c r="AS120" s="91">
        <f>SUM(AS115:AS119)</f>
        <v>429</v>
      </c>
      <c r="AT120" s="72">
        <f t="shared" si="696"/>
        <v>4.8899755501222444</v>
      </c>
      <c r="AU120" s="91">
        <f>SUM(AU115:AU119)</f>
        <v>482</v>
      </c>
      <c r="AV120" s="72">
        <f t="shared" si="697"/>
        <v>12.354312354312341</v>
      </c>
      <c r="AW120" s="91">
        <f>SUM(AW115:AW119)</f>
        <v>438</v>
      </c>
      <c r="AX120" s="72">
        <f t="shared" si="698"/>
        <v>1.6241299303944174</v>
      </c>
      <c r="AY120" s="91">
        <f>SUM(AY115:AY119)</f>
        <v>426</v>
      </c>
      <c r="AZ120" s="72">
        <f t="shared" si="699"/>
        <v>2.6506024096385516</v>
      </c>
      <c r="BA120" s="91">
        <f>SUM(BA115:BA119)</f>
        <v>489</v>
      </c>
      <c r="BB120" s="72">
        <f t="shared" si="700"/>
        <v>13.986013986013972</v>
      </c>
      <c r="BC120" s="91">
        <f>SUM(BC115:BC119)</f>
        <v>284</v>
      </c>
      <c r="BD120" s="72">
        <f t="shared" si="701"/>
        <v>-41.078838174273855</v>
      </c>
      <c r="BE120" s="91">
        <f>SUM(BE115:BE119)</f>
        <v>473</v>
      </c>
      <c r="BF120" s="72">
        <f t="shared" si="702"/>
        <v>7.9908675799086808</v>
      </c>
      <c r="BG120" s="91">
        <f>SUM(BG115:BG119)</f>
        <v>530</v>
      </c>
      <c r="BH120" s="72">
        <f t="shared" si="703"/>
        <v>24.413145539906097</v>
      </c>
      <c r="BI120" s="91">
        <f>SUM(BI115:BI119)</f>
        <v>488</v>
      </c>
      <c r="BJ120" s="72">
        <f t="shared" si="704"/>
        <v>-0.2044989775051107</v>
      </c>
      <c r="BK120" s="91">
        <f>SUM(BK115:BK119)</f>
        <v>421</v>
      </c>
      <c r="BL120" s="72">
        <f t="shared" si="705"/>
        <v>48.239436619718305</v>
      </c>
      <c r="BM120" s="91">
        <f>SUM(BM115:BM119)</f>
        <v>541</v>
      </c>
      <c r="BN120" s="72">
        <f t="shared" si="706"/>
        <v>14.376321353065549</v>
      </c>
      <c r="BO120" s="91">
        <f>SUM(BO115:BO119)</f>
        <v>584</v>
      </c>
      <c r="BP120" s="72">
        <f t="shared" si="707"/>
        <v>10.188679245283012</v>
      </c>
      <c r="BQ120" s="91">
        <f>SUM(BQ115:BQ119)</f>
        <v>573</v>
      </c>
      <c r="BR120" s="72">
        <f t="shared" si="708"/>
        <v>17.418032786885249</v>
      </c>
      <c r="BS120" s="91">
        <f>SUM(BS115:BS119)</f>
        <v>444</v>
      </c>
      <c r="BT120" s="72">
        <f t="shared" si="709"/>
        <v>5.4631828978622252</v>
      </c>
      <c r="BU120" s="91">
        <f>SUM(BU115:BU119)</f>
        <v>707</v>
      </c>
      <c r="BV120" s="72">
        <f t="shared" si="710"/>
        <v>30.683918669131259</v>
      </c>
      <c r="BW120" s="91">
        <f>SUM(BW115:BW119)</f>
        <v>640</v>
      </c>
      <c r="BX120" s="72">
        <f t="shared" si="711"/>
        <v>9.5890410958904084</v>
      </c>
      <c r="BY120" s="91">
        <f>SUM(BY115:BY119)</f>
        <v>565</v>
      </c>
      <c r="BZ120" s="72">
        <f t="shared" si="712"/>
        <v>-1.3961605584642172</v>
      </c>
      <c r="CA120" s="91">
        <f>SUM(CA115:CA119)</f>
        <v>413</v>
      </c>
      <c r="CB120" s="72">
        <f t="shared" si="713"/>
        <v>-6.9819819819819742</v>
      </c>
      <c r="CC120" s="91">
        <f>SUM(CC115:CC119)</f>
        <v>588</v>
      </c>
      <c r="CD120" s="72">
        <f t="shared" si="714"/>
        <v>-16.831683168316829</v>
      </c>
      <c r="CE120" s="91">
        <f>SUM(CE115:CE119)</f>
        <v>601</v>
      </c>
      <c r="CF120" s="72">
        <f t="shared" si="715"/>
        <v>-6.09375</v>
      </c>
      <c r="CG120" s="91">
        <f>SUM(CG115:CG119)</f>
        <v>644</v>
      </c>
      <c r="CH120" s="72">
        <f t="shared" si="716"/>
        <v>13.982300884955762</v>
      </c>
      <c r="CI120" s="91">
        <f>SUM(CI115:CI119)</f>
        <v>483</v>
      </c>
      <c r="CJ120" s="72">
        <f t="shared" si="717"/>
        <v>16.949152542372886</v>
      </c>
      <c r="CK120" s="91">
        <f>SUM(CK115:CK119)</f>
        <v>607</v>
      </c>
      <c r="CL120" s="72">
        <f t="shared" si="717"/>
        <v>3.231292517006807</v>
      </c>
      <c r="CM120" s="91">
        <f>SUM(CM115:CM119)</f>
        <v>627</v>
      </c>
      <c r="CN120" s="72">
        <f t="shared" si="717"/>
        <v>4.3261231281198036</v>
      </c>
      <c r="CO120" s="91">
        <f>SUM(CO115:CO119)</f>
        <v>628</v>
      </c>
      <c r="CP120" s="72">
        <f t="shared" si="717"/>
        <v>-2.4844720496894439</v>
      </c>
      <c r="CQ120" s="91">
        <f>SUM(CQ115:CQ119)</f>
        <v>532</v>
      </c>
      <c r="CR120" s="72">
        <f t="shared" si="717"/>
        <v>10.14492753623189</v>
      </c>
      <c r="CS120" s="91">
        <f>SUM(CS115:CS119)</f>
        <v>631</v>
      </c>
      <c r="CT120" s="72">
        <f t="shared" si="717"/>
        <v>3.9538714991762731</v>
      </c>
      <c r="CU120" s="91">
        <f>SUM(CU115:CU119)</f>
        <v>664</v>
      </c>
      <c r="CV120" s="72">
        <f t="shared" si="718"/>
        <v>5.9011164274322141</v>
      </c>
      <c r="CW120" s="91">
        <f>SUM(CW115:CW119)</f>
        <v>742</v>
      </c>
      <c r="CX120" s="72">
        <f t="shared" si="719"/>
        <v>18.152866242038229</v>
      </c>
      <c r="CY120" s="91">
        <f>SUM(CY115:CY119)</f>
        <v>836</v>
      </c>
      <c r="CZ120" s="72">
        <f t="shared" si="720"/>
        <v>57.142857142857139</v>
      </c>
      <c r="DA120" s="91">
        <f>SUM(DA115:DA119)</f>
        <v>741</v>
      </c>
      <c r="DB120" s="72">
        <f t="shared" si="721"/>
        <v>17.432646592709972</v>
      </c>
      <c r="DC120" s="91">
        <f>SUM(DC115:DC119)</f>
        <v>1018</v>
      </c>
      <c r="DD120" s="72">
        <f t="shared" si="722"/>
        <v>53.313253012048193</v>
      </c>
      <c r="DE120" s="91">
        <f>SUM(DE115:DE119)</f>
        <v>1071</v>
      </c>
      <c r="DF120" s="72">
        <f t="shared" si="723"/>
        <v>44.339622641509436</v>
      </c>
      <c r="DG120" s="91">
        <f>SUM(DG115:DG119)</f>
        <v>893</v>
      </c>
      <c r="DH120" s="72">
        <f t="shared" si="724"/>
        <v>6.818181818181813</v>
      </c>
      <c r="DI120" s="91">
        <f>SUM(DI115:DI119)</f>
        <v>1055</v>
      </c>
      <c r="DJ120" s="72">
        <f t="shared" si="725"/>
        <v>42.375168690958162</v>
      </c>
      <c r="DK120" s="91">
        <f>SUM(DK115:DK119)</f>
        <v>1171</v>
      </c>
      <c r="DL120" s="72">
        <f t="shared" si="726"/>
        <v>15.029469548133605</v>
      </c>
      <c r="DM120" s="91">
        <f>SUM(DM115:DM119)</f>
        <v>1160</v>
      </c>
      <c r="DN120" s="72">
        <f t="shared" si="727"/>
        <v>8.3099906629318383</v>
      </c>
      <c r="DO120" s="91">
        <f>SUM(DO115:DO119)</f>
        <v>1184</v>
      </c>
      <c r="DP120" s="72">
        <f t="shared" si="727"/>
        <v>32.586786114221724</v>
      </c>
      <c r="DQ120" s="91">
        <f>SUM(DQ115:DQ119)</f>
        <v>1213</v>
      </c>
      <c r="DR120" s="72">
        <f t="shared" si="727"/>
        <v>14.976303317535539</v>
      </c>
      <c r="DS120" s="91">
        <f>SUM(DS115:DS119)</f>
        <v>1235</v>
      </c>
      <c r="DT120" s="532">
        <f t="shared" si="727"/>
        <v>5.4654141759180135</v>
      </c>
      <c r="DU120" s="91">
        <f>SUM(DU115:DU119)</f>
        <v>923</v>
      </c>
      <c r="DV120" s="532">
        <f t="shared" si="727"/>
        <v>-20.431034482758619</v>
      </c>
      <c r="DW120" s="91">
        <f>SUM(DW115:DW119)</f>
        <v>1192</v>
      </c>
      <c r="DX120" s="532">
        <f t="shared" si="727"/>
        <v>0.67567567567567721</v>
      </c>
      <c r="DY120" s="91">
        <f>SUM(DY115:DY119)</f>
        <v>1248</v>
      </c>
      <c r="DZ120" s="72">
        <f t="shared" si="727"/>
        <v>2.8854080791426213</v>
      </c>
      <c r="EA120" s="91">
        <f>SUM(EA115:EA119)</f>
        <v>1246</v>
      </c>
      <c r="EB120" s="72">
        <f t="shared" si="728"/>
        <v>0.89068825910931082</v>
      </c>
      <c r="EC120" s="91">
        <f>SUM(EC115:EC119)</f>
        <v>1445</v>
      </c>
      <c r="ED120" s="72">
        <f t="shared" si="729"/>
        <v>56.554712892741065</v>
      </c>
      <c r="EE120" s="91">
        <f>SUM(EE115:EE119)</f>
        <v>1299</v>
      </c>
      <c r="EF120" s="72">
        <f t="shared" si="730"/>
        <v>8.9765100671140914</v>
      </c>
      <c r="EG120" s="91">
        <f>SUM(EG115:EG119)</f>
        <v>1286</v>
      </c>
      <c r="EH120" s="72">
        <f t="shared" si="731"/>
        <v>3.0448717948717814</v>
      </c>
      <c r="EI120" s="91">
        <f>SUM(EI115:EI119)</f>
        <v>1327</v>
      </c>
      <c r="EJ120" s="72">
        <f t="shared" si="732"/>
        <v>6.5008025682183046</v>
      </c>
      <c r="EK120" s="452">
        <f>SUM(EK115:EK119)</f>
        <v>1211</v>
      </c>
      <c r="EL120" s="72">
        <f t="shared" si="733"/>
        <v>-16.193771626297575</v>
      </c>
      <c r="EM120" s="452">
        <f>SUM(EM115:EM119)</f>
        <v>1261</v>
      </c>
      <c r="EN120" s="72">
        <f t="shared" si="734"/>
        <v>-2.9253271747498104</v>
      </c>
      <c r="EO120" s="452">
        <f>SUM(EO115:EO119)</f>
        <v>1366</v>
      </c>
      <c r="EP120" s="72">
        <f t="shared" si="735"/>
        <v>6.2208398133747949</v>
      </c>
      <c r="EQ120" s="452">
        <f t="shared" ref="EQ120" si="774">SUM(EQ115:EQ119)</f>
        <v>1405.656673125</v>
      </c>
      <c r="ER120" s="72">
        <f t="shared" si="737"/>
        <v>5.9274056612660218</v>
      </c>
      <c r="ES120" s="452">
        <f t="shared" ref="ES120" si="775">SUM(ES115:ES119)</f>
        <v>1205.7946952801724</v>
      </c>
      <c r="ET120" s="72">
        <f t="shared" si="739"/>
        <v>-0.42983523697998294</v>
      </c>
      <c r="EU120" s="452">
        <f t="shared" ref="EU120" si="776">SUM(EU115:EU119)</f>
        <v>1353.1418132372844</v>
      </c>
      <c r="EV120" s="72">
        <f t="shared" si="741"/>
        <v>7.3070430798798185</v>
      </c>
      <c r="EW120" s="452">
        <f t="shared" ref="EW120" si="777">SUM(EW115:EW119)</f>
        <v>1396.0524181859519</v>
      </c>
      <c r="EX120" s="72">
        <f t="shared" si="743"/>
        <v>2.200030613905696</v>
      </c>
      <c r="EY120" s="72"/>
      <c r="EZ120" s="310"/>
      <c r="FA120" s="72"/>
      <c r="FB120" s="91">
        <f>SUM(FB115:FB119)</f>
        <v>1496</v>
      </c>
      <c r="FC120" s="80"/>
      <c r="FD120" s="91">
        <f>SUM(FD115:FD119)</f>
        <v>1606</v>
      </c>
      <c r="FE120" s="72">
        <f t="shared" si="744"/>
        <v>7.3529411764705799</v>
      </c>
      <c r="FF120" s="91">
        <f>SUM(FF115:FF119)</f>
        <v>1741</v>
      </c>
      <c r="FG120" s="72">
        <f t="shared" si="745"/>
        <v>8.4059775840597695</v>
      </c>
      <c r="FH120" s="91">
        <f>SUM(FH115:FH119)</f>
        <v>1646</v>
      </c>
      <c r="FI120" s="72">
        <f t="shared" si="746"/>
        <v>-5.4566341183227962</v>
      </c>
      <c r="FJ120" s="91">
        <f>SUM(FJ115:FJ119)</f>
        <v>1531</v>
      </c>
      <c r="FK120" s="72">
        <f t="shared" si="747"/>
        <v>-6.9866342648845716</v>
      </c>
      <c r="FL120" s="91">
        <f>SUM(FL115:FL119)</f>
        <v>1587</v>
      </c>
      <c r="FM120" s="72">
        <f t="shared" si="748"/>
        <v>3.6577400391900881</v>
      </c>
      <c r="FN120" s="91">
        <f>SUM(FN115:FN119)</f>
        <v>1683</v>
      </c>
      <c r="FO120" s="72">
        <f t="shared" si="749"/>
        <v>6.0491493383742778</v>
      </c>
      <c r="FP120" s="91">
        <f>SUM(FP115:FP119)</f>
        <v>1764</v>
      </c>
      <c r="FQ120" s="72">
        <f t="shared" si="750"/>
        <v>4.8128342245989302</v>
      </c>
      <c r="FR120" s="91">
        <f>SUM(FR115:FR119)</f>
        <v>1672</v>
      </c>
      <c r="FS120" s="72">
        <f t="shared" si="751"/>
        <v>-5.2154195011337947</v>
      </c>
      <c r="FT120" s="91">
        <f>SUM(FT115:FT119)</f>
        <v>1980</v>
      </c>
      <c r="FU120" s="72">
        <f t="shared" si="752"/>
        <v>18.421052631578931</v>
      </c>
      <c r="FV120" s="91">
        <f>SUM(FV115:FV119)</f>
        <v>2291</v>
      </c>
      <c r="FW120" s="72">
        <f t="shared" si="753"/>
        <v>15.707070707070713</v>
      </c>
      <c r="FX120" s="91">
        <f>SUM(FX115:FX119)</f>
        <v>2253</v>
      </c>
      <c r="FY120" s="72">
        <f t="shared" si="753"/>
        <v>-1.6586643387167186</v>
      </c>
      <c r="FZ120" s="91">
        <f>SUM(FZ115:FZ119)</f>
        <v>2335</v>
      </c>
      <c r="GA120" s="72">
        <f t="shared" si="753"/>
        <v>3.6395916555703565</v>
      </c>
      <c r="GB120" s="91">
        <f>SUM(GB115:GB119)</f>
        <v>2418</v>
      </c>
      <c r="GC120" s="72">
        <f t="shared" si="753"/>
        <v>3.5546038543897254</v>
      </c>
      <c r="GD120" s="91">
        <f>SUM(GD115:GD119)</f>
        <v>2983</v>
      </c>
      <c r="GE120" s="72">
        <f t="shared" si="753"/>
        <v>23.366418527708845</v>
      </c>
      <c r="GF120" s="91">
        <f>SUM(GF115:GF119)</f>
        <v>4037</v>
      </c>
      <c r="GG120" s="72">
        <f t="shared" si="753"/>
        <v>35.333556821991294</v>
      </c>
      <c r="GH120" s="91">
        <f>SUM(GH115:GH119)</f>
        <v>4728</v>
      </c>
      <c r="GI120" s="72">
        <f t="shared" si="754"/>
        <v>17.116670795144913</v>
      </c>
      <c r="GJ120" s="91">
        <f>SUM(GJ115:GJ119)</f>
        <v>4598</v>
      </c>
      <c r="GK120" s="72">
        <f t="shared" si="754"/>
        <v>-2.7495769881556669</v>
      </c>
      <c r="GL120" s="91">
        <f>SUM(GL115:GL119)</f>
        <v>5276</v>
      </c>
      <c r="GM120" s="72">
        <f t="shared" si="754"/>
        <v>14.745541539799916</v>
      </c>
      <c r="GN120" s="91">
        <f>SUM(GN115:GN119)</f>
        <v>5165</v>
      </c>
      <c r="GO120" s="72">
        <f t="shared" si="754"/>
        <v>-2.1038665655799775</v>
      </c>
      <c r="GP120" s="91">
        <f>SUM(GP115:GP119)</f>
        <v>5360.6455998284091</v>
      </c>
      <c r="GQ120" s="72">
        <f t="shared" si="754"/>
        <v>3.7879109356903911</v>
      </c>
      <c r="GR120" s="91">
        <f>SUM(GR115:GR119)</f>
        <v>5656.57035546109</v>
      </c>
      <c r="GS120" s="72">
        <f t="shared" si="754"/>
        <v>5.5203193369498962</v>
      </c>
      <c r="GT120" s="91">
        <f>SUM(GT115:GT119)</f>
        <v>5968.9453858328588</v>
      </c>
      <c r="GU120" s="72">
        <f t="shared" si="754"/>
        <v>5.5223396995352374</v>
      </c>
      <c r="GV120" s="91">
        <f>SUM(GV115:GV119)</f>
        <v>6291.9247303414459</v>
      </c>
      <c r="GW120" s="72">
        <f t="shared" si="755"/>
        <v>5.4109951361788404</v>
      </c>
      <c r="GX120" s="91">
        <f>SUM(GX115:GX119)</f>
        <v>6632.7112726454625</v>
      </c>
      <c r="GY120" s="72">
        <f t="shared" si="756"/>
        <v>5.4162526875225865</v>
      </c>
      <c r="GZ120" s="72">
        <f t="shared" si="757"/>
        <v>5.1293921422402189</v>
      </c>
      <c r="HA120" s="72"/>
      <c r="HB120" s="72"/>
      <c r="HC120"/>
      <c r="HD120"/>
      <c r="HE120"/>
      <c r="HF120"/>
      <c r="HG120"/>
      <c r="HH120"/>
      <c r="HI120" s="2"/>
    </row>
    <row r="121" spans="1:217" s="94" customFormat="1" ht="12.75" customHeight="1" x14ac:dyDescent="0.2">
      <c r="D121" s="72"/>
      <c r="F121" s="72"/>
      <c r="H121" s="72"/>
      <c r="J121" s="72"/>
      <c r="L121" s="72"/>
      <c r="N121" s="72"/>
      <c r="P121" s="72"/>
      <c r="R121" s="72"/>
      <c r="T121" s="72"/>
      <c r="V121" s="72"/>
      <c r="X121" s="72"/>
      <c r="Z121" s="72"/>
      <c r="AB121" s="72"/>
      <c r="AD121" s="72"/>
      <c r="AF121" s="72"/>
      <c r="AH121" s="72"/>
      <c r="AJ121" s="72"/>
      <c r="AL121" s="72"/>
      <c r="AN121" s="72"/>
      <c r="AP121" s="72"/>
      <c r="AR121" s="72"/>
      <c r="AT121" s="72"/>
      <c r="AV121" s="72"/>
      <c r="AX121" s="72"/>
      <c r="AZ121" s="72"/>
      <c r="BB121" s="72"/>
      <c r="BD121" s="72"/>
      <c r="BF121" s="72"/>
      <c r="BH121" s="72"/>
      <c r="BJ121" s="72"/>
      <c r="BL121" s="72"/>
      <c r="BN121" s="72"/>
      <c r="BP121" s="72"/>
      <c r="BR121" s="72"/>
      <c r="BT121" s="72"/>
      <c r="BV121" s="72"/>
      <c r="BX121" s="72"/>
      <c r="BZ121" s="72"/>
      <c r="CB121" s="72"/>
      <c r="CD121" s="72"/>
      <c r="CF121" s="72"/>
      <c r="CH121" s="72"/>
      <c r="CJ121" s="72"/>
      <c r="CL121" s="72"/>
      <c r="CN121" s="72"/>
      <c r="CP121" s="72"/>
      <c r="CR121" s="72"/>
      <c r="CT121" s="72"/>
      <c r="CV121" s="72"/>
      <c r="CX121" s="72"/>
      <c r="CZ121" s="72"/>
      <c r="DB121" s="72"/>
      <c r="DD121" s="72"/>
      <c r="DF121" s="72"/>
      <c r="DH121" s="72"/>
      <c r="DJ121" s="72"/>
      <c r="DL121" s="72"/>
      <c r="DN121" s="72"/>
      <c r="DP121" s="72"/>
      <c r="DR121" s="72"/>
      <c r="DT121" s="532"/>
      <c r="DV121" s="532"/>
      <c r="DW121" s="724"/>
      <c r="DX121" s="532"/>
      <c r="DY121" s="724"/>
      <c r="DZ121" s="72"/>
      <c r="EA121" s="724"/>
      <c r="EB121" s="72"/>
      <c r="EC121" s="724"/>
      <c r="ED121" s="72"/>
      <c r="EE121" s="724"/>
      <c r="EF121" s="72"/>
      <c r="EG121" s="724"/>
      <c r="EH121" s="72"/>
      <c r="EI121" s="724"/>
      <c r="EJ121" s="72"/>
      <c r="EK121" s="724"/>
      <c r="EL121" s="72"/>
      <c r="EM121" s="724"/>
      <c r="EN121" s="72"/>
      <c r="EO121" s="724"/>
      <c r="EP121" s="72"/>
      <c r="EQ121" s="724"/>
      <c r="ER121" s="72"/>
      <c r="ES121" s="724"/>
      <c r="ET121" s="72"/>
      <c r="EU121" s="724"/>
      <c r="EV121" s="72"/>
      <c r="EW121" s="724"/>
      <c r="EX121" s="72"/>
      <c r="EY121" s="72"/>
      <c r="EZ121" s="310"/>
      <c r="FA121" s="72"/>
      <c r="FC121" s="72"/>
      <c r="FE121" s="72"/>
      <c r="FG121" s="72"/>
      <c r="FI121" s="72"/>
      <c r="FK121" s="72"/>
      <c r="FM121" s="72"/>
      <c r="FO121" s="72"/>
      <c r="FQ121" s="72"/>
      <c r="FR121" s="3"/>
      <c r="FS121" s="72"/>
      <c r="FT121" s="3"/>
      <c r="FU121" s="72"/>
      <c r="FV121" s="3"/>
      <c r="FW121" s="72"/>
      <c r="FX121" s="3"/>
      <c r="FY121" s="72"/>
      <c r="FZ121" s="3"/>
      <c r="GA121" s="72"/>
      <c r="GB121" s="3"/>
      <c r="GC121" s="72"/>
      <c r="GD121" s="3"/>
      <c r="GE121" s="72"/>
      <c r="GF121" s="3"/>
      <c r="GG121" s="72"/>
      <c r="GH121" s="3"/>
      <c r="GI121" s="72"/>
      <c r="GJ121" s="3"/>
      <c r="GK121" s="72"/>
      <c r="GL121" s="3"/>
      <c r="GM121" s="72"/>
      <c r="GN121" s="3"/>
      <c r="GO121" s="72"/>
      <c r="GP121" s="3"/>
      <c r="GQ121" s="72"/>
      <c r="GS121" s="72"/>
      <c r="GU121" s="72"/>
      <c r="GW121" s="72"/>
      <c r="GY121" s="72"/>
      <c r="GZ121" s="72"/>
      <c r="HA121" s="72"/>
      <c r="HB121" s="72"/>
      <c r="HC121"/>
      <c r="HD121"/>
      <c r="HE121"/>
      <c r="HF121"/>
      <c r="HG121"/>
      <c r="HH121"/>
      <c r="HI121" s="2"/>
    </row>
    <row r="122" spans="1:217" s="69" customFormat="1" ht="12.75" customHeight="1" x14ac:dyDescent="0.2">
      <c r="B122" s="77" t="s">
        <v>446</v>
      </c>
      <c r="C122" s="81">
        <f>C115/C109*100</f>
        <v>49.152542372881356</v>
      </c>
      <c r="D122" s="72"/>
      <c r="E122" s="81">
        <f>E115/E109*100</f>
        <v>41.916167664670652</v>
      </c>
      <c r="F122" s="72"/>
      <c r="G122" s="81">
        <f>G115/G109*100</f>
        <v>50.320512820512818</v>
      </c>
      <c r="H122" s="72"/>
      <c r="I122" s="81">
        <f>I115/I109*100</f>
        <v>54.573170731707322</v>
      </c>
      <c r="J122" s="72"/>
      <c r="K122" s="81">
        <f>K115/K109*100</f>
        <v>46.449704142011832</v>
      </c>
      <c r="L122" s="72">
        <f>IF(ISERROR(K122/C122),"NA",IF(OR(K122/C122&gt;2,K122/C122&lt;0.5),"NM",K122/C122*100-100))</f>
        <v>-5.4988777800448929</v>
      </c>
      <c r="M122" s="81">
        <f>M115/M109*100</f>
        <v>49.147727272727273</v>
      </c>
      <c r="N122" s="72">
        <f>IF(ISERROR(M122/E122),"NA",IF(OR(M122/E122&gt;2,M122/E122&lt;0.5),"NM",M122/E122*100-100))</f>
        <v>17.252435064935085</v>
      </c>
      <c r="O122" s="81">
        <f>O115/O109*100</f>
        <v>51.724137931034484</v>
      </c>
      <c r="P122" s="72">
        <f>IF(ISERROR(O122/G122),"NA",IF(OR(O122/G122&gt;2,O122/G122&lt;0.5),"NM",O122/G122*100-100))</f>
        <v>2.7893696463870015</v>
      </c>
      <c r="Q122" s="81">
        <f>Q115/Q109*100</f>
        <v>51.392405063291136</v>
      </c>
      <c r="R122" s="72">
        <f>IF(ISERROR(Q122/I122),"NA",IF(OR(Q122/I122&gt;2,Q122/I122&lt;0.5),"NM",Q122/I122*100-100))</f>
        <v>-5.8284421186620534</v>
      </c>
      <c r="S122" s="81">
        <f>S115/S109*100</f>
        <v>42.156862745098039</v>
      </c>
      <c r="T122" s="72">
        <f>IF(ISERROR(S122/K122),"NA",IF(OR(S122/K122&gt;2,S122/K122&lt;0.5),"NM",S122/K122*100-100))</f>
        <v>-9.2419133258398887</v>
      </c>
      <c r="U122" s="81">
        <f>U115/U109*100</f>
        <v>40.378548895899051</v>
      </c>
      <c r="V122" s="72">
        <f>IF(ISERROR(U122/M122),"NA",IF(OR(U122/M122&gt;2,U122/M122&lt;0.5),"NM",U122/M122*100-100))</f>
        <v>-17.842490107766096</v>
      </c>
      <c r="W122" s="81">
        <f>W115/W109*100</f>
        <v>42.577030812324928</v>
      </c>
      <c r="X122" s="72">
        <f>IF(ISERROR(W122/O122),"NA",IF(OR(W122/O122&gt;2,W122/O122&lt;0.5),"NM",W122/O122*100-100))</f>
        <v>-17.68440709617181</v>
      </c>
      <c r="Y122" s="81">
        <f>Y115/Y109*100</f>
        <v>65.967365967365964</v>
      </c>
      <c r="Z122" s="72">
        <f>IF(ISERROR(Y122/Q122),"NA",IF(OR(Y122/Q122&gt;2,Y122/Q122&lt;0.5),"NM",Y122/Q122*100-100))</f>
        <v>28.36014560152492</v>
      </c>
      <c r="AA122" s="81">
        <f>AA115/AA109*100</f>
        <v>49.712643678160916</v>
      </c>
      <c r="AB122" s="72">
        <f>IF(ISERROR(AA122/S122),"NA",IF(OR(AA122/S122&gt;2,AA122/S122&lt;0.5),"NM",AA122/S122*100-100))</f>
        <v>17.923015236567764</v>
      </c>
      <c r="AC122" s="81">
        <f>AC115/AC109*100</f>
        <v>50.282485875706215</v>
      </c>
      <c r="AD122" s="72">
        <f>IF(ISERROR(AC122/U122),"NA",IF(OR(AC122/U122&gt;2,AC122/U122&lt;0.5),"NM",AC122/U122*100-100))</f>
        <v>24.527718926553675</v>
      </c>
      <c r="AE122" s="81">
        <f>AE115/AE109*100</f>
        <v>58.132530120481931</v>
      </c>
      <c r="AF122" s="72">
        <f>IF(ISERROR(AE122/W122),"NA",IF(OR(AE122/W122&gt;2,AE122/W122&lt;0.5),"NM",AE122/W122*100-100))</f>
        <v>36.53495561192139</v>
      </c>
      <c r="AG122" s="81">
        <f>AG115/AG109*100</f>
        <v>71.720116618075807</v>
      </c>
      <c r="AH122" s="72">
        <f>IF(ISERROR(AG122/Y122),"NA",IF(OR(AG122/Y122&gt;2,AG122/Y122&lt;0.5),"NM",AG122/Y122*100-100))</f>
        <v>8.7206008097332983</v>
      </c>
      <c r="AI122" s="81">
        <f>AI115/AI109*100</f>
        <v>47.477744807121667</v>
      </c>
      <c r="AJ122" s="72">
        <f>IF(ISERROR(AI122/AA122),"NA",IF(OR(AI122/AA122&gt;2,AI122/AA122&lt;0.5),"NM",AI122/AA122*100-100))</f>
        <v>-4.4956347232465816</v>
      </c>
      <c r="AK122" s="81">
        <f>AK115/AK109*100</f>
        <v>44.011976047904191</v>
      </c>
      <c r="AL122" s="72">
        <f>IF(ISERROR(AK122/AC122),"NA",IF(OR(AK122/AC122&gt;2,AK122/AC122&lt;0.5),"NM",AK122/AC122*100-100))</f>
        <v>-12.470564488999528</v>
      </c>
      <c r="AM122" s="81">
        <f>AM115/AM109*100</f>
        <v>42.565597667638485</v>
      </c>
      <c r="AN122" s="72">
        <f>IF(ISERROR(AM122/AE122),"NA",IF(OR(AM122/AE122&gt;2,AM122/AE122&lt;0.5),"NM",AM122/AE122*100-100))</f>
        <v>-26.778350126134839</v>
      </c>
      <c r="AO122" s="81">
        <f>AO115/AO109*100</f>
        <v>44.956772334293952</v>
      </c>
      <c r="AP122" s="72">
        <f>IF(ISERROR(AO122/AG122),"NA",IF(OR(AO122/AG122&gt;2,AO122/AG122&lt;0.5),"NM",AO122/AG122*100-100))</f>
        <v>-37.316370281858433</v>
      </c>
      <c r="AQ122" s="81">
        <f>AQ115/AQ109*100</f>
        <v>46.175637393767701</v>
      </c>
      <c r="AR122" s="72">
        <f>IF(ISERROR(AQ122/AI122),"NA",IF(OR(AQ122/AI122&gt;2,AQ122/AI122&lt;0.5),"NM",AQ122/AI122*100-100))</f>
        <v>-2.7425637393767914</v>
      </c>
      <c r="AS122" s="81">
        <f>AS115/AS109*100</f>
        <v>45.454545454545453</v>
      </c>
      <c r="AT122" s="72">
        <f>IF(ISERROR(AS122/AK122),"NA",IF(OR(AS122/AK122&gt;2,AS122/AK122&lt;0.5),"NM",AS122/AK122*100-100))</f>
        <v>3.2776747062461311</v>
      </c>
      <c r="AU122" s="81">
        <f>AU115/AU109*100</f>
        <v>33.670886075949369</v>
      </c>
      <c r="AV122" s="72">
        <f>IF(ISERROR(AU122/AM122),"NA",IF(OR(AU122/AM122&gt;2,AU122/AM122&lt;0.5),"NM",AU122/AM122*100-100))</f>
        <v>-20.896479972255932</v>
      </c>
      <c r="AW122" s="81">
        <f>AW115/AW109*100</f>
        <v>45.336787564766837</v>
      </c>
      <c r="AX122" s="72">
        <f>IF(ISERROR(AW122/AO122),"NA",IF(OR(AW122/AO122&gt;2,AW122/AO122&lt;0.5),"NM",AW122/AO122*100-100))</f>
        <v>0.84529028829545894</v>
      </c>
      <c r="AY122" s="81">
        <f>AY115/AY109*100</f>
        <v>43.989071038251367</v>
      </c>
      <c r="AZ122" s="72">
        <f>IF(ISERROR(AY122/AQ122),"NA",IF(OR(AY122/AQ122&gt;2,AY122/AQ122&lt;0.5),"NM",AY122/AQ122*100-100))</f>
        <v>-4.7353246840323067</v>
      </c>
      <c r="BA122" s="81">
        <f>BA115/BA109*100</f>
        <v>53.351206434316353</v>
      </c>
      <c r="BB122" s="72">
        <f>IF(ISERROR(BA122/AS122),"NA",IF(OR(BA122/AS122&gt;2,BA122/AS122&lt;0.5),"NM",BA122/AS122*100-100))</f>
        <v>17.372654155495979</v>
      </c>
      <c r="BC122" s="81">
        <f>BC115/BC109*100</f>
        <v>132.74336283185841</v>
      </c>
      <c r="BD122" s="72" t="str">
        <f>IF(ISERROR(BC122/AU122),"NA",IF(OR(BC122/AU122&gt;2,BC122/AU122&lt;0.5),"NM",BC122/AU122*100-100))</f>
        <v>NM</v>
      </c>
      <c r="BE122" s="81">
        <f>BE115/BE109*100</f>
        <v>52.864583333333336</v>
      </c>
      <c r="BF122" s="72">
        <f>IF(ISERROR(BE122/AW122),"NA",IF(OR(BE122/AW122&gt;2,BE122/AW122&lt;0.5),"NM",BE122/AW122*100-100))</f>
        <v>16.604166666666686</v>
      </c>
      <c r="BG122" s="81">
        <f>BG115/BG109*100</f>
        <v>59.2964824120603</v>
      </c>
      <c r="BH122" s="72">
        <f>IF(ISERROR(BG122/AY122),"NA",IF(OR(BG122/AY122&gt;2,BG122/AY122&lt;0.5),"NM",BG122/AY122*100-100))</f>
        <v>34.79821467586379</v>
      </c>
      <c r="BI122" s="81">
        <f>BI115/BI109*100</f>
        <v>52.051282051282058</v>
      </c>
      <c r="BJ122" s="72">
        <f>IF(ISERROR(BI122/BA122),"NA",IF(OR(BI122/BA122&gt;2,BI122/BA122&lt;0.5),"NM",BI122/BA122*100-100))</f>
        <v>-2.4365416827728126</v>
      </c>
      <c r="BK122" s="81">
        <f>BK115/BK109*100</f>
        <v>69.972451790633599</v>
      </c>
      <c r="BL122" s="72">
        <f>IF(ISERROR(BK122/BC122),"NA",IF(OR(BK122/BC122&gt;2,BK122/BC122&lt;0.5),"NM",BK122/BC122*100-100))</f>
        <v>-47.28741965105602</v>
      </c>
      <c r="BM122" s="81">
        <f>BM115/BM109*100</f>
        <v>50</v>
      </c>
      <c r="BN122" s="72">
        <f t="shared" si="706"/>
        <v>-5.4187192118226619</v>
      </c>
      <c r="BO122" s="81">
        <f>BO115/BO109*100</f>
        <v>55.196304849884527</v>
      </c>
      <c r="BP122" s="72">
        <f>IF(ISERROR(BO122/BG122),"NA",IF(OR(BO122/BG122&gt;2,BO122/BG122&lt;0.5),"NM",BO122/BG122*100-100))</f>
        <v>-6.9147062277371134</v>
      </c>
      <c r="BQ122" s="81">
        <f>BQ115/BQ109*100</f>
        <v>59.14489311163895</v>
      </c>
      <c r="BR122" s="72">
        <f>IF(ISERROR(BQ122/BI122),"NA",IF(OR(BQ122/BI122&gt;2,BQ122/BI122&lt;0.5),"NM",BQ122/BI122*100-100))</f>
        <v>13.628119771129008</v>
      </c>
      <c r="BS122" s="81">
        <f>BS115/BS109*100</f>
        <v>63.186813186813183</v>
      </c>
      <c r="BT122" s="72">
        <f>IF(ISERROR(BS122/BK122),"NA",IF(OR(BS122/BK122&gt;2,BS122/BK122&lt;0.5),"NM",BS122/BK122*100-100))</f>
        <v>-9.6975858786882299</v>
      </c>
      <c r="BU122" s="81">
        <f>BU115/BU109*100</f>
        <v>53.579175704989154</v>
      </c>
      <c r="BV122" s="72">
        <f>IF(ISERROR(BU122/BM122),"NA",IF(OR(BU122/BM122&gt;2,BU122/BM122&lt;0.5),"NM",BU122/BM122*100-100))</f>
        <v>7.1583514099783088</v>
      </c>
      <c r="BW122" s="81">
        <f>BW115/BW109*100</f>
        <v>62.385321100917437</v>
      </c>
      <c r="BX122" s="72">
        <f>IF(ISERROR(BW122/BO122),"NA",IF(OR(BW122/BO122&gt;2,BW122/BO122&lt;0.5),"NM",BW122/BO122*100-100))</f>
        <v>13.024452036390173</v>
      </c>
      <c r="BY122" s="81">
        <f>BY115/BY109*100</f>
        <v>55.803571428571431</v>
      </c>
      <c r="BZ122" s="72">
        <f>IF(ISERROR(BY122/BQ122),"NA",IF(OR(BY122/BQ122&gt;2,BY122/BQ122&lt;0.5),"NM",BY122/BQ122*100-100))</f>
        <v>-5.6493832472747982</v>
      </c>
      <c r="CA122" s="81">
        <f>CA115/CA109*100</f>
        <v>74.930362116991645</v>
      </c>
      <c r="CB122" s="72">
        <f>IF(ISERROR(CA122/BS122),"NA",IF(OR(CA122/BS122&gt;2,CA122/BS122&lt;0.5),"NM",CA122/BS122*100-100))</f>
        <v>18.585442654717227</v>
      </c>
      <c r="CC122" s="81">
        <f>CC115/CC109*100</f>
        <v>53.63247863247863</v>
      </c>
      <c r="CD122" s="72">
        <f>IF(ISERROR(CC122/BU122),"NA",IF(OR(CC122/BU122&gt;2,CC122/BU122&lt;0.5),"NM",CC122/BU122*100-100))</f>
        <v>9.9484411225290614E-2</v>
      </c>
      <c r="CE122" s="81">
        <f>CE115/CE109*100</f>
        <v>72.705882352941174</v>
      </c>
      <c r="CF122" s="72">
        <f>IF(ISERROR(CE122/BW122),"NA",IF(OR(CE122/BW122&gt;2,CE122/BW122&lt;0.5),"NM",CE122/BW122*100-100))</f>
        <v>16.543252595155707</v>
      </c>
      <c r="CG122" s="81">
        <f>CG115/CG109*100</f>
        <v>57.324840764331206</v>
      </c>
      <c r="CH122" s="72">
        <f>IF(ISERROR(CG122/BY122),"NA",IF(OR(CG122/BY122&gt;2,CG122/BY122&lt;0.5),"NM",CG122/BY122*100-100))</f>
        <v>2.7261146496815059</v>
      </c>
      <c r="CI122" s="81">
        <f>CI115/CI109*100</f>
        <v>75.931232091690546</v>
      </c>
      <c r="CJ122" s="72">
        <f>IF(ISERROR(CI122/CA122),"NA",IF(OR(CI122/CA122&gt;2,CI122/CA122&lt;0.5),"NM",CI122/CA122*100-100))</f>
        <v>1.335733535007094</v>
      </c>
      <c r="CK122" s="81">
        <f>CK115/CK109*100</f>
        <v>61.883408071748882</v>
      </c>
      <c r="CL122" s="72">
        <f>IF(ISERROR(CK122/CC122),"NA",IF(OR(CK122/CC122&gt;2,CK122/CC122&lt;0.5),"NM",CK122/CC122*100-100))</f>
        <v>15.384203097922239</v>
      </c>
      <c r="CM122" s="81">
        <f>CM115/CM109*100</f>
        <v>68.11926605504587</v>
      </c>
      <c r="CN122" s="72">
        <f>IF(ISERROR(CM122/CE122),"NA",IF(OR(CM122/CE122&gt;2,CM122/CE122&lt;0.5),"NM",CM122/CE122*100-100))</f>
        <v>-6.308452836911016</v>
      </c>
      <c r="CO122" s="81">
        <f>CO115/CO109*100</f>
        <v>58.643326039387311</v>
      </c>
      <c r="CP122" s="72">
        <f>IF(ISERROR(CO122/CG122),"NA",IF(OR(CO122/CG122&gt;2,CO122/CG122&lt;0.5),"NM",CO122/CG122*100-100))</f>
        <v>2.3000243131534432</v>
      </c>
      <c r="CQ122" s="81">
        <f>CQ115/CQ109*100</f>
        <v>89.644970414201183</v>
      </c>
      <c r="CR122" s="72">
        <f>IF(ISERROR(CQ122/CI122),"NA",IF(OR(CQ122/CI122&gt;2,CQ122/CI122&lt;0.5),"NM",CQ122/CI122*100-100))</f>
        <v>18.060734620966841</v>
      </c>
      <c r="CS122" s="81">
        <f>CS115/CS109*100</f>
        <v>63.157894736842103</v>
      </c>
      <c r="CT122" s="72">
        <f>IF(ISERROR(CS122/CK122),"NA",IF(OR(CS122/CK122&gt;2,CS122/CK122&lt;0.5),"NM",CS122/CK122*100-100))</f>
        <v>2.059496567505704</v>
      </c>
      <c r="CU122" s="81">
        <f>CU115/CU109*100</f>
        <v>66.818181818181827</v>
      </c>
      <c r="CV122" s="72">
        <f>IF(ISERROR(CU122/CM122),"NA",IF(OR(CU122/CM122&gt;2,CU122/CM122&lt;0.5),"NM",CU122/CM122*100-100))</f>
        <v>-1.9100091827364452</v>
      </c>
      <c r="CW122" s="81">
        <f>CW115/CW109*100</f>
        <v>76.419213973799131</v>
      </c>
      <c r="CX122" s="72">
        <f>IF(ISERROR(CW122/CO122),"NA",IF(OR(CW122/CO122&gt;2,CW122/CO122&lt;0.5),"NM",CW122/CO122*100-100))</f>
        <v>30.31186860457538</v>
      </c>
      <c r="CY122" s="81">
        <f>CY115/CY109*100</f>
        <v>50.592216582064296</v>
      </c>
      <c r="CZ122" s="72">
        <f>IF(ISERROR(CY122/CQ122),"NA",IF(OR(CY122/CQ122&gt;2,CY122/CQ122&lt;0.5),"NM",CY122/CQ122*100-100))</f>
        <v>-43.563798004165896</v>
      </c>
      <c r="DA122" s="81">
        <f>DA115/DA109*100</f>
        <v>61.190965092402458</v>
      </c>
      <c r="DB122" s="72">
        <f>IF(ISERROR(DA122/CS122),"NA",IF(OR(DA122/CS122&gt;2,DA122/CS122&lt;0.5),"NM",DA122/CS122*100-100))</f>
        <v>-3.1143052703627774</v>
      </c>
      <c r="DC122" s="81">
        <f>DC115/DC109*100</f>
        <v>66.101694915254242</v>
      </c>
      <c r="DD122" s="72">
        <f>IF(ISERROR(DC122/CU122),"NA",IF(OR(DC122/CU122&gt;2,DC122/CU122&lt;0.5),"NM",DC122/CU122*100-100))</f>
        <v>-1.0722933241093102</v>
      </c>
      <c r="DE122" s="81">
        <f>DE115/DE109*100</f>
        <v>64.099037138927102</v>
      </c>
      <c r="DF122" s="72">
        <f>IF(ISERROR(DE122/CW122),"NA",IF(OR(DE122/CW122&gt;2,DE122/CW122&lt;0.5),"NM",DE122/CW122*100-100))</f>
        <v>-16.121831401061115</v>
      </c>
      <c r="DG122" s="81">
        <f>DG115/DG109*100</f>
        <v>85.139860139860133</v>
      </c>
      <c r="DH122" s="72">
        <f>IF(ISERROR(DG122/CY122),"NA",IF(OR(DG122/CY122&gt;2,DG122/CY122&lt;0.5),"NM",DG122/CY122*100-100))</f>
        <v>68.286479406880716</v>
      </c>
      <c r="DI122" s="81">
        <f>DI115/DI109*100</f>
        <v>67.842031029619179</v>
      </c>
      <c r="DJ122" s="72">
        <f>IF(ISERROR(DI122/DA122),"NA",IF(OR(DI122/DA122&gt;2,DI122/DA122&lt;0.5),"NM",DI122/DA122*100-100))</f>
        <v>10.869359434310553</v>
      </c>
      <c r="DK122" s="81">
        <f>DK115/DK109*100</f>
        <v>72.58278145695364</v>
      </c>
      <c r="DL122" s="72">
        <f>IF(ISERROR(DK122/DC122),"NA",IF(OR(DK122/DC122&gt;2,DK122/DC122&lt;0.5),"NM",DK122/DC122*100-100))</f>
        <v>9.804720665647821</v>
      </c>
      <c r="DM122" s="81">
        <f>DM115/DM109*100</f>
        <v>68.692206076618234</v>
      </c>
      <c r="DN122" s="72">
        <f t="shared" ref="DN122:DZ126" si="778">IF(ISERROR(DM122/DE122),"NA",IF(OR(DM122/DE122&gt;2,DM122/DE122&lt;0.5),"NM",DM122/DE122*100-100))</f>
        <v>7.1657378062262893</v>
      </c>
      <c r="DO122" s="81">
        <f>DO115/DO109*100</f>
        <v>76.966292134831463</v>
      </c>
      <c r="DP122" s="72">
        <f t="shared" si="778"/>
        <v>-9.6001661167893246</v>
      </c>
      <c r="DQ122" s="81">
        <f>DQ115/DQ109*100</f>
        <v>68.318122555410682</v>
      </c>
      <c r="DR122" s="72">
        <f t="shared" si="778"/>
        <v>0.70176484778829717</v>
      </c>
      <c r="DS122" s="81">
        <f>DS115/DS109*100</f>
        <v>77.358490566037744</v>
      </c>
      <c r="DT122" s="532">
        <f t="shared" si="778"/>
        <v>6.5796722214571162</v>
      </c>
      <c r="DU122" s="81">
        <f>DU115/DU109*100</f>
        <v>91.68081494057725</v>
      </c>
      <c r="DV122" s="532">
        <f t="shared" si="778"/>
        <v>33.466109442340354</v>
      </c>
      <c r="DW122" s="81">
        <f>DW115/DW109*100</f>
        <v>65.872020075282308</v>
      </c>
      <c r="DX122" s="532">
        <f t="shared" si="778"/>
        <v>-14.414455668611311</v>
      </c>
      <c r="DY122" s="81">
        <f>DY115/DY109*100</f>
        <v>77.763328998699606</v>
      </c>
      <c r="DZ122" s="72">
        <f t="shared" si="778"/>
        <v>13.825330805348486</v>
      </c>
      <c r="EA122" s="81">
        <f>EA115/EA109*100</f>
        <v>78.717948717948715</v>
      </c>
      <c r="EB122" s="72">
        <f>IF(ISERROR(EA122/DS122),"NA",IF(OR(EA122/DS122&gt;2,EA122/DS122&lt;0.5),"NM",EA122/DS122*100-100))</f>
        <v>1.7573483427141667</v>
      </c>
      <c r="EC122" s="81">
        <f>EC115/EC109*100</f>
        <v>174.12844036697248</v>
      </c>
      <c r="ED122" s="72">
        <f>IF(ISERROR(EC122/DU122),"NA",IF(OR(EC122/DU122&gt;2,EC122/DU122&lt;0.5),"NM",EC122/DU122*100-100))</f>
        <v>89.928984029901471</v>
      </c>
      <c r="EE122" s="81">
        <f>EE115/EE109*100</f>
        <v>80.285343709468222</v>
      </c>
      <c r="EF122" s="72">
        <f>IF(ISERROR(EE122/DW122),"NA",IF(OR(EE122/DW122&gt;2,EE122/DW122&lt;0.5),"NM",EE122/DW122*100-100))</f>
        <v>21.880797974183182</v>
      </c>
      <c r="EG122" s="81">
        <f>EG115/EG109*100</f>
        <v>76.91326530612244</v>
      </c>
      <c r="EH122" s="72">
        <f>IF(ISERROR(EG122/DY122),"NA",IF(OR(EG122/DY122&gt;2,EG122/DY122&lt;0.5),"NM",EG122/DY122*100-100))</f>
        <v>-1.0931421063408777</v>
      </c>
      <c r="EI122" s="81">
        <f>EI115/EI109*100</f>
        <v>81.368821292775664</v>
      </c>
      <c r="EJ122" s="72">
        <f>IF(ISERROR(EI122/EA122),"NA",IF(OR(EI122/EA122&gt;2,EI122/EA122&lt;0.5),"NM",EI122/EA122*100-100))</f>
        <v>3.3675579940798457</v>
      </c>
      <c r="EK122" s="81">
        <f>EK115/EK109*100</f>
        <v>-2890</v>
      </c>
      <c r="EL122" s="72" t="str">
        <f>IF(ISERROR(EK122/EC122),"NA",IF(OR(EK122/EC122&gt;2,EK122/EC122&lt;0.5),"NM",EK122/EC122*100-100))</f>
        <v>NM</v>
      </c>
      <c r="EM122" s="81">
        <f>EM115/EM109*100</f>
        <v>74.797843665768198</v>
      </c>
      <c r="EN122" s="72">
        <f>IF(ISERROR(EM122/EE122),"NA",IF(OR(EM122/EE122&gt;2,EM122/EE122&lt;0.5),"NM",EM122/EE122*100-100))</f>
        <v>-6.8349960156586747</v>
      </c>
      <c r="EO122" s="81">
        <f>EO115/EO109*100</f>
        <v>83.762886597938149</v>
      </c>
      <c r="EP122" s="72">
        <f>IF(ISERROR(EO122/EG122),"NA",IF(OR(EO122/EG122&gt;2,EO122/EG122&lt;0.5),"NM",EO122/EG122*100-100))</f>
        <v>8.9056436032894055</v>
      </c>
      <c r="EQ122" s="86">
        <v>82</v>
      </c>
      <c r="ER122" s="72">
        <f t="shared" ref="ER122:ER126" si="779">IF(ISERROR(EQ122/EI122),"NA",IF(OR(EQ122/EI122&gt;2,EQ122/EI122&lt;0.5),"NM",EQ122/EI122*100-100))</f>
        <v>0.77570093457943301</v>
      </c>
      <c r="ES122" s="86">
        <f>EQ122-1</f>
        <v>81</v>
      </c>
      <c r="ET122" s="72" t="str">
        <f t="shared" ref="ET122:ET126" si="780">IF(ISERROR(ES122/EK122),"NA",IF(OR(ES122/EK122&gt;2,ES122/EK122&lt;0.5),"NM",ES122/EK122*100-100))</f>
        <v>NM</v>
      </c>
      <c r="EU122" s="86">
        <f>ES122-1</f>
        <v>80</v>
      </c>
      <c r="EV122" s="72">
        <f t="shared" ref="EV122:EV126" si="781">IF(ISERROR(EU122/EM122),"NA",IF(OR(EU122/EM122&gt;2,EU122/EM122&lt;0.5),"NM",EU122/EM122*100-100))</f>
        <v>6.9549549549549567</v>
      </c>
      <c r="EW122" s="86">
        <f>EU122-1</f>
        <v>79</v>
      </c>
      <c r="EX122" s="72">
        <f t="shared" ref="EX122:EX126" si="782">IF(ISERROR(EW122/EO122),"NA",IF(OR(EW122/EO122&gt;2,EW122/EO122&lt;0.5),"NM",EW122/EO122*100-100))</f>
        <v>-5.6861538461538572</v>
      </c>
      <c r="EY122" s="72"/>
      <c r="EZ122" s="310"/>
      <c r="FA122" s="72"/>
      <c r="FB122" s="81">
        <f>FB115/FB109*100</f>
        <v>40.887850467289724</v>
      </c>
      <c r="FC122" s="82"/>
      <c r="FD122" s="81">
        <f>FD115/FD109*100</f>
        <v>39.953810623556578</v>
      </c>
      <c r="FE122" s="72">
        <f>IF(ISERROR(FD122/FB122),"NA",IF(OR(FD122/FB122&gt;2,FD122/FB122&lt;0.5),"NM",FD122/FB122*100-100))</f>
        <v>-2.2843945892444992</v>
      </c>
      <c r="FF122" s="81">
        <f>FF115/FF109*100</f>
        <v>48.945783132530117</v>
      </c>
      <c r="FG122" s="72">
        <f>IF(ISERROR(FF122/FD122),"NA",IF(OR(FF122/FD122&gt;2,FF122/FD122&lt;0.5),"NM",FF122/FD122*100-100))</f>
        <v>22.505919632286393</v>
      </c>
      <c r="FH122" s="81">
        <f>FH115/FH109*100</f>
        <v>49.715099715099711</v>
      </c>
      <c r="FI122" s="72">
        <f>IF(ISERROR(FH122/FF122),"NA",IF(OR(FH122/FF122&gt;2,FH122/FF122&lt;0.5),"NM",FH122/FF122*100-100))</f>
        <v>1.5717729563883438</v>
      </c>
      <c r="FJ122" s="81">
        <f>FJ115/FJ109*100</f>
        <v>49.112845990063875</v>
      </c>
      <c r="FK122" s="72">
        <f>IF(ISERROR(FJ122/FH122),"NA",IF(OR(FJ122/FH122&gt;2,FJ122/FH122&lt;0.5),"NM",FJ122/FH122*100-100))</f>
        <v>-1.2114100715620566</v>
      </c>
      <c r="FL122" s="81">
        <f>FL115/FL109*100</f>
        <v>57.371096586782869</v>
      </c>
      <c r="FM122" s="72">
        <f>IF(ISERROR(FL122/FJ122),"NA",IF(OR(FL122/FJ122&gt;2,FL122/FJ122&lt;0.5),"NM",FL122/FJ122*100-100))</f>
        <v>16.814848397076673</v>
      </c>
      <c r="FN122" s="81">
        <f>FN115/FN109*100</f>
        <v>44.746509919177072</v>
      </c>
      <c r="FO122" s="72">
        <f>IF(ISERROR(FN122/FL122),"NA",IF(OR(FN122/FL122&gt;2,FN122/FL122&lt;0.5),"NM",FN122/FL122*100-100))</f>
        <v>-22.005133976320479</v>
      </c>
      <c r="FP122" s="81">
        <f>FP115/FP109*100</f>
        <v>42.462987886944816</v>
      </c>
      <c r="FQ122" s="72">
        <f>IF(ISERROR(FP122/FN122),"NA",IF(OR(FP122/FN122&gt;2,FP122/FN122&lt;0.5),"NM",FP122/FN122*100-100))</f>
        <v>-5.1032405350871954</v>
      </c>
      <c r="FR122" s="81">
        <f>FR115/FR109*100</f>
        <v>63.973313565604151</v>
      </c>
      <c r="FS122" s="72">
        <f>IF(ISERROR(FR122/FP122),"NA",IF(OR(FR122/FP122&gt;2,FR122/FP122&lt;0.5),"NM",FR122/FP122*100-100))</f>
        <v>50.656646526921975</v>
      </c>
      <c r="FT122" s="81">
        <f>FT115/FT109*100</f>
        <v>57.469802924348379</v>
      </c>
      <c r="FU122" s="72">
        <f>IF(ISERROR(FT122/FR122),"NA",IF(OR(FT122/FR122&gt;2,FT122/FR122&lt;0.5),"NM",FT122/FR122*100-100))</f>
        <v>-10.165974339575939</v>
      </c>
      <c r="FV122" s="81">
        <f>FV115/FV109*100</f>
        <v>57.474687313877304</v>
      </c>
      <c r="FW122" s="72">
        <f>IF(ISERROR(FV122/FT122),"NA",IF(OR(FV122/FT122&gt;2,FV122/FT122&lt;0.5),"NM",FV122/FT122*100-100))</f>
        <v>8.4990539037619328E-3</v>
      </c>
      <c r="FX122" s="81">
        <f>FX115/FX109*100</f>
        <v>60.935672514619888</v>
      </c>
      <c r="FY122" s="72">
        <f>IF(ISERROR(FX122/FV122),"NA",IF(OR(FX122/FV122&gt;2,FX122/FV122&lt;0.5),"NM",FX122/FV122*100-100))</f>
        <v>6.0217555979759538</v>
      </c>
      <c r="FZ122" s="81">
        <f>FZ115/FZ109*100</f>
        <v>66.232998225901824</v>
      </c>
      <c r="GA122" s="72">
        <f>IF(ISERROR(FZ122/FX122),"NA",IF(OR(FZ122/FX122&gt;2,FZ122/FX122&lt;0.5),"NM",FZ122/FX122*100-100))</f>
        <v>8.6933080290711189</v>
      </c>
      <c r="GB122" s="81">
        <f>GB115/GB109*100</f>
        <v>68.585131894484405</v>
      </c>
      <c r="GC122" s="72">
        <f>IF(ISERROR(GB122/FZ122),"NA",IF(OR(GB122/FZ122&gt;2,GB122/FZ122&lt;0.5),"NM",GB122/FZ122*100-100))</f>
        <v>3.5513018156902945</v>
      </c>
      <c r="GD122" s="81">
        <f>GD115/GD109*100</f>
        <v>62.803643724696357</v>
      </c>
      <c r="GE122" s="72">
        <f>IF(ISERROR(GD122/GB122),"NA",IF(OR(GD122/GB122&gt;2,GD122/GB122&lt;0.5),"NM",GD122/GB122*100-100))</f>
        <v>-8.4296523314741734</v>
      </c>
      <c r="GF122" s="81">
        <f>GF115/GF109*100</f>
        <v>70.029455081001473</v>
      </c>
      <c r="GG122" s="72">
        <f>IF(ISERROR(GF122/GD122),"NA",IF(OR(GF122/GD122&gt;2,GF122/GD122&lt;0.5),"NM",GF122/GD122*100-100))</f>
        <v>11.505401482722718</v>
      </c>
      <c r="GH122" s="81">
        <f>GH115/GH109*100</f>
        <v>71.547977265128708</v>
      </c>
      <c r="GI122" s="72">
        <f t="shared" ref="GI122:GU126" si="783">IF(ISERROR(GH122/GF122),"NA",IF(OR(GH122/GF122&gt;2,GH122/GF122&lt;0.5),"NM",GH122/GF122*100-100))</f>
        <v>2.1684049695528813</v>
      </c>
      <c r="GJ122" s="81">
        <f>GJ115/GJ109*100</f>
        <v>77.220338983050851</v>
      </c>
      <c r="GK122" s="72">
        <f t="shared" si="783"/>
        <v>7.9280532235070638</v>
      </c>
      <c r="GL122" s="81">
        <f>GL115/GL109*100</f>
        <v>96.701388888888886</v>
      </c>
      <c r="GM122" s="72">
        <f t="shared" si="783"/>
        <v>25.227874109842929</v>
      </c>
      <c r="GN122" s="81">
        <f>GN115/GN109*100</f>
        <v>92.99085764040052</v>
      </c>
      <c r="GO122" s="72">
        <f t="shared" si="783"/>
        <v>-3.8371023323685733</v>
      </c>
      <c r="GP122" s="81">
        <f>GP115/GP109*100</f>
        <v>80.483150128492071</v>
      </c>
      <c r="GQ122" s="72">
        <f t="shared" si="783"/>
        <v>-13.450470109950246</v>
      </c>
      <c r="GR122" s="86">
        <f>GP122</f>
        <v>80.483150128492071</v>
      </c>
      <c r="GS122" s="72">
        <f t="shared" si="783"/>
        <v>0</v>
      </c>
      <c r="GT122" s="86">
        <f>GR122</f>
        <v>80.483150128492071</v>
      </c>
      <c r="GU122" s="72">
        <f t="shared" si="783"/>
        <v>0</v>
      </c>
      <c r="GV122" s="86">
        <f>GT122</f>
        <v>80.483150128492071</v>
      </c>
      <c r="GW122" s="72">
        <f>IF(ISERROR(GV122/GT122),"NA",IF(OR(GV122/GT122&gt;2,GV122/GT122&lt;0.5),"NM",GV122/GT122*100-100))</f>
        <v>0</v>
      </c>
      <c r="GX122" s="86">
        <f>GV122</f>
        <v>80.483150128492071</v>
      </c>
      <c r="GY122" s="72">
        <f>IF(ISERROR(GX122/GV122),"NA",IF(OR(GX122/GV122&gt;2,GX122/GV122&lt;0.5),"NM",GX122/GV122*100-100))</f>
        <v>0</v>
      </c>
      <c r="GZ122" s="72">
        <f>IF(ISERROR(((GX122/GN122)^0.2-1)*100),"NA",IF((((GX122/GN122)^0.2-1)*100)&gt;100,"NM",IF((((GX122/GN122)^0.2-1)*100)&lt;-50,"NM",((GX122/GN122)^0.2-1)*100)))</f>
        <v>-2.8477322052559151</v>
      </c>
      <c r="HA122" s="72"/>
      <c r="HB122" s="72"/>
      <c r="HC122"/>
      <c r="HD122"/>
      <c r="HE122"/>
      <c r="HF122"/>
      <c r="HG122"/>
      <c r="HH122"/>
      <c r="HI122" s="2"/>
    </row>
    <row r="123" spans="1:217" s="135" customFormat="1" ht="12.75" hidden="1" customHeight="1" outlineLevel="1" x14ac:dyDescent="0.2">
      <c r="B123" s="233" t="s">
        <v>316</v>
      </c>
      <c r="C123" s="136"/>
      <c r="D123" s="137"/>
      <c r="E123" s="136"/>
      <c r="F123" s="137"/>
      <c r="G123" s="136"/>
      <c r="H123" s="137"/>
      <c r="I123" s="136"/>
      <c r="J123" s="137"/>
      <c r="K123" s="136"/>
      <c r="L123" s="137"/>
      <c r="M123" s="136"/>
      <c r="N123" s="137"/>
      <c r="O123" s="136"/>
      <c r="P123" s="137"/>
      <c r="Q123" s="136"/>
      <c r="R123" s="137"/>
      <c r="S123" s="136"/>
      <c r="T123" s="137"/>
      <c r="U123" s="136"/>
      <c r="V123" s="137"/>
      <c r="W123" s="136"/>
      <c r="X123" s="137"/>
      <c r="Y123" s="136"/>
      <c r="Z123" s="137"/>
      <c r="AA123" s="136"/>
      <c r="AB123" s="137"/>
      <c r="AC123" s="136"/>
      <c r="AD123" s="137"/>
      <c r="AE123" s="136"/>
      <c r="AF123" s="137"/>
      <c r="AG123" s="136"/>
      <c r="AH123" s="137"/>
      <c r="AI123" s="136"/>
      <c r="AJ123" s="137"/>
      <c r="AK123" s="136"/>
      <c r="AL123" s="137"/>
      <c r="AM123" s="136"/>
      <c r="AN123" s="137"/>
      <c r="AO123" s="136"/>
      <c r="AP123" s="137"/>
      <c r="AQ123" s="136"/>
      <c r="AR123" s="137"/>
      <c r="AS123" s="136"/>
      <c r="AT123" s="137"/>
      <c r="AU123" s="136"/>
      <c r="AV123" s="137"/>
      <c r="AW123" s="136"/>
      <c r="AX123" s="137"/>
      <c r="AY123" s="136"/>
      <c r="AZ123" s="137"/>
      <c r="BA123" s="136"/>
      <c r="BB123" s="137"/>
      <c r="BC123" s="136"/>
      <c r="BD123" s="137"/>
      <c r="BE123" s="136"/>
      <c r="BF123" s="137"/>
      <c r="BG123" s="136"/>
      <c r="BH123" s="137"/>
      <c r="BI123" s="136"/>
      <c r="BJ123" s="137"/>
      <c r="BK123" s="136"/>
      <c r="BL123" s="137"/>
      <c r="BM123" s="136"/>
      <c r="BN123" s="137"/>
      <c r="BO123" s="136"/>
      <c r="BP123" s="137"/>
      <c r="BQ123" s="136"/>
      <c r="BR123" s="137"/>
      <c r="BS123" s="136"/>
      <c r="BT123" s="137"/>
      <c r="BU123" s="136"/>
      <c r="BV123" s="137"/>
      <c r="BW123" s="136"/>
      <c r="BX123" s="137"/>
      <c r="BY123" s="136"/>
      <c r="BZ123" s="137"/>
      <c r="CA123" s="136"/>
      <c r="CB123" s="137"/>
      <c r="CC123" s="136"/>
      <c r="CD123" s="137"/>
      <c r="CE123" s="136"/>
      <c r="CF123" s="137"/>
      <c r="CG123" s="136"/>
      <c r="CH123" s="137"/>
      <c r="CI123" s="136"/>
      <c r="CJ123" s="137"/>
      <c r="CK123" s="136"/>
      <c r="CL123" s="137"/>
      <c r="CM123" s="136"/>
      <c r="CN123" s="137"/>
      <c r="CO123" s="136"/>
      <c r="CP123" s="137"/>
      <c r="CQ123" s="136"/>
      <c r="CR123" s="137"/>
      <c r="CS123" s="136"/>
      <c r="CT123" s="137"/>
      <c r="CU123" s="136"/>
      <c r="CV123" s="137"/>
      <c r="CW123" s="136"/>
      <c r="CX123" s="137"/>
      <c r="CY123" s="136"/>
      <c r="CZ123" s="137"/>
      <c r="DA123" s="136"/>
      <c r="DB123" s="137"/>
      <c r="DC123" s="136"/>
      <c r="DD123" s="137"/>
      <c r="DE123" s="136"/>
      <c r="DF123" s="137"/>
      <c r="DG123" s="136"/>
      <c r="DH123" s="137"/>
      <c r="DI123" s="136"/>
      <c r="DJ123" s="137"/>
      <c r="DK123" s="136"/>
      <c r="DL123" s="137"/>
      <c r="DM123" s="136"/>
      <c r="DN123" s="72" t="str">
        <f t="shared" si="778"/>
        <v>NA</v>
      </c>
      <c r="DO123" s="136"/>
      <c r="DP123" s="72" t="str">
        <f t="shared" si="778"/>
        <v>NA</v>
      </c>
      <c r="DQ123" s="136"/>
      <c r="DR123" s="72" t="str">
        <f t="shared" si="778"/>
        <v>NA</v>
      </c>
      <c r="DS123" s="136"/>
      <c r="DT123" s="532" t="str">
        <f t="shared" si="778"/>
        <v>NA</v>
      </c>
      <c r="DU123" s="136"/>
      <c r="DV123" s="532" t="str">
        <f t="shared" si="778"/>
        <v>NA</v>
      </c>
      <c r="DW123" s="136"/>
      <c r="DX123" s="532" t="str">
        <f t="shared" si="778"/>
        <v>NA</v>
      </c>
      <c r="DY123" s="136"/>
      <c r="DZ123" s="72" t="str">
        <f t="shared" si="778"/>
        <v>NA</v>
      </c>
      <c r="EA123" s="136"/>
      <c r="EB123" s="72" t="str">
        <f>IF(ISERROR(EA123/DS123),"NA",IF(OR(EA123/DS123&gt;2,EA123/DS123&lt;0.5),"NM",EA123/DS123*100-100))</f>
        <v>NA</v>
      </c>
      <c r="EC123" s="136"/>
      <c r="ED123" s="72" t="str">
        <f>IF(ISERROR(EC123/DU123),"NA",IF(OR(EC123/DU123&gt;2,EC123/DU123&lt;0.5),"NM",EC123/DU123*100-100))</f>
        <v>NA</v>
      </c>
      <c r="EE123" s="136"/>
      <c r="EF123" s="72" t="str">
        <f>IF(ISERROR(EE123/DW123),"NA",IF(OR(EE123/DW123&gt;2,EE123/DW123&lt;0.5),"NM",EE123/DW123*100-100))</f>
        <v>NA</v>
      </c>
      <c r="EG123" s="136"/>
      <c r="EH123" s="72" t="str">
        <f>IF(ISERROR(EG123/DY123),"NA",IF(OR(EG123/DY123&gt;2,EG123/DY123&lt;0.5),"NM",EG123/DY123*100-100))</f>
        <v>NA</v>
      </c>
      <c r="EI123" s="136"/>
      <c r="EJ123" s="72" t="str">
        <f>IF(ISERROR(EI123/EA123),"NA",IF(OR(EI123/EA123&gt;2,EI123/EA123&lt;0.5),"NM",EI123/EA123*100-100))</f>
        <v>NA</v>
      </c>
      <c r="EK123" s="136"/>
      <c r="EL123" s="72" t="str">
        <f>IF(ISERROR(EK123/EC123),"NA",IF(OR(EK123/EC123&gt;2,EK123/EC123&lt;0.5),"NM",EK123/EC123*100-100))</f>
        <v>NA</v>
      </c>
      <c r="EM123" s="136"/>
      <c r="EN123" s="72" t="str">
        <f>IF(ISERROR(EM123/EE123),"NA",IF(OR(EM123/EE123&gt;2,EM123/EE123&lt;0.5),"NM",EM123/EE123*100-100))</f>
        <v>NA</v>
      </c>
      <c r="EO123" s="136"/>
      <c r="EP123" s="72" t="str">
        <f>IF(ISERROR(EO123/EG123),"NA",IF(OR(EO123/EG123&gt;2,EO123/EG123&lt;0.5),"NM",EO123/EG123*100-100))</f>
        <v>NA</v>
      </c>
      <c r="EQ123" s="720">
        <f>IF($B$6=1,EQ122,IF($B$6=2,EQ122+EQ878,IF($B$6=3,EQ122+EQ879)))</f>
        <v>82</v>
      </c>
      <c r="ER123" s="72" t="str">
        <f t="shared" si="779"/>
        <v>NA</v>
      </c>
      <c r="ES123" s="720">
        <f>IF($B$6=1,ES122,IF($B$6=2,ES122+ES878,IF($B$6=3,ES122+ES879)))</f>
        <v>81</v>
      </c>
      <c r="ET123" s="72" t="str">
        <f t="shared" si="780"/>
        <v>NA</v>
      </c>
      <c r="EU123" s="720">
        <f>IF($B$6=1,EU122,IF($B$6=2,EU122+EU878,IF($B$6=3,EU122+EU879)))</f>
        <v>80</v>
      </c>
      <c r="EV123" s="72" t="str">
        <f t="shared" si="781"/>
        <v>NA</v>
      </c>
      <c r="EW123" s="720">
        <f>IF($B$6=1,EW122,IF($B$6=2,EW122+EW878,IF($B$6=3,EW122+EW879)))</f>
        <v>79</v>
      </c>
      <c r="EX123" s="72" t="str">
        <f t="shared" si="782"/>
        <v>NA</v>
      </c>
      <c r="EY123" s="137"/>
      <c r="EZ123" s="318"/>
      <c r="FA123" s="137"/>
      <c r="FB123" s="136"/>
      <c r="FC123" s="138"/>
      <c r="FD123" s="136"/>
      <c r="FE123" s="137"/>
      <c r="FF123" s="136"/>
      <c r="FG123" s="137"/>
      <c r="FH123" s="136"/>
      <c r="FI123" s="137"/>
      <c r="FJ123" s="136"/>
      <c r="FK123" s="137"/>
      <c r="FL123" s="136"/>
      <c r="FM123" s="137"/>
      <c r="FN123" s="136"/>
      <c r="FO123" s="137"/>
      <c r="FP123" s="136"/>
      <c r="FQ123" s="137"/>
      <c r="FR123" s="136"/>
      <c r="FS123" s="137"/>
      <c r="FT123" s="136"/>
      <c r="FU123" s="137"/>
      <c r="FV123" s="136"/>
      <c r="FW123" s="137"/>
      <c r="FX123" s="136"/>
      <c r="FY123" s="137"/>
      <c r="FZ123" s="136"/>
      <c r="GA123" s="137"/>
      <c r="GB123" s="136"/>
      <c r="GC123" s="137"/>
      <c r="GD123" s="136"/>
      <c r="GE123" s="137"/>
      <c r="GF123" s="136"/>
      <c r="GG123" s="137"/>
      <c r="GH123" s="136"/>
      <c r="GI123" s="72" t="str">
        <f t="shared" si="783"/>
        <v>NA</v>
      </c>
      <c r="GJ123" s="136"/>
      <c r="GK123" s="72" t="str">
        <f t="shared" si="783"/>
        <v>NA</v>
      </c>
      <c r="GL123" s="136"/>
      <c r="GM123" s="72" t="str">
        <f t="shared" si="783"/>
        <v>NA</v>
      </c>
      <c r="GN123" s="136"/>
      <c r="GO123" s="72" t="str">
        <f t="shared" si="783"/>
        <v>NA</v>
      </c>
      <c r="GP123" s="136"/>
      <c r="GQ123" s="72" t="str">
        <f t="shared" si="783"/>
        <v>NA</v>
      </c>
      <c r="GR123" s="136">
        <f>IF($B$6=1,GR122,IF($B$6=2,GR122+GR878,IF($B$6=3,GR122+GR879)))</f>
        <v>80.483150128492071</v>
      </c>
      <c r="GS123" s="72" t="str">
        <f t="shared" si="783"/>
        <v>NA</v>
      </c>
      <c r="GT123" s="136">
        <f>IF($B$6=1,GT122,IF($B$6=2,GT122+GT878,IF($B$6=3,GT122+GT879)))</f>
        <v>80.483150128492071</v>
      </c>
      <c r="GU123" s="72">
        <f t="shared" si="783"/>
        <v>0</v>
      </c>
      <c r="GV123" s="136">
        <f>IF($B$6=1,GV122,IF($B$6=2,GV122+GV878,IF($B$6=3,GV122+GV879)))</f>
        <v>80.483150128492071</v>
      </c>
      <c r="GW123" s="72">
        <f>IF(ISERROR(GV123/GT123),"NA",IF(OR(GV123/GT123&gt;2,GV123/GT123&lt;0.5),"NM",GV123/GT123*100-100))</f>
        <v>0</v>
      </c>
      <c r="GX123" s="136">
        <f>IF($B$6=1,GX122,IF($B$6=2,GX122+GX878,IF($B$6=3,GX122+GX879)))</f>
        <v>80.483150128492071</v>
      </c>
      <c r="GY123" s="72">
        <f>IF(ISERROR(GX123/GV123),"NA",IF(OR(GX123/GV123&gt;2,GX123/GV123&lt;0.5),"NM",GX123/GV123*100-100))</f>
        <v>0</v>
      </c>
      <c r="GZ123" s="137"/>
      <c r="HA123" s="137"/>
      <c r="HB123" s="137"/>
      <c r="HC123"/>
      <c r="HD123"/>
      <c r="HE123"/>
      <c r="HF123"/>
      <c r="HG123"/>
      <c r="HH123"/>
      <c r="HI123" s="236"/>
    </row>
    <row r="124" spans="1:217" s="69" customFormat="1" ht="12.75" customHeight="1" collapsed="1" x14ac:dyDescent="0.2">
      <c r="B124" s="77" t="s">
        <v>157</v>
      </c>
      <c r="C124" s="81">
        <f>C116/C110*100</f>
        <v>32.989690721649481</v>
      </c>
      <c r="D124" s="72"/>
      <c r="E124" s="81">
        <f>E116/E110*100</f>
        <v>34.020618556701031</v>
      </c>
      <c r="F124" s="72"/>
      <c r="G124" s="81">
        <f>G116/G110*100</f>
        <v>35.483870967741936</v>
      </c>
      <c r="H124" s="72"/>
      <c r="I124" s="81">
        <f>I116/I110*100</f>
        <v>37.931034482758619</v>
      </c>
      <c r="J124" s="72"/>
      <c r="K124" s="81">
        <f>K116/K110*100</f>
        <v>35.353535353535356</v>
      </c>
      <c r="L124" s="72">
        <f>IF(ISERROR(K124/C124),"NA",IF(OR(K124/C124&gt;2,K124/C124&lt;0.5),"NM",K124/C124*100-100))</f>
        <v>7.16540404040407</v>
      </c>
      <c r="M124" s="81">
        <f>M116/M110*100</f>
        <v>35.051546391752574</v>
      </c>
      <c r="N124" s="72">
        <f>IF(ISERROR(M124/E124),"NA",IF(OR(M124/E124&gt;2,M124/E124&lt;0.5),"NM",M124/E124*100-100))</f>
        <v>3.0303030303030312</v>
      </c>
      <c r="O124" s="81">
        <f>O116/O110*100</f>
        <v>34.736842105263158</v>
      </c>
      <c r="P124" s="72">
        <f>IF(ISERROR(O124/G124),"NA",IF(OR(O124/G124&gt;2,O124/G124&lt;0.5),"NM",O124/G124*100-100))</f>
        <v>-2.1052631578947398</v>
      </c>
      <c r="Q124" s="81">
        <f>Q116/Q110*100</f>
        <v>35</v>
      </c>
      <c r="R124" s="72">
        <f>IF(ISERROR(Q124/I124),"NA",IF(OR(Q124/I124&gt;2,Q124/I124&lt;0.5),"NM",Q124/I124*100-100))</f>
        <v>-7.7272727272727337</v>
      </c>
      <c r="S124" s="81">
        <f>S116/S110*100</f>
        <v>31.428571428571427</v>
      </c>
      <c r="T124" s="72">
        <f>IF(ISERROR(S124/K124),"NA",IF(OR(S124/K124&gt;2,S124/K124&lt;0.5),"NM",S124/K124*100-100))</f>
        <v>-11.102040816326536</v>
      </c>
      <c r="U124" s="81">
        <f>U116/U110*100</f>
        <v>35.64356435643564</v>
      </c>
      <c r="V124" s="72">
        <f>IF(ISERROR(U124/M124),"NA",IF(OR(U124/M124&gt;2,U124/M124&lt;0.5),"NM",U124/M124*100-100))</f>
        <v>1.688992428654629</v>
      </c>
      <c r="W124" s="81">
        <f>W116/W110*100</f>
        <v>35.57692307692308</v>
      </c>
      <c r="X124" s="72">
        <f>IF(ISERROR(W124/O124),"NA",IF(OR(W124/O124&gt;2,W124/O124&lt;0.5),"NM",W124/O124*100-100))</f>
        <v>2.4184149184149248</v>
      </c>
      <c r="Y124" s="81">
        <f>Y116/Y110*100</f>
        <v>34.25925925925926</v>
      </c>
      <c r="Z124" s="72">
        <f>IF(ISERROR(Y124/Q124),"NA",IF(OR(Y124/Q124&gt;2,Y124/Q124&lt;0.5),"NM",Y124/Q124*100-100))</f>
        <v>-2.1164021164021136</v>
      </c>
      <c r="AA124" s="81">
        <f>AA116/AA110*100</f>
        <v>35.64356435643564</v>
      </c>
      <c r="AB124" s="72">
        <f>IF(ISERROR(AA124/S124),"NA",IF(OR(AA124/S124&gt;2,AA124/S124&lt;0.5),"NM",AA124/S124*100-100))</f>
        <v>13.4113411341134</v>
      </c>
      <c r="AC124" s="81">
        <f>AC116/AC110*100</f>
        <v>37.623762376237622</v>
      </c>
      <c r="AD124" s="72">
        <f>IF(ISERROR(AC124/U124),"NA",IF(OR(AC124/U124&gt;2,AC124/U124&lt;0.5),"NM",AC124/U124*100-100))</f>
        <v>5.5555555555555571</v>
      </c>
      <c r="AE124" s="81">
        <f>AE116/AE110*100</f>
        <v>39</v>
      </c>
      <c r="AF124" s="72">
        <f>IF(ISERROR(AE124/W124),"NA",IF(OR(AE124/W124&gt;2,AE124/W124&lt;0.5),"NM",AE124/W124*100-100))</f>
        <v>9.6216216216216139</v>
      </c>
      <c r="AG124" s="81">
        <f>AG116/AG110*100</f>
        <v>36.79245283018868</v>
      </c>
      <c r="AH124" s="72">
        <f>IF(ISERROR(AG124/Y124),"NA",IF(OR(AG124/Y124&gt;2,AG124/Y124&lt;0.5),"NM",AG124/Y124*100-100))</f>
        <v>7.394186639469666</v>
      </c>
      <c r="AI124" s="81">
        <f>AI116/AI110*100</f>
        <v>40.206185567010309</v>
      </c>
      <c r="AJ124" s="72">
        <f>IF(ISERROR(AI124/AA124),"NA",IF(OR(AI124/AA124&gt;2,AI124/AA124&lt;0.5),"NM",AI124/AA124*100-100))</f>
        <v>12.80068728522339</v>
      </c>
      <c r="AK124" s="81">
        <f>AK116/AK110*100</f>
        <v>42.268041237113401</v>
      </c>
      <c r="AL124" s="72">
        <f>IF(ISERROR(AK124/AC124),"NA",IF(OR(AK124/AC124&gt;2,AK124/AC124&lt;0.5),"NM",AK124/AC124*100-100))</f>
        <v>12.344004340748782</v>
      </c>
      <c r="AM124" s="81">
        <f>AM116/AM110*100</f>
        <v>40.384615384615387</v>
      </c>
      <c r="AN124" s="72">
        <f>IF(ISERROR(AM124/AE124),"NA",IF(OR(AM124/AE124&gt;2,AM124/AE124&lt;0.5),"NM",AM124/AE124*100-100))</f>
        <v>3.5502958579881607</v>
      </c>
      <c r="AO124" s="81">
        <f>AO116/AO110*100</f>
        <v>34.959349593495936</v>
      </c>
      <c r="AP124" s="72">
        <f>IF(ISERROR(AO124/AG124),"NA",IF(OR(AO124/AG124&gt;2,AO124/AG124&lt;0.5),"NM",AO124/AG124*100-100))</f>
        <v>-4.9822805920366875</v>
      </c>
      <c r="AQ124" s="81">
        <f>AQ116/AQ110*100</f>
        <v>33.6</v>
      </c>
      <c r="AR124" s="72">
        <f>IF(ISERROR(AQ124/AI124),"NA",IF(OR(AQ124/AI124&gt;2,AQ124/AI124&lt;0.5),"NM",AQ124/AI124*100-100))</f>
        <v>-16.430769230769229</v>
      </c>
      <c r="AS124" s="81">
        <f>AS116/AS110*100</f>
        <v>36.97478991596639</v>
      </c>
      <c r="AT124" s="72">
        <f>IF(ISERROR(AS124/AK124),"NA",IF(OR(AS124/AK124&gt;2,AS124/AK124&lt;0.5),"NM",AS124/AK124*100-100))</f>
        <v>-12.523058003689272</v>
      </c>
      <c r="AU124" s="81">
        <f>AU116/AU110*100</f>
        <v>34.126984126984127</v>
      </c>
      <c r="AV124" s="72">
        <f>IF(ISERROR(AU124/AM124),"NA",IF(OR(AU124/AM124&gt;2,AU124/AM124&lt;0.5),"NM",AU124/AM124*100-100))</f>
        <v>-15.495086923658363</v>
      </c>
      <c r="AW124" s="81">
        <f>AW116/AW110*100</f>
        <v>36.923076923076927</v>
      </c>
      <c r="AX124" s="72">
        <f>IF(ISERROR(AW124/AO124),"NA",IF(OR(AW124/AO124&gt;2,AW124/AO124&lt;0.5),"NM",AW124/AO124*100-100))</f>
        <v>5.6171735241502745</v>
      </c>
      <c r="AY124" s="81">
        <f>AY116/AY110*100</f>
        <v>38.095238095238095</v>
      </c>
      <c r="AZ124" s="72">
        <f>IF(ISERROR(AY124/AQ124),"NA",IF(OR(AY124/AQ124&gt;2,AY124/AQ124&lt;0.5),"NM",AY124/AQ124*100-100))</f>
        <v>13.378684807256235</v>
      </c>
      <c r="BA124" s="81">
        <f>BA116/BA110*100</f>
        <v>36.764705882352942</v>
      </c>
      <c r="BB124" s="72">
        <f>IF(ISERROR(BA124/AS124),"NA",IF(OR(BA124/AS124&gt;2,BA124/AS124&lt;0.5),"NM",BA124/AS124*100-100))</f>
        <v>-0.56818181818182723</v>
      </c>
      <c r="BC124" s="81">
        <f>BC116/BC110*100</f>
        <v>37.226277372262771</v>
      </c>
      <c r="BD124" s="72">
        <f>IF(ISERROR(BC124/AU124),"NA",IF(OR(BC124/AU124&gt;2,BC124/AU124&lt;0.5),"NM",BC124/AU124*100-100))</f>
        <v>9.0816499745374131</v>
      </c>
      <c r="BE124" s="81">
        <f>BE116/BE110*100</f>
        <v>36.241610738255034</v>
      </c>
      <c r="BF124" s="72">
        <f>IF(ISERROR(BE124/AW124),"NA",IF(OR(BE124/AW124&gt;2,BE124/AW124&lt;0.5),"NM",BE124/AW124*100-100))</f>
        <v>-1.8456375838926249</v>
      </c>
      <c r="BG124" s="81">
        <f>BG116/BG110*100</f>
        <v>34.838709677419352</v>
      </c>
      <c r="BH124" s="72">
        <f>IF(ISERROR(BG124/AY124),"NA",IF(OR(BG124/AY124&gt;2,BG124/AY124&lt;0.5),"NM",BG124/AY124*100-100))</f>
        <v>-8.5483870967742064</v>
      </c>
      <c r="BI124" s="81">
        <f>BI116/BI110*100</f>
        <v>33.540372670807457</v>
      </c>
      <c r="BJ124" s="72">
        <f>IF(ISERROR(BI124/BA124),"NA",IF(OR(BI124/BA124&gt;2,BI124/BA124&lt;0.5),"NM",BI124/BA124*100-100))</f>
        <v>-8.7701863354037215</v>
      </c>
      <c r="BK124" s="81">
        <f>BK116/BK110*100</f>
        <v>32.727272727272727</v>
      </c>
      <c r="BL124" s="72">
        <f>IF(ISERROR(BK124/BC124),"NA",IF(OR(BK124/BC124&gt;2,BK124/BC124&lt;0.5),"NM",BK124/BC124*100-100))</f>
        <v>-12.085561497326196</v>
      </c>
      <c r="BM124" s="81">
        <f>BM116/BM110*100</f>
        <v>32</v>
      </c>
      <c r="BN124" s="72">
        <f t="shared" si="706"/>
        <v>-11.703703703703709</v>
      </c>
      <c r="BO124" s="81">
        <f>BO116/BO110*100</f>
        <v>30.555555555555557</v>
      </c>
      <c r="BP124" s="72">
        <f>IF(ISERROR(BO124/BG124),"NA",IF(OR(BO124/BG124&gt;2,BO124/BG124&lt;0.5),"NM",BO124/BG124*100-100))</f>
        <v>-12.29423868312756</v>
      </c>
      <c r="BQ124" s="81">
        <f>BQ116/BQ110*100</f>
        <v>31.318681318681318</v>
      </c>
      <c r="BR124" s="72">
        <f>IF(ISERROR(BQ124/BI124),"NA",IF(OR(BQ124/BI124&gt;2,BQ124/BI124&lt;0.5),"NM",BQ124/BI124*100-100))</f>
        <v>-6.6239316239316395</v>
      </c>
      <c r="BS124" s="81">
        <f>BS116/BS110*100</f>
        <v>30.890052356020941</v>
      </c>
      <c r="BT124" s="72">
        <f>IF(ISERROR(BS124/BK124),"NA",IF(OR(BS124/BK124&gt;2,BS124/BK124&lt;0.5),"NM",BS124/BK124*100-100))</f>
        <v>-5.613728912158237</v>
      </c>
      <c r="BU124" s="81">
        <f>BU116/BU110*100</f>
        <v>30.612244897959183</v>
      </c>
      <c r="BV124" s="72">
        <f>IF(ISERROR(BU124/BM124),"NA",IF(OR(BU124/BM124&gt;2,BU124/BM124&lt;0.5),"NM",BU124/BM124*100-100))</f>
        <v>-4.3367346938775597</v>
      </c>
      <c r="BW124" s="81">
        <f>BW116/BW110*100</f>
        <v>31.472081218274113</v>
      </c>
      <c r="BX124" s="72">
        <f>IF(ISERROR(BW124/BO124),"NA",IF(OR(BW124/BO124&gt;2,BW124/BO124&lt;0.5),"NM",BW124/BO124*100-100))</f>
        <v>2.9995385325334496</v>
      </c>
      <c r="BY124" s="81">
        <f>BY116/BY110*100</f>
        <v>32.5</v>
      </c>
      <c r="BZ124" s="72">
        <f>IF(ISERROR(BY124/BQ124),"NA",IF(OR(BY124/BQ124&gt;2,BY124/BQ124&lt;0.5),"NM",BY124/BQ124*100-100))</f>
        <v>3.771929824561397</v>
      </c>
      <c r="CA124" s="81">
        <f>CA116/CA110*100</f>
        <v>33.170731707317074</v>
      </c>
      <c r="CB124" s="72">
        <f>IF(ISERROR(CA124/BS124),"NA",IF(OR(CA124/BS124&gt;2,CA124/BS124&lt;0.5),"NM",CA124/BS124*100-100))</f>
        <v>7.3832162050434107</v>
      </c>
      <c r="CC124" s="81">
        <f>CC116/CC110*100</f>
        <v>32.850241545893724</v>
      </c>
      <c r="CD124" s="72">
        <f>IF(ISERROR(CC124/BU124),"NA",IF(OR(CC124/BU124&gt;2,CC124/BU124&lt;0.5),"NM",CC124/BU124*100-100))</f>
        <v>7.3107890499195065</v>
      </c>
      <c r="CE124" s="81">
        <f>CE116/CE110*100</f>
        <v>32.394366197183103</v>
      </c>
      <c r="CF124" s="72">
        <f>IF(ISERROR(CE124/BW124),"NA",IF(OR(CE124/BW124&gt;2,CE124/BW124&lt;0.5),"NM",CE124/BW124*100-100))</f>
        <v>2.9304861426624456</v>
      </c>
      <c r="CG124" s="81">
        <f>CG116/CG110*100</f>
        <v>31.390134529147986</v>
      </c>
      <c r="CH124" s="72">
        <f>IF(ISERROR(CG124/BY124),"NA",IF(OR(CG124/BY124&gt;2,CG124/BY124&lt;0.5),"NM",CG124/BY124*100-100))</f>
        <v>-3.4149706795446662</v>
      </c>
      <c r="CI124" s="81">
        <f>CI116/CI110*100</f>
        <v>31.739130434782609</v>
      </c>
      <c r="CJ124" s="72">
        <f>IF(ISERROR(CI124/CA124),"NA",IF(OR(CI124/CA124&gt;2,CI124/CA124&lt;0.5),"NM",CI124/CA124*100-100))</f>
        <v>-4.3158567774936074</v>
      </c>
      <c r="CK124" s="81">
        <f>CK116/CK110*100</f>
        <v>30.37974683544304</v>
      </c>
      <c r="CL124" s="72">
        <f>IF(ISERROR(CK124/CC124),"NA",IF(OR(CK124/CC124&gt;2,CK124/CC124&lt;0.5),"NM",CK124/CC124*100-100))</f>
        <v>-7.5204765450484103</v>
      </c>
      <c r="CM124" s="81">
        <f>CM116/CM110*100</f>
        <v>30.084745762711862</v>
      </c>
      <c r="CN124" s="72">
        <f>IF(ISERROR(CM124/CE124),"NA",IF(OR(CM124/CE124&gt;2,CM124/CE124&lt;0.5),"NM",CM124/CE124*100-100))</f>
        <v>-7.1296978629329573</v>
      </c>
      <c r="CO124" s="81">
        <f>CO116/CO110*100</f>
        <v>30.204081632653061</v>
      </c>
      <c r="CP124" s="72">
        <f>IF(ISERROR(CO124/CG124),"NA",IF(OR(CO124/CG124&gt;2,CO124/CG124&lt;0.5),"NM",CO124/CG124*100-100))</f>
        <v>-3.7784256559766902</v>
      </c>
      <c r="CQ124" s="81">
        <f>CQ116/CQ110*100</f>
        <v>31.048387096774192</v>
      </c>
      <c r="CR124" s="72">
        <f>IF(ISERROR(CQ124/CI124),"NA",IF(OR(CQ124/CI124&gt;2,CQ124/CI124&lt;0.5),"NM",CQ124/CI124*100-100))</f>
        <v>-2.1763146266018651</v>
      </c>
      <c r="CS124" s="81">
        <f>CS116/CS110*100</f>
        <v>30.923694779116467</v>
      </c>
      <c r="CT124" s="72">
        <f>IF(ISERROR(CS124/CK124),"NA",IF(OR(CS124/CK124&gt;2,CS124/CK124&lt;0.5),"NM",CS124/CK124*100-100))</f>
        <v>1.7904953145916949</v>
      </c>
      <c r="CU124" s="81">
        <f>CU116/CU110*100</f>
        <v>30.314960629921263</v>
      </c>
      <c r="CV124" s="72">
        <f>IF(ISERROR(CU124/CM124),"NA",IF(OR(CU124/CM124&gt;2,CU124/CM124&lt;0.5),"NM",CU124/CM124*100-100))</f>
        <v>0.76522124875238262</v>
      </c>
      <c r="CW124" s="81">
        <f>CW116/CW110*100</f>
        <v>31.640625</v>
      </c>
      <c r="CX124" s="72">
        <f>IF(ISERROR(CW124/CO124),"NA",IF(OR(CW124/CO124&gt;2,CW124/CO124&lt;0.5),"NM",CW124/CO124*100-100))</f>
        <v>4.756123310810807</v>
      </c>
      <c r="CY124" s="81">
        <f>CY116/CY110*100</f>
        <v>31.800766283524908</v>
      </c>
      <c r="CZ124" s="72">
        <f>IF(ISERROR(CY124/CQ124),"NA",IF(OR(CY124/CQ124&gt;2,CY124/CQ124&lt;0.5),"NM",CY124/CQ124*100-100))</f>
        <v>2.4232472508334695</v>
      </c>
      <c r="DA124" s="81">
        <f>DA116/DA110*100</f>
        <v>33.587786259541986</v>
      </c>
      <c r="DB124" s="72">
        <f>IF(ISERROR(DA124/CS124),"NA",IF(OR(DA124/CS124&gt;2,DA124/CS124&lt;0.5),"NM",DA124/CS124*100-100))</f>
        <v>8.6150490730643412</v>
      </c>
      <c r="DC124" s="81">
        <f>DC116/DC110*100</f>
        <v>41.212121212121211</v>
      </c>
      <c r="DD124" s="72">
        <f>IF(ISERROR(DC124/CU124),"NA",IF(OR(DC124/CU124&gt;2,DC124/CU124&lt;0.5),"NM",DC124/CU124*100-100))</f>
        <v>35.946477764659562</v>
      </c>
      <c r="DE124" s="81">
        <f>DE116/DE110*100</f>
        <v>40.960451977401128</v>
      </c>
      <c r="DF124" s="72">
        <f>IF(ISERROR(DE124/CW124),"NA",IF(OR(DE124/CW124&gt;2,DE124/CW124&lt;0.5),"NM",DE124/CW124*100-100))</f>
        <v>29.455255632280114</v>
      </c>
      <c r="DG124" s="81">
        <f>DG116/DG110*100</f>
        <v>42.209631728045323</v>
      </c>
      <c r="DH124" s="72">
        <f>IF(ISERROR(DG124/CY124),"NA",IF(OR(DG124/CY124&gt;2,DG124/CY124&lt;0.5),"NM",DG124/CY124*100-100))</f>
        <v>32.73149254240758</v>
      </c>
      <c r="DI124" s="81">
        <f>DI116/DI110*100</f>
        <v>39.566395663956641</v>
      </c>
      <c r="DJ124" s="72">
        <f>IF(ISERROR(DI124/DA124),"NA",IF(OR(DI124/DA124&gt;2,DI124/DA124&lt;0.5),"NM",DI124/DA124*100-100))</f>
        <v>17.799950726779997</v>
      </c>
      <c r="DK124" s="81">
        <f>DK116/DK110*100</f>
        <v>37.343358395989974</v>
      </c>
      <c r="DL124" s="72">
        <f>IF(ISERROR(DK124/DC124),"NA",IF(OR(DK124/DC124&gt;2,DK124/DC124&lt;0.5),"NM",DK124/DC124*100-100))</f>
        <v>-9.387439186200794</v>
      </c>
      <c r="DM124" s="81">
        <f>DM116/DM110*100</f>
        <v>38.22784810126582</v>
      </c>
      <c r="DN124" s="72">
        <f t="shared" si="778"/>
        <v>-6.6713225665648253</v>
      </c>
      <c r="DO124" s="81">
        <f>DO116/DO110*100</f>
        <v>36.626506024096386</v>
      </c>
      <c r="DP124" s="72">
        <f t="shared" si="778"/>
        <v>-13.227136734858888</v>
      </c>
      <c r="DQ124" s="81">
        <f>DQ116/DQ110*100</f>
        <v>37.469586374695865</v>
      </c>
      <c r="DR124" s="72">
        <f t="shared" si="778"/>
        <v>-5.2994700529947067</v>
      </c>
      <c r="DS124" s="81">
        <f>DS116/DS110*100</f>
        <v>38.461538461538467</v>
      </c>
      <c r="DT124" s="532">
        <f t="shared" si="778"/>
        <v>2.9943211151264961</v>
      </c>
      <c r="DU124" s="81">
        <f>DU116/DU110*100</f>
        <v>39.119804400977998</v>
      </c>
      <c r="DV124" s="532">
        <f t="shared" si="778"/>
        <v>2.3332631681212632</v>
      </c>
      <c r="DW124" s="81">
        <f>DW116/DW110*100</f>
        <v>37.844036697247709</v>
      </c>
      <c r="DX124" s="532">
        <f t="shared" si="778"/>
        <v>3.3241791405118448</v>
      </c>
      <c r="DY124" s="81">
        <f>DY116/DY110*100</f>
        <v>38.954869358669839</v>
      </c>
      <c r="DZ124" s="72">
        <f t="shared" si="778"/>
        <v>3.9639695221643194</v>
      </c>
      <c r="EA124" s="81">
        <f>EA116/EA110*100</f>
        <v>37.61467889908257</v>
      </c>
      <c r="EB124" s="72">
        <f>IF(ISERROR(EA124/DS124),"NA",IF(OR(EA124/DS124&gt;2,EA124/DS124&lt;0.5),"NM",EA124/DS124*100-100))</f>
        <v>-2.2018348623853257</v>
      </c>
      <c r="EC124" s="81">
        <f>EC116/EC110*100</f>
        <v>37.977528089887642</v>
      </c>
      <c r="ED124" s="72">
        <f>IF(ISERROR(EC124/DU124),"NA",IF(OR(EC124/DU124&gt;2,EC124/DU124&lt;0.5),"NM",EC124/DU124*100-100))</f>
        <v>-2.9199438202247308</v>
      </c>
      <c r="EE124" s="81">
        <f>EE116/EE110*100</f>
        <v>36.460554371002132</v>
      </c>
      <c r="EF124" s="72">
        <f>IF(ISERROR(EE124/DW124),"NA",IF(OR(EE124/DW124&gt;2,EE124/DW124&lt;0.5),"NM",EE124/DW124*100-100))</f>
        <v>-3.6557472378367919</v>
      </c>
      <c r="EG124" s="81">
        <f>EG116/EG110*100</f>
        <v>37.288135593220339</v>
      </c>
      <c r="EH124" s="72">
        <f>IF(ISERROR(EG124/DY124),"NA",IF(OR(EG124/DY124&gt;2,EG124/DY124&lt;0.5),"NM",EG124/DY124*100-100))</f>
        <v>-4.278627532038044</v>
      </c>
      <c r="EI124" s="81">
        <f>EI116/EI110*100</f>
        <v>36.514522821576762</v>
      </c>
      <c r="EJ124" s="72">
        <f>IF(ISERROR(EI124/EA124),"NA",IF(OR(EI124/EA124&gt;2,EI124/EA124&lt;0.5),"NM",EI124/EA124*100-100))</f>
        <v>-2.9248051816617817</v>
      </c>
      <c r="EK124" s="81">
        <f>EK116/EK110*100</f>
        <v>36.853002070393373</v>
      </c>
      <c r="EL124" s="72">
        <f>IF(ISERROR(EK124/EC124),"NA",IF(OR(EK124/EC124&gt;2,EK124/EC124&lt;0.5),"NM",EK124/EC124*100-100))</f>
        <v>-2.9610300513310648</v>
      </c>
      <c r="EM124" s="81">
        <f>EM116/EM110*100</f>
        <v>37.603305785123972</v>
      </c>
      <c r="EN124" s="72">
        <f>IF(ISERROR(EM124/EE124),"NA",IF(OR(EM124/EE124&gt;2,EM124/EE124&lt;0.5),"NM",EM124/EE124*100-100))</f>
        <v>3.1342129428253855</v>
      </c>
      <c r="EO124" s="81">
        <f>EO116/EO110*100</f>
        <v>36.673346693386769</v>
      </c>
      <c r="EP124" s="72">
        <f>IF(ISERROR(EO124/EG124),"NA",IF(OR(EO124/EG124&gt;2,EO124/EG124&lt;0.5),"NM",EO124/EG124*100-100))</f>
        <v>-1.6487520495536643</v>
      </c>
      <c r="EQ124" s="86">
        <v>37</v>
      </c>
      <c r="ER124" s="72">
        <f t="shared" si="779"/>
        <v>1.3295454545454675</v>
      </c>
      <c r="ES124" s="86">
        <f t="shared" ref="ES124:ES126" si="784">EQ124</f>
        <v>37</v>
      </c>
      <c r="ET124" s="72">
        <f t="shared" si="780"/>
        <v>0.39887640449438777</v>
      </c>
      <c r="EU124" s="86">
        <f t="shared" ref="EU124:EU126" si="785">ES124</f>
        <v>37</v>
      </c>
      <c r="EV124" s="72">
        <f t="shared" si="781"/>
        <v>-1.60439560439562</v>
      </c>
      <c r="EW124" s="86">
        <f t="shared" ref="EW124:EW126" si="786">EU124</f>
        <v>37</v>
      </c>
      <c r="EX124" s="72">
        <f t="shared" si="782"/>
        <v>0.8907103825136744</v>
      </c>
      <c r="EY124" s="72"/>
      <c r="EZ124" s="310"/>
      <c r="FA124" s="72"/>
      <c r="FB124" s="81">
        <f>FB116/FB110*100</f>
        <v>39</v>
      </c>
      <c r="FC124" s="82"/>
      <c r="FD124" s="81">
        <f>FD116/FD110*100</f>
        <v>39.87341772151899</v>
      </c>
      <c r="FE124" s="72">
        <f>IF(ISERROR(FD124/FB124),"NA",IF(OR(FD124/FB124&gt;2,FD124/FB124&lt;0.5),"NM",FD124/FB124*100-100))</f>
        <v>2.2395326192794727</v>
      </c>
      <c r="FF124" s="81">
        <f>FF116/FF110*100</f>
        <v>35.026737967914443</v>
      </c>
      <c r="FG124" s="72">
        <f>IF(ISERROR(FF124/FD124),"NA",IF(OR(FF124/FD124&gt;2,FF124/FD124&lt;0.5),"NM",FF124/FD124*100-100))</f>
        <v>-12.155165096341563</v>
      </c>
      <c r="FH124" s="81">
        <f>FH116/FH110*100</f>
        <v>35.038363171355499</v>
      </c>
      <c r="FI124" s="72">
        <f>IF(ISERROR(FH124/FF124),"NA",IF(OR(FH124/FF124&gt;2,FH124/FF124&lt;0.5),"NM",FH124/FF124*100-100))</f>
        <v>3.3189512114148556E-2</v>
      </c>
      <c r="FJ124" s="81">
        <f>FJ116/FJ110*100</f>
        <v>34.210526315789473</v>
      </c>
      <c r="FK124" s="72">
        <f>IF(ISERROR(FJ124/FH124),"NA",IF(OR(FJ124/FH124&gt;2,FJ124/FH124&lt;0.5),"NM",FJ124/FH124*100-100))</f>
        <v>-2.3626584709950009</v>
      </c>
      <c r="FL124" s="81">
        <f>FL116/FL110*100</f>
        <v>37.254901960784316</v>
      </c>
      <c r="FM124" s="72">
        <f>IF(ISERROR(FL124/FJ124),"NA",IF(OR(FL124/FJ124&gt;2,FL124/FJ124&lt;0.5),"NM",FL124/FJ124*100-100))</f>
        <v>8.8989441930618511</v>
      </c>
      <c r="FN124" s="81">
        <f>FN116/FN110*100</f>
        <v>39.192399049881232</v>
      </c>
      <c r="FO124" s="72">
        <f>IF(ISERROR(FN124/FL124),"NA",IF(OR(FN124/FL124&gt;2,FN124/FL124&lt;0.5),"NM",FN124/FL124*100-100))</f>
        <v>5.2006500812601359</v>
      </c>
      <c r="FP124" s="81">
        <f>FP116/FP110*100</f>
        <v>35.4</v>
      </c>
      <c r="FQ124" s="72">
        <f>IF(ISERROR(FP124/FN124),"NA",IF(OR(FP124/FN124&gt;2,FP124/FN124&lt;0.5),"NM",FP124/FN124*100-100))</f>
        <v>-9.6763636363636323</v>
      </c>
      <c r="FR124" s="81">
        <f>FR116/FR110*100</f>
        <v>37.043795620437962</v>
      </c>
      <c r="FS124" s="72">
        <f>IF(ISERROR(FR124/FP124),"NA",IF(OR(FR124/FP124&gt;2,FR124/FP124&lt;0.5),"NM",FR124/FP124*100-100))</f>
        <v>4.6434904532145964</v>
      </c>
      <c r="FT124" s="81">
        <f>FT116/FT110*100</f>
        <v>33.231707317073173</v>
      </c>
      <c r="FU124" s="72">
        <f>IF(ISERROR(FT124/FR124),"NA",IF(OR(FT124/FR124&gt;2,FT124/FR124&lt;0.5),"NM",FT124/FR124*100-100))</f>
        <v>-10.290760543073418</v>
      </c>
      <c r="FV124" s="81">
        <f>FV116/FV110*100</f>
        <v>30.841121495327101</v>
      </c>
      <c r="FW124" s="72">
        <f>IF(ISERROR(FV124/FT124),"NA",IF(OR(FV124/FT124&gt;2,FV124/FT124&lt;0.5),"NM",FV124/FT124*100-100))</f>
        <v>-7.1936894452542361</v>
      </c>
      <c r="FX124" s="81">
        <f>FX116/FX110*100</f>
        <v>32.509270704573545</v>
      </c>
      <c r="FY124" s="72">
        <f>IF(ISERROR(FX124/FV124),"NA",IF(OR(FX124/FV124&gt;2,FX124/FV124&lt;0.5),"NM",FX124/FV124*100-100))</f>
        <v>5.408847436041512</v>
      </c>
      <c r="FZ124" s="81">
        <f>FZ116/FZ110*100</f>
        <v>31.450719822812843</v>
      </c>
      <c r="GA124" s="72">
        <f>IF(ISERROR(FZ124/FX124),"NA",IF(OR(FZ124/FX124&gt;2,FZ124/FX124&lt;0.5),"NM",FZ124/FX124*100-100))</f>
        <v>-3.256150811195468</v>
      </c>
      <c r="GB124" s="81">
        <f>GB116/GB110*100</f>
        <v>30.572597137014313</v>
      </c>
      <c r="GC124" s="72">
        <f>IF(ISERROR(GB124/FZ124),"NA",IF(OR(GB124/FZ124&gt;2,GB124/FZ124&lt;0.5),"NM",GB124/FZ124*100-100))</f>
        <v>-2.7920591030847675</v>
      </c>
      <c r="GD124" s="81">
        <f>GD116/GD110*100</f>
        <v>31.848983543078411</v>
      </c>
      <c r="GE124" s="72">
        <f>IF(ISERROR(GD124/GB124),"NA",IF(OR(GD124/GB124&gt;2,GD124/GB124&lt;0.5),"NM",GD124/GB124*100-100))</f>
        <v>4.1749361375608345</v>
      </c>
      <c r="GF124" s="81">
        <f>GF116/GF110*100</f>
        <v>40.96728307254623</v>
      </c>
      <c r="GG124" s="72">
        <f>IF(ISERROR(GF124/GD124),"NA",IF(OR(GF124/GD124&gt;2,GF124/GD124&lt;0.5),"NM",GF124/GD124*100-100))</f>
        <v>28.629797610760647</v>
      </c>
      <c r="GH124" s="81">
        <f>GH116/GH110*100</f>
        <v>37.407407407407405</v>
      </c>
      <c r="GI124" s="72">
        <f t="shared" si="783"/>
        <v>-8.6895576131687307</v>
      </c>
      <c r="GJ124" s="81">
        <f>GJ116/GJ110*100</f>
        <v>38.585979628520072</v>
      </c>
      <c r="GK124" s="72">
        <f t="shared" si="783"/>
        <v>3.1506386108952427</v>
      </c>
      <c r="GL124" s="81">
        <f>GL116/GL110*100</f>
        <v>37.321624588364429</v>
      </c>
      <c r="GM124" s="72">
        <f t="shared" si="783"/>
        <v>-3.2767213695959185</v>
      </c>
      <c r="GN124" s="81">
        <f>GN116/GN110*100</f>
        <v>36.909650924024639</v>
      </c>
      <c r="GO124" s="72">
        <f t="shared" si="783"/>
        <v>-1.1038470829810194</v>
      </c>
      <c r="GP124" s="81">
        <f>GP116/GP110*100</f>
        <v>36.999999999999993</v>
      </c>
      <c r="GQ124" s="72">
        <f t="shared" si="783"/>
        <v>0.24478442280944535</v>
      </c>
      <c r="GR124" s="86">
        <f>GP124+0.5</f>
        <v>37.499999999999993</v>
      </c>
      <c r="GS124" s="72">
        <f t="shared" si="783"/>
        <v>1.3513513513513544</v>
      </c>
      <c r="GT124" s="86">
        <f>GR124+0.5</f>
        <v>37.999999999999993</v>
      </c>
      <c r="GU124" s="72">
        <f t="shared" si="783"/>
        <v>1.3333333333333428</v>
      </c>
      <c r="GV124" s="86">
        <f>GT124+0.2</f>
        <v>38.199999999999996</v>
      </c>
      <c r="GW124" s="72">
        <f>IF(ISERROR(GV124/GT124),"NA",IF(OR(GV124/GT124&gt;2,GV124/GT124&lt;0.5),"NM",GV124/GT124*100-100))</f>
        <v>0.52631578947368496</v>
      </c>
      <c r="GX124" s="86">
        <f>GV124+0.2</f>
        <v>38.4</v>
      </c>
      <c r="GY124" s="72">
        <f>IF(ISERROR(GX124/GV124),"NA",IF(OR(GX124/GV124&gt;2,GX124/GV124&lt;0.5),"NM",GX124/GV124*100-100))</f>
        <v>0.52356020942410453</v>
      </c>
      <c r="GZ124" s="72">
        <f>IF(ISERROR(((GX124/GN124)^0.2-1)*100),"NA",IF((((GX124/GN124)^0.2-1)*100)&gt;100,"NM",IF((((GX124/GN124)^0.2-1)*100)&lt;-50,"NM",((GX124/GN124)^0.2-1)*100)))</f>
        <v>0.79483013769867661</v>
      </c>
      <c r="HA124" s="72"/>
      <c r="HB124" s="72"/>
      <c r="HC124"/>
      <c r="HD124"/>
      <c r="HE124"/>
      <c r="HF124"/>
      <c r="HG124"/>
      <c r="HH124"/>
      <c r="HI124" s="2"/>
    </row>
    <row r="125" spans="1:217" s="3" customFormat="1" ht="12.75" customHeight="1" x14ac:dyDescent="0.2">
      <c r="B125" s="76" t="s">
        <v>428</v>
      </c>
      <c r="C125" s="81">
        <f>C118/C112*100</f>
        <v>51.434426229508205</v>
      </c>
      <c r="D125" s="72"/>
      <c r="E125" s="81">
        <f>E118/E112*100</f>
        <v>48.38012958963283</v>
      </c>
      <c r="F125" s="72"/>
      <c r="G125" s="81">
        <f>G118/G112*100</f>
        <v>61.187214611872143</v>
      </c>
      <c r="H125" s="72"/>
      <c r="I125" s="81">
        <f>I118/I112*100</f>
        <v>66.952789699570815</v>
      </c>
      <c r="J125" s="72"/>
      <c r="K125" s="81">
        <f>K118/K112*100</f>
        <v>44.967880085653107</v>
      </c>
      <c r="L125" s="72">
        <f>IF(ISERROR(K125/C125),"NA",IF(OR(K125/C125&gt;2,K125/C125&lt;0.5),"NM",K125/C125*100-100))</f>
        <v>-12.572408439048957</v>
      </c>
      <c r="M125" s="81">
        <f>M118/M112*100</f>
        <v>42.887029288702927</v>
      </c>
      <c r="N125" s="72">
        <f>IF(ISERROR(M125/E125),"NA",IF(OR(M125/E125&gt;2,M125/E125&lt;0.5),"NM",M125/E125*100-100))</f>
        <v>-11.354042139868497</v>
      </c>
      <c r="O125" s="81">
        <f>O118/O112*100</f>
        <v>42.093541202672604</v>
      </c>
      <c r="P125" s="72">
        <f>IF(ISERROR(O125/G125),"NA",IF(OR(O125/G125&gt;2,O125/G125&lt;0.5),"NM",O125/G125*100-100))</f>
        <v>-31.205331915035075</v>
      </c>
      <c r="Q125" s="81">
        <f>Q118/Q112*100</f>
        <v>52.571428571428569</v>
      </c>
      <c r="R125" s="72">
        <f>IF(ISERROR(Q125/I125),"NA",IF(OR(Q125/I125&gt;2,Q125/I125&lt;0.5),"NM",Q125/I125*100-100))</f>
        <v>-21.479853479853489</v>
      </c>
      <c r="S125" s="81">
        <f>S118/S112*100</f>
        <v>39.954853273137694</v>
      </c>
      <c r="T125" s="72">
        <f>IF(ISERROR(S125/K125),"NA",IF(OR(S125/K125&gt;2,S125/K125&lt;0.5),"NM",S125/K125*100-100))</f>
        <v>-11.148016768784274</v>
      </c>
      <c r="U125" s="81">
        <f>U118/U112*100</f>
        <v>39.120879120879124</v>
      </c>
      <c r="V125" s="72">
        <f>IF(ISERROR(U125/M125),"NA",IF(OR(U125/M125&gt;2,U125/M125&lt;0.5),"NM",U125/M125*100-100))</f>
        <v>-8.7815599035111092</v>
      </c>
      <c r="W125" s="81">
        <f>W118/W112*100</f>
        <v>35.555555555555557</v>
      </c>
      <c r="X125" s="72">
        <f>IF(ISERROR(W125/O125),"NA",IF(OR(W125/O125&gt;2,W125/O125&lt;0.5),"NM",W125/O125*100-100))</f>
        <v>-15.532039976484413</v>
      </c>
      <c r="Y125" s="81">
        <f>Y118/Y112*100</f>
        <v>33.157894736842103</v>
      </c>
      <c r="Z125" s="72">
        <f>IF(ISERROR(Y125/Q125),"NA",IF(OR(Y125/Q125&gt;2,Y125/Q125&lt;0.5),"NM",Y125/Q125*100-100))</f>
        <v>-36.927917620137308</v>
      </c>
      <c r="AA125" s="81">
        <f>AA118/AA112*100</f>
        <v>37.060041407867494</v>
      </c>
      <c r="AB125" s="72">
        <f>IF(ISERROR(AA125/S125),"NA",IF(OR(AA125/S125&gt;2,AA125/S125&lt;0.5),"NM",AA125/S125*100-100))</f>
        <v>-7.2452070978231546</v>
      </c>
      <c r="AC125" s="81">
        <f>AC118/AC112*100</f>
        <v>37.654320987654323</v>
      </c>
      <c r="AD125" s="72">
        <f>IF(ISERROR(AC125/U125),"NA",IF(OR(AC125/U125&gt;2,AC125/U125&lt;0.5),"NM",AC125/U125*100-100))</f>
        <v>-3.748786239422941</v>
      </c>
      <c r="AE125" s="81">
        <f>AE118/AE112*100</f>
        <v>36.83083511777302</v>
      </c>
      <c r="AF125" s="72">
        <f>IF(ISERROR(AE125/W125),"NA",IF(OR(AE125/W125&gt;2,AE125/W125&lt;0.5),"NM",AE125/W125*100-100))</f>
        <v>3.5867237687366043</v>
      </c>
      <c r="AG125" s="81">
        <f>AG118/AG112*100</f>
        <v>41.929133858267711</v>
      </c>
      <c r="AH125" s="72">
        <f>IF(ISERROR(AG125/Y125),"NA",IF(OR(AG125/Y125&gt;2,AG125/Y125&lt;0.5),"NM",AG125/Y125*100-100))</f>
        <v>26.452943382077237</v>
      </c>
      <c r="AI125" s="81">
        <f>AI118/AI112*100</f>
        <v>44.311377245508979</v>
      </c>
      <c r="AJ125" s="72">
        <f>IF(ISERROR(AI125/AA125),"NA",IF(OR(AI125/AA125&gt;2,AI125/AA125&lt;0.5),"NM",AI125/AA125*100-100))</f>
        <v>19.566453684809133</v>
      </c>
      <c r="AK125" s="81">
        <f>AK118/AK112*100</f>
        <v>44.970414201183431</v>
      </c>
      <c r="AL125" s="72">
        <f>IF(ISERROR(AK125/AC125),"NA",IF(OR(AK125/AC125&gt;2,AK125/AC125&lt;0.5),"NM",AK125/AC125*100-100))</f>
        <v>19.429624599864198</v>
      </c>
      <c r="AM125" s="81">
        <f>AM118/AM112*100</f>
        <v>44.339622641509436</v>
      </c>
      <c r="AN125" s="72">
        <f>IF(ISERROR(AM125/AE125),"NA",IF(OR(AM125/AE125&gt;2,AM125/AE125&lt;0.5),"NM",AM125/AE125*100-100))</f>
        <v>20.38723124177271</v>
      </c>
      <c r="AO125" s="81">
        <f>AO118/AO112*100</f>
        <v>45.981308411214954</v>
      </c>
      <c r="AP125" s="72">
        <f>IF(ISERROR(AO125/AG125),"NA",IF(OR(AO125/AG125&gt;2,AO125/AG125&lt;0.5),"NM",AO125/AG125*100-100))</f>
        <v>9.6643411873107823</v>
      </c>
      <c r="AQ125" s="81">
        <f>AQ118/AQ112*100</f>
        <v>37.030075187969928</v>
      </c>
      <c r="AR125" s="72">
        <f>IF(ISERROR(AQ125/AI125),"NA",IF(OR(AQ125/AI125&gt;2,AQ125/AI125&lt;0.5),"NM",AQ125/AI125*100-100))</f>
        <v>-16.432127616338136</v>
      </c>
      <c r="AS125" s="81">
        <f>AS118/AS112*100</f>
        <v>39.963503649635037</v>
      </c>
      <c r="AT125" s="72">
        <f>IF(ISERROR(AS125/AK125),"NA",IF(OR(AS125/AK125&gt;2,AS125/AK125&lt;0.5),"NM",AS125/AK125*100-100))</f>
        <v>-11.133787936995773</v>
      </c>
      <c r="AU125" s="81">
        <f>AU118/AU112*100</f>
        <v>35.714285714285715</v>
      </c>
      <c r="AV125" s="72">
        <f>IF(ISERROR(AU125/AM125),"NA",IF(OR(AU125/AM125&gt;2,AU125/AM125&lt;0.5),"NM",AU125/AM125*100-100))</f>
        <v>-19.452887537993917</v>
      </c>
      <c r="AW125" s="81">
        <f>AW118/AW112*100</f>
        <v>35.172413793103445</v>
      </c>
      <c r="AX125" s="72">
        <f>IF(ISERROR(AW125/AO125),"NA",IF(OR(AW125/AO125&gt;2,AW125/AO125&lt;0.5),"NM",AW125/AO125*100-100))</f>
        <v>-23.507148864592097</v>
      </c>
      <c r="AY125" s="81">
        <f>AY118/AY112*100</f>
        <v>36.851520572450809</v>
      </c>
      <c r="AZ125" s="72">
        <f>IF(ISERROR(AY125/AQ125),"NA",IF(OR(AY125/AQ125&gt;2,AY125/AQ125&lt;0.5),"NM",AY125/AQ125*100-100))</f>
        <v>-0.48218809876229329</v>
      </c>
      <c r="BA125" s="81">
        <f>BA118/BA112*100</f>
        <v>36.518771331058019</v>
      </c>
      <c r="BB125" s="72">
        <f>IF(ISERROR(BA125/AS125),"NA",IF(OR(BA125/AS125&gt;2,BA125/AS125&lt;0.5),"NM",BA125/AS125*100-100))</f>
        <v>-8.6196954821013918</v>
      </c>
      <c r="BC125" s="81">
        <f>BC118/BC112*100</f>
        <v>47.965738758029978</v>
      </c>
      <c r="BD125" s="72">
        <f>IF(ISERROR(BC125/AU125),"NA",IF(OR(BC125/AU125&gt;2,BC125/AU125&lt;0.5),"NM",BC125/AU125*100-100))</f>
        <v>34.304068522483931</v>
      </c>
      <c r="BE125" s="81">
        <f>BE118/BE112*100</f>
        <v>37.851239669421489</v>
      </c>
      <c r="BF125" s="72">
        <f>IF(ISERROR(BE125/AW125),"NA",IF(OR(BE125/AW125&gt;2,BE125/AW125&lt;0.5),"NM",BE125/AW125*100-100))</f>
        <v>7.6162696483552281</v>
      </c>
      <c r="BG125" s="81">
        <f>BG118/BG112*100</f>
        <v>35.974643423137877</v>
      </c>
      <c r="BH125" s="72">
        <f>IF(ISERROR(BG125/AY125),"NA",IF(OR(BG125/AY125&gt;2,BG125/AY125&lt;0.5),"NM",BG125/AY125*100-100))</f>
        <v>-2.3794870216792674</v>
      </c>
      <c r="BI125" s="81">
        <f>BI118/BI112*100</f>
        <v>38.950715421303656</v>
      </c>
      <c r="BJ125" s="72">
        <f>IF(ISERROR(BI125/BA125),"NA",IF(OR(BI125/BA125&gt;2,BI125/BA125&lt;0.5),"NM",BI125/BA125*100-100))</f>
        <v>6.6594356863735698</v>
      </c>
      <c r="BK125" s="81">
        <f>BK118/BK112*100</f>
        <v>37.946428571428569</v>
      </c>
      <c r="BL125" s="72">
        <f>IF(ISERROR(BK125/BC125),"NA",IF(OR(BK125/BC125&gt;2,BK125/BC125&lt;0.5),"NM",BK125/BC125*100-100))</f>
        <v>-20.888472576530617</v>
      </c>
      <c r="BM125" s="81">
        <f>BM118/BM112*100</f>
        <v>37.910447761194028</v>
      </c>
      <c r="BN125" s="72">
        <f t="shared" si="706"/>
        <v>0.15642312455190677</v>
      </c>
      <c r="BO125" s="81">
        <f>BO118/BO112*100</f>
        <v>34.558823529411761</v>
      </c>
      <c r="BP125" s="72">
        <f>IF(ISERROR(BO125/BG125),"NA",IF(OR(BO125/BG125&gt;2,BO125/BG125&lt;0.5),"NM",BO125/BG125*100-100))</f>
        <v>-3.9356050790360371</v>
      </c>
      <c r="BQ125" s="81">
        <f>BQ118/BQ112*100</f>
        <v>36.68639053254438</v>
      </c>
      <c r="BR125" s="72">
        <f>IF(ISERROR(BQ125/BI125),"NA",IF(OR(BQ125/BI125&gt;2,BQ125/BI125&lt;0.5),"NM",BQ125/BI125*100-100))</f>
        <v>-5.8133075715493305</v>
      </c>
      <c r="BS125" s="81">
        <f>BS118/BS112*100</f>
        <v>37.390029325513197</v>
      </c>
      <c r="BT125" s="72">
        <f>IF(ISERROR(BS125/BK125),"NA",IF(OR(BS125/BK125&gt;2,BS125/BK125&lt;0.5),"NM",BS125/BK125*100-100))</f>
        <v>-1.4662756598240492</v>
      </c>
      <c r="BU125" s="81">
        <f>BU118/BU112*100</f>
        <v>32.541899441340782</v>
      </c>
      <c r="BV125" s="72">
        <f>IF(ISERROR(BU125/BM125),"NA",IF(OR(BU125/BM125&gt;2,BU125/BM125&lt;0.5),"NM",BU125/BM125*100-100))</f>
        <v>-14.161131394888486</v>
      </c>
      <c r="BW125" s="81">
        <f>BW118/BW112*100</f>
        <v>35.588235294117645</v>
      </c>
      <c r="BX125" s="72">
        <f>IF(ISERROR(BW125/BO125),"NA",IF(OR(BW125/BO125&gt;2,BW125/BO125&lt;0.5),"NM",BW125/BO125*100-100))</f>
        <v>2.9787234042553337</v>
      </c>
      <c r="BY125" s="81">
        <f>BY118/BY112*100</f>
        <v>37.268847795163587</v>
      </c>
      <c r="BZ125" s="72">
        <f>IF(ISERROR(BY125/BQ125),"NA",IF(OR(BY125/BQ125&gt;2,BY125/BQ125&lt;0.5),"NM",BY125/BQ125*100-100))</f>
        <v>1.5876657642362346</v>
      </c>
      <c r="CA125" s="81">
        <f>CA118/CA112*100</f>
        <v>39.634146341463413</v>
      </c>
      <c r="CB125" s="72">
        <f>IF(ISERROR(CA125/BS125),"NA",IF(OR(CA125/BS125&gt;2,CA125/BS125&lt;0.5),"NM",CA125/BS125*100-100))</f>
        <v>6.0019129603060719</v>
      </c>
      <c r="CC125" s="81">
        <f>CC118/CC112*100</f>
        <v>35.802469135802468</v>
      </c>
      <c r="CD125" s="72">
        <f>IF(ISERROR(CC125/BU125),"NA",IF(OR(CC125/BU125&gt;2,CC125/BU125&lt;0.5),"NM",CC125/BU125*100-100))</f>
        <v>10.019604726328609</v>
      </c>
      <c r="CE125" s="81">
        <f>CE118/CE112*100</f>
        <v>34.206695778748184</v>
      </c>
      <c r="CF125" s="72">
        <f>IF(ISERROR(CE125/BW125),"NA",IF(OR(CE125/BW125&gt;2,CE125/BW125&lt;0.5),"NM",CE125/BW125*100-100))</f>
        <v>-3.8820118613687242</v>
      </c>
      <c r="CG125" s="81">
        <f>CG118/CG112*100</f>
        <v>31.025299600532623</v>
      </c>
      <c r="CH125" s="72">
        <f>IF(ISERROR(CG125/BY125),"NA",IF(OR(CG125/BY125&gt;2,CG125/BY125&lt;0.5),"NM",CG125/BY125*100-100))</f>
        <v>-16.752726644372402</v>
      </c>
      <c r="CI125" s="81">
        <f>CI118/CI112*100</f>
        <v>35.78125</v>
      </c>
      <c r="CJ125" s="72">
        <f>IF(ISERROR(CI125/CA125),"NA",IF(OR(CI125/CA125&gt;2,CI125/CA125&lt;0.5),"NM",CI125/CA125*100-100))</f>
        <v>-9.7211538461538396</v>
      </c>
      <c r="CK125" s="81">
        <f>CK118/CK112*100</f>
        <v>31.123139377537214</v>
      </c>
      <c r="CL125" s="72">
        <f>IF(ISERROR(CK125/CC125),"NA",IF(OR(CK125/CC125&gt;2,CK125/CC125&lt;0.5),"NM",CK125/CC125*100-100))</f>
        <v>-13.069852083430533</v>
      </c>
      <c r="CM125" s="81">
        <f>CM118/CM112*100</f>
        <v>30.206896551724139</v>
      </c>
      <c r="CN125" s="72">
        <f>IF(ISERROR(CM125/CE125),"NA",IF(OR(CM125/CE125&gt;2,CM125/CE125&lt;0.5),"NM",CM125/CE125*100-100))</f>
        <v>-11.693030080704332</v>
      </c>
      <c r="CO125" s="81">
        <f>CO118/CO112*100</f>
        <v>31.323722149410223</v>
      </c>
      <c r="CP125" s="72">
        <f>IF(ISERROR(CO125/CG125),"NA",IF(OR(CO125/CG125&gt;2,CO125/CG125&lt;0.5),"NM",CO125/CG125*100-100))</f>
        <v>0.96186838715483702</v>
      </c>
      <c r="CQ125" s="81">
        <f>CQ118/CQ112*100</f>
        <v>37.636080870917574</v>
      </c>
      <c r="CR125" s="72">
        <f>IF(ISERROR(CQ125/CI125),"NA",IF(OR(CQ125/CI125&gt;2,CQ125/CI125&lt;0.5),"NM",CQ125/CI125*100-100))</f>
        <v>5.1838068008176634</v>
      </c>
      <c r="CS125" s="81">
        <f>CS118/CS112*100</f>
        <v>31.599479843953187</v>
      </c>
      <c r="CT125" s="72">
        <f>IF(ISERROR(CS125/CK125),"NA",IF(OR(CS125/CK125&gt;2,CS125/CK125&lt;0.5),"NM",CS125/CK125*100-100))</f>
        <v>1.5305026290495931</v>
      </c>
      <c r="CU125" s="81">
        <f>CU118/CU112*100</f>
        <v>32.087628865979383</v>
      </c>
      <c r="CV125" s="72">
        <f>IF(ISERROR(CU125/CM125),"NA",IF(OR(CU125/CM125&gt;2,CU125/CM125&lt;0.5),"NM",CU125/CM125*100-100))</f>
        <v>6.2261686202513857</v>
      </c>
      <c r="CW125" s="81">
        <f>CW118/CW112*100</f>
        <v>32.004981320049815</v>
      </c>
      <c r="CX125" s="72">
        <f>IF(ISERROR(CW125/CO125),"NA",IF(OR(CW125/CO125&gt;2,CW125/CO125&lt;0.5),"NM",CW125/CO125*100-100))</f>
        <v>2.1748985238410512</v>
      </c>
      <c r="CY125" s="81">
        <f>CY118/CY112*100</f>
        <v>28.270042194092827</v>
      </c>
      <c r="CZ125" s="72">
        <f>IF(ISERROR(CY125/CQ125),"NA",IF(OR(CY125/CQ125&gt;2,CY125/CQ125&lt;0.5),"NM",CY125/CQ125*100-100))</f>
        <v>-24.885796980158318</v>
      </c>
      <c r="DA125" s="81">
        <f>DA118/DA112*100</f>
        <v>40.476190476190474</v>
      </c>
      <c r="DB125" s="72">
        <f>IF(ISERROR(DA125/CS125),"NA",IF(OR(DA125/CS125&gt;2,DA125/CS125&lt;0.5),"NM",DA125/CS125*100-100))</f>
        <v>28.091318832059557</v>
      </c>
      <c r="DC125" s="81">
        <f>DC118/DC112*100</f>
        <v>40.606060606060609</v>
      </c>
      <c r="DD125" s="72">
        <f>IF(ISERROR(DC125/CU125),"NA",IF(OR(DC125/CU125&gt;2,DC125/CU125&lt;0.5),"NM",DC125/CU125*100-100))</f>
        <v>26.547401728124626</v>
      </c>
      <c r="DE125" s="81">
        <f>DE118/DE112*100</f>
        <v>37.458745874587457</v>
      </c>
      <c r="DF125" s="72">
        <f>IF(ISERROR(DE125/CW125),"NA",IF(OR(DE125/CW125&gt;2,DE125/CW125&lt;0.5),"NM",DE125/CW125*100-100))</f>
        <v>17.040361623710993</v>
      </c>
      <c r="DG125" s="81">
        <f>DG118/DG112*100</f>
        <v>41.786743515850148</v>
      </c>
      <c r="DH125" s="72">
        <f>IF(ISERROR(DG125/CY125),"NA",IF(OR(DG125/CY125&gt;2,DG125/CY125&lt;0.5),"NM",DG125/CY125*100-100))</f>
        <v>47.812809153081872</v>
      </c>
      <c r="DI125" s="81">
        <f>DI118/DI112*100</f>
        <v>36.716171617161713</v>
      </c>
      <c r="DJ125" s="72">
        <f>IF(ISERROR(DI125/DA125),"NA",IF(OR(DI125/DA125&gt;2,DI125/DA125&lt;0.5),"NM",DI125/DA125*100-100))</f>
        <v>-9.2894583576004663</v>
      </c>
      <c r="DK125" s="81">
        <f>DK118/DK112*100</f>
        <v>30.787037037037035</v>
      </c>
      <c r="DL125" s="72">
        <f>IF(ISERROR(DK125/DC125),"NA",IF(OR(DK125/DC125&gt;2,DK125/DC125&lt;0.5),"NM",DK125/DC125*100-100))</f>
        <v>-24.181177446102836</v>
      </c>
      <c r="DM125" s="81">
        <f>DM118/DM112*100</f>
        <v>29.893778452200305</v>
      </c>
      <c r="DN125" s="72">
        <f t="shared" si="778"/>
        <v>-20.195463691482885</v>
      </c>
      <c r="DO125" s="81">
        <f>DO118/DO112*100</f>
        <v>34.03590944574551</v>
      </c>
      <c r="DP125" s="72">
        <f t="shared" si="778"/>
        <v>-18.548547740181448</v>
      </c>
      <c r="DQ125" s="81">
        <f>DQ118/DQ112*100</f>
        <v>31.705484598046578</v>
      </c>
      <c r="DR125" s="72">
        <f t="shared" si="778"/>
        <v>-13.647084645320334</v>
      </c>
      <c r="DS125" s="81">
        <f>DS118/DS112*100</f>
        <v>28.423390081421168</v>
      </c>
      <c r="DT125" s="532">
        <f t="shared" si="778"/>
        <v>-7.6774096603462851</v>
      </c>
      <c r="DU125" s="81">
        <f>DU118/DU112*100</f>
        <v>31.206896551724139</v>
      </c>
      <c r="DV125" s="532">
        <f t="shared" si="778"/>
        <v>4.3926133380010555</v>
      </c>
      <c r="DW125" s="81">
        <f>DW118/DW112*100</f>
        <v>31.345454545454544</v>
      </c>
      <c r="DX125" s="532">
        <f t="shared" si="778"/>
        <v>-7.9047539616346967</v>
      </c>
      <c r="DY125" s="81">
        <f>DY118/DY112*100</f>
        <v>34.595397178916109</v>
      </c>
      <c r="DZ125" s="72">
        <f t="shared" si="778"/>
        <v>9.1148664576714395</v>
      </c>
      <c r="EA125" s="81">
        <f>EA118/EA112*100</f>
        <v>30.161054172767205</v>
      </c>
      <c r="EB125" s="72">
        <f>IF(ISERROR(EA125/DS125),"NA",IF(OR(EA125/DS125&gt;2,EA125/DS125&lt;0.5),"NM",EA125/DS125*100-100))</f>
        <v>6.1135004880429591</v>
      </c>
      <c r="EC125" s="81">
        <f>EC118/EC112*100</f>
        <v>40.432900432900432</v>
      </c>
      <c r="ED125" s="72">
        <f>IF(ISERROR(EC125/DU125),"NA",IF(OR(EC125/DU125&gt;2,EC125/DU125&lt;0.5),"NM",EC125/DU125*100-100))</f>
        <v>29.563990337470983</v>
      </c>
      <c r="EE125" s="81">
        <f>EE118/EE112*100</f>
        <v>31.914893617021278</v>
      </c>
      <c r="EF125" s="72">
        <f>IF(ISERROR(EE125/DW125),"NA",IF(OR(EE125/DW125&gt;2,EE125/DW125&lt;0.5),"NM",EE125/DW125*100-100))</f>
        <v>1.8166559707755425</v>
      </c>
      <c r="EG125" s="81">
        <f>EG118/EG112*100</f>
        <v>34.41011235955056</v>
      </c>
      <c r="EH125" s="72">
        <f>IF(ISERROR(EG125/DY125),"NA",IF(OR(EG125/DY125&gt;2,EG125/DY125&lt;0.5),"NM",EG125/DY125*100-100))</f>
        <v>-0.53557650576264848</v>
      </c>
      <c r="EI125" s="81">
        <f>EI118/EI112*100</f>
        <v>32.179930795847753</v>
      </c>
      <c r="EJ125" s="72">
        <f>IF(ISERROR(EI125/EA125),"NA",IF(OR(EI125/EA125&gt;2,EI125/EA125&lt;0.5),"NM",EI125/EA125*100-100))</f>
        <v>6.6936540464272554</v>
      </c>
      <c r="EK125" s="81">
        <f>EK118/EK112*100</f>
        <v>74.923547400611625</v>
      </c>
      <c r="EL125" s="72">
        <f>IF(ISERROR(EK125/EC125),"NA",IF(OR(EK125/EC125&gt;2,EK125/EC125&lt;0.5),"NM",EK125/EC125*100-100))</f>
        <v>85.303420230634742</v>
      </c>
      <c r="EM125" s="81">
        <f>EM118/EM112*100</f>
        <v>31.963146704464918</v>
      </c>
      <c r="EN125" s="72">
        <f>IF(ISERROR(EM125/EE125),"NA",IF(OR(EM125/EE125&gt;2,EM125/EE125&lt;0.5),"NM",EM125/EE125*100-100))</f>
        <v>0.1511930073233998</v>
      </c>
      <c r="EO125" s="81">
        <f>EO118/EO112*100</f>
        <v>31.693989071038253</v>
      </c>
      <c r="EP125" s="72">
        <f>IF(ISERROR(EO125/EG125),"NA",IF(OR(EO125/EG125&gt;2,EO125/EG125&lt;0.5),"NM",EO125/EG125*100-100))</f>
        <v>-7.8933868629418811</v>
      </c>
      <c r="EQ125" s="688">
        <v>32.5</v>
      </c>
      <c r="ER125" s="72">
        <f t="shared" si="779"/>
        <v>0.99462365591395496</v>
      </c>
      <c r="ES125" s="688">
        <f t="shared" si="784"/>
        <v>32.5</v>
      </c>
      <c r="ET125" s="72" t="str">
        <f t="shared" si="780"/>
        <v>NM</v>
      </c>
      <c r="EU125" s="688">
        <f t="shared" si="785"/>
        <v>32.5</v>
      </c>
      <c r="EV125" s="72">
        <f t="shared" si="781"/>
        <v>1.6796008869179673</v>
      </c>
      <c r="EW125" s="688">
        <v>33</v>
      </c>
      <c r="EX125" s="72">
        <f t="shared" si="782"/>
        <v>4.1206896551723986</v>
      </c>
      <c r="EY125" s="72"/>
      <c r="EZ125" s="309"/>
      <c r="FA125" s="72"/>
      <c r="FB125" s="81">
        <f>FB118/FB112*100</f>
        <v>62.126642771804065</v>
      </c>
      <c r="FC125" s="82"/>
      <c r="FD125" s="81">
        <f>FD118/FD112*100</f>
        <v>61.752756819500874</v>
      </c>
      <c r="FE125" s="72">
        <f>IF(ISERROR(FD125/FB125),"NA",IF(OR(FD125/FB125&gt;2,FD125/FB125&lt;0.5),"NM",FD125/FB125*100-100))</f>
        <v>-0.60181258091878931</v>
      </c>
      <c r="FF125" s="81">
        <f>FF118/FF112*100</f>
        <v>56.873315363881403</v>
      </c>
      <c r="FG125" s="72">
        <f>IF(ISERROR(FF125/FD125),"NA",IF(OR(FF125/FD125&gt;2,FF125/FD125&lt;0.5),"NM",FF125/FD125*100-100))</f>
        <v>-7.9015767180755176</v>
      </c>
      <c r="FH125" s="81">
        <f>FH118/FH112*100</f>
        <v>45.857217300677441</v>
      </c>
      <c r="FI125" s="72">
        <f>IF(ISERROR(FH125/FF125),"NA",IF(OR(FH125/FF125&gt;2,FH125/FF125&lt;0.5),"NM",FH125/FF125*100-100))</f>
        <v>-19.369537352837298</v>
      </c>
      <c r="FJ125" s="81">
        <f>FJ118/FJ112*100</f>
        <v>36.678553234844621</v>
      </c>
      <c r="FK125" s="72">
        <f>IF(ISERROR(FJ125/FH125),"NA",IF(OR(FJ125/FH125&gt;2,FJ125/FH125&lt;0.5),"NM",FJ125/FH125*100-100))</f>
        <v>-20.015745843560424</v>
      </c>
      <c r="FL125" s="81">
        <f>FL118/FL112*100</f>
        <v>38.425925925925924</v>
      </c>
      <c r="FM125" s="72">
        <f>IF(ISERROR(FL125/FJ125),"NA",IF(OR(FL125/FJ125&gt;2,FL125/FJ125&lt;0.5),"NM",FL125/FJ125*100-100))</f>
        <v>4.7640174897119323</v>
      </c>
      <c r="FN125" s="81">
        <f>FN118/FN112*100</f>
        <v>44.910757356488176</v>
      </c>
      <c r="FO125" s="72">
        <f>IF(ISERROR(FN125/FL125),"NA",IF(OR(FN125/FL125&gt;2,FN125/FL125&lt;0.5),"NM",FN125/FL125*100-100))</f>
        <v>16.876187819294543</v>
      </c>
      <c r="FP125" s="81">
        <f>FP118/FP112*100</f>
        <v>36.914235190097259</v>
      </c>
      <c r="FQ125" s="72">
        <f>IF(ISERROR(FP125/FN125),"NA",IF(OR(FP125/FN125&gt;2,FP125/FN125&lt;0.5),"NM",FP125/FN125*100-100))</f>
        <v>-17.805360312490194</v>
      </c>
      <c r="FR125" s="81">
        <f>FR118/FR112*100</f>
        <v>39.377537212449255</v>
      </c>
      <c r="FS125" s="72">
        <f>IF(ISERROR(FR125/FP125),"NA",IF(OR(FR125/FP125&gt;2,FR125/FP125&lt;0.5),"NM",FR125/FP125*100-100))</f>
        <v>6.6730409276170235</v>
      </c>
      <c r="FT125" s="81">
        <f>FT118/FT112*100</f>
        <v>37.701767870868565</v>
      </c>
      <c r="FU125" s="72">
        <f>IF(ISERROR(FT125/FR125),"NA",IF(OR(FT125/FR125&gt;2,FT125/FR125&lt;0.5),"NM",FT125/FR125*100-100))</f>
        <v>-4.2556479155605729</v>
      </c>
      <c r="FV125" s="81">
        <f>FV118/FV112*100</f>
        <v>35.257806826434276</v>
      </c>
      <c r="FW125" s="72">
        <f>IF(ISERROR(FV125/FT125),"NA",IF(OR(FV125/FT125&gt;2,FV125/FT125&lt;0.5),"NM",FV125/FT125*100-100))</f>
        <v>-6.4823513125566024</v>
      </c>
      <c r="FX125" s="81">
        <f>FX118/FX112*100</f>
        <v>37.043729671123963</v>
      </c>
      <c r="FY125" s="72">
        <f>IF(ISERROR(FX125/FV125),"NA",IF(OR(FX125/FV125&gt;2,FX125/FV125&lt;0.5),"NM",FX125/FV125*100-100))</f>
        <v>5.0653259673279223</v>
      </c>
      <c r="FZ125" s="81">
        <f>FZ118/FZ112*100</f>
        <v>32.907348242811501</v>
      </c>
      <c r="GA125" s="72">
        <f>IF(ISERROR(FZ125/FX125),"NA",IF(OR(FZ125/FX125&gt;2,FZ125/FX125&lt;0.5),"NM",FZ125/FX125*100-100))</f>
        <v>-11.16621210940545</v>
      </c>
      <c r="GB125" s="81">
        <f>GB118/GB112*100</f>
        <v>32.517241379310349</v>
      </c>
      <c r="GC125" s="72">
        <f>IF(ISERROR(GB125/FZ125),"NA",IF(OR(GB125/FZ125&gt;2,GB125/FZ125&lt;0.5),"NM",GB125/FZ125*100-100))</f>
        <v>-1.1854703716102932</v>
      </c>
      <c r="GD125" s="81">
        <f>GD118/GD112*100</f>
        <v>33.085833085833087</v>
      </c>
      <c r="GE125" s="72">
        <f>IF(ISERROR(GD125/GB125),"NA",IF(OR(GD125/GB125&gt;2,GD125/GB125&lt;0.5),"NM",GD125/GB125*100-100))</f>
        <v>1.7485853116818078</v>
      </c>
      <c r="GF125" s="81">
        <f>GF118/GF112*100</f>
        <v>39.025974025974023</v>
      </c>
      <c r="GG125" s="72">
        <f>IF(ISERROR(GF125/GD125),"NA",IF(OR(GF125/GD125&gt;2,GF125/GD125&lt;0.5),"NM",GF125/GD125*100-100))</f>
        <v>17.953729394483403</v>
      </c>
      <c r="GH125" s="81">
        <f>GH118/GH112*100</f>
        <v>31.592039800995025</v>
      </c>
      <c r="GI125" s="72">
        <f t="shared" si="783"/>
        <v>-19.048683371826385</v>
      </c>
      <c r="GJ125" s="81">
        <f>GJ118/GJ112*100</f>
        <v>31.396904261417923</v>
      </c>
      <c r="GK125" s="72">
        <f t="shared" si="783"/>
        <v>-0.61767312527555873</v>
      </c>
      <c r="GL125" s="81">
        <f>GL118/GL112*100</f>
        <v>33.968253968253968</v>
      </c>
      <c r="GM125" s="72">
        <f t="shared" si="783"/>
        <v>8.1898192427711507</v>
      </c>
      <c r="GN125" s="81">
        <f>GN118/GN112*100</f>
        <v>37.595496582227582</v>
      </c>
      <c r="GO125" s="72">
        <f t="shared" si="783"/>
        <v>10.678331059828878</v>
      </c>
      <c r="GP125" s="81">
        <f>GP118/GP112*100</f>
        <v>32.630156666843547</v>
      </c>
      <c r="GQ125" s="72">
        <f t="shared" si="783"/>
        <v>-13.207273122524171</v>
      </c>
      <c r="GR125" s="86">
        <f>GP125</f>
        <v>32.630156666843547</v>
      </c>
      <c r="GS125" s="72">
        <f t="shared" si="783"/>
        <v>0</v>
      </c>
      <c r="GT125" s="86">
        <f>GR125</f>
        <v>32.630156666843547</v>
      </c>
      <c r="GU125" s="72">
        <f t="shared" si="783"/>
        <v>0</v>
      </c>
      <c r="GV125" s="86">
        <f>GT125</f>
        <v>32.630156666843547</v>
      </c>
      <c r="GW125" s="72">
        <f>IF(ISERROR(GV125/GT125),"NA",IF(OR(GV125/GT125&gt;2,GV125/GT125&lt;0.5),"NM",GV125/GT125*100-100))</f>
        <v>0</v>
      </c>
      <c r="GX125" s="86">
        <f>GV125</f>
        <v>32.630156666843547</v>
      </c>
      <c r="GY125" s="72">
        <f>IF(ISERROR(GX125/GV125),"NA",IF(OR(GX125/GV125&gt;2,GX125/GV125&lt;0.5),"NM",GX125/GV125*100-100))</f>
        <v>0</v>
      </c>
      <c r="GZ125" s="72">
        <f>IF(ISERROR(((GX125/GN125)^0.2-1)*100),"NA",IF((((GX125/GN125)^0.2-1)*100)&gt;100,"NM",IF((((GX125/GN125)^0.2-1)*100)&lt;-50,"NM",((GX125/GN125)^0.2-1)*100)))</f>
        <v>-2.7931955083035143</v>
      </c>
      <c r="HA125" s="72"/>
      <c r="HB125" s="72"/>
      <c r="HC125"/>
      <c r="HD125"/>
      <c r="HE125"/>
      <c r="HF125"/>
      <c r="HG125"/>
      <c r="HH125"/>
      <c r="HI125" s="2"/>
    </row>
    <row r="126" spans="1:217" s="3" customFormat="1" ht="12.75" customHeight="1" x14ac:dyDescent="0.2">
      <c r="B126" s="76" t="s">
        <v>626</v>
      </c>
      <c r="C126" s="81">
        <f>C119/C118*100</f>
        <v>-8.7649402390438258</v>
      </c>
      <c r="D126" s="72"/>
      <c r="E126" s="81">
        <f>E119/E118*100</f>
        <v>-6.6964285714285712</v>
      </c>
      <c r="F126" s="72"/>
      <c r="G126" s="81">
        <f>G119/G118*100</f>
        <v>-11.567164179104477</v>
      </c>
      <c r="H126" s="72"/>
      <c r="I126" s="81">
        <f>I119/I118*100</f>
        <v>-11.858974358974358</v>
      </c>
      <c r="J126" s="72"/>
      <c r="K126" s="81">
        <f>K119/K118*100</f>
        <v>-6.666666666666667</v>
      </c>
      <c r="L126" s="72">
        <f>IF(ISERROR(K126/C126),"NA",IF(OR(K126/C126&gt;2,K126/C126&lt;0.5),"NM",K126/C126*100-100))</f>
        <v>-23.939393939393952</v>
      </c>
      <c r="M126" s="81">
        <f>M119/M118*100</f>
        <v>-10.731707317073171</v>
      </c>
      <c r="N126" s="72">
        <f>IF(ISERROR(M126/E126),"NA",IF(OR(M126/E126&gt;2,M126/E126&lt;0.5),"NM",M126/E126*100-100))</f>
        <v>60.260162601626035</v>
      </c>
      <c r="O126" s="81">
        <f>O119/O118*100</f>
        <v>-7.4074074074074066</v>
      </c>
      <c r="P126" s="72">
        <f>IF(ISERROR(O126/G126),"NA",IF(OR(O126/G126&gt;2,O126/G126&lt;0.5),"NM",O126/G126*100-100))</f>
        <v>-35.961768219832734</v>
      </c>
      <c r="Q126" s="81">
        <f>Q119/Q118*100</f>
        <v>-6.8840579710144931</v>
      </c>
      <c r="R126" s="72">
        <f>IF(ISERROR(Q126/I126),"NA",IF(OR(Q126/I126&gt;2,Q126/I126&lt;0.5),"NM",Q126/I126*100-100))</f>
        <v>-41.950646298472371</v>
      </c>
      <c r="S126" s="81">
        <f>S119/S118*100</f>
        <v>-7.3446327683615822</v>
      </c>
      <c r="T126" s="72">
        <f>IF(ISERROR(S126/K126),"NA",IF(OR(S126/K126&gt;2,S126/K126&lt;0.5),"NM",S126/K126*100-100))</f>
        <v>10.169491525423723</v>
      </c>
      <c r="U126" s="81">
        <f>U119/U118*100</f>
        <v>-9.5505617977528079</v>
      </c>
      <c r="V126" s="72">
        <f>IF(ISERROR(U126/M126),"NA",IF(OR(U126/M126&gt;2,U126/M126&lt;0.5),"NM",U126/M126*100-100))</f>
        <v>-11.006128702757934</v>
      </c>
      <c r="W126" s="81">
        <f>W119/W118*100</f>
        <v>9.0909090909090917</v>
      </c>
      <c r="X126" s="72" t="str">
        <f>IF(ISERROR(W126/O126),"NA",IF(OR(W126/O126&gt;2,W126/O126&lt;0.5),"NM",W126/O126*100-100))</f>
        <v>NM</v>
      </c>
      <c r="Y126" s="81">
        <f>Y119/Y118*100</f>
        <v>-4.2328042328042326</v>
      </c>
      <c r="Z126" s="72">
        <f>IF(ISERROR(Y126/Q126),"NA",IF(OR(Y126/Q126&gt;2,Y126/Q126&lt;0.5),"NM",Y126/Q126*100-100))</f>
        <v>-38.512949039264832</v>
      </c>
      <c r="AA126" s="81">
        <f>AA119/AA118*100</f>
        <v>-5.5865921787709496</v>
      </c>
      <c r="AB126" s="72">
        <f>IF(ISERROR(AA126/S126),"NA",IF(OR(AA126/S126&gt;2,AA126/S126&lt;0.5),"NM",AA126/S126*100-100))</f>
        <v>-23.936398796733997</v>
      </c>
      <c r="AC126" s="81">
        <f>AC119/AC118*100</f>
        <v>-13.661202185792352</v>
      </c>
      <c r="AD126" s="72">
        <f>IF(ISERROR(AC126/U126),"NA",IF(OR(AC126/U126&gt;2,AC126/U126&lt;0.5),"NM",AC126/U126*100-100))</f>
        <v>43.040822886531714</v>
      </c>
      <c r="AE126" s="81">
        <f>AE119/AE118*100</f>
        <v>-6.9767441860465116</v>
      </c>
      <c r="AF126" s="72" t="str">
        <f>IF(ISERROR(AE126/W126),"NA",IF(OR(AE126/W126&gt;2,AE126/W126&lt;0.5),"NM",AE126/W126*100-100))</f>
        <v>NM</v>
      </c>
      <c r="AG126" s="81">
        <f>AG119/AG118*100</f>
        <v>-24.413145539906104</v>
      </c>
      <c r="AH126" s="72" t="str">
        <f>IF(ISERROR(AG126/Y126),"NA",IF(OR(AG126/Y126&gt;2,AG126/Y126&lt;0.5),"NM",AG126/Y126*100-100))</f>
        <v>NM</v>
      </c>
      <c r="AI126" s="81">
        <f>AI119/AI118*100</f>
        <v>-3.1531531531531529</v>
      </c>
      <c r="AJ126" s="72">
        <f>IF(ISERROR(AI126/AA126),"NA",IF(OR(AI126/AA126&gt;2,AI126/AA126&lt;0.5),"NM",AI126/AA126*100-100))</f>
        <v>-43.558558558558559</v>
      </c>
      <c r="AK126" s="81">
        <f>AK119/AK118*100</f>
        <v>-3.070175438596491</v>
      </c>
      <c r="AL126" s="72" t="str">
        <f>IF(ISERROR(AK126/AC126),"NA",IF(OR(AK126/AC126&gt;2,AK126/AC126&lt;0.5),"NM",AK126/AC126*100-100))</f>
        <v>NM</v>
      </c>
      <c r="AM126" s="81">
        <f>AM119/AM118*100</f>
        <v>1.2765957446808509</v>
      </c>
      <c r="AN126" s="72" t="str">
        <f>IF(ISERROR(AM126/AE126),"NA",IF(OR(AM126/AE126&gt;2,AM126/AE126&lt;0.5),"NM",AM126/AE126*100-100))</f>
        <v>NM</v>
      </c>
      <c r="AO126" s="81">
        <f>AO119/AO118*100</f>
        <v>-10.569105691056912</v>
      </c>
      <c r="AP126" s="72" t="str">
        <f>IF(ISERROR(AO126/AG126),"NA",IF(OR(AO126/AG126&gt;2,AO126/AG126&lt;0.5),"NM",AO126/AG126*100-100))</f>
        <v>NM</v>
      </c>
      <c r="AQ126" s="81">
        <f>AQ119/AQ118*100</f>
        <v>-1.015228426395939</v>
      </c>
      <c r="AR126" s="72" t="str">
        <f>IF(ISERROR(AQ126/AI126),"NA",IF(OR(AQ126/AI126&gt;2,AQ126/AI126&lt;0.5),"NM",AQ126/AI126*100-100))</f>
        <v>NM</v>
      </c>
      <c r="AS126" s="81">
        <f>AS119/AS118*100</f>
        <v>-4.10958904109589</v>
      </c>
      <c r="AT126" s="72">
        <f>IF(ISERROR(AS126/AK126),"NA",IF(OR(AS126/AK126&gt;2,AS126/AK126&lt;0.5),"NM",AS126/AK126*100-100))</f>
        <v>33.855185909980435</v>
      </c>
      <c r="AU126" s="81">
        <f>AU119/AU118*100</f>
        <v>33.95348837209302</v>
      </c>
      <c r="AV126" s="72" t="str">
        <f>IF(ISERROR(AU126/AM126),"NA",IF(OR(AU126/AM126&gt;2,AU126/AM126&lt;0.5),"NM",AU126/AM126*100-100))</f>
        <v>NM</v>
      </c>
      <c r="AW126" s="81">
        <f>AW119/AW118*100</f>
        <v>-3.4313725490196081</v>
      </c>
      <c r="AX126" s="72" t="str">
        <f>IF(ISERROR(AW126/AO126),"NA",IF(OR(AW126/AO126&gt;2,AW126/AO126&lt;0.5),"NM",AW126/AO126*100-100))</f>
        <v>NM</v>
      </c>
      <c r="AY126" s="81">
        <f>AY119/AY118*100</f>
        <v>-2.912621359223301</v>
      </c>
      <c r="AZ126" s="72" t="str">
        <f>IF(ISERROR(AY126/AQ126),"NA",IF(OR(AY126/AQ126&gt;2,AY126/AQ126&lt;0.5),"NM",AY126/AQ126*100-100))</f>
        <v>NM</v>
      </c>
      <c r="BA126" s="81">
        <f>BA119/BA118*100</f>
        <v>3.7383177570093453</v>
      </c>
      <c r="BB126" s="72" t="str">
        <f>IF(ISERROR(BA126/AS126),"NA",IF(OR(BA126/AS126&gt;2,BA126/AS126&lt;0.5),"NM",BA126/AS126*100-100))</f>
        <v>NM</v>
      </c>
      <c r="BC126" s="81">
        <f>BC119/BC118*100</f>
        <v>-138.83928571428572</v>
      </c>
      <c r="BD126" s="72" t="str">
        <f>IF(ISERROR(BC126/AU126),"NA",IF(OR(BC126/AU126&gt;2,BC126/AU126&lt;0.5),"NM",BC126/AU126*100-100))</f>
        <v>NM</v>
      </c>
      <c r="BE126" s="81">
        <f>BE119/BE118*100</f>
        <v>-17.467248908296941</v>
      </c>
      <c r="BF126" s="72" t="str">
        <f>IF(ISERROR(BE126/AW126),"NA",IF(OR(BE126/AW126&gt;2,BE126/AW126&lt;0.5),"NM",BE126/AW126*100-100))</f>
        <v>NM</v>
      </c>
      <c r="BG126" s="81">
        <f>BG119/BG118*100</f>
        <v>-11.013215859030836</v>
      </c>
      <c r="BH126" s="72" t="str">
        <f>IF(ISERROR(BG126/AY126),"NA",IF(OR(BG126/AY126&gt;2,BG126/AY126&lt;0.5),"NM",BG126/AY126*100-100))</f>
        <v>NM</v>
      </c>
      <c r="BI126" s="81">
        <f>BI119/BI118*100</f>
        <v>-20.816326530612244</v>
      </c>
      <c r="BJ126" s="72" t="str">
        <f>IF(ISERROR(BI126/BA126),"NA",IF(OR(BI126/BA126&gt;2,BI126/BA126&lt;0.5),"NM",BI126/BA126*100-100))</f>
        <v>NM</v>
      </c>
      <c r="BK126" s="81">
        <f>BK119/BK118*100</f>
        <v>-71.764705882352942</v>
      </c>
      <c r="BL126" s="72">
        <f>IF(ISERROR(BK126/BC126),"NA",IF(OR(BK126/BC126&gt;2,BK126/BC126&lt;0.5),"NM",BK126/BC126*100-100))</f>
        <v>-48.310951390202383</v>
      </c>
      <c r="BM126" s="81">
        <f>BM119/BM118*100</f>
        <v>-11.41732283464567</v>
      </c>
      <c r="BN126" s="72">
        <f t="shared" si="706"/>
        <v>-34.635826771653527</v>
      </c>
      <c r="BO126" s="81">
        <f>BO119/BO118*100</f>
        <v>1.2765957446808509</v>
      </c>
      <c r="BP126" s="72" t="str">
        <f>IF(ISERROR(BO126/BG126),"NA",IF(OR(BO126/BG126&gt;2,BO126/BG126&lt;0.5),"NM",BO126/BG126*100-100))</f>
        <v>NM</v>
      </c>
      <c r="BQ126" s="81">
        <f>BQ119/BQ118*100</f>
        <v>-12.096774193548388</v>
      </c>
      <c r="BR126" s="72">
        <f>IF(ISERROR(BQ126/BI126),"NA",IF(OR(BQ126/BI126&gt;2,BQ126/BI126&lt;0.5),"NM",BQ126/BI126*100-100))</f>
        <v>-41.888045540796959</v>
      </c>
      <c r="BS126" s="81">
        <f>BS119/BS118*100</f>
        <v>-59.215686274509807</v>
      </c>
      <c r="BT126" s="72">
        <f>IF(ISERROR(BS126/BK126),"NA",IF(OR(BS126/BK126&gt;2,BS126/BK126&lt;0.5),"NM",BS126/BK126*100-100))</f>
        <v>-17.486338797814199</v>
      </c>
      <c r="BU126" s="81">
        <f>BU119/BU118*100</f>
        <v>45.064377682403432</v>
      </c>
      <c r="BV126" s="72" t="str">
        <f>IF(ISERROR(BU126/BM126),"NA",IF(OR(BU126/BM126&gt;2,BU126/BM126&lt;0.5),"NM",BU126/BM126*100-100))</f>
        <v>NM</v>
      </c>
      <c r="BW126" s="81">
        <f>BW119/BW118*100</f>
        <v>5.3719008264462813</v>
      </c>
      <c r="BX126" s="72" t="str">
        <f>IF(ISERROR(BW126/BO126),"NA",IF(OR(BW126/BO126&gt;2,BW126/BO126&lt;0.5),"NM",BW126/BO126*100-100))</f>
        <v>NM</v>
      </c>
      <c r="BY126" s="81">
        <f>BY119/BY118*100</f>
        <v>-22.519083969465647</v>
      </c>
      <c r="BZ126" s="72">
        <f>IF(ISERROR(BY126/BQ126),"NA",IF(OR(BY126/BQ126&gt;2,BY126/BQ126&lt;0.5),"NM",BY126/BQ126*100-100))</f>
        <v>86.157760814249343</v>
      </c>
      <c r="CA126" s="81">
        <f>CA119/CA118*100</f>
        <v>-86.92307692307692</v>
      </c>
      <c r="CB126" s="72">
        <f>IF(ISERROR(CA126/BS126),"NA",IF(OR(CA126/BS126&gt;2,CA126/BS126&lt;0.5),"NM",CA126/BS126*100-100))</f>
        <v>46.790626591951082</v>
      </c>
      <c r="CC126" s="81">
        <f>CC119/CC118*100</f>
        <v>-12.643678160919542</v>
      </c>
      <c r="CD126" s="72" t="str">
        <f>IF(ISERROR(CC126/BU126),"NA",IF(OR(CC126/BU126&gt;2,CC126/BU126&lt;0.5),"NM",CC126/BU126*100-100))</f>
        <v>NM</v>
      </c>
      <c r="CE126" s="81">
        <f>CE119/CE118*100</f>
        <v>-20</v>
      </c>
      <c r="CF126" s="72" t="str">
        <f>IF(ISERROR(CE126/BW126),"NA",IF(OR(CE126/BW126&gt;2,CE126/BW126&lt;0.5),"NM",CE126/BW126*100-100))</f>
        <v>NM</v>
      </c>
      <c r="CG126" s="81">
        <f>CG119/CG118*100</f>
        <v>14.592274678111588</v>
      </c>
      <c r="CH126" s="72" t="str">
        <f>IF(ISERROR(CG126/BY126),"NA",IF(OR(CG126/BY126&gt;2,CG126/BY126&lt;0.5),"NM",CG126/BY126*100-100))</f>
        <v>NM</v>
      </c>
      <c r="CI126" s="81">
        <f>CI119/CI118*100</f>
        <v>-56.331877729257641</v>
      </c>
      <c r="CJ126" s="72">
        <f>IF(ISERROR(CI126/CA126),"NA",IF(OR(CI126/CA126&gt;2,CI126/CA126&lt;0.5),"NM",CI126/CA126*100-100))</f>
        <v>-35.193415001738998</v>
      </c>
      <c r="CK126" s="81">
        <f>CK119/CK118*100</f>
        <v>-6.9565217391304346</v>
      </c>
      <c r="CL126" s="72">
        <f>IF(ISERROR(CK126/CC126),"NA",IF(OR(CK126/CC126&gt;2,CK126/CC126&lt;0.5),"NM",CK126/CC126*100-100))</f>
        <v>-44.980237154150203</v>
      </c>
      <c r="CM126" s="81">
        <f>CM119/CM118*100</f>
        <v>-2.2831050228310499</v>
      </c>
      <c r="CN126" s="72" t="str">
        <f>IF(ISERROR(CM126/CE126),"NA",IF(OR(CM126/CE126&gt;2,CM126/CE126&lt;0.5),"NM",CM126/CE126*100-100))</f>
        <v>NM</v>
      </c>
      <c r="CO126" s="81">
        <f>CO119/CO118*100</f>
        <v>-0.41841004184100417</v>
      </c>
      <c r="CP126" s="72" t="str">
        <f>IF(ISERROR(CO126/CG126),"NA",IF(OR(CO126/CG126&gt;2,CO126/CG126&lt;0.5),"NM",CO126/CG126*100-100))</f>
        <v>NM</v>
      </c>
      <c r="CQ126" s="81">
        <f>CQ119/CQ118*100</f>
        <v>-57.02479338842975</v>
      </c>
      <c r="CR126" s="72">
        <f>IF(ISERROR(CQ126/CI126),"NA",IF(OR(CQ126/CI126&gt;2,CQ126/CI126&lt;0.5),"NM",CQ126/CI126*100-100))</f>
        <v>1.2300595810109485</v>
      </c>
      <c r="CS126" s="81">
        <f>CS119/CS118*100</f>
        <v>-15.637860082304528</v>
      </c>
      <c r="CT126" s="72" t="str">
        <f>IF(ISERROR(CS126/CK126),"NA",IF(OR(CS126/CK126&gt;2,CS126/CK126&lt;0.5),"NM",CS126/CK126*100-100))</f>
        <v>NM</v>
      </c>
      <c r="CU126" s="81">
        <f>CU119/CU118*100</f>
        <v>-13.253012048192772</v>
      </c>
      <c r="CV126" s="72" t="str">
        <f>IF(ISERROR(CU126/CM126),"NA",IF(OR(CU126/CM126&gt;2,CU126/CM126&lt;0.5),"NM",CU126/CM126*100-100))</f>
        <v>NM</v>
      </c>
      <c r="CW126" s="81">
        <f>CW119/CW118*100</f>
        <v>-9.3385214007782107</v>
      </c>
      <c r="CX126" s="72" t="str">
        <f>IF(ISERROR(CW126/CO126),"NA",IF(OR(CW126/CO126&gt;2,CW126/CO126&lt;0.5),"NM",CW126/CO126*100-100))</f>
        <v>NM</v>
      </c>
      <c r="CY126" s="81">
        <f>CY119/CY118*100</f>
        <v>39.552238805970148</v>
      </c>
      <c r="CZ126" s="72" t="str">
        <f>IF(ISERROR(CY126/CQ126),"NA",IF(OR(CY126/CQ126&gt;2,CY126/CQ126&lt;0.5),"NM",CY126/CQ126*100-100))</f>
        <v>NM</v>
      </c>
      <c r="DA126" s="81">
        <f>DA119/DA118*100</f>
        <v>-19.411764705882355</v>
      </c>
      <c r="DB126" s="72">
        <f>IF(ISERROR(DA126/CS126),"NA",IF(OR(DA126/CS126&gt;2,DA126/CS126&lt;0.5),"NM",DA126/CS126*100-100))</f>
        <v>24.133126934984531</v>
      </c>
      <c r="DC126" s="81">
        <f>DC119/DC118*100</f>
        <v>-31.769722814498934</v>
      </c>
      <c r="DD126" s="72" t="str">
        <f>IF(ISERROR(DC126/CU126),"NA",IF(OR(DC126/CU126&gt;2,DC126/CU126&lt;0.5),"NM",DC126/CU126*100-100))</f>
        <v>NM</v>
      </c>
      <c r="DE126" s="81">
        <f>DE119/DE118*100</f>
        <v>-19.603524229074889</v>
      </c>
      <c r="DF126" s="72" t="str">
        <f>IF(ISERROR(DE126/CW126),"NA",IF(OR(DE126/CW126&gt;2,DE126/CW126&lt;0.5),"NM",DE126/CW126*100-100))</f>
        <v>NM</v>
      </c>
      <c r="DG126" s="81">
        <f>DG119/DG118*100</f>
        <v>-65.747126436781613</v>
      </c>
      <c r="DH126" s="72" t="str">
        <f>IF(ISERROR(DG126/CY126),"NA",IF(OR(DG126/CY126&gt;2,DG126/CY126&lt;0.5),"NM",DG126/CY126*100-100))</f>
        <v>NM</v>
      </c>
      <c r="DI126" s="81">
        <f>DI119/DI118*100</f>
        <v>-28.539325842696627</v>
      </c>
      <c r="DJ126" s="72">
        <f>IF(ISERROR(DI126/DA126),"NA",IF(OR(DI126/DA126&gt;2,DI126/DA126&lt;0.5),"NM",DI126/DA126*100-100))</f>
        <v>47.020769492679563</v>
      </c>
      <c r="DK126" s="81">
        <f>DK119/DK118*100</f>
        <v>-11.779448621553884</v>
      </c>
      <c r="DL126" s="72" t="str">
        <f>IF(ISERROR(DK126/DC126),"NA",IF(OR(DK126/DC126&gt;2,DK126/DC126&lt;0.5),"NM",DK126/DC126*100-100))</f>
        <v>NM</v>
      </c>
      <c r="DM126" s="81">
        <f>DM119/DM118*100</f>
        <v>-8.1218274111675122</v>
      </c>
      <c r="DN126" s="72" t="str">
        <f t="shared" si="778"/>
        <v>NM</v>
      </c>
      <c r="DO126" s="81">
        <f>DO119/DO118*100</f>
        <v>-22.477064220183486</v>
      </c>
      <c r="DP126" s="72" t="str">
        <f t="shared" si="778"/>
        <v>NM</v>
      </c>
      <c r="DQ126" s="81">
        <f>DQ119/DQ118*100</f>
        <v>-5.9241706161137442</v>
      </c>
      <c r="DR126" s="72" t="str">
        <f t="shared" si="778"/>
        <v>NM</v>
      </c>
      <c r="DS126" s="81">
        <f>DS119/DS118*100</f>
        <v>-13.802083333333334</v>
      </c>
      <c r="DT126" s="532">
        <f t="shared" si="778"/>
        <v>17.170877659574472</v>
      </c>
      <c r="DU126" s="81">
        <f>DU119/DU118*100</f>
        <v>-76.243093922651937</v>
      </c>
      <c r="DV126" s="532" t="str">
        <f t="shared" si="778"/>
        <v>NM</v>
      </c>
      <c r="DW126" s="81">
        <f>DW119/DW118*100</f>
        <v>-16.009280742459396</v>
      </c>
      <c r="DX126" s="532">
        <f t="shared" si="778"/>
        <v>-28.775036696813302</v>
      </c>
      <c r="DY126" s="81">
        <f>DY119/DY118*100</f>
        <v>-25.536480686695278</v>
      </c>
      <c r="DZ126" s="72" t="str">
        <f t="shared" si="778"/>
        <v>NM</v>
      </c>
      <c r="EA126" s="81">
        <f>EA119/EA118*100</f>
        <v>-20.631067961165048</v>
      </c>
      <c r="EB126" s="72">
        <f>IF(ISERROR(EA126/DS126),"NA",IF(OR(EA126/DS126&gt;2,EA126/DS126&lt;0.5),"NM",EA126/DS126*100-100))</f>
        <v>49.477926360139207</v>
      </c>
      <c r="EC126" s="81">
        <f>EC119/EC118*100</f>
        <v>-61.02783725910065</v>
      </c>
      <c r="ED126" s="72">
        <f>IF(ISERROR(EC126/DU126),"NA",IF(OR(EC126/DU126&gt;2,EC126/DU126&lt;0.5),"NM",EC126/DU126*100-100))</f>
        <v>-19.956242435527415</v>
      </c>
      <c r="EE126" s="81">
        <f>EE119/EE118*100</f>
        <v>-19.333333333333332</v>
      </c>
      <c r="EF126" s="72">
        <f>IF(ISERROR(EE126/DW126),"NA",IF(OR(EE126/DW126&gt;2,EE126/DW126&lt;0.5),"NM",EE126/DW126*100-100))</f>
        <v>20.763285024154584</v>
      </c>
      <c r="EG126" s="81">
        <f>EG119/EG118*100</f>
        <v>-27.346938775510203</v>
      </c>
      <c r="EH126" s="72">
        <f>IF(ISERROR(EG126/DY126),"NA",IF(OR(EG126/DY126&gt;2,EG126/DY126&lt;0.5),"NM",EG126/DY126*100-100))</f>
        <v>7.0896930200651695</v>
      </c>
      <c r="EI126" s="81">
        <f>EI119/EI118*100</f>
        <v>-24.086021505376344</v>
      </c>
      <c r="EJ126" s="72">
        <f>IF(ISERROR(EI126/EA126),"NA",IF(OR(EI126/EA126&gt;2,EI126/EA126&lt;0.5),"NM",EI126/EA126*100-100))</f>
        <v>16.746363061353577</v>
      </c>
      <c r="EK126" s="81">
        <f>EK119/EK118*100</f>
        <v>18.775510204081634</v>
      </c>
      <c r="EL126" s="72" t="str">
        <f>IF(ISERROR(EK126/EC126),"NA",IF(OR(EK126/EC126&gt;2,EK126/EC126&lt;0.5),"NM",EK126/EC126*100-100))</f>
        <v>NM</v>
      </c>
      <c r="EM126" s="81">
        <f>EM119/EM118*100</f>
        <v>-19.955654101995567</v>
      </c>
      <c r="EN126" s="72">
        <f>IF(ISERROR(EM126/EE126),"NA",IF(OR(EM126/EE126&gt;2,EM126/EE126&lt;0.5),"NM",EM126/EE126*100-100))</f>
        <v>3.218900527563278</v>
      </c>
      <c r="EO126" s="81">
        <f>EO119/EO118*100</f>
        <v>-21.120689655172413</v>
      </c>
      <c r="EP126" s="72">
        <f>IF(ISERROR(EO126/EG126),"NA",IF(OR(EO126/EG126&gt;2,EO126/EG126&lt;0.5),"NM",EO126/EG126*100-100))</f>
        <v>-22.76762738033969</v>
      </c>
      <c r="EQ126" s="688">
        <f>EO126+1</f>
        <v>-20.120689655172413</v>
      </c>
      <c r="ER126" s="72">
        <f t="shared" si="779"/>
        <v>-16.463208128078819</v>
      </c>
      <c r="ES126" s="688">
        <f t="shared" si="784"/>
        <v>-20.120689655172413</v>
      </c>
      <c r="ET126" s="72" t="str">
        <f t="shared" si="780"/>
        <v>NM</v>
      </c>
      <c r="EU126" s="688">
        <f t="shared" si="785"/>
        <v>-20.120689655172413</v>
      </c>
      <c r="EV126" s="72">
        <f t="shared" si="781"/>
        <v>0.82701149425285791</v>
      </c>
      <c r="EW126" s="688">
        <f t="shared" si="786"/>
        <v>-20.120689655172413</v>
      </c>
      <c r="EX126" s="72">
        <f t="shared" si="782"/>
        <v>-4.7346938775510239</v>
      </c>
      <c r="EY126" s="72"/>
      <c r="EZ126" s="301"/>
      <c r="FA126" s="72"/>
      <c r="FB126" s="84">
        <f>FB119/FB118*100</f>
        <v>-18.269230769230766</v>
      </c>
      <c r="FC126" s="85"/>
      <c r="FD126" s="84">
        <f>FD119/FD118*100</f>
        <v>-10.056390977443609</v>
      </c>
      <c r="FE126" s="72">
        <f>IF(ISERROR(FD126/FB126),"NA",IF(OR(FD126/FB126&gt;2,FD126/FB126&lt;0.5),"NM",FD126/FB126*100-100))</f>
        <v>-44.954491491887602</v>
      </c>
      <c r="FF126" s="84">
        <f>FF119/FF118*100</f>
        <v>-9.9526066350710902</v>
      </c>
      <c r="FG126" s="72">
        <f>IF(ISERROR(FF126/FD126),"NA",IF(OR(FF126/FD126&gt;2,FF126/FD126&lt;0.5),"NM",FF126/FD126*100-100))</f>
        <v>-1.0320237409753332</v>
      </c>
      <c r="FH126" s="84">
        <f>FH119/FH118*100</f>
        <v>-7.8409090909090917</v>
      </c>
      <c r="FI126" s="72">
        <f>IF(ISERROR(FH126/FF126),"NA",IF(OR(FH126/FF126&gt;2,FH126/FF126&lt;0.5),"NM",FH126/FF126*100-100))</f>
        <v>-21.217532467532465</v>
      </c>
      <c r="FJ126" s="84">
        <f>FJ119/FJ118*100</f>
        <v>-3.0555555555555554</v>
      </c>
      <c r="FK126" s="72" t="str">
        <f>IF(ISERROR(FJ126/FH126),"NA",IF(OR(FJ126/FH126&gt;2,FJ126/FH126&lt;0.5),"NM",FJ126/FH126*100-100))</f>
        <v>NM</v>
      </c>
      <c r="FL126" s="84">
        <f>FL119/FL118*100</f>
        <v>-13.253012048192772</v>
      </c>
      <c r="FM126" s="72" t="str">
        <f>IF(ISERROR(FL126/FJ126),"NA",IF(OR(FL126/FJ126&gt;2,FL126/FJ126&lt;0.5),"NM",FL126/FJ126*100-100))</f>
        <v>NM</v>
      </c>
      <c r="FN126" s="84">
        <f>FN119/FN118*100</f>
        <v>-3.9742212674543502</v>
      </c>
      <c r="FO126" s="72" t="str">
        <f>IF(ISERROR(FN126/FL126),"NA",IF(OR(FN126/FL126&gt;2,FN126/FL126&lt;0.5),"NM",FN126/FL126*100-100))</f>
        <v>NM</v>
      </c>
      <c r="FP126" s="84">
        <f>FP119/FP118*100</f>
        <v>6.5868263473053901</v>
      </c>
      <c r="FQ126" s="72" t="str">
        <f>IF(ISERROR(FP126/FN126),"NA",IF(OR(FP126/FN126&gt;2,FP126/FN126&lt;0.5),"NM",FP126/FN126*100-100))</f>
        <v>NM</v>
      </c>
      <c r="FR126" s="81">
        <f>FR119/FR118*100</f>
        <v>-39.97709049255441</v>
      </c>
      <c r="FS126" s="72" t="str">
        <f>IF(ISERROR(FR126/FP126),"NA",IF(OR(FR126/FP126&gt;2,FR126/FP126&lt;0.5),"NM",FR126/FP126*100-100))</f>
        <v>NM</v>
      </c>
      <c r="FT126" s="81">
        <f>FT119/FT118*100</f>
        <v>-29.357798165137616</v>
      </c>
      <c r="FU126" s="72">
        <f>IF(ISERROR(FT126/FR126),"NA",IF(OR(FT126/FR126&gt;2,FT126/FR126&lt;0.5),"NM",FT126/FR126*100-100))</f>
        <v>-26.563444704397881</v>
      </c>
      <c r="FV126" s="81">
        <f>FV119/FV118*100</f>
        <v>-9.2687950566426363</v>
      </c>
      <c r="FW126" s="72" t="str">
        <f>IF(ISERROR(FV126/FT126),"NA",IF(OR(FV126/FT126&gt;2,FV126/FT126&lt;0.5),"NM",FV126/FT126*100-100))</f>
        <v>NM</v>
      </c>
      <c r="FX126" s="81">
        <f>FX119/FX118*100</f>
        <v>-25.170731707317074</v>
      </c>
      <c r="FY126" s="72" t="str">
        <f>IF(ISERROR(FX126/FV126),"NA",IF(OR(FX126/FV126&gt;2,FX126/FV126&lt;0.5),"NM",FX126/FV126*100-100))</f>
        <v>NM</v>
      </c>
      <c r="FZ126" s="81">
        <f>FZ119/FZ118*100</f>
        <v>-17.044228694714132</v>
      </c>
      <c r="GA126" s="72">
        <f>IF(ISERROR(FZ126/FX126),"NA",IF(OR(FZ126/FX126&gt;2,FZ126/FX126&lt;0.5),"NM",FZ126/FX126*100-100))</f>
        <v>-32.285525534565949</v>
      </c>
      <c r="GB126" s="81">
        <f>GB119/GB118*100</f>
        <v>-19.300106044538705</v>
      </c>
      <c r="GC126" s="72">
        <f>IF(ISERROR(GB126/FZ126),"NA",IF(OR(GB126/FZ126&gt;2,GB126/FZ126&lt;0.5),"NM",GB126/FZ126*100-100))</f>
        <v>13.235432299287211</v>
      </c>
      <c r="GD126" s="81">
        <f>GD119/GD118*100</f>
        <v>-1.5260323159784559</v>
      </c>
      <c r="GE126" s="72" t="str">
        <f>IF(ISERROR(GD126/GB126),"NA",IF(OR(GD126/GB126&gt;2,GD126/GB126&lt;0.5),"NM",GD126/GB126*100-100))</f>
        <v>NM</v>
      </c>
      <c r="GF126" s="81">
        <f>GF119/GF118*100</f>
        <v>-36.10648918469218</v>
      </c>
      <c r="GG126" s="72" t="str">
        <f>IF(ISERROR(GF126/GD126),"NA",IF(OR(GF126/GD126&gt;2,GF126/GD126&lt;0.5),"NM",GF126/GD126*100-100))</f>
        <v>NM</v>
      </c>
      <c r="GH126" s="81">
        <f>GH119/GH118*100</f>
        <v>-12.235009085402785</v>
      </c>
      <c r="GI126" s="72" t="str">
        <f t="shared" si="783"/>
        <v>NM</v>
      </c>
      <c r="GJ126" s="81">
        <f>GJ119/GJ118*100</f>
        <v>-31.466828971393788</v>
      </c>
      <c r="GK126" s="72" t="str">
        <f t="shared" si="783"/>
        <v>NM</v>
      </c>
      <c r="GL126" s="81">
        <f>GL119/GL118*100</f>
        <v>-32.490379329301817</v>
      </c>
      <c r="GM126" s="72">
        <f t="shared" si="783"/>
        <v>3.2527915629456174</v>
      </c>
      <c r="GN126" s="81">
        <f>GN119/GN118*100</f>
        <v>-11.122994652406417</v>
      </c>
      <c r="GO126" s="72" t="str">
        <f t="shared" si="783"/>
        <v>NM</v>
      </c>
      <c r="GP126" s="81">
        <f>GP119/GP118*100</f>
        <v>-20.120689655172409</v>
      </c>
      <c r="GQ126" s="72">
        <f t="shared" si="783"/>
        <v>80.892738726790412</v>
      </c>
      <c r="GR126" s="86">
        <f>GP126</f>
        <v>-20.120689655172409</v>
      </c>
      <c r="GS126" s="72">
        <f t="shared" si="783"/>
        <v>0</v>
      </c>
      <c r="GT126" s="86">
        <f>GR126</f>
        <v>-20.120689655172409</v>
      </c>
      <c r="GU126" s="72">
        <f t="shared" si="783"/>
        <v>0</v>
      </c>
      <c r="GV126" s="86">
        <f>GT126</f>
        <v>-20.120689655172409</v>
      </c>
      <c r="GW126" s="72">
        <f>IF(ISERROR(GV126/GT126),"NA",IF(OR(GV126/GT126&gt;2,GV126/GT126&lt;0.5),"NM",GV126/GT126*100-100))</f>
        <v>0</v>
      </c>
      <c r="GX126" s="86">
        <f>GV126</f>
        <v>-20.120689655172409</v>
      </c>
      <c r="GY126" s="72">
        <f>IF(ISERROR(GX126/GV126),"NA",IF(OR(GX126/GV126&gt;2,GX126/GV126&lt;0.5),"NM",GX126/GV126*100-100))</f>
        <v>0</v>
      </c>
      <c r="GZ126" s="72">
        <f>IF(ISERROR(((GX126/GN126)^0.2-1)*100),"NA",IF((((GX126/GN126)^0.2-1)*100)&gt;100,"NM",IF((((GX126/GN126)^0.2-1)*100)&lt;-50,"NM",((GX126/GN126)^0.2-1)*100)))</f>
        <v>12.585957793529111</v>
      </c>
      <c r="HA126" s="72"/>
      <c r="HB126" s="72"/>
      <c r="HC126"/>
      <c r="HD126"/>
      <c r="HE126"/>
      <c r="HF126"/>
      <c r="HG126"/>
      <c r="HH126"/>
      <c r="HI126" s="2"/>
    </row>
    <row r="127" spans="1:217" s="3" customFormat="1" ht="12.75" customHeight="1" x14ac:dyDescent="0.2">
      <c r="B127" s="76"/>
      <c r="C127" s="73"/>
      <c r="D127" s="72"/>
      <c r="E127" s="73"/>
      <c r="F127" s="72"/>
      <c r="G127" s="73"/>
      <c r="H127" s="72"/>
      <c r="I127" s="73"/>
      <c r="J127" s="72"/>
      <c r="K127" s="73"/>
      <c r="L127" s="72"/>
      <c r="M127" s="73"/>
      <c r="N127" s="72"/>
      <c r="O127" s="73"/>
      <c r="P127" s="72"/>
      <c r="Q127" s="73"/>
      <c r="R127" s="72"/>
      <c r="S127" s="73"/>
      <c r="T127" s="72"/>
      <c r="U127" s="73"/>
      <c r="V127" s="72"/>
      <c r="W127" s="73"/>
      <c r="X127" s="72"/>
      <c r="Y127" s="73"/>
      <c r="Z127" s="72"/>
      <c r="AA127" s="73"/>
      <c r="AB127" s="72"/>
      <c r="AC127" s="73"/>
      <c r="AD127" s="72"/>
      <c r="AE127" s="73"/>
      <c r="AF127" s="72"/>
      <c r="AG127" s="73"/>
      <c r="AH127" s="72"/>
      <c r="AI127" s="73"/>
      <c r="AJ127" s="72"/>
      <c r="AK127" s="73"/>
      <c r="AL127" s="72"/>
      <c r="AM127" s="73"/>
      <c r="AN127" s="72"/>
      <c r="AO127" s="73"/>
      <c r="AP127" s="72"/>
      <c r="AQ127" s="73"/>
      <c r="AR127" s="72"/>
      <c r="AS127" s="73"/>
      <c r="AT127" s="72"/>
      <c r="AU127" s="73"/>
      <c r="AV127" s="72"/>
      <c r="AW127" s="73"/>
      <c r="AX127" s="72"/>
      <c r="AY127" s="73"/>
      <c r="AZ127" s="72"/>
      <c r="BA127" s="73"/>
      <c r="BB127" s="72"/>
      <c r="BC127" s="73"/>
      <c r="BD127" s="72"/>
      <c r="BE127" s="73"/>
      <c r="BF127" s="72"/>
      <c r="BG127" s="73"/>
      <c r="BH127" s="72"/>
      <c r="BI127" s="73"/>
      <c r="BJ127" s="72"/>
      <c r="BK127" s="73"/>
      <c r="BL127" s="72"/>
      <c r="BM127" s="73"/>
      <c r="BN127" s="72"/>
      <c r="BO127" s="73"/>
      <c r="BP127" s="73"/>
      <c r="BQ127" s="73"/>
      <c r="BR127" s="73"/>
      <c r="BS127" s="73"/>
      <c r="BT127" s="73"/>
      <c r="BU127" s="73"/>
      <c r="BV127" s="73"/>
      <c r="BW127" s="73"/>
      <c r="BX127" s="72"/>
      <c r="BY127" s="73"/>
      <c r="BZ127" s="72"/>
      <c r="CA127" s="73"/>
      <c r="CB127" s="72"/>
      <c r="CC127" s="73"/>
      <c r="CD127" s="72"/>
      <c r="CE127" s="73"/>
      <c r="CF127" s="72"/>
      <c r="CG127" s="73"/>
      <c r="CH127" s="72"/>
      <c r="CI127" s="73"/>
      <c r="CJ127" s="72"/>
      <c r="CK127" s="73"/>
      <c r="CL127" s="72"/>
      <c r="CM127" s="73"/>
      <c r="CN127" s="72"/>
      <c r="CO127" s="73"/>
      <c r="CP127" s="72"/>
      <c r="CQ127" s="73"/>
      <c r="CR127" s="72"/>
      <c r="CS127" s="73"/>
      <c r="CT127" s="72"/>
      <c r="CU127" s="73"/>
      <c r="CV127" s="72"/>
      <c r="CW127" s="73"/>
      <c r="CX127" s="72"/>
      <c r="CY127" s="73"/>
      <c r="CZ127" s="72"/>
      <c r="DA127" s="73"/>
      <c r="DB127" s="72"/>
      <c r="DC127" s="73"/>
      <c r="DD127" s="72"/>
      <c r="DE127" s="73"/>
      <c r="DF127" s="72"/>
      <c r="DG127" s="73"/>
      <c r="DH127" s="72"/>
      <c r="DI127" s="73"/>
      <c r="DJ127" s="72"/>
      <c r="DK127" s="73"/>
      <c r="DL127" s="72"/>
      <c r="DM127" s="73"/>
      <c r="DN127" s="72"/>
      <c r="DO127" s="73"/>
      <c r="DP127" s="72"/>
      <c r="DQ127" s="73"/>
      <c r="DR127" s="72"/>
      <c r="DS127" s="73"/>
      <c r="DT127" s="532"/>
      <c r="DU127" s="73"/>
      <c r="DV127" s="532"/>
      <c r="DW127" s="457"/>
      <c r="DX127" s="532"/>
      <c r="DY127" s="457"/>
      <c r="DZ127" s="72"/>
      <c r="EA127" s="457"/>
      <c r="EB127" s="72"/>
      <c r="EC127" s="457"/>
      <c r="ED127" s="72"/>
      <c r="EE127" s="457"/>
      <c r="EF127" s="72"/>
      <c r="EG127" s="457"/>
      <c r="EH127" s="72"/>
      <c r="EI127" s="457"/>
      <c r="EJ127" s="72"/>
      <c r="EK127" s="457"/>
      <c r="EL127" s="72"/>
      <c r="EM127" s="457"/>
      <c r="EN127" s="72"/>
      <c r="EO127" s="457"/>
      <c r="EP127" s="72"/>
      <c r="EQ127" s="457"/>
      <c r="ER127" s="72"/>
      <c r="ES127" s="457"/>
      <c r="ET127" s="72"/>
      <c r="EU127" s="457"/>
      <c r="EV127" s="72"/>
      <c r="EW127" s="457"/>
      <c r="EX127" s="72"/>
      <c r="EY127" s="72"/>
      <c r="EZ127" s="306"/>
      <c r="FA127" s="72"/>
      <c r="FB127" s="73"/>
      <c r="FC127" s="72"/>
      <c r="FD127" s="73"/>
      <c r="FE127" s="72"/>
      <c r="FF127" s="73"/>
      <c r="FG127" s="72"/>
      <c r="FH127" s="73"/>
      <c r="FI127" s="72"/>
      <c r="FJ127" s="73"/>
      <c r="FK127" s="72"/>
      <c r="FL127" s="73"/>
      <c r="FM127" s="72"/>
      <c r="FN127" s="73"/>
      <c r="FO127" s="72"/>
      <c r="FP127" s="71"/>
      <c r="FQ127" s="72"/>
      <c r="FR127" s="73"/>
      <c r="FS127" s="72"/>
      <c r="FT127" s="73"/>
      <c r="FU127" s="72"/>
      <c r="FV127" s="73"/>
      <c r="FW127" s="72"/>
      <c r="FX127" s="75"/>
      <c r="FY127" s="72"/>
      <c r="FZ127" s="73"/>
      <c r="GA127" s="72"/>
      <c r="GB127" s="73"/>
      <c r="GC127" s="72"/>
      <c r="GD127" s="73"/>
      <c r="GE127" s="72"/>
      <c r="GF127" s="73"/>
      <c r="GG127" s="72"/>
      <c r="GH127" s="73"/>
      <c r="GI127" s="72"/>
      <c r="GJ127" s="73"/>
      <c r="GK127" s="72"/>
      <c r="GL127" s="73"/>
      <c r="GM127" s="72"/>
      <c r="GN127" s="73"/>
      <c r="GO127" s="72"/>
      <c r="GP127" s="73"/>
      <c r="GQ127" s="72"/>
      <c r="GR127" s="73"/>
      <c r="GS127" s="72"/>
      <c r="GT127" s="73"/>
      <c r="GU127" s="72"/>
      <c r="GV127" s="73"/>
      <c r="GW127" s="72"/>
      <c r="GX127" s="73"/>
      <c r="GY127" s="72"/>
      <c r="GZ127" s="72"/>
      <c r="HA127" s="72"/>
      <c r="HB127" s="72"/>
      <c r="HC127"/>
      <c r="HD127"/>
      <c r="HE127"/>
      <c r="HF127"/>
      <c r="HG127"/>
      <c r="HH127"/>
      <c r="HI127" s="2"/>
    </row>
    <row r="128" spans="1:217" s="133" customFormat="1" ht="12.75" customHeight="1" x14ac:dyDescent="0.2">
      <c r="A128" s="3" t="s">
        <v>286</v>
      </c>
      <c r="B128" s="70" t="s">
        <v>27</v>
      </c>
      <c r="C128" s="91">
        <f>C112-C120</f>
        <v>53</v>
      </c>
      <c r="D128" s="80"/>
      <c r="E128" s="91">
        <f>E112-E120</f>
        <v>81</v>
      </c>
      <c r="F128" s="80"/>
      <c r="G128" s="91">
        <f>G112-G120</f>
        <v>11</v>
      </c>
      <c r="H128" s="80"/>
      <c r="I128" s="91">
        <f>I112-I120</f>
        <v>-31</v>
      </c>
      <c r="J128" s="80"/>
      <c r="K128" s="91">
        <f>K112-K120</f>
        <v>79</v>
      </c>
      <c r="L128" s="72">
        <f>IF(ISERROR(K128/C128),"NA",IF(OR(K128/C128&gt;2,K128/C128&lt;0.5),"NM",K128/C128*100-100))</f>
        <v>49.056603773584897</v>
      </c>
      <c r="M128" s="91">
        <f>M112-M120</f>
        <v>87</v>
      </c>
      <c r="N128" s="72">
        <f>IF(ISERROR(M128/E128),"NA",IF(OR(M128/E128&gt;2,M128/E128&lt;0.5),"NM",M128/E128*100-100))</f>
        <v>7.407407407407419</v>
      </c>
      <c r="O128" s="91">
        <f>O112-O120</f>
        <v>76</v>
      </c>
      <c r="P128" s="72" t="str">
        <f>IF(ISERROR(O128/G128),"NA",IF(OR(O128/G128&gt;2,O128/G128&lt;0.5),"NM",O128/G128*100-100))</f>
        <v>NM</v>
      </c>
      <c r="Q128" s="91">
        <f>Q112-Q120</f>
        <v>31</v>
      </c>
      <c r="R128" s="72" t="str">
        <f>IF(ISERROR(Q128/I128),"NA",IF(OR(Q128/I128&gt;2,Q128/I128&lt;0.5),"NM",Q128/I128*100-100))</f>
        <v>NM</v>
      </c>
      <c r="S128" s="91">
        <f>S112-S120</f>
        <v>117</v>
      </c>
      <c r="T128" s="72">
        <f>IF(ISERROR(S128/K128),"NA",IF(OR(S128/K128&gt;2,S128/K128&lt;0.5),"NM",S128/K128*100-100))</f>
        <v>48.101265822784796</v>
      </c>
      <c r="U128" s="91">
        <f>U112-U120</f>
        <v>130</v>
      </c>
      <c r="V128" s="72">
        <f>IF(ISERROR(U128/M128),"NA",IF(OR(U128/M128&gt;2,U128/M128&lt;0.5),"NM",U128/M128*100-100))</f>
        <v>49.425287356321832</v>
      </c>
      <c r="W128" s="91">
        <f>W112-W120</f>
        <v>115</v>
      </c>
      <c r="X128" s="72">
        <f>IF(ISERROR(W128/O128),"NA",IF(OR(W128/O128&gt;2,W128/O128&lt;0.5),"NM",W128/O128*100-100))</f>
        <v>51.315789473684191</v>
      </c>
      <c r="Y128" s="91">
        <f>Y112-Y120</f>
        <v>70</v>
      </c>
      <c r="Z128" s="72" t="str">
        <f>IF(ISERROR(Y128/Q128),"NA",IF(OR(Y128/Q128&gt;2,Y128/Q128&lt;0.5),"NM",Y128/Q128*100-100))</f>
        <v>NM</v>
      </c>
      <c r="AA128" s="91">
        <f>AA112-AA120</f>
        <v>106</v>
      </c>
      <c r="AB128" s="72">
        <f>IF(ISERROR(AA128/S128),"NA",IF(OR(AA128/S128&gt;2,AA128/S128&lt;0.5),"NM",AA128/S128*100-100))</f>
        <v>-9.4017094017093967</v>
      </c>
      <c r="AC128" s="91">
        <f>AC112-AC120</f>
        <v>113</v>
      </c>
      <c r="AD128" s="72">
        <f>IF(ISERROR(AC128/U128),"NA",IF(OR(AC128/U128&gt;2,AC128/U128&lt;0.5),"NM",AC128/U128*100-100))</f>
        <v>-13.07692307692308</v>
      </c>
      <c r="AE128" s="91">
        <f>AE112-AE120</f>
        <v>75</v>
      </c>
      <c r="AF128" s="72">
        <f>IF(ISERROR(AE128/W128),"NA",IF(OR(AE128/W128&gt;2,AE128/W128&lt;0.5),"NM",AE128/W128*100-100))</f>
        <v>-34.782608695652172</v>
      </c>
      <c r="AG128" s="91">
        <f>AG112-AG120</f>
        <v>63</v>
      </c>
      <c r="AH128" s="72">
        <f>IF(ISERROR(AG128/Y128),"NA",IF(OR(AG128/Y128&gt;2,AG128/Y128&lt;0.5),"NM",AG128/Y128*100-100))</f>
        <v>-10</v>
      </c>
      <c r="AI128" s="91">
        <f>AI112-AI120</f>
        <v>87</v>
      </c>
      <c r="AJ128" s="72">
        <f>IF(ISERROR(AI128/AA128),"NA",IF(OR(AI128/AA128&gt;2,AI128/AA128&lt;0.5),"NM",AI128/AA128*100-100))</f>
        <v>-17.924528301886795</v>
      </c>
      <c r="AK128" s="91">
        <f>AK112-AK120</f>
        <v>98</v>
      </c>
      <c r="AL128" s="72">
        <f>IF(ISERROR(AK128/AC128),"NA",IF(OR(AK128/AC128&gt;2,AK128/AC128&lt;0.5),"NM",AK128/AC128*100-100))</f>
        <v>-13.274336283185846</v>
      </c>
      <c r="AM128" s="91">
        <f>AM112-AM120</f>
        <v>101</v>
      </c>
      <c r="AN128" s="72">
        <f>IF(ISERROR(AM128/AE128),"NA",IF(OR(AM128/AE128&gt;2,AM128/AE128&lt;0.5),"NM",AM128/AE128*100-100))</f>
        <v>34.666666666666657</v>
      </c>
      <c r="AO128" s="91">
        <f>AO112-AO120</f>
        <v>104</v>
      </c>
      <c r="AP128" s="72">
        <f>IF(ISERROR(AO128/AG128),"NA",IF(OR(AO128/AG128&gt;2,AO128/AG128&lt;0.5),"NM",AO128/AG128*100-100))</f>
        <v>65.079365079365061</v>
      </c>
      <c r="AQ128" s="91">
        <f>AQ112-AQ120</f>
        <v>117</v>
      </c>
      <c r="AR128" s="72">
        <f>IF(ISERROR(AQ128/AI128),"NA",IF(OR(AQ128/AI128&gt;2,AQ128/AI128&lt;0.5),"NM",AQ128/AI128*100-100))</f>
        <v>34.482758620689651</v>
      </c>
      <c r="AS128" s="91">
        <f>AS112-AS120</f>
        <v>119</v>
      </c>
      <c r="AT128" s="72">
        <f>IF(ISERROR(AS128/AK128),"NA",IF(OR(AS128/AK128&gt;2,AS128/AK128&lt;0.5),"NM",AS128/AK128*100-100))</f>
        <v>21.428571428571416</v>
      </c>
      <c r="AU128" s="91">
        <f>AU112-AU120</f>
        <v>120</v>
      </c>
      <c r="AV128" s="72">
        <f>IF(ISERROR(AU128/AM128),"NA",IF(OR(AU128/AM128&gt;2,AU128/AM128&lt;0.5),"NM",AU128/AM128*100-100))</f>
        <v>18.811881188118804</v>
      </c>
      <c r="AW128" s="91">
        <f>AW112-AW120</f>
        <v>142</v>
      </c>
      <c r="AX128" s="72">
        <f>IF(ISERROR(AW128/AO128),"NA",IF(OR(AW128/AO128&gt;2,AW128/AO128&lt;0.5),"NM",AW128/AO128*100-100))</f>
        <v>36.538461538461547</v>
      </c>
      <c r="AY128" s="91">
        <f>AY112-AY120</f>
        <v>133</v>
      </c>
      <c r="AZ128" s="72">
        <f>IF(ISERROR(AY128/AQ128),"NA",IF(OR(AY128/AQ128&gt;2,AY128/AQ128&lt;0.5),"NM",AY128/AQ128*100-100))</f>
        <v>13.675213675213669</v>
      </c>
      <c r="BA128" s="91">
        <f>BA112-BA120</f>
        <v>97</v>
      </c>
      <c r="BB128" s="72">
        <f>IF(ISERROR(BA128/AS128),"NA",IF(OR(BA128/AS128&gt;2,BA128/AS128&lt;0.5),"NM",BA128/AS128*100-100))</f>
        <v>-18.487394957983199</v>
      </c>
      <c r="BC128" s="91">
        <f>BC112-BC120</f>
        <v>183</v>
      </c>
      <c r="BD128" s="72">
        <f>IF(ISERROR(BC128/AU128),"NA",IF(OR(BC128/AU128&gt;2,BC128/AU128&lt;0.5),"NM",BC128/AU128*100-100))</f>
        <v>52.5</v>
      </c>
      <c r="BE128" s="91">
        <f>BE112-BE120</f>
        <v>132</v>
      </c>
      <c r="BF128" s="72">
        <f>IF(ISERROR(BE128/AW128),"NA",IF(OR(BE128/AW128&gt;2,BE128/AW128&lt;0.5),"NM",BE128/AW128*100-100))</f>
        <v>-7.0422535211267672</v>
      </c>
      <c r="BG128" s="91">
        <f>BG112-BG120</f>
        <v>101</v>
      </c>
      <c r="BH128" s="72">
        <f>IF(ISERROR(BG128/AY128),"NA",IF(OR(BG128/AY128&gt;2,BG128/AY128&lt;0.5),"NM",BG128/AY128*100-100))</f>
        <v>-24.060150375939855</v>
      </c>
      <c r="BI128" s="91">
        <f>BI112-BI120</f>
        <v>141</v>
      </c>
      <c r="BJ128" s="72">
        <f>IF(ISERROR(BI128/BA128),"NA",IF(OR(BI128/BA128&gt;2,BI128/BA128&lt;0.5),"NM",BI128/BA128*100-100))</f>
        <v>45.360824742268022</v>
      </c>
      <c r="BK128" s="91">
        <f>BK112-BK120</f>
        <v>251</v>
      </c>
      <c r="BL128" s="72">
        <f>IF(ISERROR(BK128/BC128),"NA",IF(OR(BK128/BC128&gt;2,BK128/BC128&lt;0.5),"NM",BK128/BC128*100-100))</f>
        <v>37.158469945355193</v>
      </c>
      <c r="BM128" s="91">
        <f>BM112-BM120</f>
        <v>129</v>
      </c>
      <c r="BN128" s="72">
        <f>IF(ISERROR(BM128/BE128),"NA",IF(OR(BM128/BE128&gt;2,BM128/BE128&lt;0.5),"NM",BM128/BE128*100-100))</f>
        <v>-2.2727272727272663</v>
      </c>
      <c r="BO128" s="91">
        <f>BO112-BO120</f>
        <v>96</v>
      </c>
      <c r="BP128" s="72">
        <f>IF(ISERROR(BO128/BG128),"NA",IF(OR(BO128/BG128&gt;2,BO128/BG128&lt;0.5),"NM",BO128/BG128*100-100))</f>
        <v>-4.9504950495049513</v>
      </c>
      <c r="BQ128" s="91">
        <f>BQ112-BQ120</f>
        <v>103</v>
      </c>
      <c r="BR128" s="72">
        <f>IF(ISERROR(BQ128/BI128),"NA",IF(OR(BQ128/BI128&gt;2,BQ128/BI128&lt;0.5),"NM",BQ128/BI128*100-100))</f>
        <v>-26.950354609929079</v>
      </c>
      <c r="BS128" s="91">
        <f>BS112-BS120</f>
        <v>238</v>
      </c>
      <c r="BT128" s="72">
        <f>IF(ISERROR(BS128/BK128),"NA",IF(OR(BS128/BK128&gt;2,BS128/BK128&lt;0.5),"NM",BS128/BK128*100-100))</f>
        <v>-5.1792828685258883</v>
      </c>
      <c r="BU128" s="91">
        <f>BU112-BU120</f>
        <v>9</v>
      </c>
      <c r="BV128" s="72" t="str">
        <f>IF(ISERROR(BU128/BM128),"NA",IF(OR(BU128/BM128&gt;2,BU128/BM128&lt;0.5),"NM",BU128/BM128*100-100))</f>
        <v>NM</v>
      </c>
      <c r="BW128" s="91">
        <f>BW112-BW120</f>
        <v>40</v>
      </c>
      <c r="BX128" s="72" t="str">
        <f>IF(ISERROR(BW128/BO128),"NA",IF(OR(BW128/BO128&gt;2,BW128/BO128&lt;0.5),"NM",BW128/BO128*100-100))</f>
        <v>NM</v>
      </c>
      <c r="BY128" s="91">
        <f>BY112-BY120</f>
        <v>138</v>
      </c>
      <c r="BZ128" s="72">
        <f>IF(ISERROR(BY128/BQ128),"NA",IF(OR(BY128/BQ128&gt;2,BY128/BQ128&lt;0.5),"NM",BY128/BQ128*100-100))</f>
        <v>33.980582524271853</v>
      </c>
      <c r="CA128" s="91">
        <f>CA112-CA120</f>
        <v>243</v>
      </c>
      <c r="CB128" s="72">
        <f>IF(ISERROR(CA128/BS128),"NA",IF(OR(CA128/BS128&gt;2,CA128/BS128&lt;0.5),"NM",CA128/BS128*100-100))</f>
        <v>2.1008403361344392</v>
      </c>
      <c r="CC128" s="91">
        <f>CC112-CC120</f>
        <v>141</v>
      </c>
      <c r="CD128" s="72" t="str">
        <f>IF(ISERROR(CC128/BU128),"NA",IF(OR(CC128/BU128&gt;2,CC128/BU128&lt;0.5),"NM",CC128/BU128*100-100))</f>
        <v>NM</v>
      </c>
      <c r="CE128" s="91">
        <f>CE112-CE120</f>
        <v>86</v>
      </c>
      <c r="CF128" s="72" t="str">
        <f>IF(ISERROR(CE128/BW128),"NA",IF(OR(CE128/BW128&gt;2,CE128/BW128&lt;0.5),"NM",CE128/BW128*100-100))</f>
        <v>NM</v>
      </c>
      <c r="CG128" s="91">
        <f>CG112-CG120</f>
        <v>107</v>
      </c>
      <c r="CH128" s="87">
        <f>IF(ISERROR(CG128/BY128),"NA",IF(OR(CG128/BY128&gt;2,CG128/BY128&lt;0.5),"NM",CG128/BY128*100-100))</f>
        <v>-22.463768115942031</v>
      </c>
      <c r="CI128" s="91">
        <f>CI112-CI120</f>
        <v>157</v>
      </c>
      <c r="CJ128" s="87">
        <f>IF(ISERROR(CI128/CA128),"NA",IF(OR(CI128/CA128&gt;2,CI128/CA128&lt;0.5),"NM",CI128/CA128*100-100))</f>
        <v>-35.390946502057616</v>
      </c>
      <c r="CK128" s="91">
        <f>CK112-CK120</f>
        <v>132</v>
      </c>
      <c r="CL128" s="72">
        <f>IF(ISERROR(CK128/CC128),"NA",IF(OR(CK128/CC128&gt;2,CK128/CC128&lt;0.5),"NM",CK128/CC128*100-100))</f>
        <v>-6.3829787234042499</v>
      </c>
      <c r="CM128" s="91">
        <f>CM112-CM120</f>
        <v>98</v>
      </c>
      <c r="CN128" s="72">
        <f>IF(ISERROR(CM128/CE128),"NA",IF(OR(CM128/CE128&gt;2,CM128/CE128&lt;0.5),"NM",CM128/CE128*100-100))</f>
        <v>13.95348837209302</v>
      </c>
      <c r="CO128" s="91">
        <f>CO112-CO120</f>
        <v>135</v>
      </c>
      <c r="CP128" s="72">
        <f>IF(ISERROR(CO128/CG128),"NA",IF(OR(CO128/CG128&gt;2,CO128/CG128&lt;0.5),"NM",CO128/CG128*100-100))</f>
        <v>26.168224299065429</v>
      </c>
      <c r="CQ128" s="91">
        <f>CQ112-CQ120</f>
        <v>111</v>
      </c>
      <c r="CR128" s="72">
        <f>IF(ISERROR(CQ128/CI128),"NA",IF(OR(CQ128/CI128&gt;2,CQ128/CI128&lt;0.5),"NM",CQ128/CI128*100-100))</f>
        <v>-29.29936305732484</v>
      </c>
      <c r="CS128" s="91">
        <f>CS112-CS120</f>
        <v>138</v>
      </c>
      <c r="CT128" s="72">
        <f>IF(ISERROR(CS128/CK128),"NA",IF(OR(CS128/CK128&gt;2,CS128/CK128&lt;0.5),"NM",CS128/CK128*100-100))</f>
        <v>4.5454545454545467</v>
      </c>
      <c r="CU128" s="91">
        <f>CU112-CU120</f>
        <v>112</v>
      </c>
      <c r="CV128" s="72">
        <f>IF(ISERROR(CU128/CM128),"NA",IF(OR(CU128/CM128&gt;2,CU128/CM128&lt;0.5),"NM",CU128/CM128*100-100))</f>
        <v>14.285714285714278</v>
      </c>
      <c r="CW128" s="91">
        <f>CW112-CW120</f>
        <v>61</v>
      </c>
      <c r="CX128" s="72" t="str">
        <f>IF(ISERROR(CW128/CO128),"NA",IF(OR(CW128/CO128&gt;2,CW128/CO128&lt;0.5),"NM",CW128/CO128*100-100))</f>
        <v>NM</v>
      </c>
      <c r="CY128" s="91">
        <f>CY112-CY120</f>
        <v>112</v>
      </c>
      <c r="CZ128" s="72">
        <f>IF(ISERROR(CY128/CQ128),"NA",IF(OR(CY128/CQ128&gt;2,CY128/CQ128&lt;0.5),"NM",CY128/CQ128*100-100))</f>
        <v>0.90090090090089348</v>
      </c>
      <c r="DA128" s="91">
        <f>DA112-DA120</f>
        <v>99</v>
      </c>
      <c r="DB128" s="72">
        <f>IF(ISERROR(DA128/CS128),"NA",IF(OR(DA128/CS128&gt;2,DA128/CS128&lt;0.5),"NM",DA128/CS128*100-100))</f>
        <v>-28.260869565217391</v>
      </c>
      <c r="DC128" s="91">
        <f>DC112-DC120</f>
        <v>137</v>
      </c>
      <c r="DD128" s="72">
        <f>IF(ISERROR(DC128/CU128),"NA",IF(OR(DC128/CU128&gt;2,DC128/CU128&lt;0.5),"NM",DC128/CU128*100-100))</f>
        <v>22.321428571428584</v>
      </c>
      <c r="DE128" s="91">
        <f>DE112-DE120</f>
        <v>141</v>
      </c>
      <c r="DF128" s="72" t="str">
        <f>IF(ISERROR(DE128/CW128),"NA",IF(OR(DE128/CW128&gt;2,DE128/CW128&lt;0.5),"NM",DE128/CW128*100-100))</f>
        <v>NM</v>
      </c>
      <c r="DG128" s="91">
        <f>DG112-DG120</f>
        <v>148</v>
      </c>
      <c r="DH128" s="72">
        <f>IF(ISERROR(DG128/CY128),"NA",IF(OR(DG128/CY128&gt;2,DG128/CY128&lt;0.5),"NM",DG128/CY128*100-100))</f>
        <v>32.142857142857139</v>
      </c>
      <c r="DI128" s="91">
        <f>DI112-DI120</f>
        <v>157</v>
      </c>
      <c r="DJ128" s="72">
        <f>IF(ISERROR(DI128/DA128),"NA",IF(OR(DI128/DA128&gt;2,DI128/DA128&lt;0.5),"NM",DI128/DA128*100-100))</f>
        <v>58.585858585858574</v>
      </c>
      <c r="DK128" s="91">
        <f>DK112-DK120</f>
        <v>125</v>
      </c>
      <c r="DL128" s="72">
        <f>IF(ISERROR(DK128/DC128),"NA",IF(OR(DK128/DC128&gt;2,DK128/DC128&lt;0.5),"NM",DK128/DC128*100-100))</f>
        <v>-8.7591240875912462</v>
      </c>
      <c r="DM128" s="91">
        <f>DM112-DM120</f>
        <v>158</v>
      </c>
      <c r="DN128" s="72">
        <f t="shared" ref="DN128:DZ129" si="787">IF(ISERROR(DM128/DE128),"NA",IF(OR(DM128/DE128&gt;2,DM128/DE128&lt;0.5),"NM",DM128/DE128*100-100))</f>
        <v>12.056737588652481</v>
      </c>
      <c r="DO128" s="91">
        <f>DO112-DO120</f>
        <v>97</v>
      </c>
      <c r="DP128" s="72">
        <f t="shared" si="787"/>
        <v>-34.459459459459467</v>
      </c>
      <c r="DQ128" s="91">
        <f>DQ112-DQ120</f>
        <v>118</v>
      </c>
      <c r="DR128" s="72">
        <f t="shared" si="787"/>
        <v>-24.840764331210181</v>
      </c>
      <c r="DS128" s="91">
        <f>DS112-DS120</f>
        <v>116</v>
      </c>
      <c r="DT128" s="532">
        <f t="shared" si="787"/>
        <v>-7.1999999999999886</v>
      </c>
      <c r="DU128" s="91">
        <f>DU112-DU120</f>
        <v>237</v>
      </c>
      <c r="DV128" s="532">
        <f t="shared" si="787"/>
        <v>50</v>
      </c>
      <c r="DW128" s="91">
        <f>DW112-DW120</f>
        <v>183</v>
      </c>
      <c r="DX128" s="532">
        <f t="shared" si="787"/>
        <v>88.659793814432987</v>
      </c>
      <c r="DY128" s="91">
        <f>DY112-DY120</f>
        <v>99</v>
      </c>
      <c r="DZ128" s="72">
        <f t="shared" si="787"/>
        <v>-16.101694915254242</v>
      </c>
      <c r="EA128" s="91">
        <f>EA112-EA120</f>
        <v>120</v>
      </c>
      <c r="EB128" s="72">
        <f>IF(ISERROR(EA128/DS128),"NA",IF(OR(EA128/DS128&gt;2,EA128/DS128&lt;0.5),"NM",EA128/DS128*100-100))</f>
        <v>3.448275862068968</v>
      </c>
      <c r="EC128" s="91">
        <f>EC112-EC120</f>
        <v>-290</v>
      </c>
      <c r="ED128" s="72" t="str">
        <f>IF(ISERROR(EC128/DU128),"NA",IF(OR(EC128/DU128&gt;2,EC128/DU128&lt;0.5),"NM",EC128/DU128*100-100))</f>
        <v>NM</v>
      </c>
      <c r="EE128" s="91">
        <f>EE112-EE120</f>
        <v>111</v>
      </c>
      <c r="EF128" s="72">
        <f>IF(ISERROR(EE128/DW128),"NA",IF(OR(EE128/DW128&gt;2,EE128/DW128&lt;0.5),"NM",EE128/DW128*100-100))</f>
        <v>-39.344262295081968</v>
      </c>
      <c r="EG128" s="91">
        <f>EG112-EG120</f>
        <v>138</v>
      </c>
      <c r="EH128" s="72">
        <f>IF(ISERROR(EG128/DY128),"NA",IF(OR(EG128/DY128&gt;2,EG128/DY128&lt;0.5),"NM",EG128/DY128*100-100))</f>
        <v>39.393939393939405</v>
      </c>
      <c r="EI128" s="91">
        <f>EI112-EI120</f>
        <v>118</v>
      </c>
      <c r="EJ128" s="72">
        <f>IF(ISERROR(EI128/EA128),"NA",IF(OR(EI128/EA128&gt;2,EI128/EA128&lt;0.5),"NM",EI128/EA128*100-100))</f>
        <v>-1.6666666666666714</v>
      </c>
      <c r="EK128" s="91">
        <f>EK112-EK120</f>
        <v>-557</v>
      </c>
      <c r="EL128" s="72">
        <f>IF(ISERROR(EK128/EC128),"NA",IF(OR(EK128/EC128&gt;2,EK128/EC128&lt;0.5),"NM",EK128/EC128*100-100))</f>
        <v>92.068965517241367</v>
      </c>
      <c r="EM128" s="91">
        <f>EM112-EM120</f>
        <v>150</v>
      </c>
      <c r="EN128" s="72">
        <f>IF(ISERROR(EM128/EE128),"NA",IF(OR(EM128/EE128&gt;2,EM128/EE128&lt;0.5),"NM",EM128/EE128*100-100))</f>
        <v>35.13513513513513</v>
      </c>
      <c r="EO128" s="91">
        <f>EO112-EO120</f>
        <v>98</v>
      </c>
      <c r="EP128" s="72">
        <f>IF(ISERROR(EO128/EG128),"NA",IF(OR(EO128/EG128&gt;2,EO128/EG128&lt;0.5),"NM",EO128/EG128*100-100))</f>
        <v>-28.985507246376812</v>
      </c>
      <c r="EQ128" s="452">
        <f t="shared" ref="EQ128" si="788">EQ112-EQ120</f>
        <v>95.528326875000175</v>
      </c>
      <c r="ER128" s="72">
        <f t="shared" ref="ER128:ER129" si="789">IF(ISERROR(EQ128/EI128),"NA",IF(OR(EQ128/EI128&gt;2,EQ128/EI128&lt;0.5),"NM",EQ128/EI128*100-100))</f>
        <v>-19.043790783898146</v>
      </c>
      <c r="ES128" s="452">
        <f t="shared" ref="ES128" si="790">ES112-ES120</f>
        <v>113.75430471982759</v>
      </c>
      <c r="ET128" s="72" t="str">
        <f t="shared" ref="ET128:ET129" si="791">IF(ISERROR(ES128/EK128),"NA",IF(OR(ES128/EK128&gt;2,ES128/EK128&lt;0.5),"NM",ES128/EK128*100-100))</f>
        <v>NM</v>
      </c>
      <c r="EU128" s="452">
        <f t="shared" ref="EU128" si="792">EU112-EU120</f>
        <v>113.87967676271569</v>
      </c>
      <c r="EV128" s="72">
        <f t="shared" ref="EV128:EV129" si="793">IF(ISERROR(EU128/EM128),"NA",IF(OR(EU128/EM128&gt;2,EU128/EM128&lt;0.5),"NM",EU128/EM128*100-100))</f>
        <v>-24.080215491522878</v>
      </c>
      <c r="EW128" s="452">
        <f t="shared" ref="EW128" si="794">EW112-EW120</f>
        <v>112.9107367140482</v>
      </c>
      <c r="EX128" s="72">
        <f t="shared" ref="EX128:EX129" si="795">IF(ISERROR(EW128/EO128),"NA",IF(OR(EW128/EO128&gt;2,EW128/EO128&lt;0.5),"NM",EW128/EO128*100-100))</f>
        <v>15.215037463314502</v>
      </c>
      <c r="EY128" s="72"/>
      <c r="EZ128" s="310"/>
      <c r="FA128" s="72"/>
      <c r="FB128" s="91">
        <f>FB112-FB120</f>
        <v>178</v>
      </c>
      <c r="FC128" s="80"/>
      <c r="FD128" s="91">
        <f>FD112-FD120</f>
        <v>117</v>
      </c>
      <c r="FE128" s="72">
        <f>IF(ISERROR(FD128/FB128),"NA",IF(OR(FD128/FB128&gt;2,FD128/FB128&lt;0.5),"NM",FD128/FB128*100-100))</f>
        <v>-34.269662921348313</v>
      </c>
      <c r="FF128" s="91">
        <f>FF112-FF120</f>
        <v>114</v>
      </c>
      <c r="FG128" s="72">
        <f>IF(ISERROR(FF128/FD128),"NA",IF(OR(FF128/FD128&gt;2,FF128/FD128&lt;0.5),"NM",FF128/FD128*100-100))</f>
        <v>-2.5641025641025692</v>
      </c>
      <c r="FH128" s="91">
        <f>FH112-FH120</f>
        <v>273</v>
      </c>
      <c r="FI128" s="72" t="str">
        <f>IF(ISERROR(FH128/FF128),"NA",IF(OR(FH128/FF128&gt;2,FH128/FF128&lt;0.5),"NM",FH128/FF128*100-100))</f>
        <v>NM</v>
      </c>
      <c r="FJ128" s="91">
        <f>FJ112-FJ120</f>
        <v>432</v>
      </c>
      <c r="FK128" s="72">
        <f>IF(ISERROR(FJ128/FH128),"NA",IF(OR(FJ128/FH128&gt;2,FJ128/FH128&lt;0.5),"NM",FJ128/FH128*100-100))</f>
        <v>58.241758241758248</v>
      </c>
      <c r="FL128" s="91">
        <f>FL112-FL120</f>
        <v>357</v>
      </c>
      <c r="FM128" s="72">
        <f>IF(ISERROR(FL128/FJ128),"NA",IF(OR(FL128/FJ128&gt;2,FL128/FJ128&lt;0.5),"NM",FL128/FJ128*100-100))</f>
        <v>-17.361111111111114</v>
      </c>
      <c r="FN128" s="91">
        <f>FN112-FN120</f>
        <v>390</v>
      </c>
      <c r="FO128" s="72">
        <f>IF(ISERROR(FN128/FL128),"NA",IF(OR(FN128/FL128&gt;2,FN128/FL128&lt;0.5),"NM",FN128/FL128*100-100))</f>
        <v>9.2436974789915922</v>
      </c>
      <c r="FP128" s="91">
        <f>FP112-FP120</f>
        <v>498</v>
      </c>
      <c r="FQ128" s="72">
        <f>IF(ISERROR(FP128/FN128),"NA",IF(OR(FP128/FN128&gt;2,FP128/FN128&lt;0.5),"NM",FP128/FN128*100-100))</f>
        <v>27.692307692307679</v>
      </c>
      <c r="FR128" s="91">
        <f>FR112-FR120</f>
        <v>545</v>
      </c>
      <c r="FS128" s="72">
        <f>IF(ISERROR(FR128/FP128),"NA",IF(OR(FR128/FP128&gt;2,FR128/FP128&lt;0.5),"NM",FR128/FP128*100-100))</f>
        <v>9.4377510040160644</v>
      </c>
      <c r="FT128" s="91">
        <f>FT112-FT120</f>
        <v>622</v>
      </c>
      <c r="FU128" s="72">
        <f>IF(ISERROR(FT128/FR128),"NA",IF(OR(FT128/FR128&gt;2,FT128/FR128&lt;0.5),"NM",FT128/FR128*100-100))</f>
        <v>14.12844036697247</v>
      </c>
      <c r="FV128" s="91">
        <f>FV112-FV120</f>
        <v>463</v>
      </c>
      <c r="FW128" s="72">
        <f>IF(ISERROR(FV128/FT128),"NA",IF(OR(FV128/FT128&gt;2,FV128/FT128&lt;0.5),"NM",FV128/FT128*100-100))</f>
        <v>-25.562700964630224</v>
      </c>
      <c r="FX128" s="91">
        <f>FX112-FX120</f>
        <v>514</v>
      </c>
      <c r="FY128" s="72">
        <f>IF(ISERROR(FX128/FV128),"NA",IF(OR(FX128/FV128&gt;2,FX128/FV128&lt;0.5),"NM",FX128/FV128*100-100))</f>
        <v>11.015118790496771</v>
      </c>
      <c r="FZ128" s="91">
        <f>FZ112-FZ120</f>
        <v>482</v>
      </c>
      <c r="GA128" s="72">
        <f>IF(ISERROR(FZ128/FX128),"NA",IF(OR(FZ128/FX128&gt;2,FZ128/FX128&lt;0.5),"NM",FZ128/FX128*100-100))</f>
        <v>-6.2256809338521464</v>
      </c>
      <c r="GB128" s="91">
        <f>GB112-GB120</f>
        <v>482</v>
      </c>
      <c r="GC128" s="72">
        <f>IF(ISERROR(GB128/FZ128),"NA",IF(OR(GB128/FZ128&gt;2,GB128/FZ128&lt;0.5),"NM",GB128/FZ128*100-100))</f>
        <v>0</v>
      </c>
      <c r="GD128" s="91">
        <f>GD112-GD120</f>
        <v>384</v>
      </c>
      <c r="GE128" s="72">
        <f>IF(ISERROR(GD128/GB128),"NA",IF(OR(GD128/GB128&gt;2,GD128/GB128&lt;0.5),"NM",GD128/GB128*100-100))</f>
        <v>-20.331950207468878</v>
      </c>
      <c r="GF128" s="91">
        <f>GF112-GF120</f>
        <v>583</v>
      </c>
      <c r="GG128" s="72">
        <f>IF(ISERROR(GF128/GD128),"NA",IF(OR(GF128/GD128&gt;2,GF128/GD128&lt;0.5),"NM",GF128/GD128*100-100))</f>
        <v>51.822916666666686</v>
      </c>
      <c r="GH128" s="91">
        <f>GH112-GH120</f>
        <v>498</v>
      </c>
      <c r="GI128" s="72">
        <f t="shared" ref="GI128:GU129" si="796">IF(ISERROR(GH128/GF128),"NA",IF(OR(GH128/GF128&gt;2,GH128/GF128&lt;0.5),"NM",GH128/GF128*100-100))</f>
        <v>-14.579759862778729</v>
      </c>
      <c r="GJ128" s="91">
        <f>GJ112-GJ120</f>
        <v>635</v>
      </c>
      <c r="GK128" s="72">
        <f t="shared" si="796"/>
        <v>27.510040160642575</v>
      </c>
      <c r="GL128" s="91">
        <f>GL112-GL120</f>
        <v>79</v>
      </c>
      <c r="GM128" s="72" t="str">
        <f t="shared" si="796"/>
        <v>NM</v>
      </c>
      <c r="GN128" s="91">
        <f>GN112-GN120</f>
        <v>-191</v>
      </c>
      <c r="GO128" s="72" t="str">
        <f t="shared" si="796"/>
        <v>NM</v>
      </c>
      <c r="GP128" s="91">
        <f>GP112-GP120</f>
        <v>436.07304507159097</v>
      </c>
      <c r="GQ128" s="72" t="str">
        <f t="shared" si="796"/>
        <v>NM</v>
      </c>
      <c r="GR128" s="91">
        <f>GR112-GR120</f>
        <v>432.33203523491011</v>
      </c>
      <c r="GS128" s="72">
        <f t="shared" si="796"/>
        <v>-0.85788605348598423</v>
      </c>
      <c r="GT128" s="91">
        <f>GT112-GT120</f>
        <v>427.44700049098174</v>
      </c>
      <c r="GU128" s="72">
        <f t="shared" si="796"/>
        <v>-1.1299266179232035</v>
      </c>
      <c r="GV128" s="91">
        <f>GV112-GV120</f>
        <v>428.09328543534866</v>
      </c>
      <c r="GW128" s="72">
        <f>IF(ISERROR(GV128/GT128),"NA",IF(OR(GV128/GT128&gt;2,GV128/GT128&lt;0.5),"NM",GV128/GT128*100-100))</f>
        <v>0.15119650942094154</v>
      </c>
      <c r="GX128" s="91">
        <f>GX112-GX120</f>
        <v>427.94359380240439</v>
      </c>
      <c r="GY128" s="72">
        <f>IF(ISERROR(GX128/GV128),"NA",IF(OR(GX128/GV128&gt;2,GX128/GV128&lt;0.5),"NM",GX128/GV128*100-100))</f>
        <v>-3.4967059292227987E-2</v>
      </c>
      <c r="GZ128" s="72" t="str">
        <f>IF(ISERROR(((GX128/GN128)^0.2-1)*100),"NA",IF((((GX128/GN128)^0.2-1)*100)&gt;100,"NM",IF((((GX128/GN128)^0.2-1)*100)&lt;-50,"NM",((GX128/GN128)^0.2-1)*100)))</f>
        <v>NM</v>
      </c>
      <c r="HA128" s="72"/>
      <c r="HB128" s="72"/>
      <c r="HC128"/>
      <c r="HD128"/>
      <c r="HE128"/>
      <c r="HF128"/>
      <c r="HG128"/>
      <c r="HH128"/>
      <c r="HI128" s="2"/>
    </row>
    <row r="129" spans="1:217" s="69" customFormat="1" ht="12.75" customHeight="1" x14ac:dyDescent="0.2">
      <c r="B129" s="77" t="s">
        <v>515</v>
      </c>
      <c r="C129" s="81">
        <f>C128/C112*100</f>
        <v>10.860655737704917</v>
      </c>
      <c r="D129" s="72"/>
      <c r="E129" s="81">
        <f>E128/E112*100</f>
        <v>17.494600431965441</v>
      </c>
      <c r="F129" s="72"/>
      <c r="G129" s="81">
        <f>G128/G112*100</f>
        <v>2.5114155251141552</v>
      </c>
      <c r="H129" s="72"/>
      <c r="I129" s="81">
        <f>I128/I112*100</f>
        <v>-6.6523605150214591</v>
      </c>
      <c r="J129" s="72"/>
      <c r="K129" s="81">
        <f>K128/K112*100</f>
        <v>16.916488222698074</v>
      </c>
      <c r="L129" s="72">
        <f>IF(ISERROR(K129/C129),"NA",IF(OR(K129/C129&gt;2,K129/C129&lt;0.5),"NM",K129/C129*100-100))</f>
        <v>55.7593632580502</v>
      </c>
      <c r="M129" s="81">
        <f>M128/M112*100</f>
        <v>18.200836820083683</v>
      </c>
      <c r="N129" s="72">
        <f>IF(ISERROR(M129/E129),"NA",IF(OR(M129/E129&gt;2,M129/E129&lt;0.5),"NM",M129/E129*100-100))</f>
        <v>4.036882070354892</v>
      </c>
      <c r="O129" s="81">
        <f>O128/O112*100</f>
        <v>16.926503340757236</v>
      </c>
      <c r="P129" s="72" t="str">
        <f>IF(ISERROR(O129/G129),"NA",IF(OR(O129/G129&gt;2,O129/G129&lt;0.5),"NM",O129/G129*100-100))</f>
        <v>NM</v>
      </c>
      <c r="Q129" s="81">
        <f>Q128/Q112*100</f>
        <v>5.9047619047619051</v>
      </c>
      <c r="R129" s="72" t="str">
        <f>IF(ISERROR(Q129/I129),"NA",IF(OR(Q129/I129&gt;2,Q129/I129&lt;0.5),"NM",Q129/I129*100-100))</f>
        <v>NM</v>
      </c>
      <c r="S129" s="81">
        <f>S128/S112*100</f>
        <v>26.410835214446955</v>
      </c>
      <c r="T129" s="72">
        <f>IF(ISERROR(S129/K129),"NA",IF(OR(S129/K129&gt;2,S129/K129&lt;0.5),"NM",S129/K129*100-100))</f>
        <v>56.124810698059832</v>
      </c>
      <c r="U129" s="81">
        <f>U128/U112*100</f>
        <v>28.571428571428569</v>
      </c>
      <c r="V129" s="72">
        <f>IF(ISERROR(U129/M129),"NA",IF(OR(U129/M129&gt;2,U129/M129&lt;0.5),"NM",U129/M129*100-100))</f>
        <v>56.978653530377642</v>
      </c>
      <c r="W129" s="81">
        <f>W128/W112*100</f>
        <v>23.232323232323232</v>
      </c>
      <c r="X129" s="72">
        <f>IF(ISERROR(W129/O129),"NA",IF(OR(W129/O129&gt;2,W129/O129&lt;0.5),"NM",W129/O129*100-100))</f>
        <v>37.254120148856998</v>
      </c>
      <c r="Y129" s="81">
        <f>Y128/Y112*100</f>
        <v>12.280701754385964</v>
      </c>
      <c r="Z129" s="72" t="str">
        <f>IF(ISERROR(Y129/Q129),"NA",IF(OR(Y129/Q129&gt;2,Y129/Q129&lt;0.5),"NM",Y129/Q129*100-100))</f>
        <v>NM</v>
      </c>
      <c r="AA129" s="81">
        <f>AA128/AA112*100</f>
        <v>21.946169772256731</v>
      </c>
      <c r="AB129" s="72">
        <f>IF(ISERROR(AA129/S129),"NA",IF(OR(AA129/S129&gt;2,AA129/S129&lt;0.5),"NM",AA129/S129*100-100))</f>
        <v>-16.904673426412558</v>
      </c>
      <c r="AC129" s="81">
        <f>AC128/AC112*100</f>
        <v>23.251028806584362</v>
      </c>
      <c r="AD129" s="72">
        <f>IF(ISERROR(AC129/U129),"NA",IF(OR(AC129/U129&gt;2,AC129/U129&lt;0.5),"NM",AC129/U129*100-100))</f>
        <v>-18.621399176954725</v>
      </c>
      <c r="AE129" s="81">
        <f>AE128/AE112*100</f>
        <v>16.059957173447536</v>
      </c>
      <c r="AF129" s="72">
        <f>IF(ISERROR(AE129/W129),"NA",IF(OR(AE129/W129&gt;2,AE129/W129&lt;0.5),"NM",AE129/W129*100-100))</f>
        <v>-30.872358253421467</v>
      </c>
      <c r="AG129" s="81">
        <f>AG128/AG112*100</f>
        <v>12.401574803149607</v>
      </c>
      <c r="AH129" s="72">
        <f>IF(ISERROR(AG129/Y129),"NA",IF(OR(AG129/Y129&gt;2,AG129/Y129&lt;0.5),"NM",AG129/Y129*100-100))</f>
        <v>0.9842519685039548</v>
      </c>
      <c r="AI129" s="81">
        <f>AI128/AI112*100</f>
        <v>17.365269461077844</v>
      </c>
      <c r="AJ129" s="72">
        <f>IF(ISERROR(AI129/AA129),"NA",IF(OR(AI129/AA129&gt;2,AI129/AA129&lt;0.5),"NM",AI129/AA129*100-100))</f>
        <v>-20.87334764433399</v>
      </c>
      <c r="AK129" s="81">
        <f>AK128/AK112*100</f>
        <v>19.329388560157788</v>
      </c>
      <c r="AL129" s="72">
        <f>IF(ISERROR(AK129/AC129),"NA",IF(OR(AK129/AC129&gt;2,AK129/AC129&lt;0.5),"NM",AK129/AC129*100-100))</f>
        <v>-16.866523537728455</v>
      </c>
      <c r="AM129" s="81">
        <f>AM128/AM112*100</f>
        <v>19.056603773584907</v>
      </c>
      <c r="AN129" s="72">
        <f>IF(ISERROR(AM129/AE129),"NA",IF(OR(AM129/AE129&gt;2,AM129/AE129&lt;0.5),"NM",AM129/AE129*100-100))</f>
        <v>18.659119496855368</v>
      </c>
      <c r="AO129" s="81">
        <f>AO128/AO112*100</f>
        <v>19.439252336448597</v>
      </c>
      <c r="AP129" s="72">
        <f>IF(ISERROR(AO129/AG129),"NA",IF(OR(AO129/AG129&gt;2,AO129/AG129&lt;0.5),"NM",AO129/AG129*100-100))</f>
        <v>56.748256935172805</v>
      </c>
      <c r="AQ129" s="81">
        <f>AQ128/AQ112*100</f>
        <v>21.992481203007518</v>
      </c>
      <c r="AR129" s="72">
        <f>IF(ISERROR(AQ129/AI129),"NA",IF(OR(AQ129/AI129&gt;2,AQ129/AI129&lt;0.5),"NM",AQ129/AI129*100-100))</f>
        <v>26.646357272491585</v>
      </c>
      <c r="AS129" s="81">
        <f>AS128/AS112*100</f>
        <v>21.715328467153284</v>
      </c>
      <c r="AT129" s="72">
        <f>IF(ISERROR(AS129/AK129),"NA",IF(OR(AS129/AK129&gt;2,AS129/AK129&lt;0.5),"NM",AS129/AK129*100-100))</f>
        <v>12.343587069864441</v>
      </c>
      <c r="AU129" s="81">
        <f>AU128/AU112*100</f>
        <v>19.933554817275748</v>
      </c>
      <c r="AV129" s="72">
        <f>IF(ISERROR(AU129/AM129),"NA",IF(OR(AU129/AM129&gt;2,AU129/AM129&lt;0.5),"NM",AU129/AM129*100-100))</f>
        <v>4.6018223084766987</v>
      </c>
      <c r="AW129" s="81">
        <f>AW128/AW112*100</f>
        <v>24.482758620689655</v>
      </c>
      <c r="AX129" s="72">
        <f>IF(ISERROR(AW129/AO129),"NA",IF(OR(AW129/AO129&gt;2,AW129/AO129&lt;0.5),"NM",AW129/AO129*100-100))</f>
        <v>25.944960212201607</v>
      </c>
      <c r="AY129" s="81">
        <f>AY128/AY112*100</f>
        <v>23.792486583184257</v>
      </c>
      <c r="AZ129" s="72">
        <f>IF(ISERROR(AY129/AQ129),"NA",IF(OR(AY129/AQ129&gt;2,AY129/AQ129&lt;0.5),"NM",AY129/AQ129*100-100))</f>
        <v>8.1846398483250056</v>
      </c>
      <c r="BA129" s="81">
        <f>BA128/BA112*100</f>
        <v>16.552901023890783</v>
      </c>
      <c r="BB129" s="72">
        <f>IF(ISERROR(BA129/AS129),"NA",IF(OR(BA129/AS129&gt;2,BA129/AS129&lt;0.5),"NM",BA129/AS129*100-100))</f>
        <v>-23.773195284939916</v>
      </c>
      <c r="BC129" s="81">
        <f>BC128/BC112*100</f>
        <v>39.186295503211994</v>
      </c>
      <c r="BD129" s="72">
        <f>IF(ISERROR(BC129/AU129),"NA",IF(OR(BC129/AU129&gt;2,BC129/AU129&lt;0.5),"NM",BC129/AU129*100-100))</f>
        <v>96.584582441113497</v>
      </c>
      <c r="BE129" s="81">
        <f>BE128/BE112*100</f>
        <v>21.818181818181817</v>
      </c>
      <c r="BF129" s="72">
        <f>IF(ISERROR(BE129/AW129),"NA",IF(OR(BE129/AW129&gt;2,BE129/AW129&lt;0.5),"NM",BE129/AW129*100-100))</f>
        <v>-10.883482714468641</v>
      </c>
      <c r="BG129" s="81">
        <f>BG128/BG112*100</f>
        <v>16.006339144215531</v>
      </c>
      <c r="BH129" s="72">
        <f>IF(ISERROR(BG129/AY129),"NA",IF(OR(BG129/AY129&gt;2,BG129/AY129&lt;0.5),"NM",BG129/AY129*100-100))</f>
        <v>-32.725236228447514</v>
      </c>
      <c r="BI129" s="81">
        <f>BI128/BI112*100</f>
        <v>22.416534181240063</v>
      </c>
      <c r="BJ129" s="72">
        <f>IF(ISERROR(BI129/BA129),"NA",IF(OR(BI129/BA129&gt;2,BI129/BA129&lt;0.5),"NM",BI129/BA129*100-100))</f>
        <v>35.423598249553379</v>
      </c>
      <c r="BK129" s="81">
        <f>BK128/BK112*100</f>
        <v>37.351190476190474</v>
      </c>
      <c r="BL129" s="72">
        <f>IF(ISERROR(BK129/BC129),"NA",IF(OR(BK129/BC129&gt;2,BK129/BC129&lt;0.5),"NM",BK129/BC129*100-100))</f>
        <v>-4.6830275826177541</v>
      </c>
      <c r="BM129" s="81">
        <f>BM128/BM112*100</f>
        <v>19.253731343283579</v>
      </c>
      <c r="BN129" s="72">
        <f>IF(ISERROR(BM129/BE129),"NA",IF(OR(BM129/BE129&gt;2,BM129/BE129&lt;0.5),"NM",BM129/BE129*100-100))</f>
        <v>-11.75373134328359</v>
      </c>
      <c r="BO129" s="81">
        <f>BO128/BO112*100</f>
        <v>14.117647058823529</v>
      </c>
      <c r="BP129" s="72">
        <f>IF(ISERROR(BO129/BG129),"NA",IF(OR(BO129/BG129&gt;2,BO129/BG129&lt;0.5),"NM",BO129/BG129*100-100))</f>
        <v>-11.799650553290618</v>
      </c>
      <c r="BQ129" s="81">
        <f>BQ128/BQ112*100</f>
        <v>15.236686390532544</v>
      </c>
      <c r="BR129" s="72">
        <f>IF(ISERROR(BQ129/BI129),"NA",IF(OR(BQ129/BI129&gt;2,BQ129/BI129&lt;0.5),"NM",BQ129/BI129*100-100))</f>
        <v>-32.029250073439925</v>
      </c>
      <c r="BS129" s="81">
        <f>BS128/BS112*100</f>
        <v>34.897360703812318</v>
      </c>
      <c r="BT129" s="72">
        <f>IF(ISERROR(BS129/BK129),"NA",IF(OR(BS129/BK129&gt;2,BS129/BK129&lt;0.5),"NM",BS129/BK129*100-100))</f>
        <v>-6.5696159642953091</v>
      </c>
      <c r="BU129" s="81">
        <f>BU128/BU112*100</f>
        <v>1.2569832402234637</v>
      </c>
      <c r="BV129" s="72" t="str">
        <f>IF(ISERROR(BU129/BM129),"NA",IF(OR(BU129/BM129&gt;2,BU129/BM129&lt;0.5),"NM",BU129/BM129*100-100))</f>
        <v>NM</v>
      </c>
      <c r="BW129" s="81">
        <f>BW128/BW112*100</f>
        <v>5.8823529411764701</v>
      </c>
      <c r="BX129" s="72" t="str">
        <f>IF(ISERROR(BW129/BO129),"NA",IF(OR(BW129/BO129&gt;2,BW129/BO129&lt;0.5),"NM",BW129/BO129*100-100))</f>
        <v>NM</v>
      </c>
      <c r="BY129" s="81">
        <f>BY128/BY112*100</f>
        <v>19.630156472261735</v>
      </c>
      <c r="BZ129" s="72">
        <f>IF(ISERROR(BY129/BQ129),"NA",IF(OR(BY129/BQ129&gt;2,BY129/BQ129&lt;0.5),"NM",BY129/BQ129*100-100))</f>
        <v>28.834813351931388</v>
      </c>
      <c r="CA129" s="81">
        <f>CA128/CA112*100</f>
        <v>37.042682926829265</v>
      </c>
      <c r="CB129" s="72">
        <f>IF(ISERROR(CA129/BS129),"NA",IF(OR(CA129/BS129&gt;2,CA129/BS129&lt;0.5),"NM",CA129/BS129*100-100))</f>
        <v>6.1475199836031891</v>
      </c>
      <c r="CC129" s="81">
        <f>CC128/CC112*100</f>
        <v>19.34156378600823</v>
      </c>
      <c r="CD129" s="72" t="str">
        <f>IF(ISERROR(CC129/BU129),"NA",IF(OR(CC129/BU129&gt;2,CC129/BU129&lt;0.5),"NM",CC129/BU129*100-100))</f>
        <v>NM</v>
      </c>
      <c r="CE129" s="81">
        <f>CE128/CE112*100</f>
        <v>12.518195050946144</v>
      </c>
      <c r="CF129" s="72" t="str">
        <f>IF(ISERROR(CE129/BW129),"NA",IF(OR(CE129/BW129&gt;2,CE129/BW129&lt;0.5),"NM",CE129/BW129*100-100))</f>
        <v>NM</v>
      </c>
      <c r="CG129" s="81">
        <f>CG128/CG112*100</f>
        <v>14.247669773635153</v>
      </c>
      <c r="CH129" s="72">
        <f>IF(ISERROR(CG129/BY129),"NA",IF(OR(CG129/BY129&gt;2,CG129/BY129&lt;0.5),"NM",CG129/BY129*100-100))</f>
        <v>-27.419479341554251</v>
      </c>
      <c r="CI129" s="81">
        <f>CI128/CI112*100</f>
        <v>24.53125</v>
      </c>
      <c r="CJ129" s="72">
        <f>IF(ISERROR(CI129/CA129),"NA",IF(OR(CI129/CA129&gt;2,CI129/CA129&lt;0.5),"NM",CI129/CA129*100-100))</f>
        <v>-33.775720164609041</v>
      </c>
      <c r="CK129" s="81">
        <f>CK128/CK112*100</f>
        <v>17.861975642760484</v>
      </c>
      <c r="CL129" s="72">
        <f>IF(ISERROR(CK129/CC129),"NA",IF(OR(CK129/CC129&gt;2,CK129/CC129&lt;0.5),"NM",CK129/CC129*100-100))</f>
        <v>-7.6497855065787661</v>
      </c>
      <c r="CM129" s="81">
        <f>CM128/CM112*100</f>
        <v>13.517241379310343</v>
      </c>
      <c r="CN129" s="72">
        <f>IF(ISERROR(CM129/CE129),"NA",IF(OR(CM129/CE129&gt;2,CM129/CE129&lt;0.5),"NM",CM129/CE129*100-100))</f>
        <v>7.9807538091419161</v>
      </c>
      <c r="CO129" s="81">
        <f>CO128/CO112*100</f>
        <v>17.693315858453474</v>
      </c>
      <c r="CP129" s="72">
        <f>IF(ISERROR(CO129/CG129),"NA",IF(OR(CO129/CG129&gt;2,CO129/CG129&lt;0.5),"NM",CO129/CG129*100-100))</f>
        <v>24.183927193444489</v>
      </c>
      <c r="CQ129" s="81">
        <f>CQ128/CQ112*100</f>
        <v>17.262830482115085</v>
      </c>
      <c r="CR129" s="72">
        <f>IF(ISERROR(CQ129/CI129),"NA",IF(OR(CQ129/CI129&gt;2,CQ129/CI129&lt;0.5),"NM",CQ129/CI129*100-100))</f>
        <v>-29.629226060167795</v>
      </c>
      <c r="CS129" s="81">
        <f>CS128/CS112*100</f>
        <v>17.945383615084527</v>
      </c>
      <c r="CT129" s="72">
        <f>IF(ISERROR(CS129/CK129),"NA",IF(OR(CS129/CK129&gt;2,CS129/CK129&lt;0.5),"NM",CS129/CK129*100-100))</f>
        <v>0.46695826929898487</v>
      </c>
      <c r="CU129" s="81">
        <f>CU128/CU112*100</f>
        <v>14.432989690721648</v>
      </c>
      <c r="CV129" s="72">
        <f>IF(ISERROR(CU129/CM129),"NA",IF(OR(CU129/CM129&gt;2,CU129/CM129&lt;0.5),"NM",CU129/CM129*100-100))</f>
        <v>6.7746686303387378</v>
      </c>
      <c r="CW129" s="81">
        <f>CW128/CW112*100</f>
        <v>7.5965130759651309</v>
      </c>
      <c r="CX129" s="72" t="str">
        <f>IF(ISERROR(CW129/CO129),"NA",IF(OR(CW129/CO129&gt;2,CW129/CO129&lt;0.5),"NM",CW129/CO129*100-100))</f>
        <v>NM</v>
      </c>
      <c r="CY129" s="81">
        <f>CY128/CY112*100</f>
        <v>11.814345991561181</v>
      </c>
      <c r="CZ129" s="72">
        <f>IF(ISERROR(CY129/CQ129),"NA",IF(OR(CY129/CQ129&gt;2,CY129/CQ129&lt;0.5),"NM",CY129/CQ129*100-100))</f>
        <v>-31.561941688523959</v>
      </c>
      <c r="DA129" s="81">
        <f>DA128/DA112*100</f>
        <v>11.785714285714285</v>
      </c>
      <c r="DB129" s="72">
        <f>IF(ISERROR(DA129/CS129),"NA",IF(OR(DA129/CS129&gt;2,DA129/CS129&lt;0.5),"NM",DA129/CS129*100-100))</f>
        <v>-34.324534161490689</v>
      </c>
      <c r="DC129" s="81">
        <f>DC128/DC112*100</f>
        <v>11.861471861471863</v>
      </c>
      <c r="DD129" s="72">
        <f>IF(ISERROR(DC129/CU129),"NA",IF(OR(DC129/CU129&gt;2,DC129/CU129&lt;0.5),"NM",DC129/CU129*100-100))</f>
        <v>-17.816944959802086</v>
      </c>
      <c r="DE129" s="81">
        <f>DE128/DE112*100</f>
        <v>11.633663366336634</v>
      </c>
      <c r="DF129" s="72">
        <f>IF(ISERROR(DE129/CW129),"NA",IF(OR(DE129/CW129&gt;2,DE129/CW129&lt;0.5),"NM",DE129/CW129*100-100))</f>
        <v>53.144781691283896</v>
      </c>
      <c r="DG129" s="81">
        <f>DG128/DG112*100</f>
        <v>14.217098943323728</v>
      </c>
      <c r="DH129" s="72">
        <f>IF(ISERROR(DG129/CY129),"NA",IF(OR(DG129/CY129&gt;2,DG129/CY129&lt;0.5),"NM",DG129/CY129*100-100))</f>
        <v>20.337587484561553</v>
      </c>
      <c r="DI129" s="81">
        <f>DI128/DI112*100</f>
        <v>12.953795379537954</v>
      </c>
      <c r="DJ129" s="72">
        <f>IF(ISERROR(DI129/DA129),"NA",IF(OR(DI129/DA129&gt;2,DI129/DA129&lt;0.5),"NM",DI129/DA129*100-100))</f>
        <v>9.9109910991099355</v>
      </c>
      <c r="DK129" s="81">
        <f>DK128/DK112*100</f>
        <v>9.6450617283950617</v>
      </c>
      <c r="DL129" s="72">
        <f>IF(ISERROR(DK129/DC129),"NA",IF(OR(DK129/DC129&gt;2,DK129/DC129&lt;0.5),"NM",DK129/DC129*100-100))</f>
        <v>-18.685793457691275</v>
      </c>
      <c r="DM129" s="81">
        <f>DM128/DM112*100</f>
        <v>11.987860394537178</v>
      </c>
      <c r="DN129" s="72">
        <f t="shared" si="787"/>
        <v>3.0445872211280829</v>
      </c>
      <c r="DO129" s="81">
        <f>DO128/DO112*100</f>
        <v>7.5722092115534743</v>
      </c>
      <c r="DP129" s="72">
        <f t="shared" si="787"/>
        <v>-46.738717640356988</v>
      </c>
      <c r="DQ129" s="81">
        <f>DQ128/DQ112*100</f>
        <v>8.8655146506386178</v>
      </c>
      <c r="DR129" s="72">
        <f t="shared" si="787"/>
        <v>-31.560485626917171</v>
      </c>
      <c r="DS129" s="81">
        <f>DS128/DS112*100</f>
        <v>8.5862324204293117</v>
      </c>
      <c r="DT129" s="532">
        <f t="shared" si="787"/>
        <v>-10.977942264988897</v>
      </c>
      <c r="DU129" s="81">
        <f>DU128/DU112*100</f>
        <v>20.431034482758619</v>
      </c>
      <c r="DV129" s="532">
        <f t="shared" si="787"/>
        <v>70.431034482758605</v>
      </c>
      <c r="DW129" s="81">
        <f>DW128/DW112*100</f>
        <v>13.309090909090909</v>
      </c>
      <c r="DX129" s="532">
        <f t="shared" si="787"/>
        <v>75.762324273664461</v>
      </c>
      <c r="DY129" s="81">
        <f>DY128/DY112*100</f>
        <v>7.3496659242761693</v>
      </c>
      <c r="DZ129" s="72">
        <f t="shared" si="787"/>
        <v>-17.098259786342524</v>
      </c>
      <c r="EA129" s="81">
        <f>EA128/EA112*100</f>
        <v>8.7847730600292824</v>
      </c>
      <c r="EB129" s="72">
        <f>IF(ISERROR(EA129/DS129),"NA",IF(OR(EA129/DS129&gt;2,EA129/DS129&lt;0.5),"NM",EA129/DS129*100-100))</f>
        <v>2.3123138284444735</v>
      </c>
      <c r="EC129" s="81">
        <f>EC128/EC112*100</f>
        <v>-25.108225108225106</v>
      </c>
      <c r="ED129" s="72" t="str">
        <f>IF(ISERROR(EC129/DU129),"NA",IF(OR(EC129/DU129&gt;2,EC129/DU129&lt;0.5),"NM",EC129/DU129*100-100))</f>
        <v>NM</v>
      </c>
      <c r="EE129" s="81">
        <f>EE128/EE112*100</f>
        <v>7.8723404255319149</v>
      </c>
      <c r="EF129" s="72">
        <f>IF(ISERROR(EE129/DW129),"NA",IF(OR(EE129/DW129&gt;2,EE129/DW129&lt;0.5),"NM",EE129/DW129*100-100))</f>
        <v>-40.849901174282053</v>
      </c>
      <c r="EG129" s="81">
        <f>EG128/EG112*100</f>
        <v>9.691011235955056</v>
      </c>
      <c r="EH129" s="72">
        <f>IF(ISERROR(EG129/DY129),"NA",IF(OR(EG129/DY129&gt;2,EG129/DY129&lt;0.5),"NM",EG129/DY129*100-100))</f>
        <v>31.85648621041878</v>
      </c>
      <c r="EI129" s="81">
        <f>EI128/EI112*100</f>
        <v>8.1660899653979246</v>
      </c>
      <c r="EJ129" s="72">
        <f>IF(ISERROR(EI129/EA129),"NA",IF(OR(EI129/EA129&gt;2,EI129/EA129&lt;0.5),"NM",EI129/EA129*100-100))</f>
        <v>-7.0426758938869511</v>
      </c>
      <c r="EK129" s="81">
        <f>EK128/EK112*100</f>
        <v>-85.168195718654431</v>
      </c>
      <c r="EL129" s="72" t="str">
        <f>IF(ISERROR(EK129/EC129),"NA",IF(OR(EK129/EC129&gt;2,EK129/EC129&lt;0.5),"NM",EK129/EC129*100-100))</f>
        <v>NM</v>
      </c>
      <c r="EM129" s="81">
        <f>EM128/EM112*100</f>
        <v>10.630758327427356</v>
      </c>
      <c r="EN129" s="72">
        <f>IF(ISERROR(EM129/EE129),"NA",IF(OR(EM129/EE129&gt;2,EM129/EE129&lt;0.5),"NM",EM129/EE129*100-100))</f>
        <v>35.039362537590733</v>
      </c>
      <c r="EO129" s="81">
        <f>EO128/EO112*100</f>
        <v>6.6939890710382519</v>
      </c>
      <c r="EP129" s="72">
        <f>IF(ISERROR(EO129/EG129),"NA",IF(OR(EO129/EG129&gt;2,EO129/EG129&lt;0.5),"NM",EO129/EG129*100-100))</f>
        <v>-30.925793933634267</v>
      </c>
      <c r="EQ129" s="456">
        <f t="shared" ref="EQ129" si="797">EQ128/EQ112*100</f>
        <v>6.3635279379290477</v>
      </c>
      <c r="ER129" s="72">
        <f t="shared" si="789"/>
        <v>-22.073746861801084</v>
      </c>
      <c r="ES129" s="456">
        <f t="shared" ref="ES129" si="798">ES128/ES112*100</f>
        <v>8.6206957619480296</v>
      </c>
      <c r="ET129" s="72" t="str">
        <f t="shared" si="791"/>
        <v>NM</v>
      </c>
      <c r="EU129" s="456">
        <f t="shared" ref="EU129" si="799">EU128/EU112*100</f>
        <v>7.7626454376422043</v>
      </c>
      <c r="EV129" s="72">
        <f t="shared" si="793"/>
        <v>-26.979381916579001</v>
      </c>
      <c r="EW129" s="456">
        <f t="shared" ref="EW129" si="800">EW128/EW112*100</f>
        <v>7.4826702260686311</v>
      </c>
      <c r="EX129" s="72">
        <f t="shared" si="795"/>
        <v>11.781930724127292</v>
      </c>
      <c r="EY129" s="72"/>
      <c r="EZ129" s="309"/>
      <c r="FA129" s="72"/>
      <c r="FB129" s="81">
        <f>FB128/FB112*100</f>
        <v>10.63321385902031</v>
      </c>
      <c r="FC129" s="72"/>
      <c r="FD129" s="81">
        <f>FD128/FD112*100</f>
        <v>6.7904817179338366</v>
      </c>
      <c r="FE129" s="72">
        <f>IF(ISERROR(FD129/FB129),"NA",IF(OR(FD129/FB129&gt;2,FD129/FB129&lt;0.5),"NM",FD129/FB129*100-100))</f>
        <v>-36.138952832464931</v>
      </c>
      <c r="FF129" s="81">
        <f>FF128/FF112*100</f>
        <v>6.1455525606469008</v>
      </c>
      <c r="FG129" s="72">
        <f>IF(ISERROR(FF129/FD129),"NA",IF(OR(FF129/FD129&gt;2,FF129/FD129&lt;0.5),"NM",FF129/FD129*100-100))</f>
        <v>-9.4975464786785579</v>
      </c>
      <c r="FH129" s="81">
        <f>FH128/FH112*100</f>
        <v>14.226159458051068</v>
      </c>
      <c r="FI129" s="72" t="str">
        <f>IF(ISERROR(FH129/FF129),"NA",IF(OR(FH129/FF129&gt;2,FH129/FF129&lt;0.5),"NM",FH129/FF129*100-100))</f>
        <v>NM</v>
      </c>
      <c r="FJ129" s="81">
        <f>FJ128/FJ112*100</f>
        <v>22.007131940906778</v>
      </c>
      <c r="FK129" s="72">
        <f>IF(ISERROR(FJ129/FH129),"NA",IF(OR(FJ129/FH129&gt;2,FJ129/FH129&lt;0.5),"NM",FJ129/FH129*100-100))</f>
        <v>54.694821225641419</v>
      </c>
      <c r="FL129" s="81">
        <f>FL128/FL112*100</f>
        <v>18.3641975308642</v>
      </c>
      <c r="FM129" s="72">
        <f>IF(ISERROR(FL129/FJ129),"NA",IF(OR(FL129/FJ129&gt;2,FL129/FJ129&lt;0.5),"NM",FL129/FJ129*100-100))</f>
        <v>-16.553426497485134</v>
      </c>
      <c r="FN129" s="81">
        <f>FN128/FN112*100</f>
        <v>18.813314037626625</v>
      </c>
      <c r="FO129" s="72">
        <f>IF(ISERROR(FN129/FL129),"NA",IF(OR(FN129/FL129&gt;2,FN129/FL129&lt;0.5),"NM",FN129/FL129*100-100))</f>
        <v>2.4456092132945457</v>
      </c>
      <c r="FP129" s="81">
        <f>FP128/FP112*100</f>
        <v>22.015915119363395</v>
      </c>
      <c r="FQ129" s="72">
        <f>IF(ISERROR(FP129/FN129),"NA",IF(OR(FP129/FN129&gt;2,FP129/FN129&lt;0.5),"NM",FP129/FN129*100-100))</f>
        <v>17.023056519077755</v>
      </c>
      <c r="FR129" s="81">
        <f>FR128/FR112*100</f>
        <v>24.582769508344608</v>
      </c>
      <c r="FS129" s="72">
        <f>IF(ISERROR(FR129/FP129),"NA",IF(OR(FR129/FP129&gt;2,FR129/FP129&lt;0.5),"NM",FR129/FP129*100-100))</f>
        <v>11.659085598143577</v>
      </c>
      <c r="FT129" s="81">
        <f>FT128/FT112*100</f>
        <v>23.904688700999234</v>
      </c>
      <c r="FU129" s="72">
        <f>IF(ISERROR(FT129/FR129),"NA",IF(OR(FT129/FR129&gt;2,FT129/FR129&lt;0.5),"NM",FT129/FR129*100-100))</f>
        <v>-2.7583580731829187</v>
      </c>
      <c r="FV129" s="81">
        <f>FV128/FV112*100</f>
        <v>16.811909949164853</v>
      </c>
      <c r="FW129" s="72">
        <f>IF(ISERROR(FV129/FT129),"NA",IF(OR(FV129/FT129&gt;2,FV129/FT129&lt;0.5),"NM",FV129/FT129*100-100))</f>
        <v>-29.671077672464719</v>
      </c>
      <c r="FX129" s="81">
        <f>FX128/FX112*100</f>
        <v>18.576075171666066</v>
      </c>
      <c r="FY129" s="72">
        <f>IF(ISERROR(FX129/FV129),"NA",IF(OR(FX129/FV129&gt;2,FX129/FV129&lt;0.5),"NM",FX129/FV129*100-100))</f>
        <v>10.493544325633565</v>
      </c>
      <c r="FZ129" s="81">
        <f>FZ128/FZ112*100</f>
        <v>17.110401135960242</v>
      </c>
      <c r="GA129" s="72">
        <f>IF(ISERROR(FZ129/FX129),"NA",IF(OR(FZ129/FX129&gt;2,FZ129/FX129&lt;0.5),"NM",FZ129/FX129*100-100))</f>
        <v>-7.8901168420194807</v>
      </c>
      <c r="GB129" s="81">
        <f>GB128/GB112*100</f>
        <v>16.620689655172413</v>
      </c>
      <c r="GC129" s="72">
        <f>IF(ISERROR(GB129/FZ129),"NA",IF(OR(GB129/FZ129&gt;2,GB129/FZ129&lt;0.5),"NM",GB129/FZ129*100-100))</f>
        <v>-2.8620689655172526</v>
      </c>
      <c r="GD129" s="81">
        <f>GD128/GD112*100</f>
        <v>11.404811404811404</v>
      </c>
      <c r="GE129" s="72">
        <f>IF(ISERROR(GD129/GB129),"NA",IF(OR(GD129/GB129&gt;2,GD129/GB129&lt;0.5),"NM",GD129/GB129*100-100))</f>
        <v>-31.381840095533036</v>
      </c>
      <c r="GF129" s="81">
        <f>GF128/GF112*100</f>
        <v>12.619047619047619</v>
      </c>
      <c r="GG129" s="72">
        <f>IF(ISERROR(GF129/GD129),"NA",IF(OR(GF129/GD129&gt;2,GF129/GD129&lt;0.5),"NM",GF129/GD129*100-100))</f>
        <v>10.646701388888886</v>
      </c>
      <c r="GH129" s="81">
        <f>GH128/GH112*100</f>
        <v>9.5292766934557971</v>
      </c>
      <c r="GI129" s="72">
        <f t="shared" si="796"/>
        <v>-24.484977146199341</v>
      </c>
      <c r="GJ129" s="81">
        <f>GJ128/GJ112*100</f>
        <v>12.134530861838332</v>
      </c>
      <c r="GK129" s="72">
        <f t="shared" si="796"/>
        <v>27.339474465797451</v>
      </c>
      <c r="GL129" s="81">
        <f>GL128/GL112*100</f>
        <v>1.4752567693744163</v>
      </c>
      <c r="GM129" s="72" t="str">
        <f t="shared" si="796"/>
        <v>NM</v>
      </c>
      <c r="GN129" s="81">
        <f>GN128/GN112*100</f>
        <v>-3.8399678327301969</v>
      </c>
      <c r="GO129" s="72" t="str">
        <f t="shared" si="796"/>
        <v>NM</v>
      </c>
      <c r="GP129" s="81">
        <f>GP128/GP112*100</f>
        <v>7.5227567833614204</v>
      </c>
      <c r="GQ129" s="72" t="str">
        <f t="shared" si="796"/>
        <v>NM</v>
      </c>
      <c r="GR129" s="81">
        <f>GR128/GR112*100</f>
        <v>7.1003278997463424</v>
      </c>
      <c r="GS129" s="72">
        <f t="shared" si="796"/>
        <v>-5.6153468173980059</v>
      </c>
      <c r="GT129" s="81">
        <f>GT128/GT112*100</f>
        <v>6.6826263098697378</v>
      </c>
      <c r="GU129" s="72">
        <f t="shared" si="796"/>
        <v>-5.8828492961786623</v>
      </c>
      <c r="GV129" s="81">
        <f>GV128/GV112*100</f>
        <v>6.3704187165912476</v>
      </c>
      <c r="GW129" s="72">
        <f>IF(ISERROR(GV129/GT129),"NA",IF(OR(GV129/GT129&gt;2,GV129/GT129&lt;0.5),"NM",GV129/GT129*100-100))</f>
        <v>-4.6719295498744771</v>
      </c>
      <c r="GX129" s="81">
        <f>GX128/GX112*100</f>
        <v>6.060961793161515</v>
      </c>
      <c r="GY129" s="72">
        <f>IF(ISERROR(GX129/GV129),"NA",IF(OR(GX129/GV129&gt;2,GX129/GV129&lt;0.5),"NM",GX129/GV129*100-100))</f>
        <v>-4.8577171642387782</v>
      </c>
      <c r="GZ129" s="72" t="str">
        <f>IF(ISERROR(((GX129/GN129)^0.2-1)*100),"NA",IF((((GX129/GN129)^0.2-1)*100)&gt;100,"NM",IF((((GX129/GN129)^0.2-1)*100)&lt;-50,"NM",((GX129/GN129)^0.2-1)*100)))</f>
        <v>NM</v>
      </c>
      <c r="HA129" s="72"/>
      <c r="HB129" s="72"/>
      <c r="HC129"/>
      <c r="HD129"/>
      <c r="HE129"/>
      <c r="HF129"/>
      <c r="HG129"/>
      <c r="HH129"/>
      <c r="HI129" s="2"/>
    </row>
    <row r="130" spans="1:217" s="69" customFormat="1" ht="12.75" customHeight="1" x14ac:dyDescent="0.2">
      <c r="B130" s="77"/>
      <c r="C130" s="81"/>
      <c r="D130" s="72"/>
      <c r="E130" s="81"/>
      <c r="F130" s="72"/>
      <c r="G130" s="81"/>
      <c r="H130" s="72"/>
      <c r="I130" s="81"/>
      <c r="J130" s="72"/>
      <c r="K130" s="81"/>
      <c r="L130" s="72"/>
      <c r="M130" s="81"/>
      <c r="N130" s="72"/>
      <c r="O130" s="81"/>
      <c r="P130" s="72"/>
      <c r="Q130" s="81"/>
      <c r="R130" s="72"/>
      <c r="S130" s="81"/>
      <c r="T130" s="72"/>
      <c r="U130" s="81"/>
      <c r="V130" s="72"/>
      <c r="W130" s="81"/>
      <c r="X130" s="72"/>
      <c r="Y130" s="81"/>
      <c r="Z130" s="72"/>
      <c r="AA130" s="81"/>
      <c r="AB130" s="72"/>
      <c r="AC130" s="81"/>
      <c r="AD130" s="72"/>
      <c r="AE130" s="81"/>
      <c r="AF130" s="72"/>
      <c r="AG130" s="81"/>
      <c r="AH130" s="72"/>
      <c r="AI130" s="81"/>
      <c r="AJ130" s="72"/>
      <c r="AK130" s="81"/>
      <c r="AL130" s="72"/>
      <c r="AM130" s="81"/>
      <c r="AN130" s="72"/>
      <c r="AO130" s="81"/>
      <c r="AP130" s="72"/>
      <c r="AQ130" s="81"/>
      <c r="AR130" s="72"/>
      <c r="AS130" s="81"/>
      <c r="AT130" s="72"/>
      <c r="AU130" s="81"/>
      <c r="AV130" s="72"/>
      <c r="AW130" s="81"/>
      <c r="AX130" s="72"/>
      <c r="AY130" s="81"/>
      <c r="AZ130" s="72"/>
      <c r="BA130" s="81"/>
      <c r="BB130" s="72"/>
      <c r="BC130" s="81"/>
      <c r="BD130" s="72"/>
      <c r="BE130" s="81"/>
      <c r="BF130" s="72"/>
      <c r="BG130" s="81"/>
      <c r="BH130" s="72"/>
      <c r="BI130" s="81"/>
      <c r="BJ130" s="72"/>
      <c r="BK130" s="81"/>
      <c r="BL130" s="72"/>
      <c r="BM130" s="81"/>
      <c r="BN130" s="72"/>
      <c r="BO130" s="81"/>
      <c r="BP130" s="72"/>
      <c r="BQ130" s="81"/>
      <c r="BR130" s="72"/>
      <c r="BS130" s="81"/>
      <c r="BT130" s="72"/>
      <c r="BU130" s="81"/>
      <c r="BV130" s="72"/>
      <c r="BW130" s="81"/>
      <c r="BX130" s="72"/>
      <c r="BY130" s="81"/>
      <c r="BZ130" s="72"/>
      <c r="CA130" s="81"/>
      <c r="CB130" s="72"/>
      <c r="CC130" s="81"/>
      <c r="CD130" s="72"/>
      <c r="CE130" s="81"/>
      <c r="CF130" s="72"/>
      <c r="CG130" s="81"/>
      <c r="CH130" s="72"/>
      <c r="CI130" s="81"/>
      <c r="CJ130" s="72"/>
      <c r="CK130" s="81"/>
      <c r="CL130" s="72"/>
      <c r="CM130" s="81"/>
      <c r="CN130" s="72"/>
      <c r="CO130" s="81"/>
      <c r="CP130" s="72"/>
      <c r="CQ130" s="81"/>
      <c r="CR130" s="72"/>
      <c r="CS130" s="81"/>
      <c r="CT130" s="72"/>
      <c r="CU130" s="81"/>
      <c r="CV130" s="72"/>
      <c r="CW130" s="81"/>
      <c r="CX130" s="72"/>
      <c r="CY130" s="81"/>
      <c r="CZ130" s="72"/>
      <c r="DA130" s="81"/>
      <c r="DB130" s="72"/>
      <c r="DC130" s="81"/>
      <c r="DD130" s="72"/>
      <c r="DE130" s="81"/>
      <c r="DF130" s="72"/>
      <c r="DG130" s="81"/>
      <c r="DH130" s="72"/>
      <c r="DI130" s="81"/>
      <c r="DJ130" s="72"/>
      <c r="DK130" s="81"/>
      <c r="DL130" s="72"/>
      <c r="DM130" s="81"/>
      <c r="DN130" s="72"/>
      <c r="DO130" s="81"/>
      <c r="DP130" s="72"/>
      <c r="DQ130" s="81"/>
      <c r="DR130" s="72"/>
      <c r="DS130" s="81"/>
      <c r="DT130" s="72"/>
      <c r="DU130" s="81"/>
      <c r="DV130" s="72"/>
      <c r="DW130" s="81"/>
      <c r="DX130" s="72"/>
      <c r="DY130" s="81"/>
      <c r="DZ130" s="72"/>
      <c r="EA130" s="81"/>
      <c r="EB130" s="72"/>
      <c r="EC130" s="81"/>
      <c r="ED130" s="72"/>
      <c r="EE130" s="81"/>
      <c r="EF130" s="72"/>
      <c r="EG130" s="81"/>
      <c r="EH130" s="72"/>
      <c r="EI130" s="81"/>
      <c r="EJ130" s="72"/>
      <c r="EK130" s="81"/>
      <c r="EL130" s="72"/>
      <c r="EM130" s="81"/>
      <c r="EN130" s="72"/>
      <c r="EO130" s="81"/>
      <c r="EP130" s="72"/>
      <c r="EQ130" s="81"/>
      <c r="ER130" s="72"/>
      <c r="ES130" s="81"/>
      <c r="ET130" s="72"/>
      <c r="EU130" s="81"/>
      <c r="EV130" s="72"/>
      <c r="EW130" s="81"/>
      <c r="EX130" s="72"/>
      <c r="EY130" s="72"/>
      <c r="EZ130" s="309"/>
      <c r="FA130" s="72"/>
      <c r="FB130" s="81"/>
      <c r="FC130" s="72"/>
      <c r="FD130" s="81"/>
      <c r="FE130" s="72"/>
      <c r="FF130" s="81"/>
      <c r="FG130" s="72"/>
      <c r="FH130" s="81"/>
      <c r="FI130" s="72"/>
      <c r="FJ130" s="81"/>
      <c r="FK130" s="72"/>
      <c r="FL130" s="81"/>
      <c r="FM130" s="72"/>
      <c r="FN130" s="81"/>
      <c r="FO130" s="72"/>
      <c r="FP130" s="81"/>
      <c r="FQ130" s="72"/>
      <c r="FR130" s="81"/>
      <c r="FS130" s="72"/>
      <c r="FT130" s="81"/>
      <c r="FU130" s="72"/>
      <c r="FV130" s="81"/>
      <c r="FW130" s="72"/>
      <c r="FX130" s="81"/>
      <c r="FY130" s="72"/>
      <c r="FZ130" s="81"/>
      <c r="GA130" s="72"/>
      <c r="GB130" s="81"/>
      <c r="GC130" s="72"/>
      <c r="GD130" s="81"/>
      <c r="GE130" s="72"/>
      <c r="GF130" s="81"/>
      <c r="GG130" s="72"/>
      <c r="GH130" s="81"/>
      <c r="GI130" s="72"/>
      <c r="GJ130" s="81"/>
      <c r="GK130" s="72"/>
      <c r="GL130" s="81"/>
      <c r="GM130" s="72"/>
      <c r="GN130" s="81"/>
      <c r="GO130" s="72"/>
      <c r="GP130" s="81"/>
      <c r="GQ130" s="72"/>
      <c r="GR130" s="81"/>
      <c r="GS130" s="72"/>
      <c r="GT130" s="81"/>
      <c r="GU130" s="72"/>
      <c r="GV130" s="81"/>
      <c r="GW130" s="72"/>
      <c r="GX130" s="81"/>
      <c r="GY130" s="72"/>
      <c r="GZ130" s="72"/>
      <c r="HA130" s="72"/>
      <c r="HB130" s="72"/>
      <c r="HC130"/>
      <c r="HD130"/>
      <c r="HE130"/>
      <c r="HF130"/>
      <c r="HG130"/>
      <c r="HH130"/>
      <c r="HI130" s="2"/>
    </row>
    <row r="131" spans="1:217" s="69" customFormat="1" ht="12.75" customHeight="1" x14ac:dyDescent="0.2">
      <c r="B131" s="77" t="s">
        <v>537</v>
      </c>
      <c r="C131" s="74">
        <v>0</v>
      </c>
      <c r="D131" s="92"/>
      <c r="E131" s="74">
        <v>0</v>
      </c>
      <c r="F131" s="92"/>
      <c r="G131" s="74">
        <v>0</v>
      </c>
      <c r="H131" s="92"/>
      <c r="I131" s="74">
        <v>0</v>
      </c>
      <c r="J131" s="92"/>
      <c r="K131" s="74">
        <v>0</v>
      </c>
      <c r="L131" s="72" t="str">
        <f>IF(ISERROR(K131/C131),"NA",IF(OR(K131/C131&gt;2,K131/C131&lt;0.5),"NM",K131/C131*100-100))</f>
        <v>NA</v>
      </c>
      <c r="M131" s="74">
        <v>0</v>
      </c>
      <c r="N131" s="72" t="str">
        <f>IF(ISERROR(M131/E131),"NA",IF(OR(M131/E131&gt;2,M131/E131&lt;0.5),"NM",M131/E131*100-100))</f>
        <v>NA</v>
      </c>
      <c r="O131" s="74">
        <v>0</v>
      </c>
      <c r="P131" s="72" t="str">
        <f>IF(ISERROR(O131/G131),"NA",IF(OR(O131/G131&gt;2,O131/G131&lt;0.5),"NM",O131/G131*100-100))</f>
        <v>NA</v>
      </c>
      <c r="Q131" s="74">
        <v>0</v>
      </c>
      <c r="R131" s="72" t="str">
        <f>IF(ISERROR(Q131/I131),"NA",IF(OR(Q131/I131&gt;2,Q131/I131&lt;0.5),"NM",Q131/I131*100-100))</f>
        <v>NA</v>
      </c>
      <c r="S131" s="74">
        <v>0</v>
      </c>
      <c r="T131" s="72" t="str">
        <f>IF(ISERROR(S131/K131),"NA",IF(OR(S131/K131&gt;2,S131/K131&lt;0.5),"NM",S131/K131*100-100))</f>
        <v>NA</v>
      </c>
      <c r="U131" s="74">
        <v>0</v>
      </c>
      <c r="V131" s="72" t="str">
        <f>IF(ISERROR(U131/M131),"NA",IF(OR(U131/M131&gt;2,U131/M131&lt;0.5),"NM",U131/M131*100-100))</f>
        <v>NA</v>
      </c>
      <c r="W131" s="74">
        <v>0</v>
      </c>
      <c r="X131" s="72" t="str">
        <f>IF(ISERROR(W131/O131),"NA",IF(OR(W131/O131&gt;2,W131/O131&lt;0.5),"NM",W131/O131*100-100))</f>
        <v>NA</v>
      </c>
      <c r="Y131" s="74">
        <v>0</v>
      </c>
      <c r="Z131" s="72" t="str">
        <f>IF(ISERROR(Y131/Q131),"NA",IF(OR(Y131/Q131&gt;2,Y131/Q131&lt;0.5),"NM",Y131/Q131*100-100))</f>
        <v>NA</v>
      </c>
      <c r="AA131" s="74">
        <v>0</v>
      </c>
      <c r="AB131" s="72" t="str">
        <f>IF(ISERROR(AA131/S131),"NA",IF(OR(AA131/S131&gt;2,AA131/S131&lt;0.5),"NM",AA131/S131*100-100))</f>
        <v>NA</v>
      </c>
      <c r="AC131" s="74">
        <v>0</v>
      </c>
      <c r="AD131" s="72" t="str">
        <f>IF(ISERROR(AC131/U131),"NA",IF(OR(AC131/U131&gt;2,AC131/U131&lt;0.5),"NM",AC131/U131*100-100))</f>
        <v>NA</v>
      </c>
      <c r="AE131" s="74">
        <v>0</v>
      </c>
      <c r="AF131" s="72" t="str">
        <f>IF(ISERROR(AE131/W131),"NA",IF(OR(AE131/W131&gt;2,AE131/W131&lt;0.5),"NM",AE131/W131*100-100))</f>
        <v>NA</v>
      </c>
      <c r="AG131" s="74">
        <v>0</v>
      </c>
      <c r="AH131" s="72" t="str">
        <f>IF(ISERROR(AG131/Y131),"NA",IF(OR(AG131/Y131&gt;2,AG131/Y131&lt;0.5),"NM",AG131/Y131*100-100))</f>
        <v>NA</v>
      </c>
      <c r="AI131" s="74">
        <v>0</v>
      </c>
      <c r="AJ131" s="72" t="str">
        <f>IF(ISERROR(AI131/AA131),"NA",IF(OR(AI131/AA131&gt;2,AI131/AA131&lt;0.5),"NM",AI131/AA131*100-100))</f>
        <v>NA</v>
      </c>
      <c r="AK131" s="74">
        <v>0</v>
      </c>
      <c r="AL131" s="72" t="str">
        <f>IF(ISERROR(AK131/AC131),"NA",IF(OR(AK131/AC131&gt;2,AK131/AC131&lt;0.5),"NM",AK131/AC131*100-100))</f>
        <v>NA</v>
      </c>
      <c r="AM131" s="74">
        <v>0</v>
      </c>
      <c r="AN131" s="72" t="str">
        <f>IF(ISERROR(AM131/AE131),"NA",IF(OR(AM131/AE131&gt;2,AM131/AE131&lt;0.5),"NM",AM131/AE131*100-100))</f>
        <v>NA</v>
      </c>
      <c r="AO131" s="74">
        <f>15+11-13</f>
        <v>13</v>
      </c>
      <c r="AP131" s="72" t="str">
        <f>IF(ISERROR(AO131/AG131),"NA",IF(OR(AO131/AG131&gt;2,AO131/AG131&lt;0.5),"NM",AO131/AG131*100-100))</f>
        <v>NA</v>
      </c>
      <c r="AQ131" s="74">
        <v>27</v>
      </c>
      <c r="AR131" s="72" t="str">
        <f>IF(ISERROR(AQ131/AI131),"NA",IF(OR(AQ131/AI131&gt;2,AQ131/AI131&lt;0.5),"NM",AQ131/AI131*100-100))</f>
        <v>NA</v>
      </c>
      <c r="AS131" s="74">
        <v>16</v>
      </c>
      <c r="AT131" s="72" t="str">
        <f>IF(ISERROR(AS131/AK131),"NA",IF(OR(AS131/AK131&gt;2,AS131/AK131&lt;0.5),"NM",AS131/AK131*100-100))</f>
        <v>NA</v>
      </c>
      <c r="AU131" s="74">
        <v>13</v>
      </c>
      <c r="AV131" s="72" t="str">
        <f>IF(ISERROR(AU131/AM131),"NA",IF(OR(AU131/AM131&gt;2,AU131/AM131&lt;0.5),"NM",AU131/AM131*100-100))</f>
        <v>NA</v>
      </c>
      <c r="AW131" s="74">
        <v>0</v>
      </c>
      <c r="AX131" s="72" t="str">
        <f>IF(ISERROR(AW131/AO131),"NA",IF(OR(AW131/AO131&gt;2,AW131/AO131&lt;0.5),"NM",AW131/AO131*100-100))</f>
        <v>NM</v>
      </c>
      <c r="AY131" s="74">
        <v>16</v>
      </c>
      <c r="AZ131" s="72">
        <f>IF(ISERROR(AY131/AQ131),"NA",IF(OR(AY131/AQ131&gt;2,AY131/AQ131&lt;0.5),"NM",AY131/AQ131*100-100))</f>
        <v>-40.740740740740748</v>
      </c>
      <c r="BA131" s="74">
        <v>-5</v>
      </c>
      <c r="BB131" s="72" t="str">
        <f>IF(ISERROR(BA131/AS131),"NA",IF(OR(BA131/AS131&gt;2,BA131/AS131&lt;0.5),"NM",BA131/AS131*100-100))</f>
        <v>NM</v>
      </c>
      <c r="BC131" s="74">
        <f>46+25</f>
        <v>71</v>
      </c>
      <c r="BD131" s="72" t="str">
        <f>IF(ISERROR(BC131/AU131),"NA",IF(OR(BC131/AU131&gt;2,BC131/AU131&lt;0.5),"NM",BC131/AU131*100-100))</f>
        <v>NM</v>
      </c>
      <c r="BE131" s="74">
        <v>0</v>
      </c>
      <c r="BF131" s="72" t="str">
        <f>IF(ISERROR(BE131/AW131),"NA",IF(OR(BE131/AW131&gt;2,BE131/AW131&lt;0.5),"NM",BE131/AW131*100-100))</f>
        <v>NA</v>
      </c>
      <c r="BG131" s="74">
        <v>0</v>
      </c>
      <c r="BH131" s="72" t="str">
        <f>IF(ISERROR(BG131/AY131),"NA",IF(OR(BG131/AY131&gt;2,BG131/AY131&lt;0.5),"NM",BG131/AY131*100-100))</f>
        <v>NM</v>
      </c>
      <c r="BI131" s="74">
        <v>0</v>
      </c>
      <c r="BJ131" s="72" t="str">
        <f>IF(ISERROR(BI131/BA131),"NA",IF(OR(BI131/BA131&gt;2,BI131/BA131&lt;0.5),"NM",BI131/BA131*100-100))</f>
        <v>NM</v>
      </c>
      <c r="BK131" s="74">
        <f>78-3</f>
        <v>75</v>
      </c>
      <c r="BL131" s="72">
        <f>IF(ISERROR(BK131/BC131),"NA",IF(OR(BK131/BC131&gt;2,BK131/BC131&lt;0.5),"NM",BK131/BC131*100-100))</f>
        <v>5.6338028169014081</v>
      </c>
      <c r="BM131" s="74">
        <v>-4</v>
      </c>
      <c r="BN131" s="72" t="str">
        <f>IF(ISERROR(BM131/BE131),"NA",IF(OR(BM131/BE131&gt;2,BM131/BE131&lt;0.5),"NM",BM131/BE131*100-100))</f>
        <v>NA</v>
      </c>
      <c r="BO131" s="74">
        <v>0</v>
      </c>
      <c r="BP131" s="72" t="str">
        <f>IF(ISERROR(BO131/BG131),"NA",IF(OR(BO131/BG131&gt;2,BO131/BG131&lt;0.5),"NM",BO131/BG131*100-100))</f>
        <v>NA</v>
      </c>
      <c r="BQ131" s="74">
        <v>0</v>
      </c>
      <c r="BR131" s="72" t="str">
        <f>IF(ISERROR(BQ131/BI131),"NA",IF(OR(BQ131/BI131&gt;2,BQ131/BI131&lt;0.5),"NM",BQ131/BI131*100-100))</f>
        <v>NA</v>
      </c>
      <c r="BS131" s="74">
        <f>79+53</f>
        <v>132</v>
      </c>
      <c r="BT131" s="72">
        <f>IF(ISERROR(BS131/BK131),"NA",IF(OR(BS131/BK131&gt;2,BS131/BK131&lt;0.5),"NM",BS131/BK131*100-100))</f>
        <v>76</v>
      </c>
      <c r="BU131" s="74">
        <v>0</v>
      </c>
      <c r="BV131" s="72" t="str">
        <f>IF(ISERROR(BU131/BM131),"NA",IF(OR(BU131/BM131&gt;2,BU131/BM131&lt;0.5),"NM",BU131/BM131*100-100))</f>
        <v>NM</v>
      </c>
      <c r="BW131" s="74">
        <v>-32</v>
      </c>
      <c r="BX131" s="72" t="str">
        <f>IF(ISERROR(BW131/BO131),"NA",IF(OR(BW131/BO131&gt;2,BW131/BO131&lt;0.5),"NM",BW131/BO131*100-100))</f>
        <v>NA</v>
      </c>
      <c r="BY131" s="74">
        <v>23</v>
      </c>
      <c r="BZ131" s="72" t="str">
        <f>IF(ISERROR(BY131/BQ131),"NA",IF(OR(BY131/BQ131&gt;2,BY131/BQ131&lt;0.5),"NM",BY131/BQ131*100-100))</f>
        <v>NA</v>
      </c>
      <c r="CA131" s="74">
        <v>136</v>
      </c>
      <c r="CB131" s="72">
        <f>IF(ISERROR(CA131/BS131),"NA",IF(OR(CA131/BS131&gt;2,CA131/BS131&lt;0.5),"NM",CA131/BS131*100-100))</f>
        <v>3.0303030303030312</v>
      </c>
      <c r="CC131" s="74">
        <v>0</v>
      </c>
      <c r="CD131" s="72" t="str">
        <f>IF(ISERROR(CC131/BU131),"NA",IF(OR(CC131/BU131&gt;2,CC131/BU131&lt;0.5),"NM",CC131/BU131*100-100))</f>
        <v>NA</v>
      </c>
      <c r="CE131" s="74"/>
      <c r="CF131" s="72" t="str">
        <f>IF(ISERROR(CE131/BW131),"NA",IF(OR(CE131/BW131&gt;2,CE131/BW131&lt;0.5),"NM",CE131/BW131*100-100))</f>
        <v>NM</v>
      </c>
      <c r="CG131" s="74">
        <v>-30</v>
      </c>
      <c r="CH131" s="72" t="str">
        <f>IF(ISERROR(CG131/BY131),"NA",IF(OR(CG131/BY131&gt;2,CG131/BY131&lt;0.5),"NM",CG131/BY131*100-100))</f>
        <v>NM</v>
      </c>
      <c r="CI131" s="74">
        <v>52</v>
      </c>
      <c r="CJ131" s="72" t="str">
        <f>IF(ISERROR(CI131/CA131),"NA",IF(OR(CI131/CA131&gt;2,CI131/CA131&lt;0.5),"NM",CI131/CA131*100-100))</f>
        <v>NM</v>
      </c>
      <c r="CK131" s="74">
        <v>0</v>
      </c>
      <c r="CL131" s="72" t="str">
        <f>IF(ISERROR(CK131/CC131),"NA",IF(OR(CK131/CC131&gt;2,CK131/CC131&lt;0.5),"NM",CK131/CC131*100-100))</f>
        <v>NA</v>
      </c>
      <c r="CM131" s="74">
        <v>0</v>
      </c>
      <c r="CN131" s="72" t="str">
        <f>IF(ISERROR(CM131/CE131),"NA",IF(OR(CM131/CE131&gt;2,CM131/CE131&lt;0.5),"NM",CM131/CE131*100-100))</f>
        <v>NA</v>
      </c>
      <c r="CO131" s="74">
        <v>0</v>
      </c>
      <c r="CP131" s="72" t="str">
        <f>IF(ISERROR(CO131/CG131),"NA",IF(OR(CO131/CG131&gt;2,CO131/CG131&lt;0.5),"NM",CO131/CG131*100-100))</f>
        <v>NM</v>
      </c>
      <c r="CQ131" s="74">
        <v>27</v>
      </c>
      <c r="CR131" s="72">
        <f>IF(ISERROR(CQ131/CI131),"NA",IF(OR(CQ131/CI131&gt;2,CQ131/CI131&lt;0.5),"NM",CQ131/CI131*100-100))</f>
        <v>-48.076923076923073</v>
      </c>
      <c r="CS131" s="74">
        <v>10</v>
      </c>
      <c r="CT131" s="72" t="str">
        <f>IF(ISERROR(CS131/CK131),"NA",IF(OR(CS131/CK131&gt;2,CS131/CK131&lt;0.5),"NM",CS131/CK131*100-100))</f>
        <v>NA</v>
      </c>
      <c r="CU131" s="74">
        <v>0</v>
      </c>
      <c r="CV131" s="72" t="str">
        <f>IF(ISERROR(CU131/CM131),"NA",IF(OR(CU131/CM131&gt;2,CU131/CM131&lt;0.5),"NM",CU131/CM131*100-100))</f>
        <v>NA</v>
      </c>
      <c r="CW131" s="74">
        <v>0</v>
      </c>
      <c r="CX131" s="72" t="str">
        <f>IF(ISERROR(CW131/CO131),"NA",IF(OR(CW131/CO131&gt;2,CW131/CO131&lt;0.5),"NM",CW131/CO131*100-100))</f>
        <v>NA</v>
      </c>
      <c r="CY131" s="74">
        <v>-27</v>
      </c>
      <c r="CZ131" s="72" t="str">
        <f>IF(ISERROR(CY131/CQ131),"NA",IF(OR(CY131/CQ131&gt;2,CY131/CQ131&lt;0.5),"NM",CY131/CQ131*100-100))</f>
        <v>NM</v>
      </c>
      <c r="DA131" s="74">
        <v>-15</v>
      </c>
      <c r="DB131" s="72" t="str">
        <f>IF(ISERROR(DA131/CS131),"NA",IF(OR(DA131/CS131&gt;2,DA131/CS131&lt;0.5),"NM",DA131/CS131*100-100))</f>
        <v>NM</v>
      </c>
      <c r="DC131" s="74">
        <f>-8</f>
        <v>-8</v>
      </c>
      <c r="DD131" s="72" t="str">
        <f>IF(ISERROR(DC131/CU131),"NA",IF(OR(DC131/CU131&gt;2,DC131/CU131&lt;0.5),"NM",DC131/CU131*100-100))</f>
        <v>NA</v>
      </c>
      <c r="DE131" s="74">
        <v>-11</v>
      </c>
      <c r="DF131" s="72" t="str">
        <f>IF(ISERROR(DE131/CW131),"NA",IF(OR(DE131/CW131&gt;2,DE131/CW131&lt;0.5),"NM",DE131/CW131*100-100))</f>
        <v>NA</v>
      </c>
      <c r="DG131" s="74">
        <f>27-24</f>
        <v>3</v>
      </c>
      <c r="DH131" s="72" t="str">
        <f>IF(ISERROR(DG131/CY131),"NA",IF(OR(DG131/CY131&gt;2,DG131/CY131&lt;0.5),"NM",DG131/CY131*100-100))</f>
        <v>NM</v>
      </c>
      <c r="DI131" s="74">
        <v>-8</v>
      </c>
      <c r="DJ131" s="72">
        <f>IF(ISERROR(DI131/DA131),"NA",IF(OR(DI131/DA131&gt;2,DI131/DA131&lt;0.5),"NM",DI131/DA131*100-100))</f>
        <v>-46.666666666666664</v>
      </c>
      <c r="DK131" s="74">
        <v>-8</v>
      </c>
      <c r="DL131" s="72">
        <f>IF(ISERROR(DK131/DC131),"NA",IF(OR(DK131/DC131&gt;2,DK131/DC131&lt;0.5),"NM",DK131/DC131*100-100))</f>
        <v>0</v>
      </c>
      <c r="DM131" s="74">
        <v>-8</v>
      </c>
      <c r="DN131" s="72">
        <f t="shared" ref="DN131:DZ133" si="801">IF(ISERROR(DM131/DE131),"NA",IF(OR(DM131/DE131&gt;2,DM131/DE131&lt;0.5),"NM",DM131/DE131*100-100))</f>
        <v>-27.272727272727266</v>
      </c>
      <c r="DO131" s="74">
        <f>-63-8</f>
        <v>-71</v>
      </c>
      <c r="DP131" s="72" t="str">
        <f t="shared" si="801"/>
        <v>NM</v>
      </c>
      <c r="DQ131" s="74">
        <f>-9-8</f>
        <v>-17</v>
      </c>
      <c r="DR131" s="72" t="str">
        <f t="shared" si="801"/>
        <v>NM</v>
      </c>
      <c r="DS131" s="74">
        <v>-9</v>
      </c>
      <c r="DT131" s="72">
        <f t="shared" si="801"/>
        <v>12.5</v>
      </c>
      <c r="DU131" s="74">
        <f>68-8</f>
        <v>60</v>
      </c>
      <c r="DV131" s="72" t="str">
        <f t="shared" si="801"/>
        <v>NM</v>
      </c>
      <c r="DW131" s="74">
        <v>0</v>
      </c>
      <c r="DX131" s="72" t="str">
        <f t="shared" si="801"/>
        <v>NM</v>
      </c>
      <c r="DY131" s="74">
        <v>-20</v>
      </c>
      <c r="DZ131" s="72">
        <f t="shared" si="801"/>
        <v>17.64705882352942</v>
      </c>
      <c r="EA131" s="74">
        <f>-10-35</f>
        <v>-45</v>
      </c>
      <c r="EB131" s="72" t="str">
        <f>IF(ISERROR(EA131/DS131),"NA",IF(OR(EA131/DS131&gt;2,EA131/DS131&lt;0.5),"NM",EA131/DS131*100-100))</f>
        <v>NM</v>
      </c>
      <c r="EC131" s="74">
        <v>-420</v>
      </c>
      <c r="ED131" s="72" t="str">
        <f>IF(ISERROR(EC131/DU131),"NA",IF(OR(EC131/DU131&gt;2,EC131/DU131&lt;0.5),"NM",EC131/DU131*100-100))</f>
        <v>NM</v>
      </c>
      <c r="EE131" s="74">
        <v>0</v>
      </c>
      <c r="EF131" s="72" t="str">
        <f>IF(ISERROR(EE131/DW131),"NA",IF(OR(EE131/DW131&gt;2,EE131/DW131&lt;0.5),"NM",EE131/DW131*100-100))</f>
        <v>NA</v>
      </c>
      <c r="EG131" s="74">
        <v>0</v>
      </c>
      <c r="EH131" s="72" t="str">
        <f>IF(ISERROR(EG131/DY131),"NA",IF(OR(EG131/DY131&gt;2,EG131/DY131&lt;0.5),"NM",EG131/DY131*100-100))</f>
        <v>NM</v>
      </c>
      <c r="EI131" s="74">
        <v>0</v>
      </c>
      <c r="EJ131" s="72" t="str">
        <f>IF(ISERROR(EI131/EA131),"NA",IF(OR(EI131/EA131&gt;2,EI131/EA131&lt;0.5),"NM",EI131/EA131*100-100))</f>
        <v>NM</v>
      </c>
      <c r="EK131" s="74">
        <v>-653</v>
      </c>
      <c r="EL131" s="72">
        <f>IF(ISERROR(EK131/EC131),"NA",IF(OR(EK131/EC131&gt;2,EK131/EC131&lt;0.5),"NM",EK131/EC131*100-100))</f>
        <v>55.476190476190482</v>
      </c>
      <c r="EM131" s="74"/>
      <c r="EN131" s="72" t="str">
        <f>IF(ISERROR(EM131/EE131),"NA",IF(OR(EM131/EE131&gt;2,EM131/EE131&lt;0.5),"NM",EM131/EE131*100-100))</f>
        <v>NA</v>
      </c>
      <c r="EO131" s="74">
        <v>0</v>
      </c>
      <c r="EP131" s="72" t="str">
        <f>IF(ISERROR(EO131/EG131),"NA",IF(OR(EO131/EG131&gt;2,EO131/EG131&lt;0.5),"NM",EO131/EG131*100-100))</f>
        <v>NA</v>
      </c>
      <c r="EQ131" s="74">
        <v>0</v>
      </c>
      <c r="ER131" s="72" t="str">
        <f t="shared" ref="ER131:ER133" si="802">IF(ISERROR(EQ131/EI131),"NA",IF(OR(EQ131/EI131&gt;2,EQ131/EI131&lt;0.5),"NM",EQ131/EI131*100-100))</f>
        <v>NA</v>
      </c>
      <c r="ES131" s="74">
        <v>0</v>
      </c>
      <c r="ET131" s="72" t="str">
        <f t="shared" ref="ET131:ET133" si="803">IF(ISERROR(ES131/EK131),"NA",IF(OR(ES131/EK131&gt;2,ES131/EK131&lt;0.5),"NM",ES131/EK131*100-100))</f>
        <v>NM</v>
      </c>
      <c r="EU131" s="74">
        <v>0</v>
      </c>
      <c r="EV131" s="72" t="str">
        <f t="shared" ref="EV131:EV133" si="804">IF(ISERROR(EU131/EM131),"NA",IF(OR(EU131/EM131&gt;2,EU131/EM131&lt;0.5),"NM",EU131/EM131*100-100))</f>
        <v>NA</v>
      </c>
      <c r="EW131" s="74">
        <v>0</v>
      </c>
      <c r="EX131" s="72" t="str">
        <f t="shared" ref="EX131:EX133" si="805">IF(ISERROR(EW131/EO131),"NA",IF(OR(EW131/EO131&gt;2,EW131/EO131&lt;0.5),"NM",EW131/EO131*100-100))</f>
        <v>NA</v>
      </c>
      <c r="EY131" s="72"/>
      <c r="EZ131" s="307"/>
      <c r="FA131" s="72"/>
      <c r="FB131" s="75">
        <v>0</v>
      </c>
      <c r="FC131" s="87"/>
      <c r="FD131" s="75">
        <v>0</v>
      </c>
      <c r="FE131" s="72" t="str">
        <f>IF(ISERROR(FD131/FB131),"NA",IF(OR(FD131/FB131&gt;2,FD131/FB131&lt;0.5),"NM",FD131/FB131*100-100))</f>
        <v>NA</v>
      </c>
      <c r="FF131" s="75">
        <v>0</v>
      </c>
      <c r="FG131" s="72" t="str">
        <f>IF(ISERROR(FF131/FD131),"NA",IF(OR(FF131/FD131&gt;2,FF131/FD131&lt;0.5),"NM",FF131/FD131*100-100))</f>
        <v>NA</v>
      </c>
      <c r="FH131" s="75">
        <v>0</v>
      </c>
      <c r="FI131" s="72" t="str">
        <f>IF(ISERROR(FH131/FF131),"NA",IF(OR(FH131/FF131&gt;2,FH131/FF131&lt;0.5),"NM",FH131/FF131*100-100))</f>
        <v>NA</v>
      </c>
      <c r="FJ131" s="75">
        <v>0</v>
      </c>
      <c r="FK131" s="72" t="str">
        <f>IF(ISERROR(FJ131/FH131),"NA",IF(OR(FJ131/FH131&gt;2,FJ131/FH131&lt;0.5),"NM",FJ131/FH131*100-100))</f>
        <v>NA</v>
      </c>
      <c r="FL131" s="75">
        <v>0</v>
      </c>
      <c r="FM131" s="72" t="str">
        <f>IF(ISERROR(FL131/FJ131),"NA",IF(OR(FL131/FJ131&gt;2,FL131/FJ131&lt;0.5),"NM",FL131/FJ131*100-100))</f>
        <v>NA</v>
      </c>
      <c r="FN131" s="75">
        <f>AI131+AK131+AM131+AO131</f>
        <v>13</v>
      </c>
      <c r="FO131" s="72" t="str">
        <f>IF(ISERROR(FN131/FL131),"NA",IF(OR(FN131/FL131&gt;2,FN131/FL131&lt;0.5),"NM",FN131/FL131*100-100))</f>
        <v>NA</v>
      </c>
      <c r="FP131" s="75">
        <f>AQ131+AS131+AU131+AW131</f>
        <v>56</v>
      </c>
      <c r="FQ131" s="72" t="str">
        <f>IF(ISERROR(FP131/FN131),"NA",IF(OR(FP131/FN131&gt;2,FP131/FN131&lt;0.5),"NM",FP131/FN131*100-100))</f>
        <v>NM</v>
      </c>
      <c r="FR131" s="75">
        <f>SUM(AY131,BA131,BC131,BE131)</f>
        <v>82</v>
      </c>
      <c r="FS131" s="72">
        <f>IF(ISERROR(FR131/FP131),"NA",IF(OR(FR131/FP131&gt;2,FR131/FP131&lt;0.5),"NM",FR131/FP131*100-100))</f>
        <v>46.428571428571416</v>
      </c>
      <c r="FT131" s="75">
        <f>SUM(BG131,BI131,BK131,BM131)</f>
        <v>71</v>
      </c>
      <c r="FU131" s="72">
        <f>IF(ISERROR(FT131/FR131),"NA",IF(OR(FT131/FR131&gt;2,FT131/FR131&lt;0.5),"NM",FT131/FR131*100-100))</f>
        <v>-13.41463414634147</v>
      </c>
      <c r="FV131" s="75">
        <f>BO131+BQ131+BS131+BU131</f>
        <v>132</v>
      </c>
      <c r="FW131" s="72">
        <f>IF(ISERROR(FV131/FT131),"NA",IF(OR(FV131/FT131&gt;2,FV131/FT131&lt;0.5),"NM",FV131/FT131*100-100))</f>
        <v>85.915492957746466</v>
      </c>
      <c r="FX131" s="75">
        <f>BW131+BY131+CA131+CC131</f>
        <v>127</v>
      </c>
      <c r="FY131" s="72">
        <f>IF(ISERROR(FX131/FV131),"NA",IF(OR(FX131/FV131&gt;2,FX131/FV131&lt;0.5),"NM",FX131/FV131*100-100))</f>
        <v>-3.7878787878787818</v>
      </c>
      <c r="FZ131" s="75">
        <f>CE131+CG131+CI131+CK131</f>
        <v>22</v>
      </c>
      <c r="GA131" s="72" t="str">
        <f>IF(ISERROR(FZ131/FX131),"NA",IF(OR(FZ131/FX131&gt;2,FZ131/FX131&lt;0.5),"NM",FZ131/FX131*100-100))</f>
        <v>NM</v>
      </c>
      <c r="GB131" s="75">
        <f>CM131+CO131+CQ131+CS131</f>
        <v>37</v>
      </c>
      <c r="GC131" s="72">
        <f>IF(ISERROR(GB131/FZ131),"NA",IF(OR(GB131/FZ131&gt;2,GB131/FZ131&lt;0.5),"NM",GB131/FZ131*100-100))</f>
        <v>68.181818181818187</v>
      </c>
      <c r="GD131" s="75">
        <f>CU131+CW131+CY131+DA131</f>
        <v>-42</v>
      </c>
      <c r="GE131" s="72" t="str">
        <f>IF(ISERROR(GD131/GB131),"NA",IF(OR(GD131/GB131&gt;2,GD131/GB131&lt;0.5),"NM",GD131/GB131*100-100))</f>
        <v>NM</v>
      </c>
      <c r="GF131" s="75">
        <f>DC131+DE131+DG131+DI131</f>
        <v>-24</v>
      </c>
      <c r="GG131" s="72">
        <f>IF(ISERROR(GF131/GD131),"NA",IF(OR(GF131/GD131&gt;2,GF131/GD131&lt;0.5),"NM",GF131/GD131*100-100))</f>
        <v>-42.857142857142861</v>
      </c>
      <c r="GH131" s="75">
        <f>DK131+DM131+DO131+DQ131</f>
        <v>-104</v>
      </c>
      <c r="GI131" s="72" t="str">
        <f t="shared" ref="GI131:GU133" si="806">IF(ISERROR(GH131/GF131),"NA",IF(OR(GH131/GF131&gt;2,GH131/GF131&lt;0.5),"NM",GH131/GF131*100-100))</f>
        <v>NM</v>
      </c>
      <c r="GJ131" s="75">
        <f>DS131+DU131+DW131+DY131</f>
        <v>31</v>
      </c>
      <c r="GK131" s="72" t="str">
        <f t="shared" si="806"/>
        <v>NM</v>
      </c>
      <c r="GL131" s="75">
        <f>EA131+EC131+EE131+EG131</f>
        <v>-465</v>
      </c>
      <c r="GM131" s="72" t="str">
        <f t="shared" si="806"/>
        <v>NM</v>
      </c>
      <c r="GN131" s="75">
        <f>EI131+EK131+EM131+EO131</f>
        <v>-653</v>
      </c>
      <c r="GO131" s="72">
        <f t="shared" si="806"/>
        <v>40.430107526881727</v>
      </c>
      <c r="GP131" s="75">
        <f>EQ131+ES131+EU131+EW131</f>
        <v>0</v>
      </c>
      <c r="GQ131" s="72" t="str">
        <f t="shared" si="806"/>
        <v>NM</v>
      </c>
      <c r="GR131" s="74">
        <v>0</v>
      </c>
      <c r="GS131" s="72" t="str">
        <f t="shared" si="806"/>
        <v>NA</v>
      </c>
      <c r="GT131" s="74">
        <v>0</v>
      </c>
      <c r="GU131" s="72" t="str">
        <f t="shared" si="806"/>
        <v>NA</v>
      </c>
      <c r="GV131" s="74">
        <v>0</v>
      </c>
      <c r="GW131" s="72" t="str">
        <f>IF(ISERROR(GV131/GT131),"NA",IF(OR(GV131/GT131&gt;2,GV131/GT131&lt;0.5),"NM",GV131/GT131*100-100))</f>
        <v>NA</v>
      </c>
      <c r="GX131" s="74">
        <v>0</v>
      </c>
      <c r="GY131" s="72" t="str">
        <f>IF(ISERROR(GX131/GV131),"NA",IF(OR(GX131/GV131&gt;2,GX131/GV131&lt;0.5),"NM",GX131/GV131*100-100))</f>
        <v>NA</v>
      </c>
      <c r="GZ131" s="72" t="str">
        <f>IF(ISERROR(((GX131/GN131)^0.2-1)*100),"NA",IF((((GX131/GN131)^0.2-1)*100)&gt;100,"NM",IF((((GX131/GN131)^0.2-1)*100)&lt;-50,"NM",((GX131/GN131)^0.2-1)*100)))</f>
        <v>NM</v>
      </c>
      <c r="HA131" s="72"/>
      <c r="HB131" s="72"/>
      <c r="HC131"/>
      <c r="HD131"/>
      <c r="HE131"/>
      <c r="HF131"/>
      <c r="HG131"/>
      <c r="HH131"/>
      <c r="HI131" s="2"/>
    </row>
    <row r="132" spans="1:217" s="133" customFormat="1" ht="12.75" customHeight="1" x14ac:dyDescent="0.2">
      <c r="A132" s="3"/>
      <c r="B132" s="70" t="s">
        <v>538</v>
      </c>
      <c r="C132" s="91">
        <f>C128-C131</f>
        <v>53</v>
      </c>
      <c r="D132" s="80"/>
      <c r="E132" s="91">
        <f>E128-E131</f>
        <v>81</v>
      </c>
      <c r="F132" s="80"/>
      <c r="G132" s="91">
        <f>G128-G131</f>
        <v>11</v>
      </c>
      <c r="H132" s="80"/>
      <c r="I132" s="91">
        <f>I128-I131</f>
        <v>-31</v>
      </c>
      <c r="J132" s="80"/>
      <c r="K132" s="91">
        <f>K128-K131</f>
        <v>79</v>
      </c>
      <c r="L132" s="72">
        <f>IF(ISERROR(K132/C132),"NA",IF(OR(K132/C132&gt;2,K132/C132&lt;0.5),"NM",K132/C132*100-100))</f>
        <v>49.056603773584897</v>
      </c>
      <c r="M132" s="91">
        <f>M128-M131</f>
        <v>87</v>
      </c>
      <c r="N132" s="72">
        <f>IF(ISERROR(M132/E132),"NA",IF(OR(M132/E132&gt;2,M132/E132&lt;0.5),"NM",M132/E132*100-100))</f>
        <v>7.407407407407419</v>
      </c>
      <c r="O132" s="91">
        <f>O128-O131</f>
        <v>76</v>
      </c>
      <c r="P132" s="72" t="str">
        <f>IF(ISERROR(O132/G132),"NA",IF(OR(O132/G132&gt;2,O132/G132&lt;0.5),"NM",O132/G132*100-100))</f>
        <v>NM</v>
      </c>
      <c r="Q132" s="91">
        <f>Q128-Q131</f>
        <v>31</v>
      </c>
      <c r="R132" s="72" t="str">
        <f>IF(ISERROR(Q132/I132),"NA",IF(OR(Q132/I132&gt;2,Q132/I132&lt;0.5),"NM",Q132/I132*100-100))</f>
        <v>NM</v>
      </c>
      <c r="S132" s="91">
        <f>S128-S131</f>
        <v>117</v>
      </c>
      <c r="T132" s="72">
        <f>IF(ISERROR(S132/K132),"NA",IF(OR(S132/K132&gt;2,S132/K132&lt;0.5),"NM",S132/K132*100-100))</f>
        <v>48.101265822784796</v>
      </c>
      <c r="U132" s="91">
        <f>U128-U131</f>
        <v>130</v>
      </c>
      <c r="V132" s="72">
        <f>IF(ISERROR(U132/M132),"NA",IF(OR(U132/M132&gt;2,U132/M132&lt;0.5),"NM",U132/M132*100-100))</f>
        <v>49.425287356321832</v>
      </c>
      <c r="W132" s="91">
        <f>W128-W131</f>
        <v>115</v>
      </c>
      <c r="X132" s="72">
        <f>IF(ISERROR(W132/O132),"NA",IF(OR(W132/O132&gt;2,W132/O132&lt;0.5),"NM",W132/O132*100-100))</f>
        <v>51.315789473684191</v>
      </c>
      <c r="Y132" s="91">
        <f>Y128-Y131</f>
        <v>70</v>
      </c>
      <c r="Z132" s="72" t="str">
        <f>IF(ISERROR(Y132/Q132),"NA",IF(OR(Y132/Q132&gt;2,Y132/Q132&lt;0.5),"NM",Y132/Q132*100-100))</f>
        <v>NM</v>
      </c>
      <c r="AA132" s="91">
        <f>AA128-AA131</f>
        <v>106</v>
      </c>
      <c r="AB132" s="72">
        <f>IF(ISERROR(AA132/S132),"NA",IF(OR(AA132/S132&gt;2,AA132/S132&lt;0.5),"NM",AA132/S132*100-100))</f>
        <v>-9.4017094017093967</v>
      </c>
      <c r="AC132" s="91">
        <f>AC128-AC131</f>
        <v>113</v>
      </c>
      <c r="AD132" s="72">
        <f>IF(ISERROR(AC132/U132),"NA",IF(OR(AC132/U132&gt;2,AC132/U132&lt;0.5),"NM",AC132/U132*100-100))</f>
        <v>-13.07692307692308</v>
      </c>
      <c r="AE132" s="91">
        <f>AE128-AE131</f>
        <v>75</v>
      </c>
      <c r="AF132" s="72">
        <f>IF(ISERROR(AE132/W132),"NA",IF(OR(AE132/W132&gt;2,AE132/W132&lt;0.5),"NM",AE132/W132*100-100))</f>
        <v>-34.782608695652172</v>
      </c>
      <c r="AG132" s="91">
        <f>AG128-AG131</f>
        <v>63</v>
      </c>
      <c r="AH132" s="72">
        <f>IF(ISERROR(AG132/Y132),"NA",IF(OR(AG132/Y132&gt;2,AG132/Y132&lt;0.5),"NM",AG132/Y132*100-100))</f>
        <v>-10</v>
      </c>
      <c r="AI132" s="91">
        <f>AI128-AI131</f>
        <v>87</v>
      </c>
      <c r="AJ132" s="72">
        <f>IF(ISERROR(AI132/AA132),"NA",IF(OR(AI132/AA132&gt;2,AI132/AA132&lt;0.5),"NM",AI132/AA132*100-100))</f>
        <v>-17.924528301886795</v>
      </c>
      <c r="AK132" s="91">
        <f>AK128-AK131</f>
        <v>98</v>
      </c>
      <c r="AL132" s="72">
        <f>IF(ISERROR(AK132/AC132),"NA",IF(OR(AK132/AC132&gt;2,AK132/AC132&lt;0.5),"NM",AK132/AC132*100-100))</f>
        <v>-13.274336283185846</v>
      </c>
      <c r="AM132" s="91">
        <f>AM128-AM131</f>
        <v>101</v>
      </c>
      <c r="AN132" s="72">
        <f>IF(ISERROR(AM132/AE132),"NA",IF(OR(AM132/AE132&gt;2,AM132/AE132&lt;0.5),"NM",AM132/AE132*100-100))</f>
        <v>34.666666666666657</v>
      </c>
      <c r="AO132" s="91">
        <f>AO128-AO131</f>
        <v>91</v>
      </c>
      <c r="AP132" s="72">
        <f>IF(ISERROR(AO132/AG132),"NA",IF(OR(AO132/AG132&gt;2,AO132/AG132&lt;0.5),"NM",AO132/AG132*100-100))</f>
        <v>44.444444444444429</v>
      </c>
      <c r="AQ132" s="91">
        <f>AQ128-AQ131</f>
        <v>90</v>
      </c>
      <c r="AR132" s="72">
        <f>IF(ISERROR(AQ132/AI132),"NA",IF(OR(AQ132/AI132&gt;2,AQ132/AI132&lt;0.5),"NM",AQ132/AI132*100-100))</f>
        <v>3.448275862068968</v>
      </c>
      <c r="AS132" s="91">
        <f>AS128-AS131</f>
        <v>103</v>
      </c>
      <c r="AT132" s="72">
        <f>IF(ISERROR(AS132/AK132),"NA",IF(OR(AS132/AK132&gt;2,AS132/AK132&lt;0.5),"NM",AS132/AK132*100-100))</f>
        <v>5.1020408163265216</v>
      </c>
      <c r="AU132" s="91">
        <f>AU128-AU131</f>
        <v>107</v>
      </c>
      <c r="AV132" s="72">
        <f>IF(ISERROR(AU132/AM132),"NA",IF(OR(AU132/AM132&gt;2,AU132/AM132&lt;0.5),"NM",AU132/AM132*100-100))</f>
        <v>5.940594059405953</v>
      </c>
      <c r="AW132" s="91">
        <f>AW128-AW131</f>
        <v>142</v>
      </c>
      <c r="AX132" s="72">
        <f>IF(ISERROR(AW132/AO132),"NA",IF(OR(AW132/AO132&gt;2,AW132/AO132&lt;0.5),"NM",AW132/AO132*100-100))</f>
        <v>56.043956043956058</v>
      </c>
      <c r="AY132" s="91">
        <f>AY128-AY131</f>
        <v>117</v>
      </c>
      <c r="AZ132" s="72">
        <f>IF(ISERROR(AY132/AQ132),"NA",IF(OR(AY132/AQ132&gt;2,AY132/AQ132&lt;0.5),"NM",AY132/AQ132*100-100))</f>
        <v>30</v>
      </c>
      <c r="BA132" s="91">
        <f>BA128-BA131</f>
        <v>102</v>
      </c>
      <c r="BB132" s="72">
        <f>IF(ISERROR(BA132/AS132),"NA",IF(OR(BA132/AS132&gt;2,BA132/AS132&lt;0.5),"NM",BA132/AS132*100-100))</f>
        <v>-0.97087378640776478</v>
      </c>
      <c r="BC132" s="91">
        <f>BC128-BC131</f>
        <v>112</v>
      </c>
      <c r="BD132" s="72">
        <f>IF(ISERROR(BC132/AU132),"NA",IF(OR(BC132/AU132&gt;2,BC132/AU132&lt;0.5),"NM",BC132/AU132*100-100))</f>
        <v>4.6728971962616725</v>
      </c>
      <c r="BE132" s="91">
        <f>BE128-BE131</f>
        <v>132</v>
      </c>
      <c r="BF132" s="72">
        <f>IF(ISERROR(BE132/AW132),"NA",IF(OR(BE132/AW132&gt;2,BE132/AW132&lt;0.5),"NM",BE132/AW132*100-100))</f>
        <v>-7.0422535211267672</v>
      </c>
      <c r="BG132" s="91">
        <f>BG128-BG131</f>
        <v>101</v>
      </c>
      <c r="BH132" s="72">
        <f>IF(ISERROR(BG132/AY132),"NA",IF(OR(BG132/AY132&gt;2,BG132/AY132&lt;0.5),"NM",BG132/AY132*100-100))</f>
        <v>-13.675213675213669</v>
      </c>
      <c r="BI132" s="91">
        <f>BI128-BI131</f>
        <v>141</v>
      </c>
      <c r="BJ132" s="72">
        <f>IF(ISERROR(BI132/BA132),"NA",IF(OR(BI132/BA132&gt;2,BI132/BA132&lt;0.5),"NM",BI132/BA132*100-100))</f>
        <v>38.235294117647044</v>
      </c>
      <c r="BK132" s="91">
        <f>BK128-BK131</f>
        <v>176</v>
      </c>
      <c r="BL132" s="72">
        <f>IF(ISERROR(BK132/BC132),"NA",IF(OR(BK132/BC132&gt;2,BK132/BC132&lt;0.5),"NM",BK132/BC132*100-100))</f>
        <v>57.142857142857139</v>
      </c>
      <c r="BM132" s="91">
        <f>BM128-BM131</f>
        <v>133</v>
      </c>
      <c r="BN132" s="72">
        <f>IF(ISERROR(BM132/BE132),"NA",IF(OR(BM132/BE132&gt;2,BM132/BE132&lt;0.5),"NM",BM132/BE132*100-100))</f>
        <v>0.75757575757575069</v>
      </c>
      <c r="BO132" s="91">
        <f>BO128-BO131</f>
        <v>96</v>
      </c>
      <c r="BP132" s="72">
        <f>IF(ISERROR(BO132/BG132),"NA",IF(OR(BO132/BG132&gt;2,BO132/BG132&lt;0.5),"NM",BO132/BG132*100-100))</f>
        <v>-4.9504950495049513</v>
      </c>
      <c r="BQ132" s="91">
        <f>BQ128-BQ131</f>
        <v>103</v>
      </c>
      <c r="BR132" s="72">
        <f>IF(ISERROR(BQ132/BI132),"NA",IF(OR(BQ132/BI132&gt;2,BQ132/BI132&lt;0.5),"NM",BQ132/BI132*100-100))</f>
        <v>-26.950354609929079</v>
      </c>
      <c r="BS132" s="91">
        <f>BS128-BS131</f>
        <v>106</v>
      </c>
      <c r="BT132" s="72">
        <f>IF(ISERROR(BS132/BK132),"NA",IF(OR(BS132/BK132&gt;2,BS132/BK132&lt;0.5),"NM",BS132/BK132*100-100))</f>
        <v>-39.772727272727273</v>
      </c>
      <c r="BU132" s="91">
        <f>BU128-BU131</f>
        <v>9</v>
      </c>
      <c r="BV132" s="72" t="str">
        <f>IF(ISERROR(BU132/BM132),"NA",IF(OR(BU132/BM132&gt;2,BU132/BM132&lt;0.5),"NM",BU132/BM132*100-100))</f>
        <v>NM</v>
      </c>
      <c r="BW132" s="91">
        <f>BW128-BW131</f>
        <v>72</v>
      </c>
      <c r="BX132" s="72">
        <f>IF(ISERROR(BW132/BO132),"NA",IF(OR(BW132/BO132&gt;2,BW132/BO132&lt;0.5),"NM",BW132/BO132*100-100))</f>
        <v>-25</v>
      </c>
      <c r="BY132" s="91">
        <f>BY128-BY131</f>
        <v>115</v>
      </c>
      <c r="BZ132" s="72">
        <f>IF(ISERROR(BY132/BQ132),"NA",IF(OR(BY132/BQ132&gt;2,BY132/BQ132&lt;0.5),"NM",BY132/BQ132*100-100))</f>
        <v>11.650485436893206</v>
      </c>
      <c r="CA132" s="91">
        <f>CA128-CA131</f>
        <v>107</v>
      </c>
      <c r="CB132" s="72">
        <f>IF(ISERROR(CA132/BS132),"NA",IF(OR(CA132/BS132&gt;2,CA132/BS132&lt;0.5),"NM",CA132/BS132*100-100))</f>
        <v>0.94339622641510346</v>
      </c>
      <c r="CC132" s="91">
        <f>CC128-CC131</f>
        <v>141</v>
      </c>
      <c r="CD132" s="72" t="str">
        <f>IF(ISERROR(CC132/BU132),"NA",IF(OR(CC132/BU132&gt;2,CC132/BU132&lt;0.5),"NM",CC132/BU132*100-100))</f>
        <v>NM</v>
      </c>
      <c r="CE132" s="91">
        <f>CE128-CE131</f>
        <v>86</v>
      </c>
      <c r="CF132" s="72">
        <f>IF(ISERROR(CE132/BW132),"NA",IF(OR(CE132/BW132&gt;2,CE132/BW132&lt;0.5),"NM",CE132/BW132*100-100))</f>
        <v>19.444444444444443</v>
      </c>
      <c r="CG132" s="91">
        <f>CG128-CG131</f>
        <v>137</v>
      </c>
      <c r="CH132" s="72">
        <f>IF(ISERROR(CG132/BY132),"NA",IF(OR(CG132/BY132&gt;2,CG132/BY132&lt;0.5),"NM",CG132/BY132*100-100))</f>
        <v>19.130434782608702</v>
      </c>
      <c r="CI132" s="91">
        <f>CI128-CI131</f>
        <v>105</v>
      </c>
      <c r="CJ132" s="72">
        <f>IF(ISERROR(CI132/CA132),"NA",IF(OR(CI132/CA132&gt;2,CI132/CA132&lt;0.5),"NM",CI132/CA132*100-100))</f>
        <v>-1.8691588785046775</v>
      </c>
      <c r="CK132" s="91">
        <f>CK128-CK131</f>
        <v>132</v>
      </c>
      <c r="CL132" s="72">
        <f>IF(ISERROR(CK132/CC132),"NA",IF(OR(CK132/CC132&gt;2,CK132/CC132&lt;0.5),"NM",CK132/CC132*100-100))</f>
        <v>-6.3829787234042499</v>
      </c>
      <c r="CM132" s="91">
        <f>CM128-CM131</f>
        <v>98</v>
      </c>
      <c r="CN132" s="72">
        <f>IF(ISERROR(CM132/CE132),"NA",IF(OR(CM132/CE132&gt;2,CM132/CE132&lt;0.5),"NM",CM132/CE132*100-100))</f>
        <v>13.95348837209302</v>
      </c>
      <c r="CO132" s="91">
        <f>CO128-CO131</f>
        <v>135</v>
      </c>
      <c r="CP132" s="72">
        <f>IF(ISERROR(CO132/CG132),"NA",IF(OR(CO132/CG132&gt;2,CO132/CG132&lt;0.5),"NM",CO132/CG132*100-100))</f>
        <v>-1.4598540145985339</v>
      </c>
      <c r="CQ132" s="91">
        <f>CQ128-CQ131</f>
        <v>84</v>
      </c>
      <c r="CR132" s="72">
        <f>IF(ISERROR(CQ132/CI132),"NA",IF(OR(CQ132/CI132&gt;2,CQ132/CI132&lt;0.5),"NM",CQ132/CI132*100-100))</f>
        <v>-20</v>
      </c>
      <c r="CS132" s="91">
        <f>CS128-CS131</f>
        <v>128</v>
      </c>
      <c r="CT132" s="72">
        <f>IF(ISERROR(CS132/CK132),"NA",IF(OR(CS132/CK132&gt;2,CS132/CK132&lt;0.5),"NM",CS132/CK132*100-100))</f>
        <v>-3.0303030303030312</v>
      </c>
      <c r="CU132" s="91">
        <f>CU128-CU131</f>
        <v>112</v>
      </c>
      <c r="CV132" s="72">
        <f>IF(ISERROR(CU132/CM132),"NA",IF(OR(CU132/CM132&gt;2,CU132/CM132&lt;0.5),"NM",CU132/CM132*100-100))</f>
        <v>14.285714285714278</v>
      </c>
      <c r="CW132" s="91">
        <f>CW128-CW131</f>
        <v>61</v>
      </c>
      <c r="CX132" s="72" t="str">
        <f>IF(ISERROR(CW132/CO132),"NA",IF(OR(CW132/CO132&gt;2,CW132/CO132&lt;0.5),"NM",CW132/CO132*100-100))</f>
        <v>NM</v>
      </c>
      <c r="CY132" s="91">
        <f>CY128-CY131</f>
        <v>139</v>
      </c>
      <c r="CZ132" s="72">
        <f>IF(ISERROR(CY132/CQ132),"NA",IF(OR(CY132/CQ132&gt;2,CY132/CQ132&lt;0.5),"NM",CY132/CQ132*100-100))</f>
        <v>65.476190476190453</v>
      </c>
      <c r="DA132" s="91">
        <f>DA128-DA131</f>
        <v>114</v>
      </c>
      <c r="DB132" s="72">
        <f>IF(ISERROR(DA132/CS132),"NA",IF(OR(DA132/CS132&gt;2,DA132/CS132&lt;0.5),"NM",DA132/CS132*100-100))</f>
        <v>-10.9375</v>
      </c>
      <c r="DC132" s="91">
        <f>DC128-DC131</f>
        <v>145</v>
      </c>
      <c r="DD132" s="72">
        <f>IF(ISERROR(DC132/CU132),"NA",IF(OR(DC132/CU132&gt;2,DC132/CU132&lt;0.5),"NM",DC132/CU132*100-100))</f>
        <v>29.464285714285722</v>
      </c>
      <c r="DE132" s="91">
        <f>DE128-DE131</f>
        <v>152</v>
      </c>
      <c r="DF132" s="72" t="str">
        <f>IF(ISERROR(DE132/CW132),"NA",IF(OR(DE132/CW132&gt;2,DE132/CW132&lt;0.5),"NM",DE132/CW132*100-100))</f>
        <v>NM</v>
      </c>
      <c r="DG132" s="91">
        <f>DG128-DG131</f>
        <v>145</v>
      </c>
      <c r="DH132" s="72">
        <f>IF(ISERROR(DG132/CY132),"NA",IF(OR(DG132/CY132&gt;2,DG132/CY132&lt;0.5),"NM",DG132/CY132*100-100))</f>
        <v>4.3165467625899225</v>
      </c>
      <c r="DI132" s="91">
        <f>DI128-DI131</f>
        <v>165</v>
      </c>
      <c r="DJ132" s="72">
        <f>IF(ISERROR(DI132/DA132),"NA",IF(OR(DI132/DA132&gt;2,DI132/DA132&lt;0.5),"NM",DI132/DA132*100-100))</f>
        <v>44.73684210526315</v>
      </c>
      <c r="DK132" s="91">
        <f>DK128-DK131</f>
        <v>133</v>
      </c>
      <c r="DL132" s="72">
        <f>IF(ISERROR(DK132/DC132),"NA",IF(OR(DK132/DC132&gt;2,DK132/DC132&lt;0.5),"NM",DK132/DC132*100-100))</f>
        <v>-8.2758620689655231</v>
      </c>
      <c r="DM132" s="91">
        <f>DM128-DM131</f>
        <v>166</v>
      </c>
      <c r="DN132" s="72">
        <f t="shared" si="801"/>
        <v>9.2105263157894655</v>
      </c>
      <c r="DO132" s="91">
        <f>DO128-DO131</f>
        <v>168</v>
      </c>
      <c r="DP132" s="72">
        <f t="shared" si="801"/>
        <v>15.862068965517253</v>
      </c>
      <c r="DQ132" s="91">
        <f>DQ128-DQ131</f>
        <v>135</v>
      </c>
      <c r="DR132" s="72">
        <f t="shared" si="801"/>
        <v>-18.181818181818173</v>
      </c>
      <c r="DS132" s="91">
        <f>DS128-DS131</f>
        <v>125</v>
      </c>
      <c r="DT132" s="72">
        <f t="shared" si="801"/>
        <v>-6.0150375939849567</v>
      </c>
      <c r="DU132" s="91">
        <f>DU128-DU131</f>
        <v>177</v>
      </c>
      <c r="DV132" s="72">
        <f t="shared" si="801"/>
        <v>6.6265060240963862</v>
      </c>
      <c r="DW132" s="91">
        <f>DW128-DW131</f>
        <v>183</v>
      </c>
      <c r="DX132" s="72">
        <f t="shared" si="801"/>
        <v>8.9285714285714164</v>
      </c>
      <c r="DY132" s="91">
        <f>DY128-DY131</f>
        <v>119</v>
      </c>
      <c r="DZ132" s="72">
        <f t="shared" si="801"/>
        <v>-11.851851851851848</v>
      </c>
      <c r="EA132" s="91">
        <f>EA128-EA131</f>
        <v>165</v>
      </c>
      <c r="EB132" s="72">
        <f>IF(ISERROR(EA132/DS132),"NA",IF(OR(EA132/DS132&gt;2,EA132/DS132&lt;0.5),"NM",EA132/DS132*100-100))</f>
        <v>32</v>
      </c>
      <c r="EC132" s="91">
        <f>EC128-EC131</f>
        <v>130</v>
      </c>
      <c r="ED132" s="72">
        <f>IF(ISERROR(EC132/DU132),"NA",IF(OR(EC132/DU132&gt;2,EC132/DU132&lt;0.5),"NM",EC132/DU132*100-100))</f>
        <v>-26.55367231638418</v>
      </c>
      <c r="EE132" s="91">
        <f>EE128-EE131</f>
        <v>111</v>
      </c>
      <c r="EF132" s="72">
        <f>IF(ISERROR(EE132/DW132),"NA",IF(OR(EE132/DW132&gt;2,EE132/DW132&lt;0.5),"NM",EE132/DW132*100-100))</f>
        <v>-39.344262295081968</v>
      </c>
      <c r="EG132" s="91">
        <f>EG128-EG131</f>
        <v>138</v>
      </c>
      <c r="EH132" s="72">
        <f>IF(ISERROR(EG132/DY132),"NA",IF(OR(EG132/DY132&gt;2,EG132/DY132&lt;0.5),"NM",EG132/DY132*100-100))</f>
        <v>15.966386554621863</v>
      </c>
      <c r="EI132" s="91">
        <f>EI128-EI131</f>
        <v>118</v>
      </c>
      <c r="EJ132" s="72">
        <f>IF(ISERROR(EI132/EA132),"NA",IF(OR(EI132/EA132&gt;2,EI132/EA132&lt;0.5),"NM",EI132/EA132*100-100))</f>
        <v>-28.484848484848484</v>
      </c>
      <c r="EK132" s="91">
        <f>EK128-EK131</f>
        <v>96</v>
      </c>
      <c r="EL132" s="72">
        <f>IF(ISERROR(EK132/EC132),"NA",IF(OR(EK132/EC132&gt;2,EK132/EC132&lt;0.5),"NM",EK132/EC132*100-100))</f>
        <v>-26.153846153846146</v>
      </c>
      <c r="EM132" s="91">
        <f>EM128-EM131</f>
        <v>150</v>
      </c>
      <c r="EN132" s="72">
        <f>IF(ISERROR(EM132/EE132),"NA",IF(OR(EM132/EE132&gt;2,EM132/EE132&lt;0.5),"NM",EM132/EE132*100-100))</f>
        <v>35.13513513513513</v>
      </c>
      <c r="EO132" s="91">
        <f>EO128-EO131</f>
        <v>98</v>
      </c>
      <c r="EP132" s="72">
        <f>IF(ISERROR(EO132/EG132),"NA",IF(OR(EO132/EG132&gt;2,EO132/EG132&lt;0.5),"NM",EO132/EG132*100-100))</f>
        <v>-28.985507246376812</v>
      </c>
      <c r="EQ132" s="91">
        <f t="shared" ref="EQ132" si="807">EQ128-EQ131</f>
        <v>95.528326875000175</v>
      </c>
      <c r="ER132" s="72">
        <f t="shared" si="802"/>
        <v>-19.043790783898146</v>
      </c>
      <c r="ES132" s="91">
        <f t="shared" ref="ES132" si="808">ES128-ES131</f>
        <v>113.75430471982759</v>
      </c>
      <c r="ET132" s="72">
        <f t="shared" si="803"/>
        <v>18.49406741648707</v>
      </c>
      <c r="EU132" s="91">
        <f t="shared" ref="EU132" si="809">EU128-EU131</f>
        <v>113.87967676271569</v>
      </c>
      <c r="EV132" s="72">
        <f t="shared" si="804"/>
        <v>-24.080215491522878</v>
      </c>
      <c r="EW132" s="91">
        <f t="shared" ref="EW132" si="810">EW128-EW131</f>
        <v>112.9107367140482</v>
      </c>
      <c r="EX132" s="72">
        <f t="shared" si="805"/>
        <v>15.215037463314502</v>
      </c>
      <c r="EY132" s="72"/>
      <c r="EZ132" s="310"/>
      <c r="FA132" s="72"/>
      <c r="FB132" s="91">
        <f>FB128-FB131</f>
        <v>178</v>
      </c>
      <c r="FC132" s="80"/>
      <c r="FD132" s="91">
        <f>FD128-FD131</f>
        <v>117</v>
      </c>
      <c r="FE132" s="72">
        <f>IF(ISERROR(FD132/FB132),"NA",IF(OR(FD132/FB132&gt;2,FD132/FB132&lt;0.5),"NM",FD132/FB132*100-100))</f>
        <v>-34.269662921348313</v>
      </c>
      <c r="FF132" s="91">
        <f>FF128-FF131</f>
        <v>114</v>
      </c>
      <c r="FG132" s="72">
        <f>IF(ISERROR(FF132/FD132),"NA",IF(OR(FF132/FD132&gt;2,FF132/FD132&lt;0.5),"NM",FF132/FD132*100-100))</f>
        <v>-2.5641025641025692</v>
      </c>
      <c r="FH132" s="91">
        <f>FH128-FH131</f>
        <v>273</v>
      </c>
      <c r="FI132" s="72" t="str">
        <f>IF(ISERROR(FH132/FF132),"NA",IF(OR(FH132/FF132&gt;2,FH132/FF132&lt;0.5),"NM",FH132/FF132*100-100))</f>
        <v>NM</v>
      </c>
      <c r="FJ132" s="91">
        <f>FJ128-FJ131</f>
        <v>432</v>
      </c>
      <c r="FK132" s="72">
        <f>IF(ISERROR(FJ132/FH132),"NA",IF(OR(FJ132/FH132&gt;2,FJ132/FH132&lt;0.5),"NM",FJ132/FH132*100-100))</f>
        <v>58.241758241758248</v>
      </c>
      <c r="FL132" s="91">
        <f>FL128-FL131</f>
        <v>357</v>
      </c>
      <c r="FM132" s="72">
        <f>IF(ISERROR(FL132/FJ132),"NA",IF(OR(FL132/FJ132&gt;2,FL132/FJ132&lt;0.5),"NM",FL132/FJ132*100-100))</f>
        <v>-17.361111111111114</v>
      </c>
      <c r="FN132" s="91">
        <f>AI132+AK132+AM132+AO132</f>
        <v>377</v>
      </c>
      <c r="FO132" s="72">
        <f>IF(ISERROR(FN132/FL132),"NA",IF(OR(FN132/FL132&gt;2,FN132/FL132&lt;0.5),"NM",FN132/FL132*100-100))</f>
        <v>5.6022408963585519</v>
      </c>
      <c r="FP132" s="91">
        <f>AQ132+AS132+AU132+AW132</f>
        <v>442</v>
      </c>
      <c r="FQ132" s="72">
        <f>IF(ISERROR(FP132/FN132),"NA",IF(OR(FP132/FN132&gt;2,FP132/FN132&lt;0.5),"NM",FP132/FN132*100-100))</f>
        <v>17.241379310344811</v>
      </c>
      <c r="FR132" s="91">
        <f>FR128-FR131</f>
        <v>463</v>
      </c>
      <c r="FS132" s="72">
        <f>IF(ISERROR(FR132/FP132),"NA",IF(OR(FR132/FP132&gt;2,FR132/FP132&lt;0.5),"NM",FR132/FP132*100-100))</f>
        <v>4.7511312217194615</v>
      </c>
      <c r="FT132" s="91">
        <f>FT128-FT131</f>
        <v>551</v>
      </c>
      <c r="FU132" s="72">
        <f>IF(ISERROR(FT132/FR132),"NA",IF(OR(FT132/FR132&gt;2,FT132/FR132&lt;0.5),"NM",FT132/FR132*100-100))</f>
        <v>19.006479481641463</v>
      </c>
      <c r="FV132" s="91">
        <f>FV128-FV131</f>
        <v>331</v>
      </c>
      <c r="FW132" s="72">
        <f>IF(ISERROR(FV132/FT132),"NA",IF(OR(FV132/FT132&gt;2,FV132/FT132&lt;0.5),"NM",FV132/FT132*100-100))</f>
        <v>-39.927404718693282</v>
      </c>
      <c r="FX132" s="91">
        <f>FX128-FX131</f>
        <v>387</v>
      </c>
      <c r="FY132" s="72">
        <f>IF(ISERROR(FX132/FV132),"NA",IF(OR(FX132/FV132&gt;2,FX132/FV132&lt;0.5),"NM",FX132/FV132*100-100))</f>
        <v>16.918429003021146</v>
      </c>
      <c r="FZ132" s="91">
        <f>FZ128-FZ131</f>
        <v>460</v>
      </c>
      <c r="GA132" s="72">
        <f>IF(ISERROR(FZ132/FX132),"NA",IF(OR(FZ132/FX132&gt;2,FZ132/FX132&lt;0.5),"NM",FZ132/FX132*100-100))</f>
        <v>18.863049095607238</v>
      </c>
      <c r="GB132" s="91">
        <f>GB128-GB131</f>
        <v>445</v>
      </c>
      <c r="GC132" s="72">
        <f>IF(ISERROR(GB132/FZ132),"NA",IF(OR(GB132/FZ132&gt;2,GB132/FZ132&lt;0.5),"NM",GB132/FZ132*100-100))</f>
        <v>-3.2608695652173907</v>
      </c>
      <c r="GD132" s="91">
        <f>GD128-GD131</f>
        <v>426</v>
      </c>
      <c r="GE132" s="72">
        <f>IF(ISERROR(GD132/GB132),"NA",IF(OR(GD132/GB132&gt;2,GD132/GB132&lt;0.5),"NM",GD132/GB132*100-100))</f>
        <v>-4.2696629213483135</v>
      </c>
      <c r="GF132" s="91">
        <f>GF128-GF131</f>
        <v>607</v>
      </c>
      <c r="GG132" s="72">
        <f>IF(ISERROR(GF132/GD132),"NA",IF(OR(GF132/GD132&gt;2,GF132/GD132&lt;0.5),"NM",GF132/GD132*100-100))</f>
        <v>42.488262910798113</v>
      </c>
      <c r="GH132" s="91">
        <f>GH128-GH131</f>
        <v>602</v>
      </c>
      <c r="GI132" s="72">
        <f t="shared" si="806"/>
        <v>-0.82372322899504979</v>
      </c>
      <c r="GJ132" s="91">
        <f>GJ128-GJ131</f>
        <v>604</v>
      </c>
      <c r="GK132" s="72">
        <f t="shared" si="806"/>
        <v>0.33222591362125797</v>
      </c>
      <c r="GL132" s="91">
        <f>GL128-GL131</f>
        <v>544</v>
      </c>
      <c r="GM132" s="72">
        <f t="shared" si="806"/>
        <v>-9.933774834437088</v>
      </c>
      <c r="GN132" s="91">
        <f>GN128-GN131</f>
        <v>462</v>
      </c>
      <c r="GO132" s="72">
        <f t="shared" si="806"/>
        <v>-15.07352941176471</v>
      </c>
      <c r="GP132" s="91">
        <f>GP128-GP131</f>
        <v>436.07304507159097</v>
      </c>
      <c r="GQ132" s="72">
        <f t="shared" si="806"/>
        <v>-5.6118950061491404</v>
      </c>
      <c r="GR132" s="91">
        <f>GR128-GR131</f>
        <v>432.33203523491011</v>
      </c>
      <c r="GS132" s="72">
        <f t="shared" si="806"/>
        <v>-0.85788605348598423</v>
      </c>
      <c r="GT132" s="91">
        <f>GT128-GT131</f>
        <v>427.44700049098174</v>
      </c>
      <c r="GU132" s="72">
        <f t="shared" si="806"/>
        <v>-1.1299266179232035</v>
      </c>
      <c r="GV132" s="91">
        <f>GV128-GV131</f>
        <v>428.09328543534866</v>
      </c>
      <c r="GW132" s="72">
        <f>IF(ISERROR(GV132/GT132),"NA",IF(OR(GV132/GT132&gt;2,GV132/GT132&lt;0.5),"NM",GV132/GT132*100-100))</f>
        <v>0.15119650942094154</v>
      </c>
      <c r="GX132" s="91">
        <f>GX128-GX131</f>
        <v>427.94359380240439</v>
      </c>
      <c r="GY132" s="72">
        <f>IF(ISERROR(GX132/GV132),"NA",IF(OR(GX132/GV132&gt;2,GX132/GV132&lt;0.5),"NM",GX132/GV132*100-100))</f>
        <v>-3.4967059292227987E-2</v>
      </c>
      <c r="GZ132" s="72">
        <f>IF(ISERROR(((GX132/GN132)^0.2-1)*100),"NA",IF((((GX132/GN132)^0.2-1)*100)&gt;100,"NM",IF((((GX132/GN132)^0.2-1)*100)&lt;-50,"NM",((GX132/GN132)^0.2-1)*100)))</f>
        <v>-1.5198025239019808</v>
      </c>
      <c r="HA132" s="72"/>
      <c r="HB132" s="72"/>
      <c r="HC132"/>
      <c r="HD132"/>
      <c r="HE132"/>
      <c r="HF132"/>
      <c r="HG132"/>
      <c r="HH132"/>
      <c r="HI132" s="2"/>
    </row>
    <row r="133" spans="1:217" s="3" customFormat="1" ht="12.75" customHeight="1" x14ac:dyDescent="0.2">
      <c r="B133" s="77" t="s">
        <v>418</v>
      </c>
      <c r="C133" s="75"/>
      <c r="D133" s="72"/>
      <c r="E133" s="75"/>
      <c r="F133" s="72"/>
      <c r="G133" s="75"/>
      <c r="H133" s="72"/>
      <c r="I133" s="75"/>
      <c r="J133" s="72"/>
      <c r="K133" s="75"/>
      <c r="L133" s="72"/>
      <c r="M133" s="75"/>
      <c r="N133" s="72"/>
      <c r="O133" s="75"/>
      <c r="P133" s="72"/>
      <c r="Q133" s="75"/>
      <c r="R133" s="72"/>
      <c r="S133" s="75"/>
      <c r="T133" s="72"/>
      <c r="U133" s="75"/>
      <c r="V133" s="72"/>
      <c r="W133" s="75"/>
      <c r="X133" s="72"/>
      <c r="Y133" s="75"/>
      <c r="Z133" s="72"/>
      <c r="AA133" s="75"/>
      <c r="AB133" s="72"/>
      <c r="AC133" s="75"/>
      <c r="AD133" s="72"/>
      <c r="AE133" s="75"/>
      <c r="AF133" s="72"/>
      <c r="AG133" s="75"/>
      <c r="AH133" s="72"/>
      <c r="AI133" s="75"/>
      <c r="AJ133" s="72"/>
      <c r="AK133" s="75"/>
      <c r="AL133" s="72"/>
      <c r="AM133" s="75"/>
      <c r="AN133" s="72"/>
      <c r="AO133" s="75"/>
      <c r="AP133" s="72"/>
      <c r="AQ133" s="75"/>
      <c r="AR133" s="72"/>
      <c r="AS133" s="75"/>
      <c r="AT133" s="72"/>
      <c r="AU133" s="75"/>
      <c r="AV133" s="72"/>
      <c r="AW133" s="75"/>
      <c r="AX133" s="72"/>
      <c r="AY133" s="75"/>
      <c r="AZ133" s="72"/>
      <c r="BA133" s="75"/>
      <c r="BB133" s="72"/>
      <c r="BC133" s="75"/>
      <c r="BD133" s="72"/>
      <c r="BE133" s="75"/>
      <c r="BF133" s="72"/>
      <c r="BG133" s="75"/>
      <c r="BH133" s="72"/>
      <c r="BI133" s="75"/>
      <c r="BJ133" s="72"/>
      <c r="BK133" s="75"/>
      <c r="BL133" s="72"/>
      <c r="BM133" s="75"/>
      <c r="BN133" s="72"/>
      <c r="BO133" s="75"/>
      <c r="BP133" s="72"/>
      <c r="BQ133" s="75"/>
      <c r="BR133" s="72"/>
      <c r="BS133" s="75"/>
      <c r="BT133" s="72"/>
      <c r="BU133" s="75"/>
      <c r="BV133" s="72"/>
      <c r="BW133" s="75"/>
      <c r="BX133" s="72"/>
      <c r="BY133" s="75"/>
      <c r="BZ133" s="72"/>
      <c r="CA133" s="75"/>
      <c r="CB133" s="72"/>
      <c r="CC133" s="75"/>
      <c r="CD133" s="72"/>
      <c r="CE133" s="75"/>
      <c r="CF133" s="72"/>
      <c r="CG133" s="75"/>
      <c r="CH133" s="72"/>
      <c r="CI133" s="75"/>
      <c r="CJ133" s="72"/>
      <c r="CK133" s="75"/>
      <c r="CL133" s="72"/>
      <c r="CM133" s="81">
        <f>CM132/CM112*100</f>
        <v>13.517241379310343</v>
      </c>
      <c r="CN133" s="72"/>
      <c r="CO133" s="81">
        <f>CO132/CO112*100</f>
        <v>17.693315858453474</v>
      </c>
      <c r="CP133" s="72"/>
      <c r="CQ133" s="81">
        <f>CQ132/CQ112*100</f>
        <v>13.063763608087092</v>
      </c>
      <c r="CR133" s="72"/>
      <c r="CS133" s="81">
        <f>CS132/CS112*100</f>
        <v>16.644993498049416</v>
      </c>
      <c r="CT133" s="72"/>
      <c r="CU133" s="81">
        <f>CU132/CU112*100</f>
        <v>14.432989690721648</v>
      </c>
      <c r="CV133" s="72"/>
      <c r="CW133" s="81">
        <f>CW132/CW112*100</f>
        <v>7.5965130759651309</v>
      </c>
      <c r="CX133" s="72"/>
      <c r="CY133" s="81">
        <f>CY132/CY112*100</f>
        <v>14.662447257383967</v>
      </c>
      <c r="CZ133" s="72"/>
      <c r="DA133" s="81">
        <f>DA132/DA112*100</f>
        <v>13.571428571428571</v>
      </c>
      <c r="DB133" s="72"/>
      <c r="DC133" s="81">
        <f>DC132/DC112*100</f>
        <v>12.554112554112553</v>
      </c>
      <c r="DD133" s="72"/>
      <c r="DE133" s="81">
        <f>DE132/DE112*100</f>
        <v>12.541254125412541</v>
      </c>
      <c r="DF133" s="72"/>
      <c r="DG133" s="81">
        <f>DG132/DG112*100</f>
        <v>13.928914505283382</v>
      </c>
      <c r="DH133" s="72"/>
      <c r="DI133" s="81">
        <f>DI132/DI112*100</f>
        <v>13.613861386138614</v>
      </c>
      <c r="DJ133" s="72"/>
      <c r="DK133" s="81">
        <f>DK132/DK112*100</f>
        <v>10.262345679012345</v>
      </c>
      <c r="DL133" s="72"/>
      <c r="DM133" s="81">
        <f>DM132/DM112*100</f>
        <v>12.5948406676783</v>
      </c>
      <c r="DN133" s="72">
        <f t="shared" si="801"/>
        <v>0.42728216596117363</v>
      </c>
      <c r="DO133" s="81">
        <f>DO132/DO112*100</f>
        <v>13.114754098360656</v>
      </c>
      <c r="DP133" s="72">
        <f t="shared" si="801"/>
        <v>-5.8451102317693682</v>
      </c>
      <c r="DQ133" s="81">
        <f>DQ132/DQ112*100</f>
        <v>10.142749812171299</v>
      </c>
      <c r="DR133" s="72">
        <f t="shared" si="801"/>
        <v>-25.496892288778099</v>
      </c>
      <c r="DS133" s="81">
        <f>DS132/DS112*100</f>
        <v>9.2524056254626199</v>
      </c>
      <c r="DT133" s="72">
        <f t="shared" si="801"/>
        <v>-9.841220371431902</v>
      </c>
      <c r="DU133" s="81">
        <f>DU132/DU112*100</f>
        <v>15.258620689655173</v>
      </c>
      <c r="DV133" s="72">
        <f t="shared" si="801"/>
        <v>21.149771499792294</v>
      </c>
      <c r="DW133" s="81">
        <f>DW132/DW112*100</f>
        <v>13.309090909090909</v>
      </c>
      <c r="DX133" s="72">
        <f t="shared" si="801"/>
        <v>1.4818181818181841</v>
      </c>
      <c r="DY133" s="81">
        <f>DY132/DY112*100</f>
        <v>8.8344469190794364</v>
      </c>
      <c r="DZ133" s="72">
        <f t="shared" si="801"/>
        <v>-12.898897412631626</v>
      </c>
      <c r="EA133" s="81">
        <f>EA132/EA112*100</f>
        <v>12.079062957540264</v>
      </c>
      <c r="EB133" s="72">
        <f>IF(ISERROR(EA133/DS133),"NA",IF(OR(EA133/DS133&gt;2,EA133/DS133&lt;0.5),"NM",EA133/DS133*100-100))</f>
        <v>30.550512445095194</v>
      </c>
      <c r="EC133" s="81">
        <f>EC132/EC112*100</f>
        <v>11.255411255411255</v>
      </c>
      <c r="ED133" s="72">
        <f>IF(ISERROR(EC133/DU133),"NA",IF(OR(EC133/DU133&gt;2,EC133/DU133&lt;0.5),"NM",EC133/DU133*100-100))</f>
        <v>-26.23572284589234</v>
      </c>
      <c r="EE133" s="81">
        <f>EE132/EE112*100</f>
        <v>7.8723404255319149</v>
      </c>
      <c r="EF133" s="72">
        <f>IF(ISERROR(EE133/DW133),"NA",IF(OR(EE133/DW133&gt;2,EE133/DW133&lt;0.5),"NM",EE133/DW133*100-100))</f>
        <v>-40.849901174282053</v>
      </c>
      <c r="EG133" s="81">
        <f>EG132/EG112*100</f>
        <v>9.691011235955056</v>
      </c>
      <c r="EH133" s="72">
        <f>IF(ISERROR(EG133/DY133),"NA",IF(OR(EG133/DY133&gt;2,EG133/DY133&lt;0.5),"NM",EG133/DY133*100-100))</f>
        <v>9.695732225474444</v>
      </c>
      <c r="EI133" s="81">
        <f>EI132/EI112*100</f>
        <v>8.1660899653979246</v>
      </c>
      <c r="EJ133" s="72">
        <f>IF(ISERROR(EI133/EA133),"NA",IF(OR(EI133/EA133&gt;2,EI133/EA133&lt;0.5),"NM",EI133/EA133*100-100))</f>
        <v>-32.394673377372342</v>
      </c>
      <c r="EK133" s="81">
        <f>EK132/EK112*100</f>
        <v>14.678899082568808</v>
      </c>
      <c r="EL133" s="72">
        <f>IF(ISERROR(EK133/EC133),"NA",IF(OR(EK133/EC133&gt;2,EK133/EC133&lt;0.5),"NM",EK133/EC133*100-100))</f>
        <v>30.416372618207475</v>
      </c>
      <c r="EM133" s="81">
        <f>EM132/EM112*100</f>
        <v>10.630758327427356</v>
      </c>
      <c r="EN133" s="72">
        <f>IF(ISERROR(EM133/EE133),"NA",IF(OR(EM133/EE133&gt;2,EM133/EE133&lt;0.5),"NM",EM133/EE133*100-100))</f>
        <v>35.039362537590733</v>
      </c>
      <c r="EO133" s="81">
        <f>EO132/EO112*100</f>
        <v>6.6939890710382519</v>
      </c>
      <c r="EP133" s="72">
        <f>IF(ISERROR(EO133/EG133),"NA",IF(OR(EO133/EG133&gt;2,EO133/EG133&lt;0.5),"NM",EO133/EG133*100-100))</f>
        <v>-30.925793933634267</v>
      </c>
      <c r="EQ133" s="81">
        <f t="shared" ref="EQ133" si="811">EQ132/EQ112*100</f>
        <v>6.3635279379290477</v>
      </c>
      <c r="ER133" s="72">
        <f t="shared" si="802"/>
        <v>-22.073746861801084</v>
      </c>
      <c r="ES133" s="81">
        <f t="shared" ref="ES133" si="812">ES132/ES112*100</f>
        <v>8.6206957619480296</v>
      </c>
      <c r="ET133" s="72">
        <f t="shared" si="803"/>
        <v>-41.271510121729051</v>
      </c>
      <c r="EU133" s="81">
        <f t="shared" ref="EU133" si="813">EU132/EU112*100</f>
        <v>7.7626454376422043</v>
      </c>
      <c r="EV133" s="72">
        <f t="shared" si="804"/>
        <v>-26.979381916579001</v>
      </c>
      <c r="EW133" s="81">
        <f t="shared" ref="EW133" si="814">EW132/EW112*100</f>
        <v>7.4826702260686311</v>
      </c>
      <c r="EX133" s="72">
        <f t="shared" si="805"/>
        <v>11.781930724127292</v>
      </c>
      <c r="EY133" s="72"/>
      <c r="EZ133" s="306"/>
      <c r="FA133" s="72"/>
      <c r="FB133" s="75"/>
      <c r="FC133" s="72"/>
      <c r="FD133" s="75"/>
      <c r="FE133" s="72"/>
      <c r="FF133" s="75"/>
      <c r="FG133" s="72"/>
      <c r="FH133" s="75"/>
      <c r="FI133" s="72"/>
      <c r="FJ133" s="75"/>
      <c r="FK133" s="72"/>
      <c r="FL133" s="75"/>
      <c r="FM133" s="72"/>
      <c r="FN133" s="75"/>
      <c r="FO133" s="72"/>
      <c r="FP133" s="75"/>
      <c r="FQ133" s="72"/>
      <c r="FR133" s="75"/>
      <c r="FS133" s="72"/>
      <c r="FT133" s="75"/>
      <c r="FU133" s="72"/>
      <c r="FV133" s="75"/>
      <c r="FW133" s="72"/>
      <c r="FX133" s="75"/>
      <c r="FY133" s="72"/>
      <c r="FZ133" s="75"/>
      <c r="GA133" s="72"/>
      <c r="GB133" s="81">
        <f>GB132/GB112*100</f>
        <v>15.344827586206897</v>
      </c>
      <c r="GC133" s="72"/>
      <c r="GD133" s="81">
        <f>GD132/GD112*100</f>
        <v>12.652212652212652</v>
      </c>
      <c r="GE133" s="72"/>
      <c r="GF133" s="81">
        <f>GF132/GF112*100</f>
        <v>13.138528138528137</v>
      </c>
      <c r="GG133" s="72"/>
      <c r="GH133" s="81">
        <f>GH132/GH112*100</f>
        <v>11.51932644469958</v>
      </c>
      <c r="GI133" s="72">
        <f t="shared" si="806"/>
        <v>-12.324072200144869</v>
      </c>
      <c r="GJ133" s="81">
        <f>GJ132/GJ112*100</f>
        <v>11.54213644181158</v>
      </c>
      <c r="GK133" s="72">
        <f t="shared" si="806"/>
        <v>0.19801502476298083</v>
      </c>
      <c r="GL133" s="81">
        <f>GL132/GL112*100</f>
        <v>10.158730158730158</v>
      </c>
      <c r="GM133" s="72">
        <f t="shared" si="806"/>
        <v>-11.985703773783257</v>
      </c>
      <c r="GN133" s="81">
        <f>GN132/GN112*100</f>
        <v>9.2882991556091667</v>
      </c>
      <c r="GO133" s="72">
        <f t="shared" si="806"/>
        <v>-8.5683051869722533</v>
      </c>
      <c r="GP133" s="81">
        <f>GP132/GP112*100</f>
        <v>7.5227567833614204</v>
      </c>
      <c r="GQ133" s="72">
        <f t="shared" si="806"/>
        <v>-19.008241903810159</v>
      </c>
      <c r="GR133" s="81">
        <f>GR132/GR112*100</f>
        <v>7.1003278997463424</v>
      </c>
      <c r="GS133" s="72">
        <f t="shared" si="806"/>
        <v>-5.6153468173980059</v>
      </c>
      <c r="GT133" s="81">
        <f>GT132/GT112*100</f>
        <v>6.6826263098697378</v>
      </c>
      <c r="GU133" s="72">
        <f t="shared" si="806"/>
        <v>-5.8828492961786623</v>
      </c>
      <c r="GV133" s="81">
        <f>GV132/GV112*100</f>
        <v>6.3704187165912476</v>
      </c>
      <c r="GW133" s="72">
        <f>IF(ISERROR(GV133/GT133),"NA",IF(OR(GV133/GT133&gt;2,GV133/GT133&lt;0.5),"NM",GV133/GT133*100-100))</f>
        <v>-4.6719295498744771</v>
      </c>
      <c r="GX133" s="81">
        <f>GX132/GX112*100</f>
        <v>6.060961793161515</v>
      </c>
      <c r="GY133" s="72">
        <f>IF(ISERROR(GX133/GV133),"NA",IF(OR(GX133/GV133&gt;2,GX133/GV133&lt;0.5),"NM",GX133/GV133*100-100))</f>
        <v>-4.8577171642387782</v>
      </c>
      <c r="GZ133" s="72"/>
      <c r="HA133" s="72"/>
      <c r="HB133" s="72"/>
      <c r="HC133"/>
      <c r="HD133"/>
      <c r="HE133"/>
      <c r="HF133"/>
      <c r="HG133"/>
      <c r="HH133"/>
      <c r="HI133" s="2"/>
    </row>
    <row r="134" spans="1:217" s="3" customFormat="1" ht="12.75" customHeight="1" x14ac:dyDescent="0.2">
      <c r="B134" s="10"/>
      <c r="C134" s="74"/>
      <c r="D134" s="72"/>
      <c r="E134" s="74"/>
      <c r="F134" s="72"/>
      <c r="G134" s="74"/>
      <c r="H134" s="72"/>
      <c r="I134" s="74"/>
      <c r="J134" s="72"/>
      <c r="K134" s="74"/>
      <c r="L134" s="72"/>
      <c r="M134" s="74"/>
      <c r="N134" s="72"/>
      <c r="O134" s="74"/>
      <c r="P134" s="72"/>
      <c r="Q134" s="74"/>
      <c r="R134" s="72"/>
      <c r="S134" s="74"/>
      <c r="T134" s="72"/>
      <c r="U134" s="74"/>
      <c r="V134" s="72"/>
      <c r="W134" s="74"/>
      <c r="X134" s="72"/>
      <c r="Y134" s="74"/>
      <c r="Z134" s="72"/>
      <c r="AA134" s="74"/>
      <c r="AB134" s="72"/>
      <c r="AC134" s="74"/>
      <c r="AD134" s="72"/>
      <c r="AE134" s="74"/>
      <c r="AF134" s="72"/>
      <c r="AG134" s="74"/>
      <c r="AH134" s="72"/>
      <c r="AI134" s="74"/>
      <c r="AJ134" s="72"/>
      <c r="AK134" s="74"/>
      <c r="AL134" s="72"/>
      <c r="AM134" s="74"/>
      <c r="AN134" s="72"/>
      <c r="AO134" s="74"/>
      <c r="AP134" s="72"/>
      <c r="AQ134" s="74"/>
      <c r="AR134" s="72"/>
      <c r="AS134" s="74"/>
      <c r="AT134" s="72"/>
      <c r="AU134" s="74"/>
      <c r="AV134" s="72"/>
      <c r="AW134" s="74"/>
      <c r="AX134" s="72"/>
      <c r="AY134" s="74"/>
      <c r="AZ134" s="72"/>
      <c r="BA134" s="74"/>
      <c r="BB134" s="72"/>
      <c r="BC134" s="74"/>
      <c r="BD134" s="72"/>
      <c r="BE134" s="74"/>
      <c r="BF134" s="72"/>
      <c r="BG134" s="74"/>
      <c r="BH134" s="72"/>
      <c r="BI134" s="74"/>
      <c r="BJ134" s="72"/>
      <c r="BK134" s="74"/>
      <c r="BL134" s="72"/>
      <c r="BM134" s="74"/>
      <c r="BN134" s="72"/>
      <c r="BO134" s="74"/>
      <c r="BP134" s="72"/>
      <c r="BQ134" s="74"/>
      <c r="BR134" s="72"/>
      <c r="BS134" s="74"/>
      <c r="BT134" s="72"/>
      <c r="BU134" s="74"/>
      <c r="BV134" s="72"/>
      <c r="BW134" s="74"/>
      <c r="BX134" s="72"/>
      <c r="BY134" s="74"/>
      <c r="BZ134" s="72"/>
      <c r="CA134" s="74"/>
      <c r="CB134" s="72"/>
      <c r="CC134" s="74"/>
      <c r="CD134" s="72"/>
      <c r="CE134" s="74"/>
      <c r="CF134" s="72"/>
      <c r="CG134" s="74"/>
      <c r="CH134" s="72"/>
      <c r="CI134" s="74"/>
      <c r="CJ134" s="72"/>
      <c r="CK134" s="74"/>
      <c r="CL134" s="72"/>
      <c r="CM134" s="74"/>
      <c r="CN134" s="72"/>
      <c r="CO134" s="74"/>
      <c r="CP134" s="72"/>
      <c r="CQ134" s="74"/>
      <c r="CR134" s="72"/>
      <c r="CS134" s="74"/>
      <c r="CT134" s="72"/>
      <c r="CU134" s="74"/>
      <c r="CV134" s="72"/>
      <c r="CW134" s="74"/>
      <c r="CX134" s="72"/>
      <c r="CY134" s="74"/>
      <c r="CZ134" s="72"/>
      <c r="DA134" s="74"/>
      <c r="DB134" s="72"/>
      <c r="DC134" s="74"/>
      <c r="DD134" s="72"/>
      <c r="DE134" s="74"/>
      <c r="DF134" s="72"/>
      <c r="DG134" s="74"/>
      <c r="DH134" s="72"/>
      <c r="DI134" s="74"/>
      <c r="DJ134" s="72"/>
      <c r="DK134" s="74"/>
      <c r="DL134" s="72"/>
      <c r="DM134" s="74"/>
      <c r="DN134" s="72"/>
      <c r="DO134" s="74"/>
      <c r="DP134" s="72"/>
      <c r="DQ134" s="74"/>
      <c r="DR134" s="72"/>
      <c r="DS134" s="74"/>
      <c r="DT134" s="72"/>
      <c r="DU134" s="74"/>
      <c r="DV134" s="72"/>
      <c r="DW134" s="75"/>
      <c r="DX134" s="72"/>
      <c r="DY134" s="75"/>
      <c r="DZ134" s="72"/>
      <c r="EA134" s="75"/>
      <c r="EB134" s="72"/>
      <c r="EC134" s="75"/>
      <c r="ED134" s="72"/>
      <c r="EE134" s="75"/>
      <c r="EF134" s="72"/>
      <c r="EG134" s="75"/>
      <c r="EH134" s="72"/>
      <c r="EI134" s="75"/>
      <c r="EJ134" s="72"/>
      <c r="EK134" s="75"/>
      <c r="EL134" s="72"/>
      <c r="EM134" s="75"/>
      <c r="EN134" s="72"/>
      <c r="EO134" s="75"/>
      <c r="EP134" s="72"/>
      <c r="EQ134" s="75"/>
      <c r="ER134" s="72"/>
      <c r="ES134" s="75"/>
      <c r="ET134" s="72"/>
      <c r="EU134" s="75"/>
      <c r="EV134" s="72"/>
      <c r="EW134" s="75"/>
      <c r="EX134" s="72"/>
      <c r="EY134" s="72"/>
      <c r="EZ134" s="307"/>
      <c r="FA134" s="72"/>
      <c r="FB134" s="74"/>
      <c r="FC134" s="72"/>
      <c r="FD134" s="75"/>
      <c r="FE134" s="72"/>
      <c r="FF134" s="75"/>
      <c r="FG134" s="72"/>
      <c r="FH134" s="75"/>
      <c r="FI134" s="72"/>
      <c r="FJ134" s="75"/>
      <c r="FK134" s="72"/>
      <c r="FL134" s="75"/>
      <c r="FM134" s="72"/>
      <c r="FN134" s="75"/>
      <c r="FO134" s="72"/>
      <c r="FP134" s="74"/>
      <c r="FQ134" s="72"/>
      <c r="FR134" s="75"/>
      <c r="FS134" s="72"/>
      <c r="FT134" s="75"/>
      <c r="FU134" s="72"/>
      <c r="FV134" s="75"/>
      <c r="FW134" s="72"/>
      <c r="FX134" s="75"/>
      <c r="FY134" s="72"/>
      <c r="FZ134" s="81"/>
      <c r="GA134" s="72"/>
      <c r="GB134" s="81"/>
      <c r="GC134" s="72"/>
      <c r="GD134" s="81"/>
      <c r="GE134" s="72"/>
      <c r="GF134" s="81"/>
      <c r="GG134" s="72"/>
      <c r="GH134" s="81"/>
      <c r="GI134" s="72"/>
      <c r="GJ134" s="81"/>
      <c r="GK134" s="72"/>
      <c r="GL134" s="81"/>
      <c r="GM134" s="72"/>
      <c r="GN134" s="81"/>
      <c r="GO134" s="72"/>
      <c r="GP134" s="81"/>
      <c r="GQ134" s="72"/>
      <c r="GR134" s="75"/>
      <c r="GS134" s="72"/>
      <c r="GT134" s="75"/>
      <c r="GU134" s="72"/>
      <c r="GV134" s="75"/>
      <c r="GW134" s="72"/>
      <c r="GX134" s="75"/>
      <c r="GY134" s="72"/>
      <c r="GZ134" s="72"/>
      <c r="HA134" s="72"/>
      <c r="HB134" s="72"/>
      <c r="HC134"/>
      <c r="HD134"/>
      <c r="HE134"/>
      <c r="HF134"/>
      <c r="HG134"/>
      <c r="HH134"/>
      <c r="HI134" s="2"/>
    </row>
    <row r="135" spans="1:217" s="3" customFormat="1" ht="12.75" customHeight="1" x14ac:dyDescent="0.2">
      <c r="B135" s="10" t="s">
        <v>472</v>
      </c>
      <c r="C135" s="145"/>
      <c r="D135" s="11"/>
      <c r="E135" s="145"/>
      <c r="F135" s="11"/>
      <c r="G135" s="145"/>
      <c r="H135" s="11"/>
      <c r="I135" s="145"/>
      <c r="J135" s="11"/>
      <c r="K135" s="145"/>
      <c r="L135" s="72"/>
      <c r="M135" s="145"/>
      <c r="N135" s="72"/>
      <c r="O135" s="145"/>
      <c r="P135" s="72"/>
      <c r="Q135" s="145"/>
      <c r="R135" s="72"/>
      <c r="S135" s="145"/>
      <c r="T135" s="72"/>
      <c r="U135" s="145"/>
      <c r="V135" s="72"/>
      <c r="W135" s="145"/>
      <c r="X135" s="72"/>
      <c r="Y135" s="145"/>
      <c r="Z135" s="72"/>
      <c r="AA135" s="145"/>
      <c r="AB135" s="72"/>
      <c r="AC135" s="145"/>
      <c r="AD135" s="72"/>
      <c r="AE135" s="145"/>
      <c r="AF135" s="72"/>
      <c r="AG135" s="145"/>
      <c r="AH135" s="72"/>
      <c r="AI135" s="145"/>
      <c r="AJ135" s="72"/>
      <c r="AK135" s="145"/>
      <c r="AL135" s="72"/>
      <c r="AM135" s="145"/>
      <c r="AN135" s="72"/>
      <c r="AO135" s="145"/>
      <c r="AP135" s="72"/>
      <c r="AQ135" s="145"/>
      <c r="AR135" s="72"/>
      <c r="AS135" s="145"/>
      <c r="AT135" s="72"/>
      <c r="AU135" s="145"/>
      <c r="AV135" s="72"/>
      <c r="AW135" s="145"/>
      <c r="AX135" s="72"/>
      <c r="AY135" s="145"/>
      <c r="AZ135" s="72"/>
      <c r="BA135" s="145"/>
      <c r="BB135" s="72"/>
      <c r="BC135" s="145"/>
      <c r="BD135" s="72"/>
      <c r="BE135" s="145"/>
      <c r="BF135" s="72"/>
      <c r="BG135" s="145"/>
      <c r="BH135" s="72"/>
      <c r="BI135" s="145"/>
      <c r="BJ135" s="72"/>
      <c r="BK135" s="145"/>
      <c r="BL135" s="72"/>
      <c r="BM135" s="145"/>
      <c r="BN135" s="72"/>
      <c r="BO135" s="145"/>
      <c r="BP135" s="72"/>
      <c r="BQ135" s="145"/>
      <c r="BR135" s="72"/>
      <c r="BS135" s="145"/>
      <c r="BT135" s="72"/>
      <c r="BU135" s="145"/>
      <c r="BV135" s="72"/>
      <c r="BW135" s="145"/>
      <c r="BX135" s="72"/>
      <c r="BY135" s="145"/>
      <c r="BZ135" s="72"/>
      <c r="CA135" s="145"/>
      <c r="CB135" s="72"/>
      <c r="CC135" s="145"/>
      <c r="CD135" s="72"/>
      <c r="CE135" s="145"/>
      <c r="CF135" s="72"/>
      <c r="CG135" s="145"/>
      <c r="CH135" s="72"/>
      <c r="CI135" s="145"/>
      <c r="CJ135" s="72"/>
      <c r="CK135" s="145"/>
      <c r="CL135" s="72"/>
      <c r="CM135" s="145"/>
      <c r="CN135" s="72"/>
      <c r="CO135" s="145"/>
      <c r="CP135" s="72"/>
      <c r="CQ135" s="145"/>
      <c r="CR135" s="72"/>
      <c r="CS135" s="145"/>
      <c r="CT135" s="72"/>
      <c r="CU135" s="145"/>
      <c r="CV135" s="72"/>
      <c r="CW135" s="418">
        <v>-50</v>
      </c>
      <c r="CX135" s="72"/>
      <c r="CY135" s="145">
        <v>40</v>
      </c>
      <c r="CZ135" s="72"/>
      <c r="DA135" s="145"/>
      <c r="DB135" s="72"/>
      <c r="DC135" s="418">
        <v>19</v>
      </c>
      <c r="DD135" s="72"/>
      <c r="DE135" s="418">
        <v>20</v>
      </c>
      <c r="DF135" s="72"/>
      <c r="DG135" s="150">
        <v>0</v>
      </c>
      <c r="DH135" s="72"/>
      <c r="DI135" s="150">
        <v>30</v>
      </c>
      <c r="DJ135" s="72"/>
      <c r="DK135" s="150">
        <f>-20+15</f>
        <v>-5</v>
      </c>
      <c r="DL135" s="72"/>
      <c r="DM135" s="150">
        <v>15</v>
      </c>
      <c r="DN135" s="72">
        <f t="shared" ref="DN135:DZ136" si="815">IF(ISERROR(DM135/DE135),"NA",IF(OR(DM135/DE135&gt;2,DM135/DE135&lt;0.5),"NM",DM135/DE135*100-100))</f>
        <v>-25</v>
      </c>
      <c r="DO135" s="150">
        <v>38</v>
      </c>
      <c r="DP135" s="72" t="str">
        <f t="shared" si="815"/>
        <v>NA</v>
      </c>
      <c r="DQ135" s="150">
        <v>0</v>
      </c>
      <c r="DR135" s="72" t="str">
        <f t="shared" si="815"/>
        <v>NM</v>
      </c>
      <c r="DS135" s="150">
        <f>-35+10</f>
        <v>-25</v>
      </c>
      <c r="DT135" s="72" t="str">
        <f t="shared" si="815"/>
        <v>NM</v>
      </c>
      <c r="DU135" s="74">
        <v>30</v>
      </c>
      <c r="DV135" s="72">
        <f t="shared" si="815"/>
        <v>100</v>
      </c>
      <c r="DW135" s="74">
        <v>25</v>
      </c>
      <c r="DX135" s="72">
        <f t="shared" si="815"/>
        <v>-34.210526315789465</v>
      </c>
      <c r="DY135" s="723">
        <f>-5-5-20</f>
        <v>-30</v>
      </c>
      <c r="DZ135" s="72" t="str">
        <f t="shared" si="815"/>
        <v>NA</v>
      </c>
      <c r="EA135" s="74">
        <f>-35-10</f>
        <v>-45</v>
      </c>
      <c r="EB135" s="72">
        <f>IF(ISERROR(EA135/DS135),"NA",IF(OR(EA135/DS135&gt;2,EA135/DS135&lt;0.5),"NM",EA135/DS135*100-100))</f>
        <v>80</v>
      </c>
      <c r="EC135" s="74">
        <f>-20-5</f>
        <v>-25</v>
      </c>
      <c r="ED135" s="72" t="str">
        <f>IF(ISERROR(EC135/DU135),"NA",IF(OR(EC135/DU135&gt;2,EC135/DU135&lt;0.5),"NM",EC135/DU135*100-100))</f>
        <v>NM</v>
      </c>
      <c r="EE135" s="74">
        <f>-30-20+10</f>
        <v>-40</v>
      </c>
      <c r="EF135" s="72" t="str">
        <f>IF(ISERROR(EE135/DW135),"NA",IF(OR(EE135/DW135&gt;2,EE135/DW135&lt;0.5),"NM",EE135/DW135*100-100))</f>
        <v>NM</v>
      </c>
      <c r="EG135" s="74">
        <v>5</v>
      </c>
      <c r="EH135" s="72" t="str">
        <f>IF(ISERROR(EG135/DY135),"NA",IF(OR(EG135/DY135&gt;2,EG135/DY135&lt;0.5),"NM",EG135/DY135*100-100))</f>
        <v>NM</v>
      </c>
      <c r="EI135" s="74">
        <v>-38</v>
      </c>
      <c r="EJ135" s="72">
        <f>IF(ISERROR(EI135/EA135),"NA",IF(OR(EI135/EA135&gt;2,EI135/EA135&lt;0.5),"NM",EI135/EA135*100-100))</f>
        <v>-15.555555555555557</v>
      </c>
      <c r="EK135" s="74">
        <v>-10</v>
      </c>
      <c r="EL135" s="72" t="str">
        <f>IF(ISERROR(EK135/EC135),"NA",IF(OR(EK135/EC135&gt;2,EK135/EC135&lt;0.5),"NM",EK135/EC135*100-100))</f>
        <v>NM</v>
      </c>
      <c r="EM135" s="74">
        <v>25</v>
      </c>
      <c r="EN135" s="72" t="str">
        <f>IF(ISERROR(EM135/EE135),"NA",IF(OR(EM135/EE135&gt;2,EM135/EE135&lt;0.5),"NM",EM135/EE135*100-100))</f>
        <v>NM</v>
      </c>
      <c r="EO135" s="74">
        <f>-25+5</f>
        <v>-20</v>
      </c>
      <c r="EP135" s="72" t="str">
        <f>IF(ISERROR(EO135/EG135),"NA",IF(OR(EO135/EG135&gt;2,EO135/EG135&lt;0.5),"NM",EO135/EG135*100-100))</f>
        <v>NM</v>
      </c>
      <c r="EQ135" s="144"/>
      <c r="ER135" s="72" t="str">
        <f t="shared" ref="ER135:ER136" si="816">IF(ISERROR(EQ135/EI135),"NA",IF(OR(EQ135/EI135&gt;2,EQ135/EI135&lt;0.5),"NM",EQ135/EI135*100-100))</f>
        <v>NM</v>
      </c>
      <c r="ES135" s="144"/>
      <c r="ET135" s="72" t="str">
        <f t="shared" ref="ET135:ET136" si="817">IF(ISERROR(ES135/EK135),"NA",IF(OR(ES135/EK135&gt;2,ES135/EK135&lt;0.5),"NM",ES135/EK135*100-100))</f>
        <v>NM</v>
      </c>
      <c r="EU135" s="144"/>
      <c r="EV135" s="72" t="str">
        <f t="shared" ref="EV135:EV136" si="818">IF(ISERROR(EU135/EM135),"NA",IF(OR(EU135/EM135&gt;2,EU135/EM135&lt;0.5),"NM",EU135/EM135*100-100))</f>
        <v>NM</v>
      </c>
      <c r="EW135" s="144"/>
      <c r="EX135" s="72" t="str">
        <f t="shared" ref="EX135:EX136" si="819">IF(ISERROR(EW135/EO135),"NA",IF(OR(EW135/EO135&gt;2,EW135/EO135&lt;0.5),"NM",EW135/EO135*100-100))</f>
        <v>NM</v>
      </c>
      <c r="EY135" s="72"/>
      <c r="EZ135" s="296"/>
      <c r="FA135" s="72"/>
      <c r="FB135" s="145"/>
      <c r="FC135" s="11"/>
      <c r="FD135" s="145"/>
      <c r="FE135" s="72"/>
      <c r="FF135" s="145"/>
      <c r="FG135" s="72"/>
      <c r="FH135" s="145"/>
      <c r="FI135" s="72"/>
      <c r="FJ135" s="145"/>
      <c r="FK135" s="72"/>
      <c r="FL135" s="145"/>
      <c r="FM135" s="72"/>
      <c r="FN135" s="145"/>
      <c r="FO135" s="72"/>
      <c r="FP135" s="145"/>
      <c r="FQ135" s="72"/>
      <c r="FR135" s="144"/>
      <c r="FS135" s="72"/>
      <c r="FT135" s="144"/>
      <c r="FU135" s="72"/>
      <c r="FV135" s="144"/>
      <c r="FW135" s="72"/>
      <c r="FX135" s="144"/>
      <c r="FY135" s="72"/>
      <c r="FZ135" s="144"/>
      <c r="GA135" s="72"/>
      <c r="GB135" s="144"/>
      <c r="GC135" s="72"/>
      <c r="GD135" s="144"/>
      <c r="GE135" s="72"/>
      <c r="GF135" s="144">
        <f>DC135+DE135+DG135+DI135</f>
        <v>69</v>
      </c>
      <c r="GG135" s="72"/>
      <c r="GH135" s="144"/>
      <c r="GI135" s="72"/>
      <c r="GJ135" s="144"/>
      <c r="GK135" s="72"/>
      <c r="GL135" s="144"/>
      <c r="GM135" s="72"/>
      <c r="GN135" s="144"/>
      <c r="GO135" s="72"/>
      <c r="GP135" s="144"/>
      <c r="GQ135" s="72"/>
      <c r="GR135" s="144"/>
      <c r="GS135" s="72"/>
      <c r="GT135" s="144"/>
      <c r="GU135" s="72"/>
      <c r="GV135" s="144"/>
      <c r="GW135" s="72"/>
      <c r="GX135" s="144"/>
      <c r="GY135" s="72"/>
      <c r="GZ135" s="72"/>
      <c r="HA135" s="72"/>
      <c r="HB135" s="72"/>
      <c r="HC135"/>
      <c r="HD135"/>
      <c r="HE135"/>
      <c r="HF135"/>
      <c r="HG135"/>
      <c r="HH135"/>
      <c r="HI135" s="2"/>
    </row>
    <row r="136" spans="1:217" s="78" customFormat="1" ht="12.75" customHeight="1" x14ac:dyDescent="0.2">
      <c r="A136" s="3"/>
      <c r="B136" s="70" t="s">
        <v>424</v>
      </c>
      <c r="C136" s="91"/>
      <c r="D136" s="80"/>
      <c r="E136" s="91"/>
      <c r="F136" s="80"/>
      <c r="G136" s="91"/>
      <c r="H136" s="80"/>
      <c r="I136" s="91"/>
      <c r="J136" s="80"/>
      <c r="K136" s="91"/>
      <c r="L136" s="72"/>
      <c r="M136" s="91"/>
      <c r="N136" s="72"/>
      <c r="O136" s="91"/>
      <c r="P136" s="72"/>
      <c r="Q136" s="91"/>
      <c r="R136" s="72"/>
      <c r="S136" s="91"/>
      <c r="T136" s="72"/>
      <c r="U136" s="91"/>
      <c r="V136" s="72"/>
      <c r="W136" s="91"/>
      <c r="X136" s="72"/>
      <c r="Y136" s="91"/>
      <c r="Z136" s="72"/>
      <c r="AA136" s="91"/>
      <c r="AB136" s="72"/>
      <c r="AC136" s="91"/>
      <c r="AD136" s="72"/>
      <c r="AE136" s="91"/>
      <c r="AF136" s="72"/>
      <c r="AG136" s="91"/>
      <c r="AH136" s="72"/>
      <c r="AI136" s="91"/>
      <c r="AJ136" s="72"/>
      <c r="AK136" s="91"/>
      <c r="AL136" s="72"/>
      <c r="AM136" s="91"/>
      <c r="AN136" s="72"/>
      <c r="AO136" s="91"/>
      <c r="AP136" s="72"/>
      <c r="AQ136" s="91"/>
      <c r="AR136" s="72"/>
      <c r="AS136" s="91"/>
      <c r="AT136" s="72"/>
      <c r="AU136" s="91"/>
      <c r="AV136" s="72"/>
      <c r="AW136" s="91"/>
      <c r="AX136" s="72"/>
      <c r="AY136" s="91"/>
      <c r="AZ136" s="72"/>
      <c r="BA136" s="91"/>
      <c r="BB136" s="72"/>
      <c r="BC136" s="91"/>
      <c r="BD136" s="72"/>
      <c r="BE136" s="91"/>
      <c r="BF136" s="72"/>
      <c r="BG136" s="91"/>
      <c r="BH136" s="72"/>
      <c r="BI136" s="91"/>
      <c r="BJ136" s="72"/>
      <c r="BK136" s="91"/>
      <c r="BL136" s="72"/>
      <c r="BM136" s="91"/>
      <c r="BN136" s="72"/>
      <c r="BO136" s="91"/>
      <c r="BP136" s="72"/>
      <c r="BQ136" s="91"/>
      <c r="BR136" s="72"/>
      <c r="BS136" s="91"/>
      <c r="BT136" s="72"/>
      <c r="BU136" s="91"/>
      <c r="BV136" s="72"/>
      <c r="BW136" s="91"/>
      <c r="BX136" s="72"/>
      <c r="BY136" s="91"/>
      <c r="BZ136" s="72"/>
      <c r="CA136" s="91"/>
      <c r="CB136" s="72"/>
      <c r="CC136" s="91"/>
      <c r="CD136" s="72"/>
      <c r="CE136" s="91"/>
      <c r="CF136" s="72"/>
      <c r="CG136" s="91"/>
      <c r="CH136" s="72"/>
      <c r="CI136" s="91"/>
      <c r="CJ136" s="72"/>
      <c r="CK136" s="91"/>
      <c r="CL136" s="72"/>
      <c r="CM136" s="91"/>
      <c r="CN136" s="72"/>
      <c r="CO136" s="91"/>
      <c r="CP136" s="72"/>
      <c r="CQ136" s="91"/>
      <c r="CR136" s="72"/>
      <c r="CS136" s="91"/>
      <c r="CT136" s="72"/>
      <c r="CU136" s="91"/>
      <c r="CV136" s="72"/>
      <c r="CW136" s="91">
        <f>CW132-CW135</f>
        <v>111</v>
      </c>
      <c r="CX136" s="72"/>
      <c r="CY136" s="91">
        <f>CY132-CY135</f>
        <v>99</v>
      </c>
      <c r="CZ136" s="72"/>
      <c r="DA136" s="91">
        <f>DA132-DA135</f>
        <v>114</v>
      </c>
      <c r="DB136" s="72"/>
      <c r="DC136" s="91">
        <f>DC132-DC135</f>
        <v>126</v>
      </c>
      <c r="DD136" s="72"/>
      <c r="DE136" s="91">
        <f>DE132-DE135</f>
        <v>132</v>
      </c>
      <c r="DF136" s="72"/>
      <c r="DG136" s="91">
        <f>DG132-DG135</f>
        <v>145</v>
      </c>
      <c r="DH136" s="72"/>
      <c r="DI136" s="91">
        <f>DI132-DI135</f>
        <v>135</v>
      </c>
      <c r="DJ136" s="72"/>
      <c r="DK136" s="91">
        <f>DK132-DK135</f>
        <v>138</v>
      </c>
      <c r="DL136" s="72"/>
      <c r="DM136" s="91">
        <f>DM132-DM135</f>
        <v>151</v>
      </c>
      <c r="DN136" s="72">
        <f t="shared" si="815"/>
        <v>14.393939393939405</v>
      </c>
      <c r="DO136" s="91">
        <f>DO132-DO135</f>
        <v>130</v>
      </c>
      <c r="DP136" s="72">
        <f t="shared" si="815"/>
        <v>-10.34482758620689</v>
      </c>
      <c r="DQ136" s="91">
        <f>DQ132-DQ135</f>
        <v>135</v>
      </c>
      <c r="DR136" s="72">
        <f t="shared" si="815"/>
        <v>0</v>
      </c>
      <c r="DS136" s="91">
        <f>DS132-DS135</f>
        <v>150</v>
      </c>
      <c r="DT136" s="72">
        <f t="shared" si="815"/>
        <v>8.6956521739130324</v>
      </c>
      <c r="DU136" s="91">
        <f>DU132-DU135</f>
        <v>147</v>
      </c>
      <c r="DV136" s="72">
        <f t="shared" si="815"/>
        <v>-2.6490066225165521</v>
      </c>
      <c r="DW136" s="91">
        <f>DW132-DW135</f>
        <v>158</v>
      </c>
      <c r="DX136" s="72">
        <f t="shared" si="815"/>
        <v>21.538461538461533</v>
      </c>
      <c r="DY136" s="91">
        <f>DY132-DY135</f>
        <v>149</v>
      </c>
      <c r="DZ136" s="72">
        <f t="shared" si="815"/>
        <v>10.370370370370367</v>
      </c>
      <c r="EA136" s="91">
        <f>EA132-EA135</f>
        <v>210</v>
      </c>
      <c r="EB136" s="72">
        <f>IF(ISERROR(EA136/DS136),"NA",IF(OR(EA136/DS136&gt;2,EA136/DS136&lt;0.5),"NM",EA136/DS136*100-100))</f>
        <v>40</v>
      </c>
      <c r="EC136" s="91">
        <f>EC132-EC135</f>
        <v>155</v>
      </c>
      <c r="ED136" s="72">
        <f>IF(ISERROR(EC136/DU136),"NA",IF(OR(EC136/DU136&gt;2,EC136/DU136&lt;0.5),"NM",EC136/DU136*100-100))</f>
        <v>5.4421768707483125</v>
      </c>
      <c r="EE136" s="91">
        <f>EE132-EE135</f>
        <v>151</v>
      </c>
      <c r="EF136" s="72">
        <f>IF(ISERROR(EE136/DW136),"NA",IF(OR(EE136/DW136&gt;2,EE136/DW136&lt;0.5),"NM",EE136/DW136*100-100))</f>
        <v>-4.4303797468354418</v>
      </c>
      <c r="EG136" s="91">
        <f>EG132-EG135</f>
        <v>133</v>
      </c>
      <c r="EH136" s="72">
        <f>IF(ISERROR(EG136/DY136),"NA",IF(OR(EG136/DY136&gt;2,EG136/DY136&lt;0.5),"NM",EG136/DY136*100-100))</f>
        <v>-10.738255033557039</v>
      </c>
      <c r="EI136" s="91">
        <f>EI132-EI135</f>
        <v>156</v>
      </c>
      <c r="EJ136" s="72">
        <f>IF(ISERROR(EI136/EA136),"NA",IF(OR(EI136/EA136&gt;2,EI136/EA136&lt;0.5),"NM",EI136/EA136*100-100))</f>
        <v>-25.714285714285708</v>
      </c>
      <c r="EK136" s="91">
        <f>EK132-EK135</f>
        <v>106</v>
      </c>
      <c r="EL136" s="72">
        <f>IF(ISERROR(EK136/EC136),"NA",IF(OR(EK136/EC136&gt;2,EK136/EC136&lt;0.5),"NM",EK136/EC136*100-100))</f>
        <v>-31.612903225806448</v>
      </c>
      <c r="EM136" s="91">
        <f>EM132-EM135</f>
        <v>125</v>
      </c>
      <c r="EN136" s="72">
        <f>IF(ISERROR(EM136/EE136),"NA",IF(OR(EM136/EE136&gt;2,EM136/EE136&lt;0.5),"NM",EM136/EE136*100-100))</f>
        <v>-17.21854304635761</v>
      </c>
      <c r="EO136" s="91">
        <f>EO132-EO135</f>
        <v>118</v>
      </c>
      <c r="EP136" s="72">
        <f>IF(ISERROR(EO136/EG136),"NA",IF(OR(EO136/EG136&gt;2,EO136/EG136&lt;0.5),"NM",EO136/EG136*100-100))</f>
        <v>-11.278195488721806</v>
      </c>
      <c r="EQ136" s="91"/>
      <c r="ER136" s="72" t="str">
        <f t="shared" si="816"/>
        <v>NM</v>
      </c>
      <c r="ES136" s="91"/>
      <c r="ET136" s="72" t="str">
        <f t="shared" si="817"/>
        <v>NM</v>
      </c>
      <c r="EU136" s="91"/>
      <c r="EV136" s="72" t="str">
        <f t="shared" si="818"/>
        <v>NM</v>
      </c>
      <c r="EW136" s="91"/>
      <c r="EX136" s="72" t="str">
        <f t="shared" si="819"/>
        <v>NM</v>
      </c>
      <c r="EY136" s="72"/>
      <c r="EZ136" s="314"/>
      <c r="FA136" s="72"/>
      <c r="FB136" s="91"/>
      <c r="FC136" s="80"/>
      <c r="FD136" s="91"/>
      <c r="FE136" s="72"/>
      <c r="FF136" s="91"/>
      <c r="FG136" s="72"/>
      <c r="FH136" s="91"/>
      <c r="FI136" s="72"/>
      <c r="FJ136" s="91"/>
      <c r="FK136" s="72"/>
      <c r="FL136" s="91"/>
      <c r="FM136" s="72"/>
      <c r="FN136" s="75"/>
      <c r="FO136" s="72"/>
      <c r="FP136" s="91"/>
      <c r="FQ136" s="72"/>
      <c r="FR136" s="91"/>
      <c r="FS136" s="72"/>
      <c r="FT136" s="91"/>
      <c r="FU136" s="72"/>
      <c r="FV136" s="91"/>
      <c r="FW136" s="72"/>
      <c r="FX136" s="91"/>
      <c r="FY136" s="72"/>
      <c r="FZ136" s="91"/>
      <c r="GA136" s="72"/>
      <c r="GB136" s="91"/>
      <c r="GC136" s="72"/>
      <c r="GD136" s="91"/>
      <c r="GE136" s="72"/>
      <c r="GF136" s="91">
        <f>GF132-GF135</f>
        <v>538</v>
      </c>
      <c r="GG136" s="72"/>
      <c r="GH136" s="91"/>
      <c r="GI136" s="72"/>
      <c r="GJ136" s="91"/>
      <c r="GK136" s="72"/>
      <c r="GL136" s="91"/>
      <c r="GM136" s="72"/>
      <c r="GN136" s="91"/>
      <c r="GO136" s="72"/>
      <c r="GP136" s="91"/>
      <c r="GQ136" s="72"/>
      <c r="GR136" s="91"/>
      <c r="GS136" s="72"/>
      <c r="GT136" s="91"/>
      <c r="GU136" s="72"/>
      <c r="GV136" s="91"/>
      <c r="GW136" s="72"/>
      <c r="GX136" s="91"/>
      <c r="GY136" s="72"/>
      <c r="GZ136" s="72"/>
      <c r="HA136" s="72"/>
      <c r="HB136" s="72"/>
      <c r="HC136"/>
      <c r="HD136"/>
      <c r="HE136"/>
      <c r="HF136"/>
      <c r="HG136"/>
      <c r="HH136"/>
      <c r="HI136" s="2"/>
    </row>
    <row r="137" spans="1:217" s="3" customFormat="1" ht="12.75" customHeight="1" x14ac:dyDescent="0.2">
      <c r="B137" s="10"/>
      <c r="C137" s="9"/>
      <c r="D137" s="11"/>
      <c r="E137" s="9"/>
      <c r="F137" s="11"/>
      <c r="G137" s="9"/>
      <c r="H137" s="11"/>
      <c r="I137" s="9"/>
      <c r="J137" s="11"/>
      <c r="K137" s="9"/>
      <c r="L137" s="72"/>
      <c r="M137" s="9"/>
      <c r="N137" s="72"/>
      <c r="O137" s="9"/>
      <c r="P137" s="72"/>
      <c r="Q137" s="9"/>
      <c r="R137" s="72"/>
      <c r="S137" s="9"/>
      <c r="T137" s="72"/>
      <c r="U137" s="9"/>
      <c r="V137" s="72"/>
      <c r="W137" s="9"/>
      <c r="X137" s="72"/>
      <c r="Y137" s="9"/>
      <c r="Z137" s="72"/>
      <c r="AA137" s="9"/>
      <c r="AB137" s="72"/>
      <c r="AC137" s="9"/>
      <c r="AD137" s="72"/>
      <c r="AE137" s="9"/>
      <c r="AF137" s="72"/>
      <c r="AG137" s="9"/>
      <c r="AH137" s="72"/>
      <c r="AI137" s="9"/>
      <c r="AJ137" s="72"/>
      <c r="AK137" s="9"/>
      <c r="AL137" s="72"/>
      <c r="AM137" s="9"/>
      <c r="AN137" s="72"/>
      <c r="AO137" s="9"/>
      <c r="AP137" s="72"/>
      <c r="AQ137" s="9"/>
      <c r="AR137" s="72"/>
      <c r="AS137" s="9"/>
      <c r="AT137" s="72"/>
      <c r="AU137" s="9"/>
      <c r="AV137" s="72"/>
      <c r="AW137" s="9"/>
      <c r="AX137" s="72"/>
      <c r="AY137" s="9"/>
      <c r="AZ137" s="72"/>
      <c r="BA137" s="9"/>
      <c r="BB137" s="72"/>
      <c r="BC137" s="9"/>
      <c r="BD137" s="72"/>
      <c r="BE137" s="9"/>
      <c r="BF137" s="72"/>
      <c r="BG137" s="9"/>
      <c r="BH137" s="72"/>
      <c r="BI137" s="9"/>
      <c r="BJ137" s="72"/>
      <c r="BK137" s="9"/>
      <c r="BL137" s="72"/>
      <c r="BM137" s="9"/>
      <c r="BN137" s="72"/>
      <c r="BO137" s="9"/>
      <c r="BP137" s="72"/>
      <c r="BQ137" s="9"/>
      <c r="BR137" s="72"/>
      <c r="BS137" s="9"/>
      <c r="BT137" s="72"/>
      <c r="BU137" s="9"/>
      <c r="BV137" s="72"/>
      <c r="BW137" s="9"/>
      <c r="BX137" s="72"/>
      <c r="BY137" s="9"/>
      <c r="BZ137" s="72"/>
      <c r="CA137" s="9"/>
      <c r="CB137" s="72"/>
      <c r="CC137" s="9"/>
      <c r="CD137" s="72"/>
      <c r="CE137" s="9"/>
      <c r="CF137" s="72"/>
      <c r="CG137" s="9"/>
      <c r="CH137" s="72"/>
      <c r="CI137" s="9"/>
      <c r="CJ137" s="72"/>
      <c r="CK137" s="9"/>
      <c r="CL137" s="72"/>
      <c r="CM137" s="9"/>
      <c r="CN137" s="72"/>
      <c r="CO137" s="9"/>
      <c r="CP137" s="72"/>
      <c r="CQ137" s="9"/>
      <c r="CR137" s="72"/>
      <c r="CS137" s="9"/>
      <c r="CT137" s="72"/>
      <c r="CU137" s="9"/>
      <c r="CV137" s="72"/>
      <c r="CW137" s="9"/>
      <c r="CX137" s="72"/>
      <c r="CY137" s="9"/>
      <c r="CZ137" s="72"/>
      <c r="DA137" s="9"/>
      <c r="DB137" s="72"/>
      <c r="DC137" s="144"/>
      <c r="DD137" s="72"/>
      <c r="DE137" s="144"/>
      <c r="DF137" s="72"/>
      <c r="DG137" s="144"/>
      <c r="DH137" s="72"/>
      <c r="DI137" s="144"/>
      <c r="DJ137" s="72"/>
      <c r="DK137" s="144"/>
      <c r="DL137" s="72"/>
      <c r="DM137" s="144"/>
      <c r="DN137" s="72"/>
      <c r="DO137" s="144"/>
      <c r="DP137" s="72"/>
      <c r="DQ137" s="144"/>
      <c r="DR137" s="72"/>
      <c r="DS137" s="144"/>
      <c r="DT137" s="72"/>
      <c r="DU137" s="144"/>
      <c r="DV137" s="72"/>
      <c r="DW137" s="9"/>
      <c r="DX137" s="72"/>
      <c r="DY137" s="9"/>
      <c r="DZ137" s="72"/>
      <c r="EA137" s="9"/>
      <c r="EB137" s="72"/>
      <c r="EC137" s="9"/>
      <c r="ED137" s="72"/>
      <c r="EE137" s="9"/>
      <c r="EF137" s="72"/>
      <c r="EG137" s="9"/>
      <c r="EH137" s="72"/>
      <c r="EI137" s="9"/>
      <c r="EJ137" s="72"/>
      <c r="EK137" s="9"/>
      <c r="EL137" s="72"/>
      <c r="EM137" s="9"/>
      <c r="EN137" s="72"/>
      <c r="EO137" s="9"/>
      <c r="EP137" s="72"/>
      <c r="EQ137" s="9"/>
      <c r="ER137" s="72"/>
      <c r="ES137" s="9"/>
      <c r="ET137" s="72"/>
      <c r="EU137" s="9"/>
      <c r="EV137" s="72"/>
      <c r="EW137" s="9"/>
      <c r="EX137" s="72"/>
      <c r="EY137" s="72"/>
      <c r="EZ137" s="296"/>
      <c r="FA137" s="72"/>
      <c r="FB137" s="9"/>
      <c r="FC137" s="11"/>
      <c r="FD137" s="9"/>
      <c r="FE137" s="72"/>
      <c r="FF137" s="16"/>
      <c r="FG137" s="72"/>
      <c r="FH137" s="16"/>
      <c r="FI137" s="72"/>
      <c r="FJ137" s="16"/>
      <c r="FK137" s="72"/>
      <c r="FL137" s="16"/>
      <c r="FM137" s="72"/>
      <c r="FN137" s="16"/>
      <c r="FO137" s="72"/>
      <c r="FP137" s="9"/>
      <c r="FQ137" s="72"/>
      <c r="FR137" s="9"/>
      <c r="FS137" s="72"/>
      <c r="FT137" s="9"/>
      <c r="FU137" s="72"/>
      <c r="FV137" s="9"/>
      <c r="FW137" s="72"/>
      <c r="FX137" s="9"/>
      <c r="FY137" s="72"/>
      <c r="FZ137" s="9"/>
      <c r="GA137" s="72"/>
      <c r="GB137" s="9"/>
      <c r="GC137" s="72"/>
      <c r="GD137" s="9"/>
      <c r="GE137" s="72"/>
      <c r="GF137" s="9"/>
      <c r="GG137" s="72"/>
      <c r="GH137" s="9"/>
      <c r="GI137" s="72"/>
      <c r="GJ137" s="9"/>
      <c r="GK137" s="72"/>
      <c r="GL137" s="9"/>
      <c r="GM137" s="72"/>
      <c r="GN137" s="9"/>
      <c r="GO137" s="72"/>
      <c r="GP137" s="9"/>
      <c r="GQ137" s="72"/>
      <c r="GR137" s="9"/>
      <c r="GS137" s="72"/>
      <c r="GT137" s="9"/>
      <c r="GU137" s="72"/>
      <c r="GV137" s="9"/>
      <c r="GW137" s="72"/>
      <c r="GX137" s="9"/>
      <c r="GY137" s="72"/>
      <c r="GZ137" s="72"/>
      <c r="HA137" s="72"/>
      <c r="HB137" s="72"/>
      <c r="HC137"/>
      <c r="HD137"/>
      <c r="HE137"/>
      <c r="HF137"/>
      <c r="HG137"/>
      <c r="HH137"/>
      <c r="HI137" s="2"/>
    </row>
    <row r="138" spans="1:217" s="3" customFormat="1" ht="12.75" customHeight="1" x14ac:dyDescent="0.2">
      <c r="B138" s="89" t="s">
        <v>607</v>
      </c>
      <c r="C138" s="9"/>
      <c r="D138" s="11"/>
      <c r="E138" s="9"/>
      <c r="F138" s="11"/>
      <c r="G138" s="9"/>
      <c r="H138" s="11"/>
      <c r="I138" s="9"/>
      <c r="J138" s="11"/>
      <c r="K138" s="9"/>
      <c r="L138" s="72"/>
      <c r="M138" s="9"/>
      <c r="N138" s="72"/>
      <c r="O138" s="9"/>
      <c r="P138" s="72"/>
      <c r="Q138" s="9"/>
      <c r="R138" s="72"/>
      <c r="S138" s="9"/>
      <c r="T138" s="72"/>
      <c r="U138" s="9"/>
      <c r="V138" s="72"/>
      <c r="W138" s="9"/>
      <c r="X138" s="72"/>
      <c r="Y138" s="9"/>
      <c r="Z138" s="72"/>
      <c r="AA138" s="9"/>
      <c r="AB138" s="72"/>
      <c r="AC138" s="9"/>
      <c r="AD138" s="72"/>
      <c r="AE138" s="9"/>
      <c r="AF138" s="72"/>
      <c r="AG138" s="9"/>
      <c r="AH138" s="72"/>
      <c r="AI138" s="9"/>
      <c r="AJ138" s="72"/>
      <c r="AK138" s="9"/>
      <c r="AL138" s="72"/>
      <c r="AM138" s="9"/>
      <c r="AN138" s="72"/>
      <c r="AO138" s="9"/>
      <c r="AP138" s="72"/>
      <c r="AQ138" s="9"/>
      <c r="AR138" s="72"/>
      <c r="AS138" s="9"/>
      <c r="AT138" s="72"/>
      <c r="AU138" s="9"/>
      <c r="AV138" s="72"/>
      <c r="AW138" s="9"/>
      <c r="AX138" s="72"/>
      <c r="AY138" s="9"/>
      <c r="AZ138" s="72"/>
      <c r="BA138" s="9"/>
      <c r="BB138" s="72"/>
      <c r="BC138" s="9"/>
      <c r="BD138" s="72"/>
      <c r="BE138" s="9"/>
      <c r="BF138" s="72"/>
      <c r="BG138" s="9"/>
      <c r="BH138" s="72"/>
      <c r="BI138" s="9"/>
      <c r="BJ138" s="72"/>
      <c r="BK138" s="9"/>
      <c r="BL138" s="72"/>
      <c r="BM138" s="9"/>
      <c r="BN138" s="72"/>
      <c r="BO138" s="9"/>
      <c r="BP138" s="72"/>
      <c r="BQ138" s="9"/>
      <c r="BR138" s="72"/>
      <c r="BS138" s="9"/>
      <c r="BT138" s="72"/>
      <c r="BU138" s="9"/>
      <c r="BV138" s="72"/>
      <c r="BW138" s="9"/>
      <c r="BX138" s="72"/>
      <c r="BY138" s="9"/>
      <c r="BZ138" s="72"/>
      <c r="CA138" s="9"/>
      <c r="CB138" s="72"/>
      <c r="CC138" s="9"/>
      <c r="CD138" s="72"/>
      <c r="CE138" s="9"/>
      <c r="CF138" s="72"/>
      <c r="CG138" s="9"/>
      <c r="CH138" s="72"/>
      <c r="CI138" s="9"/>
      <c r="CJ138" s="72"/>
      <c r="CK138" s="9"/>
      <c r="CL138" s="72"/>
      <c r="CM138" s="9"/>
      <c r="CN138" s="72"/>
      <c r="CO138" s="9"/>
      <c r="CP138" s="72"/>
      <c r="CQ138" s="9"/>
      <c r="CR138" s="72"/>
      <c r="CS138" s="9"/>
      <c r="CT138" s="72"/>
      <c r="CU138" s="9"/>
      <c r="CV138" s="72"/>
      <c r="CW138" s="9"/>
      <c r="CX138" s="72"/>
      <c r="CY138" s="9"/>
      <c r="CZ138" s="72"/>
      <c r="DA138" s="9"/>
      <c r="DB138" s="72"/>
      <c r="DC138" s="9"/>
      <c r="DD138" s="72"/>
      <c r="DE138" s="144"/>
      <c r="DF138" s="72"/>
      <c r="DG138" s="9"/>
      <c r="DH138" s="72"/>
      <c r="DI138" s="9"/>
      <c r="DJ138" s="72"/>
      <c r="DK138" s="9"/>
      <c r="DL138" s="72"/>
      <c r="DM138" s="9"/>
      <c r="DN138" s="72"/>
      <c r="DO138" s="9"/>
      <c r="DP138" s="72"/>
      <c r="DQ138" s="9"/>
      <c r="DR138" s="72"/>
      <c r="DS138" s="9"/>
      <c r="DT138" s="72"/>
      <c r="DU138" s="9"/>
      <c r="DV138" s="72"/>
      <c r="DW138" s="9"/>
      <c r="DX138" s="72"/>
      <c r="DY138" s="9"/>
      <c r="DZ138" s="72"/>
      <c r="EA138" s="9"/>
      <c r="EB138" s="72"/>
      <c r="EC138" s="9"/>
      <c r="ED138" s="72"/>
      <c r="EE138" s="9"/>
      <c r="EF138" s="72"/>
      <c r="EG138" s="9"/>
      <c r="EH138" s="72"/>
      <c r="EI138" s="9"/>
      <c r="EJ138" s="72"/>
      <c r="EK138" s="9"/>
      <c r="EL138" s="72"/>
      <c r="EM138" s="9"/>
      <c r="EN138" s="72"/>
      <c r="EO138" s="9"/>
      <c r="EP138" s="72"/>
      <c r="EQ138" s="9"/>
      <c r="ER138" s="72"/>
      <c r="ES138" s="9"/>
      <c r="ET138" s="72"/>
      <c r="EU138" s="9"/>
      <c r="EV138" s="72"/>
      <c r="EW138" s="9"/>
      <c r="EX138" s="72"/>
      <c r="EY138" s="72"/>
      <c r="EZ138" s="296"/>
      <c r="FA138" s="72"/>
      <c r="FB138" s="9"/>
      <c r="FC138" s="11"/>
      <c r="FD138" s="9"/>
      <c r="FE138" s="72"/>
      <c r="FF138" s="16"/>
      <c r="FG138" s="72"/>
      <c r="FH138" s="16"/>
      <c r="FI138" s="72"/>
      <c r="FJ138" s="16"/>
      <c r="FK138" s="72"/>
      <c r="FL138" s="16"/>
      <c r="FM138" s="72"/>
      <c r="FN138" s="16"/>
      <c r="FO138" s="72"/>
      <c r="FP138" s="9"/>
      <c r="FQ138" s="72"/>
      <c r="FR138" s="9"/>
      <c r="FS138" s="72"/>
      <c r="FT138" s="9"/>
      <c r="FU138" s="72"/>
      <c r="FV138" s="9"/>
      <c r="FW138" s="72"/>
      <c r="FX138" s="9"/>
      <c r="FY138" s="72"/>
      <c r="FZ138" s="9"/>
      <c r="GA138" s="72"/>
      <c r="GB138" s="9"/>
      <c r="GC138" s="72"/>
      <c r="GD138" s="9"/>
      <c r="GE138" s="72"/>
      <c r="GF138" s="9"/>
      <c r="GG138" s="72"/>
      <c r="GH138" s="9"/>
      <c r="GI138" s="72"/>
      <c r="GJ138" s="9"/>
      <c r="GK138" s="72"/>
      <c r="GL138" s="9"/>
      <c r="GM138" s="72"/>
      <c r="GN138" s="9"/>
      <c r="GO138" s="72"/>
      <c r="GP138" s="9"/>
      <c r="GQ138" s="72"/>
      <c r="GR138" s="9"/>
      <c r="GS138" s="72"/>
      <c r="GT138" s="9"/>
      <c r="GU138" s="72"/>
      <c r="GV138" s="9"/>
      <c r="GW138" s="72"/>
      <c r="GX138" s="9"/>
      <c r="GY138" s="72"/>
      <c r="GZ138" s="72"/>
      <c r="HA138" s="72"/>
      <c r="HB138" s="72"/>
      <c r="HC138"/>
      <c r="HD138"/>
      <c r="HE138"/>
      <c r="HF138"/>
      <c r="HG138"/>
      <c r="HH138"/>
      <c r="HI138" s="2"/>
    </row>
    <row r="139" spans="1:217" s="3" customFormat="1" ht="12.75" customHeight="1" x14ac:dyDescent="0.2">
      <c r="A139" s="3" t="s">
        <v>5</v>
      </c>
      <c r="B139" s="10" t="s">
        <v>301</v>
      </c>
      <c r="C139" s="139" t="s">
        <v>476</v>
      </c>
      <c r="D139" s="11"/>
      <c r="E139" s="139" t="s">
        <v>476</v>
      </c>
      <c r="F139" s="11"/>
      <c r="G139" s="139">
        <v>69</v>
      </c>
      <c r="H139" s="72"/>
      <c r="I139" s="139">
        <v>78</v>
      </c>
      <c r="J139" s="72"/>
      <c r="K139" s="139">
        <v>65</v>
      </c>
      <c r="L139" s="72" t="str">
        <f>IF(ISERROR(K139/C139),"NA",IF(OR(K139/C139&gt;2,K139/C139&lt;0.5),"NM",K139/C139*100-100))</f>
        <v>NA</v>
      </c>
      <c r="M139" s="139">
        <v>58</v>
      </c>
      <c r="N139" s="72" t="str">
        <f>IF(ISERROR(M139/E139),"NA",IF(OR(M139/E139&gt;2,M139/E139&lt;0.5),"NM",M139/E139*100-100))</f>
        <v>NA</v>
      </c>
      <c r="O139" s="139">
        <v>51</v>
      </c>
      <c r="P139" s="72">
        <f>IF(ISERROR(O139/G139),"NA",IF(OR(O139/G139&gt;2,O139/G139&lt;0.5),"NM",O139/G139*100-100))</f>
        <v>-26.08695652173914</v>
      </c>
      <c r="Q139" s="139">
        <v>54</v>
      </c>
      <c r="R139" s="72">
        <f>IF(ISERROR(Q139/I139),"NA",IF(OR(Q139/I139&gt;2,Q139/I139&lt;0.5),"NM",Q139/I139*100-100))</f>
        <v>-30.769230769230774</v>
      </c>
      <c r="S139" s="139">
        <v>55</v>
      </c>
      <c r="T139" s="72">
        <f t="shared" ref="T139:T144" si="820">IF(ISERROR(S139/K139),"NA",IF(OR(S139/K139&gt;2,S139/K139&lt;0.5),"NM",S139/K139*100-100))</f>
        <v>-15.384615384615387</v>
      </c>
      <c r="U139" s="139">
        <v>41</v>
      </c>
      <c r="V139" s="72">
        <f t="shared" ref="V139:V144" si="821">IF(ISERROR(U139/M139),"NA",IF(OR(U139/M139&gt;2,U139/M139&lt;0.5),"NM",U139/M139*100-100))</f>
        <v>-29.310344827586206</v>
      </c>
      <c r="W139" s="139">
        <v>35</v>
      </c>
      <c r="X139" s="72">
        <f t="shared" ref="X139:X144" si="822">IF(ISERROR(W139/O139),"NA",IF(OR(W139/O139&gt;2,W139/O139&lt;0.5),"NM",W139/O139*100-100))</f>
        <v>-31.372549019607845</v>
      </c>
      <c r="Y139" s="139">
        <v>31</v>
      </c>
      <c r="Z139" s="72">
        <f t="shared" ref="Z139:Z144" si="823">IF(ISERROR(Y139/Q139),"NA",IF(OR(Y139/Q139&gt;2,Y139/Q139&lt;0.5),"NM",Y139/Q139*100-100))</f>
        <v>-42.592592592592595</v>
      </c>
      <c r="AA139" s="139">
        <v>26</v>
      </c>
      <c r="AB139" s="72" t="str">
        <f t="shared" ref="AB139:AB144" si="824">IF(ISERROR(AA139/S139),"NA",IF(OR(AA139/S139&gt;2,AA139/S139&lt;0.5),"NM",AA139/S139*100-100))</f>
        <v>NM</v>
      </c>
      <c r="AC139" s="139">
        <v>26</v>
      </c>
      <c r="AD139" s="72">
        <f t="shared" ref="AD139:AD144" si="825">IF(ISERROR(AC139/U139),"NA",IF(OR(AC139/U139&gt;2,AC139/U139&lt;0.5),"NM",AC139/U139*100-100))</f>
        <v>-36.585365853658537</v>
      </c>
      <c r="AE139" s="139">
        <v>20</v>
      </c>
      <c r="AF139" s="72">
        <f t="shared" ref="AF139:AF144" si="826">IF(ISERROR(AE139/W139),"NA",IF(OR(AE139/W139&gt;2,AE139/W139&lt;0.5),"NM",AE139/W139*100-100))</f>
        <v>-42.857142857142861</v>
      </c>
      <c r="AG139" s="139">
        <v>27</v>
      </c>
      <c r="AH139" s="72">
        <f t="shared" ref="AH139:AH144" si="827">IF(ISERROR(AG139/Y139),"NA",IF(OR(AG139/Y139&gt;2,AG139/Y139&lt;0.5),"NM",AG139/Y139*100-100))</f>
        <v>-12.903225806451616</v>
      </c>
      <c r="AI139" s="139">
        <v>26</v>
      </c>
      <c r="AJ139" s="72">
        <f t="shared" ref="AJ139:AJ144" si="828">IF(ISERROR(AI139/AA139),"NA",IF(OR(AI139/AA139&gt;2,AI139/AA139&lt;0.5),"NM",AI139/AA139*100-100))</f>
        <v>0</v>
      </c>
      <c r="AK139" s="139">
        <v>27</v>
      </c>
      <c r="AL139" s="72">
        <f t="shared" ref="AL139:AL144" si="829">IF(ISERROR(AK139/AC139),"NA",IF(OR(AK139/AC139&gt;2,AK139/AC139&lt;0.5),"NM",AK139/AC139*100-100))</f>
        <v>3.8461538461538538</v>
      </c>
      <c r="AM139" s="139">
        <v>25</v>
      </c>
      <c r="AN139" s="72">
        <f t="shared" ref="AN139:AN144" si="830">IF(ISERROR(AM139/AE139),"NA",IF(OR(AM139/AE139&gt;2,AM139/AE139&lt;0.5),"NM",AM139/AE139*100-100))</f>
        <v>25</v>
      </c>
      <c r="AO139" s="139">
        <v>19</v>
      </c>
      <c r="AP139" s="72">
        <f t="shared" ref="AP139:AP144" si="831">IF(ISERROR(AO139/AG139),"NA",IF(OR(AO139/AG139&gt;2,AO139/AG139&lt;0.5),"NM",AO139/AG139*100-100))</f>
        <v>-29.629629629629633</v>
      </c>
      <c r="AQ139" s="139">
        <v>19</v>
      </c>
      <c r="AR139" s="72">
        <f t="shared" ref="AR139:AR144" si="832">IF(ISERROR(AQ139/AI139),"NA",IF(OR(AQ139/AI139&gt;2,AQ139/AI139&lt;0.5),"NM",AQ139/AI139*100-100))</f>
        <v>-26.923076923076934</v>
      </c>
      <c r="AS139" s="139">
        <v>18</v>
      </c>
      <c r="AT139" s="72">
        <f t="shared" ref="AT139:AT144" si="833">IF(ISERROR(AS139/AK139),"NA",IF(OR(AS139/AK139&gt;2,AS139/AK139&lt;0.5),"NM",AS139/AK139*100-100))</f>
        <v>-33.333333333333343</v>
      </c>
      <c r="AU139" s="139">
        <v>19</v>
      </c>
      <c r="AV139" s="72">
        <f t="shared" ref="AV139:AV144" si="834">IF(ISERROR(AU139/AM139),"NA",IF(OR(AU139/AM139&gt;2,AU139/AM139&lt;0.5),"NM",AU139/AM139*100-100))</f>
        <v>-24</v>
      </c>
      <c r="AW139" s="139">
        <v>27</v>
      </c>
      <c r="AX139" s="72">
        <f t="shared" ref="AX139:AX144" si="835">IF(ISERROR(AW139/AO139),"NA",IF(OR(AW139/AO139&gt;2,AW139/AO139&lt;0.5),"NM",AW139/AO139*100-100))</f>
        <v>42.10526315789474</v>
      </c>
      <c r="AY139" s="139">
        <v>21</v>
      </c>
      <c r="AZ139" s="72">
        <f t="shared" ref="AZ139:AZ144" si="836">IF(ISERROR(AY139/AQ139),"NA",IF(OR(AY139/AQ139&gt;2,AY139/AQ139&lt;0.5),"NM",AY139/AQ139*100-100))</f>
        <v>10.526315789473699</v>
      </c>
      <c r="BA139" s="139">
        <v>24</v>
      </c>
      <c r="BB139" s="72">
        <f t="shared" ref="BB139:BB144" si="837">IF(ISERROR(BA139/AS139),"NA",IF(OR(BA139/AS139&gt;2,BA139/AS139&lt;0.5),"NM",BA139/AS139*100-100))</f>
        <v>33.333333333333314</v>
      </c>
      <c r="BC139" s="139">
        <v>25</v>
      </c>
      <c r="BD139" s="72">
        <f t="shared" ref="BD139:BD144" si="838">IF(ISERROR(BC139/AU139),"NA",IF(OR(BC139/AU139&gt;2,BC139/AU139&lt;0.5),"NM",BC139/AU139*100-100))</f>
        <v>31.578947368421069</v>
      </c>
      <c r="BE139" s="139">
        <v>20</v>
      </c>
      <c r="BF139" s="72">
        <f t="shared" ref="BF139:BF144" si="839">IF(ISERROR(BE139/AW139),"NA",IF(OR(BE139/AW139&gt;2,BE139/AW139&lt;0.5),"NM",BE139/AW139*100-100))</f>
        <v>-25.925925925925924</v>
      </c>
      <c r="BG139" s="139">
        <v>48</v>
      </c>
      <c r="BH139" s="72" t="str">
        <f t="shared" ref="BH139:BH144" si="840">IF(ISERROR(BG139/AY139),"NA",IF(OR(BG139/AY139&gt;2,BG139/AY139&lt;0.5),"NM",BG139/AY139*100-100))</f>
        <v>NM</v>
      </c>
      <c r="BI139" s="139">
        <v>19</v>
      </c>
      <c r="BJ139" s="72">
        <f t="shared" ref="BJ139:BJ144" si="841">IF(ISERROR(BI139/BA139),"NA",IF(OR(BI139/BA139&gt;2,BI139/BA139&lt;0.5),"NM",BI139/BA139*100-100))</f>
        <v>-20.833333333333343</v>
      </c>
      <c r="BK139" s="139">
        <v>19</v>
      </c>
      <c r="BL139" s="72">
        <f t="shared" ref="BL139:BL144" si="842">IF(ISERROR(BK139/BC139),"NA",IF(OR(BK139/BC139&gt;2,BK139/BC139&lt;0.5),"NM",BK139/BC139*100-100))</f>
        <v>-24</v>
      </c>
      <c r="BM139" s="139">
        <v>13</v>
      </c>
      <c r="BN139" s="72">
        <f t="shared" ref="BN139:BN144" si="843">IF(ISERROR(BM139/BE139),"NA",IF(OR(BM139/BE139&gt;2,BM139/BE139&lt;0.5),"NM",BM139/BE139*100-100))</f>
        <v>-35</v>
      </c>
      <c r="BO139" s="139">
        <v>11</v>
      </c>
      <c r="BP139" s="72" t="str">
        <f t="shared" ref="BP139:BP144" si="844">IF(ISERROR(BO139/BG139),"NA",IF(OR(BO139/BG139&gt;2,BO139/BG139&lt;0.5),"NM",BO139/BG139*100-100))</f>
        <v>NM</v>
      </c>
      <c r="BQ139" s="139">
        <v>10</v>
      </c>
      <c r="BR139" s="72">
        <f t="shared" ref="BR139:BR144" si="845">IF(ISERROR(BQ139/BI139),"NA",IF(OR(BQ139/BI139&gt;2,BQ139/BI139&lt;0.5),"NM",BQ139/BI139*100-100))</f>
        <v>-47.368421052631582</v>
      </c>
      <c r="BS139" s="139">
        <v>8</v>
      </c>
      <c r="BT139" s="72" t="str">
        <f t="shared" ref="BT139:BT144" si="846">IF(ISERROR(BS139/BK139),"NA",IF(OR(BS139/BK139&gt;2,BS139/BK139&lt;0.5),"NM",BS139/BK139*100-100))</f>
        <v>NM</v>
      </c>
      <c r="BU139" s="139">
        <v>10</v>
      </c>
      <c r="BV139" s="72">
        <f t="shared" ref="BV139:BV144" si="847">IF(ISERROR(BU139/BM139),"NA",IF(OR(BU139/BM139&gt;2,BU139/BM139&lt;0.5),"NM",BU139/BM139*100-100))</f>
        <v>-23.076923076923066</v>
      </c>
      <c r="BW139" s="139">
        <v>4</v>
      </c>
      <c r="BX139" s="72" t="str">
        <f t="shared" ref="BX139:CL144" si="848">IF(ISERROR(BW139/BO139),"NA",IF(OR(BW139/BO139&gt;2,BW139/BO139&lt;0.5),"NM",BW139/BO139*100-100))</f>
        <v>NM</v>
      </c>
      <c r="BY139" s="139">
        <v>5</v>
      </c>
      <c r="BZ139" s="72">
        <f t="shared" si="848"/>
        <v>-50</v>
      </c>
      <c r="CA139" s="139">
        <v>3</v>
      </c>
      <c r="CB139" s="72" t="str">
        <f t="shared" si="848"/>
        <v>NM</v>
      </c>
      <c r="CC139" s="139">
        <v>8</v>
      </c>
      <c r="CD139" s="72">
        <f t="shared" si="848"/>
        <v>-20</v>
      </c>
      <c r="CE139" s="139">
        <v>5</v>
      </c>
      <c r="CF139" s="72">
        <f t="shared" si="848"/>
        <v>25</v>
      </c>
      <c r="CG139" s="139">
        <v>5</v>
      </c>
      <c r="CH139" s="72">
        <f t="shared" si="848"/>
        <v>0</v>
      </c>
      <c r="CI139" s="139">
        <v>6</v>
      </c>
      <c r="CJ139" s="72">
        <f t="shared" si="848"/>
        <v>100</v>
      </c>
      <c r="CK139" s="139">
        <v>7</v>
      </c>
      <c r="CL139" s="72">
        <f t="shared" si="848"/>
        <v>-12.5</v>
      </c>
      <c r="CM139" s="139">
        <v>7</v>
      </c>
      <c r="CN139" s="72">
        <f t="shared" ref="CN139:CN144" si="849">IF(ISERROR(CM139/CE139),"NA",IF(OR(CM139/CE139&gt;2,CM139/CE139&lt;0.5),"NM",CM139/CE139*100-100))</f>
        <v>40</v>
      </c>
      <c r="CO139" s="139">
        <v>6</v>
      </c>
      <c r="CP139" s="72">
        <f t="shared" ref="CP139:CP144" si="850">IF(ISERROR(CO139/CG139),"NA",IF(OR(CO139/CG139&gt;2,CO139/CG139&lt;0.5),"NM",CO139/CG139*100-100))</f>
        <v>20</v>
      </c>
      <c r="CQ139" s="139">
        <v>8</v>
      </c>
      <c r="CR139" s="72">
        <f t="shared" ref="CR139:CR144" si="851">IF(ISERROR(CQ139/CI139),"NA",IF(OR(CQ139/CI139&gt;2,CQ139/CI139&lt;0.5),"NM",CQ139/CI139*100-100))</f>
        <v>33.333333333333314</v>
      </c>
      <c r="CS139" s="139">
        <v>4</v>
      </c>
      <c r="CT139" s="72">
        <f t="shared" ref="CT139:CT144" si="852">IF(ISERROR(CS139/CK139),"NA",IF(OR(CS139/CK139&gt;2,CS139/CK139&lt;0.5),"NM",CS139/CK139*100-100))</f>
        <v>-42.857142857142861</v>
      </c>
      <c r="CU139" s="139">
        <v>4</v>
      </c>
      <c r="CV139" s="72">
        <f t="shared" ref="CV139:CV144" si="853">IF(ISERROR(CU139/CM139),"NA",IF(OR(CU139/CM139&gt;2,CU139/CM139&lt;0.5),"NM",CU139/CM139*100-100))</f>
        <v>-42.857142857142861</v>
      </c>
      <c r="CW139" s="139">
        <v>5</v>
      </c>
      <c r="CX139" s="72"/>
      <c r="CY139" s="139">
        <v>4</v>
      </c>
      <c r="CZ139" s="72"/>
      <c r="DA139" s="139">
        <v>8</v>
      </c>
      <c r="DB139" s="72"/>
      <c r="DC139" s="139">
        <v>9</v>
      </c>
      <c r="DD139" s="72"/>
      <c r="DE139" s="139">
        <v>7</v>
      </c>
      <c r="DF139" s="72"/>
      <c r="DG139" s="139">
        <v>9</v>
      </c>
      <c r="DH139" s="72"/>
      <c r="DI139" s="139">
        <v>13</v>
      </c>
      <c r="DJ139" s="72"/>
      <c r="DK139" s="139">
        <v>9</v>
      </c>
      <c r="DL139" s="72"/>
      <c r="DM139" s="139">
        <v>11</v>
      </c>
      <c r="DN139" s="72">
        <f t="shared" ref="DN139:DZ144" si="854">IF(ISERROR(DM139/DE139),"NA",IF(OR(DM139/DE139&gt;2,DM139/DE139&lt;0.5),"NM",DM139/DE139*100-100))</f>
        <v>57.142857142857139</v>
      </c>
      <c r="DO139" s="139">
        <v>10</v>
      </c>
      <c r="DP139" s="72">
        <f t="shared" si="854"/>
        <v>11.111111111111114</v>
      </c>
      <c r="DQ139" s="139">
        <v>22</v>
      </c>
      <c r="DR139" s="72">
        <f t="shared" si="854"/>
        <v>69.230769230769226</v>
      </c>
      <c r="DS139" s="139">
        <v>18</v>
      </c>
      <c r="DT139" s="72">
        <f t="shared" si="854"/>
        <v>100</v>
      </c>
      <c r="DU139" s="139">
        <v>13</v>
      </c>
      <c r="DV139" s="72">
        <f t="shared" si="854"/>
        <v>18.181818181818187</v>
      </c>
      <c r="DW139" s="139">
        <v>25</v>
      </c>
      <c r="DX139" s="72" t="str">
        <f t="shared" si="854"/>
        <v>NM</v>
      </c>
      <c r="DY139" s="139">
        <v>22</v>
      </c>
      <c r="DZ139" s="72">
        <f t="shared" si="854"/>
        <v>0</v>
      </c>
      <c r="EA139" s="139">
        <v>26</v>
      </c>
      <c r="EB139" s="72">
        <f t="shared" ref="EB139:EB144" si="855">IF(ISERROR(EA139/DS139),"NA",IF(OR(EA139/DS139&gt;2,EA139/DS139&lt;0.5),"NM",EA139/DS139*100-100))</f>
        <v>44.444444444444429</v>
      </c>
      <c r="EC139" s="139">
        <v>25</v>
      </c>
      <c r="ED139" s="72">
        <f t="shared" ref="ED139:ED144" si="856">IF(ISERROR(EC139/DU139),"NA",IF(OR(EC139/DU139&gt;2,EC139/DU139&lt;0.5),"NM",EC139/DU139*100-100))</f>
        <v>92.307692307692321</v>
      </c>
      <c r="EE139" s="139">
        <v>16</v>
      </c>
      <c r="EF139" s="72">
        <f t="shared" ref="EF139:EF144" si="857">IF(ISERROR(EE139/DW139),"NA",IF(OR(EE139/DW139&gt;2,EE139/DW139&lt;0.5),"NM",EE139/DW139*100-100))</f>
        <v>-36</v>
      </c>
      <c r="EG139" s="139">
        <v>25</v>
      </c>
      <c r="EH139" s="72">
        <f t="shared" ref="EH139:EH144" si="858">IF(ISERROR(EG139/DY139),"NA",IF(OR(EG139/DY139&gt;2,EG139/DY139&lt;0.5),"NM",EG139/DY139*100-100))</f>
        <v>13.63636363636364</v>
      </c>
      <c r="EI139" s="139">
        <v>23</v>
      </c>
      <c r="EJ139" s="72">
        <f t="shared" ref="EJ139:EJ144" si="859">IF(ISERROR(EI139/EA139),"NA",IF(OR(EI139/EA139&gt;2,EI139/EA139&lt;0.5),"NM",EI139/EA139*100-100))</f>
        <v>-11.538461538461547</v>
      </c>
      <c r="EK139" s="139">
        <v>26</v>
      </c>
      <c r="EL139" s="72">
        <f t="shared" ref="EL139:EL144" si="860">IF(ISERROR(EK139/EC139),"NA",IF(OR(EK139/EC139&gt;2,EK139/EC139&lt;0.5),"NM",EK139/EC139*100-100))</f>
        <v>4</v>
      </c>
      <c r="EM139" s="139">
        <v>26</v>
      </c>
      <c r="EN139" s="72">
        <f t="shared" ref="EN139:EN144" si="861">IF(ISERROR(EM139/EE139),"NA",IF(OR(EM139/EE139&gt;2,EM139/EE139&lt;0.5),"NM",EM139/EE139*100-100))</f>
        <v>62.5</v>
      </c>
      <c r="EO139" s="139">
        <v>55</v>
      </c>
      <c r="EP139" s="72" t="str">
        <f t="shared" ref="EP139:EP144" si="862">IF(ISERROR(EO139/EG139),"NA",IF(OR(EO139/EG139&gt;2,EO139/EG139&lt;0.5),"NM",EO139/EG139*100-100))</f>
        <v>NM</v>
      </c>
      <c r="EQ139" s="139"/>
      <c r="ER139" s="72" t="str">
        <f t="shared" ref="ER139:ER144" si="863">IF(ISERROR(EQ139/EI139),"NA",IF(OR(EQ139/EI139&gt;2,EQ139/EI139&lt;0.5),"NM",EQ139/EI139*100-100))</f>
        <v>NM</v>
      </c>
      <c r="ES139" s="139"/>
      <c r="ET139" s="72" t="str">
        <f t="shared" ref="ET139:ET144" si="864">IF(ISERROR(ES139/EK139),"NA",IF(OR(ES139/EK139&gt;2,ES139/EK139&lt;0.5),"NM",ES139/EK139*100-100))</f>
        <v>NM</v>
      </c>
      <c r="EU139" s="139"/>
      <c r="EV139" s="72" t="str">
        <f t="shared" ref="EV139:EV144" si="865">IF(ISERROR(EU139/EM139),"NA",IF(OR(EU139/EM139&gt;2,EU139/EM139&lt;0.5),"NM",EU139/EM139*100-100))</f>
        <v>NM</v>
      </c>
      <c r="EW139" s="139"/>
      <c r="EX139" s="72" t="str">
        <f t="shared" ref="EX139:EX144" si="866">IF(ISERROR(EW139/EO139),"NA",IF(OR(EW139/EO139&gt;2,EW139/EO139&lt;0.5),"NM",EW139/EO139*100-100))</f>
        <v>NM</v>
      </c>
      <c r="EY139" s="72"/>
      <c r="EZ139" s="296"/>
      <c r="FA139" s="72"/>
      <c r="FB139" s="9"/>
      <c r="FC139" s="11"/>
      <c r="FD139" s="9"/>
      <c r="FE139" s="72"/>
      <c r="FF139" s="16"/>
      <c r="FG139" s="72"/>
      <c r="FH139" s="16"/>
      <c r="FI139" s="72"/>
      <c r="FJ139" s="16"/>
      <c r="FK139" s="72"/>
      <c r="FL139" s="16"/>
      <c r="FM139" s="72"/>
      <c r="FN139" s="16"/>
      <c r="FO139" s="72"/>
      <c r="FP139" s="9"/>
      <c r="FQ139" s="72"/>
      <c r="FR139" s="75">
        <f t="shared" ref="FR139:FR144" si="867">AY139+BA139+BC139+BE139</f>
        <v>90</v>
      </c>
      <c r="FS139" s="72" t="str">
        <f t="shared" ref="FS139:FS144" si="868">IF(ISERROR(FR139/FP139),"NA",IF(OR(FR139/FP139&gt;2,FR139/FP139&lt;0.5),"NM",FR139/FP139*100-100))</f>
        <v>NA</v>
      </c>
      <c r="FT139" s="75">
        <f t="shared" ref="FT139:FT144" si="869">BG139+BI139+BK139+BM139</f>
        <v>99</v>
      </c>
      <c r="FU139" s="72">
        <f t="shared" ref="FU139:FU144" si="870">IF(ISERROR(FT139/FR139),"NA",IF(OR(FT139/FR139&gt;2,FT139/FR139&lt;0.5),"NM",FT139/FR139*100-100))</f>
        <v>10.000000000000014</v>
      </c>
      <c r="FV139" s="75">
        <f t="shared" ref="FV139:FV144" si="871">BO139+BQ139+BS139+BU139</f>
        <v>39</v>
      </c>
      <c r="FW139" s="72" t="str">
        <f t="shared" ref="FW139:FW144" si="872">IF(ISERROR(FV139/FT139),"NA",IF(OR(FV139/FT139&gt;2,FV139/FT139&lt;0.5),"NM",FV139/FT139*100-100))</f>
        <v>NM</v>
      </c>
      <c r="FX139" s="75">
        <f t="shared" ref="FX139:FX144" si="873">BW139+BY139+CA139+CC139</f>
        <v>20</v>
      </c>
      <c r="FY139" s="72">
        <f t="shared" ref="FY139:GC144" si="874">IF(ISERROR(FX139/FV139),"NA",IF(OR(FX139/FV139&gt;2,FX139/FV139&lt;0.5),"NM",FX139/FV139*100-100))</f>
        <v>-48.717948717948723</v>
      </c>
      <c r="FZ139" s="75">
        <f t="shared" ref="FZ139:FZ144" si="875">CE139+CG139+CI139+CK139</f>
        <v>23</v>
      </c>
      <c r="GA139" s="72">
        <f t="shared" si="874"/>
        <v>14.999999999999986</v>
      </c>
      <c r="GB139" s="75">
        <f t="shared" ref="GB139:GB144" si="876">CM139+CO139+CQ139+CS139</f>
        <v>25</v>
      </c>
      <c r="GC139" s="72">
        <f t="shared" si="874"/>
        <v>8.6956521739130324</v>
      </c>
      <c r="GD139" s="9"/>
      <c r="GE139" s="72"/>
      <c r="GF139" s="9"/>
      <c r="GG139" s="72"/>
      <c r="GH139" s="9"/>
      <c r="GI139" s="72"/>
      <c r="GJ139" s="9"/>
      <c r="GK139" s="72"/>
      <c r="GL139" s="9"/>
      <c r="GM139" s="72"/>
      <c r="GN139" s="9"/>
      <c r="GO139" s="72"/>
      <c r="GP139" s="9"/>
      <c r="GQ139" s="72"/>
      <c r="GR139" s="139"/>
      <c r="GS139" s="72"/>
      <c r="GT139" s="139"/>
      <c r="GU139" s="72"/>
      <c r="GV139" s="139"/>
      <c r="GW139" s="72"/>
      <c r="GX139" s="139"/>
      <c r="GY139" s="72"/>
      <c r="GZ139" s="72"/>
      <c r="HA139" s="72"/>
      <c r="HB139" s="72"/>
      <c r="HC139"/>
      <c r="HD139"/>
      <c r="HE139"/>
      <c r="HF139"/>
      <c r="HG139"/>
      <c r="HH139"/>
      <c r="HI139" s="2"/>
    </row>
    <row r="140" spans="1:217" s="3" customFormat="1" ht="12.75" customHeight="1" x14ac:dyDescent="0.2">
      <c r="A140" s="3" t="s">
        <v>214</v>
      </c>
      <c r="B140" s="10" t="s">
        <v>4</v>
      </c>
      <c r="C140" s="139"/>
      <c r="D140" s="11"/>
      <c r="E140" s="139"/>
      <c r="F140" s="11"/>
      <c r="G140" s="139"/>
      <c r="H140" s="72"/>
      <c r="I140" s="139"/>
      <c r="J140" s="72"/>
      <c r="K140" s="139"/>
      <c r="L140" s="72" t="str">
        <f>IF(ISERROR(K140/C140),"NA",IF(OR(K140/C140&gt;2,K140/C140&lt;0.5),"NM",K140/C140*100-100))</f>
        <v>NA</v>
      </c>
      <c r="M140" s="139"/>
      <c r="N140" s="72" t="str">
        <f>IF(ISERROR(M140/E140),"NA",IF(OR(M140/E140&gt;2,M140/E140&lt;0.5),"NM",M140/E140*100-100))</f>
        <v>NA</v>
      </c>
      <c r="O140" s="139"/>
      <c r="P140" s="72" t="str">
        <f>IF(ISERROR(O140/G140),"NA",IF(OR(O140/G140&gt;2,O140/G140&lt;0.5),"NM",O140/G140*100-100))</f>
        <v>NA</v>
      </c>
      <c r="Q140" s="139"/>
      <c r="R140" s="72" t="str">
        <f>IF(ISERROR(Q140/I140),"NA",IF(OR(Q140/I140&gt;2,Q140/I140&lt;0.5),"NM",Q140/I140*100-100))</f>
        <v>NA</v>
      </c>
      <c r="S140" s="139"/>
      <c r="T140" s="72" t="str">
        <f t="shared" si="820"/>
        <v>NA</v>
      </c>
      <c r="U140" s="139">
        <v>16</v>
      </c>
      <c r="V140" s="72" t="str">
        <f t="shared" si="821"/>
        <v>NA</v>
      </c>
      <c r="W140" s="139">
        <v>16</v>
      </c>
      <c r="X140" s="72" t="str">
        <f t="shared" si="822"/>
        <v>NA</v>
      </c>
      <c r="Y140" s="139">
        <v>30</v>
      </c>
      <c r="Z140" s="72" t="str">
        <f t="shared" si="823"/>
        <v>NA</v>
      </c>
      <c r="AA140" s="139">
        <v>29</v>
      </c>
      <c r="AB140" s="72" t="str">
        <f t="shared" si="824"/>
        <v>NA</v>
      </c>
      <c r="AC140" s="139">
        <v>25</v>
      </c>
      <c r="AD140" s="72">
        <f t="shared" si="825"/>
        <v>56.25</v>
      </c>
      <c r="AE140" s="139">
        <v>24</v>
      </c>
      <c r="AF140" s="72">
        <f t="shared" si="826"/>
        <v>50</v>
      </c>
      <c r="AG140" s="139">
        <v>54</v>
      </c>
      <c r="AH140" s="72">
        <f t="shared" si="827"/>
        <v>80</v>
      </c>
      <c r="AI140" s="139">
        <v>32</v>
      </c>
      <c r="AJ140" s="72">
        <f t="shared" si="828"/>
        <v>10.34482758620689</v>
      </c>
      <c r="AK140" s="139">
        <v>39</v>
      </c>
      <c r="AL140" s="72">
        <f t="shared" si="829"/>
        <v>56</v>
      </c>
      <c r="AM140" s="139">
        <v>48</v>
      </c>
      <c r="AN140" s="72">
        <f t="shared" si="830"/>
        <v>100</v>
      </c>
      <c r="AO140" s="139">
        <v>59</v>
      </c>
      <c r="AP140" s="72">
        <f t="shared" si="831"/>
        <v>9.2592592592592524</v>
      </c>
      <c r="AQ140" s="139">
        <v>51</v>
      </c>
      <c r="AR140" s="72">
        <f t="shared" si="832"/>
        <v>59.375</v>
      </c>
      <c r="AS140" s="139">
        <v>53</v>
      </c>
      <c r="AT140" s="72">
        <f t="shared" si="833"/>
        <v>35.897435897435912</v>
      </c>
      <c r="AU140" s="139">
        <v>54</v>
      </c>
      <c r="AV140" s="72">
        <f t="shared" si="834"/>
        <v>12.5</v>
      </c>
      <c r="AW140" s="139">
        <v>56</v>
      </c>
      <c r="AX140" s="72">
        <f t="shared" si="835"/>
        <v>-5.0847457627118615</v>
      </c>
      <c r="AY140" s="139">
        <v>40</v>
      </c>
      <c r="AZ140" s="72">
        <f t="shared" si="836"/>
        <v>-21.568627450980387</v>
      </c>
      <c r="BA140" s="139">
        <v>43</v>
      </c>
      <c r="BB140" s="72">
        <f t="shared" si="837"/>
        <v>-18.867924528301884</v>
      </c>
      <c r="BC140" s="139">
        <v>34</v>
      </c>
      <c r="BD140" s="72">
        <f t="shared" si="838"/>
        <v>-37.037037037037038</v>
      </c>
      <c r="BE140" s="139">
        <v>75</v>
      </c>
      <c r="BF140" s="72">
        <f t="shared" si="839"/>
        <v>33.928571428571416</v>
      </c>
      <c r="BG140" s="139">
        <v>44</v>
      </c>
      <c r="BH140" s="72">
        <f t="shared" si="840"/>
        <v>10.000000000000014</v>
      </c>
      <c r="BI140" s="139">
        <v>45</v>
      </c>
      <c r="BJ140" s="72">
        <f t="shared" si="841"/>
        <v>4.6511627906976827</v>
      </c>
      <c r="BK140" s="139">
        <v>40</v>
      </c>
      <c r="BL140" s="72">
        <f t="shared" si="842"/>
        <v>17.64705882352942</v>
      </c>
      <c r="BM140" s="139">
        <v>21</v>
      </c>
      <c r="BN140" s="72" t="str">
        <f t="shared" si="843"/>
        <v>NM</v>
      </c>
      <c r="BO140" s="139">
        <v>17</v>
      </c>
      <c r="BP140" s="72" t="str">
        <f t="shared" si="844"/>
        <v>NM</v>
      </c>
      <c r="BQ140" s="139">
        <v>22</v>
      </c>
      <c r="BR140" s="72" t="str">
        <f t="shared" si="845"/>
        <v>NM</v>
      </c>
      <c r="BS140" s="139">
        <v>21</v>
      </c>
      <c r="BT140" s="72">
        <f t="shared" si="846"/>
        <v>-47.5</v>
      </c>
      <c r="BU140" s="139">
        <v>23</v>
      </c>
      <c r="BV140" s="72">
        <f t="shared" si="847"/>
        <v>9.5238095238095326</v>
      </c>
      <c r="BW140" s="139">
        <v>28</v>
      </c>
      <c r="BX140" s="72">
        <f t="shared" si="848"/>
        <v>64.70588235294116</v>
      </c>
      <c r="BY140" s="139">
        <v>32</v>
      </c>
      <c r="BZ140" s="72">
        <f t="shared" si="848"/>
        <v>45.454545454545467</v>
      </c>
      <c r="CA140" s="139">
        <v>26</v>
      </c>
      <c r="CB140" s="72">
        <f t="shared" si="848"/>
        <v>23.80952380952381</v>
      </c>
      <c r="CC140" s="139">
        <v>27</v>
      </c>
      <c r="CD140" s="72">
        <f t="shared" si="848"/>
        <v>17.391304347826093</v>
      </c>
      <c r="CE140" s="139">
        <v>20</v>
      </c>
      <c r="CF140" s="72">
        <f t="shared" si="848"/>
        <v>-28.571428571428569</v>
      </c>
      <c r="CG140" s="139">
        <v>17</v>
      </c>
      <c r="CH140" s="72">
        <f t="shared" si="848"/>
        <v>-46.875</v>
      </c>
      <c r="CI140" s="139">
        <v>20</v>
      </c>
      <c r="CJ140" s="72">
        <f t="shared" si="848"/>
        <v>-23.076923076923066</v>
      </c>
      <c r="CK140" s="139">
        <v>20</v>
      </c>
      <c r="CL140" s="72">
        <f t="shared" si="848"/>
        <v>-25.925925925925924</v>
      </c>
      <c r="CM140" s="139">
        <v>23</v>
      </c>
      <c r="CN140" s="72">
        <f t="shared" si="849"/>
        <v>14.999999999999986</v>
      </c>
      <c r="CO140" s="139">
        <v>22</v>
      </c>
      <c r="CP140" s="72">
        <f t="shared" si="850"/>
        <v>29.411764705882348</v>
      </c>
      <c r="CQ140" s="139">
        <v>21</v>
      </c>
      <c r="CR140" s="72">
        <f t="shared" si="851"/>
        <v>5</v>
      </c>
      <c r="CS140" s="139">
        <v>29</v>
      </c>
      <c r="CT140" s="72">
        <f t="shared" si="852"/>
        <v>45</v>
      </c>
      <c r="CU140" s="139">
        <v>34</v>
      </c>
      <c r="CV140" s="72">
        <f t="shared" si="853"/>
        <v>47.826086956521721</v>
      </c>
      <c r="CW140" s="139">
        <v>42</v>
      </c>
      <c r="CX140" s="72"/>
      <c r="CY140" s="139">
        <v>52</v>
      </c>
      <c r="CZ140" s="72"/>
      <c r="DA140" s="139">
        <v>90</v>
      </c>
      <c r="DB140" s="72"/>
      <c r="DC140" s="139">
        <v>157</v>
      </c>
      <c r="DD140" s="72"/>
      <c r="DE140" s="139">
        <v>124</v>
      </c>
      <c r="DF140" s="72"/>
      <c r="DG140" s="139">
        <v>107</v>
      </c>
      <c r="DH140" s="72"/>
      <c r="DI140" s="139">
        <v>109</v>
      </c>
      <c r="DJ140" s="72"/>
      <c r="DK140" s="139">
        <v>71</v>
      </c>
      <c r="DL140" s="72"/>
      <c r="DM140" s="139">
        <v>46</v>
      </c>
      <c r="DN140" s="72" t="str">
        <f t="shared" si="854"/>
        <v>NM</v>
      </c>
      <c r="DO140" s="139">
        <v>43</v>
      </c>
      <c r="DP140" s="72" t="str">
        <f t="shared" si="854"/>
        <v>NM</v>
      </c>
      <c r="DQ140" s="139">
        <v>59</v>
      </c>
      <c r="DR140" s="72">
        <f t="shared" si="854"/>
        <v>-45.871559633027523</v>
      </c>
      <c r="DS140" s="139">
        <v>57</v>
      </c>
      <c r="DT140" s="72">
        <f t="shared" si="854"/>
        <v>-19.718309859154928</v>
      </c>
      <c r="DU140" s="139">
        <v>65</v>
      </c>
      <c r="DV140" s="72">
        <f t="shared" si="854"/>
        <v>41.304347826086968</v>
      </c>
      <c r="DW140" s="139">
        <v>82</v>
      </c>
      <c r="DX140" s="72">
        <f t="shared" si="854"/>
        <v>90.697674418604663</v>
      </c>
      <c r="DY140" s="139">
        <f>73+32</f>
        <v>105</v>
      </c>
      <c r="DZ140" s="72">
        <f t="shared" si="854"/>
        <v>77.966101694915238</v>
      </c>
      <c r="EA140" s="139">
        <f>51+20</f>
        <v>71</v>
      </c>
      <c r="EB140" s="72">
        <f t="shared" si="855"/>
        <v>24.561403508771946</v>
      </c>
      <c r="EC140" s="139">
        <f>61+23</f>
        <v>84</v>
      </c>
      <c r="ED140" s="72">
        <f t="shared" si="856"/>
        <v>29.230769230769226</v>
      </c>
      <c r="EE140" s="139">
        <f>54+21</f>
        <v>75</v>
      </c>
      <c r="EF140" s="72">
        <f t="shared" si="857"/>
        <v>-8.5365853658536537</v>
      </c>
      <c r="EG140" s="139">
        <f>77+32</f>
        <v>109</v>
      </c>
      <c r="EH140" s="72">
        <f t="shared" si="858"/>
        <v>3.8095238095238244</v>
      </c>
      <c r="EI140" s="139">
        <f>53+21</f>
        <v>74</v>
      </c>
      <c r="EJ140" s="72">
        <f t="shared" si="859"/>
        <v>4.2253521126760489</v>
      </c>
      <c r="EK140" s="139">
        <f>40+33</f>
        <v>73</v>
      </c>
      <c r="EL140" s="72">
        <f t="shared" si="860"/>
        <v>-13.095238095238088</v>
      </c>
      <c r="EM140" s="139">
        <f>31+28</f>
        <v>59</v>
      </c>
      <c r="EN140" s="72">
        <f t="shared" si="861"/>
        <v>-21.333333333333343</v>
      </c>
      <c r="EO140" s="139">
        <f>32+43</f>
        <v>75</v>
      </c>
      <c r="EP140" s="72">
        <f t="shared" si="862"/>
        <v>-31.192660550458712</v>
      </c>
      <c r="EQ140" s="139"/>
      <c r="ER140" s="72" t="str">
        <f t="shared" si="863"/>
        <v>NM</v>
      </c>
      <c r="ES140" s="139"/>
      <c r="ET140" s="72" t="str">
        <f t="shared" si="864"/>
        <v>NM</v>
      </c>
      <c r="EU140" s="139"/>
      <c r="EV140" s="72" t="str">
        <f t="shared" si="865"/>
        <v>NM</v>
      </c>
      <c r="EW140" s="139"/>
      <c r="EX140" s="72" t="str">
        <f t="shared" si="866"/>
        <v>NM</v>
      </c>
      <c r="EY140" s="72"/>
      <c r="EZ140" s="296"/>
      <c r="FA140" s="72"/>
      <c r="FB140" s="9"/>
      <c r="FC140" s="11"/>
      <c r="FD140" s="9"/>
      <c r="FE140" s="72"/>
      <c r="FF140" s="16"/>
      <c r="FG140" s="72"/>
      <c r="FH140" s="16"/>
      <c r="FI140" s="72"/>
      <c r="FJ140" s="16"/>
      <c r="FK140" s="72"/>
      <c r="FL140" s="16"/>
      <c r="FM140" s="72"/>
      <c r="FN140" s="16"/>
      <c r="FO140" s="72"/>
      <c r="FP140" s="9"/>
      <c r="FQ140" s="72"/>
      <c r="FR140" s="75">
        <f t="shared" si="867"/>
        <v>192</v>
      </c>
      <c r="FS140" s="72" t="str">
        <f t="shared" si="868"/>
        <v>NA</v>
      </c>
      <c r="FT140" s="75">
        <f t="shared" si="869"/>
        <v>150</v>
      </c>
      <c r="FU140" s="72">
        <f t="shared" si="870"/>
        <v>-21.875</v>
      </c>
      <c r="FV140" s="75">
        <f t="shared" si="871"/>
        <v>83</v>
      </c>
      <c r="FW140" s="72">
        <f t="shared" si="872"/>
        <v>-44.666666666666664</v>
      </c>
      <c r="FX140" s="75">
        <f t="shared" si="873"/>
        <v>113</v>
      </c>
      <c r="FY140" s="72">
        <f t="shared" si="874"/>
        <v>36.144578313253021</v>
      </c>
      <c r="FZ140" s="75">
        <f t="shared" si="875"/>
        <v>77</v>
      </c>
      <c r="GA140" s="72">
        <f t="shared" si="874"/>
        <v>-31.858407079646028</v>
      </c>
      <c r="GB140" s="75">
        <f t="shared" si="876"/>
        <v>95</v>
      </c>
      <c r="GC140" s="72">
        <f t="shared" si="874"/>
        <v>23.376623376623385</v>
      </c>
      <c r="GD140" s="9"/>
      <c r="GE140" s="72"/>
      <c r="GF140" s="9"/>
      <c r="GG140" s="72"/>
      <c r="GH140" s="9"/>
      <c r="GI140" s="72"/>
      <c r="GJ140" s="9"/>
      <c r="GK140" s="72"/>
      <c r="GL140" s="9"/>
      <c r="GM140" s="72"/>
      <c r="GN140" s="9"/>
      <c r="GO140" s="72"/>
      <c r="GP140" s="9"/>
      <c r="GQ140" s="72"/>
      <c r="GR140" s="139"/>
      <c r="GS140" s="72"/>
      <c r="GT140" s="139"/>
      <c r="GU140" s="72"/>
      <c r="GV140" s="139"/>
      <c r="GW140" s="72"/>
      <c r="GX140" s="139"/>
      <c r="GY140" s="72"/>
      <c r="GZ140" s="72"/>
      <c r="HA140" s="72"/>
      <c r="HB140" s="72"/>
      <c r="HC140"/>
      <c r="HD140"/>
      <c r="HE140"/>
      <c r="HF140"/>
      <c r="HG140"/>
      <c r="HH140"/>
      <c r="HI140" s="2"/>
    </row>
    <row r="141" spans="1:217" s="3" customFormat="1" ht="12.75" customHeight="1" x14ac:dyDescent="0.2">
      <c r="A141" s="3" t="s">
        <v>92</v>
      </c>
      <c r="B141" s="10" t="s">
        <v>608</v>
      </c>
      <c r="C141" s="139" t="s">
        <v>476</v>
      </c>
      <c r="D141" s="11"/>
      <c r="E141" s="139" t="s">
        <v>476</v>
      </c>
      <c r="F141" s="11"/>
      <c r="G141" s="139">
        <v>7</v>
      </c>
      <c r="H141" s="72"/>
      <c r="I141" s="139">
        <v>29</v>
      </c>
      <c r="J141" s="72"/>
      <c r="K141" s="139">
        <v>37</v>
      </c>
      <c r="L141" s="72" t="str">
        <f>IF(ISERROR(K141/C141),"NA",IF(OR(K141/C141&gt;2,K141/C141&lt;0.5),"NM",K141/C141*100-100))</f>
        <v>NA</v>
      </c>
      <c r="M141" s="139">
        <v>28</v>
      </c>
      <c r="N141" s="72" t="str">
        <f>IF(ISERROR(M141/E141),"NA",IF(OR(M141/E141&gt;2,M141/E141&lt;0.5),"NM",M141/E141*100-100))</f>
        <v>NA</v>
      </c>
      <c r="O141" s="139">
        <v>117</v>
      </c>
      <c r="P141" s="72" t="str">
        <f>IF(ISERROR(O141/G141),"NA",IF(OR(O141/G141&gt;2,O141/G141&lt;0.5),"NM",O141/G141*100-100))</f>
        <v>NM</v>
      </c>
      <c r="Q141" s="139">
        <v>17</v>
      </c>
      <c r="R141" s="72">
        <f>IF(ISERROR(Q141/I141),"NA",IF(OR(Q141/I141&gt;2,Q141/I141&lt;0.5),"NM",Q141/I141*100-100))</f>
        <v>-41.379310344827594</v>
      </c>
      <c r="S141" s="139">
        <v>10</v>
      </c>
      <c r="T141" s="72" t="str">
        <f t="shared" si="820"/>
        <v>NM</v>
      </c>
      <c r="U141" s="139">
        <v>76</v>
      </c>
      <c r="V141" s="72" t="str">
        <f t="shared" si="821"/>
        <v>NM</v>
      </c>
      <c r="W141" s="139">
        <v>21</v>
      </c>
      <c r="X141" s="72" t="str">
        <f t="shared" si="822"/>
        <v>NM</v>
      </c>
      <c r="Y141" s="139">
        <v>16</v>
      </c>
      <c r="Z141" s="72">
        <f t="shared" si="823"/>
        <v>-5.8823529411764781</v>
      </c>
      <c r="AA141" s="139">
        <v>4</v>
      </c>
      <c r="AB141" s="72" t="str">
        <f t="shared" si="824"/>
        <v>NM</v>
      </c>
      <c r="AC141" s="139">
        <v>13</v>
      </c>
      <c r="AD141" s="72" t="str">
        <f t="shared" si="825"/>
        <v>NM</v>
      </c>
      <c r="AE141" s="139">
        <v>3</v>
      </c>
      <c r="AF141" s="72" t="str">
        <f t="shared" si="826"/>
        <v>NM</v>
      </c>
      <c r="AG141" s="139">
        <v>1</v>
      </c>
      <c r="AH141" s="72" t="str">
        <f t="shared" si="827"/>
        <v>NM</v>
      </c>
      <c r="AI141" s="139">
        <v>6</v>
      </c>
      <c r="AJ141" s="72">
        <f t="shared" si="828"/>
        <v>50</v>
      </c>
      <c r="AK141" s="139">
        <v>1</v>
      </c>
      <c r="AL141" s="72" t="str">
        <f t="shared" si="829"/>
        <v>NM</v>
      </c>
      <c r="AM141" s="139">
        <v>4</v>
      </c>
      <c r="AN141" s="72">
        <f t="shared" si="830"/>
        <v>33.333333333333314</v>
      </c>
      <c r="AO141" s="139">
        <v>3</v>
      </c>
      <c r="AP141" s="72" t="str">
        <f t="shared" si="831"/>
        <v>NM</v>
      </c>
      <c r="AQ141" s="139">
        <v>1</v>
      </c>
      <c r="AR141" s="72" t="str">
        <f t="shared" si="832"/>
        <v>NM</v>
      </c>
      <c r="AS141" s="139">
        <v>1</v>
      </c>
      <c r="AT141" s="72">
        <f t="shared" si="833"/>
        <v>0</v>
      </c>
      <c r="AU141" s="139">
        <v>3</v>
      </c>
      <c r="AV141" s="72">
        <f t="shared" si="834"/>
        <v>-25</v>
      </c>
      <c r="AW141" s="139">
        <v>2</v>
      </c>
      <c r="AX141" s="72">
        <f t="shared" si="835"/>
        <v>-33.333333333333343</v>
      </c>
      <c r="AY141" s="139">
        <v>1</v>
      </c>
      <c r="AZ141" s="72">
        <f t="shared" si="836"/>
        <v>0</v>
      </c>
      <c r="BA141" s="139">
        <v>4</v>
      </c>
      <c r="BB141" s="72" t="str">
        <f t="shared" si="837"/>
        <v>NM</v>
      </c>
      <c r="BC141" s="139">
        <v>5</v>
      </c>
      <c r="BD141" s="72">
        <f t="shared" si="838"/>
        <v>66.666666666666686</v>
      </c>
      <c r="BE141" s="139">
        <v>2</v>
      </c>
      <c r="BF141" s="72">
        <f t="shared" si="839"/>
        <v>0</v>
      </c>
      <c r="BG141" s="139">
        <v>5</v>
      </c>
      <c r="BH141" s="72" t="str">
        <f t="shared" si="840"/>
        <v>NM</v>
      </c>
      <c r="BI141" s="139">
        <v>3</v>
      </c>
      <c r="BJ141" s="72">
        <f t="shared" si="841"/>
        <v>-25</v>
      </c>
      <c r="BK141" s="139">
        <v>1</v>
      </c>
      <c r="BL141" s="72" t="str">
        <f t="shared" si="842"/>
        <v>NM</v>
      </c>
      <c r="BM141" s="139">
        <v>0</v>
      </c>
      <c r="BN141" s="72" t="str">
        <f t="shared" si="843"/>
        <v>NM</v>
      </c>
      <c r="BO141" s="139">
        <v>0</v>
      </c>
      <c r="BP141" s="72" t="str">
        <f t="shared" si="844"/>
        <v>NM</v>
      </c>
      <c r="BQ141" s="139">
        <v>0</v>
      </c>
      <c r="BR141" s="72" t="str">
        <f t="shared" si="845"/>
        <v>NM</v>
      </c>
      <c r="BS141" s="139">
        <v>0</v>
      </c>
      <c r="BT141" s="72" t="str">
        <f t="shared" si="846"/>
        <v>NM</v>
      </c>
      <c r="BU141" s="139">
        <v>0</v>
      </c>
      <c r="BV141" s="72" t="str">
        <f t="shared" si="847"/>
        <v>NA</v>
      </c>
      <c r="BW141" s="139">
        <v>0</v>
      </c>
      <c r="BX141" s="72" t="str">
        <f t="shared" si="848"/>
        <v>NA</v>
      </c>
      <c r="BY141" s="139">
        <v>0</v>
      </c>
      <c r="BZ141" s="72" t="str">
        <f t="shared" si="848"/>
        <v>NA</v>
      </c>
      <c r="CA141" s="139">
        <v>0</v>
      </c>
      <c r="CB141" s="72" t="str">
        <f t="shared" si="848"/>
        <v>NA</v>
      </c>
      <c r="CC141" s="139">
        <v>0</v>
      </c>
      <c r="CD141" s="72" t="str">
        <f t="shared" si="848"/>
        <v>NA</v>
      </c>
      <c r="CE141" s="139">
        <v>0</v>
      </c>
      <c r="CF141" s="72" t="str">
        <f t="shared" si="848"/>
        <v>NA</v>
      </c>
      <c r="CG141" s="139">
        <v>0</v>
      </c>
      <c r="CH141" s="72" t="str">
        <f t="shared" si="848"/>
        <v>NA</v>
      </c>
      <c r="CI141" s="139">
        <v>0</v>
      </c>
      <c r="CJ141" s="72" t="str">
        <f t="shared" si="848"/>
        <v>NA</v>
      </c>
      <c r="CK141" s="139">
        <v>0</v>
      </c>
      <c r="CL141" s="72" t="str">
        <f t="shared" si="848"/>
        <v>NA</v>
      </c>
      <c r="CM141" s="139">
        <v>0</v>
      </c>
      <c r="CN141" s="72" t="str">
        <f t="shared" si="849"/>
        <v>NA</v>
      </c>
      <c r="CO141" s="139">
        <v>0</v>
      </c>
      <c r="CP141" s="72" t="str">
        <f t="shared" si="850"/>
        <v>NA</v>
      </c>
      <c r="CQ141" s="139">
        <v>0</v>
      </c>
      <c r="CR141" s="72" t="str">
        <f t="shared" si="851"/>
        <v>NA</v>
      </c>
      <c r="CS141" s="139">
        <v>0</v>
      </c>
      <c r="CT141" s="72" t="str">
        <f t="shared" si="852"/>
        <v>NA</v>
      </c>
      <c r="CU141" s="139">
        <v>0</v>
      </c>
      <c r="CV141" s="72" t="str">
        <f t="shared" si="853"/>
        <v>NA</v>
      </c>
      <c r="CW141" s="139">
        <v>0</v>
      </c>
      <c r="CX141" s="72"/>
      <c r="CY141" s="139">
        <v>0</v>
      </c>
      <c r="CZ141" s="72"/>
      <c r="DA141" s="139">
        <v>0</v>
      </c>
      <c r="DB141" s="72"/>
      <c r="DC141" s="139">
        <v>0</v>
      </c>
      <c r="DD141" s="72"/>
      <c r="DE141" s="139">
        <v>0</v>
      </c>
      <c r="DF141" s="72"/>
      <c r="DG141" s="139">
        <v>0</v>
      </c>
      <c r="DH141" s="72"/>
      <c r="DI141" s="139">
        <v>0</v>
      </c>
      <c r="DJ141" s="72"/>
      <c r="DK141" s="139">
        <v>0</v>
      </c>
      <c r="DL141" s="72"/>
      <c r="DM141" s="139">
        <v>0</v>
      </c>
      <c r="DN141" s="72" t="str">
        <f t="shared" si="854"/>
        <v>NA</v>
      </c>
      <c r="DO141" s="139">
        <v>0</v>
      </c>
      <c r="DP141" s="72" t="str">
        <f t="shared" si="854"/>
        <v>NA</v>
      </c>
      <c r="DQ141" s="139">
        <v>0</v>
      </c>
      <c r="DR141" s="72" t="str">
        <f t="shared" si="854"/>
        <v>NA</v>
      </c>
      <c r="DS141" s="139">
        <v>0</v>
      </c>
      <c r="DT141" s="72" t="str">
        <f t="shared" si="854"/>
        <v>NA</v>
      </c>
      <c r="DU141" s="139">
        <v>0</v>
      </c>
      <c r="DV141" s="72" t="str">
        <f t="shared" si="854"/>
        <v>NA</v>
      </c>
      <c r="DW141" s="139">
        <v>0</v>
      </c>
      <c r="DX141" s="72" t="str">
        <f t="shared" si="854"/>
        <v>NA</v>
      </c>
      <c r="DY141" s="139">
        <v>0</v>
      </c>
      <c r="DZ141" s="72" t="str">
        <f t="shared" si="854"/>
        <v>NA</v>
      </c>
      <c r="EA141" s="139">
        <v>0</v>
      </c>
      <c r="EB141" s="72" t="str">
        <f t="shared" si="855"/>
        <v>NA</v>
      </c>
      <c r="EC141" s="139">
        <v>0</v>
      </c>
      <c r="ED141" s="72" t="str">
        <f t="shared" si="856"/>
        <v>NA</v>
      </c>
      <c r="EE141" s="139">
        <v>0</v>
      </c>
      <c r="EF141" s="72" t="str">
        <f t="shared" si="857"/>
        <v>NA</v>
      </c>
      <c r="EG141" s="139">
        <v>0</v>
      </c>
      <c r="EH141" s="72" t="str">
        <f t="shared" si="858"/>
        <v>NA</v>
      </c>
      <c r="EI141" s="139">
        <v>0</v>
      </c>
      <c r="EJ141" s="72" t="str">
        <f t="shared" si="859"/>
        <v>NA</v>
      </c>
      <c r="EK141" s="139">
        <v>0</v>
      </c>
      <c r="EL141" s="72" t="str">
        <f t="shared" si="860"/>
        <v>NA</v>
      </c>
      <c r="EM141" s="139">
        <v>0</v>
      </c>
      <c r="EN141" s="72" t="str">
        <f t="shared" si="861"/>
        <v>NA</v>
      </c>
      <c r="EO141" s="139">
        <v>0</v>
      </c>
      <c r="EP141" s="72" t="str">
        <f t="shared" si="862"/>
        <v>NA</v>
      </c>
      <c r="EQ141" s="139"/>
      <c r="ER141" s="72" t="str">
        <f t="shared" si="863"/>
        <v>NA</v>
      </c>
      <c r="ES141" s="139"/>
      <c r="ET141" s="72" t="str">
        <f t="shared" si="864"/>
        <v>NA</v>
      </c>
      <c r="EU141" s="139"/>
      <c r="EV141" s="72" t="str">
        <f t="shared" si="865"/>
        <v>NA</v>
      </c>
      <c r="EW141" s="139"/>
      <c r="EX141" s="72" t="str">
        <f t="shared" si="866"/>
        <v>NA</v>
      </c>
      <c r="EY141" s="72"/>
      <c r="EZ141" s="296"/>
      <c r="FA141" s="72"/>
      <c r="FB141" s="9"/>
      <c r="FC141" s="11"/>
      <c r="FD141" s="9"/>
      <c r="FE141" s="72"/>
      <c r="FF141" s="16"/>
      <c r="FG141" s="72"/>
      <c r="FH141" s="16"/>
      <c r="FI141" s="72"/>
      <c r="FJ141" s="16"/>
      <c r="FK141" s="72"/>
      <c r="FL141" s="16"/>
      <c r="FM141" s="72"/>
      <c r="FN141" s="16"/>
      <c r="FO141" s="72"/>
      <c r="FP141" s="9"/>
      <c r="FQ141" s="72"/>
      <c r="FR141" s="75">
        <f t="shared" si="867"/>
        <v>12</v>
      </c>
      <c r="FS141" s="72" t="str">
        <f t="shared" si="868"/>
        <v>NA</v>
      </c>
      <c r="FT141" s="75">
        <f t="shared" si="869"/>
        <v>9</v>
      </c>
      <c r="FU141" s="72">
        <f t="shared" si="870"/>
        <v>-25</v>
      </c>
      <c r="FV141" s="75">
        <f t="shared" si="871"/>
        <v>0</v>
      </c>
      <c r="FW141" s="72" t="str">
        <f t="shared" si="872"/>
        <v>NM</v>
      </c>
      <c r="FX141" s="75">
        <f t="shared" si="873"/>
        <v>0</v>
      </c>
      <c r="FY141" s="72" t="str">
        <f t="shared" si="874"/>
        <v>NA</v>
      </c>
      <c r="FZ141" s="75">
        <f t="shared" si="875"/>
        <v>0</v>
      </c>
      <c r="GA141" s="72" t="str">
        <f t="shared" si="874"/>
        <v>NA</v>
      </c>
      <c r="GB141" s="75">
        <f t="shared" si="876"/>
        <v>0</v>
      </c>
      <c r="GC141" s="72" t="str">
        <f t="shared" si="874"/>
        <v>NA</v>
      </c>
      <c r="GD141" s="9"/>
      <c r="GE141" s="72"/>
      <c r="GF141" s="9"/>
      <c r="GG141" s="72"/>
      <c r="GH141" s="9"/>
      <c r="GI141" s="72"/>
      <c r="GJ141" s="9"/>
      <c r="GK141" s="72"/>
      <c r="GL141" s="9"/>
      <c r="GM141" s="72"/>
      <c r="GN141" s="9"/>
      <c r="GO141" s="72"/>
      <c r="GP141" s="9"/>
      <c r="GQ141" s="72"/>
      <c r="GR141" s="139"/>
      <c r="GS141" s="72"/>
      <c r="GT141" s="139"/>
      <c r="GU141" s="72"/>
      <c r="GV141" s="139"/>
      <c r="GW141" s="72"/>
      <c r="GX141" s="139"/>
      <c r="GY141" s="72"/>
      <c r="GZ141" s="72"/>
      <c r="HA141" s="72"/>
      <c r="HB141" s="72"/>
      <c r="HC141"/>
      <c r="HD141"/>
      <c r="HE141"/>
      <c r="HF141"/>
      <c r="HG141"/>
      <c r="HH141"/>
      <c r="HI141" s="2"/>
    </row>
    <row r="142" spans="1:217" s="3" customFormat="1" ht="12.75" customHeight="1" x14ac:dyDescent="0.2">
      <c r="A142" s="3" t="s">
        <v>283</v>
      </c>
      <c r="B142" s="10" t="s">
        <v>445</v>
      </c>
      <c r="C142" s="139" t="s">
        <v>476</v>
      </c>
      <c r="D142" s="11"/>
      <c r="E142" s="139" t="s">
        <v>476</v>
      </c>
      <c r="F142" s="11"/>
      <c r="G142" s="139">
        <v>15</v>
      </c>
      <c r="H142" s="72"/>
      <c r="I142" s="139">
        <v>17</v>
      </c>
      <c r="J142" s="72"/>
      <c r="K142" s="139">
        <v>10</v>
      </c>
      <c r="L142" s="72" t="str">
        <f>IF(ISERROR(K142/C142),"NA",IF(OR(K142/C142&gt;2,K142/C142&lt;0.5),"NM",K142/C142*100-100))</f>
        <v>NA</v>
      </c>
      <c r="M142" s="139">
        <v>11</v>
      </c>
      <c r="N142" s="72" t="str">
        <f>IF(ISERROR(M142/E142),"NA",IF(OR(M142/E142&gt;2,M142/E142&lt;0.5),"NM",M142/E142*100-100))</f>
        <v>NA</v>
      </c>
      <c r="O142" s="139">
        <v>11</v>
      </c>
      <c r="P142" s="72">
        <f>IF(ISERROR(O142/G142),"NA",IF(OR(O142/G142&gt;2,O142/G142&lt;0.5),"NM",O142/G142*100-100))</f>
        <v>-26.666666666666671</v>
      </c>
      <c r="Q142" s="139">
        <v>11</v>
      </c>
      <c r="R142" s="72">
        <f>IF(ISERROR(Q142/I142),"NA",IF(OR(Q142/I142&gt;2,Q142/I142&lt;0.5),"NM",Q142/I142*100-100))</f>
        <v>-35.294117647058826</v>
      </c>
      <c r="S142" s="139">
        <v>13</v>
      </c>
      <c r="T142" s="72">
        <f t="shared" si="820"/>
        <v>30</v>
      </c>
      <c r="U142" s="139">
        <v>15</v>
      </c>
      <c r="V142" s="72">
        <f t="shared" si="821"/>
        <v>36.363636363636346</v>
      </c>
      <c r="W142" s="139">
        <v>17</v>
      </c>
      <c r="X142" s="72">
        <f t="shared" si="822"/>
        <v>54.545454545454533</v>
      </c>
      <c r="Y142" s="139">
        <v>26</v>
      </c>
      <c r="Z142" s="72" t="str">
        <f t="shared" si="823"/>
        <v>NM</v>
      </c>
      <c r="AA142" s="139">
        <v>26</v>
      </c>
      <c r="AB142" s="72">
        <f t="shared" si="824"/>
        <v>100</v>
      </c>
      <c r="AC142" s="139">
        <v>29</v>
      </c>
      <c r="AD142" s="72">
        <f t="shared" si="825"/>
        <v>93.333333333333343</v>
      </c>
      <c r="AE142" s="139">
        <v>26</v>
      </c>
      <c r="AF142" s="72">
        <f t="shared" si="826"/>
        <v>52.941176470588232</v>
      </c>
      <c r="AG142" s="139">
        <v>29</v>
      </c>
      <c r="AH142" s="72">
        <f t="shared" si="827"/>
        <v>11.538461538461547</v>
      </c>
      <c r="AI142" s="139">
        <v>32</v>
      </c>
      <c r="AJ142" s="72">
        <f t="shared" si="828"/>
        <v>23.07692307692308</v>
      </c>
      <c r="AK142" s="139">
        <v>28</v>
      </c>
      <c r="AL142" s="72">
        <f t="shared" si="829"/>
        <v>-3.448275862068968</v>
      </c>
      <c r="AM142" s="139">
        <v>28</v>
      </c>
      <c r="AN142" s="72">
        <f t="shared" si="830"/>
        <v>7.6923076923076934</v>
      </c>
      <c r="AO142" s="139">
        <v>28</v>
      </c>
      <c r="AP142" s="72">
        <f t="shared" si="831"/>
        <v>-3.448275862068968</v>
      </c>
      <c r="AQ142" s="139">
        <v>29</v>
      </c>
      <c r="AR142" s="72">
        <f t="shared" si="832"/>
        <v>-9.375</v>
      </c>
      <c r="AS142" s="139">
        <v>30</v>
      </c>
      <c r="AT142" s="72">
        <f t="shared" si="833"/>
        <v>7.1428571428571388</v>
      </c>
      <c r="AU142" s="139">
        <v>30</v>
      </c>
      <c r="AV142" s="72">
        <f t="shared" si="834"/>
        <v>7.1428571428571388</v>
      </c>
      <c r="AW142" s="139">
        <v>33</v>
      </c>
      <c r="AX142" s="72">
        <f t="shared" si="835"/>
        <v>17.857142857142861</v>
      </c>
      <c r="AY142" s="139">
        <v>31</v>
      </c>
      <c r="AZ142" s="72">
        <f t="shared" si="836"/>
        <v>6.8965517241379217</v>
      </c>
      <c r="BA142" s="139">
        <v>34</v>
      </c>
      <c r="BB142" s="72">
        <f t="shared" si="837"/>
        <v>13.333333333333329</v>
      </c>
      <c r="BC142" s="139">
        <v>35</v>
      </c>
      <c r="BD142" s="72">
        <f t="shared" si="838"/>
        <v>16.666666666666671</v>
      </c>
      <c r="BE142" s="139">
        <v>48</v>
      </c>
      <c r="BF142" s="72">
        <f t="shared" si="839"/>
        <v>45.454545454545467</v>
      </c>
      <c r="BG142" s="139">
        <v>49</v>
      </c>
      <c r="BH142" s="72">
        <f t="shared" si="840"/>
        <v>58.064516129032256</v>
      </c>
      <c r="BI142" s="139">
        <v>54</v>
      </c>
      <c r="BJ142" s="72">
        <f t="shared" si="841"/>
        <v>58.823529411764696</v>
      </c>
      <c r="BK142" s="139">
        <v>54</v>
      </c>
      <c r="BL142" s="72">
        <f t="shared" si="842"/>
        <v>54.285714285714306</v>
      </c>
      <c r="BM142" s="139">
        <v>55</v>
      </c>
      <c r="BN142" s="72">
        <f t="shared" si="843"/>
        <v>14.583333333333329</v>
      </c>
      <c r="BO142" s="139">
        <v>51</v>
      </c>
      <c r="BP142" s="72">
        <f t="shared" si="844"/>
        <v>4.0816326530612344</v>
      </c>
      <c r="BQ142" s="139">
        <v>52</v>
      </c>
      <c r="BR142" s="72">
        <f t="shared" si="845"/>
        <v>-3.7037037037037095</v>
      </c>
      <c r="BS142" s="139">
        <v>53</v>
      </c>
      <c r="BT142" s="72">
        <f t="shared" si="846"/>
        <v>-1.8518518518518476</v>
      </c>
      <c r="BU142" s="139">
        <v>53</v>
      </c>
      <c r="BV142" s="72">
        <f t="shared" si="847"/>
        <v>-3.6363636363636402</v>
      </c>
      <c r="BW142" s="139">
        <v>52</v>
      </c>
      <c r="BX142" s="72">
        <f t="shared" si="848"/>
        <v>1.9607843137254832</v>
      </c>
      <c r="BY142" s="139">
        <v>61</v>
      </c>
      <c r="BZ142" s="72">
        <f t="shared" si="848"/>
        <v>17.307692307692307</v>
      </c>
      <c r="CA142" s="139">
        <v>57</v>
      </c>
      <c r="CB142" s="72">
        <f t="shared" si="848"/>
        <v>7.5471698113207566</v>
      </c>
      <c r="CC142" s="139">
        <v>56</v>
      </c>
      <c r="CD142" s="72">
        <f t="shared" si="848"/>
        <v>5.6603773584905639</v>
      </c>
      <c r="CE142" s="139">
        <v>43</v>
      </c>
      <c r="CF142" s="72">
        <f t="shared" si="848"/>
        <v>-17.307692307692307</v>
      </c>
      <c r="CG142" s="139">
        <v>39</v>
      </c>
      <c r="CH142" s="72">
        <f t="shared" si="848"/>
        <v>-36.065573770491795</v>
      </c>
      <c r="CI142" s="139">
        <v>38</v>
      </c>
      <c r="CJ142" s="72">
        <f t="shared" si="848"/>
        <v>-33.333333333333343</v>
      </c>
      <c r="CK142" s="139">
        <v>40</v>
      </c>
      <c r="CL142" s="72">
        <f t="shared" si="848"/>
        <v>-28.571428571428569</v>
      </c>
      <c r="CM142" s="139">
        <v>35</v>
      </c>
      <c r="CN142" s="72">
        <f t="shared" si="849"/>
        <v>-18.604651162790702</v>
      </c>
      <c r="CO142" s="139">
        <v>40</v>
      </c>
      <c r="CP142" s="72">
        <f t="shared" si="850"/>
        <v>2.564102564102555</v>
      </c>
      <c r="CQ142" s="139">
        <v>41</v>
      </c>
      <c r="CR142" s="72">
        <f t="shared" si="851"/>
        <v>7.8947368421052602</v>
      </c>
      <c r="CS142" s="139">
        <v>42</v>
      </c>
      <c r="CT142" s="72">
        <f t="shared" si="852"/>
        <v>5</v>
      </c>
      <c r="CU142" s="139">
        <v>41</v>
      </c>
      <c r="CV142" s="72">
        <f t="shared" si="853"/>
        <v>17.142857142857153</v>
      </c>
      <c r="CW142" s="139">
        <v>44</v>
      </c>
      <c r="CX142" s="72"/>
      <c r="CY142" s="139">
        <v>42</v>
      </c>
      <c r="CZ142" s="72"/>
      <c r="DA142" s="139">
        <v>46</v>
      </c>
      <c r="DB142" s="72"/>
      <c r="DC142" s="139">
        <v>50</v>
      </c>
      <c r="DD142" s="72"/>
      <c r="DE142" s="139">
        <v>53</v>
      </c>
      <c r="DF142" s="72"/>
      <c r="DG142" s="139">
        <v>49</v>
      </c>
      <c r="DH142" s="72"/>
      <c r="DI142" s="139">
        <v>44</v>
      </c>
      <c r="DJ142" s="72"/>
      <c r="DK142" s="139">
        <v>42</v>
      </c>
      <c r="DL142" s="72"/>
      <c r="DM142" s="139">
        <v>46</v>
      </c>
      <c r="DN142" s="72">
        <f t="shared" si="854"/>
        <v>-13.20754716981132</v>
      </c>
      <c r="DO142" s="139">
        <v>44</v>
      </c>
      <c r="DP142" s="72">
        <f t="shared" si="854"/>
        <v>-10.204081632653057</v>
      </c>
      <c r="DQ142" s="139">
        <v>49</v>
      </c>
      <c r="DR142" s="72">
        <f t="shared" si="854"/>
        <v>11.36363636363636</v>
      </c>
      <c r="DS142" s="139">
        <v>49</v>
      </c>
      <c r="DT142" s="72">
        <f t="shared" si="854"/>
        <v>16.666666666666671</v>
      </c>
      <c r="DU142" s="139">
        <v>52</v>
      </c>
      <c r="DV142" s="72">
        <f t="shared" si="854"/>
        <v>13.043478260869563</v>
      </c>
      <c r="DW142" s="139">
        <v>51</v>
      </c>
      <c r="DX142" s="72">
        <f t="shared" si="854"/>
        <v>15.909090909090921</v>
      </c>
      <c r="DY142" s="139">
        <v>52</v>
      </c>
      <c r="DZ142" s="72">
        <f t="shared" si="854"/>
        <v>6.1224489795918373</v>
      </c>
      <c r="EA142" s="139">
        <v>48</v>
      </c>
      <c r="EB142" s="72">
        <f t="shared" si="855"/>
        <v>-2.0408163265306172</v>
      </c>
      <c r="EC142" s="139">
        <v>50</v>
      </c>
      <c r="ED142" s="72">
        <f t="shared" si="856"/>
        <v>-3.8461538461538396</v>
      </c>
      <c r="EE142" s="139">
        <v>52</v>
      </c>
      <c r="EF142" s="72">
        <f t="shared" si="857"/>
        <v>1.9607843137254832</v>
      </c>
      <c r="EG142" s="139">
        <f>50</f>
        <v>50</v>
      </c>
      <c r="EH142" s="72">
        <f t="shared" si="858"/>
        <v>-3.8461538461538396</v>
      </c>
      <c r="EI142" s="139">
        <v>49</v>
      </c>
      <c r="EJ142" s="72">
        <f t="shared" si="859"/>
        <v>2.0833333333333286</v>
      </c>
      <c r="EK142" s="139">
        <v>54</v>
      </c>
      <c r="EL142" s="72">
        <f t="shared" si="860"/>
        <v>8</v>
      </c>
      <c r="EM142" s="139">
        <v>57</v>
      </c>
      <c r="EN142" s="72">
        <f t="shared" si="861"/>
        <v>9.6153846153846274</v>
      </c>
      <c r="EO142" s="139">
        <v>53</v>
      </c>
      <c r="EP142" s="72">
        <f t="shared" si="862"/>
        <v>6</v>
      </c>
      <c r="EQ142" s="139"/>
      <c r="ER142" s="72" t="str">
        <f t="shared" si="863"/>
        <v>NM</v>
      </c>
      <c r="ES142" s="139"/>
      <c r="ET142" s="72" t="str">
        <f t="shared" si="864"/>
        <v>NM</v>
      </c>
      <c r="EU142" s="139"/>
      <c r="EV142" s="72" t="str">
        <f t="shared" si="865"/>
        <v>NM</v>
      </c>
      <c r="EW142" s="139"/>
      <c r="EX142" s="72" t="str">
        <f t="shared" si="866"/>
        <v>NM</v>
      </c>
      <c r="EY142" s="72"/>
      <c r="EZ142" s="296"/>
      <c r="FA142" s="72"/>
      <c r="FB142" s="9"/>
      <c r="FC142" s="11"/>
      <c r="FD142" s="9"/>
      <c r="FE142" s="72"/>
      <c r="FF142" s="16"/>
      <c r="FG142" s="72"/>
      <c r="FH142" s="16"/>
      <c r="FI142" s="72"/>
      <c r="FJ142" s="16"/>
      <c r="FK142" s="72"/>
      <c r="FL142" s="16"/>
      <c r="FM142" s="72"/>
      <c r="FN142" s="16"/>
      <c r="FO142" s="72"/>
      <c r="FP142" s="9"/>
      <c r="FQ142" s="72"/>
      <c r="FR142" s="75">
        <f t="shared" si="867"/>
        <v>148</v>
      </c>
      <c r="FS142" s="72" t="str">
        <f t="shared" si="868"/>
        <v>NA</v>
      </c>
      <c r="FT142" s="75">
        <f t="shared" si="869"/>
        <v>212</v>
      </c>
      <c r="FU142" s="72">
        <f t="shared" si="870"/>
        <v>43.243243243243256</v>
      </c>
      <c r="FV142" s="75">
        <f t="shared" si="871"/>
        <v>209</v>
      </c>
      <c r="FW142" s="72">
        <f t="shared" si="872"/>
        <v>-1.415094339622641</v>
      </c>
      <c r="FX142" s="75">
        <f t="shared" si="873"/>
        <v>226</v>
      </c>
      <c r="FY142" s="72">
        <f t="shared" si="874"/>
        <v>8.1339712918660325</v>
      </c>
      <c r="FZ142" s="75">
        <f t="shared" si="875"/>
        <v>160</v>
      </c>
      <c r="GA142" s="72">
        <f t="shared" si="874"/>
        <v>-29.203539823008853</v>
      </c>
      <c r="GB142" s="75">
        <f t="shared" si="876"/>
        <v>158</v>
      </c>
      <c r="GC142" s="72">
        <f t="shared" si="874"/>
        <v>-1.25</v>
      </c>
      <c r="GD142" s="9"/>
      <c r="GE142" s="72"/>
      <c r="GF142" s="9"/>
      <c r="GG142" s="72"/>
      <c r="GH142" s="9"/>
      <c r="GI142" s="72"/>
      <c r="GJ142" s="9"/>
      <c r="GK142" s="72"/>
      <c r="GL142" s="9"/>
      <c r="GM142" s="72"/>
      <c r="GN142" s="9"/>
      <c r="GO142" s="72"/>
      <c r="GP142" s="9"/>
      <c r="GQ142" s="72"/>
      <c r="GR142" s="139"/>
      <c r="GS142" s="72"/>
      <c r="GT142" s="139"/>
      <c r="GU142" s="72"/>
      <c r="GV142" s="139"/>
      <c r="GW142" s="72"/>
      <c r="GX142" s="139"/>
      <c r="GY142" s="72"/>
      <c r="GZ142" s="72"/>
      <c r="HA142" s="72"/>
      <c r="HB142" s="72"/>
      <c r="HC142"/>
      <c r="HD142"/>
      <c r="HE142"/>
      <c r="HF142"/>
      <c r="HG142"/>
      <c r="HH142"/>
      <c r="HI142" s="2"/>
    </row>
    <row r="143" spans="1:217" s="3" customFormat="1" ht="12.75" customHeight="1" x14ac:dyDescent="0.2">
      <c r="B143" s="10" t="s">
        <v>141</v>
      </c>
      <c r="C143" s="9" t="s">
        <v>476</v>
      </c>
      <c r="D143" s="11"/>
      <c r="E143" s="9" t="s">
        <v>476</v>
      </c>
      <c r="F143" s="11"/>
      <c r="G143" s="9">
        <f>SUM(G139:G142)</f>
        <v>91</v>
      </c>
      <c r="H143" s="72"/>
      <c r="I143" s="9">
        <f>SUM(I139:I142)</f>
        <v>124</v>
      </c>
      <c r="J143" s="72"/>
      <c r="K143" s="9">
        <f>SUM(K139:K142)</f>
        <v>112</v>
      </c>
      <c r="L143" s="72" t="str">
        <f>IF(ISERROR(K143/C143),"NA",IF(OR(K143/C143&gt;2,K143/C143&lt;0.5),"NM",K143/C143*100-100))</f>
        <v>NA</v>
      </c>
      <c r="M143" s="9">
        <f>SUM(M139:M142)</f>
        <v>97</v>
      </c>
      <c r="N143" s="72" t="str">
        <f>IF(ISERROR(M143/E143),"NA",IF(OR(M143/E143&gt;2,M143/E143&lt;0.5),"NM",M143/E143*100-100))</f>
        <v>NA</v>
      </c>
      <c r="O143" s="9">
        <f>SUM(O139:O142)</f>
        <v>179</v>
      </c>
      <c r="P143" s="72">
        <f>IF(ISERROR(O143/G143),"NA",IF(OR(O143/G143&gt;2,O143/G143&lt;0.5),"NM",O143/G143*100-100))</f>
        <v>96.703296703296701</v>
      </c>
      <c r="Q143" s="9">
        <f>SUM(Q139:Q142)</f>
        <v>82</v>
      </c>
      <c r="R143" s="72">
        <f>IF(ISERROR(Q143/I143),"NA",IF(OR(Q143/I143&gt;2,Q143/I143&lt;0.5),"NM",Q143/I143*100-100))</f>
        <v>-33.870967741935488</v>
      </c>
      <c r="S143" s="9">
        <f>SUM(S139:S142)</f>
        <v>78</v>
      </c>
      <c r="T143" s="72">
        <f t="shared" si="820"/>
        <v>-30.357142857142861</v>
      </c>
      <c r="U143" s="9">
        <f>SUM(U139:U142)</f>
        <v>148</v>
      </c>
      <c r="V143" s="72">
        <f t="shared" si="821"/>
        <v>52.577319587628864</v>
      </c>
      <c r="W143" s="9">
        <f>SUM(W139:W142)</f>
        <v>89</v>
      </c>
      <c r="X143" s="72" t="str">
        <f t="shared" si="822"/>
        <v>NM</v>
      </c>
      <c r="Y143" s="9">
        <f>SUM(Y139:Y142)</f>
        <v>103</v>
      </c>
      <c r="Z143" s="72">
        <f t="shared" si="823"/>
        <v>25.609756097560975</v>
      </c>
      <c r="AA143" s="9">
        <f>SUM(AA139:AA142)</f>
        <v>85</v>
      </c>
      <c r="AB143" s="72">
        <f t="shared" si="824"/>
        <v>8.9743589743589638</v>
      </c>
      <c r="AC143" s="9">
        <f>SUM(AC139:AC142)</f>
        <v>93</v>
      </c>
      <c r="AD143" s="72">
        <f t="shared" si="825"/>
        <v>-37.162162162162161</v>
      </c>
      <c r="AE143" s="9">
        <f>SUM(AE139:AE142)</f>
        <v>73</v>
      </c>
      <c r="AF143" s="72">
        <f t="shared" si="826"/>
        <v>-17.977528089887642</v>
      </c>
      <c r="AG143" s="9">
        <f>SUM(AG139:AG142)</f>
        <v>111</v>
      </c>
      <c r="AH143" s="72">
        <f t="shared" si="827"/>
        <v>7.7669902912621325</v>
      </c>
      <c r="AI143" s="9">
        <f>SUM(AI139:AI142)</f>
        <v>96</v>
      </c>
      <c r="AJ143" s="72">
        <f t="shared" si="828"/>
        <v>12.941176470588232</v>
      </c>
      <c r="AK143" s="9">
        <f>SUM(AK139:AK142)</f>
        <v>95</v>
      </c>
      <c r="AL143" s="72">
        <f t="shared" si="829"/>
        <v>2.1505376344086073</v>
      </c>
      <c r="AM143" s="9">
        <f>SUM(AM139:AM142)</f>
        <v>105</v>
      </c>
      <c r="AN143" s="72">
        <f t="shared" si="830"/>
        <v>43.835616438356169</v>
      </c>
      <c r="AO143" s="9">
        <f>SUM(AO139:AO142)</f>
        <v>109</v>
      </c>
      <c r="AP143" s="72">
        <f t="shared" si="831"/>
        <v>-1.8018018018018012</v>
      </c>
      <c r="AQ143" s="9">
        <f>SUM(AQ139:AQ142)</f>
        <v>100</v>
      </c>
      <c r="AR143" s="72">
        <f t="shared" si="832"/>
        <v>4.1666666666666714</v>
      </c>
      <c r="AS143" s="9">
        <f>SUM(AS139:AS142)</f>
        <v>102</v>
      </c>
      <c r="AT143" s="72">
        <f t="shared" si="833"/>
        <v>7.3684210526315752</v>
      </c>
      <c r="AU143" s="9">
        <f>SUM(AU139:AU142)</f>
        <v>106</v>
      </c>
      <c r="AV143" s="72">
        <f t="shared" si="834"/>
        <v>0.952380952380949</v>
      </c>
      <c r="AW143" s="9">
        <f>SUM(AW139:AW142)</f>
        <v>118</v>
      </c>
      <c r="AX143" s="72">
        <f t="shared" si="835"/>
        <v>8.2568807339449535</v>
      </c>
      <c r="AY143" s="9">
        <f>SUM(AY139:AY142)</f>
        <v>93</v>
      </c>
      <c r="AZ143" s="72">
        <f t="shared" si="836"/>
        <v>-7</v>
      </c>
      <c r="BA143" s="9">
        <f>SUM(BA139:BA142)</f>
        <v>105</v>
      </c>
      <c r="BB143" s="72">
        <f t="shared" si="837"/>
        <v>2.941176470588232</v>
      </c>
      <c r="BC143" s="9">
        <f>SUM(BC139:BC142)</f>
        <v>99</v>
      </c>
      <c r="BD143" s="72">
        <f t="shared" si="838"/>
        <v>-6.6037735849056531</v>
      </c>
      <c r="BE143" s="9">
        <f>SUM(BE139:BE142)</f>
        <v>145</v>
      </c>
      <c r="BF143" s="72">
        <f t="shared" si="839"/>
        <v>22.881355932203391</v>
      </c>
      <c r="BG143" s="9">
        <f>SUM(BG139:BG142)</f>
        <v>146</v>
      </c>
      <c r="BH143" s="72">
        <f t="shared" si="840"/>
        <v>56.989247311827938</v>
      </c>
      <c r="BI143" s="9">
        <f>SUM(BI139:BI142)</f>
        <v>121</v>
      </c>
      <c r="BJ143" s="72">
        <f t="shared" si="841"/>
        <v>15.238095238095227</v>
      </c>
      <c r="BK143" s="9">
        <f>SUM(BK139:BK142)</f>
        <v>114</v>
      </c>
      <c r="BL143" s="72">
        <f t="shared" si="842"/>
        <v>15.151515151515156</v>
      </c>
      <c r="BM143" s="9">
        <f>SUM(BM139:BM142)</f>
        <v>89</v>
      </c>
      <c r="BN143" s="72">
        <f t="shared" si="843"/>
        <v>-38.620689655172413</v>
      </c>
      <c r="BO143" s="9">
        <f>SUM(BO139:BO142)</f>
        <v>79</v>
      </c>
      <c r="BP143" s="72">
        <f t="shared" si="844"/>
        <v>-45.890410958904106</v>
      </c>
      <c r="BQ143" s="9">
        <f>SUM(BQ139:BQ142)</f>
        <v>84</v>
      </c>
      <c r="BR143" s="72">
        <f t="shared" si="845"/>
        <v>-30.578512396694208</v>
      </c>
      <c r="BS143" s="9">
        <f>SUM(BS139:BS142)</f>
        <v>82</v>
      </c>
      <c r="BT143" s="72">
        <f t="shared" si="846"/>
        <v>-28.070175438596493</v>
      </c>
      <c r="BU143" s="9">
        <f>SUM(BU139:BU142)</f>
        <v>86</v>
      </c>
      <c r="BV143" s="72">
        <f t="shared" si="847"/>
        <v>-3.3707865168539257</v>
      </c>
      <c r="BW143" s="9">
        <f>SUM(BW139:BW142)</f>
        <v>84</v>
      </c>
      <c r="BX143" s="72">
        <f t="shared" si="848"/>
        <v>6.3291139240506169</v>
      </c>
      <c r="BY143" s="9">
        <f>SUM(BY139:BY142)</f>
        <v>98</v>
      </c>
      <c r="BZ143" s="72">
        <f t="shared" si="848"/>
        <v>16.666666666666671</v>
      </c>
      <c r="CA143" s="9">
        <f>SUM(CA139:CA142)</f>
        <v>86</v>
      </c>
      <c r="CB143" s="72">
        <f t="shared" si="848"/>
        <v>4.8780487804878021</v>
      </c>
      <c r="CC143" s="9">
        <f>SUM(CC139:CC142)</f>
        <v>91</v>
      </c>
      <c r="CD143" s="72">
        <f t="shared" si="848"/>
        <v>5.8139534883721069</v>
      </c>
      <c r="CE143" s="9">
        <f>SUM(CE139:CE142)</f>
        <v>68</v>
      </c>
      <c r="CF143" s="72">
        <f t="shared" si="848"/>
        <v>-19.047619047619051</v>
      </c>
      <c r="CG143" s="9">
        <f>SUM(CG139:CG142)</f>
        <v>61</v>
      </c>
      <c r="CH143" s="72">
        <f t="shared" si="848"/>
        <v>-37.755102040816325</v>
      </c>
      <c r="CI143" s="9">
        <f>SUM(CI139:CI142)</f>
        <v>64</v>
      </c>
      <c r="CJ143" s="72">
        <f t="shared" si="848"/>
        <v>-25.581395348837205</v>
      </c>
      <c r="CK143" s="9">
        <f>SUM(CK139:CK142)</f>
        <v>67</v>
      </c>
      <c r="CL143" s="72">
        <f t="shared" si="848"/>
        <v>-26.373626373626365</v>
      </c>
      <c r="CM143" s="9">
        <f>SUM(CM139:CM142)</f>
        <v>65</v>
      </c>
      <c r="CN143" s="72">
        <f t="shared" si="849"/>
        <v>-4.4117647058823479</v>
      </c>
      <c r="CO143" s="9">
        <f>SUM(CO139:CO142)</f>
        <v>68</v>
      </c>
      <c r="CP143" s="72">
        <f t="shared" si="850"/>
        <v>11.475409836065566</v>
      </c>
      <c r="CQ143" s="9">
        <f>SUM(CQ139:CQ142)</f>
        <v>70</v>
      </c>
      <c r="CR143" s="72">
        <f t="shared" si="851"/>
        <v>9.375</v>
      </c>
      <c r="CS143" s="9">
        <f>SUM(CS139:CS142)</f>
        <v>75</v>
      </c>
      <c r="CT143" s="72">
        <f t="shared" si="852"/>
        <v>11.940298507462671</v>
      </c>
      <c r="CU143" s="9">
        <f>SUM(CU139:CU142)</f>
        <v>79</v>
      </c>
      <c r="CV143" s="72">
        <f t="shared" si="853"/>
        <v>21.538461538461533</v>
      </c>
      <c r="CW143" s="9">
        <f>SUM(CW139:CW142)</f>
        <v>91</v>
      </c>
      <c r="CX143" s="72"/>
      <c r="CY143" s="9">
        <f>SUM(CY139:CY142)</f>
        <v>98</v>
      </c>
      <c r="CZ143" s="72"/>
      <c r="DA143" s="9">
        <f>SUM(DA139:DA142)</f>
        <v>144</v>
      </c>
      <c r="DB143" s="72"/>
      <c r="DC143" s="9">
        <f>SUM(DC139:DC142)</f>
        <v>216</v>
      </c>
      <c r="DD143" s="72"/>
      <c r="DE143" s="9">
        <f>SUM(DE139:DE142)</f>
        <v>184</v>
      </c>
      <c r="DF143" s="72"/>
      <c r="DG143" s="9">
        <f>SUM(DG139:DG142)</f>
        <v>165</v>
      </c>
      <c r="DH143" s="72"/>
      <c r="DI143" s="9">
        <f>SUM(DI139:DI142)</f>
        <v>166</v>
      </c>
      <c r="DJ143" s="72"/>
      <c r="DK143" s="9">
        <f>SUM(DK139:DK142)</f>
        <v>122</v>
      </c>
      <c r="DL143" s="72"/>
      <c r="DM143" s="9">
        <f>SUM(DM139:DM142)</f>
        <v>103</v>
      </c>
      <c r="DN143" s="72">
        <f t="shared" si="854"/>
        <v>-44.021739130434781</v>
      </c>
      <c r="DO143" s="9">
        <f>SUM(DO139:DO142)</f>
        <v>97</v>
      </c>
      <c r="DP143" s="72">
        <f t="shared" si="854"/>
        <v>-41.212121212121211</v>
      </c>
      <c r="DQ143" s="9">
        <f>SUM(DQ139:DQ142)</f>
        <v>130</v>
      </c>
      <c r="DR143" s="72">
        <f t="shared" si="854"/>
        <v>-21.686746987951807</v>
      </c>
      <c r="DS143" s="9">
        <f>SUM(DS139:DS142)</f>
        <v>124</v>
      </c>
      <c r="DT143" s="72">
        <f t="shared" si="854"/>
        <v>1.6393442622950829</v>
      </c>
      <c r="DU143" s="9">
        <f>SUM(DU139:DU142)</f>
        <v>130</v>
      </c>
      <c r="DV143" s="72">
        <f t="shared" si="854"/>
        <v>26.21359223300972</v>
      </c>
      <c r="DW143" s="9">
        <f>SUM(DW139:DW142)</f>
        <v>158</v>
      </c>
      <c r="DX143" s="72">
        <f t="shared" si="854"/>
        <v>62.88659793814432</v>
      </c>
      <c r="DY143" s="9">
        <f>SUM(DY139:DY142)</f>
        <v>179</v>
      </c>
      <c r="DZ143" s="72">
        <f t="shared" si="854"/>
        <v>37.692307692307679</v>
      </c>
      <c r="EA143" s="9">
        <f>SUM(EA139:EA142)</f>
        <v>145</v>
      </c>
      <c r="EB143" s="72">
        <f t="shared" si="855"/>
        <v>16.935483870967744</v>
      </c>
      <c r="EC143" s="9">
        <f>SUM(EC139:EC142)</f>
        <v>159</v>
      </c>
      <c r="ED143" s="72">
        <f t="shared" si="856"/>
        <v>22.307692307692321</v>
      </c>
      <c r="EE143" s="9">
        <f>SUM(EE139:EE142)</f>
        <v>143</v>
      </c>
      <c r="EF143" s="72">
        <f t="shared" si="857"/>
        <v>-9.4936708860759467</v>
      </c>
      <c r="EG143" s="9">
        <f>SUM(EG139:EG142)</f>
        <v>184</v>
      </c>
      <c r="EH143" s="72">
        <f t="shared" si="858"/>
        <v>2.7932960893854784</v>
      </c>
      <c r="EI143" s="9">
        <f>SUM(EI139:EI142)</f>
        <v>146</v>
      </c>
      <c r="EJ143" s="72">
        <f t="shared" si="859"/>
        <v>0.68965517241379359</v>
      </c>
      <c r="EK143" s="9">
        <f>SUM(EK139:EK142)</f>
        <v>153</v>
      </c>
      <c r="EL143" s="72">
        <f t="shared" si="860"/>
        <v>-3.7735849056603712</v>
      </c>
      <c r="EM143" s="9">
        <f>SUM(EM139:EM142)</f>
        <v>142</v>
      </c>
      <c r="EN143" s="72">
        <f t="shared" si="861"/>
        <v>-0.69930069930069294</v>
      </c>
      <c r="EO143" s="9">
        <f>SUM(EO139:EO142)</f>
        <v>183</v>
      </c>
      <c r="EP143" s="72">
        <f t="shared" si="862"/>
        <v>-0.54347826086956275</v>
      </c>
      <c r="EQ143" s="9"/>
      <c r="ER143" s="72" t="str">
        <f t="shared" si="863"/>
        <v>NM</v>
      </c>
      <c r="ES143" s="9"/>
      <c r="ET143" s="72" t="str">
        <f t="shared" si="864"/>
        <v>NM</v>
      </c>
      <c r="EU143" s="9"/>
      <c r="EV143" s="72" t="str">
        <f t="shared" si="865"/>
        <v>NM</v>
      </c>
      <c r="EW143" s="9"/>
      <c r="EX143" s="72" t="str">
        <f t="shared" si="866"/>
        <v>NM</v>
      </c>
      <c r="EY143" s="72"/>
      <c r="EZ143" s="296"/>
      <c r="FA143" s="72"/>
      <c r="FB143" s="9"/>
      <c r="FC143" s="11"/>
      <c r="FD143" s="9"/>
      <c r="FE143" s="72"/>
      <c r="FF143" s="16"/>
      <c r="FG143" s="72"/>
      <c r="FH143" s="16"/>
      <c r="FI143" s="72"/>
      <c r="FJ143" s="16"/>
      <c r="FK143" s="72"/>
      <c r="FL143" s="16"/>
      <c r="FM143" s="72"/>
      <c r="FN143" s="16"/>
      <c r="FO143" s="72"/>
      <c r="FP143" s="9"/>
      <c r="FQ143" s="72"/>
      <c r="FR143" s="75">
        <f t="shared" si="867"/>
        <v>442</v>
      </c>
      <c r="FS143" s="72" t="str">
        <f t="shared" si="868"/>
        <v>NA</v>
      </c>
      <c r="FT143" s="75">
        <f t="shared" si="869"/>
        <v>470</v>
      </c>
      <c r="FU143" s="72">
        <f t="shared" si="870"/>
        <v>6.3348416289592819</v>
      </c>
      <c r="FV143" s="75">
        <f t="shared" si="871"/>
        <v>331</v>
      </c>
      <c r="FW143" s="72">
        <f t="shared" si="872"/>
        <v>-29.574468085106389</v>
      </c>
      <c r="FX143" s="75">
        <f t="shared" si="873"/>
        <v>359</v>
      </c>
      <c r="FY143" s="72">
        <f t="shared" si="874"/>
        <v>8.4592145015105729</v>
      </c>
      <c r="FZ143" s="75">
        <f t="shared" si="875"/>
        <v>260</v>
      </c>
      <c r="GA143" s="72">
        <f t="shared" si="874"/>
        <v>-27.576601671309191</v>
      </c>
      <c r="GB143" s="75">
        <f t="shared" si="876"/>
        <v>278</v>
      </c>
      <c r="GC143" s="72">
        <f t="shared" si="874"/>
        <v>6.9230769230769198</v>
      </c>
      <c r="GD143" s="9"/>
      <c r="GE143" s="72"/>
      <c r="GF143" s="9"/>
      <c r="GG143" s="72"/>
      <c r="GH143" s="9"/>
      <c r="GI143" s="72"/>
      <c r="GJ143" s="9"/>
      <c r="GK143" s="72"/>
      <c r="GL143" s="9"/>
      <c r="GM143" s="72"/>
      <c r="GN143" s="9"/>
      <c r="GO143" s="72"/>
      <c r="GP143" s="9"/>
      <c r="GQ143" s="72"/>
      <c r="GR143" s="9"/>
      <c r="GS143" s="72"/>
      <c r="GT143" s="9"/>
      <c r="GU143" s="72"/>
      <c r="GV143" s="9"/>
      <c r="GW143" s="72"/>
      <c r="GX143" s="9"/>
      <c r="GY143" s="72"/>
      <c r="GZ143" s="72"/>
      <c r="HA143" s="72"/>
      <c r="HB143" s="72"/>
      <c r="HC143"/>
      <c r="HD143"/>
      <c r="HE143"/>
      <c r="HF143"/>
      <c r="HG143"/>
      <c r="HH143"/>
      <c r="HI143" s="2"/>
    </row>
    <row r="144" spans="1:217" s="3" customFormat="1" ht="12.75" customHeight="1" x14ac:dyDescent="0.2">
      <c r="A144" s="3" t="s">
        <v>628</v>
      </c>
      <c r="B144" s="10" t="s">
        <v>629</v>
      </c>
      <c r="C144" s="9"/>
      <c r="D144" s="11"/>
      <c r="E144" s="9"/>
      <c r="F144" s="11"/>
      <c r="G144" s="9"/>
      <c r="H144" s="72"/>
      <c r="I144" s="9"/>
      <c r="J144" s="72"/>
      <c r="K144" s="9"/>
      <c r="L144" s="72"/>
      <c r="M144" s="9"/>
      <c r="N144" s="72"/>
      <c r="O144" s="9"/>
      <c r="P144" s="72"/>
      <c r="Q144" s="9"/>
      <c r="R144" s="72"/>
      <c r="S144" s="196">
        <f>+S140+S142+(55*(16/41))</f>
        <v>34.463414634146346</v>
      </c>
      <c r="T144" s="72" t="str">
        <f t="shared" si="820"/>
        <v>NA</v>
      </c>
      <c r="U144" s="9">
        <f>+U140+U142</f>
        <v>31</v>
      </c>
      <c r="V144" s="72" t="str">
        <f t="shared" si="821"/>
        <v>NA</v>
      </c>
      <c r="W144" s="9">
        <f>+W140+W142</f>
        <v>33</v>
      </c>
      <c r="X144" s="72" t="str">
        <f t="shared" si="822"/>
        <v>NA</v>
      </c>
      <c r="Y144" s="9">
        <f>+Y140+Y142</f>
        <v>56</v>
      </c>
      <c r="Z144" s="72" t="str">
        <f t="shared" si="823"/>
        <v>NA</v>
      </c>
      <c r="AA144" s="9">
        <f>+AA140+AA142</f>
        <v>55</v>
      </c>
      <c r="AB144" s="72">
        <f t="shared" si="824"/>
        <v>59.589525831564032</v>
      </c>
      <c r="AC144" s="9">
        <f>+AC140+AC142</f>
        <v>54</v>
      </c>
      <c r="AD144" s="72">
        <f t="shared" si="825"/>
        <v>74.193548387096769</v>
      </c>
      <c r="AE144" s="9">
        <f>+AE140+AE142</f>
        <v>50</v>
      </c>
      <c r="AF144" s="72">
        <f t="shared" si="826"/>
        <v>51.515151515151501</v>
      </c>
      <c r="AG144" s="9">
        <f>+AG140+AG142</f>
        <v>83</v>
      </c>
      <c r="AH144" s="72">
        <f t="shared" si="827"/>
        <v>48.214285714285722</v>
      </c>
      <c r="AI144" s="9">
        <f>+AI140+AI142</f>
        <v>64</v>
      </c>
      <c r="AJ144" s="72">
        <f t="shared" si="828"/>
        <v>16.36363636363636</v>
      </c>
      <c r="AK144" s="9">
        <f>+AK140+AK142</f>
        <v>67</v>
      </c>
      <c r="AL144" s="72">
        <f t="shared" si="829"/>
        <v>24.074074074074076</v>
      </c>
      <c r="AM144" s="9">
        <f>+AM140+AM142</f>
        <v>76</v>
      </c>
      <c r="AN144" s="72">
        <f t="shared" si="830"/>
        <v>52</v>
      </c>
      <c r="AO144" s="9">
        <f>+AO140+AO142</f>
        <v>87</v>
      </c>
      <c r="AP144" s="72">
        <f t="shared" si="831"/>
        <v>4.8192771084337238</v>
      </c>
      <c r="AQ144" s="9">
        <f>+AQ140+AQ142</f>
        <v>80</v>
      </c>
      <c r="AR144" s="72">
        <f t="shared" si="832"/>
        <v>25</v>
      </c>
      <c r="AS144" s="9">
        <f>+AS140+AS142</f>
        <v>83</v>
      </c>
      <c r="AT144" s="72">
        <f t="shared" si="833"/>
        <v>23.880597014925371</v>
      </c>
      <c r="AU144" s="9">
        <f>+AU140+AU142</f>
        <v>84</v>
      </c>
      <c r="AV144" s="72">
        <f t="shared" si="834"/>
        <v>10.526315789473699</v>
      </c>
      <c r="AW144" s="9">
        <f>+AW140+AW142</f>
        <v>89</v>
      </c>
      <c r="AX144" s="72">
        <f t="shared" si="835"/>
        <v>2.2988505747126453</v>
      </c>
      <c r="AY144" s="9">
        <f>+AY140+AY142</f>
        <v>71</v>
      </c>
      <c r="AZ144" s="72">
        <f t="shared" si="836"/>
        <v>-11.25</v>
      </c>
      <c r="BA144" s="9">
        <f>+BA140+BA142</f>
        <v>77</v>
      </c>
      <c r="BB144" s="72">
        <f t="shared" si="837"/>
        <v>-7.228915662650607</v>
      </c>
      <c r="BC144" s="9">
        <f>+BC140+BC142</f>
        <v>69</v>
      </c>
      <c r="BD144" s="72">
        <f t="shared" si="838"/>
        <v>-17.857142857142861</v>
      </c>
      <c r="BE144" s="9">
        <f>+BE140+BE142</f>
        <v>123</v>
      </c>
      <c r="BF144" s="72">
        <f t="shared" si="839"/>
        <v>38.202247191011253</v>
      </c>
      <c r="BG144" s="9">
        <f>+BG140+BG142</f>
        <v>93</v>
      </c>
      <c r="BH144" s="72">
        <f t="shared" si="840"/>
        <v>30.985915492957758</v>
      </c>
      <c r="BI144" s="9">
        <f>+BI140+BI142</f>
        <v>99</v>
      </c>
      <c r="BJ144" s="72">
        <f t="shared" si="841"/>
        <v>28.571428571428584</v>
      </c>
      <c r="BK144" s="9">
        <f>+BK140+BK142</f>
        <v>94</v>
      </c>
      <c r="BL144" s="72">
        <f t="shared" si="842"/>
        <v>36.23188405797103</v>
      </c>
      <c r="BM144" s="9">
        <f>+BM140+BM142</f>
        <v>76</v>
      </c>
      <c r="BN144" s="72">
        <f t="shared" si="843"/>
        <v>-38.211382113821138</v>
      </c>
      <c r="BO144" s="9">
        <f>+BO140+BO142</f>
        <v>68</v>
      </c>
      <c r="BP144" s="72">
        <f t="shared" si="844"/>
        <v>-26.881720430107521</v>
      </c>
      <c r="BQ144" s="9">
        <f>+BQ140+BQ142</f>
        <v>74</v>
      </c>
      <c r="BR144" s="72">
        <f t="shared" si="845"/>
        <v>-25.252525252525245</v>
      </c>
      <c r="BS144" s="9">
        <f>+BS140+BS142</f>
        <v>74</v>
      </c>
      <c r="BT144" s="72">
        <f t="shared" si="846"/>
        <v>-21.276595744680847</v>
      </c>
      <c r="BU144" s="9">
        <f>+BU140+BU142</f>
        <v>76</v>
      </c>
      <c r="BV144" s="72">
        <f t="shared" si="847"/>
        <v>0</v>
      </c>
      <c r="BW144" s="9">
        <f>+BW140+BW142</f>
        <v>80</v>
      </c>
      <c r="BX144" s="72">
        <f t="shared" si="848"/>
        <v>17.64705882352942</v>
      </c>
      <c r="BY144" s="9">
        <f>+BY140+BY142</f>
        <v>93</v>
      </c>
      <c r="BZ144" s="72">
        <f t="shared" si="848"/>
        <v>25.675675675675677</v>
      </c>
      <c r="CA144" s="9">
        <f>+CA140+CA142</f>
        <v>83</v>
      </c>
      <c r="CB144" s="72">
        <f t="shared" si="848"/>
        <v>12.162162162162176</v>
      </c>
      <c r="CC144" s="9">
        <f>+CC140+CC142</f>
        <v>83</v>
      </c>
      <c r="CD144" s="72">
        <f t="shared" si="848"/>
        <v>9.2105263157894655</v>
      </c>
      <c r="CE144" s="9">
        <f>+CE140+CE142</f>
        <v>63</v>
      </c>
      <c r="CF144" s="72">
        <f t="shared" si="848"/>
        <v>-21.25</v>
      </c>
      <c r="CG144" s="9">
        <f>+CG140+CG142</f>
        <v>56</v>
      </c>
      <c r="CH144" s="72">
        <f t="shared" si="848"/>
        <v>-39.784946236559136</v>
      </c>
      <c r="CI144" s="9">
        <f>+CI140+CI142</f>
        <v>58</v>
      </c>
      <c r="CJ144" s="72">
        <f t="shared" si="848"/>
        <v>-30.120481927710841</v>
      </c>
      <c r="CK144" s="9">
        <f>+CK140+CK142</f>
        <v>60</v>
      </c>
      <c r="CL144" s="72">
        <f t="shared" si="848"/>
        <v>-27.710843373493972</v>
      </c>
      <c r="CM144" s="9">
        <f>+CM140+CM142</f>
        <v>58</v>
      </c>
      <c r="CN144" s="72">
        <f t="shared" si="849"/>
        <v>-7.9365079365079367</v>
      </c>
      <c r="CO144" s="9">
        <f>+CO140+CO142</f>
        <v>62</v>
      </c>
      <c r="CP144" s="72">
        <f t="shared" si="850"/>
        <v>10.714285714285722</v>
      </c>
      <c r="CQ144" s="9">
        <f>+CQ140+CQ142</f>
        <v>62</v>
      </c>
      <c r="CR144" s="72">
        <f t="shared" si="851"/>
        <v>6.8965517241379217</v>
      </c>
      <c r="CS144" s="9">
        <f>+CS140+CS142</f>
        <v>71</v>
      </c>
      <c r="CT144" s="72">
        <f t="shared" si="852"/>
        <v>18.333333333333329</v>
      </c>
      <c r="CU144" s="9">
        <f>+CU140+CU142</f>
        <v>75</v>
      </c>
      <c r="CV144" s="72">
        <f t="shared" si="853"/>
        <v>29.310344827586221</v>
      </c>
      <c r="CW144" s="9">
        <f>+CW140+CW142</f>
        <v>86</v>
      </c>
      <c r="CX144" s="72"/>
      <c r="CY144" s="9">
        <f>+CY140+CY142</f>
        <v>94</v>
      </c>
      <c r="CZ144" s="72"/>
      <c r="DA144" s="9">
        <f>+DA140+DA142</f>
        <v>136</v>
      </c>
      <c r="DB144" s="72"/>
      <c r="DC144" s="9">
        <f>+DC140+DC142</f>
        <v>207</v>
      </c>
      <c r="DD144" s="72"/>
      <c r="DE144" s="9">
        <f>+DE140+DE142</f>
        <v>177</v>
      </c>
      <c r="DF144" s="72"/>
      <c r="DG144" s="9">
        <f>+DG140+DG142</f>
        <v>156</v>
      </c>
      <c r="DH144" s="72"/>
      <c r="DI144" s="9">
        <f>+DI140+DI142</f>
        <v>153</v>
      </c>
      <c r="DJ144" s="72"/>
      <c r="DK144" s="9">
        <f>+DK140+DK142</f>
        <v>113</v>
      </c>
      <c r="DL144" s="72"/>
      <c r="DM144" s="9">
        <f>+DM140+DM142</f>
        <v>92</v>
      </c>
      <c r="DN144" s="72">
        <f t="shared" si="854"/>
        <v>-48.022598870056498</v>
      </c>
      <c r="DO144" s="9">
        <f>+DO140+DO142</f>
        <v>87</v>
      </c>
      <c r="DP144" s="72">
        <f t="shared" si="854"/>
        <v>-44.230769230769226</v>
      </c>
      <c r="DQ144" s="9">
        <f>+DQ140+DQ142</f>
        <v>108</v>
      </c>
      <c r="DR144" s="72">
        <f t="shared" si="854"/>
        <v>-29.411764705882348</v>
      </c>
      <c r="DS144" s="9">
        <f>+DS140+DS142</f>
        <v>106</v>
      </c>
      <c r="DT144" s="72">
        <f t="shared" si="854"/>
        <v>-6.1946902654867273</v>
      </c>
      <c r="DU144" s="9">
        <f>+DU140+DU142</f>
        <v>117</v>
      </c>
      <c r="DV144" s="72">
        <f t="shared" si="854"/>
        <v>27.173913043478265</v>
      </c>
      <c r="DW144" s="9">
        <f>+DW140+DW142</f>
        <v>133</v>
      </c>
      <c r="DX144" s="72">
        <f t="shared" si="854"/>
        <v>52.873563218390814</v>
      </c>
      <c r="DY144" s="9">
        <f>+DY140+DY142</f>
        <v>157</v>
      </c>
      <c r="DZ144" s="72">
        <f t="shared" si="854"/>
        <v>45.370370370370381</v>
      </c>
      <c r="EA144" s="9">
        <f>+EA140+EA142</f>
        <v>119</v>
      </c>
      <c r="EB144" s="72">
        <f t="shared" si="855"/>
        <v>12.264150943396231</v>
      </c>
      <c r="EC144" s="9">
        <f>+EC140+EC142</f>
        <v>134</v>
      </c>
      <c r="ED144" s="72">
        <f t="shared" si="856"/>
        <v>14.529914529914521</v>
      </c>
      <c r="EE144" s="9">
        <f>+EE140+EE142</f>
        <v>127</v>
      </c>
      <c r="EF144" s="72">
        <f t="shared" si="857"/>
        <v>-4.5112781954887282</v>
      </c>
      <c r="EG144" s="9">
        <f>+EG140+EG142</f>
        <v>159</v>
      </c>
      <c r="EH144" s="72">
        <f t="shared" si="858"/>
        <v>1.2738853503184657</v>
      </c>
      <c r="EI144" s="9">
        <f>+EI140+EI142</f>
        <v>123</v>
      </c>
      <c r="EJ144" s="72">
        <f t="shared" si="859"/>
        <v>3.3613445378151425</v>
      </c>
      <c r="EK144" s="9">
        <f>+EK140+EK142</f>
        <v>127</v>
      </c>
      <c r="EL144" s="72">
        <f t="shared" si="860"/>
        <v>-5.2238805970149258</v>
      </c>
      <c r="EM144" s="9">
        <f>+EM140+EM142</f>
        <v>116</v>
      </c>
      <c r="EN144" s="72">
        <f t="shared" si="861"/>
        <v>-8.6614173228346374</v>
      </c>
      <c r="EO144" s="9">
        <f>+EO140+EO142</f>
        <v>128</v>
      </c>
      <c r="EP144" s="72">
        <f t="shared" si="862"/>
        <v>-19.496855345911939</v>
      </c>
      <c r="EQ144" s="9"/>
      <c r="ER144" s="72" t="str">
        <f t="shared" si="863"/>
        <v>NM</v>
      </c>
      <c r="ES144" s="9"/>
      <c r="ET144" s="72" t="str">
        <f t="shared" si="864"/>
        <v>NM</v>
      </c>
      <c r="EU144" s="9"/>
      <c r="EV144" s="72" t="str">
        <f t="shared" si="865"/>
        <v>NM</v>
      </c>
      <c r="EW144" s="9"/>
      <c r="EX144" s="72" t="str">
        <f t="shared" si="866"/>
        <v>NM</v>
      </c>
      <c r="EY144" s="72"/>
      <c r="EZ144" s="296"/>
      <c r="FA144" s="72"/>
      <c r="FB144" s="9"/>
      <c r="FC144" s="11"/>
      <c r="FD144" s="9"/>
      <c r="FE144" s="72"/>
      <c r="FF144" s="16"/>
      <c r="FG144" s="72"/>
      <c r="FH144" s="16"/>
      <c r="FI144" s="72"/>
      <c r="FJ144" s="16"/>
      <c r="FK144" s="72"/>
      <c r="FL144" s="16"/>
      <c r="FM144" s="72"/>
      <c r="FN144" s="16"/>
      <c r="FO144" s="72"/>
      <c r="FP144" s="9"/>
      <c r="FQ144" s="72"/>
      <c r="FR144" s="75">
        <f t="shared" si="867"/>
        <v>340</v>
      </c>
      <c r="FS144" s="72" t="str">
        <f t="shared" si="868"/>
        <v>NA</v>
      </c>
      <c r="FT144" s="75">
        <f t="shared" si="869"/>
        <v>362</v>
      </c>
      <c r="FU144" s="72">
        <f t="shared" si="870"/>
        <v>6.470588235294116</v>
      </c>
      <c r="FV144" s="75">
        <f t="shared" si="871"/>
        <v>292</v>
      </c>
      <c r="FW144" s="72">
        <f t="shared" si="872"/>
        <v>-19.337016574585633</v>
      </c>
      <c r="FX144" s="75">
        <f t="shared" si="873"/>
        <v>339</v>
      </c>
      <c r="FY144" s="72">
        <f t="shared" si="874"/>
        <v>16.095890410958916</v>
      </c>
      <c r="FZ144" s="75">
        <f t="shared" si="875"/>
        <v>237</v>
      </c>
      <c r="GA144" s="72">
        <f t="shared" si="874"/>
        <v>-30.088495575221245</v>
      </c>
      <c r="GB144" s="75">
        <f t="shared" si="876"/>
        <v>253</v>
      </c>
      <c r="GC144" s="72">
        <f t="shared" si="874"/>
        <v>6.7510548523206779</v>
      </c>
      <c r="GD144" s="9"/>
      <c r="GE144" s="72"/>
      <c r="GF144" s="9"/>
      <c r="GG144" s="72"/>
      <c r="GH144" s="9"/>
      <c r="GI144" s="72"/>
      <c r="GJ144" s="9"/>
      <c r="GK144" s="72"/>
      <c r="GL144" s="9"/>
      <c r="GM144" s="72"/>
      <c r="GN144" s="9"/>
      <c r="GO144" s="72"/>
      <c r="GP144" s="9"/>
      <c r="GQ144" s="72"/>
      <c r="GR144" s="9"/>
      <c r="GS144" s="72"/>
      <c r="GT144" s="9"/>
      <c r="GU144" s="72"/>
      <c r="GV144" s="9"/>
      <c r="GW144" s="72"/>
      <c r="GX144" s="9"/>
      <c r="GY144" s="72"/>
      <c r="GZ144" s="72"/>
      <c r="HA144" s="72"/>
      <c r="HB144" s="72"/>
      <c r="HC144"/>
      <c r="HD144"/>
      <c r="HE144"/>
      <c r="HF144"/>
      <c r="HG144"/>
      <c r="HH144"/>
      <c r="HI144" s="2"/>
    </row>
    <row r="145" spans="2:217" s="3" customFormat="1" ht="12.75" customHeight="1" x14ac:dyDescent="0.2">
      <c r="B145" s="77"/>
      <c r="C145" s="81"/>
      <c r="D145" s="72"/>
      <c r="E145" s="81"/>
      <c r="F145" s="72"/>
      <c r="G145" s="81"/>
      <c r="H145" s="72"/>
      <c r="I145" s="81"/>
      <c r="J145" s="72"/>
      <c r="K145" s="81"/>
      <c r="L145" s="72"/>
      <c r="M145" s="81"/>
      <c r="N145" s="72"/>
      <c r="O145" s="81"/>
      <c r="P145" s="72"/>
      <c r="Q145" s="81"/>
      <c r="R145" s="72"/>
      <c r="S145" s="81"/>
      <c r="T145" s="72"/>
      <c r="U145" s="81"/>
      <c r="V145" s="72"/>
      <c r="W145" s="81"/>
      <c r="X145" s="72"/>
      <c r="Y145" s="81"/>
      <c r="Z145" s="72"/>
      <c r="AA145" s="81"/>
      <c r="AB145" s="72"/>
      <c r="AC145" s="81"/>
      <c r="AD145" s="72"/>
      <c r="AE145" s="81"/>
      <c r="AF145" s="72"/>
      <c r="AG145" s="81"/>
      <c r="AH145" s="72"/>
      <c r="AI145" s="81"/>
      <c r="AJ145" s="72"/>
      <c r="AK145" s="81"/>
      <c r="AL145" s="72"/>
      <c r="AM145" s="81"/>
      <c r="AN145" s="72"/>
      <c r="AO145" s="81"/>
      <c r="AP145" s="72"/>
      <c r="AQ145" s="81"/>
      <c r="AR145" s="72"/>
      <c r="AS145" s="81"/>
      <c r="AT145" s="72"/>
      <c r="AU145" s="81"/>
      <c r="AV145" s="72"/>
      <c r="AW145" s="81"/>
      <c r="AX145" s="72"/>
      <c r="AY145" s="81"/>
      <c r="AZ145" s="72"/>
      <c r="BA145" s="81"/>
      <c r="BB145" s="72"/>
      <c r="BC145" s="81"/>
      <c r="BD145" s="72"/>
      <c r="BE145" s="81"/>
      <c r="BF145" s="72"/>
      <c r="BG145" s="81"/>
      <c r="BH145" s="72"/>
      <c r="BI145" s="81"/>
      <c r="BJ145" s="72"/>
      <c r="BK145" s="81"/>
      <c r="BL145" s="72"/>
      <c r="BM145" s="81"/>
      <c r="BN145" s="72"/>
      <c r="BO145" s="81"/>
      <c r="BP145" s="72"/>
      <c r="BQ145" s="81"/>
      <c r="BR145" s="72"/>
      <c r="BS145" s="81"/>
      <c r="BT145" s="72"/>
      <c r="BU145" s="81"/>
      <c r="BV145" s="72"/>
      <c r="BW145" s="81"/>
      <c r="BX145" s="72"/>
      <c r="BY145" s="81"/>
      <c r="BZ145" s="72"/>
      <c r="CA145" s="81"/>
      <c r="CB145" s="72"/>
      <c r="CC145" s="81"/>
      <c r="CD145" s="72"/>
      <c r="CE145" s="81"/>
      <c r="CF145" s="72"/>
      <c r="CG145" s="81"/>
      <c r="CH145" s="72"/>
      <c r="CI145" s="81"/>
      <c r="CJ145" s="72"/>
      <c r="CK145" s="81"/>
      <c r="CL145" s="72"/>
      <c r="CM145" s="81"/>
      <c r="CN145" s="72"/>
      <c r="CO145" s="81"/>
      <c r="CP145" s="72"/>
      <c r="CQ145" s="81"/>
      <c r="CR145" s="72"/>
      <c r="CS145" s="81"/>
      <c r="CT145" s="72"/>
      <c r="CU145" s="81"/>
      <c r="CV145" s="72"/>
      <c r="CW145" s="81"/>
      <c r="CX145" s="72"/>
      <c r="CY145" s="81"/>
      <c r="CZ145" s="72"/>
      <c r="DA145" s="81"/>
      <c r="DB145" s="72"/>
      <c r="DC145" s="81"/>
      <c r="DD145" s="72"/>
      <c r="DE145" s="81"/>
      <c r="DF145" s="72"/>
      <c r="DG145" s="81"/>
      <c r="DH145" s="72"/>
      <c r="DI145" s="81"/>
      <c r="DJ145" s="72"/>
      <c r="DK145" s="81"/>
      <c r="DL145" s="72"/>
      <c r="DM145" s="81"/>
      <c r="DN145" s="72"/>
      <c r="DO145" s="81"/>
      <c r="DP145" s="72"/>
      <c r="DQ145" s="81"/>
      <c r="DR145" s="72"/>
      <c r="DS145" s="81"/>
      <c r="DT145" s="72"/>
      <c r="DU145" s="81"/>
      <c r="DV145" s="72"/>
      <c r="DW145" s="81"/>
      <c r="DX145" s="72"/>
      <c r="DY145" s="81"/>
      <c r="DZ145" s="72"/>
      <c r="EA145" s="81"/>
      <c r="EB145" s="72"/>
      <c r="EC145" s="81"/>
      <c r="ED145" s="72"/>
      <c r="EE145" s="81"/>
      <c r="EF145" s="72"/>
      <c r="EG145" s="81"/>
      <c r="EH145" s="72"/>
      <c r="EI145" s="81"/>
      <c r="EJ145" s="72"/>
      <c r="EK145" s="81"/>
      <c r="EL145" s="72"/>
      <c r="EM145" s="81"/>
      <c r="EN145" s="72"/>
      <c r="EO145" s="81"/>
      <c r="EP145" s="72"/>
      <c r="EQ145" s="81"/>
      <c r="ER145" s="72"/>
      <c r="ES145" s="81"/>
      <c r="ET145" s="72"/>
      <c r="EU145" s="81"/>
      <c r="EV145" s="72"/>
      <c r="EW145" s="81"/>
      <c r="EX145" s="72"/>
      <c r="EY145" s="72"/>
      <c r="EZ145" s="309"/>
      <c r="FA145" s="72"/>
      <c r="FB145" s="81"/>
      <c r="FC145" s="72"/>
      <c r="FD145" s="81"/>
      <c r="FE145" s="72"/>
      <c r="FF145" s="81"/>
      <c r="FG145" s="72"/>
      <c r="FH145" s="81"/>
      <c r="FI145" s="72"/>
      <c r="FJ145" s="81"/>
      <c r="FK145" s="72"/>
      <c r="FL145" s="81"/>
      <c r="FM145" s="72"/>
      <c r="FN145" s="81"/>
      <c r="FO145" s="72"/>
      <c r="FP145" s="81"/>
      <c r="FQ145" s="72"/>
      <c r="FR145" s="81"/>
      <c r="FS145" s="72"/>
      <c r="FT145" s="81"/>
      <c r="FU145" s="72"/>
      <c r="FV145" s="81"/>
      <c r="FW145" s="72"/>
      <c r="FX145" s="81"/>
      <c r="FY145" s="72"/>
      <c r="FZ145" s="81"/>
      <c r="GA145" s="72"/>
      <c r="GB145" s="81"/>
      <c r="GC145" s="72"/>
      <c r="GD145" s="81"/>
      <c r="GE145" s="72"/>
      <c r="GF145" s="81"/>
      <c r="GG145" s="72"/>
      <c r="GH145" s="81"/>
      <c r="GI145" s="72"/>
      <c r="GJ145" s="81"/>
      <c r="GK145" s="72"/>
      <c r="GL145" s="81"/>
      <c r="GM145" s="72"/>
      <c r="GN145" s="81"/>
      <c r="GO145" s="72"/>
      <c r="GP145" s="81"/>
      <c r="GQ145" s="72"/>
      <c r="GR145" s="81"/>
      <c r="GS145" s="72"/>
      <c r="GT145" s="81"/>
      <c r="GU145" s="72"/>
      <c r="GV145" s="81"/>
      <c r="GW145" s="72"/>
      <c r="GX145" s="81"/>
      <c r="GY145" s="72"/>
      <c r="GZ145" s="72"/>
      <c r="HA145" s="72"/>
      <c r="HB145" s="72"/>
      <c r="HC145"/>
      <c r="HD145"/>
      <c r="HE145"/>
      <c r="HF145"/>
      <c r="HG145"/>
      <c r="HH145"/>
      <c r="HI145" s="2"/>
    </row>
    <row r="146" spans="2:217" s="295" customFormat="1" ht="12.75" customHeight="1" x14ac:dyDescent="0.2">
      <c r="B146" s="291" t="s">
        <v>823</v>
      </c>
      <c r="C146" s="292"/>
      <c r="D146" s="293"/>
      <c r="E146" s="292"/>
      <c r="F146" s="293"/>
      <c r="G146" s="292"/>
      <c r="H146" s="293"/>
      <c r="I146" s="292"/>
      <c r="J146" s="293"/>
      <c r="K146" s="292"/>
      <c r="L146" s="293"/>
      <c r="M146" s="292"/>
      <c r="N146" s="293"/>
      <c r="O146" s="292"/>
      <c r="P146" s="293"/>
      <c r="Q146" s="292"/>
      <c r="R146" s="293"/>
      <c r="S146" s="292"/>
      <c r="T146" s="293"/>
      <c r="U146" s="292"/>
      <c r="V146" s="293"/>
      <c r="W146" s="292"/>
      <c r="X146" s="293"/>
      <c r="Y146" s="292"/>
      <c r="Z146" s="293"/>
      <c r="AA146" s="292"/>
      <c r="AB146" s="293"/>
      <c r="AC146" s="292"/>
      <c r="AD146" s="293"/>
      <c r="AE146" s="292"/>
      <c r="AF146" s="293"/>
      <c r="AG146" s="292"/>
      <c r="AH146" s="293"/>
      <c r="AI146" s="292"/>
      <c r="AJ146" s="293"/>
      <c r="AK146" s="292"/>
      <c r="AL146" s="293"/>
      <c r="AM146" s="292"/>
      <c r="AN146" s="293"/>
      <c r="AO146" s="292"/>
      <c r="AP146" s="293"/>
      <c r="AQ146" s="292"/>
      <c r="AR146" s="293"/>
      <c r="AS146" s="292"/>
      <c r="AT146" s="293"/>
      <c r="AU146" s="292"/>
      <c r="AV146" s="293"/>
      <c r="AW146" s="292"/>
      <c r="AX146" s="293"/>
      <c r="AY146" s="292"/>
      <c r="AZ146" s="293"/>
      <c r="BA146" s="292"/>
      <c r="BB146" s="293"/>
      <c r="BC146" s="292"/>
      <c r="BD146" s="293"/>
      <c r="BE146" s="292"/>
      <c r="BF146" s="293"/>
      <c r="BG146" s="292"/>
      <c r="BH146" s="293"/>
      <c r="BI146" s="292"/>
      <c r="BJ146" s="293"/>
      <c r="BK146" s="292"/>
      <c r="BL146" s="293"/>
      <c r="BM146" s="292"/>
      <c r="BN146" s="293"/>
      <c r="BO146" s="292"/>
      <c r="BP146" s="293"/>
      <c r="BQ146" s="294"/>
      <c r="BR146" s="294"/>
      <c r="BS146" s="294"/>
      <c r="BT146" s="293"/>
      <c r="BU146" s="294"/>
      <c r="BV146" s="293"/>
      <c r="BW146" s="294"/>
      <c r="BX146" s="293"/>
      <c r="BY146" s="294"/>
      <c r="BZ146" s="293"/>
      <c r="CA146" s="294"/>
      <c r="CB146" s="293"/>
      <c r="CC146" s="294"/>
      <c r="CD146" s="293"/>
      <c r="CE146" s="294"/>
      <c r="CF146" s="293"/>
      <c r="CG146" s="294"/>
      <c r="CH146" s="293"/>
      <c r="CI146" s="294"/>
      <c r="CJ146" s="293"/>
      <c r="CK146" s="294"/>
      <c r="CL146" s="293"/>
      <c r="CM146" s="294"/>
      <c r="CN146" s="293"/>
      <c r="CO146" s="294"/>
      <c r="CP146" s="293"/>
      <c r="CQ146" s="294"/>
      <c r="CR146" s="293"/>
      <c r="CS146" s="294"/>
      <c r="CT146" s="293"/>
      <c r="CU146" s="294"/>
      <c r="CV146" s="293"/>
      <c r="CW146" s="294"/>
      <c r="CX146" s="293"/>
      <c r="CY146" s="294"/>
      <c r="CZ146" s="293"/>
      <c r="DA146" s="294"/>
      <c r="DB146" s="293"/>
      <c r="DC146" s="294"/>
      <c r="DD146" s="293"/>
      <c r="DE146" s="294"/>
      <c r="DF146" s="293"/>
      <c r="DG146" s="294"/>
      <c r="DH146" s="293"/>
      <c r="DI146" s="294"/>
      <c r="DJ146" s="293"/>
      <c r="DK146" s="294"/>
      <c r="DL146" s="293"/>
      <c r="DM146" s="294"/>
      <c r="DN146" s="293"/>
      <c r="DO146" s="294"/>
      <c r="DP146" s="293"/>
      <c r="DQ146" s="294"/>
      <c r="DR146" s="293"/>
      <c r="DS146" s="294"/>
      <c r="DT146" s="293"/>
      <c r="DU146" s="294"/>
      <c r="DV146" s="293"/>
      <c r="DW146" s="292"/>
      <c r="DX146" s="293"/>
      <c r="DY146" s="292"/>
      <c r="DZ146" s="293"/>
      <c r="EA146" s="292"/>
      <c r="EB146" s="293"/>
      <c r="EC146" s="292"/>
      <c r="ED146" s="293"/>
      <c r="EE146" s="292"/>
      <c r="EF146" s="293"/>
      <c r="EG146" s="292"/>
      <c r="EH146" s="293"/>
      <c r="EI146" s="292"/>
      <c r="EJ146" s="293"/>
      <c r="EK146" s="292"/>
      <c r="EL146" s="293"/>
      <c r="EM146" s="292"/>
      <c r="EN146" s="293"/>
      <c r="EO146" s="292"/>
      <c r="EP146" s="293"/>
      <c r="EQ146" s="292"/>
      <c r="ER146" s="293"/>
      <c r="ES146" s="292"/>
      <c r="ET146" s="293"/>
      <c r="EU146" s="292"/>
      <c r="EV146" s="293"/>
      <c r="EW146" s="292"/>
      <c r="EX146" s="293"/>
      <c r="EY146" s="293"/>
      <c r="EZ146" s="299"/>
      <c r="FA146" s="293"/>
      <c r="FB146" s="292"/>
      <c r="FC146" s="293"/>
      <c r="FD146" s="292"/>
      <c r="FE146" s="293"/>
      <c r="FF146" s="292"/>
      <c r="FG146" s="293"/>
      <c r="FH146" s="292"/>
      <c r="FI146" s="293"/>
      <c r="FJ146" s="292"/>
      <c r="FK146" s="293"/>
      <c r="FL146" s="292"/>
      <c r="FM146" s="293"/>
      <c r="FN146" s="292"/>
      <c r="FO146" s="293"/>
      <c r="FP146" s="292"/>
      <c r="FQ146" s="293"/>
      <c r="FR146" s="294"/>
      <c r="FS146" s="293"/>
      <c r="FT146" s="294"/>
      <c r="FU146" s="293"/>
      <c r="FV146" s="294"/>
      <c r="FW146" s="293"/>
      <c r="FX146" s="294"/>
      <c r="FY146" s="293"/>
      <c r="FZ146" s="294"/>
      <c r="GA146" s="293"/>
      <c r="GB146" s="294"/>
      <c r="GC146" s="293"/>
      <c r="GD146" s="294"/>
      <c r="GE146" s="293"/>
      <c r="GF146" s="294"/>
      <c r="GG146" s="293"/>
      <c r="GH146" s="294"/>
      <c r="GI146" s="293"/>
      <c r="GJ146" s="294"/>
      <c r="GK146" s="293"/>
      <c r="GL146" s="294"/>
      <c r="GM146" s="293"/>
      <c r="GN146" s="294"/>
      <c r="GO146" s="293"/>
      <c r="GP146" s="294"/>
      <c r="GQ146" s="293"/>
      <c r="GR146" s="292"/>
      <c r="GS146" s="293"/>
      <c r="GT146" s="292"/>
      <c r="GU146" s="293"/>
      <c r="GV146" s="292"/>
      <c r="GW146" s="293"/>
      <c r="GX146" s="292"/>
      <c r="GY146" s="293"/>
      <c r="GZ146" s="293"/>
      <c r="HA146" s="293"/>
      <c r="HB146" s="293"/>
      <c r="HC146"/>
      <c r="HD146"/>
      <c r="HE146"/>
      <c r="HF146"/>
      <c r="HG146"/>
      <c r="HH146"/>
      <c r="HI146" s="290"/>
    </row>
    <row r="147" spans="2:217" s="3" customFormat="1" ht="12.75" customHeight="1" x14ac:dyDescent="0.2">
      <c r="B147" s="77"/>
      <c r="C147" s="75"/>
      <c r="D147" s="72"/>
      <c r="E147" s="75"/>
      <c r="F147" s="72"/>
      <c r="G147" s="75"/>
      <c r="H147" s="72"/>
      <c r="I147" s="75"/>
      <c r="J147" s="72"/>
      <c r="K147" s="75"/>
      <c r="L147" s="72"/>
      <c r="M147" s="75"/>
      <c r="N147" s="72"/>
      <c r="O147" s="75"/>
      <c r="P147" s="72"/>
      <c r="Q147" s="75"/>
      <c r="R147" s="72"/>
      <c r="S147" s="75"/>
      <c r="T147" s="72"/>
      <c r="U147" s="75"/>
      <c r="V147" s="72"/>
      <c r="W147" s="75"/>
      <c r="X147" s="72"/>
      <c r="Y147" s="75"/>
      <c r="Z147" s="72"/>
      <c r="AA147" s="75"/>
      <c r="AB147" s="72"/>
      <c r="AC147" s="75"/>
      <c r="AD147" s="72"/>
      <c r="AE147" s="75"/>
      <c r="AF147" s="72"/>
      <c r="AG147" s="75"/>
      <c r="AH147" s="72"/>
      <c r="AI147" s="75"/>
      <c r="AJ147" s="72"/>
      <c r="AK147" s="75"/>
      <c r="AL147" s="72"/>
      <c r="AM147" s="75"/>
      <c r="AN147" s="72"/>
      <c r="AO147" s="75"/>
      <c r="AP147" s="72"/>
      <c r="AQ147" s="75"/>
      <c r="AR147" s="72"/>
      <c r="AS147" s="75"/>
      <c r="AT147" s="72"/>
      <c r="AU147" s="75"/>
      <c r="AV147" s="72"/>
      <c r="AW147" s="75"/>
      <c r="AX147" s="72"/>
      <c r="AY147" s="75"/>
      <c r="AZ147" s="72"/>
      <c r="BA147" s="75"/>
      <c r="BB147" s="72"/>
      <c r="BC147" s="75"/>
      <c r="BD147" s="72"/>
      <c r="BE147" s="75"/>
      <c r="BF147" s="72"/>
      <c r="BG147" s="75"/>
      <c r="BH147" s="72"/>
      <c r="BI147" s="75"/>
      <c r="BJ147" s="72"/>
      <c r="BK147" s="75"/>
      <c r="BL147" s="72"/>
      <c r="BM147" s="75"/>
      <c r="BN147" s="72"/>
      <c r="BO147" s="75"/>
      <c r="BP147" s="72"/>
      <c r="BQ147" s="75"/>
      <c r="BR147" s="72"/>
      <c r="BS147" s="75"/>
      <c r="BT147" s="72"/>
      <c r="BU147" s="75"/>
      <c r="BV147" s="72"/>
      <c r="BW147" s="75"/>
      <c r="BX147" s="72"/>
      <c r="BY147" s="75"/>
      <c r="BZ147" s="72"/>
      <c r="CA147" s="75"/>
      <c r="CB147" s="72"/>
      <c r="CC147" s="75"/>
      <c r="CD147" s="72"/>
      <c r="CE147" s="75"/>
      <c r="CF147" s="72"/>
      <c r="CG147" s="75"/>
      <c r="CH147" s="72"/>
      <c r="CI147" s="75"/>
      <c r="CJ147" s="72"/>
      <c r="CK147" s="75"/>
      <c r="CL147" s="72"/>
      <c r="CM147" s="75"/>
      <c r="CN147" s="72"/>
      <c r="CO147" s="75"/>
      <c r="CP147" s="72"/>
      <c r="CQ147" s="75"/>
      <c r="CR147" s="72"/>
      <c r="CS147" s="75"/>
      <c r="CT147" s="72"/>
      <c r="CU147" s="75"/>
      <c r="CV147" s="72"/>
      <c r="CW147" s="75"/>
      <c r="CX147" s="72"/>
      <c r="CY147" s="75"/>
      <c r="CZ147" s="72"/>
      <c r="DA147" s="75"/>
      <c r="DB147" s="72"/>
      <c r="DC147" s="75"/>
      <c r="DD147" s="72"/>
      <c r="DE147" s="75"/>
      <c r="DF147" s="72"/>
      <c r="DG147" s="75"/>
      <c r="DH147" s="72"/>
      <c r="DI147" s="75"/>
      <c r="DJ147" s="72"/>
      <c r="DK147" s="75"/>
      <c r="DL147" s="72"/>
      <c r="DM147" s="75"/>
      <c r="DN147" s="72"/>
      <c r="DO147" s="75"/>
      <c r="DP147" s="72"/>
      <c r="DQ147" s="75"/>
      <c r="DR147" s="72"/>
      <c r="DS147" s="75"/>
      <c r="DT147" s="72"/>
      <c r="DU147" s="75"/>
      <c r="DV147" s="72"/>
      <c r="DW147" s="75"/>
      <c r="DX147" s="72"/>
      <c r="DY147" s="75"/>
      <c r="DZ147" s="72"/>
      <c r="EA147" s="75"/>
      <c r="EB147" s="72"/>
      <c r="EC147" s="75"/>
      <c r="ED147" s="72"/>
      <c r="EE147" s="75"/>
      <c r="EF147" s="72"/>
      <c r="EG147" s="75"/>
      <c r="EH147" s="72"/>
      <c r="EI147" s="75"/>
      <c r="EJ147" s="72"/>
      <c r="EK147" s="75"/>
      <c r="EL147" s="72"/>
      <c r="EM147" s="75"/>
      <c r="EN147" s="72"/>
      <c r="EO147" s="75"/>
      <c r="EP147" s="72"/>
      <c r="EQ147" s="75"/>
      <c r="ER147" s="72"/>
      <c r="ES147" s="75"/>
      <c r="ET147" s="72"/>
      <c r="EU147" s="75"/>
      <c r="EV147" s="72"/>
      <c r="EW147" s="75"/>
      <c r="EX147" s="72"/>
      <c r="EY147" s="72"/>
      <c r="EZ147" s="309"/>
      <c r="FA147" s="72"/>
      <c r="FB147" s="81"/>
      <c r="FC147" s="72"/>
      <c r="FD147" s="81"/>
      <c r="FE147" s="72"/>
      <c r="FF147" s="81"/>
      <c r="FG147" s="72"/>
      <c r="FH147" s="81"/>
      <c r="FI147" s="72"/>
      <c r="FJ147" s="81"/>
      <c r="FK147" s="72"/>
      <c r="FL147" s="81"/>
      <c r="FM147" s="72"/>
      <c r="FN147" s="81"/>
      <c r="FO147" s="72"/>
      <c r="FP147" s="81"/>
      <c r="FQ147" s="72"/>
      <c r="FR147" s="75"/>
      <c r="FS147" s="72"/>
      <c r="FT147" s="75"/>
      <c r="FU147" s="72"/>
      <c r="FV147" s="75"/>
      <c r="FW147" s="72"/>
      <c r="FX147" s="75"/>
      <c r="FY147" s="72"/>
      <c r="FZ147" s="75"/>
      <c r="GA147" s="72"/>
      <c r="GB147" s="75"/>
      <c r="GC147" s="72"/>
      <c r="GD147" s="75"/>
      <c r="GE147" s="72"/>
      <c r="GF147" s="75"/>
      <c r="GG147" s="72"/>
      <c r="GH147" s="75"/>
      <c r="GI147" s="72"/>
      <c r="GJ147" s="75"/>
      <c r="GK147" s="72"/>
      <c r="GL147" s="75"/>
      <c r="GM147" s="72"/>
      <c r="GN147" s="75"/>
      <c r="GO147" s="72"/>
      <c r="GP147" s="75"/>
      <c r="GQ147" s="72"/>
      <c r="GR147" s="75"/>
      <c r="GS147" s="72"/>
      <c r="GT147" s="75"/>
      <c r="GU147" s="72"/>
      <c r="GV147" s="75"/>
      <c r="GW147" s="72"/>
      <c r="GX147" s="75"/>
      <c r="GY147" s="72"/>
      <c r="GZ147" s="72"/>
      <c r="HA147" s="72"/>
      <c r="HB147" s="72"/>
      <c r="HC147"/>
      <c r="HD147"/>
      <c r="HE147"/>
      <c r="HF147"/>
      <c r="HG147"/>
      <c r="HH147"/>
      <c r="HI147" s="2"/>
    </row>
    <row r="148" spans="2:217" s="5" customFormat="1" ht="12.75" customHeight="1" x14ac:dyDescent="0.2">
      <c r="B148" s="96" t="s">
        <v>486</v>
      </c>
      <c r="C148" s="97"/>
      <c r="D148" s="98"/>
      <c r="E148" s="97"/>
      <c r="F148" s="98"/>
      <c r="G148" s="97"/>
      <c r="H148" s="98"/>
      <c r="I148" s="97"/>
      <c r="J148" s="98"/>
      <c r="K148" s="97"/>
      <c r="L148" s="98"/>
      <c r="M148" s="97"/>
      <c r="N148" s="98"/>
      <c r="O148" s="97"/>
      <c r="P148" s="98"/>
      <c r="Q148" s="97"/>
      <c r="R148" s="98"/>
      <c r="S148" s="97"/>
      <c r="T148" s="98"/>
      <c r="U148" s="97"/>
      <c r="V148" s="98"/>
      <c r="W148" s="97"/>
      <c r="X148" s="98"/>
      <c r="Y148" s="97"/>
      <c r="Z148" s="98"/>
      <c r="AA148" s="97"/>
      <c r="AB148" s="98"/>
      <c r="AC148" s="97"/>
      <c r="AD148" s="98"/>
      <c r="AE148" s="97"/>
      <c r="AF148" s="98"/>
      <c r="AG148" s="97"/>
      <c r="AH148" s="98"/>
      <c r="AI148" s="97"/>
      <c r="AJ148" s="98"/>
      <c r="AK148" s="97"/>
      <c r="AL148" s="98"/>
      <c r="AM148" s="97"/>
      <c r="AN148" s="98"/>
      <c r="AO148" s="97"/>
      <c r="AP148" s="98"/>
      <c r="AQ148" s="97"/>
      <c r="AR148" s="98"/>
      <c r="AS148" s="97"/>
      <c r="AT148" s="98"/>
      <c r="AU148" s="97"/>
      <c r="AV148" s="98"/>
      <c r="AW148" s="97"/>
      <c r="AX148" s="98"/>
      <c r="AY148" s="97"/>
      <c r="AZ148" s="98"/>
      <c r="BA148" s="97"/>
      <c r="BB148" s="98"/>
      <c r="BC148" s="97"/>
      <c r="BD148" s="98"/>
      <c r="BE148" s="97"/>
      <c r="BF148" s="98"/>
      <c r="BG148" s="97"/>
      <c r="BH148" s="98"/>
      <c r="BI148" s="97"/>
      <c r="BJ148" s="98"/>
      <c r="BK148" s="97"/>
      <c r="BL148" s="98"/>
      <c r="BM148" s="97"/>
      <c r="BN148" s="98"/>
      <c r="BO148" s="97"/>
      <c r="BP148" s="98"/>
      <c r="BQ148" s="97"/>
      <c r="BR148" s="98"/>
      <c r="BS148" s="97"/>
      <c r="BT148" s="98"/>
      <c r="BU148" s="97"/>
      <c r="BV148" s="98"/>
      <c r="BW148" s="97"/>
      <c r="BX148" s="98"/>
      <c r="BY148" s="97"/>
      <c r="BZ148" s="98"/>
      <c r="CA148" s="97"/>
      <c r="CB148" s="98"/>
      <c r="CC148" s="97"/>
      <c r="CD148" s="98"/>
      <c r="CE148" s="97"/>
      <c r="CF148" s="98"/>
      <c r="CG148" s="97"/>
      <c r="CH148" s="98"/>
      <c r="CI148" s="97"/>
      <c r="CJ148" s="98"/>
      <c r="CK148" s="97"/>
      <c r="CL148" s="98"/>
      <c r="CM148" s="97"/>
      <c r="CN148" s="98"/>
      <c r="CO148" s="97"/>
      <c r="CP148" s="98"/>
      <c r="CQ148" s="97"/>
      <c r="CR148" s="98"/>
      <c r="CS148" s="97"/>
      <c r="CT148" s="98"/>
      <c r="CU148" s="97"/>
      <c r="CV148" s="98"/>
      <c r="CW148" s="97"/>
      <c r="CX148" s="98"/>
      <c r="CY148" s="97"/>
      <c r="CZ148" s="98"/>
      <c r="DA148" s="97"/>
      <c r="DB148" s="98"/>
      <c r="DC148" s="97"/>
      <c r="DD148" s="98"/>
      <c r="DE148" s="97"/>
      <c r="DF148" s="98"/>
      <c r="DG148" s="97"/>
      <c r="DH148" s="98"/>
      <c r="DI148" s="97"/>
      <c r="DJ148" s="98"/>
      <c r="DK148" s="97"/>
      <c r="DL148" s="98"/>
      <c r="DM148" s="97"/>
      <c r="DN148" s="98"/>
      <c r="DO148" s="97"/>
      <c r="DP148" s="98"/>
      <c r="DQ148" s="97"/>
      <c r="DR148" s="98"/>
      <c r="DS148" s="97"/>
      <c r="DT148" s="98"/>
      <c r="DU148" s="97"/>
      <c r="DV148" s="98"/>
      <c r="DW148" s="97"/>
      <c r="DX148" s="98"/>
      <c r="DY148" s="97"/>
      <c r="DZ148" s="98"/>
      <c r="EA148" s="97"/>
      <c r="EB148" s="98"/>
      <c r="EC148" s="97"/>
      <c r="ED148" s="98"/>
      <c r="EE148" s="97"/>
      <c r="EF148" s="98"/>
      <c r="EG148" s="97"/>
      <c r="EH148" s="98"/>
      <c r="EI148" s="97"/>
      <c r="EJ148" s="98"/>
      <c r="EK148" s="97"/>
      <c r="EL148" s="98"/>
      <c r="EM148" s="97"/>
      <c r="EN148" s="98"/>
      <c r="EO148" s="97"/>
      <c r="EP148" s="98"/>
      <c r="EQ148" s="97"/>
      <c r="ER148" s="98"/>
      <c r="ES148" s="97"/>
      <c r="ET148" s="98"/>
      <c r="EU148" s="97"/>
      <c r="EV148" s="98"/>
      <c r="EW148" s="97"/>
      <c r="EX148" s="98"/>
      <c r="EY148" s="98"/>
      <c r="EZ148" s="310"/>
      <c r="FA148" s="98"/>
      <c r="FB148" s="99"/>
      <c r="FC148" s="98"/>
      <c r="FD148" s="97"/>
      <c r="FE148" s="98"/>
      <c r="FF148" s="97"/>
      <c r="FG148" s="98"/>
      <c r="FH148" s="97"/>
      <c r="FI148" s="98"/>
      <c r="FJ148" s="97"/>
      <c r="FK148" s="98"/>
      <c r="FL148" s="97"/>
      <c r="FM148" s="98"/>
      <c r="FN148" s="97"/>
      <c r="FO148" s="98"/>
      <c r="FP148" s="97"/>
      <c r="FQ148" s="98"/>
      <c r="FR148" s="97"/>
      <c r="FS148" s="98"/>
      <c r="FT148" s="97"/>
      <c r="FU148" s="98"/>
      <c r="FV148" s="97"/>
      <c r="FW148" s="98"/>
      <c r="FX148" s="97"/>
      <c r="FY148" s="98"/>
      <c r="FZ148" s="97"/>
      <c r="GA148" s="98"/>
      <c r="GB148" s="97"/>
      <c r="GC148" s="98"/>
      <c r="GD148" s="97"/>
      <c r="GE148" s="98"/>
      <c r="GF148" s="97"/>
      <c r="GG148" s="80"/>
      <c r="GH148" s="97"/>
      <c r="GI148" s="80"/>
      <c r="GJ148" s="97"/>
      <c r="GK148" s="80"/>
      <c r="GL148" s="97"/>
      <c r="GM148" s="80"/>
      <c r="GN148" s="97"/>
      <c r="GO148" s="80"/>
      <c r="GP148" s="97"/>
      <c r="GQ148" s="80"/>
      <c r="GR148" s="97"/>
      <c r="GS148" s="80"/>
      <c r="GT148" s="97"/>
      <c r="GU148" s="80"/>
      <c r="GV148" s="97"/>
      <c r="GW148" s="80"/>
      <c r="GX148" s="97"/>
      <c r="GY148" s="80"/>
      <c r="GZ148" s="98"/>
      <c r="HA148" s="98"/>
      <c r="HB148" s="98"/>
      <c r="HC148"/>
      <c r="HD148"/>
      <c r="HE148"/>
      <c r="HF148"/>
      <c r="HG148"/>
      <c r="HH148"/>
      <c r="HI148" s="2"/>
    </row>
    <row r="149" spans="2:217" ht="12.75" customHeight="1" x14ac:dyDescent="0.2">
      <c r="B149" s="4" t="s">
        <v>599</v>
      </c>
      <c r="C149" s="100"/>
      <c r="D149" s="72"/>
      <c r="E149" s="100"/>
      <c r="F149" s="72"/>
      <c r="G149" s="100"/>
      <c r="H149" s="72"/>
      <c r="I149" s="100"/>
      <c r="J149" s="72"/>
      <c r="K149" s="100"/>
      <c r="L149" s="72"/>
      <c r="M149" s="100"/>
      <c r="N149" s="72"/>
      <c r="O149" s="100"/>
      <c r="P149" s="72"/>
      <c r="Q149" s="100"/>
      <c r="R149" s="72"/>
      <c r="S149" s="100"/>
      <c r="T149" s="72"/>
      <c r="U149" s="100"/>
      <c r="V149" s="72"/>
      <c r="W149" s="100"/>
      <c r="X149" s="72"/>
      <c r="Y149" s="100"/>
      <c r="Z149" s="72"/>
      <c r="AA149" s="100"/>
      <c r="AB149" s="72"/>
      <c r="AC149" s="100"/>
      <c r="AD149" s="72"/>
      <c r="AE149" s="100"/>
      <c r="AF149" s="72"/>
      <c r="AG149" s="100"/>
      <c r="AH149" s="72"/>
      <c r="AI149" s="100">
        <v>32911</v>
      </c>
      <c r="AJ149" s="72" t="str">
        <f t="shared" ref="AJ149:AP154" si="877">IF(ISERROR(AI149/AA149),"NA",IF(OR(AI149/AA149&gt;2,AI149/AA149&lt;0.5),"NM",AI149/AA149*100-100))</f>
        <v>NA</v>
      </c>
      <c r="AK149" s="100">
        <f>AI153</f>
        <v>33176</v>
      </c>
      <c r="AL149" s="72" t="str">
        <f t="shared" si="877"/>
        <v>NA</v>
      </c>
      <c r="AM149" s="100">
        <f>AK153</f>
        <v>80329</v>
      </c>
      <c r="AN149" s="72" t="str">
        <f t="shared" si="877"/>
        <v>NA</v>
      </c>
      <c r="AO149" s="100">
        <f>AM153</f>
        <v>80252</v>
      </c>
      <c r="AP149" s="72" t="str">
        <f t="shared" si="877"/>
        <v>NA</v>
      </c>
      <c r="AQ149" s="100">
        <f>AO153</f>
        <v>83891</v>
      </c>
      <c r="AR149" s="72" t="str">
        <f t="shared" ref="AR149:AR154" si="878">IF(ISERROR(AQ149/AI149),"NA",IF(OR(AQ149/AI149&gt;2,AQ149/AI149&lt;0.5),"NM",AQ149/AI149*100-100))</f>
        <v>NM</v>
      </c>
      <c r="AS149" s="100">
        <f>AQ153</f>
        <v>83927</v>
      </c>
      <c r="AT149" s="72" t="str">
        <f t="shared" ref="AT149:AT154" si="879">IF(ISERROR(AS149/AK149),"NA",IF(OR(AS149/AK149&gt;2,AS149/AK149&lt;0.5),"NM",AS149/AK149*100-100))</f>
        <v>NM</v>
      </c>
      <c r="AU149" s="100">
        <f>AS153</f>
        <v>85331</v>
      </c>
      <c r="AV149" s="72">
        <f t="shared" ref="AV149:AV154" si="880">IF(ISERROR(AU149/AM149),"NA",IF(OR(AU149/AM149&gt;2,AU149/AM149&lt;0.5),"NM",AU149/AM149*100-100))</f>
        <v>6.2268919070323392</v>
      </c>
      <c r="AW149" s="100">
        <f>AU153</f>
        <v>88337</v>
      </c>
      <c r="AX149" s="72">
        <f t="shared" ref="AX149:AX154" si="881">IF(ISERROR(AW149/AO149),"NA",IF(OR(AW149/AO149&gt;2,AW149/AO149&lt;0.5),"NM",AW149/AO149*100-100))</f>
        <v>10.074515276877833</v>
      </c>
      <c r="AY149" s="100">
        <f>AW153</f>
        <v>88385</v>
      </c>
      <c r="AZ149" s="72">
        <f t="shared" ref="AZ149:AZ154" si="882">IF(ISERROR(AY149/AQ149),"NA",IF(OR(AY149/AQ149&gt;2,AY149/AQ149&lt;0.5),"NM",AY149/AQ149*100-100))</f>
        <v>5.3569512820207166</v>
      </c>
      <c r="BA149" s="100">
        <f>AY153</f>
        <v>91854</v>
      </c>
      <c r="BB149" s="72">
        <f t="shared" ref="BB149:BB154" si="883">IF(ISERROR(BA149/AS149),"NA",IF(OR(BA149/AS149&gt;2,BA149/AS149&lt;0.5),"NM",BA149/AS149*100-100))</f>
        <v>9.4451130148819828</v>
      </c>
      <c r="BC149" s="100">
        <f>BA153</f>
        <v>91537</v>
      </c>
      <c r="BD149" s="72">
        <f t="shared" ref="BD149:BD154" si="884">IF(ISERROR(BC149/AU149),"NA",IF(OR(BC149/AU149&gt;2,BC149/AU149&lt;0.5),"NM",BC149/AU149*100-100))</f>
        <v>7.2728551171321101</v>
      </c>
      <c r="BE149" s="100">
        <f>BC153</f>
        <v>93364</v>
      </c>
      <c r="BF149" s="72">
        <f t="shared" ref="BF149:BF154" si="885">IF(ISERROR(BE149/AW149),"NA",IF(OR(BE149/AW149&gt;2,BE149/AW149&lt;0.5),"NM",BE149/AW149*100-100))</f>
        <v>5.6907071781925964</v>
      </c>
      <c r="BG149" s="100">
        <f>BE153</f>
        <v>97430</v>
      </c>
      <c r="BH149" s="72">
        <f t="shared" ref="BH149:BH154" si="886">IF(ISERROR(BG149/AY149),"NA",IF(OR(BG149/AY149&gt;2,BG149/AY149&lt;0.5),"NM",BG149/AY149*100-100))</f>
        <v>10.233636929343206</v>
      </c>
      <c r="BI149" s="100">
        <f>BG153</f>
        <v>99558</v>
      </c>
      <c r="BJ149" s="72">
        <f t="shared" ref="BJ149:BJ154" si="887">IF(ISERROR(BI149/BA149),"NA",IF(OR(BI149/BA149&gt;2,BI149/BA149&lt;0.5),"NM",BI149/BA149*100-100))</f>
        <v>8.3872232020380153</v>
      </c>
      <c r="BK149" s="100">
        <f>BI153</f>
        <v>104033</v>
      </c>
      <c r="BL149" s="72">
        <f t="shared" ref="BL149:BL154" si="888">IF(ISERROR(BK149/BC149),"NA",IF(OR(BK149/BC149&gt;2,BK149/BC149&lt;0.5),"NM",BK149/BC149*100-100))</f>
        <v>13.651310399073594</v>
      </c>
      <c r="BM149" s="100">
        <f>BK153</f>
        <v>105601</v>
      </c>
      <c r="BN149" s="72">
        <f t="shared" ref="BN149:BN154" si="889">IF(ISERROR(BM149/BE149),"NA",IF(OR(BM149/BE149&gt;2,BM149/BE149&lt;0.5),"NM",BM149/BE149*100-100))</f>
        <v>13.106764920097675</v>
      </c>
      <c r="BO149" s="100">
        <f>BM153</f>
        <v>112192</v>
      </c>
      <c r="BP149" s="72">
        <f t="shared" ref="BP149:BP154" si="890">IF(ISERROR(BO149/BG149),"NA",IF(OR(BO149/BG149&gt;2,BO149/BG149&lt;0.5),"NM",BO149/BG149*100-100))</f>
        <v>15.151390742071243</v>
      </c>
      <c r="BQ149" s="100">
        <f>BO153</f>
        <v>107060</v>
      </c>
      <c r="BR149" s="72">
        <f t="shared" ref="BR149:BR154" si="891">IF(ISERROR(BQ149/BI149),"NA",IF(OR(BQ149/BI149&gt;2,BQ149/BI149&lt;0.5),"NM",BQ149/BI149*100-100))</f>
        <v>7.535306052753171</v>
      </c>
      <c r="BS149" s="100">
        <f>BQ153</f>
        <v>106917</v>
      </c>
      <c r="BT149" s="72">
        <f t="shared" ref="BT149:BT154" si="892">IF(ISERROR(BS149/BK149),"NA",IF(OR(BS149/BK149&gt;2,BS149/BK149&lt;0.5),"NM",BS149/BK149*100-100))</f>
        <v>2.772197283554263</v>
      </c>
      <c r="BU149" s="100">
        <f>BS153</f>
        <v>100463</v>
      </c>
      <c r="BV149" s="72">
        <f t="shared" ref="BV149:BV154" si="893">IF(ISERROR(BU149/BM149),"NA",IF(OR(BU149/BM149&gt;2,BU149/BM149&lt;0.5),"NM",BU149/BM149*100-100))</f>
        <v>-4.8654842283690556</v>
      </c>
      <c r="BW149" s="100">
        <f>BU153</f>
        <v>99738</v>
      </c>
      <c r="BX149" s="72">
        <f t="shared" ref="BX149:BX154" si="894">IF(ISERROR(BW149/BO149),"NA",IF(OR(BW149/BO149&gt;2,BW149/BO149&lt;0.5),"NM",BW149/BO149*100-100))</f>
        <v>-11.10061323445521</v>
      </c>
      <c r="BY149" s="100">
        <f>BW153</f>
        <v>102159</v>
      </c>
      <c r="BZ149" s="72">
        <f t="shared" ref="BZ149:BZ154" si="895">IF(ISERROR(BY149/BQ149),"NA",IF(OR(BY149/BQ149&gt;2,BY149/BQ149&lt;0.5),"NM",BY149/BQ149*100-100))</f>
        <v>-4.5778068372874969</v>
      </c>
      <c r="CA149" s="100">
        <f>BY153</f>
        <v>110950</v>
      </c>
      <c r="CB149" s="72">
        <f t="shared" ref="CB149:CB154" si="896">IF(ISERROR(CA149/BS149),"NA",IF(OR(CA149/BS149&gt;2,CA149/BS149&lt;0.5),"NM",CA149/BS149*100-100))</f>
        <v>3.7720848882778313</v>
      </c>
      <c r="CC149" s="100">
        <f>CA153</f>
        <v>121756</v>
      </c>
      <c r="CD149" s="72">
        <f t="shared" ref="CD149:CD154" si="897">IF(ISERROR(CC149/BU149),"NA",IF(OR(CC149/BU149&gt;2,CC149/BU149&lt;0.5),"NM",CC149/BU149*100-100))</f>
        <v>21.194867762260742</v>
      </c>
      <c r="CE149" s="100">
        <f>CC153</f>
        <v>126345</v>
      </c>
      <c r="CF149" s="72">
        <f t="shared" ref="CF149:CF154" si="898">IF(ISERROR(CE149/BW149),"NA",IF(OR(CE149/BW149&gt;2,CE149/BW149&lt;0.5),"NM",CE149/BW149*100-100))</f>
        <v>26.676893460867475</v>
      </c>
      <c r="CG149" s="100">
        <f>CE153</f>
        <v>131147</v>
      </c>
      <c r="CH149" s="72">
        <f t="shared" ref="CH149:CH154" si="899">IF(ISERROR(CG149/BY149),"NA",IF(OR(CG149/BY149&gt;2,CG149/BY149&lt;0.5),"NM",CG149/BY149*100-100))</f>
        <v>28.375375639933822</v>
      </c>
      <c r="CI149" s="100">
        <f>CG153</f>
        <v>125176</v>
      </c>
      <c r="CJ149" s="72">
        <f t="shared" ref="CJ149:CT154" si="900">IF(ISERROR(CI149/CA149),"NA",IF(OR(CI149/CA149&gt;2,CI149/CA149&lt;0.5),"NM",CI149/CA149*100-100))</f>
        <v>12.821991888237932</v>
      </c>
      <c r="CK149" s="100">
        <f>CI153</f>
        <v>135248</v>
      </c>
      <c r="CL149" s="72">
        <f t="shared" si="900"/>
        <v>11.081178750944517</v>
      </c>
      <c r="CM149" s="100">
        <f>CK153</f>
        <v>141313</v>
      </c>
      <c r="CN149" s="72">
        <f t="shared" si="900"/>
        <v>11.846927064782946</v>
      </c>
      <c r="CO149" s="100">
        <f>CM153</f>
        <v>145977</v>
      </c>
      <c r="CP149" s="72">
        <f t="shared" si="900"/>
        <v>11.307921645176776</v>
      </c>
      <c r="CQ149" s="100">
        <f>CO153</f>
        <v>146580</v>
      </c>
      <c r="CR149" s="72">
        <f t="shared" si="900"/>
        <v>17.099124432798618</v>
      </c>
      <c r="CS149" s="100">
        <f>CQ153</f>
        <v>134198</v>
      </c>
      <c r="CT149" s="72">
        <f t="shared" si="900"/>
        <v>-0.77635159115106944</v>
      </c>
      <c r="CU149" s="100">
        <f>CS153</f>
        <v>139430</v>
      </c>
      <c r="CV149" s="72">
        <f t="shared" ref="CV149:CV154" si="901">IF(ISERROR(CU149/CM149),"NA",IF(OR(CU149/CM149&gt;2,CU149/CM149&lt;0.5),"NM",CU149/CM149*100-100))</f>
        <v>-1.3325030251993866</v>
      </c>
      <c r="CW149" s="100">
        <f>CU153</f>
        <v>145991</v>
      </c>
      <c r="CX149" s="72">
        <f t="shared" ref="CX149:CX154" si="902">IF(ISERROR(CW149/CO149),"NA",IF(OR(CW149/CO149&gt;2,CW149/CO149&lt;0.5),"NM",CW149/CO149*100-100))</f>
        <v>9.5905519362560199E-3</v>
      </c>
      <c r="CY149" s="100">
        <f>CW153</f>
        <v>142405</v>
      </c>
      <c r="CZ149" s="72">
        <f t="shared" ref="CZ149:CZ154" si="903">IF(ISERROR(CY149/CQ149),"NA",IF(OR(CY149/CQ149&gt;2,CY149/CQ149&lt;0.5),"NM",CY149/CQ149*100-100))</f>
        <v>-2.8482739800791421</v>
      </c>
      <c r="DA149" s="100">
        <f>CY153</f>
        <v>146934</v>
      </c>
      <c r="DB149" s="72">
        <f t="shared" ref="DB149:DB154" si="904">IF(ISERROR(DA149/CS149),"NA",IF(OR(DA149/CS149&gt;2,DA149/CS149&lt;0.5),"NM",DA149/CS149*100-100))</f>
        <v>9.4904544031952724</v>
      </c>
      <c r="DC149" s="100">
        <f>DA153</f>
        <v>148405</v>
      </c>
      <c r="DD149" s="72">
        <f t="shared" ref="DD149:DD154" si="905">IF(ISERROR(DC149/CU149),"NA",IF(OR(DC149/CU149&gt;2,DC149/CU149&lt;0.5),"NM",DC149/CU149*100-100))</f>
        <v>6.4369217528508926</v>
      </c>
      <c r="DE149" s="100">
        <f>DC153</f>
        <v>156380</v>
      </c>
      <c r="DF149" s="72">
        <f t="shared" ref="DF149:DF154" si="906">IF(ISERROR(DE149/CW149),"NA",IF(OR(DE149/CW149&gt;2,DE149/CW149&lt;0.5),"NM",DE149/CW149*100-100))</f>
        <v>7.1161920940332095</v>
      </c>
      <c r="DG149" s="100">
        <f>DE153</f>
        <v>157738</v>
      </c>
      <c r="DH149" s="72">
        <f t="shared" ref="DH149:DH154" si="907">IF(ISERROR(DG149/CY149),"NA",IF(OR(DG149/CY149&gt;2,DG149/CY149&lt;0.5),"NM",DG149/CY149*100-100))</f>
        <v>10.767178118745832</v>
      </c>
      <c r="DI149" s="100">
        <f>DG153</f>
        <v>165364</v>
      </c>
      <c r="DJ149" s="72">
        <f t="shared" ref="DJ149:DJ154" si="908">IF(ISERROR(DI149/DA149),"NA",IF(OR(DI149/DA149&gt;2,DI149/DA149&lt;0.5),"NM",DI149/DA149*100-100))</f>
        <v>12.543046537901375</v>
      </c>
      <c r="DK149" s="100">
        <f>DI153</f>
        <v>173502</v>
      </c>
      <c r="DL149" s="72">
        <f t="shared" ref="DL149:DL154" si="909">IF(ISERROR(DK149/DC149),"NA",IF(OR(DK149/DC149&gt;2,DK149/DC149&lt;0.5),"NM",DK149/DC149*100-100))</f>
        <v>16.911155284525449</v>
      </c>
      <c r="DM149" s="100">
        <f>DK153</f>
        <v>178150</v>
      </c>
      <c r="DN149" s="72">
        <f t="shared" ref="DN149:DZ154" si="910">IF(ISERROR(DM149/DE149),"NA",IF(OR(DM149/DE149&gt;2,DM149/DE149&lt;0.5),"NM",DM149/DE149*100-100))</f>
        <v>13.921217547000879</v>
      </c>
      <c r="DO149" s="100">
        <f>DM153</f>
        <v>181577</v>
      </c>
      <c r="DP149" s="72">
        <f t="shared" si="910"/>
        <v>15.113035539945983</v>
      </c>
      <c r="DQ149" s="100">
        <f>DO153</f>
        <v>180535</v>
      </c>
      <c r="DR149" s="72">
        <f t="shared" si="910"/>
        <v>9.1743063786555723</v>
      </c>
      <c r="DS149" s="100">
        <f>DQ153</f>
        <v>184196</v>
      </c>
      <c r="DT149" s="72">
        <f t="shared" si="910"/>
        <v>6.1636177104586807</v>
      </c>
      <c r="DU149" s="100">
        <f>DS153</f>
        <v>188145</v>
      </c>
      <c r="DV149" s="72">
        <f t="shared" si="910"/>
        <v>5.6104406399101805</v>
      </c>
      <c r="DW149" s="100">
        <f t="shared" ref="DW149:EE149" si="911">DU153</f>
        <v>188807</v>
      </c>
      <c r="DX149" s="72">
        <f t="shared" si="910"/>
        <v>3.9817818336022697</v>
      </c>
      <c r="DY149" s="100">
        <f t="shared" si="911"/>
        <v>184515</v>
      </c>
      <c r="DZ149" s="72">
        <f t="shared" si="910"/>
        <v>2.2045586728335138</v>
      </c>
      <c r="EA149" s="100">
        <f t="shared" si="911"/>
        <v>188961</v>
      </c>
      <c r="EB149" s="72">
        <f t="shared" ref="EB149:EB154" si="912">IF(ISERROR(EA149/DS149),"NA",IF(OR(EA149/DS149&gt;2,EA149/DS149&lt;0.5),"NM",EA149/DS149*100-100))</f>
        <v>2.5869182826988606</v>
      </c>
      <c r="EC149" s="100">
        <f t="shared" si="911"/>
        <v>190953</v>
      </c>
      <c r="ED149" s="72">
        <f t="shared" ref="ED149:ED154" si="913">IF(ISERROR(EC149/DU149),"NA",IF(OR(EC149/DU149&gt;2,EC149/DU149&lt;0.5),"NM",EC149/DU149*100-100))</f>
        <v>1.4924659172446724</v>
      </c>
      <c r="EE149" s="100">
        <f t="shared" si="911"/>
        <v>194007</v>
      </c>
      <c r="EF149" s="72">
        <f t="shared" ref="EF149:EF154" si="914">IF(ISERROR(EE149/DW149),"NA",IF(OR(EE149/DW149&gt;2,EE149/DW149&lt;0.5),"NM",EE149/DW149*100-100))</f>
        <v>2.7541351750729461</v>
      </c>
      <c r="EG149" s="100">
        <f>EE153</f>
        <v>200476</v>
      </c>
      <c r="EH149" s="72">
        <f t="shared" ref="EH149:EH154" si="915">IF(ISERROR(EG149/DY149),"NA",IF(OR(EG149/DY149&gt;2,EG149/DY149&lt;0.5),"NM",EG149/DY149*100-100))</f>
        <v>8.650245237514568</v>
      </c>
      <c r="EI149" s="100">
        <f>EG153</f>
        <v>202802</v>
      </c>
      <c r="EJ149" s="72">
        <f t="shared" ref="EJ149:EJ154" si="916">IF(ISERROR(EI149/EA149),"NA",IF(OR(EI149/EA149&gt;2,EI149/EA149&lt;0.5),"NM",EI149/EA149*100-100))</f>
        <v>7.3247918882732392</v>
      </c>
      <c r="EK149" s="100">
        <f>EI153</f>
        <v>210400</v>
      </c>
      <c r="EL149" s="72">
        <f t="shared" ref="EL149:EL154" si="917">IF(ISERROR(EK149/EC149),"NA",IF(OR(EK149/EC149&gt;2,EK149/EC149&lt;0.5),"NM",EK149/EC149*100-100))</f>
        <v>10.184181447790806</v>
      </c>
      <c r="EM149" s="100">
        <f>EK153</f>
        <v>214731</v>
      </c>
      <c r="EN149" s="72">
        <f t="shared" ref="EN149:EN154" si="918">IF(ISERROR(EM149/EE149),"NA",IF(OR(EM149/EE149&gt;2,EM149/EE149&lt;0.5),"NM",EM149/EE149*100-100))</f>
        <v>10.682088790610649</v>
      </c>
      <c r="EO149" s="100">
        <f>EM153</f>
        <v>227438</v>
      </c>
      <c r="EP149" s="72">
        <f t="shared" ref="EP149:EP154" si="919">IF(ISERROR(EO149/EG149),"NA",IF(OR(EO149/EG149&gt;2,EO149/EG149&lt;0.5),"NM",EO149/EG149*100-100))</f>
        <v>13.448991400466895</v>
      </c>
      <c r="EQ149" s="100">
        <f t="shared" ref="EQ149" si="920">EO153</f>
        <v>234616</v>
      </c>
      <c r="ER149" s="72">
        <f t="shared" ref="ER149:ER154" si="921">IF(ISERROR(EQ149/EI149),"NA",IF(OR(EQ149/EI149&gt;2,EQ149/EI149&lt;0.5),"NM",EQ149/EI149*100-100))</f>
        <v>15.68722201950672</v>
      </c>
      <c r="ES149" s="100">
        <f t="shared" ref="ES149" si="922">EQ153</f>
        <v>233377.35229718956</v>
      </c>
      <c r="ET149" s="72">
        <f t="shared" ref="ET149:ET154" si="923">IF(ISERROR(ES149/EK149),"NA",IF(OR(ES149/EK149&gt;2,ES149/EK149&lt;0.5),"NM",ES149/EK149*100-100))</f>
        <v>10.920794818055882</v>
      </c>
      <c r="EU149" s="100">
        <f t="shared" ref="EU149" si="924">ES153</f>
        <v>236208.79064100821</v>
      </c>
      <c r="EV149" s="72">
        <f t="shared" ref="EV149:EV154" si="925">IF(ISERROR(EU149/EM149),"NA",IF(OR(EU149/EM149&gt;2,EU149/EM149&lt;0.5),"NM",EU149/EM149*100-100))</f>
        <v>10.002184426565421</v>
      </c>
      <c r="EW149" s="100">
        <f t="shared" ref="EW149" si="926">EU153</f>
        <v>239074.58126029803</v>
      </c>
      <c r="EX149" s="72">
        <f t="shared" ref="EX149:EX154" si="927">IF(ISERROR(EW149/EO149),"NA",IF(OR(EW149/EO149&gt;2,EW149/EO149&lt;0.5),"NM",EW149/EO149*100-100))</f>
        <v>5.1163751265391113</v>
      </c>
      <c r="EY149" s="72"/>
      <c r="EZ149" s="306"/>
      <c r="FA149" s="72"/>
      <c r="FB149" s="101">
        <v>17737</v>
      </c>
      <c r="FC149" s="72"/>
      <c r="FD149" s="100">
        <f>FB153</f>
        <v>21527</v>
      </c>
      <c r="FE149" s="72">
        <f t="shared" ref="FE149:FE154" si="928">IF(ISERROR(FD149/FB149),"NA",IF(OR(FD149/FB149&gt;2,FD149/FB149&lt;0.5),"NM",FD149/FB149*100-100))</f>
        <v>21.367762304786609</v>
      </c>
      <c r="FF149" s="100">
        <f>FD153</f>
        <v>25788</v>
      </c>
      <c r="FG149" s="72">
        <f t="shared" ref="FG149:FG154" si="929">IF(ISERROR(FF149/FD149),"NA",IF(OR(FF149/FD149&gt;2,FF149/FD149&lt;0.5),"NM",FF149/FD149*100-100))</f>
        <v>19.793747387002369</v>
      </c>
      <c r="FH149" s="100">
        <f>FF153</f>
        <v>26046</v>
      </c>
      <c r="FI149" s="72">
        <f t="shared" ref="FI149:FI154" si="930">IF(ISERROR(FH149/FF149),"NA",IF(OR(FH149/FF149&gt;2,FH149/FF149&lt;0.5),"NM",FH149/FF149*100-100))</f>
        <v>1.0004653327128921</v>
      </c>
      <c r="FJ149" s="100">
        <f>FH153</f>
        <v>26046</v>
      </c>
      <c r="FK149" s="72">
        <f t="shared" ref="FK149:FK154" si="931">IF(ISERROR(FJ149/FH149),"NA",IF(OR(FJ149/FH149&gt;2,FJ149/FH149&lt;0.5),"NM",FJ149/FH149*100-100))</f>
        <v>0</v>
      </c>
      <c r="FL149" s="100">
        <f>FJ153</f>
        <v>26046</v>
      </c>
      <c r="FM149" s="72">
        <f t="shared" ref="FM149:FM154" si="932">IF(ISERROR(FL149/FJ149),"NA",IF(OR(FL149/FJ149&gt;2,FL149/FJ149&lt;0.5),"NM",FL149/FJ149*100-100))</f>
        <v>0</v>
      </c>
      <c r="FN149" s="100">
        <v>32911</v>
      </c>
      <c r="FO149" s="72">
        <f t="shared" ref="FO149:FO154" si="933">IF(ISERROR(FN149/FL149),"NA",IF(OR(FN149/FL149&gt;2,FN149/FL149&lt;0.5),"NM",FN149/FL149*100-100))</f>
        <v>26.357214159563853</v>
      </c>
      <c r="FP149" s="100">
        <f>FN153</f>
        <v>83891</v>
      </c>
      <c r="FQ149" s="72" t="str">
        <f t="shared" ref="FQ149:FQ154" si="934">IF(ISERROR(FP149/FN149),"NA",IF(OR(FP149/FN149&gt;2,FP149/FN149&lt;0.5),"NM",FP149/FN149*100-100))</f>
        <v>NM</v>
      </c>
      <c r="FR149" s="100">
        <f>FP153</f>
        <v>88385</v>
      </c>
      <c r="FS149" s="72">
        <f t="shared" ref="FS149:FS154" si="935">IF(ISERROR(FR149/FP149),"NA",IF(OR(FR149/FP149&gt;2,FR149/FP149&lt;0.5),"NM",FR149/FP149*100-100))</f>
        <v>5.3569512820207166</v>
      </c>
      <c r="FT149" s="100">
        <f>FR153</f>
        <v>97430</v>
      </c>
      <c r="FU149" s="72">
        <f t="shared" ref="FU149:FU154" si="936">IF(ISERROR(FT149/FR149),"NA",IF(OR(FT149/FR149&gt;2,FT149/FR149&lt;0.5),"NM",FT149/FR149*100-100))</f>
        <v>10.233636929343206</v>
      </c>
      <c r="FV149" s="100">
        <f>FT153</f>
        <v>112192</v>
      </c>
      <c r="FW149" s="72">
        <f t="shared" ref="FW149:GG154" si="937">IF(ISERROR(FV149/FT149),"NA",IF(OR(FV149/FT149&gt;2,FV149/FT149&lt;0.5),"NM",FV149/FT149*100-100))</f>
        <v>15.151390742071243</v>
      </c>
      <c r="FX149" s="100">
        <f>FV153</f>
        <v>99738</v>
      </c>
      <c r="FY149" s="72">
        <f t="shared" si="937"/>
        <v>-11.10061323445521</v>
      </c>
      <c r="FZ149" s="100">
        <f>FX153</f>
        <v>126345</v>
      </c>
      <c r="GA149" s="72">
        <f t="shared" si="937"/>
        <v>26.676893460867475</v>
      </c>
      <c r="GB149" s="100">
        <f>FZ153</f>
        <v>141313</v>
      </c>
      <c r="GC149" s="72">
        <f t="shared" si="937"/>
        <v>11.846927064782946</v>
      </c>
      <c r="GD149" s="100">
        <f>GB153</f>
        <v>139430</v>
      </c>
      <c r="GE149" s="72">
        <f t="shared" si="937"/>
        <v>-1.3325030251993866</v>
      </c>
      <c r="GF149" s="100">
        <f>GD153</f>
        <v>148405</v>
      </c>
      <c r="GG149" s="72">
        <f t="shared" si="937"/>
        <v>6.4369217528508926</v>
      </c>
      <c r="GH149" s="100">
        <f>GF153</f>
        <v>173502</v>
      </c>
      <c r="GI149" s="72">
        <f t="shared" ref="GI149:GU154" si="938">IF(ISERROR(GH149/GF149),"NA",IF(OR(GH149/GF149&gt;2,GH149/GF149&lt;0.5),"NM",GH149/GF149*100-100))</f>
        <v>16.911155284525449</v>
      </c>
      <c r="GJ149" s="100">
        <f>GH153</f>
        <v>184196</v>
      </c>
      <c r="GK149" s="72">
        <f t="shared" si="938"/>
        <v>6.1636177104586807</v>
      </c>
      <c r="GL149" s="100">
        <f>GJ153</f>
        <v>188961</v>
      </c>
      <c r="GM149" s="72">
        <f t="shared" si="938"/>
        <v>2.5869182826988606</v>
      </c>
      <c r="GN149" s="100">
        <f>GL153</f>
        <v>202802</v>
      </c>
      <c r="GO149" s="72">
        <f t="shared" si="938"/>
        <v>7.3247918882732392</v>
      </c>
      <c r="GP149" s="100">
        <f>GN153</f>
        <v>234616</v>
      </c>
      <c r="GQ149" s="72">
        <f t="shared" si="938"/>
        <v>15.68722201950672</v>
      </c>
      <c r="GR149" s="100">
        <f>GP153</f>
        <v>241975.14093221843</v>
      </c>
      <c r="GS149" s="72">
        <f t="shared" si="938"/>
        <v>3.1366747929461098</v>
      </c>
      <c r="GT149" s="100">
        <f>GR153</f>
        <v>252870.22687879985</v>
      </c>
      <c r="GU149" s="72">
        <f t="shared" si="938"/>
        <v>4.5025641496096114</v>
      </c>
      <c r="GV149" s="100">
        <f>GT153</f>
        <v>264255.87105928117</v>
      </c>
      <c r="GW149" s="72">
        <f t="shared" ref="GW149:GW154" si="939">IF(ISERROR(GV149/GT149),"NA",IF(OR(GV149/GT149&gt;2,GV149/GT149&lt;0.5),"NM",GV149/GT149*100-100))</f>
        <v>4.5025641496096114</v>
      </c>
      <c r="GX149" s="100">
        <f>GV153</f>
        <v>276154.16117283504</v>
      </c>
      <c r="GY149" s="72">
        <f t="shared" ref="GY149:GY154" si="940">IF(ISERROR(GX149/GV149),"NA",IF(OR(GX149/GV149&gt;2,GX149/GV149&lt;0.5),"NM",GX149/GV149*100-100))</f>
        <v>4.5025641496096398</v>
      </c>
      <c r="GZ149" s="72">
        <f t="shared" ref="GZ149:GZ154" si="941">IF(ISERROR(((GX149/GN149)^0.2-1)*100),"NA",IF((((GX149/GN149)^0.2-1)*100)&gt;100,"NM",IF((((GX149/GN149)^0.2-1)*100)&lt;-50,"NM",((GX149/GN149)^0.2-1)*100)))</f>
        <v>6.369194777439291</v>
      </c>
      <c r="HA149" s="72"/>
      <c r="HB149" s="72"/>
    </row>
    <row r="150" spans="2:217" ht="12.75" customHeight="1" x14ac:dyDescent="0.2">
      <c r="B150" s="4" t="s">
        <v>28</v>
      </c>
      <c r="C150" s="101"/>
      <c r="D150" s="72"/>
      <c r="E150" s="101"/>
      <c r="F150" s="72"/>
      <c r="G150" s="101"/>
      <c r="H150" s="72"/>
      <c r="I150" s="101"/>
      <c r="J150" s="72"/>
      <c r="K150" s="101"/>
      <c r="L150" s="72"/>
      <c r="M150" s="101"/>
      <c r="N150" s="72"/>
      <c r="O150" s="101"/>
      <c r="P150" s="72"/>
      <c r="Q150" s="101"/>
      <c r="R150" s="72"/>
      <c r="S150" s="101"/>
      <c r="T150" s="72"/>
      <c r="U150" s="101"/>
      <c r="V150" s="72"/>
      <c r="W150" s="101"/>
      <c r="X150" s="72"/>
      <c r="Y150" s="101"/>
      <c r="Z150" s="72"/>
      <c r="AA150" s="101"/>
      <c r="AB150" s="72"/>
      <c r="AC150" s="101"/>
      <c r="AD150" s="72"/>
      <c r="AE150" s="101"/>
      <c r="AF150" s="72"/>
      <c r="AG150" s="101"/>
      <c r="AH150" s="72"/>
      <c r="AI150" s="101">
        <v>1198</v>
      </c>
      <c r="AJ150" s="72" t="str">
        <f t="shared" si="877"/>
        <v>NA</v>
      </c>
      <c r="AK150" s="101">
        <f>3150+46810</f>
        <v>49960</v>
      </c>
      <c r="AL150" s="72" t="str">
        <f t="shared" si="877"/>
        <v>NA</v>
      </c>
      <c r="AM150" s="101">
        <v>3963</v>
      </c>
      <c r="AN150" s="72" t="str">
        <f t="shared" si="877"/>
        <v>NA</v>
      </c>
      <c r="AO150" s="101">
        <v>3354</v>
      </c>
      <c r="AP150" s="72" t="str">
        <f t="shared" si="877"/>
        <v>NA</v>
      </c>
      <c r="AQ150" s="101">
        <v>3784</v>
      </c>
      <c r="AR150" s="72" t="str">
        <f t="shared" si="878"/>
        <v>NM</v>
      </c>
      <c r="AS150" s="101">
        <v>2667</v>
      </c>
      <c r="AT150" s="72" t="str">
        <f t="shared" si="879"/>
        <v>NM</v>
      </c>
      <c r="AU150" s="101">
        <v>3509</v>
      </c>
      <c r="AV150" s="72">
        <f t="shared" si="880"/>
        <v>-11.455967701236432</v>
      </c>
      <c r="AW150" s="101">
        <v>3046</v>
      </c>
      <c r="AX150" s="72">
        <f t="shared" si="881"/>
        <v>-9.1830649970184908</v>
      </c>
      <c r="AY150" s="101">
        <v>5381</v>
      </c>
      <c r="AZ150" s="72">
        <f t="shared" si="882"/>
        <v>42.204016913319236</v>
      </c>
      <c r="BA150" s="101">
        <v>4138</v>
      </c>
      <c r="BB150" s="72">
        <f t="shared" si="883"/>
        <v>55.15560554930633</v>
      </c>
      <c r="BC150" s="101">
        <v>2914</v>
      </c>
      <c r="BD150" s="72">
        <f t="shared" si="884"/>
        <v>-16.956397834140773</v>
      </c>
      <c r="BE150" s="101">
        <v>3723</v>
      </c>
      <c r="BF150" s="72">
        <f t="shared" si="885"/>
        <v>22.225869993434017</v>
      </c>
      <c r="BG150" s="101">
        <v>4003</v>
      </c>
      <c r="BH150" s="72">
        <f t="shared" si="886"/>
        <v>-25.608622932540413</v>
      </c>
      <c r="BI150" s="101">
        <v>3212</v>
      </c>
      <c r="BJ150" s="72">
        <f t="shared" si="887"/>
        <v>-22.377960367327205</v>
      </c>
      <c r="BK150" s="101">
        <v>3219</v>
      </c>
      <c r="BL150" s="72">
        <f t="shared" si="888"/>
        <v>10.466712422786543</v>
      </c>
      <c r="BM150" s="101">
        <v>4258</v>
      </c>
      <c r="BN150" s="72">
        <f t="shared" si="889"/>
        <v>14.370131614289548</v>
      </c>
      <c r="BO150" s="101">
        <v>4586</v>
      </c>
      <c r="BP150" s="72">
        <f t="shared" si="890"/>
        <v>14.564076942293269</v>
      </c>
      <c r="BQ150" s="101">
        <v>4530</v>
      </c>
      <c r="BR150" s="72">
        <f t="shared" si="891"/>
        <v>41.033623910336246</v>
      </c>
      <c r="BS150" s="101">
        <v>3276</v>
      </c>
      <c r="BT150" s="72">
        <f t="shared" si="892"/>
        <v>1.7707362534948601</v>
      </c>
      <c r="BU150" s="101">
        <v>6549</v>
      </c>
      <c r="BV150" s="72">
        <f t="shared" si="893"/>
        <v>53.80460310004699</v>
      </c>
      <c r="BW150" s="101">
        <v>10489</v>
      </c>
      <c r="BX150" s="72" t="str">
        <f t="shared" si="894"/>
        <v>NM</v>
      </c>
      <c r="BY150" s="101">
        <v>3890</v>
      </c>
      <c r="BZ150" s="72">
        <f t="shared" si="895"/>
        <v>-14.128035320088301</v>
      </c>
      <c r="CA150" s="101">
        <v>4789</v>
      </c>
      <c r="CB150" s="72">
        <f t="shared" si="896"/>
        <v>46.184371184371173</v>
      </c>
      <c r="CC150" s="101">
        <v>4020</v>
      </c>
      <c r="CD150" s="72">
        <f t="shared" si="897"/>
        <v>-38.616582684379296</v>
      </c>
      <c r="CE150" s="101">
        <v>5605</v>
      </c>
      <c r="CF150" s="72">
        <f t="shared" si="898"/>
        <v>-46.563066069215367</v>
      </c>
      <c r="CG150" s="101">
        <v>4037</v>
      </c>
      <c r="CH150" s="72">
        <f t="shared" si="899"/>
        <v>3.7789203084832792</v>
      </c>
      <c r="CI150" s="101">
        <v>5255</v>
      </c>
      <c r="CJ150" s="72">
        <f t="shared" si="900"/>
        <v>9.7306326999373454</v>
      </c>
      <c r="CK150" s="101">
        <v>4369</v>
      </c>
      <c r="CL150" s="72">
        <f t="shared" si="900"/>
        <v>8.6815920398009894</v>
      </c>
      <c r="CM150" s="101">
        <v>4848</v>
      </c>
      <c r="CN150" s="72">
        <f t="shared" si="900"/>
        <v>-13.505798394290807</v>
      </c>
      <c r="CO150" s="101">
        <v>4128</v>
      </c>
      <c r="CP150" s="72">
        <f t="shared" si="900"/>
        <v>2.2541491206341249</v>
      </c>
      <c r="CQ150" s="101">
        <v>3966</v>
      </c>
      <c r="CR150" s="72">
        <f t="shared" si="900"/>
        <v>-24.529019980970503</v>
      </c>
      <c r="CS150" s="101">
        <v>3879</v>
      </c>
      <c r="CT150" s="72">
        <f t="shared" si="900"/>
        <v>-11.215381094071873</v>
      </c>
      <c r="CU150" s="101">
        <v>4646</v>
      </c>
      <c r="CV150" s="72">
        <f t="shared" si="901"/>
        <v>-4.1666666666666572</v>
      </c>
      <c r="CW150" s="101">
        <v>4363</v>
      </c>
      <c r="CX150" s="72">
        <f t="shared" si="902"/>
        <v>5.6928294573643399</v>
      </c>
      <c r="CY150" s="101">
        <v>3478</v>
      </c>
      <c r="CZ150" s="72">
        <f t="shared" si="903"/>
        <v>-12.304589006555716</v>
      </c>
      <c r="DA150" s="101">
        <v>3903</v>
      </c>
      <c r="DB150" s="72">
        <f t="shared" si="904"/>
        <v>0.6187161639597889</v>
      </c>
      <c r="DC150" s="101">
        <v>5679</v>
      </c>
      <c r="DD150" s="72">
        <f t="shared" si="905"/>
        <v>22.23417993973311</v>
      </c>
      <c r="DE150" s="101">
        <v>3697</v>
      </c>
      <c r="DF150" s="72">
        <f t="shared" si="906"/>
        <v>-15.264726105890446</v>
      </c>
      <c r="DG150" s="101">
        <v>5455</v>
      </c>
      <c r="DH150" s="72">
        <f t="shared" si="907"/>
        <v>56.843013225991939</v>
      </c>
      <c r="DI150" s="101">
        <v>5846</v>
      </c>
      <c r="DJ150" s="72">
        <f t="shared" si="908"/>
        <v>49.782218806046643</v>
      </c>
      <c r="DK150" s="101">
        <v>8587</v>
      </c>
      <c r="DL150" s="72">
        <f t="shared" si="909"/>
        <v>51.206198274344075</v>
      </c>
      <c r="DM150" s="101">
        <v>4528</v>
      </c>
      <c r="DN150" s="72">
        <f t="shared" si="910"/>
        <v>22.477684609142543</v>
      </c>
      <c r="DO150" s="101">
        <v>5190</v>
      </c>
      <c r="DP150" s="72">
        <f t="shared" si="910"/>
        <v>-4.8579285059578297</v>
      </c>
      <c r="DQ150" s="101">
        <v>5629</v>
      </c>
      <c r="DR150" s="72">
        <f t="shared" si="910"/>
        <v>-3.7119397878891505</v>
      </c>
      <c r="DS150" s="101">
        <v>6314</v>
      </c>
      <c r="DT150" s="72">
        <f t="shared" si="910"/>
        <v>-26.470245720274832</v>
      </c>
      <c r="DU150" s="101">
        <v>5040</v>
      </c>
      <c r="DV150" s="72">
        <f t="shared" si="910"/>
        <v>11.307420494699642</v>
      </c>
      <c r="DW150" s="101">
        <v>9422</v>
      </c>
      <c r="DX150" s="72">
        <f t="shared" si="910"/>
        <v>81.541425818882459</v>
      </c>
      <c r="DY150" s="101">
        <v>4908</v>
      </c>
      <c r="DZ150" s="72">
        <f t="shared" si="910"/>
        <v>-12.808669390655538</v>
      </c>
      <c r="EA150" s="101">
        <v>6656</v>
      </c>
      <c r="EB150" s="72">
        <f t="shared" si="912"/>
        <v>5.4165346848273686</v>
      </c>
      <c r="EC150" s="101">
        <v>4699</v>
      </c>
      <c r="ED150" s="72">
        <f t="shared" si="913"/>
        <v>-6.7658730158730123</v>
      </c>
      <c r="EE150" s="101">
        <v>5405</v>
      </c>
      <c r="EF150" s="72">
        <f t="shared" si="914"/>
        <v>-42.634260241986844</v>
      </c>
      <c r="EG150" s="101">
        <v>5168</v>
      </c>
      <c r="EH150" s="72">
        <f t="shared" si="915"/>
        <v>5.2974735126324362</v>
      </c>
      <c r="EI150" s="101">
        <v>6736</v>
      </c>
      <c r="EJ150" s="72">
        <f t="shared" si="916"/>
        <v>1.2019230769230802</v>
      </c>
      <c r="EK150" s="101">
        <v>4771</v>
      </c>
      <c r="EL150" s="72">
        <f t="shared" si="917"/>
        <v>1.5322409023196428</v>
      </c>
      <c r="EM150" s="101">
        <v>11188</v>
      </c>
      <c r="EN150" s="72" t="str">
        <f t="shared" si="918"/>
        <v>NM</v>
      </c>
      <c r="EO150" s="101">
        <v>6832</v>
      </c>
      <c r="EP150" s="72">
        <f t="shared" si="919"/>
        <v>32.198142414860683</v>
      </c>
      <c r="EQ150" s="100">
        <f t="shared" ref="EQ150" si="942">+EQ149*EQ158/400</f>
        <v>7918.29</v>
      </c>
      <c r="ER150" s="72">
        <f t="shared" si="921"/>
        <v>17.551811163895479</v>
      </c>
      <c r="ES150" s="100">
        <f t="shared" ref="ES150" si="943">+ES149*ES158/400</f>
        <v>6709.5988785441996</v>
      </c>
      <c r="ET150" s="72">
        <f t="shared" si="923"/>
        <v>40.632967481538458</v>
      </c>
      <c r="EU150" s="100">
        <f t="shared" ref="EU150" si="944">+EU149*EU158/400</f>
        <v>5905.2197660252059</v>
      </c>
      <c r="EV150" s="72">
        <f t="shared" si="925"/>
        <v>-47.218271665845499</v>
      </c>
      <c r="EW150" s="100">
        <f t="shared" ref="EW150" si="945">+EW149*EW158/400</f>
        <v>6574.5509846581963</v>
      </c>
      <c r="EX150" s="72">
        <f t="shared" si="927"/>
        <v>-3.768281840483084</v>
      </c>
      <c r="EY150" s="72"/>
      <c r="EZ150" s="307"/>
      <c r="FA150" s="72"/>
      <c r="FB150" s="101">
        <v>4939</v>
      </c>
      <c r="FC150" s="72"/>
      <c r="FD150" s="101">
        <v>4736</v>
      </c>
      <c r="FE150" s="72">
        <f t="shared" si="928"/>
        <v>-4.1101437537963079</v>
      </c>
      <c r="FF150" s="101">
        <v>5439</v>
      </c>
      <c r="FG150" s="72">
        <f t="shared" si="929"/>
        <v>14.84375</v>
      </c>
      <c r="FH150" s="75">
        <f>K150+M150+O150+Q150</f>
        <v>0</v>
      </c>
      <c r="FI150" s="72" t="str">
        <f t="shared" si="930"/>
        <v>NM</v>
      </c>
      <c r="FJ150" s="75">
        <f>S150+U150+W150+Y150</f>
        <v>0</v>
      </c>
      <c r="FK150" s="72" t="str">
        <f t="shared" si="931"/>
        <v>NA</v>
      </c>
      <c r="FL150" s="75">
        <f>+AA150+AC150+AE150+AG150</f>
        <v>0</v>
      </c>
      <c r="FM150" s="72" t="str">
        <f t="shared" si="932"/>
        <v>NA</v>
      </c>
      <c r="FN150" s="75">
        <f>AI150+AK150+AM150+AO150</f>
        <v>58475</v>
      </c>
      <c r="FO150" s="72" t="str">
        <f t="shared" si="933"/>
        <v>NA</v>
      </c>
      <c r="FP150" s="75">
        <f>AQ150+AS150+AU150+AW150</f>
        <v>13006</v>
      </c>
      <c r="FQ150" s="72" t="str">
        <f t="shared" si="934"/>
        <v>NM</v>
      </c>
      <c r="FR150" s="100">
        <f>AY150+BA150+BC150+BE150</f>
        <v>16156</v>
      </c>
      <c r="FS150" s="72">
        <f t="shared" si="935"/>
        <v>24.219590958019381</v>
      </c>
      <c r="FT150" s="100">
        <f>BG150+BI150+BK150+BM150</f>
        <v>14692</v>
      </c>
      <c r="FU150" s="72">
        <f t="shared" si="936"/>
        <v>-9.061648923000746</v>
      </c>
      <c r="FV150" s="100">
        <f>BO150+BQ150+BS150+BU150</f>
        <v>18941</v>
      </c>
      <c r="FW150" s="72">
        <f t="shared" si="937"/>
        <v>28.920500952899545</v>
      </c>
      <c r="FX150" s="75">
        <f>BW150+BY150+CA150+CC150</f>
        <v>23188</v>
      </c>
      <c r="FY150" s="72">
        <f t="shared" si="937"/>
        <v>22.422258592471351</v>
      </c>
      <c r="FZ150" s="75">
        <f>CE150+CG150+CI150+CK150</f>
        <v>19266</v>
      </c>
      <c r="GA150" s="72">
        <f t="shared" si="937"/>
        <v>-16.913920993617396</v>
      </c>
      <c r="GB150" s="100">
        <f>CM150+CO150+CQ150+CS150</f>
        <v>16821</v>
      </c>
      <c r="GC150" s="72">
        <f t="shared" si="937"/>
        <v>-12.690750545001563</v>
      </c>
      <c r="GD150" s="100">
        <f>CU150+CW150+CY150+DA150</f>
        <v>16390</v>
      </c>
      <c r="GE150" s="72">
        <f t="shared" si="937"/>
        <v>-2.5622733487901996</v>
      </c>
      <c r="GF150" s="100">
        <f>DC150+DE150+DG150+DI150</f>
        <v>20677</v>
      </c>
      <c r="GG150" s="72">
        <f t="shared" si="937"/>
        <v>26.156192800488114</v>
      </c>
      <c r="GH150" s="100">
        <f>DK150+DM150+DO150+DQ150</f>
        <v>23934</v>
      </c>
      <c r="GI150" s="72">
        <f t="shared" si="938"/>
        <v>15.751801518595542</v>
      </c>
      <c r="GJ150" s="100">
        <f>DS150+DU150+DW150+DY150</f>
        <v>25684</v>
      </c>
      <c r="GK150" s="72">
        <f t="shared" si="938"/>
        <v>7.3117740452912159</v>
      </c>
      <c r="GL150" s="100">
        <f>EA150+EC150+EE150+EG150</f>
        <v>21928</v>
      </c>
      <c r="GM150" s="72">
        <f t="shared" si="938"/>
        <v>-14.623890359757056</v>
      </c>
      <c r="GN150" s="100">
        <f>EI150+EK150+EM150+EO150</f>
        <v>29527</v>
      </c>
      <c r="GO150" s="72">
        <f t="shared" si="938"/>
        <v>34.654323239693554</v>
      </c>
      <c r="GP150" s="100">
        <f>EQ150+ES150+EU150+EW150</f>
        <v>27107.659629227601</v>
      </c>
      <c r="GQ150" s="72">
        <f t="shared" si="938"/>
        <v>-8.1936545222081492</v>
      </c>
      <c r="GR150" s="100">
        <f>+GR149*GR158/100</f>
        <v>27957.938755775209</v>
      </c>
      <c r="GS150" s="72">
        <f t="shared" si="938"/>
        <v>3.1366747929461098</v>
      </c>
      <c r="GT150" s="100">
        <f>+GT149*GT158/100</f>
        <v>29216.762883162559</v>
      </c>
      <c r="GU150" s="72">
        <f t="shared" si="938"/>
        <v>4.5025641496096398</v>
      </c>
      <c r="GV150" s="100">
        <f>+GV149*GV158/100</f>
        <v>30532.266374416282</v>
      </c>
      <c r="GW150" s="72">
        <f t="shared" si="939"/>
        <v>4.5025641496096114</v>
      </c>
      <c r="GX150" s="100">
        <f>+GX149*GX158/100</f>
        <v>31907.001254254068</v>
      </c>
      <c r="GY150" s="72">
        <f t="shared" si="940"/>
        <v>4.5025641496096398</v>
      </c>
      <c r="GZ150" s="72">
        <f t="shared" si="941"/>
        <v>1.5624884034225461</v>
      </c>
      <c r="HA150" s="72"/>
      <c r="HB150" s="72"/>
    </row>
    <row r="151" spans="2:217" ht="12.75" customHeight="1" x14ac:dyDescent="0.2">
      <c r="B151" s="4" t="s">
        <v>303</v>
      </c>
      <c r="C151" s="101"/>
      <c r="D151" s="72"/>
      <c r="E151" s="101"/>
      <c r="F151" s="72"/>
      <c r="G151" s="101"/>
      <c r="H151" s="72"/>
      <c r="I151" s="101"/>
      <c r="J151" s="72"/>
      <c r="K151" s="101"/>
      <c r="L151" s="72"/>
      <c r="M151" s="101"/>
      <c r="N151" s="72"/>
      <c r="O151" s="101"/>
      <c r="P151" s="72"/>
      <c r="Q151" s="101"/>
      <c r="R151" s="72"/>
      <c r="S151" s="101"/>
      <c r="T151" s="72"/>
      <c r="U151" s="101"/>
      <c r="V151" s="72"/>
      <c r="W151" s="101"/>
      <c r="X151" s="72"/>
      <c r="Y151" s="101"/>
      <c r="Z151" s="72"/>
      <c r="AA151" s="101"/>
      <c r="AB151" s="72"/>
      <c r="AC151" s="101"/>
      <c r="AD151" s="72"/>
      <c r="AE151" s="101"/>
      <c r="AF151" s="72"/>
      <c r="AG151" s="101"/>
      <c r="AH151" s="72"/>
      <c r="AI151" s="101">
        <v>-1603</v>
      </c>
      <c r="AJ151" s="72" t="str">
        <f t="shared" si="877"/>
        <v>NA</v>
      </c>
      <c r="AK151" s="101">
        <v>-3459</v>
      </c>
      <c r="AL151" s="72" t="str">
        <f t="shared" si="877"/>
        <v>NA</v>
      </c>
      <c r="AM151" s="101">
        <v>-3947</v>
      </c>
      <c r="AN151" s="72" t="str">
        <f t="shared" si="877"/>
        <v>NA</v>
      </c>
      <c r="AO151" s="101">
        <v>-4078</v>
      </c>
      <c r="AP151" s="72" t="str">
        <f t="shared" si="877"/>
        <v>NA</v>
      </c>
      <c r="AQ151" s="101">
        <v>-3349</v>
      </c>
      <c r="AR151" s="72" t="str">
        <f t="shared" si="878"/>
        <v>NM</v>
      </c>
      <c r="AS151" s="101">
        <v>-2837</v>
      </c>
      <c r="AT151" s="72">
        <f t="shared" si="879"/>
        <v>-17.982075744434809</v>
      </c>
      <c r="AU151" s="101">
        <v>-3202</v>
      </c>
      <c r="AV151" s="72">
        <f t="shared" si="880"/>
        <v>-18.87509500886749</v>
      </c>
      <c r="AW151" s="101">
        <v>-4530</v>
      </c>
      <c r="AX151" s="72">
        <f t="shared" si="881"/>
        <v>11.083864639529168</v>
      </c>
      <c r="AY151" s="101">
        <v>-5471</v>
      </c>
      <c r="AZ151" s="72">
        <f t="shared" si="882"/>
        <v>63.362197670946557</v>
      </c>
      <c r="BA151" s="101">
        <v>-3412</v>
      </c>
      <c r="BB151" s="72">
        <f t="shared" si="883"/>
        <v>20.267888614733877</v>
      </c>
      <c r="BC151" s="101">
        <v>-3272</v>
      </c>
      <c r="BD151" s="72">
        <f t="shared" si="884"/>
        <v>2.1861336664584599</v>
      </c>
      <c r="BE151" s="101">
        <v>-3834</v>
      </c>
      <c r="BF151" s="72">
        <f t="shared" si="885"/>
        <v>-15.36423841059603</v>
      </c>
      <c r="BG151" s="101">
        <v>-3433</v>
      </c>
      <c r="BH151" s="72">
        <f t="shared" si="886"/>
        <v>-37.250959605190999</v>
      </c>
      <c r="BI151" s="101">
        <v>-3203</v>
      </c>
      <c r="BJ151" s="72">
        <f t="shared" si="887"/>
        <v>-6.1254396248534562</v>
      </c>
      <c r="BK151" s="101">
        <v>-3309</v>
      </c>
      <c r="BL151" s="72">
        <f t="shared" si="888"/>
        <v>1.1308068459657648</v>
      </c>
      <c r="BM151" s="101">
        <v>-3804</v>
      </c>
      <c r="BN151" s="72">
        <f t="shared" si="889"/>
        <v>-0.78247261345852337</v>
      </c>
      <c r="BO151" s="101">
        <v>-3933</v>
      </c>
      <c r="BP151" s="72">
        <f t="shared" si="890"/>
        <v>14.564520827264786</v>
      </c>
      <c r="BQ151" s="101">
        <v>-4366</v>
      </c>
      <c r="BR151" s="72">
        <f t="shared" si="891"/>
        <v>36.30970964720575</v>
      </c>
      <c r="BS151" s="101">
        <v>-2883</v>
      </c>
      <c r="BT151" s="72">
        <f t="shared" si="892"/>
        <v>-12.873980054397094</v>
      </c>
      <c r="BU151" s="101">
        <v>-3869</v>
      </c>
      <c r="BV151" s="72">
        <f t="shared" si="893"/>
        <v>1.708727655099878</v>
      </c>
      <c r="BW151" s="101">
        <v>-4231</v>
      </c>
      <c r="BX151" s="72">
        <f t="shared" si="894"/>
        <v>7.576913297737093</v>
      </c>
      <c r="BY151" s="101">
        <v>-3803</v>
      </c>
      <c r="BZ151" s="72">
        <f t="shared" si="895"/>
        <v>-12.895098488318823</v>
      </c>
      <c r="CA151" s="101">
        <v>-3287</v>
      </c>
      <c r="CB151" s="72">
        <f t="shared" si="896"/>
        <v>14.013180714533476</v>
      </c>
      <c r="CC151" s="101">
        <v>-3117</v>
      </c>
      <c r="CD151" s="72">
        <f t="shared" si="897"/>
        <v>-19.436546911346596</v>
      </c>
      <c r="CE151" s="101">
        <v>-4500</v>
      </c>
      <c r="CF151" s="72">
        <f t="shared" si="898"/>
        <v>6.3578350271803288</v>
      </c>
      <c r="CG151" s="101">
        <v>-3751</v>
      </c>
      <c r="CH151" s="72">
        <f t="shared" si="899"/>
        <v>-1.3673415724427969</v>
      </c>
      <c r="CI151" s="101">
        <v>-3167</v>
      </c>
      <c r="CJ151" s="72">
        <f t="shared" si="900"/>
        <v>-3.6507453605111095</v>
      </c>
      <c r="CK151" s="101">
        <v>-5386</v>
      </c>
      <c r="CL151" s="72">
        <f t="shared" si="900"/>
        <v>72.79435354507541</v>
      </c>
      <c r="CM151" s="101">
        <v>-4927</v>
      </c>
      <c r="CN151" s="72">
        <f t="shared" si="900"/>
        <v>9.48888888888888</v>
      </c>
      <c r="CO151" s="101">
        <v>-4214</v>
      </c>
      <c r="CP151" s="72">
        <f t="shared" si="900"/>
        <v>12.343375099973343</v>
      </c>
      <c r="CQ151" s="101">
        <v>-4126</v>
      </c>
      <c r="CR151" s="72">
        <f t="shared" si="900"/>
        <v>30.281023050205249</v>
      </c>
      <c r="CS151" s="101">
        <v>-5893</v>
      </c>
      <c r="CT151" s="72">
        <f t="shared" si="900"/>
        <v>9.4132937244708614</v>
      </c>
      <c r="CU151" s="101">
        <v>-7103</v>
      </c>
      <c r="CV151" s="72">
        <f t="shared" si="901"/>
        <v>44.16480617008321</v>
      </c>
      <c r="CW151" s="101">
        <v>-3671</v>
      </c>
      <c r="CX151" s="72">
        <f t="shared" si="902"/>
        <v>-12.885619364024677</v>
      </c>
      <c r="CY151" s="101">
        <v>-4063</v>
      </c>
      <c r="CZ151" s="72">
        <f t="shared" si="903"/>
        <v>-1.5269025690741671</v>
      </c>
      <c r="DA151" s="101">
        <v>-4386</v>
      </c>
      <c r="DB151" s="72">
        <f t="shared" si="904"/>
        <v>-25.572713388766331</v>
      </c>
      <c r="DC151" s="101">
        <v>-4676</v>
      </c>
      <c r="DD151" s="72">
        <f t="shared" si="905"/>
        <v>-34.168661129100371</v>
      </c>
      <c r="DE151" s="101">
        <v>-3622</v>
      </c>
      <c r="DF151" s="72">
        <f t="shared" si="906"/>
        <v>-1.3347861618087791</v>
      </c>
      <c r="DG151" s="101">
        <v>-4627</v>
      </c>
      <c r="DH151" s="72">
        <f t="shared" si="907"/>
        <v>13.88136844696038</v>
      </c>
      <c r="DI151" s="101">
        <v>-5786</v>
      </c>
      <c r="DJ151" s="72">
        <f t="shared" si="908"/>
        <v>31.919744642042872</v>
      </c>
      <c r="DK151" s="101">
        <v>-6003</v>
      </c>
      <c r="DL151" s="72">
        <f t="shared" si="909"/>
        <v>28.378956372968332</v>
      </c>
      <c r="DM151" s="101">
        <v>-6066</v>
      </c>
      <c r="DN151" s="72">
        <f t="shared" si="910"/>
        <v>67.476532302595245</v>
      </c>
      <c r="DO151" s="101">
        <v>-4221</v>
      </c>
      <c r="DP151" s="72">
        <f t="shared" si="910"/>
        <v>-8.7745839636913701</v>
      </c>
      <c r="DQ151" s="101">
        <v>-6311</v>
      </c>
      <c r="DR151" s="72">
        <f t="shared" si="910"/>
        <v>9.0736259937780801</v>
      </c>
      <c r="DS151" s="101">
        <v>-6229</v>
      </c>
      <c r="DT151" s="72">
        <f t="shared" si="910"/>
        <v>3.7647842745294042</v>
      </c>
      <c r="DU151" s="101">
        <v>-4683</v>
      </c>
      <c r="DV151" s="72">
        <f t="shared" si="910"/>
        <v>-22.799208704253218</v>
      </c>
      <c r="DW151" s="101">
        <v>-5072</v>
      </c>
      <c r="DX151" s="72">
        <f t="shared" si="910"/>
        <v>20.16109926557688</v>
      </c>
      <c r="DY151" s="101">
        <v>-5575</v>
      </c>
      <c r="DZ151" s="72">
        <f t="shared" si="910"/>
        <v>-11.662177151006176</v>
      </c>
      <c r="EA151" s="101">
        <v>-5286</v>
      </c>
      <c r="EB151" s="72">
        <f t="shared" si="912"/>
        <v>-15.138866591748283</v>
      </c>
      <c r="EC151" s="101">
        <v>-4513</v>
      </c>
      <c r="ED151" s="72">
        <f t="shared" si="913"/>
        <v>-3.6301516122143909</v>
      </c>
      <c r="EE151" s="101">
        <v>-5013</v>
      </c>
      <c r="EF151" s="72">
        <f t="shared" si="914"/>
        <v>-1.1632492113564581</v>
      </c>
      <c r="EG151" s="101">
        <v>-5315</v>
      </c>
      <c r="EH151" s="72">
        <f t="shared" si="915"/>
        <v>-4.6636771300448459</v>
      </c>
      <c r="EI151" s="101">
        <v>-6690</v>
      </c>
      <c r="EJ151" s="72">
        <f t="shared" si="916"/>
        <v>26.560726447219068</v>
      </c>
      <c r="EK151" s="101">
        <v>-5786</v>
      </c>
      <c r="EL151" s="72">
        <f t="shared" si="917"/>
        <v>28.207400842011964</v>
      </c>
      <c r="EM151" s="101">
        <v>-5132</v>
      </c>
      <c r="EN151" s="72">
        <f t="shared" si="918"/>
        <v>2.3738280470775948</v>
      </c>
      <c r="EO151" s="101">
        <v>-7203</v>
      </c>
      <c r="EP151" s="72">
        <f t="shared" si="919"/>
        <v>35.522107243650026</v>
      </c>
      <c r="EQ151" s="100">
        <f t="shared" ref="EQ151" si="946">-EQ149*EQ159/400</f>
        <v>-7625.02</v>
      </c>
      <c r="ER151" s="72">
        <f t="shared" si="921"/>
        <v>13.976382660687591</v>
      </c>
      <c r="ES151" s="100">
        <f t="shared" ref="ES151" si="947">-ES149*ES159/400</f>
        <v>-6417.8771881727125</v>
      </c>
      <c r="ET151" s="72">
        <f t="shared" si="923"/>
        <v>10.920794818055882</v>
      </c>
      <c r="EU151" s="100">
        <f t="shared" ref="EU151" si="948">-EU149*EU159/400</f>
        <v>-5609.9587777239449</v>
      </c>
      <c r="EV151" s="72">
        <f t="shared" si="925"/>
        <v>9.3133043204198174</v>
      </c>
      <c r="EW151" s="100">
        <f t="shared" ref="EW151" si="949">-EW149*EW159/400</f>
        <v>-6275.7077580828227</v>
      </c>
      <c r="EX151" s="72">
        <f t="shared" si="927"/>
        <v>-12.873694875984683</v>
      </c>
      <c r="EY151" s="72"/>
      <c r="EZ151" s="307"/>
      <c r="FA151" s="72"/>
      <c r="FB151" s="101">
        <v>-2585</v>
      </c>
      <c r="FC151" s="72"/>
      <c r="FD151" s="101">
        <v>-3287</v>
      </c>
      <c r="FE151" s="72">
        <f t="shared" si="928"/>
        <v>27.15667311411994</v>
      </c>
      <c r="FF151" s="101">
        <v>-3937</v>
      </c>
      <c r="FG151" s="72">
        <f t="shared" si="929"/>
        <v>19.774870702768482</v>
      </c>
      <c r="FH151" s="75">
        <f>K151+M151+O151+Q151</f>
        <v>0</v>
      </c>
      <c r="FI151" s="72" t="str">
        <f t="shared" si="930"/>
        <v>NM</v>
      </c>
      <c r="FJ151" s="75">
        <f>S151+U151+W151+Y151</f>
        <v>0</v>
      </c>
      <c r="FK151" s="72" t="str">
        <f t="shared" si="931"/>
        <v>NA</v>
      </c>
      <c r="FL151" s="75">
        <f>+AA151+AC151+AE151+AG151</f>
        <v>0</v>
      </c>
      <c r="FM151" s="72" t="str">
        <f t="shared" si="932"/>
        <v>NA</v>
      </c>
      <c r="FN151" s="75">
        <f>AI151+AK151+AM151+AO151</f>
        <v>-13087</v>
      </c>
      <c r="FO151" s="72" t="str">
        <f t="shared" si="933"/>
        <v>NA</v>
      </c>
      <c r="FP151" s="75">
        <f>AQ151+AS151+AU151+AW151</f>
        <v>-13918</v>
      </c>
      <c r="FQ151" s="72">
        <f t="shared" si="934"/>
        <v>6.3498127913196356</v>
      </c>
      <c r="FR151" s="100">
        <f>AY151+BA151+BC151+BE151</f>
        <v>-15989</v>
      </c>
      <c r="FS151" s="72">
        <f t="shared" si="935"/>
        <v>14.880011495904583</v>
      </c>
      <c r="FT151" s="100">
        <f>BG151+BI151+BK151+BM151</f>
        <v>-13749</v>
      </c>
      <c r="FU151" s="72">
        <f t="shared" si="936"/>
        <v>-14.009631621739942</v>
      </c>
      <c r="FV151" s="100">
        <f>BO151+BQ151+BS151+BU151</f>
        <v>-15051</v>
      </c>
      <c r="FW151" s="72">
        <f t="shared" si="937"/>
        <v>9.4697796203360127</v>
      </c>
      <c r="FX151" s="75">
        <f>BW151+BY151+CA151+CC151</f>
        <v>-14438</v>
      </c>
      <c r="FY151" s="72">
        <f t="shared" si="937"/>
        <v>-4.0728190817885803</v>
      </c>
      <c r="FZ151" s="75">
        <f>CE151+CG151+CI151+CK151</f>
        <v>-16804</v>
      </c>
      <c r="GA151" s="72">
        <f t="shared" si="937"/>
        <v>16.38731126194763</v>
      </c>
      <c r="GB151" s="100">
        <f>CM151+CO151+CQ151+CS151</f>
        <v>-19160</v>
      </c>
      <c r="GC151" s="72">
        <f t="shared" si="937"/>
        <v>14.020471316353252</v>
      </c>
      <c r="GD151" s="100">
        <f>CU151+CW151+CY151+DA151</f>
        <v>-19223</v>
      </c>
      <c r="GE151" s="72">
        <f t="shared" si="937"/>
        <v>0.32881002087682987</v>
      </c>
      <c r="GF151" s="100">
        <f>DC151+DE151+DG151+DI151</f>
        <v>-18711</v>
      </c>
      <c r="GG151" s="72">
        <f t="shared" si="937"/>
        <v>-2.6634760443219108</v>
      </c>
      <c r="GH151" s="100">
        <f>DK151+DM151+DO151+DQ151</f>
        <v>-22601</v>
      </c>
      <c r="GI151" s="72">
        <f t="shared" si="938"/>
        <v>20.789909678798566</v>
      </c>
      <c r="GJ151" s="100">
        <f>DS151+DU151+DW151+DY151</f>
        <v>-21559</v>
      </c>
      <c r="GK151" s="72">
        <f t="shared" si="938"/>
        <v>-4.6104154683421115</v>
      </c>
      <c r="GL151" s="100">
        <f>EA151+EC151+EE151+EG151</f>
        <v>-20127</v>
      </c>
      <c r="GM151" s="72">
        <f t="shared" si="938"/>
        <v>-6.6422375805927913</v>
      </c>
      <c r="GN151" s="100">
        <f>EI151+EK151+EM151+EO151</f>
        <v>-24811</v>
      </c>
      <c r="GO151" s="72">
        <f t="shared" si="938"/>
        <v>23.272221394147181</v>
      </c>
      <c r="GP151" s="100">
        <f>EQ151+ES151+EU151+EW151</f>
        <v>-25928.563723979478</v>
      </c>
      <c r="GQ151" s="72">
        <f t="shared" si="938"/>
        <v>4.5043074603179178</v>
      </c>
      <c r="GR151" s="100">
        <f>-GR149*GR159/100</f>
        <v>-26741.858446482507</v>
      </c>
      <c r="GS151" s="72">
        <f t="shared" si="938"/>
        <v>3.1366747929461098</v>
      </c>
      <c r="GT151" s="100">
        <f>-GT149*GT159/100</f>
        <v>-27945.927777833178</v>
      </c>
      <c r="GU151" s="72">
        <f t="shared" si="938"/>
        <v>4.5025641496096114</v>
      </c>
      <c r="GV151" s="100">
        <f>-GV149*GV159/100</f>
        <v>-29204.211103233691</v>
      </c>
      <c r="GW151" s="72">
        <f t="shared" si="939"/>
        <v>4.5025641496096114</v>
      </c>
      <c r="GX151" s="100">
        <f>-GX149*GX159/100</f>
        <v>-30519.149442544207</v>
      </c>
      <c r="GY151" s="72">
        <f t="shared" si="940"/>
        <v>4.5025641496096398</v>
      </c>
      <c r="GZ151" s="72">
        <f t="shared" si="941"/>
        <v>4.2282945013330187</v>
      </c>
      <c r="HA151" s="72"/>
      <c r="HB151" s="72"/>
    </row>
    <row r="152" spans="2:217" s="102" customFormat="1" ht="12.75" customHeight="1" x14ac:dyDescent="0.2">
      <c r="B152" s="18" t="s">
        <v>447</v>
      </c>
      <c r="C152" s="101"/>
      <c r="D152" s="72"/>
      <c r="E152" s="101"/>
      <c r="F152" s="72"/>
      <c r="G152" s="101"/>
      <c r="H152" s="72"/>
      <c r="I152" s="101"/>
      <c r="J152" s="72"/>
      <c r="K152" s="101"/>
      <c r="L152" s="72"/>
      <c r="M152" s="101"/>
      <c r="N152" s="72"/>
      <c r="O152" s="101"/>
      <c r="P152" s="72"/>
      <c r="Q152" s="101"/>
      <c r="R152" s="72"/>
      <c r="S152" s="101"/>
      <c r="T152" s="72"/>
      <c r="U152" s="101"/>
      <c r="V152" s="72"/>
      <c r="W152" s="101"/>
      <c r="X152" s="72"/>
      <c r="Y152" s="101"/>
      <c r="Z152" s="72"/>
      <c r="AA152" s="101"/>
      <c r="AB152" s="72"/>
      <c r="AC152" s="101"/>
      <c r="AD152" s="72"/>
      <c r="AE152" s="101"/>
      <c r="AF152" s="72"/>
      <c r="AG152" s="101"/>
      <c r="AH152" s="72"/>
      <c r="AI152" s="101">
        <v>670</v>
      </c>
      <c r="AJ152" s="72" t="str">
        <f t="shared" si="877"/>
        <v>NA</v>
      </c>
      <c r="AK152" s="101">
        <v>652</v>
      </c>
      <c r="AL152" s="72" t="str">
        <f t="shared" si="877"/>
        <v>NA</v>
      </c>
      <c r="AM152" s="101">
        <v>-93</v>
      </c>
      <c r="AN152" s="72" t="str">
        <f t="shared" si="877"/>
        <v>NA</v>
      </c>
      <c r="AO152" s="101">
        <v>4363</v>
      </c>
      <c r="AP152" s="72" t="str">
        <f t="shared" si="877"/>
        <v>NA</v>
      </c>
      <c r="AQ152" s="101">
        <v>-399</v>
      </c>
      <c r="AR152" s="72" t="str">
        <f t="shared" si="878"/>
        <v>NM</v>
      </c>
      <c r="AS152" s="101">
        <v>1574</v>
      </c>
      <c r="AT152" s="72" t="str">
        <f t="shared" si="879"/>
        <v>NM</v>
      </c>
      <c r="AU152" s="101">
        <v>2699</v>
      </c>
      <c r="AV152" s="72" t="str">
        <f t="shared" si="880"/>
        <v>NM</v>
      </c>
      <c r="AW152" s="101">
        <v>1532</v>
      </c>
      <c r="AX152" s="72" t="str">
        <f t="shared" si="881"/>
        <v>NM</v>
      </c>
      <c r="AY152" s="101">
        <v>3559</v>
      </c>
      <c r="AZ152" s="72" t="str">
        <f t="shared" si="882"/>
        <v>NM</v>
      </c>
      <c r="BA152" s="101">
        <v>-1043</v>
      </c>
      <c r="BB152" s="72" t="str">
        <f t="shared" si="883"/>
        <v>NM</v>
      </c>
      <c r="BC152" s="101">
        <v>2185</v>
      </c>
      <c r="BD152" s="72">
        <f t="shared" si="884"/>
        <v>-19.044090403853275</v>
      </c>
      <c r="BE152" s="101">
        <v>4177</v>
      </c>
      <c r="BF152" s="72" t="str">
        <f t="shared" si="885"/>
        <v>NM</v>
      </c>
      <c r="BG152" s="101">
        <v>1558</v>
      </c>
      <c r="BH152" s="72" t="str">
        <f t="shared" si="886"/>
        <v>NM</v>
      </c>
      <c r="BI152" s="101">
        <v>4466</v>
      </c>
      <c r="BJ152" s="72" t="str">
        <f t="shared" si="887"/>
        <v>NM</v>
      </c>
      <c r="BK152" s="101">
        <v>1658</v>
      </c>
      <c r="BL152" s="72">
        <f t="shared" si="888"/>
        <v>-24.118993135011451</v>
      </c>
      <c r="BM152" s="101">
        <f>-1119+7256</f>
        <v>6137</v>
      </c>
      <c r="BN152" s="72">
        <f t="shared" si="889"/>
        <v>46.92362939909026</v>
      </c>
      <c r="BO152" s="101">
        <v>-5785</v>
      </c>
      <c r="BP152" s="72" t="str">
        <f t="shared" si="890"/>
        <v>NM</v>
      </c>
      <c r="BQ152" s="101">
        <v>-307</v>
      </c>
      <c r="BR152" s="72" t="str">
        <f t="shared" si="891"/>
        <v>NM</v>
      </c>
      <c r="BS152" s="101">
        <v>-6847</v>
      </c>
      <c r="BT152" s="72" t="str">
        <f t="shared" si="892"/>
        <v>NM</v>
      </c>
      <c r="BU152" s="101">
        <f>-12320+8915</f>
        <v>-3405</v>
      </c>
      <c r="BV152" s="72" t="str">
        <f t="shared" si="893"/>
        <v>NM</v>
      </c>
      <c r="BW152" s="101">
        <v>-3837</v>
      </c>
      <c r="BX152" s="72">
        <f t="shared" si="894"/>
        <v>-33.673292999135697</v>
      </c>
      <c r="BY152" s="101">
        <v>8704</v>
      </c>
      <c r="BZ152" s="72" t="str">
        <f t="shared" si="895"/>
        <v>NM</v>
      </c>
      <c r="CA152" s="101">
        <v>9304</v>
      </c>
      <c r="CB152" s="72" t="str">
        <f t="shared" si="896"/>
        <v>NM</v>
      </c>
      <c r="CC152" s="101">
        <v>3686</v>
      </c>
      <c r="CD152" s="72" t="str">
        <f t="shared" si="897"/>
        <v>NM</v>
      </c>
      <c r="CE152" s="101">
        <v>3697</v>
      </c>
      <c r="CF152" s="72" t="str">
        <f t="shared" si="898"/>
        <v>NM</v>
      </c>
      <c r="CG152" s="101">
        <v>-6257</v>
      </c>
      <c r="CH152" s="72" t="str">
        <f t="shared" si="899"/>
        <v>NM</v>
      </c>
      <c r="CI152" s="101">
        <v>7984</v>
      </c>
      <c r="CJ152" s="72">
        <f t="shared" si="900"/>
        <v>-14.187446259673266</v>
      </c>
      <c r="CK152" s="101">
        <v>7082</v>
      </c>
      <c r="CL152" s="72">
        <f t="shared" si="900"/>
        <v>92.132392837764513</v>
      </c>
      <c r="CM152" s="101">
        <v>4743</v>
      </c>
      <c r="CN152" s="72">
        <f t="shared" si="900"/>
        <v>28.293210711387616</v>
      </c>
      <c r="CO152" s="101">
        <v>689</v>
      </c>
      <c r="CP152" s="72" t="str">
        <f t="shared" si="900"/>
        <v>NM</v>
      </c>
      <c r="CQ152" s="101">
        <v>-12222</v>
      </c>
      <c r="CR152" s="72" t="str">
        <f t="shared" si="900"/>
        <v>NM</v>
      </c>
      <c r="CS152" s="101">
        <v>7246</v>
      </c>
      <c r="CT152" s="72">
        <f t="shared" si="900"/>
        <v>2.3157300197684378</v>
      </c>
      <c r="CU152" s="101">
        <v>9018</v>
      </c>
      <c r="CV152" s="72">
        <f t="shared" si="901"/>
        <v>90.132827324478171</v>
      </c>
      <c r="CW152" s="101">
        <v>-4278</v>
      </c>
      <c r="CX152" s="72" t="str">
        <f t="shared" si="902"/>
        <v>NM</v>
      </c>
      <c r="CY152" s="101">
        <v>5114</v>
      </c>
      <c r="CZ152" s="72" t="str">
        <f t="shared" si="903"/>
        <v>NM</v>
      </c>
      <c r="DA152" s="101">
        <v>1954</v>
      </c>
      <c r="DB152" s="72" t="str">
        <f t="shared" si="904"/>
        <v>NM</v>
      </c>
      <c r="DC152" s="101">
        <v>6972</v>
      </c>
      <c r="DD152" s="72">
        <f t="shared" si="905"/>
        <v>-22.687957418496339</v>
      </c>
      <c r="DE152" s="101">
        <v>1283</v>
      </c>
      <c r="DF152" s="72" t="str">
        <f t="shared" si="906"/>
        <v>NM</v>
      </c>
      <c r="DG152" s="101">
        <v>6798</v>
      </c>
      <c r="DH152" s="72">
        <f t="shared" si="907"/>
        <v>32.929213922565509</v>
      </c>
      <c r="DI152" s="101">
        <v>8078</v>
      </c>
      <c r="DJ152" s="72" t="str">
        <f t="shared" si="908"/>
        <v>NM</v>
      </c>
      <c r="DK152" s="101">
        <v>2064</v>
      </c>
      <c r="DL152" s="72" t="str">
        <f t="shared" si="909"/>
        <v>NM</v>
      </c>
      <c r="DM152" s="101">
        <v>4965</v>
      </c>
      <c r="DN152" s="72" t="str">
        <f t="shared" si="910"/>
        <v>NM</v>
      </c>
      <c r="DO152" s="101">
        <v>-2011</v>
      </c>
      <c r="DP152" s="72" t="str">
        <f t="shared" si="910"/>
        <v>NM</v>
      </c>
      <c r="DQ152" s="101">
        <v>4343</v>
      </c>
      <c r="DR152" s="72">
        <f t="shared" si="910"/>
        <v>-46.236692250557063</v>
      </c>
      <c r="DS152" s="101">
        <v>3864</v>
      </c>
      <c r="DT152" s="72">
        <f t="shared" si="910"/>
        <v>87.209302325581405</v>
      </c>
      <c r="DU152" s="101">
        <v>305</v>
      </c>
      <c r="DV152" s="72" t="str">
        <f t="shared" si="910"/>
        <v>NM</v>
      </c>
      <c r="DW152" s="101">
        <v>-8642</v>
      </c>
      <c r="DX152" s="72" t="str">
        <f t="shared" si="910"/>
        <v>NM</v>
      </c>
      <c r="DY152" s="101">
        <v>5113</v>
      </c>
      <c r="DZ152" s="72">
        <f t="shared" si="910"/>
        <v>17.729679944738663</v>
      </c>
      <c r="EA152" s="101">
        <v>622</v>
      </c>
      <c r="EB152" s="72" t="str">
        <f t="shared" si="912"/>
        <v>NM</v>
      </c>
      <c r="EC152" s="101">
        <v>2868</v>
      </c>
      <c r="ED152" s="72" t="str">
        <f t="shared" si="913"/>
        <v>NM</v>
      </c>
      <c r="EE152" s="101">
        <v>6077</v>
      </c>
      <c r="EF152" s="72" t="str">
        <f t="shared" si="914"/>
        <v>NM</v>
      </c>
      <c r="EG152" s="101">
        <v>2473</v>
      </c>
      <c r="EH152" s="72" t="str">
        <f t="shared" si="915"/>
        <v>NM</v>
      </c>
      <c r="EI152" s="101">
        <v>7552</v>
      </c>
      <c r="EJ152" s="72" t="str">
        <f t="shared" si="916"/>
        <v>NM</v>
      </c>
      <c r="EK152" s="101">
        <v>5346</v>
      </c>
      <c r="EL152" s="72">
        <f t="shared" si="917"/>
        <v>86.40167364016736</v>
      </c>
      <c r="EM152" s="101">
        <v>6651</v>
      </c>
      <c r="EN152" s="72">
        <f t="shared" si="918"/>
        <v>9.4454500575942006</v>
      </c>
      <c r="EO152" s="101">
        <v>7549</v>
      </c>
      <c r="EP152" s="72" t="str">
        <f t="shared" si="919"/>
        <v>NM</v>
      </c>
      <c r="EQ152" s="75">
        <f t="shared" ref="EQ152" si="950">EQ149*(EQ161/100*EQ$25/100)</f>
        <v>-1531.9177028104507</v>
      </c>
      <c r="ER152" s="72" t="str">
        <f t="shared" si="921"/>
        <v>NM</v>
      </c>
      <c r="ES152" s="75">
        <f t="shared" ref="ES152" si="951">ES149*(ES161/100*ES$25/100)</f>
        <v>2539.7166534471644</v>
      </c>
      <c r="ET152" s="72" t="str">
        <f t="shared" si="923"/>
        <v>NM</v>
      </c>
      <c r="EU152" s="75">
        <f t="shared" ref="EU152" si="952">EU149*(EU161/100*EU$25/100)</f>
        <v>2570.5296309885657</v>
      </c>
      <c r="EV152" s="72" t="str">
        <f t="shared" si="925"/>
        <v>NM</v>
      </c>
      <c r="EW152" s="75">
        <f t="shared" ref="EW152" si="953">EW149*(EW161/100*EW$25/100)</f>
        <v>2601.7164453450619</v>
      </c>
      <c r="EX152" s="72" t="str">
        <f t="shared" si="927"/>
        <v>NM</v>
      </c>
      <c r="EY152" s="72"/>
      <c r="EZ152" s="309"/>
      <c r="FA152" s="72"/>
      <c r="FB152" s="101">
        <v>1436</v>
      </c>
      <c r="FC152" s="72"/>
      <c r="FD152" s="101">
        <v>2812</v>
      </c>
      <c r="FE152" s="72">
        <f t="shared" si="928"/>
        <v>95.82172701949861</v>
      </c>
      <c r="FF152" s="101">
        <v>-1244</v>
      </c>
      <c r="FG152" s="72" t="str">
        <f t="shared" si="929"/>
        <v>NM</v>
      </c>
      <c r="FH152" s="75">
        <f>K152+M152+O152+Q152</f>
        <v>0</v>
      </c>
      <c r="FI152" s="72" t="str">
        <f t="shared" si="930"/>
        <v>NM</v>
      </c>
      <c r="FJ152" s="75">
        <f>S152+U152+W152+Y152</f>
        <v>0</v>
      </c>
      <c r="FK152" s="72" t="str">
        <f t="shared" si="931"/>
        <v>NA</v>
      </c>
      <c r="FL152" s="75">
        <f>+AA152+AC152+AE152+AG152</f>
        <v>0</v>
      </c>
      <c r="FM152" s="72" t="str">
        <f t="shared" si="932"/>
        <v>NA</v>
      </c>
      <c r="FN152" s="75">
        <f>AI152+AK152+AM152+AO152</f>
        <v>5592</v>
      </c>
      <c r="FO152" s="72" t="str">
        <f t="shared" si="933"/>
        <v>NA</v>
      </c>
      <c r="FP152" s="75">
        <f>AQ152+AS152+AU152+AW152</f>
        <v>5406</v>
      </c>
      <c r="FQ152" s="72">
        <f t="shared" si="934"/>
        <v>-3.3261802575107282</v>
      </c>
      <c r="FR152" s="100">
        <f>AY152+BA152+BC152+BE152</f>
        <v>8878</v>
      </c>
      <c r="FS152" s="72">
        <f t="shared" si="935"/>
        <v>64.224935257121729</v>
      </c>
      <c r="FT152" s="100">
        <f>BG152+BI152+BK152+BM152</f>
        <v>13819</v>
      </c>
      <c r="FU152" s="72">
        <f t="shared" si="936"/>
        <v>55.65442667267402</v>
      </c>
      <c r="FV152" s="100">
        <f>BO152+BQ152+BS152+BU152</f>
        <v>-16344</v>
      </c>
      <c r="FW152" s="72" t="str">
        <f t="shared" si="937"/>
        <v>NM</v>
      </c>
      <c r="FX152" s="75">
        <f>BW152+BY152+CA152+CC152</f>
        <v>17857</v>
      </c>
      <c r="FY152" s="72" t="str">
        <f t="shared" si="937"/>
        <v>NM</v>
      </c>
      <c r="FZ152" s="75">
        <f>CE152+CG152+CI152+CK152</f>
        <v>12506</v>
      </c>
      <c r="GA152" s="72">
        <f t="shared" si="937"/>
        <v>-29.965839726717817</v>
      </c>
      <c r="GB152" s="100">
        <f>CM152+CO152+CQ152+CS152</f>
        <v>456</v>
      </c>
      <c r="GC152" s="72" t="str">
        <f t="shared" si="937"/>
        <v>NM</v>
      </c>
      <c r="GD152" s="100">
        <f>CU152+CW152+CY152+DA152</f>
        <v>11808</v>
      </c>
      <c r="GE152" s="72" t="str">
        <f t="shared" si="937"/>
        <v>NM</v>
      </c>
      <c r="GF152" s="100">
        <f>DC152+DE152+DG152+DI152</f>
        <v>23131</v>
      </c>
      <c r="GG152" s="72">
        <f t="shared" si="937"/>
        <v>95.892615176151764</v>
      </c>
      <c r="GH152" s="100">
        <f>DK152+DM152+DO152+DQ152</f>
        <v>9361</v>
      </c>
      <c r="GI152" s="72" t="str">
        <f t="shared" si="938"/>
        <v>NM</v>
      </c>
      <c r="GJ152" s="100">
        <f>DS152+DU152+DW152+DY152</f>
        <v>640</v>
      </c>
      <c r="GK152" s="72" t="str">
        <f t="shared" si="938"/>
        <v>NM</v>
      </c>
      <c r="GL152" s="100">
        <f>EA152+EC152+EE152+EG152</f>
        <v>12040</v>
      </c>
      <c r="GM152" s="72" t="str">
        <f t="shared" si="938"/>
        <v>NM</v>
      </c>
      <c r="GN152" s="100">
        <f>EI152+EK152+EM152+EO152</f>
        <v>27098</v>
      </c>
      <c r="GO152" s="72" t="str">
        <f t="shared" si="938"/>
        <v>NM</v>
      </c>
      <c r="GP152" s="100">
        <f>EQ152+ES152+EU152+EW152</f>
        <v>6180.0450269703415</v>
      </c>
      <c r="GQ152" s="72" t="str">
        <f t="shared" si="938"/>
        <v>NM</v>
      </c>
      <c r="GR152" s="75">
        <f>GR149*(GR161/100*GR$25/100)</f>
        <v>9679.0056372887375</v>
      </c>
      <c r="GS152" s="72">
        <f t="shared" si="938"/>
        <v>56.617073096532124</v>
      </c>
      <c r="GT152" s="75">
        <f>GT149*(GT161/100*GT$25/100)</f>
        <v>10114.809075151994</v>
      </c>
      <c r="GU152" s="72">
        <f t="shared" si="938"/>
        <v>4.5025641496096114</v>
      </c>
      <c r="GV152" s="75">
        <f>GV149*(GV161/100*GV$25/100)</f>
        <v>10570.234842371246</v>
      </c>
      <c r="GW152" s="72">
        <f t="shared" si="939"/>
        <v>4.5025641496096114</v>
      </c>
      <c r="GX152" s="75">
        <f>GX149*(GX161/100*GX$25/100)</f>
        <v>11046.166446913401</v>
      </c>
      <c r="GY152" s="72">
        <f t="shared" si="940"/>
        <v>4.5025641496096398</v>
      </c>
      <c r="GZ152" s="72">
        <f t="shared" si="941"/>
        <v>-16.429140472468575</v>
      </c>
      <c r="HA152" s="72"/>
      <c r="HB152" s="72"/>
      <c r="HC152"/>
      <c r="HD152"/>
      <c r="HE152"/>
      <c r="HF152"/>
      <c r="HG152"/>
      <c r="HH152"/>
      <c r="HI152" s="2"/>
    </row>
    <row r="153" spans="2:217" s="102" customFormat="1" ht="12.75" customHeight="1" x14ac:dyDescent="0.2">
      <c r="B153" s="4" t="s">
        <v>600</v>
      </c>
      <c r="C153" s="103"/>
      <c r="D153" s="72"/>
      <c r="E153" s="103"/>
      <c r="F153" s="72"/>
      <c r="G153" s="103"/>
      <c r="H153" s="72"/>
      <c r="I153" s="103"/>
      <c r="J153" s="72"/>
      <c r="K153" s="103"/>
      <c r="L153" s="72"/>
      <c r="M153" s="103"/>
      <c r="N153" s="72"/>
      <c r="O153" s="103"/>
      <c r="P153" s="72"/>
      <c r="Q153" s="103"/>
      <c r="R153" s="72"/>
      <c r="S153" s="103"/>
      <c r="T153" s="72"/>
      <c r="U153" s="103"/>
      <c r="V153" s="72"/>
      <c r="W153" s="103"/>
      <c r="X153" s="72"/>
      <c r="Y153" s="103"/>
      <c r="Z153" s="72"/>
      <c r="AA153" s="103"/>
      <c r="AB153" s="72"/>
      <c r="AC153" s="103"/>
      <c r="AD153" s="72"/>
      <c r="AE153" s="103"/>
      <c r="AF153" s="72"/>
      <c r="AG153" s="103"/>
      <c r="AH153" s="72"/>
      <c r="AI153" s="103">
        <f>SUM(AI149:AI152)</f>
        <v>33176</v>
      </c>
      <c r="AJ153" s="72" t="str">
        <f t="shared" si="877"/>
        <v>NA</v>
      </c>
      <c r="AK153" s="103">
        <f>SUM(AK149:AK152)</f>
        <v>80329</v>
      </c>
      <c r="AL153" s="72" t="str">
        <f t="shared" si="877"/>
        <v>NA</v>
      </c>
      <c r="AM153" s="103">
        <f>SUM(AM149:AM152)</f>
        <v>80252</v>
      </c>
      <c r="AN153" s="72" t="str">
        <f t="shared" si="877"/>
        <v>NA</v>
      </c>
      <c r="AO153" s="103">
        <f>SUM(AO149:AO152)</f>
        <v>83891</v>
      </c>
      <c r="AP153" s="72" t="str">
        <f t="shared" si="877"/>
        <v>NA</v>
      </c>
      <c r="AQ153" s="103">
        <f>SUM(AQ149:AQ152)</f>
        <v>83927</v>
      </c>
      <c r="AR153" s="72" t="str">
        <f t="shared" si="878"/>
        <v>NM</v>
      </c>
      <c r="AS153" s="103">
        <f>SUM(AS149:AS152)</f>
        <v>85331</v>
      </c>
      <c r="AT153" s="72">
        <f t="shared" si="879"/>
        <v>6.2268919070323392</v>
      </c>
      <c r="AU153" s="103">
        <f>SUM(AU149:AU152)</f>
        <v>88337</v>
      </c>
      <c r="AV153" s="72">
        <f t="shared" si="880"/>
        <v>10.074515276877833</v>
      </c>
      <c r="AW153" s="103">
        <f>SUM(AW149:AW152)</f>
        <v>88385</v>
      </c>
      <c r="AX153" s="72">
        <f t="shared" si="881"/>
        <v>5.3569512820207166</v>
      </c>
      <c r="AY153" s="103">
        <f>SUM(AY149:AY152)</f>
        <v>91854</v>
      </c>
      <c r="AZ153" s="72">
        <f t="shared" si="882"/>
        <v>9.4451130148819828</v>
      </c>
      <c r="BA153" s="103">
        <f>SUM(BA149:BA152)</f>
        <v>91537</v>
      </c>
      <c r="BB153" s="72">
        <f t="shared" si="883"/>
        <v>7.2728551171321101</v>
      </c>
      <c r="BC153" s="103">
        <f>SUM(BC149:BC152)</f>
        <v>93364</v>
      </c>
      <c r="BD153" s="72">
        <f t="shared" si="884"/>
        <v>5.6907071781925964</v>
      </c>
      <c r="BE153" s="103">
        <f>SUM(BE149:BE152)</f>
        <v>97430</v>
      </c>
      <c r="BF153" s="72">
        <f t="shared" si="885"/>
        <v>10.233636929343206</v>
      </c>
      <c r="BG153" s="103">
        <f>SUM(BG149:BG152)</f>
        <v>99558</v>
      </c>
      <c r="BH153" s="72">
        <f t="shared" si="886"/>
        <v>8.3872232020380153</v>
      </c>
      <c r="BI153" s="103">
        <f>SUM(BI149:BI152)</f>
        <v>104033</v>
      </c>
      <c r="BJ153" s="72">
        <f t="shared" si="887"/>
        <v>13.651310399073594</v>
      </c>
      <c r="BK153" s="103">
        <f>SUM(BK149:BK152)</f>
        <v>105601</v>
      </c>
      <c r="BL153" s="72">
        <f t="shared" si="888"/>
        <v>13.106764920097675</v>
      </c>
      <c r="BM153" s="103">
        <f>SUM(BM149:BM152)</f>
        <v>112192</v>
      </c>
      <c r="BN153" s="72">
        <f t="shared" si="889"/>
        <v>15.151390742071243</v>
      </c>
      <c r="BO153" s="103">
        <f>SUM(BO149:BO152)</f>
        <v>107060</v>
      </c>
      <c r="BP153" s="72">
        <f t="shared" si="890"/>
        <v>7.535306052753171</v>
      </c>
      <c r="BQ153" s="103">
        <f>SUM(BQ149:BQ152)</f>
        <v>106917</v>
      </c>
      <c r="BR153" s="72">
        <f t="shared" si="891"/>
        <v>2.772197283554263</v>
      </c>
      <c r="BS153" s="103">
        <f>SUM(BS149:BS152)</f>
        <v>100463</v>
      </c>
      <c r="BT153" s="72">
        <f t="shared" si="892"/>
        <v>-4.8654842283690556</v>
      </c>
      <c r="BU153" s="103">
        <f>SUM(BU149:BU152)</f>
        <v>99738</v>
      </c>
      <c r="BV153" s="72">
        <f t="shared" si="893"/>
        <v>-11.10061323445521</v>
      </c>
      <c r="BW153" s="103">
        <f>SUM(BW149:BW152)</f>
        <v>102159</v>
      </c>
      <c r="BX153" s="72">
        <f t="shared" si="894"/>
        <v>-4.5778068372874969</v>
      </c>
      <c r="BY153" s="103">
        <f>SUM(BY149:BY152)</f>
        <v>110950</v>
      </c>
      <c r="BZ153" s="72">
        <f t="shared" si="895"/>
        <v>3.7720848882778313</v>
      </c>
      <c r="CA153" s="103">
        <f>SUM(CA149:CA152)</f>
        <v>121756</v>
      </c>
      <c r="CB153" s="72">
        <f t="shared" si="896"/>
        <v>21.194867762260742</v>
      </c>
      <c r="CC153" s="103">
        <f>SUM(CC149:CC152)</f>
        <v>126345</v>
      </c>
      <c r="CD153" s="72">
        <f t="shared" si="897"/>
        <v>26.676893460867475</v>
      </c>
      <c r="CE153" s="103">
        <f>SUM(CE149:CE152)</f>
        <v>131147</v>
      </c>
      <c r="CF153" s="72">
        <f t="shared" si="898"/>
        <v>28.375375639933822</v>
      </c>
      <c r="CG153" s="103">
        <f>SUM(CG149:CG152)</f>
        <v>125176</v>
      </c>
      <c r="CH153" s="72">
        <f t="shared" si="899"/>
        <v>12.821991888237932</v>
      </c>
      <c r="CI153" s="103">
        <f>SUM(CI149:CI152)</f>
        <v>135248</v>
      </c>
      <c r="CJ153" s="72">
        <f t="shared" si="900"/>
        <v>11.081178750944517</v>
      </c>
      <c r="CK153" s="103">
        <f>SUM(CK149:CK152)</f>
        <v>141313</v>
      </c>
      <c r="CL153" s="72">
        <f t="shared" si="900"/>
        <v>11.846927064782946</v>
      </c>
      <c r="CM153" s="103">
        <f>SUM(CM149:CM152)</f>
        <v>145977</v>
      </c>
      <c r="CN153" s="72">
        <f t="shared" si="900"/>
        <v>11.307921645176776</v>
      </c>
      <c r="CO153" s="103">
        <f>SUM(CO149:CO152)</f>
        <v>146580</v>
      </c>
      <c r="CP153" s="72">
        <f t="shared" si="900"/>
        <v>17.099124432798618</v>
      </c>
      <c r="CQ153" s="103">
        <f>SUM(CQ149:CQ152)</f>
        <v>134198</v>
      </c>
      <c r="CR153" s="72">
        <f t="shared" si="900"/>
        <v>-0.77635159115106944</v>
      </c>
      <c r="CS153" s="103">
        <f>SUM(CS149:CS152)</f>
        <v>139430</v>
      </c>
      <c r="CT153" s="72">
        <f t="shared" si="900"/>
        <v>-1.3325030251993866</v>
      </c>
      <c r="CU153" s="103">
        <f>SUM(CU149:CU152)</f>
        <v>145991</v>
      </c>
      <c r="CV153" s="72">
        <f t="shared" si="901"/>
        <v>9.5905519362560199E-3</v>
      </c>
      <c r="CW153" s="103">
        <f>SUM(CW149:CW152)</f>
        <v>142405</v>
      </c>
      <c r="CX153" s="72">
        <f t="shared" si="902"/>
        <v>-2.8482739800791421</v>
      </c>
      <c r="CY153" s="103">
        <f>SUM(CY149:CY152)</f>
        <v>146934</v>
      </c>
      <c r="CZ153" s="72">
        <f t="shared" si="903"/>
        <v>9.4904544031952724</v>
      </c>
      <c r="DA153" s="103">
        <f>SUM(DA149:DA152)</f>
        <v>148405</v>
      </c>
      <c r="DB153" s="72">
        <f t="shared" si="904"/>
        <v>6.4369217528508926</v>
      </c>
      <c r="DC153" s="103">
        <f>SUM(DC149:DC152)</f>
        <v>156380</v>
      </c>
      <c r="DD153" s="72">
        <f t="shared" si="905"/>
        <v>7.1161920940332095</v>
      </c>
      <c r="DE153" s="103">
        <f>SUM(DE149:DE152)</f>
        <v>157738</v>
      </c>
      <c r="DF153" s="72">
        <f t="shared" si="906"/>
        <v>10.767178118745832</v>
      </c>
      <c r="DG153" s="103">
        <f>SUM(DG149:DG152)</f>
        <v>165364</v>
      </c>
      <c r="DH153" s="72">
        <f t="shared" si="907"/>
        <v>12.543046537901375</v>
      </c>
      <c r="DI153" s="103">
        <f>SUM(DI149:DI152)</f>
        <v>173502</v>
      </c>
      <c r="DJ153" s="72">
        <f t="shared" si="908"/>
        <v>16.911155284525449</v>
      </c>
      <c r="DK153" s="103">
        <f>SUM(DK149:DK152)</f>
        <v>178150</v>
      </c>
      <c r="DL153" s="72">
        <f t="shared" si="909"/>
        <v>13.921217547000879</v>
      </c>
      <c r="DM153" s="103">
        <f>SUM(DM149:DM152)</f>
        <v>181577</v>
      </c>
      <c r="DN153" s="72">
        <f t="shared" si="910"/>
        <v>15.113035539945983</v>
      </c>
      <c r="DO153" s="103">
        <f>SUM(DO149:DO152)</f>
        <v>180535</v>
      </c>
      <c r="DP153" s="72">
        <f t="shared" si="910"/>
        <v>9.1743063786555723</v>
      </c>
      <c r="DQ153" s="103">
        <f>SUM(DQ149:DQ152)</f>
        <v>184196</v>
      </c>
      <c r="DR153" s="72">
        <f t="shared" si="910"/>
        <v>6.1636177104586807</v>
      </c>
      <c r="DS153" s="103">
        <f>SUM(DS149:DS152)</f>
        <v>188145</v>
      </c>
      <c r="DT153" s="72">
        <f t="shared" si="910"/>
        <v>5.6104406399101805</v>
      </c>
      <c r="DU153" s="103">
        <f>SUM(DU149:DU152)</f>
        <v>188807</v>
      </c>
      <c r="DV153" s="72">
        <f t="shared" si="910"/>
        <v>3.9817818336022697</v>
      </c>
      <c r="DW153" s="103">
        <f>SUM(DW149:DW152)</f>
        <v>184515</v>
      </c>
      <c r="DX153" s="72">
        <f t="shared" si="910"/>
        <v>2.2045586728335138</v>
      </c>
      <c r="DY153" s="103">
        <f>SUM(DY149:DY152)</f>
        <v>188961</v>
      </c>
      <c r="DZ153" s="72">
        <f t="shared" si="910"/>
        <v>2.5869182826988606</v>
      </c>
      <c r="EA153" s="103">
        <f>SUM(EA149:EA152)</f>
        <v>190953</v>
      </c>
      <c r="EB153" s="72">
        <f t="shared" si="912"/>
        <v>1.4924659172446724</v>
      </c>
      <c r="EC153" s="103">
        <f>SUM(EC149:EC152)</f>
        <v>194007</v>
      </c>
      <c r="ED153" s="72">
        <f t="shared" si="913"/>
        <v>2.7541351750729461</v>
      </c>
      <c r="EE153" s="103">
        <f>SUM(EE149:EE152)</f>
        <v>200476</v>
      </c>
      <c r="EF153" s="72">
        <f t="shared" si="914"/>
        <v>8.650245237514568</v>
      </c>
      <c r="EG153" s="103">
        <f>SUM(EG149:EG152)</f>
        <v>202802</v>
      </c>
      <c r="EH153" s="72">
        <f t="shared" si="915"/>
        <v>7.3247918882732392</v>
      </c>
      <c r="EI153" s="103">
        <f>SUM(EI149:EI152)</f>
        <v>210400</v>
      </c>
      <c r="EJ153" s="72">
        <f t="shared" si="916"/>
        <v>10.184181447790806</v>
      </c>
      <c r="EK153" s="103">
        <f>SUM(EK149:EK152)</f>
        <v>214731</v>
      </c>
      <c r="EL153" s="72">
        <f t="shared" si="917"/>
        <v>10.682088790610649</v>
      </c>
      <c r="EM153" s="103">
        <f>SUM(EM149:EM152)</f>
        <v>227438</v>
      </c>
      <c r="EN153" s="72">
        <f t="shared" si="918"/>
        <v>13.448991400466895</v>
      </c>
      <c r="EO153" s="103">
        <f>SUM(EO149:EO152)</f>
        <v>234616</v>
      </c>
      <c r="EP153" s="72">
        <f t="shared" si="919"/>
        <v>15.68722201950672</v>
      </c>
      <c r="EQ153" s="100">
        <f t="shared" ref="EQ153" si="954">SUM(EQ149:EQ152)</f>
        <v>233377.35229718956</v>
      </c>
      <c r="ER153" s="72">
        <f t="shared" si="921"/>
        <v>10.920794818055882</v>
      </c>
      <c r="ES153" s="100">
        <f t="shared" ref="ES153" si="955">SUM(ES149:ES152)</f>
        <v>236208.79064100821</v>
      </c>
      <c r="ET153" s="72">
        <f t="shared" si="923"/>
        <v>10.002184426565421</v>
      </c>
      <c r="EU153" s="100">
        <f t="shared" ref="EU153" si="956">SUM(EU149:EU152)</f>
        <v>239074.58126029803</v>
      </c>
      <c r="EV153" s="72">
        <f t="shared" si="925"/>
        <v>5.1163751265391113</v>
      </c>
      <c r="EW153" s="100">
        <f t="shared" ref="EW153" si="957">SUM(EW149:EW152)</f>
        <v>241975.14093221843</v>
      </c>
      <c r="EX153" s="72">
        <f t="shared" si="927"/>
        <v>3.1366747929461098</v>
      </c>
      <c r="EY153" s="72"/>
      <c r="EZ153" s="309"/>
      <c r="FA153" s="72"/>
      <c r="FB153" s="103">
        <f>SUM(FB149:FB152)</f>
        <v>21527</v>
      </c>
      <c r="FC153" s="72"/>
      <c r="FD153" s="103">
        <f>SUM(FD149:FD152)</f>
        <v>25788</v>
      </c>
      <c r="FE153" s="72">
        <f t="shared" si="928"/>
        <v>19.793747387002369</v>
      </c>
      <c r="FF153" s="103">
        <f>SUM(FF149:FF152)</f>
        <v>26046</v>
      </c>
      <c r="FG153" s="72">
        <f t="shared" si="929"/>
        <v>1.0004653327128921</v>
      </c>
      <c r="FH153" s="103">
        <f>SUM(FH149:FH152)</f>
        <v>26046</v>
      </c>
      <c r="FI153" s="72">
        <f t="shared" si="930"/>
        <v>0</v>
      </c>
      <c r="FJ153" s="103">
        <f>SUM(FJ149:FJ152)</f>
        <v>26046</v>
      </c>
      <c r="FK153" s="72">
        <f t="shared" si="931"/>
        <v>0</v>
      </c>
      <c r="FL153" s="103">
        <f>SUM(FL149:FL152)</f>
        <v>26046</v>
      </c>
      <c r="FM153" s="72">
        <f t="shared" si="932"/>
        <v>0</v>
      </c>
      <c r="FN153" s="103">
        <f>SUM(FN149:FN152)</f>
        <v>83891</v>
      </c>
      <c r="FO153" s="72" t="str">
        <f t="shared" si="933"/>
        <v>NM</v>
      </c>
      <c r="FP153" s="103">
        <f>SUM(FP149:FP152)</f>
        <v>88385</v>
      </c>
      <c r="FQ153" s="72">
        <f t="shared" si="934"/>
        <v>5.3569512820207166</v>
      </c>
      <c r="FR153" s="100">
        <f>SUM(FR149:FR152)</f>
        <v>97430</v>
      </c>
      <c r="FS153" s="72">
        <f t="shared" si="935"/>
        <v>10.233636929343206</v>
      </c>
      <c r="FT153" s="100">
        <f>SUM(FT149:FT152)</f>
        <v>112192</v>
      </c>
      <c r="FU153" s="72">
        <f t="shared" si="936"/>
        <v>15.151390742071243</v>
      </c>
      <c r="FV153" s="100">
        <f>SUM(FV149:FV152)</f>
        <v>99738</v>
      </c>
      <c r="FW153" s="72">
        <f t="shared" si="937"/>
        <v>-11.10061323445521</v>
      </c>
      <c r="FX153" s="100">
        <f>SUM(FX149:FX152)</f>
        <v>126345</v>
      </c>
      <c r="FY153" s="72">
        <f t="shared" si="937"/>
        <v>26.676893460867475</v>
      </c>
      <c r="FZ153" s="100">
        <f>SUM(FZ149:FZ152)</f>
        <v>141313</v>
      </c>
      <c r="GA153" s="72">
        <f t="shared" si="937"/>
        <v>11.846927064782946</v>
      </c>
      <c r="GB153" s="100">
        <f>SUM(GB149:GB152)</f>
        <v>139430</v>
      </c>
      <c r="GC153" s="72">
        <f t="shared" si="937"/>
        <v>-1.3325030251993866</v>
      </c>
      <c r="GD153" s="100">
        <f>SUM(GD149:GD152)</f>
        <v>148405</v>
      </c>
      <c r="GE153" s="72">
        <f t="shared" si="937"/>
        <v>6.4369217528508926</v>
      </c>
      <c r="GF153" s="100">
        <f>SUM(GF149:GF152)</f>
        <v>173502</v>
      </c>
      <c r="GG153" s="72">
        <f t="shared" si="937"/>
        <v>16.911155284525449</v>
      </c>
      <c r="GH153" s="100">
        <f>SUM(GH149:GH152)</f>
        <v>184196</v>
      </c>
      <c r="GI153" s="72">
        <f t="shared" si="938"/>
        <v>6.1636177104586807</v>
      </c>
      <c r="GJ153" s="100">
        <f>SUM(GJ149:GJ152)</f>
        <v>188961</v>
      </c>
      <c r="GK153" s="72">
        <f t="shared" si="938"/>
        <v>2.5869182826988606</v>
      </c>
      <c r="GL153" s="100">
        <f>SUM(GL149:GL152)</f>
        <v>202802</v>
      </c>
      <c r="GM153" s="72">
        <f t="shared" si="938"/>
        <v>7.3247918882732392</v>
      </c>
      <c r="GN153" s="100">
        <f>SUM(GN149:GN152)</f>
        <v>234616</v>
      </c>
      <c r="GO153" s="72">
        <f t="shared" si="938"/>
        <v>15.68722201950672</v>
      </c>
      <c r="GP153" s="100">
        <f>SUM(GP149:GP152)</f>
        <v>241975.14093221843</v>
      </c>
      <c r="GQ153" s="72">
        <f t="shared" si="938"/>
        <v>3.1366747929461098</v>
      </c>
      <c r="GR153" s="100">
        <f>SUM(GR149:GR152)</f>
        <v>252870.22687879985</v>
      </c>
      <c r="GS153" s="72">
        <f t="shared" si="938"/>
        <v>4.5025641496096114</v>
      </c>
      <c r="GT153" s="100">
        <f>SUM(GT149:GT152)</f>
        <v>264255.87105928117</v>
      </c>
      <c r="GU153" s="72">
        <f t="shared" si="938"/>
        <v>4.5025641496096114</v>
      </c>
      <c r="GV153" s="100">
        <f>SUM(GV149:GV152)</f>
        <v>276154.16117283504</v>
      </c>
      <c r="GW153" s="72">
        <f t="shared" si="939"/>
        <v>4.5025641496096398</v>
      </c>
      <c r="GX153" s="100">
        <f>SUM(GX149:GX152)</f>
        <v>288588.17943145829</v>
      </c>
      <c r="GY153" s="72">
        <f t="shared" si="940"/>
        <v>4.5025641496096398</v>
      </c>
      <c r="GZ153" s="72">
        <f t="shared" si="941"/>
        <v>4.2279467577446939</v>
      </c>
      <c r="HA153" s="72"/>
      <c r="HB153" s="72"/>
      <c r="HC153"/>
      <c r="HD153"/>
      <c r="HE153"/>
      <c r="HF153"/>
      <c r="HG153"/>
      <c r="HH153"/>
      <c r="HI153" s="2"/>
    </row>
    <row r="154" spans="2:217" s="102" customFormat="1" ht="12.75" customHeight="1" x14ac:dyDescent="0.2">
      <c r="B154" s="4" t="s">
        <v>601</v>
      </c>
      <c r="C154" s="103"/>
      <c r="D154" s="72"/>
      <c r="E154" s="103"/>
      <c r="F154" s="72"/>
      <c r="G154" s="103"/>
      <c r="H154" s="72"/>
      <c r="I154" s="103"/>
      <c r="J154" s="72"/>
      <c r="K154" s="103"/>
      <c r="L154" s="72"/>
      <c r="M154" s="103"/>
      <c r="N154" s="72"/>
      <c r="O154" s="103"/>
      <c r="P154" s="72"/>
      <c r="Q154" s="103"/>
      <c r="R154" s="72"/>
      <c r="S154" s="103"/>
      <c r="T154" s="72"/>
      <c r="U154" s="103"/>
      <c r="V154" s="72"/>
      <c r="W154" s="103"/>
      <c r="X154" s="72"/>
      <c r="Y154" s="103"/>
      <c r="Z154" s="72"/>
      <c r="AA154" s="103"/>
      <c r="AB154" s="72"/>
      <c r="AC154" s="103"/>
      <c r="AD154" s="72"/>
      <c r="AE154" s="103"/>
      <c r="AF154" s="72"/>
      <c r="AG154" s="103"/>
      <c r="AH154" s="72"/>
      <c r="AI154" s="103">
        <f>AVERAGE(AI153,AI149)</f>
        <v>33043.5</v>
      </c>
      <c r="AJ154" s="72" t="str">
        <f t="shared" si="877"/>
        <v>NA</v>
      </c>
      <c r="AK154" s="103">
        <f>AVERAGE(AK153,AK149)</f>
        <v>56752.5</v>
      </c>
      <c r="AL154" s="72" t="str">
        <f t="shared" si="877"/>
        <v>NA</v>
      </c>
      <c r="AM154" s="103">
        <f>AVERAGE(AM153,AM149)</f>
        <v>80290.5</v>
      </c>
      <c r="AN154" s="72" t="str">
        <f t="shared" si="877"/>
        <v>NA</v>
      </c>
      <c r="AO154" s="103">
        <f>AVERAGE(AO153,AO149)</f>
        <v>82071.5</v>
      </c>
      <c r="AP154" s="72" t="str">
        <f t="shared" si="877"/>
        <v>NA</v>
      </c>
      <c r="AQ154" s="103">
        <f>AVERAGE(AQ153,AQ149)</f>
        <v>83909</v>
      </c>
      <c r="AR154" s="72" t="str">
        <f t="shared" si="878"/>
        <v>NM</v>
      </c>
      <c r="AS154" s="103">
        <f>AVERAGE(AS153,AS149)</f>
        <v>84629</v>
      </c>
      <c r="AT154" s="72">
        <f t="shared" si="879"/>
        <v>49.119422051892002</v>
      </c>
      <c r="AU154" s="103">
        <f>AVERAGE(AU153,AU149)</f>
        <v>86834</v>
      </c>
      <c r="AV154" s="72">
        <f t="shared" si="880"/>
        <v>8.1497811073539168</v>
      </c>
      <c r="AW154" s="103">
        <f>AVERAGE(AW153,AW149)</f>
        <v>88361</v>
      </c>
      <c r="AX154" s="72">
        <f t="shared" si="881"/>
        <v>7.663439805535404</v>
      </c>
      <c r="AY154" s="103">
        <f>AVERAGE(AY153,AY149)</f>
        <v>90119.5</v>
      </c>
      <c r="AZ154" s="72">
        <f t="shared" si="882"/>
        <v>7.4014706408132724</v>
      </c>
      <c r="BA154" s="103">
        <f>AVERAGE(BA153,BA149)</f>
        <v>91695.5</v>
      </c>
      <c r="BB154" s="72">
        <f t="shared" si="883"/>
        <v>8.3499745949969792</v>
      </c>
      <c r="BC154" s="103">
        <f>AVERAGE(BC153,BC149)</f>
        <v>92450.5</v>
      </c>
      <c r="BD154" s="72">
        <f t="shared" si="884"/>
        <v>6.4680885367482688</v>
      </c>
      <c r="BE154" s="103">
        <f>AVERAGE(BE153,BE149)</f>
        <v>95397</v>
      </c>
      <c r="BF154" s="72">
        <f t="shared" si="885"/>
        <v>7.962789013252447</v>
      </c>
      <c r="BG154" s="103">
        <f>AVERAGE(BG153,BG149)</f>
        <v>98494</v>
      </c>
      <c r="BH154" s="72">
        <f t="shared" si="886"/>
        <v>9.2926614106824843</v>
      </c>
      <c r="BI154" s="103">
        <f>AVERAGE(BI153,BI149)</f>
        <v>101795.5</v>
      </c>
      <c r="BJ154" s="72">
        <f t="shared" si="887"/>
        <v>11.014717188956922</v>
      </c>
      <c r="BK154" s="103">
        <f>AVERAGE(BK153,BK149)</f>
        <v>104817</v>
      </c>
      <c r="BL154" s="72">
        <f t="shared" si="888"/>
        <v>13.376347342632002</v>
      </c>
      <c r="BM154" s="103">
        <f>AVERAGE(BM153,BM149)</f>
        <v>108896.5</v>
      </c>
      <c r="BN154" s="72">
        <f t="shared" si="889"/>
        <v>14.1508642829439</v>
      </c>
      <c r="BO154" s="103">
        <f>AVERAGE(BO153,BO149)</f>
        <v>109626</v>
      </c>
      <c r="BP154" s="72">
        <f t="shared" si="890"/>
        <v>11.30221130221129</v>
      </c>
      <c r="BQ154" s="103">
        <f>AVERAGE(BQ153,BQ149)</f>
        <v>106988.5</v>
      </c>
      <c r="BR154" s="72">
        <f t="shared" si="891"/>
        <v>5.1014042860440867</v>
      </c>
      <c r="BS154" s="103">
        <f>AVERAGE(BS153,BS149)</f>
        <v>103690</v>
      </c>
      <c r="BT154" s="72">
        <f t="shared" si="892"/>
        <v>-1.075207265996923</v>
      </c>
      <c r="BU154" s="103">
        <f>AVERAGE(BU153,BU149)</f>
        <v>100100.5</v>
      </c>
      <c r="BV154" s="72">
        <f t="shared" si="893"/>
        <v>-8.0773945902760858</v>
      </c>
      <c r="BW154" s="103">
        <f>AVERAGE(BW153,BW149)</f>
        <v>100948.5</v>
      </c>
      <c r="BX154" s="72">
        <f t="shared" si="894"/>
        <v>-7.9155492310218278</v>
      </c>
      <c r="BY154" s="103">
        <f>AVERAGE(BY153,BY149)</f>
        <v>106554.5</v>
      </c>
      <c r="BZ154" s="72">
        <f t="shared" si="895"/>
        <v>-0.40565107464820471</v>
      </c>
      <c r="CA154" s="103">
        <f>AVERAGE(CA153,CA149)</f>
        <v>116353</v>
      </c>
      <c r="CB154" s="72">
        <f t="shared" si="896"/>
        <v>12.212363776641922</v>
      </c>
      <c r="CC154" s="103">
        <f>AVERAGE(CC153,CC149)</f>
        <v>124050.5</v>
      </c>
      <c r="CD154" s="72">
        <f t="shared" si="897"/>
        <v>23.925954415812114</v>
      </c>
      <c r="CE154" s="103">
        <f>AVERAGE(CE153,CE149)</f>
        <v>128746</v>
      </c>
      <c r="CF154" s="72">
        <f t="shared" si="898"/>
        <v>27.536318023546656</v>
      </c>
      <c r="CG154" s="103">
        <f>AVERAGE(CG153,CG149)</f>
        <v>128161.5</v>
      </c>
      <c r="CH154" s="72">
        <f t="shared" si="899"/>
        <v>20.2778859644595</v>
      </c>
      <c r="CI154" s="103">
        <f>AVERAGE(CI153,CI149)</f>
        <v>130212</v>
      </c>
      <c r="CJ154" s="72">
        <f t="shared" si="900"/>
        <v>11.911166880097639</v>
      </c>
      <c r="CK154" s="103">
        <f>AVERAGE(CK153,CK149)</f>
        <v>138280.5</v>
      </c>
      <c r="CL154" s="72">
        <f t="shared" si="900"/>
        <v>11.471134739481087</v>
      </c>
      <c r="CM154" s="103">
        <f>AVERAGE(CM153,CM149)</f>
        <v>143645</v>
      </c>
      <c r="CN154" s="72">
        <f t="shared" si="900"/>
        <v>11.572398365774461</v>
      </c>
      <c r="CO154" s="103">
        <f>AVERAGE(CO153,CO149)</f>
        <v>146278.5</v>
      </c>
      <c r="CP154" s="72">
        <f t="shared" si="900"/>
        <v>14.136070504792769</v>
      </c>
      <c r="CQ154" s="103">
        <f>AVERAGE(CQ153,CQ149)</f>
        <v>140389</v>
      </c>
      <c r="CR154" s="72">
        <f t="shared" si="900"/>
        <v>7.8157159094399873</v>
      </c>
      <c r="CS154" s="103">
        <f>AVERAGE(CS153,CS149)</f>
        <v>136814</v>
      </c>
      <c r="CT154" s="72">
        <f t="shared" si="900"/>
        <v>-1.0605255260141604</v>
      </c>
      <c r="CU154" s="103">
        <f>AVERAGE(CU153,CU149)</f>
        <v>142710.5</v>
      </c>
      <c r="CV154" s="72">
        <f t="shared" si="901"/>
        <v>-0.65056214974416093</v>
      </c>
      <c r="CW154" s="103">
        <f>AVERAGE(CW153,CW149)</f>
        <v>144198</v>
      </c>
      <c r="CX154" s="72">
        <f t="shared" si="902"/>
        <v>-1.4222869389554802</v>
      </c>
      <c r="CY154" s="103">
        <f>AVERAGE(CY153,CY149)</f>
        <v>144669.5</v>
      </c>
      <c r="CZ154" s="72">
        <f t="shared" si="903"/>
        <v>3.0490280577538158</v>
      </c>
      <c r="DA154" s="103">
        <f>AVERAGE(DA153,DA149)</f>
        <v>147669.5</v>
      </c>
      <c r="DB154" s="72">
        <f t="shared" si="904"/>
        <v>7.9344950078208427</v>
      </c>
      <c r="DC154" s="103">
        <f>AVERAGE(DC153,DC149)</f>
        <v>152392.5</v>
      </c>
      <c r="DD154" s="72">
        <f t="shared" si="905"/>
        <v>6.7843641497997709</v>
      </c>
      <c r="DE154" s="103">
        <f>AVERAGE(DE153,DE149)</f>
        <v>157059</v>
      </c>
      <c r="DF154" s="72">
        <f t="shared" si="906"/>
        <v>8.91898639370865</v>
      </c>
      <c r="DG154" s="103">
        <f>AVERAGE(DG153,DG149)</f>
        <v>161551</v>
      </c>
      <c r="DH154" s="72">
        <f t="shared" si="907"/>
        <v>11.669011090796616</v>
      </c>
      <c r="DI154" s="103">
        <f>AVERAGE(DI153,DI149)</f>
        <v>169433</v>
      </c>
      <c r="DJ154" s="72">
        <f t="shared" si="908"/>
        <v>14.737979068121703</v>
      </c>
      <c r="DK154" s="103">
        <f>AVERAGE(DK153,DK149)</f>
        <v>175826</v>
      </c>
      <c r="DL154" s="72">
        <f t="shared" si="909"/>
        <v>15.377069081483668</v>
      </c>
      <c r="DM154" s="103">
        <f>AVERAGE(DM153,DM149)</f>
        <v>179863.5</v>
      </c>
      <c r="DN154" s="72">
        <f t="shared" si="910"/>
        <v>14.5197027868508</v>
      </c>
      <c r="DO154" s="103">
        <f>AVERAGE(DO153,DO149)</f>
        <v>181056</v>
      </c>
      <c r="DP154" s="72">
        <f t="shared" si="910"/>
        <v>12.073586669225193</v>
      </c>
      <c r="DQ154" s="103">
        <f>AVERAGE(DQ153,DQ149)</f>
        <v>182365.5</v>
      </c>
      <c r="DR154" s="72">
        <f t="shared" si="910"/>
        <v>7.6328106095034656</v>
      </c>
      <c r="DS154" s="103">
        <f>AVERAGE(DS153,DS149)</f>
        <v>186170.5</v>
      </c>
      <c r="DT154" s="72">
        <f t="shared" si="910"/>
        <v>5.883373335001636</v>
      </c>
      <c r="DU154" s="103">
        <f>AVERAGE(DU153,DU149)</f>
        <v>188476</v>
      </c>
      <c r="DV154" s="72">
        <f t="shared" si="910"/>
        <v>4.7883533902097923</v>
      </c>
      <c r="DW154" s="103">
        <f>AVERAGE(DW153,DW149)</f>
        <v>186661</v>
      </c>
      <c r="DX154" s="72">
        <f t="shared" si="910"/>
        <v>3.0957272887946345</v>
      </c>
      <c r="DY154" s="103">
        <f>AVERAGE(DY153,DY149)</f>
        <v>186738</v>
      </c>
      <c r="DZ154" s="72">
        <f t="shared" si="910"/>
        <v>2.3976574516561442</v>
      </c>
      <c r="EA154" s="721">
        <f>EA149*0.95+0.5*(EA150+EA151)</f>
        <v>180197.94999999998</v>
      </c>
      <c r="EB154" s="72">
        <f t="shared" si="912"/>
        <v>-3.2081076217768185</v>
      </c>
      <c r="EC154" s="100">
        <f>AVERAGE(EC153,EC149)</f>
        <v>192480</v>
      </c>
      <c r="ED154" s="72">
        <f t="shared" si="913"/>
        <v>2.1244084127421985</v>
      </c>
      <c r="EE154" s="100">
        <f>AVERAGE(EE153,EE149)</f>
        <v>197241.5</v>
      </c>
      <c r="EF154" s="72">
        <f t="shared" si="914"/>
        <v>5.6682970733040037</v>
      </c>
      <c r="EG154" s="100">
        <f>AVERAGE(EG153,EG149)</f>
        <v>201639</v>
      </c>
      <c r="EH154" s="72">
        <f t="shared" si="915"/>
        <v>7.9796292131221236</v>
      </c>
      <c r="EI154" s="100">
        <f>AVERAGE(EI153,EI149)</f>
        <v>206601</v>
      </c>
      <c r="EJ154" s="72">
        <f t="shared" si="916"/>
        <v>14.652247708700344</v>
      </c>
      <c r="EK154" s="100">
        <f>AVERAGE(EK153,EK149)</f>
        <v>212565.5</v>
      </c>
      <c r="EL154" s="72">
        <f t="shared" si="917"/>
        <v>10.435110141313373</v>
      </c>
      <c r="EM154" s="100">
        <f>AVERAGE(EM153,EM149)</f>
        <v>221084.5</v>
      </c>
      <c r="EN154" s="72">
        <f t="shared" si="918"/>
        <v>12.08822686909194</v>
      </c>
      <c r="EO154" s="100">
        <f>AVERAGE(EO153,EO149)</f>
        <v>231027</v>
      </c>
      <c r="EP154" s="72">
        <f t="shared" si="919"/>
        <v>14.574561468763477</v>
      </c>
      <c r="EQ154" s="100">
        <f t="shared" ref="EQ154" si="958">AVERAGE(EQ153,EQ149)</f>
        <v>233996.67614859476</v>
      </c>
      <c r="ER154" s="72">
        <f t="shared" si="921"/>
        <v>13.260185647017565</v>
      </c>
      <c r="ES154" s="100">
        <f t="shared" ref="ES154" si="959">AVERAGE(ES153,ES149)</f>
        <v>234793.07146909888</v>
      </c>
      <c r="ET154" s="72">
        <f t="shared" si="923"/>
        <v>10.456810474464987</v>
      </c>
      <c r="EU154" s="100">
        <f t="shared" ref="EU154" si="960">AVERAGE(EU153,EU149)</f>
        <v>237641.6859506531</v>
      </c>
      <c r="EV154" s="72">
        <f t="shared" si="925"/>
        <v>7.4890758739998091</v>
      </c>
      <c r="EW154" s="100">
        <f t="shared" ref="EW154" si="961">AVERAGE(EW153,EW149)</f>
        <v>240524.86109625822</v>
      </c>
      <c r="EX154" s="72">
        <f t="shared" si="927"/>
        <v>4.1111476564463061</v>
      </c>
      <c r="EY154" s="72"/>
      <c r="EZ154" s="309"/>
      <c r="FA154" s="72"/>
      <c r="FB154" s="103">
        <f>AVERAGE(FB153,FB149)</f>
        <v>19632</v>
      </c>
      <c r="FC154" s="72"/>
      <c r="FD154" s="103">
        <f>AVERAGE(FD153,FD149)</f>
        <v>23657.5</v>
      </c>
      <c r="FE154" s="72">
        <f t="shared" si="928"/>
        <v>20.504788101059489</v>
      </c>
      <c r="FF154" s="103">
        <f>AVERAGE(FF153,FF149)</f>
        <v>25917</v>
      </c>
      <c r="FG154" s="72">
        <f t="shared" si="929"/>
        <v>9.5508823840219748</v>
      </c>
      <c r="FH154" s="103">
        <f>AVERAGE(FH153,FH149)</f>
        <v>26046</v>
      </c>
      <c r="FI154" s="72">
        <f t="shared" si="930"/>
        <v>0.49774279430489798</v>
      </c>
      <c r="FJ154" s="103">
        <f>AVERAGE(FJ153,FJ149)</f>
        <v>26046</v>
      </c>
      <c r="FK154" s="72">
        <f t="shared" si="931"/>
        <v>0</v>
      </c>
      <c r="FL154" s="103">
        <f>AVERAGE(FL153,FL149)</f>
        <v>26046</v>
      </c>
      <c r="FM154" s="72">
        <f t="shared" si="932"/>
        <v>0</v>
      </c>
      <c r="FN154" s="103">
        <f>AVERAGE(FN153,FN149)</f>
        <v>58401</v>
      </c>
      <c r="FO154" s="72" t="str">
        <f t="shared" si="933"/>
        <v>NM</v>
      </c>
      <c r="FP154" s="103">
        <f>AVERAGE(FP153,FP149)</f>
        <v>86138</v>
      </c>
      <c r="FQ154" s="72">
        <f t="shared" si="934"/>
        <v>47.494049759421927</v>
      </c>
      <c r="FR154" s="100">
        <f>AVERAGE(FR153,FR149)</f>
        <v>92907.5</v>
      </c>
      <c r="FS154" s="72">
        <f t="shared" si="935"/>
        <v>7.8589008335461727</v>
      </c>
      <c r="FT154" s="100">
        <f>AVERAGE(FT153,FT149)</f>
        <v>104811</v>
      </c>
      <c r="FU154" s="72">
        <f t="shared" si="936"/>
        <v>12.81220568845356</v>
      </c>
      <c r="FV154" s="100">
        <f>AVERAGE(FV153,FV149)</f>
        <v>105965</v>
      </c>
      <c r="FW154" s="72">
        <f t="shared" si="937"/>
        <v>1.1010294720974088</v>
      </c>
      <c r="FX154" s="100">
        <f>AVERAGE(FX153,FX149)</f>
        <v>113041.5</v>
      </c>
      <c r="FY154" s="72">
        <f t="shared" si="937"/>
        <v>6.678148445241348</v>
      </c>
      <c r="FZ154" s="100">
        <f>AVERAGE(FZ153,FZ149)</f>
        <v>133829</v>
      </c>
      <c r="GA154" s="72">
        <f t="shared" si="937"/>
        <v>18.389264119814413</v>
      </c>
      <c r="GB154" s="100">
        <f>AVERAGE(GB153,GB149)</f>
        <v>140371.5</v>
      </c>
      <c r="GC154" s="72">
        <f t="shared" si="937"/>
        <v>4.8887012530916394</v>
      </c>
      <c r="GD154" s="100">
        <f>AVERAGE(GD153,GD149)</f>
        <v>143917.5</v>
      </c>
      <c r="GE154" s="72">
        <f t="shared" si="937"/>
        <v>2.5261538132740498</v>
      </c>
      <c r="GF154" s="100">
        <f>AVERAGE(GF153,GF149)</f>
        <v>160953.5</v>
      </c>
      <c r="GG154" s="72">
        <f t="shared" si="937"/>
        <v>11.837337363420005</v>
      </c>
      <c r="GH154" s="100">
        <f>AVERAGE(GH153,GH149)</f>
        <v>178849</v>
      </c>
      <c r="GI154" s="72">
        <f t="shared" si="938"/>
        <v>11.118428614475604</v>
      </c>
      <c r="GJ154" s="100">
        <f>AVERAGE(GJ153,GJ149)</f>
        <v>186578.5</v>
      </c>
      <c r="GK154" s="72">
        <f t="shared" si="938"/>
        <v>4.3218021906748163</v>
      </c>
      <c r="GL154" s="100">
        <f>AVERAGE(GL153,GL149)</f>
        <v>195881.5</v>
      </c>
      <c r="GM154" s="72">
        <f t="shared" si="938"/>
        <v>4.9861050442575134</v>
      </c>
      <c r="GN154" s="100">
        <f>AVERAGE(GN153,GN149)</f>
        <v>218709</v>
      </c>
      <c r="GO154" s="72">
        <f t="shared" si="938"/>
        <v>11.653729423146132</v>
      </c>
      <c r="GP154" s="100">
        <f>AVERAGE(GP153,GP149)</f>
        <v>238295.5704661092</v>
      </c>
      <c r="GQ154" s="72">
        <f t="shared" si="938"/>
        <v>8.9555393084460206</v>
      </c>
      <c r="GR154" s="100">
        <f>AVERAGE(GR153,GR149)</f>
        <v>247422.68390550913</v>
      </c>
      <c r="GS154" s="72">
        <f t="shared" si="938"/>
        <v>3.8301649592340965</v>
      </c>
      <c r="GT154" s="100">
        <f>AVERAGE(GT153,GT149)</f>
        <v>258563.04896904051</v>
      </c>
      <c r="GU154" s="72">
        <f t="shared" si="938"/>
        <v>4.5025641496096114</v>
      </c>
      <c r="GV154" s="100">
        <f>AVERAGE(GV153,GV149)</f>
        <v>270205.0161160581</v>
      </c>
      <c r="GW154" s="72">
        <f t="shared" si="939"/>
        <v>4.5025641496096398</v>
      </c>
      <c r="GX154" s="100">
        <f>AVERAGE(GX153,GX149)</f>
        <v>282371.1703021467</v>
      </c>
      <c r="GY154" s="72">
        <f t="shared" si="940"/>
        <v>4.5025641496096398</v>
      </c>
      <c r="GZ154" s="72">
        <f t="shared" si="941"/>
        <v>5.2423991251788093</v>
      </c>
      <c r="HA154" s="72"/>
      <c r="HB154" s="72"/>
      <c r="HC154"/>
      <c r="HD154"/>
      <c r="HE154"/>
      <c r="HF154"/>
      <c r="HG154"/>
      <c r="HH154"/>
      <c r="HI154" s="2"/>
    </row>
    <row r="155" spans="2:217" s="102" customFormat="1" ht="12.75" customHeight="1" x14ac:dyDescent="0.2">
      <c r="B155" s="4"/>
      <c r="C155" s="104"/>
      <c r="D155" s="72"/>
      <c r="E155" s="104"/>
      <c r="F155" s="72"/>
      <c r="G155" s="104"/>
      <c r="H155" s="72"/>
      <c r="I155" s="104"/>
      <c r="J155" s="72"/>
      <c r="K155" s="104"/>
      <c r="L155" s="72"/>
      <c r="M155" s="104"/>
      <c r="N155" s="72"/>
      <c r="O155" s="104"/>
      <c r="P155" s="72"/>
      <c r="Q155" s="104"/>
      <c r="R155" s="72"/>
      <c r="S155" s="104"/>
      <c r="T155" s="72"/>
      <c r="U155" s="104"/>
      <c r="V155" s="72"/>
      <c r="W155" s="104"/>
      <c r="X155" s="72"/>
      <c r="Y155" s="104"/>
      <c r="Z155" s="72"/>
      <c r="AA155" s="104"/>
      <c r="AB155" s="72"/>
      <c r="AC155" s="104"/>
      <c r="AD155" s="72"/>
      <c r="AE155" s="104"/>
      <c r="AF155" s="72"/>
      <c r="AG155" s="104"/>
      <c r="AH155" s="72"/>
      <c r="AI155" s="104"/>
      <c r="AJ155" s="72"/>
      <c r="AK155" s="104"/>
      <c r="AL155" s="72"/>
      <c r="AM155" s="104"/>
      <c r="AN155" s="72"/>
      <c r="AO155" s="104"/>
      <c r="AP155" s="72"/>
      <c r="AQ155" s="104"/>
      <c r="AR155" s="72"/>
      <c r="AS155" s="104"/>
      <c r="AT155" s="72"/>
      <c r="AU155" s="104"/>
      <c r="AV155" s="72"/>
      <c r="AW155" s="104"/>
      <c r="AX155" s="72"/>
      <c r="AY155" s="104"/>
      <c r="AZ155" s="72"/>
      <c r="BA155" s="104"/>
      <c r="BB155" s="72"/>
      <c r="BC155" s="104"/>
      <c r="BD155" s="72"/>
      <c r="BE155" s="104"/>
      <c r="BF155" s="72"/>
      <c r="BG155" s="104"/>
      <c r="BH155" s="72"/>
      <c r="BI155" s="104"/>
      <c r="BJ155" s="72"/>
      <c r="BK155" s="104"/>
      <c r="BL155" s="72"/>
      <c r="BM155" s="104"/>
      <c r="BN155" s="72"/>
      <c r="BO155" s="104"/>
      <c r="BP155" s="72"/>
      <c r="BQ155" s="104"/>
      <c r="BR155" s="72"/>
      <c r="BS155" s="104"/>
      <c r="BT155" s="72"/>
      <c r="BU155" s="104"/>
      <c r="BV155" s="72"/>
      <c r="BW155" s="104"/>
      <c r="BX155" s="72"/>
      <c r="BY155" s="104"/>
      <c r="BZ155" s="72"/>
      <c r="CA155" s="104"/>
      <c r="CB155" s="72"/>
      <c r="CC155" s="104"/>
      <c r="CD155" s="72"/>
      <c r="CE155" s="104"/>
      <c r="CF155" s="72"/>
      <c r="CG155" s="104"/>
      <c r="CH155" s="72"/>
      <c r="CI155" s="104"/>
      <c r="CJ155" s="72"/>
      <c r="CK155" s="104"/>
      <c r="CL155" s="72"/>
      <c r="CM155" s="104"/>
      <c r="CN155" s="72"/>
      <c r="CO155" s="104"/>
      <c r="CP155" s="72"/>
      <c r="CQ155" s="104"/>
      <c r="CR155" s="72"/>
      <c r="CS155" s="104"/>
      <c r="CT155" s="72"/>
      <c r="CU155" s="104"/>
      <c r="CV155" s="72"/>
      <c r="CW155" s="104"/>
      <c r="CX155" s="72"/>
      <c r="CY155" s="104"/>
      <c r="CZ155" s="72"/>
      <c r="DA155" s="104"/>
      <c r="DB155" s="72"/>
      <c r="DC155" s="104"/>
      <c r="DD155" s="72"/>
      <c r="DE155" s="104"/>
      <c r="DF155" s="72"/>
      <c r="DG155" s="104"/>
      <c r="DH155" s="72"/>
      <c r="DI155" s="104"/>
      <c r="DJ155" s="72"/>
      <c r="DK155" s="104"/>
      <c r="DL155" s="72"/>
      <c r="DM155" s="104"/>
      <c r="DN155" s="72"/>
      <c r="DO155" s="104"/>
      <c r="DP155" s="72"/>
      <c r="DQ155" s="104"/>
      <c r="DR155" s="72"/>
      <c r="DS155" s="104"/>
      <c r="DT155" s="72"/>
      <c r="DU155" s="104"/>
      <c r="DV155" s="72"/>
      <c r="DW155" s="105"/>
      <c r="DX155" s="72"/>
      <c r="DY155" s="105"/>
      <c r="DZ155" s="72"/>
      <c r="EA155" s="105"/>
      <c r="EB155" s="72"/>
      <c r="EC155" s="105"/>
      <c r="ED155" s="72"/>
      <c r="EE155" s="105"/>
      <c r="EF155" s="72"/>
      <c r="EG155" s="105"/>
      <c r="EH155" s="72"/>
      <c r="EI155" s="105"/>
      <c r="EJ155" s="72"/>
      <c r="EK155" s="105"/>
      <c r="EL155" s="72"/>
      <c r="EM155" s="105"/>
      <c r="EN155" s="72"/>
      <c r="EO155" s="105"/>
      <c r="EP155" s="72"/>
      <c r="EQ155" s="105"/>
      <c r="ER155" s="72"/>
      <c r="ES155" s="105"/>
      <c r="ET155" s="72"/>
      <c r="EU155" s="105"/>
      <c r="EV155" s="72"/>
      <c r="EW155" s="105"/>
      <c r="EX155" s="72"/>
      <c r="EY155" s="72"/>
      <c r="EZ155" s="309"/>
      <c r="FA155" s="72"/>
      <c r="FB155" s="104"/>
      <c r="FC155" s="72"/>
      <c r="FD155" s="104">
        <f>+FD150/FD153*100</f>
        <v>18.365131068714131</v>
      </c>
      <c r="FE155" s="72"/>
      <c r="FF155" s="104">
        <f>+FF150/FF153*100</f>
        <v>20.88228518774476</v>
      </c>
      <c r="FG155" s="72"/>
      <c r="FH155" s="104">
        <f>+FH150/FH153*100</f>
        <v>0</v>
      </c>
      <c r="FI155" s="72"/>
      <c r="FJ155" s="104"/>
      <c r="FK155" s="72"/>
      <c r="FL155" s="104"/>
      <c r="FM155" s="72"/>
      <c r="FN155" s="104"/>
      <c r="FO155" s="72"/>
      <c r="FP155" s="104"/>
      <c r="FQ155" s="72"/>
      <c r="FR155" s="105"/>
      <c r="FS155" s="72"/>
      <c r="FT155" s="105"/>
      <c r="FU155" s="72"/>
      <c r="FV155" s="105"/>
      <c r="FW155" s="72"/>
      <c r="FX155" s="105"/>
      <c r="FY155" s="72"/>
      <c r="FZ155" s="105"/>
      <c r="GA155" s="72"/>
      <c r="GB155" s="105"/>
      <c r="GC155" s="72">
        <v>15.952265736363984</v>
      </c>
      <c r="GD155" s="105"/>
      <c r="GE155" s="72"/>
      <c r="GF155" s="105"/>
      <c r="GG155" s="72"/>
      <c r="GH155" s="105"/>
      <c r="GI155" s="72"/>
      <c r="GJ155" s="105"/>
      <c r="GK155" s="72"/>
      <c r="GL155" s="105"/>
      <c r="GM155" s="72"/>
      <c r="GN155" s="105"/>
      <c r="GO155" s="72"/>
      <c r="GP155" s="105"/>
      <c r="GQ155" s="72"/>
      <c r="GR155" s="105"/>
      <c r="GS155" s="72"/>
      <c r="GT155" s="105"/>
      <c r="GU155" s="72"/>
      <c r="GV155" s="105"/>
      <c r="GW155" s="72"/>
      <c r="GX155" s="105"/>
      <c r="GY155" s="72"/>
      <c r="GZ155" s="72"/>
      <c r="HA155" s="72"/>
      <c r="HB155" s="72"/>
      <c r="HC155"/>
      <c r="HD155"/>
      <c r="HE155"/>
      <c r="HF155"/>
      <c r="HG155"/>
      <c r="HH155"/>
      <c r="HI155" s="2"/>
    </row>
    <row r="156" spans="2:217" s="102" customFormat="1" ht="12.75" customHeight="1" x14ac:dyDescent="0.2">
      <c r="B156" s="4" t="s">
        <v>134</v>
      </c>
      <c r="C156" s="100"/>
      <c r="D156" s="72"/>
      <c r="E156" s="100"/>
      <c r="F156" s="72"/>
      <c r="G156" s="100"/>
      <c r="H156" s="72"/>
      <c r="I156" s="100"/>
      <c r="J156" s="72"/>
      <c r="K156" s="100"/>
      <c r="L156" s="72"/>
      <c r="M156" s="100"/>
      <c r="N156" s="72"/>
      <c r="O156" s="100"/>
      <c r="P156" s="72"/>
      <c r="Q156" s="100"/>
      <c r="R156" s="72"/>
      <c r="S156" s="100"/>
      <c r="T156" s="72"/>
      <c r="U156" s="100"/>
      <c r="V156" s="72"/>
      <c r="W156" s="100"/>
      <c r="X156" s="72"/>
      <c r="Y156" s="100"/>
      <c r="Z156" s="72"/>
      <c r="AA156" s="100"/>
      <c r="AB156" s="72"/>
      <c r="AC156" s="100"/>
      <c r="AD156" s="72"/>
      <c r="AE156" s="100"/>
      <c r="AF156" s="72"/>
      <c r="AG156" s="100"/>
      <c r="AH156" s="72"/>
      <c r="AI156" s="100">
        <f>AI150+AI151</f>
        <v>-405</v>
      </c>
      <c r="AJ156" s="72" t="str">
        <f>IF(ISERROR(AI156/AA156),"NA",IF(OR(AI156/AA156&gt;2,AI156/AA156&lt;0.5),"NM",AI156/AA156*100-100))</f>
        <v>NA</v>
      </c>
      <c r="AK156" s="100">
        <f>AK150+AK151-46810</f>
        <v>-309</v>
      </c>
      <c r="AL156" s="72" t="str">
        <f>IF(ISERROR(AK156/AC156),"NA",IF(OR(AK156/AC156&gt;2,AK156/AC156&lt;0.5),"NM",AK156/AC156*100-100))</f>
        <v>NA</v>
      </c>
      <c r="AM156" s="100">
        <f>AM150+AM151</f>
        <v>16</v>
      </c>
      <c r="AN156" s="72" t="str">
        <f>IF(ISERROR(AM156/AE156),"NA",IF(OR(AM156/AE156&gt;2,AM156/AE156&lt;0.5),"NM",AM156/AE156*100-100))</f>
        <v>NA</v>
      </c>
      <c r="AO156" s="100">
        <f>AO150+AO151</f>
        <v>-724</v>
      </c>
      <c r="AP156" s="72" t="str">
        <f>IF(ISERROR(AO156/AG156),"NA",IF(OR(AO156/AG156&gt;2,AO156/AG156&lt;0.5),"NM",AO156/AG156*100-100))</f>
        <v>NA</v>
      </c>
      <c r="AQ156" s="100">
        <f>AQ150+AQ151</f>
        <v>435</v>
      </c>
      <c r="AR156" s="72" t="str">
        <f>IF(ISERROR(AQ156/AI156),"NA",IF(OR(AQ156/AI156&gt;2,AQ156/AI156&lt;0.5),"NM",AQ156/AI156*100-100))</f>
        <v>NM</v>
      </c>
      <c r="AS156" s="100">
        <f>AS150+AS151</f>
        <v>-170</v>
      </c>
      <c r="AT156" s="72">
        <f>IF(ISERROR(AS156/AK156),"NA",IF(OR(AS156/AK156&gt;2,AS156/AK156&lt;0.5),"NM",AS156/AK156*100-100))</f>
        <v>-44.983818770226534</v>
      </c>
      <c r="AU156" s="100">
        <f>AU150+AU151</f>
        <v>307</v>
      </c>
      <c r="AV156" s="72" t="str">
        <f>IF(ISERROR(AU156/AM156),"NA",IF(OR(AU156/AM156&gt;2,AU156/AM156&lt;0.5),"NM",AU156/AM156*100-100))</f>
        <v>NM</v>
      </c>
      <c r="AW156" s="100">
        <f>AW150+AW151</f>
        <v>-1484</v>
      </c>
      <c r="AX156" s="72" t="str">
        <f>IF(ISERROR(AW156/AO156),"NA",IF(OR(AW156/AO156&gt;2,AW156/AO156&lt;0.5),"NM",AW156/AO156*100-100))</f>
        <v>NM</v>
      </c>
      <c r="AY156" s="100">
        <f>AY150+AY151</f>
        <v>-90</v>
      </c>
      <c r="AZ156" s="72" t="str">
        <f>IF(ISERROR(AY156/AQ156),"NA",IF(OR(AY156/AQ156&gt;2,AY156/AQ156&lt;0.5),"NM",AY156/AQ156*100-100))</f>
        <v>NM</v>
      </c>
      <c r="BA156" s="100">
        <f>BA150+BA151</f>
        <v>726</v>
      </c>
      <c r="BB156" s="72" t="str">
        <f>IF(ISERROR(BA156/AS156),"NA",IF(OR(BA156/AS156&gt;2,BA156/AS156&lt;0.5),"NM",BA156/AS156*100-100))</f>
        <v>NM</v>
      </c>
      <c r="BC156" s="100">
        <f>BC150+BC151</f>
        <v>-358</v>
      </c>
      <c r="BD156" s="72" t="str">
        <f>IF(ISERROR(BC156/AU156),"NA",IF(OR(BC156/AU156&gt;2,BC156/AU156&lt;0.5),"NM",BC156/AU156*100-100))</f>
        <v>NM</v>
      </c>
      <c r="BE156" s="100">
        <f>BE150+BE151</f>
        <v>-111</v>
      </c>
      <c r="BF156" s="72" t="str">
        <f>IF(ISERROR(BE156/AW156),"NA",IF(OR(BE156/AW156&gt;2,BE156/AW156&lt;0.5),"NM",BE156/AW156*100-100))</f>
        <v>NM</v>
      </c>
      <c r="BG156" s="100">
        <f>BG150+BG151</f>
        <v>570</v>
      </c>
      <c r="BH156" s="72" t="str">
        <f>IF(ISERROR(BG156/AY156),"NA",IF(OR(BG156/AY156&gt;2,BG156/AY156&lt;0.5),"NM",BG156/AY156*100-100))</f>
        <v>NM</v>
      </c>
      <c r="BI156" s="100">
        <f>BI150+BI151</f>
        <v>9</v>
      </c>
      <c r="BJ156" s="72" t="str">
        <f>IF(ISERROR(BI156/BA156),"NA",IF(OR(BI156/BA156&gt;2,BI156/BA156&lt;0.5),"NM",BI156/BA156*100-100))</f>
        <v>NM</v>
      </c>
      <c r="BK156" s="100">
        <f>BK150+BK151</f>
        <v>-90</v>
      </c>
      <c r="BL156" s="72" t="str">
        <f>IF(ISERROR(BK156/BC156),"NA",IF(OR(BK156/BC156&gt;2,BK156/BC156&lt;0.5),"NM",BK156/BC156*100-100))</f>
        <v>NM</v>
      </c>
      <c r="BM156" s="100">
        <f>BM150+BM151</f>
        <v>454</v>
      </c>
      <c r="BN156" s="72" t="str">
        <f>IF(ISERROR(BM156/BE156),"NA",IF(OR(BM156/BE156&gt;2,BM156/BE156&lt;0.5),"NM",BM156/BE156*100-100))</f>
        <v>NM</v>
      </c>
      <c r="BO156" s="100">
        <f>BO150+BO151</f>
        <v>653</v>
      </c>
      <c r="BP156" s="72">
        <f>IF(ISERROR(BO156/BG156),"NA",IF(OR(BO156/BG156&gt;2,BO156/BG156&lt;0.5),"NM",BO156/BG156*100-100))</f>
        <v>14.561403508771932</v>
      </c>
      <c r="BQ156" s="100">
        <f>BQ150+BQ151</f>
        <v>164</v>
      </c>
      <c r="BR156" s="72" t="str">
        <f>IF(ISERROR(BQ156/BI156),"NA",IF(OR(BQ156/BI156&gt;2,BQ156/BI156&lt;0.5),"NM",BQ156/BI156*100-100))</f>
        <v>NM</v>
      </c>
      <c r="BS156" s="100">
        <f>BS150+BS151</f>
        <v>393</v>
      </c>
      <c r="BT156" s="72" t="str">
        <f>IF(ISERROR(BS156/BK156),"NA",IF(OR(BS156/BK156&gt;2,BS156/BK156&lt;0.5),"NM",BS156/BK156*100-100))</f>
        <v>NM</v>
      </c>
      <c r="BU156" s="100">
        <f>BU150+BU151</f>
        <v>2680</v>
      </c>
      <c r="BV156" s="72" t="str">
        <f>IF(ISERROR(BU156/BM156),"NA",IF(OR(BU156/BM156&gt;2,BU156/BM156&lt;0.5),"NM",BU156/BM156*100-100))</f>
        <v>NM</v>
      </c>
      <c r="BW156" s="100">
        <f>BW150+BW151</f>
        <v>6258</v>
      </c>
      <c r="BX156" s="72" t="str">
        <f>IF(ISERROR(BW156/BO156),"NA",IF(OR(BW156/BO156&gt;2,BW156/BO156&lt;0.5),"NM",BW156/BO156*100-100))</f>
        <v>NM</v>
      </c>
      <c r="BY156" s="100">
        <f>BY150+BY151</f>
        <v>87</v>
      </c>
      <c r="BZ156" s="72">
        <f>IF(ISERROR(BY156/BQ156),"NA",IF(OR(BY156/BQ156&gt;2,BY156/BQ156&lt;0.5),"NM",BY156/BQ156*100-100))</f>
        <v>-46.951219512195117</v>
      </c>
      <c r="CA156" s="100">
        <f>CA150+CA151</f>
        <v>1502</v>
      </c>
      <c r="CB156" s="72" t="str">
        <f>IF(ISERROR(CA156/BS156),"NA",IF(OR(CA156/BS156&gt;2,CA156/BS156&lt;0.5),"NM",CA156/BS156*100-100))</f>
        <v>NM</v>
      </c>
      <c r="CC156" s="100">
        <f>CC150+CC151</f>
        <v>903</v>
      </c>
      <c r="CD156" s="72" t="str">
        <f>IF(ISERROR(CC156/BU156),"NA",IF(OR(CC156/BU156&gt;2,CC156/BU156&lt;0.5),"NM",CC156/BU156*100-100))</f>
        <v>NM</v>
      </c>
      <c r="CE156" s="100">
        <f>CE150+CE151</f>
        <v>1105</v>
      </c>
      <c r="CF156" s="72" t="str">
        <f>IF(ISERROR(CE156/BW156),"NA",IF(OR(CE156/BW156&gt;2,CE156/BW156&lt;0.5),"NM",CE156/BW156*100-100))</f>
        <v>NM</v>
      </c>
      <c r="CG156" s="100">
        <f>CG150+CG151</f>
        <v>286</v>
      </c>
      <c r="CH156" s="72" t="str">
        <f>IF(ISERROR(CG156/BY156),"NA",IF(OR(CG156/BY156&gt;2,CG156/BY156&lt;0.5),"NM",CG156/BY156*100-100))</f>
        <v>NM</v>
      </c>
      <c r="CI156" s="100">
        <f>CI150+CI151</f>
        <v>2088</v>
      </c>
      <c r="CJ156" s="72">
        <f>IF(ISERROR(CI156/CA156),"NA",IF(OR(CI156/CA156&gt;2,CI156/CA156&lt;0.5),"NM",CI156/CA156*100-100))</f>
        <v>39.014647137150462</v>
      </c>
      <c r="CK156" s="100">
        <f>CK150+CK151</f>
        <v>-1017</v>
      </c>
      <c r="CL156" s="72" t="str">
        <f>IF(ISERROR(CK156/CC156),"NA",IF(OR(CK156/CC156&gt;2,CK156/CC156&lt;0.5),"NM",CK156/CC156*100-100))</f>
        <v>NM</v>
      </c>
      <c r="CM156" s="100">
        <f>CM150+CM151</f>
        <v>-79</v>
      </c>
      <c r="CN156" s="72" t="str">
        <f>IF(ISERROR(CM156/CE156),"NA",IF(OR(CM156/CE156&gt;2,CM156/CE156&lt;0.5),"NM",CM156/CE156*100-100))</f>
        <v>NM</v>
      </c>
      <c r="CO156" s="100">
        <f>CO150+CO151</f>
        <v>-86</v>
      </c>
      <c r="CP156" s="72" t="str">
        <f>IF(ISERROR(CO156/CG156),"NA",IF(OR(CO156/CG156&gt;2,CO156/CG156&lt;0.5),"NM",CO156/CG156*100-100))</f>
        <v>NM</v>
      </c>
      <c r="CQ156" s="100">
        <f>CQ150+CQ151</f>
        <v>-160</v>
      </c>
      <c r="CR156" s="72" t="str">
        <f>IF(ISERROR(CQ156/CI156),"NA",IF(OR(CQ156/CI156&gt;2,CQ156/CI156&lt;0.5),"NM",CQ156/CI156*100-100))</f>
        <v>NM</v>
      </c>
      <c r="CS156" s="100">
        <f>CS150+CS151</f>
        <v>-2014</v>
      </c>
      <c r="CT156" s="72">
        <f>IF(ISERROR(CS156/CK156),"NA",IF(OR(CS156/CK156&gt;2,CS156/CK156&lt;0.5),"NM",CS156/CK156*100-100))</f>
        <v>98.033431661750257</v>
      </c>
      <c r="CU156" s="100">
        <f>CU150+CU151</f>
        <v>-2457</v>
      </c>
      <c r="CV156" s="72" t="str">
        <f>IF(ISERROR(CU156/CM156),"NA",IF(OR(CU156/CM156&gt;2,CU156/CM156&lt;0.5),"NM",CU156/CM156*100-100))</f>
        <v>NM</v>
      </c>
      <c r="CW156" s="100">
        <f>CW150+CW151</f>
        <v>692</v>
      </c>
      <c r="CX156" s="72" t="str">
        <f>IF(ISERROR(CW156/CO156),"NA",IF(OR(CW156/CO156&gt;2,CW156/CO156&lt;0.5),"NM",CW156/CO156*100-100))</f>
        <v>NM</v>
      </c>
      <c r="CY156" s="100">
        <f>CY150+CY151</f>
        <v>-585</v>
      </c>
      <c r="CZ156" s="72" t="str">
        <f>IF(ISERROR(CY156/CQ156),"NA",IF(OR(CY156/CQ156&gt;2,CY156/CQ156&lt;0.5),"NM",CY156/CQ156*100-100))</f>
        <v>NM</v>
      </c>
      <c r="DA156" s="100">
        <f>DA150+DA151</f>
        <v>-483</v>
      </c>
      <c r="DB156" s="72" t="str">
        <f>IF(ISERROR(DA156/CS156),"NA",IF(OR(DA156/CS156&gt;2,DA156/CS156&lt;0.5),"NM",DA156/CS156*100-100))</f>
        <v>NM</v>
      </c>
      <c r="DC156" s="100">
        <f>DC150+DC151</f>
        <v>1003</v>
      </c>
      <c r="DD156" s="72" t="str">
        <f>IF(ISERROR(DC156/CU156),"NA",IF(OR(DC156/CU156&gt;2,DC156/CU156&lt;0.5),"NM",DC156/CU156*100-100))</f>
        <v>NM</v>
      </c>
      <c r="DE156" s="100">
        <f>DE150+DE151</f>
        <v>75</v>
      </c>
      <c r="DF156" s="72" t="str">
        <f>IF(ISERROR(DE156/CW156),"NA",IF(OR(DE156/CW156&gt;2,DE156/CW156&lt;0.5),"NM",DE156/CW156*100-100))</f>
        <v>NM</v>
      </c>
      <c r="DG156" s="100">
        <f>DG150+DG151</f>
        <v>828</v>
      </c>
      <c r="DH156" s="72" t="str">
        <f>IF(ISERROR(DG156/CY156),"NA",IF(OR(DG156/CY156&gt;2,DG156/CY156&lt;0.5),"NM",DG156/CY156*100-100))</f>
        <v>NM</v>
      </c>
      <c r="DI156" s="100">
        <f>DI150+DI151</f>
        <v>60</v>
      </c>
      <c r="DJ156" s="72" t="str">
        <f>IF(ISERROR(DI156/DA156),"NA",IF(OR(DI156/DA156&gt;2,DI156/DA156&lt;0.5),"NM",DI156/DA156*100-100))</f>
        <v>NM</v>
      </c>
      <c r="DK156" s="100">
        <f>DK150+DK151</f>
        <v>2584</v>
      </c>
      <c r="DL156" s="72" t="str">
        <f>IF(ISERROR(DK156/DC156),"NA",IF(OR(DK156/DC156&gt;2,DK156/DC156&lt;0.5),"NM",DK156/DC156*100-100))</f>
        <v>NM</v>
      </c>
      <c r="DM156" s="100">
        <f>DM150+DM151</f>
        <v>-1538</v>
      </c>
      <c r="DN156" s="72" t="str">
        <f>IF(ISERROR(DM156/DE156),"NA",IF(OR(DM156/DE156&gt;2,DM156/DE156&lt;0.5),"NM",DM156/DE156*100-100))</f>
        <v>NM</v>
      </c>
      <c r="DO156" s="100">
        <f>DO150+DO151</f>
        <v>969</v>
      </c>
      <c r="DP156" s="72">
        <f>IF(ISERROR(DO156/DG156),"NA",IF(OR(DO156/DG156&gt;2,DO156/DG156&lt;0.5),"NM",DO156/DG156*100-100))</f>
        <v>17.028985507246389</v>
      </c>
      <c r="DQ156" s="100">
        <f>DQ150+DQ151</f>
        <v>-682</v>
      </c>
      <c r="DR156" s="72" t="str">
        <f>IF(ISERROR(DQ156/DI156),"NA",IF(OR(DQ156/DI156&gt;2,DQ156/DI156&lt;0.5),"NM",DQ156/DI156*100-100))</f>
        <v>NM</v>
      </c>
      <c r="DS156" s="100">
        <f>DS150+DS151</f>
        <v>85</v>
      </c>
      <c r="DT156" s="72" t="str">
        <f>IF(ISERROR(DS156/DK156),"NA",IF(OR(DS156/DK156&gt;2,DS156/DK156&lt;0.5),"NM",DS156/DK156*100-100))</f>
        <v>NM</v>
      </c>
      <c r="DU156" s="100">
        <f>DU150+DU151</f>
        <v>357</v>
      </c>
      <c r="DV156" s="72" t="str">
        <f>IF(ISERROR(DU156/DM156),"NA",IF(OR(DU156/DM156&gt;2,DU156/DM156&lt;0.5),"NM",DU156/DM156*100-100))</f>
        <v>NM</v>
      </c>
      <c r="DW156" s="100">
        <f>DW150+DW151</f>
        <v>4350</v>
      </c>
      <c r="DX156" s="72" t="str">
        <f>IF(ISERROR(DW156/DO156),"NA",IF(OR(DW156/DO156&gt;2,DW156/DO156&lt;0.5),"NM",DW156/DO156*100-100))</f>
        <v>NM</v>
      </c>
      <c r="DY156" s="100">
        <f>DY150+DY151</f>
        <v>-667</v>
      </c>
      <c r="DZ156" s="72">
        <f>IF(ISERROR(DY156/DQ156),"NA",IF(OR(DY156/DQ156&gt;2,DY156/DQ156&lt;0.5),"NM",DY156/DQ156*100-100))</f>
        <v>-2.1994134897360738</v>
      </c>
      <c r="EA156" s="100">
        <f>EA150+EA151</f>
        <v>1370</v>
      </c>
      <c r="EB156" s="72" t="str">
        <f>IF(ISERROR(EA156/DS156),"NA",IF(OR(EA156/DS156&gt;2,EA156/DS156&lt;0.5),"NM",EA156/DS156*100-100))</f>
        <v>NM</v>
      </c>
      <c r="EC156" s="100">
        <f>EC150+EC151</f>
        <v>186</v>
      </c>
      <c r="ED156" s="72">
        <f>IF(ISERROR(EC156/DU156),"NA",IF(OR(EC156/DU156&gt;2,EC156/DU156&lt;0.5),"NM",EC156/DU156*100-100))</f>
        <v>-47.899159663865539</v>
      </c>
      <c r="EE156" s="100">
        <f>EE150+EE151</f>
        <v>392</v>
      </c>
      <c r="EF156" s="72" t="str">
        <f>IF(ISERROR(EE156/DW156),"NA",IF(OR(EE156/DW156&gt;2,EE156/DW156&lt;0.5),"NM",EE156/DW156*100-100))</f>
        <v>NM</v>
      </c>
      <c r="EG156" s="100">
        <f>EG150+EG151</f>
        <v>-147</v>
      </c>
      <c r="EH156" s="72" t="str">
        <f>IF(ISERROR(EG156/DY156),"NA",IF(OR(EG156/DY156&gt;2,EG156/DY156&lt;0.5),"NM",EG156/DY156*100-100))</f>
        <v>NM</v>
      </c>
      <c r="EI156" s="100">
        <f>EI150+EI151</f>
        <v>46</v>
      </c>
      <c r="EJ156" s="72" t="str">
        <f>IF(ISERROR(EI156/EA156),"NA",IF(OR(EI156/EA156&gt;2,EI156/EA156&lt;0.5),"NM",EI156/EA156*100-100))</f>
        <v>NM</v>
      </c>
      <c r="EK156" s="100">
        <f>EK150+EK151</f>
        <v>-1015</v>
      </c>
      <c r="EL156" s="72" t="str">
        <f>IF(ISERROR(EK156/EC156),"NA",IF(OR(EK156/EC156&gt;2,EK156/EC156&lt;0.5),"NM",EK156/EC156*100-100))</f>
        <v>NM</v>
      </c>
      <c r="EM156" s="100">
        <f>EM150+EM151</f>
        <v>6056</v>
      </c>
      <c r="EN156" s="72" t="str">
        <f>IF(ISERROR(EM156/EE156),"NA",IF(OR(EM156/EE156&gt;2,EM156/EE156&lt;0.5),"NM",EM156/EE156*100-100))</f>
        <v>NM</v>
      </c>
      <c r="EO156" s="100">
        <f>EO150+EO151</f>
        <v>-371</v>
      </c>
      <c r="EP156" s="72" t="str">
        <f>IF(ISERROR(EO156/EG156),"NA",IF(OR(EO156/EG156&gt;2,EO156/EG156&lt;0.5),"NM",EO156/EG156*100-100))</f>
        <v>NM</v>
      </c>
      <c r="EQ156" s="100">
        <f t="shared" ref="EQ156" si="962">EQ150+EQ151</f>
        <v>293.26999999999953</v>
      </c>
      <c r="ER156" s="72" t="str">
        <f t="shared" ref="ER156" si="963">IF(ISERROR(EQ156/EI156),"NA",IF(OR(EQ156/EI156&gt;2,EQ156/EI156&lt;0.5),"NM",EQ156/EI156*100-100))</f>
        <v>NM</v>
      </c>
      <c r="ES156" s="100">
        <f t="shared" ref="ES156" si="964">ES150+ES151</f>
        <v>291.72169037148706</v>
      </c>
      <c r="ET156" s="72" t="str">
        <f t="shared" ref="ET156" si="965">IF(ISERROR(ES156/EK156),"NA",IF(OR(ES156/EK156&gt;2,ES156/EK156&lt;0.5),"NM",ES156/EK156*100-100))</f>
        <v>NM</v>
      </c>
      <c r="EU156" s="100">
        <f t="shared" ref="EU156" si="966">EU150+EU151</f>
        <v>295.26098830126102</v>
      </c>
      <c r="EV156" s="72" t="str">
        <f t="shared" ref="EV156" si="967">IF(ISERROR(EU156/EM156),"NA",IF(OR(EU156/EM156&gt;2,EU156/EM156&lt;0.5),"NM",EU156/EM156*100-100))</f>
        <v>NM</v>
      </c>
      <c r="EW156" s="100">
        <f t="shared" ref="EW156" si="968">EW150+EW151</f>
        <v>298.84322657537359</v>
      </c>
      <c r="EX156" s="72" t="str">
        <f t="shared" ref="EX156" si="969">IF(ISERROR(EW156/EO156),"NA",IF(OR(EW156/EO156&gt;2,EW156/EO156&lt;0.5),"NM",EW156/EO156*100-100))</f>
        <v>NM</v>
      </c>
      <c r="EY156" s="72"/>
      <c r="EZ156" s="309"/>
      <c r="FA156" s="72"/>
      <c r="FB156" s="100">
        <f>FB150+FB151</f>
        <v>2354</v>
      </c>
      <c r="FC156" s="72"/>
      <c r="FD156" s="100">
        <f>FD150+FD151</f>
        <v>1449</v>
      </c>
      <c r="FE156" s="72">
        <f>IF(ISERROR(FD156/FB156),"NA",IF(OR(FD156/FB156&gt;2,FD156/FB156&lt;0.5),"NM",FD156/FB156*100-100))</f>
        <v>-38.44519966015293</v>
      </c>
      <c r="FF156" s="100">
        <f>FF150+FF151</f>
        <v>1502</v>
      </c>
      <c r="FG156" s="72">
        <f>IF(ISERROR(FF156/FD156),"NA",IF(OR(FF156/FD156&gt;2,FF156/FD156&lt;0.5),"NM",FF156/FD156*100-100))</f>
        <v>3.6576949620427825</v>
      </c>
      <c r="FH156" s="100">
        <f>FH150+FH151</f>
        <v>0</v>
      </c>
      <c r="FI156" s="72" t="str">
        <f>IF(ISERROR(FH156/FF156),"NA",IF(OR(FH156/FF156&gt;2,FH156/FF156&lt;0.5),"NM",FH156/FF156*100-100))</f>
        <v>NM</v>
      </c>
      <c r="FJ156" s="100">
        <f>FJ150+FJ151</f>
        <v>0</v>
      </c>
      <c r="FK156" s="72" t="str">
        <f>IF(ISERROR(FJ156/FH156),"NA",IF(OR(FJ156/FH156&gt;2,FJ156/FH156&lt;0.5),"NM",FJ156/FH156*100-100))</f>
        <v>NA</v>
      </c>
      <c r="FL156" s="100">
        <f>FL150+FL151</f>
        <v>0</v>
      </c>
      <c r="FM156" s="72" t="str">
        <f>IF(ISERROR(FL156/FJ156),"NA",IF(OR(FL156/FJ156&gt;2,FL156/FJ156&lt;0.5),"NM",FL156/FJ156*100-100))</f>
        <v>NA</v>
      </c>
      <c r="FN156" s="75">
        <f>AI156+AK156+AM156+AO156</f>
        <v>-1422</v>
      </c>
      <c r="FO156" s="72" t="str">
        <f>IF(ISERROR(FN156/FL156),"NA",IF(OR(FN156/FL156&gt;2,FN156/FL156&lt;0.5),"NM",FN156/FL156*100-100))</f>
        <v>NA</v>
      </c>
      <c r="FP156" s="100">
        <f>FP150+FP151</f>
        <v>-912</v>
      </c>
      <c r="FQ156" s="72">
        <f>IF(ISERROR(FP156/FN156),"NA",IF(OR(FP156/FN156&gt;2,FP156/FN156&lt;0.5),"NM",FP156/FN156*100-100))</f>
        <v>-35.864978902953581</v>
      </c>
      <c r="FR156" s="100">
        <f>FR150+FR151</f>
        <v>167</v>
      </c>
      <c r="FS156" s="72" t="str">
        <f>IF(ISERROR(FR156/FP156),"NA",IF(OR(FR156/FP156&gt;2,FR156/FP156&lt;0.5),"NM",FR156/FP156*100-100))</f>
        <v>NM</v>
      </c>
      <c r="FT156" s="100">
        <f>FT150+FT151</f>
        <v>943</v>
      </c>
      <c r="FU156" s="72" t="str">
        <f>IF(ISERROR(FT156/FR156),"NA",IF(OR(FT156/FR156&gt;2,FT156/FR156&lt;0.5),"NM",FT156/FR156*100-100))</f>
        <v>NM</v>
      </c>
      <c r="FV156" s="100">
        <f>FV150+FV151</f>
        <v>3890</v>
      </c>
      <c r="FW156" s="72" t="str">
        <f>IF(ISERROR(FV156/FT156),"NA",IF(OR(FV156/FT156&gt;2,FV156/FT156&lt;0.5),"NM",FV156/FT156*100-100))</f>
        <v>NM</v>
      </c>
      <c r="FX156" s="100">
        <f>FX150+FX151</f>
        <v>8750</v>
      </c>
      <c r="FY156" s="72" t="str">
        <f>IF(ISERROR(FX156/FV156),"NA",IF(OR(FX156/FV156&gt;2,FX156/FV156&lt;0.5),"NM",FX156/FV156*100-100))</f>
        <v>NM</v>
      </c>
      <c r="FZ156" s="100">
        <f>FZ150+FZ151</f>
        <v>2462</v>
      </c>
      <c r="GA156" s="72" t="str">
        <f>IF(ISERROR(FZ156/FX156),"NA",IF(OR(FZ156/FX156&gt;2,FZ156/FX156&lt;0.5),"NM",FZ156/FX156*100-100))</f>
        <v>NM</v>
      </c>
      <c r="GB156" s="100">
        <f>GB150+GB151</f>
        <v>-2339</v>
      </c>
      <c r="GC156" s="72" t="str">
        <f>IF(ISERROR(GB156/FZ156),"NA",IF(OR(GB156/FZ156&gt;2,GB156/FZ156&lt;0.5),"NM",GB156/FZ156*100-100))</f>
        <v>NM</v>
      </c>
      <c r="GD156" s="100">
        <f>GD150+GD151</f>
        <v>-2833</v>
      </c>
      <c r="GE156" s="72">
        <f>IF(ISERROR(GD156/GB156),"NA",IF(OR(GD156/GB156&gt;2,GD156/GB156&lt;0.5),"NM",GD156/GB156*100-100))</f>
        <v>21.12013681060283</v>
      </c>
      <c r="GF156" s="100">
        <f>GF150+GF151</f>
        <v>1966</v>
      </c>
      <c r="GG156" s="72" t="str">
        <f>IF(ISERROR(GF156/GD156),"NA",IF(OR(GF156/GD156&gt;2,GF156/GD156&lt;0.5),"NM",GF156/GD156*100-100))</f>
        <v>NM</v>
      </c>
      <c r="GH156" s="100">
        <f>GH150+GH151</f>
        <v>1333</v>
      </c>
      <c r="GI156" s="72">
        <f t="shared" ref="GI156:GU156" si="970">IF(ISERROR(GH156/GF156),"NA",IF(OR(GH156/GF156&gt;2,GH156/GF156&lt;0.5),"NM",GH156/GF156*100-100))</f>
        <v>-32.197355035605284</v>
      </c>
      <c r="GJ156" s="100">
        <f>GJ150+GJ151</f>
        <v>4125</v>
      </c>
      <c r="GK156" s="72" t="str">
        <f t="shared" si="970"/>
        <v>NM</v>
      </c>
      <c r="GL156" s="100">
        <f>GL150+GL151</f>
        <v>1801</v>
      </c>
      <c r="GM156" s="72" t="str">
        <f t="shared" si="970"/>
        <v>NM</v>
      </c>
      <c r="GN156" s="100">
        <f>GN150+GN151</f>
        <v>4716</v>
      </c>
      <c r="GO156" s="72" t="str">
        <f t="shared" si="970"/>
        <v>NM</v>
      </c>
      <c r="GP156" s="100">
        <f>GP150+GP151</f>
        <v>1179.095905248123</v>
      </c>
      <c r="GQ156" s="72" t="str">
        <f t="shared" si="970"/>
        <v>NM</v>
      </c>
      <c r="GR156" s="100">
        <f>GR150+GR151</f>
        <v>1216.0803092927017</v>
      </c>
      <c r="GS156" s="72">
        <f t="shared" si="970"/>
        <v>3.1366747929461951</v>
      </c>
      <c r="GT156" s="100">
        <f>GT150+GT151</f>
        <v>1270.8351053293809</v>
      </c>
      <c r="GU156" s="72">
        <f t="shared" si="970"/>
        <v>4.5025641496099666</v>
      </c>
      <c r="GV156" s="100">
        <f>GV150+GV151</f>
        <v>1328.0552711825912</v>
      </c>
      <c r="GW156" s="72">
        <f>IF(ISERROR(GV156/GT156),"NA",IF(OR(GV156/GT156&gt;2,GV156/GT156&lt;0.5),"NM",GV156/GT156*100-100))</f>
        <v>4.5025641496092987</v>
      </c>
      <c r="GX156" s="100">
        <f>GX150+GX151</f>
        <v>1387.8518117098611</v>
      </c>
      <c r="GY156" s="72">
        <f>IF(ISERROR(GX156/GV156),"NA",IF(OR(GX156/GV156&gt;2,GX156/GV156&lt;0.5),"NM",GX156/GV156*100-100))</f>
        <v>4.5025641496097393</v>
      </c>
      <c r="GZ156" s="72">
        <f>IF(ISERROR(((GX156/GN156)^0.2-1)*100),"NA",IF((((GX156/GN156)^0.2-1)*100)&gt;100,"NM",IF((((GX156/GN156)^0.2-1)*100)&lt;-50,"NM",((GX156/GN156)^0.2-1)*100)))</f>
        <v>-21.701424659161361</v>
      </c>
      <c r="HA156" s="72"/>
      <c r="HB156" s="72"/>
      <c r="HC156"/>
      <c r="HD156"/>
      <c r="HE156"/>
      <c r="HF156"/>
      <c r="HG156"/>
      <c r="HH156"/>
      <c r="HI156" s="2"/>
    </row>
    <row r="157" spans="2:217" s="102" customFormat="1" ht="12.75" customHeight="1" x14ac:dyDescent="0.2">
      <c r="B157" s="4"/>
      <c r="C157" s="100"/>
      <c r="D157" s="72"/>
      <c r="E157" s="100"/>
      <c r="F157" s="72"/>
      <c r="G157" s="100"/>
      <c r="H157" s="72"/>
      <c r="I157" s="100"/>
      <c r="J157" s="72"/>
      <c r="K157" s="100"/>
      <c r="L157" s="72"/>
      <c r="M157" s="100"/>
      <c r="N157" s="72"/>
      <c r="O157" s="100"/>
      <c r="P157" s="72"/>
      <c r="Q157" s="100"/>
      <c r="R157" s="72"/>
      <c r="S157" s="100"/>
      <c r="T157" s="72"/>
      <c r="U157" s="100"/>
      <c r="V157" s="72"/>
      <c r="W157" s="100"/>
      <c r="X157" s="72"/>
      <c r="Y157" s="100"/>
      <c r="Z157" s="72"/>
      <c r="AA157" s="100"/>
      <c r="AB157" s="72"/>
      <c r="AC157" s="100"/>
      <c r="AD157" s="72"/>
      <c r="AE157" s="100"/>
      <c r="AF157" s="72"/>
      <c r="AG157" s="100"/>
      <c r="AH157" s="72"/>
      <c r="AI157" s="100"/>
      <c r="AJ157" s="72"/>
      <c r="AK157" s="100"/>
      <c r="AL157" s="72"/>
      <c r="AM157" s="100"/>
      <c r="AN157" s="72"/>
      <c r="AO157" s="100"/>
      <c r="AP157" s="72"/>
      <c r="AQ157" s="100"/>
      <c r="AR157" s="72"/>
      <c r="AS157" s="100"/>
      <c r="AT157" s="72"/>
      <c r="AU157" s="100"/>
      <c r="AV157" s="72"/>
      <c r="AW157" s="100"/>
      <c r="AX157" s="72"/>
      <c r="AY157" s="100"/>
      <c r="AZ157" s="72"/>
      <c r="BA157" s="100"/>
      <c r="BB157" s="72"/>
      <c r="BC157" s="100"/>
      <c r="BD157" s="72"/>
      <c r="BE157" s="100"/>
      <c r="BF157" s="72"/>
      <c r="BG157" s="100"/>
      <c r="BH157" s="72"/>
      <c r="BI157" s="100"/>
      <c r="BJ157" s="72"/>
      <c r="BK157" s="100"/>
      <c r="BL157" s="72"/>
      <c r="BM157" s="100"/>
      <c r="BN157" s="72"/>
      <c r="BO157" s="100"/>
      <c r="BP157" s="72"/>
      <c r="BQ157" s="100"/>
      <c r="BR157" s="72"/>
      <c r="BS157" s="100"/>
      <c r="BT157" s="72"/>
      <c r="BU157" s="100"/>
      <c r="BV157" s="72"/>
      <c r="BW157" s="100"/>
      <c r="BX157" s="72"/>
      <c r="BY157" s="100"/>
      <c r="BZ157" s="72"/>
      <c r="CA157" s="100"/>
      <c r="CB157" s="72"/>
      <c r="CC157" s="100"/>
      <c r="CD157" s="72"/>
      <c r="CE157" s="100"/>
      <c r="CF157" s="72"/>
      <c r="CG157" s="100"/>
      <c r="CH157" s="72"/>
      <c r="CI157" s="100"/>
      <c r="CJ157" s="72"/>
      <c r="CK157" s="100"/>
      <c r="CL157" s="72"/>
      <c r="CM157" s="100"/>
      <c r="CN157" s="72"/>
      <c r="CO157" s="100"/>
      <c r="CP157" s="72"/>
      <c r="CQ157" s="100"/>
      <c r="CR157" s="72"/>
      <c r="CS157" s="100"/>
      <c r="CT157" s="72"/>
      <c r="CU157" s="100"/>
      <c r="CV157" s="72"/>
      <c r="CW157" s="100"/>
      <c r="CX157" s="72"/>
      <c r="CY157" s="100"/>
      <c r="CZ157" s="72"/>
      <c r="DA157" s="100"/>
      <c r="DB157" s="72"/>
      <c r="DC157" s="100"/>
      <c r="DD157" s="72"/>
      <c r="DE157" s="100"/>
      <c r="DF157" s="72"/>
      <c r="DG157" s="100"/>
      <c r="DH157" s="72"/>
      <c r="DI157" s="100"/>
      <c r="DJ157" s="72"/>
      <c r="DK157" s="100"/>
      <c r="DL157" s="72"/>
      <c r="DM157" s="100"/>
      <c r="DN157" s="72"/>
      <c r="DO157" s="100"/>
      <c r="DP157" s="72"/>
      <c r="DQ157" s="100"/>
      <c r="DR157" s="72"/>
      <c r="DS157" s="100"/>
      <c r="DT157" s="72"/>
      <c r="DU157" s="100"/>
      <c r="DV157" s="72"/>
      <c r="DW157" s="100"/>
      <c r="DX157" s="72"/>
      <c r="DY157" s="100"/>
      <c r="DZ157" s="72"/>
      <c r="EA157" s="100"/>
      <c r="EB157" s="72"/>
      <c r="EC157" s="100"/>
      <c r="ED157" s="72"/>
      <c r="EE157" s="100"/>
      <c r="EF157" s="72"/>
      <c r="EG157" s="100"/>
      <c r="EH157" s="72"/>
      <c r="EI157" s="100"/>
      <c r="EJ157" s="72"/>
      <c r="EK157" s="100"/>
      <c r="EL157" s="72"/>
      <c r="EM157" s="100"/>
      <c r="EN157" s="72"/>
      <c r="EO157" s="100"/>
      <c r="EP157" s="72"/>
      <c r="EQ157" s="100"/>
      <c r="ER157" s="72"/>
      <c r="ES157" s="100"/>
      <c r="ET157" s="72"/>
      <c r="EU157" s="100"/>
      <c r="EV157" s="72"/>
      <c r="EW157" s="100"/>
      <c r="EX157" s="72"/>
      <c r="EY157" s="72"/>
      <c r="EZ157" s="309"/>
      <c r="FA157" s="72"/>
      <c r="FB157" s="100"/>
      <c r="FC157" s="72"/>
      <c r="FD157" s="100"/>
      <c r="FE157" s="72"/>
      <c r="FF157" s="100"/>
      <c r="FG157" s="72"/>
      <c r="FH157" s="100"/>
      <c r="FI157" s="72"/>
      <c r="FJ157" s="100"/>
      <c r="FK157" s="72"/>
      <c r="FL157" s="100"/>
      <c r="FM157" s="72"/>
      <c r="FN157" s="75"/>
      <c r="FO157" s="72"/>
      <c r="FP157" s="100"/>
      <c r="FQ157" s="72"/>
      <c r="FR157" s="100"/>
      <c r="FS157" s="72"/>
      <c r="FT157" s="100"/>
      <c r="FU157" s="72"/>
      <c r="FV157" s="100"/>
      <c r="FW157" s="72"/>
      <c r="FX157" s="100"/>
      <c r="FY157" s="72"/>
      <c r="FZ157" s="100"/>
      <c r="GA157" s="72"/>
      <c r="GB157" s="100"/>
      <c r="GC157" s="72"/>
      <c r="GD157" s="100"/>
      <c r="GE157" s="72"/>
      <c r="GF157" s="100"/>
      <c r="GG157" s="72"/>
      <c r="GH157" s="100"/>
      <c r="GI157" s="72"/>
      <c r="GJ157" s="100"/>
      <c r="GK157" s="72"/>
      <c r="GL157" s="100"/>
      <c r="GM157" s="72"/>
      <c r="GN157" s="100"/>
      <c r="GO157" s="72"/>
      <c r="GP157" s="100"/>
      <c r="GQ157" s="72"/>
      <c r="GR157" s="100"/>
      <c r="GS157" s="72"/>
      <c r="GT157" s="100"/>
      <c r="GU157" s="72"/>
      <c r="GV157" s="100"/>
      <c r="GW157" s="72"/>
      <c r="GX157" s="100"/>
      <c r="GY157" s="72"/>
      <c r="GZ157" s="72"/>
      <c r="HA157" s="72"/>
      <c r="HB157" s="72"/>
      <c r="HC157"/>
      <c r="HD157"/>
      <c r="HE157"/>
      <c r="HF157"/>
      <c r="HG157"/>
      <c r="HH157"/>
      <c r="HI157" s="2"/>
    </row>
    <row r="158" spans="2:217" s="3" customFormat="1" ht="12.75" customHeight="1" x14ac:dyDescent="0.2">
      <c r="B158" s="10" t="s">
        <v>497</v>
      </c>
      <c r="C158" s="73"/>
      <c r="D158" s="72"/>
      <c r="E158" s="73"/>
      <c r="F158" s="72"/>
      <c r="G158" s="73"/>
      <c r="H158" s="72"/>
      <c r="I158" s="73"/>
      <c r="J158" s="72"/>
      <c r="K158" s="73"/>
      <c r="L158" s="72"/>
      <c r="M158" s="73"/>
      <c r="N158" s="72"/>
      <c r="O158" s="73"/>
      <c r="P158" s="72"/>
      <c r="Q158" s="73"/>
      <c r="R158" s="72"/>
      <c r="S158" s="73"/>
      <c r="T158" s="72"/>
      <c r="U158" s="73"/>
      <c r="V158" s="72"/>
      <c r="W158" s="73"/>
      <c r="X158" s="72"/>
      <c r="Y158" s="73"/>
      <c r="Z158" s="72"/>
      <c r="AA158" s="73"/>
      <c r="AB158" s="72"/>
      <c r="AC158" s="73"/>
      <c r="AD158" s="72"/>
      <c r="AE158" s="73"/>
      <c r="AF158" s="72"/>
      <c r="AG158" s="73"/>
      <c r="AH158" s="72"/>
      <c r="AI158" s="81">
        <f>AI150/AI149*400</f>
        <v>14.560481298046247</v>
      </c>
      <c r="AJ158" s="72"/>
      <c r="AK158" s="81">
        <f>AK150/AK149*400</f>
        <v>602.36315408729195</v>
      </c>
      <c r="AL158" s="72"/>
      <c r="AM158" s="81">
        <f>AM150/AM149*400</f>
        <v>19.733844564229607</v>
      </c>
      <c r="AN158" s="72"/>
      <c r="AO158" s="81">
        <f>AO150/AO149*400</f>
        <v>16.717340377809901</v>
      </c>
      <c r="AP158" s="72"/>
      <c r="AQ158" s="81">
        <f>AQ150/AQ149*400</f>
        <v>18.042459858626074</v>
      </c>
      <c r="AR158" s="72"/>
      <c r="AS158" s="81">
        <f>AS150/AS149*400</f>
        <v>12.711046504700512</v>
      </c>
      <c r="AT158" s="72"/>
      <c r="AU158" s="81">
        <f>AU150/AU149*400</f>
        <v>16.448887274261406</v>
      </c>
      <c r="AV158" s="72"/>
      <c r="AW158" s="81">
        <f>AW150/AW149*400</f>
        <v>13.792635022697173</v>
      </c>
      <c r="AX158" s="72"/>
      <c r="AY158" s="81">
        <f>AY150/AY149*400</f>
        <v>24.35254850936245</v>
      </c>
      <c r="AZ158" s="72"/>
      <c r="BA158" s="81">
        <f>BA150/BA149*400</f>
        <v>18.019901147473163</v>
      </c>
      <c r="BB158" s="72"/>
      <c r="BC158" s="81">
        <f>BC150/BC149*400</f>
        <v>12.733648688508472</v>
      </c>
      <c r="BD158" s="72"/>
      <c r="BE158" s="81">
        <f>BE150/BE149*400</f>
        <v>15.950473415877639</v>
      </c>
      <c r="BF158" s="72"/>
      <c r="BG158" s="81">
        <f>BG150/BG149*400</f>
        <v>16.434363132505389</v>
      </c>
      <c r="BH158" s="72"/>
      <c r="BI158" s="81">
        <f>BI150/BI149*400</f>
        <v>12.905040278028887</v>
      </c>
      <c r="BJ158" s="72"/>
      <c r="BK158" s="81">
        <f>BK150/BK149*400</f>
        <v>12.376841963607701</v>
      </c>
      <c r="BL158" s="72"/>
      <c r="BM158" s="81">
        <f>BM150/BM149*400</f>
        <v>16.128635145500517</v>
      </c>
      <c r="BN158" s="72"/>
      <c r="BO158" s="81">
        <f>BO150/BO149*400</f>
        <v>16.350541928123217</v>
      </c>
      <c r="BP158" s="72"/>
      <c r="BQ158" s="81">
        <f>BQ150/BQ149*400</f>
        <v>16.925088735288625</v>
      </c>
      <c r="BR158" s="72"/>
      <c r="BS158" s="81">
        <f>BS150/BS149*400</f>
        <v>12.256236145795336</v>
      </c>
      <c r="BT158" s="72"/>
      <c r="BU158" s="81">
        <f>BU150/BU149*400</f>
        <v>26.075271492987468</v>
      </c>
      <c r="BV158" s="72"/>
      <c r="BW158" s="81">
        <f>BW150/BW149*400</f>
        <v>42.066213479315806</v>
      </c>
      <c r="BX158" s="72"/>
      <c r="BY158" s="81">
        <f>BY150/BY149*400</f>
        <v>15.231159271331943</v>
      </c>
      <c r="BZ158" s="72"/>
      <c r="CA158" s="81">
        <f>CA150/CA149*400</f>
        <v>17.265434880576834</v>
      </c>
      <c r="CB158" s="72"/>
      <c r="CC158" s="81">
        <f>CC150/CC149*400</f>
        <v>13.20674135155557</v>
      </c>
      <c r="CD158" s="72"/>
      <c r="CE158" s="81">
        <f>CE150/CE149*400</f>
        <v>17.745063120819975</v>
      </c>
      <c r="CF158" s="72"/>
      <c r="CG158" s="81">
        <f>CG150/CG149*400</f>
        <v>12.31290079071576</v>
      </c>
      <c r="CH158" s="72"/>
      <c r="CI158" s="81">
        <f>CI150/CI149*400</f>
        <v>16.792356362241964</v>
      </c>
      <c r="CJ158" s="72"/>
      <c r="CK158" s="81">
        <f>CK150/CK149*400</f>
        <v>12.921448006624866</v>
      </c>
      <c r="CL158" s="72"/>
      <c r="CM158" s="81">
        <f>CM150/CM149*400</f>
        <v>13.722728977517992</v>
      </c>
      <c r="CN158" s="72"/>
      <c r="CO158" s="81">
        <f>CO150/CO149*400</f>
        <v>11.311370969399288</v>
      </c>
      <c r="CP158" s="72"/>
      <c r="CQ158" s="81">
        <f>CQ150/CQ149*400</f>
        <v>10.822758902988129</v>
      </c>
      <c r="CR158" s="72"/>
      <c r="CS158" s="81">
        <f>CS150/CS149*400</f>
        <v>11.562020298365102</v>
      </c>
      <c r="CT158" s="72"/>
      <c r="CU158" s="81">
        <f>CU150/CU149*400</f>
        <v>13.328551961557771</v>
      </c>
      <c r="CV158" s="72"/>
      <c r="CW158" s="81">
        <f>CW150/CW149*400</f>
        <v>11.954161557904253</v>
      </c>
      <c r="CX158" s="72"/>
      <c r="CY158" s="81">
        <f>CY150/CY149*400</f>
        <v>9.7693198974755102</v>
      </c>
      <c r="CZ158" s="72"/>
      <c r="DA158" s="81">
        <f>DA150/DA149*400</f>
        <v>10.625178651639512</v>
      </c>
      <c r="DB158" s="72"/>
      <c r="DC158" s="81">
        <f>DC150/DC149*400</f>
        <v>15.306761901553182</v>
      </c>
      <c r="DD158" s="72"/>
      <c r="DE158" s="81">
        <f>DE150/DE149*400</f>
        <v>9.4564522317431905</v>
      </c>
      <c r="DF158" s="72"/>
      <c r="DG158" s="81">
        <f>DG150/DG149*400</f>
        <v>13.833064955812805</v>
      </c>
      <c r="DH158" s="72"/>
      <c r="DI158" s="81">
        <f>DI150/DI149*400</f>
        <v>14.140925473500882</v>
      </c>
      <c r="DJ158" s="72"/>
      <c r="DK158" s="81">
        <f>DK150/DK149*400</f>
        <v>19.796889949395396</v>
      </c>
      <c r="DL158" s="72"/>
      <c r="DM158" s="81">
        <f>DM150/DM149*400</f>
        <v>10.166713443727197</v>
      </c>
      <c r="DN158" s="72">
        <f t="shared" ref="DN158:DZ161" si="971">IF(ISERROR(DM158/DE158),"NA",IF(OR(DM158/DE158&gt;2,DM158/DE158&lt;0.5),"NM",DM158/DE158*100-100))</f>
        <v>7.5108634250783552</v>
      </c>
      <c r="DO158" s="81">
        <f>DO150/DO149*400</f>
        <v>11.433166094824786</v>
      </c>
      <c r="DP158" s="72">
        <f t="shared" si="971"/>
        <v>-17.349003049245098</v>
      </c>
      <c r="DQ158" s="81">
        <f>DQ150/DQ149*400</f>
        <v>12.471819868723516</v>
      </c>
      <c r="DR158" s="72">
        <f t="shared" si="971"/>
        <v>-11.803368937239327</v>
      </c>
      <c r="DS158" s="81">
        <f>DS150/DS149*400</f>
        <v>13.711481248235573</v>
      </c>
      <c r="DT158" s="72">
        <f t="shared" si="971"/>
        <v>-30.739215688500977</v>
      </c>
      <c r="DU158" s="81">
        <f>DU150/DU149*400</f>
        <v>10.715139918679743</v>
      </c>
      <c r="DV158" s="72">
        <f t="shared" si="971"/>
        <v>5.39433395057398</v>
      </c>
      <c r="DW158" s="81">
        <f>DW150/DW149*400</f>
        <v>19.961124322721087</v>
      </c>
      <c r="DX158" s="72">
        <f t="shared" si="971"/>
        <v>74.589646972385651</v>
      </c>
      <c r="DY158" s="81">
        <f>DY150/DY149*400</f>
        <v>10.63978538330217</v>
      </c>
      <c r="DZ158" s="72">
        <f t="shared" si="971"/>
        <v>-14.689391802520106</v>
      </c>
      <c r="EA158" s="81">
        <f>EA150/EA149*400</f>
        <v>14.089679881033653</v>
      </c>
      <c r="EB158" s="72">
        <f>IF(ISERROR(EA158/DS158),"NA",IF(OR(EA158/DS158&gt;2,EA158/DS158&lt;0.5),"NM",EA158/DS158*100-100))</f>
        <v>2.7582624076209612</v>
      </c>
      <c r="EC158" s="81">
        <f>EC150/EC149*400</f>
        <v>9.8432598597560652</v>
      </c>
      <c r="ED158" s="72">
        <f>IF(ISERROR(EC158/DU158),"NA",IF(OR(EC158/DU158&gt;2,EC158/DU158&lt;0.5),"NM",EC158/DU158*100-100))</f>
        <v>-8.1368984963390574</v>
      </c>
      <c r="EE158" s="81">
        <f>EE150/EE149*400</f>
        <v>11.143927796419717</v>
      </c>
      <c r="EF158" s="72">
        <f>IF(ISERROR(EE158/DW158),"NA",IF(OR(EE158/DW158&gt;2,EE158/DW158&lt;0.5),"NM",EE158/DW158*100-100))</f>
        <v>-44.171843147457615</v>
      </c>
      <c r="EG158" s="81">
        <f>EG150/EG149*400</f>
        <v>10.311458728226821</v>
      </c>
      <c r="EH158" s="72">
        <f>IF(ISERROR(EG158/DY158),"NA",IF(OR(EG158/DY158&gt;2,EG158/DY158&lt;0.5),"NM",EG158/DY158*100-100))</f>
        <v>-3.0858390770796689</v>
      </c>
      <c r="EI158" s="81">
        <f>EI150/EI149*400</f>
        <v>13.285865030916854</v>
      </c>
      <c r="EJ158" s="72">
        <f>IF(ISERROR(EI158/EA158),"NA",IF(OR(EI158/EA158&gt;2,EI158/EA158&lt;0.5),"NM",EI158/EA158*100-100))</f>
        <v>-5.7049901552328919</v>
      </c>
      <c r="EK158" s="81">
        <f>EK150/EK149*400</f>
        <v>9.0703422053231932</v>
      </c>
      <c r="EL158" s="72">
        <f>IF(ISERROR(EK158/EC158),"NA",IF(OR(EK158/EC158&gt;2,EK158/EC158&lt;0.5),"NM",EK158/EC158*100-100))</f>
        <v>-7.8522528658714776</v>
      </c>
      <c r="EM158" s="81">
        <f>EM150/EM149*400</f>
        <v>20.840959153545597</v>
      </c>
      <c r="EN158" s="72">
        <f>IF(ISERROR(EM158/EE158),"NA",IF(OR(EM158/EE158&gt;2,EM158/EE158&lt;0.5),"NM",EM158/EE158*100-100))</f>
        <v>87.01627948667533</v>
      </c>
      <c r="EO158" s="81">
        <f>EO150/EO149*400</f>
        <v>12.015582268574294</v>
      </c>
      <c r="EP158" s="72">
        <f>IF(ISERROR(EO158/EG158),"NA",IF(OR(EO158/EG158&gt;2,EO158/EG158&lt;0.5),"NM",EO158/EG158*100-100))</f>
        <v>16.526503041539257</v>
      </c>
      <c r="EQ158" s="86">
        <f>EQ159+0.5</f>
        <v>13.5</v>
      </c>
      <c r="ER158" s="72">
        <f t="shared" ref="ER158:ER161" si="972">IF(ISERROR(EQ158/EI158),"NA",IF(OR(EQ158/EI158&gt;2,EQ158/EI158&lt;0.5),"NM",EQ158/EI158*100-100))</f>
        <v>1.6117502969121205</v>
      </c>
      <c r="ES158" s="86">
        <f>ES159+0.5</f>
        <v>11.5</v>
      </c>
      <c r="ET158" s="72">
        <f t="shared" ref="ET158:ET161" si="973">IF(ISERROR(ES158/EK158),"NA",IF(OR(ES158/EK158&gt;2,ES158/EK158&lt;0.5),"NM",ES158/EK158*100-100))</f>
        <v>26.786837141060587</v>
      </c>
      <c r="EU158" s="86">
        <v>10</v>
      </c>
      <c r="EV158" s="72" t="str">
        <f t="shared" ref="EV158:EV161" si="974">IF(ISERROR(EU158/EM158),"NA",IF(OR(EU158/EM158&gt;2,EU158/EM158&lt;0.5),"NM",EU158/EM158*100-100))</f>
        <v>NM</v>
      </c>
      <c r="EW158" s="86">
        <f>EW159+0.5</f>
        <v>11</v>
      </c>
      <c r="EX158" s="72">
        <f t="shared" ref="EX158:EX161" si="975">IF(ISERROR(EW158/EO158),"NA",IF(OR(EW158/EO158&gt;2,EW158/EO158&lt;0.5),"NM",EW158/EO158*100-100))</f>
        <v>-8.4522101873536428</v>
      </c>
      <c r="EY158" s="72"/>
      <c r="EZ158" s="306"/>
      <c r="FA158" s="72"/>
      <c r="FB158" s="81">
        <f>FB150/FB149*100</f>
        <v>27.845746180301067</v>
      </c>
      <c r="FC158" s="88"/>
      <c r="FD158" s="81">
        <f>FD150/FD149*100</f>
        <v>22.000278719747293</v>
      </c>
      <c r="FE158" s="88"/>
      <c r="FF158" s="81">
        <f>FF150/FF149*100</f>
        <v>21.091205211726386</v>
      </c>
      <c r="FG158" s="88"/>
      <c r="FH158" s="81">
        <f>FH150/FH149*100</f>
        <v>0</v>
      </c>
      <c r="FI158" s="88"/>
      <c r="FJ158" s="81">
        <f>FJ150/FJ149*100</f>
        <v>0</v>
      </c>
      <c r="FK158" s="88"/>
      <c r="FL158" s="81">
        <f>FL150/FL149*100</f>
        <v>0</v>
      </c>
      <c r="FM158" s="88"/>
      <c r="FN158" s="81">
        <f>FN150/FN149*100</f>
        <v>177.67615690802467</v>
      </c>
      <c r="FO158" s="88"/>
      <c r="FP158" s="81">
        <f>FP150/FP149*100</f>
        <v>15.503450906533478</v>
      </c>
      <c r="FQ158" s="88"/>
      <c r="FR158" s="81">
        <f>FR150/FR149*100</f>
        <v>18.279119760140293</v>
      </c>
      <c r="FS158" s="88"/>
      <c r="FT158" s="81">
        <f>FT150/FT149*100</f>
        <v>15.079544288206916</v>
      </c>
      <c r="FU158" s="88"/>
      <c r="FV158" s="81">
        <f>FV150/FV149*100</f>
        <v>16.882665430690246</v>
      </c>
      <c r="FW158" s="88"/>
      <c r="FX158" s="81">
        <f>FX150/FX149*100</f>
        <v>23.248912149832563</v>
      </c>
      <c r="FY158" s="88"/>
      <c r="FZ158" s="81">
        <f>FZ150/FZ149*100</f>
        <v>15.248723732636829</v>
      </c>
      <c r="GA158" s="88"/>
      <c r="GB158" s="81">
        <f>GB150/GB149*100</f>
        <v>11.903363455591489</v>
      </c>
      <c r="GC158" s="88"/>
      <c r="GD158" s="81">
        <f>GD150/GD149*100</f>
        <v>11.755002510220182</v>
      </c>
      <c r="GE158" s="88"/>
      <c r="GF158" s="81">
        <f>GF150/GF149*100</f>
        <v>13.932818975101918</v>
      </c>
      <c r="GG158" s="88"/>
      <c r="GH158" s="81">
        <f>GH150/GH149*100</f>
        <v>13.794653663934708</v>
      </c>
      <c r="GI158" s="72">
        <f t="shared" ref="GI158:GU160" si="976">IF(ISERROR(GH158/GF158),"NA",IF(OR(GH158/GF158&gt;2,GH158/GF158&lt;0.5),"NM",GH158/GF158*100-100))</f>
        <v>-0.99165367334573773</v>
      </c>
      <c r="GJ158" s="81">
        <f>GJ150/GJ149*100</f>
        <v>13.943842428717234</v>
      </c>
      <c r="GK158" s="72">
        <f t="shared" si="976"/>
        <v>1.0814969945390516</v>
      </c>
      <c r="GL158" s="81">
        <f>GL150/GL149*100</f>
        <v>11.60451098374797</v>
      </c>
      <c r="GM158" s="72">
        <f t="shared" si="976"/>
        <v>-16.77680637118668</v>
      </c>
      <c r="GN158" s="81">
        <f>GN150/GN149*100</f>
        <v>14.559521109259277</v>
      </c>
      <c r="GO158" s="72">
        <f t="shared" si="976"/>
        <v>25.464322707348686</v>
      </c>
      <c r="GP158" s="81">
        <f>GP150/GP149*100</f>
        <v>11.554054126414055</v>
      </c>
      <c r="GQ158" s="72">
        <f t="shared" si="976"/>
        <v>-20.642622516848192</v>
      </c>
      <c r="GR158" s="86">
        <f>GP158</f>
        <v>11.554054126414055</v>
      </c>
      <c r="GS158" s="72">
        <f t="shared" si="976"/>
        <v>0</v>
      </c>
      <c r="GT158" s="86">
        <f>GR158</f>
        <v>11.554054126414055</v>
      </c>
      <c r="GU158" s="72">
        <f t="shared" si="976"/>
        <v>0</v>
      </c>
      <c r="GV158" s="86">
        <f>GT158</f>
        <v>11.554054126414055</v>
      </c>
      <c r="GW158" s="72">
        <f>IF(ISERROR(GV158/GT158),"NA",IF(OR(GV158/GT158&gt;2,GV158/GT158&lt;0.5),"NM",GV158/GT158*100-100))</f>
        <v>0</v>
      </c>
      <c r="GX158" s="86">
        <f>GV158</f>
        <v>11.554054126414055</v>
      </c>
      <c r="GY158" s="72">
        <f>IF(ISERROR(GX158/GV158),"NA",IF(OR(GX158/GV158&gt;2,GX158/GV158&lt;0.5),"NM",GX158/GV158*100-100))</f>
        <v>0</v>
      </c>
      <c r="GZ158" s="72"/>
      <c r="HA158" s="72"/>
      <c r="HB158" s="72"/>
      <c r="HC158"/>
      <c r="HD158"/>
      <c r="HE158"/>
      <c r="HF158"/>
      <c r="HG158"/>
      <c r="HH158"/>
      <c r="HI158" s="2"/>
    </row>
    <row r="159" spans="2:217" s="3" customFormat="1" ht="12.75" customHeight="1" x14ac:dyDescent="0.2">
      <c r="B159" s="10" t="s">
        <v>138</v>
      </c>
      <c r="C159" s="73"/>
      <c r="D159" s="72"/>
      <c r="E159" s="73"/>
      <c r="F159" s="72"/>
      <c r="G159" s="73"/>
      <c r="H159" s="72"/>
      <c r="I159" s="73"/>
      <c r="J159" s="72"/>
      <c r="K159" s="73"/>
      <c r="L159" s="72"/>
      <c r="M159" s="73"/>
      <c r="N159" s="72"/>
      <c r="O159" s="73"/>
      <c r="P159" s="72"/>
      <c r="Q159" s="73"/>
      <c r="R159" s="72"/>
      <c r="S159" s="73"/>
      <c r="T159" s="72"/>
      <c r="U159" s="73"/>
      <c r="V159" s="72"/>
      <c r="W159" s="73"/>
      <c r="X159" s="72"/>
      <c r="Y159" s="73"/>
      <c r="Z159" s="72"/>
      <c r="AA159" s="73"/>
      <c r="AB159" s="72"/>
      <c r="AC159" s="73"/>
      <c r="AD159" s="72"/>
      <c r="AE159" s="73"/>
      <c r="AF159" s="72"/>
      <c r="AG159" s="73"/>
      <c r="AH159" s="72"/>
      <c r="AI159" s="81">
        <f>-AI151/AI149*400</f>
        <v>19.482847680106953</v>
      </c>
      <c r="AJ159" s="72"/>
      <c r="AK159" s="81">
        <f>-AK151/AK149*400</f>
        <v>41.704846877260671</v>
      </c>
      <c r="AL159" s="72"/>
      <c r="AM159" s="81">
        <f>-AM151/AM149*400</f>
        <v>19.654172216758582</v>
      </c>
      <c r="AN159" s="72"/>
      <c r="AO159" s="81">
        <f>-AO151/AO149*400</f>
        <v>20.325973184468925</v>
      </c>
      <c r="AP159" s="72"/>
      <c r="AQ159" s="81">
        <f>-AQ151/AQ149*400</f>
        <v>15.968339869592684</v>
      </c>
      <c r="AR159" s="72"/>
      <c r="AS159" s="81">
        <f>-AS151/AS149*400</f>
        <v>13.521274440883149</v>
      </c>
      <c r="AT159" s="72"/>
      <c r="AU159" s="81">
        <f>-AU151/AU149*400</f>
        <v>15.009785423820182</v>
      </c>
      <c r="AV159" s="72"/>
      <c r="AW159" s="81">
        <f>-AW151/AW149*400</f>
        <v>20.512356090879248</v>
      </c>
      <c r="AX159" s="72"/>
      <c r="AY159" s="81">
        <f>-AY151/AY149*400</f>
        <v>24.759857441873621</v>
      </c>
      <c r="AZ159" s="72"/>
      <c r="BA159" s="81">
        <f>-BA151/BA149*400</f>
        <v>14.858362183465065</v>
      </c>
      <c r="BB159" s="72"/>
      <c r="BC159" s="81">
        <f>-BC151/BC149*400</f>
        <v>14.298043414138546</v>
      </c>
      <c r="BD159" s="72"/>
      <c r="BE159" s="81">
        <f>-BE151/BE149*400</f>
        <v>16.426031446810331</v>
      </c>
      <c r="BF159" s="72"/>
      <c r="BG159" s="81">
        <f>-BG151/BG149*400</f>
        <v>14.094221492353483</v>
      </c>
      <c r="BH159" s="72"/>
      <c r="BI159" s="81">
        <f>-BI151/BI149*400</f>
        <v>12.868880451596054</v>
      </c>
      <c r="BJ159" s="72"/>
      <c r="BK159" s="81">
        <f>-BK151/BK149*400</f>
        <v>12.722886007324599</v>
      </c>
      <c r="BL159" s="72"/>
      <c r="BM159" s="81">
        <f>-BM151/BM149*400</f>
        <v>14.408954460658515</v>
      </c>
      <c r="BN159" s="72"/>
      <c r="BO159" s="81">
        <f>-BO151/BO149*400</f>
        <v>14.022390188248718</v>
      </c>
      <c r="BP159" s="72"/>
      <c r="BQ159" s="81">
        <f>-BQ151/BQ149*400</f>
        <v>16.312348215953669</v>
      </c>
      <c r="BR159" s="72"/>
      <c r="BS159" s="81">
        <f>-BS151/BS149*400</f>
        <v>10.785936754678863</v>
      </c>
      <c r="BT159" s="72"/>
      <c r="BU159" s="81">
        <f>-BU151/BU149*400</f>
        <v>15.404676348506415</v>
      </c>
      <c r="BV159" s="72"/>
      <c r="BW159" s="81">
        <f>-BW151/BW149*400</f>
        <v>16.968457358278691</v>
      </c>
      <c r="BX159" s="72"/>
      <c r="BY159" s="81">
        <f>-BY151/BY149*400</f>
        <v>14.890513806908839</v>
      </c>
      <c r="BZ159" s="72"/>
      <c r="CA159" s="81">
        <f>-CA151/CA149*400</f>
        <v>11.850383055430374</v>
      </c>
      <c r="CB159" s="72"/>
      <c r="CC159" s="81">
        <f>-CC151/CC149*400</f>
        <v>10.24015243601958</v>
      </c>
      <c r="CD159" s="72"/>
      <c r="CE159" s="81">
        <f>-CE151/CE149*400</f>
        <v>14.246705449364836</v>
      </c>
      <c r="CF159" s="72"/>
      <c r="CG159" s="81">
        <f>-CG151/CG149*400</f>
        <v>11.440597192463418</v>
      </c>
      <c r="CH159" s="72"/>
      <c r="CI159" s="81">
        <f>-CI151/CI149*400</f>
        <v>10.12015082763469</v>
      </c>
      <c r="CJ159" s="72"/>
      <c r="CK159" s="81">
        <f>-CK151/CK149*400</f>
        <v>15.929255885484444</v>
      </c>
      <c r="CL159" s="72"/>
      <c r="CM159" s="81">
        <f>-CM151/CM149*400</f>
        <v>13.946346054503126</v>
      </c>
      <c r="CN159" s="72"/>
      <c r="CO159" s="81">
        <f>-CO151/CO149*400</f>
        <v>11.547024531261773</v>
      </c>
      <c r="CP159" s="72"/>
      <c r="CQ159" s="81">
        <f>-CQ151/CQ149*400</f>
        <v>11.259380543048165</v>
      </c>
      <c r="CR159" s="72"/>
      <c r="CS159" s="81">
        <f>-CS151/CS149*400</f>
        <v>17.565090388828448</v>
      </c>
      <c r="CT159" s="72"/>
      <c r="CU159" s="81">
        <f>-CU151/CU149*400</f>
        <v>20.377250233091875</v>
      </c>
      <c r="CV159" s="72"/>
      <c r="CW159" s="81">
        <f>-CW151/CW149*400</f>
        <v>10.058154269783753</v>
      </c>
      <c r="CX159" s="72"/>
      <c r="CY159" s="81">
        <f>-CY151/CY149*400</f>
        <v>11.412520627786945</v>
      </c>
      <c r="CZ159" s="72"/>
      <c r="DA159" s="81">
        <f>-DA151/DA149*400</f>
        <v>11.940054718445015</v>
      </c>
      <c r="DB159" s="72"/>
      <c r="DC159" s="81">
        <f>-DC151/DC149*400</f>
        <v>12.603348943768742</v>
      </c>
      <c r="DD159" s="72"/>
      <c r="DE159" s="81">
        <f>-DE151/DE149*400</f>
        <v>9.2646118429466675</v>
      </c>
      <c r="DF159" s="72"/>
      <c r="DG159" s="81">
        <f>-DG151/DG149*400</f>
        <v>11.73338066921097</v>
      </c>
      <c r="DH159" s="72"/>
      <c r="DI159" s="81">
        <f>-DI151/DI149*400</f>
        <v>13.995791103263105</v>
      </c>
      <c r="DJ159" s="72"/>
      <c r="DK159" s="81">
        <f>-DK151/DK149*400</f>
        <v>13.83960991804129</v>
      </c>
      <c r="DL159" s="72"/>
      <c r="DM159" s="81">
        <f>-DM151/DM149*400</f>
        <v>13.619983160258208</v>
      </c>
      <c r="DN159" s="72">
        <f t="shared" si="971"/>
        <v>47.010834249115049</v>
      </c>
      <c r="DO159" s="81">
        <f>-DO151/DO149*400</f>
        <v>9.2985345060222375</v>
      </c>
      <c r="DP159" s="72">
        <f t="shared" si="971"/>
        <v>-20.75144608218416</v>
      </c>
      <c r="DQ159" s="81">
        <f>-DQ151/DQ149*400</f>
        <v>13.982884205278756</v>
      </c>
      <c r="DR159" s="72">
        <f t="shared" si="971"/>
        <v>-9.2219853019528841E-2</v>
      </c>
      <c r="DS159" s="81">
        <f>-DS151/DS149*400</f>
        <v>13.526895263740798</v>
      </c>
      <c r="DT159" s="72">
        <f t="shared" si="971"/>
        <v>-2.2595626332851992</v>
      </c>
      <c r="DU159" s="81">
        <f>-DU151/DU149*400</f>
        <v>9.9561508411065933</v>
      </c>
      <c r="DV159" s="72">
        <f t="shared" si="971"/>
        <v>-26.900417394364496</v>
      </c>
      <c r="DW159" s="81">
        <f>-DW151/DW149*400</f>
        <v>10.74536431382311</v>
      </c>
      <c r="DX159" s="72">
        <f t="shared" si="971"/>
        <v>15.559761668506241</v>
      </c>
      <c r="DY159" s="81">
        <f>-DY151/DY149*400</f>
        <v>12.085738286860147</v>
      </c>
      <c r="DZ159" s="72">
        <f t="shared" si="971"/>
        <v>-13.567629471625082</v>
      </c>
      <c r="EA159" s="81">
        <f>-EA151/EA149*400</f>
        <v>11.189610554558877</v>
      </c>
      <c r="EB159" s="72">
        <f>IF(ISERROR(EA159/DS159),"NA",IF(OR(EA159/DS159&gt;2,EA159/DS159&lt;0.5),"NM",EA159/DS159*100-100))</f>
        <v>-17.278796528033112</v>
      </c>
      <c r="EC159" s="81">
        <f>-EC151/EC149*400</f>
        <v>9.4536351877163494</v>
      </c>
      <c r="ED159" s="72">
        <f>IF(ISERROR(EC159/DU159),"NA",IF(OR(EC159/DU159&gt;2,EC159/DU159&lt;0.5),"NM",EC159/DU159*100-100))</f>
        <v>-5.0472884693095921</v>
      </c>
      <c r="EE159" s="81">
        <f>-EE151/EE149*400</f>
        <v>10.335709536253846</v>
      </c>
      <c r="EF159" s="72">
        <f>IF(ISERROR(EE159/DW159),"NA",IF(OR(EE159/DW159&gt;2,EE159/DW159&lt;0.5),"NM",EE159/DW159*100-100))</f>
        <v>-3.8123861193079591</v>
      </c>
      <c r="EG159" s="81">
        <f>-EG151/EG149*400</f>
        <v>10.604760669606335</v>
      </c>
      <c r="EH159" s="72">
        <f>IF(ISERROR(EG159/DY159),"NA",IF(OR(EG159/DY159&gt;2,EG159/DY159&lt;0.5),"NM",EG159/DY159*100-100))</f>
        <v>-12.253927580609286</v>
      </c>
      <c r="EI159" s="81">
        <f>-EI151/EI149*400</f>
        <v>13.195136142641593</v>
      </c>
      <c r="EJ159" s="72">
        <f>IF(ISERROR(EI159/EA159),"NA",IF(OR(EI159/EA159&gt;2,EI159/EA159&lt;0.5),"NM",EI159/EA159*100-100))</f>
        <v>17.923104457515038</v>
      </c>
      <c r="EK159" s="81">
        <f>-EK151/EK149*400</f>
        <v>11</v>
      </c>
      <c r="EL159" s="72">
        <f>IF(ISERROR(EK159/EC159),"NA",IF(OR(EK159/EC159&gt;2,EK159/EC159&lt;0.5),"NM",EK159/EC159*100-100))</f>
        <v>16.357356525592735</v>
      </c>
      <c r="EM159" s="81">
        <f>-EM151/EM149*400</f>
        <v>9.5598679277794076</v>
      </c>
      <c r="EN159" s="72">
        <f>IF(ISERROR(EM159/EE159),"NA",IF(OR(EM159/EE159&gt;2,EM159/EE159&lt;0.5),"NM",EM159/EE159*100-100))</f>
        <v>-7.5064184587722167</v>
      </c>
      <c r="EO159" s="81">
        <f>-EO151/EO149*400</f>
        <v>12.668067781109576</v>
      </c>
      <c r="EP159" s="72">
        <f>IF(ISERROR(EO159/EG159),"NA",IF(OR(EO159/EG159&gt;2,EO159/EG159&lt;0.5),"NM",EO159/EG159*100-100))</f>
        <v>19.456423164897643</v>
      </c>
      <c r="EQ159" s="86">
        <v>13</v>
      </c>
      <c r="ER159" s="72">
        <f t="shared" si="972"/>
        <v>-1.4788490284006031</v>
      </c>
      <c r="ES159" s="86">
        <v>11</v>
      </c>
      <c r="ET159" s="72">
        <f t="shared" si="973"/>
        <v>0</v>
      </c>
      <c r="EU159" s="86">
        <v>9.5</v>
      </c>
      <c r="EV159" s="72">
        <f t="shared" si="974"/>
        <v>-0.62624220576773837</v>
      </c>
      <c r="EW159" s="86">
        <v>10.5</v>
      </c>
      <c r="EX159" s="72">
        <f t="shared" si="975"/>
        <v>-17.114431486880449</v>
      </c>
      <c r="EY159" s="72"/>
      <c r="EZ159" s="306"/>
      <c r="FA159" s="72"/>
      <c r="FB159" s="81">
        <f>-FB151/FB149*100</f>
        <v>14.574054236905903</v>
      </c>
      <c r="FC159" s="81"/>
      <c r="FD159" s="81">
        <f>-FD151/FD149*100</f>
        <v>15.26919682259488</v>
      </c>
      <c r="FE159" s="88"/>
      <c r="FF159" s="81">
        <f>-FF151/FF149*100</f>
        <v>15.266790755390103</v>
      </c>
      <c r="FG159" s="88"/>
      <c r="FH159" s="81">
        <f>-FH151/FH149*100</f>
        <v>0</v>
      </c>
      <c r="FI159" s="88"/>
      <c r="FJ159" s="81">
        <f>-FJ151/FJ149*100</f>
        <v>0</v>
      </c>
      <c r="FK159" s="88"/>
      <c r="FL159" s="81">
        <f>-FL151/FL149*100</f>
        <v>0</v>
      </c>
      <c r="FM159" s="88"/>
      <c r="FN159" s="81">
        <f>-FN151/FN149*100</f>
        <v>39.764820272857101</v>
      </c>
      <c r="FO159" s="88"/>
      <c r="FP159" s="81">
        <f>-FP151/FP149*100</f>
        <v>16.590575866302704</v>
      </c>
      <c r="FQ159" s="88"/>
      <c r="FR159" s="81">
        <f>-FR151/FR149*100</f>
        <v>18.090173672003168</v>
      </c>
      <c r="FS159" s="88"/>
      <c r="FT159" s="81">
        <f>-FT151/FT149*100</f>
        <v>14.11166991686339</v>
      </c>
      <c r="FU159" s="88"/>
      <c r="FV159" s="81">
        <f>-FV151/FV149*100</f>
        <v>13.415395037079293</v>
      </c>
      <c r="FW159" s="88"/>
      <c r="FX159" s="81">
        <f>-FX151/FX149*100</f>
        <v>14.475926928552809</v>
      </c>
      <c r="FY159" s="88"/>
      <c r="FZ159" s="81">
        <f>-FZ151/FZ149*100</f>
        <v>13.300091020618149</v>
      </c>
      <c r="GA159" s="88"/>
      <c r="GB159" s="81">
        <f>-GB151/GB149*100</f>
        <v>13.558554414668148</v>
      </c>
      <c r="GC159" s="88"/>
      <c r="GD159" s="81">
        <f>-GD151/GD149*100</f>
        <v>13.786846446245427</v>
      </c>
      <c r="GE159" s="88"/>
      <c r="GF159" s="81">
        <f>-GF151/GF149*100</f>
        <v>12.608065765978235</v>
      </c>
      <c r="GG159" s="88"/>
      <c r="GH159" s="81">
        <f>-GH151/GH149*100</f>
        <v>13.026362808497884</v>
      </c>
      <c r="GI159" s="72">
        <f t="shared" si="976"/>
        <v>3.3176940086114399</v>
      </c>
      <c r="GJ159" s="81">
        <f>-GJ151/GJ149*100</f>
        <v>11.704380116832072</v>
      </c>
      <c r="GK159" s="72">
        <f t="shared" si="976"/>
        <v>-10.148517365134367</v>
      </c>
      <c r="GL159" s="81">
        <f>-GL151/GL149*100</f>
        <v>10.651404258021497</v>
      </c>
      <c r="GM159" s="72">
        <f t="shared" si="976"/>
        <v>-8.9964256825211208</v>
      </c>
      <c r="GN159" s="81">
        <f>-GN151/GN149*100</f>
        <v>12.234100255421545</v>
      </c>
      <c r="GO159" s="72">
        <f t="shared" si="976"/>
        <v>14.85903603938543</v>
      </c>
      <c r="GP159" s="81">
        <f>-GP151/GP149*100</f>
        <v>11.051489976804428</v>
      </c>
      <c r="GQ159" s="72">
        <f t="shared" si="976"/>
        <v>-9.6665079893639358</v>
      </c>
      <c r="GR159" s="86">
        <f>GP159</f>
        <v>11.051489976804428</v>
      </c>
      <c r="GS159" s="72">
        <f t="shared" si="976"/>
        <v>0</v>
      </c>
      <c r="GT159" s="86">
        <f>GR159</f>
        <v>11.051489976804428</v>
      </c>
      <c r="GU159" s="72">
        <f t="shared" si="976"/>
        <v>0</v>
      </c>
      <c r="GV159" s="86">
        <f>GT159</f>
        <v>11.051489976804428</v>
      </c>
      <c r="GW159" s="72">
        <f>IF(ISERROR(GV159/GT159),"NA",IF(OR(GV159/GT159&gt;2,GV159/GT159&lt;0.5),"NM",GV159/GT159*100-100))</f>
        <v>0</v>
      </c>
      <c r="GX159" s="86">
        <f>GV159</f>
        <v>11.051489976804428</v>
      </c>
      <c r="GY159" s="72">
        <f>IF(ISERROR(GX159/GV159),"NA",IF(OR(GX159/GV159&gt;2,GX159/GV159&lt;0.5),"NM",GX159/GV159*100-100))</f>
        <v>0</v>
      </c>
      <c r="GZ159" s="72"/>
      <c r="HA159" s="72"/>
      <c r="HB159" s="72"/>
      <c r="HC159"/>
      <c r="HD159"/>
      <c r="HE159"/>
      <c r="HF159"/>
      <c r="HG159"/>
      <c r="HH159"/>
      <c r="HI159" s="2"/>
    </row>
    <row r="160" spans="2:217" s="3" customFormat="1" ht="12.75" customHeight="1" x14ac:dyDescent="0.2">
      <c r="B160" s="266" t="s">
        <v>281</v>
      </c>
      <c r="C160" s="73"/>
      <c r="D160" s="72"/>
      <c r="E160" s="73"/>
      <c r="F160" s="72"/>
      <c r="G160" s="73"/>
      <c r="H160" s="72"/>
      <c r="I160" s="73"/>
      <c r="J160" s="72"/>
      <c r="K160" s="73"/>
      <c r="L160" s="72"/>
      <c r="M160" s="73"/>
      <c r="N160" s="72"/>
      <c r="O160" s="73"/>
      <c r="P160" s="72"/>
      <c r="Q160" s="73"/>
      <c r="R160" s="72"/>
      <c r="S160" s="73"/>
      <c r="T160" s="72"/>
      <c r="U160" s="73"/>
      <c r="V160" s="72"/>
      <c r="W160" s="73"/>
      <c r="X160" s="72"/>
      <c r="Y160" s="73"/>
      <c r="Z160" s="72"/>
      <c r="AA160" s="73"/>
      <c r="AB160" s="72"/>
      <c r="AC160" s="73"/>
      <c r="AD160" s="72"/>
      <c r="AE160" s="73"/>
      <c r="AF160" s="72"/>
      <c r="AG160" s="73"/>
      <c r="AH160" s="72"/>
      <c r="AI160" s="81">
        <f>AI152/AI149*400</f>
        <v>8.1431740147670997</v>
      </c>
      <c r="AJ160" s="72"/>
      <c r="AK160" s="81">
        <f>AK152/AK149*400</f>
        <v>7.861104412828551</v>
      </c>
      <c r="AL160" s="72"/>
      <c r="AM160" s="81">
        <f>AM152/AM149*400</f>
        <v>-0.46309551967533513</v>
      </c>
      <c r="AN160" s="72"/>
      <c r="AO160" s="81">
        <f>AO152/AO149*400</f>
        <v>21.746498529631662</v>
      </c>
      <c r="AP160" s="72"/>
      <c r="AQ160" s="81">
        <f>AQ152/AQ149*400</f>
        <v>-1.9024686795961427</v>
      </c>
      <c r="AR160" s="72"/>
      <c r="AS160" s="81">
        <f>AS152/AS149*400</f>
        <v>7.501757479714513</v>
      </c>
      <c r="AT160" s="72"/>
      <c r="AU160" s="81">
        <f>AU152/AU149*400</f>
        <v>12.651908450621697</v>
      </c>
      <c r="AV160" s="72"/>
      <c r="AW160" s="81">
        <f>AW152/AW149*400</f>
        <v>6.9370705366947032</v>
      </c>
      <c r="AX160" s="72"/>
      <c r="AY160" s="81">
        <f>AY152/AY149*400</f>
        <v>16.10680545341404</v>
      </c>
      <c r="AZ160" s="72"/>
      <c r="BA160" s="81">
        <f>BA152/BA149*400</f>
        <v>-4.5419905502210023</v>
      </c>
      <c r="BB160" s="72"/>
      <c r="BC160" s="81">
        <f>BC152/BC149*400</f>
        <v>9.5480516075466753</v>
      </c>
      <c r="BD160" s="72"/>
      <c r="BE160" s="81">
        <f>BE152/BE149*400</f>
        <v>17.895548605458206</v>
      </c>
      <c r="BF160" s="72"/>
      <c r="BG160" s="81">
        <f>BG152/BG149*400</f>
        <v>6.3963871497485378</v>
      </c>
      <c r="BH160" s="72"/>
      <c r="BI160" s="81">
        <f>BI152/BI149*400</f>
        <v>17.943309427670304</v>
      </c>
      <c r="BJ160" s="72"/>
      <c r="BK160" s="81">
        <f>BK152/BK149*400</f>
        <v>6.3749002720290671</v>
      </c>
      <c r="BL160" s="72"/>
      <c r="BM160" s="81">
        <f>BM152/BM149*400</f>
        <v>23.245991988712227</v>
      </c>
      <c r="BN160" s="72"/>
      <c r="BO160" s="81">
        <f>BO152/BO149*400</f>
        <v>-20.62535653166001</v>
      </c>
      <c r="BP160" s="72"/>
      <c r="BQ160" s="81">
        <f>BQ152/BQ149*400</f>
        <v>-1.1470203624135997</v>
      </c>
      <c r="BR160" s="72"/>
      <c r="BS160" s="81">
        <f>BS152/BS149*400</f>
        <v>-25.616132139884208</v>
      </c>
      <c r="BT160" s="72"/>
      <c r="BU160" s="81">
        <f>BU152/BU149*400</f>
        <v>-13.557230024984325</v>
      </c>
      <c r="BV160" s="72"/>
      <c r="BW160" s="81">
        <f>BW152/BW149*400</f>
        <v>-15.388317391565904</v>
      </c>
      <c r="BX160" s="72"/>
      <c r="BY160" s="81">
        <f>BY152/BY149*400</f>
        <v>34.080208302743763</v>
      </c>
      <c r="BZ160" s="72"/>
      <c r="CA160" s="81">
        <f>CA152/CA149*400</f>
        <v>33.543037404236145</v>
      </c>
      <c r="CB160" s="72"/>
      <c r="CC160" s="81">
        <f>CC152/CC149*400</f>
        <v>12.109464831301949</v>
      </c>
      <c r="CD160" s="72"/>
      <c r="CE160" s="81">
        <f>CE152/CE149*400</f>
        <v>11.704460010289287</v>
      </c>
      <c r="CF160" s="72"/>
      <c r="CG160" s="81">
        <f>CG152/CG149*400</f>
        <v>-19.083928721205975</v>
      </c>
      <c r="CH160" s="72"/>
      <c r="CI160" s="81">
        <f>CI152/CI149*400</f>
        <v>25.512877867961908</v>
      </c>
      <c r="CJ160" s="72"/>
      <c r="CK160" s="81">
        <f>CK152/CK149*400</f>
        <v>20.945226546788124</v>
      </c>
      <c r="CL160" s="72"/>
      <c r="CM160" s="81">
        <f>CM152/CM149*400</f>
        <v>13.425516406841551</v>
      </c>
      <c r="CN160" s="72"/>
      <c r="CO160" s="81">
        <f>CO152/CO149*400</f>
        <v>1.8879686525959567</v>
      </c>
      <c r="CP160" s="72"/>
      <c r="CQ160" s="81">
        <f>CQ152/CQ149*400</f>
        <v>-33.352435530085963</v>
      </c>
      <c r="CR160" s="72"/>
      <c r="CS160" s="81">
        <f>CS152/CS149*400</f>
        <v>21.59793737611589</v>
      </c>
      <c r="CT160" s="72"/>
      <c r="CU160" s="81">
        <f>CU152/CU149*400</f>
        <v>25.871046403213082</v>
      </c>
      <c r="CV160" s="72"/>
      <c r="CW160" s="81">
        <f>CW152/CW149*400</f>
        <v>-11.721270489276737</v>
      </c>
      <c r="CX160" s="72"/>
      <c r="CY160" s="81">
        <f>CY152/CY149*400</f>
        <v>14.364664162072959</v>
      </c>
      <c r="CZ160" s="72"/>
      <c r="DA160" s="81">
        <f>DA152/DA149*400</f>
        <v>5.3193951025630559</v>
      </c>
      <c r="DB160" s="72"/>
      <c r="DC160" s="81">
        <f>DC152/DC149*400</f>
        <v>18.791819682625249</v>
      </c>
      <c r="DD160" s="72"/>
      <c r="DE160" s="81">
        <f>DE152/DE149*400</f>
        <v>3.2817495843458242</v>
      </c>
      <c r="DF160" s="72"/>
      <c r="DG160" s="81">
        <f>DG152/DG149*400</f>
        <v>17.238712295071572</v>
      </c>
      <c r="DH160" s="72"/>
      <c r="DI160" s="81">
        <f>DI152/DI149*400</f>
        <v>19.53992404634624</v>
      </c>
      <c r="DJ160" s="72"/>
      <c r="DK160" s="81">
        <f>DK152/DK149*400</f>
        <v>4.7584465885119478</v>
      </c>
      <c r="DL160" s="72"/>
      <c r="DM160" s="81">
        <f>DM152/DM149*400</f>
        <v>11.14790906539433</v>
      </c>
      <c r="DN160" s="72" t="str">
        <f t="shared" si="971"/>
        <v>NM</v>
      </c>
      <c r="DO160" s="81">
        <f>DO152/DO149*400</f>
        <v>-4.4300764964725712</v>
      </c>
      <c r="DP160" s="72" t="str">
        <f t="shared" si="971"/>
        <v>NM</v>
      </c>
      <c r="DQ160" s="81">
        <f>DQ152/DQ149*400</f>
        <v>9.6225108704683304</v>
      </c>
      <c r="DR160" s="72" t="str">
        <f t="shared" si="971"/>
        <v>NM</v>
      </c>
      <c r="DS160" s="81">
        <f>DS152/DS149*400</f>
        <v>8.3910616951508175</v>
      </c>
      <c r="DT160" s="72">
        <f t="shared" si="971"/>
        <v>76.340356859503032</v>
      </c>
      <c r="DU160" s="81">
        <f>DU152/DU149*400</f>
        <v>0.64843604666613519</v>
      </c>
      <c r="DV160" s="72" t="str">
        <f t="shared" si="971"/>
        <v>NM</v>
      </c>
      <c r="DW160" s="81">
        <f>DW152/DW149*400</f>
        <v>-18.308643217677311</v>
      </c>
      <c r="DX160" s="72" t="str">
        <f t="shared" si="971"/>
        <v>NM</v>
      </c>
      <c r="DY160" s="81">
        <f>DY152/DY149*400</f>
        <v>11.084193696989404</v>
      </c>
      <c r="DZ160" s="72">
        <f t="shared" si="971"/>
        <v>15.190243442665334</v>
      </c>
      <c r="EA160" s="81">
        <f>EA152/EA149*400</f>
        <v>1.3166738109980365</v>
      </c>
      <c r="EB160" s="72" t="str">
        <f>IF(ISERROR(EA160/DS160),"NA",IF(OR(EA160/DS160&gt;2,EA160/DS160&lt;0.5),"NM",EA160/DS160*100-100))</f>
        <v>NM</v>
      </c>
      <c r="EC160" s="81">
        <f>EC152/EC149*400</f>
        <v>6.0077610720962751</v>
      </c>
      <c r="ED160" s="72" t="str">
        <f>IF(ISERROR(EC160/DU160),"NA",IF(OR(EC160/DU160&gt;2,EC160/DU160&lt;0.5),"NM",EC160/DU160*100-100))</f>
        <v>NM</v>
      </c>
      <c r="EE160" s="81">
        <f>EE152/EE149*400</f>
        <v>12.529444813846924</v>
      </c>
      <c r="EF160" s="72" t="str">
        <f>IF(ISERROR(EE160/DW160),"NA",IF(OR(EE160/DW160&gt;2,EE160/DW160&lt;0.5),"NM",EE160/DW160*100-100))</f>
        <v>NM</v>
      </c>
      <c r="EG160" s="81">
        <f>EG152/EG149*400</f>
        <v>4.9342564696023468</v>
      </c>
      <c r="EH160" s="72" t="str">
        <f>IF(ISERROR(EG160/DY160),"NA",IF(OR(EG160/DY160&gt;2,EG160/DY160&lt;0.5),"NM",EG160/DY160*100-100))</f>
        <v>NM</v>
      </c>
      <c r="EI160" s="81">
        <f>EI152/EI149*400</f>
        <v>14.895316614234574</v>
      </c>
      <c r="EJ160" s="72" t="str">
        <f>IF(ISERROR(EI160/EA160),"NA",IF(OR(EI160/EA160&gt;2,EI160/EA160&lt;0.5),"NM",EI160/EA160*100-100))</f>
        <v>NM</v>
      </c>
      <c r="EK160" s="81">
        <f>EK152/EK149*400</f>
        <v>10.163498098859316</v>
      </c>
      <c r="EL160" s="72">
        <f>IF(ISERROR(EK160/EC160),"NA",IF(OR(EK160/EC160&gt;2,EK160/EC160&lt;0.5),"NM",EK160/EC160*100-100))</f>
        <v>69.172807921154373</v>
      </c>
      <c r="EM160" s="81">
        <f>EM152/EM149*400</f>
        <v>12.389454713106165</v>
      </c>
      <c r="EN160" s="72">
        <f>IF(ISERROR(EM160/EE160),"NA",IF(OR(EM160/EE160&gt;2,EM160/EE160&lt;0.5),"NM",EM160/EE160*100-100))</f>
        <v>-1.1172889367456236</v>
      </c>
      <c r="EO160" s="81">
        <f>EO152/EO149*400</f>
        <v>13.276585267193697</v>
      </c>
      <c r="EP160" s="72" t="str">
        <f>IF(ISERROR(EO160/EG160),"NA",IF(OR(EO160/EG160&gt;2,EO160/EG160&lt;0.5),"NM",EO160/EG160*100-100))</f>
        <v>NM</v>
      </c>
      <c r="EQ160" s="81">
        <f t="shared" ref="EQ160" si="977">EQ152/EQ149*400</f>
        <v>-2.6117872656774486</v>
      </c>
      <c r="ER160" s="72" t="str">
        <f t="shared" si="972"/>
        <v>NM</v>
      </c>
      <c r="ES160" s="81">
        <f t="shared" ref="ES160" si="978">ES152/ES149*400</f>
        <v>4.3529787761290812</v>
      </c>
      <c r="ET160" s="72" t="str">
        <f t="shared" si="973"/>
        <v>NM</v>
      </c>
      <c r="EU160" s="81">
        <f t="shared" ref="EU160" si="979">EU152/EU149*400</f>
        <v>4.3529787761290812</v>
      </c>
      <c r="EV160" s="72" t="str">
        <f t="shared" si="974"/>
        <v>NM</v>
      </c>
      <c r="EW160" s="81">
        <f t="shared" ref="EW160" si="980">EW152/EW149*400</f>
        <v>4.3529787761290812</v>
      </c>
      <c r="EX160" s="72" t="str">
        <f t="shared" si="975"/>
        <v>NM</v>
      </c>
      <c r="EY160" s="72"/>
      <c r="EZ160" s="306"/>
      <c r="FA160" s="72"/>
      <c r="FB160" s="81">
        <f>FB152/FB149*100</f>
        <v>8.0960703613914422</v>
      </c>
      <c r="FC160" s="88"/>
      <c r="FD160" s="81">
        <f>FD152/FD149*100</f>
        <v>13.062665489849955</v>
      </c>
      <c r="FE160" s="88"/>
      <c r="FF160" s="81">
        <f>FF152/FF149*100</f>
        <v>-4.8239491236233913</v>
      </c>
      <c r="FG160" s="88"/>
      <c r="FH160" s="81">
        <f>FH152/FH149*100</f>
        <v>0</v>
      </c>
      <c r="FI160" s="88"/>
      <c r="FJ160" s="81">
        <f>FJ152/FJ149*100</f>
        <v>0</v>
      </c>
      <c r="FK160" s="88"/>
      <c r="FL160" s="81">
        <f>FL152/FL149*100</f>
        <v>0</v>
      </c>
      <c r="FM160" s="88"/>
      <c r="FN160" s="81">
        <f>FN152/FN149*100</f>
        <v>16.991279511409559</v>
      </c>
      <c r="FO160" s="88"/>
      <c r="FP160" s="81">
        <f>FP152/FP149*100</f>
        <v>6.4440762417899418</v>
      </c>
      <c r="FQ160" s="88"/>
      <c r="FR160" s="81">
        <f>FR152/FR149*100</f>
        <v>10.044690841206087</v>
      </c>
      <c r="FS160" s="88"/>
      <c r="FT160" s="81">
        <f>FT152/FT149*100</f>
        <v>14.183516370727704</v>
      </c>
      <c r="FU160" s="88"/>
      <c r="FV160" s="81">
        <f>FV152/FV149*100</f>
        <v>-14.567883628066172</v>
      </c>
      <c r="FW160" s="88"/>
      <c r="FX160" s="81">
        <f>FX152/FX149*100</f>
        <v>17.903908239587722</v>
      </c>
      <c r="FY160" s="88"/>
      <c r="FZ160" s="81">
        <f>FZ152/FZ149*100</f>
        <v>9.8982943527642568</v>
      </c>
      <c r="GA160" s="88"/>
      <c r="GB160" s="81">
        <f>GB152/GB149*100</f>
        <v>0.32268793387727951</v>
      </c>
      <c r="GC160" s="88"/>
      <c r="GD160" s="81">
        <f>GD152/GD149*100</f>
        <v>8.4687656888761378</v>
      </c>
      <c r="GE160" s="88"/>
      <c r="GF160" s="81">
        <f>GF152/GF149*100</f>
        <v>15.586402075401773</v>
      </c>
      <c r="GG160" s="88"/>
      <c r="GH160" s="81">
        <f>GH152/GH149*100</f>
        <v>5.3953268550218443</v>
      </c>
      <c r="GI160" s="72" t="str">
        <f t="shared" si="976"/>
        <v>NM</v>
      </c>
      <c r="GJ160" s="81">
        <f>GJ152/GJ149*100</f>
        <v>0.34745597081369844</v>
      </c>
      <c r="GK160" s="72" t="str">
        <f t="shared" si="976"/>
        <v>NM</v>
      </c>
      <c r="GL160" s="81">
        <f>GL152/GL149*100</f>
        <v>6.3716851625467683</v>
      </c>
      <c r="GM160" s="72" t="str">
        <f t="shared" si="976"/>
        <v>NM</v>
      </c>
      <c r="GN160" s="81">
        <f>GN152/GN149*100</f>
        <v>13.361801165668977</v>
      </c>
      <c r="GO160" s="72" t="str">
        <f t="shared" si="976"/>
        <v>NM</v>
      </c>
      <c r="GP160" s="81">
        <f>GP152/GP149*100</f>
        <v>2.6341106433364909</v>
      </c>
      <c r="GQ160" s="72" t="str">
        <f t="shared" si="976"/>
        <v>NM</v>
      </c>
      <c r="GR160" s="81">
        <f>GR152/GR149*100</f>
        <v>4</v>
      </c>
      <c r="GS160" s="72">
        <f t="shared" si="976"/>
        <v>51.853909786166298</v>
      </c>
      <c r="GT160" s="81">
        <f>GT152/GT149*100</f>
        <v>4</v>
      </c>
      <c r="GU160" s="72">
        <f t="shared" si="976"/>
        <v>0</v>
      </c>
      <c r="GV160" s="81">
        <f>GV152/GV149*100</f>
        <v>4</v>
      </c>
      <c r="GW160" s="72">
        <f>IF(ISERROR(GV160/GT160),"NA",IF(OR(GV160/GT160&gt;2,GV160/GT160&lt;0.5),"NM",GV160/GT160*100-100))</f>
        <v>0</v>
      </c>
      <c r="GX160" s="81">
        <f>GX152/GX149*100</f>
        <v>4</v>
      </c>
      <c r="GY160" s="72">
        <f>IF(ISERROR(GX160/GV160),"NA",IF(OR(GX160/GV160&gt;2,GX160/GV160&lt;0.5),"NM",GX160/GV160*100-100))</f>
        <v>0</v>
      </c>
      <c r="GZ160" s="72"/>
      <c r="HA160" s="72"/>
      <c r="HB160" s="72"/>
      <c r="HC160"/>
      <c r="HD160"/>
      <c r="HE160"/>
      <c r="HF160"/>
      <c r="HG160"/>
      <c r="HH160"/>
      <c r="HI160" s="2"/>
    </row>
    <row r="161" spans="2:275" s="3" customFormat="1" ht="12.75" customHeight="1" x14ac:dyDescent="0.2">
      <c r="B161" s="266" t="s">
        <v>282</v>
      </c>
      <c r="C161" s="73"/>
      <c r="D161" s="72"/>
      <c r="E161" s="73"/>
      <c r="F161" s="72"/>
      <c r="G161" s="73"/>
      <c r="H161" s="72"/>
      <c r="I161" s="73"/>
      <c r="J161" s="72"/>
      <c r="K161" s="73"/>
      <c r="L161" s="72"/>
      <c r="M161" s="73"/>
      <c r="N161" s="72"/>
      <c r="O161" s="73"/>
      <c r="P161" s="72"/>
      <c r="Q161" s="73"/>
      <c r="R161" s="72"/>
      <c r="S161" s="73"/>
      <c r="T161" s="72"/>
      <c r="U161" s="73"/>
      <c r="V161" s="72"/>
      <c r="W161" s="73"/>
      <c r="X161" s="72"/>
      <c r="Y161" s="73"/>
      <c r="Z161" s="72"/>
      <c r="AA161" s="73"/>
      <c r="AB161" s="72"/>
      <c r="AC161" s="73"/>
      <c r="AD161" s="72"/>
      <c r="AE161" s="73"/>
      <c r="AF161" s="72"/>
      <c r="AG161" s="73"/>
      <c r="AH161" s="72"/>
      <c r="AI161" s="81"/>
      <c r="AJ161" s="72"/>
      <c r="AK161" s="73"/>
      <c r="AL161" s="72"/>
      <c r="AM161" s="73"/>
      <c r="AN161" s="72"/>
      <c r="AO161" s="73"/>
      <c r="AP161" s="72"/>
      <c r="AQ161" s="73"/>
      <c r="AR161" s="72"/>
      <c r="AS161" s="73"/>
      <c r="AT161" s="72"/>
      <c r="AU161" s="73"/>
      <c r="AV161" s="72"/>
      <c r="AW161" s="73"/>
      <c r="AX161" s="72"/>
      <c r="AY161" s="265">
        <f>(AY160/4)/AY$25*100</f>
        <v>108.00342585255063</v>
      </c>
      <c r="AZ161" s="72"/>
      <c r="BA161" s="265">
        <f>(BA160/4)/BA$25*100</f>
        <v>59.69477312071534</v>
      </c>
      <c r="BB161" s="72"/>
      <c r="BC161" s="265">
        <f>(BC160/4)/BC$25*100</f>
        <v>46.184134141505957</v>
      </c>
      <c r="BD161" s="72"/>
      <c r="BE161" s="265">
        <f>(BE160/4)/BE$25*100</f>
        <v>72.485296660314745</v>
      </c>
      <c r="BF161" s="72"/>
      <c r="BG161" s="265">
        <f>(BG160/4)/BG$25*100</f>
        <v>886.07573579909445</v>
      </c>
      <c r="BH161" s="72"/>
      <c r="BI161" s="265">
        <f>(BI160/4)/BI$25*100</f>
        <v>77.266725782121043</v>
      </c>
      <c r="BJ161" s="72"/>
      <c r="BK161" s="265">
        <f>(BK160/4)/BK$25*100</f>
        <v>102.38958045547713</v>
      </c>
      <c r="BL161" s="72"/>
      <c r="BM161" s="265">
        <f>(BM160/4)/BM$25*100</f>
        <v>-114.26830358521978</v>
      </c>
      <c r="BN161" s="72"/>
      <c r="BO161" s="265">
        <f>(BO160/4)/BO$25*100</f>
        <v>51.979725467154395</v>
      </c>
      <c r="BP161" s="72"/>
      <c r="BQ161" s="265">
        <f>(BQ160/4)/BQ$25*100</f>
        <v>4.3569094038918417</v>
      </c>
      <c r="BR161" s="72"/>
      <c r="BS161" s="265">
        <f>(BS160/4)/BS$25*100</f>
        <v>69.408907954332776</v>
      </c>
      <c r="BT161" s="72"/>
      <c r="BU161" s="265">
        <f>(BU160/4)/BU$25*100</f>
        <v>15.263985893117708</v>
      </c>
      <c r="BV161" s="72"/>
      <c r="BW161" s="265">
        <f>(BW160/4)/BW$25*100</f>
        <v>32.97232102763116</v>
      </c>
      <c r="BX161" s="72"/>
      <c r="BY161" s="265">
        <f>(BY160/4)/BY$25*100</f>
        <v>63.838461999956394</v>
      </c>
      <c r="BZ161" s="72"/>
      <c r="CA161" s="265">
        <f>(CA160/4)/CA$25*100</f>
        <v>57.890230777405584</v>
      </c>
      <c r="CB161" s="72"/>
      <c r="CC161" s="265">
        <f>(CC160/4)/CC$25*100</f>
        <v>36.571645588181291</v>
      </c>
      <c r="CD161" s="72"/>
      <c r="CE161" s="265">
        <f>(CE160/4)/CE$25*100</f>
        <v>60.057142297858611</v>
      </c>
      <c r="CF161" s="72"/>
      <c r="CG161" s="265">
        <f>(CG160/4)/CG$25*100</f>
        <v>38.134862901155195</v>
      </c>
      <c r="CH161" s="72"/>
      <c r="CI161" s="265">
        <f>(CI160/4)/CI$25*100</f>
        <v>57.566414296219079</v>
      </c>
      <c r="CJ161" s="72"/>
      <c r="CK161" s="265">
        <f>(CK160/4)/CK$25*100</f>
        <v>53.878541356389107</v>
      </c>
      <c r="CL161" s="72"/>
      <c r="CM161" s="265">
        <f>(CM160/4)/CM$25*100</f>
        <v>61.902277135021855</v>
      </c>
      <c r="CN161" s="118" t="s">
        <v>73</v>
      </c>
      <c r="CO161" s="265">
        <f>(CO160/4)/CO$25*100</f>
        <v>-53.430903569327079</v>
      </c>
      <c r="CP161" s="72"/>
      <c r="CQ161" s="265">
        <f>(CQ160/4)/CQ$25*100</f>
        <v>53.638964353649776</v>
      </c>
      <c r="CR161" s="72"/>
      <c r="CS161" s="265">
        <f>(CS160/4)/CS$25*100</f>
        <v>48.415671406628682</v>
      </c>
      <c r="CT161" s="72"/>
      <c r="CU161" s="265">
        <f>(CU160/4)/CU$25*100</f>
        <v>53.91297773643705</v>
      </c>
      <c r="CV161" s="72"/>
      <c r="CW161" s="265">
        <f>(CW160/4)/CW$25*100</f>
        <v>89.122532099069346</v>
      </c>
      <c r="CX161" s="72"/>
      <c r="CY161" s="265">
        <f>(CY160/4)/CY$25*100</f>
        <v>62.307256830369596</v>
      </c>
      <c r="CZ161" s="72"/>
      <c r="DA161" s="265">
        <f>(DA160/4)/DA$25*100</f>
        <v>-94.989198260054579</v>
      </c>
      <c r="DB161" s="72"/>
      <c r="DC161" s="265">
        <f>(DC160/4)/DC$25*100</f>
        <v>48.432524955219719</v>
      </c>
      <c r="DD161" s="72"/>
      <c r="DE161" s="265">
        <f>(DE160/4)/DE$25*100</f>
        <v>29.05618903382889</v>
      </c>
      <c r="DF161" s="72"/>
      <c r="DG161" s="265">
        <f>(DG160/4)/DG$25*100</f>
        <v>105.11409936019251</v>
      </c>
      <c r="DH161" s="72"/>
      <c r="DI161" s="265">
        <f>(DI160/4)/DI$25*100</f>
        <v>49.343242541278379</v>
      </c>
      <c r="DJ161" s="72"/>
      <c r="DK161" s="265">
        <f>(DK160/4)/DK$25*100</f>
        <v>91.508588240614372</v>
      </c>
      <c r="DL161" s="72"/>
      <c r="DM161" s="265">
        <f>(DM160/4)/DM$25*100</f>
        <v>59.29738864571452</v>
      </c>
      <c r="DN161" s="72" t="str">
        <f t="shared" si="971"/>
        <v>NM</v>
      </c>
      <c r="DO161" s="265">
        <f>(DO160/4)/DO$25*100</f>
        <v>-184.58652068635715</v>
      </c>
      <c r="DP161" s="72" t="str">
        <f t="shared" si="971"/>
        <v>NM</v>
      </c>
      <c r="DQ161" s="265">
        <f>(DQ160/4)/DQ$25*100</f>
        <v>54.673357218570054</v>
      </c>
      <c r="DR161" s="72">
        <f t="shared" si="971"/>
        <v>10.802116769753709</v>
      </c>
      <c r="DS161" s="265">
        <f>(DS160/4)/DS$25*100</f>
        <v>524.44135594692614</v>
      </c>
      <c r="DT161" s="72" t="str">
        <f t="shared" si="971"/>
        <v>NM</v>
      </c>
      <c r="DU161" s="265">
        <f>(DU160/4)/DU$25*100</f>
        <v>40.527252916633451</v>
      </c>
      <c r="DV161" s="72">
        <f t="shared" si="971"/>
        <v>-31.654236649825236</v>
      </c>
      <c r="DW161" s="265">
        <f>(DW160/4)/DW$25*100</f>
        <v>60.414723396480852</v>
      </c>
      <c r="DX161" s="72" t="str">
        <f t="shared" si="971"/>
        <v>NM</v>
      </c>
      <c r="DY161" s="265">
        <f>(DY160/4)/DY$25*100</f>
        <v>44.380566636480381</v>
      </c>
      <c r="DZ161" s="72">
        <f t="shared" si="971"/>
        <v>-18.825971379335158</v>
      </c>
      <c r="EA161" s="265">
        <f>(EA160/4)/EA$25*100</f>
        <v>42.582314386888285</v>
      </c>
      <c r="EB161" s="72" t="str">
        <f>IF(ISERROR(EA161/DS161),"NA",IF(OR(EA161/DS161&gt;2,EA161/DS161&lt;0.5),"NM",EA161/DS161*100-100))</f>
        <v>NM</v>
      </c>
      <c r="EC161" s="265">
        <f>(EC160/4)/EC$25*100</f>
        <v>119.37038003561644</v>
      </c>
      <c r="ED161" s="72" t="str">
        <f>IF(ISERROR(EC161/DU161),"NA",IF(OR(EC161/DU161&gt;2,EC161/DU161&lt;0.5),"NM",EC161/DU161*100-100))</f>
        <v>NM</v>
      </c>
      <c r="EE161" s="265">
        <f>(EE160/4)/EE$25*100</f>
        <v>100.8453637766777</v>
      </c>
      <c r="EF161" s="72">
        <f>IF(ISERROR(EE161/DW161),"NA",IF(OR(EE161/DW161&gt;2,EE161/DW161&lt;0.5),"NM",EE161/DW161*100-100))</f>
        <v>66.921833134722135</v>
      </c>
      <c r="EG161" s="265">
        <f>(EG160/4)/EG$25*100</f>
        <v>37.906689788185524</v>
      </c>
      <c r="EH161" s="72">
        <f>IF(ISERROR(EG161/DY161),"NA",IF(OR(EG161/DY161&gt;2,EG161/DY161&lt;0.5),"NM",EG161/DY161*100-100))</f>
        <v>-14.587188355034201</v>
      </c>
      <c r="EI161" s="265">
        <f>(EI160/4)/EI$25*100</f>
        <v>67.293674405612705</v>
      </c>
      <c r="EJ161" s="72">
        <f>IF(ISERROR(EI161/EA161),"NA",IF(OR(EI161/EA161&gt;2,EI161/EA161&lt;0.5),"NM",EI161/EA161*100-100))</f>
        <v>58.031979648183238</v>
      </c>
      <c r="EK161" s="265">
        <f>(EK160/4)/EK$25*100</f>
        <v>98.918686060869987</v>
      </c>
      <c r="EL161" s="72">
        <f>IF(ISERROR(EK161/EC161),"NA",IF(OR(EK161/EC161&gt;2,EK161/EC161&lt;0.5),"NM",EK161/EC161*100-100))</f>
        <v>-17.132972156613974</v>
      </c>
      <c r="EM161" s="265">
        <f>(EM160/4)/EM$25*100</f>
        <v>86.037879952126133</v>
      </c>
      <c r="EN161" s="72">
        <f>IF(ISERROR(EM161/EE161),"NA",IF(OR(EM161/EE161&gt;2,EM161/EE161&lt;0.5),"NM",EM161/EE161*100-100))</f>
        <v>-14.683356051293316</v>
      </c>
      <c r="EO161" s="265">
        <f>(EO160/4)/EO$25*100</f>
        <v>54.412234701613514</v>
      </c>
      <c r="EP161" s="72">
        <f>IF(ISERROR(EO161/EG161),"NA",IF(OR(EO161/EG161&gt;2,EO161/EG161&lt;0.5),"NM",EO161/EG161*100-100))</f>
        <v>43.542564665122285</v>
      </c>
      <c r="EQ161" s="86">
        <f t="shared" ref="EQ161" si="981">EO161</f>
        <v>54.412234701613514</v>
      </c>
      <c r="ER161" s="72">
        <f t="shared" si="972"/>
        <v>-19.142125642235399</v>
      </c>
      <c r="ES161" s="86">
        <f t="shared" ref="ES161" si="982">EQ161</f>
        <v>54.412234701613514</v>
      </c>
      <c r="ET161" s="72">
        <f t="shared" si="973"/>
        <v>-44.992966578497885</v>
      </c>
      <c r="EU161" s="86">
        <f t="shared" ref="EU161" si="983">ES161</f>
        <v>54.412234701613514</v>
      </c>
      <c r="EV161" s="72">
        <f t="shared" si="974"/>
        <v>-36.757815590191214</v>
      </c>
      <c r="EW161" s="86">
        <f t="shared" ref="EW161" si="984">EU161</f>
        <v>54.412234701613514</v>
      </c>
      <c r="EX161" s="72">
        <f t="shared" si="975"/>
        <v>0</v>
      </c>
      <c r="EY161" s="72"/>
      <c r="EZ161" s="306"/>
      <c r="FA161" s="72"/>
      <c r="FB161" s="265"/>
      <c r="FC161" s="88"/>
      <c r="FD161" s="73"/>
      <c r="FE161" s="72"/>
      <c r="FF161" s="73"/>
      <c r="FG161" s="72"/>
      <c r="FH161" s="73"/>
      <c r="FI161" s="72"/>
      <c r="FJ161" s="73"/>
      <c r="FK161" s="72"/>
      <c r="FL161" s="73"/>
      <c r="FM161" s="72"/>
      <c r="FN161" s="73"/>
      <c r="FO161" s="72"/>
      <c r="FP161" s="73"/>
      <c r="FQ161" s="72"/>
      <c r="FR161" s="73"/>
      <c r="FS161" s="72"/>
      <c r="FT161" s="73"/>
      <c r="FU161" s="72"/>
      <c r="FV161" s="81"/>
      <c r="FW161" s="72"/>
      <c r="FX161" s="81"/>
      <c r="FY161" s="72"/>
      <c r="FZ161" s="81"/>
      <c r="GA161" s="72"/>
      <c r="GB161" s="81"/>
      <c r="GC161" s="72"/>
      <c r="GD161" s="81"/>
      <c r="GE161" s="72"/>
      <c r="GF161" s="81"/>
      <c r="GG161" s="72"/>
      <c r="GH161" s="81"/>
      <c r="GI161" s="72"/>
      <c r="GJ161" s="81"/>
      <c r="GK161" s="72"/>
      <c r="GL161" s="81"/>
      <c r="GM161" s="72"/>
      <c r="GN161" s="81"/>
      <c r="GO161" s="72"/>
      <c r="GP161" s="81"/>
      <c r="GQ161" s="72"/>
      <c r="GR161" s="86">
        <v>50</v>
      </c>
      <c r="GS161" s="72"/>
      <c r="GT161" s="86">
        <f>GR161</f>
        <v>50</v>
      </c>
      <c r="GU161" s="72"/>
      <c r="GV161" s="86">
        <f>GT161</f>
        <v>50</v>
      </c>
      <c r="GW161" s="72"/>
      <c r="GX161" s="86">
        <f>GV161</f>
        <v>50</v>
      </c>
      <c r="GY161" s="72"/>
      <c r="GZ161" s="72"/>
      <c r="HA161" s="72"/>
      <c r="HB161" s="72"/>
      <c r="HC161"/>
      <c r="HD161"/>
      <c r="HE161"/>
      <c r="HF161"/>
      <c r="HG161"/>
      <c r="HH161"/>
      <c r="HI161" s="2"/>
      <c r="JN161" s="75"/>
      <c r="JO161" s="72"/>
    </row>
    <row r="162" spans="2:275" ht="12.75" customHeight="1" x14ac:dyDescent="0.2">
      <c r="B162" s="4"/>
      <c r="C162" s="108"/>
      <c r="D162" s="72"/>
      <c r="E162" s="108"/>
      <c r="F162" s="72"/>
      <c r="G162" s="108"/>
      <c r="H162" s="72"/>
      <c r="I162" s="108"/>
      <c r="J162" s="72"/>
      <c r="K162" s="108"/>
      <c r="L162" s="72"/>
      <c r="M162" s="108"/>
      <c r="N162" s="72"/>
      <c r="O162" s="108"/>
      <c r="P162" s="72"/>
      <c r="Q162" s="108"/>
      <c r="R162" s="72"/>
      <c r="S162" s="108"/>
      <c r="T162" s="72"/>
      <c r="U162" s="108"/>
      <c r="V162" s="72"/>
      <c r="W162" s="108"/>
      <c r="X162" s="72"/>
      <c r="Y162" s="108"/>
      <c r="Z162" s="72"/>
      <c r="AA162" s="108"/>
      <c r="AB162" s="72"/>
      <c r="AC162" s="108"/>
      <c r="AD162" s="72"/>
      <c r="AE162" s="108"/>
      <c r="AF162" s="72"/>
      <c r="AG162" s="108"/>
      <c r="AH162" s="72"/>
      <c r="AI162" s="108"/>
      <c r="AJ162" s="72"/>
      <c r="AK162" s="108"/>
      <c r="AL162" s="72"/>
      <c r="AM162" s="108"/>
      <c r="AN162" s="72"/>
      <c r="AO162" s="108"/>
      <c r="AP162" s="72"/>
      <c r="AQ162" s="108"/>
      <c r="AR162" s="72"/>
      <c r="AS162" s="108"/>
      <c r="AT162" s="72"/>
      <c r="AU162" s="108"/>
      <c r="AV162" s="72"/>
      <c r="AW162" s="108"/>
      <c r="AX162" s="72"/>
      <c r="AY162" s="108"/>
      <c r="AZ162" s="72"/>
      <c r="BA162" s="108"/>
      <c r="BB162" s="72"/>
      <c r="BC162" s="108"/>
      <c r="BD162" s="72"/>
      <c r="BE162" s="108"/>
      <c r="BF162" s="72"/>
      <c r="BG162" s="108"/>
      <c r="BH162" s="72"/>
      <c r="BI162" s="108"/>
      <c r="BJ162" s="72"/>
      <c r="BK162" s="108"/>
      <c r="BL162" s="72"/>
      <c r="BM162" s="108"/>
      <c r="BN162" s="72"/>
      <c r="BO162" s="108"/>
      <c r="BP162" s="72"/>
      <c r="BQ162" s="108"/>
      <c r="BR162" s="72"/>
      <c r="BS162" s="108"/>
      <c r="BT162" s="72"/>
      <c r="BU162" s="108"/>
      <c r="BV162" s="72"/>
      <c r="BW162" s="108"/>
      <c r="BX162" s="72"/>
      <c r="BY162" s="108"/>
      <c r="BZ162" s="72"/>
      <c r="CA162" s="108"/>
      <c r="CB162" s="72"/>
      <c r="CC162" s="108"/>
      <c r="CD162" s="72"/>
      <c r="CE162" s="108"/>
      <c r="CF162" s="72"/>
      <c r="CG162" s="108"/>
      <c r="CH162" s="72"/>
      <c r="CI162" s="108"/>
      <c r="CJ162" s="72"/>
      <c r="CK162" s="108"/>
      <c r="CL162" s="72"/>
      <c r="CM162" s="108"/>
      <c r="CN162" s="72"/>
      <c r="CO162" s="108"/>
      <c r="CP162" s="72"/>
      <c r="CQ162" s="108"/>
      <c r="CR162" s="72"/>
      <c r="CS162" s="108"/>
      <c r="CT162" s="72"/>
      <c r="CU162" s="108"/>
      <c r="CV162" s="72"/>
      <c r="CW162" s="108"/>
      <c r="CX162" s="72"/>
      <c r="CY162" s="108"/>
      <c r="CZ162" s="72"/>
      <c r="DA162" s="108"/>
      <c r="DB162" s="72"/>
      <c r="DC162" s="108"/>
      <c r="DD162" s="72"/>
      <c r="DE162" s="108"/>
      <c r="DF162" s="72"/>
      <c r="DG162" s="108"/>
      <c r="DH162" s="72"/>
      <c r="DI162" s="108"/>
      <c r="DJ162" s="72"/>
      <c r="DK162" s="108"/>
      <c r="DL162" s="72"/>
      <c r="DM162" s="108"/>
      <c r="DN162" s="72"/>
      <c r="DO162" s="108"/>
      <c r="DP162" s="72"/>
      <c r="DQ162" s="108"/>
      <c r="DR162" s="72"/>
      <c r="DS162" s="108"/>
      <c r="DT162" s="72"/>
      <c r="DU162" s="108"/>
      <c r="DV162" s="72"/>
      <c r="DW162" s="109"/>
      <c r="DX162" s="72"/>
      <c r="DY162" s="109"/>
      <c r="DZ162" s="72"/>
      <c r="EA162" s="109"/>
      <c r="EB162" s="72"/>
      <c r="EC162" s="109"/>
      <c r="ED162" s="72"/>
      <c r="EE162" s="109"/>
      <c r="EF162" s="72"/>
      <c r="EG162" s="109"/>
      <c r="EH162" s="72"/>
      <c r="EI162" s="109"/>
      <c r="EJ162" s="72"/>
      <c r="EK162" s="109"/>
      <c r="EL162" s="72"/>
      <c r="EM162" s="109"/>
      <c r="EN162" s="72"/>
      <c r="EO162" s="109"/>
      <c r="EP162" s="72"/>
      <c r="EQ162" s="109"/>
      <c r="ER162" s="72"/>
      <c r="ES162" s="109"/>
      <c r="ET162" s="72"/>
      <c r="EU162" s="109"/>
      <c r="EV162" s="72"/>
      <c r="EW162" s="109"/>
      <c r="EX162" s="72"/>
      <c r="EY162" s="72"/>
      <c r="EZ162" s="306"/>
      <c r="FA162" s="72"/>
      <c r="FB162" s="108"/>
      <c r="FC162" s="72"/>
      <c r="FD162" s="108"/>
      <c r="FE162" s="72"/>
      <c r="FF162" s="108"/>
      <c r="FG162" s="72"/>
      <c r="FH162" s="108"/>
      <c r="FI162" s="72"/>
      <c r="FJ162" s="108"/>
      <c r="FK162" s="72"/>
      <c r="FL162" s="108"/>
      <c r="FM162" s="72"/>
      <c r="FN162" s="108"/>
      <c r="FO162" s="72"/>
      <c r="FP162" s="108"/>
      <c r="FQ162" s="72"/>
      <c r="FR162" s="109"/>
      <c r="FS162" s="72"/>
      <c r="FT162" s="109"/>
      <c r="FU162" s="72"/>
      <c r="FV162" s="109"/>
      <c r="FW162" s="72"/>
      <c r="FX162" s="109"/>
      <c r="FY162" s="72"/>
      <c r="FZ162" s="109"/>
      <c r="GA162" s="72"/>
      <c r="GB162" s="109"/>
      <c r="GC162" s="72"/>
      <c r="GD162" s="109"/>
      <c r="GE162" s="72"/>
      <c r="GF162" s="109"/>
      <c r="GG162" s="72"/>
      <c r="GH162" s="109"/>
      <c r="GI162" s="72"/>
      <c r="GJ162" s="109"/>
      <c r="GK162" s="72"/>
      <c r="GL162" s="109"/>
      <c r="GM162" s="72"/>
      <c r="GN162" s="109"/>
      <c r="GO162" s="72"/>
      <c r="GP162" s="109"/>
      <c r="GQ162" s="72"/>
      <c r="GR162" s="109"/>
      <c r="GS162" s="72"/>
      <c r="GT162" s="109"/>
      <c r="GU162" s="72"/>
      <c r="GV162" s="109"/>
      <c r="GW162" s="72"/>
      <c r="GX162" s="109"/>
      <c r="GY162" s="72"/>
      <c r="GZ162" s="72"/>
      <c r="HA162" s="72"/>
      <c r="HB162" s="72"/>
    </row>
    <row r="163" spans="2:275" ht="12.75" customHeight="1" x14ac:dyDescent="0.2">
      <c r="B163" s="96" t="s">
        <v>133</v>
      </c>
      <c r="C163" s="108"/>
      <c r="D163" s="72"/>
      <c r="E163" s="108"/>
      <c r="F163" s="72"/>
      <c r="G163" s="108"/>
      <c r="H163" s="72"/>
      <c r="I163" s="108"/>
      <c r="J163" s="72"/>
      <c r="K163" s="108"/>
      <c r="L163" s="72"/>
      <c r="M163" s="108"/>
      <c r="N163" s="72"/>
      <c r="O163" s="108"/>
      <c r="P163" s="72"/>
      <c r="Q163" s="108"/>
      <c r="R163" s="72"/>
      <c r="S163" s="108"/>
      <c r="T163" s="72"/>
      <c r="U163" s="108"/>
      <c r="V163" s="72"/>
      <c r="W163" s="108"/>
      <c r="X163" s="72"/>
      <c r="Y163" s="108"/>
      <c r="Z163" s="72"/>
      <c r="AA163" s="108"/>
      <c r="AB163" s="72"/>
      <c r="AC163" s="108"/>
      <c r="AD163" s="72"/>
      <c r="AE163" s="108"/>
      <c r="AF163" s="72"/>
      <c r="AG163" s="108"/>
      <c r="AH163" s="72"/>
      <c r="AI163" s="108"/>
      <c r="AJ163" s="72"/>
      <c r="AK163" s="108"/>
      <c r="AL163" s="72"/>
      <c r="AM163" s="108"/>
      <c r="AN163" s="72"/>
      <c r="AO163" s="108"/>
      <c r="AP163" s="72"/>
      <c r="AQ163" s="108"/>
      <c r="AR163" s="72"/>
      <c r="AS163" s="108"/>
      <c r="AT163" s="72"/>
      <c r="AU163" s="108"/>
      <c r="AV163" s="72"/>
      <c r="AW163" s="108"/>
      <c r="AX163" s="72"/>
      <c r="AY163" s="108"/>
      <c r="AZ163" s="72"/>
      <c r="BA163" s="108"/>
      <c r="BB163" s="72"/>
      <c r="BC163" s="108"/>
      <c r="BD163" s="72"/>
      <c r="BE163" s="108"/>
      <c r="BF163" s="72"/>
      <c r="BG163" s="108"/>
      <c r="BH163" s="72"/>
      <c r="BI163" s="108"/>
      <c r="BJ163" s="72"/>
      <c r="BK163" s="108"/>
      <c r="BL163" s="72"/>
      <c r="BM163" s="108"/>
      <c r="BN163" s="72"/>
      <c r="BO163" s="108"/>
      <c r="BP163" s="72"/>
      <c r="BQ163" s="108"/>
      <c r="BR163" s="72"/>
      <c r="BS163" s="108"/>
      <c r="BT163" s="72"/>
      <c r="BU163" s="108"/>
      <c r="BV163" s="72"/>
      <c r="BW163" s="108"/>
      <c r="BX163" s="72"/>
      <c r="BY163" s="108"/>
      <c r="BZ163" s="72"/>
      <c r="CA163" s="108"/>
      <c r="CB163" s="72"/>
      <c r="CC163" s="108"/>
      <c r="CD163" s="72"/>
      <c r="CE163" s="108"/>
      <c r="CF163" s="72"/>
      <c r="CG163" s="108"/>
      <c r="CH163" s="72"/>
      <c r="CI163" s="108"/>
      <c r="CJ163" s="72"/>
      <c r="CK163" s="108"/>
      <c r="CL163" s="72"/>
      <c r="CM163" s="108"/>
      <c r="CN163" s="72"/>
      <c r="CO163" s="108"/>
      <c r="CP163" s="72"/>
      <c r="CQ163" s="108"/>
      <c r="CR163" s="72"/>
      <c r="CS163" s="108"/>
      <c r="CT163" s="72"/>
      <c r="CU163" s="108"/>
      <c r="CV163" s="72"/>
      <c r="CW163" s="108"/>
      <c r="CX163" s="72"/>
      <c r="CY163" s="108"/>
      <c r="CZ163" s="72"/>
      <c r="DA163" s="108"/>
      <c r="DB163" s="72"/>
      <c r="DC163" s="108"/>
      <c r="DD163" s="72"/>
      <c r="DE163" s="108"/>
      <c r="DF163" s="72"/>
      <c r="DG163" s="108"/>
      <c r="DH163" s="72"/>
      <c r="DI163" s="108"/>
      <c r="DJ163" s="72"/>
      <c r="DK163" s="108"/>
      <c r="DL163" s="72"/>
      <c r="DM163" s="108"/>
      <c r="DN163" s="72"/>
      <c r="DO163" s="108"/>
      <c r="DP163" s="72"/>
      <c r="DQ163" s="108"/>
      <c r="DR163" s="72"/>
      <c r="DS163" s="108"/>
      <c r="DT163" s="72"/>
      <c r="DU163" s="108"/>
      <c r="DV163" s="72"/>
      <c r="DW163" s="109"/>
      <c r="DX163" s="72"/>
      <c r="DY163" s="109"/>
      <c r="DZ163" s="72"/>
      <c r="EA163" s="109"/>
      <c r="EB163" s="72"/>
      <c r="EC163" s="109"/>
      <c r="ED163" s="72"/>
      <c r="EE163" s="109"/>
      <c r="EF163" s="72"/>
      <c r="EG163" s="109"/>
      <c r="EH163" s="72"/>
      <c r="EI163" s="109"/>
      <c r="EJ163" s="72"/>
      <c r="EK163" s="109"/>
      <c r="EL163" s="72"/>
      <c r="EM163" s="109"/>
      <c r="EN163" s="72"/>
      <c r="EO163" s="109"/>
      <c r="EP163" s="72"/>
      <c r="EQ163" s="109"/>
      <c r="ER163" s="72"/>
      <c r="ES163" s="109"/>
      <c r="ET163" s="72"/>
      <c r="EU163" s="109"/>
      <c r="EV163" s="72"/>
      <c r="EW163" s="109"/>
      <c r="EX163" s="72"/>
      <c r="EY163" s="72"/>
      <c r="EZ163" s="306"/>
      <c r="FA163" s="72"/>
      <c r="FB163" s="108"/>
      <c r="FC163" s="72"/>
      <c r="FD163" s="108"/>
      <c r="FE163" s="72"/>
      <c r="FF163" s="108"/>
      <c r="FG163" s="72"/>
      <c r="FH163" s="108"/>
      <c r="FI163" s="72"/>
      <c r="FJ163" s="108"/>
      <c r="FK163" s="72"/>
      <c r="FL163" s="108"/>
      <c r="FM163" s="72"/>
      <c r="FN163" s="108"/>
      <c r="FO163" s="72"/>
      <c r="FP163" s="108"/>
      <c r="FQ163" s="72"/>
      <c r="FR163" s="109"/>
      <c r="FS163" s="72"/>
      <c r="FT163" s="109"/>
      <c r="FU163" s="72"/>
      <c r="FV163" s="109"/>
      <c r="FW163" s="72"/>
      <c r="FX163" s="109"/>
      <c r="FY163" s="72"/>
      <c r="FZ163" s="109"/>
      <c r="GA163" s="72"/>
      <c r="GB163" s="109"/>
      <c r="GC163" s="72"/>
      <c r="GD163" s="109"/>
      <c r="GE163" s="72"/>
      <c r="GF163" s="109"/>
      <c r="GG163" s="72"/>
      <c r="GH163" s="109"/>
      <c r="GI163" s="72"/>
      <c r="GJ163" s="109"/>
      <c r="GK163" s="72"/>
      <c r="GL163" s="109"/>
      <c r="GM163" s="72"/>
      <c r="GN163" s="109"/>
      <c r="GO163" s="72"/>
      <c r="GP163" s="109"/>
      <c r="GQ163" s="72"/>
      <c r="GR163" s="109"/>
      <c r="GS163" s="72"/>
      <c r="GT163" s="109"/>
      <c r="GU163" s="72"/>
      <c r="GV163" s="109"/>
      <c r="GW163" s="72"/>
      <c r="GX163" s="109"/>
      <c r="GY163" s="72"/>
      <c r="GZ163" s="72"/>
      <c r="HA163" s="72"/>
      <c r="HB163" s="72"/>
    </row>
    <row r="164" spans="2:275" ht="12.75" customHeight="1" x14ac:dyDescent="0.2">
      <c r="B164" s="4" t="s">
        <v>599</v>
      </c>
      <c r="C164" s="100"/>
      <c r="D164" s="72"/>
      <c r="E164" s="100"/>
      <c r="F164" s="72"/>
      <c r="G164" s="100"/>
      <c r="H164" s="72"/>
      <c r="I164" s="100"/>
      <c r="J164" s="72"/>
      <c r="K164" s="100"/>
      <c r="L164" s="72"/>
      <c r="M164" s="100"/>
      <c r="N164" s="72"/>
      <c r="O164" s="100"/>
      <c r="P164" s="72"/>
      <c r="Q164" s="100"/>
      <c r="R164" s="72"/>
      <c r="S164" s="100"/>
      <c r="T164" s="72"/>
      <c r="U164" s="100"/>
      <c r="V164" s="72"/>
      <c r="W164" s="100"/>
      <c r="X164" s="72"/>
      <c r="Y164" s="100"/>
      <c r="Z164" s="72"/>
      <c r="AA164" s="100"/>
      <c r="AB164" s="72"/>
      <c r="AC164" s="100"/>
      <c r="AD164" s="72"/>
      <c r="AE164" s="100"/>
      <c r="AF164" s="72"/>
      <c r="AG164" s="100"/>
      <c r="AH164" s="72"/>
      <c r="AI164" s="100">
        <v>39296</v>
      </c>
      <c r="AJ164" s="72" t="str">
        <f t="shared" ref="AJ164:AJ170" si="985">IF(ISERROR(AI164/AA164),"NA",IF(OR(AI164/AA164&gt;2,AI164/AA164&lt;0.5),"NM",AI164/AA164*100-100))</f>
        <v>NA</v>
      </c>
      <c r="AK164" s="100">
        <f>AI169</f>
        <v>39510</v>
      </c>
      <c r="AL164" s="72" t="str">
        <f t="shared" ref="AL164:AL170" si="986">IF(ISERROR(AK164/AC164),"NA",IF(OR(AK164/AC164&gt;2,AK164/AC164&lt;0.5),"NM",AK164/AC164*100-100))</f>
        <v>NA</v>
      </c>
      <c r="AM164" s="100">
        <f>AK169</f>
        <v>45685</v>
      </c>
      <c r="AN164" s="72" t="str">
        <f t="shared" ref="AN164:AN170" si="987">IF(ISERROR(AM164/AE164),"NA",IF(OR(AM164/AE164&gt;2,AM164/AE164&lt;0.5),"NM",AM164/AE164*100-100))</f>
        <v>NA</v>
      </c>
      <c r="AO164" s="100">
        <f>AM169</f>
        <v>45856</v>
      </c>
      <c r="AP164" s="72" t="str">
        <f t="shared" ref="AP164:AP170" si="988">IF(ISERROR(AO164/AG164),"NA",IF(OR(AO164/AG164&gt;2,AO164/AG164&lt;0.5),"NM",AO164/AG164*100-100))</f>
        <v>NA</v>
      </c>
      <c r="AQ164" s="100">
        <f>AO169</f>
        <v>47680</v>
      </c>
      <c r="AR164" s="72">
        <f t="shared" ref="AR164:AR170" si="989">IF(ISERROR(AQ164/AI164),"NA",IF(OR(AQ164/AI164&gt;2,AQ164/AI164&lt;0.5),"NM",AQ164/AI164*100-100))</f>
        <v>21.335504885993501</v>
      </c>
      <c r="AS164" s="100">
        <f>AQ169</f>
        <v>47698</v>
      </c>
      <c r="AT164" s="72">
        <f t="shared" ref="AT164:AT170" si="990">IF(ISERROR(AS164/AK164),"NA",IF(OR(AS164/AK164&gt;2,AS164/AK164&lt;0.5),"NM",AS164/AK164*100-100))</f>
        <v>20.723867375348021</v>
      </c>
      <c r="AU164" s="100">
        <f>AS169</f>
        <v>48612</v>
      </c>
      <c r="AV164" s="72">
        <f t="shared" ref="AV164:AV170" si="991">IF(ISERROR(AU164/AM164),"NA",IF(OR(AU164/AM164&gt;2,AU164/AM164&lt;0.5),"NM",AU164/AM164*100-100))</f>
        <v>6.4069169311590173</v>
      </c>
      <c r="AW164" s="100">
        <f>AU169</f>
        <v>48917</v>
      </c>
      <c r="AX164" s="72">
        <f t="shared" ref="AX164:AX170" si="992">IF(ISERROR(AW164/AO164),"NA",IF(OR(AW164/AO164&gt;2,AW164/AO164&lt;0.5),"NM",AW164/AO164*100-100))</f>
        <v>6.6752442428471852</v>
      </c>
      <c r="AY164" s="100">
        <f>AW169</f>
        <v>48080</v>
      </c>
      <c r="AZ164" s="72">
        <f t="shared" ref="AZ164:AZ170" si="993">IF(ISERROR(AY164/AQ164),"NA",IF(OR(AY164/AQ164&gt;2,AY164/AQ164&lt;0.5),"NM",AY164/AQ164*100-100))</f>
        <v>0.83892617449663476</v>
      </c>
      <c r="BA164" s="100">
        <f>AY169</f>
        <v>47215</v>
      </c>
      <c r="BB164" s="72">
        <f t="shared" ref="BB164:BB170" si="994">IF(ISERROR(BA164/AS164),"NA",IF(OR(BA164/AS164&gt;2,BA164/AS164&lt;0.5),"NM",BA164/AS164*100-100))</f>
        <v>-1.0126210742588739</v>
      </c>
      <c r="BC164" s="100">
        <f>BA169</f>
        <v>46913</v>
      </c>
      <c r="BD164" s="72">
        <f t="shared" ref="BD164:BD170" si="995">IF(ISERROR(BC164/AU164),"NA",IF(OR(BC164/AU164&gt;2,BC164/AU164&lt;0.5),"NM",BC164/AU164*100-100))</f>
        <v>-3.4950218053155595</v>
      </c>
      <c r="BE164" s="100">
        <f>BC169</f>
        <v>49468</v>
      </c>
      <c r="BF164" s="72">
        <f t="shared" ref="BF164:BF170" si="996">IF(ISERROR(BE164/AW164),"NA",IF(OR(BE164/AW164&gt;2,BE164/AW164&lt;0.5),"NM",BE164/AW164*100-100))</f>
        <v>1.1263977758243442</v>
      </c>
      <c r="BG164" s="100">
        <f>BE169</f>
        <v>50269</v>
      </c>
      <c r="BH164" s="72">
        <f t="shared" ref="BH164:BH170" si="997">IF(ISERROR(BG164/AY164),"NA",IF(OR(BG164/AY164&gt;2,BG164/AY164&lt;0.5),"NM",BG164/AY164*100-100))</f>
        <v>4.5528286189683911</v>
      </c>
      <c r="BI164" s="100">
        <f>BG169</f>
        <v>50661</v>
      </c>
      <c r="BJ164" s="72">
        <f t="shared" ref="BJ164:BJ170" si="998">IF(ISERROR(BI164/BA164),"NA",IF(OR(BI164/BA164&gt;2,BI164/BA164&lt;0.5),"NM",BI164/BA164*100-100))</f>
        <v>7.2985280101662653</v>
      </c>
      <c r="BK164" s="100">
        <f>BI169</f>
        <v>50926</v>
      </c>
      <c r="BL164" s="72">
        <f t="shared" ref="BL164:BL170" si="999">IF(ISERROR(BK164/BC164),"NA",IF(OR(BK164/BC164&gt;2,BK164/BC164&lt;0.5),"NM",BK164/BC164*100-100))</f>
        <v>8.554132116897236</v>
      </c>
      <c r="BM164" s="100">
        <f>BK169</f>
        <v>51627</v>
      </c>
      <c r="BN164" s="72">
        <f t="shared" ref="BN164:BN170" si="1000">IF(ISERROR(BM164/BE164),"NA",IF(OR(BM164/BE164&gt;2,BM164/BE164&lt;0.5),"NM",BM164/BE164*100-100))</f>
        <v>4.3644376162367564</v>
      </c>
      <c r="BO164" s="100">
        <f>BM169</f>
        <v>51591</v>
      </c>
      <c r="BP164" s="72">
        <f t="shared" ref="BP164:BP170" si="1001">IF(ISERROR(BO164/BG164),"NA",IF(OR(BO164/BG164&gt;2,BO164/BG164&lt;0.5),"NM",BO164/BG164*100-100))</f>
        <v>2.6298513994708514</v>
      </c>
      <c r="BQ164" s="100">
        <f>BO169</f>
        <v>51667</v>
      </c>
      <c r="BR164" s="72">
        <f t="shared" ref="BR164:BR170" si="1002">IF(ISERROR(BQ164/BI164),"NA",IF(OR(BQ164/BI164&gt;2,BQ164/BI164&lt;0.5),"NM",BQ164/BI164*100-100))</f>
        <v>1.9857484060717354</v>
      </c>
      <c r="BS164" s="100">
        <f>BQ169</f>
        <v>51513</v>
      </c>
      <c r="BT164" s="72">
        <f t="shared" ref="BT164:BT170" si="1003">IF(ISERROR(BS164/BK164),"NA",IF(OR(BS164/BK164&gt;2,BS164/BK164&lt;0.5),"NM",BS164/BK164*100-100))</f>
        <v>1.1526528688685573</v>
      </c>
      <c r="BU164" s="100">
        <f>BS169</f>
        <v>50041</v>
      </c>
      <c r="BV164" s="72">
        <f t="shared" ref="BV164:BV170" si="1004">IF(ISERROR(BU164/BM164),"NA",IF(OR(BU164/BM164&gt;2,BU164/BM164&lt;0.5),"NM",BU164/BM164*100-100))</f>
        <v>-3.0720359501811032</v>
      </c>
      <c r="BW164" s="100">
        <f>BU169</f>
        <v>50491</v>
      </c>
      <c r="BX164" s="72">
        <f t="shared" ref="BX164:BX170" si="1005">IF(ISERROR(BW164/BO164),"NA",IF(OR(BW164/BO164&gt;2,BW164/BO164&lt;0.5),"NM",BW164/BO164*100-100))</f>
        <v>-2.1321548332073519</v>
      </c>
      <c r="BY164" s="100">
        <f>BW169</f>
        <v>49030</v>
      </c>
      <c r="BZ164" s="72">
        <f t="shared" ref="BZ164:BZ170" si="1006">IF(ISERROR(BY164/BQ164),"NA",IF(OR(BY164/BQ164&gt;2,BY164/BQ164&lt;0.5),"NM",BY164/BQ164*100-100))</f>
        <v>-5.1038380397545779</v>
      </c>
      <c r="CA164" s="100">
        <f>BY169</f>
        <v>49475</v>
      </c>
      <c r="CB164" s="72">
        <f t="shared" ref="CB164:CB170" si="1007">IF(ISERROR(CA164/BS164),"NA",IF(OR(CA164/BS164&gt;2,CA164/BS164&lt;0.5),"NM",CA164/BS164*100-100))</f>
        <v>-3.9562828800496987</v>
      </c>
      <c r="CC164" s="100">
        <f>CA169</f>
        <v>50137</v>
      </c>
      <c r="CD164" s="72">
        <f t="shared" ref="CD164:CD170" si="1008">IF(ISERROR(CC164/BU164),"NA",IF(OR(CC164/BU164&gt;2,CC164/BU164&lt;0.5),"NM",CC164/BU164*100-100))</f>
        <v>0.19184268899500978</v>
      </c>
      <c r="CE164" s="100">
        <f>CC169</f>
        <v>51908</v>
      </c>
      <c r="CF164" s="72">
        <f t="shared" ref="CF164:CF170" si="1009">IF(ISERROR(CE164/BW164),"NA",IF(OR(CE164/BW164&gt;2,CE164/BW164&lt;0.5),"NM",CE164/BW164*100-100))</f>
        <v>2.8064407518171492</v>
      </c>
      <c r="CG164" s="100">
        <f>CE169</f>
        <v>52768</v>
      </c>
      <c r="CH164" s="72">
        <f t="shared" ref="CH164:CH170" si="1010">IF(ISERROR(CG164/BY164),"NA",IF(OR(CG164/BY164&gt;2,CG164/BY164&lt;0.5),"NM",CG164/BY164*100-100))</f>
        <v>7.6239037324087349</v>
      </c>
      <c r="CI164" s="100">
        <f>CG169</f>
        <v>55965</v>
      </c>
      <c r="CJ164" s="72">
        <f t="shared" ref="CJ164:CT170" si="1011">IF(ISERROR(CI164/CA164),"NA",IF(OR(CI164/CA164&gt;2,CI164/CA164&lt;0.5),"NM",CI164/CA164*100-100))</f>
        <v>13.117736230419411</v>
      </c>
      <c r="CK164" s="100">
        <f>CI169</f>
        <v>59062</v>
      </c>
      <c r="CL164" s="72">
        <f t="shared" si="1011"/>
        <v>17.801224644474132</v>
      </c>
      <c r="CM164" s="100">
        <f>CK169</f>
        <v>64183</v>
      </c>
      <c r="CN164" s="72">
        <f t="shared" si="1011"/>
        <v>23.647607305232341</v>
      </c>
      <c r="CO164" s="100">
        <f>CM169</f>
        <v>68892</v>
      </c>
      <c r="CP164" s="72">
        <f t="shared" si="1011"/>
        <v>30.556397816858691</v>
      </c>
      <c r="CQ164" s="100">
        <f>CO169</f>
        <v>74131</v>
      </c>
      <c r="CR164" s="72">
        <f t="shared" si="1011"/>
        <v>32.459572947377836</v>
      </c>
      <c r="CS164" s="100">
        <f>CQ169</f>
        <v>80513</v>
      </c>
      <c r="CT164" s="72">
        <f t="shared" si="1011"/>
        <v>36.319460905489137</v>
      </c>
      <c r="CU164" s="100">
        <f>CS169</f>
        <v>90089</v>
      </c>
      <c r="CV164" s="72">
        <f t="shared" ref="CV164:CV170" si="1012">IF(ISERROR(CU164/CM164),"NA",IF(OR(CU164/CM164&gt;2,CU164/CM164&lt;0.5),"NM",CU164/CM164*100-100))</f>
        <v>40.362712867893379</v>
      </c>
      <c r="CW164" s="100">
        <f>CU169</f>
        <v>93853</v>
      </c>
      <c r="CX164" s="72">
        <f t="shared" ref="CX164:CX170" si="1013">IF(ISERROR(CW164/CO164),"NA",IF(OR(CW164/CO164&gt;2,CW164/CO164&lt;0.5),"NM",CW164/CO164*100-100))</f>
        <v>36.232073390234007</v>
      </c>
      <c r="CY164" s="100">
        <f>CW169</f>
        <v>102443</v>
      </c>
      <c r="CZ164" s="72">
        <f t="shared" ref="CZ164:CZ170" si="1014">IF(ISERROR(CY164/CQ164),"NA",IF(OR(CY164/CQ164&gt;2,CY164/CQ164&lt;0.5),"NM",CY164/CQ164*100-100))</f>
        <v>38.191849563610361</v>
      </c>
      <c r="DA164" s="100">
        <f>CY169</f>
        <v>104646</v>
      </c>
      <c r="DB164" s="72">
        <f t="shared" ref="DB164:DB170" si="1015">IF(ISERROR(DA164/CS164),"NA",IF(OR(DA164/CS164&gt;2,DA164/CS164&lt;0.5),"NM",DA164/CS164*100-100))</f>
        <v>29.974041459143251</v>
      </c>
      <c r="DC164" s="100">
        <f>DA169</f>
        <v>141435</v>
      </c>
      <c r="DD164" s="72">
        <f t="shared" ref="DD164:DD170" si="1016">IF(ISERROR(DC164/CU164),"NA",IF(OR(DC164/CU164&gt;2,DC164/CU164&lt;0.5),"NM",DC164/CU164*100-100))</f>
        <v>56.994749636470601</v>
      </c>
      <c r="DE164" s="100">
        <f>DC169</f>
        <v>143011</v>
      </c>
      <c r="DF164" s="72">
        <f t="shared" ref="DF164:DF170" si="1017">IF(ISERROR(DE164/CW164),"NA",IF(OR(DE164/CW164&gt;2,DE164/CW164&lt;0.5),"NM",DE164/CW164*100-100))</f>
        <v>52.377654417013844</v>
      </c>
      <c r="DG164" s="100">
        <f>DE169</f>
        <v>144101</v>
      </c>
      <c r="DH164" s="72">
        <f t="shared" ref="DH164:DH170" si="1018">IF(ISERROR(DG164/CY164),"NA",IF(OR(DG164/CY164&gt;2,DG164/CY164&lt;0.5),"NM",DG164/CY164*100-100))</f>
        <v>40.664564684751525</v>
      </c>
      <c r="DI164" s="100">
        <f>DG169</f>
        <v>147100</v>
      </c>
      <c r="DJ164" s="72">
        <f t="shared" ref="DJ164:DJ170" si="1019">IF(ISERROR(DI164/DA164),"NA",IF(OR(DI164/DA164&gt;2,DI164/DA164&lt;0.5),"NM",DI164/DA164*100-100))</f>
        <v>40.569156967299278</v>
      </c>
      <c r="DK164" s="100">
        <f>DI169</f>
        <v>149402</v>
      </c>
      <c r="DL164" s="72">
        <f t="shared" ref="DL164:DL170" si="1020">IF(ISERROR(DK164/DC164),"NA",IF(OR(DK164/DC164&gt;2,DK164/DC164&lt;0.5),"NM",DK164/DC164*100-100))</f>
        <v>5.6329762788560203</v>
      </c>
      <c r="DM164" s="100">
        <f>DK169</f>
        <v>149661</v>
      </c>
      <c r="DN164" s="72">
        <f t="shared" ref="DN164:DZ170" si="1021">IF(ISERROR(DM164/DE164),"NA",IF(OR(DM164/DE164&gt;2,DM164/DE164&lt;0.5),"NM",DM164/DE164*100-100))</f>
        <v>4.6499919586605216</v>
      </c>
      <c r="DO164" s="100">
        <f>DM169</f>
        <v>148971</v>
      </c>
      <c r="DP164" s="72">
        <f t="shared" si="1021"/>
        <v>3.3795740487574619</v>
      </c>
      <c r="DQ164" s="100">
        <f>DO169</f>
        <v>175526</v>
      </c>
      <c r="DR164" s="72">
        <f t="shared" si="1021"/>
        <v>19.324269204622709</v>
      </c>
      <c r="DS164" s="100">
        <f>DQ169</f>
        <v>179641</v>
      </c>
      <c r="DT164" s="72">
        <f t="shared" si="1021"/>
        <v>20.240023560594906</v>
      </c>
      <c r="DU164" s="100">
        <f>DS169</f>
        <v>177120</v>
      </c>
      <c r="DV164" s="72">
        <f t="shared" si="1021"/>
        <v>18.347465271513627</v>
      </c>
      <c r="DW164" s="100">
        <f t="shared" ref="DW164:EE164" si="1022">DU169</f>
        <v>183798</v>
      </c>
      <c r="DX164" s="72">
        <f t="shared" si="1021"/>
        <v>23.378375657007069</v>
      </c>
      <c r="DY164" s="100">
        <f t="shared" si="1022"/>
        <v>181662</v>
      </c>
      <c r="DZ164" s="72">
        <f t="shared" si="1021"/>
        <v>3.4957784031995232</v>
      </c>
      <c r="EA164" s="100">
        <f t="shared" si="1022"/>
        <v>179964</v>
      </c>
      <c r="EB164" s="72">
        <f t="shared" ref="EB164:EB170" si="1023">IF(ISERROR(EA164/DS164),"NA",IF(OR(EA164/DS164&gt;2,EA164/DS164&lt;0.5),"NM",EA164/DS164*100-100))</f>
        <v>0.17980305164189758</v>
      </c>
      <c r="EC164" s="100">
        <f t="shared" si="1022"/>
        <v>180819</v>
      </c>
      <c r="ED164" s="72">
        <f t="shared" ref="ED164:ED170" si="1024">IF(ISERROR(EC164/DU164),"NA",IF(OR(EC164/DU164&gt;2,EC164/DU164&lt;0.5),"NM",EC164/DU164*100-100))</f>
        <v>2.0884146341463463</v>
      </c>
      <c r="EE164" s="100">
        <f t="shared" si="1022"/>
        <v>180882</v>
      </c>
      <c r="EF164" s="72">
        <f t="shared" ref="EF164:EF170" si="1025">IF(ISERROR(EE164/DW164),"NA",IF(OR(EE164/DW164&gt;2,EE164/DW164&lt;0.5),"NM",EE164/DW164*100-100))</f>
        <v>-1.5865243364998491</v>
      </c>
      <c r="EG164" s="100">
        <f>EE169</f>
        <v>186224</v>
      </c>
      <c r="EH164" s="72">
        <f t="shared" ref="EH164:EH170" si="1026">IF(ISERROR(EG164/DY164),"NA",IF(OR(EG164/DY164&gt;2,EG164/DY164&lt;0.5),"NM",EG164/DY164*100-100))</f>
        <v>2.5112571699089443</v>
      </c>
      <c r="EI164" s="100">
        <f>EG169</f>
        <v>183376</v>
      </c>
      <c r="EJ164" s="72">
        <f t="shared" ref="EJ164:EJ170" si="1027">IF(ISERROR(EI164/EA164),"NA",IF(OR(EI164/EA164&gt;2,EI164/EA164&lt;0.5),"NM",EI164/EA164*100-100))</f>
        <v>1.8959347425040391</v>
      </c>
      <c r="EK164" s="100">
        <f>EI169</f>
        <v>185115</v>
      </c>
      <c r="EL164" s="72">
        <f t="shared" ref="EL164:EL170" si="1028">IF(ISERROR(EK164/EC164),"NA",IF(OR(EK164/EC164&gt;2,EK164/EC164&lt;0.5),"NM",EK164/EC164*100-100))</f>
        <v>2.3758565195029462</v>
      </c>
      <c r="EM164" s="100">
        <f>EK169</f>
        <v>186610</v>
      </c>
      <c r="EN164" s="72">
        <f t="shared" ref="EN164:EN170" si="1029">IF(ISERROR(EM164/EE164),"NA",IF(OR(EM164/EE164&gt;2,EM164/EE164&lt;0.5),"NM",EM164/EE164*100-100))</f>
        <v>3.1667053659291753</v>
      </c>
      <c r="EO164" s="100">
        <f>EM169</f>
        <v>188399</v>
      </c>
      <c r="EP164" s="72">
        <f t="shared" ref="EP164:EP170" si="1030">IF(ISERROR(EO164/EG164),"NA",IF(OR(EO164/EG164&gt;2,EO164/EG164&lt;0.5),"NM",EO164/EG164*100-100))</f>
        <v>1.1679482773434131</v>
      </c>
      <c r="EQ164" s="100">
        <f t="shared" ref="EQ164" si="1031">EO169</f>
        <v>194492</v>
      </c>
      <c r="ER164" s="72">
        <f t="shared" ref="ER164:ER170" si="1032">IF(ISERROR(EQ164/EI164),"NA",IF(OR(EQ164/EI164&gt;2,EQ164/EI164&lt;0.5),"NM",EQ164/EI164*100-100))</f>
        <v>6.0618619666695821</v>
      </c>
      <c r="ES164" s="100">
        <f t="shared" ref="ES164" si="1033">EQ169</f>
        <v>194278.0588</v>
      </c>
      <c r="ET164" s="72">
        <f t="shared" ref="ET164:ET170" si="1034">IF(ISERROR(ES164/EK164),"NA",IF(OR(ES164/EK164&gt;2,ES164/EK164&lt;0.5),"NM",ES164/EK164*100-100))</f>
        <v>4.9499277746265733</v>
      </c>
      <c r="EU164" s="100">
        <f t="shared" ref="EU164" si="1035">ES169</f>
        <v>195929.4222998</v>
      </c>
      <c r="EV164" s="72">
        <f t="shared" ref="EV164:EV170" si="1036">IF(ISERROR(EU164/EM164),"NA",IF(OR(EU164/EM164&gt;2,EU164/EM164&lt;0.5),"NM",EU164/EM164*100-100))</f>
        <v>4.9940637156636853</v>
      </c>
      <c r="EW164" s="100">
        <f t="shared" ref="EW164" si="1037">EU169</f>
        <v>197594.82238934829</v>
      </c>
      <c r="EX164" s="72">
        <f t="shared" ref="EX164:EX170" si="1038">IF(ISERROR(EW164/EO164),"NA",IF(OR(EW164/EO164&gt;2,EW164/EO164&lt;0.5),"NM",EW164/EO164*100-100))</f>
        <v>4.8810356686332312</v>
      </c>
      <c r="EY164" s="72"/>
      <c r="EZ164" s="309"/>
      <c r="FA164" s="72"/>
      <c r="FB164" s="101">
        <v>47723</v>
      </c>
      <c r="FC164" s="72"/>
      <c r="FD164" s="100">
        <f>FB169</f>
        <v>45560</v>
      </c>
      <c r="FE164" s="72">
        <f t="shared" ref="FE164:FE170" si="1039">IF(ISERROR(FD164/FB164),"NA",IF(OR(FD164/FB164&gt;2,FD164/FB164&lt;0.5),"NM",FD164/FB164*100-100))</f>
        <v>-4.5324057582297854</v>
      </c>
      <c r="FF164" s="100">
        <f>FD169</f>
        <v>41757</v>
      </c>
      <c r="FG164" s="72">
        <f t="shared" ref="FG164:FG170" si="1040">IF(ISERROR(FF164/FD164),"NA",IF(OR(FF164/FD164&gt;2,FF164/FD164&lt;0.5),"NM",FF164/FD164*100-100))</f>
        <v>-8.3472344161545209</v>
      </c>
      <c r="FH164" s="100">
        <f>FF169</f>
        <v>41577</v>
      </c>
      <c r="FI164" s="72">
        <f t="shared" ref="FI164:FI170" si="1041">IF(ISERROR(FH164/FF164),"NA",IF(OR(FH164/FF164&gt;2,FH164/FF164&lt;0.5),"NM",FH164/FF164*100-100))</f>
        <v>-0.43106545010417108</v>
      </c>
      <c r="FJ164" s="100">
        <f>FH169</f>
        <v>41577</v>
      </c>
      <c r="FK164" s="72">
        <f t="shared" ref="FK164:FK170" si="1042">IF(ISERROR(FJ164/FH164),"NA",IF(OR(FJ164/FH164&gt;2,FJ164/FH164&lt;0.5),"NM",FJ164/FH164*100-100))</f>
        <v>0</v>
      </c>
      <c r="FL164" s="100">
        <f>FJ169</f>
        <v>41577</v>
      </c>
      <c r="FM164" s="72">
        <f t="shared" ref="FM164:FM170" si="1043">IF(ISERROR(FL164/FJ164),"NA",IF(OR(FL164/FJ164&gt;2,FL164/FJ164&lt;0.5),"NM",FL164/FJ164*100-100))</f>
        <v>0</v>
      </c>
      <c r="FN164" s="100">
        <v>39296</v>
      </c>
      <c r="FO164" s="72">
        <f t="shared" ref="FO164:FO170" si="1044">IF(ISERROR(FN164/FL164),"NA",IF(OR(FN164/FL164&gt;2,FN164/FL164&lt;0.5),"NM",FN164/FL164*100-100))</f>
        <v>-5.4862063159920211</v>
      </c>
      <c r="FP164" s="100">
        <f>FN169</f>
        <v>47680</v>
      </c>
      <c r="FQ164" s="72">
        <f t="shared" ref="FQ164:FQ170" si="1045">IF(ISERROR(FP164/FN164),"NA",IF(OR(FP164/FN164&gt;2,FP164/FN164&lt;0.5),"NM",FP164/FN164*100-100))</f>
        <v>21.335504885993501</v>
      </c>
      <c r="FR164" s="100">
        <f>FP169</f>
        <v>48080</v>
      </c>
      <c r="FS164" s="72">
        <f t="shared" ref="FS164:FS170" si="1046">IF(ISERROR(FR164/FP164),"NA",IF(OR(FR164/FP164&gt;2,FR164/FP164&lt;0.5),"NM",FR164/FP164*100-100))</f>
        <v>0.83892617449663476</v>
      </c>
      <c r="FT164" s="100">
        <f>FR169</f>
        <v>50269</v>
      </c>
      <c r="FU164" s="72">
        <f t="shared" ref="FU164:FU170" si="1047">IF(ISERROR(FT164/FR164),"NA",IF(OR(FT164/FR164&gt;2,FT164/FR164&lt;0.5),"NM",FT164/FR164*100-100))</f>
        <v>4.5528286189683911</v>
      </c>
      <c r="FV164" s="100">
        <f>FT169</f>
        <v>51591</v>
      </c>
      <c r="FW164" s="72">
        <f t="shared" ref="FW164:GG170" si="1048">IF(ISERROR(FV164/FT164),"NA",IF(OR(FV164/FT164&gt;2,FV164/FT164&lt;0.5),"NM",FV164/FT164*100-100))</f>
        <v>2.6298513994708514</v>
      </c>
      <c r="FX164" s="100">
        <f>FV169</f>
        <v>50491</v>
      </c>
      <c r="FY164" s="72">
        <f t="shared" si="1048"/>
        <v>-2.1321548332073519</v>
      </c>
      <c r="FZ164" s="100">
        <f>FX169</f>
        <v>51908</v>
      </c>
      <c r="GA164" s="72">
        <f t="shared" si="1048"/>
        <v>2.8064407518171492</v>
      </c>
      <c r="GB164" s="100">
        <f>FZ169</f>
        <v>64183</v>
      </c>
      <c r="GC164" s="72">
        <f t="shared" si="1048"/>
        <v>23.647607305232341</v>
      </c>
      <c r="GD164" s="100">
        <f>GB169</f>
        <v>90089</v>
      </c>
      <c r="GE164" s="72">
        <f t="shared" si="1048"/>
        <v>40.362712867893379</v>
      </c>
      <c r="GF164" s="100">
        <f>GD169</f>
        <v>141435</v>
      </c>
      <c r="GG164" s="72">
        <f t="shared" si="1048"/>
        <v>56.994749636470601</v>
      </c>
      <c r="GH164" s="100">
        <f>GF169</f>
        <v>149402</v>
      </c>
      <c r="GI164" s="72">
        <f t="shared" ref="GI164:GU170" si="1049">IF(ISERROR(GH164/GF164),"NA",IF(OR(GH164/GF164&gt;2,GH164/GF164&lt;0.5),"NM",GH164/GF164*100-100))</f>
        <v>5.6329762788560203</v>
      </c>
      <c r="GJ164" s="100">
        <f>GH169</f>
        <v>179641</v>
      </c>
      <c r="GK164" s="72">
        <f t="shared" si="1049"/>
        <v>20.240023560594906</v>
      </c>
      <c r="GL164" s="100">
        <f>GJ169</f>
        <v>179964</v>
      </c>
      <c r="GM164" s="72">
        <f t="shared" si="1049"/>
        <v>0.17980305164189758</v>
      </c>
      <c r="GN164" s="100">
        <f>GL169</f>
        <v>183376</v>
      </c>
      <c r="GO164" s="72">
        <f t="shared" si="1049"/>
        <v>1.8959347425040391</v>
      </c>
      <c r="GP164" s="100">
        <f>GN169</f>
        <v>194492</v>
      </c>
      <c r="GQ164" s="72">
        <f t="shared" si="1049"/>
        <v>6.0618619666695821</v>
      </c>
      <c r="GR164" s="100">
        <f>GP169</f>
        <v>199274.37837965778</v>
      </c>
      <c r="GS164" s="72">
        <f t="shared" si="1049"/>
        <v>2.4589075024462659</v>
      </c>
      <c r="GT164" s="100">
        <f>GR169</f>
        <v>206049.70724456615</v>
      </c>
      <c r="GU164" s="72">
        <f t="shared" si="1049"/>
        <v>3.4000000000000057</v>
      </c>
      <c r="GV164" s="100">
        <f>GT169</f>
        <v>213055.39729088137</v>
      </c>
      <c r="GW164" s="72">
        <f t="shared" ref="GW164:GW170" si="1050">IF(ISERROR(GV164/GT164),"NA",IF(OR(GV164/GT164&gt;2,GV164/GT164&lt;0.5),"NM",GV164/GT164*100-100))</f>
        <v>3.3999999999999773</v>
      </c>
      <c r="GX164" s="100">
        <f>GV169</f>
        <v>220299.28079877136</v>
      </c>
      <c r="GY164" s="72">
        <f t="shared" ref="GY164:GY170" si="1051">IF(ISERROR(GX164/GV164),"NA",IF(OR(GX164/GV164&gt;2,GX164/GV164&lt;0.5),"NM",GX164/GV164*100-100))</f>
        <v>3.4000000000000057</v>
      </c>
      <c r="GZ164" s="72">
        <f t="shared" ref="GZ164:GZ170" si="1052">IF(ISERROR(((GX164/GN164)^0.2-1)*100),"NA",IF((((GX164/GN164)^0.2-1)*100)&gt;100,"NM",IF((((GX164/GN164)^0.2-1)*100)&lt;-50,"NM",((GX164/GN164)^0.2-1)*100)))</f>
        <v>3.7371033027812306</v>
      </c>
      <c r="HA164" s="72"/>
      <c r="HB164" s="72"/>
    </row>
    <row r="165" spans="2:275" ht="12.75" customHeight="1" x14ac:dyDescent="0.2">
      <c r="B165" s="4" t="s">
        <v>28</v>
      </c>
      <c r="C165" s="101"/>
      <c r="D165" s="72"/>
      <c r="E165" s="101"/>
      <c r="F165" s="72"/>
      <c r="G165" s="101"/>
      <c r="H165" s="72"/>
      <c r="I165" s="101"/>
      <c r="J165" s="72"/>
      <c r="K165" s="101"/>
      <c r="L165" s="72"/>
      <c r="M165" s="101"/>
      <c r="N165" s="72"/>
      <c r="O165" s="101"/>
      <c r="P165" s="72"/>
      <c r="Q165" s="101"/>
      <c r="R165" s="72"/>
      <c r="S165" s="101"/>
      <c r="T165" s="72"/>
      <c r="U165" s="101"/>
      <c r="V165" s="72"/>
      <c r="W165" s="101"/>
      <c r="X165" s="72"/>
      <c r="Y165" s="101"/>
      <c r="Z165" s="72"/>
      <c r="AA165" s="101"/>
      <c r="AB165" s="72"/>
      <c r="AC165" s="101"/>
      <c r="AD165" s="72"/>
      <c r="AE165" s="101"/>
      <c r="AF165" s="72"/>
      <c r="AG165" s="101"/>
      <c r="AH165" s="72"/>
      <c r="AI165" s="101">
        <v>328</v>
      </c>
      <c r="AJ165" s="72" t="str">
        <f t="shared" si="985"/>
        <v>NA</v>
      </c>
      <c r="AK165" s="101">
        <v>706</v>
      </c>
      <c r="AL165" s="72" t="str">
        <f t="shared" si="986"/>
        <v>NA</v>
      </c>
      <c r="AM165" s="101">
        <v>403</v>
      </c>
      <c r="AN165" s="72" t="str">
        <f t="shared" si="987"/>
        <v>NA</v>
      </c>
      <c r="AO165" s="101">
        <v>1514</v>
      </c>
      <c r="AP165" s="72" t="str">
        <f t="shared" si="988"/>
        <v>NA</v>
      </c>
      <c r="AQ165" s="101">
        <v>1243</v>
      </c>
      <c r="AR165" s="72" t="str">
        <f t="shared" si="989"/>
        <v>NM</v>
      </c>
      <c r="AS165" s="101">
        <v>1235</v>
      </c>
      <c r="AT165" s="72">
        <f t="shared" si="990"/>
        <v>74.929178470254953</v>
      </c>
      <c r="AU165" s="101">
        <v>802</v>
      </c>
      <c r="AV165" s="72">
        <f t="shared" si="991"/>
        <v>99.00744416873448</v>
      </c>
      <c r="AW165" s="101">
        <v>785</v>
      </c>
      <c r="AX165" s="72">
        <f t="shared" si="992"/>
        <v>-48.150594451783356</v>
      </c>
      <c r="AY165" s="101">
        <v>1536</v>
      </c>
      <c r="AZ165" s="72">
        <f t="shared" si="993"/>
        <v>23.57200321802091</v>
      </c>
      <c r="BA165" s="101">
        <v>1088</v>
      </c>
      <c r="BB165" s="72">
        <f t="shared" si="994"/>
        <v>-11.902834008097159</v>
      </c>
      <c r="BC165" s="101">
        <v>2004</v>
      </c>
      <c r="BD165" s="72" t="str">
        <f t="shared" si="995"/>
        <v>NM</v>
      </c>
      <c r="BE165" s="101">
        <v>1365</v>
      </c>
      <c r="BF165" s="72">
        <f t="shared" si="996"/>
        <v>73.885350318471353</v>
      </c>
      <c r="BG165" s="101">
        <v>1533</v>
      </c>
      <c r="BH165" s="72">
        <f t="shared" si="997"/>
        <v>-0.1953125</v>
      </c>
      <c r="BI165" s="101">
        <v>1597</v>
      </c>
      <c r="BJ165" s="72">
        <f t="shared" si="998"/>
        <v>46.783088235294116</v>
      </c>
      <c r="BK165" s="101">
        <v>545</v>
      </c>
      <c r="BL165" s="72" t="str">
        <f t="shared" si="999"/>
        <v>NM</v>
      </c>
      <c r="BM165" s="101">
        <v>1298</v>
      </c>
      <c r="BN165" s="72">
        <f t="shared" si="1000"/>
        <v>-4.9084249084249194</v>
      </c>
      <c r="BO165" s="101">
        <v>1810</v>
      </c>
      <c r="BP165" s="72">
        <f t="shared" si="1001"/>
        <v>18.069145466405743</v>
      </c>
      <c r="BQ165" s="101">
        <v>1606</v>
      </c>
      <c r="BR165" s="72">
        <f t="shared" si="1002"/>
        <v>0.56355666875391819</v>
      </c>
      <c r="BS165" s="101">
        <v>1052</v>
      </c>
      <c r="BT165" s="72">
        <f t="shared" si="1003"/>
        <v>93.027522935779814</v>
      </c>
      <c r="BU165" s="101">
        <v>1270</v>
      </c>
      <c r="BV165" s="72">
        <f t="shared" si="1004"/>
        <v>-2.1571648690292733</v>
      </c>
      <c r="BW165" s="101">
        <v>627</v>
      </c>
      <c r="BX165" s="72" t="str">
        <f t="shared" si="1005"/>
        <v>NM</v>
      </c>
      <c r="BY165" s="101">
        <v>2343</v>
      </c>
      <c r="BZ165" s="72">
        <f t="shared" si="1006"/>
        <v>45.890410958904113</v>
      </c>
      <c r="CA165" s="101">
        <v>1329</v>
      </c>
      <c r="CB165" s="72">
        <f t="shared" si="1007"/>
        <v>26.330798479087463</v>
      </c>
      <c r="CC165" s="101">
        <v>3487</v>
      </c>
      <c r="CD165" s="72" t="str">
        <f t="shared" si="1008"/>
        <v>NM</v>
      </c>
      <c r="CE165" s="101">
        <v>1876</v>
      </c>
      <c r="CF165" s="72" t="str">
        <f t="shared" si="1009"/>
        <v>NM</v>
      </c>
      <c r="CG165" s="101">
        <v>3692</v>
      </c>
      <c r="CH165" s="72">
        <f t="shared" si="1010"/>
        <v>57.575757575757564</v>
      </c>
      <c r="CI165" s="101">
        <v>3076</v>
      </c>
      <c r="CJ165" s="72" t="str">
        <f t="shared" si="1011"/>
        <v>NM</v>
      </c>
      <c r="CK165" s="101">
        <v>6654</v>
      </c>
      <c r="CL165" s="72">
        <f t="shared" si="1011"/>
        <v>90.823057069113844</v>
      </c>
      <c r="CM165" s="101">
        <v>5785</v>
      </c>
      <c r="CN165" s="72" t="str">
        <f t="shared" si="1011"/>
        <v>NM</v>
      </c>
      <c r="CO165" s="101">
        <v>5592</v>
      </c>
      <c r="CP165" s="72">
        <f t="shared" si="1011"/>
        <v>51.462621885157091</v>
      </c>
      <c r="CQ165" s="101">
        <v>5571</v>
      </c>
      <c r="CR165" s="72">
        <f t="shared" si="1011"/>
        <v>81.111833550065029</v>
      </c>
      <c r="CS165" s="101">
        <v>10825</v>
      </c>
      <c r="CT165" s="72">
        <f t="shared" si="1011"/>
        <v>62.684099789600225</v>
      </c>
      <c r="CU165" s="101">
        <v>4399</v>
      </c>
      <c r="CV165" s="72">
        <f t="shared" si="1012"/>
        <v>-23.958513396715645</v>
      </c>
      <c r="CW165" s="101">
        <v>8457</v>
      </c>
      <c r="CX165" s="72">
        <f t="shared" si="1013"/>
        <v>51.233905579399163</v>
      </c>
      <c r="CY165" s="101">
        <v>2957</v>
      </c>
      <c r="CZ165" s="72">
        <f t="shared" si="1014"/>
        <v>-46.921558068569382</v>
      </c>
      <c r="DA165" s="101">
        <v>39192</v>
      </c>
      <c r="DB165" s="72" t="str">
        <f t="shared" si="1015"/>
        <v>NM</v>
      </c>
      <c r="DC165" s="101">
        <v>3845</v>
      </c>
      <c r="DD165" s="72">
        <f t="shared" si="1016"/>
        <v>-12.59377131166174</v>
      </c>
      <c r="DE165" s="101">
        <v>4360</v>
      </c>
      <c r="DF165" s="72">
        <f t="shared" si="1017"/>
        <v>-48.445075085727794</v>
      </c>
      <c r="DG165" s="101">
        <v>5034</v>
      </c>
      <c r="DH165" s="72">
        <f t="shared" si="1018"/>
        <v>70.240108217788304</v>
      </c>
      <c r="DI165" s="101">
        <v>4055</v>
      </c>
      <c r="DJ165" s="72" t="str">
        <f t="shared" si="1019"/>
        <v>NM</v>
      </c>
      <c r="DK165" s="101">
        <v>1733</v>
      </c>
      <c r="DL165" s="72" t="str">
        <f t="shared" si="1020"/>
        <v>NM</v>
      </c>
      <c r="DM165" s="101">
        <v>2075</v>
      </c>
      <c r="DN165" s="72" t="str">
        <f t="shared" si="1021"/>
        <v>NM</v>
      </c>
      <c r="DO165" s="101">
        <v>30962</v>
      </c>
      <c r="DP165" s="72" t="str">
        <f t="shared" si="1021"/>
        <v>NM</v>
      </c>
      <c r="DQ165" s="101">
        <v>8523</v>
      </c>
      <c r="DR165" s="72" t="str">
        <f t="shared" si="1021"/>
        <v>NM</v>
      </c>
      <c r="DS165" s="101">
        <v>969</v>
      </c>
      <c r="DT165" s="72">
        <f t="shared" si="1021"/>
        <v>-44.085401038661274</v>
      </c>
      <c r="DU165" s="101">
        <v>9147</v>
      </c>
      <c r="DV165" s="72" t="str">
        <f t="shared" si="1021"/>
        <v>NM</v>
      </c>
      <c r="DW165" s="101">
        <v>2031</v>
      </c>
      <c r="DX165" s="72" t="str">
        <f t="shared" si="1021"/>
        <v>NM</v>
      </c>
      <c r="DY165" s="101">
        <v>3425</v>
      </c>
      <c r="DZ165" s="72" t="str">
        <f t="shared" si="1021"/>
        <v>NM</v>
      </c>
      <c r="EA165" s="101">
        <v>2061</v>
      </c>
      <c r="EB165" s="72" t="str">
        <f t="shared" si="1023"/>
        <v>NM</v>
      </c>
      <c r="EC165" s="101">
        <v>3421</v>
      </c>
      <c r="ED165" s="72" t="str">
        <f t="shared" si="1024"/>
        <v>NM</v>
      </c>
      <c r="EE165" s="101">
        <v>6907</v>
      </c>
      <c r="EF165" s="72" t="str">
        <f t="shared" si="1025"/>
        <v>NM</v>
      </c>
      <c r="EG165" s="101">
        <v>3751</v>
      </c>
      <c r="EH165" s="72">
        <f t="shared" si="1026"/>
        <v>9.5182481751824781</v>
      </c>
      <c r="EI165" s="101">
        <v>4042</v>
      </c>
      <c r="EJ165" s="72">
        <f t="shared" si="1027"/>
        <v>96.118389131489579</v>
      </c>
      <c r="EK165" s="101">
        <v>2557</v>
      </c>
      <c r="EL165" s="72">
        <f t="shared" si="1028"/>
        <v>-25.255773165741019</v>
      </c>
      <c r="EM165" s="101">
        <v>4764</v>
      </c>
      <c r="EN165" s="72">
        <f t="shared" si="1029"/>
        <v>-31.026494860286675</v>
      </c>
      <c r="EO165" s="101">
        <v>10267</v>
      </c>
      <c r="EP165" s="72" t="str">
        <f t="shared" si="1030"/>
        <v>NM</v>
      </c>
      <c r="EQ165" s="100">
        <f t="shared" ref="EQ165" si="1053">+EQ164*EQ174/400</f>
        <v>5348.53</v>
      </c>
      <c r="ER165" s="72">
        <f t="shared" si="1032"/>
        <v>32.323849579416105</v>
      </c>
      <c r="ES165" s="100">
        <f t="shared" ref="ES165" si="1054">+ES164*ES174/400</f>
        <v>5342.6466170000003</v>
      </c>
      <c r="ET165" s="72" t="str">
        <f t="shared" si="1034"/>
        <v>NM</v>
      </c>
      <c r="EU165" s="100">
        <f t="shared" ref="EU165" si="1055">+EU164*EU174/400</f>
        <v>5388.0591132445006</v>
      </c>
      <c r="EV165" s="72">
        <f t="shared" si="1036"/>
        <v>13.099477607986998</v>
      </c>
      <c r="EW165" s="100">
        <f t="shared" ref="EW165" si="1056">+EW164*EW174/400</f>
        <v>5433.8576157070775</v>
      </c>
      <c r="EX165" s="72">
        <f t="shared" si="1038"/>
        <v>-47.074533790717076</v>
      </c>
      <c r="EY165" s="72"/>
      <c r="EZ165" s="306"/>
      <c r="FA165" s="72"/>
      <c r="FB165" s="101">
        <v>2511</v>
      </c>
      <c r="FC165" s="72"/>
      <c r="FD165" s="101">
        <v>1951</v>
      </c>
      <c r="FE165" s="72">
        <f t="shared" si="1039"/>
        <v>-22.301871764237362</v>
      </c>
      <c r="FF165" s="101">
        <v>2024</v>
      </c>
      <c r="FG165" s="72">
        <f t="shared" si="1040"/>
        <v>3.7416709379805297</v>
      </c>
      <c r="FH165" s="75">
        <f>K165+M165+O165+Q165</f>
        <v>0</v>
      </c>
      <c r="FI165" s="72" t="str">
        <f t="shared" si="1041"/>
        <v>NM</v>
      </c>
      <c r="FJ165" s="75">
        <f>S165+U165+W165+Y165</f>
        <v>0</v>
      </c>
      <c r="FK165" s="72" t="str">
        <f t="shared" si="1042"/>
        <v>NA</v>
      </c>
      <c r="FL165" s="75">
        <f>+AA165+AC165+AE165+AG165</f>
        <v>0</v>
      </c>
      <c r="FM165" s="72" t="str">
        <f t="shared" si="1043"/>
        <v>NA</v>
      </c>
      <c r="FN165" s="75">
        <f>AI165+AK165+AM165+AO165</f>
        <v>2951</v>
      </c>
      <c r="FO165" s="72" t="str">
        <f t="shared" si="1044"/>
        <v>NA</v>
      </c>
      <c r="FP165" s="75">
        <f>AQ165+AS165+AU165+AW165</f>
        <v>4065</v>
      </c>
      <c r="FQ165" s="72">
        <f t="shared" si="1045"/>
        <v>37.74991528295493</v>
      </c>
      <c r="FR165" s="100">
        <f>AY165+BA165+BC165+BE165</f>
        <v>5993</v>
      </c>
      <c r="FS165" s="72">
        <f t="shared" si="1046"/>
        <v>47.429274292742917</v>
      </c>
      <c r="FT165" s="100">
        <f>BG165+BI165+BK165+BM165</f>
        <v>4973</v>
      </c>
      <c r="FU165" s="72">
        <f t="shared" si="1047"/>
        <v>-17.019856499249116</v>
      </c>
      <c r="FV165" s="100">
        <f>BO165+BQ165+BS165+BU165</f>
        <v>5738</v>
      </c>
      <c r="FW165" s="72">
        <f t="shared" si="1048"/>
        <v>15.383068570279505</v>
      </c>
      <c r="FX165" s="75">
        <f>BW165+BY165+CA165+CC165</f>
        <v>7786</v>
      </c>
      <c r="FY165" s="72">
        <f t="shared" si="1048"/>
        <v>35.691878703380979</v>
      </c>
      <c r="FZ165" s="75">
        <f>CE165+CG165+CI165+CK165</f>
        <v>15298</v>
      </c>
      <c r="GA165" s="72">
        <f t="shared" si="1048"/>
        <v>96.480863087593121</v>
      </c>
      <c r="GB165" s="100">
        <f>CM165+CO165+CQ165+CS165</f>
        <v>27773</v>
      </c>
      <c r="GC165" s="72">
        <f t="shared" si="1048"/>
        <v>81.546607399660076</v>
      </c>
      <c r="GD165" s="100">
        <f>CU165+CW165+CY165+DA165</f>
        <v>55005</v>
      </c>
      <c r="GE165" s="72">
        <f t="shared" si="1048"/>
        <v>98.052064955172284</v>
      </c>
      <c r="GF165" s="100">
        <f>DC165+DE165+DG165+DI165</f>
        <v>17294</v>
      </c>
      <c r="GG165" s="72" t="str">
        <f t="shared" si="1048"/>
        <v>NM</v>
      </c>
      <c r="GH165" s="100">
        <f>DK165+DM165+DO165+DQ165</f>
        <v>43293</v>
      </c>
      <c r="GI165" s="72" t="str">
        <f t="shared" si="1049"/>
        <v>NM</v>
      </c>
      <c r="GJ165" s="100">
        <f>DS165+DU165+DW165+DY165</f>
        <v>15572</v>
      </c>
      <c r="GK165" s="72" t="str">
        <f t="shared" si="1049"/>
        <v>NM</v>
      </c>
      <c r="GL165" s="100">
        <f>EA165+EC165+EE165+EG165</f>
        <v>16140</v>
      </c>
      <c r="GM165" s="72">
        <f t="shared" si="1049"/>
        <v>3.6475725661443619</v>
      </c>
      <c r="GN165" s="100">
        <f>EI165+EK165+EM165+EO165</f>
        <v>21630</v>
      </c>
      <c r="GO165" s="72">
        <f t="shared" si="1049"/>
        <v>34.014869888475829</v>
      </c>
      <c r="GP165" s="100">
        <f>EQ165+ES165+EU165+EW165</f>
        <v>21513.09334595158</v>
      </c>
      <c r="GQ165" s="72">
        <f t="shared" si="1049"/>
        <v>-0.5404838374869172</v>
      </c>
      <c r="GR165" s="100">
        <f>+GR164*GR174/100</f>
        <v>21920.181621762356</v>
      </c>
      <c r="GS165" s="72">
        <f t="shared" si="1049"/>
        <v>1.8922814551324478</v>
      </c>
      <c r="GT165" s="100">
        <f>+GT164*GT174/100</f>
        <v>22665.467796902274</v>
      </c>
      <c r="GU165" s="72">
        <f t="shared" si="1049"/>
        <v>3.3999999999999773</v>
      </c>
      <c r="GV165" s="100">
        <f>+GV164*GV174/100</f>
        <v>23436.093701996953</v>
      </c>
      <c r="GW165" s="72">
        <f t="shared" si="1050"/>
        <v>3.4000000000000057</v>
      </c>
      <c r="GX165" s="100">
        <f>+GX164*GX174/100</f>
        <v>24232.92088786485</v>
      </c>
      <c r="GY165" s="72">
        <f t="shared" si="1051"/>
        <v>3.4000000000000057</v>
      </c>
      <c r="GZ165" s="72">
        <f t="shared" si="1052"/>
        <v>2.2986373967291751</v>
      </c>
      <c r="HA165" s="72"/>
      <c r="HB165" s="72"/>
    </row>
    <row r="166" spans="2:275" ht="12.75" customHeight="1" x14ac:dyDescent="0.2">
      <c r="B166" s="4" t="s">
        <v>303</v>
      </c>
      <c r="C166" s="101"/>
      <c r="D166" s="72"/>
      <c r="E166" s="101"/>
      <c r="F166" s="72"/>
      <c r="G166" s="101"/>
      <c r="H166" s="72"/>
      <c r="I166" s="101"/>
      <c r="J166" s="72"/>
      <c r="K166" s="101"/>
      <c r="L166" s="72"/>
      <c r="M166" s="101"/>
      <c r="N166" s="72"/>
      <c r="O166" s="101"/>
      <c r="P166" s="72"/>
      <c r="Q166" s="101"/>
      <c r="R166" s="72"/>
      <c r="S166" s="101"/>
      <c r="T166" s="72"/>
      <c r="U166" s="101"/>
      <c r="V166" s="72"/>
      <c r="W166" s="101"/>
      <c r="X166" s="72"/>
      <c r="Y166" s="101"/>
      <c r="Z166" s="72"/>
      <c r="AA166" s="101"/>
      <c r="AB166" s="72"/>
      <c r="AC166" s="101"/>
      <c r="AD166" s="72"/>
      <c r="AE166" s="101"/>
      <c r="AF166" s="72"/>
      <c r="AG166" s="101"/>
      <c r="AH166" s="72"/>
      <c r="AI166" s="101">
        <v>-675</v>
      </c>
      <c r="AJ166" s="72" t="str">
        <f t="shared" si="985"/>
        <v>NA</v>
      </c>
      <c r="AK166" s="101">
        <v>-1281</v>
      </c>
      <c r="AL166" s="72" t="str">
        <f t="shared" si="986"/>
        <v>NA</v>
      </c>
      <c r="AM166" s="101">
        <v>-1094</v>
      </c>
      <c r="AN166" s="72" t="str">
        <f t="shared" si="987"/>
        <v>NA</v>
      </c>
      <c r="AO166" s="101">
        <v>-810</v>
      </c>
      <c r="AP166" s="72" t="str">
        <f t="shared" si="988"/>
        <v>NA</v>
      </c>
      <c r="AQ166" s="101">
        <v>-1181</v>
      </c>
      <c r="AR166" s="72">
        <f t="shared" si="989"/>
        <v>74.962962962962962</v>
      </c>
      <c r="AS166" s="101">
        <v>-1222</v>
      </c>
      <c r="AT166" s="72">
        <f t="shared" si="990"/>
        <v>-4.6057767369242839</v>
      </c>
      <c r="AU166" s="101">
        <v>-896</v>
      </c>
      <c r="AV166" s="72">
        <f t="shared" si="991"/>
        <v>-18.098720292504566</v>
      </c>
      <c r="AW166" s="101">
        <v>-2234</v>
      </c>
      <c r="AX166" s="72" t="str">
        <f t="shared" si="992"/>
        <v>NM</v>
      </c>
      <c r="AY166" s="101">
        <v>-2452</v>
      </c>
      <c r="AZ166" s="72" t="str">
        <f t="shared" si="993"/>
        <v>NM</v>
      </c>
      <c r="BA166" s="101">
        <v>-1429</v>
      </c>
      <c r="BB166" s="72">
        <f t="shared" si="994"/>
        <v>16.939443535188218</v>
      </c>
      <c r="BC166" s="101">
        <v>-711</v>
      </c>
      <c r="BD166" s="72">
        <f t="shared" si="995"/>
        <v>-20.647321428571431</v>
      </c>
      <c r="BE166" s="101">
        <v>-1764</v>
      </c>
      <c r="BF166" s="72">
        <f t="shared" si="996"/>
        <v>-21.038495971351836</v>
      </c>
      <c r="BG166" s="101">
        <v>-1743</v>
      </c>
      <c r="BH166" s="72">
        <f t="shared" si="997"/>
        <v>-28.915171288743878</v>
      </c>
      <c r="BI166" s="101">
        <v>-1399</v>
      </c>
      <c r="BJ166" s="72">
        <f t="shared" si="998"/>
        <v>-2.0993701889433112</v>
      </c>
      <c r="BK166" s="101">
        <v>-1193</v>
      </c>
      <c r="BL166" s="72">
        <f t="shared" si="999"/>
        <v>67.791842475386801</v>
      </c>
      <c r="BM166" s="101">
        <v>-1863</v>
      </c>
      <c r="BN166" s="72">
        <f t="shared" si="1000"/>
        <v>5.6122448979591724</v>
      </c>
      <c r="BO166" s="101">
        <v>-1702</v>
      </c>
      <c r="BP166" s="72">
        <f t="shared" si="1001"/>
        <v>-2.3522662076878902</v>
      </c>
      <c r="BQ166" s="101">
        <v>-1944</v>
      </c>
      <c r="BR166" s="72">
        <f t="shared" si="1002"/>
        <v>38.956397426733389</v>
      </c>
      <c r="BS166" s="101">
        <v>-2114</v>
      </c>
      <c r="BT166" s="72">
        <f t="shared" si="1003"/>
        <v>77.200335289186938</v>
      </c>
      <c r="BU166" s="101">
        <v>-1632</v>
      </c>
      <c r="BV166" s="72">
        <f t="shared" si="1004"/>
        <v>-12.399355877616742</v>
      </c>
      <c r="BW166" s="101">
        <v>-2037</v>
      </c>
      <c r="BX166" s="72">
        <f t="shared" si="1005"/>
        <v>19.682726204465339</v>
      </c>
      <c r="BY166" s="101">
        <v>-1272</v>
      </c>
      <c r="BZ166" s="72">
        <f t="shared" si="1006"/>
        <v>-34.567901234567898</v>
      </c>
      <c r="CA166" s="101">
        <v>-2523</v>
      </c>
      <c r="CB166" s="72">
        <f t="shared" si="1007"/>
        <v>19.347209082308424</v>
      </c>
      <c r="CC166" s="101">
        <v>-1985</v>
      </c>
      <c r="CD166" s="72">
        <f t="shared" si="1008"/>
        <v>21.629901960784309</v>
      </c>
      <c r="CE166" s="101">
        <v>-2139</v>
      </c>
      <c r="CF166" s="72">
        <f t="shared" si="1009"/>
        <v>5.0073637702503788</v>
      </c>
      <c r="CG166" s="101">
        <v>-2002</v>
      </c>
      <c r="CH166" s="72">
        <f t="shared" si="1010"/>
        <v>57.389937106918239</v>
      </c>
      <c r="CI166" s="101">
        <v>-1640</v>
      </c>
      <c r="CJ166" s="72">
        <f t="shared" si="1011"/>
        <v>-34.998018232263178</v>
      </c>
      <c r="CK166" s="101">
        <v>-1177</v>
      </c>
      <c r="CL166" s="72">
        <f t="shared" si="1011"/>
        <v>-40.705289672544076</v>
      </c>
      <c r="CM166" s="101">
        <v>-1128</v>
      </c>
      <c r="CN166" s="72">
        <f t="shared" si="1011"/>
        <v>-47.265077138849932</v>
      </c>
      <c r="CO166" s="101">
        <v>-1437</v>
      </c>
      <c r="CP166" s="72">
        <f t="shared" si="1011"/>
        <v>-28.221778221778223</v>
      </c>
      <c r="CQ166" s="101">
        <v>-1501</v>
      </c>
      <c r="CR166" s="72">
        <f t="shared" si="1011"/>
        <v>-8.4756097560975547</v>
      </c>
      <c r="CS166" s="101">
        <v>-2084</v>
      </c>
      <c r="CT166" s="72">
        <f t="shared" si="1011"/>
        <v>77.060322854715366</v>
      </c>
      <c r="CU166" s="101">
        <v>-1538</v>
      </c>
      <c r="CV166" s="72">
        <f t="shared" si="1012"/>
        <v>36.347517730496435</v>
      </c>
      <c r="CW166" s="101">
        <v>-2832</v>
      </c>
      <c r="CX166" s="72">
        <f t="shared" si="1013"/>
        <v>97.077244258872639</v>
      </c>
      <c r="CY166" s="101">
        <v>-1539</v>
      </c>
      <c r="CZ166" s="72">
        <f t="shared" si="1014"/>
        <v>2.5316455696202382</v>
      </c>
      <c r="DA166" s="101">
        <v>-2586</v>
      </c>
      <c r="DB166" s="72">
        <f t="shared" si="1015"/>
        <v>24.088291746641062</v>
      </c>
      <c r="DC166" s="101">
        <v>-2319</v>
      </c>
      <c r="DD166" s="72">
        <f t="shared" si="1016"/>
        <v>50.78023407022107</v>
      </c>
      <c r="DE166" s="101">
        <v>-2462</v>
      </c>
      <c r="DF166" s="72">
        <f t="shared" si="1017"/>
        <v>-13.064971751412429</v>
      </c>
      <c r="DG166" s="101">
        <v>-2487</v>
      </c>
      <c r="DH166" s="72">
        <f t="shared" si="1018"/>
        <v>61.598440545808955</v>
      </c>
      <c r="DI166" s="101">
        <v>-2683</v>
      </c>
      <c r="DJ166" s="72">
        <f t="shared" si="1019"/>
        <v>3.7509667440061918</v>
      </c>
      <c r="DK166" s="101">
        <v>-3017</v>
      </c>
      <c r="DL166" s="72">
        <f t="shared" si="1020"/>
        <v>30.099180681328164</v>
      </c>
      <c r="DM166" s="101">
        <v>-4602</v>
      </c>
      <c r="DN166" s="72">
        <f t="shared" si="1021"/>
        <v>86.921202274573517</v>
      </c>
      <c r="DO166" s="101">
        <v>-3634</v>
      </c>
      <c r="DP166" s="72">
        <f t="shared" si="1021"/>
        <v>46.11982308001609</v>
      </c>
      <c r="DQ166" s="101">
        <v>-4783</v>
      </c>
      <c r="DR166" s="72">
        <f t="shared" si="1021"/>
        <v>78.270592620201256</v>
      </c>
      <c r="DS166" s="101">
        <v>-3495</v>
      </c>
      <c r="DT166" s="72">
        <f t="shared" si="1021"/>
        <v>15.843553198541599</v>
      </c>
      <c r="DU166" s="101">
        <v>-3808</v>
      </c>
      <c r="DV166" s="72">
        <f t="shared" si="1021"/>
        <v>-17.253368100825725</v>
      </c>
      <c r="DW166" s="101">
        <v>-3940</v>
      </c>
      <c r="DX166" s="72">
        <f t="shared" si="1021"/>
        <v>8.4204733076499707</v>
      </c>
      <c r="DY166" s="101">
        <v>-4145</v>
      </c>
      <c r="DZ166" s="72">
        <f t="shared" si="1021"/>
        <v>-13.338908634748066</v>
      </c>
      <c r="EA166" s="101">
        <v>-2783</v>
      </c>
      <c r="EB166" s="72">
        <f t="shared" si="1023"/>
        <v>-20.371959942775391</v>
      </c>
      <c r="EC166" s="101">
        <v>-3119</v>
      </c>
      <c r="ED166" s="72">
        <f t="shared" si="1024"/>
        <v>-18.09348739495799</v>
      </c>
      <c r="EE166" s="101">
        <v>-2339</v>
      </c>
      <c r="EF166" s="72">
        <f t="shared" si="1025"/>
        <v>-40.63451776649746</v>
      </c>
      <c r="EG166" s="101">
        <v>-3920</v>
      </c>
      <c r="EH166" s="72">
        <f t="shared" si="1026"/>
        <v>-5.4282267792521139</v>
      </c>
      <c r="EI166" s="101">
        <v>-4241</v>
      </c>
      <c r="EJ166" s="72">
        <f t="shared" si="1027"/>
        <v>52.389507725476108</v>
      </c>
      <c r="EK166" s="101">
        <v>-4171</v>
      </c>
      <c r="EL166" s="72">
        <f t="shared" si="1028"/>
        <v>33.728759217697984</v>
      </c>
      <c r="EM166" s="101">
        <v>-3552</v>
      </c>
      <c r="EN166" s="72">
        <f t="shared" si="1029"/>
        <v>51.859769132107743</v>
      </c>
      <c r="EO166" s="101">
        <v>-5442</v>
      </c>
      <c r="EP166" s="72">
        <f t="shared" si="1030"/>
        <v>38.826530612244909</v>
      </c>
      <c r="EQ166" s="100">
        <f t="shared" ref="EQ166" si="1057">-EQ164*EQ175/400</f>
        <v>-4862.3</v>
      </c>
      <c r="ER166" s="72">
        <f t="shared" si="1032"/>
        <v>14.649846734260791</v>
      </c>
      <c r="ES166" s="100">
        <f t="shared" ref="ES166" si="1058">-ES164*ES175/400</f>
        <v>-4856.95147</v>
      </c>
      <c r="ET166" s="72">
        <f t="shared" si="1034"/>
        <v>16.44573171901223</v>
      </c>
      <c r="EU166" s="100">
        <f t="shared" ref="EU166" si="1059">-EU164*EU175/400</f>
        <v>-4898.2355574949997</v>
      </c>
      <c r="EV166" s="72">
        <f t="shared" si="1036"/>
        <v>37.900775830377256</v>
      </c>
      <c r="EW166" s="100">
        <f t="shared" ref="EW166" si="1060">-EW164*EW175/400</f>
        <v>-4939.8705597337075</v>
      </c>
      <c r="EX166" s="72">
        <f t="shared" si="1038"/>
        <v>-9.2269283400641768</v>
      </c>
      <c r="EY166" s="72"/>
      <c r="EZ166" s="306"/>
      <c r="FA166" s="72"/>
      <c r="FB166" s="101">
        <v>-9487</v>
      </c>
      <c r="FC166" s="72"/>
      <c r="FD166" s="101">
        <v>-7244</v>
      </c>
      <c r="FE166" s="72">
        <f t="shared" si="1039"/>
        <v>-23.642879730157063</v>
      </c>
      <c r="FF166" s="101">
        <v>-5279</v>
      </c>
      <c r="FG166" s="72">
        <f t="shared" si="1040"/>
        <v>-27.125897294312537</v>
      </c>
      <c r="FH166" s="75">
        <f>K166+M166+O166+Q166</f>
        <v>0</v>
      </c>
      <c r="FI166" s="72" t="str">
        <f t="shared" si="1041"/>
        <v>NM</v>
      </c>
      <c r="FJ166" s="75">
        <f>S166+U166+W166+Y166</f>
        <v>0</v>
      </c>
      <c r="FK166" s="72" t="str">
        <f t="shared" si="1042"/>
        <v>NA</v>
      </c>
      <c r="FL166" s="75">
        <f>+AA166+AC166+AE166+AG166</f>
        <v>0</v>
      </c>
      <c r="FM166" s="72" t="str">
        <f t="shared" si="1043"/>
        <v>NA</v>
      </c>
      <c r="FN166" s="75">
        <f>AI166+AK166+AM166+AO166</f>
        <v>-3860</v>
      </c>
      <c r="FO166" s="72" t="str">
        <f t="shared" si="1044"/>
        <v>NA</v>
      </c>
      <c r="FP166" s="75">
        <f>AQ166+AS166+AU166+AW166</f>
        <v>-5533</v>
      </c>
      <c r="FQ166" s="72">
        <f t="shared" si="1045"/>
        <v>43.341968911917093</v>
      </c>
      <c r="FR166" s="100">
        <f>AY166+BA166+BC166+BE166</f>
        <v>-6356</v>
      </c>
      <c r="FS166" s="72">
        <f t="shared" si="1046"/>
        <v>14.874390023495394</v>
      </c>
      <c r="FT166" s="100">
        <f>BG166+BI166+BK166+BM166</f>
        <v>-6198</v>
      </c>
      <c r="FU166" s="72">
        <f t="shared" si="1047"/>
        <v>-2.4858401510383885</v>
      </c>
      <c r="FV166" s="100">
        <f>BO166+BQ166+BS166+BU166</f>
        <v>-7392</v>
      </c>
      <c r="FW166" s="72">
        <f t="shared" si="1048"/>
        <v>19.264278799612782</v>
      </c>
      <c r="FX166" s="75">
        <f>BW166+BY166+CA166+CC166</f>
        <v>-7817</v>
      </c>
      <c r="FY166" s="72">
        <f t="shared" si="1048"/>
        <v>5.749458874458881</v>
      </c>
      <c r="FZ166" s="75">
        <f>CE166+CG166+CI166+CK166</f>
        <v>-6958</v>
      </c>
      <c r="GA166" s="72">
        <f t="shared" si="1048"/>
        <v>-10.988870410643472</v>
      </c>
      <c r="GB166" s="100">
        <f>CM166+CO166+CQ166+CS166</f>
        <v>-6150</v>
      </c>
      <c r="GC166" s="72">
        <f t="shared" si="1048"/>
        <v>-11.612532336878417</v>
      </c>
      <c r="GD166" s="100">
        <f>CU166+CW166+CY166+DA166</f>
        <v>-8495</v>
      </c>
      <c r="GE166" s="72">
        <f t="shared" si="1048"/>
        <v>38.130081300813004</v>
      </c>
      <c r="GF166" s="100">
        <f>DC166+DE166+DG166+DI166</f>
        <v>-9951</v>
      </c>
      <c r="GG166" s="72">
        <f t="shared" si="1048"/>
        <v>17.139493819894057</v>
      </c>
      <c r="GH166" s="100">
        <f>DK166+DM166+DO166+DQ166</f>
        <v>-16036</v>
      </c>
      <c r="GI166" s="72">
        <f t="shared" si="1049"/>
        <v>61.149633202693195</v>
      </c>
      <c r="GJ166" s="100">
        <f>DS166+DU166+DW166+DY166</f>
        <v>-15388</v>
      </c>
      <c r="GK166" s="72">
        <f t="shared" si="1049"/>
        <v>-4.0409079570965218</v>
      </c>
      <c r="GL166" s="100">
        <f>EA166+EC166+EE166+EG166</f>
        <v>-12161</v>
      </c>
      <c r="GM166" s="72">
        <f t="shared" si="1049"/>
        <v>-20.970886404990907</v>
      </c>
      <c r="GN166" s="100">
        <f>EI166+EK166+EM166+EO166</f>
        <v>-17406</v>
      </c>
      <c r="GO166" s="72">
        <f t="shared" si="1049"/>
        <v>43.129676835786512</v>
      </c>
      <c r="GP166" s="100">
        <f>EQ166+ES166+EU166+EW166</f>
        <v>-19557.357587228707</v>
      </c>
      <c r="GQ166" s="72">
        <f t="shared" si="1049"/>
        <v>12.359862043138619</v>
      </c>
      <c r="GR166" s="100">
        <f>-GR164*GR175/100</f>
        <v>-19927.437837965776</v>
      </c>
      <c r="GS166" s="72">
        <f t="shared" si="1049"/>
        <v>1.8922814551324478</v>
      </c>
      <c r="GT166" s="100">
        <f>-GT164*GT175/100</f>
        <v>-20604.970724456616</v>
      </c>
      <c r="GU166" s="72">
        <f t="shared" si="1049"/>
        <v>3.4000000000000199</v>
      </c>
      <c r="GV166" s="100">
        <f>-GV164*GV175/100</f>
        <v>-21305.539729088134</v>
      </c>
      <c r="GW166" s="72">
        <f t="shared" si="1050"/>
        <v>3.3999999999999631</v>
      </c>
      <c r="GX166" s="100">
        <f>-GX164*GX175/100</f>
        <v>-22029.928079877136</v>
      </c>
      <c r="GY166" s="72">
        <f t="shared" si="1051"/>
        <v>3.4000000000000199</v>
      </c>
      <c r="GZ166" s="72">
        <f t="shared" si="1052"/>
        <v>4.8245049431607789</v>
      </c>
      <c r="HA166" s="72"/>
      <c r="HB166" s="72"/>
    </row>
    <row r="167" spans="2:275" ht="12.75" customHeight="1" x14ac:dyDescent="0.2">
      <c r="B167" s="4" t="s">
        <v>447</v>
      </c>
      <c r="C167" s="101"/>
      <c r="D167" s="72"/>
      <c r="E167" s="101"/>
      <c r="F167" s="72"/>
      <c r="G167" s="101"/>
      <c r="H167" s="72"/>
      <c r="I167" s="101"/>
      <c r="J167" s="72"/>
      <c r="K167" s="101"/>
      <c r="L167" s="72"/>
      <c r="M167" s="101"/>
      <c r="N167" s="72"/>
      <c r="O167" s="101"/>
      <c r="P167" s="72"/>
      <c r="Q167" s="101"/>
      <c r="R167" s="72"/>
      <c r="S167" s="101"/>
      <c r="T167" s="72"/>
      <c r="U167" s="101"/>
      <c r="V167" s="72"/>
      <c r="W167" s="101"/>
      <c r="X167" s="72"/>
      <c r="Y167" s="101"/>
      <c r="Z167" s="72"/>
      <c r="AA167" s="101"/>
      <c r="AB167" s="72"/>
      <c r="AC167" s="101"/>
      <c r="AD167" s="72"/>
      <c r="AE167" s="101"/>
      <c r="AF167" s="72"/>
      <c r="AG167" s="101"/>
      <c r="AH167" s="72"/>
      <c r="AI167" s="101">
        <v>948</v>
      </c>
      <c r="AJ167" s="72" t="str">
        <f t="shared" si="985"/>
        <v>NA</v>
      </c>
      <c r="AK167" s="101">
        <v>-123</v>
      </c>
      <c r="AL167" s="72" t="str">
        <f t="shared" si="986"/>
        <v>NA</v>
      </c>
      <c r="AM167" s="101">
        <v>874</v>
      </c>
      <c r="AN167" s="72" t="str">
        <f t="shared" si="987"/>
        <v>NA</v>
      </c>
      <c r="AO167" s="101">
        <v>992</v>
      </c>
      <c r="AP167" s="72" t="str">
        <f t="shared" si="988"/>
        <v>NA</v>
      </c>
      <c r="AQ167" s="101">
        <v>318</v>
      </c>
      <c r="AR167" s="72" t="str">
        <f t="shared" si="989"/>
        <v>NM</v>
      </c>
      <c r="AS167" s="101">
        <v>1128</v>
      </c>
      <c r="AT167" s="72" t="str">
        <f t="shared" si="990"/>
        <v>NM</v>
      </c>
      <c r="AU167" s="101">
        <v>311</v>
      </c>
      <c r="AV167" s="72" t="str">
        <f t="shared" si="991"/>
        <v>NM</v>
      </c>
      <c r="AW167" s="101">
        <v>562</v>
      </c>
      <c r="AX167" s="72">
        <f t="shared" si="992"/>
        <v>-43.346774193548384</v>
      </c>
      <c r="AY167" s="101">
        <v>182</v>
      </c>
      <c r="AZ167" s="72">
        <f t="shared" si="993"/>
        <v>-42.767295597484278</v>
      </c>
      <c r="BA167" s="101">
        <v>423</v>
      </c>
      <c r="BB167" s="72" t="str">
        <f t="shared" si="994"/>
        <v>NM</v>
      </c>
      <c r="BC167" s="101">
        <v>995</v>
      </c>
      <c r="BD167" s="72" t="str">
        <f t="shared" si="995"/>
        <v>NM</v>
      </c>
      <c r="BE167" s="101">
        <v>647</v>
      </c>
      <c r="BF167" s="72">
        <f t="shared" si="996"/>
        <v>15.12455516014235</v>
      </c>
      <c r="BG167" s="101">
        <v>607</v>
      </c>
      <c r="BH167" s="72" t="str">
        <f t="shared" si="997"/>
        <v>NM</v>
      </c>
      <c r="BI167" s="101">
        <v>325</v>
      </c>
      <c r="BJ167" s="72">
        <f t="shared" si="998"/>
        <v>-23.167848699763596</v>
      </c>
      <c r="BK167" s="101">
        <v>933</v>
      </c>
      <c r="BL167" s="72">
        <f t="shared" si="999"/>
        <v>-6.2311557788944754</v>
      </c>
      <c r="BM167" s="101">
        <v>900</v>
      </c>
      <c r="BN167" s="72">
        <f t="shared" si="1000"/>
        <v>39.103554868624428</v>
      </c>
      <c r="BO167" s="101">
        <v>561</v>
      </c>
      <c r="BP167" s="72">
        <f t="shared" si="1001"/>
        <v>-7.5782537067545377</v>
      </c>
      <c r="BQ167" s="101">
        <v>241</v>
      </c>
      <c r="BR167" s="72">
        <f t="shared" si="1002"/>
        <v>-25.84615384615384</v>
      </c>
      <c r="BS167" s="101">
        <v>153</v>
      </c>
      <c r="BT167" s="72" t="str">
        <f t="shared" si="1003"/>
        <v>NM</v>
      </c>
      <c r="BU167" s="101">
        <v>1243</v>
      </c>
      <c r="BV167" s="72">
        <f t="shared" si="1004"/>
        <v>38.111111111111114</v>
      </c>
      <c r="BW167" s="101">
        <v>-152</v>
      </c>
      <c r="BX167" s="72" t="str">
        <f t="shared" si="1005"/>
        <v>NM</v>
      </c>
      <c r="BY167" s="101">
        <v>678</v>
      </c>
      <c r="BZ167" s="72" t="str">
        <f t="shared" si="1006"/>
        <v>NM</v>
      </c>
      <c r="CA167" s="101">
        <v>1548</v>
      </c>
      <c r="CB167" s="72" t="str">
        <f t="shared" si="1007"/>
        <v>NM</v>
      </c>
      <c r="CC167" s="101">
        <v>213</v>
      </c>
      <c r="CD167" s="72" t="str">
        <f t="shared" si="1008"/>
        <v>NM</v>
      </c>
      <c r="CE167" s="101">
        <v>799</v>
      </c>
      <c r="CF167" s="72" t="str">
        <f t="shared" si="1009"/>
        <v>NM</v>
      </c>
      <c r="CG167" s="101">
        <v>1448</v>
      </c>
      <c r="CH167" s="72" t="str">
        <f t="shared" si="1010"/>
        <v>NM</v>
      </c>
      <c r="CI167" s="101">
        <v>1298</v>
      </c>
      <c r="CJ167" s="72">
        <f t="shared" si="1011"/>
        <v>-16.1498708010336</v>
      </c>
      <c r="CK167" s="101">
        <v>-175</v>
      </c>
      <c r="CL167" s="72" t="str">
        <f t="shared" si="1011"/>
        <v>NM</v>
      </c>
      <c r="CM167" s="101">
        <v>482</v>
      </c>
      <c r="CN167" s="72">
        <f t="shared" si="1011"/>
        <v>-39.674593241551939</v>
      </c>
      <c r="CO167" s="101">
        <v>1190</v>
      </c>
      <c r="CP167" s="72">
        <f t="shared" si="1011"/>
        <v>-17.817679558011051</v>
      </c>
      <c r="CQ167" s="101">
        <v>2176</v>
      </c>
      <c r="CR167" s="72">
        <f t="shared" si="1011"/>
        <v>67.642526964560858</v>
      </c>
      <c r="CS167" s="101">
        <v>733</v>
      </c>
      <c r="CT167" s="72" t="str">
        <f t="shared" si="1011"/>
        <v>NM</v>
      </c>
      <c r="CU167" s="101">
        <v>928</v>
      </c>
      <c r="CV167" s="72">
        <f t="shared" si="1012"/>
        <v>92.531120331950206</v>
      </c>
      <c r="CW167" s="101">
        <v>1562</v>
      </c>
      <c r="CX167" s="72">
        <f t="shared" si="1013"/>
        <v>31.260504201680675</v>
      </c>
      <c r="CY167" s="101">
        <v>1509</v>
      </c>
      <c r="CZ167" s="72">
        <f t="shared" si="1014"/>
        <v>-30.652573529411768</v>
      </c>
      <c r="DA167" s="101">
        <v>788</v>
      </c>
      <c r="DB167" s="72">
        <f t="shared" si="1015"/>
        <v>7.5034106412005457</v>
      </c>
      <c r="DC167" s="101">
        <v>202</v>
      </c>
      <c r="DD167" s="72" t="str">
        <f t="shared" si="1016"/>
        <v>NM</v>
      </c>
      <c r="DE167" s="101">
        <v>-662</v>
      </c>
      <c r="DF167" s="72" t="str">
        <f t="shared" si="1017"/>
        <v>NM</v>
      </c>
      <c r="DG167" s="101">
        <v>412</v>
      </c>
      <c r="DH167" s="72" t="str">
        <f t="shared" si="1018"/>
        <v>NM</v>
      </c>
      <c r="DI167" s="101">
        <v>968</v>
      </c>
      <c r="DJ167" s="72">
        <f t="shared" si="1019"/>
        <v>22.842639593908615</v>
      </c>
      <c r="DK167" s="101">
        <v>1441</v>
      </c>
      <c r="DL167" s="72" t="str">
        <f t="shared" si="1020"/>
        <v>NM</v>
      </c>
      <c r="DM167" s="101">
        <v>1753</v>
      </c>
      <c r="DN167" s="72" t="str">
        <f t="shared" si="1021"/>
        <v>NM</v>
      </c>
      <c r="DO167" s="101">
        <v>940</v>
      </c>
      <c r="DP167" s="72" t="str">
        <f t="shared" si="1021"/>
        <v>NM</v>
      </c>
      <c r="DQ167" s="101">
        <v>1699</v>
      </c>
      <c r="DR167" s="72">
        <f t="shared" si="1021"/>
        <v>75.516528925619838</v>
      </c>
      <c r="DS167" s="101">
        <v>1629</v>
      </c>
      <c r="DT167" s="72">
        <f t="shared" si="1021"/>
        <v>13.046495489243568</v>
      </c>
      <c r="DU167" s="101">
        <v>83</v>
      </c>
      <c r="DV167" s="72" t="str">
        <f t="shared" si="1021"/>
        <v>NM</v>
      </c>
      <c r="DW167" s="101">
        <v>1106</v>
      </c>
      <c r="DX167" s="72">
        <f t="shared" si="1021"/>
        <v>17.659574468085111</v>
      </c>
      <c r="DY167" s="101">
        <v>658</v>
      </c>
      <c r="DZ167" s="72" t="str">
        <f t="shared" si="1021"/>
        <v>NM</v>
      </c>
      <c r="EA167" s="101">
        <v>2198</v>
      </c>
      <c r="EB167" s="72">
        <f t="shared" si="1023"/>
        <v>34.92940454266423</v>
      </c>
      <c r="EC167" s="101">
        <v>2053</v>
      </c>
      <c r="ED167" s="72" t="str">
        <f t="shared" si="1024"/>
        <v>NM</v>
      </c>
      <c r="EE167" s="101">
        <v>1953</v>
      </c>
      <c r="EF167" s="72">
        <f t="shared" si="1025"/>
        <v>76.582278481012679</v>
      </c>
      <c r="EG167" s="101">
        <v>-905</v>
      </c>
      <c r="EH167" s="72" t="str">
        <f t="shared" si="1026"/>
        <v>NM</v>
      </c>
      <c r="EI167" s="101">
        <v>1229</v>
      </c>
      <c r="EJ167" s="72">
        <f t="shared" si="1027"/>
        <v>-44.085532302092808</v>
      </c>
      <c r="EK167" s="101">
        <v>1673</v>
      </c>
      <c r="EL167" s="72">
        <f t="shared" si="1028"/>
        <v>-18.509498295177778</v>
      </c>
      <c r="EM167" s="101">
        <v>1341</v>
      </c>
      <c r="EN167" s="72">
        <f t="shared" si="1029"/>
        <v>-31.336405529953907</v>
      </c>
      <c r="EO167" s="101">
        <v>947</v>
      </c>
      <c r="EP167" s="72" t="str">
        <f t="shared" si="1030"/>
        <v>NM</v>
      </c>
      <c r="EQ167" s="75">
        <f t="shared" ref="EQ167" si="1061">EQ164*(EQ177/100*EQ$25/100)</f>
        <v>-700.1712</v>
      </c>
      <c r="ER167" s="72" t="str">
        <f t="shared" si="1032"/>
        <v>NM</v>
      </c>
      <c r="ES167" s="75">
        <f t="shared" ref="ES167" si="1062">ES164*(ES177/100*ES$25/100)</f>
        <v>1165.6683528000001</v>
      </c>
      <c r="ET167" s="72">
        <f t="shared" si="1034"/>
        <v>-30.324665104602502</v>
      </c>
      <c r="EU167" s="75">
        <f t="shared" ref="EU167" si="1063">EU164*(EU177/100*EU$25/100)</f>
        <v>1175.5765337988</v>
      </c>
      <c r="EV167" s="72">
        <f t="shared" si="1036"/>
        <v>-12.335828948635339</v>
      </c>
      <c r="EW167" s="75">
        <f t="shared" ref="EW167" si="1064">EW164*(EW177/100*EW$25/100)</f>
        <v>1185.5689343360898</v>
      </c>
      <c r="EX167" s="72">
        <f t="shared" si="1038"/>
        <v>25.192073319544846</v>
      </c>
      <c r="EY167" s="72"/>
      <c r="EZ167" s="306"/>
      <c r="FA167" s="72"/>
      <c r="FB167" s="101">
        <v>4020</v>
      </c>
      <c r="FC167" s="72"/>
      <c r="FD167" s="101">
        <v>2070</v>
      </c>
      <c r="FE167" s="72">
        <f t="shared" si="1039"/>
        <v>-48.507462686567159</v>
      </c>
      <c r="FF167" s="101">
        <v>2997</v>
      </c>
      <c r="FG167" s="72">
        <f t="shared" si="1040"/>
        <v>44.782608695652186</v>
      </c>
      <c r="FH167" s="75">
        <f>K167+M167+O167+Q167</f>
        <v>0</v>
      </c>
      <c r="FI167" s="72" t="str">
        <f t="shared" si="1041"/>
        <v>NM</v>
      </c>
      <c r="FJ167" s="75">
        <f>S167+U167+W167+Y167</f>
        <v>0</v>
      </c>
      <c r="FK167" s="72" t="str">
        <f t="shared" si="1042"/>
        <v>NA</v>
      </c>
      <c r="FL167" s="75">
        <f>+AA167+AC167+AE167+AG167</f>
        <v>0</v>
      </c>
      <c r="FM167" s="72" t="str">
        <f t="shared" si="1043"/>
        <v>NA</v>
      </c>
      <c r="FN167" s="75">
        <f>AI167+AK167+AM167+AO167</f>
        <v>2691</v>
      </c>
      <c r="FO167" s="72" t="str">
        <f t="shared" si="1044"/>
        <v>NA</v>
      </c>
      <c r="FP167" s="75">
        <f>AQ167+AS167+AU167+AW167</f>
        <v>2319</v>
      </c>
      <c r="FQ167" s="72">
        <f t="shared" si="1045"/>
        <v>-13.823857302118171</v>
      </c>
      <c r="FR167" s="100">
        <f>AY167+BA167+BC167+BE167</f>
        <v>2247</v>
      </c>
      <c r="FS167" s="72">
        <f t="shared" si="1046"/>
        <v>-3.1047865459249664</v>
      </c>
      <c r="FT167" s="100">
        <f>BG167+BI167+BK167+BM167</f>
        <v>2765</v>
      </c>
      <c r="FU167" s="72">
        <f t="shared" si="1047"/>
        <v>23.052959501557638</v>
      </c>
      <c r="FV167" s="100">
        <f>BO167+BQ167+BS167+BU167</f>
        <v>2198</v>
      </c>
      <c r="FW167" s="72">
        <f t="shared" si="1048"/>
        <v>-20.506329113924053</v>
      </c>
      <c r="FX167" s="75">
        <f>BW167+BY167+CA167+CC167</f>
        <v>2287</v>
      </c>
      <c r="FY167" s="72">
        <f t="shared" si="1048"/>
        <v>4.0491355777979976</v>
      </c>
      <c r="FZ167" s="75">
        <f>CE167+CG167+CI167+CK167</f>
        <v>3370</v>
      </c>
      <c r="GA167" s="72">
        <f t="shared" si="1048"/>
        <v>47.354613030170526</v>
      </c>
      <c r="GB167" s="100">
        <f>CM167+CO167+CQ167+CS167</f>
        <v>4581</v>
      </c>
      <c r="GC167" s="72">
        <f t="shared" si="1048"/>
        <v>35.934718100890223</v>
      </c>
      <c r="GD167" s="100">
        <f>CU167+CW167+CY167+DA167</f>
        <v>4787</v>
      </c>
      <c r="GE167" s="72">
        <f t="shared" si="1048"/>
        <v>4.4968347522375041</v>
      </c>
      <c r="GF167" s="100">
        <f>DC167+DE167+DG167+DI167</f>
        <v>920</v>
      </c>
      <c r="GG167" s="72" t="str">
        <f t="shared" si="1048"/>
        <v>NM</v>
      </c>
      <c r="GH167" s="100">
        <f>DK167+DM167+DO167+DQ167</f>
        <v>5833</v>
      </c>
      <c r="GI167" s="72" t="str">
        <f t="shared" si="1049"/>
        <v>NM</v>
      </c>
      <c r="GJ167" s="100">
        <f>DS167+DU167+DW167+DY167</f>
        <v>3476</v>
      </c>
      <c r="GK167" s="72">
        <f t="shared" si="1049"/>
        <v>-40.408023315618038</v>
      </c>
      <c r="GL167" s="100">
        <f>EA167+EC167+EE167+EG167</f>
        <v>5299</v>
      </c>
      <c r="GM167" s="72">
        <f t="shared" si="1049"/>
        <v>52.445339470655938</v>
      </c>
      <c r="GN167" s="100">
        <f>EI167+EK167+EM167+EO167</f>
        <v>5190</v>
      </c>
      <c r="GO167" s="72">
        <f t="shared" si="1049"/>
        <v>-2.0569918852613682</v>
      </c>
      <c r="GP167" s="100">
        <f>EQ167+ES167+EU167+EW167</f>
        <v>2826.6426209348901</v>
      </c>
      <c r="GQ167" s="72">
        <f t="shared" si="1049"/>
        <v>-45.536751041716947</v>
      </c>
      <c r="GR167" s="75">
        <f>GR164*(GR177/100*GR$25/100)</f>
        <v>4782.5850811117871</v>
      </c>
      <c r="GS167" s="72">
        <f t="shared" si="1049"/>
        <v>69.196666238973791</v>
      </c>
      <c r="GT167" s="75">
        <f>GT164*(GT177/100*GT$25/100)</f>
        <v>4945.1929738695881</v>
      </c>
      <c r="GU167" s="72">
        <f t="shared" si="1049"/>
        <v>3.4000000000000057</v>
      </c>
      <c r="GV167" s="75">
        <f>GV164*(GV177/100*GV$25/100)</f>
        <v>5113.3295349811533</v>
      </c>
      <c r="GW167" s="72">
        <f t="shared" si="1050"/>
        <v>3.3999999999999773</v>
      </c>
      <c r="GX167" s="75">
        <f>GX164*(GX177/100*GX$25/100)</f>
        <v>5287.1827391705128</v>
      </c>
      <c r="GY167" s="72">
        <f t="shared" si="1051"/>
        <v>3.4000000000000057</v>
      </c>
      <c r="GZ167" s="72">
        <f t="shared" si="1052"/>
        <v>0.3717260608327777</v>
      </c>
      <c r="HA167" s="72"/>
      <c r="HB167" s="72"/>
    </row>
    <row r="168" spans="2:275" ht="12.75" customHeight="1" x14ac:dyDescent="0.2">
      <c r="B168" s="10" t="s">
        <v>697</v>
      </c>
      <c r="C168" s="101"/>
      <c r="D168" s="72"/>
      <c r="E168" s="101"/>
      <c r="F168" s="72"/>
      <c r="G168" s="101"/>
      <c r="H168" s="72"/>
      <c r="I168" s="101"/>
      <c r="J168" s="72"/>
      <c r="K168" s="101"/>
      <c r="L168" s="72"/>
      <c r="M168" s="101"/>
      <c r="N168" s="72"/>
      <c r="O168" s="101"/>
      <c r="P168" s="72"/>
      <c r="Q168" s="101"/>
      <c r="R168" s="72"/>
      <c r="S168" s="101"/>
      <c r="T168" s="72"/>
      <c r="U168" s="101"/>
      <c r="V168" s="72"/>
      <c r="W168" s="101"/>
      <c r="X168" s="72"/>
      <c r="Y168" s="101"/>
      <c r="Z168" s="72"/>
      <c r="AA168" s="101"/>
      <c r="AB168" s="72"/>
      <c r="AC168" s="101"/>
      <c r="AD168" s="72"/>
      <c r="AE168" s="101"/>
      <c r="AF168" s="72"/>
      <c r="AG168" s="101"/>
      <c r="AH168" s="72"/>
      <c r="AI168" s="101">
        <v>-387</v>
      </c>
      <c r="AJ168" s="72" t="str">
        <f t="shared" si="985"/>
        <v>NA</v>
      </c>
      <c r="AK168" s="101">
        <f>-369+7242</f>
        <v>6873</v>
      </c>
      <c r="AL168" s="72" t="str">
        <f t="shared" si="986"/>
        <v>NA</v>
      </c>
      <c r="AM168" s="101">
        <v>-12</v>
      </c>
      <c r="AN168" s="72" t="str">
        <f t="shared" si="987"/>
        <v>NA</v>
      </c>
      <c r="AO168" s="101">
        <v>128</v>
      </c>
      <c r="AP168" s="72" t="str">
        <f t="shared" si="988"/>
        <v>NA</v>
      </c>
      <c r="AQ168" s="101">
        <v>-362</v>
      </c>
      <c r="AR168" s="72">
        <f t="shared" si="989"/>
        <v>-6.4599483204134316</v>
      </c>
      <c r="AS168" s="101">
        <v>-227</v>
      </c>
      <c r="AT168" s="72" t="str">
        <f t="shared" si="990"/>
        <v>NM</v>
      </c>
      <c r="AU168" s="101">
        <v>88</v>
      </c>
      <c r="AV168" s="72" t="str">
        <f t="shared" si="991"/>
        <v>NM</v>
      </c>
      <c r="AW168" s="101">
        <v>50</v>
      </c>
      <c r="AX168" s="72" t="str">
        <f t="shared" si="992"/>
        <v>NM</v>
      </c>
      <c r="AY168" s="101">
        <v>-131</v>
      </c>
      <c r="AZ168" s="72" t="str">
        <f t="shared" si="993"/>
        <v>NM</v>
      </c>
      <c r="BA168" s="101">
        <v>-384</v>
      </c>
      <c r="BB168" s="72">
        <f t="shared" si="994"/>
        <v>69.162995594713664</v>
      </c>
      <c r="BC168" s="101">
        <v>267</v>
      </c>
      <c r="BD168" s="72" t="str">
        <f t="shared" si="995"/>
        <v>NM</v>
      </c>
      <c r="BE168" s="101">
        <v>553</v>
      </c>
      <c r="BF168" s="72" t="str">
        <f t="shared" si="996"/>
        <v>NM</v>
      </c>
      <c r="BG168" s="101">
        <v>-5</v>
      </c>
      <c r="BH168" s="72" t="str">
        <f t="shared" si="997"/>
        <v>NM</v>
      </c>
      <c r="BI168" s="101">
        <v>-258</v>
      </c>
      <c r="BJ168" s="72">
        <f t="shared" si="998"/>
        <v>-32.8125</v>
      </c>
      <c r="BK168" s="101">
        <v>416</v>
      </c>
      <c r="BL168" s="72">
        <f t="shared" si="999"/>
        <v>55.805243445692895</v>
      </c>
      <c r="BM168" s="101">
        <v>-371</v>
      </c>
      <c r="BN168" s="72" t="str">
        <f t="shared" si="1000"/>
        <v>NM</v>
      </c>
      <c r="BO168" s="101">
        <v>-593</v>
      </c>
      <c r="BP168" s="72" t="str">
        <f t="shared" si="1001"/>
        <v>NM</v>
      </c>
      <c r="BQ168" s="101">
        <v>-57</v>
      </c>
      <c r="BR168" s="72" t="str">
        <f t="shared" si="1002"/>
        <v>NM</v>
      </c>
      <c r="BS168" s="101">
        <v>-563</v>
      </c>
      <c r="BT168" s="72" t="str">
        <f t="shared" si="1003"/>
        <v>NM</v>
      </c>
      <c r="BU168" s="101">
        <v>-431</v>
      </c>
      <c r="BV168" s="72">
        <f t="shared" si="1004"/>
        <v>16.17250673854447</v>
      </c>
      <c r="BW168" s="101">
        <v>101</v>
      </c>
      <c r="BX168" s="72" t="str">
        <f t="shared" si="1005"/>
        <v>NM</v>
      </c>
      <c r="BY168" s="101">
        <v>-1304</v>
      </c>
      <c r="BZ168" s="72" t="str">
        <f t="shared" si="1006"/>
        <v>NM</v>
      </c>
      <c r="CA168" s="101">
        <v>308</v>
      </c>
      <c r="CB168" s="72" t="str">
        <f t="shared" si="1007"/>
        <v>NM</v>
      </c>
      <c r="CC168" s="101">
        <v>56</v>
      </c>
      <c r="CD168" s="72" t="str">
        <f t="shared" si="1008"/>
        <v>NM</v>
      </c>
      <c r="CE168" s="101">
        <v>324</v>
      </c>
      <c r="CF168" s="72" t="str">
        <f t="shared" si="1009"/>
        <v>NM</v>
      </c>
      <c r="CG168" s="101">
        <v>59</v>
      </c>
      <c r="CH168" s="72" t="str">
        <f t="shared" si="1010"/>
        <v>NM</v>
      </c>
      <c r="CI168" s="101">
        <v>363</v>
      </c>
      <c r="CJ168" s="72">
        <f t="shared" si="1011"/>
        <v>17.857142857142861</v>
      </c>
      <c r="CK168" s="101">
        <v>-181</v>
      </c>
      <c r="CL168" s="72" t="str">
        <f t="shared" si="1011"/>
        <v>NM</v>
      </c>
      <c r="CM168" s="101">
        <v>-430</v>
      </c>
      <c r="CN168" s="72" t="str">
        <f t="shared" si="1011"/>
        <v>NM</v>
      </c>
      <c r="CO168" s="101">
        <v>-106</v>
      </c>
      <c r="CP168" s="72" t="str">
        <f t="shared" si="1011"/>
        <v>NM</v>
      </c>
      <c r="CQ168" s="101">
        <v>136</v>
      </c>
      <c r="CR168" s="72" t="str">
        <f t="shared" si="1011"/>
        <v>NM</v>
      </c>
      <c r="CS168" s="101">
        <v>102</v>
      </c>
      <c r="CT168" s="72" t="str">
        <f t="shared" si="1011"/>
        <v>NM</v>
      </c>
      <c r="CU168" s="101">
        <v>-25</v>
      </c>
      <c r="CV168" s="72" t="str">
        <f t="shared" si="1012"/>
        <v>NM</v>
      </c>
      <c r="CW168" s="101">
        <v>1403</v>
      </c>
      <c r="CX168" s="72" t="str">
        <f t="shared" si="1013"/>
        <v>NM</v>
      </c>
      <c r="CY168" s="101">
        <v>-724</v>
      </c>
      <c r="CZ168" s="72" t="str">
        <f t="shared" si="1014"/>
        <v>NM</v>
      </c>
      <c r="DA168" s="101">
        <v>-605</v>
      </c>
      <c r="DB168" s="72" t="str">
        <f t="shared" si="1015"/>
        <v>NM</v>
      </c>
      <c r="DC168" s="101">
        <v>-152</v>
      </c>
      <c r="DD168" s="72" t="str">
        <f t="shared" si="1016"/>
        <v>NM</v>
      </c>
      <c r="DE168" s="101">
        <v>-146</v>
      </c>
      <c r="DF168" s="72" t="str">
        <f t="shared" si="1017"/>
        <v>NM</v>
      </c>
      <c r="DG168" s="101">
        <v>40</v>
      </c>
      <c r="DH168" s="72" t="str">
        <f t="shared" si="1018"/>
        <v>NM</v>
      </c>
      <c r="DI168" s="101">
        <v>-38</v>
      </c>
      <c r="DJ168" s="72" t="str">
        <f t="shared" si="1019"/>
        <v>NM</v>
      </c>
      <c r="DK168" s="101">
        <v>102</v>
      </c>
      <c r="DL168" s="72" t="str">
        <f t="shared" si="1020"/>
        <v>NM</v>
      </c>
      <c r="DM168" s="101">
        <v>84</v>
      </c>
      <c r="DN168" s="72" t="str">
        <f t="shared" si="1021"/>
        <v>NM</v>
      </c>
      <c r="DO168" s="101">
        <v>-1713</v>
      </c>
      <c r="DP168" s="72" t="str">
        <f t="shared" si="1021"/>
        <v>NM</v>
      </c>
      <c r="DQ168" s="101">
        <v>-1324</v>
      </c>
      <c r="DR168" s="72" t="str">
        <f t="shared" si="1021"/>
        <v>NM</v>
      </c>
      <c r="DS168" s="101">
        <v>-1624</v>
      </c>
      <c r="DT168" s="72" t="str">
        <f t="shared" si="1021"/>
        <v>NM</v>
      </c>
      <c r="DU168" s="101">
        <v>1256</v>
      </c>
      <c r="DV168" s="72" t="str">
        <f t="shared" si="1021"/>
        <v>NM</v>
      </c>
      <c r="DW168" s="101">
        <v>-1333</v>
      </c>
      <c r="DX168" s="72">
        <f t="shared" si="1021"/>
        <v>-22.183304144775249</v>
      </c>
      <c r="DY168" s="101">
        <v>-1636</v>
      </c>
      <c r="DZ168" s="72">
        <f t="shared" si="1021"/>
        <v>23.564954682779458</v>
      </c>
      <c r="EA168" s="101">
        <v>-621</v>
      </c>
      <c r="EB168" s="72" t="str">
        <f t="shared" si="1023"/>
        <v>NM</v>
      </c>
      <c r="EC168" s="101">
        <v>-2292</v>
      </c>
      <c r="ED168" s="72" t="str">
        <f t="shared" si="1024"/>
        <v>NM</v>
      </c>
      <c r="EE168" s="101">
        <v>-1179</v>
      </c>
      <c r="EF168" s="72">
        <f t="shared" si="1025"/>
        <v>-11.552888222055515</v>
      </c>
      <c r="EG168" s="101">
        <v>-1774</v>
      </c>
      <c r="EH168" s="72">
        <f t="shared" si="1026"/>
        <v>8.4352078239608801</v>
      </c>
      <c r="EI168" s="101">
        <v>709</v>
      </c>
      <c r="EJ168" s="72" t="str">
        <f t="shared" si="1027"/>
        <v>NM</v>
      </c>
      <c r="EK168" s="101">
        <v>1436</v>
      </c>
      <c r="EL168" s="72" t="str">
        <f t="shared" si="1028"/>
        <v>NM</v>
      </c>
      <c r="EM168" s="101">
        <v>-764</v>
      </c>
      <c r="EN168" s="72">
        <f t="shared" si="1029"/>
        <v>-35.199321458863437</v>
      </c>
      <c r="EO168" s="101">
        <v>321</v>
      </c>
      <c r="EP168" s="72" t="str">
        <f t="shared" si="1030"/>
        <v>NM</v>
      </c>
      <c r="EQ168" s="101">
        <v>0</v>
      </c>
      <c r="ER168" s="72" t="str">
        <f t="shared" si="1032"/>
        <v>NM</v>
      </c>
      <c r="ES168" s="101">
        <v>0</v>
      </c>
      <c r="ET168" s="72" t="str">
        <f t="shared" si="1034"/>
        <v>NM</v>
      </c>
      <c r="EU168" s="101">
        <v>0</v>
      </c>
      <c r="EV168" s="72" t="str">
        <f t="shared" si="1036"/>
        <v>NM</v>
      </c>
      <c r="EW168" s="101">
        <v>0</v>
      </c>
      <c r="EX168" s="72" t="str">
        <f t="shared" si="1038"/>
        <v>NM</v>
      </c>
      <c r="EY168" s="72"/>
      <c r="EZ168" s="306"/>
      <c r="FA168" s="72"/>
      <c r="FB168" s="101">
        <v>793</v>
      </c>
      <c r="FC168" s="72"/>
      <c r="FD168" s="101">
        <v>-580</v>
      </c>
      <c r="FE168" s="72" t="str">
        <f t="shared" si="1039"/>
        <v>NM</v>
      </c>
      <c r="FF168" s="101">
        <v>78</v>
      </c>
      <c r="FG168" s="72" t="str">
        <f t="shared" si="1040"/>
        <v>NM</v>
      </c>
      <c r="FH168" s="75">
        <f>K168+M168+O168+Q168</f>
        <v>0</v>
      </c>
      <c r="FI168" s="72" t="str">
        <f t="shared" si="1041"/>
        <v>NM</v>
      </c>
      <c r="FJ168" s="75">
        <f>S168+U168+W168+Y168</f>
        <v>0</v>
      </c>
      <c r="FK168" s="72" t="str">
        <f t="shared" si="1042"/>
        <v>NA</v>
      </c>
      <c r="FL168" s="75">
        <f>+AA168+AC168+AE168+AG168</f>
        <v>0</v>
      </c>
      <c r="FM168" s="72" t="str">
        <f t="shared" si="1043"/>
        <v>NA</v>
      </c>
      <c r="FN168" s="75">
        <f>AI168+AK168+AM168+AO168</f>
        <v>6602</v>
      </c>
      <c r="FO168" s="72" t="str">
        <f t="shared" si="1044"/>
        <v>NA</v>
      </c>
      <c r="FP168" s="75">
        <f>AQ168+AS168+AU168+AW168</f>
        <v>-451</v>
      </c>
      <c r="FQ168" s="72" t="str">
        <f t="shared" si="1045"/>
        <v>NM</v>
      </c>
      <c r="FR168" s="100">
        <f>AY168+BA168+BC168+BE168</f>
        <v>305</v>
      </c>
      <c r="FS168" s="72" t="str">
        <f t="shared" si="1046"/>
        <v>NM</v>
      </c>
      <c r="FT168" s="100">
        <f>BG168+BI168+BK168+BM168</f>
        <v>-218</v>
      </c>
      <c r="FU168" s="72" t="str">
        <f t="shared" si="1047"/>
        <v>NM</v>
      </c>
      <c r="FV168" s="100">
        <f>BO168+BQ168+BS168+BU168</f>
        <v>-1644</v>
      </c>
      <c r="FW168" s="72" t="str">
        <f t="shared" si="1048"/>
        <v>NM</v>
      </c>
      <c r="FX168" s="75">
        <f>BW168+BY168+CA168+CC168</f>
        <v>-839</v>
      </c>
      <c r="FY168" s="72">
        <f t="shared" si="1048"/>
        <v>-48.965936739659369</v>
      </c>
      <c r="FZ168" s="75">
        <f>CE168+CG168+CI168+CK168</f>
        <v>565</v>
      </c>
      <c r="GA168" s="72" t="str">
        <f t="shared" si="1048"/>
        <v>NM</v>
      </c>
      <c r="GB168" s="100">
        <f>CM168+CO168+CQ168+CS168</f>
        <v>-298</v>
      </c>
      <c r="GC168" s="72" t="str">
        <f t="shared" si="1048"/>
        <v>NM</v>
      </c>
      <c r="GD168" s="100">
        <f>CU168+CW168+CY168+DA168</f>
        <v>49</v>
      </c>
      <c r="GE168" s="72" t="str">
        <f t="shared" si="1048"/>
        <v>NM</v>
      </c>
      <c r="GF168" s="100">
        <f>DC168+DE168+DG168+DI168</f>
        <v>-296</v>
      </c>
      <c r="GG168" s="72" t="str">
        <f t="shared" si="1048"/>
        <v>NM</v>
      </c>
      <c r="GH168" s="100">
        <f>DK168+DM168+DO168+DQ168</f>
        <v>-2851</v>
      </c>
      <c r="GI168" s="72" t="str">
        <f t="shared" si="1049"/>
        <v>NM</v>
      </c>
      <c r="GJ168" s="100">
        <f>DS168+DU168+DW168+DY168</f>
        <v>-3337</v>
      </c>
      <c r="GK168" s="72">
        <f t="shared" si="1049"/>
        <v>17.046650298141003</v>
      </c>
      <c r="GL168" s="100">
        <f>EA168+EC168+EE168+EG168</f>
        <v>-5866</v>
      </c>
      <c r="GM168" s="72">
        <f t="shared" si="1049"/>
        <v>75.786634701827978</v>
      </c>
      <c r="GN168" s="100">
        <f>EI168+EK168+EM168+EO168</f>
        <v>1702</v>
      </c>
      <c r="GO168" s="72" t="str">
        <f t="shared" si="1049"/>
        <v>NM</v>
      </c>
      <c r="GP168" s="100">
        <f>EQ168+ES168+EU168+EW168</f>
        <v>0</v>
      </c>
      <c r="GQ168" s="72" t="str">
        <f t="shared" si="1049"/>
        <v>NM</v>
      </c>
      <c r="GR168" s="101">
        <v>0</v>
      </c>
      <c r="GS168" s="72" t="str">
        <f t="shared" si="1049"/>
        <v>NA</v>
      </c>
      <c r="GT168" s="101">
        <v>0</v>
      </c>
      <c r="GU168" s="72" t="str">
        <f t="shared" si="1049"/>
        <v>NA</v>
      </c>
      <c r="GV168" s="101">
        <v>0</v>
      </c>
      <c r="GW168" s="72" t="str">
        <f t="shared" si="1050"/>
        <v>NA</v>
      </c>
      <c r="GX168" s="101">
        <v>0</v>
      </c>
      <c r="GY168" s="72" t="str">
        <f t="shared" si="1051"/>
        <v>NA</v>
      </c>
      <c r="GZ168" s="72" t="str">
        <f t="shared" si="1052"/>
        <v>NM</v>
      </c>
      <c r="HA168" s="72"/>
      <c r="HB168" s="72"/>
    </row>
    <row r="169" spans="2:275" ht="12.75" customHeight="1" x14ac:dyDescent="0.2">
      <c r="B169" s="4" t="s">
        <v>600</v>
      </c>
      <c r="C169" s="103"/>
      <c r="D169" s="72"/>
      <c r="E169" s="103"/>
      <c r="F169" s="72"/>
      <c r="G169" s="103"/>
      <c r="H169" s="72"/>
      <c r="I169" s="103"/>
      <c r="J169" s="72"/>
      <c r="K169" s="103"/>
      <c r="L169" s="72"/>
      <c r="M169" s="103"/>
      <c r="N169" s="72"/>
      <c r="O169" s="103"/>
      <c r="P169" s="72"/>
      <c r="Q169" s="103"/>
      <c r="R169" s="72"/>
      <c r="S169" s="103"/>
      <c r="T169" s="72"/>
      <c r="U169" s="103"/>
      <c r="V169" s="72"/>
      <c r="W169" s="103"/>
      <c r="X169" s="72"/>
      <c r="Y169" s="103"/>
      <c r="Z169" s="72"/>
      <c r="AA169" s="103"/>
      <c r="AB169" s="72"/>
      <c r="AC169" s="103"/>
      <c r="AD169" s="72"/>
      <c r="AE169" s="103"/>
      <c r="AF169" s="72"/>
      <c r="AG169" s="103"/>
      <c r="AH169" s="72"/>
      <c r="AI169" s="103">
        <f>SUM(AI164:AI168)</f>
        <v>39510</v>
      </c>
      <c r="AJ169" s="72" t="str">
        <f t="shared" si="985"/>
        <v>NA</v>
      </c>
      <c r="AK169" s="103">
        <f>SUM(AK164:AK168)</f>
        <v>45685</v>
      </c>
      <c r="AL169" s="72" t="str">
        <f t="shared" si="986"/>
        <v>NA</v>
      </c>
      <c r="AM169" s="103">
        <f>SUM(AM164:AM168)</f>
        <v>45856</v>
      </c>
      <c r="AN169" s="72" t="str">
        <f t="shared" si="987"/>
        <v>NA</v>
      </c>
      <c r="AO169" s="103">
        <f>SUM(AO164:AO168)</f>
        <v>47680</v>
      </c>
      <c r="AP169" s="72" t="str">
        <f t="shared" si="988"/>
        <v>NA</v>
      </c>
      <c r="AQ169" s="103">
        <f>SUM(AQ164:AQ168)</f>
        <v>47698</v>
      </c>
      <c r="AR169" s="72">
        <f t="shared" si="989"/>
        <v>20.723867375348021</v>
      </c>
      <c r="AS169" s="103">
        <f>SUM(AS164:AS168)</f>
        <v>48612</v>
      </c>
      <c r="AT169" s="72">
        <f t="shared" si="990"/>
        <v>6.4069169311590173</v>
      </c>
      <c r="AU169" s="103">
        <f>SUM(AU164:AU168)</f>
        <v>48917</v>
      </c>
      <c r="AV169" s="72">
        <f t="shared" si="991"/>
        <v>6.6752442428471852</v>
      </c>
      <c r="AW169" s="103">
        <f>SUM(AW164:AW168)</f>
        <v>48080</v>
      </c>
      <c r="AX169" s="72">
        <f t="shared" si="992"/>
        <v>0.83892617449663476</v>
      </c>
      <c r="AY169" s="103">
        <f>SUM(AY164:AY168)</f>
        <v>47215</v>
      </c>
      <c r="AZ169" s="72">
        <f t="shared" si="993"/>
        <v>-1.0126210742588739</v>
      </c>
      <c r="BA169" s="103">
        <f>SUM(BA164:BA168)</f>
        <v>46913</v>
      </c>
      <c r="BB169" s="72">
        <f t="shared" si="994"/>
        <v>-3.4950218053155595</v>
      </c>
      <c r="BC169" s="103">
        <f>SUM(BC164:BC168)</f>
        <v>49468</v>
      </c>
      <c r="BD169" s="72">
        <f t="shared" si="995"/>
        <v>1.1263977758243442</v>
      </c>
      <c r="BE169" s="103">
        <f>SUM(BE164:BE168)</f>
        <v>50269</v>
      </c>
      <c r="BF169" s="72">
        <f t="shared" si="996"/>
        <v>4.5528286189683911</v>
      </c>
      <c r="BG169" s="103">
        <f>SUM(BG164:BG168)</f>
        <v>50661</v>
      </c>
      <c r="BH169" s="72">
        <f t="shared" si="997"/>
        <v>7.2985280101662653</v>
      </c>
      <c r="BI169" s="103">
        <f>SUM(BI164:BI168)</f>
        <v>50926</v>
      </c>
      <c r="BJ169" s="72">
        <f t="shared" si="998"/>
        <v>8.554132116897236</v>
      </c>
      <c r="BK169" s="103">
        <f>SUM(BK164:BK168)</f>
        <v>51627</v>
      </c>
      <c r="BL169" s="72">
        <f t="shared" si="999"/>
        <v>4.3644376162367564</v>
      </c>
      <c r="BM169" s="103">
        <f>SUM(BM164:BM168)</f>
        <v>51591</v>
      </c>
      <c r="BN169" s="72">
        <f t="shared" si="1000"/>
        <v>2.6298513994708514</v>
      </c>
      <c r="BO169" s="103">
        <f>SUM(BO164:BO168)</f>
        <v>51667</v>
      </c>
      <c r="BP169" s="72">
        <f t="shared" si="1001"/>
        <v>1.9857484060717354</v>
      </c>
      <c r="BQ169" s="103">
        <f>SUM(BQ164:BQ168)</f>
        <v>51513</v>
      </c>
      <c r="BR169" s="72">
        <f t="shared" si="1002"/>
        <v>1.1526528688685573</v>
      </c>
      <c r="BS169" s="103">
        <f>SUM(BS164:BS168)</f>
        <v>50041</v>
      </c>
      <c r="BT169" s="72">
        <f t="shared" si="1003"/>
        <v>-3.0720359501811032</v>
      </c>
      <c r="BU169" s="103">
        <f>SUM(BU164:BU168)</f>
        <v>50491</v>
      </c>
      <c r="BV169" s="72">
        <f t="shared" si="1004"/>
        <v>-2.1321548332073519</v>
      </c>
      <c r="BW169" s="103">
        <f>SUM(BW164:BW168)</f>
        <v>49030</v>
      </c>
      <c r="BX169" s="72">
        <f t="shared" si="1005"/>
        <v>-5.1038380397545779</v>
      </c>
      <c r="BY169" s="103">
        <f>SUM(BY164:BY168)</f>
        <v>49475</v>
      </c>
      <c r="BZ169" s="72">
        <f t="shared" si="1006"/>
        <v>-3.9562828800496987</v>
      </c>
      <c r="CA169" s="103">
        <f>SUM(CA164:CA168)</f>
        <v>50137</v>
      </c>
      <c r="CB169" s="72">
        <f t="shared" si="1007"/>
        <v>0.19184268899500978</v>
      </c>
      <c r="CC169" s="103">
        <f>SUM(CC164:CC168)</f>
        <v>51908</v>
      </c>
      <c r="CD169" s="72">
        <f t="shared" si="1008"/>
        <v>2.8064407518171492</v>
      </c>
      <c r="CE169" s="103">
        <f>SUM(CE164:CE168)</f>
        <v>52768</v>
      </c>
      <c r="CF169" s="72">
        <f t="shared" si="1009"/>
        <v>7.6239037324087349</v>
      </c>
      <c r="CG169" s="103">
        <f>SUM(CG164:CG168)</f>
        <v>55965</v>
      </c>
      <c r="CH169" s="72">
        <f t="shared" si="1010"/>
        <v>13.117736230419411</v>
      </c>
      <c r="CI169" s="103">
        <f>SUM(CI164:CI168)</f>
        <v>59062</v>
      </c>
      <c r="CJ169" s="72">
        <f t="shared" si="1011"/>
        <v>17.801224644474132</v>
      </c>
      <c r="CK169" s="103">
        <f>SUM(CK164:CK168)</f>
        <v>64183</v>
      </c>
      <c r="CL169" s="72">
        <f t="shared" si="1011"/>
        <v>23.647607305232341</v>
      </c>
      <c r="CM169" s="103">
        <f>SUM(CM164:CM168)</f>
        <v>68892</v>
      </c>
      <c r="CN169" s="72">
        <f t="shared" si="1011"/>
        <v>30.556397816858691</v>
      </c>
      <c r="CO169" s="103">
        <f>SUM(CO164:CO168)</f>
        <v>74131</v>
      </c>
      <c r="CP169" s="72">
        <f t="shared" si="1011"/>
        <v>32.459572947377836</v>
      </c>
      <c r="CQ169" s="103">
        <f>SUM(CQ164:CQ168)</f>
        <v>80513</v>
      </c>
      <c r="CR169" s="72">
        <f t="shared" si="1011"/>
        <v>36.319460905489137</v>
      </c>
      <c r="CS169" s="103">
        <f>SUM(CS164:CS168)</f>
        <v>90089</v>
      </c>
      <c r="CT169" s="72">
        <f t="shared" si="1011"/>
        <v>40.362712867893379</v>
      </c>
      <c r="CU169" s="103">
        <f>SUM(CU164:CU168)</f>
        <v>93853</v>
      </c>
      <c r="CV169" s="72">
        <f t="shared" si="1012"/>
        <v>36.232073390234007</v>
      </c>
      <c r="CW169" s="103">
        <f>SUM(CW164:CW168)</f>
        <v>102443</v>
      </c>
      <c r="CX169" s="72">
        <f t="shared" si="1013"/>
        <v>38.191849563610361</v>
      </c>
      <c r="CY169" s="103">
        <f>SUM(CY164:CY168)</f>
        <v>104646</v>
      </c>
      <c r="CZ169" s="72">
        <f t="shared" si="1014"/>
        <v>29.974041459143251</v>
      </c>
      <c r="DA169" s="103">
        <f>SUM(DA164:DA168)</f>
        <v>141435</v>
      </c>
      <c r="DB169" s="72">
        <f t="shared" si="1015"/>
        <v>56.994749636470601</v>
      </c>
      <c r="DC169" s="103">
        <f>SUM(DC164:DC168)</f>
        <v>143011</v>
      </c>
      <c r="DD169" s="72">
        <f t="shared" si="1016"/>
        <v>52.377654417013844</v>
      </c>
      <c r="DE169" s="103">
        <f>SUM(DE164:DE168)</f>
        <v>144101</v>
      </c>
      <c r="DF169" s="72">
        <f t="shared" si="1017"/>
        <v>40.664564684751525</v>
      </c>
      <c r="DG169" s="103">
        <f>SUM(DG164:DG168)</f>
        <v>147100</v>
      </c>
      <c r="DH169" s="72">
        <f t="shared" si="1018"/>
        <v>40.569156967299278</v>
      </c>
      <c r="DI169" s="103">
        <f>SUM(DI164:DI168)</f>
        <v>149402</v>
      </c>
      <c r="DJ169" s="72">
        <f t="shared" si="1019"/>
        <v>5.6329762788560203</v>
      </c>
      <c r="DK169" s="103">
        <f>SUM(DK164:DK168)</f>
        <v>149661</v>
      </c>
      <c r="DL169" s="72">
        <f t="shared" si="1020"/>
        <v>4.6499919586605216</v>
      </c>
      <c r="DM169" s="103">
        <f>SUM(DM164:DM168)</f>
        <v>148971</v>
      </c>
      <c r="DN169" s="72">
        <f t="shared" si="1021"/>
        <v>3.3795740487574619</v>
      </c>
      <c r="DO169" s="103">
        <f>SUM(DO164:DO168)</f>
        <v>175526</v>
      </c>
      <c r="DP169" s="72">
        <f t="shared" si="1021"/>
        <v>19.324269204622709</v>
      </c>
      <c r="DQ169" s="103">
        <f>SUM(DQ164:DQ168)</f>
        <v>179641</v>
      </c>
      <c r="DR169" s="72">
        <f t="shared" si="1021"/>
        <v>20.240023560594906</v>
      </c>
      <c r="DS169" s="103">
        <f>SUM(DS164:DS168)</f>
        <v>177120</v>
      </c>
      <c r="DT169" s="72">
        <f t="shared" si="1021"/>
        <v>18.347465271513627</v>
      </c>
      <c r="DU169" s="103">
        <f>SUM(DU164:DU168)</f>
        <v>183798</v>
      </c>
      <c r="DV169" s="72">
        <f t="shared" si="1021"/>
        <v>23.378375657007069</v>
      </c>
      <c r="DW169" s="103">
        <f>SUM(DW164:DW168)</f>
        <v>181662</v>
      </c>
      <c r="DX169" s="72">
        <f t="shared" si="1021"/>
        <v>3.4957784031995232</v>
      </c>
      <c r="DY169" s="103">
        <f>SUM(DY164:DY168)</f>
        <v>179964</v>
      </c>
      <c r="DZ169" s="72">
        <f t="shared" si="1021"/>
        <v>0.17980305164189758</v>
      </c>
      <c r="EA169" s="103">
        <f>SUM(EA164:EA168)</f>
        <v>180819</v>
      </c>
      <c r="EB169" s="72">
        <f t="shared" si="1023"/>
        <v>2.0884146341463463</v>
      </c>
      <c r="EC169" s="103">
        <f>SUM(EC164:EC168)</f>
        <v>180882</v>
      </c>
      <c r="ED169" s="72">
        <f t="shared" si="1024"/>
        <v>-1.5865243364998491</v>
      </c>
      <c r="EE169" s="103">
        <f>SUM(EE164:EE168)</f>
        <v>186224</v>
      </c>
      <c r="EF169" s="72">
        <f t="shared" si="1025"/>
        <v>2.5112571699089443</v>
      </c>
      <c r="EG169" s="103">
        <f>SUM(EG164:EG168)</f>
        <v>183376</v>
      </c>
      <c r="EH169" s="72">
        <f t="shared" si="1026"/>
        <v>1.8959347425040391</v>
      </c>
      <c r="EI169" s="103">
        <f>SUM(EI164:EI168)</f>
        <v>185115</v>
      </c>
      <c r="EJ169" s="72">
        <f t="shared" si="1027"/>
        <v>2.3758565195029462</v>
      </c>
      <c r="EK169" s="103">
        <f>SUM(EK164:EK168)</f>
        <v>186610</v>
      </c>
      <c r="EL169" s="72">
        <f t="shared" si="1028"/>
        <v>3.1667053659291753</v>
      </c>
      <c r="EM169" s="103">
        <f>SUM(EM164:EM168)</f>
        <v>188399</v>
      </c>
      <c r="EN169" s="72">
        <f t="shared" si="1029"/>
        <v>1.1679482773434131</v>
      </c>
      <c r="EO169" s="103">
        <f>SUM(EO164:EO168)</f>
        <v>194492</v>
      </c>
      <c r="EP169" s="72">
        <f t="shared" si="1030"/>
        <v>6.0618619666695821</v>
      </c>
      <c r="EQ169" s="100">
        <f t="shared" ref="EQ169" si="1065">SUM(EQ164:EQ168)</f>
        <v>194278.0588</v>
      </c>
      <c r="ER169" s="72">
        <f t="shared" si="1032"/>
        <v>4.9499277746265733</v>
      </c>
      <c r="ES169" s="100">
        <f t="shared" ref="ES169" si="1066">SUM(ES164:ES168)</f>
        <v>195929.4222998</v>
      </c>
      <c r="ET169" s="72">
        <f t="shared" si="1034"/>
        <v>4.9940637156636853</v>
      </c>
      <c r="EU169" s="100">
        <f t="shared" ref="EU169" si="1067">SUM(EU164:EU168)</f>
        <v>197594.82238934829</v>
      </c>
      <c r="EV169" s="72">
        <f t="shared" si="1036"/>
        <v>4.8810356686332312</v>
      </c>
      <c r="EW169" s="100">
        <f t="shared" ref="EW169" si="1068">SUM(EW164:EW168)</f>
        <v>199274.37837965775</v>
      </c>
      <c r="EX169" s="72">
        <f t="shared" si="1038"/>
        <v>2.4589075024462375</v>
      </c>
      <c r="EY169" s="72"/>
      <c r="EZ169" s="306"/>
      <c r="FA169" s="72"/>
      <c r="FB169" s="103">
        <f>SUM(FB164:FB168)</f>
        <v>45560</v>
      </c>
      <c r="FC169" s="72"/>
      <c r="FD169" s="103">
        <f>SUM(FD164:FD168)</f>
        <v>41757</v>
      </c>
      <c r="FE169" s="72">
        <f t="shared" si="1039"/>
        <v>-8.3472344161545209</v>
      </c>
      <c r="FF169" s="103">
        <f>SUM(FF164:FF168)</f>
        <v>41577</v>
      </c>
      <c r="FG169" s="72">
        <f t="shared" si="1040"/>
        <v>-0.43106545010417108</v>
      </c>
      <c r="FH169" s="103">
        <f>SUM(FH164:FH168)</f>
        <v>41577</v>
      </c>
      <c r="FI169" s="72">
        <f t="shared" si="1041"/>
        <v>0</v>
      </c>
      <c r="FJ169" s="103">
        <f>SUM(FJ164:FJ168)</f>
        <v>41577</v>
      </c>
      <c r="FK169" s="72">
        <f t="shared" si="1042"/>
        <v>0</v>
      </c>
      <c r="FL169" s="103">
        <f>SUM(FL164:FL168)</f>
        <v>41577</v>
      </c>
      <c r="FM169" s="72">
        <f t="shared" si="1043"/>
        <v>0</v>
      </c>
      <c r="FN169" s="103">
        <f>SUM(FN164:FN168)</f>
        <v>47680</v>
      </c>
      <c r="FO169" s="72">
        <f t="shared" si="1044"/>
        <v>14.678788753397328</v>
      </c>
      <c r="FP169" s="103">
        <f>SUM(FP164:FP168)</f>
        <v>48080</v>
      </c>
      <c r="FQ169" s="72">
        <f t="shared" si="1045"/>
        <v>0.83892617449663476</v>
      </c>
      <c r="FR169" s="100">
        <f>SUM(FR164:FR168)</f>
        <v>50269</v>
      </c>
      <c r="FS169" s="72">
        <f t="shared" si="1046"/>
        <v>4.5528286189683911</v>
      </c>
      <c r="FT169" s="100">
        <f>SUM(FT164:FT168)</f>
        <v>51591</v>
      </c>
      <c r="FU169" s="72">
        <f t="shared" si="1047"/>
        <v>2.6298513994708514</v>
      </c>
      <c r="FV169" s="100">
        <f>SUM(FV164:FV168)</f>
        <v>50491</v>
      </c>
      <c r="FW169" s="72">
        <f t="shared" si="1048"/>
        <v>-2.1321548332073519</v>
      </c>
      <c r="FX169" s="100">
        <f>SUM(FX164:FX168)</f>
        <v>51908</v>
      </c>
      <c r="FY169" s="72">
        <f t="shared" si="1048"/>
        <v>2.8064407518171492</v>
      </c>
      <c r="FZ169" s="100">
        <f>SUM(FZ164:FZ168)</f>
        <v>64183</v>
      </c>
      <c r="GA169" s="72">
        <f t="shared" si="1048"/>
        <v>23.647607305232341</v>
      </c>
      <c r="GB169" s="100">
        <f>SUM(GB164:GB168)</f>
        <v>90089</v>
      </c>
      <c r="GC169" s="72">
        <f t="shared" si="1048"/>
        <v>40.362712867893379</v>
      </c>
      <c r="GD169" s="100">
        <f>SUM(GD164:GD168)</f>
        <v>141435</v>
      </c>
      <c r="GE169" s="72">
        <f t="shared" si="1048"/>
        <v>56.994749636470601</v>
      </c>
      <c r="GF169" s="100">
        <f>SUM(GF164:GF168)</f>
        <v>149402</v>
      </c>
      <c r="GG169" s="72">
        <f t="shared" si="1048"/>
        <v>5.6329762788560203</v>
      </c>
      <c r="GH169" s="100">
        <f>SUM(GH164:GH168)</f>
        <v>179641</v>
      </c>
      <c r="GI169" s="72">
        <f t="shared" si="1049"/>
        <v>20.240023560594906</v>
      </c>
      <c r="GJ169" s="100">
        <f>SUM(GJ164:GJ168)</f>
        <v>179964</v>
      </c>
      <c r="GK169" s="72">
        <f t="shared" si="1049"/>
        <v>0.17980305164189758</v>
      </c>
      <c r="GL169" s="100">
        <f>SUM(GL164:GL168)</f>
        <v>183376</v>
      </c>
      <c r="GM169" s="72">
        <f t="shared" si="1049"/>
        <v>1.8959347425040391</v>
      </c>
      <c r="GN169" s="100">
        <f>SUM(GN164:GN168)</f>
        <v>194492</v>
      </c>
      <c r="GO169" s="72">
        <f t="shared" si="1049"/>
        <v>6.0618619666695821</v>
      </c>
      <c r="GP169" s="100">
        <f>SUM(GP164:GP168)</f>
        <v>199274.37837965778</v>
      </c>
      <c r="GQ169" s="72">
        <f t="shared" si="1049"/>
        <v>2.4589075024462659</v>
      </c>
      <c r="GR169" s="100">
        <f>SUM(GR164:GR168)</f>
        <v>206049.70724456615</v>
      </c>
      <c r="GS169" s="72">
        <f t="shared" si="1049"/>
        <v>3.4000000000000057</v>
      </c>
      <c r="GT169" s="100">
        <f>SUM(GT164:GT168)</f>
        <v>213055.39729088137</v>
      </c>
      <c r="GU169" s="72">
        <f t="shared" si="1049"/>
        <v>3.3999999999999773</v>
      </c>
      <c r="GV169" s="100">
        <f>SUM(GV164:GV168)</f>
        <v>220299.28079877136</v>
      </c>
      <c r="GW169" s="72">
        <f t="shared" si="1050"/>
        <v>3.4000000000000057</v>
      </c>
      <c r="GX169" s="100">
        <f>SUM(GX164:GX168)</f>
        <v>227789.45634592956</v>
      </c>
      <c r="GY169" s="72">
        <f t="shared" si="1051"/>
        <v>3.3999999999999773</v>
      </c>
      <c r="GZ169" s="72">
        <f t="shared" si="1052"/>
        <v>3.2110925081663133</v>
      </c>
      <c r="HA169" s="72"/>
      <c r="HB169" s="72"/>
    </row>
    <row r="170" spans="2:275" s="102" customFormat="1" ht="12.75" customHeight="1" x14ac:dyDescent="0.2">
      <c r="B170" s="4" t="s">
        <v>601</v>
      </c>
      <c r="C170" s="103"/>
      <c r="D170" s="72"/>
      <c r="E170" s="103"/>
      <c r="F170" s="72"/>
      <c r="G170" s="103"/>
      <c r="H170" s="72"/>
      <c r="I170" s="103"/>
      <c r="J170" s="72"/>
      <c r="K170" s="103"/>
      <c r="L170" s="72"/>
      <c r="M170" s="103"/>
      <c r="N170" s="72"/>
      <c r="O170" s="103"/>
      <c r="P170" s="72"/>
      <c r="Q170" s="103"/>
      <c r="R170" s="72"/>
      <c r="S170" s="103"/>
      <c r="T170" s="72"/>
      <c r="U170" s="103"/>
      <c r="V170" s="72"/>
      <c r="W170" s="103"/>
      <c r="X170" s="72"/>
      <c r="Y170" s="103"/>
      <c r="Z170" s="72"/>
      <c r="AA170" s="103"/>
      <c r="AB170" s="72"/>
      <c r="AC170" s="103"/>
      <c r="AD170" s="72"/>
      <c r="AE170" s="103"/>
      <c r="AF170" s="72"/>
      <c r="AG170" s="103"/>
      <c r="AH170" s="72"/>
      <c r="AI170" s="103">
        <f>AVERAGE(AI169,AI165)</f>
        <v>19919</v>
      </c>
      <c r="AJ170" s="72" t="str">
        <f t="shared" si="985"/>
        <v>NA</v>
      </c>
      <c r="AK170" s="103">
        <f>AVERAGE(AK169,AK165)</f>
        <v>23195.5</v>
      </c>
      <c r="AL170" s="72" t="str">
        <f t="shared" si="986"/>
        <v>NA</v>
      </c>
      <c r="AM170" s="103">
        <f>AVERAGE(AM169,AM165)</f>
        <v>23129.5</v>
      </c>
      <c r="AN170" s="72" t="str">
        <f t="shared" si="987"/>
        <v>NA</v>
      </c>
      <c r="AO170" s="103">
        <f>AVERAGE(AO169,AO165)</f>
        <v>24597</v>
      </c>
      <c r="AP170" s="72" t="str">
        <f t="shared" si="988"/>
        <v>NA</v>
      </c>
      <c r="AQ170" s="103">
        <f>AVERAGE(AQ169,AQ164)</f>
        <v>47689</v>
      </c>
      <c r="AR170" s="72" t="str">
        <f t="shared" si="989"/>
        <v>NM</v>
      </c>
      <c r="AS170" s="103">
        <f>AVERAGE(AS169,AS164)</f>
        <v>48155</v>
      </c>
      <c r="AT170" s="72" t="str">
        <f t="shared" si="990"/>
        <v>NM</v>
      </c>
      <c r="AU170" s="103">
        <f>AVERAGE(AU169,AU164)</f>
        <v>48764.5</v>
      </c>
      <c r="AV170" s="72" t="str">
        <f t="shared" si="991"/>
        <v>NM</v>
      </c>
      <c r="AW170" s="103">
        <f>AVERAGE(AW169,AW164)</f>
        <v>48498.5</v>
      </c>
      <c r="AX170" s="72">
        <f t="shared" si="992"/>
        <v>97.172419400739926</v>
      </c>
      <c r="AY170" s="103">
        <f>AVERAGE(AY169,AY164)</f>
        <v>47647.5</v>
      </c>
      <c r="AZ170" s="72">
        <f t="shared" si="993"/>
        <v>-8.7022164440440974E-2</v>
      </c>
      <c r="BA170" s="103">
        <f>AVERAGE(BA169,BA164)</f>
        <v>47064</v>
      </c>
      <c r="BB170" s="72">
        <f t="shared" si="994"/>
        <v>-2.265600664520818</v>
      </c>
      <c r="BC170" s="103">
        <f>AVERAGE(BC169,BC164)</f>
        <v>48190.5</v>
      </c>
      <c r="BD170" s="72">
        <f t="shared" si="995"/>
        <v>-1.1770857898676326</v>
      </c>
      <c r="BE170" s="103">
        <f>AVERAGE(BE169,BE164)</f>
        <v>49868.5</v>
      </c>
      <c r="BF170" s="72">
        <f t="shared" si="996"/>
        <v>2.8248296339062051</v>
      </c>
      <c r="BG170" s="103">
        <f>AVERAGE(BG169,BG164)</f>
        <v>50465</v>
      </c>
      <c r="BH170" s="72">
        <f t="shared" si="997"/>
        <v>5.9132168529303755</v>
      </c>
      <c r="BI170" s="103">
        <f>AVERAGE(BI169,BI164)</f>
        <v>50793.5</v>
      </c>
      <c r="BJ170" s="72">
        <f t="shared" si="998"/>
        <v>7.9243158252592281</v>
      </c>
      <c r="BK170" s="103">
        <f>AVERAGE(BK169,BK164)</f>
        <v>51276.5</v>
      </c>
      <c r="BL170" s="72">
        <f t="shared" si="999"/>
        <v>6.4037517768024799</v>
      </c>
      <c r="BM170" s="103">
        <f>AVERAGE(BM169,BM164)</f>
        <v>51609</v>
      </c>
      <c r="BN170" s="72">
        <f t="shared" si="1000"/>
        <v>3.4901791712203192</v>
      </c>
      <c r="BO170" s="103">
        <f>AVERAGE(BO169,BO164)</f>
        <v>51629</v>
      </c>
      <c r="BP170" s="72">
        <f t="shared" si="1001"/>
        <v>2.3065490934310873</v>
      </c>
      <c r="BQ170" s="103">
        <f>AVERAGE(BQ169,BQ164)</f>
        <v>51590</v>
      </c>
      <c r="BR170" s="72">
        <f t="shared" si="1002"/>
        <v>1.5681140303385206</v>
      </c>
      <c r="BS170" s="103">
        <f>AVERAGE(BS169,BS164)</f>
        <v>50777</v>
      </c>
      <c r="BT170" s="72">
        <f t="shared" si="1003"/>
        <v>-0.97413044962117112</v>
      </c>
      <c r="BU170" s="103">
        <f>AVERAGE(BU169,BU164)</f>
        <v>50266</v>
      </c>
      <c r="BV170" s="72">
        <f t="shared" si="1004"/>
        <v>-2.6022592958592412</v>
      </c>
      <c r="BW170" s="103">
        <f>AVERAGE(BW169,BW164)</f>
        <v>49760.5</v>
      </c>
      <c r="BX170" s="72">
        <f t="shared" si="1005"/>
        <v>-3.6190900462918165</v>
      </c>
      <c r="BY170" s="103">
        <f>AVERAGE(BY169,BY164)</f>
        <v>49252.5</v>
      </c>
      <c r="BZ170" s="72">
        <f t="shared" si="1006"/>
        <v>-4.5309168443496759</v>
      </c>
      <c r="CA170" s="103">
        <f>AVERAGE(CA169,CA164)</f>
        <v>49806</v>
      </c>
      <c r="CB170" s="72">
        <f t="shared" si="1007"/>
        <v>-1.9122831203103772</v>
      </c>
      <c r="CC170" s="103">
        <f>AVERAGE(CC169,CC164)</f>
        <v>51022.5</v>
      </c>
      <c r="CD170" s="72">
        <f t="shared" si="1008"/>
        <v>1.5049934349261775</v>
      </c>
      <c r="CE170" s="103">
        <f>AVERAGE(CE169,CE164)</f>
        <v>52338</v>
      </c>
      <c r="CF170" s="72">
        <f t="shared" si="1009"/>
        <v>5.1798112961083547</v>
      </c>
      <c r="CG170" s="103">
        <f>AVERAGE(CG169,CG164)</f>
        <v>54366.5</v>
      </c>
      <c r="CH170" s="72">
        <f t="shared" si="1010"/>
        <v>10.383229277701631</v>
      </c>
      <c r="CI170" s="103">
        <f>AVERAGE(CI169,CI164)</f>
        <v>57513.5</v>
      </c>
      <c r="CJ170" s="72">
        <f t="shared" si="1011"/>
        <v>15.475043167489872</v>
      </c>
      <c r="CK170" s="103">
        <f>AVERAGE(CK169,CK164)</f>
        <v>61622.5</v>
      </c>
      <c r="CL170" s="72">
        <f t="shared" si="1011"/>
        <v>20.775148218923036</v>
      </c>
      <c r="CM170" s="103">
        <f>AVERAGE(CM169,CM164)</f>
        <v>66537.5</v>
      </c>
      <c r="CN170" s="72">
        <f t="shared" si="1011"/>
        <v>27.130383277924253</v>
      </c>
      <c r="CO170" s="103">
        <f>AVERAGE(CO169,CO164)</f>
        <v>71511.5</v>
      </c>
      <c r="CP170" s="72">
        <f t="shared" si="1011"/>
        <v>31.535964242686219</v>
      </c>
      <c r="CQ170" s="103">
        <f>AVERAGE(CQ169,CQ164)</f>
        <v>77322</v>
      </c>
      <c r="CR170" s="72">
        <f t="shared" si="1011"/>
        <v>34.441478957114413</v>
      </c>
      <c r="CS170" s="103">
        <f>AVERAGE(CS169,CS164)</f>
        <v>85301</v>
      </c>
      <c r="CT170" s="72">
        <f t="shared" si="1011"/>
        <v>38.425088238873798</v>
      </c>
      <c r="CU170" s="103">
        <f>AVERAGE(CU169,CU164)</f>
        <v>91971</v>
      </c>
      <c r="CV170" s="72">
        <f t="shared" si="1012"/>
        <v>38.224309599849704</v>
      </c>
      <c r="CW170" s="103">
        <f>AVERAGE(CW169,CW164)</f>
        <v>98148</v>
      </c>
      <c r="CX170" s="72">
        <f t="shared" si="1013"/>
        <v>37.247855240066286</v>
      </c>
      <c r="CY170" s="103">
        <f>AVERAGE(CY169,CY164)</f>
        <v>103544.5</v>
      </c>
      <c r="CZ170" s="72">
        <f t="shared" si="1014"/>
        <v>33.913375236025985</v>
      </c>
      <c r="DA170" s="103">
        <f>AVERAGE(DA169,DA164)</f>
        <v>123040.5</v>
      </c>
      <c r="DB170" s="72">
        <f t="shared" si="1015"/>
        <v>44.242740413359769</v>
      </c>
      <c r="DC170" s="103">
        <f>AVERAGE(DC169,DC164)</f>
        <v>142223</v>
      </c>
      <c r="DD170" s="72">
        <f t="shared" si="1016"/>
        <v>54.638962281588761</v>
      </c>
      <c r="DE170" s="103">
        <f>AVERAGE(DE169,DE164)</f>
        <v>143556</v>
      </c>
      <c r="DF170" s="72">
        <f t="shared" si="1017"/>
        <v>46.264824550678583</v>
      </c>
      <c r="DG170" s="103">
        <f>AVERAGE(DG169,DG164)</f>
        <v>145600.5</v>
      </c>
      <c r="DH170" s="72">
        <f t="shared" si="1018"/>
        <v>40.616353355320655</v>
      </c>
      <c r="DI170" s="103">
        <f>AVERAGE(DI169,DI164)</f>
        <v>148251</v>
      </c>
      <c r="DJ170" s="72">
        <f t="shared" si="1019"/>
        <v>20.489594889487606</v>
      </c>
      <c r="DK170" s="103">
        <f>AVERAGE(DK169,DK164)</f>
        <v>149531.5</v>
      </c>
      <c r="DL170" s="72">
        <f t="shared" si="1020"/>
        <v>5.1387609599010062</v>
      </c>
      <c r="DM170" s="103">
        <f>AVERAGE(DM169,DM164)</f>
        <v>149316</v>
      </c>
      <c r="DN170" s="72">
        <f t="shared" si="1021"/>
        <v>4.0123714787260667</v>
      </c>
      <c r="DO170" s="103">
        <f>AVERAGE(DO169,DO164)</f>
        <v>162248.5</v>
      </c>
      <c r="DP170" s="72">
        <f t="shared" si="1021"/>
        <v>11.434026668864462</v>
      </c>
      <c r="DQ170" s="103">
        <f>AVERAGE(DQ169,DQ164)</f>
        <v>177583.5</v>
      </c>
      <c r="DR170" s="72">
        <f t="shared" si="1021"/>
        <v>19.785701276888517</v>
      </c>
      <c r="DS170" s="103">
        <f>AVERAGE(DS169,DS164)</f>
        <v>178380.5</v>
      </c>
      <c r="DT170" s="72">
        <f t="shared" si="1021"/>
        <v>19.292924902110926</v>
      </c>
      <c r="DU170" s="103">
        <f>AVERAGE(DU169,DU164)</f>
        <v>180459</v>
      </c>
      <c r="DV170" s="72">
        <f t="shared" si="1021"/>
        <v>20.85710841436952</v>
      </c>
      <c r="DW170" s="103">
        <f>AVERAGE(DW169,DW164)</f>
        <v>182730</v>
      </c>
      <c r="DX170" s="72">
        <f t="shared" si="1021"/>
        <v>12.623537351655017</v>
      </c>
      <c r="DY170" s="103">
        <f>AVERAGE(DY169,DY164)</f>
        <v>180813</v>
      </c>
      <c r="DZ170" s="72">
        <f t="shared" si="1021"/>
        <v>1.8185811181782015</v>
      </c>
      <c r="EA170" s="103">
        <f>AVERAGE(EA169,EA164)</f>
        <v>180391.5</v>
      </c>
      <c r="EB170" s="72">
        <f t="shared" si="1023"/>
        <v>1.1273653790633062</v>
      </c>
      <c r="EC170" s="103">
        <f>AVERAGE(EC169,EC164)</f>
        <v>180850.5</v>
      </c>
      <c r="ED170" s="72">
        <f t="shared" si="1024"/>
        <v>0.21694678569647863</v>
      </c>
      <c r="EE170" s="103">
        <f>AVERAGE(EE169,EE164)</f>
        <v>183553</v>
      </c>
      <c r="EF170" s="72">
        <f t="shared" si="1025"/>
        <v>0.45039128769221293</v>
      </c>
      <c r="EG170" s="103">
        <f>AVERAGE(EG169,EG164)</f>
        <v>184800</v>
      </c>
      <c r="EH170" s="72">
        <f t="shared" si="1026"/>
        <v>2.2050405667733912</v>
      </c>
      <c r="EI170" s="103">
        <f>AVERAGE(EI169,EI164)</f>
        <v>184245.5</v>
      </c>
      <c r="EJ170" s="72">
        <f t="shared" si="1027"/>
        <v>2.1364643012558702</v>
      </c>
      <c r="EK170" s="103">
        <f>AVERAGE(EK169,EK164)</f>
        <v>185862.5</v>
      </c>
      <c r="EL170" s="72">
        <f t="shared" si="1028"/>
        <v>2.7713498165611981</v>
      </c>
      <c r="EM170" s="103">
        <f>AVERAGE(EM169,EM164)</f>
        <v>187504.5</v>
      </c>
      <c r="EN170" s="72">
        <f t="shared" si="1029"/>
        <v>2.1527842094653806</v>
      </c>
      <c r="EO170" s="103">
        <f>AVERAGE(EO169,EO164)</f>
        <v>191445.5</v>
      </c>
      <c r="EP170" s="72">
        <f t="shared" si="1030"/>
        <v>3.5960497835497875</v>
      </c>
      <c r="EQ170" s="100">
        <f t="shared" ref="EQ170" si="1069">AVERAGE(EQ169,EQ164)</f>
        <v>194385.0294</v>
      </c>
      <c r="ER170" s="72">
        <f t="shared" si="1032"/>
        <v>5.5032711246679042</v>
      </c>
      <c r="ES170" s="100">
        <f t="shared" ref="ES170" si="1070">AVERAGE(ES169,ES164)</f>
        <v>195103.74054989999</v>
      </c>
      <c r="ET170" s="72">
        <f t="shared" si="1034"/>
        <v>4.9720844978949401</v>
      </c>
      <c r="EU170" s="100">
        <f t="shared" ref="EU170" si="1071">AVERAGE(EU169,EU164)</f>
        <v>196762.12234457413</v>
      </c>
      <c r="EV170" s="72">
        <f t="shared" si="1036"/>
        <v>4.9372800890507449</v>
      </c>
      <c r="EW170" s="100">
        <f t="shared" ref="EW170" si="1072">AVERAGE(EW169,EW164)</f>
        <v>198434.60038450302</v>
      </c>
      <c r="EX170" s="72">
        <f t="shared" si="1038"/>
        <v>3.6506997471881277</v>
      </c>
      <c r="EY170" s="72"/>
      <c r="EZ170" s="309"/>
      <c r="FA170" s="72"/>
      <c r="FB170" s="103">
        <f>AVERAGE(FB169,FB164)</f>
        <v>46641.5</v>
      </c>
      <c r="FC170" s="72"/>
      <c r="FD170" s="103">
        <f>AVERAGE(FD169,FD164)</f>
        <v>43658.5</v>
      </c>
      <c r="FE170" s="72">
        <f t="shared" si="1039"/>
        <v>-6.3955919084935147</v>
      </c>
      <c r="FF170" s="103">
        <f>AVERAGE(FF169,FF164)</f>
        <v>41667</v>
      </c>
      <c r="FG170" s="72">
        <f t="shared" si="1040"/>
        <v>-4.5615401353688299</v>
      </c>
      <c r="FH170" s="103">
        <f>AVERAGE(FH169,FH164)</f>
        <v>41577</v>
      </c>
      <c r="FI170" s="72">
        <f t="shared" si="1041"/>
        <v>-0.21599827201383448</v>
      </c>
      <c r="FJ170" s="103">
        <f>AVERAGE(FJ169,FJ164)</f>
        <v>41577</v>
      </c>
      <c r="FK170" s="72">
        <f t="shared" si="1042"/>
        <v>0</v>
      </c>
      <c r="FL170" s="103">
        <f>AVERAGE(FL169,FL164)</f>
        <v>41577</v>
      </c>
      <c r="FM170" s="72">
        <f t="shared" si="1043"/>
        <v>0</v>
      </c>
      <c r="FN170" s="103">
        <f>AVERAGE(FN169,FN164)</f>
        <v>43488</v>
      </c>
      <c r="FO170" s="72">
        <f t="shared" si="1044"/>
        <v>4.5962912187026461</v>
      </c>
      <c r="FP170" s="103">
        <f>AVERAGE(FP169,FP164)</f>
        <v>47880</v>
      </c>
      <c r="FQ170" s="72">
        <f t="shared" si="1045"/>
        <v>10.099337748344368</v>
      </c>
      <c r="FR170" s="100">
        <f>AVERAGE(FR169,FR164)</f>
        <v>49174.5</v>
      </c>
      <c r="FS170" s="72">
        <f t="shared" si="1046"/>
        <v>2.7036340852130394</v>
      </c>
      <c r="FT170" s="100">
        <f>AVERAGE(FT169,FT164)</f>
        <v>50930</v>
      </c>
      <c r="FU170" s="72">
        <f t="shared" si="1047"/>
        <v>3.5699397045216585</v>
      </c>
      <c r="FV170" s="100">
        <f>AVERAGE(FV169,FV164)</f>
        <v>51041</v>
      </c>
      <c r="FW170" s="72">
        <f t="shared" si="1048"/>
        <v>0.2179462006675692</v>
      </c>
      <c r="FX170" s="100">
        <f>AVERAGE(FX169,FX164)</f>
        <v>51199.5</v>
      </c>
      <c r="FY170" s="72">
        <f t="shared" si="1048"/>
        <v>0.31053466820792153</v>
      </c>
      <c r="FZ170" s="100">
        <f>AVERAGE(FZ169,FZ164)</f>
        <v>58045.5</v>
      </c>
      <c r="GA170" s="72">
        <f t="shared" si="1048"/>
        <v>13.371224328362572</v>
      </c>
      <c r="GB170" s="100">
        <f>AVERAGE(GB169,GB164)</f>
        <v>77136</v>
      </c>
      <c r="GC170" s="72">
        <f t="shared" si="1048"/>
        <v>32.888854433160191</v>
      </c>
      <c r="GD170" s="100">
        <f>AVERAGE(GD169,GD164)</f>
        <v>115762</v>
      </c>
      <c r="GE170" s="72">
        <f t="shared" si="1048"/>
        <v>50.07519186890687</v>
      </c>
      <c r="GF170" s="100">
        <f>AVERAGE(GF169,GF164)</f>
        <v>145418.5</v>
      </c>
      <c r="GG170" s="72">
        <f t="shared" si="1048"/>
        <v>25.618510392011189</v>
      </c>
      <c r="GH170" s="100">
        <f>AVERAGE(GH169,GH164)</f>
        <v>164521.5</v>
      </c>
      <c r="GI170" s="72">
        <f t="shared" si="1049"/>
        <v>13.13656790573414</v>
      </c>
      <c r="GJ170" s="100">
        <f>AVERAGE(GJ169,GJ164)</f>
        <v>179802.5</v>
      </c>
      <c r="GK170" s="72">
        <f t="shared" si="1049"/>
        <v>9.2881477496862033</v>
      </c>
      <c r="GL170" s="100">
        <f>AVERAGE(GL169,GL164)</f>
        <v>181670</v>
      </c>
      <c r="GM170" s="72">
        <f t="shared" si="1049"/>
        <v>1.0386396184702562</v>
      </c>
      <c r="GN170" s="100">
        <f>AVERAGE(GN169,GN164)</f>
        <v>188934</v>
      </c>
      <c r="GO170" s="72">
        <f t="shared" si="1049"/>
        <v>3.998458743876256</v>
      </c>
      <c r="GP170" s="100">
        <f>AVERAGE(GP169,GP164)</f>
        <v>196883.18918982887</v>
      </c>
      <c r="GQ170" s="72">
        <f t="shared" si="1049"/>
        <v>4.207389453369359</v>
      </c>
      <c r="GR170" s="100">
        <f>AVERAGE(GR169,GR164)</f>
        <v>202662.04281211196</v>
      </c>
      <c r="GS170" s="72">
        <f t="shared" si="1049"/>
        <v>2.9351686378420396</v>
      </c>
      <c r="GT170" s="100">
        <f>AVERAGE(GT169,GT164)</f>
        <v>209552.55226772378</v>
      </c>
      <c r="GU170" s="72">
        <f t="shared" si="1049"/>
        <v>3.4000000000000057</v>
      </c>
      <c r="GV170" s="100">
        <f>AVERAGE(GV169,GV164)</f>
        <v>216677.33904482637</v>
      </c>
      <c r="GW170" s="72">
        <f t="shared" si="1050"/>
        <v>3.4000000000000057</v>
      </c>
      <c r="GX170" s="100">
        <f>AVERAGE(GX169,GX164)</f>
        <v>224044.36857235048</v>
      </c>
      <c r="GY170" s="72">
        <f t="shared" si="1051"/>
        <v>3.4000000000000057</v>
      </c>
      <c r="GZ170" s="72">
        <f t="shared" si="1052"/>
        <v>3.4676969977609051</v>
      </c>
      <c r="HA170" s="72"/>
      <c r="HB170" s="72"/>
      <c r="HC170"/>
      <c r="HD170"/>
      <c r="HE170"/>
      <c r="HF170"/>
      <c r="HG170"/>
      <c r="HH170"/>
      <c r="HI170" s="2"/>
    </row>
    <row r="171" spans="2:275" s="102" customFormat="1" ht="12.75" customHeight="1" x14ac:dyDescent="0.2">
      <c r="B171" s="4"/>
      <c r="C171" s="103"/>
      <c r="D171" s="72"/>
      <c r="E171" s="103"/>
      <c r="F171" s="72"/>
      <c r="G171" s="103"/>
      <c r="H171" s="72"/>
      <c r="I171" s="103"/>
      <c r="J171" s="72"/>
      <c r="K171" s="103"/>
      <c r="L171" s="72"/>
      <c r="M171" s="103"/>
      <c r="N171" s="72"/>
      <c r="O171" s="103"/>
      <c r="P171" s="72"/>
      <c r="Q171" s="103"/>
      <c r="R171" s="72"/>
      <c r="S171" s="103"/>
      <c r="T171" s="72"/>
      <c r="U171" s="103"/>
      <c r="V171" s="72"/>
      <c r="W171" s="103"/>
      <c r="X171" s="72"/>
      <c r="Y171" s="103"/>
      <c r="Z171" s="72"/>
      <c r="AA171" s="103"/>
      <c r="AB171" s="72"/>
      <c r="AC171" s="103"/>
      <c r="AD171" s="72"/>
      <c r="AE171" s="103"/>
      <c r="AF171" s="72"/>
      <c r="AG171" s="103"/>
      <c r="AH171" s="72"/>
      <c r="AI171" s="103"/>
      <c r="AJ171" s="72"/>
      <c r="AK171" s="103"/>
      <c r="AL171" s="72"/>
      <c r="AM171" s="103"/>
      <c r="AN171" s="72"/>
      <c r="AO171" s="103"/>
      <c r="AP171" s="72"/>
      <c r="AQ171" s="103"/>
      <c r="AR171" s="72"/>
      <c r="AS171" s="103"/>
      <c r="AT171" s="72"/>
      <c r="AU171" s="103"/>
      <c r="AV171" s="72"/>
      <c r="AW171" s="103"/>
      <c r="AX171" s="72"/>
      <c r="AY171" s="103"/>
      <c r="AZ171" s="72"/>
      <c r="BA171" s="103"/>
      <c r="BB171" s="72"/>
      <c r="BC171" s="103"/>
      <c r="BD171" s="72"/>
      <c r="BE171" s="103"/>
      <c r="BF171" s="72"/>
      <c r="BG171" s="103"/>
      <c r="BH171" s="72"/>
      <c r="BI171" s="103"/>
      <c r="BJ171" s="72"/>
      <c r="BK171" s="103"/>
      <c r="BL171" s="72"/>
      <c r="BM171" s="103"/>
      <c r="BN171" s="72"/>
      <c r="BO171" s="103"/>
      <c r="BP171" s="72"/>
      <c r="BQ171" s="103"/>
      <c r="BR171" s="72"/>
      <c r="BS171" s="103"/>
      <c r="BT171" s="72"/>
      <c r="BU171" s="103"/>
      <c r="BV171" s="72"/>
      <c r="BW171" s="103"/>
      <c r="BX171" s="72"/>
      <c r="BY171" s="103"/>
      <c r="BZ171" s="72"/>
      <c r="CA171" s="103"/>
      <c r="CB171" s="72"/>
      <c r="CC171" s="103"/>
      <c r="CD171" s="72"/>
      <c r="CE171" s="103"/>
      <c r="CF171" s="72"/>
      <c r="CG171" s="103"/>
      <c r="CH171" s="72"/>
      <c r="CI171" s="103"/>
      <c r="CJ171" s="72"/>
      <c r="CK171" s="103"/>
      <c r="CL171" s="72"/>
      <c r="CM171" s="103"/>
      <c r="CN171" s="72"/>
      <c r="CO171" s="103"/>
      <c r="CP171" s="72"/>
      <c r="CQ171" s="103"/>
      <c r="CR171" s="72"/>
      <c r="CS171" s="103"/>
      <c r="CT171" s="72"/>
      <c r="CU171" s="103"/>
      <c r="CV171" s="72"/>
      <c r="CW171" s="103"/>
      <c r="CX171" s="72"/>
      <c r="CY171" s="103"/>
      <c r="CZ171" s="72"/>
      <c r="DA171" s="103"/>
      <c r="DB171" s="72"/>
      <c r="DC171" s="103"/>
      <c r="DD171" s="72"/>
      <c r="DE171" s="103"/>
      <c r="DF171" s="72"/>
      <c r="DG171" s="103"/>
      <c r="DH171" s="72"/>
      <c r="DI171" s="103"/>
      <c r="DJ171" s="72"/>
      <c r="DK171" s="103"/>
      <c r="DL171" s="72"/>
      <c r="DM171" s="103"/>
      <c r="DN171" s="72"/>
      <c r="DO171" s="103"/>
      <c r="DP171" s="72"/>
      <c r="DQ171" s="103"/>
      <c r="DR171" s="72"/>
      <c r="DS171" s="103"/>
      <c r="DT171" s="72"/>
      <c r="DU171" s="103"/>
      <c r="DV171" s="72"/>
      <c r="DW171" s="100"/>
      <c r="DX171" s="72"/>
      <c r="DY171" s="100"/>
      <c r="DZ171" s="72"/>
      <c r="EA171" s="100"/>
      <c r="EB171" s="72"/>
      <c r="EC171" s="100"/>
      <c r="ED171" s="72"/>
      <c r="EE171" s="100"/>
      <c r="EF171" s="72"/>
      <c r="EG171" s="100"/>
      <c r="EH171" s="72"/>
      <c r="EI171" s="100"/>
      <c r="EJ171" s="72"/>
      <c r="EK171" s="100"/>
      <c r="EL171" s="72"/>
      <c r="EM171" s="100"/>
      <c r="EN171" s="72"/>
      <c r="EO171" s="100"/>
      <c r="EP171" s="72"/>
      <c r="EQ171" s="100"/>
      <c r="ER171" s="72"/>
      <c r="ES171" s="100"/>
      <c r="ET171" s="72"/>
      <c r="EU171" s="100"/>
      <c r="EV171" s="72"/>
      <c r="EW171" s="100"/>
      <c r="EX171" s="72"/>
      <c r="EY171" s="72"/>
      <c r="EZ171" s="309"/>
      <c r="FA171" s="72"/>
      <c r="FB171" s="103"/>
      <c r="FC171" s="72"/>
      <c r="FD171" s="103"/>
      <c r="FE171" s="72"/>
      <c r="FF171" s="103"/>
      <c r="FG171" s="72"/>
      <c r="FH171" s="103"/>
      <c r="FI171" s="72"/>
      <c r="FJ171" s="103"/>
      <c r="FK171" s="72"/>
      <c r="FL171" s="103"/>
      <c r="FM171" s="72"/>
      <c r="FN171" s="103"/>
      <c r="FO171" s="72"/>
      <c r="FP171" s="103"/>
      <c r="FQ171" s="72"/>
      <c r="FR171" s="100"/>
      <c r="FS171" s="72"/>
      <c r="FT171" s="100"/>
      <c r="FU171" s="72"/>
      <c r="FV171" s="100"/>
      <c r="FW171" s="72"/>
      <c r="FX171" s="100"/>
      <c r="FY171" s="72"/>
      <c r="FZ171" s="100"/>
      <c r="GA171" s="72"/>
      <c r="GB171" s="100"/>
      <c r="GC171" s="72"/>
      <c r="GD171" s="100"/>
      <c r="GE171" s="72"/>
      <c r="GF171" s="100"/>
      <c r="GG171" s="72"/>
      <c r="GH171" s="100"/>
      <c r="GI171" s="72"/>
      <c r="GJ171" s="100"/>
      <c r="GK171" s="72"/>
      <c r="GL171" s="100"/>
      <c r="GM171" s="72"/>
      <c r="GN171" s="100"/>
      <c r="GO171" s="72"/>
      <c r="GP171" s="100"/>
      <c r="GQ171" s="72"/>
      <c r="GR171" s="100"/>
      <c r="GS171" s="72"/>
      <c r="GT171" s="100"/>
      <c r="GU171" s="72"/>
      <c r="GV171" s="100"/>
      <c r="GW171" s="72"/>
      <c r="GX171" s="100"/>
      <c r="GY171" s="72"/>
      <c r="GZ171" s="72"/>
      <c r="HA171" s="72"/>
      <c r="HB171" s="72"/>
      <c r="HC171"/>
      <c r="HD171"/>
      <c r="HE171"/>
      <c r="HF171"/>
      <c r="HG171"/>
      <c r="HH171"/>
      <c r="HI171" s="2"/>
    </row>
    <row r="172" spans="2:275" ht="12.75" customHeight="1" x14ac:dyDescent="0.2">
      <c r="B172" s="4" t="s">
        <v>499</v>
      </c>
      <c r="C172" s="100"/>
      <c r="D172" s="72"/>
      <c r="E172" s="100"/>
      <c r="F172" s="72"/>
      <c r="G172" s="100"/>
      <c r="H172" s="72"/>
      <c r="I172" s="100"/>
      <c r="J172" s="72"/>
      <c r="K172" s="100"/>
      <c r="L172" s="72"/>
      <c r="M172" s="100"/>
      <c r="N172" s="72"/>
      <c r="O172" s="100"/>
      <c r="P172" s="72"/>
      <c r="Q172" s="100"/>
      <c r="R172" s="72"/>
      <c r="S172" s="100"/>
      <c r="T172" s="72"/>
      <c r="U172" s="100"/>
      <c r="V172" s="72"/>
      <c r="W172" s="100"/>
      <c r="X172" s="72"/>
      <c r="Y172" s="100"/>
      <c r="Z172" s="72"/>
      <c r="AA172" s="100"/>
      <c r="AB172" s="72"/>
      <c r="AC172" s="100"/>
      <c r="AD172" s="72"/>
      <c r="AE172" s="100"/>
      <c r="AF172" s="72"/>
      <c r="AG172" s="100"/>
      <c r="AH172" s="72"/>
      <c r="AI172" s="100">
        <f>AI165+AI166</f>
        <v>-347</v>
      </c>
      <c r="AJ172" s="72" t="str">
        <f>IF(ISERROR(AI172/AA172),"NA",IF(OR(AI172/AA172&gt;2,AI172/AA172&lt;0.5),"NM",AI172/AA172*100-100))</f>
        <v>NA</v>
      </c>
      <c r="AK172" s="100">
        <f>AK165+AK166</f>
        <v>-575</v>
      </c>
      <c r="AL172" s="72" t="str">
        <f>IF(ISERROR(AK172/AC172),"NA",IF(OR(AK172/AC172&gt;2,AK172/AC172&lt;0.5),"NM",AK172/AC172*100-100))</f>
        <v>NA</v>
      </c>
      <c r="AM172" s="100">
        <f>AM165+AM166</f>
        <v>-691</v>
      </c>
      <c r="AN172" s="72" t="str">
        <f>IF(ISERROR(AM172/AE172),"NA",IF(OR(AM172/AE172&gt;2,AM172/AE172&lt;0.5),"NM",AM172/AE172*100-100))</f>
        <v>NA</v>
      </c>
      <c r="AO172" s="100">
        <f>AO165+AO166</f>
        <v>704</v>
      </c>
      <c r="AP172" s="72" t="str">
        <f>IF(ISERROR(AO172/AG172),"NA",IF(OR(AO172/AG172&gt;2,AO172/AG172&lt;0.5),"NM",AO172/AG172*100-100))</f>
        <v>NA</v>
      </c>
      <c r="AQ172" s="100">
        <f>AQ165+AQ166</f>
        <v>62</v>
      </c>
      <c r="AR172" s="72" t="str">
        <f>IF(ISERROR(AQ172/AI172),"NA",IF(OR(AQ172/AI172&gt;2,AQ172/AI172&lt;0.5),"NM",AQ172/AI172*100-100))</f>
        <v>NM</v>
      </c>
      <c r="AS172" s="100">
        <f>AS165+AS166</f>
        <v>13</v>
      </c>
      <c r="AT172" s="72" t="str">
        <f>IF(ISERROR(AS172/AK172),"NA",IF(OR(AS172/AK172&gt;2,AS172/AK172&lt;0.5),"NM",AS172/AK172*100-100))</f>
        <v>NM</v>
      </c>
      <c r="AU172" s="100">
        <f>AU165+AU166</f>
        <v>-94</v>
      </c>
      <c r="AV172" s="72" t="str">
        <f>IF(ISERROR(AU172/AM172),"NA",IF(OR(AU172/AM172&gt;2,AU172/AM172&lt;0.5),"NM",AU172/AM172*100-100))</f>
        <v>NM</v>
      </c>
      <c r="AW172" s="100">
        <f>AW165+AW166</f>
        <v>-1449</v>
      </c>
      <c r="AX172" s="72" t="str">
        <f>IF(ISERROR(AW172/AO172),"NA",IF(OR(AW172/AO172&gt;2,AW172/AO172&lt;0.5),"NM",AW172/AO172*100-100))</f>
        <v>NM</v>
      </c>
      <c r="AY172" s="100">
        <f>AY165+AY166</f>
        <v>-916</v>
      </c>
      <c r="AZ172" s="72" t="str">
        <f>IF(ISERROR(AY172/AQ172),"NA",IF(OR(AY172/AQ172&gt;2,AY172/AQ172&lt;0.5),"NM",AY172/AQ172*100-100))</f>
        <v>NM</v>
      </c>
      <c r="BA172" s="100">
        <f>BA165+BA166</f>
        <v>-341</v>
      </c>
      <c r="BB172" s="72" t="str">
        <f>IF(ISERROR(BA172/AS172),"NA",IF(OR(BA172/AS172&gt;2,BA172/AS172&lt;0.5),"NM",BA172/AS172*100-100))</f>
        <v>NM</v>
      </c>
      <c r="BC172" s="100">
        <f>BC165+BC166</f>
        <v>1293</v>
      </c>
      <c r="BD172" s="72" t="str">
        <f>IF(ISERROR(BC172/AU172),"NA",IF(OR(BC172/AU172&gt;2,BC172/AU172&lt;0.5),"NM",BC172/AU172*100-100))</f>
        <v>NM</v>
      </c>
      <c r="BE172" s="100">
        <f>BE165+BE166</f>
        <v>-399</v>
      </c>
      <c r="BF172" s="72" t="str">
        <f>IF(ISERROR(BE172/AW172),"NA",IF(OR(BE172/AW172&gt;2,BE172/AW172&lt;0.5),"NM",BE172/AW172*100-100))</f>
        <v>NM</v>
      </c>
      <c r="BG172" s="100">
        <f>BG165+BG166</f>
        <v>-210</v>
      </c>
      <c r="BH172" s="72" t="str">
        <f>IF(ISERROR(BG172/AY172),"NA",IF(OR(BG172/AY172&gt;2,BG172/AY172&lt;0.5),"NM",BG172/AY172*100-100))</f>
        <v>NM</v>
      </c>
      <c r="BI172" s="100">
        <f>BI165+BI166</f>
        <v>198</v>
      </c>
      <c r="BJ172" s="72" t="str">
        <f>IF(ISERROR(BI172/BA172),"NA",IF(OR(BI172/BA172&gt;2,BI172/BA172&lt;0.5),"NM",BI172/BA172*100-100))</f>
        <v>NM</v>
      </c>
      <c r="BK172" s="100">
        <f>BK165+BK166</f>
        <v>-648</v>
      </c>
      <c r="BL172" s="72" t="str">
        <f>IF(ISERROR(BK172/BC172),"NA",IF(OR(BK172/BC172&gt;2,BK172/BC172&lt;0.5),"NM",BK172/BC172*100-100))</f>
        <v>NM</v>
      </c>
      <c r="BM172" s="100">
        <f>BM165+BM166</f>
        <v>-565</v>
      </c>
      <c r="BN172" s="72">
        <f>IF(ISERROR(BM172/BE172),"NA",IF(OR(BM172/BE172&gt;2,BM172/BE172&lt;0.5),"NM",BM172/BE172*100-100))</f>
        <v>41.604010025062678</v>
      </c>
      <c r="BO172" s="100">
        <f>BO165+BO166</f>
        <v>108</v>
      </c>
      <c r="BP172" s="72" t="str">
        <f>IF(ISERROR(BO172/BG172),"NA",IF(OR(BO172/BG172&gt;2,BO172/BG172&lt;0.5),"NM",BO172/BG172*100-100))</f>
        <v>NM</v>
      </c>
      <c r="BQ172" s="100">
        <f>BQ165+BQ166</f>
        <v>-338</v>
      </c>
      <c r="BR172" s="72" t="str">
        <f>IF(ISERROR(BQ172/BI172),"NA",IF(OR(BQ172/BI172&gt;2,BQ172/BI172&lt;0.5),"NM",BQ172/BI172*100-100))</f>
        <v>NM</v>
      </c>
      <c r="BS172" s="100">
        <f>BS165+BS166</f>
        <v>-1062</v>
      </c>
      <c r="BT172" s="72">
        <f>IF(ISERROR(BS172/BK172),"NA",IF(OR(BS172/BK172&gt;2,BS172/BK172&lt;0.5),"NM",BS172/BK172*100-100))</f>
        <v>63.888888888888886</v>
      </c>
      <c r="BU172" s="100">
        <f>BU165+BU166</f>
        <v>-362</v>
      </c>
      <c r="BV172" s="72">
        <f>IF(ISERROR(BU172/BM172),"NA",IF(OR(BU172/BM172&gt;2,BU172/BM172&lt;0.5),"NM",BU172/BM172*100-100))</f>
        <v>-35.929203539823007</v>
      </c>
      <c r="BW172" s="100">
        <f>BW165+BW166</f>
        <v>-1410</v>
      </c>
      <c r="BX172" s="72" t="str">
        <f>IF(ISERROR(BW172/BO172),"NA",IF(OR(BW172/BO172&gt;2,BW172/BO172&lt;0.5),"NM",BW172/BO172*100-100))</f>
        <v>NM</v>
      </c>
      <c r="BY172" s="100">
        <f>BY165+BY166</f>
        <v>1071</v>
      </c>
      <c r="BZ172" s="72" t="str">
        <f>IF(ISERROR(BY172/BQ172),"NA",IF(OR(BY172/BQ172&gt;2,BY172/BQ172&lt;0.5),"NM",BY172/BQ172*100-100))</f>
        <v>NM</v>
      </c>
      <c r="CA172" s="100">
        <f>CA165+CA166</f>
        <v>-1194</v>
      </c>
      <c r="CB172" s="72">
        <f>IF(ISERROR(CA172/BS172),"NA",IF(OR(CA172/BS172&gt;2,CA172/BS172&lt;0.5),"NM",CA172/BS172*100-100))</f>
        <v>12.429378531073439</v>
      </c>
      <c r="CC172" s="100">
        <f>CC165+CC166</f>
        <v>1502</v>
      </c>
      <c r="CD172" s="72" t="str">
        <f>IF(ISERROR(CC172/BU172),"NA",IF(OR(CC172/BU172&gt;2,CC172/BU172&lt;0.5),"NM",CC172/BU172*100-100))</f>
        <v>NM</v>
      </c>
      <c r="CE172" s="100">
        <f>CE165+CE166</f>
        <v>-263</v>
      </c>
      <c r="CF172" s="72" t="str">
        <f>IF(ISERROR(CE172/BW172),"NA",IF(OR(CE172/BW172&gt;2,CE172/BW172&lt;0.5),"NM",CE172/BW172*100-100))</f>
        <v>NM</v>
      </c>
      <c r="CG172" s="100">
        <f>CG165+CG166</f>
        <v>1690</v>
      </c>
      <c r="CH172" s="72">
        <f>IF(ISERROR(CG172/BY172),"NA",IF(OR(CG172/BY172&gt;2,CG172/BY172&lt;0.5),"NM",CG172/BY172*100-100))</f>
        <v>57.796451914098981</v>
      </c>
      <c r="CI172" s="100">
        <f>CI165+CI166</f>
        <v>1436</v>
      </c>
      <c r="CJ172" s="72" t="str">
        <f>IF(ISERROR(CI172/CA172),"NA",IF(OR(CI172/CA172&gt;2,CI172/CA172&lt;0.5),"NM",CI172/CA172*100-100))</f>
        <v>NM</v>
      </c>
      <c r="CK172" s="100">
        <f>CK165+CK166</f>
        <v>5477</v>
      </c>
      <c r="CL172" s="72" t="str">
        <f>IF(ISERROR(CK172/CC172),"NA",IF(OR(CK172/CC172&gt;2,CK172/CC172&lt;0.5),"NM",CK172/CC172*100-100))</f>
        <v>NM</v>
      </c>
      <c r="CM172" s="100">
        <f>CM165+CM166</f>
        <v>4657</v>
      </c>
      <c r="CN172" s="72" t="str">
        <f>IF(ISERROR(CM172/CE172),"NA",IF(OR(CM172/CE172&gt;2,CM172/CE172&lt;0.5),"NM",CM172/CE172*100-100))</f>
        <v>NM</v>
      </c>
      <c r="CO172" s="100">
        <f>CO165+CO166</f>
        <v>4155</v>
      </c>
      <c r="CP172" s="72" t="str">
        <f>IF(ISERROR(CO172/CG172),"NA",IF(OR(CO172/CG172&gt;2,CO172/CG172&lt;0.5),"NM",CO172/CG172*100-100))</f>
        <v>NM</v>
      </c>
      <c r="CQ172" s="100">
        <f>CQ165+CQ166</f>
        <v>4070</v>
      </c>
      <c r="CR172" s="72" t="str">
        <f>IF(ISERROR(CQ172/CI172),"NA",IF(OR(CQ172/CI172&gt;2,CQ172/CI172&lt;0.5),"NM",CQ172/CI172*100-100))</f>
        <v>NM</v>
      </c>
      <c r="CS172" s="100">
        <f>CS165+CS166</f>
        <v>8741</v>
      </c>
      <c r="CT172" s="72">
        <f>IF(ISERROR(CS172/CK172),"NA",IF(OR(CS172/CK172&gt;2,CS172/CK172&lt;0.5),"NM",CS172/CK172*100-100))</f>
        <v>59.594668614204863</v>
      </c>
      <c r="CU172" s="100">
        <f>CU165+CU166</f>
        <v>2861</v>
      </c>
      <c r="CV172" s="72">
        <f>IF(ISERROR(CU172/CM172),"NA",IF(OR(CU172/CM172&gt;2,CU172/CM172&lt;0.5),"NM",CU172/CM172*100-100))</f>
        <v>-38.565600171784411</v>
      </c>
      <c r="CW172" s="100">
        <f>CW165+CW166</f>
        <v>5625</v>
      </c>
      <c r="CX172" s="72">
        <f>IF(ISERROR(CW172/CO172),"NA",IF(OR(CW172/CO172&gt;2,CW172/CO172&lt;0.5),"NM",CW172/CO172*100-100))</f>
        <v>35.379061371841146</v>
      </c>
      <c r="CY172" s="100">
        <f>CY165+CY166</f>
        <v>1418</v>
      </c>
      <c r="CZ172" s="72" t="str">
        <f>IF(ISERROR(CY172/CQ172),"NA",IF(OR(CY172/CQ172&gt;2,CY172/CQ172&lt;0.5),"NM",CY172/CQ172*100-100))</f>
        <v>NM</v>
      </c>
      <c r="DA172" s="100">
        <f>DA165+DA166</f>
        <v>36606</v>
      </c>
      <c r="DB172" s="72" t="str">
        <f>IF(ISERROR(DA172/CS172),"NA",IF(OR(DA172/CS172&gt;2,DA172/CS172&lt;0.5),"NM",DA172/CS172*100-100))</f>
        <v>NM</v>
      </c>
      <c r="DC172" s="100">
        <f>DC165+DC166</f>
        <v>1526</v>
      </c>
      <c r="DD172" s="72">
        <f>IF(ISERROR(DC172/CU172),"NA",IF(OR(DC172/CU172&gt;2,DC172/CU172&lt;0.5),"NM",DC172/CU172*100-100))</f>
        <v>-46.662006291506465</v>
      </c>
      <c r="DE172" s="100">
        <f>DE165+DE166</f>
        <v>1898</v>
      </c>
      <c r="DF172" s="72" t="str">
        <f>IF(ISERROR(DE172/CW172),"NA",IF(OR(DE172/CW172&gt;2,DE172/CW172&lt;0.5),"NM",DE172/CW172*100-100))</f>
        <v>NM</v>
      </c>
      <c r="DG172" s="100">
        <f>DG165+DG166</f>
        <v>2547</v>
      </c>
      <c r="DH172" s="72">
        <f>IF(ISERROR(DG172/CY172),"NA",IF(OR(DG172/CY172&gt;2,DG172/CY172&lt;0.5),"NM",DG172/CY172*100-100))</f>
        <v>79.619181946403387</v>
      </c>
      <c r="DI172" s="100">
        <f>DI165+DI166</f>
        <v>1372</v>
      </c>
      <c r="DJ172" s="72" t="str">
        <f>IF(ISERROR(DI172/DA172),"NA",IF(OR(DI172/DA172&gt;2,DI172/DA172&lt;0.5),"NM",DI172/DA172*100-100))</f>
        <v>NM</v>
      </c>
      <c r="DK172" s="100">
        <f>DK165+DK166</f>
        <v>-1284</v>
      </c>
      <c r="DL172" s="72" t="str">
        <f>IF(ISERROR(DK172/DC172),"NA",IF(OR(DK172/DC172&gt;2,DK172/DC172&lt;0.5),"NM",DK172/DC172*100-100))</f>
        <v>NM</v>
      </c>
      <c r="DM172" s="100">
        <f>DM165+DM166</f>
        <v>-2527</v>
      </c>
      <c r="DN172" s="72" t="str">
        <f>IF(ISERROR(DM172/DE172),"NA",IF(OR(DM172/DE172&gt;2,DM172/DE172&lt;0.5),"NM",DM172/DE172*100-100))</f>
        <v>NM</v>
      </c>
      <c r="DO172" s="100">
        <f>DO165+DO166</f>
        <v>27328</v>
      </c>
      <c r="DP172" s="72" t="str">
        <f>IF(ISERROR(DO172/DG172),"NA",IF(OR(DO172/DG172&gt;2,DO172/DG172&lt;0.5),"NM",DO172/DG172*100-100))</f>
        <v>NM</v>
      </c>
      <c r="DQ172" s="100">
        <f>DQ165+DQ166</f>
        <v>3740</v>
      </c>
      <c r="DR172" s="72" t="str">
        <f>IF(ISERROR(DQ172/DI172),"NA",IF(OR(DQ172/DI172&gt;2,DQ172/DI172&lt;0.5),"NM",DQ172/DI172*100-100))</f>
        <v>NM</v>
      </c>
      <c r="DS172" s="100">
        <f>DS165+DS166</f>
        <v>-2526</v>
      </c>
      <c r="DT172" s="72">
        <f>IF(ISERROR(DS172/DK172),"NA",IF(OR(DS172/DK172&gt;2,DS172/DK172&lt;0.5),"NM",DS172/DK172*100-100))</f>
        <v>96.728971962616839</v>
      </c>
      <c r="DU172" s="100">
        <f>DU165+DU166</f>
        <v>5339</v>
      </c>
      <c r="DV172" s="72" t="str">
        <f>IF(ISERROR(DU172/DM172),"NA",IF(OR(DU172/DM172&gt;2,DU172/DM172&lt;0.5),"NM",DU172/DM172*100-100))</f>
        <v>NM</v>
      </c>
      <c r="DW172" s="100">
        <f>DW165+DW166</f>
        <v>-1909</v>
      </c>
      <c r="DX172" s="72" t="str">
        <f>IF(ISERROR(DW172/DO172),"NA",IF(OR(DW172/DO172&gt;2,DW172/DO172&lt;0.5),"NM",DW172/DO172*100-100))</f>
        <v>NM</v>
      </c>
      <c r="DY172" s="100">
        <f>DY165+DY166</f>
        <v>-720</v>
      </c>
      <c r="DZ172" s="72" t="str">
        <f>IF(ISERROR(DY172/DQ172),"NA",IF(OR(DY172/DQ172&gt;2,DY172/DQ172&lt;0.5),"NM",DY172/DQ172*100-100))</f>
        <v>NM</v>
      </c>
      <c r="EA172" s="100">
        <f>EA165+EA166</f>
        <v>-722</v>
      </c>
      <c r="EB172" s="72" t="str">
        <f>IF(ISERROR(EA172/DS172),"NA",IF(OR(EA172/DS172&gt;2,EA172/DS172&lt;0.5),"NM",EA172/DS172*100-100))</f>
        <v>NM</v>
      </c>
      <c r="EC172" s="100">
        <f>EC165+EC166</f>
        <v>302</v>
      </c>
      <c r="ED172" s="72" t="str">
        <f>IF(ISERROR(EC172/DU172),"NA",IF(OR(EC172/DU172&gt;2,EC172/DU172&lt;0.5),"NM",EC172/DU172*100-100))</f>
        <v>NM</v>
      </c>
      <c r="EE172" s="100">
        <f>EE165+EE166</f>
        <v>4568</v>
      </c>
      <c r="EF172" s="72" t="str">
        <f>IF(ISERROR(EE172/DW172),"NA",IF(OR(EE172/DW172&gt;2,EE172/DW172&lt;0.5),"NM",EE172/DW172*100-100))</f>
        <v>NM</v>
      </c>
      <c r="EG172" s="100">
        <f>EG165+EG166</f>
        <v>-169</v>
      </c>
      <c r="EH172" s="72" t="str">
        <f>IF(ISERROR(EG172/DY172),"NA",IF(OR(EG172/DY172&gt;2,EG172/DY172&lt;0.5),"NM",EG172/DY172*100-100))</f>
        <v>NM</v>
      </c>
      <c r="EI172" s="100">
        <f>EI165+EI166</f>
        <v>-199</v>
      </c>
      <c r="EJ172" s="72" t="str">
        <f>IF(ISERROR(EI172/EA172),"NA",IF(OR(EI172/EA172&gt;2,EI172/EA172&lt;0.5),"NM",EI172/EA172*100-100))</f>
        <v>NM</v>
      </c>
      <c r="EK172" s="100">
        <f>EK165+EK166</f>
        <v>-1614</v>
      </c>
      <c r="EL172" s="72" t="str">
        <f>IF(ISERROR(EK172/EC172),"NA",IF(OR(EK172/EC172&gt;2,EK172/EC172&lt;0.5),"NM",EK172/EC172*100-100))</f>
        <v>NM</v>
      </c>
      <c r="EM172" s="100">
        <f>EM165+EM166</f>
        <v>1212</v>
      </c>
      <c r="EN172" s="72" t="str">
        <f>IF(ISERROR(EM172/EE172),"NA",IF(OR(EM172/EE172&gt;2,EM172/EE172&lt;0.5),"NM",EM172/EE172*100-100))</f>
        <v>NM</v>
      </c>
      <c r="EO172" s="100">
        <f>EO165+EO166</f>
        <v>4825</v>
      </c>
      <c r="EP172" s="72" t="str">
        <f>IF(ISERROR(EO172/EG172),"NA",IF(OR(EO172/EG172&gt;2,EO172/EG172&lt;0.5),"NM",EO172/EG172*100-100))</f>
        <v>NM</v>
      </c>
      <c r="EQ172" s="100">
        <f t="shared" ref="EQ172" si="1073">EQ165+EQ166</f>
        <v>486.22999999999956</v>
      </c>
      <c r="ER172" s="72" t="str">
        <f t="shared" ref="ER172" si="1074">IF(ISERROR(EQ172/EI172),"NA",IF(OR(EQ172/EI172&gt;2,EQ172/EI172&lt;0.5),"NM",EQ172/EI172*100-100))</f>
        <v>NM</v>
      </c>
      <c r="ES172" s="100">
        <f t="shared" ref="ES172" si="1075">ES165+ES166</f>
        <v>485.69514700000036</v>
      </c>
      <c r="ET172" s="72" t="str">
        <f t="shared" ref="ET172" si="1076">IF(ISERROR(ES172/EK172),"NA",IF(OR(ES172/EK172&gt;2,ES172/EK172&lt;0.5),"NM",ES172/EK172*100-100))</f>
        <v>NM</v>
      </c>
      <c r="EU172" s="100">
        <f t="shared" ref="EU172" si="1077">EU165+EU166</f>
        <v>489.82355574950088</v>
      </c>
      <c r="EV172" s="72" t="str">
        <f t="shared" ref="EV172" si="1078">IF(ISERROR(EU172/EM172),"NA",IF(OR(EU172/EM172&gt;2,EU172/EM172&lt;0.5),"NM",EU172/EM172*100-100))</f>
        <v>NM</v>
      </c>
      <c r="EW172" s="100">
        <f t="shared" ref="EW172" si="1079">EW165+EW166</f>
        <v>493.98705597336993</v>
      </c>
      <c r="EX172" s="72" t="str">
        <f t="shared" ref="EX172" si="1080">IF(ISERROR(EW172/EO172),"NA",IF(OR(EW172/EO172&gt;2,EW172/EO172&lt;0.5),"NM",EW172/EO172*100-100))</f>
        <v>NM</v>
      </c>
      <c r="EY172" s="72"/>
      <c r="EZ172" s="306"/>
      <c r="FA172" s="72"/>
      <c r="FB172" s="100">
        <f>FB165+FB166</f>
        <v>-6976</v>
      </c>
      <c r="FC172" s="72"/>
      <c r="FD172" s="100">
        <f>FD165+FD166</f>
        <v>-5293</v>
      </c>
      <c r="FE172" s="72">
        <f>IF(ISERROR(FD172/FB172),"NA",IF(OR(FD172/FB172&gt;2,FD172/FB172&lt;0.5),"NM",FD172/FB172*100-100))</f>
        <v>-24.125573394495419</v>
      </c>
      <c r="FF172" s="100">
        <f>FF165+FF166</f>
        <v>-3255</v>
      </c>
      <c r="FG172" s="72">
        <f>IF(ISERROR(FF172/FD172),"NA",IF(OR(FF172/FD172&gt;2,FF172/FD172&lt;0.5),"NM",FF172/FD172*100-100))</f>
        <v>-38.503684111090116</v>
      </c>
      <c r="FH172" s="100">
        <f>FH165+FH166</f>
        <v>0</v>
      </c>
      <c r="FI172" s="72" t="str">
        <f>IF(ISERROR(FH172/FF172),"NA",IF(OR(FH172/FF172&gt;2,FH172/FF172&lt;0.5),"NM",FH172/FF172*100-100))</f>
        <v>NM</v>
      </c>
      <c r="FJ172" s="100">
        <f>FJ165+FJ166</f>
        <v>0</v>
      </c>
      <c r="FK172" s="72" t="str">
        <f>IF(ISERROR(FJ172/FH172),"NA",IF(OR(FJ172/FH172&gt;2,FJ172/FH172&lt;0.5),"NM",FJ172/FH172*100-100))</f>
        <v>NA</v>
      </c>
      <c r="FL172" s="100">
        <f>FL165+FL166</f>
        <v>0</v>
      </c>
      <c r="FM172" s="72" t="str">
        <f>IF(ISERROR(FL172/FJ172),"NA",IF(OR(FL172/FJ172&gt;2,FL172/FJ172&lt;0.5),"NM",FL172/FJ172*100-100))</f>
        <v>NA</v>
      </c>
      <c r="FN172" s="100">
        <f>FN165+FN166</f>
        <v>-909</v>
      </c>
      <c r="FO172" s="72" t="str">
        <f>IF(ISERROR(FN172/FL172),"NA",IF(OR(FN172/FL172&gt;2,FN172/FL172&lt;0.5),"NM",FN172/FL172*100-100))</f>
        <v>NA</v>
      </c>
      <c r="FP172" s="100">
        <f>FP165+FP166</f>
        <v>-1468</v>
      </c>
      <c r="FQ172" s="72">
        <f>IF(ISERROR(FP172/FN172),"NA",IF(OR(FP172/FN172&gt;2,FP172/FN172&lt;0.5),"NM",FP172/FN172*100-100))</f>
        <v>61.496149614961496</v>
      </c>
      <c r="FR172" s="100">
        <f>FR165+FR166</f>
        <v>-363</v>
      </c>
      <c r="FS172" s="72" t="str">
        <f>IF(ISERROR(FR172/FP172),"NA",IF(OR(FR172/FP172&gt;2,FR172/FP172&lt;0.5),"NM",FR172/FP172*100-100))</f>
        <v>NM</v>
      </c>
      <c r="FT172" s="100">
        <f>FT165+FT166</f>
        <v>-1225</v>
      </c>
      <c r="FU172" s="72" t="str">
        <f>IF(ISERROR(FT172/FR172),"NA",IF(OR(FT172/FR172&gt;2,FT172/FR172&lt;0.5),"NM",FT172/FR172*100-100))</f>
        <v>NM</v>
      </c>
      <c r="FV172" s="100">
        <f>FV165+FV166</f>
        <v>-1654</v>
      </c>
      <c r="FW172" s="72">
        <f>IF(ISERROR(FV172/FT172),"NA",IF(OR(FV172/FT172&gt;2,FV172/FT172&lt;0.5),"NM",FV172/FT172*100-100))</f>
        <v>35.020408163265301</v>
      </c>
      <c r="FX172" s="100">
        <f>FX165+FX166</f>
        <v>-31</v>
      </c>
      <c r="FY172" s="72" t="str">
        <f>IF(ISERROR(FX172/FV172),"NA",IF(OR(FX172/FV172&gt;2,FX172/FV172&lt;0.5),"NM",FX172/FV172*100-100))</f>
        <v>NM</v>
      </c>
      <c r="FZ172" s="100">
        <f>FZ165+FZ166</f>
        <v>8340</v>
      </c>
      <c r="GA172" s="72" t="str">
        <f>IF(ISERROR(FZ172/FX172),"NA",IF(OR(FZ172/FX172&gt;2,FZ172/FX172&lt;0.5),"NM",FZ172/FX172*100-100))</f>
        <v>NM</v>
      </c>
      <c r="GB172" s="100">
        <f>GB165+GB166</f>
        <v>21623</v>
      </c>
      <c r="GC172" s="72" t="str">
        <f>IF(ISERROR(GB172/FZ172),"NA",IF(OR(GB172/FZ172&gt;2,GB172/FZ172&lt;0.5),"NM",GB172/FZ172*100-100))</f>
        <v>NM</v>
      </c>
      <c r="GD172" s="100">
        <f>GD165+GD166</f>
        <v>46510</v>
      </c>
      <c r="GE172" s="72" t="str">
        <f>IF(ISERROR(GD172/GB172),"NA",IF(OR(GD172/GB172&gt;2,GD172/GB172&lt;0.5),"NM",GD172/GB172*100-100))</f>
        <v>NM</v>
      </c>
      <c r="GF172" s="100">
        <f>GF165+GF166</f>
        <v>7343</v>
      </c>
      <c r="GG172" s="72" t="str">
        <f>IF(ISERROR(GF172/GD172),"NA",IF(OR(GF172/GD172&gt;2,GF172/GD172&lt;0.5),"NM",GF172/GD172*100-100))</f>
        <v>NM</v>
      </c>
      <c r="GH172" s="100">
        <f>GH165+GH166</f>
        <v>27257</v>
      </c>
      <c r="GI172" s="72" t="str">
        <f t="shared" ref="GI172:GU172" si="1081">IF(ISERROR(GH172/GF172),"NA",IF(OR(GH172/GF172&gt;2,GH172/GF172&lt;0.5),"NM",GH172/GF172*100-100))</f>
        <v>NM</v>
      </c>
      <c r="GJ172" s="100">
        <f>GJ165+GJ166</f>
        <v>184</v>
      </c>
      <c r="GK172" s="72" t="str">
        <f t="shared" si="1081"/>
        <v>NM</v>
      </c>
      <c r="GL172" s="100">
        <f>GL165+GL166</f>
        <v>3979</v>
      </c>
      <c r="GM172" s="72" t="str">
        <f t="shared" si="1081"/>
        <v>NM</v>
      </c>
      <c r="GN172" s="100">
        <f>GN165+GN166</f>
        <v>4224</v>
      </c>
      <c r="GO172" s="72">
        <f t="shared" si="1081"/>
        <v>6.1573259612968059</v>
      </c>
      <c r="GP172" s="100">
        <f>GP165+GP166</f>
        <v>1955.7357587228726</v>
      </c>
      <c r="GQ172" s="72" t="str">
        <f t="shared" si="1081"/>
        <v>NM</v>
      </c>
      <c r="GR172" s="100">
        <f>GR165+GR166</f>
        <v>1992.7437837965808</v>
      </c>
      <c r="GS172" s="72">
        <f t="shared" si="1081"/>
        <v>1.8922814551325189</v>
      </c>
      <c r="GT172" s="100">
        <f>GT165+GT166</f>
        <v>2060.497072445658</v>
      </c>
      <c r="GU172" s="72">
        <f t="shared" si="1081"/>
        <v>3.3999999999996646</v>
      </c>
      <c r="GV172" s="100">
        <f>GV165+GV166</f>
        <v>2130.5539729088196</v>
      </c>
      <c r="GW172" s="72">
        <f>IF(ISERROR(GV172/GT172),"NA",IF(OR(GV172/GT172&gt;2,GV172/GT172&lt;0.5),"NM",GV172/GT172*100-100))</f>
        <v>3.4000000000004462</v>
      </c>
      <c r="GX172" s="100">
        <f>GX165+GX166</f>
        <v>2202.9928079877136</v>
      </c>
      <c r="GY172" s="72">
        <f>IF(ISERROR(GX172/GV172),"NA",IF(OR(GX172/GV172&gt;2,GX172/GV172&lt;0.5),"NM",GX172/GV172*100-100))</f>
        <v>3.3999999999997357</v>
      </c>
      <c r="GZ172" s="72">
        <f>IF(ISERROR(((GX172/GN172)^0.2-1)*100),"NA",IF((((GX172/GN172)^0.2-1)*100)&gt;100,"NM",IF((((GX172/GN172)^0.2-1)*100)&lt;-50,"NM",((GX172/GN172)^0.2-1)*100)))</f>
        <v>-12.207415564541002</v>
      </c>
      <c r="HA172" s="72"/>
      <c r="HB172" s="72"/>
    </row>
    <row r="173" spans="2:275" ht="12.75" customHeight="1" x14ac:dyDescent="0.2">
      <c r="B173" s="4"/>
      <c r="C173" s="100"/>
      <c r="D173" s="72"/>
      <c r="E173" s="100"/>
      <c r="F173" s="72"/>
      <c r="G173" s="100"/>
      <c r="H173" s="72"/>
      <c r="I173" s="100"/>
      <c r="J173" s="72"/>
      <c r="K173" s="100"/>
      <c r="L173" s="72"/>
      <c r="M173" s="100"/>
      <c r="N173" s="72"/>
      <c r="O173" s="100"/>
      <c r="P173" s="72"/>
      <c r="Q173" s="100"/>
      <c r="R173" s="72"/>
      <c r="S173" s="100"/>
      <c r="T173" s="72"/>
      <c r="U173" s="100"/>
      <c r="V173" s="72"/>
      <c r="W173" s="100"/>
      <c r="X173" s="72"/>
      <c r="Y173" s="100"/>
      <c r="Z173" s="72"/>
      <c r="AA173" s="100"/>
      <c r="AB173" s="72"/>
      <c r="AC173" s="100"/>
      <c r="AD173" s="72"/>
      <c r="AE173" s="100"/>
      <c r="AF173" s="72"/>
      <c r="AG173" s="100"/>
      <c r="AH173" s="72"/>
      <c r="AI173" s="100"/>
      <c r="AJ173" s="72"/>
      <c r="AK173" s="100"/>
      <c r="AL173" s="72"/>
      <c r="AM173" s="100"/>
      <c r="AN173" s="72"/>
      <c r="AO173" s="100"/>
      <c r="AP173" s="72"/>
      <c r="AQ173" s="100"/>
      <c r="AR173" s="72"/>
      <c r="AS173" s="100"/>
      <c r="AT173" s="72"/>
      <c r="AU173" s="100"/>
      <c r="AV173" s="72"/>
      <c r="AW173" s="100"/>
      <c r="AX173" s="72"/>
      <c r="AY173" s="100"/>
      <c r="AZ173" s="72"/>
      <c r="BA173" s="100"/>
      <c r="BB173" s="72"/>
      <c r="BC173" s="100"/>
      <c r="BD173" s="72"/>
      <c r="BE173" s="100"/>
      <c r="BF173" s="72"/>
      <c r="BG173" s="100"/>
      <c r="BH173" s="72"/>
      <c r="BI173" s="100"/>
      <c r="BJ173" s="72"/>
      <c r="BK173" s="100"/>
      <c r="BL173" s="72"/>
      <c r="BM173" s="100"/>
      <c r="BN173" s="72"/>
      <c r="BO173" s="100"/>
      <c r="BP173" s="72"/>
      <c r="BQ173" s="100"/>
      <c r="BR173" s="72"/>
      <c r="BS173" s="100"/>
      <c r="BT173" s="72"/>
      <c r="BU173" s="100"/>
      <c r="BV173" s="72"/>
      <c r="BW173" s="100"/>
      <c r="BX173" s="72"/>
      <c r="BY173" s="100"/>
      <c r="BZ173" s="72"/>
      <c r="CA173" s="100"/>
      <c r="CB173" s="72"/>
      <c r="CC173" s="100"/>
      <c r="CD173" s="72"/>
      <c r="CE173" s="100"/>
      <c r="CF173" s="72"/>
      <c r="CG173" s="100"/>
      <c r="CH173" s="72"/>
      <c r="CI173" s="100"/>
      <c r="CJ173" s="72"/>
      <c r="CK173" s="100"/>
      <c r="CL173" s="72"/>
      <c r="CM173" s="100"/>
      <c r="CN173" s="72"/>
      <c r="CO173" s="100"/>
      <c r="CP173" s="72"/>
      <c r="CQ173" s="100"/>
      <c r="CR173" s="72"/>
      <c r="CS173" s="100"/>
      <c r="CT173" s="72"/>
      <c r="CU173" s="100"/>
      <c r="CV173" s="72"/>
      <c r="CW173" s="100"/>
      <c r="CX173" s="72"/>
      <c r="CY173" s="100"/>
      <c r="CZ173" s="72"/>
      <c r="DA173" s="100"/>
      <c r="DB173" s="72"/>
      <c r="DC173" s="100"/>
      <c r="DD173" s="72"/>
      <c r="DE173" s="100"/>
      <c r="DF173" s="72"/>
      <c r="DG173" s="100"/>
      <c r="DH173" s="72"/>
      <c r="DI173" s="100"/>
      <c r="DJ173" s="72"/>
      <c r="DK173" s="100"/>
      <c r="DL173" s="72"/>
      <c r="DM173" s="100"/>
      <c r="DN173" s="72"/>
      <c r="DO173" s="100"/>
      <c r="DP173" s="72"/>
      <c r="DQ173" s="100"/>
      <c r="DR173" s="72"/>
      <c r="DS173" s="100"/>
      <c r="DT173" s="72"/>
      <c r="DU173" s="100"/>
      <c r="DV173" s="72"/>
      <c r="DW173" s="100"/>
      <c r="DX173" s="72"/>
      <c r="DY173" s="100"/>
      <c r="DZ173" s="72"/>
      <c r="EA173" s="100"/>
      <c r="EB173" s="72"/>
      <c r="EC173" s="100"/>
      <c r="ED173" s="72"/>
      <c r="EE173" s="100"/>
      <c r="EF173" s="72"/>
      <c r="EG173" s="100"/>
      <c r="EH173" s="72"/>
      <c r="EI173" s="100"/>
      <c r="EJ173" s="72"/>
      <c r="EK173" s="100"/>
      <c r="EL173" s="72"/>
      <c r="EM173" s="100"/>
      <c r="EN173" s="72"/>
      <c r="EO173" s="100"/>
      <c r="EP173" s="72"/>
      <c r="EQ173" s="100"/>
      <c r="ER173" s="72"/>
      <c r="ES173" s="100"/>
      <c r="ET173" s="72"/>
      <c r="EU173" s="100"/>
      <c r="EV173" s="72"/>
      <c r="EW173" s="100"/>
      <c r="EX173" s="72"/>
      <c r="EY173" s="72"/>
      <c r="EZ173" s="306"/>
      <c r="FA173" s="72"/>
      <c r="FB173" s="100"/>
      <c r="FC173" s="72"/>
      <c r="FD173" s="100"/>
      <c r="FE173" s="72"/>
      <c r="FF173" s="100"/>
      <c r="FG173" s="72"/>
      <c r="FH173" s="100"/>
      <c r="FI173" s="72"/>
      <c r="FJ173" s="100"/>
      <c r="FK173" s="72"/>
      <c r="FL173" s="100"/>
      <c r="FM173" s="72"/>
      <c r="FN173" s="100"/>
      <c r="FO173" s="72"/>
      <c r="FP173" s="100"/>
      <c r="FQ173" s="72"/>
      <c r="FR173" s="100"/>
      <c r="FS173" s="72"/>
      <c r="FT173" s="100"/>
      <c r="FU173" s="72"/>
      <c r="FV173" s="100"/>
      <c r="FW173" s="72"/>
      <c r="FX173" s="100"/>
      <c r="FY173" s="72"/>
      <c r="FZ173" s="100"/>
      <c r="GA173" s="72"/>
      <c r="GB173" s="100"/>
      <c r="GC173" s="72"/>
      <c r="GD173" s="100"/>
      <c r="GE173" s="72"/>
      <c r="GF173" s="100"/>
      <c r="GG173" s="72"/>
      <c r="GH173" s="100"/>
      <c r="GI173" s="72"/>
      <c r="GJ173" s="100"/>
      <c r="GK173" s="72"/>
      <c r="GL173" s="100"/>
      <c r="GM173" s="72"/>
      <c r="GN173" s="100"/>
      <c r="GO173" s="72"/>
      <c r="GP173" s="100"/>
      <c r="GQ173" s="72"/>
      <c r="GR173" s="100"/>
      <c r="GS173" s="72"/>
      <c r="GT173" s="100"/>
      <c r="GU173" s="72"/>
      <c r="GV173" s="100"/>
      <c r="GW173" s="72"/>
      <c r="GX173" s="100"/>
      <c r="GY173" s="72"/>
      <c r="GZ173" s="72"/>
      <c r="HA173" s="72"/>
      <c r="HB173" s="72"/>
    </row>
    <row r="174" spans="2:275" s="3" customFormat="1" ht="12.75" customHeight="1" x14ac:dyDescent="0.2">
      <c r="B174" s="10" t="s">
        <v>497</v>
      </c>
      <c r="C174" s="73"/>
      <c r="D174" s="72"/>
      <c r="E174" s="73"/>
      <c r="F174" s="72"/>
      <c r="G174" s="73"/>
      <c r="H174" s="72"/>
      <c r="I174" s="73"/>
      <c r="J174" s="72"/>
      <c r="K174" s="73"/>
      <c r="L174" s="72"/>
      <c r="M174" s="73"/>
      <c r="N174" s="72"/>
      <c r="O174" s="73"/>
      <c r="P174" s="72"/>
      <c r="Q174" s="73"/>
      <c r="R174" s="72"/>
      <c r="S174" s="73"/>
      <c r="T174" s="72"/>
      <c r="U174" s="73"/>
      <c r="V174" s="72"/>
      <c r="W174" s="73"/>
      <c r="X174" s="72"/>
      <c r="Y174" s="73"/>
      <c r="Z174" s="72"/>
      <c r="AA174" s="73"/>
      <c r="AB174" s="72"/>
      <c r="AC174" s="73"/>
      <c r="AD174" s="72"/>
      <c r="AE174" s="73"/>
      <c r="AF174" s="72"/>
      <c r="AG174" s="73"/>
      <c r="AH174" s="72"/>
      <c r="AI174" s="81">
        <f>AI165/AI164*400</f>
        <v>3.3387622149837135</v>
      </c>
      <c r="AJ174" s="72"/>
      <c r="AK174" s="81">
        <f>AK165/AK164*400</f>
        <v>7.1475575803594023</v>
      </c>
      <c r="AL174" s="72"/>
      <c r="AM174" s="81">
        <f>AM165/AM164*400</f>
        <v>3.5285104520083177</v>
      </c>
      <c r="AN174" s="72"/>
      <c r="AO174" s="81">
        <f>AO165/AO164*400</f>
        <v>13.20655966503838</v>
      </c>
      <c r="AP174" s="72"/>
      <c r="AQ174" s="81">
        <f>AQ165/AQ164*400</f>
        <v>10.427852348993289</v>
      </c>
      <c r="AR174" s="72"/>
      <c r="AS174" s="81">
        <f>AS165/AS164*400</f>
        <v>10.356828378548366</v>
      </c>
      <c r="AT174" s="72"/>
      <c r="AU174" s="81">
        <f>AU165/AU164*400</f>
        <v>6.5991936147453298</v>
      </c>
      <c r="AV174" s="72"/>
      <c r="AW174" s="81">
        <f>AW165/AW164*400</f>
        <v>6.4190363268393407</v>
      </c>
      <c r="AX174" s="72"/>
      <c r="AY174" s="81">
        <f>AY165/AY164*400</f>
        <v>12.778702163061565</v>
      </c>
      <c r="AZ174" s="72"/>
      <c r="BA174" s="81">
        <f>BA165/BA164*400</f>
        <v>9.2174097214868169</v>
      </c>
      <c r="BB174" s="72"/>
      <c r="BC174" s="81">
        <f>BC165/BC164*400</f>
        <v>17.086948180674867</v>
      </c>
      <c r="BD174" s="72"/>
      <c r="BE174" s="81">
        <f>BE165/BE164*400</f>
        <v>11.037438343979947</v>
      </c>
      <c r="BF174" s="72"/>
      <c r="BG174" s="81">
        <f>BG165/BG164*400</f>
        <v>12.198372754580358</v>
      </c>
      <c r="BH174" s="72"/>
      <c r="BI174" s="81">
        <f>BI165/BI164*400</f>
        <v>12.609304988057875</v>
      </c>
      <c r="BJ174" s="72"/>
      <c r="BK174" s="81">
        <f>BK165/BK164*400</f>
        <v>4.2807210462239329</v>
      </c>
      <c r="BL174" s="72"/>
      <c r="BM174" s="81">
        <f>BM165/BM164*400</f>
        <v>10.056753249268793</v>
      </c>
      <c r="BN174" s="72"/>
      <c r="BO174" s="81">
        <f>BO165/BO164*400</f>
        <v>14.0334554476556</v>
      </c>
      <c r="BP174" s="72"/>
      <c r="BQ174" s="81">
        <f>BQ165/BQ164*400</f>
        <v>12.433468171173089</v>
      </c>
      <c r="BR174" s="72"/>
      <c r="BS174" s="81">
        <f>BS165/BS164*400</f>
        <v>8.1688117562557014</v>
      </c>
      <c r="BT174" s="72"/>
      <c r="BU174" s="81">
        <f>BU165/BU164*400</f>
        <v>10.151675625986691</v>
      </c>
      <c r="BV174" s="72"/>
      <c r="BW174" s="81">
        <f>BW165/BW164*400</f>
        <v>4.9672218811273297</v>
      </c>
      <c r="BX174" s="72"/>
      <c r="BY174" s="81">
        <f>BY165/BY164*400</f>
        <v>19.114827656536814</v>
      </c>
      <c r="BZ174" s="72"/>
      <c r="CA174" s="81">
        <f>CA165/CA164*400</f>
        <v>10.744820616472966</v>
      </c>
      <c r="CB174" s="72"/>
      <c r="CC174" s="81">
        <f>CC165/CC164*400</f>
        <v>27.819773819733928</v>
      </c>
      <c r="CD174" s="72"/>
      <c r="CE174" s="81">
        <f>CE165/CE164*400</f>
        <v>14.45634584264468</v>
      </c>
      <c r="CF174" s="72"/>
      <c r="CG174" s="81">
        <f>CG165/CG164*400</f>
        <v>27.986658580958157</v>
      </c>
      <c r="CH174" s="72"/>
      <c r="CI174" s="81">
        <f>CI165/CI164*400</f>
        <v>21.985169302242475</v>
      </c>
      <c r="CJ174" s="72"/>
      <c r="CK174" s="81">
        <f>CK165/CK164*400</f>
        <v>45.064508482611494</v>
      </c>
      <c r="CL174" s="72"/>
      <c r="CM174" s="81">
        <f>CM165/CM164*400</f>
        <v>36.053160494211859</v>
      </c>
      <c r="CN174" s="72"/>
      <c r="CO174" s="81">
        <f>CO165/CO164*400</f>
        <v>32.468211113046507</v>
      </c>
      <c r="CP174" s="72"/>
      <c r="CQ174" s="81">
        <f>CQ165/CQ164*400</f>
        <v>30.060298660479422</v>
      </c>
      <c r="CR174" s="72"/>
      <c r="CS174" s="81">
        <f>CS165/CS164*400</f>
        <v>53.780134885049627</v>
      </c>
      <c r="CT174" s="72"/>
      <c r="CU174" s="81">
        <f>CU165/CU164*400</f>
        <v>19.531796334735652</v>
      </c>
      <c r="CV174" s="72"/>
      <c r="CW174" s="81">
        <f>CW165/CW164*400</f>
        <v>36.043600098025635</v>
      </c>
      <c r="CX174" s="72"/>
      <c r="CY174" s="81">
        <f>CY165/CY164*400</f>
        <v>11.54593286022471</v>
      </c>
      <c r="CZ174" s="72"/>
      <c r="DA174" s="81">
        <f>DA165/DA164*400</f>
        <v>149.80792385757698</v>
      </c>
      <c r="DB174" s="72"/>
      <c r="DC174" s="81">
        <f>DC165/DC164*400</f>
        <v>10.874253190511544</v>
      </c>
      <c r="DD174" s="72"/>
      <c r="DE174" s="81">
        <f>DE165/DE164*400</f>
        <v>12.194866129178875</v>
      </c>
      <c r="DF174" s="72"/>
      <c r="DG174" s="81">
        <f>DG165/DG164*400</f>
        <v>13.97353245293232</v>
      </c>
      <c r="DH174" s="72"/>
      <c r="DI174" s="81">
        <f>DI165/DI164*400</f>
        <v>11.026512576478586</v>
      </c>
      <c r="DJ174" s="72"/>
      <c r="DK174" s="81">
        <f>DK165/DK164*400</f>
        <v>4.6398307920911366</v>
      </c>
      <c r="DL174" s="72"/>
      <c r="DM174" s="81">
        <f>DM165/DM164*400</f>
        <v>5.5458669927369186</v>
      </c>
      <c r="DN174" s="72" t="str">
        <f t="shared" ref="DN174:DZ177" si="1082">IF(ISERROR(DM174/DE174),"NA",IF(OR(DM174/DE174&gt;2,DM174/DE174&lt;0.5),"NM",DM174/DE174*100-100))</f>
        <v>NM</v>
      </c>
      <c r="DO174" s="81">
        <f>DO165/DO164*400</f>
        <v>83.135643850145328</v>
      </c>
      <c r="DP174" s="72" t="str">
        <f t="shared" si="1082"/>
        <v>NM</v>
      </c>
      <c r="DQ174" s="81">
        <f>DQ165/DQ164*400</f>
        <v>19.422763579184853</v>
      </c>
      <c r="DR174" s="72">
        <f t="shared" si="1082"/>
        <v>76.146024814925511</v>
      </c>
      <c r="DS174" s="81">
        <f>DS165/DS164*400</f>
        <v>2.1576366197026289</v>
      </c>
      <c r="DT174" s="72" t="str">
        <f t="shared" si="1082"/>
        <v>NM</v>
      </c>
      <c r="DU174" s="81">
        <f>DU165/DU164*400</f>
        <v>20.65718157181572</v>
      </c>
      <c r="DV174" s="72" t="str">
        <f t="shared" si="1082"/>
        <v>NM</v>
      </c>
      <c r="DW174" s="81">
        <f>DW165/DW164*400</f>
        <v>4.4200698593020604</v>
      </c>
      <c r="DX174" s="72" t="str">
        <f t="shared" si="1082"/>
        <v>NM</v>
      </c>
      <c r="DY174" s="81">
        <f>DY165/DY164*400</f>
        <v>7.5414781297134237</v>
      </c>
      <c r="DZ174" s="72" t="str">
        <f t="shared" si="1082"/>
        <v>NM</v>
      </c>
      <c r="EA174" s="81">
        <f>EA165/EA164*400</f>
        <v>4.5809161832366474</v>
      </c>
      <c r="EB174" s="72" t="str">
        <f>IF(ISERROR(EA174/DS174),"NA",IF(OR(EA174/DS174&gt;2,EA174/DS174&lt;0.5),"NM",EA174/DS174*100-100))</f>
        <v>NM</v>
      </c>
      <c r="EC174" s="81">
        <f>EC165/EC164*400</f>
        <v>7.5677887832583961</v>
      </c>
      <c r="ED174" s="72" t="str">
        <f>IF(ISERROR(EC174/DU174),"NA",IF(OR(EC174/DU174&gt;2,EC174/DU174&lt;0.5),"NM",EC174/DU174*100-100))</f>
        <v>NM</v>
      </c>
      <c r="EE174" s="81">
        <f>EE165/EE164*400</f>
        <v>15.274046063179311</v>
      </c>
      <c r="EF174" s="72" t="str">
        <f>IF(ISERROR(EE174/DW174),"NA",IF(OR(EE174/DW174&gt;2,EE174/DW174&lt;0.5),"NM",EE174/DW174*100-100))</f>
        <v>NM</v>
      </c>
      <c r="EG174" s="81">
        <f>EG165/EG164*400</f>
        <v>8.0569636566715364</v>
      </c>
      <c r="EH174" s="72">
        <f>IF(ISERROR(EG174/DY174),"NA",IF(OR(EG174/DY174&gt;2,EG174/DY174&lt;0.5),"NM",EG174/DY174*100-100))</f>
        <v>6.8353380874645779</v>
      </c>
      <c r="EI174" s="81">
        <f>EI165/EI164*400</f>
        <v>8.8168571677864058</v>
      </c>
      <c r="EJ174" s="72">
        <f>IF(ISERROR(EI174/EA174),"NA",IF(OR(EI174/EA174&gt;2,EI174/EA174&lt;0.5),"NM",EI174/EA174*100-100))</f>
        <v>92.469296863599311</v>
      </c>
      <c r="EK174" s="81">
        <f>EK165/EK164*400</f>
        <v>5.5252140561272718</v>
      </c>
      <c r="EL174" s="72">
        <f>IF(ISERROR(EK174/EC174),"NA",IF(OR(EK174/EC174&gt;2,EK174/EC174&lt;0.5),"NM",EK174/EC174*100-100))</f>
        <v>-26.990377052405933</v>
      </c>
      <c r="EM174" s="81">
        <f>EM165/EM164*400</f>
        <v>10.211671400246503</v>
      </c>
      <c r="EN174" s="72">
        <f>IF(ISERROR(EM174/EE174),"NA",IF(OR(EM174/EE174&gt;2,EM174/EE174&lt;0.5),"NM",EM174/EE174*100-100))</f>
        <v>-33.14363883670957</v>
      </c>
      <c r="EO174" s="81">
        <f>EO165/EO164*400</f>
        <v>21.798417189050898</v>
      </c>
      <c r="EP174" s="72" t="str">
        <f>IF(ISERROR(EO174/EG174),"NA",IF(OR(EO174/EG174&gt;2,EO174/EG174&lt;0.5),"NM",EO174/EG174*100-100))</f>
        <v>NM</v>
      </c>
      <c r="EQ174" s="86">
        <v>11</v>
      </c>
      <c r="ER174" s="72">
        <f t="shared" ref="ER174:ER177" si="1083">IF(ISERROR(EQ174/EI174),"NA",IF(OR(EQ174/EI174&gt;2,EQ174/EI174&lt;0.5),"NM",EQ174/EI174*100-100))</f>
        <v>24.761009401286486</v>
      </c>
      <c r="ES174" s="86">
        <v>11</v>
      </c>
      <c r="ET174" s="72">
        <f t="shared" ref="ET174:ET177" si="1084">IF(ISERROR(ES174/EK174),"NA",IF(OR(ES174/EK174&gt;2,ES174/EK174&lt;0.5),"NM",ES174/EK174*100-100))</f>
        <v>99.087309346890891</v>
      </c>
      <c r="EU174" s="86">
        <v>11</v>
      </c>
      <c r="EV174" s="72">
        <f t="shared" ref="EV174:EV177" si="1085">IF(ISERROR(EU174/EM174),"NA",IF(OR(EU174/EM174&gt;2,EU174/EM174&lt;0.5),"NM",EU174/EM174*100-100))</f>
        <v>7.7198782535684387</v>
      </c>
      <c r="EW174" s="86">
        <v>11</v>
      </c>
      <c r="EX174" s="72">
        <f t="shared" ref="EX174:EX177" si="1086">IF(ISERROR(EW174/EO174),"NA",IF(OR(EW174/EO174&gt;2,EW174/EO174&lt;0.5),"NM",EW174/EO174*100-100))</f>
        <v>-49.537620531800918</v>
      </c>
      <c r="EY174" s="72"/>
      <c r="EZ174" s="306"/>
      <c r="FA174" s="72"/>
      <c r="FB174" s="81">
        <f>FB165/FB164*100</f>
        <v>5.2616138968631478</v>
      </c>
      <c r="FC174" s="88"/>
      <c r="FD174" s="81">
        <f>FD165/FD164*100</f>
        <v>4.2822651448639153</v>
      </c>
      <c r="FE174" s="88"/>
      <c r="FF174" s="81">
        <f>FF165/FF164*100</f>
        <v>4.8470915056158246</v>
      </c>
      <c r="FG174" s="88"/>
      <c r="FH174" s="81">
        <f>FH165/FH164*100</f>
        <v>0</v>
      </c>
      <c r="FI174" s="88"/>
      <c r="FJ174" s="81">
        <f>FJ165/FJ164*100</f>
        <v>0</v>
      </c>
      <c r="FK174" s="88"/>
      <c r="FL174" s="81">
        <f>FL165/FL164*100</f>
        <v>0</v>
      </c>
      <c r="FM174" s="88"/>
      <c r="FN174" s="81">
        <f>FN165/FN164*100</f>
        <v>7.5096701954397398</v>
      </c>
      <c r="FO174" s="88"/>
      <c r="FP174" s="81">
        <f>FP165/FP164*100</f>
        <v>8.5255872483221466</v>
      </c>
      <c r="FQ174" s="88"/>
      <c r="FR174" s="81">
        <f>FR165/FR164*100</f>
        <v>12.464642262895174</v>
      </c>
      <c r="FS174" s="88"/>
      <c r="FT174" s="81">
        <f>FT165/FT164*100</f>
        <v>9.8927768604905619</v>
      </c>
      <c r="FU174" s="88"/>
      <c r="FV174" s="81">
        <f>FV165/FV164*100</f>
        <v>11.122094939039755</v>
      </c>
      <c r="FW174" s="88"/>
      <c r="FX174" s="81">
        <f>FX165/FX164*100</f>
        <v>15.420570002574715</v>
      </c>
      <c r="FY174" s="88"/>
      <c r="FZ174" s="81">
        <f>FZ165/FZ164*100</f>
        <v>29.471372428142097</v>
      </c>
      <c r="GA174" s="88"/>
      <c r="GB174" s="81">
        <f>GB165/GB164*100</f>
        <v>43.271582817880123</v>
      </c>
      <c r="GC174" s="88"/>
      <c r="GD174" s="81">
        <f>GD165/GD164*100</f>
        <v>61.056288781094246</v>
      </c>
      <c r="GE174" s="88"/>
      <c r="GF174" s="81">
        <f>GF165/GF164*100</f>
        <v>12.227525011489377</v>
      </c>
      <c r="GG174" s="88"/>
      <c r="GH174" s="81">
        <f>GH165/GH164*100</f>
        <v>28.977523727928677</v>
      </c>
      <c r="GI174" s="72" t="str">
        <f t="shared" ref="GI174:GU176" si="1087">IF(ISERROR(GH174/GF174),"NA",IF(OR(GH174/GF174&gt;2,GH174/GF174&lt;0.5),"NM",GH174/GF174*100-100))</f>
        <v>NM</v>
      </c>
      <c r="GJ174" s="81">
        <f>GJ165/GJ164*100</f>
        <v>8.6683997528403882</v>
      </c>
      <c r="GK174" s="72" t="str">
        <f t="shared" si="1087"/>
        <v>NM</v>
      </c>
      <c r="GL174" s="81">
        <f>GL165/GL164*100</f>
        <v>8.9684603587384135</v>
      </c>
      <c r="GM174" s="72">
        <f t="shared" si="1087"/>
        <v>3.4615455499696282</v>
      </c>
      <c r="GN174" s="81">
        <f>GN165/GN164*100</f>
        <v>11.795436698368379</v>
      </c>
      <c r="GO174" s="72">
        <f t="shared" si="1087"/>
        <v>31.521311647160303</v>
      </c>
      <c r="GP174" s="81">
        <f>GP165/GP164*100</f>
        <v>11.061171331443751</v>
      </c>
      <c r="GQ174" s="72">
        <f t="shared" si="1087"/>
        <v>-6.2249951884036392</v>
      </c>
      <c r="GR174" s="86">
        <v>11</v>
      </c>
      <c r="GS174" s="72">
        <f t="shared" si="1087"/>
        <v>-0.55302760992280753</v>
      </c>
      <c r="GT174" s="86">
        <v>11</v>
      </c>
      <c r="GU174" s="72">
        <f t="shared" si="1087"/>
        <v>0</v>
      </c>
      <c r="GV174" s="86">
        <v>11</v>
      </c>
      <c r="GW174" s="72">
        <f>IF(ISERROR(GV174/GT174),"NA",IF(OR(GV174/GT174&gt;2,GV174/GT174&lt;0.5),"NM",GV174/GT174*100-100))</f>
        <v>0</v>
      </c>
      <c r="GX174" s="86">
        <v>11</v>
      </c>
      <c r="GY174" s="72">
        <f>IF(ISERROR(GX174/GV174),"NA",IF(OR(GX174/GV174&gt;2,GX174/GV174&lt;0.5),"NM",GX174/GV174*100-100))</f>
        <v>0</v>
      </c>
      <c r="GZ174" s="72"/>
      <c r="HA174" s="72"/>
      <c r="HB174" s="72"/>
      <c r="HC174"/>
      <c r="HD174"/>
      <c r="HE174"/>
      <c r="HF174"/>
      <c r="HG174"/>
      <c r="HH174"/>
      <c r="HI174" s="2"/>
    </row>
    <row r="175" spans="2:275" s="3" customFormat="1" ht="12.75" customHeight="1" x14ac:dyDescent="0.2">
      <c r="B175" s="10" t="s">
        <v>138</v>
      </c>
      <c r="C175" s="73"/>
      <c r="D175" s="72"/>
      <c r="E175" s="73"/>
      <c r="F175" s="72"/>
      <c r="G175" s="73"/>
      <c r="H175" s="72"/>
      <c r="I175" s="73"/>
      <c r="J175" s="72"/>
      <c r="K175" s="73"/>
      <c r="L175" s="72"/>
      <c r="M175" s="73"/>
      <c r="N175" s="72"/>
      <c r="O175" s="73"/>
      <c r="P175" s="72"/>
      <c r="Q175" s="73"/>
      <c r="R175" s="72"/>
      <c r="S175" s="73"/>
      <c r="T175" s="72"/>
      <c r="U175" s="73"/>
      <c r="V175" s="72"/>
      <c r="W175" s="73"/>
      <c r="X175" s="72"/>
      <c r="Y175" s="73"/>
      <c r="Z175" s="72"/>
      <c r="AA175" s="73"/>
      <c r="AB175" s="72"/>
      <c r="AC175" s="73"/>
      <c r="AD175" s="72"/>
      <c r="AE175" s="73"/>
      <c r="AF175" s="72"/>
      <c r="AG175" s="73"/>
      <c r="AH175" s="72"/>
      <c r="AI175" s="81">
        <f>-AI166/AI164*400</f>
        <v>6.8709283387622149</v>
      </c>
      <c r="AJ175" s="72"/>
      <c r="AK175" s="81">
        <f>-AK166/AK164*400</f>
        <v>12.968868640850417</v>
      </c>
      <c r="AL175" s="72"/>
      <c r="AM175" s="81">
        <f>-AM166/AM164*400</f>
        <v>9.5786363138885839</v>
      </c>
      <c r="AN175" s="72"/>
      <c r="AO175" s="81">
        <f>-AO166/AO164*400</f>
        <v>7.0655966503838101</v>
      </c>
      <c r="AP175" s="72"/>
      <c r="AQ175" s="81">
        <f>-AQ166/AQ164*400</f>
        <v>9.9077181208053684</v>
      </c>
      <c r="AR175" s="72"/>
      <c r="AS175" s="81">
        <f>-AS166/AS164*400</f>
        <v>10.247809132458384</v>
      </c>
      <c r="AT175" s="72"/>
      <c r="AU175" s="81">
        <f>-AU166/AU164*400</f>
        <v>7.3726651855508933</v>
      </c>
      <c r="AV175" s="72"/>
      <c r="AW175" s="81">
        <f>-AW166/AW164*400</f>
        <v>18.267677903387369</v>
      </c>
      <c r="AX175" s="72"/>
      <c r="AY175" s="81">
        <f>-AY166/AY164*400</f>
        <v>20.399334442595674</v>
      </c>
      <c r="AZ175" s="72"/>
      <c r="BA175" s="81">
        <f>-BA166/BA164*400</f>
        <v>12.106322143386636</v>
      </c>
      <c r="BB175" s="72"/>
      <c r="BC175" s="81">
        <f>-BC166/BC164*400</f>
        <v>6.062285507215484</v>
      </c>
      <c r="BD175" s="72"/>
      <c r="BE175" s="81">
        <f>-BE166/BE164*400</f>
        <v>14.263766475297162</v>
      </c>
      <c r="BF175" s="72"/>
      <c r="BG175" s="81">
        <f>-BG166/BG164*400</f>
        <v>13.869382720961228</v>
      </c>
      <c r="BH175" s="72"/>
      <c r="BI175" s="81">
        <f>-BI166/BI164*400</f>
        <v>11.045972246896033</v>
      </c>
      <c r="BJ175" s="72"/>
      <c r="BK175" s="81">
        <f>-BK166/BK164*400</f>
        <v>9.3704590975140398</v>
      </c>
      <c r="BL175" s="72"/>
      <c r="BM175" s="81">
        <f>-BM166/BM164*400</f>
        <v>14.434307629728629</v>
      </c>
      <c r="BN175" s="72"/>
      <c r="BO175" s="81">
        <f>-BO166/BO164*400</f>
        <v>13.196100094977806</v>
      </c>
      <c r="BP175" s="72"/>
      <c r="BQ175" s="81">
        <f>-BQ166/BQ164*400</f>
        <v>15.050225482416243</v>
      </c>
      <c r="BR175" s="72"/>
      <c r="BS175" s="81">
        <f>-BS166/BS164*400</f>
        <v>16.415273814376956</v>
      </c>
      <c r="BT175" s="72"/>
      <c r="BU175" s="81">
        <f>-BU166/BU164*400</f>
        <v>13.045302851661638</v>
      </c>
      <c r="BV175" s="72"/>
      <c r="BW175" s="81">
        <f>-BW166/BW164*400</f>
        <v>16.137529460695966</v>
      </c>
      <c r="BX175" s="72"/>
      <c r="BY175" s="81">
        <f>-BY166/BY164*400</f>
        <v>10.377320008158271</v>
      </c>
      <c r="BZ175" s="72"/>
      <c r="CA175" s="81">
        <f>-CA166/CA164*400</f>
        <v>20.398180899444164</v>
      </c>
      <c r="CB175" s="72"/>
      <c r="CC175" s="81">
        <f>-CC166/CC164*400</f>
        <v>15.83660769491593</v>
      </c>
      <c r="CD175" s="72"/>
      <c r="CE175" s="81">
        <f>-CE166/CE164*400</f>
        <v>16.483008399475995</v>
      </c>
      <c r="CF175" s="72"/>
      <c r="CG175" s="81">
        <f>-CG166/CG164*400</f>
        <v>15.175864160097028</v>
      </c>
      <c r="CH175" s="72"/>
      <c r="CI175" s="81">
        <f>-CI166/CI164*400</f>
        <v>11.721611721611721</v>
      </c>
      <c r="CJ175" s="72"/>
      <c r="CK175" s="81">
        <f>-CK166/CK164*400</f>
        <v>7.9712844129897391</v>
      </c>
      <c r="CL175" s="72"/>
      <c r="CM175" s="81">
        <f>-CM166/CM164*400</f>
        <v>7.0298988828817608</v>
      </c>
      <c r="CN175" s="72"/>
      <c r="CO175" s="81">
        <f>-CO166/CO164*400</f>
        <v>8.3434941647796546</v>
      </c>
      <c r="CP175" s="72"/>
      <c r="CQ175" s="81">
        <f>-CQ166/CQ164*400</f>
        <v>8.0991757834104483</v>
      </c>
      <c r="CR175" s="72"/>
      <c r="CS175" s="81">
        <f>-CS166/CS164*400</f>
        <v>10.35360749195782</v>
      </c>
      <c r="CT175" s="72"/>
      <c r="CU175" s="81">
        <f>-CU166/CU164*400</f>
        <v>6.8288026285118058</v>
      </c>
      <c r="CV175" s="72"/>
      <c r="CW175" s="81">
        <f>-CW166/CW164*400</f>
        <v>12.06993916017602</v>
      </c>
      <c r="CX175" s="72"/>
      <c r="CY175" s="81">
        <f>-CY166/CY164*400</f>
        <v>6.0091953574182719</v>
      </c>
      <c r="CZ175" s="72"/>
      <c r="DA175" s="81">
        <f>-DA166/DA164*400</f>
        <v>9.8847543145461856</v>
      </c>
      <c r="DB175" s="72"/>
      <c r="DC175" s="81">
        <f>-DC166/DC164*400</f>
        <v>6.5584897656167138</v>
      </c>
      <c r="DD175" s="72"/>
      <c r="DE175" s="81">
        <f>-DE166/DE164*400</f>
        <v>6.886183580284035</v>
      </c>
      <c r="DF175" s="72"/>
      <c r="DG175" s="81">
        <f>-DG166/DG164*400</f>
        <v>6.9034913012401029</v>
      </c>
      <c r="DH175" s="72"/>
      <c r="DI175" s="81">
        <f>-DI166/DI164*400</f>
        <v>7.2957171991842289</v>
      </c>
      <c r="DJ175" s="72"/>
      <c r="DK175" s="81">
        <f>-DK166/DK164*400</f>
        <v>8.0775357759601611</v>
      </c>
      <c r="DL175" s="72"/>
      <c r="DM175" s="81">
        <f>-DM166/DM164*400</f>
        <v>12.299797542445928</v>
      </c>
      <c r="DN175" s="72">
        <f t="shared" si="1082"/>
        <v>78.61559162700388</v>
      </c>
      <c r="DO175" s="81">
        <f>-DO166/DO164*400</f>
        <v>9.7576038289331475</v>
      </c>
      <c r="DP175" s="72">
        <f t="shared" si="1082"/>
        <v>41.343030694923129</v>
      </c>
      <c r="DQ175" s="81">
        <f>-DQ166/DQ164*400</f>
        <v>10.899809714800087</v>
      </c>
      <c r="DR175" s="72">
        <f t="shared" si="1082"/>
        <v>49.400112658133878</v>
      </c>
      <c r="DS175" s="81">
        <f>-DS166/DS164*400</f>
        <v>7.7821878079057676</v>
      </c>
      <c r="DT175" s="72">
        <f t="shared" si="1082"/>
        <v>-3.6564117602968622</v>
      </c>
      <c r="DU175" s="81">
        <f>-DU166/DU164*400</f>
        <v>8.599819331526648</v>
      </c>
      <c r="DV175" s="72">
        <f t="shared" si="1082"/>
        <v>-30.081618808365405</v>
      </c>
      <c r="DW175" s="81">
        <f>-DW166/DW164*400</f>
        <v>8.5746308447317166</v>
      </c>
      <c r="DX175" s="72">
        <f t="shared" si="1082"/>
        <v>-12.123601295368147</v>
      </c>
      <c r="DY175" s="81">
        <f>-DY166/DY164*400</f>
        <v>9.1268399555217918</v>
      </c>
      <c r="DZ175" s="72">
        <f t="shared" si="1082"/>
        <v>-16.266061570514424</v>
      </c>
      <c r="EA175" s="81">
        <f>-EA166/EA164*400</f>
        <v>6.1856815807605967</v>
      </c>
      <c r="EB175" s="72">
        <f>IF(ISERROR(EA175/DS175),"NA",IF(OR(EA175/DS175&gt;2,EA175/DS175&lt;0.5),"NM",EA175/DS175*100-100))</f>
        <v>-20.514876620213556</v>
      </c>
      <c r="EC175" s="81">
        <f>-EC166/EC164*400</f>
        <v>6.8997173969549657</v>
      </c>
      <c r="ED175" s="72">
        <f>IF(ISERROR(EC175/DU175),"NA",IF(OR(EC175/DU175&gt;2,EC175/DU175&lt;0.5),"NM",EC175/DU175*100-100))</f>
        <v>-19.769042453475336</v>
      </c>
      <c r="EE175" s="81">
        <f>-EE166/EE164*400</f>
        <v>5.1724328567795581</v>
      </c>
      <c r="EF175" s="72">
        <f>IF(ISERROR(EE175/DW175),"NA",IF(OR(EE175/DW175&gt;2,EE175/DW175&lt;0.5),"NM",EE175/DW175*100-100))</f>
        <v>-39.677486407971493</v>
      </c>
      <c r="EG175" s="81">
        <f>-EG166/EG164*400</f>
        <v>8.4199673511470063</v>
      </c>
      <c r="EH175" s="72">
        <f>IF(ISERROR(EG175/DY175),"NA",IF(OR(EG175/DY175&gt;2,EG175/DY175&lt;0.5),"NM",EG175/DY175*100-100))</f>
        <v>-7.744987397824616</v>
      </c>
      <c r="EI175" s="81">
        <f>-EI166/EI164*400</f>
        <v>9.2509379635284876</v>
      </c>
      <c r="EJ175" s="72">
        <f>IF(ISERROR(EI175/EA175),"NA",IF(OR(EI175/EA175&gt;2,EI175/EA175&lt;0.5),"NM",EI175/EA175*100-100))</f>
        <v>49.554060336726621</v>
      </c>
      <c r="EK175" s="81">
        <f>-EK166/EK164*400</f>
        <v>9.0127758420441353</v>
      </c>
      <c r="EL175" s="72">
        <f>IF(ISERROR(EK175/EC175),"NA",IF(OR(EK175/EC175&gt;2,EK175/EC175&lt;0.5),"NM",EK175/EC175*100-100))</f>
        <v>30.625289754935778</v>
      </c>
      <c r="EM175" s="81">
        <f>-EM166/EM164*400</f>
        <v>7.6137398853223308</v>
      </c>
      <c r="EN175" s="72">
        <f>IF(ISERROR(EM175/EE175),"NA",IF(OR(EM175/EE175&gt;2,EM175/EE175&lt;0.5),"NM",EM175/EE175*100-100))</f>
        <v>47.198428595219525</v>
      </c>
      <c r="EO175" s="81">
        <f>-EO166/EO164*400</f>
        <v>11.554201455421738</v>
      </c>
      <c r="EP175" s="72">
        <f>IF(ISERROR(EO175/EG175),"NA",IF(OR(EO175/EG175&gt;2,EO175/EG175&lt;0.5),"NM",EO175/EG175*100-100))</f>
        <v>37.223827285360812</v>
      </c>
      <c r="EQ175" s="86">
        <v>10</v>
      </c>
      <c r="ER175" s="72">
        <f t="shared" si="1083"/>
        <v>8.0971468993162006</v>
      </c>
      <c r="ES175" s="86">
        <v>10</v>
      </c>
      <c r="ET175" s="72">
        <f t="shared" si="1084"/>
        <v>10.953608247422665</v>
      </c>
      <c r="EU175" s="86">
        <v>10</v>
      </c>
      <c r="EV175" s="72">
        <f t="shared" si="1085"/>
        <v>31.341497747747724</v>
      </c>
      <c r="EW175" s="86">
        <v>10</v>
      </c>
      <c r="EX175" s="72">
        <f t="shared" si="1086"/>
        <v>-13.451396545387723</v>
      </c>
      <c r="EY175" s="72"/>
      <c r="EZ175" s="306"/>
      <c r="FA175" s="72"/>
      <c r="FB175" s="81">
        <f>-FB166/FB164*100</f>
        <v>19.879303480502063</v>
      </c>
      <c r="FC175" s="88"/>
      <c r="FD175" s="81">
        <f>-FD166/FD164*100</f>
        <v>15.899912203687444</v>
      </c>
      <c r="FE175" s="88"/>
      <c r="FF175" s="81">
        <f>-FF166/FF164*100</f>
        <v>12.642191728332975</v>
      </c>
      <c r="FG175" s="88"/>
      <c r="FH175" s="81">
        <f>-FH166/FH164*100</f>
        <v>0</v>
      </c>
      <c r="FI175" s="88"/>
      <c r="FJ175" s="81">
        <f>-FJ166/FJ164*100</f>
        <v>0</v>
      </c>
      <c r="FK175" s="88"/>
      <c r="FL175" s="81">
        <f>-FL166/FL164*100</f>
        <v>0</v>
      </c>
      <c r="FM175" s="88"/>
      <c r="FN175" s="81">
        <f>-FN166/FN164*100</f>
        <v>9.8228827361563518</v>
      </c>
      <c r="FO175" s="88"/>
      <c r="FP175" s="81">
        <f>-FP166/FP164*100</f>
        <v>11.604446308724832</v>
      </c>
      <c r="FQ175" s="88"/>
      <c r="FR175" s="81">
        <f>-FR166/FR164*100</f>
        <v>13.219633943427619</v>
      </c>
      <c r="FS175" s="88"/>
      <c r="FT175" s="81">
        <f>-FT166/FT164*100</f>
        <v>12.329666394795998</v>
      </c>
      <c r="FU175" s="88"/>
      <c r="FV175" s="81">
        <f>-FV166/FV164*100</f>
        <v>14.328080479153341</v>
      </c>
      <c r="FW175" s="88"/>
      <c r="FX175" s="81">
        <f>-FX166/FX164*100</f>
        <v>15.481967083242559</v>
      </c>
      <c r="FY175" s="88"/>
      <c r="FZ175" s="81">
        <f>-FZ166/FZ164*100</f>
        <v>13.404484857825382</v>
      </c>
      <c r="GA175" s="88"/>
      <c r="GB175" s="81">
        <f>-GB166/GB164*100</f>
        <v>9.5819765358428253</v>
      </c>
      <c r="GC175" s="88"/>
      <c r="GD175" s="81">
        <f>-GD166/GD164*100</f>
        <v>9.4295640977255815</v>
      </c>
      <c r="GE175" s="88"/>
      <c r="GF175" s="81">
        <f>-GF166/GF164*100</f>
        <v>7.0357407996606209</v>
      </c>
      <c r="GG175" s="88"/>
      <c r="GH175" s="81">
        <f>-GH166/GH164*100</f>
        <v>10.733457383435296</v>
      </c>
      <c r="GI175" s="72">
        <f t="shared" si="1087"/>
        <v>52.55617978355653</v>
      </c>
      <c r="GJ175" s="81">
        <f>-GJ166/GJ164*100</f>
        <v>8.5659732466419136</v>
      </c>
      <c r="GK175" s="72">
        <f t="shared" si="1087"/>
        <v>-20.193718196882315</v>
      </c>
      <c r="GL175" s="81">
        <f>-GL166/GL164*100</f>
        <v>6.7574626036318381</v>
      </c>
      <c r="GM175" s="72">
        <f t="shared" si="1087"/>
        <v>-21.112728127175259</v>
      </c>
      <c r="GN175" s="81">
        <f>-GN166/GN164*100</f>
        <v>9.4919727772445679</v>
      </c>
      <c r="GO175" s="72">
        <f t="shared" si="1087"/>
        <v>40.466523220462221</v>
      </c>
      <c r="GP175" s="81">
        <f>-GP166/GP164*100</f>
        <v>10.0556103013125</v>
      </c>
      <c r="GQ175" s="72">
        <f t="shared" si="1087"/>
        <v>5.9380440430587811</v>
      </c>
      <c r="GR175" s="86">
        <v>10</v>
      </c>
      <c r="GS175" s="72">
        <f t="shared" si="1087"/>
        <v>-0.55302760992280753</v>
      </c>
      <c r="GT175" s="86">
        <v>10</v>
      </c>
      <c r="GU175" s="72">
        <f t="shared" si="1087"/>
        <v>0</v>
      </c>
      <c r="GV175" s="86">
        <v>10</v>
      </c>
      <c r="GW175" s="72">
        <f>IF(ISERROR(GV175/GT175),"NA",IF(OR(GV175/GT175&gt;2,GV175/GT175&lt;0.5),"NM",GV175/GT175*100-100))</f>
        <v>0</v>
      </c>
      <c r="GX175" s="86">
        <v>10</v>
      </c>
      <c r="GY175" s="72">
        <f>IF(ISERROR(GX175/GV175),"NA",IF(OR(GX175/GV175&gt;2,GX175/GV175&lt;0.5),"NM",GX175/GV175*100-100))</f>
        <v>0</v>
      </c>
      <c r="GZ175" s="72"/>
      <c r="HA175" s="72"/>
      <c r="HB175" s="72"/>
      <c r="HC175"/>
      <c r="HD175"/>
      <c r="HE175"/>
      <c r="HF175"/>
      <c r="HG175"/>
      <c r="HH175"/>
      <c r="HI175" s="2"/>
    </row>
    <row r="176" spans="2:275" s="3" customFormat="1" ht="12.75" customHeight="1" x14ac:dyDescent="0.2">
      <c r="B176" s="266" t="s">
        <v>281</v>
      </c>
      <c r="C176" s="73"/>
      <c r="D176" s="72"/>
      <c r="E176" s="73"/>
      <c r="F176" s="72"/>
      <c r="G176" s="73"/>
      <c r="H176" s="72"/>
      <c r="I176" s="73"/>
      <c r="J176" s="72"/>
      <c r="K176" s="73"/>
      <c r="L176" s="72"/>
      <c r="M176" s="73"/>
      <c r="N176" s="72"/>
      <c r="O176" s="73"/>
      <c r="P176" s="72"/>
      <c r="Q176" s="73"/>
      <c r="R176" s="72"/>
      <c r="S176" s="73"/>
      <c r="T176" s="72"/>
      <c r="U176" s="73"/>
      <c r="V176" s="72"/>
      <c r="W176" s="73"/>
      <c r="X176" s="72"/>
      <c r="Y176" s="73"/>
      <c r="Z176" s="72"/>
      <c r="AA176" s="73"/>
      <c r="AB176" s="72"/>
      <c r="AC176" s="73"/>
      <c r="AD176" s="72"/>
      <c r="AE176" s="73"/>
      <c r="AF176" s="72"/>
      <c r="AG176" s="73"/>
      <c r="AH176" s="72"/>
      <c r="AI176" s="81">
        <f>AI167/AI164*400</f>
        <v>9.6498371335504896</v>
      </c>
      <c r="AJ176" s="72"/>
      <c r="AK176" s="81">
        <f>AK167/AK164*400</f>
        <v>-1.2452543659832953</v>
      </c>
      <c r="AL176" s="72"/>
      <c r="AM176" s="81">
        <f>AM167/AM164*400</f>
        <v>7.6524023202364013</v>
      </c>
      <c r="AN176" s="72"/>
      <c r="AO176" s="81">
        <f>AO167/AO164*400</f>
        <v>8.6531751570132585</v>
      </c>
      <c r="AP176" s="72"/>
      <c r="AQ176" s="81">
        <f>AQ167/AQ164*400</f>
        <v>2.6677852348993287</v>
      </c>
      <c r="AR176" s="72"/>
      <c r="AS176" s="81">
        <f>AS167/AS164*400</f>
        <v>9.4595161222692781</v>
      </c>
      <c r="AT176" s="72"/>
      <c r="AU176" s="81">
        <f>AU167/AU164*400</f>
        <v>2.5590389204311692</v>
      </c>
      <c r="AV176" s="72"/>
      <c r="AW176" s="81">
        <f>AW167/AW164*400</f>
        <v>4.5955393830365727</v>
      </c>
      <c r="AX176" s="72"/>
      <c r="AY176" s="81">
        <f>AY167/AY164*400</f>
        <v>1.5141430948419301</v>
      </c>
      <c r="AZ176" s="72"/>
      <c r="BA176" s="81">
        <f>BA167/BA164*400</f>
        <v>3.5836069045854071</v>
      </c>
      <c r="BB176" s="72"/>
      <c r="BC176" s="81">
        <f>BC167/BC164*400</f>
        <v>8.4837891416025411</v>
      </c>
      <c r="BD176" s="72"/>
      <c r="BE176" s="81">
        <f>BE167/BE164*400</f>
        <v>5.2316649146923266</v>
      </c>
      <c r="BF176" s="72"/>
      <c r="BG176" s="81">
        <f>BG167/BG164*400</f>
        <v>4.8300145218723269</v>
      </c>
      <c r="BH176" s="72"/>
      <c r="BI176" s="81">
        <f>BI167/BI164*400</f>
        <v>2.5660764690787787</v>
      </c>
      <c r="BJ176" s="72"/>
      <c r="BK176" s="81">
        <f>BK167/BK164*400</f>
        <v>7.328280249774183</v>
      </c>
      <c r="BL176" s="72"/>
      <c r="BM176" s="81">
        <f>BM167/BM164*400</f>
        <v>6.9730954732988559</v>
      </c>
      <c r="BN176" s="72"/>
      <c r="BO176" s="81">
        <f>BO167/BO164*400</f>
        <v>4.3495958597429789</v>
      </c>
      <c r="BP176" s="72"/>
      <c r="BQ176" s="81">
        <f>BQ167/BQ164*400</f>
        <v>1.8657944142295855</v>
      </c>
      <c r="BR176" s="72"/>
      <c r="BS176" s="81">
        <f>BS167/BS164*400</f>
        <v>1.1880496185428921</v>
      </c>
      <c r="BT176" s="72"/>
      <c r="BU176" s="81">
        <f>BU167/BU164*400</f>
        <v>9.9358526008672889</v>
      </c>
      <c r="BV176" s="72"/>
      <c r="BW176" s="81">
        <f>BW167/BW164*400</f>
        <v>-1.2041750014854131</v>
      </c>
      <c r="BX176" s="72"/>
      <c r="BY176" s="81">
        <f>BY167/BY164*400</f>
        <v>5.5313073628390779</v>
      </c>
      <c r="BZ176" s="72"/>
      <c r="CA176" s="81">
        <f>CA167/CA164*400</f>
        <v>12.515411824153613</v>
      </c>
      <c r="CB176" s="72"/>
      <c r="CC176" s="81">
        <f>CC167/CC164*400</f>
        <v>1.6993437979934978</v>
      </c>
      <c r="CD176" s="72"/>
      <c r="CE176" s="81">
        <f>CE167/CE164*400</f>
        <v>6.157047083301225</v>
      </c>
      <c r="CF176" s="72"/>
      <c r="CG176" s="81">
        <f>CG167/CG164*400</f>
        <v>10.976349302607641</v>
      </c>
      <c r="CH176" s="72"/>
      <c r="CI176" s="81">
        <f>CI167/CI164*400</f>
        <v>9.2772268382024485</v>
      </c>
      <c r="CJ176" s="72"/>
      <c r="CK176" s="81">
        <f>CK167/CK164*400</f>
        <v>-1.185195218583861</v>
      </c>
      <c r="CL176" s="72"/>
      <c r="CM176" s="81">
        <f>CM167/CM164*400</f>
        <v>3.003910692862596</v>
      </c>
      <c r="CN176" s="72"/>
      <c r="CO176" s="81">
        <f>CO167/CO164*400</f>
        <v>6.9093653834988098</v>
      </c>
      <c r="CP176" s="72"/>
      <c r="CQ176" s="81">
        <f>CQ167/CQ164*400</f>
        <v>11.741376751966113</v>
      </c>
      <c r="CR176" s="72"/>
      <c r="CS176" s="81">
        <f>CS167/CS164*400</f>
        <v>3.6416479326319973</v>
      </c>
      <c r="CT176" s="72"/>
      <c r="CU176" s="81">
        <f>CU167/CU164*400</f>
        <v>4.1203698564752633</v>
      </c>
      <c r="CV176" s="72"/>
      <c r="CW176" s="81">
        <f>CW167/CW164*400</f>
        <v>6.657219268430417</v>
      </c>
      <c r="CX176" s="72"/>
      <c r="CY176" s="81">
        <f>CY167/CY164*400</f>
        <v>5.8920570463574862</v>
      </c>
      <c r="CZ176" s="72"/>
      <c r="DA176" s="81">
        <f>DA167/DA164*400</f>
        <v>3.0120597060566099</v>
      </c>
      <c r="DB176" s="72"/>
      <c r="DC176" s="81">
        <f>DC167/DC164*400</f>
        <v>0.57128716371478061</v>
      </c>
      <c r="DD176" s="72"/>
      <c r="DE176" s="81">
        <f>DE167/DE164*400</f>
        <v>-1.851605820531288</v>
      </c>
      <c r="DF176" s="72"/>
      <c r="DG176" s="81">
        <f>DG167/DG164*400</f>
        <v>1.1436423064378456</v>
      </c>
      <c r="DH176" s="72"/>
      <c r="DI176" s="81">
        <f>DI167/DI164*400</f>
        <v>2.6322229775662813</v>
      </c>
      <c r="DJ176" s="72"/>
      <c r="DK176" s="81">
        <f>DK167/DK164*400</f>
        <v>3.8580474156972464</v>
      </c>
      <c r="DL176" s="72"/>
      <c r="DM176" s="81">
        <f>DM167/DM164*400</f>
        <v>4.6852553437435276</v>
      </c>
      <c r="DN176" s="72" t="str">
        <f t="shared" si="1082"/>
        <v>NM</v>
      </c>
      <c r="DO176" s="81">
        <f>DO167/DO164*400</f>
        <v>2.523981177544623</v>
      </c>
      <c r="DP176" s="72" t="str">
        <f t="shared" si="1082"/>
        <v>NM</v>
      </c>
      <c r="DQ176" s="81">
        <f>DQ167/DQ164*400</f>
        <v>3.8717910736870893</v>
      </c>
      <c r="DR176" s="72">
        <f t="shared" si="1082"/>
        <v>47.092062742606117</v>
      </c>
      <c r="DS176" s="81">
        <f>DS167/DS164*400</f>
        <v>3.6272343173329031</v>
      </c>
      <c r="DT176" s="72">
        <f t="shared" si="1082"/>
        <v>-5.9826402709628042</v>
      </c>
      <c r="DU176" s="81">
        <f>DU167/DU164*400</f>
        <v>0.1874435411020777</v>
      </c>
      <c r="DV176" s="72" t="str">
        <f t="shared" si="1082"/>
        <v>NM</v>
      </c>
      <c r="DW176" s="81">
        <f>DW167/DW164*400</f>
        <v>2.4069902828104768</v>
      </c>
      <c r="DX176" s="72">
        <f t="shared" si="1082"/>
        <v>-4.6351730264469353</v>
      </c>
      <c r="DY176" s="81">
        <f>DY167/DY164*400</f>
        <v>1.448844557474871</v>
      </c>
      <c r="DZ176" s="72" t="str">
        <f t="shared" si="1082"/>
        <v>NM</v>
      </c>
      <c r="EA176" s="81">
        <f>EA167/EA164*400</f>
        <v>4.8854215287501948</v>
      </c>
      <c r="EB176" s="72">
        <f>IF(ISERROR(EA176/DS176),"NA",IF(OR(EA176/DS176&gt;2,EA176/DS176&lt;0.5),"NM",EA176/DS176*100-100))</f>
        <v>34.687232787939479</v>
      </c>
      <c r="EC176" s="81">
        <f>EC167/EC164*400</f>
        <v>4.541558132718353</v>
      </c>
      <c r="ED176" s="72" t="str">
        <f>IF(ISERROR(EC176/DU176),"NA",IF(OR(EC176/DU176&gt;2,EC176/DU176&lt;0.5),"NM",EC176/DU176*100-100))</f>
        <v>NM</v>
      </c>
      <c r="EE176" s="81">
        <f>EE167/EE164*400</f>
        <v>4.3188376952930634</v>
      </c>
      <c r="EF176" s="72">
        <f>IF(ISERROR(EE176/DW176),"NA",IF(OR(EE176/DW176&gt;2,EE176/DW176&lt;0.5),"NM",EE176/DW176*100-100))</f>
        <v>79.428962640025873</v>
      </c>
      <c r="EG176" s="81">
        <f>EG167/EG164*400</f>
        <v>-1.9438955236704185</v>
      </c>
      <c r="EH176" s="72" t="str">
        <f>IF(ISERROR(EG176/DY176),"NA",IF(OR(EG176/DY176&gt;2,EG176/DY176&lt;0.5),"NM",EG176/DY176*100-100))</f>
        <v>NM</v>
      </c>
      <c r="EI176" s="81">
        <f>EI167/EI164*400</f>
        <v>2.6808306430503448</v>
      </c>
      <c r="EJ176" s="72">
        <f>IF(ISERROR(EI176/EA176),"NA",IF(OR(EI176/EA176&gt;2,EI176/EA176&lt;0.5),"NM",EI176/EA176*100-100))</f>
        <v>-45.125909253194699</v>
      </c>
      <c r="EK176" s="81">
        <f>EK167/EK164*400</f>
        <v>3.6150501039894118</v>
      </c>
      <c r="EL176" s="72">
        <f>IF(ISERROR(EK176/EC176),"NA",IF(OR(EK176/EC176&gt;2,EK176/EC176&lt;0.5),"NM",EK176/EC176*100-100))</f>
        <v>-20.400664301843449</v>
      </c>
      <c r="EM176" s="81">
        <f>EM167/EM164*400</f>
        <v>2.8744440276512515</v>
      </c>
      <c r="EN176" s="72">
        <f>IF(ISERROR(EM176/EE176),"NA",IF(OR(EM176/EE176&gt;2,EM176/EE176&lt;0.5),"NM",EM176/EE176*100-100))</f>
        <v>-33.444036788323899</v>
      </c>
      <c r="EO176" s="81">
        <f>EO167/EO164*400</f>
        <v>2.0106263833672156</v>
      </c>
      <c r="EP176" s="72" t="str">
        <f>IF(ISERROR(EO176/EG176),"NA",IF(OR(EO176/EG176&gt;2,EO176/EG176&lt;0.5),"NM",EO176/EG176*100-100))</f>
        <v>NM</v>
      </c>
      <c r="EQ176" s="81">
        <f t="shared" ref="EQ176" si="1088">EQ167/EQ164*400</f>
        <v>-1.44</v>
      </c>
      <c r="ER176" s="72" t="str">
        <f t="shared" si="1083"/>
        <v>NM</v>
      </c>
      <c r="ES176" s="81">
        <f t="shared" ref="ES176" si="1089">ES167/ES164*400</f>
        <v>2.4</v>
      </c>
      <c r="ET176" s="72">
        <f t="shared" si="1084"/>
        <v>-33.610878661087867</v>
      </c>
      <c r="EU176" s="81">
        <f t="shared" ref="EU176" si="1090">EU167/EU164*400</f>
        <v>2.4</v>
      </c>
      <c r="EV176" s="72">
        <f t="shared" si="1085"/>
        <v>-16.50559284116332</v>
      </c>
      <c r="EW176" s="81">
        <f t="shared" ref="EW176" si="1091">EW167/EW164*400</f>
        <v>2.4</v>
      </c>
      <c r="EX176" s="72">
        <f t="shared" si="1086"/>
        <v>19.365786694825744</v>
      </c>
      <c r="EY176" s="72"/>
      <c r="EZ176" s="306"/>
      <c r="FA176" s="72"/>
      <c r="FB176" s="81">
        <f>FB167/FB164*100</f>
        <v>8.4236112566267849</v>
      </c>
      <c r="FC176" s="88"/>
      <c r="FD176" s="81">
        <f>FD167/FD164*100</f>
        <v>4.5434591747146618</v>
      </c>
      <c r="FE176" s="88"/>
      <c r="FF176" s="81">
        <f>FF167/FF164*100</f>
        <v>7.1772397442345</v>
      </c>
      <c r="FG176" s="88"/>
      <c r="FH176" s="81">
        <f>FH167/FH164*100</f>
        <v>0</v>
      </c>
      <c r="FI176" s="88"/>
      <c r="FJ176" s="81">
        <f>FJ167/FJ164*100</f>
        <v>0</v>
      </c>
      <c r="FK176" s="88"/>
      <c r="FL176" s="81">
        <f>FL167/FL164*100</f>
        <v>0</v>
      </c>
      <c r="FM176" s="88"/>
      <c r="FN176" s="81">
        <f>FN167/FN164*100</f>
        <v>6.8480252442996745</v>
      </c>
      <c r="FO176" s="88"/>
      <c r="FP176" s="81">
        <f>FP167/FP164*100</f>
        <v>4.863674496644296</v>
      </c>
      <c r="FQ176" s="88"/>
      <c r="FR176" s="81">
        <f>FR167/FR164*100</f>
        <v>4.6734608985024959</v>
      </c>
      <c r="FS176" s="88"/>
      <c r="FT176" s="81">
        <f>FT167/FT164*100</f>
        <v>5.5004078060037003</v>
      </c>
      <c r="FU176" s="88"/>
      <c r="FV176" s="81">
        <f>FV167/FV164*100</f>
        <v>4.260433021263399</v>
      </c>
      <c r="FW176" s="88"/>
      <c r="FX176" s="81">
        <f>FX167/FX164*100</f>
        <v>4.5295201124952964</v>
      </c>
      <c r="FY176" s="88"/>
      <c r="FZ176" s="81">
        <f>FZ167/FZ164*100</f>
        <v>6.4922555290128692</v>
      </c>
      <c r="GA176" s="88"/>
      <c r="GB176" s="81">
        <f>GB167/GB164*100</f>
        <v>7.137403985479021</v>
      </c>
      <c r="GC176" s="88"/>
      <c r="GD176" s="81">
        <f>GD167/GD164*100</f>
        <v>5.3136342949749693</v>
      </c>
      <c r="GE176" s="88"/>
      <c r="GF176" s="81">
        <f>GF167/GF164*100</f>
        <v>0.65047548343762152</v>
      </c>
      <c r="GG176" s="88"/>
      <c r="GH176" s="81">
        <f>GH167/GH164*100</f>
        <v>3.9042315363917486</v>
      </c>
      <c r="GI176" s="72" t="str">
        <f t="shared" si="1087"/>
        <v>NM</v>
      </c>
      <c r="GJ176" s="81">
        <f>GJ167/GJ164*100</f>
        <v>1.9349703018798605</v>
      </c>
      <c r="GK176" s="72" t="str">
        <f t="shared" si="1087"/>
        <v>NM</v>
      </c>
      <c r="GL176" s="81">
        <f>GL167/GL164*100</f>
        <v>2.9444777844457781</v>
      </c>
      <c r="GM176" s="72">
        <f t="shared" si="1087"/>
        <v>52.171730056278477</v>
      </c>
      <c r="GN176" s="81">
        <f>GN167/GN164*100</f>
        <v>2.8302504144490008</v>
      </c>
      <c r="GO176" s="72">
        <f t="shared" si="1087"/>
        <v>-3.879376186846585</v>
      </c>
      <c r="GP176" s="81">
        <f>GP167/GP164*100</f>
        <v>1.453346472315</v>
      </c>
      <c r="GQ176" s="72">
        <f t="shared" si="1087"/>
        <v>-48.6495447577581</v>
      </c>
      <c r="GR176" s="81">
        <f>GR167/GR164*100</f>
        <v>2.4</v>
      </c>
      <c r="GS176" s="72">
        <f t="shared" si="1087"/>
        <v>65.136121751965902</v>
      </c>
      <c r="GT176" s="81">
        <f>GT167/GT164*100</f>
        <v>2.4000000000000004</v>
      </c>
      <c r="GU176" s="72">
        <f t="shared" si="1087"/>
        <v>2.8421709430404007E-14</v>
      </c>
      <c r="GV176" s="81">
        <f>GV167/GV164*100</f>
        <v>2.4</v>
      </c>
      <c r="GW176" s="72">
        <f>IF(ISERROR(GV176/GT176),"NA",IF(OR(GV176/GT176&gt;2,GV176/GT176&lt;0.5),"NM",GV176/GT176*100-100))</f>
        <v>-2.8421709430404007E-14</v>
      </c>
      <c r="GX176" s="81">
        <f>GX167/GX164*100</f>
        <v>2.4</v>
      </c>
      <c r="GY176" s="72">
        <f>IF(ISERROR(GX176/GV176),"NA",IF(OR(GX176/GV176&gt;2,GX176/GV176&lt;0.5),"NM",GX176/GV176*100-100))</f>
        <v>0</v>
      </c>
      <c r="GZ176" s="72"/>
      <c r="HA176" s="72"/>
      <c r="HB176" s="72"/>
      <c r="HC176"/>
      <c r="HD176"/>
      <c r="HE176"/>
      <c r="HF176"/>
      <c r="HG176"/>
      <c r="HH176"/>
      <c r="HI176" s="2"/>
    </row>
    <row r="177" spans="1:217" s="3" customFormat="1" ht="12.75" customHeight="1" x14ac:dyDescent="0.2">
      <c r="B177" s="266" t="s">
        <v>282</v>
      </c>
      <c r="C177" s="73"/>
      <c r="D177" s="72"/>
      <c r="E177" s="73"/>
      <c r="F177" s="72"/>
      <c r="G177" s="73"/>
      <c r="H177" s="72"/>
      <c r="I177" s="73"/>
      <c r="J177" s="72"/>
      <c r="K177" s="73"/>
      <c r="L177" s="72"/>
      <c r="M177" s="73"/>
      <c r="N177" s="72"/>
      <c r="O177" s="73"/>
      <c r="P177" s="72"/>
      <c r="Q177" s="73"/>
      <c r="R177" s="72"/>
      <c r="S177" s="73"/>
      <c r="T177" s="72"/>
      <c r="U177" s="73"/>
      <c r="V177" s="72"/>
      <c r="W177" s="73"/>
      <c r="X177" s="72"/>
      <c r="Y177" s="73"/>
      <c r="Z177" s="72"/>
      <c r="AA177" s="73"/>
      <c r="AB177" s="72"/>
      <c r="AC177" s="73"/>
      <c r="AD177" s="72"/>
      <c r="AE177" s="73"/>
      <c r="AF177" s="72"/>
      <c r="AG177" s="73"/>
      <c r="AH177" s="72"/>
      <c r="AI177" s="73"/>
      <c r="AJ177" s="72"/>
      <c r="AK177" s="73"/>
      <c r="AL177" s="72"/>
      <c r="AM177" s="73"/>
      <c r="AN177" s="72"/>
      <c r="AO177" s="73"/>
      <c r="AP177" s="72"/>
      <c r="AQ177" s="73"/>
      <c r="AR177" s="72"/>
      <c r="AS177" s="73"/>
      <c r="AT177" s="72"/>
      <c r="AU177" s="73"/>
      <c r="AV177" s="72"/>
      <c r="AW177" s="73"/>
      <c r="AX177" s="72"/>
      <c r="AY177" s="265">
        <f>(AY176/4)/AY$25*100</f>
        <v>10.153015254756749</v>
      </c>
      <c r="AZ177" s="72"/>
      <c r="BA177" s="265">
        <f>(BA176/4)/BA$25*100</f>
        <v>-47.098865300951779</v>
      </c>
      <c r="BB177" s="72"/>
      <c r="BC177" s="265">
        <f>(BC176/4)/BC$25*100</f>
        <v>41.03627335176278</v>
      </c>
      <c r="BD177" s="72"/>
      <c r="BE177" s="265">
        <f>(BE176/4)/BE$25*100</f>
        <v>21.19067661626034</v>
      </c>
      <c r="BF177" s="72"/>
      <c r="BG177" s="265">
        <f>(BG176/4)/BG$25*100</f>
        <v>669.08999896239618</v>
      </c>
      <c r="BH177" s="72"/>
      <c r="BI177" s="265">
        <f>(BI176/4)/BI$25*100</f>
        <v>11.049930765085533</v>
      </c>
      <c r="BJ177" s="72"/>
      <c r="BK177" s="265">
        <f>(BK176/4)/BK$25*100</f>
        <v>117.70216132270757</v>
      </c>
      <c r="BL177" s="72"/>
      <c r="BM177" s="265">
        <f>(BM176/4)/BM$25*100</f>
        <v>-34.277039708976368</v>
      </c>
      <c r="BN177" s="72"/>
      <c r="BO177" s="265">
        <f>(BO176/4)/BO$25*100</f>
        <v>-10.961788628257702</v>
      </c>
      <c r="BP177" s="72"/>
      <c r="BQ177" s="265">
        <f>(BQ176/4)/BQ$25*100</f>
        <v>-7.0871429099830667</v>
      </c>
      <c r="BR177" s="72"/>
      <c r="BS177" s="265">
        <f>(BS176/4)/BS$25*100</f>
        <v>-3.2191131029587399</v>
      </c>
      <c r="BT177" s="72"/>
      <c r="BU177" s="265">
        <f>(BU176/4)/BU$25*100</f>
        <v>-11.186703600679706</v>
      </c>
      <c r="BV177" s="72"/>
      <c r="BW177" s="265">
        <f>(BW176/4)/BW$25*100</f>
        <v>2.5801680399565101</v>
      </c>
      <c r="BX177" s="72"/>
      <c r="BY177" s="265">
        <f>(BY176/4)/BY$25*100</f>
        <v>10.361150136052805</v>
      </c>
      <c r="BZ177" s="72"/>
      <c r="CA177" s="265">
        <f>(CA176/4)/CA$25*100</f>
        <v>21.599715912519706</v>
      </c>
      <c r="CB177" s="72"/>
      <c r="CC177" s="265">
        <f>(CC176/4)/CC$25*100</f>
        <v>5.1321672739859903</v>
      </c>
      <c r="CD177" s="72"/>
      <c r="CE177" s="265">
        <f>(CE176/4)/CE$25*100</f>
        <v>31.592628151266389</v>
      </c>
      <c r="CF177" s="72"/>
      <c r="CG177" s="265">
        <f>(CG176/4)/CG$25*100</f>
        <v>-21.933721401139323</v>
      </c>
      <c r="CH177" s="72"/>
      <c r="CI177" s="265">
        <f>(CI176/4)/CI$25*100</f>
        <v>20.932827980124213</v>
      </c>
      <c r="CJ177" s="72"/>
      <c r="CK177" s="265">
        <f>(CK176/4)/CK$25*100</f>
        <v>-3.0487418914863622</v>
      </c>
      <c r="CL177" s="72"/>
      <c r="CM177" s="265">
        <f>(CM176/4)/CM$25*100</f>
        <v>13.850410409813186</v>
      </c>
      <c r="CN177" s="72"/>
      <c r="CO177" s="265">
        <f>(CO176/4)/CO$25*100</f>
        <v>-195.54012987628678</v>
      </c>
      <c r="CP177" s="72"/>
      <c r="CQ177" s="265">
        <f>(CQ176/4)/CQ$25*100</f>
        <v>-18.883037446946513</v>
      </c>
      <c r="CR177" s="72"/>
      <c r="CS177" s="265">
        <f>(CS176/4)/CS$25*100</f>
        <v>8.1634105430787702</v>
      </c>
      <c r="CT177" s="72"/>
      <c r="CU177" s="265">
        <f>(CU176/4)/CU$25*100</f>
        <v>8.5864871824607807</v>
      </c>
      <c r="CV177" s="72"/>
      <c r="CW177" s="265">
        <f>(CW176/4)/CW$25*100</f>
        <v>-50.618082611780338</v>
      </c>
      <c r="CX177" s="72"/>
      <c r="CY177" s="265">
        <f>(CY176/4)/CY$25*100</f>
        <v>25.557013202987832</v>
      </c>
      <c r="CZ177" s="72"/>
      <c r="DA177" s="265">
        <f>(DA176/4)/DA$25*100</f>
        <v>-53.786780465296616</v>
      </c>
      <c r="DB177" s="72"/>
      <c r="DC177" s="265">
        <f>(DC176/4)/DC$25*100</f>
        <v>1.472389597203043</v>
      </c>
      <c r="DD177" s="72"/>
      <c r="DE177" s="265">
        <f>(DE176/4)/DE$25*100</f>
        <v>-16.393879957851638</v>
      </c>
      <c r="DF177" s="72"/>
      <c r="DG177" s="265">
        <f>(DG176/4)/DG$25*100</f>
        <v>6.9734286977917419</v>
      </c>
      <c r="DH177" s="72"/>
      <c r="DI177" s="265">
        <f>(DI176/4)/DI$25*100</f>
        <v>6.6470277211269728</v>
      </c>
      <c r="DJ177" s="72"/>
      <c r="DK177" s="265">
        <f>(DK176/4)/DK$25*100</f>
        <v>74.193219532639347</v>
      </c>
      <c r="DL177" s="72"/>
      <c r="DM177" s="265">
        <f>(DM176/4)/DM$25*100</f>
        <v>24.921570977359188</v>
      </c>
      <c r="DN177" s="72" t="str">
        <f t="shared" si="1082"/>
        <v>NM</v>
      </c>
      <c r="DO177" s="265">
        <f>(DO176/4)/DO$25*100</f>
        <v>105.16588239769263</v>
      </c>
      <c r="DP177" s="72" t="str">
        <f t="shared" si="1082"/>
        <v>NM</v>
      </c>
      <c r="DQ177" s="265">
        <f>(DQ176/4)/DQ$25*100</f>
        <v>21.998812918676641</v>
      </c>
      <c r="DR177" s="72" t="str">
        <f t="shared" si="1082"/>
        <v>NM</v>
      </c>
      <c r="DS177" s="265">
        <f>(DS176/4)/DS$25*100</f>
        <v>226.70214483330642</v>
      </c>
      <c r="DT177" s="72" t="str">
        <f t="shared" si="1082"/>
        <v>NM</v>
      </c>
      <c r="DU177" s="265">
        <f>(DU176/4)/DU$25*100</f>
        <v>11.715221318879856</v>
      </c>
      <c r="DV177" s="72" t="str">
        <f t="shared" si="1082"/>
        <v>NM</v>
      </c>
      <c r="DW177" s="265">
        <f>(DW176/4)/DW$25*100</f>
        <v>-7.9425684593388617</v>
      </c>
      <c r="DX177" s="72" t="str">
        <f t="shared" si="1082"/>
        <v>NM</v>
      </c>
      <c r="DY177" s="265">
        <f>(DY176/4)/DY$25*100</f>
        <v>5.8011023793620833</v>
      </c>
      <c r="DZ177" s="72" t="str">
        <f t="shared" si="1082"/>
        <v>NM</v>
      </c>
      <c r="EA177" s="265">
        <f>(EA176/4)/EA$25*100</f>
        <v>157.99855189040699</v>
      </c>
      <c r="EB177" s="72">
        <f>IF(ISERROR(EA177/DS177),"NA",IF(OR(EA177/DS177&gt;2,EA177/DS177&lt;0.5),"NM",EA177/DS177*100-100))</f>
        <v>-30.305665168460152</v>
      </c>
      <c r="EC177" s="265">
        <f>(EC176/4)/EC$25*100</f>
        <v>90.23786294937841</v>
      </c>
      <c r="ED177" s="72" t="str">
        <f>IF(ISERROR(EC177/DU177),"NA",IF(OR(EC177/DU177&gt;2,EC177/DU177&lt;0.5),"NM",EC177/DU177*100-100))</f>
        <v>NM</v>
      </c>
      <c r="EE177" s="265">
        <f>(EE176/4)/EE$25*100</f>
        <v>34.760898423282555</v>
      </c>
      <c r="EF177" s="72" t="str">
        <f>IF(ISERROR(EE177/DW177),"NA",IF(OR(EE177/DW177&gt;2,EE177/DW177&lt;0.5),"NM",EE177/DW177*100-100))</f>
        <v>NM</v>
      </c>
      <c r="EG177" s="265">
        <f>(EG176/4)/EG$25*100</f>
        <v>-14.933687588062369</v>
      </c>
      <c r="EH177" s="72" t="str">
        <f>IF(ISERROR(EG177/DY177),"NA",IF(OR(EG177/DY177&gt;2,EG177/DY177&lt;0.5),"NM",EG177/DY177*100-100))</f>
        <v>NM</v>
      </c>
      <c r="EI177" s="265">
        <f>(EI176/4)/EI$25*100</f>
        <v>12.111387028699934</v>
      </c>
      <c r="EJ177" s="72" t="str">
        <f>IF(ISERROR(EI177/EA177),"NA",IF(OR(EI177/EA177&gt;2,EI177/EA177&lt;0.5),"NM",EI177/EA177*100-100))</f>
        <v>NM</v>
      </c>
      <c r="EK177" s="265">
        <f>(EK176/4)/EK$25*100</f>
        <v>35.184343309020569</v>
      </c>
      <c r="EL177" s="72" t="str">
        <f>IF(ISERROR(EK177/EC177),"NA",IF(OR(EK177/EC177&gt;2,EK177/EC177&lt;0.5),"NM",EK177/EC177*100-100))</f>
        <v>NM</v>
      </c>
      <c r="EM177" s="265">
        <f>(EM176/4)/EM$25*100</f>
        <v>19.961416858689248</v>
      </c>
      <c r="EN177" s="72">
        <f>IF(ISERROR(EM177/EE177),"NA",IF(OR(EM177/EE177&gt;2,EM177/EE177&lt;0.5),"NM",EM177/EE177*100-100))</f>
        <v>-42.575083602214207</v>
      </c>
      <c r="EO177" s="265">
        <f>(EO176/4)/EO$25*100</f>
        <v>8.2402720629803916</v>
      </c>
      <c r="EP177" s="72" t="str">
        <f>IF(ISERROR(EO177/EG177),"NA",IF(OR(EO177/EG177&gt;2,EO177/EG177&lt;0.5),"NM",EO177/EG177*100-100))</f>
        <v>NM</v>
      </c>
      <c r="EQ177" s="86">
        <v>30</v>
      </c>
      <c r="ER177" s="72" t="str">
        <f t="shared" si="1083"/>
        <v>NM</v>
      </c>
      <c r="ES177" s="86">
        <f t="shared" ref="ES177" si="1092">EQ177</f>
        <v>30</v>
      </c>
      <c r="ET177" s="72">
        <f t="shared" si="1084"/>
        <v>-14.734801964291336</v>
      </c>
      <c r="EU177" s="86">
        <f t="shared" ref="EU177" si="1093">ES177</f>
        <v>30</v>
      </c>
      <c r="EV177" s="72">
        <f t="shared" si="1085"/>
        <v>50.289932885906012</v>
      </c>
      <c r="EW177" s="86">
        <f t="shared" ref="EW177" si="1094">EU177</f>
        <v>30</v>
      </c>
      <c r="EX177" s="72" t="str">
        <f t="shared" si="1086"/>
        <v>NM</v>
      </c>
      <c r="EY177" s="72"/>
      <c r="EZ177" s="306"/>
      <c r="FA177" s="72"/>
      <c r="FB177" s="265"/>
      <c r="FC177" s="88"/>
      <c r="FD177" s="73"/>
      <c r="FE177" s="72"/>
      <c r="FF177" s="73"/>
      <c r="FG177" s="72"/>
      <c r="FH177" s="73"/>
      <c r="FI177" s="72"/>
      <c r="FJ177" s="73"/>
      <c r="FK177" s="72"/>
      <c r="FL177" s="73"/>
      <c r="FM177" s="72"/>
      <c r="FN177" s="73"/>
      <c r="FO177" s="72"/>
      <c r="FP177" s="73"/>
      <c r="FQ177" s="72"/>
      <c r="FR177" s="73"/>
      <c r="FS177" s="72"/>
      <c r="FT177" s="73"/>
      <c r="FU177" s="72"/>
      <c r="FV177" s="73"/>
      <c r="FW177" s="72"/>
      <c r="FX177" s="73"/>
      <c r="FY177" s="72"/>
      <c r="FZ177" s="73"/>
      <c r="GA177" s="72"/>
      <c r="GB177" s="73"/>
      <c r="GC177" s="72"/>
      <c r="GD177" s="73"/>
      <c r="GE177" s="72"/>
      <c r="GF177" s="73"/>
      <c r="GG177" s="72"/>
      <c r="GH177" s="73"/>
      <c r="GI177" s="72"/>
      <c r="GJ177" s="73"/>
      <c r="GK177" s="72"/>
      <c r="GL177" s="73"/>
      <c r="GM177" s="72"/>
      <c r="GN177" s="73"/>
      <c r="GO177" s="72"/>
      <c r="GP177" s="73"/>
      <c r="GQ177" s="72"/>
      <c r="GR177" s="86">
        <v>30</v>
      </c>
      <c r="GS177" s="72"/>
      <c r="GT177" s="86">
        <f>GR177</f>
        <v>30</v>
      </c>
      <c r="GU177" s="72"/>
      <c r="GV177" s="86">
        <f>GT177</f>
        <v>30</v>
      </c>
      <c r="GW177" s="72"/>
      <c r="GX177" s="86">
        <f>GV177</f>
        <v>30</v>
      </c>
      <c r="GY177" s="72"/>
      <c r="GZ177" s="72"/>
      <c r="HA177" s="72"/>
      <c r="HB177" s="72"/>
      <c r="HC177"/>
      <c r="HD177"/>
      <c r="HE177"/>
      <c r="HF177"/>
      <c r="HG177"/>
      <c r="HH177"/>
      <c r="HI177" s="2"/>
    </row>
    <row r="178" spans="1:217" ht="12.75" customHeight="1" x14ac:dyDescent="0.2">
      <c r="B178" s="77"/>
      <c r="C178" s="110"/>
      <c r="D178" s="72"/>
      <c r="E178" s="110"/>
      <c r="F178" s="72"/>
      <c r="G178" s="110"/>
      <c r="H178" s="72"/>
      <c r="I178" s="110"/>
      <c r="J178" s="72"/>
      <c r="K178" s="110"/>
      <c r="L178" s="72"/>
      <c r="M178" s="110"/>
      <c r="N178" s="72"/>
      <c r="O178" s="110"/>
      <c r="P178" s="72"/>
      <c r="Q178" s="110"/>
      <c r="R178" s="72"/>
      <c r="S178" s="110"/>
      <c r="T178" s="72"/>
      <c r="U178" s="110"/>
      <c r="V178" s="72"/>
      <c r="W178" s="110"/>
      <c r="X178" s="72"/>
      <c r="Y178" s="110"/>
      <c r="Z178" s="72"/>
      <c r="AA178" s="110"/>
      <c r="AB178" s="72"/>
      <c r="AC178" s="110"/>
      <c r="AD178" s="72"/>
      <c r="AE178" s="110"/>
      <c r="AF178" s="72"/>
      <c r="AG178" s="110"/>
      <c r="AH178" s="72"/>
      <c r="AI178" s="110"/>
      <c r="AJ178" s="72"/>
      <c r="AK178" s="110"/>
      <c r="AL178" s="72"/>
      <c r="AM178" s="110"/>
      <c r="AN178" s="72"/>
      <c r="AO178" s="110"/>
      <c r="AP178" s="72"/>
      <c r="AQ178" s="110"/>
      <c r="AR178" s="72"/>
      <c r="AS178" s="110"/>
      <c r="AT178" s="72"/>
      <c r="AU178" s="110"/>
      <c r="AV178" s="72"/>
      <c r="AW178" s="110"/>
      <c r="AX178" s="72"/>
      <c r="AY178" s="110"/>
      <c r="AZ178" s="72"/>
      <c r="BA178" s="110"/>
      <c r="BB178" s="72"/>
      <c r="BC178" s="110"/>
      <c r="BD178" s="72"/>
      <c r="BE178" s="110"/>
      <c r="BF178" s="72"/>
      <c r="BG178" s="110"/>
      <c r="BH178" s="72"/>
      <c r="BI178" s="110"/>
      <c r="BJ178" s="72"/>
      <c r="BK178" s="110"/>
      <c r="BL178" s="72"/>
      <c r="BM178" s="110"/>
      <c r="BN178" s="72"/>
      <c r="BO178" s="110"/>
      <c r="BP178" s="72"/>
      <c r="BQ178" s="110"/>
      <c r="BR178" s="72"/>
      <c r="BS178" s="110"/>
      <c r="BT178" s="72"/>
      <c r="BU178" s="110"/>
      <c r="BV178" s="72"/>
      <c r="BW178" s="110"/>
      <c r="BX178" s="72"/>
      <c r="BY178" s="110"/>
      <c r="BZ178" s="72"/>
      <c r="CA178" s="110"/>
      <c r="CB178" s="72"/>
      <c r="CC178" s="110"/>
      <c r="CD178" s="72"/>
      <c r="CE178" s="110"/>
      <c r="CF178" s="72"/>
      <c r="CG178" s="110"/>
      <c r="CH178" s="72"/>
      <c r="CI178" s="110"/>
      <c r="CJ178" s="72"/>
      <c r="CK178" s="110"/>
      <c r="CL178" s="72"/>
      <c r="CM178" s="110"/>
      <c r="CN178" s="72"/>
      <c r="CO178" s="110"/>
      <c r="CP178" s="72"/>
      <c r="CQ178" s="110"/>
      <c r="CR178" s="72"/>
      <c r="CS178" s="110"/>
      <c r="CT178" s="72"/>
      <c r="CU178" s="110"/>
      <c r="CV178" s="72"/>
      <c r="CW178" s="110"/>
      <c r="CX178" s="72"/>
      <c r="CY178" s="110"/>
      <c r="CZ178" s="72"/>
      <c r="DA178" s="110"/>
      <c r="DB178" s="72"/>
      <c r="DC178" s="110"/>
      <c r="DD178" s="72"/>
      <c r="DE178" s="110"/>
      <c r="DF178" s="72"/>
      <c r="DG178" s="110"/>
      <c r="DH178" s="72"/>
      <c r="DI178" s="110"/>
      <c r="DJ178" s="72"/>
      <c r="DK178" s="110"/>
      <c r="DL178" s="72"/>
      <c r="DM178" s="110"/>
      <c r="DN178" s="72"/>
      <c r="DO178" s="110"/>
      <c r="DP178" s="72"/>
      <c r="DQ178" s="110"/>
      <c r="DR178" s="72"/>
      <c r="DS178" s="110"/>
      <c r="DT178" s="72"/>
      <c r="DU178" s="110"/>
      <c r="DV178" s="72"/>
      <c r="DW178" s="106"/>
      <c r="DX178" s="72"/>
      <c r="DY178" s="106"/>
      <c r="DZ178" s="72"/>
      <c r="EA178" s="106"/>
      <c r="EB178" s="72"/>
      <c r="EC178" s="106"/>
      <c r="ED178" s="72"/>
      <c r="EE178" s="106"/>
      <c r="EF178" s="72"/>
      <c r="EG178" s="106"/>
      <c r="EH178" s="72"/>
      <c r="EI178" s="106"/>
      <c r="EJ178" s="72"/>
      <c r="EK178" s="106"/>
      <c r="EL178" s="72"/>
      <c r="EM178" s="106"/>
      <c r="EN178" s="72"/>
      <c r="EO178" s="106"/>
      <c r="EP178" s="72"/>
      <c r="EQ178" s="106"/>
      <c r="ER178" s="72"/>
      <c r="ES178" s="106"/>
      <c r="ET178" s="72"/>
      <c r="EU178" s="106"/>
      <c r="EV178" s="72"/>
      <c r="EW178" s="106"/>
      <c r="EX178" s="72"/>
      <c r="EY178" s="72"/>
      <c r="EZ178" s="306"/>
      <c r="FA178" s="72"/>
      <c r="FB178" s="110"/>
      <c r="FC178" s="72"/>
      <c r="FD178" s="110"/>
      <c r="FE178" s="72"/>
      <c r="FF178" s="110"/>
      <c r="FG178" s="72"/>
      <c r="FH178" s="110"/>
      <c r="FI178" s="72"/>
      <c r="FJ178" s="110"/>
      <c r="FK178" s="72"/>
      <c r="FL178" s="110"/>
      <c r="FM178" s="72"/>
      <c r="FN178" s="110"/>
      <c r="FO178" s="72"/>
      <c r="FP178" s="107"/>
      <c r="FQ178" s="72"/>
      <c r="FR178" s="106"/>
      <c r="FS178" s="72"/>
      <c r="FT178" s="106"/>
      <c r="FU178" s="72"/>
      <c r="FV178" s="106"/>
      <c r="FW178" s="72"/>
      <c r="FX178" s="106"/>
      <c r="FY178" s="72"/>
      <c r="FZ178" s="106"/>
      <c r="GA178" s="72"/>
      <c r="GB178" s="106"/>
      <c r="GC178" s="72"/>
      <c r="GD178" s="106"/>
      <c r="GE178" s="72"/>
      <c r="GF178" s="106"/>
      <c r="GG178" s="72"/>
      <c r="GH178" s="106"/>
      <c r="GI178" s="72"/>
      <c r="GJ178" s="106"/>
      <c r="GK178" s="72"/>
      <c r="GL178" s="106"/>
      <c r="GM178" s="72"/>
      <c r="GN178" s="106"/>
      <c r="GO178" s="72"/>
      <c r="GP178" s="106"/>
      <c r="GQ178" s="72"/>
      <c r="GR178" s="106"/>
      <c r="GS178" s="72"/>
      <c r="GT178" s="106"/>
      <c r="GU178" s="72"/>
      <c r="GV178" s="106"/>
      <c r="GW178" s="72"/>
      <c r="GX178" s="106"/>
      <c r="GY178" s="72"/>
      <c r="GZ178" s="72"/>
      <c r="HA178" s="72"/>
      <c r="HB178" s="72"/>
    </row>
    <row r="179" spans="1:217" s="111" customFormat="1" ht="12.75" customHeight="1" x14ac:dyDescent="0.2">
      <c r="B179" s="18" t="s">
        <v>65</v>
      </c>
      <c r="C179" s="103"/>
      <c r="D179" s="72"/>
      <c r="E179" s="103"/>
      <c r="F179" s="72"/>
      <c r="G179" s="103"/>
      <c r="H179" s="72"/>
      <c r="I179" s="103"/>
      <c r="J179" s="72"/>
      <c r="K179" s="103"/>
      <c r="L179" s="72"/>
      <c r="M179" s="103"/>
      <c r="N179" s="72"/>
      <c r="O179" s="103"/>
      <c r="P179" s="72"/>
      <c r="Q179" s="103"/>
      <c r="R179" s="72"/>
      <c r="S179" s="103"/>
      <c r="T179" s="72"/>
      <c r="U179" s="103"/>
      <c r="V179" s="72"/>
      <c r="W179" s="103"/>
      <c r="X179" s="72"/>
      <c r="Y179" s="103"/>
      <c r="Z179" s="72"/>
      <c r="AA179" s="103"/>
      <c r="AB179" s="72"/>
      <c r="AC179" s="103"/>
      <c r="AD179" s="72"/>
      <c r="AE179" s="103"/>
      <c r="AF179" s="72"/>
      <c r="AG179" s="103"/>
      <c r="AH179" s="72"/>
      <c r="AI179" s="103">
        <f>AI169</f>
        <v>39510</v>
      </c>
      <c r="AJ179" s="72" t="str">
        <f>IF(ISERROR(AI179/AA179),"NA",IF(OR(AI179/AA179&gt;2,AI179/AA179&lt;0.5),"NM",AI179/AA179*100-100))</f>
        <v>NA</v>
      </c>
      <c r="AK179" s="103">
        <f>AK169</f>
        <v>45685</v>
      </c>
      <c r="AL179" s="72" t="str">
        <f>IF(ISERROR(AK179/AC179),"NA",IF(OR(AK179/AC179&gt;2,AK179/AC179&lt;0.5),"NM",AK179/AC179*100-100))</f>
        <v>NA</v>
      </c>
      <c r="AM179" s="103">
        <f>AM169</f>
        <v>45856</v>
      </c>
      <c r="AN179" s="72" t="str">
        <f>IF(ISERROR(AM179/AE179),"NA",IF(OR(AM179/AE179&gt;2,AM179/AE179&lt;0.5),"NM",AM179/AE179*100-100))</f>
        <v>NA</v>
      </c>
      <c r="AO179" s="103">
        <f>AO169</f>
        <v>47680</v>
      </c>
      <c r="AP179" s="72" t="str">
        <f>IF(ISERROR(AO179/AG179),"NA",IF(OR(AO179/AG179&gt;2,AO179/AG179&lt;0.5),"NM",AO179/AG179*100-100))</f>
        <v>NA</v>
      </c>
      <c r="AQ179" s="103">
        <f>AQ169</f>
        <v>47698</v>
      </c>
      <c r="AR179" s="72">
        <f>IF(ISERROR(AQ179/AI179),"NA",IF(OR(AQ179/AI179&gt;2,AQ179/AI179&lt;0.5),"NM",AQ179/AI179*100-100))</f>
        <v>20.723867375348021</v>
      </c>
      <c r="AS179" s="103">
        <f>AS169</f>
        <v>48612</v>
      </c>
      <c r="AT179" s="72">
        <f>IF(ISERROR(AS179/AK179),"NA",IF(OR(AS179/AK179&gt;2,AS179/AK179&lt;0.5),"NM",AS179/AK179*100-100))</f>
        <v>6.4069169311590173</v>
      </c>
      <c r="AU179" s="103">
        <f>AU169</f>
        <v>48917</v>
      </c>
      <c r="AV179" s="72">
        <f>IF(ISERROR(AU179/AM179),"NA",IF(OR(AU179/AM179&gt;2,AU179/AM179&lt;0.5),"NM",AU179/AM179*100-100))</f>
        <v>6.6752442428471852</v>
      </c>
      <c r="AW179" s="103">
        <f>AW169</f>
        <v>48080</v>
      </c>
      <c r="AX179" s="72">
        <f>IF(ISERROR(AW179/AO179),"NA",IF(OR(AW179/AO179&gt;2,AW179/AO179&lt;0.5),"NM",AW179/AO179*100-100))</f>
        <v>0.83892617449663476</v>
      </c>
      <c r="AY179" s="103">
        <f>AY169</f>
        <v>47215</v>
      </c>
      <c r="AZ179" s="72">
        <f>IF(ISERROR(AY179/AQ179),"NA",IF(OR(AY179/AQ179&gt;2,AY179/AQ179&lt;0.5),"NM",AY179/AQ179*100-100))</f>
        <v>-1.0126210742588739</v>
      </c>
      <c r="BA179" s="103">
        <f>BA169</f>
        <v>46913</v>
      </c>
      <c r="BB179" s="72">
        <f>IF(ISERROR(BA179/AS179),"NA",IF(OR(BA179/AS179&gt;2,BA179/AS179&lt;0.5),"NM",BA179/AS179*100-100))</f>
        <v>-3.4950218053155595</v>
      </c>
      <c r="BC179" s="103">
        <f>BC169</f>
        <v>49468</v>
      </c>
      <c r="BD179" s="72">
        <f>IF(ISERROR(BC179/AU179),"NA",IF(OR(BC179/AU179&gt;2,BC179/AU179&lt;0.5),"NM",BC179/AU179*100-100))</f>
        <v>1.1263977758243442</v>
      </c>
      <c r="BE179" s="103">
        <f>BE169</f>
        <v>50269</v>
      </c>
      <c r="BF179" s="72">
        <f>IF(ISERROR(BE179/AW179),"NA",IF(OR(BE179/AW179&gt;2,BE179/AW179&lt;0.5),"NM",BE179/AW179*100-100))</f>
        <v>4.5528286189683911</v>
      </c>
      <c r="BG179" s="103">
        <f>BG169</f>
        <v>50661</v>
      </c>
      <c r="BH179" s="72">
        <f>IF(ISERROR(BG179/AY179),"NA",IF(OR(BG179/AY179&gt;2,BG179/AY179&lt;0.5),"NM",BG179/AY179*100-100))</f>
        <v>7.2985280101662653</v>
      </c>
      <c r="BI179" s="103">
        <f>BI169</f>
        <v>50926</v>
      </c>
      <c r="BJ179" s="72">
        <f>IF(ISERROR(BI179/BA179),"NA",IF(OR(BI179/BA179&gt;2,BI179/BA179&lt;0.5),"NM",BI179/BA179*100-100))</f>
        <v>8.554132116897236</v>
      </c>
      <c r="BK179" s="103">
        <f>BK169</f>
        <v>51627</v>
      </c>
      <c r="BL179" s="72">
        <f>IF(ISERROR(BK179/BC179),"NA",IF(OR(BK179/BC179&gt;2,BK179/BC179&lt;0.5),"NM",BK179/BC179*100-100))</f>
        <v>4.3644376162367564</v>
      </c>
      <c r="BM179" s="103">
        <f>BM169</f>
        <v>51591</v>
      </c>
      <c r="BN179" s="72">
        <f>IF(ISERROR(BM179/BE179),"NA",IF(OR(BM179/BE179&gt;2,BM179/BE179&lt;0.5),"NM",BM179/BE179*100-100))</f>
        <v>2.6298513994708514</v>
      </c>
      <c r="BO179" s="103">
        <f>BO169</f>
        <v>51667</v>
      </c>
      <c r="BP179" s="72">
        <f>IF(ISERROR(BO179/BG179),"NA",IF(OR(BO179/BG179&gt;2,BO179/BG179&lt;0.5),"NM",BO179/BG179*100-100))</f>
        <v>1.9857484060717354</v>
      </c>
      <c r="BQ179" s="103">
        <f>BQ169</f>
        <v>51513</v>
      </c>
      <c r="BR179" s="72">
        <f>IF(ISERROR(BQ179/BI179),"NA",IF(OR(BQ179/BI179&gt;2,BQ179/BI179&lt;0.5),"NM",BQ179/BI179*100-100))</f>
        <v>1.1526528688685573</v>
      </c>
      <c r="BS179" s="103">
        <f>BS169</f>
        <v>50041</v>
      </c>
      <c r="BT179" s="72">
        <f>IF(ISERROR(BS179/BK179),"NA",IF(OR(BS179/BK179&gt;2,BS179/BK179&lt;0.5),"NM",BS179/BK179*100-100))</f>
        <v>-3.0720359501811032</v>
      </c>
      <c r="BU179" s="103">
        <f>BU169</f>
        <v>50491</v>
      </c>
      <c r="BV179" s="72">
        <f>IF(ISERROR(BU179/BM179),"NA",IF(OR(BU179/BM179&gt;2,BU179/BM179&lt;0.5),"NM",BU179/BM179*100-100))</f>
        <v>-2.1321548332073519</v>
      </c>
      <c r="BW179" s="103">
        <f>BW169</f>
        <v>49030</v>
      </c>
      <c r="BX179" s="72">
        <f>IF(ISERROR(BW179/BO179),"NA",IF(OR(BW179/BO179&gt;2,BW179/BO179&lt;0.5),"NM",BW179/BO179*100-100))</f>
        <v>-5.1038380397545779</v>
      </c>
      <c r="BY179" s="103">
        <f>BY169</f>
        <v>49475</v>
      </c>
      <c r="BZ179" s="72">
        <f>IF(ISERROR(BY179/BQ179),"NA",IF(OR(BY179/BQ179&gt;2,BY179/BQ179&lt;0.5),"NM",BY179/BQ179*100-100))</f>
        <v>-3.9562828800496987</v>
      </c>
      <c r="CA179" s="103">
        <f>CA169</f>
        <v>50137</v>
      </c>
      <c r="CB179" s="72">
        <f>IF(ISERROR(CA179/BS179),"NA",IF(OR(CA179/BS179&gt;2,CA179/BS179&lt;0.5),"NM",CA179/BS179*100-100))</f>
        <v>0.19184268899500978</v>
      </c>
      <c r="CC179" s="103">
        <f>CC169</f>
        <v>51908</v>
      </c>
      <c r="CD179" s="72">
        <f>IF(ISERROR(CC179/BU179),"NA",IF(OR(CC179/BU179&gt;2,CC179/BU179&lt;0.5),"NM",CC179/BU179*100-100))</f>
        <v>2.8064407518171492</v>
      </c>
      <c r="CE179" s="103">
        <f>CE169</f>
        <v>52768</v>
      </c>
      <c r="CF179" s="72">
        <f>IF(ISERROR(CE179/BW179),"NA",IF(OR(CE179/BW179&gt;2,CE179/BW179&lt;0.5),"NM",CE179/BW179*100-100))</f>
        <v>7.6239037324087349</v>
      </c>
      <c r="CG179" s="103">
        <f>CG169</f>
        <v>55965</v>
      </c>
      <c r="CH179" s="72">
        <f>IF(ISERROR(CG179/BY179),"NA",IF(OR(CG179/BY179&gt;2,CG179/BY179&lt;0.5),"NM",CG179/BY179*100-100))</f>
        <v>13.117736230419411</v>
      </c>
      <c r="CI179" s="103">
        <f>CI169</f>
        <v>59062</v>
      </c>
      <c r="CJ179" s="72">
        <f>IF(ISERROR(CI179/CA179),"NA",IF(OR(CI179/CA179&gt;2,CI179/CA179&lt;0.5),"NM",CI179/CA179*100-100))</f>
        <v>17.801224644474132</v>
      </c>
      <c r="CK179" s="103">
        <f>CK169</f>
        <v>64183</v>
      </c>
      <c r="CL179" s="72">
        <f>IF(ISERROR(CK179/CC179),"NA",IF(OR(CK179/CC179&gt;2,CK179/CC179&lt;0.5),"NM",CK179/CC179*100-100))</f>
        <v>23.647607305232341</v>
      </c>
      <c r="CM179" s="103">
        <f>CM169</f>
        <v>68892</v>
      </c>
      <c r="CN179" s="72">
        <f>IF(ISERROR(CM179/CE179),"NA",IF(OR(CM179/CE179&gt;2,CM179/CE179&lt;0.5),"NM",CM179/CE179*100-100))</f>
        <v>30.556397816858691</v>
      </c>
      <c r="CO179" s="103">
        <f>CO169</f>
        <v>74131</v>
      </c>
      <c r="CP179" s="72">
        <f>IF(ISERROR(CO179/CG179),"NA",IF(OR(CO179/CG179&gt;2,CO179/CG179&lt;0.5),"NM",CO179/CG179*100-100))</f>
        <v>32.459572947377836</v>
      </c>
      <c r="CQ179" s="103">
        <f>CQ169</f>
        <v>80513</v>
      </c>
      <c r="CR179" s="72">
        <f>IF(ISERROR(CQ179/CI179),"NA",IF(OR(CQ179/CI179&gt;2,CQ179/CI179&lt;0.5),"NM",CQ179/CI179*100-100))</f>
        <v>36.319460905489137</v>
      </c>
      <c r="CS179" s="103">
        <f>CS169</f>
        <v>90089</v>
      </c>
      <c r="CT179" s="72">
        <f>IF(ISERROR(CS179/CK179),"NA",IF(OR(CS179/CK179&gt;2,CS179/CK179&lt;0.5),"NM",CS179/CK179*100-100))</f>
        <v>40.362712867893379</v>
      </c>
      <c r="CU179" s="103">
        <f>CU169</f>
        <v>93853</v>
      </c>
      <c r="CV179" s="72">
        <f>IF(ISERROR(CU179/CM179),"NA",IF(OR(CU179/CM179&gt;2,CU179/CM179&lt;0.5),"NM",CU179/CM179*100-100))</f>
        <v>36.232073390234007</v>
      </c>
      <c r="CW179" s="103">
        <f>CW169</f>
        <v>102443</v>
      </c>
      <c r="CX179" s="72">
        <f>IF(ISERROR(CW179/CO179),"NA",IF(OR(CW179/CO179&gt;2,CW179/CO179&lt;0.5),"NM",CW179/CO179*100-100))</f>
        <v>38.191849563610361</v>
      </c>
      <c r="CY179" s="103">
        <f>CY169</f>
        <v>104646</v>
      </c>
      <c r="CZ179" s="72">
        <f>IF(ISERROR(CY179/CQ179),"NA",IF(OR(CY179/CQ179&gt;2,CY179/CQ179&lt;0.5),"NM",CY179/CQ179*100-100))</f>
        <v>29.974041459143251</v>
      </c>
      <c r="DA179" s="103">
        <f>DA169</f>
        <v>141435</v>
      </c>
      <c r="DB179" s="72">
        <f>IF(ISERROR(DA179/CS179),"NA",IF(OR(DA179/CS179&gt;2,DA179/CS179&lt;0.5),"NM",DA179/CS179*100-100))</f>
        <v>56.994749636470601</v>
      </c>
      <c r="DC179" s="103">
        <f>DC169</f>
        <v>143011</v>
      </c>
      <c r="DD179" s="72">
        <f>IF(ISERROR(DC179/CU179),"NA",IF(OR(DC179/CU179&gt;2,DC179/CU179&lt;0.5),"NM",DC179/CU179*100-100))</f>
        <v>52.377654417013844</v>
      </c>
      <c r="DE179" s="103">
        <f>DE169</f>
        <v>144101</v>
      </c>
      <c r="DF179" s="72">
        <f>IF(ISERROR(DE179/CW179),"NA",IF(OR(DE179/CW179&gt;2,DE179/CW179&lt;0.5),"NM",DE179/CW179*100-100))</f>
        <v>40.664564684751525</v>
      </c>
      <c r="DG179" s="103">
        <f>DG169</f>
        <v>147100</v>
      </c>
      <c r="DH179" s="72">
        <f>IF(ISERROR(DG179/CY179),"NA",IF(OR(DG179/CY179&gt;2,DG179/CY179&lt;0.5),"NM",DG179/CY179*100-100))</f>
        <v>40.569156967299278</v>
      </c>
      <c r="DI179" s="103">
        <f>DI169</f>
        <v>149402</v>
      </c>
      <c r="DJ179" s="72">
        <f>IF(ISERROR(DI179/DA179),"NA",IF(OR(DI179/DA179&gt;2,DI179/DA179&lt;0.5),"NM",DI179/DA179*100-100))</f>
        <v>5.6329762788560203</v>
      </c>
      <c r="DK179" s="103">
        <f>DK169</f>
        <v>149661</v>
      </c>
      <c r="DL179" s="72">
        <f>IF(ISERROR(DK179/DC179),"NA",IF(OR(DK179/DC179&gt;2,DK179/DC179&lt;0.5),"NM",DK179/DC179*100-100))</f>
        <v>4.6499919586605216</v>
      </c>
      <c r="DM179" s="103">
        <f>DM169</f>
        <v>148971</v>
      </c>
      <c r="DN179" s="72">
        <f t="shared" ref="DN179:DZ182" si="1095">IF(ISERROR(DM179/DE179),"NA",IF(OR(DM179/DE179&gt;2,DM179/DE179&lt;0.5),"NM",DM179/DE179*100-100))</f>
        <v>3.3795740487574619</v>
      </c>
      <c r="DO179" s="103">
        <f>DO169</f>
        <v>175526</v>
      </c>
      <c r="DP179" s="72">
        <f t="shared" si="1095"/>
        <v>19.324269204622709</v>
      </c>
      <c r="DQ179" s="103">
        <f>DQ169</f>
        <v>179641</v>
      </c>
      <c r="DR179" s="72">
        <f t="shared" si="1095"/>
        <v>20.240023560594906</v>
      </c>
      <c r="DS179" s="103">
        <f>DS169</f>
        <v>177120</v>
      </c>
      <c r="DT179" s="72">
        <f t="shared" si="1095"/>
        <v>18.347465271513627</v>
      </c>
      <c r="DU179" s="103">
        <f>DU169</f>
        <v>183798</v>
      </c>
      <c r="DV179" s="72">
        <f t="shared" si="1095"/>
        <v>23.378375657007069</v>
      </c>
      <c r="DW179" s="103">
        <f>DW169</f>
        <v>181662</v>
      </c>
      <c r="DX179" s="72">
        <f t="shared" si="1095"/>
        <v>3.4957784031995232</v>
      </c>
      <c r="DY179" s="103">
        <f>DY169</f>
        <v>179964</v>
      </c>
      <c r="DZ179" s="72">
        <f t="shared" si="1095"/>
        <v>0.17980305164189758</v>
      </c>
      <c r="EA179" s="103">
        <f>EA169</f>
        <v>180819</v>
      </c>
      <c r="EB179" s="72">
        <f>IF(ISERROR(EA179/DS179),"NA",IF(OR(EA179/DS179&gt;2,EA179/DS179&lt;0.5),"NM",EA179/DS179*100-100))</f>
        <v>2.0884146341463463</v>
      </c>
      <c r="EC179" s="103">
        <f>EC169</f>
        <v>180882</v>
      </c>
      <c r="ED179" s="72">
        <f>IF(ISERROR(EC179/DU179),"NA",IF(OR(EC179/DU179&gt;2,EC179/DU179&lt;0.5),"NM",EC179/DU179*100-100))</f>
        <v>-1.5865243364998491</v>
      </c>
      <c r="EE179" s="103">
        <f>EE169</f>
        <v>186224</v>
      </c>
      <c r="EF179" s="72">
        <f>IF(ISERROR(EE179/DW179),"NA",IF(OR(EE179/DW179&gt;2,EE179/DW179&lt;0.5),"NM",EE179/DW179*100-100))</f>
        <v>2.5112571699089443</v>
      </c>
      <c r="EG179" s="103">
        <f>EG169</f>
        <v>183376</v>
      </c>
      <c r="EH179" s="72">
        <f>IF(ISERROR(EG179/DY179),"NA",IF(OR(EG179/DY179&gt;2,EG179/DY179&lt;0.5),"NM",EG179/DY179*100-100))</f>
        <v>1.8959347425040391</v>
      </c>
      <c r="EI179" s="103">
        <f>EI169</f>
        <v>185115</v>
      </c>
      <c r="EJ179" s="72">
        <f>IF(ISERROR(EI179/EA179),"NA",IF(OR(EI179/EA179&gt;2,EI179/EA179&lt;0.5),"NM",EI179/EA179*100-100))</f>
        <v>2.3758565195029462</v>
      </c>
      <c r="EK179" s="103">
        <f>EK169</f>
        <v>186610</v>
      </c>
      <c r="EL179" s="72">
        <f>IF(ISERROR(EK179/EC179),"NA",IF(OR(EK179/EC179&gt;2,EK179/EC179&lt;0.5),"NM",EK179/EC179*100-100))</f>
        <v>3.1667053659291753</v>
      </c>
      <c r="EM179" s="103">
        <f>EM169</f>
        <v>188399</v>
      </c>
      <c r="EN179" s="72">
        <f>IF(ISERROR(EM179/EE179),"NA",IF(OR(EM179/EE179&gt;2,EM179/EE179&lt;0.5),"NM",EM179/EE179*100-100))</f>
        <v>1.1679482773434131</v>
      </c>
      <c r="EO179" s="103">
        <f>EO169</f>
        <v>194492</v>
      </c>
      <c r="EP179" s="72">
        <f>IF(ISERROR(EO179/EG179),"NA",IF(OR(EO179/EG179&gt;2,EO179/EG179&lt;0.5),"NM",EO179/EG179*100-100))</f>
        <v>6.0618619666695821</v>
      </c>
      <c r="EQ179" s="100">
        <f t="shared" ref="EQ179" si="1096">EQ169</f>
        <v>194278.0588</v>
      </c>
      <c r="ER179" s="72">
        <f t="shared" ref="ER179:ER182" si="1097">IF(ISERROR(EQ179/EI179),"NA",IF(OR(EQ179/EI179&gt;2,EQ179/EI179&lt;0.5),"NM",EQ179/EI179*100-100))</f>
        <v>4.9499277746265733</v>
      </c>
      <c r="ES179" s="100">
        <f t="shared" ref="ES179" si="1098">ES169</f>
        <v>195929.4222998</v>
      </c>
      <c r="ET179" s="72">
        <f t="shared" ref="ET179:ET182" si="1099">IF(ISERROR(ES179/EK179),"NA",IF(OR(ES179/EK179&gt;2,ES179/EK179&lt;0.5),"NM",ES179/EK179*100-100))</f>
        <v>4.9940637156636853</v>
      </c>
      <c r="EU179" s="100">
        <f t="shared" ref="EU179" si="1100">EU169</f>
        <v>197594.82238934829</v>
      </c>
      <c r="EV179" s="72">
        <f t="shared" ref="EV179:EV182" si="1101">IF(ISERROR(EU179/EM179),"NA",IF(OR(EU179/EM179&gt;2,EU179/EM179&lt;0.5),"NM",EU179/EM179*100-100))</f>
        <v>4.8810356686332312</v>
      </c>
      <c r="EW179" s="100">
        <f t="shared" ref="EW179" si="1102">EW169</f>
        <v>199274.37837965775</v>
      </c>
      <c r="EX179" s="72">
        <f t="shared" ref="EX179:EX182" si="1103">IF(ISERROR(EW179/EO179),"NA",IF(OR(EW179/EO179&gt;2,EW179/EO179&lt;0.5),"NM",EW179/EO179*100-100))</f>
        <v>2.4589075024462375</v>
      </c>
      <c r="EY179" s="72"/>
      <c r="EZ179" s="306"/>
      <c r="FA179" s="72"/>
      <c r="FB179" s="103"/>
      <c r="FC179" s="72"/>
      <c r="FD179" s="74" t="s">
        <v>476</v>
      </c>
      <c r="FE179" s="72" t="str">
        <f>IF(ISERROR(FD179/FB179),"NA",IF(OR(FD179/FB179&gt;2,FD179/FB179&lt;0.5),"NM",FD179/FB179*100-100))</f>
        <v>NA</v>
      </c>
      <c r="FF179" s="74" t="s">
        <v>476</v>
      </c>
      <c r="FG179" s="72" t="str">
        <f>IF(ISERROR(FF179/FD179),"NA",IF(OR(FF179/FD179&gt;2,FF179/FD179&lt;0.5),"NM",FF179/FD179*100-100))</f>
        <v>NA</v>
      </c>
      <c r="FH179" s="103">
        <f>+Q179</f>
        <v>0</v>
      </c>
      <c r="FI179" s="72" t="str">
        <f>IF(ISERROR(FH179/FF179),"NA",IF(OR(FH179/FF179&gt;2,FH179/FF179&lt;0.5),"NM",FH179/FF179*100-100))</f>
        <v>NA</v>
      </c>
      <c r="FJ179" s="103">
        <f>+Y179</f>
        <v>0</v>
      </c>
      <c r="FK179" s="72" t="str">
        <f>IF(ISERROR(FJ179/FH179),"NA",IF(OR(FJ179/FH179&gt;2,FJ179/FH179&lt;0.5),"NM",FJ179/FH179*100-100))</f>
        <v>NA</v>
      </c>
      <c r="FL179" s="103">
        <f>+AG179</f>
        <v>0</v>
      </c>
      <c r="FM179" s="72" t="str">
        <f>IF(ISERROR(FL179/FJ179),"NA",IF(OR(FL179/FJ179&gt;2,FL179/FJ179&lt;0.5),"NM",FL179/FJ179*100-100))</f>
        <v>NA</v>
      </c>
      <c r="FN179" s="103">
        <f>FN169</f>
        <v>47680</v>
      </c>
      <c r="FO179" s="72" t="str">
        <f>IF(ISERROR(FN179/FL179),"NA",IF(OR(FN179/FL179&gt;2,FN179/FL179&lt;0.5),"NM",FN179/FL179*100-100))</f>
        <v>NA</v>
      </c>
      <c r="FP179" s="103">
        <f>FP169</f>
        <v>48080</v>
      </c>
      <c r="FQ179" s="72">
        <f>IF(ISERROR(FP179/FN179),"NA",IF(OR(FP179/FN179&gt;2,FP179/FN179&lt;0.5),"NM",FP179/FN179*100-100))</f>
        <v>0.83892617449663476</v>
      </c>
      <c r="FR179" s="100">
        <f>FR169</f>
        <v>50269</v>
      </c>
      <c r="FS179" s="72">
        <f>IF(ISERROR(FR179/FP179),"NA",IF(OR(FR179/FP179&gt;2,FR179/FP179&lt;0.5),"NM",FR179/FP179*100-100))</f>
        <v>4.5528286189683911</v>
      </c>
      <c r="FT179" s="100">
        <f>FT169</f>
        <v>51591</v>
      </c>
      <c r="FU179" s="72">
        <f>IF(ISERROR(FT179/FR179),"NA",IF(OR(FT179/FR179&gt;2,FT179/FR179&lt;0.5),"NM",FT179/FR179*100-100))</f>
        <v>2.6298513994708514</v>
      </c>
      <c r="FV179" s="100">
        <f>FV169</f>
        <v>50491</v>
      </c>
      <c r="FW179" s="72">
        <f>IF(ISERROR(FV179/FT179),"NA",IF(OR(FV179/FT179&gt;2,FV179/FT179&lt;0.5),"NM",FV179/FT179*100-100))</f>
        <v>-2.1321548332073519</v>
      </c>
      <c r="FX179" s="100">
        <f>FX169</f>
        <v>51908</v>
      </c>
      <c r="FY179" s="72">
        <f>IF(ISERROR(FX179/FV179),"NA",IF(OR(FX179/FV179&gt;2,FX179/FV179&lt;0.5),"NM",FX179/FV179*100-100))</f>
        <v>2.8064407518171492</v>
      </c>
      <c r="FZ179" s="100">
        <f>FZ169</f>
        <v>64183</v>
      </c>
      <c r="GA179" s="72">
        <f>IF(ISERROR(FZ179/FX179),"NA",IF(OR(FZ179/FX179&gt;2,FZ179/FX179&lt;0.5),"NM",FZ179/FX179*100-100))</f>
        <v>23.647607305232341</v>
      </c>
      <c r="GB179" s="100">
        <f>GB169</f>
        <v>90089</v>
      </c>
      <c r="GC179" s="72">
        <f>IF(ISERROR(GB179/FZ179),"NA",IF(OR(GB179/FZ179&gt;2,GB179/FZ179&lt;0.5),"NM",GB179/FZ179*100-100))</f>
        <v>40.362712867893379</v>
      </c>
      <c r="GD179" s="100">
        <f>GD169</f>
        <v>141435</v>
      </c>
      <c r="GE179" s="72">
        <f>IF(ISERROR(GD179/GB179),"NA",IF(OR(GD179/GB179&gt;2,GD179/GB179&lt;0.5),"NM",GD179/GB179*100-100))</f>
        <v>56.994749636470601</v>
      </c>
      <c r="GF179" s="100">
        <f>GF169</f>
        <v>149402</v>
      </c>
      <c r="GG179" s="72">
        <f>IF(ISERROR(GF179/GD179),"NA",IF(OR(GF179/GD179&gt;2,GF179/GD179&lt;0.5),"NM",GF179/GD179*100-100))</f>
        <v>5.6329762788560203</v>
      </c>
      <c r="GH179" s="100">
        <f>GH169</f>
        <v>179641</v>
      </c>
      <c r="GI179" s="72">
        <f t="shared" ref="GI179:GU182" si="1104">IF(ISERROR(GH179/GF179),"NA",IF(OR(GH179/GF179&gt;2,GH179/GF179&lt;0.5),"NM",GH179/GF179*100-100))</f>
        <v>20.240023560594906</v>
      </c>
      <c r="GJ179" s="100">
        <f>GJ169</f>
        <v>179964</v>
      </c>
      <c r="GK179" s="72">
        <f t="shared" si="1104"/>
        <v>0.17980305164189758</v>
      </c>
      <c r="GL179" s="100">
        <f>GL169</f>
        <v>183376</v>
      </c>
      <c r="GM179" s="72">
        <f t="shared" si="1104"/>
        <v>1.8959347425040391</v>
      </c>
      <c r="GN179" s="100">
        <f>GN169</f>
        <v>194492</v>
      </c>
      <c r="GO179" s="72">
        <f t="shared" si="1104"/>
        <v>6.0618619666695821</v>
      </c>
      <c r="GP179" s="100">
        <f>GP169</f>
        <v>199274.37837965778</v>
      </c>
      <c r="GQ179" s="72">
        <f t="shared" si="1104"/>
        <v>2.4589075024462659</v>
      </c>
      <c r="GR179" s="100">
        <f>GR169</f>
        <v>206049.70724456615</v>
      </c>
      <c r="GS179" s="72">
        <f t="shared" si="1104"/>
        <v>3.4000000000000057</v>
      </c>
      <c r="GT179" s="100">
        <f>GT169</f>
        <v>213055.39729088137</v>
      </c>
      <c r="GU179" s="72">
        <f t="shared" si="1104"/>
        <v>3.3999999999999773</v>
      </c>
      <c r="GV179" s="100">
        <f>GV169</f>
        <v>220299.28079877136</v>
      </c>
      <c r="GW179" s="72">
        <f>IF(ISERROR(GV179/GT179),"NA",IF(OR(GV179/GT179&gt;2,GV179/GT179&lt;0.5),"NM",GV179/GT179*100-100))</f>
        <v>3.4000000000000057</v>
      </c>
      <c r="GX179" s="100">
        <f>GX169</f>
        <v>227789.45634592956</v>
      </c>
      <c r="GY179" s="72">
        <f>IF(ISERROR(GX179/GV179),"NA",IF(OR(GX179/GV179&gt;2,GX179/GV179&lt;0.5),"NM",GX179/GV179*100-100))</f>
        <v>3.3999999999999773</v>
      </c>
      <c r="GZ179" s="72">
        <f t="shared" ref="GZ179:GZ184" si="1105">IF(ISERROR(((GX179/GN179)^0.2-1)*100),"NA",IF((((GX179/GN179)^0.2-1)*100)&gt;100,"NM",IF((((GX179/GN179)^0.2-1)*100)&lt;-50,"NM",((GX179/GN179)^0.2-1)*100)))</f>
        <v>3.2110925081663133</v>
      </c>
      <c r="HA179" s="72"/>
      <c r="HB179" s="72"/>
      <c r="HC179"/>
      <c r="HD179"/>
      <c r="HE179"/>
      <c r="HF179"/>
      <c r="HG179"/>
      <c r="HH179"/>
      <c r="HI179" s="2"/>
    </row>
    <row r="180" spans="1:217" s="111" customFormat="1" ht="12.75" customHeight="1" x14ac:dyDescent="0.2">
      <c r="B180" s="18" t="s">
        <v>579</v>
      </c>
      <c r="C180" s="103"/>
      <c r="D180" s="72"/>
      <c r="E180" s="103"/>
      <c r="F180" s="72"/>
      <c r="G180" s="103"/>
      <c r="H180" s="72"/>
      <c r="I180" s="103"/>
      <c r="J180" s="72"/>
      <c r="K180" s="103"/>
      <c r="L180" s="72"/>
      <c r="M180" s="103"/>
      <c r="N180" s="72"/>
      <c r="O180" s="103"/>
      <c r="P180" s="72"/>
      <c r="Q180" s="103"/>
      <c r="R180" s="72"/>
      <c r="S180" s="103"/>
      <c r="T180" s="72"/>
      <c r="U180" s="103"/>
      <c r="V180" s="72"/>
      <c r="W180" s="103"/>
      <c r="X180" s="72"/>
      <c r="Y180" s="103"/>
      <c r="Z180" s="72"/>
      <c r="AA180" s="103"/>
      <c r="AB180" s="72"/>
      <c r="AC180" s="103"/>
      <c r="AD180" s="72"/>
      <c r="AE180" s="103"/>
      <c r="AF180" s="72"/>
      <c r="AG180" s="103"/>
      <c r="AH180" s="72"/>
      <c r="AI180" s="103">
        <f>AI153</f>
        <v>33176</v>
      </c>
      <c r="AJ180" s="72" t="str">
        <f>IF(ISERROR(AI180/AA180),"NA",IF(OR(AI180/AA180&gt;2,AI180/AA180&lt;0.5),"NM",AI180/AA180*100-100))</f>
        <v>NA</v>
      </c>
      <c r="AK180" s="103">
        <f>AK153</f>
        <v>80329</v>
      </c>
      <c r="AL180" s="72" t="str">
        <f>IF(ISERROR(AK180/AC180),"NA",IF(OR(AK180/AC180&gt;2,AK180/AC180&lt;0.5),"NM",AK180/AC180*100-100))</f>
        <v>NA</v>
      </c>
      <c r="AM180" s="103">
        <f>AM153</f>
        <v>80252</v>
      </c>
      <c r="AN180" s="72" t="str">
        <f>IF(ISERROR(AM180/AE180),"NA",IF(OR(AM180/AE180&gt;2,AM180/AE180&lt;0.5),"NM",AM180/AE180*100-100))</f>
        <v>NA</v>
      </c>
      <c r="AO180" s="103">
        <f>AO153</f>
        <v>83891</v>
      </c>
      <c r="AP180" s="72" t="str">
        <f>IF(ISERROR(AO180/AG180),"NA",IF(OR(AO180/AG180&gt;2,AO180/AG180&lt;0.5),"NM",AO180/AG180*100-100))</f>
        <v>NA</v>
      </c>
      <c r="AQ180" s="103">
        <f>AQ153</f>
        <v>83927</v>
      </c>
      <c r="AR180" s="72" t="str">
        <f>IF(ISERROR(AQ180/AI180),"NA",IF(OR(AQ180/AI180&gt;2,AQ180/AI180&lt;0.5),"NM",AQ180/AI180*100-100))</f>
        <v>NM</v>
      </c>
      <c r="AS180" s="103">
        <f>AS153</f>
        <v>85331</v>
      </c>
      <c r="AT180" s="72">
        <f>IF(ISERROR(AS180/AK180),"NA",IF(OR(AS180/AK180&gt;2,AS180/AK180&lt;0.5),"NM",AS180/AK180*100-100))</f>
        <v>6.2268919070323392</v>
      </c>
      <c r="AU180" s="103">
        <f>AU153</f>
        <v>88337</v>
      </c>
      <c r="AV180" s="72">
        <f>IF(ISERROR(AU180/AM180),"NA",IF(OR(AU180/AM180&gt;2,AU180/AM180&lt;0.5),"NM",AU180/AM180*100-100))</f>
        <v>10.074515276877833</v>
      </c>
      <c r="AW180" s="103">
        <f>AW153</f>
        <v>88385</v>
      </c>
      <c r="AX180" s="72">
        <f>IF(ISERROR(AW180/AO180),"NA",IF(OR(AW180/AO180&gt;2,AW180/AO180&lt;0.5),"NM",AW180/AO180*100-100))</f>
        <v>5.3569512820207166</v>
      </c>
      <c r="AY180" s="103">
        <f>AY153</f>
        <v>91854</v>
      </c>
      <c r="AZ180" s="72">
        <f>IF(ISERROR(AY180/AQ180),"NA",IF(OR(AY180/AQ180&gt;2,AY180/AQ180&lt;0.5),"NM",AY180/AQ180*100-100))</f>
        <v>9.4451130148819828</v>
      </c>
      <c r="BA180" s="103">
        <f>BA153</f>
        <v>91537</v>
      </c>
      <c r="BB180" s="72">
        <f>IF(ISERROR(BA180/AS180),"NA",IF(OR(BA180/AS180&gt;2,BA180/AS180&lt;0.5),"NM",BA180/AS180*100-100))</f>
        <v>7.2728551171321101</v>
      </c>
      <c r="BC180" s="103">
        <f>BC153</f>
        <v>93364</v>
      </c>
      <c r="BD180" s="72">
        <f>IF(ISERROR(BC180/AU180),"NA",IF(OR(BC180/AU180&gt;2,BC180/AU180&lt;0.5),"NM",BC180/AU180*100-100))</f>
        <v>5.6907071781925964</v>
      </c>
      <c r="BE180" s="103">
        <f>BE153</f>
        <v>97430</v>
      </c>
      <c r="BF180" s="72">
        <f>IF(ISERROR(BE180/AW180),"NA",IF(OR(BE180/AW180&gt;2,BE180/AW180&lt;0.5),"NM",BE180/AW180*100-100))</f>
        <v>10.233636929343206</v>
      </c>
      <c r="BG180" s="103">
        <f>BG153</f>
        <v>99558</v>
      </c>
      <c r="BH180" s="72">
        <f>IF(ISERROR(BG180/AY180),"NA",IF(OR(BG180/AY180&gt;2,BG180/AY180&lt;0.5),"NM",BG180/AY180*100-100))</f>
        <v>8.3872232020380153</v>
      </c>
      <c r="BI180" s="103">
        <f>BI153</f>
        <v>104033</v>
      </c>
      <c r="BJ180" s="72">
        <f>IF(ISERROR(BI180/BA180),"NA",IF(OR(BI180/BA180&gt;2,BI180/BA180&lt;0.5),"NM",BI180/BA180*100-100))</f>
        <v>13.651310399073594</v>
      </c>
      <c r="BK180" s="103">
        <f>BK153</f>
        <v>105601</v>
      </c>
      <c r="BL180" s="72">
        <f>IF(ISERROR(BK180/BC180),"NA",IF(OR(BK180/BC180&gt;2,BK180/BC180&lt;0.5),"NM",BK180/BC180*100-100))</f>
        <v>13.106764920097675</v>
      </c>
      <c r="BM180" s="103">
        <f>BM153</f>
        <v>112192</v>
      </c>
      <c r="BN180" s="72">
        <f>IF(ISERROR(BM180/BE180),"NA",IF(OR(BM180/BE180&gt;2,BM180/BE180&lt;0.5),"NM",BM180/BE180*100-100))</f>
        <v>15.151390742071243</v>
      </c>
      <c r="BO180" s="103">
        <f>BO153</f>
        <v>107060</v>
      </c>
      <c r="BP180" s="72">
        <f>IF(ISERROR(BO180/BG180),"NA",IF(OR(BO180/BG180&gt;2,BO180/BG180&lt;0.5),"NM",BO180/BG180*100-100))</f>
        <v>7.535306052753171</v>
      </c>
      <c r="BQ180" s="103">
        <f>BQ153</f>
        <v>106917</v>
      </c>
      <c r="BR180" s="72">
        <f>IF(ISERROR(BQ180/BI180),"NA",IF(OR(BQ180/BI180&gt;2,BQ180/BI180&lt;0.5),"NM",BQ180/BI180*100-100))</f>
        <v>2.772197283554263</v>
      </c>
      <c r="BS180" s="103">
        <f>BS153</f>
        <v>100463</v>
      </c>
      <c r="BT180" s="72">
        <f>IF(ISERROR(BS180/BK180),"NA",IF(OR(BS180/BK180&gt;2,BS180/BK180&lt;0.5),"NM",BS180/BK180*100-100))</f>
        <v>-4.8654842283690556</v>
      </c>
      <c r="BU180" s="103">
        <f>BU153</f>
        <v>99738</v>
      </c>
      <c r="BV180" s="72">
        <f>IF(ISERROR(BU180/BM180),"NA",IF(OR(BU180/BM180&gt;2,BU180/BM180&lt;0.5),"NM",BU180/BM180*100-100))</f>
        <v>-11.10061323445521</v>
      </c>
      <c r="BW180" s="103">
        <f>BW153</f>
        <v>102159</v>
      </c>
      <c r="BX180" s="72">
        <f>IF(ISERROR(BW180/BO180),"NA",IF(OR(BW180/BO180&gt;2,BW180/BO180&lt;0.5),"NM",BW180/BO180*100-100))</f>
        <v>-4.5778068372874969</v>
      </c>
      <c r="BY180" s="103">
        <f>BY153</f>
        <v>110950</v>
      </c>
      <c r="BZ180" s="72">
        <f>IF(ISERROR(BY180/BQ180),"NA",IF(OR(BY180/BQ180&gt;2,BY180/BQ180&lt;0.5),"NM",BY180/BQ180*100-100))</f>
        <v>3.7720848882778313</v>
      </c>
      <c r="CA180" s="103">
        <f>CA153</f>
        <v>121756</v>
      </c>
      <c r="CB180" s="72">
        <f>IF(ISERROR(CA180/BS180),"NA",IF(OR(CA180/BS180&gt;2,CA180/BS180&lt;0.5),"NM",CA180/BS180*100-100))</f>
        <v>21.194867762260742</v>
      </c>
      <c r="CC180" s="103">
        <f>CC153</f>
        <v>126345</v>
      </c>
      <c r="CD180" s="72">
        <f>IF(ISERROR(CC180/BU180),"NA",IF(OR(CC180/BU180&gt;2,CC180/BU180&lt;0.5),"NM",CC180/BU180*100-100))</f>
        <v>26.676893460867475</v>
      </c>
      <c r="CE180" s="103">
        <f>CE153</f>
        <v>131147</v>
      </c>
      <c r="CF180" s="72">
        <f>IF(ISERROR(CE180/BW180),"NA",IF(OR(CE180/BW180&gt;2,CE180/BW180&lt;0.5),"NM",CE180/BW180*100-100))</f>
        <v>28.375375639933822</v>
      </c>
      <c r="CG180" s="103">
        <f>CG153</f>
        <v>125176</v>
      </c>
      <c r="CH180" s="72">
        <f>IF(ISERROR(CG180/BY180),"NA",IF(OR(CG180/BY180&gt;2,CG180/BY180&lt;0.5),"NM",CG180/BY180*100-100))</f>
        <v>12.821991888237932</v>
      </c>
      <c r="CI180" s="103">
        <f>CI153</f>
        <v>135248</v>
      </c>
      <c r="CJ180" s="72">
        <f>IF(ISERROR(CI180/CA180),"NA",IF(OR(CI180/CA180&gt;2,CI180/CA180&lt;0.5),"NM",CI180/CA180*100-100))</f>
        <v>11.081178750944517</v>
      </c>
      <c r="CK180" s="103">
        <f>CK153</f>
        <v>141313</v>
      </c>
      <c r="CL180" s="72">
        <f>IF(ISERROR(CK180/CC180),"NA",IF(OR(CK180/CC180&gt;2,CK180/CC180&lt;0.5),"NM",CK180/CC180*100-100))</f>
        <v>11.846927064782946</v>
      </c>
      <c r="CM180" s="103">
        <f>CM153</f>
        <v>145977</v>
      </c>
      <c r="CN180" s="72">
        <f>IF(ISERROR(CM180/CE180),"NA",IF(OR(CM180/CE180&gt;2,CM180/CE180&lt;0.5),"NM",CM180/CE180*100-100))</f>
        <v>11.307921645176776</v>
      </c>
      <c r="CO180" s="103">
        <f>CO153</f>
        <v>146580</v>
      </c>
      <c r="CP180" s="72">
        <f>IF(ISERROR(CO180/CG180),"NA",IF(OR(CO180/CG180&gt;2,CO180/CG180&lt;0.5),"NM",CO180/CG180*100-100))</f>
        <v>17.099124432798618</v>
      </c>
      <c r="CQ180" s="103">
        <f>CQ153</f>
        <v>134198</v>
      </c>
      <c r="CR180" s="72">
        <f>IF(ISERROR(CQ180/CI180),"NA",IF(OR(CQ180/CI180&gt;2,CQ180/CI180&lt;0.5),"NM",CQ180/CI180*100-100))</f>
        <v>-0.77635159115106944</v>
      </c>
      <c r="CS180" s="103">
        <f>CS153</f>
        <v>139430</v>
      </c>
      <c r="CT180" s="72">
        <f>IF(ISERROR(CS180/CK180),"NA",IF(OR(CS180/CK180&gt;2,CS180/CK180&lt;0.5),"NM",CS180/CK180*100-100))</f>
        <v>-1.3325030251993866</v>
      </c>
      <c r="CU180" s="103">
        <f>CU153</f>
        <v>145991</v>
      </c>
      <c r="CV180" s="72">
        <f>IF(ISERROR(CU180/CM180),"NA",IF(OR(CU180/CM180&gt;2,CU180/CM180&lt;0.5),"NM",CU180/CM180*100-100))</f>
        <v>9.5905519362560199E-3</v>
      </c>
      <c r="CW180" s="103">
        <f>CW153</f>
        <v>142405</v>
      </c>
      <c r="CX180" s="72">
        <f>IF(ISERROR(CW180/CO180),"NA",IF(OR(CW180/CO180&gt;2,CW180/CO180&lt;0.5),"NM",CW180/CO180*100-100))</f>
        <v>-2.8482739800791421</v>
      </c>
      <c r="CY180" s="103">
        <f>CY153</f>
        <v>146934</v>
      </c>
      <c r="CZ180" s="72">
        <f>IF(ISERROR(CY180/CQ180),"NA",IF(OR(CY180/CQ180&gt;2,CY180/CQ180&lt;0.5),"NM",CY180/CQ180*100-100))</f>
        <v>9.4904544031952724</v>
      </c>
      <c r="DA180" s="103">
        <f>DA153</f>
        <v>148405</v>
      </c>
      <c r="DB180" s="72">
        <f>IF(ISERROR(DA180/CS180),"NA",IF(OR(DA180/CS180&gt;2,DA180/CS180&lt;0.5),"NM",DA180/CS180*100-100))</f>
        <v>6.4369217528508926</v>
      </c>
      <c r="DC180" s="103">
        <f>DC153</f>
        <v>156380</v>
      </c>
      <c r="DD180" s="72">
        <f>IF(ISERROR(DC180/CU180),"NA",IF(OR(DC180/CU180&gt;2,DC180/CU180&lt;0.5),"NM",DC180/CU180*100-100))</f>
        <v>7.1161920940332095</v>
      </c>
      <c r="DE180" s="103">
        <f>DE153</f>
        <v>157738</v>
      </c>
      <c r="DF180" s="72">
        <f>IF(ISERROR(DE180/CW180),"NA",IF(OR(DE180/CW180&gt;2,DE180/CW180&lt;0.5),"NM",DE180/CW180*100-100))</f>
        <v>10.767178118745832</v>
      </c>
      <c r="DG180" s="103">
        <f>DG153</f>
        <v>165364</v>
      </c>
      <c r="DH180" s="72">
        <f>IF(ISERROR(DG180/CY180),"NA",IF(OR(DG180/CY180&gt;2,DG180/CY180&lt;0.5),"NM",DG180/CY180*100-100))</f>
        <v>12.543046537901375</v>
      </c>
      <c r="DI180" s="103">
        <f>DI153</f>
        <v>173502</v>
      </c>
      <c r="DJ180" s="72">
        <f>IF(ISERROR(DI180/DA180),"NA",IF(OR(DI180/DA180&gt;2,DI180/DA180&lt;0.5),"NM",DI180/DA180*100-100))</f>
        <v>16.911155284525449</v>
      </c>
      <c r="DK180" s="103">
        <f>DK153</f>
        <v>178150</v>
      </c>
      <c r="DL180" s="72">
        <f>IF(ISERROR(DK180/DC180),"NA",IF(OR(DK180/DC180&gt;2,DK180/DC180&lt;0.5),"NM",DK180/DC180*100-100))</f>
        <v>13.921217547000879</v>
      </c>
      <c r="DM180" s="103">
        <f>DM153</f>
        <v>181577</v>
      </c>
      <c r="DN180" s="72">
        <f t="shared" si="1095"/>
        <v>15.113035539945983</v>
      </c>
      <c r="DO180" s="103">
        <f>DO153</f>
        <v>180535</v>
      </c>
      <c r="DP180" s="72">
        <f t="shared" si="1095"/>
        <v>9.1743063786555723</v>
      </c>
      <c r="DQ180" s="103">
        <f>DQ153</f>
        <v>184196</v>
      </c>
      <c r="DR180" s="72">
        <f t="shared" si="1095"/>
        <v>6.1636177104586807</v>
      </c>
      <c r="DS180" s="103">
        <f>DS153</f>
        <v>188145</v>
      </c>
      <c r="DT180" s="72">
        <f t="shared" si="1095"/>
        <v>5.6104406399101805</v>
      </c>
      <c r="DU180" s="103">
        <f>DU153</f>
        <v>188807</v>
      </c>
      <c r="DV180" s="72">
        <f t="shared" si="1095"/>
        <v>3.9817818336022697</v>
      </c>
      <c r="DW180" s="103">
        <f>DW153</f>
        <v>184515</v>
      </c>
      <c r="DX180" s="72">
        <f t="shared" si="1095"/>
        <v>2.2045586728335138</v>
      </c>
      <c r="DY180" s="103">
        <f>DY153</f>
        <v>188961</v>
      </c>
      <c r="DZ180" s="72">
        <f t="shared" si="1095"/>
        <v>2.5869182826988606</v>
      </c>
      <c r="EA180" s="103">
        <f>EA153</f>
        <v>190953</v>
      </c>
      <c r="EB180" s="72">
        <f>IF(ISERROR(EA180/DS180),"NA",IF(OR(EA180/DS180&gt;2,EA180/DS180&lt;0.5),"NM",EA180/DS180*100-100))</f>
        <v>1.4924659172446724</v>
      </c>
      <c r="EC180" s="103">
        <f>EC153</f>
        <v>194007</v>
      </c>
      <c r="ED180" s="72">
        <f>IF(ISERROR(EC180/DU180),"NA",IF(OR(EC180/DU180&gt;2,EC180/DU180&lt;0.5),"NM",EC180/DU180*100-100))</f>
        <v>2.7541351750729461</v>
      </c>
      <c r="EE180" s="103">
        <f>EE153</f>
        <v>200476</v>
      </c>
      <c r="EF180" s="72">
        <f>IF(ISERROR(EE180/DW180),"NA",IF(OR(EE180/DW180&gt;2,EE180/DW180&lt;0.5),"NM",EE180/DW180*100-100))</f>
        <v>8.650245237514568</v>
      </c>
      <c r="EG180" s="103">
        <f>EG153</f>
        <v>202802</v>
      </c>
      <c r="EH180" s="72">
        <f>IF(ISERROR(EG180/DY180),"NA",IF(OR(EG180/DY180&gt;2,EG180/DY180&lt;0.5),"NM",EG180/DY180*100-100))</f>
        <v>7.3247918882732392</v>
      </c>
      <c r="EI180" s="103">
        <f>EI153</f>
        <v>210400</v>
      </c>
      <c r="EJ180" s="72">
        <f>IF(ISERROR(EI180/EA180),"NA",IF(OR(EI180/EA180&gt;2,EI180/EA180&lt;0.5),"NM",EI180/EA180*100-100))</f>
        <v>10.184181447790806</v>
      </c>
      <c r="EK180" s="103">
        <f>EK153</f>
        <v>214731</v>
      </c>
      <c r="EL180" s="72">
        <f>IF(ISERROR(EK180/EC180),"NA",IF(OR(EK180/EC180&gt;2,EK180/EC180&lt;0.5),"NM",EK180/EC180*100-100))</f>
        <v>10.682088790610649</v>
      </c>
      <c r="EM180" s="103">
        <f>EM153</f>
        <v>227438</v>
      </c>
      <c r="EN180" s="72">
        <f>IF(ISERROR(EM180/EE180),"NA",IF(OR(EM180/EE180&gt;2,EM180/EE180&lt;0.5),"NM",EM180/EE180*100-100))</f>
        <v>13.448991400466895</v>
      </c>
      <c r="EO180" s="103">
        <f>EO153</f>
        <v>234616</v>
      </c>
      <c r="EP180" s="72">
        <f>IF(ISERROR(EO180/EG180),"NA",IF(OR(EO180/EG180&gt;2,EO180/EG180&lt;0.5),"NM",EO180/EG180*100-100))</f>
        <v>15.68722201950672</v>
      </c>
      <c r="EQ180" s="100">
        <f t="shared" ref="EQ180" si="1106">EQ153</f>
        <v>233377.35229718956</v>
      </c>
      <c r="ER180" s="72">
        <f t="shared" si="1097"/>
        <v>10.920794818055882</v>
      </c>
      <c r="ES180" s="100">
        <f t="shared" ref="ES180" si="1107">ES153</f>
        <v>236208.79064100821</v>
      </c>
      <c r="ET180" s="72">
        <f t="shared" si="1099"/>
        <v>10.002184426565421</v>
      </c>
      <c r="EU180" s="100">
        <f t="shared" ref="EU180" si="1108">EU153</f>
        <v>239074.58126029803</v>
      </c>
      <c r="EV180" s="72">
        <f t="shared" si="1101"/>
        <v>5.1163751265391113</v>
      </c>
      <c r="EW180" s="100">
        <f t="shared" ref="EW180" si="1109">EW153</f>
        <v>241975.14093221843</v>
      </c>
      <c r="EX180" s="72">
        <f t="shared" si="1103"/>
        <v>3.1366747929461098</v>
      </c>
      <c r="EY180" s="72"/>
      <c r="EZ180" s="306"/>
      <c r="FA180" s="72"/>
      <c r="FB180" s="103"/>
      <c r="FC180" s="72"/>
      <c r="FD180" s="74" t="s">
        <v>476</v>
      </c>
      <c r="FE180" s="72" t="str">
        <f>IF(ISERROR(FD180/FB180),"NA",IF(OR(FD180/FB180&gt;2,FD180/FB180&lt;0.5),"NM",FD180/FB180*100-100))</f>
        <v>NA</v>
      </c>
      <c r="FF180" s="74" t="s">
        <v>476</v>
      </c>
      <c r="FG180" s="72" t="str">
        <f>IF(ISERROR(FF180/FD180),"NA",IF(OR(FF180/FD180&gt;2,FF180/FD180&lt;0.5),"NM",FF180/FD180*100-100))</f>
        <v>NA</v>
      </c>
      <c r="FH180" s="103">
        <f>+Q180</f>
        <v>0</v>
      </c>
      <c r="FI180" s="72" t="str">
        <f>IF(ISERROR(FH180/FF180),"NA",IF(OR(FH180/FF180&gt;2,FH180/FF180&lt;0.5),"NM",FH180/FF180*100-100))</f>
        <v>NA</v>
      </c>
      <c r="FJ180" s="103">
        <f>+Y180</f>
        <v>0</v>
      </c>
      <c r="FK180" s="72" t="str">
        <f>IF(ISERROR(FJ180/FH180),"NA",IF(OR(FJ180/FH180&gt;2,FJ180/FH180&lt;0.5),"NM",FJ180/FH180*100-100))</f>
        <v>NA</v>
      </c>
      <c r="FL180" s="103">
        <f>+AG180</f>
        <v>0</v>
      </c>
      <c r="FM180" s="72" t="str">
        <f>IF(ISERROR(FL180/FJ180),"NA",IF(OR(FL180/FJ180&gt;2,FL180/FJ180&lt;0.5),"NM",FL180/FJ180*100-100))</f>
        <v>NA</v>
      </c>
      <c r="FN180" s="103">
        <f>FN153</f>
        <v>83891</v>
      </c>
      <c r="FO180" s="72" t="str">
        <f>IF(ISERROR(FN180/FL180),"NA",IF(OR(FN180/FL180&gt;2,FN180/FL180&lt;0.5),"NM",FN180/FL180*100-100))</f>
        <v>NA</v>
      </c>
      <c r="FP180" s="103">
        <f>FP153</f>
        <v>88385</v>
      </c>
      <c r="FQ180" s="72">
        <f>IF(ISERROR(FP180/FN180),"NA",IF(OR(FP180/FN180&gt;2,FP180/FN180&lt;0.5),"NM",FP180/FN180*100-100))</f>
        <v>5.3569512820207166</v>
      </c>
      <c r="FR180" s="100">
        <f>FR153</f>
        <v>97430</v>
      </c>
      <c r="FS180" s="72">
        <f>IF(ISERROR(FR180/FP180),"NA",IF(OR(FR180/FP180&gt;2,FR180/FP180&lt;0.5),"NM",FR180/FP180*100-100))</f>
        <v>10.233636929343206</v>
      </c>
      <c r="FT180" s="100">
        <f>FT153</f>
        <v>112192</v>
      </c>
      <c r="FU180" s="72">
        <f>IF(ISERROR(FT180/FR180),"NA",IF(OR(FT180/FR180&gt;2,FT180/FR180&lt;0.5),"NM",FT180/FR180*100-100))</f>
        <v>15.151390742071243</v>
      </c>
      <c r="FV180" s="100">
        <f>FV153</f>
        <v>99738</v>
      </c>
      <c r="FW180" s="72">
        <f>IF(ISERROR(FV180/FT180),"NA",IF(OR(FV180/FT180&gt;2,FV180/FT180&lt;0.5),"NM",FV180/FT180*100-100))</f>
        <v>-11.10061323445521</v>
      </c>
      <c r="FX180" s="100">
        <f>FX153</f>
        <v>126345</v>
      </c>
      <c r="FY180" s="72">
        <f>IF(ISERROR(FX180/FV180),"NA",IF(OR(FX180/FV180&gt;2,FX180/FV180&lt;0.5),"NM",FX180/FV180*100-100))</f>
        <v>26.676893460867475</v>
      </c>
      <c r="FZ180" s="100">
        <f>FZ153</f>
        <v>141313</v>
      </c>
      <c r="GA180" s="72">
        <f>IF(ISERROR(FZ180/FX180),"NA",IF(OR(FZ180/FX180&gt;2,FZ180/FX180&lt;0.5),"NM",FZ180/FX180*100-100))</f>
        <v>11.846927064782946</v>
      </c>
      <c r="GB180" s="100">
        <f>GB153</f>
        <v>139430</v>
      </c>
      <c r="GC180" s="72">
        <f>IF(ISERROR(GB180/FZ180),"NA",IF(OR(GB180/FZ180&gt;2,GB180/FZ180&lt;0.5),"NM",GB180/FZ180*100-100))</f>
        <v>-1.3325030251993866</v>
      </c>
      <c r="GD180" s="100">
        <f>GD153</f>
        <v>148405</v>
      </c>
      <c r="GE180" s="72">
        <f>IF(ISERROR(GD180/GB180),"NA",IF(OR(GD180/GB180&gt;2,GD180/GB180&lt;0.5),"NM",GD180/GB180*100-100))</f>
        <v>6.4369217528508926</v>
      </c>
      <c r="GF180" s="100">
        <f>GF153</f>
        <v>173502</v>
      </c>
      <c r="GG180" s="72">
        <f>IF(ISERROR(GF180/GD180),"NA",IF(OR(GF180/GD180&gt;2,GF180/GD180&lt;0.5),"NM",GF180/GD180*100-100))</f>
        <v>16.911155284525449</v>
      </c>
      <c r="GH180" s="100">
        <f>GH153</f>
        <v>184196</v>
      </c>
      <c r="GI180" s="72">
        <f t="shared" si="1104"/>
        <v>6.1636177104586807</v>
      </c>
      <c r="GJ180" s="100">
        <f>GJ153</f>
        <v>188961</v>
      </c>
      <c r="GK180" s="72">
        <f t="shared" si="1104"/>
        <v>2.5869182826988606</v>
      </c>
      <c r="GL180" s="100">
        <f>GL153</f>
        <v>202802</v>
      </c>
      <c r="GM180" s="72">
        <f t="shared" si="1104"/>
        <v>7.3247918882732392</v>
      </c>
      <c r="GN180" s="100">
        <f>GN153</f>
        <v>234616</v>
      </c>
      <c r="GO180" s="72">
        <f t="shared" si="1104"/>
        <v>15.68722201950672</v>
      </c>
      <c r="GP180" s="100">
        <f>GP153</f>
        <v>241975.14093221843</v>
      </c>
      <c r="GQ180" s="72">
        <f t="shared" si="1104"/>
        <v>3.1366747929461098</v>
      </c>
      <c r="GR180" s="100">
        <f>GR153</f>
        <v>252870.22687879985</v>
      </c>
      <c r="GS180" s="72">
        <f t="shared" si="1104"/>
        <v>4.5025641496096114</v>
      </c>
      <c r="GT180" s="100">
        <f>GT153</f>
        <v>264255.87105928117</v>
      </c>
      <c r="GU180" s="72">
        <f t="shared" si="1104"/>
        <v>4.5025641496096114</v>
      </c>
      <c r="GV180" s="100">
        <f>GV153</f>
        <v>276154.16117283504</v>
      </c>
      <c r="GW180" s="72">
        <f>IF(ISERROR(GV180/GT180),"NA",IF(OR(GV180/GT180&gt;2,GV180/GT180&lt;0.5),"NM",GV180/GT180*100-100))</f>
        <v>4.5025641496096398</v>
      </c>
      <c r="GX180" s="100">
        <f>GX153</f>
        <v>288588.17943145829</v>
      </c>
      <c r="GY180" s="72">
        <f>IF(ISERROR(GX180/GV180),"NA",IF(OR(GX180/GV180&gt;2,GX180/GV180&lt;0.5),"NM",GX180/GV180*100-100))</f>
        <v>4.5025641496096398</v>
      </c>
      <c r="GZ180" s="72">
        <f t="shared" si="1105"/>
        <v>4.2279467577446939</v>
      </c>
      <c r="HA180" s="72"/>
      <c r="HB180" s="72"/>
      <c r="HC180"/>
      <c r="HD180"/>
      <c r="HE180"/>
      <c r="HF180"/>
      <c r="HG180"/>
      <c r="HH180"/>
      <c r="HI180" s="2"/>
    </row>
    <row r="181" spans="1:217" s="111" customFormat="1" ht="12.75" customHeight="1" x14ac:dyDescent="0.2">
      <c r="A181" s="111" t="s">
        <v>85</v>
      </c>
      <c r="B181" s="18" t="s">
        <v>600</v>
      </c>
      <c r="C181" s="103"/>
      <c r="D181" s="72"/>
      <c r="E181" s="103"/>
      <c r="F181" s="72"/>
      <c r="G181" s="103"/>
      <c r="H181" s="72"/>
      <c r="I181" s="103"/>
      <c r="J181" s="72"/>
      <c r="K181" s="103"/>
      <c r="L181" s="72"/>
      <c r="M181" s="103"/>
      <c r="N181" s="72"/>
      <c r="O181" s="103"/>
      <c r="P181" s="72"/>
      <c r="Q181" s="103"/>
      <c r="R181" s="72"/>
      <c r="S181" s="103"/>
      <c r="T181" s="72"/>
      <c r="U181" s="103"/>
      <c r="V181" s="72"/>
      <c r="W181" s="103"/>
      <c r="X181" s="72"/>
      <c r="Y181" s="103"/>
      <c r="Z181" s="72"/>
      <c r="AA181" s="103"/>
      <c r="AB181" s="72"/>
      <c r="AC181" s="103"/>
      <c r="AD181" s="72"/>
      <c r="AE181" s="103"/>
      <c r="AF181" s="72"/>
      <c r="AG181" s="103"/>
      <c r="AH181" s="72"/>
      <c r="AI181" s="103">
        <f>SUM(AI179:AI180)</f>
        <v>72686</v>
      </c>
      <c r="AJ181" s="72" t="str">
        <f>IF(ISERROR(AI181/AA181),"NA",IF(OR(AI181/AA181&gt;2,AI181/AA181&lt;0.5),"NM",AI181/AA181*100-100))</f>
        <v>NA</v>
      </c>
      <c r="AK181" s="103">
        <f>SUM(AK179:AK180)</f>
        <v>126014</v>
      </c>
      <c r="AL181" s="72" t="str">
        <f>IF(ISERROR(AK181/AC181),"NA",IF(OR(AK181/AC181&gt;2,AK181/AC181&lt;0.5),"NM",AK181/AC181*100-100))</f>
        <v>NA</v>
      </c>
      <c r="AM181" s="103">
        <f>SUM(AM179:AM180)</f>
        <v>126108</v>
      </c>
      <c r="AN181" s="72" t="str">
        <f>IF(ISERROR(AM181/AE181),"NA",IF(OR(AM181/AE181&gt;2,AM181/AE181&lt;0.5),"NM",AM181/AE181*100-100))</f>
        <v>NA</v>
      </c>
      <c r="AO181" s="103">
        <f>SUM(AO179:AO180)</f>
        <v>131571</v>
      </c>
      <c r="AP181" s="72" t="str">
        <f>IF(ISERROR(AO181/AG181),"NA",IF(OR(AO181/AG181&gt;2,AO181/AG181&lt;0.5),"NM",AO181/AG181*100-100))</f>
        <v>NA</v>
      </c>
      <c r="AQ181" s="103">
        <f>SUM(AQ179:AQ180)</f>
        <v>131625</v>
      </c>
      <c r="AR181" s="72">
        <f>IF(ISERROR(AQ181/AI181),"NA",IF(OR(AQ181/AI181&gt;2,AQ181/AI181&lt;0.5),"NM",AQ181/AI181*100-100))</f>
        <v>81.087141953058364</v>
      </c>
      <c r="AS181" s="103">
        <f>SUM(AS179:AS180)</f>
        <v>133943</v>
      </c>
      <c r="AT181" s="72">
        <f>IF(ISERROR(AS181/AK181),"NA",IF(OR(AS181/AK181&gt;2,AS181/AK181&lt;0.5),"NM",AS181/AK181*100-100))</f>
        <v>6.2921580141888995</v>
      </c>
      <c r="AU181" s="103">
        <f>SUM(AU179:AU180)</f>
        <v>137254</v>
      </c>
      <c r="AV181" s="72">
        <f>IF(ISERROR(AU181/AM181),"NA",IF(OR(AU181/AM181&gt;2,AU181/AM181&lt;0.5),"NM",AU181/AM181*100-100))</f>
        <v>8.838455926666029</v>
      </c>
      <c r="AW181" s="103">
        <f>SUM(AW179:AW180)</f>
        <v>136465</v>
      </c>
      <c r="AX181" s="72">
        <f>IF(ISERROR(AW181/AO181),"NA",IF(OR(AW181/AO181&gt;2,AW181/AO181&lt;0.5),"NM",AW181/AO181*100-100))</f>
        <v>3.7196646677459313</v>
      </c>
      <c r="AY181" s="103">
        <f>SUM(AY179:AY180)</f>
        <v>139069</v>
      </c>
      <c r="AZ181" s="72">
        <f>IF(ISERROR(AY181/AQ181),"NA",IF(OR(AY181/AQ181&gt;2,AY181/AQ181&lt;0.5),"NM",AY181/AQ181*100-100))</f>
        <v>5.6554605887939147</v>
      </c>
      <c r="BA181" s="103">
        <f>SUM(BA179:BA180)</f>
        <v>138450</v>
      </c>
      <c r="BB181" s="72">
        <f>IF(ISERROR(BA181/AS181),"NA",IF(OR(BA181/AS181&gt;2,BA181/AS181&lt;0.5),"NM",BA181/AS181*100-100))</f>
        <v>3.3648641586346457</v>
      </c>
      <c r="BC181" s="103">
        <f>SUM(BC179:BC180)</f>
        <v>142832</v>
      </c>
      <c r="BD181" s="72">
        <f>IF(ISERROR(BC181/AU181),"NA",IF(OR(BC181/AU181&gt;2,BC181/AU181&lt;0.5),"NM",BC181/AU181*100-100))</f>
        <v>4.0639981348448799</v>
      </c>
      <c r="BE181" s="103">
        <f>SUM(BE179:BE180)</f>
        <v>147699</v>
      </c>
      <c r="BF181" s="72">
        <f>IF(ISERROR(BE181/AW181),"NA",IF(OR(BE181/AW181&gt;2,BE181/AW181&lt;0.5),"NM",BE181/AW181*100-100))</f>
        <v>8.2321474370717738</v>
      </c>
      <c r="BG181" s="103">
        <f>SUM(BG179:BG180)</f>
        <v>150219</v>
      </c>
      <c r="BH181" s="72">
        <f>IF(ISERROR(BG181/AY181),"NA",IF(OR(BG181/AY181&gt;2,BG181/AY181&lt;0.5),"NM",BG181/AY181*100-100))</f>
        <v>8.0176027727243451</v>
      </c>
      <c r="BI181" s="103">
        <f>SUM(BI179:BI180)</f>
        <v>154959</v>
      </c>
      <c r="BJ181" s="72">
        <f>IF(ISERROR(BI181/BA181),"NA",IF(OR(BI181/BA181&gt;2,BI181/BA181&lt;0.5),"NM",BI181/BA181*100-100))</f>
        <v>11.924160346695572</v>
      </c>
      <c r="BK181" s="103">
        <f>SUM(BK179:BK180)</f>
        <v>157228</v>
      </c>
      <c r="BL181" s="72">
        <f>IF(ISERROR(BK181/BC181),"NA",IF(OR(BK181/BC181&gt;2,BK181/BC181&lt;0.5),"NM",BK181/BC181*100-100))</f>
        <v>10.078973899406279</v>
      </c>
      <c r="BM181" s="103">
        <f>SUM(BM179:BM180)</f>
        <v>163783</v>
      </c>
      <c r="BN181" s="72">
        <f>IF(ISERROR(BM181/BE181),"NA",IF(OR(BM181/BE181&gt;2,BM181/BE181&lt;0.5),"NM",BM181/BE181*100-100))</f>
        <v>10.889714893127248</v>
      </c>
      <c r="BO181" s="103">
        <f>SUM(BO179:BO180)</f>
        <v>158727</v>
      </c>
      <c r="BP181" s="72">
        <f>IF(ISERROR(BO181/BG181),"NA",IF(OR(BO181/BG181&gt;2,BO181/BG181&lt;0.5),"NM",BO181/BG181*100-100))</f>
        <v>5.6637309528089048</v>
      </c>
      <c r="BQ181" s="103">
        <f>SUM(BQ179:BQ180)</f>
        <v>158430</v>
      </c>
      <c r="BR181" s="72">
        <f>IF(ISERROR(BQ181/BI181),"NA",IF(OR(BQ181/BI181&gt;2,BQ181/BI181&lt;0.5),"NM",BQ181/BI181*100-100))</f>
        <v>2.2399473409095378</v>
      </c>
      <c r="BS181" s="103">
        <f>SUM(BS179:BS180)</f>
        <v>150504</v>
      </c>
      <c r="BT181" s="72">
        <f>IF(ISERROR(BS181/BK181),"NA",IF(OR(BS181/BK181&gt;2,BS181/BK181&lt;0.5),"NM",BS181/BK181*100-100))</f>
        <v>-4.2765919556313179</v>
      </c>
      <c r="BU181" s="103">
        <f>SUM(BU179:BU180)</f>
        <v>150229</v>
      </c>
      <c r="BV181" s="72">
        <f>IF(ISERROR(BU181/BM181),"NA",IF(OR(BU181/BM181&gt;2,BU181/BM181&lt;0.5),"NM",BU181/BM181*100-100))</f>
        <v>-8.2755841570859019</v>
      </c>
      <c r="BW181" s="103">
        <f>SUM(BW179:BW180)</f>
        <v>151189</v>
      </c>
      <c r="BX181" s="72">
        <f>IF(ISERROR(BW181/BO181),"NA",IF(OR(BW181/BO181&gt;2,BW181/BO181&lt;0.5),"NM",BW181/BO181*100-100))</f>
        <v>-4.7490345057866676</v>
      </c>
      <c r="BY181" s="103">
        <f>SUM(BY179:BY180)</f>
        <v>160425</v>
      </c>
      <c r="BZ181" s="72">
        <f>IF(ISERROR(BY181/BQ181),"NA",IF(OR(BY181/BQ181&gt;2,BY181/BQ181&lt;0.5),"NM",BY181/BQ181*100-100))</f>
        <v>1.2592312062109414</v>
      </c>
      <c r="CA181" s="103">
        <f>SUM(CA179:CA180)</f>
        <v>171893</v>
      </c>
      <c r="CB181" s="72">
        <f>IF(ISERROR(CA181/BS181),"NA",IF(OR(CA181/BS181&gt;2,CA181/BS181&lt;0.5),"NM",CA181/BS181*100-100))</f>
        <v>14.211582416414188</v>
      </c>
      <c r="CC181" s="103">
        <f>SUM(CC179:CC180)</f>
        <v>178253</v>
      </c>
      <c r="CD181" s="72">
        <f>IF(ISERROR(CC181/BU181),"NA",IF(OR(CC181/BU181&gt;2,CC181/BU181&lt;0.5),"NM",CC181/BU181*100-100))</f>
        <v>18.654187939745313</v>
      </c>
      <c r="CE181" s="103">
        <f>SUM(CE179:CE180)</f>
        <v>183915</v>
      </c>
      <c r="CF181" s="72">
        <f>IF(ISERROR(CE181/BW181),"NA",IF(OR(CE181/BW181&gt;2,CE181/BW181&lt;0.5),"NM",CE181/BW181*100-100))</f>
        <v>21.645754651462738</v>
      </c>
      <c r="CG181" s="103">
        <f>SUM(CG179:CG180)</f>
        <v>181141</v>
      </c>
      <c r="CH181" s="72">
        <f>IF(ISERROR(CG181/BY181),"NA",IF(OR(CG181/BY181&gt;2,CG181/BY181&lt;0.5),"NM",CG181/BY181*100-100))</f>
        <v>12.913199314321332</v>
      </c>
      <c r="CI181" s="103">
        <f>SUM(CI179:CI180)</f>
        <v>194310</v>
      </c>
      <c r="CJ181" s="72">
        <f>IF(ISERROR(CI181/CA181),"NA",IF(OR(CI181/CA181&gt;2,CI181/CA181&lt;0.5),"NM",CI181/CA181*100-100))</f>
        <v>13.04125240702065</v>
      </c>
      <c r="CK181" s="103">
        <f>SUM(CK179:CK180)</f>
        <v>205496</v>
      </c>
      <c r="CL181" s="72">
        <f>IF(ISERROR(CK181/CC181),"NA",IF(OR(CK181/CC181&gt;2,CK181/CC181&lt;0.5),"NM",CK181/CC181*100-100))</f>
        <v>15.283333239833269</v>
      </c>
      <c r="CM181" s="103">
        <f>SUM(CM179:CM180)</f>
        <v>214869</v>
      </c>
      <c r="CN181" s="72">
        <f>IF(ISERROR(CM181/CE181),"NA",IF(OR(CM181/CE181&gt;2,CM181/CE181&lt;0.5),"NM",CM181/CE181*100-100))</f>
        <v>16.830601092896174</v>
      </c>
      <c r="CO181" s="103">
        <f>SUM(CO179:CO180)</f>
        <v>220711</v>
      </c>
      <c r="CP181" s="72">
        <f>IF(ISERROR(CO181/CG181),"NA",IF(OR(CO181/CG181&gt;2,CO181/CG181&lt;0.5),"NM",CO181/CG181*100-100))</f>
        <v>21.844861185485343</v>
      </c>
      <c r="CQ181" s="103">
        <f>SUM(CQ179:CQ180)</f>
        <v>214711</v>
      </c>
      <c r="CR181" s="72">
        <f>IF(ISERROR(CQ181/CI181),"NA",IF(OR(CQ181/CI181&gt;2,CQ181/CI181&lt;0.5),"NM",CQ181/CI181*100-100))</f>
        <v>10.499202305594153</v>
      </c>
      <c r="CS181" s="103">
        <f>SUM(CS179:CS180)</f>
        <v>229519</v>
      </c>
      <c r="CT181" s="72">
        <f>IF(ISERROR(CS181/CK181),"NA",IF(OR(CS181/CK181&gt;2,CS181/CK181&lt;0.5),"NM",CS181/CK181*100-100))</f>
        <v>11.690251878382057</v>
      </c>
      <c r="CU181" s="103">
        <f>SUM(CU179:CU180)</f>
        <v>239844</v>
      </c>
      <c r="CV181" s="72">
        <f>IF(ISERROR(CU181/CM181),"NA",IF(OR(CU181/CM181&gt;2,CU181/CM181&lt;0.5),"NM",CU181/CM181*100-100))</f>
        <v>11.623361210784239</v>
      </c>
      <c r="CW181" s="103">
        <f>SUM(CW179:CW180)</f>
        <v>244848</v>
      </c>
      <c r="CX181" s="72">
        <f>IF(ISERROR(CW181/CO181),"NA",IF(OR(CW181/CO181&gt;2,CW181/CO181&lt;0.5),"NM",CW181/CO181*100-100))</f>
        <v>10.936020406776279</v>
      </c>
      <c r="CY181" s="103">
        <f>SUM(CY179:CY180)</f>
        <v>251580</v>
      </c>
      <c r="CZ181" s="72">
        <f>IF(ISERROR(CY181/CQ181),"NA",IF(OR(CY181/CQ181&gt;2,CY181/CQ181&lt;0.5),"NM",CY181/CQ181*100-100))</f>
        <v>17.171453721514027</v>
      </c>
      <c r="DA181" s="103">
        <f>SUM(DA179:DA180)</f>
        <v>289840</v>
      </c>
      <c r="DB181" s="72">
        <f>IF(ISERROR(DA181/CS181),"NA",IF(OR(DA181/CS181&gt;2,DA181/CS181&lt;0.5),"NM",DA181/CS181*100-100))</f>
        <v>26.281484321559432</v>
      </c>
      <c r="DC181" s="103">
        <f>SUM(DC179:DC180)</f>
        <v>299391</v>
      </c>
      <c r="DD181" s="72">
        <f>IF(ISERROR(DC181/CU181),"NA",IF(OR(DC181/CU181&gt;2,DC181/CU181&lt;0.5),"NM",DC181/CU181*100-100))</f>
        <v>24.827387802071343</v>
      </c>
      <c r="DE181" s="103">
        <f>SUM(DE179:DE180)</f>
        <v>301839</v>
      </c>
      <c r="DF181" s="72">
        <f>IF(ISERROR(DE181/CW181),"NA",IF(OR(DE181/CW181&gt;2,DE181/CW181&lt;0.5),"NM",DE181/CW181*100-100))</f>
        <v>23.276073318957074</v>
      </c>
      <c r="DG181" s="103">
        <f>SUM(DG179:DG180)</f>
        <v>312464</v>
      </c>
      <c r="DH181" s="72">
        <f>IF(ISERROR(DG181/CY181),"NA",IF(OR(DG181/CY181&gt;2,DG181/CY181&lt;0.5),"NM",DG181/CY181*100-100))</f>
        <v>24.200651880117661</v>
      </c>
      <c r="DI181" s="103">
        <f>SUM(DI179:DI180)</f>
        <v>322904</v>
      </c>
      <c r="DJ181" s="72">
        <f>IF(ISERROR(DI181/DA181),"NA",IF(OR(DI181/DA181&gt;2,DI181/DA181&lt;0.5),"NM",DI181/DA181*100-100))</f>
        <v>11.407673199006354</v>
      </c>
      <c r="DK181" s="103">
        <f>SUM(DK179:DK180)</f>
        <v>327811</v>
      </c>
      <c r="DL181" s="72">
        <f>IF(ISERROR(DK181/DC181),"NA",IF(OR(DK181/DC181&gt;2,DK181/DC181&lt;0.5),"NM",DK181/DC181*100-100))</f>
        <v>9.4926033180690013</v>
      </c>
      <c r="DM181" s="103">
        <f>SUM(DM179:DM180)</f>
        <v>330548</v>
      </c>
      <c r="DN181" s="72">
        <f t="shared" si="1095"/>
        <v>9.5113620174994082</v>
      </c>
      <c r="DO181" s="103">
        <f>SUM(DO179:DO180)</f>
        <v>356061</v>
      </c>
      <c r="DP181" s="72">
        <f t="shared" si="1095"/>
        <v>13.952647344974139</v>
      </c>
      <c r="DQ181" s="103">
        <f>SUM(DQ179:DQ180)</f>
        <v>363837</v>
      </c>
      <c r="DR181" s="72">
        <f t="shared" si="1095"/>
        <v>12.67652305329139</v>
      </c>
      <c r="DS181" s="103">
        <f>SUM(DS179:DS180)</f>
        <v>365265</v>
      </c>
      <c r="DT181" s="72">
        <f t="shared" si="1095"/>
        <v>11.425486027009455</v>
      </c>
      <c r="DU181" s="103">
        <f>SUM(DU179:DU180)</f>
        <v>372605</v>
      </c>
      <c r="DV181" s="72">
        <f t="shared" si="1095"/>
        <v>12.723416871377239</v>
      </c>
      <c r="DW181" s="103">
        <f>SUM(DW179:DW180)</f>
        <v>366177</v>
      </c>
      <c r="DX181" s="72">
        <f t="shared" si="1095"/>
        <v>2.8410862183726948</v>
      </c>
      <c r="DY181" s="103">
        <f>SUM(DY179:DY180)</f>
        <v>368925</v>
      </c>
      <c r="DZ181" s="72">
        <f t="shared" si="1095"/>
        <v>1.3984284171208543</v>
      </c>
      <c r="EA181" s="103">
        <f>SUM(EA179:EA180)</f>
        <v>371772</v>
      </c>
      <c r="EB181" s="72">
        <f>IF(ISERROR(EA181/DS181),"NA",IF(OR(EA181/DS181&gt;2,EA181/DS181&lt;0.5),"NM",EA181/DS181*100-100))</f>
        <v>1.7814463471726043</v>
      </c>
      <c r="EC181" s="103">
        <f>SUM(EC179:EC180)</f>
        <v>374889</v>
      </c>
      <c r="ED181" s="72">
        <f>IF(ISERROR(EC181/DU181),"NA",IF(OR(EC181/DU181&gt;2,EC181/DU181&lt;0.5),"NM",EC181/DU181*100-100))</f>
        <v>0.61298157566322686</v>
      </c>
      <c r="EE181" s="103">
        <f>SUM(EE179:EE180)</f>
        <v>386700</v>
      </c>
      <c r="EF181" s="72">
        <f>IF(ISERROR(EE181/DW181),"NA",IF(OR(EE181/DW181&gt;2,EE181/DW181&lt;0.5),"NM",EE181/DW181*100-100))</f>
        <v>5.6046665956627493</v>
      </c>
      <c r="EG181" s="103">
        <f>SUM(EG179:EG180)</f>
        <v>386178</v>
      </c>
      <c r="EH181" s="72">
        <f>IF(ISERROR(EG181/DY181),"NA",IF(OR(EG181/DY181&gt;2,EG181/DY181&lt;0.5),"NM",EG181/DY181*100-100))</f>
        <v>4.676560276478952</v>
      </c>
      <c r="EI181" s="103">
        <f>SUM(EI179:EI180)</f>
        <v>395515</v>
      </c>
      <c r="EJ181" s="72">
        <f>IF(ISERROR(EI181/EA181),"NA",IF(OR(EI181/EA181&gt;2,EI181/EA181&lt;0.5),"NM",EI181/EA181*100-100))</f>
        <v>6.3864411521039841</v>
      </c>
      <c r="EK181" s="103">
        <f>SUM(EK179:EK180)</f>
        <v>401341</v>
      </c>
      <c r="EL181" s="72">
        <f>IF(ISERROR(EK181/EC181),"NA",IF(OR(EK181/EC181&gt;2,EK181/EC181&lt;0.5),"NM",EK181/EC181*100-100))</f>
        <v>7.0559552294145789</v>
      </c>
      <c r="EM181" s="103">
        <f>SUM(EM179:EM180)</f>
        <v>415837</v>
      </c>
      <c r="EN181" s="72">
        <f>IF(ISERROR(EM181/EE181),"NA",IF(OR(EM181/EE181&gt;2,EM181/EE181&lt;0.5),"NM",EM181/EE181*100-100))</f>
        <v>7.5347814843547951</v>
      </c>
      <c r="EO181" s="103">
        <f>SUM(EO179:EO180)</f>
        <v>429108</v>
      </c>
      <c r="EP181" s="72">
        <f>IF(ISERROR(EO181/EG181),"NA",IF(OR(EO181/EG181&gt;2,EO181/EG181&lt;0.5),"NM",EO181/EG181*100-100))</f>
        <v>11.116635333965164</v>
      </c>
      <c r="EQ181" s="100">
        <f t="shared" ref="EQ181" si="1110">SUM(EQ179:EQ180)</f>
        <v>427655.41109718953</v>
      </c>
      <c r="ER181" s="72">
        <f t="shared" si="1097"/>
        <v>8.1262179935500711</v>
      </c>
      <c r="ES181" s="100">
        <f t="shared" ref="ES181" si="1111">SUM(ES179:ES180)</f>
        <v>432138.21294080821</v>
      </c>
      <c r="ET181" s="72">
        <f t="shared" si="1099"/>
        <v>7.6735775664106711</v>
      </c>
      <c r="EU181" s="100">
        <f t="shared" ref="EU181" si="1112">SUM(EU179:EU180)</f>
        <v>436669.40364964632</v>
      </c>
      <c r="EV181" s="72">
        <f t="shared" si="1101"/>
        <v>5.0097522946843043</v>
      </c>
      <c r="EW181" s="100">
        <f t="shared" ref="EW181" si="1113">SUM(EW179:EW180)</f>
        <v>441249.51931187615</v>
      </c>
      <c r="EX181" s="72">
        <f t="shared" si="1103"/>
        <v>2.8294786654819148</v>
      </c>
      <c r="EY181" s="72"/>
      <c r="EZ181" s="306"/>
      <c r="FA181" s="72"/>
      <c r="FB181" s="103"/>
      <c r="FC181" s="72"/>
      <c r="FD181" s="74" t="s">
        <v>476</v>
      </c>
      <c r="FE181" s="72" t="str">
        <f>IF(ISERROR(FD181/FB181),"NA",IF(OR(FD181/FB181&gt;2,FD181/FB181&lt;0.5),"NM",FD181/FB181*100-100))</f>
        <v>NA</v>
      </c>
      <c r="FF181" s="74" t="s">
        <v>476</v>
      </c>
      <c r="FG181" s="72" t="str">
        <f>IF(ISERROR(FF181/FD181),"NA",IF(OR(FF181/FD181&gt;2,FF181/FD181&lt;0.5),"NM",FF181/FD181*100-100))</f>
        <v>NA</v>
      </c>
      <c r="FH181" s="103">
        <f>+FH169</f>
        <v>41577</v>
      </c>
      <c r="FI181" s="72" t="str">
        <f>IF(ISERROR(FH181/FF181),"NA",IF(OR(FH181/FF181&gt;2,FH181/FF181&lt;0.5),"NM",FH181/FF181*100-100))</f>
        <v>NA</v>
      </c>
      <c r="FJ181" s="103">
        <f>+FJ169</f>
        <v>41577</v>
      </c>
      <c r="FK181" s="72">
        <f>IF(ISERROR(FJ181/FH181),"NA",IF(OR(FJ181/FH181&gt;2,FJ181/FH181&lt;0.5),"NM",FJ181/FH181*100-100))</f>
        <v>0</v>
      </c>
      <c r="FL181" s="103">
        <f>+FL169</f>
        <v>41577</v>
      </c>
      <c r="FM181" s="72">
        <f>IF(ISERROR(FL181/FJ181),"NA",IF(OR(FL181/FJ181&gt;2,FL181/FJ181&lt;0.5),"NM",FL181/FJ181*100-100))</f>
        <v>0</v>
      </c>
      <c r="FN181" s="103">
        <f>SUM(FN179:FN180)</f>
        <v>131571</v>
      </c>
      <c r="FO181" s="72" t="str">
        <f>IF(ISERROR(FN181/FL181),"NA",IF(OR(FN181/FL181&gt;2,FN181/FL181&lt;0.5),"NM",FN181/FL181*100-100))</f>
        <v>NM</v>
      </c>
      <c r="FP181" s="103">
        <f>SUM(FP179:FP180)</f>
        <v>136465</v>
      </c>
      <c r="FQ181" s="72">
        <f>IF(ISERROR(FP181/FN181),"NA",IF(OR(FP181/FN181&gt;2,FP181/FN181&lt;0.5),"NM",FP181/FN181*100-100))</f>
        <v>3.7196646677459313</v>
      </c>
      <c r="FR181" s="100">
        <f>SUM(FR179:FR180)</f>
        <v>147699</v>
      </c>
      <c r="FS181" s="72">
        <f>IF(ISERROR(FR181/FP181),"NA",IF(OR(FR181/FP181&gt;2,FR181/FP181&lt;0.5),"NM",FR181/FP181*100-100))</f>
        <v>8.2321474370717738</v>
      </c>
      <c r="FT181" s="100">
        <f>SUM(FT179:FT180)</f>
        <v>163783</v>
      </c>
      <c r="FU181" s="72">
        <f>IF(ISERROR(FT181/FR181),"NA",IF(OR(FT181/FR181&gt;2,FT181/FR181&lt;0.5),"NM",FT181/FR181*100-100))</f>
        <v>10.889714893127248</v>
      </c>
      <c r="FV181" s="100">
        <f>SUM(FV179:FV180)</f>
        <v>150229</v>
      </c>
      <c r="FW181" s="72">
        <f>IF(ISERROR(FV181/FT181),"NA",IF(OR(FV181/FT181&gt;2,FV181/FT181&lt;0.5),"NM",FV181/FT181*100-100))</f>
        <v>-8.2755841570859019</v>
      </c>
      <c r="FX181" s="100">
        <f>SUM(FX179:FX180)</f>
        <v>178253</v>
      </c>
      <c r="FY181" s="72">
        <f>IF(ISERROR(FX181/FV181),"NA",IF(OR(FX181/FV181&gt;2,FX181/FV181&lt;0.5),"NM",FX181/FV181*100-100))</f>
        <v>18.654187939745313</v>
      </c>
      <c r="FZ181" s="100">
        <f>SUM(FZ179:FZ180)</f>
        <v>205496</v>
      </c>
      <c r="GA181" s="72">
        <f>IF(ISERROR(FZ181/FX181),"NA",IF(OR(FZ181/FX181&gt;2,FZ181/FX181&lt;0.5),"NM",FZ181/FX181*100-100))</f>
        <v>15.283333239833269</v>
      </c>
      <c r="GB181" s="100">
        <f>SUM(GB179:GB180)</f>
        <v>229519</v>
      </c>
      <c r="GC181" s="72">
        <f>IF(ISERROR(GB181/FZ181),"NA",IF(OR(GB181/FZ181&gt;2,GB181/FZ181&lt;0.5),"NM",GB181/FZ181*100-100))</f>
        <v>11.690251878382057</v>
      </c>
      <c r="GD181" s="100">
        <f>SUM(GD179:GD180)</f>
        <v>289840</v>
      </c>
      <c r="GE181" s="72">
        <f>IF(ISERROR(GD181/GB181),"NA",IF(OR(GD181/GB181&gt;2,GD181/GB181&lt;0.5),"NM",GD181/GB181*100-100))</f>
        <v>26.281484321559432</v>
      </c>
      <c r="GF181" s="100">
        <f>SUM(GF179:GF180)</f>
        <v>322904</v>
      </c>
      <c r="GG181" s="72">
        <f>IF(ISERROR(GF181/GD181),"NA",IF(OR(GF181/GD181&gt;2,GF181/GD181&lt;0.5),"NM",GF181/GD181*100-100))</f>
        <v>11.407673199006354</v>
      </c>
      <c r="GH181" s="100">
        <f>SUM(GH179:GH180)</f>
        <v>363837</v>
      </c>
      <c r="GI181" s="72">
        <f t="shared" si="1104"/>
        <v>12.67652305329139</v>
      </c>
      <c r="GJ181" s="100">
        <f>SUM(GJ179:GJ180)</f>
        <v>368925</v>
      </c>
      <c r="GK181" s="72">
        <f t="shared" si="1104"/>
        <v>1.3984284171208543</v>
      </c>
      <c r="GL181" s="100">
        <f>SUM(GL179:GL180)</f>
        <v>386178</v>
      </c>
      <c r="GM181" s="72">
        <f t="shared" si="1104"/>
        <v>4.676560276478952</v>
      </c>
      <c r="GN181" s="100">
        <f>SUM(GN179:GN180)</f>
        <v>429108</v>
      </c>
      <c r="GO181" s="72">
        <f t="shared" si="1104"/>
        <v>11.116635333965164</v>
      </c>
      <c r="GP181" s="100">
        <f>SUM(GP179:GP180)</f>
        <v>441249.51931187621</v>
      </c>
      <c r="GQ181" s="72">
        <f t="shared" si="1104"/>
        <v>2.8294786654819291</v>
      </c>
      <c r="GR181" s="100">
        <f>SUM(GR179:GR180)</f>
        <v>458919.93412336602</v>
      </c>
      <c r="GS181" s="72">
        <f t="shared" si="1104"/>
        <v>4.0046309487309202</v>
      </c>
      <c r="GT181" s="100">
        <f>SUM(GT179:GT180)</f>
        <v>477311.26835016254</v>
      </c>
      <c r="GU181" s="72">
        <f t="shared" si="1104"/>
        <v>4.0075256835220756</v>
      </c>
      <c r="GV181" s="100">
        <f>SUM(GV179:GV180)</f>
        <v>496453.4419716064</v>
      </c>
      <c r="GW181" s="72">
        <f>IF(ISERROR(GV181/GT181),"NA",IF(OR(GV181/GT181&gt;2,GV181/GT181&lt;0.5),"NM",GV181/GT181*100-100))</f>
        <v>4.0104172875719399</v>
      </c>
      <c r="GX181" s="100">
        <f>SUM(GX179:GX180)</f>
        <v>516377.63577738788</v>
      </c>
      <c r="GY181" s="72">
        <f>IF(ISERROR(GX181/GV181),"NA",IF(OR(GX181/GV181&gt;2,GX181/GV181&lt;0.5),"NM",GX181/GV181*100-100))</f>
        <v>4.013305603573798</v>
      </c>
      <c r="GZ181" s="72">
        <f t="shared" si="1105"/>
        <v>3.7719941973045401</v>
      </c>
      <c r="HA181" s="72"/>
      <c r="HB181" s="72"/>
      <c r="HC181"/>
      <c r="HD181"/>
      <c r="HE181"/>
      <c r="HF181"/>
      <c r="HG181"/>
      <c r="HH181"/>
      <c r="HI181" s="2"/>
    </row>
    <row r="182" spans="1:217" s="111" customFormat="1" ht="12.75" customHeight="1" x14ac:dyDescent="0.2">
      <c r="B182" s="18" t="s">
        <v>601</v>
      </c>
      <c r="C182" s="103"/>
      <c r="D182" s="72"/>
      <c r="E182" s="103"/>
      <c r="F182" s="72"/>
      <c r="G182" s="103"/>
      <c r="H182" s="72"/>
      <c r="I182" s="103"/>
      <c r="J182" s="72"/>
      <c r="K182" s="103"/>
      <c r="L182" s="72"/>
      <c r="M182" s="103"/>
      <c r="N182" s="72"/>
      <c r="O182" s="103"/>
      <c r="P182" s="72"/>
      <c r="Q182" s="103"/>
      <c r="R182" s="72"/>
      <c r="S182" s="103"/>
      <c r="T182" s="72"/>
      <c r="U182" s="103"/>
      <c r="V182" s="72"/>
      <c r="W182" s="103"/>
      <c r="X182" s="72"/>
      <c r="Y182" s="103"/>
      <c r="Z182" s="72"/>
      <c r="AA182" s="103"/>
      <c r="AB182" s="72"/>
      <c r="AC182" s="103"/>
      <c r="AD182" s="72"/>
      <c r="AE182" s="103"/>
      <c r="AF182" s="72"/>
      <c r="AG182" s="103"/>
      <c r="AH182" s="72"/>
      <c r="AI182" s="103">
        <f>AVERAGE(AI169,AI153)</f>
        <v>36343</v>
      </c>
      <c r="AJ182" s="72" t="str">
        <f>IF(ISERROR(AI182/AA182),"NA",IF(OR(AI182/AA182&gt;2,AI182/AA182&lt;0.5),"NM",AI182/AA182*100-100))</f>
        <v>NA</v>
      </c>
      <c r="AK182" s="103">
        <f>AVERAGE(AK169,AK153)</f>
        <v>63007</v>
      </c>
      <c r="AL182" s="72" t="str">
        <f>IF(ISERROR(AK182/AC182),"NA",IF(OR(AK182/AC182&gt;2,AK182/AC182&lt;0.5),"NM",AK182/AC182*100-100))</f>
        <v>NA</v>
      </c>
      <c r="AM182" s="103">
        <f>AVERAGE(AM169,AM153)</f>
        <v>63054</v>
      </c>
      <c r="AN182" s="72"/>
      <c r="AO182" s="103">
        <f>AVERAGE(AO169,AO153)</f>
        <v>65785.5</v>
      </c>
      <c r="AP182" s="72" t="str">
        <f>IF(ISERROR(AO182/AG182),"NA",IF(OR(AO182/AG182&gt;2,AO182/AG182&lt;0.5),"NM",AO182/AG182*100-100))</f>
        <v>NA</v>
      </c>
      <c r="AQ182" s="103">
        <f>AQ170+AQ154</f>
        <v>131598</v>
      </c>
      <c r="AR182" s="72" t="str">
        <f>IF(ISERROR(AQ182/AI182),"NA",IF(OR(AQ182/AI182&gt;2,AQ182/AI182&lt;0.5),"NM",AQ182/AI182*100-100))</f>
        <v>NM</v>
      </c>
      <c r="AS182" s="103">
        <f>AS170+AS154</f>
        <v>132784</v>
      </c>
      <c r="AT182" s="72" t="str">
        <f>IF(ISERROR(AS182/AK182),"NA",IF(OR(AS182/AK182&gt;2,AS182/AK182&lt;0.5),"NM",AS182/AK182*100-100))</f>
        <v>NM</v>
      </c>
      <c r="AU182" s="103">
        <f>AU170+AU154</f>
        <v>135598.5</v>
      </c>
      <c r="AV182" s="72" t="str">
        <f>IF(ISERROR(AU182/AM182),"NA",IF(OR(AU182/AM182&gt;2,AU182/AM182&lt;0.5),"NM",AU182/AM182*100-100))</f>
        <v>NM</v>
      </c>
      <c r="AW182" s="103">
        <f>AW170+AW154</f>
        <v>136859.5</v>
      </c>
      <c r="AX182" s="72" t="str">
        <f>IF(ISERROR(AW182/AO182),"NA",IF(OR(AW182/AO182&gt;2,AW182/AO182&lt;0.5),"NM",AW182/AO182*100-100))</f>
        <v>NM</v>
      </c>
      <c r="AY182" s="103">
        <f>AY170+AY154</f>
        <v>137767</v>
      </c>
      <c r="AZ182" s="72">
        <f>IF(ISERROR(AY182/AQ182),"NA",IF(OR(AY182/AQ182&gt;2,AY182/AQ182&lt;0.5),"NM",AY182/AQ182*100-100))</f>
        <v>4.6877612121764685</v>
      </c>
      <c r="BA182" s="103">
        <f>BA170+BA154</f>
        <v>138759.5</v>
      </c>
      <c r="BB182" s="72">
        <f>IF(ISERROR(BA182/AS182),"NA",IF(OR(BA182/AS182&gt;2,BA182/AS182&lt;0.5),"NM",BA182/AS182*100-100))</f>
        <v>4.5001656826123622</v>
      </c>
      <c r="BC182" s="103">
        <f>BC170+BC154</f>
        <v>140641</v>
      </c>
      <c r="BD182" s="72">
        <f>IF(ISERROR(BC182/AU182),"NA",IF(OR(BC182/AU182&gt;2,BC182/AU182&lt;0.5),"NM",BC182/AU182*100-100))</f>
        <v>3.7186989531595032</v>
      </c>
      <c r="BE182" s="103">
        <f>BE170+BE154</f>
        <v>145265.5</v>
      </c>
      <c r="BF182" s="72">
        <f>IF(ISERROR(BE182/AW182),"NA",IF(OR(BE182/AW182&gt;2,BE182/AW182&lt;0.5),"NM",BE182/AW182*100-100))</f>
        <v>6.1420654028401458</v>
      </c>
      <c r="BG182" s="103">
        <f>BG170+BG154</f>
        <v>148959</v>
      </c>
      <c r="BH182" s="72">
        <f>IF(ISERROR(BG182/AY182),"NA",IF(OR(BG182/AY182&gt;2,BG182/AY182&lt;0.5),"NM",BG182/AY182*100-100))</f>
        <v>8.12386130205347</v>
      </c>
      <c r="BI182" s="103">
        <f>BI170+BI154</f>
        <v>152589</v>
      </c>
      <c r="BJ182" s="72">
        <f>IF(ISERROR(BI182/BA182),"NA",IF(OR(BI182/BA182&gt;2,BI182/BA182&lt;0.5),"NM",BI182/BA182*100-100))</f>
        <v>9.9665248145172143</v>
      </c>
      <c r="BK182" s="103">
        <f>BK170+BK154</f>
        <v>156093.5</v>
      </c>
      <c r="BL182" s="72">
        <f>IF(ISERROR(BK182/BC182),"NA",IF(OR(BK182/BC182&gt;2,BK182/BC182&lt;0.5),"NM",BK182/BC182*100-100))</f>
        <v>10.987194345887758</v>
      </c>
      <c r="BM182" s="103">
        <f>BM170+BM154</f>
        <v>160505.5</v>
      </c>
      <c r="BN182" s="72">
        <f>IF(ISERROR(BM182/BE182),"NA",IF(OR(BM182/BE182&gt;2,BM182/BE182&lt;0.5),"NM",BM182/BE182*100-100))</f>
        <v>10.491135197276719</v>
      </c>
      <c r="BO182" s="103">
        <f>BO170+BO154</f>
        <v>161255</v>
      </c>
      <c r="BP182" s="72">
        <f>IF(ISERROR(BO182/BG182),"NA",IF(OR(BO182/BG182&gt;2,BO182/BG182&lt;0.5),"NM",BO182/BG182*100-100))</f>
        <v>8.2546203989017073</v>
      </c>
      <c r="BQ182" s="103">
        <f>BQ170+BQ154</f>
        <v>158578.5</v>
      </c>
      <c r="BR182" s="72">
        <f>IF(ISERROR(BQ182/BI182),"NA",IF(OR(BQ182/BI182&gt;2,BQ182/BI182&lt;0.5),"NM",BQ182/BI182*100-100))</f>
        <v>3.9252501818610739</v>
      </c>
      <c r="BS182" s="103">
        <f>BS170+BS154</f>
        <v>154467</v>
      </c>
      <c r="BT182" s="72">
        <f>IF(ISERROR(BS182/BK182),"NA",IF(OR(BS182/BK182&gt;2,BS182/BK182&lt;0.5),"NM",BS182/BK182*100-100))</f>
        <v>-1.0420036708767384</v>
      </c>
      <c r="BU182" s="103">
        <f>BU170+BU154</f>
        <v>150366.5</v>
      </c>
      <c r="BV182" s="72">
        <f>IF(ISERROR(BU182/BM182),"NA",IF(OR(BU182/BM182&gt;2,BU182/BM182&lt;0.5),"NM",BU182/BM182*100-100))</f>
        <v>-6.316917488808798</v>
      </c>
      <c r="BW182" s="103">
        <f>BW170+BW154</f>
        <v>150709</v>
      </c>
      <c r="BX182" s="72">
        <f>IF(ISERROR(BW182/BO182),"NA",IF(OR(BW182/BO182&gt;2,BW182/BO182&lt;0.5),"NM",BW182/BO182*100-100))</f>
        <v>-6.539952249542651</v>
      </c>
      <c r="BY182" s="103">
        <f>BY170+BY154</f>
        <v>155807</v>
      </c>
      <c r="BZ182" s="72">
        <f>IF(ISERROR(BY182/BQ182),"NA",IF(OR(BY182/BQ182&gt;2,BY182/BQ182&lt;0.5),"NM",BY182/BQ182*100-100))</f>
        <v>-1.7477148541573939</v>
      </c>
      <c r="CA182" s="103">
        <f>CA170+CA154</f>
        <v>166159</v>
      </c>
      <c r="CB182" s="72">
        <f>IF(ISERROR(CA182/BS182),"NA",IF(OR(CA182/BS182&gt;2,CA182/BS182&lt;0.5),"NM",CA182/BS182*100-100))</f>
        <v>7.5692542743757656</v>
      </c>
      <c r="CC182" s="103">
        <f>CC170+CC154</f>
        <v>175073</v>
      </c>
      <c r="CD182" s="72">
        <f>IF(ISERROR(CC182/BU182),"NA",IF(OR(CC182/BU182&gt;2,CC182/BU182&lt;0.5),"NM",CC182/BU182*100-100))</f>
        <v>16.430853946856502</v>
      </c>
      <c r="CE182" s="103">
        <f>CE170+CE154</f>
        <v>181084</v>
      </c>
      <c r="CF182" s="72">
        <f>IF(ISERROR(CE182/BW182),"NA",IF(OR(CE182/BW182&gt;2,CE182/BW182&lt;0.5),"NM",CE182/BW182*100-100))</f>
        <v>20.154735284555002</v>
      </c>
      <c r="CG182" s="103">
        <f>CG170+CG154</f>
        <v>182528</v>
      </c>
      <c r="CH182" s="72">
        <f>IF(ISERROR(CG182/BY182),"NA",IF(OR(CG182/BY182&gt;2,CG182/BY182&lt;0.5),"NM",CG182/BY182*100-100))</f>
        <v>17.150063861058882</v>
      </c>
      <c r="CI182" s="103">
        <f>CI170+CI154</f>
        <v>187725.5</v>
      </c>
      <c r="CJ182" s="72">
        <f>IF(ISERROR(CI182/CA182),"NA",IF(OR(CI182/CA182&gt;2,CI182/CA182&lt;0.5),"NM",CI182/CA182*100-100))</f>
        <v>12.979435360106891</v>
      </c>
      <c r="CK182" s="103">
        <f>CK170+CK154</f>
        <v>199903</v>
      </c>
      <c r="CL182" s="72">
        <f>IF(ISERROR(CK182/CC182),"NA",IF(OR(CK182/CC182&gt;2,CK182/CC182&lt;0.5),"NM",CK182/CC182*100-100))</f>
        <v>14.182655235244738</v>
      </c>
      <c r="CM182" s="103">
        <f>CM170+CM154</f>
        <v>210182.5</v>
      </c>
      <c r="CN182" s="72">
        <f>IF(ISERROR(CM182/CE182),"NA",IF(OR(CM182/CE182&gt;2,CM182/CE182&lt;0.5),"NM",CM182/CE182*100-100))</f>
        <v>16.069061871838471</v>
      </c>
      <c r="CO182" s="103">
        <f>CO170+CO154</f>
        <v>217790</v>
      </c>
      <c r="CP182" s="72">
        <f>IF(ISERROR(CO182/CG182),"NA",IF(OR(CO182/CG182&gt;2,CO182/CG182&lt;0.5),"NM",CO182/CG182*100-100))</f>
        <v>19.31867987377278</v>
      </c>
      <c r="CQ182" s="103">
        <f>CQ170+CQ154</f>
        <v>217711</v>
      </c>
      <c r="CR182" s="72">
        <f>IF(ISERROR(CQ182/CI182),"NA",IF(OR(CQ182/CI182&gt;2,CQ182/CI182&lt;0.5),"NM",CQ182/CI182*100-100))</f>
        <v>15.973056404164595</v>
      </c>
      <c r="CS182" s="103">
        <f>CS170+CS154</f>
        <v>222115</v>
      </c>
      <c r="CT182" s="72">
        <f>IF(ISERROR(CS182/CK182),"NA",IF(OR(CS182/CK182&gt;2,CS182/CK182&lt;0.5),"NM",CS182/CK182*100-100))</f>
        <v>11.11138902367648</v>
      </c>
      <c r="CU182" s="103">
        <f>CU170+CU154</f>
        <v>234681.5</v>
      </c>
      <c r="CV182" s="72">
        <f>IF(ISERROR(CU182/CM182),"NA",IF(OR(CU182/CM182&gt;2,CU182/CM182&lt;0.5),"NM",CU182/CM182*100-100))</f>
        <v>11.656060804301021</v>
      </c>
      <c r="CW182" s="103">
        <f>CW170+CW154</f>
        <v>242346</v>
      </c>
      <c r="CX182" s="72">
        <f>IF(ISERROR(CW182/CO182),"NA",IF(OR(CW182/CO182&gt;2,CW182/CO182&lt;0.5),"NM",CW182/CO182*100-100))</f>
        <v>11.275081500528032</v>
      </c>
      <c r="CY182" s="103">
        <f>CY170+CY154</f>
        <v>248214</v>
      </c>
      <c r="CZ182" s="72">
        <f>IF(ISERROR(CY182/CQ182),"NA",IF(OR(CY182/CQ182&gt;2,CY182/CQ182&lt;0.5),"NM",CY182/CQ182*100-100))</f>
        <v>14.01077575317737</v>
      </c>
      <c r="DA182" s="103">
        <f>DA170+DA154</f>
        <v>270710</v>
      </c>
      <c r="DB182" s="72">
        <f>IF(ISERROR(DA182/CS182),"NA",IF(OR(DA182/CS182&gt;2,DA182/CS182&lt;0.5),"NM",DA182/CS182*100-100))</f>
        <v>21.878306282781452</v>
      </c>
      <c r="DC182" s="103">
        <f>DC170+DC154</f>
        <v>294615.5</v>
      </c>
      <c r="DD182" s="72">
        <f>IF(ISERROR(DC182/CU182),"NA",IF(OR(DC182/CU182&gt;2,DC182/CU182&lt;0.5),"NM",DC182/CU182*100-100))</f>
        <v>25.538442527425474</v>
      </c>
      <c r="DE182" s="103">
        <f>DE170+DE154</f>
        <v>300615</v>
      </c>
      <c r="DF182" s="72">
        <f>IF(ISERROR(DE182/CW182),"NA",IF(OR(DE182/CW182&gt;2,DE182/CW182&lt;0.5),"NM",DE182/CW182*100-100))</f>
        <v>24.043722611472845</v>
      </c>
      <c r="DG182" s="103">
        <f>DG170+DG154</f>
        <v>307151.5</v>
      </c>
      <c r="DH182" s="72">
        <f>IF(ISERROR(DG182/CY182),"NA",IF(OR(DG182/CY182&gt;2,DG182/CY182&lt;0.5),"NM",DG182/CY182*100-100))</f>
        <v>23.744631648496878</v>
      </c>
      <c r="DI182" s="103">
        <f>DI170+DI154</f>
        <v>317684</v>
      </c>
      <c r="DJ182" s="72">
        <f>IF(ISERROR(DI182/DA182),"NA",IF(OR(DI182/DA182&gt;2,DI182/DA182&lt;0.5),"NM",DI182/DA182*100-100))</f>
        <v>17.352148055114341</v>
      </c>
      <c r="DK182" s="103">
        <f>DK170+DK154</f>
        <v>325357.5</v>
      </c>
      <c r="DL182" s="72">
        <f>IF(ISERROR(DK182/DC182),"NA",IF(OR(DK182/DC182&gt;2,DK182/DC182&lt;0.5),"NM",DK182/DC182*100-100))</f>
        <v>10.43461732325693</v>
      </c>
      <c r="DM182" s="103">
        <f>DM170+DM154</f>
        <v>329179.5</v>
      </c>
      <c r="DN182" s="72">
        <f t="shared" si="1095"/>
        <v>9.5020208572426554</v>
      </c>
      <c r="DO182" s="103">
        <f>DO170+DO154</f>
        <v>343304.5</v>
      </c>
      <c r="DP182" s="72">
        <f t="shared" si="1095"/>
        <v>11.77041297210009</v>
      </c>
      <c r="DQ182" s="103">
        <f>DQ170+DQ154</f>
        <v>359949</v>
      </c>
      <c r="DR182" s="72">
        <f t="shared" si="1095"/>
        <v>13.304100930484381</v>
      </c>
      <c r="DS182" s="103">
        <f>DS170+DS154</f>
        <v>364551</v>
      </c>
      <c r="DT182" s="72">
        <f t="shared" si="1095"/>
        <v>12.046287545238712</v>
      </c>
      <c r="DU182" s="103">
        <f>DU170+DU154</f>
        <v>368935</v>
      </c>
      <c r="DV182" s="72">
        <f t="shared" si="1095"/>
        <v>12.07714939721339</v>
      </c>
      <c r="DW182" s="103">
        <f>DW170+DW154</f>
        <v>369391</v>
      </c>
      <c r="DX182" s="72">
        <f t="shared" si="1095"/>
        <v>7.5986478476105077</v>
      </c>
      <c r="DY182" s="103">
        <f>DY170+DY154</f>
        <v>367551</v>
      </c>
      <c r="DZ182" s="72">
        <f t="shared" si="1095"/>
        <v>2.1119658618304271</v>
      </c>
      <c r="EA182" s="103">
        <f>EA170+EA154</f>
        <v>360589.44999999995</v>
      </c>
      <c r="EB182" s="72">
        <f>IF(ISERROR(EA182/DS182),"NA",IF(OR(EA182/DS182&gt;2,EA182/DS182&lt;0.5),"NM",EA182/DS182*100-100))</f>
        <v>-1.0866929455686716</v>
      </c>
      <c r="EC182" s="103">
        <f>EC170+EC154</f>
        <v>373330.5</v>
      </c>
      <c r="ED182" s="72">
        <f>IF(ISERROR(EC182/DU182),"NA",IF(OR(EC182/DU182&gt;2,EC182/DU182&lt;0.5),"NM",EC182/DU182*100-100))</f>
        <v>1.1914022795343442</v>
      </c>
      <c r="EE182" s="103">
        <f>EE170+EE154</f>
        <v>380794.5</v>
      </c>
      <c r="EF182" s="72">
        <f>IF(ISERROR(EE182/DW182),"NA",IF(OR(EE182/DW182&gt;2,EE182/DW182&lt;0.5),"NM",EE182/DW182*100-100))</f>
        <v>3.0871082403198784</v>
      </c>
      <c r="EG182" s="103">
        <f>EG170+EG154</f>
        <v>386439</v>
      </c>
      <c r="EH182" s="72">
        <f>IF(ISERROR(EG182/DY182),"NA",IF(OR(EG182/DY182&gt;2,EG182/DY182&lt;0.5),"NM",EG182/DY182*100-100))</f>
        <v>5.138878686223137</v>
      </c>
      <c r="EI182" s="103">
        <f>EI170+EI154</f>
        <v>390846.5</v>
      </c>
      <c r="EJ182" s="72">
        <f>IF(ISERROR(EI182/EA182),"NA",IF(OR(EI182/EA182&gt;2,EI182/EA182&lt;0.5),"NM",EI182/EA182*100-100))</f>
        <v>8.3909970189089051</v>
      </c>
      <c r="EK182" s="103">
        <f>EK170+EK154</f>
        <v>398428</v>
      </c>
      <c r="EL182" s="72">
        <f>IF(ISERROR(EK182/EC182),"NA",IF(OR(EK182/EC182&gt;2,EK182/EC182&lt;0.5),"NM",EK182/EC182*100-100))</f>
        <v>6.7225956625563725</v>
      </c>
      <c r="EM182" s="103">
        <f>EM170+EM154</f>
        <v>408589</v>
      </c>
      <c r="EN182" s="72">
        <f>IF(ISERROR(EM182/EE182),"NA",IF(OR(EM182/EE182&gt;2,EM182/EE182&lt;0.5),"NM",EM182/EE182*100-100))</f>
        <v>7.2990812629909243</v>
      </c>
      <c r="EO182" s="103">
        <f>EO170+EO154</f>
        <v>422472.5</v>
      </c>
      <c r="EP182" s="72">
        <f>IF(ISERROR(EO182/EG182),"NA",IF(OR(EO182/EG182&gt;2,EO182/EG182&lt;0.5),"NM",EO182/EG182*100-100))</f>
        <v>9.3244988212887421</v>
      </c>
      <c r="EQ182" s="100">
        <f t="shared" ref="EQ182" si="1114">EQ170+EQ154</f>
        <v>428381.70554859476</v>
      </c>
      <c r="ER182" s="72">
        <f t="shared" si="1097"/>
        <v>9.6035670138007561</v>
      </c>
      <c r="ES182" s="100">
        <f t="shared" ref="ES182" si="1115">ES170+ES154</f>
        <v>429896.8120189989</v>
      </c>
      <c r="ET182" s="72">
        <f t="shared" si="1099"/>
        <v>7.8982431001332571</v>
      </c>
      <c r="EU182" s="100">
        <f t="shared" ref="EU182" si="1116">EU170+EU154</f>
        <v>434403.80829522724</v>
      </c>
      <c r="EV182" s="72">
        <f t="shared" si="1101"/>
        <v>6.3180380027918659</v>
      </c>
      <c r="EW182" s="100">
        <f t="shared" ref="EW182" si="1117">EW170+EW154</f>
        <v>438959.46148076124</v>
      </c>
      <c r="EX182" s="72">
        <f t="shared" si="1103"/>
        <v>3.9024934121774066</v>
      </c>
      <c r="EY182" s="72"/>
      <c r="EZ182" s="306"/>
      <c r="FA182" s="72"/>
      <c r="FB182" s="103">
        <f>FB170+FB154</f>
        <v>66273.5</v>
      </c>
      <c r="FC182" s="72"/>
      <c r="FD182" s="103">
        <f>FD170+FD154</f>
        <v>67316</v>
      </c>
      <c r="FE182" s="72">
        <f>IF(ISERROR(FD182/FB182),"NA",IF(OR(FD182/FB182&gt;2,FD182/FB182&lt;0.5),"NM",FD182/FB182*100-100))</f>
        <v>1.5730269262978425</v>
      </c>
      <c r="FF182" s="103">
        <f>FF170+FF154</f>
        <v>67584</v>
      </c>
      <c r="FG182" s="72">
        <f>IF(ISERROR(FF182/FD182),"NA",IF(OR(FF182/FD182&gt;2,FF182/FD182&lt;0.5),"NM",FF182/FD182*100-100))</f>
        <v>0.39812228890605184</v>
      </c>
      <c r="FH182" s="103">
        <f>FH170+FH154</f>
        <v>67623</v>
      </c>
      <c r="FI182" s="72">
        <f>IF(ISERROR(FH182/FF182),"NA",IF(OR(FH182/FF182&gt;2,FH182/FF182&lt;0.5),"NM",FH182/FF182*100-100))</f>
        <v>5.7705965909079282E-2</v>
      </c>
      <c r="FJ182" s="103">
        <f>FJ170+FJ154</f>
        <v>67623</v>
      </c>
      <c r="FK182" s="72">
        <f>IF(ISERROR(FJ182/FH182),"NA",IF(OR(FJ182/FH182&gt;2,FJ182/FH182&lt;0.5),"NM",FJ182/FH182*100-100))</f>
        <v>0</v>
      </c>
      <c r="FL182" s="103">
        <f>FL170+FL154</f>
        <v>67623</v>
      </c>
      <c r="FM182" s="72">
        <f>IF(ISERROR(FL182/FJ182),"NA",IF(OR(FL182/FJ182&gt;2,FL182/FJ182&lt;0.5),"NM",FL182/FJ182*100-100))</f>
        <v>0</v>
      </c>
      <c r="FN182" s="103">
        <f>FN170+FN154</f>
        <v>101889</v>
      </c>
      <c r="FO182" s="72">
        <f>IF(ISERROR(FN182/FL182),"NA",IF(OR(FN182/FL182&gt;2,FN182/FL182&lt;0.5),"NM",FN182/FL182*100-100))</f>
        <v>50.672108602102838</v>
      </c>
      <c r="FP182" s="103">
        <f>FP170+FP154</f>
        <v>134018</v>
      </c>
      <c r="FQ182" s="72">
        <f>IF(ISERROR(FP182/FN182),"NA",IF(OR(FP182/FN182&gt;2,FP182/FN182&lt;0.5),"NM",FP182/FN182*100-100))</f>
        <v>31.533335296253767</v>
      </c>
      <c r="FR182" s="100">
        <f>FR170+FR154</f>
        <v>142082</v>
      </c>
      <c r="FS182" s="72">
        <f>IF(ISERROR(FR182/FP182),"NA",IF(OR(FR182/FP182&gt;2,FR182/FP182&lt;0.5),"NM",FR182/FP182*100-100))</f>
        <v>6.0171021803041356</v>
      </c>
      <c r="FT182" s="100">
        <f>FT170+FT154</f>
        <v>155741</v>
      </c>
      <c r="FU182" s="72">
        <f>IF(ISERROR(FT182/FR182),"NA",IF(OR(FT182/FR182&gt;2,FT182/FR182&lt;0.5),"NM",FT182/FR182*100-100))</f>
        <v>9.6134626483298291</v>
      </c>
      <c r="FV182" s="100">
        <f>FV170+FV154</f>
        <v>157006</v>
      </c>
      <c r="FW182" s="72">
        <f>IF(ISERROR(FV182/FT182),"NA",IF(OR(FV182/FT182&gt;2,FV182/FT182&lt;0.5),"NM",FV182/FT182*100-100))</f>
        <v>0.81224597247995689</v>
      </c>
      <c r="FX182" s="100">
        <f>FX170+FX154</f>
        <v>164241</v>
      </c>
      <c r="FY182" s="72">
        <f>IF(ISERROR(FX182/FV182),"NA",IF(OR(FX182/FV182&gt;2,FX182/FV182&lt;0.5),"NM",FX182/FV182*100-100))</f>
        <v>4.6081041488860421</v>
      </c>
      <c r="FZ182" s="100">
        <f>FZ170+FZ154</f>
        <v>191874.5</v>
      </c>
      <c r="GA182" s="72">
        <f>IF(ISERROR(FZ182/FX182),"NA",IF(OR(FZ182/FX182&gt;2,FZ182/FX182&lt;0.5),"NM",FZ182/FX182*100-100))</f>
        <v>16.824970622438968</v>
      </c>
      <c r="GB182" s="100">
        <f>GB170+GB154</f>
        <v>217507.5</v>
      </c>
      <c r="GC182" s="72">
        <f>IF(ISERROR(GB182/FZ182),"NA",IF(OR(GB182/FZ182&gt;2,GB182/FZ182&lt;0.5),"NM",GB182/FZ182*100-100))</f>
        <v>13.359253053428148</v>
      </c>
      <c r="GD182" s="100">
        <f>GD170+GD154</f>
        <v>259679.5</v>
      </c>
      <c r="GE182" s="72">
        <f>IF(ISERROR(GD182/GB182),"NA",IF(OR(GD182/GB182&gt;2,GD182/GB182&lt;0.5),"NM",GD182/GB182*100-100))</f>
        <v>19.38875670953874</v>
      </c>
      <c r="GF182" s="100">
        <f>GF170+GF154</f>
        <v>306372</v>
      </c>
      <c r="GG182" s="72">
        <f>IF(ISERROR(GF182/GD182),"NA",IF(OR(GF182/GD182&gt;2,GF182/GD182&lt;0.5),"NM",GF182/GD182*100-100))</f>
        <v>17.980818663005735</v>
      </c>
      <c r="GH182" s="100">
        <f>GH170+GH154</f>
        <v>343370.5</v>
      </c>
      <c r="GI182" s="72">
        <f t="shared" si="1104"/>
        <v>12.076332040787022</v>
      </c>
      <c r="GJ182" s="100">
        <f>GJ170+GJ154</f>
        <v>366381</v>
      </c>
      <c r="GK182" s="72">
        <f t="shared" si="1104"/>
        <v>6.701361939945329</v>
      </c>
      <c r="GL182" s="100">
        <f>GL170+GL154</f>
        <v>377551.5</v>
      </c>
      <c r="GM182" s="72">
        <f t="shared" si="1104"/>
        <v>3.0488753510689719</v>
      </c>
      <c r="GN182" s="100">
        <f>GN170+GN154</f>
        <v>407643</v>
      </c>
      <c r="GO182" s="72">
        <f t="shared" si="1104"/>
        <v>7.9701709568098806</v>
      </c>
      <c r="GP182" s="100">
        <f>GP170+GP154</f>
        <v>435178.75965593808</v>
      </c>
      <c r="GQ182" s="72">
        <f t="shared" si="1104"/>
        <v>6.7548712122955834</v>
      </c>
      <c r="GR182" s="100">
        <f>GR170+GR154</f>
        <v>450084.72671762109</v>
      </c>
      <c r="GS182" s="72">
        <f t="shared" si="1104"/>
        <v>3.4252515158294869</v>
      </c>
      <c r="GT182" s="100">
        <f>GT170+GT154</f>
        <v>468115.60123676428</v>
      </c>
      <c r="GU182" s="72">
        <f t="shared" si="1104"/>
        <v>4.0061067280906713</v>
      </c>
      <c r="GV182" s="100">
        <f>GV170+GV154</f>
        <v>486882.35516088444</v>
      </c>
      <c r="GW182" s="72">
        <f>IF(ISERROR(GV182/GT182),"NA",IF(OR(GV182/GT182&gt;2,GV182/GT182&lt;0.5),"NM",GV182/GT182*100-100))</f>
        <v>4.0089998868950971</v>
      </c>
      <c r="GX182" s="100">
        <f>GX170+GX154</f>
        <v>506415.53887449717</v>
      </c>
      <c r="GY182" s="72">
        <f>IF(ISERROR(GX182/GV182),"NA",IF(OR(GX182/GV182&gt;2,GX182/GV182&lt;0.5),"NM",GX182/GV182*100-100))</f>
        <v>4.011889834692866</v>
      </c>
      <c r="GZ182" s="72">
        <f t="shared" si="1105"/>
        <v>4.4348402642053975</v>
      </c>
      <c r="HA182" s="72"/>
      <c r="HB182" s="72"/>
      <c r="HC182"/>
      <c r="HD182"/>
      <c r="HE182"/>
      <c r="HF182"/>
      <c r="HG182"/>
      <c r="HH182"/>
      <c r="HI182" s="2"/>
    </row>
    <row r="183" spans="1:217" ht="12.75" customHeight="1" x14ac:dyDescent="0.2">
      <c r="B183" s="4"/>
      <c r="C183" s="104"/>
      <c r="D183" s="72"/>
      <c r="E183" s="104"/>
      <c r="F183" s="72"/>
      <c r="G183" s="104"/>
      <c r="H183" s="72"/>
      <c r="I183" s="104"/>
      <c r="J183" s="72"/>
      <c r="K183" s="104"/>
      <c r="L183" s="72"/>
      <c r="M183" s="104"/>
      <c r="N183" s="72"/>
      <c r="O183" s="104"/>
      <c r="P183" s="72"/>
      <c r="Q183" s="104"/>
      <c r="R183" s="72"/>
      <c r="S183" s="104"/>
      <c r="T183" s="72"/>
      <c r="U183" s="104"/>
      <c r="V183" s="72"/>
      <c r="W183" s="104"/>
      <c r="X183" s="72"/>
      <c r="Y183" s="104"/>
      <c r="Z183" s="72"/>
      <c r="AA183" s="104"/>
      <c r="AB183" s="72"/>
      <c r="AC183" s="104"/>
      <c r="AD183" s="72"/>
      <c r="AE183" s="104"/>
      <c r="AF183" s="72"/>
      <c r="AG183" s="104"/>
      <c r="AH183" s="72"/>
      <c r="AI183" s="104"/>
      <c r="AJ183" s="72"/>
      <c r="AK183" s="104"/>
      <c r="AL183" s="72"/>
      <c r="AM183" s="104"/>
      <c r="AN183" s="72"/>
      <c r="AO183" s="104"/>
      <c r="AP183" s="72"/>
      <c r="AQ183" s="104"/>
      <c r="AR183" s="72"/>
      <c r="AS183" s="104"/>
      <c r="AT183" s="72"/>
      <c r="AU183" s="104"/>
      <c r="AV183" s="72"/>
      <c r="AW183" s="104"/>
      <c r="AX183" s="72"/>
      <c r="AY183" s="104"/>
      <c r="AZ183" s="72"/>
      <c r="BA183" s="104"/>
      <c r="BB183" s="72"/>
      <c r="BC183" s="104"/>
      <c r="BD183" s="72"/>
      <c r="BE183" s="104"/>
      <c r="BF183" s="72"/>
      <c r="BG183" s="104"/>
      <c r="BH183" s="72"/>
      <c r="BI183" s="104"/>
      <c r="BJ183" s="72"/>
      <c r="BK183" s="104"/>
      <c r="BL183" s="72"/>
      <c r="BM183" s="104"/>
      <c r="BN183" s="72"/>
      <c r="BO183" s="104"/>
      <c r="BP183" s="72"/>
      <c r="BQ183" s="104"/>
      <c r="BR183" s="72"/>
      <c r="BS183" s="104"/>
      <c r="BT183" s="72"/>
      <c r="BU183" s="104"/>
      <c r="BV183" s="72"/>
      <c r="BW183" s="104"/>
      <c r="BX183" s="72"/>
      <c r="BY183" s="104"/>
      <c r="BZ183" s="72"/>
      <c r="CA183" s="104"/>
      <c r="CB183" s="72"/>
      <c r="CC183" s="104"/>
      <c r="CD183" s="72"/>
      <c r="CE183" s="104"/>
      <c r="CF183" s="72"/>
      <c r="CG183" s="104"/>
      <c r="CH183" s="72"/>
      <c r="CI183" s="104"/>
      <c r="CJ183" s="72"/>
      <c r="CK183" s="104"/>
      <c r="CL183" s="72"/>
      <c r="CM183" s="104"/>
      <c r="CN183" s="72"/>
      <c r="CO183" s="104"/>
      <c r="CP183" s="72"/>
      <c r="CQ183" s="104"/>
      <c r="CR183" s="72"/>
      <c r="CS183" s="104"/>
      <c r="CT183" s="72"/>
      <c r="CU183" s="104"/>
      <c r="CV183" s="72"/>
      <c r="CW183" s="104"/>
      <c r="CX183" s="72"/>
      <c r="CY183" s="104"/>
      <c r="CZ183" s="72"/>
      <c r="DA183" s="104"/>
      <c r="DB183" s="72"/>
      <c r="DC183" s="104"/>
      <c r="DD183" s="72"/>
      <c r="DE183" s="104"/>
      <c r="DF183" s="72"/>
      <c r="DG183" s="104"/>
      <c r="DH183" s="72"/>
      <c r="DI183" s="104"/>
      <c r="DJ183" s="72"/>
      <c r="DK183" s="104"/>
      <c r="DL183" s="72"/>
      <c r="DM183" s="104"/>
      <c r="DN183" s="72"/>
      <c r="DO183" s="104"/>
      <c r="DP183" s="72"/>
      <c r="DQ183" s="104"/>
      <c r="DR183" s="72"/>
      <c r="DS183" s="104"/>
      <c r="DT183" s="72"/>
      <c r="DU183" s="104"/>
      <c r="DV183" s="72"/>
      <c r="DW183" s="104"/>
      <c r="DX183" s="72"/>
      <c r="DY183" s="104"/>
      <c r="DZ183" s="72"/>
      <c r="EA183" s="104"/>
      <c r="EB183" s="72"/>
      <c r="EC183" s="105"/>
      <c r="ED183" s="72"/>
      <c r="EE183" s="105"/>
      <c r="EF183" s="72"/>
      <c r="EG183" s="105"/>
      <c r="EH183" s="72"/>
      <c r="EI183" s="105"/>
      <c r="EJ183" s="72"/>
      <c r="EK183" s="105"/>
      <c r="EL183" s="72"/>
      <c r="EM183" s="105"/>
      <c r="EN183" s="72"/>
      <c r="EO183" s="105"/>
      <c r="EP183" s="72"/>
      <c r="EQ183" s="105"/>
      <c r="ER183" s="72"/>
      <c r="ES183" s="105"/>
      <c r="ET183" s="72"/>
      <c r="EU183" s="105"/>
      <c r="EV183" s="72"/>
      <c r="EW183" s="105"/>
      <c r="EX183" s="72"/>
      <c r="EY183" s="72"/>
      <c r="EZ183" s="306"/>
      <c r="FA183" s="72"/>
      <c r="FB183" s="104"/>
      <c r="FC183" s="72"/>
      <c r="FD183" s="104"/>
      <c r="FE183" s="72"/>
      <c r="FF183" s="104"/>
      <c r="FG183" s="72"/>
      <c r="FH183" s="104"/>
      <c r="FI183" s="72"/>
      <c r="FJ183" s="104"/>
      <c r="FK183" s="72"/>
      <c r="FL183" s="104"/>
      <c r="FM183" s="72"/>
      <c r="FN183" s="104"/>
      <c r="FO183" s="72"/>
      <c r="FP183" s="104"/>
      <c r="FQ183" s="72"/>
      <c r="FR183" s="105"/>
      <c r="FS183" s="72"/>
      <c r="FT183" s="105"/>
      <c r="FU183" s="72"/>
      <c r="FV183" s="105"/>
      <c r="FW183" s="72"/>
      <c r="FX183" s="105"/>
      <c r="FY183" s="72"/>
      <c r="FZ183" s="105"/>
      <c r="GA183" s="72"/>
      <c r="GB183" s="105"/>
      <c r="GC183" s="72"/>
      <c r="GD183" s="105"/>
      <c r="GE183" s="72"/>
      <c r="GF183" s="105"/>
      <c r="GG183" s="72"/>
      <c r="GH183" s="105"/>
      <c r="GI183" s="72"/>
      <c r="GJ183" s="105"/>
      <c r="GK183" s="72"/>
      <c r="GL183" s="105"/>
      <c r="GM183" s="72"/>
      <c r="GN183" s="105"/>
      <c r="GO183" s="72"/>
      <c r="GP183" s="105"/>
      <c r="GQ183" s="72"/>
      <c r="GR183" s="105"/>
      <c r="GS183" s="72"/>
      <c r="GT183" s="105"/>
      <c r="GU183" s="72"/>
      <c r="GV183" s="105"/>
      <c r="GW183" s="72"/>
      <c r="GX183" s="105"/>
      <c r="GY183" s="72"/>
      <c r="GZ183" s="72" t="str">
        <f t="shared" si="1105"/>
        <v>NA</v>
      </c>
      <c r="HA183" s="72"/>
      <c r="HB183" s="72"/>
    </row>
    <row r="184" spans="1:217" ht="12.75" customHeight="1" x14ac:dyDescent="0.2">
      <c r="A184" s="2" t="s">
        <v>19</v>
      </c>
      <c r="B184" s="77" t="s">
        <v>184</v>
      </c>
      <c r="C184" s="100"/>
      <c r="D184" s="72"/>
      <c r="E184" s="100"/>
      <c r="F184" s="72"/>
      <c r="G184" s="100"/>
      <c r="H184" s="72"/>
      <c r="I184" s="100"/>
      <c r="J184" s="72"/>
      <c r="K184" s="100"/>
      <c r="L184" s="72"/>
      <c r="M184" s="100"/>
      <c r="N184" s="72"/>
      <c r="O184" s="100"/>
      <c r="P184" s="72"/>
      <c r="Q184" s="100"/>
      <c r="R184" s="72"/>
      <c r="S184" s="100"/>
      <c r="T184" s="72"/>
      <c r="U184" s="100"/>
      <c r="V184" s="72"/>
      <c r="W184" s="100"/>
      <c r="X184" s="72"/>
      <c r="Y184" s="100"/>
      <c r="Z184" s="72"/>
      <c r="AA184" s="100"/>
      <c r="AB184" s="72"/>
      <c r="AC184" s="100"/>
      <c r="AD184" s="72"/>
      <c r="AE184" s="100"/>
      <c r="AF184" s="72"/>
      <c r="AG184" s="100"/>
      <c r="AH184" s="72"/>
      <c r="AI184" s="100">
        <f>AI156+AI172</f>
        <v>-752</v>
      </c>
      <c r="AJ184" s="72" t="str">
        <f>IF(ISERROR(AI184/AA184),"NA",IF(OR(AI184/AA184&gt;2,AI184/AA184&lt;0.5),"NM",AI184/AA184*100-100))</f>
        <v>NA</v>
      </c>
      <c r="AK184" s="100">
        <f>AK156+AK172</f>
        <v>-884</v>
      </c>
      <c r="AL184" s="72" t="str">
        <f>IF(ISERROR(AK184/AC184),"NA",IF(OR(AK184/AC184&gt;2,AK184/AC184&lt;0.5),"NM",AK184/AC184*100-100))</f>
        <v>NA</v>
      </c>
      <c r="AM184" s="100">
        <f>AM156+AM172</f>
        <v>-675</v>
      </c>
      <c r="AN184" s="72" t="str">
        <f>IF(ISERROR(AM184/AE184),"NA",IF(OR(AM184/AE184&gt;2,AM184/AE184&lt;0.5),"NM",AM184/AE184*100-100))</f>
        <v>NA</v>
      </c>
      <c r="AO184" s="100">
        <f>AO156+AO172</f>
        <v>-20</v>
      </c>
      <c r="AP184" s="72" t="str">
        <f>IF(ISERROR(AO184/AG184),"NA",IF(OR(AO184/AG184&gt;2,AO184/AG184&lt;0.5),"NM",AO184/AG184*100-100))</f>
        <v>NA</v>
      </c>
      <c r="AQ184" s="100">
        <f>AQ156+AQ172</f>
        <v>497</v>
      </c>
      <c r="AR184" s="72" t="str">
        <f>IF(ISERROR(AQ184/AI184),"NA",IF(OR(AQ184/AI184&gt;2,AQ184/AI184&lt;0.5),"NM",AQ184/AI184*100-100))</f>
        <v>NM</v>
      </c>
      <c r="AS184" s="100">
        <f>AS156+AS172</f>
        <v>-157</v>
      </c>
      <c r="AT184" s="72" t="str">
        <f>IF(ISERROR(AS184/AK184),"NA",IF(OR(AS184/AK184&gt;2,AS184/AK184&lt;0.5),"NM",AS184/AK184*100-100))</f>
        <v>NM</v>
      </c>
      <c r="AU184" s="100">
        <f>AU156+AU172</f>
        <v>213</v>
      </c>
      <c r="AV184" s="72" t="str">
        <f>IF(ISERROR(AU184/AM184),"NA",IF(OR(AU184/AM184&gt;2,AU184/AM184&lt;0.5),"NM",AU184/AM184*100-100))</f>
        <v>NM</v>
      </c>
      <c r="AW184" s="100">
        <f>AW156+AW172</f>
        <v>-2933</v>
      </c>
      <c r="AX184" s="72" t="str">
        <f>IF(ISERROR(AW184/AO184),"NA",IF(OR(AW184/AO184&gt;2,AW184/AO184&lt;0.5),"NM",AW184/AO184*100-100))</f>
        <v>NM</v>
      </c>
      <c r="AY184" s="100">
        <f>AY156+AY172</f>
        <v>-1006</v>
      </c>
      <c r="AZ184" s="72" t="str">
        <f>IF(ISERROR(AY184/AQ184),"NA",IF(OR(AY184/AQ184&gt;2,AY184/AQ184&lt;0.5),"NM",AY184/AQ184*100-100))</f>
        <v>NM</v>
      </c>
      <c r="BA184" s="100">
        <f>BA156+BA172</f>
        <v>385</v>
      </c>
      <c r="BB184" s="72" t="str">
        <f>IF(ISERROR(BA184/AS184),"NA",IF(OR(BA184/AS184&gt;2,BA184/AS184&lt;0.5),"NM",BA184/AS184*100-100))</f>
        <v>NM</v>
      </c>
      <c r="BC184" s="100">
        <f>BC156+BC172</f>
        <v>935</v>
      </c>
      <c r="BD184" s="72" t="str">
        <f>IF(ISERROR(BC184/AU184),"NA",IF(OR(BC184/AU184&gt;2,BC184/AU184&lt;0.5),"NM",BC184/AU184*100-100))</f>
        <v>NM</v>
      </c>
      <c r="BE184" s="100">
        <f>BE156+BE172</f>
        <v>-510</v>
      </c>
      <c r="BF184" s="72" t="str">
        <f>IF(ISERROR(BE184/AW184),"NA",IF(OR(BE184/AW184&gt;2,BE184/AW184&lt;0.5),"NM",BE184/AW184*100-100))</f>
        <v>NM</v>
      </c>
      <c r="BG184" s="100">
        <f>BG156+BG172</f>
        <v>360</v>
      </c>
      <c r="BH184" s="72" t="str">
        <f>IF(ISERROR(BG184/AY184),"NA",IF(OR(BG184/AY184&gt;2,BG184/AY184&lt;0.5),"NM",BG184/AY184*100-100))</f>
        <v>NM</v>
      </c>
      <c r="BI184" s="100">
        <f>BI156+BI172</f>
        <v>207</v>
      </c>
      <c r="BJ184" s="72">
        <f>IF(ISERROR(BI184/BA184),"NA",IF(OR(BI184/BA184&gt;2,BI184/BA184&lt;0.5),"NM",BI184/BA184*100-100))</f>
        <v>-46.233766233766239</v>
      </c>
      <c r="BK184" s="100">
        <f>BK156+BK172</f>
        <v>-738</v>
      </c>
      <c r="BL184" s="72" t="str">
        <f>IF(ISERROR(BK184/BC184),"NA",IF(OR(BK184/BC184&gt;2,BK184/BC184&lt;0.5),"NM",BK184/BC184*100-100))</f>
        <v>NM</v>
      </c>
      <c r="BM184" s="100">
        <f>BM156+BM172</f>
        <v>-111</v>
      </c>
      <c r="BN184" s="72" t="str">
        <f>IF(ISERROR(BM184/BE184),"NA",IF(OR(BM184/BE184&gt;2,BM184/BE184&lt;0.5),"NM",BM184/BE184*100-100))</f>
        <v>NM</v>
      </c>
      <c r="BO184" s="100">
        <f>BO156+BO172</f>
        <v>761</v>
      </c>
      <c r="BP184" s="72" t="str">
        <f>IF(ISERROR(BO184/BG184),"NA",IF(OR(BO184/BG184&gt;2,BO184/BG184&lt;0.5),"NM",BO184/BG184*100-100))</f>
        <v>NM</v>
      </c>
      <c r="BQ184" s="100">
        <f>BQ156+BQ172</f>
        <v>-174</v>
      </c>
      <c r="BR184" s="72" t="str">
        <f>IF(ISERROR(BQ184/BI184),"NA",IF(OR(BQ184/BI184&gt;2,BQ184/BI184&lt;0.5),"NM",BQ184/BI184*100-100))</f>
        <v>NM</v>
      </c>
      <c r="BS184" s="100">
        <f>BS156+BS172</f>
        <v>-669</v>
      </c>
      <c r="BT184" s="72">
        <f>IF(ISERROR(BS184/BK184),"NA",IF(OR(BS184/BK184&gt;2,BS184/BK184&lt;0.5),"NM",BS184/BK184*100-100))</f>
        <v>-9.349593495934954</v>
      </c>
      <c r="BU184" s="100">
        <f>BU156+BU172</f>
        <v>2318</v>
      </c>
      <c r="BV184" s="72" t="str">
        <f>IF(ISERROR(BU184/BM184),"NA",IF(OR(BU184/BM184&gt;2,BU184/BM184&lt;0.5),"NM",BU184/BM184*100-100))</f>
        <v>NM</v>
      </c>
      <c r="BW184" s="100">
        <f>BW156+BW172</f>
        <v>4848</v>
      </c>
      <c r="BX184" s="72" t="str">
        <f>IF(ISERROR(BW184/BO184),"NA",IF(OR(BW184/BO184&gt;2,BW184/BO184&lt;0.5),"NM",BW184/BO184*100-100))</f>
        <v>NM</v>
      </c>
      <c r="BY184" s="100">
        <f>BY156+BY172</f>
        <v>1158</v>
      </c>
      <c r="BZ184" s="72" t="str">
        <f>IF(ISERROR(BY184/BQ184),"NA",IF(OR(BY184/BQ184&gt;2,BY184/BQ184&lt;0.5),"NM",BY184/BQ184*100-100))</f>
        <v>NM</v>
      </c>
      <c r="CA184" s="100">
        <f>CA156+CA172</f>
        <v>308</v>
      </c>
      <c r="CB184" s="72" t="str">
        <f>IF(ISERROR(CA184/BS184),"NA",IF(OR(CA184/BS184&gt;2,CA184/BS184&lt;0.5),"NM",CA184/BS184*100-100))</f>
        <v>NM</v>
      </c>
      <c r="CC184" s="100">
        <f>CC156+CC172</f>
        <v>2405</v>
      </c>
      <c r="CD184" s="72">
        <f>IF(ISERROR(CC184/BU184),"NA",IF(OR(CC184/BU184&gt;2,CC184/BU184&lt;0.5),"NM",CC184/BU184*100-100))</f>
        <v>3.7532355478861064</v>
      </c>
      <c r="CE184" s="100">
        <f>CE156+CE172</f>
        <v>842</v>
      </c>
      <c r="CF184" s="72" t="str">
        <f>IF(ISERROR(CE184/BW184),"NA",IF(OR(CE184/BW184&gt;2,CE184/BW184&lt;0.5),"NM",CE184/BW184*100-100))</f>
        <v>NM</v>
      </c>
      <c r="CG184" s="100">
        <f>CG156+CG172</f>
        <v>1976</v>
      </c>
      <c r="CH184" s="72">
        <f>IF(ISERROR(CG184/BY184),"NA",IF(OR(CG184/BY184&gt;2,CG184/BY184&lt;0.5),"NM",CG184/BY184*100-100))</f>
        <v>70.639032815198618</v>
      </c>
      <c r="CI184" s="100">
        <f>CI156+CI172</f>
        <v>3524</v>
      </c>
      <c r="CJ184" s="72" t="str">
        <f>IF(ISERROR(CI184/CA184),"NA",IF(OR(CI184/CA184&gt;2,CI184/CA184&lt;0.5),"NM",CI184/CA184*100-100))</f>
        <v>NM</v>
      </c>
      <c r="CK184" s="100">
        <f>CK156+CK172</f>
        <v>4460</v>
      </c>
      <c r="CL184" s="72">
        <f>IF(ISERROR(CK184/CC184),"NA",IF(OR(CK184/CC184&gt;2,CK184/CC184&lt;0.5),"NM",CK184/CC184*100-100))</f>
        <v>85.446985446985451</v>
      </c>
      <c r="CM184" s="100">
        <f>CM156+CM172</f>
        <v>4578</v>
      </c>
      <c r="CN184" s="72" t="str">
        <f>IF(ISERROR(CM184/CE184),"NA",IF(OR(CM184/CE184&gt;2,CM184/CE184&lt;0.5),"NM",CM184/CE184*100-100))</f>
        <v>NM</v>
      </c>
      <c r="CO184" s="100">
        <f>CO156+CO172</f>
        <v>4069</v>
      </c>
      <c r="CP184" s="72" t="str">
        <f>IF(ISERROR(CO184/CG184),"NA",IF(OR(CO184/CG184&gt;2,CO184/CG184&lt;0.5),"NM",CO184/CG184*100-100))</f>
        <v>NM</v>
      </c>
      <c r="CQ184" s="100">
        <f>CQ156+CQ172</f>
        <v>3910</v>
      </c>
      <c r="CR184" s="72">
        <f>IF(ISERROR(CQ184/CI184),"NA",IF(OR(CQ184/CI184&gt;2,CQ184/CI184&lt;0.5),"NM",CQ184/CI184*100-100))</f>
        <v>10.953461975028375</v>
      </c>
      <c r="CS184" s="100">
        <f>CS156+CS172</f>
        <v>6727</v>
      </c>
      <c r="CT184" s="72">
        <f>IF(ISERROR(CS184/CK184),"NA",IF(OR(CS184/CK184&gt;2,CS184/CK184&lt;0.5),"NM",CS184/CK184*100-100))</f>
        <v>50.829596412556043</v>
      </c>
      <c r="CU184" s="100">
        <f>CU156+CU172</f>
        <v>404</v>
      </c>
      <c r="CV184" s="72" t="str">
        <f>IF(ISERROR(CU184/CM184),"NA",IF(OR(CU184/CM184&gt;2,CU184/CM184&lt;0.5),"NM",CU184/CM184*100-100))</f>
        <v>NM</v>
      </c>
      <c r="CW184" s="100">
        <f>CW156+CW172</f>
        <v>6317</v>
      </c>
      <c r="CX184" s="72">
        <f>IF(ISERROR(CW184/CO184),"NA",IF(OR(CW184/CO184&gt;2,CW184/CO184&lt;0.5),"NM",CW184/CO184*100-100))</f>
        <v>55.246989432292935</v>
      </c>
      <c r="CY184" s="100">
        <f>CY156+CY172</f>
        <v>833</v>
      </c>
      <c r="CZ184" s="72" t="str">
        <f>IF(ISERROR(CY184/CQ184),"NA",IF(OR(CY184/CQ184&gt;2,CY184/CQ184&lt;0.5),"NM",CY184/CQ184*100-100))</f>
        <v>NM</v>
      </c>
      <c r="DA184" s="100">
        <f>DA156+DA172</f>
        <v>36123</v>
      </c>
      <c r="DB184" s="72" t="str">
        <f>IF(ISERROR(DA184/CS184),"NA",IF(OR(DA184/CS184&gt;2,DA184/CS184&lt;0.5),"NM",DA184/CS184*100-100))</f>
        <v>NM</v>
      </c>
      <c r="DC184" s="100">
        <f>DC156+DC172</f>
        <v>2529</v>
      </c>
      <c r="DD184" s="72" t="str">
        <f>IF(ISERROR(DC184/CU184),"NA",IF(OR(DC184/CU184&gt;2,DC184/CU184&lt;0.5),"NM",DC184/CU184*100-100))</f>
        <v>NM</v>
      </c>
      <c r="DE184" s="100">
        <f>DE156+DE172</f>
        <v>1973</v>
      </c>
      <c r="DF184" s="72" t="str">
        <f>IF(ISERROR(DE184/CW184),"NA",IF(OR(DE184/CW184&gt;2,DE184/CW184&lt;0.5),"NM",DE184/CW184*100-100))</f>
        <v>NM</v>
      </c>
      <c r="DG184" s="100">
        <f>DG156+DG172</f>
        <v>3375</v>
      </c>
      <c r="DH184" s="72" t="str">
        <f>IF(ISERROR(DG184/CY184),"NA",IF(OR(DG184/CY184&gt;2,DG184/CY184&lt;0.5),"NM",DG184/CY184*100-100))</f>
        <v>NM</v>
      </c>
      <c r="DI184" s="100">
        <f>DI156+DI172</f>
        <v>1432</v>
      </c>
      <c r="DJ184" s="72" t="str">
        <f>IF(ISERROR(DI184/DA184),"NA",IF(OR(DI184/DA184&gt;2,DI184/DA184&lt;0.5),"NM",DI184/DA184*100-100))</f>
        <v>NM</v>
      </c>
      <c r="DK184" s="100">
        <f>DK156+DK172</f>
        <v>1300</v>
      </c>
      <c r="DL184" s="72">
        <f>IF(ISERROR(DK184/DC184),"NA",IF(OR(DK184/DC184&gt;2,DK184/DC184&lt;0.5),"NM",DK184/DC184*100-100))</f>
        <v>-48.596283115856068</v>
      </c>
      <c r="DM184" s="100">
        <f>DM156+DM172</f>
        <v>-4065</v>
      </c>
      <c r="DN184" s="72" t="str">
        <f>IF(ISERROR(DM184/DE184),"NA",IF(OR(DM184/DE184&gt;2,DM184/DE184&lt;0.5),"NM",DM184/DE184*100-100))</f>
        <v>NM</v>
      </c>
      <c r="DO184" s="100">
        <f>DO156+DO172</f>
        <v>28297</v>
      </c>
      <c r="DP184" s="72" t="str">
        <f>IF(ISERROR(DO184/DG184),"NA",IF(OR(DO184/DG184&gt;2,DO184/DG184&lt;0.5),"NM",DO184/DG184*100-100))</f>
        <v>NM</v>
      </c>
      <c r="DQ184" s="100">
        <f>DQ156+DQ172</f>
        <v>3058</v>
      </c>
      <c r="DR184" s="72" t="str">
        <f>IF(ISERROR(DQ184/DI184),"NA",IF(OR(DQ184/DI184&gt;2,DQ184/DI184&lt;0.5),"NM",DQ184/DI184*100-100))</f>
        <v>NM</v>
      </c>
      <c r="DS184" s="100">
        <f>DS156+DS172</f>
        <v>-2441</v>
      </c>
      <c r="DT184" s="72" t="str">
        <f>IF(ISERROR(DS184/DK184),"NA",IF(OR(DS184/DK184&gt;2,DS184/DK184&lt;0.5),"NM",DS184/DK184*100-100))</f>
        <v>NM</v>
      </c>
      <c r="DU184" s="100">
        <f>DU156+DU172</f>
        <v>5696</v>
      </c>
      <c r="DV184" s="72" t="str">
        <f>IF(ISERROR(DU184/DM184),"NA",IF(OR(DU184/DM184&gt;2,DU184/DM184&lt;0.5),"NM",DU184/DM184*100-100))</f>
        <v>NM</v>
      </c>
      <c r="DW184" s="100">
        <f>DW156+DW172</f>
        <v>2441</v>
      </c>
      <c r="DX184" s="72" t="str">
        <f>IF(ISERROR(DW184/DO184),"NA",IF(OR(DW184/DO184&gt;2,DW184/DO184&lt;0.5),"NM",DW184/DO184*100-100))</f>
        <v>NM</v>
      </c>
      <c r="DY184" s="100">
        <f>DY156+DY172</f>
        <v>-1387</v>
      </c>
      <c r="DZ184" s="72" t="str">
        <f>IF(ISERROR(DY184/DQ184),"NA",IF(OR(DY184/DQ184&gt;2,DY184/DQ184&lt;0.5),"NM",DY184/DQ184*100-100))</f>
        <v>NM</v>
      </c>
      <c r="EA184" s="100">
        <f>EA156+EA172</f>
        <v>648</v>
      </c>
      <c r="EB184" s="72" t="str">
        <f>IF(ISERROR(EA184/DS184),"NA",IF(OR(EA184/DS184&gt;2,EA184/DS184&lt;0.5),"NM",EA184/DS184*100-100))</f>
        <v>NM</v>
      </c>
      <c r="EC184" s="100">
        <f>EC156+EC172</f>
        <v>488</v>
      </c>
      <c r="ED184" s="72" t="str">
        <f>IF(ISERROR(EC184/DU184),"NA",IF(OR(EC184/DU184&gt;2,EC184/DU184&lt;0.5),"NM",EC184/DU184*100-100))</f>
        <v>NM</v>
      </c>
      <c r="EE184" s="100">
        <f>EE156+EE172</f>
        <v>4960</v>
      </c>
      <c r="EF184" s="72" t="str">
        <f>IF(ISERROR(EE184/DW184),"NA",IF(OR(EE184/DW184&gt;2,EE184/DW184&lt;0.5),"NM",EE184/DW184*100-100))</f>
        <v>NM</v>
      </c>
      <c r="EG184" s="100">
        <f>EG156+EG172</f>
        <v>-316</v>
      </c>
      <c r="EH184" s="72" t="str">
        <f>IF(ISERROR(EG184/DY184),"NA",IF(OR(EG184/DY184&gt;2,EG184/DY184&lt;0.5),"NM",EG184/DY184*100-100))</f>
        <v>NM</v>
      </c>
      <c r="EI184" s="100">
        <f>EI156+EI172</f>
        <v>-153</v>
      </c>
      <c r="EJ184" s="72" t="str">
        <f>IF(ISERROR(EI184/EA184),"NA",IF(OR(EI184/EA184&gt;2,EI184/EA184&lt;0.5),"NM",EI184/EA184*100-100))</f>
        <v>NM</v>
      </c>
      <c r="EK184" s="100">
        <f>EK156+EK172</f>
        <v>-2629</v>
      </c>
      <c r="EL184" s="72" t="str">
        <f>IF(ISERROR(EK184/EC184),"NA",IF(OR(EK184/EC184&gt;2,EK184/EC184&lt;0.5),"NM",EK184/EC184*100-100))</f>
        <v>NM</v>
      </c>
      <c r="EM184" s="100">
        <f>EM156+EM172</f>
        <v>7268</v>
      </c>
      <c r="EN184" s="72">
        <f>IF(ISERROR(EM184/EE184),"NA",IF(OR(EM184/EE184&gt;2,EM184/EE184&lt;0.5),"NM",EM184/EE184*100-100))</f>
        <v>46.532258064516128</v>
      </c>
      <c r="EO184" s="100">
        <f>EO156+EO172</f>
        <v>4454</v>
      </c>
      <c r="EP184" s="72" t="str">
        <f>IF(ISERROR(EO184/EG184),"NA",IF(OR(EO184/EG184&gt;2,EO184/EG184&lt;0.5),"NM",EO184/EG184*100-100))</f>
        <v>NM</v>
      </c>
      <c r="EQ184" s="100">
        <f t="shared" ref="EQ184" si="1118">EQ156+EQ172</f>
        <v>779.49999999999909</v>
      </c>
      <c r="ER184" s="72" t="str">
        <f t="shared" ref="ER184" si="1119">IF(ISERROR(EQ184/EI184),"NA",IF(OR(EQ184/EI184&gt;2,EQ184/EI184&lt;0.5),"NM",EQ184/EI184*100-100))</f>
        <v>NM</v>
      </c>
      <c r="ES184" s="100">
        <f t="shared" ref="ES184" si="1120">ES156+ES172</f>
        <v>777.41683737148742</v>
      </c>
      <c r="ET184" s="72" t="str">
        <f t="shared" ref="ET184" si="1121">IF(ISERROR(ES184/EK184),"NA",IF(OR(ES184/EK184&gt;2,ES184/EK184&lt;0.5),"NM",ES184/EK184*100-100))</f>
        <v>NM</v>
      </c>
      <c r="EU184" s="100">
        <f t="shared" ref="EU184" si="1122">EU156+EU172</f>
        <v>785.08454405076191</v>
      </c>
      <c r="EV184" s="72" t="str">
        <f t="shared" ref="EV184" si="1123">IF(ISERROR(EU184/EM184),"NA",IF(OR(EU184/EM184&gt;2,EU184/EM184&lt;0.5),"NM",EU184/EM184*100-100))</f>
        <v>NM</v>
      </c>
      <c r="EW184" s="100">
        <f t="shared" ref="EW184" si="1124">EW156+EW172</f>
        <v>792.83028254874353</v>
      </c>
      <c r="EX184" s="72" t="str">
        <f t="shared" ref="EX184" si="1125">IF(ISERROR(EW184/EO184),"NA",IF(OR(EW184/EO184&gt;2,EW184/EO184&lt;0.5),"NM",EW184/EO184*100-100))</f>
        <v>NM</v>
      </c>
      <c r="EY184" s="72"/>
      <c r="EZ184" s="306"/>
      <c r="FA184" s="72"/>
      <c r="FB184" s="100">
        <f>FB156+FB172</f>
        <v>-4622</v>
      </c>
      <c r="FC184" s="72"/>
      <c r="FD184" s="100">
        <f>FD156+FD172</f>
        <v>-3844</v>
      </c>
      <c r="FE184" s="72">
        <f>IF(ISERROR(FD184/FB184),"NA",IF(OR(FD184/FB184&gt;2,FD184/FB184&lt;0.5),"NM",FD184/FB184*100-100))</f>
        <v>-16.832540025962786</v>
      </c>
      <c r="FF184" s="100">
        <f>FF156+FF172</f>
        <v>-1753</v>
      </c>
      <c r="FG184" s="72" t="str">
        <f>IF(ISERROR(FF184/FD184),"NA",IF(OR(FF184/FD184&gt;2,FF184/FD184&lt;0.5),"NM",FF184/FD184*100-100))</f>
        <v>NM</v>
      </c>
      <c r="FH184" s="100">
        <f>FH156+FH172</f>
        <v>0</v>
      </c>
      <c r="FI184" s="72" t="str">
        <f>IF(ISERROR(FH184/FF184),"NA",IF(OR(FH184/FF184&gt;2,FH184/FF184&lt;0.5),"NM",FH184/FF184*100-100))</f>
        <v>NM</v>
      </c>
      <c r="FJ184" s="100">
        <f>FJ156+FJ172</f>
        <v>0</v>
      </c>
      <c r="FK184" s="72" t="str">
        <f>IF(ISERROR(FJ184/FH184),"NA",IF(OR(FJ184/FH184&gt;2,FJ184/FH184&lt;0.5),"NM",FJ184/FH184*100-100))</f>
        <v>NA</v>
      </c>
      <c r="FL184" s="100">
        <f>FL156+FL172</f>
        <v>0</v>
      </c>
      <c r="FM184" s="72" t="str">
        <f>IF(ISERROR(FL184/FJ184),"NA",IF(OR(FL184/FJ184&gt;2,FL184/FJ184&lt;0.5),"NM",FL184/FJ184*100-100))</f>
        <v>NA</v>
      </c>
      <c r="FN184" s="100">
        <f>FN156+FN172</f>
        <v>-2331</v>
      </c>
      <c r="FO184" s="72" t="str">
        <f>IF(ISERROR(FN184/FL184),"NA",IF(OR(FN184/FL184&gt;2,FN184/FL184&lt;0.5),"NM",FN184/FL184*100-100))</f>
        <v>NA</v>
      </c>
      <c r="FP184" s="100">
        <f>FP156+FP172</f>
        <v>-2380</v>
      </c>
      <c r="FQ184" s="72">
        <f>IF(ISERROR(FP184/FN184),"NA",IF(OR(FP184/FN184&gt;2,FP184/FN184&lt;0.5),"NM",FP184/FN184*100-100))</f>
        <v>2.1021021021021085</v>
      </c>
      <c r="FR184" s="100">
        <f>FR156+FR172</f>
        <v>-196</v>
      </c>
      <c r="FS184" s="72" t="str">
        <f>IF(ISERROR(FR184/FP184),"NA",IF(OR(FR184/FP184&gt;2,FR184/FP184&lt;0.5),"NM",FR184/FP184*100-100))</f>
        <v>NM</v>
      </c>
      <c r="FT184" s="100">
        <f>FT156+FT172</f>
        <v>-282</v>
      </c>
      <c r="FU184" s="72">
        <f>IF(ISERROR(FT184/FR184),"NA",IF(OR(FT184/FR184&gt;2,FT184/FR184&lt;0.5),"NM",FT184/FR184*100-100))</f>
        <v>43.877551020408163</v>
      </c>
      <c r="FV184" s="100">
        <f>FV156+FV172</f>
        <v>2236</v>
      </c>
      <c r="FW184" s="72" t="str">
        <f>IF(ISERROR(FV184/FT184),"NA",IF(OR(FV184/FT184&gt;2,FV184/FT184&lt;0.5),"NM",FV184/FT184*100-100))</f>
        <v>NM</v>
      </c>
      <c r="FX184" s="100">
        <f>FX156+FX172</f>
        <v>8719</v>
      </c>
      <c r="FY184" s="72" t="str">
        <f>IF(ISERROR(FX184/FV184),"NA",IF(OR(FX184/FV184&gt;2,FX184/FV184&lt;0.5),"NM",FX184/FV184*100-100))</f>
        <v>NM</v>
      </c>
      <c r="FZ184" s="100">
        <f>FZ156+FZ172</f>
        <v>10802</v>
      </c>
      <c r="GA184" s="72">
        <f>IF(ISERROR(FZ184/FX184),"NA",IF(OR(FZ184/FX184&gt;2,FZ184/FX184&lt;0.5),"NM",FZ184/FX184*100-100))</f>
        <v>23.890354398440181</v>
      </c>
      <c r="GB184" s="100">
        <f>GB156+GB172</f>
        <v>19284</v>
      </c>
      <c r="GC184" s="72">
        <f>IF(ISERROR(GB184/FZ184),"NA",IF(OR(GB184/FZ184&gt;2,GB184/FZ184&lt;0.5),"NM",GB184/FZ184*100-100))</f>
        <v>78.522495834104802</v>
      </c>
      <c r="GD184" s="100">
        <f>GD156+GD172</f>
        <v>43677</v>
      </c>
      <c r="GE184" s="72" t="str">
        <f>IF(ISERROR(GD184/GB184),"NA",IF(OR(GD184/GB184&gt;2,GD184/GB184&lt;0.5),"NM",GD184/GB184*100-100))</f>
        <v>NM</v>
      </c>
      <c r="GF184" s="100">
        <f>GF156+GF172</f>
        <v>9309</v>
      </c>
      <c r="GG184" s="72" t="str">
        <f>IF(ISERROR(GF184/GD184),"NA",IF(OR(GF184/GD184&gt;2,GF184/GD184&lt;0.5),"NM",GF184/GD184*100-100))</f>
        <v>NM</v>
      </c>
      <c r="GH184" s="100">
        <f>GH156+GH172</f>
        <v>28590</v>
      </c>
      <c r="GI184" s="72" t="str">
        <f t="shared" ref="GI184:GU184" si="1126">IF(ISERROR(GH184/GF184),"NA",IF(OR(GH184/GF184&gt;2,GH184/GF184&lt;0.5),"NM",GH184/GF184*100-100))</f>
        <v>NM</v>
      </c>
      <c r="GJ184" s="100">
        <f>GJ156+GJ172</f>
        <v>4309</v>
      </c>
      <c r="GK184" s="72" t="str">
        <f t="shared" si="1126"/>
        <v>NM</v>
      </c>
      <c r="GL184" s="100">
        <f>GL156+GL172</f>
        <v>5780</v>
      </c>
      <c r="GM184" s="72">
        <f t="shared" si="1126"/>
        <v>34.137851009514975</v>
      </c>
      <c r="GN184" s="100">
        <f>GN156+GN172</f>
        <v>8940</v>
      </c>
      <c r="GO184" s="72">
        <f t="shared" si="1126"/>
        <v>54.671280276816617</v>
      </c>
      <c r="GP184" s="100">
        <f>GP156+GP172</f>
        <v>3134.8316639709956</v>
      </c>
      <c r="GQ184" s="72" t="str">
        <f t="shared" si="1126"/>
        <v>NM</v>
      </c>
      <c r="GR184" s="100">
        <f>GR156+GR172</f>
        <v>3208.8240930892825</v>
      </c>
      <c r="GS184" s="72">
        <f t="shared" si="1126"/>
        <v>2.360331815219638</v>
      </c>
      <c r="GT184" s="100">
        <f>GT156+GT172</f>
        <v>3331.3321777750389</v>
      </c>
      <c r="GU184" s="72">
        <f t="shared" si="1126"/>
        <v>3.8178498145036173</v>
      </c>
      <c r="GV184" s="100">
        <f>GV156+GV172</f>
        <v>3458.6092440914108</v>
      </c>
      <c r="GW184" s="72">
        <f>IF(ISERROR(GV184/GT184),"NA",IF(OR(GV184/GT184&gt;2,GV184/GT184&lt;0.5),"NM",GV184/GT184*100-100))</f>
        <v>3.8206056773773582</v>
      </c>
      <c r="GX184" s="100">
        <f>GX156+GX172</f>
        <v>3590.8446196975747</v>
      </c>
      <c r="GY184" s="72">
        <f>IF(ISERROR(GX184/GV184),"NA",IF(OR(GX184/GV184&gt;2,GX184/GV184&lt;0.5),"NM",GX184/GV184*100-100))</f>
        <v>3.8233684777218286</v>
      </c>
      <c r="GZ184" s="72">
        <f t="shared" si="1105"/>
        <v>-16.675672184641975</v>
      </c>
      <c r="HA184" s="72"/>
      <c r="HB184" s="72"/>
    </row>
    <row r="185" spans="1:217" ht="12.75" customHeight="1" x14ac:dyDescent="0.2">
      <c r="B185" s="77"/>
      <c r="C185" s="100"/>
      <c r="D185" s="72"/>
      <c r="E185" s="100"/>
      <c r="F185" s="72"/>
      <c r="G185" s="100"/>
      <c r="H185" s="72"/>
      <c r="I185" s="100"/>
      <c r="J185" s="72"/>
      <c r="K185" s="100"/>
      <c r="L185" s="72"/>
      <c r="M185" s="100"/>
      <c r="N185" s="72"/>
      <c r="O185" s="100"/>
      <c r="P185" s="72"/>
      <c r="Q185" s="100"/>
      <c r="R185" s="72"/>
      <c r="S185" s="100"/>
      <c r="T185" s="72"/>
      <c r="U185" s="100"/>
      <c r="V185" s="72"/>
      <c r="W185" s="100"/>
      <c r="X185" s="72"/>
      <c r="Y185" s="100"/>
      <c r="Z185" s="72"/>
      <c r="AA185" s="100"/>
      <c r="AB185" s="72"/>
      <c r="AC185" s="100"/>
      <c r="AD185" s="72"/>
      <c r="AE185" s="100"/>
      <c r="AF185" s="72"/>
      <c r="AG185" s="100"/>
      <c r="AH185" s="72"/>
      <c r="AI185" s="100"/>
      <c r="AJ185" s="72"/>
      <c r="AK185" s="100"/>
      <c r="AL185" s="72"/>
      <c r="AM185" s="100"/>
      <c r="AN185" s="72"/>
      <c r="AO185" s="100"/>
      <c r="AP185" s="72"/>
      <c r="AQ185" s="100"/>
      <c r="AR185" s="72"/>
      <c r="AS185" s="100"/>
      <c r="AT185" s="72"/>
      <c r="AU185" s="100"/>
      <c r="AV185" s="72"/>
      <c r="AW185" s="100"/>
      <c r="AX185" s="72"/>
      <c r="AY185" s="100"/>
      <c r="AZ185" s="72"/>
      <c r="BA185" s="100"/>
      <c r="BB185" s="72"/>
      <c r="BC185" s="100"/>
      <c r="BD185" s="72"/>
      <c r="BE185" s="100"/>
      <c r="BF185" s="72"/>
      <c r="BG185" s="100"/>
      <c r="BH185" s="72"/>
      <c r="BI185" s="100"/>
      <c r="BJ185" s="72"/>
      <c r="BK185" s="100"/>
      <c r="BL185" s="72"/>
      <c r="BM185" s="100"/>
      <c r="BN185" s="72"/>
      <c r="BO185" s="100"/>
      <c r="BP185" s="72"/>
      <c r="BQ185" s="100"/>
      <c r="BR185" s="72"/>
      <c r="BS185" s="100"/>
      <c r="BT185" s="72"/>
      <c r="BU185" s="100"/>
      <c r="BV185" s="72"/>
      <c r="BW185" s="100"/>
      <c r="BX185" s="72"/>
      <c r="BY185" s="100"/>
      <c r="BZ185" s="72"/>
      <c r="CA185" s="100"/>
      <c r="CB185" s="72"/>
      <c r="CC185" s="100"/>
      <c r="CD185" s="72"/>
      <c r="CE185" s="100"/>
      <c r="CF185" s="72"/>
      <c r="CG185" s="100"/>
      <c r="CH185" s="72"/>
      <c r="CI185" s="100"/>
      <c r="CJ185" s="72"/>
      <c r="CK185" s="100"/>
      <c r="CL185" s="72"/>
      <c r="CM185" s="100"/>
      <c r="CN185" s="72"/>
      <c r="CO185" s="100"/>
      <c r="CP185" s="72"/>
      <c r="CQ185" s="100"/>
      <c r="CR185" s="72"/>
      <c r="CS185" s="100"/>
      <c r="CT185" s="72"/>
      <c r="CU185" s="100"/>
      <c r="CV185" s="72"/>
      <c r="CW185" s="100"/>
      <c r="CX185" s="72"/>
      <c r="CY185" s="100"/>
      <c r="CZ185" s="72"/>
      <c r="DA185" s="100"/>
      <c r="DB185" s="72"/>
      <c r="DC185" s="100"/>
      <c r="DD185" s="72"/>
      <c r="DE185" s="100"/>
      <c r="DF185" s="72"/>
      <c r="DG185" s="100"/>
      <c r="DH185" s="72"/>
      <c r="DI185" s="100"/>
      <c r="DJ185" s="72"/>
      <c r="DK185" s="100"/>
      <c r="DL185" s="72"/>
      <c r="DM185" s="100"/>
      <c r="DN185" s="72"/>
      <c r="DO185" s="100"/>
      <c r="DP185" s="72"/>
      <c r="DQ185" s="100"/>
      <c r="DR185" s="72"/>
      <c r="DS185" s="100"/>
      <c r="DT185" s="72"/>
      <c r="DU185" s="100"/>
      <c r="DV185" s="72"/>
      <c r="DW185" s="100"/>
      <c r="DX185" s="72"/>
      <c r="DY185" s="100"/>
      <c r="DZ185" s="72"/>
      <c r="EA185" s="100"/>
      <c r="EB185" s="72"/>
      <c r="EC185" s="100"/>
      <c r="ED185" s="72"/>
      <c r="EE185" s="100"/>
      <c r="EF185" s="72"/>
      <c r="EG185" s="100"/>
      <c r="EH185" s="72"/>
      <c r="EI185" s="100"/>
      <c r="EJ185" s="72"/>
      <c r="EK185" s="100"/>
      <c r="EL185" s="72"/>
      <c r="EM185" s="100"/>
      <c r="EN185" s="72"/>
      <c r="EO185" s="100"/>
      <c r="EP185" s="72"/>
      <c r="EQ185" s="100"/>
      <c r="ER185" s="72"/>
      <c r="ES185" s="100"/>
      <c r="ET185" s="72"/>
      <c r="EU185" s="100"/>
      <c r="EV185" s="72"/>
      <c r="EW185" s="100"/>
      <c r="EX185" s="72"/>
      <c r="EY185" s="72"/>
      <c r="EZ185" s="306"/>
      <c r="FA185" s="72"/>
      <c r="FB185" s="100"/>
      <c r="FC185" s="72"/>
      <c r="FD185" s="100"/>
      <c r="FE185" s="72"/>
      <c r="FF185" s="100"/>
      <c r="FG185" s="72"/>
      <c r="FH185" s="100"/>
      <c r="FI185" s="72"/>
      <c r="FJ185" s="100"/>
      <c r="FK185" s="72"/>
      <c r="FL185" s="100"/>
      <c r="FM185" s="72"/>
      <c r="FN185" s="100"/>
      <c r="FO185" s="72"/>
      <c r="FP185" s="100"/>
      <c r="FQ185" s="72"/>
      <c r="FR185" s="100"/>
      <c r="FS185" s="72"/>
      <c r="FT185" s="100"/>
      <c r="FU185" s="72"/>
      <c r="FV185" s="100"/>
      <c r="FW185" s="72"/>
      <c r="FX185" s="100"/>
      <c r="FY185" s="72"/>
      <c r="FZ185" s="100"/>
      <c r="GA185" s="72"/>
      <c r="GB185" s="100"/>
      <c r="GC185" s="72"/>
      <c r="GD185" s="100"/>
      <c r="GE185" s="72"/>
      <c r="GF185" s="100"/>
      <c r="GG185" s="72"/>
      <c r="GH185" s="100"/>
      <c r="GI185" s="72"/>
      <c r="GJ185" s="100"/>
      <c r="GK185" s="72"/>
      <c r="GL185" s="100"/>
      <c r="GM185" s="72"/>
      <c r="GN185" s="100"/>
      <c r="GO185" s="72"/>
      <c r="GP185" s="100"/>
      <c r="GQ185" s="72"/>
      <c r="GR185" s="100"/>
      <c r="GS185" s="72"/>
      <c r="GT185" s="100"/>
      <c r="GU185" s="72"/>
      <c r="GV185" s="100"/>
      <c r="GW185" s="72"/>
      <c r="GX185" s="100"/>
      <c r="GY185" s="72"/>
      <c r="GZ185" s="72"/>
      <c r="HA185" s="72"/>
      <c r="HB185" s="72"/>
    </row>
    <row r="186" spans="1:217" s="3" customFormat="1" ht="12.75" customHeight="1" x14ac:dyDescent="0.2">
      <c r="B186" s="70" t="s">
        <v>489</v>
      </c>
      <c r="C186" s="75"/>
      <c r="D186" s="72"/>
      <c r="E186" s="75"/>
      <c r="F186" s="72"/>
      <c r="G186" s="75"/>
      <c r="H186" s="72"/>
      <c r="I186" s="75"/>
      <c r="J186" s="72"/>
      <c r="K186" s="75"/>
      <c r="L186" s="72"/>
      <c r="M186" s="75"/>
      <c r="N186" s="72"/>
      <c r="O186" s="75"/>
      <c r="P186" s="72"/>
      <c r="Q186" s="75"/>
      <c r="R186" s="72"/>
      <c r="S186" s="75"/>
      <c r="T186" s="72"/>
      <c r="U186" s="75"/>
      <c r="V186" s="72"/>
      <c r="W186" s="75"/>
      <c r="X186" s="72"/>
      <c r="Y186" s="75"/>
      <c r="Z186" s="72"/>
      <c r="AA186" s="75"/>
      <c r="AB186" s="72"/>
      <c r="AC186" s="75"/>
      <c r="AD186" s="72"/>
      <c r="AE186" s="75"/>
      <c r="AF186" s="72"/>
      <c r="AG186" s="75"/>
      <c r="AH186" s="72"/>
      <c r="AI186" s="75"/>
      <c r="AJ186" s="72"/>
      <c r="AK186" s="75"/>
      <c r="AL186" s="72"/>
      <c r="AM186" s="75"/>
      <c r="AN186" s="72"/>
      <c r="AO186" s="75"/>
      <c r="AP186" s="72"/>
      <c r="AQ186" s="75"/>
      <c r="AR186" s="72"/>
      <c r="AS186" s="75"/>
      <c r="AT186" s="72"/>
      <c r="AU186" s="75"/>
      <c r="AV186" s="72"/>
      <c r="AW186" s="75"/>
      <c r="AX186" s="72"/>
      <c r="AY186" s="75"/>
      <c r="AZ186" s="72"/>
      <c r="BA186" s="75"/>
      <c r="BB186" s="72"/>
      <c r="BC186" s="75"/>
      <c r="BD186" s="72"/>
      <c r="BE186" s="75"/>
      <c r="BF186" s="72"/>
      <c r="BG186" s="75"/>
      <c r="BH186" s="72"/>
      <c r="BI186" s="75"/>
      <c r="BJ186" s="72"/>
      <c r="BK186" s="75"/>
      <c r="BL186" s="72"/>
      <c r="BM186" s="75"/>
      <c r="BN186" s="72"/>
      <c r="BO186" s="75"/>
      <c r="BP186" s="72"/>
      <c r="BQ186" s="75"/>
      <c r="BR186" s="72"/>
      <c r="BS186" s="75"/>
      <c r="BT186" s="72"/>
      <c r="BU186" s="75"/>
      <c r="BV186" s="72"/>
      <c r="BW186" s="75"/>
      <c r="BX186" s="72"/>
      <c r="BY186" s="75"/>
      <c r="BZ186" s="72"/>
      <c r="CA186" s="75"/>
      <c r="CB186" s="72"/>
      <c r="CC186" s="75"/>
      <c r="CD186" s="72"/>
      <c r="CE186" s="75"/>
      <c r="CF186" s="72"/>
      <c r="CG186" s="75"/>
      <c r="CH186" s="72"/>
      <c r="CI186" s="75"/>
      <c r="CJ186" s="72"/>
      <c r="CK186" s="75"/>
      <c r="CL186" s="72"/>
      <c r="CM186" s="75"/>
      <c r="CN186" s="72"/>
      <c r="CO186" s="75"/>
      <c r="CP186" s="72"/>
      <c r="CQ186" s="75"/>
      <c r="CR186" s="72"/>
      <c r="CS186" s="75"/>
      <c r="CT186" s="72"/>
      <c r="CU186" s="75"/>
      <c r="CV186" s="72"/>
      <c r="CW186" s="75"/>
      <c r="CX186" s="72"/>
      <c r="CY186" s="75"/>
      <c r="CZ186" s="72"/>
      <c r="DA186" s="75"/>
      <c r="DB186" s="72"/>
      <c r="DC186" s="75"/>
      <c r="DD186" s="72"/>
      <c r="DE186" s="75"/>
      <c r="DF186" s="72"/>
      <c r="DG186" s="75"/>
      <c r="DH186" s="72"/>
      <c r="DI186" s="75"/>
      <c r="DJ186" s="72"/>
      <c r="DK186" s="75"/>
      <c r="DL186" s="72"/>
      <c r="DM186" s="75"/>
      <c r="DN186" s="72"/>
      <c r="DO186" s="75"/>
      <c r="DP186" s="72"/>
      <c r="DQ186" s="75"/>
      <c r="DR186" s="72"/>
      <c r="DS186" s="75"/>
      <c r="DT186" s="72"/>
      <c r="DU186" s="75"/>
      <c r="DV186" s="72"/>
      <c r="DW186" s="75"/>
      <c r="DX186" s="72"/>
      <c r="DY186" s="75"/>
      <c r="DZ186" s="72"/>
      <c r="EA186" s="75"/>
      <c r="EB186" s="72"/>
      <c r="EC186" s="75"/>
      <c r="ED186" s="72"/>
      <c r="EE186" s="75"/>
      <c r="EF186" s="72"/>
      <c r="EG186" s="75"/>
      <c r="EH186" s="72"/>
      <c r="EI186" s="75"/>
      <c r="EJ186" s="72"/>
      <c r="EK186" s="75"/>
      <c r="EL186" s="72"/>
      <c r="EM186" s="75"/>
      <c r="EN186" s="72"/>
      <c r="EO186" s="75"/>
      <c r="EP186" s="72"/>
      <c r="EQ186" s="75"/>
      <c r="ER186" s="72"/>
      <c r="ES186" s="75"/>
      <c r="ET186" s="72"/>
      <c r="EU186" s="75"/>
      <c r="EV186" s="72"/>
      <c r="EW186" s="75"/>
      <c r="EX186" s="72"/>
      <c r="EY186" s="72"/>
      <c r="EZ186" s="309"/>
      <c r="FA186" s="72"/>
      <c r="FB186" s="81"/>
      <c r="FC186" s="72"/>
      <c r="FD186" s="81"/>
      <c r="FE186" s="72"/>
      <c r="FF186" s="81"/>
      <c r="FG186" s="72"/>
      <c r="FH186" s="81"/>
      <c r="FI186" s="72"/>
      <c r="FJ186" s="81"/>
      <c r="FK186" s="72"/>
      <c r="FL186" s="81"/>
      <c r="FM186" s="72"/>
      <c r="FN186" s="81"/>
      <c r="FO186" s="72"/>
      <c r="FP186" s="81"/>
      <c r="FQ186" s="72"/>
      <c r="FR186" s="75"/>
      <c r="FS186" s="72"/>
      <c r="FT186" s="75"/>
      <c r="FU186" s="72"/>
      <c r="FV186" s="75"/>
      <c r="FW186" s="72"/>
      <c r="FX186" s="75"/>
      <c r="FY186" s="72"/>
      <c r="FZ186" s="75"/>
      <c r="GA186" s="72"/>
      <c r="GB186" s="75"/>
      <c r="GC186" s="72"/>
      <c r="GD186" s="75"/>
      <c r="GE186" s="72"/>
      <c r="GF186" s="75"/>
      <c r="GG186" s="72"/>
      <c r="GH186" s="75"/>
      <c r="GI186" s="72"/>
      <c r="GJ186" s="75"/>
      <c r="GK186" s="72"/>
      <c r="GL186" s="75"/>
      <c r="GM186" s="72"/>
      <c r="GN186" s="75"/>
      <c r="GO186" s="72"/>
      <c r="GP186" s="75"/>
      <c r="GQ186" s="72"/>
      <c r="GR186" s="75"/>
      <c r="GS186" s="72"/>
      <c r="GT186" s="75"/>
      <c r="GU186" s="72"/>
      <c r="GV186" s="75"/>
      <c r="GW186" s="72"/>
      <c r="GX186" s="75"/>
      <c r="GY186" s="72"/>
      <c r="GZ186" s="72"/>
      <c r="HA186" s="72"/>
      <c r="HB186" s="72"/>
      <c r="HC186"/>
      <c r="HD186"/>
      <c r="HE186"/>
      <c r="HF186"/>
      <c r="HG186"/>
      <c r="HH186"/>
      <c r="HI186" s="2"/>
    </row>
    <row r="187" spans="1:217" s="3" customFormat="1" ht="12.75" customHeight="1" x14ac:dyDescent="0.2">
      <c r="B187" s="77" t="s">
        <v>334</v>
      </c>
      <c r="C187" s="74"/>
      <c r="D187" s="72"/>
      <c r="E187" s="74"/>
      <c r="F187" s="72"/>
      <c r="G187" s="74"/>
      <c r="H187" s="72"/>
      <c r="I187" s="74"/>
      <c r="J187" s="72"/>
      <c r="K187" s="74">
        <v>18</v>
      </c>
      <c r="L187" s="72" t="str">
        <f>IF(ISERROR(K187/C187),"NA",IF(OR(K187/C187&gt;2,K187/C187&lt;0.5),"NM",K187/C187*100-100))</f>
        <v>NA</v>
      </c>
      <c r="M187" s="74">
        <v>3</v>
      </c>
      <c r="N187" s="72" t="str">
        <f>IF(ISERROR(M187/E187),"NA",IF(OR(M187/E187&gt;2,M187/E187&lt;0.5),"NM",M187/E187*100-100))</f>
        <v>NA</v>
      </c>
      <c r="O187" s="74">
        <v>-8</v>
      </c>
      <c r="P187" s="72" t="str">
        <f>IF(ISERROR(O187/G187),"NA",IF(OR(O187/G187&gt;2,O187/G187&lt;0.5),"NM",O187/G187*100-100))</f>
        <v>NA</v>
      </c>
      <c r="Q187" s="74">
        <v>7</v>
      </c>
      <c r="R187" s="72" t="str">
        <f>IF(ISERROR(Q187/I187),"NA",IF(OR(Q187/I187&gt;2,Q187/I187&lt;0.5),"NM",Q187/I187*100-100))</f>
        <v>NA</v>
      </c>
      <c r="S187" s="74">
        <v>8</v>
      </c>
      <c r="T187" s="72" t="str">
        <f>IF(ISERROR(S187/K187),"NA",IF(OR(S187/K187&gt;2,S187/K187&lt;0.5),"NM",S187/K187*100-100))</f>
        <v>NM</v>
      </c>
      <c r="U187" s="74">
        <v>21</v>
      </c>
      <c r="V187" s="72" t="str">
        <f>IF(ISERROR(U187/M187),"NA",IF(OR(U187/M187&gt;2,U187/M187&lt;0.5),"NM",U187/M187*100-100))</f>
        <v>NM</v>
      </c>
      <c r="W187" s="74">
        <v>10</v>
      </c>
      <c r="X187" s="72" t="str">
        <f>IF(ISERROR(W187/O187),"NA",IF(OR(W187/O187&gt;2,W187/O187&lt;0.5),"NM",W187/O187*100-100))</f>
        <v>NM</v>
      </c>
      <c r="Y187" s="74">
        <v>38</v>
      </c>
      <c r="Z187" s="72" t="str">
        <f>IF(ISERROR(Y187/Q187),"NA",IF(OR(Y187/Q187&gt;2,Y187/Q187&lt;0.5),"NM",Y187/Q187*100-100))</f>
        <v>NM</v>
      </c>
      <c r="AA187" s="74">
        <v>14</v>
      </c>
      <c r="AB187" s="72">
        <f>IF(ISERROR(AA187/S187),"NA",IF(OR(AA187/S187&gt;2,AA187/S187&lt;0.5),"NM",AA187/S187*100-100))</f>
        <v>75</v>
      </c>
      <c r="AC187" s="74">
        <v>8</v>
      </c>
      <c r="AD187" s="72" t="str">
        <f>IF(ISERROR(AC187/U187),"NA",IF(OR(AC187/U187&gt;2,AC187/U187&lt;0.5),"NM",AC187/U187*100-100))</f>
        <v>NM</v>
      </c>
      <c r="AE187" s="74">
        <v>1</v>
      </c>
      <c r="AF187" s="72" t="str">
        <f>IF(ISERROR(AE187/W187),"NA",IF(OR(AE187/W187&gt;2,AE187/W187&lt;0.5),"NM",AE187/W187*100-100))</f>
        <v>NM</v>
      </c>
      <c r="AG187" s="74">
        <v>6</v>
      </c>
      <c r="AH187" s="72" t="str">
        <f>IF(ISERROR(AG187/Y187),"NA",IF(OR(AG187/Y187&gt;2,AG187/Y187&lt;0.5),"NM",AG187/Y187*100-100))</f>
        <v>NM</v>
      </c>
      <c r="AI187" s="74">
        <v>12</v>
      </c>
      <c r="AJ187" s="72">
        <f>IF(ISERROR(AI187/AA187),"NA",IF(OR(AI187/AA187&gt;2,AI187/AA187&lt;0.5),"NM",AI187/AA187*100-100))</f>
        <v>-14.285714285714292</v>
      </c>
      <c r="AK187" s="74">
        <v>27</v>
      </c>
      <c r="AL187" s="72" t="str">
        <f>IF(ISERROR(AK187/AC187),"NA",IF(OR(AK187/AC187&gt;2,AK187/AC187&lt;0.5),"NM",AK187/AC187*100-100))</f>
        <v>NM</v>
      </c>
      <c r="AM187" s="74">
        <v>43</v>
      </c>
      <c r="AN187" s="72" t="str">
        <f>IF(ISERROR(AM187/AE187),"NA",IF(OR(AM187/AE187&gt;2,AM187/AE187&lt;0.5),"NM",AM187/AE187*100-100))</f>
        <v>NM</v>
      </c>
      <c r="AO187" s="74">
        <v>11</v>
      </c>
      <c r="AP187" s="72">
        <f>IF(ISERROR(AO187/AG187),"NA",IF(OR(AO187/AG187&gt;2,AO187/AG187&lt;0.5),"NM",AO187/AG187*100-100))</f>
        <v>83.333333333333314</v>
      </c>
      <c r="AQ187" s="74">
        <v>41</v>
      </c>
      <c r="AR187" s="72" t="str">
        <f>IF(ISERROR(AQ187/AI187),"NA",IF(OR(AQ187/AI187&gt;2,AQ187/AI187&lt;0.5),"NM",AQ187/AI187*100-100))</f>
        <v>NM</v>
      </c>
      <c r="AS187" s="74">
        <v>103</v>
      </c>
      <c r="AT187" s="72" t="str">
        <f>IF(ISERROR(AS187/AK187),"NA",IF(OR(AS187/AK187&gt;2,AS187/AK187&lt;0.5),"NM",AS187/AK187*100-100))</f>
        <v>NM</v>
      </c>
      <c r="AU187" s="74">
        <v>106</v>
      </c>
      <c r="AV187" s="72" t="str">
        <f>IF(ISERROR(AU187/AM187),"NA",IF(OR(AU187/AM187&gt;2,AU187/AM187&lt;0.5),"NM",AU187/AM187*100-100))</f>
        <v>NM</v>
      </c>
      <c r="AW187" s="74">
        <v>70</v>
      </c>
      <c r="AX187" s="72" t="str">
        <f>IF(ISERROR(AW187/AO187),"NA",IF(OR(AW187/AO187&gt;2,AW187/AO187&lt;0.5),"NM",AW187/AO187*100-100))</f>
        <v>NM</v>
      </c>
      <c r="AY187" s="74">
        <v>92</v>
      </c>
      <c r="AZ187" s="72" t="str">
        <f>IF(ISERROR(AY187/AQ187),"NA",IF(OR(AY187/AQ187&gt;2,AY187/AQ187&lt;0.5),"NM",AY187/AQ187*100-100))</f>
        <v>NM</v>
      </c>
      <c r="BA187" s="74">
        <v>30</v>
      </c>
      <c r="BB187" s="72" t="str">
        <f>IF(ISERROR(BA187/AS187),"NA",IF(OR(BA187/AS187&gt;2,BA187/AS187&lt;0.5),"NM",BA187/AS187*100-100))</f>
        <v>NM</v>
      </c>
      <c r="BC187" s="74">
        <v>84</v>
      </c>
      <c r="BD187" s="72">
        <f>IF(ISERROR(BC187/AU187),"NA",IF(OR(BC187/AU187&gt;2,BC187/AU187&lt;0.5),"NM",BC187/AU187*100-100))</f>
        <v>-20.754716981132077</v>
      </c>
      <c r="BE187" s="74">
        <v>88</v>
      </c>
      <c r="BF187" s="72">
        <f>IF(ISERROR(BE187/AW187),"NA",IF(OR(BE187/AW187&gt;2,BE187/AW187&lt;0.5),"NM",BE187/AW187*100-100))</f>
        <v>25.714285714285708</v>
      </c>
      <c r="BG187" s="74">
        <v>96</v>
      </c>
      <c r="BH187" s="72">
        <f>IF(ISERROR(BG187/AY187),"NA",IF(OR(BG187/AY187&gt;2,BG187/AY187&lt;0.5),"NM",BG187/AY187*100-100))</f>
        <v>4.3478260869565162</v>
      </c>
      <c r="BI187" s="74">
        <v>71</v>
      </c>
      <c r="BJ187" s="72" t="str">
        <f>IF(ISERROR(BI187/BA187),"NA",IF(OR(BI187/BA187&gt;2,BI187/BA187&lt;0.5),"NM",BI187/BA187*100-100))</f>
        <v>NM</v>
      </c>
      <c r="BK187" s="74">
        <v>88</v>
      </c>
      <c r="BL187" s="72">
        <f>IF(ISERROR(BK187/BC187),"NA",IF(OR(BK187/BC187&gt;2,BK187/BC187&lt;0.5),"NM",BK187/BC187*100-100))</f>
        <v>4.7619047619047734</v>
      </c>
      <c r="BM187" s="74">
        <v>74</v>
      </c>
      <c r="BN187" s="72">
        <f>IF(ISERROR(BM187/BE187),"NA",IF(OR(BM187/BE187&gt;2,BM187/BE187&lt;0.5),"NM",BM187/BE187*100-100))</f>
        <v>-15.909090909090907</v>
      </c>
      <c r="BO187" s="74">
        <v>200</v>
      </c>
      <c r="BP187" s="72" t="str">
        <f>IF(ISERROR(BO187/BG187),"NA",IF(OR(BO187/BG187&gt;2,BO187/BG187&lt;0.5),"NM",BO187/BG187*100-100))</f>
        <v>NM</v>
      </c>
      <c r="BQ187" s="74">
        <v>138</v>
      </c>
      <c r="BR187" s="72">
        <f>IF(ISERROR(BQ187/BI187),"NA",IF(OR(BQ187/BI187&gt;2,BQ187/BI187&lt;0.5),"NM",BQ187/BI187*100-100))</f>
        <v>94.366197183098592</v>
      </c>
      <c r="BS187" s="74">
        <v>57</v>
      </c>
      <c r="BT187" s="72">
        <f>IF(ISERROR(BS187/BK187),"NA",IF(OR(BS187/BK187&gt;2,BS187/BK187&lt;0.5),"NM",BS187/BK187*100-100))</f>
        <v>-35.227272727272734</v>
      </c>
      <c r="BU187" s="74">
        <v>195</v>
      </c>
      <c r="BV187" s="72" t="str">
        <f>IF(ISERROR(BU187/BM187),"NA",IF(OR(BU187/BM187&gt;2,BU187/BM187&lt;0.5),"NM",BU187/BM187*100-100))</f>
        <v>NM</v>
      </c>
      <c r="BW187" s="74">
        <v>158</v>
      </c>
      <c r="BX187" s="72">
        <f>IF(ISERROR(BW187/BO187),"NA",IF(OR(BW187/BO187&gt;2,BW187/BO187&lt;0.5),"NM",BW187/BO187*100-100))</f>
        <v>-21</v>
      </c>
      <c r="BY187" s="74">
        <v>245</v>
      </c>
      <c r="BZ187" s="72">
        <f>IF(ISERROR(BY187/BQ187),"NA",IF(OR(BY187/BQ187&gt;2,BY187/BQ187&lt;0.5),"NM",BY187/BQ187*100-100))</f>
        <v>77.536231884057969</v>
      </c>
      <c r="CA187" s="74">
        <v>90</v>
      </c>
      <c r="CB187" s="72">
        <f>IF(ISERROR(CA187/BS187),"NA",IF(OR(CA187/BS187&gt;2,CA187/BS187&lt;0.5),"NM",CA187/BS187*100-100))</f>
        <v>57.89473684210526</v>
      </c>
      <c r="CC187" s="74">
        <v>109</v>
      </c>
      <c r="CD187" s="72">
        <f>IF(ISERROR(CC187/BU187),"NA",IF(OR(CC187/BU187&gt;2,CC187/BU187&lt;0.5),"NM",CC187/BU187*100-100))</f>
        <v>-44.102564102564102</v>
      </c>
      <c r="CE187" s="74">
        <v>109</v>
      </c>
      <c r="CF187" s="72">
        <f>IF(ISERROR(CE187/BW187),"NA",IF(OR(CE187/BW187&gt;2,CE187/BW187&lt;0.5),"NM",CE187/BW187*100-100))</f>
        <v>-31.012658227848107</v>
      </c>
      <c r="CG187" s="74">
        <v>348</v>
      </c>
      <c r="CH187" s="72">
        <f>IF(ISERROR(CG187/BY187),"NA",IF(OR(CG187/BY187&gt;2,CG187/BY187&lt;0.5),"NM",CG187/BY187*100-100))</f>
        <v>42.040816326530603</v>
      </c>
      <c r="CI187" s="74">
        <v>351</v>
      </c>
      <c r="CJ187" s="72" t="str">
        <f>IF(ISERROR(CI187/CA187),"NA",IF(OR(CI187/CA187&gt;2,CI187/CA187&lt;0.5),"NM",CI187/CA187*100-100))</f>
        <v>NM</v>
      </c>
      <c r="CK187" s="74">
        <v>258</v>
      </c>
      <c r="CL187" s="72" t="str">
        <f>IF(ISERROR(CK187/CC187),"NA",IF(OR(CK187/CC187&gt;2,CK187/CC187&lt;0.5),"NM",CK187/CC187*100-100))</f>
        <v>NM</v>
      </c>
      <c r="CM187" s="74">
        <v>172</v>
      </c>
      <c r="CN187" s="72">
        <f>IF(ISERROR(CM187/CE187),"NA",IF(OR(CM187/CE187&gt;2,CM187/CE187&lt;0.5),"NM",CM187/CE187*100-100))</f>
        <v>57.798165137614689</v>
      </c>
      <c r="CO187" s="74">
        <v>213</v>
      </c>
      <c r="CP187" s="72">
        <f>IF(ISERROR(CO187/CG187),"NA",IF(OR(CO187/CG187&gt;2,CO187/CG187&lt;0.5),"NM",CO187/CG187*100-100))</f>
        <v>-38.793103448275865</v>
      </c>
      <c r="CQ187" s="74">
        <v>162</v>
      </c>
      <c r="CR187" s="72" t="str">
        <f>IF(ISERROR(CQ187/CI187),"NA",IF(OR(CQ187/CI187&gt;2,CQ187/CI187&lt;0.5),"NM",CQ187/CI187*100-100))</f>
        <v>NM</v>
      </c>
      <c r="CS187" s="74">
        <v>233</v>
      </c>
      <c r="CT187" s="72">
        <f>IF(ISERROR(CS187/CK187),"NA",IF(OR(CS187/CK187&gt;2,CS187/CK187&lt;0.5),"NM",CS187/CK187*100-100))</f>
        <v>-9.6899224806201545</v>
      </c>
      <c r="CU187" s="74">
        <v>89</v>
      </c>
      <c r="CV187" s="72">
        <f>IF(ISERROR(CU187/CM187),"NA",IF(OR(CU187/CM187&gt;2,CU187/CM187&lt;0.5),"NM",CU187/CM187*100-100))</f>
        <v>-48.255813953488371</v>
      </c>
      <c r="CW187" s="74">
        <v>221</v>
      </c>
      <c r="CX187" s="72">
        <f>IF(ISERROR(CW187/CO187),"NA",IF(OR(CW187/CO187&gt;2,CW187/CO187&lt;0.5),"NM",CW187/CO187*100-100))</f>
        <v>3.7558685446009434</v>
      </c>
      <c r="CY187" s="74">
        <v>137</v>
      </c>
      <c r="CZ187" s="72">
        <f>IF(ISERROR(CY187/CQ187),"NA",IF(OR(CY187/CQ187&gt;2,CY187/CQ187&lt;0.5),"NM",CY187/CQ187*100-100))</f>
        <v>-15.432098765432102</v>
      </c>
      <c r="DA187" s="74">
        <v>31955</v>
      </c>
      <c r="DB187" s="72" t="str">
        <f>IF(ISERROR(DA187/CS187),"NA",IF(OR(DA187/CS187&gt;2,DA187/CS187&lt;0.5),"NM",DA187/CS187*100-100))</f>
        <v>NM</v>
      </c>
      <c r="DC187" s="74">
        <v>121</v>
      </c>
      <c r="DD187" s="72">
        <f>IF(ISERROR(DC187/CU187),"NA",IF(OR(DC187/CU187&gt;2,DC187/CU187&lt;0.5),"NM",DC187/CU187*100-100))</f>
        <v>35.955056179775283</v>
      </c>
      <c r="DE187" s="74">
        <v>227</v>
      </c>
      <c r="DF187" s="72">
        <f>IF(ISERROR(DE187/CW187),"NA",IF(OR(DE187/CW187&gt;2,DE187/CW187&lt;0.5),"NM",DE187/CW187*100-100))</f>
        <v>2.7149321266968229</v>
      </c>
      <c r="DG187" s="74">
        <v>250</v>
      </c>
      <c r="DH187" s="72">
        <f>IF(ISERROR(DG187/CY187),"NA",IF(OR(DG187/CY187&gt;2,DG187/CY187&lt;0.5),"NM",DG187/CY187*100-100))</f>
        <v>82.481751824817508</v>
      </c>
      <c r="DI187" s="74">
        <v>302</v>
      </c>
      <c r="DJ187" s="72" t="str">
        <f>IF(ISERROR(DI187/DA187),"NA",IF(OR(DI187/DA187&gt;2,DI187/DA187&lt;0.5),"NM",DI187/DA187*100-100))</f>
        <v>NM</v>
      </c>
      <c r="DK187" s="74">
        <v>168</v>
      </c>
      <c r="DL187" s="74" t="str">
        <f>DJ187</f>
        <v>NM</v>
      </c>
      <c r="DM187" s="74">
        <v>173</v>
      </c>
      <c r="DN187" s="72">
        <f t="shared" ref="DN187:DZ191" si="1127">IF(ISERROR(DM187/DE187),"NA",IF(OR(DM187/DE187&gt;2,DM187/DE187&lt;0.5),"NM",DM187/DE187*100-100))</f>
        <v>-23.788546255506603</v>
      </c>
      <c r="DO187" s="74">
        <v>1110</v>
      </c>
      <c r="DP187" s="72" t="str">
        <f t="shared" si="1127"/>
        <v>NM</v>
      </c>
      <c r="DQ187" s="74">
        <v>5345</v>
      </c>
      <c r="DR187" s="72" t="str">
        <f t="shared" si="1127"/>
        <v>NM</v>
      </c>
      <c r="DS187" s="74">
        <v>1184</v>
      </c>
      <c r="DT187" s="72" t="str">
        <f t="shared" si="1127"/>
        <v>NM</v>
      </c>
      <c r="DU187" s="74">
        <v>1908</v>
      </c>
      <c r="DV187" s="72" t="str">
        <f t="shared" si="1127"/>
        <v>NM</v>
      </c>
      <c r="DW187" s="74">
        <v>660</v>
      </c>
      <c r="DX187" s="72">
        <f t="shared" si="1127"/>
        <v>-40.54054054054054</v>
      </c>
      <c r="DY187" s="74">
        <v>2976</v>
      </c>
      <c r="DZ187" s="72">
        <f t="shared" si="1127"/>
        <v>-44.321796071094475</v>
      </c>
      <c r="EA187" s="74">
        <v>639</v>
      </c>
      <c r="EB187" s="72">
        <f>IF(ISERROR(EA187/DS187),"NA",IF(OR(EA187/DS187&gt;2,EA187/DS187&lt;0.5),"NM",EA187/DS187*100-100))</f>
        <v>-46.030405405405403</v>
      </c>
      <c r="EC187" s="74">
        <v>974</v>
      </c>
      <c r="ED187" s="72">
        <f>IF(ISERROR(EC187/DU187),"NA",IF(OR(EC187/DU187&gt;2,EC187/DU187&lt;0.5),"NM",EC187/DU187*100-100))</f>
        <v>-48.951781970649897</v>
      </c>
      <c r="EE187" s="74">
        <v>3752</v>
      </c>
      <c r="EF187" s="72" t="str">
        <f>IF(ISERROR(EE187/DW187),"NA",IF(OR(EE187/DW187&gt;2,EE187/DW187&lt;0.5),"NM",EE187/DW187*100-100))</f>
        <v>NM</v>
      </c>
      <c r="EG187" s="74">
        <v>2214</v>
      </c>
      <c r="EH187" s="72">
        <f>IF(ISERROR(EG187/DY187),"NA",IF(OR(EG187/DY187&gt;2,EG187/DY187&lt;0.5),"NM",EG187/DY187*100-100))</f>
        <v>-25.604838709677423</v>
      </c>
      <c r="EI187" s="74">
        <v>512</v>
      </c>
      <c r="EJ187" s="72">
        <f>IF(ISERROR(EI187/EA187),"NA",IF(OR(EI187/EA187&gt;2,EI187/EA187&lt;0.5),"NM",EI187/EA187*100-100))</f>
        <v>-19.87480438184663</v>
      </c>
      <c r="EK187" s="74">
        <v>2233</v>
      </c>
      <c r="EL187" s="72" t="str">
        <f>IF(ISERROR(EK187/EC187),"NA",IF(OR(EK187/EC187&gt;2,EK187/EC187&lt;0.5),"NM",EK187/EC187*100-100))</f>
        <v>NM</v>
      </c>
      <c r="EM187" s="74">
        <v>1920</v>
      </c>
      <c r="EN187" s="72">
        <f>IF(ISERROR(EM187/EE187),"NA",IF(OR(EM187/EE187&gt;2,EM187/EE187&lt;0.5),"NM",EM187/EE187*100-100))</f>
        <v>-48.827292110874197</v>
      </c>
      <c r="EO187" s="74">
        <v>3613</v>
      </c>
      <c r="EP187" s="72">
        <f>IF(ISERROR(EO187/EG187),"NA",IF(OR(EO187/EG187&gt;2,EO187/EG187&lt;0.5),"NM",EO187/EG187*100-100))</f>
        <v>63.188798554652209</v>
      </c>
      <c r="EQ187" s="74">
        <f>EM187*1.02</f>
        <v>1958.4</v>
      </c>
      <c r="ER187" s="72" t="str">
        <f t="shared" ref="ER187:ER191" si="1128">IF(ISERROR(EQ187/EI187),"NA",IF(OR(EQ187/EI187&gt;2,EQ187/EI187&lt;0.5),"NM",EQ187/EI187*100-100))</f>
        <v>NM</v>
      </c>
      <c r="ES187" s="74">
        <f t="shared" ref="ES187" si="1129">EQ187*1.01</f>
        <v>1977.9840000000002</v>
      </c>
      <c r="ET187" s="72">
        <f t="shared" ref="ET187:ET191" si="1130">IF(ISERROR(ES187/EK187),"NA",IF(OR(ES187/EK187&gt;2,ES187/EK187&lt;0.5),"NM",ES187/EK187*100-100))</f>
        <v>-11.420331392745169</v>
      </c>
      <c r="EU187" s="74">
        <f t="shared" ref="EU187" si="1131">ES187*1.01</f>
        <v>1997.7638400000001</v>
      </c>
      <c r="EV187" s="72">
        <f t="shared" ref="EV187:EV191" si="1132">IF(ISERROR(EU187/EM187),"NA",IF(OR(EU187/EM187&gt;2,EU187/EM187&lt;0.5),"NM",EU187/EM187*100-100))</f>
        <v>4.0502000000000038</v>
      </c>
      <c r="EW187" s="74">
        <f t="shared" ref="EW187" si="1133">EU187*1.01</f>
        <v>2017.7414784</v>
      </c>
      <c r="EX187" s="72">
        <f t="shared" ref="EX187:EX191" si="1134">IF(ISERROR(EW187/EO187),"NA",IF(OR(EW187/EO187&gt;2,EW187/EO187&lt;0.5),"NM",EW187/EO187*100-100))</f>
        <v>-44.15329425961805</v>
      </c>
      <c r="EY187" s="72"/>
      <c r="EZ187" s="309"/>
      <c r="FA187" s="72"/>
      <c r="FB187" s="81"/>
      <c r="FC187" s="72"/>
      <c r="FD187" s="74">
        <v>80</v>
      </c>
      <c r="FE187" s="72" t="str">
        <f>IF(ISERROR(FD187/FB187),"NA",IF(OR(FD187/FB187&gt;2,FD187/FB187&lt;0.5),"NM",FD187/FB187*100-100))</f>
        <v>NA</v>
      </c>
      <c r="FF187" s="74">
        <v>71</v>
      </c>
      <c r="FG187" s="72">
        <f>IF(ISERROR(FF187/FD187),"NA",IF(OR(FF187/FD187&gt;2,FF187/FD187&lt;0.5),"NM",FF187/FD187*100-100))</f>
        <v>-11.25</v>
      </c>
      <c r="FH187" s="75">
        <f>+K187+M187+O187+Q187</f>
        <v>20</v>
      </c>
      <c r="FI187" s="72" t="str">
        <f>IF(ISERROR(FH187/FF187),"NA",IF(OR(FH187/FF187&gt;2,FH187/FF187&lt;0.5),"NM",FH187/FF187*100-100))</f>
        <v>NM</v>
      </c>
      <c r="FJ187" s="75">
        <f>+S187+U187+W187+Y187</f>
        <v>77</v>
      </c>
      <c r="FK187" s="72" t="str">
        <f>IF(ISERROR(FJ187/FH187),"NA",IF(OR(FJ187/FH187&gt;2,FJ187/FH187&lt;0.5),"NM",FJ187/FH187*100-100))</f>
        <v>NM</v>
      </c>
      <c r="FL187" s="75">
        <f>+AA187+AC187+AE187+AG187</f>
        <v>29</v>
      </c>
      <c r="FM187" s="72" t="str">
        <f>IF(ISERROR(FL187/FJ187),"NA",IF(OR(FL187/FJ187&gt;2,FL187/FJ187&lt;0.5),"NM",FL187/FJ187*100-100))</f>
        <v>NM</v>
      </c>
      <c r="FN187" s="75">
        <f>+AI187+AK187+AM187+AO187</f>
        <v>93</v>
      </c>
      <c r="FO187" s="72" t="str">
        <f>IF(ISERROR(FN187/FL187),"NA",IF(OR(FN187/FL187&gt;2,FN187/FL187&lt;0.5),"NM",FN187/FL187*100-100))</f>
        <v>NM</v>
      </c>
      <c r="FP187" s="75">
        <f>AQ187+AS187+AU187+AW187</f>
        <v>320</v>
      </c>
      <c r="FQ187" s="72" t="str">
        <f>IF(ISERROR(FP187/FN187),"NA",IF(OR(FP187/FN187&gt;2,FP187/FN187&lt;0.5),"NM",FP187/FN187*100-100))</f>
        <v>NM</v>
      </c>
      <c r="FR187" s="75">
        <f>AY187+BA187+BC187+BE187</f>
        <v>294</v>
      </c>
      <c r="FS187" s="72">
        <f>IF(ISERROR(FR187/FP187),"NA",IF(OR(FR187/FP187&gt;2,FR187/FP187&lt;0.5),"NM",FR187/FP187*100-100))</f>
        <v>-8.125</v>
      </c>
      <c r="FT187" s="75">
        <f>BG187+BI187+BK187+BM187</f>
        <v>329</v>
      </c>
      <c r="FU187" s="72">
        <f>IF(ISERROR(FT187/FR187),"NA",IF(OR(FT187/FR187&gt;2,FT187/FR187&lt;0.5),"NM",FT187/FR187*100-100))</f>
        <v>11.904761904761912</v>
      </c>
      <c r="FV187" s="75">
        <f>BO187+BQ187+BS187+BU187</f>
        <v>590</v>
      </c>
      <c r="FW187" s="72">
        <f>IF(ISERROR(FV187/FT187),"NA",IF(OR(FV187/FT187&gt;2,FV187/FT187&lt;0.5),"NM",FV187/FT187*100-100))</f>
        <v>79.331306990881473</v>
      </c>
      <c r="FX187" s="75">
        <f>BW187+BY187+CA187+CC187</f>
        <v>602</v>
      </c>
      <c r="FY187" s="72">
        <f>IF(ISERROR(FX187/FV187),"NA",IF(OR(FX187/FV187&gt;2,FX187/FV187&lt;0.5),"NM",FX187/FV187*100-100))</f>
        <v>2.0338983050847332</v>
      </c>
      <c r="FZ187" s="75">
        <f>CE187+CG187+CI187+CK187</f>
        <v>1066</v>
      </c>
      <c r="GA187" s="72">
        <f>IF(ISERROR(FZ187/FX187),"NA",IF(OR(FZ187/FX187&gt;2,FZ187/FX187&lt;0.5),"NM",FZ187/FX187*100-100))</f>
        <v>77.076411960132873</v>
      </c>
      <c r="GB187" s="75">
        <f>CM187+CO187+CQ187+CS187</f>
        <v>780</v>
      </c>
      <c r="GC187" s="72">
        <f>IF(ISERROR(GB187/FZ187),"NA",IF(OR(GB187/FZ187&gt;2,GB187/FZ187&lt;0.5),"NM",GB187/FZ187*100-100))</f>
        <v>-26.829268292682926</v>
      </c>
      <c r="GD187" s="75">
        <f>CU187+CW187+CY187+DA187</f>
        <v>32402</v>
      </c>
      <c r="GE187" s="72" t="str">
        <f>IF(ISERROR(GD187/GB187),"NA",IF(OR(GD187/GB187&gt;2,GD187/GB187&lt;0.5),"NM",GD187/GB187*100-100))</f>
        <v>NM</v>
      </c>
      <c r="GF187" s="75">
        <f>DC187+DE187+DG187+DI187</f>
        <v>900</v>
      </c>
      <c r="GG187" s="72" t="str">
        <f>IF(ISERROR(GF187/GD187),"NA",IF(OR(GF187/GD187&gt;2,GF187/GD187&lt;0.5),"NM",GF187/GD187*100-100))</f>
        <v>NM</v>
      </c>
      <c r="GH187" s="75">
        <f>DK187+DM187+DO187+DQ187</f>
        <v>6796</v>
      </c>
      <c r="GI187" s="72" t="str">
        <f t="shared" ref="GI187:GU191" si="1135">IF(ISERROR(GH187/GF187),"NA",IF(OR(GH187/GF187&gt;2,GH187/GF187&lt;0.5),"NM",GH187/GF187*100-100))</f>
        <v>NM</v>
      </c>
      <c r="GJ187" s="75">
        <f>DS187+DU187+DW187+DY187</f>
        <v>6728</v>
      </c>
      <c r="GK187" s="72">
        <f t="shared" si="1135"/>
        <v>-1.0005885815185422</v>
      </c>
      <c r="GL187" s="75">
        <f>EA187+EC187+EE187+EG187</f>
        <v>7579</v>
      </c>
      <c r="GM187" s="72">
        <f t="shared" si="1135"/>
        <v>12.648632580261591</v>
      </c>
      <c r="GN187" s="75">
        <f>EI187+EK187+EM187+EO187</f>
        <v>8278</v>
      </c>
      <c r="GO187" s="72">
        <f t="shared" si="1135"/>
        <v>9.2228526190790205</v>
      </c>
      <c r="GP187" s="75">
        <f>EQ187+ES187+EU187+EW187</f>
        <v>7951.8893183999999</v>
      </c>
      <c r="GQ187" s="72">
        <f t="shared" si="1135"/>
        <v>-3.9394863686880939</v>
      </c>
      <c r="GR187" s="74">
        <f>GP187*1.05</f>
        <v>8349.4837843200003</v>
      </c>
      <c r="GS187" s="72">
        <f t="shared" si="1135"/>
        <v>5</v>
      </c>
      <c r="GT187" s="74">
        <f>GR187*1.05</f>
        <v>8766.9579735360003</v>
      </c>
      <c r="GU187" s="72">
        <f t="shared" si="1135"/>
        <v>5</v>
      </c>
      <c r="GV187" s="74">
        <f>GT187*1.05</f>
        <v>9205.3058722128008</v>
      </c>
      <c r="GW187" s="72">
        <f>IF(ISERROR(GV187/GT187),"NA",IF(OR(GV187/GT187&gt;2,GV187/GT187&lt;0.5),"NM",GV187/GT187*100-100))</f>
        <v>5</v>
      </c>
      <c r="GX187" s="74">
        <f>GV187*1.05</f>
        <v>9665.5711658234413</v>
      </c>
      <c r="GY187" s="72">
        <f>IF(ISERROR(GX187/GV187),"NA",IF(OR(GX187/GV187&gt;2,GX187/GV187&lt;0.5),"NM",GX187/GV187*100-100))</f>
        <v>5</v>
      </c>
      <c r="GZ187" s="72">
        <f>IF(ISERROR(((GX187/GN187)^0.2-1)*100),"NA",IF((((GX187/GN187)^0.2-1)*100)&gt;100,"NM",IF((((GX187/GN187)^0.2-1)*100)&lt;-50,"NM",((GX187/GN187)^0.2-1)*100)))</f>
        <v>3.1479070303813028</v>
      </c>
      <c r="HA187" s="72"/>
      <c r="HB187" s="72"/>
      <c r="HC187"/>
      <c r="HD187"/>
      <c r="HE187"/>
      <c r="HF187"/>
      <c r="HG187"/>
      <c r="HH187"/>
      <c r="HI187" s="2"/>
    </row>
    <row r="188" spans="1:217" s="3" customFormat="1" ht="12.75" customHeight="1" x14ac:dyDescent="0.2">
      <c r="B188" s="77" t="s">
        <v>437</v>
      </c>
      <c r="C188" s="74"/>
      <c r="D188" s="72"/>
      <c r="E188" s="74"/>
      <c r="F188" s="72"/>
      <c r="G188" s="74"/>
      <c r="H188" s="72"/>
      <c r="I188" s="74"/>
      <c r="J188" s="72"/>
      <c r="K188" s="74">
        <v>19</v>
      </c>
      <c r="L188" s="72" t="str">
        <f>IF(ISERROR(K188/C188),"NA",IF(OR(K188/C188&gt;2,K188/C188&lt;0.5),"NM",K188/C188*100-100))</f>
        <v>NA</v>
      </c>
      <c r="M188" s="74">
        <v>20</v>
      </c>
      <c r="N188" s="72" t="str">
        <f>IF(ISERROR(M188/E188),"NA",IF(OR(M188/E188&gt;2,M188/E188&lt;0.5),"NM",M188/E188*100-100))</f>
        <v>NA</v>
      </c>
      <c r="O188" s="74">
        <v>18</v>
      </c>
      <c r="P188" s="72" t="str">
        <f>IF(ISERROR(O188/G188),"NA",IF(OR(O188/G188&gt;2,O188/G188&lt;0.5),"NM",O188/G188*100-100))</f>
        <v>NA</v>
      </c>
      <c r="Q188" s="74">
        <v>23</v>
      </c>
      <c r="R188" s="72" t="str">
        <f>IF(ISERROR(Q188/I188),"NA",IF(OR(Q188/I188&gt;2,Q188/I188&lt;0.5),"NM",Q188/I188*100-100))</f>
        <v>NA</v>
      </c>
      <c r="S188" s="74">
        <v>19</v>
      </c>
      <c r="T188" s="72">
        <f>IF(ISERROR(S188/K188),"NA",IF(OR(S188/K188&gt;2,S188/K188&lt;0.5),"NM",S188/K188*100-100))</f>
        <v>0</v>
      </c>
      <c r="U188" s="74">
        <v>19</v>
      </c>
      <c r="V188" s="72">
        <f>IF(ISERROR(U188/M188),"NA",IF(OR(U188/M188&gt;2,U188/M188&lt;0.5),"NM",U188/M188*100-100))</f>
        <v>-5</v>
      </c>
      <c r="W188" s="74">
        <v>15</v>
      </c>
      <c r="X188" s="72">
        <f>IF(ISERROR(W188/O188),"NA",IF(OR(W188/O188&gt;2,W188/O188&lt;0.5),"NM",W188/O188*100-100))</f>
        <v>-16.666666666666657</v>
      </c>
      <c r="Y188" s="74">
        <v>18</v>
      </c>
      <c r="Z188" s="72">
        <f>IF(ISERROR(Y188/Q188),"NA",IF(OR(Y188/Q188&gt;2,Y188/Q188&lt;0.5),"NM",Y188/Q188*100-100))</f>
        <v>-21.739130434782609</v>
      </c>
      <c r="AA188" s="74">
        <v>18</v>
      </c>
      <c r="AB188" s="72">
        <f>IF(ISERROR(AA188/S188),"NA",IF(OR(AA188/S188&gt;2,AA188/S188&lt;0.5),"NM",AA188/S188*100-100))</f>
        <v>-5.2631578947368496</v>
      </c>
      <c r="AC188" s="74">
        <v>19</v>
      </c>
      <c r="AD188" s="72">
        <f>IF(ISERROR(AC188/U188),"NA",IF(OR(AC188/U188&gt;2,AC188/U188&lt;0.5),"NM",AC188/U188*100-100))</f>
        <v>0</v>
      </c>
      <c r="AE188" s="74">
        <v>17</v>
      </c>
      <c r="AF188" s="72">
        <f>IF(ISERROR(AE188/W188),"NA",IF(OR(AE188/W188&gt;2,AE188/W188&lt;0.5),"NM",AE188/W188*100-100))</f>
        <v>13.333333333333329</v>
      </c>
      <c r="AG188" s="74">
        <v>18</v>
      </c>
      <c r="AH188" s="72">
        <f>IF(ISERROR(AG188/Y188),"NA",IF(OR(AG188/Y188&gt;2,AG188/Y188&lt;0.5),"NM",AG188/Y188*100-100))</f>
        <v>0</v>
      </c>
      <c r="AI188" s="74">
        <v>18</v>
      </c>
      <c r="AJ188" s="72">
        <f>IF(ISERROR(AI188/AA188),"NA",IF(OR(AI188/AA188&gt;2,AI188/AA188&lt;0.5),"NM",AI188/AA188*100-100))</f>
        <v>0</v>
      </c>
      <c r="AK188" s="74">
        <v>47</v>
      </c>
      <c r="AL188" s="72" t="str">
        <f>IF(ISERROR(AK188/AC188),"NA",IF(OR(AK188/AC188&gt;2,AK188/AC188&lt;0.5),"NM",AK188/AC188*100-100))</f>
        <v>NM</v>
      </c>
      <c r="AM188" s="74">
        <v>43</v>
      </c>
      <c r="AN188" s="72" t="str">
        <f>IF(ISERROR(AM188/AE188),"NA",IF(OR(AM188/AE188&gt;2,AM188/AE188&lt;0.5),"NM",AM188/AE188*100-100))</f>
        <v>NM</v>
      </c>
      <c r="AO188" s="74">
        <v>47</v>
      </c>
      <c r="AP188" s="72" t="str">
        <f>IF(ISERROR(AO188/AG188),"NA",IF(OR(AO188/AG188&gt;2,AO188/AG188&lt;0.5),"NM",AO188/AG188*100-100))</f>
        <v>NM</v>
      </c>
      <c r="AQ188" s="74">
        <v>46</v>
      </c>
      <c r="AR188" s="72" t="str">
        <f>IF(ISERROR(AQ188/AI188),"NA",IF(OR(AQ188/AI188&gt;2,AQ188/AI188&lt;0.5),"NM",AQ188/AI188*100-100))</f>
        <v>NM</v>
      </c>
      <c r="AS188" s="74">
        <v>48</v>
      </c>
      <c r="AT188" s="72">
        <f>IF(ISERROR(AS188/AK188),"NA",IF(OR(AS188/AK188&gt;2,AS188/AK188&lt;0.5),"NM",AS188/AK188*100-100))</f>
        <v>2.1276595744680833</v>
      </c>
      <c r="AU188" s="74">
        <v>46</v>
      </c>
      <c r="AV188" s="72">
        <f>IF(ISERROR(AU188/AM188),"NA",IF(OR(AU188/AM188&gt;2,AU188/AM188&lt;0.5),"NM",AU188/AM188*100-100))</f>
        <v>6.9767441860465027</v>
      </c>
      <c r="AW188" s="74">
        <v>48</v>
      </c>
      <c r="AX188" s="72">
        <f>IF(ISERROR(AW188/AO188),"NA",IF(OR(AW188/AO188&gt;2,AW188/AO188&lt;0.5),"NM",AW188/AO188*100-100))</f>
        <v>2.1276595744680833</v>
      </c>
      <c r="AY188" s="74">
        <v>48</v>
      </c>
      <c r="AZ188" s="72">
        <f>IF(ISERROR(AY188/AQ188),"NA",IF(OR(AY188/AQ188&gt;2,AY188/AQ188&lt;0.5),"NM",AY188/AQ188*100-100))</f>
        <v>4.3478260869565162</v>
      </c>
      <c r="BA188" s="74">
        <v>43</v>
      </c>
      <c r="BB188" s="72">
        <f>IF(ISERROR(BA188/AS188),"NA",IF(OR(BA188/AS188&gt;2,BA188/AS188&lt;0.5),"NM",BA188/AS188*100-100))</f>
        <v>-10.416666666666657</v>
      </c>
      <c r="BC188" s="74">
        <v>45</v>
      </c>
      <c r="BD188" s="72">
        <f>IF(ISERROR(BC188/AU188),"NA",IF(OR(BC188/AU188&gt;2,BC188/AU188&lt;0.5),"NM",BC188/AU188*100-100))</f>
        <v>-2.1739130434782652</v>
      </c>
      <c r="BE188" s="74">
        <v>43</v>
      </c>
      <c r="BF188" s="72">
        <f>IF(ISERROR(BE188/AW188),"NA",IF(OR(BE188/AW188&gt;2,BE188/AW188&lt;0.5),"NM",BE188/AW188*100-100))</f>
        <v>-10.416666666666657</v>
      </c>
      <c r="BG188" s="74">
        <v>44</v>
      </c>
      <c r="BH188" s="72">
        <f>IF(ISERROR(BG188/AY188),"NA",IF(OR(BG188/AY188&gt;2,BG188/AY188&lt;0.5),"NM",BG188/AY188*100-100))</f>
        <v>-8.3333333333333428</v>
      </c>
      <c r="BI188" s="74">
        <v>44</v>
      </c>
      <c r="BJ188" s="72">
        <f>IF(ISERROR(BI188/BA188),"NA",IF(OR(BI188/BA188&gt;2,BI188/BA188&lt;0.5),"NM",BI188/BA188*100-100))</f>
        <v>2.3255813953488484</v>
      </c>
      <c r="BK188" s="74">
        <v>40</v>
      </c>
      <c r="BL188" s="72">
        <f>IF(ISERROR(BK188/BC188),"NA",IF(OR(BK188/BC188&gt;2,BK188/BC188&lt;0.5),"NM",BK188/BC188*100-100))</f>
        <v>-11.111111111111114</v>
      </c>
      <c r="BM188" s="74">
        <v>44</v>
      </c>
      <c r="BN188" s="72">
        <f>IF(ISERROR(BM188/BE188),"NA",IF(OR(BM188/BE188&gt;2,BM188/BE188&lt;0.5),"NM",BM188/BE188*100-100))</f>
        <v>2.3255813953488484</v>
      </c>
      <c r="BO188" s="74">
        <v>43</v>
      </c>
      <c r="BP188" s="72">
        <f>IF(ISERROR(BO188/BG188),"NA",IF(OR(BO188/BG188&gt;2,BO188/BG188&lt;0.5),"NM",BO188/BG188*100-100))</f>
        <v>-2.2727272727272663</v>
      </c>
      <c r="BQ188" s="74">
        <v>46</v>
      </c>
      <c r="BR188" s="72">
        <f>IF(ISERROR(BQ188/BI188),"NA",IF(OR(BQ188/BI188&gt;2,BQ188/BI188&lt;0.5),"NM",BQ188/BI188*100-100))</f>
        <v>4.5454545454545467</v>
      </c>
      <c r="BS188" s="74">
        <v>45</v>
      </c>
      <c r="BT188" s="72">
        <f>IF(ISERROR(BS188/BK188),"NA",IF(OR(BS188/BK188&gt;2,BS188/BK188&lt;0.5),"NM",BS188/BK188*100-100))</f>
        <v>12.5</v>
      </c>
      <c r="BU188" s="74">
        <v>46</v>
      </c>
      <c r="BV188" s="72">
        <f>IF(ISERROR(BU188/BM188),"NA",IF(OR(BU188/BM188&gt;2,BU188/BM188&lt;0.5),"NM",BU188/BM188*100-100))</f>
        <v>4.5454545454545467</v>
      </c>
      <c r="BW188" s="74">
        <v>49</v>
      </c>
      <c r="BX188" s="72">
        <f>IF(ISERROR(BW188/BO188),"NA",IF(OR(BW188/BO188&gt;2,BW188/BO188&lt;0.5),"NM",BW188/BO188*100-100))</f>
        <v>13.95348837209302</v>
      </c>
      <c r="BY188" s="74">
        <v>49</v>
      </c>
      <c r="BZ188" s="72">
        <f>IF(ISERROR(BY188/BQ188),"NA",IF(OR(BY188/BQ188&gt;2,BY188/BQ188&lt;0.5),"NM",BY188/BQ188*100-100))</f>
        <v>6.5217391304347956</v>
      </c>
      <c r="CA188" s="74">
        <v>48</v>
      </c>
      <c r="CB188" s="72">
        <f>IF(ISERROR(CA188/BS188),"NA",IF(OR(CA188/BS188&gt;2,CA188/BS188&lt;0.5),"NM",CA188/BS188*100-100))</f>
        <v>6.6666666666666714</v>
      </c>
      <c r="CC188" s="74">
        <v>52</v>
      </c>
      <c r="CD188" s="72">
        <f>IF(ISERROR(CC188/BU188),"NA",IF(OR(CC188/BU188&gt;2,CC188/BU188&lt;0.5),"NM",CC188/BU188*100-100))</f>
        <v>13.043478260869563</v>
      </c>
      <c r="CE188" s="74">
        <v>53</v>
      </c>
      <c r="CF188" s="72">
        <f>IF(ISERROR(CE188/BW188),"NA",IF(OR(CE188/BW188&gt;2,CE188/BW188&lt;0.5),"NM",CE188/BW188*100-100))</f>
        <v>8.1632653061224545</v>
      </c>
      <c r="CG188" s="74">
        <v>48</v>
      </c>
      <c r="CH188" s="72">
        <f>IF(ISERROR(CG188/BY188),"NA",IF(OR(CG188/BY188&gt;2,CG188/BY188&lt;0.5),"NM",CG188/BY188*100-100))</f>
        <v>-2.0408163265306172</v>
      </c>
      <c r="CI188" s="74">
        <v>50</v>
      </c>
      <c r="CJ188" s="72">
        <f>IF(ISERROR(CI188/CA188),"NA",IF(OR(CI188/CA188&gt;2,CI188/CA188&lt;0.5),"NM",CI188/CA188*100-100))</f>
        <v>4.1666666666666714</v>
      </c>
      <c r="CK188" s="74">
        <v>50</v>
      </c>
      <c r="CL188" s="72">
        <f>IF(ISERROR(CK188/CC188),"NA",IF(OR(CK188/CC188&gt;2,CK188/CC188&lt;0.5),"NM",CK188/CC188*100-100))</f>
        <v>-3.8461538461538396</v>
      </c>
      <c r="CM188" s="74">
        <v>49</v>
      </c>
      <c r="CN188" s="72">
        <f>IF(ISERROR(CM188/CE188),"NA",IF(OR(CM188/CE188&gt;2,CM188/CE188&lt;0.5),"NM",CM188/CE188*100-100))</f>
        <v>-7.5471698113207566</v>
      </c>
      <c r="CO188" s="74">
        <v>45</v>
      </c>
      <c r="CP188" s="72">
        <f>IF(ISERROR(CO188/CG188),"NA",IF(OR(CO188/CG188&gt;2,CO188/CG188&lt;0.5),"NM",CO188/CG188*100-100))</f>
        <v>-6.25</v>
      </c>
      <c r="CQ188" s="74">
        <v>50</v>
      </c>
      <c r="CR188" s="72">
        <f>IF(ISERROR(CQ188/CI188),"NA",IF(OR(CQ188/CI188&gt;2,CQ188/CI188&lt;0.5),"NM",CQ188/CI188*100-100))</f>
        <v>0</v>
      </c>
      <c r="CS188" s="74">
        <v>49</v>
      </c>
      <c r="CT188" s="72">
        <f>IF(ISERROR(CS188/CK188),"NA",IF(OR(CS188/CK188&gt;2,CS188/CK188&lt;0.5),"NM",CS188/CK188*100-100))</f>
        <v>-2</v>
      </c>
      <c r="CU188" s="74">
        <v>50</v>
      </c>
      <c r="CV188" s="72">
        <f>IF(ISERROR(CU188/CM188),"NA",IF(OR(CU188/CM188&gt;2,CU188/CM188&lt;0.5),"NM",CU188/CM188*100-100))</f>
        <v>2.0408163265306172</v>
      </c>
      <c r="CW188" s="74">
        <v>50</v>
      </c>
      <c r="CX188" s="72">
        <f>IF(ISERROR(CW188/CO188),"NA",IF(OR(CW188/CO188&gt;2,CW188/CO188&lt;0.5),"NM",CW188/CO188*100-100))</f>
        <v>11.111111111111114</v>
      </c>
      <c r="CY188" s="74">
        <v>53</v>
      </c>
      <c r="CZ188" s="72">
        <f>IF(ISERROR(CY188/CQ188),"NA",IF(OR(CY188/CQ188&gt;2,CY188/CQ188&lt;0.5),"NM",CY188/CQ188*100-100))</f>
        <v>6</v>
      </c>
      <c r="DA188" s="74">
        <v>49</v>
      </c>
      <c r="DB188" s="72">
        <f>IF(ISERROR(DA188/CS188),"NA",IF(OR(DA188/CS188&gt;2,DA188/CS188&lt;0.5),"NM",DA188/CS188*100-100))</f>
        <v>0</v>
      </c>
      <c r="DC188" s="74">
        <v>48</v>
      </c>
      <c r="DD188" s="72">
        <f>IF(ISERROR(DC188/CU188),"NA",IF(OR(DC188/CU188&gt;2,DC188/CU188&lt;0.5),"NM",DC188/CU188*100-100))</f>
        <v>-4</v>
      </c>
      <c r="DE188" s="74">
        <v>54</v>
      </c>
      <c r="DF188" s="72">
        <f>IF(ISERROR(DE188/CW188),"NA",IF(OR(DE188/CW188&gt;2,DE188/CW188&lt;0.5),"NM",DE188/CW188*100-100))</f>
        <v>8</v>
      </c>
      <c r="DG188" s="74">
        <v>52</v>
      </c>
      <c r="DH188" s="72">
        <f>IF(ISERROR(DG188/CY188),"NA",IF(OR(DG188/CY188&gt;2,DG188/CY188&lt;0.5),"NM",DG188/CY188*100-100))</f>
        <v>-1.8867924528301927</v>
      </c>
      <c r="DI188" s="74">
        <v>53</v>
      </c>
      <c r="DJ188" s="72">
        <f>IF(ISERROR(DI188/DA188),"NA",IF(OR(DI188/DA188&gt;2,DI188/DA188&lt;0.5),"NM",DI188/DA188*100-100))</f>
        <v>8.1632653061224545</v>
      </c>
      <c r="DK188" s="74">
        <v>53</v>
      </c>
      <c r="DL188" s="72">
        <f>IF(ISERROR(DK188/DC188),"NA",IF(OR(DK188/DC188&gt;2,DK188/DC188&lt;0.5),"NM",DK188/DC188*100-100))</f>
        <v>10.416666666666671</v>
      </c>
      <c r="DM188" s="74">
        <v>55</v>
      </c>
      <c r="DN188" s="72">
        <f t="shared" si="1127"/>
        <v>1.8518518518518619</v>
      </c>
      <c r="DO188" s="74">
        <v>53</v>
      </c>
      <c r="DP188" s="72">
        <f t="shared" si="1127"/>
        <v>1.9230769230769198</v>
      </c>
      <c r="DQ188" s="74">
        <v>56</v>
      </c>
      <c r="DR188" s="72">
        <f t="shared" si="1127"/>
        <v>5.6603773584905639</v>
      </c>
      <c r="DS188" s="74">
        <v>51</v>
      </c>
      <c r="DT188" s="72">
        <f t="shared" si="1127"/>
        <v>-3.7735849056603712</v>
      </c>
      <c r="DU188" s="74">
        <v>58</v>
      </c>
      <c r="DV188" s="72">
        <f t="shared" si="1127"/>
        <v>5.454545454545439</v>
      </c>
      <c r="DW188" s="74">
        <v>54</v>
      </c>
      <c r="DX188" s="72">
        <f t="shared" si="1127"/>
        <v>1.8867924528301927</v>
      </c>
      <c r="DY188" s="74">
        <v>54</v>
      </c>
      <c r="DZ188" s="72">
        <f t="shared" si="1127"/>
        <v>-3.5714285714285694</v>
      </c>
      <c r="EA188" s="74">
        <v>55</v>
      </c>
      <c r="EB188" s="72">
        <f>IF(ISERROR(EA188/DS188),"NA",IF(OR(EA188/DS188&gt;2,EA188/DS188&lt;0.5),"NM",EA188/DS188*100-100))</f>
        <v>7.8431372549019613</v>
      </c>
      <c r="EC188" s="74">
        <v>56</v>
      </c>
      <c r="ED188" s="72">
        <f>IF(ISERROR(EC188/DU188),"NA",IF(OR(EC188/DU188&gt;2,EC188/DU188&lt;0.5),"NM",EC188/DU188*100-100))</f>
        <v>-3.448275862068968</v>
      </c>
      <c r="EE188" s="74">
        <v>56</v>
      </c>
      <c r="EF188" s="72">
        <f>IF(ISERROR(EE188/DW188),"NA",IF(OR(EE188/DW188&gt;2,EE188/DW188&lt;0.5),"NM",EE188/DW188*100-100))</f>
        <v>3.7037037037036953</v>
      </c>
      <c r="EG188" s="74">
        <v>61</v>
      </c>
      <c r="EH188" s="72">
        <f>IF(ISERROR(EG188/DY188),"NA",IF(OR(EG188/DY188&gt;2,EG188/DY188&lt;0.5),"NM",EG188/DY188*100-100))</f>
        <v>12.962962962962948</v>
      </c>
      <c r="EI188" s="74">
        <v>58</v>
      </c>
      <c r="EJ188" s="72">
        <f>IF(ISERROR(EI188/EA188),"NA",IF(OR(EI188/EA188&gt;2,EI188/EA188&lt;0.5),"NM",EI188/EA188*100-100))</f>
        <v>5.454545454545439</v>
      </c>
      <c r="EK188" s="74">
        <v>59</v>
      </c>
      <c r="EL188" s="72">
        <f>IF(ISERROR(EK188/EC188),"NA",IF(OR(EK188/EC188&gt;2,EK188/EC188&lt;0.5),"NM",EK188/EC188*100-100))</f>
        <v>5.3571428571428612</v>
      </c>
      <c r="EM188" s="74">
        <v>61</v>
      </c>
      <c r="EN188" s="72">
        <f>IF(ISERROR(EM188/EE188),"NA",IF(OR(EM188/EE188&gt;2,EM188/EE188&lt;0.5),"NM",EM188/EE188*100-100))</f>
        <v>8.9285714285714164</v>
      </c>
      <c r="EO188" s="74">
        <v>60</v>
      </c>
      <c r="EP188" s="72">
        <f>IF(ISERROR(EO188/EG188),"NA",IF(OR(EO188/EG188&gt;2,EO188/EG188&lt;0.5),"NM",EO188/EG188*100-100))</f>
        <v>-1.6393442622950829</v>
      </c>
      <c r="EQ188" s="75">
        <f t="shared" ref="EQ188" si="1136">+EQ182*EQ193/400</f>
        <v>60.839231743878443</v>
      </c>
      <c r="ER188" s="72">
        <f t="shared" si="1128"/>
        <v>4.8952271446180049</v>
      </c>
      <c r="ES188" s="75">
        <f t="shared" ref="ES188" si="1137">+ES182*ES193/400</f>
        <v>61.054408798537025</v>
      </c>
      <c r="ET188" s="72">
        <f t="shared" si="1130"/>
        <v>3.482048811079693</v>
      </c>
      <c r="EU188" s="75">
        <f t="shared" ref="EU188" si="1138">+EU182*EU193/400</f>
        <v>61.694497269558688</v>
      </c>
      <c r="EV188" s="72">
        <f t="shared" si="1132"/>
        <v>1.1385201140306407</v>
      </c>
      <c r="EW188" s="75">
        <f t="shared" ref="EW188" si="1139">+EW182*EW193/400</f>
        <v>62.341496047306443</v>
      </c>
      <c r="EX188" s="72">
        <f t="shared" si="1134"/>
        <v>3.9024934121774066</v>
      </c>
      <c r="EY188" s="72"/>
      <c r="EZ188" s="309"/>
      <c r="FA188" s="72"/>
      <c r="FB188" s="81"/>
      <c r="FC188" s="72"/>
      <c r="FD188" s="74">
        <v>83</v>
      </c>
      <c r="FE188" s="72" t="str">
        <f>IF(ISERROR(FD188/FB188),"NA",IF(OR(FD188/FB188&gt;2,FD188/FB188&lt;0.5),"NM",FD188/FB188*100-100))</f>
        <v>NA</v>
      </c>
      <c r="FF188" s="74">
        <v>78</v>
      </c>
      <c r="FG188" s="72">
        <f>IF(ISERROR(FF188/FD188),"NA",IF(OR(FF188/FD188&gt;2,FF188/FD188&lt;0.5),"NM",FF188/FD188*100-100))</f>
        <v>-6.0240963855421654</v>
      </c>
      <c r="FH188" s="75">
        <f>+K188+M188+O188+Q188</f>
        <v>80</v>
      </c>
      <c r="FI188" s="72">
        <f>IF(ISERROR(FH188/FF188),"NA",IF(OR(FH188/FF188&gt;2,FH188/FF188&lt;0.5),"NM",FH188/FF188*100-100))</f>
        <v>2.564102564102555</v>
      </c>
      <c r="FJ188" s="75">
        <f>+S188+U188+W188+Y188</f>
        <v>71</v>
      </c>
      <c r="FK188" s="72">
        <f>IF(ISERROR(FJ188/FH188),"NA",IF(OR(FJ188/FH188&gt;2,FJ188/FH188&lt;0.5),"NM",FJ188/FH188*100-100))</f>
        <v>-11.25</v>
      </c>
      <c r="FL188" s="75">
        <f>+AA188+AC188+AE188+AG188</f>
        <v>72</v>
      </c>
      <c r="FM188" s="72">
        <f>IF(ISERROR(FL188/FJ188),"NA",IF(OR(FL188/FJ188&gt;2,FL188/FJ188&lt;0.5),"NM",FL188/FJ188*100-100))</f>
        <v>1.4084507042253449</v>
      </c>
      <c r="FN188" s="75">
        <f>+AI188+AK188+AM188+AO188</f>
        <v>155</v>
      </c>
      <c r="FO188" s="72" t="str">
        <f>IF(ISERROR(FN188/FL188),"NA",IF(OR(FN188/FL188&gt;2,FN188/FL188&lt;0.5),"NM",FN188/FL188*100-100))</f>
        <v>NM</v>
      </c>
      <c r="FP188" s="75">
        <f>AQ188+AS188+AU188+AW188</f>
        <v>188</v>
      </c>
      <c r="FQ188" s="72">
        <f>IF(ISERROR(FP188/FN188),"NA",IF(OR(FP188/FN188&gt;2,FP188/FN188&lt;0.5),"NM",FP188/FN188*100-100))</f>
        <v>21.290322580645153</v>
      </c>
      <c r="FR188" s="75">
        <f>AY188+BA188+BC188+BE188</f>
        <v>179</v>
      </c>
      <c r="FS188" s="72">
        <f>IF(ISERROR(FR188/FP188),"NA",IF(OR(FR188/FP188&gt;2,FR188/FP188&lt;0.5),"NM",FR188/FP188*100-100))</f>
        <v>-4.7872340425531945</v>
      </c>
      <c r="FT188" s="75">
        <f>BG188+BI188+BK188+BM188</f>
        <v>172</v>
      </c>
      <c r="FU188" s="72">
        <f>IF(ISERROR(FT188/FR188),"NA",IF(OR(FT188/FR188&gt;2,FT188/FR188&lt;0.5),"NM",FT188/FR188*100-100))</f>
        <v>-3.910614525139664</v>
      </c>
      <c r="FV188" s="75">
        <f>BO188+BQ188+BS188+BU188</f>
        <v>180</v>
      </c>
      <c r="FW188" s="72">
        <f>IF(ISERROR(FV188/FT188),"NA",IF(OR(FV188/FT188&gt;2,FV188/FT188&lt;0.5),"NM",FV188/FT188*100-100))</f>
        <v>4.6511627906976827</v>
      </c>
      <c r="FX188" s="75">
        <f>BW188+BY188+CA188+CC188</f>
        <v>198</v>
      </c>
      <c r="FY188" s="72">
        <f>IF(ISERROR(FX188/FV188),"NA",IF(OR(FX188/FV188&gt;2,FX188/FV188&lt;0.5),"NM",FX188/FV188*100-100))</f>
        <v>10.000000000000014</v>
      </c>
      <c r="FZ188" s="75">
        <f>CE188+CG188+CI188+CK188</f>
        <v>201</v>
      </c>
      <c r="GA188" s="72">
        <f>IF(ISERROR(FZ188/FX188),"NA",IF(OR(FZ188/FX188&gt;2,FZ188/FX188&lt;0.5),"NM",FZ188/FX188*100-100))</f>
        <v>1.5151515151515156</v>
      </c>
      <c r="GB188" s="75">
        <f>CM188+CO188+CQ188+CS188</f>
        <v>193</v>
      </c>
      <c r="GC188" s="72">
        <f>IF(ISERROR(GB188/FZ188),"NA",IF(OR(GB188/FZ188&gt;2,GB188/FZ188&lt;0.5),"NM",GB188/FZ188*100-100))</f>
        <v>-3.9800995024875618</v>
      </c>
      <c r="GD188" s="75">
        <f>CU188+CW188+CY188+DA188</f>
        <v>202</v>
      </c>
      <c r="GE188" s="72">
        <f>IF(ISERROR(GD188/GB188),"NA",IF(OR(GD188/GB188&gt;2,GD188/GB188&lt;0.5),"NM",GD188/GB188*100-100))</f>
        <v>4.6632124352331488</v>
      </c>
      <c r="GF188" s="75">
        <f>DC188+DE188+DG188+DI188</f>
        <v>207</v>
      </c>
      <c r="GG188" s="72">
        <f>IF(ISERROR(GF188/GD188),"NA",IF(OR(GF188/GD188&gt;2,GF188/GD188&lt;0.5),"NM",GF188/GD188*100-100))</f>
        <v>2.4752475247524757</v>
      </c>
      <c r="GH188" s="75">
        <f>DK188+DM188+DO188+DQ188</f>
        <v>217</v>
      </c>
      <c r="GI188" s="72">
        <f t="shared" si="1135"/>
        <v>4.8309178743961354</v>
      </c>
      <c r="GJ188" s="75">
        <f>DS188+DU188+DW188+DY188</f>
        <v>217</v>
      </c>
      <c r="GK188" s="72">
        <f t="shared" si="1135"/>
        <v>0</v>
      </c>
      <c r="GL188" s="75">
        <f>EA188+EC188+EE188+EG188</f>
        <v>228</v>
      </c>
      <c r="GM188" s="72">
        <f t="shared" si="1135"/>
        <v>5.0691244239631175</v>
      </c>
      <c r="GN188" s="75">
        <f>EI188+EK188+EM188+EO188</f>
        <v>238</v>
      </c>
      <c r="GO188" s="72">
        <f t="shared" si="1135"/>
        <v>4.3859649122806985</v>
      </c>
      <c r="GP188" s="75">
        <f>EQ188+ES188+EU188+EW188</f>
        <v>245.92963385928059</v>
      </c>
      <c r="GQ188" s="72">
        <f t="shared" si="1135"/>
        <v>3.3317789324708258</v>
      </c>
      <c r="GR188" s="75">
        <f>+GR182*GR193/100</f>
        <v>254.35334237091953</v>
      </c>
      <c r="GS188" s="72">
        <f t="shared" si="1135"/>
        <v>3.4252515158295012</v>
      </c>
      <c r="GT188" s="75">
        <f>+GT182*GT193/100</f>
        <v>264.54300873276446</v>
      </c>
      <c r="GU188" s="72">
        <f t="shared" si="1135"/>
        <v>4.0061067280906713</v>
      </c>
      <c r="GV188" s="75">
        <f>+GV182*GV193/100</f>
        <v>275.1485376536499</v>
      </c>
      <c r="GW188" s="72">
        <f>IF(ISERROR(GV188/GT188),"NA",IF(OR(GV188/GT188&gt;2,GV188/GT188&lt;0.5),"NM",GV188/GT188*100-100))</f>
        <v>4.0089998868951113</v>
      </c>
      <c r="GX188" s="75">
        <f>+GX182*GX193/100</f>
        <v>286.18719386608268</v>
      </c>
      <c r="GY188" s="72">
        <f>IF(ISERROR(GX188/GV188),"NA",IF(OR(GX188/GV188&gt;2,GX188/GV188&lt;0.5),"NM",GX188/GV188*100-100))</f>
        <v>4.0118898346928518</v>
      </c>
      <c r="GZ188" s="72">
        <f>IF(ISERROR(((GX188/GN188)^0.2-1)*100),"NA",IF((((GX188/GN188)^0.2-1)*100)&gt;100,"NM",IF((((GX188/GN188)^0.2-1)*100)&lt;-50,"NM",((GX188/GN188)^0.2-1)*100)))</f>
        <v>3.7563410085366788</v>
      </c>
      <c r="HA188" s="72"/>
      <c r="HB188" s="72"/>
      <c r="HC188"/>
      <c r="HD188"/>
      <c r="HE188"/>
      <c r="HF188"/>
      <c r="HG188"/>
      <c r="HH188"/>
      <c r="HI188" s="2"/>
    </row>
    <row r="189" spans="1:217" s="3" customFormat="1" ht="12.75" customHeight="1" x14ac:dyDescent="0.2">
      <c r="B189" s="10" t="s">
        <v>667</v>
      </c>
      <c r="C189" s="74"/>
      <c r="D189" s="72"/>
      <c r="E189" s="74"/>
      <c r="F189" s="72"/>
      <c r="G189" s="74"/>
      <c r="H189" s="72"/>
      <c r="I189" s="74"/>
      <c r="J189" s="72"/>
      <c r="K189" s="74">
        <v>562</v>
      </c>
      <c r="L189" s="72" t="str">
        <f>IF(ISERROR(K189/C189),"NA",IF(OR(K189/C189&gt;2,K189/C189&lt;0.5),"NM",K189/C189*100-100))</f>
        <v>NA</v>
      </c>
      <c r="M189" s="74">
        <v>545</v>
      </c>
      <c r="N189" s="72" t="str">
        <f>IF(ISERROR(M189/E189),"NA",IF(OR(M189/E189&gt;2,M189/E189&lt;0.5),"NM",M189/E189*100-100))</f>
        <v>NA</v>
      </c>
      <c r="O189" s="74">
        <v>529</v>
      </c>
      <c r="P189" s="72" t="str">
        <f>IF(ISERROR(O189/G189),"NA",IF(OR(O189/G189&gt;2,O189/G189&lt;0.5),"NM",O189/G189*100-100))</f>
        <v>NA</v>
      </c>
      <c r="Q189" s="74">
        <v>512</v>
      </c>
      <c r="R189" s="72" t="str">
        <f>IF(ISERROR(Q189/I189),"NA",IF(OR(Q189/I189&gt;2,Q189/I189&lt;0.5),"NM",Q189/I189*100-100))</f>
        <v>NA</v>
      </c>
      <c r="S189" s="74">
        <v>502</v>
      </c>
      <c r="T189" s="72">
        <f>IF(ISERROR(S189/K189),"NA",IF(OR(S189/K189&gt;2,S189/K189&lt;0.5),"NM",S189/K189*100-100))</f>
        <v>-10.67615658362989</v>
      </c>
      <c r="U189" s="74">
        <v>542</v>
      </c>
      <c r="V189" s="72">
        <f>IF(ISERROR(U189/M189),"NA",IF(OR(U189/M189&gt;2,U189/M189&lt;0.5),"NM",U189/M189*100-100))</f>
        <v>-0.55045871559632076</v>
      </c>
      <c r="W189" s="74">
        <v>515</v>
      </c>
      <c r="X189" s="72">
        <f>IF(ISERROR(W189/O189),"NA",IF(OR(W189/O189&gt;2,W189/O189&lt;0.5),"NM",W189/O189*100-100))</f>
        <v>-2.6465028355387545</v>
      </c>
      <c r="Y189" s="74">
        <v>515</v>
      </c>
      <c r="Z189" s="72">
        <f>IF(ISERROR(Y189/Q189),"NA",IF(OR(Y189/Q189&gt;2,Y189/Q189&lt;0.5),"NM",Y189/Q189*100-100))</f>
        <v>0.5859375</v>
      </c>
      <c r="AA189" s="74">
        <v>517</v>
      </c>
      <c r="AB189" s="72">
        <f>IF(ISERROR(AA189/S189),"NA",IF(OR(AA189/S189&gt;2,AA189/S189&lt;0.5),"NM",AA189/S189*100-100))</f>
        <v>2.9880478087649323</v>
      </c>
      <c r="AC189" s="74">
        <v>515</v>
      </c>
      <c r="AD189" s="72">
        <f>IF(ISERROR(AC189/U189),"NA",IF(OR(AC189/U189&gt;2,AC189/U189&lt;0.5),"NM",AC189/U189*100-100))</f>
        <v>-4.9815498154981555</v>
      </c>
      <c r="AE189" s="74">
        <v>498</v>
      </c>
      <c r="AF189" s="72">
        <f>IF(ISERROR(AE189/W189),"NA",IF(OR(AE189/W189&gt;2,AE189/W189&lt;0.5),"NM",AE189/W189*100-100))</f>
        <v>-3.3009708737864116</v>
      </c>
      <c r="AG189" s="74">
        <v>513</v>
      </c>
      <c r="AH189" s="72">
        <f>IF(ISERROR(AG189/Y189),"NA",IF(OR(AG189/Y189&gt;2,AG189/Y189&lt;0.5),"NM",AG189/Y189*100-100))</f>
        <v>-0.38834951456310307</v>
      </c>
      <c r="AI189" s="74">
        <v>506</v>
      </c>
      <c r="AJ189" s="72">
        <f>IF(ISERROR(AI189/AA189),"NA",IF(OR(AI189/AA189&gt;2,AI189/AA189&lt;0.5),"NM",AI189/AA189*100-100))</f>
        <v>-2.1276595744680833</v>
      </c>
      <c r="AK189" s="74">
        <v>684</v>
      </c>
      <c r="AL189" s="72">
        <f>IF(ISERROR(AK189/AC189),"NA",IF(OR(AK189/AC189&gt;2,AK189/AC189&lt;0.5),"NM",AK189/AC189*100-100))</f>
        <v>32.815533980582529</v>
      </c>
      <c r="AM189" s="74">
        <v>705</v>
      </c>
      <c r="AN189" s="72">
        <f>IF(ISERROR(AM189/AE189),"NA",IF(OR(AM189/AE189&gt;2,AM189/AE189&lt;0.5),"NM",AM189/AE189*100-100))</f>
        <v>41.566265060240966</v>
      </c>
      <c r="AO189" s="74">
        <v>717</v>
      </c>
      <c r="AP189" s="72">
        <f>IF(ISERROR(AO189/AG189),"NA",IF(OR(AO189/AG189&gt;2,AO189/AG189&lt;0.5),"NM",AO189/AG189*100-100))</f>
        <v>39.766081871345023</v>
      </c>
      <c r="AQ189" s="74">
        <v>742</v>
      </c>
      <c r="AR189" s="72">
        <f>IF(ISERROR(AQ189/AI189),"NA",IF(OR(AQ189/AI189&gt;2,AQ189/AI189&lt;0.5),"NM",AQ189/AI189*100-100))</f>
        <v>46.640316205533594</v>
      </c>
      <c r="AS189" s="74">
        <v>747</v>
      </c>
      <c r="AT189" s="72">
        <f>IF(ISERROR(AS189/AK189),"NA",IF(OR(AS189/AK189&gt;2,AS189/AK189&lt;0.5),"NM",AS189/AK189*100-100))</f>
        <v>9.2105263157894655</v>
      </c>
      <c r="AU189" s="74">
        <v>774</v>
      </c>
      <c r="AV189" s="72">
        <f>IF(ISERROR(AU189/AM189),"NA",IF(OR(AU189/AM189&gt;2,AU189/AM189&lt;0.5),"NM",AU189/AM189*100-100))</f>
        <v>9.7872340425531945</v>
      </c>
      <c r="AW189" s="74">
        <v>787</v>
      </c>
      <c r="AX189" s="72">
        <f>IF(ISERROR(AW189/AO189),"NA",IF(OR(AW189/AO189&gt;2,AW189/AO189&lt;0.5),"NM",AW189/AO189*100-100))</f>
        <v>9.7629009762900836</v>
      </c>
      <c r="AY189" s="74">
        <v>798</v>
      </c>
      <c r="AZ189" s="72">
        <f>IF(ISERROR(AY189/AQ189),"NA",IF(OR(AY189/AQ189&gt;2,AY189/AQ189&lt;0.5),"NM",AY189/AQ189*100-100))</f>
        <v>7.5471698113207566</v>
      </c>
      <c r="BA189" s="74">
        <v>857</v>
      </c>
      <c r="BB189" s="72">
        <f>IF(ISERROR(BA189/AS189),"NA",IF(OR(BA189/AS189&gt;2,BA189/AS189&lt;0.5),"NM",BA189/AS189*100-100))</f>
        <v>14.725568942436411</v>
      </c>
      <c r="BC189" s="74">
        <v>866</v>
      </c>
      <c r="BD189" s="72">
        <f>IF(ISERROR(BC189/AU189),"NA",IF(OR(BC189/AU189&gt;2,BC189/AU189&lt;0.5),"NM",BC189/AU189*100-100))</f>
        <v>11.886304909560735</v>
      </c>
      <c r="BE189" s="74">
        <v>904</v>
      </c>
      <c r="BF189" s="72">
        <f>IF(ISERROR(BE189/AW189),"NA",IF(OR(BE189/AW189&gt;2,BE189/AW189&lt;0.5),"NM",BE189/AW189*100-100))</f>
        <v>14.866581956797972</v>
      </c>
      <c r="BG189" s="74">
        <v>894</v>
      </c>
      <c r="BH189" s="72">
        <f>IF(ISERROR(BG189/AY189),"NA",IF(OR(BG189/AY189&gt;2,BG189/AY189&lt;0.5),"NM",BG189/AY189*100-100))</f>
        <v>12.030075187969928</v>
      </c>
      <c r="BI189" s="74">
        <v>909</v>
      </c>
      <c r="BJ189" s="72">
        <f>IF(ISERROR(BI189/BA189),"NA",IF(OR(BI189/BA189&gt;2,BI189/BA189&lt;0.5),"NM",BI189/BA189*100-100))</f>
        <v>6.0676779463243946</v>
      </c>
      <c r="BK189" s="74">
        <v>934</v>
      </c>
      <c r="BL189" s="72">
        <f>IF(ISERROR(BK189/BC189),"NA",IF(OR(BK189/BC189&gt;2,BK189/BC189&lt;0.5),"NM",BK189/BC189*100-100))</f>
        <v>7.8521939953810573</v>
      </c>
      <c r="BM189" s="74">
        <v>939</v>
      </c>
      <c r="BN189" s="72">
        <f>IF(ISERROR(BM189/BE189),"NA",IF(OR(BM189/BE189&gt;2,BM189/BE189&lt;0.5),"NM",BM189/BE189*100-100))</f>
        <v>3.8716814159292028</v>
      </c>
      <c r="BO189" s="74">
        <v>893</v>
      </c>
      <c r="BP189" s="72">
        <f>IF(ISERROR(BO189/BG189),"NA",IF(OR(BO189/BG189&gt;2,BO189/BG189&lt;0.5),"NM",BO189/BG189*100-100))</f>
        <v>-0.1118568232662227</v>
      </c>
      <c r="BQ189" s="74">
        <v>885</v>
      </c>
      <c r="BR189" s="72">
        <f>IF(ISERROR(BQ189/BI189),"NA",IF(OR(BQ189/BI189&gt;2,BQ189/BI189&lt;0.5),"NM",BQ189/BI189*100-100))</f>
        <v>-2.6402640264026331</v>
      </c>
      <c r="BS189" s="74">
        <v>883</v>
      </c>
      <c r="BT189" s="72">
        <f>IF(ISERROR(BS189/BK189),"NA",IF(OR(BS189/BK189&gt;2,BS189/BK189&lt;0.5),"NM",BS189/BK189*100-100))</f>
        <v>-5.4603854389721533</v>
      </c>
      <c r="BU189" s="74">
        <v>903</v>
      </c>
      <c r="BV189" s="72">
        <f>IF(ISERROR(BU189/BM189),"NA",IF(OR(BU189/BM189&gt;2,BU189/BM189&lt;0.5),"NM",BU189/BM189*100-100))</f>
        <v>-3.8338658146964946</v>
      </c>
      <c r="BW189" s="74">
        <v>861</v>
      </c>
      <c r="BX189" s="72">
        <f>IF(ISERROR(BW189/BO189),"NA",IF(OR(BW189/BO189&gt;2,BW189/BO189&lt;0.5),"NM",BW189/BO189*100-100))</f>
        <v>-3.5834266517357207</v>
      </c>
      <c r="BY189" s="74">
        <v>831</v>
      </c>
      <c r="BZ189" s="72">
        <f>IF(ISERROR(BY189/BQ189),"NA",IF(OR(BY189/BQ189&gt;2,BY189/BQ189&lt;0.5),"NM",BY189/BQ189*100-100))</f>
        <v>-6.1016949152542423</v>
      </c>
      <c r="CA189" s="74">
        <v>815</v>
      </c>
      <c r="CB189" s="72">
        <f>IF(ISERROR(CA189/BS189),"NA",IF(OR(CA189/BS189&gt;2,CA189/BS189&lt;0.5),"NM",CA189/BS189*100-100))</f>
        <v>-7.7010192525481358</v>
      </c>
      <c r="CC189" s="74">
        <v>802</v>
      </c>
      <c r="CD189" s="72">
        <f>IF(ISERROR(CC189/BU189),"NA",IF(OR(CC189/BU189&gt;2,CC189/BU189&lt;0.5),"NM",CC189/BU189*100-100))</f>
        <v>-11.184939091915837</v>
      </c>
      <c r="CE189" s="74">
        <v>797</v>
      </c>
      <c r="CF189" s="72">
        <f>IF(ISERROR(CE189/BW189),"NA",IF(OR(CE189/BW189&gt;2,CE189/BW189&lt;0.5),"NM",CE189/BW189*100-100))</f>
        <v>-7.4332171893147603</v>
      </c>
      <c r="CG189" s="74">
        <v>805</v>
      </c>
      <c r="CH189" s="72">
        <f>IF(ISERROR(CG189/BY189),"NA",IF(OR(CG189/BY189&gt;2,CG189/BY189&lt;0.5),"NM",CG189/BY189*100-100))</f>
        <v>-3.1287605294825482</v>
      </c>
      <c r="CI189" s="74">
        <v>815</v>
      </c>
      <c r="CJ189" s="72">
        <f>IF(ISERROR(CI189/CA189),"NA",IF(OR(CI189/CA189&gt;2,CI189/CA189&lt;0.5),"NM",CI189/CA189*100-100))</f>
        <v>0</v>
      </c>
      <c r="CK189" s="74">
        <v>821</v>
      </c>
      <c r="CL189" s="72">
        <f>IF(ISERROR(CK189/CC189),"NA",IF(OR(CK189/CC189&gt;2,CK189/CC189&lt;0.5),"NM",CK189/CC189*100-100))</f>
        <v>2.3690773067331747</v>
      </c>
      <c r="CM189" s="74">
        <v>805</v>
      </c>
      <c r="CN189" s="72">
        <f>IF(ISERROR(CM189/CE189),"NA",IF(OR(CM189/CE189&gt;2,CM189/CE189&lt;0.5),"NM",CM189/CE189*100-100))</f>
        <v>1.0037641154328867</v>
      </c>
      <c r="CO189" s="74">
        <v>805</v>
      </c>
      <c r="CP189" s="72">
        <f>IF(ISERROR(CO189/CG189),"NA",IF(OR(CO189/CG189&gt;2,CO189/CG189&lt;0.5),"NM",CO189/CG189*100-100))</f>
        <v>0</v>
      </c>
      <c r="CQ189" s="74">
        <v>786</v>
      </c>
      <c r="CR189" s="72">
        <f>IF(ISERROR(CQ189/CI189),"NA",IF(OR(CQ189/CI189&gt;2,CQ189/CI189&lt;0.5),"NM",CQ189/CI189*100-100))</f>
        <v>-3.5582822085889632</v>
      </c>
      <c r="CS189" s="74">
        <v>782</v>
      </c>
      <c r="CT189" s="72">
        <f>IF(ISERROR(CS189/CK189),"NA",IF(OR(CS189/CK189&gt;2,CS189/CK189&lt;0.5),"NM",CS189/CK189*100-100))</f>
        <v>-4.7503045066991376</v>
      </c>
      <c r="CU189" s="74">
        <v>779</v>
      </c>
      <c r="CV189" s="72">
        <f>IF(ISERROR(CU189/CM189),"NA",IF(OR(CU189/CM189&gt;2,CU189/CM189&lt;0.5),"NM",CU189/CM189*100-100))</f>
        <v>-3.2298136645962643</v>
      </c>
      <c r="CW189" s="74">
        <v>777</v>
      </c>
      <c r="CX189" s="72">
        <f>IF(ISERROR(CW189/CO189),"NA",IF(OR(CW189/CO189&gt;2,CW189/CO189&lt;0.5),"NM",CW189/CO189*100-100))</f>
        <v>-3.4782608695652186</v>
      </c>
      <c r="CY189" s="74">
        <v>767</v>
      </c>
      <c r="CZ189" s="72">
        <f>IF(ISERROR(CY189/CQ189),"NA",IF(OR(CY189/CQ189&gt;2,CY189/CQ189&lt;0.5),"NM",CY189/CQ189*100-100))</f>
        <v>-2.4173027989821918</v>
      </c>
      <c r="DA189" s="74">
        <v>880</v>
      </c>
      <c r="DB189" s="72">
        <f>IF(ISERROR(DA189/CS189),"NA",IF(OR(DA189/CS189&gt;2,DA189/CS189&lt;0.5),"NM",DA189/CS189*100-100))</f>
        <v>12.531969309462923</v>
      </c>
      <c r="DC189" s="74">
        <v>966</v>
      </c>
      <c r="DD189" s="72">
        <f>IF(ISERROR(DC189/CU189),"NA",IF(OR(DC189/CU189&gt;2,DC189/CU189&lt;0.5),"NM",DC189/CU189*100-100))</f>
        <v>24.005134788189991</v>
      </c>
      <c r="DE189" s="74">
        <v>1035</v>
      </c>
      <c r="DF189" s="72">
        <f>IF(ISERROR(DE189/CW189),"NA",IF(OR(DE189/CW189&gt;2,DE189/CW189&lt;0.5),"NM",DE189/CW189*100-100))</f>
        <v>33.204633204633211</v>
      </c>
      <c r="DG189" s="74">
        <v>1005</v>
      </c>
      <c r="DH189" s="72">
        <f>IF(ISERROR(DG189/CY189),"NA",IF(OR(DG189/CY189&gt;2,DG189/CY189&lt;0.5),"NM",DG189/CY189*100-100))</f>
        <v>31.02998696219035</v>
      </c>
      <c r="DI189" s="74">
        <v>1061</v>
      </c>
      <c r="DJ189" s="72">
        <f>IF(ISERROR(DI189/DA189),"NA",IF(OR(DI189/DA189&gt;2,DI189/DA189&lt;0.5),"NM",DI189/DA189*100-100))</f>
        <v>20.568181818181813</v>
      </c>
      <c r="DK189" s="74">
        <v>1087</v>
      </c>
      <c r="DL189" s="72">
        <f>IF(ISERROR(DK189/DC189),"NA",IF(OR(DK189/DC189&gt;2,DK189/DC189&lt;0.5),"NM",DK189/DC189*100-100))</f>
        <v>12.525879917184255</v>
      </c>
      <c r="DM189" s="74">
        <v>1019</v>
      </c>
      <c r="DN189" s="72">
        <f t="shared" si="1127"/>
        <v>-1.5458937198067702</v>
      </c>
      <c r="DO189" s="74">
        <v>1032</v>
      </c>
      <c r="DP189" s="72">
        <f t="shared" si="1127"/>
        <v>2.6865671641790954</v>
      </c>
      <c r="DQ189" s="74">
        <v>1071</v>
      </c>
      <c r="DR189" s="72">
        <f t="shared" si="1127"/>
        <v>0.94250706880301038</v>
      </c>
      <c r="DS189" s="74">
        <v>1041</v>
      </c>
      <c r="DT189" s="72">
        <f t="shared" si="1127"/>
        <v>-4.231830726770923</v>
      </c>
      <c r="DU189" s="74">
        <v>1007</v>
      </c>
      <c r="DV189" s="72">
        <f t="shared" si="1127"/>
        <v>-1.1776251226692835</v>
      </c>
      <c r="DW189" s="74">
        <v>1029</v>
      </c>
      <c r="DX189" s="72">
        <f t="shared" si="1127"/>
        <v>-0.29069767441860961</v>
      </c>
      <c r="DY189" s="74">
        <v>1005</v>
      </c>
      <c r="DZ189" s="72">
        <f t="shared" si="1127"/>
        <v>-6.1624649859944043</v>
      </c>
      <c r="EA189" s="74">
        <v>1019</v>
      </c>
      <c r="EB189" s="72">
        <f>IF(ISERROR(EA189/DS189),"NA",IF(OR(EA189/DS189&gt;2,EA189/DS189&lt;0.5),"NM",EA189/DS189*100-100))</f>
        <v>-2.1133525456291977</v>
      </c>
      <c r="EC189" s="74">
        <v>1010</v>
      </c>
      <c r="ED189" s="72">
        <f>IF(ISERROR(EC189/DU189),"NA",IF(OR(EC189/DU189&gt;2,EC189/DU189&lt;0.5),"NM",EC189/DU189*100-100))</f>
        <v>0.29791459781529284</v>
      </c>
      <c r="EE189" s="74">
        <v>1114</v>
      </c>
      <c r="EF189" s="72">
        <f>IF(ISERROR(EE189/DW189),"NA",IF(OR(EE189/DW189&gt;2,EE189/DW189&lt;0.5),"NM",EE189/DW189*100-100))</f>
        <v>8.2604470359572275</v>
      </c>
      <c r="EG189" s="74">
        <v>1120</v>
      </c>
      <c r="EH189" s="72">
        <f>IF(ISERROR(EG189/DY189),"NA",IF(OR(EG189/DY189&gt;2,EG189/DY189&lt;0.5),"NM",EG189/DY189*100-100))</f>
        <v>11.442786069651746</v>
      </c>
      <c r="EI189" s="74">
        <v>1148</v>
      </c>
      <c r="EJ189" s="72">
        <f>IF(ISERROR(EI189/EA189),"NA",IF(OR(EI189/EA189&gt;2,EI189/EA189&lt;0.5),"NM",EI189/EA189*100-100))</f>
        <v>12.659470068694787</v>
      </c>
      <c r="EK189" s="74">
        <v>1104</v>
      </c>
      <c r="EL189" s="72">
        <f>IF(ISERROR(EK189/EC189),"NA",IF(OR(EK189/EC189&gt;2,EK189/EC189&lt;0.5),"NM",EK189/EC189*100-100))</f>
        <v>9.3069306930693187</v>
      </c>
      <c r="EM189" s="74">
        <v>1071</v>
      </c>
      <c r="EN189" s="72">
        <f>IF(ISERROR(EM189/EE189),"NA",IF(OR(EM189/EE189&gt;2,EM189/EE189&lt;0.5),"NM",EM189/EE189*100-100))</f>
        <v>-3.8599640933572772</v>
      </c>
      <c r="EO189" s="74">
        <v>1159</v>
      </c>
      <c r="EP189" s="72">
        <f>IF(ISERROR(EO189/EG189),"NA",IF(OR(EO189/EG189&gt;2,EO189/EG189&lt;0.5),"NM",EO189/EG189*100-100))</f>
        <v>3.4821428571428612</v>
      </c>
      <c r="EQ189" s="75">
        <f t="shared" ref="EQ189" si="1140">+EQ179*EQ195/400</f>
        <v>1117.0988380999997</v>
      </c>
      <c r="ER189" s="72">
        <f t="shared" si="1128"/>
        <v>-2.6917388414634473</v>
      </c>
      <c r="ES189" s="75">
        <f t="shared" ref="ES189" si="1141">+ES179*ES195/400</f>
        <v>1126.5941782238499</v>
      </c>
      <c r="ET189" s="72">
        <f t="shared" si="1130"/>
        <v>2.0465741144791423</v>
      </c>
      <c r="EU189" s="75">
        <f t="shared" ref="EU189" si="1142">+EU179*EU195/400</f>
        <v>1136.1702287387527</v>
      </c>
      <c r="EV189" s="72">
        <f t="shared" si="1132"/>
        <v>6.0849886777546942</v>
      </c>
      <c r="EW189" s="75">
        <f t="shared" ref="EW189" si="1143">+EW179*EW195/400</f>
        <v>1145.8276756830319</v>
      </c>
      <c r="EX189" s="72">
        <f t="shared" si="1134"/>
        <v>-1.1365249626374521</v>
      </c>
      <c r="EY189" s="72"/>
      <c r="EZ189" s="309"/>
      <c r="FA189" s="72"/>
      <c r="FB189" s="81"/>
      <c r="FC189" s="72"/>
      <c r="FD189" s="74">
        <v>2426</v>
      </c>
      <c r="FE189" s="72" t="str">
        <f>IF(ISERROR(FD189/FB189),"NA",IF(OR(FD189/FB189&gt;2,FD189/FB189&lt;0.5),"NM",FD189/FB189*100-100))</f>
        <v>NA</v>
      </c>
      <c r="FF189" s="74">
        <v>2307</v>
      </c>
      <c r="FG189" s="72">
        <f>IF(ISERROR(FF189/FD189),"NA",IF(OR(FF189/FD189&gt;2,FF189/FD189&lt;0.5),"NM",FF189/FD189*100-100))</f>
        <v>-4.9051937345424506</v>
      </c>
      <c r="FH189" s="75">
        <f>+K189+M189+O189+Q189</f>
        <v>2148</v>
      </c>
      <c r="FI189" s="72">
        <f>IF(ISERROR(FH189/FF189),"NA",IF(OR(FH189/FF189&gt;2,FH189/FF189&lt;0.5),"NM",FH189/FF189*100-100))</f>
        <v>-6.8920676202860847</v>
      </c>
      <c r="FJ189" s="75">
        <f>+S189+U189+W189+Y189</f>
        <v>2074</v>
      </c>
      <c r="FK189" s="72">
        <f>IF(ISERROR(FJ189/FH189),"NA",IF(OR(FJ189/FH189&gt;2,FJ189/FH189&lt;0.5),"NM",FJ189/FH189*100-100))</f>
        <v>-3.4450651769087557</v>
      </c>
      <c r="FL189" s="75">
        <f>+AA189+AC189+AE189+AG189</f>
        <v>2043</v>
      </c>
      <c r="FM189" s="72">
        <f>IF(ISERROR(FL189/FJ189),"NA",IF(OR(FL189/FJ189&gt;2,FL189/FJ189&lt;0.5),"NM",FL189/FJ189*100-100))</f>
        <v>-1.4946962391513949</v>
      </c>
      <c r="FN189" s="75">
        <f>+AI189+AK189+AM189+AO189</f>
        <v>2612</v>
      </c>
      <c r="FO189" s="72">
        <f>IF(ISERROR(FN189/FL189),"NA",IF(OR(FN189/FL189&gt;2,FN189/FL189&lt;0.5),"NM",FN189/FL189*100-100))</f>
        <v>27.851199216837983</v>
      </c>
      <c r="FP189" s="75">
        <f>AQ189+AS189+AU189+AW189</f>
        <v>3050</v>
      </c>
      <c r="FQ189" s="72">
        <f>IF(ISERROR(FP189/FN189),"NA",IF(OR(FP189/FN189&gt;2,FP189/FN189&lt;0.5),"NM",FP189/FN189*100-100))</f>
        <v>16.768759571209799</v>
      </c>
      <c r="FR189" s="75">
        <f>AY189+BA189+BC189+BE189</f>
        <v>3425</v>
      </c>
      <c r="FS189" s="72">
        <f>IF(ISERROR(FR189/FP189),"NA",IF(OR(FR189/FP189&gt;2,FR189/FP189&lt;0.5),"NM",FR189/FP189*100-100))</f>
        <v>12.295081967213122</v>
      </c>
      <c r="FT189" s="75">
        <f>BG189+BI189+BK189+BM189</f>
        <v>3676</v>
      </c>
      <c r="FU189" s="72">
        <f>IF(ISERROR(FT189/FR189),"NA",IF(OR(FT189/FR189&gt;2,FT189/FR189&lt;0.5),"NM",FT189/FR189*100-100))</f>
        <v>7.3284671532846772</v>
      </c>
      <c r="FV189" s="75">
        <f>BO189+BQ189+BS189+BU189</f>
        <v>3564</v>
      </c>
      <c r="FW189" s="72">
        <f>IF(ISERROR(FV189/FT189),"NA",IF(OR(FV189/FT189&gt;2,FV189/FT189&lt;0.5),"NM",FV189/FT189*100-100))</f>
        <v>-3.0467899891186079</v>
      </c>
      <c r="FX189" s="75">
        <f>BW189+BY189+CA189+CC189</f>
        <v>3309</v>
      </c>
      <c r="FY189" s="72">
        <f>IF(ISERROR(FX189/FV189),"NA",IF(OR(FX189/FV189&gt;2,FX189/FV189&lt;0.5),"NM",FX189/FV189*100-100))</f>
        <v>-7.1548821548821593</v>
      </c>
      <c r="FZ189" s="75">
        <f>CE189+CG189+CI189+CK189</f>
        <v>3238</v>
      </c>
      <c r="GA189" s="72">
        <f>IF(ISERROR(FZ189/FX189),"NA",IF(OR(FZ189/FX189&gt;2,FZ189/FX189&lt;0.5),"NM",FZ189/FX189*100-100))</f>
        <v>-2.1456633423995157</v>
      </c>
      <c r="GB189" s="75">
        <f>CM189+CO189+CQ189+CS189</f>
        <v>3178</v>
      </c>
      <c r="GC189" s="72">
        <f>IF(ISERROR(GB189/FZ189),"NA",IF(OR(GB189/FZ189&gt;2,GB189/FZ189&lt;0.5),"NM",GB189/FZ189*100-100))</f>
        <v>-1.8529956763434114</v>
      </c>
      <c r="GD189" s="75">
        <f>CU189+CW189+CY189+DA189</f>
        <v>3203</v>
      </c>
      <c r="GE189" s="72">
        <f>IF(ISERROR(GD189/GB189),"NA",IF(OR(GD189/GB189&gt;2,GD189/GB189&lt;0.5),"NM",GD189/GB189*100-100))</f>
        <v>0.78665827564505264</v>
      </c>
      <c r="GF189" s="75">
        <f>DC189+DE189+DG189+DI189</f>
        <v>4067</v>
      </c>
      <c r="GG189" s="72">
        <f>IF(ISERROR(GF189/GD189),"NA",IF(OR(GF189/GD189&gt;2,GF189/GD189&lt;0.5),"NM",GF189/GD189*100-100))</f>
        <v>26.974711208242269</v>
      </c>
      <c r="GH189" s="75">
        <f>DK189+DM189+DO189+DQ189</f>
        <v>4209</v>
      </c>
      <c r="GI189" s="72">
        <f t="shared" si="1135"/>
        <v>3.491517088763203</v>
      </c>
      <c r="GJ189" s="75">
        <f>DS189+DU189+DW189+DY189</f>
        <v>4082</v>
      </c>
      <c r="GK189" s="72">
        <f t="shared" si="1135"/>
        <v>-3.0173437871228259</v>
      </c>
      <c r="GL189" s="75">
        <f>EA189+EC189+EE189+EG189</f>
        <v>4263</v>
      </c>
      <c r="GM189" s="72">
        <f t="shared" si="1135"/>
        <v>4.4341009309162018</v>
      </c>
      <c r="GN189" s="75">
        <f>EI189+EK189+EM189+EO189</f>
        <v>4482</v>
      </c>
      <c r="GO189" s="72">
        <f t="shared" si="1135"/>
        <v>5.1372273047149974</v>
      </c>
      <c r="GP189" s="75">
        <f>EQ189+ES189+EU189+EW189</f>
        <v>4525.6909207456338</v>
      </c>
      <c r="GQ189" s="72">
        <f t="shared" si="1135"/>
        <v>0.97480858423992345</v>
      </c>
      <c r="GR189" s="75">
        <f>+GR179*GR195/100</f>
        <v>4658.9594413265295</v>
      </c>
      <c r="GS189" s="72">
        <f t="shared" si="1135"/>
        <v>2.9447110488698343</v>
      </c>
      <c r="GT189" s="75">
        <f>+GT179*GT195/100</f>
        <v>4796.0585226025432</v>
      </c>
      <c r="GU189" s="72">
        <f t="shared" si="1135"/>
        <v>2.9426974628690346</v>
      </c>
      <c r="GV189" s="75">
        <f>+GV179*GV195/100</f>
        <v>4937.0945842911533</v>
      </c>
      <c r="GW189" s="72">
        <f>IF(ISERROR(GV189/GT189),"NA",IF(OR(GV189/GT189&gt;2,GV189/GT189&lt;0.5),"NM",GV189/GT189*100-100))</f>
        <v>2.940665986954599</v>
      </c>
      <c r="GX189" s="75">
        <f>+GX179*GX195/100</f>
        <v>5082.1768545224595</v>
      </c>
      <c r="GY189" s="72">
        <f>IF(ISERROR(GX189/GV189),"NA",IF(OR(GX189/GV189&gt;2,GX189/GV189&lt;0.5),"NM",GX189/GV189*100-100))</f>
        <v>2.9386163816453603</v>
      </c>
      <c r="GZ189" s="72">
        <f>IF(ISERROR(((GX189/GN189)^0.2-1)*100),"NA",IF((((GX189/GN189)^0.2-1)*100)&gt;100,"NM",IF((((GX189/GN189)^0.2-1)*100)&lt;-50,"NM",((GX189/GN189)^0.2-1)*100)))</f>
        <v>2.5452585348770151</v>
      </c>
      <c r="HA189" s="72"/>
      <c r="HB189" s="72"/>
      <c r="HC189"/>
      <c r="HD189"/>
      <c r="HE189"/>
      <c r="HF189"/>
      <c r="HG189"/>
      <c r="HH189"/>
      <c r="HI189" s="2"/>
    </row>
    <row r="190" spans="1:217" s="3" customFormat="1" ht="12.75" customHeight="1" x14ac:dyDescent="0.2">
      <c r="B190" s="77" t="s">
        <v>293</v>
      </c>
      <c r="C190" s="74"/>
      <c r="D190" s="72"/>
      <c r="E190" s="74"/>
      <c r="F190" s="72"/>
      <c r="G190" s="74"/>
      <c r="H190" s="72"/>
      <c r="I190" s="74"/>
      <c r="J190" s="72"/>
      <c r="K190" s="74">
        <v>38</v>
      </c>
      <c r="L190" s="72" t="str">
        <f>IF(ISERROR(K190/C190),"NA",IF(OR(K190/C190&gt;2,K190/C190&lt;0.5),"NM",K190/C190*100-100))</f>
        <v>NA</v>
      </c>
      <c r="M190" s="74">
        <v>39</v>
      </c>
      <c r="N190" s="72" t="str">
        <f>IF(ISERROR(M190/E190),"NA",IF(OR(M190/E190&gt;2,M190/E190&lt;0.5),"NM",M190/E190*100-100))</f>
        <v>NA</v>
      </c>
      <c r="O190" s="74">
        <v>36</v>
      </c>
      <c r="P190" s="72" t="str">
        <f>IF(ISERROR(O190/G190),"NA",IF(OR(O190/G190&gt;2,O190/G190&lt;0.5),"NM",O190/G190*100-100))</f>
        <v>NA</v>
      </c>
      <c r="Q190" s="74">
        <v>33</v>
      </c>
      <c r="R190" s="72" t="str">
        <f>IF(ISERROR(Q190/I190),"NA",IF(OR(Q190/I190&gt;2,Q190/I190&lt;0.5),"NM",Q190/I190*100-100))</f>
        <v>NA</v>
      </c>
      <c r="S190" s="74">
        <v>35</v>
      </c>
      <c r="T190" s="72">
        <f>IF(ISERROR(S190/K190),"NA",IF(OR(S190/K190&gt;2,S190/K190&lt;0.5),"NM",S190/K190*100-100))</f>
        <v>-7.8947368421052602</v>
      </c>
      <c r="U190" s="74">
        <v>35</v>
      </c>
      <c r="V190" s="72">
        <f>IF(ISERROR(U190/M190),"NA",IF(OR(U190/M190&gt;2,U190/M190&lt;0.5),"NM",U190/M190*100-100))</f>
        <v>-10.256410256410248</v>
      </c>
      <c r="W190" s="74">
        <v>35</v>
      </c>
      <c r="X190" s="72">
        <f>IF(ISERROR(W190/O190),"NA",IF(OR(W190/O190&gt;2,W190/O190&lt;0.5),"NM",W190/O190*100-100))</f>
        <v>-2.7777777777777857</v>
      </c>
      <c r="Y190" s="74">
        <v>32</v>
      </c>
      <c r="Z190" s="72">
        <f>IF(ISERROR(Y190/Q190),"NA",IF(OR(Y190/Q190&gt;2,Y190/Q190&lt;0.5),"NM",Y190/Q190*100-100))</f>
        <v>-3.0303030303030312</v>
      </c>
      <c r="AA190" s="74">
        <v>32</v>
      </c>
      <c r="AB190" s="72">
        <f>IF(ISERROR(AA190/S190),"NA",IF(OR(AA190/S190&gt;2,AA190/S190&lt;0.5),"NM",AA190/S190*100-100))</f>
        <v>-8.5714285714285694</v>
      </c>
      <c r="AC190" s="74">
        <v>31</v>
      </c>
      <c r="AD190" s="72">
        <f>IF(ISERROR(AC190/U190),"NA",IF(OR(AC190/U190&gt;2,AC190/U190&lt;0.5),"NM",AC190/U190*100-100))</f>
        <v>-11.428571428571431</v>
      </c>
      <c r="AE190" s="74">
        <v>35</v>
      </c>
      <c r="AF190" s="72">
        <f>IF(ISERROR(AE190/W190),"NA",IF(OR(AE190/W190&gt;2,AE190/W190&lt;0.5),"NM",AE190/W190*100-100))</f>
        <v>0</v>
      </c>
      <c r="AG190" s="74">
        <v>39</v>
      </c>
      <c r="AH190" s="72">
        <f>IF(ISERROR(AG190/Y190),"NA",IF(OR(AG190/Y190&gt;2,AG190/Y190&lt;0.5),"NM",AG190/Y190*100-100))</f>
        <v>21.875</v>
      </c>
      <c r="AI190" s="74">
        <v>41</v>
      </c>
      <c r="AJ190" s="72">
        <f>IF(ISERROR(AI190/AA190),"NA",IF(OR(AI190/AA190&gt;2,AI190/AA190&lt;0.5),"NM",AI190/AA190*100-100))</f>
        <v>28.125</v>
      </c>
      <c r="AK190" s="74">
        <v>95</v>
      </c>
      <c r="AL190" s="72" t="str">
        <f>IF(ISERROR(AK190/AC190),"NA",IF(OR(AK190/AC190&gt;2,AK190/AC190&lt;0.5),"NM",AK190/AC190*100-100))</f>
        <v>NM</v>
      </c>
      <c r="AM190" s="74">
        <v>109</v>
      </c>
      <c r="AN190" s="72" t="str">
        <f>IF(ISERROR(AM190/AE190),"NA",IF(OR(AM190/AE190&gt;2,AM190/AE190&lt;0.5),"NM",AM190/AE190*100-100))</f>
        <v>NM</v>
      </c>
      <c r="AO190" s="74">
        <v>120</v>
      </c>
      <c r="AP190" s="72" t="str">
        <f>IF(ISERROR(AO190/AG190),"NA",IF(OR(AO190/AG190&gt;2,AO190/AG190&lt;0.5),"NM",AO190/AG190*100-100))</f>
        <v>NM</v>
      </c>
      <c r="AQ190" s="74">
        <v>114</v>
      </c>
      <c r="AR190" s="72" t="str">
        <f>IF(ISERROR(AQ190/AI190),"NA",IF(OR(AQ190/AI190&gt;2,AQ190/AI190&lt;0.5),"NM",AQ190/AI190*100-100))</f>
        <v>NM</v>
      </c>
      <c r="AS190" s="74">
        <v>114</v>
      </c>
      <c r="AT190" s="72">
        <f>IF(ISERROR(AS190/AK190),"NA",IF(OR(AS190/AK190&gt;2,AS190/AK190&lt;0.5),"NM",AS190/AK190*100-100))</f>
        <v>20</v>
      </c>
      <c r="AU190" s="74">
        <v>121</v>
      </c>
      <c r="AV190" s="72">
        <f>IF(ISERROR(AU190/AM190),"NA",IF(OR(AU190/AM190&gt;2,AU190/AM190&lt;0.5),"NM",AU190/AM190*100-100))</f>
        <v>11.0091743119266</v>
      </c>
      <c r="AW190" s="74">
        <v>118</v>
      </c>
      <c r="AX190" s="72">
        <f>IF(ISERROR(AW190/AO190),"NA",IF(OR(AW190/AO190&gt;2,AW190/AO190&lt;0.5),"NM",AW190/AO190*100-100))</f>
        <v>-1.6666666666666714</v>
      </c>
      <c r="AY190" s="74">
        <v>116</v>
      </c>
      <c r="AZ190" s="72">
        <f>IF(ISERROR(AY190/AQ190),"NA",IF(OR(AY190/AQ190&gt;2,AY190/AQ190&lt;0.5),"NM",AY190/AQ190*100-100))</f>
        <v>1.7543859649122879</v>
      </c>
      <c r="BA190" s="74">
        <v>120</v>
      </c>
      <c r="BB190" s="72">
        <f>IF(ISERROR(BA190/AS190),"NA",IF(OR(BA190/AS190&gt;2,BA190/AS190&lt;0.5),"NM",BA190/AS190*100-100))</f>
        <v>5.2631578947368354</v>
      </c>
      <c r="BC190" s="74">
        <v>117</v>
      </c>
      <c r="BD190" s="72">
        <f>IF(ISERROR(BC190/AU190),"NA",IF(OR(BC190/AU190&gt;2,BC190/AU190&lt;0.5),"NM",BC190/AU190*100-100))</f>
        <v>-3.3057851239669418</v>
      </c>
      <c r="BE190" s="74">
        <v>128</v>
      </c>
      <c r="BF190" s="72">
        <f>IF(ISERROR(BE190/AW190),"NA",IF(OR(BE190/AW190&gt;2,BE190/AW190&lt;0.5),"NM",BE190/AW190*100-100))</f>
        <v>8.4745762711864359</v>
      </c>
      <c r="BG190" s="74">
        <v>129</v>
      </c>
      <c r="BH190" s="72">
        <f>IF(ISERROR(BG190/AY190),"NA",IF(OR(BG190/AY190&gt;2,BG190/AY190&lt;0.5),"NM",BG190/AY190*100-100))</f>
        <v>11.206896551724128</v>
      </c>
      <c r="BI190" s="74">
        <v>126</v>
      </c>
      <c r="BJ190" s="72">
        <f>IF(ISERROR(BI190/BA190),"NA",IF(OR(BI190/BA190&gt;2,BI190/BA190&lt;0.5),"NM",BI190/BA190*100-100))</f>
        <v>5</v>
      </c>
      <c r="BK190" s="74">
        <v>133</v>
      </c>
      <c r="BL190" s="72">
        <f>IF(ISERROR(BK190/BC190),"NA",IF(OR(BK190/BC190&gt;2,BK190/BC190&lt;0.5),"NM",BK190/BC190*100-100))</f>
        <v>13.675213675213669</v>
      </c>
      <c r="BM190" s="74">
        <v>143</v>
      </c>
      <c r="BN190" s="72">
        <f>IF(ISERROR(BM190/BE190),"NA",IF(OR(BM190/BE190&gt;2,BM190/BE190&lt;0.5),"NM",BM190/BE190*100-100))</f>
        <v>11.71875</v>
      </c>
      <c r="BO190" s="74">
        <v>131</v>
      </c>
      <c r="BP190" s="72">
        <f>IF(ISERROR(BO190/BG190),"NA",IF(OR(BO190/BG190&gt;2,BO190/BG190&lt;0.5),"NM",BO190/BG190*100-100))</f>
        <v>1.5503875968992276</v>
      </c>
      <c r="BQ190" s="74">
        <v>138</v>
      </c>
      <c r="BR190" s="72">
        <f>IF(ISERROR(BQ190/BI190),"NA",IF(OR(BQ190/BI190&gt;2,BQ190/BI190&lt;0.5),"NM",BQ190/BI190*100-100))</f>
        <v>9.5238095238095326</v>
      </c>
      <c r="BS190" s="74">
        <v>133</v>
      </c>
      <c r="BT190" s="72">
        <f>IF(ISERROR(BS190/BK190),"NA",IF(OR(BS190/BK190&gt;2,BS190/BK190&lt;0.5),"NM",BS190/BK190*100-100))</f>
        <v>0</v>
      </c>
      <c r="BU190" s="74">
        <v>108</v>
      </c>
      <c r="BV190" s="72">
        <f>IF(ISERROR(BU190/BM190),"NA",IF(OR(BU190/BM190&gt;2,BU190/BM190&lt;0.5),"NM",BU190/BM190*100-100))</f>
        <v>-24.47552447552448</v>
      </c>
      <c r="BW190" s="74">
        <v>115</v>
      </c>
      <c r="BX190" s="72">
        <f>IF(ISERROR(BW190/BO190),"NA",IF(OR(BW190/BO190&gt;2,BW190/BO190&lt;0.5),"NM",BW190/BO190*100-100))</f>
        <v>-12.213740458015266</v>
      </c>
      <c r="BY190" s="74">
        <v>117</v>
      </c>
      <c r="BZ190" s="72">
        <f>IF(ISERROR(BY190/BQ190),"NA",IF(OR(BY190/BQ190&gt;2,BY190/BQ190&lt;0.5),"NM",BY190/BQ190*100-100))</f>
        <v>-15.217391304347828</v>
      </c>
      <c r="CA190" s="74">
        <v>147</v>
      </c>
      <c r="CB190" s="72">
        <f>IF(ISERROR(CA190/BS190),"NA",IF(OR(CA190/BS190&gt;2,CA190/BS190&lt;0.5),"NM",CA190/BS190*100-100))</f>
        <v>10.526315789473699</v>
      </c>
      <c r="CC190" s="74">
        <v>171</v>
      </c>
      <c r="CD190" s="72">
        <f>IF(ISERROR(CC190/BU190),"NA",IF(OR(CC190/BU190&gt;2,CC190/BU190&lt;0.5),"NM",CC190/BU190*100-100))</f>
        <v>58.333333333333314</v>
      </c>
      <c r="CE190" s="74">
        <v>170</v>
      </c>
      <c r="CF190" s="72">
        <f>IF(ISERROR(CE190/BW190),"NA",IF(OR(CE190/BW190&gt;2,CE190/BW190&lt;0.5),"NM",CE190/BW190*100-100))</f>
        <v>47.826086956521721</v>
      </c>
      <c r="CG190" s="74">
        <v>169</v>
      </c>
      <c r="CH190" s="72">
        <f>IF(ISERROR(CG190/BY190),"NA",IF(OR(CG190/BY190&gt;2,CG190/BY190&lt;0.5),"NM",CG190/BY190*100-100))</f>
        <v>44.444444444444429</v>
      </c>
      <c r="CI190" s="74">
        <v>160</v>
      </c>
      <c r="CJ190" s="72">
        <f>IF(ISERROR(CI190/CA190),"NA",IF(OR(CI190/CA190&gt;2,CI190/CA190&lt;0.5),"NM",CI190/CA190*100-100))</f>
        <v>8.8435374149659935</v>
      </c>
      <c r="CK190" s="74">
        <v>179</v>
      </c>
      <c r="CL190" s="72">
        <f>IF(ISERROR(CK190/CC190),"NA",IF(OR(CK190/CC190&gt;2,CK190/CC190&lt;0.5),"NM",CK190/CC190*100-100))</f>
        <v>4.6783625730994203</v>
      </c>
      <c r="CM190" s="74">
        <v>180</v>
      </c>
      <c r="CN190" s="72">
        <f>IF(ISERROR(CM190/CE190),"NA",IF(OR(CM190/CE190&gt;2,CM190/CE190&lt;0.5),"NM",CM190/CE190*100-100))</f>
        <v>5.8823529411764781</v>
      </c>
      <c r="CO190" s="74">
        <v>185</v>
      </c>
      <c r="CP190" s="72">
        <f>IF(ISERROR(CO190/CG190),"NA",IF(OR(CO190/CG190&gt;2,CO190/CG190&lt;0.5),"NM",CO190/CG190*100-100))</f>
        <v>9.4674556213017809</v>
      </c>
      <c r="CQ190" s="74">
        <v>173</v>
      </c>
      <c r="CR190" s="72">
        <f>IF(ISERROR(CQ190/CI190),"NA",IF(OR(CQ190/CI190&gt;2,CQ190/CI190&lt;0.5),"NM",CQ190/CI190*100-100))</f>
        <v>8.125</v>
      </c>
      <c r="CS190" s="74">
        <v>182</v>
      </c>
      <c r="CT190" s="72">
        <f>IF(ISERROR(CS190/CK190),"NA",IF(OR(CS190/CK190&gt;2,CS190/CK190&lt;0.5),"NM",CS190/CK190*100-100))</f>
        <v>1.6759776536312785</v>
      </c>
      <c r="CU190" s="74">
        <v>189</v>
      </c>
      <c r="CV190" s="72">
        <f>IF(ISERROR(CU190/CM190),"NA",IF(OR(CU190/CM190&gt;2,CU190/CM190&lt;0.5),"NM",CU190/CM190*100-100))</f>
        <v>5</v>
      </c>
      <c r="CW190" s="74">
        <v>194</v>
      </c>
      <c r="CX190" s="72">
        <f>IF(ISERROR(CW190/CO190),"NA",IF(OR(CW190/CO190&gt;2,CW190/CO190&lt;0.5),"NM",CW190/CO190*100-100))</f>
        <v>4.864864864864856</v>
      </c>
      <c r="CY190" s="74">
        <v>205</v>
      </c>
      <c r="CZ190" s="72">
        <f>IF(ISERROR(CY190/CQ190),"NA",IF(OR(CY190/CQ190&gt;2,CY190/CQ190&lt;0.5),"NM",CY190/CQ190*100-100))</f>
        <v>18.497109826589593</v>
      </c>
      <c r="DA190" s="74">
        <v>200</v>
      </c>
      <c r="DB190" s="72">
        <f>IF(ISERROR(DA190/CS190),"NA",IF(OR(DA190/CS190&gt;2,DA190/CS190&lt;0.5),"NM",DA190/CS190*100-100))</f>
        <v>9.8901098901098976</v>
      </c>
      <c r="DC190" s="74">
        <v>201</v>
      </c>
      <c r="DD190" s="72">
        <f>IF(ISERROR(DC190/CU190),"NA",IF(OR(DC190/CU190&gt;2,DC190/CU190&lt;0.5),"NM",DC190/CU190*100-100))</f>
        <v>6.3492063492063551</v>
      </c>
      <c r="DE190" s="74">
        <v>205</v>
      </c>
      <c r="DF190" s="72">
        <f>IF(ISERROR(DE190/CW190),"NA",IF(OR(DE190/CW190&gt;2,DE190/CW190&lt;0.5),"NM",DE190/CW190*100-100))</f>
        <v>5.6701030927835063</v>
      </c>
      <c r="DG190" s="74">
        <v>218</v>
      </c>
      <c r="DH190" s="72">
        <f>IF(ISERROR(DG190/CY190),"NA",IF(OR(DG190/CY190&gt;2,DG190/CY190&lt;0.5),"NM",DG190/CY190*100-100))</f>
        <v>6.3414634146341484</v>
      </c>
      <c r="DI190" s="74">
        <v>230</v>
      </c>
      <c r="DJ190" s="72">
        <f>IF(ISERROR(DI190/DA190),"NA",IF(OR(DI190/DA190&gt;2,DI190/DA190&lt;0.5),"NM",DI190/DA190*100-100))</f>
        <v>14.999999999999986</v>
      </c>
      <c r="DK190" s="74">
        <v>223</v>
      </c>
      <c r="DL190" s="72">
        <f>IF(ISERROR(DK190/DC190),"NA",IF(OR(DK190/DC190&gt;2,DK190/DC190&lt;0.5),"NM",DK190/DC190*100-100))</f>
        <v>10.945273631840791</v>
      </c>
      <c r="DM190" s="74">
        <v>222</v>
      </c>
      <c r="DN190" s="72">
        <f t="shared" si="1127"/>
        <v>8.2926829268292721</v>
      </c>
      <c r="DO190" s="74">
        <v>202</v>
      </c>
      <c r="DP190" s="72">
        <f t="shared" si="1127"/>
        <v>-7.3394495412844094</v>
      </c>
      <c r="DQ190" s="74">
        <v>208</v>
      </c>
      <c r="DR190" s="72">
        <f t="shared" si="1127"/>
        <v>-9.5652173913043441</v>
      </c>
      <c r="DS190" s="74">
        <v>202</v>
      </c>
      <c r="DT190" s="72">
        <f t="shared" si="1127"/>
        <v>-9.4170403587444014</v>
      </c>
      <c r="DU190" s="74">
        <v>207</v>
      </c>
      <c r="DV190" s="72">
        <f t="shared" si="1127"/>
        <v>-6.7567567567567579</v>
      </c>
      <c r="DW190" s="74">
        <v>194</v>
      </c>
      <c r="DX190" s="72">
        <f t="shared" si="1127"/>
        <v>-3.9603960396039639</v>
      </c>
      <c r="DY190" s="74">
        <v>191</v>
      </c>
      <c r="DZ190" s="72">
        <f t="shared" si="1127"/>
        <v>-8.173076923076934</v>
      </c>
      <c r="EA190" s="74">
        <v>180</v>
      </c>
      <c r="EB190" s="72">
        <f>IF(ISERROR(EA190/DS190),"NA",IF(OR(EA190/DS190&gt;2,EA190/DS190&lt;0.5),"NM",EA190/DS190*100-100))</f>
        <v>-10.89108910891089</v>
      </c>
      <c r="EC190" s="74">
        <v>201</v>
      </c>
      <c r="ED190" s="72">
        <f>IF(ISERROR(EC190/DU190),"NA",IF(OR(EC190/DU190&gt;2,EC190/DU190&lt;0.5),"NM",EC190/DU190*100-100))</f>
        <v>-2.8985507246376869</v>
      </c>
      <c r="EE190" s="74">
        <v>212</v>
      </c>
      <c r="EF190" s="72">
        <f>IF(ISERROR(EE190/DW190),"NA",IF(OR(EE190/DW190&gt;2,EE190/DW190&lt;0.5),"NM",EE190/DW190*100-100))</f>
        <v>9.278350515463913</v>
      </c>
      <c r="EG190" s="74">
        <v>213</v>
      </c>
      <c r="EH190" s="72">
        <f>IF(ISERROR(EG190/DY190),"NA",IF(OR(EG190/DY190&gt;2,EG190/DY190&lt;0.5),"NM",EG190/DY190*100-100))</f>
        <v>11.518324607329845</v>
      </c>
      <c r="EI190" s="74">
        <v>219</v>
      </c>
      <c r="EJ190" s="72">
        <f>IF(ISERROR(EI190/EA190),"NA",IF(OR(EI190/EA190&gt;2,EI190/EA190&lt;0.5),"NM",EI190/EA190*100-100))</f>
        <v>21.666666666666657</v>
      </c>
      <c r="EK190" s="74">
        <v>211</v>
      </c>
      <c r="EL190" s="72">
        <f>IF(ISERROR(EK190/EC190),"NA",IF(OR(EK190/EC190&gt;2,EK190/EC190&lt;0.5),"NM",EK190/EC190*100-100))</f>
        <v>4.9751243781094558</v>
      </c>
      <c r="EM190" s="74">
        <v>207</v>
      </c>
      <c r="EN190" s="72">
        <f>IF(ISERROR(EM190/EE190),"NA",IF(OR(EM190/EE190&gt;2,EM190/EE190&lt;0.5),"NM",EM190/EE190*100-100))</f>
        <v>-2.3584905660377444</v>
      </c>
      <c r="EO190" s="74">
        <v>208</v>
      </c>
      <c r="EP190" s="72">
        <f>IF(ISERROR(EO190/EG190),"NA",IF(OR(EO190/EG190&gt;2,EO190/EG190&lt;0.5),"NM",EO190/EG190*100-100))</f>
        <v>-2.3474178403755843</v>
      </c>
      <c r="EQ190" s="75">
        <f t="shared" ref="EQ190" si="1144">+(EQ154+EQ180)*EQ194/400</f>
        <v>208.77324026501665</v>
      </c>
      <c r="ER190" s="72">
        <f t="shared" si="1128"/>
        <v>-4.6697533036453649</v>
      </c>
      <c r="ES190" s="75">
        <f t="shared" ref="ES190" si="1145">+(ES154+ES180)*ES194/400</f>
        <v>210.39377230818948</v>
      </c>
      <c r="ET190" s="72">
        <f t="shared" si="1130"/>
        <v>-0.28731170227986524</v>
      </c>
      <c r="EU190" s="75">
        <f t="shared" ref="EU190" si="1146">+(EU154+EU180)*EU194/400</f>
        <v>212.94636358729292</v>
      </c>
      <c r="EV190" s="72">
        <f t="shared" si="1132"/>
        <v>2.8726394141511662</v>
      </c>
      <c r="EW190" s="75">
        <f t="shared" ref="EW190" si="1147">+(EW154+EW180)*EW194/400</f>
        <v>215.52992404465039</v>
      </c>
      <c r="EX190" s="72">
        <f t="shared" si="1134"/>
        <v>3.6201557906972965</v>
      </c>
      <c r="EY190" s="72"/>
      <c r="EZ190" s="309"/>
      <c r="FA190" s="72"/>
      <c r="FB190" s="81"/>
      <c r="FC190" s="72"/>
      <c r="FD190" s="74">
        <v>176</v>
      </c>
      <c r="FE190" s="72" t="str">
        <f>IF(ISERROR(FD190/FB190),"NA",IF(OR(FD190/FB190&gt;2,FD190/FB190&lt;0.5),"NM",FD190/FB190*100-100))</f>
        <v>NA</v>
      </c>
      <c r="FF190" s="74">
        <v>168</v>
      </c>
      <c r="FG190" s="72">
        <f>IF(ISERROR(FF190/FD190),"NA",IF(OR(FF190/FD190&gt;2,FF190/FD190&lt;0.5),"NM",FF190/FD190*100-100))</f>
        <v>-4.5454545454545467</v>
      </c>
      <c r="FH190" s="75">
        <f>+K190+M190+O190+Q190</f>
        <v>146</v>
      </c>
      <c r="FI190" s="72">
        <f>IF(ISERROR(FH190/FF190),"NA",IF(OR(FH190/FF190&gt;2,FH190/FF190&lt;0.5),"NM",FH190/FF190*100-100))</f>
        <v>-13.095238095238088</v>
      </c>
      <c r="FJ190" s="75">
        <f>+S190+U190+W190+Y190</f>
        <v>137</v>
      </c>
      <c r="FK190" s="72">
        <f>IF(ISERROR(FJ190/FH190),"NA",IF(OR(FJ190/FH190&gt;2,FJ190/FH190&lt;0.5),"NM",FJ190/FH190*100-100))</f>
        <v>-6.1643835616438309</v>
      </c>
      <c r="FL190" s="75">
        <f>+AA190+AC190+AE190+AG190</f>
        <v>137</v>
      </c>
      <c r="FM190" s="72">
        <f>IF(ISERROR(FL190/FJ190),"NA",IF(OR(FL190/FJ190&gt;2,FL190/FJ190&lt;0.5),"NM",FL190/FJ190*100-100))</f>
        <v>0</v>
      </c>
      <c r="FN190" s="75">
        <f>+AI190+AK190+AM190+AO190</f>
        <v>365</v>
      </c>
      <c r="FO190" s="72" t="str">
        <f>IF(ISERROR(FN190/FL190),"NA",IF(OR(FN190/FL190&gt;2,FN190/FL190&lt;0.5),"NM",FN190/FL190*100-100))</f>
        <v>NM</v>
      </c>
      <c r="FP190" s="75">
        <f>AQ190+AS190+AU190+AW190</f>
        <v>467</v>
      </c>
      <c r="FQ190" s="72">
        <f>IF(ISERROR(FP190/FN190),"NA",IF(OR(FP190/FN190&gt;2,FP190/FN190&lt;0.5),"NM",FP190/FN190*100-100))</f>
        <v>27.945205479452056</v>
      </c>
      <c r="FR190" s="75">
        <f>AY190+BA190+BC190+BE190</f>
        <v>481</v>
      </c>
      <c r="FS190" s="72">
        <f>IF(ISERROR(FR190/FP190),"NA",IF(OR(FR190/FP190&gt;2,FR190/FP190&lt;0.5),"NM",FR190/FP190*100-100))</f>
        <v>2.9978586723768785</v>
      </c>
      <c r="FT190" s="75">
        <f>BG190+BI190+BK190+BM190</f>
        <v>531</v>
      </c>
      <c r="FU190" s="72">
        <f>IF(ISERROR(FT190/FR190),"NA",IF(OR(FT190/FR190&gt;2,FT190/FR190&lt;0.5),"NM",FT190/FR190*100-100))</f>
        <v>10.395010395010388</v>
      </c>
      <c r="FV190" s="74">
        <v>525</v>
      </c>
      <c r="FW190" s="72">
        <f>IF(ISERROR(FV190/FT190),"NA",IF(OR(FV190/FT190&gt;2,FV190/FT190&lt;0.5),"NM",FV190/FT190*100-100))</f>
        <v>-1.1299435028248581</v>
      </c>
      <c r="FX190" s="74">
        <v>550</v>
      </c>
      <c r="FY190" s="72">
        <f>IF(ISERROR(FX190/FV190),"NA",IF(OR(FX190/FV190&gt;2,FX190/FV190&lt;0.5),"NM",FX190/FV190*100-100))</f>
        <v>4.7619047619047734</v>
      </c>
      <c r="FZ190" s="75">
        <f>CE190+CG190+CI190+CK190</f>
        <v>678</v>
      </c>
      <c r="GA190" s="72">
        <f>IF(ISERROR(FZ190/FX190),"NA",IF(OR(FZ190/FX190&gt;2,FZ190/FX190&lt;0.5),"NM",FZ190/FX190*100-100))</f>
        <v>23.272727272727266</v>
      </c>
      <c r="GB190" s="75">
        <f>CM190+CO190+CQ190+CS190</f>
        <v>720</v>
      </c>
      <c r="GC190" s="72">
        <f>IF(ISERROR(GB190/FZ190),"NA",IF(OR(GB190/FZ190&gt;2,GB190/FZ190&lt;0.5),"NM",GB190/FZ190*100-100))</f>
        <v>6.1946902654867415</v>
      </c>
      <c r="GD190" s="75">
        <f>CU190+CW190+CY190+DA190</f>
        <v>788</v>
      </c>
      <c r="GE190" s="72">
        <f>IF(ISERROR(GD190/GB190),"NA",IF(OR(GD190/GB190&gt;2,GD190/GB190&lt;0.5),"NM",GD190/GB190*100-100))</f>
        <v>9.4444444444444571</v>
      </c>
      <c r="GF190" s="75">
        <f>DC190+DE190+DG190+DI190</f>
        <v>854</v>
      </c>
      <c r="GG190" s="72">
        <f>IF(ISERROR(GF190/GD190),"NA",IF(OR(GF190/GD190&gt;2,GF190/GD190&lt;0.5),"NM",GF190/GD190*100-100))</f>
        <v>8.3756345177664997</v>
      </c>
      <c r="GH190" s="75">
        <f>DK190+DM190+DO190+DQ190</f>
        <v>855</v>
      </c>
      <c r="GI190" s="72">
        <f t="shared" si="1135"/>
        <v>0.11709601873535291</v>
      </c>
      <c r="GJ190" s="75">
        <f>DS190+DU190+DW190+DY190</f>
        <v>794</v>
      </c>
      <c r="GK190" s="72">
        <f t="shared" si="1135"/>
        <v>-7.1345029239765978</v>
      </c>
      <c r="GL190" s="75">
        <f>EA190+EC190+EE190+EG190</f>
        <v>806</v>
      </c>
      <c r="GM190" s="72">
        <f t="shared" si="1135"/>
        <v>1.5113350125944578</v>
      </c>
      <c r="GN190" s="75">
        <f>EI190+EK190+EM190+EO190</f>
        <v>845</v>
      </c>
      <c r="GO190" s="72">
        <f t="shared" si="1135"/>
        <v>4.8387096774193452</v>
      </c>
      <c r="GP190" s="75">
        <f>EQ190+ES190+EU190+EW190</f>
        <v>847.64330020514944</v>
      </c>
      <c r="GQ190" s="72">
        <f t="shared" si="1135"/>
        <v>0.31281659232537606</v>
      </c>
      <c r="GR190" s="75">
        <f>+(GR154+GR180)*GR194/100</f>
        <v>832.95175253290085</v>
      </c>
      <c r="GS190" s="72">
        <f t="shared" si="1135"/>
        <v>-1.7332228861707364</v>
      </c>
      <c r="GT190" s="75">
        <f>+(GT154+GT180)*GT194/100</f>
        <v>818.17404752316008</v>
      </c>
      <c r="GU190" s="72">
        <f t="shared" si="1135"/>
        <v>-1.774136973096418</v>
      </c>
      <c r="GV190" s="75">
        <f>+(GV154+GV180)*GV194/100</f>
        <v>800.37694113945861</v>
      </c>
      <c r="GW190" s="72">
        <f>IF(ISERROR(GV190/GT190),"NA",IF(OR(GV190/GT190&gt;2,GV190/GT190&lt;0.5),"NM",GV190/GT190*100-100))</f>
        <v>-2.1752225504558851</v>
      </c>
      <c r="GX190" s="75">
        <f>+(GX154+GX180)*GX194/100</f>
        <v>779.31849137958557</v>
      </c>
      <c r="GY190" s="72">
        <f>IF(ISERROR(GX190/GV190),"NA",IF(OR(GX190/GV190&gt;2,GX190/GV190&lt;0.5),"NM",GX190/GV190*100-100))</f>
        <v>-2.6310665234674531</v>
      </c>
      <c r="GZ190" s="72">
        <f>IF(ISERROR(((GX190/GN190)^0.2-1)*100),"NA",IF((((GX190/GN190)^0.2-1)*100)&gt;100,"NM",IF((((GX190/GN190)^0.2-1)*100)&lt;-50,"NM",((GX190/GN190)^0.2-1)*100)))</f>
        <v>-1.6053116647349541</v>
      </c>
      <c r="HA190" s="72"/>
      <c r="HB190" s="72"/>
      <c r="HC190"/>
      <c r="HD190"/>
      <c r="HE190"/>
      <c r="HF190"/>
      <c r="HG190"/>
      <c r="HH190"/>
      <c r="HI190" s="2"/>
    </row>
    <row r="191" spans="1:217" s="3" customFormat="1" ht="12.75" customHeight="1" x14ac:dyDescent="0.2">
      <c r="A191" s="3" t="s">
        <v>84</v>
      </c>
      <c r="B191" s="70" t="s">
        <v>435</v>
      </c>
      <c r="C191" s="91"/>
      <c r="D191" s="72"/>
      <c r="E191" s="91"/>
      <c r="F191" s="72"/>
      <c r="G191" s="91"/>
      <c r="H191" s="72"/>
      <c r="I191" s="91"/>
      <c r="J191" s="72"/>
      <c r="K191" s="91">
        <f>+K187+K188+K189+K190</f>
        <v>637</v>
      </c>
      <c r="L191" s="72" t="str">
        <f>IF(ISERROR(K191/C191),"NA",IF(OR(K191/C191&gt;2,K191/C191&lt;0.5),"NM",K191/C191*100-100))</f>
        <v>NA</v>
      </c>
      <c r="M191" s="91">
        <f>+M187+M188+M189+M190</f>
        <v>607</v>
      </c>
      <c r="N191" s="72" t="str">
        <f>IF(ISERROR(M191/E191),"NA",IF(OR(M191/E191&gt;2,M191/E191&lt;0.5),"NM",M191/E191*100-100))</f>
        <v>NA</v>
      </c>
      <c r="O191" s="91">
        <f>+O187+O188+O189+O190</f>
        <v>575</v>
      </c>
      <c r="P191" s="72" t="str">
        <f>IF(ISERROR(O191/G191),"NA",IF(OR(O191/G191&gt;2,O191/G191&lt;0.5),"NM",O191/G191*100-100))</f>
        <v>NA</v>
      </c>
      <c r="Q191" s="91">
        <f>+Q187+Q188+Q189+Q190</f>
        <v>575</v>
      </c>
      <c r="R191" s="72" t="str">
        <f>IF(ISERROR(Q191/I191),"NA",IF(OR(Q191/I191&gt;2,Q191/I191&lt;0.5),"NM",Q191/I191*100-100))</f>
        <v>NA</v>
      </c>
      <c r="S191" s="91">
        <f>+S187+S188+S189+S190</f>
        <v>564</v>
      </c>
      <c r="T191" s="72">
        <f>IF(ISERROR(S191/K191),"NA",IF(OR(S191/K191&gt;2,S191/K191&lt;0.5),"NM",S191/K191*100-100))</f>
        <v>-11.459968602825739</v>
      </c>
      <c r="U191" s="91">
        <f>+U187+U188+U189+U190</f>
        <v>617</v>
      </c>
      <c r="V191" s="72">
        <f>IF(ISERROR(U191/M191),"NA",IF(OR(U191/M191&gt;2,U191/M191&lt;0.5),"NM",U191/M191*100-100))</f>
        <v>1.6474464579901138</v>
      </c>
      <c r="W191" s="91">
        <f>+W187+W188+W189+W190</f>
        <v>575</v>
      </c>
      <c r="X191" s="72">
        <f>IF(ISERROR(W191/O191),"NA",IF(OR(W191/O191&gt;2,W191/O191&lt;0.5),"NM",W191/O191*100-100))</f>
        <v>0</v>
      </c>
      <c r="Y191" s="91">
        <f>+Y187+Y188+Y189+Y190</f>
        <v>603</v>
      </c>
      <c r="Z191" s="72">
        <f>IF(ISERROR(Y191/Q191),"NA",IF(OR(Y191/Q191&gt;2,Y191/Q191&lt;0.5),"NM",Y191/Q191*100-100))</f>
        <v>4.8695652173912976</v>
      </c>
      <c r="AA191" s="91">
        <f>+AA187+AA188+AA189+AA190</f>
        <v>581</v>
      </c>
      <c r="AB191" s="72">
        <f>IF(ISERROR(AA191/S191),"NA",IF(OR(AA191/S191&gt;2,AA191/S191&lt;0.5),"NM",AA191/S191*100-100))</f>
        <v>3.0141843971631204</v>
      </c>
      <c r="AC191" s="91">
        <f>+AC187+AC188+AC189+AC190</f>
        <v>573</v>
      </c>
      <c r="AD191" s="72">
        <f>IF(ISERROR(AC191/U191),"NA",IF(OR(AC191/U191&gt;2,AC191/U191&lt;0.5),"NM",AC191/U191*100-100))</f>
        <v>-7.1312803889789365</v>
      </c>
      <c r="AE191" s="91">
        <f>+AE187+AE188+AE189+AE190</f>
        <v>551</v>
      </c>
      <c r="AF191" s="72">
        <f>IF(ISERROR(AE191/W191),"NA",IF(OR(AE191/W191&gt;2,AE191/W191&lt;0.5),"NM",AE191/W191*100-100))</f>
        <v>-4.1739130434782652</v>
      </c>
      <c r="AG191" s="91">
        <f>+AG187+AG188+AG189+AG190</f>
        <v>576</v>
      </c>
      <c r="AH191" s="72">
        <f>IF(ISERROR(AG191/Y191),"NA",IF(OR(AG191/Y191&gt;2,AG191/Y191&lt;0.5),"NM",AG191/Y191*100-100))</f>
        <v>-4.4776119402985159</v>
      </c>
      <c r="AI191" s="91">
        <f>+AI187+AI188+AI189+AI190</f>
        <v>577</v>
      </c>
      <c r="AJ191" s="72">
        <f>IF(ISERROR(AI191/AA191),"NA",IF(OR(AI191/AA191&gt;2,AI191/AA191&lt;0.5),"NM",AI191/AA191*100-100))</f>
        <v>-0.68846815834767483</v>
      </c>
      <c r="AK191" s="91">
        <f>+AK187+AK188+AK189+AK190</f>
        <v>853</v>
      </c>
      <c r="AL191" s="72">
        <f>IF(ISERROR(AK191/AC191),"NA",IF(OR(AK191/AC191&gt;2,AK191/AC191&lt;0.5),"NM",AK191/AC191*100-100))</f>
        <v>48.865619546247814</v>
      </c>
      <c r="AM191" s="91">
        <f>+AM187+AM188+AM189+AM190</f>
        <v>900</v>
      </c>
      <c r="AN191" s="72">
        <f>IF(ISERROR(AM191/AE191),"NA",IF(OR(AM191/AE191&gt;2,AM191/AE191&lt;0.5),"NM",AM191/AE191*100-100))</f>
        <v>63.339382940108891</v>
      </c>
      <c r="AO191" s="91">
        <f>+AO187+AO188+AO189+AO190</f>
        <v>895</v>
      </c>
      <c r="AP191" s="72">
        <f>IF(ISERROR(AO191/AG191),"NA",IF(OR(AO191/AG191&gt;2,AO191/AG191&lt;0.5),"NM",AO191/AG191*100-100))</f>
        <v>55.381944444444429</v>
      </c>
      <c r="AQ191" s="91">
        <f>+AQ187+AQ188+AQ189+AQ190</f>
        <v>943</v>
      </c>
      <c r="AR191" s="72">
        <f>IF(ISERROR(AQ191/AI191),"NA",IF(OR(AQ191/AI191&gt;2,AQ191/AI191&lt;0.5),"NM",AQ191/AI191*100-100))</f>
        <v>63.431542461005193</v>
      </c>
      <c r="AS191" s="91">
        <f>+AS187+AS188+AS189+AS190</f>
        <v>1012</v>
      </c>
      <c r="AT191" s="72">
        <f>IF(ISERROR(AS191/AK191),"NA",IF(OR(AS191/AK191&gt;2,AS191/AK191&lt;0.5),"NM",AS191/AK191*100-100))</f>
        <v>18.640093786635404</v>
      </c>
      <c r="AU191" s="91">
        <f>+AU187+AU188+AU189+AU190</f>
        <v>1047</v>
      </c>
      <c r="AV191" s="72">
        <f>IF(ISERROR(AU191/AM191),"NA",IF(OR(AU191/AM191&gt;2,AU191/AM191&lt;0.5),"NM",AU191/AM191*100-100))</f>
        <v>16.333333333333329</v>
      </c>
      <c r="AW191" s="91">
        <f>+AW187+AW188+AW189+AW190</f>
        <v>1023</v>
      </c>
      <c r="AX191" s="72">
        <f>IF(ISERROR(AW191/AO191),"NA",IF(OR(AW191/AO191&gt;2,AW191/AO191&lt;0.5),"NM",AW191/AO191*100-100))</f>
        <v>14.301675977653645</v>
      </c>
      <c r="AY191" s="91">
        <f>+AY187+AY188+AY189+AY190</f>
        <v>1054</v>
      </c>
      <c r="AZ191" s="72">
        <f>IF(ISERROR(AY191/AQ191),"NA",IF(OR(AY191/AQ191&gt;2,AY191/AQ191&lt;0.5),"NM",AY191/AQ191*100-100))</f>
        <v>11.770943796394491</v>
      </c>
      <c r="BA191" s="91">
        <f>+BA187+BA188+BA189+BA190</f>
        <v>1050</v>
      </c>
      <c r="BB191" s="72">
        <f>IF(ISERROR(BA191/AS191),"NA",IF(OR(BA191/AS191&gt;2,BA191/AS191&lt;0.5),"NM",BA191/AS191*100-100))</f>
        <v>3.7549407114624529</v>
      </c>
      <c r="BC191" s="91">
        <f>+BC187+BC188+BC189+BC190</f>
        <v>1112</v>
      </c>
      <c r="BD191" s="72">
        <f>IF(ISERROR(BC191/AU191),"NA",IF(OR(BC191/AU191&gt;2,BC191/AU191&lt;0.5),"NM",BC191/AU191*100-100))</f>
        <v>6.208213944603628</v>
      </c>
      <c r="BE191" s="91">
        <f>+BE187+BE188+BE189+BE190</f>
        <v>1163</v>
      </c>
      <c r="BF191" s="72">
        <f>IF(ISERROR(BE191/AW191),"NA",IF(OR(BE191/AW191&gt;2,BE191/AW191&lt;0.5),"NM",BE191/AW191*100-100))</f>
        <v>13.685239491691121</v>
      </c>
      <c r="BG191" s="91">
        <f>+BG187+BG188+BG189+BG190</f>
        <v>1163</v>
      </c>
      <c r="BH191" s="72">
        <f>IF(ISERROR(BG191/AY191),"NA",IF(OR(BG191/AY191&gt;2,BG191/AY191&lt;0.5),"NM",BG191/AY191*100-100))</f>
        <v>10.341555977229604</v>
      </c>
      <c r="BI191" s="91">
        <f>+BI187+BI188+BI189+BI190</f>
        <v>1150</v>
      </c>
      <c r="BJ191" s="72">
        <f>IF(ISERROR(BI191/BA191),"NA",IF(OR(BI191/BA191&gt;2,BI191/BA191&lt;0.5),"NM",BI191/BA191*100-100))</f>
        <v>9.5238095238095326</v>
      </c>
      <c r="BK191" s="91">
        <f>+BK187+BK188+BK189+BK190</f>
        <v>1195</v>
      </c>
      <c r="BL191" s="72">
        <f>IF(ISERROR(BK191/BC191),"NA",IF(OR(BK191/BC191&gt;2,BK191/BC191&lt;0.5),"NM",BK191/BC191*100-100))</f>
        <v>7.4640287769784237</v>
      </c>
      <c r="BM191" s="91">
        <f>+BM187+BM188+BM189+BM190</f>
        <v>1200</v>
      </c>
      <c r="BN191" s="72">
        <f>IF(ISERROR(BM191/BE191),"NA",IF(OR(BM191/BE191&gt;2,BM191/BE191&lt;0.5),"NM",BM191/BE191*100-100))</f>
        <v>3.1814273430782407</v>
      </c>
      <c r="BO191" s="91">
        <f>+BO187+BO188+BO189+BO190</f>
        <v>1267</v>
      </c>
      <c r="BP191" s="72">
        <f>IF(ISERROR(BO191/BG191),"NA",IF(OR(BO191/BG191&gt;2,BO191/BG191&lt;0.5),"NM",BO191/BG191*100-100))</f>
        <v>8.9423903697334595</v>
      </c>
      <c r="BQ191" s="91">
        <f>+BQ187+BQ188+BQ189+BQ190</f>
        <v>1207</v>
      </c>
      <c r="BR191" s="72">
        <f>IF(ISERROR(BQ191/BI191),"NA",IF(OR(BQ191/BI191&gt;2,BQ191/BI191&lt;0.5),"NM",BQ191/BI191*100-100))</f>
        <v>4.9565217391304373</v>
      </c>
      <c r="BS191" s="91">
        <f>+BS187+BS188+BS189+BS190</f>
        <v>1118</v>
      </c>
      <c r="BT191" s="72">
        <f>IF(ISERROR(BS191/BK191),"NA",IF(OR(BS191/BK191&gt;2,BS191/BK191&lt;0.5),"NM",BS191/BK191*100-100))</f>
        <v>-6.4435146443514668</v>
      </c>
      <c r="BU191" s="91">
        <f>+BU187+BU188+BU189+BU190</f>
        <v>1252</v>
      </c>
      <c r="BV191" s="72">
        <f>IF(ISERROR(BU191/BM191),"NA",IF(OR(BU191/BM191&gt;2,BU191/BM191&lt;0.5),"NM",BU191/BM191*100-100))</f>
        <v>4.3333333333333286</v>
      </c>
      <c r="BW191" s="91">
        <f>+BW187+BW188+BW189+BW190</f>
        <v>1183</v>
      </c>
      <c r="BX191" s="72">
        <f>IF(ISERROR(BW191/BO191),"NA",IF(OR(BW191/BO191&gt;2,BW191/BO191&lt;0.5),"NM",BW191/BO191*100-100))</f>
        <v>-6.6298342541436455</v>
      </c>
      <c r="BY191" s="91">
        <f>+BY187+BY188+BY189+BY190</f>
        <v>1242</v>
      </c>
      <c r="BZ191" s="72">
        <f>IF(ISERROR(BY191/BQ191),"NA",IF(OR(BY191/BQ191&gt;2,BY191/BQ191&lt;0.5),"NM",BY191/BQ191*100-100))</f>
        <v>2.8997514498757369</v>
      </c>
      <c r="CA191" s="91">
        <f>+CA187+CA188+CA189+CA190</f>
        <v>1100</v>
      </c>
      <c r="CB191" s="72">
        <f>IF(ISERROR(CA191/BS191),"NA",IF(OR(CA191/BS191&gt;2,CA191/BS191&lt;0.5),"NM",CA191/BS191*100-100))</f>
        <v>-1.6100178890876577</v>
      </c>
      <c r="CC191" s="91">
        <f>+CC187+CC188+CC189+CC190</f>
        <v>1134</v>
      </c>
      <c r="CD191" s="72">
        <f>IF(ISERROR(CC191/BU191),"NA",IF(OR(CC191/BU191&gt;2,CC191/BU191&lt;0.5),"NM",CC191/BU191*100-100))</f>
        <v>-9.4249201277955166</v>
      </c>
      <c r="CE191" s="91">
        <f>+CE187+CE188+CE189+CE190</f>
        <v>1129</v>
      </c>
      <c r="CF191" s="72">
        <f>IF(ISERROR(CE191/BW191),"NA",IF(OR(CE191/BW191&gt;2,CE191/BW191&lt;0.5),"NM",CE191/BW191*100-100))</f>
        <v>-4.5646661031276494</v>
      </c>
      <c r="CG191" s="91">
        <f>+CG187+CG188+CG189+CG190</f>
        <v>1370</v>
      </c>
      <c r="CH191" s="72">
        <f>IF(ISERROR(CG191/BY191),"NA",IF(OR(CG191/BY191&gt;2,CG191/BY191&lt;0.5),"NM",CG191/BY191*100-100))</f>
        <v>10.305958132045092</v>
      </c>
      <c r="CI191" s="91">
        <f>+CI187+CI188+CI189+CI190</f>
        <v>1376</v>
      </c>
      <c r="CJ191" s="72">
        <f>IF(ISERROR(CI191/CA191),"NA",IF(OR(CI191/CA191&gt;2,CI191/CA191&lt;0.5),"NM",CI191/CA191*100-100))</f>
        <v>25.090909090909093</v>
      </c>
      <c r="CK191" s="91">
        <f>+CK187+CK188+CK189+CK190</f>
        <v>1308</v>
      </c>
      <c r="CL191" s="72">
        <f>IF(ISERROR(CK191/CC191),"NA",IF(OR(CK191/CC191&gt;2,CK191/CC191&lt;0.5),"NM",CK191/CC191*100-100))</f>
        <v>15.343915343915342</v>
      </c>
      <c r="CM191" s="91">
        <f>+CM187+CM188+CM189+CM190</f>
        <v>1206</v>
      </c>
      <c r="CN191" s="72">
        <f>IF(ISERROR(CM191/CE191),"NA",IF(OR(CM191/CE191&gt;2,CM191/CE191&lt;0.5),"NM",CM191/CE191*100-100))</f>
        <v>6.8201948627103661</v>
      </c>
      <c r="CO191" s="91">
        <f>+CO187+CO188+CO189+CO190</f>
        <v>1248</v>
      </c>
      <c r="CP191" s="72">
        <f>IF(ISERROR(CO191/CG191),"NA",IF(OR(CO191/CG191&gt;2,CO191/CG191&lt;0.5),"NM",CO191/CG191*100-100))</f>
        <v>-8.9051094890510996</v>
      </c>
      <c r="CQ191" s="91">
        <f>+CQ187+CQ188+CQ189+CQ190</f>
        <v>1171</v>
      </c>
      <c r="CR191" s="72">
        <f>IF(ISERROR(CQ191/CI191),"NA",IF(OR(CQ191/CI191&gt;2,CQ191/CI191&lt;0.5),"NM",CQ191/CI191*100-100))</f>
        <v>-14.898255813953483</v>
      </c>
      <c r="CS191" s="91">
        <f>+CS187+CS188+CS189+CS190</f>
        <v>1246</v>
      </c>
      <c r="CT191" s="72">
        <f>IF(ISERROR(CS191/CK191),"NA",IF(OR(CS191/CK191&gt;2,CS191/CK191&lt;0.5),"NM",CS191/CK191*100-100))</f>
        <v>-4.7400611620795132</v>
      </c>
      <c r="CU191" s="91">
        <f>+CU187+CU188+CU189+CU190</f>
        <v>1107</v>
      </c>
      <c r="CV191" s="72">
        <f>IF(ISERROR(CU191/CM191),"NA",IF(OR(CU191/CM191&gt;2,CU191/CM191&lt;0.5),"NM",CU191/CM191*100-100))</f>
        <v>-8.2089552238805936</v>
      </c>
      <c r="CW191" s="91">
        <f>+CW187+CW188+CW189+CW190</f>
        <v>1242</v>
      </c>
      <c r="CX191" s="72">
        <f>IF(ISERROR(CW191/CO191),"NA",IF(OR(CW191/CO191&gt;2,CW191/CO191&lt;0.5),"NM",CW191/CO191*100-100))</f>
        <v>-0.4807692307692264</v>
      </c>
      <c r="CY191" s="91">
        <f>+CY187+CY188+CY189+CY190</f>
        <v>1162</v>
      </c>
      <c r="CZ191" s="72">
        <f>IF(ISERROR(CY191/CQ191),"NA",IF(OR(CY191/CQ191&gt;2,CY191/CQ191&lt;0.5),"NM",CY191/CQ191*100-100))</f>
        <v>-0.76857386848847398</v>
      </c>
      <c r="DA191" s="91">
        <f>+DA187+DA188+DA189+DA190</f>
        <v>33084</v>
      </c>
      <c r="DB191" s="72" t="str">
        <f>IF(ISERROR(DA191/CS191),"NA",IF(OR(DA191/CS191&gt;2,DA191/CS191&lt;0.5),"NM",DA191/CS191*100-100))</f>
        <v>NM</v>
      </c>
      <c r="DC191" s="91">
        <f>+DC187+DC188+DC189+DC190</f>
        <v>1336</v>
      </c>
      <c r="DD191" s="72">
        <f>IF(ISERROR(DC191/CU191),"NA",IF(OR(DC191/CU191&gt;2,DC191/CU191&lt;0.5),"NM",DC191/CU191*100-100))</f>
        <v>20.686540198735329</v>
      </c>
      <c r="DE191" s="91">
        <f>+DE187+DE188+DE189+DE190</f>
        <v>1521</v>
      </c>
      <c r="DF191" s="72">
        <f>IF(ISERROR(DE191/CW191),"NA",IF(OR(DE191/CW191&gt;2,DE191/CW191&lt;0.5),"NM",DE191/CW191*100-100))</f>
        <v>22.463768115942045</v>
      </c>
      <c r="DG191" s="91">
        <f>+DG187+DG188+DG189+DG190</f>
        <v>1525</v>
      </c>
      <c r="DH191" s="72">
        <f>IF(ISERROR(DG191/CY191),"NA",IF(OR(DG191/CY191&gt;2,DG191/CY191&lt;0.5),"NM",DG191/CY191*100-100))</f>
        <v>31.239242685025829</v>
      </c>
      <c r="DI191" s="91">
        <f>+DI187+DI188+DI189+DI190</f>
        <v>1646</v>
      </c>
      <c r="DJ191" s="72" t="str">
        <f>IF(ISERROR(DI191/DA191),"NA",IF(OR(DI191/DA191&gt;2,DI191/DA191&lt;0.5),"NM",DI191/DA191*100-100))</f>
        <v>NM</v>
      </c>
      <c r="DK191" s="91">
        <f>+DK187+DK188+DK189+DK190</f>
        <v>1531</v>
      </c>
      <c r="DL191" s="72">
        <f>IF(ISERROR(DK191/DC191),"NA",IF(OR(DK191/DC191&gt;2,DK191/DC191&lt;0.5),"NM",DK191/DC191*100-100))</f>
        <v>14.595808383233532</v>
      </c>
      <c r="DM191" s="91">
        <f>+DM187+DM188+DM189+DM190</f>
        <v>1469</v>
      </c>
      <c r="DN191" s="72">
        <f t="shared" si="1127"/>
        <v>-3.4188034188034209</v>
      </c>
      <c r="DO191" s="91">
        <f>+DO187+DO188+DO189+DO190</f>
        <v>2397</v>
      </c>
      <c r="DP191" s="72">
        <f t="shared" si="1127"/>
        <v>57.180327868852459</v>
      </c>
      <c r="DQ191" s="91">
        <f>+DQ187+DQ188+DQ189+DQ190</f>
        <v>6680</v>
      </c>
      <c r="DR191" s="72" t="str">
        <f t="shared" si="1127"/>
        <v>NM</v>
      </c>
      <c r="DS191" s="91">
        <f>+DS187+DS188+DS189+DS190</f>
        <v>2478</v>
      </c>
      <c r="DT191" s="72">
        <f t="shared" si="1127"/>
        <v>61.854996734160693</v>
      </c>
      <c r="DU191" s="91">
        <f>+DU187+DU188+DU189+DU190</f>
        <v>3180</v>
      </c>
      <c r="DV191" s="72" t="str">
        <f t="shared" si="1127"/>
        <v>NM</v>
      </c>
      <c r="DW191" s="91">
        <f>+DW187+DW188+DW189+DW190</f>
        <v>1937</v>
      </c>
      <c r="DX191" s="72">
        <f t="shared" si="1127"/>
        <v>-19.19065498539841</v>
      </c>
      <c r="DY191" s="91">
        <f>+DY187+DY188+DY189+DY190</f>
        <v>4226</v>
      </c>
      <c r="DZ191" s="72">
        <f t="shared" si="1127"/>
        <v>-36.736526946107787</v>
      </c>
      <c r="EA191" s="91">
        <f>+EA187+EA188+EA189+EA190</f>
        <v>1893</v>
      </c>
      <c r="EB191" s="72">
        <f>IF(ISERROR(EA191/DS191),"NA",IF(OR(EA191/DS191&gt;2,EA191/DS191&lt;0.5),"NM",EA191/DS191*100-100))</f>
        <v>-23.607748184019371</v>
      </c>
      <c r="EC191" s="91">
        <f>+EC187+EC188+EC189+EC190</f>
        <v>2241</v>
      </c>
      <c r="ED191" s="72">
        <f>IF(ISERROR(EC191/DU191),"NA",IF(OR(EC191/DU191&gt;2,EC191/DU191&lt;0.5),"NM",EC191/DU191*100-100))</f>
        <v>-29.528301886792448</v>
      </c>
      <c r="EE191" s="91">
        <f>+EE187+EE188+EE189+EE190</f>
        <v>5134</v>
      </c>
      <c r="EF191" s="72" t="str">
        <f>IF(ISERROR(EE191/DW191),"NA",IF(OR(EE191/DW191&gt;2,EE191/DW191&lt;0.5),"NM",EE191/DW191*100-100))</f>
        <v>NM</v>
      </c>
      <c r="EG191" s="91">
        <f>+EG187+EG188+EG189+EG190</f>
        <v>3608</v>
      </c>
      <c r="EH191" s="72">
        <f>IF(ISERROR(EG191/DY191),"NA",IF(OR(EG191/DY191&gt;2,EG191/DY191&lt;0.5),"NM",EG191/DY191*100-100))</f>
        <v>-14.623757690487466</v>
      </c>
      <c r="EI191" s="91">
        <f>+EI187+EI188+EI189+EI190</f>
        <v>1937</v>
      </c>
      <c r="EJ191" s="72">
        <f>IF(ISERROR(EI191/EA191),"NA",IF(OR(EI191/EA191&gt;2,EI191/EA191&lt;0.5),"NM",EI191/EA191*100-100))</f>
        <v>2.3243528790279981</v>
      </c>
      <c r="EK191" s="91">
        <f>+EK187+EK188+EK189+EK190</f>
        <v>3607</v>
      </c>
      <c r="EL191" s="72">
        <f>IF(ISERROR(EK191/EC191),"NA",IF(OR(EK191/EC191&gt;2,EK191/EC191&lt;0.5),"NM",EK191/EC191*100-100))</f>
        <v>60.95493083444893</v>
      </c>
      <c r="EM191" s="91">
        <f>+EM187+EM188+EM189+EM190</f>
        <v>3259</v>
      </c>
      <c r="EN191" s="72">
        <f>IF(ISERROR(EM191/EE191),"NA",IF(OR(EM191/EE191&gt;2,EM191/EE191&lt;0.5),"NM",EM191/EE191*100-100))</f>
        <v>-36.521231008959873</v>
      </c>
      <c r="EO191" s="91">
        <f>+EO187+EO188+EO189+EO190</f>
        <v>5040</v>
      </c>
      <c r="EP191" s="72">
        <f>IF(ISERROR(EO191/EG191),"NA",IF(OR(EO191/EG191&gt;2,EO191/EG191&lt;0.5),"NM",EO191/EG191*100-100))</f>
        <v>39.689578713968956</v>
      </c>
      <c r="EQ191" s="91">
        <f t="shared" ref="EQ191" si="1148">+EQ187+EQ188+EQ189+EQ190</f>
        <v>3345.1113101088949</v>
      </c>
      <c r="ER191" s="72">
        <f t="shared" si="1128"/>
        <v>72.695472901853122</v>
      </c>
      <c r="ES191" s="91">
        <f t="shared" ref="ES191" si="1149">+ES187+ES188+ES189+ES190</f>
        <v>3376.0263593305767</v>
      </c>
      <c r="ET191" s="72">
        <f t="shared" si="1130"/>
        <v>-6.4034832456175081</v>
      </c>
      <c r="EU191" s="91">
        <f t="shared" ref="EU191" si="1150">+EU187+EU188+EU189+EU190</f>
        <v>3408.5749295956043</v>
      </c>
      <c r="EV191" s="72">
        <f t="shared" si="1132"/>
        <v>4.5895958759007129</v>
      </c>
      <c r="EW191" s="91">
        <f t="shared" ref="EW191" si="1151">+EW187+EW188+EW189+EW190</f>
        <v>3441.4405741749883</v>
      </c>
      <c r="EX191" s="72">
        <f t="shared" si="1134"/>
        <v>-31.717448925099433</v>
      </c>
      <c r="EY191" s="72"/>
      <c r="EZ191" s="309"/>
      <c r="FA191" s="72"/>
      <c r="FB191" s="81"/>
      <c r="FC191" s="72"/>
      <c r="FD191" s="91">
        <f>+FD187+FD188+FD189+FD190</f>
        <v>2765</v>
      </c>
      <c r="FE191" s="72" t="str">
        <f>IF(ISERROR(FD191/FB191),"NA",IF(OR(FD191/FB191&gt;2,FD191/FB191&lt;0.5),"NM",FD191/FB191*100-100))</f>
        <v>NA</v>
      </c>
      <c r="FF191" s="91">
        <f>+FF187+FF188+FF189+FF190</f>
        <v>2624</v>
      </c>
      <c r="FG191" s="72">
        <f>IF(ISERROR(FF191/FD191),"NA",IF(OR(FF191/FD191&gt;2,FF191/FD191&lt;0.5),"NM",FF191/FD191*100-100))</f>
        <v>-5.0994575045207995</v>
      </c>
      <c r="FH191" s="91">
        <f>+FH187+FH188+FH189+FH190</f>
        <v>2394</v>
      </c>
      <c r="FI191" s="72">
        <f>IF(ISERROR(FH191/FF191),"NA",IF(OR(FH191/FF191&gt;2,FH191/FF191&lt;0.5),"NM",FH191/FF191*100-100))</f>
        <v>-8.7652439024390247</v>
      </c>
      <c r="FJ191" s="91">
        <f>+FJ187+FJ188+FJ189+FJ190</f>
        <v>2359</v>
      </c>
      <c r="FK191" s="72">
        <f>IF(ISERROR(FJ191/FH191),"NA",IF(OR(FJ191/FH191&gt;2,FJ191/FH191&lt;0.5),"NM",FJ191/FH191*100-100))</f>
        <v>-1.4619883040935662</v>
      </c>
      <c r="FL191" s="91">
        <f>+FL187+FL188+FL189+FL190</f>
        <v>2281</v>
      </c>
      <c r="FM191" s="72">
        <f>IF(ISERROR(FL191/FJ191),"NA",IF(OR(FL191/FJ191&gt;2,FL191/FJ191&lt;0.5),"NM",FL191/FJ191*100-100))</f>
        <v>-3.3064857990674028</v>
      </c>
      <c r="FN191" s="91">
        <f>+FN187+FN188+FN189+FN190</f>
        <v>3225</v>
      </c>
      <c r="FO191" s="72">
        <f>IF(ISERROR(FN191/FL191),"NA",IF(OR(FN191/FL191&gt;2,FN191/FL191&lt;0.5),"NM",FN191/FL191*100-100))</f>
        <v>41.385357299430069</v>
      </c>
      <c r="FP191" s="91">
        <f>+FP187+FP188+FP189+FP190</f>
        <v>4025</v>
      </c>
      <c r="FQ191" s="72">
        <f>IF(ISERROR(FP191/FN191),"NA",IF(OR(FP191/FN191&gt;2,FP191/FN191&lt;0.5),"NM",FP191/FN191*100-100))</f>
        <v>24.806201550387598</v>
      </c>
      <c r="FR191" s="91">
        <f>+FR187+FR188+FR189+FR190</f>
        <v>4379</v>
      </c>
      <c r="FS191" s="72">
        <f>IF(ISERROR(FR191/FP191),"NA",IF(OR(FR191/FP191&gt;2,FR191/FP191&lt;0.5),"NM",FR191/FP191*100-100))</f>
        <v>8.7950310559006226</v>
      </c>
      <c r="FT191" s="91">
        <f>+FT187+FT188+FT189+FT190</f>
        <v>4708</v>
      </c>
      <c r="FU191" s="72">
        <f>IF(ISERROR(FT191/FR191),"NA",IF(OR(FT191/FR191&gt;2,FT191/FR191&lt;0.5),"NM",FT191/FR191*100-100))</f>
        <v>7.5131308517926385</v>
      </c>
      <c r="FV191" s="91">
        <f>+FV187+FV188+FV189+FV190</f>
        <v>4859</v>
      </c>
      <c r="FW191" s="72">
        <f>IF(ISERROR(FV191/FT191),"NA",IF(OR(FV191/FT191&gt;2,FV191/FT191&lt;0.5),"NM",FV191/FT191*100-100))</f>
        <v>3.2073067119796121</v>
      </c>
      <c r="FX191" s="91">
        <f>+FX187+FX188+FX189+FX190</f>
        <v>4659</v>
      </c>
      <c r="FY191" s="72">
        <f>IF(ISERROR(FX191/FV191),"NA",IF(OR(FX191/FV191&gt;2,FX191/FV191&lt;0.5),"NM",FX191/FV191*100-100))</f>
        <v>-4.1160732661041379</v>
      </c>
      <c r="FZ191" s="91">
        <f>+FZ187+FZ188+FZ189+FZ190</f>
        <v>5183</v>
      </c>
      <c r="GA191" s="72">
        <f>IF(ISERROR(FZ191/FX191),"NA",IF(OR(FZ191/FX191&gt;2,FZ191/FX191&lt;0.5),"NM",FZ191/FX191*100-100))</f>
        <v>11.247048722901923</v>
      </c>
      <c r="GB191" s="91">
        <f>+GB187+GB188+GB189+GB190</f>
        <v>4871</v>
      </c>
      <c r="GC191" s="72">
        <f>IF(ISERROR(GB191/FZ191),"NA",IF(OR(GB191/FZ191&gt;2,GB191/FZ191&lt;0.5),"NM",GB191/FZ191*100-100))</f>
        <v>-6.0196797221686182</v>
      </c>
      <c r="GD191" s="91">
        <f>+GD187+GD188+GD189+GD190</f>
        <v>36595</v>
      </c>
      <c r="GE191" s="72" t="str">
        <f>IF(ISERROR(GD191/GB191),"NA",IF(OR(GD191/GB191&gt;2,GD191/GB191&lt;0.5),"NM",GD191/GB191*100-100))</f>
        <v>NM</v>
      </c>
      <c r="GF191" s="91">
        <f>+GF187+GF188+GF189+GF190</f>
        <v>6028</v>
      </c>
      <c r="GG191" s="72" t="str">
        <f>IF(ISERROR(GF191/GD191),"NA",IF(OR(GF191/GD191&gt;2,GF191/GD191&lt;0.5),"NM",GF191/GD191*100-100))</f>
        <v>NM</v>
      </c>
      <c r="GH191" s="91">
        <f>+GH187+GH188+GH189+GH190</f>
        <v>12077</v>
      </c>
      <c r="GI191" s="72" t="str">
        <f t="shared" si="1135"/>
        <v>NM</v>
      </c>
      <c r="GJ191" s="91">
        <f>+GJ187+GJ188+GJ189+GJ190</f>
        <v>11821</v>
      </c>
      <c r="GK191" s="72">
        <f t="shared" si="1135"/>
        <v>-2.1197317214540021</v>
      </c>
      <c r="GL191" s="91">
        <f>+GL187+GL188+GL189+GL190</f>
        <v>12876</v>
      </c>
      <c r="GM191" s="72">
        <f t="shared" si="1135"/>
        <v>8.9247948566111006</v>
      </c>
      <c r="GN191" s="91">
        <f>+GN187+GN188+GN189+GN190</f>
        <v>13843</v>
      </c>
      <c r="GO191" s="72">
        <f t="shared" si="1135"/>
        <v>7.5100963031997452</v>
      </c>
      <c r="GP191" s="91">
        <f>+GP187+GP188+GP189+GP190</f>
        <v>13571.153173210063</v>
      </c>
      <c r="GQ191" s="72">
        <f t="shared" si="1135"/>
        <v>-1.963785500180137</v>
      </c>
      <c r="GR191" s="91">
        <f>+GR187+GR188+GR189+GR190</f>
        <v>14095.74832055035</v>
      </c>
      <c r="GS191" s="72">
        <f t="shared" si="1135"/>
        <v>3.8655163687626413</v>
      </c>
      <c r="GT191" s="91">
        <f>+GT187+GT188+GT189+GT190</f>
        <v>14645.733552394468</v>
      </c>
      <c r="GU191" s="72">
        <f t="shared" si="1135"/>
        <v>3.9017810146502683</v>
      </c>
      <c r="GV191" s="91">
        <f>+GV187+GV188+GV189+GV190</f>
        <v>15217.925935297062</v>
      </c>
      <c r="GW191" s="72">
        <f>IF(ISERROR(GV191/GT191),"NA",IF(OR(GV191/GT191&gt;2,GV191/GT191&lt;0.5),"NM",GV191/GT191*100-100))</f>
        <v>3.9068878377146632</v>
      </c>
      <c r="GX191" s="91">
        <f>+GX187+GX188+GX189+GX190</f>
        <v>15813.253705591567</v>
      </c>
      <c r="GY191" s="72">
        <f>IF(ISERROR(GX191/GV191),"NA",IF(OR(GX191/GV191&gt;2,GX191/GV191&lt;0.5),"NM",GX191/GV191*100-100))</f>
        <v>3.9120164786298375</v>
      </c>
      <c r="GZ191" s="72">
        <f>IF(ISERROR(((GX191/GN191)^0.2-1)*100),"NA",IF((((GX191/GN191)^0.2-1)*100)&gt;100,"NM",IF((((GX191/GN191)^0.2-1)*100)&lt;-50,"NM",((GX191/GN191)^0.2-1)*100)))</f>
        <v>2.6971056690706208</v>
      </c>
      <c r="HA191" s="72"/>
      <c r="HB191" s="72"/>
      <c r="HC191"/>
      <c r="HD191"/>
      <c r="HE191"/>
      <c r="HF191"/>
      <c r="HG191"/>
      <c r="HH191"/>
      <c r="HI191" s="2"/>
    </row>
    <row r="192" spans="1:217" s="3" customFormat="1" ht="12.75" customHeight="1" x14ac:dyDescent="0.2">
      <c r="B192" s="77"/>
      <c r="C192" s="74"/>
      <c r="D192" s="72"/>
      <c r="E192" s="74"/>
      <c r="F192" s="72"/>
      <c r="G192" s="74"/>
      <c r="H192" s="72"/>
      <c r="I192" s="74"/>
      <c r="J192" s="72"/>
      <c r="K192" s="74"/>
      <c r="L192" s="72"/>
      <c r="M192" s="74"/>
      <c r="N192" s="72"/>
      <c r="O192" s="74"/>
      <c r="P192" s="72"/>
      <c r="Q192" s="74"/>
      <c r="R192" s="72"/>
      <c r="S192" s="74"/>
      <c r="T192" s="72"/>
      <c r="U192" s="74"/>
      <c r="V192" s="72"/>
      <c r="W192" s="74"/>
      <c r="X192" s="72"/>
      <c r="Y192" s="74"/>
      <c r="Z192" s="72"/>
      <c r="AA192" s="74"/>
      <c r="AB192" s="72"/>
      <c r="AC192" s="74"/>
      <c r="AD192" s="72"/>
      <c r="AE192" s="74"/>
      <c r="AF192" s="72"/>
      <c r="AG192" s="74"/>
      <c r="AH192" s="72"/>
      <c r="AI192" s="74"/>
      <c r="AJ192" s="72"/>
      <c r="AK192" s="74"/>
      <c r="AL192" s="72"/>
      <c r="AM192" s="74"/>
      <c r="AN192" s="72"/>
      <c r="AO192" s="74"/>
      <c r="AP192" s="72"/>
      <c r="AQ192" s="74"/>
      <c r="AR192" s="72"/>
      <c r="AS192" s="74"/>
      <c r="AT192" s="72"/>
      <c r="AU192" s="74"/>
      <c r="AV192" s="72"/>
      <c r="AW192" s="74"/>
      <c r="AX192" s="72"/>
      <c r="AY192" s="74"/>
      <c r="AZ192" s="72"/>
      <c r="BA192" s="74"/>
      <c r="BB192" s="72"/>
      <c r="BC192" s="74"/>
      <c r="BD192" s="72"/>
      <c r="BE192" s="74"/>
      <c r="BF192" s="72"/>
      <c r="BG192" s="74"/>
      <c r="BH192" s="72"/>
      <c r="BI192" s="74"/>
      <c r="BJ192" s="72"/>
      <c r="BK192" s="74"/>
      <c r="BL192" s="72"/>
      <c r="BM192" s="74"/>
      <c r="BN192" s="72"/>
      <c r="BO192" s="74"/>
      <c r="BP192" s="72"/>
      <c r="BQ192" s="74"/>
      <c r="BR192" s="72"/>
      <c r="BS192" s="74"/>
      <c r="BT192" s="72"/>
      <c r="BU192" s="74"/>
      <c r="BV192" s="72"/>
      <c r="BW192" s="74"/>
      <c r="BX192" s="72"/>
      <c r="BY192" s="74"/>
      <c r="BZ192" s="72"/>
      <c r="CA192" s="74"/>
      <c r="CB192" s="72"/>
      <c r="CC192" s="74"/>
      <c r="CD192" s="72"/>
      <c r="CE192" s="74"/>
      <c r="CF192" s="72"/>
      <c r="CG192" s="74"/>
      <c r="CH192" s="72"/>
      <c r="CI192" s="74"/>
      <c r="CJ192" s="72"/>
      <c r="CK192" s="74"/>
      <c r="CL192" s="72"/>
      <c r="CM192" s="74"/>
      <c r="CN192" s="72"/>
      <c r="CO192" s="74"/>
      <c r="CP192" s="72"/>
      <c r="CQ192" s="74"/>
      <c r="CR192" s="72"/>
      <c r="CS192" s="74"/>
      <c r="CT192" s="72"/>
      <c r="CU192" s="74"/>
      <c r="CV192" s="72"/>
      <c r="CW192" s="74"/>
      <c r="CX192" s="72"/>
      <c r="CY192" s="74"/>
      <c r="CZ192" s="72"/>
      <c r="DA192" s="74"/>
      <c r="DB192" s="72"/>
      <c r="DC192" s="74"/>
      <c r="DD192" s="72"/>
      <c r="DE192" s="74"/>
      <c r="DF192" s="72"/>
      <c r="DG192" s="74"/>
      <c r="DH192" s="72"/>
      <c r="DI192" s="74"/>
      <c r="DJ192" s="72"/>
      <c r="DK192" s="74"/>
      <c r="DL192" s="72"/>
      <c r="DM192" s="74"/>
      <c r="DN192" s="72"/>
      <c r="DO192" s="74"/>
      <c r="DP192" s="72"/>
      <c r="DQ192" s="74"/>
      <c r="DR192" s="72"/>
      <c r="DS192" s="74"/>
      <c r="DT192" s="72"/>
      <c r="DU192" s="74"/>
      <c r="DV192" s="72"/>
      <c r="DW192" s="75"/>
      <c r="DX192" s="72"/>
      <c r="DY192" s="75"/>
      <c r="DZ192" s="72"/>
      <c r="EA192" s="75"/>
      <c r="EB192" s="72"/>
      <c r="EC192" s="75"/>
      <c r="ED192" s="72"/>
      <c r="EE192" s="75"/>
      <c r="EF192" s="72"/>
      <c r="EG192" s="75"/>
      <c r="EH192" s="72"/>
      <c r="EI192" s="75"/>
      <c r="EJ192" s="72"/>
      <c r="EK192" s="75"/>
      <c r="EL192" s="72"/>
      <c r="EM192" s="75"/>
      <c r="EN192" s="72"/>
      <c r="EO192" s="75"/>
      <c r="EP192" s="72"/>
      <c r="EQ192" s="75"/>
      <c r="ER192" s="72"/>
      <c r="ES192" s="75"/>
      <c r="ET192" s="72"/>
      <c r="EU192" s="75"/>
      <c r="EV192" s="72"/>
      <c r="EW192" s="75"/>
      <c r="EX192" s="72"/>
      <c r="EY192" s="72"/>
      <c r="EZ192" s="309"/>
      <c r="FA192" s="72"/>
      <c r="FB192" s="81"/>
      <c r="FC192" s="72"/>
      <c r="FD192" s="74"/>
      <c r="FE192" s="72"/>
      <c r="FF192" s="74"/>
      <c r="FG192" s="72"/>
      <c r="FH192" s="75"/>
      <c r="FI192" s="72"/>
      <c r="FJ192" s="75"/>
      <c r="FK192" s="72"/>
      <c r="FL192" s="75"/>
      <c r="FM192" s="72"/>
      <c r="FN192" s="75"/>
      <c r="FO192" s="72"/>
      <c r="FP192" s="75"/>
      <c r="FQ192" s="72"/>
      <c r="FR192" s="75"/>
      <c r="FS192" s="72"/>
      <c r="FT192" s="75"/>
      <c r="FU192" s="72"/>
      <c r="FV192" s="75"/>
      <c r="FW192" s="72"/>
      <c r="FX192" s="75"/>
      <c r="FY192" s="72"/>
      <c r="FZ192" s="75"/>
      <c r="GA192" s="72"/>
      <c r="GB192" s="75"/>
      <c r="GC192" s="72"/>
      <c r="GD192" s="75"/>
      <c r="GE192" s="72"/>
      <c r="GF192" s="75"/>
      <c r="GG192" s="72"/>
      <c r="GH192" s="75"/>
      <c r="GI192" s="72"/>
      <c r="GJ192" s="75"/>
      <c r="GK192" s="72"/>
      <c r="GL192" s="75"/>
      <c r="GM192" s="72"/>
      <c r="GN192" s="75"/>
      <c r="GO192" s="72"/>
      <c r="GP192" s="75"/>
      <c r="GQ192" s="72"/>
      <c r="GR192" s="75"/>
      <c r="GS192" s="72"/>
      <c r="GT192" s="75"/>
      <c r="GU192" s="72"/>
      <c r="GV192" s="75"/>
      <c r="GW192" s="72"/>
      <c r="GX192" s="75"/>
      <c r="GY192" s="72"/>
      <c r="GZ192" s="72"/>
      <c r="HA192" s="72"/>
      <c r="HB192" s="72"/>
      <c r="HC192"/>
      <c r="HD192"/>
      <c r="HE192"/>
      <c r="HF192"/>
      <c r="HG192"/>
      <c r="HH192"/>
      <c r="HI192" s="2"/>
    </row>
    <row r="193" spans="2:217" s="3" customFormat="1" ht="12.75" customHeight="1" x14ac:dyDescent="0.2">
      <c r="B193" s="10" t="s">
        <v>215</v>
      </c>
      <c r="C193" s="73"/>
      <c r="D193" s="72"/>
      <c r="E193" s="73"/>
      <c r="F193" s="72"/>
      <c r="G193" s="73"/>
      <c r="H193" s="72"/>
      <c r="I193" s="73"/>
      <c r="J193" s="72"/>
      <c r="K193" s="73"/>
      <c r="L193" s="72"/>
      <c r="M193" s="73"/>
      <c r="N193" s="72"/>
      <c r="O193" s="73"/>
      <c r="P193" s="72"/>
      <c r="Q193" s="73"/>
      <c r="R193" s="72"/>
      <c r="S193" s="73"/>
      <c r="T193" s="72"/>
      <c r="U193" s="73"/>
      <c r="V193" s="72"/>
      <c r="W193" s="73"/>
      <c r="X193" s="72"/>
      <c r="Y193" s="73"/>
      <c r="Z193" s="72"/>
      <c r="AA193" s="73"/>
      <c r="AB193" s="72"/>
      <c r="AC193" s="73"/>
      <c r="AD193" s="72"/>
      <c r="AE193" s="73"/>
      <c r="AF193" s="72"/>
      <c r="AG193" s="73"/>
      <c r="AH193" s="72"/>
      <c r="AI193" s="73">
        <f>+AI188/AI182*400</f>
        <v>0.1981124288033459</v>
      </c>
      <c r="AJ193" s="72" t="str">
        <f>IF(ISERROR(AI193/AA193),"NA",IF(OR(AI193/AA193&gt;2,AI193/AA193&lt;0.5),"NM",AI193/AA193*100-100))</f>
        <v>NA</v>
      </c>
      <c r="AK193" s="73">
        <f>+AK188/AK182*400</f>
        <v>0.29837954512990622</v>
      </c>
      <c r="AL193" s="72" t="str">
        <f>IF(ISERROR(AK193/AC193),"NA",IF(OR(AK193/AC193&gt;2,AK193/AC193&lt;0.5),"NM",AK193/AC193*100-100))</f>
        <v>NA</v>
      </c>
      <c r="AM193" s="73">
        <f>+AM188/AM182*400</f>
        <v>0.27278205982174009</v>
      </c>
      <c r="AN193" s="72" t="str">
        <f>IF(ISERROR(AM193/AE193),"NA",IF(OR(AM193/AE193&gt;2,AM193/AE193&lt;0.5),"NM",AM193/AE193*100-100))</f>
        <v>NA</v>
      </c>
      <c r="AO193" s="73">
        <f>+AO188/AO182*400</f>
        <v>0.2857772609465612</v>
      </c>
      <c r="AP193" s="72" t="str">
        <f>IF(ISERROR(AO193/AG193),"NA",IF(OR(AO193/AG193&gt;2,AO193/AG193&lt;0.5),"NM",AO193/AG193*100-100))</f>
        <v>NA</v>
      </c>
      <c r="AQ193" s="73">
        <f>+AQ188/AQ182*400</f>
        <v>0.13981975409960637</v>
      </c>
      <c r="AR193" s="72">
        <f>IF(ISERROR(AQ193/AI193),"NA",IF(OR(AQ193/AI193&gt;2,AQ193/AI193&lt;0.5),"NM",AQ193/AI193*100-100))</f>
        <v>-29.424037177194535</v>
      </c>
      <c r="AS193" s="73">
        <f>+AS188/AS182*400</f>
        <v>0.14459573442583443</v>
      </c>
      <c r="AT193" s="72" t="str">
        <f>IF(ISERROR(AS193/AK193),"NA",IF(OR(AS193/AK193&gt;2,AS193/AK193&lt;0.5),"NM",AS193/AK193*100-100))</f>
        <v>NM</v>
      </c>
      <c r="AU193" s="73">
        <f>+AU188/AU182*400</f>
        <v>0.13569471638698069</v>
      </c>
      <c r="AV193" s="72" t="str">
        <f>IF(ISERROR(AU193/AM193),"NA",IF(OR(AU193/AM193&gt;2,AU193/AM193&lt;0.5),"NM",AU193/AM193*100-100))</f>
        <v>NM</v>
      </c>
      <c r="AW193" s="73">
        <f>+AW188/AW182*400</f>
        <v>0.14028985930826871</v>
      </c>
      <c r="AX193" s="72" t="str">
        <f>IF(ISERROR(AW193/AO193),"NA",IF(OR(AW193/AO193&gt;2,AW193/AO193&lt;0.5),"NM",AW193/AO193*100-100))</f>
        <v>NM</v>
      </c>
      <c r="AY193" s="73">
        <f>+AY188/AY182*400</f>
        <v>0.13936574070713598</v>
      </c>
      <c r="AZ193" s="72">
        <f>IF(ISERROR(AY193/AQ193),"NA",IF(OR(AY193/AQ193&gt;2,AY193/AQ193&lt;0.5),"NM",AY193/AQ193*100-100))</f>
        <v>-0.32471333925172985</v>
      </c>
      <c r="BA193" s="73">
        <f>+BA188/BA182*400</f>
        <v>0.12395547692230081</v>
      </c>
      <c r="BB193" s="72">
        <f>IF(ISERROR(BA193/AS193),"NA",IF(OR(BA193/AS193&gt;2,BA193/AS193&lt;0.5),"NM",BA193/AS193*100-100))</f>
        <v>-14.274458085152119</v>
      </c>
      <c r="BC193" s="73">
        <f>+BC188/BC182*400</f>
        <v>0.12798543810126492</v>
      </c>
      <c r="BD193" s="72">
        <f>IF(ISERROR(BC193/AU193),"NA",IF(OR(BC193/AU193&gt;2,BC193/AU193&lt;0.5),"NM",BC193/AU193*100-100))</f>
        <v>-5.6813400631827733</v>
      </c>
      <c r="BE193" s="73">
        <f>+BE188/BE182*400</f>
        <v>0.11840388805325422</v>
      </c>
      <c r="BF193" s="72">
        <f>IF(ISERROR(BE193/AW193),"NA",IF(OR(BE193/AW193&gt;2,BE193/AW193&lt;0.5),"NM",BE193/AW193*100-100))</f>
        <v>-15.600536890498205</v>
      </c>
      <c r="BG193" s="73">
        <f>+BG188/BG182*400</f>
        <v>0.11815331735578247</v>
      </c>
      <c r="BH193" s="72">
        <f>IF(ISERROR(BG193/AY193),"NA",IF(OR(BG193/AY193&gt;2,BG193/AY193&lt;0.5),"NM",BG193/AY193*100-100))</f>
        <v>-15.220687124197497</v>
      </c>
      <c r="BI193" s="73">
        <f>+BI188/BI182*400</f>
        <v>0.11534252141373232</v>
      </c>
      <c r="BJ193" s="72">
        <f>IF(ISERROR(BI193/BA193),"NA",IF(OR(BI193/BA193&gt;2,BI193/BA193&lt;0.5),"NM",BI193/BA193*100-100))</f>
        <v>-6.9484267435535543</v>
      </c>
      <c r="BK193" s="73">
        <f>+BK188/BK182*400</f>
        <v>0.10250266667093762</v>
      </c>
      <c r="BL193" s="72">
        <f>IF(ISERROR(BK193/BC193),"NA",IF(OR(BK193/BC193&gt;2,BK193/BC193&lt;0.5),"NM",BK193/BC193*100-100))</f>
        <v>-19.910680315181466</v>
      </c>
      <c r="BM193" s="73">
        <f>+BM188/BM182*400</f>
        <v>0.10965356327353268</v>
      </c>
      <c r="BN193" s="72">
        <f>IF(ISERROR(BM193/BE193),"NA",IF(OR(BM193/BE193&gt;2,BM193/BE193&lt;0.5),"NM",BM193/BE193*100-100))</f>
        <v>-7.3902343272595346</v>
      </c>
      <c r="BO193" s="73">
        <f>+BO188/BO182*400</f>
        <v>0.10666335927568137</v>
      </c>
      <c r="BP193" s="72">
        <f>IF(ISERROR(BO193/BG193),"NA",IF(OR(BO193/BG193&gt;2,BO193/BG193&lt;0.5),"NM",BO193/BG193*100-100))</f>
        <v>-9.7246174184873837</v>
      </c>
      <c r="BQ193" s="73">
        <f>+BQ188/BQ182*400</f>
        <v>0.11603086168679864</v>
      </c>
      <c r="BR193" s="72">
        <f>IF(ISERROR(BQ193/BI193),"NA",IF(OR(BQ193/BI193&gt;2,BQ193/BI193&lt;0.5),"NM",BQ193/BI193*100-100))</f>
        <v>0.5967792836756729</v>
      </c>
      <c r="BS193" s="73">
        <f>+BS188/BS182*400</f>
        <v>0.11652974421721145</v>
      </c>
      <c r="BT193" s="72">
        <f>IF(ISERROR(BS193/BK193),"NA",IF(OR(BS193/BK193&gt;2,BS193/BK193&lt;0.5),"NM",BS193/BK193*100-100))</f>
        <v>13.684597681058094</v>
      </c>
      <c r="BU193" s="73">
        <f>+BU188/BU182*400</f>
        <v>0.12236768163121439</v>
      </c>
      <c r="BV193" s="72">
        <f>IF(ISERROR(BU193/BM193),"NA",IF(OR(BU193/BM193&gt;2,BU193/BM193&lt;0.5),"NM",BU193/BM193*100-100))</f>
        <v>11.594806386698181</v>
      </c>
      <c r="BW193" s="73">
        <f>+BW188/BW182*400</f>
        <v>0.13005195442873352</v>
      </c>
      <c r="BX193" s="72">
        <f>IF(ISERROR(BW193/BO193),"NA",IF(OR(BW193/BO193&gt;2,BW193/BO193&lt;0.5),"NM",BW193/BO193*100-100))</f>
        <v>21.927487857008288</v>
      </c>
      <c r="BY193" s="73">
        <f>+BY188/BY182*400</f>
        <v>0.12579665868670856</v>
      </c>
      <c r="BZ193" s="72">
        <f>IF(ISERROR(BY193/BQ193),"NA",IF(OR(BY193/BQ193&gt;2,BY193/BQ193&lt;0.5),"NM",BY193/BQ193*100-100))</f>
        <v>8.4165513019033256</v>
      </c>
      <c r="CA193" s="73">
        <f>+CA188/CA182*400</f>
        <v>0.11555197130459378</v>
      </c>
      <c r="CB193" s="72">
        <f>IF(ISERROR(CA193/BS193),"NA",IF(OR(CA193/BS193&gt;2,CA193/BS193&lt;0.5),"NM",CA193/BS193*100-100))</f>
        <v>-0.83907582496284761</v>
      </c>
      <c r="CC193" s="73">
        <f>+CC188/CC182*400</f>
        <v>0.11880758312246892</v>
      </c>
      <c r="CD193" s="72">
        <f>IF(ISERROR(CC193/BU193),"NA",IF(OR(CC193/BU193&gt;2,CC193/BU193&lt;0.5),"NM",CC193/BU193*100-100))</f>
        <v>-2.9093453935612814</v>
      </c>
      <c r="CE193" s="73">
        <f>+CE188/CE182*400</f>
        <v>0.11707273972300149</v>
      </c>
      <c r="CF193" s="72">
        <f>IF(ISERROR(CE193/BW193),"NA",IF(OR(CE193/BW193&gt;2,CE193/BW193&lt;0.5),"NM",CE193/BW193*100-100))</f>
        <v>-9.9800228014600378</v>
      </c>
      <c r="CG193" s="73">
        <f>+CG188/CG182*400</f>
        <v>0.10518934081346423</v>
      </c>
      <c r="CH193" s="72">
        <f>IF(ISERROR(CG193/BY193),"NA",IF(OR(CG193/BY193&gt;2,CG193/BY193&lt;0.5),"NM",CG193/BY193*100-100))</f>
        <v>-16.381450897329486</v>
      </c>
      <c r="CI193" s="73">
        <f>+CI188/CI182*400</f>
        <v>0.10653853632031876</v>
      </c>
      <c r="CJ193" s="72">
        <f>IF(ISERROR(CI193/CA193),"NA",IF(OR(CI193/CA193&gt;2,CI193/CA193&lt;0.5),"NM",CI193/CA193*100-100))</f>
        <v>-7.8003299143341422</v>
      </c>
      <c r="CK193" s="73">
        <f>+CK188/CK182*400</f>
        <v>0.10004852353391394</v>
      </c>
      <c r="CL193" s="72">
        <f>IF(ISERROR(CK193/CC193),"NA",IF(OR(CK193/CC193&gt;2,CK193/CC193&lt;0.5),"NM",CK193/CC193*100-100))</f>
        <v>-15.789446343014831</v>
      </c>
      <c r="CM193" s="73">
        <f>+CM188/CM182*400</f>
        <v>9.3252292650434734E-2</v>
      </c>
      <c r="CN193" s="72">
        <f>IF(ISERROR(CM193/CE193),"NA",IF(OR(CM193/CE193&gt;2,CM193/CE193&lt;0.5),"NM",CM193/CE193*100-100))</f>
        <v>-20.346706781550367</v>
      </c>
      <c r="CO193" s="73">
        <f>+CO188/CO182*400</f>
        <v>8.2648422792598375E-2</v>
      </c>
      <c r="CP193" s="72">
        <f>IF(ISERROR(CO193/CG193),"NA",IF(OR(CO193/CG193&gt;2,CO193/CG193&lt;0.5),"NM",CO193/CG193*100-100))</f>
        <v>-21.428899398503148</v>
      </c>
      <c r="CQ193" s="73">
        <f>+CQ188/CQ182*400</f>
        <v>9.1864903472952675E-2</v>
      </c>
      <c r="CR193" s="72">
        <f>IF(ISERROR(CQ193/CI193),"NA",IF(OR(CQ193/CI193&gt;2,CQ193/CI193&lt;0.5),"NM",CQ193/CI193*100-100))</f>
        <v>-13.773075315441105</v>
      </c>
      <c r="CS193" s="73">
        <f>+CS188/CS182*400</f>
        <v>8.8242577043423448E-2</v>
      </c>
      <c r="CT193" s="72">
        <f>IF(ISERROR(CS193/CK193),"NA",IF(OR(CS193/CK193&gt;2,CS193/CK193&lt;0.5),"NM",CS193/CK193*100-100))</f>
        <v>-11.800220606442608</v>
      </c>
      <c r="CU193" s="73">
        <f>+CU188/CU182*400</f>
        <v>8.5221885832500635E-2</v>
      </c>
      <c r="CV193" s="72">
        <f>IF(ISERROR(CU193/CM193),"NA",IF(OR(CU193/CM193&gt;2,CU193/CM193&lt;0.5),"NM",CU193/CM193*100-100))</f>
        <v>-8.611484596992014</v>
      </c>
      <c r="CW193" s="73">
        <f>+CW188/CW182*400</f>
        <v>8.2526635471598456E-2</v>
      </c>
      <c r="CX193" s="72">
        <f>IF(ISERROR(CW193/CO193),"NA",IF(OR(CW193/CO193&gt;2,CW193/CO193&lt;0.5),"NM",CW193/CO193*100-100))</f>
        <v>-0.14735589244762082</v>
      </c>
      <c r="CY193" s="73">
        <f>+CY188/CY182*400</f>
        <v>8.5410170256311091E-2</v>
      </c>
      <c r="CZ193" s="72">
        <f>IF(ISERROR(CY193/CQ193),"NA",IF(OR(CY193/CQ193&gt;2,CY193/CQ193&lt;0.5),"NM",CY193/CQ193*100-100))</f>
        <v>-7.0263321166412709</v>
      </c>
      <c r="DA193" s="73">
        <f>+DA188/DA182*400</f>
        <v>7.2402201617967565E-2</v>
      </c>
      <c r="DB193" s="72">
        <f>IF(ISERROR(DA193/CS193),"NA",IF(OR(DA193/CS193&gt;2,DA193/CS193&lt;0.5),"NM",DA193/CS193*100-100))</f>
        <v>-17.950943814413947</v>
      </c>
      <c r="DC193" s="73">
        <f>+DC188/DC182*400</f>
        <v>6.5169687270357463E-2</v>
      </c>
      <c r="DD193" s="72">
        <f>IF(ISERROR(DC193/CU193),"NA",IF(OR(DC193/CU193&gt;2,DC193/CU193&lt;0.5),"NM",DC193/CU193*100-100))</f>
        <v>-23.529400184308017</v>
      </c>
      <c r="DE193" s="73">
        <f>+DE188/DE182*400</f>
        <v>7.1852701960979995E-2</v>
      </c>
      <c r="DF193" s="72">
        <f>IF(ISERROR(DE193/CW193),"NA",IF(OR(DE193/CW193&gt;2,DE193/CW193&lt;0.5),"NM",DE193/CW193*100-100))</f>
        <v>-12.933925452821711</v>
      </c>
      <c r="DG193" s="73">
        <f>+DG188/DG182*400</f>
        <v>6.771902465070169E-2</v>
      </c>
      <c r="DH193" s="72">
        <f>IF(ISERROR(DG193/CY193),"NA",IF(OR(DG193/CY193&gt;2,DG193/CY193&lt;0.5),"NM",DG193/CY193*100-100))</f>
        <v>-20.713160449767599</v>
      </c>
      <c r="DI193" s="73">
        <f>+DI188/DI182*400</f>
        <v>6.6732979942332626E-2</v>
      </c>
      <c r="DJ193" s="72">
        <f>IF(ISERROR(DI193/DA193),"NA",IF(OR(DI193/DA193&gt;2,DI193/DA193&lt;0.5),"NM",DI193/DA193*100-100))</f>
        <v>-7.8301785704649802</v>
      </c>
      <c r="DK193" s="73">
        <f>+DK188/DK182*400</f>
        <v>6.5159094227119393E-2</v>
      </c>
      <c r="DL193" s="72">
        <f>IF(ISERROR(DK193/DC193),"NA",IF(OR(DK193/DC193&gt;2,DK193/DC193&lt;0.5),"NM",DK193/DC193*100-100))</f>
        <v>-1.6254555885964805E-2</v>
      </c>
      <c r="DM193" s="73">
        <f>+DM188/DM182*400</f>
        <v>6.6832837403301246E-2</v>
      </c>
      <c r="DN193" s="72">
        <f t="shared" ref="DN193:DZ197" si="1152">IF(ISERROR(DM193/DE193),"NA",IF(OR(DM193/DE193&gt;2,DM193/DE193&lt;0.5),"NM",DM193/DE193*100-100))</f>
        <v>-6.9863267778083156</v>
      </c>
      <c r="DO193" s="73">
        <f>+DO188/DO182*400</f>
        <v>6.1752758848194533E-2</v>
      </c>
      <c r="DP193" s="72">
        <f t="shared" si="1152"/>
        <v>-8.8103244742248847</v>
      </c>
      <c r="DQ193" s="73">
        <f>+DQ188/DQ182*400</f>
        <v>6.2231038285979402E-2</v>
      </c>
      <c r="DR193" s="72">
        <f t="shared" si="1152"/>
        <v>-6.7462020431930085</v>
      </c>
      <c r="DS193" s="73">
        <f>+DS188/DS182*400</f>
        <v>5.5959248500209849E-2</v>
      </c>
      <c r="DT193" s="72">
        <f t="shared" si="1152"/>
        <v>-14.119050972136662</v>
      </c>
      <c r="DU193" s="73">
        <f>+DU188/DU182*400</f>
        <v>6.2883705801835013E-2</v>
      </c>
      <c r="DV193" s="72">
        <f t="shared" si="1152"/>
        <v>-5.9089689363856905</v>
      </c>
      <c r="DW193" s="73">
        <f>+DW188/DW182*400</f>
        <v>5.8474624449431634E-2</v>
      </c>
      <c r="DX193" s="72">
        <f t="shared" si="1152"/>
        <v>-5.3084825033023435</v>
      </c>
      <c r="DY193" s="73">
        <f>+DY188/DY182*400</f>
        <v>5.876735473444502E-2</v>
      </c>
      <c r="DZ193" s="72">
        <f t="shared" si="1152"/>
        <v>-5.5658456727287984</v>
      </c>
      <c r="EA193" s="73">
        <f>+EA188/EA182*400</f>
        <v>6.1011213722420334E-2</v>
      </c>
      <c r="EB193" s="72">
        <f>IF(ISERROR(EA193/DS193),"NA",IF(OR(EA193/DS193&gt;2,EA193/DS193&lt;0.5),"NM",EA193/DS193*100-100))</f>
        <v>9.0279361456963443</v>
      </c>
      <c r="EC193" s="73">
        <f>+EC188/EC182*400</f>
        <v>6.0000455360598726E-2</v>
      </c>
      <c r="ED193" s="72">
        <f>IF(ISERROR(EC193/DU193),"NA",IF(OR(EC193/DU193&gt;2,EC193/DU193&lt;0.5),"NM",EC193/DU193*100-100))</f>
        <v>-4.5850517307651302</v>
      </c>
      <c r="EE193" s="73">
        <f>+EE188/EE182*400</f>
        <v>5.8824379028583659E-2</v>
      </c>
      <c r="EF193" s="72">
        <f>IF(ISERROR(EE193/DW193),"NA",IF(OR(EE193/DW193&gt;2,EE193/DW193&lt;0.5),"NM",EE193/DW193*100-100))</f>
        <v>0.59813052660902599</v>
      </c>
      <c r="EG193" s="73">
        <f>+EG188/EG182*400</f>
        <v>6.3140625040433301E-2</v>
      </c>
      <c r="EH193" s="72">
        <f>IF(ISERROR(EG193/DY193),"NA",IF(OR(EG193/DY193&gt;2,EG193/DY193&lt;0.5),"NM",EG193/DY193*100-100))</f>
        <v>7.441666084427311</v>
      </c>
      <c r="EI193" s="73">
        <f>+EI188/EI182*400</f>
        <v>5.9358341446066422E-2</v>
      </c>
      <c r="EJ193" s="72">
        <f>IF(ISERROR(EI193/EA193),"NA",IF(OR(EI193/EA193&gt;2,EI193/EA193&lt;0.5),"NM",EI193/EA193*100-100))</f>
        <v>-2.7091286593213937</v>
      </c>
      <c r="EK193" s="73">
        <f>+EK188/EK182*400</f>
        <v>5.9232784844438641E-2</v>
      </c>
      <c r="EL193" s="72">
        <f>IF(ISERROR(EK193/EC193),"NA",IF(OR(EK193/EC193&gt;2,EK193/EC193&lt;0.5),"NM",EK193/EC193*100-100))</f>
        <v>-1.2794411501486707</v>
      </c>
      <c r="EM193" s="73">
        <f>+EM188/EM182*400</f>
        <v>5.9717711441081379E-2</v>
      </c>
      <c r="EN193" s="72">
        <f>IF(ISERROR(EM193/EE193),"NA",IF(OR(EM193/EE193&gt;2,EM193/EE193&lt;0.5),"NM",EM193/EE193*100-100))</f>
        <v>1.5186431667449227</v>
      </c>
      <c r="EO193" s="73">
        <f>+EO188/EO182*400</f>
        <v>5.6808431318014781E-2</v>
      </c>
      <c r="EP193" s="72">
        <f>IF(ISERROR(EO193/EG193),"NA",IF(OR(EO193/EG193&gt;2,EO193/EG193&lt;0.5),"NM",EO193/EG193*100-100))</f>
        <v>-10.0287156143348</v>
      </c>
      <c r="EQ193" s="71">
        <f t="shared" ref="EQ193:EQ194" si="1153">EO193</f>
        <v>5.6808431318014781E-2</v>
      </c>
      <c r="ER193" s="72">
        <f t="shared" ref="ER193:ER197" si="1154">IF(ISERROR(EQ193/EI193),"NA",IF(OR(EQ193/EI193&gt;2,EQ193/EI193&lt;0.5),"NM",EQ193/EI193*100-100))</f>
        <v>-4.2957907278600658</v>
      </c>
      <c r="ES193" s="71">
        <f t="shared" ref="ES193:ES196" si="1155">EQ193</f>
        <v>5.6808431318014781E-2</v>
      </c>
      <c r="ET193" s="72">
        <f t="shared" ref="ET193:ET197" si="1156">IF(ISERROR(ES193/EK193),"NA",IF(OR(ES193/EK193&gt;2,ES193/EK193&lt;0.5),"NM",ES193/EK193*100-100))</f>
        <v>-4.0929251136695228</v>
      </c>
      <c r="EU193" s="71">
        <f t="shared" ref="EU193:EU196" si="1157">ES193</f>
        <v>5.6808431318014781E-2</v>
      </c>
      <c r="EV193" s="72">
        <f t="shared" ref="EV193:EV197" si="1158">IF(ISERROR(EU193/EM193),"NA",IF(OR(EU193/EM193&gt;2,EU193/EM193&lt;0.5),"NM",EU193/EM193*100-100))</f>
        <v>-4.8717207221461507</v>
      </c>
      <c r="EW193" s="71">
        <f t="shared" ref="EW193:EW196" si="1159">EU193</f>
        <v>5.6808431318014781E-2</v>
      </c>
      <c r="EX193" s="72">
        <f t="shared" ref="EX193:EX197" si="1160">IF(ISERROR(EW193/EO193),"NA",IF(OR(EW193/EO193&gt;2,EW193/EO193&lt;0.5),"NM",EW193/EO193*100-100))</f>
        <v>0</v>
      </c>
      <c r="EY193" s="72"/>
      <c r="EZ193" s="309"/>
      <c r="FA193" s="72"/>
      <c r="FB193" s="81"/>
      <c r="FC193" s="82"/>
      <c r="FD193" s="81">
        <f>+FD188/FD182*100</f>
        <v>0.12329906708657674</v>
      </c>
      <c r="FE193" s="72" t="str">
        <f>IF(ISERROR(FD193/FB193),"NA",IF(OR(FD193/FB193&gt;2,FD193/FB193&lt;0.5),"NM",FD193/FB193*100-100))</f>
        <v>NA</v>
      </c>
      <c r="FF193" s="81">
        <f>+FF188/FF182*100</f>
        <v>0.11541193181818182</v>
      </c>
      <c r="FG193" s="72">
        <f>IF(ISERROR(FF193/FD193),"NA",IF(OR(FF193/FD193&gt;2,FF193/FD193&lt;0.5),"NM",FF193/FD193*100-100))</f>
        <v>-6.3967517798466531</v>
      </c>
      <c r="FH193" s="81">
        <f>+FH188/FH182*100</f>
        <v>0.11830294426452539</v>
      </c>
      <c r="FI193" s="72">
        <f>IF(ISERROR(FH193/FF193),"NA",IF(OR(FH193/FF193&gt;2,FH193/FF193&lt;0.5),"NM",FH193/FF193*100-100))</f>
        <v>2.5049510919703124</v>
      </c>
      <c r="FJ193" s="81">
        <f>+FJ188/FJ182*100</f>
        <v>0.10499386303476628</v>
      </c>
      <c r="FK193" s="72">
        <f>IF(ISERROR(FJ193/FH193),"NA",IF(OR(FJ193/FH193&gt;2,FJ193/FH193&lt;0.5),"NM",FJ193/FH193*100-100))</f>
        <v>-11.25</v>
      </c>
      <c r="FL193" s="81">
        <f>+FL188/FL182*100</f>
        <v>0.10647264983807284</v>
      </c>
      <c r="FM193" s="72">
        <f>IF(ISERROR(FL193/FJ193),"NA",IF(OR(FL193/FJ193&gt;2,FL193/FJ193&lt;0.5),"NM",FL193/FJ193*100-100))</f>
        <v>1.4084507042253449</v>
      </c>
      <c r="FN193" s="81">
        <f>+FN188/FN182*100</f>
        <v>0.15212633355906918</v>
      </c>
      <c r="FO193" s="72">
        <f>IF(ISERROR(FN193/FL193),"NA",IF(OR(FN193/FL193&gt;2,FN193/FL193&lt;0.5),"NM",FN193/FL193*100-100))</f>
        <v>42.878320198124129</v>
      </c>
      <c r="FP193" s="81">
        <f>+FP188/FP182*100</f>
        <v>0.14027966392574132</v>
      </c>
      <c r="FQ193" s="72">
        <f>IF(ISERROR(FP193/FN193),"NA",IF(OR(FP193/FN193&gt;2,FP193/FN193&lt;0.5),"NM",FP193/FN193*100-100))</f>
        <v>-7.7873891759364113</v>
      </c>
      <c r="FR193" s="73">
        <f>+FR188/FR182*100</f>
        <v>0.12598358694275136</v>
      </c>
      <c r="FS193" s="72">
        <f>IF(ISERROR(FR193/FP193),"NA",IF(OR(FR193/FP193&gt;2,FR193/FP193&lt;0.5),"NM",FR193/FP193*100-100))</f>
        <v>-10.19112577184228</v>
      </c>
      <c r="FT193" s="73">
        <f>+FT188/FT182*100</f>
        <v>0.11043976859015932</v>
      </c>
      <c r="FU193" s="72">
        <f>IF(ISERROR(FT193/FR193),"NA",IF(OR(FT193/FR193&gt;2,FT193/FR193&lt;0.5),"NM",FT193/FR193*100-100))</f>
        <v>-12.337970945100466</v>
      </c>
      <c r="FV193" s="73">
        <f>+FV188/FV182*100</f>
        <v>0.11464530017961097</v>
      </c>
      <c r="FW193" s="72">
        <f>IF(ISERROR(FV193/FT193),"NA",IF(OR(FV193/FT193&gt;2,FV193/FT193&lt;0.5),"NM",FV193/FT193*100-100))</f>
        <v>3.8079866004231917</v>
      </c>
      <c r="FX193" s="73">
        <f>+FX188/FX182*100</f>
        <v>0.12055455093429776</v>
      </c>
      <c r="FY193" s="72">
        <f>IF(ISERROR(FX193/FV193),"NA",IF(OR(FX193/FV193&gt;2,FX193/FV193&lt;0.5),"NM",FX193/FV193*100-100))</f>
        <v>5.1543767999464194</v>
      </c>
      <c r="FZ193" s="73">
        <f>+FZ188/FZ182*100</f>
        <v>0.1047559733054679</v>
      </c>
      <c r="GA193" s="72">
        <f>IF(ISERROR(FZ193/FX193),"NA",IF(OR(FZ193/FX193&gt;2,FZ193/FX193&lt;0.5),"NM",FZ193/FX193*100-100))</f>
        <v>-13.104920143114356</v>
      </c>
      <c r="GB193" s="73">
        <f>+GB188/GB182*100</f>
        <v>8.8732572440030813E-2</v>
      </c>
      <c r="GC193" s="72">
        <f>IF(ISERROR(GB193/FZ193),"NA",IF(OR(GB193/FZ193&gt;2,GB193/FZ193&lt;0.5),"NM",GB193/FZ193*100-100))</f>
        <v>-15.295930494305026</v>
      </c>
      <c r="GD193" s="73">
        <f>+GD188/GD182*100</f>
        <v>7.7788196603890566E-2</v>
      </c>
      <c r="GE193" s="72">
        <f>IF(ISERROR(GD193/GB193),"NA",IF(OR(GD193/GB193&gt;2,GD193/GB193&lt;0.5),"NM",GD193/GB193*100-100))</f>
        <v>-12.334113094193128</v>
      </c>
      <c r="GF193" s="73">
        <f>+GF188/GF182*100</f>
        <v>6.756492107633856E-2</v>
      </c>
      <c r="GG193" s="72">
        <f>IF(ISERROR(GF193/GD193),"NA",IF(OR(GF193/GD193&gt;2,GF193/GD193&lt;0.5),"NM",GF193/GD193*100-100))</f>
        <v>-13.142450878004666</v>
      </c>
      <c r="GH193" s="73">
        <f>+GH188/GH182*100</f>
        <v>6.3197042261929903E-2</v>
      </c>
      <c r="GI193" s="72">
        <f t="shared" ref="GI193:GU197" si="1161">IF(ISERROR(GH193/GF193),"NA",IF(OR(GH193/GF193&gt;2,GH193/GF193&lt;0.5),"NM",GH193/GF193*100-100))</f>
        <v>-6.4647138556908601</v>
      </c>
      <c r="GJ193" s="73">
        <f>+GJ188/GJ182*100</f>
        <v>5.9227962148692206E-2</v>
      </c>
      <c r="GK193" s="72">
        <f t="shared" si="1161"/>
        <v>-6.280483977062147</v>
      </c>
      <c r="GL193" s="73">
        <f>+GL188/GL182*100</f>
        <v>6.038911247869496E-2</v>
      </c>
      <c r="GM193" s="72">
        <f t="shared" si="1161"/>
        <v>1.9604765855149253</v>
      </c>
      <c r="GN193" s="73">
        <f>+GN188/GN182*100</f>
        <v>5.838441970057133E-2</v>
      </c>
      <c r="GO193" s="72">
        <f t="shared" si="1161"/>
        <v>-3.3196261641216864</v>
      </c>
      <c r="GP193" s="73">
        <f>+GP188/GP182*100</f>
        <v>5.6512324740692302E-2</v>
      </c>
      <c r="GQ193" s="72">
        <f t="shared" si="1161"/>
        <v>-3.2064975030670837</v>
      </c>
      <c r="GR193" s="71">
        <f>GP193</f>
        <v>5.6512324740692302E-2</v>
      </c>
      <c r="GS193" s="72">
        <f t="shared" si="1161"/>
        <v>0</v>
      </c>
      <c r="GT193" s="71">
        <f>GR193</f>
        <v>5.6512324740692302E-2</v>
      </c>
      <c r="GU193" s="72">
        <f t="shared" si="1161"/>
        <v>0</v>
      </c>
      <c r="GV193" s="71">
        <f>GT193</f>
        <v>5.6512324740692302E-2</v>
      </c>
      <c r="GW193" s="72">
        <f>IF(ISERROR(GV193/GT193),"NA",IF(OR(GV193/GT193&gt;2,GV193/GT193&lt;0.5),"NM",GV193/GT193*100-100))</f>
        <v>0</v>
      </c>
      <c r="GX193" s="71">
        <f>GV193</f>
        <v>5.6512324740692302E-2</v>
      </c>
      <c r="GY193" s="72">
        <f>IF(ISERROR(GX193/GV193),"NA",IF(OR(GX193/GV193&gt;2,GX193/GV193&lt;0.5),"NM",GX193/GV193*100-100))</f>
        <v>0</v>
      </c>
      <c r="GZ193" s="72">
        <f>IF(ISERROR(((GX193/GN193)^0.2-1)*100),"NA",IF((((GX193/GN193)^0.2-1)*100)&gt;100,"NM",IF((((GX193/GN193)^0.2-1)*100)&lt;-50,"NM",((GX193/GN193)^0.2-1)*100)))</f>
        <v>-0.64968668880249769</v>
      </c>
      <c r="HA193" s="72"/>
      <c r="HB193" s="72"/>
      <c r="HC193"/>
      <c r="HD193"/>
      <c r="HE193"/>
      <c r="HF193"/>
      <c r="HG193"/>
      <c r="HH193"/>
      <c r="HI193" s="2"/>
    </row>
    <row r="194" spans="2:217" s="3" customFormat="1" ht="12.75" customHeight="1" x14ac:dyDescent="0.2">
      <c r="B194" s="10" t="s">
        <v>622</v>
      </c>
      <c r="C194" s="73"/>
      <c r="D194" s="72"/>
      <c r="E194" s="73"/>
      <c r="F194" s="72"/>
      <c r="G194" s="73"/>
      <c r="H194" s="72"/>
      <c r="I194" s="73"/>
      <c r="J194" s="72"/>
      <c r="K194" s="73"/>
      <c r="L194" s="72"/>
      <c r="M194" s="73"/>
      <c r="N194" s="72"/>
      <c r="O194" s="73"/>
      <c r="P194" s="72"/>
      <c r="Q194" s="73"/>
      <c r="R194" s="72"/>
      <c r="S194" s="73"/>
      <c r="T194" s="72"/>
      <c r="U194" s="73"/>
      <c r="V194" s="72"/>
      <c r="W194" s="73"/>
      <c r="X194" s="72"/>
      <c r="Y194" s="73"/>
      <c r="Z194" s="72"/>
      <c r="AA194" s="73"/>
      <c r="AB194" s="72"/>
      <c r="AC194" s="73"/>
      <c r="AD194" s="72"/>
      <c r="AE194" s="73"/>
      <c r="AF194" s="72"/>
      <c r="AG194" s="73"/>
      <c r="AH194" s="72"/>
      <c r="AI194" s="73">
        <f>+AI190/(AI180+AI154)*400</f>
        <v>0.24766118741458332</v>
      </c>
      <c r="AJ194" s="72" t="str">
        <f>IF(ISERROR(AI194/AA194),"NA",IF(OR(AI194/AA194&gt;2,AI194/AA194&lt;0.5),"NM",AI194/AA194*100-100))</f>
        <v>NA</v>
      </c>
      <c r="AK194" s="73">
        <f>+AK190/(AK180+AK154)*400</f>
        <v>0.2772073547488173</v>
      </c>
      <c r="AL194" s="72" t="str">
        <f>IF(ISERROR(AK194/AC194),"NA",IF(OR(AK194/AC194&gt;2,AK194/AC194&lt;0.5),"NM",AK194/AC194*100-100))</f>
        <v>NA</v>
      </c>
      <c r="AM194" s="73">
        <f>+AM190/(AM180+AM154)*400</f>
        <v>0.27157917685348115</v>
      </c>
      <c r="AN194" s="72" t="str">
        <f>IF(ISERROR(AM194/AE194),"NA",IF(OR(AM194/AE194&gt;2,AM194/AE194&lt;0.5),"NM",AM194/AE194*100-100))</f>
        <v>NA</v>
      </c>
      <c r="AO194" s="73">
        <f>+AO190/(AO180+AO154)*400</f>
        <v>0.28922196279279955</v>
      </c>
      <c r="AP194" s="72" t="str">
        <f>IF(ISERROR(AO194/AG194),"NA",IF(OR(AO194/AG194&gt;2,AO194/AG194&lt;0.5),"NM",AO194/AG194*100-100))</f>
        <v>NA</v>
      </c>
      <c r="AQ194" s="73">
        <f>+AQ190/(AQ180+AQ154)*400</f>
        <v>0.27169379632498392</v>
      </c>
      <c r="AR194" s="72">
        <f>IF(ISERROR(AQ194/AI194),"NA",IF(OR(AQ194/AI194&gt;2,AQ194/AI194&lt;0.5),"NM",AQ194/AI194*100-100))</f>
        <v>9.703825278916284</v>
      </c>
      <c r="AS194" s="73">
        <f>+AS190/(AS180+AS154)*400</f>
        <v>0.2682984231583902</v>
      </c>
      <c r="AT194" s="72">
        <f>IF(ISERROR(AS194/AK194),"NA",IF(OR(AS194/AK194&gt;2,AS194/AK194&lt;0.5),"NM",AS194/AK194*100-100))</f>
        <v>-3.2138150152977119</v>
      </c>
      <c r="AU194" s="73">
        <f>+AU190/(AU180+AU154)*400</f>
        <v>0.27630144259038314</v>
      </c>
      <c r="AV194" s="72">
        <f>IF(ISERROR(AU194/AM194),"NA",IF(OR(AU194/AM194&gt;2,AU194/AM194&lt;0.5),"NM",AU194/AM194*100-100))</f>
        <v>1.7388173097857589</v>
      </c>
      <c r="AW194" s="73">
        <f>+AW190/(AW180+AW154)*400</f>
        <v>0.26704989080375224</v>
      </c>
      <c r="AX194" s="72">
        <f>IF(ISERROR(AW194/AO194),"NA",IF(OR(AW194/AO194&gt;2,AW194/AO194&lt;0.5),"NM",AW194/AO194*100-100))</f>
        <v>-7.6661093697547074</v>
      </c>
      <c r="AY194" s="73">
        <f>+AY190/(AY180+AY154)*400</f>
        <v>0.254982181471478</v>
      </c>
      <c r="AZ194" s="72">
        <f>IF(ISERROR(AY194/AQ194),"NA",IF(OR(AY194/AQ194&gt;2,AY194/AQ194&lt;0.5),"NM",AY194/AQ194*100-100))</f>
        <v>-6.1509004178794271</v>
      </c>
      <c r="BA194" s="73">
        <f>+BA190/(BA180+BA154)*400</f>
        <v>0.26196226106176579</v>
      </c>
      <c r="BB194" s="72">
        <f>IF(ISERROR(BA194/AS194),"NA",IF(OR(BA194/AS194&gt;2,BA194/AS194&lt;0.5),"NM",BA194/AS194*100-100))</f>
        <v>-2.361609890224301</v>
      </c>
      <c r="BC194" s="73">
        <f>+BC190/(BC180+BC154)*400</f>
        <v>0.25186409026206247</v>
      </c>
      <c r="BD194" s="72">
        <f>IF(ISERROR(BC194/AU194),"NA",IF(OR(BC194/AU194&gt;2,BC194/AU194&lt;0.5),"NM",BC194/AU194*100-100))</f>
        <v>-8.8444533981492981</v>
      </c>
      <c r="BE194" s="73">
        <f>+BE190/(BE180+BE154)*400</f>
        <v>0.26552298174010902</v>
      </c>
      <c r="BF194" s="72">
        <f>IF(ISERROR(BE194/AW194),"NA",IF(OR(BE194/AW194&gt;2,BE194/AW194&lt;0.5),"NM",BE194/AW194*100-100))</f>
        <v>-0.57176921475145548</v>
      </c>
      <c r="BG194" s="73">
        <f>+BG190/(BG180+BG154)*400</f>
        <v>0.26053763658029205</v>
      </c>
      <c r="BH194" s="72">
        <f>IF(ISERROR(BG194/AY194),"NA",IF(OR(BG194/AY194&gt;2,BG194/AY194&lt;0.5),"NM",BG194/AY194*100-100))</f>
        <v>2.1787620910426142</v>
      </c>
      <c r="BI194" s="73">
        <f>+BI190/(BI180+BI154)*400</f>
        <v>0.24486404943921758</v>
      </c>
      <c r="BJ194" s="72">
        <f>IF(ISERROR(BI194/BA194),"NA",IF(OR(BI194/BA194&gt;2,BI194/BA194&lt;0.5),"NM",BI194/BA194*100-100))</f>
        <v>-6.5269751273511787</v>
      </c>
      <c r="BK194" s="73">
        <f>+BK190/(BK180+BK154)*400</f>
        <v>0.25283008107671401</v>
      </c>
      <c r="BL194" s="72">
        <f>IF(ISERROR(BK194/BC194),"NA",IF(OR(BK194/BC194&gt;2,BK194/BC194&lt;0.5),"NM",BK194/BC194*100-100))</f>
        <v>0.38353653895100592</v>
      </c>
      <c r="BM194" s="73">
        <f>+BM190/(BM180+BM154)*400</f>
        <v>0.25871992437417596</v>
      </c>
      <c r="BN194" s="72">
        <f>IF(ISERROR(BM194/BE194),"NA",IF(OR(BM194/BE194&gt;2,BM194/BE194&lt;0.5),"NM",BM194/BE194*100-100))</f>
        <v>-2.5621350443374524</v>
      </c>
      <c r="BO194" s="73">
        <f>+BO190/(BO180+BO154)*400</f>
        <v>0.24182457565324941</v>
      </c>
      <c r="BP194" s="72">
        <f>IF(ISERROR(BO194/BG194),"NA",IF(OR(BO194/BG194&gt;2,BO194/BG194&lt;0.5),"NM",BO194/BG194*100-100))</f>
        <v>-7.1824789587648326</v>
      </c>
      <c r="BQ194" s="73">
        <f>+BQ190/(BQ180+BQ154)*400</f>
        <v>0.2580578806996548</v>
      </c>
      <c r="BR194" s="72">
        <f>IF(ISERROR(BQ194/BI194),"NA",IF(OR(BQ194/BI194&gt;2,BQ194/BI194&lt;0.5),"NM",BQ194/BI194*100-100))</f>
        <v>5.388227177755752</v>
      </c>
      <c r="BS194" s="73">
        <f>+BS190/(BS180+BS154)*400</f>
        <v>0.26058887207143661</v>
      </c>
      <c r="BT194" s="72">
        <f>IF(ISERROR(BS194/BK194),"NA",IF(OR(BS194/BK194&gt;2,BS194/BK194&lt;0.5),"NM",BS194/BK194*100-100))</f>
        <v>3.0687768487359648</v>
      </c>
      <c r="BU194" s="73">
        <f>+BU190/(BU180+BU154)*400</f>
        <v>0.21617456095797358</v>
      </c>
      <c r="BV194" s="72">
        <f>IF(ISERROR(BU194/BM194),"NA",IF(OR(BU194/BM194&gt;2,BU194/BM194&lt;0.5),"NM",BU194/BM194*100-100))</f>
        <v>-16.444563950424936</v>
      </c>
      <c r="BW194" s="73">
        <f>+BW190/(BW180+BW154)*400</f>
        <v>0.22648105067513508</v>
      </c>
      <c r="BX194" s="72">
        <f>IF(ISERROR(BW194/BO194),"NA",IF(OR(BW194/BO194&gt;2,BW194/BO194&lt;0.5),"NM",BW194/BO194*100-100))</f>
        <v>-6.3448989568848901</v>
      </c>
      <c r="BY194" s="73">
        <f>+BY190/(BY180+BY154)*400</f>
        <v>0.21516796204216465</v>
      </c>
      <c r="BZ194" s="72">
        <f>IF(ISERROR(BY194/BQ194),"NA",IF(OR(BY194/BQ194&gt;2,BY194/BQ194&lt;0.5),"NM",BY194/BQ194*100-100))</f>
        <v>-16.620270824981446</v>
      </c>
      <c r="CA194" s="73">
        <f>+CA190/(CA180+CA154)*400</f>
        <v>0.24694572653700614</v>
      </c>
      <c r="CB194" s="72">
        <f>IF(ISERROR(CA194/BS194),"NA",IF(OR(CA194/BS194&gt;2,CA194/BS194&lt;0.5),"NM",CA194/BS194*100-100))</f>
        <v>-5.2355058088168818</v>
      </c>
      <c r="CC194" s="73">
        <f>+CC190/(CC180+CC154)*400</f>
        <v>0.27316784846373038</v>
      </c>
      <c r="CD194" s="72">
        <f>IF(ISERROR(CC194/BU194),"NA",IF(OR(CC194/BU194&gt;2,CC194/BU194&lt;0.5),"NM",CC194/BU194*100-100))</f>
        <v>26.364474734303656</v>
      </c>
      <c r="CE194" s="73">
        <f>+CE190/(CE180+CE154)*400</f>
        <v>0.26164613898796812</v>
      </c>
      <c r="CF194" s="72">
        <f>IF(ISERROR(CE194/BW194),"NA",IF(OR(CE194/BW194&gt;2,CE194/BW194&lt;0.5),"NM",CE194/BW194*100-100))</f>
        <v>15.526724292388565</v>
      </c>
      <c r="CG194" s="73">
        <f>+CG190/(CG180+CG154)*400</f>
        <v>0.26683771648492621</v>
      </c>
      <c r="CH194" s="72">
        <f>IF(ISERROR(CG194/BY194),"NA",IF(OR(CG194/BY194&gt;2,CG194/BY194&lt;0.5),"NM",CG194/BY194*100-100))</f>
        <v>24.013683985460759</v>
      </c>
      <c r="CI194" s="73">
        <f>+CI190/(CI180+CI154)*400</f>
        <v>0.24109093648760643</v>
      </c>
      <c r="CJ194" s="72">
        <f>IF(ISERROR(CI194/CA194),"NA",IF(OR(CI194/CA194&gt;2,CI194/CA194&lt;0.5),"NM",CI194/CA194*100-100))</f>
        <v>-2.3708812991029049</v>
      </c>
      <c r="CK194" s="73">
        <f>+CK190/(CK180+CK154)*400</f>
        <v>0.25608606780915866</v>
      </c>
      <c r="CL194" s="72">
        <f>IF(ISERROR(CK194/CC194),"NA",IF(OR(CK194/CC194&gt;2,CK194/CC194&lt;0.5),"NM",CK194/CC194*100-100))</f>
        <v>-6.2532178477950424</v>
      </c>
      <c r="CM194" s="73">
        <f>+CM190/(CM180+CM154)*400</f>
        <v>0.2485998991789298</v>
      </c>
      <c r="CN194" s="72">
        <f>IF(ISERROR(CM194/CE194),"NA",IF(OR(CM194/CE194&gt;2,CM194/CE194&lt;0.5),"NM",CM194/CE194*100-100))</f>
        <v>-4.9862152980741143</v>
      </c>
      <c r="CO194" s="73">
        <f>+CO190/(CO180+CO154)*400</f>
        <v>0.25268175586503377</v>
      </c>
      <c r="CP194" s="72">
        <f>IF(ISERROR(CO194/CG194),"NA",IF(OR(CO194/CG194&gt;2,CO194/CG194&lt;0.5),"NM",CO194/CG194*100-100))</f>
        <v>-5.3050823573106527</v>
      </c>
      <c r="CQ194" s="73">
        <f>+CQ190/(CQ180+CQ154)*400</f>
        <v>0.25201484411133812</v>
      </c>
      <c r="CR194" s="72">
        <f>IF(ISERROR(CQ194/CI194),"NA",IF(OR(CQ194/CI194&gt;2,CQ194/CI194&lt;0.5),"NM",CQ194/CI194*100-100))</f>
        <v>4.5310320590559598</v>
      </c>
      <c r="CS194" s="73">
        <f>+CS190/(CS180+CS154)*400</f>
        <v>0.26353513560475522</v>
      </c>
      <c r="CT194" s="72">
        <f>IF(ISERROR(CS194/CK194),"NA",IF(OR(CS194/CK194&gt;2,CS194/CK194&lt;0.5),"NM",CS194/CK194*100-100))</f>
        <v>2.9088141574136017</v>
      </c>
      <c r="CU194" s="73">
        <f>+CU190/(CU180+CU154)*400</f>
        <v>0.26186216559318187</v>
      </c>
      <c r="CV194" s="72">
        <f>IF(ISERROR(CU194/CM194),"NA",IF(OR(CU194/CM194&gt;2,CU194/CM194&lt;0.5),"NM",CU194/CM194*100-100))</f>
        <v>5.3347835047618162</v>
      </c>
      <c r="CW194" s="73">
        <f>+CW190/(CW180+CW154)*400</f>
        <v>0.27075780783871767</v>
      </c>
      <c r="CX194" s="72">
        <f>IF(ISERROR(CW194/CO194),"NA",IF(OR(CW194/CO194&gt;2,CW194/CO194&lt;0.5),"NM",CW194/CO194*100-100))</f>
        <v>7.1536830634258024</v>
      </c>
      <c r="CY194" s="73">
        <f>+CY190/(CY180+CY154)*400</f>
        <v>0.28120375784241275</v>
      </c>
      <c r="CZ194" s="72">
        <f>IF(ISERROR(CY194/CQ194),"NA",IF(OR(CY194/CQ194&gt;2,CY194/CQ194&lt;0.5),"NM",CY194/CQ194*100-100))</f>
        <v>11.582220021206055</v>
      </c>
      <c r="DA194" s="73">
        <f>+DA190/(DA180+DA154)*400</f>
        <v>0.27020226328170777</v>
      </c>
      <c r="DB194" s="72">
        <f>IF(ISERROR(DA194/CS194),"NA",IF(OR(DA194/CS194&gt;2,DA194/CS194&lt;0.5),"NM",DA194/CS194*100-100))</f>
        <v>2.5298818928462623</v>
      </c>
      <c r="DC194" s="73">
        <f>+DC190/(DC180+DC154)*400</f>
        <v>0.26038588281015956</v>
      </c>
      <c r="DD194" s="72">
        <f>IF(ISERROR(DC194/CU194),"NA",IF(OR(DC194/CU194&gt;2,DC194/CU194&lt;0.5),"NM",DC194/CU194*100-100))</f>
        <v>-0.56376329878665388</v>
      </c>
      <c r="DE194" s="73">
        <f>+DE190/(DE180+DE154)*400</f>
        <v>0.26048532864036189</v>
      </c>
      <c r="DF194" s="72">
        <f>IF(ISERROR(DE194/CW194),"NA",IF(OR(DE194/CW194&gt;2,DE194/CW194&lt;0.5),"NM",DE194/CW194*100-100))</f>
        <v>-3.7939733965030484</v>
      </c>
      <c r="DG194" s="73">
        <f>+DG190/(DG180+DG154)*400</f>
        <v>0.26673600171298351</v>
      </c>
      <c r="DH194" s="72">
        <f>IF(ISERROR(DG194/CY194),"NA",IF(OR(DG194/CY194&gt;2,DG194/CY194&lt;0.5),"NM",DG194/CY194*100-100))</f>
        <v>-5.1449369810829495</v>
      </c>
      <c r="DI194" s="73">
        <f>+DI190/(DI180+DI154)*400</f>
        <v>0.26827241313951622</v>
      </c>
      <c r="DJ194" s="72">
        <f>IF(ISERROR(DI194/DA194),"NA",IF(OR(DI194/DA194&gt;2,DI194/DA194&lt;0.5),"NM",DI194/DA194*100-100))</f>
        <v>-0.71422426990535826</v>
      </c>
      <c r="DK194" s="73">
        <f>+DK190/(DK180+DK154)*400</f>
        <v>0.25199448550184195</v>
      </c>
      <c r="DL194" s="72">
        <f>IF(ISERROR(DK194/DC194),"NA",IF(OR(DK194/DC194&gt;2,DK194/DC194&lt;0.5),"NM",DK194/DC194*100-100))</f>
        <v>-3.2226775191324606</v>
      </c>
      <c r="DM194" s="73">
        <f>+DM190/(DM180+DM154)*400</f>
        <v>0.24568359107515619</v>
      </c>
      <c r="DN194" s="72">
        <f t="shared" si="1152"/>
        <v>-5.682369000382991</v>
      </c>
      <c r="DO194" s="73">
        <f>+DO190/(DO180+DO154)*400</f>
        <v>0.22345688913717432</v>
      </c>
      <c r="DP194" s="72">
        <f t="shared" si="1152"/>
        <v>-16.225448495092493</v>
      </c>
      <c r="DQ194" s="73">
        <f>+DQ190/(DQ180+DQ154)*400</f>
        <v>0.22697419123394028</v>
      </c>
      <c r="DR194" s="72">
        <f t="shared" si="1152"/>
        <v>-15.394136662161614</v>
      </c>
      <c r="DS194" s="73">
        <f>+DS190/(DS180+DS154)*400</f>
        <v>0.21586068436920189</v>
      </c>
      <c r="DT194" s="72">
        <f t="shared" si="1152"/>
        <v>-14.339123755299781</v>
      </c>
      <c r="DU194" s="73">
        <f>+DU190/(DU180+DU154)*400</f>
        <v>0.21946390375394598</v>
      </c>
      <c r="DV194" s="72">
        <f t="shared" si="1152"/>
        <v>-10.672136143267892</v>
      </c>
      <c r="DW194" s="73">
        <f>+DW190/(DW180+DW154)*400</f>
        <v>0.20906524128715218</v>
      </c>
      <c r="DX194" s="72">
        <f t="shared" si="1152"/>
        <v>-6.4404583387838557</v>
      </c>
      <c r="DY194" s="73">
        <f>+DY190/(DY180+DY154)*400</f>
        <v>0.20335428095363572</v>
      </c>
      <c r="DZ194" s="72">
        <f t="shared" si="1152"/>
        <v>-10.406429978622427</v>
      </c>
      <c r="EA194" s="73">
        <f>+EA190/(EA180+EA154)*400</f>
        <v>0.19399115103975892</v>
      </c>
      <c r="EB194" s="72">
        <f>IF(ISERROR(EA194/DS194),"NA",IF(OR(EA194/DS194&gt;2,EA194/DS194&lt;0.5),"NM",EA194/DS194*100-100))</f>
        <v>-10.131318444278605</v>
      </c>
      <c r="EC194" s="73">
        <f>+EC190/(EC180+EC154)*400</f>
        <v>0.20802769562753728</v>
      </c>
      <c r="ED194" s="72">
        <f>IF(ISERROR(EC194/DU194),"NA",IF(OR(EC194/DU194&gt;2,EC194/DU194&lt;0.5),"NM",EC194/DU194*100-100))</f>
        <v>-5.2109745296568235</v>
      </c>
      <c r="EE194" s="73">
        <f>+EE190/(EE180+EE154)*400</f>
        <v>0.21321666760954699</v>
      </c>
      <c r="EF194" s="72">
        <f>IF(ISERROR(EE194/DW194),"NA",IF(OR(EE194/DW194&gt;2,EE194/DW194&lt;0.5),"NM",EE194/DW194*100-100))</f>
        <v>1.9857085265995238</v>
      </c>
      <c r="EG194" s="73">
        <f>+EG190/(EG180+EG154)*400</f>
        <v>0.21066113475142234</v>
      </c>
      <c r="EH194" s="72">
        <f>IF(ISERROR(EG194/DY194),"NA",IF(OR(EG194/DY194&gt;2,EG194/DY194&lt;0.5),"NM",EG194/DY194*100-100))</f>
        <v>3.5931644829510816</v>
      </c>
      <c r="EI194" s="73">
        <f>+EI190/(EI180+EI154)*400</f>
        <v>0.21007143867760508</v>
      </c>
      <c r="EJ194" s="72">
        <f>IF(ISERROR(EI194/EA194),"NA",IF(OR(EI194/EA194&gt;2,EI194/EA194&lt;0.5),"NM",EI194/EA194*100-100))</f>
        <v>8.2891861570275864</v>
      </c>
      <c r="EK194" s="73">
        <f>+EK190/(EK180+EK154)*400</f>
        <v>0.19752092516554665</v>
      </c>
      <c r="EL194" s="72">
        <f>IF(ISERROR(EK194/EC194),"NA",IF(OR(EK194/EC194&gt;2,EK194/EC194&lt;0.5),"NM",EK194/EC194*100-100))</f>
        <v>-5.0506594471932544</v>
      </c>
      <c r="EM194" s="73">
        <f>+EM190/(EM180+EM154)*400</f>
        <v>0.18460612343862348</v>
      </c>
      <c r="EN194" s="72">
        <f>IF(ISERROR(EM194/EE194),"NA",IF(OR(EM194/EE194&gt;2,EM194/EE194&lt;0.5),"NM",EM194/EE194*100-100))</f>
        <v>-13.418530779834043</v>
      </c>
      <c r="EO194" s="73">
        <f>+EO190/(EO180+EO154)*400</f>
        <v>0.17867765648791026</v>
      </c>
      <c r="EP194" s="72">
        <f>IF(ISERROR(EO194/EG194),"NA",IF(OR(EO194/EG194&gt;2,EO194/EG194&lt;0.5),"NM",EO194/EG194*100-100))</f>
        <v>-15.182429498090471</v>
      </c>
      <c r="EQ194" s="71">
        <f t="shared" si="1153"/>
        <v>0.17867765648791026</v>
      </c>
      <c r="ER194" s="72">
        <f t="shared" si="1154"/>
        <v>-14.944336263567266</v>
      </c>
      <c r="ES194" s="71">
        <f t="shared" si="1155"/>
        <v>0.17867765648791026</v>
      </c>
      <c r="ET194" s="72">
        <f t="shared" si="1156"/>
        <v>-9.5398847802294426</v>
      </c>
      <c r="EU194" s="71">
        <f t="shared" si="1157"/>
        <v>0.17867765648791026</v>
      </c>
      <c r="EV194" s="72">
        <f t="shared" si="1158"/>
        <v>-3.2114140312817341</v>
      </c>
      <c r="EW194" s="71">
        <f t="shared" si="1159"/>
        <v>0.17867765648791026</v>
      </c>
      <c r="EX194" s="72">
        <f t="shared" si="1160"/>
        <v>0</v>
      </c>
      <c r="EY194" s="72"/>
      <c r="EZ194" s="309"/>
      <c r="FA194" s="72"/>
      <c r="FB194" s="81"/>
      <c r="FC194" s="82"/>
      <c r="FD194" s="86" t="s">
        <v>476</v>
      </c>
      <c r="FE194" s="72" t="str">
        <f>IF(ISERROR(FD194/FB194),"NA",IF(OR(FD194/FB194&gt;2,FD194/FB194&lt;0.5),"NM",FD194/FB194*100-100))</f>
        <v>NA</v>
      </c>
      <c r="FF194" s="86" t="s">
        <v>476</v>
      </c>
      <c r="FG194" s="72" t="str">
        <f>IF(ISERROR(FF194/FD194),"NA",IF(OR(FF194/FD194&gt;2,FF194/FD194&lt;0.5),"NM",FF194/FD194*100-100))</f>
        <v>NA</v>
      </c>
      <c r="FH194" s="81">
        <f>+FH190/(FH180+FH154)*100</f>
        <v>0.56054672502495584</v>
      </c>
      <c r="FI194" s="72" t="str">
        <f>IF(ISERROR(FH194/FF194),"NA",IF(OR(FH194/FF194&gt;2,FH194/FF194&lt;0.5),"NM",FH194/FF194*100-100))</f>
        <v>NA</v>
      </c>
      <c r="FJ194" s="81">
        <f>+FJ190/(FJ180+FJ154)*100</f>
        <v>0.52599247485218459</v>
      </c>
      <c r="FK194" s="72">
        <f>IF(ISERROR(FJ194/FH194),"NA",IF(OR(FJ194/FH194&gt;2,FJ194/FH194&lt;0.5),"NM",FJ194/FH194*100-100))</f>
        <v>-6.1643835616438309</v>
      </c>
      <c r="FL194" s="81">
        <f>+FL190/(FL180+FL154)*100</f>
        <v>0.52599247485218459</v>
      </c>
      <c r="FM194" s="72">
        <f>IF(ISERROR(FL194/FJ194),"NA",IF(OR(FL194/FJ194&gt;2,FL194/FJ194&lt;0.5),"NM",FL194/FJ194*100-100))</f>
        <v>0</v>
      </c>
      <c r="FN194" s="81">
        <f>+FN190/(FN180+FN154)*100</f>
        <v>0.25651477243977172</v>
      </c>
      <c r="FO194" s="72" t="str">
        <f>IF(ISERROR(FN194/FL194),"NA",IF(OR(FN194/FL194&gt;2,FN194/FL194&lt;0.5),"NM",FN194/FL194*100-100))</f>
        <v>NM</v>
      </c>
      <c r="FP194" s="81">
        <f>+FP190/(FP180+FP154)*100</f>
        <v>0.26758650722254373</v>
      </c>
      <c r="FQ194" s="72">
        <f>IF(ISERROR(FP194/FN194),"NA",IF(OR(FP194/FN194&gt;2,FP194/FN194&lt;0.5),"NM",FP194/FN194*100-100))</f>
        <v>4.3162172211238357</v>
      </c>
      <c r="FR194" s="73">
        <f>+FR190/(FR180+FR154)*100</f>
        <v>0.25270900374335065</v>
      </c>
      <c r="FS194" s="72">
        <f>IF(ISERROR(FR194/FP194),"NA",IF(OR(FR194/FP194&gt;2,FR194/FP194&lt;0.5),"NM",FR194/FP194*100-100))</f>
        <v>-5.559885523981194</v>
      </c>
      <c r="FT194" s="73">
        <f>+FT190/(FT180+FT154)*100</f>
        <v>0.24469707792058176</v>
      </c>
      <c r="FU194" s="72">
        <f>IF(ISERROR(FT194/FR194),"NA",IF(OR(FT194/FR194&gt;2,FT194/FR194&lt;0.5),"NM",FT194/FR194*100-100))</f>
        <v>-3.1704156575702171</v>
      </c>
      <c r="FV194" s="73">
        <f>+FV190/(FV180+FV154)*100</f>
        <v>0.25522233511421805</v>
      </c>
      <c r="FW194" s="72">
        <f>IF(ISERROR(FV194/FT194),"NA",IF(OR(FV194/FT194&gt;2,FV194/FT194&lt;0.5),"NM",FV194/FT194*100-100))</f>
        <v>4.3013415947093421</v>
      </c>
      <c r="FX194" s="73">
        <f>+FX190/(FX180+FX154)*100</f>
        <v>0.22975397526594021</v>
      </c>
      <c r="FY194" s="72">
        <f>IF(ISERROR(FX194/FV194),"NA",IF(OR(FX194/FV194&gt;2,FX194/FV194&lt;0.5),"NM",FX194/FV194*100-100))</f>
        <v>-9.9788914778481796</v>
      </c>
      <c r="FZ194" s="73">
        <f>+FZ190/(FZ180+FZ154)*100</f>
        <v>0.24641821314085091</v>
      </c>
      <c r="GA194" s="72">
        <f>IF(ISERROR(FZ194/FX194),"NA",IF(OR(FZ194/FX194&gt;2,FZ194/FX194&lt;0.5),"NM",FZ194/FX194*100-100))</f>
        <v>7.2530792364405556</v>
      </c>
      <c r="GB194" s="73">
        <f>+GB190/(GB180+GB154)*100</f>
        <v>0.2573252823876927</v>
      </c>
      <c r="GC194" s="72">
        <f>IF(ISERROR(GB194/FZ194),"NA",IF(OR(GB194/FZ194&gt;2,GB194/FZ194&lt;0.5),"NM",GB194/FZ194*100-100))</f>
        <v>4.4262431367471038</v>
      </c>
      <c r="GD194" s="73">
        <f>+GD190/(GD180+GD154)*100</f>
        <v>0.26956529175824645</v>
      </c>
      <c r="GE194" s="72">
        <f>IF(ISERROR(GD194/GB194),"NA",IF(OR(GD194/GB194&gt;2,GD194/GB194&lt;0.5),"NM",GD194/GB194*100-100))</f>
        <v>4.7566291415208184</v>
      </c>
      <c r="GF194" s="73">
        <f>+GF190/(GF180+GF154)*100</f>
        <v>0.25534039655499763</v>
      </c>
      <c r="GG194" s="72">
        <f>IF(ISERROR(GF194/GD194),"NA",IF(OR(GF194/GD194&gt;2,GF194/GD194&lt;0.5),"NM",GF194/GD194*100-100))</f>
        <v>-5.2769757970199294</v>
      </c>
      <c r="GH194" s="73">
        <f>+GH190/(GH180+GH154)*100</f>
        <v>0.23550799487666818</v>
      </c>
      <c r="GI194" s="72">
        <f t="shared" si="1161"/>
        <v>-7.7670442851598551</v>
      </c>
      <c r="GJ194" s="73">
        <f>+GJ190/(GJ180+GJ154)*100</f>
        <v>0.21142915725243283</v>
      </c>
      <c r="GK194" s="72">
        <f t="shared" si="1161"/>
        <v>-10.224212403848568</v>
      </c>
      <c r="GL194" s="73">
        <f>+GL190/(GL180+GL154)*100</f>
        <v>0.20216537679638111</v>
      </c>
      <c r="GM194" s="72">
        <f t="shared" si="1161"/>
        <v>-4.381505643042118</v>
      </c>
      <c r="GN194" s="73">
        <f>+GN190/(GN180+GN154)*100</f>
        <v>0.18640048530303865</v>
      </c>
      <c r="GO194" s="72">
        <f t="shared" si="1161"/>
        <v>-7.7980175157394456</v>
      </c>
      <c r="GP194" s="73">
        <f>+GP190/(GP180+GP154)*100</f>
        <v>0.17649281542428472</v>
      </c>
      <c r="GQ194" s="72">
        <f t="shared" si="1161"/>
        <v>-5.3152597015220522</v>
      </c>
      <c r="GR194" s="71">
        <f>GP194-0.01</f>
        <v>0.16649281542428471</v>
      </c>
      <c r="GS194" s="72">
        <f t="shared" si="1161"/>
        <v>-5.6659530168184205</v>
      </c>
      <c r="GT194" s="71">
        <f>GR194-0.01</f>
        <v>0.1564928154242847</v>
      </c>
      <c r="GU194" s="72">
        <f t="shared" si="1161"/>
        <v>-6.0062651799816962</v>
      </c>
      <c r="GV194" s="71">
        <f>GT194-0.01</f>
        <v>0.14649281542428469</v>
      </c>
      <c r="GW194" s="72">
        <f>IF(ISERROR(GV194/GT194),"NA",IF(OR(GV194/GT194&gt;2,GV194/GT194&lt;0.5),"NM",GV194/GT194*100-100))</f>
        <v>-6.3900697120745917</v>
      </c>
      <c r="GX194" s="71">
        <f>GV194-0.01</f>
        <v>0.13649281542428468</v>
      </c>
      <c r="GY194" s="72">
        <f>IF(ISERROR(GX194/GV194),"NA",IF(OR(GX194/GV194&gt;2,GX194/GV194&lt;0.5),"NM",GX194/GV194*100-100))</f>
        <v>-6.8262733370487751</v>
      </c>
      <c r="GZ194" s="72">
        <f>IF(ISERROR(((GX194/GN194)^0.2-1)*100),"NA",IF((((GX194/GN194)^0.2-1)*100)&gt;100,"NM",IF((((GX194/GN194)^0.2-1)*100)&lt;-50,"NM",((GX194/GN194)^0.2-1)*100)))</f>
        <v>-6.042262451251279</v>
      </c>
      <c r="HA194" s="72"/>
      <c r="HB194" s="72"/>
      <c r="HC194"/>
      <c r="HD194"/>
      <c r="HE194"/>
      <c r="HF194"/>
      <c r="HG194"/>
      <c r="HH194"/>
      <c r="HI194" s="2"/>
    </row>
    <row r="195" spans="2:217" s="3" customFormat="1" ht="12.75" customHeight="1" x14ac:dyDescent="0.2">
      <c r="B195" s="10" t="s">
        <v>586</v>
      </c>
      <c r="C195" s="73"/>
      <c r="D195" s="72"/>
      <c r="E195" s="73"/>
      <c r="F195" s="72"/>
      <c r="G195" s="73"/>
      <c r="H195" s="72"/>
      <c r="I195" s="73"/>
      <c r="J195" s="72"/>
      <c r="K195" s="73"/>
      <c r="L195" s="72"/>
      <c r="M195" s="73"/>
      <c r="N195" s="72"/>
      <c r="O195" s="73"/>
      <c r="P195" s="72"/>
      <c r="Q195" s="73"/>
      <c r="R195" s="72"/>
      <c r="S195" s="73"/>
      <c r="T195" s="72"/>
      <c r="U195" s="73"/>
      <c r="V195" s="72"/>
      <c r="W195" s="73"/>
      <c r="X195" s="72"/>
      <c r="Y195" s="73"/>
      <c r="Z195" s="72"/>
      <c r="AA195" s="73"/>
      <c r="AB195" s="72"/>
      <c r="AC195" s="73"/>
      <c r="AD195" s="72"/>
      <c r="AE195" s="73"/>
      <c r="AF195" s="72"/>
      <c r="AG195" s="73"/>
      <c r="AH195" s="72"/>
      <c r="AI195" s="73">
        <f>+AI189/AI179*400</f>
        <v>5.1227537332320932</v>
      </c>
      <c r="AJ195" s="72" t="str">
        <f>IF(ISERROR(AI195/AA195),"NA",IF(OR(AI195/AA195&gt;2,AI195/AA195&lt;0.5),"NM",AI195/AA195*100-100))</f>
        <v>NA</v>
      </c>
      <c r="AK195" s="73">
        <f>+AK189/AK179*400</f>
        <v>5.9888365984458787</v>
      </c>
      <c r="AL195" s="72" t="str">
        <f>IF(ISERROR(AK195/AC195),"NA",IF(OR(AK195/AC195&gt;2,AK195/AC195&lt;0.5),"NM",AK195/AC195*100-100))</f>
        <v>NA</v>
      </c>
      <c r="AM195" s="73">
        <f>+AM189/AM179*400</f>
        <v>6.1496859734822049</v>
      </c>
      <c r="AN195" s="72" t="str">
        <f>IF(ISERROR(AM195/AE195),"NA",IF(OR(AM195/AE195&gt;2,AM195/AE195&lt;0.5),"NM",AM195/AE195*100-100))</f>
        <v>NA</v>
      </c>
      <c r="AO195" s="73">
        <f>+AO189/AO179*400</f>
        <v>6.0151006711409396</v>
      </c>
      <c r="AP195" s="72" t="str">
        <f>IF(ISERROR(AO195/AG195),"NA",IF(OR(AO195/AG195&gt;2,AO195/AG195&lt;0.5),"NM",AO195/AG195*100-100))</f>
        <v>NA</v>
      </c>
      <c r="AQ195" s="73">
        <f>+AQ189/AQ179*400</f>
        <v>6.2224831229820952</v>
      </c>
      <c r="AR195" s="72">
        <f>IF(ISERROR(AQ195/AI195),"NA",IF(OR(AQ195/AI195&gt;2,AQ195/AI195&lt;0.5),"NM",AQ195/AI195*100-100))</f>
        <v>21.467543571651476</v>
      </c>
      <c r="AS195" s="73">
        <f>+AS189/AS179*400</f>
        <v>6.1466304616144161</v>
      </c>
      <c r="AT195" s="72">
        <f>IF(ISERROR(AS195/AK195),"NA",IF(OR(AS195/AK195&gt;2,AS195/AK195&lt;0.5),"NM",AS195/AK195*100-100))</f>
        <v>2.6347999411018321</v>
      </c>
      <c r="AU195" s="73">
        <f>+AU189/AU179*400</f>
        <v>6.32908804710019</v>
      </c>
      <c r="AV195" s="72">
        <f>IF(ISERROR(AU195/AM195),"NA",IF(OR(AU195/AM195&gt;2,AU195/AM195&lt;0.5),"NM",AU195/AM195*100-100))</f>
        <v>2.9172558467469116</v>
      </c>
      <c r="AW195" s="73">
        <f>+AW189/AW179*400</f>
        <v>6.5474209650582358</v>
      </c>
      <c r="AX195" s="72">
        <f>IF(ISERROR(AW195/AO195),"NA",IF(OR(AW195/AO195&gt;2,AW195/AO195&lt;0.5),"NM",AW195/AO195*100-100))</f>
        <v>8.84973208297653</v>
      </c>
      <c r="AY195" s="73">
        <f>+AY189/AY179*400</f>
        <v>6.7605633802816891</v>
      </c>
      <c r="AZ195" s="72">
        <f>IF(ISERROR(AY195/AQ195),"NA",IF(OR(AY195/AQ195&gt;2,AY195/AQ195&lt;0.5),"NM",AY195/AQ195*100-100))</f>
        <v>8.6473558331118738</v>
      </c>
      <c r="BA195" s="73">
        <f>+BA189/BA179*400</f>
        <v>7.30714300940038</v>
      </c>
      <c r="BB195" s="72">
        <f>IF(ISERROR(BA195/AS195),"NA",IF(OR(BA195/AS195&gt;2,BA195/AS195&lt;0.5),"NM",BA195/AS195*100-100))</f>
        <v>18.880467193096152</v>
      </c>
      <c r="BC195" s="73">
        <f>+BC189/BC179*400</f>
        <v>7.0025066709792192</v>
      </c>
      <c r="BD195" s="72">
        <f>IF(ISERROR(BC195/AU195),"NA",IF(OR(BC195/AU195&gt;2,BC195/AU195&lt;0.5),"NM",BC195/AU195*100-100))</f>
        <v>10.640057759783744</v>
      </c>
      <c r="BE195" s="73">
        <f>+BE189/BE179*400</f>
        <v>7.193300045753845</v>
      </c>
      <c r="BF195" s="72">
        <f>IF(ISERROR(BE195/AW195),"NA",IF(OR(BE195/AW195&gt;2,BE195/AW195&lt;0.5),"NM",BE195/AW195*100-100))</f>
        <v>9.8646334815263259</v>
      </c>
      <c r="BG195" s="73">
        <f>+BG189/BG179*400</f>
        <v>7.058684194942856</v>
      </c>
      <c r="BH195" s="72">
        <f>IF(ISERROR(BG195/AY195),"NA",IF(OR(BG195/AY195&gt;2,BG195/AY195&lt;0.5),"NM",BG195/AY195*100-100))</f>
        <v>4.4097037168630919</v>
      </c>
      <c r="BI195" s="73">
        <f>+BI189/BI179*400</f>
        <v>7.1397714330597344</v>
      </c>
      <c r="BJ195" s="72">
        <f>IF(ISERROR(BI195/BA195),"NA",IF(OR(BI195/BA195&gt;2,BI195/BA195&lt;0.5),"NM",BI195/BA195*100-100))</f>
        <v>-2.2905200585964707</v>
      </c>
      <c r="BK195" s="73">
        <f>+BK189/BK179*400</f>
        <v>7.2365235245123669</v>
      </c>
      <c r="BL195" s="72">
        <f>IF(ISERROR(BK195/BC195),"NA",IF(OR(BK195/BC195&gt;2,BK195/BC195&lt;0.5),"NM",BK195/BC195*100-100))</f>
        <v>3.3419011866564006</v>
      </c>
      <c r="BM195" s="73">
        <f>+BM189/BM179*400</f>
        <v>7.2803395941152527</v>
      </c>
      <c r="BN195" s="72">
        <f>IF(ISERROR(BM195/BE195),"NA",IF(OR(BM195/BE195&gt;2,BM195/BE195&lt;0.5),"NM",BM195/BE195*100-100))</f>
        <v>1.2100085886558531</v>
      </c>
      <c r="BO195" s="73">
        <f>+BO189/BO179*400</f>
        <v>6.9135037838465561</v>
      </c>
      <c r="BP195" s="72">
        <f>IF(ISERROR(BO195/BG195),"NA",IF(OR(BO195/BG195&gt;2,BO195/BG195&lt;0.5),"NM",BO195/BG195*100-100))</f>
        <v>-2.0567630890798796</v>
      </c>
      <c r="BQ195" s="73">
        <f>+BQ189/BQ179*400</f>
        <v>6.8720517151010423</v>
      </c>
      <c r="BR195" s="72">
        <f>IF(ISERROR(BQ195/BI195),"NA",IF(OR(BQ195/BI195&gt;2,BQ195/BI195&lt;0.5),"NM",BQ195/BI195*100-100))</f>
        <v>-3.7496959177019704</v>
      </c>
      <c r="BS195" s="73">
        <f>+BS189/BS179*400</f>
        <v>7.0582122659419282</v>
      </c>
      <c r="BT195" s="72">
        <f>IF(ISERROR(BS195/BK195),"NA",IF(OR(BS195/BK195&gt;2,BS195/BK195&lt;0.5),"NM",BS195/BK195*100-100))</f>
        <v>-2.4640458635481934</v>
      </c>
      <c r="BU195" s="73">
        <f>+BU189/BU179*400</f>
        <v>7.1537501732982109</v>
      </c>
      <c r="BV195" s="72">
        <f>IF(ISERROR(BU195/BM195),"NA",IF(OR(BU195/BM195&gt;2,BU195/BM195&lt;0.5),"NM",BU195/BM195*100-100))</f>
        <v>-1.7387845605356773</v>
      </c>
      <c r="BW195" s="73">
        <f>+BW189/BW179*400</f>
        <v>7.0242708545788286</v>
      </c>
      <c r="BX195" s="72">
        <f>IF(ISERROR(BW195/BO195),"NA",IF(OR(BW195/BO195&gt;2,BW195/BO195&lt;0.5),"NM",BW195/BO195*100-100))</f>
        <v>1.6021842787022251</v>
      </c>
      <c r="BY195" s="73">
        <f>+BY189/BY179*400</f>
        <v>6.7185447195553305</v>
      </c>
      <c r="BZ195" s="72">
        <f>IF(ISERROR(BY195/BQ195),"NA",IF(OR(BY195/BQ195&gt;2,BY195/BQ195&lt;0.5),"NM",BY195/BQ195*100-100))</f>
        <v>-2.2337869665384886</v>
      </c>
      <c r="CA195" s="73">
        <f>+CA189/CA179*400</f>
        <v>6.5021840157967166</v>
      </c>
      <c r="CB195" s="72">
        <f>IF(ISERROR(CA195/BS195),"NA",IF(OR(CA195/BS195&gt;2,CA195/BS195&lt;0.5),"NM",CA195/BS195*100-100))</f>
        <v>-7.8777490559220098</v>
      </c>
      <c r="CC195" s="73">
        <f>+CC189/CC179*400</f>
        <v>6.180164907143407</v>
      </c>
      <c r="CD195" s="72">
        <f>IF(ISERROR(CC195/BU195),"NA",IF(OR(CC195/BU195&gt;2,CC195/BU195&lt;0.5),"NM",CC195/BU195*100-100))</f>
        <v>-13.609439001501173</v>
      </c>
      <c r="CE195" s="73">
        <f>+CE189/CE179*400</f>
        <v>6.0415403274711945</v>
      </c>
      <c r="CF195" s="72">
        <f>IF(ISERROR(CE195/BW195),"NA",IF(OR(CE195/BW195&gt;2,CE195/BW195&lt;0.5),"NM",CE195/BW195*100-100))</f>
        <v>-13.99049876425299</v>
      </c>
      <c r="CG195" s="73">
        <f>+CG189/CG179*400</f>
        <v>5.7535959974984365</v>
      </c>
      <c r="CH195" s="72">
        <f>IF(ISERROR(CG195/BY195),"NA",IF(OR(CG195/BY195&gt;2,CG195/BY195&lt;0.5),"NM",CG195/BY195*100-100))</f>
        <v>-14.362466312805296</v>
      </c>
      <c r="CI195" s="73">
        <f>+CI189/CI179*400</f>
        <v>5.5196234465476959</v>
      </c>
      <c r="CJ195" s="72">
        <f>IF(ISERROR(CI195/CA195),"NA",IF(OR(CI195/CA195&gt;2,CI195/CA195&lt;0.5),"NM",CI195/CA195*100-100))</f>
        <v>-15.111239036944227</v>
      </c>
      <c r="CK195" s="73">
        <f>+CK189/CK179*400</f>
        <v>5.116619665643551</v>
      </c>
      <c r="CL195" s="72">
        <f>IF(ISERROR(CK195/CC195),"NA",IF(OR(CK195/CC195&gt;2,CK195/CC195&lt;0.5),"NM",CK195/CC195*100-100))</f>
        <v>-17.209010721874847</v>
      </c>
      <c r="CM195" s="73">
        <f>+CM189/CM179*400</f>
        <v>4.6739824653080184</v>
      </c>
      <c r="CN195" s="72">
        <f>IF(ISERROR(CM195/CE195),"NA",IF(OR(CM195/CE195&gt;2,CM195/CE195&lt;0.5),"NM",CM195/CE195*100-100))</f>
        <v>-22.635913823910442</v>
      </c>
      <c r="CO195" s="73">
        <f>+CO189/CO179*400</f>
        <v>4.3436618958330522</v>
      </c>
      <c r="CP195" s="72">
        <f>IF(ISERROR(CO195/CG195),"NA",IF(OR(CO195/CG195&gt;2,CO195/CG195&lt;0.5),"NM",CO195/CG195*100-100))</f>
        <v>-24.505267701771189</v>
      </c>
      <c r="CQ195" s="73">
        <f>+CQ189/CQ179*400</f>
        <v>3.904959447542633</v>
      </c>
      <c r="CR195" s="72">
        <f>IF(ISERROR(CQ195/CI195),"NA",IF(OR(CQ195/CI195&gt;2,CQ195/CI195&lt;0.5),"NM",CQ195/CI195*100-100))</f>
        <v>-29.253154941483757</v>
      </c>
      <c r="CS195" s="73">
        <f>+CS189/CS179*400</f>
        <v>3.4721220126763535</v>
      </c>
      <c r="CT195" s="72">
        <f>IF(ISERROR(CS195/CK195),"NA",IF(OR(CS195/CK195&gt;2,CS195/CK195&lt;0.5),"NM",CS195/CK195*100-100))</f>
        <v>-32.140314512909143</v>
      </c>
      <c r="CU195" s="73">
        <f>+CU189/CU179*400</f>
        <v>3.3200856658817517</v>
      </c>
      <c r="CV195" s="72">
        <f>IF(ISERROR(CU195/CM195),"NA",IF(OR(CU195/CM195&gt;2,CU195/CM195&lt;0.5),"NM",CU195/CM195*100-100))</f>
        <v>-28.966664070209433</v>
      </c>
      <c r="CW195" s="73">
        <f>+CW189/CW179*400</f>
        <v>3.0338822564743317</v>
      </c>
      <c r="CX195" s="72">
        <f>IF(ISERROR(CW195/CO195),"NA",IF(OR(CW195/CO195&gt;2,CW195/CO195&lt;0.5),"NM",CW195/CO195*100-100))</f>
        <v>-30.153811939534563</v>
      </c>
      <c r="CY195" s="73">
        <f>+CY189/CY179*400</f>
        <v>2.93178907937236</v>
      </c>
      <c r="CZ195" s="72">
        <f>IF(ISERROR(CY195/CQ195),"NA",IF(OR(CY195/CQ195&gt;2,CY195/CQ195&lt;0.5),"NM",CY195/CQ195*100-100))</f>
        <v>-24.921394991251006</v>
      </c>
      <c r="DA195" s="73">
        <f>+DA189/DA179*400</f>
        <v>2.4887757627178564</v>
      </c>
      <c r="DB195" s="72">
        <f>IF(ISERROR(DA195/CS195),"NA",IF(OR(DA195/CS195&gt;2,DA195/CS195&lt;0.5),"NM",DA195/CS195*100-100))</f>
        <v>-28.321189358219641</v>
      </c>
      <c r="DC195" s="73">
        <f>+DC189/DC179*400</f>
        <v>2.7018900644006405</v>
      </c>
      <c r="DD195" s="72">
        <f>IF(ISERROR(DC195/CU195),"NA",IF(OR(DC195/CU195&gt;2,DC195/CU195&lt;0.5),"NM",DC195/CU195*100-100))</f>
        <v>-18.619868994161337</v>
      </c>
      <c r="DE195" s="73">
        <f>+DE189/DE179*400</f>
        <v>2.8729849202989572</v>
      </c>
      <c r="DF195" s="72">
        <f>IF(ISERROR(DE195/CW195),"NA",IF(OR(DE195/CW195&gt;2,DE195/CW195&lt;0.5),"NM",DE195/CW195*100-100))</f>
        <v>-5.3033480726556945</v>
      </c>
      <c r="DG195" s="73">
        <f>+DG189/DG179*400</f>
        <v>2.7328348062542487</v>
      </c>
      <c r="DH195" s="72">
        <f>IF(ISERROR(DG195/CY195),"NA",IF(OR(DG195/CY195&gt;2,DG195/CY195&lt;0.5),"NM",DG195/CY195*100-100))</f>
        <v>-6.7861045843278589</v>
      </c>
      <c r="DI195" s="73">
        <f>+DI189/DI179*400</f>
        <v>2.8406580902531426</v>
      </c>
      <c r="DJ195" s="72">
        <f>IF(ISERROR(DI195/DA195),"NA",IF(OR(DI195/DA195&gt;2,DI195/DA195&lt;0.5),"NM",DI195/DA195*100-100))</f>
        <v>14.138771873566242</v>
      </c>
      <c r="DK195" s="73">
        <f>+DK189/DK179*400</f>
        <v>2.90523249209881</v>
      </c>
      <c r="DL195" s="72">
        <f>IF(ISERROR(DK195/DC195),"NA",IF(OR(DK195/DC195&gt;2,DK195/DC195&lt;0.5),"NM",DK195/DC195*100-100))</f>
        <v>7.5259326934634885</v>
      </c>
      <c r="DM195" s="73">
        <f>+DM189/DM179*400</f>
        <v>2.7361029999127346</v>
      </c>
      <c r="DN195" s="72">
        <f t="shared" si="1152"/>
        <v>-4.7644496641485574</v>
      </c>
      <c r="DO195" s="73">
        <f>+DO189/DO179*400</f>
        <v>2.3517883390494854</v>
      </c>
      <c r="DP195" s="72">
        <f t="shared" si="1152"/>
        <v>-13.943267493985246</v>
      </c>
      <c r="DQ195" s="73">
        <f>+DQ189/DQ179*400</f>
        <v>2.3847562638818531</v>
      </c>
      <c r="DR195" s="72">
        <f t="shared" si="1152"/>
        <v>-16.049162267559709</v>
      </c>
      <c r="DS195" s="73">
        <f>+DS189/DS179*400</f>
        <v>2.3509485094850948</v>
      </c>
      <c r="DT195" s="72">
        <f t="shared" si="1152"/>
        <v>-19.078816725379767</v>
      </c>
      <c r="DU195" s="73">
        <f>+DU189/DU179*400</f>
        <v>2.191536360569756</v>
      </c>
      <c r="DV195" s="72">
        <f t="shared" si="1152"/>
        <v>-19.903002166232312</v>
      </c>
      <c r="DW195" s="73">
        <f>+DW189/DW179*400</f>
        <v>2.2657462760511278</v>
      </c>
      <c r="DX195" s="72">
        <f t="shared" si="1152"/>
        <v>-3.6585802204093341</v>
      </c>
      <c r="DY195" s="73">
        <f>+DY189/DY179*400</f>
        <v>2.2337800893512036</v>
      </c>
      <c r="DZ195" s="72">
        <f t="shared" si="1152"/>
        <v>-6.3308849133661056</v>
      </c>
      <c r="EA195" s="73">
        <f>+EA189/EA179*400</f>
        <v>2.2541878895470058</v>
      </c>
      <c r="EB195" s="72">
        <f>IF(ISERROR(EA195/DS195),"NA",IF(OR(EA195/DS195&gt;2,EA195/DS195&lt;0.5),"NM",EA195/DS195*100-100))</f>
        <v>-4.1158119604789363</v>
      </c>
      <c r="EC195" s="73">
        <f>+EC189/EC179*400</f>
        <v>2.2335002930087016</v>
      </c>
      <c r="ED195" s="72">
        <f>IF(ISERROR(EC195/DU195),"NA",IF(OR(EC195/DU195&gt;2,EC195/DU195&lt;0.5),"NM",EC195/DU195*100-100))</f>
        <v>1.9148179876895028</v>
      </c>
      <c r="EE195" s="73">
        <f>+EE189/EE179*400</f>
        <v>2.3928172523412665</v>
      </c>
      <c r="EF195" s="72">
        <f>IF(ISERROR(EE195/DW195),"NA",IF(OR(EE195/DW195&gt;2,EE195/DW195&lt;0.5),"NM",EE195/DW195*100-100))</f>
        <v>5.6083497800824063</v>
      </c>
      <c r="EG195" s="73">
        <f>+EG189/EG179*400</f>
        <v>2.4430677951313147</v>
      </c>
      <c r="EH195" s="72">
        <f>IF(ISERROR(EG195/DY195),"NA",IF(OR(EG195/DY195&gt;2,EG195/DY195&lt;0.5),"NM",EG195/DY195*100-100))</f>
        <v>9.3692170853263406</v>
      </c>
      <c r="EI195" s="73">
        <f>+EI189/EI179*400</f>
        <v>2.4806201550387597</v>
      </c>
      <c r="EJ195" s="72">
        <f>IF(ISERROR(EI195/EA195),"NA",IF(OR(EI195/EA195&gt;2,EI195/EA195&lt;0.5),"NM",EI195/EA195*100-100))</f>
        <v>10.044959718830569</v>
      </c>
      <c r="EK195" s="73">
        <f>+EK189/EK179*400</f>
        <v>2.3664326670596432</v>
      </c>
      <c r="EL195" s="72">
        <f>IF(ISERROR(EK195/EC195),"NA",IF(OR(EK195/EC195&gt;2,EK195/EC195&lt;0.5),"NM",EK195/EC195*100-100))</f>
        <v>5.9517509116540737</v>
      </c>
      <c r="EM195" s="73">
        <f>+EM189/EM179*400</f>
        <v>2.2738974198376849</v>
      </c>
      <c r="EN195" s="72">
        <f>IF(ISERROR(EM195/EE195),"NA",IF(OR(EM195/EE195&gt;2,EM195/EE195&lt;0.5),"NM",EM195/EE195*100-100))</f>
        <v>-4.9698668959037207</v>
      </c>
      <c r="EO195" s="73">
        <f>+EO189/EO179*400</f>
        <v>2.3836455998190158</v>
      </c>
      <c r="EP195" s="72">
        <f>IF(ISERROR(EO195/EG195),"NA",IF(OR(EO195/EG195&gt;2,EO195/EG195&lt;0.5),"NM",EO195/EG195*100-100))</f>
        <v>-2.4322777874080685</v>
      </c>
      <c r="EQ195" s="71">
        <v>2.2999999999999998</v>
      </c>
      <c r="ER195" s="72">
        <f t="shared" si="1154"/>
        <v>-7.28125</v>
      </c>
      <c r="ES195" s="71">
        <f t="shared" si="1155"/>
        <v>2.2999999999999998</v>
      </c>
      <c r="ET195" s="72">
        <f t="shared" si="1156"/>
        <v>-2.8072916666666714</v>
      </c>
      <c r="EU195" s="71">
        <f t="shared" si="1157"/>
        <v>2.2999999999999998</v>
      </c>
      <c r="EV195" s="72">
        <f t="shared" si="1158"/>
        <v>1.1479225023342678</v>
      </c>
      <c r="EW195" s="71">
        <f t="shared" si="1159"/>
        <v>2.2999999999999998</v>
      </c>
      <c r="EX195" s="72">
        <f t="shared" si="1160"/>
        <v>-3.5091458153580817</v>
      </c>
      <c r="EY195" s="72"/>
      <c r="EZ195" s="306"/>
      <c r="FA195" s="72"/>
      <c r="FB195" s="81"/>
      <c r="FC195" s="72"/>
      <c r="FD195" s="71"/>
      <c r="FE195" s="72"/>
      <c r="FF195" s="71"/>
      <c r="FG195" s="72"/>
      <c r="FH195" s="81"/>
      <c r="FI195" s="72"/>
      <c r="FJ195" s="81"/>
      <c r="FK195" s="72"/>
      <c r="FL195" s="81"/>
      <c r="FM195" s="72" t="str">
        <f>IF(ISERROR(FL195/FJ195),"NA",IF(OR(FL195/FJ195&gt;2,FL195/FJ195&lt;0.5),"NM",FL195/FJ195*100-100))</f>
        <v>NA</v>
      </c>
      <c r="FN195" s="81">
        <f>+FN189/FN179*100</f>
        <v>5.4781879194630871</v>
      </c>
      <c r="FO195" s="72" t="str">
        <f>IF(ISERROR(FN195/FL195),"NA",IF(OR(FN195/FL195&gt;2,FN195/FL195&lt;0.5),"NM",FN195/FL195*100-100))</f>
        <v>NA</v>
      </c>
      <c r="FP195" s="81">
        <f>+FP189/FP179*100</f>
        <v>6.3435940099833612</v>
      </c>
      <c r="FQ195" s="72">
        <f>IF(ISERROR(FP195/FN195),"NA",IF(OR(FP195/FN195&gt;2,FP195/FN195&lt;0.5),"NM",FP195/FN195*100-100))</f>
        <v>15.797305664627359</v>
      </c>
      <c r="FR195" s="73">
        <f>+FR189/FR179*100</f>
        <v>6.8133442081600997</v>
      </c>
      <c r="FS195" s="72">
        <f>IF(ISERROR(FR195/FP195),"NA",IF(OR(FR195/FP195&gt;2,FR195/FP195&lt;0.5),"NM",FR195/FP195*100-100))</f>
        <v>7.405111320766423</v>
      </c>
      <c r="FT195" s="73">
        <f>+FT189/FT179*100</f>
        <v>7.1252737880638097</v>
      </c>
      <c r="FU195" s="72">
        <f>IF(ISERROR(FT195/FR195),"NA",IF(OR(FT195/FR195&gt;2,FT195/FR195&lt;0.5),"NM",FT195/FR195*100-100))</f>
        <v>4.5782154896874658</v>
      </c>
      <c r="FV195" s="73">
        <f>+FV189/FV179*100</f>
        <v>7.0586837258125215</v>
      </c>
      <c r="FW195" s="72">
        <f>IF(ISERROR(FV195/FT195),"NA",IF(OR(FV195/FT195&gt;2,FV195/FT195&lt;0.5),"NM",FV195/FT195*100-100))</f>
        <v>-0.93456145310288719</v>
      </c>
      <c r="FX195" s="73">
        <f>+FX189/FX179*100</f>
        <v>6.3747399244817764</v>
      </c>
      <c r="FY195" s="72">
        <f>IF(ISERROR(FX195/FV195),"NA",IF(OR(FX195/FV195&gt;2,FX195/FV195&lt;0.5),"NM",FX195/FV195*100-100))</f>
        <v>-9.6893957556090413</v>
      </c>
      <c r="FZ195" s="73">
        <f>+FZ189/FZ179*100</f>
        <v>5.0449495972453766</v>
      </c>
      <c r="GA195" s="72">
        <f>IF(ISERROR(FZ195/FX195),"NA",IF(OR(FZ195/FX195&gt;2,FZ195/FX195&lt;0.5),"NM",FZ195/FX195*100-100))</f>
        <v>-20.86030713393383</v>
      </c>
      <c r="GB195" s="73">
        <f>+GB189/GB179*100</f>
        <v>3.5276226842344793</v>
      </c>
      <c r="GC195" s="72">
        <f>IF(ISERROR(GB195/FZ195),"NA",IF(OR(GB195/FZ195&gt;2,GB195/FZ195&lt;0.5),"NM",GB195/FZ195*100-100))</f>
        <v>-30.076156040079809</v>
      </c>
      <c r="GD195" s="73">
        <f>+GD189/GD179*100</f>
        <v>2.2646445363594583</v>
      </c>
      <c r="GE195" s="72">
        <f>IF(ISERROR(GD195/GB195),"NA",IF(OR(GD195/GB195&gt;2,GD195/GB195&lt;0.5),"NM",GD195/GB195*100-100))</f>
        <v>-35.802529378197846</v>
      </c>
      <c r="GF195" s="73">
        <f>+GF189/GF179*100</f>
        <v>2.722185780645507</v>
      </c>
      <c r="GG195" s="72">
        <f>IF(ISERROR(GF195/GD195),"NA",IF(OR(GF195/GD195&gt;2,GF195/GD195&lt;0.5),"NM",GF195/GD195*100-100))</f>
        <v>20.203667151294823</v>
      </c>
      <c r="GH195" s="73">
        <f>+GH189/GH179*100</f>
        <v>2.343006329290084</v>
      </c>
      <c r="GI195" s="72">
        <f t="shared" si="1161"/>
        <v>-13.929227536612458</v>
      </c>
      <c r="GJ195" s="73">
        <f>+GJ189/GJ179*100</f>
        <v>2.2682314240625905</v>
      </c>
      <c r="GK195" s="72">
        <f t="shared" si="1161"/>
        <v>-3.1914085887318038</v>
      </c>
      <c r="GL195" s="73">
        <f>+GL189/GL179*100</f>
        <v>2.324731698804642</v>
      </c>
      <c r="GM195" s="72">
        <f t="shared" si="1161"/>
        <v>2.4909395991373344</v>
      </c>
      <c r="GN195" s="73">
        <f>+GN189/GN179*100</f>
        <v>2.304464965139954</v>
      </c>
      <c r="GO195" s="72">
        <f t="shared" si="1161"/>
        <v>-0.87178807236590217</v>
      </c>
      <c r="GP195" s="73">
        <f>+GP189/GP179*100</f>
        <v>2.2710852029974884</v>
      </c>
      <c r="GQ195" s="72">
        <f t="shared" si="1161"/>
        <v>-1.4484820835815384</v>
      </c>
      <c r="GR195" s="71">
        <f>GP195-0.01</f>
        <v>2.2610852029974886</v>
      </c>
      <c r="GS195" s="72">
        <f t="shared" si="1161"/>
        <v>-0.440318134555298</v>
      </c>
      <c r="GT195" s="71">
        <f>GR195-0.01</f>
        <v>2.2510852029974888</v>
      </c>
      <c r="GU195" s="72">
        <f t="shared" si="1161"/>
        <v>-0.44226550979780654</v>
      </c>
      <c r="GV195" s="71">
        <f>GT195-0.01</f>
        <v>2.241085202997489</v>
      </c>
      <c r="GW195" s="72">
        <f>IF(ISERROR(GV195/GT195),"NA",IF(OR(GV195/GT195&gt;2,GV195/GT195&lt;0.5),"NM",GV195/GT195*100-100))</f>
        <v>-0.44423018669769476</v>
      </c>
      <c r="GX195" s="71">
        <f>GV195-0.01</f>
        <v>2.2310852029974892</v>
      </c>
      <c r="GY195" s="72">
        <f>IF(ISERROR(GX195/GV195),"NA",IF(OR(GX195/GV195&gt;2,GX195/GV195&lt;0.5),"NM",GX195/GV195*100-100))</f>
        <v>-0.44621239686134118</v>
      </c>
      <c r="GZ195" s="72">
        <f>IF(ISERROR(((GX195/GN195)^0.2-1)*100),"NA",IF((((GX195/GN195)^0.2-1)*100)&gt;100,"NM",IF((((GX195/GN195)^0.2-1)*100)&lt;-50,"NM",((GX195/GN195)^0.2-1)*100)))</f>
        <v>-0.64511861768793421</v>
      </c>
      <c r="HA195" s="72"/>
      <c r="HB195" s="72"/>
      <c r="HC195"/>
      <c r="HD195"/>
      <c r="HE195"/>
      <c r="HF195"/>
      <c r="HG195"/>
      <c r="HH195"/>
      <c r="HI195" s="2"/>
    </row>
    <row r="196" spans="2:217" s="3" customFormat="1" ht="12.75" customHeight="1" x14ac:dyDescent="0.2">
      <c r="B196" s="10" t="s">
        <v>383</v>
      </c>
      <c r="C196" s="73"/>
      <c r="D196" s="72"/>
      <c r="E196" s="73"/>
      <c r="F196" s="72"/>
      <c r="G196" s="73"/>
      <c r="H196" s="72"/>
      <c r="I196" s="73"/>
      <c r="J196" s="72"/>
      <c r="K196" s="73"/>
      <c r="L196" s="72"/>
      <c r="M196" s="73"/>
      <c r="N196" s="72"/>
      <c r="O196" s="73"/>
      <c r="P196" s="72"/>
      <c r="Q196" s="73"/>
      <c r="R196" s="72"/>
      <c r="S196" s="73"/>
      <c r="T196" s="72"/>
      <c r="U196" s="73"/>
      <c r="V196" s="72"/>
      <c r="W196" s="73"/>
      <c r="X196" s="72"/>
      <c r="Y196" s="73"/>
      <c r="Z196" s="72"/>
      <c r="AA196" s="73"/>
      <c r="AB196" s="72"/>
      <c r="AC196" s="73"/>
      <c r="AD196" s="72"/>
      <c r="AE196" s="73"/>
      <c r="AF196" s="72"/>
      <c r="AG196" s="73"/>
      <c r="AH196" s="72"/>
      <c r="AI196" s="73">
        <f>+AI201/AI179*400</f>
        <v>2.2880283472538596</v>
      </c>
      <c r="AJ196" s="72" t="str">
        <f>IF(ISERROR(AI196/AA196),"NA",IF(OR(AI196/AA196&gt;2,AI196/AA196&lt;0.5),"NM",AI196/AA196*100-100))</f>
        <v>NA</v>
      </c>
      <c r="AK196" s="73">
        <f>+AK201/AK179*400</f>
        <v>3.2921090073328227</v>
      </c>
      <c r="AL196" s="72" t="str">
        <f>IF(ISERROR(AK196/AC196),"NA",IF(OR(AK196/AC196&gt;2,AK196/AC196&lt;0.5),"NM",AK196/AC196*100-100))</f>
        <v>NA</v>
      </c>
      <c r="AM196" s="73">
        <f>+AM201/AM179*400</f>
        <v>3.2449406838799724</v>
      </c>
      <c r="AN196" s="72" t="str">
        <f>IF(ISERROR(AM196/AE196),"NA",IF(OR(AM196/AE196&gt;2,AM196/AE196&lt;0.5),"NM",AM196/AE196*100-100))</f>
        <v>NA</v>
      </c>
      <c r="AO196" s="73">
        <f>+AO201/AO179*400</f>
        <v>3.2550335570469797</v>
      </c>
      <c r="AP196" s="72" t="str">
        <f>IF(ISERROR(AO196/AG196),"NA",IF(OR(AO196/AG196&gt;2,AO196/AG196&lt;0.5),"NM",AO196/AG196*100-100))</f>
        <v>NA</v>
      </c>
      <c r="AQ196" s="73">
        <f>+AQ201/AQ179*400</f>
        <v>3.2202608075810302</v>
      </c>
      <c r="AR196" s="72">
        <f>IF(ISERROR(AQ196/AI196),"NA",IF(OR(AQ196/AI196&gt;2,AQ196/AI196&lt;0.5),"NM",AQ196/AI196*100-100))</f>
        <v>40.743920915405454</v>
      </c>
      <c r="AS196" s="73">
        <f>+AS201/AS179*400</f>
        <v>3.2666831235085985</v>
      </c>
      <c r="AT196" s="72">
        <f>IF(ISERROR(AS196/AK196),"NA",IF(OR(AS196/AK196&gt;2,AS196/AK196&lt;0.5),"NM",AS196/AK196*100-100))</f>
        <v>-0.77232812666866835</v>
      </c>
      <c r="AU196" s="73">
        <f>+AU201/AU179*400</f>
        <v>3.5243371425066949</v>
      </c>
      <c r="AV196" s="72">
        <f>IF(ISERROR(AU196/AM196),"NA",IF(OR(AU196/AM196&gt;2,AU196/AM196&lt;0.5),"NM",AU196/AM196*100-100))</f>
        <v>8.6102177464966445</v>
      </c>
      <c r="AW196" s="73">
        <f>+AW201/AW179*400</f>
        <v>3.5024958402662234</v>
      </c>
      <c r="AX196" s="72">
        <f>IF(ISERROR(AW196/AO196),"NA",IF(OR(AW196/AO196&gt;2,AW196/AO196&lt;0.5),"NM",AW196/AO196*100-100))</f>
        <v>7.6024495257045857</v>
      </c>
      <c r="AY196" s="73">
        <f>+AY201/AY179*400</f>
        <v>3.6344382081965478</v>
      </c>
      <c r="AZ196" s="72">
        <f>IF(ISERROR(AY196/AQ196),"NA",IF(OR(AY196/AQ196&gt;2,AY196/AQ196&lt;0.5),"NM",AY196/AQ196*100-100))</f>
        <v>12.861610452186838</v>
      </c>
      <c r="BA196" s="73">
        <f>+BA201/BA179*400</f>
        <v>3.8539424040244707</v>
      </c>
      <c r="BB196" s="72">
        <f>IF(ISERROR(BA196/AS196),"NA",IF(OR(BA196/AS196&gt;2,BA196/AS196&lt;0.5),"NM",BA196/AS196*100-100))</f>
        <v>17.977234347882614</v>
      </c>
      <c r="BC196" s="73">
        <f>+BC201/BC179*400</f>
        <v>3.8408668229966842</v>
      </c>
      <c r="BD196" s="72">
        <f>IF(ISERROR(BC196/AU196),"NA",IF(OR(BC196/AU196&gt;2,BC196/AU196&lt;0.5),"NM",BC196/AU196*100-100))</f>
        <v>8.9812542810491891</v>
      </c>
      <c r="BE196" s="73">
        <f>+BE201/BE179*400</f>
        <v>3.9547235871013942</v>
      </c>
      <c r="BF196" s="72">
        <f>IF(ISERROR(BE196/AW196),"NA",IF(OR(BE196/AW196&gt;2,BE196/AW196&lt;0.5),"NM",BE196/AW196*100-100))</f>
        <v>12.911585550970912</v>
      </c>
      <c r="BG196" s="73">
        <f>+BG201/BG179*400</f>
        <v>3.8846449931900278</v>
      </c>
      <c r="BH196" s="72">
        <f>IF(ISERROR(BG196/AY196),"NA",IF(OR(BG196/AY196&gt;2,BG196/AY196&lt;0.5),"NM",BG196/AY196*100-100))</f>
        <v>6.8843317910647812</v>
      </c>
      <c r="BI196" s="73">
        <f>+BI201/BI179*400</f>
        <v>3.9901032871224915</v>
      </c>
      <c r="BJ196" s="72">
        <f>IF(ISERROR(BI196/BA196),"NA",IF(OR(BI196/BA196&gt;2,BI196/BA196&lt;0.5),"NM",BI196/BA196*100-100))</f>
        <v>3.5330284893680499</v>
      </c>
      <c r="BK196" s="73">
        <f>+BK201/BK179*400</f>
        <v>4.0908826776686622</v>
      </c>
      <c r="BL196" s="72">
        <f>IF(ISERROR(BK196/BC196),"NA",IF(OR(BK196/BC196&gt;2,BK196/BC196&lt;0.5),"NM",BK196/BC196*100-100))</f>
        <v>6.5093601573228455</v>
      </c>
      <c r="BM196" s="73">
        <f>+BM201/BM179*400</f>
        <v>4.2255432149018235</v>
      </c>
      <c r="BN196" s="72">
        <f>IF(ISERROR(BM196/BE196),"NA",IF(OR(BM196/BE196&gt;2,BM196/BE196&lt;0.5),"NM",BM196/BE196*100-100))</f>
        <v>6.8480039587021082</v>
      </c>
      <c r="BO196" s="73">
        <f>+BO201/BO179*400</f>
        <v>4.1264249908065116</v>
      </c>
      <c r="BP196" s="72">
        <f>IF(ISERROR(BO196/BG196),"NA",IF(OR(BO196/BG196&gt;2,BO196/BG196&lt;0.5),"NM",BO196/BG196*100-100))</f>
        <v>6.2239921032767711</v>
      </c>
      <c r="BQ196" s="73">
        <f>+BQ201/BQ179*400</f>
        <v>4.0611107875681869</v>
      </c>
      <c r="BR196" s="72">
        <f>IF(ISERROR(BQ196/BI196),"NA",IF(OR(BQ196/BI196&gt;2,BQ196/BI196&lt;0.5),"NM",BQ196/BI196*100-100))</f>
        <v>1.7795905352841999</v>
      </c>
      <c r="BS196" s="73">
        <f>+BS201/BS179*400</f>
        <v>4.3004736116384565</v>
      </c>
      <c r="BT196" s="72">
        <f>IF(ISERROR(BS196/BK196),"NA",IF(OR(BS196/BK196&gt;2,BS196/BK196&lt;0.5),"NM",BS196/BK196*100-100))</f>
        <v>5.1233670208610675</v>
      </c>
      <c r="BU196" s="73">
        <f>+BU201/BU179*400</f>
        <v>4.357212176427482</v>
      </c>
      <c r="BV196" s="72">
        <f>IF(ISERROR(BU196/BM196),"NA",IF(OR(BU196/BM196&gt;2,BU196/BM196&lt;0.5),"NM",BU196/BM196*100-100))</f>
        <v>3.1160244926927732</v>
      </c>
      <c r="BW196" s="73">
        <f>+BW201/BW179*400</f>
        <v>3.9812359779726698</v>
      </c>
      <c r="BX196" s="72">
        <f>IF(ISERROR(BW196/BO196),"NA",IF(OR(BW196/BO196&gt;2,BW196/BO196&lt;0.5),"NM",BW196/BO196*100-100))</f>
        <v>-3.5185181642054886</v>
      </c>
      <c r="BY196" s="73">
        <f>+BY201/BY179*400</f>
        <v>3.9130874178878221</v>
      </c>
      <c r="BZ196" s="72">
        <f>IF(ISERROR(BY196/BQ196),"NA",IF(OR(BY196/BQ196&gt;2,BY196/BQ196&lt;0.5),"NM",BY196/BQ196*100-100))</f>
        <v>-3.6448985862068071</v>
      </c>
      <c r="CA196" s="73">
        <f>+CA201/CA179*400</f>
        <v>3.7337694716476855</v>
      </c>
      <c r="CB196" s="72">
        <f>IF(ISERROR(CA196/BS196),"NA",IF(OR(CA196/BS196&gt;2,CA196/BS196&lt;0.5),"NM",CA196/BS196*100-100))</f>
        <v>-13.177714623270532</v>
      </c>
      <c r="CC196" s="73">
        <f>+CC201/CC179*400</f>
        <v>3.5986745780997151</v>
      </c>
      <c r="CD196" s="72">
        <f>IF(ISERROR(CC196/BU196),"NA",IF(OR(CC196/BU196&gt;2,CC196/BU196&lt;0.5),"NM",CC196/BU196*100-100))</f>
        <v>-17.408782671439667</v>
      </c>
      <c r="CE196" s="73">
        <f>+CE201/CE179*400</f>
        <v>3.4187386294724078</v>
      </c>
      <c r="CF196" s="72">
        <f>IF(ISERROR(CE196/BW196),"NA",IF(OR(CE196/BW196&gt;2,CE196/BW196&lt;0.5),"NM",CE196/BW196*100-100))</f>
        <v>-14.128711576315496</v>
      </c>
      <c r="CG196" s="73">
        <f>+CG201/CG179*400</f>
        <v>3.2734744929866881</v>
      </c>
      <c r="CH196" s="72">
        <f>IF(ISERROR(CG196/BY196),"NA",IF(OR(CG196/BY196&gt;2,CG196/BY196&lt;0.5),"NM",CG196/BY196*100-100))</f>
        <v>-16.34548009270847</v>
      </c>
      <c r="CI196" s="73">
        <f>+CI201/CI179*400</f>
        <v>3.115370288849006</v>
      </c>
      <c r="CJ196" s="72">
        <f>IF(ISERROR(CI196/CA196),"NA",IF(OR(CI196/CA196&gt;2,CI196/CA196&lt;0.5),"NM",CI196/CA196*100-100))</f>
        <v>-16.562328967936637</v>
      </c>
      <c r="CK196" s="73">
        <f>+CK201/CK179*400</f>
        <v>2.8979636352305129</v>
      </c>
      <c r="CL196" s="72">
        <f>IF(ISERROR(CK196/CC196),"NA",IF(OR(CK196/CC196&gt;2,CK196/CC196&lt;0.5),"NM",CK196/CC196*100-100))</f>
        <v>-19.471361682256187</v>
      </c>
      <c r="CM196" s="73">
        <f>+CM201/CM179*400</f>
        <v>2.4037624107298381</v>
      </c>
      <c r="CN196" s="72">
        <f>IF(ISERROR(CM196/CE196),"NA",IF(OR(CM196/CE196&gt;2,CM196/CE196&lt;0.5),"NM",CM196/CE196*100-100))</f>
        <v>-29.688617023618576</v>
      </c>
      <c r="CO196" s="73">
        <f>+CO201/CO179*400</f>
        <v>2.3040293534418801</v>
      </c>
      <c r="CP196" s="72">
        <f>IF(ISERROR(CO196/CG196),"NA",IF(OR(CO196/CG196&gt;2,CO196/CG196&lt;0.5),"NM",CO196/CG196*100-100))</f>
        <v>-29.615173163005011</v>
      </c>
      <c r="CQ196" s="73">
        <f>+CQ201/CQ179*400</f>
        <v>2.1909505297281187</v>
      </c>
      <c r="CR196" s="72">
        <f>IF(ISERROR(CQ196/CI196),"NA",IF(OR(CQ196/CI196&gt;2,CQ196/CI196&lt;0.5),"NM",CQ196/CI196*100-100))</f>
        <v>-29.672869463694482</v>
      </c>
      <c r="CS196" s="73">
        <f>+CS201/CS179*400</f>
        <v>1.9225432627734795</v>
      </c>
      <c r="CT196" s="72">
        <f>IF(ISERROR(CS196/CK196),"NA",IF(OR(CS196/CK196&gt;2,CS196/CK196&lt;0.5),"NM",CS196/CK196*100-100))</f>
        <v>-33.658820303983745</v>
      </c>
      <c r="CU196" s="73">
        <f>+CU201/CU179*400</f>
        <v>1.8198672391932063</v>
      </c>
      <c r="CV196" s="72">
        <f>IF(ISERROR(CU196/CM196),"NA",IF(OR(CU196/CM196&gt;2,CU196/CM196&lt;0.5),"NM",CU196/CM196*100-100))</f>
        <v>-24.290885360810165</v>
      </c>
      <c r="CW196" s="73">
        <f>+CW201/CW179*400</f>
        <v>1.6633640170631472</v>
      </c>
      <c r="CX196" s="72">
        <f>IF(ISERROR(CW196/CO196),"NA",IF(OR(CW196/CO196&gt;2,CW196/CO196&lt;0.5),"NM",CW196/CO196*100-100))</f>
        <v>-27.806300966681405</v>
      </c>
      <c r="CY196" s="73">
        <f>+CY201/CY179*400</f>
        <v>1.6512814632188522</v>
      </c>
      <c r="CZ196" s="72">
        <f>IF(ISERROR(CY196/CQ196),"NA",IF(OR(CY196/CQ196&gt;2,CY196/CQ196&lt;0.5),"NM",CY196/CQ196*100-100))</f>
        <v>-24.631732172256562</v>
      </c>
      <c r="DA196" s="73">
        <f>+DA201/DA179*400</f>
        <v>1.1595432530844556</v>
      </c>
      <c r="DB196" s="72">
        <f>IF(ISERROR(DA196/CS196),"NA",IF(OR(DA196/CS196&gt;2,DA196/CS196&lt;0.5),"NM",DA196/CS196*100-100))</f>
        <v>-39.687013783414827</v>
      </c>
      <c r="DC196" s="73">
        <f>+DC201/DC179*400</f>
        <v>1.0852312059911475</v>
      </c>
      <c r="DD196" s="72">
        <f>IF(ISERROR(DC196/CU196),"NA",IF(OR(DC196/CU196&gt;2,DC196/CU196&lt;0.5),"NM",DC196/CU196*100-100))</f>
        <v>-40.367561840815469</v>
      </c>
      <c r="DE196" s="73">
        <f>+DE201/DE179*400</f>
        <v>1.0603673812117889</v>
      </c>
      <c r="DF196" s="72">
        <f>IF(ISERROR(DE196/CW196),"NA",IF(OR(DE196/CW196&gt;2,DE196/CW196&lt;0.5),"NM",DE196/CW196*100-100))</f>
        <v>-36.251634017911215</v>
      </c>
      <c r="DG196" s="73">
        <f>+DG201/DG179*400</f>
        <v>1.0305914343983684</v>
      </c>
      <c r="DH196" s="72">
        <f>IF(ISERROR(DG196/CY196),"NA",IF(OR(DG196/CY196&gt;2,DG196/CY196&lt;0.5),"NM",DG196/CY196*100-100))</f>
        <v>-37.588384696729364</v>
      </c>
      <c r="DI196" s="73">
        <f>+DI201/DI179*400</f>
        <v>1.0173893254441038</v>
      </c>
      <c r="DJ196" s="72">
        <f>IF(ISERROR(DI196/DA196),"NA",IF(OR(DI196/DA196&gt;2,DI196/DA196&lt;0.5),"NM",DI196/DA196*100-100))</f>
        <v>-12.259476070617779</v>
      </c>
      <c r="DK196" s="73">
        <f>+DK201/DK179*400</f>
        <v>0.99157429123151664</v>
      </c>
      <c r="DL196" s="72">
        <f>IF(ISERROR(DK196/DC196),"NA",IF(OR(DK196/DC196&gt;2,DK196/DC196&lt;0.5),"NM",DK196/DC196*100-100))</f>
        <v>-8.6301346885886403</v>
      </c>
      <c r="DM196" s="73">
        <f>+DM201/DM179*400</f>
        <v>1.0042222982996691</v>
      </c>
      <c r="DN196" s="72">
        <f t="shared" si="1152"/>
        <v>-5.2948708067535222</v>
      </c>
      <c r="DO196" s="73">
        <f>+DO201/DO179*400</f>
        <v>0.83178560441188198</v>
      </c>
      <c r="DP196" s="72">
        <f t="shared" si="1152"/>
        <v>-19.290460152382693</v>
      </c>
      <c r="DQ196" s="73">
        <f>+DQ201/DQ179*400</f>
        <v>0.81495872323133367</v>
      </c>
      <c r="DR196" s="72">
        <f t="shared" si="1152"/>
        <v>-19.897063705126499</v>
      </c>
      <c r="DS196" s="73">
        <f>+DS201/DS179*400</f>
        <v>0.83333333333333337</v>
      </c>
      <c r="DT196" s="72">
        <f t="shared" si="1152"/>
        <v>-15.958557951482476</v>
      </c>
      <c r="DU196" s="73">
        <f>+DU201/DU179*400</f>
        <v>0.79435031937235434</v>
      </c>
      <c r="DV196" s="72">
        <f t="shared" si="1152"/>
        <v>-20.898956265227952</v>
      </c>
      <c r="DW196" s="73">
        <f>+DW201/DW179*400</f>
        <v>0.79708469575365237</v>
      </c>
      <c r="DX196" s="72">
        <f t="shared" si="1152"/>
        <v>-4.1718573240715102</v>
      </c>
      <c r="DY196" s="73">
        <f>+DY201/DY179*400</f>
        <v>0.76682003067280124</v>
      </c>
      <c r="DZ196" s="72">
        <f t="shared" si="1152"/>
        <v>-5.9068872062208442</v>
      </c>
      <c r="EA196" s="73">
        <f>+EA201/EA179*400</f>
        <v>0.78089138862619523</v>
      </c>
      <c r="EB196" s="72">
        <f>IF(ISERROR(EA196/DS196),"NA",IF(OR(EA196/DS196&gt;2,EA196/DS196&lt;0.5),"NM",EA196/DS196*100-100))</f>
        <v>-6.2930333648565835</v>
      </c>
      <c r="EC196" s="73">
        <f>+EC201/EC179*400</f>
        <v>0.7806194093386849</v>
      </c>
      <c r="ED196" s="72">
        <f>IF(ISERROR(EC196/DU196),"NA",IF(OR(EC196/DU196&gt;2,EC196/DU196&lt;0.5),"NM",EC196/DU196*100-100))</f>
        <v>-1.7285710975125852</v>
      </c>
      <c r="EE196" s="73">
        <f>+EE201/EE179*400</f>
        <v>0.82910902998539393</v>
      </c>
      <c r="EF196" s="72">
        <f>IF(ISERROR(EE196/DW196),"NA",IF(OR(EE196/DW196&gt;2,EE196/DW196&lt;0.5),"NM",EE196/DW196*100-100))</f>
        <v>4.017682738402371</v>
      </c>
      <c r="EG196" s="73">
        <f>+EG201/EG179*400</f>
        <v>0.83107931245092059</v>
      </c>
      <c r="EH196" s="72">
        <f>IF(ISERROR(EG196/DY196),"NA",IF(OR(EG196/DY196&gt;2,EG196/DY196&lt;0.5),"NM",EG196/DY196*100-100))</f>
        <v>8.3799691202300437</v>
      </c>
      <c r="EI196" s="73">
        <f>+EI201/EI179*400</f>
        <v>0.786538097939119</v>
      </c>
      <c r="EJ196" s="72">
        <f>IF(ISERROR(EI196/EA196),"NA",IF(OR(EI196/EA196&gt;2,EI196/EA196&lt;0.5),"NM",EI196/EA196*100-100))</f>
        <v>0.72311071618524636</v>
      </c>
      <c r="EK196" s="73">
        <f>+EK201/EK179*400</f>
        <v>0.87669471089437867</v>
      </c>
      <c r="EL196" s="72">
        <f>IF(ISERROR(EK196/EC196),"NA",IF(OR(EK196/EC196&gt;2,EK196/EC196&lt;0.5),"NM",EK196/EC196*100-100))</f>
        <v>12.307572730876061</v>
      </c>
      <c r="EM196" s="73">
        <f>+EM201/EM179*400</f>
        <v>0.77707418829186992</v>
      </c>
      <c r="EN196" s="72">
        <f>IF(ISERROR(EM196/EE196),"NA",IF(OR(EM196/EE196&gt;2,EM196/EE196&lt;0.5),"NM",EM196/EE196*100-100))</f>
        <v>-6.275995051512183</v>
      </c>
      <c r="EO196" s="73">
        <f>+EO201/EO179*400</f>
        <v>0.75684346914011891</v>
      </c>
      <c r="EP196" s="72">
        <f>IF(ISERROR(EO196/EG196),"NA",IF(OR(EO196/EG196&gt;2,EO196/EG196&lt;0.5),"NM",EO196/EG196*100-100))</f>
        <v>-8.9324619442005115</v>
      </c>
      <c r="EQ196" s="71">
        <v>0.8</v>
      </c>
      <c r="ER196" s="72">
        <f t="shared" si="1154"/>
        <v>1.711538461538467</v>
      </c>
      <c r="ES196" s="71">
        <f t="shared" si="1155"/>
        <v>0.8</v>
      </c>
      <c r="ET196" s="72">
        <f t="shared" si="1156"/>
        <v>-8.7481662591686984</v>
      </c>
      <c r="EU196" s="71">
        <f t="shared" si="1157"/>
        <v>0.8</v>
      </c>
      <c r="EV196" s="72">
        <f t="shared" si="1158"/>
        <v>2.9502732240437268</v>
      </c>
      <c r="EW196" s="71">
        <f t="shared" si="1159"/>
        <v>0.8</v>
      </c>
      <c r="EX196" s="72">
        <f t="shared" si="1160"/>
        <v>5.702173913043481</v>
      </c>
      <c r="EY196" s="72"/>
      <c r="EZ196" s="306"/>
      <c r="FA196" s="72"/>
      <c r="FB196" s="81"/>
      <c r="FC196" s="72"/>
      <c r="FD196" s="71"/>
      <c r="FE196" s="72"/>
      <c r="FF196" s="71"/>
      <c r="FG196" s="72"/>
      <c r="FH196" s="81"/>
      <c r="FI196" s="72"/>
      <c r="FJ196" s="81"/>
      <c r="FK196" s="72"/>
      <c r="FL196" s="81"/>
      <c r="FM196" s="72" t="str">
        <f>IF(ISERROR(FL196/FJ196),"NA",IF(OR(FL196/FJ196&gt;2,FL196/FJ196&lt;0.5),"NM",FL196/FJ196*100-100))</f>
        <v>NA</v>
      </c>
      <c r="FN196" s="81">
        <f>+FN201/FN179*100</f>
        <v>2.8565436241610738</v>
      </c>
      <c r="FO196" s="72" t="str">
        <f>IF(ISERROR(FN196/FL196),"NA",IF(OR(FN196/FL196&gt;2,FN196/FL196&lt;0.5),"NM",FN196/FL196*100-100))</f>
        <v>NA</v>
      </c>
      <c r="FP196" s="81">
        <f>+FP201/FP179*100</f>
        <v>3.3964226289517474</v>
      </c>
      <c r="FQ196" s="72">
        <f>IF(ISERROR(FP196/FN196),"NA",IF(OR(FP196/FN196&gt;2,FP196/FN196&lt;0.5),"NM",FP196/FN196*100-100))</f>
        <v>18.899729037018602</v>
      </c>
      <c r="FR196" s="73">
        <f>+FR201/FR179*100</f>
        <v>3.6861684139330402</v>
      </c>
      <c r="FS196" s="72">
        <f>IF(ISERROR(FR196/FP196),"NA",IF(OR(FR196/FP196&gt;2,FR196/FP196&lt;0.5),"NM",FR196/FP196*100-100))</f>
        <v>8.5309108033683572</v>
      </c>
      <c r="FT196" s="73">
        <f>+FT201/FT179*100</f>
        <v>4.0181426993080187</v>
      </c>
      <c r="FU196" s="72">
        <f>IF(ISERROR(FT196/FR196),"NA",IF(OR(FT196/FR196&gt;2,FT196/FR196&lt;0.5),"NM",FT196/FR196*100-100))</f>
        <v>9.0059446041634175</v>
      </c>
      <c r="FV196" s="73">
        <f>+FV201/FV179*100</f>
        <v>4.2463013210275093</v>
      </c>
      <c r="FW196" s="72">
        <f>IF(ISERROR(FV196/FT196),"NA",IF(OR(FV196/FT196&gt;2,FV196/FT196&lt;0.5),"NM",FV196/FT196*100-100))</f>
        <v>5.6782110241824739</v>
      </c>
      <c r="FX196" s="73">
        <f>+FX201/FX179*100</f>
        <v>3.6738075055868076</v>
      </c>
      <c r="FY196" s="72">
        <f>IF(ISERROR(FX196/FV196),"NA",IF(OR(FX196/FV196&gt;2,FX196/FV196&lt;0.5),"NM",FX196/FV196*100-100))</f>
        <v>-13.482175949354698</v>
      </c>
      <c r="FZ196" s="73">
        <f>+FZ201/FZ179*100</f>
        <v>2.8574544661358927</v>
      </c>
      <c r="GA196" s="72">
        <f>IF(ISERROR(FZ196/FX196),"NA",IF(OR(FZ196/FX196&gt;2,FZ196/FX196&lt;0.5),"NM",FZ196/FX196*100-100))</f>
        <v>-22.220898569385469</v>
      </c>
      <c r="GB196" s="73">
        <f>+GB201/GB179*100</f>
        <v>1.9036730344437167</v>
      </c>
      <c r="GC196" s="72">
        <f>IF(ISERROR(GB196/FZ196),"NA",IF(OR(GB196/FZ196&gt;2,GB196/FZ196&lt;0.5),"NM",GB196/FZ196*100-100))</f>
        <v>-33.378709722082306</v>
      </c>
      <c r="GD196" s="73">
        <f>+GD201/GD179*100</f>
        <v>1.1984303743769222</v>
      </c>
      <c r="GE196" s="72">
        <f>IF(ISERROR(GD196/GB196),"NA",IF(OR(GD196/GB196&gt;2,GD196/GB196&lt;0.5),"NM",GD196/GB196*100-100))</f>
        <v>-37.046417494319215</v>
      </c>
      <c r="GF196" s="73">
        <f>+GF201/GF179*100</f>
        <v>1.0234133411868649</v>
      </c>
      <c r="GG196" s="72">
        <f>IF(ISERROR(GF196/GD196),"NA",IF(OR(GF196/GD196&gt;2,GF196/GD196&lt;0.5),"NM",GF196/GD196*100-100))</f>
        <v>-14.6038549199031</v>
      </c>
      <c r="GH196" s="73">
        <f>+GH201/GH179*100</f>
        <v>0.82163871276601674</v>
      </c>
      <c r="GI196" s="72">
        <f t="shared" si="1161"/>
        <v>-19.71584894397094</v>
      </c>
      <c r="GJ196" s="73">
        <f>+GJ201/GJ179*100</f>
        <v>0.80071569869529458</v>
      </c>
      <c r="GK196" s="72">
        <f t="shared" si="1161"/>
        <v>-2.5464980831155799</v>
      </c>
      <c r="GL196" s="73">
        <f>+GL201/GL179*100</f>
        <v>0.80326760317598822</v>
      </c>
      <c r="GM196" s="72">
        <f t="shared" si="1161"/>
        <v>0.3187029409878761</v>
      </c>
      <c r="GN196" s="73">
        <f>+GN201/GN179*100</f>
        <v>0.77483906793081458</v>
      </c>
      <c r="GO196" s="72">
        <f t="shared" si="1161"/>
        <v>-3.5391113911194481</v>
      </c>
      <c r="GP196" s="73">
        <f>+GP201/GP179*100</f>
        <v>0.78994267930347428</v>
      </c>
      <c r="GQ196" s="72">
        <f t="shared" si="1161"/>
        <v>1.9492578520844859</v>
      </c>
      <c r="GR196" s="71">
        <f>GP196+0.01</f>
        <v>0.79994267930347429</v>
      </c>
      <c r="GS196" s="72">
        <f t="shared" si="1161"/>
        <v>1.2659146368464889</v>
      </c>
      <c r="GT196" s="71">
        <f>GR196+0.01</f>
        <v>0.8099426793034743</v>
      </c>
      <c r="GU196" s="72">
        <f t="shared" si="1161"/>
        <v>1.2500895700060966</v>
      </c>
      <c r="GV196" s="71">
        <f>GT196+0.01</f>
        <v>0.81994267930347431</v>
      </c>
      <c r="GW196" s="72">
        <f>IF(ISERROR(GV196/GT196),"NA",IF(OR(GV196/GT196&gt;2,GV196/GT196&lt;0.5),"NM",GV196/GT196*100-100))</f>
        <v>1.2346552732101657</v>
      </c>
      <c r="GX196" s="71">
        <f>GV196+0.01</f>
        <v>0.82994267930347432</v>
      </c>
      <c r="GY196" s="72">
        <f>IF(ISERROR(GX196/GV196),"NA",IF(OR(GX196/GV196&gt;2,GX196/GV196&lt;0.5),"NM",GX196/GV196*100-100))</f>
        <v>1.2195974489942216</v>
      </c>
      <c r="GZ196" s="72">
        <f>IF(ISERROR(((GX196/GN196)^0.2-1)*100),"NA",IF((((GX196/GN196)^0.2-1)*100)&gt;100,"NM",IF((((GX196/GN196)^0.2-1)*100)&lt;-50,"NM",((GX196/GN196)^0.2-1)*100)))</f>
        <v>1.3835087928695033</v>
      </c>
      <c r="HA196" s="72"/>
      <c r="HB196" s="72"/>
      <c r="HC196"/>
      <c r="HD196"/>
      <c r="HE196"/>
      <c r="HF196"/>
      <c r="HG196"/>
      <c r="HH196"/>
      <c r="HI196" s="2"/>
    </row>
    <row r="197" spans="2:217" s="3" customFormat="1" ht="12.75" customHeight="1" x14ac:dyDescent="0.2">
      <c r="B197" s="10" t="s">
        <v>371</v>
      </c>
      <c r="C197" s="73"/>
      <c r="D197" s="72"/>
      <c r="E197" s="73"/>
      <c r="F197" s="72"/>
      <c r="G197" s="73"/>
      <c r="H197" s="72"/>
      <c r="I197" s="73"/>
      <c r="J197" s="72"/>
      <c r="K197" s="73"/>
      <c r="L197" s="72"/>
      <c r="M197" s="73"/>
      <c r="N197" s="72"/>
      <c r="O197" s="73"/>
      <c r="P197" s="72"/>
      <c r="Q197" s="73"/>
      <c r="R197" s="72"/>
      <c r="S197" s="73"/>
      <c r="T197" s="72"/>
      <c r="U197" s="73"/>
      <c r="V197" s="72"/>
      <c r="W197" s="73"/>
      <c r="X197" s="72"/>
      <c r="Y197" s="73"/>
      <c r="Z197" s="72"/>
      <c r="AA197" s="73"/>
      <c r="AB197" s="72"/>
      <c r="AC197" s="73"/>
      <c r="AD197" s="72"/>
      <c r="AE197" s="73"/>
      <c r="AF197" s="72"/>
      <c r="AG197" s="73"/>
      <c r="AH197" s="72"/>
      <c r="AI197" s="73">
        <f>+AI195-AI196</f>
        <v>2.8347253859782335</v>
      </c>
      <c r="AJ197" s="72" t="str">
        <f>IF(ISERROR(AI197/AA197),"NA",IF(OR(AI197/AA197&gt;2,AI197/AA197&lt;0.5),"NM",AI197/AA197*100-100))</f>
        <v>NA</v>
      </c>
      <c r="AK197" s="73">
        <f>+AK195-AK196</f>
        <v>2.6967275911130559</v>
      </c>
      <c r="AL197" s="72" t="str">
        <f>IF(ISERROR(AK197/AC197),"NA",IF(OR(AK197/AC197&gt;2,AK197/AC197&lt;0.5),"NM",AK197/AC197*100-100))</f>
        <v>NA</v>
      </c>
      <c r="AM197" s="73">
        <f>+AM195-AM196</f>
        <v>2.9047452896022325</v>
      </c>
      <c r="AN197" s="72" t="str">
        <f>IF(ISERROR(AM197/AE197),"NA",IF(OR(AM197/AE197&gt;2,AM197/AE197&lt;0.5),"NM",AM197/AE197*100-100))</f>
        <v>NA</v>
      </c>
      <c r="AO197" s="73">
        <f>+AO195-AO196</f>
        <v>2.7600671140939599</v>
      </c>
      <c r="AP197" s="72" t="str">
        <f>IF(ISERROR(AO197/AG197),"NA",IF(OR(AO197/AG197&gt;2,AO197/AG197&lt;0.5),"NM",AO197/AG197*100-100))</f>
        <v>NA</v>
      </c>
      <c r="AQ197" s="73">
        <f>+AQ195-AQ196</f>
        <v>3.002222315401065</v>
      </c>
      <c r="AR197" s="72">
        <f>IF(ISERROR(AQ197/AI197),"NA",IF(OR(AQ197/AI197&gt;2,AQ197/AI197&lt;0.5),"NM",AQ197/AI197*100-100))</f>
        <v>5.9087532870500752</v>
      </c>
      <c r="AS197" s="73">
        <f>+AS195-AS196</f>
        <v>2.8799473381058176</v>
      </c>
      <c r="AT197" s="72">
        <f>IF(ISERROR(AS197/AK197),"NA",IF(OR(AS197/AK197&gt;2,AS197/AK197&lt;0.5),"NM",AS197/AK197*100-100))</f>
        <v>6.7941510887697234</v>
      </c>
      <c r="AU197" s="73">
        <f>+AU195-AU196</f>
        <v>2.8047509045934951</v>
      </c>
      <c r="AV197" s="72">
        <f>IF(ISERROR(AU197/AM197),"NA",IF(OR(AU197/AM197&gt;2,AU197/AM197&lt;0.5),"NM",AU197/AM197*100-100))</f>
        <v>-3.442449338559058</v>
      </c>
      <c r="AW197" s="73">
        <f>+AW195-AW196</f>
        <v>3.0449251247920124</v>
      </c>
      <c r="AX197" s="72">
        <f>IF(ISERROR(AW197/AO197),"NA",IF(OR(AW197/AO197&gt;2,AW197/AO197&lt;0.5),"NM",AW197/AO197*100-100))</f>
        <v>10.320691451430946</v>
      </c>
      <c r="AY197" s="73">
        <f>+AY195-AY196</f>
        <v>3.1261251720851413</v>
      </c>
      <c r="AZ197" s="72">
        <f>IF(ISERROR(AY197/AQ197),"NA",IF(OR(AY197/AQ197&gt;2,AY197/AQ197&lt;0.5),"NM",AY197/AQ197*100-100))</f>
        <v>4.1270380294113664</v>
      </c>
      <c r="BA197" s="73">
        <f>+BA195-BA196</f>
        <v>3.4532006053759092</v>
      </c>
      <c r="BB197" s="72">
        <f>IF(ISERROR(BA197/AS197),"NA",IF(OR(BA197/AS197&gt;2,BA197/AS197&lt;0.5),"NM",BA197/AS197*100-100))</f>
        <v>19.904991306095482</v>
      </c>
      <c r="BC197" s="73">
        <f>+BC195-BC196</f>
        <v>3.1616398479825349</v>
      </c>
      <c r="BD197" s="72">
        <f>IF(ISERROR(BC197/AU197),"NA",IF(OR(BC197/AU197&gt;2,BC197/AU197&lt;0.5),"NM",BC197/AU197*100-100))</f>
        <v>12.724443472129494</v>
      </c>
      <c r="BE197" s="73">
        <f>+BE195-BE196</f>
        <v>3.2385764586524508</v>
      </c>
      <c r="BF197" s="72">
        <f>IF(ISERROR(BE197/AW197),"NA",IF(OR(BE197/AW197&gt;2,BE197/AW197&lt;0.5),"NM",BE197/AW197*100-100))</f>
        <v>6.3598061010996503</v>
      </c>
      <c r="BG197" s="73">
        <f>+BG195-BG196</f>
        <v>3.1740392017528283</v>
      </c>
      <c r="BH197" s="72">
        <f>IF(ISERROR(BG197/AY197),"NA",IF(OR(BG197/AY197&gt;2,BG197/AY197&lt;0.5),"NM",BG197/AY197*100-100))</f>
        <v>1.5326970940107429</v>
      </c>
      <c r="BI197" s="73">
        <f>+BI195-BI196</f>
        <v>3.1496681459372429</v>
      </c>
      <c r="BJ197" s="72">
        <f>IF(ISERROR(BI197/BA197),"NA",IF(OR(BI197/BA197&gt;2,BI197/BA197&lt;0.5),"NM",BI197/BA197*100-100))</f>
        <v>-8.7898878207692235</v>
      </c>
      <c r="BK197" s="73">
        <f>+BK195-BK196</f>
        <v>3.1456408468437047</v>
      </c>
      <c r="BL197" s="72">
        <f>IF(ISERROR(BK197/BC197),"NA",IF(OR(BK197/BC197&gt;2,BK197/BC197&lt;0.5),"NM",BK197/BC197*100-100))</f>
        <v>-0.50603490302790988</v>
      </c>
      <c r="BM197" s="73">
        <f>+BM195-BM196</f>
        <v>3.0547963792134292</v>
      </c>
      <c r="BN197" s="72">
        <f>IF(ISERROR(BM197/BE197),"NA",IF(OR(BM197/BE197&gt;2,BM197/BE197&lt;0.5),"NM",BM197/BE197*100-100))</f>
        <v>-5.6747179442998714</v>
      </c>
      <c r="BO197" s="73">
        <f>+BO195-BO196</f>
        <v>2.7870787930400445</v>
      </c>
      <c r="BP197" s="72">
        <f>IF(ISERROR(BO197/BG197),"NA",IF(OR(BO197/BG197&gt;2,BO197/BG197&lt;0.5),"NM",BO197/BG197*100-100))</f>
        <v>-12.191418697635783</v>
      </c>
      <c r="BQ197" s="73">
        <f>+BQ195-BQ196</f>
        <v>2.8109409275328554</v>
      </c>
      <c r="BR197" s="72">
        <f>IF(ISERROR(BQ197/BI197),"NA",IF(OR(BQ197/BI197&gt;2,BQ197/BI197&lt;0.5),"NM",BQ197/BI197*100-100))</f>
        <v>-10.754378007769233</v>
      </c>
      <c r="BS197" s="73">
        <f>+BS195-BS196</f>
        <v>2.7577386543034716</v>
      </c>
      <c r="BT197" s="72">
        <f>IF(ISERROR(BS197/BK197),"NA",IF(OR(BS197/BK197&gt;2,BS197/BK197&lt;0.5),"NM",BS197/BK197*100-100))</f>
        <v>-12.33142025509521</v>
      </c>
      <c r="BU197" s="73">
        <f>+BU195-BU196</f>
        <v>2.7965379968707289</v>
      </c>
      <c r="BV197" s="72">
        <f>IF(ISERROR(BU197/BM197),"NA",IF(OR(BU197/BM197&gt;2,BU197/BM197&lt;0.5),"NM",BU197/BM197*100-100))</f>
        <v>-8.4541930224887381</v>
      </c>
      <c r="BW197" s="73">
        <f>+BW195-BW196</f>
        <v>3.0430348766061588</v>
      </c>
      <c r="BX197" s="72">
        <f>IF(ISERROR(BW197/BO197),"NA",IF(OR(BW197/BO197&gt;2,BW197/BO197&lt;0.5),"NM",BW197/BO197*100-100))</f>
        <v>9.1836687288961372</v>
      </c>
      <c r="BY197" s="73">
        <f>+BY195-BY196</f>
        <v>2.8054573016675084</v>
      </c>
      <c r="BZ197" s="72">
        <f>IF(ISERROR(BY197/BQ197),"NA",IF(OR(BY197/BQ197&gt;2,BY197/BQ197&lt;0.5),"NM",BY197/BQ197*100-100))</f>
        <v>-0.19508150497348709</v>
      </c>
      <c r="CA197" s="73">
        <f>+CA195-CA196</f>
        <v>2.7684145441490311</v>
      </c>
      <c r="CB197" s="72">
        <f>IF(ISERROR(CA197/BS197),"NA",IF(OR(CA197/BS197&gt;2,CA197/BS197&lt;0.5),"NM",CA197/BS197*100-100))</f>
        <v>0.38712478533452099</v>
      </c>
      <c r="CC197" s="73">
        <f>+CC195-CC196</f>
        <v>2.5814903290436919</v>
      </c>
      <c r="CD197" s="72">
        <f>IF(ISERROR(CC197/BU197),"NA",IF(OR(CC197/BU197&gt;2,CC197/BU197&lt;0.5),"NM",CC197/BU197*100-100))</f>
        <v>-7.6897817253930043</v>
      </c>
      <c r="CE197" s="73">
        <f>+CE195-CE196</f>
        <v>2.6228016979987867</v>
      </c>
      <c r="CF197" s="72">
        <f>IF(ISERROR(CE197/BW197),"NA",IF(OR(CE197/BW197&gt;2,CE197/BW197&lt;0.5),"NM",CE197/BW197*100-100))</f>
        <v>-13.809673423002323</v>
      </c>
      <c r="CG197" s="73">
        <f>+CG195-CG196</f>
        <v>2.4801215045117484</v>
      </c>
      <c r="CH197" s="72">
        <f>IF(ISERROR(CG197/BY197),"NA",IF(OR(CG197/BY197&gt;2,CG197/BY197&lt;0.5),"NM",CG197/BY197*100-100))</f>
        <v>-11.596533547753054</v>
      </c>
      <c r="CI197" s="73">
        <f>+CI195-CI196</f>
        <v>2.4042531576986899</v>
      </c>
      <c r="CJ197" s="72">
        <f>IF(ISERROR(CI197/CA197),"NA",IF(OR(CI197/CA197&gt;2,CI197/CA197&lt;0.5),"NM",CI197/CA197*100-100))</f>
        <v>-13.154149447017843</v>
      </c>
      <c r="CK197" s="73">
        <f>+CK195-CK196</f>
        <v>2.218656030413038</v>
      </c>
      <c r="CL197" s="72">
        <f>IF(ISERROR(CK197/CC197),"NA",IF(OR(CK197/CC197&gt;2,CK197/CC197&lt;0.5),"NM",CK197/CC197*100-100))</f>
        <v>-14.055225950238793</v>
      </c>
      <c r="CM197" s="73">
        <f>+CM195-CM196</f>
        <v>2.2702200545781803</v>
      </c>
      <c r="CN197" s="72">
        <f>IF(ISERROR(CM197/CE197),"NA",IF(OR(CM197/CE197&gt;2,CM197/CE197&lt;0.5),"NM",CM197/CE197*100-100))</f>
        <v>-13.442939421978721</v>
      </c>
      <c r="CO197" s="73">
        <f>+CO195-CO196</f>
        <v>2.0396325423911721</v>
      </c>
      <c r="CP197" s="72">
        <f>IF(ISERROR(CO197/CG197),"NA",IF(OR(CO197/CG197&gt;2,CO197/CG197&lt;0.5),"NM",CO197/CG197*100-100))</f>
        <v>-17.760781531036059</v>
      </c>
      <c r="CQ197" s="73">
        <f>+CQ195-CQ196</f>
        <v>1.7140089178145144</v>
      </c>
      <c r="CR197" s="72">
        <f>IF(ISERROR(CQ197/CI197),"NA",IF(OR(CQ197/CI197&gt;2,CQ197/CI197&lt;0.5),"NM",CQ197/CI197*100-100))</f>
        <v>-28.70929950425294</v>
      </c>
      <c r="CS197" s="73">
        <f>+CS195-CS196</f>
        <v>1.5495787499028739</v>
      </c>
      <c r="CT197" s="72">
        <f>IF(ISERROR(CS197/CK197),"NA",IF(OR(CS197/CK197&gt;2,CS197/CK197&lt;0.5),"NM",CS197/CK197*100-100))</f>
        <v>-30.15687295996058</v>
      </c>
      <c r="CU197" s="73">
        <f>+CU195-CU196</f>
        <v>1.5002184266885454</v>
      </c>
      <c r="CV197" s="72">
        <f>IF(ISERROR(CU197/CM197),"NA",IF(OR(CU197/CM197&gt;2,CU197/CM197&lt;0.5),"NM",CU197/CM197*100-100))</f>
        <v>-33.917488586043945</v>
      </c>
      <c r="CW197" s="73">
        <f>+CW195-CW196</f>
        <v>1.3705182394111846</v>
      </c>
      <c r="CX197" s="72">
        <f>IF(ISERROR(CW197/CO197),"NA",IF(OR(CW197/CO197&gt;2,CW197/CO197&lt;0.5),"NM",CW197/CO197*100-100))</f>
        <v>-32.805629890350176</v>
      </c>
      <c r="CY197" s="73">
        <f>+CY195-CY196</f>
        <v>1.2805076161535078</v>
      </c>
      <c r="CZ197" s="72">
        <f>IF(ISERROR(CY197/CQ197),"NA",IF(OR(CY197/CQ197&gt;2,CY197/CQ197&lt;0.5),"NM",CY197/CQ197*100-100))</f>
        <v>-25.291659638139592</v>
      </c>
      <c r="DA197" s="73">
        <f>+DA195-DA196</f>
        <v>1.3292325096334008</v>
      </c>
      <c r="DB197" s="72">
        <f>IF(ISERROR(DA197/CS197),"NA",IF(OR(DA197/CS197&gt;2,DA197/CS197&lt;0.5),"NM",DA197/CS197*100-100))</f>
        <v>-14.219751031258284</v>
      </c>
      <c r="DC197" s="73">
        <f>+DC195-DC196</f>
        <v>1.616658858409493</v>
      </c>
      <c r="DD197" s="72">
        <f>IF(ISERROR(DC197/CU197),"NA",IF(OR(DC197/CU197&gt;2,DC197/CU197&lt;0.5),"NM",DC197/CU197*100-100))</f>
        <v>7.7615652260696493</v>
      </c>
      <c r="DE197" s="73">
        <f>+DE195-DE196</f>
        <v>1.8126175390871684</v>
      </c>
      <c r="DF197" s="72">
        <f>IF(ISERROR(DE197/CW197),"NA",IF(OR(DE197/CW197&gt;2,DE197/CW197&lt;0.5),"NM",DE197/CW197*100-100))</f>
        <v>32.257819484833902</v>
      </c>
      <c r="DG197" s="73">
        <f>+DG195-DG196</f>
        <v>1.7022433718558803</v>
      </c>
      <c r="DH197" s="72">
        <f>IF(ISERROR(DG197/CY197),"NA",IF(OR(DG197/CY197&gt;2,DG197/CY197&lt;0.5),"NM",DG197/CY197*100-100))</f>
        <v>32.935044694948118</v>
      </c>
      <c r="DI197" s="73">
        <f>+DI195-DI196</f>
        <v>1.8232687648090389</v>
      </c>
      <c r="DJ197" s="72">
        <f>IF(ISERROR(DI197/DA197),"NA",IF(OR(DI197/DA197&gt;2,DI197/DA197&lt;0.5),"NM",DI197/DA197*100-100))</f>
        <v>37.167030718492754</v>
      </c>
      <c r="DK197" s="73">
        <f>+DK195-DK196</f>
        <v>1.9136582008672933</v>
      </c>
      <c r="DL197" s="72">
        <f>IF(ISERROR(DK197/DC197),"NA",IF(OR(DK197/DC197&gt;2,DK197/DC197&lt;0.5),"NM",DK197/DC197*100-100))</f>
        <v>18.371182077955226</v>
      </c>
      <c r="DM197" s="73">
        <f>+DM195-DM196</f>
        <v>1.7318807016130655</v>
      </c>
      <c r="DN197" s="72">
        <f t="shared" si="1152"/>
        <v>-4.4541573571423072</v>
      </c>
      <c r="DO197" s="73">
        <f>+DO195-DO196</f>
        <v>1.5200027346376035</v>
      </c>
      <c r="DP197" s="72">
        <f t="shared" si="1152"/>
        <v>-10.705909638501794</v>
      </c>
      <c r="DQ197" s="73">
        <f>+DQ195-DQ196</f>
        <v>1.5697975406505194</v>
      </c>
      <c r="DR197" s="72">
        <f t="shared" si="1152"/>
        <v>-13.902021964658999</v>
      </c>
      <c r="DS197" s="73">
        <f>+DS195-DS196</f>
        <v>1.5176151761517613</v>
      </c>
      <c r="DT197" s="72">
        <f t="shared" si="1152"/>
        <v>-20.695598855429893</v>
      </c>
      <c r="DU197" s="73">
        <f>+DU195-DU196</f>
        <v>1.3971860411974015</v>
      </c>
      <c r="DV197" s="72">
        <f t="shared" si="1152"/>
        <v>-19.325503200303046</v>
      </c>
      <c r="DW197" s="73">
        <f>+DW195-DW196</f>
        <v>1.4686615802974754</v>
      </c>
      <c r="DX197" s="72">
        <f t="shared" si="1152"/>
        <v>-3.3777014455417316</v>
      </c>
      <c r="DY197" s="73">
        <f>+DY195-DY196</f>
        <v>1.4669600586784024</v>
      </c>
      <c r="DZ197" s="72">
        <f t="shared" si="1152"/>
        <v>-6.5510028719691746</v>
      </c>
      <c r="EA197" s="73">
        <f>+EA195-EA196</f>
        <v>1.4732965009208105</v>
      </c>
      <c r="EB197" s="72">
        <f>IF(ISERROR(EA197/DS197),"NA",IF(OR(EA197/DS197&gt;2,EA197/DS197&lt;0.5),"NM",EA197/DS197*100-100))</f>
        <v>-2.9202841357537324</v>
      </c>
      <c r="EC197" s="73">
        <f>+EC195-EC196</f>
        <v>1.4528808836700167</v>
      </c>
      <c r="ED197" s="72">
        <f>IF(ISERROR(EC197/DU197),"NA",IF(OR(EC197/DU197&gt;2,EC197/DU197&lt;0.5),"NM",EC197/DU197*100-100))</f>
        <v>3.9862152090271508</v>
      </c>
      <c r="EE197" s="73">
        <f>+EE195-EE196</f>
        <v>1.5637082223558725</v>
      </c>
      <c r="EF197" s="72">
        <f>IF(ISERROR(EE197/DW197),"NA",IF(OR(EE197/DW197&gt;2,EE197/DW197&lt;0.5),"NM",EE197/DW197*100-100))</f>
        <v>6.471650333437978</v>
      </c>
      <c r="EG197" s="73">
        <f>+EG195-EG196</f>
        <v>1.6119884826803941</v>
      </c>
      <c r="EH197" s="72">
        <f>IF(ISERROR(EG197/DY197),"NA",IF(OR(EG197/DY197&gt;2,EG197/DY197&lt;0.5),"NM",EG197/DY197*100-100))</f>
        <v>9.8863239761721218</v>
      </c>
      <c r="EI197" s="73">
        <f>+EI195-EI196</f>
        <v>1.6940820570996407</v>
      </c>
      <c r="EJ197" s="72">
        <f>IF(ISERROR(EI197/EA197),"NA",IF(OR(EI197/EA197&gt;2,EI197/EA197&lt;0.5),"NM",EI197/EA197*100-100))</f>
        <v>14.985819625638101</v>
      </c>
      <c r="EK197" s="73">
        <f>+EK195-EK196</f>
        <v>1.4897379561652646</v>
      </c>
      <c r="EL197" s="72">
        <f>IF(ISERROR(EK197/EC197),"NA",IF(OR(EK197/EC197&gt;2,EK197/EC197&lt;0.5),"NM",EK197/EC197*100-100))</f>
        <v>2.5368268596215557</v>
      </c>
      <c r="EM197" s="73">
        <f>+EM195-EM196</f>
        <v>1.496823231545815</v>
      </c>
      <c r="EN197" s="72">
        <f>IF(ISERROR(EM197/EE197),"NA",IF(OR(EM197/EE197&gt;2,EM197/EE197&lt;0.5),"NM",EM197/EE197*100-100))</f>
        <v>-4.2773319122981377</v>
      </c>
      <c r="EO197" s="73">
        <f>+EO195-EO196</f>
        <v>1.6268021306788969</v>
      </c>
      <c r="EP197" s="72">
        <f>IF(ISERROR(EO197/EG197),"NA",IF(OR(EO197/EG197&gt;2,EO197/EG197&lt;0.5),"NM",EO197/EG197*100-100))</f>
        <v>0.9189673597339123</v>
      </c>
      <c r="EQ197" s="73">
        <f t="shared" ref="EQ197" si="1162">+EQ195-EQ196</f>
        <v>1.4999999999999998</v>
      </c>
      <c r="ER197" s="72">
        <f t="shared" si="1154"/>
        <v>-11.456473214285722</v>
      </c>
      <c r="ES197" s="73">
        <f t="shared" ref="ES197" si="1163">+ES195-ES196</f>
        <v>1.4999999999999998</v>
      </c>
      <c r="ET197" s="72">
        <f t="shared" si="1156"/>
        <v>0.6888489208632933</v>
      </c>
      <c r="EU197" s="73">
        <f t="shared" ref="EU197" si="1164">+EU195-EU196</f>
        <v>1.4999999999999998</v>
      </c>
      <c r="EV197" s="72">
        <f t="shared" si="1158"/>
        <v>0.21223404255317746</v>
      </c>
      <c r="EW197" s="73">
        <f t="shared" ref="EW197" si="1165">+EW195-EW196</f>
        <v>1.4999999999999998</v>
      </c>
      <c r="EX197" s="72">
        <f t="shared" si="1160"/>
        <v>-7.7945638432364177</v>
      </c>
      <c r="EY197" s="72"/>
      <c r="EZ197" s="306"/>
      <c r="FA197" s="72"/>
      <c r="FB197" s="81"/>
      <c r="FC197" s="72"/>
      <c r="FD197" s="71"/>
      <c r="FE197" s="72"/>
      <c r="FF197" s="71"/>
      <c r="FG197" s="72"/>
      <c r="FH197" s="81"/>
      <c r="FI197" s="72"/>
      <c r="FJ197" s="81"/>
      <c r="FK197" s="72"/>
      <c r="FL197" s="81"/>
      <c r="FM197" s="72" t="str">
        <f>IF(ISERROR(FL197/FJ197),"NA",IF(OR(FL197/FJ197&gt;2,FL197/FJ197&lt;0.5),"NM",FL197/FJ197*100-100))</f>
        <v>NA</v>
      </c>
      <c r="FN197" s="81">
        <f>+FN195-FN196</f>
        <v>2.6216442953020134</v>
      </c>
      <c r="FO197" s="72" t="str">
        <f>IF(ISERROR(FN197/FL197),"NA",IF(OR(FN197/FL197&gt;2,FN197/FL197&lt;0.5),"NM",FN197/FL197*100-100))</f>
        <v>NA</v>
      </c>
      <c r="FP197" s="81">
        <f>+FP195-FP196</f>
        <v>2.9471713810316138</v>
      </c>
      <c r="FQ197" s="72">
        <f>IF(ISERROR(FP197/FN197),"NA",IF(OR(FP197/FN197&gt;2,FP197/FN197&lt;0.5),"NM",FP197/FN197*100-100))</f>
        <v>12.416905158069881</v>
      </c>
      <c r="FR197" s="73">
        <f>+FR195-FR196</f>
        <v>3.1271757942270595</v>
      </c>
      <c r="FS197" s="72">
        <f>IF(ISERROR(FR197/FP197),"NA",IF(OR(FR197/FP197&gt;2,FR197/FP197&lt;0.5),"NM",FR197/FP197*100-100))</f>
        <v>6.107700907859595</v>
      </c>
      <c r="FT197" s="73">
        <f>+FT195-FT196</f>
        <v>3.107131088755791</v>
      </c>
      <c r="FU197" s="72">
        <f>IF(ISERROR(FT197/FR197),"NA",IF(OR(FT197/FR197&gt;2,FT197/FR197&lt;0.5),"NM",FT197/FR197*100-100))</f>
        <v>-0.64098428710890687</v>
      </c>
      <c r="FV197" s="73">
        <f>+FV195-FV196</f>
        <v>2.8123824047850121</v>
      </c>
      <c r="FW197" s="72">
        <f>IF(ISERROR(FV197/FT197),"NA",IF(OR(FV197/FT197&gt;2,FV197/FT197&lt;0.5),"NM",FV197/FT197*100-100))</f>
        <v>-9.4862004708274839</v>
      </c>
      <c r="FX197" s="73">
        <f>+FX195-FX196</f>
        <v>2.7009324188949688</v>
      </c>
      <c r="FY197" s="72">
        <f>IF(ISERROR(FX197/FV197),"NA",IF(OR(FX197/FV197&gt;2,FX197/FV197&lt;0.5),"NM",FX197/FV197*100-100))</f>
        <v>-3.9628318574466022</v>
      </c>
      <c r="FZ197" s="73">
        <f>+FZ195-FZ196</f>
        <v>2.1874951311094839</v>
      </c>
      <c r="GA197" s="72">
        <f>IF(ISERROR(FZ197/FX197),"NA",IF(OR(FZ197/FX197&gt;2,FZ197/FX197&lt;0.5),"NM",FZ197/FX197*100-100))</f>
        <v>-19.009631051618356</v>
      </c>
      <c r="GB197" s="73">
        <f>+GB195-GB196</f>
        <v>1.6239496497907626</v>
      </c>
      <c r="GC197" s="72">
        <f>IF(ISERROR(GB197/FZ197),"NA",IF(OR(GB197/FZ197&gt;2,GB197/FZ197&lt;0.5),"NM",GB197/FZ197*100-100))</f>
        <v>-25.762136486808757</v>
      </c>
      <c r="GD197" s="73">
        <f>+GD195-GD196</f>
        <v>1.066214161982536</v>
      </c>
      <c r="GE197" s="72">
        <f>IF(ISERROR(GD197/GB197),"NA",IF(OR(GD197/GB197&gt;2,GD197/GB197&lt;0.5),"NM",GD197/GB197*100-100))</f>
        <v>-34.344383021979027</v>
      </c>
      <c r="GF197" s="73">
        <f>+GF195-GF196</f>
        <v>1.6987724394586421</v>
      </c>
      <c r="GG197" s="72">
        <f>IF(ISERROR(GF197/GD197),"NA",IF(OR(GF197/GD197&gt;2,GF197/GD197&lt;0.5),"NM",GF197/GD197*100-100))</f>
        <v>59.327506614610797</v>
      </c>
      <c r="GH197" s="73">
        <f>+GH195-GH196</f>
        <v>1.5213676165240673</v>
      </c>
      <c r="GI197" s="72">
        <f t="shared" si="1161"/>
        <v>-10.443118737616757</v>
      </c>
      <c r="GJ197" s="73">
        <f>+GJ195-GJ196</f>
        <v>1.4675157253672959</v>
      </c>
      <c r="GK197" s="72">
        <f t="shared" si="1161"/>
        <v>-3.5397027366606579</v>
      </c>
      <c r="GL197" s="73">
        <f>+GL195-GL196</f>
        <v>1.5214640956286538</v>
      </c>
      <c r="GM197" s="72">
        <f t="shared" si="1161"/>
        <v>3.6761698242010681</v>
      </c>
      <c r="GN197" s="73">
        <f>+GN195-GN196</f>
        <v>1.5296258972091394</v>
      </c>
      <c r="GO197" s="72">
        <f t="shared" si="1161"/>
        <v>0.53644391635236843</v>
      </c>
      <c r="GP197" s="73">
        <f>+GP195-GP196</f>
        <v>1.4811425236940141</v>
      </c>
      <c r="GQ197" s="72">
        <f t="shared" si="1161"/>
        <v>-3.1696229518331904</v>
      </c>
      <c r="GR197" s="73">
        <f>+GR195-GR196</f>
        <v>1.4611425236940143</v>
      </c>
      <c r="GS197" s="72">
        <f t="shared" si="1161"/>
        <v>-1.350308945969573</v>
      </c>
      <c r="GT197" s="73">
        <f>+GT195-GT196</f>
        <v>1.4411425236940145</v>
      </c>
      <c r="GU197" s="72">
        <f t="shared" si="1161"/>
        <v>-1.3687918649740141</v>
      </c>
      <c r="GV197" s="73">
        <f>+GV195-GV196</f>
        <v>1.4211425236940147</v>
      </c>
      <c r="GW197" s="72">
        <f>IF(ISERROR(GV197/GT197),"NA",IF(OR(GV197/GT197&gt;2,GV197/GT197&lt;0.5),"NM",GV197/GT197*100-100))</f>
        <v>-1.3877877913653407</v>
      </c>
      <c r="GX197" s="73">
        <f>+GX195-GX196</f>
        <v>1.4011425236940149</v>
      </c>
      <c r="GY197" s="72">
        <f>IF(ISERROR(GX197/GV197),"NA",IF(OR(GX197/GV197&gt;2,GX197/GV197&lt;0.5),"NM",GX197/GV197*100-100))</f>
        <v>-1.4073183840853147</v>
      </c>
      <c r="GZ197" s="72">
        <f>IF(ISERROR(((GX197/GN197)^0.2-1)*100),"NA",IF((((GX197/GN197)^0.2-1)*100)&gt;100,"NM",IF((((GX197/GN197)^0.2-1)*100)&lt;-50,"NM",((GX197/GN197)^0.2-1)*100)))</f>
        <v>-1.7393987547615897</v>
      </c>
      <c r="HA197" s="72"/>
      <c r="HB197" s="72"/>
      <c r="HC197"/>
      <c r="HD197"/>
      <c r="HE197"/>
      <c r="HF197"/>
      <c r="HG197"/>
      <c r="HH197"/>
      <c r="HI197" s="2"/>
    </row>
    <row r="198" spans="2:217" s="3" customFormat="1" ht="12.75" customHeight="1" x14ac:dyDescent="0.2">
      <c r="B198" s="10"/>
      <c r="C198" s="75"/>
      <c r="D198" s="72"/>
      <c r="E198" s="75"/>
      <c r="F198" s="72"/>
      <c r="G198" s="75"/>
      <c r="H198" s="72"/>
      <c r="I198" s="75"/>
      <c r="J198" s="72"/>
      <c r="K198" s="75"/>
      <c r="L198" s="72"/>
      <c r="M198" s="75"/>
      <c r="N198" s="72"/>
      <c r="O198" s="75"/>
      <c r="P198" s="72"/>
      <c r="Q198" s="75"/>
      <c r="R198" s="72"/>
      <c r="S198" s="75"/>
      <c r="T198" s="72"/>
      <c r="U198" s="75"/>
      <c r="V198" s="72"/>
      <c r="W198" s="75"/>
      <c r="X198" s="72"/>
      <c r="Y198" s="75"/>
      <c r="Z198" s="72"/>
      <c r="AA198" s="75"/>
      <c r="AB198" s="72"/>
      <c r="AC198" s="75"/>
      <c r="AD198" s="72"/>
      <c r="AE198" s="75"/>
      <c r="AF198" s="72"/>
      <c r="AG198" s="75"/>
      <c r="AH198" s="72"/>
      <c r="AI198" s="75"/>
      <c r="AJ198" s="72"/>
      <c r="AK198" s="75"/>
      <c r="AL198" s="72"/>
      <c r="AM198" s="75"/>
      <c r="AN198" s="72"/>
      <c r="AO198" s="75"/>
      <c r="AP198" s="72"/>
      <c r="AQ198" s="75"/>
      <c r="AR198" s="72"/>
      <c r="AS198" s="75"/>
      <c r="AT198" s="72"/>
      <c r="AU198" s="75"/>
      <c r="AV198" s="72"/>
      <c r="AW198" s="75"/>
      <c r="AX198" s="72"/>
      <c r="AY198" s="75"/>
      <c r="AZ198" s="72"/>
      <c r="BA198" s="75"/>
      <c r="BB198" s="72"/>
      <c r="BC198" s="75"/>
      <c r="BD198" s="72"/>
      <c r="BE198" s="75"/>
      <c r="BF198" s="72"/>
      <c r="BG198" s="75"/>
      <c r="BH198" s="72"/>
      <c r="BI198" s="75"/>
      <c r="BJ198" s="72"/>
      <c r="BK198" s="75"/>
      <c r="BL198" s="72"/>
      <c r="BM198" s="75"/>
      <c r="BN198" s="72"/>
      <c r="BO198" s="75"/>
      <c r="BP198" s="72"/>
      <c r="BQ198" s="75"/>
      <c r="BR198" s="72"/>
      <c r="BS198" s="75"/>
      <c r="BT198" s="72"/>
      <c r="BU198" s="75"/>
      <c r="BV198" s="72"/>
      <c r="BW198" s="75"/>
      <c r="BX198" s="72"/>
      <c r="BY198" s="75"/>
      <c r="BZ198" s="72"/>
      <c r="CA198" s="75"/>
      <c r="CB198" s="72"/>
      <c r="CC198" s="75"/>
      <c r="CD198" s="72"/>
      <c r="CE198" s="75"/>
      <c r="CF198" s="72"/>
      <c r="CG198" s="75"/>
      <c r="CH198" s="72"/>
      <c r="CI198" s="75"/>
      <c r="CJ198" s="72"/>
      <c r="CK198" s="75"/>
      <c r="CL198" s="72"/>
      <c r="CM198" s="75"/>
      <c r="CN198" s="72"/>
      <c r="CO198" s="75"/>
      <c r="CP198" s="72"/>
      <c r="CQ198" s="75"/>
      <c r="CR198" s="72"/>
      <c r="CS198" s="75"/>
      <c r="CT198" s="72"/>
      <c r="CU198" s="75"/>
      <c r="CV198" s="72"/>
      <c r="CW198" s="75"/>
      <c r="CX198" s="72"/>
      <c r="CY198" s="75"/>
      <c r="CZ198" s="72"/>
      <c r="DA198" s="75"/>
      <c r="DB198" s="72"/>
      <c r="DC198" s="75"/>
      <c r="DD198" s="72"/>
      <c r="DE198" s="75"/>
      <c r="DF198" s="72"/>
      <c r="DG198" s="75"/>
      <c r="DH198" s="72"/>
      <c r="DI198" s="75"/>
      <c r="DJ198" s="72"/>
      <c r="DK198" s="75"/>
      <c r="DL198" s="72"/>
      <c r="DM198" s="75"/>
      <c r="DN198" s="72"/>
      <c r="DO198" s="75"/>
      <c r="DP198" s="72"/>
      <c r="DQ198" s="75"/>
      <c r="DR198" s="72"/>
      <c r="DS198" s="75"/>
      <c r="DT198" s="72"/>
      <c r="DU198" s="75"/>
      <c r="DV198" s="72"/>
      <c r="DW198" s="75"/>
      <c r="DX198" s="72"/>
      <c r="DY198" s="75"/>
      <c r="DZ198" s="72"/>
      <c r="EA198" s="75"/>
      <c r="EB198" s="72"/>
      <c r="EC198" s="75"/>
      <c r="ED198" s="72"/>
      <c r="EE198" s="75"/>
      <c r="EF198" s="72"/>
      <c r="EG198" s="75"/>
      <c r="EH198" s="72"/>
      <c r="EI198" s="75"/>
      <c r="EJ198" s="72"/>
      <c r="EK198" s="75"/>
      <c r="EL198" s="72"/>
      <c r="EM198" s="75"/>
      <c r="EN198" s="72"/>
      <c r="EO198" s="75"/>
      <c r="EP198" s="72"/>
      <c r="EQ198" s="75"/>
      <c r="ER198" s="72"/>
      <c r="ES198" s="75"/>
      <c r="ET198" s="72"/>
      <c r="EU198" s="75"/>
      <c r="EV198" s="72"/>
      <c r="EW198" s="75"/>
      <c r="EX198" s="72"/>
      <c r="EY198" s="72"/>
      <c r="EZ198" s="309"/>
      <c r="FA198" s="72"/>
      <c r="FB198" s="81"/>
      <c r="FC198" s="72"/>
      <c r="FD198" s="81"/>
      <c r="FE198" s="72"/>
      <c r="FF198" s="81"/>
      <c r="FG198" s="72"/>
      <c r="FH198" s="81"/>
      <c r="FI198" s="72"/>
      <c r="FJ198" s="81"/>
      <c r="FK198" s="72"/>
      <c r="FL198" s="81"/>
      <c r="FM198" s="72"/>
      <c r="FN198" s="81"/>
      <c r="FO198" s="72"/>
      <c r="FP198" s="75"/>
      <c r="FQ198" s="72"/>
      <c r="FR198" s="75"/>
      <c r="FS198" s="72"/>
      <c r="FT198" s="75"/>
      <c r="FU198" s="72"/>
      <c r="FV198" s="75"/>
      <c r="FW198" s="72"/>
      <c r="FX198" s="75"/>
      <c r="FY198" s="72"/>
      <c r="FZ198" s="75"/>
      <c r="GA198" s="72"/>
      <c r="GB198" s="73"/>
      <c r="GC198" s="72"/>
      <c r="GD198" s="73"/>
      <c r="GE198" s="72"/>
      <c r="GF198" s="73"/>
      <c r="GG198" s="72"/>
      <c r="GH198" s="73"/>
      <c r="GI198" s="72"/>
      <c r="GJ198" s="73"/>
      <c r="GK198" s="72"/>
      <c r="GL198" s="73"/>
      <c r="GM198" s="72"/>
      <c r="GN198" s="73"/>
      <c r="GO198" s="72"/>
      <c r="GP198" s="73"/>
      <c r="GQ198" s="72"/>
      <c r="GR198" s="75"/>
      <c r="GS198" s="72"/>
      <c r="GT198" s="75"/>
      <c r="GU198" s="72"/>
      <c r="GV198" s="75"/>
      <c r="GW198" s="72"/>
      <c r="GX198" s="75"/>
      <c r="GY198" s="72"/>
      <c r="GZ198" s="72"/>
      <c r="HA198" s="72"/>
      <c r="HB198" s="72"/>
      <c r="HC198"/>
      <c r="HD198"/>
      <c r="HE198"/>
      <c r="HF198"/>
      <c r="HG198"/>
      <c r="HH198"/>
      <c r="HI198" s="2"/>
    </row>
    <row r="199" spans="2:217" s="3" customFormat="1" ht="12.75" customHeight="1" x14ac:dyDescent="0.2">
      <c r="B199" s="70" t="s">
        <v>669</v>
      </c>
      <c r="C199" s="75"/>
      <c r="D199" s="72"/>
      <c r="E199" s="75"/>
      <c r="F199" s="72"/>
      <c r="G199" s="75"/>
      <c r="H199" s="72"/>
      <c r="I199" s="75"/>
      <c r="J199" s="72"/>
      <c r="K199" s="75"/>
      <c r="L199" s="72"/>
      <c r="M199" s="75"/>
      <c r="N199" s="72"/>
      <c r="O199" s="75"/>
      <c r="P199" s="72"/>
      <c r="Q199" s="75"/>
      <c r="R199" s="72"/>
      <c r="S199" s="75"/>
      <c r="T199" s="72"/>
      <c r="U199" s="75"/>
      <c r="V199" s="72"/>
      <c r="W199" s="75"/>
      <c r="X199" s="72"/>
      <c r="Y199" s="75"/>
      <c r="Z199" s="72"/>
      <c r="AA199" s="75"/>
      <c r="AB199" s="72"/>
      <c r="AC199" s="75"/>
      <c r="AD199" s="72"/>
      <c r="AE199" s="75"/>
      <c r="AF199" s="72"/>
      <c r="AG199" s="75"/>
      <c r="AH199" s="72"/>
      <c r="AI199" s="75"/>
      <c r="AJ199" s="72"/>
      <c r="AK199" s="75"/>
      <c r="AL199" s="72"/>
      <c r="AM199" s="75"/>
      <c r="AN199" s="72"/>
      <c r="AO199" s="75"/>
      <c r="AP199" s="72"/>
      <c r="AQ199" s="75"/>
      <c r="AR199" s="72"/>
      <c r="AS199" s="75"/>
      <c r="AT199" s="72"/>
      <c r="AU199" s="75"/>
      <c r="AV199" s="72"/>
      <c r="AW199" s="75"/>
      <c r="AX199" s="72"/>
      <c r="AY199" s="75"/>
      <c r="AZ199" s="72"/>
      <c r="BA199" s="75"/>
      <c r="BB199" s="72"/>
      <c r="BC199" s="75"/>
      <c r="BD199" s="72"/>
      <c r="BE199" s="75"/>
      <c r="BF199" s="72"/>
      <c r="BG199" s="75"/>
      <c r="BH199" s="72"/>
      <c r="BI199" s="75"/>
      <c r="BJ199" s="72"/>
      <c r="BK199" s="75"/>
      <c r="BL199" s="72"/>
      <c r="BM199" s="75"/>
      <c r="BN199" s="72"/>
      <c r="BO199" s="75"/>
      <c r="BP199" s="72"/>
      <c r="BQ199" s="75"/>
      <c r="BR199" s="72"/>
      <c r="BS199" s="75"/>
      <c r="BT199" s="72"/>
      <c r="BU199" s="75"/>
      <c r="BV199" s="72"/>
      <c r="BW199" s="75"/>
      <c r="BX199" s="72"/>
      <c r="BY199" s="75"/>
      <c r="BZ199" s="72"/>
      <c r="CA199" s="75"/>
      <c r="CB199" s="72"/>
      <c r="CC199" s="75"/>
      <c r="CD199" s="72"/>
      <c r="CE199" s="75"/>
      <c r="CF199" s="72"/>
      <c r="CG199" s="75"/>
      <c r="CH199" s="72"/>
      <c r="CI199" s="75"/>
      <c r="CJ199" s="72"/>
      <c r="CK199" s="75"/>
      <c r="CL199" s="72"/>
      <c r="CM199" s="75"/>
      <c r="CN199" s="72"/>
      <c r="CO199" s="75"/>
      <c r="CP199" s="72"/>
      <c r="CQ199" s="75"/>
      <c r="CR199" s="72"/>
      <c r="CS199" s="75"/>
      <c r="CT199" s="72"/>
      <c r="CU199" s="75"/>
      <c r="CV199" s="72"/>
      <c r="CW199" s="75"/>
      <c r="CX199" s="72"/>
      <c r="CY199" s="75"/>
      <c r="CZ199" s="72"/>
      <c r="DA199" s="75"/>
      <c r="DB199" s="72"/>
      <c r="DC199" s="75"/>
      <c r="DD199" s="72"/>
      <c r="DE199" s="75"/>
      <c r="DF199" s="72"/>
      <c r="DG199" s="75"/>
      <c r="DH199" s="72"/>
      <c r="DI199" s="75"/>
      <c r="DJ199" s="72"/>
      <c r="DK199" s="75"/>
      <c r="DL199" s="72"/>
      <c r="DM199" s="75"/>
      <c r="DN199" s="72"/>
      <c r="DO199" s="75"/>
      <c r="DP199" s="72"/>
      <c r="DQ199" s="75"/>
      <c r="DR199" s="72"/>
      <c r="DS199" s="75"/>
      <c r="DT199" s="72"/>
      <c r="DU199" s="75"/>
      <c r="DV199" s="72"/>
      <c r="DW199" s="75"/>
      <c r="DX199" s="72"/>
      <c r="DY199" s="75"/>
      <c r="DZ199" s="72"/>
      <c r="EA199" s="75"/>
      <c r="EB199" s="72"/>
      <c r="EC199" s="75"/>
      <c r="ED199" s="72"/>
      <c r="EE199" s="75"/>
      <c r="EF199" s="72"/>
      <c r="EG199" s="75"/>
      <c r="EH199" s="72"/>
      <c r="EI199" s="75"/>
      <c r="EJ199" s="72"/>
      <c r="EK199" s="75"/>
      <c r="EL199" s="72"/>
      <c r="EM199" s="75"/>
      <c r="EN199" s="72"/>
      <c r="EO199" s="75"/>
      <c r="EP199" s="72"/>
      <c r="EQ199" s="75"/>
      <c r="ER199" s="72"/>
      <c r="ES199" s="75"/>
      <c r="ET199" s="72"/>
      <c r="EU199" s="75"/>
      <c r="EV199" s="72"/>
      <c r="EW199" s="75"/>
      <c r="EX199" s="72"/>
      <c r="EY199" s="72"/>
      <c r="EZ199" s="309"/>
      <c r="FA199" s="72"/>
      <c r="FB199" s="81"/>
      <c r="FC199" s="72"/>
      <c r="FD199" s="81"/>
      <c r="FE199" s="72"/>
      <c r="FF199" s="81"/>
      <c r="FG199" s="72"/>
      <c r="FH199" s="81"/>
      <c r="FI199" s="72"/>
      <c r="FJ199" s="81"/>
      <c r="FK199" s="72"/>
      <c r="FL199" s="81"/>
      <c r="FM199" s="72"/>
      <c r="FN199" s="81"/>
      <c r="FO199" s="72"/>
      <c r="FP199" s="75"/>
      <c r="FQ199" s="72"/>
      <c r="FR199" s="75"/>
      <c r="FS199" s="72"/>
      <c r="FT199" s="75"/>
      <c r="FU199" s="72"/>
      <c r="FV199" s="75"/>
      <c r="FW199" s="72"/>
      <c r="FX199" s="75"/>
      <c r="FY199" s="72"/>
      <c r="FZ199" s="75"/>
      <c r="GA199" s="72"/>
      <c r="GB199" s="73"/>
      <c r="GC199" s="72"/>
      <c r="GD199" s="73"/>
      <c r="GE199" s="72"/>
      <c r="GF199" s="73"/>
      <c r="GG199" s="72"/>
      <c r="GH199" s="73"/>
      <c r="GI199" s="72"/>
      <c r="GJ199" s="73"/>
      <c r="GK199" s="72"/>
      <c r="GL199" s="73"/>
      <c r="GM199" s="72"/>
      <c r="GN199" s="73"/>
      <c r="GO199" s="72"/>
      <c r="GP199" s="73"/>
      <c r="GQ199" s="72"/>
      <c r="GR199" s="75"/>
      <c r="GS199" s="72"/>
      <c r="GT199" s="75"/>
      <c r="GU199" s="72"/>
      <c r="GV199" s="75"/>
      <c r="GW199" s="72"/>
      <c r="GX199" s="75"/>
      <c r="GY199" s="72"/>
      <c r="GZ199" s="72"/>
      <c r="HA199" s="72"/>
      <c r="HB199" s="72"/>
      <c r="HC199"/>
      <c r="HD199"/>
      <c r="HE199"/>
      <c r="HF199"/>
      <c r="HG199"/>
      <c r="HH199"/>
      <c r="HI199" s="2"/>
    </row>
    <row r="200" spans="2:217" s="3" customFormat="1" ht="12.75" customHeight="1" x14ac:dyDescent="0.2">
      <c r="B200" s="77" t="s">
        <v>433</v>
      </c>
      <c r="C200" s="74"/>
      <c r="D200" s="72"/>
      <c r="E200" s="74"/>
      <c r="F200" s="72"/>
      <c r="G200" s="74"/>
      <c r="H200" s="72"/>
      <c r="I200" s="74"/>
      <c r="J200" s="72"/>
      <c r="K200" s="74">
        <v>249</v>
      </c>
      <c r="L200" s="72" t="str">
        <f t="shared" ref="L200:L205" si="1166">IF(ISERROR(K200/C200),"NA",IF(OR(K200/C200&gt;2,K200/C200&lt;0.5),"NM",K200/C200*100-100))</f>
        <v>NA</v>
      </c>
      <c r="M200" s="74">
        <v>213</v>
      </c>
      <c r="N200" s="72" t="str">
        <f t="shared" ref="N200:N205" si="1167">IF(ISERROR(M200/E200),"NA",IF(OR(M200/E200&gt;2,M200/E200&lt;0.5),"NM",M200/E200*100-100))</f>
        <v>NA</v>
      </c>
      <c r="O200" s="74">
        <v>231</v>
      </c>
      <c r="P200" s="72" t="str">
        <f t="shared" ref="P200:P205" si="1168">IF(ISERROR(O200/G200),"NA",IF(OR(O200/G200&gt;2,O200/G200&lt;0.5),"NM",O200/G200*100-100))</f>
        <v>NA</v>
      </c>
      <c r="Q200" s="74">
        <v>220</v>
      </c>
      <c r="R200" s="72" t="str">
        <f t="shared" ref="R200:AP205" si="1169">IF(ISERROR(Q200/I200),"NA",IF(OR(Q200/I200&gt;2,Q200/I200&lt;0.5),"NM",Q200/I200*100-100))</f>
        <v>NA</v>
      </c>
      <c r="S200" s="74">
        <v>197</v>
      </c>
      <c r="T200" s="72">
        <f t="shared" si="1169"/>
        <v>-20.883534136546189</v>
      </c>
      <c r="U200" s="74">
        <v>231</v>
      </c>
      <c r="V200" s="72">
        <f t="shared" si="1169"/>
        <v>8.4507042253521263</v>
      </c>
      <c r="W200" s="74">
        <v>220</v>
      </c>
      <c r="X200" s="72">
        <f t="shared" si="1169"/>
        <v>-4.7619047619047734</v>
      </c>
      <c r="Y200" s="74">
        <v>232</v>
      </c>
      <c r="Z200" s="72">
        <f t="shared" si="1169"/>
        <v>5.454545454545439</v>
      </c>
      <c r="AA200" s="74">
        <v>210</v>
      </c>
      <c r="AB200" s="72">
        <f t="shared" si="1169"/>
        <v>6.5989847715736119</v>
      </c>
      <c r="AC200" s="74">
        <v>204</v>
      </c>
      <c r="AD200" s="72">
        <f t="shared" si="1169"/>
        <v>-11.688311688311686</v>
      </c>
      <c r="AE200" s="74">
        <v>187</v>
      </c>
      <c r="AF200" s="72">
        <f t="shared" si="1169"/>
        <v>-15</v>
      </c>
      <c r="AG200" s="74">
        <v>190</v>
      </c>
      <c r="AH200" s="72">
        <f t="shared" si="1169"/>
        <v>-18.103448275862064</v>
      </c>
      <c r="AI200" s="74">
        <v>208</v>
      </c>
      <c r="AJ200" s="72">
        <f t="shared" si="1169"/>
        <v>-0.952380952380949</v>
      </c>
      <c r="AK200" s="74">
        <v>208</v>
      </c>
      <c r="AL200" s="72">
        <f t="shared" si="1169"/>
        <v>1.9607843137254832</v>
      </c>
      <c r="AM200" s="74">
        <v>237</v>
      </c>
      <c r="AN200" s="72">
        <f t="shared" si="1169"/>
        <v>26.737967914438499</v>
      </c>
      <c r="AO200" s="74">
        <v>209</v>
      </c>
      <c r="AP200" s="72">
        <f t="shared" si="1169"/>
        <v>10.000000000000014</v>
      </c>
      <c r="AQ200" s="74">
        <v>215</v>
      </c>
      <c r="AR200" s="72">
        <f t="shared" ref="AR200:AR205" si="1170">IF(ISERROR(AQ200/AI200),"NA",IF(OR(AQ200/AI200&gt;2,AQ200/AI200&lt;0.5),"NM",AQ200/AI200*100-100))</f>
        <v>3.3653846153846274</v>
      </c>
      <c r="AS200" s="74">
        <v>272</v>
      </c>
      <c r="AT200" s="72">
        <f t="shared" ref="AT200:AT205" si="1171">IF(ISERROR(AS200/AK200),"NA",IF(OR(AS200/AK200&gt;2,AS200/AK200&lt;0.5),"NM",AS200/AK200*100-100))</f>
        <v>30.769230769230774</v>
      </c>
      <c r="AU200" s="74">
        <v>296</v>
      </c>
      <c r="AV200" s="72">
        <f t="shared" ref="AV200:AV205" si="1172">IF(ISERROR(AU200/AM200),"NA",IF(OR(AU200/AM200&gt;2,AU200/AM200&lt;0.5),"NM",AU200/AM200*100-100))</f>
        <v>24.894514767932492</v>
      </c>
      <c r="AW200" s="74">
        <v>266</v>
      </c>
      <c r="AX200" s="72">
        <f t="shared" ref="AX200:AX205" si="1173">IF(ISERROR(AW200/AO200),"NA",IF(OR(AW200/AO200&gt;2,AW200/AO200&lt;0.5),"NM",AW200/AO200*100-100))</f>
        <v>27.272727272727266</v>
      </c>
      <c r="AY200" s="74">
        <v>269</v>
      </c>
      <c r="AZ200" s="72">
        <f t="shared" ref="AZ200:AZ205" si="1174">IF(ISERROR(AY200/AQ200),"NA",IF(OR(AY200/AQ200&gt;2,AY200/AQ200&lt;0.5),"NM",AY200/AQ200*100-100))</f>
        <v>25.11627906976743</v>
      </c>
      <c r="BA200" s="74">
        <v>235</v>
      </c>
      <c r="BB200" s="72">
        <f t="shared" ref="BB200:BB205" si="1175">IF(ISERROR(BA200/AS200),"NA",IF(OR(BA200/AS200&gt;2,BA200/AS200&lt;0.5),"NM",BA200/AS200*100-100))</f>
        <v>-13.60294117647058</v>
      </c>
      <c r="BC200" s="74">
        <v>297</v>
      </c>
      <c r="BD200" s="72">
        <f t="shared" ref="BD200:BD205" si="1176">IF(ISERROR(BC200/AU200),"NA",IF(OR(BC200/AU200&gt;2,BC200/AU200&lt;0.5),"NM",BC200/AU200*100-100))</f>
        <v>0.3378378378378244</v>
      </c>
      <c r="BE200" s="74">
        <v>303</v>
      </c>
      <c r="BF200" s="72">
        <f t="shared" ref="BF200:BF205" si="1177">IF(ISERROR(BE200/AW200),"NA",IF(OR(BE200/AW200&gt;2,BE200/AW200&lt;0.5),"NM",BE200/AW200*100-100))</f>
        <v>13.909774436090231</v>
      </c>
      <c r="BG200" s="74">
        <v>302</v>
      </c>
      <c r="BH200" s="72">
        <f t="shared" ref="BH200:BH205" si="1178">IF(ISERROR(BG200/AY200),"NA",IF(OR(BG200/AY200&gt;2,BG200/AY200&lt;0.5),"NM",BG200/AY200*100-100))</f>
        <v>12.267657992565063</v>
      </c>
      <c r="BI200" s="74">
        <v>276</v>
      </c>
      <c r="BJ200" s="72">
        <f t="shared" ref="BJ200:BJ205" si="1179">IF(ISERROR(BI200/BA200),"NA",IF(OR(BI200/BA200&gt;2,BI200/BA200&lt;0.5),"NM",BI200/BA200*100-100))</f>
        <v>17.446808510638292</v>
      </c>
      <c r="BK200" s="74">
        <v>290</v>
      </c>
      <c r="BL200" s="72">
        <f t="shared" ref="BL200:BL205" si="1180">IF(ISERROR(BK200/BC200),"NA",IF(OR(BK200/BC200&gt;2,BK200/BC200&lt;0.5),"NM",BK200/BC200*100-100))</f>
        <v>-2.3569023569023528</v>
      </c>
      <c r="BM200" s="74">
        <v>277</v>
      </c>
      <c r="BN200" s="72">
        <f t="shared" ref="BN200:BN205" si="1181">IF(ISERROR(BM200/BE200),"NA",IF(OR(BM200/BE200&gt;2,BM200/BE200&lt;0.5),"NM",BM200/BE200*100-100))</f>
        <v>-8.5808580858085861</v>
      </c>
      <c r="BO200" s="74">
        <v>392</v>
      </c>
      <c r="BP200" s="72">
        <f t="shared" ref="BP200:BP205" si="1182">IF(ISERROR(BO200/BG200),"NA",IF(OR(BO200/BG200&gt;2,BO200/BG200&lt;0.5),"NM",BO200/BG200*100-100))</f>
        <v>29.801324503311264</v>
      </c>
      <c r="BQ200" s="74">
        <v>340</v>
      </c>
      <c r="BR200" s="72">
        <f t="shared" ref="BR200:BR205" si="1183">IF(ISERROR(BQ200/BI200),"NA",IF(OR(BQ200/BI200&gt;2,BQ200/BI200&lt;0.5),"NM",BQ200/BI200*100-100))</f>
        <v>23.188405797101439</v>
      </c>
      <c r="BS200" s="74">
        <v>249</v>
      </c>
      <c r="BT200" s="72">
        <f t="shared" ref="BT200:BT205" si="1184">IF(ISERROR(BS200/BK200),"NA",IF(OR(BS200/BK200&gt;2,BS200/BK200&lt;0.5),"NM",BS200/BK200*100-100))</f>
        <v>-14.137931034482747</v>
      </c>
      <c r="BU200" s="74">
        <v>340</v>
      </c>
      <c r="BV200" s="72">
        <f t="shared" ref="BV200:BV205" si="1185">IF(ISERROR(BU200/BM200),"NA",IF(OR(BU200/BM200&gt;2,BU200/BM200&lt;0.5),"NM",BU200/BM200*100-100))</f>
        <v>22.74368231046931</v>
      </c>
      <c r="BW200" s="74">
        <v>338</v>
      </c>
      <c r="BX200" s="72">
        <f t="shared" ref="BX200:BX205" si="1186">IF(ISERROR(BW200/BO200),"NA",IF(OR(BW200/BO200&gt;2,BW200/BO200&lt;0.5),"NM",BW200/BO200*100-100))</f>
        <v>-13.775510204081627</v>
      </c>
      <c r="BY200" s="74">
        <v>436</v>
      </c>
      <c r="BZ200" s="72">
        <f t="shared" ref="BZ200:BZ205" si="1187">IF(ISERROR(BY200/BQ200),"NA",IF(OR(BY200/BQ200&gt;2,BY200/BQ200&lt;0.5),"NM",BY200/BQ200*100-100))</f>
        <v>28.235294117647072</v>
      </c>
      <c r="CA200" s="74">
        <v>295</v>
      </c>
      <c r="CB200" s="72">
        <f t="shared" ref="CB200:CB205" si="1188">IF(ISERROR(CA200/BS200),"NA",IF(OR(CA200/BS200&gt;2,CA200/BS200&lt;0.5),"NM",CA200/BS200*100-100))</f>
        <v>18.47389558232932</v>
      </c>
      <c r="CC200" s="74">
        <v>311</v>
      </c>
      <c r="CD200" s="72">
        <f t="shared" ref="CD200:CD205" si="1189">IF(ISERROR(CC200/BU200),"NA",IF(OR(CC200/BU200&gt;2,CC200/BU200&lt;0.5),"NM",CC200/BU200*100-100))</f>
        <v>-8.529411764705884</v>
      </c>
      <c r="CE200" s="74">
        <v>296</v>
      </c>
      <c r="CF200" s="72">
        <f t="shared" ref="CF200:CF205" si="1190">IF(ISERROR(CE200/BW200),"NA",IF(OR(CE200/BW200&gt;2,CE200/BW200&lt;0.5),"NM",CE200/BW200*100-100))</f>
        <v>-12.42603550295857</v>
      </c>
      <c r="CG200" s="74">
        <v>541</v>
      </c>
      <c r="CH200" s="72">
        <f t="shared" ref="CH200:CH205" si="1191">IF(ISERROR(CG200/BY200),"NA",IF(OR(CG200/BY200&gt;2,CG200/BY200&lt;0.5),"NM",CG200/BY200*100-100))</f>
        <v>24.082568807339456</v>
      </c>
      <c r="CI200" s="74">
        <v>556</v>
      </c>
      <c r="CJ200" s="72">
        <f t="shared" ref="CJ200:CT205" si="1192">IF(ISERROR(CI200/CA200),"NA",IF(OR(CI200/CA200&gt;2,CI200/CA200&lt;0.5),"NM",CI200/CA200*100-100))</f>
        <v>88.474576271186436</v>
      </c>
      <c r="CK200" s="74">
        <v>455</v>
      </c>
      <c r="CL200" s="72">
        <f t="shared" si="1192"/>
        <v>46.302250803858527</v>
      </c>
      <c r="CM200" s="74">
        <v>366</v>
      </c>
      <c r="CN200" s="72">
        <f t="shared" si="1192"/>
        <v>23.648648648648646</v>
      </c>
      <c r="CO200" s="74">
        <v>420</v>
      </c>
      <c r="CP200" s="72">
        <f t="shared" si="1192"/>
        <v>-22.365988909426989</v>
      </c>
      <c r="CQ200" s="74">
        <v>367</v>
      </c>
      <c r="CR200" s="72">
        <f t="shared" si="1192"/>
        <v>-33.992805755395679</v>
      </c>
      <c r="CS200" s="74">
        <v>441</v>
      </c>
      <c r="CT200" s="72">
        <f t="shared" si="1192"/>
        <v>-3.0769230769230802</v>
      </c>
      <c r="CU200" s="74">
        <v>296</v>
      </c>
      <c r="CV200" s="72">
        <f t="shared" ref="CV200:CV205" si="1193">IF(ISERROR(CU200/CM200),"NA",IF(OR(CU200/CM200&gt;2,CU200/CM200&lt;0.5),"NM",CU200/CM200*100-100))</f>
        <v>-19.125683060109282</v>
      </c>
      <c r="CW200" s="74">
        <v>433</v>
      </c>
      <c r="CX200" s="72">
        <f t="shared" ref="CX200:CX205" si="1194">IF(ISERROR(CW200/CO200),"NA",IF(OR(CW200/CO200&gt;2,CW200/CO200&lt;0.5),"NM",CW200/CO200*100-100))</f>
        <v>3.0952380952380878</v>
      </c>
      <c r="CY200" s="74">
        <v>351</v>
      </c>
      <c r="CZ200" s="72">
        <f t="shared" ref="CZ200:CZ205" si="1195">IF(ISERROR(CY200/CQ200),"NA",IF(OR(CY200/CQ200&gt;2,CY200/CQ200&lt;0.5),"NM",CY200/CQ200*100-100))</f>
        <v>-4.3596730245231612</v>
      </c>
      <c r="DA200" s="74">
        <v>32237</v>
      </c>
      <c r="DB200" s="72" t="str">
        <f t="shared" ref="DB200:DB205" si="1196">IF(ISERROR(DA200/CS200),"NA",IF(OR(DA200/CS200&gt;2,DA200/CS200&lt;0.5),"NM",DA200/CS200*100-100))</f>
        <v>NM</v>
      </c>
      <c r="DC200" s="74">
        <v>482</v>
      </c>
      <c r="DD200" s="72">
        <f t="shared" ref="DD200:DD205" si="1197">IF(ISERROR(DC200/CU200),"NA",IF(OR(DC200/CU200&gt;2,DC200/CU200&lt;0.5),"NM",DC200/CU200*100-100))</f>
        <v>62.837837837837839</v>
      </c>
      <c r="DE200" s="74">
        <v>610</v>
      </c>
      <c r="DF200" s="72">
        <f t="shared" ref="DF200:DF205" si="1198">IF(ISERROR(DE200/CW200),"NA",IF(OR(DE200/CW200&gt;2,DE200/CW200&lt;0.5),"NM",DE200/CW200*100-100))</f>
        <v>40.877598152424923</v>
      </c>
      <c r="DG200" s="74">
        <v>666</v>
      </c>
      <c r="DH200" s="72">
        <f t="shared" ref="DH200:DH205" si="1199">IF(ISERROR(DG200/CY200),"NA",IF(OR(DG200/CY200&gt;2,DG200/CY200&lt;0.5),"NM",DG200/CY200*100-100))</f>
        <v>89.743589743589723</v>
      </c>
      <c r="DI200" s="74">
        <v>703</v>
      </c>
      <c r="DJ200" s="72" t="str">
        <f t="shared" ref="DJ200:DJ205" si="1200">IF(ISERROR(DI200/DA200),"NA",IF(OR(DI200/DA200&gt;2,DI200/DA200&lt;0.5),"NM",DI200/DA200*100-100))</f>
        <v>NM</v>
      </c>
      <c r="DK200" s="74">
        <v>545</v>
      </c>
      <c r="DL200" s="72">
        <f t="shared" ref="DL200:DL205" si="1201">IF(ISERROR(DK200/DC200),"NA",IF(OR(DK200/DC200&gt;2,DK200/DC200&lt;0.5),"NM",DK200/DC200*100-100))</f>
        <v>13.07053941908714</v>
      </c>
      <c r="DM200" s="74">
        <v>552</v>
      </c>
      <c r="DN200" s="72">
        <f t="shared" ref="DN200:DZ205" si="1202">IF(ISERROR(DM200/DE200),"NA",IF(OR(DM200/DE200&gt;2,DM200/DE200&lt;0.5),"NM",DM200/DE200*100-100))</f>
        <v>-9.508196721311478</v>
      </c>
      <c r="DO200" s="74">
        <v>1514</v>
      </c>
      <c r="DP200" s="72" t="str">
        <f t="shared" si="1202"/>
        <v>NM</v>
      </c>
      <c r="DQ200" s="74">
        <v>5725</v>
      </c>
      <c r="DR200" s="72" t="str">
        <f t="shared" si="1202"/>
        <v>NM</v>
      </c>
      <c r="DS200" s="74">
        <v>1568</v>
      </c>
      <c r="DT200" s="72" t="str">
        <f t="shared" si="1202"/>
        <v>NM</v>
      </c>
      <c r="DU200" s="74">
        <v>2297</v>
      </c>
      <c r="DV200" s="72" t="str">
        <f t="shared" si="1202"/>
        <v>NM</v>
      </c>
      <c r="DW200" s="74">
        <v>1062</v>
      </c>
      <c r="DX200" s="72">
        <f t="shared" si="1202"/>
        <v>-29.854689564068693</v>
      </c>
      <c r="DY200" s="74">
        <v>3423</v>
      </c>
      <c r="DZ200" s="72">
        <f t="shared" si="1202"/>
        <v>-40.209606986899558</v>
      </c>
      <c r="EA200" s="74">
        <v>1060</v>
      </c>
      <c r="EB200" s="72">
        <f t="shared" ref="EB200:EB205" si="1203">IF(ISERROR(EA200/DS200),"NA",IF(OR(EA200/DS200&gt;2,EA200/DS200&lt;0.5),"NM",EA200/DS200*100-100))</f>
        <v>-32.397959183673478</v>
      </c>
      <c r="EC200" s="74">
        <v>1403</v>
      </c>
      <c r="ED200" s="72">
        <f t="shared" ref="ED200:ED205" si="1204">IF(ISERROR(EC200/DU200),"NA",IF(OR(EC200/DU200&gt;2,EC200/DU200&lt;0.5),"NM",EC200/DU200*100-100))</f>
        <v>-38.920330866347406</v>
      </c>
      <c r="EE200" s="74">
        <v>4205</v>
      </c>
      <c r="EF200" s="72" t="str">
        <f t="shared" ref="EF200:EF205" si="1205">IF(ISERROR(EE200/DW200),"NA",IF(OR(EE200/DW200&gt;2,EE200/DW200&lt;0.5),"NM",EE200/DW200*100-100))</f>
        <v>NM</v>
      </c>
      <c r="EG200" s="74">
        <v>2660</v>
      </c>
      <c r="EH200" s="72">
        <f t="shared" ref="EH200:EH205" si="1206">IF(ISERROR(EG200/DY200),"NA",IF(OR(EG200/DY200&gt;2,EG200/DY200&lt;0.5),"NM",EG200/DY200*100-100))</f>
        <v>-22.290388548057265</v>
      </c>
      <c r="EI200" s="74">
        <v>917</v>
      </c>
      <c r="EJ200" s="72">
        <f t="shared" ref="EJ200:EJ205" si="1207">IF(ISERROR(EI200/EA200),"NA",IF(OR(EI200/EA200&gt;2,EI200/EA200&lt;0.5),"NM",EI200/EA200*100-100))</f>
        <v>-13.490566037735846</v>
      </c>
      <c r="EK200" s="74">
        <v>2649</v>
      </c>
      <c r="EL200" s="72">
        <f t="shared" ref="EL200:EL205" si="1208">IF(ISERROR(EK200/EC200),"NA",IF(OR(EK200/EC200&gt;2,EK200/EC200&lt;0.5),"NM",EK200/EC200*100-100))</f>
        <v>88.809693513898793</v>
      </c>
      <c r="EM200" s="74">
        <v>2378</v>
      </c>
      <c r="EN200" s="72">
        <f t="shared" ref="EN200:EN205" si="1209">IF(ISERROR(EM200/EE200),"NA",IF(OR(EM200/EE200&gt;2,EM200/EE200&lt;0.5),"NM",EM200/EE200*100-100))</f>
        <v>-43.448275862068961</v>
      </c>
      <c r="EO200" s="74">
        <v>4091</v>
      </c>
      <c r="EP200" s="72">
        <f t="shared" ref="EP200:EP205" si="1210">IF(ISERROR(EO200/EG200),"NA",IF(OR(EO200/EG200&gt;2,EO200/EG200&lt;0.5),"NM",EO200/EG200*100-100))</f>
        <v>53.796992481203006</v>
      </c>
      <c r="EQ200" s="75">
        <f t="shared" ref="EQ200" si="1211">+EQ191*EQ208/100</f>
        <v>2391.75458672786</v>
      </c>
      <c r="ER200" s="72" t="str">
        <f t="shared" ref="ER200:ER205" si="1212">IF(ISERROR(EQ200/EI200),"NA",IF(OR(EQ200/EI200&gt;2,EQ200/EI200&lt;0.5),"NM",EQ200/EI200*100-100))</f>
        <v>NM</v>
      </c>
      <c r="ES200" s="75">
        <f t="shared" ref="ES200" si="1213">+ES191*ES208/100</f>
        <v>2439.1790446163418</v>
      </c>
      <c r="ET200" s="72">
        <f t="shared" ref="ET200:ET205" si="1214">IF(ISERROR(ES200/EK200),"NA",IF(OR(ES200/EK200&gt;2,ES200/EK200&lt;0.5),"NM",ES200/EK200*100-100))</f>
        <v>-7.9207608676352663</v>
      </c>
      <c r="EU200" s="75">
        <f t="shared" ref="EU200" si="1215">+EU191*EU208/100</f>
        <v>2486.5554111399933</v>
      </c>
      <c r="EV200" s="72">
        <f t="shared" ref="EV200:EV205" si="1216">IF(ISERROR(EU200/EM200),"NA",IF(OR(EU200/EM200&gt;2,EU200/EM200&lt;0.5),"NM",EU200/EM200*100-100))</f>
        <v>4.564987852817211</v>
      </c>
      <c r="EW200" s="75">
        <f t="shared" ref="EW200" si="1217">+EW191*EW208/100</f>
        <v>2524.2966611573543</v>
      </c>
      <c r="EX200" s="72">
        <f t="shared" ref="EX200:EX205" si="1218">IF(ISERROR(EW200/EO200),"NA",IF(OR(EW200/EO200&gt;2,EW200/EO200&lt;0.5),"NM",EW200/EO200*100-100))</f>
        <v>-38.296341697449179</v>
      </c>
      <c r="EY200" s="72"/>
      <c r="EZ200" s="309"/>
      <c r="FA200" s="72"/>
      <c r="FB200" s="81"/>
      <c r="FC200" s="72"/>
      <c r="FD200" s="74">
        <v>997</v>
      </c>
      <c r="FE200" s="72" t="str">
        <f t="shared" ref="FE200:FE205" si="1219">IF(ISERROR(FD200/FB200),"NA",IF(OR(FD200/FB200&gt;2,FD200/FB200&lt;0.5),"NM",FD200/FB200*100-100))</f>
        <v>NA</v>
      </c>
      <c r="FF200" s="74">
        <v>930</v>
      </c>
      <c r="FG200" s="72">
        <f t="shared" ref="FG200:FG205" si="1220">IF(ISERROR(FF200/FD200),"NA",IF(OR(FF200/FD200&gt;2,FF200/FD200&lt;0.5),"NM",FF200/FD200*100-100))</f>
        <v>-6.7201604814443385</v>
      </c>
      <c r="FH200" s="75">
        <f>+K200+M200+O200+Q200</f>
        <v>913</v>
      </c>
      <c r="FI200" s="72">
        <f t="shared" ref="FI200:FI205" si="1221">IF(ISERROR(FH200/FF200),"NA",IF(OR(FH200/FF200&gt;2,FH200/FF200&lt;0.5),"NM",FH200/FF200*100-100))</f>
        <v>-1.827956989247312</v>
      </c>
      <c r="FJ200" s="75">
        <f>+S200+U200+W200+Y200</f>
        <v>880</v>
      </c>
      <c r="FK200" s="72">
        <f t="shared" ref="FK200:FK205" si="1222">IF(ISERROR(FJ200/FH200),"NA",IF(OR(FJ200/FH200&gt;2,FJ200/FH200&lt;0.5),"NM",FJ200/FH200*100-100))</f>
        <v>-3.6144578313252964</v>
      </c>
      <c r="FL200" s="75">
        <f>+AA200+AC200+AE200+AG200</f>
        <v>791</v>
      </c>
      <c r="FM200" s="72">
        <f t="shared" ref="FM200:FM205" si="1223">IF(ISERROR(FL200/FJ200),"NA",IF(OR(FL200/FJ200&gt;2,FL200/FJ200&lt;0.5),"NM",FL200/FJ200*100-100))</f>
        <v>-10.113636363636374</v>
      </c>
      <c r="FN200" s="75">
        <f>+AI200+AK200+AM200+AO200</f>
        <v>862</v>
      </c>
      <c r="FO200" s="72">
        <f t="shared" ref="FO200:FO205" si="1224">IF(ISERROR(FN200/FL200),"NA",IF(OR(FN200/FL200&gt;2,FN200/FL200&lt;0.5),"NM",FN200/FL200*100-100))</f>
        <v>8.9759797724399562</v>
      </c>
      <c r="FP200" s="75">
        <f>AQ200+AS200+AU200+AW200</f>
        <v>1049</v>
      </c>
      <c r="FQ200" s="72">
        <f t="shared" ref="FQ200:FQ205" si="1225">IF(ISERROR(FP200/FN200),"NA",IF(OR(FP200/FN200&gt;2,FP200/FN200&lt;0.5),"NM",FP200/FN200*100-100))</f>
        <v>21.693735498839899</v>
      </c>
      <c r="FR200" s="75">
        <f>AY200+BA200+BC200+BE200</f>
        <v>1104</v>
      </c>
      <c r="FS200" s="72">
        <f t="shared" ref="FS200:FS205" si="1226">IF(ISERROR(FR200/FP200),"NA",IF(OR(FR200/FP200&gt;2,FR200/FP200&lt;0.5),"NM",FR200/FP200*100-100))</f>
        <v>5.2430886558627208</v>
      </c>
      <c r="FT200" s="75">
        <f>BG200+BI200+BK200+BM200</f>
        <v>1145</v>
      </c>
      <c r="FU200" s="72">
        <f t="shared" ref="FU200:FU205" si="1227">IF(ISERROR(FT200/FR200),"NA",IF(OR(FT200/FR200&gt;2,FT200/FR200&lt;0.5),"NM",FT200/FR200*100-100))</f>
        <v>3.7137681159420453</v>
      </c>
      <c r="FV200" s="75">
        <f>BO200+BQ200+BS200+BU200</f>
        <v>1321</v>
      </c>
      <c r="FW200" s="72">
        <f t="shared" ref="FW200:GG205" si="1228">IF(ISERROR(FV200/FT200),"NA",IF(OR(FV200/FT200&gt;2,FV200/FT200&lt;0.5),"NM",FV200/FT200*100-100))</f>
        <v>15.371179039301325</v>
      </c>
      <c r="FX200" s="75">
        <f>BW200+BY200+CA200+CC200</f>
        <v>1380</v>
      </c>
      <c r="FY200" s="72">
        <f t="shared" si="1228"/>
        <v>4.4663133989401871</v>
      </c>
      <c r="FZ200" s="75">
        <f>CE200+CG200+CI200+CK200</f>
        <v>1848</v>
      </c>
      <c r="GA200" s="72">
        <f t="shared" si="1228"/>
        <v>33.913043478260875</v>
      </c>
      <c r="GB200" s="75">
        <f>CM200+CO200+CQ200+CS200</f>
        <v>1594</v>
      </c>
      <c r="GC200" s="72">
        <f t="shared" si="1228"/>
        <v>-13.744588744588754</v>
      </c>
      <c r="GD200" s="75">
        <f>CU200+CW200+CY200+DA200</f>
        <v>33317</v>
      </c>
      <c r="GE200" s="72" t="str">
        <f t="shared" si="1228"/>
        <v>NM</v>
      </c>
      <c r="GF200" s="75">
        <f>DC200+DE200+DG200+DI200</f>
        <v>2461</v>
      </c>
      <c r="GG200" s="72" t="str">
        <f t="shared" si="1228"/>
        <v>NM</v>
      </c>
      <c r="GH200" s="75">
        <f>DK200+DM200+DO200+DQ200</f>
        <v>8336</v>
      </c>
      <c r="GI200" s="72" t="str">
        <f t="shared" ref="GI200:GU205" si="1229">IF(ISERROR(GH200/GF200),"NA",IF(OR(GH200/GF200&gt;2,GH200/GF200&lt;0.5),"NM",GH200/GF200*100-100))</f>
        <v>NM</v>
      </c>
      <c r="GJ200" s="75">
        <f>DS200+DU200+DW200+DY200</f>
        <v>8350</v>
      </c>
      <c r="GK200" s="72">
        <f t="shared" si="1229"/>
        <v>0.1679462571976984</v>
      </c>
      <c r="GL200" s="75">
        <f>EA200+EC200+EE200+EG200</f>
        <v>9328</v>
      </c>
      <c r="GM200" s="72">
        <f t="shared" si="1229"/>
        <v>11.71257485029939</v>
      </c>
      <c r="GN200" s="75">
        <f>EI200+EK200+EM200+EO200</f>
        <v>10035</v>
      </c>
      <c r="GO200" s="72">
        <f t="shared" si="1229"/>
        <v>7.5793310463121912</v>
      </c>
      <c r="GP200" s="75">
        <f>EQ200+ES200+EU200+EW200</f>
        <v>9841.7857036415498</v>
      </c>
      <c r="GQ200" s="72">
        <f t="shared" si="1229"/>
        <v>-1.9254040494115543</v>
      </c>
      <c r="GR200" s="75">
        <f>+GR191*GR208/100</f>
        <v>10222.221540994356</v>
      </c>
      <c r="GS200" s="72">
        <f t="shared" si="1229"/>
        <v>3.8655163687626413</v>
      </c>
      <c r="GT200" s="75">
        <f>+GT191*GT208/100</f>
        <v>10621.070240356363</v>
      </c>
      <c r="GU200" s="72">
        <f t="shared" si="1229"/>
        <v>3.9017810146502683</v>
      </c>
      <c r="GV200" s="75">
        <f>+GV191*GV208/100</f>
        <v>11036.023541811977</v>
      </c>
      <c r="GW200" s="72">
        <f t="shared" ref="GW200:GW205" si="1230">IF(ISERROR(GV200/GT200),"NA",IF(OR(GV200/GT200&gt;2,GV200/GT200&lt;0.5),"NM",GV200/GT200*100-100))</f>
        <v>3.9068878377146632</v>
      </c>
      <c r="GX200" s="75">
        <f>+GX191*GX208/100</f>
        <v>11467.75460135313</v>
      </c>
      <c r="GY200" s="72">
        <f t="shared" ref="GY200:GY205" si="1231">IF(ISERROR(GX200/GV200),"NA",IF(OR(GX200/GV200&gt;2,GX200/GV200&lt;0.5),"NM",GX200/GV200*100-100))</f>
        <v>3.9120164786298375</v>
      </c>
      <c r="GZ200" s="72">
        <f t="shared" ref="GZ200:GZ205" si="1232">IF(ISERROR(((GX200/GN200)^0.2-1)*100),"NA",IF((((GX200/GN200)^0.2-1)*100)&gt;100,"NM",IF((((GX200/GN200)^0.2-1)*100)&lt;-50,"NM",((GX200/GN200)^0.2-1)*100)))</f>
        <v>2.7051456506252292</v>
      </c>
      <c r="HA200" s="72"/>
      <c r="HB200" s="72"/>
      <c r="HC200"/>
      <c r="HD200"/>
      <c r="HE200"/>
      <c r="HF200"/>
      <c r="HG200"/>
      <c r="HH200"/>
      <c r="HI200" s="2"/>
    </row>
    <row r="201" spans="2:217" s="3" customFormat="1" ht="12.75" customHeight="1" x14ac:dyDescent="0.2">
      <c r="B201" s="77" t="s">
        <v>668</v>
      </c>
      <c r="C201" s="74"/>
      <c r="D201" s="72"/>
      <c r="E201" s="74"/>
      <c r="F201" s="72"/>
      <c r="G201" s="74"/>
      <c r="H201" s="72"/>
      <c r="I201" s="74"/>
      <c r="J201" s="72"/>
      <c r="K201" s="74">
        <v>226</v>
      </c>
      <c r="L201" s="72" t="str">
        <f t="shared" si="1166"/>
        <v>NA</v>
      </c>
      <c r="M201" s="74">
        <v>251</v>
      </c>
      <c r="N201" s="72" t="str">
        <f t="shared" si="1167"/>
        <v>NA</v>
      </c>
      <c r="O201" s="74">
        <v>250</v>
      </c>
      <c r="P201" s="72" t="str">
        <f t="shared" si="1168"/>
        <v>NA</v>
      </c>
      <c r="Q201" s="74">
        <v>250</v>
      </c>
      <c r="R201" s="72" t="str">
        <f t="shared" si="1169"/>
        <v>NA</v>
      </c>
      <c r="S201" s="74">
        <v>243</v>
      </c>
      <c r="T201" s="72">
        <f t="shared" si="1169"/>
        <v>7.5221238938053148</v>
      </c>
      <c r="U201" s="74">
        <v>238</v>
      </c>
      <c r="V201" s="72">
        <f t="shared" si="1169"/>
        <v>-5.1792828685258883</v>
      </c>
      <c r="W201" s="74">
        <v>247</v>
      </c>
      <c r="X201" s="72">
        <f t="shared" si="1169"/>
        <v>-1.2000000000000028</v>
      </c>
      <c r="Y201" s="74">
        <v>250</v>
      </c>
      <c r="Z201" s="72">
        <f t="shared" si="1169"/>
        <v>0</v>
      </c>
      <c r="AA201" s="74">
        <v>236</v>
      </c>
      <c r="AB201" s="72">
        <f t="shared" si="1169"/>
        <v>-2.8806584362139915</v>
      </c>
      <c r="AC201" s="74">
        <v>233</v>
      </c>
      <c r="AD201" s="72">
        <f t="shared" si="1169"/>
        <v>-2.1008403361344534</v>
      </c>
      <c r="AE201" s="74">
        <v>239</v>
      </c>
      <c r="AF201" s="72">
        <f t="shared" si="1169"/>
        <v>-3.2388663967611251</v>
      </c>
      <c r="AG201" s="74">
        <v>238</v>
      </c>
      <c r="AH201" s="72">
        <f t="shared" si="1169"/>
        <v>-4.8000000000000114</v>
      </c>
      <c r="AI201" s="74">
        <v>226</v>
      </c>
      <c r="AJ201" s="72">
        <f t="shared" si="1169"/>
        <v>-4.2372881355932179</v>
      </c>
      <c r="AK201" s="74">
        <v>376</v>
      </c>
      <c r="AL201" s="72">
        <f t="shared" si="1169"/>
        <v>61.373390557939899</v>
      </c>
      <c r="AM201" s="74">
        <v>372</v>
      </c>
      <c r="AN201" s="72">
        <f t="shared" si="1169"/>
        <v>55.648535564853574</v>
      </c>
      <c r="AO201" s="74">
        <v>388</v>
      </c>
      <c r="AP201" s="72">
        <f t="shared" si="1169"/>
        <v>63.025210084033603</v>
      </c>
      <c r="AQ201" s="74">
        <v>384</v>
      </c>
      <c r="AR201" s="72">
        <f t="shared" si="1170"/>
        <v>69.911504424778769</v>
      </c>
      <c r="AS201" s="74">
        <v>397</v>
      </c>
      <c r="AT201" s="72">
        <f t="shared" si="1171"/>
        <v>5.5851063829787364</v>
      </c>
      <c r="AU201" s="74">
        <v>431</v>
      </c>
      <c r="AV201" s="72">
        <f t="shared" si="1172"/>
        <v>15.860215053763454</v>
      </c>
      <c r="AW201" s="74">
        <v>421</v>
      </c>
      <c r="AX201" s="72">
        <f t="shared" si="1173"/>
        <v>8.5051546391752453</v>
      </c>
      <c r="AY201" s="74">
        <v>429</v>
      </c>
      <c r="AZ201" s="72">
        <f t="shared" si="1174"/>
        <v>11.71875</v>
      </c>
      <c r="BA201" s="74">
        <v>452</v>
      </c>
      <c r="BB201" s="72">
        <f t="shared" si="1175"/>
        <v>13.853904282115863</v>
      </c>
      <c r="BC201" s="74">
        <v>475</v>
      </c>
      <c r="BD201" s="72">
        <f t="shared" si="1176"/>
        <v>10.208816705336417</v>
      </c>
      <c r="BE201" s="74">
        <v>497</v>
      </c>
      <c r="BF201" s="72">
        <f t="shared" si="1177"/>
        <v>18.052256532066508</v>
      </c>
      <c r="BG201" s="74">
        <v>492</v>
      </c>
      <c r="BH201" s="72">
        <f t="shared" si="1178"/>
        <v>14.685314685314694</v>
      </c>
      <c r="BI201" s="74">
        <v>508</v>
      </c>
      <c r="BJ201" s="72">
        <f t="shared" si="1179"/>
        <v>12.389380530973455</v>
      </c>
      <c r="BK201" s="74">
        <v>528</v>
      </c>
      <c r="BL201" s="72">
        <f t="shared" si="1180"/>
        <v>11.157894736842096</v>
      </c>
      <c r="BM201" s="74">
        <v>545</v>
      </c>
      <c r="BN201" s="72">
        <f t="shared" si="1181"/>
        <v>9.6579476861166995</v>
      </c>
      <c r="BO201" s="74">
        <v>533</v>
      </c>
      <c r="BP201" s="72">
        <f t="shared" si="1182"/>
        <v>8.3333333333333286</v>
      </c>
      <c r="BQ201" s="74">
        <v>523</v>
      </c>
      <c r="BR201" s="72">
        <f t="shared" si="1183"/>
        <v>2.9527559055118076</v>
      </c>
      <c r="BS201" s="74">
        <v>538</v>
      </c>
      <c r="BT201" s="72">
        <f t="shared" si="1184"/>
        <v>1.8939393939394051</v>
      </c>
      <c r="BU201" s="74">
        <v>550</v>
      </c>
      <c r="BV201" s="72">
        <f t="shared" si="1185"/>
        <v>0.91743119266054407</v>
      </c>
      <c r="BW201" s="74">
        <v>488</v>
      </c>
      <c r="BX201" s="72">
        <f t="shared" si="1186"/>
        <v>-8.4427767354596739</v>
      </c>
      <c r="BY201" s="74">
        <v>484</v>
      </c>
      <c r="BZ201" s="72">
        <f t="shared" si="1187"/>
        <v>-7.4569789674952176</v>
      </c>
      <c r="CA201" s="74">
        <v>468</v>
      </c>
      <c r="CB201" s="72">
        <f t="shared" si="1188"/>
        <v>-13.011152416356879</v>
      </c>
      <c r="CC201" s="74">
        <v>467</v>
      </c>
      <c r="CD201" s="72">
        <f t="shared" si="1189"/>
        <v>-15.090909090909093</v>
      </c>
      <c r="CE201" s="74">
        <v>451</v>
      </c>
      <c r="CF201" s="72">
        <f t="shared" si="1190"/>
        <v>-7.5819672131147513</v>
      </c>
      <c r="CG201" s="74">
        <v>458</v>
      </c>
      <c r="CH201" s="72">
        <f t="shared" si="1191"/>
        <v>-5.3719008264462786</v>
      </c>
      <c r="CI201" s="74">
        <v>460</v>
      </c>
      <c r="CJ201" s="72">
        <f t="shared" si="1192"/>
        <v>-1.7094017094017175</v>
      </c>
      <c r="CK201" s="74">
        <v>465</v>
      </c>
      <c r="CL201" s="72">
        <f t="shared" si="1192"/>
        <v>-0.42826552462527445</v>
      </c>
      <c r="CM201" s="74">
        <v>414</v>
      </c>
      <c r="CN201" s="72">
        <f t="shared" si="1192"/>
        <v>-8.2039911308203983</v>
      </c>
      <c r="CO201" s="74">
        <v>427</v>
      </c>
      <c r="CP201" s="72">
        <f t="shared" si="1192"/>
        <v>-6.768558951965062</v>
      </c>
      <c r="CQ201" s="74">
        <v>441</v>
      </c>
      <c r="CR201" s="72">
        <f t="shared" si="1192"/>
        <v>-4.1304347826086882</v>
      </c>
      <c r="CS201" s="74">
        <v>433</v>
      </c>
      <c r="CT201" s="72">
        <f t="shared" si="1192"/>
        <v>-6.881720430107535</v>
      </c>
      <c r="CU201" s="74">
        <v>427</v>
      </c>
      <c r="CV201" s="72">
        <f t="shared" si="1193"/>
        <v>3.1400966183574752</v>
      </c>
      <c r="CW201" s="74">
        <v>426</v>
      </c>
      <c r="CX201" s="72">
        <f t="shared" si="1194"/>
        <v>-0.23419203747072004</v>
      </c>
      <c r="CY201" s="74">
        <v>432</v>
      </c>
      <c r="CZ201" s="72">
        <f t="shared" si="1195"/>
        <v>-2.0408163265306172</v>
      </c>
      <c r="DA201" s="74">
        <v>410</v>
      </c>
      <c r="DB201" s="72">
        <f t="shared" si="1196"/>
        <v>-5.3117782909930753</v>
      </c>
      <c r="DC201" s="74">
        <v>388</v>
      </c>
      <c r="DD201" s="72">
        <f t="shared" si="1197"/>
        <v>-9.1334894613583089</v>
      </c>
      <c r="DE201" s="74">
        <v>382</v>
      </c>
      <c r="DF201" s="72">
        <f t="shared" si="1198"/>
        <v>-10.328638497652591</v>
      </c>
      <c r="DG201" s="74">
        <v>379</v>
      </c>
      <c r="DH201" s="72">
        <f t="shared" si="1199"/>
        <v>-12.268518518518519</v>
      </c>
      <c r="DI201" s="74">
        <v>380</v>
      </c>
      <c r="DJ201" s="72">
        <f t="shared" si="1200"/>
        <v>-7.3170731707317032</v>
      </c>
      <c r="DK201" s="74">
        <v>371</v>
      </c>
      <c r="DL201" s="72">
        <f t="shared" si="1201"/>
        <v>-4.3814432989690744</v>
      </c>
      <c r="DM201" s="74">
        <v>374</v>
      </c>
      <c r="DN201" s="72">
        <f t="shared" si="1202"/>
        <v>-2.0942408376963328</v>
      </c>
      <c r="DO201" s="74">
        <v>365</v>
      </c>
      <c r="DP201" s="72">
        <f t="shared" si="1202"/>
        <v>-3.6939313984168791</v>
      </c>
      <c r="DQ201" s="74">
        <v>366</v>
      </c>
      <c r="DR201" s="72">
        <f t="shared" si="1202"/>
        <v>-3.6842105263157947</v>
      </c>
      <c r="DS201" s="74">
        <v>369</v>
      </c>
      <c r="DT201" s="72">
        <f t="shared" si="1202"/>
        <v>-0.53908355795148566</v>
      </c>
      <c r="DU201" s="74">
        <v>365</v>
      </c>
      <c r="DV201" s="72">
        <f t="shared" si="1202"/>
        <v>-2.4064171122994651</v>
      </c>
      <c r="DW201" s="74">
        <v>362</v>
      </c>
      <c r="DX201" s="72">
        <f t="shared" si="1202"/>
        <v>-0.82191780821916893</v>
      </c>
      <c r="DY201" s="74">
        <v>345</v>
      </c>
      <c r="DZ201" s="72">
        <f t="shared" si="1202"/>
        <v>-5.7377049180327759</v>
      </c>
      <c r="EA201" s="74">
        <v>353</v>
      </c>
      <c r="EB201" s="72">
        <f t="shared" si="1203"/>
        <v>-4.3360433604336066</v>
      </c>
      <c r="EC201" s="74">
        <v>353</v>
      </c>
      <c r="ED201" s="72">
        <f t="shared" si="1204"/>
        <v>-3.2876712328767042</v>
      </c>
      <c r="EE201" s="74">
        <v>386</v>
      </c>
      <c r="EF201" s="72">
        <f t="shared" si="1205"/>
        <v>6.6298342541436455</v>
      </c>
      <c r="EG201" s="74">
        <v>381</v>
      </c>
      <c r="EH201" s="72">
        <f t="shared" si="1206"/>
        <v>10.434782608695656</v>
      </c>
      <c r="EI201" s="74">
        <v>364</v>
      </c>
      <c r="EJ201" s="72">
        <f t="shared" si="1207"/>
        <v>3.1161473087818763</v>
      </c>
      <c r="EK201" s="74">
        <v>409</v>
      </c>
      <c r="EL201" s="72">
        <f t="shared" si="1208"/>
        <v>15.864022662889511</v>
      </c>
      <c r="EM201" s="74">
        <v>366</v>
      </c>
      <c r="EN201" s="72">
        <f t="shared" si="1209"/>
        <v>-5.1813471502590573</v>
      </c>
      <c r="EO201" s="74">
        <v>368</v>
      </c>
      <c r="EP201" s="72">
        <f t="shared" si="1210"/>
        <v>-3.4120734908136541</v>
      </c>
      <c r="EQ201" s="75">
        <f t="shared" ref="EQ201" si="1233">+EQ179*EQ196/400</f>
        <v>388.55611759999999</v>
      </c>
      <c r="ER201" s="72">
        <f t="shared" si="1212"/>
        <v>6.7461861538461392</v>
      </c>
      <c r="ES201" s="75">
        <f t="shared" ref="ES201" si="1234">+ES179*ES196/400</f>
        <v>391.85884459960005</v>
      </c>
      <c r="ET201" s="72">
        <f t="shared" si="1214"/>
        <v>-4.1909915404400806</v>
      </c>
      <c r="EU201" s="75">
        <f t="shared" ref="EU201" si="1235">+EU179*EU196/400</f>
        <v>395.18964477869662</v>
      </c>
      <c r="EV201" s="72">
        <f t="shared" si="1216"/>
        <v>7.9753127810646447</v>
      </c>
      <c r="EW201" s="75">
        <f t="shared" ref="EW201" si="1236">+EW179*EW196/400</f>
        <v>398.54875675931549</v>
      </c>
      <c r="EX201" s="72">
        <f t="shared" si="1218"/>
        <v>8.3012925976400709</v>
      </c>
      <c r="EY201" s="72"/>
      <c r="EZ201" s="309"/>
      <c r="FA201" s="72"/>
      <c r="FB201" s="81"/>
      <c r="FC201" s="72"/>
      <c r="FD201" s="74">
        <v>1086</v>
      </c>
      <c r="FE201" s="72" t="str">
        <f t="shared" si="1219"/>
        <v>NA</v>
      </c>
      <c r="FF201" s="74">
        <v>1024</v>
      </c>
      <c r="FG201" s="72">
        <f t="shared" si="1220"/>
        <v>-5.7090239410681392</v>
      </c>
      <c r="FH201" s="75">
        <f>+K201+M201+O201+Q201</f>
        <v>977</v>
      </c>
      <c r="FI201" s="72">
        <f t="shared" si="1221"/>
        <v>-4.58984375</v>
      </c>
      <c r="FJ201" s="75">
        <f>+S201+U201+W201+Y201</f>
        <v>978</v>
      </c>
      <c r="FK201" s="72">
        <f t="shared" si="1222"/>
        <v>0.10235414534287202</v>
      </c>
      <c r="FL201" s="75">
        <f>+AA201+AC201+AE201+AG201</f>
        <v>946</v>
      </c>
      <c r="FM201" s="72">
        <f t="shared" si="1223"/>
        <v>-3.2719836400817996</v>
      </c>
      <c r="FN201" s="75">
        <f>+AI201+AK201+AM201+AO201</f>
        <v>1362</v>
      </c>
      <c r="FO201" s="72">
        <f t="shared" si="1224"/>
        <v>43.97463002114165</v>
      </c>
      <c r="FP201" s="75">
        <f>AQ201+AS201+AU201+AW201</f>
        <v>1633</v>
      </c>
      <c r="FQ201" s="72">
        <f t="shared" si="1225"/>
        <v>19.897209985315726</v>
      </c>
      <c r="FR201" s="75">
        <f>AY201+BA201+BC201+BE201</f>
        <v>1853</v>
      </c>
      <c r="FS201" s="72">
        <f t="shared" si="1226"/>
        <v>13.472137170851184</v>
      </c>
      <c r="FT201" s="75">
        <f>BG201+BI201+BK201+BM201</f>
        <v>2073</v>
      </c>
      <c r="FU201" s="72">
        <f t="shared" si="1227"/>
        <v>11.872638963842405</v>
      </c>
      <c r="FV201" s="75">
        <f>BO201+BQ201+BS201+BU201</f>
        <v>2144</v>
      </c>
      <c r="FW201" s="72">
        <f t="shared" si="1228"/>
        <v>3.4249879401833141</v>
      </c>
      <c r="FX201" s="75">
        <f>BW201+BY201+CA201+CC201</f>
        <v>1907</v>
      </c>
      <c r="FY201" s="72">
        <f t="shared" si="1228"/>
        <v>-11.054104477611943</v>
      </c>
      <c r="FZ201" s="75">
        <f>CE201+CG201+CI201+CK201</f>
        <v>1834</v>
      </c>
      <c r="GA201" s="72">
        <f t="shared" si="1228"/>
        <v>-3.8280020975354034</v>
      </c>
      <c r="GB201" s="75">
        <f>CM201+CO201+CQ201+CS201</f>
        <v>1715</v>
      </c>
      <c r="GC201" s="72">
        <f t="shared" si="1228"/>
        <v>-6.4885496183206186</v>
      </c>
      <c r="GD201" s="75">
        <f>CU201+CW201+CY201+DA201</f>
        <v>1695</v>
      </c>
      <c r="GE201" s="72">
        <f t="shared" si="1228"/>
        <v>-1.1661807580174894</v>
      </c>
      <c r="GF201" s="75">
        <f>DC201+DE201+DG201+DI201</f>
        <v>1529</v>
      </c>
      <c r="GG201" s="72">
        <f t="shared" si="1228"/>
        <v>-9.7935103244837762</v>
      </c>
      <c r="GH201" s="75">
        <f>DK201+DM201+DO201+DQ201</f>
        <v>1476</v>
      </c>
      <c r="GI201" s="72">
        <f t="shared" si="1229"/>
        <v>-3.4663178548070732</v>
      </c>
      <c r="GJ201" s="75">
        <f>DS201+DU201+DW201+DY201</f>
        <v>1441</v>
      </c>
      <c r="GK201" s="72">
        <f t="shared" si="1229"/>
        <v>-2.3712737127371355</v>
      </c>
      <c r="GL201" s="75">
        <f>EA201+EC201+EE201+EG201</f>
        <v>1473</v>
      </c>
      <c r="GM201" s="72">
        <f t="shared" si="1229"/>
        <v>2.2206800832754965</v>
      </c>
      <c r="GN201" s="75">
        <f>EI201+EK201+EM201+EO201</f>
        <v>1507</v>
      </c>
      <c r="GO201" s="72">
        <f t="shared" si="1229"/>
        <v>2.3082145281738065</v>
      </c>
      <c r="GP201" s="75">
        <f>EQ201+ES201+EU201+EW201</f>
        <v>1574.1533637376122</v>
      </c>
      <c r="GQ201" s="72">
        <f t="shared" si="1229"/>
        <v>4.4560958020976926</v>
      </c>
      <c r="GR201" s="75">
        <f>+GR179*GR196/100</f>
        <v>1648.2795488291476</v>
      </c>
      <c r="GS201" s="72">
        <f t="shared" si="1229"/>
        <v>4.7089557344992699</v>
      </c>
      <c r="GT201" s="75">
        <f>+GT179*GT196/100</f>
        <v>1725.6265932184263</v>
      </c>
      <c r="GU201" s="72">
        <f t="shared" si="1229"/>
        <v>4.6925926153862605</v>
      </c>
      <c r="GV201" s="75">
        <f>+GV179*GV196/100</f>
        <v>1806.3278254677302</v>
      </c>
      <c r="GW201" s="72">
        <f t="shared" si="1230"/>
        <v>4.6766335524993252</v>
      </c>
      <c r="GX201" s="75">
        <f>+GX179*GX196/100</f>
        <v>1890.5219171682259</v>
      </c>
      <c r="GY201" s="72">
        <f t="shared" si="1231"/>
        <v>4.6610637622600137</v>
      </c>
      <c r="GZ201" s="72">
        <f t="shared" si="1232"/>
        <v>4.6390270482334683</v>
      </c>
      <c r="HA201" s="72"/>
      <c r="HB201" s="72"/>
      <c r="HC201"/>
      <c r="HD201"/>
      <c r="HE201"/>
      <c r="HF201"/>
      <c r="HG201"/>
      <c r="HH201"/>
      <c r="HI201" s="2"/>
    </row>
    <row r="202" spans="2:217" s="3" customFormat="1" ht="12.75" customHeight="1" x14ac:dyDescent="0.2">
      <c r="B202" s="77" t="s">
        <v>271</v>
      </c>
      <c r="C202" s="74"/>
      <c r="D202" s="72"/>
      <c r="E202" s="74"/>
      <c r="F202" s="72"/>
      <c r="G202" s="74"/>
      <c r="H202" s="72"/>
      <c r="I202" s="74"/>
      <c r="J202" s="72"/>
      <c r="K202" s="74">
        <v>5</v>
      </c>
      <c r="L202" s="72" t="str">
        <f t="shared" si="1166"/>
        <v>NA</v>
      </c>
      <c r="M202" s="74">
        <v>2</v>
      </c>
      <c r="N202" s="72" t="str">
        <f t="shared" si="1167"/>
        <v>NA</v>
      </c>
      <c r="O202" s="74">
        <v>3</v>
      </c>
      <c r="P202" s="72" t="str">
        <f t="shared" si="1168"/>
        <v>NA</v>
      </c>
      <c r="Q202" s="74">
        <v>3</v>
      </c>
      <c r="R202" s="72" t="str">
        <f t="shared" si="1169"/>
        <v>NA</v>
      </c>
      <c r="S202" s="74">
        <v>1</v>
      </c>
      <c r="T202" s="72" t="str">
        <f t="shared" si="1169"/>
        <v>NM</v>
      </c>
      <c r="U202" s="74">
        <v>2</v>
      </c>
      <c r="V202" s="72">
        <f t="shared" si="1169"/>
        <v>0</v>
      </c>
      <c r="W202" s="74">
        <v>0</v>
      </c>
      <c r="X202" s="72" t="str">
        <f t="shared" si="1169"/>
        <v>NM</v>
      </c>
      <c r="Y202" s="74">
        <v>-1</v>
      </c>
      <c r="Z202" s="72" t="str">
        <f t="shared" si="1169"/>
        <v>NM</v>
      </c>
      <c r="AA202" s="74">
        <v>5</v>
      </c>
      <c r="AB202" s="72" t="str">
        <f t="shared" si="1169"/>
        <v>NM</v>
      </c>
      <c r="AC202" s="74">
        <v>4</v>
      </c>
      <c r="AD202" s="72">
        <f t="shared" si="1169"/>
        <v>100</v>
      </c>
      <c r="AE202" s="74">
        <v>3</v>
      </c>
      <c r="AF202" s="72" t="str">
        <f t="shared" si="1169"/>
        <v>NA</v>
      </c>
      <c r="AG202" s="74">
        <v>5</v>
      </c>
      <c r="AH202" s="72" t="str">
        <f t="shared" si="1169"/>
        <v>NM</v>
      </c>
      <c r="AI202" s="74">
        <v>2</v>
      </c>
      <c r="AJ202" s="72" t="str">
        <f t="shared" si="1169"/>
        <v>NM</v>
      </c>
      <c r="AK202" s="74">
        <v>3</v>
      </c>
      <c r="AL202" s="72">
        <f t="shared" si="1169"/>
        <v>-25</v>
      </c>
      <c r="AM202" s="74">
        <v>14</v>
      </c>
      <c r="AN202" s="72" t="str">
        <f t="shared" si="1169"/>
        <v>NM</v>
      </c>
      <c r="AO202" s="74">
        <v>18</v>
      </c>
      <c r="AP202" s="72" t="str">
        <f t="shared" si="1169"/>
        <v>NM</v>
      </c>
      <c r="AQ202" s="74">
        <v>19</v>
      </c>
      <c r="AR202" s="72" t="str">
        <f t="shared" si="1170"/>
        <v>NM</v>
      </c>
      <c r="AS202" s="74">
        <v>21</v>
      </c>
      <c r="AT202" s="72" t="str">
        <f t="shared" si="1171"/>
        <v>NM</v>
      </c>
      <c r="AU202" s="74">
        <v>20</v>
      </c>
      <c r="AV202" s="72">
        <f t="shared" si="1172"/>
        <v>42.857142857142861</v>
      </c>
      <c r="AW202" s="74">
        <v>39</v>
      </c>
      <c r="AX202" s="72" t="str">
        <f t="shared" si="1173"/>
        <v>NM</v>
      </c>
      <c r="AY202" s="74">
        <v>40</v>
      </c>
      <c r="AZ202" s="72" t="str">
        <f t="shared" si="1174"/>
        <v>NM</v>
      </c>
      <c r="BA202" s="74">
        <v>53</v>
      </c>
      <c r="BB202" s="72" t="str">
        <f t="shared" si="1175"/>
        <v>NM</v>
      </c>
      <c r="BC202" s="74">
        <v>53</v>
      </c>
      <c r="BD202" s="72" t="str">
        <f t="shared" si="1176"/>
        <v>NM</v>
      </c>
      <c r="BE202" s="74">
        <v>51</v>
      </c>
      <c r="BF202" s="72">
        <f t="shared" si="1177"/>
        <v>30.769230769230774</v>
      </c>
      <c r="BG202" s="74">
        <v>49</v>
      </c>
      <c r="BH202" s="72">
        <f t="shared" si="1178"/>
        <v>22.500000000000014</v>
      </c>
      <c r="BI202" s="74">
        <v>50</v>
      </c>
      <c r="BJ202" s="72">
        <f t="shared" si="1179"/>
        <v>-5.6603773584905639</v>
      </c>
      <c r="BK202" s="74">
        <v>57</v>
      </c>
      <c r="BL202" s="72">
        <f t="shared" si="1180"/>
        <v>7.5471698113207566</v>
      </c>
      <c r="BM202" s="74">
        <v>56</v>
      </c>
      <c r="BN202" s="72">
        <f t="shared" si="1181"/>
        <v>9.8039215686274588</v>
      </c>
      <c r="BO202" s="74">
        <v>30</v>
      </c>
      <c r="BP202" s="72">
        <f t="shared" si="1182"/>
        <v>-38.775510204081634</v>
      </c>
      <c r="BQ202" s="74">
        <v>19</v>
      </c>
      <c r="BR202" s="72" t="str">
        <f t="shared" si="1183"/>
        <v>NM</v>
      </c>
      <c r="BS202" s="74">
        <v>19</v>
      </c>
      <c r="BT202" s="72" t="str">
        <f t="shared" si="1184"/>
        <v>NM</v>
      </c>
      <c r="BU202" s="74">
        <v>21</v>
      </c>
      <c r="BV202" s="72" t="str">
        <f t="shared" si="1185"/>
        <v>NM</v>
      </c>
      <c r="BW202" s="74">
        <v>12</v>
      </c>
      <c r="BX202" s="72" t="str">
        <f t="shared" si="1186"/>
        <v>NM</v>
      </c>
      <c r="BY202" s="74">
        <v>6</v>
      </c>
      <c r="BZ202" s="72" t="str">
        <f t="shared" si="1187"/>
        <v>NM</v>
      </c>
      <c r="CA202" s="74">
        <v>6</v>
      </c>
      <c r="CB202" s="72" t="str">
        <f t="shared" si="1188"/>
        <v>NM</v>
      </c>
      <c r="CC202" s="74">
        <v>5</v>
      </c>
      <c r="CD202" s="72" t="str">
        <f t="shared" si="1189"/>
        <v>NM</v>
      </c>
      <c r="CE202" s="74">
        <v>4</v>
      </c>
      <c r="CF202" s="72" t="str">
        <f t="shared" si="1190"/>
        <v>NM</v>
      </c>
      <c r="CG202" s="74">
        <v>4</v>
      </c>
      <c r="CH202" s="72">
        <f t="shared" si="1191"/>
        <v>-33.333333333333343</v>
      </c>
      <c r="CI202" s="74">
        <v>5</v>
      </c>
      <c r="CJ202" s="72">
        <f t="shared" si="1192"/>
        <v>-16.666666666666657</v>
      </c>
      <c r="CK202" s="74">
        <v>4</v>
      </c>
      <c r="CL202" s="72">
        <f t="shared" si="1192"/>
        <v>-20</v>
      </c>
      <c r="CM202" s="74">
        <v>4</v>
      </c>
      <c r="CN202" s="72">
        <f t="shared" si="1192"/>
        <v>0</v>
      </c>
      <c r="CO202" s="74">
        <v>3</v>
      </c>
      <c r="CP202" s="72">
        <f t="shared" si="1192"/>
        <v>-25</v>
      </c>
      <c r="CQ202" s="74">
        <v>4</v>
      </c>
      <c r="CR202" s="72">
        <f t="shared" si="1192"/>
        <v>-20</v>
      </c>
      <c r="CS202" s="74">
        <v>3</v>
      </c>
      <c r="CT202" s="72">
        <f t="shared" si="1192"/>
        <v>-25</v>
      </c>
      <c r="CU202" s="74">
        <v>4</v>
      </c>
      <c r="CV202" s="72">
        <f t="shared" si="1193"/>
        <v>0</v>
      </c>
      <c r="CW202" s="74">
        <v>6</v>
      </c>
      <c r="CX202" s="72">
        <f t="shared" si="1194"/>
        <v>100</v>
      </c>
      <c r="CY202" s="74">
        <v>5</v>
      </c>
      <c r="CZ202" s="72">
        <f t="shared" si="1195"/>
        <v>25</v>
      </c>
      <c r="DA202" s="74">
        <v>5</v>
      </c>
      <c r="DB202" s="72">
        <f t="shared" si="1196"/>
        <v>66.666666666666686</v>
      </c>
      <c r="DC202" s="74">
        <v>7</v>
      </c>
      <c r="DD202" s="72">
        <f t="shared" si="1197"/>
        <v>75</v>
      </c>
      <c r="DE202" s="74">
        <v>6</v>
      </c>
      <c r="DF202" s="72">
        <f t="shared" si="1198"/>
        <v>0</v>
      </c>
      <c r="DG202" s="74">
        <v>7</v>
      </c>
      <c r="DH202" s="72">
        <f t="shared" si="1199"/>
        <v>40</v>
      </c>
      <c r="DI202" s="74">
        <v>6</v>
      </c>
      <c r="DJ202" s="72">
        <f t="shared" si="1200"/>
        <v>20</v>
      </c>
      <c r="DK202" s="74">
        <v>6</v>
      </c>
      <c r="DL202" s="72">
        <f t="shared" si="1201"/>
        <v>-14.285714285714292</v>
      </c>
      <c r="DM202" s="74">
        <v>6</v>
      </c>
      <c r="DN202" s="72">
        <f t="shared" si="1202"/>
        <v>0</v>
      </c>
      <c r="DO202" s="74">
        <v>7</v>
      </c>
      <c r="DP202" s="72">
        <f t="shared" si="1202"/>
        <v>0</v>
      </c>
      <c r="DQ202" s="74">
        <v>6</v>
      </c>
      <c r="DR202" s="72">
        <f t="shared" si="1202"/>
        <v>0</v>
      </c>
      <c r="DS202" s="74">
        <v>7</v>
      </c>
      <c r="DT202" s="72">
        <f t="shared" si="1202"/>
        <v>16.666666666666671</v>
      </c>
      <c r="DU202" s="74">
        <v>7</v>
      </c>
      <c r="DV202" s="72">
        <f t="shared" si="1202"/>
        <v>16.666666666666671</v>
      </c>
      <c r="DW202" s="74">
        <v>7</v>
      </c>
      <c r="DX202" s="72">
        <f t="shared" si="1202"/>
        <v>0</v>
      </c>
      <c r="DY202" s="74">
        <v>4</v>
      </c>
      <c r="DZ202" s="72">
        <f t="shared" si="1202"/>
        <v>-33.333333333333343</v>
      </c>
      <c r="EA202" s="74">
        <v>4</v>
      </c>
      <c r="EB202" s="72">
        <f t="shared" si="1203"/>
        <v>-42.857142857142861</v>
      </c>
      <c r="EC202" s="74">
        <v>5</v>
      </c>
      <c r="ED202" s="72">
        <f t="shared" si="1204"/>
        <v>-28.571428571428569</v>
      </c>
      <c r="EE202" s="74">
        <v>5</v>
      </c>
      <c r="EF202" s="72">
        <f t="shared" si="1205"/>
        <v>-28.571428571428569</v>
      </c>
      <c r="EG202" s="74">
        <v>5</v>
      </c>
      <c r="EH202" s="72">
        <f t="shared" si="1206"/>
        <v>25</v>
      </c>
      <c r="EI202" s="74">
        <v>6</v>
      </c>
      <c r="EJ202" s="72">
        <f t="shared" si="1207"/>
        <v>50</v>
      </c>
      <c r="EK202" s="74">
        <v>6</v>
      </c>
      <c r="EL202" s="72">
        <f t="shared" si="1208"/>
        <v>20</v>
      </c>
      <c r="EM202" s="74">
        <v>6</v>
      </c>
      <c r="EN202" s="72">
        <f t="shared" si="1209"/>
        <v>20</v>
      </c>
      <c r="EO202" s="74">
        <v>8</v>
      </c>
      <c r="EP202" s="72">
        <f t="shared" si="1210"/>
        <v>60</v>
      </c>
      <c r="EQ202" s="74">
        <f t="shared" ref="EQ202" si="1237">EI202*1.06</f>
        <v>6.36</v>
      </c>
      <c r="ER202" s="72">
        <f t="shared" si="1212"/>
        <v>6</v>
      </c>
      <c r="ES202" s="74">
        <f t="shared" ref="ES202" si="1238">EK202*1.06</f>
        <v>6.36</v>
      </c>
      <c r="ET202" s="72">
        <f t="shared" si="1214"/>
        <v>6</v>
      </c>
      <c r="EU202" s="74">
        <f t="shared" ref="EU202" si="1239">EM202*1.06</f>
        <v>6.36</v>
      </c>
      <c r="EV202" s="72">
        <f t="shared" si="1216"/>
        <v>6</v>
      </c>
      <c r="EW202" s="74">
        <f t="shared" ref="EW202" si="1240">EO202*1.06</f>
        <v>8.48</v>
      </c>
      <c r="EX202" s="72">
        <f t="shared" si="1218"/>
        <v>6</v>
      </c>
      <c r="EY202" s="72"/>
      <c r="EZ202" s="309"/>
      <c r="FA202" s="72"/>
      <c r="FB202" s="81"/>
      <c r="FC202" s="72"/>
      <c r="FD202" s="74">
        <v>45</v>
      </c>
      <c r="FE202" s="72" t="str">
        <f t="shared" si="1219"/>
        <v>NA</v>
      </c>
      <c r="FF202" s="74">
        <v>44</v>
      </c>
      <c r="FG202" s="72">
        <f t="shared" si="1220"/>
        <v>-2.2222222222222285</v>
      </c>
      <c r="FH202" s="75">
        <f>+K202+M202+O202+Q202</f>
        <v>13</v>
      </c>
      <c r="FI202" s="72" t="str">
        <f t="shared" si="1221"/>
        <v>NM</v>
      </c>
      <c r="FJ202" s="75">
        <f>+S202+U202+W202+Y202</f>
        <v>2</v>
      </c>
      <c r="FK202" s="72" t="str">
        <f t="shared" si="1222"/>
        <v>NM</v>
      </c>
      <c r="FL202" s="75">
        <f>+AA202+AC202+AE202+AG202</f>
        <v>17</v>
      </c>
      <c r="FM202" s="72" t="str">
        <f t="shared" si="1223"/>
        <v>NM</v>
      </c>
      <c r="FN202" s="75">
        <f>+AI202+AK202+AM202+AO202</f>
        <v>37</v>
      </c>
      <c r="FO202" s="72" t="str">
        <f t="shared" si="1224"/>
        <v>NM</v>
      </c>
      <c r="FP202" s="75">
        <f>AQ202+AS202+AU202+AW202</f>
        <v>99</v>
      </c>
      <c r="FQ202" s="72" t="str">
        <f t="shared" si="1225"/>
        <v>NM</v>
      </c>
      <c r="FR202" s="75">
        <f>AY202+BA202+BC202+BE202</f>
        <v>197</v>
      </c>
      <c r="FS202" s="72">
        <f t="shared" si="1226"/>
        <v>98.98989898989899</v>
      </c>
      <c r="FT202" s="75">
        <f>BG202+BI202+BK202+BM202</f>
        <v>212</v>
      </c>
      <c r="FU202" s="72">
        <f t="shared" si="1227"/>
        <v>7.6142131979695336</v>
      </c>
      <c r="FV202" s="75">
        <f>BO202+BQ202+BS202+BU202</f>
        <v>89</v>
      </c>
      <c r="FW202" s="72" t="str">
        <f t="shared" si="1228"/>
        <v>NM</v>
      </c>
      <c r="FX202" s="75">
        <f>BW202+BY202+CA202+CC202</f>
        <v>29</v>
      </c>
      <c r="FY202" s="72" t="str">
        <f t="shared" si="1228"/>
        <v>NM</v>
      </c>
      <c r="FZ202" s="75">
        <f>CE202+CG202+CI202+CK202</f>
        <v>17</v>
      </c>
      <c r="GA202" s="72">
        <f t="shared" si="1228"/>
        <v>-41.379310344827594</v>
      </c>
      <c r="GB202" s="75">
        <f>CM202+CO202+CQ202+CS202</f>
        <v>14</v>
      </c>
      <c r="GC202" s="72">
        <f t="shared" si="1228"/>
        <v>-17.64705882352942</v>
      </c>
      <c r="GD202" s="75">
        <f>CU202+CW202+CY202+DA202</f>
        <v>20</v>
      </c>
      <c r="GE202" s="72">
        <f t="shared" si="1228"/>
        <v>42.857142857142861</v>
      </c>
      <c r="GF202" s="75">
        <f>DC202+DE202+DG202+DI202</f>
        <v>26</v>
      </c>
      <c r="GG202" s="72">
        <f t="shared" si="1228"/>
        <v>30</v>
      </c>
      <c r="GH202" s="75">
        <f>DK202+DM202+DO202+DQ202</f>
        <v>25</v>
      </c>
      <c r="GI202" s="72">
        <f t="shared" si="1229"/>
        <v>-3.8461538461538396</v>
      </c>
      <c r="GJ202" s="75">
        <f>DS202+DU202+DW202+DY202</f>
        <v>25</v>
      </c>
      <c r="GK202" s="72">
        <f t="shared" si="1229"/>
        <v>0</v>
      </c>
      <c r="GL202" s="75">
        <f>EA202+EC202+EE202+EG202</f>
        <v>19</v>
      </c>
      <c r="GM202" s="72">
        <f t="shared" si="1229"/>
        <v>-24</v>
      </c>
      <c r="GN202" s="75">
        <f>EI202+EK202+EM202+EO202</f>
        <v>26</v>
      </c>
      <c r="GO202" s="72">
        <f t="shared" si="1229"/>
        <v>36.84210526315789</v>
      </c>
      <c r="GP202" s="75">
        <f>EQ202+ES202+EU202+EW202</f>
        <v>27.560000000000002</v>
      </c>
      <c r="GQ202" s="72">
        <f t="shared" si="1229"/>
        <v>6</v>
      </c>
      <c r="GR202" s="74">
        <f>GP202*1.06</f>
        <v>29.213600000000003</v>
      </c>
      <c r="GS202" s="72">
        <f t="shared" si="1229"/>
        <v>6</v>
      </c>
      <c r="GT202" s="74">
        <f>GR202*1.06</f>
        <v>30.966416000000006</v>
      </c>
      <c r="GU202" s="72">
        <f t="shared" si="1229"/>
        <v>6</v>
      </c>
      <c r="GV202" s="74">
        <f>GT202*1.06</f>
        <v>32.824400960000006</v>
      </c>
      <c r="GW202" s="72">
        <f t="shared" si="1230"/>
        <v>6</v>
      </c>
      <c r="GX202" s="74">
        <f>GV202*1.06</f>
        <v>34.793865017600005</v>
      </c>
      <c r="GY202" s="72">
        <f t="shared" si="1231"/>
        <v>6</v>
      </c>
      <c r="GZ202" s="72">
        <f t="shared" si="1232"/>
        <v>6.0000000000000053</v>
      </c>
      <c r="HA202" s="72"/>
      <c r="HB202" s="72"/>
      <c r="HC202"/>
      <c r="HD202"/>
      <c r="HE202"/>
      <c r="HF202"/>
      <c r="HG202"/>
      <c r="HH202"/>
      <c r="HI202" s="2"/>
    </row>
    <row r="203" spans="2:217" s="3" customFormat="1" ht="12.75" customHeight="1" x14ac:dyDescent="0.2">
      <c r="B203" s="77" t="s">
        <v>432</v>
      </c>
      <c r="C203" s="74"/>
      <c r="D203" s="72"/>
      <c r="E203" s="74"/>
      <c r="F203" s="72"/>
      <c r="G203" s="74"/>
      <c r="H203" s="72"/>
      <c r="I203" s="74"/>
      <c r="J203" s="72"/>
      <c r="K203" s="74">
        <v>95</v>
      </c>
      <c r="L203" s="72" t="str">
        <f t="shared" si="1166"/>
        <v>NA</v>
      </c>
      <c r="M203" s="74">
        <v>94</v>
      </c>
      <c r="N203" s="72" t="str">
        <f t="shared" si="1167"/>
        <v>NA</v>
      </c>
      <c r="O203" s="74">
        <v>96</v>
      </c>
      <c r="P203" s="72" t="str">
        <f t="shared" si="1168"/>
        <v>NA</v>
      </c>
      <c r="Q203" s="74">
        <v>98</v>
      </c>
      <c r="R203" s="72" t="str">
        <f t="shared" si="1169"/>
        <v>NA</v>
      </c>
      <c r="S203" s="74">
        <v>90</v>
      </c>
      <c r="T203" s="72">
        <f t="shared" si="1169"/>
        <v>-5.2631578947368496</v>
      </c>
      <c r="U203" s="74">
        <v>90</v>
      </c>
      <c r="V203" s="72">
        <f t="shared" si="1169"/>
        <v>-4.2553191489361666</v>
      </c>
      <c r="W203" s="74">
        <v>85</v>
      </c>
      <c r="X203" s="72">
        <f t="shared" si="1169"/>
        <v>-11.458333333333343</v>
      </c>
      <c r="Y203" s="74">
        <v>85</v>
      </c>
      <c r="Z203" s="72">
        <f t="shared" si="1169"/>
        <v>-13.265306122448976</v>
      </c>
      <c r="AA203" s="74">
        <v>76</v>
      </c>
      <c r="AB203" s="72">
        <f t="shared" si="1169"/>
        <v>-15.555555555555557</v>
      </c>
      <c r="AC203" s="74">
        <v>87</v>
      </c>
      <c r="AD203" s="72">
        <f t="shared" si="1169"/>
        <v>-3.3333333333333286</v>
      </c>
      <c r="AE203" s="74">
        <v>82</v>
      </c>
      <c r="AF203" s="72">
        <f t="shared" si="1169"/>
        <v>-3.529411764705884</v>
      </c>
      <c r="AG203" s="74">
        <v>89</v>
      </c>
      <c r="AH203" s="72">
        <f t="shared" si="1169"/>
        <v>4.7058823529411882</v>
      </c>
      <c r="AI203" s="74">
        <v>88</v>
      </c>
      <c r="AJ203" s="72">
        <f t="shared" si="1169"/>
        <v>15.789473684210535</v>
      </c>
      <c r="AK203" s="74">
        <v>180</v>
      </c>
      <c r="AL203" s="72" t="str">
        <f t="shared" si="1169"/>
        <v>NM</v>
      </c>
      <c r="AM203" s="74">
        <v>185</v>
      </c>
      <c r="AN203" s="72" t="str">
        <f t="shared" si="1169"/>
        <v>NM</v>
      </c>
      <c r="AO203" s="74">
        <v>199</v>
      </c>
      <c r="AP203" s="72" t="str">
        <f t="shared" si="1169"/>
        <v>NM</v>
      </c>
      <c r="AQ203" s="74">
        <v>178</v>
      </c>
      <c r="AR203" s="72" t="str">
        <f t="shared" si="1170"/>
        <v>NM</v>
      </c>
      <c r="AS203" s="74">
        <v>186</v>
      </c>
      <c r="AT203" s="72">
        <f t="shared" si="1171"/>
        <v>3.3333333333333428</v>
      </c>
      <c r="AU203" s="74">
        <v>193</v>
      </c>
      <c r="AV203" s="72">
        <f t="shared" si="1172"/>
        <v>4.3243243243243228</v>
      </c>
      <c r="AW203" s="74">
        <v>212</v>
      </c>
      <c r="AX203" s="72">
        <f t="shared" si="1173"/>
        <v>6.5326633165829122</v>
      </c>
      <c r="AY203" s="74">
        <v>190</v>
      </c>
      <c r="AZ203" s="72">
        <f t="shared" si="1174"/>
        <v>6.7415730337078656</v>
      </c>
      <c r="BA203" s="74">
        <v>174</v>
      </c>
      <c r="BB203" s="72">
        <f t="shared" si="1175"/>
        <v>-6.4516129032258078</v>
      </c>
      <c r="BC203" s="74">
        <v>194</v>
      </c>
      <c r="BD203" s="72">
        <f t="shared" si="1176"/>
        <v>0.51813471502590858</v>
      </c>
      <c r="BE203" s="74">
        <v>208</v>
      </c>
      <c r="BF203" s="72">
        <f t="shared" si="1177"/>
        <v>-1.8867924528301927</v>
      </c>
      <c r="BG203" s="74">
        <v>184</v>
      </c>
      <c r="BH203" s="72">
        <f t="shared" si="1178"/>
        <v>-3.1578947368421098</v>
      </c>
      <c r="BI203" s="74">
        <v>193</v>
      </c>
      <c r="BJ203" s="72">
        <f t="shared" si="1179"/>
        <v>10.919540229885058</v>
      </c>
      <c r="BK203" s="74">
        <v>263</v>
      </c>
      <c r="BL203" s="72">
        <f t="shared" si="1180"/>
        <v>35.567010309278345</v>
      </c>
      <c r="BM203" s="74">
        <v>213</v>
      </c>
      <c r="BN203" s="72">
        <f t="shared" si="1181"/>
        <v>2.4038461538461462</v>
      </c>
      <c r="BO203" s="74">
        <v>208</v>
      </c>
      <c r="BP203" s="72">
        <f t="shared" si="1182"/>
        <v>13.043478260869563</v>
      </c>
      <c r="BQ203" s="74">
        <v>203</v>
      </c>
      <c r="BR203" s="72">
        <f t="shared" si="1183"/>
        <v>5.1813471502590573</v>
      </c>
      <c r="BS203" s="74">
        <v>180</v>
      </c>
      <c r="BT203" s="72">
        <f t="shared" si="1184"/>
        <v>-31.55893536121674</v>
      </c>
      <c r="BU203" s="74">
        <v>222</v>
      </c>
      <c r="BV203" s="72">
        <f t="shared" si="1185"/>
        <v>4.2253521126760489</v>
      </c>
      <c r="BW203" s="74">
        <v>213</v>
      </c>
      <c r="BX203" s="72">
        <f t="shared" si="1186"/>
        <v>2.4038461538461462</v>
      </c>
      <c r="BY203" s="74">
        <v>220</v>
      </c>
      <c r="BZ203" s="72">
        <f t="shared" si="1187"/>
        <v>8.37438423645321</v>
      </c>
      <c r="CA203" s="74">
        <v>218</v>
      </c>
      <c r="CB203" s="72">
        <f t="shared" si="1188"/>
        <v>21.1111111111111</v>
      </c>
      <c r="CC203" s="74">
        <v>222</v>
      </c>
      <c r="CD203" s="72">
        <f t="shared" si="1189"/>
        <v>0</v>
      </c>
      <c r="CE203" s="74">
        <v>215</v>
      </c>
      <c r="CF203" s="72">
        <f t="shared" si="1190"/>
        <v>0.9389671361502252</v>
      </c>
      <c r="CG203" s="74">
        <v>243</v>
      </c>
      <c r="CH203" s="72">
        <f t="shared" si="1191"/>
        <v>10.454545454545453</v>
      </c>
      <c r="CI203" s="74">
        <v>241</v>
      </c>
      <c r="CJ203" s="72">
        <f t="shared" si="1192"/>
        <v>10.550458715596321</v>
      </c>
      <c r="CK203" s="74">
        <v>245</v>
      </c>
      <c r="CL203" s="72">
        <f t="shared" si="1192"/>
        <v>10.36036036036036</v>
      </c>
      <c r="CM203" s="74">
        <v>234</v>
      </c>
      <c r="CN203" s="72">
        <f t="shared" si="1192"/>
        <v>8.83720930232559</v>
      </c>
      <c r="CO203" s="74">
        <v>231</v>
      </c>
      <c r="CP203" s="72">
        <f t="shared" si="1192"/>
        <v>-4.9382716049382651</v>
      </c>
      <c r="CQ203" s="74">
        <v>247</v>
      </c>
      <c r="CR203" s="72">
        <f t="shared" si="1192"/>
        <v>2.4896265560165887</v>
      </c>
      <c r="CS203" s="74">
        <v>233</v>
      </c>
      <c r="CT203" s="72">
        <f t="shared" si="1192"/>
        <v>-4.8979591836734784</v>
      </c>
      <c r="CU203" s="74">
        <v>223</v>
      </c>
      <c r="CV203" s="72">
        <f t="shared" si="1193"/>
        <v>-4.7008547008547055</v>
      </c>
      <c r="CW203" s="74">
        <v>233</v>
      </c>
      <c r="CX203" s="72">
        <f t="shared" si="1194"/>
        <v>0.86580086580086402</v>
      </c>
      <c r="CY203" s="74">
        <v>264</v>
      </c>
      <c r="CZ203" s="72">
        <f t="shared" si="1195"/>
        <v>6.8825910931174121</v>
      </c>
      <c r="DA203" s="74">
        <v>205</v>
      </c>
      <c r="DB203" s="72">
        <f t="shared" si="1196"/>
        <v>-12.017167381974247</v>
      </c>
      <c r="DC203" s="74">
        <v>231</v>
      </c>
      <c r="DD203" s="72">
        <f t="shared" si="1197"/>
        <v>3.5874439461883583</v>
      </c>
      <c r="DE203" s="74">
        <v>246</v>
      </c>
      <c r="DF203" s="72">
        <f t="shared" si="1198"/>
        <v>5.5793991416309012</v>
      </c>
      <c r="DG203" s="74">
        <v>242</v>
      </c>
      <c r="DH203" s="72">
        <f t="shared" si="1199"/>
        <v>-8.3333333333333428</v>
      </c>
      <c r="DI203" s="74">
        <v>268</v>
      </c>
      <c r="DJ203" s="72">
        <f t="shared" si="1200"/>
        <v>30.731707317073187</v>
      </c>
      <c r="DK203" s="74">
        <v>247</v>
      </c>
      <c r="DL203" s="72">
        <f t="shared" si="1201"/>
        <v>6.9264069264069406</v>
      </c>
      <c r="DM203" s="74">
        <v>256</v>
      </c>
      <c r="DN203" s="72">
        <f t="shared" si="1202"/>
        <v>4.065040650406516</v>
      </c>
      <c r="DO203" s="74">
        <v>265</v>
      </c>
      <c r="DP203" s="72">
        <f t="shared" si="1202"/>
        <v>9.5041322314049665</v>
      </c>
      <c r="DQ203" s="74">
        <v>276</v>
      </c>
      <c r="DR203" s="72">
        <f t="shared" si="1202"/>
        <v>2.985074626865682</v>
      </c>
      <c r="DS203" s="74">
        <v>253</v>
      </c>
      <c r="DT203" s="72">
        <f t="shared" si="1202"/>
        <v>2.429149797570858</v>
      </c>
      <c r="DU203" s="74">
        <v>252</v>
      </c>
      <c r="DV203" s="72">
        <f t="shared" si="1202"/>
        <v>-1.5625</v>
      </c>
      <c r="DW203" s="74">
        <v>263</v>
      </c>
      <c r="DX203" s="72">
        <f t="shared" si="1202"/>
        <v>-0.75471698113207708</v>
      </c>
      <c r="DY203" s="74">
        <v>286</v>
      </c>
      <c r="DZ203" s="72">
        <f t="shared" si="1202"/>
        <v>3.6231884057970944</v>
      </c>
      <c r="EA203" s="74">
        <v>257</v>
      </c>
      <c r="EB203" s="72">
        <f t="shared" si="1203"/>
        <v>1.5810276679841877</v>
      </c>
      <c r="EC203" s="74">
        <v>247</v>
      </c>
      <c r="ED203" s="72">
        <f t="shared" si="1204"/>
        <v>-1.9841269841269877</v>
      </c>
      <c r="EE203" s="74">
        <v>296</v>
      </c>
      <c r="EF203" s="72">
        <f t="shared" si="1205"/>
        <v>12.54752851711028</v>
      </c>
      <c r="EG203" s="74">
        <v>242</v>
      </c>
      <c r="EH203" s="72">
        <f t="shared" si="1206"/>
        <v>-15.384615384615387</v>
      </c>
      <c r="EI203" s="74">
        <v>256</v>
      </c>
      <c r="EJ203" s="72">
        <f t="shared" si="1207"/>
        <v>-0.38910505836575737</v>
      </c>
      <c r="EK203" s="74">
        <v>240</v>
      </c>
      <c r="EL203" s="72">
        <f t="shared" si="1208"/>
        <v>-2.8340080971659916</v>
      </c>
      <c r="EM203" s="74">
        <v>263</v>
      </c>
      <c r="EN203" s="72">
        <f t="shared" si="1209"/>
        <v>-11.148648648648646</v>
      </c>
      <c r="EO203" s="74">
        <v>282</v>
      </c>
      <c r="EP203" s="72">
        <f t="shared" si="1210"/>
        <v>16.528925619834695</v>
      </c>
      <c r="EQ203" s="75">
        <f t="shared" ref="EQ203" si="1241">+EQ191*EQ210/100</f>
        <v>250.88334825816713</v>
      </c>
      <c r="ER203" s="72">
        <f t="shared" si="1212"/>
        <v>-1.9986920866534632</v>
      </c>
      <c r="ES203" s="75">
        <f t="shared" ref="ES203" si="1242">+ES191*ES210/100</f>
        <v>253.20197694979325</v>
      </c>
      <c r="ET203" s="72">
        <f t="shared" si="1214"/>
        <v>5.5008237290805226</v>
      </c>
      <c r="EU203" s="75">
        <f t="shared" ref="EU203" si="1243">+EU191*EU210/100</f>
        <v>255.64311971967032</v>
      </c>
      <c r="EV203" s="72">
        <f t="shared" si="1216"/>
        <v>-2.7972928822546379</v>
      </c>
      <c r="EW203" s="75">
        <f t="shared" ref="EW203" si="1244">+EW191*EW210/100</f>
        <v>258.10804306312411</v>
      </c>
      <c r="EX203" s="72">
        <f t="shared" si="1218"/>
        <v>-8.4723251549205258</v>
      </c>
      <c r="EY203" s="72"/>
      <c r="EZ203" s="309"/>
      <c r="FA203" s="72"/>
      <c r="FB203" s="81"/>
      <c r="FC203" s="72"/>
      <c r="FD203" s="74">
        <v>422</v>
      </c>
      <c r="FE203" s="72" t="str">
        <f t="shared" si="1219"/>
        <v>NA</v>
      </c>
      <c r="FF203" s="74">
        <v>432</v>
      </c>
      <c r="FG203" s="72">
        <f t="shared" si="1220"/>
        <v>2.3696682464454852</v>
      </c>
      <c r="FH203" s="75">
        <f>+K203+M203+O203+Q203</f>
        <v>383</v>
      </c>
      <c r="FI203" s="72">
        <f t="shared" si="1221"/>
        <v>-11.342592592592595</v>
      </c>
      <c r="FJ203" s="75">
        <f>+S203+U203+W203+Y203</f>
        <v>350</v>
      </c>
      <c r="FK203" s="72">
        <f t="shared" si="1222"/>
        <v>-8.6161879895561384</v>
      </c>
      <c r="FL203" s="75">
        <f>+AA203+AC203+AE203+AG203</f>
        <v>334</v>
      </c>
      <c r="FM203" s="72">
        <f t="shared" si="1223"/>
        <v>-4.5714285714285694</v>
      </c>
      <c r="FN203" s="75">
        <f>+AI203+AK203+AM203+AO203</f>
        <v>652</v>
      </c>
      <c r="FO203" s="72">
        <f t="shared" si="1224"/>
        <v>95.209580838323348</v>
      </c>
      <c r="FP203" s="75">
        <f>AQ203+AS203+AU203+AW203</f>
        <v>769</v>
      </c>
      <c r="FQ203" s="72">
        <f t="shared" si="1225"/>
        <v>17.944785276073617</v>
      </c>
      <c r="FR203" s="75">
        <f>AY203+BA203+BC203+BE203</f>
        <v>766</v>
      </c>
      <c r="FS203" s="72">
        <f t="shared" si="1226"/>
        <v>-0.39011703511053497</v>
      </c>
      <c r="FT203" s="75">
        <f>BG203+BI203+BK203+BM203</f>
        <v>853</v>
      </c>
      <c r="FU203" s="72">
        <f t="shared" si="1227"/>
        <v>11.357702349869456</v>
      </c>
      <c r="FV203" s="75">
        <f>BO203+BQ203+BS203+BU203</f>
        <v>813</v>
      </c>
      <c r="FW203" s="72">
        <f t="shared" si="1228"/>
        <v>-4.6893317702227364</v>
      </c>
      <c r="FX203" s="75">
        <f>BW203+BY203+CA203+CC203</f>
        <v>873</v>
      </c>
      <c r="FY203" s="72">
        <f t="shared" si="1228"/>
        <v>7.3800738007380176</v>
      </c>
      <c r="FZ203" s="75">
        <f>CE203+CG203+CI203+CK203</f>
        <v>944</v>
      </c>
      <c r="GA203" s="72">
        <f t="shared" si="1228"/>
        <v>8.1328751431844211</v>
      </c>
      <c r="GB203" s="75">
        <f>CM203+CO203+CQ203+CS203</f>
        <v>945</v>
      </c>
      <c r="GC203" s="72">
        <f t="shared" si="1228"/>
        <v>0.10593220338984111</v>
      </c>
      <c r="GD203" s="75">
        <f>CU203+CW203+CY203+DA203</f>
        <v>925</v>
      </c>
      <c r="GE203" s="72">
        <f t="shared" si="1228"/>
        <v>-2.1164021164021136</v>
      </c>
      <c r="GF203" s="75">
        <f>DC203+DE203+DG203+DI203</f>
        <v>987</v>
      </c>
      <c r="GG203" s="72">
        <f t="shared" si="1228"/>
        <v>6.7027027027026946</v>
      </c>
      <c r="GH203" s="75">
        <f>DK203+DM203+DO203+DQ203</f>
        <v>1044</v>
      </c>
      <c r="GI203" s="72">
        <f t="shared" si="1229"/>
        <v>5.7750759878419444</v>
      </c>
      <c r="GJ203" s="75">
        <f>DS203+DU203+DW203+DY203</f>
        <v>1054</v>
      </c>
      <c r="GK203" s="72">
        <f t="shared" si="1229"/>
        <v>0.95785440613028072</v>
      </c>
      <c r="GL203" s="75">
        <f>EA203+EC203+EE203+EG203</f>
        <v>1042</v>
      </c>
      <c r="GM203" s="72">
        <f t="shared" si="1229"/>
        <v>-1.1385199240986736</v>
      </c>
      <c r="GN203" s="75">
        <f>EI203+EK203+EM203+EO203</f>
        <v>1041</v>
      </c>
      <c r="GO203" s="72">
        <f t="shared" si="1229"/>
        <v>-9.5969289827252169E-2</v>
      </c>
      <c r="GP203" s="75">
        <f>EQ203+ES203+EU203+EW203</f>
        <v>1017.8364879907549</v>
      </c>
      <c r="GQ203" s="72">
        <f t="shared" si="1229"/>
        <v>-2.2251212304750396</v>
      </c>
      <c r="GR203" s="75">
        <f>+GR191*GR210/100</f>
        <v>1057.1811240412762</v>
      </c>
      <c r="GS203" s="72">
        <f t="shared" si="1229"/>
        <v>3.8655163687626271</v>
      </c>
      <c r="GT203" s="75">
        <f>+GT191*GT210/100</f>
        <v>1105.7528832057824</v>
      </c>
      <c r="GU203" s="72">
        <f t="shared" si="1229"/>
        <v>4.5944595547479565</v>
      </c>
      <c r="GV203" s="75">
        <f>+GV191*GV210/100</f>
        <v>1156.5623710825769</v>
      </c>
      <c r="GW203" s="72">
        <f t="shared" si="1230"/>
        <v>4.5950129227326357</v>
      </c>
      <c r="GX203" s="75">
        <f>+GX191*GX210/100</f>
        <v>1209.7139084777548</v>
      </c>
      <c r="GY203" s="72">
        <f t="shared" si="1231"/>
        <v>4.5956481659892319</v>
      </c>
      <c r="GZ203" s="72">
        <f t="shared" si="1232"/>
        <v>3.0496186333312192</v>
      </c>
      <c r="HA203" s="72"/>
      <c r="HB203" s="72"/>
      <c r="HC203"/>
      <c r="HD203"/>
      <c r="HE203"/>
      <c r="HF203"/>
      <c r="HG203"/>
      <c r="HH203"/>
      <c r="HI203" s="2"/>
    </row>
    <row r="204" spans="2:217" s="3" customFormat="1" ht="12.75" customHeight="1" x14ac:dyDescent="0.2">
      <c r="B204" s="3" t="s">
        <v>625</v>
      </c>
      <c r="C204" s="101"/>
      <c r="D204" s="72"/>
      <c r="E204" s="101"/>
      <c r="F204" s="72"/>
      <c r="G204" s="101"/>
      <c r="H204" s="72"/>
      <c r="I204" s="101"/>
      <c r="J204" s="72"/>
      <c r="K204" s="101">
        <v>0</v>
      </c>
      <c r="L204" s="72" t="str">
        <f t="shared" si="1166"/>
        <v>NA</v>
      </c>
      <c r="M204" s="101">
        <v>0</v>
      </c>
      <c r="N204" s="72" t="str">
        <f t="shared" si="1167"/>
        <v>NA</v>
      </c>
      <c r="O204" s="101">
        <v>-1</v>
      </c>
      <c r="P204" s="72" t="str">
        <f t="shared" si="1168"/>
        <v>NA</v>
      </c>
      <c r="Q204" s="101">
        <v>-1</v>
      </c>
      <c r="R204" s="72" t="str">
        <f t="shared" si="1169"/>
        <v>NA</v>
      </c>
      <c r="S204" s="101">
        <v>-1</v>
      </c>
      <c r="T204" s="72" t="str">
        <f t="shared" si="1169"/>
        <v>NA</v>
      </c>
      <c r="U204" s="101">
        <v>6</v>
      </c>
      <c r="V204" s="72" t="str">
        <f t="shared" si="1169"/>
        <v>NA</v>
      </c>
      <c r="W204" s="101">
        <v>-1</v>
      </c>
      <c r="X204" s="72">
        <f t="shared" si="1169"/>
        <v>0</v>
      </c>
      <c r="Y204" s="101">
        <v>4</v>
      </c>
      <c r="Z204" s="72" t="str">
        <f t="shared" si="1169"/>
        <v>NM</v>
      </c>
      <c r="AA204" s="101">
        <v>1</v>
      </c>
      <c r="AB204" s="72" t="str">
        <f t="shared" si="1169"/>
        <v>NM</v>
      </c>
      <c r="AC204" s="101">
        <v>0</v>
      </c>
      <c r="AD204" s="72" t="str">
        <f t="shared" si="1169"/>
        <v>NM</v>
      </c>
      <c r="AE204" s="101">
        <v>1</v>
      </c>
      <c r="AF204" s="72" t="str">
        <f t="shared" si="1169"/>
        <v>NM</v>
      </c>
      <c r="AG204" s="101">
        <v>-1</v>
      </c>
      <c r="AH204" s="72" t="str">
        <f t="shared" si="1169"/>
        <v>NM</v>
      </c>
      <c r="AI204" s="101">
        <v>1</v>
      </c>
      <c r="AJ204" s="72">
        <f t="shared" si="1169"/>
        <v>0</v>
      </c>
      <c r="AK204" s="101">
        <f>-9+3</f>
        <v>-6</v>
      </c>
      <c r="AL204" s="72" t="str">
        <f t="shared" si="1169"/>
        <v>NA</v>
      </c>
      <c r="AM204" s="101">
        <f>-6+4</f>
        <v>-2</v>
      </c>
      <c r="AN204" s="72" t="str">
        <f t="shared" si="1169"/>
        <v>NM</v>
      </c>
      <c r="AO204" s="101">
        <f>-15</f>
        <v>-15</v>
      </c>
      <c r="AP204" s="72" t="str">
        <f t="shared" si="1169"/>
        <v>NM</v>
      </c>
      <c r="AQ204" s="101">
        <f>-13+5</f>
        <v>-8</v>
      </c>
      <c r="AR204" s="72" t="str">
        <f t="shared" si="1170"/>
        <v>NM</v>
      </c>
      <c r="AS204" s="101">
        <f>-11+5</f>
        <v>-6</v>
      </c>
      <c r="AT204" s="72">
        <f t="shared" si="1171"/>
        <v>0</v>
      </c>
      <c r="AU204" s="101">
        <f>5-8</f>
        <v>-3</v>
      </c>
      <c r="AV204" s="72">
        <f t="shared" si="1172"/>
        <v>50</v>
      </c>
      <c r="AW204" s="101">
        <f>-12+6</f>
        <v>-6</v>
      </c>
      <c r="AX204" s="72" t="str">
        <f t="shared" si="1173"/>
        <v>NM</v>
      </c>
      <c r="AY204" s="101">
        <f>-17+6</f>
        <v>-11</v>
      </c>
      <c r="AZ204" s="72">
        <f t="shared" si="1174"/>
        <v>37.5</v>
      </c>
      <c r="BA204" s="101">
        <f>-16+9</f>
        <v>-7</v>
      </c>
      <c r="BB204" s="72">
        <f t="shared" si="1175"/>
        <v>16.666666666666671</v>
      </c>
      <c r="BC204" s="101">
        <f>-22+6</f>
        <v>-16</v>
      </c>
      <c r="BD204" s="72" t="str">
        <f t="shared" si="1176"/>
        <v>NM</v>
      </c>
      <c r="BE204" s="101">
        <f>-21+4</f>
        <v>-17</v>
      </c>
      <c r="BF204" s="72" t="str">
        <f t="shared" si="1177"/>
        <v>NM</v>
      </c>
      <c r="BG204" s="101">
        <f>-15+3</f>
        <v>-12</v>
      </c>
      <c r="BH204" s="72">
        <f t="shared" si="1178"/>
        <v>9.0909090909090793</v>
      </c>
      <c r="BI204" s="101">
        <f>-21+6</f>
        <v>-15</v>
      </c>
      <c r="BJ204" s="72" t="str">
        <f t="shared" si="1179"/>
        <v>NM</v>
      </c>
      <c r="BK204" s="101">
        <f>-15+7</f>
        <v>-8</v>
      </c>
      <c r="BL204" s="72">
        <f t="shared" si="1180"/>
        <v>-50</v>
      </c>
      <c r="BM204" s="101">
        <f>-24+2</f>
        <v>-22</v>
      </c>
      <c r="BN204" s="72">
        <f t="shared" si="1181"/>
        <v>29.411764705882348</v>
      </c>
      <c r="BO204" s="101">
        <f>-25+5</f>
        <v>-20</v>
      </c>
      <c r="BP204" s="72">
        <f t="shared" si="1182"/>
        <v>66.666666666666686</v>
      </c>
      <c r="BQ204" s="101">
        <f>-23+4</f>
        <v>-19</v>
      </c>
      <c r="BR204" s="72">
        <f t="shared" si="1183"/>
        <v>26.666666666666657</v>
      </c>
      <c r="BS204" s="101">
        <f>-14+13</f>
        <v>-1</v>
      </c>
      <c r="BT204" s="72" t="str">
        <f t="shared" si="1184"/>
        <v>NM</v>
      </c>
      <c r="BU204" s="101">
        <f>-16+2</f>
        <v>-14</v>
      </c>
      <c r="BV204" s="72">
        <f t="shared" si="1185"/>
        <v>-36.363636363636367</v>
      </c>
      <c r="BW204" s="101">
        <f>-14+6</f>
        <v>-8</v>
      </c>
      <c r="BX204" s="72" t="str">
        <f t="shared" si="1186"/>
        <v>NM</v>
      </c>
      <c r="BY204" s="101">
        <f>-15+6</f>
        <v>-9</v>
      </c>
      <c r="BZ204" s="72" t="str">
        <f t="shared" si="1187"/>
        <v>NM</v>
      </c>
      <c r="CA204" s="101">
        <f>-13+9</f>
        <v>-4</v>
      </c>
      <c r="CB204" s="72" t="str">
        <f t="shared" si="1188"/>
        <v>NM</v>
      </c>
      <c r="CC204" s="101">
        <f>-6+3</f>
        <v>-3</v>
      </c>
      <c r="CD204" s="72" t="str">
        <f t="shared" si="1189"/>
        <v>NM</v>
      </c>
      <c r="CE204" s="101">
        <f>-7+3</f>
        <v>-4</v>
      </c>
      <c r="CF204" s="72">
        <f t="shared" si="1190"/>
        <v>-50</v>
      </c>
      <c r="CG204" s="101">
        <f>-14+4</f>
        <v>-10</v>
      </c>
      <c r="CH204" s="72">
        <f t="shared" si="1191"/>
        <v>11.111111111111114</v>
      </c>
      <c r="CI204" s="101">
        <f>-9+5</f>
        <v>-4</v>
      </c>
      <c r="CJ204" s="72">
        <f t="shared" si="1192"/>
        <v>0</v>
      </c>
      <c r="CK204" s="101">
        <f>-11+4</f>
        <v>-7</v>
      </c>
      <c r="CL204" s="72" t="str">
        <f t="shared" si="1192"/>
        <v>NM</v>
      </c>
      <c r="CM204" s="101">
        <f>-9+25</f>
        <v>16</v>
      </c>
      <c r="CN204" s="72" t="str">
        <f t="shared" si="1192"/>
        <v>NM</v>
      </c>
      <c r="CO204" s="101">
        <f>-8+4</f>
        <v>-4</v>
      </c>
      <c r="CP204" s="72" t="str">
        <f t="shared" si="1192"/>
        <v>NM</v>
      </c>
      <c r="CQ204" s="101">
        <f>-8+9</f>
        <v>1</v>
      </c>
      <c r="CR204" s="72" t="str">
        <f t="shared" si="1192"/>
        <v>NM</v>
      </c>
      <c r="CS204" s="101">
        <f>-7+3</f>
        <v>-4</v>
      </c>
      <c r="CT204" s="72">
        <f t="shared" si="1192"/>
        <v>-42.857142857142861</v>
      </c>
      <c r="CU204" s="101">
        <f>-4+5</f>
        <v>1</v>
      </c>
      <c r="CV204" s="72" t="str">
        <f t="shared" si="1193"/>
        <v>NM</v>
      </c>
      <c r="CW204" s="101">
        <f>-8+5</f>
        <v>-3</v>
      </c>
      <c r="CX204" s="72">
        <f t="shared" si="1194"/>
        <v>-25</v>
      </c>
      <c r="CY204" s="101">
        <f>-10+10</f>
        <v>0</v>
      </c>
      <c r="CZ204" s="72" t="str">
        <f t="shared" si="1195"/>
        <v>NM</v>
      </c>
      <c r="DA204" s="101">
        <f>-27+29</f>
        <v>2</v>
      </c>
      <c r="DB204" s="72" t="str">
        <f t="shared" si="1196"/>
        <v>NM</v>
      </c>
      <c r="DC204" s="101">
        <f>-5+5</f>
        <v>0</v>
      </c>
      <c r="DD204" s="72" t="str">
        <f t="shared" si="1197"/>
        <v>NM</v>
      </c>
      <c r="DE204" s="101">
        <f>-8+6</f>
        <v>-2</v>
      </c>
      <c r="DF204" s="72">
        <f t="shared" si="1198"/>
        <v>-33.333333333333343</v>
      </c>
      <c r="DG204" s="101">
        <f>-7+1</f>
        <v>-6</v>
      </c>
      <c r="DH204" s="72" t="str">
        <f t="shared" si="1199"/>
        <v>NA</v>
      </c>
      <c r="DI204" s="101">
        <f>-9+3</f>
        <v>-6</v>
      </c>
      <c r="DJ204" s="72" t="str">
        <f t="shared" si="1200"/>
        <v>NM</v>
      </c>
      <c r="DK204" s="101">
        <f>-7+5</f>
        <v>-2</v>
      </c>
      <c r="DL204" s="72" t="str">
        <f t="shared" si="1201"/>
        <v>NA</v>
      </c>
      <c r="DM204" s="101">
        <f>-10+5</f>
        <v>-5</v>
      </c>
      <c r="DN204" s="72" t="str">
        <f t="shared" si="1202"/>
        <v>NM</v>
      </c>
      <c r="DO204" s="101">
        <f>-17+7</f>
        <v>-10</v>
      </c>
      <c r="DP204" s="72">
        <f t="shared" si="1202"/>
        <v>66.666666666666686</v>
      </c>
      <c r="DQ204" s="101">
        <f>-16+14</f>
        <v>-2</v>
      </c>
      <c r="DR204" s="72" t="str">
        <f t="shared" si="1202"/>
        <v>NM</v>
      </c>
      <c r="DS204" s="101">
        <f>-8+5</f>
        <v>-3</v>
      </c>
      <c r="DT204" s="72">
        <f t="shared" si="1202"/>
        <v>50</v>
      </c>
      <c r="DU204" s="101">
        <f>35-13</f>
        <v>22</v>
      </c>
      <c r="DV204" s="72" t="str">
        <f t="shared" si="1202"/>
        <v>NM</v>
      </c>
      <c r="DW204" s="101">
        <f>-11+12</f>
        <v>1</v>
      </c>
      <c r="DX204" s="72" t="str">
        <f t="shared" si="1202"/>
        <v>NM</v>
      </c>
      <c r="DY204" s="101">
        <f>-14+14</f>
        <v>0</v>
      </c>
      <c r="DZ204" s="72" t="str">
        <f t="shared" si="1202"/>
        <v>NM</v>
      </c>
      <c r="EA204" s="101">
        <f>-7+7</f>
        <v>0</v>
      </c>
      <c r="EB204" s="72" t="str">
        <f t="shared" si="1203"/>
        <v>NM</v>
      </c>
      <c r="EC204" s="101">
        <f>-8+5</f>
        <v>-3</v>
      </c>
      <c r="ED204" s="72" t="str">
        <f t="shared" si="1204"/>
        <v>NM</v>
      </c>
      <c r="EE204" s="101">
        <f>-10+13</f>
        <v>3</v>
      </c>
      <c r="EF204" s="72" t="str">
        <f t="shared" si="1205"/>
        <v>NM</v>
      </c>
      <c r="EG204" s="101">
        <f>8-6</f>
        <v>2</v>
      </c>
      <c r="EH204" s="72" t="str">
        <f t="shared" si="1206"/>
        <v>NA</v>
      </c>
      <c r="EI204" s="101">
        <f>-7+4</f>
        <v>-3</v>
      </c>
      <c r="EJ204" s="72" t="str">
        <f t="shared" si="1207"/>
        <v>NA</v>
      </c>
      <c r="EK204" s="101">
        <f>-9+4</f>
        <v>-5</v>
      </c>
      <c r="EL204" s="72">
        <f t="shared" si="1208"/>
        <v>66.666666666666686</v>
      </c>
      <c r="EM204" s="101">
        <f>-9+7</f>
        <v>-2</v>
      </c>
      <c r="EN204" s="72" t="str">
        <f t="shared" si="1209"/>
        <v>NM</v>
      </c>
      <c r="EO204" s="101">
        <f>-11+11</f>
        <v>0</v>
      </c>
      <c r="EP204" s="72" t="str">
        <f t="shared" si="1210"/>
        <v>NM</v>
      </c>
      <c r="EQ204" s="721">
        <f t="shared" ref="EQ204" si="1245">EQ203/EO203*EO204</f>
        <v>0</v>
      </c>
      <c r="ER204" s="72" t="str">
        <f t="shared" si="1212"/>
        <v>NM</v>
      </c>
      <c r="ES204" s="721">
        <f t="shared" ref="ES204" si="1246">ES203/EQ203*EQ204</f>
        <v>0</v>
      </c>
      <c r="ET204" s="72" t="str">
        <f t="shared" si="1214"/>
        <v>NM</v>
      </c>
      <c r="EU204" s="721">
        <f t="shared" ref="EU204" si="1247">EU203/ES203*ES204</f>
        <v>0</v>
      </c>
      <c r="EV204" s="72" t="str">
        <f t="shared" si="1216"/>
        <v>NM</v>
      </c>
      <c r="EW204" s="721">
        <f t="shared" ref="EW204" si="1248">EW203/EU203*EU204</f>
        <v>0</v>
      </c>
      <c r="EX204" s="72" t="str">
        <f t="shared" si="1218"/>
        <v>NA</v>
      </c>
      <c r="EY204" s="72"/>
      <c r="EZ204" s="309"/>
      <c r="FA204" s="72"/>
      <c r="FB204" s="81"/>
      <c r="FC204" s="72"/>
      <c r="FD204" s="100">
        <v>-9</v>
      </c>
      <c r="FE204" s="72" t="str">
        <f t="shared" si="1219"/>
        <v>NA</v>
      </c>
      <c r="FF204" s="100">
        <v>7</v>
      </c>
      <c r="FG204" s="72" t="str">
        <f t="shared" si="1220"/>
        <v>NM</v>
      </c>
      <c r="FH204" s="75">
        <f>+K204+M204+O204+Q204</f>
        <v>-2</v>
      </c>
      <c r="FI204" s="72" t="str">
        <f t="shared" si="1221"/>
        <v>NM</v>
      </c>
      <c r="FJ204" s="75">
        <f>+S204+U204+W204+Y204</f>
        <v>8</v>
      </c>
      <c r="FK204" s="72" t="str">
        <f t="shared" si="1222"/>
        <v>NM</v>
      </c>
      <c r="FL204" s="75">
        <f>+AA204+AC204+AE204+AG204</f>
        <v>1</v>
      </c>
      <c r="FM204" s="72" t="str">
        <f t="shared" si="1223"/>
        <v>NM</v>
      </c>
      <c r="FN204" s="75">
        <f>+AI204+AK204+AM204+AO204</f>
        <v>-22</v>
      </c>
      <c r="FO204" s="72" t="str">
        <f t="shared" si="1224"/>
        <v>NM</v>
      </c>
      <c r="FP204" s="75">
        <f>AQ204+AS204+AU204+AW204</f>
        <v>-23</v>
      </c>
      <c r="FQ204" s="72">
        <f t="shared" si="1225"/>
        <v>4.5454545454545467</v>
      </c>
      <c r="FR204" s="100">
        <f>AY204+BA204+BC204+BE204</f>
        <v>-51</v>
      </c>
      <c r="FS204" s="72" t="str">
        <f t="shared" si="1226"/>
        <v>NM</v>
      </c>
      <c r="FT204" s="100">
        <f>BG204+BI204+BK204+BM204</f>
        <v>-57</v>
      </c>
      <c r="FU204" s="72">
        <f t="shared" si="1227"/>
        <v>11.764705882352942</v>
      </c>
      <c r="FV204" s="101">
        <f>-64+21</f>
        <v>-43</v>
      </c>
      <c r="FW204" s="72">
        <f t="shared" si="1228"/>
        <v>-24.561403508771932</v>
      </c>
      <c r="FX204" s="74">
        <f>-38+17</f>
        <v>-21</v>
      </c>
      <c r="FY204" s="72" t="str">
        <f t="shared" si="1228"/>
        <v>NM</v>
      </c>
      <c r="FZ204" s="75">
        <f>CE204+CG204+CI204+CK204</f>
        <v>-25</v>
      </c>
      <c r="GA204" s="72">
        <f t="shared" si="1228"/>
        <v>19.047619047619051</v>
      </c>
      <c r="GB204" s="100">
        <f>CM204+CO204+CQ204+CS204</f>
        <v>9</v>
      </c>
      <c r="GC204" s="72" t="str">
        <f t="shared" si="1228"/>
        <v>NM</v>
      </c>
      <c r="GD204" s="100">
        <f>CU204+CW204+CY204+DA204</f>
        <v>0</v>
      </c>
      <c r="GE204" s="72" t="str">
        <f t="shared" si="1228"/>
        <v>NM</v>
      </c>
      <c r="GF204" s="100">
        <f>DC204+DE204+DG204+DI204</f>
        <v>-14</v>
      </c>
      <c r="GG204" s="72" t="str">
        <f t="shared" si="1228"/>
        <v>NA</v>
      </c>
      <c r="GH204" s="100">
        <f>DK204+DM204+DO204+DQ204</f>
        <v>-19</v>
      </c>
      <c r="GI204" s="72">
        <f t="shared" si="1229"/>
        <v>35.714285714285722</v>
      </c>
      <c r="GJ204" s="721">
        <f>DS204+DU204+DW204+DY204</f>
        <v>20</v>
      </c>
      <c r="GK204" s="532" t="str">
        <f t="shared" si="1229"/>
        <v>NM</v>
      </c>
      <c r="GL204" s="721">
        <f>EA204+EC204+EE204+EG204</f>
        <v>2</v>
      </c>
      <c r="GM204" s="532" t="str">
        <f t="shared" si="1229"/>
        <v>NM</v>
      </c>
      <c r="GN204" s="721">
        <f>EI204+EK204+EM204+EO204</f>
        <v>-10</v>
      </c>
      <c r="GO204" s="532" t="str">
        <f t="shared" si="1229"/>
        <v>NM</v>
      </c>
      <c r="GP204" s="721">
        <f>EQ204+ES204+EU204+EW204</f>
        <v>0</v>
      </c>
      <c r="GQ204" s="532" t="str">
        <f t="shared" si="1229"/>
        <v>NM</v>
      </c>
      <c r="GR204" s="721">
        <f>GR203/GP203*GP204</f>
        <v>0</v>
      </c>
      <c r="GS204" s="532" t="str">
        <f t="shared" si="1229"/>
        <v>NA</v>
      </c>
      <c r="GT204" s="721">
        <f>GT203/GR203*GR204</f>
        <v>0</v>
      </c>
      <c r="GU204" s="72" t="str">
        <f t="shared" si="1229"/>
        <v>NA</v>
      </c>
      <c r="GV204" s="721">
        <f>GV203/GT203*GT204</f>
        <v>0</v>
      </c>
      <c r="GW204" s="72" t="str">
        <f t="shared" si="1230"/>
        <v>NA</v>
      </c>
      <c r="GX204" s="721">
        <f>GX203/GV203*GV204</f>
        <v>0</v>
      </c>
      <c r="GY204" s="72" t="str">
        <f t="shared" si="1231"/>
        <v>NA</v>
      </c>
      <c r="GZ204" s="72" t="str">
        <f t="shared" si="1232"/>
        <v>NM</v>
      </c>
      <c r="HA204" s="72"/>
      <c r="HB204" s="72"/>
      <c r="HC204"/>
      <c r="HD204"/>
      <c r="HE204"/>
      <c r="HF204"/>
      <c r="HG204"/>
      <c r="HH204"/>
      <c r="HI204" s="2"/>
    </row>
    <row r="205" spans="2:217" s="3" customFormat="1" ht="12.75" customHeight="1" x14ac:dyDescent="0.2">
      <c r="B205" s="70" t="s">
        <v>74</v>
      </c>
      <c r="C205" s="91"/>
      <c r="D205" s="72"/>
      <c r="E205" s="91"/>
      <c r="F205" s="72"/>
      <c r="G205" s="91"/>
      <c r="H205" s="72"/>
      <c r="I205" s="91"/>
      <c r="J205" s="72"/>
      <c r="K205" s="91">
        <f>SUM(K200:K204)</f>
        <v>575</v>
      </c>
      <c r="L205" s="72" t="str">
        <f t="shared" si="1166"/>
        <v>NA</v>
      </c>
      <c r="M205" s="91">
        <f>SUM(M200:M204)</f>
        <v>560</v>
      </c>
      <c r="N205" s="72" t="str">
        <f t="shared" si="1167"/>
        <v>NA</v>
      </c>
      <c r="O205" s="91">
        <f>SUM(O200:O204)</f>
        <v>579</v>
      </c>
      <c r="P205" s="72" t="str">
        <f t="shared" si="1168"/>
        <v>NA</v>
      </c>
      <c r="Q205" s="91">
        <f>SUM(Q200:Q204)</f>
        <v>570</v>
      </c>
      <c r="R205" s="72" t="str">
        <f t="shared" si="1169"/>
        <v>NA</v>
      </c>
      <c r="S205" s="91">
        <f>SUM(S200:S204)</f>
        <v>530</v>
      </c>
      <c r="T205" s="72">
        <f t="shared" si="1169"/>
        <v>-7.8260869565217348</v>
      </c>
      <c r="U205" s="91">
        <f>SUM(U200:U204)</f>
        <v>567</v>
      </c>
      <c r="V205" s="72">
        <f t="shared" si="1169"/>
        <v>1.25</v>
      </c>
      <c r="W205" s="91">
        <f>SUM(W200:W204)</f>
        <v>551</v>
      </c>
      <c r="X205" s="72">
        <f t="shared" si="1169"/>
        <v>-4.8359240069084706</v>
      </c>
      <c r="Y205" s="91">
        <f>SUM(Y200:Y204)</f>
        <v>570</v>
      </c>
      <c r="Z205" s="72">
        <f t="shared" si="1169"/>
        <v>0</v>
      </c>
      <c r="AA205" s="91">
        <f>SUM(AA200:AA204)</f>
        <v>528</v>
      </c>
      <c r="AB205" s="72">
        <f t="shared" si="1169"/>
        <v>-0.37735849056603854</v>
      </c>
      <c r="AC205" s="91">
        <f>SUM(AC200:AC204)</f>
        <v>528</v>
      </c>
      <c r="AD205" s="72">
        <f t="shared" si="1169"/>
        <v>-6.878306878306887</v>
      </c>
      <c r="AE205" s="91">
        <f>SUM(AE200:AE204)</f>
        <v>512</v>
      </c>
      <c r="AF205" s="72">
        <f t="shared" si="1169"/>
        <v>-7.078039927404717</v>
      </c>
      <c r="AG205" s="91">
        <f>SUM(AG200:AG204)</f>
        <v>521</v>
      </c>
      <c r="AH205" s="72">
        <f t="shared" si="1169"/>
        <v>-8.5964912280701782</v>
      </c>
      <c r="AI205" s="91">
        <f>SUM(AI200:AI204)</f>
        <v>525</v>
      </c>
      <c r="AJ205" s="72">
        <f t="shared" si="1169"/>
        <v>-0.56818181818182723</v>
      </c>
      <c r="AK205" s="91">
        <f>SUM(AK200:AK204)</f>
        <v>761</v>
      </c>
      <c r="AL205" s="72">
        <f t="shared" si="1169"/>
        <v>44.128787878787875</v>
      </c>
      <c r="AM205" s="91">
        <f>SUM(AM200:AM204)</f>
        <v>806</v>
      </c>
      <c r="AN205" s="72">
        <f t="shared" si="1169"/>
        <v>57.421875</v>
      </c>
      <c r="AO205" s="91">
        <f>SUM(AO200:AO204)</f>
        <v>799</v>
      </c>
      <c r="AP205" s="72">
        <f t="shared" si="1169"/>
        <v>53.35892514395394</v>
      </c>
      <c r="AQ205" s="91">
        <f>SUM(AQ200:AQ204)</f>
        <v>788</v>
      </c>
      <c r="AR205" s="72">
        <f t="shared" si="1170"/>
        <v>50.095238095238102</v>
      </c>
      <c r="AS205" s="91">
        <f>SUM(AS200:AS204)</f>
        <v>870</v>
      </c>
      <c r="AT205" s="72">
        <f t="shared" si="1171"/>
        <v>14.323258869908017</v>
      </c>
      <c r="AU205" s="91">
        <f>SUM(AU200:AU204)</f>
        <v>937</v>
      </c>
      <c r="AV205" s="72">
        <f t="shared" si="1172"/>
        <v>16.253101736972695</v>
      </c>
      <c r="AW205" s="91">
        <f>SUM(AW200:AW204)</f>
        <v>932</v>
      </c>
      <c r="AX205" s="72">
        <f t="shared" si="1173"/>
        <v>16.645807259073848</v>
      </c>
      <c r="AY205" s="91">
        <f>SUM(AY200:AY204)</f>
        <v>917</v>
      </c>
      <c r="AZ205" s="72">
        <f t="shared" si="1174"/>
        <v>16.370558375634531</v>
      </c>
      <c r="BA205" s="91">
        <f>SUM(BA200:BA204)</f>
        <v>907</v>
      </c>
      <c r="BB205" s="72">
        <f t="shared" si="1175"/>
        <v>4.2528735632184009</v>
      </c>
      <c r="BC205" s="91">
        <f>SUM(BC200:BC204)</f>
        <v>1003</v>
      </c>
      <c r="BD205" s="72">
        <f t="shared" si="1176"/>
        <v>7.043756670224127</v>
      </c>
      <c r="BE205" s="91">
        <f>SUM(BE200:BE204)</f>
        <v>1042</v>
      </c>
      <c r="BF205" s="72">
        <f t="shared" si="1177"/>
        <v>11.80257510729615</v>
      </c>
      <c r="BG205" s="91">
        <f>SUM(BG200:BG204)</f>
        <v>1015</v>
      </c>
      <c r="BH205" s="72">
        <f t="shared" si="1178"/>
        <v>10.687022900763353</v>
      </c>
      <c r="BI205" s="91">
        <f>SUM(BI200:BI204)</f>
        <v>1012</v>
      </c>
      <c r="BJ205" s="72">
        <f t="shared" si="1179"/>
        <v>11.576626240352809</v>
      </c>
      <c r="BK205" s="91">
        <f>SUM(BK200:BK204)</f>
        <v>1130</v>
      </c>
      <c r="BL205" s="72">
        <f t="shared" si="1180"/>
        <v>12.662013958125627</v>
      </c>
      <c r="BM205" s="91">
        <f>SUM(BM200:BM204)</f>
        <v>1069</v>
      </c>
      <c r="BN205" s="72">
        <f t="shared" si="1181"/>
        <v>2.5911708253358938</v>
      </c>
      <c r="BO205" s="91">
        <f>SUM(BO200:BO204)</f>
        <v>1143</v>
      </c>
      <c r="BP205" s="72">
        <f t="shared" si="1182"/>
        <v>12.610837438423644</v>
      </c>
      <c r="BQ205" s="91">
        <f>SUM(BQ200:BQ204)</f>
        <v>1066</v>
      </c>
      <c r="BR205" s="72">
        <f t="shared" si="1183"/>
        <v>5.3359683794466264</v>
      </c>
      <c r="BS205" s="91">
        <f>SUM(BS200:BS204)</f>
        <v>985</v>
      </c>
      <c r="BT205" s="72">
        <f t="shared" si="1184"/>
        <v>-12.83185840707965</v>
      </c>
      <c r="BU205" s="91">
        <f>SUM(BU200:BU204)</f>
        <v>1119</v>
      </c>
      <c r="BV205" s="72">
        <f t="shared" si="1185"/>
        <v>4.6772684752104823</v>
      </c>
      <c r="BW205" s="91">
        <f>SUM(BW200:BW204)</f>
        <v>1043</v>
      </c>
      <c r="BX205" s="72">
        <f t="shared" si="1186"/>
        <v>-8.7489063867016625</v>
      </c>
      <c r="BY205" s="91">
        <f>SUM(BY200:BY204)</f>
        <v>1137</v>
      </c>
      <c r="BZ205" s="72">
        <f t="shared" si="1187"/>
        <v>6.6604127579737309</v>
      </c>
      <c r="CA205" s="91">
        <f>SUM(CA200:CA204)</f>
        <v>983</v>
      </c>
      <c r="CB205" s="72">
        <f t="shared" si="1188"/>
        <v>-0.20304568527919287</v>
      </c>
      <c r="CC205" s="91">
        <f>SUM(CC200:CC204)</f>
        <v>1002</v>
      </c>
      <c r="CD205" s="72">
        <f t="shared" si="1189"/>
        <v>-10.455764075067023</v>
      </c>
      <c r="CE205" s="91">
        <f>SUM(CE200:CE204)</f>
        <v>962</v>
      </c>
      <c r="CF205" s="72">
        <f t="shared" si="1190"/>
        <v>-7.7660594439117858</v>
      </c>
      <c r="CG205" s="91">
        <f>SUM(CG200:CG204)</f>
        <v>1236</v>
      </c>
      <c r="CH205" s="72">
        <f t="shared" si="1191"/>
        <v>8.7071240105540966</v>
      </c>
      <c r="CI205" s="91">
        <f>SUM(CI200:CI204)</f>
        <v>1258</v>
      </c>
      <c r="CJ205" s="72">
        <f t="shared" si="1192"/>
        <v>27.975584944048833</v>
      </c>
      <c r="CK205" s="91">
        <f>SUM(CK200:CK204)</f>
        <v>1162</v>
      </c>
      <c r="CL205" s="72">
        <f t="shared" si="1192"/>
        <v>15.968063872255485</v>
      </c>
      <c r="CM205" s="91">
        <f>SUM(CM200:CM204)</f>
        <v>1034</v>
      </c>
      <c r="CN205" s="72">
        <f t="shared" si="1192"/>
        <v>7.4844074844074839</v>
      </c>
      <c r="CO205" s="91">
        <f>SUM(CO200:CO204)</f>
        <v>1077</v>
      </c>
      <c r="CP205" s="72">
        <f t="shared" si="1192"/>
        <v>-12.864077669902912</v>
      </c>
      <c r="CQ205" s="91">
        <f>SUM(CQ200:CQ204)</f>
        <v>1060</v>
      </c>
      <c r="CR205" s="72">
        <f t="shared" si="1192"/>
        <v>-15.73926868044515</v>
      </c>
      <c r="CS205" s="91">
        <f>SUM(CS200:CS204)</f>
        <v>1106</v>
      </c>
      <c r="CT205" s="72">
        <f t="shared" si="1192"/>
        <v>-4.819277108433738</v>
      </c>
      <c r="CU205" s="91">
        <f>SUM(CU200:CU204)</f>
        <v>951</v>
      </c>
      <c r="CV205" s="72">
        <f t="shared" si="1193"/>
        <v>-8.0270793036750376</v>
      </c>
      <c r="CW205" s="91">
        <f>SUM(CW200:CW204)</f>
        <v>1095</v>
      </c>
      <c r="CX205" s="72">
        <f t="shared" si="1194"/>
        <v>1.6713091922005532</v>
      </c>
      <c r="CY205" s="91">
        <f>SUM(CY200:CY204)</f>
        <v>1052</v>
      </c>
      <c r="CZ205" s="72">
        <f t="shared" si="1195"/>
        <v>-0.75471698113207708</v>
      </c>
      <c r="DA205" s="91">
        <f>SUM(DA200:DA204)</f>
        <v>32859</v>
      </c>
      <c r="DB205" s="72" t="str">
        <f t="shared" si="1196"/>
        <v>NM</v>
      </c>
      <c r="DC205" s="91">
        <f>SUM(DC200:DC204)</f>
        <v>1108</v>
      </c>
      <c r="DD205" s="72">
        <f t="shared" si="1197"/>
        <v>16.508937960042076</v>
      </c>
      <c r="DE205" s="91">
        <f>SUM(DE200:DE204)</f>
        <v>1242</v>
      </c>
      <c r="DF205" s="72">
        <f t="shared" si="1198"/>
        <v>13.424657534246577</v>
      </c>
      <c r="DG205" s="91">
        <f>SUM(DG200:DG204)</f>
        <v>1288</v>
      </c>
      <c r="DH205" s="72">
        <f t="shared" si="1199"/>
        <v>22.433460076045634</v>
      </c>
      <c r="DI205" s="91">
        <f>SUM(DI200:DI204)</f>
        <v>1351</v>
      </c>
      <c r="DJ205" s="72" t="str">
        <f t="shared" si="1200"/>
        <v>NM</v>
      </c>
      <c r="DK205" s="91">
        <f>SUM(DK200:DK204)</f>
        <v>1167</v>
      </c>
      <c r="DL205" s="72">
        <f t="shared" si="1201"/>
        <v>5.3249097472924234</v>
      </c>
      <c r="DM205" s="91">
        <f>SUM(DM200:DM204)</f>
        <v>1183</v>
      </c>
      <c r="DN205" s="72">
        <f t="shared" si="1202"/>
        <v>-4.7504025764895346</v>
      </c>
      <c r="DO205" s="91">
        <f>SUM(DO200:DO204)</f>
        <v>2141</v>
      </c>
      <c r="DP205" s="72">
        <f t="shared" si="1202"/>
        <v>66.226708074534173</v>
      </c>
      <c r="DQ205" s="91">
        <f>SUM(DQ200:DQ204)</f>
        <v>6371</v>
      </c>
      <c r="DR205" s="72" t="str">
        <f t="shared" si="1202"/>
        <v>NM</v>
      </c>
      <c r="DS205" s="91">
        <f>SUM(DS200:DS204)</f>
        <v>2194</v>
      </c>
      <c r="DT205" s="72">
        <f t="shared" si="1202"/>
        <v>88.003427592116537</v>
      </c>
      <c r="DU205" s="91">
        <f>SUM(DU200:DU204)</f>
        <v>2943</v>
      </c>
      <c r="DV205" s="72" t="str">
        <f t="shared" si="1202"/>
        <v>NM</v>
      </c>
      <c r="DW205" s="91">
        <f>SUM(DW200:DW204)</f>
        <v>1695</v>
      </c>
      <c r="DX205" s="72">
        <f t="shared" si="1202"/>
        <v>-20.831387202241942</v>
      </c>
      <c r="DY205" s="91">
        <f>SUM(DY200:DY204)</f>
        <v>4058</v>
      </c>
      <c r="DZ205" s="72">
        <f t="shared" si="1202"/>
        <v>-36.305132632239832</v>
      </c>
      <c r="EA205" s="91">
        <f>SUM(EA200:EA204)</f>
        <v>1674</v>
      </c>
      <c r="EB205" s="72">
        <f t="shared" si="1203"/>
        <v>-23.701002734731077</v>
      </c>
      <c r="EC205" s="91">
        <f>SUM(EC200:EC204)</f>
        <v>2005</v>
      </c>
      <c r="ED205" s="72">
        <f t="shared" si="1204"/>
        <v>-31.872239211688765</v>
      </c>
      <c r="EE205" s="91">
        <f>SUM(EE200:EE204)</f>
        <v>4895</v>
      </c>
      <c r="EF205" s="72" t="str">
        <f t="shared" si="1205"/>
        <v>NM</v>
      </c>
      <c r="EG205" s="91">
        <f>SUM(EG200:EG204)</f>
        <v>3290</v>
      </c>
      <c r="EH205" s="72">
        <f t="shared" si="1206"/>
        <v>-18.925579103006413</v>
      </c>
      <c r="EI205" s="91">
        <f>SUM(EI200:EI204)</f>
        <v>1540</v>
      </c>
      <c r="EJ205" s="72">
        <f t="shared" si="1207"/>
        <v>-8.00477897252091</v>
      </c>
      <c r="EK205" s="91">
        <f>SUM(EK200:EK204)</f>
        <v>3299</v>
      </c>
      <c r="EL205" s="72">
        <f t="shared" si="1208"/>
        <v>64.538653366583532</v>
      </c>
      <c r="EM205" s="91">
        <f>SUM(EM200:EM204)</f>
        <v>3011</v>
      </c>
      <c r="EN205" s="72">
        <f t="shared" si="1209"/>
        <v>-38.488253319713991</v>
      </c>
      <c r="EO205" s="91">
        <f>SUM(EO200:EO204)</f>
        <v>4749</v>
      </c>
      <c r="EP205" s="72">
        <f t="shared" si="1210"/>
        <v>44.346504559270528</v>
      </c>
      <c r="EQ205" s="91">
        <f t="shared" ref="EQ205" si="1249">SUM(EQ200:EQ204)</f>
        <v>3037.5540525860274</v>
      </c>
      <c r="ER205" s="72">
        <f t="shared" si="1212"/>
        <v>97.243769648443333</v>
      </c>
      <c r="ES205" s="91">
        <f t="shared" ref="ES205" si="1250">SUM(ES200:ES204)</f>
        <v>3090.5998661657354</v>
      </c>
      <c r="ET205" s="72">
        <f t="shared" si="1214"/>
        <v>-6.3170698343214582</v>
      </c>
      <c r="EU205" s="91">
        <f t="shared" ref="EU205" si="1251">SUM(EU200:EU204)</f>
        <v>3143.7481756383604</v>
      </c>
      <c r="EV205" s="72">
        <f t="shared" si="1216"/>
        <v>4.4087736844357579</v>
      </c>
      <c r="EW205" s="91">
        <f t="shared" ref="EW205" si="1252">SUM(EW200:EW204)</f>
        <v>3189.4334609797938</v>
      </c>
      <c r="EX205" s="72">
        <f t="shared" si="1218"/>
        <v>-32.839893430621316</v>
      </c>
      <c r="EY205" s="72"/>
      <c r="EZ205" s="309"/>
      <c r="FA205" s="72"/>
      <c r="FB205" s="81"/>
      <c r="FC205" s="72"/>
      <c r="FD205" s="91">
        <f>+FD203+FD202+FD201+FD200</f>
        <v>2550</v>
      </c>
      <c r="FE205" s="72" t="str">
        <f t="shared" si="1219"/>
        <v>NA</v>
      </c>
      <c r="FF205" s="91">
        <f>+FF203+FF202+FF201+FF200</f>
        <v>2430</v>
      </c>
      <c r="FG205" s="72">
        <f t="shared" si="1220"/>
        <v>-4.7058823529411882</v>
      </c>
      <c r="FH205" s="91">
        <f>+FH203+FH202+FH201+FH200</f>
        <v>2286</v>
      </c>
      <c r="FI205" s="72">
        <f t="shared" si="1221"/>
        <v>-5.9259259259259238</v>
      </c>
      <c r="FJ205" s="91">
        <f>+FJ203+FJ202+FJ201+FJ200</f>
        <v>2210</v>
      </c>
      <c r="FK205" s="72">
        <f t="shared" si="1222"/>
        <v>-3.3245844269466289</v>
      </c>
      <c r="FL205" s="91">
        <f>SUM(FL200:FL204)</f>
        <v>2089</v>
      </c>
      <c r="FM205" s="72">
        <f t="shared" si="1223"/>
        <v>-5.4751131221719476</v>
      </c>
      <c r="FN205" s="91">
        <f>SUM(FN200:FN204)</f>
        <v>2891</v>
      </c>
      <c r="FO205" s="72">
        <f t="shared" si="1224"/>
        <v>38.391574916227853</v>
      </c>
      <c r="FP205" s="91">
        <f>SUM(FP200:FP204)</f>
        <v>3527</v>
      </c>
      <c r="FQ205" s="72">
        <f t="shared" si="1225"/>
        <v>21.999308197855399</v>
      </c>
      <c r="FR205" s="91">
        <f>SUM(FR200:FR204)</f>
        <v>3869</v>
      </c>
      <c r="FS205" s="72">
        <f t="shared" si="1226"/>
        <v>9.6966260277856549</v>
      </c>
      <c r="FT205" s="91">
        <f>SUM(FT200:FT204)</f>
        <v>4226</v>
      </c>
      <c r="FU205" s="72">
        <f t="shared" si="1227"/>
        <v>9.2271904884983087</v>
      </c>
      <c r="FV205" s="91">
        <f>SUM(FV200:FV204)</f>
        <v>4324</v>
      </c>
      <c r="FW205" s="72">
        <f t="shared" si="1228"/>
        <v>2.318977756743962</v>
      </c>
      <c r="FX205" s="91">
        <f>SUM(FX200:FX204)</f>
        <v>4168</v>
      </c>
      <c r="FY205" s="72">
        <f t="shared" si="1228"/>
        <v>-3.6077705827937052</v>
      </c>
      <c r="FZ205" s="91">
        <f>SUM(FZ200:FZ204)</f>
        <v>4618</v>
      </c>
      <c r="GA205" s="72">
        <f t="shared" si="1228"/>
        <v>10.796545105566224</v>
      </c>
      <c r="GB205" s="91">
        <f>SUM(GB200:GB204)</f>
        <v>4277</v>
      </c>
      <c r="GC205" s="72">
        <f t="shared" si="1228"/>
        <v>-7.3841489822434028</v>
      </c>
      <c r="GD205" s="91">
        <f>SUM(GD200:GD204)</f>
        <v>35957</v>
      </c>
      <c r="GE205" s="72" t="str">
        <f t="shared" si="1228"/>
        <v>NM</v>
      </c>
      <c r="GF205" s="91">
        <f>SUM(GF200:GF204)</f>
        <v>4989</v>
      </c>
      <c r="GG205" s="72" t="str">
        <f t="shared" si="1228"/>
        <v>NM</v>
      </c>
      <c r="GH205" s="91">
        <f>SUM(GH200:GH204)</f>
        <v>10862</v>
      </c>
      <c r="GI205" s="72" t="str">
        <f t="shared" si="1229"/>
        <v>NM</v>
      </c>
      <c r="GJ205" s="452">
        <f>SUM(GJ200:GJ204)</f>
        <v>10890</v>
      </c>
      <c r="GK205" s="532">
        <f t="shared" si="1229"/>
        <v>0.25777941447246633</v>
      </c>
      <c r="GL205" s="452">
        <f>SUM(GL200:GL204)</f>
        <v>11864</v>
      </c>
      <c r="GM205" s="532">
        <f t="shared" si="1229"/>
        <v>8.9439853076216593</v>
      </c>
      <c r="GN205" s="452">
        <f>SUM(GN200:GN204)</f>
        <v>12599</v>
      </c>
      <c r="GO205" s="532">
        <f t="shared" si="1229"/>
        <v>6.1952124072825399</v>
      </c>
      <c r="GP205" s="452">
        <f>SUM(GP200:GP204)</f>
        <v>12461.335555369917</v>
      </c>
      <c r="GQ205" s="532">
        <f t="shared" si="1229"/>
        <v>-1.0926616765622867</v>
      </c>
      <c r="GR205" s="452">
        <f>SUM(GR200:GR204)</f>
        <v>12956.895813864779</v>
      </c>
      <c r="GS205" s="532">
        <f t="shared" si="1229"/>
        <v>3.9767828760642914</v>
      </c>
      <c r="GT205" s="452">
        <f>SUM(GT200:GT204)</f>
        <v>13483.41613278057</v>
      </c>
      <c r="GU205" s="72">
        <f t="shared" si="1229"/>
        <v>4.0636301046148589</v>
      </c>
      <c r="GV205" s="452">
        <f>SUM(GV200:GV204)</f>
        <v>14031.738139322284</v>
      </c>
      <c r="GW205" s="72">
        <f t="shared" si="1230"/>
        <v>4.0666400943351988</v>
      </c>
      <c r="GX205" s="452">
        <f>SUM(GX200:GX204)</f>
        <v>14602.784292016711</v>
      </c>
      <c r="GY205" s="72">
        <f t="shared" si="1231"/>
        <v>4.0696750967304354</v>
      </c>
      <c r="GZ205" s="72">
        <f t="shared" si="1232"/>
        <v>2.9958957074694537</v>
      </c>
      <c r="HA205" s="72"/>
      <c r="HB205" s="72"/>
      <c r="HC205"/>
      <c r="HD205"/>
      <c r="HE205"/>
      <c r="HF205"/>
      <c r="HG205"/>
      <c r="HH205"/>
      <c r="HI205" s="2"/>
    </row>
    <row r="206" spans="2:217" s="3" customFormat="1" ht="12.75" customHeight="1" x14ac:dyDescent="0.2">
      <c r="B206" s="77"/>
      <c r="C206" s="74"/>
      <c r="D206" s="72"/>
      <c r="E206" s="74"/>
      <c r="F206" s="72"/>
      <c r="G206" s="74"/>
      <c r="H206" s="72"/>
      <c r="I206" s="74"/>
      <c r="J206" s="72"/>
      <c r="K206" s="74"/>
      <c r="L206" s="72"/>
      <c r="M206" s="74"/>
      <c r="N206" s="72"/>
      <c r="O206" s="74"/>
      <c r="P206" s="72"/>
      <c r="Q206" s="74"/>
      <c r="R206" s="72"/>
      <c r="S206" s="74"/>
      <c r="T206" s="72"/>
      <c r="U206" s="74"/>
      <c r="V206" s="72"/>
      <c r="W206" s="74"/>
      <c r="X206" s="72"/>
      <c r="Y206" s="74"/>
      <c r="Z206" s="72"/>
      <c r="AA206" s="74"/>
      <c r="AB206" s="72"/>
      <c r="AC206" s="74"/>
      <c r="AD206" s="72"/>
      <c r="AE206" s="74"/>
      <c r="AF206" s="72"/>
      <c r="AG206" s="74"/>
      <c r="AH206" s="72"/>
      <c r="AI206" s="74"/>
      <c r="AJ206" s="72"/>
      <c r="AK206" s="74"/>
      <c r="AL206" s="72"/>
      <c r="AM206" s="74"/>
      <c r="AN206" s="72"/>
      <c r="AO206" s="74"/>
      <c r="AP206" s="72"/>
      <c r="AQ206" s="74"/>
      <c r="AR206" s="72"/>
      <c r="AS206" s="74"/>
      <c r="AT206" s="72"/>
      <c r="AU206" s="74"/>
      <c r="AV206" s="72"/>
      <c r="AW206" s="74"/>
      <c r="AX206" s="72"/>
      <c r="AY206" s="74"/>
      <c r="AZ206" s="72"/>
      <c r="BA206" s="74"/>
      <c r="BB206" s="72"/>
      <c r="BC206" s="74"/>
      <c r="BD206" s="72"/>
      <c r="BE206" s="74"/>
      <c r="BF206" s="72"/>
      <c r="BG206" s="74"/>
      <c r="BH206" s="72"/>
      <c r="BI206" s="74"/>
      <c r="BJ206" s="72"/>
      <c r="BK206" s="74"/>
      <c r="BL206" s="72"/>
      <c r="BM206" s="74"/>
      <c r="BN206" s="72"/>
      <c r="BO206" s="74"/>
      <c r="BP206" s="72"/>
      <c r="BQ206" s="74"/>
      <c r="BR206" s="72"/>
      <c r="BS206" s="74"/>
      <c r="BT206" s="72"/>
      <c r="BU206" s="74"/>
      <c r="BV206" s="72"/>
      <c r="BW206" s="74"/>
      <c r="BX206" s="72"/>
      <c r="BY206" s="74"/>
      <c r="BZ206" s="72"/>
      <c r="CA206" s="74"/>
      <c r="CB206" s="72"/>
      <c r="CC206" s="74"/>
      <c r="CD206" s="72"/>
      <c r="CE206" s="74"/>
      <c r="CF206" s="72"/>
      <c r="CG206" s="74"/>
      <c r="CH206" s="72"/>
      <c r="CI206" s="74"/>
      <c r="CJ206" s="72"/>
      <c r="CK206" s="74"/>
      <c r="CL206" s="72"/>
      <c r="CM206" s="74"/>
      <c r="CN206" s="72"/>
      <c r="CO206" s="74"/>
      <c r="CP206" s="72"/>
      <c r="CQ206" s="74"/>
      <c r="CR206" s="72"/>
      <c r="CS206" s="74"/>
      <c r="CT206" s="72"/>
      <c r="CU206" s="74"/>
      <c r="CV206" s="72"/>
      <c r="CW206" s="74"/>
      <c r="CX206" s="72"/>
      <c r="CY206" s="74"/>
      <c r="CZ206" s="72"/>
      <c r="DA206" s="74"/>
      <c r="DB206" s="72"/>
      <c r="DC206" s="74"/>
      <c r="DD206" s="72"/>
      <c r="DE206" s="74"/>
      <c r="DF206" s="72"/>
      <c r="DG206" s="74"/>
      <c r="DH206" s="72"/>
      <c r="DI206" s="74"/>
      <c r="DJ206" s="72"/>
      <c r="DK206" s="74"/>
      <c r="DL206" s="72"/>
      <c r="DM206" s="74"/>
      <c r="DN206" s="72"/>
      <c r="DO206" s="74"/>
      <c r="DP206" s="72"/>
      <c r="DQ206" s="74"/>
      <c r="DR206" s="72"/>
      <c r="DS206" s="74"/>
      <c r="DT206" s="72"/>
      <c r="DU206" s="74"/>
      <c r="DV206" s="532"/>
      <c r="DW206" s="75"/>
      <c r="DX206" s="72"/>
      <c r="DY206" s="75"/>
      <c r="DZ206" s="72"/>
      <c r="EA206" s="75"/>
      <c r="EB206" s="72"/>
      <c r="EC206" s="449"/>
      <c r="ED206" s="72"/>
      <c r="EE206" s="449"/>
      <c r="EF206" s="72"/>
      <c r="EG206" s="449"/>
      <c r="EH206" s="72"/>
      <c r="EI206" s="449"/>
      <c r="EJ206" s="72"/>
      <c r="EK206" s="449"/>
      <c r="EL206" s="72"/>
      <c r="EM206" s="449"/>
      <c r="EN206" s="72"/>
      <c r="EO206" s="449"/>
      <c r="EP206" s="72"/>
      <c r="EQ206" s="449"/>
      <c r="ER206" s="72"/>
      <c r="ES206" s="449"/>
      <c r="ET206" s="72"/>
      <c r="EU206" s="449"/>
      <c r="EV206" s="72"/>
      <c r="EW206" s="449"/>
      <c r="EX206" s="72"/>
      <c r="EY206" s="72"/>
      <c r="EZ206" s="309"/>
      <c r="FA206" s="72"/>
      <c r="FB206" s="81"/>
      <c r="FC206" s="72"/>
      <c r="FD206" s="81"/>
      <c r="FE206" s="72"/>
      <c r="FF206" s="81"/>
      <c r="FG206" s="72"/>
      <c r="FH206" s="81"/>
      <c r="FI206" s="72"/>
      <c r="FJ206" s="81"/>
      <c r="FK206" s="72"/>
      <c r="FL206" s="81"/>
      <c r="FM206" s="72"/>
      <c r="FN206" s="81"/>
      <c r="FO206" s="72"/>
      <c r="FP206" s="75"/>
      <c r="FQ206" s="72"/>
      <c r="FR206" s="75"/>
      <c r="FS206" s="72"/>
      <c r="FT206" s="75"/>
      <c r="FU206" s="72"/>
      <c r="FV206" s="75"/>
      <c r="FW206" s="72"/>
      <c r="FX206" s="75"/>
      <c r="FY206" s="72"/>
      <c r="FZ206" s="75"/>
      <c r="GA206" s="72"/>
      <c r="GB206" s="75"/>
      <c r="GC206" s="72"/>
      <c r="GD206" s="75"/>
      <c r="GE206" s="72"/>
      <c r="GF206" s="75"/>
      <c r="GG206" s="72"/>
      <c r="GH206" s="75"/>
      <c r="GI206" s="72"/>
      <c r="GJ206" s="449"/>
      <c r="GK206" s="532"/>
      <c r="GL206" s="449"/>
      <c r="GM206" s="532"/>
      <c r="GN206" s="449"/>
      <c r="GO206" s="532"/>
      <c r="GP206" s="449"/>
      <c r="GQ206" s="532"/>
      <c r="GR206" s="457"/>
      <c r="GS206" s="532"/>
      <c r="GT206" s="457"/>
      <c r="GU206" s="72"/>
      <c r="GV206" s="457"/>
      <c r="GW206" s="72"/>
      <c r="GX206" s="457"/>
      <c r="GY206" s="72"/>
      <c r="GZ206" s="72"/>
      <c r="HA206" s="72"/>
      <c r="HB206" s="72"/>
      <c r="HC206"/>
      <c r="HD206"/>
      <c r="HE206"/>
      <c r="HF206"/>
      <c r="HG206"/>
      <c r="HH206"/>
      <c r="HI206" s="111"/>
    </row>
    <row r="207" spans="2:217" s="3" customFormat="1" ht="12.75" customHeight="1" x14ac:dyDescent="0.2">
      <c r="B207" s="77" t="s">
        <v>533</v>
      </c>
      <c r="C207" s="81"/>
      <c r="D207" s="72"/>
      <c r="E207" s="81"/>
      <c r="F207" s="72"/>
      <c r="G207" s="81"/>
      <c r="H207" s="72"/>
      <c r="I207" s="81"/>
      <c r="J207" s="72"/>
      <c r="K207" s="81">
        <f>+K200/K191*100</f>
        <v>39.089481946624801</v>
      </c>
      <c r="L207" s="72" t="str">
        <f>IF(ISERROR(K207/C207),"NA",IF(OR(K207/C207&gt;2,K207/C207&lt;0.5),"NM",K207/C207*100-100))</f>
        <v>NA</v>
      </c>
      <c r="M207" s="81">
        <f>+M200/M191*100</f>
        <v>35.090609555189459</v>
      </c>
      <c r="N207" s="72" t="str">
        <f>IF(ISERROR(M207/E207),"NA",IF(OR(M207/E207&gt;2,M207/E207&lt;0.5),"NM",M207/E207*100-100))</f>
        <v>NA</v>
      </c>
      <c r="O207" s="81">
        <f>+O200/O191*100</f>
        <v>40.173913043478258</v>
      </c>
      <c r="P207" s="72" t="str">
        <f>IF(ISERROR(O207/G207),"NA",IF(OR(O207/G207&gt;2,O207/G207&lt;0.5),"NM",O207/G207*100-100))</f>
        <v>NA</v>
      </c>
      <c r="Q207" s="81">
        <f>+Q200/Q191*100</f>
        <v>38.260869565217391</v>
      </c>
      <c r="R207" s="72" t="str">
        <f>IF(ISERROR(Q207/I207),"NA",IF(OR(Q207/I207&gt;2,Q207/I207&lt;0.5),"NM",Q207/I207*100-100))</f>
        <v>NA</v>
      </c>
      <c r="S207" s="81">
        <f>+S200/S191*100</f>
        <v>34.929078014184398</v>
      </c>
      <c r="T207" s="72">
        <f>IF(ISERROR(S207/K207),"NA",IF(OR(S207/K207&gt;2,S207/K207&lt;0.5),"NM",S207/K207*100-100))</f>
        <v>-10.643282349255173</v>
      </c>
      <c r="U207" s="81">
        <f>+U200/U191*100</f>
        <v>37.439222042139384</v>
      </c>
      <c r="V207" s="72">
        <f>IF(ISERROR(U207/M207),"NA",IF(OR(U207/M207&gt;2,U207/M207&lt;0.5),"NM",U207/M207*100-100))</f>
        <v>6.6929942703220888</v>
      </c>
      <c r="W207" s="81">
        <f>+W200/W191*100</f>
        <v>38.260869565217391</v>
      </c>
      <c r="X207" s="72">
        <f>IF(ISERROR(W207/O207),"NA",IF(OR(W207/O207&gt;2,W207/O207&lt;0.5),"NM",W207/O207*100-100))</f>
        <v>-4.7619047619047592</v>
      </c>
      <c r="Y207" s="81">
        <f>+Y200/Y191*100</f>
        <v>38.474295190713107</v>
      </c>
      <c r="Z207" s="72">
        <f>IF(ISERROR(Y207/Q207),"NA",IF(OR(Y207/Q207&gt;2,Y207/Q207&lt;0.5),"NM",Y207/Q207*100-100))</f>
        <v>0.55781697572743383</v>
      </c>
      <c r="AA207" s="81">
        <f>+AA200/AA191*100</f>
        <v>36.144578313253014</v>
      </c>
      <c r="AB207" s="72">
        <f>IF(ISERROR(AA207/S207),"NA",IF(OR(AA207/S207&gt;2,AA207/S207&lt;0.5),"NM",AA207/S207*100-100))</f>
        <v>3.4799094856583679</v>
      </c>
      <c r="AC207" s="81">
        <f>+AC200/AC191*100</f>
        <v>35.602094240837694</v>
      </c>
      <c r="AD207" s="72">
        <f>IF(ISERROR(AC207/U207),"NA",IF(OR(AC207/U207&gt;2,AC207/U207&lt;0.5),"NM",AC207/U207*100-100))</f>
        <v>-4.9069604043426125</v>
      </c>
      <c r="AE207" s="81">
        <f>+AE200/AE191*100</f>
        <v>33.938294010889294</v>
      </c>
      <c r="AF207" s="72">
        <f>IF(ISERROR(AE207/W207),"NA",IF(OR(AE207/W207&gt;2,AE207/W207&lt;0.5),"NM",AE207/W207*100-100))</f>
        <v>-11.297640653357519</v>
      </c>
      <c r="AG207" s="81">
        <f>+AG200/AG191*100</f>
        <v>32.986111111111107</v>
      </c>
      <c r="AH207" s="72">
        <f>IF(ISERROR(AG207/Y207),"NA",IF(OR(AG207/Y207&gt;2,AG207/Y207&lt;0.5),"NM",AG207/Y207*100-100))</f>
        <v>-14.264547413793125</v>
      </c>
      <c r="AI207" s="81">
        <f>+AI200/AI191*100</f>
        <v>36.048526863084923</v>
      </c>
      <c r="AJ207" s="72">
        <f>IF(ISERROR(AI207/AA207),"NA",IF(OR(AI207/AA207&gt;2,AI207/AA207&lt;0.5),"NM",AI207/AA207*100-100))</f>
        <v>-0.26574234546504272</v>
      </c>
      <c r="AK207" s="81">
        <f>+AK200/AK191*100</f>
        <v>24.384525205158265</v>
      </c>
      <c r="AL207" s="72">
        <f>IF(ISERROR(AK207/AC207),"NA",IF(OR(AK207/AC207&gt;2,AK207/AC207&lt;0.5),"NM",AK207/AC207*100-100))</f>
        <v>-31.508171850217209</v>
      </c>
      <c r="AM207" s="81">
        <f>+AM200/AM191*100</f>
        <v>26.333333333333332</v>
      </c>
      <c r="AN207" s="72">
        <f>IF(ISERROR(AM207/AE207),"NA",IF(OR(AM207/AE207&gt;2,AM207/AE207&lt;0.5),"NM",AM207/AE207*100-100))</f>
        <v>-22.408199643493759</v>
      </c>
      <c r="AO207" s="81">
        <f>+AO200/AO191*100</f>
        <v>23.351955307262571</v>
      </c>
      <c r="AP207" s="72">
        <f>IF(ISERROR(AO207/AG207),"NA",IF(OR(AO207/AG207&gt;2,AO207/AG207&lt;0.5),"NM",AO207/AG207*100-100))</f>
        <v>-29.206703910614522</v>
      </c>
      <c r="AQ207" s="81">
        <f>+AQ200/AQ191*100</f>
        <v>22.799575821845174</v>
      </c>
      <c r="AR207" s="72">
        <f>IF(ISERROR(AQ207/AI207),"NA",IF(OR(AQ207/AI207&gt;2,AQ207/AI207&lt;0.5),"NM",AQ207/AI207*100-100))</f>
        <v>-36.75309976343911</v>
      </c>
      <c r="AS207" s="81">
        <f>+AS200/AS191*100</f>
        <v>26.877470355731226</v>
      </c>
      <c r="AT207" s="72">
        <f>IF(ISERROR(AS207/AK207),"NA",IF(OR(AS207/AK207&gt;2,AS207/AK207&lt;0.5),"NM",AS207/AK207*100-100))</f>
        <v>10.223472179993934</v>
      </c>
      <c r="AU207" s="81">
        <f>+AU200/AU191*100</f>
        <v>28.271251193887299</v>
      </c>
      <c r="AV207" s="72">
        <f>IF(ISERROR(AU207/AM207),"NA",IF(OR(AU207/AM207&gt;2,AU207/AM207&lt;0.5),"NM",AU207/AM207*100-100))</f>
        <v>7.3591817489391076</v>
      </c>
      <c r="AW207" s="81">
        <f>+AW200/AW191*100</f>
        <v>26.001955034213097</v>
      </c>
      <c r="AX207" s="72">
        <f>IF(ISERROR(AW207/AO207),"NA",IF(OR(AW207/AO207&gt;2,AW207/AO207&lt;0.5),"NM",AW207/AO207*100-100))</f>
        <v>11.34808495512307</v>
      </c>
      <c r="AY207" s="81">
        <f>+AY200/AY191*100</f>
        <v>25.521821631878556</v>
      </c>
      <c r="AZ207" s="72">
        <f>IF(ISERROR(AY207/AQ207),"NA",IF(OR(AY207/AQ207&gt;2,AY207/AQ207&lt;0.5),"NM",AY207/AQ207*100-100))</f>
        <v>11.939896738890596</v>
      </c>
      <c r="BA207" s="81">
        <f>+BA200/BA191*100</f>
        <v>22.380952380952383</v>
      </c>
      <c r="BB207" s="72">
        <f>IF(ISERROR(BA207/AS207),"NA",IF(OR(BA207/AS207&gt;2,BA207/AS207&lt;0.5),"NM",BA207/AS207*100-100))</f>
        <v>-16.729691876750692</v>
      </c>
      <c r="BC207" s="81">
        <f>+BC200/BC191*100</f>
        <v>26.708633093525179</v>
      </c>
      <c r="BD207" s="72">
        <f>IF(ISERROR(BC207/AU207),"NA",IF(OR(BC207/AU207&gt;2,BC207/AU207&lt;0.5),"NM",BC207/AU207*100-100))</f>
        <v>-5.527233618510607</v>
      </c>
      <c r="BE207" s="81">
        <f>+BE200/BE191*100</f>
        <v>26.053310404127256</v>
      </c>
      <c r="BF207" s="72">
        <f>IF(ISERROR(BE207/AW207),"NA",IF(OR(BE207/AW207&gt;2,BE207/AW207&lt;0.5),"NM",BE207/AW207*100-100))</f>
        <v>0.19750580233903747</v>
      </c>
      <c r="BG207" s="81">
        <f>+BG200/BG191*100</f>
        <v>25.967325881341356</v>
      </c>
      <c r="BH207" s="72">
        <f>IF(ISERROR(BG207/AY207),"NA",IF(OR(BG207/AY207&gt;2,BG207/AY207&lt;0.5),"NM",BG207/AY207*100-100))</f>
        <v>1.7455817060735797</v>
      </c>
      <c r="BI207" s="81">
        <f>+BI200/BI191*100</f>
        <v>24</v>
      </c>
      <c r="BJ207" s="72">
        <f>IF(ISERROR(BI207/BA207),"NA",IF(OR(BI207/BA207&gt;2,BI207/BA207&lt;0.5),"NM",BI207/BA207*100-100))</f>
        <v>7.234042553191486</v>
      </c>
      <c r="BK207" s="81">
        <f>+BK200/BK191*100</f>
        <v>24.267782426778243</v>
      </c>
      <c r="BL207" s="72">
        <f>IF(ISERROR(BK207/BC207),"NA",IF(OR(BK207/BC207&gt;2,BK207/BC207&lt;0.5),"NM",BK207/BC207*100-100))</f>
        <v>-9.1388078835777549</v>
      </c>
      <c r="BM207" s="81">
        <f>+BM200/BM191*100</f>
        <v>23.083333333333332</v>
      </c>
      <c r="BN207" s="72">
        <f>IF(ISERROR(BM207/BE207),"NA",IF(OR(BM207/BE207&gt;2,BM207/BE207&lt;0.5),"NM",BM207/BE207*100-100))</f>
        <v>-11.399614961496155</v>
      </c>
      <c r="BO207" s="81">
        <f>+BO200/BO191*100</f>
        <v>30.939226519337016</v>
      </c>
      <c r="BP207" s="72">
        <f>IF(ISERROR(BO207/BG207),"NA",IF(OR(BO207/BG207&gt;2,BO207/BG207&lt;0.5),"NM",BO207/BG207*100-100))</f>
        <v>19.146756430427004</v>
      </c>
      <c r="BQ207" s="81">
        <f>+BQ200/BQ191*100</f>
        <v>28.169014084507044</v>
      </c>
      <c r="BR207" s="72">
        <f>IF(ISERROR(BQ207/BI207),"NA",IF(OR(BQ207/BI207&gt;2,BQ207/BI207&lt;0.5),"NM",BQ207/BI207*100-100))</f>
        <v>17.370892018779344</v>
      </c>
      <c r="BS207" s="81">
        <f>+BS200/BS191*100</f>
        <v>22.271914132379248</v>
      </c>
      <c r="BT207" s="72">
        <f>IF(ISERROR(BS207/BK207),"NA",IF(OR(BS207/BK207&gt;2,BS207/BK207&lt;0.5),"NM",BS207/BK207*100-100))</f>
        <v>-8.2243538338165507</v>
      </c>
      <c r="BU207" s="81">
        <f>+BU200/BU191*100</f>
        <v>27.15654952076677</v>
      </c>
      <c r="BV207" s="72">
        <f>IF(ISERROR(BU207/BM207),"NA",IF(OR(BU207/BM207&gt;2,BU207/BM207&lt;0.5),"NM",BU207/BM207*100-100))</f>
        <v>17.645701895018505</v>
      </c>
      <c r="BW207" s="81">
        <f>+BW200/BW191*100</f>
        <v>28.571428571428569</v>
      </c>
      <c r="BX207" s="72">
        <f>IF(ISERROR(BW207/BO207),"NA",IF(OR(BW207/BO207&gt;2,BW207/BO207&lt;0.5),"NM",BW207/BO207*100-100))</f>
        <v>-7.6530612244898037</v>
      </c>
      <c r="BY207" s="81">
        <f>+BY200/BY191*100</f>
        <v>35.104669887278583</v>
      </c>
      <c r="BZ207" s="72">
        <f>IF(ISERROR(BY207/BQ207),"NA",IF(OR(BY207/BQ207&gt;2,BY207/BQ207&lt;0.5),"NM",BY207/BQ207*100-100))</f>
        <v>24.621578099838956</v>
      </c>
      <c r="CA207" s="81">
        <f>+CA200/CA191*100</f>
        <v>26.81818181818182</v>
      </c>
      <c r="CB207" s="72">
        <f>IF(ISERROR(CA207/BS207),"NA",IF(OR(CA207/BS207&gt;2,CA207/BS207&lt;0.5),"NM",CA207/BS207*100-100))</f>
        <v>20.412559328221988</v>
      </c>
      <c r="CC207" s="81">
        <f>+CC200/CC191*100</f>
        <v>27.42504409171076</v>
      </c>
      <c r="CD207" s="72">
        <f>IF(ISERROR(CC207/BU207),"NA",IF(OR(CC207/BU207&gt;2,CC207/BU207&lt;0.5),"NM",CC207/BU207*100-100))</f>
        <v>0.98869177300551314</v>
      </c>
      <c r="CE207" s="81">
        <f>+CE200/CE191*100</f>
        <v>26.217891939769704</v>
      </c>
      <c r="CF207" s="72">
        <f>IF(ISERROR(CE207/BW207),"NA",IF(OR(CE207/BW207&gt;2,CE207/BW207&lt;0.5),"NM",CE207/BW207*100-100))</f>
        <v>-8.2373782108060283</v>
      </c>
      <c r="CG207" s="81">
        <f>+CG200/CG191*100</f>
        <v>39.489051094890506</v>
      </c>
      <c r="CH207" s="72">
        <f>IF(ISERROR(CG207/BY207),"NA",IF(OR(CG207/BY207&gt;2,CG207/BY207&lt;0.5),"NM",CG207/BY207*100-100))</f>
        <v>12.489452889573414</v>
      </c>
      <c r="CI207" s="81">
        <f>+CI200/CI191*100</f>
        <v>40.406976744186046</v>
      </c>
      <c r="CJ207" s="72">
        <f>IF(ISERROR(CI207/CA207),"NA",IF(OR(CI207/CA207&gt;2,CI207/CA207&lt;0.5),"NM",CI207/CA207*100-100))</f>
        <v>50.670082774931018</v>
      </c>
      <c r="CK207" s="81">
        <f>+CK200/CK191*100</f>
        <v>34.785932721712534</v>
      </c>
      <c r="CL207" s="72">
        <f>IF(ISERROR(CK207/CC207),"NA",IF(OR(CK207/CC207&gt;2,CK207/CC207&lt;0.5),"NM",CK207/CC207*100-100))</f>
        <v>26.840024779491984</v>
      </c>
      <c r="CM207" s="81">
        <f>+CM200/CM191*100</f>
        <v>30.348258706467661</v>
      </c>
      <c r="CN207" s="72">
        <f>IF(ISERROR(CM207/CE207),"NA",IF(OR(CM207/CE207&gt;2,CM207/CE207&lt;0.5),"NM",CM207/CE207*100-100))</f>
        <v>15.754000268925665</v>
      </c>
      <c r="CO207" s="81">
        <f>+CO200/CO191*100</f>
        <v>33.653846153846153</v>
      </c>
      <c r="CP207" s="72">
        <f>IF(ISERROR(CO207/CG207),"NA",IF(OR(CO207/CG207&gt;2,CO207/CG207&lt;0.5),"NM",CO207/CG207*100-100))</f>
        <v>-14.776766671406222</v>
      </c>
      <c r="CQ207" s="81">
        <f>+CQ200/CQ191*100</f>
        <v>31.340734415029893</v>
      </c>
      <c r="CR207" s="72">
        <f>IF(ISERROR(CQ207/CI207),"NA",IF(OR(CQ207/CI207&gt;2,CQ207/CI207&lt;0.5),"NM",CQ207/CI207*100-100))</f>
        <v>-22.437319145537529</v>
      </c>
      <c r="CS207" s="81">
        <f>+CS200/CS191*100</f>
        <v>35.393258426966291</v>
      </c>
      <c r="CT207" s="72">
        <f>IF(ISERROR(CS207/CK207),"NA",IF(OR(CS207/CK207&gt;2,CS207/CK207&lt;0.5),"NM",CS207/CK207*100-100))</f>
        <v>1.7458945548833213</v>
      </c>
      <c r="CU207" s="81">
        <f>+CU200/CU191*100</f>
        <v>26.738934056007224</v>
      </c>
      <c r="CV207" s="72">
        <f>IF(ISERROR(CU207/CM207),"NA",IF(OR(CU207/CM207&gt;2,CU207/CM207&lt;0.5),"NM",CU207/CM207*100-100))</f>
        <v>-11.893020569549961</v>
      </c>
      <c r="CW207" s="81">
        <f>+CW200/CW191*100</f>
        <v>34.863123993558773</v>
      </c>
      <c r="CX207" s="72">
        <f>IF(ISERROR(CW207/CO207),"NA",IF(OR(CW207/CO207&gt;2,CW207/CO207&lt;0.5),"NM",CW207/CO207*100-100))</f>
        <v>3.5932827237175076</v>
      </c>
      <c r="CY207" s="81">
        <f>+CY200/CY191*100</f>
        <v>30.206540447504302</v>
      </c>
      <c r="CZ207" s="72">
        <f>IF(ISERROR(CY207/CQ207),"NA",IF(OR(CY207/CQ207&gt;2,CY207/CQ207&lt;0.5),"NM",CY207/CQ207*100-100))</f>
        <v>-3.6189131770366885</v>
      </c>
      <c r="DA207" s="81">
        <f>+DA200/DA191*100</f>
        <v>97.439850078587838</v>
      </c>
      <c r="DB207" s="72" t="str">
        <f>IF(ISERROR(DA207/CS207),"NA",IF(OR(DA207/CS207&gt;2,DA207/CS207&lt;0.5),"NM",DA207/CS207*100-100))</f>
        <v>NM</v>
      </c>
      <c r="DC207" s="81">
        <f>+DC200/DC191*100</f>
        <v>36.077844311377241</v>
      </c>
      <c r="DD207" s="72">
        <f>IF(ISERROR(DC207/CU207),"NA",IF(OR(DC207/CU207&gt;2,DC207/CU207&lt;0.5),"NM",DC207/CU207*100-100))</f>
        <v>34.926262340184508</v>
      </c>
      <c r="DE207" s="81">
        <f>+DE200/DE191*100</f>
        <v>40.105193951347793</v>
      </c>
      <c r="DF207" s="72">
        <f>IF(ISERROR(DE207/CW207),"NA",IF(OR(DE207/CW207&gt;2,DE207/CW207&lt;0.5),"NM",DE207/CW207*100-100))</f>
        <v>15.036145236891358</v>
      </c>
      <c r="DG207" s="81">
        <f>+DG200/DG191*100</f>
        <v>43.672131147540981</v>
      </c>
      <c r="DH207" s="72">
        <f>IF(ISERROR(DG207/CY207),"NA",IF(OR(DG207/CY207&gt;2,DG207/CY207&lt;0.5),"NM",DG207/CY207*100-100))</f>
        <v>44.578394283312321</v>
      </c>
      <c r="DI207" s="81">
        <f>+DI200/DI191*100</f>
        <v>42.709599027946538</v>
      </c>
      <c r="DJ207" s="72" t="str">
        <f>IF(ISERROR(DI207/DA207),"NA",IF(OR(DI207/DA207&gt;2,DI207/DA207&lt;0.5),"NM",DI207/DA207*100-100))</f>
        <v>NM</v>
      </c>
      <c r="DK207" s="81">
        <f>+DK200/DK191*100</f>
        <v>35.597648595689094</v>
      </c>
      <c r="DL207" s="72">
        <f>IF(ISERROR(DK207/DC207),"NA",IF(OR(DK207/DC207&gt;2,DK207/DC207&lt;0.5),"NM",DK207/DC207*100-100))</f>
        <v>-1.3309989131937101</v>
      </c>
      <c r="DM207" s="81">
        <f>+DM200/DM191*100</f>
        <v>37.576582709326075</v>
      </c>
      <c r="DN207" s="72">
        <f t="shared" ref="DN207:DZ211" si="1253">IF(ISERROR(DM207/DE207),"NA",IF(OR(DM207/DE207&gt;2,DM207/DE207&lt;0.5),"NM",DM207/DE207*100-100))</f>
        <v>-6.3049470477295557</v>
      </c>
      <c r="DO207" s="81">
        <f>+DO200/DO191*100</f>
        <v>63.16228619107217</v>
      </c>
      <c r="DP207" s="72">
        <f t="shared" si="1253"/>
        <v>44.628358020097693</v>
      </c>
      <c r="DQ207" s="81">
        <f>+DQ200/DQ191*100</f>
        <v>85.703592814371248</v>
      </c>
      <c r="DR207" s="72" t="str">
        <f t="shared" si="1253"/>
        <v>NM</v>
      </c>
      <c r="DS207" s="81">
        <f>+DS200/DS191*100</f>
        <v>63.276836158192097</v>
      </c>
      <c r="DT207" s="72">
        <f t="shared" si="1253"/>
        <v>77.755662675581817</v>
      </c>
      <c r="DU207" s="81">
        <f>+DU200/DU191*100</f>
        <v>72.232704402515722</v>
      </c>
      <c r="DV207" s="532">
        <f t="shared" si="1253"/>
        <v>92.227976027709389</v>
      </c>
      <c r="DW207" s="81">
        <f>+DW200/DW191*100</f>
        <v>54.827052142488384</v>
      </c>
      <c r="DX207" s="72">
        <f t="shared" si="1253"/>
        <v>-13.196536337156758</v>
      </c>
      <c r="DY207" s="81">
        <f>+DY200/DY191*100</f>
        <v>80.998580217699953</v>
      </c>
      <c r="DZ207" s="72">
        <f t="shared" si="1253"/>
        <v>-5.4898662263343709</v>
      </c>
      <c r="EA207" s="81">
        <f>+EA200/EA191*100</f>
        <v>55.995773903856318</v>
      </c>
      <c r="EB207" s="72">
        <f>IF(ISERROR(EA207/DS207),"NA",IF(OR(EA207/DS207&gt;2,EA207/DS207&lt;0.5),"NM",EA207/DS207*100-100))</f>
        <v>-11.506678741227077</v>
      </c>
      <c r="EC207" s="81">
        <f>+EC200/EC191*100</f>
        <v>62.605979473449359</v>
      </c>
      <c r="ED207" s="72">
        <f>IF(ISERROR(EC207/DU207),"NA",IF(OR(EC207/DU207&gt;2,EC207/DU207&lt;0.5),"NM",EC207/DU207*100-100))</f>
        <v>-13.327377132969545</v>
      </c>
      <c r="EE207" s="81">
        <f>+EE200/EE191*100</f>
        <v>81.904947409427336</v>
      </c>
      <c r="EF207" s="72">
        <f>IF(ISERROR(EE207/DW207),"NA",IF(OR(EE207/DW207&gt;2,EE207/DW207&lt;0.5),"NM",EE207/DW207*100-100))</f>
        <v>49.387837224162666</v>
      </c>
      <c r="EG207" s="81">
        <f>+EG200/EG191*100</f>
        <v>73.725055432372514</v>
      </c>
      <c r="EH207" s="72">
        <f>IF(ISERROR(EG207/DY207),"NA",IF(OR(EG207/DY207&gt;2,EG207/DY207&lt;0.5),"NM",EG207/DY207*100-100))</f>
        <v>-8.9798176286280267</v>
      </c>
      <c r="EI207" s="81">
        <f>+EI200/EI191*100</f>
        <v>47.341249354672172</v>
      </c>
      <c r="EJ207" s="72">
        <f>IF(ISERROR(EI207/EA207),"NA",IF(OR(EI207/EA207&gt;2,EI207/EA207&lt;0.5),"NM",EI207/EA207*100-100))</f>
        <v>-15.455674501514707</v>
      </c>
      <c r="EK207" s="81">
        <f>+EK200/EK191*100</f>
        <v>73.440532298308852</v>
      </c>
      <c r="EL207" s="72">
        <f>IF(ISERROR(EK207/EC207),"NA",IF(OR(EK207/EC207&gt;2,EK207/EC207&lt;0.5),"NM",EK207/EC207*100-100))</f>
        <v>17.30593933037072</v>
      </c>
      <c r="EM207" s="81">
        <f>+EM200/EM191*100</f>
        <v>72.9671678428966</v>
      </c>
      <c r="EN207" s="72">
        <f>IF(ISERROR(EM207/EE207),"NA",IF(OR(EM207/EE207&gt;2,EM207/EE207&lt;0.5),"NM",EM207/EE207*100-100))</f>
        <v>-10.912380569457497</v>
      </c>
      <c r="EO207" s="81">
        <f>+EO200/EO191*100</f>
        <v>81.170634920634924</v>
      </c>
      <c r="EP207" s="72">
        <f>IF(ISERROR(EO207/EG207),"NA",IF(OR(EO207/EG207&gt;2,EO207/EG207&lt;0.5),"NM",EO207/EG207*100-100))</f>
        <v>10.099116839718334</v>
      </c>
      <c r="EQ207" s="86">
        <v>71.5</v>
      </c>
      <c r="ER207" s="72">
        <f t="shared" ref="ER207:ER211" si="1254">IF(ISERROR(EQ207/EI207),"NA",IF(OR(EQ207/EI207&gt;2,EQ207/EI207&lt;0.5),"NM",EQ207/EI207*100-100))</f>
        <v>51.031079607415478</v>
      </c>
      <c r="ES207" s="86">
        <f>EQ207+0.75</f>
        <v>72.25</v>
      </c>
      <c r="ET207" s="72">
        <f t="shared" ref="ET207:ET211" si="1255">IF(ISERROR(ES207/EK207),"NA",IF(OR(ES207/EK207&gt;2,ES207/EK207&lt;0.5),"NM",ES207/EK207*100-100))</f>
        <v>-1.6210834277085837</v>
      </c>
      <c r="EU207" s="86">
        <f>ES207+0.7</f>
        <v>72.95</v>
      </c>
      <c r="EV207" s="72">
        <f t="shared" ref="EV207:EV211" si="1256">IF(ISERROR(EU207/EM207),"NA",IF(OR(EU207/EM207&gt;2,EU207/EM207&lt;0.5),"NM",EU207/EM207*100-100))</f>
        <v>-2.3528174936927826E-2</v>
      </c>
      <c r="EW207" s="86">
        <f>EU207+0.4</f>
        <v>73.350000000000009</v>
      </c>
      <c r="EX207" s="72">
        <f t="shared" ref="EX207:EX211" si="1257">IF(ISERROR(EW207/EO207),"NA",IF(OR(EW207/EO207&gt;2,EW207/EO207&lt;0.5),"NM",EW207/EO207*100-100))</f>
        <v>-9.6348081153752076</v>
      </c>
      <c r="EY207" s="72"/>
      <c r="EZ207" s="309"/>
      <c r="FA207" s="72"/>
      <c r="FB207" s="81"/>
      <c r="FC207" s="72"/>
      <c r="FD207" s="81">
        <f>+FD200/FD191*100</f>
        <v>36.057866184448464</v>
      </c>
      <c r="FE207" s="72" t="str">
        <f>IF(ISERROR(FD207/FB207),"NA",IF(OR(FD207/FB207&gt;2,FD207/FB207&lt;0.5),"NM",FD207/FB207*100-100))</f>
        <v>NA</v>
      </c>
      <c r="FF207" s="81">
        <f>+FF200/FF191*100</f>
        <v>35.44207317073171</v>
      </c>
      <c r="FG207" s="72">
        <f>IF(ISERROR(FF207/FD207),"NA",IF(OR(FF207/FD207&gt;2,FF207/FD207&lt;0.5),"NM",FF207/FD207*100-100))</f>
        <v>-1.707791056095104</v>
      </c>
      <c r="FH207" s="81">
        <f>+FH200/FH191*100</f>
        <v>38.137009189640771</v>
      </c>
      <c r="FI207" s="72">
        <f>IF(ISERROR(FH207/FF207),"NA",IF(OR(FH207/FF207&gt;2,FH207/FF207&lt;0.5),"NM",FH207/FF207*100-100))</f>
        <v>7.6037764662552547</v>
      </c>
      <c r="FJ207" s="81">
        <f>+FJ200/FJ191*100</f>
        <v>37.303942348452736</v>
      </c>
      <c r="FK207" s="72">
        <f>IF(ISERROR(FJ207/FH207),"NA",IF(OR(FJ207/FH207&gt;2,FJ207/FH207&lt;0.5),"NM",FJ207/FH207*100-100))</f>
        <v>-2.1844052768939264</v>
      </c>
      <c r="FL207" s="81">
        <f>+FL200/FL191*100</f>
        <v>34.6777729066199</v>
      </c>
      <c r="FM207" s="72">
        <f>IF(ISERROR(FL207/FJ207),"NA",IF(OR(FL207/FJ207&gt;2,FL207/FJ207&lt;0.5),"NM",FL207/FJ207*100-100))</f>
        <v>-7.0399246741859827</v>
      </c>
      <c r="FN207" s="81">
        <f>+FN200/FN191*100</f>
        <v>26.728682170542633</v>
      </c>
      <c r="FO207" s="72">
        <f>IF(ISERROR(FN207/FL207),"NA",IF(OR(FN207/FL207&gt;2,FN207/FL207&lt;0.5),"NM",FN207/FL207*100-100))</f>
        <v>-22.922725624516119</v>
      </c>
      <c r="FP207" s="81">
        <f>+FP200/FP191*100</f>
        <v>26.062111801242239</v>
      </c>
      <c r="FQ207" s="72">
        <f>IF(ISERROR(FP207/FN207),"NA",IF(OR(FP207/FN207&gt;2,FP207/FN207&lt;0.5),"NM",FP207/FN207*100-100))</f>
        <v>-2.4938392586934697</v>
      </c>
      <c r="FR207" s="81">
        <f>+FR200/FR191*100</f>
        <v>25.211235441881708</v>
      </c>
      <c r="FS207" s="72">
        <f>IF(ISERROR(FR207/FP207),"NA",IF(OR(FR207/FP207&gt;2,FR207/FP207&lt;0.5),"NM",FR207/FP207*100-100))</f>
        <v>-3.2648020461640925</v>
      </c>
      <c r="FT207" s="81">
        <f>+FT200/FT191*100</f>
        <v>24.320305862361938</v>
      </c>
      <c r="FU207" s="72">
        <f>IF(ISERROR(FT207/FR207),"NA",IF(OR(FT207/FR207&gt;2,FT207/FR207&lt;0.5),"NM",FT207/FR207*100-100))</f>
        <v>-3.5338592651422829</v>
      </c>
      <c r="FV207" s="81">
        <f>+FV200/FV191*100</f>
        <v>27.186663922617821</v>
      </c>
      <c r="FW207" s="72">
        <f>IF(ISERROR(FV207/FT207),"NA",IF(OR(FV207/FT207&gt;2,FV207/FT207&lt;0.5),"NM",FV207/FT207*100-100))</f>
        <v>11.785863535095814</v>
      </c>
      <c r="FX207" s="81">
        <f>+FX200/FX191*100</f>
        <v>29.620090148100452</v>
      </c>
      <c r="FY207" s="72">
        <f>IF(ISERROR(FX207/FV207),"NA",IF(OR(FX207/FV207&gt;2,FX207/FV207&lt;0.5),"NM",FX207/FV207*100-100))</f>
        <v>8.950808500847927</v>
      </c>
      <c r="FZ207" s="81">
        <f>+FZ200/FZ191*100</f>
        <v>35.655026046691106</v>
      </c>
      <c r="GA207" s="72">
        <f>IF(ISERROR(FZ207/FX207),"NA",IF(OR(FZ207/FX207&gt;2,FZ207/FX207&lt;0.5),"NM",FZ207/FX207*100-100))</f>
        <v>20.374468370676709</v>
      </c>
      <c r="GB207" s="81">
        <f>+GB200/GB191*100</f>
        <v>32.724286594128515</v>
      </c>
      <c r="GC207" s="72">
        <f>IF(ISERROR(GB207/FZ207),"NA",IF(OR(GB207/FZ207&gt;2,GB207/FZ207&lt;0.5),"NM",GB207/FZ207*100-100))</f>
        <v>-8.2197091897358803</v>
      </c>
      <c r="GD207" s="81">
        <f>+GD200/GD191*100</f>
        <v>91.042492143735487</v>
      </c>
      <c r="GE207" s="72" t="str">
        <f>IF(ISERROR(GD207/GB207),"NA",IF(OR(GD207/GB207&gt;2,GD207/GB207&lt;0.5),"NM",GD207/GB207*100-100))</f>
        <v>NM</v>
      </c>
      <c r="GF207" s="81">
        <f>+GF200/GF191*100</f>
        <v>40.826144658261448</v>
      </c>
      <c r="GG207" s="72" t="str">
        <f>IF(ISERROR(GF207/GD207),"NA",IF(OR(GF207/GD207&gt;2,GF207/GD207&lt;0.5),"NM",GF207/GD207*100-100))</f>
        <v>NM</v>
      </c>
      <c r="GH207" s="81">
        <f>+GH200/GH191*100</f>
        <v>69.023764179845998</v>
      </c>
      <c r="GI207" s="72">
        <f t="shared" ref="GI207:GU211" si="1258">IF(ISERROR(GH207/GF207),"NA",IF(OR(GH207/GF207&gt;2,GH207/GF207&lt;0.5),"NM",GH207/GF207*100-100))</f>
        <v>69.067554033365155</v>
      </c>
      <c r="GJ207" s="456">
        <f>+GJ200/GJ191*100</f>
        <v>70.637001945689875</v>
      </c>
      <c r="GK207" s="532">
        <f t="shared" si="1258"/>
        <v>2.3372207891190726</v>
      </c>
      <c r="GL207" s="456">
        <f>+GL200/GL191*100</f>
        <v>72.444858651755212</v>
      </c>
      <c r="GM207" s="532">
        <f t="shared" si="1258"/>
        <v>2.5593621703471143</v>
      </c>
      <c r="GN207" s="456">
        <f>+GN200/GN191*100</f>
        <v>72.491511955500982</v>
      </c>
      <c r="GO207" s="532">
        <f t="shared" si="1258"/>
        <v>6.4398363961259975E-2</v>
      </c>
      <c r="GP207" s="456">
        <f>+GP200/GP191*100</f>
        <v>72.519892584143719</v>
      </c>
      <c r="GQ207" s="532">
        <f t="shared" si="1258"/>
        <v>3.9150278256244064E-2</v>
      </c>
      <c r="GR207" s="688">
        <f>GP207</f>
        <v>72.519892584143719</v>
      </c>
      <c r="GS207" s="532">
        <f t="shared" si="1258"/>
        <v>0</v>
      </c>
      <c r="GT207" s="688">
        <f>GR207</f>
        <v>72.519892584143719</v>
      </c>
      <c r="GU207" s="72">
        <f t="shared" si="1258"/>
        <v>0</v>
      </c>
      <c r="GV207" s="688">
        <f>GT207</f>
        <v>72.519892584143719</v>
      </c>
      <c r="GW207" s="72">
        <f>IF(ISERROR(GV207/GT207),"NA",IF(OR(GV207/GT207&gt;2,GV207/GT207&lt;0.5),"NM",GV207/GT207*100-100))</f>
        <v>0</v>
      </c>
      <c r="GX207" s="688">
        <f>GV207</f>
        <v>72.519892584143719</v>
      </c>
      <c r="GY207" s="72">
        <f>IF(ISERROR(GX207/GV207),"NA",IF(OR(GX207/GV207&gt;2,GX207/GV207&lt;0.5),"NM",GX207/GV207*100-100))</f>
        <v>0</v>
      </c>
      <c r="GZ207" s="72">
        <f>IF(ISERROR(((GX207/GN207)^0.2-1)*100),"NA",IF((((GX207/GN207)^0.2-1)*100)&gt;100,"NM",IF((((GX207/GN207)^0.2-1)*100)&lt;-50,"NM",((GX207/GN207)^0.2-1)*100)))</f>
        <v>7.8288297437723031E-3</v>
      </c>
      <c r="HA207" s="72"/>
      <c r="HB207" s="72"/>
      <c r="HC207"/>
      <c r="HD207"/>
      <c r="HE207"/>
      <c r="HF207"/>
      <c r="HG207"/>
      <c r="HH207"/>
      <c r="HI207" s="111"/>
    </row>
    <row r="208" spans="2:217" s="135" customFormat="1" ht="12.75" hidden="1" customHeight="1" outlineLevel="1" x14ac:dyDescent="0.2">
      <c r="B208" s="233" t="s">
        <v>661</v>
      </c>
      <c r="C208" s="136"/>
      <c r="D208" s="137"/>
      <c r="E208" s="136"/>
      <c r="F208" s="137"/>
      <c r="G208" s="136"/>
      <c r="H208" s="137"/>
      <c r="I208" s="136"/>
      <c r="J208" s="137"/>
      <c r="K208" s="136"/>
      <c r="L208" s="137"/>
      <c r="M208" s="136"/>
      <c r="N208" s="137"/>
      <c r="O208" s="136"/>
      <c r="P208" s="137"/>
      <c r="Q208" s="136"/>
      <c r="R208" s="137"/>
      <c r="S208" s="136"/>
      <c r="T208" s="137"/>
      <c r="U208" s="136"/>
      <c r="V208" s="137"/>
      <c r="W208" s="136"/>
      <c r="X208" s="137"/>
      <c r="Y208" s="136"/>
      <c r="Z208" s="137"/>
      <c r="AA208" s="136"/>
      <c r="AB208" s="137"/>
      <c r="AC208" s="136"/>
      <c r="AD208" s="137"/>
      <c r="AE208" s="136"/>
      <c r="AF208" s="137"/>
      <c r="AG208" s="136"/>
      <c r="AH208" s="137"/>
      <c r="AI208" s="136"/>
      <c r="AJ208" s="137"/>
      <c r="AK208" s="136"/>
      <c r="AL208" s="137"/>
      <c r="AM208" s="136"/>
      <c r="AN208" s="137"/>
      <c r="AO208" s="136"/>
      <c r="AP208" s="137"/>
      <c r="AQ208" s="136"/>
      <c r="AR208" s="137"/>
      <c r="AS208" s="136"/>
      <c r="AT208" s="137"/>
      <c r="AU208" s="136"/>
      <c r="AV208" s="137"/>
      <c r="AW208" s="136"/>
      <c r="AX208" s="137"/>
      <c r="AY208" s="136"/>
      <c r="AZ208" s="137"/>
      <c r="BA208" s="136"/>
      <c r="BB208" s="137"/>
      <c r="BC208" s="136"/>
      <c r="BD208" s="137"/>
      <c r="BE208" s="136"/>
      <c r="BF208" s="137"/>
      <c r="BG208" s="136"/>
      <c r="BH208" s="137"/>
      <c r="BI208" s="136"/>
      <c r="BJ208" s="137"/>
      <c r="BK208" s="136"/>
      <c r="BL208" s="137"/>
      <c r="BM208" s="136"/>
      <c r="BN208" s="137"/>
      <c r="BO208" s="136"/>
      <c r="BP208" s="137"/>
      <c r="BQ208" s="136"/>
      <c r="BR208" s="137"/>
      <c r="BS208" s="136"/>
      <c r="BT208" s="137"/>
      <c r="BU208" s="136"/>
      <c r="BV208" s="137"/>
      <c r="BW208" s="136"/>
      <c r="BX208" s="137"/>
      <c r="BY208" s="136"/>
      <c r="BZ208" s="137"/>
      <c r="CA208" s="136"/>
      <c r="CB208" s="137"/>
      <c r="CC208" s="136"/>
      <c r="CD208" s="137"/>
      <c r="CE208" s="136"/>
      <c r="CF208" s="137"/>
      <c r="CG208" s="136"/>
      <c r="CH208" s="137"/>
      <c r="CI208" s="136"/>
      <c r="CJ208" s="137"/>
      <c r="CK208" s="136"/>
      <c r="CL208" s="137"/>
      <c r="CM208" s="136"/>
      <c r="CN208" s="137"/>
      <c r="CO208" s="136"/>
      <c r="CP208" s="137"/>
      <c r="CQ208" s="136"/>
      <c r="CR208" s="137"/>
      <c r="CS208" s="136"/>
      <c r="CT208" s="137"/>
      <c r="CU208" s="136"/>
      <c r="CV208" s="137"/>
      <c r="CW208" s="136"/>
      <c r="CX208" s="137"/>
      <c r="CY208" s="136"/>
      <c r="CZ208" s="137"/>
      <c r="DA208" s="136"/>
      <c r="DB208" s="137"/>
      <c r="DC208" s="136"/>
      <c r="DD208" s="137"/>
      <c r="DE208" s="136"/>
      <c r="DF208" s="72" t="str">
        <f>IF(ISERROR(DE208/CW208),"NA",IF(OR(DE208/CW208&gt;2,DE208/CW208&lt;0.5),"NM",DE208/CW208*100-100))</f>
        <v>NA</v>
      </c>
      <c r="DG208" s="136"/>
      <c r="DH208" s="72" t="str">
        <f>IF(ISERROR(DG208/CY208),"NA",IF(OR(DG208/CY208&gt;2,DG208/CY208&lt;0.5),"NM",DG208/CY208*100-100))</f>
        <v>NA</v>
      </c>
      <c r="DI208" s="136"/>
      <c r="DJ208" s="137"/>
      <c r="DK208" s="136"/>
      <c r="DL208" s="137"/>
      <c r="DM208" s="136"/>
      <c r="DN208" s="72" t="str">
        <f t="shared" si="1253"/>
        <v>NA</v>
      </c>
      <c r="DO208" s="136"/>
      <c r="DP208" s="72" t="str">
        <f t="shared" si="1253"/>
        <v>NA</v>
      </c>
      <c r="DQ208" s="136"/>
      <c r="DR208" s="72" t="str">
        <f t="shared" si="1253"/>
        <v>NA</v>
      </c>
      <c r="DS208" s="136"/>
      <c r="DT208" s="72" t="str">
        <f t="shared" si="1253"/>
        <v>NA</v>
      </c>
      <c r="DU208" s="136"/>
      <c r="DV208" s="532" t="str">
        <f t="shared" si="1253"/>
        <v>NA</v>
      </c>
      <c r="DW208" s="136"/>
      <c r="DX208" s="72" t="str">
        <f t="shared" si="1253"/>
        <v>NA</v>
      </c>
      <c r="DY208" s="136"/>
      <c r="DZ208" s="72" t="str">
        <f t="shared" si="1253"/>
        <v>NA</v>
      </c>
      <c r="EA208" s="136"/>
      <c r="EB208" s="72" t="str">
        <f>IF(ISERROR(EA208/DS208),"NA",IF(OR(EA208/DS208&gt;2,EA208/DS208&lt;0.5),"NM",EA208/DS208*100-100))</f>
        <v>NA</v>
      </c>
      <c r="EC208" s="136"/>
      <c r="ED208" s="72" t="str">
        <f>IF(ISERROR(EC208/DU208),"NA",IF(OR(EC208/DU208&gt;2,EC208/DU208&lt;0.5),"NM",EC208/DU208*100-100))</f>
        <v>NA</v>
      </c>
      <c r="EE208" s="136"/>
      <c r="EF208" s="72" t="str">
        <f>IF(ISERROR(EE208/DW208),"NA",IF(OR(EE208/DW208&gt;2,EE208/DW208&lt;0.5),"NM",EE208/DW208*100-100))</f>
        <v>NA</v>
      </c>
      <c r="EG208" s="136"/>
      <c r="EH208" s="72" t="str">
        <f>IF(ISERROR(EG208/DY208),"NA",IF(OR(EG208/DY208&gt;2,EG208/DY208&lt;0.5),"NM",EG208/DY208*100-100))</f>
        <v>NA</v>
      </c>
      <c r="EI208" s="136"/>
      <c r="EJ208" s="72" t="str">
        <f>IF(ISERROR(EI208/EA208),"NA",IF(OR(EI208/EA208&gt;2,EI208/EA208&lt;0.5),"NM",EI208/EA208*100-100))</f>
        <v>NA</v>
      </c>
      <c r="EK208" s="136"/>
      <c r="EL208" s="72" t="str">
        <f>IF(ISERROR(EK208/EC208),"NA",IF(OR(EK208/EC208&gt;2,EK208/EC208&lt;0.5),"NM",EK208/EC208*100-100))</f>
        <v>NA</v>
      </c>
      <c r="EM208" s="136"/>
      <c r="EN208" s="72" t="str">
        <f>IF(ISERROR(EM208/EE208),"NA",IF(OR(EM208/EE208&gt;2,EM208/EE208&lt;0.5),"NM",EM208/EE208*100-100))</f>
        <v>NA</v>
      </c>
      <c r="EO208" s="136"/>
      <c r="EP208" s="72" t="str">
        <f>IF(ISERROR(EO208/EG208),"NA",IF(OR(EO208/EG208&gt;2,EO208/EG208&lt;0.5),"NM",EO208/EG208*100-100))</f>
        <v>NA</v>
      </c>
      <c r="EQ208" s="720">
        <f>IF($B$6=1, EQ207, IF($B$6=2, EQ207+EQ900, IF($B$6=3, EQ207+EQ901)))</f>
        <v>71.5</v>
      </c>
      <c r="ER208" s="72" t="str">
        <f t="shared" si="1254"/>
        <v>NA</v>
      </c>
      <c r="ES208" s="720">
        <f>IF($B$6=1, ES207, IF($B$6=2, ES207+ES900, IF($B$6=3, ES207+ES901)))</f>
        <v>72.25</v>
      </c>
      <c r="ET208" s="72" t="str">
        <f t="shared" si="1255"/>
        <v>NA</v>
      </c>
      <c r="EU208" s="720">
        <f>IF($B$6=1, EU207, IF($B$6=2, EU207+EU900, IF($B$6=3, EU207+EU901)))</f>
        <v>72.95</v>
      </c>
      <c r="EV208" s="72" t="str">
        <f t="shared" si="1256"/>
        <v>NA</v>
      </c>
      <c r="EW208" s="720">
        <f>IF($B$6=1, EW207, IF($B$6=2, EW207+EW900, IF($B$6=3, EW207+EW901)))</f>
        <v>73.350000000000009</v>
      </c>
      <c r="EX208" s="72" t="str">
        <f t="shared" si="1257"/>
        <v>NA</v>
      </c>
      <c r="EY208" s="137"/>
      <c r="EZ208" s="313"/>
      <c r="FA208" s="137"/>
      <c r="FB208" s="136"/>
      <c r="FC208" s="137"/>
      <c r="FD208" s="136"/>
      <c r="FE208" s="137"/>
      <c r="FF208" s="136"/>
      <c r="FG208" s="137"/>
      <c r="FH208" s="136"/>
      <c r="FI208" s="137"/>
      <c r="FJ208" s="136"/>
      <c r="FK208" s="137"/>
      <c r="FL208" s="136"/>
      <c r="FM208" s="137"/>
      <c r="FN208" s="136"/>
      <c r="FO208" s="137"/>
      <c r="FP208" s="136"/>
      <c r="FQ208" s="137"/>
      <c r="FR208" s="136"/>
      <c r="FS208" s="137"/>
      <c r="FT208" s="136"/>
      <c r="FU208" s="137"/>
      <c r="FV208" s="136"/>
      <c r="FW208" s="137"/>
      <c r="FX208" s="136"/>
      <c r="FY208" s="137"/>
      <c r="FZ208" s="136"/>
      <c r="GA208" s="137"/>
      <c r="GB208" s="136"/>
      <c r="GC208" s="137"/>
      <c r="GD208" s="136"/>
      <c r="GE208" s="137"/>
      <c r="GF208" s="136"/>
      <c r="GG208" s="137"/>
      <c r="GH208" s="136"/>
      <c r="GI208" s="72" t="str">
        <f t="shared" si="1258"/>
        <v>NA</v>
      </c>
      <c r="GJ208" s="720"/>
      <c r="GK208" s="532" t="str">
        <f t="shared" si="1258"/>
        <v>NA</v>
      </c>
      <c r="GL208" s="720"/>
      <c r="GM208" s="532" t="str">
        <f t="shared" si="1258"/>
        <v>NA</v>
      </c>
      <c r="GN208" s="720"/>
      <c r="GO208" s="532" t="str">
        <f t="shared" si="1258"/>
        <v>NA</v>
      </c>
      <c r="GP208" s="720"/>
      <c r="GQ208" s="532" t="str">
        <f t="shared" si="1258"/>
        <v>NA</v>
      </c>
      <c r="GR208" s="720">
        <f>IF($B$6=1, GR207, IF($B$6=2, GR207+GR900, IF($B$6=3, GR207+GR901)))</f>
        <v>72.519892584143719</v>
      </c>
      <c r="GS208" s="532" t="str">
        <f t="shared" si="1258"/>
        <v>NA</v>
      </c>
      <c r="GT208" s="720">
        <f>IF($B$6=1, GT207, IF($B$6=2, GT207+GT900, IF($B$6=3, GT207+GT901)))</f>
        <v>72.519892584143719</v>
      </c>
      <c r="GU208" s="72">
        <f t="shared" si="1258"/>
        <v>0</v>
      </c>
      <c r="GV208" s="720">
        <f>IF($B$6=1, GV207, IF($B$6=2, GV207+GV900, IF($B$6=3, GV207+GV901)))</f>
        <v>72.519892584143719</v>
      </c>
      <c r="GW208" s="72">
        <f>IF(ISERROR(GV208/GT208),"NA",IF(OR(GV208/GT208&gt;2,GV208/GT208&lt;0.5),"NM",GV208/GT208*100-100))</f>
        <v>0</v>
      </c>
      <c r="GX208" s="720">
        <f>IF($B$6=1, GX207, IF($B$6=2, GX207+GX900, IF($B$6=3, GX207+GX901)))</f>
        <v>72.519892584143719</v>
      </c>
      <c r="GY208" s="72">
        <f>IF(ISERROR(GX208/GV208),"NA",IF(OR(GX208/GV208&gt;2,GX208/GV208&lt;0.5),"NM",GX208/GV208*100-100))</f>
        <v>0</v>
      </c>
      <c r="GZ208" s="137"/>
      <c r="HA208" s="137"/>
      <c r="HB208" s="137"/>
      <c r="HC208"/>
      <c r="HD208"/>
      <c r="HE208"/>
      <c r="HF208"/>
      <c r="HG208"/>
      <c r="HH208"/>
      <c r="HI208" s="245"/>
    </row>
    <row r="209" spans="1:217" s="3" customFormat="1" ht="12.75" customHeight="1" collapsed="1" x14ac:dyDescent="0.2">
      <c r="B209" s="77" t="s">
        <v>434</v>
      </c>
      <c r="C209" s="81"/>
      <c r="D209" s="72"/>
      <c r="E209" s="81"/>
      <c r="F209" s="72"/>
      <c r="G209" s="81"/>
      <c r="H209" s="72"/>
      <c r="I209" s="81"/>
      <c r="J209" s="72"/>
      <c r="K209" s="81">
        <f>+K203/K191*100</f>
        <v>14.913657770800629</v>
      </c>
      <c r="L209" s="72" t="str">
        <f>IF(ISERROR(K209/C209),"NA",IF(OR(K209/C209&gt;2,K209/C209&lt;0.5),"NM",K209/C209*100-100))</f>
        <v>NA</v>
      </c>
      <c r="M209" s="81">
        <f>+M203/M191*100</f>
        <v>15.485996705107082</v>
      </c>
      <c r="N209" s="72" t="str">
        <f>IF(ISERROR(M209/E209),"NA",IF(OR(M209/E209&gt;2,M209/E209&lt;0.5),"NM",M209/E209*100-100))</f>
        <v>NA</v>
      </c>
      <c r="O209" s="81">
        <f>+O203/O191*100</f>
        <v>16.695652173913047</v>
      </c>
      <c r="P209" s="72" t="str">
        <f>IF(ISERROR(O209/G209),"NA",IF(OR(O209/G209&gt;2,O209/G209&lt;0.5),"NM",O209/G209*100-100))</f>
        <v>NA</v>
      </c>
      <c r="Q209" s="81">
        <f>+Q203/Q191*100</f>
        <v>17.043478260869566</v>
      </c>
      <c r="R209" s="72" t="str">
        <f>IF(ISERROR(Q209/I209),"NA",IF(OR(Q209/I209&gt;2,Q209/I209&lt;0.5),"NM",Q209/I209*100-100))</f>
        <v>NA</v>
      </c>
      <c r="S209" s="81">
        <f>+S203/S191*100</f>
        <v>15.957446808510639</v>
      </c>
      <c r="T209" s="72">
        <f>IF(ISERROR(S209/K209),"NA",IF(OR(S209/K209&gt;2,S209/K209&lt;0.5),"NM",S209/K209*100-100))</f>
        <v>6.9988801791713229</v>
      </c>
      <c r="U209" s="81">
        <f>+U203/U191*100</f>
        <v>14.58670988654781</v>
      </c>
      <c r="V209" s="72">
        <f>IF(ISERROR(U209/M209),"NA",IF(OR(U209/M209&gt;2,U209/M209&lt;0.5),"NM",U209/M209*100-100))</f>
        <v>-5.8070967964412574</v>
      </c>
      <c r="W209" s="81">
        <f>+W203/W191*100</f>
        <v>14.782608695652174</v>
      </c>
      <c r="X209" s="72">
        <f>IF(ISERROR(W209/O209),"NA",IF(OR(W209/O209&gt;2,W209/O209&lt;0.5),"NM",W209/O209*100-100))</f>
        <v>-11.458333333333343</v>
      </c>
      <c r="Y209" s="81">
        <f>+Y203/Y191*100</f>
        <v>14.096185737976782</v>
      </c>
      <c r="Z209" s="72">
        <f>IF(ISERROR(Y209/Q209),"NA",IF(OR(Y209/Q209&gt;2,Y209/Q209&lt;0.5),"NM",Y209/Q209*100-100))</f>
        <v>-17.292787761870926</v>
      </c>
      <c r="AA209" s="81">
        <f>+AA203/AA191*100</f>
        <v>13.080895008605854</v>
      </c>
      <c r="AB209" s="72">
        <f>IF(ISERROR(AA209/S209),"NA",IF(OR(AA209/S209&gt;2,AA209/S209&lt;0.5),"NM",AA209/S209*100-100))</f>
        <v>-18.026391279403313</v>
      </c>
      <c r="AC209" s="81">
        <f>+AC203/AC191*100</f>
        <v>15.183246073298429</v>
      </c>
      <c r="AD209" s="72">
        <f>IF(ISERROR(AC209/U209),"NA",IF(OR(AC209/U209&gt;2,AC209/U209&lt;0.5),"NM",AC209/U209*100-100))</f>
        <v>4.0895869691681241</v>
      </c>
      <c r="AE209" s="81">
        <f>+AE203/AE191*100</f>
        <v>14.882032667876588</v>
      </c>
      <c r="AF209" s="72">
        <f>IF(ISERROR(AE209/W209),"NA",IF(OR(AE209/W209&gt;2,AE209/W209&lt;0.5),"NM",AE209/W209*100-100))</f>
        <v>0.67257392975339769</v>
      </c>
      <c r="AG209" s="81">
        <f>+AG203/AG191*100</f>
        <v>15.451388888888889</v>
      </c>
      <c r="AH209" s="72">
        <f>IF(ISERROR(AG209/Y209),"NA",IF(OR(AG209/Y209&gt;2,AG209/Y209&lt;0.5),"NM",AG209/Y209*100-100))</f>
        <v>9.6139705882353041</v>
      </c>
      <c r="AI209" s="81">
        <f>+AI203/AI191*100</f>
        <v>15.251299826689774</v>
      </c>
      <c r="AJ209" s="72">
        <f>IF(ISERROR(AI209/AA209),"NA",IF(OR(AI209/AA209&gt;2,AI209/AA209&lt;0.5),"NM",AI209/AA209*100-100))</f>
        <v>16.592173675088915</v>
      </c>
      <c r="AK209" s="81">
        <f>+AK203/AK191*100</f>
        <v>21.101992966002346</v>
      </c>
      <c r="AL209" s="72">
        <f>IF(ISERROR(AK209/AC209),"NA",IF(OR(AK209/AC209&gt;2,AK209/AC209&lt;0.5),"NM",AK209/AC209*100-100))</f>
        <v>38.982091603670625</v>
      </c>
      <c r="AM209" s="81">
        <f>+AM203/AM191*100</f>
        <v>20.555555555555554</v>
      </c>
      <c r="AN209" s="72">
        <f>IF(ISERROR(AM209/AE209),"NA",IF(OR(AM209/AE209&gt;2,AM209/AE209&lt;0.5),"NM",AM209/AE209*100-100))</f>
        <v>38.123306233062294</v>
      </c>
      <c r="AO209" s="81">
        <f>+AO203/AO191*100</f>
        <v>22.234636871508378</v>
      </c>
      <c r="AP209" s="72">
        <f>IF(ISERROR(AO209/AG209),"NA",IF(OR(AO209/AG209&gt;2,AO209/AG209&lt;0.5),"NM",AO209/AG209*100-100))</f>
        <v>43.900571213357608</v>
      </c>
      <c r="AQ209" s="81">
        <f>+AQ203/AQ191*100</f>
        <v>18.87592788971368</v>
      </c>
      <c r="AR209" s="72">
        <f>IF(ISERROR(AQ209/AI209),"NA",IF(OR(AQ209/AI209&gt;2,AQ209/AI209&lt;0.5),"NM",AQ209/AI209*100-100))</f>
        <v>23.766027185963566</v>
      </c>
      <c r="AS209" s="81">
        <f>+AS203/AS191*100</f>
        <v>18.379446640316203</v>
      </c>
      <c r="AT209" s="72">
        <f>IF(ISERROR(AS209/AK209),"NA",IF(OR(AS209/AK209&gt;2,AS209/AK209&lt;0.5),"NM",AS209/AK209*100-100))</f>
        <v>-12.901844532279327</v>
      </c>
      <c r="AU209" s="81">
        <f>+AU203/AU191*100</f>
        <v>18.433619866284623</v>
      </c>
      <c r="AV209" s="72">
        <f>IF(ISERROR(AU209/AM209),"NA",IF(OR(AU209/AM209&gt;2,AU209/AM209&lt;0.5),"NM",AU209/AM209*100-100))</f>
        <v>-10.322930380236954</v>
      </c>
      <c r="AW209" s="81">
        <f>+AW203/AW191*100</f>
        <v>20.723362658846529</v>
      </c>
      <c r="AX209" s="72">
        <f>IF(ISERROR(AW209/AO209),"NA",IF(OR(AW209/AO209&gt;2,AW209/AO209&lt;0.5),"NM",AW209/AO209*100-100))</f>
        <v>-6.7969367855897218</v>
      </c>
      <c r="AY209" s="81">
        <f>+AY203/AY191*100</f>
        <v>18.026565464895636</v>
      </c>
      <c r="AZ209" s="72">
        <f>IF(ISERROR(AY209/AQ209),"NA",IF(OR(AY209/AQ209&gt;2,AY209/AQ209&lt;0.5),"NM",AY209/AQ209*100-100))</f>
        <v>-4.4997121719292892</v>
      </c>
      <c r="BA209" s="81">
        <f>+BA203/BA191*100</f>
        <v>16.571428571428569</v>
      </c>
      <c r="BB209" s="72">
        <f>IF(ISERROR(BA209/AS209),"NA",IF(OR(BA209/AS209&gt;2,BA209/AS209&lt;0.5),"NM",BA209/AS209*100-100))</f>
        <v>-9.8371735791090629</v>
      </c>
      <c r="BC209" s="81">
        <f>+BC203/BC191*100</f>
        <v>17.446043165467625</v>
      </c>
      <c r="BD209" s="72">
        <f>IF(ISERROR(BC209/AU209),"NA",IF(OR(BC209/AU209&gt;2,BC209/AU209&lt;0.5),"NM",BC209/AU209*100-100))</f>
        <v>-5.3574756774891057</v>
      </c>
      <c r="BE209" s="81">
        <f>+BE203/BE191*100</f>
        <v>17.884780739466898</v>
      </c>
      <c r="BF209" s="72">
        <f>IF(ISERROR(BE209/AW209),"NA",IF(OR(BE209/AW209&gt;2,BE209/AW209&lt;0.5),"NM",BE209/AW209*100-100))</f>
        <v>-13.697496714742272</v>
      </c>
      <c r="BG209" s="81">
        <f>+BG203/BG191*100</f>
        <v>15.82115219260533</v>
      </c>
      <c r="BH209" s="72">
        <f>IF(ISERROR(BG209/AY209),"NA",IF(OR(BG209/AY209&gt;2,BG209/AY209&lt;0.5),"NM",BG209/AY209*100-100))</f>
        <v>-12.234239942073586</v>
      </c>
      <c r="BI209" s="81">
        <f>+BI203/BI191*100</f>
        <v>16.782608695652172</v>
      </c>
      <c r="BJ209" s="72">
        <f>IF(ISERROR(BI209/BA209),"NA",IF(OR(BI209/BA209&gt;2,BI209/BA209&lt;0.5),"NM",BI209/BA209*100-100))</f>
        <v>1.2743628185907028</v>
      </c>
      <c r="BK209" s="81">
        <f>+BK203/BK191*100</f>
        <v>22.00836820083682</v>
      </c>
      <c r="BL209" s="72">
        <f>IF(ISERROR(BK209/BC209),"NA",IF(OR(BK209/BC209&gt;2,BK209/BC209&lt;0.5),"NM",BK209/BC209*100-100))</f>
        <v>26.151058965621374</v>
      </c>
      <c r="BM209" s="81">
        <f>+BM203/BM191*100</f>
        <v>17.75</v>
      </c>
      <c r="BN209" s="72">
        <f>IF(ISERROR(BM209/BE209),"NA",IF(OR(BM209/BE209&gt;2,BM209/BE209&lt;0.5),"NM",BM209/BE209*100-100))</f>
        <v>-0.7536057692307736</v>
      </c>
      <c r="BO209" s="81">
        <f>+BO203/BO191*100</f>
        <v>16.416732438831886</v>
      </c>
      <c r="BP209" s="72">
        <f>IF(ISERROR(BO209/BG209),"NA",IF(OR(BO209/BG209&gt;2,BO209/BG209&lt;0.5),"NM",BO209/BG209*100-100))</f>
        <v>3.764455578051539</v>
      </c>
      <c r="BQ209" s="81">
        <f>+BQ203/BQ191*100</f>
        <v>16.818558409279206</v>
      </c>
      <c r="BR209" s="72">
        <f>IF(ISERROR(BQ209/BI209),"NA",IF(OR(BQ209/BI209&gt;2,BQ209/BI209&lt;0.5),"NM",BQ209/BI209*100-100))</f>
        <v>0.21420813819217699</v>
      </c>
      <c r="BS209" s="81">
        <f>+BS203/BS191*100</f>
        <v>16.100178890876567</v>
      </c>
      <c r="BT209" s="72">
        <f>IF(ISERROR(BS209/BK209),"NA",IF(OR(BS209/BK209&gt;2,BS209/BK209&lt;0.5),"NM",BS209/BK209*100-100))</f>
        <v>-26.845194773393544</v>
      </c>
      <c r="BU209" s="81">
        <f>+BU203/BU191*100</f>
        <v>17.731629392971247</v>
      </c>
      <c r="BV209" s="72">
        <f>IF(ISERROR(BU209/BM209),"NA",IF(OR(BU209/BM209&gt;2,BU209/BM209&lt;0.5),"NM",BU209/BM209*100-100))</f>
        <v>-0.10349637762678299</v>
      </c>
      <c r="BW209" s="81">
        <f>+BW203/BW191*100</f>
        <v>18.005071851225697</v>
      </c>
      <c r="BX209" s="72">
        <f>IF(ISERROR(BW209/BO209),"NA",IF(OR(BW209/BO209&gt;2,BW209/BO209&lt;0.5),"NM",BW209/BO209*100-100))</f>
        <v>9.6751251706872949</v>
      </c>
      <c r="BY209" s="81">
        <f>+BY203/BY191*100</f>
        <v>17.713365539452496</v>
      </c>
      <c r="BZ209" s="72">
        <f>IF(ISERROR(BY209/BQ209),"NA",IF(OR(BY209/BQ209&gt;2,BY209/BQ209&lt;0.5),"NM",BY209/BQ209*100-100))</f>
        <v>5.3203556951682884</v>
      </c>
      <c r="CA209" s="81">
        <f>+CA203/CA191*100</f>
        <v>19.818181818181817</v>
      </c>
      <c r="CB209" s="72">
        <f>IF(ISERROR(CA209/BS209),"NA",IF(OR(CA209/BS209&gt;2,CA209/BS209&lt;0.5),"NM",CA209/BS209*100-100))</f>
        <v>23.09292929292927</v>
      </c>
      <c r="CC209" s="81">
        <f>+CC203/CC191*100</f>
        <v>19.576719576719576</v>
      </c>
      <c r="CD209" s="72">
        <f>IF(ISERROR(CC209/BU209),"NA",IF(OR(CC209/BU209&gt;2,CC209/BU209&lt;0.5),"NM",CC209/BU209*100-100))</f>
        <v>10.405643738977062</v>
      </c>
      <c r="CE209" s="81">
        <f>+CE203/CE191*100</f>
        <v>19.043401240035429</v>
      </c>
      <c r="CF209" s="72">
        <f>IF(ISERROR(CE209/BW209),"NA",IF(OR(CE209/BW209&gt;2,CE209/BW209&lt;0.5),"NM",CE209/BW209*100-100))</f>
        <v>5.7668716758775247</v>
      </c>
      <c r="CG209" s="81">
        <f>+CG203/CG191*100</f>
        <v>17.737226277372262</v>
      </c>
      <c r="CH209" s="72">
        <f>IF(ISERROR(CG209/BY209),"NA",IF(OR(CG209/BY209&gt;2,CG209/BY209&lt;0.5),"NM",CG209/BY209*100-100))</f>
        <v>0.13470471134704098</v>
      </c>
      <c r="CI209" s="81">
        <f>+CI203/CI191*100</f>
        <v>17.51453488372093</v>
      </c>
      <c r="CJ209" s="72">
        <f>IF(ISERROR(CI209/CA209),"NA",IF(OR(CI209/CA209&gt;2,CI209/CA209&lt;0.5),"NM",CI209/CA209*100-100))</f>
        <v>-11.62390655003199</v>
      </c>
      <c r="CK209" s="81">
        <f>+CK203/CK191*100</f>
        <v>18.730886850152906</v>
      </c>
      <c r="CL209" s="72">
        <f>IF(ISERROR(CK209/CC209),"NA",IF(OR(CK209/CC209&gt;2,CK209/CC209&lt;0.5),"NM",CK209/CC209*100-100))</f>
        <v>-4.3206050086783847</v>
      </c>
      <c r="CM209" s="81">
        <f>+CM203/CM191*100</f>
        <v>19.402985074626866</v>
      </c>
      <c r="CN209" s="72">
        <f>IF(ISERROR(CM209/CE209),"NA",IF(OR(CM209/CE209&gt;2,CM209/CE209&lt;0.5),"NM",CM209/CE209*100-100))</f>
        <v>1.8882332523429284</v>
      </c>
      <c r="CO209" s="81">
        <f>+CO203/CO191*100</f>
        <v>18.509615384615387</v>
      </c>
      <c r="CP209" s="72">
        <f>IF(ISERROR(CO209/CG209),"NA",IF(OR(CO209/CG209&gt;2,CO209/CG209&lt;0.5),"NM",CO209/CG209*100-100))</f>
        <v>4.3546217157328471</v>
      </c>
      <c r="CQ209" s="81">
        <f>+CQ203/CQ191*100</f>
        <v>21.093082835183605</v>
      </c>
      <c r="CR209" s="72">
        <f>IF(ISERROR(CQ209/CI209),"NA",IF(OR(CQ209/CI209&gt;2,CQ209/CI209&lt;0.5),"NM",CQ209/CI209*100-100))</f>
        <v>20.43187544071634</v>
      </c>
      <c r="CS209" s="81">
        <f>+CS203/CS191*100</f>
        <v>18.699839486356339</v>
      </c>
      <c r="CT209" s="72">
        <f>IF(ISERROR(CS209/CK209),"NA",IF(OR(CS209/CK209&gt;2,CS209/CK209&lt;0.5),"NM",CS209/CK209*100-100))</f>
        <v>-0.16575490549351457</v>
      </c>
      <c r="CU209" s="81">
        <f>+CU203/CU191*100</f>
        <v>20.14453477868112</v>
      </c>
      <c r="CV209" s="72">
        <f>IF(ISERROR(CU209/CM209),"NA",IF(OR(CU209/CM209&gt;2,CU209/CM209&lt;0.5),"NM",CU209/CM209*100-100))</f>
        <v>3.8218330901257787</v>
      </c>
      <c r="CW209" s="81">
        <f>+CW203/CW191*100</f>
        <v>18.760064412238325</v>
      </c>
      <c r="CX209" s="72">
        <f>IF(ISERROR(CW209/CO209),"NA",IF(OR(CW209/CO209&gt;2,CW209/CO209&lt;0.5),"NM",CW209/CO209*100-100))</f>
        <v>1.3530752661187364</v>
      </c>
      <c r="CY209" s="81">
        <f>+CY203/CY191*100</f>
        <v>22.719449225473323</v>
      </c>
      <c r="CZ209" s="72">
        <f>IF(ISERROR(CY209/CQ209),"NA",IF(OR(CY209/CQ209&gt;2,CY209/CQ209&lt;0.5),"NM",CY209/CQ209*100-100))</f>
        <v>7.7104252754220965</v>
      </c>
      <c r="DA209" s="81">
        <f>+DA203/DA191*100</f>
        <v>0.61963486881876439</v>
      </c>
      <c r="DB209" s="72" t="str">
        <f>IF(ISERROR(DA209/CS209),"NA",IF(OR(DA209/CS209&gt;2,DA209/CS209&lt;0.5),"NM",DA209/CS209*100-100))</f>
        <v>NM</v>
      </c>
      <c r="DC209" s="81">
        <f>+DC203/DC191*100</f>
        <v>17.290419161676645</v>
      </c>
      <c r="DD209" s="72">
        <f>IF(ISERROR(DC209/CU209),"NA",IF(OR(DC209/CU209&gt;2,DC209/CU209&lt;0.5),"NM",DC209/CU209*100-100))</f>
        <v>-14.168188287102936</v>
      </c>
      <c r="DE209" s="81">
        <f>+DE203/DE191*100</f>
        <v>16.173570019723865</v>
      </c>
      <c r="DF209" s="72">
        <f>IF(ISERROR(DE209/CW209),"NA",IF(OR(DE209/CW209&gt;2,DE209/CW209&lt;0.5),"NM",DE209/CW209*100-100))</f>
        <v>-13.787236203875366</v>
      </c>
      <c r="DG209" s="81">
        <f>+DG203/DG191*100</f>
        <v>15.868852459016395</v>
      </c>
      <c r="DH209" s="72">
        <f>IF(ISERROR(DG209/CY209),"NA",IF(OR(DG209/CY209&gt;2,DG209/CY209&lt;0.5),"NM",DG209/CY209*100-100))</f>
        <v>-30.15300546448087</v>
      </c>
      <c r="DI209" s="81">
        <f>+DI203/DI191*100</f>
        <v>16.281895504252734</v>
      </c>
      <c r="DJ209" s="72" t="str">
        <f>IF(ISERROR(DI209/DA209),"NA",IF(OR(DI209/DA209&gt;2,DI209/DA209&lt;0.5),"NM",DI209/DA209*100-100))</f>
        <v>NM</v>
      </c>
      <c r="DK209" s="81">
        <f>+DK203/DK191*100</f>
        <v>16.133246244284784</v>
      </c>
      <c r="DL209" s="72">
        <f>IF(ISERROR(DK209/DC209),"NA",IF(OR(DK209/DC209&gt;2,DK209/DC209&lt;0.5),"NM",DK209/DC209*100-100))</f>
        <v>-6.6925671759113641</v>
      </c>
      <c r="DM209" s="81">
        <f>+DM203/DM191*100</f>
        <v>17.426820966643973</v>
      </c>
      <c r="DN209" s="72">
        <f t="shared" si="1253"/>
        <v>7.7487589035182225</v>
      </c>
      <c r="DO209" s="81">
        <f>+DO203/DO191*100</f>
        <v>11.055486024196913</v>
      </c>
      <c r="DP209" s="72">
        <f t="shared" si="1253"/>
        <v>-30.332164516940949</v>
      </c>
      <c r="DQ209" s="81">
        <f>+DQ203/DQ191*100</f>
        <v>4.1317365269461082</v>
      </c>
      <c r="DR209" s="72" t="str">
        <f t="shared" si="1253"/>
        <v>NM</v>
      </c>
      <c r="DS209" s="81">
        <f>+DS203/DS191*100</f>
        <v>10.209846650524616</v>
      </c>
      <c r="DT209" s="72">
        <f t="shared" si="1253"/>
        <v>-36.715484931363626</v>
      </c>
      <c r="DU209" s="81">
        <f>+DU203/DU191*100</f>
        <v>7.9245283018867925</v>
      </c>
      <c r="DV209" s="532" t="str">
        <f t="shared" si="1253"/>
        <v>NM</v>
      </c>
      <c r="DW209" s="81">
        <f>+DW203/DW191*100</f>
        <v>13.57769747031492</v>
      </c>
      <c r="DX209" s="72">
        <f t="shared" si="1253"/>
        <v>22.814116363565518</v>
      </c>
      <c r="DY209" s="81">
        <f>+DY203/DY191*100</f>
        <v>6.7676289635589209</v>
      </c>
      <c r="DZ209" s="72">
        <f t="shared" si="1253"/>
        <v>63.796237233962273</v>
      </c>
      <c r="EA209" s="81">
        <f>+EA203/EA191*100</f>
        <v>13.576333861595351</v>
      </c>
      <c r="EB209" s="72">
        <f>IF(ISERROR(EA209/DS209),"NA",IF(OR(EA209/DS209&gt;2,EA209/DS209&lt;0.5),"NM",EA209/DS209*100-100))</f>
        <v>32.972945885507045</v>
      </c>
      <c r="EC209" s="81">
        <f>+EC203/EC191*100</f>
        <v>11.021865238732708</v>
      </c>
      <c r="ED209" s="72">
        <f>IF(ISERROR(EC209/DU209),"NA",IF(OR(EC209/DU209&gt;2,EC209/DU209&lt;0.5),"NM",EC209/DU209*100-100))</f>
        <v>39.085442298293685</v>
      </c>
      <c r="EE209" s="81">
        <f>+EE203/EE191*100</f>
        <v>5.7654850019477992</v>
      </c>
      <c r="EF209" s="72" t="str">
        <f>IF(ISERROR(EE209/DW209),"NA",IF(OR(EE209/DW209&gt;2,EE209/DW209&lt;0.5),"NM",EE209/DW209*100-100))</f>
        <v>NM</v>
      </c>
      <c r="EG209" s="81">
        <f>+EG203/EG191*100</f>
        <v>6.7073170731707323</v>
      </c>
      <c r="EH209" s="72">
        <f>IF(ISERROR(EG209/DY209),"NA",IF(OR(EG209/DY209&gt;2,EG209/DY209&lt;0.5),"NM",EG209/DY209*100-100))</f>
        <v>-0.89118198874295729</v>
      </c>
      <c r="EI209" s="81">
        <f>+EI203/EI191*100</f>
        <v>13.216313887454827</v>
      </c>
      <c r="EJ209" s="72">
        <f>IF(ISERROR(EI209/EA209),"NA",IF(OR(EI209/EA209&gt;2,EI209/EA209&lt;0.5),"NM",EI209/EA209*100-100))</f>
        <v>-2.6518202764514172</v>
      </c>
      <c r="EK209" s="81">
        <f>+EK203/EK191*100</f>
        <v>6.6537288605489326</v>
      </c>
      <c r="EL209" s="72">
        <f>IF(ISERROR(EK209/EC209),"NA",IF(OR(EK209/EC209&gt;2,EK209/EC209&lt;0.5),"NM",EK209/EC209*100-100))</f>
        <v>-39.631553131618787</v>
      </c>
      <c r="EM209" s="81">
        <f>+EM203/EM191*100</f>
        <v>8.0699601104633327</v>
      </c>
      <c r="EN209" s="72">
        <f>IF(ISERROR(EM209/EE209),"NA",IF(OR(EM209/EE209&gt;2,EM209/EE209&lt;0.5),"NM",EM209/EE209*100-100))</f>
        <v>39.970186510536308</v>
      </c>
      <c r="EO209" s="81">
        <f>+EO203/EO191*100</f>
        <v>5.5952380952380958</v>
      </c>
      <c r="EP209" s="72">
        <f>IF(ISERROR(EO209/EG209),"NA",IF(OR(EO209/EG209&gt;2,EO209/EG209&lt;0.5),"NM",EO209/EG209*100-100))</f>
        <v>-16.580086580086586</v>
      </c>
      <c r="EQ209" s="688">
        <v>7.5</v>
      </c>
      <c r="ER209" s="72">
        <f t="shared" si="1254"/>
        <v>-43.251953125</v>
      </c>
      <c r="ES209" s="688">
        <f>EQ209</f>
        <v>7.5</v>
      </c>
      <c r="ET209" s="72">
        <f t="shared" si="1255"/>
        <v>12.71875</v>
      </c>
      <c r="EU209" s="688">
        <f>ES209</f>
        <v>7.5</v>
      </c>
      <c r="EV209" s="72">
        <f t="shared" si="1256"/>
        <v>-7.0627376425855601</v>
      </c>
      <c r="EW209" s="688">
        <f>EU209</f>
        <v>7.5</v>
      </c>
      <c r="EX209" s="72">
        <f t="shared" si="1257"/>
        <v>34.042553191489333</v>
      </c>
      <c r="EY209" s="72"/>
      <c r="EZ209" s="309"/>
      <c r="FA209" s="72"/>
      <c r="FB209" s="81"/>
      <c r="FC209" s="72"/>
      <c r="FD209" s="81">
        <f>+FD203/FD191*100</f>
        <v>15.262206148282099</v>
      </c>
      <c r="FE209" s="72" t="str">
        <f>IF(ISERROR(FD209/FB209),"NA",IF(OR(FD209/FB209&gt;2,FD209/FB209&lt;0.5),"NM",FD209/FB209*100-100))</f>
        <v>NA</v>
      </c>
      <c r="FF209" s="81">
        <f>+FF203/FF191*100</f>
        <v>16.463414634146343</v>
      </c>
      <c r="FG209" s="72">
        <f>IF(ISERROR(FF209/FD209),"NA",IF(OR(FF209/FD209&gt;2,FF209/FD209&lt;0.5),"NM",FF209/FD209*100-100))</f>
        <v>7.8704774014564833</v>
      </c>
      <c r="FH209" s="81">
        <f>+FH203/FH191*100</f>
        <v>15.998329156223893</v>
      </c>
      <c r="FI209" s="72">
        <f>IF(ISERROR(FH209/FF209),"NA",IF(OR(FH209/FF209&gt;2,FH209/FF209&lt;0.5),"NM",FH209/FF209*100-100))</f>
        <v>-2.8249636436771084</v>
      </c>
      <c r="FJ209" s="81">
        <f>+FJ203/FJ191*100</f>
        <v>14.836795252225517</v>
      </c>
      <c r="FK209" s="72">
        <f>IF(ISERROR(FJ209/FH209),"NA",IF(OR(FJ209/FH209&gt;2,FJ209/FH209&lt;0.5),"NM",FJ209/FH209*100-100))</f>
        <v>-7.2603450813893176</v>
      </c>
      <c r="FL209" s="81">
        <f>+FL203/FL191*100</f>
        <v>14.64270056992547</v>
      </c>
      <c r="FM209" s="72">
        <f>IF(ISERROR(FL209/FJ209),"NA",IF(OR(FL209/FJ209&gt;2,FL209/FJ209&lt;0.5),"NM",FL209/FJ209*100-100))</f>
        <v>-1.308198158702325</v>
      </c>
      <c r="FN209" s="81">
        <f>+FN203/FN191*100</f>
        <v>20.217054263565892</v>
      </c>
      <c r="FO209" s="72">
        <f>IF(ISERROR(FN209/FL209),"NA",IF(OR(FN209/FL209&gt;2,FN209/FL209&lt;0.5),"NM",FN209/FL209*100-100))</f>
        <v>38.06916399758623</v>
      </c>
      <c r="FP209" s="81">
        <f>+FP203/FP191*100</f>
        <v>19.105590062111801</v>
      </c>
      <c r="FQ209" s="72">
        <f>IF(ISERROR(FP209/FN209),"NA",IF(OR(FP209/FN209&gt;2,FP209/FN209&lt;0.5),"NM",FP209/FN209*100-100))</f>
        <v>-5.4976565179285899</v>
      </c>
      <c r="FR209" s="81">
        <f>+FR203/FR191*100</f>
        <v>17.492578214204158</v>
      </c>
      <c r="FS209" s="72">
        <f>IF(ISERROR(FR209/FP209),"NA",IF(OR(FR209/FP209&gt;2,FR209/FP209&lt;0.5),"NM",FR209/FP209*100-100))</f>
        <v>-8.4426172793605474</v>
      </c>
      <c r="FT209" s="81">
        <f>+FT203/FT191*100</f>
        <v>18.118096856414613</v>
      </c>
      <c r="FU209" s="72">
        <f>IF(ISERROR(FT209/FR209),"NA",IF(OR(FT209/FR209&gt;2,FT209/FR209&lt;0.5),"NM",FT209/FR209*100-100))</f>
        <v>3.5759087914354808</v>
      </c>
      <c r="FV209" s="81">
        <f>+FV203/FV191*100</f>
        <v>16.731837826713317</v>
      </c>
      <c r="FW209" s="72">
        <f>IF(ISERROR(FV209/FT209),"NA",IF(OR(FV209/FT209&gt;2,FV209/FT209&lt;0.5),"NM",FV209/FT209*100-100))</f>
        <v>-7.6512397559597929</v>
      </c>
      <c r="FX209" s="81">
        <f>+FX203/FX191*100</f>
        <v>18.737926593689632</v>
      </c>
      <c r="FY209" s="72">
        <f>IF(ISERROR(FX209/FV209),"NA",IF(OR(FX209/FV209&gt;2,FX209/FV209&lt;0.5),"NM",FX209/FV209*100-100))</f>
        <v>11.989649838546029</v>
      </c>
      <c r="FZ209" s="81">
        <f>+FZ203/FZ191*100</f>
        <v>18.213389928612774</v>
      </c>
      <c r="GA209" s="72">
        <f>IF(ISERROR(FZ209/FX209),"NA",IF(OR(FZ209/FX209&gt;2,FZ209/FX209&lt;0.5),"NM",FZ209/FX209*100-100))</f>
        <v>-2.7993314119050297</v>
      </c>
      <c r="GB209" s="81">
        <f>+GB203/GB191*100</f>
        <v>19.400533771299528</v>
      </c>
      <c r="GC209" s="72">
        <f>IF(ISERROR(GB209/FZ209),"NA",IF(OR(GB209/FZ209&gt;2,GB209/FZ209&lt;0.5),"NM",GB209/FZ209*100-100))</f>
        <v>6.5179730261074553</v>
      </c>
      <c r="GD209" s="81">
        <f>+GD203/GD191*100</f>
        <v>2.5276677141686021</v>
      </c>
      <c r="GE209" s="72" t="str">
        <f>IF(ISERROR(GD209/GB209),"NA",IF(OR(GD209/GB209&gt;2,GD209/GB209&lt;0.5),"NM",GD209/GB209*100-100))</f>
        <v>NM</v>
      </c>
      <c r="GF209" s="81">
        <f>+GF203/GF191*100</f>
        <v>16.373589913735902</v>
      </c>
      <c r="GG209" s="72" t="str">
        <f>IF(ISERROR(GF209/GD209),"NA",IF(OR(GF209/GD209&gt;2,GF209/GD209&lt;0.5),"NM",GF209/GD209*100-100))</f>
        <v>NM</v>
      </c>
      <c r="GH209" s="81">
        <f>+GH203/GH191*100</f>
        <v>8.6445309265546086</v>
      </c>
      <c r="GI209" s="72">
        <f t="shared" si="1258"/>
        <v>-47.204425101042382</v>
      </c>
      <c r="GJ209" s="456">
        <f>+GJ203/GJ191*100</f>
        <v>8.9163353354200154</v>
      </c>
      <c r="GK209" s="532">
        <f t="shared" si="1258"/>
        <v>3.144235484547437</v>
      </c>
      <c r="GL209" s="456">
        <f>+GL203/GL191*100</f>
        <v>8.0925753339546453</v>
      </c>
      <c r="GM209" s="532">
        <f t="shared" si="1258"/>
        <v>-9.2387732232657811</v>
      </c>
      <c r="GN209" s="456">
        <f>+GN203/GN191*100</f>
        <v>7.5200462327530166</v>
      </c>
      <c r="GO209" s="532">
        <f t="shared" si="1258"/>
        <v>-7.0747454002611931</v>
      </c>
      <c r="GP209" s="456">
        <f>+GP203/GP191*100</f>
        <v>7.5000000000000009</v>
      </c>
      <c r="GQ209" s="532">
        <f t="shared" si="1258"/>
        <v>-0.26657060518732578</v>
      </c>
      <c r="GR209" s="688">
        <f>GP209</f>
        <v>7.5000000000000009</v>
      </c>
      <c r="GS209" s="532">
        <f t="shared" si="1258"/>
        <v>0</v>
      </c>
      <c r="GT209" s="688">
        <f>GR209+0.05</f>
        <v>7.5500000000000007</v>
      </c>
      <c r="GU209" s="72">
        <f t="shared" si="1258"/>
        <v>0.66666666666665719</v>
      </c>
      <c r="GV209" s="688">
        <f>GT209+0.05</f>
        <v>7.6000000000000005</v>
      </c>
      <c r="GW209" s="72">
        <f>IF(ISERROR(GV209/GT209),"NA",IF(OR(GV209/GT209&gt;2,GV209/GT209&lt;0.5),"NM",GV209/GT209*100-100))</f>
        <v>0.66225165562914867</v>
      </c>
      <c r="GX209" s="688">
        <f>GV209+0.05</f>
        <v>7.65</v>
      </c>
      <c r="GY209" s="72">
        <f>IF(ISERROR(GX209/GV209),"NA",IF(OR(GX209/GV209&gt;2,GX209/GV209&lt;0.5),"NM",GX209/GV209*100-100))</f>
        <v>0.65789473684209554</v>
      </c>
      <c r="GZ209" s="72">
        <f>IF(ISERROR(((GX209/GN209)^0.2-1)*100),"NA",IF((((GX209/GN209)^0.2-1)*100)&gt;100,"NM",IF((((GX209/GN209)^0.2-1)*100)&lt;-50,"NM",((GX209/GN209)^0.2-1)*100)))</f>
        <v>0.34325501382339585</v>
      </c>
      <c r="HA209" s="72"/>
      <c r="HB209" s="72"/>
      <c r="HC209"/>
      <c r="HD209"/>
      <c r="HE209"/>
      <c r="HF209"/>
      <c r="HG209"/>
      <c r="HH209"/>
      <c r="HI209" s="111"/>
    </row>
    <row r="210" spans="1:217" s="135" customFormat="1" ht="12.75" hidden="1" customHeight="1" outlineLevel="1" x14ac:dyDescent="0.2">
      <c r="B210" s="233" t="s">
        <v>660</v>
      </c>
      <c r="C210" s="136"/>
      <c r="D210" s="137"/>
      <c r="E210" s="136"/>
      <c r="F210" s="137"/>
      <c r="G210" s="136"/>
      <c r="H210" s="137"/>
      <c r="I210" s="136"/>
      <c r="J210" s="137"/>
      <c r="K210" s="136"/>
      <c r="L210" s="137"/>
      <c r="M210" s="136"/>
      <c r="N210" s="137"/>
      <c r="O210" s="136"/>
      <c r="P210" s="137"/>
      <c r="Q210" s="136"/>
      <c r="R210" s="137"/>
      <c r="S210" s="136"/>
      <c r="T210" s="137"/>
      <c r="U210" s="136"/>
      <c r="V210" s="137"/>
      <c r="W210" s="136"/>
      <c r="X210" s="137"/>
      <c r="Y210" s="136"/>
      <c r="Z210" s="137"/>
      <c r="AA210" s="136"/>
      <c r="AB210" s="137"/>
      <c r="AC210" s="136"/>
      <c r="AD210" s="137"/>
      <c r="AE210" s="136"/>
      <c r="AF210" s="137"/>
      <c r="AG210" s="136"/>
      <c r="AH210" s="137"/>
      <c r="AI210" s="136"/>
      <c r="AJ210" s="137"/>
      <c r="AK210" s="136"/>
      <c r="AL210" s="137"/>
      <c r="AM210" s="136"/>
      <c r="AN210" s="137"/>
      <c r="AO210" s="136"/>
      <c r="AP210" s="137"/>
      <c r="AQ210" s="136"/>
      <c r="AR210" s="137"/>
      <c r="AS210" s="136"/>
      <c r="AT210" s="137"/>
      <c r="AU210" s="136"/>
      <c r="AV210" s="137"/>
      <c r="AW210" s="136"/>
      <c r="AX210" s="137"/>
      <c r="AY210" s="136"/>
      <c r="AZ210" s="137"/>
      <c r="BA210" s="136"/>
      <c r="BB210" s="137"/>
      <c r="BC210" s="136"/>
      <c r="BD210" s="137"/>
      <c r="BE210" s="136"/>
      <c r="BF210" s="137"/>
      <c r="BG210" s="136"/>
      <c r="BH210" s="137"/>
      <c r="BI210" s="136"/>
      <c r="BJ210" s="137"/>
      <c r="BK210" s="136"/>
      <c r="BL210" s="137"/>
      <c r="BM210" s="136"/>
      <c r="BN210" s="137"/>
      <c r="BO210" s="136"/>
      <c r="BP210" s="137"/>
      <c r="BQ210" s="136"/>
      <c r="BR210" s="137"/>
      <c r="BS210" s="136"/>
      <c r="BT210" s="137"/>
      <c r="BU210" s="136"/>
      <c r="BV210" s="137"/>
      <c r="BW210" s="136"/>
      <c r="BX210" s="137"/>
      <c r="BY210" s="136"/>
      <c r="BZ210" s="137"/>
      <c r="CA210" s="136"/>
      <c r="CB210" s="137"/>
      <c r="CC210" s="136"/>
      <c r="CD210" s="137"/>
      <c r="CE210" s="136"/>
      <c r="CF210" s="137"/>
      <c r="CG210" s="136"/>
      <c r="CH210" s="137"/>
      <c r="CI210" s="136"/>
      <c r="CJ210" s="137"/>
      <c r="CK210" s="136"/>
      <c r="CL210" s="137"/>
      <c r="CM210" s="136"/>
      <c r="CN210" s="137"/>
      <c r="CO210" s="136"/>
      <c r="CP210" s="137"/>
      <c r="CQ210" s="136"/>
      <c r="CR210" s="137"/>
      <c r="CS210" s="136"/>
      <c r="CT210" s="137"/>
      <c r="CU210" s="136"/>
      <c r="CV210" s="137"/>
      <c r="CW210" s="136"/>
      <c r="CX210" s="137"/>
      <c r="CY210" s="136"/>
      <c r="CZ210" s="137"/>
      <c r="DA210" s="136"/>
      <c r="DB210" s="137"/>
      <c r="DC210" s="136"/>
      <c r="DD210" s="137"/>
      <c r="DE210" s="136"/>
      <c r="DF210" s="72" t="str">
        <f>IF(ISERROR(DE210/CW210),"NA",IF(OR(DE210/CW210&gt;2,DE210/CW210&lt;0.5),"NM",DE210/CW210*100-100))</f>
        <v>NA</v>
      </c>
      <c r="DG210" s="136"/>
      <c r="DH210" s="72" t="str">
        <f>IF(ISERROR(DG210/CY210),"NA",IF(OR(DG210/CY210&gt;2,DG210/CY210&lt;0.5),"NM",DG210/CY210*100-100))</f>
        <v>NA</v>
      </c>
      <c r="DI210" s="136"/>
      <c r="DJ210" s="137"/>
      <c r="DK210" s="136"/>
      <c r="DL210" s="137"/>
      <c r="DM210" s="136"/>
      <c r="DN210" s="72" t="str">
        <f t="shared" si="1253"/>
        <v>NA</v>
      </c>
      <c r="DO210" s="136"/>
      <c r="DP210" s="72" t="str">
        <f t="shared" si="1253"/>
        <v>NA</v>
      </c>
      <c r="DQ210" s="136"/>
      <c r="DR210" s="72" t="str">
        <f t="shared" si="1253"/>
        <v>NA</v>
      </c>
      <c r="DS210" s="136"/>
      <c r="DT210" s="72" t="str">
        <f t="shared" si="1253"/>
        <v>NA</v>
      </c>
      <c r="DU210" s="136"/>
      <c r="DV210" s="72" t="str">
        <f t="shared" si="1253"/>
        <v>NA</v>
      </c>
      <c r="DW210" s="136"/>
      <c r="DX210" s="72" t="str">
        <f t="shared" si="1253"/>
        <v>NA</v>
      </c>
      <c r="DY210" s="136"/>
      <c r="DZ210" s="72" t="str">
        <f t="shared" si="1253"/>
        <v>NA</v>
      </c>
      <c r="EA210" s="136"/>
      <c r="EB210" s="72" t="str">
        <f>IF(ISERROR(EA210/DS210),"NA",IF(OR(EA210/DS210&gt;2,EA210/DS210&lt;0.5),"NM",EA210/DS210*100-100))</f>
        <v>NA</v>
      </c>
      <c r="EC210" s="136">
        <f>IF($B$6=1, EC209, IF($B$6=2, EC209+EC904, IF($B$6=3, EC209+EC905)))</f>
        <v>11.021865238732708</v>
      </c>
      <c r="ED210" s="72" t="str">
        <f>IF(ISERROR(EC210/DU210),"NA",IF(OR(EC210/DU210&gt;2,EC210/DU210&lt;0.5),"NM",EC210/DU210*100-100))</f>
        <v>NA</v>
      </c>
      <c r="EE210" s="136">
        <f>IF($B$6=1, EE209, IF($B$6=2, EE209+EE904, IF($B$6=3, EE209+EE905)))</f>
        <v>5.7654850019477992</v>
      </c>
      <c r="EF210" s="72" t="str">
        <f>IF(ISERROR(EE210/DW210),"NA",IF(OR(EE210/DW210&gt;2,EE210/DW210&lt;0.5),"NM",EE210/DW210*100-100))</f>
        <v>NA</v>
      </c>
      <c r="EG210" s="136">
        <f>IF($B$6=1, EG209, IF($B$6=2, EG209+EG904, IF($B$6=3, EG209+EG905)))</f>
        <v>6.7073170731707323</v>
      </c>
      <c r="EH210" s="72" t="str">
        <f>IF(ISERROR(EG210/DY210),"NA",IF(OR(EG210/DY210&gt;2,EG210/DY210&lt;0.5),"NM",EG210/DY210*100-100))</f>
        <v>NA</v>
      </c>
      <c r="EI210" s="136">
        <f>IF($B$6=1, EI209, IF($B$6=2, EI209+EI904, IF($B$6=3, EI209+EI905)))</f>
        <v>13.216313887454827</v>
      </c>
      <c r="EJ210" s="72" t="str">
        <f>IF(ISERROR(EI210/EA210),"NA",IF(OR(EI210/EA210&gt;2,EI210/EA210&lt;0.5),"NM",EI210/EA210*100-100))</f>
        <v>NA</v>
      </c>
      <c r="EK210" s="136">
        <f>IF($B$6=1, EK209, IF($B$6=2, EK209+EK904, IF($B$6=3, EK209+EK905)))</f>
        <v>6.6537288605489326</v>
      </c>
      <c r="EL210" s="72">
        <f>IF(ISERROR(EK210/EC210),"NA",IF(OR(EK210/EC210&gt;2,EK210/EC210&lt;0.5),"NM",EK210/EC210*100-100))</f>
        <v>-39.631553131618787</v>
      </c>
      <c r="EM210" s="136">
        <f>IF($B$6=1, EM209, IF($B$6=2, EM209+EM904, IF($B$6=3, EM209+EM905)))</f>
        <v>8.0699601104633327</v>
      </c>
      <c r="EN210" s="72">
        <f>IF(ISERROR(EM210/EE210),"NA",IF(OR(EM210/EE210&gt;2,EM210/EE210&lt;0.5),"NM",EM210/EE210*100-100))</f>
        <v>39.970186510536308</v>
      </c>
      <c r="EO210" s="136">
        <f>IF($B$6=1, EO209, IF($B$6=2, EO209+EO904, IF($B$6=3, EO209+EO905)))</f>
        <v>5.5952380952380958</v>
      </c>
      <c r="EP210" s="72">
        <f>IF(ISERROR(EO210/EG210),"NA",IF(OR(EO210/EG210&gt;2,EO210/EG210&lt;0.5),"NM",EO210/EG210*100-100))</f>
        <v>-16.580086580086586</v>
      </c>
      <c r="EQ210" s="136">
        <f>IF($B$6=1, EQ209, IF($B$6=2, EQ209+EQ904, IF($B$6=3, EQ209+EQ905)))</f>
        <v>7.5</v>
      </c>
      <c r="ER210" s="72">
        <f t="shared" si="1254"/>
        <v>-43.251953125</v>
      </c>
      <c r="ES210" s="136">
        <f>IF($B$6=1, ES209, IF($B$6=2, ES209+ES904, IF($B$6=3, ES209+ES905)))</f>
        <v>7.5</v>
      </c>
      <c r="ET210" s="72">
        <f t="shared" si="1255"/>
        <v>12.71875</v>
      </c>
      <c r="EU210" s="136">
        <f>IF($B$6=1, EU209, IF($B$6=2, EU209+EU904, IF($B$6=3, EU209+EU905)))</f>
        <v>7.5</v>
      </c>
      <c r="EV210" s="72">
        <f t="shared" si="1256"/>
        <v>-7.0627376425855601</v>
      </c>
      <c r="EW210" s="136">
        <f>IF($B$6=1, EW209, IF($B$6=2, EW209+EW904, IF($B$6=3, EW209+EW905)))</f>
        <v>7.5</v>
      </c>
      <c r="EX210" s="72">
        <f t="shared" si="1257"/>
        <v>34.042553191489333</v>
      </c>
      <c r="EY210" s="137"/>
      <c r="EZ210" s="313"/>
      <c r="FA210" s="137"/>
      <c r="FB210" s="136"/>
      <c r="FC210" s="137"/>
      <c r="FD210" s="136"/>
      <c r="FE210" s="137"/>
      <c r="FF210" s="136"/>
      <c r="FG210" s="137"/>
      <c r="FH210" s="136"/>
      <c r="FI210" s="137"/>
      <c r="FJ210" s="136"/>
      <c r="FK210" s="137"/>
      <c r="FL210" s="136"/>
      <c r="FM210" s="137"/>
      <c r="FN210" s="136"/>
      <c r="FO210" s="137"/>
      <c r="FP210" s="136"/>
      <c r="FQ210" s="137"/>
      <c r="FR210" s="136"/>
      <c r="FS210" s="137"/>
      <c r="FT210" s="136"/>
      <c r="FU210" s="137"/>
      <c r="FV210" s="136"/>
      <c r="FW210" s="137"/>
      <c r="FX210" s="136"/>
      <c r="FY210" s="137"/>
      <c r="FZ210" s="136"/>
      <c r="GA210" s="137"/>
      <c r="GB210" s="136"/>
      <c r="GC210" s="137"/>
      <c r="GD210" s="136"/>
      <c r="GE210" s="137"/>
      <c r="GF210" s="136"/>
      <c r="GG210" s="137"/>
      <c r="GH210" s="136"/>
      <c r="GI210" s="72" t="str">
        <f t="shared" si="1258"/>
        <v>NA</v>
      </c>
      <c r="GJ210" s="720"/>
      <c r="GK210" s="532" t="str">
        <f t="shared" si="1258"/>
        <v>NA</v>
      </c>
      <c r="GL210" s="720"/>
      <c r="GM210" s="532" t="str">
        <f t="shared" si="1258"/>
        <v>NA</v>
      </c>
      <c r="GN210" s="720"/>
      <c r="GO210" s="532" t="str">
        <f t="shared" si="1258"/>
        <v>NA</v>
      </c>
      <c r="GP210" s="720"/>
      <c r="GQ210" s="532" t="str">
        <f t="shared" si="1258"/>
        <v>NA</v>
      </c>
      <c r="GR210" s="720">
        <f>IF($B$6=1, GR209, IF($B$6=2, GR209+GR904, IF($B$6=3, GR209+GR905)))</f>
        <v>7.5000000000000009</v>
      </c>
      <c r="GS210" s="532" t="str">
        <f t="shared" si="1258"/>
        <v>NA</v>
      </c>
      <c r="GT210" s="720">
        <f>IF($B$6=1, GT209, IF($B$6=2, GT209+GT904, IF($B$6=3, GT209+GT905)))</f>
        <v>7.5500000000000007</v>
      </c>
      <c r="GU210" s="72">
        <f t="shared" si="1258"/>
        <v>0.66666666666665719</v>
      </c>
      <c r="GV210" s="720">
        <f>IF($B$6=1, GV209, IF($B$6=2, GV209+GV904, IF($B$6=3, GV209+GV905)))</f>
        <v>7.6000000000000005</v>
      </c>
      <c r="GW210" s="72">
        <f>IF(ISERROR(GV210/GT210),"NA",IF(OR(GV210/GT210&gt;2,GV210/GT210&lt;0.5),"NM",GV210/GT210*100-100))</f>
        <v>0.66225165562914867</v>
      </c>
      <c r="GX210" s="720">
        <f>IF($B$6=1, GX209, IF($B$6=2, GX209+GX904, IF($B$6=3, GX209+GX905)))</f>
        <v>7.65</v>
      </c>
      <c r="GY210" s="72">
        <f>IF(ISERROR(GX210/GV210),"NA",IF(OR(GX210/GV210&gt;2,GX210/GV210&lt;0.5),"NM",GX210/GV210*100-100))</f>
        <v>0.65789473684209554</v>
      </c>
      <c r="GZ210" s="137"/>
      <c r="HA210" s="137"/>
      <c r="HB210" s="137"/>
      <c r="HC210"/>
      <c r="HD210"/>
      <c r="HE210"/>
      <c r="HF210"/>
      <c r="HG210"/>
      <c r="HH210"/>
      <c r="HI210" s="245"/>
    </row>
    <row r="211" spans="1:217" s="3" customFormat="1" ht="12.75" customHeight="1" collapsed="1" x14ac:dyDescent="0.2">
      <c r="B211" s="76" t="s">
        <v>428</v>
      </c>
      <c r="C211" s="81"/>
      <c r="D211" s="72"/>
      <c r="E211" s="81"/>
      <c r="F211" s="72"/>
      <c r="G211" s="81"/>
      <c r="H211" s="72"/>
      <c r="I211" s="81"/>
      <c r="J211" s="72"/>
      <c r="K211" s="81">
        <f>+K205/K191*100</f>
        <v>90.266875981161704</v>
      </c>
      <c r="L211" s="72" t="str">
        <f>IF(ISERROR(K211/C211),"NA",IF(OR(K211/C211&gt;2,K211/C211&lt;0.5),"NM",K211/C211*100-100))</f>
        <v>NA</v>
      </c>
      <c r="M211" s="81">
        <f>+M205/M191*100</f>
        <v>92.257001647446458</v>
      </c>
      <c r="N211" s="72" t="str">
        <f>IF(ISERROR(M211/E211),"NA",IF(OR(M211/E211&gt;2,M211/E211&lt;0.5),"NM",M211/E211*100-100))</f>
        <v>NA</v>
      </c>
      <c r="O211" s="81">
        <f>+O205/O191*100</f>
        <v>100.69565217391305</v>
      </c>
      <c r="P211" s="72" t="str">
        <f>IF(ISERROR(O211/G211),"NA",IF(OR(O211/G211&gt;2,O211/G211&lt;0.5),"NM",O211/G211*100-100))</f>
        <v>NA</v>
      </c>
      <c r="Q211" s="81">
        <f>+Q205/Q191*100</f>
        <v>99.130434782608702</v>
      </c>
      <c r="R211" s="72" t="str">
        <f>IF(ISERROR(Q211/I211),"NA",IF(OR(Q211/I211&gt;2,Q211/I211&lt;0.5),"NM",Q211/I211*100-100))</f>
        <v>NA</v>
      </c>
      <c r="S211" s="81">
        <f>+S205/S191*100</f>
        <v>93.971631205673759</v>
      </c>
      <c r="T211" s="72">
        <f>IF(ISERROR(S211/K211),"NA",IF(OR(S211/K211&gt;2,S211/K211&lt;0.5),"NM",S211/K211*100-100))</f>
        <v>4.104224483502918</v>
      </c>
      <c r="U211" s="81">
        <f>+U205/U191*100</f>
        <v>91.896272285251214</v>
      </c>
      <c r="V211" s="72">
        <f>IF(ISERROR(U211/M211),"NA",IF(OR(U211/M211&gt;2,U211/M211&lt;0.5),"NM",U211/M211*100-100))</f>
        <v>-0.39100486223662756</v>
      </c>
      <c r="W211" s="81">
        <f>+W205/W191*100</f>
        <v>95.826086956521735</v>
      </c>
      <c r="X211" s="72">
        <f>IF(ISERROR(W211/O211),"NA",IF(OR(W211/O211&gt;2,W211/O211&lt;0.5),"NM",W211/O211*100-100))</f>
        <v>-4.8359240069084706</v>
      </c>
      <c r="Y211" s="81">
        <f>+Y205/Y191*100</f>
        <v>94.527363184079604</v>
      </c>
      <c r="Z211" s="72">
        <f>IF(ISERROR(Y211/Q211),"NA",IF(OR(Y211/Q211&gt;2,Y211/Q211&lt;0.5),"NM",Y211/Q211*100-100))</f>
        <v>-4.6434494195688245</v>
      </c>
      <c r="AA211" s="81">
        <f>+AA205/AA191*100</f>
        <v>90.877796901893291</v>
      </c>
      <c r="AB211" s="72">
        <f>IF(ISERROR(AA211/S211),"NA",IF(OR(AA211/S211&gt;2,AA211/S211&lt;0.5),"NM",AA211/S211*100-100))</f>
        <v>-3.2923066930795954</v>
      </c>
      <c r="AC211" s="81">
        <f>+AC205/AC191*100</f>
        <v>92.146596858638745</v>
      </c>
      <c r="AD211" s="72">
        <f>IF(ISERROR(AC211/U211),"NA",IF(OR(AC211/U211&gt;2,AC211/U211&lt;0.5),"NM",AC211/U211*100-100))</f>
        <v>0.2723990507585512</v>
      </c>
      <c r="AE211" s="81">
        <f>+AE205/AE191*100</f>
        <v>92.921960072595283</v>
      </c>
      <c r="AF211" s="72">
        <f>IF(ISERROR(AE211/W211),"NA",IF(OR(AE211/W211&gt;2,AE211/W211&lt;0.5),"NM",AE211/W211*100-100))</f>
        <v>-3.0306224287798784</v>
      </c>
      <c r="AG211" s="81">
        <f>+AG205/AG191*100</f>
        <v>90.451388888888886</v>
      </c>
      <c r="AH211" s="72">
        <f>IF(ISERROR(AG211/Y211),"NA",IF(OR(AG211/Y211&gt;2,AG211/Y211&lt;0.5),"NM",AG211/Y211*100-100))</f>
        <v>-4.3119517543859729</v>
      </c>
      <c r="AI211" s="81">
        <f>+AI205/AI191*100</f>
        <v>90.987868284228767</v>
      </c>
      <c r="AJ211" s="72">
        <f>IF(ISERROR(AI211/AA211),"NA",IF(OR(AI211/AA211&gt;2,AI211/AA211&lt;0.5),"NM",AI211/AA211*100-100))</f>
        <v>0.12112021427445541</v>
      </c>
      <c r="AK211" s="81">
        <f>+AK205/AK191*100</f>
        <v>89.214536928487689</v>
      </c>
      <c r="AL211" s="72">
        <f>IF(ISERROR(AK211/AC211),"NA",IF(OR(AK211/AC211&gt;2,AK211/AC211&lt;0.5),"NM",AK211/AC211*100-100))</f>
        <v>-3.1819514014707551</v>
      </c>
      <c r="AM211" s="81">
        <f>+AM205/AM191*100</f>
        <v>89.555555555555557</v>
      </c>
      <c r="AN211" s="72">
        <f>IF(ISERROR(AM211/AE211),"NA",IF(OR(AM211/AE211&gt;2,AM211/AE211&lt;0.5),"NM",AM211/AE211*100-100))</f>
        <v>-3.6228298611111143</v>
      </c>
      <c r="AO211" s="81">
        <f>+AO205/AO191*100</f>
        <v>89.273743016759781</v>
      </c>
      <c r="AP211" s="72">
        <f>IF(ISERROR(AO211/AG211),"NA",IF(OR(AO211/AG211&gt;2,AO211/AG211&lt;0.5),"NM",AO211/AG211*100-100))</f>
        <v>-1.3019654939469518</v>
      </c>
      <c r="AQ211" s="81">
        <f>+AQ205/AQ191*100</f>
        <v>83.563096500530222</v>
      </c>
      <c r="AR211" s="72">
        <f>IF(ISERROR(AQ211/AI211),"NA",IF(OR(AQ211/AI211&gt;2,AQ211/AI211&lt;0.5),"NM",AQ211/AI211*100-100))</f>
        <v>-8.1601777508458326</v>
      </c>
      <c r="AS211" s="81">
        <f>+AS205/AS191*100</f>
        <v>85.968379446640313</v>
      </c>
      <c r="AT211" s="72">
        <f>IF(ISERROR(AS211/AK211),"NA",IF(OR(AS211/AK211&gt;2,AS211/AK211&lt;0.5),"NM",AS211/AK211*100-100))</f>
        <v>-3.6385970197316766</v>
      </c>
      <c r="AU211" s="81">
        <f>+AU205/AU191*100</f>
        <v>89.493791786055397</v>
      </c>
      <c r="AV211" s="72">
        <f>IF(ISERROR(AU211/AM211),"NA",IF(OR(AU211/AM211&gt;2,AU211/AM211&lt;0.5),"NM",AU211/AM211*100-100))</f>
        <v>-6.896698827560499E-2</v>
      </c>
      <c r="AW211" s="81">
        <f>+AW205/AW191*100</f>
        <v>91.104594330400772</v>
      </c>
      <c r="AX211" s="72">
        <f>IF(ISERROR(AW211/AO211),"NA",IF(OR(AW211/AO211&gt;2,AW211/AO211&lt;0.5),"NM",AW211/AO211*100-100))</f>
        <v>2.0508284426892232</v>
      </c>
      <c r="AY211" s="81">
        <f>+AY205/AY191*100</f>
        <v>87.001897533206829</v>
      </c>
      <c r="AZ211" s="72">
        <f>IF(ISERROR(AY211/AQ211),"NA",IF(OR(AY211/AQ211&gt;2,AY211/AQ211&lt;0.5),"NM",AY211/AQ211*100-100))</f>
        <v>4.1152149413883734</v>
      </c>
      <c r="BA211" s="81">
        <f>+BA205/BA191*100</f>
        <v>86.38095238095238</v>
      </c>
      <c r="BB211" s="72">
        <f>IF(ISERROR(BA211/AS211),"NA",IF(OR(BA211/AS211&gt;2,BA211/AS211&lt;0.5),"NM",BA211/AS211*100-100))</f>
        <v>0.47991242474000728</v>
      </c>
      <c r="BC211" s="81">
        <f>+BC205/BC191*100</f>
        <v>90.197841726618705</v>
      </c>
      <c r="BD211" s="72">
        <f>IF(ISERROR(BC211/AU211),"NA",IF(OR(BC211/AU211&gt;2,BC211/AU211&lt;0.5),"NM",BC211/AU211*100-100))</f>
        <v>0.78670254831354214</v>
      </c>
      <c r="BE211" s="81">
        <f>+BE205/BE191*100</f>
        <v>89.59587274290628</v>
      </c>
      <c r="BF211" s="72">
        <f>IF(ISERROR(BE211/AW211),"NA",IF(OR(BE211/AW211&gt;2,BE211/AW211&lt;0.5),"NM",BE211/AW211*100-100))</f>
        <v>-1.6560323862734663</v>
      </c>
      <c r="BG211" s="81">
        <f>+BG205/BG191*100</f>
        <v>87.274290627687009</v>
      </c>
      <c r="BH211" s="72">
        <f>IF(ISERROR(BG211/AY211),"NA",IF(OR(BG211/AY211&gt;2,BG211/AY211&lt;0.5),"NM",BG211/AY211*100-100))</f>
        <v>0.31308868220514796</v>
      </c>
      <c r="BI211" s="81">
        <f>+BI205/BI191*100</f>
        <v>88</v>
      </c>
      <c r="BJ211" s="72">
        <f>IF(ISERROR(BI211/BA211),"NA",IF(OR(BI211/BA211&gt;2,BI211/BA211&lt;0.5),"NM",BI211/BA211*100-100))</f>
        <v>1.8743109151047435</v>
      </c>
      <c r="BK211" s="81">
        <f>+BK205/BK191*100</f>
        <v>94.560669456066947</v>
      </c>
      <c r="BL211" s="72">
        <f>IF(ISERROR(BK211/BC211),"NA",IF(OR(BK211/BC211&gt;2,BK211/BC211&lt;0.5),"NM",BK211/BC211*100-100))</f>
        <v>4.8369535744231769</v>
      </c>
      <c r="BM211" s="81">
        <f>+BM205/BM191*100</f>
        <v>89.083333333333343</v>
      </c>
      <c r="BN211" s="72">
        <f>IF(ISERROR(BM211/BE211),"NA",IF(OR(BM211/BE211&gt;2,BM211/BE211&lt;0.5),"NM",BM211/BE211*100-100))</f>
        <v>-0.57205694177862654</v>
      </c>
      <c r="BO211" s="81">
        <f>+BO205/BO191*100</f>
        <v>90.213101815311759</v>
      </c>
      <c r="BP211" s="72">
        <f>IF(ISERROR(BO211/BG211),"NA",IF(OR(BO211/BG211&gt;2,BO211/BG211&lt;0.5),"NM",BO211/BG211*100-100))</f>
        <v>3.3673274987266808</v>
      </c>
      <c r="BQ211" s="81">
        <f>+BQ205/BQ191*100</f>
        <v>88.318144159072077</v>
      </c>
      <c r="BR211" s="72">
        <f>IF(ISERROR(BQ211/BI211),"NA",IF(OR(BQ211/BI211&gt;2,BQ211/BI211&lt;0.5),"NM",BQ211/BI211*100-100))</f>
        <v>0.36152745349100712</v>
      </c>
      <c r="BS211" s="81">
        <f>+BS205/BS191*100</f>
        <v>88.103756708407872</v>
      </c>
      <c r="BT211" s="72">
        <f>IF(ISERROR(BS211/BK211),"NA",IF(OR(BS211/BK211&gt;2,BS211/BK211&lt;0.5),"NM",BS211/BK211*100-100))</f>
        <v>-6.8283280827014039</v>
      </c>
      <c r="BU211" s="81">
        <f>+BU205/BU191*100</f>
        <v>89.376996805111816</v>
      </c>
      <c r="BV211" s="72">
        <f>IF(ISERROR(BU211/BM211),"NA",IF(OR(BU211/BM211&gt;2,BU211/BM211&lt;0.5),"NM",BU211/BM211*100-100))</f>
        <v>0.32965029572886806</v>
      </c>
      <c r="BW211" s="81">
        <f>+BW205/BW191*100</f>
        <v>88.165680473372774</v>
      </c>
      <c r="BX211" s="72">
        <f>IF(ISERROR(BW211/BO211),"NA",IF(OR(BW211/BO211&gt;2,BW211/BO211&lt;0.5),"NM",BW211/BO211*100-100))</f>
        <v>-2.2695387928580004</v>
      </c>
      <c r="BY211" s="81">
        <f>+BY205/BY191*100</f>
        <v>91.545893719806756</v>
      </c>
      <c r="BZ211" s="72">
        <f>IF(ISERROR(BY211/BQ211),"NA",IF(OR(BY211/BQ211&gt;2,BY211/BQ211&lt;0.5),"NM",BY211/BQ211*100-100))</f>
        <v>3.6546845401564241</v>
      </c>
      <c r="CA211" s="81">
        <f>+CA205/CA191*100</f>
        <v>89.363636363636374</v>
      </c>
      <c r="CB211" s="72">
        <f>IF(ISERROR(CA211/BS211),"NA",IF(OR(CA211/BS211&gt;2,CA211/BS211&lt;0.5),"NM",CA211/BS211*100-100))</f>
        <v>1.4299953853253555</v>
      </c>
      <c r="CC211" s="81">
        <f>+CC205/CC191*100</f>
        <v>88.359788359788354</v>
      </c>
      <c r="CD211" s="72">
        <f>IF(ISERROR(CC211/BU211),"NA",IF(OR(CC211/BU211&gt;2,CC211/BU211&lt;0.5),"NM",CC211/BU211*100-100))</f>
        <v>-1.1381098959293752</v>
      </c>
      <c r="CE211" s="81">
        <f>+CE205/CE191*100</f>
        <v>85.20814880425155</v>
      </c>
      <c r="CF211" s="72">
        <f>IF(ISERROR(CE211/BW211),"NA",IF(OR(CE211/BW211&gt;2,CE211/BW211&lt;0.5),"NM",CE211/BW211*100-100))</f>
        <v>-3.3545157857817856</v>
      </c>
      <c r="CG211" s="81">
        <f>+CG205/CG191*100</f>
        <v>90.21897810218978</v>
      </c>
      <c r="CH211" s="72">
        <f>IF(ISERROR(CG211/BY211),"NA",IF(OR(CG211/BY211&gt;2,CG211/BY211&lt;0.5),"NM",CG211/BY211*100-100))</f>
        <v>-1.4494539991911068</v>
      </c>
      <c r="CI211" s="81">
        <f>+CI205/CI191*100</f>
        <v>91.424418604651152</v>
      </c>
      <c r="CJ211" s="72">
        <f>IF(ISERROR(CI211/CA211),"NA",IF(OR(CI211/CA211&gt;2,CI211/CA211&lt;0.5),"NM",CI211/CA211*100-100))</f>
        <v>2.3060635453878433</v>
      </c>
      <c r="CK211" s="81">
        <f>+CK205/CK191*100</f>
        <v>88.837920489296636</v>
      </c>
      <c r="CL211" s="72">
        <f>IF(ISERROR(CK211/CC211),"NA",IF(OR(CK211/CC211&gt;2,CK211/CC211&lt;0.5),"NM",CK211/CC211*100-100))</f>
        <v>0.54111959567104861</v>
      </c>
      <c r="CM211" s="81">
        <f>+CM205/CM191*100</f>
        <v>85.737976782752895</v>
      </c>
      <c r="CN211" s="72">
        <f>IF(ISERROR(CM211/CE211),"NA",IF(OR(CM211/CE211&gt;2,CM211/CE211&lt;0.5),"NM",CM211/CE211*100-100))</f>
        <v>0.62180435314762406</v>
      </c>
      <c r="CO211" s="81">
        <f>+CO205/CO191*100</f>
        <v>86.298076923076934</v>
      </c>
      <c r="CP211" s="72">
        <f>IF(ISERROR(CO211/CG211),"NA",IF(OR(CO211/CG211&gt;2,CO211/CG211&lt;0.5),"NM",CO211/CG211*100-100))</f>
        <v>-4.3459826985312304</v>
      </c>
      <c r="CQ211" s="81">
        <f>+CQ205/CQ191*100</f>
        <v>90.520922288642197</v>
      </c>
      <c r="CR211" s="72">
        <f>IF(ISERROR(CQ211/CI211),"NA",IF(OR(CQ211/CI211&gt;2,CQ211/CI211&lt;0.5),"NM",CQ211/CI211*100-100))</f>
        <v>-0.98824398317036355</v>
      </c>
      <c r="CS211" s="81">
        <f>+CS205/CS191*100</f>
        <v>88.764044943820224</v>
      </c>
      <c r="CT211" s="72">
        <f>IF(ISERROR(CS211/CK211),"NA",IF(OR(CS211/CK211&gt;2,CS211/CK211&lt;0.5),"NM",CS211/CK211*100-100))</f>
        <v>-8.3157670811658591E-2</v>
      </c>
      <c r="CU211" s="81">
        <f>+CU205/CU191*100</f>
        <v>85.907859078590789</v>
      </c>
      <c r="CV211" s="72">
        <f>IF(ISERROR(CU211/CM211),"NA",IF(OR(CU211/CM211&gt;2,CU211/CM211&lt;0.5),"NM",CU211/CM211*100-100))</f>
        <v>0.19814124640279829</v>
      </c>
      <c r="CW211" s="81">
        <f>+CW205/CW191*100</f>
        <v>88.164251207729478</v>
      </c>
      <c r="CX211" s="72">
        <f>IF(ISERROR(CW211/CO211),"NA",IF(OR(CW211/CO211&gt;2,CW211/CO211&lt;0.5),"NM",CW211/CO211*100-100))</f>
        <v>2.1624749370904084</v>
      </c>
      <c r="CY211" s="81">
        <f>+CY205/CY191*100</f>
        <v>90.533562822719446</v>
      </c>
      <c r="CZ211" s="72">
        <f>IF(ISERROR(CY211/CQ211),"NA",IF(OR(CY211/CQ211&gt;2,CY211/CQ211&lt;0.5),"NM",CY211/CQ211*100-100))</f>
        <v>1.3964212645717566E-2</v>
      </c>
      <c r="DA211" s="81">
        <f>+DA205/DA191*100</f>
        <v>99.319912948857464</v>
      </c>
      <c r="DB211" s="72">
        <f>IF(ISERROR(DA211/CS211),"NA",IF(OR(DA211/CS211&gt;2,DA211/CS211&lt;0.5),"NM",DA211/CS211*100-100))</f>
        <v>11.89205382845968</v>
      </c>
      <c r="DC211" s="81">
        <f>+DC205/DC191*100</f>
        <v>82.93413173652695</v>
      </c>
      <c r="DD211" s="72">
        <f>IF(ISERROR(DC211/CU211),"NA",IF(OR(DC211/CU211&gt;2,DC211/CU211&lt;0.5),"NM",DC211/CU211*100-100))</f>
        <v>-3.4615311962825075</v>
      </c>
      <c r="DE211" s="81">
        <f>+DE205/DE191*100</f>
        <v>81.65680473372781</v>
      </c>
      <c r="DF211" s="72">
        <f>IF(ISERROR(DE211/CW211),"NA",IF(OR(DE211/CW211&gt;2,DE211/CW211&lt;0.5),"NM",DE211/CW211*100-100))</f>
        <v>-7.3810488773607972</v>
      </c>
      <c r="DG211" s="81">
        <f>+DG205/DG191*100</f>
        <v>84.459016393442624</v>
      </c>
      <c r="DH211" s="72">
        <f>IF(ISERROR(DG211/CY211),"NA",IF(OR(DG211/CY211&gt;2,DG211/CY211&lt;0.5),"NM",DG211/CY211*100-100))</f>
        <v>-6.7097176338590003</v>
      </c>
      <c r="DI211" s="81">
        <f>+DI205/DI191*100</f>
        <v>82.077764277035243</v>
      </c>
      <c r="DJ211" s="72">
        <f>IF(ISERROR(DI211/DA211),"NA",IF(OR(DI211/DA211&gt;2,DI211/DA211&lt;0.5),"NM",DI211/DA211*100-100))</f>
        <v>-17.360213234077918</v>
      </c>
      <c r="DK211" s="81">
        <f>+DK205/DK191*100</f>
        <v>76.224689745264527</v>
      </c>
      <c r="DL211" s="72">
        <f>IF(ISERROR(DK211/DC211),"NA",IF(OR(DK211/DC211&gt;2,DK211/DC211&lt;0.5),"NM",DK211/DC211*100-100))</f>
        <v>-8.0900852891034276</v>
      </c>
      <c r="DM211" s="81">
        <f>+DM205/DM191*100</f>
        <v>80.530973451327441</v>
      </c>
      <c r="DN211" s="72">
        <f t="shared" si="1253"/>
        <v>-1.3787354110555157</v>
      </c>
      <c r="DO211" s="81">
        <f>+DO205/DO191*100</f>
        <v>89.319983312473923</v>
      </c>
      <c r="DP211" s="72">
        <f t="shared" si="1253"/>
        <v>5.7554150244741606</v>
      </c>
      <c r="DQ211" s="81">
        <f>+DQ205/DQ191*100</f>
        <v>95.374251497005986</v>
      </c>
      <c r="DR211" s="72">
        <f t="shared" si="1253"/>
        <v>16.199865258380328</v>
      </c>
      <c r="DS211" s="81">
        <f>+DS205/DS191*100</f>
        <v>88.539144471347868</v>
      </c>
      <c r="DT211" s="72">
        <f t="shared" si="1253"/>
        <v>16.155467168494937</v>
      </c>
      <c r="DU211" s="81">
        <f>+DU205/DU191*100</f>
        <v>92.547169811320757</v>
      </c>
      <c r="DV211" s="72">
        <f t="shared" si="1253"/>
        <v>14.92121086460709</v>
      </c>
      <c r="DW211" s="81">
        <f>+DW205/DW191*100</f>
        <v>87.506453278265354</v>
      </c>
      <c r="DX211" s="72">
        <f t="shared" si="1253"/>
        <v>-2.0303743540392105</v>
      </c>
      <c r="DY211" s="81">
        <f>+DY205/DY191*100</f>
        <v>96.024609559867486</v>
      </c>
      <c r="DZ211" s="72">
        <f t="shared" si="1253"/>
        <v>0.68190109243680297</v>
      </c>
      <c r="EA211" s="81">
        <f>+EA205/EA191*100</f>
        <v>88.431061806656103</v>
      </c>
      <c r="EB211" s="72">
        <f>IF(ISERROR(EA211/DS211),"NA",IF(OR(EA211/DS211&gt;2,EA211/DS211&lt;0.5),"NM",EA211/DS211*100-100))</f>
        <v>-0.12207331044037062</v>
      </c>
      <c r="EC211" s="81">
        <f>+EC205/EC191*100</f>
        <v>89.468987059348507</v>
      </c>
      <c r="ED211" s="72">
        <f>IF(ISERROR(EC211/DU211),"NA",IF(OR(EC211/DU211&gt;2,EC211/DU211&lt;0.5),"NM",EC211/DU211*100-100))</f>
        <v>-3.3260690286346488</v>
      </c>
      <c r="EE211" s="81">
        <f>+EE205/EE191*100</f>
        <v>95.344760420724583</v>
      </c>
      <c r="EF211" s="72">
        <f>IF(ISERROR(EE211/DW211),"NA",IF(OR(EE211/DW211&gt;2,EE211/DW211&lt;0.5),"NM",EE211/DW211*100-100))</f>
        <v>8.9574046813826129</v>
      </c>
      <c r="EG211" s="81">
        <f>+EG205/EG191*100</f>
        <v>91.186252771618626</v>
      </c>
      <c r="EH211" s="72">
        <f>IF(ISERROR(EG211/DY211),"NA",IF(OR(EG211/DY211&gt;2,EG211/DY211&lt;0.5),"NM",EG211/DY211*100-100))</f>
        <v>-5.0386633285213662</v>
      </c>
      <c r="EI211" s="81">
        <f>+EI205/EI191*100</f>
        <v>79.504388229220453</v>
      </c>
      <c r="EJ211" s="72">
        <f>IF(ISERROR(EI211/EA211),"NA",IF(OR(EI211/EA211&gt;2,EI211/EA211&lt;0.5),"NM",EI211/EA211*100-100))</f>
        <v>-10.094500049035659</v>
      </c>
      <c r="EK211" s="81">
        <f>+EK205/EK191*100</f>
        <v>91.461047962295538</v>
      </c>
      <c r="EL211" s="72">
        <f>IF(ISERROR(EK211/EC211),"NA",IF(OR(EK211/EC211&gt;2,EK211/EC211&lt;0.5),"NM",EK211/EC211*100-100))</f>
        <v>2.2265378970096208</v>
      </c>
      <c r="EM211" s="81">
        <f>+EM205/EM191*100</f>
        <v>92.390303774163854</v>
      </c>
      <c r="EN211" s="72">
        <f>IF(ISERROR(EM211/EE211),"NA",IF(OR(EM211/EE211&gt;2,EM211/EE211&lt;0.5),"NM",EM211/EE211*100-100))</f>
        <v>-3.098708973124161</v>
      </c>
      <c r="EO211" s="81">
        <f>+EO205/EO191*100</f>
        <v>94.226190476190482</v>
      </c>
      <c r="EP211" s="72">
        <f>IF(ISERROR(EO211/EG211),"NA",IF(OR(EO211/EG211&gt;2,EO211/EG211&lt;0.5),"NM",EO211/EG211*100-100))</f>
        <v>3.3337675495730252</v>
      </c>
      <c r="EQ211" s="81">
        <f t="shared" ref="EQ211" si="1259">+EQ205/EQ191*100</f>
        <v>90.805769105696655</v>
      </c>
      <c r="ER211" s="72">
        <f t="shared" si="1254"/>
        <v>14.21478880372365</v>
      </c>
      <c r="ES211" s="81">
        <f t="shared" ref="ES211" si="1260">+ES205/ES191*100</f>
        <v>91.545489792282382</v>
      </c>
      <c r="ET211" s="72">
        <f t="shared" si="1255"/>
        <v>9.2325456429989572E-2</v>
      </c>
      <c r="EU211" s="81">
        <f t="shared" ref="EU211" si="1261">+EU205/EU191*100</f>
        <v>92.230572616789644</v>
      </c>
      <c r="EV211" s="72">
        <f t="shared" si="1256"/>
        <v>-0.17288736030639029</v>
      </c>
      <c r="EW211" s="81">
        <f t="shared" ref="EW211" si="1262">+EW205/EW191*100</f>
        <v>92.677278373298435</v>
      </c>
      <c r="EX211" s="72">
        <f t="shared" si="1257"/>
        <v>-1.643823330927745</v>
      </c>
      <c r="EY211" s="72"/>
      <c r="EZ211" s="309"/>
      <c r="FA211" s="72"/>
      <c r="FB211" s="81"/>
      <c r="FC211" s="72"/>
      <c r="FD211" s="81">
        <f>+FD205/FD191*100</f>
        <v>92.224231464737798</v>
      </c>
      <c r="FE211" s="72" t="str">
        <f>IF(ISERROR(FD211/FB211),"NA",IF(OR(FD211/FB211&gt;2,FD211/FB211&lt;0.5),"NM",FD211/FB211*100-100))</f>
        <v>NA</v>
      </c>
      <c r="FF211" s="81">
        <f>+FF205/FF191*100</f>
        <v>92.606707317073173</v>
      </c>
      <c r="FG211" s="72">
        <f>IF(ISERROR(FF211/FD211),"NA",IF(OR(FF211/FD211&gt;2,FF211/FD211&lt;0.5),"NM",FF211/FD211*100-100))</f>
        <v>0.41472381635581712</v>
      </c>
      <c r="FH211" s="81">
        <f>+FH205/FH191*100</f>
        <v>95.488721804511272</v>
      </c>
      <c r="FI211" s="72">
        <f>IF(ISERROR(FH211/FF211),"NA",IF(OR(FH211/FF211&gt;2,FH211/FF211&lt;0.5),"NM",FH211/FF211*100-100))</f>
        <v>3.1121012407562034</v>
      </c>
      <c r="FJ211" s="81">
        <f>+FJ205/FJ191*100</f>
        <v>93.683764306909708</v>
      </c>
      <c r="FK211" s="72">
        <f>IF(ISERROR(FJ211/FH211),"NA",IF(OR(FJ211/FH211&gt;2,FJ211/FH211&lt;0.5),"NM",FJ211/FH211*100-100))</f>
        <v>-1.890231080165421</v>
      </c>
      <c r="FL211" s="81">
        <f>+FL205/FL191*100</f>
        <v>91.582639193336263</v>
      </c>
      <c r="FM211" s="72">
        <f>IF(ISERROR(FL211/FJ211),"NA",IF(OR(FL211/FJ211&gt;2,FL211/FJ211&lt;0.5),"NM",FL211/FJ211*100-100))</f>
        <v>-2.2427846800541857</v>
      </c>
      <c r="FN211" s="81">
        <f>+FN205/FN191*100</f>
        <v>89.643410852713174</v>
      </c>
      <c r="FO211" s="72">
        <f>IF(ISERROR(FN211/FL211),"NA",IF(OR(FN211/FL211&gt;2,FN211/FL211&lt;0.5),"NM",FN211/FL211*100-100))</f>
        <v>-2.1174628266928011</v>
      </c>
      <c r="FP211" s="81">
        <f>+FP205/FP191*100</f>
        <v>87.627329192546583</v>
      </c>
      <c r="FQ211" s="72">
        <f>IF(ISERROR(FP211/FN211),"NA",IF(OR(FP211/FN211&gt;2,FP211/FN211&lt;0.5),"NM",FP211/FN211*100-100))</f>
        <v>-2.2490015060661648</v>
      </c>
      <c r="FR211" s="81">
        <f>+FR205/FR191*100</f>
        <v>88.353505366522029</v>
      </c>
      <c r="FS211" s="72">
        <f>IF(ISERROR(FR211/FP211),"NA",IF(OR(FR211/FP211&gt;2,FR211/FP211&lt;0.5),"NM",FR211/FP211*100-100))</f>
        <v>0.82870969669724559</v>
      </c>
      <c r="FT211" s="81">
        <f>+FT205/FT191*100</f>
        <v>89.762107051826675</v>
      </c>
      <c r="FU211" s="72">
        <f>IF(ISERROR(FT211/FR211),"NA",IF(OR(FT211/FR211&gt;2,FT211/FR211&lt;0.5),"NM",FT211/FR211*100-100))</f>
        <v>1.5942793434864342</v>
      </c>
      <c r="FV211" s="81">
        <f>+FV205/FV191*100</f>
        <v>88.989504013171441</v>
      </c>
      <c r="FW211" s="72">
        <f>IF(ISERROR(FV211/FT211),"NA",IF(OR(FV211/FT211&gt;2,FV211/FT211&lt;0.5),"NM",FV211/FT211*100-100))</f>
        <v>-0.86072293090128937</v>
      </c>
      <c r="FX211" s="81">
        <f>+FX205/FX191*100</f>
        <v>89.461257780639627</v>
      </c>
      <c r="FY211" s="72">
        <f>IF(ISERROR(FX211/FV211),"NA",IF(OR(FX211/FV211&gt;2,FX211/FV211&lt;0.5),"NM",FX211/FV211*100-100))</f>
        <v>0.53012293157443935</v>
      </c>
      <c r="FZ211" s="81">
        <f>+FZ205/FZ191*100</f>
        <v>89.098977426201046</v>
      </c>
      <c r="GA211" s="72">
        <f>IF(ISERROR(FZ211/FX211),"NA",IF(OR(FZ211/FX211&gt;2,FZ211/FX211&lt;0.5),"NM",FZ211/FX211*100-100))</f>
        <v>-0.40495781461837055</v>
      </c>
      <c r="GB211" s="81">
        <f>+GB205/GB191*100</f>
        <v>87.805378772326009</v>
      </c>
      <c r="GC211" s="72">
        <f>IF(ISERROR(GB211/FZ211),"NA",IF(OR(GB211/FZ211&gt;2,GB211/FZ211&lt;0.5),"NM",GB211/FZ211*100-100))</f>
        <v>-1.451867003688676</v>
      </c>
      <c r="GD211" s="81">
        <f>+GD205/GD191*100</f>
        <v>98.256592430659921</v>
      </c>
      <c r="GE211" s="72">
        <f>IF(ISERROR(GD211/GB211),"NA",IF(OR(GD211/GB211&gt;2,GD211/GB211&lt;0.5),"NM",GD211/GB211*100-100))</f>
        <v>11.902703233515183</v>
      </c>
      <c r="GF211" s="81">
        <f>+GF205/GF191*100</f>
        <v>82.76376907763769</v>
      </c>
      <c r="GG211" s="72">
        <f>IF(ISERROR(GF211/GD211),"NA",IF(OR(GF211/GD211&gt;2,GF211/GD211&lt;0.5),"NM",GF211/GD211*100-100))</f>
        <v>-15.767718958863327</v>
      </c>
      <c r="GH211" s="81">
        <f>+GH205/GH191*100</f>
        <v>89.939554525130418</v>
      </c>
      <c r="GI211" s="72">
        <f t="shared" si="1258"/>
        <v>8.6702013785300096</v>
      </c>
      <c r="GJ211" s="456">
        <f>+GJ205/GJ191*100</f>
        <v>92.124185771085351</v>
      </c>
      <c r="GK211" s="532">
        <f t="shared" si="1258"/>
        <v>2.4289994068677601</v>
      </c>
      <c r="GL211" s="456">
        <f>+GL205/GL191*100</f>
        <v>92.140416278347317</v>
      </c>
      <c r="GM211" s="532">
        <f t="shared" si="1258"/>
        <v>1.761807404440674E-2</v>
      </c>
      <c r="GN211" s="456">
        <f>+GN205/GN191*100</f>
        <v>91.013508632521862</v>
      </c>
      <c r="GO211" s="532">
        <f t="shared" si="1258"/>
        <v>-1.223032944002739</v>
      </c>
      <c r="GP211" s="456">
        <f>+GP205/GP191*100</f>
        <v>91.822230552736187</v>
      </c>
      <c r="GQ211" s="532">
        <f t="shared" si="1258"/>
        <v>0.88857350119270961</v>
      </c>
      <c r="GR211" s="456">
        <f>+GR205/GR191*100</f>
        <v>91.920595623680185</v>
      </c>
      <c r="GS211" s="532">
        <f t="shared" si="1258"/>
        <v>0.10712555157054737</v>
      </c>
      <c r="GT211" s="456">
        <f>+GT205/GT191*100</f>
        <v>92.063781472906371</v>
      </c>
      <c r="GU211" s="72">
        <f t="shared" si="1258"/>
        <v>0.15577123739754484</v>
      </c>
      <c r="GV211" s="456">
        <f>+GV205/GV191*100</f>
        <v>92.205325475901503</v>
      </c>
      <c r="GW211" s="72">
        <f>IF(ISERROR(GV211/GT211),"NA",IF(OR(GV211/GT211&gt;2,GV211/GT211&lt;0.5),"NM",GV211/GT211*100-100))</f>
        <v>0.15374558890653134</v>
      </c>
      <c r="GX211" s="456">
        <f>+GX205/GX191*100</f>
        <v>92.34522232988121</v>
      </c>
      <c r="GY211" s="72">
        <f>IF(ISERROR(GX211/GV211),"NA",IF(OR(GX211/GV211&gt;2,GX211/GV211&lt;0.5),"NM",GX211/GV211*100-100))</f>
        <v>0.15172318221064529</v>
      </c>
      <c r="GZ211" s="72">
        <f>IF(ISERROR(((GX211/GN211)^0.2-1)*100),"NA",IF((((GX211/GN211)^0.2-1)*100)&gt;100,"NM",IF((((GX211/GN211)^0.2-1)*100)&lt;-50,"NM",((GX211/GN211)^0.2-1)*100)))</f>
        <v>0.29094299829797166</v>
      </c>
      <c r="HA211" s="72"/>
      <c r="HB211" s="72"/>
      <c r="HC211"/>
      <c r="HD211"/>
      <c r="HE211"/>
      <c r="HF211"/>
      <c r="HG211"/>
      <c r="HH211"/>
      <c r="HI211" s="111"/>
    </row>
    <row r="212" spans="1:217" s="3" customFormat="1" ht="12.75" customHeight="1" x14ac:dyDescent="0.2">
      <c r="B212" s="77"/>
      <c r="C212" s="74"/>
      <c r="D212" s="72"/>
      <c r="E212" s="74"/>
      <c r="F212" s="72"/>
      <c r="G212" s="74"/>
      <c r="H212" s="72"/>
      <c r="I212" s="74"/>
      <c r="J212" s="72"/>
      <c r="K212" s="74"/>
      <c r="L212" s="72"/>
      <c r="M212" s="74"/>
      <c r="N212" s="72"/>
      <c r="O212" s="74"/>
      <c r="P212" s="72"/>
      <c r="Q212" s="74"/>
      <c r="R212" s="72"/>
      <c r="S212" s="74"/>
      <c r="T212" s="72"/>
      <c r="U212" s="74"/>
      <c r="V212" s="72"/>
      <c r="W212" s="74"/>
      <c r="X212" s="72"/>
      <c r="Y212" s="74"/>
      <c r="Z212" s="72"/>
      <c r="AA212" s="74"/>
      <c r="AB212" s="72"/>
      <c r="AC212" s="74"/>
      <c r="AD212" s="72"/>
      <c r="AE212" s="74"/>
      <c r="AF212" s="72"/>
      <c r="AG212" s="74"/>
      <c r="AH212" s="72"/>
      <c r="AI212" s="74"/>
      <c r="AJ212" s="72"/>
      <c r="AK212" s="74"/>
      <c r="AL212" s="72"/>
      <c r="AM212" s="74"/>
      <c r="AN212" s="72"/>
      <c r="AO212" s="74"/>
      <c r="AP212" s="72"/>
      <c r="AQ212" s="74"/>
      <c r="AR212" s="72"/>
      <c r="AS212" s="74"/>
      <c r="AT212" s="72"/>
      <c r="AU212" s="74"/>
      <c r="AV212" s="72"/>
      <c r="AW212" s="74"/>
      <c r="AX212" s="72"/>
      <c r="AY212" s="74"/>
      <c r="AZ212" s="72"/>
      <c r="BA212" s="74"/>
      <c r="BB212" s="72"/>
      <c r="BC212" s="74"/>
      <c r="BD212" s="72"/>
      <c r="BE212" s="74"/>
      <c r="BF212" s="72"/>
      <c r="BG212" s="74"/>
      <c r="BH212" s="72"/>
      <c r="BI212" s="74"/>
      <c r="BJ212" s="72"/>
      <c r="BK212" s="74"/>
      <c r="BL212" s="72"/>
      <c r="BM212" s="74"/>
      <c r="BN212" s="72"/>
      <c r="BO212" s="74"/>
      <c r="BP212" s="74"/>
      <c r="BQ212" s="74"/>
      <c r="BR212" s="74"/>
      <c r="BS212" s="74"/>
      <c r="BT212" s="74"/>
      <c r="BU212" s="74"/>
      <c r="BV212" s="74"/>
      <c r="BW212" s="74"/>
      <c r="BX212" s="72"/>
      <c r="BY212" s="74"/>
      <c r="BZ212" s="72"/>
      <c r="CA212" s="74"/>
      <c r="CB212" s="72"/>
      <c r="CC212" s="74"/>
      <c r="CD212" s="72"/>
      <c r="CE212" s="74"/>
      <c r="CF212" s="72"/>
      <c r="CG212" s="74"/>
      <c r="CH212" s="72"/>
      <c r="CI212" s="74"/>
      <c r="CJ212" s="72"/>
      <c r="CK212" s="74"/>
      <c r="CL212" s="72"/>
      <c r="CM212" s="74"/>
      <c r="CN212" s="72"/>
      <c r="CO212" s="74"/>
      <c r="CP212" s="72"/>
      <c r="CQ212" s="74"/>
      <c r="CR212" s="72"/>
      <c r="CS212" s="74"/>
      <c r="CT212" s="72"/>
      <c r="CU212" s="74"/>
      <c r="CV212" s="72"/>
      <c r="CW212" s="74"/>
      <c r="CX212" s="72"/>
      <c r="CY212" s="74"/>
      <c r="CZ212" s="72"/>
      <c r="DA212" s="74"/>
      <c r="DB212" s="72"/>
      <c r="DC212" s="74"/>
      <c r="DD212" s="72"/>
      <c r="DE212" s="74"/>
      <c r="DF212" s="72"/>
      <c r="DG212" s="74"/>
      <c r="DH212" s="72"/>
      <c r="DI212" s="74"/>
      <c r="DJ212" s="72"/>
      <c r="DK212" s="74"/>
      <c r="DL212" s="72"/>
      <c r="DM212" s="74"/>
      <c r="DN212" s="72"/>
      <c r="DO212" s="74"/>
      <c r="DP212" s="72"/>
      <c r="DQ212" s="74"/>
      <c r="DR212" s="72"/>
      <c r="DS212" s="74"/>
      <c r="DT212" s="72"/>
      <c r="DU212" s="74"/>
      <c r="DV212" s="72"/>
      <c r="DW212" s="75"/>
      <c r="DX212" s="72"/>
      <c r="DY212" s="75"/>
      <c r="DZ212" s="72"/>
      <c r="EA212" s="75"/>
      <c r="EB212" s="72"/>
      <c r="EC212" s="75"/>
      <c r="ED212" s="72"/>
      <c r="EE212" s="75"/>
      <c r="EF212" s="72"/>
      <c r="EG212" s="75"/>
      <c r="EH212" s="72"/>
      <c r="EI212" s="75"/>
      <c r="EJ212" s="72"/>
      <c r="EK212" s="75"/>
      <c r="EL212" s="72"/>
      <c r="EM212" s="75"/>
      <c r="EN212" s="72"/>
      <c r="EO212" s="75"/>
      <c r="EP212" s="72"/>
      <c r="EQ212" s="75"/>
      <c r="ER212" s="72"/>
      <c r="ES212" s="75"/>
      <c r="ET212" s="72"/>
      <c r="EU212" s="75"/>
      <c r="EV212" s="72"/>
      <c r="EW212" s="75"/>
      <c r="EX212" s="72"/>
      <c r="EY212" s="72"/>
      <c r="EZ212" s="309"/>
      <c r="FA212" s="72"/>
      <c r="FB212" s="81"/>
      <c r="FC212" s="72"/>
      <c r="FD212" s="81"/>
      <c r="FE212" s="72"/>
      <c r="FF212" s="81"/>
      <c r="FG212" s="72"/>
      <c r="FH212" s="81"/>
      <c r="FI212" s="72"/>
      <c r="FJ212" s="81"/>
      <c r="FK212" s="72"/>
      <c r="FL212" s="81"/>
      <c r="FM212" s="72"/>
      <c r="FN212" s="81"/>
      <c r="FO212" s="72"/>
      <c r="FP212" s="75"/>
      <c r="FQ212" s="72"/>
      <c r="FR212" s="75"/>
      <c r="FS212" s="72"/>
      <c r="FT212" s="75"/>
      <c r="FU212" s="72"/>
      <c r="FV212" s="75"/>
      <c r="FW212" s="72"/>
      <c r="FX212" s="75"/>
      <c r="FY212" s="72"/>
      <c r="FZ212" s="75"/>
      <c r="GA212" s="72"/>
      <c r="GB212" s="75"/>
      <c r="GC212" s="72"/>
      <c r="GD212" s="75"/>
      <c r="GE212" s="72"/>
      <c r="GF212" s="75"/>
      <c r="GG212" s="72"/>
      <c r="GH212" s="75"/>
      <c r="GI212" s="72"/>
      <c r="GJ212" s="449"/>
      <c r="GK212" s="532"/>
      <c r="GL212" s="449"/>
      <c r="GM212" s="532"/>
      <c r="GN212" s="449"/>
      <c r="GO212" s="532"/>
      <c r="GP212" s="449"/>
      <c r="GQ212" s="532"/>
      <c r="GR212" s="449"/>
      <c r="GS212" s="532"/>
      <c r="GT212" s="449"/>
      <c r="GU212" s="72"/>
      <c r="GV212" s="449"/>
      <c r="GW212" s="72"/>
      <c r="GX212" s="449"/>
      <c r="GY212" s="72"/>
      <c r="GZ212" s="72"/>
      <c r="HA212" s="72"/>
      <c r="HB212" s="72"/>
      <c r="HC212"/>
      <c r="HD212"/>
      <c r="HE212"/>
      <c r="HF212"/>
      <c r="HG212"/>
      <c r="HH212"/>
      <c r="HI212" s="111"/>
    </row>
    <row r="213" spans="1:217" s="3" customFormat="1" ht="12.75" customHeight="1" x14ac:dyDescent="0.2">
      <c r="A213" s="3" t="s">
        <v>412</v>
      </c>
      <c r="B213" s="70" t="s">
        <v>27</v>
      </c>
      <c r="C213" s="91"/>
      <c r="D213" s="72"/>
      <c r="E213" s="91"/>
      <c r="F213" s="72"/>
      <c r="G213" s="91"/>
      <c r="H213" s="72"/>
      <c r="I213" s="91"/>
      <c r="J213" s="72"/>
      <c r="K213" s="91">
        <f>+K191-K205</f>
        <v>62</v>
      </c>
      <c r="L213" s="72" t="str">
        <f>IF(ISERROR(K213/C213),"NA",IF(OR(K213/C213&gt;2,K213/C213&lt;0.5),"NM",K213/C213*100-100))</f>
        <v>NA</v>
      </c>
      <c r="M213" s="91">
        <f>+M191-M205</f>
        <v>47</v>
      </c>
      <c r="N213" s="72" t="str">
        <f>IF(ISERROR(M213/E213),"NA",IF(OR(M213/E213&gt;2,M213/E213&lt;0.5),"NM",M213/E213*100-100))</f>
        <v>NA</v>
      </c>
      <c r="O213" s="91">
        <f>+O191-O205</f>
        <v>-4</v>
      </c>
      <c r="P213" s="72" t="str">
        <f>IF(ISERROR(O213/G213),"NA",IF(OR(O213/G213&gt;2,O213/G213&lt;0.5),"NM",O213/G213*100-100))</f>
        <v>NA</v>
      </c>
      <c r="Q213" s="91">
        <f>+Q191-Q205</f>
        <v>5</v>
      </c>
      <c r="R213" s="72" t="str">
        <f>IF(ISERROR(Q213/I213),"NA",IF(OR(Q213/I213&gt;2,Q213/I213&lt;0.5),"NM",Q213/I213*100-100))</f>
        <v>NA</v>
      </c>
      <c r="S213" s="91">
        <f>+S191-S205</f>
        <v>34</v>
      </c>
      <c r="T213" s="72">
        <f>IF(ISERROR(S213/K213),"NA",IF(OR(S213/K213&gt;2,S213/K213&lt;0.5),"NM",S213/K213*100-100))</f>
        <v>-45.161290322580648</v>
      </c>
      <c r="U213" s="91">
        <f>+U191-U205</f>
        <v>50</v>
      </c>
      <c r="V213" s="72">
        <f>IF(ISERROR(U213/M213),"NA",IF(OR(U213/M213&gt;2,U213/M213&lt;0.5),"NM",U213/M213*100-100))</f>
        <v>6.3829787234042499</v>
      </c>
      <c r="W213" s="91">
        <f>+W191-W205</f>
        <v>24</v>
      </c>
      <c r="X213" s="72" t="str">
        <f>IF(ISERROR(W213/O213),"NA",IF(OR(W213/O213&gt;2,W213/O213&lt;0.5),"NM",W213/O213*100-100))</f>
        <v>NM</v>
      </c>
      <c r="Y213" s="91">
        <f>+Y191-Y205</f>
        <v>33</v>
      </c>
      <c r="Z213" s="72" t="str">
        <f>IF(ISERROR(Y213/Q213),"NA",IF(OR(Y213/Q213&gt;2,Y213/Q213&lt;0.5),"NM",Y213/Q213*100-100))</f>
        <v>NM</v>
      </c>
      <c r="AA213" s="91">
        <f>+AA191-AA205</f>
        <v>53</v>
      </c>
      <c r="AB213" s="72">
        <f>IF(ISERROR(AA213/S213),"NA",IF(OR(AA213/S213&gt;2,AA213/S213&lt;0.5),"NM",AA213/S213*100-100))</f>
        <v>55.882352941176464</v>
      </c>
      <c r="AC213" s="91">
        <f>+AC191-AC205</f>
        <v>45</v>
      </c>
      <c r="AD213" s="72">
        <f>IF(ISERROR(AC213/U213),"NA",IF(OR(AC213/U213&gt;2,AC213/U213&lt;0.5),"NM",AC213/U213*100-100))</f>
        <v>-10</v>
      </c>
      <c r="AE213" s="91">
        <f>+AE191-AE205</f>
        <v>39</v>
      </c>
      <c r="AF213" s="72">
        <f>IF(ISERROR(AE213/W213),"NA",IF(OR(AE213/W213&gt;2,AE213/W213&lt;0.5),"NM",AE213/W213*100-100))</f>
        <v>62.5</v>
      </c>
      <c r="AG213" s="91">
        <f>+AG191-AG205</f>
        <v>55</v>
      </c>
      <c r="AH213" s="72">
        <f>IF(ISERROR(AG213/Y213),"NA",IF(OR(AG213/Y213&gt;2,AG213/Y213&lt;0.5),"NM",AG213/Y213*100-100))</f>
        <v>66.666666666666686</v>
      </c>
      <c r="AI213" s="91">
        <f>+AI191-AI205</f>
        <v>52</v>
      </c>
      <c r="AJ213" s="72">
        <f>IF(ISERROR(AI213/AA213),"NA",IF(OR(AI213/AA213&gt;2,AI213/AA213&lt;0.5),"NM",AI213/AA213*100-100))</f>
        <v>-1.8867924528301927</v>
      </c>
      <c r="AK213" s="91">
        <f>+AK191-AK205</f>
        <v>92</v>
      </c>
      <c r="AL213" s="72" t="str">
        <f>IF(ISERROR(AK213/AC213),"NA",IF(OR(AK213/AC213&gt;2,AK213/AC213&lt;0.5),"NM",AK213/AC213*100-100))</f>
        <v>NM</v>
      </c>
      <c r="AM213" s="91">
        <f>+AM191-AM205</f>
        <v>94</v>
      </c>
      <c r="AN213" s="72" t="str">
        <f>IF(ISERROR(AM213/AE213),"NA",IF(OR(AM213/AE213&gt;2,AM213/AE213&lt;0.5),"NM",AM213/AE213*100-100))</f>
        <v>NM</v>
      </c>
      <c r="AO213" s="91">
        <f>+AO191-AO205</f>
        <v>96</v>
      </c>
      <c r="AP213" s="72">
        <f>IF(ISERROR(AO213/AG213),"NA",IF(OR(AO213/AG213&gt;2,AO213/AG213&lt;0.5),"NM",AO213/AG213*100-100))</f>
        <v>74.545454545454533</v>
      </c>
      <c r="AQ213" s="91">
        <f>+AQ191-AQ205</f>
        <v>155</v>
      </c>
      <c r="AR213" s="72" t="str">
        <f>IF(ISERROR(AQ213/AI213),"NA",IF(OR(AQ213/AI213&gt;2,AQ213/AI213&lt;0.5),"NM",AQ213/AI213*100-100))</f>
        <v>NM</v>
      </c>
      <c r="AS213" s="91">
        <f>+AS191-AS205</f>
        <v>142</v>
      </c>
      <c r="AT213" s="72">
        <f>IF(ISERROR(AS213/AK213),"NA",IF(OR(AS213/AK213&gt;2,AS213/AK213&lt;0.5),"NM",AS213/AK213*100-100))</f>
        <v>54.34782608695653</v>
      </c>
      <c r="AU213" s="91">
        <f>+AU191-AU205</f>
        <v>110</v>
      </c>
      <c r="AV213" s="72">
        <f>IF(ISERROR(AU213/AM213),"NA",IF(OR(AU213/AM213&gt;2,AU213/AM213&lt;0.5),"NM",AU213/AM213*100-100))</f>
        <v>17.021276595744681</v>
      </c>
      <c r="AW213" s="91">
        <f>+AW191-AW205</f>
        <v>91</v>
      </c>
      <c r="AX213" s="72">
        <f>IF(ISERROR(AW213/AO213),"NA",IF(OR(AW213/AO213&gt;2,AW213/AO213&lt;0.5),"NM",AW213/AO213*100-100))</f>
        <v>-5.2083333333333428</v>
      </c>
      <c r="AY213" s="91">
        <f>+AY191-AY205</f>
        <v>137</v>
      </c>
      <c r="AZ213" s="72">
        <f>IF(ISERROR(AY213/AQ213),"NA",IF(OR(AY213/AQ213&gt;2,AY213/AQ213&lt;0.5),"NM",AY213/AQ213*100-100))</f>
        <v>-11.612903225806448</v>
      </c>
      <c r="BA213" s="91">
        <f>+BA191-BA205</f>
        <v>143</v>
      </c>
      <c r="BB213" s="72">
        <f>IF(ISERROR(BA213/AS213),"NA",IF(OR(BA213/AS213&gt;2,BA213/AS213&lt;0.5),"NM",BA213/AS213*100-100))</f>
        <v>0.70422535211267245</v>
      </c>
      <c r="BC213" s="91">
        <f>+BC191-BC205</f>
        <v>109</v>
      </c>
      <c r="BD213" s="72">
        <f>IF(ISERROR(BC213/AU213),"NA",IF(OR(BC213/AU213&gt;2,BC213/AU213&lt;0.5),"NM",BC213/AU213*100-100))</f>
        <v>-0.90909090909090651</v>
      </c>
      <c r="BE213" s="91">
        <f>+BE191-BE205</f>
        <v>121</v>
      </c>
      <c r="BF213" s="72">
        <f>IF(ISERROR(BE213/AW213),"NA",IF(OR(BE213/AW213&gt;2,BE213/AW213&lt;0.5),"NM",BE213/AW213*100-100))</f>
        <v>32.967032967032964</v>
      </c>
      <c r="BG213" s="91">
        <f>+BG191-BG205</f>
        <v>148</v>
      </c>
      <c r="BH213" s="72">
        <f>IF(ISERROR(BG213/AY213),"NA",IF(OR(BG213/AY213&gt;2,BG213/AY213&lt;0.5),"NM",BG213/AY213*100-100))</f>
        <v>8.029197080291965</v>
      </c>
      <c r="BI213" s="91">
        <f>+BI191-BI205</f>
        <v>138</v>
      </c>
      <c r="BJ213" s="72">
        <f>IF(ISERROR(BI213/BA213),"NA",IF(OR(BI213/BA213&gt;2,BI213/BA213&lt;0.5),"NM",BI213/BA213*100-100))</f>
        <v>-3.4965034965034931</v>
      </c>
      <c r="BK213" s="91">
        <f>+BK191-BK205</f>
        <v>65</v>
      </c>
      <c r="BL213" s="72">
        <f>IF(ISERROR(BK213/BC213),"NA",IF(OR(BK213/BC213&gt;2,BK213/BC213&lt;0.5),"NM",BK213/BC213*100-100))</f>
        <v>-40.366972477064223</v>
      </c>
      <c r="BM213" s="91">
        <f>+BM191-BM205</f>
        <v>131</v>
      </c>
      <c r="BN213" s="72">
        <f>IF(ISERROR(BM213/BE213),"NA",IF(OR(BM213/BE213&gt;2,BM213/BE213&lt;0.5),"NM",BM213/BE213*100-100))</f>
        <v>8.2644628099173474</v>
      </c>
      <c r="BO213" s="91">
        <f>+BO191-BO205</f>
        <v>124</v>
      </c>
      <c r="BP213" s="72">
        <f>IF(ISERROR(BO213/BG213),"NA",IF(OR(BO213/BG213&gt;2,BO213/BG213&lt;0.5),"NM",BO213/BG213*100-100))</f>
        <v>-16.21621621621621</v>
      </c>
      <c r="BQ213" s="91">
        <f>+BQ191-BQ205</f>
        <v>141</v>
      </c>
      <c r="BR213" s="72">
        <f>IF(ISERROR(BQ213/BI213),"NA",IF(OR(BQ213/BI213&gt;2,BQ213/BI213&lt;0.5),"NM",BQ213/BI213*100-100))</f>
        <v>2.1739130434782652</v>
      </c>
      <c r="BS213" s="91">
        <f>+BS191-BS205</f>
        <v>133</v>
      </c>
      <c r="BT213" s="72" t="str">
        <f>IF(ISERROR(BS213/BK213),"NA",IF(OR(BS213/BK213&gt;2,BS213/BK213&lt;0.5),"NM",BS213/BK213*100-100))</f>
        <v>NM</v>
      </c>
      <c r="BU213" s="91">
        <f>+BU191-BU205</f>
        <v>133</v>
      </c>
      <c r="BV213" s="72">
        <f>IF(ISERROR(BU213/BM213),"NA",IF(OR(BU213/BM213&gt;2,BU213/BM213&lt;0.5),"NM",BU213/BM213*100-100))</f>
        <v>1.5267175572519136</v>
      </c>
      <c r="BW213" s="91">
        <f>+BW191-BW205</f>
        <v>140</v>
      </c>
      <c r="BX213" s="72">
        <f>IF(ISERROR(BW213/BO213),"NA",IF(OR(BW213/BO213&gt;2,BW213/BO213&lt;0.5),"NM",BW213/BO213*100-100))</f>
        <v>12.90322580645163</v>
      </c>
      <c r="BY213" s="91">
        <f>+BY191-BY205</f>
        <v>105</v>
      </c>
      <c r="BZ213" s="72">
        <f>IF(ISERROR(BY213/BQ213),"NA",IF(OR(BY213/BQ213&gt;2,BY213/BQ213&lt;0.5),"NM",BY213/BQ213*100-100))</f>
        <v>-25.531914893617028</v>
      </c>
      <c r="CA213" s="91">
        <f>+CA191-CA205</f>
        <v>117</v>
      </c>
      <c r="CB213" s="72">
        <f>IF(ISERROR(CA213/BS213),"NA",IF(OR(CA213/BS213&gt;2,CA213/BS213&lt;0.5),"NM",CA213/BS213*100-100))</f>
        <v>-12.030075187969928</v>
      </c>
      <c r="CC213" s="91">
        <f>+CC191-CC205</f>
        <v>132</v>
      </c>
      <c r="CD213" s="72">
        <f>IF(ISERROR(CC213/BU213),"NA",IF(OR(CC213/BU213&gt;2,CC213/BU213&lt;0.5),"NM",CC213/BU213*100-100))</f>
        <v>-0.75187969924812137</v>
      </c>
      <c r="CE213" s="91">
        <f>+CE191-CE205</f>
        <v>167</v>
      </c>
      <c r="CF213" s="72">
        <f>IF(ISERROR(CE213/BW213),"NA",IF(OR(CE213/BW213&gt;2,CE213/BW213&lt;0.5),"NM",CE213/BW213*100-100))</f>
        <v>19.285714285714278</v>
      </c>
      <c r="CG213" s="91">
        <f>+CG191-CG205</f>
        <v>134</v>
      </c>
      <c r="CH213" s="72">
        <f>IF(ISERROR(CG213/BY213),"NA",IF(OR(CG213/BY213&gt;2,CG213/BY213&lt;0.5),"NM",CG213/BY213*100-100))</f>
        <v>27.619047619047606</v>
      </c>
      <c r="CI213" s="91">
        <f>+CI191-CI205</f>
        <v>118</v>
      </c>
      <c r="CJ213" s="72">
        <f>IF(ISERROR(CI213/CA213),"NA",IF(OR(CI213/CA213&gt;2,CI213/CA213&lt;0.5),"NM",CI213/CA213*100-100))</f>
        <v>0.85470085470085166</v>
      </c>
      <c r="CK213" s="91">
        <f>+CK191-CK205</f>
        <v>146</v>
      </c>
      <c r="CL213" s="72">
        <f>IF(ISERROR(CK213/CC213),"NA",IF(OR(CK213/CC213&gt;2,CK213/CC213&lt;0.5),"NM",CK213/CC213*100-100))</f>
        <v>10.606060606060595</v>
      </c>
      <c r="CM213" s="91">
        <f>+CM191-CM205</f>
        <v>172</v>
      </c>
      <c r="CN213" s="72">
        <f>IF(ISERROR(CM213/CE213),"NA",IF(OR(CM213/CE213&gt;2,CM213/CE213&lt;0.5),"NM",CM213/CE213*100-100))</f>
        <v>2.9940119760479007</v>
      </c>
      <c r="CO213" s="91">
        <f>+CO191-CO205</f>
        <v>171</v>
      </c>
      <c r="CP213" s="72">
        <f>IF(ISERROR(CO213/CG213),"NA",IF(OR(CO213/CG213&gt;2,CO213/CG213&lt;0.5),"NM",CO213/CG213*100-100))</f>
        <v>27.611940298507463</v>
      </c>
      <c r="CQ213" s="91">
        <f>+CQ191-CQ205</f>
        <v>111</v>
      </c>
      <c r="CR213" s="72">
        <f>IF(ISERROR(CQ213/CI213),"NA",IF(OR(CQ213/CI213&gt;2,CQ213/CI213&lt;0.5),"NM",CQ213/CI213*100-100))</f>
        <v>-5.9322033898305051</v>
      </c>
      <c r="CS213" s="91">
        <f>+CS191-CS205</f>
        <v>140</v>
      </c>
      <c r="CT213" s="72">
        <f>IF(ISERROR(CS213/CK213),"NA",IF(OR(CS213/CK213&gt;2,CS213/CK213&lt;0.5),"NM",CS213/CK213*100-100))</f>
        <v>-4.1095890410959015</v>
      </c>
      <c r="CU213" s="91">
        <f>+CU191-CU205</f>
        <v>156</v>
      </c>
      <c r="CV213" s="72">
        <f>IF(ISERROR(CU213/CM213),"NA",IF(OR(CU213/CM213&gt;2,CU213/CM213&lt;0.5),"NM",CU213/CM213*100-100))</f>
        <v>-9.3023255813953512</v>
      </c>
      <c r="CW213" s="91">
        <f>+CW191-CW205</f>
        <v>147</v>
      </c>
      <c r="CX213" s="72">
        <f>IF(ISERROR(CW213/CO213),"NA",IF(OR(CW213/CO213&gt;2,CW213/CO213&lt;0.5),"NM",CW213/CO213*100-100))</f>
        <v>-14.035087719298247</v>
      </c>
      <c r="CY213" s="91">
        <f>+CY191-CY205</f>
        <v>110</v>
      </c>
      <c r="CZ213" s="72">
        <f>IF(ISERROR(CY213/CQ213),"NA",IF(OR(CY213/CQ213&gt;2,CY213/CQ213&lt;0.5),"NM",CY213/CQ213*100-100))</f>
        <v>-0.90090090090090769</v>
      </c>
      <c r="DA213" s="91">
        <f>+DA191-DA205</f>
        <v>225</v>
      </c>
      <c r="DB213" s="72">
        <f>IF(ISERROR(DA213/CS213),"NA",IF(OR(DA213/CS213&gt;2,DA213/CS213&lt;0.5),"NM",DA213/CS213*100-100))</f>
        <v>60.714285714285722</v>
      </c>
      <c r="DC213" s="91">
        <f>+DC191-DC205</f>
        <v>228</v>
      </c>
      <c r="DD213" s="72">
        <f>IF(ISERROR(DC213/CU213),"NA",IF(OR(DC213/CU213&gt;2,DC213/CU213&lt;0.5),"NM",DC213/CU213*100-100))</f>
        <v>46.153846153846132</v>
      </c>
      <c r="DE213" s="91">
        <f>+DE191-DE205</f>
        <v>279</v>
      </c>
      <c r="DF213" s="72">
        <f>IF(ISERROR(DE213/CW213),"NA",IF(OR(DE213/CW213&gt;2,DE213/CW213&lt;0.5),"NM",DE213/CW213*100-100))</f>
        <v>89.795918367346957</v>
      </c>
      <c r="DG213" s="91">
        <f>+DG191-DG205</f>
        <v>237</v>
      </c>
      <c r="DH213" s="72" t="str">
        <f>IF(ISERROR(DG213/CY213),"NA",IF(OR(DG213/CY213&gt;2,DG213/CY213&lt;0.5),"NM",DG213/CY213*100-100))</f>
        <v>NM</v>
      </c>
      <c r="DI213" s="91">
        <f>+DI191-DI205</f>
        <v>295</v>
      </c>
      <c r="DJ213" s="72">
        <f>IF(ISERROR(DI213/DA213),"NA",IF(OR(DI213/DA213&gt;2,DI213/DA213&lt;0.5),"NM",DI213/DA213*100-100))</f>
        <v>31.111111111111114</v>
      </c>
      <c r="DK213" s="91">
        <f>+DK191-DK205</f>
        <v>364</v>
      </c>
      <c r="DL213" s="72">
        <f>IF(ISERROR(DK213/DC213),"NA",IF(OR(DK213/DC213&gt;2,DK213/DC213&lt;0.5),"NM",DK213/DC213*100-100))</f>
        <v>59.649122807017562</v>
      </c>
      <c r="DM213" s="91">
        <f>+DM191-DM205</f>
        <v>286</v>
      </c>
      <c r="DN213" s="72">
        <f t="shared" ref="DN213:DZ214" si="1263">IF(ISERROR(DM213/DE213),"NA",IF(OR(DM213/DE213&gt;2,DM213/DE213&lt;0.5),"NM",DM213/DE213*100-100))</f>
        <v>2.5089605734766991</v>
      </c>
      <c r="DO213" s="91">
        <f>+DO191-DO205</f>
        <v>256</v>
      </c>
      <c r="DP213" s="72">
        <f t="shared" si="1263"/>
        <v>8.0168776371307899</v>
      </c>
      <c r="DQ213" s="91">
        <f>+DQ191-DQ205</f>
        <v>309</v>
      </c>
      <c r="DR213" s="72">
        <f t="shared" si="1263"/>
        <v>4.7457627118644012</v>
      </c>
      <c r="DS213" s="91">
        <f>+DS191-DS205</f>
        <v>284</v>
      </c>
      <c r="DT213" s="72">
        <f t="shared" si="1263"/>
        <v>-21.978021978021971</v>
      </c>
      <c r="DU213" s="91">
        <f>+DU191-DU205</f>
        <v>237</v>
      </c>
      <c r="DV213" s="72">
        <f t="shared" si="1263"/>
        <v>-17.132867132867133</v>
      </c>
      <c r="DW213" s="91">
        <f>+DW191-DW205</f>
        <v>242</v>
      </c>
      <c r="DX213" s="72">
        <f t="shared" si="1263"/>
        <v>-5.46875</v>
      </c>
      <c r="DY213" s="91">
        <f>+DY191-DY205</f>
        <v>168</v>
      </c>
      <c r="DZ213" s="72">
        <f t="shared" si="1263"/>
        <v>-45.631067961165051</v>
      </c>
      <c r="EA213" s="91">
        <f>+EA191-EA205</f>
        <v>219</v>
      </c>
      <c r="EB213" s="72">
        <f>IF(ISERROR(EA213/DS213),"NA",IF(OR(EA213/DS213&gt;2,EA213/DS213&lt;0.5),"NM",EA213/DS213*100-100))</f>
        <v>-22.887323943661968</v>
      </c>
      <c r="EC213" s="91">
        <f>+EC191-EC205</f>
        <v>236</v>
      </c>
      <c r="ED213" s="72">
        <f>IF(ISERROR(EC213/DU213),"NA",IF(OR(EC213/DU213&gt;2,EC213/DU213&lt;0.5),"NM",EC213/DU213*100-100))</f>
        <v>-0.4219409282700326</v>
      </c>
      <c r="EE213" s="91">
        <f>+EE191-EE205</f>
        <v>239</v>
      </c>
      <c r="EF213" s="72">
        <f>IF(ISERROR(EE213/DW213),"NA",IF(OR(EE213/DW213&gt;2,EE213/DW213&lt;0.5),"NM",EE213/DW213*100-100))</f>
        <v>-1.239669421487605</v>
      </c>
      <c r="EG213" s="91">
        <f>+EG191-EG205</f>
        <v>318</v>
      </c>
      <c r="EH213" s="72">
        <f>IF(ISERROR(EG213/DY213),"NA",IF(OR(EG213/DY213&gt;2,EG213/DY213&lt;0.5),"NM",EG213/DY213*100-100))</f>
        <v>89.285714285714278</v>
      </c>
      <c r="EI213" s="91">
        <f>+EI191-EI205</f>
        <v>397</v>
      </c>
      <c r="EJ213" s="72">
        <f>IF(ISERROR(EI213/EA213),"NA",IF(OR(EI213/EA213&gt;2,EI213/EA213&lt;0.5),"NM",EI213/EA213*100-100))</f>
        <v>81.278538812785399</v>
      </c>
      <c r="EK213" s="91">
        <f>+EK191-EK205</f>
        <v>308</v>
      </c>
      <c r="EL213" s="72">
        <f>IF(ISERROR(EK213/EC213),"NA",IF(OR(EK213/EC213&gt;2,EK213/EC213&lt;0.5),"NM",EK213/EC213*100-100))</f>
        <v>30.508474576271198</v>
      </c>
      <c r="EM213" s="91">
        <f>+EM191-EM205</f>
        <v>248</v>
      </c>
      <c r="EN213" s="72">
        <f>IF(ISERROR(EM213/EE213),"NA",IF(OR(EM213/EE213&gt;2,EM213/EE213&lt;0.5),"NM",EM213/EE213*100-100))</f>
        <v>3.7656903765690402</v>
      </c>
      <c r="EO213" s="91">
        <f>+EO191-EO205</f>
        <v>291</v>
      </c>
      <c r="EP213" s="72">
        <f>IF(ISERROR(EO213/EG213),"NA",IF(OR(EO213/EG213&gt;2,EO213/EG213&lt;0.5),"NM",EO213/EG213*100-100))</f>
        <v>-8.4905660377358458</v>
      </c>
      <c r="EQ213" s="91">
        <f t="shared" ref="EQ213" si="1264">+EQ191-EQ205</f>
        <v>307.55725752286753</v>
      </c>
      <c r="ER213" s="72">
        <f t="shared" ref="ER213:ER214" si="1265">IF(ISERROR(EQ213/EI213),"NA",IF(OR(EQ213/EI213&gt;2,EQ213/EI213&lt;0.5),"NM",EQ213/EI213*100-100))</f>
        <v>-22.529658054693314</v>
      </c>
      <c r="ES213" s="91">
        <f t="shared" ref="ES213" si="1266">+ES191-ES205</f>
        <v>285.4264931648413</v>
      </c>
      <c r="ET213" s="72">
        <f t="shared" ref="ET213:ET214" si="1267">IF(ISERROR(ES213/EK213),"NA",IF(OR(ES213/EK213&gt;2,ES213/EK213&lt;0.5),"NM",ES213/EK213*100-100))</f>
        <v>-7.3290606607658049</v>
      </c>
      <c r="EU213" s="91">
        <f t="shared" ref="EU213" si="1268">+EU191-EU205</f>
        <v>264.82675395724391</v>
      </c>
      <c r="EV213" s="72">
        <f t="shared" ref="EV213:EV214" si="1269">IF(ISERROR(EU213/EM213),"NA",IF(OR(EU213/EM213&gt;2,EU213/EM213&lt;0.5),"NM",EU213/EM213*100-100))</f>
        <v>6.7849814343725399</v>
      </c>
      <c r="EW213" s="91">
        <f t="shared" ref="EW213" si="1270">+EW191-EW205</f>
        <v>252.00711319519451</v>
      </c>
      <c r="EX213" s="72">
        <f t="shared" ref="EX213:EX214" si="1271">IF(ISERROR(EW213/EO213),"NA",IF(OR(EW213/EO213&gt;2,EW213/EO213&lt;0.5),"NM",EW213/EO213*100-100))</f>
        <v>-13.399617458696042</v>
      </c>
      <c r="EY213" s="72"/>
      <c r="EZ213" s="309"/>
      <c r="FA213" s="72"/>
      <c r="FB213" s="81"/>
      <c r="FC213" s="72"/>
      <c r="FD213" s="91">
        <f>+FD191-FD205</f>
        <v>215</v>
      </c>
      <c r="FE213" s="72" t="str">
        <f>IF(ISERROR(FD213/FB213),"NA",IF(OR(FD213/FB213&gt;2,FD213/FB213&lt;0.5),"NM",FD213/FB213*100-100))</f>
        <v>NA</v>
      </c>
      <c r="FF213" s="91">
        <f>+FF191-FF205</f>
        <v>194</v>
      </c>
      <c r="FG213" s="72">
        <f>IF(ISERROR(FF213/FD213),"NA",IF(OR(FF213/FD213&gt;2,FF213/FD213&lt;0.5),"NM",FF213/FD213*100-100))</f>
        <v>-9.7674418604651265</v>
      </c>
      <c r="FH213" s="91">
        <f>+FH191-FH205</f>
        <v>108</v>
      </c>
      <c r="FI213" s="72">
        <f>IF(ISERROR(FH213/FF213),"NA",IF(OR(FH213/FF213&gt;2,FH213/FF213&lt;0.5),"NM",FH213/FF213*100-100))</f>
        <v>-44.329896907216494</v>
      </c>
      <c r="FJ213" s="91">
        <f>+FJ191-FJ205</f>
        <v>149</v>
      </c>
      <c r="FK213" s="72">
        <f>IF(ISERROR(FJ213/FH213),"NA",IF(OR(FJ213/FH213&gt;2,FJ213/FH213&lt;0.5),"NM",FJ213/FH213*100-100))</f>
        <v>37.962962962962962</v>
      </c>
      <c r="FL213" s="91">
        <f>+FL191-FL205</f>
        <v>192</v>
      </c>
      <c r="FM213" s="72">
        <f>IF(ISERROR(FL213/FJ213),"NA",IF(OR(FL213/FJ213&gt;2,FL213/FJ213&lt;0.5),"NM",FL213/FJ213*100-100))</f>
        <v>28.859060402684548</v>
      </c>
      <c r="FN213" s="91">
        <f>+FN191-FN205</f>
        <v>334</v>
      </c>
      <c r="FO213" s="72">
        <f>IF(ISERROR(FN213/FL213),"NA",IF(OR(FN213/FL213&gt;2,FN213/FL213&lt;0.5),"NM",FN213/FL213*100-100))</f>
        <v>73.958333333333314</v>
      </c>
      <c r="FP213" s="91">
        <f>+FP191-FP205</f>
        <v>498</v>
      </c>
      <c r="FQ213" s="72">
        <f>IF(ISERROR(FP213/FN213),"NA",IF(OR(FP213/FN213&gt;2,FP213/FN213&lt;0.5),"NM",FP213/FN213*100-100))</f>
        <v>49.101796407185645</v>
      </c>
      <c r="FR213" s="91">
        <f>+FR191-FR205</f>
        <v>510</v>
      </c>
      <c r="FS213" s="72">
        <f>IF(ISERROR(FR213/FP213),"NA",IF(OR(FR213/FP213&gt;2,FR213/FP213&lt;0.5),"NM",FR213/FP213*100-100))</f>
        <v>2.409638554216869</v>
      </c>
      <c r="FT213" s="91">
        <f>+FT191-FT205</f>
        <v>482</v>
      </c>
      <c r="FU213" s="72">
        <f>IF(ISERROR(FT213/FR213),"NA",IF(OR(FT213/FR213&gt;2,FT213/FR213&lt;0.5),"NM",FT213/FR213*100-100))</f>
        <v>-5.4901960784313815</v>
      </c>
      <c r="FV213" s="91">
        <f>+FV191-FV205</f>
        <v>535</v>
      </c>
      <c r="FW213" s="72">
        <f>IF(ISERROR(FV213/FT213),"NA",IF(OR(FV213/FT213&gt;2,FV213/FT213&lt;0.5),"NM",FV213/FT213*100-100))</f>
        <v>10.99585062240665</v>
      </c>
      <c r="FX213" s="91">
        <f>+FX191-FX205</f>
        <v>491</v>
      </c>
      <c r="FY213" s="72">
        <f>IF(ISERROR(FX213/FV213),"NA",IF(OR(FX213/FV213&gt;2,FX213/FV213&lt;0.5),"NM",FX213/FV213*100-100))</f>
        <v>-8.2242990654205528</v>
      </c>
      <c r="FZ213" s="91">
        <f>+FZ191-FZ205</f>
        <v>565</v>
      </c>
      <c r="GA213" s="72">
        <f>IF(ISERROR(FZ213/FX213),"NA",IF(OR(FZ213/FX213&gt;2,FZ213/FX213&lt;0.5),"NM",FZ213/FX213*100-100))</f>
        <v>15.071283095723004</v>
      </c>
      <c r="GB213" s="91">
        <f>+GB191-GB205</f>
        <v>594</v>
      </c>
      <c r="GC213" s="72">
        <f>IF(ISERROR(GB213/FZ213),"NA",IF(OR(GB213/FZ213&gt;2,GB213/FZ213&lt;0.5),"NM",GB213/FZ213*100-100))</f>
        <v>5.132743362831846</v>
      </c>
      <c r="GD213" s="91">
        <f>+GD191-GD205</f>
        <v>638</v>
      </c>
      <c r="GE213" s="72">
        <f>IF(ISERROR(GD213/GB213),"NA",IF(OR(GD213/GB213&gt;2,GD213/GB213&lt;0.5),"NM",GD213/GB213*100-100))</f>
        <v>7.407407407407419</v>
      </c>
      <c r="GF213" s="91">
        <f>+GF191-GF205</f>
        <v>1039</v>
      </c>
      <c r="GG213" s="72">
        <f>IF(ISERROR(GF213/GD213),"NA",IF(OR(GF213/GD213&gt;2,GF213/GD213&lt;0.5),"NM",GF213/GD213*100-100))</f>
        <v>62.852664576802511</v>
      </c>
      <c r="GH213" s="91">
        <f>+GH191-GH205</f>
        <v>1215</v>
      </c>
      <c r="GI213" s="72">
        <f t="shared" ref="GI213:GU214" si="1272">IF(ISERROR(GH213/GF213),"NA",IF(OR(GH213/GF213&gt;2,GH213/GF213&lt;0.5),"NM",GH213/GF213*100-100))</f>
        <v>16.939364773820984</v>
      </c>
      <c r="GJ213" s="452">
        <f>+GJ191-GJ205</f>
        <v>931</v>
      </c>
      <c r="GK213" s="532">
        <f t="shared" si="1272"/>
        <v>-23.374485596707814</v>
      </c>
      <c r="GL213" s="452">
        <f>+GL191-GL205</f>
        <v>1012</v>
      </c>
      <c r="GM213" s="532">
        <f t="shared" si="1272"/>
        <v>8.7003222341568147</v>
      </c>
      <c r="GN213" s="452">
        <f>+GN191-GN205</f>
        <v>1244</v>
      </c>
      <c r="GO213" s="532">
        <f t="shared" si="1272"/>
        <v>22.92490118577075</v>
      </c>
      <c r="GP213" s="452">
        <f>+GP191-GP205</f>
        <v>1109.8176178401463</v>
      </c>
      <c r="GQ213" s="532">
        <f t="shared" si="1272"/>
        <v>-10.786365125390162</v>
      </c>
      <c r="GR213" s="452">
        <f>+GR191-GR205</f>
        <v>1138.8525066855709</v>
      </c>
      <c r="GS213" s="532">
        <f t="shared" si="1272"/>
        <v>2.6161856127253031</v>
      </c>
      <c r="GT213" s="452">
        <f>+GT191-GT205</f>
        <v>1162.3174196138971</v>
      </c>
      <c r="GU213" s="72">
        <f t="shared" si="1272"/>
        <v>2.0603996382829735</v>
      </c>
      <c r="GV213" s="452">
        <f>+GV191-GV205</f>
        <v>1186.1877959747781</v>
      </c>
      <c r="GW213" s="72">
        <f>IF(ISERROR(GV213/GT213),"NA",IF(OR(GV213/GT213&gt;2,GV213/GT213&lt;0.5),"NM",GV213/GT213*100-100))</f>
        <v>2.0536882574478028</v>
      </c>
      <c r="GX213" s="452">
        <f>+GX191-GX205</f>
        <v>1210.4694135748559</v>
      </c>
      <c r="GY213" s="72">
        <f>IF(ISERROR(GX213/GV213),"NA",IF(OR(GX213/GV213&gt;2,GX213/GV213&lt;0.5),"NM",GX213/GV213*100-100))</f>
        <v>2.0470297943104185</v>
      </c>
      <c r="GZ213" s="72">
        <f>IF(ISERROR(((GX213/GN213)^0.2-1)*100),"NA",IF((((GX213/GN213)^0.2-1)*100)&gt;100,"NM",IF((((GX213/GN213)^0.2-1)*100)&lt;-50,"NM",((GX213/GN213)^0.2-1)*100)))</f>
        <v>-0.54498483671280296</v>
      </c>
      <c r="HA213" s="72"/>
      <c r="HB213" s="72"/>
      <c r="HC213"/>
      <c r="HD213"/>
      <c r="HE213"/>
      <c r="HF213"/>
      <c r="HG213"/>
      <c r="HH213"/>
      <c r="HI213" s="111"/>
    </row>
    <row r="214" spans="1:217" s="3" customFormat="1" ht="12.75" customHeight="1" x14ac:dyDescent="0.2">
      <c r="B214" s="77" t="s">
        <v>397</v>
      </c>
      <c r="C214" s="81"/>
      <c r="D214" s="72"/>
      <c r="E214" s="81"/>
      <c r="F214" s="72"/>
      <c r="G214" s="81"/>
      <c r="H214" s="72"/>
      <c r="I214" s="81"/>
      <c r="J214" s="72"/>
      <c r="K214" s="81">
        <f>+K213/K191*100</f>
        <v>9.7331240188383052</v>
      </c>
      <c r="L214" s="72" t="str">
        <f>IF(ISERROR(K214/C214),"NA",IF(OR(K214/C214&gt;2,K214/C214&lt;0.5),"NM",K214/C214*100-100))</f>
        <v>NA</v>
      </c>
      <c r="M214" s="81">
        <f>+M213/M191*100</f>
        <v>7.7429983525535411</v>
      </c>
      <c r="N214" s="72" t="str">
        <f>IF(ISERROR(M214/E214),"NA",IF(OR(M214/E214&gt;2,M214/E214&lt;0.5),"NM",M214/E214*100-100))</f>
        <v>NA</v>
      </c>
      <c r="O214" s="81">
        <f>+O213/O191*100</f>
        <v>-0.69565217391304346</v>
      </c>
      <c r="P214" s="72" t="str">
        <f>IF(ISERROR(O214/G214),"NA",IF(OR(O214/G214&gt;2,O214/G214&lt;0.5),"NM",O214/G214*100-100))</f>
        <v>NA</v>
      </c>
      <c r="Q214" s="81">
        <f>+Q213/Q191*100</f>
        <v>0.86956521739130432</v>
      </c>
      <c r="R214" s="72" t="str">
        <f>IF(ISERROR(Q214/I214),"NA",IF(OR(Q214/I214&gt;2,Q214/I214&lt;0.5),"NM",Q214/I214*100-100))</f>
        <v>NA</v>
      </c>
      <c r="S214" s="81">
        <f>+S213/S191*100</f>
        <v>6.0283687943262407</v>
      </c>
      <c r="T214" s="72">
        <f>IF(ISERROR(S214/K214),"NA",IF(OR(S214/K214&gt;2,S214/K214&lt;0.5),"NM",S214/K214*100-100))</f>
        <v>-38.063372226035241</v>
      </c>
      <c r="U214" s="81">
        <f>+U213/U191*100</f>
        <v>8.1037277147487838</v>
      </c>
      <c r="V214" s="72">
        <f>IF(ISERROR(U214/M214),"NA",IF(OR(U214/M214&gt;2,U214/M214&lt;0.5),"NM",U214/M214*100-100))</f>
        <v>4.6587813372874933</v>
      </c>
      <c r="W214" s="81">
        <f>+W213/W191*100</f>
        <v>4.1739130434782616</v>
      </c>
      <c r="X214" s="72" t="str">
        <f>IF(ISERROR(W214/O214),"NA",IF(OR(W214/O214&gt;2,W214/O214&lt;0.5),"NM",W214/O214*100-100))</f>
        <v>NM</v>
      </c>
      <c r="Y214" s="81">
        <f>+Y213/Y191*100</f>
        <v>5.4726368159203984</v>
      </c>
      <c r="Z214" s="72" t="str">
        <f>IF(ISERROR(Y214/Q214),"NA",IF(OR(Y214/Q214&gt;2,Y214/Q214&lt;0.5),"NM",Y214/Q214*100-100))</f>
        <v>NM</v>
      </c>
      <c r="AA214" s="81">
        <f>+AA213/AA191*100</f>
        <v>9.1222030981067128</v>
      </c>
      <c r="AB214" s="72">
        <f>IF(ISERROR(AA214/S214),"NA",IF(OR(AA214/S214&gt;2,AA214/S214&lt;0.5),"NM",AA214/S214*100-100))</f>
        <v>51.321251392123145</v>
      </c>
      <c r="AC214" s="81">
        <f>+AC213/AC191*100</f>
        <v>7.8534031413612562</v>
      </c>
      <c r="AD214" s="72">
        <f>IF(ISERROR(AC214/U214),"NA",IF(OR(AC214/U214&gt;2,AC214/U214&lt;0.5),"NM",AC214/U214*100-100))</f>
        <v>-3.0890052356020874</v>
      </c>
      <c r="AE214" s="81">
        <f>+AE213/AE191*100</f>
        <v>7.0780399274047179</v>
      </c>
      <c r="AF214" s="72">
        <f>IF(ISERROR(AE214/W214),"NA",IF(OR(AE214/W214&gt;2,AE214/W214&lt;0.5),"NM",AE214/W214*100-100))</f>
        <v>69.578039927404689</v>
      </c>
      <c r="AG214" s="81">
        <f>+AG213/AG191*100</f>
        <v>9.5486111111111107</v>
      </c>
      <c r="AH214" s="72">
        <f>IF(ISERROR(AG214/Y214),"NA",IF(OR(AG214/Y214&gt;2,AG214/Y214&lt;0.5),"NM",AG214/Y214*100-100))</f>
        <v>74.479166666666657</v>
      </c>
      <c r="AI214" s="81">
        <f>+AI213/AI191*100</f>
        <v>9.0121317157712308</v>
      </c>
      <c r="AJ214" s="72">
        <f>IF(ISERROR(AI214/AA214),"NA",IF(OR(AI214/AA214&gt;2,AI214/AA214&lt;0.5),"NM",AI214/AA214*100-100))</f>
        <v>-1.2066315686210487</v>
      </c>
      <c r="AK214" s="81">
        <f>+AK213/AK191*100</f>
        <v>10.785463071512309</v>
      </c>
      <c r="AL214" s="72">
        <f>IF(ISERROR(AK214/AC214),"NA",IF(OR(AK214/AC214&gt;2,AK214/AC214&lt;0.5),"NM",AK214/AC214*100-100))</f>
        <v>37.334896443923412</v>
      </c>
      <c r="AM214" s="81">
        <f>+AM213/AM191*100</f>
        <v>10.444444444444445</v>
      </c>
      <c r="AN214" s="72">
        <f>IF(ISERROR(AM214/AE214),"NA",IF(OR(AM214/AE214&gt;2,AM214/AE214&lt;0.5),"NM",AM214/AE214*100-100))</f>
        <v>47.561253561253579</v>
      </c>
      <c r="AO214" s="81">
        <f>+AO213/AO191*100</f>
        <v>10.726256983240223</v>
      </c>
      <c r="AP214" s="72">
        <f>IF(ISERROR(AO214/AG214),"NA",IF(OR(AO214/AG214&gt;2,AO214/AG214&lt;0.5),"NM",AO214/AG214*100-100))</f>
        <v>12.333164042661252</v>
      </c>
      <c r="AQ214" s="81">
        <f>+AQ213/AQ191*100</f>
        <v>16.436903499469775</v>
      </c>
      <c r="AR214" s="72">
        <f>IF(ISERROR(AQ214/AI214),"NA",IF(OR(AQ214/AI214&gt;2,AQ214/AI214&lt;0.5),"NM",AQ214/AI214*100-100))</f>
        <v>82.386409984501142</v>
      </c>
      <c r="AS214" s="81">
        <f>+AS213/AS191*100</f>
        <v>14.031620553359684</v>
      </c>
      <c r="AT214" s="72">
        <f>IF(ISERROR(AS214/AK214),"NA",IF(OR(AS214/AK214&gt;2,AS214/AK214&lt;0.5),"NM",AS214/AK214*100-100))</f>
        <v>30.09752534799793</v>
      </c>
      <c r="AU214" s="81">
        <f>+AU213/AU191*100</f>
        <v>10.506208213944603</v>
      </c>
      <c r="AV214" s="72">
        <f>IF(ISERROR(AU214/AM214),"NA",IF(OR(AU214/AM214&gt;2,AU214/AM214&lt;0.5),"NM",AU214/AM214*100-100))</f>
        <v>0.59135523989513672</v>
      </c>
      <c r="AW214" s="81">
        <f>+AW213/AW191*100</f>
        <v>8.895405669599219</v>
      </c>
      <c r="AX214" s="72">
        <f>IF(ISERROR(AW214/AO214),"NA",IF(OR(AW214/AO214&gt;2,AW214/AO214&lt;0.5),"NM",AW214/AO214*100-100))</f>
        <v>-17.06887422613228</v>
      </c>
      <c r="AY214" s="81">
        <f>+AY213/AY191*100</f>
        <v>12.998102466793169</v>
      </c>
      <c r="AZ214" s="72">
        <f>IF(ISERROR(AY214/AQ214),"NA",IF(OR(AY214/AQ214&gt;2,AY214/AQ214&lt;0.5),"NM",AY214/AQ214*100-100))</f>
        <v>-20.921221766542203</v>
      </c>
      <c r="BA214" s="81">
        <f>+BA213/BA191*100</f>
        <v>13.61904761904762</v>
      </c>
      <c r="BB214" s="72">
        <f>IF(ISERROR(BA214/AS214),"NA",IF(OR(BA214/AS214&gt;2,BA214/AS214&lt;0.5),"NM",BA214/AS214*100-100))</f>
        <v>-2.9403085177732891</v>
      </c>
      <c r="BC214" s="81">
        <f>+BC213/BC191*100</f>
        <v>9.8021582733812949</v>
      </c>
      <c r="BD214" s="72">
        <f>IF(ISERROR(BC214/AU214),"NA",IF(OR(BC214/AU214&gt;2,BC214/AU214&lt;0.5),"NM",BC214/AU214*100-100))</f>
        <v>-6.7012753433616723</v>
      </c>
      <c r="BE214" s="81">
        <f>+BE213/BE191*100</f>
        <v>10.404127257093723</v>
      </c>
      <c r="BF214" s="72">
        <f>IF(ISERROR(BE214/AW214),"NA",IF(OR(BE214/AW214&gt;2,BE214/AW214&lt;0.5),"NM",BE214/AW214*100-100))</f>
        <v>16.960683340734931</v>
      </c>
      <c r="BG214" s="81">
        <f>+BG213/BG191*100</f>
        <v>12.725709372312984</v>
      </c>
      <c r="BH214" s="72">
        <f>IF(ISERROR(BG214/AY214),"NA",IF(OR(BG214/AY214&gt;2,BG214/AY214&lt;0.5),"NM",BG214/AY214*100-100))</f>
        <v>-2.0956373838110522</v>
      </c>
      <c r="BI214" s="81">
        <f>+BI213/BI191*100</f>
        <v>12</v>
      </c>
      <c r="BJ214" s="72">
        <f>IF(ISERROR(BI214/BA214),"NA",IF(OR(BI214/BA214&gt;2,BI214/BA214&lt;0.5),"NM",BI214/BA214*100-100))</f>
        <v>-11.888111888111894</v>
      </c>
      <c r="BK214" s="81">
        <f>+BK213/BK191*100</f>
        <v>5.439330543933055</v>
      </c>
      <c r="BL214" s="72">
        <f>IF(ISERROR(BK214/BC214),"NA",IF(OR(BK214/BC214&gt;2,BK214/BC214&lt;0.5),"NM",BK214/BC214*100-100))</f>
        <v>-44.508848028866446</v>
      </c>
      <c r="BM214" s="81">
        <f>+BM213/BM191*100</f>
        <v>10.916666666666666</v>
      </c>
      <c r="BN214" s="72">
        <f>IF(ISERROR(BM214/BE214),"NA",IF(OR(BM214/BE214&gt;2,BM214/BE214&lt;0.5),"NM",BM214/BE214*100-100))</f>
        <v>4.926308539944884</v>
      </c>
      <c r="BO214" s="81">
        <f>+BO213/BO191*100</f>
        <v>9.7868981846882406</v>
      </c>
      <c r="BP214" s="72">
        <f>IF(ISERROR(BO214/BG214),"NA",IF(OR(BO214/BG214&gt;2,BO214/BG214&lt;0.5),"NM",BO214/BG214*100-100))</f>
        <v>-23.093496021672806</v>
      </c>
      <c r="BQ214" s="81">
        <f>+BQ213/BQ191*100</f>
        <v>11.681855840927922</v>
      </c>
      <c r="BR214" s="72">
        <f>IF(ISERROR(BQ214/BI214),"NA",IF(OR(BQ214/BI214&gt;2,BQ214/BI214&lt;0.5),"NM",BQ214/BI214*100-100))</f>
        <v>-2.6512013256006526</v>
      </c>
      <c r="BS214" s="81">
        <f>+BS213/BS191*100</f>
        <v>11.896243291592128</v>
      </c>
      <c r="BT214" s="72" t="str">
        <f>IF(ISERROR(BS214/BK214),"NA",IF(OR(BS214/BK214&gt;2,BS214/BK214&lt;0.5),"NM",BS214/BK214*100-100))</f>
        <v>NM</v>
      </c>
      <c r="BU214" s="81">
        <f>+BU213/BU191*100</f>
        <v>10.623003194888179</v>
      </c>
      <c r="BV214" s="72">
        <f>IF(ISERROR(BU214/BM214),"NA",IF(OR(BU214/BM214&gt;2,BU214/BM214&lt;0.5),"NM",BU214/BM214*100-100))</f>
        <v>-2.690047069726603</v>
      </c>
      <c r="BW214" s="81">
        <f>+BW213/BW191*100</f>
        <v>11.834319526627219</v>
      </c>
      <c r="BX214" s="72">
        <f>IF(ISERROR(BW214/BO214),"NA",IF(OR(BW214/BO214&gt;2,BW214/BO214&lt;0.5),"NM",BW214/BO214*100-100))</f>
        <v>20.920022905134545</v>
      </c>
      <c r="BY214" s="81">
        <f>+BY213/BY191*100</f>
        <v>8.454106280193237</v>
      </c>
      <c r="BZ214" s="72">
        <f>IF(ISERROR(BY214/BQ214),"NA",IF(OR(BY214/BQ214&gt;2,BY214/BQ214&lt;0.5),"NM",BY214/BQ214*100-100))</f>
        <v>-27.630451913523146</v>
      </c>
      <c r="CA214" s="81">
        <f>+CA213/CA191*100</f>
        <v>10.636363636363637</v>
      </c>
      <c r="CB214" s="72">
        <f>IF(ISERROR(CA214/BS214),"NA",IF(OR(CA214/BS214&gt;2,CA214/BS214&lt;0.5),"NM",CA214/BS214*100-100))</f>
        <v>-10.590567327409431</v>
      </c>
      <c r="CC214" s="81">
        <f>+CC213/CC191*100</f>
        <v>11.640211640211639</v>
      </c>
      <c r="CD214" s="72">
        <f>IF(ISERROR(CC214/BU214),"NA",IF(OR(CC214/BU214&gt;2,CC214/BU214&lt;0.5),"NM",CC214/BU214*100-100))</f>
        <v>9.5755261168794874</v>
      </c>
      <c r="CE214" s="81">
        <f>+CE213/CE191*100</f>
        <v>14.791851195748452</v>
      </c>
      <c r="CF214" s="72">
        <f>IF(ISERROR(CE214/BW214),"NA",IF(OR(CE214/BW214&gt;2,CE214/BW214&lt;0.5),"NM",CE214/BW214*100-100))</f>
        <v>24.991142604074426</v>
      </c>
      <c r="CG214" s="81">
        <f>+CG213/CG191*100</f>
        <v>9.7810218978102181</v>
      </c>
      <c r="CH214" s="72">
        <f>IF(ISERROR(CG214/BY214),"NA",IF(OR(CG214/BY214&gt;2,CG214/BY214&lt;0.5),"NM",CG214/BY214*100-100))</f>
        <v>15.695516162669449</v>
      </c>
      <c r="CI214" s="81">
        <f>+CI213/CI191*100</f>
        <v>8.5755813953488378</v>
      </c>
      <c r="CJ214" s="72">
        <f>IF(ISERROR(CI214/CA214),"NA",IF(OR(CI214/CA214&gt;2,CI214/CA214&lt;0.5),"NM",CI214/CA214*100-100))</f>
        <v>-19.374875770224605</v>
      </c>
      <c r="CK214" s="81">
        <f>+CK213/CK191*100</f>
        <v>11.162079510703364</v>
      </c>
      <c r="CL214" s="72">
        <f>IF(ISERROR(CK214/CC214),"NA",IF(OR(CK214/CC214&gt;2,CK214/CC214&lt;0.5),"NM",CK214/CC214*100-100))</f>
        <v>-4.1075896580483544</v>
      </c>
      <c r="CM214" s="81">
        <f>+CM213/CM191*100</f>
        <v>14.262023217247096</v>
      </c>
      <c r="CN214" s="72">
        <f>IF(ISERROR(CM214/CE214),"NA",IF(OR(CM214/CE214&gt;2,CM214/CE214&lt;0.5),"NM",CM214/CE214*100-100))</f>
        <v>-3.5818909444792268</v>
      </c>
      <c r="CO214" s="81">
        <f>+CO213/CO191*100</f>
        <v>13.701923076923078</v>
      </c>
      <c r="CP214" s="72">
        <f>IF(ISERROR(CO214/CG214),"NA",IF(OR(CO214/CG214&gt;2,CO214/CG214&lt;0.5),"NM",CO214/CG214*100-100))</f>
        <v>40.086825487944907</v>
      </c>
      <c r="CQ214" s="81">
        <f>+CQ213/CQ191*100</f>
        <v>9.4790777113578137</v>
      </c>
      <c r="CR214" s="72">
        <f>IF(ISERROR(CQ214/CI214),"NA",IF(OR(CQ214/CI214&gt;2,CQ214/CI214&lt;0.5),"NM",CQ214/CI214*100-100))</f>
        <v>10.535685854477549</v>
      </c>
      <c r="CS214" s="81">
        <f>+CS213/CS191*100</f>
        <v>11.235955056179774</v>
      </c>
      <c r="CT214" s="72">
        <f>IF(ISERROR(CS214/CK214),"NA",IF(OR(CS214/CK214&gt;2,CS214/CK214&lt;0.5),"NM",CS214/CK214*100-100))</f>
        <v>0.66184392796672853</v>
      </c>
      <c r="CU214" s="81">
        <f>+CU213/CU191*100</f>
        <v>14.092140921409213</v>
      </c>
      <c r="CV214" s="72">
        <f>IF(ISERROR(CU214/CM214),"NA",IF(OR(CU214/CM214&gt;2,CU214/CM214&lt;0.5),"NM",CU214/CM214*100-100))</f>
        <v>-1.1911514463981803</v>
      </c>
      <c r="CW214" s="81">
        <f>+CW213/CW191*100</f>
        <v>11.835748792270531</v>
      </c>
      <c r="CX214" s="72">
        <f>IF(ISERROR(CW214/CO214),"NA",IF(OR(CW214/CO214&gt;2,CW214/CO214&lt;0.5),"NM",CW214/CO214*100-100))</f>
        <v>-13.61979828799052</v>
      </c>
      <c r="CY214" s="81">
        <f>+CY213/CY191*100</f>
        <v>9.4664371772805502</v>
      </c>
      <c r="CZ214" s="72">
        <f>IF(ISERROR(CY214/CQ214),"NA",IF(OR(CY214/CQ214&gt;2,CY214/CQ214&lt;0.5),"NM",CY214/CQ214*100-100))</f>
        <v>-0.13335194058086586</v>
      </c>
      <c r="DA214" s="81">
        <f>+DA213/DA191*100</f>
        <v>0.6800870511425462</v>
      </c>
      <c r="DB214" s="72" t="str">
        <f>IF(ISERROR(DA214/CS214),"NA",IF(OR(DA214/CS214&gt;2,DA214/CS214&lt;0.5),"NM",DA214/CS214*100-100))</f>
        <v>NM</v>
      </c>
      <c r="DC214" s="81">
        <f>+DC213/DC191*100</f>
        <v>17.065868263473057</v>
      </c>
      <c r="DD214" s="72">
        <f>IF(ISERROR(DC214/CU214),"NA",IF(OR(DC214/CU214&gt;2,DC214/CU214&lt;0.5),"NM",DC214/CU214*100-100))</f>
        <v>21.102026715799198</v>
      </c>
      <c r="DE214" s="81">
        <f>+DE213/DE191*100</f>
        <v>18.34319526627219</v>
      </c>
      <c r="DF214" s="72">
        <f>IF(ISERROR(DE214/CW214),"NA",IF(OR(DE214/CW214&gt;2,DE214/CW214&lt;0.5),"NM",DE214/CW214*100-100))</f>
        <v>54.981282453809939</v>
      </c>
      <c r="DG214" s="81">
        <f>+DG213/DG191*100</f>
        <v>15.540983606557376</v>
      </c>
      <c r="DH214" s="72">
        <f>IF(ISERROR(DG214/CY214),"NA",IF(OR(DG214/CY214&gt;2,DG214/CY214&lt;0.5),"NM",DG214/CY214*100-100))</f>
        <v>64.169299552906125</v>
      </c>
      <c r="DI214" s="81">
        <f>+DI213/DI191*100</f>
        <v>17.922235722964764</v>
      </c>
      <c r="DJ214" s="72" t="str">
        <f>IF(ISERROR(DI214/DA214),"NA",IF(OR(DI214/DA214&gt;2,DI214/DA214&lt;0.5),"NM",DI214/DA214*100-100))</f>
        <v>NM</v>
      </c>
      <c r="DK214" s="81">
        <f>+DK213/DK191*100</f>
        <v>23.775310254735469</v>
      </c>
      <c r="DL214" s="72">
        <f>IF(ISERROR(DK214/DC214),"NA",IF(OR(DK214/DC214&gt;2,DK214/DC214&lt;0.5),"NM",DK214/DC214*100-100))</f>
        <v>39.314975878625347</v>
      </c>
      <c r="DM214" s="81">
        <f>+DM213/DM191*100</f>
        <v>19.469026548672566</v>
      </c>
      <c r="DN214" s="72">
        <f t="shared" si="1263"/>
        <v>6.1375963459891665</v>
      </c>
      <c r="DO214" s="81">
        <f>+DO213/DO191*100</f>
        <v>10.680016687526074</v>
      </c>
      <c r="DP214" s="72">
        <f t="shared" si="1263"/>
        <v>-31.278373635117035</v>
      </c>
      <c r="DQ214" s="81">
        <f>+DQ213/DQ191*100</f>
        <v>4.6257485029940124</v>
      </c>
      <c r="DR214" s="72" t="str">
        <f t="shared" si="1263"/>
        <v>NM</v>
      </c>
      <c r="DS214" s="81">
        <f>+DS213/DS191*100</f>
        <v>11.460855528652139</v>
      </c>
      <c r="DT214" s="72" t="str">
        <f t="shared" si="1263"/>
        <v>NM</v>
      </c>
      <c r="DU214" s="81">
        <f>+DU213/DU191*100</f>
        <v>7.4528301886792452</v>
      </c>
      <c r="DV214" s="72" t="str">
        <f t="shared" si="1263"/>
        <v>NM</v>
      </c>
      <c r="DW214" s="81">
        <f>+DW213/DW191*100</f>
        <v>12.493546721734642</v>
      </c>
      <c r="DX214" s="72">
        <f t="shared" si="1263"/>
        <v>16.98059176561695</v>
      </c>
      <c r="DY214" s="81">
        <f>+DY213/DY191*100</f>
        <v>3.9753904401325131</v>
      </c>
      <c r="DZ214" s="72">
        <f t="shared" si="1263"/>
        <v>-14.059520582248595</v>
      </c>
      <c r="EA214" s="81">
        <f>+EA213/EA191*100</f>
        <v>11.568938193343898</v>
      </c>
      <c r="EB214" s="72">
        <f>IF(ISERROR(EA214/DS214),"NA",IF(OR(EA214/DS214&gt;2,EA214/DS214&lt;0.5),"NM",EA214/DS214*100-100))</f>
        <v>0.94305930671190197</v>
      </c>
      <c r="EC214" s="81">
        <f>+EC213/EC191*100</f>
        <v>10.531012940651495</v>
      </c>
      <c r="ED214" s="72">
        <f>IF(ISERROR(EC214/DU214),"NA",IF(OR(EC214/DU214&gt;2,EC214/DU214&lt;0.5),"NM",EC214/DU214*100-100))</f>
        <v>41.302198950513713</v>
      </c>
      <c r="EE214" s="81">
        <f>+EE213/EE191*100</f>
        <v>4.6552395792754186</v>
      </c>
      <c r="EF214" s="72" t="str">
        <f>IF(ISERROR(EE214/DW214),"NA",IF(OR(EE214/DW214&gt;2,EE214/DW214&lt;0.5),"NM",EE214/DW214*100-100))</f>
        <v>NM</v>
      </c>
      <c r="EG214" s="81">
        <f>+EG213/EG191*100</f>
        <v>8.8137472283813736</v>
      </c>
      <c r="EH214" s="72" t="str">
        <f>IF(ISERROR(EG214/DY214),"NA",IF(OR(EG214/DY214&gt;2,EG214/DY214&lt;0.5),"NM",EG214/DY214*100-100))</f>
        <v>NM</v>
      </c>
      <c r="EI214" s="81">
        <f>+EI213/EI191*100</f>
        <v>20.495611770779558</v>
      </c>
      <c r="EJ214" s="72">
        <f>IF(ISERROR(EI214/EA214),"NA",IF(OR(EI214/EA214&gt;2,EI214/EA214&lt;0.5),"NM",EI214/EA214*100-100))</f>
        <v>77.160699004957536</v>
      </c>
      <c r="EK214" s="81">
        <f>+EK213/EK191*100</f>
        <v>8.5389520377044636</v>
      </c>
      <c r="EL214" s="72">
        <f>IF(ISERROR(EK214/EC214),"NA",IF(OR(EK214/EC214&gt;2,EK214/EC214&lt;0.5),"NM",EK214/EC214*100-100))</f>
        <v>-18.916137641967353</v>
      </c>
      <c r="EM214" s="81">
        <f>+EM213/EM191*100</f>
        <v>7.6096962258361458</v>
      </c>
      <c r="EN214" s="72">
        <f>IF(ISERROR(EM214/EE214),"NA",IF(OR(EM214/EE214&gt;2,EM214/EE214&lt;0.5),"NM",EM214/EE214*100-100))</f>
        <v>63.465190056245916</v>
      </c>
      <c r="EO214" s="81">
        <f>+EO213/EO191*100</f>
        <v>5.7738095238095237</v>
      </c>
      <c r="EP214" s="72">
        <f>IF(ISERROR(EO214/EG214),"NA",IF(OR(EO214/EG214&gt;2,EO214/EG214&lt;0.5),"NM",EO214/EG214*100-100))</f>
        <v>-34.490865528601361</v>
      </c>
      <c r="EQ214" s="81">
        <f t="shared" ref="EQ214" si="1273">+EQ213/EQ191*100</f>
        <v>9.1942308943033488</v>
      </c>
      <c r="ER214" s="72" t="str">
        <f t="shared" si="1265"/>
        <v>NM</v>
      </c>
      <c r="ES214" s="81">
        <f t="shared" ref="ES214" si="1274">+ES213/ES191*100</f>
        <v>8.4545102077176253</v>
      </c>
      <c r="ET214" s="72">
        <f t="shared" si="1267"/>
        <v>-0.98890156091728443</v>
      </c>
      <c r="EU214" s="81">
        <f t="shared" ref="EU214" si="1275">+EU213/EU191*100</f>
        <v>7.7694273832103535</v>
      </c>
      <c r="EV214" s="72">
        <f t="shared" si="1269"/>
        <v>2.0990477495263775</v>
      </c>
      <c r="EW214" s="81">
        <f t="shared" ref="EW214" si="1276">+EW213/EW191*100</f>
        <v>7.3227216267015685</v>
      </c>
      <c r="EX214" s="72">
        <f t="shared" si="1271"/>
        <v>26.826518895449851</v>
      </c>
      <c r="EY214" s="72"/>
      <c r="EZ214" s="309"/>
      <c r="FA214" s="72"/>
      <c r="FB214" s="81"/>
      <c r="FC214" s="72"/>
      <c r="FD214" s="81">
        <f>+FD213/FD191*100</f>
        <v>7.7757685352622063</v>
      </c>
      <c r="FE214" s="72" t="str">
        <f>IF(ISERROR(FD214/FB214),"NA",IF(OR(FD214/FB214&gt;2,FD214/FB214&lt;0.5),"NM",FD214/FB214*100-100))</f>
        <v>NA</v>
      </c>
      <c r="FF214" s="81">
        <f>+FF213/FF191*100</f>
        <v>7.3932926829268286</v>
      </c>
      <c r="FG214" s="72">
        <f>IF(ISERROR(FF214/FD214),"NA",IF(OR(FF214/FD214&gt;2,FF214/FD214&lt;0.5),"NM",FF214/FD214*100-100))</f>
        <v>-4.9188173567782201</v>
      </c>
      <c r="FH214" s="81">
        <f>+FH213/FH191*100</f>
        <v>4.5112781954887211</v>
      </c>
      <c r="FI214" s="72">
        <f>IF(ISERROR(FH214/FF214),"NA",IF(OR(FH214/FF214&gt;2,FH214/FF214&lt;0.5),"NM",FH214/FF214*100-100))</f>
        <v>-38.981474304317501</v>
      </c>
      <c r="FJ214" s="81">
        <f>+FJ213/FJ191*100</f>
        <v>6.3162356930902925</v>
      </c>
      <c r="FK214" s="72">
        <f>IF(ISERROR(FJ214/FH214),"NA",IF(OR(FJ214/FH214&gt;2,FJ214/FH214&lt;0.5),"NM",FJ214/FH214*100-100))</f>
        <v>40.009891196834843</v>
      </c>
      <c r="FL214" s="81">
        <f>+FL213/FL191*100</f>
        <v>8.4173608066637442</v>
      </c>
      <c r="FM214" s="72">
        <f>IF(ISERROR(FL214/FJ214),"NA",IF(OR(FL214/FJ214&gt;2,FL214/FJ214&lt;0.5),"NM",FL214/FJ214*100-100))</f>
        <v>33.265464046441423</v>
      </c>
      <c r="FN214" s="81">
        <f>+FN213/FN191*100</f>
        <v>10.356589147286822</v>
      </c>
      <c r="FO214" s="72">
        <f>IF(ISERROR(FN214/FL214),"NA",IF(OR(FN214/FL214&gt;2,FN214/FL214&lt;0.5),"NM",FN214/FL214*100-100))</f>
        <v>23.038436692506465</v>
      </c>
      <c r="FP214" s="81">
        <f>+FP213/FP191*100</f>
        <v>12.372670807453416</v>
      </c>
      <c r="FQ214" s="72">
        <f>IF(ISERROR(FP214/FN214),"NA",IF(OR(FP214/FN214&gt;2,FP214/FN214&lt;0.5),"NM",FP214/FN214*100-100))</f>
        <v>19.466656748614568</v>
      </c>
      <c r="FR214" s="81">
        <f>+FR213/FR191*100</f>
        <v>11.646494633477964</v>
      </c>
      <c r="FS214" s="72">
        <f>IF(ISERROR(FR214/FP214),"NA",IF(OR(FR214/FP214&gt;2,FR214/FP214&lt;0.5),"NM",FR214/FP214*100-100))</f>
        <v>-5.8691949804240835</v>
      </c>
      <c r="FT214" s="81">
        <f>+FT213/FT191*100</f>
        <v>10.237892948173322</v>
      </c>
      <c r="FU214" s="72">
        <f>IF(ISERROR(FT214/FR214),"NA",IF(OR(FT214/FR214&gt;2,FT214/FR214&lt;0.5),"NM",FT214/FR214*100-100))</f>
        <v>-12.094640744998102</v>
      </c>
      <c r="FV214" s="81">
        <f>+FV213/FV191*100</f>
        <v>11.010495986828566</v>
      </c>
      <c r="FW214" s="72">
        <f>IF(ISERROR(FV214/FT214),"NA",IF(OR(FV214/FT214&gt;2,FV214/FT214&lt;0.5),"NM",FV214/FT214*100-100))</f>
        <v>7.5465043692715597</v>
      </c>
      <c r="FX214" s="81">
        <f>+FX213/FX191*100</f>
        <v>10.538742219360378</v>
      </c>
      <c r="FY214" s="72">
        <f>IF(ISERROR(FX214/FV214),"NA",IF(OR(FX214/FV214&gt;2,FX214/FV214&lt;0.5),"NM",FX214/FV214*100-100))</f>
        <v>-4.2845823479026706</v>
      </c>
      <c r="FZ214" s="81">
        <f>+FZ213/FZ191*100</f>
        <v>10.901022573798958</v>
      </c>
      <c r="GA214" s="72">
        <f>IF(ISERROR(FZ214/FX214),"NA",IF(OR(FZ214/FX214&gt;2,FZ214/FX214&lt;0.5),"NM",FZ214/FX214*100-100))</f>
        <v>3.4376052369233179</v>
      </c>
      <c r="GB214" s="81">
        <f>+GB213/GB191*100</f>
        <v>12.19462122767399</v>
      </c>
      <c r="GC214" s="72">
        <f>IF(ISERROR(GB214/FZ214),"NA",IF(OR(GB214/FZ214&gt;2,GB214/FZ214&lt;0.5),"NM",GB214/FZ214*100-100))</f>
        <v>11.866764288556269</v>
      </c>
      <c r="GD214" s="81">
        <f>+GD213/GD191*100</f>
        <v>1.7434075693400737</v>
      </c>
      <c r="GE214" s="72" t="str">
        <f>IF(ISERROR(GD214/GB214),"NA",IF(OR(GD214/GB214&gt;2,GD214/GB214&lt;0.5),"NM",GD214/GB214*100-100))</f>
        <v>NM</v>
      </c>
      <c r="GF214" s="81">
        <f>+GF213/GF191*100</f>
        <v>17.23623092236231</v>
      </c>
      <c r="GG214" s="72" t="str">
        <f>IF(ISERROR(GF214/GD214),"NA",IF(OR(GF214/GD214&gt;2,GF214/GD214&lt;0.5),"NM",GF214/GD214*100-100))</f>
        <v>NM</v>
      </c>
      <c r="GH214" s="81">
        <f>+GH213/GH191*100</f>
        <v>10.060445474869587</v>
      </c>
      <c r="GI214" s="72">
        <f t="shared" si="1272"/>
        <v>-41.63198717756125</v>
      </c>
      <c r="GJ214" s="81">
        <f>+GJ213/GJ191*100</f>
        <v>7.8758142289146429</v>
      </c>
      <c r="GK214" s="72">
        <f t="shared" si="1272"/>
        <v>-21.715054779751313</v>
      </c>
      <c r="GL214" s="81">
        <f>+GL213/GL191*100</f>
        <v>7.8595837216526867</v>
      </c>
      <c r="GM214" s="72">
        <f t="shared" si="1272"/>
        <v>-0.2060803720124369</v>
      </c>
      <c r="GN214" s="81">
        <f>+GN213/GN191*100</f>
        <v>8.9864913674781466</v>
      </c>
      <c r="GO214" s="72">
        <f t="shared" si="1272"/>
        <v>14.338006766451201</v>
      </c>
      <c r="GP214" s="81">
        <f>+GP213/GP191*100</f>
        <v>8.1777694472638167</v>
      </c>
      <c r="GQ214" s="72">
        <f t="shared" si="1272"/>
        <v>-8.999306705407534</v>
      </c>
      <c r="GR214" s="81">
        <f>+GR213/GR191*100</f>
        <v>8.0794043763198076</v>
      </c>
      <c r="GS214" s="72">
        <f t="shared" si="1272"/>
        <v>-1.2028349732569268</v>
      </c>
      <c r="GT214" s="81">
        <f>+GT213/GT191*100</f>
        <v>7.936218527093625</v>
      </c>
      <c r="GU214" s="72">
        <f t="shared" si="1272"/>
        <v>-1.7722327359409178</v>
      </c>
      <c r="GV214" s="81">
        <f>+GV213/GV191*100</f>
        <v>7.7946745240984967</v>
      </c>
      <c r="GW214" s="72">
        <f>IF(ISERROR(GV214/GT214),"NA",IF(OR(GV214/GT214&gt;2,GV214/GT214&lt;0.5),"NM",GV214/GT214*100-100))</f>
        <v>-1.7835194748217731</v>
      </c>
      <c r="GX214" s="81">
        <f>+GX213/GX191*100</f>
        <v>7.6547776701187935</v>
      </c>
      <c r="GY214" s="72">
        <f>IF(ISERROR(GX214/GV214),"NA",IF(OR(GX214/GV214&gt;2,GX214/GV214&lt;0.5),"NM",GX214/GV214*100-100))</f>
        <v>-1.7947747984497511</v>
      </c>
      <c r="GZ214" s="72">
        <f>IF(ISERROR(((GX214/GN214)^0.2-1)*100),"NA",IF((((GX214/GN214)^0.2-1)*100)&gt;100,"NM",IF((((GX214/GN214)^0.2-1)*100)&lt;-50,"NM",((GX214/GN214)^0.2-1)*100)))</f>
        <v>-3.1569443799425834</v>
      </c>
      <c r="HA214" s="72"/>
      <c r="HB214" s="72"/>
      <c r="HC214"/>
      <c r="HD214"/>
      <c r="HE214"/>
      <c r="HF214"/>
      <c r="HG214"/>
      <c r="HH214"/>
      <c r="HI214" s="2"/>
    </row>
    <row r="215" spans="1:217" ht="12.75" customHeight="1" x14ac:dyDescent="0.2">
      <c r="B215" s="77"/>
      <c r="C215" s="109"/>
      <c r="D215" s="72"/>
      <c r="E215" s="109"/>
      <c r="F215" s="72"/>
      <c r="G215" s="109"/>
      <c r="H215" s="72"/>
      <c r="I215" s="109"/>
      <c r="J215" s="72"/>
      <c r="K215" s="109"/>
      <c r="L215" s="72"/>
      <c r="M215" s="109"/>
      <c r="N215" s="72"/>
      <c r="O215" s="109"/>
      <c r="P215" s="72"/>
      <c r="Q215" s="109"/>
      <c r="R215" s="72"/>
      <c r="S215" s="109"/>
      <c r="T215" s="72"/>
      <c r="U215" s="109"/>
      <c r="V215" s="72"/>
      <c r="W215" s="109"/>
      <c r="X215" s="72"/>
      <c r="Y215" s="109"/>
      <c r="Z215" s="72"/>
      <c r="AA215" s="109"/>
      <c r="AB215" s="72"/>
      <c r="AC215" s="109"/>
      <c r="AD215" s="72"/>
      <c r="AE215" s="109"/>
      <c r="AF215" s="72"/>
      <c r="AG215" s="109"/>
      <c r="AH215" s="72"/>
      <c r="AI215" s="109"/>
      <c r="AJ215" s="72"/>
      <c r="AK215" s="109"/>
      <c r="AL215" s="72"/>
      <c r="AM215" s="109"/>
      <c r="AN215" s="72"/>
      <c r="AO215" s="109"/>
      <c r="AP215" s="72"/>
      <c r="AQ215" s="109"/>
      <c r="AR215" s="72"/>
      <c r="AS215" s="109"/>
      <c r="AT215" s="72"/>
      <c r="AU215" s="109"/>
      <c r="AV215" s="72"/>
      <c r="AW215" s="109"/>
      <c r="AX215" s="72"/>
      <c r="AY215" s="109"/>
      <c r="AZ215" s="72"/>
      <c r="BA215" s="109"/>
      <c r="BB215" s="72"/>
      <c r="BC215" s="109"/>
      <c r="BD215" s="72"/>
      <c r="BE215" s="109"/>
      <c r="BF215" s="72"/>
      <c r="BG215" s="109"/>
      <c r="BH215" s="72"/>
      <c r="BI215" s="109"/>
      <c r="BJ215" s="72"/>
      <c r="BK215" s="109"/>
      <c r="BL215" s="72"/>
      <c r="BM215" s="109"/>
      <c r="BN215" s="72"/>
      <c r="BO215" s="109"/>
      <c r="BP215" s="72"/>
      <c r="BQ215" s="109"/>
      <c r="BR215" s="72"/>
      <c r="BS215" s="109"/>
      <c r="BT215" s="72"/>
      <c r="BU215" s="109"/>
      <c r="BV215" s="72"/>
      <c r="BW215" s="109"/>
      <c r="BX215" s="72"/>
      <c r="BY215" s="109"/>
      <c r="BZ215" s="72"/>
      <c r="CA215" s="109"/>
      <c r="CB215" s="72"/>
      <c r="CC215" s="109"/>
      <c r="CD215" s="72"/>
      <c r="CE215" s="109"/>
      <c r="CF215" s="72"/>
      <c r="CG215" s="109"/>
      <c r="CH215" s="72"/>
      <c r="CI215" s="109"/>
      <c r="CJ215" s="72"/>
      <c r="CK215" s="109"/>
      <c r="CL215" s="72"/>
      <c r="CM215" s="109"/>
      <c r="CN215" s="72"/>
      <c r="CO215" s="109"/>
      <c r="CP215" s="72"/>
      <c r="CQ215" s="109"/>
      <c r="CR215" s="72"/>
      <c r="CS215" s="109"/>
      <c r="CT215" s="72"/>
      <c r="CU215" s="109"/>
      <c r="CV215" s="72"/>
      <c r="CW215" s="109"/>
      <c r="CX215" s="72"/>
      <c r="CY215" s="109"/>
      <c r="CZ215" s="72"/>
      <c r="DA215" s="109"/>
      <c r="DB215" s="72"/>
      <c r="DC215" s="109"/>
      <c r="DD215" s="72"/>
      <c r="DE215" s="109"/>
      <c r="DF215" s="72"/>
      <c r="DG215" s="109"/>
      <c r="DH215" s="72"/>
      <c r="DI215" s="109"/>
      <c r="DJ215" s="72"/>
      <c r="DK215" s="109"/>
      <c r="DL215" s="72"/>
      <c r="DM215" s="109"/>
      <c r="DN215" s="72"/>
      <c r="DO215" s="109"/>
      <c r="DP215" s="72"/>
      <c r="DQ215" s="109"/>
      <c r="DR215" s="72"/>
      <c r="DS215" s="109"/>
      <c r="DT215" s="72"/>
      <c r="DU215" s="109"/>
      <c r="DV215" s="72"/>
      <c r="DW215" s="109"/>
      <c r="DX215" s="72"/>
      <c r="DY215" s="109"/>
      <c r="DZ215" s="72"/>
      <c r="EA215" s="109"/>
      <c r="EB215" s="72"/>
      <c r="EC215" s="109"/>
      <c r="ED215" s="72"/>
      <c r="EE215" s="109"/>
      <c r="EF215" s="72"/>
      <c r="EG215" s="109"/>
      <c r="EH215" s="72"/>
      <c r="EI215" s="109"/>
      <c r="EJ215" s="72"/>
      <c r="EK215" s="109"/>
      <c r="EL215" s="72"/>
      <c r="EM215" s="109"/>
      <c r="EN215" s="72"/>
      <c r="EO215" s="109"/>
      <c r="EP215" s="72"/>
      <c r="EQ215" s="109"/>
      <c r="ER215" s="72"/>
      <c r="ES215" s="109"/>
      <c r="ET215" s="72"/>
      <c r="EU215" s="109"/>
      <c r="EV215" s="72"/>
      <c r="EW215" s="109"/>
      <c r="EX215" s="72"/>
      <c r="EY215" s="72"/>
      <c r="EZ215" s="306"/>
      <c r="FA215" s="72"/>
      <c r="FB215" s="109"/>
      <c r="FC215" s="72"/>
      <c r="FD215" s="109"/>
      <c r="FE215" s="72"/>
      <c r="FF215" s="109"/>
      <c r="FG215" s="72"/>
      <c r="FH215" s="109"/>
      <c r="FI215" s="72"/>
      <c r="FJ215" s="109"/>
      <c r="FK215" s="72"/>
      <c r="FL215" s="109"/>
      <c r="FM215" s="72"/>
      <c r="FN215" s="109"/>
      <c r="FO215" s="72"/>
      <c r="FP215" s="109"/>
      <c r="FQ215" s="72"/>
      <c r="FR215" s="109"/>
      <c r="FS215" s="72"/>
      <c r="FT215" s="109"/>
      <c r="FU215" s="72"/>
      <c r="FV215" s="109"/>
      <c r="FW215" s="72"/>
      <c r="FX215" s="109"/>
      <c r="FY215" s="72"/>
      <c r="FZ215" s="109"/>
      <c r="GA215" s="72"/>
      <c r="GB215" s="109"/>
      <c r="GC215" s="72"/>
      <c r="GD215" s="109"/>
      <c r="GE215" s="72"/>
      <c r="GF215" s="109"/>
      <c r="GG215" s="72"/>
      <c r="GH215" s="109"/>
      <c r="GI215" s="72"/>
      <c r="GJ215" s="109"/>
      <c r="GK215" s="72"/>
      <c r="GL215" s="109"/>
      <c r="GM215" s="72"/>
      <c r="GN215" s="109"/>
      <c r="GO215" s="72"/>
      <c r="GP215" s="109"/>
      <c r="GQ215" s="72"/>
      <c r="GR215" s="109"/>
      <c r="GS215" s="72"/>
      <c r="GT215" s="109"/>
      <c r="GU215" s="72"/>
      <c r="GV215" s="109"/>
      <c r="GW215" s="72"/>
      <c r="GX215" s="109"/>
      <c r="GY215" s="72"/>
      <c r="GZ215" s="72"/>
      <c r="HA215" s="72"/>
      <c r="HB215" s="72"/>
    </row>
    <row r="216" spans="1:217" s="3" customFormat="1" ht="12.75" customHeight="1" x14ac:dyDescent="0.2">
      <c r="B216" s="77" t="s">
        <v>537</v>
      </c>
      <c r="C216" s="74"/>
      <c r="D216" s="92"/>
      <c r="E216" s="74"/>
      <c r="F216" s="92"/>
      <c r="G216" s="74"/>
      <c r="H216" s="92"/>
      <c r="I216" s="74"/>
      <c r="J216" s="92"/>
      <c r="K216" s="74">
        <v>0</v>
      </c>
      <c r="L216" s="72" t="str">
        <f>IF(ISERROR(K216/C216),"NA",IF(OR(K216/C216&gt;2,K216/C216&lt;0.5),"NM",K216/C216*100-100))</f>
        <v>NA</v>
      </c>
      <c r="M216" s="74">
        <v>0</v>
      </c>
      <c r="N216" s="72" t="str">
        <f>IF(ISERROR(M216/E216),"NA",IF(OR(M216/E216&gt;2,M216/E216&lt;0.5),"NM",M216/E216*100-100))</f>
        <v>NA</v>
      </c>
      <c r="O216" s="74">
        <v>0</v>
      </c>
      <c r="P216" s="72" t="str">
        <f>IF(ISERROR(O216/G216),"NA",IF(OR(O216/G216&gt;2,O216/G216&lt;0.5),"NM",O216/G216*100-100))</f>
        <v>NA</v>
      </c>
      <c r="Q216" s="74">
        <v>0</v>
      </c>
      <c r="R216" s="72" t="str">
        <f>IF(ISERROR(Q216/I216),"NA",IF(OR(Q216/I216&gt;2,Q216/I216&lt;0.5),"NM",Q216/I216*100-100))</f>
        <v>NA</v>
      </c>
      <c r="S216" s="74">
        <v>0</v>
      </c>
      <c r="T216" s="72" t="str">
        <f>IF(ISERROR(S216/K216),"NA",IF(OR(S216/K216&gt;2,S216/K216&lt;0.5),"NM",S216/K216*100-100))</f>
        <v>NA</v>
      </c>
      <c r="U216" s="74">
        <v>0</v>
      </c>
      <c r="V216" s="72" t="str">
        <f>IF(ISERROR(U216/M216),"NA",IF(OR(U216/M216&gt;2,U216/M216&lt;0.5),"NM",U216/M216*100-100))</f>
        <v>NA</v>
      </c>
      <c r="W216" s="74">
        <v>0</v>
      </c>
      <c r="X216" s="72" t="str">
        <f>IF(ISERROR(W216/O216),"NA",IF(OR(W216/O216&gt;2,W216/O216&lt;0.5),"NM",W216/O216*100-100))</f>
        <v>NA</v>
      </c>
      <c r="Y216" s="74">
        <v>0</v>
      </c>
      <c r="Z216" s="72" t="str">
        <f>IF(ISERROR(Y216/Q216),"NA",IF(OR(Y216/Q216&gt;2,Y216/Q216&lt;0.5),"NM",Y216/Q216*100-100))</f>
        <v>NA</v>
      </c>
      <c r="AA216" s="74">
        <v>0</v>
      </c>
      <c r="AB216" s="72" t="str">
        <f>IF(ISERROR(AA216/S216),"NA",IF(OR(AA216/S216&gt;2,AA216/S216&lt;0.5),"NM",AA216/S216*100-100))</f>
        <v>NA</v>
      </c>
      <c r="AC216" s="74">
        <v>0</v>
      </c>
      <c r="AD216" s="72" t="str">
        <f>IF(ISERROR(AC216/U216),"NA",IF(OR(AC216/U216&gt;2,AC216/U216&lt;0.5),"NM",AC216/U216*100-100))</f>
        <v>NA</v>
      </c>
      <c r="AE216" s="74">
        <v>0</v>
      </c>
      <c r="AF216" s="72" t="str">
        <f>IF(ISERROR(AE216/W216),"NA",IF(OR(AE216/W216&gt;2,AE216/W216&lt;0.5),"NM",AE216/W216*100-100))</f>
        <v>NA</v>
      </c>
      <c r="AG216" s="74">
        <v>0</v>
      </c>
      <c r="AH216" s="72" t="str">
        <f>IF(ISERROR(AG216/Y216),"NA",IF(OR(AG216/Y216&gt;2,AG216/Y216&lt;0.5),"NM",AG216/Y216*100-100))</f>
        <v>NA</v>
      </c>
      <c r="AI216" s="74">
        <v>0</v>
      </c>
      <c r="AJ216" s="72" t="str">
        <f>IF(ISERROR(AI216/AA216),"NA",IF(OR(AI216/AA216&gt;2,AI216/AA216&lt;0.5),"NM",AI216/AA216*100-100))</f>
        <v>NA</v>
      </c>
      <c r="AK216" s="74">
        <v>0</v>
      </c>
      <c r="AL216" s="72" t="str">
        <f>IF(ISERROR(AK216/AC216),"NA",IF(OR(AK216/AC216&gt;2,AK216/AC216&lt;0.5),"NM",AK216/AC216*100-100))</f>
        <v>NA</v>
      </c>
      <c r="AM216" s="74">
        <v>0</v>
      </c>
      <c r="AN216" s="72" t="str">
        <f>IF(ISERROR(AM216/AE216),"NA",IF(OR(AM216/AE216&gt;2,AM216/AE216&lt;0.5),"NM",AM216/AE216*100-100))</f>
        <v>NA</v>
      </c>
      <c r="AO216" s="74">
        <v>0</v>
      </c>
      <c r="AP216" s="72" t="str">
        <f>IF(ISERROR(AO216/AG216),"NA",IF(OR(AO216/AG216&gt;2,AO216/AG216&lt;0.5),"NM",AO216/AG216*100-100))</f>
        <v>NA</v>
      </c>
      <c r="AQ216" s="74">
        <v>28</v>
      </c>
      <c r="AR216" s="72" t="str">
        <f>IF(ISERROR(AQ216/AI216),"NA",IF(OR(AQ216/AI216&gt;2,AQ216/AI216&lt;0.5),"NM",AQ216/AI216*100-100))</f>
        <v>NA</v>
      </c>
      <c r="AS216" s="74">
        <f>19+16</f>
        <v>35</v>
      </c>
      <c r="AT216" s="72" t="str">
        <f>IF(ISERROR(AS216/AK216),"NA",IF(OR(AS216/AK216&gt;2,AS216/AK216&lt;0.5),"NM",AS216/AK216*100-100))</f>
        <v>NA</v>
      </c>
      <c r="AU216" s="74">
        <v>15</v>
      </c>
      <c r="AV216" s="72" t="str">
        <f>IF(ISERROR(AU216/AM216),"NA",IF(OR(AU216/AM216&gt;2,AU216/AM216&lt;0.5),"NM",AU216/AM216*100-100))</f>
        <v>NA</v>
      </c>
      <c r="AW216" s="74">
        <v>9</v>
      </c>
      <c r="AX216" s="72" t="str">
        <f>IF(ISERROR(AW216/AO216),"NA",IF(OR(AW216/AO216&gt;2,AW216/AO216&lt;0.5),"NM",AW216/AO216*100-100))</f>
        <v>NA</v>
      </c>
      <c r="AY216" s="74">
        <v>0</v>
      </c>
      <c r="AZ216" s="72" t="str">
        <f>IF(ISERROR(AY216/AQ216),"NA",IF(OR(AY216/AQ216&gt;2,AY216/AQ216&lt;0.5),"NM",AY216/AQ216*100-100))</f>
        <v>NM</v>
      </c>
      <c r="BA216" s="74">
        <v>19</v>
      </c>
      <c r="BB216" s="72">
        <f>IF(ISERROR(BA216/AS216),"NA",IF(OR(BA216/AS216&gt;2,BA216/AS216&lt;0.5),"NM",BA216/AS216*100-100))</f>
        <v>-45.714285714285715</v>
      </c>
      <c r="BC216" s="74">
        <v>0</v>
      </c>
      <c r="BD216" s="72" t="str">
        <f>IF(ISERROR(BC216/AU216),"NA",IF(OR(BC216/AU216&gt;2,BC216/AU216&lt;0.5),"NM",BC216/AU216*100-100))</f>
        <v>NM</v>
      </c>
      <c r="BE216" s="74">
        <v>0</v>
      </c>
      <c r="BF216" s="72" t="str">
        <f>IF(ISERROR(BE216/AW216),"NA",IF(OR(BE216/AW216&gt;2,BE216/AW216&lt;0.5),"NM",BE216/AW216*100-100))</f>
        <v>NM</v>
      </c>
      <c r="BG216" s="74">
        <v>0</v>
      </c>
      <c r="BH216" s="72" t="str">
        <f>IF(ISERROR(BG216/AY216),"NA",IF(OR(BG216/AY216&gt;2,BG216/AY216&lt;0.5),"NM",BG216/AY216*100-100))</f>
        <v>NA</v>
      </c>
      <c r="BI216" s="74">
        <v>0</v>
      </c>
      <c r="BJ216" s="72" t="str">
        <f>IF(ISERROR(BI216/BA216),"NA",IF(OR(BI216/BA216&gt;2,BI216/BA216&lt;0.5),"NM",BI216/BA216*100-100))</f>
        <v>NM</v>
      </c>
      <c r="BK216" s="74">
        <f>-81-12</f>
        <v>-93</v>
      </c>
      <c r="BL216" s="72" t="str">
        <f>IF(ISERROR(BK216/BC216),"NA",IF(OR(BK216/BC216&gt;2,BK216/BC216&lt;0.5),"NM",BK216/BC216*100-100))</f>
        <v>NA</v>
      </c>
      <c r="BM216" s="74">
        <v>-14</v>
      </c>
      <c r="BN216" s="72" t="str">
        <f>IF(ISERROR(BM216/BE216),"NA",IF(OR(BM216/BE216&gt;2,BM216/BE216&lt;0.5),"NM",BM216/BE216*100-100))</f>
        <v>NA</v>
      </c>
      <c r="BO216" s="74">
        <v>0</v>
      </c>
      <c r="BP216" s="72" t="str">
        <f>IF(ISERROR(BO216/BG216),"NA",IF(OR(BO216/BG216&gt;2,BO216/BG216&lt;0.5),"NM",BO216/BG216*100-100))</f>
        <v>NA</v>
      </c>
      <c r="BQ216" s="74">
        <v>0</v>
      </c>
      <c r="BR216" s="72" t="str">
        <f>IF(ISERROR(BQ216/BI216),"NA",IF(OR(BQ216/BI216&gt;2,BQ216/BI216&lt;0.5),"NM",BQ216/BI216*100-100))</f>
        <v>NA</v>
      </c>
      <c r="BS216" s="74">
        <v>12</v>
      </c>
      <c r="BT216" s="72" t="str">
        <f>IF(ISERROR(BS216/BK216),"NA",IF(OR(BS216/BK216&gt;2,BS216/BK216&lt;0.5),"NM",BS216/BK216*100-100))</f>
        <v>NM</v>
      </c>
      <c r="BU216" s="74">
        <v>33</v>
      </c>
      <c r="BV216" s="72" t="str">
        <f>IF(ISERROR(BU216/BM216),"NA",IF(OR(BU216/BM216&gt;2,BU216/BM216&lt;0.5),"NM",BU216/BM216*100-100))</f>
        <v>NM</v>
      </c>
      <c r="BW216" s="74"/>
      <c r="BX216" s="72" t="str">
        <f>IF(ISERROR(BW216/BO216),"NA",IF(OR(BW216/BO216&gt;2,BW216/BO216&lt;0.5),"NM",BW216/BO216*100-100))</f>
        <v>NA</v>
      </c>
      <c r="BY216" s="74"/>
      <c r="BZ216" s="72" t="str">
        <f>IF(ISERROR(BY216/BQ216),"NA",IF(OR(BY216/BQ216&gt;2,BY216/BQ216&lt;0.5),"NM",BY216/BQ216*100-100))</f>
        <v>NA</v>
      </c>
      <c r="CA216" s="74"/>
      <c r="CB216" s="72" t="str">
        <f>IF(ISERROR(CA216/BS216),"NA",IF(OR(CA216/BS216&gt;2,CA216/BS216&lt;0.5),"NM",CA216/BS216*100-100))</f>
        <v>NM</v>
      </c>
      <c r="CC216" s="74"/>
      <c r="CD216" s="72" t="str">
        <f>IF(ISERROR(CC216/BU216),"NA",IF(OR(CC216/BU216&gt;2,CC216/BU216&lt;0.5),"NM",CC216/BU216*100-100))</f>
        <v>NM</v>
      </c>
      <c r="CE216" s="74"/>
      <c r="CF216" s="72" t="str">
        <f>IF(ISERROR(CE216/BW216),"NA",IF(OR(CE216/BW216&gt;2,CE216/BW216&lt;0.5),"NM",CE216/BW216*100-100))</f>
        <v>NA</v>
      </c>
      <c r="CG216" s="74"/>
      <c r="CH216" s="72" t="str">
        <f>IF(ISERROR(CG216/BY216),"NA",IF(OR(CG216/BY216&gt;2,CG216/BY216&lt;0.5),"NM",CG216/BY216*100-100))</f>
        <v>NA</v>
      </c>
      <c r="CI216" s="74">
        <v>-15</v>
      </c>
      <c r="CJ216" s="72" t="str">
        <f>IF(ISERROR(CI216/CA216),"NA",IF(OR(CI216/CA216&gt;2,CI216/CA216&lt;0.5),"NM",CI216/CA216*100-100))</f>
        <v>NA</v>
      </c>
      <c r="CK216" s="74">
        <v>0</v>
      </c>
      <c r="CL216" s="72" t="str">
        <f>IF(ISERROR(CK216/CC216),"NA",IF(OR(CK216/CC216&gt;2,CK216/CC216&lt;0.5),"NM",CK216/CC216*100-100))</f>
        <v>NA</v>
      </c>
      <c r="CM216" s="74">
        <v>0</v>
      </c>
      <c r="CN216" s="72" t="str">
        <f>IF(ISERROR(CM216/CE216),"NA",IF(OR(CM216/CE216&gt;2,CM216/CE216&lt;0.5),"NM",CM216/CE216*100-100))</f>
        <v>NA</v>
      </c>
      <c r="CO216" s="74">
        <v>0</v>
      </c>
      <c r="CP216" s="72" t="str">
        <f>IF(ISERROR(CO216/CG216),"NA",IF(OR(CO216/CG216&gt;2,CO216/CG216&lt;0.5),"NM",CO216/CG216*100-100))</f>
        <v>NA</v>
      </c>
      <c r="CQ216" s="74">
        <v>-24</v>
      </c>
      <c r="CR216" s="72">
        <f>IF(ISERROR(CQ216/CI216),"NA",IF(OR(CQ216/CI216&gt;2,CQ216/CI216&lt;0.5),"NM",CQ216/CI216*100-100))</f>
        <v>60</v>
      </c>
      <c r="CS216" s="74">
        <v>0</v>
      </c>
      <c r="CT216" s="72" t="str">
        <f>IF(ISERROR(CS216/CK216),"NA",IF(OR(CS216/CK216&gt;2,CS216/CK216&lt;0.5),"NM",CS216/CK216*100-100))</f>
        <v>NA</v>
      </c>
      <c r="CU216" s="74">
        <v>0</v>
      </c>
      <c r="CV216" s="72" t="str">
        <f>IF(ISERROR(CU216/CM216),"NA",IF(OR(CU216/CM216&gt;2,CU216/CM216&lt;0.5),"NM",CU216/CM216*100-100))</f>
        <v>NA</v>
      </c>
      <c r="CW216" s="74">
        <v>-9</v>
      </c>
      <c r="CX216" s="72" t="str">
        <f>IF(ISERROR(CW216/CO216),"NA",IF(OR(CW216/CO216&gt;2,CW216/CO216&lt;0.5),"NM",CW216/CO216*100-100))</f>
        <v>NA</v>
      </c>
      <c r="CY216" s="74">
        <f>-29-13</f>
        <v>-42</v>
      </c>
      <c r="CZ216" s="72">
        <f>IF(ISERROR(CY216/CQ216),"NA",IF(OR(CY216/CQ216&gt;2,CY216/CQ216&lt;0.5),"NM",CY216/CQ216*100-100))</f>
        <v>75</v>
      </c>
      <c r="DA216" s="74">
        <f>78-16</f>
        <v>62</v>
      </c>
      <c r="DB216" s="72" t="str">
        <f>IF(ISERROR(DA216/CS216),"NA",IF(OR(DA216/CS216&gt;2,DA216/CS216&lt;0.5),"NM",DA216/CS216*100-100))</f>
        <v>NA</v>
      </c>
      <c r="DC216" s="74">
        <v>0</v>
      </c>
      <c r="DD216" s="72" t="str">
        <f>IF(ISERROR(DC216/CU216),"NA",IF(OR(DC216/CU216&gt;2,DC216/CU216&lt;0.5),"NM",DC216/CU216*100-100))</f>
        <v>NA</v>
      </c>
      <c r="DE216" s="74">
        <f>12+35</f>
        <v>47</v>
      </c>
      <c r="DF216" s="72" t="str">
        <f>IF(ISERROR(DE216/CW216),"NA",IF(OR(DE216/CW216&gt;2,DE216/CW216&lt;0.5),"NM",DE216/CW216*100-100))</f>
        <v>NM</v>
      </c>
      <c r="DG216" s="74">
        <v>-4</v>
      </c>
      <c r="DH216" s="72" t="str">
        <f>IF(ISERROR(DG216/CY216),"NA",IF(OR(DG216/CY216&gt;2,DG216/CY216&lt;0.5),"NM",DG216/CY216*100-100))</f>
        <v>NM</v>
      </c>
      <c r="DI216" s="74">
        <v>0</v>
      </c>
      <c r="DJ216" s="72" t="str">
        <f>IF(ISERROR(DI216/DA216),"NA",IF(OR(DI216/DA216&gt;2,DI216/DA216&lt;0.5),"NM",DI216/DA216*100-100))</f>
        <v>NM</v>
      </c>
      <c r="DK216" s="74">
        <v>0</v>
      </c>
      <c r="DL216" s="72" t="str">
        <f>IF(ISERROR(DK216/DC216),"NA",IF(OR(DK216/DC216&gt;2,DK216/DC216&lt;0.5),"NM",DK216/DC216*100-100))</f>
        <v>NA</v>
      </c>
      <c r="DM216" s="74">
        <v>0</v>
      </c>
      <c r="DN216" s="72" t="str">
        <f t="shared" ref="DN216:DZ219" si="1277">IF(ISERROR(DM216/DE216),"NA",IF(OR(DM216/DE216&gt;2,DM216/DE216&lt;0.5),"NM",DM216/DE216*100-100))</f>
        <v>NM</v>
      </c>
      <c r="DO216" s="74">
        <v>-13</v>
      </c>
      <c r="DP216" s="72" t="str">
        <f t="shared" si="1277"/>
        <v>NM</v>
      </c>
      <c r="DQ216" s="74">
        <v>15</v>
      </c>
      <c r="DR216" s="72" t="str">
        <f t="shared" si="1277"/>
        <v>NA</v>
      </c>
      <c r="DS216" s="74">
        <v>0</v>
      </c>
      <c r="DT216" s="72" t="str">
        <f t="shared" si="1277"/>
        <v>NA</v>
      </c>
      <c r="DU216" s="74">
        <v>0</v>
      </c>
      <c r="DV216" s="72" t="str">
        <f t="shared" si="1277"/>
        <v>NA</v>
      </c>
      <c r="DW216" s="74">
        <v>20</v>
      </c>
      <c r="DX216" s="72" t="str">
        <f t="shared" si="1277"/>
        <v>NM</v>
      </c>
      <c r="DY216" s="74">
        <v>0</v>
      </c>
      <c r="DZ216" s="72" t="str">
        <f t="shared" si="1277"/>
        <v>NM</v>
      </c>
      <c r="EA216" s="74">
        <v>0</v>
      </c>
      <c r="EB216" s="72" t="str">
        <f>IF(ISERROR(EA216/DS216),"NA",IF(OR(EA216/DS216&gt;2,EA216/DS216&lt;0.5),"NM",EA216/DS216*100-100))</f>
        <v>NA</v>
      </c>
      <c r="EC216" s="74">
        <v>6</v>
      </c>
      <c r="ED216" s="72" t="str">
        <f>IF(ISERROR(EC216/DU216),"NA",IF(OR(EC216/DU216&gt;2,EC216/DU216&lt;0.5),"NM",EC216/DU216*100-100))</f>
        <v>NA</v>
      </c>
      <c r="EE216" s="74">
        <v>-34</v>
      </c>
      <c r="EF216" s="72" t="str">
        <f>IF(ISERROR(EE216/DW216),"NA",IF(OR(EE216/DW216&gt;2,EE216/DW216&lt;0.5),"NM",EE216/DW216*100-100))</f>
        <v>NM</v>
      </c>
      <c r="EG216" s="74">
        <v>20</v>
      </c>
      <c r="EH216" s="72" t="str">
        <f>IF(ISERROR(EG216/DY216),"NA",IF(OR(EG216/DY216&gt;2,EG216/DY216&lt;0.5),"NM",EG216/DY216*100-100))</f>
        <v>NA</v>
      </c>
      <c r="EI216" s="74">
        <v>0</v>
      </c>
      <c r="EJ216" s="72" t="str">
        <f>IF(ISERROR(EI216/EA216),"NA",IF(OR(EI216/EA216&gt;2,EI216/EA216&lt;0.5),"NM",EI216/EA216*100-100))</f>
        <v>NA</v>
      </c>
      <c r="EK216" s="74">
        <v>-20</v>
      </c>
      <c r="EL216" s="72" t="str">
        <f>IF(ISERROR(EK216/EC216),"NA",IF(OR(EK216/EC216&gt;2,EK216/EC216&lt;0.5),"NM",EK216/EC216*100-100))</f>
        <v>NM</v>
      </c>
      <c r="EM216" s="74">
        <v>0</v>
      </c>
      <c r="EN216" s="72" t="str">
        <f>IF(ISERROR(EM216/EE216),"NA",IF(OR(EM216/EE216&gt;2,EM216/EE216&lt;0.5),"NM",EM216/EE216*100-100))</f>
        <v>NM</v>
      </c>
      <c r="EO216" s="74">
        <v>0</v>
      </c>
      <c r="EP216" s="72" t="str">
        <f>IF(ISERROR(EO216/EG216),"NA",IF(OR(EO216/EG216&gt;2,EO216/EG216&lt;0.5),"NM",EO216/EG216*100-100))</f>
        <v>NM</v>
      </c>
      <c r="EQ216" s="74">
        <v>0</v>
      </c>
      <c r="ER216" s="72" t="str">
        <f t="shared" ref="ER216:ER219" si="1278">IF(ISERROR(EQ216/EI216),"NA",IF(OR(EQ216/EI216&gt;2,EQ216/EI216&lt;0.5),"NM",EQ216/EI216*100-100))</f>
        <v>NA</v>
      </c>
      <c r="ES216" s="74">
        <v>0</v>
      </c>
      <c r="ET216" s="72" t="str">
        <f t="shared" ref="ET216:ET219" si="1279">IF(ISERROR(ES216/EK216),"NA",IF(OR(ES216/EK216&gt;2,ES216/EK216&lt;0.5),"NM",ES216/EK216*100-100))</f>
        <v>NM</v>
      </c>
      <c r="EU216" s="74">
        <v>0</v>
      </c>
      <c r="EV216" s="72" t="str">
        <f t="shared" ref="EV216:EV219" si="1280">IF(ISERROR(EU216/EM216),"NA",IF(OR(EU216/EM216&gt;2,EU216/EM216&lt;0.5),"NM",EU216/EM216*100-100))</f>
        <v>NA</v>
      </c>
      <c r="EW216" s="74">
        <v>0</v>
      </c>
      <c r="EX216" s="72" t="str">
        <f t="shared" ref="EX216:EX219" si="1281">IF(ISERROR(EW216/EO216),"NA",IF(OR(EW216/EO216&gt;2,EW216/EO216&lt;0.5),"NM",EW216/EO216*100-100))</f>
        <v>NA</v>
      </c>
      <c r="EY216" s="72"/>
      <c r="EZ216" s="306"/>
      <c r="FA216" s="72"/>
      <c r="FB216" s="75"/>
      <c r="FC216" s="72"/>
      <c r="FD216" s="75">
        <v>0</v>
      </c>
      <c r="FE216" s="72" t="str">
        <f>IF(ISERROR(FD216/FB216),"NA",IF(OR(FD216/FB216&gt;2,FD216/FB216&lt;0.5),"NM",FD216/FB216*100-100))</f>
        <v>NA</v>
      </c>
      <c r="FF216" s="75">
        <v>0</v>
      </c>
      <c r="FG216" s="72" t="str">
        <f>IF(ISERROR(FF216/FD216),"NA",IF(OR(FF216/FD216&gt;2,FF216/FD216&lt;0.5),"NM",FF216/FD216*100-100))</f>
        <v>NA</v>
      </c>
      <c r="FH216" s="75">
        <v>0</v>
      </c>
      <c r="FI216" s="72" t="str">
        <f>IF(ISERROR(FH216/FF216),"NA",IF(OR(FH216/FF216&gt;2,FH216/FF216&lt;0.5),"NM",FH216/FF216*100-100))</f>
        <v>NA</v>
      </c>
      <c r="FJ216" s="75">
        <v>0</v>
      </c>
      <c r="FK216" s="72" t="str">
        <f>IF(ISERROR(FJ216/FH216),"NA",IF(OR(FJ216/FH216&gt;2,FJ216/FH216&lt;0.5),"NM",FJ216/FH216*100-100))</f>
        <v>NA</v>
      </c>
      <c r="FL216" s="75">
        <v>0</v>
      </c>
      <c r="FM216" s="72" t="str">
        <f>IF(ISERROR(FL216/FJ216),"NA",IF(OR(FL216/FJ216&gt;2,FL216/FJ216&lt;0.5),"NM",FL216/FJ216*100-100))</f>
        <v>NA</v>
      </c>
      <c r="FN216" s="75">
        <f>AI216+AK216+AM216+AO216</f>
        <v>0</v>
      </c>
      <c r="FO216" s="72" t="str">
        <f>IF(ISERROR(FN216/FF216),"NA",IF(OR(FN216/FF216&gt;2,FN216/FF216&lt;0.5),"NM",FN216/FF216*100-100))</f>
        <v>NA</v>
      </c>
      <c r="FP216" s="75">
        <f>AQ216+AS216+AU216+AW216</f>
        <v>87</v>
      </c>
      <c r="FQ216" s="72" t="str">
        <f>IF(ISERROR(FP216/FN216),"NA",IF(OR(FP216/FN216&gt;2,FP216/FN216&lt;0.5),"NM",FP216/FN216*100-100))</f>
        <v>NA</v>
      </c>
      <c r="FR216" s="75">
        <f>SUM(AY216,BA216,BC216,BE216)</f>
        <v>19</v>
      </c>
      <c r="FS216" s="72" t="str">
        <f>IF(ISERROR(FR216/FP216),"NA",IF(OR(FR216/FP216&gt;2,FR216/FP216&lt;0.5),"NM",FR216/FP216*100-100))</f>
        <v>NM</v>
      </c>
      <c r="FT216" s="75">
        <f>SUM(BG216,BI216,BK216,BM216)</f>
        <v>-107</v>
      </c>
      <c r="FU216" s="72" t="str">
        <f>IF(ISERROR(FT216/FR216),"NA",IF(OR(FT216/FR216&gt;2,FT216/FR216&lt;0.5),"NM",FT216/FR216*100-100))</f>
        <v>NM</v>
      </c>
      <c r="FV216" s="75">
        <f>BO216+BQ216+BS216+BU216</f>
        <v>45</v>
      </c>
      <c r="FW216" s="72" t="str">
        <f>IF(ISERROR(FV216/FT216),"NA",IF(OR(FV216/FT216&gt;2,FV216/FT216&lt;0.5),"NM",FV216/FT216*100-100))</f>
        <v>NM</v>
      </c>
      <c r="FX216" s="75">
        <f>BW216+BY216+CA216+CC216</f>
        <v>0</v>
      </c>
      <c r="FY216" s="72" t="str">
        <f>IF(ISERROR(FX216/FV216),"NA",IF(OR(FX216/FV216&gt;2,FX216/FV216&lt;0.5),"NM",FX216/FV216*100-100))</f>
        <v>NM</v>
      </c>
      <c r="FZ216" s="75">
        <f>CE216+CG216+CI216+CK216</f>
        <v>-15</v>
      </c>
      <c r="GA216" s="72" t="str">
        <f>IF(ISERROR(FZ216/FX216),"NA",IF(OR(FZ216/FX216&gt;2,FZ216/FX216&lt;0.5),"NM",FZ216/FX216*100-100))</f>
        <v>NA</v>
      </c>
      <c r="GB216" s="75">
        <f>CM216+CO216+CQ216+CS216</f>
        <v>-24</v>
      </c>
      <c r="GC216" s="72">
        <f>IF(ISERROR(GB216/FZ216),"NA",IF(OR(GB216/FZ216&gt;2,GB216/FZ216&lt;0.5),"NM",GB216/FZ216*100-100))</f>
        <v>60</v>
      </c>
      <c r="GD216" s="75">
        <f>CU216+CW216+CY216+DA216</f>
        <v>11</v>
      </c>
      <c r="GE216" s="72" t="str">
        <f>IF(ISERROR(GD216/GB216),"NA",IF(OR(GD216/GB216&gt;2,GD216/GB216&lt;0.5),"NM",GD216/GB216*100-100))</f>
        <v>NM</v>
      </c>
      <c r="GF216" s="75">
        <f>DC216+DE216+DG216+DI216</f>
        <v>43</v>
      </c>
      <c r="GG216" s="72" t="str">
        <f>IF(ISERROR(GF216/GD216),"NA",IF(OR(GF216/GD216&gt;2,GF216/GD216&lt;0.5),"NM",GF216/GD216*100-100))</f>
        <v>NM</v>
      </c>
      <c r="GH216" s="75">
        <f>DK216+DM216+DO216+DQ216</f>
        <v>2</v>
      </c>
      <c r="GI216" s="72" t="str">
        <f t="shared" ref="GI216:GU218" si="1282">IF(ISERROR(GH216/GF216),"NA",IF(OR(GH216/GF216&gt;2,GH216/GF216&lt;0.5),"NM",GH216/GF216*100-100))</f>
        <v>NM</v>
      </c>
      <c r="GJ216" s="75">
        <f>DS216+DU216+DW216+DY216</f>
        <v>20</v>
      </c>
      <c r="GK216" s="72" t="str">
        <f t="shared" si="1282"/>
        <v>NM</v>
      </c>
      <c r="GL216" s="75">
        <f>EA216+EC216+EE216+EG216</f>
        <v>-8</v>
      </c>
      <c r="GM216" s="72" t="str">
        <f t="shared" si="1282"/>
        <v>NM</v>
      </c>
      <c r="GN216" s="75">
        <f>EI216+EK216+EM216+EO216</f>
        <v>-20</v>
      </c>
      <c r="GO216" s="72" t="str">
        <f t="shared" si="1282"/>
        <v>NM</v>
      </c>
      <c r="GP216" s="75">
        <f>EQ216+ES216+EU216+EW216</f>
        <v>0</v>
      </c>
      <c r="GQ216" s="72" t="str">
        <f t="shared" si="1282"/>
        <v>NM</v>
      </c>
      <c r="GR216" s="74">
        <v>0</v>
      </c>
      <c r="GS216" s="72" t="str">
        <f t="shared" si="1282"/>
        <v>NA</v>
      </c>
      <c r="GT216" s="74">
        <v>0</v>
      </c>
      <c r="GU216" s="72" t="str">
        <f t="shared" si="1282"/>
        <v>NA</v>
      </c>
      <c r="GV216" s="74">
        <v>0</v>
      </c>
      <c r="GW216" s="72" t="str">
        <f>IF(ISERROR(GV216/GT216),"NA",IF(OR(GV216/GT216&gt;2,GV216/GT216&lt;0.5),"NM",GV216/GT216*100-100))</f>
        <v>NA</v>
      </c>
      <c r="GX216" s="74">
        <v>0</v>
      </c>
      <c r="GY216" s="72" t="str">
        <f>IF(ISERROR(GX216/GV216),"NA",IF(OR(GX216/GV216&gt;2,GX216/GV216&lt;0.5),"NM",GX216/GV216*100-100))</f>
        <v>NA</v>
      </c>
      <c r="GZ216" s="72" t="str">
        <f>IF(ISERROR(((GX216/GN216)^0.2-1)*100),"NA",IF((((GX216/GN216)^0.2-1)*100)&gt;100,"NM",IF((((GX216/GN216)^0.2-1)*100)&lt;-50,"NM",((GX216/GN216)^0.2-1)*100)))</f>
        <v>NM</v>
      </c>
      <c r="HA216" s="72"/>
      <c r="HB216" s="72"/>
      <c r="HC216"/>
      <c r="HD216"/>
      <c r="HE216"/>
      <c r="HF216"/>
      <c r="HG216"/>
      <c r="HH216"/>
      <c r="HI216" s="2"/>
    </row>
    <row r="217" spans="1:217" s="78" customFormat="1" ht="12.75" customHeight="1" x14ac:dyDescent="0.2">
      <c r="B217" s="70" t="s">
        <v>539</v>
      </c>
      <c r="C217" s="91"/>
      <c r="D217" s="80"/>
      <c r="E217" s="91"/>
      <c r="F217" s="80"/>
      <c r="G217" s="91"/>
      <c r="H217" s="80"/>
      <c r="I217" s="91"/>
      <c r="J217" s="80"/>
      <c r="K217" s="91">
        <f>K213-K216</f>
        <v>62</v>
      </c>
      <c r="L217" s="72" t="str">
        <f>IF(ISERROR(K217/C217),"NA",IF(OR(K217/C217&gt;2,K217/C217&lt;0.5),"NM",K217/C217*100-100))</f>
        <v>NA</v>
      </c>
      <c r="M217" s="91">
        <f>M213-M216</f>
        <v>47</v>
      </c>
      <c r="N217" s="72" t="str">
        <f>IF(ISERROR(M217/E217),"NA",IF(OR(M217/E217&gt;2,M217/E217&lt;0.5),"NM",M217/E217*100-100))</f>
        <v>NA</v>
      </c>
      <c r="O217" s="91">
        <f>O213-O216</f>
        <v>-4</v>
      </c>
      <c r="P217" s="72" t="str">
        <f>IF(ISERROR(O217/G217),"NA",IF(OR(O217/G217&gt;2,O217/G217&lt;0.5),"NM",O217/G217*100-100))</f>
        <v>NA</v>
      </c>
      <c r="Q217" s="91">
        <f>Q213-Q216</f>
        <v>5</v>
      </c>
      <c r="R217" s="72" t="str">
        <f>IF(ISERROR(Q217/I217),"NA",IF(OR(Q217/I217&gt;2,Q217/I217&lt;0.5),"NM",Q217/I217*100-100))</f>
        <v>NA</v>
      </c>
      <c r="S217" s="91">
        <f>S213-S216</f>
        <v>34</v>
      </c>
      <c r="T217" s="72">
        <f>IF(ISERROR(S217/K217),"NA",IF(OR(S217/K217&gt;2,S217/K217&lt;0.5),"NM",S217/K217*100-100))</f>
        <v>-45.161290322580648</v>
      </c>
      <c r="U217" s="91">
        <f>U213-U216</f>
        <v>50</v>
      </c>
      <c r="V217" s="72">
        <f>IF(ISERROR(U217/M217),"NA",IF(OR(U217/M217&gt;2,U217/M217&lt;0.5),"NM",U217/M217*100-100))</f>
        <v>6.3829787234042499</v>
      </c>
      <c r="W217" s="91">
        <f>W213-W216</f>
        <v>24</v>
      </c>
      <c r="X217" s="72" t="str">
        <f>IF(ISERROR(W217/O217),"NA",IF(OR(W217/O217&gt;2,W217/O217&lt;0.5),"NM",W217/O217*100-100))</f>
        <v>NM</v>
      </c>
      <c r="Y217" s="91">
        <f>Y213-Y216</f>
        <v>33</v>
      </c>
      <c r="Z217" s="72" t="str">
        <f>IF(ISERROR(Y217/Q217),"NA",IF(OR(Y217/Q217&gt;2,Y217/Q217&lt;0.5),"NM",Y217/Q217*100-100))</f>
        <v>NM</v>
      </c>
      <c r="AA217" s="91">
        <f>AA213-AA216</f>
        <v>53</v>
      </c>
      <c r="AB217" s="72">
        <f>IF(ISERROR(AA217/S217),"NA",IF(OR(AA217/S217&gt;2,AA217/S217&lt;0.5),"NM",AA217/S217*100-100))</f>
        <v>55.882352941176464</v>
      </c>
      <c r="AC217" s="91">
        <f>AC213-AC216</f>
        <v>45</v>
      </c>
      <c r="AD217" s="72">
        <f>IF(ISERROR(AC217/U217),"NA",IF(OR(AC217/U217&gt;2,AC217/U217&lt;0.5),"NM",AC217/U217*100-100))</f>
        <v>-10</v>
      </c>
      <c r="AE217" s="91">
        <f>AE213-AE216</f>
        <v>39</v>
      </c>
      <c r="AF217" s="72">
        <f>IF(ISERROR(AE217/W217),"NA",IF(OR(AE217/W217&gt;2,AE217/W217&lt;0.5),"NM",AE217/W217*100-100))</f>
        <v>62.5</v>
      </c>
      <c r="AG217" s="91">
        <f>AG213-AG216</f>
        <v>55</v>
      </c>
      <c r="AH217" s="72">
        <f>IF(ISERROR(AG217/Y217),"NA",IF(OR(AG217/Y217&gt;2,AG217/Y217&lt;0.5),"NM",AG217/Y217*100-100))</f>
        <v>66.666666666666686</v>
      </c>
      <c r="AI217" s="91">
        <f>AI213-AI216</f>
        <v>52</v>
      </c>
      <c r="AJ217" s="72">
        <f>IF(ISERROR(AI217/AA217),"NA",IF(OR(AI217/AA217&gt;2,AI217/AA217&lt;0.5),"NM",AI217/AA217*100-100))</f>
        <v>-1.8867924528301927</v>
      </c>
      <c r="AK217" s="91">
        <f>AK213-AK216</f>
        <v>92</v>
      </c>
      <c r="AL217" s="72" t="str">
        <f>IF(ISERROR(AK217/AC217),"NA",IF(OR(AK217/AC217&gt;2,AK217/AC217&lt;0.5),"NM",AK217/AC217*100-100))</f>
        <v>NM</v>
      </c>
      <c r="AM217" s="91">
        <f>AM213-AM216</f>
        <v>94</v>
      </c>
      <c r="AN217" s="72" t="str">
        <f>IF(ISERROR(AM217/AE217),"NA",IF(OR(AM217/AE217&gt;2,AM217/AE217&lt;0.5),"NM",AM217/AE217*100-100))</f>
        <v>NM</v>
      </c>
      <c r="AO217" s="91">
        <f>AO213-AO216</f>
        <v>96</v>
      </c>
      <c r="AP217" s="72">
        <f>IF(ISERROR(AO217/AG217),"NA",IF(OR(AO217/AG217&gt;2,AO217/AG217&lt;0.5),"NM",AO217/AG217*100-100))</f>
        <v>74.545454545454533</v>
      </c>
      <c r="AQ217" s="91">
        <f>AQ213-AQ216</f>
        <v>127</v>
      </c>
      <c r="AR217" s="72" t="str">
        <f>IF(ISERROR(AQ217/AI217),"NA",IF(OR(AQ217/AI217&gt;2,AQ217/AI217&lt;0.5),"NM",AQ217/AI217*100-100))</f>
        <v>NM</v>
      </c>
      <c r="AS217" s="91">
        <f>AS213-AS216</f>
        <v>107</v>
      </c>
      <c r="AT217" s="72">
        <f>IF(ISERROR(AS217/AK217),"NA",IF(OR(AS217/AK217&gt;2,AS217/AK217&lt;0.5),"NM",AS217/AK217*100-100))</f>
        <v>16.304347826086968</v>
      </c>
      <c r="AU217" s="91">
        <f>AU213-AU216</f>
        <v>95</v>
      </c>
      <c r="AV217" s="72">
        <f>IF(ISERROR(AU217/AM217),"NA",IF(OR(AU217/AM217&gt;2,AU217/AM217&lt;0.5),"NM",AU217/AM217*100-100))</f>
        <v>1.0638297872340559</v>
      </c>
      <c r="AW217" s="91">
        <f>AW213-AW216</f>
        <v>82</v>
      </c>
      <c r="AX217" s="72">
        <f>IF(ISERROR(AW217/AO217),"NA",IF(OR(AW217/AO217&gt;2,AW217/AO217&lt;0.5),"NM",AW217/AO217*100-100))</f>
        <v>-14.583333333333343</v>
      </c>
      <c r="AY217" s="91">
        <f>AY213-AY216</f>
        <v>137</v>
      </c>
      <c r="AZ217" s="72">
        <f>IF(ISERROR(AY217/AQ217),"NA",IF(OR(AY217/AQ217&gt;2,AY217/AQ217&lt;0.5),"NM",AY217/AQ217*100-100))</f>
        <v>7.8740157480315105</v>
      </c>
      <c r="BA217" s="91">
        <f>BA213-BA216</f>
        <v>124</v>
      </c>
      <c r="BB217" s="72">
        <f>IF(ISERROR(BA217/AS217),"NA",IF(OR(BA217/AS217&gt;2,BA217/AS217&lt;0.5),"NM",BA217/AS217*100-100))</f>
        <v>15.887850467289709</v>
      </c>
      <c r="BC217" s="91">
        <f>BC213-BC216</f>
        <v>109</v>
      </c>
      <c r="BD217" s="72">
        <f>IF(ISERROR(BC217/AU217),"NA",IF(OR(BC217/AU217&gt;2,BC217/AU217&lt;0.5),"NM",BC217/AU217*100-100))</f>
        <v>14.736842105263165</v>
      </c>
      <c r="BE217" s="91">
        <f>BE213-BE216</f>
        <v>121</v>
      </c>
      <c r="BF217" s="72">
        <f>IF(ISERROR(BE217/AW217),"NA",IF(OR(BE217/AW217&gt;2,BE217/AW217&lt;0.5),"NM",BE217/AW217*100-100))</f>
        <v>47.560975609756099</v>
      </c>
      <c r="BG217" s="91">
        <f>BG213-BG216</f>
        <v>148</v>
      </c>
      <c r="BH217" s="72">
        <f>IF(ISERROR(BG217/AY217),"NA",IF(OR(BG217/AY217&gt;2,BG217/AY217&lt;0.5),"NM",BG217/AY217*100-100))</f>
        <v>8.029197080291965</v>
      </c>
      <c r="BI217" s="91">
        <f>BI213-BI216</f>
        <v>138</v>
      </c>
      <c r="BJ217" s="72">
        <f>IF(ISERROR(BI217/BA217),"NA",IF(OR(BI217/BA217&gt;2,BI217/BA217&lt;0.5),"NM",BI217/BA217*100-100))</f>
        <v>11.290322580645153</v>
      </c>
      <c r="BK217" s="91">
        <f>BK213-BK216</f>
        <v>158</v>
      </c>
      <c r="BL217" s="72">
        <f>IF(ISERROR(BK217/BC217),"NA",IF(OR(BK217/BC217&gt;2,BK217/BC217&lt;0.5),"NM",BK217/BC217*100-100))</f>
        <v>44.954128440366958</v>
      </c>
      <c r="BM217" s="91">
        <f>BM213-BM216</f>
        <v>145</v>
      </c>
      <c r="BN217" s="72">
        <f>IF(ISERROR(BM217/BE217),"NA",IF(OR(BM217/BE217&gt;2,BM217/BE217&lt;0.5),"NM",BM217/BE217*100-100))</f>
        <v>19.834710743801651</v>
      </c>
      <c r="BO217" s="91">
        <f>BO213-BO216</f>
        <v>124</v>
      </c>
      <c r="BP217" s="72">
        <f>IF(ISERROR(BO217/BG217),"NA",IF(OR(BO217/BG217&gt;2,BO217/BG217&lt;0.5),"NM",BO217/BG217*100-100))</f>
        <v>-16.21621621621621</v>
      </c>
      <c r="BQ217" s="91">
        <f>BQ213-BQ216</f>
        <v>141</v>
      </c>
      <c r="BR217" s="72">
        <f>IF(ISERROR(BQ217/BI217),"NA",IF(OR(BQ217/BI217&gt;2,BQ217/BI217&lt;0.5),"NM",BQ217/BI217*100-100))</f>
        <v>2.1739130434782652</v>
      </c>
      <c r="BS217" s="91">
        <f>BS213-BS216</f>
        <v>121</v>
      </c>
      <c r="BT217" s="72">
        <f>IF(ISERROR(BS217/BK217),"NA",IF(OR(BS217/BK217&gt;2,BS217/BK217&lt;0.5),"NM",BS217/BK217*100-100))</f>
        <v>-23.417721518987349</v>
      </c>
      <c r="BU217" s="91">
        <f>BU213-BU216</f>
        <v>100</v>
      </c>
      <c r="BV217" s="72">
        <f>IF(ISERROR(BU217/BM217),"NA",IF(OR(BU217/BM217&gt;2,BU217/BM217&lt;0.5),"NM",BU217/BM217*100-100))</f>
        <v>-31.034482758620683</v>
      </c>
      <c r="BW217" s="91">
        <f>BW213-BW216</f>
        <v>140</v>
      </c>
      <c r="BX217" s="72">
        <f>IF(ISERROR(BW217/BO217),"NA",IF(OR(BW217/BO217&gt;2,BW217/BO217&lt;0.5),"NM",BW217/BO217*100-100))</f>
        <v>12.90322580645163</v>
      </c>
      <c r="BY217" s="91">
        <f>BY213-BY216</f>
        <v>105</v>
      </c>
      <c r="BZ217" s="72">
        <f>IF(ISERROR(BY217/BQ217),"NA",IF(OR(BY217/BQ217&gt;2,BY217/BQ217&lt;0.5),"NM",BY217/BQ217*100-100))</f>
        <v>-25.531914893617028</v>
      </c>
      <c r="CA217" s="91">
        <f>CA213-CA216</f>
        <v>117</v>
      </c>
      <c r="CB217" s="72">
        <f>IF(ISERROR(CA217/BS217),"NA",IF(OR(CA217/BS217&gt;2,CA217/BS217&lt;0.5),"NM",CA217/BS217*100-100))</f>
        <v>-3.3057851239669418</v>
      </c>
      <c r="CC217" s="91">
        <f>CC213-CC216</f>
        <v>132</v>
      </c>
      <c r="CD217" s="72">
        <f>IF(ISERROR(CC217/BU217),"NA",IF(OR(CC217/BU217&gt;2,CC217/BU217&lt;0.5),"NM",CC217/BU217*100-100))</f>
        <v>32</v>
      </c>
      <c r="CE217" s="91">
        <f>CE213-CE216</f>
        <v>167</v>
      </c>
      <c r="CF217" s="72">
        <f>IF(ISERROR(CE217/BW217),"NA",IF(OR(CE217/BW217&gt;2,CE217/BW217&lt;0.5),"NM",CE217/BW217*100-100))</f>
        <v>19.285714285714278</v>
      </c>
      <c r="CG217" s="91">
        <f>CG213-CG216</f>
        <v>134</v>
      </c>
      <c r="CH217" s="72">
        <f>IF(ISERROR(CG217/BY217),"NA",IF(OR(CG217/BY217&gt;2,CG217/BY217&lt;0.5),"NM",CG217/BY217*100-100))</f>
        <v>27.619047619047606</v>
      </c>
      <c r="CI217" s="91">
        <f>CI213-CI216</f>
        <v>133</v>
      </c>
      <c r="CJ217" s="72">
        <f>IF(ISERROR(CI217/CA217),"NA",IF(OR(CI217/CA217&gt;2,CI217/CA217&lt;0.5),"NM",CI217/CA217*100-100))</f>
        <v>13.675213675213669</v>
      </c>
      <c r="CK217" s="91">
        <f>CK213-CK216</f>
        <v>146</v>
      </c>
      <c r="CL217" s="72">
        <f>IF(ISERROR(CK217/CC217),"NA",IF(OR(CK217/CC217&gt;2,CK217/CC217&lt;0.5),"NM",CK217/CC217*100-100))</f>
        <v>10.606060606060595</v>
      </c>
      <c r="CM217" s="91">
        <f>CM213-CM216</f>
        <v>172</v>
      </c>
      <c r="CN217" s="72">
        <f>IF(ISERROR(CM217/CE217),"NA",IF(OR(CM217/CE217&gt;2,CM217/CE217&lt;0.5),"NM",CM217/CE217*100-100))</f>
        <v>2.9940119760479007</v>
      </c>
      <c r="CO217" s="91">
        <f>CO213-CO216</f>
        <v>171</v>
      </c>
      <c r="CP217" s="72">
        <f>IF(ISERROR(CO217/CG217),"NA",IF(OR(CO217/CG217&gt;2,CO217/CG217&lt;0.5),"NM",CO217/CG217*100-100))</f>
        <v>27.611940298507463</v>
      </c>
      <c r="CQ217" s="91">
        <f>CQ213-CQ216</f>
        <v>135</v>
      </c>
      <c r="CR217" s="72">
        <f>IF(ISERROR(CQ217/CI217),"NA",IF(OR(CQ217/CI217&gt;2,CQ217/CI217&lt;0.5),"NM",CQ217/CI217*100-100))</f>
        <v>1.5037593984962569</v>
      </c>
      <c r="CS217" s="91">
        <f>CS213-CS216</f>
        <v>140</v>
      </c>
      <c r="CT217" s="72">
        <f>IF(ISERROR(CS217/CK217),"NA",IF(OR(CS217/CK217&gt;2,CS217/CK217&lt;0.5),"NM",CS217/CK217*100-100))</f>
        <v>-4.1095890410959015</v>
      </c>
      <c r="CU217" s="91">
        <f>CU213-CU216</f>
        <v>156</v>
      </c>
      <c r="CV217" s="72">
        <f>IF(ISERROR(CU217/CM217),"NA",IF(OR(CU217/CM217&gt;2,CU217/CM217&lt;0.5),"NM",CU217/CM217*100-100))</f>
        <v>-9.3023255813953512</v>
      </c>
      <c r="CW217" s="91">
        <f>CW213-CW216</f>
        <v>156</v>
      </c>
      <c r="CX217" s="72">
        <f>IF(ISERROR(CW217/CO217),"NA",IF(OR(CW217/CO217&gt;2,CW217/CO217&lt;0.5),"NM",CW217/CO217*100-100))</f>
        <v>-8.7719298245614112</v>
      </c>
      <c r="CY217" s="91">
        <f>CY213-CY216</f>
        <v>152</v>
      </c>
      <c r="CZ217" s="72">
        <f>IF(ISERROR(CY217/CQ217),"NA",IF(OR(CY217/CQ217&gt;2,CY217/CQ217&lt;0.5),"NM",CY217/CQ217*100-100))</f>
        <v>12.592592592592595</v>
      </c>
      <c r="DA217" s="91">
        <f>DA213-DA216</f>
        <v>163</v>
      </c>
      <c r="DB217" s="72">
        <f>IF(ISERROR(DA217/CS217),"NA",IF(OR(DA217/CS217&gt;2,DA217/CS217&lt;0.5),"NM",DA217/CS217*100-100))</f>
        <v>16.428571428571431</v>
      </c>
      <c r="DC217" s="91">
        <f>DC213-DC216</f>
        <v>228</v>
      </c>
      <c r="DD217" s="72">
        <f>IF(ISERROR(DC217/CU217),"NA",IF(OR(DC217/CU217&gt;2,DC217/CU217&lt;0.5),"NM",DC217/CU217*100-100))</f>
        <v>46.153846153846132</v>
      </c>
      <c r="DE217" s="91">
        <f>DE213-DE216</f>
        <v>232</v>
      </c>
      <c r="DF217" s="72">
        <f>IF(ISERROR(DE217/CW217),"NA",IF(OR(DE217/CW217&gt;2,DE217/CW217&lt;0.5),"NM",DE217/CW217*100-100))</f>
        <v>48.71794871794873</v>
      </c>
      <c r="DG217" s="91">
        <f>DG213-DG216</f>
        <v>241</v>
      </c>
      <c r="DH217" s="72">
        <f>IF(ISERROR(DG217/CY217),"NA",IF(OR(DG217/CY217&gt;2,DG217/CY217&lt;0.5),"NM",DG217/CY217*100-100))</f>
        <v>58.55263157894737</v>
      </c>
      <c r="DI217" s="91">
        <f>DI213-DI216</f>
        <v>295</v>
      </c>
      <c r="DJ217" s="72">
        <f>IF(ISERROR(DI217/DA217),"NA",IF(OR(DI217/DA217&gt;2,DI217/DA217&lt;0.5),"NM",DI217/DA217*100-100))</f>
        <v>80.981595092024548</v>
      </c>
      <c r="DK217" s="91">
        <f>DK213-DK216</f>
        <v>364</v>
      </c>
      <c r="DL217" s="72">
        <f>IF(ISERROR(DK217/DC217),"NA",IF(OR(DK217/DC217&gt;2,DK217/DC217&lt;0.5),"NM",DK217/DC217*100-100))</f>
        <v>59.649122807017562</v>
      </c>
      <c r="DM217" s="91">
        <f>DM213-DM216</f>
        <v>286</v>
      </c>
      <c r="DN217" s="72">
        <f t="shared" si="1277"/>
        <v>23.275862068965523</v>
      </c>
      <c r="DO217" s="91">
        <f>DO213-DO216</f>
        <v>269</v>
      </c>
      <c r="DP217" s="72">
        <f t="shared" si="1277"/>
        <v>11.61825726141079</v>
      </c>
      <c r="DQ217" s="91">
        <f>DQ213-DQ216</f>
        <v>294</v>
      </c>
      <c r="DR217" s="72">
        <f t="shared" si="1277"/>
        <v>-0.33898305084744607</v>
      </c>
      <c r="DS217" s="91">
        <f>DS213-DS216</f>
        <v>284</v>
      </c>
      <c r="DT217" s="72">
        <f t="shared" si="1277"/>
        <v>-21.978021978021971</v>
      </c>
      <c r="DU217" s="91">
        <f>DU213-DU216</f>
        <v>237</v>
      </c>
      <c r="DV217" s="72">
        <f t="shared" si="1277"/>
        <v>-17.132867132867133</v>
      </c>
      <c r="DW217" s="91">
        <f>DW213-DW216</f>
        <v>222</v>
      </c>
      <c r="DX217" s="72">
        <f t="shared" si="1277"/>
        <v>-17.472118959107803</v>
      </c>
      <c r="DY217" s="91">
        <f>DY213-DY216</f>
        <v>168</v>
      </c>
      <c r="DZ217" s="72">
        <f t="shared" si="1277"/>
        <v>-42.857142857142861</v>
      </c>
      <c r="EA217" s="91">
        <f>EA213-EA216</f>
        <v>219</v>
      </c>
      <c r="EB217" s="72">
        <f>IF(ISERROR(EA217/DS217),"NA",IF(OR(EA217/DS217&gt;2,EA217/DS217&lt;0.5),"NM",EA217/DS217*100-100))</f>
        <v>-22.887323943661968</v>
      </c>
      <c r="EC217" s="91">
        <f>EC213-EC216</f>
        <v>230</v>
      </c>
      <c r="ED217" s="72">
        <f>IF(ISERROR(EC217/DU217),"NA",IF(OR(EC217/DU217&gt;2,EC217/DU217&lt;0.5),"NM",EC217/DU217*100-100))</f>
        <v>-2.9535864978902993</v>
      </c>
      <c r="EE217" s="91">
        <f>EE213-EE216</f>
        <v>273</v>
      </c>
      <c r="EF217" s="72">
        <f>IF(ISERROR(EE217/DW217),"NA",IF(OR(EE217/DW217&gt;2,EE217/DW217&lt;0.5),"NM",EE217/DW217*100-100))</f>
        <v>22.972972972972983</v>
      </c>
      <c r="EG217" s="91">
        <f>EG213-EG216</f>
        <v>298</v>
      </c>
      <c r="EH217" s="72">
        <f>IF(ISERROR(EG217/DY217),"NA",IF(OR(EG217/DY217&gt;2,EG217/DY217&lt;0.5),"NM",EG217/DY217*100-100))</f>
        <v>77.38095238095238</v>
      </c>
      <c r="EI217" s="91">
        <f>EI213-EI216</f>
        <v>397</v>
      </c>
      <c r="EJ217" s="72">
        <f>IF(ISERROR(EI217/EA217),"NA",IF(OR(EI217/EA217&gt;2,EI217/EA217&lt;0.5),"NM",EI217/EA217*100-100))</f>
        <v>81.278538812785399</v>
      </c>
      <c r="EK217" s="91">
        <f>EK213-EK216</f>
        <v>328</v>
      </c>
      <c r="EL217" s="72">
        <f>IF(ISERROR(EK217/EC217),"NA",IF(OR(EK217/EC217&gt;2,EK217/EC217&lt;0.5),"NM",EK217/EC217*100-100))</f>
        <v>42.608695652173907</v>
      </c>
      <c r="EM217" s="91">
        <f>EM213-EM216</f>
        <v>248</v>
      </c>
      <c r="EN217" s="72">
        <f>IF(ISERROR(EM217/EE217),"NA",IF(OR(EM217/EE217&gt;2,EM217/EE217&lt;0.5),"NM",EM217/EE217*100-100))</f>
        <v>-9.1575091575091534</v>
      </c>
      <c r="EO217" s="91">
        <f>EO213-EO216</f>
        <v>291</v>
      </c>
      <c r="EP217" s="72">
        <f>IF(ISERROR(EO217/EG217),"NA",IF(OR(EO217/EG217&gt;2,EO217/EG217&lt;0.5),"NM",EO217/EG217*100-100))</f>
        <v>-2.3489932885906057</v>
      </c>
      <c r="EQ217" s="91">
        <f t="shared" ref="EQ217" si="1283">EQ213-EQ216</f>
        <v>307.55725752286753</v>
      </c>
      <c r="ER217" s="72">
        <f t="shared" si="1278"/>
        <v>-22.529658054693314</v>
      </c>
      <c r="ES217" s="91">
        <f t="shared" ref="ES217" si="1284">ES213-ES216</f>
        <v>285.4264931648413</v>
      </c>
      <c r="ET217" s="72">
        <f t="shared" si="1279"/>
        <v>-12.979727693645941</v>
      </c>
      <c r="EU217" s="91">
        <f t="shared" ref="EU217" si="1285">EU213-EU216</f>
        <v>264.82675395724391</v>
      </c>
      <c r="EV217" s="72">
        <f t="shared" si="1280"/>
        <v>6.7849814343725399</v>
      </c>
      <c r="EW217" s="91">
        <f t="shared" ref="EW217" si="1286">EW213-EW216</f>
        <v>252.00711319519451</v>
      </c>
      <c r="EX217" s="72">
        <f t="shared" si="1281"/>
        <v>-13.399617458696042</v>
      </c>
      <c r="EY217" s="72"/>
      <c r="EZ217" s="314"/>
      <c r="FA217" s="72"/>
      <c r="FB217" s="91"/>
      <c r="FC217" s="80"/>
      <c r="FD217" s="91">
        <f>FD213-FD216</f>
        <v>215</v>
      </c>
      <c r="FE217" s="72" t="str">
        <f>IF(ISERROR(FD217/FB217),"NA",IF(OR(FD217/FB217&gt;2,FD217/FB217&lt;0.5),"NM",FD217/FB217*100-100))</f>
        <v>NA</v>
      </c>
      <c r="FF217" s="91">
        <f>FF213-FF216</f>
        <v>194</v>
      </c>
      <c r="FG217" s="72">
        <f>IF(ISERROR(FF217/FD217),"NA",IF(OR(FF217/FD217&gt;2,FF217/FD217&lt;0.5),"NM",FF217/FD217*100-100))</f>
        <v>-9.7674418604651265</v>
      </c>
      <c r="FH217" s="91">
        <f>FH213-FH216</f>
        <v>108</v>
      </c>
      <c r="FI217" s="72">
        <f>IF(ISERROR(FH217/FF217),"NA",IF(OR(FH217/FF217&gt;2,FH217/FF217&lt;0.5),"NM",FH217/FF217*100-100))</f>
        <v>-44.329896907216494</v>
      </c>
      <c r="FJ217" s="91">
        <f>FJ213-FJ216</f>
        <v>149</v>
      </c>
      <c r="FK217" s="72">
        <f>IF(ISERROR(FJ217/FH217),"NA",IF(OR(FJ217/FH217&gt;2,FJ217/FH217&lt;0.5),"NM",FJ217/FH217*100-100))</f>
        <v>37.962962962962962</v>
      </c>
      <c r="FL217" s="91">
        <f>FL213-FL216</f>
        <v>192</v>
      </c>
      <c r="FM217" s="72">
        <f>IF(ISERROR(FL217/FJ217),"NA",IF(OR(FL217/FJ217&gt;2,FL217/FJ217&lt;0.5),"NM",FL217/FJ217*100-100))</f>
        <v>28.859060402684548</v>
      </c>
      <c r="FN217" s="75">
        <f>AI217+AK217+AM217+AO217</f>
        <v>334</v>
      </c>
      <c r="FO217" s="72">
        <f>IF(ISERROR(FN217/FF217),"NA",IF(OR(FN217/FF217&gt;2,FN217/FF217&lt;0.5),"NM",FN217/FF217*100-100))</f>
        <v>72.164948453608247</v>
      </c>
      <c r="FP217" s="75">
        <f>AQ217+AS217+AU217+AW217</f>
        <v>411</v>
      </c>
      <c r="FQ217" s="72">
        <f>IF(ISERROR(FP217/FN217),"NA",IF(OR(FP217/FN217&gt;2,FP217/FN217&lt;0.5),"NM",FP217/FN217*100-100))</f>
        <v>23.053892215568865</v>
      </c>
      <c r="FR217" s="91">
        <f>FR213-FR216</f>
        <v>491</v>
      </c>
      <c r="FS217" s="72">
        <f>IF(ISERROR(FR217/FP217),"NA",IF(OR(FR217/FP217&gt;2,FR217/FP217&lt;0.5),"NM",FR217/FP217*100-100))</f>
        <v>19.464720194647199</v>
      </c>
      <c r="FT217" s="91">
        <f>FT213-FT216</f>
        <v>589</v>
      </c>
      <c r="FU217" s="72">
        <f>IF(ISERROR(FT217/FR217),"NA",IF(OR(FT217/FR217&gt;2,FT217/FR217&lt;0.5),"NM",FT217/FR217*100-100))</f>
        <v>19.959266802443992</v>
      </c>
      <c r="FV217" s="91">
        <f>FV213-FV216</f>
        <v>490</v>
      </c>
      <c r="FW217" s="72">
        <f>IF(ISERROR(FV217/FT217),"NA",IF(OR(FV217/FT217&gt;2,FV217/FT217&lt;0.5),"NM",FV217/FT217*100-100))</f>
        <v>-16.808149405772497</v>
      </c>
      <c r="FX217" s="91">
        <f>FX213-FX216</f>
        <v>491</v>
      </c>
      <c r="FY217" s="72">
        <f>IF(ISERROR(FX217/FV217),"NA",IF(OR(FX217/FV217&gt;2,FX217/FV217&lt;0.5),"NM",FX217/FV217*100-100))</f>
        <v>0.20408163265305745</v>
      </c>
      <c r="FZ217" s="91">
        <f>FZ213-FZ216</f>
        <v>580</v>
      </c>
      <c r="GA217" s="72">
        <f>IF(ISERROR(FZ217/FX217),"NA",IF(OR(FZ217/FX217&gt;2,FZ217/FX217&lt;0.5),"NM",FZ217/FX217*100-100))</f>
        <v>18.12627291242363</v>
      </c>
      <c r="GB217" s="91">
        <f>GB213-GB216</f>
        <v>618</v>
      </c>
      <c r="GC217" s="72">
        <f>IF(ISERROR(GB217/FZ217),"NA",IF(OR(GB217/FZ217&gt;2,GB217/FZ217&lt;0.5),"NM",GB217/FZ217*100-100))</f>
        <v>6.551724137931032</v>
      </c>
      <c r="GD217" s="91">
        <f>GD213-GD216</f>
        <v>627</v>
      </c>
      <c r="GE217" s="72">
        <f>IF(ISERROR(GD217/GB217),"NA",IF(OR(GD217/GB217&gt;2,GD217/GB217&lt;0.5),"NM",GD217/GB217*100-100))</f>
        <v>1.4563106796116472</v>
      </c>
      <c r="GF217" s="91">
        <f>GF213-GF216</f>
        <v>996</v>
      </c>
      <c r="GG217" s="72">
        <f>IF(ISERROR(GF217/GD217),"NA",IF(OR(GF217/GD217&gt;2,GF217/GD217&lt;0.5),"NM",GF217/GD217*100-100))</f>
        <v>58.851674641148321</v>
      </c>
      <c r="GH217" s="91">
        <f>GH213-GH216</f>
        <v>1213</v>
      </c>
      <c r="GI217" s="72">
        <f t="shared" si="1282"/>
        <v>21.787148594377513</v>
      </c>
      <c r="GJ217" s="91">
        <f>GJ213-GJ216</f>
        <v>911</v>
      </c>
      <c r="GK217" s="72">
        <f t="shared" si="1282"/>
        <v>-24.8969497114592</v>
      </c>
      <c r="GL217" s="91">
        <f>GL213-GL216</f>
        <v>1020</v>
      </c>
      <c r="GM217" s="72">
        <f t="shared" si="1282"/>
        <v>11.964873765093301</v>
      </c>
      <c r="GN217" s="91">
        <f>GN213-GN216</f>
        <v>1264</v>
      </c>
      <c r="GO217" s="72">
        <f t="shared" si="1282"/>
        <v>23.921568627450981</v>
      </c>
      <c r="GP217" s="91">
        <f>GP213-GP216</f>
        <v>1109.8176178401463</v>
      </c>
      <c r="GQ217" s="72">
        <f t="shared" si="1282"/>
        <v>-12.197973272140317</v>
      </c>
      <c r="GR217" s="91">
        <f>GR213-GR216</f>
        <v>1138.8525066855709</v>
      </c>
      <c r="GS217" s="72">
        <f t="shared" si="1282"/>
        <v>2.6161856127253031</v>
      </c>
      <c r="GT217" s="91">
        <f>GT213-GT216</f>
        <v>1162.3174196138971</v>
      </c>
      <c r="GU217" s="72">
        <f t="shared" si="1282"/>
        <v>2.0603996382829735</v>
      </c>
      <c r="GV217" s="91">
        <f>GV213-GV216</f>
        <v>1186.1877959747781</v>
      </c>
      <c r="GW217" s="72">
        <f>IF(ISERROR(GV217/GT217),"NA",IF(OR(GV217/GT217&gt;2,GV217/GT217&lt;0.5),"NM",GV217/GT217*100-100))</f>
        <v>2.0536882574478028</v>
      </c>
      <c r="GX217" s="91">
        <f>GX213-GX216</f>
        <v>1210.4694135748559</v>
      </c>
      <c r="GY217" s="72">
        <f>IF(ISERROR(GX217/GV217),"NA",IF(OR(GX217/GV217&gt;2,GX217/GV217&lt;0.5),"NM",GX217/GV217*100-100))</f>
        <v>2.0470297943104185</v>
      </c>
      <c r="GZ217" s="72">
        <f>IF(ISERROR(((GX217/GN217)^0.2-1)*100),"NA",IF((((GX217/GN217)^0.2-1)*100)&gt;100,"NM",IF((((GX217/GN217)^0.2-1)*100)&lt;-50,"NM",((GX217/GN217)^0.2-1)*100)))</f>
        <v>-0.86172698919942947</v>
      </c>
      <c r="HA217" s="72"/>
      <c r="HB217" s="72"/>
      <c r="HC217"/>
      <c r="HD217"/>
      <c r="HE217"/>
      <c r="HF217"/>
      <c r="HG217"/>
      <c r="HH217"/>
      <c r="HI217" s="2"/>
    </row>
    <row r="218" spans="1:217" s="3" customFormat="1" ht="12.75" customHeight="1" x14ac:dyDescent="0.2">
      <c r="B218" s="77" t="s">
        <v>418</v>
      </c>
      <c r="C218" s="75"/>
      <c r="D218" s="72"/>
      <c r="E218" s="75"/>
      <c r="F218" s="72"/>
      <c r="G218" s="75"/>
      <c r="H218" s="72"/>
      <c r="I218" s="75"/>
      <c r="J218" s="72"/>
      <c r="K218" s="75"/>
      <c r="L218" s="72"/>
      <c r="M218" s="75"/>
      <c r="N218" s="72"/>
      <c r="O218" s="75"/>
      <c r="P218" s="72"/>
      <c r="Q218" s="75"/>
      <c r="R218" s="72"/>
      <c r="S218" s="75"/>
      <c r="T218" s="72"/>
      <c r="U218" s="75"/>
      <c r="V218" s="72"/>
      <c r="W218" s="75"/>
      <c r="X218" s="72"/>
      <c r="Y218" s="75"/>
      <c r="Z218" s="72"/>
      <c r="AA218" s="75"/>
      <c r="AB218" s="72"/>
      <c r="AC218" s="75"/>
      <c r="AD218" s="72"/>
      <c r="AE218" s="75"/>
      <c r="AF218" s="72"/>
      <c r="AG218" s="75"/>
      <c r="AH218" s="72"/>
      <c r="AI218" s="75"/>
      <c r="AJ218" s="72"/>
      <c r="AK218" s="75"/>
      <c r="AL218" s="72"/>
      <c r="AM218" s="75"/>
      <c r="AN218" s="72"/>
      <c r="AO218" s="75"/>
      <c r="AP218" s="72"/>
      <c r="AQ218" s="75"/>
      <c r="AR218" s="72"/>
      <c r="AS218" s="75"/>
      <c r="AT218" s="72"/>
      <c r="AU218" s="75"/>
      <c r="AV218" s="72"/>
      <c r="AW218" s="75"/>
      <c r="AX218" s="72"/>
      <c r="AY218" s="75"/>
      <c r="AZ218" s="72"/>
      <c r="BA218" s="75"/>
      <c r="BB218" s="72"/>
      <c r="BC218" s="75"/>
      <c r="BD218" s="72"/>
      <c r="BE218" s="75"/>
      <c r="BF218" s="72"/>
      <c r="BG218" s="75"/>
      <c r="BH218" s="72"/>
      <c r="BI218" s="75"/>
      <c r="BJ218" s="72"/>
      <c r="BK218" s="75"/>
      <c r="BL218" s="72"/>
      <c r="BM218" s="75"/>
      <c r="BN218" s="72"/>
      <c r="BO218" s="75"/>
      <c r="BP218" s="72"/>
      <c r="BQ218" s="75"/>
      <c r="BR218" s="72"/>
      <c r="BS218" s="75"/>
      <c r="BT218" s="72"/>
      <c r="BU218" s="75"/>
      <c r="BV218" s="72"/>
      <c r="BW218" s="75"/>
      <c r="BX218" s="72"/>
      <c r="BY218" s="75"/>
      <c r="BZ218" s="72"/>
      <c r="CA218" s="75"/>
      <c r="CB218" s="72"/>
      <c r="CC218" s="75"/>
      <c r="CD218" s="72"/>
      <c r="CE218" s="75"/>
      <c r="CF218" s="72"/>
      <c r="CG218" s="75"/>
      <c r="CH218" s="72"/>
      <c r="CI218" s="75"/>
      <c r="CJ218" s="72"/>
      <c r="CK218" s="75"/>
      <c r="CL218" s="72"/>
      <c r="CM218" s="81">
        <f>CM217/CM191*100</f>
        <v>14.262023217247096</v>
      </c>
      <c r="CN218" s="72"/>
      <c r="CO218" s="81">
        <f>CO217/CO191*100</f>
        <v>13.701923076923078</v>
      </c>
      <c r="CP218" s="72"/>
      <c r="CQ218" s="81">
        <f>CQ217/CQ191*100</f>
        <v>11.528608027327071</v>
      </c>
      <c r="CR218" s="72"/>
      <c r="CS218" s="81">
        <f>CS217/CS191*100</f>
        <v>11.235955056179774</v>
      </c>
      <c r="CT218" s="72"/>
      <c r="CU218" s="81">
        <f>CU217/CU191*100</f>
        <v>14.092140921409213</v>
      </c>
      <c r="CV218" s="72"/>
      <c r="CW218" s="81">
        <f>CW217/CW191*100</f>
        <v>12.560386473429952</v>
      </c>
      <c r="CX218" s="72"/>
      <c r="CY218" s="81">
        <f>CY217/CY191*100</f>
        <v>13.080895008605854</v>
      </c>
      <c r="CZ218" s="72"/>
      <c r="DA218" s="81">
        <f>DA217/DA191*100</f>
        <v>0.49268528593882238</v>
      </c>
      <c r="DB218" s="72"/>
      <c r="DC218" s="81">
        <f>DC217/DC191*100</f>
        <v>17.065868263473057</v>
      </c>
      <c r="DD218" s="72"/>
      <c r="DE218" s="81">
        <f>DE217/DE191*100</f>
        <v>15.253122945430638</v>
      </c>
      <c r="DF218" s="72"/>
      <c r="DG218" s="81">
        <f>DG217/DG191*100</f>
        <v>15.803278688524591</v>
      </c>
      <c r="DH218" s="72"/>
      <c r="DI218" s="81">
        <f>DI217/DI191*100</f>
        <v>17.922235722964764</v>
      </c>
      <c r="DJ218" s="72"/>
      <c r="DK218" s="81">
        <f>DK217/DK191*100</f>
        <v>23.775310254735469</v>
      </c>
      <c r="DL218" s="72"/>
      <c r="DM218" s="81">
        <f>DM217/DM191*100</f>
        <v>19.469026548672566</v>
      </c>
      <c r="DN218" s="72">
        <f t="shared" si="1277"/>
        <v>27.639609398840406</v>
      </c>
      <c r="DO218" s="81">
        <f>DO217/DO191*100</f>
        <v>11.222361284939508</v>
      </c>
      <c r="DP218" s="72">
        <f t="shared" si="1277"/>
        <v>-28.987132947996898</v>
      </c>
      <c r="DQ218" s="81">
        <f>DQ217/DQ191*100</f>
        <v>4.4011976047904184</v>
      </c>
      <c r="DR218" s="72" t="str">
        <f t="shared" si="1277"/>
        <v>NM</v>
      </c>
      <c r="DS218" s="81">
        <f>DS217/DS191*100</f>
        <v>11.460855528652139</v>
      </c>
      <c r="DT218" s="72" t="str">
        <f t="shared" si="1277"/>
        <v>NM</v>
      </c>
      <c r="DU218" s="81">
        <f>DU217/DU191*100</f>
        <v>7.4528301886792452</v>
      </c>
      <c r="DV218" s="72" t="str">
        <f t="shared" si="1277"/>
        <v>NM</v>
      </c>
      <c r="DW218" s="81">
        <f>DW217/DW191*100</f>
        <v>11.461022199277233</v>
      </c>
      <c r="DX218" s="72">
        <f t="shared" si="1277"/>
        <v>2.1266550619610598</v>
      </c>
      <c r="DY218" s="81">
        <f>DY217/DY191*100</f>
        <v>3.9753904401325131</v>
      </c>
      <c r="DZ218" s="72">
        <f t="shared" si="1277"/>
        <v>-9.6748022446081876</v>
      </c>
      <c r="EA218" s="81">
        <f>EA217/EA191*100</f>
        <v>11.568938193343898</v>
      </c>
      <c r="EB218" s="72">
        <f>IF(ISERROR(EA218/DS218),"NA",IF(OR(EA218/DS218&gt;2,EA218/DS218&lt;0.5),"NM",EA218/DS218*100-100))</f>
        <v>0.94305930671190197</v>
      </c>
      <c r="EC218" s="81">
        <f>EC217/EC191*100</f>
        <v>10.263275323516288</v>
      </c>
      <c r="ED218" s="72">
        <f>IF(ISERROR(EC218/DU218),"NA",IF(OR(EC218/DU218&gt;2,EC218/DU218&lt;0.5),"NM",EC218/DU218*100-100))</f>
        <v>37.70977016363625</v>
      </c>
      <c r="EE218" s="81">
        <f>EE217/EE191*100</f>
        <v>5.3174912349045584</v>
      </c>
      <c r="EF218" s="72" t="str">
        <f>IF(ISERROR(EE218/DW218),"NA",IF(OR(EE218/DW218&gt;2,EE218/DW218&lt;0.5),"NM",EE218/DW218*100-100))</f>
        <v>NM</v>
      </c>
      <c r="EG218" s="81">
        <f>EG217/EG191*100</f>
        <v>8.2594235033259427</v>
      </c>
      <c r="EH218" s="72" t="str">
        <f>IF(ISERROR(EG218/DY218),"NA",IF(OR(EG218/DY218&gt;2,EG218/DY218&lt;0.5),"NM",EG218/DY218*100-100))</f>
        <v>NM</v>
      </c>
      <c r="EI218" s="81">
        <f>EI217/EI191*100</f>
        <v>20.495611770779558</v>
      </c>
      <c r="EJ218" s="72">
        <f>IF(ISERROR(EI218/EA218),"NA",IF(OR(EI218/EA218&gt;2,EI218/EA218&lt;0.5),"NM",EI218/EA218*100-100))</f>
        <v>77.160699004957536</v>
      </c>
      <c r="EK218" s="81">
        <f>EK217/EK191*100</f>
        <v>9.0934294427502067</v>
      </c>
      <c r="EL218" s="72">
        <f>IF(ISERROR(EK218/EC218),"NA",IF(OR(EK218/EC218&gt;2,EK218/EC218&lt;0.5),"NM",EK218/EC218*100-100))</f>
        <v>-11.39836790781213</v>
      </c>
      <c r="EM218" s="81">
        <f>EM217/EM191*100</f>
        <v>7.6096962258361458</v>
      </c>
      <c r="EN218" s="72">
        <f>IF(ISERROR(EM218/EE218),"NA",IF(OR(EM218/EE218&gt;2,EM218/EE218&lt;0.5),"NM",EM218/EE218*100-100))</f>
        <v>43.106887997958864</v>
      </c>
      <c r="EO218" s="81">
        <f>EO217/EO191*100</f>
        <v>5.7738095238095237</v>
      </c>
      <c r="EP218" s="72">
        <f>IF(ISERROR(EO218/EG218),"NA",IF(OR(EO218/EG218&gt;2,EO218/EG218&lt;0.5),"NM",EO218/EG218*100-100))</f>
        <v>-30.094279322467244</v>
      </c>
      <c r="EQ218" s="81">
        <f t="shared" ref="EQ218" si="1287">EQ217/EQ191*100</f>
        <v>9.1942308943033488</v>
      </c>
      <c r="ER218" s="72" t="str">
        <f t="shared" si="1278"/>
        <v>NM</v>
      </c>
      <c r="ES218" s="81">
        <f t="shared" ref="ES218" si="1288">ES217/ES191*100</f>
        <v>8.4545102077176253</v>
      </c>
      <c r="ET218" s="72">
        <f t="shared" si="1279"/>
        <v>-7.0261636608613571</v>
      </c>
      <c r="EU218" s="81">
        <f t="shared" ref="EU218" si="1289">EU217/EU191*100</f>
        <v>7.7694273832103535</v>
      </c>
      <c r="EV218" s="72">
        <f t="shared" si="1280"/>
        <v>2.0990477495263775</v>
      </c>
      <c r="EW218" s="81">
        <f t="shared" ref="EW218" si="1290">EW217/EW191*100</f>
        <v>7.3227216267015685</v>
      </c>
      <c r="EX218" s="72">
        <f t="shared" si="1281"/>
        <v>26.826518895449851</v>
      </c>
      <c r="EY218" s="72"/>
      <c r="EZ218" s="306"/>
      <c r="FA218" s="72"/>
      <c r="FB218" s="75"/>
      <c r="FC218" s="72"/>
      <c r="FD218" s="75"/>
      <c r="FE218" s="72"/>
      <c r="FF218" s="75"/>
      <c r="FG218" s="72"/>
      <c r="FH218" s="75"/>
      <c r="FI218" s="72"/>
      <c r="FJ218" s="75"/>
      <c r="FK218" s="72"/>
      <c r="FL218" s="75"/>
      <c r="FM218" s="72"/>
      <c r="FN218" s="75"/>
      <c r="FO218" s="72"/>
      <c r="FP218" s="75"/>
      <c r="FQ218" s="72"/>
      <c r="FR218" s="75"/>
      <c r="FS218" s="72"/>
      <c r="FT218" s="75"/>
      <c r="FU218" s="72"/>
      <c r="FV218" s="75"/>
      <c r="FW218" s="72"/>
      <c r="FX218" s="75"/>
      <c r="FY218" s="72"/>
      <c r="FZ218" s="75"/>
      <c r="GA218" s="72"/>
      <c r="GB218" s="81">
        <f>GB217/GB191*100</f>
        <v>12.687333196468897</v>
      </c>
      <c r="GC218" s="72"/>
      <c r="GD218" s="81">
        <f>GD217/GD191*100</f>
        <v>1.7133488181445551</v>
      </c>
      <c r="GE218" s="72"/>
      <c r="GF218" s="81">
        <f>GF217/GF191*100</f>
        <v>16.522893165228933</v>
      </c>
      <c r="GG218" s="72"/>
      <c r="GH218" s="81">
        <f>GH217/GH191*100</f>
        <v>10.043885070795728</v>
      </c>
      <c r="GI218" s="72">
        <f t="shared" si="1282"/>
        <v>-39.212310033376866</v>
      </c>
      <c r="GJ218" s="81">
        <f>GJ217/GJ191*100</f>
        <v>7.7066238050926312</v>
      </c>
      <c r="GK218" s="72">
        <f t="shared" si="1282"/>
        <v>-23.270489947152768</v>
      </c>
      <c r="GL218" s="81">
        <f>GL217/GL191*100</f>
        <v>7.9217148182665422</v>
      </c>
      <c r="GM218" s="72">
        <f t="shared" si="1282"/>
        <v>2.7909888767604798</v>
      </c>
      <c r="GN218" s="81">
        <f>GN217/GN191*100</f>
        <v>9.130968720653037</v>
      </c>
      <c r="GO218" s="72">
        <f t="shared" si="1282"/>
        <v>15.265052203067157</v>
      </c>
      <c r="GP218" s="81">
        <f>GP217/GP191*100</f>
        <v>8.1777694472638167</v>
      </c>
      <c r="GQ218" s="72">
        <f t="shared" si="1282"/>
        <v>-10.439191092980209</v>
      </c>
      <c r="GR218" s="81">
        <f>GR217/GR191*100</f>
        <v>8.0794043763198076</v>
      </c>
      <c r="GS218" s="72">
        <f t="shared" si="1282"/>
        <v>-1.2028349732569268</v>
      </c>
      <c r="GT218" s="81">
        <f>GT217/GT191*100</f>
        <v>7.936218527093625</v>
      </c>
      <c r="GU218" s="72">
        <f t="shared" si="1282"/>
        <v>-1.7722327359409178</v>
      </c>
      <c r="GV218" s="81">
        <f>GV217/GV191*100</f>
        <v>7.7946745240984967</v>
      </c>
      <c r="GW218" s="72">
        <f>IF(ISERROR(GV218/GT218),"NA",IF(OR(GV218/GT218&gt;2,GV218/GT218&lt;0.5),"NM",GV218/GT218*100-100))</f>
        <v>-1.7835194748217731</v>
      </c>
      <c r="GX218" s="81">
        <f>GX217/GX191*100</f>
        <v>7.6547776701187935</v>
      </c>
      <c r="GY218" s="72">
        <f>IF(ISERROR(GX218/GV218),"NA",IF(OR(GX218/GV218&gt;2,GX218/GV218&lt;0.5),"NM",GX218/GV218*100-100))</f>
        <v>-1.7947747984497511</v>
      </c>
      <c r="GZ218" s="72">
        <f>IF(ISERROR(((GX218/GN218)^0.2-1)*100),"NA",IF((((GX218/GN218)^0.2-1)*100)&gt;100,"NM",IF((((GX218/GN218)^0.2-1)*100)&lt;-50,"NM",((GX218/GN218)^0.2-1)*100)))</f>
        <v>-3.4653680209235538</v>
      </c>
      <c r="HA218" s="72"/>
      <c r="HB218" s="72"/>
      <c r="HC218"/>
      <c r="HD218"/>
      <c r="HE218"/>
      <c r="HF218"/>
      <c r="HG218"/>
      <c r="HH218"/>
      <c r="HI218" s="2"/>
    </row>
    <row r="219" spans="1:217" s="3" customFormat="1" ht="12.75" customHeight="1" x14ac:dyDescent="0.2">
      <c r="B219" s="77" t="s">
        <v>465</v>
      </c>
      <c r="C219" s="75"/>
      <c r="D219" s="72"/>
      <c r="E219" s="75"/>
      <c r="F219" s="72"/>
      <c r="G219" s="75"/>
      <c r="H219" s="72"/>
      <c r="I219" s="75"/>
      <c r="J219" s="72"/>
      <c r="K219" s="75"/>
      <c r="L219" s="72"/>
      <c r="M219" s="75"/>
      <c r="N219" s="72"/>
      <c r="O219" s="75"/>
      <c r="P219" s="72"/>
      <c r="Q219" s="75"/>
      <c r="R219" s="72"/>
      <c r="S219" s="75"/>
      <c r="T219" s="72"/>
      <c r="U219" s="75"/>
      <c r="V219" s="72"/>
      <c r="W219" s="75"/>
      <c r="X219" s="72"/>
      <c r="Y219" s="75"/>
      <c r="Z219" s="72"/>
      <c r="AA219" s="75"/>
      <c r="AB219" s="72"/>
      <c r="AC219" s="75"/>
      <c r="AD219" s="72"/>
      <c r="AE219" s="75"/>
      <c r="AF219" s="72"/>
      <c r="AG219" s="75"/>
      <c r="AH219" s="72"/>
      <c r="AI219" s="75"/>
      <c r="AJ219" s="72"/>
      <c r="AK219" s="75"/>
      <c r="AL219" s="72"/>
      <c r="AM219" s="75"/>
      <c r="AN219" s="72"/>
      <c r="AO219" s="75"/>
      <c r="AP219" s="72"/>
      <c r="AQ219" s="75"/>
      <c r="AR219" s="72"/>
      <c r="AS219" s="75"/>
      <c r="AT219" s="72"/>
      <c r="AU219" s="75"/>
      <c r="AV219" s="72"/>
      <c r="AW219" s="75"/>
      <c r="AX219" s="72"/>
      <c r="AY219" s="75"/>
      <c r="AZ219" s="72"/>
      <c r="BA219" s="75"/>
      <c r="BB219" s="72"/>
      <c r="BC219" s="75"/>
      <c r="BD219" s="72"/>
      <c r="BE219" s="75"/>
      <c r="BF219" s="72"/>
      <c r="BG219" s="75"/>
      <c r="BH219" s="72"/>
      <c r="BI219" s="75"/>
      <c r="BJ219" s="72"/>
      <c r="BK219" s="75"/>
      <c r="BL219" s="72"/>
      <c r="BM219" s="75"/>
      <c r="BN219" s="72"/>
      <c r="BO219" s="75"/>
      <c r="BP219" s="72"/>
      <c r="BQ219" s="75"/>
      <c r="BR219" s="72"/>
      <c r="BS219" s="75"/>
      <c r="BT219" s="72"/>
      <c r="BU219" s="75"/>
      <c r="BV219" s="72"/>
      <c r="BW219" s="75"/>
      <c r="BX219" s="72"/>
      <c r="BY219" s="75"/>
      <c r="BZ219" s="72"/>
      <c r="CA219" s="75"/>
      <c r="CB219" s="72"/>
      <c r="CC219" s="75"/>
      <c r="CD219" s="72"/>
      <c r="CE219" s="75"/>
      <c r="CF219" s="72"/>
      <c r="CG219" s="75"/>
      <c r="CH219" s="72"/>
      <c r="CI219" s="75"/>
      <c r="CJ219" s="72"/>
      <c r="CK219" s="75"/>
      <c r="CL219" s="72"/>
      <c r="CM219" s="81">
        <f>CM217/CM182*40000</f>
        <v>32.733457828315871</v>
      </c>
      <c r="CN219" s="72"/>
      <c r="CO219" s="81">
        <f>CO217/CO182*40000</f>
        <v>31.406400661187384</v>
      </c>
      <c r="CP219" s="72"/>
      <c r="CQ219" s="81">
        <f>CQ217/CQ182*40000</f>
        <v>24.803523937697225</v>
      </c>
      <c r="CR219" s="72"/>
      <c r="CS219" s="81">
        <f>CS217/CS182*40000</f>
        <v>25.212164869549557</v>
      </c>
      <c r="CT219" s="72"/>
      <c r="CU219" s="81">
        <f>CU217/CU182*40000</f>
        <v>26.589228379740202</v>
      </c>
      <c r="CV219" s="72"/>
      <c r="CW219" s="81">
        <f>CW217/CW182*40000</f>
        <v>25.74831026713872</v>
      </c>
      <c r="CX219" s="72"/>
      <c r="CY219" s="81">
        <f>CY217/CY182*40000</f>
        <v>24.494992224451483</v>
      </c>
      <c r="CZ219" s="72"/>
      <c r="DA219" s="81">
        <f>DA217/DA182*40000</f>
        <v>24.084814007609619</v>
      </c>
      <c r="DB219" s="72"/>
      <c r="DC219" s="81">
        <f>DC217/DC182*40000</f>
        <v>30.955601453419796</v>
      </c>
      <c r="DD219" s="72"/>
      <c r="DE219" s="81">
        <f>DE217/DE182*40000</f>
        <v>30.870049731383997</v>
      </c>
      <c r="DF219" s="72"/>
      <c r="DG219" s="81">
        <f>DG217/DG182*40000</f>
        <v>31.385163347729051</v>
      </c>
      <c r="DH219" s="72"/>
      <c r="DI219" s="81">
        <f>DI217/DI182*40000</f>
        <v>37.143828458468164</v>
      </c>
      <c r="DJ219" s="72"/>
      <c r="DK219" s="81">
        <f>DK217/DK182*40000</f>
        <v>44.750774148436719</v>
      </c>
      <c r="DL219" s="72"/>
      <c r="DM219" s="81">
        <f>DM217/DM182*40000</f>
        <v>34.753075449716647</v>
      </c>
      <c r="DN219" s="72">
        <f t="shared" si="1277"/>
        <v>12.578618279273385</v>
      </c>
      <c r="DO219" s="81">
        <f>DO217/DO182*40000</f>
        <v>31.342437981442131</v>
      </c>
      <c r="DP219" s="72">
        <f t="shared" si="1277"/>
        <v>-0.13613236870411072</v>
      </c>
      <c r="DQ219" s="81">
        <f>DQ217/DQ182*40000</f>
        <v>32.67129510013919</v>
      </c>
      <c r="DR219" s="72">
        <f t="shared" si="1277"/>
        <v>-12.041121079723567</v>
      </c>
      <c r="DS219" s="81">
        <f>DS217/DS182*40000</f>
        <v>31.161620733450189</v>
      </c>
      <c r="DT219" s="72">
        <f t="shared" si="1277"/>
        <v>-30.366297954783519</v>
      </c>
      <c r="DU219" s="81">
        <f>DU217/DU182*40000</f>
        <v>25.695583232818791</v>
      </c>
      <c r="DV219" s="72">
        <f t="shared" si="1277"/>
        <v>-26.062419223883978</v>
      </c>
      <c r="DW219" s="81">
        <f>DW217/DW182*40000</f>
        <v>24.039567829210782</v>
      </c>
      <c r="DX219" s="72">
        <f t="shared" si="1277"/>
        <v>-23.300261953315129</v>
      </c>
      <c r="DY219" s="81">
        <f>DY217/DY182*40000</f>
        <v>18.283177028494006</v>
      </c>
      <c r="DZ219" s="72">
        <f t="shared" si="1277"/>
        <v>-44.039019657913371</v>
      </c>
      <c r="EA219" s="81">
        <f>EA217/EA182*40000</f>
        <v>24.293556009472827</v>
      </c>
      <c r="EB219" s="72">
        <f>IF(ISERROR(EA219/DS219),"NA",IF(OR(EA219/DS219&gt;2,EA219/DS219&lt;0.5),"NM",EA219/DS219*100-100))</f>
        <v>-22.040139640762959</v>
      </c>
      <c r="EC219" s="81">
        <f>EC217/EC182*40000</f>
        <v>24.643044165960188</v>
      </c>
      <c r="ED219" s="72">
        <f>IF(ISERROR(EC219/DU219),"NA",IF(OR(EC219/DU219&gt;2,EC219/DU219&lt;0.5),"NM",EC219/DU219*100-100))</f>
        <v>-4.096186715521938</v>
      </c>
      <c r="EE219" s="81">
        <f>EE217/EE182*40000</f>
        <v>28.67688477643453</v>
      </c>
      <c r="EF219" s="72">
        <f>IF(ISERROR(EE219/DW219),"NA",IF(OR(EE219/DW219&gt;2,EE219/DW219&lt;0.5),"NM",EE219/DW219*100-100))</f>
        <v>19.290350725810001</v>
      </c>
      <c r="EG219" s="81">
        <f>EG217/EG182*40000</f>
        <v>30.845747970572329</v>
      </c>
      <c r="EH219" s="72">
        <f>IF(ISERROR(EG219/DY219),"NA",IF(OR(EG219/DY219&gt;2,EG219/DY219&lt;0.5),"NM",EG219/DY219*100-100))</f>
        <v>68.711093933509375</v>
      </c>
      <c r="EI219" s="81">
        <f>EI217/EI182*40000</f>
        <v>40.62976130015236</v>
      </c>
      <c r="EJ219" s="72">
        <f>IF(ISERROR(EI219/EA219),"NA",IF(OR(EI219/EA219&gt;2,EI219/EA219&lt;0.5),"NM",EI219/EA219*100-100))</f>
        <v>67.245014621612114</v>
      </c>
      <c r="EK219" s="81">
        <f>EK217/EK182*40000</f>
        <v>32.929412591484535</v>
      </c>
      <c r="EL219" s="72">
        <f>IF(ISERROR(EK219/EC219),"NA",IF(OR(EK219/EC219&gt;2,EK219/EC219&lt;0.5),"NM",EK219/EC219*100-100))</f>
        <v>33.625587690056705</v>
      </c>
      <c r="EM219" s="81">
        <f>EM217/EM182*40000</f>
        <v>24.278676126865875</v>
      </c>
      <c r="EN219" s="72">
        <f>IF(ISERROR(EM219/EE219),"NA",IF(OR(EM219/EE219&gt;2,EM219/EE219&lt;0.5),"NM",EM219/EE219*100-100))</f>
        <v>-15.337121461613293</v>
      </c>
      <c r="EO219" s="81">
        <f>EO217/EO182*40000</f>
        <v>27.552089189237169</v>
      </c>
      <c r="EP219" s="72">
        <f>IF(ISERROR(EO219/EG219),"NA",IF(OR(EO219/EG219&gt;2,EO219/EG219&lt;0.5),"NM",EO219/EG219*100-100))</f>
        <v>-10.677837296983043</v>
      </c>
      <c r="EQ219" s="81">
        <f t="shared" ref="EQ219" si="1291">EQ217/EQ182*40000</f>
        <v>28.718057147562185</v>
      </c>
      <c r="ER219" s="72">
        <f t="shared" si="1278"/>
        <v>-29.317681845562575</v>
      </c>
      <c r="ES219" s="81">
        <f t="shared" ref="ES219" si="1292">ES217/ES182*40000</f>
        <v>26.557674789384308</v>
      </c>
      <c r="ET219" s="72">
        <f t="shared" si="1279"/>
        <v>-19.349685587006022</v>
      </c>
      <c r="EU219" s="81">
        <f t="shared" ref="EU219" si="1293">EU217/EU182*40000</f>
        <v>24.38530684125713</v>
      </c>
      <c r="EV219" s="72">
        <f t="shared" si="1280"/>
        <v>0.43919492905652646</v>
      </c>
      <c r="EW219" s="81">
        <f t="shared" ref="EW219" si="1294">EW217/EW182*40000</f>
        <v>22.964044319271565</v>
      </c>
      <c r="EX219" s="72">
        <f t="shared" si="1281"/>
        <v>-16.652257614489201</v>
      </c>
      <c r="EY219" s="72"/>
      <c r="EZ219" s="306"/>
      <c r="FA219" s="72"/>
      <c r="FB219" s="75"/>
      <c r="FC219" s="72"/>
      <c r="FD219" s="75"/>
      <c r="FE219" s="72"/>
      <c r="FF219" s="75"/>
      <c r="FG219" s="72"/>
      <c r="FH219" s="75"/>
      <c r="FI219" s="72"/>
      <c r="FJ219" s="75"/>
      <c r="FK219" s="72"/>
      <c r="FL219" s="75"/>
      <c r="FM219" s="72"/>
      <c r="FN219" s="75"/>
      <c r="FO219" s="72"/>
      <c r="FP219" s="75"/>
      <c r="FQ219" s="72"/>
      <c r="FR219" s="75"/>
      <c r="FS219" s="72"/>
      <c r="FT219" s="75"/>
      <c r="FU219" s="72"/>
      <c r="FV219" s="75"/>
      <c r="FW219" s="72"/>
      <c r="FX219" s="75"/>
      <c r="FY219" s="72"/>
      <c r="FZ219" s="75"/>
      <c r="GA219" s="72"/>
      <c r="GB219" s="81"/>
      <c r="GC219" s="72"/>
      <c r="GD219" s="81"/>
      <c r="GE219" s="72"/>
      <c r="GF219" s="81">
        <f>GF217/GF182*10000</f>
        <v>32.50949825702088</v>
      </c>
      <c r="GG219" s="72"/>
      <c r="GH219" s="81">
        <f>GH217/GH182*10000</f>
        <v>35.326272932590307</v>
      </c>
      <c r="GI219" s="72"/>
      <c r="GJ219" s="81">
        <f>GJ217/GJ182*10000</f>
        <v>24.864826505741291</v>
      </c>
      <c r="GK219" s="72"/>
      <c r="GL219" s="81">
        <f>GL217/GL182*10000</f>
        <v>27.016181898363534</v>
      </c>
      <c r="GM219" s="72"/>
      <c r="GN219" s="81">
        <f>GN217/GN182*10000</f>
        <v>31.007523740135362</v>
      </c>
      <c r="GO219" s="72"/>
      <c r="GP219" s="81">
        <f>GP217/GP182*10000</f>
        <v>25.502568616115195</v>
      </c>
      <c r="GQ219" s="72"/>
      <c r="GR219" s="81">
        <f>GR217/GR182*10000</f>
        <v>25.303069379647628</v>
      </c>
      <c r="GS219" s="72"/>
      <c r="GT219" s="81">
        <f>GT217/GT182*10000</f>
        <v>24.829709083462447</v>
      </c>
      <c r="GU219" s="72"/>
      <c r="GV219" s="81">
        <f>GV217/GV182*10000</f>
        <v>24.362924295804813</v>
      </c>
      <c r="GW219" s="72"/>
      <c r="GX219" s="81">
        <f>GX217/GX182*10000</f>
        <v>23.902690985057657</v>
      </c>
      <c r="GY219" s="72"/>
      <c r="GZ219" s="72">
        <f>IF(ISERROR(((GX219/GN219)^0.2-1)*100),"NA",IF((((GX219/GN219)^0.2-1)*100)&gt;100,"NM",IF((((GX219/GN219)^0.2-1)*100)&lt;-50,"NM",((GX219/GN219)^0.2-1)*100)))</f>
        <v>-5.0716477757856033</v>
      </c>
      <c r="HA219" s="72"/>
      <c r="HB219" s="72"/>
      <c r="HC219"/>
      <c r="HD219"/>
      <c r="HE219"/>
      <c r="HF219"/>
      <c r="HG219"/>
      <c r="HH219"/>
      <c r="HI219" s="2"/>
    </row>
    <row r="220" spans="1:217" s="3" customFormat="1" ht="12.75" customHeight="1" x14ac:dyDescent="0.2">
      <c r="B220" s="10"/>
      <c r="C220" s="74"/>
      <c r="D220" s="72"/>
      <c r="E220" s="74"/>
      <c r="F220" s="72"/>
      <c r="G220" s="74"/>
      <c r="H220" s="72"/>
      <c r="I220" s="74"/>
      <c r="J220" s="72"/>
      <c r="K220" s="74"/>
      <c r="L220" s="72"/>
      <c r="M220" s="74"/>
      <c r="N220" s="72"/>
      <c r="O220" s="74"/>
      <c r="P220" s="72"/>
      <c r="Q220" s="74"/>
      <c r="R220" s="72"/>
      <c r="S220" s="74"/>
      <c r="T220" s="72"/>
      <c r="U220" s="74"/>
      <c r="V220" s="72"/>
      <c r="W220" s="74"/>
      <c r="X220" s="72"/>
      <c r="Y220" s="74"/>
      <c r="Z220" s="72"/>
      <c r="AA220" s="74"/>
      <c r="AB220" s="72"/>
      <c r="AC220" s="74"/>
      <c r="AD220" s="72"/>
      <c r="AE220" s="74"/>
      <c r="AF220" s="72"/>
      <c r="AG220" s="74"/>
      <c r="AH220" s="72"/>
      <c r="AI220" s="74"/>
      <c r="AJ220" s="72"/>
      <c r="AK220" s="74"/>
      <c r="AL220" s="72"/>
      <c r="AM220" s="74"/>
      <c r="AN220" s="72"/>
      <c r="AO220" s="74"/>
      <c r="AP220" s="72"/>
      <c r="AQ220" s="74"/>
      <c r="AR220" s="72"/>
      <c r="AS220" s="74"/>
      <c r="AT220" s="72"/>
      <c r="AU220" s="74"/>
      <c r="AV220" s="72"/>
      <c r="AW220" s="74"/>
      <c r="AX220" s="72"/>
      <c r="AY220" s="74"/>
      <c r="AZ220" s="72"/>
      <c r="BA220" s="74"/>
      <c r="BB220" s="72"/>
      <c r="BC220" s="74"/>
      <c r="BD220" s="72"/>
      <c r="BE220" s="74"/>
      <c r="BF220" s="72"/>
      <c r="BG220" s="74"/>
      <c r="BH220" s="72"/>
      <c r="BI220" s="74"/>
      <c r="BJ220" s="72"/>
      <c r="BK220" s="74"/>
      <c r="BL220" s="72"/>
      <c r="BM220" s="74"/>
      <c r="BN220" s="72"/>
      <c r="BO220" s="74"/>
      <c r="BP220" s="72"/>
      <c r="BQ220" s="74"/>
      <c r="BR220" s="72"/>
      <c r="BS220" s="74"/>
      <c r="BT220" s="72"/>
      <c r="BU220" s="74"/>
      <c r="BV220" s="72"/>
      <c r="BW220" s="74"/>
      <c r="BX220" s="72"/>
      <c r="BY220" s="74"/>
      <c r="BZ220" s="72"/>
      <c r="CA220" s="74"/>
      <c r="CB220" s="72"/>
      <c r="CC220" s="74"/>
      <c r="CD220" s="72"/>
      <c r="CE220" s="74"/>
      <c r="CF220" s="72"/>
      <c r="CG220" s="74"/>
      <c r="CH220" s="72"/>
      <c r="CI220" s="74"/>
      <c r="CJ220" s="72"/>
      <c r="CK220" s="74"/>
      <c r="CL220" s="72"/>
      <c r="CM220" s="74"/>
      <c r="CN220" s="72"/>
      <c r="CO220" s="74"/>
      <c r="CP220" s="72"/>
      <c r="CQ220" s="74"/>
      <c r="CR220" s="72"/>
      <c r="CS220" s="74"/>
      <c r="CT220" s="72"/>
      <c r="CU220" s="74"/>
      <c r="CV220" s="72"/>
      <c r="CW220" s="74"/>
      <c r="CX220" s="72"/>
      <c r="CY220" s="74"/>
      <c r="CZ220" s="72"/>
      <c r="DA220" s="74"/>
      <c r="DB220" s="72"/>
      <c r="DC220" s="74"/>
      <c r="DD220" s="72"/>
      <c r="DE220" s="74"/>
      <c r="DF220" s="72"/>
      <c r="DG220" s="74"/>
      <c r="DH220" s="72"/>
      <c r="DI220" s="74"/>
      <c r="DJ220" s="72"/>
      <c r="DK220" s="74"/>
      <c r="DL220" s="72"/>
      <c r="DM220" s="74"/>
      <c r="DN220" s="72"/>
      <c r="DO220" s="74"/>
      <c r="DP220" s="72"/>
      <c r="DQ220" s="74"/>
      <c r="DR220" s="72"/>
      <c r="DS220" s="74"/>
      <c r="DT220" s="72"/>
      <c r="DU220" s="74"/>
      <c r="DV220" s="72"/>
      <c r="DW220" s="75"/>
      <c r="DX220" s="72"/>
      <c r="DY220" s="75"/>
      <c r="DZ220" s="72"/>
      <c r="EA220" s="75"/>
      <c r="EB220" s="72"/>
      <c r="EC220" s="75"/>
      <c r="ED220" s="72"/>
      <c r="EE220" s="75"/>
      <c r="EF220" s="72"/>
      <c r="EG220" s="75"/>
      <c r="EH220" s="72"/>
      <c r="EI220" s="75"/>
      <c r="EJ220" s="72"/>
      <c r="EK220" s="75"/>
      <c r="EL220" s="72"/>
      <c r="EM220" s="75"/>
      <c r="EN220" s="72"/>
      <c r="EO220" s="75"/>
      <c r="EP220" s="72"/>
      <c r="EQ220" s="75"/>
      <c r="ER220" s="72"/>
      <c r="ES220" s="75"/>
      <c r="ET220" s="72"/>
      <c r="EU220" s="75"/>
      <c r="EV220" s="72"/>
      <c r="EW220" s="75"/>
      <c r="EX220" s="72"/>
      <c r="EY220" s="72"/>
      <c r="EZ220" s="307"/>
      <c r="FA220" s="72"/>
      <c r="FB220" s="74"/>
      <c r="FC220" s="72"/>
      <c r="FD220" s="75"/>
      <c r="FE220" s="72"/>
      <c r="FF220" s="75"/>
      <c r="FG220" s="72"/>
      <c r="FH220" s="75"/>
      <c r="FI220" s="72"/>
      <c r="FJ220" s="75"/>
      <c r="FK220" s="72"/>
      <c r="FL220" s="75"/>
      <c r="FM220" s="72"/>
      <c r="FN220" s="75"/>
      <c r="FO220" s="72"/>
      <c r="FP220" s="74"/>
      <c r="FQ220" s="72"/>
      <c r="FR220" s="75"/>
      <c r="FS220" s="72"/>
      <c r="FT220" s="75"/>
      <c r="FU220" s="72"/>
      <c r="FV220" s="75"/>
      <c r="FW220" s="72"/>
      <c r="FX220" s="75"/>
      <c r="FY220" s="72"/>
      <c r="FZ220" s="81"/>
      <c r="GA220" s="72"/>
      <c r="GB220" s="81"/>
      <c r="GC220" s="72"/>
      <c r="GD220" s="81"/>
      <c r="GE220" s="72"/>
      <c r="GF220" s="81"/>
      <c r="GG220" s="72"/>
      <c r="GH220" s="81"/>
      <c r="GI220" s="72"/>
      <c r="GJ220" s="81"/>
      <c r="GK220" s="72"/>
      <c r="GL220" s="81"/>
      <c r="GM220" s="72"/>
      <c r="GN220" s="81"/>
      <c r="GO220" s="72"/>
      <c r="GP220" s="81"/>
      <c r="GQ220" s="72"/>
      <c r="GR220" s="75"/>
      <c r="GS220" s="72"/>
      <c r="GT220" s="75"/>
      <c r="GU220" s="72"/>
      <c r="GV220" s="75"/>
      <c r="GW220" s="72"/>
      <c r="GX220" s="75"/>
      <c r="GY220" s="72"/>
      <c r="GZ220" s="72"/>
      <c r="HA220" s="72"/>
      <c r="HB220" s="72"/>
      <c r="HC220"/>
      <c r="HD220"/>
      <c r="HE220"/>
      <c r="HF220"/>
      <c r="HG220"/>
      <c r="HH220"/>
      <c r="HI220" s="2"/>
    </row>
    <row r="221" spans="1:217" s="3" customFormat="1" ht="12.75" customHeight="1" x14ac:dyDescent="0.2">
      <c r="B221" s="10" t="s">
        <v>472</v>
      </c>
      <c r="C221" s="145"/>
      <c r="D221" s="11"/>
      <c r="E221" s="145"/>
      <c r="F221" s="11"/>
      <c r="G221" s="145"/>
      <c r="H221" s="11"/>
      <c r="I221" s="145"/>
      <c r="J221" s="11"/>
      <c r="K221" s="145"/>
      <c r="L221" s="72"/>
      <c r="M221" s="145"/>
      <c r="N221" s="72"/>
      <c r="O221" s="145"/>
      <c r="P221" s="72"/>
      <c r="Q221" s="145"/>
      <c r="R221" s="72"/>
      <c r="S221" s="145"/>
      <c r="T221" s="72"/>
      <c r="U221" s="145"/>
      <c r="V221" s="72"/>
      <c r="W221" s="145"/>
      <c r="X221" s="72"/>
      <c r="Y221" s="145"/>
      <c r="Z221" s="72"/>
      <c r="AA221" s="145"/>
      <c r="AB221" s="72"/>
      <c r="AC221" s="145"/>
      <c r="AD221" s="72"/>
      <c r="AE221" s="145"/>
      <c r="AF221" s="72"/>
      <c r="AG221" s="145"/>
      <c r="AH221" s="72"/>
      <c r="AI221" s="145"/>
      <c r="AJ221" s="72"/>
      <c r="AK221" s="145"/>
      <c r="AL221" s="72"/>
      <c r="AM221" s="145"/>
      <c r="AN221" s="72"/>
      <c r="AO221" s="145"/>
      <c r="AP221" s="72"/>
      <c r="AQ221" s="145"/>
      <c r="AR221" s="72"/>
      <c r="AS221" s="145"/>
      <c r="AT221" s="72"/>
      <c r="AU221" s="145"/>
      <c r="AV221" s="72"/>
      <c r="AW221" s="145"/>
      <c r="AX221" s="72"/>
      <c r="AY221" s="145"/>
      <c r="AZ221" s="72"/>
      <c r="BA221" s="145"/>
      <c r="BB221" s="72"/>
      <c r="BC221" s="145"/>
      <c r="BD221" s="72"/>
      <c r="BE221" s="145"/>
      <c r="BF221" s="72"/>
      <c r="BG221" s="145"/>
      <c r="BH221" s="72"/>
      <c r="BI221" s="145"/>
      <c r="BJ221" s="72"/>
      <c r="BK221" s="145"/>
      <c r="BL221" s="72"/>
      <c r="BM221" s="145"/>
      <c r="BN221" s="72"/>
      <c r="BO221" s="145"/>
      <c r="BP221" s="72"/>
      <c r="BQ221" s="145"/>
      <c r="BR221" s="72"/>
      <c r="BS221" s="145"/>
      <c r="BT221" s="72"/>
      <c r="BU221" s="145"/>
      <c r="BV221" s="72"/>
      <c r="BW221" s="145"/>
      <c r="BX221" s="72"/>
      <c r="BY221" s="145"/>
      <c r="BZ221" s="72"/>
      <c r="CA221" s="145"/>
      <c r="CB221" s="72"/>
      <c r="CC221" s="145"/>
      <c r="CD221" s="72"/>
      <c r="CE221" s="145"/>
      <c r="CF221" s="72"/>
      <c r="CG221" s="145"/>
      <c r="CH221" s="72"/>
      <c r="CI221" s="145"/>
      <c r="CJ221" s="72"/>
      <c r="CK221" s="145"/>
      <c r="CL221" s="72"/>
      <c r="CM221" s="145"/>
      <c r="CN221" s="72"/>
      <c r="CO221" s="145"/>
      <c r="CP221" s="72"/>
      <c r="CQ221" s="145"/>
      <c r="CR221" s="72"/>
      <c r="CS221" s="145"/>
      <c r="CT221" s="72"/>
      <c r="CU221" s="145"/>
      <c r="CV221" s="72"/>
      <c r="CW221" s="145"/>
      <c r="CX221" s="72"/>
      <c r="CY221" s="145"/>
      <c r="CZ221" s="72"/>
      <c r="DA221" s="145"/>
      <c r="DB221" s="72"/>
      <c r="DC221" s="145"/>
      <c r="DD221" s="72"/>
      <c r="DE221" s="145"/>
      <c r="DF221" s="72"/>
      <c r="DG221" s="150">
        <v>0</v>
      </c>
      <c r="DH221" s="72"/>
      <c r="DI221" s="150">
        <v>55</v>
      </c>
      <c r="DJ221" s="72"/>
      <c r="DK221" s="150">
        <v>80</v>
      </c>
      <c r="DL221" s="72"/>
      <c r="DM221" s="150">
        <v>10</v>
      </c>
      <c r="DN221" s="72" t="str">
        <f t="shared" ref="DN221:DZ222" si="1295">IF(ISERROR(DM221/DE221),"NA",IF(OR(DM221/DE221&gt;2,DM221/DE221&lt;0.5),"NM",DM221/DE221*100-100))</f>
        <v>NA</v>
      </c>
      <c r="DO221" s="150">
        <v>21</v>
      </c>
      <c r="DP221" s="72" t="str">
        <f t="shared" si="1295"/>
        <v>NA</v>
      </c>
      <c r="DQ221" s="150">
        <v>70</v>
      </c>
      <c r="DR221" s="72">
        <f t="shared" si="1295"/>
        <v>27.272727272727266</v>
      </c>
      <c r="DS221" s="150">
        <f>15+45</f>
        <v>60</v>
      </c>
      <c r="DT221" s="72">
        <f t="shared" si="1295"/>
        <v>-25</v>
      </c>
      <c r="DU221" s="150">
        <v>5</v>
      </c>
      <c r="DV221" s="72">
        <f t="shared" si="1295"/>
        <v>-50</v>
      </c>
      <c r="DW221" s="150">
        <v>-10</v>
      </c>
      <c r="DX221" s="72" t="str">
        <f t="shared" si="1295"/>
        <v>NM</v>
      </c>
      <c r="DY221" s="730">
        <f>-20-15</f>
        <v>-35</v>
      </c>
      <c r="DZ221" s="72" t="str">
        <f t="shared" si="1295"/>
        <v>NM</v>
      </c>
      <c r="EA221" s="150">
        <f>20-40</f>
        <v>-20</v>
      </c>
      <c r="EB221" s="72" t="str">
        <f>IF(ISERROR(EA221/DS221),"NA",IF(OR(EA221/DS221&gt;2,EA221/DS221&lt;0.5),"NM",EA221/DS221*100-100))</f>
        <v>NM</v>
      </c>
      <c r="EC221" s="150">
        <f>20-30</f>
        <v>-10</v>
      </c>
      <c r="ED221" s="72" t="str">
        <f>IF(ISERROR(EC221/DU221),"NA",IF(OR(EC221/DU221&gt;2,EC221/DU221&lt;0.5),"NM",EC221/DU221*100-100))</f>
        <v>NM</v>
      </c>
      <c r="EE221" s="150">
        <f>-20+55</f>
        <v>35</v>
      </c>
      <c r="EF221" s="72" t="str">
        <f>IF(ISERROR(EE221/DW221),"NA",IF(OR(EE221/DW221&gt;2,EE221/DW221&lt;0.5),"NM",EE221/DW221*100-100))</f>
        <v>NM</v>
      </c>
      <c r="EG221" s="150">
        <v>40</v>
      </c>
      <c r="EH221" s="72" t="str">
        <f>IF(ISERROR(EG221/DY221),"NA",IF(OR(EG221/DY221&gt;2,EG221/DY221&lt;0.5),"NM",EG221/DY221*100-100))</f>
        <v>NM</v>
      </c>
      <c r="EI221" s="150">
        <v>105</v>
      </c>
      <c r="EJ221" s="72" t="str">
        <f>IF(ISERROR(EI221/EA221),"NA",IF(OR(EI221/EA221&gt;2,EI221/EA221&lt;0.5),"NM",EI221/EA221*100-100))</f>
        <v>NM</v>
      </c>
      <c r="EK221" s="150">
        <f>30+25</f>
        <v>55</v>
      </c>
      <c r="EL221" s="72" t="str">
        <f>IF(ISERROR(EK221/EC221),"NA",IF(OR(EK221/EC221&gt;2,EK221/EC221&lt;0.5),"NM",EK221/EC221*100-100))</f>
        <v>NM</v>
      </c>
      <c r="EM221" s="150">
        <v>-5</v>
      </c>
      <c r="EN221" s="72" t="str">
        <f>IF(ISERROR(EM221/EE221),"NA",IF(OR(EM221/EE221&gt;2,EM221/EE221&lt;0.5),"NM",EM221/EE221*100-100))</f>
        <v>NM</v>
      </c>
      <c r="EO221" s="150">
        <f>-10+50</f>
        <v>40</v>
      </c>
      <c r="EP221" s="72">
        <f>IF(ISERROR(EO221/EG221),"NA",IF(OR(EO221/EG221&gt;2,EO221/EG221&lt;0.5),"NM",EO221/EG221*100-100))</f>
        <v>0</v>
      </c>
      <c r="EQ221" s="144"/>
      <c r="ER221" s="72" t="str">
        <f t="shared" ref="ER221:ER222" si="1296">IF(ISERROR(EQ221/EI221),"NA",IF(OR(EQ221/EI221&gt;2,EQ221/EI221&lt;0.5),"NM",EQ221/EI221*100-100))</f>
        <v>NM</v>
      </c>
      <c r="ES221" s="144"/>
      <c r="ET221" s="72" t="str">
        <f t="shared" ref="ET221:ET222" si="1297">IF(ISERROR(ES221/EK221),"NA",IF(OR(ES221/EK221&gt;2,ES221/EK221&lt;0.5),"NM",ES221/EK221*100-100))</f>
        <v>NM</v>
      </c>
      <c r="EU221" s="144"/>
      <c r="EV221" s="72" t="str">
        <f t="shared" ref="EV221:EV222" si="1298">IF(ISERROR(EU221/EM221),"NA",IF(OR(EU221/EM221&gt;2,EU221/EM221&lt;0.5),"NM",EU221/EM221*100-100))</f>
        <v>NM</v>
      </c>
      <c r="EW221" s="144"/>
      <c r="EX221" s="72" t="str">
        <f t="shared" ref="EX221:EX222" si="1299">IF(ISERROR(EW221/EO221),"NA",IF(OR(EW221/EO221&gt;2,EW221/EO221&lt;0.5),"NM",EW221/EO221*100-100))</f>
        <v>NM</v>
      </c>
      <c r="EY221" s="72"/>
      <c r="EZ221" s="296"/>
      <c r="FA221" s="72"/>
      <c r="FB221" s="145"/>
      <c r="FC221" s="11"/>
      <c r="FD221" s="145"/>
      <c r="FE221" s="72"/>
      <c r="FF221" s="145"/>
      <c r="FG221" s="72"/>
      <c r="FH221" s="145"/>
      <c r="FI221" s="72"/>
      <c r="FJ221" s="145"/>
      <c r="FK221" s="72"/>
      <c r="FL221" s="145"/>
      <c r="FM221" s="72"/>
      <c r="FN221" s="145"/>
      <c r="FO221" s="72"/>
      <c r="FP221" s="145"/>
      <c r="FQ221" s="72"/>
      <c r="FR221" s="144"/>
      <c r="FS221" s="72"/>
      <c r="FT221" s="144"/>
      <c r="FU221" s="72"/>
      <c r="FV221" s="144"/>
      <c r="FW221" s="72"/>
      <c r="FX221" s="144"/>
      <c r="FY221" s="72"/>
      <c r="FZ221" s="144"/>
      <c r="GA221" s="72"/>
      <c r="GB221" s="144"/>
      <c r="GC221" s="72"/>
      <c r="GD221" s="144"/>
      <c r="GE221" s="72"/>
      <c r="GF221" s="144">
        <f>DC221+DE221+DG221+DI221</f>
        <v>55</v>
      </c>
      <c r="GG221" s="72"/>
      <c r="GH221" s="144">
        <f>DK221+DM221+DO221+DQ221</f>
        <v>181</v>
      </c>
      <c r="GI221" s="72"/>
      <c r="GJ221" s="144"/>
      <c r="GK221" s="72"/>
      <c r="GL221" s="144"/>
      <c r="GM221" s="72"/>
      <c r="GN221" s="144"/>
      <c r="GO221" s="72"/>
      <c r="GP221" s="144"/>
      <c r="GQ221" s="72"/>
      <c r="GR221" s="144"/>
      <c r="GS221" s="72"/>
      <c r="GT221" s="144"/>
      <c r="GU221" s="72"/>
      <c r="GV221" s="144"/>
      <c r="GW221" s="72"/>
      <c r="GX221" s="144"/>
      <c r="GY221" s="72"/>
      <c r="GZ221" s="72"/>
      <c r="HA221" s="72"/>
      <c r="HB221" s="72"/>
      <c r="HC221"/>
      <c r="HD221"/>
      <c r="HE221"/>
      <c r="HF221"/>
      <c r="HG221"/>
      <c r="HH221"/>
      <c r="HI221" s="2"/>
    </row>
    <row r="222" spans="1:217" s="78" customFormat="1" ht="12.75" customHeight="1" x14ac:dyDescent="0.2">
      <c r="A222" s="3"/>
      <c r="B222" s="70" t="s">
        <v>424</v>
      </c>
      <c r="C222" s="91"/>
      <c r="D222" s="80"/>
      <c r="E222" s="91"/>
      <c r="F222" s="80"/>
      <c r="G222" s="91"/>
      <c r="H222" s="80"/>
      <c r="I222" s="91"/>
      <c r="J222" s="80"/>
      <c r="K222" s="91"/>
      <c r="L222" s="72"/>
      <c r="M222" s="91"/>
      <c r="N222" s="72"/>
      <c r="O222" s="91"/>
      <c r="P222" s="72"/>
      <c r="Q222" s="91"/>
      <c r="R222" s="72"/>
      <c r="S222" s="91"/>
      <c r="T222" s="72"/>
      <c r="U222" s="91"/>
      <c r="V222" s="72"/>
      <c r="W222" s="91"/>
      <c r="X222" s="72"/>
      <c r="Y222" s="91"/>
      <c r="Z222" s="72"/>
      <c r="AA222" s="91"/>
      <c r="AB222" s="72"/>
      <c r="AC222" s="91"/>
      <c r="AD222" s="72"/>
      <c r="AE222" s="91"/>
      <c r="AF222" s="72"/>
      <c r="AG222" s="91"/>
      <c r="AH222" s="72"/>
      <c r="AI222" s="91"/>
      <c r="AJ222" s="72"/>
      <c r="AK222" s="91"/>
      <c r="AL222" s="72"/>
      <c r="AM222" s="91"/>
      <c r="AN222" s="72"/>
      <c r="AO222" s="91"/>
      <c r="AP222" s="72"/>
      <c r="AQ222" s="91"/>
      <c r="AR222" s="72"/>
      <c r="AS222" s="91"/>
      <c r="AT222" s="72"/>
      <c r="AU222" s="91"/>
      <c r="AV222" s="72"/>
      <c r="AW222" s="91"/>
      <c r="AX222" s="72"/>
      <c r="AY222" s="91"/>
      <c r="AZ222" s="72"/>
      <c r="BA222" s="91"/>
      <c r="BB222" s="72"/>
      <c r="BC222" s="91"/>
      <c r="BD222" s="72"/>
      <c r="BE222" s="91"/>
      <c r="BF222" s="72"/>
      <c r="BG222" s="91"/>
      <c r="BH222" s="72"/>
      <c r="BI222" s="91"/>
      <c r="BJ222" s="72"/>
      <c r="BK222" s="91"/>
      <c r="BL222" s="72"/>
      <c r="BM222" s="91"/>
      <c r="BN222" s="72"/>
      <c r="BO222" s="91"/>
      <c r="BP222" s="72"/>
      <c r="BQ222" s="91"/>
      <c r="BR222" s="72"/>
      <c r="BS222" s="91"/>
      <c r="BT222" s="72"/>
      <c r="BU222" s="91"/>
      <c r="BV222" s="72"/>
      <c r="BW222" s="91"/>
      <c r="BX222" s="72"/>
      <c r="BY222" s="91"/>
      <c r="BZ222" s="72"/>
      <c r="CA222" s="91"/>
      <c r="CB222" s="72"/>
      <c r="CC222" s="91"/>
      <c r="CD222" s="72"/>
      <c r="CE222" s="91"/>
      <c r="CF222" s="72"/>
      <c r="CG222" s="91"/>
      <c r="CH222" s="72"/>
      <c r="CI222" s="91"/>
      <c r="CJ222" s="72"/>
      <c r="CK222" s="91"/>
      <c r="CL222" s="72"/>
      <c r="CM222" s="91"/>
      <c r="CN222" s="72"/>
      <c r="CO222" s="91"/>
      <c r="CP222" s="72"/>
      <c r="CQ222" s="91"/>
      <c r="CR222" s="72"/>
      <c r="CS222" s="91"/>
      <c r="CT222" s="72"/>
      <c r="CU222" s="91"/>
      <c r="CV222" s="72"/>
      <c r="CW222" s="91"/>
      <c r="CX222" s="72"/>
      <c r="CY222" s="91"/>
      <c r="CZ222" s="72"/>
      <c r="DA222" s="91"/>
      <c r="DB222" s="72"/>
      <c r="DC222" s="91"/>
      <c r="DD222" s="72"/>
      <c r="DE222" s="91"/>
      <c r="DF222" s="72"/>
      <c r="DG222" s="91">
        <f>DG217-DG221</f>
        <v>241</v>
      </c>
      <c r="DH222" s="72"/>
      <c r="DI222" s="91">
        <f>DI217-DI221</f>
        <v>240</v>
      </c>
      <c r="DJ222" s="72"/>
      <c r="DK222" s="91">
        <f>DK217-DK221</f>
        <v>284</v>
      </c>
      <c r="DL222" s="72"/>
      <c r="DM222" s="91">
        <f>DM217-DM221</f>
        <v>276</v>
      </c>
      <c r="DN222" s="72" t="str">
        <f t="shared" si="1295"/>
        <v>NA</v>
      </c>
      <c r="DO222" s="91">
        <f>DO217-DO221</f>
        <v>248</v>
      </c>
      <c r="DP222" s="72">
        <f t="shared" si="1295"/>
        <v>2.9045643153526868</v>
      </c>
      <c r="DQ222" s="91">
        <f>DQ217-DQ221</f>
        <v>224</v>
      </c>
      <c r="DR222" s="72">
        <f t="shared" si="1295"/>
        <v>-6.6666666666666714</v>
      </c>
      <c r="DS222" s="91">
        <f>DS217-DS221</f>
        <v>224</v>
      </c>
      <c r="DT222" s="72">
        <f t="shared" si="1295"/>
        <v>-21.126760563380287</v>
      </c>
      <c r="DU222" s="91">
        <f>DU217-DU221</f>
        <v>232</v>
      </c>
      <c r="DV222" s="72">
        <f t="shared" si="1295"/>
        <v>-15.94202898550725</v>
      </c>
      <c r="DW222" s="91">
        <f>DW217-DW221</f>
        <v>232</v>
      </c>
      <c r="DX222" s="72">
        <f t="shared" si="1295"/>
        <v>-6.4516129032258078</v>
      </c>
      <c r="DY222" s="91">
        <f>DY217-DY221</f>
        <v>203</v>
      </c>
      <c r="DZ222" s="72">
        <f t="shared" si="1295"/>
        <v>-9.375</v>
      </c>
      <c r="EA222" s="91">
        <f>EA217-EA221</f>
        <v>239</v>
      </c>
      <c r="EB222" s="72">
        <f>IF(ISERROR(EA222/DS222),"NA",IF(OR(EA222/DS222&gt;2,EA222/DS222&lt;0.5),"NM",EA222/DS222*100-100))</f>
        <v>6.6964285714285836</v>
      </c>
      <c r="EC222" s="91">
        <f>EC217-EC221</f>
        <v>240</v>
      </c>
      <c r="ED222" s="72">
        <f>IF(ISERROR(EC222/DU222),"NA",IF(OR(EC222/DU222&gt;2,EC222/DU222&lt;0.5),"NM",EC222/DU222*100-100))</f>
        <v>3.448275862068968</v>
      </c>
      <c r="EE222" s="91">
        <f>EE217-EE221</f>
        <v>238</v>
      </c>
      <c r="EF222" s="72">
        <f>IF(ISERROR(EE222/DW222),"NA",IF(OR(EE222/DW222&gt;2,EE222/DW222&lt;0.5),"NM",EE222/DW222*100-100))</f>
        <v>2.5862068965517295</v>
      </c>
      <c r="EG222" s="91">
        <f>EG217-EG221</f>
        <v>258</v>
      </c>
      <c r="EH222" s="72">
        <f>IF(ISERROR(EG222/DY222),"NA",IF(OR(EG222/DY222&gt;2,EG222/DY222&lt;0.5),"NM",EG222/DY222*100-100))</f>
        <v>27.093596059113295</v>
      </c>
      <c r="EI222" s="91">
        <f>EI217-EI221</f>
        <v>292</v>
      </c>
      <c r="EJ222" s="72">
        <f>IF(ISERROR(EI222/EA222),"NA",IF(OR(EI222/EA222&gt;2,EI222/EA222&lt;0.5),"NM",EI222/EA222*100-100))</f>
        <v>22.175732217573227</v>
      </c>
      <c r="EK222" s="91">
        <f>EK217-EK221</f>
        <v>273</v>
      </c>
      <c r="EL222" s="72">
        <f>IF(ISERROR(EK222/EC222),"NA",IF(OR(EK222/EC222&gt;2,EK222/EC222&lt;0.5),"NM",EK222/EC222*100-100))</f>
        <v>13.75</v>
      </c>
      <c r="EM222" s="91">
        <f>EM217-EM221</f>
        <v>253</v>
      </c>
      <c r="EN222" s="72">
        <f>IF(ISERROR(EM222/EE222),"NA",IF(OR(EM222/EE222&gt;2,EM222/EE222&lt;0.5),"NM",EM222/EE222*100-100))</f>
        <v>6.3025210084033603</v>
      </c>
      <c r="EO222" s="91">
        <f>EO217-EO221</f>
        <v>251</v>
      </c>
      <c r="EP222" s="72">
        <f>IF(ISERROR(EO222/EG222),"NA",IF(OR(EO222/EG222&gt;2,EO222/EG222&lt;0.5),"NM",EO222/EG222*100-100))</f>
        <v>-2.7131782945736518</v>
      </c>
      <c r="EQ222" s="91"/>
      <c r="ER222" s="72" t="str">
        <f t="shared" si="1296"/>
        <v>NM</v>
      </c>
      <c r="ES222" s="91"/>
      <c r="ET222" s="72" t="str">
        <f t="shared" si="1297"/>
        <v>NM</v>
      </c>
      <c r="EU222" s="91"/>
      <c r="EV222" s="72" t="str">
        <f t="shared" si="1298"/>
        <v>NM</v>
      </c>
      <c r="EW222" s="91"/>
      <c r="EX222" s="72" t="str">
        <f t="shared" si="1299"/>
        <v>NM</v>
      </c>
      <c r="EY222" s="72"/>
      <c r="EZ222" s="314"/>
      <c r="FA222" s="72"/>
      <c r="FB222" s="91"/>
      <c r="FC222" s="80"/>
      <c r="FD222" s="91"/>
      <c r="FE222" s="72"/>
      <c r="FF222" s="91"/>
      <c r="FG222" s="72"/>
      <c r="FH222" s="91"/>
      <c r="FI222" s="72"/>
      <c r="FJ222" s="91"/>
      <c r="FK222" s="72"/>
      <c r="FL222" s="91"/>
      <c r="FM222" s="72"/>
      <c r="FN222" s="75"/>
      <c r="FO222" s="72"/>
      <c r="FP222" s="91"/>
      <c r="FQ222" s="72"/>
      <c r="FR222" s="91"/>
      <c r="FS222" s="72"/>
      <c r="FT222" s="91"/>
      <c r="FU222" s="72"/>
      <c r="FV222" s="91"/>
      <c r="FW222" s="72"/>
      <c r="FX222" s="91"/>
      <c r="FY222" s="72"/>
      <c r="FZ222" s="91"/>
      <c r="GA222" s="72"/>
      <c r="GB222" s="91"/>
      <c r="GC222" s="72"/>
      <c r="GD222" s="91"/>
      <c r="GE222" s="72"/>
      <c r="GF222" s="91">
        <f>GF217-GF221</f>
        <v>941</v>
      </c>
      <c r="GG222" s="72"/>
      <c r="GH222" s="91">
        <f>GH217-GH221</f>
        <v>1032</v>
      </c>
      <c r="GI222" s="72"/>
      <c r="GJ222" s="91"/>
      <c r="GK222" s="72"/>
      <c r="GL222" s="91"/>
      <c r="GM222" s="72"/>
      <c r="GN222" s="91"/>
      <c r="GO222" s="72"/>
      <c r="GP222" s="91"/>
      <c r="GQ222" s="72"/>
      <c r="GR222" s="91"/>
      <c r="GS222" s="72"/>
      <c r="GT222" s="91"/>
      <c r="GU222" s="72"/>
      <c r="GV222" s="91"/>
      <c r="GW222" s="72"/>
      <c r="GX222" s="91"/>
      <c r="GY222" s="72"/>
      <c r="GZ222" s="72"/>
      <c r="HA222" s="72"/>
      <c r="HB222" s="72"/>
      <c r="HC222"/>
      <c r="HD222"/>
      <c r="HE222"/>
      <c r="HF222"/>
      <c r="HG222"/>
      <c r="HH222"/>
      <c r="HI222" s="2"/>
    </row>
    <row r="223" spans="1:217" s="3" customFormat="1" ht="12.75" customHeight="1" x14ac:dyDescent="0.2">
      <c r="B223" s="10"/>
      <c r="C223" s="9"/>
      <c r="D223" s="11"/>
      <c r="E223" s="9"/>
      <c r="F223" s="11"/>
      <c r="G223" s="9"/>
      <c r="H223" s="11"/>
      <c r="I223" s="9"/>
      <c r="J223" s="11"/>
      <c r="K223" s="9"/>
      <c r="L223" s="11"/>
      <c r="M223" s="9"/>
      <c r="N223" s="11"/>
      <c r="O223" s="9"/>
      <c r="P223" s="11"/>
      <c r="Q223" s="9"/>
      <c r="R223" s="11"/>
      <c r="S223" s="9"/>
      <c r="T223" s="11"/>
      <c r="U223" s="9"/>
      <c r="V223" s="11"/>
      <c r="W223" s="9"/>
      <c r="X223" s="11"/>
      <c r="Y223" s="9"/>
      <c r="Z223" s="11"/>
      <c r="AA223" s="9"/>
      <c r="AB223" s="11"/>
      <c r="AC223" s="9"/>
      <c r="AD223" s="11"/>
      <c r="AE223" s="9"/>
      <c r="AF223" s="11"/>
      <c r="AG223" s="9"/>
      <c r="AH223" s="11"/>
      <c r="AI223" s="9"/>
      <c r="AJ223" s="11"/>
      <c r="AK223" s="9"/>
      <c r="AL223" s="11"/>
      <c r="AM223" s="9"/>
      <c r="AN223" s="11"/>
      <c r="AO223" s="9"/>
      <c r="AP223" s="11"/>
      <c r="AQ223" s="9"/>
      <c r="AR223" s="11"/>
      <c r="AS223" s="9"/>
      <c r="AT223" s="11"/>
      <c r="AU223" s="9"/>
      <c r="AV223" s="11"/>
      <c r="AW223" s="9"/>
      <c r="AX223" s="11"/>
      <c r="AY223" s="9"/>
      <c r="AZ223" s="11"/>
      <c r="BA223" s="9"/>
      <c r="BB223" s="11"/>
      <c r="BC223" s="9"/>
      <c r="BD223" s="11"/>
      <c r="BE223" s="9"/>
      <c r="BF223" s="11"/>
      <c r="BG223" s="9"/>
      <c r="BH223" s="11"/>
      <c r="BI223" s="9"/>
      <c r="BJ223" s="11"/>
      <c r="BK223" s="9"/>
      <c r="BL223" s="11"/>
      <c r="BM223" s="9"/>
      <c r="BN223" s="11"/>
      <c r="BO223" s="9"/>
      <c r="BP223" s="11"/>
      <c r="BQ223" s="9"/>
      <c r="BR223" s="11"/>
      <c r="BS223" s="9"/>
      <c r="BT223" s="11"/>
      <c r="BU223" s="9"/>
      <c r="BV223" s="11"/>
      <c r="BW223" s="9"/>
      <c r="BX223" s="11"/>
      <c r="BY223" s="9"/>
      <c r="BZ223" s="11"/>
      <c r="CA223" s="9"/>
      <c r="CB223" s="11"/>
      <c r="CC223" s="9"/>
      <c r="CD223" s="11"/>
      <c r="CE223" s="9"/>
      <c r="CF223" s="11"/>
      <c r="CG223" s="9"/>
      <c r="CH223" s="11"/>
      <c r="CI223" s="9"/>
      <c r="CJ223" s="11"/>
      <c r="CK223" s="9"/>
      <c r="CL223" s="11"/>
      <c r="CM223" s="9"/>
      <c r="CN223" s="11"/>
      <c r="CO223" s="9"/>
      <c r="CP223" s="11"/>
      <c r="CQ223" s="9"/>
      <c r="CR223" s="11"/>
      <c r="CS223" s="9"/>
      <c r="CT223" s="11"/>
      <c r="CU223" s="9"/>
      <c r="CV223" s="11"/>
      <c r="CW223" s="9"/>
      <c r="CX223" s="11"/>
      <c r="CY223" s="9"/>
      <c r="CZ223" s="11"/>
      <c r="DA223" s="9"/>
      <c r="DB223" s="11"/>
      <c r="DC223" s="144"/>
      <c r="DD223" s="11"/>
      <c r="DE223" s="144"/>
      <c r="DF223" s="11"/>
      <c r="DG223" s="144"/>
      <c r="DH223" s="11"/>
      <c r="DI223" s="144"/>
      <c r="DJ223" s="11"/>
      <c r="DK223" s="144"/>
      <c r="DL223" s="11"/>
      <c r="DM223" s="144"/>
      <c r="DN223" s="11"/>
      <c r="DO223" s="144"/>
      <c r="DP223" s="11"/>
      <c r="DQ223" s="144"/>
      <c r="DR223" s="11"/>
      <c r="DS223" s="144"/>
      <c r="DT223" s="11"/>
      <c r="DU223" s="144"/>
      <c r="DV223" s="11"/>
      <c r="DW223" s="9"/>
      <c r="DX223" s="11"/>
      <c r="DY223" s="9"/>
      <c r="DZ223" s="11"/>
      <c r="EA223" s="9"/>
      <c r="EB223" s="11"/>
      <c r="EC223" s="9"/>
      <c r="ED223" s="11"/>
      <c r="EE223" s="9"/>
      <c r="EF223" s="11"/>
      <c r="EG223" s="9"/>
      <c r="EH223" s="11"/>
      <c r="EI223" s="9"/>
      <c r="EJ223" s="11"/>
      <c r="EK223" s="9"/>
      <c r="EL223" s="11"/>
      <c r="EM223" s="9"/>
      <c r="EN223" s="11"/>
      <c r="EO223" s="9"/>
      <c r="EP223" s="11"/>
      <c r="EQ223" s="9"/>
      <c r="ER223" s="11"/>
      <c r="ES223" s="9"/>
      <c r="ET223" s="11"/>
      <c r="EU223" s="9"/>
      <c r="EV223" s="11"/>
      <c r="EW223" s="9"/>
      <c r="EX223" s="11"/>
      <c r="EY223" s="11"/>
      <c r="EZ223" s="296"/>
      <c r="FA223" s="11"/>
      <c r="FB223" s="9"/>
      <c r="FC223" s="11"/>
      <c r="FD223" s="9"/>
      <c r="FE223" s="11"/>
      <c r="FF223" s="16"/>
      <c r="FG223" s="11"/>
      <c r="FH223" s="16"/>
      <c r="FI223" s="11"/>
      <c r="FJ223" s="16"/>
      <c r="FK223" s="11"/>
      <c r="FL223" s="16"/>
      <c r="FM223" s="11"/>
      <c r="FN223" s="16"/>
      <c r="FO223" s="11"/>
      <c r="FP223" s="9"/>
      <c r="FQ223" s="11"/>
      <c r="FR223" s="9"/>
      <c r="FS223" s="11"/>
      <c r="FT223" s="9"/>
      <c r="FU223" s="11"/>
      <c r="FV223" s="9"/>
      <c r="FW223" s="11"/>
      <c r="FX223" s="9"/>
      <c r="FY223" s="11"/>
      <c r="FZ223" s="9"/>
      <c r="GA223" s="11"/>
      <c r="GB223" s="9"/>
      <c r="GC223" s="11"/>
      <c r="GD223" s="9"/>
      <c r="GE223" s="11"/>
      <c r="GF223" s="9"/>
      <c r="GG223" s="11"/>
      <c r="GH223" s="9"/>
      <c r="GI223" s="11"/>
      <c r="GJ223" s="9"/>
      <c r="GK223" s="11"/>
      <c r="GL223" s="9"/>
      <c r="GM223" s="11"/>
      <c r="GN223" s="9"/>
      <c r="GO223" s="11"/>
      <c r="GP223" s="9"/>
      <c r="GQ223" s="11"/>
      <c r="GR223" s="9"/>
      <c r="GS223" s="11"/>
      <c r="GT223" s="9"/>
      <c r="GU223" s="11"/>
      <c r="GV223" s="9"/>
      <c r="GW223" s="11"/>
      <c r="GX223" s="9"/>
      <c r="GY223" s="11"/>
      <c r="GZ223" s="11"/>
      <c r="HA223" s="11"/>
      <c r="HB223" s="11"/>
      <c r="HC223"/>
      <c r="HD223"/>
      <c r="HE223"/>
      <c r="HF223"/>
      <c r="HG223"/>
      <c r="HH223"/>
      <c r="HI223" s="2"/>
    </row>
    <row r="224" spans="1:217" s="295" customFormat="1" ht="12.75" customHeight="1" collapsed="1" x14ac:dyDescent="0.2">
      <c r="B224" s="291" t="s">
        <v>452</v>
      </c>
      <c r="C224" s="292"/>
      <c r="D224" s="293"/>
      <c r="E224" s="292"/>
      <c r="F224" s="293"/>
      <c r="G224" s="292"/>
      <c r="H224" s="293"/>
      <c r="I224" s="292"/>
      <c r="J224" s="293"/>
      <c r="K224" s="292"/>
      <c r="L224" s="293"/>
      <c r="M224" s="292"/>
      <c r="N224" s="293"/>
      <c r="O224" s="292"/>
      <c r="P224" s="293"/>
      <c r="Q224" s="292"/>
      <c r="R224" s="293"/>
      <c r="S224" s="292"/>
      <c r="T224" s="293"/>
      <c r="U224" s="292"/>
      <c r="V224" s="293"/>
      <c r="W224" s="292"/>
      <c r="X224" s="293"/>
      <c r="Y224" s="292"/>
      <c r="Z224" s="293"/>
      <c r="AA224" s="292"/>
      <c r="AB224" s="293"/>
      <c r="AC224" s="292"/>
      <c r="AD224" s="293"/>
      <c r="AE224" s="292"/>
      <c r="AF224" s="293"/>
      <c r="AG224" s="292"/>
      <c r="AH224" s="293"/>
      <c r="AI224" s="292"/>
      <c r="AJ224" s="293"/>
      <c r="AK224" s="292"/>
      <c r="AL224" s="293"/>
      <c r="AM224" s="292"/>
      <c r="AN224" s="293"/>
      <c r="AO224" s="292"/>
      <c r="AP224" s="293"/>
      <c r="AQ224" s="292"/>
      <c r="AR224" s="293"/>
      <c r="AS224" s="292"/>
      <c r="AT224" s="293"/>
      <c r="AU224" s="292"/>
      <c r="AV224" s="293"/>
      <c r="AW224" s="292"/>
      <c r="AX224" s="293"/>
      <c r="AY224" s="292"/>
      <c r="AZ224" s="293"/>
      <c r="BA224" s="292"/>
      <c r="BB224" s="293"/>
      <c r="BC224" s="292"/>
      <c r="BD224" s="293"/>
      <c r="BE224" s="292"/>
      <c r="BF224" s="293"/>
      <c r="BG224" s="292"/>
      <c r="BH224" s="293"/>
      <c r="BI224" s="292"/>
      <c r="BJ224" s="293"/>
      <c r="BK224" s="292"/>
      <c r="BL224" s="293"/>
      <c r="BM224" s="292"/>
      <c r="BN224" s="293"/>
      <c r="BO224" s="292"/>
      <c r="BP224" s="293"/>
      <c r="BQ224" s="294"/>
      <c r="BR224" s="294"/>
      <c r="BS224" s="294"/>
      <c r="BT224" s="293"/>
      <c r="BU224" s="294"/>
      <c r="BV224" s="293"/>
      <c r="BW224" s="294"/>
      <c r="BX224" s="293"/>
      <c r="BY224" s="294"/>
      <c r="BZ224" s="293"/>
      <c r="CA224" s="294"/>
      <c r="CB224" s="293"/>
      <c r="CC224" s="294"/>
      <c r="CD224" s="293"/>
      <c r="CE224" s="294"/>
      <c r="CF224" s="293"/>
      <c r="CG224" s="294"/>
      <c r="CH224" s="293"/>
      <c r="CI224" s="294"/>
      <c r="CJ224" s="293"/>
      <c r="CK224" s="294"/>
      <c r="CL224" s="293"/>
      <c r="CM224" s="294"/>
      <c r="CN224" s="293"/>
      <c r="CO224" s="294"/>
      <c r="CP224" s="293"/>
      <c r="CQ224" s="294"/>
      <c r="CR224" s="293"/>
      <c r="CS224" s="294"/>
      <c r="CT224" s="293"/>
      <c r="CU224" s="294"/>
      <c r="CV224" s="293"/>
      <c r="CW224" s="294"/>
      <c r="CX224" s="293"/>
      <c r="CY224" s="294"/>
      <c r="CZ224" s="293"/>
      <c r="DA224" s="294"/>
      <c r="DB224" s="293"/>
      <c r="DC224" s="294"/>
      <c r="DD224" s="293"/>
      <c r="DE224" s="294"/>
      <c r="DF224" s="293"/>
      <c r="DG224" s="294"/>
      <c r="DH224" s="293"/>
      <c r="DI224" s="294"/>
      <c r="DJ224" s="293"/>
      <c r="DK224" s="294"/>
      <c r="DL224" s="293"/>
      <c r="DM224" s="294"/>
      <c r="DN224" s="293"/>
      <c r="DO224" s="294"/>
      <c r="DP224" s="293"/>
      <c r="DQ224" s="294"/>
      <c r="DR224" s="293"/>
      <c r="DS224" s="294"/>
      <c r="DT224" s="293"/>
      <c r="DU224" s="294"/>
      <c r="DV224" s="293"/>
      <c r="DW224" s="292"/>
      <c r="DX224" s="293"/>
      <c r="DY224" s="292"/>
      <c r="DZ224" s="293"/>
      <c r="EA224" s="292"/>
      <c r="EB224" s="293"/>
      <c r="EC224" s="292"/>
      <c r="ED224" s="293"/>
      <c r="EE224" s="292"/>
      <c r="EF224" s="293"/>
      <c r="EG224" s="292"/>
      <c r="EH224" s="293"/>
      <c r="EI224" s="292"/>
      <c r="EJ224" s="293"/>
      <c r="EK224" s="292"/>
      <c r="EL224" s="293"/>
      <c r="EM224" s="292"/>
      <c r="EN224" s="293"/>
      <c r="EO224" s="292"/>
      <c r="EP224" s="293"/>
      <c r="EQ224" s="292"/>
      <c r="ER224" s="293"/>
      <c r="ES224" s="292"/>
      <c r="ET224" s="293"/>
      <c r="EU224" s="292"/>
      <c r="EV224" s="293"/>
      <c r="EW224" s="292"/>
      <c r="EX224" s="293"/>
      <c r="EY224" s="293"/>
      <c r="EZ224" s="299"/>
      <c r="FA224" s="293"/>
      <c r="FB224" s="292"/>
      <c r="FC224" s="293"/>
      <c r="FD224" s="292"/>
      <c r="FE224" s="293"/>
      <c r="FF224" s="292"/>
      <c r="FG224" s="293"/>
      <c r="FH224" s="292"/>
      <c r="FI224" s="293"/>
      <c r="FJ224" s="292"/>
      <c r="FK224" s="293"/>
      <c r="FL224" s="292"/>
      <c r="FM224" s="293"/>
      <c r="FN224" s="292"/>
      <c r="FO224" s="293"/>
      <c r="FP224" s="292"/>
      <c r="FQ224" s="293"/>
      <c r="FR224" s="294"/>
      <c r="FS224" s="293"/>
      <c r="FT224" s="294"/>
      <c r="FU224" s="293"/>
      <c r="FV224" s="294"/>
      <c r="FW224" s="293"/>
      <c r="FX224" s="294"/>
      <c r="FY224" s="293"/>
      <c r="FZ224" s="294"/>
      <c r="GA224" s="293"/>
      <c r="GB224" s="294"/>
      <c r="GC224" s="293"/>
      <c r="GD224" s="294"/>
      <c r="GE224" s="293"/>
      <c r="GF224" s="294"/>
      <c r="GG224" s="293"/>
      <c r="GH224" s="294"/>
      <c r="GI224" s="293"/>
      <c r="GJ224" s="294"/>
      <c r="GK224" s="293"/>
      <c r="GL224" s="294"/>
      <c r="GM224" s="293"/>
      <c r="GN224" s="294"/>
      <c r="GO224" s="293"/>
      <c r="GP224" s="294"/>
      <c r="GQ224" s="293"/>
      <c r="GR224" s="292"/>
      <c r="GS224" s="293"/>
      <c r="GT224" s="292"/>
      <c r="GU224" s="293"/>
      <c r="GV224" s="292"/>
      <c r="GW224" s="293"/>
      <c r="GX224" s="292"/>
      <c r="GY224" s="293"/>
      <c r="GZ224" s="293"/>
      <c r="HA224" s="293"/>
      <c r="HB224" s="293"/>
      <c r="HC224"/>
      <c r="HD224"/>
      <c r="HE224"/>
      <c r="HF224"/>
      <c r="HG224"/>
      <c r="HH224"/>
      <c r="HI224" s="290"/>
    </row>
    <row r="225" spans="1:217" ht="12.75" customHeight="1" x14ac:dyDescent="0.2">
      <c r="B225" s="10"/>
      <c r="C225" s="108"/>
      <c r="D225" s="72"/>
      <c r="E225" s="108"/>
      <c r="F225" s="72"/>
      <c r="G225" s="108"/>
      <c r="H225" s="72"/>
      <c r="I225" s="108"/>
      <c r="J225" s="72"/>
      <c r="K225" s="108"/>
      <c r="L225" s="72"/>
      <c r="M225" s="108"/>
      <c r="N225" s="72"/>
      <c r="O225" s="108"/>
      <c r="P225" s="72"/>
      <c r="Q225" s="108"/>
      <c r="R225" s="72"/>
      <c r="S225" s="108"/>
      <c r="T225" s="72"/>
      <c r="U225" s="108"/>
      <c r="V225" s="72"/>
      <c r="W225" s="108"/>
      <c r="X225" s="72"/>
      <c r="Y225" s="108"/>
      <c r="Z225" s="72"/>
      <c r="AA225" s="108"/>
      <c r="AB225" s="72"/>
      <c r="AC225" s="108"/>
      <c r="AD225" s="72"/>
      <c r="AE225" s="108"/>
      <c r="AF225" s="72"/>
      <c r="AG225" s="108"/>
      <c r="AH225" s="72"/>
      <c r="AI225" s="108"/>
      <c r="AJ225" s="72"/>
      <c r="AK225" s="108"/>
      <c r="AL225" s="72"/>
      <c r="AM225" s="108"/>
      <c r="AN225" s="72"/>
      <c r="AO225" s="108"/>
      <c r="AP225" s="72"/>
      <c r="AQ225" s="108"/>
      <c r="AR225" s="72"/>
      <c r="AS225" s="108"/>
      <c r="AT225" s="72"/>
      <c r="AU225" s="108"/>
      <c r="AV225" s="72"/>
      <c r="AW225" s="108"/>
      <c r="AX225" s="72"/>
      <c r="AY225" s="108"/>
      <c r="AZ225" s="72"/>
      <c r="BA225" s="108"/>
      <c r="BB225" s="72"/>
      <c r="BC225" s="108"/>
      <c r="BD225" s="72"/>
      <c r="BE225" s="108"/>
      <c r="BF225" s="72"/>
      <c r="BG225" s="108"/>
      <c r="BH225" s="72"/>
      <c r="BI225" s="108"/>
      <c r="BJ225" s="72"/>
      <c r="BK225" s="108"/>
      <c r="BL225" s="72"/>
      <c r="BM225" s="108"/>
      <c r="BN225" s="72"/>
      <c r="BO225" s="108"/>
      <c r="BP225" s="72"/>
      <c r="BQ225" s="108"/>
      <c r="BR225" s="72"/>
      <c r="BS225" s="108"/>
      <c r="BT225" s="72"/>
      <c r="BU225" s="108"/>
      <c r="BV225" s="72"/>
      <c r="BW225" s="108"/>
      <c r="BX225" s="72"/>
      <c r="BY225" s="108"/>
      <c r="BZ225" s="72"/>
      <c r="CA225" s="108"/>
      <c r="CB225" s="72"/>
      <c r="CC225" s="108"/>
      <c r="CD225" s="72"/>
      <c r="CE225" s="108"/>
      <c r="CF225" s="72"/>
      <c r="CG225" s="108"/>
      <c r="CH225" s="72"/>
      <c r="CI225" s="108"/>
      <c r="CJ225" s="72"/>
      <c r="CK225" s="108"/>
      <c r="CL225" s="72"/>
      <c r="CM225" s="108"/>
      <c r="CN225" s="72"/>
      <c r="CO225" s="108"/>
      <c r="CP225" s="72"/>
      <c r="CQ225" s="108"/>
      <c r="CR225" s="72"/>
      <c r="CS225" s="108"/>
      <c r="CT225" s="72"/>
      <c r="CU225" s="108"/>
      <c r="CV225" s="72"/>
      <c r="CW225" s="108"/>
      <c r="CX225" s="72"/>
      <c r="CY225" s="108"/>
      <c r="CZ225" s="72"/>
      <c r="DA225" s="108"/>
      <c r="DB225" s="72"/>
      <c r="DC225" s="108"/>
      <c r="DD225" s="72"/>
      <c r="DE225" s="108"/>
      <c r="DF225" s="72"/>
      <c r="DG225" s="108"/>
      <c r="DH225" s="72"/>
      <c r="DI225" s="108"/>
      <c r="DJ225" s="72"/>
      <c r="DK225" s="108"/>
      <c r="DL225" s="72"/>
      <c r="DM225" s="108"/>
      <c r="DN225" s="72"/>
      <c r="DO225" s="108"/>
      <c r="DP225" s="72"/>
      <c r="DQ225" s="108"/>
      <c r="DR225" s="72"/>
      <c r="DS225" s="108"/>
      <c r="DT225" s="72"/>
      <c r="DU225" s="108"/>
      <c r="DV225" s="72"/>
      <c r="DW225" s="109"/>
      <c r="DX225" s="72"/>
      <c r="DY225" s="109"/>
      <c r="DZ225" s="72"/>
      <c r="EA225" s="109"/>
      <c r="EB225" s="72"/>
      <c r="EC225" s="109"/>
      <c r="ED225" s="72"/>
      <c r="EE225" s="109"/>
      <c r="EF225" s="72"/>
      <c r="EG225" s="109"/>
      <c r="EH225" s="72"/>
      <c r="EI225" s="109"/>
      <c r="EJ225" s="72"/>
      <c r="EK225" s="109"/>
      <c r="EL225" s="72"/>
      <c r="EM225" s="109"/>
      <c r="EN225" s="72"/>
      <c r="EO225" s="109"/>
      <c r="EP225" s="72"/>
      <c r="EQ225" s="109"/>
      <c r="ER225" s="72"/>
      <c r="ES225" s="109"/>
      <c r="ET225" s="72"/>
      <c r="EU225" s="109"/>
      <c r="EV225" s="72"/>
      <c r="EW225" s="109"/>
      <c r="EX225" s="72"/>
      <c r="EY225" s="72"/>
      <c r="EZ225" s="306"/>
      <c r="FA225" s="72"/>
      <c r="FB225" s="108"/>
      <c r="FC225" s="72"/>
      <c r="FD225" s="108"/>
      <c r="FE225" s="72"/>
      <c r="FF225" s="108"/>
      <c r="FG225" s="72"/>
      <c r="FH225" s="108"/>
      <c r="FI225" s="72"/>
      <c r="FJ225" s="108"/>
      <c r="FK225" s="72"/>
      <c r="FL225" s="108"/>
      <c r="FM225" s="72"/>
      <c r="FN225" s="108"/>
      <c r="FO225" s="72"/>
      <c r="FP225" s="108"/>
      <c r="FQ225" s="72"/>
      <c r="FR225" s="109"/>
      <c r="FS225" s="72"/>
      <c r="FT225" s="109"/>
      <c r="FU225" s="72"/>
      <c r="FV225" s="109"/>
      <c r="FW225" s="72"/>
      <c r="FX225" s="109"/>
      <c r="FY225" s="72"/>
      <c r="FZ225" s="109"/>
      <c r="GA225" s="72"/>
      <c r="GB225" s="109"/>
      <c r="GC225" s="72"/>
      <c r="GD225" s="109"/>
      <c r="GE225" s="72"/>
      <c r="GF225" s="109"/>
      <c r="GG225" s="72"/>
      <c r="GH225" s="109"/>
      <c r="GI225" s="72"/>
      <c r="GJ225" s="109"/>
      <c r="GK225" s="72"/>
      <c r="GL225" s="109"/>
      <c r="GM225" s="72"/>
      <c r="GN225" s="109"/>
      <c r="GO225" s="72"/>
      <c r="GP225" s="109"/>
      <c r="GQ225" s="72"/>
      <c r="GR225" s="109"/>
      <c r="GS225" s="72"/>
      <c r="GT225" s="109"/>
      <c r="GU225" s="72"/>
      <c r="GV225" s="109"/>
      <c r="GW225" s="72"/>
      <c r="GX225" s="109"/>
      <c r="GY225" s="72"/>
      <c r="GZ225" s="72"/>
      <c r="HA225" s="72"/>
      <c r="HB225" s="72"/>
    </row>
    <row r="226" spans="1:217" s="102" customFormat="1" ht="12.75" customHeight="1" x14ac:dyDescent="0.2">
      <c r="B226" s="70" t="s">
        <v>489</v>
      </c>
      <c r="C226" s="100"/>
      <c r="D226" s="72"/>
      <c r="E226" s="100"/>
      <c r="F226" s="72"/>
      <c r="G226" s="100"/>
      <c r="H226" s="72"/>
      <c r="I226" s="100"/>
      <c r="J226" s="72"/>
      <c r="K226" s="100"/>
      <c r="L226" s="72"/>
      <c r="M226" s="100"/>
      <c r="N226" s="72"/>
      <c r="O226" s="100"/>
      <c r="P226" s="72"/>
      <c r="Q226" s="100"/>
      <c r="R226" s="72"/>
      <c r="S226" s="100"/>
      <c r="T226" s="72"/>
      <c r="U226" s="100"/>
      <c r="V226" s="72"/>
      <c r="W226" s="100"/>
      <c r="X226" s="72"/>
      <c r="Y226" s="100"/>
      <c r="Z226" s="72"/>
      <c r="AA226" s="100"/>
      <c r="AB226" s="72"/>
      <c r="AC226" s="100"/>
      <c r="AD226" s="72"/>
      <c r="AE226" s="100"/>
      <c r="AF226" s="72"/>
      <c r="AG226" s="100"/>
      <c r="AH226" s="72"/>
      <c r="AI226" s="100"/>
      <c r="AJ226" s="72"/>
      <c r="AK226" s="100"/>
      <c r="AL226" s="72"/>
      <c r="AM226" s="100"/>
      <c r="AN226" s="72"/>
      <c r="AO226" s="100"/>
      <c r="AP226" s="72"/>
      <c r="AQ226" s="100"/>
      <c r="AR226" s="72"/>
      <c r="AS226" s="100"/>
      <c r="AT226" s="72"/>
      <c r="AU226" s="100"/>
      <c r="AV226" s="72"/>
      <c r="AW226" s="100"/>
      <c r="AX226" s="72"/>
      <c r="AY226" s="100"/>
      <c r="AZ226" s="72"/>
      <c r="BA226" s="100"/>
      <c r="BB226" s="72"/>
      <c r="BC226" s="100"/>
      <c r="BD226" s="72"/>
      <c r="BE226" s="100"/>
      <c r="BF226" s="72"/>
      <c r="BG226" s="100"/>
      <c r="BH226" s="72"/>
      <c r="BI226" s="100"/>
      <c r="BJ226" s="72"/>
      <c r="BK226" s="100"/>
      <c r="BL226" s="72"/>
      <c r="BM226" s="100"/>
      <c r="BN226" s="72"/>
      <c r="BO226" s="100"/>
      <c r="BP226" s="72"/>
      <c r="BQ226" s="100"/>
      <c r="BR226" s="72"/>
      <c r="BS226" s="100"/>
      <c r="BT226" s="72"/>
      <c r="BU226" s="100"/>
      <c r="BV226" s="72"/>
      <c r="BW226" s="100"/>
      <c r="BX226" s="72"/>
      <c r="BY226" s="100"/>
      <c r="BZ226" s="72"/>
      <c r="CA226" s="100"/>
      <c r="CB226" s="72"/>
      <c r="CC226" s="100"/>
      <c r="CD226" s="72"/>
      <c r="CE226" s="100"/>
      <c r="CF226" s="72"/>
      <c r="CG226" s="100"/>
      <c r="CH226" s="72"/>
      <c r="CI226" s="100"/>
      <c r="CJ226" s="72"/>
      <c r="CK226" s="100"/>
      <c r="CL226" s="72"/>
      <c r="CM226" s="100"/>
      <c r="CN226" s="72"/>
      <c r="CO226" s="100"/>
      <c r="CP226" s="72"/>
      <c r="CQ226" s="100"/>
      <c r="CR226" s="72"/>
      <c r="CS226" s="100"/>
      <c r="CT226" s="72"/>
      <c r="CU226" s="100"/>
      <c r="CV226" s="72"/>
      <c r="CW226" s="100"/>
      <c r="CX226" s="72"/>
      <c r="CY226" s="100"/>
      <c r="CZ226" s="72"/>
      <c r="DA226" s="100"/>
      <c r="DB226" s="72"/>
      <c r="DC226" s="100"/>
      <c r="DD226" s="72"/>
      <c r="DE226" s="100"/>
      <c r="DF226" s="72"/>
      <c r="DG226" s="100"/>
      <c r="DH226" s="72"/>
      <c r="DI226" s="100"/>
      <c r="DJ226" s="72"/>
      <c r="DK226" s="100"/>
      <c r="DL226" s="72"/>
      <c r="DM226" s="100"/>
      <c r="DN226" s="72"/>
      <c r="DO226" s="100"/>
      <c r="DP226" s="72"/>
      <c r="DQ226" s="100"/>
      <c r="DR226" s="72"/>
      <c r="DS226" s="100"/>
      <c r="DT226" s="72"/>
      <c r="DU226" s="100"/>
      <c r="DV226" s="72"/>
      <c r="DW226" s="101"/>
      <c r="DX226" s="72"/>
      <c r="DY226" s="101"/>
      <c r="DZ226" s="72"/>
      <c r="EA226" s="101"/>
      <c r="EB226" s="72"/>
      <c r="EC226" s="101"/>
      <c r="ED226" s="72"/>
      <c r="EE226" s="101"/>
      <c r="EF226" s="72"/>
      <c r="EG226" s="101"/>
      <c r="EH226" s="72"/>
      <c r="EI226" s="101"/>
      <c r="EJ226" s="72"/>
      <c r="EK226" s="101"/>
      <c r="EL226" s="72"/>
      <c r="EM226" s="101"/>
      <c r="EN226" s="72"/>
      <c r="EO226" s="101"/>
      <c r="EP226" s="72"/>
      <c r="EQ226" s="101"/>
      <c r="ER226" s="72"/>
      <c r="ES226" s="101"/>
      <c r="ET226" s="72"/>
      <c r="EU226" s="101"/>
      <c r="EV226" s="72"/>
      <c r="EW226" s="101"/>
      <c r="EX226" s="72"/>
      <c r="EY226" s="72"/>
      <c r="EZ226" s="307"/>
      <c r="FA226" s="72"/>
      <c r="FB226" s="100"/>
      <c r="FC226" s="72"/>
      <c r="FD226" s="100"/>
      <c r="FE226" s="72"/>
      <c r="FF226" s="100"/>
      <c r="FG226" s="72"/>
      <c r="FH226" s="100"/>
      <c r="FI226" s="72"/>
      <c r="FJ226" s="100"/>
      <c r="FK226" s="72"/>
      <c r="FL226" s="100"/>
      <c r="FM226" s="72"/>
      <c r="FN226" s="100"/>
      <c r="FO226" s="72"/>
      <c r="FP226" s="100"/>
      <c r="FQ226" s="72"/>
      <c r="FR226" s="100"/>
      <c r="FS226" s="72"/>
      <c r="FT226" s="100"/>
      <c r="FU226" s="72"/>
      <c r="FV226" s="100"/>
      <c r="FW226" s="72"/>
      <c r="FX226" s="100"/>
      <c r="FY226" s="72"/>
      <c r="FZ226" s="100"/>
      <c r="GA226" s="72"/>
      <c r="GB226" s="100"/>
      <c r="GC226" s="72"/>
      <c r="GD226" s="100"/>
      <c r="GE226" s="72"/>
      <c r="GF226" s="100"/>
      <c r="GG226" s="72"/>
      <c r="GH226" s="100"/>
      <c r="GI226" s="72"/>
      <c r="GJ226" s="100"/>
      <c r="GK226" s="72"/>
      <c r="GL226" s="100"/>
      <c r="GM226" s="72"/>
      <c r="GN226" s="100"/>
      <c r="GO226" s="72"/>
      <c r="GP226" s="100"/>
      <c r="GQ226" s="72"/>
      <c r="GR226" s="101"/>
      <c r="GS226" s="72"/>
      <c r="GT226" s="101"/>
      <c r="GU226" s="72"/>
      <c r="GV226" s="101"/>
      <c r="GW226" s="72"/>
      <c r="GX226" s="101"/>
      <c r="GY226" s="72"/>
      <c r="GZ226" s="72"/>
      <c r="HA226" s="72"/>
      <c r="HB226" s="72"/>
      <c r="HC226"/>
      <c r="HD226"/>
      <c r="HE226"/>
      <c r="HF226"/>
      <c r="HG226"/>
      <c r="HH226"/>
      <c r="HI226" s="2"/>
    </row>
    <row r="227" spans="1:217" s="102" customFormat="1" ht="12.75" customHeight="1" x14ac:dyDescent="0.2">
      <c r="B227" s="77" t="s">
        <v>334</v>
      </c>
      <c r="C227" s="101">
        <f>FF227-I227-G227-E227</f>
        <v>526</v>
      </c>
      <c r="D227" s="72"/>
      <c r="E227" s="101">
        <v>548</v>
      </c>
      <c r="F227" s="72"/>
      <c r="G227" s="101">
        <v>500</v>
      </c>
      <c r="H227" s="72"/>
      <c r="I227" s="101">
        <v>545</v>
      </c>
      <c r="J227" s="72"/>
      <c r="K227" s="101">
        <v>592</v>
      </c>
      <c r="L227" s="72">
        <f t="shared" ref="L227:L232" si="1300">IF(ISERROR(K227/C227),"NA",IF(OR(K227/C227&gt;2,K227/C227&lt;0.5),"NM",K227/C227*100-100))</f>
        <v>12.54752851711028</v>
      </c>
      <c r="M227" s="101">
        <v>619</v>
      </c>
      <c r="N227" s="72">
        <f t="shared" ref="N227:N232" si="1301">IF(ISERROR(M227/E227),"NA",IF(OR(M227/E227&gt;2,M227/E227&lt;0.5),"NM",M227/E227*100-100))</f>
        <v>12.956204379562038</v>
      </c>
      <c r="O227" s="101">
        <v>658</v>
      </c>
      <c r="P227" s="72">
        <f t="shared" ref="P227:P232" si="1302">IF(ISERROR(O227/G227),"NA",IF(OR(O227/G227&gt;2,O227/G227&lt;0.5),"NM",O227/G227*100-100))</f>
        <v>31.599999999999994</v>
      </c>
      <c r="Q227" s="101">
        <v>643</v>
      </c>
      <c r="R227" s="72">
        <f t="shared" ref="R227:AP232" si="1303">IF(ISERROR(Q227/I227),"NA",IF(OR(Q227/I227&gt;2,Q227/I227&lt;0.5),"NM",Q227/I227*100-100))</f>
        <v>17.981651376146772</v>
      </c>
      <c r="S227" s="101">
        <v>694</v>
      </c>
      <c r="T227" s="72">
        <f t="shared" si="1303"/>
        <v>17.22972972972974</v>
      </c>
      <c r="U227" s="101">
        <v>704</v>
      </c>
      <c r="V227" s="72">
        <f t="shared" si="1303"/>
        <v>13.731825525040392</v>
      </c>
      <c r="W227" s="101">
        <v>679</v>
      </c>
      <c r="X227" s="72">
        <f t="shared" si="1303"/>
        <v>3.1914893617021249</v>
      </c>
      <c r="Y227" s="101">
        <v>719</v>
      </c>
      <c r="Z227" s="72">
        <f t="shared" si="1303"/>
        <v>11.819595645412136</v>
      </c>
      <c r="AA227" s="101">
        <v>753</v>
      </c>
      <c r="AB227" s="72">
        <f t="shared" si="1303"/>
        <v>8.5014409221902127</v>
      </c>
      <c r="AC227" s="101">
        <v>741</v>
      </c>
      <c r="AD227" s="72">
        <f t="shared" si="1303"/>
        <v>5.255681818181813</v>
      </c>
      <c r="AE227" s="101">
        <v>719</v>
      </c>
      <c r="AF227" s="72">
        <f t="shared" si="1303"/>
        <v>5.8910162002945583</v>
      </c>
      <c r="AG227" s="101">
        <v>699</v>
      </c>
      <c r="AH227" s="72">
        <f t="shared" si="1303"/>
        <v>-2.7816411682892976</v>
      </c>
      <c r="AI227" s="101">
        <v>754</v>
      </c>
      <c r="AJ227" s="72">
        <f t="shared" si="1303"/>
        <v>0.13280212483400078</v>
      </c>
      <c r="AK227" s="101">
        <v>730</v>
      </c>
      <c r="AL227" s="72">
        <f t="shared" si="1303"/>
        <v>-1.4844804318488514</v>
      </c>
      <c r="AM227" s="101">
        <v>741</v>
      </c>
      <c r="AN227" s="72">
        <f t="shared" si="1303"/>
        <v>3.059805285118216</v>
      </c>
      <c r="AO227" s="101">
        <v>725</v>
      </c>
      <c r="AP227" s="72">
        <f t="shared" si="1303"/>
        <v>3.7195994277539342</v>
      </c>
      <c r="AQ227" s="101">
        <v>818</v>
      </c>
      <c r="AR227" s="72">
        <f t="shared" ref="AR227:AR232" si="1304">IF(ISERROR(AQ227/AI227),"NA",IF(OR(AQ227/AI227&gt;2,AQ227/AI227&lt;0.5),"NM",AQ227/AI227*100-100))</f>
        <v>8.4880636604774509</v>
      </c>
      <c r="AS227" s="101">
        <v>833</v>
      </c>
      <c r="AT227" s="72">
        <f t="shared" ref="AT227:AT232" si="1305">IF(ISERROR(AS227/AK227),"NA",IF(OR(AS227/AK227&gt;2,AS227/AK227&lt;0.5),"NM",AS227/AK227*100-100))</f>
        <v>14.109589041095887</v>
      </c>
      <c r="AU227" s="101">
        <v>802</v>
      </c>
      <c r="AV227" s="72">
        <f t="shared" ref="AV227:AV232" si="1306">IF(ISERROR(AU227/AM227),"NA",IF(OR(AU227/AM227&gt;2,AU227/AM227&lt;0.5),"NM",AU227/AM227*100-100))</f>
        <v>8.2321187584345523</v>
      </c>
      <c r="AW227" s="101">
        <v>817</v>
      </c>
      <c r="AX227" s="72">
        <f t="shared" ref="AX227:AX232" si="1307">IF(ISERROR(AW227/AO227),"NA",IF(OR(AW227/AO227&gt;2,AW227/AO227&lt;0.5),"NM",AW227/AO227*100-100))</f>
        <v>12.689655172413779</v>
      </c>
      <c r="AY227" s="101">
        <v>867</v>
      </c>
      <c r="AZ227" s="72">
        <f t="shared" ref="AZ227:AZ232" si="1308">IF(ISERROR(AY227/AQ227),"NA",IF(OR(AY227/AQ227&gt;2,AY227/AQ227&lt;0.5),"NM",AY227/AQ227*100-100))</f>
        <v>5.9902200488997579</v>
      </c>
      <c r="BA227" s="101">
        <v>886</v>
      </c>
      <c r="BB227" s="72">
        <f t="shared" ref="BB227:BB232" si="1309">IF(ISERROR(BA227/AS227),"NA",IF(OR(BA227/AS227&gt;2,BA227/AS227&lt;0.5),"NM",BA227/AS227*100-100))</f>
        <v>6.3625450180071965</v>
      </c>
      <c r="BC227" s="101">
        <v>892</v>
      </c>
      <c r="BD227" s="72">
        <f t="shared" ref="BD227:BD232" si="1310">IF(ISERROR(BC227/AU227),"NA",IF(OR(BC227/AU227&gt;2,BC227/AU227&lt;0.5),"NM",BC227/AU227*100-100))</f>
        <v>11.221945137157107</v>
      </c>
      <c r="BE227" s="101">
        <v>911</v>
      </c>
      <c r="BF227" s="72">
        <f t="shared" ref="BF227:BF232" si="1311">IF(ISERROR(BE227/AW227),"NA",IF(OR(BE227/AW227&gt;2,BE227/AW227&lt;0.5),"NM",BE227/AW227*100-100))</f>
        <v>11.505507955936338</v>
      </c>
      <c r="BG227" s="101">
        <v>926</v>
      </c>
      <c r="BH227" s="72">
        <f t="shared" ref="BH227:BH232" si="1312">IF(ISERROR(BG227/AY227),"NA",IF(OR(BG227/AY227&gt;2,BG227/AY227&lt;0.5),"NM",BG227/AY227*100-100))</f>
        <v>6.8050749711649416</v>
      </c>
      <c r="BI227" s="101">
        <v>938</v>
      </c>
      <c r="BJ227" s="72">
        <f t="shared" ref="BJ227:BJ232" si="1313">IF(ISERROR(BI227/BA227),"NA",IF(OR(BI227/BA227&gt;2,BI227/BA227&lt;0.5),"NM",BI227/BA227*100-100))</f>
        <v>5.8690744920993296</v>
      </c>
      <c r="BK227" s="101">
        <v>923</v>
      </c>
      <c r="BL227" s="72">
        <f t="shared" ref="BL227:BL232" si="1314">IF(ISERROR(BK227/BC227),"NA",IF(OR(BK227/BC227&gt;2,BK227/BC227&lt;0.5),"NM",BK227/BC227*100-100))</f>
        <v>3.4753363228699641</v>
      </c>
      <c r="BM227" s="101">
        <v>892</v>
      </c>
      <c r="BN227" s="72">
        <f t="shared" ref="BN227:BN232" si="1315">IF(ISERROR(BM227/BE227),"NA",IF(OR(BM227/BE227&gt;2,BM227/BE227&lt;0.5),"NM",BM227/BE227*100-100))</f>
        <v>-2.0856201975850723</v>
      </c>
      <c r="BO227" s="101">
        <v>967</v>
      </c>
      <c r="BP227" s="72">
        <f t="shared" ref="BP227:BP232" si="1316">IF(ISERROR(BO227/BG227),"NA",IF(OR(BO227/BG227&gt;2,BO227/BG227&lt;0.5),"NM",BO227/BG227*100-100))</f>
        <v>4.427645788336946</v>
      </c>
      <c r="BQ227" s="101">
        <v>928</v>
      </c>
      <c r="BR227" s="72">
        <f t="shared" ref="BR227:BR232" si="1317">IF(ISERROR(BQ227/BI227),"NA",IF(OR(BQ227/BI227&gt;2,BQ227/BI227&lt;0.5),"NM",BQ227/BI227*100-100))</f>
        <v>-1.0660980810234548</v>
      </c>
      <c r="BS227" s="101">
        <v>944</v>
      </c>
      <c r="BT227" s="72">
        <f t="shared" ref="BT227:BT232" si="1318">IF(ISERROR(BS227/BK227),"NA",IF(OR(BS227/BK227&gt;2,BS227/BK227&lt;0.5),"NM",BS227/BK227*100-100))</f>
        <v>2.2751895991332702</v>
      </c>
      <c r="BU227" s="101">
        <v>929</v>
      </c>
      <c r="BV227" s="72">
        <f t="shared" ref="BV227:BV232" si="1319">IF(ISERROR(BU227/BM227),"NA",IF(OR(BU227/BM227&gt;2,BU227/BM227&lt;0.5),"NM",BU227/BM227*100-100))</f>
        <v>4.1479820627802582</v>
      </c>
      <c r="BW227" s="101">
        <v>1030</v>
      </c>
      <c r="BX227" s="72">
        <f t="shared" ref="BX227:BX232" si="1320">IF(ISERROR(BW227/BO227),"NA",IF(OR(BW227/BO227&gt;2,BW227/BO227&lt;0.5),"NM",BW227/BO227*100-100))</f>
        <v>6.5149948293691864</v>
      </c>
      <c r="BY227" s="101">
        <v>986</v>
      </c>
      <c r="BZ227" s="72">
        <f t="shared" ref="BZ227:BZ232" si="1321">IF(ISERROR(BY227/BQ227),"NA",IF(OR(BY227/BQ227&gt;2,BY227/BQ227&lt;0.5),"NM",BY227/BQ227*100-100))</f>
        <v>6.25</v>
      </c>
      <c r="CA227" s="101">
        <v>1048</v>
      </c>
      <c r="CB227" s="72">
        <f t="shared" ref="CB227:CB232" si="1322">IF(ISERROR(CA227/BS227),"NA",IF(OR(CA227/BS227&gt;2,CA227/BS227&lt;0.5),"NM",CA227/BS227*100-100))</f>
        <v>11.016949152542367</v>
      </c>
      <c r="CC227" s="101">
        <v>987</v>
      </c>
      <c r="CD227" s="72">
        <f t="shared" ref="CD227:CD232" si="1323">IF(ISERROR(CC227/BU227),"NA",IF(OR(CC227/BU227&gt;2,CC227/BU227&lt;0.5),"NM",CC227/BU227*100-100))</f>
        <v>6.2432723358449778</v>
      </c>
      <c r="CE227" s="101">
        <v>996</v>
      </c>
      <c r="CF227" s="72">
        <f t="shared" ref="CF227:CF232" si="1324">IF(ISERROR(CE227/BW227),"NA",IF(OR(CE227/BW227&gt;2,CE227/BW227&lt;0.5),"NM",CE227/BW227*100-100))</f>
        <v>-3.3009708737864116</v>
      </c>
      <c r="CG227" s="101">
        <v>1013</v>
      </c>
      <c r="CH227" s="72">
        <f t="shared" ref="CH227:CH232" si="1325">IF(ISERROR(CG227/BY227),"NA",IF(OR(CG227/BY227&gt;2,CG227/BY227&lt;0.5),"NM",CG227/BY227*100-100))</f>
        <v>2.7383367139959489</v>
      </c>
      <c r="CI227" s="101">
        <v>1139</v>
      </c>
      <c r="CJ227" s="72">
        <f t="shared" ref="CJ227:CT232" si="1326">IF(ISERROR(CI227/CA227),"NA",IF(OR(CI227/CA227&gt;2,CI227/CA227&lt;0.5),"NM",CI227/CA227*100-100))</f>
        <v>8.6832061068702302</v>
      </c>
      <c r="CK227" s="101">
        <v>1059</v>
      </c>
      <c r="CL227" s="72">
        <f t="shared" si="1326"/>
        <v>7.2948328267477223</v>
      </c>
      <c r="CM227" s="101">
        <v>1188</v>
      </c>
      <c r="CN227" s="72">
        <f t="shared" si="1326"/>
        <v>19.277108433734938</v>
      </c>
      <c r="CO227" s="101">
        <v>1178</v>
      </c>
      <c r="CP227" s="72">
        <f t="shared" si="1326"/>
        <v>16.28825271470879</v>
      </c>
      <c r="CQ227" s="101">
        <v>1119</v>
      </c>
      <c r="CR227" s="72">
        <f t="shared" si="1326"/>
        <v>-1.7559262510974492</v>
      </c>
      <c r="CS227" s="101">
        <v>1097</v>
      </c>
      <c r="CT227" s="72">
        <f t="shared" si="1326"/>
        <v>3.5882908404154819</v>
      </c>
      <c r="CU227" s="101">
        <v>1094</v>
      </c>
      <c r="CV227" s="72">
        <f t="shared" ref="CV227:CV232" si="1327">IF(ISERROR(CU227/CM227),"NA",IF(OR(CU227/CM227&gt;2,CU227/CM227&lt;0.5),"NM",CU227/CM227*100-100))</f>
        <v>-7.91245791245791</v>
      </c>
      <c r="CW227" s="101">
        <v>1107</v>
      </c>
      <c r="CX227" s="72">
        <f t="shared" ref="CX227:CX232" si="1328">IF(ISERROR(CW227/CO227),"NA",IF(OR(CW227/CO227&gt;2,CW227/CO227&lt;0.5),"NM",CW227/CO227*100-100))</f>
        <v>-6.0271646859083177</v>
      </c>
      <c r="CY227" s="101">
        <v>1111</v>
      </c>
      <c r="CZ227" s="72">
        <f t="shared" ref="CZ227:CZ232" si="1329">IF(ISERROR(CY227/CQ227),"NA",IF(OR(CY227/CQ227&gt;2,CY227/CQ227&lt;0.5),"NM",CY227/CQ227*100-100))</f>
        <v>-0.71492403932082027</v>
      </c>
      <c r="DA227" s="101">
        <v>1091</v>
      </c>
      <c r="DB227" s="72">
        <f t="shared" ref="DB227:DB232" si="1330">IF(ISERROR(DA227/CS227),"NA",IF(OR(DA227/CS227&gt;2,DA227/CS227&lt;0.5),"NM",DA227/CS227*100-100))</f>
        <v>-0.54694621695533385</v>
      </c>
      <c r="DC227" s="101">
        <v>1086</v>
      </c>
      <c r="DD227" s="72">
        <f t="shared" ref="DD227:DD232" si="1331">IF(ISERROR(DC227/CU227),"NA",IF(OR(DC227/CU227&gt;2,DC227/CU227&lt;0.5),"NM",DC227/CU227*100-100))</f>
        <v>-0.73126142595978649</v>
      </c>
      <c r="DE227" s="101">
        <v>1090</v>
      </c>
      <c r="DF227" s="72">
        <f t="shared" ref="DF227:DF232" si="1332">IF(ISERROR(DE227/CW227),"NA",IF(OR(DE227/CW227&gt;2,DE227/CW227&lt;0.5),"NM",DE227/CW227*100-100))</f>
        <v>-1.5356820234869133</v>
      </c>
      <c r="DG227" s="101">
        <v>1058</v>
      </c>
      <c r="DH227" s="72">
        <f t="shared" ref="DH227:DH232" si="1333">IF(ISERROR(DG227/CY227),"NA",IF(OR(DG227/CY227&gt;2,DG227/CY227&lt;0.5),"NM",DG227/CY227*100-100))</f>
        <v>-4.7704770477047731</v>
      </c>
      <c r="DI227" s="101">
        <v>1054</v>
      </c>
      <c r="DJ227" s="72">
        <f t="shared" ref="DJ227:DJ232" si="1334">IF(ISERROR(DI227/DA227),"NA",IF(OR(DI227/DA227&gt;2,DI227/DA227&lt;0.5),"NM",DI227/DA227*100-100))</f>
        <v>-3.3913840513290552</v>
      </c>
      <c r="DK227" s="101">
        <v>1026</v>
      </c>
      <c r="DL227" s="72">
        <f t="shared" ref="DL227:DL232" si="1335">IF(ISERROR(DK227/DC227),"NA",IF(OR(DK227/DC227&gt;2,DK227/DC227&lt;0.5),"NM",DK227/DC227*100-100))</f>
        <v>-5.5248618784530379</v>
      </c>
      <c r="DM227" s="101">
        <v>1022</v>
      </c>
      <c r="DN227" s="72">
        <f t="shared" ref="DN227:DZ232" si="1336">IF(ISERROR(DM227/DE227),"NA",IF(OR(DM227/DE227&gt;2,DM227/DE227&lt;0.5),"NM",DM227/DE227*100-100))</f>
        <v>-6.2385321100917395</v>
      </c>
      <c r="DO227" s="101">
        <v>1033</v>
      </c>
      <c r="DP227" s="72">
        <f t="shared" si="1336"/>
        <v>-2.3629489603024609</v>
      </c>
      <c r="DQ227" s="101">
        <v>978</v>
      </c>
      <c r="DR227" s="72">
        <f t="shared" si="1336"/>
        <v>-7.2106261859582617</v>
      </c>
      <c r="DS227" s="101">
        <v>956</v>
      </c>
      <c r="DT227" s="72">
        <f t="shared" si="1336"/>
        <v>-6.8226120857699897</v>
      </c>
      <c r="DU227" s="101">
        <v>971</v>
      </c>
      <c r="DV227" s="72">
        <f t="shared" si="1336"/>
        <v>-4.9902152641878672</v>
      </c>
      <c r="DW227" s="101">
        <v>984</v>
      </c>
      <c r="DX227" s="72">
        <f t="shared" si="1336"/>
        <v>-4.7434656340755055</v>
      </c>
      <c r="DY227" s="101">
        <v>974</v>
      </c>
      <c r="DZ227" s="72">
        <f t="shared" si="1336"/>
        <v>-0.4089979550102214</v>
      </c>
      <c r="EA227" s="101">
        <v>1009</v>
      </c>
      <c r="EB227" s="72">
        <f t="shared" ref="EB227:EB232" si="1337">IF(ISERROR(EA227/DS227),"NA",IF(OR(EA227/DS227&gt;2,EA227/DS227&lt;0.5),"NM",EA227/DS227*100-100))</f>
        <v>5.5439330543933067</v>
      </c>
      <c r="EC227" s="101">
        <v>1018</v>
      </c>
      <c r="ED227" s="72">
        <f t="shared" ref="ED227:ED232" si="1338">IF(ISERROR(EC227/DU227),"NA",IF(OR(EC227/DU227&gt;2,EC227/DU227&lt;0.5),"NM",EC227/DU227*100-100))</f>
        <v>4.8403707518022543</v>
      </c>
      <c r="EE227" s="101">
        <v>994</v>
      </c>
      <c r="EF227" s="72">
        <f t="shared" ref="EF227:EF232" si="1339">IF(ISERROR(EE227/DW227),"NA",IF(OR(EE227/DW227&gt;2,EE227/DW227&lt;0.5),"NM",EE227/DW227*100-100))</f>
        <v>1.0162601626016396</v>
      </c>
      <c r="EG227" s="101">
        <v>1013</v>
      </c>
      <c r="EH227" s="72">
        <f t="shared" ref="EH227:EH232" si="1340">IF(ISERROR(EG227/DY227),"NA",IF(OR(EG227/DY227&gt;2,EG227/DY227&lt;0.5),"NM",EG227/DY227*100-100))</f>
        <v>4.0041067761807057</v>
      </c>
      <c r="EI227" s="101">
        <v>1052</v>
      </c>
      <c r="EJ227" s="72">
        <f t="shared" ref="EJ227:EJ232" si="1341">IF(ISERROR(EI227/EA227),"NA",IF(OR(EI227/EA227&gt;2,EI227/EA227&lt;0.5),"NM",EI227/EA227*100-100))</f>
        <v>4.2616451932606481</v>
      </c>
      <c r="EK227" s="101">
        <v>1026</v>
      </c>
      <c r="EL227" s="72">
        <f t="shared" ref="EL227:EL232" si="1342">IF(ISERROR(EK227/EC227),"NA",IF(OR(EK227/EC227&gt;2,EK227/EC227&lt;0.5),"NM",EK227/EC227*100-100))</f>
        <v>0.78585461689586111</v>
      </c>
      <c r="EM227" s="101">
        <v>1042</v>
      </c>
      <c r="EN227" s="72">
        <f t="shared" ref="EN227:EN232" si="1343">IF(ISERROR(EM227/EE227),"NA",IF(OR(EM227/EE227&gt;2,EM227/EE227&lt;0.5),"NM",EM227/EE227*100-100))</f>
        <v>4.828973843058364</v>
      </c>
      <c r="EO227" s="101">
        <v>1038</v>
      </c>
      <c r="EP227" s="72">
        <f t="shared" ref="EP227:EP232" si="1344">IF(ISERROR(EO227/EG227),"NA",IF(OR(EO227/EG227&gt;2,EO227/EG227&lt;0.5),"NM",EO227/EG227*100-100))</f>
        <v>2.4679170779861721</v>
      </c>
      <c r="EQ227" s="101">
        <f t="shared" ref="EQ227:EQ228" si="1345">EO227*1.01</f>
        <v>1048.3800000000001</v>
      </c>
      <c r="ER227" s="72">
        <f t="shared" ref="ER227:ER232" si="1346">IF(ISERROR(EQ227/EI227),"NA",IF(OR(EQ227/EI227&gt;2,EQ227/EI227&lt;0.5),"NM",EQ227/EI227*100-100))</f>
        <v>-0.34410646387831889</v>
      </c>
      <c r="ES227" s="101">
        <f t="shared" ref="ES227:ES228" si="1347">EQ227*1.01</f>
        <v>1058.8638000000001</v>
      </c>
      <c r="ET227" s="72">
        <f t="shared" ref="ET227:ET232" si="1348">IF(ISERROR(ES227/EK227),"NA",IF(OR(ES227/EK227&gt;2,ES227/EK227&lt;0.5),"NM",ES227/EK227*100-100))</f>
        <v>3.2030994152046901</v>
      </c>
      <c r="EU227" s="101">
        <f t="shared" ref="EU227:EU228" si="1349">ES227*1.01</f>
        <v>1069.452438</v>
      </c>
      <c r="EV227" s="72">
        <f t="shared" ref="EV227:EV232" si="1350">IF(ISERROR(EU227/EM227),"NA",IF(OR(EU227/EM227&gt;2,EU227/EM227&lt;0.5),"NM",EU227/EM227*100-100))</f>
        <v>2.634590978886763</v>
      </c>
      <c r="EW227" s="101">
        <f t="shared" ref="EW227:EW228" si="1351">EU227*1.01</f>
        <v>1080.1469623800001</v>
      </c>
      <c r="EX227" s="72">
        <f t="shared" ref="EX227:EX232" si="1352">IF(ISERROR(EW227/EO227),"NA",IF(OR(EW227/EO227&gt;2,EW227/EO227&lt;0.5),"NM",EW227/EO227*100-100))</f>
        <v>4.0604009999999988</v>
      </c>
      <c r="EY227" s="72"/>
      <c r="EZ227" s="307"/>
      <c r="FA227" s="72"/>
      <c r="FB227" s="101">
        <v>1699</v>
      </c>
      <c r="FC227" s="72"/>
      <c r="FD227" s="101">
        <v>1860</v>
      </c>
      <c r="FE227" s="72">
        <f t="shared" ref="FE227:FE232" si="1353">IF(ISERROR(FD227/FB227),"NA",IF(OR(FD227/FB227&gt;2,FD227/FB227&lt;0.5),"NM",FD227/FB227*100-100))</f>
        <v>9.4761624484991103</v>
      </c>
      <c r="FF227" s="101">
        <v>2119</v>
      </c>
      <c r="FG227" s="72">
        <f t="shared" ref="FG227:FG232" si="1354">IF(ISERROR(FF227/FD227),"NA",IF(OR(FF227/FD227&gt;2,FF227/FD227&lt;0.5),"NM",FF227/FD227*100-100))</f>
        <v>13.924731182795696</v>
      </c>
      <c r="FH227" s="75">
        <f>K227+M227+O227+Q227</f>
        <v>2512</v>
      </c>
      <c r="FI227" s="72">
        <f t="shared" ref="FI227:FI232" si="1355">IF(ISERROR(FH227/FF227),"NA",IF(OR(FH227/FF227&gt;2,FH227/FF227&lt;0.5),"NM",FH227/FF227*100-100))</f>
        <v>18.54648419065596</v>
      </c>
      <c r="FJ227" s="75">
        <f>S227+U227+W227+Y227</f>
        <v>2796</v>
      </c>
      <c r="FK227" s="72">
        <f t="shared" ref="FK227:FK232" si="1356">IF(ISERROR(FJ227/FH227),"NA",IF(OR(FJ227/FH227&gt;2,FJ227/FH227&lt;0.5),"NM",FJ227/FH227*100-100))</f>
        <v>11.30573248407643</v>
      </c>
      <c r="FL227" s="75">
        <f>AA227+AC227+AE227+AG227</f>
        <v>2912</v>
      </c>
      <c r="FM227" s="72">
        <f t="shared" ref="FM227:FM232" si="1357">IF(ISERROR(FL227/FJ227),"NA",IF(OR(FL227/FJ227&gt;2,FL227/FJ227&lt;0.5),"NM",FL227/FJ227*100-100))</f>
        <v>4.1487839771101562</v>
      </c>
      <c r="FN227" s="75">
        <f>AI227+AK227+AM227+AO227</f>
        <v>2950</v>
      </c>
      <c r="FO227" s="72">
        <f t="shared" ref="FO227:FO232" si="1358">IF(ISERROR(FN227/FL227),"NA",IF(OR(FN227/FL227&gt;2,FN227/FL227&lt;0.5),"NM",FN227/FL227*100-100))</f>
        <v>1.3049450549450512</v>
      </c>
      <c r="FP227" s="75">
        <f>AQ227+AS227+AU227+AW227</f>
        <v>3270</v>
      </c>
      <c r="FQ227" s="72">
        <f t="shared" ref="FQ227:FQ232" si="1359">IF(ISERROR(FP227/FN227),"NA",IF(OR(FP227/FN227&gt;2,FP227/FN227&lt;0.5),"NM",FP227/FN227*100-100))</f>
        <v>10.847457627118644</v>
      </c>
      <c r="FR227" s="100">
        <f>AY227+BA227+BC227+BE227</f>
        <v>3556</v>
      </c>
      <c r="FS227" s="72">
        <f t="shared" ref="FS227:FS232" si="1360">IF(ISERROR(FR227/FP227),"NA",IF(OR(FR227/FP227&gt;2,FR227/FP227&lt;0.5),"NM",FR227/FP227*100-100))</f>
        <v>8.7461773700305798</v>
      </c>
      <c r="FT227" s="100">
        <f>BG227+BI227+BK227+BM227</f>
        <v>3679</v>
      </c>
      <c r="FU227" s="72">
        <f t="shared" ref="FU227:FU232" si="1361">IF(ISERROR(FT227/FR227),"NA",IF(OR(FT227/FR227&gt;2,FT227/FR227&lt;0.5),"NM",FT227/FR227*100-100))</f>
        <v>3.4589426321709738</v>
      </c>
      <c r="FV227" s="100">
        <f>BO227+BQ227+BS227+BU227</f>
        <v>3768</v>
      </c>
      <c r="FW227" s="72">
        <f t="shared" ref="FW227:GG232" si="1362">IF(ISERROR(FV227/FT227),"NA",IF(OR(FV227/FT227&gt;2,FV227/FT227&lt;0.5),"NM",FV227/FT227*100-100))</f>
        <v>2.419135634683343</v>
      </c>
      <c r="FX227" s="75">
        <f>BW227+BY227+CA227+CC227</f>
        <v>4051</v>
      </c>
      <c r="FY227" s="72">
        <f t="shared" si="1362"/>
        <v>7.5106157112526404</v>
      </c>
      <c r="FZ227" s="75">
        <f>CE227+CG227+CI227+CK227</f>
        <v>4207</v>
      </c>
      <c r="GA227" s="72">
        <f t="shared" si="1362"/>
        <v>3.8509010120957754</v>
      </c>
      <c r="GB227" s="100">
        <f>CM227+CO227+CQ227+CS227</f>
        <v>4582</v>
      </c>
      <c r="GC227" s="72">
        <f t="shared" si="1362"/>
        <v>8.9137152365105692</v>
      </c>
      <c r="GD227" s="100">
        <f>CU227+CW227+CY227+DA227</f>
        <v>4403</v>
      </c>
      <c r="GE227" s="72">
        <f t="shared" si="1362"/>
        <v>-3.9065910082933186</v>
      </c>
      <c r="GF227" s="100">
        <f>DC227+DE227+DG227+DI227</f>
        <v>4288</v>
      </c>
      <c r="GG227" s="72">
        <f t="shared" si="1362"/>
        <v>-2.6118555530320293</v>
      </c>
      <c r="GH227" s="100">
        <f>DK227+DM227+DO227+DQ227</f>
        <v>4059</v>
      </c>
      <c r="GI227" s="72">
        <f t="shared" ref="GI227:GU232" si="1363">IF(ISERROR(GH227/GF227),"NA",IF(OR(GH227/GF227&gt;2,GH227/GF227&lt;0.5),"NM",GH227/GF227*100-100))</f>
        <v>-5.3404850746268693</v>
      </c>
      <c r="GJ227" s="100">
        <f>DS227+DU227+DW227+DY227</f>
        <v>3885</v>
      </c>
      <c r="GK227" s="72">
        <f t="shared" si="1363"/>
        <v>-4.286770140428672</v>
      </c>
      <c r="GL227" s="100">
        <f>EA227+EC227+EE227+EG227</f>
        <v>4034</v>
      </c>
      <c r="GM227" s="72">
        <f t="shared" si="1363"/>
        <v>3.8352638352638309</v>
      </c>
      <c r="GN227" s="100">
        <f>EI227+EK227+EM227+EO227</f>
        <v>4158</v>
      </c>
      <c r="GO227" s="72">
        <f t="shared" si="1363"/>
        <v>3.0738720872583087</v>
      </c>
      <c r="GP227" s="100">
        <f>EQ227+ES227+EU227+EW227</f>
        <v>4256.8432003800008</v>
      </c>
      <c r="GQ227" s="72">
        <f t="shared" si="1363"/>
        <v>2.3771813463203699</v>
      </c>
      <c r="GR227" s="101">
        <f>GP227*1.04</f>
        <v>4427.1169283952013</v>
      </c>
      <c r="GS227" s="72">
        <f t="shared" si="1363"/>
        <v>4</v>
      </c>
      <c r="GT227" s="101">
        <f>GR227*1.04</f>
        <v>4604.2016055310096</v>
      </c>
      <c r="GU227" s="72">
        <f t="shared" si="1363"/>
        <v>4</v>
      </c>
      <c r="GV227" s="101">
        <f>GT227*1.04</f>
        <v>4788.36966975225</v>
      </c>
      <c r="GW227" s="72">
        <f t="shared" ref="GW227:GW232" si="1364">IF(ISERROR(GV227/GT227),"NA",IF(OR(GV227/GT227&gt;2,GV227/GT227&lt;0.5),"NM",GV227/GT227*100-100))</f>
        <v>4</v>
      </c>
      <c r="GX227" s="101">
        <f>GV227*1.04</f>
        <v>4979.9044565423401</v>
      </c>
      <c r="GY227" s="72">
        <f t="shared" ref="GY227:GY232" si="1365">IF(ISERROR(GX227/GV227),"NA",IF(OR(GX227/GV227&gt;2,GX227/GV227&lt;0.5),"NM",GX227/GV227*100-100))</f>
        <v>4</v>
      </c>
      <c r="GZ227" s="72">
        <f t="shared" ref="GZ227:GZ232" si="1366">IF(ISERROR(((GX227/GN227)^0.2-1)*100),"NA",IF((((GX227/GN227)^0.2-1)*100)&gt;100,"NM",IF((((GX227/GN227)^0.2-1)*100)&lt;-50,"NM",((GX227/GN227)^0.2-1)*100)))</f>
        <v>3.6733912929317603</v>
      </c>
      <c r="HA227" s="72"/>
      <c r="HB227" s="72"/>
      <c r="HC227"/>
      <c r="HD227"/>
      <c r="HE227"/>
      <c r="HF227"/>
      <c r="HG227"/>
      <c r="HH227"/>
      <c r="HI227" s="2"/>
    </row>
    <row r="228" spans="1:217" s="102" customFormat="1" ht="12.75" customHeight="1" x14ac:dyDescent="0.2">
      <c r="B228" s="77" t="s">
        <v>437</v>
      </c>
      <c r="C228" s="101">
        <f>FF228-I228-G228-E228</f>
        <v>19</v>
      </c>
      <c r="D228" s="72"/>
      <c r="E228" s="101">
        <v>43</v>
      </c>
      <c r="F228" s="72"/>
      <c r="G228" s="101">
        <v>31</v>
      </c>
      <c r="H228" s="72"/>
      <c r="I228" s="101">
        <v>79</v>
      </c>
      <c r="J228" s="72"/>
      <c r="K228" s="101">
        <v>34</v>
      </c>
      <c r="L228" s="72">
        <f t="shared" si="1300"/>
        <v>78.94736842105263</v>
      </c>
      <c r="M228" s="101">
        <v>35</v>
      </c>
      <c r="N228" s="72">
        <f t="shared" si="1301"/>
        <v>-18.604651162790702</v>
      </c>
      <c r="O228" s="101">
        <v>50</v>
      </c>
      <c r="P228" s="72">
        <f t="shared" si="1302"/>
        <v>61.290322580645153</v>
      </c>
      <c r="Q228" s="101">
        <v>45</v>
      </c>
      <c r="R228" s="72">
        <f t="shared" si="1303"/>
        <v>-43.037974683544299</v>
      </c>
      <c r="S228" s="101">
        <v>52</v>
      </c>
      <c r="T228" s="72">
        <f t="shared" si="1303"/>
        <v>52.941176470588232</v>
      </c>
      <c r="U228" s="101">
        <v>42</v>
      </c>
      <c r="V228" s="72">
        <f t="shared" si="1303"/>
        <v>20</v>
      </c>
      <c r="W228" s="101">
        <v>46</v>
      </c>
      <c r="X228" s="72">
        <f t="shared" si="1303"/>
        <v>-8</v>
      </c>
      <c r="Y228" s="101">
        <v>37</v>
      </c>
      <c r="Z228" s="72">
        <f t="shared" si="1303"/>
        <v>-17.777777777777786</v>
      </c>
      <c r="AA228" s="101">
        <v>49</v>
      </c>
      <c r="AB228" s="72">
        <f t="shared" si="1303"/>
        <v>-5.7692307692307736</v>
      </c>
      <c r="AC228" s="101">
        <v>12</v>
      </c>
      <c r="AD228" s="72" t="str">
        <f t="shared" si="1303"/>
        <v>NM</v>
      </c>
      <c r="AE228" s="101">
        <v>17</v>
      </c>
      <c r="AF228" s="72" t="str">
        <f t="shared" si="1303"/>
        <v>NM</v>
      </c>
      <c r="AG228" s="101">
        <v>78</v>
      </c>
      <c r="AH228" s="72" t="str">
        <f t="shared" si="1303"/>
        <v>NM</v>
      </c>
      <c r="AI228" s="101">
        <v>71</v>
      </c>
      <c r="AJ228" s="72">
        <f t="shared" si="1303"/>
        <v>44.897959183673464</v>
      </c>
      <c r="AK228" s="101">
        <v>76</v>
      </c>
      <c r="AL228" s="72" t="str">
        <f t="shared" si="1303"/>
        <v>NM</v>
      </c>
      <c r="AM228" s="101">
        <v>94</v>
      </c>
      <c r="AN228" s="72" t="str">
        <f t="shared" si="1303"/>
        <v>NM</v>
      </c>
      <c r="AO228" s="101">
        <v>101</v>
      </c>
      <c r="AP228" s="72">
        <f t="shared" si="1303"/>
        <v>29.487179487179503</v>
      </c>
      <c r="AQ228" s="101">
        <v>74</v>
      </c>
      <c r="AR228" s="72">
        <f t="shared" si="1304"/>
        <v>4.2253521126760489</v>
      </c>
      <c r="AS228" s="101">
        <v>69</v>
      </c>
      <c r="AT228" s="72">
        <f t="shared" si="1305"/>
        <v>-9.2105263157894655</v>
      </c>
      <c r="AU228" s="101">
        <v>76</v>
      </c>
      <c r="AV228" s="72">
        <f t="shared" si="1306"/>
        <v>-19.148936170212778</v>
      </c>
      <c r="AW228" s="101">
        <v>72</v>
      </c>
      <c r="AX228" s="72">
        <f t="shared" si="1307"/>
        <v>-28.712871287128721</v>
      </c>
      <c r="AY228" s="101">
        <v>77</v>
      </c>
      <c r="AZ228" s="72">
        <f t="shared" si="1308"/>
        <v>4.0540540540540633</v>
      </c>
      <c r="BA228" s="101">
        <v>64</v>
      </c>
      <c r="BB228" s="72">
        <f t="shared" si="1309"/>
        <v>-7.2463768115942031</v>
      </c>
      <c r="BC228" s="101">
        <v>87</v>
      </c>
      <c r="BD228" s="72">
        <f t="shared" si="1310"/>
        <v>14.473684210526301</v>
      </c>
      <c r="BE228" s="101">
        <v>79</v>
      </c>
      <c r="BF228" s="72">
        <f t="shared" si="1311"/>
        <v>9.7222222222222285</v>
      </c>
      <c r="BG228" s="101">
        <v>96</v>
      </c>
      <c r="BH228" s="72">
        <f t="shared" si="1312"/>
        <v>24.675324675324674</v>
      </c>
      <c r="BI228" s="101">
        <v>88</v>
      </c>
      <c r="BJ228" s="72">
        <f t="shared" si="1313"/>
        <v>37.5</v>
      </c>
      <c r="BK228" s="101">
        <v>84</v>
      </c>
      <c r="BL228" s="72">
        <f t="shared" si="1314"/>
        <v>-3.448275862068968</v>
      </c>
      <c r="BM228" s="101">
        <v>98</v>
      </c>
      <c r="BN228" s="72">
        <f t="shared" si="1315"/>
        <v>24.050632911392398</v>
      </c>
      <c r="BO228" s="101">
        <v>106</v>
      </c>
      <c r="BP228" s="72">
        <f t="shared" si="1316"/>
        <v>10.416666666666671</v>
      </c>
      <c r="BQ228" s="101">
        <v>107</v>
      </c>
      <c r="BR228" s="72">
        <f t="shared" si="1317"/>
        <v>21.590909090909079</v>
      </c>
      <c r="BS228" s="101">
        <v>104</v>
      </c>
      <c r="BT228" s="72">
        <f t="shared" si="1318"/>
        <v>23.80952380952381</v>
      </c>
      <c r="BU228" s="101">
        <v>142</v>
      </c>
      <c r="BV228" s="72">
        <f t="shared" si="1319"/>
        <v>44.897959183673464</v>
      </c>
      <c r="BW228" s="101">
        <v>117</v>
      </c>
      <c r="BX228" s="72">
        <f t="shared" si="1320"/>
        <v>10.377358490566053</v>
      </c>
      <c r="BY228" s="101">
        <v>134</v>
      </c>
      <c r="BZ228" s="72">
        <f t="shared" si="1321"/>
        <v>25.233644859813069</v>
      </c>
      <c r="CA228" s="101">
        <v>116</v>
      </c>
      <c r="CB228" s="72">
        <f t="shared" si="1322"/>
        <v>11.538461538461547</v>
      </c>
      <c r="CC228" s="101">
        <v>117</v>
      </c>
      <c r="CD228" s="72">
        <f t="shared" si="1323"/>
        <v>-17.605633802816897</v>
      </c>
      <c r="CE228" s="101">
        <v>126</v>
      </c>
      <c r="CF228" s="72">
        <f t="shared" si="1324"/>
        <v>7.6923076923076934</v>
      </c>
      <c r="CG228" s="101">
        <v>112</v>
      </c>
      <c r="CH228" s="72">
        <f t="shared" si="1325"/>
        <v>-16.417910447761201</v>
      </c>
      <c r="CI228" s="101">
        <v>134</v>
      </c>
      <c r="CJ228" s="72">
        <f t="shared" si="1326"/>
        <v>15.517241379310349</v>
      </c>
      <c r="CK228" s="101">
        <v>106</v>
      </c>
      <c r="CL228" s="72">
        <f t="shared" si="1326"/>
        <v>-9.4017094017093967</v>
      </c>
      <c r="CM228" s="101">
        <v>121</v>
      </c>
      <c r="CN228" s="72">
        <f t="shared" si="1326"/>
        <v>-3.9682539682539613</v>
      </c>
      <c r="CO228" s="101">
        <v>110</v>
      </c>
      <c r="CP228" s="72">
        <f t="shared" si="1326"/>
        <v>-1.7857142857142918</v>
      </c>
      <c r="CQ228" s="101">
        <v>163</v>
      </c>
      <c r="CR228" s="72">
        <f t="shared" si="1326"/>
        <v>21.641791044776127</v>
      </c>
      <c r="CS228" s="101">
        <v>126</v>
      </c>
      <c r="CT228" s="72">
        <f t="shared" si="1326"/>
        <v>18.867924528301884</v>
      </c>
      <c r="CU228" s="101">
        <v>126</v>
      </c>
      <c r="CV228" s="72">
        <f t="shared" si="1327"/>
        <v>4.1322314049586879</v>
      </c>
      <c r="CW228" s="101">
        <v>114</v>
      </c>
      <c r="CX228" s="72">
        <f t="shared" si="1328"/>
        <v>3.6363636363636402</v>
      </c>
      <c r="CY228" s="101">
        <v>130</v>
      </c>
      <c r="CZ228" s="72">
        <f t="shared" si="1329"/>
        <v>-20.245398773006144</v>
      </c>
      <c r="DA228" s="101">
        <v>135</v>
      </c>
      <c r="DB228" s="72">
        <f t="shared" si="1330"/>
        <v>7.1428571428571388</v>
      </c>
      <c r="DC228" s="101">
        <v>142</v>
      </c>
      <c r="DD228" s="72">
        <f t="shared" si="1331"/>
        <v>12.698412698412696</v>
      </c>
      <c r="DE228" s="101">
        <v>131</v>
      </c>
      <c r="DF228" s="72">
        <f t="shared" si="1332"/>
        <v>14.912280701754383</v>
      </c>
      <c r="DG228" s="101">
        <v>113</v>
      </c>
      <c r="DH228" s="72">
        <f t="shared" si="1333"/>
        <v>-13.07692307692308</v>
      </c>
      <c r="DI228" s="101">
        <v>140</v>
      </c>
      <c r="DJ228" s="72">
        <f t="shared" si="1334"/>
        <v>3.7037037037036953</v>
      </c>
      <c r="DK228" s="101">
        <v>147</v>
      </c>
      <c r="DL228" s="72">
        <f>IF(ISERROR(DK228/DC228),"NA",IF(OR(DK228/DC228&gt;2,DK228/DC228&lt;0.5),"NM",DK228/DC228*100-100))</f>
        <v>3.5211267605633765</v>
      </c>
      <c r="DM228" s="101">
        <v>143</v>
      </c>
      <c r="DN228" s="72">
        <f t="shared" si="1336"/>
        <v>9.160305343511439</v>
      </c>
      <c r="DO228" s="101">
        <v>135</v>
      </c>
      <c r="DP228" s="72">
        <f t="shared" si="1336"/>
        <v>19.469026548672574</v>
      </c>
      <c r="DQ228" s="101">
        <v>142</v>
      </c>
      <c r="DR228" s="72">
        <f t="shared" si="1336"/>
        <v>1.4285714285714164</v>
      </c>
      <c r="DS228" s="101">
        <v>142</v>
      </c>
      <c r="DT228" s="72">
        <f t="shared" si="1336"/>
        <v>-3.4013605442176953</v>
      </c>
      <c r="DU228" s="101">
        <v>156</v>
      </c>
      <c r="DV228" s="72">
        <f t="shared" si="1336"/>
        <v>9.0909090909090793</v>
      </c>
      <c r="DW228" s="101">
        <v>139</v>
      </c>
      <c r="DX228" s="72">
        <f t="shared" si="1336"/>
        <v>2.9629629629629619</v>
      </c>
      <c r="DY228" s="101">
        <v>146</v>
      </c>
      <c r="DZ228" s="72">
        <f t="shared" si="1336"/>
        <v>2.816901408450704</v>
      </c>
      <c r="EA228" s="101">
        <v>149</v>
      </c>
      <c r="EB228" s="72">
        <f t="shared" si="1337"/>
        <v>4.9295774647887214</v>
      </c>
      <c r="EC228" s="101">
        <v>176</v>
      </c>
      <c r="ED228" s="72">
        <f t="shared" si="1338"/>
        <v>12.820512820512818</v>
      </c>
      <c r="EE228" s="101">
        <v>158</v>
      </c>
      <c r="EF228" s="72">
        <f t="shared" si="1339"/>
        <v>13.669064748201436</v>
      </c>
      <c r="EG228" s="101">
        <v>133</v>
      </c>
      <c r="EH228" s="72">
        <f t="shared" si="1340"/>
        <v>-8.9041095890410986</v>
      </c>
      <c r="EI228" s="101">
        <v>144</v>
      </c>
      <c r="EJ228" s="72">
        <f t="shared" si="1341"/>
        <v>-3.3557046979865675</v>
      </c>
      <c r="EK228" s="101">
        <v>164</v>
      </c>
      <c r="EL228" s="72">
        <f t="shared" si="1342"/>
        <v>-6.8181818181818272</v>
      </c>
      <c r="EM228" s="101">
        <v>143</v>
      </c>
      <c r="EN228" s="72">
        <f t="shared" si="1343"/>
        <v>-9.4936708860759467</v>
      </c>
      <c r="EO228" s="101">
        <v>139</v>
      </c>
      <c r="EP228" s="72">
        <f t="shared" si="1344"/>
        <v>4.5112781954887282</v>
      </c>
      <c r="EQ228" s="101">
        <f t="shared" si="1345"/>
        <v>140.39000000000001</v>
      </c>
      <c r="ER228" s="72">
        <f t="shared" si="1346"/>
        <v>-2.5069444444444429</v>
      </c>
      <c r="ES228" s="101">
        <f t="shared" si="1347"/>
        <v>141.79390000000001</v>
      </c>
      <c r="ET228" s="72">
        <f t="shared" si="1348"/>
        <v>-13.540304878048786</v>
      </c>
      <c r="EU228" s="101">
        <f t="shared" si="1349"/>
        <v>143.211839</v>
      </c>
      <c r="EV228" s="72">
        <f t="shared" si="1350"/>
        <v>0.14813916083915046</v>
      </c>
      <c r="EW228" s="101">
        <f t="shared" si="1351"/>
        <v>144.64395739</v>
      </c>
      <c r="EX228" s="72">
        <f t="shared" si="1352"/>
        <v>4.0604009999999988</v>
      </c>
      <c r="EY228" s="72"/>
      <c r="EZ228" s="307"/>
      <c r="FA228" s="72"/>
      <c r="FB228" s="101">
        <v>56</v>
      </c>
      <c r="FC228" s="72"/>
      <c r="FD228" s="101">
        <v>67</v>
      </c>
      <c r="FE228" s="72">
        <f t="shared" si="1353"/>
        <v>19.642857142857139</v>
      </c>
      <c r="FF228" s="101">
        <v>172</v>
      </c>
      <c r="FG228" s="72" t="str">
        <f t="shared" si="1354"/>
        <v>NM</v>
      </c>
      <c r="FH228" s="75">
        <f>K228+M228+O228+Q228</f>
        <v>164</v>
      </c>
      <c r="FI228" s="72">
        <f t="shared" si="1355"/>
        <v>-4.6511627906976685</v>
      </c>
      <c r="FJ228" s="75">
        <f>S228+U228+W228+Y228</f>
        <v>177</v>
      </c>
      <c r="FK228" s="72">
        <f t="shared" si="1356"/>
        <v>7.9268292682926926</v>
      </c>
      <c r="FL228" s="75">
        <f>AA228+AC228+AE228+AG228</f>
        <v>156</v>
      </c>
      <c r="FM228" s="72">
        <f t="shared" si="1357"/>
        <v>-11.864406779661024</v>
      </c>
      <c r="FN228" s="75">
        <f>AI228+AK228+AM228+AO228</f>
        <v>342</v>
      </c>
      <c r="FO228" s="72" t="str">
        <f t="shared" si="1358"/>
        <v>NM</v>
      </c>
      <c r="FP228" s="75">
        <f>AQ228+AS228+AU228+AW228</f>
        <v>291</v>
      </c>
      <c r="FQ228" s="72">
        <f t="shared" si="1359"/>
        <v>-14.912280701754383</v>
      </c>
      <c r="FR228" s="100">
        <f>AY228+BA228+BC228+BE228</f>
        <v>307</v>
      </c>
      <c r="FS228" s="72">
        <f t="shared" si="1360"/>
        <v>5.4982817869415896</v>
      </c>
      <c r="FT228" s="100">
        <f>BG228+BI228+BK228+BM228</f>
        <v>366</v>
      </c>
      <c r="FU228" s="72">
        <f t="shared" si="1361"/>
        <v>19.218241042345284</v>
      </c>
      <c r="FV228" s="100">
        <f>BO228+BQ228+BS228+BU228</f>
        <v>459</v>
      </c>
      <c r="FW228" s="72">
        <f t="shared" si="1362"/>
        <v>25.409836065573771</v>
      </c>
      <c r="FX228" s="75">
        <f>BW228+BY228+CA228+CC228</f>
        <v>484</v>
      </c>
      <c r="FY228" s="72">
        <f t="shared" si="1362"/>
        <v>5.4466230936819073</v>
      </c>
      <c r="FZ228" s="75">
        <f>CE228+CG228+CI228+CK228</f>
        <v>478</v>
      </c>
      <c r="GA228" s="72">
        <f t="shared" si="1362"/>
        <v>-1.239669421487605</v>
      </c>
      <c r="GB228" s="100">
        <f>CM228+CO228+CQ228+CS228</f>
        <v>520</v>
      </c>
      <c r="GC228" s="72">
        <f t="shared" si="1362"/>
        <v>8.7866108786610795</v>
      </c>
      <c r="GD228" s="100">
        <f>CU228+CW228+CY228+DA228</f>
        <v>505</v>
      </c>
      <c r="GE228" s="72">
        <f t="shared" si="1362"/>
        <v>-2.8846153846153868</v>
      </c>
      <c r="GF228" s="100">
        <f>DC228+DE228+DG228+DI228</f>
        <v>526</v>
      </c>
      <c r="GG228" s="72">
        <f t="shared" si="1362"/>
        <v>4.1584158415841586</v>
      </c>
      <c r="GH228" s="100">
        <f>DK228+DM228+DO228+DQ228</f>
        <v>567</v>
      </c>
      <c r="GI228" s="72">
        <f t="shared" si="1363"/>
        <v>7.7946768060836575</v>
      </c>
      <c r="GJ228" s="100">
        <f>DS228+DU228+DW228+DY228</f>
        <v>583</v>
      </c>
      <c r="GK228" s="72">
        <f t="shared" si="1363"/>
        <v>2.8218694885361515</v>
      </c>
      <c r="GL228" s="100">
        <f>EA228+EC228+EE228+EG228</f>
        <v>616</v>
      </c>
      <c r="GM228" s="72">
        <f t="shared" si="1363"/>
        <v>5.6603773584905639</v>
      </c>
      <c r="GN228" s="100">
        <f>EI228+EK228+EM228+EO228</f>
        <v>590</v>
      </c>
      <c r="GO228" s="72">
        <f t="shared" si="1363"/>
        <v>-4.220779220779221</v>
      </c>
      <c r="GP228" s="100">
        <f>EQ228+ES228+EU228+EW228</f>
        <v>570.03969639000002</v>
      </c>
      <c r="GQ228" s="72">
        <f t="shared" si="1363"/>
        <v>-3.3831023067796622</v>
      </c>
      <c r="GR228" s="101">
        <f>GP228*1.06</f>
        <v>604.24207817340005</v>
      </c>
      <c r="GS228" s="72">
        <f t="shared" si="1363"/>
        <v>6</v>
      </c>
      <c r="GT228" s="101">
        <f>GR228*1.06</f>
        <v>640.49660286380413</v>
      </c>
      <c r="GU228" s="72">
        <f t="shared" si="1363"/>
        <v>6</v>
      </c>
      <c r="GV228" s="101">
        <f>GT228*1.06</f>
        <v>678.92639903563236</v>
      </c>
      <c r="GW228" s="72">
        <f t="shared" si="1364"/>
        <v>6</v>
      </c>
      <c r="GX228" s="101">
        <f>GV228*1.06</f>
        <v>719.66198297777032</v>
      </c>
      <c r="GY228" s="72">
        <f t="shared" si="1365"/>
        <v>6</v>
      </c>
      <c r="GZ228" s="72">
        <f t="shared" si="1366"/>
        <v>4.0531686315266713</v>
      </c>
      <c r="HA228" s="72"/>
      <c r="HB228" s="72"/>
      <c r="HC228"/>
      <c r="HD228"/>
      <c r="HE228"/>
      <c r="HF228"/>
      <c r="HG228"/>
      <c r="HH228"/>
      <c r="HI228" s="2"/>
    </row>
    <row r="229" spans="1:217" ht="12.75" customHeight="1" x14ac:dyDescent="0.2">
      <c r="B229" s="77" t="s">
        <v>477</v>
      </c>
      <c r="C229" s="75">
        <f>C228+C227</f>
        <v>545</v>
      </c>
      <c r="D229" s="72"/>
      <c r="E229" s="75">
        <f>E228+E227</f>
        <v>591</v>
      </c>
      <c r="F229" s="72"/>
      <c r="G229" s="75">
        <f>G228+G227</f>
        <v>531</v>
      </c>
      <c r="H229" s="72"/>
      <c r="I229" s="75">
        <f>I228+I227</f>
        <v>624</v>
      </c>
      <c r="J229" s="72"/>
      <c r="K229" s="75">
        <f>K228+K227</f>
        <v>626</v>
      </c>
      <c r="L229" s="72">
        <f t="shared" si="1300"/>
        <v>14.862385321100916</v>
      </c>
      <c r="M229" s="75">
        <f>M228+M227</f>
        <v>654</v>
      </c>
      <c r="N229" s="72">
        <f t="shared" si="1301"/>
        <v>10.659898477157356</v>
      </c>
      <c r="O229" s="75">
        <f>O228+O227</f>
        <v>708</v>
      </c>
      <c r="P229" s="72">
        <f t="shared" si="1302"/>
        <v>33.333333333333314</v>
      </c>
      <c r="Q229" s="75">
        <f>Q228+Q227</f>
        <v>688</v>
      </c>
      <c r="R229" s="72">
        <f t="shared" si="1303"/>
        <v>10.256410256410263</v>
      </c>
      <c r="S229" s="75">
        <f>S228+S227</f>
        <v>746</v>
      </c>
      <c r="T229" s="72">
        <f t="shared" si="1303"/>
        <v>19.16932907348243</v>
      </c>
      <c r="U229" s="75">
        <f>U228+U227</f>
        <v>746</v>
      </c>
      <c r="V229" s="72">
        <f t="shared" si="1303"/>
        <v>14.067278287461775</v>
      </c>
      <c r="W229" s="75">
        <f>W228+W227</f>
        <v>725</v>
      </c>
      <c r="X229" s="72">
        <f t="shared" si="1303"/>
        <v>2.4011299435028377</v>
      </c>
      <c r="Y229" s="75">
        <f>Y228+Y227</f>
        <v>756</v>
      </c>
      <c r="Z229" s="72">
        <f t="shared" si="1303"/>
        <v>9.8837209302325562</v>
      </c>
      <c r="AA229" s="75">
        <f>AA228+AA227</f>
        <v>802</v>
      </c>
      <c r="AB229" s="72">
        <f t="shared" si="1303"/>
        <v>7.5067024128686342</v>
      </c>
      <c r="AC229" s="75">
        <f>AC228+AC227</f>
        <v>753</v>
      </c>
      <c r="AD229" s="72">
        <f t="shared" si="1303"/>
        <v>0.93833780160856861</v>
      </c>
      <c r="AE229" s="75">
        <f>AE228+AE227</f>
        <v>736</v>
      </c>
      <c r="AF229" s="72">
        <f t="shared" si="1303"/>
        <v>1.5172413793103487</v>
      </c>
      <c r="AG229" s="75">
        <f>AG228+AG227</f>
        <v>777</v>
      </c>
      <c r="AH229" s="72">
        <f t="shared" si="1303"/>
        <v>2.7777777777777715</v>
      </c>
      <c r="AI229" s="75">
        <f>AI228+AI227</f>
        <v>825</v>
      </c>
      <c r="AJ229" s="72">
        <f t="shared" si="1303"/>
        <v>2.8678304239401484</v>
      </c>
      <c r="AK229" s="75">
        <f>AK228+AK227</f>
        <v>806</v>
      </c>
      <c r="AL229" s="72">
        <f t="shared" si="1303"/>
        <v>7.0385126162018565</v>
      </c>
      <c r="AM229" s="75">
        <f>AM228+AM227</f>
        <v>835</v>
      </c>
      <c r="AN229" s="72">
        <f t="shared" si="1303"/>
        <v>13.451086956521735</v>
      </c>
      <c r="AO229" s="75">
        <f>AO228+AO227</f>
        <v>826</v>
      </c>
      <c r="AP229" s="72">
        <f t="shared" si="1303"/>
        <v>6.3063063063063112</v>
      </c>
      <c r="AQ229" s="75">
        <f>AQ228+AQ227</f>
        <v>892</v>
      </c>
      <c r="AR229" s="72">
        <f t="shared" si="1304"/>
        <v>8.1212121212121247</v>
      </c>
      <c r="AS229" s="75">
        <f>AS228+AS227</f>
        <v>902</v>
      </c>
      <c r="AT229" s="72">
        <f t="shared" si="1305"/>
        <v>11.91066997518611</v>
      </c>
      <c r="AU229" s="75">
        <f>AU228+AU227</f>
        <v>878</v>
      </c>
      <c r="AV229" s="72">
        <f t="shared" si="1306"/>
        <v>5.1497005988023972</v>
      </c>
      <c r="AW229" s="75">
        <f>AW228+AW227</f>
        <v>889</v>
      </c>
      <c r="AX229" s="72">
        <f t="shared" si="1307"/>
        <v>7.6271186440677923</v>
      </c>
      <c r="AY229" s="75">
        <f>AY228+AY227</f>
        <v>944</v>
      </c>
      <c r="AZ229" s="72">
        <f t="shared" si="1308"/>
        <v>5.8295964125560431</v>
      </c>
      <c r="BA229" s="75">
        <f>BA228+BA227</f>
        <v>950</v>
      </c>
      <c r="BB229" s="72">
        <f t="shared" si="1309"/>
        <v>5.3215077605321568</v>
      </c>
      <c r="BC229" s="75">
        <f>BC228+BC227</f>
        <v>979</v>
      </c>
      <c r="BD229" s="72">
        <f t="shared" si="1310"/>
        <v>11.503416856492038</v>
      </c>
      <c r="BE229" s="75">
        <f>BE228+BE227</f>
        <v>990</v>
      </c>
      <c r="BF229" s="72">
        <f t="shared" si="1311"/>
        <v>11.361079865016862</v>
      </c>
      <c r="BG229" s="75">
        <f>BG228+BG227</f>
        <v>1022</v>
      </c>
      <c r="BH229" s="72">
        <f t="shared" si="1312"/>
        <v>8.2627118644067679</v>
      </c>
      <c r="BI229" s="75">
        <f>BI228+BI227</f>
        <v>1026</v>
      </c>
      <c r="BJ229" s="72">
        <f t="shared" si="1313"/>
        <v>8</v>
      </c>
      <c r="BK229" s="75">
        <f>BK228+BK227</f>
        <v>1007</v>
      </c>
      <c r="BL229" s="72">
        <f t="shared" si="1314"/>
        <v>2.8600612870275768</v>
      </c>
      <c r="BM229" s="75">
        <f>BM228+BM227</f>
        <v>990</v>
      </c>
      <c r="BN229" s="72">
        <f t="shared" si="1315"/>
        <v>0</v>
      </c>
      <c r="BO229" s="75">
        <f>BO228+BO227</f>
        <v>1073</v>
      </c>
      <c r="BP229" s="72">
        <f t="shared" si="1316"/>
        <v>4.990215264187853</v>
      </c>
      <c r="BQ229" s="75">
        <f>BQ228+BQ227</f>
        <v>1035</v>
      </c>
      <c r="BR229" s="72">
        <f t="shared" si="1317"/>
        <v>0.87719298245613686</v>
      </c>
      <c r="BS229" s="75">
        <f>BS228+BS227</f>
        <v>1048</v>
      </c>
      <c r="BT229" s="72">
        <f t="shared" si="1318"/>
        <v>4.0714995034756782</v>
      </c>
      <c r="BU229" s="75">
        <f>BU228+BU227</f>
        <v>1071</v>
      </c>
      <c r="BV229" s="72">
        <f t="shared" si="1319"/>
        <v>8.1818181818181728</v>
      </c>
      <c r="BW229" s="75">
        <f>BW228+BW227</f>
        <v>1147</v>
      </c>
      <c r="BX229" s="72">
        <f t="shared" si="1320"/>
        <v>6.8965517241379217</v>
      </c>
      <c r="BY229" s="75">
        <f>BY228+BY227</f>
        <v>1120</v>
      </c>
      <c r="BZ229" s="72">
        <f t="shared" si="1321"/>
        <v>8.2125603864734273</v>
      </c>
      <c r="CA229" s="75">
        <f>CA228+CA227</f>
        <v>1164</v>
      </c>
      <c r="CB229" s="72">
        <f t="shared" si="1322"/>
        <v>11.068702290076331</v>
      </c>
      <c r="CC229" s="75">
        <f>CC228+CC227</f>
        <v>1104</v>
      </c>
      <c r="CD229" s="72">
        <f t="shared" si="1323"/>
        <v>3.0812324929971879</v>
      </c>
      <c r="CE229" s="75">
        <f>CE228+CE227</f>
        <v>1122</v>
      </c>
      <c r="CF229" s="72">
        <f t="shared" si="1324"/>
        <v>-2.1795989537925067</v>
      </c>
      <c r="CG229" s="75">
        <f>CG228+CG227</f>
        <v>1125</v>
      </c>
      <c r="CH229" s="72">
        <f t="shared" si="1325"/>
        <v>0.44642857142858361</v>
      </c>
      <c r="CI229" s="75">
        <f>CI228+CI227</f>
        <v>1273</v>
      </c>
      <c r="CJ229" s="72">
        <f t="shared" si="1326"/>
        <v>9.3642611683848713</v>
      </c>
      <c r="CK229" s="75">
        <f>CK228+CK227</f>
        <v>1165</v>
      </c>
      <c r="CL229" s="72">
        <f t="shared" si="1326"/>
        <v>5.5253623188405783</v>
      </c>
      <c r="CM229" s="75">
        <f>CM228+CM227</f>
        <v>1309</v>
      </c>
      <c r="CN229" s="72">
        <f t="shared" si="1326"/>
        <v>16.666666666666671</v>
      </c>
      <c r="CO229" s="75">
        <f>CO228+CO227</f>
        <v>1288</v>
      </c>
      <c r="CP229" s="72">
        <f t="shared" si="1326"/>
        <v>14.48888888888888</v>
      </c>
      <c r="CQ229" s="75">
        <f>CQ228+CQ227</f>
        <v>1282</v>
      </c>
      <c r="CR229" s="72">
        <f t="shared" si="1326"/>
        <v>0.70699135899450027</v>
      </c>
      <c r="CS229" s="75">
        <f>CS228+CS227</f>
        <v>1223</v>
      </c>
      <c r="CT229" s="72">
        <f t="shared" si="1326"/>
        <v>4.9785407725321988</v>
      </c>
      <c r="CU229" s="75">
        <f>CU228+CU227</f>
        <v>1220</v>
      </c>
      <c r="CV229" s="72">
        <f t="shared" si="1327"/>
        <v>-6.7990832696714989</v>
      </c>
      <c r="CW229" s="75">
        <f>CW228+CW227</f>
        <v>1221</v>
      </c>
      <c r="CX229" s="72">
        <f t="shared" si="1328"/>
        <v>-5.2018633540372576</v>
      </c>
      <c r="CY229" s="75">
        <f>CY228+CY227</f>
        <v>1241</v>
      </c>
      <c r="CZ229" s="72">
        <f t="shared" si="1329"/>
        <v>-3.1981279251170065</v>
      </c>
      <c r="DA229" s="75">
        <f>DA228+DA227</f>
        <v>1226</v>
      </c>
      <c r="DB229" s="72">
        <f t="shared" si="1330"/>
        <v>0.24529844644317222</v>
      </c>
      <c r="DC229" s="75">
        <f>DC228+DC227</f>
        <v>1228</v>
      </c>
      <c r="DD229" s="72">
        <f t="shared" si="1331"/>
        <v>0.65573770491802463</v>
      </c>
      <c r="DE229" s="75">
        <f>DE228+DE227</f>
        <v>1221</v>
      </c>
      <c r="DF229" s="72">
        <f t="shared" si="1332"/>
        <v>0</v>
      </c>
      <c r="DG229" s="75">
        <f>DG228+DG227</f>
        <v>1171</v>
      </c>
      <c r="DH229" s="72">
        <f t="shared" si="1333"/>
        <v>-5.6406124093472982</v>
      </c>
      <c r="DI229" s="75">
        <f>DI228+DI227</f>
        <v>1194</v>
      </c>
      <c r="DJ229" s="72">
        <f t="shared" si="1334"/>
        <v>-2.6101141924959279</v>
      </c>
      <c r="DK229" s="75">
        <f>DK228+DK227</f>
        <v>1173</v>
      </c>
      <c r="DL229" s="72">
        <f t="shared" si="1335"/>
        <v>-4.4788273615635177</v>
      </c>
      <c r="DM229" s="75">
        <f>DM228+DM227</f>
        <v>1165</v>
      </c>
      <c r="DN229" s="72">
        <f t="shared" si="1336"/>
        <v>-4.5864045864045977</v>
      </c>
      <c r="DO229" s="75">
        <f>DO228+DO227</f>
        <v>1168</v>
      </c>
      <c r="DP229" s="72">
        <f t="shared" si="1336"/>
        <v>-0.25619128949615799</v>
      </c>
      <c r="DQ229" s="75">
        <f>DQ228+DQ227</f>
        <v>1120</v>
      </c>
      <c r="DR229" s="72">
        <f t="shared" si="1336"/>
        <v>-6.1976549413735285</v>
      </c>
      <c r="DS229" s="75">
        <f>DS228+DS227</f>
        <v>1098</v>
      </c>
      <c r="DT229" s="72">
        <f t="shared" si="1336"/>
        <v>-6.3938618925831179</v>
      </c>
      <c r="DU229" s="75">
        <f>DU228+DU227</f>
        <v>1127</v>
      </c>
      <c r="DV229" s="72">
        <f t="shared" si="1336"/>
        <v>-3.2618025751072963</v>
      </c>
      <c r="DW229" s="75">
        <f>DW228+DW227</f>
        <v>1123</v>
      </c>
      <c r="DX229" s="72">
        <f t="shared" si="1336"/>
        <v>-3.8527397260273943</v>
      </c>
      <c r="DY229" s="75">
        <f>DY228+DY227</f>
        <v>1120</v>
      </c>
      <c r="DZ229" s="72">
        <f t="shared" si="1336"/>
        <v>0</v>
      </c>
      <c r="EA229" s="75">
        <f>EA228+EA227</f>
        <v>1158</v>
      </c>
      <c r="EB229" s="72">
        <f t="shared" si="1337"/>
        <v>5.4644808743169477</v>
      </c>
      <c r="EC229" s="75">
        <f>EC228+EC227</f>
        <v>1194</v>
      </c>
      <c r="ED229" s="72">
        <f t="shared" si="1338"/>
        <v>5.9449866903283066</v>
      </c>
      <c r="EE229" s="75">
        <f>EE228+EE227</f>
        <v>1152</v>
      </c>
      <c r="EF229" s="72">
        <f t="shared" si="1339"/>
        <v>2.5823686553873415</v>
      </c>
      <c r="EG229" s="75">
        <f>EG228+EG227</f>
        <v>1146</v>
      </c>
      <c r="EH229" s="72">
        <f t="shared" si="1340"/>
        <v>2.3214285714285694</v>
      </c>
      <c r="EI229" s="75">
        <f>EI228+EI227</f>
        <v>1196</v>
      </c>
      <c r="EJ229" s="72">
        <f t="shared" si="1341"/>
        <v>3.2815198618307448</v>
      </c>
      <c r="EK229" s="75">
        <f>EK228+EK227</f>
        <v>1190</v>
      </c>
      <c r="EL229" s="72">
        <f t="shared" si="1342"/>
        <v>-0.33500837520938376</v>
      </c>
      <c r="EM229" s="75">
        <f>EM228+EM227</f>
        <v>1185</v>
      </c>
      <c r="EN229" s="72">
        <f t="shared" si="1343"/>
        <v>2.8645833333333286</v>
      </c>
      <c r="EO229" s="75">
        <f>EO228+EO227</f>
        <v>1177</v>
      </c>
      <c r="EP229" s="72">
        <f t="shared" si="1344"/>
        <v>2.705061082024443</v>
      </c>
      <c r="EQ229" s="75">
        <f t="shared" ref="EQ229" si="1367">EQ228+EQ227</f>
        <v>1188.7700000000002</v>
      </c>
      <c r="ER229" s="72">
        <f t="shared" si="1346"/>
        <v>-0.6045150501672083</v>
      </c>
      <c r="ES229" s="75">
        <f t="shared" ref="ES229" si="1368">ES228+ES227</f>
        <v>1200.6577000000002</v>
      </c>
      <c r="ET229" s="72">
        <f t="shared" si="1348"/>
        <v>0.89560504201682534</v>
      </c>
      <c r="EU229" s="75">
        <f t="shared" ref="EU229" si="1369">EU228+EU227</f>
        <v>1212.6642770000001</v>
      </c>
      <c r="EV229" s="72">
        <f t="shared" si="1350"/>
        <v>2.3345381434599233</v>
      </c>
      <c r="EW229" s="75">
        <f t="shared" ref="EW229" si="1370">EW228+EW227</f>
        <v>1224.7909197700001</v>
      </c>
      <c r="EX229" s="72">
        <f t="shared" si="1352"/>
        <v>4.0604009999999988</v>
      </c>
      <c r="EY229" s="72"/>
      <c r="EZ229" s="307"/>
      <c r="FA229" s="72"/>
      <c r="FB229" s="75">
        <f>FB228+FB227</f>
        <v>1755</v>
      </c>
      <c r="FC229" s="72"/>
      <c r="FD229" s="75">
        <f>FD228+FD227</f>
        <v>1927</v>
      </c>
      <c r="FE229" s="72">
        <f t="shared" si="1353"/>
        <v>9.8005698005698036</v>
      </c>
      <c r="FF229" s="75">
        <f>FF228+FF227</f>
        <v>2291</v>
      </c>
      <c r="FG229" s="72">
        <f t="shared" si="1354"/>
        <v>18.889465490399587</v>
      </c>
      <c r="FH229" s="75">
        <f>FH228+FH227</f>
        <v>2676</v>
      </c>
      <c r="FI229" s="72">
        <f t="shared" si="1355"/>
        <v>16.804888694893052</v>
      </c>
      <c r="FJ229" s="75">
        <f>FJ228+FJ227</f>
        <v>2973</v>
      </c>
      <c r="FK229" s="72">
        <f t="shared" si="1356"/>
        <v>11.098654708520186</v>
      </c>
      <c r="FL229" s="75">
        <f>FL228+FL227</f>
        <v>3068</v>
      </c>
      <c r="FM229" s="72">
        <f t="shared" si="1357"/>
        <v>3.1954254961318611</v>
      </c>
      <c r="FN229" s="75">
        <f>FN228+FN227</f>
        <v>3292</v>
      </c>
      <c r="FO229" s="72">
        <f t="shared" si="1358"/>
        <v>7.3011734028683151</v>
      </c>
      <c r="FP229" s="75">
        <f>FP228+FP227</f>
        <v>3561</v>
      </c>
      <c r="FQ229" s="72">
        <f t="shared" si="1359"/>
        <v>8.1713244228432558</v>
      </c>
      <c r="FR229" s="75">
        <f>FR228+FR227</f>
        <v>3863</v>
      </c>
      <c r="FS229" s="72">
        <f t="shared" si="1360"/>
        <v>8.480763830384717</v>
      </c>
      <c r="FT229" s="75">
        <f>FT228+FT227</f>
        <v>4045</v>
      </c>
      <c r="FU229" s="72">
        <f t="shared" si="1361"/>
        <v>4.7113642246958278</v>
      </c>
      <c r="FV229" s="75">
        <f>FV228+FV227</f>
        <v>4227</v>
      </c>
      <c r="FW229" s="72">
        <f t="shared" si="1362"/>
        <v>4.4993819530284327</v>
      </c>
      <c r="FX229" s="75">
        <f>FX228+FX227</f>
        <v>4535</v>
      </c>
      <c r="FY229" s="72">
        <f t="shared" si="1362"/>
        <v>7.2864916016087022</v>
      </c>
      <c r="FZ229" s="75">
        <f>FZ228+FZ227</f>
        <v>4685</v>
      </c>
      <c r="GA229" s="72">
        <f t="shared" si="1362"/>
        <v>3.3076074972436516</v>
      </c>
      <c r="GB229" s="75">
        <f>GB228+GB227</f>
        <v>5102</v>
      </c>
      <c r="GC229" s="72">
        <f t="shared" si="1362"/>
        <v>8.9007470651013705</v>
      </c>
      <c r="GD229" s="75">
        <f>GD228+GD227</f>
        <v>4908</v>
      </c>
      <c r="GE229" s="72">
        <f t="shared" si="1362"/>
        <v>-3.802430419443354</v>
      </c>
      <c r="GF229" s="75">
        <f>GF228+GF227</f>
        <v>4814</v>
      </c>
      <c r="GG229" s="72">
        <f t="shared" si="1362"/>
        <v>-1.9152404237978828</v>
      </c>
      <c r="GH229" s="75">
        <f>GH228+GH227</f>
        <v>4626</v>
      </c>
      <c r="GI229" s="72">
        <f t="shared" si="1363"/>
        <v>-3.9052762775238818</v>
      </c>
      <c r="GJ229" s="75">
        <f>GJ228+GJ227</f>
        <v>4468</v>
      </c>
      <c r="GK229" s="72">
        <f t="shared" si="1363"/>
        <v>-3.4154777345438845</v>
      </c>
      <c r="GL229" s="75">
        <f>GL228+GL227</f>
        <v>4650</v>
      </c>
      <c r="GM229" s="72">
        <f t="shared" si="1363"/>
        <v>4.0734109221127994</v>
      </c>
      <c r="GN229" s="75">
        <f>GN228+GN227</f>
        <v>4748</v>
      </c>
      <c r="GO229" s="72">
        <f t="shared" si="1363"/>
        <v>2.1075268817204176</v>
      </c>
      <c r="GP229" s="75">
        <f>GP228+GP227</f>
        <v>4826.882896770001</v>
      </c>
      <c r="GQ229" s="72">
        <f t="shared" si="1363"/>
        <v>1.6613920970935254</v>
      </c>
      <c r="GR229" s="75">
        <f>GR228+GR227</f>
        <v>5031.3590065686012</v>
      </c>
      <c r="GS229" s="72">
        <f t="shared" si="1363"/>
        <v>4.236193712829234</v>
      </c>
      <c r="GT229" s="75">
        <f>GT228+GT227</f>
        <v>5244.6982083948133</v>
      </c>
      <c r="GU229" s="72">
        <f t="shared" si="1363"/>
        <v>4.2401904047731733</v>
      </c>
      <c r="GV229" s="75">
        <f>GV228+GV227</f>
        <v>5467.2960687878822</v>
      </c>
      <c r="GW229" s="72">
        <f t="shared" si="1364"/>
        <v>4.2442453607105932</v>
      </c>
      <c r="GX229" s="75">
        <f>GX228+GX227</f>
        <v>5699.5664395201102</v>
      </c>
      <c r="GY229" s="72">
        <f t="shared" si="1365"/>
        <v>4.2483591122535245</v>
      </c>
      <c r="GZ229" s="72">
        <f t="shared" si="1366"/>
        <v>3.7208869870745787</v>
      </c>
      <c r="HA229" s="72"/>
      <c r="HB229" s="72"/>
    </row>
    <row r="230" spans="1:217" ht="12.75" customHeight="1" x14ac:dyDescent="0.2">
      <c r="B230" s="77" t="s">
        <v>667</v>
      </c>
      <c r="C230" s="101">
        <f>FF230-I230-G230-E230</f>
        <v>120</v>
      </c>
      <c r="D230" s="72"/>
      <c r="E230" s="101">
        <v>116</v>
      </c>
      <c r="F230" s="72"/>
      <c r="G230" s="101">
        <v>118</v>
      </c>
      <c r="H230" s="72"/>
      <c r="I230" s="101">
        <v>131</v>
      </c>
      <c r="J230" s="72"/>
      <c r="K230" s="101">
        <v>136</v>
      </c>
      <c r="L230" s="72">
        <f t="shared" si="1300"/>
        <v>13.333333333333329</v>
      </c>
      <c r="M230" s="101">
        <v>137</v>
      </c>
      <c r="N230" s="72">
        <f t="shared" si="1301"/>
        <v>18.103448275862078</v>
      </c>
      <c r="O230" s="101">
        <v>134</v>
      </c>
      <c r="P230" s="72">
        <f t="shared" si="1302"/>
        <v>13.559322033898312</v>
      </c>
      <c r="Q230" s="101">
        <v>140</v>
      </c>
      <c r="R230" s="72">
        <f t="shared" si="1303"/>
        <v>6.8702290076335828</v>
      </c>
      <c r="S230" s="101">
        <v>136</v>
      </c>
      <c r="T230" s="72">
        <f t="shared" si="1303"/>
        <v>0</v>
      </c>
      <c r="U230" s="101">
        <v>147</v>
      </c>
      <c r="V230" s="72">
        <f t="shared" si="1303"/>
        <v>7.299270072992698</v>
      </c>
      <c r="W230" s="101">
        <v>147</v>
      </c>
      <c r="X230" s="72">
        <f t="shared" si="1303"/>
        <v>9.7014925373134275</v>
      </c>
      <c r="Y230" s="101">
        <v>148</v>
      </c>
      <c r="Z230" s="72">
        <f t="shared" si="1303"/>
        <v>5.7142857142857224</v>
      </c>
      <c r="AA230" s="101">
        <v>151</v>
      </c>
      <c r="AB230" s="72">
        <f t="shared" si="1303"/>
        <v>11.029411764705884</v>
      </c>
      <c r="AC230" s="101">
        <v>150</v>
      </c>
      <c r="AD230" s="72">
        <f t="shared" si="1303"/>
        <v>2.0408163265306172</v>
      </c>
      <c r="AE230" s="101">
        <v>138</v>
      </c>
      <c r="AF230" s="72">
        <f t="shared" si="1303"/>
        <v>-6.1224489795918373</v>
      </c>
      <c r="AG230" s="101">
        <v>144</v>
      </c>
      <c r="AH230" s="72">
        <f t="shared" si="1303"/>
        <v>-2.7027027027026946</v>
      </c>
      <c r="AI230" s="101">
        <v>135</v>
      </c>
      <c r="AJ230" s="72">
        <f t="shared" si="1303"/>
        <v>-10.596026490066222</v>
      </c>
      <c r="AK230" s="101">
        <v>138</v>
      </c>
      <c r="AL230" s="72">
        <f t="shared" si="1303"/>
        <v>-8</v>
      </c>
      <c r="AM230" s="101">
        <v>143</v>
      </c>
      <c r="AN230" s="72">
        <f t="shared" si="1303"/>
        <v>3.6231884057970944</v>
      </c>
      <c r="AO230" s="101">
        <v>145</v>
      </c>
      <c r="AP230" s="72">
        <f t="shared" si="1303"/>
        <v>0.69444444444444287</v>
      </c>
      <c r="AQ230" s="101">
        <v>151</v>
      </c>
      <c r="AR230" s="72">
        <f t="shared" si="1304"/>
        <v>11.851851851851848</v>
      </c>
      <c r="AS230" s="101">
        <v>148</v>
      </c>
      <c r="AT230" s="72">
        <f t="shared" si="1305"/>
        <v>7.2463768115942173</v>
      </c>
      <c r="AU230" s="101">
        <v>147</v>
      </c>
      <c r="AV230" s="72">
        <f t="shared" si="1306"/>
        <v>2.797202797202786</v>
      </c>
      <c r="AW230" s="101">
        <v>147</v>
      </c>
      <c r="AX230" s="72">
        <f t="shared" si="1307"/>
        <v>1.3793103448275872</v>
      </c>
      <c r="AY230" s="101">
        <v>148</v>
      </c>
      <c r="AZ230" s="72">
        <f t="shared" si="1308"/>
        <v>-1.9867549668874176</v>
      </c>
      <c r="BA230" s="101">
        <v>153</v>
      </c>
      <c r="BB230" s="72">
        <f t="shared" si="1309"/>
        <v>3.3783783783783718</v>
      </c>
      <c r="BC230" s="101">
        <v>157</v>
      </c>
      <c r="BD230" s="72">
        <f t="shared" si="1310"/>
        <v>6.8027210884353764</v>
      </c>
      <c r="BE230" s="101">
        <v>163</v>
      </c>
      <c r="BF230" s="72">
        <f t="shared" si="1311"/>
        <v>10.884353741496582</v>
      </c>
      <c r="BG230" s="101">
        <v>164</v>
      </c>
      <c r="BH230" s="72">
        <f t="shared" si="1312"/>
        <v>10.810810810810807</v>
      </c>
      <c r="BI230" s="101">
        <v>166</v>
      </c>
      <c r="BJ230" s="72">
        <f t="shared" si="1313"/>
        <v>8.4967320261437891</v>
      </c>
      <c r="BK230" s="101">
        <v>170</v>
      </c>
      <c r="BL230" s="72">
        <f t="shared" si="1314"/>
        <v>8.2802547770700556</v>
      </c>
      <c r="BM230" s="101">
        <v>171</v>
      </c>
      <c r="BN230" s="72">
        <f t="shared" si="1315"/>
        <v>4.9079754601226995</v>
      </c>
      <c r="BO230" s="101">
        <v>163</v>
      </c>
      <c r="BP230" s="72">
        <f t="shared" si="1316"/>
        <v>-0.60975609756097526</v>
      </c>
      <c r="BQ230" s="101">
        <v>161</v>
      </c>
      <c r="BR230" s="72">
        <f t="shared" si="1317"/>
        <v>-3.0120481927710898</v>
      </c>
      <c r="BS230" s="101">
        <v>162</v>
      </c>
      <c r="BT230" s="72">
        <f t="shared" si="1318"/>
        <v>-4.7058823529411882</v>
      </c>
      <c r="BU230" s="101">
        <v>161</v>
      </c>
      <c r="BV230" s="72">
        <f t="shared" si="1319"/>
        <v>-5.8479532163742647</v>
      </c>
      <c r="BW230" s="101">
        <v>156</v>
      </c>
      <c r="BX230" s="72">
        <f t="shared" si="1320"/>
        <v>-4.2944785276073532</v>
      </c>
      <c r="BY230" s="101">
        <v>150</v>
      </c>
      <c r="BZ230" s="72">
        <f t="shared" si="1321"/>
        <v>-6.8322981366459601</v>
      </c>
      <c r="CA230" s="101">
        <v>156</v>
      </c>
      <c r="CB230" s="72">
        <f t="shared" si="1322"/>
        <v>-3.7037037037037095</v>
      </c>
      <c r="CC230" s="101">
        <v>161</v>
      </c>
      <c r="CD230" s="72">
        <f t="shared" si="1323"/>
        <v>0</v>
      </c>
      <c r="CE230" s="101">
        <v>162</v>
      </c>
      <c r="CF230" s="72">
        <f t="shared" si="1324"/>
        <v>3.8461538461538538</v>
      </c>
      <c r="CG230" s="101">
        <v>166</v>
      </c>
      <c r="CH230" s="72">
        <f t="shared" si="1325"/>
        <v>10.666666666666671</v>
      </c>
      <c r="CI230" s="101">
        <v>169</v>
      </c>
      <c r="CJ230" s="72">
        <f t="shared" si="1326"/>
        <v>8.3333333333333286</v>
      </c>
      <c r="CK230" s="101">
        <v>171</v>
      </c>
      <c r="CL230" s="72">
        <f t="shared" si="1326"/>
        <v>6.2111801242235885</v>
      </c>
      <c r="CM230" s="101">
        <v>171</v>
      </c>
      <c r="CN230" s="72">
        <f t="shared" si="1326"/>
        <v>5.5555555555555571</v>
      </c>
      <c r="CO230" s="101">
        <v>173</v>
      </c>
      <c r="CP230" s="72">
        <f t="shared" si="1326"/>
        <v>4.2168674698795314</v>
      </c>
      <c r="CQ230" s="101">
        <v>145</v>
      </c>
      <c r="CR230" s="72">
        <f t="shared" si="1326"/>
        <v>-14.201183431952657</v>
      </c>
      <c r="CS230" s="101">
        <v>140</v>
      </c>
      <c r="CT230" s="72">
        <f t="shared" si="1326"/>
        <v>-18.128654970760238</v>
      </c>
      <c r="CU230" s="101">
        <v>146</v>
      </c>
      <c r="CV230" s="72">
        <f t="shared" si="1327"/>
        <v>-14.619883040935676</v>
      </c>
      <c r="CW230" s="101">
        <v>146</v>
      </c>
      <c r="CX230" s="72">
        <f t="shared" si="1328"/>
        <v>-15.606936416184965</v>
      </c>
      <c r="CY230" s="101">
        <v>148</v>
      </c>
      <c r="CZ230" s="72">
        <f t="shared" si="1329"/>
        <v>2.0689655172413808</v>
      </c>
      <c r="DA230" s="101">
        <v>146</v>
      </c>
      <c r="DB230" s="72">
        <f t="shared" si="1330"/>
        <v>4.2857142857142918</v>
      </c>
      <c r="DC230" s="101">
        <v>143</v>
      </c>
      <c r="DD230" s="72">
        <f t="shared" si="1331"/>
        <v>-2.0547945205479436</v>
      </c>
      <c r="DE230" s="101">
        <v>150</v>
      </c>
      <c r="DF230" s="72">
        <f t="shared" si="1332"/>
        <v>2.7397260273972677</v>
      </c>
      <c r="DG230" s="101">
        <v>144</v>
      </c>
      <c r="DH230" s="72">
        <f t="shared" si="1333"/>
        <v>-2.7027027027026946</v>
      </c>
      <c r="DI230" s="101">
        <v>148</v>
      </c>
      <c r="DJ230" s="72">
        <f t="shared" si="1334"/>
        <v>1.3698630136986338</v>
      </c>
      <c r="DK230" s="101">
        <v>159</v>
      </c>
      <c r="DL230" s="72">
        <f t="shared" si="1335"/>
        <v>11.188811188811187</v>
      </c>
      <c r="DM230" s="101">
        <v>145</v>
      </c>
      <c r="DN230" s="72">
        <f t="shared" si="1336"/>
        <v>-3.3333333333333286</v>
      </c>
      <c r="DO230" s="101">
        <v>155</v>
      </c>
      <c r="DP230" s="72">
        <f t="shared" si="1336"/>
        <v>7.6388888888888857</v>
      </c>
      <c r="DQ230" s="101">
        <v>154</v>
      </c>
      <c r="DR230" s="72">
        <f t="shared" si="1336"/>
        <v>4.0540540540540633</v>
      </c>
      <c r="DS230" s="101">
        <v>146</v>
      </c>
      <c r="DT230" s="72">
        <f t="shared" si="1336"/>
        <v>-8.1761006289308114</v>
      </c>
      <c r="DU230" s="101">
        <v>142</v>
      </c>
      <c r="DV230" s="72">
        <f t="shared" si="1336"/>
        <v>-2.0689655172413808</v>
      </c>
      <c r="DW230" s="101">
        <v>157</v>
      </c>
      <c r="DX230" s="72">
        <f t="shared" si="1336"/>
        <v>1.2903225806451672</v>
      </c>
      <c r="DY230" s="101">
        <v>141</v>
      </c>
      <c r="DZ230" s="72">
        <f t="shared" si="1336"/>
        <v>-8.4415584415584419</v>
      </c>
      <c r="EA230" s="101">
        <v>146</v>
      </c>
      <c r="EB230" s="72">
        <f t="shared" si="1337"/>
        <v>0</v>
      </c>
      <c r="EC230" s="101">
        <v>148</v>
      </c>
      <c r="ED230" s="72">
        <f t="shared" si="1338"/>
        <v>4.2253521126760489</v>
      </c>
      <c r="EE230" s="101">
        <v>156</v>
      </c>
      <c r="EF230" s="72">
        <f t="shared" si="1339"/>
        <v>-0.63694267515923286</v>
      </c>
      <c r="EG230" s="101">
        <v>158</v>
      </c>
      <c r="EH230" s="72">
        <f t="shared" si="1340"/>
        <v>12.056737588652481</v>
      </c>
      <c r="EI230" s="101">
        <v>165</v>
      </c>
      <c r="EJ230" s="72">
        <f t="shared" si="1341"/>
        <v>13.013698630137</v>
      </c>
      <c r="EK230" s="101">
        <v>153</v>
      </c>
      <c r="EL230" s="72">
        <f t="shared" si="1342"/>
        <v>3.3783783783783718</v>
      </c>
      <c r="EM230" s="101">
        <v>155</v>
      </c>
      <c r="EN230" s="72">
        <f t="shared" si="1343"/>
        <v>-0.6410256410256352</v>
      </c>
      <c r="EO230" s="101">
        <v>164</v>
      </c>
      <c r="EP230" s="72">
        <f t="shared" si="1344"/>
        <v>3.7974683544303787</v>
      </c>
      <c r="EQ230" s="101">
        <f t="shared" ref="EQ230:EQ231" si="1371">EO230*1.01</f>
        <v>165.64000000000001</v>
      </c>
      <c r="ER230" s="72">
        <f t="shared" si="1346"/>
        <v>0.38787878787880459</v>
      </c>
      <c r="ES230" s="101">
        <f t="shared" ref="ES230:ES231" si="1372">EQ230*1.01</f>
        <v>167.29640000000001</v>
      </c>
      <c r="ET230" s="72">
        <f t="shared" si="1348"/>
        <v>9.3440522875817038</v>
      </c>
      <c r="EU230" s="101">
        <f t="shared" ref="EU230:EU231" si="1373">ES230*1.01</f>
        <v>168.96936400000001</v>
      </c>
      <c r="EV230" s="72">
        <f t="shared" si="1350"/>
        <v>9.0124929032258052</v>
      </c>
      <c r="EW230" s="101">
        <f t="shared" ref="EW230:EW231" si="1374">EU230*1.01</f>
        <v>170.65905764000001</v>
      </c>
      <c r="EX230" s="72">
        <f t="shared" si="1352"/>
        <v>4.0604009999999988</v>
      </c>
      <c r="EY230" s="72"/>
      <c r="EZ230" s="306"/>
      <c r="FA230" s="72"/>
      <c r="FB230" s="101">
        <v>441</v>
      </c>
      <c r="FC230" s="72"/>
      <c r="FD230" s="101">
        <v>470</v>
      </c>
      <c r="FE230" s="72">
        <f t="shared" si="1353"/>
        <v>6.5759637188208586</v>
      </c>
      <c r="FF230" s="101">
        <v>485</v>
      </c>
      <c r="FG230" s="72">
        <f t="shared" si="1354"/>
        <v>3.1914893617021249</v>
      </c>
      <c r="FH230" s="75">
        <f>K230+M230+O230+Q230</f>
        <v>547</v>
      </c>
      <c r="FI230" s="72">
        <f t="shared" si="1355"/>
        <v>12.783505154639172</v>
      </c>
      <c r="FJ230" s="75">
        <f>S230+U230+W230+Y230</f>
        <v>578</v>
      </c>
      <c r="FK230" s="72">
        <f t="shared" si="1356"/>
        <v>5.6672760511883098</v>
      </c>
      <c r="FL230" s="75">
        <f>AA230+AC230+AE230+AG230</f>
        <v>583</v>
      </c>
      <c r="FM230" s="72">
        <f t="shared" si="1357"/>
        <v>0.86505190311419256</v>
      </c>
      <c r="FN230" s="75">
        <f>AI230+AK230+AM230+AO230</f>
        <v>561</v>
      </c>
      <c r="FO230" s="72">
        <f t="shared" si="1358"/>
        <v>-3.7735849056603712</v>
      </c>
      <c r="FP230" s="75">
        <f>AQ230+AS230+AU230+AW230</f>
        <v>593</v>
      </c>
      <c r="FQ230" s="72">
        <f t="shared" si="1359"/>
        <v>5.7040998217468939</v>
      </c>
      <c r="FR230" s="100">
        <f>AY230+BA230+BC230+BE230</f>
        <v>621</v>
      </c>
      <c r="FS230" s="72">
        <f t="shared" si="1360"/>
        <v>4.7217537942664478</v>
      </c>
      <c r="FT230" s="100">
        <f>BG230+BI230+BK230+BM230</f>
        <v>671</v>
      </c>
      <c r="FU230" s="72">
        <f t="shared" si="1361"/>
        <v>8.0515297906602115</v>
      </c>
      <c r="FV230" s="100">
        <f>BO230+BQ230+BS230+BU230</f>
        <v>647</v>
      </c>
      <c r="FW230" s="72">
        <f t="shared" si="1362"/>
        <v>-3.576751117734716</v>
      </c>
      <c r="FX230" s="75">
        <f>BW230+BY230+CA230+CC230</f>
        <v>623</v>
      </c>
      <c r="FY230" s="72">
        <f t="shared" si="1362"/>
        <v>-3.7094281298299876</v>
      </c>
      <c r="FZ230" s="75">
        <f>CE230+CG230+CI230+CK230</f>
        <v>668</v>
      </c>
      <c r="GA230" s="72">
        <f t="shared" si="1362"/>
        <v>7.223113964687002</v>
      </c>
      <c r="GB230" s="100">
        <f>CM230+CO230+CQ230+CS230</f>
        <v>629</v>
      </c>
      <c r="GC230" s="72">
        <f t="shared" si="1362"/>
        <v>-5.8383233532934184</v>
      </c>
      <c r="GD230" s="100">
        <f>CU230+CW230+CY230+DA230</f>
        <v>586</v>
      </c>
      <c r="GE230" s="72">
        <f t="shared" si="1362"/>
        <v>-6.8362480127185989</v>
      </c>
      <c r="GF230" s="100">
        <f>DC230+DE230+DG230+DI230</f>
        <v>585</v>
      </c>
      <c r="GG230" s="72">
        <f t="shared" si="1362"/>
        <v>-0.1706484641638184</v>
      </c>
      <c r="GH230" s="100">
        <f>DK230+DM230+DO230+DQ230</f>
        <v>613</v>
      </c>
      <c r="GI230" s="72">
        <f t="shared" si="1363"/>
        <v>4.7863247863247977</v>
      </c>
      <c r="GJ230" s="100">
        <f>DS230+DU230+DW230+DY230</f>
        <v>586</v>
      </c>
      <c r="GK230" s="72">
        <f t="shared" si="1363"/>
        <v>-4.4045676998368748</v>
      </c>
      <c r="GL230" s="100">
        <f>EA230+EC230+EE230+EG230</f>
        <v>608</v>
      </c>
      <c r="GM230" s="72">
        <f t="shared" si="1363"/>
        <v>3.7542662116040901</v>
      </c>
      <c r="GN230" s="100">
        <f>EI230+EK230+EM230+EO230</f>
        <v>637</v>
      </c>
      <c r="GO230" s="72">
        <f t="shared" si="1363"/>
        <v>4.7697368421052602</v>
      </c>
      <c r="GP230" s="100">
        <f>EQ230+ES230+EU230+EW230</f>
        <v>672.5648216400001</v>
      </c>
      <c r="GQ230" s="72">
        <f t="shared" si="1363"/>
        <v>5.5831745117739473</v>
      </c>
      <c r="GR230" s="101">
        <f>GP230*1.04</f>
        <v>699.46741450560012</v>
      </c>
      <c r="GS230" s="72">
        <f t="shared" si="1363"/>
        <v>4</v>
      </c>
      <c r="GT230" s="101">
        <f>GR230*1.04</f>
        <v>727.4461110858241</v>
      </c>
      <c r="GU230" s="72">
        <f t="shared" si="1363"/>
        <v>4</v>
      </c>
      <c r="GV230" s="101">
        <f>GT230*1.04</f>
        <v>756.54395552925712</v>
      </c>
      <c r="GW230" s="72">
        <f t="shared" si="1364"/>
        <v>4</v>
      </c>
      <c r="GX230" s="101">
        <f>GV230*1.04</f>
        <v>786.80571375042746</v>
      </c>
      <c r="GY230" s="72">
        <f t="shared" si="1365"/>
        <v>4</v>
      </c>
      <c r="GZ230" s="72">
        <f t="shared" si="1366"/>
        <v>4.3147242949610698</v>
      </c>
      <c r="HA230" s="72"/>
      <c r="HB230" s="72"/>
    </row>
    <row r="231" spans="1:217" ht="12.75" customHeight="1" x14ac:dyDescent="0.2">
      <c r="B231" s="77" t="s">
        <v>293</v>
      </c>
      <c r="C231" s="101">
        <f>FF231-I231-G231-E231</f>
        <v>6</v>
      </c>
      <c r="D231" s="72"/>
      <c r="E231" s="101">
        <v>6</v>
      </c>
      <c r="F231" s="72"/>
      <c r="G231" s="101">
        <v>6</v>
      </c>
      <c r="H231" s="72"/>
      <c r="I231" s="101">
        <v>7</v>
      </c>
      <c r="J231" s="72"/>
      <c r="K231" s="101">
        <v>6</v>
      </c>
      <c r="L231" s="72">
        <f t="shared" si="1300"/>
        <v>0</v>
      </c>
      <c r="M231" s="101">
        <v>5</v>
      </c>
      <c r="N231" s="72">
        <f t="shared" si="1301"/>
        <v>-16.666666666666657</v>
      </c>
      <c r="O231" s="101">
        <v>6</v>
      </c>
      <c r="P231" s="72">
        <f t="shared" si="1302"/>
        <v>0</v>
      </c>
      <c r="Q231" s="101">
        <v>8</v>
      </c>
      <c r="R231" s="72">
        <f t="shared" si="1303"/>
        <v>14.285714285714278</v>
      </c>
      <c r="S231" s="101">
        <v>8</v>
      </c>
      <c r="T231" s="72">
        <f t="shared" si="1303"/>
        <v>33.333333333333314</v>
      </c>
      <c r="U231" s="101">
        <v>6</v>
      </c>
      <c r="V231" s="72">
        <f t="shared" si="1303"/>
        <v>20</v>
      </c>
      <c r="W231" s="101">
        <v>10</v>
      </c>
      <c r="X231" s="72">
        <f t="shared" si="1303"/>
        <v>66.666666666666686</v>
      </c>
      <c r="Y231" s="101">
        <v>7</v>
      </c>
      <c r="Z231" s="72">
        <f t="shared" si="1303"/>
        <v>-12.5</v>
      </c>
      <c r="AA231" s="101">
        <v>8</v>
      </c>
      <c r="AB231" s="72">
        <f t="shared" si="1303"/>
        <v>0</v>
      </c>
      <c r="AC231" s="101">
        <v>7</v>
      </c>
      <c r="AD231" s="72">
        <f t="shared" si="1303"/>
        <v>16.666666666666671</v>
      </c>
      <c r="AE231" s="101">
        <v>8</v>
      </c>
      <c r="AF231" s="72">
        <f t="shared" si="1303"/>
        <v>-20</v>
      </c>
      <c r="AG231" s="101">
        <v>14</v>
      </c>
      <c r="AH231" s="72">
        <f t="shared" si="1303"/>
        <v>100</v>
      </c>
      <c r="AI231" s="101">
        <v>11</v>
      </c>
      <c r="AJ231" s="72">
        <f t="shared" si="1303"/>
        <v>37.5</v>
      </c>
      <c r="AK231" s="101">
        <v>9</v>
      </c>
      <c r="AL231" s="72">
        <f t="shared" si="1303"/>
        <v>28.571428571428584</v>
      </c>
      <c r="AM231" s="101">
        <v>9</v>
      </c>
      <c r="AN231" s="72">
        <f t="shared" si="1303"/>
        <v>12.5</v>
      </c>
      <c r="AO231" s="101">
        <v>10</v>
      </c>
      <c r="AP231" s="72">
        <f t="shared" si="1303"/>
        <v>-28.571428571428569</v>
      </c>
      <c r="AQ231" s="101">
        <v>9</v>
      </c>
      <c r="AR231" s="72">
        <f>IF(ISERROR(AQ231/AI231),"NA",IF(OR(AQ231/AI231&gt;2,AQ231/AI231&lt;0.5),"NM",AQ231/AI231*100-100))</f>
        <v>-18.181818181818173</v>
      </c>
      <c r="AS231" s="101">
        <v>10</v>
      </c>
      <c r="AT231" s="72">
        <f>IF(ISERROR(AS231/AK231),"NA",IF(OR(AS231/AK231&gt;2,AS231/AK231&lt;0.5),"NM",AS231/AK231*100-100))</f>
        <v>11.111111111111114</v>
      </c>
      <c r="AU231" s="101">
        <v>13</v>
      </c>
      <c r="AV231" s="72">
        <f t="shared" si="1306"/>
        <v>44.444444444444429</v>
      </c>
      <c r="AW231" s="101">
        <v>14</v>
      </c>
      <c r="AX231" s="72">
        <f t="shared" si="1307"/>
        <v>40</v>
      </c>
      <c r="AY231" s="101">
        <v>17</v>
      </c>
      <c r="AZ231" s="72">
        <f t="shared" si="1308"/>
        <v>88.888888888888886</v>
      </c>
      <c r="BA231" s="101">
        <v>14</v>
      </c>
      <c r="BB231" s="72">
        <f t="shared" si="1309"/>
        <v>40</v>
      </c>
      <c r="BC231" s="101">
        <v>19</v>
      </c>
      <c r="BD231" s="72">
        <f t="shared" si="1310"/>
        <v>46.153846153846132</v>
      </c>
      <c r="BE231" s="101">
        <v>21</v>
      </c>
      <c r="BF231" s="72">
        <f t="shared" si="1311"/>
        <v>50</v>
      </c>
      <c r="BG231" s="101">
        <v>19</v>
      </c>
      <c r="BH231" s="72">
        <f t="shared" si="1312"/>
        <v>11.764705882352942</v>
      </c>
      <c r="BI231" s="101">
        <v>19</v>
      </c>
      <c r="BJ231" s="72">
        <f t="shared" si="1313"/>
        <v>35.714285714285722</v>
      </c>
      <c r="BK231" s="101">
        <v>26</v>
      </c>
      <c r="BL231" s="72">
        <f t="shared" si="1314"/>
        <v>36.84210526315789</v>
      </c>
      <c r="BM231" s="101">
        <v>19</v>
      </c>
      <c r="BN231" s="72">
        <f t="shared" si="1315"/>
        <v>-9.5238095238095184</v>
      </c>
      <c r="BO231" s="101">
        <v>21</v>
      </c>
      <c r="BP231" s="72">
        <f t="shared" si="1316"/>
        <v>10.526315789473699</v>
      </c>
      <c r="BQ231" s="101">
        <v>22</v>
      </c>
      <c r="BR231" s="72">
        <f t="shared" si="1317"/>
        <v>15.789473684210535</v>
      </c>
      <c r="BS231" s="101">
        <v>22</v>
      </c>
      <c r="BT231" s="72">
        <f t="shared" si="1318"/>
        <v>-15.384615384615387</v>
      </c>
      <c r="BU231" s="101">
        <v>21</v>
      </c>
      <c r="BV231" s="72">
        <f t="shared" si="1319"/>
        <v>10.526315789473699</v>
      </c>
      <c r="BW231" s="101">
        <v>30</v>
      </c>
      <c r="BX231" s="72">
        <f t="shared" si="1320"/>
        <v>42.857142857142861</v>
      </c>
      <c r="BY231" s="101">
        <v>33</v>
      </c>
      <c r="BZ231" s="72">
        <f t="shared" si="1321"/>
        <v>50</v>
      </c>
      <c r="CA231" s="101">
        <v>36</v>
      </c>
      <c r="CB231" s="72">
        <f t="shared" si="1322"/>
        <v>63.636363636363654</v>
      </c>
      <c r="CC231" s="101">
        <v>28</v>
      </c>
      <c r="CD231" s="72">
        <f t="shared" si="1323"/>
        <v>33.333333333333314</v>
      </c>
      <c r="CE231" s="101">
        <v>27</v>
      </c>
      <c r="CF231" s="72">
        <f t="shared" si="1324"/>
        <v>-10</v>
      </c>
      <c r="CG231" s="101">
        <v>25</v>
      </c>
      <c r="CH231" s="72">
        <f t="shared" si="1325"/>
        <v>-24.242424242424249</v>
      </c>
      <c r="CI231" s="101">
        <v>24</v>
      </c>
      <c r="CJ231" s="72">
        <f t="shared" si="1326"/>
        <v>-33.333333333333343</v>
      </c>
      <c r="CK231" s="101">
        <v>29</v>
      </c>
      <c r="CL231" s="72">
        <f t="shared" si="1326"/>
        <v>3.5714285714285836</v>
      </c>
      <c r="CM231" s="101">
        <v>26</v>
      </c>
      <c r="CN231" s="72">
        <f t="shared" si="1326"/>
        <v>-3.7037037037037095</v>
      </c>
      <c r="CO231" s="101">
        <v>25</v>
      </c>
      <c r="CP231" s="72">
        <f t="shared" si="1326"/>
        <v>0</v>
      </c>
      <c r="CQ231" s="101">
        <v>20</v>
      </c>
      <c r="CR231" s="72">
        <f t="shared" si="1326"/>
        <v>-16.666666666666657</v>
      </c>
      <c r="CS231" s="101">
        <v>21</v>
      </c>
      <c r="CT231" s="72">
        <f t="shared" si="1326"/>
        <v>-27.58620689655173</v>
      </c>
      <c r="CU231" s="101">
        <v>25</v>
      </c>
      <c r="CV231" s="72">
        <f t="shared" si="1327"/>
        <v>-3.8461538461538396</v>
      </c>
      <c r="CW231" s="101">
        <v>25</v>
      </c>
      <c r="CX231" s="72">
        <f t="shared" si="1328"/>
        <v>0</v>
      </c>
      <c r="CY231" s="101">
        <v>31</v>
      </c>
      <c r="CZ231" s="72">
        <f t="shared" si="1329"/>
        <v>55</v>
      </c>
      <c r="DA231" s="101">
        <v>26</v>
      </c>
      <c r="DB231" s="72">
        <f t="shared" si="1330"/>
        <v>23.80952380952381</v>
      </c>
      <c r="DC231" s="101">
        <v>31</v>
      </c>
      <c r="DD231" s="72">
        <f t="shared" si="1331"/>
        <v>24</v>
      </c>
      <c r="DE231" s="101">
        <v>28</v>
      </c>
      <c r="DF231" s="72">
        <f t="shared" si="1332"/>
        <v>12.000000000000014</v>
      </c>
      <c r="DG231" s="101">
        <v>27</v>
      </c>
      <c r="DH231" s="72">
        <f t="shared" si="1333"/>
        <v>-12.903225806451616</v>
      </c>
      <c r="DI231" s="101">
        <v>33</v>
      </c>
      <c r="DJ231" s="72">
        <f t="shared" si="1334"/>
        <v>26.92307692307692</v>
      </c>
      <c r="DK231" s="101">
        <v>30</v>
      </c>
      <c r="DL231" s="72">
        <f>IF(ISERROR(DK231/DC231),"NA",IF(OR(DK231/DC231&gt;2,DK231/DC231&lt;0.5),"NM",DK231/DC231*100-100))</f>
        <v>-3.2258064516128968</v>
      </c>
      <c r="DM231" s="101">
        <v>32</v>
      </c>
      <c r="DN231" s="72">
        <f t="shared" si="1336"/>
        <v>14.285714285714278</v>
      </c>
      <c r="DO231" s="101">
        <v>26</v>
      </c>
      <c r="DP231" s="72">
        <f t="shared" si="1336"/>
        <v>-3.7037037037037095</v>
      </c>
      <c r="DQ231" s="101">
        <v>30</v>
      </c>
      <c r="DR231" s="72">
        <f t="shared" si="1336"/>
        <v>-9.0909090909090935</v>
      </c>
      <c r="DS231" s="101">
        <v>33</v>
      </c>
      <c r="DT231" s="72">
        <f t="shared" si="1336"/>
        <v>10.000000000000014</v>
      </c>
      <c r="DU231" s="101">
        <v>22</v>
      </c>
      <c r="DV231" s="72">
        <f t="shared" si="1336"/>
        <v>-31.25</v>
      </c>
      <c r="DW231" s="101">
        <v>14</v>
      </c>
      <c r="DX231" s="72">
        <f t="shared" si="1336"/>
        <v>-46.153846153846153</v>
      </c>
      <c r="DY231" s="101">
        <v>20</v>
      </c>
      <c r="DZ231" s="72">
        <f t="shared" si="1336"/>
        <v>-33.333333333333343</v>
      </c>
      <c r="EA231" s="101">
        <v>16</v>
      </c>
      <c r="EB231" s="72" t="str">
        <f t="shared" si="1337"/>
        <v>NM</v>
      </c>
      <c r="EC231" s="101">
        <v>22</v>
      </c>
      <c r="ED231" s="72">
        <f t="shared" si="1338"/>
        <v>0</v>
      </c>
      <c r="EE231" s="101">
        <v>25</v>
      </c>
      <c r="EF231" s="72">
        <f t="shared" si="1339"/>
        <v>78.571428571428584</v>
      </c>
      <c r="EG231" s="101">
        <v>22</v>
      </c>
      <c r="EH231" s="72">
        <f t="shared" si="1340"/>
        <v>10.000000000000014</v>
      </c>
      <c r="EI231" s="101">
        <v>22</v>
      </c>
      <c r="EJ231" s="72">
        <f t="shared" si="1341"/>
        <v>37.5</v>
      </c>
      <c r="EK231" s="101">
        <v>19</v>
      </c>
      <c r="EL231" s="72">
        <f t="shared" si="1342"/>
        <v>-13.63636363636364</v>
      </c>
      <c r="EM231" s="101">
        <v>23</v>
      </c>
      <c r="EN231" s="72">
        <f t="shared" si="1343"/>
        <v>-8</v>
      </c>
      <c r="EO231" s="101">
        <v>22</v>
      </c>
      <c r="EP231" s="72">
        <f t="shared" si="1344"/>
        <v>0</v>
      </c>
      <c r="EQ231" s="101">
        <f t="shared" si="1371"/>
        <v>22.22</v>
      </c>
      <c r="ER231" s="72">
        <f t="shared" si="1346"/>
        <v>1</v>
      </c>
      <c r="ES231" s="101">
        <f t="shared" si="1372"/>
        <v>22.4422</v>
      </c>
      <c r="ET231" s="72">
        <f t="shared" si="1348"/>
        <v>18.11684210526316</v>
      </c>
      <c r="EU231" s="101">
        <f t="shared" si="1373"/>
        <v>22.666622</v>
      </c>
      <c r="EV231" s="72">
        <f t="shared" si="1350"/>
        <v>-1.4494695652173846</v>
      </c>
      <c r="EW231" s="101">
        <f t="shared" si="1374"/>
        <v>22.893288219999999</v>
      </c>
      <c r="EX231" s="72">
        <f t="shared" si="1352"/>
        <v>4.0604009999999988</v>
      </c>
      <c r="EY231" s="72"/>
      <c r="EZ231" s="307"/>
      <c r="FA231" s="72"/>
      <c r="FB231" s="101">
        <v>9</v>
      </c>
      <c r="FC231" s="87"/>
      <c r="FD231" s="101">
        <v>31</v>
      </c>
      <c r="FE231" s="72" t="str">
        <f t="shared" si="1353"/>
        <v>NM</v>
      </c>
      <c r="FF231" s="101">
        <v>25</v>
      </c>
      <c r="FG231" s="72">
        <f t="shared" si="1354"/>
        <v>-19.354838709677423</v>
      </c>
      <c r="FH231" s="75">
        <f>K231+M231+O231+Q231</f>
        <v>25</v>
      </c>
      <c r="FI231" s="72">
        <f t="shared" si="1355"/>
        <v>0</v>
      </c>
      <c r="FJ231" s="75">
        <f>S231+U231+W231+Y231</f>
        <v>31</v>
      </c>
      <c r="FK231" s="72">
        <f t="shared" si="1356"/>
        <v>24</v>
      </c>
      <c r="FL231" s="75">
        <f>AA231+AC231+AE231+AG231</f>
        <v>37</v>
      </c>
      <c r="FM231" s="72">
        <f t="shared" si="1357"/>
        <v>19.354838709677423</v>
      </c>
      <c r="FN231" s="75">
        <f>AI231+AK231+AM231+AO231</f>
        <v>39</v>
      </c>
      <c r="FO231" s="72">
        <f t="shared" si="1358"/>
        <v>5.4054054054053893</v>
      </c>
      <c r="FP231" s="75">
        <f>AQ231+AS231+AU231+AW231</f>
        <v>46</v>
      </c>
      <c r="FQ231" s="72">
        <f t="shared" si="1359"/>
        <v>17.948717948717956</v>
      </c>
      <c r="FR231" s="100">
        <f>AY231+BA231+BC231+BE231</f>
        <v>71</v>
      </c>
      <c r="FS231" s="72">
        <f t="shared" si="1360"/>
        <v>54.34782608695653</v>
      </c>
      <c r="FT231" s="100">
        <f>BG231+BI231+BK231+BM231</f>
        <v>83</v>
      </c>
      <c r="FU231" s="72">
        <f t="shared" si="1361"/>
        <v>16.901408450704224</v>
      </c>
      <c r="FV231" s="100">
        <f>BO231+BQ231+BS231+BU231</f>
        <v>86</v>
      </c>
      <c r="FW231" s="72">
        <f t="shared" si="1362"/>
        <v>3.6144578313252964</v>
      </c>
      <c r="FX231" s="75">
        <f>BW231+BY231+CA231+CC231</f>
        <v>127</v>
      </c>
      <c r="FY231" s="72">
        <f t="shared" si="1362"/>
        <v>47.674418604651152</v>
      </c>
      <c r="FZ231" s="75">
        <f>CE231+CG231+CI231+CK231</f>
        <v>105</v>
      </c>
      <c r="GA231" s="72">
        <f t="shared" si="1362"/>
        <v>-17.322834645669289</v>
      </c>
      <c r="GB231" s="100">
        <f>CM231+CO231+CQ231+CS231</f>
        <v>92</v>
      </c>
      <c r="GC231" s="72">
        <f t="shared" si="1362"/>
        <v>-12.38095238095238</v>
      </c>
      <c r="GD231" s="100">
        <f>CU231+CW231+CY231+DA231</f>
        <v>107</v>
      </c>
      <c r="GE231" s="72">
        <f t="shared" si="1362"/>
        <v>16.304347826086968</v>
      </c>
      <c r="GF231" s="100">
        <f>DC231+DE231+DG231+DI231</f>
        <v>119</v>
      </c>
      <c r="GG231" s="72">
        <f t="shared" si="1362"/>
        <v>11.214953271028037</v>
      </c>
      <c r="GH231" s="100">
        <f>DK231+DM231+DO231+DQ231</f>
        <v>118</v>
      </c>
      <c r="GI231" s="72">
        <f t="shared" si="1363"/>
        <v>-0.84033613445377853</v>
      </c>
      <c r="GJ231" s="100">
        <f>DS231+DU231+DW231+DY231</f>
        <v>89</v>
      </c>
      <c r="GK231" s="72">
        <f t="shared" si="1363"/>
        <v>-24.576271186440678</v>
      </c>
      <c r="GL231" s="100">
        <f>EA231+EC231+EE231+EG231</f>
        <v>85</v>
      </c>
      <c r="GM231" s="72">
        <f t="shared" si="1363"/>
        <v>-4.4943820224719104</v>
      </c>
      <c r="GN231" s="100">
        <f>EI231+EK231+EM231+EO231</f>
        <v>86</v>
      </c>
      <c r="GO231" s="72">
        <f t="shared" si="1363"/>
        <v>1.1764705882352899</v>
      </c>
      <c r="GP231" s="100">
        <f>EQ231+ES231+EU231+EW231</f>
        <v>90.222110220000005</v>
      </c>
      <c r="GQ231" s="72">
        <f t="shared" si="1363"/>
        <v>4.9094304883720952</v>
      </c>
      <c r="GR231" s="101">
        <f>GP231*1.04</f>
        <v>93.830994628800013</v>
      </c>
      <c r="GS231" s="72">
        <f t="shared" si="1363"/>
        <v>4</v>
      </c>
      <c r="GT231" s="101">
        <f>GR231*1.04</f>
        <v>97.584234413952018</v>
      </c>
      <c r="GU231" s="72">
        <f t="shared" si="1363"/>
        <v>4</v>
      </c>
      <c r="GV231" s="101">
        <f>GT231*1.04</f>
        <v>101.48760379051011</v>
      </c>
      <c r="GW231" s="72">
        <f t="shared" si="1364"/>
        <v>4</v>
      </c>
      <c r="GX231" s="101">
        <f>GV231*1.04</f>
        <v>105.54710794213051</v>
      </c>
      <c r="GY231" s="72">
        <f t="shared" si="1365"/>
        <v>4</v>
      </c>
      <c r="GZ231" s="72">
        <f t="shared" si="1366"/>
        <v>4.1812532124188229</v>
      </c>
      <c r="HA231" s="72"/>
      <c r="HB231" s="72"/>
    </row>
    <row r="232" spans="1:217" s="5" customFormat="1" ht="12.75" customHeight="1" x14ac:dyDescent="0.2">
      <c r="A232" s="5" t="s">
        <v>362</v>
      </c>
      <c r="B232" s="70" t="s">
        <v>212</v>
      </c>
      <c r="C232" s="91">
        <f>C229+C230+C231</f>
        <v>671</v>
      </c>
      <c r="D232" s="80"/>
      <c r="E232" s="91">
        <f>E229+E230+E231</f>
        <v>713</v>
      </c>
      <c r="F232" s="80"/>
      <c r="G232" s="91">
        <f>G229+G230+G231</f>
        <v>655</v>
      </c>
      <c r="H232" s="80"/>
      <c r="I232" s="91">
        <f>I229+I230+I231</f>
        <v>762</v>
      </c>
      <c r="J232" s="80"/>
      <c r="K232" s="91">
        <f>K229+K230+K231</f>
        <v>768</v>
      </c>
      <c r="L232" s="72">
        <f t="shared" si="1300"/>
        <v>14.456035767511182</v>
      </c>
      <c r="M232" s="91">
        <f>M229+M230+M231</f>
        <v>796</v>
      </c>
      <c r="N232" s="72">
        <f t="shared" si="1301"/>
        <v>11.640953716690049</v>
      </c>
      <c r="O232" s="91">
        <f>O229+O230+O231</f>
        <v>848</v>
      </c>
      <c r="P232" s="72">
        <f t="shared" si="1302"/>
        <v>29.465648854961842</v>
      </c>
      <c r="Q232" s="91">
        <f>Q229+Q230+Q231</f>
        <v>836</v>
      </c>
      <c r="R232" s="72">
        <f t="shared" si="1303"/>
        <v>9.7112860892388397</v>
      </c>
      <c r="S232" s="91">
        <f>S229+S230+S231</f>
        <v>890</v>
      </c>
      <c r="T232" s="72">
        <f t="shared" si="1303"/>
        <v>15.885416666666671</v>
      </c>
      <c r="U232" s="91">
        <f>U229+U230+U231</f>
        <v>899</v>
      </c>
      <c r="V232" s="72">
        <f t="shared" si="1303"/>
        <v>12.939698492462298</v>
      </c>
      <c r="W232" s="91">
        <f>W229+W230+W231</f>
        <v>882</v>
      </c>
      <c r="X232" s="72">
        <f t="shared" si="1303"/>
        <v>4.00943396226414</v>
      </c>
      <c r="Y232" s="91">
        <f>Y229+Y230+Y231</f>
        <v>911</v>
      </c>
      <c r="Z232" s="72">
        <f t="shared" si="1303"/>
        <v>8.9712918660287215</v>
      </c>
      <c r="AA232" s="91">
        <f>AA229+AA230+AA231</f>
        <v>961</v>
      </c>
      <c r="AB232" s="72">
        <f t="shared" si="1303"/>
        <v>7.9775280898876275</v>
      </c>
      <c r="AC232" s="91">
        <f>AC229+AC230+AC231</f>
        <v>910</v>
      </c>
      <c r="AD232" s="72">
        <f t="shared" si="1303"/>
        <v>1.2235817575083416</v>
      </c>
      <c r="AE232" s="91">
        <f>AE229+AE230+AE231</f>
        <v>882</v>
      </c>
      <c r="AF232" s="72">
        <f t="shared" si="1303"/>
        <v>0</v>
      </c>
      <c r="AG232" s="91">
        <f>AG229+AG230+AG231</f>
        <v>935</v>
      </c>
      <c r="AH232" s="72">
        <f t="shared" si="1303"/>
        <v>2.6344676180021906</v>
      </c>
      <c r="AI232" s="91">
        <f>AI229+AI230+AI231</f>
        <v>971</v>
      </c>
      <c r="AJ232" s="72">
        <f t="shared" si="1303"/>
        <v>1.0405827263267469</v>
      </c>
      <c r="AK232" s="91">
        <f>AK229+AK230+AK231</f>
        <v>953</v>
      </c>
      <c r="AL232" s="72">
        <f t="shared" si="1303"/>
        <v>4.7252747252747298</v>
      </c>
      <c r="AM232" s="91">
        <f>AM229+AM230+AM231</f>
        <v>987</v>
      </c>
      <c r="AN232" s="72">
        <f t="shared" si="1303"/>
        <v>11.904761904761912</v>
      </c>
      <c r="AO232" s="91">
        <f>AO229+AO230+AO231</f>
        <v>981</v>
      </c>
      <c r="AP232" s="72">
        <f t="shared" si="1303"/>
        <v>4.9197860962567006</v>
      </c>
      <c r="AQ232" s="91">
        <f>AQ229+AQ230+AQ231</f>
        <v>1052</v>
      </c>
      <c r="AR232" s="72">
        <f t="shared" si="1304"/>
        <v>8.3419155509783565</v>
      </c>
      <c r="AS232" s="91">
        <f>AS229+AS230+AS231</f>
        <v>1060</v>
      </c>
      <c r="AT232" s="72">
        <f t="shared" si="1305"/>
        <v>11.227701993704088</v>
      </c>
      <c r="AU232" s="91">
        <f>AU229+AU230+AU231</f>
        <v>1038</v>
      </c>
      <c r="AV232" s="72">
        <f t="shared" si="1306"/>
        <v>5.167173252279639</v>
      </c>
      <c r="AW232" s="91">
        <f>AW229+AW230+AW231</f>
        <v>1050</v>
      </c>
      <c r="AX232" s="72">
        <f t="shared" si="1307"/>
        <v>7.0336391437308947</v>
      </c>
      <c r="AY232" s="91">
        <f>AY229+AY230+AY231</f>
        <v>1109</v>
      </c>
      <c r="AZ232" s="72">
        <f t="shared" si="1308"/>
        <v>5.4182509505703393</v>
      </c>
      <c r="BA232" s="91">
        <f>BA229+BA230+BA231</f>
        <v>1117</v>
      </c>
      <c r="BB232" s="72">
        <f t="shared" si="1309"/>
        <v>5.3773584905660385</v>
      </c>
      <c r="BC232" s="91">
        <f>BC229+BC230+BC231</f>
        <v>1155</v>
      </c>
      <c r="BD232" s="72">
        <f t="shared" si="1310"/>
        <v>11.271676300578036</v>
      </c>
      <c r="BE232" s="91">
        <f>BE229+BE230+BE231</f>
        <v>1174</v>
      </c>
      <c r="BF232" s="72">
        <f t="shared" si="1311"/>
        <v>11.809523809523796</v>
      </c>
      <c r="BG232" s="91">
        <f>BG229+BG230+BG231</f>
        <v>1205</v>
      </c>
      <c r="BH232" s="72">
        <f t="shared" si="1312"/>
        <v>8.6564472497745726</v>
      </c>
      <c r="BI232" s="91">
        <f>BI229+BI230+BI231</f>
        <v>1211</v>
      </c>
      <c r="BJ232" s="72">
        <f t="shared" si="1313"/>
        <v>8.4153983885407229</v>
      </c>
      <c r="BK232" s="91">
        <f>BK229+BK230+BK231</f>
        <v>1203</v>
      </c>
      <c r="BL232" s="72">
        <f t="shared" si="1314"/>
        <v>4.1558441558441643</v>
      </c>
      <c r="BM232" s="91">
        <f>BM229+BM230+BM231</f>
        <v>1180</v>
      </c>
      <c r="BN232" s="72">
        <f t="shared" si="1315"/>
        <v>0.51107325383303248</v>
      </c>
      <c r="BO232" s="91">
        <f>BO229+BO230+BO231</f>
        <v>1257</v>
      </c>
      <c r="BP232" s="72">
        <f t="shared" si="1316"/>
        <v>4.3153526970954488</v>
      </c>
      <c r="BQ232" s="91">
        <f>BQ229+BQ230+BQ231</f>
        <v>1218</v>
      </c>
      <c r="BR232" s="72">
        <f t="shared" si="1317"/>
        <v>0.57803468208092568</v>
      </c>
      <c r="BS232" s="91">
        <f>BS229+BS230+BS231</f>
        <v>1232</v>
      </c>
      <c r="BT232" s="72">
        <f t="shared" si="1318"/>
        <v>2.4106400665004202</v>
      </c>
      <c r="BU232" s="91">
        <f>BU229+BU230+BU231</f>
        <v>1253</v>
      </c>
      <c r="BV232" s="72">
        <f t="shared" si="1319"/>
        <v>6.1864406779661039</v>
      </c>
      <c r="BW232" s="91">
        <f>BW229+BW230+BW231</f>
        <v>1333</v>
      </c>
      <c r="BX232" s="72">
        <f t="shared" si="1320"/>
        <v>6.0461416070007914</v>
      </c>
      <c r="BY232" s="91">
        <f>BY229+BY230+BY231</f>
        <v>1303</v>
      </c>
      <c r="BZ232" s="72">
        <f t="shared" si="1321"/>
        <v>6.9786535303776702</v>
      </c>
      <c r="CA232" s="91">
        <f>CA229+CA230+CA231</f>
        <v>1356</v>
      </c>
      <c r="CB232" s="72">
        <f t="shared" si="1322"/>
        <v>10.064935064935071</v>
      </c>
      <c r="CC232" s="91">
        <f>CC229+CC230+CC231</f>
        <v>1293</v>
      </c>
      <c r="CD232" s="72">
        <f t="shared" si="1323"/>
        <v>3.1923383878691141</v>
      </c>
      <c r="CE232" s="91">
        <f>CE229+CE230+CE231</f>
        <v>1311</v>
      </c>
      <c r="CF232" s="72">
        <f t="shared" si="1324"/>
        <v>-1.6504126031507838</v>
      </c>
      <c r="CG232" s="91">
        <f>CG229+CG230+CG231</f>
        <v>1316</v>
      </c>
      <c r="CH232" s="72">
        <f t="shared" si="1325"/>
        <v>0.997697620874888</v>
      </c>
      <c r="CI232" s="91">
        <f>CI229+CI230+CI231</f>
        <v>1466</v>
      </c>
      <c r="CJ232" s="72">
        <f t="shared" si="1326"/>
        <v>8.112094395280252</v>
      </c>
      <c r="CK232" s="91">
        <f>CK229+CK230+CK231</f>
        <v>1365</v>
      </c>
      <c r="CL232" s="72">
        <f t="shared" si="1326"/>
        <v>5.5684454756380575</v>
      </c>
      <c r="CM232" s="91">
        <f>CM229+CM230+CM231</f>
        <v>1506</v>
      </c>
      <c r="CN232" s="72">
        <f t="shared" si="1326"/>
        <v>14.874141876430215</v>
      </c>
      <c r="CO232" s="91">
        <f>CO229+CO230+CO231</f>
        <v>1486</v>
      </c>
      <c r="CP232" s="72">
        <f t="shared" si="1326"/>
        <v>12.917933130699083</v>
      </c>
      <c r="CQ232" s="91">
        <f>CQ229+CQ230+CQ231</f>
        <v>1447</v>
      </c>
      <c r="CR232" s="72">
        <f t="shared" si="1326"/>
        <v>-1.2960436562073738</v>
      </c>
      <c r="CS232" s="91">
        <f>CS229+CS230+CS231</f>
        <v>1384</v>
      </c>
      <c r="CT232" s="72">
        <f t="shared" si="1326"/>
        <v>1.391941391941387</v>
      </c>
      <c r="CU232" s="91">
        <f>CU229+CU230+CU231</f>
        <v>1391</v>
      </c>
      <c r="CV232" s="72">
        <f t="shared" si="1327"/>
        <v>-7.6361221779548458</v>
      </c>
      <c r="CW232" s="91">
        <f>CW229+CW230+CW231</f>
        <v>1392</v>
      </c>
      <c r="CX232" s="72">
        <f t="shared" si="1328"/>
        <v>-6.3257065948855882</v>
      </c>
      <c r="CY232" s="91">
        <f>CY229+CY230+CY231</f>
        <v>1420</v>
      </c>
      <c r="CZ232" s="72">
        <f t="shared" si="1329"/>
        <v>-1.8659295093296464</v>
      </c>
      <c r="DA232" s="91">
        <f>DA229+DA230+DA231</f>
        <v>1398</v>
      </c>
      <c r="DB232" s="72">
        <f t="shared" si="1330"/>
        <v>1.0115606936416128</v>
      </c>
      <c r="DC232" s="91">
        <f>DC229+DC230+DC231</f>
        <v>1402</v>
      </c>
      <c r="DD232" s="72">
        <f t="shared" si="1331"/>
        <v>0.79079798705967619</v>
      </c>
      <c r="DE232" s="91">
        <f>DE229+DE230+DE231</f>
        <v>1399</v>
      </c>
      <c r="DF232" s="72">
        <f t="shared" si="1332"/>
        <v>0.50287356321838672</v>
      </c>
      <c r="DG232" s="91">
        <f>DG229+DG230+DG231</f>
        <v>1342</v>
      </c>
      <c r="DH232" s="72">
        <f t="shared" si="1333"/>
        <v>-5.4929577464788792</v>
      </c>
      <c r="DI232" s="91">
        <f>DI229+DI230+DI231</f>
        <v>1375</v>
      </c>
      <c r="DJ232" s="72">
        <f t="shared" si="1334"/>
        <v>-1.645207439198856</v>
      </c>
      <c r="DK232" s="91">
        <f>DK229+DK230+DK231</f>
        <v>1362</v>
      </c>
      <c r="DL232" s="72">
        <f t="shared" si="1335"/>
        <v>-2.8530670470756121</v>
      </c>
      <c r="DM232" s="91">
        <f>DM229+DM230+DM231</f>
        <v>1342</v>
      </c>
      <c r="DN232" s="72">
        <f t="shared" si="1336"/>
        <v>-4.0743388134381746</v>
      </c>
      <c r="DO232" s="91">
        <f>DO229+DO230+DO231</f>
        <v>1349</v>
      </c>
      <c r="DP232" s="72">
        <f t="shared" si="1336"/>
        <v>0.52160953800297705</v>
      </c>
      <c r="DQ232" s="91">
        <f>DQ229+DQ230+DQ231</f>
        <v>1304</v>
      </c>
      <c r="DR232" s="72">
        <f t="shared" si="1336"/>
        <v>-5.1636363636363569</v>
      </c>
      <c r="DS232" s="91">
        <f>DS229+DS230+DS231</f>
        <v>1277</v>
      </c>
      <c r="DT232" s="72">
        <f t="shared" si="1336"/>
        <v>-6.2408223201174735</v>
      </c>
      <c r="DU232" s="91">
        <f>DU229+DU230+DU231</f>
        <v>1291</v>
      </c>
      <c r="DV232" s="72">
        <f t="shared" si="1336"/>
        <v>-3.8002980625931428</v>
      </c>
      <c r="DW232" s="91">
        <f>DW229+DW230+DW231</f>
        <v>1294</v>
      </c>
      <c r="DX232" s="72">
        <f t="shared" si="1336"/>
        <v>-4.0770941438102284</v>
      </c>
      <c r="DY232" s="91">
        <f>DY229+DY230+DY231</f>
        <v>1281</v>
      </c>
      <c r="DZ232" s="72">
        <f t="shared" si="1336"/>
        <v>-1.7638036809815958</v>
      </c>
      <c r="EA232" s="91">
        <f>EA229+EA230+EA231</f>
        <v>1320</v>
      </c>
      <c r="EB232" s="72">
        <f t="shared" si="1337"/>
        <v>3.367267032106497</v>
      </c>
      <c r="EC232" s="91">
        <f>EC229+EC230+EC231</f>
        <v>1364</v>
      </c>
      <c r="ED232" s="72">
        <f t="shared" si="1338"/>
        <v>5.6545313710302025</v>
      </c>
      <c r="EE232" s="91">
        <f>EE229+EE230+EE231</f>
        <v>1333</v>
      </c>
      <c r="EF232" s="72">
        <f t="shared" si="1339"/>
        <v>3.0139103554868569</v>
      </c>
      <c r="EG232" s="91">
        <f>EG229+EG230+EG231</f>
        <v>1326</v>
      </c>
      <c r="EH232" s="72">
        <f t="shared" si="1340"/>
        <v>3.5128805620609</v>
      </c>
      <c r="EI232" s="91">
        <f>EI229+EI230+EI231</f>
        <v>1383</v>
      </c>
      <c r="EJ232" s="72">
        <f t="shared" si="1341"/>
        <v>4.7727272727272663</v>
      </c>
      <c r="EK232" s="91">
        <f>EK229+EK230+EK231</f>
        <v>1362</v>
      </c>
      <c r="EL232" s="72">
        <f t="shared" si="1342"/>
        <v>-0.14662756598239923</v>
      </c>
      <c r="EM232" s="91">
        <f>EM229+EM230+EM231</f>
        <v>1363</v>
      </c>
      <c r="EN232" s="72">
        <f t="shared" si="1343"/>
        <v>2.2505626406601635</v>
      </c>
      <c r="EO232" s="91">
        <f>EO229+EO230+EO231</f>
        <v>1363</v>
      </c>
      <c r="EP232" s="72">
        <f t="shared" si="1344"/>
        <v>2.7903469079939498</v>
      </c>
      <c r="EQ232" s="91">
        <f t="shared" ref="EQ232" si="1375">EQ229+EQ230+EQ231</f>
        <v>1376.6300000000003</v>
      </c>
      <c r="ER232" s="72">
        <f t="shared" si="1346"/>
        <v>-0.46059291395515345</v>
      </c>
      <c r="ES232" s="91">
        <f t="shared" ref="ES232" si="1376">ES229+ES230+ES231</f>
        <v>1390.3963000000001</v>
      </c>
      <c r="ET232" s="72">
        <f t="shared" si="1348"/>
        <v>2.0848972099853285</v>
      </c>
      <c r="EU232" s="91">
        <f t="shared" ref="EU232" si="1377">EU229+EU230+EU231</f>
        <v>1404.3002630000001</v>
      </c>
      <c r="EV232" s="72">
        <f t="shared" si="1350"/>
        <v>3.0301000000000187</v>
      </c>
      <c r="EW232" s="91">
        <f t="shared" ref="EW232" si="1378">EW229+EW230+EW231</f>
        <v>1418.3432656299999</v>
      </c>
      <c r="EX232" s="72">
        <f t="shared" si="1352"/>
        <v>4.0604009999999988</v>
      </c>
      <c r="EY232" s="72"/>
      <c r="EZ232" s="310"/>
      <c r="FA232" s="72"/>
      <c r="FB232" s="91">
        <f>FB229+FB230+FB231</f>
        <v>2205</v>
      </c>
      <c r="FC232" s="80"/>
      <c r="FD232" s="91">
        <f>FD229+FD230+FD231</f>
        <v>2428</v>
      </c>
      <c r="FE232" s="72">
        <f t="shared" si="1353"/>
        <v>10.113378684807259</v>
      </c>
      <c r="FF232" s="91">
        <f>FF229+FF230+FF231</f>
        <v>2801</v>
      </c>
      <c r="FG232" s="72">
        <f t="shared" si="1354"/>
        <v>15.362438220757824</v>
      </c>
      <c r="FH232" s="91">
        <f>FH229+FH230+FH231</f>
        <v>3248</v>
      </c>
      <c r="FI232" s="72">
        <f t="shared" si="1355"/>
        <v>15.958586219207433</v>
      </c>
      <c r="FJ232" s="91">
        <f>FJ229+FJ230+FJ231</f>
        <v>3582</v>
      </c>
      <c r="FK232" s="72">
        <f t="shared" si="1356"/>
        <v>10.283251231527089</v>
      </c>
      <c r="FL232" s="91">
        <f>FL229+FL230+FL231</f>
        <v>3688</v>
      </c>
      <c r="FM232" s="72">
        <f t="shared" si="1357"/>
        <v>2.9592406476828472</v>
      </c>
      <c r="FN232" s="91">
        <f>FN229+FN230+FN231</f>
        <v>3892</v>
      </c>
      <c r="FO232" s="72">
        <f t="shared" si="1358"/>
        <v>5.5314533622559594</v>
      </c>
      <c r="FP232" s="91">
        <f>FP229+FP230+FP231</f>
        <v>4200</v>
      </c>
      <c r="FQ232" s="72">
        <f t="shared" si="1359"/>
        <v>7.9136690647481913</v>
      </c>
      <c r="FR232" s="91">
        <f>FR229+FR230+FR231</f>
        <v>4555</v>
      </c>
      <c r="FS232" s="72">
        <f t="shared" si="1360"/>
        <v>8.452380952380949</v>
      </c>
      <c r="FT232" s="91">
        <f>FT229+FT230+FT231</f>
        <v>4799</v>
      </c>
      <c r="FU232" s="72">
        <f t="shared" si="1361"/>
        <v>5.3567508232711418</v>
      </c>
      <c r="FV232" s="91">
        <f>FV229+FV230+FV231</f>
        <v>4960</v>
      </c>
      <c r="FW232" s="72">
        <f t="shared" si="1362"/>
        <v>3.3548655969993746</v>
      </c>
      <c r="FX232" s="91">
        <f>FX229+FX230+FX231</f>
        <v>5285</v>
      </c>
      <c r="FY232" s="72">
        <f t="shared" si="1362"/>
        <v>6.5524193548387046</v>
      </c>
      <c r="FZ232" s="91">
        <f>FZ229+FZ230+FZ231</f>
        <v>5458</v>
      </c>
      <c r="GA232" s="72">
        <f t="shared" si="1362"/>
        <v>3.2734153263954653</v>
      </c>
      <c r="GB232" s="91">
        <f>GB229+GB230+GB231</f>
        <v>5823</v>
      </c>
      <c r="GC232" s="72">
        <f t="shared" si="1362"/>
        <v>6.6874312935140949</v>
      </c>
      <c r="GD232" s="91">
        <f>GD229+GD230+GD231</f>
        <v>5601</v>
      </c>
      <c r="GE232" s="72">
        <f t="shared" si="1362"/>
        <v>-3.8124678001030361</v>
      </c>
      <c r="GF232" s="91">
        <f>GF229+GF230+GF231</f>
        <v>5518</v>
      </c>
      <c r="GG232" s="72">
        <f t="shared" si="1362"/>
        <v>-1.4818782360292744</v>
      </c>
      <c r="GH232" s="91">
        <f>GH229+GH230+GH231</f>
        <v>5357</v>
      </c>
      <c r="GI232" s="72">
        <f t="shared" si="1363"/>
        <v>-2.9177238129757086</v>
      </c>
      <c r="GJ232" s="91">
        <f>GJ229+GJ230+GJ231</f>
        <v>5143</v>
      </c>
      <c r="GK232" s="72">
        <f t="shared" si="1363"/>
        <v>-3.9947731939518434</v>
      </c>
      <c r="GL232" s="91">
        <f>GL229+GL230+GL231</f>
        <v>5343</v>
      </c>
      <c r="GM232" s="72">
        <f t="shared" si="1363"/>
        <v>3.8887808671981219</v>
      </c>
      <c r="GN232" s="91">
        <f>GN229+GN230+GN231</f>
        <v>5471</v>
      </c>
      <c r="GO232" s="72">
        <f t="shared" si="1363"/>
        <v>2.3956578701104263</v>
      </c>
      <c r="GP232" s="91">
        <f>GP229+GP230+GP231</f>
        <v>5589.6698286300016</v>
      </c>
      <c r="GQ232" s="72">
        <f t="shared" si="1363"/>
        <v>2.1690701632242906</v>
      </c>
      <c r="GR232" s="91">
        <f>GR229+GR230+GR231</f>
        <v>5824.6574157030018</v>
      </c>
      <c r="GS232" s="72">
        <f t="shared" si="1363"/>
        <v>4.2039618488628037</v>
      </c>
      <c r="GT232" s="91">
        <f>GT229+GT230+GT231</f>
        <v>6069.7285538945889</v>
      </c>
      <c r="GU232" s="72">
        <f t="shared" si="1363"/>
        <v>4.2074772935295215</v>
      </c>
      <c r="GV232" s="91">
        <f>GV229+GV230+GV231</f>
        <v>6325.3276281076496</v>
      </c>
      <c r="GW232" s="72">
        <f t="shared" si="1364"/>
        <v>4.2110462097857351</v>
      </c>
      <c r="GX232" s="91">
        <f>GX229+GX230+GX231</f>
        <v>6591.9192612126681</v>
      </c>
      <c r="GY232" s="72">
        <f t="shared" si="1365"/>
        <v>4.2146691646512267</v>
      </c>
      <c r="GZ232" s="72">
        <f t="shared" si="1366"/>
        <v>3.7980113301367746</v>
      </c>
      <c r="HA232" s="72"/>
      <c r="HB232" s="72"/>
      <c r="HC232"/>
      <c r="HD232"/>
      <c r="HE232"/>
      <c r="HF232"/>
      <c r="HG232"/>
      <c r="HH232"/>
      <c r="HI232" s="2"/>
    </row>
    <row r="233" spans="1:217" ht="12.75" customHeight="1" x14ac:dyDescent="0.2">
      <c r="B233" s="77"/>
      <c r="C233" s="105"/>
      <c r="D233" s="72"/>
      <c r="E233" s="105"/>
      <c r="F233" s="72"/>
      <c r="G233" s="105"/>
      <c r="H233" s="72"/>
      <c r="I233" s="105"/>
      <c r="J233" s="72"/>
      <c r="K233" s="105"/>
      <c r="L233" s="72"/>
      <c r="M233" s="105"/>
      <c r="N233" s="72"/>
      <c r="O233" s="105"/>
      <c r="P233" s="72"/>
      <c r="Q233" s="105"/>
      <c r="R233" s="72"/>
      <c r="S233" s="105"/>
      <c r="T233" s="72"/>
      <c r="U233" s="105"/>
      <c r="V233" s="72"/>
      <c r="W233" s="105"/>
      <c r="X233" s="72"/>
      <c r="Y233" s="105"/>
      <c r="Z233" s="72"/>
      <c r="AA233" s="105"/>
      <c r="AB233" s="72"/>
      <c r="AC233" s="105"/>
      <c r="AD233" s="72"/>
      <c r="AE233" s="105"/>
      <c r="AF233" s="72"/>
      <c r="AG233" s="105"/>
      <c r="AH233" s="72"/>
      <c r="AI233" s="105"/>
      <c r="AJ233" s="72"/>
      <c r="AK233" s="105"/>
      <c r="AL233" s="72"/>
      <c r="AM233" s="105"/>
      <c r="AN233" s="72"/>
      <c r="AO233" s="105"/>
      <c r="AP233" s="72"/>
      <c r="AQ233" s="105"/>
      <c r="AR233" s="72"/>
      <c r="AS233" s="105"/>
      <c r="AT233" s="72"/>
      <c r="AU233" s="105"/>
      <c r="AV233" s="72"/>
      <c r="AW233" s="105"/>
      <c r="AX233" s="72"/>
      <c r="AY233" s="105"/>
      <c r="AZ233" s="72"/>
      <c r="BA233" s="105"/>
      <c r="BB233" s="72"/>
      <c r="BC233" s="105"/>
      <c r="BD233" s="72"/>
      <c r="BE233" s="105"/>
      <c r="BF233" s="72"/>
      <c r="BG233" s="105"/>
      <c r="BH233" s="72"/>
      <c r="BI233" s="105"/>
      <c r="BJ233" s="72"/>
      <c r="BK233" s="105"/>
      <c r="BL233" s="72"/>
      <c r="BM233" s="105"/>
      <c r="BN233" s="72"/>
      <c r="BO233" s="105"/>
      <c r="BP233" s="72"/>
      <c r="BQ233" s="105"/>
      <c r="BR233" s="72"/>
      <c r="BS233" s="105"/>
      <c r="BT233" s="72"/>
      <c r="BU233" s="105"/>
      <c r="BV233" s="72"/>
      <c r="BW233" s="105"/>
      <c r="BX233" s="72"/>
      <c r="BY233" s="105"/>
      <c r="BZ233" s="72"/>
      <c r="CA233" s="105"/>
      <c r="CB233" s="72"/>
      <c r="CC233" s="105"/>
      <c r="CD233" s="72"/>
      <c r="CE233" s="105"/>
      <c r="CF233" s="72"/>
      <c r="CG233" s="105"/>
      <c r="CH233" s="72"/>
      <c r="CI233" s="105"/>
      <c r="CJ233" s="72"/>
      <c r="CK233" s="105"/>
      <c r="CL233" s="72"/>
      <c r="CM233" s="105"/>
      <c r="CN233" s="72"/>
      <c r="CO233" s="105"/>
      <c r="CP233" s="72"/>
      <c r="CQ233" s="105"/>
      <c r="CR233" s="72"/>
      <c r="CS233" s="105"/>
      <c r="CT233" s="72"/>
      <c r="CU233" s="105"/>
      <c r="CV233" s="72"/>
      <c r="CW233" s="105"/>
      <c r="CX233" s="72"/>
      <c r="CY233" s="105"/>
      <c r="CZ233" s="72"/>
      <c r="DA233" s="105"/>
      <c r="DB233" s="72"/>
      <c r="DC233" s="105"/>
      <c r="DD233" s="72"/>
      <c r="DE233" s="105"/>
      <c r="DF233" s="72"/>
      <c r="DG233" s="105"/>
      <c r="DH233" s="72"/>
      <c r="DI233" s="105"/>
      <c r="DJ233" s="72"/>
      <c r="DK233" s="105"/>
      <c r="DL233" s="72"/>
      <c r="DM233" s="105"/>
      <c r="DN233" s="72"/>
      <c r="DO233" s="105"/>
      <c r="DP233" s="72"/>
      <c r="DQ233" s="105"/>
      <c r="DR233" s="72"/>
      <c r="DS233" s="105"/>
      <c r="DT233" s="72"/>
      <c r="DU233" s="105"/>
      <c r="DV233" s="72"/>
      <c r="DW233" s="105"/>
      <c r="DX233" s="72"/>
      <c r="DY233" s="105"/>
      <c r="DZ233" s="72"/>
      <c r="EA233" s="105"/>
      <c r="EB233" s="72"/>
      <c r="EC233" s="105"/>
      <c r="ED233" s="72"/>
      <c r="EE233" s="105"/>
      <c r="EF233" s="72"/>
      <c r="EG233" s="105"/>
      <c r="EH233" s="72"/>
      <c r="EI233" s="105"/>
      <c r="EJ233" s="72"/>
      <c r="EK233" s="105"/>
      <c r="EL233" s="72"/>
      <c r="EM233" s="105"/>
      <c r="EN233" s="72"/>
      <c r="EO233" s="105"/>
      <c r="EP233" s="72"/>
      <c r="EQ233" s="105"/>
      <c r="ER233" s="72"/>
      <c r="ES233" s="105"/>
      <c r="ET233" s="72"/>
      <c r="EU233" s="105"/>
      <c r="EV233" s="72"/>
      <c r="EW233" s="105"/>
      <c r="EX233" s="72"/>
      <c r="EY233" s="72"/>
      <c r="EZ233" s="309"/>
      <c r="FA233" s="72"/>
      <c r="FB233" s="105"/>
      <c r="FC233" s="72"/>
      <c r="FD233" s="105"/>
      <c r="FE233" s="72"/>
      <c r="FF233" s="105"/>
      <c r="FG233" s="72"/>
      <c r="FH233" s="105"/>
      <c r="FI233" s="72"/>
      <c r="FJ233" s="105"/>
      <c r="FK233" s="72"/>
      <c r="FL233" s="105"/>
      <c r="FM233" s="72"/>
      <c r="FN233" s="105"/>
      <c r="FO233" s="72"/>
      <c r="FP233" s="105"/>
      <c r="FQ233" s="72"/>
      <c r="FR233" s="105"/>
      <c r="FS233" s="72"/>
      <c r="FT233" s="105"/>
      <c r="FU233" s="72"/>
      <c r="FV233" s="105"/>
      <c r="FW233" s="72"/>
      <c r="FX233" s="105"/>
      <c r="FY233" s="72"/>
      <c r="FZ233" s="105"/>
      <c r="GA233" s="72"/>
      <c r="GB233" s="105"/>
      <c r="GC233" s="72"/>
      <c r="GD233" s="105"/>
      <c r="GE233" s="72"/>
      <c r="GF233" s="105"/>
      <c r="GG233" s="72"/>
      <c r="GH233" s="105"/>
      <c r="GI233" s="72"/>
      <c r="GJ233" s="105"/>
      <c r="GK233" s="72"/>
      <c r="GL233" s="105"/>
      <c r="GM233" s="72"/>
      <c r="GN233" s="105"/>
      <c r="GO233" s="72"/>
      <c r="GP233" s="105"/>
      <c r="GQ233" s="72"/>
      <c r="GR233" s="105"/>
      <c r="GS233" s="72"/>
      <c r="GT233" s="105"/>
      <c r="GU233" s="72"/>
      <c r="GV233" s="105"/>
      <c r="GW233" s="72"/>
      <c r="GX233" s="105"/>
      <c r="GY233" s="72"/>
      <c r="GZ233" s="72"/>
      <c r="HA233" s="72"/>
      <c r="HB233" s="72"/>
    </row>
    <row r="234" spans="1:217" ht="12.75" customHeight="1" x14ac:dyDescent="0.2">
      <c r="B234" s="70" t="s">
        <v>669</v>
      </c>
      <c r="C234" s="105"/>
      <c r="D234" s="72"/>
      <c r="E234" s="105"/>
      <c r="F234" s="72"/>
      <c r="G234" s="105"/>
      <c r="H234" s="72"/>
      <c r="I234" s="105"/>
      <c r="J234" s="72"/>
      <c r="K234" s="105"/>
      <c r="L234" s="72"/>
      <c r="M234" s="105"/>
      <c r="N234" s="72"/>
      <c r="O234" s="105"/>
      <c r="P234" s="72"/>
      <c r="Q234" s="105"/>
      <c r="R234" s="72"/>
      <c r="S234" s="105"/>
      <c r="T234" s="72"/>
      <c r="U234" s="105"/>
      <c r="V234" s="72"/>
      <c r="W234" s="105"/>
      <c r="X234" s="72"/>
      <c r="Y234" s="105"/>
      <c r="Z234" s="72"/>
      <c r="AA234" s="105"/>
      <c r="AB234" s="72"/>
      <c r="AC234" s="105"/>
      <c r="AD234" s="72"/>
      <c r="AE234" s="105"/>
      <c r="AF234" s="72"/>
      <c r="AG234" s="105"/>
      <c r="AH234" s="72"/>
      <c r="AI234" s="105"/>
      <c r="AJ234" s="72"/>
      <c r="AK234" s="105"/>
      <c r="AL234" s="72"/>
      <c r="AM234" s="105"/>
      <c r="AN234" s="72"/>
      <c r="AO234" s="105"/>
      <c r="AP234" s="72"/>
      <c r="AQ234" s="105"/>
      <c r="AR234" s="72"/>
      <c r="AS234" s="105"/>
      <c r="AT234" s="72"/>
      <c r="AU234" s="105"/>
      <c r="AV234" s="72"/>
      <c r="AW234" s="105"/>
      <c r="AX234" s="72"/>
      <c r="AY234" s="105"/>
      <c r="AZ234" s="72"/>
      <c r="BA234" s="105"/>
      <c r="BB234" s="72"/>
      <c r="BC234" s="105"/>
      <c r="BD234" s="72"/>
      <c r="BE234" s="105"/>
      <c r="BF234" s="72"/>
      <c r="BG234" s="105"/>
      <c r="BH234" s="72"/>
      <c r="BI234" s="105"/>
      <c r="BJ234" s="72"/>
      <c r="BK234" s="105"/>
      <c r="BL234" s="72"/>
      <c r="BM234" s="105"/>
      <c r="BN234" s="72"/>
      <c r="BO234" s="105"/>
      <c r="BP234" s="72"/>
      <c r="BQ234" s="105"/>
      <c r="BR234" s="72"/>
      <c r="BS234" s="105"/>
      <c r="BT234" s="72"/>
      <c r="BU234" s="105"/>
      <c r="BV234" s="72"/>
      <c r="BW234" s="105"/>
      <c r="BX234" s="72"/>
      <c r="BY234" s="105"/>
      <c r="BZ234" s="72"/>
      <c r="CA234" s="105"/>
      <c r="CB234" s="72"/>
      <c r="CC234" s="105"/>
      <c r="CD234" s="72"/>
      <c r="CE234" s="105"/>
      <c r="CF234" s="72"/>
      <c r="CG234" s="105"/>
      <c r="CH234" s="72"/>
      <c r="CI234" s="105"/>
      <c r="CJ234" s="72"/>
      <c r="CK234" s="105"/>
      <c r="CL234" s="72"/>
      <c r="CM234" s="105"/>
      <c r="CN234" s="72"/>
      <c r="CO234" s="105"/>
      <c r="CP234" s="72"/>
      <c r="CQ234" s="105"/>
      <c r="CR234" s="72"/>
      <c r="CS234" s="105"/>
      <c r="CT234" s="72"/>
      <c r="CU234" s="105"/>
      <c r="CV234" s="72"/>
      <c r="CW234" s="105"/>
      <c r="CX234" s="72"/>
      <c r="CY234" s="105"/>
      <c r="CZ234" s="72"/>
      <c r="DA234" s="105"/>
      <c r="DB234" s="72"/>
      <c r="DC234" s="105"/>
      <c r="DD234" s="72"/>
      <c r="DE234" s="105"/>
      <c r="DF234" s="72"/>
      <c r="DG234" s="105"/>
      <c r="DH234" s="72"/>
      <c r="DI234" s="105"/>
      <c r="DJ234" s="72"/>
      <c r="DK234" s="105"/>
      <c r="DL234" s="72"/>
      <c r="DM234" s="105"/>
      <c r="DN234" s="72"/>
      <c r="DO234" s="105"/>
      <c r="DP234" s="72"/>
      <c r="DQ234" s="105"/>
      <c r="DR234" s="72"/>
      <c r="DS234" s="105"/>
      <c r="DT234" s="72"/>
      <c r="DU234" s="105"/>
      <c r="DV234" s="72"/>
      <c r="DW234" s="105"/>
      <c r="DX234" s="72"/>
      <c r="DY234" s="105"/>
      <c r="DZ234" s="72"/>
      <c r="EA234" s="105"/>
      <c r="EB234" s="72"/>
      <c r="EC234" s="105"/>
      <c r="ED234" s="72"/>
      <c r="EE234" s="105"/>
      <c r="EF234" s="72"/>
      <c r="EG234" s="105"/>
      <c r="EH234" s="72"/>
      <c r="EI234" s="105"/>
      <c r="EJ234" s="72"/>
      <c r="EK234" s="105"/>
      <c r="EL234" s="72"/>
      <c r="EM234" s="105"/>
      <c r="EN234" s="72"/>
      <c r="EO234" s="105"/>
      <c r="EP234" s="72"/>
      <c r="EQ234" s="105"/>
      <c r="ER234" s="72"/>
      <c r="ES234" s="105"/>
      <c r="ET234" s="72"/>
      <c r="EU234" s="105"/>
      <c r="EV234" s="72"/>
      <c r="EW234" s="105"/>
      <c r="EX234" s="72"/>
      <c r="EY234" s="72"/>
      <c r="EZ234" s="309"/>
      <c r="FA234" s="72"/>
      <c r="FB234" s="105"/>
      <c r="FC234" s="72"/>
      <c r="FD234" s="105"/>
      <c r="FE234" s="72"/>
      <c r="FF234" s="105"/>
      <c r="FG234" s="72"/>
      <c r="FH234" s="105"/>
      <c r="FI234" s="72"/>
      <c r="FJ234" s="105"/>
      <c r="FK234" s="72"/>
      <c r="FL234" s="105"/>
      <c r="FM234" s="72"/>
      <c r="FN234" s="105"/>
      <c r="FO234" s="72"/>
      <c r="FP234" s="105"/>
      <c r="FQ234" s="72"/>
      <c r="FR234" s="105"/>
      <c r="FS234" s="72"/>
      <c r="FT234" s="105"/>
      <c r="FU234" s="72"/>
      <c r="FV234" s="105"/>
      <c r="FW234" s="72"/>
      <c r="FX234" s="105"/>
      <c r="FY234" s="72"/>
      <c r="FZ234" s="105"/>
      <c r="GA234" s="72"/>
      <c r="GB234" s="105"/>
      <c r="GC234" s="72"/>
      <c r="GD234" s="105"/>
      <c r="GE234" s="72"/>
      <c r="GF234" s="105"/>
      <c r="GG234" s="72"/>
      <c r="GH234" s="105"/>
      <c r="GI234" s="72"/>
      <c r="GJ234" s="105"/>
      <c r="GK234" s="72"/>
      <c r="GL234" s="105"/>
      <c r="GM234" s="72"/>
      <c r="GN234" s="105"/>
      <c r="GO234" s="72"/>
      <c r="GP234" s="105"/>
      <c r="GQ234" s="72"/>
      <c r="GR234" s="105"/>
      <c r="GS234" s="72"/>
      <c r="GT234" s="105"/>
      <c r="GU234" s="72"/>
      <c r="GV234" s="105"/>
      <c r="GW234" s="72"/>
      <c r="GX234" s="105"/>
      <c r="GY234" s="72"/>
      <c r="GZ234" s="72"/>
      <c r="HA234" s="72"/>
      <c r="HB234" s="72"/>
    </row>
    <row r="235" spans="1:217" ht="12.75" customHeight="1" x14ac:dyDescent="0.2">
      <c r="B235" s="77" t="s">
        <v>213</v>
      </c>
      <c r="C235" s="101">
        <f>FF235-I235-G235-E235</f>
        <v>529</v>
      </c>
      <c r="D235" s="72"/>
      <c r="E235" s="101">
        <v>532</v>
      </c>
      <c r="F235" s="72"/>
      <c r="G235" s="101">
        <v>443</v>
      </c>
      <c r="H235" s="72"/>
      <c r="I235" s="101">
        <v>538</v>
      </c>
      <c r="J235" s="72"/>
      <c r="K235" s="101">
        <v>562</v>
      </c>
      <c r="L235" s="72">
        <f t="shared" ref="L235:L240" si="1379">IF(ISERROR(K235/C235),"NA",IF(OR(K235/C235&gt;2,K235/C235&lt;0.5),"NM",K235/C235*100-100))</f>
        <v>6.2381852551984878</v>
      </c>
      <c r="M235" s="101">
        <v>622</v>
      </c>
      <c r="N235" s="72">
        <f t="shared" ref="N235:N240" si="1380">IF(ISERROR(M235/E235),"NA",IF(OR(M235/E235&gt;2,M235/E235&lt;0.5),"NM",M235/E235*100-100))</f>
        <v>16.917293233082702</v>
      </c>
      <c r="O235" s="101">
        <v>688</v>
      </c>
      <c r="P235" s="72">
        <f t="shared" ref="P235:P240" si="1381">IF(ISERROR(O235/G235),"NA",IF(OR(O235/G235&gt;2,O235/G235&lt;0.5),"NM",O235/G235*100-100))</f>
        <v>55.304740406320548</v>
      </c>
      <c r="Q235" s="101">
        <v>618</v>
      </c>
      <c r="R235" s="72">
        <f t="shared" ref="R235:AP240" si="1382">IF(ISERROR(Q235/I235),"NA",IF(OR(Q235/I235&gt;2,Q235/I235&lt;0.5),"NM",Q235/I235*100-100))</f>
        <v>14.869888475836433</v>
      </c>
      <c r="S235" s="101">
        <v>674</v>
      </c>
      <c r="T235" s="72">
        <f t="shared" si="1382"/>
        <v>19.928825622775804</v>
      </c>
      <c r="U235" s="101">
        <v>686</v>
      </c>
      <c r="V235" s="72">
        <f t="shared" si="1382"/>
        <v>10.289389067524127</v>
      </c>
      <c r="W235" s="101">
        <v>674</v>
      </c>
      <c r="X235" s="72">
        <f t="shared" si="1382"/>
        <v>-2.0348837209302388</v>
      </c>
      <c r="Y235" s="101">
        <v>669</v>
      </c>
      <c r="Z235" s="72">
        <f t="shared" si="1382"/>
        <v>8.2524271844660149</v>
      </c>
      <c r="AA235" s="101">
        <v>740</v>
      </c>
      <c r="AB235" s="72">
        <f t="shared" si="1382"/>
        <v>9.7922848664688331</v>
      </c>
      <c r="AC235" s="101">
        <v>672</v>
      </c>
      <c r="AD235" s="72">
        <f t="shared" si="1382"/>
        <v>-2.0408163265306172</v>
      </c>
      <c r="AE235" s="101">
        <v>675</v>
      </c>
      <c r="AF235" s="72">
        <f t="shared" si="1382"/>
        <v>0.14836795252226409</v>
      </c>
      <c r="AG235" s="101">
        <v>710</v>
      </c>
      <c r="AH235" s="72">
        <f t="shared" si="1382"/>
        <v>6.1285500747384276</v>
      </c>
      <c r="AI235" s="101">
        <v>761</v>
      </c>
      <c r="AJ235" s="72">
        <f t="shared" si="1382"/>
        <v>2.8378378378378386</v>
      </c>
      <c r="AK235" s="101">
        <v>716</v>
      </c>
      <c r="AL235" s="72">
        <f t="shared" si="1382"/>
        <v>6.547619047619051</v>
      </c>
      <c r="AM235" s="101">
        <v>745</v>
      </c>
      <c r="AN235" s="72">
        <f t="shared" si="1382"/>
        <v>10.370370370370367</v>
      </c>
      <c r="AO235" s="101">
        <v>708</v>
      </c>
      <c r="AP235" s="72">
        <f t="shared" si="1382"/>
        <v>-0.28169014084507182</v>
      </c>
      <c r="AQ235" s="101">
        <v>827</v>
      </c>
      <c r="AR235" s="72">
        <f t="shared" ref="AR235:AR240" si="1383">IF(ISERROR(AQ235/AI235),"NA",IF(OR(AQ235/AI235&gt;2,AQ235/AI235&lt;0.5),"NM",AQ235/AI235*100-100))</f>
        <v>8.6727989487516339</v>
      </c>
      <c r="AS235" s="101">
        <v>818</v>
      </c>
      <c r="AT235" s="72">
        <f t="shared" ref="AT235:AT240" si="1384">IF(ISERROR(AS235/AK235),"NA",IF(OR(AS235/AK235&gt;2,AS235/AK235&lt;0.5),"NM",AS235/AK235*100-100))</f>
        <v>14.245810055865917</v>
      </c>
      <c r="AU235" s="101">
        <v>789</v>
      </c>
      <c r="AV235" s="72">
        <f t="shared" ref="AV235:AV240" si="1385">IF(ISERROR(AU235/AM235),"NA",IF(OR(AU235/AM235&gt;2,AU235/AM235&lt;0.5),"NM",AU235/AM235*100-100))</f>
        <v>5.9060402684563797</v>
      </c>
      <c r="AW235" s="101">
        <v>780</v>
      </c>
      <c r="AX235" s="72">
        <f t="shared" ref="AX235:AX240" si="1386">IF(ISERROR(AW235/AO235),"NA",IF(OR(AW235/AO235&gt;2,AW235/AO235&lt;0.5),"NM",AW235/AO235*100-100))</f>
        <v>10.169491525423723</v>
      </c>
      <c r="AY235" s="101">
        <v>860</v>
      </c>
      <c r="AZ235" s="72">
        <f t="shared" ref="AZ235:AZ240" si="1387">IF(ISERROR(AY235/AQ235),"NA",IF(OR(AY235/AQ235&gt;2,AY235/AQ235&lt;0.5),"NM",AY235/AQ235*100-100))</f>
        <v>3.9903264812575685</v>
      </c>
      <c r="BA235" s="101">
        <v>894</v>
      </c>
      <c r="BB235" s="72">
        <f t="shared" ref="BB235:BB240" si="1388">IF(ISERROR(BA235/AS235),"NA",IF(OR(BA235/AS235&gt;2,BA235/AS235&lt;0.5),"NM",BA235/AS235*100-100))</f>
        <v>9.2909535452322842</v>
      </c>
      <c r="BC235" s="101">
        <v>859</v>
      </c>
      <c r="BD235" s="72">
        <f t="shared" ref="BD235:BD240" si="1389">IF(ISERROR(BC235/AU235),"NA",IF(OR(BC235/AU235&gt;2,BC235/AU235&lt;0.5),"NM",BC235/AU235*100-100))</f>
        <v>8.8719898605830139</v>
      </c>
      <c r="BE235" s="101">
        <v>884</v>
      </c>
      <c r="BF235" s="72">
        <f t="shared" ref="BF235:BF240" si="1390">IF(ISERROR(BE235/AW235),"NA",IF(OR(BE235/AW235&gt;2,BE235/AW235&lt;0.5),"NM",BE235/AW235*100-100))</f>
        <v>13.333333333333329</v>
      </c>
      <c r="BG235" s="101">
        <v>935</v>
      </c>
      <c r="BH235" s="72">
        <f t="shared" ref="BH235:BH240" si="1391">IF(ISERROR(BG235/AY235),"NA",IF(OR(BG235/AY235&gt;2,BG235/AY235&lt;0.5),"NM",BG235/AY235*100-100))</f>
        <v>8.7209302325581319</v>
      </c>
      <c r="BI235" s="101">
        <v>920</v>
      </c>
      <c r="BJ235" s="72">
        <f t="shared" ref="BJ235:BJ240" si="1392">IF(ISERROR(BI235/BA235),"NA",IF(OR(BI235/BA235&gt;2,BI235/BA235&lt;0.5),"NM",BI235/BA235*100-100))</f>
        <v>2.9082774049217051</v>
      </c>
      <c r="BK235" s="101">
        <v>876</v>
      </c>
      <c r="BL235" s="72">
        <f t="shared" ref="BL235:BL240" si="1393">IF(ISERROR(BK235/BC235),"NA",IF(OR(BK235/BC235&gt;2,BK235/BC235&lt;0.5),"NM",BK235/BC235*100-100))</f>
        <v>1.9790454016298042</v>
      </c>
      <c r="BM235" s="101">
        <v>892</v>
      </c>
      <c r="BN235" s="72">
        <f t="shared" ref="BN235:BN240" si="1394">IF(ISERROR(BM235/BE235),"NA",IF(OR(BM235/BE235&gt;2,BM235/BE235&lt;0.5),"NM",BM235/BE235*100-100))</f>
        <v>0.90497737556560764</v>
      </c>
      <c r="BO235" s="101">
        <v>945</v>
      </c>
      <c r="BP235" s="72">
        <f t="shared" ref="BP235:BP240" si="1395">IF(ISERROR(BO235/BG235),"NA",IF(OR(BO235/BG235&gt;2,BO235/BG235&lt;0.5),"NM",BO235/BG235*100-100))</f>
        <v>1.0695187165775479</v>
      </c>
      <c r="BQ235" s="101">
        <v>919</v>
      </c>
      <c r="BR235" s="72">
        <f t="shared" ref="BR235:BR240" si="1396">IF(ISERROR(BQ235/BI235),"NA",IF(OR(BQ235/BI235&gt;2,BQ235/BI235&lt;0.5),"NM",BQ235/BI235*100-100))</f>
        <v>-0.10869565217392108</v>
      </c>
      <c r="BS235" s="101">
        <v>906</v>
      </c>
      <c r="BT235" s="72">
        <f t="shared" ref="BT235:BT240" si="1397">IF(ISERROR(BS235/BK235),"NA",IF(OR(BS235/BK235&gt;2,BS235/BK235&lt;0.5),"NM",BS235/BK235*100-100))</f>
        <v>3.4246575342465633</v>
      </c>
      <c r="BU235" s="101">
        <v>963</v>
      </c>
      <c r="BV235" s="72">
        <f t="shared" ref="BV235:BV240" si="1398">IF(ISERROR(BU235/BM235),"NA",IF(OR(BU235/BM235&gt;2,BU235/BM235&lt;0.5),"NM",BU235/BM235*100-100))</f>
        <v>7.9596412556053764</v>
      </c>
      <c r="BW235" s="101">
        <v>1004</v>
      </c>
      <c r="BX235" s="72">
        <f t="shared" ref="BX235:BX240" si="1399">IF(ISERROR(BW235/BO235),"NA",IF(OR(BW235/BO235&gt;2,BW235/BO235&lt;0.5),"NM",BW235/BO235*100-100))</f>
        <v>6.2433862433862544</v>
      </c>
      <c r="BY235" s="101">
        <v>972</v>
      </c>
      <c r="BZ235" s="72">
        <f t="shared" ref="BZ235:BZ240" si="1400">IF(ISERROR(BY235/BQ235),"NA",IF(OR(BY235/BQ235&gt;2,BY235/BQ235&lt;0.5),"NM",BY235/BQ235*100-100))</f>
        <v>5.767138193688794</v>
      </c>
      <c r="CA235" s="101">
        <v>1057</v>
      </c>
      <c r="CB235" s="72">
        <f t="shared" ref="CB235:CB240" si="1401">IF(ISERROR(CA235/BS235),"NA",IF(OR(CA235/BS235&gt;2,CA235/BS235&lt;0.5),"NM",CA235/BS235*100-100))</f>
        <v>16.666666666666671</v>
      </c>
      <c r="CC235" s="101">
        <v>983</v>
      </c>
      <c r="CD235" s="72">
        <f t="shared" ref="CD235:CD240" si="1402">IF(ISERROR(CC235/BU235),"NA",IF(OR(CC235/BU235&gt;2,CC235/BU235&lt;0.5),"NM",CC235/BU235*100-100))</f>
        <v>2.0768431983385227</v>
      </c>
      <c r="CE235" s="101">
        <v>1014</v>
      </c>
      <c r="CF235" s="72">
        <f t="shared" ref="CF235:CF240" si="1403">IF(ISERROR(CE235/BW235),"NA",IF(OR(CE235/BW235&gt;2,CE235/BW235&lt;0.5),"NM",CE235/BW235*100-100))</f>
        <v>0.99601593625497742</v>
      </c>
      <c r="CG235" s="101">
        <v>1038</v>
      </c>
      <c r="CH235" s="72">
        <f t="shared" ref="CH235:CH240" si="1404">IF(ISERROR(CG235/BY235),"NA",IF(OR(CG235/BY235&gt;2,CG235/BY235&lt;0.5),"NM",CG235/BY235*100-100))</f>
        <v>6.790123456790127</v>
      </c>
      <c r="CI235" s="101">
        <v>1163</v>
      </c>
      <c r="CJ235" s="72">
        <f t="shared" ref="CJ235:CT240" si="1405">IF(ISERROR(CI235/CA235),"NA",IF(OR(CI235/CA235&gt;2,CI235/CA235&lt;0.5),"NM",CI235/CA235*100-100))</f>
        <v>10.028382213812677</v>
      </c>
      <c r="CK235" s="101">
        <v>1043</v>
      </c>
      <c r="CL235" s="72">
        <f t="shared" si="1405"/>
        <v>6.1037639877924619</v>
      </c>
      <c r="CM235" s="101">
        <v>1213</v>
      </c>
      <c r="CN235" s="72">
        <f t="shared" si="1405"/>
        <v>19.625246548323474</v>
      </c>
      <c r="CO235" s="101">
        <v>1185</v>
      </c>
      <c r="CP235" s="72">
        <f t="shared" si="1405"/>
        <v>14.161849710982665</v>
      </c>
      <c r="CQ235" s="101">
        <v>1156</v>
      </c>
      <c r="CR235" s="72">
        <f t="shared" si="1405"/>
        <v>-0.60189165950129109</v>
      </c>
      <c r="CS235" s="101">
        <v>1091</v>
      </c>
      <c r="CT235" s="72">
        <f t="shared" si="1405"/>
        <v>4.6021093000958757</v>
      </c>
      <c r="CU235" s="101">
        <v>1179</v>
      </c>
      <c r="CV235" s="72">
        <f t="shared" ref="CV235:CV240" si="1406">IF(ISERROR(CU235/CM235),"NA",IF(OR(CU235/CM235&gt;2,CU235/CM235&lt;0.5),"NM",CU235/CM235*100-100))</f>
        <v>-2.8029678483099758</v>
      </c>
      <c r="CW235" s="101">
        <v>1102</v>
      </c>
      <c r="CX235" s="72">
        <f t="shared" ref="CX235:CX240" si="1407">IF(ISERROR(CW235/CO235),"NA",IF(OR(CW235/CO235&gt;2,CW235/CO235&lt;0.5),"NM",CW235/CO235*100-100))</f>
        <v>-7.0042194092826975</v>
      </c>
      <c r="CY235" s="101">
        <v>1134</v>
      </c>
      <c r="CZ235" s="72">
        <f t="shared" ref="CZ235:CZ240" si="1408">IF(ISERROR(CY235/CQ235),"NA",IF(OR(CY235/CQ235&gt;2,CY235/CQ235&lt;0.5),"NM",CY235/CQ235*100-100))</f>
        <v>-1.9031141868512123</v>
      </c>
      <c r="DA235" s="101">
        <v>1113</v>
      </c>
      <c r="DB235" s="72">
        <f t="shared" ref="DB235:DB240" si="1409">IF(ISERROR(DA235/CS235),"NA",IF(OR(DA235/CS235&gt;2,DA235/CS235&lt;0.5),"NM",DA235/CS235*100-100))</f>
        <v>2.0164986251145649</v>
      </c>
      <c r="DC235" s="101">
        <v>1137</v>
      </c>
      <c r="DD235" s="72">
        <f t="shared" ref="DD235:DD240" si="1410">IF(ISERROR(DC235/CU235),"NA",IF(OR(DC235/CU235&gt;2,DC235/CU235&lt;0.5),"NM",DC235/CU235*100-100))</f>
        <v>-3.5623409669211128</v>
      </c>
      <c r="DE235" s="101">
        <v>1112</v>
      </c>
      <c r="DF235" s="72">
        <f t="shared" ref="DF235:DF240" si="1411">IF(ISERROR(DE235/CW235),"NA",IF(OR(DE235/CW235&gt;2,DE235/CW235&lt;0.5),"NM",DE235/CW235*100-100))</f>
        <v>0.9074410163339337</v>
      </c>
      <c r="DG235" s="101">
        <v>1009</v>
      </c>
      <c r="DH235" s="72">
        <f t="shared" ref="DH235:DH240" si="1412">IF(ISERROR(DG235/CY235),"NA",IF(OR(DG235/CY235&gt;2,DG235/CY235&lt;0.5),"NM",DG235/CY235*100-100))</f>
        <v>-11.022927689594354</v>
      </c>
      <c r="DI235" s="101">
        <v>1041</v>
      </c>
      <c r="DJ235" s="72">
        <f t="shared" ref="DJ235:DJ240" si="1413">IF(ISERROR(DI235/DA235),"NA",IF(OR(DI235/DA235&gt;2,DI235/DA235&lt;0.5),"NM",DI235/DA235*100-100))</f>
        <v>-6.4690026954177853</v>
      </c>
      <c r="DK235" s="101">
        <v>1073</v>
      </c>
      <c r="DL235" s="72">
        <f t="shared" ref="DL235:DL240" si="1414">IF(ISERROR(DK235/DC235),"NA",IF(OR(DK235/DC235&gt;2,DK235/DC235&lt;0.5),"NM",DK235/DC235*100-100))</f>
        <v>-5.6288478452066926</v>
      </c>
      <c r="DM235" s="101">
        <v>1030</v>
      </c>
      <c r="DN235" s="72">
        <f t="shared" ref="DN235:DZ240" si="1415">IF(ISERROR(DM235/DE235),"NA",IF(OR(DM235/DE235&gt;2,DM235/DE235&lt;0.5),"NM",DM235/DE235*100-100))</f>
        <v>-7.3741007194244617</v>
      </c>
      <c r="DO235" s="101">
        <v>1144</v>
      </c>
      <c r="DP235" s="72">
        <f t="shared" si="1415"/>
        <v>13.379583746283458</v>
      </c>
      <c r="DQ235" s="101">
        <v>968</v>
      </c>
      <c r="DR235" s="72">
        <f t="shared" si="1415"/>
        <v>-7.0124879923150871</v>
      </c>
      <c r="DS235" s="101">
        <v>983</v>
      </c>
      <c r="DT235" s="72">
        <f t="shared" si="1415"/>
        <v>-8.3876980428704684</v>
      </c>
      <c r="DU235" s="101">
        <v>931</v>
      </c>
      <c r="DV235" s="72">
        <f t="shared" si="1415"/>
        <v>-9.6116504854368969</v>
      </c>
      <c r="DW235" s="101">
        <v>982</v>
      </c>
      <c r="DX235" s="72">
        <f t="shared" si="1415"/>
        <v>-14.16083916083916</v>
      </c>
      <c r="DY235" s="101">
        <v>972</v>
      </c>
      <c r="DZ235" s="72">
        <f t="shared" si="1415"/>
        <v>0.41322314049587305</v>
      </c>
      <c r="EA235" s="101">
        <v>1020</v>
      </c>
      <c r="EB235" s="72">
        <f t="shared" ref="EB235:EB240" si="1416">IF(ISERROR(EA235/DS235),"NA",IF(OR(EA235/DS235&gt;2,EA235/DS235&lt;0.5),"NM",EA235/DS235*100-100))</f>
        <v>3.7639877924720224</v>
      </c>
      <c r="EC235" s="101">
        <v>1001</v>
      </c>
      <c r="ED235" s="72">
        <f t="shared" ref="ED235:ED240" si="1417">IF(ISERROR(EC235/DU235),"NA",IF(OR(EC235/DU235&gt;2,EC235/DU235&lt;0.5),"NM",EC235/DU235*100-100))</f>
        <v>7.5187969924812137</v>
      </c>
      <c r="EE235" s="101">
        <v>1003</v>
      </c>
      <c r="EF235" s="72">
        <f t="shared" ref="EF235:EF240" si="1418">IF(ISERROR(EE235/DW235),"NA",IF(OR(EE235/DW235&gt;2,EE235/DW235&lt;0.5),"NM",EE235/DW235*100-100))</f>
        <v>2.1384928716904312</v>
      </c>
      <c r="EG235" s="101">
        <v>1008</v>
      </c>
      <c r="EH235" s="72">
        <f t="shared" ref="EH235:EH240" si="1419">IF(ISERROR(EG235/DY235),"NA",IF(OR(EG235/DY235&gt;2,EG235/DY235&lt;0.5),"NM",EG235/DY235*100-100))</f>
        <v>3.7037037037036953</v>
      </c>
      <c r="EI235" s="101">
        <v>1065</v>
      </c>
      <c r="EJ235" s="72">
        <f t="shared" ref="EJ235:EJ240" si="1420">IF(ISERROR(EI235/EA235),"NA",IF(OR(EI235/EA235&gt;2,EI235/EA235&lt;0.5),"NM",EI235/EA235*100-100))</f>
        <v>4.4117647058823621</v>
      </c>
      <c r="EK235" s="101">
        <v>952</v>
      </c>
      <c r="EL235" s="72">
        <f t="shared" ref="EL235:EL240" si="1421">IF(ISERROR(EK235/EC235),"NA",IF(OR(EK235/EC235&gt;2,EK235/EC235&lt;0.5),"NM",EK235/EC235*100-100))</f>
        <v>-4.8951048951048932</v>
      </c>
      <c r="EM235" s="101">
        <v>1013</v>
      </c>
      <c r="EN235" s="72">
        <f t="shared" ref="EN235:EN240" si="1422">IF(ISERROR(EM235/EE235),"NA",IF(OR(EM235/EE235&gt;2,EM235/EE235&lt;0.5),"NM",EM235/EE235*100-100))</f>
        <v>0.99700897308075298</v>
      </c>
      <c r="EO235" s="101">
        <v>1043</v>
      </c>
      <c r="EP235" s="72">
        <f t="shared" ref="EP235:EP240" si="1423">IF(ISERROR(EO235/EG235),"NA",IF(OR(EO235/EG235&gt;2,EO235/EG235&lt;0.5),"NM",EO235/EG235*100-100))</f>
        <v>3.4722222222222285</v>
      </c>
      <c r="EQ235" s="100">
        <f t="shared" ref="EQ235" si="1424">EQ229*EQ243/100</f>
        <v>1046.1176000000003</v>
      </c>
      <c r="ER235" s="72">
        <f t="shared" ref="ER235:ER240" si="1425">IF(ISERROR(EQ235/EI235),"NA",IF(OR(EQ235/EI235&gt;2,EQ235/EI235&lt;0.5),"NM",EQ235/EI235*100-100))</f>
        <v>-1.7729953051642866</v>
      </c>
      <c r="ES235" s="100">
        <f t="shared" ref="ES235" si="1426">ES229*ES243/100</f>
        <v>1050.5754875000002</v>
      </c>
      <c r="ET235" s="72">
        <f t="shared" ref="ET235:ET240" si="1427">IF(ISERROR(ES235/EK235),"NA",IF(OR(ES235/EK235&gt;2,ES235/EK235&lt;0.5),"NM",ES235/EK235*100-100))</f>
        <v>10.354568014705904</v>
      </c>
      <c r="EU235" s="100">
        <f t="shared" ref="EU235" si="1428">EU229*EU243/100</f>
        <v>1055.0179209900002</v>
      </c>
      <c r="EV235" s="72">
        <f t="shared" ref="EV235:EV240" si="1429">IF(ISERROR(EU235/EM235),"NA",IF(OR(EU235/EM235&gt;2,EU235/EM235&lt;0.5),"NM",EU235/EM235*100-100))</f>
        <v>4.1478697917078193</v>
      </c>
      <c r="EW235" s="100">
        <f t="shared" ref="EW235" si="1430">EW229*EW243/100</f>
        <v>1059.4441456010502</v>
      </c>
      <c r="EX235" s="72">
        <f t="shared" ref="EX235:EX240" si="1431">IF(ISERROR(EW235/EO235),"NA",IF(OR(EW235/EO235&gt;2,EW235/EO235&lt;0.5),"NM",EW235/EO235*100-100))</f>
        <v>1.5766199042234206</v>
      </c>
      <c r="EY235" s="72"/>
      <c r="EZ235" s="309"/>
      <c r="FA235" s="72"/>
      <c r="FB235" s="101">
        <v>1650</v>
      </c>
      <c r="FC235" s="72"/>
      <c r="FD235" s="101">
        <v>1759</v>
      </c>
      <c r="FE235" s="72">
        <f t="shared" ref="FE235:FE240" si="1432">IF(ISERROR(FD235/FB235),"NA",IF(OR(FD235/FB235&gt;2,FD235/FB235&lt;0.5),"NM",FD235/FB235*100-100))</f>
        <v>6.6060606060606091</v>
      </c>
      <c r="FF235" s="101">
        <v>2042</v>
      </c>
      <c r="FG235" s="72">
        <f t="shared" ref="FG235:FG240" si="1433">IF(ISERROR(FF235/FD235),"NA",IF(OR(FF235/FD235&gt;2,FF235/FD235&lt;0.5),"NM",FF235/FD235*100-100))</f>
        <v>16.088686753837408</v>
      </c>
      <c r="FH235" s="75">
        <f t="shared" ref="FH235:FH240" si="1434">K235+M235+O235+Q235</f>
        <v>2490</v>
      </c>
      <c r="FI235" s="72">
        <f t="shared" ref="FI235:FI240" si="1435">IF(ISERROR(FH235/FF235),"NA",IF(OR(FH235/FF235&gt;2,FH235/FF235&lt;0.5),"NM",FH235/FF235*100-100))</f>
        <v>21.939275220372181</v>
      </c>
      <c r="FJ235" s="75">
        <f t="shared" ref="FJ235:FJ240" si="1436">S235+U235+W235+Y235</f>
        <v>2703</v>
      </c>
      <c r="FK235" s="72">
        <f t="shared" ref="FK235:FK240" si="1437">IF(ISERROR(FJ235/FH235),"NA",IF(OR(FJ235/FH235&gt;2,FJ235/FH235&lt;0.5),"NM",FJ235/FH235*100-100))</f>
        <v>8.55421686746989</v>
      </c>
      <c r="FL235" s="75">
        <f t="shared" ref="FL235:FL240" si="1438">AA235+AC235+AE235+AG235</f>
        <v>2797</v>
      </c>
      <c r="FM235" s="72">
        <f t="shared" ref="FM235:FM240" si="1439">IF(ISERROR(FL235/FJ235),"NA",IF(OR(FL235/FJ235&gt;2,FL235/FJ235&lt;0.5),"NM",FL235/FJ235*100-100))</f>
        <v>3.4776174620791807</v>
      </c>
      <c r="FN235" s="75">
        <f t="shared" ref="FN235:FN240" si="1440">AI235+AK235+AM235+AO235</f>
        <v>2930</v>
      </c>
      <c r="FO235" s="72">
        <f t="shared" ref="FO235:FO240" si="1441">IF(ISERROR(FN235/FL235),"NA",IF(OR(FN235/FL235&gt;2,FN235/FL235&lt;0.5),"NM",FN235/FL235*100-100))</f>
        <v>4.7550947443689751</v>
      </c>
      <c r="FP235" s="75">
        <f t="shared" ref="FP235:FP240" si="1442">AQ235+AS235+AU235+AW235</f>
        <v>3214</v>
      </c>
      <c r="FQ235" s="72">
        <f t="shared" ref="FQ235:FQ240" si="1443">IF(ISERROR(FP235/FN235),"NA",IF(OR(FP235/FN235&gt;2,FP235/FN235&lt;0.5),"NM",FP235/FN235*100-100))</f>
        <v>9.6928327645051269</v>
      </c>
      <c r="FR235" s="100">
        <f t="shared" ref="FR235:FR240" si="1444">AY235+BA235+BC235+BE235</f>
        <v>3497</v>
      </c>
      <c r="FS235" s="72">
        <f t="shared" ref="FS235:FS240" si="1445">IF(ISERROR(FR235/FP235),"NA",IF(OR(FR235/FP235&gt;2,FR235/FP235&lt;0.5),"NM",FR235/FP235*100-100))</f>
        <v>8.805227131300569</v>
      </c>
      <c r="FT235" s="100">
        <f t="shared" ref="FT235:FT240" si="1446">BG235+BI235+BK235+BM235</f>
        <v>3623</v>
      </c>
      <c r="FU235" s="72">
        <f t="shared" ref="FU235:FU240" si="1447">IF(ISERROR(FT235/FR235),"NA",IF(OR(FT235/FR235&gt;2,FT235/FR235&lt;0.5),"NM",FT235/FR235*100-100))</f>
        <v>3.603088361452663</v>
      </c>
      <c r="FV235" s="100">
        <f>BO235+BQ235+BS235+BU235</f>
        <v>3733</v>
      </c>
      <c r="FW235" s="72">
        <f t="shared" ref="FW235:GG240" si="1448">IF(ISERROR(FV235/FT235),"NA",IF(OR(FV235/FT235&gt;2,FV235/FT235&lt;0.5),"NM",FV235/FT235*100-100))</f>
        <v>3.0361578802097711</v>
      </c>
      <c r="FX235" s="75">
        <f>BW235+BY235+CA235+CC235</f>
        <v>4016</v>
      </c>
      <c r="FY235" s="72">
        <f t="shared" si="1448"/>
        <v>7.5810340208947196</v>
      </c>
      <c r="FZ235" s="75">
        <f t="shared" ref="FZ235:FZ240" si="1449">CE235+CG235+CI235+CK235</f>
        <v>4258</v>
      </c>
      <c r="GA235" s="72">
        <f t="shared" si="1448"/>
        <v>6.0258964143426397</v>
      </c>
      <c r="GB235" s="100">
        <f t="shared" ref="GB235:GB240" si="1450">CM235+CO235+CQ235+CS235</f>
        <v>4645</v>
      </c>
      <c r="GC235" s="72">
        <f t="shared" si="1448"/>
        <v>9.088774072334445</v>
      </c>
      <c r="GD235" s="100">
        <f t="shared" ref="GD235:GD240" si="1451">CU235+CW235+CY235+DA235</f>
        <v>4528</v>
      </c>
      <c r="GE235" s="72">
        <f t="shared" si="1448"/>
        <v>-2.518837459634014</v>
      </c>
      <c r="GF235" s="100">
        <f t="shared" ref="GF235:GF240" si="1452">DC235+DE235+DG235+DI235</f>
        <v>4299</v>
      </c>
      <c r="GG235" s="72">
        <f t="shared" si="1448"/>
        <v>-5.0574204946996559</v>
      </c>
      <c r="GH235" s="100">
        <f t="shared" ref="GH235:GH240" si="1453">DK235+DM235+DO235+DQ235</f>
        <v>4215</v>
      </c>
      <c r="GI235" s="72">
        <f t="shared" ref="GI235:GU240" si="1454">IF(ISERROR(GH235/GF235),"NA",IF(OR(GH235/GF235&gt;2,GH235/GF235&lt;0.5),"NM",GH235/GF235*100-100))</f>
        <v>-1.9539427773900968</v>
      </c>
      <c r="GJ235" s="100">
        <f t="shared" ref="GJ235:GJ240" si="1455">DS235+DU235+DW235+DY235</f>
        <v>3868</v>
      </c>
      <c r="GK235" s="72">
        <f t="shared" si="1454"/>
        <v>-8.2325029655990534</v>
      </c>
      <c r="GL235" s="100">
        <f t="shared" ref="GL235:GL240" si="1456">EA235+EC235+EE235+EG235</f>
        <v>4032</v>
      </c>
      <c r="GM235" s="72">
        <f t="shared" si="1454"/>
        <v>4.2399172699069396</v>
      </c>
      <c r="GN235" s="100">
        <f t="shared" ref="GN235:GN240" si="1457">EI235+EK235+EM235+EO235</f>
        <v>4073</v>
      </c>
      <c r="GO235" s="72">
        <f t="shared" si="1454"/>
        <v>1.0168650793650755</v>
      </c>
      <c r="GP235" s="100">
        <f t="shared" ref="GP235:GP240" si="1458">EQ235+ES235+EU235+EW235</f>
        <v>4211.1551540910514</v>
      </c>
      <c r="GQ235" s="72">
        <f t="shared" si="1454"/>
        <v>3.3919753029965989</v>
      </c>
      <c r="GR235" s="100">
        <f>GR229*GR243/100</f>
        <v>4389.5478439661401</v>
      </c>
      <c r="GS235" s="72">
        <f t="shared" si="1454"/>
        <v>4.2361937128292197</v>
      </c>
      <c r="GT235" s="100">
        <f>GT229*GT243/100</f>
        <v>4573.0506813547227</v>
      </c>
      <c r="GU235" s="72">
        <f t="shared" si="1454"/>
        <v>4.1804496479250162</v>
      </c>
      <c r="GV235" s="100">
        <f>GV229*GV243/100</f>
        <v>4767.1421727410652</v>
      </c>
      <c r="GW235" s="72">
        <f t="shared" ref="GW235:GW240" si="1459">IF(ISERROR(GV235/GT235),"NA",IF(OR(GV235/GT235&gt;2,GV235/GT235&lt;0.5),"NM",GV235/GT235*100-100))</f>
        <v>4.2442453607105932</v>
      </c>
      <c r="GX235" s="100">
        <f>GX229*GX243/100</f>
        <v>4969.6674916307902</v>
      </c>
      <c r="GY235" s="72">
        <f t="shared" ref="GY235:GY240" si="1460">IF(ISERROR(GX235/GV235),"NA",IF(OR(GX235/GV235&gt;2,GX235/GV235&lt;0.5),"NM",GX235/GV235*100-100))</f>
        <v>4.2483591122535245</v>
      </c>
      <c r="GZ235" s="72">
        <f t="shared" ref="GZ235:GZ240" si="1461">IF(ISERROR(((GX235/GN235)^0.2-1)*100),"NA",IF((((GX235/GN235)^0.2-1)*100)&gt;100,"NM",IF((((GX235/GN235)^0.2-1)*100)&lt;-50,"NM",((GX235/GN235)^0.2-1)*100)))</f>
        <v>4.0597035697247152</v>
      </c>
      <c r="HA235" s="72"/>
      <c r="HB235" s="72"/>
    </row>
    <row r="236" spans="1:217" ht="12.75" customHeight="1" x14ac:dyDescent="0.2">
      <c r="B236" s="77" t="s">
        <v>668</v>
      </c>
      <c r="C236" s="101">
        <f>FF236-I236-G236-E236</f>
        <v>47</v>
      </c>
      <c r="D236" s="72"/>
      <c r="E236" s="101">
        <v>47</v>
      </c>
      <c r="F236" s="72"/>
      <c r="G236" s="101">
        <v>51</v>
      </c>
      <c r="H236" s="72"/>
      <c r="I236" s="101">
        <v>55</v>
      </c>
      <c r="J236" s="72"/>
      <c r="K236" s="101">
        <v>53</v>
      </c>
      <c r="L236" s="72">
        <f t="shared" si="1379"/>
        <v>12.7659574468085</v>
      </c>
      <c r="M236" s="101">
        <v>53</v>
      </c>
      <c r="N236" s="72">
        <f t="shared" si="1380"/>
        <v>12.7659574468085</v>
      </c>
      <c r="O236" s="101">
        <v>57</v>
      </c>
      <c r="P236" s="72">
        <f t="shared" si="1381"/>
        <v>11.764705882352942</v>
      </c>
      <c r="Q236" s="101">
        <v>61</v>
      </c>
      <c r="R236" s="72">
        <f t="shared" si="1382"/>
        <v>10.909090909090907</v>
      </c>
      <c r="S236" s="101">
        <v>54</v>
      </c>
      <c r="T236" s="72">
        <f t="shared" si="1382"/>
        <v>1.8867924528301927</v>
      </c>
      <c r="U236" s="101">
        <v>57</v>
      </c>
      <c r="V236" s="72">
        <f t="shared" si="1382"/>
        <v>7.5471698113207566</v>
      </c>
      <c r="W236" s="101">
        <v>60</v>
      </c>
      <c r="X236" s="72">
        <f t="shared" si="1382"/>
        <v>5.2631578947368354</v>
      </c>
      <c r="Y236" s="101">
        <v>64</v>
      </c>
      <c r="Z236" s="72">
        <f t="shared" si="1382"/>
        <v>4.9180327868852487</v>
      </c>
      <c r="AA236" s="101">
        <v>60</v>
      </c>
      <c r="AB236" s="72">
        <f t="shared" si="1382"/>
        <v>11.111111111111114</v>
      </c>
      <c r="AC236" s="101">
        <v>57</v>
      </c>
      <c r="AD236" s="72">
        <f t="shared" si="1382"/>
        <v>0</v>
      </c>
      <c r="AE236" s="101">
        <v>50</v>
      </c>
      <c r="AF236" s="72">
        <f t="shared" si="1382"/>
        <v>-16.666666666666657</v>
      </c>
      <c r="AG236" s="101">
        <v>49</v>
      </c>
      <c r="AH236" s="72">
        <f t="shared" si="1382"/>
        <v>-23.4375</v>
      </c>
      <c r="AI236" s="101">
        <v>52</v>
      </c>
      <c r="AJ236" s="72">
        <f t="shared" si="1382"/>
        <v>-13.333333333333329</v>
      </c>
      <c r="AK236" s="101">
        <v>54</v>
      </c>
      <c r="AL236" s="72">
        <f t="shared" si="1382"/>
        <v>-5.2631578947368496</v>
      </c>
      <c r="AM236" s="101">
        <v>53</v>
      </c>
      <c r="AN236" s="72">
        <f t="shared" si="1382"/>
        <v>6</v>
      </c>
      <c r="AO236" s="101">
        <v>51</v>
      </c>
      <c r="AP236" s="72">
        <f t="shared" si="1382"/>
        <v>4.0816326530612344</v>
      </c>
      <c r="AQ236" s="101">
        <v>51</v>
      </c>
      <c r="AR236" s="72">
        <f t="shared" si="1383"/>
        <v>-1.923076923076934</v>
      </c>
      <c r="AS236" s="101">
        <v>52</v>
      </c>
      <c r="AT236" s="72">
        <f t="shared" si="1384"/>
        <v>-3.7037037037037095</v>
      </c>
      <c r="AU236" s="101">
        <v>50</v>
      </c>
      <c r="AV236" s="72">
        <f t="shared" si="1385"/>
        <v>-5.6603773584905639</v>
      </c>
      <c r="AW236" s="101">
        <v>48</v>
      </c>
      <c r="AX236" s="72">
        <f t="shared" si="1386"/>
        <v>-5.8823529411764781</v>
      </c>
      <c r="AY236" s="101">
        <v>49</v>
      </c>
      <c r="AZ236" s="72">
        <f t="shared" si="1387"/>
        <v>-3.9215686274509807</v>
      </c>
      <c r="BA236" s="101">
        <v>48</v>
      </c>
      <c r="BB236" s="72">
        <f t="shared" si="1388"/>
        <v>-7.6923076923076934</v>
      </c>
      <c r="BC236" s="101">
        <v>52</v>
      </c>
      <c r="BD236" s="72">
        <f t="shared" si="1389"/>
        <v>4</v>
      </c>
      <c r="BE236" s="101">
        <v>55</v>
      </c>
      <c r="BF236" s="72">
        <f t="shared" si="1390"/>
        <v>14.583333333333329</v>
      </c>
      <c r="BG236" s="101">
        <v>59</v>
      </c>
      <c r="BH236" s="72">
        <f t="shared" si="1391"/>
        <v>20.408163265306129</v>
      </c>
      <c r="BI236" s="101">
        <v>58</v>
      </c>
      <c r="BJ236" s="72">
        <f t="shared" si="1392"/>
        <v>20.833333333333329</v>
      </c>
      <c r="BK236" s="101">
        <v>60</v>
      </c>
      <c r="BL236" s="72">
        <f t="shared" si="1393"/>
        <v>15.384615384615373</v>
      </c>
      <c r="BM236" s="101">
        <v>63</v>
      </c>
      <c r="BN236" s="72">
        <f t="shared" si="1394"/>
        <v>14.545454545454547</v>
      </c>
      <c r="BO236" s="101">
        <v>59</v>
      </c>
      <c r="BP236" s="72">
        <f t="shared" si="1395"/>
        <v>0</v>
      </c>
      <c r="BQ236" s="101">
        <v>56</v>
      </c>
      <c r="BR236" s="72">
        <f t="shared" si="1396"/>
        <v>-3.448275862068968</v>
      </c>
      <c r="BS236" s="101">
        <v>60</v>
      </c>
      <c r="BT236" s="72">
        <f t="shared" si="1397"/>
        <v>0</v>
      </c>
      <c r="BU236" s="101">
        <v>57</v>
      </c>
      <c r="BV236" s="72">
        <f t="shared" si="1398"/>
        <v>-9.5238095238095184</v>
      </c>
      <c r="BW236" s="101">
        <v>57</v>
      </c>
      <c r="BX236" s="72">
        <f t="shared" si="1399"/>
        <v>-3.3898305084745743</v>
      </c>
      <c r="BY236" s="101">
        <v>54</v>
      </c>
      <c r="BZ236" s="72">
        <f t="shared" si="1400"/>
        <v>-3.5714285714285694</v>
      </c>
      <c r="CA236" s="101">
        <v>58</v>
      </c>
      <c r="CB236" s="72">
        <f t="shared" si="1401"/>
        <v>-3.3333333333333286</v>
      </c>
      <c r="CC236" s="101">
        <v>60</v>
      </c>
      <c r="CD236" s="72">
        <f t="shared" si="1402"/>
        <v>5.2631578947368354</v>
      </c>
      <c r="CE236" s="101">
        <v>57</v>
      </c>
      <c r="CF236" s="72">
        <f t="shared" si="1403"/>
        <v>0</v>
      </c>
      <c r="CG236" s="101">
        <v>54</v>
      </c>
      <c r="CH236" s="72">
        <f t="shared" si="1404"/>
        <v>0</v>
      </c>
      <c r="CI236" s="101">
        <v>57</v>
      </c>
      <c r="CJ236" s="72">
        <f t="shared" si="1405"/>
        <v>-1.7241379310344911</v>
      </c>
      <c r="CK236" s="101">
        <v>59</v>
      </c>
      <c r="CL236" s="72">
        <f t="shared" si="1405"/>
        <v>-1.6666666666666714</v>
      </c>
      <c r="CM236" s="101">
        <v>57</v>
      </c>
      <c r="CN236" s="72">
        <f t="shared" si="1405"/>
        <v>0</v>
      </c>
      <c r="CO236" s="101">
        <v>56</v>
      </c>
      <c r="CP236" s="72">
        <f t="shared" si="1405"/>
        <v>3.7037037037036953</v>
      </c>
      <c r="CQ236" s="101">
        <v>57</v>
      </c>
      <c r="CR236" s="72">
        <f t="shared" si="1405"/>
        <v>0</v>
      </c>
      <c r="CS236" s="101">
        <v>58</v>
      </c>
      <c r="CT236" s="72">
        <f t="shared" si="1405"/>
        <v>-1.6949152542372872</v>
      </c>
      <c r="CU236" s="101">
        <v>56</v>
      </c>
      <c r="CV236" s="72">
        <f t="shared" si="1406"/>
        <v>-1.7543859649122879</v>
      </c>
      <c r="CW236" s="101">
        <v>58</v>
      </c>
      <c r="CX236" s="72">
        <f t="shared" si="1407"/>
        <v>3.5714285714285836</v>
      </c>
      <c r="CY236" s="101">
        <v>56</v>
      </c>
      <c r="CZ236" s="72">
        <f t="shared" si="1408"/>
        <v>-1.7543859649122879</v>
      </c>
      <c r="DA236" s="101">
        <v>58</v>
      </c>
      <c r="DB236" s="72">
        <f t="shared" si="1409"/>
        <v>0</v>
      </c>
      <c r="DC236" s="101">
        <v>57</v>
      </c>
      <c r="DD236" s="72">
        <f t="shared" si="1410"/>
        <v>1.7857142857142776</v>
      </c>
      <c r="DE236" s="101">
        <v>56</v>
      </c>
      <c r="DF236" s="72">
        <f t="shared" si="1411"/>
        <v>-3.448275862068968</v>
      </c>
      <c r="DG236" s="101">
        <v>59</v>
      </c>
      <c r="DH236" s="72">
        <f t="shared" si="1412"/>
        <v>5.3571428571428612</v>
      </c>
      <c r="DI236" s="101">
        <v>60</v>
      </c>
      <c r="DJ236" s="72">
        <f t="shared" si="1413"/>
        <v>3.448275862068968</v>
      </c>
      <c r="DK236" s="101">
        <v>61</v>
      </c>
      <c r="DL236" s="72">
        <f t="shared" si="1414"/>
        <v>7.0175438596491233</v>
      </c>
      <c r="DM236" s="101">
        <v>60</v>
      </c>
      <c r="DN236" s="72">
        <f t="shared" si="1415"/>
        <v>7.1428571428571388</v>
      </c>
      <c r="DO236" s="101">
        <v>62</v>
      </c>
      <c r="DP236" s="72">
        <f t="shared" si="1415"/>
        <v>5.0847457627118757</v>
      </c>
      <c r="DQ236" s="101">
        <v>65</v>
      </c>
      <c r="DR236" s="72">
        <f t="shared" si="1415"/>
        <v>8.3333333333333286</v>
      </c>
      <c r="DS236" s="101">
        <v>55</v>
      </c>
      <c r="DT236" s="72">
        <f t="shared" si="1415"/>
        <v>-9.8360655737704974</v>
      </c>
      <c r="DU236" s="101">
        <v>77</v>
      </c>
      <c r="DV236" s="72">
        <f t="shared" si="1415"/>
        <v>28.333333333333343</v>
      </c>
      <c r="DW236" s="101">
        <v>63</v>
      </c>
      <c r="DX236" s="72">
        <f t="shared" si="1415"/>
        <v>1.6129032258064484</v>
      </c>
      <c r="DY236" s="101">
        <v>62</v>
      </c>
      <c r="DZ236" s="72">
        <f t="shared" si="1415"/>
        <v>-4.6153846153846132</v>
      </c>
      <c r="EA236" s="101">
        <v>63</v>
      </c>
      <c r="EB236" s="72">
        <f t="shared" si="1416"/>
        <v>14.545454545454547</v>
      </c>
      <c r="EC236" s="101">
        <v>64</v>
      </c>
      <c r="ED236" s="72">
        <f t="shared" si="1417"/>
        <v>-16.883116883116884</v>
      </c>
      <c r="EE236" s="101">
        <v>66</v>
      </c>
      <c r="EF236" s="72">
        <f t="shared" si="1418"/>
        <v>4.7619047619047734</v>
      </c>
      <c r="EG236" s="101">
        <v>70</v>
      </c>
      <c r="EH236" s="72">
        <f t="shared" si="1419"/>
        <v>12.90322580645163</v>
      </c>
      <c r="EI236" s="101">
        <v>67</v>
      </c>
      <c r="EJ236" s="72">
        <f t="shared" si="1420"/>
        <v>6.3492063492063551</v>
      </c>
      <c r="EK236" s="101">
        <v>67</v>
      </c>
      <c r="EL236" s="72">
        <f t="shared" si="1421"/>
        <v>4.6875</v>
      </c>
      <c r="EM236" s="101">
        <v>68</v>
      </c>
      <c r="EN236" s="72">
        <f t="shared" si="1422"/>
        <v>3.0303030303030312</v>
      </c>
      <c r="EO236" s="101">
        <v>72</v>
      </c>
      <c r="EP236" s="72">
        <f t="shared" si="1423"/>
        <v>2.857142857142847</v>
      </c>
      <c r="EQ236" s="100">
        <f t="shared" ref="EQ236" si="1462">EQ230*EQ244/100</f>
        <v>72.550319999999999</v>
      </c>
      <c r="ER236" s="72">
        <f t="shared" si="1425"/>
        <v>8.2840597014925237</v>
      </c>
      <c r="ES236" s="100">
        <f t="shared" ref="ES236" si="1463">ES230*ES244/100</f>
        <v>73.275823199999991</v>
      </c>
      <c r="ET236" s="72">
        <f t="shared" si="1427"/>
        <v>9.3669002985074457</v>
      </c>
      <c r="EU236" s="100">
        <f t="shared" ref="EU236" si="1464">EU230*EU244/100</f>
        <v>74.008581432</v>
      </c>
      <c r="EV236" s="72">
        <f t="shared" si="1429"/>
        <v>8.8361491647058727</v>
      </c>
      <c r="EW236" s="100">
        <f t="shared" ref="EW236" si="1465">EW230*EW244/100</f>
        <v>74.748667246319997</v>
      </c>
      <c r="EX236" s="72">
        <f t="shared" si="1431"/>
        <v>3.8175933976666556</v>
      </c>
      <c r="EY236" s="72"/>
      <c r="EZ236" s="309"/>
      <c r="FA236" s="72"/>
      <c r="FB236" s="101">
        <v>158</v>
      </c>
      <c r="FC236" s="72"/>
      <c r="FD236" s="101">
        <v>187</v>
      </c>
      <c r="FE236" s="72">
        <f t="shared" si="1432"/>
        <v>18.354430379746844</v>
      </c>
      <c r="FF236" s="101">
        <v>200</v>
      </c>
      <c r="FG236" s="72">
        <f t="shared" si="1433"/>
        <v>6.9518716577540118</v>
      </c>
      <c r="FH236" s="75">
        <f t="shared" si="1434"/>
        <v>224</v>
      </c>
      <c r="FI236" s="72">
        <f t="shared" si="1435"/>
        <v>12.000000000000014</v>
      </c>
      <c r="FJ236" s="75">
        <f t="shared" si="1436"/>
        <v>235</v>
      </c>
      <c r="FK236" s="72">
        <f t="shared" si="1437"/>
        <v>4.9107142857142776</v>
      </c>
      <c r="FL236" s="75">
        <f t="shared" si="1438"/>
        <v>216</v>
      </c>
      <c r="FM236" s="72">
        <f t="shared" si="1439"/>
        <v>-8.0851063829787222</v>
      </c>
      <c r="FN236" s="75">
        <f t="shared" si="1440"/>
        <v>210</v>
      </c>
      <c r="FO236" s="72">
        <f t="shared" si="1441"/>
        <v>-2.7777777777777857</v>
      </c>
      <c r="FP236" s="75">
        <f t="shared" si="1442"/>
        <v>201</v>
      </c>
      <c r="FQ236" s="72">
        <f t="shared" si="1443"/>
        <v>-4.2857142857142776</v>
      </c>
      <c r="FR236" s="100">
        <f t="shared" si="1444"/>
        <v>204</v>
      </c>
      <c r="FS236" s="72">
        <f t="shared" si="1445"/>
        <v>1.4925373134328339</v>
      </c>
      <c r="FT236" s="100">
        <f t="shared" si="1446"/>
        <v>240</v>
      </c>
      <c r="FU236" s="72">
        <f t="shared" si="1447"/>
        <v>17.64705882352942</v>
      </c>
      <c r="FV236" s="100">
        <f>BO236+BQ236+BS236+BU236</f>
        <v>232</v>
      </c>
      <c r="FW236" s="72">
        <f t="shared" si="1448"/>
        <v>-3.3333333333333286</v>
      </c>
      <c r="FX236" s="75">
        <f>BW236+BY236+CA236+CC236</f>
        <v>229</v>
      </c>
      <c r="FY236" s="72">
        <f t="shared" si="1448"/>
        <v>-1.2931034482758719</v>
      </c>
      <c r="FZ236" s="75">
        <f t="shared" si="1449"/>
        <v>227</v>
      </c>
      <c r="GA236" s="72">
        <f t="shared" si="1448"/>
        <v>-0.87336244541485542</v>
      </c>
      <c r="GB236" s="100">
        <f t="shared" si="1450"/>
        <v>228</v>
      </c>
      <c r="GC236" s="72">
        <f t="shared" si="1448"/>
        <v>0.44052863436124312</v>
      </c>
      <c r="GD236" s="100">
        <f t="shared" si="1451"/>
        <v>228</v>
      </c>
      <c r="GE236" s="72">
        <f t="shared" si="1448"/>
        <v>0</v>
      </c>
      <c r="GF236" s="100">
        <f t="shared" si="1452"/>
        <v>232</v>
      </c>
      <c r="GG236" s="72">
        <f t="shared" si="1448"/>
        <v>1.7543859649122879</v>
      </c>
      <c r="GH236" s="100">
        <f t="shared" si="1453"/>
        <v>248</v>
      </c>
      <c r="GI236" s="72">
        <f t="shared" si="1454"/>
        <v>6.8965517241379217</v>
      </c>
      <c r="GJ236" s="100">
        <f t="shared" si="1455"/>
        <v>257</v>
      </c>
      <c r="GK236" s="72">
        <f t="shared" si="1454"/>
        <v>3.6290322580645267</v>
      </c>
      <c r="GL236" s="100">
        <f t="shared" si="1456"/>
        <v>263</v>
      </c>
      <c r="GM236" s="72">
        <f t="shared" si="1454"/>
        <v>2.3346303501945442</v>
      </c>
      <c r="GN236" s="100">
        <f t="shared" si="1457"/>
        <v>274</v>
      </c>
      <c r="GO236" s="72">
        <f t="shared" si="1454"/>
        <v>4.1825095057034218</v>
      </c>
      <c r="GP236" s="100">
        <f t="shared" si="1458"/>
        <v>294.58339187831996</v>
      </c>
      <c r="GQ236" s="72">
        <f t="shared" si="1454"/>
        <v>7.5121868169050856</v>
      </c>
      <c r="GR236" s="100">
        <f>GR230*GR244/100</f>
        <v>306.36672755345279</v>
      </c>
      <c r="GS236" s="72">
        <f t="shared" si="1454"/>
        <v>4</v>
      </c>
      <c r="GT236" s="100">
        <f>GT230*GT244/100</f>
        <v>318.62139665559084</v>
      </c>
      <c r="GU236" s="72">
        <f t="shared" si="1454"/>
        <v>3.9999999999999858</v>
      </c>
      <c r="GV236" s="100">
        <f>GV230*GV244/100</f>
        <v>331.36625252181454</v>
      </c>
      <c r="GW236" s="72">
        <f t="shared" si="1459"/>
        <v>4.0000000000000284</v>
      </c>
      <c r="GX236" s="100">
        <f>GX230*GX244/100</f>
        <v>344.62090262268714</v>
      </c>
      <c r="GY236" s="72">
        <f t="shared" si="1460"/>
        <v>4</v>
      </c>
      <c r="GZ236" s="72">
        <f t="shared" si="1461"/>
        <v>4.6931363874820775</v>
      </c>
      <c r="HA236" s="72"/>
      <c r="HB236" s="72"/>
    </row>
    <row r="237" spans="1:217" ht="12.75" customHeight="1" x14ac:dyDescent="0.2">
      <c r="B237" s="77" t="s">
        <v>271</v>
      </c>
      <c r="C237" s="101">
        <f>FF237-I237-G237-E237</f>
        <v>0</v>
      </c>
      <c r="D237" s="72"/>
      <c r="E237" s="101">
        <v>0</v>
      </c>
      <c r="F237" s="72"/>
      <c r="G237" s="101">
        <v>0</v>
      </c>
      <c r="H237" s="72"/>
      <c r="I237" s="101">
        <v>-1</v>
      </c>
      <c r="J237" s="72"/>
      <c r="K237" s="101">
        <v>-3</v>
      </c>
      <c r="L237" s="72" t="str">
        <f t="shared" si="1379"/>
        <v>NA</v>
      </c>
      <c r="M237" s="101">
        <v>2</v>
      </c>
      <c r="N237" s="72" t="str">
        <f t="shared" si="1380"/>
        <v>NA</v>
      </c>
      <c r="O237" s="101">
        <v>0</v>
      </c>
      <c r="P237" s="72" t="str">
        <f t="shared" si="1381"/>
        <v>NA</v>
      </c>
      <c r="Q237" s="101">
        <v>-1</v>
      </c>
      <c r="R237" s="72">
        <f t="shared" si="1382"/>
        <v>0</v>
      </c>
      <c r="S237" s="101">
        <v>0</v>
      </c>
      <c r="T237" s="72" t="str">
        <f t="shared" si="1382"/>
        <v>NM</v>
      </c>
      <c r="U237" s="101">
        <v>-1</v>
      </c>
      <c r="V237" s="72" t="str">
        <f t="shared" si="1382"/>
        <v>NM</v>
      </c>
      <c r="W237" s="101">
        <v>0</v>
      </c>
      <c r="X237" s="72" t="str">
        <f t="shared" si="1382"/>
        <v>NA</v>
      </c>
      <c r="Y237" s="101">
        <v>-1</v>
      </c>
      <c r="Z237" s="72">
        <f t="shared" si="1382"/>
        <v>0</v>
      </c>
      <c r="AA237" s="101">
        <v>0</v>
      </c>
      <c r="AB237" s="72" t="str">
        <f t="shared" si="1382"/>
        <v>NA</v>
      </c>
      <c r="AC237" s="101">
        <v>0</v>
      </c>
      <c r="AD237" s="72" t="str">
        <f t="shared" si="1382"/>
        <v>NM</v>
      </c>
      <c r="AE237" s="101">
        <v>0</v>
      </c>
      <c r="AF237" s="72" t="str">
        <f t="shared" si="1382"/>
        <v>NA</v>
      </c>
      <c r="AG237" s="101">
        <v>0</v>
      </c>
      <c r="AH237" s="72" t="str">
        <f t="shared" si="1382"/>
        <v>NM</v>
      </c>
      <c r="AI237" s="101">
        <v>0</v>
      </c>
      <c r="AJ237" s="72" t="str">
        <f t="shared" si="1382"/>
        <v>NA</v>
      </c>
      <c r="AK237" s="101">
        <v>1</v>
      </c>
      <c r="AL237" s="72" t="str">
        <f t="shared" si="1382"/>
        <v>NA</v>
      </c>
      <c r="AM237" s="101">
        <v>3</v>
      </c>
      <c r="AN237" s="72" t="str">
        <f t="shared" si="1382"/>
        <v>NA</v>
      </c>
      <c r="AO237" s="101">
        <v>4</v>
      </c>
      <c r="AP237" s="72" t="str">
        <f t="shared" si="1382"/>
        <v>NA</v>
      </c>
      <c r="AQ237" s="101">
        <v>5</v>
      </c>
      <c r="AR237" s="72" t="str">
        <f t="shared" si="1383"/>
        <v>NA</v>
      </c>
      <c r="AS237" s="101">
        <v>4</v>
      </c>
      <c r="AT237" s="72" t="str">
        <f t="shared" si="1384"/>
        <v>NM</v>
      </c>
      <c r="AU237" s="101">
        <v>4</v>
      </c>
      <c r="AV237" s="72">
        <f t="shared" si="1385"/>
        <v>33.333333333333314</v>
      </c>
      <c r="AW237" s="101">
        <v>2</v>
      </c>
      <c r="AX237" s="72">
        <f t="shared" si="1386"/>
        <v>-50</v>
      </c>
      <c r="AY237" s="101">
        <v>3</v>
      </c>
      <c r="AZ237" s="72">
        <f t="shared" si="1387"/>
        <v>-40</v>
      </c>
      <c r="BA237" s="101">
        <v>0</v>
      </c>
      <c r="BB237" s="72" t="str">
        <f t="shared" si="1388"/>
        <v>NM</v>
      </c>
      <c r="BC237" s="101">
        <v>2</v>
      </c>
      <c r="BD237" s="72">
        <f t="shared" si="1389"/>
        <v>-50</v>
      </c>
      <c r="BE237" s="101">
        <v>2</v>
      </c>
      <c r="BF237" s="72">
        <f t="shared" si="1390"/>
        <v>0</v>
      </c>
      <c r="BG237" s="101">
        <v>2</v>
      </c>
      <c r="BH237" s="72">
        <f t="shared" si="1391"/>
        <v>-33.333333333333343</v>
      </c>
      <c r="BI237" s="101">
        <v>2</v>
      </c>
      <c r="BJ237" s="72" t="str">
        <f t="shared" si="1392"/>
        <v>NA</v>
      </c>
      <c r="BK237" s="101">
        <v>2</v>
      </c>
      <c r="BL237" s="72">
        <f t="shared" si="1393"/>
        <v>0</v>
      </c>
      <c r="BM237" s="101">
        <v>2</v>
      </c>
      <c r="BN237" s="72">
        <f t="shared" si="1394"/>
        <v>0</v>
      </c>
      <c r="BO237" s="101">
        <v>0</v>
      </c>
      <c r="BP237" s="72" t="str">
        <f t="shared" si="1395"/>
        <v>NM</v>
      </c>
      <c r="BQ237" s="101">
        <v>1</v>
      </c>
      <c r="BR237" s="72">
        <f t="shared" si="1396"/>
        <v>-50</v>
      </c>
      <c r="BS237" s="101">
        <v>0</v>
      </c>
      <c r="BT237" s="72" t="str">
        <f t="shared" si="1397"/>
        <v>NM</v>
      </c>
      <c r="BU237" s="101">
        <v>0</v>
      </c>
      <c r="BV237" s="72" t="str">
        <f t="shared" si="1398"/>
        <v>NM</v>
      </c>
      <c r="BW237" s="101">
        <v>0</v>
      </c>
      <c r="BX237" s="72" t="str">
        <f t="shared" si="1399"/>
        <v>NA</v>
      </c>
      <c r="BY237" s="101">
        <v>0</v>
      </c>
      <c r="BZ237" s="72" t="str">
        <f t="shared" si="1400"/>
        <v>NM</v>
      </c>
      <c r="CA237" s="101">
        <v>0</v>
      </c>
      <c r="CB237" s="72" t="str">
        <f t="shared" si="1401"/>
        <v>NA</v>
      </c>
      <c r="CC237" s="101">
        <v>0</v>
      </c>
      <c r="CD237" s="72" t="str">
        <f t="shared" si="1402"/>
        <v>NA</v>
      </c>
      <c r="CE237" s="101">
        <v>0</v>
      </c>
      <c r="CF237" s="72" t="str">
        <f t="shared" si="1403"/>
        <v>NA</v>
      </c>
      <c r="CG237" s="101">
        <v>0</v>
      </c>
      <c r="CH237" s="72" t="str">
        <f t="shared" si="1404"/>
        <v>NA</v>
      </c>
      <c r="CI237" s="101">
        <v>0</v>
      </c>
      <c r="CJ237" s="72" t="str">
        <f t="shared" si="1405"/>
        <v>NA</v>
      </c>
      <c r="CK237" s="101">
        <v>0</v>
      </c>
      <c r="CL237" s="72" t="str">
        <f t="shared" si="1405"/>
        <v>NA</v>
      </c>
      <c r="CM237" s="101">
        <v>0</v>
      </c>
      <c r="CN237" s="72" t="str">
        <f t="shared" si="1405"/>
        <v>NA</v>
      </c>
      <c r="CO237" s="101">
        <v>0</v>
      </c>
      <c r="CP237" s="72" t="str">
        <f t="shared" si="1405"/>
        <v>NA</v>
      </c>
      <c r="CQ237" s="101">
        <v>0</v>
      </c>
      <c r="CR237" s="72" t="str">
        <f t="shared" si="1405"/>
        <v>NA</v>
      </c>
      <c r="CS237" s="101">
        <v>0</v>
      </c>
      <c r="CT237" s="72" t="str">
        <f t="shared" si="1405"/>
        <v>NA</v>
      </c>
      <c r="CU237" s="101">
        <v>0</v>
      </c>
      <c r="CV237" s="72" t="str">
        <f t="shared" si="1406"/>
        <v>NA</v>
      </c>
      <c r="CW237" s="101">
        <v>2</v>
      </c>
      <c r="CX237" s="72" t="str">
        <f t="shared" si="1407"/>
        <v>NA</v>
      </c>
      <c r="CY237" s="101">
        <v>3</v>
      </c>
      <c r="CZ237" s="72" t="str">
        <f t="shared" si="1408"/>
        <v>NA</v>
      </c>
      <c r="DA237" s="101">
        <v>2</v>
      </c>
      <c r="DB237" s="72" t="str">
        <f t="shared" si="1409"/>
        <v>NA</v>
      </c>
      <c r="DC237" s="101">
        <v>2</v>
      </c>
      <c r="DD237" s="72" t="str">
        <f t="shared" si="1410"/>
        <v>NA</v>
      </c>
      <c r="DE237" s="101">
        <v>3</v>
      </c>
      <c r="DF237" s="72">
        <f t="shared" si="1411"/>
        <v>50</v>
      </c>
      <c r="DG237" s="101">
        <v>0</v>
      </c>
      <c r="DH237" s="72" t="str">
        <f t="shared" si="1412"/>
        <v>NM</v>
      </c>
      <c r="DI237" s="101">
        <v>2</v>
      </c>
      <c r="DJ237" s="72">
        <f t="shared" si="1413"/>
        <v>0</v>
      </c>
      <c r="DK237" s="101">
        <v>2</v>
      </c>
      <c r="DL237" s="72">
        <f t="shared" si="1414"/>
        <v>0</v>
      </c>
      <c r="DM237" s="101">
        <v>2</v>
      </c>
      <c r="DN237" s="72">
        <f t="shared" si="1415"/>
        <v>-33.333333333333343</v>
      </c>
      <c r="DO237" s="101">
        <v>3</v>
      </c>
      <c r="DP237" s="72" t="str">
        <f t="shared" si="1415"/>
        <v>NA</v>
      </c>
      <c r="DQ237" s="101">
        <v>2</v>
      </c>
      <c r="DR237" s="72">
        <f t="shared" si="1415"/>
        <v>0</v>
      </c>
      <c r="DS237" s="101">
        <v>2</v>
      </c>
      <c r="DT237" s="72">
        <f t="shared" si="1415"/>
        <v>0</v>
      </c>
      <c r="DU237" s="101">
        <v>3</v>
      </c>
      <c r="DV237" s="72">
        <f t="shared" si="1415"/>
        <v>50</v>
      </c>
      <c r="DW237" s="101">
        <v>2</v>
      </c>
      <c r="DX237" s="72">
        <f t="shared" si="1415"/>
        <v>-33.333333333333343</v>
      </c>
      <c r="DY237" s="101">
        <v>1</v>
      </c>
      <c r="DZ237" s="72">
        <f t="shared" si="1415"/>
        <v>-50</v>
      </c>
      <c r="EA237" s="101">
        <v>1</v>
      </c>
      <c r="EB237" s="72">
        <f t="shared" si="1416"/>
        <v>-50</v>
      </c>
      <c r="EC237" s="101">
        <v>1</v>
      </c>
      <c r="ED237" s="72" t="str">
        <f t="shared" si="1417"/>
        <v>NM</v>
      </c>
      <c r="EE237" s="101">
        <v>1</v>
      </c>
      <c r="EF237" s="72">
        <f t="shared" si="1418"/>
        <v>-50</v>
      </c>
      <c r="EG237" s="101">
        <v>2</v>
      </c>
      <c r="EH237" s="72">
        <f t="shared" si="1419"/>
        <v>100</v>
      </c>
      <c r="EI237" s="101">
        <v>1</v>
      </c>
      <c r="EJ237" s="72">
        <f t="shared" si="1420"/>
        <v>0</v>
      </c>
      <c r="EK237" s="101">
        <v>2</v>
      </c>
      <c r="EL237" s="72">
        <f t="shared" si="1421"/>
        <v>100</v>
      </c>
      <c r="EM237" s="101">
        <v>1</v>
      </c>
      <c r="EN237" s="72">
        <f t="shared" si="1422"/>
        <v>0</v>
      </c>
      <c r="EO237" s="101">
        <v>1</v>
      </c>
      <c r="EP237" s="72">
        <f t="shared" si="1423"/>
        <v>-50</v>
      </c>
      <c r="EQ237" s="100">
        <f t="shared" ref="EQ237" si="1466">EO237</f>
        <v>1</v>
      </c>
      <c r="ER237" s="72">
        <f t="shared" si="1425"/>
        <v>0</v>
      </c>
      <c r="ES237" s="100">
        <f t="shared" ref="ES237" si="1467">EQ237</f>
        <v>1</v>
      </c>
      <c r="ET237" s="72">
        <f t="shared" si="1427"/>
        <v>-50</v>
      </c>
      <c r="EU237" s="100">
        <f t="shared" ref="EU237" si="1468">ES237</f>
        <v>1</v>
      </c>
      <c r="EV237" s="72">
        <f t="shared" si="1429"/>
        <v>0</v>
      </c>
      <c r="EW237" s="100">
        <f t="shared" ref="EW237" si="1469">EU237</f>
        <v>1</v>
      </c>
      <c r="EX237" s="72">
        <f t="shared" si="1431"/>
        <v>0</v>
      </c>
      <c r="EY237" s="72"/>
      <c r="EZ237" s="307"/>
      <c r="FA237" s="72"/>
      <c r="FB237" s="101">
        <v>1</v>
      </c>
      <c r="FC237" s="87"/>
      <c r="FD237" s="101">
        <v>0</v>
      </c>
      <c r="FE237" s="72" t="str">
        <f t="shared" si="1432"/>
        <v>NM</v>
      </c>
      <c r="FF237" s="101">
        <v>-1</v>
      </c>
      <c r="FG237" s="72" t="str">
        <f t="shared" si="1433"/>
        <v>NA</v>
      </c>
      <c r="FH237" s="75">
        <f t="shared" si="1434"/>
        <v>-2</v>
      </c>
      <c r="FI237" s="72">
        <f t="shared" si="1435"/>
        <v>100</v>
      </c>
      <c r="FJ237" s="75">
        <f t="shared" si="1436"/>
        <v>-2</v>
      </c>
      <c r="FK237" s="72">
        <f t="shared" si="1437"/>
        <v>0</v>
      </c>
      <c r="FL237" s="75">
        <f t="shared" si="1438"/>
        <v>0</v>
      </c>
      <c r="FM237" s="72" t="str">
        <f t="shared" si="1439"/>
        <v>NM</v>
      </c>
      <c r="FN237" s="75">
        <f t="shared" si="1440"/>
        <v>8</v>
      </c>
      <c r="FO237" s="72" t="str">
        <f t="shared" si="1441"/>
        <v>NA</v>
      </c>
      <c r="FP237" s="75">
        <f t="shared" si="1442"/>
        <v>15</v>
      </c>
      <c r="FQ237" s="72">
        <f t="shared" si="1443"/>
        <v>87.5</v>
      </c>
      <c r="FR237" s="100">
        <f t="shared" si="1444"/>
        <v>7</v>
      </c>
      <c r="FS237" s="72" t="str">
        <f t="shared" si="1445"/>
        <v>NM</v>
      </c>
      <c r="FT237" s="100">
        <f t="shared" si="1446"/>
        <v>8</v>
      </c>
      <c r="FU237" s="72">
        <f t="shared" si="1447"/>
        <v>14.285714285714278</v>
      </c>
      <c r="FV237" s="100">
        <f>BO237+BQ237+BS237+BU237</f>
        <v>1</v>
      </c>
      <c r="FW237" s="72" t="str">
        <f t="shared" si="1448"/>
        <v>NM</v>
      </c>
      <c r="FX237" s="75">
        <f>BW237+BY237+CA237+CC237</f>
        <v>0</v>
      </c>
      <c r="FY237" s="72" t="str">
        <f t="shared" si="1448"/>
        <v>NM</v>
      </c>
      <c r="FZ237" s="75">
        <f t="shared" si="1449"/>
        <v>0</v>
      </c>
      <c r="GA237" s="72" t="str">
        <f t="shared" si="1448"/>
        <v>NA</v>
      </c>
      <c r="GB237" s="100">
        <f t="shared" si="1450"/>
        <v>0</v>
      </c>
      <c r="GC237" s="72" t="str">
        <f t="shared" si="1448"/>
        <v>NA</v>
      </c>
      <c r="GD237" s="100">
        <f t="shared" si="1451"/>
        <v>7</v>
      </c>
      <c r="GE237" s="72" t="str">
        <f t="shared" si="1448"/>
        <v>NA</v>
      </c>
      <c r="GF237" s="100">
        <f t="shared" si="1452"/>
        <v>7</v>
      </c>
      <c r="GG237" s="72">
        <f t="shared" si="1448"/>
        <v>0</v>
      </c>
      <c r="GH237" s="100">
        <f t="shared" si="1453"/>
        <v>9</v>
      </c>
      <c r="GI237" s="72">
        <f t="shared" si="1454"/>
        <v>28.571428571428584</v>
      </c>
      <c r="GJ237" s="100">
        <f t="shared" si="1455"/>
        <v>8</v>
      </c>
      <c r="GK237" s="72">
        <f t="shared" si="1454"/>
        <v>-11.111111111111114</v>
      </c>
      <c r="GL237" s="100">
        <f t="shared" si="1456"/>
        <v>5</v>
      </c>
      <c r="GM237" s="72">
        <f t="shared" si="1454"/>
        <v>-37.5</v>
      </c>
      <c r="GN237" s="100">
        <f t="shared" si="1457"/>
        <v>5</v>
      </c>
      <c r="GO237" s="72">
        <f t="shared" si="1454"/>
        <v>0</v>
      </c>
      <c r="GP237" s="100">
        <f t="shared" si="1458"/>
        <v>4</v>
      </c>
      <c r="GQ237" s="72">
        <f t="shared" si="1454"/>
        <v>-20</v>
      </c>
      <c r="GR237" s="100">
        <f>GP237</f>
        <v>4</v>
      </c>
      <c r="GS237" s="72">
        <f t="shared" si="1454"/>
        <v>0</v>
      </c>
      <c r="GT237" s="100">
        <f>GR237</f>
        <v>4</v>
      </c>
      <c r="GU237" s="72">
        <f t="shared" si="1454"/>
        <v>0</v>
      </c>
      <c r="GV237" s="100">
        <f>GT237</f>
        <v>4</v>
      </c>
      <c r="GW237" s="72">
        <f t="shared" si="1459"/>
        <v>0</v>
      </c>
      <c r="GX237" s="100">
        <f>GV237</f>
        <v>4</v>
      </c>
      <c r="GY237" s="72">
        <f t="shared" si="1460"/>
        <v>0</v>
      </c>
      <c r="GZ237" s="72">
        <f t="shared" si="1461"/>
        <v>-4.3647500209962997</v>
      </c>
      <c r="HA237" s="72"/>
      <c r="HB237" s="72"/>
    </row>
    <row r="238" spans="1:217" ht="12.75" customHeight="1" x14ac:dyDescent="0.2">
      <c r="B238" s="77" t="s">
        <v>404</v>
      </c>
      <c r="C238" s="101">
        <f>FF238-I238-G238-E238</f>
        <v>95</v>
      </c>
      <c r="D238" s="72"/>
      <c r="E238" s="101">
        <v>106</v>
      </c>
      <c r="F238" s="72"/>
      <c r="G238" s="101">
        <v>107</v>
      </c>
      <c r="H238" s="72"/>
      <c r="I238" s="101">
        <v>104</v>
      </c>
      <c r="J238" s="72"/>
      <c r="K238" s="101">
        <v>112</v>
      </c>
      <c r="L238" s="72">
        <f t="shared" si="1379"/>
        <v>17.894736842105246</v>
      </c>
      <c r="M238" s="101">
        <v>113</v>
      </c>
      <c r="N238" s="72">
        <f t="shared" si="1380"/>
        <v>6.6037735849056673</v>
      </c>
      <c r="O238" s="101">
        <v>114</v>
      </c>
      <c r="P238" s="72">
        <f t="shared" si="1381"/>
        <v>6.5420560747663501</v>
      </c>
      <c r="Q238" s="101">
        <v>141</v>
      </c>
      <c r="R238" s="72">
        <f t="shared" si="1382"/>
        <v>35.576923076923094</v>
      </c>
      <c r="S238" s="101">
        <v>130</v>
      </c>
      <c r="T238" s="72">
        <f t="shared" si="1382"/>
        <v>16.071428571428584</v>
      </c>
      <c r="U238" s="101">
        <v>129</v>
      </c>
      <c r="V238" s="72">
        <f t="shared" si="1382"/>
        <v>14.159292035398224</v>
      </c>
      <c r="W238" s="101">
        <v>124</v>
      </c>
      <c r="X238" s="72">
        <f t="shared" si="1382"/>
        <v>8.7719298245614112</v>
      </c>
      <c r="Y238" s="101">
        <v>139</v>
      </c>
      <c r="Z238" s="72">
        <f t="shared" si="1382"/>
        <v>-1.418439716312065</v>
      </c>
      <c r="AA238" s="101">
        <v>134</v>
      </c>
      <c r="AB238" s="72">
        <f t="shared" si="1382"/>
        <v>3.076923076923066</v>
      </c>
      <c r="AC238" s="101">
        <v>133</v>
      </c>
      <c r="AD238" s="72">
        <f t="shared" si="1382"/>
        <v>3.1007751937984551</v>
      </c>
      <c r="AE238" s="101">
        <v>134</v>
      </c>
      <c r="AF238" s="72">
        <f t="shared" si="1382"/>
        <v>8.0645161290322562</v>
      </c>
      <c r="AG238" s="101">
        <v>136</v>
      </c>
      <c r="AH238" s="72">
        <f t="shared" si="1382"/>
        <v>-2.1582733812949613</v>
      </c>
      <c r="AI238" s="101">
        <v>138</v>
      </c>
      <c r="AJ238" s="72">
        <f t="shared" si="1382"/>
        <v>2.985074626865682</v>
      </c>
      <c r="AK238" s="101">
        <v>143</v>
      </c>
      <c r="AL238" s="72">
        <f t="shared" si="1382"/>
        <v>7.5187969924812137</v>
      </c>
      <c r="AM238" s="101">
        <v>143</v>
      </c>
      <c r="AN238" s="72">
        <f t="shared" si="1382"/>
        <v>6.7164179104477739</v>
      </c>
      <c r="AO238" s="101">
        <v>169</v>
      </c>
      <c r="AP238" s="72">
        <f t="shared" si="1382"/>
        <v>24.264705882352942</v>
      </c>
      <c r="AQ238" s="101">
        <v>138</v>
      </c>
      <c r="AR238" s="72">
        <f t="shared" si="1383"/>
        <v>0</v>
      </c>
      <c r="AS238" s="101">
        <v>177</v>
      </c>
      <c r="AT238" s="72">
        <f t="shared" si="1384"/>
        <v>23.776223776223773</v>
      </c>
      <c r="AU238" s="101">
        <v>149</v>
      </c>
      <c r="AV238" s="72">
        <f t="shared" si="1385"/>
        <v>4.1958041958041861</v>
      </c>
      <c r="AW238" s="101">
        <v>141</v>
      </c>
      <c r="AX238" s="72">
        <f t="shared" si="1386"/>
        <v>-16.568047337278102</v>
      </c>
      <c r="AY238" s="101">
        <v>207</v>
      </c>
      <c r="AZ238" s="72">
        <f t="shared" si="1387"/>
        <v>50</v>
      </c>
      <c r="BA238" s="101">
        <v>158</v>
      </c>
      <c r="BB238" s="72">
        <f t="shared" si="1388"/>
        <v>-10.734463276836152</v>
      </c>
      <c r="BC238" s="101">
        <v>164</v>
      </c>
      <c r="BD238" s="72">
        <f t="shared" si="1389"/>
        <v>10.067114093959731</v>
      </c>
      <c r="BE238" s="101">
        <v>203</v>
      </c>
      <c r="BF238" s="72">
        <f t="shared" si="1390"/>
        <v>43.971631205673759</v>
      </c>
      <c r="BG238" s="101">
        <v>170</v>
      </c>
      <c r="BH238" s="72">
        <f t="shared" si="1391"/>
        <v>-17.874396135265698</v>
      </c>
      <c r="BI238" s="101">
        <v>165</v>
      </c>
      <c r="BJ238" s="72">
        <f t="shared" si="1392"/>
        <v>4.4303797468354418</v>
      </c>
      <c r="BK238" s="101">
        <v>179</v>
      </c>
      <c r="BL238" s="72">
        <f t="shared" si="1393"/>
        <v>9.1463414634146432</v>
      </c>
      <c r="BM238" s="101">
        <v>165</v>
      </c>
      <c r="BN238" s="72">
        <f t="shared" si="1394"/>
        <v>-18.7192118226601</v>
      </c>
      <c r="BO238" s="101">
        <v>168</v>
      </c>
      <c r="BP238" s="72">
        <f t="shared" si="1395"/>
        <v>-1.1764705882352899</v>
      </c>
      <c r="BQ238" s="101">
        <v>167</v>
      </c>
      <c r="BR238" s="72">
        <f t="shared" si="1396"/>
        <v>1.2121212121212182</v>
      </c>
      <c r="BS238" s="101">
        <v>172</v>
      </c>
      <c r="BT238" s="72">
        <f t="shared" si="1397"/>
        <v>-3.910614525139664</v>
      </c>
      <c r="BU238" s="101">
        <v>173</v>
      </c>
      <c r="BV238" s="72">
        <f t="shared" si="1398"/>
        <v>4.8484848484848584</v>
      </c>
      <c r="BW238" s="101">
        <v>181</v>
      </c>
      <c r="BX238" s="72">
        <f t="shared" si="1399"/>
        <v>7.7380952380952266</v>
      </c>
      <c r="BY238" s="101">
        <v>175</v>
      </c>
      <c r="BZ238" s="72">
        <f t="shared" si="1400"/>
        <v>4.7904191616766383</v>
      </c>
      <c r="CA238" s="101">
        <v>192</v>
      </c>
      <c r="CB238" s="72">
        <f t="shared" si="1401"/>
        <v>11.627906976744185</v>
      </c>
      <c r="CC238" s="101">
        <v>185</v>
      </c>
      <c r="CD238" s="72">
        <f t="shared" si="1402"/>
        <v>6.9364161849710939</v>
      </c>
      <c r="CE238" s="101">
        <v>193</v>
      </c>
      <c r="CF238" s="72">
        <f t="shared" si="1403"/>
        <v>6.6298342541436455</v>
      </c>
      <c r="CG238" s="101">
        <v>198</v>
      </c>
      <c r="CH238" s="72">
        <f t="shared" si="1404"/>
        <v>13.142857142857139</v>
      </c>
      <c r="CI238" s="101">
        <v>192</v>
      </c>
      <c r="CJ238" s="72">
        <f t="shared" si="1405"/>
        <v>0</v>
      </c>
      <c r="CK238" s="101">
        <v>196</v>
      </c>
      <c r="CL238" s="72">
        <f t="shared" si="1405"/>
        <v>5.9459459459459509</v>
      </c>
      <c r="CM238" s="101">
        <v>203</v>
      </c>
      <c r="CN238" s="72">
        <f t="shared" si="1405"/>
        <v>5.1813471502590573</v>
      </c>
      <c r="CO238" s="101">
        <v>205</v>
      </c>
      <c r="CP238" s="72">
        <f t="shared" si="1405"/>
        <v>3.5353535353535221</v>
      </c>
      <c r="CQ238" s="101">
        <v>187</v>
      </c>
      <c r="CR238" s="72">
        <f t="shared" si="1405"/>
        <v>-2.6041666666666572</v>
      </c>
      <c r="CS238" s="101">
        <v>191</v>
      </c>
      <c r="CT238" s="72">
        <f t="shared" si="1405"/>
        <v>-2.5510204081632679</v>
      </c>
      <c r="CU238" s="101">
        <v>195</v>
      </c>
      <c r="CV238" s="72">
        <f t="shared" si="1406"/>
        <v>-3.9408866995073879</v>
      </c>
      <c r="CW238" s="101">
        <v>196</v>
      </c>
      <c r="CX238" s="72">
        <f t="shared" si="1407"/>
        <v>-4.3902439024390247</v>
      </c>
      <c r="CY238" s="101">
        <v>191</v>
      </c>
      <c r="CZ238" s="72">
        <f t="shared" si="1408"/>
        <v>2.1390374331550959</v>
      </c>
      <c r="DA238" s="101">
        <v>290</v>
      </c>
      <c r="DB238" s="72">
        <f t="shared" si="1409"/>
        <v>51.832460732984288</v>
      </c>
      <c r="DC238" s="101">
        <v>195</v>
      </c>
      <c r="DD238" s="72">
        <f t="shared" si="1410"/>
        <v>0</v>
      </c>
      <c r="DE238" s="101">
        <v>201</v>
      </c>
      <c r="DF238" s="72">
        <f t="shared" si="1411"/>
        <v>2.5510204081632679</v>
      </c>
      <c r="DG238" s="101">
        <v>208</v>
      </c>
      <c r="DH238" s="72">
        <f t="shared" si="1412"/>
        <v>8.9005235602094217</v>
      </c>
      <c r="DI238" s="101">
        <v>220</v>
      </c>
      <c r="DJ238" s="72">
        <f t="shared" si="1413"/>
        <v>-24.137931034482762</v>
      </c>
      <c r="DK238" s="101">
        <v>217</v>
      </c>
      <c r="DL238" s="72">
        <f t="shared" si="1414"/>
        <v>11.282051282051285</v>
      </c>
      <c r="DM238" s="101">
        <v>202</v>
      </c>
      <c r="DN238" s="72">
        <f t="shared" si="1415"/>
        <v>0.49751243781095411</v>
      </c>
      <c r="DO238" s="101">
        <v>211</v>
      </c>
      <c r="DP238" s="72">
        <f t="shared" si="1415"/>
        <v>1.4423076923076934</v>
      </c>
      <c r="DQ238" s="101">
        <v>226</v>
      </c>
      <c r="DR238" s="72">
        <f t="shared" si="1415"/>
        <v>2.7272727272727337</v>
      </c>
      <c r="DS238" s="101">
        <v>205</v>
      </c>
      <c r="DT238" s="72">
        <f t="shared" si="1415"/>
        <v>-5.5299539170506904</v>
      </c>
      <c r="DU238" s="101">
        <v>213</v>
      </c>
      <c r="DV238" s="72">
        <f t="shared" si="1415"/>
        <v>5.4455445544554522</v>
      </c>
      <c r="DW238" s="101">
        <v>202</v>
      </c>
      <c r="DX238" s="72">
        <f t="shared" si="1415"/>
        <v>-4.2654028436018905</v>
      </c>
      <c r="DY238" s="101">
        <v>218</v>
      </c>
      <c r="DZ238" s="72">
        <f t="shared" si="1415"/>
        <v>-3.5398230088495666</v>
      </c>
      <c r="EA238" s="101">
        <v>209</v>
      </c>
      <c r="EB238" s="72">
        <f t="shared" si="1416"/>
        <v>1.9512195121951237</v>
      </c>
      <c r="EC238" s="101">
        <v>207</v>
      </c>
      <c r="ED238" s="72">
        <f t="shared" si="1417"/>
        <v>-2.816901408450704</v>
      </c>
      <c r="EE238" s="101">
        <v>200</v>
      </c>
      <c r="EF238" s="72">
        <f t="shared" si="1418"/>
        <v>-0.99009900990098743</v>
      </c>
      <c r="EG238" s="101">
        <v>201</v>
      </c>
      <c r="EH238" s="72">
        <f t="shared" si="1419"/>
        <v>-7.7981651376146743</v>
      </c>
      <c r="EI238" s="101">
        <v>215</v>
      </c>
      <c r="EJ238" s="72">
        <f t="shared" si="1420"/>
        <v>2.8708133971291829</v>
      </c>
      <c r="EK238" s="101">
        <v>203</v>
      </c>
      <c r="EL238" s="72">
        <f t="shared" si="1421"/>
        <v>-1.9323671497584485</v>
      </c>
      <c r="EM238" s="101">
        <v>210</v>
      </c>
      <c r="EN238" s="72">
        <f t="shared" si="1422"/>
        <v>5</v>
      </c>
      <c r="EO238" s="101">
        <v>224</v>
      </c>
      <c r="EP238" s="72">
        <f t="shared" si="1423"/>
        <v>11.442786069651746</v>
      </c>
      <c r="EQ238" s="100">
        <f t="shared" ref="EQ238" si="1470">EQ232*EQ245/100</f>
        <v>210.62439000000006</v>
      </c>
      <c r="ER238" s="72">
        <f t="shared" si="1425"/>
        <v>-2.0351674418604375</v>
      </c>
      <c r="ES238" s="100">
        <f t="shared" ref="ES238" si="1471">ES232*ES245/100</f>
        <v>212.73063390000004</v>
      </c>
      <c r="ET238" s="72">
        <f t="shared" si="1427"/>
        <v>4.7934157142857288</v>
      </c>
      <c r="EU238" s="100">
        <f t="shared" ref="EU238" si="1472">EU232*EU245/100</f>
        <v>214.85794023900002</v>
      </c>
      <c r="EV238" s="72">
        <f t="shared" si="1429"/>
        <v>2.3133048757142802</v>
      </c>
      <c r="EW238" s="100">
        <f t="shared" ref="EW238" si="1473">EW232*EW245/100</f>
        <v>232.60829556331996</v>
      </c>
      <c r="EX238" s="72">
        <f t="shared" si="1431"/>
        <v>3.8429890907678299</v>
      </c>
      <c r="EY238" s="72"/>
      <c r="EZ238" s="309"/>
      <c r="FA238" s="72"/>
      <c r="FB238" s="101">
        <v>298</v>
      </c>
      <c r="FC238" s="72"/>
      <c r="FD238" s="101">
        <v>356</v>
      </c>
      <c r="FE238" s="72">
        <f t="shared" si="1432"/>
        <v>19.463087248322154</v>
      </c>
      <c r="FF238" s="101">
        <v>412</v>
      </c>
      <c r="FG238" s="72">
        <f t="shared" si="1433"/>
        <v>15.730337078651672</v>
      </c>
      <c r="FH238" s="75">
        <f t="shared" si="1434"/>
        <v>480</v>
      </c>
      <c r="FI238" s="72">
        <f t="shared" si="1435"/>
        <v>16.50485436893203</v>
      </c>
      <c r="FJ238" s="75">
        <f t="shared" si="1436"/>
        <v>522</v>
      </c>
      <c r="FK238" s="72">
        <f t="shared" si="1437"/>
        <v>8.7499999999999858</v>
      </c>
      <c r="FL238" s="75">
        <f t="shared" si="1438"/>
        <v>537</v>
      </c>
      <c r="FM238" s="72">
        <f t="shared" si="1439"/>
        <v>2.8735632183908137</v>
      </c>
      <c r="FN238" s="75">
        <f t="shared" si="1440"/>
        <v>593</v>
      </c>
      <c r="FO238" s="72">
        <f t="shared" si="1441"/>
        <v>10.428305400372423</v>
      </c>
      <c r="FP238" s="75">
        <f t="shared" si="1442"/>
        <v>605</v>
      </c>
      <c r="FQ238" s="72">
        <f t="shared" si="1443"/>
        <v>2.0236087689713429</v>
      </c>
      <c r="FR238" s="100">
        <f t="shared" si="1444"/>
        <v>732</v>
      </c>
      <c r="FS238" s="72">
        <f t="shared" si="1445"/>
        <v>20.991735537190095</v>
      </c>
      <c r="FT238" s="100">
        <f t="shared" si="1446"/>
        <v>679</v>
      </c>
      <c r="FU238" s="72">
        <f t="shared" si="1447"/>
        <v>-7.2404371584699447</v>
      </c>
      <c r="FV238" s="100">
        <f>BO238+BQ238+BS238+BU238</f>
        <v>680</v>
      </c>
      <c r="FW238" s="72">
        <f t="shared" si="1448"/>
        <v>0.14727540500736325</v>
      </c>
      <c r="FX238" s="75">
        <f>BW238+BY238+CA238+CC238</f>
        <v>733</v>
      </c>
      <c r="FY238" s="72">
        <f t="shared" si="1448"/>
        <v>7.7941176470588118</v>
      </c>
      <c r="FZ238" s="75">
        <f t="shared" si="1449"/>
        <v>779</v>
      </c>
      <c r="GA238" s="72">
        <f t="shared" si="1448"/>
        <v>6.2755798090040855</v>
      </c>
      <c r="GB238" s="100">
        <f t="shared" si="1450"/>
        <v>786</v>
      </c>
      <c r="GC238" s="72">
        <f t="shared" si="1448"/>
        <v>0.89858793324775377</v>
      </c>
      <c r="GD238" s="100">
        <f t="shared" si="1451"/>
        <v>872</v>
      </c>
      <c r="GE238" s="72">
        <f t="shared" si="1448"/>
        <v>10.94147582697201</v>
      </c>
      <c r="GF238" s="100">
        <f t="shared" si="1452"/>
        <v>824</v>
      </c>
      <c r="GG238" s="72">
        <f t="shared" si="1448"/>
        <v>-5.5045871559633071</v>
      </c>
      <c r="GH238" s="100">
        <f t="shared" si="1453"/>
        <v>856</v>
      </c>
      <c r="GI238" s="72">
        <f t="shared" si="1454"/>
        <v>3.8834951456310591</v>
      </c>
      <c r="GJ238" s="100">
        <f t="shared" si="1455"/>
        <v>838</v>
      </c>
      <c r="GK238" s="72">
        <f t="shared" si="1454"/>
        <v>-2.1028037383177605</v>
      </c>
      <c r="GL238" s="100">
        <f t="shared" si="1456"/>
        <v>817</v>
      </c>
      <c r="GM238" s="72">
        <f t="shared" si="1454"/>
        <v>-2.5059665871121695</v>
      </c>
      <c r="GN238" s="100">
        <f t="shared" si="1457"/>
        <v>852</v>
      </c>
      <c r="GO238" s="72">
        <f t="shared" si="1454"/>
        <v>4.2839657282741683</v>
      </c>
      <c r="GP238" s="100">
        <f t="shared" si="1458"/>
        <v>870.82125970232016</v>
      </c>
      <c r="GQ238" s="72">
        <f t="shared" si="1454"/>
        <v>2.2090680401784226</v>
      </c>
      <c r="GR238" s="100">
        <f>GR232*GR245/100</f>
        <v>907.43025323199208</v>
      </c>
      <c r="GS238" s="72">
        <f t="shared" si="1454"/>
        <v>4.2039618488628037</v>
      </c>
      <c r="GT238" s="100">
        <f>GT232*GT245/100</f>
        <v>945.61017509134558</v>
      </c>
      <c r="GU238" s="72">
        <f t="shared" si="1454"/>
        <v>4.2074772935295215</v>
      </c>
      <c r="GV238" s="100">
        <f>GV232*GV245/100</f>
        <v>985.43025652887798</v>
      </c>
      <c r="GW238" s="72">
        <f t="shared" si="1459"/>
        <v>4.2110462097857351</v>
      </c>
      <c r="GX238" s="100">
        <f>GX232*GX245/100</f>
        <v>1026.962881689944</v>
      </c>
      <c r="GY238" s="72">
        <f t="shared" si="1460"/>
        <v>4.2146691646512124</v>
      </c>
      <c r="GZ238" s="72">
        <f t="shared" si="1461"/>
        <v>3.8061371750650386</v>
      </c>
      <c r="HA238" s="72"/>
      <c r="HB238" s="72"/>
    </row>
    <row r="239" spans="1:217" s="102" customFormat="1" ht="12.75" customHeight="1" x14ac:dyDescent="0.2">
      <c r="B239" s="3" t="s">
        <v>625</v>
      </c>
      <c r="C239" s="74">
        <v>-2</v>
      </c>
      <c r="D239" s="72"/>
      <c r="E239" s="74">
        <v>-3</v>
      </c>
      <c r="F239" s="72"/>
      <c r="G239" s="74">
        <v>-3</v>
      </c>
      <c r="H239" s="72"/>
      <c r="I239" s="74">
        <v>-2</v>
      </c>
      <c r="J239" s="72"/>
      <c r="K239" s="74">
        <v>-3</v>
      </c>
      <c r="L239" s="72">
        <f t="shared" si="1379"/>
        <v>50</v>
      </c>
      <c r="M239" s="74">
        <v>-3</v>
      </c>
      <c r="N239" s="72">
        <f t="shared" si="1380"/>
        <v>0</v>
      </c>
      <c r="O239" s="74">
        <v>-4</v>
      </c>
      <c r="P239" s="72">
        <f t="shared" si="1381"/>
        <v>33.333333333333314</v>
      </c>
      <c r="Q239" s="74">
        <v>-4</v>
      </c>
      <c r="R239" s="72">
        <f t="shared" si="1382"/>
        <v>100</v>
      </c>
      <c r="S239" s="74">
        <v>-5</v>
      </c>
      <c r="T239" s="72">
        <f t="shared" si="1382"/>
        <v>66.666666666666686</v>
      </c>
      <c r="U239" s="74">
        <v>-8</v>
      </c>
      <c r="V239" s="72" t="str">
        <f t="shared" si="1382"/>
        <v>NM</v>
      </c>
      <c r="W239" s="74">
        <v>-6</v>
      </c>
      <c r="X239" s="72">
        <f t="shared" si="1382"/>
        <v>50</v>
      </c>
      <c r="Y239" s="74">
        <v>-12</v>
      </c>
      <c r="Z239" s="72" t="str">
        <f t="shared" si="1382"/>
        <v>NM</v>
      </c>
      <c r="AA239" s="74">
        <v>-7</v>
      </c>
      <c r="AB239" s="72">
        <f t="shared" si="1382"/>
        <v>40</v>
      </c>
      <c r="AC239" s="74">
        <v>-10</v>
      </c>
      <c r="AD239" s="72">
        <f t="shared" si="1382"/>
        <v>25</v>
      </c>
      <c r="AE239" s="74">
        <v>-7</v>
      </c>
      <c r="AF239" s="72">
        <f t="shared" si="1382"/>
        <v>16.666666666666671</v>
      </c>
      <c r="AG239" s="74">
        <v>-7</v>
      </c>
      <c r="AH239" s="72">
        <f t="shared" si="1382"/>
        <v>-41.666666666666664</v>
      </c>
      <c r="AI239" s="74">
        <v>-6</v>
      </c>
      <c r="AJ239" s="72">
        <f t="shared" si="1382"/>
        <v>-14.285714285714292</v>
      </c>
      <c r="AK239" s="74">
        <f>-8+1</f>
        <v>-7</v>
      </c>
      <c r="AL239" s="72">
        <f t="shared" si="1382"/>
        <v>-30</v>
      </c>
      <c r="AM239" s="74">
        <f>-6+1</f>
        <v>-5</v>
      </c>
      <c r="AN239" s="72">
        <f t="shared" si="1382"/>
        <v>-28.571428571428569</v>
      </c>
      <c r="AO239" s="74">
        <f>1-6</f>
        <v>-5</v>
      </c>
      <c r="AP239" s="72">
        <f t="shared" si="1382"/>
        <v>-28.571428571428569</v>
      </c>
      <c r="AQ239" s="74">
        <f>1-8</f>
        <v>-7</v>
      </c>
      <c r="AR239" s="72">
        <f t="shared" si="1383"/>
        <v>16.666666666666671</v>
      </c>
      <c r="AS239" s="74">
        <f>1-38</f>
        <v>-37</v>
      </c>
      <c r="AT239" s="72" t="str">
        <f t="shared" si="1384"/>
        <v>NM</v>
      </c>
      <c r="AU239" s="74">
        <f>1-15</f>
        <v>-14</v>
      </c>
      <c r="AV239" s="72" t="str">
        <f t="shared" si="1385"/>
        <v>NM</v>
      </c>
      <c r="AW239" s="74">
        <v>-1</v>
      </c>
      <c r="AX239" s="72" t="str">
        <f t="shared" si="1386"/>
        <v>NM</v>
      </c>
      <c r="AY239" s="74">
        <v>-57</v>
      </c>
      <c r="AZ239" s="72" t="str">
        <f t="shared" si="1387"/>
        <v>NM</v>
      </c>
      <c r="BA239" s="74">
        <v>-12</v>
      </c>
      <c r="BB239" s="72" t="str">
        <f t="shared" si="1388"/>
        <v>NM</v>
      </c>
      <c r="BC239" s="74">
        <f>-13+1</f>
        <v>-12</v>
      </c>
      <c r="BD239" s="72">
        <f t="shared" si="1389"/>
        <v>-14.285714285714292</v>
      </c>
      <c r="BE239" s="74">
        <f>-34+1</f>
        <v>-33</v>
      </c>
      <c r="BF239" s="72" t="str">
        <f t="shared" si="1390"/>
        <v>NM</v>
      </c>
      <c r="BG239" s="74">
        <f>-13+1</f>
        <v>-12</v>
      </c>
      <c r="BH239" s="72" t="str">
        <f t="shared" si="1391"/>
        <v>NM</v>
      </c>
      <c r="BI239" s="74">
        <f>-4+1</f>
        <v>-3</v>
      </c>
      <c r="BJ239" s="72" t="str">
        <f t="shared" si="1392"/>
        <v>NM</v>
      </c>
      <c r="BK239" s="74">
        <f>-17+3</f>
        <v>-14</v>
      </c>
      <c r="BL239" s="72">
        <f t="shared" si="1393"/>
        <v>16.666666666666671</v>
      </c>
      <c r="BM239" s="74">
        <f>-12+4</f>
        <v>-8</v>
      </c>
      <c r="BN239" s="72" t="str">
        <f t="shared" si="1394"/>
        <v>NM</v>
      </c>
      <c r="BO239" s="74">
        <f>-9+4</f>
        <v>-5</v>
      </c>
      <c r="BP239" s="72" t="str">
        <f t="shared" si="1395"/>
        <v>NM</v>
      </c>
      <c r="BQ239" s="74">
        <f>-9+4</f>
        <v>-5</v>
      </c>
      <c r="BR239" s="72">
        <f t="shared" si="1396"/>
        <v>66.666666666666686</v>
      </c>
      <c r="BS239" s="74">
        <f>-10+3</f>
        <v>-7</v>
      </c>
      <c r="BT239" s="72">
        <f t="shared" si="1397"/>
        <v>-50</v>
      </c>
      <c r="BU239" s="74">
        <f>-13+4</f>
        <v>-9</v>
      </c>
      <c r="BV239" s="72">
        <f t="shared" si="1398"/>
        <v>12.5</v>
      </c>
      <c r="BW239" s="74">
        <f>-10+8</f>
        <v>-2</v>
      </c>
      <c r="BX239" s="72" t="str">
        <f t="shared" si="1399"/>
        <v>NM</v>
      </c>
      <c r="BY239" s="74">
        <f>-8+5</f>
        <v>-3</v>
      </c>
      <c r="BZ239" s="72">
        <f t="shared" si="1400"/>
        <v>-40</v>
      </c>
      <c r="CA239" s="74">
        <f>-19+4</f>
        <v>-15</v>
      </c>
      <c r="CB239" s="72" t="str">
        <f t="shared" si="1401"/>
        <v>NM</v>
      </c>
      <c r="CC239" s="74">
        <f>-9+5</f>
        <v>-4</v>
      </c>
      <c r="CD239" s="72" t="str">
        <f t="shared" si="1402"/>
        <v>NM</v>
      </c>
      <c r="CE239" s="74">
        <f>-10+5</f>
        <v>-5</v>
      </c>
      <c r="CF239" s="72" t="str">
        <f t="shared" si="1403"/>
        <v>NM</v>
      </c>
      <c r="CG239" s="74">
        <f>-10+4</f>
        <v>-6</v>
      </c>
      <c r="CH239" s="72">
        <f t="shared" si="1404"/>
        <v>100</v>
      </c>
      <c r="CI239" s="74">
        <f>-11+5</f>
        <v>-6</v>
      </c>
      <c r="CJ239" s="72" t="str">
        <f t="shared" si="1405"/>
        <v>NM</v>
      </c>
      <c r="CK239" s="74">
        <f>-9+8</f>
        <v>-1</v>
      </c>
      <c r="CL239" s="72" t="str">
        <f t="shared" si="1405"/>
        <v>NM</v>
      </c>
      <c r="CM239" s="74">
        <f>-12+6</f>
        <v>-6</v>
      </c>
      <c r="CN239" s="72">
        <f t="shared" si="1405"/>
        <v>20</v>
      </c>
      <c r="CO239" s="74">
        <f>-14+5</f>
        <v>-9</v>
      </c>
      <c r="CP239" s="72">
        <f t="shared" si="1405"/>
        <v>50</v>
      </c>
      <c r="CQ239" s="74">
        <v>2</v>
      </c>
      <c r="CR239" s="72" t="str">
        <f t="shared" si="1405"/>
        <v>NM</v>
      </c>
      <c r="CS239" s="74">
        <v>2</v>
      </c>
      <c r="CT239" s="72" t="str">
        <f t="shared" si="1405"/>
        <v>NM</v>
      </c>
      <c r="CU239" s="74">
        <v>1</v>
      </c>
      <c r="CV239" s="72" t="str">
        <f t="shared" si="1406"/>
        <v>NM</v>
      </c>
      <c r="CW239" s="74">
        <f>0+1</f>
        <v>1</v>
      </c>
      <c r="CX239" s="72" t="str">
        <f t="shared" si="1407"/>
        <v>NM</v>
      </c>
      <c r="CY239" s="74">
        <v>1</v>
      </c>
      <c r="CZ239" s="72">
        <f t="shared" si="1408"/>
        <v>-50</v>
      </c>
      <c r="DA239" s="74">
        <f>-55+2</f>
        <v>-53</v>
      </c>
      <c r="DB239" s="72" t="str">
        <f t="shared" si="1409"/>
        <v>NM</v>
      </c>
      <c r="DC239" s="74">
        <v>2</v>
      </c>
      <c r="DD239" s="72">
        <f t="shared" si="1410"/>
        <v>100</v>
      </c>
      <c r="DE239" s="74">
        <f>3+2</f>
        <v>5</v>
      </c>
      <c r="DF239" s="72" t="str">
        <f t="shared" si="1411"/>
        <v>NM</v>
      </c>
      <c r="DG239" s="74">
        <f>-4+2</f>
        <v>-2</v>
      </c>
      <c r="DH239" s="72" t="str">
        <f t="shared" si="1412"/>
        <v>NM</v>
      </c>
      <c r="DI239" s="74">
        <f>-9+3</f>
        <v>-6</v>
      </c>
      <c r="DJ239" s="72" t="str">
        <f t="shared" si="1413"/>
        <v>NM</v>
      </c>
      <c r="DK239" s="74">
        <v>3</v>
      </c>
      <c r="DL239" s="72">
        <f t="shared" si="1414"/>
        <v>50</v>
      </c>
      <c r="DM239" s="74">
        <v>2</v>
      </c>
      <c r="DN239" s="72" t="str">
        <f t="shared" si="1415"/>
        <v>NM</v>
      </c>
      <c r="DO239" s="74">
        <v>2</v>
      </c>
      <c r="DP239" s="72" t="str">
        <f t="shared" si="1415"/>
        <v>NM</v>
      </c>
      <c r="DQ239" s="74">
        <f>-2+1</f>
        <v>-1</v>
      </c>
      <c r="DR239" s="72" t="str">
        <f t="shared" si="1415"/>
        <v>NM</v>
      </c>
      <c r="DS239" s="74">
        <v>2</v>
      </c>
      <c r="DT239" s="72">
        <f t="shared" si="1415"/>
        <v>-33.333333333333343</v>
      </c>
      <c r="DU239" s="74">
        <f>1-9</f>
        <v>-8</v>
      </c>
      <c r="DV239" s="72" t="str">
        <f t="shared" si="1415"/>
        <v>NM</v>
      </c>
      <c r="DW239" s="74">
        <v>1</v>
      </c>
      <c r="DX239" s="72">
        <f t="shared" si="1415"/>
        <v>-50</v>
      </c>
      <c r="DY239" s="74">
        <f>-1+2</f>
        <v>1</v>
      </c>
      <c r="DZ239" s="72" t="str">
        <f t="shared" si="1415"/>
        <v>NM</v>
      </c>
      <c r="EA239" s="74">
        <f>0+1</f>
        <v>1</v>
      </c>
      <c r="EB239" s="72">
        <f t="shared" si="1416"/>
        <v>-50</v>
      </c>
      <c r="EC239" s="74">
        <f>0+2</f>
        <v>2</v>
      </c>
      <c r="ED239" s="72" t="str">
        <f t="shared" si="1417"/>
        <v>NM</v>
      </c>
      <c r="EE239" s="74">
        <v>1</v>
      </c>
      <c r="EF239" s="72">
        <f t="shared" si="1418"/>
        <v>0</v>
      </c>
      <c r="EG239" s="74">
        <v>2</v>
      </c>
      <c r="EH239" s="72">
        <f t="shared" si="1419"/>
        <v>100</v>
      </c>
      <c r="EI239" s="74">
        <v>1</v>
      </c>
      <c r="EJ239" s="72">
        <f t="shared" si="1420"/>
        <v>0</v>
      </c>
      <c r="EK239" s="74">
        <v>2</v>
      </c>
      <c r="EL239" s="72">
        <f t="shared" si="1421"/>
        <v>0</v>
      </c>
      <c r="EM239" s="74">
        <v>10</v>
      </c>
      <c r="EN239" s="72" t="str">
        <f t="shared" si="1422"/>
        <v>NM</v>
      </c>
      <c r="EO239" s="74">
        <v>1</v>
      </c>
      <c r="EP239" s="72">
        <f t="shared" si="1423"/>
        <v>-50</v>
      </c>
      <c r="EQ239" s="75">
        <f t="shared" ref="EQ239" si="1474">-EQ246/100*EQ238</f>
        <v>3.1593658500000008</v>
      </c>
      <c r="ER239" s="72" t="str">
        <f t="shared" si="1425"/>
        <v>NM</v>
      </c>
      <c r="ES239" s="75">
        <f t="shared" ref="ES239" si="1475">-ES246/100*ES238</f>
        <v>3.1909595085000007</v>
      </c>
      <c r="ET239" s="72">
        <f t="shared" si="1427"/>
        <v>59.547975425000033</v>
      </c>
      <c r="EU239" s="75">
        <f t="shared" ref="EU239" si="1476">-EU246/100*EU238</f>
        <v>3.2228691035849999</v>
      </c>
      <c r="EV239" s="72" t="str">
        <f t="shared" si="1429"/>
        <v>NM</v>
      </c>
      <c r="EW239" s="75">
        <f t="shared" ref="EW239" si="1477">-EW246/100*EW238</f>
        <v>3.4891244334497991</v>
      </c>
      <c r="EX239" s="72" t="str">
        <f t="shared" si="1431"/>
        <v>NM</v>
      </c>
      <c r="EY239" s="72"/>
      <c r="EZ239" s="309"/>
      <c r="FA239" s="72"/>
      <c r="FB239" s="75">
        <v>0</v>
      </c>
      <c r="FC239" s="72"/>
      <c r="FD239" s="75">
        <v>-2</v>
      </c>
      <c r="FE239" s="72" t="str">
        <f t="shared" si="1432"/>
        <v>NA</v>
      </c>
      <c r="FF239" s="75">
        <v>-10</v>
      </c>
      <c r="FG239" s="72" t="str">
        <f t="shared" si="1433"/>
        <v>NM</v>
      </c>
      <c r="FH239" s="75">
        <f t="shared" si="1434"/>
        <v>-14</v>
      </c>
      <c r="FI239" s="72">
        <f t="shared" si="1435"/>
        <v>40</v>
      </c>
      <c r="FJ239" s="75">
        <f t="shared" si="1436"/>
        <v>-31</v>
      </c>
      <c r="FK239" s="72" t="str">
        <f t="shared" si="1437"/>
        <v>NM</v>
      </c>
      <c r="FL239" s="75">
        <f t="shared" si="1438"/>
        <v>-31</v>
      </c>
      <c r="FM239" s="72">
        <f t="shared" si="1439"/>
        <v>0</v>
      </c>
      <c r="FN239" s="75">
        <f t="shared" si="1440"/>
        <v>-23</v>
      </c>
      <c r="FO239" s="72">
        <f t="shared" si="1441"/>
        <v>-25.806451612903231</v>
      </c>
      <c r="FP239" s="75">
        <f t="shared" si="1442"/>
        <v>-59</v>
      </c>
      <c r="FQ239" s="72" t="str">
        <f t="shared" si="1443"/>
        <v>NM</v>
      </c>
      <c r="FR239" s="75">
        <f t="shared" si="1444"/>
        <v>-114</v>
      </c>
      <c r="FS239" s="72">
        <f t="shared" si="1445"/>
        <v>93.220338983050851</v>
      </c>
      <c r="FT239" s="75">
        <f t="shared" si="1446"/>
        <v>-37</v>
      </c>
      <c r="FU239" s="72" t="str">
        <f t="shared" si="1447"/>
        <v>NM</v>
      </c>
      <c r="FV239" s="74">
        <f>-35+13</f>
        <v>-22</v>
      </c>
      <c r="FW239" s="72">
        <f t="shared" si="1448"/>
        <v>-40.54054054054054</v>
      </c>
      <c r="FX239" s="74">
        <f>-42+20</f>
        <v>-22</v>
      </c>
      <c r="FY239" s="72">
        <f t="shared" si="1448"/>
        <v>0</v>
      </c>
      <c r="FZ239" s="75">
        <f t="shared" si="1449"/>
        <v>-18</v>
      </c>
      <c r="GA239" s="72">
        <f t="shared" si="1448"/>
        <v>-18.181818181818173</v>
      </c>
      <c r="GB239" s="75">
        <f t="shared" si="1450"/>
        <v>-11</v>
      </c>
      <c r="GC239" s="72">
        <f t="shared" si="1448"/>
        <v>-38.888888888888886</v>
      </c>
      <c r="GD239" s="75">
        <f t="shared" si="1451"/>
        <v>-50</v>
      </c>
      <c r="GE239" s="72" t="str">
        <f t="shared" si="1448"/>
        <v>NM</v>
      </c>
      <c r="GF239" s="75">
        <f t="shared" si="1452"/>
        <v>-1</v>
      </c>
      <c r="GG239" s="72" t="str">
        <f t="shared" si="1448"/>
        <v>NM</v>
      </c>
      <c r="GH239" s="75">
        <f t="shared" si="1453"/>
        <v>6</v>
      </c>
      <c r="GI239" s="72" t="str">
        <f t="shared" si="1454"/>
        <v>NM</v>
      </c>
      <c r="GJ239" s="75">
        <f t="shared" si="1455"/>
        <v>-4</v>
      </c>
      <c r="GK239" s="72" t="str">
        <f t="shared" si="1454"/>
        <v>NM</v>
      </c>
      <c r="GL239" s="75">
        <f t="shared" si="1456"/>
        <v>6</v>
      </c>
      <c r="GM239" s="72" t="str">
        <f t="shared" si="1454"/>
        <v>NM</v>
      </c>
      <c r="GN239" s="75">
        <f t="shared" si="1457"/>
        <v>14</v>
      </c>
      <c r="GO239" s="72" t="str">
        <f t="shared" si="1454"/>
        <v>NM</v>
      </c>
      <c r="GP239" s="75">
        <f t="shared" si="1458"/>
        <v>13.0623188955348</v>
      </c>
      <c r="GQ239" s="72">
        <f t="shared" si="1454"/>
        <v>-6.6977221747514335</v>
      </c>
      <c r="GR239" s="75">
        <f>-GR246/100*GR238</f>
        <v>13.611453798479877</v>
      </c>
      <c r="GS239" s="72">
        <f t="shared" si="1454"/>
        <v>4.2039618488627752</v>
      </c>
      <c r="GT239" s="75">
        <f>-GT246/100*GT238</f>
        <v>14.18415262637018</v>
      </c>
      <c r="GU239" s="72">
        <f t="shared" si="1454"/>
        <v>4.2074772935295215</v>
      </c>
      <c r="GV239" s="75">
        <f>-GV246/100*GV238</f>
        <v>14.781453847933166</v>
      </c>
      <c r="GW239" s="72">
        <f t="shared" si="1459"/>
        <v>4.2110462097857351</v>
      </c>
      <c r="GX239" s="75">
        <f>-GX246/100*GX238</f>
        <v>15.404443225349155</v>
      </c>
      <c r="GY239" s="72">
        <f t="shared" si="1460"/>
        <v>4.2146691646512124</v>
      </c>
      <c r="GZ239" s="72">
        <f t="shared" si="1461"/>
        <v>1.930368444091668</v>
      </c>
      <c r="HA239" s="72"/>
      <c r="HB239" s="72"/>
      <c r="HC239"/>
      <c r="HD239"/>
      <c r="HE239"/>
      <c r="HF239"/>
      <c r="HG239"/>
      <c r="HH239"/>
      <c r="HI239" s="2"/>
    </row>
    <row r="240" spans="1:217" s="5" customFormat="1" ht="12.75" customHeight="1" x14ac:dyDescent="0.2">
      <c r="B240" s="70" t="s">
        <v>156</v>
      </c>
      <c r="C240" s="91">
        <f>SUM(C235:C239)</f>
        <v>669</v>
      </c>
      <c r="D240" s="80"/>
      <c r="E240" s="91">
        <f>SUM(E235:E239)</f>
        <v>682</v>
      </c>
      <c r="F240" s="80"/>
      <c r="G240" s="91">
        <f>SUM(G235:G239)</f>
        <v>598</v>
      </c>
      <c r="H240" s="80"/>
      <c r="I240" s="91">
        <f>SUM(I235:I239)</f>
        <v>694</v>
      </c>
      <c r="J240" s="80"/>
      <c r="K240" s="91">
        <f>SUM(K235:K239)</f>
        <v>721</v>
      </c>
      <c r="L240" s="72">
        <f t="shared" si="1379"/>
        <v>7.7727952167414145</v>
      </c>
      <c r="M240" s="91">
        <f>SUM(M235:M239)</f>
        <v>787</v>
      </c>
      <c r="N240" s="72">
        <f t="shared" si="1380"/>
        <v>15.395894428152502</v>
      </c>
      <c r="O240" s="91">
        <f>SUM(O235:O239)</f>
        <v>855</v>
      </c>
      <c r="P240" s="72">
        <f t="shared" si="1381"/>
        <v>42.976588628762556</v>
      </c>
      <c r="Q240" s="91">
        <f>SUM(Q235:Q239)</f>
        <v>815</v>
      </c>
      <c r="R240" s="72">
        <f t="shared" si="1382"/>
        <v>17.435158501440924</v>
      </c>
      <c r="S240" s="91">
        <f>SUM(S235:S239)</f>
        <v>853</v>
      </c>
      <c r="T240" s="72">
        <f t="shared" si="1382"/>
        <v>18.307905686546462</v>
      </c>
      <c r="U240" s="91">
        <f>SUM(U235:U239)</f>
        <v>863</v>
      </c>
      <c r="V240" s="72">
        <f t="shared" si="1382"/>
        <v>9.6569250317662068</v>
      </c>
      <c r="W240" s="91">
        <f>SUM(W235:W239)</f>
        <v>852</v>
      </c>
      <c r="X240" s="72">
        <f t="shared" si="1382"/>
        <v>-0.3508771929824519</v>
      </c>
      <c r="Y240" s="91">
        <f>SUM(Y235:Y239)</f>
        <v>859</v>
      </c>
      <c r="Z240" s="72">
        <f t="shared" si="1382"/>
        <v>5.3987730061349595</v>
      </c>
      <c r="AA240" s="91">
        <f>SUM(AA235:AA239)</f>
        <v>927</v>
      </c>
      <c r="AB240" s="72">
        <f t="shared" si="1382"/>
        <v>8.6752637749120822</v>
      </c>
      <c r="AC240" s="91">
        <f>SUM(AC235:AC239)</f>
        <v>852</v>
      </c>
      <c r="AD240" s="72">
        <f t="shared" si="1382"/>
        <v>-1.2746234067207496</v>
      </c>
      <c r="AE240" s="91">
        <f>SUM(AE235:AE239)</f>
        <v>852</v>
      </c>
      <c r="AF240" s="72">
        <f t="shared" si="1382"/>
        <v>0</v>
      </c>
      <c r="AG240" s="91">
        <f>SUM(AG235:AG239)</f>
        <v>888</v>
      </c>
      <c r="AH240" s="72">
        <f t="shared" si="1382"/>
        <v>3.3760186263096443</v>
      </c>
      <c r="AI240" s="91">
        <f>SUM(AI235:AI239)</f>
        <v>945</v>
      </c>
      <c r="AJ240" s="72">
        <f t="shared" si="1382"/>
        <v>1.9417475728155296</v>
      </c>
      <c r="AK240" s="91">
        <f>SUM(AK235:AK239)</f>
        <v>907</v>
      </c>
      <c r="AL240" s="72">
        <f t="shared" si="1382"/>
        <v>6.4553990610328782</v>
      </c>
      <c r="AM240" s="91">
        <f>SUM(AM235:AM239)</f>
        <v>939</v>
      </c>
      <c r="AN240" s="72">
        <f t="shared" si="1382"/>
        <v>10.211267605633793</v>
      </c>
      <c r="AO240" s="91">
        <f>SUM(AO235:AO239)</f>
        <v>927</v>
      </c>
      <c r="AP240" s="72">
        <f t="shared" si="1382"/>
        <v>4.3918918918918877</v>
      </c>
      <c r="AQ240" s="91">
        <f>SUM(AQ235:AQ239)</f>
        <v>1014</v>
      </c>
      <c r="AR240" s="72">
        <f t="shared" si="1383"/>
        <v>7.3015873015873041</v>
      </c>
      <c r="AS240" s="91">
        <f>SUM(AS235:AS239)</f>
        <v>1014</v>
      </c>
      <c r="AT240" s="72">
        <f t="shared" si="1384"/>
        <v>11.797133406835727</v>
      </c>
      <c r="AU240" s="91">
        <f>SUM(AU235:AU239)</f>
        <v>978</v>
      </c>
      <c r="AV240" s="72">
        <f t="shared" si="1385"/>
        <v>4.1533546325878632</v>
      </c>
      <c r="AW240" s="91">
        <f>SUM(AW235:AW239)</f>
        <v>970</v>
      </c>
      <c r="AX240" s="72">
        <f t="shared" si="1386"/>
        <v>4.6386192017259873</v>
      </c>
      <c r="AY240" s="91">
        <f>SUM(AY235:AY239)</f>
        <v>1062</v>
      </c>
      <c r="AZ240" s="72">
        <f t="shared" si="1387"/>
        <v>4.7337278106508904</v>
      </c>
      <c r="BA240" s="91">
        <f>SUM(BA235:BA239)</f>
        <v>1088</v>
      </c>
      <c r="BB240" s="72">
        <f t="shared" si="1388"/>
        <v>7.2978303747534454</v>
      </c>
      <c r="BC240" s="91">
        <f>SUM(BC235:BC239)</f>
        <v>1065</v>
      </c>
      <c r="BD240" s="72">
        <f t="shared" si="1389"/>
        <v>8.8957055214723795</v>
      </c>
      <c r="BE240" s="91">
        <f>SUM(BE235:BE239)</f>
        <v>1111</v>
      </c>
      <c r="BF240" s="72">
        <f t="shared" si="1390"/>
        <v>14.536082474226802</v>
      </c>
      <c r="BG240" s="91">
        <f>SUM(BG235:BG239)</f>
        <v>1154</v>
      </c>
      <c r="BH240" s="72">
        <f t="shared" si="1391"/>
        <v>8.662900188323917</v>
      </c>
      <c r="BI240" s="91">
        <f>SUM(BI235:BI239)</f>
        <v>1142</v>
      </c>
      <c r="BJ240" s="72">
        <f t="shared" si="1392"/>
        <v>4.9632352941176379</v>
      </c>
      <c r="BK240" s="91">
        <f>SUM(BK235:BK239)</f>
        <v>1103</v>
      </c>
      <c r="BL240" s="72">
        <f t="shared" si="1393"/>
        <v>3.5680751173708956</v>
      </c>
      <c r="BM240" s="91">
        <f>SUM(BM235:BM239)</f>
        <v>1114</v>
      </c>
      <c r="BN240" s="72">
        <f t="shared" si="1394"/>
        <v>0.27002700270027447</v>
      </c>
      <c r="BO240" s="91">
        <f>SUM(BO235:BO239)</f>
        <v>1167</v>
      </c>
      <c r="BP240" s="72">
        <f t="shared" si="1395"/>
        <v>1.1265164644713934</v>
      </c>
      <c r="BQ240" s="91">
        <f>SUM(BQ235:BQ239)</f>
        <v>1138</v>
      </c>
      <c r="BR240" s="72">
        <f t="shared" si="1396"/>
        <v>-0.3502626970227567</v>
      </c>
      <c r="BS240" s="91">
        <f>SUM(BS235:BS239)</f>
        <v>1131</v>
      </c>
      <c r="BT240" s="72">
        <f t="shared" si="1397"/>
        <v>2.538531278331817</v>
      </c>
      <c r="BU240" s="91">
        <f>SUM(BU235:BU239)</f>
        <v>1184</v>
      </c>
      <c r="BV240" s="72">
        <f t="shared" si="1398"/>
        <v>6.2836624775583374</v>
      </c>
      <c r="BW240" s="91">
        <f>SUM(BW235:BW239)</f>
        <v>1240</v>
      </c>
      <c r="BX240" s="72">
        <f t="shared" si="1399"/>
        <v>6.2553556126820951</v>
      </c>
      <c r="BY240" s="91">
        <f>SUM(BY235:BY239)</f>
        <v>1198</v>
      </c>
      <c r="BZ240" s="72">
        <f t="shared" si="1400"/>
        <v>5.2724077328646786</v>
      </c>
      <c r="CA240" s="91">
        <f>SUM(CA235:CA239)</f>
        <v>1292</v>
      </c>
      <c r="CB240" s="72">
        <f t="shared" si="1401"/>
        <v>14.235190097259064</v>
      </c>
      <c r="CC240" s="91">
        <f>SUM(CC235:CC239)</f>
        <v>1224</v>
      </c>
      <c r="CD240" s="72">
        <f t="shared" si="1402"/>
        <v>3.3783783783783718</v>
      </c>
      <c r="CE240" s="91">
        <f>SUM(CE235:CE239)</f>
        <v>1259</v>
      </c>
      <c r="CF240" s="72">
        <f t="shared" si="1403"/>
        <v>1.5322580645161281</v>
      </c>
      <c r="CG240" s="91">
        <f>SUM(CG235:CG239)</f>
        <v>1284</v>
      </c>
      <c r="CH240" s="72">
        <f t="shared" si="1404"/>
        <v>7.1786310517529159</v>
      </c>
      <c r="CI240" s="91">
        <f>SUM(CI235:CI239)</f>
        <v>1406</v>
      </c>
      <c r="CJ240" s="72">
        <f t="shared" si="1405"/>
        <v>8.8235294117646959</v>
      </c>
      <c r="CK240" s="91">
        <f>SUM(CK235:CK239)</f>
        <v>1297</v>
      </c>
      <c r="CL240" s="72">
        <f t="shared" si="1405"/>
        <v>5.9640522875816941</v>
      </c>
      <c r="CM240" s="91">
        <f>SUM(CM235:CM239)</f>
        <v>1467</v>
      </c>
      <c r="CN240" s="72">
        <f t="shared" si="1405"/>
        <v>16.5210484511517</v>
      </c>
      <c r="CO240" s="91">
        <f>SUM(CO235:CO239)</f>
        <v>1437</v>
      </c>
      <c r="CP240" s="72">
        <f t="shared" si="1405"/>
        <v>11.915887850467286</v>
      </c>
      <c r="CQ240" s="91">
        <f>SUM(CQ235:CQ239)</f>
        <v>1402</v>
      </c>
      <c r="CR240" s="72">
        <f t="shared" si="1405"/>
        <v>-0.28449502133712201</v>
      </c>
      <c r="CS240" s="91">
        <f>SUM(CS235:CS239)</f>
        <v>1342</v>
      </c>
      <c r="CT240" s="72">
        <f t="shared" si="1405"/>
        <v>3.4695451040863503</v>
      </c>
      <c r="CU240" s="91">
        <f>SUM(CU235:CU239)</f>
        <v>1431</v>
      </c>
      <c r="CV240" s="72">
        <f t="shared" si="1406"/>
        <v>-2.4539877300613426</v>
      </c>
      <c r="CW240" s="91">
        <f>SUM(CW235:CW239)</f>
        <v>1359</v>
      </c>
      <c r="CX240" s="72">
        <f t="shared" si="1407"/>
        <v>-5.4279749478079395</v>
      </c>
      <c r="CY240" s="91">
        <f>SUM(CY235:CY239)</f>
        <v>1385</v>
      </c>
      <c r="CZ240" s="72">
        <f t="shared" si="1408"/>
        <v>-1.2125534950071284</v>
      </c>
      <c r="DA240" s="91">
        <f>SUM(DA235:DA239)</f>
        <v>1410</v>
      </c>
      <c r="DB240" s="72">
        <f t="shared" si="1409"/>
        <v>5.0670640834575238</v>
      </c>
      <c r="DC240" s="91">
        <f>SUM(DC235:DC239)</f>
        <v>1393</v>
      </c>
      <c r="DD240" s="72">
        <f t="shared" si="1410"/>
        <v>-2.6554856743535993</v>
      </c>
      <c r="DE240" s="91">
        <f>SUM(DE235:DE239)</f>
        <v>1377</v>
      </c>
      <c r="DF240" s="72">
        <f t="shared" si="1411"/>
        <v>1.3245033112582831</v>
      </c>
      <c r="DG240" s="91">
        <f>SUM(DG235:DG239)</f>
        <v>1274</v>
      </c>
      <c r="DH240" s="72">
        <f t="shared" si="1412"/>
        <v>-8.0144404332129966</v>
      </c>
      <c r="DI240" s="91">
        <f>SUM(DI235:DI239)</f>
        <v>1317</v>
      </c>
      <c r="DJ240" s="72">
        <f t="shared" si="1413"/>
        <v>-6.5957446808510696</v>
      </c>
      <c r="DK240" s="91">
        <f>SUM(DK235:DK239)</f>
        <v>1356</v>
      </c>
      <c r="DL240" s="72">
        <f t="shared" si="1414"/>
        <v>-2.6561378320172224</v>
      </c>
      <c r="DM240" s="91">
        <f>SUM(DM235:DM239)</f>
        <v>1296</v>
      </c>
      <c r="DN240" s="72">
        <f t="shared" si="1415"/>
        <v>-5.8823529411764781</v>
      </c>
      <c r="DO240" s="91">
        <f>SUM(DO235:DO239)</f>
        <v>1422</v>
      </c>
      <c r="DP240" s="72">
        <f t="shared" si="1415"/>
        <v>11.616954474097341</v>
      </c>
      <c r="DQ240" s="91">
        <f>SUM(DQ235:DQ239)</f>
        <v>1260</v>
      </c>
      <c r="DR240" s="72">
        <f t="shared" si="1415"/>
        <v>-4.328018223234622</v>
      </c>
      <c r="DS240" s="91">
        <f>SUM(DS235:DS239)</f>
        <v>1247</v>
      </c>
      <c r="DT240" s="72">
        <f t="shared" si="1415"/>
        <v>-8.0383480825958742</v>
      </c>
      <c r="DU240" s="91">
        <f>SUM(DU235:DU239)</f>
        <v>1216</v>
      </c>
      <c r="DV240" s="72">
        <f t="shared" si="1415"/>
        <v>-6.1728395061728492</v>
      </c>
      <c r="DW240" s="91">
        <f>SUM(DW235:DW239)</f>
        <v>1250</v>
      </c>
      <c r="DX240" s="72">
        <f t="shared" si="1415"/>
        <v>-12.095639943741205</v>
      </c>
      <c r="DY240" s="91">
        <f>SUM(DY235:DY239)</f>
        <v>1254</v>
      </c>
      <c r="DZ240" s="72">
        <f t="shared" si="1415"/>
        <v>-0.4761904761904816</v>
      </c>
      <c r="EA240" s="91">
        <f>SUM(EA235:EA239)</f>
        <v>1294</v>
      </c>
      <c r="EB240" s="72">
        <f t="shared" si="1416"/>
        <v>3.7690457097032919</v>
      </c>
      <c r="EC240" s="91">
        <f>SUM(EC235:EC239)</f>
        <v>1275</v>
      </c>
      <c r="ED240" s="72">
        <f t="shared" si="1417"/>
        <v>4.8519736842105345</v>
      </c>
      <c r="EE240" s="91">
        <f>SUM(EE235:EE239)</f>
        <v>1271</v>
      </c>
      <c r="EF240" s="72">
        <f t="shared" si="1418"/>
        <v>1.6799999999999926</v>
      </c>
      <c r="EG240" s="91">
        <f>SUM(EG235:EG239)</f>
        <v>1283</v>
      </c>
      <c r="EH240" s="72">
        <f t="shared" si="1419"/>
        <v>2.3125996810207283</v>
      </c>
      <c r="EI240" s="91">
        <f>SUM(EI235:EI239)</f>
        <v>1349</v>
      </c>
      <c r="EJ240" s="72">
        <f t="shared" si="1420"/>
        <v>4.25038639876351</v>
      </c>
      <c r="EK240" s="91">
        <f>SUM(EK235:EK239)</f>
        <v>1226</v>
      </c>
      <c r="EL240" s="72">
        <f t="shared" si="1421"/>
        <v>-3.8431372549019613</v>
      </c>
      <c r="EM240" s="91">
        <f>SUM(EM235:EM239)</f>
        <v>1302</v>
      </c>
      <c r="EN240" s="72">
        <f t="shared" si="1422"/>
        <v>2.4390243902439011</v>
      </c>
      <c r="EO240" s="91">
        <f>SUM(EO235:EO239)</f>
        <v>1341</v>
      </c>
      <c r="EP240" s="72">
        <f t="shared" si="1423"/>
        <v>4.5206547155105312</v>
      </c>
      <c r="EQ240" s="91">
        <f t="shared" ref="EQ240" si="1478">SUM(EQ235:EQ239)</f>
        <v>1333.4516758500004</v>
      </c>
      <c r="ER240" s="72">
        <f t="shared" si="1425"/>
        <v>-1.1525814788732163</v>
      </c>
      <c r="ES240" s="91">
        <f t="shared" ref="ES240" si="1479">SUM(ES235:ES239)</f>
        <v>1340.7729041085006</v>
      </c>
      <c r="ET240" s="72">
        <f t="shared" si="1427"/>
        <v>9.3615745602365905</v>
      </c>
      <c r="EU240" s="91">
        <f t="shared" ref="EU240" si="1480">SUM(EU235:EU239)</f>
        <v>1348.1073117645853</v>
      </c>
      <c r="EV240" s="72">
        <f t="shared" si="1429"/>
        <v>3.5412681846839718</v>
      </c>
      <c r="EW240" s="91">
        <f t="shared" ref="EW240" si="1481">SUM(EW235:EW239)</f>
        <v>1371.2902328441398</v>
      </c>
      <c r="EX240" s="72">
        <f t="shared" si="1431"/>
        <v>2.2587794812930468</v>
      </c>
      <c r="EY240" s="72"/>
      <c r="EZ240" s="310"/>
      <c r="FA240" s="72"/>
      <c r="FB240" s="91">
        <f>SUM(FB235:FB239)</f>
        <v>2107</v>
      </c>
      <c r="FC240" s="80"/>
      <c r="FD240" s="91">
        <f>SUM(FD235:FD239)</f>
        <v>2300</v>
      </c>
      <c r="FE240" s="72">
        <f t="shared" si="1432"/>
        <v>9.1599430469862426</v>
      </c>
      <c r="FF240" s="91">
        <f>SUM(FF235:FF239)</f>
        <v>2643</v>
      </c>
      <c r="FG240" s="72">
        <f t="shared" si="1433"/>
        <v>14.913043478260875</v>
      </c>
      <c r="FH240" s="91">
        <f t="shared" si="1434"/>
        <v>3178</v>
      </c>
      <c r="FI240" s="72">
        <f t="shared" si="1435"/>
        <v>20.242149073023086</v>
      </c>
      <c r="FJ240" s="91">
        <f t="shared" si="1436"/>
        <v>3427</v>
      </c>
      <c r="FK240" s="72">
        <f t="shared" si="1437"/>
        <v>7.8351164254248005</v>
      </c>
      <c r="FL240" s="91">
        <f t="shared" si="1438"/>
        <v>3519</v>
      </c>
      <c r="FM240" s="72">
        <f t="shared" si="1439"/>
        <v>2.6845637583892596</v>
      </c>
      <c r="FN240" s="91">
        <f t="shared" si="1440"/>
        <v>3718</v>
      </c>
      <c r="FO240" s="72">
        <f t="shared" si="1441"/>
        <v>5.6550156294401717</v>
      </c>
      <c r="FP240" s="91">
        <f t="shared" si="1442"/>
        <v>3976</v>
      </c>
      <c r="FQ240" s="72">
        <f t="shared" si="1443"/>
        <v>6.9392146315223187</v>
      </c>
      <c r="FR240" s="91">
        <f t="shared" si="1444"/>
        <v>4326</v>
      </c>
      <c r="FS240" s="72">
        <f t="shared" si="1445"/>
        <v>8.8028169014084483</v>
      </c>
      <c r="FT240" s="91">
        <f t="shared" si="1446"/>
        <v>4513</v>
      </c>
      <c r="FU240" s="72">
        <f t="shared" si="1447"/>
        <v>4.3226999537679092</v>
      </c>
      <c r="FV240" s="91">
        <f>SUM(FV235:FV239)</f>
        <v>4624</v>
      </c>
      <c r="FW240" s="72">
        <f t="shared" si="1448"/>
        <v>2.459561267449601</v>
      </c>
      <c r="FX240" s="91">
        <f>SUM(FX235:FX239)</f>
        <v>4956</v>
      </c>
      <c r="FY240" s="72">
        <f t="shared" si="1448"/>
        <v>7.1799307958477527</v>
      </c>
      <c r="FZ240" s="91">
        <f t="shared" si="1449"/>
        <v>5246</v>
      </c>
      <c r="GA240" s="72">
        <f t="shared" si="1448"/>
        <v>5.8514931396287437</v>
      </c>
      <c r="GB240" s="91">
        <f t="shared" si="1450"/>
        <v>5648</v>
      </c>
      <c r="GC240" s="72">
        <f t="shared" si="1448"/>
        <v>7.662981319100254</v>
      </c>
      <c r="GD240" s="91">
        <f t="shared" si="1451"/>
        <v>5585</v>
      </c>
      <c r="GE240" s="72">
        <f t="shared" si="1448"/>
        <v>-1.1154390934844116</v>
      </c>
      <c r="GF240" s="91">
        <f t="shared" si="1452"/>
        <v>5361</v>
      </c>
      <c r="GG240" s="72">
        <f t="shared" si="1448"/>
        <v>-4.010743061772601</v>
      </c>
      <c r="GH240" s="91">
        <f t="shared" si="1453"/>
        <v>5334</v>
      </c>
      <c r="GI240" s="72">
        <f t="shared" si="1454"/>
        <v>-0.50363738108562472</v>
      </c>
      <c r="GJ240" s="91">
        <f t="shared" si="1455"/>
        <v>4967</v>
      </c>
      <c r="GK240" s="72">
        <f t="shared" si="1454"/>
        <v>-6.8803899512560918</v>
      </c>
      <c r="GL240" s="91">
        <f t="shared" si="1456"/>
        <v>5123</v>
      </c>
      <c r="GM240" s="72">
        <f t="shared" si="1454"/>
        <v>3.1407288101469817</v>
      </c>
      <c r="GN240" s="91">
        <f t="shared" si="1457"/>
        <v>5218</v>
      </c>
      <c r="GO240" s="72">
        <f t="shared" si="1454"/>
        <v>1.854382197930903</v>
      </c>
      <c r="GP240" s="91">
        <f t="shared" si="1458"/>
        <v>5393.6221245672259</v>
      </c>
      <c r="GQ240" s="72">
        <f t="shared" si="1454"/>
        <v>3.3656980560986085</v>
      </c>
      <c r="GR240" s="91">
        <f>SUM(GR235:GR239)</f>
        <v>5620.9562785500639</v>
      </c>
      <c r="GS240" s="72">
        <f t="shared" si="1454"/>
        <v>4.2148698728329776</v>
      </c>
      <c r="GT240" s="91">
        <f>SUM(GT235:GT239)</f>
        <v>5855.4664057280297</v>
      </c>
      <c r="GU240" s="72">
        <f t="shared" si="1454"/>
        <v>4.1720681598765026</v>
      </c>
      <c r="GV240" s="91">
        <f>SUM(GV235:GV239)</f>
        <v>6102.7201356396909</v>
      </c>
      <c r="GW240" s="72">
        <f t="shared" si="1459"/>
        <v>4.2226137557511976</v>
      </c>
      <c r="GX240" s="91">
        <f>SUM(GX235:GX239)</f>
        <v>6360.6557191687707</v>
      </c>
      <c r="GY240" s="72">
        <f t="shared" si="1460"/>
        <v>4.2265674616593429</v>
      </c>
      <c r="GZ240" s="72">
        <f t="shared" si="1461"/>
        <v>4.0398129957472939</v>
      </c>
      <c r="HA240" s="72"/>
      <c r="HB240" s="72"/>
      <c r="HC240"/>
      <c r="HD240"/>
      <c r="HE240"/>
      <c r="HF240"/>
      <c r="HG240"/>
      <c r="HH240"/>
      <c r="HI240" s="2"/>
    </row>
    <row r="241" spans="1:217" s="3" customFormat="1" ht="12.75" customHeight="1" x14ac:dyDescent="0.2">
      <c r="B241" s="10"/>
      <c r="C241" s="9"/>
      <c r="D241" s="11"/>
      <c r="E241" s="9"/>
      <c r="F241" s="11"/>
      <c r="G241" s="9"/>
      <c r="H241" s="11"/>
      <c r="I241" s="9"/>
      <c r="J241" s="11"/>
      <c r="K241" s="9"/>
      <c r="L241" s="72"/>
      <c r="M241" s="9"/>
      <c r="N241" s="72"/>
      <c r="O241" s="9"/>
      <c r="P241" s="72"/>
      <c r="Q241" s="9"/>
      <c r="R241" s="72"/>
      <c r="S241" s="9"/>
      <c r="T241" s="72"/>
      <c r="U241" s="9"/>
      <c r="V241" s="72"/>
      <c r="W241" s="9"/>
      <c r="X241" s="72"/>
      <c r="Y241" s="9"/>
      <c r="Z241" s="72"/>
      <c r="AA241" s="9"/>
      <c r="AB241" s="72"/>
      <c r="AC241" s="9"/>
      <c r="AD241" s="72"/>
      <c r="AE241" s="9"/>
      <c r="AF241" s="72"/>
      <c r="AG241" s="9"/>
      <c r="AH241" s="72"/>
      <c r="AI241" s="9"/>
      <c r="AJ241" s="72"/>
      <c r="AK241" s="9"/>
      <c r="AL241" s="72"/>
      <c r="AM241" s="9"/>
      <c r="AN241" s="72"/>
      <c r="AO241" s="9"/>
      <c r="AP241" s="72"/>
      <c r="AQ241" s="9"/>
      <c r="AR241" s="72"/>
      <c r="AS241" s="9"/>
      <c r="AT241" s="72"/>
      <c r="AU241" s="9"/>
      <c r="AV241" s="72"/>
      <c r="AW241" s="9"/>
      <c r="AX241" s="72"/>
      <c r="AY241" s="9"/>
      <c r="AZ241" s="72"/>
      <c r="BA241" s="9"/>
      <c r="BB241" s="72"/>
      <c r="BC241" s="9"/>
      <c r="BD241" s="72"/>
      <c r="BE241" s="9"/>
      <c r="BF241" s="72"/>
      <c r="BG241" s="9"/>
      <c r="BH241" s="72"/>
      <c r="BI241" s="9"/>
      <c r="BJ241" s="72"/>
      <c r="BK241" s="9"/>
      <c r="BL241" s="72"/>
      <c r="BM241" s="9"/>
      <c r="BN241" s="72"/>
      <c r="BO241" s="9"/>
      <c r="BP241" s="72"/>
      <c r="BQ241" s="9"/>
      <c r="BR241" s="72"/>
      <c r="BS241" s="9"/>
      <c r="BT241" s="72"/>
      <c r="BU241" s="9"/>
      <c r="BV241" s="72"/>
      <c r="BW241" s="9"/>
      <c r="BX241" s="72"/>
      <c r="BY241" s="9"/>
      <c r="BZ241" s="72"/>
      <c r="CA241" s="9"/>
      <c r="CB241" s="72"/>
      <c r="CC241" s="9"/>
      <c r="CD241" s="72"/>
      <c r="CE241" s="9"/>
      <c r="CF241" s="72"/>
      <c r="CG241" s="9"/>
      <c r="CH241" s="72"/>
      <c r="CI241" s="9"/>
      <c r="CJ241" s="72"/>
      <c r="CK241" s="9"/>
      <c r="CL241" s="72"/>
      <c r="CM241" s="9"/>
      <c r="CN241" s="72"/>
      <c r="CO241" s="9"/>
      <c r="CP241" s="72"/>
      <c r="CQ241" s="9"/>
      <c r="CR241" s="72"/>
      <c r="CS241" s="9"/>
      <c r="CT241" s="72"/>
      <c r="CU241" s="9"/>
      <c r="CV241" s="72"/>
      <c r="CW241" s="9"/>
      <c r="CX241" s="72"/>
      <c r="CY241" s="9"/>
      <c r="CZ241" s="72"/>
      <c r="DA241" s="9"/>
      <c r="DB241" s="72"/>
      <c r="DC241" s="9"/>
      <c r="DD241" s="72"/>
      <c r="DE241" s="9"/>
      <c r="DF241" s="72"/>
      <c r="DG241" s="9"/>
      <c r="DH241" s="72"/>
      <c r="DI241" s="9"/>
      <c r="DJ241" s="72"/>
      <c r="DK241" s="9"/>
      <c r="DL241" s="72"/>
      <c r="DM241" s="9"/>
      <c r="DN241" s="72"/>
      <c r="DO241" s="9"/>
      <c r="DP241" s="72"/>
      <c r="DQ241" s="9"/>
      <c r="DR241" s="72"/>
      <c r="DS241" s="9"/>
      <c r="DT241" s="72"/>
      <c r="DU241" s="9"/>
      <c r="DV241" s="72"/>
      <c r="DW241" s="9"/>
      <c r="DX241" s="72"/>
      <c r="DY241" s="9"/>
      <c r="DZ241" s="72"/>
      <c r="EA241" s="9"/>
      <c r="EB241" s="72"/>
      <c r="EC241" s="9"/>
      <c r="ED241" s="72"/>
      <c r="EE241" s="9"/>
      <c r="EF241" s="72"/>
      <c r="EG241" s="9"/>
      <c r="EH241" s="72"/>
      <c r="EI241" s="9"/>
      <c r="EJ241" s="72"/>
      <c r="EK241" s="9"/>
      <c r="EL241" s="72"/>
      <c r="EM241" s="9"/>
      <c r="EN241" s="72"/>
      <c r="EO241" s="9"/>
      <c r="EP241" s="72"/>
      <c r="EQ241" s="9"/>
      <c r="ER241" s="72"/>
      <c r="ES241" s="9"/>
      <c r="ET241" s="72"/>
      <c r="EU241" s="9"/>
      <c r="EV241" s="72"/>
      <c r="EW241" s="9"/>
      <c r="EX241" s="72"/>
      <c r="EY241" s="72"/>
      <c r="EZ241" s="296"/>
      <c r="FA241" s="72"/>
      <c r="FB241" s="9"/>
      <c r="FC241" s="11"/>
      <c r="FD241" s="9"/>
      <c r="FE241" s="72"/>
      <c r="FF241" s="16"/>
      <c r="FG241" s="72"/>
      <c r="FH241" s="16"/>
      <c r="FI241" s="72"/>
      <c r="FJ241" s="16"/>
      <c r="FK241" s="72"/>
      <c r="FL241" s="16"/>
      <c r="FM241" s="72"/>
      <c r="FN241" s="16"/>
      <c r="FO241" s="72"/>
      <c r="FP241" s="9"/>
      <c r="FQ241" s="72"/>
      <c r="FR241" s="9"/>
      <c r="FS241" s="72"/>
      <c r="FT241" s="9"/>
      <c r="FU241" s="72"/>
      <c r="FV241" s="9"/>
      <c r="FW241" s="72"/>
      <c r="FX241" s="9"/>
      <c r="FY241" s="72"/>
      <c r="FZ241" s="9"/>
      <c r="GA241" s="72"/>
      <c r="GB241" s="9"/>
      <c r="GC241" s="72"/>
      <c r="GD241" s="9"/>
      <c r="GE241" s="72"/>
      <c r="GF241" s="9"/>
      <c r="GG241" s="72"/>
      <c r="GH241" s="9"/>
      <c r="GI241" s="72"/>
      <c r="GJ241" s="729"/>
      <c r="GK241" s="532"/>
      <c r="GL241" s="729"/>
      <c r="GM241" s="532"/>
      <c r="GN241" s="729"/>
      <c r="GO241" s="532"/>
      <c r="GP241" s="729"/>
      <c r="GQ241" s="532"/>
      <c r="GR241" s="9"/>
      <c r="GS241" s="532"/>
      <c r="GT241" s="9"/>
      <c r="GU241" s="72"/>
      <c r="GV241" s="9"/>
      <c r="GW241" s="72"/>
      <c r="GX241" s="9"/>
      <c r="GY241" s="72"/>
      <c r="GZ241" s="72"/>
      <c r="HA241" s="72"/>
      <c r="HB241" s="72"/>
      <c r="HC241"/>
      <c r="HD241"/>
      <c r="HE241"/>
      <c r="HF241"/>
      <c r="HG241"/>
      <c r="HH241"/>
      <c r="HI241" s="2"/>
    </row>
    <row r="242" spans="1:217" ht="12.75" customHeight="1" x14ac:dyDescent="0.2">
      <c r="A242" s="2" t="s">
        <v>413</v>
      </c>
      <c r="B242" s="77" t="s">
        <v>446</v>
      </c>
      <c r="C242" s="105">
        <f>C235/C229*100</f>
        <v>97.064220183486242</v>
      </c>
      <c r="D242" s="72"/>
      <c r="E242" s="105">
        <f>E235/E229*100</f>
        <v>90.016920473773268</v>
      </c>
      <c r="F242" s="72"/>
      <c r="G242" s="105">
        <f>G235/G229*100</f>
        <v>83.427495291902076</v>
      </c>
      <c r="H242" s="72"/>
      <c r="I242" s="105">
        <f>I235/I229*100</f>
        <v>86.21794871794873</v>
      </c>
      <c r="J242" s="72"/>
      <c r="K242" s="105">
        <f>K235/K229*100</f>
        <v>89.776357827476033</v>
      </c>
      <c r="L242" s="72">
        <f>IF(ISERROR(K242/C242),"NA",IF(OR(K242/C242&gt;2,K242/C242&lt;0.5),"NM",K242/C242*100-100))</f>
        <v>-7.5082891947553065</v>
      </c>
      <c r="M242" s="105">
        <f>M235/M229*100</f>
        <v>95.107033639143737</v>
      </c>
      <c r="N242" s="72">
        <f>IF(ISERROR(M242/E242),"NA",IF(OR(M242/E242&gt;2,M242/E242&lt;0.5),"NM",M242/E242*100-100))</f>
        <v>5.6546181968683271</v>
      </c>
      <c r="O242" s="105">
        <f>O235/O229*100</f>
        <v>97.175141242937855</v>
      </c>
      <c r="P242" s="72">
        <f>IF(ISERROR(O242/G242),"NA",IF(OR(O242/G242&gt;2,O242/G242&lt;0.5),"NM",O242/G242*100-100))</f>
        <v>16.478555304740411</v>
      </c>
      <c r="Q242" s="105">
        <f>Q235/Q229*100</f>
        <v>89.825581395348848</v>
      </c>
      <c r="R242" s="72">
        <f>IF(ISERROR(Q242/I242),"NA",IF(OR(Q242/I242&gt;2,Q242/I242&lt;0.5),"NM",Q242/I242*100-100))</f>
        <v>4.1843174548283883</v>
      </c>
      <c r="S242" s="105">
        <f>S235/S229*100</f>
        <v>90.348525469168905</v>
      </c>
      <c r="T242" s="72">
        <f>IF(ISERROR(S242/K242),"NA",IF(OR(S242/K242&gt;2,S242/K242&lt;0.5),"NM",S242/K242*100-100))</f>
        <v>0.6373255225973935</v>
      </c>
      <c r="U242" s="105">
        <f>U235/U229*100</f>
        <v>91.957104557640747</v>
      </c>
      <c r="V242" s="72">
        <f>IF(ISERROR(U242/M242),"NA",IF(OR(U242/M242&gt;2,U242/M242&lt;0.5),"NM",U242/M242*100-100))</f>
        <v>-3.3119833107764549</v>
      </c>
      <c r="W242" s="105">
        <f>W235/W229*100</f>
        <v>92.965517241379317</v>
      </c>
      <c r="X242" s="72">
        <f>IF(ISERROR(W242/O242),"NA",IF(OR(W242/O242&gt;2,W242/O242&lt;0.5),"NM",W242/O242*100-100))</f>
        <v>-4.3319967923015241</v>
      </c>
      <c r="Y242" s="105">
        <f>Y235/Y229*100</f>
        <v>88.492063492063494</v>
      </c>
      <c r="Z242" s="72">
        <f>IF(ISERROR(Y242/Q242),"NA",IF(OR(Y242/Q242&gt;2,Y242/Q242&lt;0.5),"NM",Y242/Q242*100-100))</f>
        <v>-1.4845636204859574</v>
      </c>
      <c r="AA242" s="105">
        <f>AA235/AA229*100</f>
        <v>92.26932668329178</v>
      </c>
      <c r="AB242" s="72">
        <f>IF(ISERROR(AA242/S242),"NA",IF(OR(AA242/S242&gt;2,AA242/S242&lt;0.5),"NM",AA242/S242*100-100))</f>
        <v>2.1259906613288848</v>
      </c>
      <c r="AC242" s="105">
        <f>AC235/AC229*100</f>
        <v>89.243027888446207</v>
      </c>
      <c r="AD242" s="72">
        <f>IF(ISERROR(AC242/U242),"NA",IF(OR(AC242/U242&gt;2,AC242/U242&lt;0.5),"NM",AC242/U242*100-100))</f>
        <v>-2.9514594682494533</v>
      </c>
      <c r="AE242" s="105">
        <f>AE235/AE229*100</f>
        <v>91.71195652173914</v>
      </c>
      <c r="AF242" s="72">
        <f>IF(ISERROR(AE242/W242),"NA",IF(OR(AE242/W242&gt;2,AE242/W242&lt;0.5),"NM",AE242/W242*100-100))</f>
        <v>-1.3484147206812054</v>
      </c>
      <c r="AG242" s="105">
        <f>AG235/AG229*100</f>
        <v>91.377091377091375</v>
      </c>
      <c r="AH242" s="72">
        <f>IF(ISERROR(AG242/Y242),"NA",IF(OR(AG242/Y242&gt;2,AG242/Y242&lt;0.5),"NM",AG242/Y242*100-100))</f>
        <v>3.260210883529254</v>
      </c>
      <c r="AI242" s="105">
        <f>AI235/AI229*100</f>
        <v>92.242424242424235</v>
      </c>
      <c r="AJ242" s="72">
        <f>IF(ISERROR(AI242/AA242),"NA",IF(OR(AI242/AA242&gt;2,AI242/AA242&lt;0.5),"NM",AI242/AA242*100-100))</f>
        <v>-2.915642915645833E-2</v>
      </c>
      <c r="AK242" s="105">
        <f>AK235/AK229*100</f>
        <v>88.833746898263016</v>
      </c>
      <c r="AL242" s="72">
        <f>IF(ISERROR(AK242/AC242),"NA",IF(OR(AK242/AC242&gt;2,AK242/AC242&lt;0.5),"NM",AK242/AC242*100-100))</f>
        <v>-0.45861396667848453</v>
      </c>
      <c r="AM242" s="105">
        <f>AM235/AM229*100</f>
        <v>89.221556886227546</v>
      </c>
      <c r="AN242" s="72">
        <f>IF(ISERROR(AM242/AE242),"NA",IF(OR(AM242/AE242&gt;2,AM242/AE242&lt;0.5),"NM",AM242/AE242*100-100))</f>
        <v>-2.7154579729430139</v>
      </c>
      <c r="AO242" s="105">
        <f>AO235/AO229*100</f>
        <v>85.714285714285708</v>
      </c>
      <c r="AP242" s="72">
        <f>IF(ISERROR(AO242/AG242),"NA",IF(OR(AO242/AG242&gt;2,AO242/AG242&lt;0.5),"NM",AO242/AG242*100-100))</f>
        <v>-6.1971830985915517</v>
      </c>
      <c r="AQ242" s="105">
        <f>AQ235/AQ229*100</f>
        <v>92.713004484304932</v>
      </c>
      <c r="AR242" s="72">
        <f>IF(ISERROR(AQ242/AI242),"NA",IF(OR(AQ242/AI242&gt;2,AQ242/AI242&lt;0.5),"NM",AQ242/AI242*100-100))</f>
        <v>0.51015597838576809</v>
      </c>
      <c r="AS242" s="105">
        <f>AS235/AS229*100</f>
        <v>90.687361419068736</v>
      </c>
      <c r="AT242" s="72">
        <f>IF(ISERROR(AS242/AK242),"NA",IF(OR(AS242/AK242&gt;2,AS242/AK242&lt;0.5),"NM",AS242/AK242*100-100))</f>
        <v>2.0866107594544872</v>
      </c>
      <c r="AU242" s="105">
        <f>AU235/AU229*100</f>
        <v>89.863325740318913</v>
      </c>
      <c r="AV242" s="72">
        <f>IF(ISERROR(AU242/AM242),"NA",IF(OR(AU242/AM242&gt;2,AU242/AM242&lt;0.5),"NM",AU242/AM242*100-100))</f>
        <v>0.71929797740442325</v>
      </c>
      <c r="AW242" s="105">
        <f>AW235/AW229*100</f>
        <v>87.739032620922387</v>
      </c>
      <c r="AX242" s="72">
        <f>IF(ISERROR(AW242/AO242),"NA",IF(OR(AW242/AO242&gt;2,AW242/AO242&lt;0.5),"NM",AW242/AO242*100-100))</f>
        <v>2.3622047244094659</v>
      </c>
      <c r="AY242" s="105">
        <f>AY235/AY229*100</f>
        <v>91.101694915254242</v>
      </c>
      <c r="AZ242" s="72">
        <f>IF(ISERROR(AY242/AQ242),"NA",IF(OR(AY242/AQ242&gt;2,AY242/AQ242&lt;0.5),"NM",AY242/AQ242*100-100))</f>
        <v>-1.7379542147439082</v>
      </c>
      <c r="BA242" s="105">
        <f>BA235/BA229*100</f>
        <v>94.10526315789474</v>
      </c>
      <c r="BB242" s="72">
        <f>IF(ISERROR(BA242/AS242),"NA",IF(OR(BA242/AS242&gt;2,BA242/AS242&lt;0.5),"NM",BA242/AS242*100-100))</f>
        <v>3.7688843134731798</v>
      </c>
      <c r="BC242" s="105">
        <f>BC235/BC229*100</f>
        <v>87.742594484167512</v>
      </c>
      <c r="BD242" s="72">
        <f>IF(ISERROR(BC242/AU242),"NA",IF(OR(BC242/AU242&gt;2,BC242/AU242&lt;0.5),"NM",BC242/AU242*100-100))</f>
        <v>-2.3599518921431297</v>
      </c>
      <c r="BE242" s="105">
        <f>BE235/BE229*100</f>
        <v>89.292929292929287</v>
      </c>
      <c r="BF242" s="72">
        <f>IF(ISERROR(BE242/AW242),"NA",IF(OR(BE242/AW242&gt;2,BE242/AW242&lt;0.5),"NM",BE242/AW242*100-100))</f>
        <v>1.7710437710437503</v>
      </c>
      <c r="BG242" s="105">
        <f>BG235/BG229*100</f>
        <v>91.487279843444227</v>
      </c>
      <c r="BH242" s="72">
        <f>IF(ISERROR(BG242/AY242),"NA",IF(OR(BG242/AY242&gt;2,BG242/AY242&lt;0.5),"NM",BG242/AY242*100-100))</f>
        <v>0.42324671187365936</v>
      </c>
      <c r="BI242" s="105">
        <f>BI235/BI229*100</f>
        <v>89.668615984405449</v>
      </c>
      <c r="BJ242" s="72">
        <f>IF(ISERROR(BI242/BA242),"NA",IF(OR(BI242/BA242&gt;2,BI242/BA242&lt;0.5),"NM",BI242/BA242*100-100))</f>
        <v>-4.7145579584058481</v>
      </c>
      <c r="BK242" s="105">
        <f>BK235/BK229*100</f>
        <v>86.991062562065551</v>
      </c>
      <c r="BL242" s="72">
        <f>IF(ISERROR(BK242/BC242),"NA",IF(OR(BK242/BC242&gt;2,BK242/BC242&lt;0.5),"NM",BK242/BC242*100-100))</f>
        <v>-0.85651891936882407</v>
      </c>
      <c r="BM242" s="105">
        <f>BM235/BM229*100</f>
        <v>90.101010101010104</v>
      </c>
      <c r="BN242" s="72">
        <f>IF(ISERROR(BM242/BE242),"NA",IF(OR(BM242/BE242&gt;2,BM242/BE242&lt;0.5),"NM",BM242/BE242*100-100))</f>
        <v>0.90497737556563607</v>
      </c>
      <c r="BO242" s="105">
        <f>BO235/BO229*100</f>
        <v>88.070829450139797</v>
      </c>
      <c r="BP242" s="72">
        <f>IF(ISERROR(BO242/BG242),"NA",IF(OR(BO242/BG242&gt;2,BO242/BG242&lt;0.5),"NM",BO242/BG242*100-100))</f>
        <v>-3.7343447079755379</v>
      </c>
      <c r="BQ242" s="105">
        <f>BQ235/BQ229*100</f>
        <v>88.792270531400959</v>
      </c>
      <c r="BR242" s="72">
        <f>IF(ISERROR(BQ242/BI242),"NA",IF(OR(BQ242/BI242&gt;2,BQ242/BI242&lt;0.5),"NM",BQ242/BI242*100-100))</f>
        <v>-0.97731568998109708</v>
      </c>
      <c r="BS242" s="105">
        <f>BS235/BS229*100</f>
        <v>86.450381679389309</v>
      </c>
      <c r="BT242" s="72">
        <f>IF(ISERROR(BS242/BK242),"NA",IF(OR(BS242/BK242&gt;2,BS242/BK242&lt;0.5),"NM",BS242/BK242*100-100))</f>
        <v>-0.62153612882987375</v>
      </c>
      <c r="BU242" s="105">
        <f>BU235/BU229*100</f>
        <v>89.915966386554629</v>
      </c>
      <c r="BV242" s="72">
        <f>IF(ISERROR(BU242/BM242),"NA",IF(OR(BU242/BM242&gt;2,BU242/BM242&lt;0.5),"NM",BU242/BM242*100-100))</f>
        <v>-0.20537362927233005</v>
      </c>
      <c r="BW242" s="105">
        <f>BW235/BW229*100</f>
        <v>87.532693984306889</v>
      </c>
      <c r="BX242" s="72">
        <f>IF(ISERROR(BW242/BO242),"NA",IF(OR(BW242/BO242&gt;2,BW242/BO242&lt;0.5),"NM",BW242/BO242*100-100))</f>
        <v>-0.611025772316097</v>
      </c>
      <c r="BY242" s="105">
        <f>BY235/BY229*100</f>
        <v>86.785714285714292</v>
      </c>
      <c r="BZ242" s="72">
        <f>IF(ISERROR(BY242/BQ242),"NA",IF(OR(BY242/BQ242&gt;2,BY242/BQ242&lt;0.5),"NM",BY242/BQ242*100-100))</f>
        <v>-2.2598321156536514</v>
      </c>
      <c r="CA242" s="105">
        <f>CA235/CA229*100</f>
        <v>90.807560137457045</v>
      </c>
      <c r="CB242" s="72">
        <f>IF(ISERROR(CA242/BS242),"NA",IF(OR(CA242/BS242&gt;2,CA242/BS242&lt;0.5),"NM",CA242/BS242*100-100))</f>
        <v>5.0400916380297929</v>
      </c>
      <c r="CC242" s="105">
        <f>CC235/CC229*100</f>
        <v>89.039855072463766</v>
      </c>
      <c r="CD242" s="72">
        <f>IF(ISERROR(CC242/BU242),"NA",IF(OR(CC242/BU242&gt;2,CC242/BU242&lt;0.5),"NM",CC242/BU242*100-100))</f>
        <v>-0.97436678856834646</v>
      </c>
      <c r="CE242" s="105">
        <f>CE235/CE229*100</f>
        <v>90.37433155080214</v>
      </c>
      <c r="CF242" s="72">
        <f>IF(ISERROR(CE242/BW242),"NA",IF(OR(CE242/BW242&gt;2,CE242/BW242&lt;0.5),"NM",CE242/BW242*100-100))</f>
        <v>3.2463727975797383</v>
      </c>
      <c r="CG242" s="105">
        <f>CG235/CG229*100</f>
        <v>92.266666666666666</v>
      </c>
      <c r="CH242" s="72">
        <f>IF(ISERROR(CG242/BY242),"NA",IF(OR(CG242/BY242&gt;2,CG242/BY242&lt;0.5),"NM",CG242/BY242*100-100))</f>
        <v>6.3155006858710578</v>
      </c>
      <c r="CI242" s="105">
        <f>CI235/CI229*100</f>
        <v>91.358994501178316</v>
      </c>
      <c r="CJ242" s="72">
        <f>IF(ISERROR(CI242/CA242),"NA",IF(OR(CI242/CA242&gt;2,CI242/CA242&lt;0.5),"NM",CI242/CA242*100-100))</f>
        <v>0.60725600697404047</v>
      </c>
      <c r="CK242" s="105">
        <f>CK235/CK229*100</f>
        <v>89.527896995708161</v>
      </c>
      <c r="CL242" s="72">
        <f>IF(ISERROR(CK242/CC242),"NA",IF(OR(CK242/CC242&gt;2,CK242/CC242&lt;0.5),"NM",CK242/CC242*100-100))</f>
        <v>0.54811625967630562</v>
      </c>
      <c r="CM242" s="105">
        <f>CM235/CM229*100</f>
        <v>92.66615737203972</v>
      </c>
      <c r="CN242" s="72">
        <f>IF(ISERROR(CM242/CE242),"NA",IF(OR(CM242/CE242&gt;2,CM242/CE242&lt;0.5),"NM",CM242/CE242*100-100))</f>
        <v>2.535925612848672</v>
      </c>
      <c r="CO242" s="105">
        <f>CO235/CO229*100</f>
        <v>92.003105590062106</v>
      </c>
      <c r="CP242" s="72">
        <f>IF(ISERROR(CO242/CG242),"NA",IF(OR(CO242/CG242&gt;2,CO242/CG242&lt;0.5),"NM",CO242/CG242*100-100))</f>
        <v>-0.28565145585753271</v>
      </c>
      <c r="CQ242" s="105">
        <f>CQ235/CQ229*100</f>
        <v>90.171606864274565</v>
      </c>
      <c r="CR242" s="72">
        <f>IF(ISERROR(CQ242/CI242),"NA",IF(OR(CQ242/CI242&gt;2,CQ242/CI242&lt;0.5),"NM",CQ242/CI242*100-100))</f>
        <v>-1.2996942921569001</v>
      </c>
      <c r="CS242" s="105">
        <f>CS235/CS229*100</f>
        <v>89.206868356500408</v>
      </c>
      <c r="CT242" s="72">
        <f>IF(ISERROR(CS242/CK242),"NA",IF(OR(CS242/CK242&gt;2,CS242/CK242&lt;0.5),"NM",CS242/CK242*100-100))</f>
        <v>-0.35857944839600009</v>
      </c>
      <c r="CU242" s="105">
        <f>CU235/CU229*100</f>
        <v>96.639344262295083</v>
      </c>
      <c r="CV242" s="95">
        <f>IF(ISERROR(CU242/CM242),"NA",IF(OR(CU242/CM242&gt;2,CU242/CM242&lt;0.5),"NM",CU242/CM242*100-100))</f>
        <v>4.2876353168543062</v>
      </c>
      <c r="CW242" s="105">
        <f>CW235/CW229*100</f>
        <v>90.253890253890262</v>
      </c>
      <c r="CX242" s="95">
        <f>IF(ISERROR(CW242/CO242),"NA",IF(OR(CW242/CO242&gt;2,CW242/CO242&lt;0.5),"NM",CW242/CO242*100-100))</f>
        <v>-1.9012568379656756</v>
      </c>
      <c r="CY242" s="105">
        <f>CY235/CY229*100</f>
        <v>91.377921031426268</v>
      </c>
      <c r="CZ242" s="72">
        <f>IF(ISERROR(CY242/CQ242),"NA",IF(OR(CY242/CQ242&gt;2,CY242/CQ242&lt;0.5),"NM",CY242/CQ242*100-100))</f>
        <v>1.3377982372737733</v>
      </c>
      <c r="DA242" s="105">
        <f>DA235/DA229*100</f>
        <v>90.783034257748767</v>
      </c>
      <c r="DB242" s="72">
        <f>IF(ISERROR(DA242/CS242),"NA",IF(OR(DA242/CS242&gt;2,DA242/CS242&lt;0.5),"NM",DA242/CS242*100-100))</f>
        <v>1.7668660836175292</v>
      </c>
      <c r="DC242" s="105">
        <f>DC235/DC229*100</f>
        <v>92.58957654723126</v>
      </c>
      <c r="DD242" s="72">
        <f>IF(ISERROR(DC242/CU242),"NA",IF(OR(DC242/CU242&gt;2,DC242/CU242&lt;0.5),"NM",DC242/CU242*100-100))</f>
        <v>-4.1905993319574719</v>
      </c>
      <c r="DE242" s="105">
        <f>DE235/DE229*100</f>
        <v>91.072891072891068</v>
      </c>
      <c r="DF242" s="72">
        <f>IF(ISERROR(DE242/CW242),"NA",IF(OR(DE242/CW242&gt;2,DE242/CW242&lt;0.5),"NM",DE242/CW242*100-100))</f>
        <v>0.9074410163339337</v>
      </c>
      <c r="DG242" s="105">
        <f>DG235/DG229*100</f>
        <v>86.165670367207511</v>
      </c>
      <c r="DH242" s="72">
        <f>IF(ISERROR(DG242/CY242),"NA",IF(OR(DG242/CY242&gt;2,DG242/CY242&lt;0.5),"NM",DG242/CY242*100-100))</f>
        <v>-5.7040591484087173</v>
      </c>
      <c r="DI242" s="105">
        <f>DI235/DI229*100</f>
        <v>87.185929648241199</v>
      </c>
      <c r="DJ242" s="72">
        <f>IF(ISERROR(DI242/DA242),"NA",IF(OR(DI242/DA242&gt;2,DI242/DA242&lt;0.5),"NM",DI242/DA242*100-100))</f>
        <v>-3.9623093003201149</v>
      </c>
      <c r="DK242" s="105">
        <f>DK235/DK229*100</f>
        <v>91.474850809889176</v>
      </c>
      <c r="DL242" s="72">
        <f>IF(ISERROR(DK242/DC242),"NA",IF(OR(DK242/DC242&gt;2,DK242/DC242&lt;0.5),"NM",DK242/DC242*100-100))</f>
        <v>-1.2039430127142197</v>
      </c>
      <c r="DM242" s="105">
        <f>DM235/DM229*100</f>
        <v>88.412017167381975</v>
      </c>
      <c r="DN242" s="72">
        <f t="shared" ref="DN242:DZ246" si="1482">IF(ISERROR(DM242/DE242),"NA",IF(OR(DM242/DE242&gt;2,DM242/DE242&lt;0.5),"NM",DM242/DE242*100-100))</f>
        <v>-2.9216969771821937</v>
      </c>
      <c r="DO242" s="105">
        <f>DO235/DO229*100</f>
        <v>97.945205479452056</v>
      </c>
      <c r="DP242" s="72">
        <f t="shared" si="1482"/>
        <v>13.670798430563295</v>
      </c>
      <c r="DQ242" s="105">
        <f>DQ235/DQ229*100</f>
        <v>86.428571428571431</v>
      </c>
      <c r="DR242" s="72">
        <f t="shared" si="1482"/>
        <v>-0.86867023466446369</v>
      </c>
      <c r="DS242" s="105">
        <f>DS235/DS229*100</f>
        <v>89.526411657559208</v>
      </c>
      <c r="DT242" s="72">
        <f t="shared" si="1482"/>
        <v>-2.1300271441594134</v>
      </c>
      <c r="DU242" s="105">
        <f>DU235/DU229*100</f>
        <v>82.608695652173907</v>
      </c>
      <c r="DV242" s="72">
        <f t="shared" si="1482"/>
        <v>-6.5639510341916463</v>
      </c>
      <c r="DW242" s="105">
        <f>DW235/DW229*100</f>
        <v>87.444345503116651</v>
      </c>
      <c r="DX242" s="72">
        <f t="shared" si="1482"/>
        <v>-10.721157738076698</v>
      </c>
      <c r="DY242" s="105">
        <f>DY235/DY229*100</f>
        <v>86.785714285714292</v>
      </c>
      <c r="DZ242" s="72">
        <f t="shared" si="1482"/>
        <v>0.41322314049587305</v>
      </c>
      <c r="EA242" s="105">
        <f>EA235/EA229*100</f>
        <v>88.082901554404145</v>
      </c>
      <c r="EB242" s="72">
        <f>IF(ISERROR(EA242/DS242),"NA",IF(OR(EA242/DS242&gt;2,EA242/DS242&lt;0.5),"NM",EA242/DS242*100-100))</f>
        <v>-1.6123846320083999</v>
      </c>
      <c r="EC242" s="105">
        <f>EC235/EC229*100</f>
        <v>83.835845896147404</v>
      </c>
      <c r="ED242" s="72">
        <f>IF(ISERROR(EC242/DU242),"NA",IF(OR(EC242/DU242&gt;2,EC242/DU242&lt;0.5),"NM",EC242/DU242*100-100))</f>
        <v>1.4854976637573856</v>
      </c>
      <c r="EE242" s="105">
        <f>EE235/EE229*100</f>
        <v>87.065972222222214</v>
      </c>
      <c r="EF242" s="72">
        <f>IF(ISERROR(EE242/DW242),"NA",IF(OR(EE242/DW242&gt;2,EE242/DW242&lt;0.5),"NM",EE242/DW242*100-100))</f>
        <v>-0.43270182733651552</v>
      </c>
      <c r="EG242" s="105">
        <f>EG235/EG229*100</f>
        <v>87.958115183246079</v>
      </c>
      <c r="EH242" s="72">
        <f>IF(ISERROR(EG242/DY242),"NA",IF(OR(EG242/DY242&gt;2,EG242/DY242&lt;0.5),"NM",EG242/DY242*100-100))</f>
        <v>1.3509146144399296</v>
      </c>
      <c r="EI242" s="105">
        <f>EI235/EI229*100</f>
        <v>89.046822742474916</v>
      </c>
      <c r="EJ242" s="72">
        <f>IF(ISERROR(EI242/EA242),"NA",IF(OR(EI242/EA242&gt;2,EI242/EA242&lt;0.5),"NM",EI242/EA242*100-100))</f>
        <v>1.0943340546920979</v>
      </c>
      <c r="EK242" s="105">
        <f>EK235/EK229*100</f>
        <v>80</v>
      </c>
      <c r="EL242" s="72">
        <f>IF(ISERROR(EK242/EC242),"NA",IF(OR(EK242/EC242&gt;2,EK242/EC242&lt;0.5),"NM",EK242/EC242*100-100))</f>
        <v>-4.5754245754245773</v>
      </c>
      <c r="EM242" s="105">
        <f>EM235/EM229*100</f>
        <v>85.485232067510552</v>
      </c>
      <c r="EN242" s="72">
        <f>IF(ISERROR(EM242/EE242),"NA",IF(OR(EM242/EE242&gt;2,EM242/EE242&lt;0.5),"NM",EM242/EE242*100-100))</f>
        <v>-1.8155659603468024</v>
      </c>
      <c r="EO242" s="105">
        <f>EO235/EO229*100</f>
        <v>88.615123194562457</v>
      </c>
      <c r="EP242" s="72">
        <f>IF(ISERROR(EO242/EG242),"NA",IF(OR(EO242/EG242&gt;2,EO242/EG242&lt;0.5),"NM",EO242/EG242*100-100))</f>
        <v>0.74695553667515924</v>
      </c>
      <c r="EQ242" s="104">
        <v>88</v>
      </c>
      <c r="ER242" s="72">
        <f t="shared" ref="ER242:ER246" si="1483">IF(ISERROR(EQ242/EI242),"NA",IF(OR(EQ242/EI242&gt;2,EQ242/EI242&lt;0.5),"NM",EQ242/EI242*100-100))</f>
        <v>-1.1755868544600929</v>
      </c>
      <c r="ES242" s="104">
        <f>EQ242-0.5</f>
        <v>87.5</v>
      </c>
      <c r="ET242" s="72">
        <f t="shared" ref="ET242:ET246" si="1484">IF(ISERROR(ES242/EK242),"NA",IF(OR(ES242/EK242&gt;2,ES242/EK242&lt;0.5),"NM",ES242/EK242*100-100))</f>
        <v>9.375</v>
      </c>
      <c r="EU242" s="104">
        <f>ES242-0.5</f>
        <v>87</v>
      </c>
      <c r="EV242" s="72">
        <f t="shared" ref="EV242:EV246" si="1485">IF(ISERROR(EU242/EM242),"NA",IF(OR(EU242/EM242&gt;2,EU242/EM242&lt;0.5),"NM",EU242/EM242*100-100))</f>
        <v>1.7719644619940738</v>
      </c>
      <c r="EW242" s="104">
        <f>EU242-0.5</f>
        <v>86.5</v>
      </c>
      <c r="EX242" s="72">
        <f t="shared" ref="EX242:EX246" si="1486">IF(ISERROR(EW242/EO242),"NA",IF(OR(EW242/EO242&gt;2,EW242/EO242&lt;0.5),"NM",EW242/EO242*100-100))</f>
        <v>-2.386864813039324</v>
      </c>
      <c r="EY242" s="72"/>
      <c r="EZ242" s="309"/>
      <c r="FA242" s="72"/>
      <c r="FB242" s="105">
        <f>FB235/FB229*100</f>
        <v>94.01709401709401</v>
      </c>
      <c r="FC242" s="82"/>
      <c r="FD242" s="105">
        <f>FD235/FD229*100</f>
        <v>91.281785158277117</v>
      </c>
      <c r="FE242" s="72">
        <f>IF(ISERROR(FD242/FB242),"NA",IF(OR(FD242/FB242&gt;2,FD242/FB242&lt;0.5),"NM",FD242/FB242*100-100))</f>
        <v>-2.9093739680143216</v>
      </c>
      <c r="FF242" s="105">
        <f>FF235/FF229*100</f>
        <v>89.131383675250987</v>
      </c>
      <c r="FG242" s="72">
        <f>IF(ISERROR(FF242/FD242),"NA",IF(OR(FF242/FD242&gt;2,FF242/FD242&lt;0.5),"NM",FF242/FD242*100-100))</f>
        <v>-2.3557837736164657</v>
      </c>
      <c r="FH242" s="105">
        <f>FH235/FH229*100</f>
        <v>93.049327354260086</v>
      </c>
      <c r="FI242" s="72">
        <f>IF(ISERROR(FH242/FF242),"NA",IF(OR(FH242/FF242&gt;2,FH242/FF242&lt;0.5),"NM",FH242/FF242*100-100))</f>
        <v>4.3956948915817122</v>
      </c>
      <c r="FJ242" s="105">
        <f>FJ235/FJ229*100</f>
        <v>90.918264379414737</v>
      </c>
      <c r="FK242" s="72">
        <f>IF(ISERROR(FJ242/FH242),"NA",IF(OR(FJ242/FH242&gt;2,FJ242/FH242&lt;0.5),"NM",FJ242/FH242*100-100))</f>
        <v>-2.2902508115205507</v>
      </c>
      <c r="FL242" s="105">
        <f>FL235/FL229*100</f>
        <v>91.166883963494129</v>
      </c>
      <c r="FM242" s="72">
        <f>IF(ISERROR(FL242/FJ242),"NA",IF(OR(FL242/FJ242&gt;2,FL242/FJ242&lt;0.5),"NM",FL242/FJ242*100-100))</f>
        <v>0.27345394874880924</v>
      </c>
      <c r="FN242" s="105">
        <f>FN235/FN229*100</f>
        <v>89.003645200486019</v>
      </c>
      <c r="FO242" s="72">
        <f>IF(ISERROR(FN242/FL242),"NA",IF(OR(FN242/FL242&gt;2,FN242/FL242&lt;0.5),"NM",FN242/FL242*100-100))</f>
        <v>-2.3728339381154342</v>
      </c>
      <c r="FP242" s="105">
        <f>FP235/FP229*100</f>
        <v>90.255546194889078</v>
      </c>
      <c r="FQ242" s="72">
        <f>IF(ISERROR(FP242/FN242),"NA",IF(OR(FP242/FN242&gt;2,FP242/FN242&lt;0.5),"NM",FP242/FN242*100-100))</f>
        <v>1.4065727213565964</v>
      </c>
      <c r="FR242" s="105">
        <f>FR235/FR229*100</f>
        <v>90.525498317369923</v>
      </c>
      <c r="FS242" s="72">
        <f>IF(ISERROR(FR242/FP242),"NA",IF(OR(FR242/FP242&gt;2,FR242/FP242&lt;0.5),"NM",FR242/FP242*100-100))</f>
        <v>0.29909754454084236</v>
      </c>
      <c r="FT242" s="105">
        <f>FT235/FT229*100</f>
        <v>89.567367119901107</v>
      </c>
      <c r="FU242" s="72">
        <f>IF(ISERROR(FT242/FR242),"NA",IF(OR(FT242/FR242&gt;2,FT242/FR242&lt;0.5),"NM",FT242/FR242*100-100))</f>
        <v>-1.0584102990626434</v>
      </c>
      <c r="FV242" s="105">
        <f>FV235/FV229*100</f>
        <v>88.31322450910811</v>
      </c>
      <c r="FW242" s="72">
        <f>IF(ISERROR(FV242/FT242),"NA",IF(OR(FV242/FT242&gt;2,FV242/FT242&lt;0.5),"NM",FV242/FT242*100-100))</f>
        <v>-1.4002227051221752</v>
      </c>
      <c r="FX242" s="105">
        <f>FX235/FX229*100</f>
        <v>88.55567805953693</v>
      </c>
      <c r="FY242" s="72">
        <f>IF(ISERROR(FX242/FV242),"NA",IF(OR(FX242/FV242&gt;2,FX242/FV242&lt;0.5),"NM",FX242/FV242*100-100))</f>
        <v>0.27453821528600031</v>
      </c>
      <c r="FZ242" s="105">
        <f>FZ235/FZ229*100</f>
        <v>90.885805763073634</v>
      </c>
      <c r="GA242" s="72">
        <f>IF(ISERROR(FZ242/FX242),"NA",IF(OR(FZ242/FX242&gt;2,FZ242/FX242&lt;0.5),"NM",FZ242/FX242*100-100))</f>
        <v>2.6312572548652895</v>
      </c>
      <c r="GB242" s="105">
        <f>GB235/GB229*100</f>
        <v>91.042728341826745</v>
      </c>
      <c r="GC242" s="72">
        <f>IF(ISERROR(GB242/FZ242),"NA",IF(OR(GB242/FZ242&gt;2,GB242/FZ242&lt;0.5),"NM",GB242/FZ242*100-100))</f>
        <v>0.17265906093430772</v>
      </c>
      <c r="GD242" s="105">
        <f>GD235/GD229*100</f>
        <v>92.257538712306442</v>
      </c>
      <c r="GE242" s="72">
        <f>IF(ISERROR(GD242/GB242),"NA",IF(OR(GD242/GB242&gt;2,GD242/GB242&lt;0.5),"NM",GD242/GB242*100-100))</f>
        <v>1.3343299268433668</v>
      </c>
      <c r="GF242" s="105">
        <f>GF235/GF229*100</f>
        <v>89.302035729123389</v>
      </c>
      <c r="GG242" s="72">
        <f>IF(ISERROR(GF242/GD242),"NA",IF(OR(GF242/GD242&gt;2,GF242/GD242&lt;0.5),"NM",GF242/GD242*100-100))</f>
        <v>-3.2035354773547766</v>
      </c>
      <c r="GH242" s="105">
        <f>GH235/GH229*100</f>
        <v>91.115434500648504</v>
      </c>
      <c r="GI242" s="72">
        <f t="shared" ref="GI242:GU246" si="1487">IF(ISERROR(GH242/GF242),"NA",IF(OR(GH242/GF242&gt;2,GH242/GF242&lt;0.5),"NM",GH242/GF242*100-100))</f>
        <v>2.0306354236152373</v>
      </c>
      <c r="GJ242" s="735">
        <f>GJ235/GJ229*100</f>
        <v>86.571172784243515</v>
      </c>
      <c r="GK242" s="532">
        <f t="shared" si="1487"/>
        <v>-4.9873676631291772</v>
      </c>
      <c r="GL242" s="735">
        <f>GL235/GL229*100</f>
        <v>86.709677419354833</v>
      </c>
      <c r="GM242" s="532">
        <f t="shared" si="1487"/>
        <v>0.15998932514926878</v>
      </c>
      <c r="GN242" s="735">
        <f>GN235/GN229*100</f>
        <v>85.783487784330248</v>
      </c>
      <c r="GO242" s="532">
        <f t="shared" si="1487"/>
        <v>-1.0681502487262691</v>
      </c>
      <c r="GP242" s="735">
        <f>GP235/GP229*100</f>
        <v>87.243781217667916</v>
      </c>
      <c r="GQ242" s="532">
        <f t="shared" si="1487"/>
        <v>1.7023013065276871</v>
      </c>
      <c r="GR242" s="220">
        <f>GP242</f>
        <v>87.243781217667916</v>
      </c>
      <c r="GS242" s="532">
        <f t="shared" si="1487"/>
        <v>0</v>
      </c>
      <c r="GT242" s="220">
        <f>GR242-0.05</f>
        <v>87.193781217667919</v>
      </c>
      <c r="GU242" s="72">
        <f t="shared" si="1487"/>
        <v>-5.7310675101589936E-2</v>
      </c>
      <c r="GV242" s="220">
        <f>GT242</f>
        <v>87.193781217667919</v>
      </c>
      <c r="GW242" s="72">
        <f>IF(ISERROR(GV242/GT242),"NA",IF(OR(GV242/GT242&gt;2,GV242/GT242&lt;0.5),"NM",GV242/GT242*100-100))</f>
        <v>0</v>
      </c>
      <c r="GX242" s="220">
        <f>GV242</f>
        <v>87.193781217667919</v>
      </c>
      <c r="GY242" s="72">
        <f>IF(ISERROR(GX242/GV242),"NA",IF(OR(GX242/GV242&gt;2,GX242/GV242&lt;0.5),"NM",GX242/GV242*100-100))</f>
        <v>0</v>
      </c>
      <c r="GZ242" s="72">
        <f>IF(ISERROR(((GX242/GN242)^0.2-1)*100),"NA",IF((((GX242/GN242)^0.2-1)*100)&gt;100,"NM",IF((((GX242/GN242)^0.2-1)*100)&lt;-50,"NM",((GX242/GN242)^0.2-1)*100)))</f>
        <v>0.32666186386580698</v>
      </c>
      <c r="HA242" s="72"/>
      <c r="HB242" s="72"/>
    </row>
    <row r="243" spans="1:217" s="236" customFormat="1" ht="12.75" hidden="1" customHeight="1" outlineLevel="1" x14ac:dyDescent="0.2">
      <c r="B243" s="233" t="s">
        <v>359</v>
      </c>
      <c r="C243" s="237"/>
      <c r="D243" s="137"/>
      <c r="E243" s="237"/>
      <c r="F243" s="137"/>
      <c r="G243" s="237"/>
      <c r="H243" s="137"/>
      <c r="I243" s="237"/>
      <c r="J243" s="137"/>
      <c r="K243" s="237"/>
      <c r="L243" s="137"/>
      <c r="M243" s="237"/>
      <c r="N243" s="137"/>
      <c r="O243" s="237"/>
      <c r="P243" s="137"/>
      <c r="Q243" s="237"/>
      <c r="R243" s="137"/>
      <c r="S243" s="237"/>
      <c r="T243" s="137"/>
      <c r="U243" s="237"/>
      <c r="V243" s="137"/>
      <c r="W243" s="237"/>
      <c r="X243" s="137"/>
      <c r="Y243" s="237"/>
      <c r="Z243" s="137"/>
      <c r="AA243" s="237"/>
      <c r="AB243" s="137"/>
      <c r="AC243" s="237"/>
      <c r="AD243" s="137"/>
      <c r="AE243" s="237"/>
      <c r="AF243" s="137"/>
      <c r="AG243" s="237"/>
      <c r="AH243" s="137"/>
      <c r="AI243" s="237"/>
      <c r="AJ243" s="137"/>
      <c r="AK243" s="237"/>
      <c r="AL243" s="137"/>
      <c r="AM243" s="237"/>
      <c r="AN243" s="137"/>
      <c r="AO243" s="237"/>
      <c r="AP243" s="137"/>
      <c r="AQ243" s="237"/>
      <c r="AR243" s="137"/>
      <c r="AS243" s="237"/>
      <c r="AT243" s="137"/>
      <c r="AU243" s="237"/>
      <c r="AV243" s="137"/>
      <c r="AW243" s="237"/>
      <c r="AX243" s="137"/>
      <c r="AY243" s="237"/>
      <c r="AZ243" s="137"/>
      <c r="BA243" s="237"/>
      <c r="BB243" s="137"/>
      <c r="BC243" s="237"/>
      <c r="BD243" s="137"/>
      <c r="BE243" s="237"/>
      <c r="BF243" s="137"/>
      <c r="BG243" s="237"/>
      <c r="BH243" s="137"/>
      <c r="BI243" s="237"/>
      <c r="BJ243" s="137"/>
      <c r="BK243" s="237"/>
      <c r="BL243" s="137"/>
      <c r="BM243" s="237"/>
      <c r="BN243" s="137"/>
      <c r="BO243" s="237"/>
      <c r="BP243" s="137"/>
      <c r="BQ243" s="237"/>
      <c r="BR243" s="137"/>
      <c r="BS243" s="237"/>
      <c r="BT243" s="137"/>
      <c r="BU243" s="237"/>
      <c r="BV243" s="137"/>
      <c r="BW243" s="237"/>
      <c r="BX243" s="137"/>
      <c r="BY243" s="237"/>
      <c r="BZ243" s="137"/>
      <c r="CA243" s="237"/>
      <c r="CB243" s="137"/>
      <c r="CC243" s="237"/>
      <c r="CD243" s="137"/>
      <c r="CE243" s="237"/>
      <c r="CF243" s="137"/>
      <c r="CG243" s="237"/>
      <c r="CH243" s="137"/>
      <c r="CI243" s="237"/>
      <c r="CJ243" s="137"/>
      <c r="CK243" s="237"/>
      <c r="CL243" s="137"/>
      <c r="CM243" s="237"/>
      <c r="CN243" s="137"/>
      <c r="CO243" s="237"/>
      <c r="CP243" s="137"/>
      <c r="CQ243" s="237"/>
      <c r="CR243" s="137"/>
      <c r="CS243" s="237"/>
      <c r="CT243" s="137"/>
      <c r="CU243" s="237"/>
      <c r="CV243" s="137"/>
      <c r="CW243" s="237"/>
      <c r="CX243" s="137"/>
      <c r="CY243" s="237"/>
      <c r="CZ243" s="137"/>
      <c r="DA243" s="237"/>
      <c r="DB243" s="137"/>
      <c r="DC243" s="237"/>
      <c r="DD243" s="137"/>
      <c r="DE243" s="237"/>
      <c r="DF243" s="72" t="str">
        <f>IF(ISERROR(DE243/CW243),"NA",IF(OR(DE243/CW243&gt;2,DE243/CW243&lt;0.5),"NM",DE243/CW243*100-100))</f>
        <v>NA</v>
      </c>
      <c r="DG243" s="237"/>
      <c r="DH243" s="72" t="str">
        <f>IF(ISERROR(DG243/CY243),"NA",IF(OR(DG243/CY243&gt;2,DG243/CY243&lt;0.5),"NM",DG243/CY243*100-100))</f>
        <v>NA</v>
      </c>
      <c r="DI243" s="237"/>
      <c r="DJ243" s="137"/>
      <c r="DK243" s="237"/>
      <c r="DL243" s="137"/>
      <c r="DM243" s="237"/>
      <c r="DN243" s="72" t="str">
        <f t="shared" si="1482"/>
        <v>NA</v>
      </c>
      <c r="DO243" s="237"/>
      <c r="DP243" s="72" t="str">
        <f t="shared" si="1482"/>
        <v>NA</v>
      </c>
      <c r="DQ243" s="237"/>
      <c r="DR243" s="72" t="str">
        <f t="shared" si="1482"/>
        <v>NA</v>
      </c>
      <c r="DS243" s="237"/>
      <c r="DT243" s="72" t="str">
        <f t="shared" si="1482"/>
        <v>NA</v>
      </c>
      <c r="DU243" s="237"/>
      <c r="DV243" s="72" t="str">
        <f t="shared" si="1482"/>
        <v>NA</v>
      </c>
      <c r="DW243" s="237"/>
      <c r="DX243" s="72" t="str">
        <f t="shared" si="1482"/>
        <v>NA</v>
      </c>
      <c r="DY243" s="237"/>
      <c r="DZ243" s="72" t="str">
        <f t="shared" si="1482"/>
        <v>NA</v>
      </c>
      <c r="EA243" s="237"/>
      <c r="EB243" s="72" t="str">
        <f>IF(ISERROR(EA243/DS243),"NA",IF(OR(EA243/DS243&gt;2,EA243/DS243&lt;0.5),"NM",EA243/DS243*100-100))</f>
        <v>NA</v>
      </c>
      <c r="EC243" s="237"/>
      <c r="ED243" s="72" t="str">
        <f>IF(ISERROR(EC243/DU243),"NA",IF(OR(EC243/DU243&gt;2,EC243/DU243&lt;0.5),"NM",EC243/DU243*100-100))</f>
        <v>NA</v>
      </c>
      <c r="EE243" s="237"/>
      <c r="EF243" s="72" t="str">
        <f>IF(ISERROR(EE243/DW243),"NA",IF(OR(EE243/DW243&gt;2,EE243/DW243&lt;0.5),"NM",EE243/DW243*100-100))</f>
        <v>NA</v>
      </c>
      <c r="EG243" s="237"/>
      <c r="EH243" s="72" t="str">
        <f>IF(ISERROR(EG243/DY243),"NA",IF(OR(EG243/DY243&gt;2,EG243/DY243&lt;0.5),"NM",EG243/DY243*100-100))</f>
        <v>NA</v>
      </c>
      <c r="EI243" s="237"/>
      <c r="EJ243" s="72" t="str">
        <f>IF(ISERROR(EI243/EA243),"NA",IF(OR(EI243/EA243&gt;2,EI243/EA243&lt;0.5),"NM",EI243/EA243*100-100))</f>
        <v>NA</v>
      </c>
      <c r="EK243" s="237"/>
      <c r="EL243" s="72" t="str">
        <f>IF(ISERROR(EK243/EC243),"NA",IF(OR(EK243/EC243&gt;2,EK243/EC243&lt;0.5),"NM",EK243/EC243*100-100))</f>
        <v>NA</v>
      </c>
      <c r="EM243" s="237"/>
      <c r="EN243" s="72" t="str">
        <f>IF(ISERROR(EM243/EE243),"NA",IF(OR(EM243/EE243&gt;2,EM243/EE243&lt;0.5),"NM",EM243/EE243*100-100))</f>
        <v>NA</v>
      </c>
      <c r="EO243" s="237"/>
      <c r="EP243" s="72" t="str">
        <f>IF(ISERROR(EO243/EG243),"NA",IF(OR(EO243/EG243&gt;2,EO243/EG243&lt;0.5),"NM",EO243/EG243*100-100))</f>
        <v>NA</v>
      </c>
      <c r="EQ243" s="237">
        <f>IF($B$6=1,EQ242,IF($B$6=2,EQ242+EQ884,IF($B$6=3,EQ242+EQ885)))</f>
        <v>88</v>
      </c>
      <c r="ER243" s="72" t="str">
        <f t="shared" si="1483"/>
        <v>NA</v>
      </c>
      <c r="ES243" s="237">
        <f>IF($B$6=1,ES242,IF($B$6=2,ES242+ES884,IF($B$6=3,ES242+ES885)))</f>
        <v>87.5</v>
      </c>
      <c r="ET243" s="72" t="str">
        <f t="shared" si="1484"/>
        <v>NA</v>
      </c>
      <c r="EU243" s="237">
        <f>IF($B$6=1,EU242,IF($B$6=2,EU242+EU884,IF($B$6=3,EU242+EU885)))</f>
        <v>87</v>
      </c>
      <c r="EV243" s="72" t="str">
        <f t="shared" si="1485"/>
        <v>NA</v>
      </c>
      <c r="EW243" s="237">
        <f>IF($B$6=1,EW242,IF($B$6=2,EW242+EW884,IF($B$6=3,EW242+EW885)))</f>
        <v>86.5</v>
      </c>
      <c r="EX243" s="72" t="str">
        <f t="shared" si="1486"/>
        <v>NA</v>
      </c>
      <c r="EY243" s="137"/>
      <c r="EZ243" s="313"/>
      <c r="FA243" s="137"/>
      <c r="FB243" s="237"/>
      <c r="FC243" s="138"/>
      <c r="FD243" s="237"/>
      <c r="FE243" s="137"/>
      <c r="FF243" s="237"/>
      <c r="FG243" s="137"/>
      <c r="FH243" s="237"/>
      <c r="FI243" s="137"/>
      <c r="FJ243" s="237"/>
      <c r="FK243" s="137"/>
      <c r="FL243" s="237"/>
      <c r="FM243" s="137"/>
      <c r="FN243" s="237"/>
      <c r="FO243" s="137"/>
      <c r="FP243" s="237"/>
      <c r="FQ243" s="137"/>
      <c r="FR243" s="237"/>
      <c r="FS243" s="137"/>
      <c r="FT243" s="237"/>
      <c r="FU243" s="137"/>
      <c r="FV243" s="237"/>
      <c r="FW243" s="137"/>
      <c r="FX243" s="237"/>
      <c r="FY243" s="137"/>
      <c r="FZ243" s="237"/>
      <c r="GA243" s="137"/>
      <c r="GB243" s="237"/>
      <c r="GC243" s="137"/>
      <c r="GD243" s="237"/>
      <c r="GE243" s="137"/>
      <c r="GF243" s="237"/>
      <c r="GG243" s="137"/>
      <c r="GH243" s="237"/>
      <c r="GI243" s="72" t="str">
        <f t="shared" si="1487"/>
        <v>NA</v>
      </c>
      <c r="GJ243" s="736"/>
      <c r="GK243" s="532" t="str">
        <f t="shared" si="1487"/>
        <v>NA</v>
      </c>
      <c r="GL243" s="736"/>
      <c r="GM243" s="532" t="str">
        <f t="shared" si="1487"/>
        <v>NA</v>
      </c>
      <c r="GN243" s="736"/>
      <c r="GO243" s="532" t="str">
        <f t="shared" si="1487"/>
        <v>NA</v>
      </c>
      <c r="GP243" s="736"/>
      <c r="GQ243" s="532" t="str">
        <f t="shared" si="1487"/>
        <v>NA</v>
      </c>
      <c r="GR243" s="237">
        <f>IF($B$6=1,GR242,IF($B$6=2,GR242+GR884,IF($B$6=3,GR242+GR885)))</f>
        <v>87.243781217667916</v>
      </c>
      <c r="GS243" s="532" t="str">
        <f t="shared" si="1487"/>
        <v>NA</v>
      </c>
      <c r="GT243" s="237">
        <f>IF($B$6=1,GT242,IF($B$6=2,GT242+GT884,IF($B$6=3,GT242+GT885)))</f>
        <v>87.193781217667919</v>
      </c>
      <c r="GU243" s="72">
        <f t="shared" si="1487"/>
        <v>-5.7310675101589936E-2</v>
      </c>
      <c r="GV243" s="237">
        <f>IF($B$6=1,GV242,IF($B$6=2,GV242+GV884,IF($B$6=3,GV242+GV885)))</f>
        <v>87.193781217667919</v>
      </c>
      <c r="GW243" s="72">
        <f>IF(ISERROR(GV243/GT243),"NA",IF(OR(GV243/GT243&gt;2,GV243/GT243&lt;0.5),"NM",GV243/GT243*100-100))</f>
        <v>0</v>
      </c>
      <c r="GX243" s="237">
        <f>IF($B$6=1,GX242,IF($B$6=2,GX242+GX884,IF($B$6=3,GX242+GX885)))</f>
        <v>87.193781217667919</v>
      </c>
      <c r="GY243" s="72">
        <f>IF(ISERROR(GX243/GV243),"NA",IF(OR(GX243/GV243&gt;2,GX243/GV243&lt;0.5),"NM",GX243/GV243*100-100))</f>
        <v>0</v>
      </c>
      <c r="GZ243" s="137"/>
      <c r="HA243" s="137"/>
      <c r="HB243" s="137"/>
      <c r="HC243"/>
      <c r="HD243"/>
      <c r="HE243"/>
      <c r="HF243"/>
      <c r="HG243"/>
      <c r="HH243"/>
    </row>
    <row r="244" spans="1:217" ht="12.75" customHeight="1" collapsed="1" x14ac:dyDescent="0.2">
      <c r="B244" s="77" t="s">
        <v>157</v>
      </c>
      <c r="C244" s="105">
        <f>C236/C230*100</f>
        <v>39.166666666666664</v>
      </c>
      <c r="D244" s="72"/>
      <c r="E244" s="105">
        <f>E236/E230*100</f>
        <v>40.517241379310342</v>
      </c>
      <c r="F244" s="72"/>
      <c r="G244" s="105">
        <f>G236/G230*100</f>
        <v>43.220338983050851</v>
      </c>
      <c r="H244" s="72"/>
      <c r="I244" s="105">
        <f>I236/I230*100</f>
        <v>41.984732824427482</v>
      </c>
      <c r="J244" s="72"/>
      <c r="K244" s="105">
        <f>K236/K230*100</f>
        <v>38.970588235294116</v>
      </c>
      <c r="L244" s="72">
        <f>IF(ISERROR(K244/C244),"NA",IF(OR(K244/C244&gt;2,K244/C244&lt;0.5),"NM",K244/C244*100-100))</f>
        <v>-0.50062578222778598</v>
      </c>
      <c r="M244" s="105">
        <f>M236/M230*100</f>
        <v>38.686131386861319</v>
      </c>
      <c r="N244" s="72">
        <f>IF(ISERROR(M244/E244),"NA",IF(OR(M244/E244&gt;2,M244/E244&lt;0.5),"NM",M244/E244*100-100))</f>
        <v>-4.5193353005124806</v>
      </c>
      <c r="O244" s="105">
        <f>O236/O230*100</f>
        <v>42.537313432835823</v>
      </c>
      <c r="P244" s="72">
        <f>IF(ISERROR(O244/G244),"NA",IF(OR(O244/G244&gt;2,O244/G244&lt;0.5),"NM",O244/G244*100-100))</f>
        <v>-1.5803336259877057</v>
      </c>
      <c r="Q244" s="105">
        <f>Q236/Q230*100</f>
        <v>43.571428571428569</v>
      </c>
      <c r="R244" s="72">
        <f>IF(ISERROR(Q244/I244),"NA",IF(OR(Q244/I244&gt;2,Q244/I244&lt;0.5),"NM",Q244/I244*100-100))</f>
        <v>3.7792207792207648</v>
      </c>
      <c r="S244" s="105">
        <f>S236/S230*100</f>
        <v>39.705882352941174</v>
      </c>
      <c r="T244" s="72">
        <f>IF(ISERROR(S244/K244),"NA",IF(OR(S244/K244&gt;2,S244/K244&lt;0.5),"NM",S244/K244*100-100))</f>
        <v>1.8867924528301927</v>
      </c>
      <c r="U244" s="105">
        <f>U236/U230*100</f>
        <v>38.775510204081634</v>
      </c>
      <c r="V244" s="72">
        <f>IF(ISERROR(U244/M244),"NA",IF(OR(U244/M244&gt;2,U244/M244&lt;0.5),"NM",U244/M244*100-100))</f>
        <v>0.2310358105506225</v>
      </c>
      <c r="W244" s="105">
        <f>W236/W230*100</f>
        <v>40.816326530612244</v>
      </c>
      <c r="X244" s="72">
        <f>IF(ISERROR(W244/O244),"NA",IF(OR(W244/O244&gt;2,W244/O244&lt;0.5),"NM",W244/O244*100-100))</f>
        <v>-4.0458288578589361</v>
      </c>
      <c r="Y244" s="105">
        <f>Y236/Y230*100</f>
        <v>43.243243243243242</v>
      </c>
      <c r="Z244" s="72">
        <f>IF(ISERROR(Y244/Q244),"NA",IF(OR(Y244/Q244&gt;2,Y244/Q244&lt;0.5),"NM",Y244/Q244*100-100))</f>
        <v>-0.75321222862206128</v>
      </c>
      <c r="AA244" s="105">
        <f>AA236/AA230*100</f>
        <v>39.735099337748345</v>
      </c>
      <c r="AB244" s="72">
        <f>IF(ISERROR(AA244/S244),"NA",IF(OR(AA244/S244&gt;2,AA244/S244&lt;0.5),"NM",AA244/S244*100-100))</f>
        <v>7.3583517292135525E-2</v>
      </c>
      <c r="AC244" s="105">
        <f>AC236/AC230*100</f>
        <v>38</v>
      </c>
      <c r="AD244" s="72">
        <f>IF(ISERROR(AC244/U244),"NA",IF(OR(AC244/U244&gt;2,AC244/U244&lt;0.5),"NM",AC244/U244*100-100))</f>
        <v>-2</v>
      </c>
      <c r="AE244" s="105">
        <f>AE236/AE230*100</f>
        <v>36.231884057971016</v>
      </c>
      <c r="AF244" s="72">
        <f>IF(ISERROR(AE244/W244),"NA",IF(OR(AE244/W244&gt;2,AE244/W244&lt;0.5),"NM",AE244/W244*100-100))</f>
        <v>-11.231884057971016</v>
      </c>
      <c r="AG244" s="105">
        <f>AG236/AG230*100</f>
        <v>34.027777777777779</v>
      </c>
      <c r="AH244" s="72">
        <f>IF(ISERROR(AG244/Y244),"NA",IF(OR(AG244/Y244&gt;2,AG244/Y244&lt;0.5),"NM",AG244/Y244*100-100))</f>
        <v>-21.310763888888886</v>
      </c>
      <c r="AI244" s="105">
        <f>AI236/AI230*100</f>
        <v>38.518518518518519</v>
      </c>
      <c r="AJ244" s="72">
        <f>IF(ISERROR(AI244/AA244),"NA",IF(OR(AI244/AA244&gt;2,AI244/AA244&lt;0.5),"NM",AI244/AA244*100-100))</f>
        <v>-3.0617283950617207</v>
      </c>
      <c r="AK244" s="105">
        <f>AK236/AK230*100</f>
        <v>39.130434782608695</v>
      </c>
      <c r="AL244" s="72">
        <f>IF(ISERROR(AK244/AC244),"NA",IF(OR(AK244/AC244&gt;2,AK244/AC244&lt;0.5),"NM",AK244/AC244*100-100))</f>
        <v>2.9748283752860374</v>
      </c>
      <c r="AM244" s="105">
        <f>AM236/AM230*100</f>
        <v>37.06293706293706</v>
      </c>
      <c r="AN244" s="72">
        <f>IF(ISERROR(AM244/AE244),"NA",IF(OR(AM244/AE244&gt;2,AM244/AE244&lt;0.5),"NM",AM244/AE244*100-100))</f>
        <v>2.2937062937062933</v>
      </c>
      <c r="AO244" s="105">
        <f>AO236/AO230*100</f>
        <v>35.172413793103445</v>
      </c>
      <c r="AP244" s="72">
        <f>IF(ISERROR(AO244/AG244),"NA",IF(OR(AO244/AG244&gt;2,AO244/AG244&lt;0.5),"NM",AO244/AG244*100-100))</f>
        <v>3.3638282899366487</v>
      </c>
      <c r="AQ244" s="105">
        <f>AQ236/AQ230*100</f>
        <v>33.774834437086092</v>
      </c>
      <c r="AR244" s="72">
        <f>IF(ISERROR(AQ244/AI244),"NA",IF(OR(AQ244/AI244&gt;2,AQ244/AI244&lt;0.5),"NM",AQ244/AI244*100-100))</f>
        <v>-12.315333672949563</v>
      </c>
      <c r="AS244" s="105">
        <f>AS236/AS230*100</f>
        <v>35.135135135135137</v>
      </c>
      <c r="AT244" s="72">
        <f>IF(ISERROR(AS244/AK244),"NA",IF(OR(AS244/AK244&gt;2,AS244/AK244&lt;0.5),"NM",AS244/AK244*100-100))</f>
        <v>-10.210210210210207</v>
      </c>
      <c r="AU244" s="105">
        <f>AU236/AU230*100</f>
        <v>34.013605442176868</v>
      </c>
      <c r="AV244" s="72">
        <f>IF(ISERROR(AU244/AM244),"NA",IF(OR(AU244/AM244&gt;2,AU244/AM244&lt;0.5),"NM",AU244/AM244*100-100))</f>
        <v>-8.2274419201642957</v>
      </c>
      <c r="AW244" s="105">
        <f>AW236/AW230*100</f>
        <v>32.653061224489797</v>
      </c>
      <c r="AX244" s="72">
        <f>IF(ISERROR(AW244/AO244),"NA",IF(OR(AW244/AO244&gt;2,AW244/AO244&lt;0.5),"NM",AW244/AO244*100-100))</f>
        <v>-7.1628651460584223</v>
      </c>
      <c r="AY244" s="105">
        <f>AY236/AY230*100</f>
        <v>33.108108108108105</v>
      </c>
      <c r="AZ244" s="72">
        <f>IF(ISERROR(AY244/AQ244),"NA",IF(OR(AY244/AQ244&gt;2,AY244/AQ244&lt;0.5),"NM",AY244/AQ244*100-100))</f>
        <v>-1.9740328563858043</v>
      </c>
      <c r="BA244" s="105">
        <f>BA236/BA230*100</f>
        <v>31.372549019607842</v>
      </c>
      <c r="BB244" s="72">
        <f>IF(ISERROR(BA244/AS244),"NA",IF(OR(BA244/AS244&gt;2,BA244/AS244&lt;0.5),"NM",BA244/AS244*100-100))</f>
        <v>-10.708898944193066</v>
      </c>
      <c r="BC244" s="105">
        <f>BC236/BC230*100</f>
        <v>33.121019108280251</v>
      </c>
      <c r="BD244" s="72">
        <f>IF(ISERROR(BC244/AU244),"NA",IF(OR(BC244/AU244&gt;2,BC244/AU244&lt;0.5),"NM",BC244/AU244*100-100))</f>
        <v>-2.624203821656053</v>
      </c>
      <c r="BE244" s="105">
        <f>BE236/BE230*100</f>
        <v>33.742331288343557</v>
      </c>
      <c r="BF244" s="72">
        <f>IF(ISERROR(BE244/AW244),"NA",IF(OR(BE244/AW244&gt;2,BE244/AW244&lt;0.5),"NM",BE244/AW244*100-100))</f>
        <v>3.3358895705521263</v>
      </c>
      <c r="BG244" s="105">
        <f>BG236/BG230*100</f>
        <v>35.975609756097562</v>
      </c>
      <c r="BH244" s="72">
        <f>IF(ISERROR(BG244/AY244),"NA",IF(OR(BG244/AY244&gt;2,BG244/AY244&lt;0.5),"NM",BG244/AY244*100-100))</f>
        <v>8.6610253857640771</v>
      </c>
      <c r="BI244" s="105">
        <f>BI236/BI230*100</f>
        <v>34.939759036144579</v>
      </c>
      <c r="BJ244" s="72">
        <f>IF(ISERROR(BI244/BA244),"NA",IF(OR(BI244/BA244&gt;2,BI244/BA244&lt;0.5),"NM",BI244/BA244*100-100))</f>
        <v>11.370481927710841</v>
      </c>
      <c r="BK244" s="105">
        <f>BK236/BK230*100</f>
        <v>35.294117647058826</v>
      </c>
      <c r="BL244" s="72">
        <f>IF(ISERROR(BK244/BC244),"NA",IF(OR(BK244/BC244&gt;2,BK244/BC244&lt;0.5),"NM",BK244/BC244*100-100))</f>
        <v>6.5610859728507052</v>
      </c>
      <c r="BM244" s="105">
        <f>BM236/BM230*100</f>
        <v>36.84210526315789</v>
      </c>
      <c r="BN244" s="72">
        <f>IF(ISERROR(BM244/BE244),"NA",IF(OR(BM244/BE244&gt;2,BM244/BE244&lt;0.5),"NM",BM244/BE244*100-100))</f>
        <v>9.1866028708133882</v>
      </c>
      <c r="BO244" s="105">
        <f>BO236/BO230*100</f>
        <v>36.196319018404907</v>
      </c>
      <c r="BP244" s="72">
        <f>IF(ISERROR(BO244/BG244),"NA",IF(OR(BO244/BG244&gt;2,BO244/BG244&lt;0.5),"NM",BO244/BG244*100-100))</f>
        <v>0.61349693251533211</v>
      </c>
      <c r="BQ244" s="105">
        <f>BQ236/BQ230*100</f>
        <v>34.782608695652172</v>
      </c>
      <c r="BR244" s="72">
        <f>IF(ISERROR(BQ244/BI244),"NA",IF(OR(BQ244/BI244&gt;2,BQ244/BI244&lt;0.5),"NM",BQ244/BI244*100-100))</f>
        <v>-0.44977511244378832</v>
      </c>
      <c r="BS244" s="105">
        <f>BS236/BS230*100</f>
        <v>37.037037037037038</v>
      </c>
      <c r="BT244" s="72">
        <f>IF(ISERROR(BS244/BK244),"NA",IF(OR(BS244/BK244&gt;2,BS244/BK244&lt;0.5),"NM",BS244/BK244*100-100))</f>
        <v>4.9382716049382651</v>
      </c>
      <c r="BU244" s="105">
        <f>BU236/BU230*100</f>
        <v>35.403726708074537</v>
      </c>
      <c r="BV244" s="72">
        <f>IF(ISERROR(BU244/BM244),"NA",IF(OR(BU244/BM244&gt;2,BU244/BM244&lt;0.5),"NM",BU244/BM244*100-100))</f>
        <v>-3.9041703637976752</v>
      </c>
      <c r="BW244" s="105">
        <f>BW236/BW230*100</f>
        <v>36.538461538461533</v>
      </c>
      <c r="BX244" s="72">
        <f>IF(ISERROR(BW244/BO244),"NA",IF(OR(BW244/BO244&gt;2,BW244/BO244&lt;0.5),"NM",BW244/BO244*100-100))</f>
        <v>0.94524119947847396</v>
      </c>
      <c r="BY244" s="105">
        <f>BY236/BY230*100</f>
        <v>36</v>
      </c>
      <c r="BZ244" s="72">
        <f>IF(ISERROR(BY244/BQ244),"NA",IF(OR(BY244/BQ244&gt;2,BY244/BQ244&lt;0.5),"NM",BY244/BQ244*100-100))</f>
        <v>3.5000000000000142</v>
      </c>
      <c r="CA244" s="105">
        <f>CA236/CA230*100</f>
        <v>37.179487179487182</v>
      </c>
      <c r="CB244" s="72">
        <f>IF(ISERROR(CA244/BS244),"NA",IF(OR(CA244/BS244&gt;2,CA244/BS244&lt;0.5),"NM",CA244/BS244*100-100))</f>
        <v>0.3846153846153868</v>
      </c>
      <c r="CC244" s="105">
        <f>CC236/CC230*100</f>
        <v>37.267080745341616</v>
      </c>
      <c r="CD244" s="72">
        <f>IF(ISERROR(CC244/BU244),"NA",IF(OR(CC244/BU244&gt;2,CC244/BU244&lt;0.5),"NM",CC244/BU244*100-100))</f>
        <v>5.2631578947368354</v>
      </c>
      <c r="CE244" s="105">
        <f>CE236/CE230*100</f>
        <v>35.185185185185183</v>
      </c>
      <c r="CF244" s="72">
        <f>IF(ISERROR(CE244/BW244),"NA",IF(OR(CE244/BW244&gt;2,CE244/BW244&lt;0.5),"NM",CE244/BW244*100-100))</f>
        <v>-3.7037037037036953</v>
      </c>
      <c r="CG244" s="105">
        <f>CG236/CG230*100</f>
        <v>32.53012048192771</v>
      </c>
      <c r="CH244" s="72">
        <f>IF(ISERROR(CG244/BY244),"NA",IF(OR(CG244/BY244&gt;2,CG244/BY244&lt;0.5),"NM",CG244/BY244*100-100))</f>
        <v>-9.6385542168674618</v>
      </c>
      <c r="CI244" s="105">
        <f>CI236/CI230*100</f>
        <v>33.727810650887577</v>
      </c>
      <c r="CJ244" s="72">
        <f>IF(ISERROR(CI244/CA244),"NA",IF(OR(CI244/CA244&gt;2,CI244/CA244&lt;0.5),"NM",CI244/CA244*100-100))</f>
        <v>-9.2838196286472225</v>
      </c>
      <c r="CK244" s="105">
        <f>CK236/CK230*100</f>
        <v>34.502923976608187</v>
      </c>
      <c r="CL244" s="72">
        <f>IF(ISERROR(CK244/CC244),"NA",IF(OR(CK244/CC244&gt;2,CK244/CC244&lt;0.5),"NM",CK244/CC244*100-100))</f>
        <v>-7.4171539961013622</v>
      </c>
      <c r="CM244" s="105">
        <f>CM236/CM230*100</f>
        <v>33.333333333333329</v>
      </c>
      <c r="CN244" s="72">
        <f>IF(ISERROR(CM244/CE244),"NA",IF(OR(CM244/CE244&gt;2,CM244/CE244&lt;0.5),"NM",CM244/CE244*100-100))</f>
        <v>-5.2631578947368496</v>
      </c>
      <c r="CO244" s="105">
        <f>CO236/CO230*100</f>
        <v>32.369942196531795</v>
      </c>
      <c r="CP244" s="72">
        <f>IF(ISERROR(CO244/CG244),"NA",IF(OR(CO244/CG244&gt;2,CO244/CG244&lt;0.5),"NM",CO244/CG244*100-100))</f>
        <v>-0.49239991436522246</v>
      </c>
      <c r="CQ244" s="105">
        <f>CQ236/CQ230*100</f>
        <v>39.310344827586206</v>
      </c>
      <c r="CR244" s="72">
        <f>IF(ISERROR(CQ244/CI244),"NA",IF(OR(CQ244/CI244&gt;2,CQ244/CI244&lt;0.5),"NM",CQ244/CI244*100-100))</f>
        <v>16.551724137931018</v>
      </c>
      <c r="CS244" s="105">
        <f>CS236/CS230*100</f>
        <v>41.428571428571431</v>
      </c>
      <c r="CT244" s="72">
        <f>IF(ISERROR(CS244/CK244),"NA",IF(OR(CS244/CK244&gt;2,CS244/CK244&lt;0.5),"NM",CS244/CK244*100-100))</f>
        <v>20.072639225181604</v>
      </c>
      <c r="CU244" s="105">
        <f>CU236/CU230*100</f>
        <v>38.356164383561641</v>
      </c>
      <c r="CV244" s="72">
        <f>IF(ISERROR(CU244/CM244),"NA",IF(OR(CU244/CM244&gt;2,CU244/CM244&lt;0.5),"NM",CU244/CM244*100-100))</f>
        <v>15.068493150684944</v>
      </c>
      <c r="CW244" s="105">
        <f>CW236/CW230*100</f>
        <v>39.726027397260275</v>
      </c>
      <c r="CX244" s="72">
        <f>IF(ISERROR(CW244/CO244),"NA",IF(OR(CW244/CO244&gt;2,CW244/CO244&lt;0.5),"NM",CW244/CO244*100-100))</f>
        <v>22.725048923679054</v>
      </c>
      <c r="CY244" s="105">
        <f>CY236/CY230*100</f>
        <v>37.837837837837839</v>
      </c>
      <c r="CZ244" s="72">
        <f>IF(ISERROR(CY244/CQ244),"NA",IF(OR(CY244/CQ244&gt;2,CY244/CQ244&lt;0.5),"NM",CY244/CQ244*100-100))</f>
        <v>-3.7458511142721562</v>
      </c>
      <c r="DA244" s="105">
        <f>DA236/DA230*100</f>
        <v>39.726027397260275</v>
      </c>
      <c r="DB244" s="72">
        <f>IF(ISERROR(DA244/CS244),"NA",IF(OR(DA244/CS244&gt;2,DA244/CS244&lt;0.5),"NM",DA244/CS244*100-100))</f>
        <v>-4.1095890410959015</v>
      </c>
      <c r="DC244" s="105">
        <f>DC236/DC230*100</f>
        <v>39.86013986013986</v>
      </c>
      <c r="DD244" s="72">
        <f>IF(ISERROR(DC244/CU244),"NA",IF(OR(DC244/CU244&gt;2,DC244/CU244&lt;0.5),"NM",DC244/CU244*100-100))</f>
        <v>3.9210789210789301</v>
      </c>
      <c r="DE244" s="105">
        <f>DE236/DE230*100</f>
        <v>37.333333333333336</v>
      </c>
      <c r="DF244" s="72">
        <f>IF(ISERROR(DE244/CW244),"NA",IF(OR(DE244/CW244&gt;2,DE244/CW244&lt;0.5),"NM",DE244/CW244*100-100))</f>
        <v>-6.0229885057471222</v>
      </c>
      <c r="DG244" s="105">
        <f>DG236/DG230*100</f>
        <v>40.972222222222221</v>
      </c>
      <c r="DH244" s="72">
        <f>IF(ISERROR(DG244/CY244),"NA",IF(OR(DG244/CY244&gt;2,DG244/CY244&lt;0.5),"NM",DG244/CY244*100-100))</f>
        <v>8.2837301587301653</v>
      </c>
      <c r="DI244" s="105">
        <f>DI236/DI230*100</f>
        <v>40.54054054054054</v>
      </c>
      <c r="DJ244" s="72">
        <f>IF(ISERROR(DI244/DA244),"NA",IF(OR(DI244/DA244&gt;2,DI244/DA244&lt;0.5),"NM",DI244/DA244*100-100))</f>
        <v>2.0503261882572303</v>
      </c>
      <c r="DK244" s="105">
        <f>DK236/DK230*100</f>
        <v>38.364779874213838</v>
      </c>
      <c r="DL244" s="72">
        <f>IF(ISERROR(DK244/DC244),"NA",IF(OR(DK244/DC244&gt;2,DK244/DC244&lt;0.5),"NM",DK244/DC244*100-100))</f>
        <v>-3.7515171576740585</v>
      </c>
      <c r="DM244" s="105">
        <f>DM236/DM230*100</f>
        <v>41.379310344827587</v>
      </c>
      <c r="DN244" s="72">
        <f t="shared" si="1482"/>
        <v>10.83743842364531</v>
      </c>
      <c r="DO244" s="105">
        <f>DO236/DO230*100</f>
        <v>40</v>
      </c>
      <c r="DP244" s="72">
        <f t="shared" si="1482"/>
        <v>-2.3728813559321935</v>
      </c>
      <c r="DQ244" s="105">
        <f>DQ236/DQ230*100</f>
        <v>42.207792207792203</v>
      </c>
      <c r="DR244" s="72">
        <f t="shared" si="1482"/>
        <v>4.1125541125540934</v>
      </c>
      <c r="DS244" s="105">
        <f>DS236/DS230*100</f>
        <v>37.671232876712331</v>
      </c>
      <c r="DT244" s="72">
        <f t="shared" si="1482"/>
        <v>-1.8077700426678689</v>
      </c>
      <c r="DU244" s="105">
        <f>DU236/DU230*100</f>
        <v>54.225352112676063</v>
      </c>
      <c r="DV244" s="72">
        <f t="shared" si="1482"/>
        <v>31.044600938967136</v>
      </c>
      <c r="DW244" s="105">
        <f>DW236/DW230*100</f>
        <v>40.127388535031848</v>
      </c>
      <c r="DX244" s="72">
        <f t="shared" si="1482"/>
        <v>0.31847133757962354</v>
      </c>
      <c r="DY244" s="105">
        <f>DY236/DY230*100</f>
        <v>43.971631205673759</v>
      </c>
      <c r="DZ244" s="72">
        <f t="shared" si="1482"/>
        <v>4.1789416257501415</v>
      </c>
      <c r="EA244" s="105">
        <f>EA236/EA230*100</f>
        <v>43.150684931506852</v>
      </c>
      <c r="EB244" s="72">
        <f>IF(ISERROR(EA244/DS244),"NA",IF(OR(EA244/DS244&gt;2,EA244/DS244&lt;0.5),"NM",EA244/DS244*100-100))</f>
        <v>14.545454545454547</v>
      </c>
      <c r="EC244" s="105">
        <f>EC236/EC230*100</f>
        <v>43.243243243243242</v>
      </c>
      <c r="ED244" s="72">
        <f>IF(ISERROR(EC244/DU244),"NA",IF(OR(EC244/DU244&gt;2,EC244/DU244&lt;0.5),"NM",EC244/DU244*100-100))</f>
        <v>-20.252720252720266</v>
      </c>
      <c r="EE244" s="105">
        <f>EE236/EE230*100</f>
        <v>42.307692307692307</v>
      </c>
      <c r="EF244" s="72">
        <f>IF(ISERROR(EE244/DW244),"NA",IF(OR(EE244/DW244&gt;2,EE244/DW244&lt;0.5),"NM",EE244/DW244*100-100))</f>
        <v>5.4334554334554355</v>
      </c>
      <c r="EG244" s="105">
        <f>EG236/EG230*100</f>
        <v>44.303797468354425</v>
      </c>
      <c r="EH244" s="72">
        <f>IF(ISERROR(EG244/DY244),"NA",IF(OR(EG244/DY244&gt;2,EG244/DY244&lt;0.5),"NM",EG244/DY244*100-100))</f>
        <v>0.75541037158022561</v>
      </c>
      <c r="EI244" s="105">
        <f>EI236/EI230*100</f>
        <v>40.606060606060609</v>
      </c>
      <c r="EJ244" s="72">
        <f>IF(ISERROR(EI244/EA244),"NA",IF(OR(EI244/EA244&gt;2,EI244/EA244&lt;0.5),"NM",EI244/EA244*100-100))</f>
        <v>-5.8970658970659002</v>
      </c>
      <c r="EK244" s="105">
        <f>EK236/EK230*100</f>
        <v>43.790849673202615</v>
      </c>
      <c r="EL244" s="72">
        <f>IF(ISERROR(EK244/EC244),"NA",IF(OR(EK244/EC244&gt;2,EK244/EC244&lt;0.5),"NM",EK244/EC244*100-100))</f>
        <v>1.2663398692810404</v>
      </c>
      <c r="EM244" s="105">
        <f>EM236/EM230*100</f>
        <v>43.870967741935488</v>
      </c>
      <c r="EN244" s="72">
        <f>IF(ISERROR(EM244/EE244),"NA",IF(OR(EM244/EE244&gt;2,EM244/EE244&lt;0.5),"NM",EM244/EE244*100-100))</f>
        <v>3.6950146627566198</v>
      </c>
      <c r="EO244" s="105">
        <f>EO236/EO230*100</f>
        <v>43.902439024390247</v>
      </c>
      <c r="EP244" s="72">
        <f>IF(ISERROR(EO244/EG244),"NA",IF(OR(EO244/EG244&gt;2,EO244/EG244&lt;0.5),"NM",EO244/EG244*100-100))</f>
        <v>-0.9059233449477091</v>
      </c>
      <c r="EQ244" s="104">
        <v>43.8</v>
      </c>
      <c r="ER244" s="72">
        <f t="shared" si="1483"/>
        <v>7.8656716417910388</v>
      </c>
      <c r="ES244" s="104">
        <f t="shared" ref="ES244:ES246" si="1488">EQ244</f>
        <v>43.8</v>
      </c>
      <c r="ET244" s="72">
        <f t="shared" si="1484"/>
        <v>2.0895522388045151E-2</v>
      </c>
      <c r="EU244" s="104">
        <f t="shared" ref="EU244:EU246" si="1489">ES244</f>
        <v>43.8</v>
      </c>
      <c r="EV244" s="72">
        <f t="shared" si="1485"/>
        <v>-0.16176470588237635</v>
      </c>
      <c r="EW244" s="104">
        <f t="shared" ref="EW244:EW246" si="1490">EU244</f>
        <v>43.8</v>
      </c>
      <c r="EX244" s="72">
        <f t="shared" si="1486"/>
        <v>-0.23333333333334849</v>
      </c>
      <c r="EY244" s="72"/>
      <c r="EZ244" s="309"/>
      <c r="FA244" s="72"/>
      <c r="FB244" s="105">
        <f>FB236/FB230*100</f>
        <v>35.827664399092974</v>
      </c>
      <c r="FC244" s="140"/>
      <c r="FD244" s="105">
        <f>FD236/FD230*100</f>
        <v>39.787234042553195</v>
      </c>
      <c r="FE244" s="72">
        <f>IF(ISERROR(FD244/FB244),"NA",IF(OR(FD244/FB244&gt;2,FD244/FB244&lt;0.5),"NM",FD244/FB244*100-100))</f>
        <v>11.051710207379472</v>
      </c>
      <c r="FF244" s="105">
        <f>FF236/FF230*100</f>
        <v>41.237113402061851</v>
      </c>
      <c r="FG244" s="72">
        <f>IF(ISERROR(FF244/FD244),"NA",IF(OR(FF244/FD244&gt;2,FF244/FD244&lt;0.5),"NM",FF244/FD244*100-100))</f>
        <v>3.6440818126688157</v>
      </c>
      <c r="FH244" s="105">
        <f>FH236/FH230*100</f>
        <v>40.950639853747717</v>
      </c>
      <c r="FI244" s="72">
        <f>IF(ISERROR(FH244/FF244),"NA",IF(OR(FH244/FF244&gt;2,FH244/FF244&lt;0.5),"NM",FH244/FF244*100-100))</f>
        <v>-0.69469835466176733</v>
      </c>
      <c r="FJ244" s="105">
        <f>FJ236/FJ230*100</f>
        <v>40.65743944636678</v>
      </c>
      <c r="FK244" s="72">
        <f>IF(ISERROR(FJ244/FH244),"NA",IF(OR(FJ244/FH244&gt;2,FJ244/FH244&lt;0.5),"NM",FJ244/FH244*100-100))</f>
        <v>-0.71598492338112862</v>
      </c>
      <c r="FL244" s="105">
        <f>FL236/FL230*100</f>
        <v>37.049742710120071</v>
      </c>
      <c r="FM244" s="72">
        <f>IF(ISERROR(FL244/FJ244),"NA",IF(OR(FL244/FJ244&gt;2,FL244/FJ244&lt;0.5),"NM",FL244/FJ244*100-100))</f>
        <v>-8.8733987810663706</v>
      </c>
      <c r="FN244" s="105">
        <f>FN236/FN230*100</f>
        <v>37.433155080213901</v>
      </c>
      <c r="FO244" s="72">
        <f>IF(ISERROR(FN244/FL244),"NA",IF(OR(FN244/FL244&gt;2,FN244/FL244&lt;0.5),"NM",FN244/FL244*100-100))</f>
        <v>1.0348583877995594</v>
      </c>
      <c r="FP244" s="105">
        <f>FP236/FP230*100</f>
        <v>33.895446880269816</v>
      </c>
      <c r="FQ244" s="72">
        <f>IF(ISERROR(FP244/FN244),"NA",IF(OR(FP244/FN244&gt;2,FP244/FN244&lt;0.5),"NM",FP244/FN244*100-100))</f>
        <v>-9.4507347627077678</v>
      </c>
      <c r="FR244" s="105">
        <f>FR236/FR230*100</f>
        <v>32.850241545893724</v>
      </c>
      <c r="FS244" s="72">
        <f>IF(ISERROR(FR244/FP244),"NA",IF(OR(FR244/FP244&gt;2,FR244/FP244&lt;0.5),"NM",FR244/FP244*100-100))</f>
        <v>-3.0836157377364373</v>
      </c>
      <c r="FT244" s="105">
        <f>FT236/FT230*100</f>
        <v>35.767511177347245</v>
      </c>
      <c r="FU244" s="72">
        <f>IF(ISERROR(FT244/FR244),"NA",IF(OR(FT244/FR244&gt;2,FT244/FR244&lt;0.5),"NM",FT244/FR244*100-100))</f>
        <v>8.8805119663364565</v>
      </c>
      <c r="FV244" s="105">
        <f>FV236/FV230*100</f>
        <v>35.857805255023187</v>
      </c>
      <c r="FW244" s="72">
        <f>IF(ISERROR(FV244/FT244),"NA",IF(OR(FV244/FT244&gt;2,FV244/FT244&lt;0.5),"NM",FV244/FT244*100-100))</f>
        <v>0.25244719216898659</v>
      </c>
      <c r="FX244" s="105">
        <f>FX236/FX230*100</f>
        <v>36.757624398073837</v>
      </c>
      <c r="FY244" s="72">
        <f>IF(ISERROR(FX244/FV244),"NA",IF(OR(FX244/FV244&gt;2,FX244/FV244&lt;0.5),"NM",FX244/FV244*100-100))</f>
        <v>2.5094094204903854</v>
      </c>
      <c r="FZ244" s="105">
        <f>FZ236/FZ230*100</f>
        <v>33.982035928143709</v>
      </c>
      <c r="GA244" s="72">
        <f>IF(ISERROR(FZ244/FX244),"NA",IF(OR(FZ244/FX244&gt;2,FZ244/FX244&lt;0.5),"NM",FZ244/FX244*100-100))</f>
        <v>-7.5510550950500885</v>
      </c>
      <c r="GB244" s="105">
        <f>GB236/GB230*100</f>
        <v>36.248012718600954</v>
      </c>
      <c r="GC244" s="72">
        <f>IF(ISERROR(GB244/FZ244),"NA",IF(OR(GB244/FZ244&gt;2,GB244/FZ244&lt;0.5),"NM",GB244/FZ244*100-100))</f>
        <v>6.668160775442459</v>
      </c>
      <c r="GD244" s="105">
        <f>GD236/GD230*100</f>
        <v>38.907849829351534</v>
      </c>
      <c r="GE244" s="72">
        <f>IF(ISERROR(GD244/GB244),"NA",IF(OR(GD244/GB244&gt;2,GD244/GB244&lt;0.5),"NM",GD244/GB244*100-100))</f>
        <v>7.3378839590443619</v>
      </c>
      <c r="GF244" s="105">
        <f>GF236/GF230*100</f>
        <v>39.658119658119659</v>
      </c>
      <c r="GG244" s="72">
        <f>IF(ISERROR(GF244/GD244),"NA",IF(OR(GF244/GD244&gt;2,GF244/GD244&lt;0.5),"NM",GF244/GD244*100-100))</f>
        <v>1.9283250862198287</v>
      </c>
      <c r="GH244" s="105">
        <f>GH236/GH230*100</f>
        <v>40.456769983686783</v>
      </c>
      <c r="GI244" s="72">
        <f t="shared" si="1487"/>
        <v>2.0138381054171077</v>
      </c>
      <c r="GJ244" s="735">
        <f>GJ236/GJ230*100</f>
        <v>43.856655290102388</v>
      </c>
      <c r="GK244" s="532">
        <f t="shared" si="1487"/>
        <v>8.4037487614224489</v>
      </c>
      <c r="GL244" s="735">
        <f>GL236/GL230*100</f>
        <v>43.256578947368425</v>
      </c>
      <c r="GM244" s="532">
        <f t="shared" si="1487"/>
        <v>-1.3682674585295871</v>
      </c>
      <c r="GN244" s="735">
        <f>GN236/GN230*100</f>
        <v>43.014128728414441</v>
      </c>
      <c r="GO244" s="532">
        <f t="shared" si="1487"/>
        <v>-0.56049328184039382</v>
      </c>
      <c r="GP244" s="735">
        <f>GP236/GP230*100</f>
        <v>43.79999999999999</v>
      </c>
      <c r="GQ244" s="532">
        <f t="shared" si="1487"/>
        <v>1.8270072992700506</v>
      </c>
      <c r="GR244" s="104">
        <f>GP244</f>
        <v>43.79999999999999</v>
      </c>
      <c r="GS244" s="532">
        <f t="shared" si="1487"/>
        <v>0</v>
      </c>
      <c r="GT244" s="104">
        <f>GR244</f>
        <v>43.79999999999999</v>
      </c>
      <c r="GU244" s="72">
        <f t="shared" si="1487"/>
        <v>0</v>
      </c>
      <c r="GV244" s="104">
        <f>GT244</f>
        <v>43.79999999999999</v>
      </c>
      <c r="GW244" s="72">
        <f>IF(ISERROR(GV244/GT244),"NA",IF(OR(GV244/GT244&gt;2,GV244/GT244&lt;0.5),"NM",GV244/GT244*100-100))</f>
        <v>0</v>
      </c>
      <c r="GX244" s="104">
        <f>GV244</f>
        <v>43.79999999999999</v>
      </c>
      <c r="GY244" s="72">
        <f>IF(ISERROR(GX244/GV244),"NA",IF(OR(GX244/GV244&gt;2,GX244/GV244&lt;0.5),"NM",GX244/GV244*100-100))</f>
        <v>0</v>
      </c>
      <c r="GZ244" s="72">
        <f>IF(ISERROR(((GX244/GN244)^0.2-1)*100),"NA",IF((((GX244/GN244)^0.2-1)*100)&gt;100,"NM",IF((((GX244/GN244)^0.2-1)*100)&lt;-50,"NM",((GX244/GN244)^0.2-1)*100)))</f>
        <v>0.36275999872366071</v>
      </c>
      <c r="HA244" s="72"/>
      <c r="HB244" s="72"/>
    </row>
    <row r="245" spans="1:217" ht="12.75" customHeight="1" x14ac:dyDescent="0.2">
      <c r="B245" s="76" t="s">
        <v>428</v>
      </c>
      <c r="C245" s="105">
        <f>C238/C232*100</f>
        <v>14.157973174366617</v>
      </c>
      <c r="D245" s="72"/>
      <c r="E245" s="105">
        <f>E238/E232*100</f>
        <v>14.866760168302944</v>
      </c>
      <c r="F245" s="72"/>
      <c r="G245" s="105">
        <f>G238/G232*100</f>
        <v>16.335877862595417</v>
      </c>
      <c r="H245" s="72"/>
      <c r="I245" s="105">
        <f>I238/I232*100</f>
        <v>13.648293963254593</v>
      </c>
      <c r="J245" s="72"/>
      <c r="K245" s="105">
        <f>K238/K232*100</f>
        <v>14.583333333333334</v>
      </c>
      <c r="L245" s="72">
        <f>IF(ISERROR(K245/C245),"NA",IF(OR(K245/C245&gt;2,K245/C245&lt;0.5),"NM",K245/C245*100-100))</f>
        <v>3.0043859649122879</v>
      </c>
      <c r="M245" s="105">
        <f>M238/M232*100</f>
        <v>14.195979899497488</v>
      </c>
      <c r="N245" s="72">
        <f>IF(ISERROR(M245/E245),"NA",IF(OR(M245/E245&gt;2,M245/E245&lt;0.5),"NM",M245/E245*100-100))</f>
        <v>-4.5119465250782156</v>
      </c>
      <c r="O245" s="105">
        <f>O238/O232*100</f>
        <v>13.443396226415095</v>
      </c>
      <c r="P245" s="72">
        <f>IF(ISERROR(O245/G245),"NA",IF(OR(O245/G245&gt;2,O245/G245&lt;0.5),"NM",O245/G245*100-100))</f>
        <v>-17.706312819608513</v>
      </c>
      <c r="Q245" s="105">
        <f>Q238/Q232*100</f>
        <v>16.866028708133971</v>
      </c>
      <c r="R245" s="72">
        <f>IF(ISERROR(Q245/I245),"NA",IF(OR(Q245/I245&gt;2,Q245/I245&lt;0.5),"NM",Q245/I245*100-100))</f>
        <v>23.576094957673902</v>
      </c>
      <c r="S245" s="105">
        <f>S238/S232*100</f>
        <v>14.606741573033707</v>
      </c>
      <c r="T245" s="72">
        <f>IF(ISERROR(S245/K245),"NA",IF(OR(S245/K245&gt;2,S245/K245&lt;0.5),"NM",S245/K245*100-100))</f>
        <v>0.16051364365969789</v>
      </c>
      <c r="U245" s="105">
        <f>U238/U232*100</f>
        <v>14.349276974416018</v>
      </c>
      <c r="V245" s="72">
        <f>IF(ISERROR(U245/M245),"NA",IF(OR(U245/M245&gt;2,U245/M245&lt;0.5),"NM",U245/M245*100-100))</f>
        <v>1.0798625808420326</v>
      </c>
      <c r="W245" s="105">
        <f>W238/W232*100</f>
        <v>14.058956916099774</v>
      </c>
      <c r="X245" s="72">
        <f>IF(ISERROR(W245/O245),"NA",IF(OR(W245/O245&gt;2,W245/O245&lt;0.5),"NM",W245/O245*100-100))</f>
        <v>4.5789075864263822</v>
      </c>
      <c r="Y245" s="105">
        <f>Y238/Y232*100</f>
        <v>15.257958287596049</v>
      </c>
      <c r="Z245" s="72">
        <f>IF(ISERROR(Y245/Q245),"NA",IF(OR(Y245/Q245&gt;2,Y245/Q245&lt;0.5),"NM",Y245/Q245*100-100))</f>
        <v>-9.5343749756716534</v>
      </c>
      <c r="AA245" s="105">
        <f>AA238/AA232*100</f>
        <v>13.943808532778357</v>
      </c>
      <c r="AB245" s="72">
        <f>IF(ISERROR(AA245/S245),"NA",IF(OR(AA245/S245&gt;2,AA245/S245&lt;0.5),"NM",AA245/S245*100-100))</f>
        <v>-4.53854158328663</v>
      </c>
      <c r="AC245" s="105">
        <f>AC238/AC232*100</f>
        <v>14.615384615384617</v>
      </c>
      <c r="AD245" s="72">
        <f>IF(ISERROR(AC245/U245),"NA",IF(OR(AC245/U245&gt;2,AC245/U245&lt;0.5),"NM",AC245/U245*100-100))</f>
        <v>1.85450208706024</v>
      </c>
      <c r="AE245" s="105">
        <f>AE238/AE232*100</f>
        <v>15.192743764172336</v>
      </c>
      <c r="AF245" s="72">
        <f>IF(ISERROR(AE245/W245),"NA",IF(OR(AE245/W245&gt;2,AE245/W245&lt;0.5),"NM",AE245/W245*100-100))</f>
        <v>8.0645161290322562</v>
      </c>
      <c r="AG245" s="105">
        <f>AG238/AG232*100</f>
        <v>14.545454545454545</v>
      </c>
      <c r="AH245" s="72">
        <f>IF(ISERROR(AG245/Y245),"NA",IF(OR(AG245/Y245&gt;2,AG245/Y245&lt;0.5),"NM",AG245/Y245*100-100))</f>
        <v>-4.6697187704382088</v>
      </c>
      <c r="AI245" s="105">
        <f>AI238/AI232*100</f>
        <v>14.212152420185376</v>
      </c>
      <c r="AJ245" s="72">
        <f>IF(ISERROR(AI245/AA245),"NA",IF(OR(AI245/AA245&gt;2,AI245/AA245&lt;0.5),"NM",AI245/AA245*100-100))</f>
        <v>1.9244662372995833</v>
      </c>
      <c r="AK245" s="105">
        <f>AK238/AK232*100</f>
        <v>15.005246589716684</v>
      </c>
      <c r="AL245" s="72">
        <f>IF(ISERROR(AK245/AC245),"NA",IF(OR(AK245/AC245&gt;2,AK245/AC245&lt;0.5),"NM",AK245/AC245*100-100))</f>
        <v>2.6674766664825711</v>
      </c>
      <c r="AM245" s="105">
        <f>AM238/AM232*100</f>
        <v>14.488348530901723</v>
      </c>
      <c r="AN245" s="72">
        <f>IF(ISERROR(AM245/AE245),"NA",IF(OR(AM245/AE245&gt;2,AM245/AE245&lt;0.5),"NM",AM245/AE245*100-100))</f>
        <v>-4.6363925055573247</v>
      </c>
      <c r="AO245" s="105">
        <f>AO238/AO232*100</f>
        <v>17.227319062181447</v>
      </c>
      <c r="AP245" s="72">
        <f>IF(ISERROR(AO245/AG245),"NA",IF(OR(AO245/AG245&gt;2,AO245/AG245&lt;0.5),"NM",AO245/AG245*100-100))</f>
        <v>18.437818552497447</v>
      </c>
      <c r="AQ245" s="105">
        <f>AQ238/AQ232*100</f>
        <v>13.117870722433461</v>
      </c>
      <c r="AR245" s="72">
        <f>IF(ISERROR(AQ245/AI245),"NA",IF(OR(AQ245/AI245&gt;2,AQ245/AI245&lt;0.5),"NM",AQ245/AI245*100-100))</f>
        <v>-7.6996197718631265</v>
      </c>
      <c r="AS245" s="105">
        <f>AS238/AS232*100</f>
        <v>16.69811320754717</v>
      </c>
      <c r="AT245" s="72">
        <f>IF(ISERROR(AS245/AK245),"NA",IF(OR(AS245/AK245&gt;2,AS245/AK245&lt;0.5),"NM",AS245/AK245*100-100))</f>
        <v>11.281831376170999</v>
      </c>
      <c r="AU245" s="105">
        <f>AU238/AU232*100</f>
        <v>14.354527938342967</v>
      </c>
      <c r="AV245" s="72">
        <f>IF(ISERROR(AU245/AM245),"NA",IF(OR(AU245/AM245&gt;2,AU245/AM245&lt;0.5),"NM",AU245/AM245*100-100))</f>
        <v>-0.92364283115729506</v>
      </c>
      <c r="AW245" s="105">
        <f>AW238/AW232*100</f>
        <v>13.428571428571429</v>
      </c>
      <c r="AX245" s="72">
        <f>IF(ISERROR(AW245/AO245),"NA",IF(OR(AW245/AO245&gt;2,AW245/AO245&lt;0.5),"NM",AW245/AO245*100-100))</f>
        <v>-22.050718512256978</v>
      </c>
      <c r="AY245" s="105">
        <f>AY238/AY232*100</f>
        <v>18.665464382326423</v>
      </c>
      <c r="AZ245" s="72">
        <f>IF(ISERROR(AY245/AQ245),"NA",IF(OR(AY245/AQ245&gt;2,AY245/AQ245&lt;0.5),"NM",AY245/AQ245*100-100))</f>
        <v>42.290351668169535</v>
      </c>
      <c r="BA245" s="105">
        <f>BA238/BA232*100</f>
        <v>14.14503133393017</v>
      </c>
      <c r="BB245" s="72">
        <f>IF(ISERROR(BA245/AS245),"NA",IF(OR(BA245/AS245&gt;2,BA245/AS245&lt;0.5),"NM",BA245/AS245*100-100))</f>
        <v>-15.289642858949264</v>
      </c>
      <c r="BC245" s="105">
        <f>BC238/BC232*100</f>
        <v>14.1991341991342</v>
      </c>
      <c r="BD245" s="72">
        <f>IF(ISERROR(BC245/AU245),"NA",IF(OR(BC245/AU245&gt;2,BC245/AU245&lt;0.5),"NM",BC245/AU245*100-100))</f>
        <v>-1.0825416194543749</v>
      </c>
      <c r="BE245" s="105">
        <f>BE238/BE232*100</f>
        <v>17.291311754684838</v>
      </c>
      <c r="BF245" s="72">
        <f>IF(ISERROR(BE245/AW245),"NA",IF(OR(BE245/AW245&gt;2,BE245/AW245&lt;0.5),"NM",BE245/AW245*100-100))</f>
        <v>28.765087534887101</v>
      </c>
      <c r="BG245" s="105">
        <f>BG238/BG232*100</f>
        <v>14.107883817427386</v>
      </c>
      <c r="BH245" s="72">
        <f>IF(ISERROR(BG245/AY245),"NA",IF(OR(BG245/AY245&gt;2,BG245/AY245&lt;0.5),"NM",BG245/AY245*100-100))</f>
        <v>-24.417182833203057</v>
      </c>
      <c r="BI245" s="105">
        <f>BI238/BI232*100</f>
        <v>13.625103220478943</v>
      </c>
      <c r="BJ245" s="72">
        <f>IF(ISERROR(BI245/BA245),"NA",IF(OR(BI245/BA245&gt;2,BI245/BA245&lt;0.5),"NM",BI245/BA245*100-100))</f>
        <v>-3.6756943210444319</v>
      </c>
      <c r="BK245" s="105">
        <f>BK238/BK232*100</f>
        <v>14.879467996674981</v>
      </c>
      <c r="BL245" s="72">
        <f>IF(ISERROR(BK245/BC245),"NA",IF(OR(BK245/BC245&gt;2,BK245/BC245&lt;0.5),"NM",BK245/BC245*100-100))</f>
        <v>4.7913752204853779</v>
      </c>
      <c r="BM245" s="105">
        <f>BM238/BM232*100</f>
        <v>13.983050847457626</v>
      </c>
      <c r="BN245" s="72">
        <f>IF(ISERROR(BM245/BE245),"NA",IF(OR(BM245/BE245&gt;2,BM245/BE245&lt;0.5),"NM",BM245/BE245*100-100))</f>
        <v>-19.132503965934717</v>
      </c>
      <c r="BO245" s="105">
        <f>BO238/BO232*100</f>
        <v>13.365155131264917</v>
      </c>
      <c r="BP245" s="72">
        <f>IF(ISERROR(BO245/BG245),"NA",IF(OR(BO245/BG245&gt;2,BO245/BG245&lt;0.5),"NM",BO245/BG245*100-100))</f>
        <v>-5.2646356872104434</v>
      </c>
      <c r="BQ245" s="105">
        <f>BQ238/BQ232*100</f>
        <v>13.711001642036125</v>
      </c>
      <c r="BR245" s="72">
        <f>IF(ISERROR(BQ245/BI245),"NA",IF(OR(BQ245/BI245&gt;2,BQ245/BI245&lt;0.5),"NM",BQ245/BI245*100-100))</f>
        <v>0.63044235458029618</v>
      </c>
      <c r="BS245" s="105">
        <f>BS238/BS232*100</f>
        <v>13.961038961038961</v>
      </c>
      <c r="BT245" s="72">
        <f>IF(ISERROR(BS245/BK245),"NA",IF(OR(BS245/BK245&gt;2,BS245/BK245&lt;0.5),"NM",BS245/BK245*100-100))</f>
        <v>-6.1724588260901214</v>
      </c>
      <c r="BU245" s="105">
        <f>BU238/BU232*100</f>
        <v>13.806863527533919</v>
      </c>
      <c r="BV245" s="72">
        <f>IF(ISERROR(BU245/BM245),"NA",IF(OR(BU245/BM245&gt;2,BU245/BM245&lt;0.5),"NM",BU245/BM245*100-100))</f>
        <v>-1.2600062879392482</v>
      </c>
      <c r="BW245" s="105">
        <f>BW238/BW232*100</f>
        <v>13.578394598649663</v>
      </c>
      <c r="BX245" s="72">
        <f>IF(ISERROR(BW245/BO245),"NA",IF(OR(BW245/BO245&gt;2,BW245/BO245&lt;0.5),"NM",BW245/BO245*100-100))</f>
        <v>1.5954881577537208</v>
      </c>
      <c r="BY245" s="105">
        <f>BY238/BY232*100</f>
        <v>13.43054489639294</v>
      </c>
      <c r="BZ245" s="72">
        <f>IF(ISERROR(BY245/BQ245),"NA",IF(OR(BY245/BQ245&gt;2,BY245/BQ245&lt;0.5),"NM",BY245/BQ245*100-100))</f>
        <v>-2.04548692331376</v>
      </c>
      <c r="CA245" s="105">
        <f>CA238/CA232*100</f>
        <v>14.159292035398231</v>
      </c>
      <c r="CB245" s="72">
        <f>IF(ISERROR(CA245/BS245),"NA",IF(OR(CA245/BS245&gt;2,CA245/BS245&lt;0.5),"NM",CA245/BS245*100-100))</f>
        <v>1.4200452768059222</v>
      </c>
      <c r="CC245" s="105">
        <f>CC238/CC232*100</f>
        <v>14.30781129156999</v>
      </c>
      <c r="CD245" s="72">
        <f>IF(ISERROR(CC245/BU245),"NA",IF(OR(CC245/BU245&gt;2,CC245/BU245&lt;0.5),"NM",CC245/BU245*100-100))</f>
        <v>3.6282517244924861</v>
      </c>
      <c r="CE245" s="105">
        <f>CE238/CE232*100</f>
        <v>14.721586575133486</v>
      </c>
      <c r="CF245" s="72">
        <f>IF(ISERROR(CE245/BW245),"NA",IF(OR(CE245/BW245&gt;2,CE245/BW245&lt;0.5),"NM",CE245/BW245*100-100))</f>
        <v>8.4191983682482743</v>
      </c>
      <c r="CG245" s="105">
        <f>CG238/CG232*100</f>
        <v>15.045592705167174</v>
      </c>
      <c r="CH245" s="72">
        <f>IF(ISERROR(CG245/BY245),"NA",IF(OR(CG245/BY245&gt;2,CG245/BY245&lt;0.5),"NM",CG245/BY245*100-100))</f>
        <v>12.025184541901865</v>
      </c>
      <c r="CI245" s="105">
        <f>CI238/CI232*100</f>
        <v>13.096862210095498</v>
      </c>
      <c r="CJ245" s="72">
        <f>IF(ISERROR(CI245/CA245),"NA",IF(OR(CI245/CA245&gt;2,CI245/CA245&lt;0.5),"NM",CI245/CA245*100-100))</f>
        <v>-7.5034106412005457</v>
      </c>
      <c r="CK245" s="105">
        <f>CK238/CK232*100</f>
        <v>14.358974358974358</v>
      </c>
      <c r="CL245" s="72">
        <f>IF(ISERROR(CK245/CC245),"NA",IF(OR(CK245/CC245&gt;2,CK245/CC245&lt;0.5),"NM",CK245/CC245*100-100))</f>
        <v>0.35758835758836938</v>
      </c>
      <c r="CM245" s="105">
        <f>CM238/CM232*100</f>
        <v>13.479415670650729</v>
      </c>
      <c r="CN245" s="72">
        <f>IF(ISERROR(CM245/CE245),"NA",IF(OR(CM245/CE245&gt;2,CM245/CE245&lt;0.5),"NM",CM245/CE245*100-100))</f>
        <v>-8.4377515843362403</v>
      </c>
      <c r="CO245" s="105">
        <f>CO238/CO232*100</f>
        <v>13.79542395693136</v>
      </c>
      <c r="CP245" s="72">
        <f>IF(ISERROR(CO245/CG245),"NA",IF(OR(CO245/CG245&gt;2,CO245/CG245&lt;0.5),"NM",CO245/CG245*100-100))</f>
        <v>-8.3092023872642926</v>
      </c>
      <c r="CQ245" s="105">
        <f>CQ238/CQ232*100</f>
        <v>12.923289564616447</v>
      </c>
      <c r="CR245" s="72">
        <f>IF(ISERROR(CQ245/CI245),"NA",IF(OR(CQ245/CI245&gt;2,CQ245/CI245&lt;0.5),"NM",CQ245/CI245*100-100))</f>
        <v>-1.3252994701681757</v>
      </c>
      <c r="CS245" s="105">
        <f>CS238/CS232*100</f>
        <v>13.800578034682081</v>
      </c>
      <c r="CT245" s="72">
        <f>IF(ISERROR(CS245/CK245),"NA",IF(OR(CS245/CK245&gt;2,CS245/CK245&lt;0.5),"NM",CS245/CK245*100-100))</f>
        <v>-3.8888315441783448</v>
      </c>
      <c r="CU245" s="105">
        <f>CU238/CU232*100</f>
        <v>14.018691588785046</v>
      </c>
      <c r="CV245" s="95">
        <f>IF(ISERROR(CU245/CM245),"NA",IF(OR(CU245/CM245&gt;2,CU245/CM245&lt;0.5),"NM",CU245/CM245*100-100))</f>
        <v>4.000736614336347</v>
      </c>
      <c r="CW245" s="105">
        <f>CW238/CW232*100</f>
        <v>14.080459770114942</v>
      </c>
      <c r="CX245" s="95">
        <f>IF(ISERROR(CW245/CO245),"NA",IF(OR(CW245/CO245&gt;2,CW245/CO245&lt;0.5),"NM",CW245/CO245*100-100))</f>
        <v>2.0661620409307488</v>
      </c>
      <c r="CY245" s="105">
        <f>CY238/CY232*100</f>
        <v>13.450704225352112</v>
      </c>
      <c r="CZ245" s="95">
        <f>IF(ISERROR(CY245/CQ245),"NA",IF(OR(CY245/CQ245&gt;2,CY245/CQ245&lt;0.5),"NM",CY245/CQ245*100-100))</f>
        <v>4.0811177223770443</v>
      </c>
      <c r="DA245" s="105">
        <f>DA238/DA232*100</f>
        <v>20.743919885550788</v>
      </c>
      <c r="DB245" s="72">
        <f>IF(ISERROR(DA245/CS245),"NA",IF(OR(DA245/CS245&gt;2,DA245/CS245&lt;0.5),"NM",DA245/CS245*100-100))</f>
        <v>50.311963987446546</v>
      </c>
      <c r="DC245" s="105">
        <f>DC238/DC232*100</f>
        <v>13.908701854493581</v>
      </c>
      <c r="DD245" s="72">
        <f>IF(ISERROR(DC245/CU245),"NA",IF(OR(DC245/CU245&gt;2,DC245/CU245&lt;0.5),"NM",DC245/CU245*100-100))</f>
        <v>-0.78459343794578729</v>
      </c>
      <c r="DE245" s="105">
        <f>DE238/DE232*100</f>
        <v>14.367405289492494</v>
      </c>
      <c r="DF245" s="72">
        <f>IF(ISERROR(DE245/CW245),"NA",IF(OR(DE245/CW245&gt;2,DE245/CW245&lt;0.5),"NM",DE245/CW245*100-100))</f>
        <v>2.0378987906813961</v>
      </c>
      <c r="DG245" s="105">
        <f>DG238/DG232*100</f>
        <v>15.499254843517138</v>
      </c>
      <c r="DH245" s="72">
        <f>IF(ISERROR(DG245/CY245),"NA",IF(OR(DG245/CY245&gt;2,DG245/CY245&lt;0.5),"NM",DG245/CY245*100-100))</f>
        <v>15.230062187404897</v>
      </c>
      <c r="DI245" s="105">
        <f>DI238/DI232*100</f>
        <v>16</v>
      </c>
      <c r="DJ245" s="72">
        <f>IF(ISERROR(DI245/DA245),"NA",IF(OR(DI245/DA245&gt;2,DI245/DA245&lt;0.5),"NM",DI245/DA245*100-100))</f>
        <v>-22.868965517241378</v>
      </c>
      <c r="DK245" s="105">
        <f>DK238/DK232*100</f>
        <v>15.932452276064609</v>
      </c>
      <c r="DL245" s="72">
        <f>IF(ISERROR(DK245/DC245),"NA",IF(OR(DK245/DC245&gt;2,DK245/DC245&lt;0.5),"NM",DK245/DC245*100-100))</f>
        <v>14.550246620731187</v>
      </c>
      <c r="DM245" s="105">
        <f>DM238/DM232*100</f>
        <v>15.052160953800298</v>
      </c>
      <c r="DN245" s="72">
        <f t="shared" si="1482"/>
        <v>4.7660356933662626</v>
      </c>
      <c r="DO245" s="105">
        <f>DO238/DO232*100</f>
        <v>15.6412157153447</v>
      </c>
      <c r="DP245" s="72">
        <f t="shared" si="1482"/>
        <v>0.91592062496437165</v>
      </c>
      <c r="DQ245" s="105">
        <f>DQ238/DQ232*100</f>
        <v>17.331288343558281</v>
      </c>
      <c r="DR245" s="72">
        <f t="shared" si="1482"/>
        <v>8.3205521472392547</v>
      </c>
      <c r="DS245" s="105">
        <f>DS238/DS232*100</f>
        <v>16.05324980422866</v>
      </c>
      <c r="DT245" s="72">
        <f t="shared" si="1482"/>
        <v>0.75818540718634608</v>
      </c>
      <c r="DU245" s="105">
        <f>DU238/DU232*100</f>
        <v>16.498838109992253</v>
      </c>
      <c r="DV245" s="72">
        <f t="shared" si="1482"/>
        <v>9.6110927901465573</v>
      </c>
      <c r="DW245" s="105">
        <f>DW238/DW232*100</f>
        <v>15.610510046367851</v>
      </c>
      <c r="DX245" s="72">
        <f t="shared" si="1482"/>
        <v>-0.19631254715530133</v>
      </c>
      <c r="DY245" s="105">
        <f>DY238/DY232*100</f>
        <v>17.017954722872755</v>
      </c>
      <c r="DZ245" s="72">
        <f t="shared" si="1482"/>
        <v>-1.8079072627164976</v>
      </c>
      <c r="EA245" s="105">
        <f>EA238/EA232*100</f>
        <v>15.833333333333332</v>
      </c>
      <c r="EB245" s="72">
        <f>IF(ISERROR(EA245/DS245),"NA",IF(OR(EA245/DS245&gt;2,EA245/DS245&lt;0.5),"NM",EA245/DS245*100-100))</f>
        <v>-1.3699186991869965</v>
      </c>
      <c r="EC245" s="105">
        <f>EC238/EC232*100</f>
        <v>15.175953079178885</v>
      </c>
      <c r="ED245" s="72">
        <f>IF(ISERROR(EC245/DU245),"NA",IF(OR(EC245/DU245&gt;2,EC245/DU245&lt;0.5),"NM",EC245/DU245*100-100))</f>
        <v>-8.0180496468547346</v>
      </c>
      <c r="EE245" s="105">
        <f>EE238/EE232*100</f>
        <v>15.003750937734434</v>
      </c>
      <c r="EF245" s="72">
        <f>IF(ISERROR(EE245/DW245),"NA",IF(OR(EE245/DW245&gt;2,EE245/DW245&lt;0.5),"NM",EE245/DW245*100-100))</f>
        <v>-3.8868628048101073</v>
      </c>
      <c r="EG245" s="105">
        <f>EG238/EG232*100</f>
        <v>15.158371040723981</v>
      </c>
      <c r="EH245" s="72">
        <f>IF(ISERROR(EG245/DY245),"NA",IF(OR(EG245/DY245&gt;2,EG245/DY245&lt;0.5),"NM",EG245/DY245*100-100))</f>
        <v>-10.927186682718244</v>
      </c>
      <c r="EI245" s="105">
        <f>EI238/EI232*100</f>
        <v>15.54591467823572</v>
      </c>
      <c r="EJ245" s="72">
        <f>IF(ISERROR(EI245/EA245),"NA",IF(OR(EI245/EA245&gt;2,EI245/EA245&lt;0.5),"NM",EI245/EA245*100-100))</f>
        <v>-1.8152757164059778</v>
      </c>
      <c r="EK245" s="105">
        <f>EK238/EK232*100</f>
        <v>14.904552129221733</v>
      </c>
      <c r="EL245" s="72">
        <f>IF(ISERROR(EK245/EC245),"NA",IF(OR(EK245/EC245&gt;2,EK245/EC245&lt;0.5),"NM",EK245/EC245*100-100))</f>
        <v>-1.7883618151766001</v>
      </c>
      <c r="EM245" s="105">
        <f>EM238/EM232*100</f>
        <v>15.407190022010273</v>
      </c>
      <c r="EN245" s="72">
        <f>IF(ISERROR(EM245/EE245),"NA",IF(OR(EM245/EE245&gt;2,EM245/EE245&lt;0.5),"NM",EM245/EE245*100-100))</f>
        <v>2.6889214966984554</v>
      </c>
      <c r="EO245" s="105">
        <f>EO238/EO232*100</f>
        <v>16.434336023477623</v>
      </c>
      <c r="EP245" s="72">
        <f>IF(ISERROR(EO245/EG245),"NA",IF(OR(EO245/EG245&gt;2,EO245/EG245&lt;0.5),"NM",EO245/EG245*100-100))</f>
        <v>8.4175600354792408</v>
      </c>
      <c r="EQ245" s="104">
        <v>15.3</v>
      </c>
      <c r="ER245" s="72">
        <f t="shared" si="1483"/>
        <v>-1.5818604651162786</v>
      </c>
      <c r="ES245" s="104">
        <f t="shared" si="1488"/>
        <v>15.3</v>
      </c>
      <c r="ET245" s="72">
        <f t="shared" si="1484"/>
        <v>2.6532019704433623</v>
      </c>
      <c r="EU245" s="104">
        <f t="shared" si="1489"/>
        <v>15.3</v>
      </c>
      <c r="EV245" s="72">
        <f t="shared" si="1485"/>
        <v>-0.69571428571428839</v>
      </c>
      <c r="EW245" s="104">
        <v>16.399999999999999</v>
      </c>
      <c r="EX245" s="72">
        <f t="shared" si="1486"/>
        <v>-0.20892857142857224</v>
      </c>
      <c r="EY245" s="72"/>
      <c r="EZ245" s="309"/>
      <c r="FA245" s="72"/>
      <c r="FB245" s="105">
        <f>FB238/FB232*100</f>
        <v>13.514739229024944</v>
      </c>
      <c r="FC245" s="82"/>
      <c r="FD245" s="105">
        <f>FD238/FD232*100</f>
        <v>14.662273476112025</v>
      </c>
      <c r="FE245" s="72">
        <f>IF(ISERROR(FD245/FB245),"NA",IF(OR(FD245/FB245&gt;2,FD245/FB245&lt;0.5),"NM",FD245/FB245*100-100))</f>
        <v>8.4909832712315847</v>
      </c>
      <c r="FF245" s="105">
        <f>FF238/FF232*100</f>
        <v>14.709032488397</v>
      </c>
      <c r="FG245" s="72">
        <f>IF(ISERROR(FF245/FD245),"NA",IF(OR(FF245/FD245&gt;2,FF245/FD245&lt;0.5),"NM",FF245/FD245*100-100))</f>
        <v>0.31890697142674185</v>
      </c>
      <c r="FH245" s="105">
        <f>FH238/FH232*100</f>
        <v>14.77832512315271</v>
      </c>
      <c r="FI245" s="72">
        <f>IF(ISERROR(FH245/FF245),"NA",IF(OR(FH245/FF245&gt;2,FH245/FF245&lt;0.5),"NM",FH245/FF245*100-100))</f>
        <v>0.47108900473482151</v>
      </c>
      <c r="FJ245" s="105">
        <f>FJ238/FJ232*100</f>
        <v>14.572864321608039</v>
      </c>
      <c r="FK245" s="72">
        <f>IF(ISERROR(FJ245/FH245),"NA",IF(OR(FJ245/FH245&gt;2,FJ245/FH245&lt;0.5),"NM",FJ245/FH245*100-100))</f>
        <v>-1.3902847571189483</v>
      </c>
      <c r="FL245" s="105">
        <f>FL238/FL232*100</f>
        <v>14.560737527114966</v>
      </c>
      <c r="FM245" s="72">
        <f>IF(ISERROR(FL245/FJ245),"NA",IF(OR(FL245/FJ245&gt;2,FL245/FJ245&lt;0.5),"NM",FL245/FJ245*100-100))</f>
        <v>-8.3214900142110082E-2</v>
      </c>
      <c r="FN245" s="105">
        <f>FN238/FN232*100</f>
        <v>15.236382322713258</v>
      </c>
      <c r="FO245" s="72">
        <f>IF(ISERROR(FN245/FL245),"NA",IF(OR(FN245/FL245&gt;2,FN245/FL245&lt;0.5),"NM",FN245/FL245*100-100))</f>
        <v>4.6401825068277418</v>
      </c>
      <c r="FP245" s="105">
        <f>FP238/FP232*100</f>
        <v>14.404761904761903</v>
      </c>
      <c r="FQ245" s="72">
        <f>IF(ISERROR(FP245/FN245),"NA",IF(OR(FP245/FN245&gt;2,FP245/FN245&lt;0.5),"NM",FP245/FN245*100-100))</f>
        <v>-5.4581225407532372</v>
      </c>
      <c r="FR245" s="105">
        <f>FR238/FR232*100</f>
        <v>16.070252469813394</v>
      </c>
      <c r="FS245" s="72">
        <f>IF(ISERROR(FR245/FP245),"NA",IF(OR(FR245/FP245&gt;2,FR245/FP245&lt;0.5),"NM",FR245/FP245*100-100))</f>
        <v>11.562083261514488</v>
      </c>
      <c r="FT245" s="105">
        <f>FT238/FT232*100</f>
        <v>14.148780996040841</v>
      </c>
      <c r="FU245" s="72">
        <f>IF(ISERROR(FT245/FR245),"NA",IF(OR(FT245/FR245&gt;2,FT245/FR245&lt;0.5),"NM",FT245/FR245*100-100))</f>
        <v>-11.956697490483563</v>
      </c>
      <c r="FV245" s="105">
        <f>FV238/FV232*100</f>
        <v>13.709677419354838</v>
      </c>
      <c r="FW245" s="72">
        <f>IF(ISERROR(FV245/FT245),"NA",IF(OR(FV245/FT245&gt;2,FV245/FT245&lt;0.5),"NM",FV245/FT245*100-100))</f>
        <v>-3.1034728490664634</v>
      </c>
      <c r="FX245" s="105">
        <f>FX238/FX232*100</f>
        <v>13.869441816461684</v>
      </c>
      <c r="FY245" s="72">
        <f>IF(ISERROR(FX245/FV245),"NA",IF(OR(FX245/FV245&gt;2,FX245/FV245&lt;0.5),"NM",FX245/FV245*100-100))</f>
        <v>1.1653403083087426</v>
      </c>
      <c r="FZ245" s="105">
        <f>FZ238/FZ232*100</f>
        <v>14.272627336020522</v>
      </c>
      <c r="GA245" s="72">
        <f>IF(ISERROR(FZ245/FX245),"NA",IF(OR(FZ245/FX245&gt;2,FZ245/FX245&lt;0.5),"NM",FZ245/FX245*100-100))</f>
        <v>2.9070060994112623</v>
      </c>
      <c r="GB245" s="105">
        <f>GB238/GB232*100</f>
        <v>13.49819680577022</v>
      </c>
      <c r="GC245" s="72">
        <f>IF(ISERROR(GB245/FZ245),"NA",IF(OR(GB245/FZ245&gt;2,GB245/FZ245&lt;0.5),"NM",GB245/FZ245*100-100))</f>
        <v>-5.4259843826779672</v>
      </c>
      <c r="GD245" s="105">
        <f>GD238/GD232*100</f>
        <v>15.568648455632921</v>
      </c>
      <c r="GE245" s="72">
        <f>IF(ISERROR(GD245/GB245),"NA",IF(OR(GD245/GB245&gt;2,GD245/GB245&lt;0.5),"NM",GD245/GB245*100-100))</f>
        <v>15.338727680853069</v>
      </c>
      <c r="GF245" s="105">
        <f>GF238/GF232*100</f>
        <v>14.932946719826024</v>
      </c>
      <c r="GG245" s="72">
        <f>IF(ISERROR(GF245/GD245),"NA",IF(OR(GF245/GD245&gt;2,GF245/GD245&lt;0.5),"NM",GF245/GD245*100-100))</f>
        <v>-4.0832172273560019</v>
      </c>
      <c r="GH245" s="105">
        <f>GH238/GH232*100</f>
        <v>15.979092775807354</v>
      </c>
      <c r="GI245" s="72">
        <f t="shared" si="1487"/>
        <v>7.0056237098361578</v>
      </c>
      <c r="GJ245" s="105">
        <f>GJ238/GJ232*100</f>
        <v>16.293991833560177</v>
      </c>
      <c r="GK245" s="72">
        <f t="shared" si="1487"/>
        <v>1.970694220072275</v>
      </c>
      <c r="GL245" s="105">
        <f>GL238/GL232*100</f>
        <v>15.291034999064196</v>
      </c>
      <c r="GM245" s="72">
        <f t="shared" si="1487"/>
        <v>-6.1553782813995639</v>
      </c>
      <c r="GN245" s="105">
        <f>GN238/GN232*100</f>
        <v>15.573021385487115</v>
      </c>
      <c r="GO245" s="72">
        <f t="shared" si="1487"/>
        <v>1.8441288404622327</v>
      </c>
      <c r="GP245" s="105">
        <f>GP238/GP232*100</f>
        <v>15.579118023072102</v>
      </c>
      <c r="GQ245" s="72">
        <f t="shared" si="1487"/>
        <v>3.9148713881999697E-2</v>
      </c>
      <c r="GR245" s="104">
        <f>GP245</f>
        <v>15.579118023072102</v>
      </c>
      <c r="GS245" s="72">
        <f t="shared" si="1487"/>
        <v>0</v>
      </c>
      <c r="GT245" s="104">
        <f>GR245</f>
        <v>15.579118023072102</v>
      </c>
      <c r="GU245" s="72">
        <f t="shared" si="1487"/>
        <v>0</v>
      </c>
      <c r="GV245" s="104">
        <f>GT245</f>
        <v>15.579118023072102</v>
      </c>
      <c r="GW245" s="72">
        <f>IF(ISERROR(GV245/GT245),"NA",IF(OR(GV245/GT245&gt;2,GV245/GT245&lt;0.5),"NM",GV245/GT245*100-100))</f>
        <v>0</v>
      </c>
      <c r="GX245" s="104">
        <f>GV245</f>
        <v>15.579118023072102</v>
      </c>
      <c r="GY245" s="72">
        <f>IF(ISERROR(GX245/GV245),"NA",IF(OR(GX245/GV245&gt;2,GX245/GV245&lt;0.5),"NM",GX245/GV245*100-100))</f>
        <v>0</v>
      </c>
      <c r="GZ245" s="72">
        <f>IF(ISERROR(((GX245/GN245)^0.2-1)*100),"NA",IF((((GX245/GN245)^0.2-1)*100)&gt;100,"NM",IF((((GX245/GN245)^0.2-1)*100)&lt;-50,"NM",((GX245/GN245)^0.2-1)*100)))</f>
        <v>7.8285169668790289E-3</v>
      </c>
      <c r="HA245" s="72"/>
      <c r="HB245" s="72"/>
    </row>
    <row r="246" spans="1:217" ht="12.75" customHeight="1" x14ac:dyDescent="0.2">
      <c r="B246" s="76" t="s">
        <v>626</v>
      </c>
      <c r="C246" s="105">
        <f>-C239/C238*100</f>
        <v>2.1052631578947367</v>
      </c>
      <c r="D246" s="72"/>
      <c r="E246" s="105">
        <f>-E239/E238*100</f>
        <v>2.8301886792452833</v>
      </c>
      <c r="F246" s="72"/>
      <c r="G246" s="105">
        <f>-G239/G238*100</f>
        <v>2.8037383177570092</v>
      </c>
      <c r="H246" s="72"/>
      <c r="I246" s="105">
        <f>-I239/I238*100</f>
        <v>1.9230769230769231</v>
      </c>
      <c r="J246" s="72"/>
      <c r="K246" s="105">
        <f>-K239/K238*100</f>
        <v>2.6785714285714284</v>
      </c>
      <c r="L246" s="72">
        <f>IF(ISERROR(K246/C246),"NA",IF(OR(K246/C246&gt;2,K246/C246&lt;0.5),"NM",K246/C246*100-100))</f>
        <v>27.232142857142861</v>
      </c>
      <c r="M246" s="105">
        <f>-M239/M238*100</f>
        <v>2.6548672566371683</v>
      </c>
      <c r="N246" s="72">
        <f>IF(ISERROR(M246/E246),"NA",IF(OR(M246/E246&gt;2,M246/E246&lt;0.5),"NM",M246/E246*100-100))</f>
        <v>-6.1946902654867273</v>
      </c>
      <c r="O246" s="105">
        <f>-O239/O238*100</f>
        <v>3.5087719298245612</v>
      </c>
      <c r="P246" s="72">
        <f>IF(ISERROR(O246/G246),"NA",IF(OR(O246/G246&gt;2,O246/G246&lt;0.5),"NM",O246/G246*100-100))</f>
        <v>25.146198830409361</v>
      </c>
      <c r="Q246" s="105">
        <f>-Q239/Q238*100</f>
        <v>2.8368794326241136</v>
      </c>
      <c r="R246" s="72">
        <f>IF(ISERROR(Q246/I246),"NA",IF(OR(Q246/I246&gt;2,Q246/I246&lt;0.5),"NM",Q246/I246*100-100))</f>
        <v>47.517730496453879</v>
      </c>
      <c r="S246" s="105">
        <f>-S239/S238*100</f>
        <v>3.8461538461538463</v>
      </c>
      <c r="T246" s="72">
        <f>IF(ISERROR(S246/K246),"NA",IF(OR(S246/K246&gt;2,S246/K246&lt;0.5),"NM",S246/K246*100-100))</f>
        <v>43.58974358974362</v>
      </c>
      <c r="U246" s="105">
        <f>-U239/U238*100</f>
        <v>6.2015503875968996</v>
      </c>
      <c r="V246" s="72" t="str">
        <f>IF(ISERROR(U246/M246),"NA",IF(OR(U246/M246&gt;2,U246/M246&lt;0.5),"NM",U246/M246*100-100))</f>
        <v>NM</v>
      </c>
      <c r="W246" s="105">
        <f>-W239/W238*100</f>
        <v>4.838709677419355</v>
      </c>
      <c r="X246" s="72">
        <f>IF(ISERROR(W246/O246),"NA",IF(OR(W246/O246&gt;2,W246/O246&lt;0.5),"NM",W246/O246*100-100))</f>
        <v>37.903225806451616</v>
      </c>
      <c r="Y246" s="105">
        <f>-Y239/Y238*100</f>
        <v>8.6330935251798557</v>
      </c>
      <c r="Z246" s="72" t="str">
        <f>IF(ISERROR(Y246/Q246),"NA",IF(OR(Y246/Q246&gt;2,Y246/Q246&lt;0.5),"NM",Y246/Q246*100-100))</f>
        <v>NM</v>
      </c>
      <c r="AA246" s="105">
        <f>-AA239/AA238*100</f>
        <v>5.2238805970149249</v>
      </c>
      <c r="AB246" s="72">
        <f>IF(ISERROR(AA246/S246),"NA",IF(OR(AA246/S246&gt;2,AA246/S246&lt;0.5),"NM",AA246/S246*100-100))</f>
        <v>35.820895522388042</v>
      </c>
      <c r="AC246" s="105">
        <f>-AC239/AC238*100</f>
        <v>7.518796992481203</v>
      </c>
      <c r="AD246" s="72">
        <f>IF(ISERROR(AC246/U246),"NA",IF(OR(AC246/U246&gt;2,AC246/U246&lt;0.5),"NM",AC246/U246*100-100))</f>
        <v>21.240601503759393</v>
      </c>
      <c r="AE246" s="105">
        <f>-AE239/AE238*100</f>
        <v>5.2238805970149249</v>
      </c>
      <c r="AF246" s="72">
        <f>IF(ISERROR(AE246/W246),"NA",IF(OR(AE246/W246&gt;2,AE246/W246&lt;0.5),"NM",AE246/W246*100-100))</f>
        <v>7.9601990049751095</v>
      </c>
      <c r="AG246" s="105">
        <f>-AG239/AG238*100</f>
        <v>5.1470588235294112</v>
      </c>
      <c r="AH246" s="72">
        <f>IF(ISERROR(AG246/Y246),"NA",IF(OR(AG246/Y246&gt;2,AG246/Y246&lt;0.5),"NM",AG246/Y246*100-100))</f>
        <v>-40.379901960784316</v>
      </c>
      <c r="AI246" s="105">
        <f>-AI239/AI238*100</f>
        <v>4.3478260869565215</v>
      </c>
      <c r="AJ246" s="72">
        <f>IF(ISERROR(AI246/AA246),"NA",IF(OR(AI246/AA246&gt;2,AI246/AA246&lt;0.5),"NM",AI246/AA246*100-100))</f>
        <v>-16.770186335403722</v>
      </c>
      <c r="AK246" s="105">
        <f>-AK239/AK238*100</f>
        <v>4.895104895104895</v>
      </c>
      <c r="AL246" s="72">
        <f>IF(ISERROR(AK246/AC246),"NA",IF(OR(AK246/AC246&gt;2,AK246/AC246&lt;0.5),"NM",AK246/AC246*100-100))</f>
        <v>-34.895104895104907</v>
      </c>
      <c r="AM246" s="105">
        <f>-AM239/AM238*100</f>
        <v>3.4965034965034967</v>
      </c>
      <c r="AN246" s="72">
        <f>IF(ISERROR(AM246/AE246),"NA",IF(OR(AM246/AE246&gt;2,AM246/AE246&lt;0.5),"NM",AM246/AE246*100-100))</f>
        <v>-33.066933066933061</v>
      </c>
      <c r="AO246" s="105">
        <f>-AO239/AO238*100</f>
        <v>2.9585798816568047</v>
      </c>
      <c r="AP246" s="72">
        <f>IF(ISERROR(AO246/AG246),"NA",IF(OR(AO246/AG246&gt;2,AO246/AG246&lt;0.5),"NM",AO246/AG246*100-100))</f>
        <v>-42.519019442096365</v>
      </c>
      <c r="AQ246" s="105">
        <f>-AQ239/AQ238*100</f>
        <v>5.0724637681159424</v>
      </c>
      <c r="AR246" s="72">
        <f>IF(ISERROR(AQ246/AI246),"NA",IF(OR(AQ246/AI246&gt;2,AQ246/AI246&lt;0.5),"NM",AQ246/AI246*100-100))</f>
        <v>16.666666666666671</v>
      </c>
      <c r="AS246" s="105">
        <f>-AS239/AS238*100</f>
        <v>20.903954802259886</v>
      </c>
      <c r="AT246" s="72" t="str">
        <f>IF(ISERROR(AS246/AK246),"NA",IF(OR(AS246/AK246&gt;2,AS246/AK246&lt;0.5),"NM",AS246/AK246*100-100))</f>
        <v>NM</v>
      </c>
      <c r="AU246" s="105">
        <f>-AU239/AU238*100</f>
        <v>9.3959731543624159</v>
      </c>
      <c r="AV246" s="72" t="str">
        <f>IF(ISERROR(AU246/AM246),"NA",IF(OR(AU246/AM246&gt;2,AU246/AM246&lt;0.5),"NM",AU246/AM246*100-100))</f>
        <v>NM</v>
      </c>
      <c r="AW246" s="105">
        <f>-AW239/AW238*100</f>
        <v>0.70921985815602839</v>
      </c>
      <c r="AX246" s="72" t="str">
        <f>IF(ISERROR(AW246/AO246),"NA",IF(OR(AW246/AO246&gt;2,AW246/AO246&lt;0.5),"NM",AW246/AO246*100-100))</f>
        <v>NM</v>
      </c>
      <c r="AY246" s="105">
        <f>-AY239/AY238*100</f>
        <v>27.536231884057973</v>
      </c>
      <c r="AZ246" s="72" t="str">
        <f>IF(ISERROR(AY246/AQ246),"NA",IF(OR(AY246/AQ246&gt;2,AY246/AQ246&lt;0.5),"NM",AY246/AQ246*100-100))</f>
        <v>NM</v>
      </c>
      <c r="BA246" s="105">
        <f>-BA239/BA238*100</f>
        <v>7.59493670886076</v>
      </c>
      <c r="BB246" s="72" t="str">
        <f>IF(ISERROR(BA246/AS246),"NA",IF(OR(BA246/AS246&gt;2,BA246/AS246&lt;0.5),"NM",BA246/AS246*100-100))</f>
        <v>NM</v>
      </c>
      <c r="BC246" s="105">
        <f>-BC239/BC238*100</f>
        <v>7.3170731707317067</v>
      </c>
      <c r="BD246" s="72">
        <f>IF(ISERROR(BC246/AU246),"NA",IF(OR(BC246/AU246&gt;2,BC246/AU246&lt;0.5),"NM",BC246/AU246*100-100))</f>
        <v>-22.125435540069688</v>
      </c>
      <c r="BE246" s="105">
        <f>-BE239/BE238*100</f>
        <v>16.256157635467979</v>
      </c>
      <c r="BF246" s="72" t="str">
        <f>IF(ISERROR(BE246/AW246),"NA",IF(OR(BE246/AW246&gt;2,BE246/AW246&lt;0.5),"NM",BE246/AW246*100-100))</f>
        <v>NM</v>
      </c>
      <c r="BG246" s="105">
        <f>-BG239/BG238*100</f>
        <v>7.0588235294117645</v>
      </c>
      <c r="BH246" s="72" t="str">
        <f>IF(ISERROR(BG246/AY246),"NA",IF(OR(BG246/AY246&gt;2,BG246/AY246&lt;0.5),"NM",BG246/AY246*100-100))</f>
        <v>NM</v>
      </c>
      <c r="BI246" s="105">
        <f>-BI239/BI238*100</f>
        <v>1.8181818181818181</v>
      </c>
      <c r="BJ246" s="72" t="str">
        <f>IF(ISERROR(BI246/BA246),"NA",IF(OR(BI246/BA246&gt;2,BI246/BA246&lt;0.5),"NM",BI246/BA246*100-100))</f>
        <v>NM</v>
      </c>
      <c r="BK246" s="105">
        <f>-BK239/BK238*100</f>
        <v>7.8212290502793298</v>
      </c>
      <c r="BL246" s="72">
        <f>IF(ISERROR(BK246/BC246),"NA",IF(OR(BK246/BC246&gt;2,BK246/BC246&lt;0.5),"NM",BK246/BC246*100-100))</f>
        <v>6.8901303538175114</v>
      </c>
      <c r="BM246" s="105">
        <f>-BM239/BM238*100</f>
        <v>4.8484848484848486</v>
      </c>
      <c r="BN246" s="72" t="str">
        <f>IF(ISERROR(BM246/BE246),"NA",IF(OR(BM246/BE246&gt;2,BM246/BE246&lt;0.5),"NM",BM246/BE246*100-100))</f>
        <v>NM</v>
      </c>
      <c r="BO246" s="105">
        <f>-BO239/BO238*100</f>
        <v>2.9761904761904758</v>
      </c>
      <c r="BP246" s="72" t="str">
        <f>IF(ISERROR(BO246/BG246),"NA",IF(OR(BO246/BG246&gt;2,BO246/BG246&lt;0.5),"NM",BO246/BG246*100-100))</f>
        <v>NM</v>
      </c>
      <c r="BQ246" s="105">
        <f>-BQ239/BQ238*100</f>
        <v>2.9940119760479043</v>
      </c>
      <c r="BR246" s="72">
        <f>IF(ISERROR(BQ246/BI246),"NA",IF(OR(BQ246/BI246&gt;2,BQ246/BI246&lt;0.5),"NM",BQ246/BI246*100-100))</f>
        <v>64.670658682634723</v>
      </c>
      <c r="BS246" s="105">
        <f>-BS239/BS238*100</f>
        <v>4.0697674418604652</v>
      </c>
      <c r="BT246" s="72">
        <f>IF(ISERROR(BS246/BK246),"NA",IF(OR(BS246/BK246&gt;2,BS246/BK246&lt;0.5),"NM",BS246/BK246*100-100))</f>
        <v>-47.965116279069761</v>
      </c>
      <c r="BU246" s="105">
        <f>-BU239/BU238*100</f>
        <v>5.202312138728324</v>
      </c>
      <c r="BV246" s="72">
        <f>IF(ISERROR(BU246/BM246),"NA",IF(OR(BU246/BM246&gt;2,BU246/BM246&lt;0.5),"NM",BU246/BM246*100-100))</f>
        <v>7.2976878612716689</v>
      </c>
      <c r="BW246" s="105">
        <f>-BW239/BW238*100</f>
        <v>1.1049723756906076</v>
      </c>
      <c r="BX246" s="72" t="str">
        <f>IF(ISERROR(BW246/BO246),"NA",IF(OR(BW246/BO246&gt;2,BW246/BO246&lt;0.5),"NM",BW246/BO246*100-100))</f>
        <v>NM</v>
      </c>
      <c r="BY246" s="105">
        <f>-BY239/BY238*100</f>
        <v>1.7142857142857144</v>
      </c>
      <c r="BZ246" s="72">
        <f>IF(ISERROR(BY246/BQ246),"NA",IF(OR(BY246/BQ246&gt;2,BY246/BQ246&lt;0.5),"NM",BY246/BQ246*100-100))</f>
        <v>-42.74285714285714</v>
      </c>
      <c r="CA246" s="105">
        <f>-CA239/CA238*100</f>
        <v>7.8125</v>
      </c>
      <c r="CB246" s="72">
        <f>IF(ISERROR(CA246/BS246),"NA",IF(OR(CA246/BS246&gt;2,CA246/BS246&lt;0.5),"NM",CA246/BS246*100-100))</f>
        <v>91.964285714285694</v>
      </c>
      <c r="CC246" s="105">
        <f>-CC239/CC238*100</f>
        <v>2.1621621621621623</v>
      </c>
      <c r="CD246" s="72" t="str">
        <f>IF(ISERROR(CC246/BU246),"NA",IF(OR(CC246/BU246&gt;2,CC246/BU246&lt;0.5),"NM",CC246/BU246*100-100))</f>
        <v>NM</v>
      </c>
      <c r="CE246" s="105">
        <f>-CE239/CE238*100</f>
        <v>2.5906735751295336</v>
      </c>
      <c r="CF246" s="72" t="str">
        <f>IF(ISERROR(CE246/BW246),"NA",IF(OR(CE246/BW246&gt;2,CE246/BW246&lt;0.5),"NM",CE246/BW246*100-100))</f>
        <v>NM</v>
      </c>
      <c r="CG246" s="105">
        <f>-CG239/CG238*100</f>
        <v>3.0303030303030303</v>
      </c>
      <c r="CH246" s="72">
        <f>IF(ISERROR(CG246/BY246),"NA",IF(OR(CG246/BY246&gt;2,CG246/BY246&lt;0.5),"NM",CG246/BY246*100-100))</f>
        <v>76.767676767676761</v>
      </c>
      <c r="CI246" s="105">
        <f>-CI239/CI238*100</f>
        <v>3.125</v>
      </c>
      <c r="CJ246" s="72" t="str">
        <f>IF(ISERROR(CI246/CA246),"NA",IF(OR(CI246/CA246&gt;2,CI246/CA246&lt;0.5),"NM",CI246/CA246*100-100))</f>
        <v>NM</v>
      </c>
      <c r="CK246" s="105">
        <f>-CK239/CK238*100</f>
        <v>0.51020408163265307</v>
      </c>
      <c r="CL246" s="72" t="str">
        <f>IF(ISERROR(CK246/CC246),"NA",IF(OR(CK246/CC246&gt;2,CK246/CC246&lt;0.5),"NM",CK246/CC246*100-100))</f>
        <v>NM</v>
      </c>
      <c r="CM246" s="105">
        <f>-CM239/CM238*100</f>
        <v>2.9556650246305418</v>
      </c>
      <c r="CN246" s="72">
        <f>IF(ISERROR(CM246/CE246),"NA",IF(OR(CM246/CE246&gt;2,CM246/CE246&lt;0.5),"NM",CM246/CE246*100-100))</f>
        <v>14.088669950738918</v>
      </c>
      <c r="CO246" s="105">
        <f>-CO239/CO238*100</f>
        <v>4.3902439024390238</v>
      </c>
      <c r="CP246" s="72">
        <f>IF(ISERROR(CO246/CG246),"NA",IF(OR(CO246/CG246&gt;2,CO246/CG246&lt;0.5),"NM",CO246/CG246*100-100))</f>
        <v>44.878048780487774</v>
      </c>
      <c r="CQ246" s="105">
        <f>-CQ239/CQ238*100</f>
        <v>-1.0695187165775399</v>
      </c>
      <c r="CR246" s="72" t="str">
        <f>IF(ISERROR(CQ246/CI246),"NA",IF(OR(CQ246/CI246&gt;2,CQ246/CI246&lt;0.5),"NM",CQ246/CI246*100-100))</f>
        <v>NM</v>
      </c>
      <c r="CS246" s="105">
        <f>-CS239/CS238*100</f>
        <v>-1.0471204188481675</v>
      </c>
      <c r="CT246" s="72" t="str">
        <f>IF(ISERROR(CS246/CK246),"NA",IF(OR(CS246/CK246&gt;2,CS246/CK246&lt;0.5),"NM",CS246/CK246*100-100))</f>
        <v>NM</v>
      </c>
      <c r="CU246" s="105">
        <f>-CU239/CU238*100</f>
        <v>-0.51282051282051277</v>
      </c>
      <c r="CV246" s="72" t="str">
        <f>IF(ISERROR(CU246/CM246),"NA",IF(OR(CU246/CM246&gt;2,CU246/CM246&lt;0.5),"NM",CU246/CM246*100-100))</f>
        <v>NM</v>
      </c>
      <c r="CW246" s="105">
        <f>-CW239/CW238*100</f>
        <v>-0.51020408163265307</v>
      </c>
      <c r="CX246" s="72" t="str">
        <f>IF(ISERROR(CW246/CO246),"NA",IF(OR(CW246/CO246&gt;2,CW246/CO246&lt;0.5),"NM",CW246/CO246*100-100))</f>
        <v>NM</v>
      </c>
      <c r="CY246" s="105">
        <f>-CY239/CY238*100</f>
        <v>-0.52356020942408377</v>
      </c>
      <c r="CZ246" s="72" t="str">
        <f>IF(ISERROR(CY246/CQ246),"NA",IF(OR(CY246/CQ246&gt;2,CY246/CQ246&lt;0.5),"NM",CY246/CQ246*100-100))</f>
        <v>NM</v>
      </c>
      <c r="DA246" s="105">
        <f>-DA239/DA238*100</f>
        <v>18.275862068965516</v>
      </c>
      <c r="DB246" s="72" t="str">
        <f>IF(ISERROR(DA246/CS246),"NA",IF(OR(DA246/CS246&gt;2,DA246/CS246&lt;0.5),"NM",DA246/CS246*100-100))</f>
        <v>NM</v>
      </c>
      <c r="DC246" s="105">
        <f>-DC239/DC238*100</f>
        <v>-1.0256410256410255</v>
      </c>
      <c r="DD246" s="72">
        <f>IF(ISERROR(DC246/CU246),"NA",IF(OR(DC246/CU246&gt;2,DC246/CU246&lt;0.5),"NM",DC246/CU246*100-100))</f>
        <v>100</v>
      </c>
      <c r="DE246" s="105">
        <f>-DE239/DE238*100</f>
        <v>-2.4875621890547266</v>
      </c>
      <c r="DF246" s="72" t="str">
        <f>IF(ISERROR(DE246/CW246),"NA",IF(OR(DE246/CW246&gt;2,DE246/CW246&lt;0.5),"NM",DE246/CW246*100-100))</f>
        <v>NM</v>
      </c>
      <c r="DG246" s="105">
        <f>-DG239/DG238*100</f>
        <v>0.96153846153846156</v>
      </c>
      <c r="DH246" s="72" t="str">
        <f>IF(ISERROR(DG246/CY246),"NA",IF(OR(DG246/CY246&gt;2,DG246/CY246&lt;0.5),"NM",DG246/CY246*100-100))</f>
        <v>NM</v>
      </c>
      <c r="DI246" s="105">
        <f>-DI239/DI238*100</f>
        <v>2.7272727272727271</v>
      </c>
      <c r="DJ246" s="72" t="str">
        <f>IF(ISERROR(DI246/DA246),"NA",IF(OR(DI246/DA246&gt;2,DI246/DA246&lt;0.5),"NM",DI246/DA246*100-100))</f>
        <v>NM</v>
      </c>
      <c r="DK246" s="105">
        <f>-DK239/DK238*100</f>
        <v>-1.3824884792626728</v>
      </c>
      <c r="DL246" s="72">
        <f>IF(ISERROR(DK246/DC246),"NA",IF(OR(DK246/DC246&gt;2,DK246/DC246&lt;0.5),"NM",DK246/DC246*100-100))</f>
        <v>34.792626728110605</v>
      </c>
      <c r="DM246" s="105">
        <f>-DM239/DM238*100</f>
        <v>-0.99009900990099009</v>
      </c>
      <c r="DN246" s="72" t="str">
        <f t="shared" si="1482"/>
        <v>NM</v>
      </c>
      <c r="DO246" s="105">
        <f>-DO239/DO238*100</f>
        <v>-0.94786729857819907</v>
      </c>
      <c r="DP246" s="72" t="str">
        <f t="shared" si="1482"/>
        <v>NM</v>
      </c>
      <c r="DQ246" s="105">
        <f>-DQ239/DQ238*100</f>
        <v>0.44247787610619471</v>
      </c>
      <c r="DR246" s="72" t="str">
        <f t="shared" si="1482"/>
        <v>NM</v>
      </c>
      <c r="DS246" s="105">
        <f>-DS239/DS238*100</f>
        <v>-0.97560975609756095</v>
      </c>
      <c r="DT246" s="72">
        <f t="shared" si="1482"/>
        <v>-29.430894308943095</v>
      </c>
      <c r="DU246" s="105">
        <f>-DU239/DU238*100</f>
        <v>3.755868544600939</v>
      </c>
      <c r="DV246" s="72" t="str">
        <f t="shared" si="1482"/>
        <v>NM</v>
      </c>
      <c r="DW246" s="105">
        <f>-DW239/DW238*100</f>
        <v>-0.49504950495049505</v>
      </c>
      <c r="DX246" s="72">
        <f t="shared" si="1482"/>
        <v>-47.772277227722768</v>
      </c>
      <c r="DY246" s="105">
        <f>-DY239/DY238*100</f>
        <v>-0.45871559633027525</v>
      </c>
      <c r="DZ246" s="72" t="str">
        <f t="shared" si="1482"/>
        <v>NM</v>
      </c>
      <c r="EA246" s="105">
        <f>-EA239/EA238*100</f>
        <v>-0.4784688995215311</v>
      </c>
      <c r="EB246" s="72" t="str">
        <f>IF(ISERROR(EA246/DS246),"NA",IF(OR(EA246/DS246&gt;2,EA246/DS246&lt;0.5),"NM",EA246/DS246*100-100))</f>
        <v>NM</v>
      </c>
      <c r="EC246" s="105">
        <f>-EC239/EC238*100</f>
        <v>-0.96618357487922701</v>
      </c>
      <c r="ED246" s="72" t="str">
        <f>IF(ISERROR(EC246/DU246),"NA",IF(OR(EC246/DU246&gt;2,EC246/DU246&lt;0.5),"NM",EC246/DU246*100-100))</f>
        <v>NM</v>
      </c>
      <c r="EE246" s="105">
        <f>-EE239/EE238*100</f>
        <v>-0.5</v>
      </c>
      <c r="EF246" s="72">
        <f>IF(ISERROR(EE246/DW246),"NA",IF(OR(EE246/DW246&gt;2,EE246/DW246&lt;0.5),"NM",EE246/DW246*100-100))</f>
        <v>1</v>
      </c>
      <c r="EG246" s="105">
        <f>-EG239/EG238*100</f>
        <v>-0.99502487562189057</v>
      </c>
      <c r="EH246" s="72" t="str">
        <f>IF(ISERROR(EG246/DY246),"NA",IF(OR(EG246/DY246&gt;2,EG246/DY246&lt;0.5),"NM",EG246/DY246*100-100))</f>
        <v>NM</v>
      </c>
      <c r="EI246" s="105">
        <f>-EI239/EI238*100</f>
        <v>-0.46511627906976744</v>
      </c>
      <c r="EJ246" s="72">
        <f>IF(ISERROR(EI246/EA246),"NA",IF(OR(EI246/EA246&gt;2,EI246/EA246&lt;0.5),"NM",EI246/EA246*100-100))</f>
        <v>-2.7906976744186096</v>
      </c>
      <c r="EK246" s="105">
        <f>-EK239/EK238*100</f>
        <v>-0.98522167487684731</v>
      </c>
      <c r="EL246" s="72">
        <f>IF(ISERROR(EK246/EC246),"NA",IF(OR(EK246/EC246&gt;2,EK246/EC246&lt;0.5),"NM",EK246/EC246*100-100))</f>
        <v>1.970443349753694</v>
      </c>
      <c r="EM246" s="105">
        <f>-EM239/EM238*100</f>
        <v>-4.7619047619047619</v>
      </c>
      <c r="EN246" s="72" t="str">
        <f>IF(ISERROR(EM246/EE246),"NA",IF(OR(EM246/EE246&gt;2,EM246/EE246&lt;0.5),"NM",EM246/EE246*100-100))</f>
        <v>NM</v>
      </c>
      <c r="EO246" s="105">
        <f>-EO239/EO238*100</f>
        <v>-0.4464285714285714</v>
      </c>
      <c r="EP246" s="72" t="str">
        <f>IF(ISERROR(EO246/EG246),"NA",IF(OR(EO246/EG246&gt;2,EO246/EG246&lt;0.5),"NM",EO246/EG246*100-100))</f>
        <v>NM</v>
      </c>
      <c r="EQ246" s="104">
        <v>-1.5</v>
      </c>
      <c r="ER246" s="72" t="str">
        <f t="shared" si="1483"/>
        <v>NM</v>
      </c>
      <c r="ES246" s="104">
        <f t="shared" si="1488"/>
        <v>-1.5</v>
      </c>
      <c r="ET246" s="72">
        <f t="shared" si="1484"/>
        <v>52.25</v>
      </c>
      <c r="EU246" s="104">
        <f t="shared" si="1489"/>
        <v>-1.5</v>
      </c>
      <c r="EV246" s="72" t="str">
        <f t="shared" si="1485"/>
        <v>NM</v>
      </c>
      <c r="EW246" s="104">
        <f t="shared" si="1490"/>
        <v>-1.5</v>
      </c>
      <c r="EX246" s="72" t="str">
        <f t="shared" si="1486"/>
        <v>NM</v>
      </c>
      <c r="EY246" s="72"/>
      <c r="EZ246" s="309"/>
      <c r="FA246" s="72"/>
      <c r="FB246" s="105">
        <f>-FB239/FB238*100</f>
        <v>0</v>
      </c>
      <c r="FC246" s="82"/>
      <c r="FD246" s="105">
        <f>-FD239/FD238*100</f>
        <v>0.5617977528089888</v>
      </c>
      <c r="FE246" s="72" t="str">
        <f>IF(ISERROR(FD246/FB246),"NA",IF(OR(FD246/FB246&gt;2,FD246/FB246&lt;0.5),"NM",FD246/FB246*100-100))</f>
        <v>NA</v>
      </c>
      <c r="FF246" s="105">
        <f>-FF239/FF238*100</f>
        <v>2.4271844660194173</v>
      </c>
      <c r="FG246" s="72" t="str">
        <f>IF(ISERROR(FF246/FD246),"NA",IF(OR(FF246/FD246&gt;2,FF246/FD246&lt;0.5),"NM",FF246/FD246*100-100))</f>
        <v>NM</v>
      </c>
      <c r="FH246" s="105">
        <f>-FH239/FH238*100</f>
        <v>2.9166666666666665</v>
      </c>
      <c r="FI246" s="72">
        <f>IF(ISERROR(FH246/FF246),"NA",IF(OR(FH246/FF246&gt;2,FH246/FF246&lt;0.5),"NM",FH246/FF246*100-100))</f>
        <v>20.166666666666671</v>
      </c>
      <c r="FJ246" s="105">
        <f>-FJ239/FJ238*100</f>
        <v>5.9386973180076632</v>
      </c>
      <c r="FK246" s="72" t="str">
        <f>IF(ISERROR(FJ246/FH246),"NA",IF(OR(FJ246/FH246&gt;2,FJ246/FH246&lt;0.5),"NM",FJ246/FH246*100-100))</f>
        <v>NM</v>
      </c>
      <c r="FL246" s="105">
        <f>-FL239/FL238*100</f>
        <v>5.7728119180633151</v>
      </c>
      <c r="FM246" s="72">
        <f>IF(ISERROR(FL246/FJ246),"NA",IF(OR(FL246/FJ246&gt;2,FL246/FJ246&lt;0.5),"NM",FL246/FJ246*100-100))</f>
        <v>-2.7932960893854784</v>
      </c>
      <c r="FN246" s="105">
        <f>-FN239/FN238*100</f>
        <v>3.87858347386172</v>
      </c>
      <c r="FO246" s="72">
        <f>IF(ISERROR(FN246/FL246),"NA",IF(OR(FN246/FL246&gt;2,FN246/FL246&lt;0.5),"NM",FN246/FL246*100-100))</f>
        <v>-32.812924985040539</v>
      </c>
      <c r="FP246" s="105">
        <f>-FP239/FP238*100</f>
        <v>9.7520661157024797</v>
      </c>
      <c r="FQ246" s="72" t="str">
        <f>IF(ISERROR(FP246/FN246),"NA",IF(OR(FP246/FN246&gt;2,FP246/FN246&lt;0.5),"NM",FP246/FN246*100-100))</f>
        <v>NM</v>
      </c>
      <c r="FR246" s="105">
        <f>-FR239/FR238*100</f>
        <v>15.573770491803279</v>
      </c>
      <c r="FS246" s="72">
        <f>IF(ISERROR(FR246/FP246),"NA",IF(OR(FR246/FP246&gt;2,FR246/FP246&lt;0.5),"NM",FR246/FP246*100-100))</f>
        <v>59.697138093914958</v>
      </c>
      <c r="FT246" s="105">
        <f>-FT239/FT238*100</f>
        <v>5.4491899852724597</v>
      </c>
      <c r="FU246" s="72" t="str">
        <f>IF(ISERROR(FT246/FR246),"NA",IF(OR(FT246/FR246&gt;2,FT246/FR246&lt;0.5),"NM",FT246/FR246*100-100))</f>
        <v>NM</v>
      </c>
      <c r="FV246" s="105">
        <f>-FV239/FV238*100</f>
        <v>3.2352941176470593</v>
      </c>
      <c r="FW246" s="72">
        <f>IF(ISERROR(FV246/FT246),"NA",IF(OR(FV246/FT246&gt;2,FV246/FT246&lt;0.5),"NM",FV246/FT246*100-100))</f>
        <v>-40.627980922098558</v>
      </c>
      <c r="FX246" s="105">
        <f>-FX239/FX238*100</f>
        <v>3.0013642564802185</v>
      </c>
      <c r="FY246" s="72">
        <f>IF(ISERROR(FX246/FV246),"NA",IF(OR(FX246/FV246&gt;2,FX246/FV246&lt;0.5),"NM",FX246/FV246*100-100))</f>
        <v>-7.230559345156891</v>
      </c>
      <c r="FZ246" s="105">
        <f>-FZ239/FZ238*100</f>
        <v>2.3106546854942236</v>
      </c>
      <c r="GA246" s="72">
        <f>IF(ISERROR(FZ246/FX246),"NA",IF(OR(FZ246/FX246&gt;2,FZ246/FX246&lt;0.5),"NM",FZ246/FX246*100-100))</f>
        <v>-23.01318706966974</v>
      </c>
      <c r="GB246" s="105">
        <f>-GB239/GB238*100</f>
        <v>1.3994910941475827</v>
      </c>
      <c r="GC246" s="72">
        <f>IF(ISERROR(GB246/FZ246),"NA",IF(OR(GB246/FZ246&gt;2,GB246/FZ246&lt;0.5),"NM",GB246/FZ246*100-100))</f>
        <v>-39.433135425501845</v>
      </c>
      <c r="GD246" s="105">
        <f>-GD239/GD238*100</f>
        <v>5.7339449541284404</v>
      </c>
      <c r="GE246" s="72" t="str">
        <f>IF(ISERROR(GD246/GB246),"NA",IF(OR(GD246/GB246&gt;2,GD246/GB246&lt;0.5),"NM",GD246/GB246*100-100))</f>
        <v>NM</v>
      </c>
      <c r="GF246" s="105">
        <f>-GF239/GF238*100</f>
        <v>0.12135922330097086</v>
      </c>
      <c r="GG246" s="72" t="str">
        <f>IF(ISERROR(GF246/GD246),"NA",IF(OR(GF246/GD246&gt;2,GF246/GD246&lt;0.5),"NM",GF246/GD246*100-100))</f>
        <v>NM</v>
      </c>
      <c r="GH246" s="105">
        <f>-GH239/GH238*100</f>
        <v>-0.7009345794392523</v>
      </c>
      <c r="GI246" s="72" t="str">
        <f t="shared" si="1487"/>
        <v>NM</v>
      </c>
      <c r="GJ246" s="105">
        <f>-GJ239/GJ238*100</f>
        <v>0.47732696897374705</v>
      </c>
      <c r="GK246" s="72" t="str">
        <f t="shared" si="1487"/>
        <v>NM</v>
      </c>
      <c r="GL246" s="105">
        <f>-GL239/GL238*100</f>
        <v>-0.73439412484700128</v>
      </c>
      <c r="GM246" s="72" t="str">
        <f t="shared" si="1487"/>
        <v>NM</v>
      </c>
      <c r="GN246" s="105">
        <f>-GN239/GN238*100</f>
        <v>-1.643192488262911</v>
      </c>
      <c r="GO246" s="72" t="str">
        <f t="shared" si="1487"/>
        <v>NM</v>
      </c>
      <c r="GP246" s="105">
        <f>-GP239/GP238*100</f>
        <v>-1.4999999999999996</v>
      </c>
      <c r="GQ246" s="72">
        <f t="shared" si="1487"/>
        <v>-8.7142857142857508</v>
      </c>
      <c r="GR246" s="104">
        <f>GP246</f>
        <v>-1.4999999999999996</v>
      </c>
      <c r="GS246" s="72">
        <f t="shared" si="1487"/>
        <v>0</v>
      </c>
      <c r="GT246" s="104">
        <f>GR246</f>
        <v>-1.4999999999999996</v>
      </c>
      <c r="GU246" s="72">
        <f t="shared" si="1487"/>
        <v>0</v>
      </c>
      <c r="GV246" s="104">
        <f>GT246</f>
        <v>-1.4999999999999996</v>
      </c>
      <c r="GW246" s="72">
        <f>IF(ISERROR(GV246/GT246),"NA",IF(OR(GV246/GT246&gt;2,GV246/GT246&lt;0.5),"NM",GV246/GT246*100-100))</f>
        <v>0</v>
      </c>
      <c r="GX246" s="104">
        <f>GV246</f>
        <v>-1.4999999999999996</v>
      </c>
      <c r="GY246" s="72">
        <f>IF(ISERROR(GX246/GV246),"NA",IF(OR(GX246/GV246&gt;2,GX246/GV246&lt;0.5),"NM",GX246/GV246*100-100))</f>
        <v>0</v>
      </c>
      <c r="GZ246" s="72">
        <f>IF(ISERROR(((GX246/GN246)^0.2-1)*100),"NA",IF((((GX246/GN246)^0.2-1)*100)&gt;100,"NM",IF((((GX246/GN246)^0.2-1)*100)&lt;-50,"NM",((GX246/GN246)^0.2-1)*100)))</f>
        <v>-1.8069921316982929</v>
      </c>
      <c r="HA246" s="72"/>
      <c r="HB246" s="72"/>
    </row>
    <row r="247" spans="1:217" ht="12.75" customHeight="1" x14ac:dyDescent="0.2">
      <c r="B247" s="94"/>
      <c r="C247" s="141"/>
      <c r="D247" s="72"/>
      <c r="E247" s="141"/>
      <c r="F247" s="72"/>
      <c r="G247" s="141"/>
      <c r="H247" s="72"/>
      <c r="I247" s="141"/>
      <c r="J247" s="72"/>
      <c r="K247" s="141"/>
      <c r="L247" s="72"/>
      <c r="M247" s="141"/>
      <c r="N247" s="72"/>
      <c r="O247" s="141"/>
      <c r="P247" s="72"/>
      <c r="Q247" s="141"/>
      <c r="R247" s="72"/>
      <c r="S247" s="141"/>
      <c r="T247" s="72"/>
      <c r="U247" s="141"/>
      <c r="V247" s="72"/>
      <c r="W247" s="141"/>
      <c r="X247" s="72"/>
      <c r="Y247" s="141"/>
      <c r="Z247" s="72"/>
      <c r="AA247" s="141"/>
      <c r="AB247" s="72"/>
      <c r="AC247" s="141"/>
      <c r="AD247" s="72"/>
      <c r="AE247" s="141"/>
      <c r="AF247" s="72"/>
      <c r="AG247" s="141"/>
      <c r="AH247" s="72"/>
      <c r="AI247" s="141"/>
      <c r="AJ247" s="72"/>
      <c r="AK247" s="141"/>
      <c r="AL247" s="72"/>
      <c r="AM247" s="141"/>
      <c r="AN247" s="72"/>
      <c r="AO247" s="141"/>
      <c r="AP247" s="72"/>
      <c r="AQ247" s="141"/>
      <c r="AR247" s="72"/>
      <c r="AS247" s="141"/>
      <c r="AT247" s="72"/>
      <c r="AU247" s="141"/>
      <c r="AV247" s="72"/>
      <c r="AW247" s="141"/>
      <c r="AX247" s="72"/>
      <c r="AY247" s="141"/>
      <c r="AZ247" s="72"/>
      <c r="BA247" s="141"/>
      <c r="BB247" s="72"/>
      <c r="BC247" s="141"/>
      <c r="BD247" s="72"/>
      <c r="BE247" s="141"/>
      <c r="BF247" s="72"/>
      <c r="BG247" s="141"/>
      <c r="BH247" s="72"/>
      <c r="BI247" s="141"/>
      <c r="BJ247" s="72"/>
      <c r="BK247" s="141"/>
      <c r="BL247" s="72"/>
      <c r="BM247" s="141"/>
      <c r="BN247" s="72"/>
      <c r="BO247" s="141"/>
      <c r="BP247" s="72"/>
      <c r="BQ247" s="141"/>
      <c r="BR247" s="72"/>
      <c r="BS247" s="141"/>
      <c r="BT247" s="72"/>
      <c r="BU247" s="141"/>
      <c r="BV247" s="72"/>
      <c r="BW247" s="141"/>
      <c r="BX247" s="72"/>
      <c r="BY247" s="141"/>
      <c r="BZ247" s="72"/>
      <c r="CA247" s="141"/>
      <c r="CB247" s="72"/>
      <c r="CC247" s="141"/>
      <c r="CD247" s="72"/>
      <c r="CE247" s="141"/>
      <c r="CF247" s="72"/>
      <c r="CG247" s="141"/>
      <c r="CH247" s="72"/>
      <c r="CI247" s="141"/>
      <c r="CJ247" s="72"/>
      <c r="CK247" s="141"/>
      <c r="CL247" s="72"/>
      <c r="CM247" s="141"/>
      <c r="CN247" s="72"/>
      <c r="CO247" s="141"/>
      <c r="CP247" s="72"/>
      <c r="CQ247" s="141"/>
      <c r="CR247" s="72"/>
      <c r="CS247" s="141"/>
      <c r="CT247" s="72"/>
      <c r="CU247" s="141"/>
      <c r="CV247" s="72"/>
      <c r="CW247" s="141"/>
      <c r="CX247" s="72"/>
      <c r="CY247" s="141"/>
      <c r="CZ247" s="72"/>
      <c r="DA247" s="141"/>
      <c r="DB247" s="72"/>
      <c r="DC247" s="141"/>
      <c r="DD247" s="72"/>
      <c r="DE247" s="141"/>
      <c r="DF247" s="72"/>
      <c r="DG247" s="141"/>
      <c r="DH247" s="72"/>
      <c r="DI247" s="141"/>
      <c r="DJ247" s="72"/>
      <c r="DK247" s="141"/>
      <c r="DL247" s="72"/>
      <c r="DM247" s="141"/>
      <c r="DN247" s="72"/>
      <c r="DO247" s="141"/>
      <c r="DP247" s="72"/>
      <c r="DQ247" s="141"/>
      <c r="DR247" s="72"/>
      <c r="DS247" s="141"/>
      <c r="DT247" s="72"/>
      <c r="DU247" s="141"/>
      <c r="DV247" s="72"/>
      <c r="DW247" s="142"/>
      <c r="DX247" s="72"/>
      <c r="DY247" s="142"/>
      <c r="DZ247" s="72"/>
      <c r="EA247" s="142"/>
      <c r="EB247" s="72"/>
      <c r="EC247" s="142"/>
      <c r="ED247" s="72"/>
      <c r="EE247" s="142"/>
      <c r="EF247" s="72"/>
      <c r="EG247" s="142"/>
      <c r="EH247" s="72"/>
      <c r="EI247" s="142"/>
      <c r="EJ247" s="72"/>
      <c r="EK247" s="142"/>
      <c r="EL247" s="72"/>
      <c r="EM247" s="142"/>
      <c r="EN247" s="72"/>
      <c r="EO247" s="142"/>
      <c r="EP247" s="72"/>
      <c r="EQ247" s="142"/>
      <c r="ER247" s="72"/>
      <c r="ES247" s="142"/>
      <c r="ET247" s="72"/>
      <c r="EU247" s="142"/>
      <c r="EV247" s="72"/>
      <c r="EW247" s="142"/>
      <c r="EX247" s="72"/>
      <c r="EY247" s="72"/>
      <c r="EZ247" s="306"/>
      <c r="FA247" s="72"/>
      <c r="FB247" s="141"/>
      <c r="FC247" s="72"/>
      <c r="FD247" s="141"/>
      <c r="FE247" s="72"/>
      <c r="FF247" s="141"/>
      <c r="FG247" s="72"/>
      <c r="FH247" s="141"/>
      <c r="FI247" s="72"/>
      <c r="FJ247" s="141"/>
      <c r="FK247" s="72"/>
      <c r="FL247" s="141"/>
      <c r="FM247" s="72"/>
      <c r="FN247" s="141"/>
      <c r="FO247" s="72"/>
      <c r="FP247" s="142"/>
      <c r="FQ247" s="72"/>
      <c r="FR247" s="142"/>
      <c r="FS247" s="72"/>
      <c r="FT247" s="142"/>
      <c r="FU247" s="72"/>
      <c r="FV247" s="142"/>
      <c r="FW247" s="72"/>
      <c r="FX247" s="152"/>
      <c r="FY247" s="72"/>
      <c r="FZ247" s="142"/>
      <c r="GA247" s="72"/>
      <c r="GB247" s="142"/>
      <c r="GC247" s="72"/>
      <c r="GD247" s="142"/>
      <c r="GE247" s="72"/>
      <c r="GF247" s="142"/>
      <c r="GG247" s="72"/>
      <c r="GH247" s="142"/>
      <c r="GI247" s="72"/>
      <c r="GJ247" s="142"/>
      <c r="GK247" s="72"/>
      <c r="GL247" s="142"/>
      <c r="GM247" s="72"/>
      <c r="GN247" s="142"/>
      <c r="GO247" s="72"/>
      <c r="GP247" s="142"/>
      <c r="GQ247" s="72"/>
      <c r="GR247" s="142"/>
      <c r="GS247" s="72"/>
      <c r="GT247" s="142"/>
      <c r="GU247" s="72"/>
      <c r="GV247" s="142"/>
      <c r="GW247" s="72"/>
      <c r="GX247" s="142"/>
      <c r="GY247" s="72"/>
      <c r="GZ247" s="72"/>
      <c r="HA247" s="72"/>
      <c r="HB247" s="72"/>
    </row>
    <row r="248" spans="1:217" s="5" customFormat="1" ht="12.75" customHeight="1" x14ac:dyDescent="0.2">
      <c r="A248" s="3" t="s">
        <v>288</v>
      </c>
      <c r="B248" s="70" t="s">
        <v>27</v>
      </c>
      <c r="C248" s="91">
        <f>C232-C240</f>
        <v>2</v>
      </c>
      <c r="D248" s="80"/>
      <c r="E248" s="91">
        <f>E232-E240</f>
        <v>31</v>
      </c>
      <c r="F248" s="80"/>
      <c r="G248" s="91">
        <f>G232-G240</f>
        <v>57</v>
      </c>
      <c r="H248" s="80"/>
      <c r="I248" s="91">
        <f>I232-I240</f>
        <v>68</v>
      </c>
      <c r="J248" s="80"/>
      <c r="K248" s="91">
        <f>K232-K240</f>
        <v>47</v>
      </c>
      <c r="L248" s="72" t="str">
        <f>IF(ISERROR(K248/C248),"NA",IF(OR(K248/C248&gt;2,K248/C248&lt;0.5),"NM",K248/C248*100-100))</f>
        <v>NM</v>
      </c>
      <c r="M248" s="91">
        <f>M232-M240</f>
        <v>9</v>
      </c>
      <c r="N248" s="72" t="str">
        <f>IF(ISERROR(M248/E248),"NA",IF(OR(M248/E248&gt;2,M248/E248&lt;0.5),"NM",M248/E248*100-100))</f>
        <v>NM</v>
      </c>
      <c r="O248" s="91">
        <f>O232-O240</f>
        <v>-7</v>
      </c>
      <c r="P248" s="72" t="str">
        <f>IF(ISERROR(O248/G248),"NA",IF(OR(O248/G248&gt;2,O248/G248&lt;0.5),"NM",O248/G248*100-100))</f>
        <v>NM</v>
      </c>
      <c r="Q248" s="91">
        <f>Q232-Q240</f>
        <v>21</v>
      </c>
      <c r="R248" s="72" t="str">
        <f>IF(ISERROR(Q248/I248),"NA",IF(OR(Q248/I248&gt;2,Q248/I248&lt;0.5),"NM",Q248/I248*100-100))</f>
        <v>NM</v>
      </c>
      <c r="S248" s="91">
        <f>S232-S240</f>
        <v>37</v>
      </c>
      <c r="T248" s="72">
        <f>IF(ISERROR(S248/K248),"NA",IF(OR(S248/K248&gt;2,S248/K248&lt;0.5),"NM",S248/K248*100-100))</f>
        <v>-21.276595744680847</v>
      </c>
      <c r="U248" s="91">
        <f>U232-U240</f>
        <v>36</v>
      </c>
      <c r="V248" s="72" t="str">
        <f>IF(ISERROR(U248/M248),"NA",IF(OR(U248/M248&gt;2,U248/M248&lt;0.5),"NM",U248/M248*100-100))</f>
        <v>NM</v>
      </c>
      <c r="W248" s="91">
        <f>W232-W240</f>
        <v>30</v>
      </c>
      <c r="X248" s="72" t="str">
        <f>IF(ISERROR(W248/O248),"NA",IF(OR(W248/O248&gt;2,W248/O248&lt;0.5),"NM",W248/O248*100-100))</f>
        <v>NM</v>
      </c>
      <c r="Y248" s="91">
        <f>Y232-Y240</f>
        <v>52</v>
      </c>
      <c r="Z248" s="72" t="str">
        <f>IF(ISERROR(Y248/Q248),"NA",IF(OR(Y248/Q248&gt;2,Y248/Q248&lt;0.5),"NM",Y248/Q248*100-100))</f>
        <v>NM</v>
      </c>
      <c r="AA248" s="91">
        <f>AA232-AA240</f>
        <v>34</v>
      </c>
      <c r="AB248" s="72">
        <f>IF(ISERROR(AA248/S248),"NA",IF(OR(AA248/S248&gt;2,AA248/S248&lt;0.5),"NM",AA248/S248*100-100))</f>
        <v>-8.1081081081080981</v>
      </c>
      <c r="AC248" s="91">
        <f>AC232-AC240</f>
        <v>58</v>
      </c>
      <c r="AD248" s="72">
        <f>IF(ISERROR(AC248/U248),"NA",IF(OR(AC248/U248&gt;2,AC248/U248&lt;0.5),"NM",AC248/U248*100-100))</f>
        <v>61.111111111111114</v>
      </c>
      <c r="AE248" s="91">
        <f>AE232-AE240</f>
        <v>30</v>
      </c>
      <c r="AF248" s="72">
        <f>IF(ISERROR(AE248/W248),"NA",IF(OR(AE248/W248&gt;2,AE248/W248&lt;0.5),"NM",AE248/W248*100-100))</f>
        <v>0</v>
      </c>
      <c r="AG248" s="91">
        <f>AG232-AG240</f>
        <v>47</v>
      </c>
      <c r="AH248" s="72">
        <f>IF(ISERROR(AG248/Y248),"NA",IF(OR(AG248/Y248&gt;2,AG248/Y248&lt;0.5),"NM",AG248/Y248*100-100))</f>
        <v>-9.6153846153846132</v>
      </c>
      <c r="AI248" s="91">
        <f>AI232-AI240</f>
        <v>26</v>
      </c>
      <c r="AJ248" s="72">
        <f>IF(ISERROR(AI248/AA248),"NA",IF(OR(AI248/AA248&gt;2,AI248/AA248&lt;0.5),"NM",AI248/AA248*100-100))</f>
        <v>-23.529411764705884</v>
      </c>
      <c r="AK248" s="91">
        <f>AK232-AK240</f>
        <v>46</v>
      </c>
      <c r="AL248" s="72">
        <f>IF(ISERROR(AK248/AC248),"NA",IF(OR(AK248/AC248&gt;2,AK248/AC248&lt;0.5),"NM",AK248/AC248*100-100))</f>
        <v>-20.689655172413794</v>
      </c>
      <c r="AM248" s="91">
        <f>AM232-AM240</f>
        <v>48</v>
      </c>
      <c r="AN248" s="72">
        <f>IF(ISERROR(AM248/AE248),"NA",IF(OR(AM248/AE248&gt;2,AM248/AE248&lt;0.5),"NM",AM248/AE248*100-100))</f>
        <v>60</v>
      </c>
      <c r="AO248" s="91">
        <f>AO232-AO240</f>
        <v>54</v>
      </c>
      <c r="AP248" s="72">
        <f>IF(ISERROR(AO248/AG248),"NA",IF(OR(AO248/AG248&gt;2,AO248/AG248&lt;0.5),"NM",AO248/AG248*100-100))</f>
        <v>14.893617021276611</v>
      </c>
      <c r="AQ248" s="91">
        <f>AQ232-AQ240</f>
        <v>38</v>
      </c>
      <c r="AR248" s="72">
        <f>IF(ISERROR(AQ248/AI248),"NA",IF(OR(AQ248/AI248&gt;2,AQ248/AI248&lt;0.5),"NM",AQ248/AI248*100-100))</f>
        <v>46.153846153846132</v>
      </c>
      <c r="AS248" s="91">
        <f>AS232-AS240</f>
        <v>46</v>
      </c>
      <c r="AT248" s="72">
        <f>IF(ISERROR(AS248/AK248),"NA",IF(OR(AS248/AK248&gt;2,AS248/AK248&lt;0.5),"NM",AS248/AK248*100-100))</f>
        <v>0</v>
      </c>
      <c r="AU248" s="91">
        <f>AU232-AU240</f>
        <v>60</v>
      </c>
      <c r="AV248" s="72">
        <f>IF(ISERROR(AU248/AM248),"NA",IF(OR(AU248/AM248&gt;2,AU248/AM248&lt;0.5),"NM",AU248/AM248*100-100))</f>
        <v>25</v>
      </c>
      <c r="AW248" s="91">
        <f>AW232-AW240</f>
        <v>80</v>
      </c>
      <c r="AX248" s="72">
        <f>IF(ISERROR(AW248/AO248),"NA",IF(OR(AW248/AO248&gt;2,AW248/AO248&lt;0.5),"NM",AW248/AO248*100-100))</f>
        <v>48.148148148148152</v>
      </c>
      <c r="AY248" s="91">
        <f>AY232-AY240</f>
        <v>47</v>
      </c>
      <c r="AZ248" s="72">
        <f>IF(ISERROR(AY248/AQ248),"NA",IF(OR(AY248/AQ248&gt;2,AY248/AQ248&lt;0.5),"NM",AY248/AQ248*100-100))</f>
        <v>23.684210526315795</v>
      </c>
      <c r="BA248" s="91">
        <f>BA232-BA240</f>
        <v>29</v>
      </c>
      <c r="BB248" s="72">
        <f>IF(ISERROR(BA248/AS248),"NA",IF(OR(BA248/AS248&gt;2,BA248/AS248&lt;0.5),"NM",BA248/AS248*100-100))</f>
        <v>-36.95652173913043</v>
      </c>
      <c r="BC248" s="91">
        <f>BC232-BC240</f>
        <v>90</v>
      </c>
      <c r="BD248" s="72">
        <f>IF(ISERROR(BC248/AU248),"NA",IF(OR(BC248/AU248&gt;2,BC248/AU248&lt;0.5),"NM",BC248/AU248*100-100))</f>
        <v>50</v>
      </c>
      <c r="BE248" s="91">
        <f>BE232-BE240</f>
        <v>63</v>
      </c>
      <c r="BF248" s="72">
        <f>IF(ISERROR(BE248/AW248),"NA",IF(OR(BE248/AW248&gt;2,BE248/AW248&lt;0.5),"NM",BE248/AW248*100-100))</f>
        <v>-21.25</v>
      </c>
      <c r="BG248" s="91">
        <f>BG232-BG240</f>
        <v>51</v>
      </c>
      <c r="BH248" s="72">
        <f>IF(ISERROR(BG248/AY248),"NA",IF(OR(BG248/AY248&gt;2,BG248/AY248&lt;0.5),"NM",BG248/AY248*100-100))</f>
        <v>8.5106382978723332</v>
      </c>
      <c r="BI248" s="91">
        <f>BI232-BI240</f>
        <v>69</v>
      </c>
      <c r="BJ248" s="72" t="str">
        <f>IF(ISERROR(BI248/BA248),"NA",IF(OR(BI248/BA248&gt;2,BI248/BA248&lt;0.5),"NM",BI248/BA248*100-100))</f>
        <v>NM</v>
      </c>
      <c r="BK248" s="91">
        <f>BK232-BK240</f>
        <v>100</v>
      </c>
      <c r="BL248" s="72">
        <f>IF(ISERROR(BK248/BC248),"NA",IF(OR(BK248/BC248&gt;2,BK248/BC248&lt;0.5),"NM",BK248/BC248*100-100))</f>
        <v>11.111111111111114</v>
      </c>
      <c r="BM248" s="91">
        <f>BM232-BM240</f>
        <v>66</v>
      </c>
      <c r="BN248" s="72">
        <f>IF(ISERROR(BM248/BE248),"NA",IF(OR(BM248/BE248&gt;2,BM248/BE248&lt;0.5),"NM",BM248/BE248*100-100))</f>
        <v>4.7619047619047734</v>
      </c>
      <c r="BO248" s="91">
        <f>BO232-BO240</f>
        <v>90</v>
      </c>
      <c r="BP248" s="72">
        <f>IF(ISERROR(BO248/BG248),"NA",IF(OR(BO248/BG248&gt;2,BO248/BG248&lt;0.5),"NM",BO248/BG248*100-100))</f>
        <v>76.470588235294116</v>
      </c>
      <c r="BQ248" s="91">
        <f>BQ232-BQ240</f>
        <v>80</v>
      </c>
      <c r="BR248" s="72">
        <f>IF(ISERROR(BQ248/BI248),"NA",IF(OR(BQ248/BI248&gt;2,BQ248/BI248&lt;0.5),"NM",BQ248/BI248*100-100))</f>
        <v>15.94202898550725</v>
      </c>
      <c r="BS248" s="91">
        <f>BS232-BS240</f>
        <v>101</v>
      </c>
      <c r="BT248" s="72">
        <f>IF(ISERROR(BS248/BK248),"NA",IF(OR(BS248/BK248&gt;2,BS248/BK248&lt;0.5),"NM",BS248/BK248*100-100))</f>
        <v>1</v>
      </c>
      <c r="BU248" s="91">
        <f>BU232-BU240</f>
        <v>69</v>
      </c>
      <c r="BV248" s="72">
        <f>IF(ISERROR(BU248/BM248),"NA",IF(OR(BU248/BM248&gt;2,BU248/BM248&lt;0.5),"NM",BU248/BM248*100-100))</f>
        <v>4.5454545454545467</v>
      </c>
      <c r="BW248" s="91">
        <f>BW232-BW240</f>
        <v>93</v>
      </c>
      <c r="BX248" s="72">
        <f>IF(ISERROR(BW248/BO248),"NA",IF(OR(BW248/BO248&gt;2,BW248/BO248&lt;0.5),"NM",BW248/BO248*100-100))</f>
        <v>3.3333333333333428</v>
      </c>
      <c r="BY248" s="91">
        <f>BY232-BY240</f>
        <v>105</v>
      </c>
      <c r="BZ248" s="72">
        <f>IF(ISERROR(BY248/BQ248),"NA",IF(OR(BY248/BQ248&gt;2,BY248/BQ248&lt;0.5),"NM",BY248/BQ248*100-100))</f>
        <v>31.25</v>
      </c>
      <c r="CA248" s="91">
        <f>CA232-CA240</f>
        <v>64</v>
      </c>
      <c r="CB248" s="72">
        <f>IF(ISERROR(CA248/BS248),"NA",IF(OR(CA248/BS248&gt;2,CA248/BS248&lt;0.5),"NM",CA248/BS248*100-100))</f>
        <v>-36.633663366336634</v>
      </c>
      <c r="CC248" s="91">
        <f>CC232-CC240</f>
        <v>69</v>
      </c>
      <c r="CD248" s="72">
        <f>IF(ISERROR(CC248/BU248),"NA",IF(OR(CC248/BU248&gt;2,CC248/BU248&lt;0.5),"NM",CC248/BU248*100-100))</f>
        <v>0</v>
      </c>
      <c r="CE248" s="91">
        <f>CE232-CE240</f>
        <v>52</v>
      </c>
      <c r="CF248" s="72">
        <f>IF(ISERROR(CE248/BW248),"NA",IF(OR(CE248/BW248&gt;2,CE248/BW248&lt;0.5),"NM",CE248/BW248*100-100))</f>
        <v>-44.086021505376351</v>
      </c>
      <c r="CG248" s="91">
        <f>CG232-CG240</f>
        <v>32</v>
      </c>
      <c r="CH248" s="72" t="str">
        <f>IF(ISERROR(CG248/BY248),"NA",IF(OR(CG248/BY248&gt;2,CG248/BY248&lt;0.5),"NM",CG248/BY248*100-100))</f>
        <v>NM</v>
      </c>
      <c r="CI248" s="91">
        <f>CI232-CI240</f>
        <v>60</v>
      </c>
      <c r="CJ248" s="72">
        <f>IF(ISERROR(CI248/CA248),"NA",IF(OR(CI248/CA248&gt;2,CI248/CA248&lt;0.5),"NM",CI248/CA248*100-100))</f>
        <v>-6.25</v>
      </c>
      <c r="CK248" s="91">
        <f>CK232-CK240</f>
        <v>68</v>
      </c>
      <c r="CL248" s="72">
        <f>IF(ISERROR(CK248/CC248),"NA",IF(OR(CK248/CC248&gt;2,CK248/CC248&lt;0.5),"NM",CK248/CC248*100-100))</f>
        <v>-1.4492753623188293</v>
      </c>
      <c r="CM248" s="91">
        <f>CM232-CM240</f>
        <v>39</v>
      </c>
      <c r="CN248" s="72">
        <f>IF(ISERROR(CM248/CE248),"NA",IF(OR(CM248/CE248&gt;2,CM248/CE248&lt;0.5),"NM",CM248/CE248*100-100))</f>
        <v>-25</v>
      </c>
      <c r="CO248" s="91">
        <f>CO232-CO240</f>
        <v>49</v>
      </c>
      <c r="CP248" s="72">
        <f>IF(ISERROR(CO248/CG248),"NA",IF(OR(CO248/CG248&gt;2,CO248/CG248&lt;0.5),"NM",CO248/CG248*100-100))</f>
        <v>53.125</v>
      </c>
      <c r="CQ248" s="91">
        <f>CQ232-CQ240</f>
        <v>45</v>
      </c>
      <c r="CR248" s="72">
        <f>IF(ISERROR(CQ248/CI248),"NA",IF(OR(CQ248/CI248&gt;2,CQ248/CI248&lt;0.5),"NM",CQ248/CI248*100-100))</f>
        <v>-25</v>
      </c>
      <c r="CS248" s="91">
        <f>CS232-CS240</f>
        <v>42</v>
      </c>
      <c r="CT248" s="72">
        <f>IF(ISERROR(CS248/CK248),"NA",IF(OR(CS248/CK248&gt;2,CS248/CK248&lt;0.5),"NM",CS248/CK248*100-100))</f>
        <v>-38.235294117647058</v>
      </c>
      <c r="CU248" s="91">
        <f>CU232-CU240</f>
        <v>-40</v>
      </c>
      <c r="CV248" s="72" t="str">
        <f>IF(ISERROR(CU248/CM248),"NA",IF(OR(CU248/CM248&gt;2,CU248/CM248&lt;0.5),"NM",CU248/CM248*100-100))</f>
        <v>NM</v>
      </c>
      <c r="CW248" s="91">
        <f>CW232-CW240</f>
        <v>33</v>
      </c>
      <c r="CX248" s="72">
        <f>IF(ISERROR(CW248/CO248),"NA",IF(OR(CW248/CO248&gt;2,CW248/CO248&lt;0.5),"NM",CW248/CO248*100-100))</f>
        <v>-32.653061224489804</v>
      </c>
      <c r="CY248" s="91">
        <f>CY232-CY240</f>
        <v>35</v>
      </c>
      <c r="CZ248" s="72">
        <f>IF(ISERROR(CY248/CQ248),"NA",IF(OR(CY248/CQ248&gt;2,CY248/CQ248&lt;0.5),"NM",CY248/CQ248*100-100))</f>
        <v>-22.222222222222214</v>
      </c>
      <c r="DA248" s="91">
        <f>DA232-DA240</f>
        <v>-12</v>
      </c>
      <c r="DB248" s="72" t="str">
        <f>IF(ISERROR(DA248/CS248),"NA",IF(OR(DA248/CS248&gt;2,DA248/CS248&lt;0.5),"NM",DA248/CS248*100-100))</f>
        <v>NM</v>
      </c>
      <c r="DC248" s="91">
        <f>DC232-DC240</f>
        <v>9</v>
      </c>
      <c r="DD248" s="72" t="str">
        <f>IF(ISERROR(DC248/CU248),"NA",IF(OR(DC248/CU248&gt;2,DC248/CU248&lt;0.5),"NM",DC248/CU248*100-100))</f>
        <v>NM</v>
      </c>
      <c r="DE248" s="91">
        <f>DE232-DE240</f>
        <v>22</v>
      </c>
      <c r="DF248" s="72">
        <f>IF(ISERROR(DE248/CW248),"NA",IF(OR(DE248/CW248&gt;2,DE248/CW248&lt;0.5),"NM",DE248/CW248*100-100))</f>
        <v>-33.333333333333343</v>
      </c>
      <c r="DG248" s="91">
        <f>DG232-DG240</f>
        <v>68</v>
      </c>
      <c r="DH248" s="72">
        <f>IF(ISERROR(DG248/CY248),"NA",IF(OR(DG248/CY248&gt;2,DG248/CY248&lt;0.5),"NM",DG248/CY248*100-100))</f>
        <v>94.285714285714278</v>
      </c>
      <c r="DI248" s="91">
        <f>DI232-DI240</f>
        <v>58</v>
      </c>
      <c r="DJ248" s="72" t="str">
        <f>IF(ISERROR(DI248/DA248),"NA",IF(OR(DI248/DA248&gt;2,DI248/DA248&lt;0.5),"NM",DI248/DA248*100-100))</f>
        <v>NM</v>
      </c>
      <c r="DK248" s="91">
        <f>DK232-DK240</f>
        <v>6</v>
      </c>
      <c r="DL248" s="72">
        <f>IF(ISERROR(DK248/DC248),"NA",IF(OR(DK248/DC248&gt;2,DK248/DC248&lt;0.5),"NM",DK248/DC248*100-100))</f>
        <v>-33.333333333333343</v>
      </c>
      <c r="DM248" s="91">
        <f>DM232-DM240</f>
        <v>46</v>
      </c>
      <c r="DN248" s="72" t="str">
        <f t="shared" ref="DN248:DZ249" si="1491">IF(ISERROR(DM248/DE248),"NA",IF(OR(DM248/DE248&gt;2,DM248/DE248&lt;0.5),"NM",DM248/DE248*100-100))</f>
        <v>NM</v>
      </c>
      <c r="DO248" s="91">
        <f>DO232-DO240</f>
        <v>-73</v>
      </c>
      <c r="DP248" s="72" t="str">
        <f t="shared" si="1491"/>
        <v>NM</v>
      </c>
      <c r="DQ248" s="91">
        <f>DQ232-DQ240</f>
        <v>44</v>
      </c>
      <c r="DR248" s="72">
        <f t="shared" si="1491"/>
        <v>-24.137931034482762</v>
      </c>
      <c r="DS248" s="91">
        <f>DS232-DS240</f>
        <v>30</v>
      </c>
      <c r="DT248" s="72" t="str">
        <f t="shared" si="1491"/>
        <v>NM</v>
      </c>
      <c r="DU248" s="91">
        <f>DU232-DU240</f>
        <v>75</v>
      </c>
      <c r="DV248" s="72">
        <f t="shared" si="1491"/>
        <v>63.043478260869563</v>
      </c>
      <c r="DW248" s="91">
        <f>DW232-DW240</f>
        <v>44</v>
      </c>
      <c r="DX248" s="72" t="str">
        <f t="shared" si="1491"/>
        <v>NM</v>
      </c>
      <c r="DY248" s="91">
        <f>DY232-DY240</f>
        <v>27</v>
      </c>
      <c r="DZ248" s="72">
        <f t="shared" si="1491"/>
        <v>-38.636363636363633</v>
      </c>
      <c r="EA248" s="91">
        <f>EA232-EA240</f>
        <v>26</v>
      </c>
      <c r="EB248" s="72">
        <f>IF(ISERROR(EA248/DS248),"NA",IF(OR(EA248/DS248&gt;2,EA248/DS248&lt;0.5),"NM",EA248/DS248*100-100))</f>
        <v>-13.333333333333329</v>
      </c>
      <c r="EC248" s="91">
        <f>EC232-EC240</f>
        <v>89</v>
      </c>
      <c r="ED248" s="72">
        <f>IF(ISERROR(EC248/DU248),"NA",IF(OR(EC248/DU248&gt;2,EC248/DU248&lt;0.5),"NM",EC248/DU248*100-100))</f>
        <v>18.666666666666671</v>
      </c>
      <c r="EE248" s="91">
        <f>EE232-EE240</f>
        <v>62</v>
      </c>
      <c r="EF248" s="72">
        <f>IF(ISERROR(EE248/DW248),"NA",IF(OR(EE248/DW248&gt;2,EE248/DW248&lt;0.5),"NM",EE248/DW248*100-100))</f>
        <v>40.909090909090907</v>
      </c>
      <c r="EG248" s="91">
        <f>EG232-EG240</f>
        <v>43</v>
      </c>
      <c r="EH248" s="72">
        <f>IF(ISERROR(EG248/DY248),"NA",IF(OR(EG248/DY248&gt;2,EG248/DY248&lt;0.5),"NM",EG248/DY248*100-100))</f>
        <v>59.259259259259267</v>
      </c>
      <c r="EI248" s="91">
        <f>EI232-EI240</f>
        <v>34</v>
      </c>
      <c r="EJ248" s="72">
        <f>IF(ISERROR(EI248/EA248),"NA",IF(OR(EI248/EA248&gt;2,EI248/EA248&lt;0.5),"NM",EI248/EA248*100-100))</f>
        <v>30.769230769230774</v>
      </c>
      <c r="EK248" s="91">
        <f>EK232-EK240</f>
        <v>136</v>
      </c>
      <c r="EL248" s="72">
        <f>IF(ISERROR(EK248/EC248),"NA",IF(OR(EK248/EC248&gt;2,EK248/EC248&lt;0.5),"NM",EK248/EC248*100-100))</f>
        <v>52.808988764044926</v>
      </c>
      <c r="EM248" s="91">
        <f>EM232-EM240</f>
        <v>61</v>
      </c>
      <c r="EN248" s="72">
        <f>IF(ISERROR(EM248/EE248),"NA",IF(OR(EM248/EE248&gt;2,EM248/EE248&lt;0.5),"NM",EM248/EE248*100-100))</f>
        <v>-1.6129032258064484</v>
      </c>
      <c r="EO248" s="91">
        <f>EO232-EO240</f>
        <v>22</v>
      </c>
      <c r="EP248" s="72">
        <f>IF(ISERROR(EO248/EG248),"NA",IF(OR(EO248/EG248&gt;2,EO248/EG248&lt;0.5),"NM",EO248/EG248*100-100))</f>
        <v>-48.837209302325576</v>
      </c>
      <c r="EQ248" s="91">
        <f t="shared" ref="EQ248" si="1492">EQ232-EQ240</f>
        <v>43.17832414999998</v>
      </c>
      <c r="ER248" s="72">
        <f t="shared" ref="ER248:ER249" si="1493">IF(ISERROR(EQ248/EI248),"NA",IF(OR(EQ248/EI248&gt;2,EQ248/EI248&lt;0.5),"NM",EQ248/EI248*100-100))</f>
        <v>26.995071029411704</v>
      </c>
      <c r="ES248" s="91">
        <f t="shared" ref="ES248" si="1494">ES232-ES240</f>
        <v>49.623395891499513</v>
      </c>
      <c r="ET248" s="72" t="str">
        <f t="shared" ref="ET248:ET249" si="1495">IF(ISERROR(ES248/EK248),"NA",IF(OR(ES248/EK248&gt;2,ES248/EK248&lt;0.5),"NM",ES248/EK248*100-100))</f>
        <v>NM</v>
      </c>
      <c r="EU248" s="91">
        <f t="shared" ref="EU248" si="1496">EU232-EU240</f>
        <v>56.192951235414739</v>
      </c>
      <c r="EV248" s="72">
        <f t="shared" ref="EV248:EV249" si="1497">IF(ISERROR(EU248/EM248),"NA",IF(OR(EU248/EM248&gt;2,EU248/EM248&lt;0.5),"NM",EU248/EM248*100-100))</f>
        <v>-7.8804078107955036</v>
      </c>
      <c r="EW248" s="91">
        <f t="shared" ref="EW248" si="1498">EW232-EW240</f>
        <v>47.053032785860069</v>
      </c>
      <c r="EX248" s="72" t="str">
        <f t="shared" ref="EX248:EX249" si="1499">IF(ISERROR(EW248/EO248),"NA",IF(OR(EW248/EO248&gt;2,EW248/EO248&lt;0.5),"NM",EW248/EO248*100-100))</f>
        <v>NM</v>
      </c>
      <c r="EY248" s="72"/>
      <c r="EZ248" s="310"/>
      <c r="FA248" s="72"/>
      <c r="FB248" s="91">
        <f>FB232-FB240</f>
        <v>98</v>
      </c>
      <c r="FC248" s="80"/>
      <c r="FD248" s="91">
        <f>FD232-FD240</f>
        <v>128</v>
      </c>
      <c r="FE248" s="72">
        <f>IF(ISERROR(FD248/FB248),"NA",IF(OR(FD248/FB248&gt;2,FD248/FB248&lt;0.5),"NM",FD248/FB248*100-100))</f>
        <v>30.612244897959187</v>
      </c>
      <c r="FF248" s="91">
        <f>FF232-FF240</f>
        <v>158</v>
      </c>
      <c r="FG248" s="72">
        <f>IF(ISERROR(FF248/FD248),"NA",IF(OR(FF248/FD248&gt;2,FF248/FD248&lt;0.5),"NM",FF248/FD248*100-100))</f>
        <v>23.4375</v>
      </c>
      <c r="FH248" s="91">
        <f>FH232-FH240</f>
        <v>70</v>
      </c>
      <c r="FI248" s="72" t="str">
        <f>IF(ISERROR(FH248/FF248),"NA",IF(OR(FH248/FF248&gt;2,FH248/FF248&lt;0.5),"NM",FH248/FF248*100-100))</f>
        <v>NM</v>
      </c>
      <c r="FJ248" s="91">
        <f>FJ232-FJ240</f>
        <v>155</v>
      </c>
      <c r="FK248" s="72" t="str">
        <f>IF(ISERROR(FJ248/FH248),"NA",IF(OR(FJ248/FH248&gt;2,FJ248/FH248&lt;0.5),"NM",FJ248/FH248*100-100))</f>
        <v>NM</v>
      </c>
      <c r="FL248" s="91">
        <f>FL232-FL240</f>
        <v>169</v>
      </c>
      <c r="FM248" s="72">
        <f>IF(ISERROR(FL248/FJ248),"NA",IF(OR(FL248/FJ248&gt;2,FL248/FJ248&lt;0.5),"NM",FL248/FJ248*100-100))</f>
        <v>9.0322580645161281</v>
      </c>
      <c r="FN248" s="91">
        <f>FN232-FN240</f>
        <v>174</v>
      </c>
      <c r="FO248" s="72">
        <f>IF(ISERROR(FN248/FL248),"NA",IF(OR(FN248/FL248&gt;2,FN248/FL248&lt;0.5),"NM",FN248/FL248*100-100))</f>
        <v>2.958579881656803</v>
      </c>
      <c r="FP248" s="91">
        <f>FP232-FP240</f>
        <v>224</v>
      </c>
      <c r="FQ248" s="72">
        <f>IF(ISERROR(FP248/FN248),"NA",IF(OR(FP248/FN248&gt;2,FP248/FN248&lt;0.5),"NM",FP248/FN248*100-100))</f>
        <v>28.735632183908052</v>
      </c>
      <c r="FR248" s="91">
        <f>FR232-FR240</f>
        <v>229</v>
      </c>
      <c r="FS248" s="72">
        <f>IF(ISERROR(FR248/FP248),"NA",IF(OR(FR248/FP248&gt;2,FR248/FP248&lt;0.5),"NM",FR248/FP248*100-100))</f>
        <v>2.2321428571428612</v>
      </c>
      <c r="FT248" s="91">
        <f>FT232-FT240</f>
        <v>286</v>
      </c>
      <c r="FU248" s="72">
        <f>IF(ISERROR(FT248/FR248),"NA",IF(OR(FT248/FR248&gt;2,FT248/FR248&lt;0.5),"NM",FT248/FR248*100-100))</f>
        <v>24.890829694323145</v>
      </c>
      <c r="FV248" s="91">
        <f>FV232-FV240</f>
        <v>336</v>
      </c>
      <c r="FW248" s="72">
        <f>IF(ISERROR(FV248/FT248),"NA",IF(OR(FV248/FT248&gt;2,FV248/FT248&lt;0.5),"NM",FV248/FT248*100-100))</f>
        <v>17.48251748251748</v>
      </c>
      <c r="FX248" s="91">
        <f>FX232-FX240</f>
        <v>329</v>
      </c>
      <c r="FY248" s="72">
        <f>IF(ISERROR(FX248/FV248),"NA",IF(OR(FX248/FV248&gt;2,FX248/FV248&lt;0.5),"NM",FX248/FV248*100-100))</f>
        <v>-2.0833333333333428</v>
      </c>
      <c r="FZ248" s="91">
        <f>FZ232-FZ240</f>
        <v>212</v>
      </c>
      <c r="GA248" s="72">
        <f>IF(ISERROR(FZ248/FX248),"NA",IF(OR(FZ248/FX248&gt;2,FZ248/FX248&lt;0.5),"NM",FZ248/FX248*100-100))</f>
        <v>-35.562310030395139</v>
      </c>
      <c r="GB248" s="91">
        <f>GB232-GB240</f>
        <v>175</v>
      </c>
      <c r="GC248" s="72">
        <f>IF(ISERROR(GB248/FZ248),"NA",IF(OR(GB248/FZ248&gt;2,GB248/FZ248&lt;0.5),"NM",GB248/FZ248*100-100))</f>
        <v>-17.452830188679243</v>
      </c>
      <c r="GD248" s="91">
        <f>CU248+CW248+CY248+DA248</f>
        <v>16</v>
      </c>
      <c r="GE248" s="72" t="str">
        <f>IF(ISERROR(GD248/GB248),"NA",IF(OR(GD248/GB248&gt;2,GD248/GB248&lt;0.5),"NM",GD248/GB248*100-100))</f>
        <v>NM</v>
      </c>
      <c r="GF248" s="91">
        <f>GF232-GF240</f>
        <v>157</v>
      </c>
      <c r="GG248" s="72" t="str">
        <f>IF(ISERROR(GF248/GD248),"NA",IF(OR(GF248/GD248&gt;2,GF248/GD248&lt;0.5),"NM",GF248/GD248*100-100))</f>
        <v>NM</v>
      </c>
      <c r="GH248" s="91">
        <f>GH232-GH240</f>
        <v>23</v>
      </c>
      <c r="GI248" s="72" t="str">
        <f t="shared" ref="GI248:GU249" si="1500">IF(ISERROR(GH248/GF248),"NA",IF(OR(GH248/GF248&gt;2,GH248/GF248&lt;0.5),"NM",GH248/GF248*100-100))</f>
        <v>NM</v>
      </c>
      <c r="GJ248" s="91">
        <f>GJ232-GJ240</f>
        <v>176</v>
      </c>
      <c r="GK248" s="72" t="str">
        <f t="shared" si="1500"/>
        <v>NM</v>
      </c>
      <c r="GL248" s="91">
        <f>GL232-GL240</f>
        <v>220</v>
      </c>
      <c r="GM248" s="72">
        <f t="shared" si="1500"/>
        <v>25</v>
      </c>
      <c r="GN248" s="91">
        <f>GN232-GN240</f>
        <v>253</v>
      </c>
      <c r="GO248" s="72">
        <f t="shared" si="1500"/>
        <v>14.999999999999986</v>
      </c>
      <c r="GP248" s="91">
        <f>GP232-GP240</f>
        <v>196.04770406277567</v>
      </c>
      <c r="GQ248" s="72">
        <f t="shared" si="1500"/>
        <v>-22.510788907993799</v>
      </c>
      <c r="GR248" s="91">
        <f>GR232-GR240</f>
        <v>203.70113715293792</v>
      </c>
      <c r="GS248" s="72">
        <f t="shared" si="1500"/>
        <v>3.9038626474868607</v>
      </c>
      <c r="GT248" s="91">
        <f>GT232-GT240</f>
        <v>214.2621481665592</v>
      </c>
      <c r="GU248" s="72">
        <f t="shared" si="1500"/>
        <v>5.1845616383045154</v>
      </c>
      <c r="GV248" s="91">
        <f>GV232-GV240</f>
        <v>222.60749246795876</v>
      </c>
      <c r="GW248" s="72">
        <f>IF(ISERROR(GV248/GT248),"NA",IF(OR(GV248/GT248&gt;2,GV248/GT248&lt;0.5),"NM",GV248/GT248*100-100))</f>
        <v>3.894922352272971</v>
      </c>
      <c r="GX248" s="91">
        <f>GX232-GX240</f>
        <v>231.26354204389736</v>
      </c>
      <c r="GY248" s="72">
        <f>IF(ISERROR(GX248/GV248),"NA",IF(OR(GX248/GV248&gt;2,GX248/GV248&lt;0.5),"NM",GX248/GV248*100-100))</f>
        <v>3.8884807874040916</v>
      </c>
      <c r="GZ248" s="72">
        <f>IF(ISERROR(((GX248/GN248)^0.2-1)*100),"NA",IF((((GX248/GN248)^0.2-1)*100)&gt;100,"NM",IF((((GX248/GN248)^0.2-1)*100)&lt;-50,"NM",((GX248/GN248)^0.2-1)*100)))</f>
        <v>-1.7805878837331424</v>
      </c>
      <c r="HA248" s="72"/>
      <c r="HB248" s="72"/>
      <c r="HC248"/>
      <c r="HD248"/>
      <c r="HE248"/>
      <c r="HF248"/>
      <c r="HG248"/>
      <c r="HH248"/>
      <c r="HI248" s="2"/>
    </row>
    <row r="249" spans="1:217" ht="12.75" customHeight="1" x14ac:dyDescent="0.2">
      <c r="B249" s="77" t="s">
        <v>436</v>
      </c>
      <c r="C249" s="143">
        <f>C248/C232*100</f>
        <v>0.29806259314456035</v>
      </c>
      <c r="D249" s="72"/>
      <c r="E249" s="143">
        <f>E248/E232*100</f>
        <v>4.3478260869565215</v>
      </c>
      <c r="F249" s="72"/>
      <c r="G249" s="143">
        <f>G248/G232*100</f>
        <v>8.7022900763358777</v>
      </c>
      <c r="H249" s="72"/>
      <c r="I249" s="143">
        <f>I248/I232*100</f>
        <v>8.9238845144356951</v>
      </c>
      <c r="J249" s="72"/>
      <c r="K249" s="143">
        <f>K248/K232*100</f>
        <v>6.1197916666666661</v>
      </c>
      <c r="L249" s="72" t="str">
        <f>IF(ISERROR(K249/C249),"NA",IF(OR(K249/C249&gt;2,K249/C249&lt;0.5),"NM",K249/C249*100-100))</f>
        <v>NM</v>
      </c>
      <c r="M249" s="143">
        <f>M248/M232*100</f>
        <v>1.1306532663316584</v>
      </c>
      <c r="N249" s="72" t="str">
        <f>IF(ISERROR(M249/E249),"NA",IF(OR(M249/E249&gt;2,M249/E249&lt;0.5),"NM",M249/E249*100-100))</f>
        <v>NM</v>
      </c>
      <c r="O249" s="143">
        <f>O248/O232*100</f>
        <v>-0.82547169811320753</v>
      </c>
      <c r="P249" s="72" t="str">
        <f>IF(ISERROR(O249/G249),"NA",IF(OR(O249/G249&gt;2,O249/G249&lt;0.5),"NM",O249/G249*100-100))</f>
        <v>NM</v>
      </c>
      <c r="Q249" s="143">
        <f>Q248/Q232*100</f>
        <v>2.5119617224880382</v>
      </c>
      <c r="R249" s="72" t="str">
        <f>IF(ISERROR(Q249/I249),"NA",IF(OR(Q249/I249&gt;2,Q249/I249&lt;0.5),"NM",Q249/I249*100-100))</f>
        <v>NM</v>
      </c>
      <c r="S249" s="143">
        <f>S248/S232*100</f>
        <v>4.1573033707865168</v>
      </c>
      <c r="T249" s="72">
        <f>IF(ISERROR(S249/K249),"NA",IF(OR(S249/K249&gt;2,S249/K249&lt;0.5),"NM",S249/K249*100-100))</f>
        <v>-32.06789385608414</v>
      </c>
      <c r="U249" s="143">
        <f>U248/U232*100</f>
        <v>4.004449388209121</v>
      </c>
      <c r="V249" s="72" t="str">
        <f>IF(ISERROR(U249/M249),"NA",IF(OR(U249/M249&gt;2,U249/M249&lt;0.5),"NM",U249/M249*100-100))</f>
        <v>NM</v>
      </c>
      <c r="W249" s="143">
        <f>W248/W232*100</f>
        <v>3.4013605442176873</v>
      </c>
      <c r="X249" s="72" t="str">
        <f>IF(ISERROR(W249/O249),"NA",IF(OR(W249/O249&gt;2,W249/O249&lt;0.5),"NM",W249/O249*100-100))</f>
        <v>NM</v>
      </c>
      <c r="Y249" s="143">
        <f>Y248/Y232*100</f>
        <v>5.7080131723380907</v>
      </c>
      <c r="Z249" s="72" t="str">
        <f>IF(ISERROR(Y249/Q249),"NA",IF(OR(Y249/Q249&gt;2,Y249/Q249&lt;0.5),"NM",Y249/Q249*100-100))</f>
        <v>NM</v>
      </c>
      <c r="AA249" s="143">
        <f>AA248/AA232*100</f>
        <v>3.5379812695109258</v>
      </c>
      <c r="AB249" s="72">
        <f>IF(ISERROR(AA249/S249),"NA",IF(OR(AA249/S249&gt;2,AA249/S249&lt;0.5),"NM",AA249/S249*100-100))</f>
        <v>-14.897207300953411</v>
      </c>
      <c r="AC249" s="143">
        <f>AC248/AC232*100</f>
        <v>6.3736263736263732</v>
      </c>
      <c r="AD249" s="72">
        <f>IF(ISERROR(AC249/U249),"NA",IF(OR(AC249/U249&gt;2,AC249/U249&lt;0.5),"NM",AC249/U249*100-100))</f>
        <v>59.163614163614142</v>
      </c>
      <c r="AE249" s="143">
        <f>AE248/AE232*100</f>
        <v>3.4013605442176873</v>
      </c>
      <c r="AF249" s="72">
        <f>IF(ISERROR(AE249/W249),"NA",IF(OR(AE249/W249&gt;2,AE249/W249&lt;0.5),"NM",AE249/W249*100-100))</f>
        <v>0</v>
      </c>
      <c r="AG249" s="143">
        <f>AG248/AG232*100</f>
        <v>5.0267379679144391</v>
      </c>
      <c r="AH249" s="72">
        <f>IF(ISERROR(AG249/Y249),"NA",IF(OR(AG249/Y249&gt;2,AG249/Y249&lt;0.5),"NM",AG249/Y249*100-100))</f>
        <v>-11.935417523652816</v>
      </c>
      <c r="AI249" s="143">
        <f>AI248/AI232*100</f>
        <v>2.6776519052523171</v>
      </c>
      <c r="AJ249" s="72">
        <f>IF(ISERROR(AI249/AA249),"NA",IF(OR(AI249/AA249&gt;2,AI249/AA249&lt;0.5),"NM",AI249/AA249*100-100))</f>
        <v>-24.316956442721278</v>
      </c>
      <c r="AK249" s="143">
        <f>AK248/AK232*100</f>
        <v>4.8268625393494222</v>
      </c>
      <c r="AL249" s="72">
        <f>IF(ISERROR(AK249/AC249),"NA",IF(OR(AK249/AC249&gt;2,AK249/AC249&lt;0.5),"NM",AK249/AC249*100-100))</f>
        <v>-24.268191192965958</v>
      </c>
      <c r="AM249" s="143">
        <f>AM248/AM232*100</f>
        <v>4.86322188449848</v>
      </c>
      <c r="AN249" s="72">
        <f>IF(ISERROR(AM249/AE249),"NA",IF(OR(AM249/AE249&gt;2,AM249/AE249&lt;0.5),"NM",AM249/AE249*100-100))</f>
        <v>42.978723404255305</v>
      </c>
      <c r="AO249" s="143">
        <f>AO248/AO232*100</f>
        <v>5.5045871559633035</v>
      </c>
      <c r="AP249" s="72">
        <f>IF(ISERROR(AO249/AG249),"NA",IF(OR(AO249/AG249&gt;2,AO249/AG249&lt;0.5),"NM",AO249/AG249*100-100))</f>
        <v>9.5061487409720939</v>
      </c>
      <c r="AQ249" s="143">
        <f>AQ248/AQ232*100</f>
        <v>3.6121673003802277</v>
      </c>
      <c r="AR249" s="72">
        <f>IF(ISERROR(AQ249/AI249),"NA",IF(OR(AQ249/AI249&gt;2,AQ249/AI249&lt;0.5),"NM",AQ249/AI249*100-100))</f>
        <v>34.900555718046206</v>
      </c>
      <c r="AS249" s="143">
        <f>AS248/AS232*100</f>
        <v>4.3396226415094334</v>
      </c>
      <c r="AT249" s="72">
        <f>IF(ISERROR(AS249/AK249),"NA",IF(OR(AS249/AK249&gt;2,AS249/AK249&lt;0.5),"NM",AS249/AK249*100-100))</f>
        <v>-10.094339622641513</v>
      </c>
      <c r="AU249" s="143">
        <f>AU248/AU232*100</f>
        <v>5.7803468208092488</v>
      </c>
      <c r="AV249" s="72">
        <f>IF(ISERROR(AU249/AM249),"NA",IF(OR(AU249/AM249&gt;2,AU249/AM249&lt;0.5),"NM",AU249/AM249*100-100))</f>
        <v>18.858381502890182</v>
      </c>
      <c r="AW249" s="143">
        <f>AW248/AW232*100</f>
        <v>7.6190476190476195</v>
      </c>
      <c r="AX249" s="72">
        <f>IF(ISERROR(AW249/AO249),"NA",IF(OR(AW249/AO249&gt;2,AW249/AO249&lt;0.5),"NM",AW249/AO249*100-100))</f>
        <v>38.412698412698404</v>
      </c>
      <c r="AY249" s="143">
        <f>AY248/AY232*100</f>
        <v>4.2380522993688015</v>
      </c>
      <c r="AZ249" s="72">
        <f>IF(ISERROR(AY249/AQ249),"NA",IF(OR(AY249/AQ249&gt;2,AY249/AQ249&lt;0.5),"NM",AY249/AQ249*100-100))</f>
        <v>17.327132077262618</v>
      </c>
      <c r="BA249" s="143">
        <f>BA248/BA232*100</f>
        <v>2.5962399283795885</v>
      </c>
      <c r="BB249" s="72">
        <f>IF(ISERROR(BA249/AS249),"NA",IF(OR(BA249/AS249&gt;2,BA249/AS249&lt;0.5),"NM",BA249/AS249*100-100))</f>
        <v>-40.173601650383382</v>
      </c>
      <c r="BC249" s="143">
        <f>BC248/BC232*100</f>
        <v>7.7922077922077921</v>
      </c>
      <c r="BD249" s="72">
        <f>IF(ISERROR(BC249/AU249),"NA",IF(OR(BC249/AU249&gt;2,BC249/AU249&lt;0.5),"NM",BC249/AU249*100-100))</f>
        <v>34.805194805194787</v>
      </c>
      <c r="BE249" s="143">
        <f>BE248/BE232*100</f>
        <v>5.3662691652470187</v>
      </c>
      <c r="BF249" s="72">
        <f>IF(ISERROR(BE249/AW249),"NA",IF(OR(BE249/AW249&gt;2,BE249/AW249&lt;0.5),"NM",BE249/AW249*100-100))</f>
        <v>-29.567717206132883</v>
      </c>
      <c r="BG249" s="143">
        <f>BG248/BG232*100</f>
        <v>4.2323651452282158</v>
      </c>
      <c r="BH249" s="72">
        <f>IF(ISERROR(BG249/AY249),"NA",IF(OR(BG249/AY249&gt;2,BG249/AY249&lt;0.5),"NM",BG249/AY249*100-100))</f>
        <v>-0.13419263706190065</v>
      </c>
      <c r="BI249" s="143">
        <f>BI248/BI232*100</f>
        <v>5.6977704376548308</v>
      </c>
      <c r="BJ249" s="72" t="str">
        <f>IF(ISERROR(BI249/BA249),"NA",IF(OR(BI249/BA249&gt;2,BI249/BA249&lt;0.5),"NM",BI249/BA249*100-100))</f>
        <v>NM</v>
      </c>
      <c r="BK249" s="143">
        <f>BK248/BK232*100</f>
        <v>8.3125519534497094</v>
      </c>
      <c r="BL249" s="72">
        <f>IF(ISERROR(BK249/BC249),"NA",IF(OR(BK249/BC249&gt;2,BK249/BC249&lt;0.5),"NM",BK249/BC249*100-100))</f>
        <v>6.6777500692712692</v>
      </c>
      <c r="BM249" s="143">
        <f>BM248/BM232*100</f>
        <v>5.593220338983051</v>
      </c>
      <c r="BN249" s="72">
        <f>IF(ISERROR(BM249/BE249),"NA",IF(OR(BM249/BE249&gt;2,BM249/BE249&lt;0.5),"NM",BM249/BE249*100-100))</f>
        <v>4.2292171105730461</v>
      </c>
      <c r="BO249" s="143">
        <f>BO248/BO232*100</f>
        <v>7.1599045346062056</v>
      </c>
      <c r="BP249" s="72">
        <f>IF(ISERROR(BO249/BG249),"NA",IF(OR(BO249/BG249&gt;2,BO249/BG249&lt;0.5),"NM",BO249/BG249*100-100))</f>
        <v>69.170293415695653</v>
      </c>
      <c r="BQ249" s="143">
        <f>BQ248/BQ232*100</f>
        <v>6.5681444991789819</v>
      </c>
      <c r="BR249" s="72">
        <f>IF(ISERROR(BQ249/BI249),"NA",IF(OR(BQ249/BI249&gt;2,BQ249/BI249&lt;0.5),"NM",BQ249/BI249*100-100))</f>
        <v>15.275695485590532</v>
      </c>
      <c r="BS249" s="143">
        <f>BS248/BS232*100</f>
        <v>8.1980519480519494</v>
      </c>
      <c r="BT249" s="72">
        <f>IF(ISERROR(BS249/BK249),"NA",IF(OR(BS249/BK249&gt;2,BS249/BK249&lt;0.5),"NM",BS249/BK249*100-100))</f>
        <v>-1.3774350649350566</v>
      </c>
      <c r="BU249" s="143">
        <f>BU248/BU232*100</f>
        <v>5.5067837190742219</v>
      </c>
      <c r="BV249" s="72">
        <f>IF(ISERROR(BU249/BM249),"NA",IF(OR(BU249/BM249&gt;2,BU249/BM249&lt;0.5),"NM",BU249/BM249*100-100))</f>
        <v>-1.5453819923093732</v>
      </c>
      <c r="BW249" s="143">
        <f>BW248/BW232*100</f>
        <v>6.9767441860465116</v>
      </c>
      <c r="BX249" s="72">
        <f>IF(ISERROR(BW249/BO249),"NA",IF(OR(BW249/BO249&gt;2,BW249/BO249&lt;0.5),"NM",BW249/BO249*100-100))</f>
        <v>-2.5581395348837361</v>
      </c>
      <c r="BY249" s="143">
        <f>BY248/BY232*100</f>
        <v>8.0583269378357638</v>
      </c>
      <c r="BZ249" s="72">
        <f>IF(ISERROR(BY249/BQ249),"NA",IF(OR(BY249/BQ249&gt;2,BY249/BQ249&lt;0.5),"NM",BY249/BQ249*100-100))</f>
        <v>22.688027628549506</v>
      </c>
      <c r="CA249" s="143">
        <f>CA248/CA232*100</f>
        <v>4.71976401179941</v>
      </c>
      <c r="CB249" s="72">
        <f>IF(ISERROR(CA249/BS249),"NA",IF(OR(CA249/BS249&gt;2,CA249/BS249&lt;0.5),"NM",CA249/BS249*100-100))</f>
        <v>-42.428225123397297</v>
      </c>
      <c r="CC249" s="143">
        <f>CC248/CC232*100</f>
        <v>5.3364269141531322</v>
      </c>
      <c r="CD249" s="72">
        <f>IF(ISERROR(CC249/BU249),"NA",IF(OR(CC249/BU249&gt;2,CC249/BU249&lt;0.5),"NM",CC249/BU249*100-100))</f>
        <v>-3.0935808197989303</v>
      </c>
      <c r="CE249" s="143">
        <f>CE248/CE232*100</f>
        <v>3.9664378337147213</v>
      </c>
      <c r="CF249" s="72">
        <f>IF(ISERROR(CE249/BW249),"NA",IF(OR(CE249/BW249&gt;2,CE249/BW249&lt;0.5),"NM",CE249/BW249*100-100))</f>
        <v>-43.147724383422329</v>
      </c>
      <c r="CG249" s="143">
        <f>CG248/CG232*100</f>
        <v>2.43161094224924</v>
      </c>
      <c r="CH249" s="72" t="str">
        <f>IF(ISERROR(CG249/BY249),"NA",IF(OR(CG249/BY249&gt;2,CG249/BY249&lt;0.5),"NM",CG249/BY249*100-100))</f>
        <v>NM</v>
      </c>
      <c r="CI249" s="143">
        <f>CI248/CI232*100</f>
        <v>4.0927694406548438</v>
      </c>
      <c r="CJ249" s="72">
        <f>IF(ISERROR(CI249/CA249),"NA",IF(OR(CI249/CA249&gt;2,CI249/CA249&lt;0.5),"NM",CI249/CA249*100-100))</f>
        <v>-13.284447476125493</v>
      </c>
      <c r="CK249" s="143">
        <f>CK248/CK232*100</f>
        <v>4.9816849816849818</v>
      </c>
      <c r="CL249" s="72">
        <f>IF(ISERROR(CK249/CC249),"NA",IF(OR(CK249/CC249&gt;2,CK249/CC249&lt;0.5),"NM",CK249/CC249*100-100))</f>
        <v>-6.6475553432075145</v>
      </c>
      <c r="CM249" s="143">
        <f>CM248/CM232*100</f>
        <v>2.5896414342629481</v>
      </c>
      <c r="CN249" s="72">
        <f>IF(ISERROR(CM249/CE249),"NA",IF(OR(CM249/CE249&gt;2,CM249/CE249&lt;0.5),"NM",CM249/CE249*100-100))</f>
        <v>-34.71115537848604</v>
      </c>
      <c r="CO249" s="143">
        <f>CO248/CO232*100</f>
        <v>3.297442799461642</v>
      </c>
      <c r="CP249" s="72">
        <f>IF(ISERROR(CO249/CG249),"NA",IF(OR(CO249/CG249&gt;2,CO249/CG249&lt;0.5),"NM",CO249/CG249*100-100))</f>
        <v>35.60733512786004</v>
      </c>
      <c r="CQ249" s="143">
        <f>CQ248/CQ232*100</f>
        <v>3.1098825155494123</v>
      </c>
      <c r="CR249" s="72">
        <f>IF(ISERROR(CQ249/CI249),"NA",IF(OR(CQ249/CI249&gt;2,CQ249/CI249&lt;0.5),"NM",CQ249/CI249*100-100))</f>
        <v>-24.015203870076036</v>
      </c>
      <c r="CS249" s="143">
        <f>CS248/CS232*100</f>
        <v>3.0346820809248554</v>
      </c>
      <c r="CT249" s="72">
        <f>IF(ISERROR(CS249/CK249),"NA",IF(OR(CS249/CK249&gt;2,CS249/CK249&lt;0.5),"NM",CS249/CK249*100-100))</f>
        <v>-39.083219993199592</v>
      </c>
      <c r="CU249" s="143">
        <f>CU248/CU232*100</f>
        <v>-2.8756290438533427</v>
      </c>
      <c r="CV249" s="72" t="str">
        <f>IF(ISERROR(CU249/CM249),"NA",IF(OR(CU249/CM249&gt;2,CU249/CM249&lt;0.5),"NM",CU249/CM249*100-100))</f>
        <v>NM</v>
      </c>
      <c r="CW249" s="143">
        <f>CW248/CW232*100</f>
        <v>2.3706896551724137</v>
      </c>
      <c r="CX249" s="72">
        <f>IF(ISERROR(CW249/CO249),"NA",IF(OR(CW249/CO249&gt;2,CW249/CO249&lt;0.5),"NM",CW249/CO249*100-100))</f>
        <v>-28.105207600281489</v>
      </c>
      <c r="CY249" s="143">
        <f>CY248/CY232*100</f>
        <v>2.464788732394366</v>
      </c>
      <c r="CZ249" s="72">
        <f>IF(ISERROR(CY249/CQ249),"NA",IF(OR(CY249/CQ249&gt;2,CY249/CQ249&lt;0.5),"NM",CY249/CQ249*100-100))</f>
        <v>-20.743348982785605</v>
      </c>
      <c r="DA249" s="143">
        <f>DA248/DA232*100</f>
        <v>-0.85836909871244638</v>
      </c>
      <c r="DB249" s="72" t="str">
        <f>IF(ISERROR(DA249/CS249),"NA",IF(OR(DA249/CS249&gt;2,DA249/CS249&lt;0.5),"NM",DA249/CS249*100-100))</f>
        <v>NM</v>
      </c>
      <c r="DC249" s="143">
        <f>DC248/DC232*100</f>
        <v>0.64194008559201143</v>
      </c>
      <c r="DD249" s="72" t="str">
        <f>IF(ISERROR(DC249/CU249),"NA",IF(OR(DC249/CU249&gt;2,DC249/CU249&lt;0.5),"NM",DC249/CU249*100-100))</f>
        <v>NM</v>
      </c>
      <c r="DE249" s="143">
        <f>DE248/DE232*100</f>
        <v>1.5725518227305217</v>
      </c>
      <c r="DF249" s="72">
        <f>IF(ISERROR(DE249/CW249),"NA",IF(OR(DE249/CW249&gt;2,DE249/CW249&lt;0.5),"NM",DE249/CW249*100-100))</f>
        <v>-33.666904932094354</v>
      </c>
      <c r="DG249" s="143">
        <f>DG248/DG232*100</f>
        <v>5.0670640834575256</v>
      </c>
      <c r="DH249" s="72" t="str">
        <f>IF(ISERROR(DG249/CY249),"NA",IF(OR(DG249/CY249&gt;2,DG249/CY249&lt;0.5),"NM",DG249/CY249*100-100))</f>
        <v>NM</v>
      </c>
      <c r="DI249" s="143">
        <f>DI248/DI232*100</f>
        <v>4.2181818181818178</v>
      </c>
      <c r="DJ249" s="72" t="str">
        <f>IF(ISERROR(DI249/DA249),"NA",IF(OR(DI249/DA249&gt;2,DI249/DA249&lt;0.5),"NM",DI249/DA249*100-100))</f>
        <v>NM</v>
      </c>
      <c r="DK249" s="143">
        <f>DK248/DK232*100</f>
        <v>0.44052863436123352</v>
      </c>
      <c r="DL249" s="72">
        <f>IF(ISERROR(DK249/DC249),"NA",IF(OR(DK249/DC249&gt;2,DK249/DC249&lt;0.5),"NM",DK249/DC249*100-100))</f>
        <v>-31.375428291727843</v>
      </c>
      <c r="DM249" s="143">
        <f>DM248/DM232*100</f>
        <v>3.427719821162444</v>
      </c>
      <c r="DN249" s="72" t="str">
        <f t="shared" si="1491"/>
        <v>NM</v>
      </c>
      <c r="DO249" s="143">
        <f>DO248/DO232*100</f>
        <v>-5.4114158636026684</v>
      </c>
      <c r="DP249" s="72" t="str">
        <f t="shared" si="1491"/>
        <v>NM</v>
      </c>
      <c r="DQ249" s="143">
        <f>DQ248/DQ232*100</f>
        <v>3.3742331288343559</v>
      </c>
      <c r="DR249" s="72">
        <f t="shared" si="1491"/>
        <v>-20.007404273323445</v>
      </c>
      <c r="DS249" s="143">
        <f>DS248/DS232*100</f>
        <v>2.3492560689115116</v>
      </c>
      <c r="DT249" s="72" t="str">
        <f t="shared" si="1491"/>
        <v>NM</v>
      </c>
      <c r="DU249" s="143">
        <f>DU248/DU232*100</f>
        <v>5.8094500387296666</v>
      </c>
      <c r="DV249" s="72">
        <f t="shared" si="1491"/>
        <v>69.484390260330713</v>
      </c>
      <c r="DW249" s="143">
        <f>DW248/DW232*100</f>
        <v>3.400309119010819</v>
      </c>
      <c r="DX249" s="72" t="str">
        <f t="shared" si="1491"/>
        <v>NM</v>
      </c>
      <c r="DY249" s="143">
        <f>DY248/DY232*100</f>
        <v>2.1077283372365341</v>
      </c>
      <c r="DZ249" s="72">
        <f t="shared" si="1491"/>
        <v>-37.534596550989995</v>
      </c>
      <c r="EA249" s="143">
        <f>EA248/EA232*100</f>
        <v>1.9696969696969695</v>
      </c>
      <c r="EB249" s="72">
        <f>IF(ISERROR(EA249/DS249),"NA",IF(OR(EA249/DS249&gt;2,EA249/DS249&lt;0.5),"NM",EA249/DS249*100-100))</f>
        <v>-16.156565656565675</v>
      </c>
      <c r="EC249" s="143">
        <f>EC248/EC232*100</f>
        <v>6.5249266862170083</v>
      </c>
      <c r="ED249" s="72">
        <f>IF(ISERROR(EC249/DU249),"NA",IF(OR(EC249/DU249&gt;2,EC249/DU249&lt;0.5),"NM",EC249/DU249*100-100))</f>
        <v>12.315738025415442</v>
      </c>
      <c r="EE249" s="143">
        <f>EE248/EE232*100</f>
        <v>4.6511627906976747</v>
      </c>
      <c r="EF249" s="72">
        <f>IF(ISERROR(EE249/DW249),"NA",IF(OR(EE249/DW249&gt;2,EE249/DW249&lt;0.5),"NM",EE249/DW249*100-100))</f>
        <v>36.786469344608889</v>
      </c>
      <c r="EG249" s="143">
        <f>EG248/EG232*100</f>
        <v>3.2428355957767727</v>
      </c>
      <c r="EH249" s="72">
        <f>IF(ISERROR(EG249/DY249),"NA",IF(OR(EG249/DY249&gt;2,EG249/DY249&lt;0.5),"NM",EG249/DY249*100-100))</f>
        <v>53.854533266297977</v>
      </c>
      <c r="EI249" s="143">
        <f>EI248/EI232*100</f>
        <v>2.4584237165582068</v>
      </c>
      <c r="EJ249" s="72">
        <f>IF(ISERROR(EI249/EA249),"NA",IF(OR(EI249/EA249&gt;2,EI249/EA249&lt;0.5),"NM",EI249/EA249*100-100))</f>
        <v>24.812280994493591</v>
      </c>
      <c r="EK249" s="143">
        <f>EK248/EK232*100</f>
        <v>9.9853157121879583</v>
      </c>
      <c r="EL249" s="72">
        <f>IF(ISERROR(EK249/EC249),"NA",IF(OR(EK249/EC249&gt;2,EK249/EC249&lt;0.5),"NM",EK249/EC249*100-100))</f>
        <v>53.033377881172783</v>
      </c>
      <c r="EM249" s="143">
        <f>EM248/EM232*100</f>
        <v>4.475421863536317</v>
      </c>
      <c r="EN249" s="72">
        <f>IF(ISERROR(EM249/EE249),"NA",IF(OR(EM249/EE249&gt;2,EM249/EE249&lt;0.5),"NM",EM249/EE249*100-100))</f>
        <v>-3.7784299339691785</v>
      </c>
      <c r="EO249" s="143">
        <f>EO248/EO232*100</f>
        <v>1.6140865737344092</v>
      </c>
      <c r="EP249" s="72" t="str">
        <f>IF(ISERROR(EO249/EG249),"NA",IF(OR(EO249/EG249&gt;2,EO249/EG249&lt;0.5),"NM",EO249/EG249*100-100))</f>
        <v>NM</v>
      </c>
      <c r="EQ249" s="143">
        <f t="shared" ref="EQ249" si="1501">EQ248/EQ232*100</f>
        <v>3.1365235502640485</v>
      </c>
      <c r="ER249" s="72">
        <f t="shared" si="1493"/>
        <v>27.582707941622914</v>
      </c>
      <c r="ES249" s="143">
        <f t="shared" ref="ES249" si="1502">ES248/ES232*100</f>
        <v>3.5690109281432578</v>
      </c>
      <c r="ET249" s="72" t="str">
        <f t="shared" si="1495"/>
        <v>NM</v>
      </c>
      <c r="EU249" s="143">
        <f t="shared" ref="EU249" si="1503">EU248/EU232*100</f>
        <v>4.0014911850383053</v>
      </c>
      <c r="EV249" s="72">
        <f t="shared" si="1497"/>
        <v>-10.589631390045739</v>
      </c>
      <c r="EW249" s="143">
        <f t="shared" ref="EW249" si="1504">EW248/EW232*100</f>
        <v>3.3174643914539295</v>
      </c>
      <c r="EX249" s="72" t="str">
        <f t="shared" si="1499"/>
        <v>NM</v>
      </c>
      <c r="EY249" s="72"/>
      <c r="EZ249" s="306"/>
      <c r="FA249" s="72"/>
      <c r="FB249" s="109">
        <f>FB248/FB232*100</f>
        <v>4.4444444444444446</v>
      </c>
      <c r="FC249" s="72"/>
      <c r="FD249" s="109">
        <f>FD248/FD232*100</f>
        <v>5.2718286655683695</v>
      </c>
      <c r="FE249" s="72">
        <f>IF(ISERROR(FD249/FB249),"NA",IF(OR(FD249/FB249&gt;2,FD249/FB249&lt;0.5),"NM",FD249/FB249*100-100))</f>
        <v>18.616144975288321</v>
      </c>
      <c r="FF249" s="109">
        <f>FF248/FF232*100</f>
        <v>5.6408425562299174</v>
      </c>
      <c r="FG249" s="72">
        <f>IF(ISERROR(FF249/FD249),"NA",IF(OR(FF249/FD249&gt;2,FF249/FD249&lt;0.5),"NM",FF249/FD249*100-100))</f>
        <v>6.9997322384862457</v>
      </c>
      <c r="FH249" s="109">
        <f>FH248/FH232*100</f>
        <v>2.1551724137931036</v>
      </c>
      <c r="FI249" s="72" t="str">
        <f>IF(ISERROR(FH249/FF249),"NA",IF(OR(FH249/FF249&gt;2,FH249/FF249&lt;0.5),"NM",FH249/FF249*100-100))</f>
        <v>NM</v>
      </c>
      <c r="FJ249" s="109">
        <f>FJ248/FJ232*100</f>
        <v>4.3271915131211616</v>
      </c>
      <c r="FK249" s="72" t="str">
        <f>IF(ISERROR(FJ249/FH249),"NA",IF(OR(FJ249/FH249&gt;2,FJ249/FH249&lt;0.5),"NM",FJ249/FH249*100-100))</f>
        <v>NM</v>
      </c>
      <c r="FL249" s="109">
        <f>FL248/FL232*100</f>
        <v>4.5824295010845981</v>
      </c>
      <c r="FM249" s="72">
        <f>IF(ISERROR(FL249/FJ249),"NA",IF(OR(FL249/FJ249&gt;2,FL249/FJ249&lt;0.5),"NM",FL249/FJ249*100-100))</f>
        <v>5.898467567000182</v>
      </c>
      <c r="FN249" s="109">
        <f>FN248/FN232*100</f>
        <v>4.4707091469681393</v>
      </c>
      <c r="FO249" s="72">
        <f>IF(ISERROR(FN249/FL249),"NA",IF(OR(FN249/FL249&gt;2,FN249/FL249&lt;0.5),"NM",FN249/FL249*100-100))</f>
        <v>-2.4380157750384654</v>
      </c>
      <c r="FP249" s="109">
        <f>FP248/FP232*100</f>
        <v>5.3333333333333339</v>
      </c>
      <c r="FQ249" s="72">
        <f>IF(ISERROR(FP249/FN249),"NA",IF(OR(FP249/FN249&gt;2,FP249/FN249&lt;0.5),"NM",FP249/FN249*100-100))</f>
        <v>19.295019157088149</v>
      </c>
      <c r="FR249" s="143">
        <f>FR248/FR232*100</f>
        <v>5.0274423710208564</v>
      </c>
      <c r="FS249" s="72">
        <f>IF(ISERROR(FR249/FP249),"NA",IF(OR(FR249/FP249&gt;2,FR249/FP249&lt;0.5),"NM",FR249/FP249*100-100))</f>
        <v>-5.7354555433589525</v>
      </c>
      <c r="FT249" s="143">
        <f>FT248/FT232*100</f>
        <v>5.9595749114398835</v>
      </c>
      <c r="FU249" s="72">
        <f>IF(ISERROR(FT249/FR249),"NA",IF(OR(FT249/FR249&gt;2,FT249/FR249&lt;0.5),"NM",FT249/FR249*100-100))</f>
        <v>18.540889614011661</v>
      </c>
      <c r="FV249" s="143">
        <f>FV248/FV232*100</f>
        <v>6.7741935483870979</v>
      </c>
      <c r="FW249" s="72">
        <f>IF(ISERROR(FV249/FT249),"NA",IF(OR(FV249/FT249&gt;2,FV249/FT249&lt;0.5),"NM",FV249/FT249*100-100))</f>
        <v>13.669072862621263</v>
      </c>
      <c r="FX249" s="143">
        <f>FX248/FX232*100</f>
        <v>6.2251655629139071</v>
      </c>
      <c r="FY249" s="72">
        <f>IF(ISERROR(FX249/FV249),"NA",IF(OR(FX249/FV249&gt;2,FX249/FV249&lt;0.5),"NM",FX249/FV249*100-100))</f>
        <v>-8.1046988331756751</v>
      </c>
      <c r="FZ249" s="143">
        <f>FZ248/FZ232*100</f>
        <v>3.884206669109564</v>
      </c>
      <c r="GA249" s="72">
        <f>IF(ISERROR(FZ249/FX249),"NA",IF(OR(FZ249/FX249&gt;2,FZ249/FX249&lt;0.5),"NM",FZ249/FX249*100-100))</f>
        <v>-37.604765208984659</v>
      </c>
      <c r="GB249" s="143">
        <f>GB248/GB232*100</f>
        <v>3.0053237162974411</v>
      </c>
      <c r="GC249" s="72">
        <f>IF(ISERROR(GB249/FZ249),"NA",IF(OR(GB249/FZ249&gt;2,GB249/FZ249&lt;0.5),"NM",GB249/FZ249*100-100))</f>
        <v>-22.627090360606445</v>
      </c>
      <c r="GD249" s="143">
        <f>GD248/GD232*100</f>
        <v>0.28566327441528294</v>
      </c>
      <c r="GE249" s="72" t="str">
        <f>IF(ISERROR(GD249/GB249),"NA",IF(OR(GD249/GB249&gt;2,GD249/GB249&lt;0.5),"NM",GD249/GB249*100-100))</f>
        <v>NM</v>
      </c>
      <c r="GF249" s="143">
        <f>GF248/GF232*100</f>
        <v>2.8452337803552012</v>
      </c>
      <c r="GG249" s="72" t="str">
        <f>IF(ISERROR(GF249/GD249),"NA",IF(OR(GF249/GD249&gt;2,GF249/GD249&lt;0.5),"NM",GF249/GD249*100-100))</f>
        <v>NM</v>
      </c>
      <c r="GH249" s="143">
        <f>GH248/GH232*100</f>
        <v>0.42934478252753411</v>
      </c>
      <c r="GI249" s="72" t="str">
        <f t="shared" si="1500"/>
        <v>NM</v>
      </c>
      <c r="GJ249" s="143">
        <f>GJ248/GJ232*100</f>
        <v>3.4221271631343573</v>
      </c>
      <c r="GK249" s="72" t="str">
        <f t="shared" si="1500"/>
        <v>NM</v>
      </c>
      <c r="GL249" s="143">
        <f>GL248/GL232*100</f>
        <v>4.1175369642522925</v>
      </c>
      <c r="GM249" s="72">
        <f t="shared" si="1500"/>
        <v>20.320980722440567</v>
      </c>
      <c r="GN249" s="143">
        <f>GN248/GN232*100</f>
        <v>4.6243831109486386</v>
      </c>
      <c r="GO249" s="72">
        <f t="shared" si="1500"/>
        <v>12.309449826357181</v>
      </c>
      <c r="GP249" s="143">
        <f>GP248/GP232*100</f>
        <v>3.507321721555527</v>
      </c>
      <c r="GQ249" s="72">
        <f t="shared" si="1500"/>
        <v>-24.155900637824956</v>
      </c>
      <c r="GR249" s="143">
        <f>GR248/GR232*100</f>
        <v>3.4972209112894648</v>
      </c>
      <c r="GS249" s="72">
        <f t="shared" si="1500"/>
        <v>-0.28799212242162753</v>
      </c>
      <c r="GT249" s="143">
        <f>GT248/GT232*100</f>
        <v>3.5300120304239924</v>
      </c>
      <c r="GU249" s="72">
        <f t="shared" si="1500"/>
        <v>0.93763362299115727</v>
      </c>
      <c r="GV249" s="143">
        <f>GV248/GV232*100</f>
        <v>3.5193037508249403</v>
      </c>
      <c r="GW249" s="72">
        <f>IF(ISERROR(GV249/GT249),"NA",IF(OR(GV249/GT249&gt;2,GV249/GT249&lt;0.5),"NM",GV249/GT249*100-100))</f>
        <v>-0.30334966302552857</v>
      </c>
      <c r="GX249" s="143">
        <f>GX248/GX232*100</f>
        <v>3.5082884495365239</v>
      </c>
      <c r="GY249" s="72">
        <f>IF(ISERROR(GX249/GV249),"NA",IF(OR(GX249/GV249&gt;2,GX249/GV249&lt;0.5),"NM",GX249/GV249*100-100))</f>
        <v>-0.31299660581541389</v>
      </c>
      <c r="GZ249" s="72">
        <f>IF(ISERROR(((GX249/GN249)^0.2-1)*100),"NA",IF((((GX249/GN249)^0.2-1)*100)&gt;100,"NM",IF((((GX249/GN249)^0.2-1)*100)&lt;-50,"NM",((GX249/GN249)^0.2-1)*100)))</f>
        <v>-5.3744760062182539</v>
      </c>
      <c r="HA249" s="72"/>
      <c r="HB249" s="72"/>
    </row>
    <row r="250" spans="1:217" ht="12.75" customHeight="1" x14ac:dyDescent="0.2">
      <c r="B250" s="77"/>
      <c r="C250" s="109"/>
      <c r="D250" s="72"/>
      <c r="E250" s="109"/>
      <c r="F250" s="72"/>
      <c r="G250" s="109"/>
      <c r="H250" s="72"/>
      <c r="I250" s="109"/>
      <c r="J250" s="72"/>
      <c r="K250" s="109"/>
      <c r="L250" s="72"/>
      <c r="M250" s="109"/>
      <c r="N250" s="72"/>
      <c r="O250" s="109"/>
      <c r="P250" s="72"/>
      <c r="Q250" s="109"/>
      <c r="R250" s="72"/>
      <c r="S250" s="109"/>
      <c r="T250" s="72"/>
      <c r="U250" s="109"/>
      <c r="V250" s="72"/>
      <c r="W250" s="109"/>
      <c r="X250" s="72"/>
      <c r="Y250" s="109"/>
      <c r="Z250" s="72"/>
      <c r="AA250" s="109"/>
      <c r="AB250" s="72"/>
      <c r="AC250" s="109"/>
      <c r="AD250" s="72"/>
      <c r="AE250" s="109"/>
      <c r="AF250" s="72"/>
      <c r="AG250" s="109"/>
      <c r="AH250" s="72"/>
      <c r="AI250" s="109"/>
      <c r="AJ250" s="72"/>
      <c r="AK250" s="109"/>
      <c r="AL250" s="72"/>
      <c r="AM250" s="109"/>
      <c r="AN250" s="72"/>
      <c r="AO250" s="109"/>
      <c r="AP250" s="72"/>
      <c r="AQ250" s="109"/>
      <c r="AR250" s="72"/>
      <c r="AS250" s="109"/>
      <c r="AT250" s="72"/>
      <c r="AU250" s="109"/>
      <c r="AV250" s="72"/>
      <c r="AW250" s="109"/>
      <c r="AX250" s="72"/>
      <c r="AY250" s="109"/>
      <c r="AZ250" s="72"/>
      <c r="BA250" s="109"/>
      <c r="BB250" s="72"/>
      <c r="BC250" s="109"/>
      <c r="BD250" s="72"/>
      <c r="BE250" s="109"/>
      <c r="BF250" s="72"/>
      <c r="BG250" s="109"/>
      <c r="BH250" s="72"/>
      <c r="BI250" s="109"/>
      <c r="BJ250" s="72"/>
      <c r="BK250" s="109"/>
      <c r="BL250" s="72"/>
      <c r="BM250" s="109"/>
      <c r="BN250" s="72"/>
      <c r="BO250" s="109"/>
      <c r="BP250" s="72"/>
      <c r="BQ250" s="109"/>
      <c r="BR250" s="72"/>
      <c r="BS250" s="109"/>
      <c r="BT250" s="72"/>
      <c r="BU250" s="109"/>
      <c r="BV250" s="72"/>
      <c r="BW250" s="109"/>
      <c r="BX250" s="72"/>
      <c r="BY250" s="109"/>
      <c r="BZ250" s="72"/>
      <c r="CA250" s="109"/>
      <c r="CB250" s="72"/>
      <c r="CC250" s="109"/>
      <c r="CD250" s="72"/>
      <c r="CE250" s="109"/>
      <c r="CF250" s="72"/>
      <c r="CG250" s="109"/>
      <c r="CH250" s="72"/>
      <c r="CI250" s="109"/>
      <c r="CJ250" s="72"/>
      <c r="CK250" s="109"/>
      <c r="CL250" s="72"/>
      <c r="CM250" s="109"/>
      <c r="CN250" s="72"/>
      <c r="CO250" s="109"/>
      <c r="CP250" s="72"/>
      <c r="CQ250" s="109"/>
      <c r="CR250" s="72"/>
      <c r="CS250" s="109"/>
      <c r="CT250" s="72"/>
      <c r="CU250" s="109"/>
      <c r="CV250" s="72"/>
      <c r="CW250" s="109"/>
      <c r="CX250" s="72"/>
      <c r="CY250" s="109"/>
      <c r="CZ250" s="72"/>
      <c r="DA250" s="109"/>
      <c r="DB250" s="72"/>
      <c r="DC250" s="109"/>
      <c r="DD250" s="72"/>
      <c r="DE250" s="109"/>
      <c r="DF250" s="72"/>
      <c r="DG250" s="109"/>
      <c r="DH250" s="72"/>
      <c r="DI250" s="109"/>
      <c r="DJ250" s="72"/>
      <c r="DK250" s="109"/>
      <c r="DL250" s="72"/>
      <c r="DM250" s="109"/>
      <c r="DN250" s="72"/>
      <c r="DO250" s="109"/>
      <c r="DP250" s="72"/>
      <c r="DQ250" s="109"/>
      <c r="DR250" s="72"/>
      <c r="DS250" s="109"/>
      <c r="DT250" s="72"/>
      <c r="DU250" s="109"/>
      <c r="DV250" s="72"/>
      <c r="DW250" s="109"/>
      <c r="DX250" s="72"/>
      <c r="DY250" s="109"/>
      <c r="DZ250" s="72"/>
      <c r="EA250" s="109"/>
      <c r="EB250" s="72"/>
      <c r="EC250" s="109"/>
      <c r="ED250" s="72"/>
      <c r="EE250" s="109"/>
      <c r="EF250" s="72"/>
      <c r="EG250" s="109"/>
      <c r="EH250" s="72"/>
      <c r="EI250" s="109"/>
      <c r="EJ250" s="72"/>
      <c r="EK250" s="109"/>
      <c r="EL250" s="72"/>
      <c r="EM250" s="109"/>
      <c r="EN250" s="72"/>
      <c r="EO250" s="109"/>
      <c r="EP250" s="72"/>
      <c r="EQ250" s="109"/>
      <c r="ER250" s="72"/>
      <c r="ES250" s="109"/>
      <c r="ET250" s="72"/>
      <c r="EU250" s="109"/>
      <c r="EV250" s="72"/>
      <c r="EW250" s="109"/>
      <c r="EX250" s="72"/>
      <c r="EY250" s="72"/>
      <c r="EZ250" s="306"/>
      <c r="FA250" s="72"/>
      <c r="FB250" s="109"/>
      <c r="FC250" s="72"/>
      <c r="FD250" s="109"/>
      <c r="FE250" s="72"/>
      <c r="FF250" s="109"/>
      <c r="FG250" s="72"/>
      <c r="FH250" s="109"/>
      <c r="FI250" s="72"/>
      <c r="FJ250" s="109"/>
      <c r="FK250" s="72"/>
      <c r="FL250" s="109"/>
      <c r="FM250" s="72"/>
      <c r="FN250" s="109"/>
      <c r="FO250" s="72"/>
      <c r="FP250" s="109"/>
      <c r="FQ250" s="72"/>
      <c r="FR250" s="109"/>
      <c r="FS250" s="72"/>
      <c r="FT250" s="109"/>
      <c r="FU250" s="72"/>
      <c r="FV250" s="109"/>
      <c r="FW250" s="72"/>
      <c r="FX250" s="109"/>
      <c r="FY250" s="72"/>
      <c r="FZ250" s="109"/>
      <c r="GA250" s="72"/>
      <c r="GB250" s="109"/>
      <c r="GC250" s="72"/>
      <c r="GD250" s="109"/>
      <c r="GE250" s="72"/>
      <c r="GF250" s="109"/>
      <c r="GG250" s="72"/>
      <c r="GH250" s="109"/>
      <c r="GI250" s="72"/>
      <c r="GJ250" s="109"/>
      <c r="GK250" s="72"/>
      <c r="GL250" s="109"/>
      <c r="GM250" s="72"/>
      <c r="GN250" s="109"/>
      <c r="GO250" s="72"/>
      <c r="GP250" s="109"/>
      <c r="GQ250" s="72"/>
      <c r="GR250" s="109"/>
      <c r="GS250" s="72"/>
      <c r="GT250" s="109"/>
      <c r="GU250" s="72"/>
      <c r="GV250" s="109"/>
      <c r="GW250" s="72"/>
      <c r="GX250" s="109"/>
      <c r="GY250" s="72"/>
      <c r="GZ250" s="72"/>
      <c r="HA250" s="72"/>
      <c r="HB250" s="72"/>
    </row>
    <row r="251" spans="1:217" s="3" customFormat="1" ht="12.75" customHeight="1" x14ac:dyDescent="0.2">
      <c r="B251" s="77" t="s">
        <v>537</v>
      </c>
      <c r="C251" s="74">
        <v>0</v>
      </c>
      <c r="D251" s="72"/>
      <c r="E251" s="74">
        <v>0</v>
      </c>
      <c r="F251" s="72"/>
      <c r="G251" s="74">
        <v>0</v>
      </c>
      <c r="H251" s="72"/>
      <c r="I251" s="74">
        <v>0</v>
      </c>
      <c r="J251" s="72"/>
      <c r="K251" s="74">
        <v>0</v>
      </c>
      <c r="L251" s="72" t="str">
        <f>IF(ISERROR(K251/C251),"NA",IF(OR(K251/C251&gt;2,K251/C251&lt;0.5),"NM",K251/C251*100-100))</f>
        <v>NA</v>
      </c>
      <c r="M251" s="74">
        <v>0</v>
      </c>
      <c r="N251" s="72" t="str">
        <f>IF(ISERROR(M251/E251),"NA",IF(OR(M251/E251&gt;2,M251/E251&lt;0.5),"NM",M251/E251*100-100))</f>
        <v>NA</v>
      </c>
      <c r="O251" s="74">
        <v>0</v>
      </c>
      <c r="P251" s="72" t="str">
        <f>IF(ISERROR(O251/G251),"NA",IF(OR(O251/G251&gt;2,O251/G251&lt;0.5),"NM",O251/G251*100-100))</f>
        <v>NA</v>
      </c>
      <c r="Q251" s="74">
        <v>0</v>
      </c>
      <c r="R251" s="72" t="str">
        <f>IF(ISERROR(Q251/I251),"NA",IF(OR(Q251/I251&gt;2,Q251/I251&lt;0.5),"NM",Q251/I251*100-100))</f>
        <v>NA</v>
      </c>
      <c r="S251" s="74">
        <v>0</v>
      </c>
      <c r="T251" s="72" t="str">
        <f>IF(ISERROR(S251/K251),"NA",IF(OR(S251/K251&gt;2,S251/K251&lt;0.5),"NM",S251/K251*100-100))</f>
        <v>NA</v>
      </c>
      <c r="U251" s="74">
        <v>0</v>
      </c>
      <c r="V251" s="72" t="str">
        <f>IF(ISERROR(U251/M251),"NA",IF(OR(U251/M251&gt;2,U251/M251&lt;0.5),"NM",U251/M251*100-100))</f>
        <v>NA</v>
      </c>
      <c r="W251" s="74">
        <v>0</v>
      </c>
      <c r="X251" s="72" t="str">
        <f>IF(ISERROR(W251/O251),"NA",IF(OR(W251/O251&gt;2,W251/O251&lt;0.5),"NM",W251/O251*100-100))</f>
        <v>NA</v>
      </c>
      <c r="Y251" s="74">
        <v>0</v>
      </c>
      <c r="Z251" s="72" t="str">
        <f>IF(ISERROR(Y251/Q251),"NA",IF(OR(Y251/Q251&gt;2,Y251/Q251&lt;0.5),"NM",Y251/Q251*100-100))</f>
        <v>NA</v>
      </c>
      <c r="AA251" s="74">
        <v>0</v>
      </c>
      <c r="AB251" s="72" t="str">
        <f>IF(ISERROR(AA251/S251),"NA",IF(OR(AA251/S251&gt;2,AA251/S251&lt;0.5),"NM",AA251/S251*100-100))</f>
        <v>NA</v>
      </c>
      <c r="AC251" s="74">
        <v>0</v>
      </c>
      <c r="AD251" s="72" t="str">
        <f>IF(ISERROR(AC251/U251),"NA",IF(OR(AC251/U251&gt;2,AC251/U251&lt;0.5),"NM",AC251/U251*100-100))</f>
        <v>NA</v>
      </c>
      <c r="AE251" s="74">
        <v>0</v>
      </c>
      <c r="AF251" s="72" t="str">
        <f>IF(ISERROR(AE251/W251),"NA",IF(OR(AE251/W251&gt;2,AE251/W251&lt;0.5),"NM",AE251/W251*100-100))</f>
        <v>NA</v>
      </c>
      <c r="AG251" s="74">
        <v>0</v>
      </c>
      <c r="AH251" s="72" t="str">
        <f>IF(ISERROR(AG251/Y251),"NA",IF(OR(AG251/Y251&gt;2,AG251/Y251&lt;0.5),"NM",AG251/Y251*100-100))</f>
        <v>NA</v>
      </c>
      <c r="AI251" s="74">
        <v>0</v>
      </c>
      <c r="AJ251" s="72" t="str">
        <f>IF(ISERROR(AI251/AA251),"NA",IF(OR(AI251/AA251&gt;2,AI251/AA251&lt;0.5),"NM",AI251/AA251*100-100))</f>
        <v>NA</v>
      </c>
      <c r="AK251" s="74">
        <v>0</v>
      </c>
      <c r="AL251" s="72" t="str">
        <f>IF(ISERROR(AK251/AC251),"NA",IF(OR(AK251/AC251&gt;2,AK251/AC251&lt;0.5),"NM",AK251/AC251*100-100))</f>
        <v>NA</v>
      </c>
      <c r="AM251" s="74">
        <v>0</v>
      </c>
      <c r="AN251" s="72" t="str">
        <f>IF(ISERROR(AM251/AE251),"NA",IF(OR(AM251/AE251&gt;2,AM251/AE251&lt;0.5),"NM",AM251/AE251*100-100))</f>
        <v>NA</v>
      </c>
      <c r="AO251" s="74">
        <v>27</v>
      </c>
      <c r="AP251" s="72" t="str">
        <f>IF(ISERROR(AO251/AG251),"NA",IF(OR(AO251/AG251&gt;2,AO251/AG251&lt;0.5),"NM",AO251/AG251*100-100))</f>
        <v>NA</v>
      </c>
      <c r="AQ251" s="74">
        <v>4</v>
      </c>
      <c r="AR251" s="72" t="str">
        <f>IF(ISERROR(AQ251/AI251),"NA",IF(OR(AQ251/AI251&gt;2,AQ251/AI251&lt;0.5),"NM",AQ251/AI251*100-100))</f>
        <v>NA</v>
      </c>
      <c r="AS251" s="74">
        <v>0</v>
      </c>
      <c r="AT251" s="72" t="str">
        <f>IF(ISERROR(AS251/AK251),"NA",IF(OR(AS251/AK251&gt;2,AS251/AK251&lt;0.5),"NM",AS251/AK251*100-100))</f>
        <v>NA</v>
      </c>
      <c r="AU251" s="74">
        <v>0</v>
      </c>
      <c r="AV251" s="72" t="str">
        <f>IF(ISERROR(AU251/AM251),"NA",IF(OR(AU251/AM251&gt;2,AU251/AM251&lt;0.5),"NM",AU251/AM251*100-100))</f>
        <v>NA</v>
      </c>
      <c r="AW251" s="74">
        <v>0</v>
      </c>
      <c r="AX251" s="72" t="str">
        <f>IF(ISERROR(AW251/AO251),"NA",IF(OR(AW251/AO251&gt;2,AW251/AO251&lt;0.5),"NM",AW251/AO251*100-100))</f>
        <v>NM</v>
      </c>
      <c r="AY251" s="74">
        <v>0</v>
      </c>
      <c r="AZ251" s="72" t="str">
        <f>IF(ISERROR(AY251/AQ251),"NA",IF(OR(AY251/AQ251&gt;2,AY251/AQ251&lt;0.5),"NM",AY251/AQ251*100-100))</f>
        <v>NM</v>
      </c>
      <c r="BA251" s="74">
        <v>-29</v>
      </c>
      <c r="BB251" s="72" t="str">
        <f>IF(ISERROR(BA251/AS251),"NA",IF(OR(BA251/AS251&gt;2,BA251/AS251&lt;0.5),"NM",BA251/AS251*100-100))</f>
        <v>NA</v>
      </c>
      <c r="BC251" s="74">
        <f>19+13</f>
        <v>32</v>
      </c>
      <c r="BD251" s="72" t="str">
        <f>IF(ISERROR(BC251/AU251),"NA",IF(OR(BC251/AU251&gt;2,BC251/AU251&lt;0.5),"NM",BC251/AU251*100-100))</f>
        <v>NA</v>
      </c>
      <c r="BE251" s="74">
        <v>-14</v>
      </c>
      <c r="BF251" s="72" t="str">
        <f>IF(ISERROR(BE251/AW251),"NA",IF(OR(BE251/AW251&gt;2,BE251/AW251&lt;0.5),"NM",BE251/AW251*100-100))</f>
        <v>NA</v>
      </c>
      <c r="BG251" s="74">
        <v>0</v>
      </c>
      <c r="BH251" s="72" t="str">
        <f>IF(ISERROR(BG251/AY251),"NA",IF(OR(BG251/AY251&gt;2,BG251/AY251&lt;0.5),"NM",BG251/AY251*100-100))</f>
        <v>NA</v>
      </c>
      <c r="BI251" s="74">
        <v>0</v>
      </c>
      <c r="BJ251" s="72" t="str">
        <f>IF(ISERROR(BI251/BA251),"NA",IF(OR(BI251/BA251&gt;2,BI251/BA251&lt;0.5),"NM",BI251/BA251*100-100))</f>
        <v>NM</v>
      </c>
      <c r="BK251" s="74">
        <f>13-4</f>
        <v>9</v>
      </c>
      <c r="BL251" s="72" t="str">
        <f>IF(ISERROR(BK251/BC251),"NA",IF(OR(BK251/BC251&gt;2,BK251/BC251&lt;0.5),"NM",BK251/BC251*100-100))</f>
        <v>NM</v>
      </c>
      <c r="BM251" s="74">
        <v>-4</v>
      </c>
      <c r="BN251" s="72" t="str">
        <f>IF(ISERROR(BM251/BE251),"NA",IF(OR(BM251/BE251&gt;2,BM251/BE251&lt;0.5),"NM",BM251/BE251*100-100))</f>
        <v>NM</v>
      </c>
      <c r="BO251" s="74">
        <v>20</v>
      </c>
      <c r="BP251" s="72" t="str">
        <f>IF(ISERROR(BO251/BG251),"NA",IF(OR(BO251/BG251&gt;2,BO251/BG251&lt;0.5),"NM",BO251/BG251*100-100))</f>
        <v>NA</v>
      </c>
      <c r="BQ251" s="74">
        <v>0</v>
      </c>
      <c r="BR251" s="72" t="str">
        <f>IF(ISERROR(BQ251/BI251),"NA",IF(OR(BQ251/BI251&gt;2,BQ251/BI251&lt;0.5),"NM",BQ251/BI251*100-100))</f>
        <v>NA</v>
      </c>
      <c r="BS251" s="74">
        <v>13</v>
      </c>
      <c r="BT251" s="72">
        <f>IF(ISERROR(BS251/BK251),"NA",IF(OR(BS251/BK251&gt;2,BS251/BK251&lt;0.5),"NM",BS251/BK251*100-100))</f>
        <v>44.444444444444429</v>
      </c>
      <c r="BU251" s="74">
        <v>0</v>
      </c>
      <c r="BV251" s="72" t="str">
        <f>IF(ISERROR(BU251/BM251),"NA",IF(OR(BU251/BM251&gt;2,BU251/BM251&lt;0.5),"NM",BU251/BM251*100-100))</f>
        <v>NM</v>
      </c>
      <c r="BW251" s="74">
        <v>0</v>
      </c>
      <c r="BX251" s="72" t="str">
        <f>IF(ISERROR(BW251/BO251),"NA",IF(OR(BW251/BO251&gt;2,BW251/BO251&lt;0.5),"NM",BW251/BO251*100-100))</f>
        <v>NM</v>
      </c>
      <c r="BY251" s="74">
        <v>0</v>
      </c>
      <c r="BZ251" s="72" t="str">
        <f>IF(ISERROR(BY251/BQ251),"NA",IF(OR(BY251/BQ251&gt;2,BY251/BQ251&lt;0.5),"NM",BY251/BQ251*100-100))</f>
        <v>NA</v>
      </c>
      <c r="CA251" s="74">
        <v>0</v>
      </c>
      <c r="CB251" s="72" t="str">
        <f>IF(ISERROR(CA251/BS251),"NA",IF(OR(CA251/BS251&gt;2,CA251/BS251&lt;0.5),"NM",CA251/BS251*100-100))</f>
        <v>NM</v>
      </c>
      <c r="CC251" s="74">
        <v>0</v>
      </c>
      <c r="CD251" s="72" t="str">
        <f>IF(ISERROR(CC251/BU251),"NA",IF(OR(CC251/BU251&gt;2,CC251/BU251&lt;0.5),"NM",CC251/BU251*100-100))</f>
        <v>NA</v>
      </c>
      <c r="CE251" s="74"/>
      <c r="CF251" s="72" t="str">
        <f>IF(ISERROR(CE251/BW251),"NA",IF(OR(CE251/BW251&gt;2,CE251/BW251&lt;0.5),"NM",CE251/BW251*100-100))</f>
        <v>NA</v>
      </c>
      <c r="CG251" s="74">
        <f>-7</f>
        <v>-7</v>
      </c>
      <c r="CH251" s="72" t="str">
        <f>IF(ISERROR(CG251/BY251),"NA",IF(OR(CG251/BY251&gt;2,CG251/BY251&lt;0.5),"NM",CG251/BY251*100-100))</f>
        <v>NA</v>
      </c>
      <c r="CI251" s="74">
        <v>28</v>
      </c>
      <c r="CJ251" s="72" t="str">
        <f>IF(ISERROR(CI251/CA251),"NA",IF(OR(CI251/CA251&gt;2,CI251/CA251&lt;0.5),"NM",CI251/CA251*100-100))</f>
        <v>NA</v>
      </c>
      <c r="CK251" s="74">
        <v>0</v>
      </c>
      <c r="CL251" s="72" t="str">
        <f>IF(ISERROR(CK251/CC251),"NA",IF(OR(CK251/CC251&gt;2,CK251/CC251&lt;0.5),"NM",CK251/CC251*100-100))</f>
        <v>NA</v>
      </c>
      <c r="CM251" s="74">
        <v>0</v>
      </c>
      <c r="CN251" s="72" t="str">
        <f>IF(ISERROR(CM251/CE251),"NA",IF(OR(CM251/CE251&gt;2,CM251/CE251&lt;0.5),"NM",CM251/CE251*100-100))</f>
        <v>NA</v>
      </c>
      <c r="CO251" s="74">
        <v>0</v>
      </c>
      <c r="CP251" s="72" t="str">
        <f>IF(ISERROR(CO251/CG251),"NA",IF(OR(CO251/CG251&gt;2,CO251/CG251&lt;0.5),"NM",CO251/CG251*100-100))</f>
        <v>NM</v>
      </c>
      <c r="CQ251" s="74">
        <v>22</v>
      </c>
      <c r="CR251" s="72">
        <f>IF(ISERROR(CQ251/CI251),"NA",IF(OR(CQ251/CI251&gt;2,CQ251/CI251&lt;0.5),"NM",CQ251/CI251*100-100))</f>
        <v>-21.428571428571431</v>
      </c>
      <c r="CS251" s="74">
        <v>0</v>
      </c>
      <c r="CT251" s="72" t="str">
        <f>IF(ISERROR(CS251/CK251),"NA",IF(OR(CS251/CK251&gt;2,CS251/CK251&lt;0.5),"NM",CS251/CK251*100-100))</f>
        <v>NA</v>
      </c>
      <c r="CU251" s="74">
        <v>0</v>
      </c>
      <c r="CV251" s="72" t="str">
        <f>IF(ISERROR(CU251/CM251),"NA",IF(OR(CU251/CM251&gt;2,CU251/CM251&lt;0.5),"NM",CU251/CM251*100-100))</f>
        <v>NA</v>
      </c>
      <c r="CW251" s="74">
        <v>0</v>
      </c>
      <c r="CX251" s="72" t="str">
        <f>IF(ISERROR(CW251/CO251),"NA",IF(OR(CW251/CO251&gt;2,CW251/CO251&lt;0.5),"NM",CW251/CO251*100-100))</f>
        <v>NA</v>
      </c>
      <c r="CY251" s="74">
        <v>7</v>
      </c>
      <c r="CZ251" s="72" t="str">
        <f>IF(ISERROR(CY251/CQ251),"NA",IF(OR(CY251/CQ251&gt;2,CY251/CQ251&lt;0.5),"NM",CY251/CQ251*100-100))</f>
        <v>NM</v>
      </c>
      <c r="DA251" s="74">
        <f>-20-18</f>
        <v>-38</v>
      </c>
      <c r="DB251" s="72" t="str">
        <f>IF(ISERROR(DA251/CS251),"NA",IF(OR(DA251/CS251&gt;2,DA251/CS251&lt;0.5),"NM",DA251/CS251*100-100))</f>
        <v>NA</v>
      </c>
      <c r="DC251" s="74">
        <v>0</v>
      </c>
      <c r="DD251" s="72" t="str">
        <f>IF(ISERROR(DC251/CU251),"NA",IF(OR(DC251/CU251&gt;2,DC251/CU251&lt;0.5),"NM",DC251/CU251*100-100))</f>
        <v>NA</v>
      </c>
      <c r="DE251" s="74">
        <v>0</v>
      </c>
      <c r="DF251" s="72" t="str">
        <f>IF(ISERROR(DE251/CW251),"NA",IF(OR(DE251/CW251&gt;2,DE251/CW251&lt;0.5),"NM",DE251/CW251*100-100))</f>
        <v>NA</v>
      </c>
      <c r="DG251" s="74">
        <v>45</v>
      </c>
      <c r="DH251" s="72" t="str">
        <f>IF(ISERROR(DG251/CY251),"NA",IF(OR(DG251/CY251&gt;2,DG251/CY251&lt;0.5),"NM",DG251/CY251*100-100))</f>
        <v>NM</v>
      </c>
      <c r="DI251" s="74">
        <v>0</v>
      </c>
      <c r="DJ251" s="72" t="str">
        <f>IF(ISERROR(DI251/DA251),"NA",IF(OR(DI251/DA251&gt;2,DI251/DA251&lt;0.5),"NM",DI251/DA251*100-100))</f>
        <v>NM</v>
      </c>
      <c r="DK251" s="74">
        <v>0</v>
      </c>
      <c r="DL251" s="72" t="str">
        <f>IF(ISERROR(DK251/DC251),"NA",IF(OR(DK251/DC251&gt;2,DK251/DC251&lt;0.5),"NM",DK251/DC251*100-100))</f>
        <v>NA</v>
      </c>
      <c r="DM251" s="74">
        <v>0</v>
      </c>
      <c r="DN251" s="72" t="str">
        <f t="shared" ref="DN251:DZ253" si="1505">IF(ISERROR(DM251/DE251),"NA",IF(OR(DM251/DE251&gt;2,DM251/DE251&lt;0.5),"NM",DM251/DE251*100-100))</f>
        <v>NA</v>
      </c>
      <c r="DO251" s="74">
        <v>-107</v>
      </c>
      <c r="DP251" s="72" t="str">
        <f t="shared" si="1505"/>
        <v>NM</v>
      </c>
      <c r="DQ251" s="74">
        <v>0</v>
      </c>
      <c r="DR251" s="72" t="str">
        <f t="shared" si="1505"/>
        <v>NA</v>
      </c>
      <c r="DS251" s="74">
        <v>0</v>
      </c>
      <c r="DT251" s="72" t="str">
        <f t="shared" si="1505"/>
        <v>NA</v>
      </c>
      <c r="DU251" s="74">
        <v>28</v>
      </c>
      <c r="DV251" s="72" t="str">
        <f t="shared" si="1505"/>
        <v>NA</v>
      </c>
      <c r="DW251" s="74">
        <v>0</v>
      </c>
      <c r="DX251" s="72" t="str">
        <f t="shared" si="1505"/>
        <v>NM</v>
      </c>
      <c r="DY251" s="74">
        <v>0</v>
      </c>
      <c r="DZ251" s="72" t="str">
        <f t="shared" si="1505"/>
        <v>NA</v>
      </c>
      <c r="EA251" s="74">
        <v>0</v>
      </c>
      <c r="EB251" s="72" t="str">
        <f>IF(ISERROR(EA251/DS251),"NA",IF(OR(EA251/DS251&gt;2,EA251/DS251&lt;0.5),"NM",EA251/DS251*100-100))</f>
        <v>NA</v>
      </c>
      <c r="EC251" s="74">
        <v>0</v>
      </c>
      <c r="ED251" s="72" t="str">
        <f>IF(ISERROR(EC251/DU251),"NA",IF(OR(EC251/DU251&gt;2,EC251/DU251&lt;0.5),"NM",EC251/DU251*100-100))</f>
        <v>NM</v>
      </c>
      <c r="EE251" s="74">
        <v>0</v>
      </c>
      <c r="EF251" s="72" t="str">
        <f>IF(ISERROR(EE251/DW251),"NA",IF(OR(EE251/DW251&gt;2,EE251/DW251&lt;0.5),"NM",EE251/DW251*100-100))</f>
        <v>NA</v>
      </c>
      <c r="EG251" s="74">
        <v>0</v>
      </c>
      <c r="EH251" s="72" t="str">
        <f>IF(ISERROR(EG251/DY251),"NA",IF(OR(EG251/DY251&gt;2,EG251/DY251&lt;0.5),"NM",EG251/DY251*100-100))</f>
        <v>NA</v>
      </c>
      <c r="EI251" s="74">
        <v>0</v>
      </c>
      <c r="EJ251" s="72" t="str">
        <f>IF(ISERROR(EI251/EA251),"NA",IF(OR(EI251/EA251&gt;2,EI251/EA251&lt;0.5),"NM",EI251/EA251*100-100))</f>
        <v>NA</v>
      </c>
      <c r="EK251" s="74">
        <v>55</v>
      </c>
      <c r="EL251" s="72" t="str">
        <f>IF(ISERROR(EK251/EC251),"NA",IF(OR(EK251/EC251&gt;2,EK251/EC251&lt;0.5),"NM",EK251/EC251*100-100))</f>
        <v>NA</v>
      </c>
      <c r="EM251" s="74">
        <v>0</v>
      </c>
      <c r="EN251" s="72" t="str">
        <f>IF(ISERROR(EM251/EE251),"NA",IF(OR(EM251/EE251&gt;2,EM251/EE251&lt;0.5),"NM",EM251/EE251*100-100))</f>
        <v>NA</v>
      </c>
      <c r="EO251" s="74">
        <v>0</v>
      </c>
      <c r="EP251" s="72" t="str">
        <f>IF(ISERROR(EO251/EG251),"NA",IF(OR(EO251/EG251&gt;2,EO251/EG251&lt;0.5),"NM",EO251/EG251*100-100))</f>
        <v>NA</v>
      </c>
      <c r="EQ251" s="74">
        <v>0</v>
      </c>
      <c r="ER251" s="72" t="str">
        <f t="shared" ref="ER251:ER253" si="1506">IF(ISERROR(EQ251/EI251),"NA",IF(OR(EQ251/EI251&gt;2,EQ251/EI251&lt;0.5),"NM",EQ251/EI251*100-100))</f>
        <v>NA</v>
      </c>
      <c r="ES251" s="74">
        <v>0</v>
      </c>
      <c r="ET251" s="72" t="str">
        <f t="shared" ref="ET251:ET253" si="1507">IF(ISERROR(ES251/EK251),"NA",IF(OR(ES251/EK251&gt;2,ES251/EK251&lt;0.5),"NM",ES251/EK251*100-100))</f>
        <v>NM</v>
      </c>
      <c r="EU251" s="74">
        <v>0</v>
      </c>
      <c r="EV251" s="72" t="str">
        <f t="shared" ref="EV251:EV253" si="1508">IF(ISERROR(EU251/EM251),"NA",IF(OR(EU251/EM251&gt;2,EU251/EM251&lt;0.5),"NM",EU251/EM251*100-100))</f>
        <v>NA</v>
      </c>
      <c r="EW251" s="74">
        <v>0</v>
      </c>
      <c r="EX251" s="72" t="str">
        <f t="shared" ref="EX251:EX253" si="1509">IF(ISERROR(EW251/EO251),"NA",IF(OR(EW251/EO251&gt;2,EW251/EO251&lt;0.5),"NM",EW251/EO251*100-100))</f>
        <v>NA</v>
      </c>
      <c r="EY251" s="72"/>
      <c r="EZ251" s="307"/>
      <c r="FA251" s="72"/>
      <c r="FB251" s="75">
        <v>0</v>
      </c>
      <c r="FC251" s="87"/>
      <c r="FD251" s="75">
        <v>0</v>
      </c>
      <c r="FE251" s="72" t="str">
        <f>IF(ISERROR(FD251/FB251),"NA",IF(OR(FD251/FB251&gt;2,FD251/FB251&lt;0.5),"NM",FD251/FB251*100-100))</f>
        <v>NA</v>
      </c>
      <c r="FF251" s="75">
        <v>0</v>
      </c>
      <c r="FG251" s="72" t="str">
        <f>IF(ISERROR(FF251/FD251),"NA",IF(OR(FF251/FD251&gt;2,FF251/FD251&lt;0.5),"NM",FF251/FD251*100-100))</f>
        <v>NA</v>
      </c>
      <c r="FH251" s="75">
        <v>0</v>
      </c>
      <c r="FI251" s="72" t="str">
        <f>IF(ISERROR(FH251/FF251),"NA",IF(OR(FH251/FF251&gt;2,FH251/FF251&lt;0.5),"NM",FH251/FF251*100-100))</f>
        <v>NA</v>
      </c>
      <c r="FJ251" s="75">
        <v>0</v>
      </c>
      <c r="FK251" s="72" t="str">
        <f>IF(ISERROR(FJ251/FH251),"NA",IF(OR(FJ251/FH251&gt;2,FJ251/FH251&lt;0.5),"NM",FJ251/FH251*100-100))</f>
        <v>NA</v>
      </c>
      <c r="FL251" s="75">
        <v>0</v>
      </c>
      <c r="FM251" s="72" t="str">
        <f>IF(ISERROR(FL251/FJ251),"NA",IF(OR(FL251/FJ251&gt;2,FL251/FJ251&lt;0.5),"NM",FL251/FJ251*100-100))</f>
        <v>NA</v>
      </c>
      <c r="FN251" s="75">
        <f>AI251+AK251+AM251+AO251</f>
        <v>27</v>
      </c>
      <c r="FO251" s="72" t="str">
        <f>IF(ISERROR(FN251/FF251),"NA",IF(OR(FN251/FF251&gt;2,FN251/FF251&lt;0.5),"NM",FN251/FF251*100-100))</f>
        <v>NA</v>
      </c>
      <c r="FP251" s="75">
        <f>AQ251+AS251+AU251+AW251</f>
        <v>4</v>
      </c>
      <c r="FQ251" s="72" t="str">
        <f>IF(ISERROR(FP251/FN251),"NA",IF(OR(FP251/FN251&gt;2,FP251/FN251&lt;0.5),"NM",FP251/FN251*100-100))</f>
        <v>NM</v>
      </c>
      <c r="FR251" s="75">
        <f>SUM(AY251,BA251,BC251,BE251)</f>
        <v>-11</v>
      </c>
      <c r="FS251" s="72" t="str">
        <f>IF(ISERROR(FR251/FP251),"NA",IF(OR(FR251/FP251&gt;2,FR251/FP251&lt;0.5),"NM",FR251/FP251*100-100))</f>
        <v>NM</v>
      </c>
      <c r="FT251" s="75">
        <f>SUM(BG251,BI251,BK251,BM251)</f>
        <v>5</v>
      </c>
      <c r="FU251" s="72" t="str">
        <f>IF(ISERROR(FT251/FR251),"NA",IF(OR(FT251/FR251&gt;2,FT251/FR251&lt;0.5),"NM",FT251/FR251*100-100))</f>
        <v>NM</v>
      </c>
      <c r="FV251" s="75">
        <f>BO251+BQ251+BS251+BU251</f>
        <v>33</v>
      </c>
      <c r="FW251" s="72" t="str">
        <f>IF(ISERROR(FV251/FT251),"NA",IF(OR(FV251/FT251&gt;2,FV251/FT251&lt;0.5),"NM",FV251/FT251*100-100))</f>
        <v>NM</v>
      </c>
      <c r="FX251" s="75">
        <f>BW251+BY251+CA251+CC251</f>
        <v>0</v>
      </c>
      <c r="FY251" s="72" t="str">
        <f>IF(ISERROR(FX251/FV251),"NA",IF(OR(FX251/FV251&gt;2,FX251/FV251&lt;0.5),"NM",FX251/FV251*100-100))</f>
        <v>NM</v>
      </c>
      <c r="FZ251" s="75">
        <f>CE251+CG251+CI251+CK251</f>
        <v>21</v>
      </c>
      <c r="GA251" s="72" t="str">
        <f>IF(ISERROR(FZ251/FX251),"NA",IF(OR(FZ251/FX251&gt;2,FZ251/FX251&lt;0.5),"NM",FZ251/FX251*100-100))</f>
        <v>NA</v>
      </c>
      <c r="GB251" s="75">
        <f>CM251+CO251+CQ251+CS251</f>
        <v>22</v>
      </c>
      <c r="GC251" s="72">
        <f>IF(ISERROR(GB251/FZ251),"NA",IF(OR(GB251/FZ251&gt;2,GB251/FZ251&lt;0.5),"NM",GB251/FZ251*100-100))</f>
        <v>4.7619047619047734</v>
      </c>
      <c r="GD251" s="75">
        <f>CU251+CW251+CY251+DA251</f>
        <v>-31</v>
      </c>
      <c r="GE251" s="72" t="str">
        <f>IF(ISERROR(GD251/GB251),"NA",IF(OR(GD251/GB251&gt;2,GD251/GB251&lt;0.5),"NM",GD251/GB251*100-100))</f>
        <v>NM</v>
      </c>
      <c r="GF251" s="75">
        <f>DC251+DE251+DG251+DI251</f>
        <v>45</v>
      </c>
      <c r="GG251" s="72" t="str">
        <f>IF(ISERROR(GF251/GD251),"NA",IF(OR(GF251/GD251&gt;2,GF251/GD251&lt;0.5),"NM",GF251/GD251*100-100))</f>
        <v>NM</v>
      </c>
      <c r="GH251" s="75">
        <f>DK251+DM251+DO251+DQ251</f>
        <v>-107</v>
      </c>
      <c r="GI251" s="72" t="str">
        <f t="shared" ref="GI251:GU253" si="1510">IF(ISERROR(GH251/GF251),"NA",IF(OR(GH251/GF251&gt;2,GH251/GF251&lt;0.5),"NM",GH251/GF251*100-100))</f>
        <v>NM</v>
      </c>
      <c r="GJ251" s="75">
        <f>DS251+DU251+DW251+DY251</f>
        <v>28</v>
      </c>
      <c r="GK251" s="72" t="str">
        <f t="shared" si="1510"/>
        <v>NM</v>
      </c>
      <c r="GL251" s="75">
        <f>EA251+EC251+EE251+EG251</f>
        <v>0</v>
      </c>
      <c r="GM251" s="72" t="str">
        <f t="shared" si="1510"/>
        <v>NM</v>
      </c>
      <c r="GN251" s="75">
        <f>EI251+EK251+EM251+EO251</f>
        <v>55</v>
      </c>
      <c r="GO251" s="72" t="str">
        <f t="shared" si="1510"/>
        <v>NA</v>
      </c>
      <c r="GP251" s="75">
        <f>EQ251+ES251+EU251+EW251</f>
        <v>0</v>
      </c>
      <c r="GQ251" s="72" t="str">
        <f t="shared" si="1510"/>
        <v>NM</v>
      </c>
      <c r="GR251" s="74">
        <v>0</v>
      </c>
      <c r="GS251" s="72" t="str">
        <f t="shared" si="1510"/>
        <v>NA</v>
      </c>
      <c r="GT251" s="74">
        <v>0</v>
      </c>
      <c r="GU251" s="72" t="str">
        <f t="shared" si="1510"/>
        <v>NA</v>
      </c>
      <c r="GV251" s="74">
        <v>0</v>
      </c>
      <c r="GW251" s="72" t="str">
        <f>IF(ISERROR(GV251/GT251),"NA",IF(OR(GV251/GT251&gt;2,GV251/GT251&lt;0.5),"NM",GV251/GT251*100-100))</f>
        <v>NA</v>
      </c>
      <c r="GX251" s="74">
        <v>0</v>
      </c>
      <c r="GY251" s="72" t="str">
        <f>IF(ISERROR(GX251/GV251),"NA",IF(OR(GX251/GV251&gt;2,GX251/GV251&lt;0.5),"NM",GX251/GV251*100-100))</f>
        <v>NA</v>
      </c>
      <c r="GZ251" s="72" t="str">
        <f>IF(ISERROR(((GX251/GN251)^0.2-1)*100),"NA",IF((((GX251/GN251)^0.2-1)*100)&gt;100,"NM",IF((((GX251/GN251)^0.2-1)*100)&lt;-50,"NM",((GX251/GN251)^0.2-1)*100)))</f>
        <v>NM</v>
      </c>
      <c r="HA251" s="72"/>
      <c r="HB251" s="72"/>
      <c r="HC251"/>
      <c r="HD251"/>
      <c r="HE251"/>
      <c r="HF251"/>
      <c r="HG251"/>
      <c r="HH251"/>
      <c r="HI251" s="2"/>
    </row>
    <row r="252" spans="1:217" s="78" customFormat="1" ht="12.75" customHeight="1" x14ac:dyDescent="0.2">
      <c r="B252" s="70" t="s">
        <v>539</v>
      </c>
      <c r="C252" s="91">
        <f>C248-C251</f>
        <v>2</v>
      </c>
      <c r="D252" s="80"/>
      <c r="E252" s="91">
        <f>E248-E251</f>
        <v>31</v>
      </c>
      <c r="F252" s="80"/>
      <c r="G252" s="91">
        <f>G248-G251</f>
        <v>57</v>
      </c>
      <c r="H252" s="80"/>
      <c r="I252" s="91">
        <f>I248-I251</f>
        <v>68</v>
      </c>
      <c r="J252" s="80"/>
      <c r="K252" s="91">
        <f>K248-K251</f>
        <v>47</v>
      </c>
      <c r="L252" s="72" t="str">
        <f>IF(ISERROR(K252/C252),"NA",IF(OR(K252/C252&gt;2,K252/C252&lt;0.5),"NM",K252/C252*100-100))</f>
        <v>NM</v>
      </c>
      <c r="M252" s="91">
        <f>M248-M251</f>
        <v>9</v>
      </c>
      <c r="N252" s="72" t="str">
        <f>IF(ISERROR(M252/E252),"NA",IF(OR(M252/E252&gt;2,M252/E252&lt;0.5),"NM",M252/E252*100-100))</f>
        <v>NM</v>
      </c>
      <c r="O252" s="91">
        <f>O248-O251</f>
        <v>-7</v>
      </c>
      <c r="P252" s="72" t="str">
        <f>IF(ISERROR(O252/G252),"NA",IF(OR(O252/G252&gt;2,O252/G252&lt;0.5),"NM",O252/G252*100-100))</f>
        <v>NM</v>
      </c>
      <c r="Q252" s="91">
        <f>Q248-Q251</f>
        <v>21</v>
      </c>
      <c r="R252" s="72" t="str">
        <f>IF(ISERROR(Q252/I252),"NA",IF(OR(Q252/I252&gt;2,Q252/I252&lt;0.5),"NM",Q252/I252*100-100))</f>
        <v>NM</v>
      </c>
      <c r="S252" s="91">
        <f>S248-S251</f>
        <v>37</v>
      </c>
      <c r="T252" s="72">
        <f>IF(ISERROR(S252/K252),"NA",IF(OR(S252/K252&gt;2,S252/K252&lt;0.5),"NM",S252/K252*100-100))</f>
        <v>-21.276595744680847</v>
      </c>
      <c r="U252" s="91">
        <f>U248-U251</f>
        <v>36</v>
      </c>
      <c r="V252" s="72" t="str">
        <f>IF(ISERROR(U252/M252),"NA",IF(OR(U252/M252&gt;2,U252/M252&lt;0.5),"NM",U252/M252*100-100))</f>
        <v>NM</v>
      </c>
      <c r="W252" s="91">
        <f>W248-W251</f>
        <v>30</v>
      </c>
      <c r="X252" s="72" t="str">
        <f>IF(ISERROR(W252/O252),"NA",IF(OR(W252/O252&gt;2,W252/O252&lt;0.5),"NM",W252/O252*100-100))</f>
        <v>NM</v>
      </c>
      <c r="Y252" s="91">
        <f>Y248-Y251</f>
        <v>52</v>
      </c>
      <c r="Z252" s="72" t="str">
        <f>IF(ISERROR(Y252/Q252),"NA",IF(OR(Y252/Q252&gt;2,Y252/Q252&lt;0.5),"NM",Y252/Q252*100-100))</f>
        <v>NM</v>
      </c>
      <c r="AA252" s="91">
        <f>AA248-AA251</f>
        <v>34</v>
      </c>
      <c r="AB252" s="72">
        <f>IF(ISERROR(AA252/S252),"NA",IF(OR(AA252/S252&gt;2,AA252/S252&lt;0.5),"NM",AA252/S252*100-100))</f>
        <v>-8.1081081081080981</v>
      </c>
      <c r="AC252" s="91">
        <f>AC248-AC251</f>
        <v>58</v>
      </c>
      <c r="AD252" s="72">
        <f>IF(ISERROR(AC252/U252),"NA",IF(OR(AC252/U252&gt;2,AC252/U252&lt;0.5),"NM",AC252/U252*100-100))</f>
        <v>61.111111111111114</v>
      </c>
      <c r="AE252" s="91">
        <f>AE248-AE251</f>
        <v>30</v>
      </c>
      <c r="AF252" s="72">
        <f>IF(ISERROR(AE252/W252),"NA",IF(OR(AE252/W252&gt;2,AE252/W252&lt;0.5),"NM",AE252/W252*100-100))</f>
        <v>0</v>
      </c>
      <c r="AG252" s="91">
        <f>AG248-AG251</f>
        <v>47</v>
      </c>
      <c r="AH252" s="72">
        <f>IF(ISERROR(AG252/Y252),"NA",IF(OR(AG252/Y252&gt;2,AG252/Y252&lt;0.5),"NM",AG252/Y252*100-100))</f>
        <v>-9.6153846153846132</v>
      </c>
      <c r="AI252" s="91">
        <f>AI248-AI251</f>
        <v>26</v>
      </c>
      <c r="AJ252" s="72">
        <f>IF(ISERROR(AI252/AA252),"NA",IF(OR(AI252/AA252&gt;2,AI252/AA252&lt;0.5),"NM",AI252/AA252*100-100))</f>
        <v>-23.529411764705884</v>
      </c>
      <c r="AK252" s="91">
        <f>AK248-AK251</f>
        <v>46</v>
      </c>
      <c r="AL252" s="72">
        <f>IF(ISERROR(AK252/AC252),"NA",IF(OR(AK252/AC252&gt;2,AK252/AC252&lt;0.5),"NM",AK252/AC252*100-100))</f>
        <v>-20.689655172413794</v>
      </c>
      <c r="AM252" s="91">
        <f>AM248-AM251</f>
        <v>48</v>
      </c>
      <c r="AN252" s="72">
        <f>IF(ISERROR(AM252/AE252),"NA",IF(OR(AM252/AE252&gt;2,AM252/AE252&lt;0.5),"NM",AM252/AE252*100-100))</f>
        <v>60</v>
      </c>
      <c r="AO252" s="91">
        <f>AO248-AO251</f>
        <v>27</v>
      </c>
      <c r="AP252" s="72">
        <f>IF(ISERROR(AO252/AG252),"NA",IF(OR(AO252/AG252&gt;2,AO252/AG252&lt;0.5),"NM",AO252/AG252*100-100))</f>
        <v>-42.553191489361694</v>
      </c>
      <c r="AQ252" s="91">
        <f>AQ248-AQ251</f>
        <v>34</v>
      </c>
      <c r="AR252" s="72">
        <f>IF(ISERROR(AQ252/AI252),"NA",IF(OR(AQ252/AI252&gt;2,AQ252/AI252&lt;0.5),"NM",AQ252/AI252*100-100))</f>
        <v>30.769230769230774</v>
      </c>
      <c r="AS252" s="91">
        <f>AS248-AS251</f>
        <v>46</v>
      </c>
      <c r="AT252" s="72">
        <f>IF(ISERROR(AS252/AK252),"NA",IF(OR(AS252/AK252&gt;2,AS252/AK252&lt;0.5),"NM",AS252/AK252*100-100))</f>
        <v>0</v>
      </c>
      <c r="AU252" s="91">
        <f>AU248-AU251</f>
        <v>60</v>
      </c>
      <c r="AV252" s="72">
        <f>IF(ISERROR(AU252/AM252),"NA",IF(OR(AU252/AM252&gt;2,AU252/AM252&lt;0.5),"NM",AU252/AM252*100-100))</f>
        <v>25</v>
      </c>
      <c r="AW252" s="91">
        <f>AW248-AW251</f>
        <v>80</v>
      </c>
      <c r="AX252" s="72" t="str">
        <f>IF(ISERROR(AW252/AO252),"NA",IF(OR(AW252/AO252&gt;2,AW252/AO252&lt;0.5),"NM",AW252/AO252*100-100))</f>
        <v>NM</v>
      </c>
      <c r="AY252" s="91">
        <f>AY248-AY251</f>
        <v>47</v>
      </c>
      <c r="AZ252" s="72">
        <f>IF(ISERROR(AY252/AQ252),"NA",IF(OR(AY252/AQ252&gt;2,AY252/AQ252&lt;0.5),"NM",AY252/AQ252*100-100))</f>
        <v>38.235294117647044</v>
      </c>
      <c r="BA252" s="91">
        <f>BA248-BA251</f>
        <v>58</v>
      </c>
      <c r="BB252" s="72">
        <f>IF(ISERROR(BA252/AS252),"NA",IF(OR(BA252/AS252&gt;2,BA252/AS252&lt;0.5),"NM",BA252/AS252*100-100))</f>
        <v>26.08695652173914</v>
      </c>
      <c r="BC252" s="91">
        <f>BC248-BC251</f>
        <v>58</v>
      </c>
      <c r="BD252" s="72">
        <f>IF(ISERROR(BC252/AU252),"NA",IF(OR(BC252/AU252&gt;2,BC252/AU252&lt;0.5),"NM",BC252/AU252*100-100))</f>
        <v>-3.3333333333333286</v>
      </c>
      <c r="BE252" s="91">
        <f>BE248-BE251</f>
        <v>77</v>
      </c>
      <c r="BF252" s="72">
        <f>IF(ISERROR(BE252/AW252),"NA",IF(OR(BE252/AW252&gt;2,BE252/AW252&lt;0.5),"NM",BE252/AW252*100-100))</f>
        <v>-3.75</v>
      </c>
      <c r="BG252" s="91">
        <f>BG248-BG251</f>
        <v>51</v>
      </c>
      <c r="BH252" s="72">
        <f>IF(ISERROR(BG252/AY252),"NA",IF(OR(BG252/AY252&gt;2,BG252/AY252&lt;0.5),"NM",BG252/AY252*100-100))</f>
        <v>8.5106382978723332</v>
      </c>
      <c r="BI252" s="91">
        <f>BI248-BI251</f>
        <v>69</v>
      </c>
      <c r="BJ252" s="72">
        <f>IF(ISERROR(BI252/BA252),"NA",IF(OR(BI252/BA252&gt;2,BI252/BA252&lt;0.5),"NM",BI252/BA252*100-100))</f>
        <v>18.965517241379317</v>
      </c>
      <c r="BK252" s="91">
        <f>BK248-BK251</f>
        <v>91</v>
      </c>
      <c r="BL252" s="72">
        <f>IF(ISERROR(BK252/BC252),"NA",IF(OR(BK252/BC252&gt;2,BK252/BC252&lt;0.5),"NM",BK252/BC252*100-100))</f>
        <v>56.896551724137936</v>
      </c>
      <c r="BM252" s="91">
        <f>BM248-BM251</f>
        <v>70</v>
      </c>
      <c r="BN252" s="72">
        <f>IF(ISERROR(BM252/BE252),"NA",IF(OR(BM252/BE252&gt;2,BM252/BE252&lt;0.5),"NM",BM252/BE252*100-100))</f>
        <v>-9.0909090909090935</v>
      </c>
      <c r="BO252" s="91">
        <f>BO248-BO251</f>
        <v>70</v>
      </c>
      <c r="BP252" s="72">
        <f>IF(ISERROR(BO252/BG252),"NA",IF(OR(BO252/BG252&gt;2,BO252/BG252&lt;0.5),"NM",BO252/BG252*100-100))</f>
        <v>37.254901960784309</v>
      </c>
      <c r="BQ252" s="91">
        <f>BQ248-BQ251</f>
        <v>80</v>
      </c>
      <c r="BR252" s="72">
        <f>IF(ISERROR(BQ252/BI252),"NA",IF(OR(BQ252/BI252&gt;2,BQ252/BI252&lt;0.5),"NM",BQ252/BI252*100-100))</f>
        <v>15.94202898550725</v>
      </c>
      <c r="BS252" s="91">
        <f>BS248-BS251</f>
        <v>88</v>
      </c>
      <c r="BT252" s="72">
        <f>IF(ISERROR(BS252/BK252),"NA",IF(OR(BS252/BK252&gt;2,BS252/BK252&lt;0.5),"NM",BS252/BK252*100-100))</f>
        <v>-3.2967032967032992</v>
      </c>
      <c r="BU252" s="91">
        <f>BU248-BU251</f>
        <v>69</v>
      </c>
      <c r="BV252" s="72">
        <f>IF(ISERROR(BU252/BM252),"NA",IF(OR(BU252/BM252&gt;2,BU252/BM252&lt;0.5),"NM",BU252/BM252*100-100))</f>
        <v>-1.4285714285714164</v>
      </c>
      <c r="BW252" s="91">
        <f>BW248-BW251</f>
        <v>93</v>
      </c>
      <c r="BX252" s="72">
        <f>IF(ISERROR(BW252/BO252),"NA",IF(OR(BW252/BO252&gt;2,BW252/BO252&lt;0.5),"NM",BW252/BO252*100-100))</f>
        <v>32.857142857142861</v>
      </c>
      <c r="BY252" s="91">
        <f>BY248-BY251</f>
        <v>105</v>
      </c>
      <c r="BZ252" s="72">
        <f>IF(ISERROR(BY252/BQ252),"NA",IF(OR(BY252/BQ252&gt;2,BY252/BQ252&lt;0.5),"NM",BY252/BQ252*100-100))</f>
        <v>31.25</v>
      </c>
      <c r="CA252" s="91">
        <f>CA248-CA251</f>
        <v>64</v>
      </c>
      <c r="CB252" s="72">
        <f>IF(ISERROR(CA252/BS252),"NA",IF(OR(CA252/BS252&gt;2,CA252/BS252&lt;0.5),"NM",CA252/BS252*100-100))</f>
        <v>-27.272727272727266</v>
      </c>
      <c r="CC252" s="91">
        <f>CC248-CC251</f>
        <v>69</v>
      </c>
      <c r="CD252" s="72">
        <f>IF(ISERROR(CC252/BU252),"NA",IF(OR(CC252/BU252&gt;2,CC252/BU252&lt;0.5),"NM",CC252/BU252*100-100))</f>
        <v>0</v>
      </c>
      <c r="CE252" s="91">
        <f>CE248-CE251</f>
        <v>52</v>
      </c>
      <c r="CF252" s="72">
        <f>IF(ISERROR(CE252/BW252),"NA",IF(OR(CE252/BW252&gt;2,CE252/BW252&lt;0.5),"NM",CE252/BW252*100-100))</f>
        <v>-44.086021505376351</v>
      </c>
      <c r="CG252" s="91">
        <f>CG248-CG251</f>
        <v>39</v>
      </c>
      <c r="CH252" s="72" t="str">
        <f>IF(ISERROR(CG252/BY252),"NA",IF(OR(CG252/BY252&gt;2,CG252/BY252&lt;0.5),"NM",CG252/BY252*100-100))</f>
        <v>NM</v>
      </c>
      <c r="CI252" s="91">
        <f>CI248-CI251</f>
        <v>32</v>
      </c>
      <c r="CJ252" s="72">
        <f>IF(ISERROR(CI252/CA252),"NA",IF(OR(CI252/CA252&gt;2,CI252/CA252&lt;0.5),"NM",CI252/CA252*100-100))</f>
        <v>-50</v>
      </c>
      <c r="CK252" s="91">
        <f>CK248-CK251</f>
        <v>68</v>
      </c>
      <c r="CL252" s="72">
        <f>IF(ISERROR(CK252/CC252),"NA",IF(OR(CK252/CC252&gt;2,CK252/CC252&lt;0.5),"NM",CK252/CC252*100-100))</f>
        <v>-1.4492753623188293</v>
      </c>
      <c r="CM252" s="91">
        <f>CM248-CM251</f>
        <v>39</v>
      </c>
      <c r="CN252" s="72">
        <f>IF(ISERROR(CM252/CE252),"NA",IF(OR(CM252/CE252&gt;2,CM252/CE252&lt;0.5),"NM",CM252/CE252*100-100))</f>
        <v>-25</v>
      </c>
      <c r="CO252" s="91">
        <f>CO248-CO251</f>
        <v>49</v>
      </c>
      <c r="CP252" s="72">
        <f>IF(ISERROR(CO252/CG252),"NA",IF(OR(CO252/CG252&gt;2,CO252/CG252&lt;0.5),"NM",CO252/CG252*100-100))</f>
        <v>25.641025641025635</v>
      </c>
      <c r="CQ252" s="91">
        <f>CQ248-CQ251</f>
        <v>23</v>
      </c>
      <c r="CR252" s="72">
        <f>IF(ISERROR(CQ252/CI252),"NA",IF(OR(CQ252/CI252&gt;2,CQ252/CI252&lt;0.5),"NM",CQ252/CI252*100-100))</f>
        <v>-28.125</v>
      </c>
      <c r="CS252" s="91">
        <f>CS248-CS251</f>
        <v>42</v>
      </c>
      <c r="CT252" s="72">
        <f>IF(ISERROR(CS252/CK252),"NA",IF(OR(CS252/CK252&gt;2,CS252/CK252&lt;0.5),"NM",CS252/CK252*100-100))</f>
        <v>-38.235294117647058</v>
      </c>
      <c r="CU252" s="91">
        <f>CU248-CU251</f>
        <v>-40</v>
      </c>
      <c r="CV252" s="72" t="str">
        <f>IF(ISERROR(CU252/CM252),"NA",IF(OR(CU252/CM252&gt;2,CU252/CM252&lt;0.5),"NM",CU252/CM252*100-100))</f>
        <v>NM</v>
      </c>
      <c r="CW252" s="91">
        <f>CW248-CW251</f>
        <v>33</v>
      </c>
      <c r="CX252" s="72">
        <f>IF(ISERROR(CW252/CO252),"NA",IF(OR(CW252/CO252&gt;2,CW252/CO252&lt;0.5),"NM",CW252/CO252*100-100))</f>
        <v>-32.653061224489804</v>
      </c>
      <c r="CY252" s="91">
        <f>CY248-CY251</f>
        <v>28</v>
      </c>
      <c r="CZ252" s="72">
        <f>IF(ISERROR(CY252/CQ252),"NA",IF(OR(CY252/CQ252&gt;2,CY252/CQ252&lt;0.5),"NM",CY252/CQ252*100-100))</f>
        <v>21.739130434782624</v>
      </c>
      <c r="DA252" s="91">
        <f>DA248-DA251</f>
        <v>26</v>
      </c>
      <c r="DB252" s="72">
        <f>IF(ISERROR(DA252/CS252),"NA",IF(OR(DA252/CS252&gt;2,DA252/CS252&lt;0.5),"NM",DA252/CS252*100-100))</f>
        <v>-38.095238095238095</v>
      </c>
      <c r="DC252" s="91">
        <f>DC248-DC251</f>
        <v>9</v>
      </c>
      <c r="DD252" s="72" t="str">
        <f>IF(ISERROR(DC252/CU252),"NA",IF(OR(DC252/CU252&gt;2,DC252/CU252&lt;0.5),"NM",DC252/CU252*100-100))</f>
        <v>NM</v>
      </c>
      <c r="DE252" s="91">
        <f>DE248-DE251</f>
        <v>22</v>
      </c>
      <c r="DF252" s="72">
        <f>IF(ISERROR(DE252/CW252),"NA",IF(OR(DE252/CW252&gt;2,DE252/CW252&lt;0.5),"NM",DE252/CW252*100-100))</f>
        <v>-33.333333333333343</v>
      </c>
      <c r="DG252" s="91">
        <f>DG248-DG251</f>
        <v>23</v>
      </c>
      <c r="DH252" s="72">
        <f>IF(ISERROR(DG252/CY252),"NA",IF(OR(DG252/CY252&gt;2,DG252/CY252&lt;0.5),"NM",DG252/CY252*100-100))</f>
        <v>-17.857142857142861</v>
      </c>
      <c r="DI252" s="91">
        <f>DI248-DI251</f>
        <v>58</v>
      </c>
      <c r="DJ252" s="72" t="str">
        <f>IF(ISERROR(DI252/DA252),"NA",IF(OR(DI252/DA252&gt;2,DI252/DA252&lt;0.5),"NM",DI252/DA252*100-100))</f>
        <v>NM</v>
      </c>
      <c r="DK252" s="91">
        <f>DK248-DK251</f>
        <v>6</v>
      </c>
      <c r="DL252" s="72">
        <f>IF(ISERROR(DK252/DC252),"NA",IF(OR(DK252/DC252&gt;2,DK252/DC252&lt;0.5),"NM",DK252/DC252*100-100))</f>
        <v>-33.333333333333343</v>
      </c>
      <c r="DM252" s="91">
        <f>DM248-DM251</f>
        <v>46</v>
      </c>
      <c r="DN252" s="72" t="str">
        <f t="shared" si="1505"/>
        <v>NM</v>
      </c>
      <c r="DO252" s="91">
        <f>DO248-DO251</f>
        <v>34</v>
      </c>
      <c r="DP252" s="72">
        <f t="shared" si="1505"/>
        <v>47.826086956521721</v>
      </c>
      <c r="DQ252" s="91">
        <f>DQ248-DQ251</f>
        <v>44</v>
      </c>
      <c r="DR252" s="72">
        <f t="shared" si="1505"/>
        <v>-24.137931034482762</v>
      </c>
      <c r="DS252" s="91">
        <f>DS248-DS251</f>
        <v>30</v>
      </c>
      <c r="DT252" s="72" t="str">
        <f t="shared" si="1505"/>
        <v>NM</v>
      </c>
      <c r="DU252" s="91">
        <f>DU248-DU251</f>
        <v>47</v>
      </c>
      <c r="DV252" s="72">
        <f t="shared" si="1505"/>
        <v>2.1739130434782652</v>
      </c>
      <c r="DW252" s="91">
        <f>DW248-DW251</f>
        <v>44</v>
      </c>
      <c r="DX252" s="72">
        <f t="shared" si="1505"/>
        <v>29.411764705882348</v>
      </c>
      <c r="DY252" s="91">
        <f>DY248-DY251</f>
        <v>27</v>
      </c>
      <c r="DZ252" s="72">
        <f t="shared" si="1505"/>
        <v>-38.636363636363633</v>
      </c>
      <c r="EA252" s="91">
        <f>EA248-EA251</f>
        <v>26</v>
      </c>
      <c r="EB252" s="72">
        <f>IF(ISERROR(EA252/DS252),"NA",IF(OR(EA252/DS252&gt;2,EA252/DS252&lt;0.5),"NM",EA252/DS252*100-100))</f>
        <v>-13.333333333333329</v>
      </c>
      <c r="EC252" s="91">
        <f>EC248-EC251</f>
        <v>89</v>
      </c>
      <c r="ED252" s="72">
        <f>IF(ISERROR(EC252/DU252),"NA",IF(OR(EC252/DU252&gt;2,EC252/DU252&lt;0.5),"NM",EC252/DU252*100-100))</f>
        <v>89.361702127659584</v>
      </c>
      <c r="EE252" s="91">
        <f>EE248-EE251</f>
        <v>62</v>
      </c>
      <c r="EF252" s="72">
        <f>IF(ISERROR(EE252/DW252),"NA",IF(OR(EE252/DW252&gt;2,EE252/DW252&lt;0.5),"NM",EE252/DW252*100-100))</f>
        <v>40.909090909090907</v>
      </c>
      <c r="EG252" s="91">
        <f>EG248-EG251</f>
        <v>43</v>
      </c>
      <c r="EH252" s="72">
        <f>IF(ISERROR(EG252/DY252),"NA",IF(OR(EG252/DY252&gt;2,EG252/DY252&lt;0.5),"NM",EG252/DY252*100-100))</f>
        <v>59.259259259259267</v>
      </c>
      <c r="EI252" s="91">
        <f>EI248-EI251</f>
        <v>34</v>
      </c>
      <c r="EJ252" s="72">
        <f>IF(ISERROR(EI252/EA252),"NA",IF(OR(EI252/EA252&gt;2,EI252/EA252&lt;0.5),"NM",EI252/EA252*100-100))</f>
        <v>30.769230769230774</v>
      </c>
      <c r="EK252" s="91">
        <f>EK248-EK251</f>
        <v>81</v>
      </c>
      <c r="EL252" s="72">
        <f>IF(ISERROR(EK252/EC252),"NA",IF(OR(EK252/EC252&gt;2,EK252/EC252&lt;0.5),"NM",EK252/EC252*100-100))</f>
        <v>-8.9887640449438209</v>
      </c>
      <c r="EM252" s="91">
        <f>EM248-EM251</f>
        <v>61</v>
      </c>
      <c r="EN252" s="72">
        <f>IF(ISERROR(EM252/EE252),"NA",IF(OR(EM252/EE252&gt;2,EM252/EE252&lt;0.5),"NM",EM252/EE252*100-100))</f>
        <v>-1.6129032258064484</v>
      </c>
      <c r="EO252" s="91">
        <f>EO248-EO251</f>
        <v>22</v>
      </c>
      <c r="EP252" s="72">
        <f>IF(ISERROR(EO252/EG252),"NA",IF(OR(EO252/EG252&gt;2,EO252/EG252&lt;0.5),"NM",EO252/EG252*100-100))</f>
        <v>-48.837209302325576</v>
      </c>
      <c r="EQ252" s="91">
        <f t="shared" ref="EQ252" si="1511">EQ248-EQ251</f>
        <v>43.17832414999998</v>
      </c>
      <c r="ER252" s="72">
        <f t="shared" si="1506"/>
        <v>26.995071029411704</v>
      </c>
      <c r="ES252" s="91">
        <f t="shared" ref="ES252" si="1512">ES248-ES251</f>
        <v>49.623395891499513</v>
      </c>
      <c r="ET252" s="72">
        <f t="shared" si="1507"/>
        <v>-38.736548282099371</v>
      </c>
      <c r="EU252" s="91">
        <f t="shared" ref="EU252" si="1513">EU248-EU251</f>
        <v>56.192951235414739</v>
      </c>
      <c r="EV252" s="72">
        <f t="shared" si="1508"/>
        <v>-7.8804078107955036</v>
      </c>
      <c r="EW252" s="91">
        <f t="shared" ref="EW252" si="1514">EW248-EW251</f>
        <v>47.053032785860069</v>
      </c>
      <c r="EX252" s="72" t="str">
        <f t="shared" si="1509"/>
        <v>NM</v>
      </c>
      <c r="EY252" s="72"/>
      <c r="EZ252" s="314"/>
      <c r="FA252" s="72"/>
      <c r="FB252" s="91">
        <f>FB248-FB251</f>
        <v>98</v>
      </c>
      <c r="FC252" s="80"/>
      <c r="FD252" s="91">
        <f>FD248-FD251</f>
        <v>128</v>
      </c>
      <c r="FE252" s="72">
        <f>IF(ISERROR(FD252/FB252),"NA",IF(OR(FD252/FB252&gt;2,FD252/FB252&lt;0.5),"NM",FD252/FB252*100-100))</f>
        <v>30.612244897959187</v>
      </c>
      <c r="FF252" s="91">
        <f>FF248-FF251</f>
        <v>158</v>
      </c>
      <c r="FG252" s="72">
        <f>IF(ISERROR(FF252/FD252),"NA",IF(OR(FF252/FD252&gt;2,FF252/FD252&lt;0.5),"NM",FF252/FD252*100-100))</f>
        <v>23.4375</v>
      </c>
      <c r="FH252" s="91">
        <f>FH248-FH251</f>
        <v>70</v>
      </c>
      <c r="FI252" s="72" t="str">
        <f>IF(ISERROR(FH252/FF252),"NA",IF(OR(FH252/FF252&gt;2,FH252/FF252&lt;0.5),"NM",FH252/FF252*100-100))</f>
        <v>NM</v>
      </c>
      <c r="FJ252" s="91">
        <f>FJ248-FJ251</f>
        <v>155</v>
      </c>
      <c r="FK252" s="72" t="str">
        <f>IF(ISERROR(FJ252/FH252),"NA",IF(OR(FJ252/FH252&gt;2,FJ252/FH252&lt;0.5),"NM",FJ252/FH252*100-100))</f>
        <v>NM</v>
      </c>
      <c r="FL252" s="91">
        <f>FL248-FL251</f>
        <v>169</v>
      </c>
      <c r="FM252" s="72">
        <f>IF(ISERROR(FL252/FJ252),"NA",IF(OR(FL252/FJ252&gt;2,FL252/FJ252&lt;0.5),"NM",FL252/FJ252*100-100))</f>
        <v>9.0322580645161281</v>
      </c>
      <c r="FN252" s="75">
        <f>AI252+AK252+AM252+AO252</f>
        <v>147</v>
      </c>
      <c r="FO252" s="72">
        <f>IF(ISERROR(FN252/FF252),"NA",IF(OR(FN252/FF252&gt;2,FN252/FF252&lt;0.5),"NM",FN252/FF252*100-100))</f>
        <v>-6.9620253164556942</v>
      </c>
      <c r="FP252" s="75">
        <f>AQ252+AS252+AU252+AW252</f>
        <v>220</v>
      </c>
      <c r="FQ252" s="72">
        <f>IF(ISERROR(FP252/FN252),"NA",IF(OR(FP252/FN252&gt;2,FP252/FN252&lt;0.5),"NM",FP252/FN252*100-100))</f>
        <v>49.659863945578252</v>
      </c>
      <c r="FR252" s="91">
        <f>FR248-FR251</f>
        <v>240</v>
      </c>
      <c r="FS252" s="72">
        <f>IF(ISERROR(FR252/FP252),"NA",IF(OR(FR252/FP252&gt;2,FR252/FP252&lt;0.5),"NM",FR252/FP252*100-100))</f>
        <v>9.0909090909090793</v>
      </c>
      <c r="FT252" s="91">
        <f>FT248-FT251</f>
        <v>281</v>
      </c>
      <c r="FU252" s="72">
        <f>IF(ISERROR(FT252/FR252),"NA",IF(OR(FT252/FR252&gt;2,FT252/FR252&lt;0.5),"NM",FT252/FR252*100-100))</f>
        <v>17.083333333333343</v>
      </c>
      <c r="FV252" s="91">
        <f>FV248-FV251</f>
        <v>303</v>
      </c>
      <c r="FW252" s="72">
        <f>IF(ISERROR(FV252/FT252),"NA",IF(OR(FV252/FT252&gt;2,FV252/FT252&lt;0.5),"NM",FV252/FT252*100-100))</f>
        <v>7.829181494661924</v>
      </c>
      <c r="FX252" s="91">
        <f>FX248-FX251</f>
        <v>329</v>
      </c>
      <c r="FY252" s="72">
        <f>IF(ISERROR(FX252/FV252),"NA",IF(OR(FX252/FV252&gt;2,FX252/FV252&lt;0.5),"NM",FX252/FV252*100-100))</f>
        <v>8.5808580858085719</v>
      </c>
      <c r="FZ252" s="91">
        <f>FZ248-FZ251</f>
        <v>191</v>
      </c>
      <c r="GA252" s="72">
        <f>IF(ISERROR(FZ252/FX252),"NA",IF(OR(FZ252/FX252&gt;2,FZ252/FX252&lt;0.5),"NM",FZ252/FX252*100-100))</f>
        <v>-41.945288753799389</v>
      </c>
      <c r="GB252" s="91">
        <f>GB248-GB251</f>
        <v>153</v>
      </c>
      <c r="GC252" s="72">
        <f>IF(ISERROR(GB252/FZ252),"NA",IF(OR(GB252/FZ252&gt;2,GB252/FZ252&lt;0.5),"NM",GB252/FZ252*100-100))</f>
        <v>-19.895287958115176</v>
      </c>
      <c r="GD252" s="91">
        <f>GD248-GD251</f>
        <v>47</v>
      </c>
      <c r="GE252" s="72" t="str">
        <f>IF(ISERROR(GD252/GB252),"NA",IF(OR(GD252/GB252&gt;2,GD252/GB252&lt;0.5),"NM",GD252/GB252*100-100))</f>
        <v>NM</v>
      </c>
      <c r="GF252" s="91">
        <f>GF248-GF251</f>
        <v>112</v>
      </c>
      <c r="GG252" s="72" t="str">
        <f>IF(ISERROR(GF252/GD252),"NA",IF(OR(GF252/GD252&gt;2,GF252/GD252&lt;0.5),"NM",GF252/GD252*100-100))</f>
        <v>NM</v>
      </c>
      <c r="GH252" s="91">
        <f>GH248-GH251</f>
        <v>130</v>
      </c>
      <c r="GI252" s="72">
        <f t="shared" si="1510"/>
        <v>16.071428571428584</v>
      </c>
      <c r="GJ252" s="91">
        <f>GJ248-GJ251</f>
        <v>148</v>
      </c>
      <c r="GK252" s="72">
        <f t="shared" si="1510"/>
        <v>13.84615384615384</v>
      </c>
      <c r="GL252" s="91">
        <f>GL248-GL251</f>
        <v>220</v>
      </c>
      <c r="GM252" s="72">
        <f t="shared" si="1510"/>
        <v>48.648648648648646</v>
      </c>
      <c r="GN252" s="91">
        <f>GN248-GN251</f>
        <v>198</v>
      </c>
      <c r="GO252" s="72">
        <f t="shared" si="1510"/>
        <v>-10</v>
      </c>
      <c r="GP252" s="91">
        <f>GP248-GP251</f>
        <v>196.04770406277567</v>
      </c>
      <c r="GQ252" s="72">
        <f t="shared" si="1510"/>
        <v>-0.98600804910320505</v>
      </c>
      <c r="GR252" s="91">
        <f>GR248-GR251</f>
        <v>203.70113715293792</v>
      </c>
      <c r="GS252" s="72">
        <f t="shared" si="1510"/>
        <v>3.9038626474868607</v>
      </c>
      <c r="GT252" s="91">
        <f>GT248-GT251</f>
        <v>214.2621481665592</v>
      </c>
      <c r="GU252" s="72">
        <f t="shared" si="1510"/>
        <v>5.1845616383045154</v>
      </c>
      <c r="GV252" s="91">
        <f>GV248-GV251</f>
        <v>222.60749246795876</v>
      </c>
      <c r="GW252" s="72">
        <f>IF(ISERROR(GV252/GT252),"NA",IF(OR(GV252/GT252&gt;2,GV252/GT252&lt;0.5),"NM",GV252/GT252*100-100))</f>
        <v>3.894922352272971</v>
      </c>
      <c r="GX252" s="91">
        <f>GX248-GX251</f>
        <v>231.26354204389736</v>
      </c>
      <c r="GY252" s="72">
        <f>IF(ISERROR(GX252/GV252),"NA",IF(OR(GX252/GV252&gt;2,GX252/GV252&lt;0.5),"NM",GX252/GV252*100-100))</f>
        <v>3.8884807874040916</v>
      </c>
      <c r="GZ252" s="72">
        <f>IF(ISERROR(((GX252/GN252)^0.2-1)*100),"NA",IF((((GX252/GN252)^0.2-1)*100)&gt;100,"NM",IF((((GX252/GN252)^0.2-1)*100)&lt;-50,"NM",((GX252/GN252)^0.2-1)*100)))</f>
        <v>3.1545518319895161</v>
      </c>
      <c r="HA252" s="72"/>
      <c r="HB252" s="72"/>
      <c r="HC252"/>
      <c r="HD252"/>
      <c r="HE252"/>
      <c r="HF252"/>
      <c r="HG252"/>
      <c r="HH252"/>
      <c r="HI252" s="2"/>
    </row>
    <row r="253" spans="1:217" s="3" customFormat="1" ht="12.75" customHeight="1" x14ac:dyDescent="0.2">
      <c r="B253" s="77" t="s">
        <v>418</v>
      </c>
      <c r="C253" s="75"/>
      <c r="D253" s="72"/>
      <c r="E253" s="75"/>
      <c r="F253" s="72"/>
      <c r="G253" s="75"/>
      <c r="H253" s="72"/>
      <c r="I253" s="75"/>
      <c r="J253" s="72"/>
      <c r="K253" s="75"/>
      <c r="L253" s="72"/>
      <c r="M253" s="75"/>
      <c r="N253" s="72"/>
      <c r="O253" s="75"/>
      <c r="P253" s="72"/>
      <c r="Q253" s="75"/>
      <c r="R253" s="72"/>
      <c r="S253" s="75"/>
      <c r="T253" s="72"/>
      <c r="U253" s="75"/>
      <c r="V253" s="72"/>
      <c r="W253" s="75"/>
      <c r="X253" s="72"/>
      <c r="Y253" s="75"/>
      <c r="Z253" s="72"/>
      <c r="AA253" s="75"/>
      <c r="AB253" s="72"/>
      <c r="AC253" s="75"/>
      <c r="AD253" s="72"/>
      <c r="AE253" s="75"/>
      <c r="AF253" s="72"/>
      <c r="AG253" s="75"/>
      <c r="AH253" s="72"/>
      <c r="AI253" s="75"/>
      <c r="AJ253" s="72"/>
      <c r="AK253" s="75"/>
      <c r="AL253" s="72"/>
      <c r="AM253" s="75"/>
      <c r="AN253" s="72"/>
      <c r="AO253" s="75"/>
      <c r="AP253" s="72"/>
      <c r="AQ253" s="75"/>
      <c r="AR253" s="72"/>
      <c r="AS253" s="75"/>
      <c r="AT253" s="72"/>
      <c r="AU253" s="75"/>
      <c r="AV253" s="72"/>
      <c r="AW253" s="75"/>
      <c r="AX253" s="72"/>
      <c r="AY253" s="75"/>
      <c r="AZ253" s="72"/>
      <c r="BA253" s="75"/>
      <c r="BB253" s="72"/>
      <c r="BC253" s="75"/>
      <c r="BD253" s="72"/>
      <c r="BE253" s="75"/>
      <c r="BF253" s="72"/>
      <c r="BG253" s="75"/>
      <c r="BH253" s="72"/>
      <c r="BI253" s="75"/>
      <c r="BJ253" s="72"/>
      <c r="BK253" s="75"/>
      <c r="BL253" s="72"/>
      <c r="BM253" s="75"/>
      <c r="BN253" s="72"/>
      <c r="BO253" s="75"/>
      <c r="BP253" s="72"/>
      <c r="BQ253" s="75"/>
      <c r="BR253" s="72"/>
      <c r="BS253" s="75"/>
      <c r="BT253" s="72"/>
      <c r="BU253" s="75"/>
      <c r="BV253" s="72"/>
      <c r="BW253" s="75"/>
      <c r="BX253" s="72"/>
      <c r="BY253" s="75"/>
      <c r="BZ253" s="72"/>
      <c r="CA253" s="75"/>
      <c r="CB253" s="72"/>
      <c r="CC253" s="75"/>
      <c r="CD253" s="72"/>
      <c r="CE253" s="75"/>
      <c r="CF253" s="72"/>
      <c r="CG253" s="75"/>
      <c r="CH253" s="72"/>
      <c r="CI253" s="75"/>
      <c r="CJ253" s="72"/>
      <c r="CK253" s="75"/>
      <c r="CL253" s="72"/>
      <c r="CM253" s="81">
        <f>CM252/CM232*100</f>
        <v>2.5896414342629481</v>
      </c>
      <c r="CN253" s="72"/>
      <c r="CO253" s="81">
        <f>CO252/CO232*100</f>
        <v>3.297442799461642</v>
      </c>
      <c r="CP253" s="72"/>
      <c r="CQ253" s="81">
        <f>CQ252/CQ232*100</f>
        <v>1.5894955079474777</v>
      </c>
      <c r="CR253" s="72"/>
      <c r="CS253" s="81">
        <f>CS252/CS232*100</f>
        <v>3.0346820809248554</v>
      </c>
      <c r="CT253" s="72"/>
      <c r="CU253" s="81">
        <f>CU252/CU232*100</f>
        <v>-2.8756290438533427</v>
      </c>
      <c r="CV253" s="72"/>
      <c r="CW253" s="81">
        <f>CW252/CW232*100</f>
        <v>2.3706896551724137</v>
      </c>
      <c r="CX253" s="72"/>
      <c r="CY253" s="81">
        <f>CY252/CY232*100</f>
        <v>1.971830985915493</v>
      </c>
      <c r="CZ253" s="72"/>
      <c r="DA253" s="81">
        <f>DA252/DA232*100</f>
        <v>1.8597997138769671</v>
      </c>
      <c r="DB253" s="72"/>
      <c r="DC253" s="81">
        <f>DC252/DC232*100</f>
        <v>0.64194008559201143</v>
      </c>
      <c r="DD253" s="72"/>
      <c r="DE253" s="81">
        <f>DE252/DE232*100</f>
        <v>1.5725518227305217</v>
      </c>
      <c r="DF253" s="72"/>
      <c r="DG253" s="81">
        <f>DG252/DG232*100</f>
        <v>1.713859910581222</v>
      </c>
      <c r="DH253" s="72"/>
      <c r="DI253" s="81">
        <f>DI252/DI232*100</f>
        <v>4.2181818181818178</v>
      </c>
      <c r="DJ253" s="72"/>
      <c r="DK253" s="81">
        <f>DK252/DK232*100</f>
        <v>0.44052863436123352</v>
      </c>
      <c r="DL253" s="72"/>
      <c r="DM253" s="81">
        <f>DM252/DM232*100</f>
        <v>3.427719821162444</v>
      </c>
      <c r="DN253" s="72" t="str">
        <f t="shared" si="1505"/>
        <v>NM</v>
      </c>
      <c r="DO253" s="81">
        <f>DO252/DO232*100</f>
        <v>2.5203854707190514</v>
      </c>
      <c r="DP253" s="72">
        <f t="shared" si="1505"/>
        <v>47.059013117607265</v>
      </c>
      <c r="DQ253" s="81">
        <f>DQ252/DQ232*100</f>
        <v>3.3742331288343559</v>
      </c>
      <c r="DR253" s="72">
        <f t="shared" si="1505"/>
        <v>-20.007404273323445</v>
      </c>
      <c r="DS253" s="81">
        <f>DS252/DS232*100</f>
        <v>2.3492560689115116</v>
      </c>
      <c r="DT253" s="72" t="str">
        <f t="shared" si="1505"/>
        <v>NM</v>
      </c>
      <c r="DU253" s="81">
        <f>DU252/DU232*100</f>
        <v>3.6405886909372582</v>
      </c>
      <c r="DV253" s="72">
        <f t="shared" si="1505"/>
        <v>6.2102178964739352</v>
      </c>
      <c r="DW253" s="81">
        <f>DW252/DW232*100</f>
        <v>3.400309119010819</v>
      </c>
      <c r="DX253" s="72">
        <f t="shared" si="1505"/>
        <v>34.912264751341013</v>
      </c>
      <c r="DY253" s="81">
        <f>DY252/DY232*100</f>
        <v>2.1077283372365341</v>
      </c>
      <c r="DZ253" s="72">
        <f t="shared" si="1505"/>
        <v>-37.534596550989995</v>
      </c>
      <c r="EA253" s="81">
        <f>EA252/EA232*100</f>
        <v>1.9696969696969695</v>
      </c>
      <c r="EB253" s="72">
        <f>IF(ISERROR(EA253/DS253),"NA",IF(OR(EA253/DS253&gt;2,EA253/DS253&lt;0.5),"NM",EA253/DS253*100-100))</f>
        <v>-16.156565656565675</v>
      </c>
      <c r="EC253" s="81">
        <f>EC252/EC232*100</f>
        <v>6.5249266862170083</v>
      </c>
      <c r="ED253" s="72">
        <f>IF(ISERROR(EC253/DU253),"NA",IF(OR(EC253/DU253&gt;2,EC253/DU253&lt;0.5),"NM",EC253/DU253*100-100))</f>
        <v>79.227241529918246</v>
      </c>
      <c r="EE253" s="81">
        <f>EE252/EE232*100</f>
        <v>4.6511627906976747</v>
      </c>
      <c r="EF253" s="72">
        <f>IF(ISERROR(EE253/DW253),"NA",IF(OR(EE253/DW253&gt;2,EE253/DW253&lt;0.5),"NM",EE253/DW253*100-100))</f>
        <v>36.786469344608889</v>
      </c>
      <c r="EG253" s="81">
        <f>EG252/EG232*100</f>
        <v>3.2428355957767727</v>
      </c>
      <c r="EH253" s="72">
        <f>IF(ISERROR(EG253/DY253),"NA",IF(OR(EG253/DY253&gt;2,EG253/DY253&lt;0.5),"NM",EG253/DY253*100-100))</f>
        <v>53.854533266297977</v>
      </c>
      <c r="EI253" s="81">
        <f>EI252/EI232*100</f>
        <v>2.4584237165582068</v>
      </c>
      <c r="EJ253" s="72">
        <f>IF(ISERROR(EI253/EA253),"NA",IF(OR(EI253/EA253&gt;2,EI253/EA253&lt;0.5),"NM",EI253/EA253*100-100))</f>
        <v>24.812280994493591</v>
      </c>
      <c r="EK253" s="81">
        <f>EK252/EK232*100</f>
        <v>5.9471365638766516</v>
      </c>
      <c r="EL253" s="72">
        <f>IF(ISERROR(EK253/EC253),"NA",IF(OR(EK253/EC253&gt;2,EK253/EC253&lt;0.5),"NM",EK253/EC253*100-100))</f>
        <v>-8.8551205266544599</v>
      </c>
      <c r="EM253" s="81">
        <f>EM252/EM232*100</f>
        <v>4.475421863536317</v>
      </c>
      <c r="EN253" s="72">
        <f>IF(ISERROR(EM253/EE253),"NA",IF(OR(EM253/EE253&gt;2,EM253/EE253&lt;0.5),"NM",EM253/EE253*100-100))</f>
        <v>-3.7784299339691785</v>
      </c>
      <c r="EO253" s="81">
        <f>EO252/EO232*100</f>
        <v>1.6140865737344092</v>
      </c>
      <c r="EP253" s="72" t="str">
        <f>IF(ISERROR(EO253/EG253),"NA",IF(OR(EO253/EG253&gt;2,EO253/EG253&lt;0.5),"NM",EO253/EG253*100-100))</f>
        <v>NM</v>
      </c>
      <c r="EQ253" s="81">
        <f t="shared" ref="EQ253" si="1515">EQ252/EQ232*100</f>
        <v>3.1365235502640485</v>
      </c>
      <c r="ER253" s="72">
        <f t="shared" si="1506"/>
        <v>27.582707941622914</v>
      </c>
      <c r="ES253" s="81">
        <f t="shared" ref="ES253" si="1516">ES252/ES232*100</f>
        <v>3.5690109281432578</v>
      </c>
      <c r="ET253" s="72">
        <f t="shared" si="1507"/>
        <v>-39.987742171220773</v>
      </c>
      <c r="EU253" s="81">
        <f t="shared" ref="EU253" si="1517">EU252/EU232*100</f>
        <v>4.0014911850383053</v>
      </c>
      <c r="EV253" s="72">
        <f t="shared" si="1508"/>
        <v>-10.589631390045739</v>
      </c>
      <c r="EW253" s="81">
        <f t="shared" ref="EW253" si="1518">EW252/EW232*100</f>
        <v>3.3174643914539295</v>
      </c>
      <c r="EX253" s="72" t="str">
        <f t="shared" si="1509"/>
        <v>NM</v>
      </c>
      <c r="EY253" s="72"/>
      <c r="EZ253" s="306"/>
      <c r="FA253" s="72"/>
      <c r="FB253" s="75"/>
      <c r="FC253" s="72"/>
      <c r="FD253" s="75"/>
      <c r="FE253" s="72"/>
      <c r="FF253" s="75"/>
      <c r="FG253" s="72"/>
      <c r="FH253" s="75"/>
      <c r="FI253" s="72"/>
      <c r="FJ253" s="75"/>
      <c r="FK253" s="72"/>
      <c r="FL253" s="75"/>
      <c r="FM253" s="72"/>
      <c r="FN253" s="75"/>
      <c r="FO253" s="72"/>
      <c r="FP253" s="75"/>
      <c r="FQ253" s="72"/>
      <c r="FR253" s="75"/>
      <c r="FS253" s="72"/>
      <c r="FT253" s="75"/>
      <c r="FU253" s="72"/>
      <c r="FV253" s="75"/>
      <c r="FW253" s="72"/>
      <c r="FX253" s="75"/>
      <c r="FY253" s="72"/>
      <c r="FZ253" s="75"/>
      <c r="GA253" s="72"/>
      <c r="GB253" s="81">
        <f>GB252/GB232*100</f>
        <v>2.627511591962906</v>
      </c>
      <c r="GC253" s="72"/>
      <c r="GD253" s="81">
        <f>GD252/GD232*100</f>
        <v>0.83913586859489375</v>
      </c>
      <c r="GE253" s="72"/>
      <c r="GF253" s="81">
        <f>GF252/GF232*100</f>
        <v>2.029720913374411</v>
      </c>
      <c r="GG253" s="72"/>
      <c r="GH253" s="81">
        <f>GH252/GH232*100</f>
        <v>2.4267313795034533</v>
      </c>
      <c r="GI253" s="72">
        <f t="shared" si="1510"/>
        <v>19.559854929464791</v>
      </c>
      <c r="GJ253" s="81">
        <f>GJ252/GJ232*100</f>
        <v>2.877697841726619</v>
      </c>
      <c r="GK253" s="72">
        <f t="shared" si="1510"/>
        <v>18.583287216380768</v>
      </c>
      <c r="GL253" s="81">
        <f>GL252/GL232*100</f>
        <v>4.1175369642522925</v>
      </c>
      <c r="GM253" s="72">
        <f t="shared" si="1510"/>
        <v>43.084409507767162</v>
      </c>
      <c r="GN253" s="81">
        <f>GN252/GN232*100</f>
        <v>3.6190824346554558</v>
      </c>
      <c r="GO253" s="72">
        <f t="shared" si="1510"/>
        <v>-12.105647961981362</v>
      </c>
      <c r="GP253" s="81">
        <f>GP252/GP232*100</f>
        <v>3.507321721555527</v>
      </c>
      <c r="GQ253" s="72">
        <f t="shared" si="1510"/>
        <v>-3.08809525944298</v>
      </c>
      <c r="GR253" s="81">
        <f>GR252/GR232*100</f>
        <v>3.4972209112894648</v>
      </c>
      <c r="GS253" s="72">
        <f t="shared" si="1510"/>
        <v>-0.28799212242162753</v>
      </c>
      <c r="GT253" s="81">
        <f>GT252/GT232*100</f>
        <v>3.5300120304239924</v>
      </c>
      <c r="GU253" s="72">
        <f t="shared" si="1510"/>
        <v>0.93763362299115727</v>
      </c>
      <c r="GV253" s="81">
        <f>GV252/GV232*100</f>
        <v>3.5193037508249403</v>
      </c>
      <c r="GW253" s="72">
        <f>IF(ISERROR(GV253/GT253),"NA",IF(OR(GV253/GT253&gt;2,GV253/GT253&lt;0.5),"NM",GV253/GT253*100-100))</f>
        <v>-0.30334966302552857</v>
      </c>
      <c r="GX253" s="81">
        <f>GX252/GX232*100</f>
        <v>3.5082884495365239</v>
      </c>
      <c r="GY253" s="72">
        <f>IF(ISERROR(GX253/GV253),"NA",IF(OR(GX253/GV253&gt;2,GX253/GV253&lt;0.5),"NM",GX253/GV253*100-100))</f>
        <v>-0.31299660581541389</v>
      </c>
      <c r="GZ253" s="72"/>
      <c r="HA253" s="72"/>
      <c r="HB253" s="72"/>
      <c r="HC253"/>
      <c r="HD253"/>
      <c r="HE253"/>
      <c r="HF253"/>
      <c r="HG253"/>
      <c r="HH253"/>
      <c r="HI253" s="2"/>
    </row>
    <row r="254" spans="1:217" s="3" customFormat="1" ht="12.75" customHeight="1" x14ac:dyDescent="0.2">
      <c r="B254" s="10"/>
      <c r="C254" s="74"/>
      <c r="D254" s="72"/>
      <c r="E254" s="74"/>
      <c r="F254" s="72"/>
      <c r="G254" s="74"/>
      <c r="H254" s="72"/>
      <c r="I254" s="74"/>
      <c r="J254" s="72"/>
      <c r="K254" s="74"/>
      <c r="L254" s="72"/>
      <c r="M254" s="74"/>
      <c r="N254" s="72"/>
      <c r="O254" s="74"/>
      <c r="P254" s="72"/>
      <c r="Q254" s="74"/>
      <c r="R254" s="72"/>
      <c r="S254" s="74"/>
      <c r="T254" s="72"/>
      <c r="U254" s="74"/>
      <c r="V254" s="72"/>
      <c r="W254" s="74"/>
      <c r="X254" s="72"/>
      <c r="Y254" s="74"/>
      <c r="Z254" s="72"/>
      <c r="AA254" s="74"/>
      <c r="AB254" s="72"/>
      <c r="AC254" s="74"/>
      <c r="AD254" s="72"/>
      <c r="AE254" s="74"/>
      <c r="AF254" s="72"/>
      <c r="AG254" s="74"/>
      <c r="AH254" s="72"/>
      <c r="AI254" s="74"/>
      <c r="AJ254" s="72"/>
      <c r="AK254" s="74"/>
      <c r="AL254" s="72"/>
      <c r="AM254" s="74"/>
      <c r="AN254" s="72"/>
      <c r="AO254" s="74"/>
      <c r="AP254" s="72"/>
      <c r="AQ254" s="74"/>
      <c r="AR254" s="72"/>
      <c r="AS254" s="74"/>
      <c r="AT254" s="72"/>
      <c r="AU254" s="74"/>
      <c r="AV254" s="72"/>
      <c r="AW254" s="74"/>
      <c r="AX254" s="72"/>
      <c r="AY254" s="74"/>
      <c r="AZ254" s="72"/>
      <c r="BA254" s="74"/>
      <c r="BB254" s="72"/>
      <c r="BC254" s="74"/>
      <c r="BD254" s="72"/>
      <c r="BE254" s="74"/>
      <c r="BF254" s="72"/>
      <c r="BG254" s="74"/>
      <c r="BH254" s="72"/>
      <c r="BI254" s="74"/>
      <c r="BJ254" s="72"/>
      <c r="BK254" s="74"/>
      <c r="BL254" s="72"/>
      <c r="BM254" s="74"/>
      <c r="BN254" s="72"/>
      <c r="BO254" s="74"/>
      <c r="BP254" s="72"/>
      <c r="BQ254" s="74"/>
      <c r="BR254" s="72"/>
      <c r="BS254" s="74"/>
      <c r="BT254" s="72"/>
      <c r="BU254" s="74"/>
      <c r="BV254" s="72"/>
      <c r="BW254" s="74"/>
      <c r="BX254" s="72"/>
      <c r="BY254" s="74"/>
      <c r="BZ254" s="72"/>
      <c r="CA254" s="74"/>
      <c r="CB254" s="72"/>
      <c r="CC254" s="74"/>
      <c r="CD254" s="72"/>
      <c r="CE254" s="74"/>
      <c r="CF254" s="72"/>
      <c r="CG254" s="74"/>
      <c r="CH254" s="72"/>
      <c r="CI254" s="74"/>
      <c r="CJ254" s="72"/>
      <c r="CK254" s="74"/>
      <c r="CL254" s="72"/>
      <c r="CM254" s="74"/>
      <c r="CN254" s="72"/>
      <c r="CO254" s="74"/>
      <c r="CP254" s="72"/>
      <c r="CQ254" s="74"/>
      <c r="CR254" s="72"/>
      <c r="CS254" s="74"/>
      <c r="CT254" s="72"/>
      <c r="CU254" s="74"/>
      <c r="CV254" s="72"/>
      <c r="CW254" s="74"/>
      <c r="CX254" s="72"/>
      <c r="CY254" s="74"/>
      <c r="CZ254" s="72"/>
      <c r="DA254" s="74"/>
      <c r="DB254" s="72"/>
      <c r="DC254" s="74"/>
      <c r="DD254" s="72"/>
      <c r="DE254" s="74"/>
      <c r="DF254" s="72"/>
      <c r="DG254" s="74"/>
      <c r="DH254" s="72"/>
      <c r="DI254" s="74"/>
      <c r="DJ254" s="72"/>
      <c r="DK254" s="74"/>
      <c r="DL254" s="72"/>
      <c r="DM254" s="74"/>
      <c r="DN254" s="72"/>
      <c r="DO254" s="74"/>
      <c r="DP254" s="72"/>
      <c r="DQ254" s="74"/>
      <c r="DR254" s="72"/>
      <c r="DS254" s="74"/>
      <c r="DT254" s="72"/>
      <c r="DU254" s="74"/>
      <c r="DV254" s="72"/>
      <c r="DW254" s="75"/>
      <c r="DX254" s="72"/>
      <c r="DY254" s="75"/>
      <c r="DZ254" s="72"/>
      <c r="EA254" s="75"/>
      <c r="EB254" s="72"/>
      <c r="EC254" s="75"/>
      <c r="ED254" s="72"/>
      <c r="EE254" s="75"/>
      <c r="EF254" s="72"/>
      <c r="EG254" s="75"/>
      <c r="EH254" s="72"/>
      <c r="EI254" s="75"/>
      <c r="EJ254" s="72"/>
      <c r="EK254" s="75"/>
      <c r="EL254" s="72"/>
      <c r="EM254" s="75"/>
      <c r="EN254" s="72"/>
      <c r="EO254" s="75"/>
      <c r="EP254" s="72"/>
      <c r="EQ254" s="75"/>
      <c r="ER254" s="72"/>
      <c r="ES254" s="75"/>
      <c r="ET254" s="72"/>
      <c r="EU254" s="75"/>
      <c r="EV254" s="72"/>
      <c r="EW254" s="75"/>
      <c r="EX254" s="72"/>
      <c r="EY254" s="72"/>
      <c r="EZ254" s="307"/>
      <c r="FA254" s="72"/>
      <c r="FB254" s="74"/>
      <c r="FC254" s="72"/>
      <c r="FD254" s="75"/>
      <c r="FE254" s="72"/>
      <c r="FF254" s="75"/>
      <c r="FG254" s="72"/>
      <c r="FH254" s="75"/>
      <c r="FI254" s="72"/>
      <c r="FJ254" s="75"/>
      <c r="FK254" s="72"/>
      <c r="FL254" s="75"/>
      <c r="FM254" s="72"/>
      <c r="FN254" s="75"/>
      <c r="FO254" s="72"/>
      <c r="FP254" s="74"/>
      <c r="FQ254" s="72"/>
      <c r="FR254" s="75"/>
      <c r="FS254" s="72"/>
      <c r="FT254" s="75"/>
      <c r="FU254" s="72"/>
      <c r="FV254" s="75"/>
      <c r="FW254" s="72"/>
      <c r="FX254" s="75"/>
      <c r="FY254" s="72"/>
      <c r="FZ254" s="81"/>
      <c r="GA254" s="72"/>
      <c r="GB254" s="81"/>
      <c r="GC254" s="72"/>
      <c r="GD254" s="81"/>
      <c r="GE254" s="72"/>
      <c r="GF254" s="81"/>
      <c r="GG254" s="72"/>
      <c r="GH254" s="81"/>
      <c r="GI254" s="72"/>
      <c r="GJ254" s="81"/>
      <c r="GK254" s="72"/>
      <c r="GL254" s="81"/>
      <c r="GM254" s="72"/>
      <c r="GN254" s="81"/>
      <c r="GO254" s="72"/>
      <c r="GP254" s="81"/>
      <c r="GQ254" s="72"/>
      <c r="GR254" s="75"/>
      <c r="GS254" s="72"/>
      <c r="GT254" s="75"/>
      <c r="GU254" s="72"/>
      <c r="GV254" s="75"/>
      <c r="GW254" s="72"/>
      <c r="GX254" s="75"/>
      <c r="GY254" s="72"/>
      <c r="GZ254" s="72"/>
      <c r="HA254" s="72"/>
      <c r="HB254" s="72"/>
      <c r="HC254"/>
      <c r="HD254"/>
      <c r="HE254"/>
      <c r="HF254"/>
      <c r="HG254"/>
      <c r="HH254"/>
      <c r="HI254" s="2"/>
    </row>
    <row r="255" spans="1:217" s="3" customFormat="1" ht="12.75" customHeight="1" x14ac:dyDescent="0.2">
      <c r="B255" s="10" t="s">
        <v>472</v>
      </c>
      <c r="C255" s="145"/>
      <c r="D255" s="11"/>
      <c r="E255" s="145"/>
      <c r="F255" s="11"/>
      <c r="G255" s="145"/>
      <c r="H255" s="11"/>
      <c r="I255" s="145"/>
      <c r="J255" s="11"/>
      <c r="K255" s="145"/>
      <c r="L255" s="72"/>
      <c r="M255" s="145"/>
      <c r="N255" s="72"/>
      <c r="O255" s="145"/>
      <c r="P255" s="72"/>
      <c r="Q255" s="145"/>
      <c r="R255" s="72"/>
      <c r="S255" s="145"/>
      <c r="T255" s="72"/>
      <c r="U255" s="145"/>
      <c r="V255" s="72"/>
      <c r="W255" s="145"/>
      <c r="X255" s="72"/>
      <c r="Y255" s="145"/>
      <c r="Z255" s="72"/>
      <c r="AA255" s="145"/>
      <c r="AB255" s="72"/>
      <c r="AC255" s="145"/>
      <c r="AD255" s="72"/>
      <c r="AE255" s="145"/>
      <c r="AF255" s="72"/>
      <c r="AG255" s="145"/>
      <c r="AH255" s="72"/>
      <c r="AI255" s="145"/>
      <c r="AJ255" s="72"/>
      <c r="AK255" s="145"/>
      <c r="AL255" s="72"/>
      <c r="AM255" s="145"/>
      <c r="AN255" s="72"/>
      <c r="AO255" s="145"/>
      <c r="AP255" s="72"/>
      <c r="AQ255" s="145"/>
      <c r="AR255" s="72"/>
      <c r="AS255" s="145"/>
      <c r="AT255" s="72"/>
      <c r="AU255" s="145"/>
      <c r="AV255" s="72"/>
      <c r="AW255" s="145"/>
      <c r="AX255" s="72"/>
      <c r="AY255" s="145"/>
      <c r="AZ255" s="72"/>
      <c r="BA255" s="145"/>
      <c r="BB255" s="72"/>
      <c r="BC255" s="145"/>
      <c r="BD255" s="72"/>
      <c r="BE255" s="145"/>
      <c r="BF255" s="72"/>
      <c r="BG255" s="145"/>
      <c r="BH255" s="72"/>
      <c r="BI255" s="145"/>
      <c r="BJ255" s="72"/>
      <c r="BK255" s="145"/>
      <c r="BL255" s="72"/>
      <c r="BM255" s="145"/>
      <c r="BN255" s="72"/>
      <c r="BO255" s="145"/>
      <c r="BP255" s="72"/>
      <c r="BQ255" s="145"/>
      <c r="BR255" s="72"/>
      <c r="BS255" s="145"/>
      <c r="BT255" s="72"/>
      <c r="BU255" s="145"/>
      <c r="BV255" s="72"/>
      <c r="BW255" s="145"/>
      <c r="BX255" s="72"/>
      <c r="BY255" s="145"/>
      <c r="BZ255" s="72"/>
      <c r="CA255" s="145"/>
      <c r="CB255" s="72"/>
      <c r="CC255" s="145"/>
      <c r="CD255" s="72"/>
      <c r="CE255" s="145"/>
      <c r="CF255" s="72"/>
      <c r="CG255" s="145"/>
      <c r="CH255" s="72"/>
      <c r="CI255" s="145"/>
      <c r="CJ255" s="72"/>
      <c r="CK255" s="145"/>
      <c r="CL255" s="72"/>
      <c r="CM255" s="145"/>
      <c r="CN255" s="72"/>
      <c r="CO255" s="145"/>
      <c r="CP255" s="72"/>
      <c r="CQ255" s="145"/>
      <c r="CR255" s="72"/>
      <c r="CS255" s="145"/>
      <c r="CT255" s="72"/>
      <c r="CU255" s="145"/>
      <c r="CV255" s="72"/>
      <c r="CW255" s="145"/>
      <c r="CX255" s="72"/>
      <c r="CY255" s="145"/>
      <c r="CZ255" s="72"/>
      <c r="DA255" s="145"/>
      <c r="DB255" s="72"/>
      <c r="DC255" s="145"/>
      <c r="DD255" s="72"/>
      <c r="DE255" s="145"/>
      <c r="DF255" s="72"/>
      <c r="DG255" s="150">
        <v>0</v>
      </c>
      <c r="DH255" s="72"/>
      <c r="DI255" s="150">
        <v>0</v>
      </c>
      <c r="DJ255" s="72"/>
      <c r="DK255" s="150">
        <v>15</v>
      </c>
      <c r="DL255" s="72"/>
      <c r="DM255" s="150">
        <v>0</v>
      </c>
      <c r="DN255" s="72" t="str">
        <f t="shared" ref="DN255:DZ256" si="1519">IF(ISERROR(DM255/DE255),"NA",IF(OR(DM255/DE255&gt;2,DM255/DE255&lt;0.5),"NM",DM255/DE255*100-100))</f>
        <v>NA</v>
      </c>
      <c r="DO255" s="150">
        <v>0</v>
      </c>
      <c r="DP255" s="72" t="str">
        <f t="shared" si="1519"/>
        <v>NA</v>
      </c>
      <c r="DQ255" s="150">
        <v>0</v>
      </c>
      <c r="DR255" s="72" t="str">
        <f t="shared" si="1519"/>
        <v>NA</v>
      </c>
      <c r="DS255" s="150">
        <v>0</v>
      </c>
      <c r="DT255" s="72" t="str">
        <f t="shared" si="1519"/>
        <v>NM</v>
      </c>
      <c r="DU255" s="150">
        <v>0</v>
      </c>
      <c r="DV255" s="72" t="str">
        <f t="shared" si="1519"/>
        <v>NA</v>
      </c>
      <c r="DW255" s="150">
        <v>0</v>
      </c>
      <c r="DX255" s="72" t="str">
        <f t="shared" si="1519"/>
        <v>NA</v>
      </c>
      <c r="DY255" s="150">
        <f>-5-10</f>
        <v>-15</v>
      </c>
      <c r="DZ255" s="72" t="str">
        <f t="shared" si="1519"/>
        <v>NA</v>
      </c>
      <c r="EA255" s="150">
        <v>-10</v>
      </c>
      <c r="EB255" s="72" t="str">
        <f>IF(ISERROR(EA255/DS255),"NA",IF(OR(EA255/DS255&gt;2,EA255/DS255&lt;0.5),"NM",EA255/DS255*100-100))</f>
        <v>NA</v>
      </c>
      <c r="EC255" s="150">
        <v>41</v>
      </c>
      <c r="ED255" s="72" t="str">
        <f>IF(ISERROR(EC255/DU255),"NA",IF(OR(EC255/DU255&gt;2,EC255/DU255&lt;0.5),"NM",EC255/DU255*100-100))</f>
        <v>NA</v>
      </c>
      <c r="EE255" s="150">
        <v>10</v>
      </c>
      <c r="EF255" s="72" t="str">
        <f>IF(ISERROR(EE255/DW255),"NA",IF(OR(EE255/DW255&gt;2,EE255/DW255&lt;0.5),"NM",EE255/DW255*100-100))</f>
        <v>NA</v>
      </c>
      <c r="EG255" s="150"/>
      <c r="EH255" s="72" t="str">
        <f>IF(ISERROR(EG255/DY255),"NA",IF(OR(EG255/DY255&gt;2,EG255/DY255&lt;0.5),"NM",EG255/DY255*100-100))</f>
        <v>NM</v>
      </c>
      <c r="EI255" s="150">
        <v>12</v>
      </c>
      <c r="EJ255" s="72" t="str">
        <f>IF(ISERROR(EI255/EA255),"NA",IF(OR(EI255/EA255&gt;2,EI255/EA255&lt;0.5),"NM",EI255/EA255*100-100))</f>
        <v>NM</v>
      </c>
      <c r="EK255" s="150">
        <v>30</v>
      </c>
      <c r="EL255" s="72">
        <f>IF(ISERROR(EK255/EC255),"NA",IF(OR(EK255/EC255&gt;2,EK255/EC255&lt;0.5),"NM",EK255/EC255*100-100))</f>
        <v>-26.829268292682926</v>
      </c>
      <c r="EM255" s="150">
        <v>10</v>
      </c>
      <c r="EN255" s="72">
        <f>IF(ISERROR(EM255/EE255),"NA",IF(OR(EM255/EE255&gt;2,EM255/EE255&lt;0.5),"NM",EM255/EE255*100-100))</f>
        <v>0</v>
      </c>
      <c r="EO255" s="150">
        <f>10-10</f>
        <v>0</v>
      </c>
      <c r="EP255" s="72" t="str">
        <f>IF(ISERROR(EO255/EG255),"NA",IF(OR(EO255/EG255&gt;2,EO255/EG255&lt;0.5),"NM",EO255/EG255*100-100))</f>
        <v>NA</v>
      </c>
      <c r="EQ255" s="144"/>
      <c r="ER255" s="72" t="str">
        <f t="shared" ref="ER255:ER256" si="1520">IF(ISERROR(EQ255/EI255),"NA",IF(OR(EQ255/EI255&gt;2,EQ255/EI255&lt;0.5),"NM",EQ255/EI255*100-100))</f>
        <v>NM</v>
      </c>
      <c r="ES255" s="144"/>
      <c r="ET255" s="72" t="str">
        <f t="shared" ref="ET255:ET256" si="1521">IF(ISERROR(ES255/EK255),"NA",IF(OR(ES255/EK255&gt;2,ES255/EK255&lt;0.5),"NM",ES255/EK255*100-100))</f>
        <v>NM</v>
      </c>
      <c r="EU255" s="144"/>
      <c r="EV255" s="72" t="str">
        <f t="shared" ref="EV255:EV256" si="1522">IF(ISERROR(EU255/EM255),"NA",IF(OR(EU255/EM255&gt;2,EU255/EM255&lt;0.5),"NM",EU255/EM255*100-100))</f>
        <v>NM</v>
      </c>
      <c r="EW255" s="144"/>
      <c r="EX255" s="72" t="str">
        <f t="shared" ref="EX255:EX256" si="1523">IF(ISERROR(EW255/EO255),"NA",IF(OR(EW255/EO255&gt;2,EW255/EO255&lt;0.5),"NM",EW255/EO255*100-100))</f>
        <v>NA</v>
      </c>
      <c r="EY255" s="72"/>
      <c r="EZ255" s="296"/>
      <c r="FA255" s="72"/>
      <c r="FB255" s="145"/>
      <c r="FC255" s="11"/>
      <c r="FD255" s="145"/>
      <c r="FE255" s="72"/>
      <c r="FF255" s="145"/>
      <c r="FG255" s="72"/>
      <c r="FH255" s="145"/>
      <c r="FI255" s="72"/>
      <c r="FJ255" s="145"/>
      <c r="FK255" s="72"/>
      <c r="FL255" s="145"/>
      <c r="FM255" s="72"/>
      <c r="FN255" s="145"/>
      <c r="FO255" s="72"/>
      <c r="FP255" s="145"/>
      <c r="FQ255" s="72"/>
      <c r="FR255" s="144"/>
      <c r="FS255" s="72"/>
      <c r="FT255" s="144"/>
      <c r="FU255" s="72"/>
      <c r="FV255" s="144"/>
      <c r="FW255" s="72"/>
      <c r="FX255" s="144"/>
      <c r="FY255" s="72"/>
      <c r="FZ255" s="144"/>
      <c r="GA255" s="72"/>
      <c r="GB255" s="144"/>
      <c r="GC255" s="72"/>
      <c r="GD255" s="144"/>
      <c r="GE255" s="72"/>
      <c r="GF255" s="144">
        <f>DC255+DE255+DG255+DI255</f>
        <v>0</v>
      </c>
      <c r="GG255" s="72"/>
      <c r="GH255" s="144"/>
      <c r="GI255" s="72"/>
      <c r="GJ255" s="144"/>
      <c r="GK255" s="72"/>
      <c r="GL255" s="144"/>
      <c r="GM255" s="72"/>
      <c r="GN255" s="144"/>
      <c r="GO255" s="72"/>
      <c r="GP255" s="144"/>
      <c r="GQ255" s="72"/>
      <c r="GR255" s="144"/>
      <c r="GS255" s="72"/>
      <c r="GT255" s="144"/>
      <c r="GU255" s="72"/>
      <c r="GV255" s="144"/>
      <c r="GW255" s="72"/>
      <c r="GX255" s="144"/>
      <c r="GY255" s="72"/>
      <c r="GZ255" s="72"/>
      <c r="HA255" s="72"/>
      <c r="HB255" s="72"/>
      <c r="HC255"/>
      <c r="HD255"/>
      <c r="HE255"/>
      <c r="HF255"/>
      <c r="HG255"/>
      <c r="HH255"/>
      <c r="HI255" s="2"/>
    </row>
    <row r="256" spans="1:217" s="78" customFormat="1" ht="12.75" customHeight="1" x14ac:dyDescent="0.2">
      <c r="A256" s="3"/>
      <c r="B256" s="70" t="s">
        <v>424</v>
      </c>
      <c r="C256" s="91"/>
      <c r="D256" s="80"/>
      <c r="E256" s="91"/>
      <c r="F256" s="80"/>
      <c r="G256" s="91"/>
      <c r="H256" s="80"/>
      <c r="I256" s="91"/>
      <c r="J256" s="80"/>
      <c r="K256" s="91"/>
      <c r="L256" s="72"/>
      <c r="M256" s="91"/>
      <c r="N256" s="72"/>
      <c r="O256" s="91"/>
      <c r="P256" s="72"/>
      <c r="Q256" s="91"/>
      <c r="R256" s="72"/>
      <c r="S256" s="91"/>
      <c r="T256" s="72"/>
      <c r="U256" s="91"/>
      <c r="V256" s="72"/>
      <c r="W256" s="91"/>
      <c r="X256" s="72"/>
      <c r="Y256" s="91"/>
      <c r="Z256" s="72"/>
      <c r="AA256" s="91"/>
      <c r="AB256" s="72"/>
      <c r="AC256" s="91"/>
      <c r="AD256" s="72"/>
      <c r="AE256" s="91"/>
      <c r="AF256" s="72"/>
      <c r="AG256" s="91"/>
      <c r="AH256" s="72"/>
      <c r="AI256" s="91"/>
      <c r="AJ256" s="72"/>
      <c r="AK256" s="91"/>
      <c r="AL256" s="72"/>
      <c r="AM256" s="91"/>
      <c r="AN256" s="72"/>
      <c r="AO256" s="91"/>
      <c r="AP256" s="72"/>
      <c r="AQ256" s="91"/>
      <c r="AR256" s="72"/>
      <c r="AS256" s="91"/>
      <c r="AT256" s="72"/>
      <c r="AU256" s="91"/>
      <c r="AV256" s="72"/>
      <c r="AW256" s="91"/>
      <c r="AX256" s="72"/>
      <c r="AY256" s="91"/>
      <c r="AZ256" s="72"/>
      <c r="BA256" s="91"/>
      <c r="BB256" s="72"/>
      <c r="BC256" s="91"/>
      <c r="BD256" s="72"/>
      <c r="BE256" s="91"/>
      <c r="BF256" s="72"/>
      <c r="BG256" s="91"/>
      <c r="BH256" s="72"/>
      <c r="BI256" s="91"/>
      <c r="BJ256" s="72"/>
      <c r="BK256" s="91"/>
      <c r="BL256" s="72"/>
      <c r="BM256" s="91"/>
      <c r="BN256" s="72"/>
      <c r="BO256" s="91"/>
      <c r="BP256" s="72"/>
      <c r="BQ256" s="91"/>
      <c r="BR256" s="72"/>
      <c r="BS256" s="91"/>
      <c r="BT256" s="72"/>
      <c r="BU256" s="91"/>
      <c r="BV256" s="72"/>
      <c r="BW256" s="91"/>
      <c r="BX256" s="72"/>
      <c r="BY256" s="91"/>
      <c r="BZ256" s="72"/>
      <c r="CA256" s="91"/>
      <c r="CB256" s="72"/>
      <c r="CC256" s="91"/>
      <c r="CD256" s="72"/>
      <c r="CE256" s="91"/>
      <c r="CF256" s="72"/>
      <c r="CG256" s="91"/>
      <c r="CH256" s="72"/>
      <c r="CI256" s="91"/>
      <c r="CJ256" s="72"/>
      <c r="CK256" s="91"/>
      <c r="CL256" s="72"/>
      <c r="CM256" s="91"/>
      <c r="CN256" s="72"/>
      <c r="CO256" s="91"/>
      <c r="CP256" s="72"/>
      <c r="CQ256" s="91"/>
      <c r="CR256" s="72"/>
      <c r="CS256" s="91"/>
      <c r="CT256" s="72"/>
      <c r="CU256" s="91"/>
      <c r="CV256" s="72"/>
      <c r="CW256" s="91"/>
      <c r="CX256" s="72"/>
      <c r="CY256" s="91"/>
      <c r="CZ256" s="72"/>
      <c r="DA256" s="91"/>
      <c r="DB256" s="72"/>
      <c r="DC256" s="91"/>
      <c r="DD256" s="72"/>
      <c r="DE256" s="91"/>
      <c r="DF256" s="72"/>
      <c r="DG256" s="91">
        <f>DG252-DG255</f>
        <v>23</v>
      </c>
      <c r="DH256" s="72"/>
      <c r="DI256" s="91">
        <f>DI252-DI255</f>
        <v>58</v>
      </c>
      <c r="DJ256" s="72"/>
      <c r="DK256" s="91">
        <f>DK252-DK255</f>
        <v>-9</v>
      </c>
      <c r="DL256" s="72"/>
      <c r="DM256" s="91">
        <f>DM252-DM255</f>
        <v>46</v>
      </c>
      <c r="DN256" s="72" t="str">
        <f t="shared" si="1519"/>
        <v>NA</v>
      </c>
      <c r="DO256" s="91">
        <f>DO252-DO255</f>
        <v>34</v>
      </c>
      <c r="DP256" s="72">
        <f t="shared" si="1519"/>
        <v>47.826086956521721</v>
      </c>
      <c r="DQ256" s="91">
        <f>DQ252-DQ255</f>
        <v>44</v>
      </c>
      <c r="DR256" s="72">
        <f t="shared" si="1519"/>
        <v>-24.137931034482762</v>
      </c>
      <c r="DS256" s="91">
        <f>DS252-DS255</f>
        <v>30</v>
      </c>
      <c r="DT256" s="72" t="str">
        <f t="shared" si="1519"/>
        <v>NM</v>
      </c>
      <c r="DU256" s="91">
        <f>DU252-DU255</f>
        <v>47</v>
      </c>
      <c r="DV256" s="72">
        <f t="shared" si="1519"/>
        <v>2.1739130434782652</v>
      </c>
      <c r="DW256" s="91">
        <f>DW252-DW255</f>
        <v>44</v>
      </c>
      <c r="DX256" s="72">
        <f t="shared" si="1519"/>
        <v>29.411764705882348</v>
      </c>
      <c r="DY256" s="91">
        <f>DY252-DY255</f>
        <v>42</v>
      </c>
      <c r="DZ256" s="72">
        <f t="shared" si="1519"/>
        <v>-4.5454545454545467</v>
      </c>
      <c r="EA256" s="91">
        <f>EA252-EA255</f>
        <v>36</v>
      </c>
      <c r="EB256" s="72">
        <f>IF(ISERROR(EA256/DS256),"NA",IF(OR(EA256/DS256&gt;2,EA256/DS256&lt;0.5),"NM",EA256/DS256*100-100))</f>
        <v>20</v>
      </c>
      <c r="EC256" s="91">
        <f>EC252-EC255</f>
        <v>48</v>
      </c>
      <c r="ED256" s="72">
        <f>IF(ISERROR(EC256/DU256),"NA",IF(OR(EC256/DU256&gt;2,EC256/DU256&lt;0.5),"NM",EC256/DU256*100-100))</f>
        <v>2.1276595744680833</v>
      </c>
      <c r="EE256" s="91">
        <f>EE252-EE255</f>
        <v>52</v>
      </c>
      <c r="EF256" s="72">
        <f>IF(ISERROR(EE256/DW256),"NA",IF(OR(EE256/DW256&gt;2,EE256/DW256&lt;0.5),"NM",EE256/DW256*100-100))</f>
        <v>18.181818181818187</v>
      </c>
      <c r="EG256" s="91">
        <f>EG252-EG255</f>
        <v>43</v>
      </c>
      <c r="EH256" s="72">
        <f>IF(ISERROR(EG256/DY256),"NA",IF(OR(EG256/DY256&gt;2,EG256/DY256&lt;0.5),"NM",EG256/DY256*100-100))</f>
        <v>2.3809523809523796</v>
      </c>
      <c r="EI256" s="91">
        <f>EI252-EI255</f>
        <v>22</v>
      </c>
      <c r="EJ256" s="72">
        <f>IF(ISERROR(EI256/EA256),"NA",IF(OR(EI256/EA256&gt;2,EI256/EA256&lt;0.5),"NM",EI256/EA256*100-100))</f>
        <v>-38.888888888888886</v>
      </c>
      <c r="EK256" s="91">
        <f>EK252-EK255</f>
        <v>51</v>
      </c>
      <c r="EL256" s="72">
        <f>IF(ISERROR(EK256/EC256),"NA",IF(OR(EK256/EC256&gt;2,EK256/EC256&lt;0.5),"NM",EK256/EC256*100-100))</f>
        <v>6.25</v>
      </c>
      <c r="EM256" s="91">
        <f>EM252-EM255</f>
        <v>51</v>
      </c>
      <c r="EN256" s="72">
        <f>IF(ISERROR(EM256/EE256),"NA",IF(OR(EM256/EE256&gt;2,EM256/EE256&lt;0.5),"NM",EM256/EE256*100-100))</f>
        <v>-1.923076923076934</v>
      </c>
      <c r="EO256" s="91">
        <f>EO252-EO255</f>
        <v>22</v>
      </c>
      <c r="EP256" s="72">
        <f>IF(ISERROR(EO256/EG256),"NA",IF(OR(EO256/EG256&gt;2,EO256/EG256&lt;0.5),"NM",EO256/EG256*100-100))</f>
        <v>-48.837209302325576</v>
      </c>
      <c r="EQ256" s="91"/>
      <c r="ER256" s="72" t="str">
        <f t="shared" si="1520"/>
        <v>NM</v>
      </c>
      <c r="ES256" s="91"/>
      <c r="ET256" s="72" t="str">
        <f t="shared" si="1521"/>
        <v>NM</v>
      </c>
      <c r="EU256" s="91"/>
      <c r="EV256" s="72" t="str">
        <f t="shared" si="1522"/>
        <v>NM</v>
      </c>
      <c r="EW256" s="91"/>
      <c r="EX256" s="72" t="str">
        <f t="shared" si="1523"/>
        <v>NM</v>
      </c>
      <c r="EY256" s="72"/>
      <c r="EZ256" s="314"/>
      <c r="FA256" s="72"/>
      <c r="FB256" s="91"/>
      <c r="FC256" s="80"/>
      <c r="FD256" s="91"/>
      <c r="FE256" s="72"/>
      <c r="FF256" s="91"/>
      <c r="FG256" s="72"/>
      <c r="FH256" s="91"/>
      <c r="FI256" s="72"/>
      <c r="FJ256" s="91"/>
      <c r="FK256" s="72"/>
      <c r="FL256" s="91"/>
      <c r="FM256" s="72"/>
      <c r="FN256" s="75"/>
      <c r="FO256" s="72"/>
      <c r="FP256" s="91"/>
      <c r="FQ256" s="72"/>
      <c r="FR256" s="91"/>
      <c r="FS256" s="72"/>
      <c r="FT256" s="91"/>
      <c r="FU256" s="72"/>
      <c r="FV256" s="91"/>
      <c r="FW256" s="72"/>
      <c r="FX256" s="91"/>
      <c r="FY256" s="72"/>
      <c r="FZ256" s="91"/>
      <c r="GA256" s="72"/>
      <c r="GB256" s="91"/>
      <c r="GC256" s="72"/>
      <c r="GD256" s="91"/>
      <c r="GE256" s="72"/>
      <c r="GF256" s="91">
        <f>GF252-GF255</f>
        <v>112</v>
      </c>
      <c r="GG256" s="72"/>
      <c r="GH256" s="91">
        <f t="shared" ref="GH256" si="1524">DK256+DM256+DO256+DQ256</f>
        <v>115</v>
      </c>
      <c r="GI256" s="72">
        <f t="shared" ref="GI256" si="1525">IF(ISERROR(GH256/GF256),"NA",IF(OR(GH256/GF256&gt;2,GH256/GF256&lt;0.5),"NM",GH256/GF256*100-100))</f>
        <v>2.6785714285714164</v>
      </c>
      <c r="GJ256" s="91">
        <f t="shared" ref="GJ256" si="1526">DS256+DU256+DW256+DY256</f>
        <v>163</v>
      </c>
      <c r="GK256" s="72">
        <f t="shared" ref="GK256" si="1527">IF(ISERROR(GJ256/GH256),"NA",IF(OR(GJ256/GH256&gt;2,GJ256/GH256&lt;0.5),"NM",GJ256/GH256*100-100))</f>
        <v>41.739130434782624</v>
      </c>
      <c r="GL256" s="91">
        <f t="shared" ref="GL256" si="1528">EA256+EC256+EE256+EG256</f>
        <v>179</v>
      </c>
      <c r="GM256" s="72"/>
      <c r="GN256" s="91"/>
      <c r="GO256" s="72"/>
      <c r="GP256" s="91"/>
      <c r="GQ256" s="72"/>
      <c r="GR256" s="91"/>
      <c r="GS256" s="72"/>
      <c r="GT256" s="91"/>
      <c r="GU256" s="72"/>
      <c r="GV256" s="91"/>
      <c r="GW256" s="72"/>
      <c r="GX256" s="91"/>
      <c r="GY256" s="72"/>
      <c r="GZ256" s="72"/>
      <c r="HA256" s="72"/>
      <c r="HB256" s="72"/>
      <c r="HC256"/>
      <c r="HD256"/>
      <c r="HE256"/>
      <c r="HF256"/>
      <c r="HG256"/>
      <c r="HH256"/>
      <c r="HI256" s="2"/>
    </row>
    <row r="257" spans="1:217" s="78" customFormat="1" ht="12.75" customHeight="1" x14ac:dyDescent="0.2">
      <c r="B257" s="70"/>
      <c r="C257" s="91"/>
      <c r="D257" s="80"/>
      <c r="E257" s="91"/>
      <c r="F257" s="80"/>
      <c r="G257" s="91"/>
      <c r="H257" s="80"/>
      <c r="I257" s="91"/>
      <c r="J257" s="72"/>
      <c r="K257" s="91"/>
      <c r="L257" s="72"/>
      <c r="M257" s="91"/>
      <c r="N257" s="72"/>
      <c r="O257" s="91"/>
      <c r="P257" s="72"/>
      <c r="Q257" s="91"/>
      <c r="R257" s="72"/>
      <c r="S257" s="91"/>
      <c r="T257" s="72"/>
      <c r="U257" s="91"/>
      <c r="V257" s="72"/>
      <c r="W257" s="91"/>
      <c r="X257" s="72"/>
      <c r="Y257" s="91"/>
      <c r="Z257" s="72"/>
      <c r="AA257" s="91"/>
      <c r="AB257" s="72"/>
      <c r="AC257" s="91"/>
      <c r="AD257" s="72"/>
      <c r="AE257" s="91"/>
      <c r="AF257" s="72"/>
      <c r="AG257" s="91"/>
      <c r="AH257" s="72"/>
      <c r="AI257" s="91"/>
      <c r="AJ257" s="72"/>
      <c r="AK257" s="91"/>
      <c r="AL257" s="72"/>
      <c r="AM257" s="91"/>
      <c r="AN257" s="72"/>
      <c r="AO257" s="91"/>
      <c r="AP257" s="72"/>
      <c r="AQ257" s="91"/>
      <c r="AR257" s="72"/>
      <c r="AS257" s="91"/>
      <c r="AT257" s="72"/>
      <c r="AU257" s="91"/>
      <c r="AV257" s="72"/>
      <c r="AW257" s="91"/>
      <c r="AX257" s="72"/>
      <c r="AY257" s="91"/>
      <c r="AZ257" s="72"/>
      <c r="BA257" s="91"/>
      <c r="BB257" s="72"/>
      <c r="BC257" s="91"/>
      <c r="BD257" s="72"/>
      <c r="BE257" s="91"/>
      <c r="BF257" s="72"/>
      <c r="BG257" s="91"/>
      <c r="BH257" s="72"/>
      <c r="BI257" s="91"/>
      <c r="BJ257" s="72"/>
      <c r="BK257" s="91"/>
      <c r="BL257" s="72"/>
      <c r="BM257" s="91"/>
      <c r="BN257" s="72"/>
      <c r="BO257" s="91"/>
      <c r="BP257" s="72"/>
      <c r="BQ257" s="91"/>
      <c r="BR257" s="72"/>
      <c r="BS257" s="91"/>
      <c r="BT257" s="72"/>
      <c r="BU257" s="91"/>
      <c r="BV257" s="72"/>
      <c r="BW257" s="91"/>
      <c r="BX257" s="72"/>
      <c r="BY257" s="91"/>
      <c r="BZ257" s="72"/>
      <c r="CA257" s="91"/>
      <c r="CB257" s="72"/>
      <c r="CC257" s="91"/>
      <c r="CD257" s="72"/>
      <c r="CE257" s="91"/>
      <c r="CF257" s="72"/>
      <c r="CG257" s="91"/>
      <c r="CH257" s="72"/>
      <c r="CI257" s="91"/>
      <c r="CJ257" s="72"/>
      <c r="CK257" s="91"/>
      <c r="CL257" s="72"/>
      <c r="CM257" s="91"/>
      <c r="CN257" s="72"/>
      <c r="CO257" s="91"/>
      <c r="CP257" s="72"/>
      <c r="CQ257" s="91"/>
      <c r="CR257" s="72"/>
      <c r="CS257" s="91"/>
      <c r="CT257" s="72"/>
      <c r="CU257" s="91"/>
      <c r="CV257" s="72"/>
      <c r="CW257" s="91"/>
      <c r="CX257" s="72"/>
      <c r="CY257" s="91"/>
      <c r="CZ257" s="72"/>
      <c r="DA257" s="91"/>
      <c r="DB257" s="72"/>
      <c r="DC257" s="91"/>
      <c r="DD257" s="72"/>
      <c r="DE257" s="91"/>
      <c r="DF257" s="72"/>
      <c r="DG257" s="91"/>
      <c r="DH257" s="72"/>
      <c r="DI257" s="91"/>
      <c r="DJ257" s="72"/>
      <c r="DK257" s="91"/>
      <c r="DL257" s="72"/>
      <c r="DM257" s="91"/>
      <c r="DN257" s="72"/>
      <c r="DO257" s="91"/>
      <c r="DP257" s="72"/>
      <c r="DQ257" s="91"/>
      <c r="DR257" s="72"/>
      <c r="DS257" s="91"/>
      <c r="DT257" s="72"/>
      <c r="DU257" s="91"/>
      <c r="DV257" s="72"/>
      <c r="DW257" s="91"/>
      <c r="DX257" s="72"/>
      <c r="DY257" s="91"/>
      <c r="DZ257" s="72"/>
      <c r="EA257" s="91"/>
      <c r="EB257" s="72"/>
      <c r="EC257" s="91"/>
      <c r="ED257" s="72"/>
      <c r="EE257" s="91"/>
      <c r="EF257" s="72"/>
      <c r="EG257" s="91"/>
      <c r="EH257" s="72"/>
      <c r="EI257" s="91"/>
      <c r="EJ257" s="72"/>
      <c r="EK257" s="91"/>
      <c r="EL257" s="72"/>
      <c r="EM257" s="91"/>
      <c r="EN257" s="72"/>
      <c r="EO257" s="91"/>
      <c r="EP257" s="72"/>
      <c r="EQ257" s="91"/>
      <c r="ER257" s="72"/>
      <c r="ES257" s="91"/>
      <c r="ET257" s="72"/>
      <c r="EU257" s="91"/>
      <c r="EV257" s="72"/>
      <c r="EW257" s="91"/>
      <c r="EX257" s="72"/>
      <c r="EY257" s="72"/>
      <c r="EZ257" s="314"/>
      <c r="FA257" s="72"/>
      <c r="FB257" s="91"/>
      <c r="FC257" s="80"/>
      <c r="FD257" s="91"/>
      <c r="FE257" s="72"/>
      <c r="FF257" s="91"/>
      <c r="FG257" s="72"/>
      <c r="FH257" s="91"/>
      <c r="FI257" s="72"/>
      <c r="FJ257" s="91"/>
      <c r="FK257" s="72"/>
      <c r="FL257" s="91"/>
      <c r="FM257" s="72"/>
      <c r="FN257" s="91"/>
      <c r="FO257" s="72"/>
      <c r="FP257" s="91"/>
      <c r="FQ257" s="72"/>
      <c r="FR257" s="91"/>
      <c r="FS257" s="72"/>
      <c r="FT257" s="91"/>
      <c r="FU257" s="72"/>
      <c r="FV257" s="91"/>
      <c r="FW257" s="72"/>
      <c r="FX257" s="91"/>
      <c r="FY257" s="72"/>
      <c r="FZ257" s="91"/>
      <c r="GA257" s="72"/>
      <c r="GB257" s="91"/>
      <c r="GC257" s="72"/>
      <c r="GD257" s="91"/>
      <c r="GE257" s="72"/>
      <c r="GF257" s="91"/>
      <c r="GG257" s="72"/>
      <c r="GH257" s="91"/>
      <c r="GI257" s="72"/>
      <c r="GJ257" s="91"/>
      <c r="GK257" s="72"/>
      <c r="GL257" s="91"/>
      <c r="GM257" s="72"/>
      <c r="GN257" s="91"/>
      <c r="GO257" s="72"/>
      <c r="GP257" s="91"/>
      <c r="GQ257" s="72"/>
      <c r="GR257" s="91"/>
      <c r="GS257" s="72"/>
      <c r="GT257" s="91"/>
      <c r="GU257" s="72"/>
      <c r="GV257" s="91"/>
      <c r="GW257" s="72"/>
      <c r="GX257" s="91"/>
      <c r="GY257" s="72"/>
      <c r="GZ257" s="72"/>
      <c r="HA257" s="72"/>
      <c r="HB257" s="72"/>
      <c r="HC257"/>
      <c r="HD257"/>
      <c r="HE257"/>
      <c r="HF257"/>
      <c r="HG257"/>
      <c r="HH257"/>
      <c r="HI257" s="2"/>
    </row>
    <row r="258" spans="1:217" s="3" customFormat="1" ht="12.75" customHeight="1" x14ac:dyDescent="0.2">
      <c r="A258" s="3" t="s">
        <v>284</v>
      </c>
      <c r="B258" s="10" t="s">
        <v>700</v>
      </c>
      <c r="C258" s="139" t="s">
        <v>476</v>
      </c>
      <c r="D258" s="11"/>
      <c r="E258" s="139" t="s">
        <v>476</v>
      </c>
      <c r="F258" s="11"/>
      <c r="G258" s="139">
        <v>58</v>
      </c>
      <c r="H258" s="11"/>
      <c r="I258" s="139">
        <v>47</v>
      </c>
      <c r="J258" s="72"/>
      <c r="K258" s="139">
        <v>288</v>
      </c>
      <c r="L258" s="72" t="str">
        <f>IF(ISERROR(K258/C258),"NA",IF(OR(K258/C258&gt;2,K258/C258&lt;0.5),"NM",K258/C258*100-100))</f>
        <v>NA</v>
      </c>
      <c r="M258" s="139">
        <v>33</v>
      </c>
      <c r="N258" s="72" t="str">
        <f>IF(ISERROR(M258/E258),"NA",IF(OR(M258/E258&gt;2,M258/E258&lt;0.5),"NM",M258/E258*100-100))</f>
        <v>NA</v>
      </c>
      <c r="O258" s="139">
        <v>64</v>
      </c>
      <c r="P258" s="72">
        <f>IF(ISERROR(O258/G258),"NA",IF(OR(O258/G258&gt;2,O258/G258&lt;0.5),"NM",O258/G258*100-100))</f>
        <v>10.34482758620689</v>
      </c>
      <c r="Q258" s="139">
        <v>50</v>
      </c>
      <c r="R258" s="72">
        <f>IF(ISERROR(Q258/I258),"NA",IF(OR(Q258/I258&gt;2,Q258/I258&lt;0.5),"NM",Q258/I258*100-100))</f>
        <v>6.3829787234042499</v>
      </c>
      <c r="S258" s="139">
        <v>162</v>
      </c>
      <c r="T258" s="72">
        <f>IF(ISERROR(S258/K258),"NA",IF(OR(S258/K258&gt;2,S258/K258&lt;0.5),"NM",S258/K258*100-100))</f>
        <v>-43.75</v>
      </c>
      <c r="U258" s="139">
        <v>27</v>
      </c>
      <c r="V258" s="72">
        <f>IF(ISERROR(U258/M258),"NA",IF(OR(U258/M258&gt;2,U258/M258&lt;0.5),"NM",U258/M258*100-100))</f>
        <v>-18.181818181818173</v>
      </c>
      <c r="W258" s="139">
        <v>36</v>
      </c>
      <c r="X258" s="72">
        <f>IF(ISERROR(W258/O258),"NA",IF(OR(W258/O258&gt;2,W258/O258&lt;0.5),"NM",W258/O258*100-100))</f>
        <v>-43.75</v>
      </c>
      <c r="Y258" s="139">
        <v>44</v>
      </c>
      <c r="Z258" s="72">
        <f>IF(ISERROR(Y258/Q258),"NA",IF(OR(Y258/Q258&gt;2,Y258/Q258&lt;0.5),"NM",Y258/Q258*100-100))</f>
        <v>-12</v>
      </c>
      <c r="AA258" s="139">
        <v>88</v>
      </c>
      <c r="AB258" s="72">
        <f>IF(ISERROR(AA258/S258),"NA",IF(OR(AA258/S258&gt;2,AA258/S258&lt;0.5),"NM",AA258/S258*100-100))</f>
        <v>-45.679012345679013</v>
      </c>
      <c r="AC258" s="139">
        <v>35</v>
      </c>
      <c r="AD258" s="72">
        <f>IF(ISERROR(AC258/U258),"NA",IF(OR(AC258/U258&gt;2,AC258/U258&lt;0.5),"NM",AC258/U258*100-100))</f>
        <v>29.629629629629619</v>
      </c>
      <c r="AE258" s="139">
        <v>30</v>
      </c>
      <c r="AF258" s="72">
        <f>IF(ISERROR(AE258/W258),"NA",IF(OR(AE258/W258&gt;2,AE258/W258&lt;0.5),"NM",AE258/W258*100-100))</f>
        <v>-16.666666666666657</v>
      </c>
      <c r="AG258" s="139">
        <v>72</v>
      </c>
      <c r="AH258" s="72">
        <f>IF(ISERROR(AG258/Y258),"NA",IF(OR(AG258/Y258&gt;2,AG258/Y258&lt;0.5),"NM",AG258/Y258*100-100))</f>
        <v>63.636363636363654</v>
      </c>
      <c r="AI258" s="139">
        <v>127</v>
      </c>
      <c r="AJ258" s="72">
        <f>IF(ISERROR(AI258/AA258),"NA",IF(OR(AI258/AA258&gt;2,AI258/AA258&lt;0.5),"NM",AI258/AA258*100-100))</f>
        <v>44.318181818181813</v>
      </c>
      <c r="AK258" s="139">
        <v>34</v>
      </c>
      <c r="AL258" s="72">
        <f>IF(ISERROR(AK258/AC258),"NA",IF(OR(AK258/AC258&gt;2,AK258/AC258&lt;0.5),"NM",AK258/AC258*100-100))</f>
        <v>-2.8571428571428612</v>
      </c>
      <c r="AM258" s="139">
        <v>34</v>
      </c>
      <c r="AN258" s="72">
        <f>IF(ISERROR(AM258/AE258),"NA",IF(OR(AM258/AE258&gt;2,AM258/AE258&lt;0.5),"NM",AM258/AE258*100-100))</f>
        <v>13.333333333333329</v>
      </c>
      <c r="AO258" s="139">
        <v>42</v>
      </c>
      <c r="AP258" s="72">
        <f>IF(ISERROR(AO258/AG258),"NA",IF(OR(AO258/AG258&gt;2,AO258/AG258&lt;0.5),"NM",AO258/AG258*100-100))</f>
        <v>-41.666666666666664</v>
      </c>
      <c r="AQ258" s="139">
        <v>274</v>
      </c>
      <c r="AR258" s="72" t="str">
        <f>IF(ISERROR(AQ258/AI258),"NA",IF(OR(AQ258/AI258&gt;2,AQ258/AI258&lt;0.5),"NM",AQ258/AI258*100-100))</f>
        <v>NM</v>
      </c>
      <c r="AS258" s="139">
        <v>30</v>
      </c>
      <c r="AT258" s="72">
        <f>IF(ISERROR(AS258/AK258),"NA",IF(OR(AS258/AK258&gt;2,AS258/AK258&lt;0.5),"NM",AS258/AK258*100-100))</f>
        <v>-11.764705882352942</v>
      </c>
      <c r="AU258" s="139">
        <v>32</v>
      </c>
      <c r="AV258" s="72">
        <f>IF(ISERROR(AU258/AM258),"NA",IF(OR(AU258/AM258&gt;2,AU258/AM258&lt;0.5),"NM",AU258/AM258*100-100))</f>
        <v>-5.8823529411764781</v>
      </c>
      <c r="AW258" s="139">
        <v>34</v>
      </c>
      <c r="AX258" s="72">
        <f>IF(ISERROR(AW258/AO258),"NA",IF(OR(AW258/AO258&gt;2,AW258/AO258&lt;0.5),"NM",AW258/AO258*100-100))</f>
        <v>-19.047619047619051</v>
      </c>
      <c r="AY258" s="139">
        <v>206</v>
      </c>
      <c r="AZ258" s="72">
        <f>IF(ISERROR(AY258/AQ258),"NA",IF(OR(AY258/AQ258&gt;2,AY258/AQ258&lt;0.5),"NM",AY258/AQ258*100-100))</f>
        <v>-24.81751824817519</v>
      </c>
      <c r="BA258" s="139">
        <v>25</v>
      </c>
      <c r="BB258" s="72">
        <f>IF(ISERROR(BA258/AS258),"NA",IF(OR(BA258/AS258&gt;2,BA258/AS258&lt;0.5),"NM",BA258/AS258*100-100))</f>
        <v>-16.666666666666657</v>
      </c>
      <c r="BC258" s="139">
        <v>98</v>
      </c>
      <c r="BD258" s="72" t="str">
        <f>IF(ISERROR(BC258/AU258),"NA",IF(OR(BC258/AU258&gt;2,BC258/AU258&lt;0.5),"NM",BC258/AU258*100-100))</f>
        <v>NM</v>
      </c>
      <c r="BE258" s="139">
        <v>37</v>
      </c>
      <c r="BF258" s="72">
        <f>IF(ISERROR(BE258/AW258),"NA",IF(OR(BE258/AW258&gt;2,BE258/AW258&lt;0.5),"NM",BE258/AW258*100-100))</f>
        <v>8.8235294117646959</v>
      </c>
      <c r="BG258" s="139">
        <v>103</v>
      </c>
      <c r="BH258" s="72">
        <f>IF(ISERROR(BG258/AY258),"NA",IF(OR(BG258/AY258&gt;2,BG258/AY258&lt;0.5),"NM",BG258/AY258*100-100))</f>
        <v>-50</v>
      </c>
      <c r="BI258" s="139">
        <v>26</v>
      </c>
      <c r="BJ258" s="72">
        <f>IF(ISERROR(BI258/BA258),"NA",IF(OR(BI258/BA258&gt;2,BI258/BA258&lt;0.5),"NM",BI258/BA258*100-100))</f>
        <v>4</v>
      </c>
      <c r="BK258" s="139">
        <v>33</v>
      </c>
      <c r="BL258" s="72" t="str">
        <f>IF(ISERROR(BK258/BC258),"NA",IF(OR(BK258/BC258&gt;2,BK258/BC258&lt;0.5),"NM",BK258/BC258*100-100))</f>
        <v>NM</v>
      </c>
      <c r="BM258" s="139">
        <v>35</v>
      </c>
      <c r="BN258" s="72">
        <f>IF(ISERROR(BM258/BE258),"NA",IF(OR(BM258/BE258&gt;2,BM258/BE258&lt;0.5),"NM",BM258/BE258*100-100))</f>
        <v>-5.4054054054054035</v>
      </c>
      <c r="BO258" s="139">
        <v>112</v>
      </c>
      <c r="BP258" s="72">
        <f>IF(ISERROR(BO258/BG258),"NA",IF(OR(BO258/BG258&gt;2,BO258/BG258&lt;0.5),"NM",BO258/BG258*100-100))</f>
        <v>8.7378640776698973</v>
      </c>
      <c r="BQ258" s="139">
        <v>30</v>
      </c>
      <c r="BR258" s="72">
        <f>IF(ISERROR(BQ258/BI258),"NA",IF(OR(BQ258/BI258&gt;2,BQ258/BI258&lt;0.5),"NM",BQ258/BI258*100-100))</f>
        <v>15.384615384615373</v>
      </c>
      <c r="BS258" s="139">
        <v>70</v>
      </c>
      <c r="BT258" s="72" t="str">
        <f>IF(ISERROR(BS258/BK258),"NA",IF(OR(BS258/BK258&gt;2,BS258/BK258&lt;0.5),"NM",BS258/BK258*100-100))</f>
        <v>NM</v>
      </c>
      <c r="BU258" s="139">
        <v>76</v>
      </c>
      <c r="BV258" s="72" t="str">
        <f>IF(ISERROR(BU258/BM258),"NA",IF(OR(BU258/BM258&gt;2,BU258/BM258&lt;0.5),"NM",BU258/BM258*100-100))</f>
        <v>NM</v>
      </c>
      <c r="BW258" s="139">
        <v>210</v>
      </c>
      <c r="BX258" s="72">
        <f>IF(ISERROR(BW258/BO258),"NA",IF(OR(BW258/BO258&gt;2,BW258/BO258&lt;0.5),"NM",BW258/BO258*100-100))</f>
        <v>87.5</v>
      </c>
      <c r="BY258" s="139">
        <v>35</v>
      </c>
      <c r="BZ258" s="72">
        <f>IF(ISERROR(BY258/BQ258),"NA",IF(OR(BY258/BQ258&gt;2,BY258/BQ258&lt;0.5),"NM",BY258/BQ258*100-100))</f>
        <v>16.666666666666671</v>
      </c>
      <c r="CA258" s="139">
        <v>53</v>
      </c>
      <c r="CB258" s="72">
        <f>IF(ISERROR(CA258/BS258),"NA",IF(OR(CA258/BS258&gt;2,CA258/BS258&lt;0.5),"NM",CA258/BS258*100-100))</f>
        <v>-24.285714285714292</v>
      </c>
      <c r="CC258" s="139">
        <v>41</v>
      </c>
      <c r="CD258" s="72">
        <f>IF(ISERROR(CC258/BU258),"NA",IF(OR(CC258/BU258&gt;2,CC258/BU258&lt;0.5),"NM",CC258/BU258*100-100))</f>
        <v>-46.05263157894737</v>
      </c>
      <c r="CE258" s="139">
        <v>257</v>
      </c>
      <c r="CF258" s="72">
        <f>IF(ISERROR(CE258/BW258),"NA",IF(OR(CE258/BW258&gt;2,CE258/BW258&lt;0.5),"NM",CE258/BW258*100-100))</f>
        <v>22.380952380952394</v>
      </c>
      <c r="CG258" s="139">
        <v>23</v>
      </c>
      <c r="CH258" s="72">
        <f>IF(ISERROR(CG258/BY258),"NA",IF(OR(CG258/BY258&gt;2,CG258/BY258&lt;0.5),"NM",CG258/BY258*100-100))</f>
        <v>-34.285714285714292</v>
      </c>
      <c r="CI258" s="139">
        <v>84</v>
      </c>
      <c r="CJ258" s="72">
        <f>IF(ISERROR(CI258/CA258),"NA",IF(OR(CI258/CA258&gt;2,CI258/CA258&lt;0.5),"NM",CI258/CA258*100-100))</f>
        <v>58.490566037735846</v>
      </c>
      <c r="CK258" s="139">
        <v>82</v>
      </c>
      <c r="CL258" s="72">
        <f>IF(ISERROR(CK258/CC258),"NA",IF(OR(CK258/CC258&gt;2,CK258/CC258&lt;0.5),"NM",CK258/CC258*100-100))</f>
        <v>100</v>
      </c>
      <c r="CM258" s="139">
        <v>392</v>
      </c>
      <c r="CN258" s="72">
        <f>IF(ISERROR(CM258/CE258),"NA",IF(OR(CM258/CE258&gt;2,CM258/CE258&lt;0.5),"NM",CM258/CE258*100-100))</f>
        <v>52.52918287937743</v>
      </c>
      <c r="CO258" s="139">
        <v>22</v>
      </c>
      <c r="CP258" s="72">
        <f>IF(ISERROR(CO258/CG258),"NA",IF(OR(CO258/CG258&gt;2,CO258/CG258&lt;0.5),"NM",CO258/CG258*100-100))</f>
        <v>-4.3478260869565162</v>
      </c>
      <c r="CQ258" s="139">
        <v>23</v>
      </c>
      <c r="CR258" s="72" t="str">
        <f>IF(ISERROR(CQ258/CI258),"NA",IF(OR(CQ258/CI258&gt;2,CQ258/CI258&lt;0.5),"NM",CQ258/CI258*100-100))</f>
        <v>NM</v>
      </c>
      <c r="CS258" s="139">
        <v>49</v>
      </c>
      <c r="CT258" s="72">
        <f>IF(ISERROR(CS258/CK258),"NA",IF(OR(CS258/CK258&gt;2,CS258/CK258&lt;0.5),"NM",CS258/CK258*100-100))</f>
        <v>-40.243902439024396</v>
      </c>
      <c r="CU258" s="139">
        <v>211</v>
      </c>
      <c r="CV258" s="72">
        <f>IF(ISERROR(CU258/CM258),"NA",IF(OR(CU258/CM258&gt;2,CU258/CM258&lt;0.5),"NM",CU258/CM258*100-100))</f>
        <v>-46.173469387755105</v>
      </c>
      <c r="CW258" s="139">
        <v>24</v>
      </c>
      <c r="CX258" s="72"/>
      <c r="CY258" s="139">
        <v>18</v>
      </c>
      <c r="CZ258" s="72"/>
      <c r="DA258" s="139">
        <v>51</v>
      </c>
      <c r="DB258" s="72"/>
      <c r="DC258" s="139">
        <v>148</v>
      </c>
      <c r="DD258" s="72"/>
      <c r="DE258" s="139">
        <v>15</v>
      </c>
      <c r="DF258" s="72"/>
      <c r="DG258" s="139">
        <v>33</v>
      </c>
      <c r="DH258" s="72"/>
      <c r="DI258" s="139">
        <v>44</v>
      </c>
      <c r="DJ258" s="72"/>
      <c r="DK258" s="139">
        <v>137</v>
      </c>
      <c r="DL258" s="72"/>
      <c r="DM258" s="139">
        <v>10</v>
      </c>
      <c r="DN258" s="72">
        <f t="shared" ref="DN258:DZ260" si="1529">IF(ISERROR(DM258/DE258),"NA",IF(OR(DM258/DE258&gt;2,DM258/DE258&lt;0.5),"NM",DM258/DE258*100-100))</f>
        <v>-33.333333333333343</v>
      </c>
      <c r="DO258" s="139">
        <v>14</v>
      </c>
      <c r="DP258" s="72" t="str">
        <f t="shared" si="1529"/>
        <v>NM</v>
      </c>
      <c r="DQ258" s="139">
        <v>28</v>
      </c>
      <c r="DR258" s="72">
        <f t="shared" si="1529"/>
        <v>-36.363636363636367</v>
      </c>
      <c r="DS258" s="139">
        <v>131</v>
      </c>
      <c r="DT258" s="72">
        <f t="shared" si="1529"/>
        <v>-4.379562043795616</v>
      </c>
      <c r="DU258" s="139">
        <v>10</v>
      </c>
      <c r="DV258" s="72">
        <f t="shared" si="1529"/>
        <v>0</v>
      </c>
      <c r="DW258" s="139">
        <v>38</v>
      </c>
      <c r="DX258" s="72" t="str">
        <f t="shared" si="1529"/>
        <v>NM</v>
      </c>
      <c r="DY258" s="139">
        <v>25</v>
      </c>
      <c r="DZ258" s="72">
        <f t="shared" si="1529"/>
        <v>-10.714285714285708</v>
      </c>
      <c r="EA258" s="139">
        <v>232</v>
      </c>
      <c r="EB258" s="72">
        <f>IF(ISERROR(EA258/DS258),"NA",IF(OR(EA258/DS258&gt;2,EA258/DS258&lt;0.5),"NM",EA258/DS258*100-100))</f>
        <v>77.099236641221381</v>
      </c>
      <c r="EC258" s="139">
        <v>24</v>
      </c>
      <c r="ED258" s="72" t="str">
        <f>IF(ISERROR(EC258/DU258),"NA",IF(OR(EC258/DU258&gt;2,EC258/DU258&lt;0.5),"NM",EC258/DU258*100-100))</f>
        <v>NM</v>
      </c>
      <c r="EE258" s="139">
        <v>29</v>
      </c>
      <c r="EF258" s="72">
        <f>IF(ISERROR(EE258/DW258),"NA",IF(OR(EE258/DW258&gt;2,EE258/DW258&lt;0.5),"NM",EE258/DW258*100-100))</f>
        <v>-23.68421052631578</v>
      </c>
      <c r="EG258" s="139">
        <v>31</v>
      </c>
      <c r="EH258" s="72">
        <f>IF(ISERROR(EG258/DY258),"NA",IF(OR(EG258/DY258&gt;2,EG258/DY258&lt;0.5),"NM",EG258/DY258*100-100))</f>
        <v>24</v>
      </c>
      <c r="EI258" s="139">
        <v>186</v>
      </c>
      <c r="EJ258" s="72">
        <f>IF(ISERROR(EI258/EA258),"NA",IF(OR(EI258/EA258&gt;2,EI258/EA258&lt;0.5),"NM",EI258/EA258*100-100))</f>
        <v>-19.827586206896555</v>
      </c>
      <c r="EK258" s="139">
        <v>56</v>
      </c>
      <c r="EL258" s="72" t="str">
        <f>IF(ISERROR(EK258/EC258),"NA",IF(OR(EK258/EC258&gt;2,EK258/EC258&lt;0.5),"NM",EK258/EC258*100-100))</f>
        <v>NM</v>
      </c>
      <c r="EM258" s="139">
        <v>23</v>
      </c>
      <c r="EN258" s="72">
        <f>IF(ISERROR(EM258/EE258),"NA",IF(OR(EM258/EE258&gt;2,EM258/EE258&lt;0.5),"NM",EM258/EE258*100-100))</f>
        <v>-20.689655172413794</v>
      </c>
      <c r="EO258" s="139">
        <v>22</v>
      </c>
      <c r="EP258" s="72">
        <f>IF(ISERROR(EO258/EG258),"NA",IF(OR(EO258/EG258&gt;2,EO258/EG258&lt;0.5),"NM",EO258/EG258*100-100))</f>
        <v>-29.032258064516128</v>
      </c>
      <c r="EQ258" s="9"/>
      <c r="ER258" s="72" t="str">
        <f t="shared" ref="ER258:ER260" si="1530">IF(ISERROR(EQ258/EI258),"NA",IF(OR(EQ258/EI258&gt;2,EQ258/EI258&lt;0.5),"NM",EQ258/EI258*100-100))</f>
        <v>NM</v>
      </c>
      <c r="ES258" s="9"/>
      <c r="ET258" s="72" t="str">
        <f t="shared" ref="ET258:ET260" si="1531">IF(ISERROR(ES258/EK258),"NA",IF(OR(ES258/EK258&gt;2,ES258/EK258&lt;0.5),"NM",ES258/EK258*100-100))</f>
        <v>NM</v>
      </c>
      <c r="EU258" s="9"/>
      <c r="EV258" s="72" t="str">
        <f t="shared" ref="EV258:EV260" si="1532">IF(ISERROR(EU258/EM258),"NA",IF(OR(EU258/EM258&gt;2,EU258/EM258&lt;0.5),"NM",EU258/EM258*100-100))</f>
        <v>NM</v>
      </c>
      <c r="EW258" s="9"/>
      <c r="EX258" s="72" t="str">
        <f t="shared" ref="EX258:EX260" si="1533">IF(ISERROR(EW258/EO258),"NA",IF(OR(EW258/EO258&gt;2,EW258/EO258&lt;0.5),"NM",EW258/EO258*100-100))</f>
        <v>NM</v>
      </c>
      <c r="EY258" s="72"/>
      <c r="EZ258" s="296"/>
      <c r="FA258" s="72"/>
      <c r="FB258" s="9"/>
      <c r="FC258" s="11"/>
      <c r="FD258" s="9"/>
      <c r="FE258" s="72"/>
      <c r="FF258" s="16"/>
      <c r="FG258" s="72"/>
      <c r="FH258" s="16"/>
      <c r="FI258" s="72"/>
      <c r="FJ258" s="16"/>
      <c r="FK258" s="72"/>
      <c r="FL258" s="16"/>
      <c r="FM258" s="72"/>
      <c r="FN258" s="16"/>
      <c r="FO258" s="72"/>
      <c r="FP258" s="9"/>
      <c r="FQ258" s="72"/>
      <c r="FR258" s="9"/>
      <c r="FS258" s="72"/>
      <c r="FT258" s="9"/>
      <c r="FU258" s="72"/>
      <c r="FV258" s="9"/>
      <c r="FW258" s="72"/>
      <c r="FX258" s="9"/>
      <c r="FY258" s="72"/>
      <c r="FZ258" s="9"/>
      <c r="GA258" s="72"/>
      <c r="GB258" s="9"/>
      <c r="GC258" s="72"/>
      <c r="GD258" s="9"/>
      <c r="GE258" s="72"/>
      <c r="GF258" s="9"/>
      <c r="GG258" s="72"/>
      <c r="GH258" s="9"/>
      <c r="GI258" s="72"/>
      <c r="GJ258" s="9"/>
      <c r="GK258" s="72"/>
      <c r="GL258" s="9"/>
      <c r="GM258" s="72"/>
      <c r="GN258" s="9"/>
      <c r="GO258" s="72"/>
      <c r="GP258" s="9"/>
      <c r="GQ258" s="72"/>
      <c r="GR258" s="9"/>
      <c r="GS258" s="72"/>
      <c r="GT258" s="9"/>
      <c r="GU258" s="72"/>
      <c r="GV258" s="9"/>
      <c r="GW258" s="72"/>
      <c r="GX258" s="9"/>
      <c r="GY258" s="72"/>
      <c r="GZ258" s="72"/>
      <c r="HA258" s="72"/>
      <c r="HB258" s="72"/>
      <c r="HC258"/>
      <c r="HD258"/>
      <c r="HE258"/>
      <c r="HF258"/>
      <c r="HG258"/>
      <c r="HH258"/>
      <c r="HI258" s="2"/>
    </row>
    <row r="259" spans="1:217" s="3" customFormat="1" ht="12.75" customHeight="1" x14ac:dyDescent="0.2">
      <c r="A259" s="3" t="s">
        <v>285</v>
      </c>
      <c r="B259" s="10" t="s">
        <v>701</v>
      </c>
      <c r="C259" s="139" t="s">
        <v>476</v>
      </c>
      <c r="D259" s="11"/>
      <c r="E259" s="139" t="s">
        <v>476</v>
      </c>
      <c r="F259" s="11"/>
      <c r="G259" s="139">
        <v>29</v>
      </c>
      <c r="H259" s="11"/>
      <c r="I259" s="139">
        <v>25</v>
      </c>
      <c r="J259" s="72"/>
      <c r="K259" s="139">
        <v>69</v>
      </c>
      <c r="L259" s="72" t="str">
        <f>IF(ISERROR(K259/C259),"NA",IF(OR(K259/C259&gt;2,K259/C259&lt;0.5),"NM",K259/C259*100-100))</f>
        <v>NA</v>
      </c>
      <c r="M259" s="139">
        <v>20</v>
      </c>
      <c r="N259" s="72" t="str">
        <f>IF(ISERROR(M259/E259),"NA",IF(OR(M259/E259&gt;2,M259/E259&lt;0.5),"NM",M259/E259*100-100))</f>
        <v>NA</v>
      </c>
      <c r="O259" s="139">
        <v>33</v>
      </c>
      <c r="P259" s="72">
        <f>IF(ISERROR(O259/G259),"NA",IF(OR(O259/G259&gt;2,O259/G259&lt;0.5),"NM",O259/G259*100-100))</f>
        <v>13.793103448275872</v>
      </c>
      <c r="Q259" s="139">
        <v>17</v>
      </c>
      <c r="R259" s="72">
        <f>IF(ISERROR(Q259/I259),"NA",IF(OR(Q259/I259&gt;2,Q259/I259&lt;0.5),"NM",Q259/I259*100-100))</f>
        <v>-32</v>
      </c>
      <c r="S259" s="139">
        <v>53</v>
      </c>
      <c r="T259" s="72">
        <f>IF(ISERROR(S259/K259),"NA",IF(OR(S259/K259&gt;2,S259/K259&lt;0.5),"NM",S259/K259*100-100))</f>
        <v>-23.188405797101453</v>
      </c>
      <c r="U259" s="139">
        <v>33</v>
      </c>
      <c r="V259" s="72">
        <f>IF(ISERROR(U259/M259),"NA",IF(OR(U259/M259&gt;2,U259/M259&lt;0.5),"NM",U259/M259*100-100))</f>
        <v>65</v>
      </c>
      <c r="W259" s="139">
        <v>25</v>
      </c>
      <c r="X259" s="72">
        <f>IF(ISERROR(W259/O259),"NA",IF(OR(W259/O259&gt;2,W259/O259&lt;0.5),"NM",W259/O259*100-100))</f>
        <v>-24.242424242424249</v>
      </c>
      <c r="Y259" s="139">
        <v>49</v>
      </c>
      <c r="Z259" s="72" t="str">
        <f>IF(ISERROR(Y259/Q259),"NA",IF(OR(Y259/Q259&gt;2,Y259/Q259&lt;0.5),"NM",Y259/Q259*100-100))</f>
        <v>NM</v>
      </c>
      <c r="AA259" s="139">
        <v>67</v>
      </c>
      <c r="AB259" s="72">
        <f>IF(ISERROR(AA259/S259),"NA",IF(OR(AA259/S259&gt;2,AA259/S259&lt;0.5),"NM",AA259/S259*100-100))</f>
        <v>26.415094339622641</v>
      </c>
      <c r="AC259" s="139">
        <v>29</v>
      </c>
      <c r="AD259" s="72">
        <f>IF(ISERROR(AC259/U259),"NA",IF(OR(AC259/U259&gt;2,AC259/U259&lt;0.5),"NM",AC259/U259*100-100))</f>
        <v>-12.121212121212125</v>
      </c>
      <c r="AE259" s="139">
        <v>24</v>
      </c>
      <c r="AF259" s="72">
        <f>IF(ISERROR(AE259/W259),"NA",IF(OR(AE259/W259&gt;2,AE259/W259&lt;0.5),"NM",AE259/W259*100-100))</f>
        <v>-4</v>
      </c>
      <c r="AG259" s="139">
        <v>24</v>
      </c>
      <c r="AH259" s="72" t="str">
        <f>IF(ISERROR(AG259/Y259),"NA",IF(OR(AG259/Y259&gt;2,AG259/Y259&lt;0.5),"NM",AG259/Y259*100-100))</f>
        <v>NM</v>
      </c>
      <c r="AI259" s="139">
        <v>90</v>
      </c>
      <c r="AJ259" s="72">
        <f>IF(ISERROR(AI259/AA259),"NA",IF(OR(AI259/AA259&gt;2,AI259/AA259&lt;0.5),"NM",AI259/AA259*100-100))</f>
        <v>34.328358208955223</v>
      </c>
      <c r="AK259" s="139">
        <v>15</v>
      </c>
      <c r="AL259" s="72">
        <f>IF(ISERROR(AK259/AC259),"NA",IF(OR(AK259/AC259&gt;2,AK259/AC259&lt;0.5),"NM",AK259/AC259*100-100))</f>
        <v>-48.275862068965516</v>
      </c>
      <c r="AM259" s="139">
        <v>38</v>
      </c>
      <c r="AN259" s="72">
        <f>IF(ISERROR(AM259/AE259),"NA",IF(OR(AM259/AE259&gt;2,AM259/AE259&lt;0.5),"NM",AM259/AE259*100-100))</f>
        <v>58.333333333333314</v>
      </c>
      <c r="AO259" s="139">
        <v>18</v>
      </c>
      <c r="AP259" s="72">
        <f>IF(ISERROR(AO259/AG259),"NA",IF(OR(AO259/AG259&gt;2,AO259/AG259&lt;0.5),"NM",AO259/AG259*100-100))</f>
        <v>-25</v>
      </c>
      <c r="AQ259" s="139">
        <v>76</v>
      </c>
      <c r="AR259" s="72">
        <f>IF(ISERROR(AQ259/AI259),"NA",IF(OR(AQ259/AI259&gt;2,AQ259/AI259&lt;0.5),"NM",AQ259/AI259*100-100))</f>
        <v>-15.555555555555557</v>
      </c>
      <c r="AS259" s="139">
        <v>46</v>
      </c>
      <c r="AT259" s="72" t="str">
        <f>IF(ISERROR(AS259/AK259),"NA",IF(OR(AS259/AK259&gt;2,AS259/AK259&lt;0.5),"NM",AS259/AK259*100-100))</f>
        <v>NM</v>
      </c>
      <c r="AU259" s="139">
        <v>15</v>
      </c>
      <c r="AV259" s="72" t="str">
        <f>IF(ISERROR(AU259/AM259),"NA",IF(OR(AU259/AM259&gt;2,AU259/AM259&lt;0.5),"NM",AU259/AM259*100-100))</f>
        <v>NM</v>
      </c>
      <c r="AW259" s="139">
        <v>17</v>
      </c>
      <c r="AX259" s="72">
        <f>IF(ISERROR(AW259/AO259),"NA",IF(OR(AW259/AO259&gt;2,AW259/AO259&lt;0.5),"NM",AW259/AO259*100-100))</f>
        <v>-5.5555555555555571</v>
      </c>
      <c r="AY259" s="139">
        <v>74</v>
      </c>
      <c r="AZ259" s="72">
        <f>IF(ISERROR(AY259/AQ259),"NA",IF(OR(AY259/AQ259&gt;2,AY259/AQ259&lt;0.5),"NM",AY259/AQ259*100-100))</f>
        <v>-2.6315789473684248</v>
      </c>
      <c r="BA259" s="139">
        <v>18</v>
      </c>
      <c r="BB259" s="72" t="str">
        <f>IF(ISERROR(BA259/AS259),"NA",IF(OR(BA259/AS259&gt;2,BA259/AS259&lt;0.5),"NM",BA259/AS259*100-100))</f>
        <v>NM</v>
      </c>
      <c r="BC259" s="139">
        <v>29</v>
      </c>
      <c r="BD259" s="72">
        <f>IF(ISERROR(BC259/AU259),"NA",IF(OR(BC259/AU259&gt;2,BC259/AU259&lt;0.5),"NM",BC259/AU259*100-100))</f>
        <v>93.333333333333343</v>
      </c>
      <c r="BE259" s="139">
        <v>17</v>
      </c>
      <c r="BF259" s="72">
        <f>IF(ISERROR(BE259/AW259),"NA",IF(OR(BE259/AW259&gt;2,BE259/AW259&lt;0.5),"NM",BE259/AW259*100-100))</f>
        <v>0</v>
      </c>
      <c r="BG259" s="139">
        <v>92</v>
      </c>
      <c r="BH259" s="72">
        <f>IF(ISERROR(BG259/AY259),"NA",IF(OR(BG259/AY259&gt;2,BG259/AY259&lt;0.5),"NM",BG259/AY259*100-100))</f>
        <v>24.324324324324323</v>
      </c>
      <c r="BI259" s="139">
        <v>26</v>
      </c>
      <c r="BJ259" s="72">
        <f>IF(ISERROR(BI259/BA259),"NA",IF(OR(BI259/BA259&gt;2,BI259/BA259&lt;0.5),"NM",BI259/BA259*100-100))</f>
        <v>44.444444444444429</v>
      </c>
      <c r="BK259" s="139">
        <v>21</v>
      </c>
      <c r="BL259" s="72">
        <f>IF(ISERROR(BK259/BC259),"NA",IF(OR(BK259/BC259&gt;2,BK259/BC259&lt;0.5),"NM",BK259/BC259*100-100))</f>
        <v>-27.58620689655173</v>
      </c>
      <c r="BM259" s="139">
        <v>16</v>
      </c>
      <c r="BN259" s="72">
        <f>IF(ISERROR(BM259/BE259),"NA",IF(OR(BM259/BE259&gt;2,BM259/BE259&lt;0.5),"NM",BM259/BE259*100-100))</f>
        <v>-5.8823529411764781</v>
      </c>
      <c r="BO259" s="139">
        <v>114</v>
      </c>
      <c r="BP259" s="72">
        <f>IF(ISERROR(BO259/BG259),"NA",IF(OR(BO259/BG259&gt;2,BO259/BG259&lt;0.5),"NM",BO259/BG259*100-100))</f>
        <v>23.91304347826086</v>
      </c>
      <c r="BQ259" s="139">
        <v>17</v>
      </c>
      <c r="BR259" s="72">
        <f>IF(ISERROR(BQ259/BI259),"NA",IF(OR(BQ259/BI259&gt;2,BQ259/BI259&lt;0.5),"NM",BQ259/BI259*100-100))</f>
        <v>-34.615384615384613</v>
      </c>
      <c r="BS259" s="139">
        <v>47</v>
      </c>
      <c r="BT259" s="72" t="str">
        <f>IF(ISERROR(BS259/BK259),"NA",IF(OR(BS259/BK259&gt;2,BS259/BK259&lt;0.5),"NM",BS259/BK259*100-100))</f>
        <v>NM</v>
      </c>
      <c r="BU259" s="139">
        <v>26</v>
      </c>
      <c r="BV259" s="72">
        <f>IF(ISERROR(BU259/BM259),"NA",IF(OR(BU259/BM259&gt;2,BU259/BM259&lt;0.5),"NM",BU259/BM259*100-100))</f>
        <v>62.5</v>
      </c>
      <c r="BW259" s="139">
        <v>134</v>
      </c>
      <c r="BX259" s="72">
        <f>IF(ISERROR(BW259/BO259),"NA",IF(OR(BW259/BO259&gt;2,BW259/BO259&lt;0.5),"NM",BW259/BO259*100-100))</f>
        <v>17.543859649122822</v>
      </c>
      <c r="BY259" s="139">
        <v>26</v>
      </c>
      <c r="BZ259" s="72">
        <f>IF(ISERROR(BY259/BQ259),"NA",IF(OR(BY259/BQ259&gt;2,BY259/BQ259&lt;0.5),"NM",BY259/BQ259*100-100))</f>
        <v>52.941176470588232</v>
      </c>
      <c r="CA259" s="139">
        <v>57</v>
      </c>
      <c r="CB259" s="72">
        <f>IF(ISERROR(CA259/BS259),"NA",IF(OR(CA259/BS259&gt;2,CA259/BS259&lt;0.5),"NM",CA259/BS259*100-100))</f>
        <v>21.276595744680861</v>
      </c>
      <c r="CC259" s="139">
        <v>21</v>
      </c>
      <c r="CD259" s="72">
        <f>IF(ISERROR(CC259/BU259),"NA",IF(OR(CC259/BU259&gt;2,CC259/BU259&lt;0.5),"NM",CC259/BU259*100-100))</f>
        <v>-19.230769230769226</v>
      </c>
      <c r="CE259" s="139">
        <v>89</v>
      </c>
      <c r="CF259" s="72">
        <f>IF(ISERROR(CE259/BW259),"NA",IF(OR(CE259/BW259&gt;2,CE259/BW259&lt;0.5),"NM",CE259/BW259*100-100))</f>
        <v>-33.582089552238799</v>
      </c>
      <c r="CG259" s="139">
        <v>19</v>
      </c>
      <c r="CH259" s="72">
        <f>IF(ISERROR(CG259/BY259),"NA",IF(OR(CG259/BY259&gt;2,CG259/BY259&lt;0.5),"NM",CG259/BY259*100-100))</f>
        <v>-26.923076923076934</v>
      </c>
      <c r="CI259" s="139">
        <v>26</v>
      </c>
      <c r="CJ259" s="72" t="str">
        <f>IF(ISERROR(CI259/CA259),"NA",IF(OR(CI259/CA259&gt;2,CI259/CA259&lt;0.5),"NM",CI259/CA259*100-100))</f>
        <v>NM</v>
      </c>
      <c r="CK259" s="139">
        <v>27</v>
      </c>
      <c r="CL259" s="72">
        <f>IF(ISERROR(CK259/CC259),"NA",IF(OR(CK259/CC259&gt;2,CK259/CC259&lt;0.5),"NM",CK259/CC259*100-100))</f>
        <v>28.571428571428584</v>
      </c>
      <c r="CM259" s="139">
        <v>108</v>
      </c>
      <c r="CN259" s="72">
        <f>IF(ISERROR(CM259/CE259),"NA",IF(OR(CM259/CE259&gt;2,CM259/CE259&lt;0.5),"NM",CM259/CE259*100-100))</f>
        <v>21.348314606741582</v>
      </c>
      <c r="CO259" s="139">
        <v>30</v>
      </c>
      <c r="CP259" s="72">
        <f>IF(ISERROR(CO259/CG259),"NA",IF(OR(CO259/CG259&gt;2,CO259/CG259&lt;0.5),"NM",CO259/CG259*100-100))</f>
        <v>57.89473684210526</v>
      </c>
      <c r="CQ259" s="139">
        <v>17</v>
      </c>
      <c r="CR259" s="72">
        <f>IF(ISERROR(CQ259/CI259),"NA",IF(OR(CQ259/CI259&gt;2,CQ259/CI259&lt;0.5),"NM",CQ259/CI259*100-100))</f>
        <v>-34.615384615384613</v>
      </c>
      <c r="CS259" s="139">
        <v>20</v>
      </c>
      <c r="CT259" s="72">
        <f>IF(ISERROR(CS259/CK259),"NA",IF(OR(CS259/CK259&gt;2,CS259/CK259&lt;0.5),"NM",CS259/CK259*100-100))</f>
        <v>-25.925925925925924</v>
      </c>
      <c r="CU259" s="139">
        <v>81</v>
      </c>
      <c r="CV259" s="72">
        <f>IF(ISERROR(CU259/CM259),"NA",IF(OR(CU259/CM259&gt;2,CU259/CM259&lt;0.5),"NM",CU259/CM259*100-100))</f>
        <v>-25</v>
      </c>
      <c r="CW259" s="139">
        <v>19</v>
      </c>
      <c r="CX259" s="72"/>
      <c r="CY259" s="139">
        <v>28</v>
      </c>
      <c r="CZ259" s="72"/>
      <c r="DA259" s="139">
        <v>7</v>
      </c>
      <c r="DB259" s="72"/>
      <c r="DC259" s="139">
        <v>45</v>
      </c>
      <c r="DD259" s="72"/>
      <c r="DE259" s="139">
        <v>7</v>
      </c>
      <c r="DF259" s="72"/>
      <c r="DG259" s="139">
        <v>13</v>
      </c>
      <c r="DH259" s="72"/>
      <c r="DI259" s="139">
        <v>8</v>
      </c>
      <c r="DJ259" s="72"/>
      <c r="DK259" s="139">
        <v>33</v>
      </c>
      <c r="DL259" s="72"/>
      <c r="DM259" s="139">
        <v>12</v>
      </c>
      <c r="DN259" s="72">
        <f t="shared" si="1529"/>
        <v>71.428571428571416</v>
      </c>
      <c r="DO259" s="139">
        <v>13</v>
      </c>
      <c r="DP259" s="72">
        <f t="shared" si="1529"/>
        <v>0</v>
      </c>
      <c r="DQ259" s="139">
        <v>9</v>
      </c>
      <c r="DR259" s="72">
        <f t="shared" si="1529"/>
        <v>12.5</v>
      </c>
      <c r="DS259" s="139">
        <v>31</v>
      </c>
      <c r="DT259" s="72">
        <f t="shared" si="1529"/>
        <v>-6.0606060606060623</v>
      </c>
      <c r="DU259" s="139">
        <v>14</v>
      </c>
      <c r="DV259" s="72">
        <f t="shared" si="1529"/>
        <v>16.666666666666671</v>
      </c>
      <c r="DW259" s="139">
        <v>19</v>
      </c>
      <c r="DX259" s="72">
        <f t="shared" si="1529"/>
        <v>46.153846153846132</v>
      </c>
      <c r="DY259" s="139">
        <v>5</v>
      </c>
      <c r="DZ259" s="72">
        <f t="shared" si="1529"/>
        <v>-44.444444444444443</v>
      </c>
      <c r="EA259" s="139">
        <v>79</v>
      </c>
      <c r="EB259" s="72" t="str">
        <f>IF(ISERROR(EA259/DS259),"NA",IF(OR(EA259/DS259&gt;2,EA259/DS259&lt;0.5),"NM",EA259/DS259*100-100))</f>
        <v>NM</v>
      </c>
      <c r="EC259" s="139">
        <v>21</v>
      </c>
      <c r="ED259" s="72">
        <f>IF(ISERROR(EC259/DU259),"NA",IF(OR(EC259/DU259&gt;2,EC259/DU259&lt;0.5),"NM",EC259/DU259*100-100))</f>
        <v>50</v>
      </c>
      <c r="EE259" s="139">
        <v>13</v>
      </c>
      <c r="EF259" s="72">
        <f>IF(ISERROR(EE259/DW259),"NA",IF(OR(EE259/DW259&gt;2,EE259/DW259&lt;0.5),"NM",EE259/DW259*100-100))</f>
        <v>-31.578947368421055</v>
      </c>
      <c r="EG259" s="139">
        <v>6</v>
      </c>
      <c r="EH259" s="72">
        <f>IF(ISERROR(EG259/DY259),"NA",IF(OR(EG259/DY259&gt;2,EG259/DY259&lt;0.5),"NM",EG259/DY259*100-100))</f>
        <v>20</v>
      </c>
      <c r="EI259" s="139">
        <v>115</v>
      </c>
      <c r="EJ259" s="72">
        <f>IF(ISERROR(EI259/EA259),"NA",IF(OR(EI259/EA259&gt;2,EI259/EA259&lt;0.5),"NM",EI259/EA259*100-100))</f>
        <v>45.569620253164544</v>
      </c>
      <c r="EK259" s="139">
        <v>14</v>
      </c>
      <c r="EL259" s="72">
        <f>IF(ISERROR(EK259/EC259),"NA",IF(OR(EK259/EC259&gt;2,EK259/EC259&lt;0.5),"NM",EK259/EC259*100-100))</f>
        <v>-33.333333333333343</v>
      </c>
      <c r="EM259" s="139">
        <v>12</v>
      </c>
      <c r="EN259" s="72">
        <f>IF(ISERROR(EM259/EE259),"NA",IF(OR(EM259/EE259&gt;2,EM259/EE259&lt;0.5),"NM",EM259/EE259*100-100))</f>
        <v>-7.6923076923076934</v>
      </c>
      <c r="EO259" s="139">
        <v>12</v>
      </c>
      <c r="EP259" s="72">
        <f>IF(ISERROR(EO259/EG259),"NA",IF(OR(EO259/EG259&gt;2,EO259/EG259&lt;0.5),"NM",EO259/EG259*100-100))</f>
        <v>100</v>
      </c>
      <c r="EQ259" s="9"/>
      <c r="ER259" s="72" t="str">
        <f t="shared" si="1530"/>
        <v>NM</v>
      </c>
      <c r="ES259" s="9"/>
      <c r="ET259" s="72" t="str">
        <f t="shared" si="1531"/>
        <v>NM</v>
      </c>
      <c r="EU259" s="9"/>
      <c r="EV259" s="72" t="str">
        <f t="shared" si="1532"/>
        <v>NM</v>
      </c>
      <c r="EW259" s="9"/>
      <c r="EX259" s="72" t="str">
        <f t="shared" si="1533"/>
        <v>NM</v>
      </c>
      <c r="EY259" s="72"/>
      <c r="EZ259" s="296"/>
      <c r="FA259" s="72"/>
      <c r="FB259" s="9"/>
      <c r="FC259" s="11"/>
      <c r="FD259" s="9"/>
      <c r="FE259" s="72"/>
      <c r="FF259" s="16"/>
      <c r="FG259" s="72"/>
      <c r="FH259" s="16"/>
      <c r="FI259" s="72"/>
      <c r="FJ259" s="16"/>
      <c r="FK259" s="72"/>
      <c r="FL259" s="16"/>
      <c r="FM259" s="72"/>
      <c r="FN259" s="16"/>
      <c r="FO259" s="72"/>
      <c r="FP259" s="9"/>
      <c r="FQ259" s="72"/>
      <c r="FR259" s="9"/>
      <c r="FS259" s="72"/>
      <c r="FT259" s="9"/>
      <c r="FU259" s="72"/>
      <c r="FV259" s="9"/>
      <c r="FW259" s="72"/>
      <c r="FX259" s="9"/>
      <c r="FY259" s="72"/>
      <c r="FZ259" s="9"/>
      <c r="GA259" s="72"/>
      <c r="GB259" s="9"/>
      <c r="GC259" s="72"/>
      <c r="GD259" s="9"/>
      <c r="GE259" s="72"/>
      <c r="GF259" s="9"/>
      <c r="GG259" s="72"/>
      <c r="GH259" s="9"/>
      <c r="GI259" s="72"/>
      <c r="GJ259" s="9"/>
      <c r="GK259" s="72"/>
      <c r="GL259" s="9"/>
      <c r="GM259" s="72"/>
      <c r="GN259" s="9"/>
      <c r="GO259" s="72"/>
      <c r="GP259" s="9"/>
      <c r="GQ259" s="72"/>
      <c r="GR259" s="9"/>
      <c r="GS259" s="72"/>
      <c r="GT259" s="9"/>
      <c r="GU259" s="72"/>
      <c r="GV259" s="9"/>
      <c r="GW259" s="72"/>
      <c r="GX259" s="9"/>
      <c r="GY259" s="72"/>
      <c r="GZ259" s="72"/>
      <c r="HA259" s="72"/>
      <c r="HB259" s="72"/>
      <c r="HC259"/>
      <c r="HD259"/>
      <c r="HE259"/>
      <c r="HF259"/>
      <c r="HG259"/>
      <c r="HH259"/>
      <c r="HI259" s="2"/>
    </row>
    <row r="260" spans="1:217" s="3" customFormat="1" ht="12.75" customHeight="1" x14ac:dyDescent="0.2">
      <c r="B260" s="10" t="s">
        <v>194</v>
      </c>
      <c r="C260" s="9" t="s">
        <v>476</v>
      </c>
      <c r="D260" s="11"/>
      <c r="E260" s="9" t="s">
        <v>476</v>
      </c>
      <c r="F260" s="11"/>
      <c r="G260" s="9">
        <f>SUM(G258:G259)</f>
        <v>87</v>
      </c>
      <c r="H260" s="11"/>
      <c r="I260" s="9">
        <f>SUM(I258:I259)</f>
        <v>72</v>
      </c>
      <c r="J260" s="72"/>
      <c r="K260" s="9">
        <f>SUM(K258:K259)</f>
        <v>357</v>
      </c>
      <c r="L260" s="72" t="str">
        <f>IF(ISERROR(K260/C260),"NA",IF(OR(K260/C260&gt;2,K260/C260&lt;0.5),"NM",K260/C260*100-100))</f>
        <v>NA</v>
      </c>
      <c r="M260" s="9">
        <f>SUM(M258:M259)</f>
        <v>53</v>
      </c>
      <c r="N260" s="72" t="str">
        <f>IF(ISERROR(M260/E260),"NA",IF(OR(M260/E260&gt;2,M260/E260&lt;0.5),"NM",M260/E260*100-100))</f>
        <v>NA</v>
      </c>
      <c r="O260" s="9">
        <f>SUM(O258:O259)</f>
        <v>97</v>
      </c>
      <c r="P260" s="72">
        <f>IF(ISERROR(O260/G260),"NA",IF(OR(O260/G260&gt;2,O260/G260&lt;0.5),"NM",O260/G260*100-100))</f>
        <v>11.494252873563227</v>
      </c>
      <c r="Q260" s="9">
        <f>SUM(Q258:Q259)</f>
        <v>67</v>
      </c>
      <c r="R260" s="72">
        <f>IF(ISERROR(Q260/I260),"NA",IF(OR(Q260/I260&gt;2,Q260/I260&lt;0.5),"NM",Q260/I260*100-100))</f>
        <v>-6.9444444444444429</v>
      </c>
      <c r="S260" s="9">
        <f>SUM(S258:S259)</f>
        <v>215</v>
      </c>
      <c r="T260" s="72">
        <f>IF(ISERROR(S260/K260),"NA",IF(OR(S260/K260&gt;2,S260/K260&lt;0.5),"NM",S260/K260*100-100))</f>
        <v>-39.775910364145659</v>
      </c>
      <c r="U260" s="9">
        <f>SUM(U258:U259)</f>
        <v>60</v>
      </c>
      <c r="V260" s="72">
        <f>IF(ISERROR(U260/M260),"NA",IF(OR(U260/M260&gt;2,U260/M260&lt;0.5),"NM",U260/M260*100-100))</f>
        <v>13.20754716981132</v>
      </c>
      <c r="W260" s="9">
        <f>SUM(W258:W259)</f>
        <v>61</v>
      </c>
      <c r="X260" s="72">
        <f>IF(ISERROR(W260/O260),"NA",IF(OR(W260/O260&gt;2,W260/O260&lt;0.5),"NM",W260/O260*100-100))</f>
        <v>-37.113402061855673</v>
      </c>
      <c r="Y260" s="9">
        <f>SUM(Y258:Y259)</f>
        <v>93</v>
      </c>
      <c r="Z260" s="72">
        <f>IF(ISERROR(Y260/Q260),"NA",IF(OR(Y260/Q260&gt;2,Y260/Q260&lt;0.5),"NM",Y260/Q260*100-100))</f>
        <v>38.805970149253739</v>
      </c>
      <c r="AA260" s="9">
        <f>SUM(AA258:AA259)</f>
        <v>155</v>
      </c>
      <c r="AB260" s="72">
        <f>IF(ISERROR(AA260/S260),"NA",IF(OR(AA260/S260&gt;2,AA260/S260&lt;0.5),"NM",AA260/S260*100-100))</f>
        <v>-27.906976744186053</v>
      </c>
      <c r="AC260" s="9">
        <f>SUM(AC258:AC259)</f>
        <v>64</v>
      </c>
      <c r="AD260" s="72">
        <f>IF(ISERROR(AC260/U260),"NA",IF(OR(AC260/U260&gt;2,AC260/U260&lt;0.5),"NM",AC260/U260*100-100))</f>
        <v>6.6666666666666714</v>
      </c>
      <c r="AE260" s="9">
        <f>SUM(AE258:AE259)</f>
        <v>54</v>
      </c>
      <c r="AF260" s="72">
        <f>IF(ISERROR(AE260/W260),"NA",IF(OR(AE260/W260&gt;2,AE260/W260&lt;0.5),"NM",AE260/W260*100-100))</f>
        <v>-11.47540983606558</v>
      </c>
      <c r="AG260" s="9">
        <f>SUM(AG258:AG259)</f>
        <v>96</v>
      </c>
      <c r="AH260" s="72">
        <f>IF(ISERROR(AG260/Y260),"NA",IF(OR(AG260/Y260&gt;2,AG260/Y260&lt;0.5),"NM",AG260/Y260*100-100))</f>
        <v>3.2258064516128968</v>
      </c>
      <c r="AI260" s="9">
        <f>SUM(AI258:AI259)</f>
        <v>217</v>
      </c>
      <c r="AJ260" s="72">
        <f>IF(ISERROR(AI260/AA260),"NA",IF(OR(AI260/AA260&gt;2,AI260/AA260&lt;0.5),"NM",AI260/AA260*100-100))</f>
        <v>40</v>
      </c>
      <c r="AK260" s="9">
        <f>SUM(AK258:AK259)</f>
        <v>49</v>
      </c>
      <c r="AL260" s="72">
        <f>IF(ISERROR(AK260/AC260),"NA",IF(OR(AK260/AC260&gt;2,AK260/AC260&lt;0.5),"NM",AK260/AC260*100-100))</f>
        <v>-23.4375</v>
      </c>
      <c r="AM260" s="9">
        <f>SUM(AM258:AM259)</f>
        <v>72</v>
      </c>
      <c r="AN260" s="72">
        <f>IF(ISERROR(AM260/AE260),"NA",IF(OR(AM260/AE260&gt;2,AM260/AE260&lt;0.5),"NM",AM260/AE260*100-100))</f>
        <v>33.333333333333314</v>
      </c>
      <c r="AO260" s="9">
        <f>SUM(AO258:AO259)</f>
        <v>60</v>
      </c>
      <c r="AP260" s="72">
        <f>IF(ISERROR(AO260/AG260),"NA",IF(OR(AO260/AG260&gt;2,AO260/AG260&lt;0.5),"NM",AO260/AG260*100-100))</f>
        <v>-37.5</v>
      </c>
      <c r="AQ260" s="9">
        <f>SUM(AQ258:AQ259)</f>
        <v>350</v>
      </c>
      <c r="AR260" s="72">
        <f>IF(ISERROR(AQ260/AI260),"NA",IF(OR(AQ260/AI260&gt;2,AQ260/AI260&lt;0.5),"NM",AQ260/AI260*100-100))</f>
        <v>61.290322580645153</v>
      </c>
      <c r="AS260" s="9">
        <f>SUM(AS258:AS259)</f>
        <v>76</v>
      </c>
      <c r="AT260" s="72">
        <f>IF(ISERROR(AS260/AK260),"NA",IF(OR(AS260/AK260&gt;2,AS260/AK260&lt;0.5),"NM",AS260/AK260*100-100))</f>
        <v>55.102040816326536</v>
      </c>
      <c r="AU260" s="9">
        <f>SUM(AU258:AU259)</f>
        <v>47</v>
      </c>
      <c r="AV260" s="72">
        <f>IF(ISERROR(AU260/AM260),"NA",IF(OR(AU260/AM260&gt;2,AU260/AM260&lt;0.5),"NM",AU260/AM260*100-100))</f>
        <v>-34.722222222222214</v>
      </c>
      <c r="AW260" s="9">
        <f>SUM(AW258:AW259)</f>
        <v>51</v>
      </c>
      <c r="AX260" s="72">
        <f>IF(ISERROR(AW260/AO260),"NA",IF(OR(AW260/AO260&gt;2,AW260/AO260&lt;0.5),"NM",AW260/AO260*100-100))</f>
        <v>-15</v>
      </c>
      <c r="AY260" s="9">
        <f>SUM(AY258:AY259)</f>
        <v>280</v>
      </c>
      <c r="AZ260" s="72">
        <f>IF(ISERROR(AY260/AQ260),"NA",IF(OR(AY260/AQ260&gt;2,AY260/AQ260&lt;0.5),"NM",AY260/AQ260*100-100))</f>
        <v>-20</v>
      </c>
      <c r="BA260" s="9">
        <f>SUM(BA258:BA259)</f>
        <v>43</v>
      </c>
      <c r="BB260" s="72">
        <f>IF(ISERROR(BA260/AS260),"NA",IF(OR(BA260/AS260&gt;2,BA260/AS260&lt;0.5),"NM",BA260/AS260*100-100))</f>
        <v>-43.421052631578952</v>
      </c>
      <c r="BC260" s="9">
        <f>SUM(BC258:BC259)</f>
        <v>127</v>
      </c>
      <c r="BD260" s="72" t="str">
        <f>IF(ISERROR(BC260/AU260),"NA",IF(OR(BC260/AU260&gt;2,BC260/AU260&lt;0.5),"NM",BC260/AU260*100-100))</f>
        <v>NM</v>
      </c>
      <c r="BE260" s="9">
        <f>SUM(BE258:BE259)</f>
        <v>54</v>
      </c>
      <c r="BF260" s="72">
        <f>IF(ISERROR(BE260/AW260),"NA",IF(OR(BE260/AW260&gt;2,BE260/AW260&lt;0.5),"NM",BE260/AW260*100-100))</f>
        <v>5.8823529411764781</v>
      </c>
      <c r="BG260" s="9">
        <f>SUM(BG258:BG259)</f>
        <v>195</v>
      </c>
      <c r="BH260" s="72">
        <f>IF(ISERROR(BG260/AY260),"NA",IF(OR(BG260/AY260&gt;2,BG260/AY260&lt;0.5),"NM",BG260/AY260*100-100))</f>
        <v>-30.357142857142861</v>
      </c>
      <c r="BI260" s="9">
        <f>SUM(BI258:BI259)</f>
        <v>52</v>
      </c>
      <c r="BJ260" s="72">
        <f>IF(ISERROR(BI260/BA260),"NA",IF(OR(BI260/BA260&gt;2,BI260/BA260&lt;0.5),"NM",BI260/BA260*100-100))</f>
        <v>20.930232558139522</v>
      </c>
      <c r="BK260" s="9">
        <f>SUM(BK258:BK259)</f>
        <v>54</v>
      </c>
      <c r="BL260" s="72" t="str">
        <f>IF(ISERROR(BK260/BC260),"NA",IF(OR(BK260/BC260&gt;2,BK260/BC260&lt;0.5),"NM",BK260/BC260*100-100))</f>
        <v>NM</v>
      </c>
      <c r="BM260" s="9">
        <f>SUM(BM258:BM259)</f>
        <v>51</v>
      </c>
      <c r="BN260" s="72">
        <f>IF(ISERROR(BM260/BE260),"NA",IF(OR(BM260/BE260&gt;2,BM260/BE260&lt;0.5),"NM",BM260/BE260*100-100))</f>
        <v>-5.5555555555555571</v>
      </c>
      <c r="BO260" s="9">
        <f>SUM(BO258:BO259)</f>
        <v>226</v>
      </c>
      <c r="BP260" s="72">
        <f>IF(ISERROR(BO260/BG260),"NA",IF(OR(BO260/BG260&gt;2,BO260/BG260&lt;0.5),"NM",BO260/BG260*100-100))</f>
        <v>15.897435897435912</v>
      </c>
      <c r="BQ260" s="9">
        <f>SUM(BQ258:BQ259)</f>
        <v>47</v>
      </c>
      <c r="BR260" s="72">
        <f>IF(ISERROR(BQ260/BI260),"NA",IF(OR(BQ260/BI260&gt;2,BQ260/BI260&lt;0.5),"NM",BQ260/BI260*100-100))</f>
        <v>-9.6153846153846132</v>
      </c>
      <c r="BS260" s="9">
        <f>SUM(BS258:BS259)</f>
        <v>117</v>
      </c>
      <c r="BT260" s="72" t="str">
        <f>IF(ISERROR(BS260/BK260),"NA",IF(OR(BS260/BK260&gt;2,BS260/BK260&lt;0.5),"NM",BS260/BK260*100-100))</f>
        <v>NM</v>
      </c>
      <c r="BU260" s="9">
        <f>SUM(BU258:BU259)</f>
        <v>102</v>
      </c>
      <c r="BV260" s="72">
        <f>IF(ISERROR(BU260/BM260),"NA",IF(OR(BU260/BM260&gt;2,BU260/BM260&lt;0.5),"NM",BU260/BM260*100-100))</f>
        <v>100</v>
      </c>
      <c r="BW260" s="9">
        <f>SUM(BW258:BW259)</f>
        <v>344</v>
      </c>
      <c r="BX260" s="72">
        <f>IF(ISERROR(BW260/BO260),"NA",IF(OR(BW260/BO260&gt;2,BW260/BO260&lt;0.5),"NM",BW260/BO260*100-100))</f>
        <v>52.212389380530965</v>
      </c>
      <c r="BY260" s="9">
        <f>SUM(BY258:BY259)</f>
        <v>61</v>
      </c>
      <c r="BZ260" s="72">
        <f>IF(ISERROR(BY260/BQ260),"NA",IF(OR(BY260/BQ260&gt;2,BY260/BQ260&lt;0.5),"NM",BY260/BQ260*100-100))</f>
        <v>29.787234042553195</v>
      </c>
      <c r="CA260" s="9">
        <f>SUM(CA258:CA259)</f>
        <v>110</v>
      </c>
      <c r="CB260" s="72">
        <f>IF(ISERROR(CA260/BS260),"NA",IF(OR(CA260/BS260&gt;2,CA260/BS260&lt;0.5),"NM",CA260/BS260*100-100))</f>
        <v>-5.9829059829059901</v>
      </c>
      <c r="CC260" s="9">
        <f>SUM(CC258:CC259)</f>
        <v>62</v>
      </c>
      <c r="CD260" s="72">
        <f>IF(ISERROR(CC260/BU260),"NA",IF(OR(CC260/BU260&gt;2,CC260/BU260&lt;0.5),"NM",CC260/BU260*100-100))</f>
        <v>-39.215686274509807</v>
      </c>
      <c r="CE260" s="9">
        <f>SUM(CE258:CE259)</f>
        <v>346</v>
      </c>
      <c r="CF260" s="72">
        <f>IF(ISERROR(CE260/BW260),"NA",IF(OR(CE260/BW260&gt;2,CE260/BW260&lt;0.5),"NM",CE260/BW260*100-100))</f>
        <v>0.58139534883720501</v>
      </c>
      <c r="CG260" s="9">
        <f>SUM(CG258:CG259)</f>
        <v>42</v>
      </c>
      <c r="CH260" s="72">
        <f>IF(ISERROR(CG260/BY260),"NA",IF(OR(CG260/BY260&gt;2,CG260/BY260&lt;0.5),"NM",CG260/BY260*100-100))</f>
        <v>-31.147540983606561</v>
      </c>
      <c r="CI260" s="9">
        <f>SUM(CI258:CI259)</f>
        <v>110</v>
      </c>
      <c r="CJ260" s="72">
        <f>IF(ISERROR(CI260/CA260),"NA",IF(OR(CI260/CA260&gt;2,CI260/CA260&lt;0.5),"NM",CI260/CA260*100-100))</f>
        <v>0</v>
      </c>
      <c r="CK260" s="9">
        <f>SUM(CK258:CK259)</f>
        <v>109</v>
      </c>
      <c r="CL260" s="72">
        <f>IF(ISERROR(CK260/CC260),"NA",IF(OR(CK260/CC260&gt;2,CK260/CC260&lt;0.5),"NM",CK260/CC260*100-100))</f>
        <v>75.806451612903231</v>
      </c>
      <c r="CM260" s="9">
        <f>SUM(CM258:CM259)</f>
        <v>500</v>
      </c>
      <c r="CN260" s="72">
        <f>IF(ISERROR(CM260/CE260),"NA",IF(OR(CM260/CE260&gt;2,CM260/CE260&lt;0.5),"NM",CM260/CE260*100-100))</f>
        <v>44.50867052023122</v>
      </c>
      <c r="CO260" s="9">
        <f>SUM(CO258:CO259)</f>
        <v>52</v>
      </c>
      <c r="CP260" s="72">
        <f>IF(ISERROR(CO260/CG260),"NA",IF(OR(CO260/CG260&gt;2,CO260/CG260&lt;0.5),"NM",CO260/CG260*100-100))</f>
        <v>23.80952380952381</v>
      </c>
      <c r="CQ260" s="9">
        <f>SUM(CQ258:CQ259)</f>
        <v>40</v>
      </c>
      <c r="CR260" s="72" t="str">
        <f>IF(ISERROR(CQ260/CI260),"NA",IF(OR(CQ260/CI260&gt;2,CQ260/CI260&lt;0.5),"NM",CQ260/CI260*100-100))</f>
        <v>NM</v>
      </c>
      <c r="CS260" s="9">
        <f>SUM(CS258:CS259)</f>
        <v>69</v>
      </c>
      <c r="CT260" s="72">
        <f>IF(ISERROR(CS260/CK260),"NA",IF(OR(CS260/CK260&gt;2,CS260/CK260&lt;0.5),"NM",CS260/CK260*100-100))</f>
        <v>-36.697247706422019</v>
      </c>
      <c r="CU260" s="9">
        <f>SUM(CU258:CU259)</f>
        <v>292</v>
      </c>
      <c r="CV260" s="72">
        <f>IF(ISERROR(CU260/CM260),"NA",IF(OR(CU260/CM260&gt;2,CU260/CM260&lt;0.5),"NM",CU260/CM260*100-100))</f>
        <v>-41.6</v>
      </c>
      <c r="CW260" s="9">
        <f>SUM(CW258:CW259)</f>
        <v>43</v>
      </c>
      <c r="CX260" s="72"/>
      <c r="CY260" s="9">
        <f>SUM(CY258:CY259)</f>
        <v>46</v>
      </c>
      <c r="CZ260" s="72"/>
      <c r="DA260" s="9">
        <f>SUM(DA258:DA259)</f>
        <v>58</v>
      </c>
      <c r="DB260" s="72"/>
      <c r="DC260" s="9">
        <f>SUM(DC258:DC259)</f>
        <v>193</v>
      </c>
      <c r="DD260" s="72"/>
      <c r="DE260" s="9">
        <f>SUM(DE258:DE259)</f>
        <v>22</v>
      </c>
      <c r="DF260" s="72"/>
      <c r="DG260" s="9">
        <f>SUM(DG258:DG259)</f>
        <v>46</v>
      </c>
      <c r="DH260" s="72"/>
      <c r="DI260" s="9">
        <f>SUM(DI258:DI259)</f>
        <v>52</v>
      </c>
      <c r="DJ260" s="72"/>
      <c r="DK260" s="9">
        <f>SUM(DK258:DK259)</f>
        <v>170</v>
      </c>
      <c r="DL260" s="72"/>
      <c r="DM260" s="9">
        <f>SUM(DM258:DM259)</f>
        <v>22</v>
      </c>
      <c r="DN260" s="72">
        <f t="shared" si="1529"/>
        <v>0</v>
      </c>
      <c r="DO260" s="9">
        <f>SUM(DO258:DO259)</f>
        <v>27</v>
      </c>
      <c r="DP260" s="72">
        <f t="shared" si="1529"/>
        <v>-41.304347826086953</v>
      </c>
      <c r="DQ260" s="9">
        <f>SUM(DQ258:DQ259)</f>
        <v>37</v>
      </c>
      <c r="DR260" s="72">
        <f t="shared" si="1529"/>
        <v>-28.84615384615384</v>
      </c>
      <c r="DS260" s="9">
        <f>SUM(DS258:DS259)</f>
        <v>162</v>
      </c>
      <c r="DT260" s="72">
        <f t="shared" si="1529"/>
        <v>-4.7058823529411882</v>
      </c>
      <c r="DU260" s="9">
        <f>SUM(DU258:DU259)</f>
        <v>24</v>
      </c>
      <c r="DV260" s="72">
        <f t="shared" si="1529"/>
        <v>9.0909090909090793</v>
      </c>
      <c r="DW260" s="9">
        <f>SUM(DW258:DW259)</f>
        <v>57</v>
      </c>
      <c r="DX260" s="72" t="str">
        <f t="shared" si="1529"/>
        <v>NM</v>
      </c>
      <c r="DY260" s="9">
        <f>SUM(DY258:DY259)</f>
        <v>30</v>
      </c>
      <c r="DZ260" s="72">
        <f t="shared" si="1529"/>
        <v>-18.918918918918919</v>
      </c>
      <c r="EA260" s="9">
        <f>SUM(EA258:EA259)</f>
        <v>311</v>
      </c>
      <c r="EB260" s="72">
        <f>IF(ISERROR(EA260/DS260),"NA",IF(OR(EA260/DS260&gt;2,EA260/DS260&lt;0.5),"NM",EA260/DS260*100-100))</f>
        <v>91.975308641975317</v>
      </c>
      <c r="EC260" s="9">
        <f>SUM(EC258:EC259)</f>
        <v>45</v>
      </c>
      <c r="ED260" s="72">
        <f>IF(ISERROR(EC260/DU260),"NA",IF(OR(EC260/DU260&gt;2,EC260/DU260&lt;0.5),"NM",EC260/DU260*100-100))</f>
        <v>87.5</v>
      </c>
      <c r="EE260" s="9">
        <f>SUM(EE258:EE259)</f>
        <v>42</v>
      </c>
      <c r="EF260" s="72">
        <f>IF(ISERROR(EE260/DW260),"NA",IF(OR(EE260/DW260&gt;2,EE260/DW260&lt;0.5),"NM",EE260/DW260*100-100))</f>
        <v>-26.31578947368422</v>
      </c>
      <c r="EG260" s="9">
        <f>SUM(EG258:EG259)</f>
        <v>37</v>
      </c>
      <c r="EH260" s="72">
        <f>IF(ISERROR(EG260/DY260),"NA",IF(OR(EG260/DY260&gt;2,EG260/DY260&lt;0.5),"NM",EG260/DY260*100-100))</f>
        <v>23.333333333333343</v>
      </c>
      <c r="EI260" s="9">
        <f>SUM(EI258:EI259)</f>
        <v>301</v>
      </c>
      <c r="EJ260" s="72">
        <f>IF(ISERROR(EI260/EA260),"NA",IF(OR(EI260/EA260&gt;2,EI260/EA260&lt;0.5),"NM",EI260/EA260*100-100))</f>
        <v>-3.2154340836012807</v>
      </c>
      <c r="EK260" s="9">
        <f>SUM(EK258:EK259)</f>
        <v>70</v>
      </c>
      <c r="EL260" s="72">
        <f>IF(ISERROR(EK260/EC260),"NA",IF(OR(EK260/EC260&gt;2,EK260/EC260&lt;0.5),"NM",EK260/EC260*100-100))</f>
        <v>55.555555555555571</v>
      </c>
      <c r="EM260" s="9">
        <f>SUM(EM258:EM259)</f>
        <v>35</v>
      </c>
      <c r="EN260" s="72">
        <f>IF(ISERROR(EM260/EE260),"NA",IF(OR(EM260/EE260&gt;2,EM260/EE260&lt;0.5),"NM",EM260/EE260*100-100))</f>
        <v>-16.666666666666657</v>
      </c>
      <c r="EO260" s="9">
        <f>SUM(EO258:EO259)</f>
        <v>34</v>
      </c>
      <c r="EP260" s="72">
        <f>IF(ISERROR(EO260/EG260),"NA",IF(OR(EO260/EG260&gt;2,EO260/EG260&lt;0.5),"NM",EO260/EG260*100-100))</f>
        <v>-8.1081081081080981</v>
      </c>
      <c r="EQ260" s="9"/>
      <c r="ER260" s="72" t="str">
        <f t="shared" si="1530"/>
        <v>NM</v>
      </c>
      <c r="ES260" s="9"/>
      <c r="ET260" s="72" t="str">
        <f t="shared" si="1531"/>
        <v>NM</v>
      </c>
      <c r="EU260" s="9"/>
      <c r="EV260" s="72" t="str">
        <f t="shared" si="1532"/>
        <v>NM</v>
      </c>
      <c r="EW260" s="9"/>
      <c r="EX260" s="72" t="str">
        <f t="shared" si="1533"/>
        <v>NM</v>
      </c>
      <c r="EY260" s="72"/>
      <c r="EZ260" s="296"/>
      <c r="FA260" s="72"/>
      <c r="FB260" s="9"/>
      <c r="FC260" s="11"/>
      <c r="FD260" s="9"/>
      <c r="FE260" s="72"/>
      <c r="FF260" s="16"/>
      <c r="FG260" s="72"/>
      <c r="FH260" s="16"/>
      <c r="FI260" s="72"/>
      <c r="FJ260" s="16"/>
      <c r="FK260" s="72"/>
      <c r="FL260" s="16"/>
      <c r="FM260" s="72"/>
      <c r="FN260" s="16"/>
      <c r="FO260" s="72"/>
      <c r="FP260" s="9"/>
      <c r="FQ260" s="72"/>
      <c r="FR260" s="9"/>
      <c r="FS260" s="72"/>
      <c r="FT260" s="9"/>
      <c r="FU260" s="72"/>
      <c r="FV260" s="9"/>
      <c r="FW260" s="72"/>
      <c r="FX260" s="9"/>
      <c r="FY260" s="72"/>
      <c r="FZ260" s="9"/>
      <c r="GA260" s="72"/>
      <c r="GB260" s="9"/>
      <c r="GC260" s="72"/>
      <c r="GD260" s="9"/>
      <c r="GE260" s="72"/>
      <c r="GF260" s="9"/>
      <c r="GG260" s="72"/>
      <c r="GH260" s="9"/>
      <c r="GI260" s="72"/>
      <c r="GJ260" s="9"/>
      <c r="GK260" s="72"/>
      <c r="GL260" s="9"/>
      <c r="GM260" s="72"/>
      <c r="GN260" s="9"/>
      <c r="GO260" s="72"/>
      <c r="GP260" s="9"/>
      <c r="GQ260" s="72"/>
      <c r="GR260" s="9"/>
      <c r="GS260" s="72"/>
      <c r="GT260" s="9"/>
      <c r="GU260" s="72"/>
      <c r="GV260" s="9"/>
      <c r="GW260" s="72"/>
      <c r="GX260" s="9"/>
      <c r="GY260" s="72"/>
      <c r="GZ260" s="72"/>
      <c r="HA260" s="72"/>
      <c r="HB260" s="72"/>
      <c r="HC260"/>
      <c r="HD260"/>
      <c r="HE260"/>
      <c r="HF260"/>
      <c r="HG260"/>
      <c r="HH260"/>
      <c r="HI260" s="2"/>
    </row>
    <row r="261" spans="1:217" s="3" customFormat="1" ht="12.75" customHeight="1" x14ac:dyDescent="0.2">
      <c r="B261" s="10"/>
      <c r="C261" s="9"/>
      <c r="D261" s="11"/>
      <c r="E261" s="9"/>
      <c r="F261" s="11"/>
      <c r="G261" s="9"/>
      <c r="H261" s="11"/>
      <c r="I261" s="9"/>
      <c r="J261" s="72"/>
      <c r="K261" s="9"/>
      <c r="L261" s="72"/>
      <c r="M261" s="9"/>
      <c r="N261" s="72"/>
      <c r="O261" s="9"/>
      <c r="P261" s="72"/>
      <c r="Q261" s="9"/>
      <c r="R261" s="72"/>
      <c r="S261" s="9"/>
      <c r="T261" s="72"/>
      <c r="U261" s="9"/>
      <c r="V261" s="72"/>
      <c r="W261" s="9"/>
      <c r="X261" s="72"/>
      <c r="Y261" s="9"/>
      <c r="Z261" s="72"/>
      <c r="AA261" s="9"/>
      <c r="AB261" s="72"/>
      <c r="AC261" s="9"/>
      <c r="AD261" s="72"/>
      <c r="AE261" s="9"/>
      <c r="AF261" s="72"/>
      <c r="AG261" s="9"/>
      <c r="AH261" s="72"/>
      <c r="AI261" s="9"/>
      <c r="AJ261" s="72"/>
      <c r="AK261" s="9"/>
      <c r="AL261" s="72"/>
      <c r="AM261" s="9"/>
      <c r="AN261" s="72"/>
      <c r="AO261" s="9"/>
      <c r="AP261" s="72"/>
      <c r="AQ261" s="9"/>
      <c r="AR261" s="72"/>
      <c r="AS261" s="9"/>
      <c r="AT261" s="72"/>
      <c r="AU261" s="9"/>
      <c r="AV261" s="72"/>
      <c r="AW261" s="9"/>
      <c r="AX261" s="72"/>
      <c r="AY261" s="9"/>
      <c r="AZ261" s="72"/>
      <c r="BA261" s="9"/>
      <c r="BB261" s="72"/>
      <c r="BC261" s="9"/>
      <c r="BD261" s="72"/>
      <c r="BE261" s="9"/>
      <c r="BF261" s="72"/>
      <c r="BG261" s="9"/>
      <c r="BH261" s="72"/>
      <c r="BI261" s="9"/>
      <c r="BJ261" s="72"/>
      <c r="BK261" s="9"/>
      <c r="BL261" s="72"/>
      <c r="BM261" s="9"/>
      <c r="BN261" s="72"/>
      <c r="BO261" s="9"/>
      <c r="BP261" s="72"/>
      <c r="BQ261" s="9"/>
      <c r="BR261" s="72"/>
      <c r="BS261" s="9"/>
      <c r="BT261" s="72"/>
      <c r="BU261" s="9"/>
      <c r="BV261" s="72"/>
      <c r="BW261" s="9"/>
      <c r="BX261" s="72"/>
      <c r="BY261" s="9"/>
      <c r="BZ261" s="72"/>
      <c r="CA261" s="9"/>
      <c r="CB261" s="72"/>
      <c r="CC261" s="9"/>
      <c r="CD261" s="72"/>
      <c r="CE261" s="9"/>
      <c r="CF261" s="72"/>
      <c r="CG261" s="9"/>
      <c r="CH261" s="72"/>
      <c r="CI261" s="9"/>
      <c r="CJ261" s="72"/>
      <c r="CK261" s="9"/>
      <c r="CL261" s="72"/>
      <c r="CM261" s="144"/>
      <c r="CN261" s="144"/>
      <c r="CO261" s="144"/>
      <c r="CP261" s="144"/>
      <c r="CQ261" s="144"/>
      <c r="CR261" s="144"/>
      <c r="CS261" s="144"/>
      <c r="CT261" s="144"/>
      <c r="CU261" s="144"/>
      <c r="CV261" s="72"/>
      <c r="CW261" s="144"/>
      <c r="CX261" s="72"/>
      <c r="CY261" s="144"/>
      <c r="CZ261" s="72"/>
      <c r="DA261" s="144"/>
      <c r="DB261" s="72"/>
      <c r="DC261" s="144"/>
      <c r="DD261" s="72"/>
      <c r="DE261" s="144"/>
      <c r="DF261" s="72"/>
      <c r="DG261" s="144"/>
      <c r="DH261" s="72"/>
      <c r="DI261" s="144"/>
      <c r="DJ261" s="72"/>
      <c r="DK261" s="144"/>
      <c r="DL261" s="72"/>
      <c r="DM261" s="144"/>
      <c r="DN261" s="72"/>
      <c r="DO261" s="144"/>
      <c r="DP261" s="72"/>
      <c r="DQ261" s="144"/>
      <c r="DR261" s="72"/>
      <c r="DS261" s="144"/>
      <c r="DT261" s="72"/>
      <c r="DU261" s="144"/>
      <c r="DV261" s="72"/>
      <c r="DW261" s="9"/>
      <c r="DX261" s="72"/>
      <c r="DY261" s="9"/>
      <c r="DZ261" s="72"/>
      <c r="EA261" s="9"/>
      <c r="EB261" s="72"/>
      <c r="EC261" s="9"/>
      <c r="ED261" s="72"/>
      <c r="EE261" s="9"/>
      <c r="EF261" s="72"/>
      <c r="EG261" s="9"/>
      <c r="EH261" s="72"/>
      <c r="EI261" s="9"/>
      <c r="EJ261" s="72"/>
      <c r="EK261" s="9"/>
      <c r="EL261" s="72"/>
      <c r="EM261" s="9"/>
      <c r="EN261" s="72"/>
      <c r="EO261" s="9"/>
      <c r="EP261" s="72"/>
      <c r="EQ261" s="9"/>
      <c r="ER261" s="72"/>
      <c r="ES261" s="9"/>
      <c r="ET261" s="72"/>
      <c r="EU261" s="9"/>
      <c r="EV261" s="72"/>
      <c r="EW261" s="9"/>
      <c r="EX261" s="72"/>
      <c r="EY261" s="72"/>
      <c r="EZ261" s="296"/>
      <c r="FA261" s="72"/>
      <c r="FB261" s="9"/>
      <c r="FC261" s="11"/>
      <c r="FD261" s="9"/>
      <c r="FE261" s="72"/>
      <c r="FF261" s="16"/>
      <c r="FG261" s="72"/>
      <c r="FH261" s="16"/>
      <c r="FI261" s="72"/>
      <c r="FJ261" s="16"/>
      <c r="FK261" s="72"/>
      <c r="FL261" s="16"/>
      <c r="FM261" s="72"/>
      <c r="FN261" s="16"/>
      <c r="FO261" s="72"/>
      <c r="FP261" s="9"/>
      <c r="FQ261" s="72"/>
      <c r="FR261" s="9"/>
      <c r="FS261" s="72"/>
      <c r="FT261" s="9"/>
      <c r="FU261" s="72"/>
      <c r="FV261" s="9"/>
      <c r="FW261" s="72"/>
      <c r="FX261" s="9"/>
      <c r="FY261" s="72"/>
      <c r="FZ261" s="9"/>
      <c r="GA261" s="72"/>
      <c r="GB261" s="9"/>
      <c r="GC261" s="72"/>
      <c r="GD261" s="9"/>
      <c r="GE261" s="72"/>
      <c r="GF261" s="9"/>
      <c r="GG261" s="72"/>
      <c r="GH261" s="9"/>
      <c r="GI261" s="72"/>
      <c r="GJ261" s="9"/>
      <c r="GK261" s="72"/>
      <c r="GL261" s="9"/>
      <c r="GM261" s="72"/>
      <c r="GN261" s="9"/>
      <c r="GO261" s="72"/>
      <c r="GP261" s="9"/>
      <c r="GQ261" s="72"/>
      <c r="GR261" s="9"/>
      <c r="GS261" s="72"/>
      <c r="GT261" s="9"/>
      <c r="GU261" s="72"/>
      <c r="GV261" s="9"/>
      <c r="GW261" s="72"/>
      <c r="GX261" s="9"/>
      <c r="GY261" s="72"/>
      <c r="GZ261" s="72"/>
      <c r="HA261" s="72"/>
      <c r="HB261" s="72"/>
      <c r="HC261"/>
      <c r="HD261"/>
      <c r="HE261"/>
      <c r="HF261"/>
      <c r="HG261"/>
      <c r="HH261"/>
      <c r="HI261" s="2"/>
    </row>
    <row r="262" spans="1:217" s="295" customFormat="1" ht="12.75" customHeight="1" collapsed="1" x14ac:dyDescent="0.2">
      <c r="B262" s="291" t="s">
        <v>824</v>
      </c>
      <c r="C262" s="292"/>
      <c r="D262" s="293"/>
      <c r="E262" s="292"/>
      <c r="F262" s="293"/>
      <c r="G262" s="292"/>
      <c r="H262" s="293"/>
      <c r="I262" s="292"/>
      <c r="J262" s="293"/>
      <c r="K262" s="292"/>
      <c r="L262" s="293"/>
      <c r="M262" s="292"/>
      <c r="N262" s="293"/>
      <c r="O262" s="292"/>
      <c r="P262" s="293"/>
      <c r="Q262" s="292"/>
      <c r="R262" s="293"/>
      <c r="S262" s="292"/>
      <c r="T262" s="293"/>
      <c r="U262" s="292"/>
      <c r="V262" s="293"/>
      <c r="W262" s="292"/>
      <c r="X262" s="293"/>
      <c r="Y262" s="292"/>
      <c r="Z262" s="293"/>
      <c r="AA262" s="292"/>
      <c r="AB262" s="293"/>
      <c r="AC262" s="292"/>
      <c r="AD262" s="293"/>
      <c r="AE262" s="292"/>
      <c r="AF262" s="293"/>
      <c r="AG262" s="292"/>
      <c r="AH262" s="293"/>
      <c r="AI262" s="292"/>
      <c r="AJ262" s="293"/>
      <c r="AK262" s="292"/>
      <c r="AL262" s="293"/>
      <c r="AM262" s="292"/>
      <c r="AN262" s="293"/>
      <c r="AO262" s="292"/>
      <c r="AP262" s="293"/>
      <c r="AQ262" s="292"/>
      <c r="AR262" s="293"/>
      <c r="AS262" s="292"/>
      <c r="AT262" s="293"/>
      <c r="AU262" s="292"/>
      <c r="AV262" s="293"/>
      <c r="AW262" s="292"/>
      <c r="AX262" s="293"/>
      <c r="AY262" s="292"/>
      <c r="AZ262" s="293"/>
      <c r="BA262" s="292"/>
      <c r="BB262" s="293"/>
      <c r="BC262" s="292"/>
      <c r="BD262" s="293"/>
      <c r="BE262" s="292"/>
      <c r="BF262" s="293"/>
      <c r="BG262" s="292"/>
      <c r="BH262" s="293"/>
      <c r="BI262" s="292"/>
      <c r="BJ262" s="293"/>
      <c r="BK262" s="292"/>
      <c r="BL262" s="293"/>
      <c r="BM262" s="292"/>
      <c r="BN262" s="293"/>
      <c r="BO262" s="292"/>
      <c r="BP262" s="293"/>
      <c r="BQ262" s="294"/>
      <c r="BR262" s="294"/>
      <c r="BS262" s="294"/>
      <c r="BT262" s="293"/>
      <c r="BU262" s="294"/>
      <c r="BV262" s="293"/>
      <c r="BW262" s="294"/>
      <c r="BX262" s="293"/>
      <c r="BY262" s="294"/>
      <c r="BZ262" s="293"/>
      <c r="CA262" s="294"/>
      <c r="CB262" s="293"/>
      <c r="CC262" s="294"/>
      <c r="CD262" s="293"/>
      <c r="CE262" s="294"/>
      <c r="CF262" s="293"/>
      <c r="CG262" s="294"/>
      <c r="CH262" s="293"/>
      <c r="CI262" s="294"/>
      <c r="CJ262" s="293"/>
      <c r="CK262" s="294"/>
      <c r="CL262" s="293"/>
      <c r="CM262" s="294"/>
      <c r="CN262" s="293"/>
      <c r="CO262" s="294"/>
      <c r="CP262" s="293"/>
      <c r="CQ262" s="294"/>
      <c r="CR262" s="293"/>
      <c r="CS262" s="294"/>
      <c r="CT262" s="293"/>
      <c r="CU262" s="294"/>
      <c r="CV262" s="293"/>
      <c r="CW262" s="294"/>
      <c r="CX262" s="293"/>
      <c r="CY262" s="294"/>
      <c r="CZ262" s="293"/>
      <c r="DA262" s="294"/>
      <c r="DB262" s="293"/>
      <c r="DC262" s="294"/>
      <c r="DD262" s="293"/>
      <c r="DE262" s="294"/>
      <c r="DF262" s="293"/>
      <c r="DG262" s="294"/>
      <c r="DH262" s="293"/>
      <c r="DI262" s="294"/>
      <c r="DJ262" s="293"/>
      <c r="DK262" s="294"/>
      <c r="DL262" s="293"/>
      <c r="DM262" s="294"/>
      <c r="DN262" s="293"/>
      <c r="DO262" s="294"/>
      <c r="DP262" s="293"/>
      <c r="DQ262" s="294"/>
      <c r="DR262" s="293"/>
      <c r="DS262" s="294"/>
      <c r="DT262" s="293"/>
      <c r="DU262" s="294"/>
      <c r="DV262" s="293"/>
      <c r="DW262" s="292"/>
      <c r="DX262" s="293"/>
      <c r="DY262" s="292"/>
      <c r="DZ262" s="293"/>
      <c r="EA262" s="292"/>
      <c r="EB262" s="293"/>
      <c r="EC262" s="292"/>
      <c r="ED262" s="293"/>
      <c r="EE262" s="292"/>
      <c r="EF262" s="293"/>
      <c r="EG262" s="292"/>
      <c r="EH262" s="293"/>
      <c r="EI262" s="292"/>
      <c r="EJ262" s="293"/>
      <c r="EK262" s="292"/>
      <c r="EL262" s="293"/>
      <c r="EM262" s="292"/>
      <c r="EN262" s="293"/>
      <c r="EO262" s="292"/>
      <c r="EP262" s="293"/>
      <c r="EQ262" s="292"/>
      <c r="ER262" s="293"/>
      <c r="ES262" s="292"/>
      <c r="ET262" s="293"/>
      <c r="EU262" s="292"/>
      <c r="EV262" s="293"/>
      <c r="EW262" s="292"/>
      <c r="EX262" s="293"/>
      <c r="EY262" s="293"/>
      <c r="EZ262" s="299"/>
      <c r="FA262" s="293"/>
      <c r="FB262" s="292"/>
      <c r="FC262" s="293"/>
      <c r="FD262" s="292"/>
      <c r="FE262" s="293"/>
      <c r="FF262" s="292"/>
      <c r="FG262" s="293"/>
      <c r="FH262" s="292"/>
      <c r="FI262" s="293"/>
      <c r="FJ262" s="292"/>
      <c r="FK262" s="293"/>
      <c r="FL262" s="292"/>
      <c r="FM262" s="293"/>
      <c r="FN262" s="292"/>
      <c r="FO262" s="293"/>
      <c r="FP262" s="292"/>
      <c r="FQ262" s="293"/>
      <c r="FR262" s="294"/>
      <c r="FS262" s="293"/>
      <c r="FT262" s="294"/>
      <c r="FU262" s="293"/>
      <c r="FV262" s="294"/>
      <c r="FW262" s="293"/>
      <c r="FX262" s="294"/>
      <c r="FY262" s="293"/>
      <c r="FZ262" s="294"/>
      <c r="GA262" s="293"/>
      <c r="GB262" s="294"/>
      <c r="GC262" s="293"/>
      <c r="GD262" s="294"/>
      <c r="GE262" s="293"/>
      <c r="GF262" s="294"/>
      <c r="GG262" s="293"/>
      <c r="GH262" s="294"/>
      <c r="GI262" s="293"/>
      <c r="GJ262" s="294"/>
      <c r="GK262" s="293"/>
      <c r="GL262" s="294"/>
      <c r="GM262" s="293"/>
      <c r="GN262" s="294"/>
      <c r="GO262" s="293"/>
      <c r="GP262" s="294"/>
      <c r="GQ262" s="293"/>
      <c r="GR262" s="292"/>
      <c r="GS262" s="293"/>
      <c r="GT262" s="292"/>
      <c r="GU262" s="293"/>
      <c r="GV262" s="292"/>
      <c r="GW262" s="293"/>
      <c r="GX262" s="292"/>
      <c r="GY262" s="293"/>
      <c r="GZ262" s="293"/>
      <c r="HA262" s="293"/>
      <c r="HB262" s="293"/>
      <c r="HC262"/>
      <c r="HD262"/>
      <c r="HE262"/>
      <c r="HF262"/>
      <c r="HG262"/>
      <c r="HH262"/>
      <c r="HI262" s="290"/>
    </row>
    <row r="263" spans="1:217" s="3" customFormat="1" ht="12.75" customHeight="1" x14ac:dyDescent="0.2">
      <c r="B263" s="77"/>
      <c r="C263" s="75"/>
      <c r="D263" s="72"/>
      <c r="E263" s="75"/>
      <c r="F263" s="72"/>
      <c r="G263" s="75"/>
      <c r="H263" s="72"/>
      <c r="I263" s="75"/>
      <c r="J263" s="72"/>
      <c r="K263" s="75"/>
      <c r="L263" s="72"/>
      <c r="M263" s="75"/>
      <c r="N263" s="72"/>
      <c r="O263" s="75"/>
      <c r="P263" s="72"/>
      <c r="Q263" s="75"/>
      <c r="R263" s="72"/>
      <c r="S263" s="75"/>
      <c r="T263" s="72"/>
      <c r="U263" s="75"/>
      <c r="V263" s="72"/>
      <c r="W263" s="75"/>
      <c r="X263" s="72"/>
      <c r="Y263" s="75"/>
      <c r="Z263" s="72"/>
      <c r="AA263" s="75"/>
      <c r="AB263" s="72"/>
      <c r="AC263" s="75"/>
      <c r="AD263" s="72"/>
      <c r="AE263" s="75"/>
      <c r="AF263" s="72"/>
      <c r="AG263" s="75"/>
      <c r="AH263" s="72"/>
      <c r="AI263" s="75"/>
      <c r="AJ263" s="72"/>
      <c r="AK263" s="75"/>
      <c r="AL263" s="72"/>
      <c r="AM263" s="75"/>
      <c r="AN263" s="72"/>
      <c r="AO263" s="75"/>
      <c r="AP263" s="72"/>
      <c r="AQ263" s="75"/>
      <c r="AR263" s="72"/>
      <c r="AS263" s="75"/>
      <c r="AT263" s="72"/>
      <c r="AU263" s="75"/>
      <c r="AV263" s="72"/>
      <c r="AW263" s="75"/>
      <c r="AX263" s="72"/>
      <c r="AY263" s="75"/>
      <c r="AZ263" s="72"/>
      <c r="BA263" s="75"/>
      <c r="BB263" s="72"/>
      <c r="BC263" s="75"/>
      <c r="BD263" s="72"/>
      <c r="BE263" s="75"/>
      <c r="BF263" s="72"/>
      <c r="BG263" s="75"/>
      <c r="BH263" s="72"/>
      <c r="BI263" s="75"/>
      <c r="BJ263" s="72"/>
      <c r="BK263" s="75"/>
      <c r="BL263" s="72"/>
      <c r="BM263" s="75"/>
      <c r="BN263" s="72"/>
      <c r="BO263" s="75"/>
      <c r="BP263" s="72"/>
      <c r="BQ263" s="75"/>
      <c r="BR263" s="72"/>
      <c r="BS263" s="75"/>
      <c r="BT263" s="72"/>
      <c r="BU263" s="75"/>
      <c r="BV263" s="72"/>
      <c r="BW263" s="75"/>
      <c r="BX263" s="72"/>
      <c r="BY263" s="75"/>
      <c r="BZ263" s="72"/>
      <c r="CA263" s="75"/>
      <c r="CB263" s="72"/>
      <c r="CC263" s="75"/>
      <c r="CD263" s="72"/>
      <c r="CE263" s="75"/>
      <c r="CF263" s="72"/>
      <c r="CG263" s="75"/>
      <c r="CH263" s="72"/>
      <c r="CI263" s="75"/>
      <c r="CJ263" s="72"/>
      <c r="CK263" s="75"/>
      <c r="CL263" s="72"/>
      <c r="CM263" s="75"/>
      <c r="CN263" s="72"/>
      <c r="CO263" s="75"/>
      <c r="CP263" s="72"/>
      <c r="CQ263" s="75"/>
      <c r="CR263" s="72"/>
      <c r="CS263" s="75"/>
      <c r="CT263" s="72"/>
      <c r="CU263" s="75"/>
      <c r="CV263" s="72"/>
      <c r="CW263" s="75"/>
      <c r="CX263" s="72"/>
      <c r="CY263" s="75"/>
      <c r="CZ263" s="72"/>
      <c r="DA263" s="75"/>
      <c r="DB263" s="72"/>
      <c r="DC263" s="75"/>
      <c r="DD263" s="72"/>
      <c r="DE263" s="75"/>
      <c r="DF263" s="72"/>
      <c r="DG263" s="75"/>
      <c r="DH263" s="72"/>
      <c r="DI263" s="75"/>
      <c r="DJ263" s="72"/>
      <c r="DK263" s="75"/>
      <c r="DL263" s="72"/>
      <c r="DM263" s="75"/>
      <c r="DN263" s="72"/>
      <c r="DO263" s="75"/>
      <c r="DP263" s="72"/>
      <c r="DQ263" s="75"/>
      <c r="DR263" s="72"/>
      <c r="DS263" s="75"/>
      <c r="DT263" s="72"/>
      <c r="DU263" s="75"/>
      <c r="DV263" s="72"/>
      <c r="DW263" s="75"/>
      <c r="DX263" s="72"/>
      <c r="DY263" s="75"/>
      <c r="DZ263" s="72"/>
      <c r="EA263" s="75"/>
      <c r="EB263" s="72"/>
      <c r="EC263" s="75"/>
      <c r="ED263" s="72"/>
      <c r="EE263" s="75"/>
      <c r="EF263" s="72"/>
      <c r="EG263" s="75"/>
      <c r="EH263" s="72"/>
      <c r="EI263" s="75"/>
      <c r="EJ263" s="72"/>
      <c r="EK263" s="75"/>
      <c r="EL263" s="72"/>
      <c r="EM263" s="75"/>
      <c r="EN263" s="72"/>
      <c r="EO263" s="75"/>
      <c r="EP263" s="72"/>
      <c r="EQ263" s="75"/>
      <c r="ER263" s="72"/>
      <c r="ES263" s="75"/>
      <c r="ET263" s="72"/>
      <c r="EU263" s="75"/>
      <c r="EV263" s="72"/>
      <c r="EW263" s="75"/>
      <c r="EX263" s="72"/>
      <c r="EY263" s="72"/>
      <c r="EZ263" s="309"/>
      <c r="FA263" s="72"/>
      <c r="FB263" s="81"/>
      <c r="FC263" s="72"/>
      <c r="FD263" s="81"/>
      <c r="FE263" s="72"/>
      <c r="FF263" s="81"/>
      <c r="FG263" s="72"/>
      <c r="FH263" s="81"/>
      <c r="FI263" s="72"/>
      <c r="FJ263" s="81"/>
      <c r="FK263" s="72"/>
      <c r="FL263" s="81"/>
      <c r="FM263" s="72"/>
      <c r="FN263" s="81"/>
      <c r="FO263" s="72"/>
      <c r="FP263" s="81"/>
      <c r="FQ263" s="72"/>
      <c r="FR263" s="75"/>
      <c r="FS263" s="72"/>
      <c r="FT263" s="75"/>
      <c r="FU263" s="72"/>
      <c r="FV263" s="75"/>
      <c r="FW263" s="72"/>
      <c r="FX263" s="75"/>
      <c r="FY263" s="72"/>
      <c r="FZ263" s="75"/>
      <c r="GA263" s="72"/>
      <c r="GB263" s="75"/>
      <c r="GC263" s="72"/>
      <c r="GD263" s="75"/>
      <c r="GE263" s="72"/>
      <c r="GF263" s="75"/>
      <c r="GG263" s="72"/>
      <c r="GH263" s="75"/>
      <c r="GI263" s="72"/>
      <c r="GJ263" s="75"/>
      <c r="GK263" s="72"/>
      <c r="GL263" s="75"/>
      <c r="GM263" s="72"/>
      <c r="GN263" s="75"/>
      <c r="GO263" s="72"/>
      <c r="GP263" s="75"/>
      <c r="GQ263" s="72"/>
      <c r="GR263" s="75"/>
      <c r="GS263" s="72"/>
      <c r="GT263" s="75"/>
      <c r="GU263" s="72"/>
      <c r="GV263" s="75"/>
      <c r="GW263" s="72"/>
      <c r="GX263" s="75"/>
      <c r="GY263" s="72"/>
      <c r="GZ263" s="72"/>
      <c r="HA263" s="72"/>
      <c r="HB263" s="72"/>
      <c r="HC263"/>
      <c r="HD263"/>
      <c r="HE263"/>
      <c r="HF263"/>
      <c r="HG263"/>
      <c r="HH263"/>
      <c r="HI263" s="2"/>
    </row>
    <row r="264" spans="1:217" s="3" customFormat="1" ht="12.75" customHeight="1" x14ac:dyDescent="0.2">
      <c r="B264" s="114" t="s">
        <v>425</v>
      </c>
      <c r="C264" s="81"/>
      <c r="D264" s="72"/>
      <c r="E264" s="81"/>
      <c r="F264" s="72"/>
      <c r="G264" s="81"/>
      <c r="H264" s="72"/>
      <c r="I264" s="81"/>
      <c r="J264" s="72"/>
      <c r="K264" s="81"/>
      <c r="L264" s="72"/>
      <c r="M264" s="81"/>
      <c r="N264" s="72"/>
      <c r="O264" s="81"/>
      <c r="P264" s="72"/>
      <c r="Q264" s="81"/>
      <c r="R264" s="72"/>
      <c r="S264" s="81"/>
      <c r="T264" s="72"/>
      <c r="U264" s="81"/>
      <c r="V264" s="72"/>
      <c r="W264" s="81"/>
      <c r="X264" s="72"/>
      <c r="Y264" s="81"/>
      <c r="Z264" s="72"/>
      <c r="AA264" s="81"/>
      <c r="AB264" s="72"/>
      <c r="AC264" s="81"/>
      <c r="AD264" s="72"/>
      <c r="AE264" s="81"/>
      <c r="AF264" s="72"/>
      <c r="AG264" s="81"/>
      <c r="AH264" s="72"/>
      <c r="AI264" s="81"/>
      <c r="AJ264" s="72"/>
      <c r="AK264" s="81"/>
      <c r="AL264" s="72"/>
      <c r="AM264" s="81"/>
      <c r="AN264" s="72"/>
      <c r="AO264" s="81"/>
      <c r="AP264" s="72"/>
      <c r="AQ264" s="81"/>
      <c r="AR264" s="72"/>
      <c r="AS264" s="81"/>
      <c r="AT264" s="72"/>
      <c r="AU264" s="81"/>
      <c r="AV264" s="72"/>
      <c r="AW264" s="81"/>
      <c r="AX264" s="72"/>
      <c r="AY264" s="81"/>
      <c r="AZ264" s="72"/>
      <c r="BA264" s="81"/>
      <c r="BB264" s="72"/>
      <c r="BC264" s="81"/>
      <c r="BD264" s="72"/>
      <c r="BE264" s="81"/>
      <c r="BF264" s="72"/>
      <c r="BG264" s="81"/>
      <c r="BH264" s="72"/>
      <c r="BI264" s="81"/>
      <c r="BJ264" s="72"/>
      <c r="BK264" s="81"/>
      <c r="BL264" s="72"/>
      <c r="BM264" s="81"/>
      <c r="BN264" s="72"/>
      <c r="BO264" s="81"/>
      <c r="BP264" s="72"/>
      <c r="BQ264" s="81"/>
      <c r="BR264" s="72"/>
      <c r="BS264" s="81"/>
      <c r="BT264" s="72"/>
      <c r="BU264" s="81"/>
      <c r="BV264" s="72"/>
      <c r="BW264" s="81"/>
      <c r="BX264" s="72"/>
      <c r="BY264" s="81"/>
      <c r="BZ264" s="72"/>
      <c r="CA264" s="81"/>
      <c r="CB264" s="72"/>
      <c r="CC264" s="81"/>
      <c r="CD264" s="72"/>
      <c r="CE264" s="81"/>
      <c r="CF264" s="72"/>
      <c r="CG264" s="81"/>
      <c r="CH264" s="72"/>
      <c r="CI264" s="81"/>
      <c r="CJ264" s="72"/>
      <c r="CK264" s="81"/>
      <c r="CL264" s="72"/>
      <c r="CM264" s="81"/>
      <c r="CN264" s="72"/>
      <c r="CO264" s="81"/>
      <c r="CP264" s="72"/>
      <c r="CQ264" s="81"/>
      <c r="CR264" s="72"/>
      <c r="CS264" s="81"/>
      <c r="CT264" s="72"/>
      <c r="CU264" s="81"/>
      <c r="CV264" s="72"/>
      <c r="CW264" s="81"/>
      <c r="CX264" s="72"/>
      <c r="CY264" s="81"/>
      <c r="CZ264" s="72"/>
      <c r="DA264" s="81"/>
      <c r="DB264" s="72"/>
      <c r="DC264" s="81"/>
      <c r="DD264" s="72"/>
      <c r="DE264" s="81"/>
      <c r="DF264" s="72"/>
      <c r="DG264" s="81"/>
      <c r="DH264" s="72"/>
      <c r="DI264" s="81"/>
      <c r="DJ264" s="72"/>
      <c r="DK264" s="81"/>
      <c r="DL264" s="72"/>
      <c r="DM264" s="81"/>
      <c r="DN264" s="72"/>
      <c r="DO264" s="81"/>
      <c r="DP264" s="72"/>
      <c r="DQ264" s="81"/>
      <c r="DR264" s="72"/>
      <c r="DS264" s="81"/>
      <c r="DT264" s="72"/>
      <c r="DU264" s="81"/>
      <c r="DV264" s="72"/>
      <c r="DW264" s="81"/>
      <c r="DX264" s="72"/>
      <c r="DY264" s="81"/>
      <c r="DZ264" s="72"/>
      <c r="EA264" s="81"/>
      <c r="EB264" s="72"/>
      <c r="EC264" s="81"/>
      <c r="ED264" s="72"/>
      <c r="EE264" s="81"/>
      <c r="EF264" s="72"/>
      <c r="EG264" s="81"/>
      <c r="EH264" s="72"/>
      <c r="EI264" s="81"/>
      <c r="EJ264" s="72"/>
      <c r="EK264" s="81"/>
      <c r="EL264" s="72"/>
      <c r="EM264" s="81"/>
      <c r="EN264" s="72"/>
      <c r="EO264" s="81"/>
      <c r="EP264" s="72"/>
      <c r="EQ264" s="81"/>
      <c r="ER264" s="72"/>
      <c r="ES264" s="81"/>
      <c r="ET264" s="72"/>
      <c r="EU264" s="81"/>
      <c r="EV264" s="72"/>
      <c r="EW264" s="81"/>
      <c r="EX264" s="72"/>
      <c r="EY264" s="72"/>
      <c r="EZ264" s="309"/>
      <c r="FA264" s="72"/>
      <c r="FB264" s="81"/>
      <c r="FC264" s="72"/>
      <c r="FD264" s="81"/>
      <c r="FE264" s="72"/>
      <c r="FF264" s="81"/>
      <c r="FG264" s="72"/>
      <c r="FH264" s="81"/>
      <c r="FI264" s="72"/>
      <c r="FJ264" s="81"/>
      <c r="FK264" s="72"/>
      <c r="FL264" s="81"/>
      <c r="FM264" s="72"/>
      <c r="FN264" s="81"/>
      <c r="FO264" s="72"/>
      <c r="FP264" s="86"/>
      <c r="FQ264" s="72"/>
      <c r="FR264" s="81"/>
      <c r="FS264" s="72"/>
      <c r="FT264" s="81"/>
      <c r="FU264" s="72"/>
      <c r="FV264" s="81"/>
      <c r="FW264" s="72"/>
      <c r="FX264" s="81"/>
      <c r="FY264" s="72"/>
      <c r="FZ264" s="81"/>
      <c r="GA264" s="72"/>
      <c r="GB264" s="81"/>
      <c r="GC264" s="72"/>
      <c r="GD264" s="81"/>
      <c r="GE264" s="72"/>
      <c r="GF264" s="81"/>
      <c r="GG264" s="72"/>
      <c r="GH264" s="81"/>
      <c r="GI264" s="72"/>
      <c r="GJ264" s="81"/>
      <c r="GK264" s="72"/>
      <c r="GL264" s="81"/>
      <c r="GM264" s="72"/>
      <c r="GN264" s="81"/>
      <c r="GO264" s="72"/>
      <c r="GP264" s="81"/>
      <c r="GQ264" s="72"/>
      <c r="GR264" s="81"/>
      <c r="GS264" s="72"/>
      <c r="GT264" s="81"/>
      <c r="GU264" s="72"/>
      <c r="GV264" s="81"/>
      <c r="GW264" s="72"/>
      <c r="GX264" s="81"/>
      <c r="GY264" s="72"/>
      <c r="GZ264" s="72"/>
      <c r="HA264" s="72"/>
      <c r="HB264" s="72"/>
      <c r="HC264"/>
      <c r="HD264"/>
      <c r="HE264"/>
      <c r="HF264"/>
      <c r="HG264"/>
      <c r="HH264"/>
      <c r="HI264" s="2"/>
    </row>
    <row r="265" spans="1:217" s="3" customFormat="1" ht="12.75" customHeight="1" x14ac:dyDescent="0.2">
      <c r="B265" s="76" t="s">
        <v>599</v>
      </c>
      <c r="C265" s="75"/>
      <c r="D265" s="72"/>
      <c r="E265" s="75"/>
      <c r="F265" s="72"/>
      <c r="G265" s="75"/>
      <c r="H265" s="72"/>
      <c r="I265" s="75"/>
      <c r="J265" s="72"/>
      <c r="K265" s="75"/>
      <c r="L265" s="87"/>
      <c r="M265" s="75"/>
      <c r="N265" s="87"/>
      <c r="O265" s="75"/>
      <c r="P265" s="87"/>
      <c r="Q265" s="75"/>
      <c r="R265" s="87"/>
      <c r="S265" s="75"/>
      <c r="T265" s="87"/>
      <c r="U265" s="75"/>
      <c r="V265" s="87"/>
      <c r="W265" s="75"/>
      <c r="X265" s="87"/>
      <c r="Y265" s="75"/>
      <c r="Z265" s="87"/>
      <c r="AA265" s="75"/>
      <c r="AB265" s="87"/>
      <c r="AC265" s="75"/>
      <c r="AD265" s="87"/>
      <c r="AE265" s="75"/>
      <c r="AF265" s="87"/>
      <c r="AG265" s="75"/>
      <c r="AH265" s="87"/>
      <c r="AI265" s="75"/>
      <c r="AJ265" s="87"/>
      <c r="AK265" s="75"/>
      <c r="AL265" s="87"/>
      <c r="AM265" s="75"/>
      <c r="AN265" s="87"/>
      <c r="AO265" s="75"/>
      <c r="AP265" s="87"/>
      <c r="AQ265" s="75"/>
      <c r="AR265" s="87"/>
      <c r="AS265" s="75"/>
      <c r="AT265" s="87"/>
      <c r="AU265" s="75">
        <v>91.1</v>
      </c>
      <c r="AV265" s="87" t="str">
        <f t="shared" ref="AV265:AV272" si="1534">IF(ISERROR(AU265/AM265),"NA",IF(OR(AU265/AM265&gt;2,AU265/AM265&lt;0.5),"NM",AU265/AM265*100-100))</f>
        <v>NA</v>
      </c>
      <c r="AW265" s="75">
        <f>AU270</f>
        <v>95</v>
      </c>
      <c r="AX265" s="87" t="str">
        <f t="shared" ref="AX265:AX272" si="1535">IF(ISERROR(AW265/AO265),"NA",IF(OR(AW265/AO265&gt;2,AW265/AO265&lt;0.5),"NM",AW265/AO265*100-100))</f>
        <v>NA</v>
      </c>
      <c r="AY265" s="75">
        <f>AW270</f>
        <v>101.3</v>
      </c>
      <c r="AZ265" s="87" t="str">
        <f t="shared" ref="AZ265:AZ272" si="1536">IF(ISERROR(AY265/AQ265),"NA",IF(OR(AY265/AQ265&gt;2,AY265/AQ265&lt;0.5),"NM",AY265/AQ265*100-100))</f>
        <v>NA</v>
      </c>
      <c r="BA265" s="75">
        <f>AY270</f>
        <v>106.7</v>
      </c>
      <c r="BB265" s="87" t="str">
        <f t="shared" ref="BB265:BB272" si="1537">IF(ISERROR(BA265/AS265),"NA",IF(OR(BA265/AS265&gt;2,BA265/AS265&lt;0.5),"NM",BA265/AS265*100-100))</f>
        <v>NA</v>
      </c>
      <c r="BC265" s="75">
        <f>BA270</f>
        <v>107.1</v>
      </c>
      <c r="BD265" s="87">
        <f t="shared" ref="BD265:BD272" si="1538">IF(ISERROR(BC265/AU265),"NA",IF(OR(BC265/AU265&gt;2,BC265/AU265&lt;0.5),"NM",BC265/AU265*100-100))</f>
        <v>17.563117453347971</v>
      </c>
      <c r="BE265" s="75">
        <f>BC270</f>
        <v>115</v>
      </c>
      <c r="BF265" s="87">
        <f t="shared" ref="BF265:BF272" si="1539">IF(ISERROR(BE265/AW265),"NA",IF(OR(BE265/AW265&gt;2,BE265/AW265&lt;0.5),"NM",BE265/AW265*100-100))</f>
        <v>21.05263157894737</v>
      </c>
      <c r="BG265" s="75">
        <f>BE270</f>
        <v>122.89999999999999</v>
      </c>
      <c r="BH265" s="87">
        <f t="shared" ref="BH265:BH272" si="1540">IF(ISERROR(BG265/AY265),"NA",IF(OR(BG265/AY265&gt;2,BG265/AY265&lt;0.5),"NM",BG265/AY265*100-100))</f>
        <v>21.322803553800583</v>
      </c>
      <c r="BI265" s="75">
        <f>BG270</f>
        <v>126.99999999999999</v>
      </c>
      <c r="BJ265" s="87">
        <f t="shared" ref="BJ265:BJ272" si="1541">IF(ISERROR(BI265/BA265),"NA",IF(OR(BI265/BA265&gt;2,BI265/BA265&lt;0.5),"NM",BI265/BA265*100-100))</f>
        <v>19.025304592314882</v>
      </c>
      <c r="BK265" s="75">
        <f>BI270</f>
        <v>132</v>
      </c>
      <c r="BL265" s="87">
        <f t="shared" ref="BL265:BL272" si="1542">IF(ISERROR(BK265/BC265),"NA",IF(OR(BK265/BC265&gt;2,BK265/BC265&lt;0.5),"NM",BK265/BC265*100-100))</f>
        <v>23.249299719887958</v>
      </c>
      <c r="BM265" s="75">
        <f>BK270</f>
        <v>135</v>
      </c>
      <c r="BN265" s="87">
        <f t="shared" ref="BN265:BN272" si="1543">IF(ISERROR(BM265/BE265),"NA",IF(OR(BM265/BE265&gt;2,BM265/BE265&lt;0.5),"NM",BM265/BE265*100-100))</f>
        <v>17.391304347826093</v>
      </c>
      <c r="BO265" s="75">
        <f>BM270</f>
        <v>141.69999999999999</v>
      </c>
      <c r="BP265" s="87">
        <f t="shared" ref="BP265:BP272" si="1544">IF(ISERROR(BO265/BG265),"NA",IF(OR(BO265/BG265&gt;2,BO265/BG265&lt;0.5),"NM",BO265/BG265*100-100))</f>
        <v>15.296989422294544</v>
      </c>
      <c r="BQ265" s="75">
        <f>BO270</f>
        <v>140.09999999999997</v>
      </c>
      <c r="BR265" s="87">
        <f t="shared" ref="BR265:BR272" si="1545">IF(ISERROR(BQ265/BI265),"NA",IF(OR(BQ265/BI265&gt;2,BQ265/BI265&lt;0.5),"NM",BQ265/BI265*100-100))</f>
        <v>10.314960629921259</v>
      </c>
      <c r="BS265" s="75">
        <f>BQ270</f>
        <v>145.79999999999998</v>
      </c>
      <c r="BT265" s="87">
        <f t="shared" ref="BT265:BT272" si="1546">IF(ISERROR(BS265/BK265),"NA",IF(OR(BS265/BK265&gt;2,BS265/BK265&lt;0.5),"NM",BS265/BK265*100-100))</f>
        <v>10.454545454545453</v>
      </c>
      <c r="BU265" s="75">
        <f>BS270</f>
        <v>138.59999999999997</v>
      </c>
      <c r="BV265" s="87">
        <f t="shared" ref="BV265:BV272" si="1547">IF(ISERROR(BU265/BM265),"NA",IF(OR(BU265/BM265&gt;2,BU265/BM265&lt;0.5),"NM",BU265/BM265*100-100))</f>
        <v>2.666666666666643</v>
      </c>
      <c r="BW265" s="75">
        <f>BU270</f>
        <v>128.49999999999997</v>
      </c>
      <c r="BX265" s="72">
        <f t="shared" ref="BX265:BX272" si="1548">IF(ISERROR(BW265/BO265),"NA",IF(OR(BW265/BO265&gt;2,BW265/BO265&lt;0.5),"NM",BW265/BO265*100-100))</f>
        <v>-9.3154551870148339</v>
      </c>
      <c r="BY265" s="75">
        <f>BW270</f>
        <v>120.59999999999998</v>
      </c>
      <c r="BZ265" s="72">
        <f t="shared" ref="BZ265:BZ272" si="1549">IF(ISERROR(BY265/BQ265),"NA",IF(OR(BY265/BQ265&gt;2,BY265/BQ265&lt;0.5),"NM",BY265/BQ265*100-100))</f>
        <v>-13.918629550321199</v>
      </c>
      <c r="CA265" s="75">
        <f>BY270</f>
        <v>128.89999999999998</v>
      </c>
      <c r="CB265" s="72">
        <f t="shared" ref="CB265:CB272" si="1550">IF(ISERROR(CA265/BS265),"NA",IF(OR(CA265/BS265&gt;2,CA265/BS265&lt;0.5),"NM",CA265/BS265*100-100))</f>
        <v>-11.591220850480113</v>
      </c>
      <c r="CC265" s="75">
        <f>CA270</f>
        <v>143.57999999999998</v>
      </c>
      <c r="CD265" s="72">
        <f t="shared" ref="CD265:CD272" si="1551">IF(ISERROR(CC265/BU265),"NA",IF(OR(CC265/BU265&gt;2,CC265/BU265&lt;0.5),"NM",CC265/BU265*100-100))</f>
        <v>3.593073593073612</v>
      </c>
      <c r="CE265" s="75">
        <f>CC270</f>
        <v>151.88</v>
      </c>
      <c r="CF265" s="72">
        <f t="shared" ref="CF265:CF272" si="1552">IF(ISERROR(CE265/BW265),"NA",IF(OR(CE265/BW265&gt;2,CE265/BW265&lt;0.5),"NM",CE265/BW265*100-100))</f>
        <v>18.1945525291829</v>
      </c>
      <c r="CG265" s="75">
        <f>CE270</f>
        <v>156.88</v>
      </c>
      <c r="CH265" s="72">
        <f t="shared" ref="CH265:CH272" si="1553">IF(ISERROR(CG265/BY265),"NA",IF(OR(CG265/BY265&gt;2,CG265/BY265&lt;0.5),"NM",CG265/BY265*100-100))</f>
        <v>30.082918739635176</v>
      </c>
      <c r="CI265" s="75">
        <f>CG270</f>
        <v>167.17999999999998</v>
      </c>
      <c r="CJ265" s="72">
        <f t="shared" ref="CJ265:CT272" si="1554">IF(ISERROR(CI265/CA265),"NA",IF(OR(CI265/CA265&gt;2,CI265/CA265&lt;0.5),"NM",CI265/CA265*100-100))</f>
        <v>29.69743987587276</v>
      </c>
      <c r="CK265" s="75">
        <f>CI270</f>
        <v>183.98</v>
      </c>
      <c r="CL265" s="72">
        <f t="shared" si="1554"/>
        <v>28.137623624460247</v>
      </c>
      <c r="CM265" s="86">
        <v>200.1</v>
      </c>
      <c r="CN265" s="72">
        <f t="shared" si="1554"/>
        <v>31.748749012378198</v>
      </c>
      <c r="CO265" s="81">
        <f>CM270</f>
        <v>211.9</v>
      </c>
      <c r="CP265" s="72">
        <f t="shared" si="1554"/>
        <v>35.071392146863843</v>
      </c>
      <c r="CQ265" s="81">
        <f>CO270</f>
        <v>221.6</v>
      </c>
      <c r="CR265" s="72">
        <f t="shared" si="1554"/>
        <v>32.551740638832428</v>
      </c>
      <c r="CS265" s="81">
        <f>CQ270</f>
        <v>224</v>
      </c>
      <c r="CT265" s="72">
        <f t="shared" si="1554"/>
        <v>21.752364387433417</v>
      </c>
      <c r="CU265" s="81">
        <f>CS270</f>
        <v>234.20000000000005</v>
      </c>
      <c r="CV265" s="72">
        <f t="shared" ref="CV265:CV272" si="1555">IF(ISERROR(CU265/CM265),"NA",IF(OR(CU265/CM265&gt;2,CU265/CM265&lt;0.5),"NM",CU265/CM265*100-100))</f>
        <v>17.041479260369854</v>
      </c>
      <c r="CW265" s="81">
        <f>CU270</f>
        <v>247.50000000000003</v>
      </c>
      <c r="CX265" s="72">
        <f t="shared" ref="CX265:CX272" si="1556">IF(ISERROR(CW265/CO265),"NA",IF(OR(CW265/CO265&gt;2,CW265/CO265&lt;0.5),"NM",CW265/CO265*100-100))</f>
        <v>16.800377536573862</v>
      </c>
      <c r="CY265" s="81">
        <f>CW270</f>
        <v>251.40000000000003</v>
      </c>
      <c r="CZ265" s="72">
        <f t="shared" ref="CZ265:CZ272" si="1557">IF(ISERROR(CY265/CQ265),"NA",IF(OR(CY265/CQ265&gt;2,CY265/CQ265&lt;0.5),"NM",CY265/CQ265*100-100))</f>
        <v>13.447653429602894</v>
      </c>
      <c r="DA265" s="81">
        <f>CY270</f>
        <v>263.8</v>
      </c>
      <c r="DB265" s="72">
        <f t="shared" ref="DB265:DB272" si="1558">IF(ISERROR(DA265/CS265),"NA",IF(OR(DA265/CS265&gt;2,DA265/CS265&lt;0.5),"NM",DA265/CS265*100-100))</f>
        <v>17.767857142857153</v>
      </c>
      <c r="DC265" s="81">
        <f>DA270</f>
        <v>274.60000000000008</v>
      </c>
      <c r="DD265" s="72">
        <f t="shared" ref="DD265:DD272" si="1559">IF(ISERROR(DC265/CU265),"NA",IF(OR(DC265/CU265&gt;2,DC265/CU265&lt;0.5),"NM",DC265/CU265*100-100))</f>
        <v>17.250213492741253</v>
      </c>
      <c r="DE265" s="81">
        <f>DC270</f>
        <v>282.90000000000003</v>
      </c>
      <c r="DF265" s="72">
        <f t="shared" ref="DF265:DF272" si="1560">IF(ISERROR(DE265/CW265),"NA",IF(OR(DE265/CW265&gt;2,DE265/CW265&lt;0.5),"NM",DE265/CW265*100-100))</f>
        <v>14.303030303030312</v>
      </c>
      <c r="DG265" s="81">
        <f>DE270</f>
        <v>279.60000000000002</v>
      </c>
      <c r="DH265" s="72">
        <f t="shared" ref="DH265:DH272" si="1561">IF(ISERROR(DG265/CY265),"NA",IF(OR(DG265/CY265&gt;2,DG265/CY265&lt;0.5),"NM",DG265/CY265*100-100))</f>
        <v>11.217183770883054</v>
      </c>
      <c r="DI265" s="81">
        <f>DG270</f>
        <v>290.00000000000006</v>
      </c>
      <c r="DJ265" s="72">
        <f t="shared" ref="DJ265:DJ272" si="1562">IF(ISERROR(DI265/DA265),"NA",IF(OR(DI265/DA265&gt;2,DI265/DA265&lt;0.5),"NM",DI265/DA265*100-100))</f>
        <v>9.9317664897649962</v>
      </c>
      <c r="DK265" s="81">
        <f>DI270</f>
        <v>300.50000000000006</v>
      </c>
      <c r="DL265" s="72">
        <f t="shared" ref="DL265:DL272" si="1563">IF(ISERROR(DK265/DC265),"NA",IF(OR(DK265/DC265&gt;2,DK265/DC265&lt;0.5),"NM",DK265/DC265*100-100))</f>
        <v>9.4319009468317461</v>
      </c>
      <c r="DM265" s="81">
        <f>DK270</f>
        <v>310.40000000000003</v>
      </c>
      <c r="DN265" s="72">
        <f t="shared" ref="DN265:DZ272" si="1564">IF(ISERROR(DM265/DE265),"NA",IF(OR(DM265/DE265&gt;2,DM265/DE265&lt;0.5),"NM",DM265/DE265*100-100))</f>
        <v>9.7207493814068613</v>
      </c>
      <c r="DO265" s="81">
        <f>DM270</f>
        <v>323.50000000000006</v>
      </c>
      <c r="DP265" s="72">
        <f t="shared" si="1564"/>
        <v>15.701001430615165</v>
      </c>
      <c r="DQ265" s="81">
        <f>DO270</f>
        <v>320.7000000000001</v>
      </c>
      <c r="DR265" s="72">
        <f t="shared" si="1564"/>
        <v>10.586206896551744</v>
      </c>
      <c r="DS265" s="81">
        <f>DQ270</f>
        <v>323.60000000000014</v>
      </c>
      <c r="DT265" s="72">
        <f t="shared" si="1564"/>
        <v>7.6871880199667544</v>
      </c>
      <c r="DU265" s="81">
        <f>DS270</f>
        <v>334.10000000000014</v>
      </c>
      <c r="DV265" s="72">
        <f t="shared" si="1564"/>
        <v>7.6353092783505474</v>
      </c>
      <c r="DW265" s="81">
        <f t="shared" ref="DW265:EE265" si="1565">DU270</f>
        <v>335.90000000000015</v>
      </c>
      <c r="DX265" s="72">
        <f t="shared" si="1564"/>
        <v>3.8330757341576742</v>
      </c>
      <c r="DY265" s="81">
        <f t="shared" si="1565"/>
        <v>338.60000000000014</v>
      </c>
      <c r="DZ265" s="72">
        <f t="shared" si="1564"/>
        <v>5.5815403804178487</v>
      </c>
      <c r="EA265" s="81">
        <f t="shared" si="1565"/>
        <v>347.10000000000014</v>
      </c>
      <c r="EB265" s="72">
        <f t="shared" ref="EB265:EB272" si="1566">IF(ISERROR(EA265/DS265),"NA",IF(OR(EA265/DS265&gt;2,EA265/DS265&lt;0.5),"NM",EA265/DS265*100-100))</f>
        <v>7.2620519159456052</v>
      </c>
      <c r="EC265" s="81">
        <f t="shared" si="1565"/>
        <v>359.30000000000013</v>
      </c>
      <c r="ED265" s="72">
        <f t="shared" ref="ED265:ED272" si="1567">IF(ISERROR(EC265/DU265),"NA",IF(OR(EC265/DU265&gt;2,EC265/DU265&lt;0.5),"NM",EC265/DU265*100-100))</f>
        <v>7.5426519006285559</v>
      </c>
      <c r="EE265" s="81">
        <f t="shared" si="1565"/>
        <v>373.40000000000015</v>
      </c>
      <c r="EF265" s="72">
        <f t="shared" ref="EF265:EF272" si="1568">IF(ISERROR(EE265/DW265),"NA",IF(OR(EE265/DW265&gt;2,EE265/DW265&lt;0.5),"NM",EE265/DW265*100-100))</f>
        <v>11.164036915748724</v>
      </c>
      <c r="EG265" s="81">
        <f>EE270</f>
        <v>398.90000000000009</v>
      </c>
      <c r="EH265" s="72">
        <f t="shared" ref="EH265:EH272" si="1569">IF(ISERROR(EG265/DY265),"NA",IF(OR(EG265/DY265&gt;2,EG265/DY265&lt;0.5),"NM",EG265/DY265*100-100))</f>
        <v>17.808623744831635</v>
      </c>
      <c r="EI265" s="81">
        <f>EG270</f>
        <v>386.40000000000009</v>
      </c>
      <c r="EJ265" s="72">
        <f t="shared" ref="EJ265:EJ272" si="1570">IF(ISERROR(EI265/EA265),"NA",IF(OR(EI265/EA265&gt;2,EI265/EA265&lt;0.5),"NM",EI265/EA265*100-100))</f>
        <v>11.322385479688819</v>
      </c>
      <c r="EK265" s="81">
        <f>EI270</f>
        <v>399.10000000000014</v>
      </c>
      <c r="EL265" s="72">
        <f t="shared" ref="EL265:EL272" si="1571">IF(ISERROR(EK265/EC265),"NA",IF(OR(EK265/EC265&gt;2,EK265/EC265&lt;0.5),"NM",EK265/EC265*100-100))</f>
        <v>11.07709435012525</v>
      </c>
      <c r="EM265" s="81">
        <f>EK270</f>
        <v>414.60000000000014</v>
      </c>
      <c r="EN265" s="72">
        <f t="shared" ref="EN265:EN272" si="1572">IF(ISERROR(EM265/EE265),"NA",IF(OR(EM265/EE265&gt;2,EM265/EE265&lt;0.5),"NM",EM265/EE265*100-100))</f>
        <v>11.033743974290289</v>
      </c>
      <c r="EO265" s="81">
        <f>EM270</f>
        <v>431.00000000000017</v>
      </c>
      <c r="EP265" s="72">
        <f t="shared" ref="EP265:EP272" si="1573">IF(ISERROR(EO265/EG265),"NA",IF(OR(EO265/EG265&gt;2,EO265/EG265&lt;0.5),"NM",EO265/EG265*100-100))</f>
        <v>8.0471296064176698</v>
      </c>
      <c r="EQ265" s="81">
        <f t="shared" ref="EQ265" si="1574">EO270</f>
        <v>437.90000000000015</v>
      </c>
      <c r="ER265" s="72">
        <f t="shared" ref="ER265:ER272" si="1575">IF(ISERROR(EQ265/EI265),"NA",IF(OR(EQ265/EI265&gt;2,EQ265/EI265&lt;0.5),"NM",EQ265/EI265*100-100))</f>
        <v>13.3281573498965</v>
      </c>
      <c r="ES265" s="81">
        <f t="shared" ref="ES265" si="1576">EQ270</f>
        <v>437.56485000000015</v>
      </c>
      <c r="ET265" s="72">
        <f t="shared" ref="ET265:ET272" si="1577">IF(ISERROR(ES265/EK265),"NA",IF(OR(ES265/EK265&gt;2,ES265/EK265&lt;0.5),"NM",ES265/EK265*100-100))</f>
        <v>9.6378977699824446</v>
      </c>
      <c r="EU265" s="81">
        <f t="shared" ref="EU265" si="1578">ES270</f>
        <v>444.57412087500018</v>
      </c>
      <c r="EV265" s="72">
        <f t="shared" ref="EV265:EV272" si="1579">IF(ISERROR(EU265/EM265),"NA",IF(OR(EU265/EM265&gt;2,EU265/EM265&lt;0.5),"NM",EU265/EM265*100-100))</f>
        <v>7.2296480643994272</v>
      </c>
      <c r="EW265" s="81">
        <f t="shared" ref="EW265" si="1580">EU270</f>
        <v>451.76277275531265</v>
      </c>
      <c r="EX265" s="72">
        <f t="shared" ref="EX265:EX272" si="1581">IF(ISERROR(EW265/EO265),"NA",IF(OR(EW265/EO265&gt;2,EW265/EO265&lt;0.5),"NM",EW265/EO265*100-100))</f>
        <v>4.8173486671258701</v>
      </c>
      <c r="EY265" s="72"/>
      <c r="EZ265" s="307"/>
      <c r="FA265" s="72"/>
      <c r="FB265" s="75"/>
      <c r="FC265" s="87"/>
      <c r="FD265" s="75"/>
      <c r="FE265" s="87"/>
      <c r="FF265" s="75"/>
      <c r="FG265" s="87"/>
      <c r="FH265" s="75"/>
      <c r="FI265" s="87"/>
      <c r="FJ265" s="75"/>
      <c r="FK265" s="87"/>
      <c r="FL265" s="75"/>
      <c r="FM265" s="87"/>
      <c r="FN265" s="75"/>
      <c r="FO265" s="87"/>
      <c r="FP265" s="115">
        <f>AU265</f>
        <v>91.1</v>
      </c>
      <c r="FQ265" s="87"/>
      <c r="FR265" s="75">
        <f>FP270</f>
        <v>101.3</v>
      </c>
      <c r="FS265" s="87">
        <f t="shared" ref="FS265:FS272" si="1582">IF(ISERROR(FR265/FP265),"NA",IF(OR(FR265/FP265&gt;2,FR265/FP265&lt;0.5),"NM",FR265/FP265*100-100))</f>
        <v>11.196487376509339</v>
      </c>
      <c r="FT265" s="75">
        <f>FR270</f>
        <v>122.89999999999999</v>
      </c>
      <c r="FU265" s="87">
        <f t="shared" ref="FU265:FU272" si="1583">IF(ISERROR(FT265/FR265),"NA",IF(OR(FT265/FR265&gt;2,FT265/FR265&lt;0.5),"NM",FT265/FR265*100-100))</f>
        <v>21.322803553800583</v>
      </c>
      <c r="FV265" s="75">
        <f>FT270</f>
        <v>141.69999999999999</v>
      </c>
      <c r="FW265" s="72">
        <f t="shared" ref="FW265:FW272" si="1584">IF(ISERROR(FV265/FT265),"NA",IF(OR(FV265/FT265&gt;2,FV265/FT265&lt;0.5),"NM",FV265/FT265*100-100))</f>
        <v>15.296989422294544</v>
      </c>
      <c r="FX265" s="75">
        <f>FV270</f>
        <v>128.5</v>
      </c>
      <c r="FY265" s="72">
        <f t="shared" ref="FY265:FY272" si="1585">IF(ISERROR(FX265/FV265),"NA",IF(OR(FX265/FV265&gt;2,FX265/FV265&lt;0.5),"NM",FX265/FV265*100-100))</f>
        <v>-9.3154551870148055</v>
      </c>
      <c r="FZ265" s="75">
        <f>FX270</f>
        <v>151.88000000000002</v>
      </c>
      <c r="GA265" s="72">
        <f t="shared" ref="GA265:GA272" si="1586">IF(ISERROR(FZ265/FX265),"NA",IF(OR(FZ265/FX265&gt;2,FZ265/FX265&lt;0.5),"NM",FZ265/FX265*100-100))</f>
        <v>18.1945525291829</v>
      </c>
      <c r="GB265" s="75">
        <f>CM265</f>
        <v>200.1</v>
      </c>
      <c r="GC265" s="72">
        <f t="shared" ref="GC265:GG272" si="1587">IF(ISERROR(GB265/FZ265),"NA",IF(OR(GB265/FZ265&gt;2,GB265/FZ265&lt;0.5),"NM",GB265/FZ265*100-100))</f>
        <v>31.74874901237817</v>
      </c>
      <c r="GD265" s="75">
        <f>GB270</f>
        <v>234.20000000000002</v>
      </c>
      <c r="GE265" s="72">
        <f t="shared" si="1587"/>
        <v>17.041479260369826</v>
      </c>
      <c r="GF265" s="75">
        <f>GD270</f>
        <v>274.60000000000002</v>
      </c>
      <c r="GG265" s="72">
        <f t="shared" si="1587"/>
        <v>17.250213492741253</v>
      </c>
      <c r="GH265" s="75">
        <f>GF270</f>
        <v>300.50000000000006</v>
      </c>
      <c r="GI265" s="72">
        <f t="shared" ref="GI265:GU272" si="1588">IF(ISERROR(GH265/GF265),"NA",IF(OR(GH265/GF265&gt;2,GH265/GF265&lt;0.5),"NM",GH265/GF265*100-100))</f>
        <v>9.4319009468317745</v>
      </c>
      <c r="GJ265" s="75">
        <f>GH270</f>
        <v>323.60000000000008</v>
      </c>
      <c r="GK265" s="72">
        <f t="shared" si="1588"/>
        <v>7.687188019966726</v>
      </c>
      <c r="GL265" s="75">
        <f>GJ270</f>
        <v>347.10000000000014</v>
      </c>
      <c r="GM265" s="72">
        <f t="shared" si="1588"/>
        <v>7.2620519159456194</v>
      </c>
      <c r="GN265" s="75">
        <f>GL270</f>
        <v>386.40000000000009</v>
      </c>
      <c r="GO265" s="72">
        <f t="shared" si="1588"/>
        <v>11.322385479688819</v>
      </c>
      <c r="GP265" s="75">
        <f>GN270</f>
        <v>437.90000000000009</v>
      </c>
      <c r="GQ265" s="72">
        <f t="shared" si="1588"/>
        <v>13.328157349896472</v>
      </c>
      <c r="GR265" s="75">
        <f>GP270</f>
        <v>459.13351136031804</v>
      </c>
      <c r="GS265" s="72">
        <f t="shared" si="1588"/>
        <v>4.8489407079968032</v>
      </c>
      <c r="GT265" s="75">
        <f>GR270</f>
        <v>489.31488025387921</v>
      </c>
      <c r="GU265" s="72">
        <f t="shared" si="1588"/>
        <v>6.5735495551479062</v>
      </c>
      <c r="GV265" s="75">
        <f>GT270</f>
        <v>521.0661807686447</v>
      </c>
      <c r="GW265" s="72">
        <f t="shared" ref="GW265:GW272" si="1589">IF(ISERROR(GV265/GT265),"NA",IF(OR(GV265/GT265&gt;2,GV265/GT265&lt;0.5),"NM",GV265/GT265*100-100))</f>
        <v>6.4889300930908576</v>
      </c>
      <c r="GX265" s="75">
        <f>GV270</f>
        <v>554.5036556123689</v>
      </c>
      <c r="GY265" s="72">
        <f t="shared" ref="GY265:GY272" si="1590">IF(ISERROR(GX265/GV265),"NA",IF(OR(GX265/GV265&gt;2,GX265/GV265&lt;0.5),"NM",GX265/GV265*100-100))</f>
        <v>6.4171262841121717</v>
      </c>
      <c r="GZ265" s="72">
        <f t="shared" ref="GZ265:GZ272" si="1591">IF(ISERROR(((GX265/GN265)^0.2-1)*100),"NA",IF((((GX265/GN265)^0.2-1)*100)&gt;100,"NM",IF((((GX265/GN265)^0.2-1)*100)&lt;-50,"NM",((GX265/GN265)^0.2-1)*100)))</f>
        <v>7.4913356161385281</v>
      </c>
      <c r="HA265" s="72"/>
      <c r="HB265" s="72"/>
      <c r="HC265"/>
      <c r="HD265"/>
      <c r="HE265"/>
      <c r="HF265"/>
      <c r="HG265"/>
      <c r="HH265"/>
      <c r="HI265" s="2"/>
    </row>
    <row r="266" spans="1:217" s="3" customFormat="1" ht="12.75" customHeight="1" x14ac:dyDescent="0.2">
      <c r="B266" s="76" t="s">
        <v>28</v>
      </c>
      <c r="C266" s="74"/>
      <c r="D266" s="72"/>
      <c r="E266" s="74"/>
      <c r="F266" s="72"/>
      <c r="G266" s="74"/>
      <c r="H266" s="72"/>
      <c r="I266" s="74"/>
      <c r="J266" s="72"/>
      <c r="K266" s="74"/>
      <c r="L266" s="87"/>
      <c r="M266" s="74"/>
      <c r="N266" s="87"/>
      <c r="O266" s="74"/>
      <c r="P266" s="87"/>
      <c r="Q266" s="74"/>
      <c r="R266" s="87"/>
      <c r="S266" s="74"/>
      <c r="T266" s="87"/>
      <c r="U266" s="74"/>
      <c r="V266" s="87"/>
      <c r="W266" s="74"/>
      <c r="X266" s="87"/>
      <c r="Y266" s="74"/>
      <c r="Z266" s="87"/>
      <c r="AA266" s="74"/>
      <c r="AB266" s="87"/>
      <c r="AC266" s="74"/>
      <c r="AD266" s="87"/>
      <c r="AE266" s="74"/>
      <c r="AF266" s="87"/>
      <c r="AG266" s="74"/>
      <c r="AH266" s="87"/>
      <c r="AI266" s="74"/>
      <c r="AJ266" s="87"/>
      <c r="AK266" s="74"/>
      <c r="AL266" s="87"/>
      <c r="AM266" s="74"/>
      <c r="AN266" s="87"/>
      <c r="AO266" s="74"/>
      <c r="AP266" s="87"/>
      <c r="AQ266" s="74"/>
      <c r="AR266" s="87"/>
      <c r="AS266" s="74"/>
      <c r="AT266" s="87"/>
      <c r="AU266" s="74">
        <v>7.1</v>
      </c>
      <c r="AV266" s="87" t="str">
        <f t="shared" si="1534"/>
        <v>NA</v>
      </c>
      <c r="AW266" s="74">
        <v>7.3</v>
      </c>
      <c r="AX266" s="87" t="str">
        <f t="shared" si="1535"/>
        <v>NA</v>
      </c>
      <c r="AY266" s="74">
        <v>7.3</v>
      </c>
      <c r="AZ266" s="87" t="str">
        <f t="shared" si="1536"/>
        <v>NA</v>
      </c>
      <c r="BA266" s="74">
        <v>5.3</v>
      </c>
      <c r="BB266" s="87" t="str">
        <f t="shared" si="1537"/>
        <v>NA</v>
      </c>
      <c r="BC266" s="74">
        <v>6.8</v>
      </c>
      <c r="BD266" s="87">
        <f t="shared" si="1538"/>
        <v>-4.2253521126760489</v>
      </c>
      <c r="BE266" s="74">
        <v>8.3000000000000007</v>
      </c>
      <c r="BF266" s="87">
        <f t="shared" si="1539"/>
        <v>13.69863013698631</v>
      </c>
      <c r="BG266" s="74">
        <v>5.9</v>
      </c>
      <c r="BH266" s="87">
        <f t="shared" si="1540"/>
        <v>-19.178082191780817</v>
      </c>
      <c r="BI266" s="74">
        <v>9.9</v>
      </c>
      <c r="BJ266" s="87">
        <f t="shared" si="1541"/>
        <v>86.792452830188694</v>
      </c>
      <c r="BK266" s="74">
        <v>5.4</v>
      </c>
      <c r="BL266" s="87">
        <f t="shared" si="1542"/>
        <v>-20.588235294117638</v>
      </c>
      <c r="BM266" s="74">
        <v>11.1</v>
      </c>
      <c r="BN266" s="87">
        <f t="shared" si="1543"/>
        <v>33.734939759036109</v>
      </c>
      <c r="BO266" s="74">
        <v>6.5</v>
      </c>
      <c r="BP266" s="87">
        <f t="shared" si="1544"/>
        <v>10.169491525423723</v>
      </c>
      <c r="BQ266" s="74">
        <v>10.9</v>
      </c>
      <c r="BR266" s="87">
        <f t="shared" si="1545"/>
        <v>10.101010101010104</v>
      </c>
      <c r="BS266" s="74">
        <v>6.3</v>
      </c>
      <c r="BT266" s="87">
        <f t="shared" si="1546"/>
        <v>16.666666666666657</v>
      </c>
      <c r="BU266" s="74">
        <v>6.1</v>
      </c>
      <c r="BV266" s="87">
        <f t="shared" si="1547"/>
        <v>-45.04504504504505</v>
      </c>
      <c r="BW266" s="74">
        <v>4.9000000000000004</v>
      </c>
      <c r="BX266" s="72">
        <f t="shared" si="1548"/>
        <v>-24.615384615384599</v>
      </c>
      <c r="BY266" s="74">
        <v>7.7</v>
      </c>
      <c r="BZ266" s="72">
        <f t="shared" si="1549"/>
        <v>-29.357798165137609</v>
      </c>
      <c r="CA266" s="74">
        <v>10.4</v>
      </c>
      <c r="CB266" s="72">
        <f t="shared" si="1550"/>
        <v>65.07936507936509</v>
      </c>
      <c r="CC266" s="74">
        <v>10.8</v>
      </c>
      <c r="CD266" s="72">
        <f t="shared" si="1551"/>
        <v>77.049180327868868</v>
      </c>
      <c r="CE266" s="74">
        <v>7.7</v>
      </c>
      <c r="CF266" s="72">
        <f t="shared" si="1552"/>
        <v>57.142857142857139</v>
      </c>
      <c r="CG266" s="74">
        <v>15.2</v>
      </c>
      <c r="CH266" s="72">
        <f t="shared" si="1553"/>
        <v>97.402597402597394</v>
      </c>
      <c r="CI266" s="74">
        <v>11</v>
      </c>
      <c r="CJ266" s="72">
        <f t="shared" si="1554"/>
        <v>5.7692307692307736</v>
      </c>
      <c r="CK266" s="74">
        <v>16.600000000000001</v>
      </c>
      <c r="CL266" s="72">
        <f t="shared" si="1554"/>
        <v>53.703703703703695</v>
      </c>
      <c r="CM266" s="86">
        <v>13</v>
      </c>
      <c r="CN266" s="72">
        <f t="shared" si="1554"/>
        <v>68.83116883116881</v>
      </c>
      <c r="CO266" s="86">
        <v>11.1</v>
      </c>
      <c r="CP266" s="72">
        <f t="shared" si="1554"/>
        <v>-26.973684210526315</v>
      </c>
      <c r="CQ266" s="86">
        <v>11</v>
      </c>
      <c r="CR266" s="72">
        <f t="shared" si="1554"/>
        <v>0</v>
      </c>
      <c r="CS266" s="86">
        <v>14.3</v>
      </c>
      <c r="CT266" s="72">
        <f t="shared" si="1554"/>
        <v>-13.855421686746993</v>
      </c>
      <c r="CU266" s="86">
        <v>14.1</v>
      </c>
      <c r="CV266" s="72">
        <f t="shared" si="1555"/>
        <v>8.4615384615384528</v>
      </c>
      <c r="CW266" s="86">
        <v>11.2</v>
      </c>
      <c r="CX266" s="72">
        <f t="shared" si="1556"/>
        <v>0.90090090090089348</v>
      </c>
      <c r="CY266" s="86">
        <v>12.7</v>
      </c>
      <c r="CZ266" s="72">
        <f t="shared" si="1557"/>
        <v>15.454545454545453</v>
      </c>
      <c r="DA266" s="86">
        <v>20.8</v>
      </c>
      <c r="DB266" s="72">
        <f t="shared" si="1558"/>
        <v>45.454545454545467</v>
      </c>
      <c r="DC266" s="86">
        <v>14.4</v>
      </c>
      <c r="DD266" s="72">
        <f t="shared" si="1559"/>
        <v>2.1276595744680975</v>
      </c>
      <c r="DE266" s="86">
        <v>14.8</v>
      </c>
      <c r="DF266" s="72">
        <f t="shared" si="1560"/>
        <v>32.142857142857167</v>
      </c>
      <c r="DG266" s="86">
        <v>14.1</v>
      </c>
      <c r="DH266" s="72">
        <f t="shared" si="1561"/>
        <v>11.023622047244103</v>
      </c>
      <c r="DI266" s="86">
        <v>13.8</v>
      </c>
      <c r="DJ266" s="72">
        <f t="shared" si="1562"/>
        <v>-33.65384615384616</v>
      </c>
      <c r="DK266" s="86">
        <v>10.9</v>
      </c>
      <c r="DL266" s="72">
        <f t="shared" si="1563"/>
        <v>-24.305555555555557</v>
      </c>
      <c r="DM266" s="86">
        <v>10.5</v>
      </c>
      <c r="DN266" s="72">
        <f t="shared" si="1564"/>
        <v>-29.054054054054063</v>
      </c>
      <c r="DO266" s="86">
        <v>10</v>
      </c>
      <c r="DP266" s="72">
        <f t="shared" si="1564"/>
        <v>-29.078014184397162</v>
      </c>
      <c r="DQ266" s="86">
        <v>10.9</v>
      </c>
      <c r="DR266" s="72">
        <f t="shared" si="1564"/>
        <v>-21.014492753623188</v>
      </c>
      <c r="DS266" s="86">
        <v>16.8</v>
      </c>
      <c r="DT266" s="72">
        <f t="shared" si="1564"/>
        <v>54.128440366972484</v>
      </c>
      <c r="DU266" s="86">
        <v>18.3</v>
      </c>
      <c r="DV266" s="72">
        <f t="shared" si="1564"/>
        <v>74.285714285714278</v>
      </c>
      <c r="DW266" s="86">
        <v>15.5</v>
      </c>
      <c r="DX266" s="72">
        <f t="shared" si="1564"/>
        <v>55</v>
      </c>
      <c r="DY266" s="86">
        <v>16.3</v>
      </c>
      <c r="DZ266" s="72">
        <f t="shared" si="1564"/>
        <v>49.541284403669721</v>
      </c>
      <c r="EA266" s="86">
        <v>12.5</v>
      </c>
      <c r="EB266" s="72">
        <f t="shared" si="1566"/>
        <v>-25.595238095238088</v>
      </c>
      <c r="EC266" s="86">
        <v>14.8</v>
      </c>
      <c r="ED266" s="72">
        <f t="shared" si="1567"/>
        <v>-19.125683060109282</v>
      </c>
      <c r="EE266" s="86">
        <v>16.399999999999999</v>
      </c>
      <c r="EF266" s="72">
        <f t="shared" si="1568"/>
        <v>5.8064516129032029</v>
      </c>
      <c r="EG266" s="86">
        <v>15.7</v>
      </c>
      <c r="EH266" s="72">
        <f t="shared" si="1569"/>
        <v>-3.6809815950920353</v>
      </c>
      <c r="EI266" s="86">
        <v>15.9</v>
      </c>
      <c r="EJ266" s="72">
        <f t="shared" si="1570"/>
        <v>27.200000000000003</v>
      </c>
      <c r="EK266" s="86">
        <v>17.2</v>
      </c>
      <c r="EL266" s="72">
        <f t="shared" si="1571"/>
        <v>16.21621621621621</v>
      </c>
      <c r="EM266" s="86">
        <v>15.9</v>
      </c>
      <c r="EN266" s="72">
        <f t="shared" si="1572"/>
        <v>-3.0487804878048763</v>
      </c>
      <c r="EO266" s="86">
        <v>16.2</v>
      </c>
      <c r="EP266" s="72">
        <f t="shared" si="1573"/>
        <v>3.1847133757961785</v>
      </c>
      <c r="EQ266" s="86">
        <f t="shared" ref="EQ266" si="1592">EO266*1.02</f>
        <v>16.524000000000001</v>
      </c>
      <c r="ER266" s="72">
        <f t="shared" si="1575"/>
        <v>3.9245283018867809</v>
      </c>
      <c r="ES266" s="86">
        <f t="shared" ref="ES266" si="1593">EQ266*1.02</f>
        <v>16.854480000000002</v>
      </c>
      <c r="ET266" s="72">
        <f t="shared" si="1577"/>
        <v>-2.0088372093022997</v>
      </c>
      <c r="EU266" s="86">
        <f t="shared" ref="EU266" si="1594">ES266*1.02</f>
        <v>17.191569600000001</v>
      </c>
      <c r="EV266" s="72">
        <f t="shared" si="1579"/>
        <v>8.1230792452830087</v>
      </c>
      <c r="EW266" s="86">
        <f t="shared" ref="EW266" si="1595">EU266*1.02</f>
        <v>17.535400992000003</v>
      </c>
      <c r="EX266" s="72">
        <f t="shared" si="1581"/>
        <v>8.2432160000000181</v>
      </c>
      <c r="EY266" s="72"/>
      <c r="EZ266" s="307"/>
      <c r="FA266" s="72"/>
      <c r="FB266" s="75"/>
      <c r="FC266" s="87"/>
      <c r="FD266" s="75"/>
      <c r="FE266" s="87"/>
      <c r="FF266" s="75"/>
      <c r="FG266" s="87"/>
      <c r="FH266" s="75"/>
      <c r="FI266" s="87"/>
      <c r="FJ266" s="75"/>
      <c r="FK266" s="87"/>
      <c r="FL266" s="75"/>
      <c r="FM266" s="87"/>
      <c r="FN266" s="75"/>
      <c r="FO266" s="87"/>
      <c r="FP266" s="115">
        <f>AU266+AW266</f>
        <v>14.399999999999999</v>
      </c>
      <c r="FQ266" s="87"/>
      <c r="FR266" s="75">
        <f>AY266+BA266+BC266+BE266</f>
        <v>27.7</v>
      </c>
      <c r="FS266" s="87">
        <f t="shared" si="1582"/>
        <v>92.361111111111114</v>
      </c>
      <c r="FT266" s="75">
        <f>BG266+BI266+BK266+BM266</f>
        <v>32.300000000000004</v>
      </c>
      <c r="FU266" s="87">
        <f t="shared" si="1583"/>
        <v>16.606498194945857</v>
      </c>
      <c r="FV266" s="75">
        <f>BO266+BQ266+BS266+BU266</f>
        <v>29.799999999999997</v>
      </c>
      <c r="FW266" s="72">
        <f t="shared" si="1584"/>
        <v>-7.7399380804953779</v>
      </c>
      <c r="FX266" s="81">
        <f>BW266+BY266+CA266+CC266</f>
        <v>33.799999999999997</v>
      </c>
      <c r="FY266" s="72">
        <f t="shared" si="1585"/>
        <v>13.422818791946312</v>
      </c>
      <c r="FZ266" s="81">
        <f>CE266+CG266+CI266+CK266</f>
        <v>50.5</v>
      </c>
      <c r="GA266" s="72">
        <f t="shared" si="1586"/>
        <v>49.408284023668671</v>
      </c>
      <c r="GB266" s="75">
        <f>CM266+CO266+CQ266+CS266</f>
        <v>49.400000000000006</v>
      </c>
      <c r="GC266" s="72">
        <f t="shared" si="1587"/>
        <v>-2.1782178217821695</v>
      </c>
      <c r="GD266" s="75">
        <f>CU266+CW266+CY266+DA266</f>
        <v>58.8</v>
      </c>
      <c r="GE266" s="72">
        <f t="shared" si="1587"/>
        <v>19.028340080971645</v>
      </c>
      <c r="GF266" s="75">
        <f>DC266+DE266+DG266+DI266</f>
        <v>57.100000000000009</v>
      </c>
      <c r="GG266" s="72">
        <f t="shared" si="1587"/>
        <v>-2.8911564625850161</v>
      </c>
      <c r="GH266" s="75">
        <f>DK266+DM266+DO266+DQ266</f>
        <v>42.3</v>
      </c>
      <c r="GI266" s="72">
        <f t="shared" si="1588"/>
        <v>-25.919439579684777</v>
      </c>
      <c r="GJ266" s="75">
        <f>DS266+DU266+DW266+DY266</f>
        <v>66.900000000000006</v>
      </c>
      <c r="GK266" s="72">
        <f t="shared" si="1588"/>
        <v>58.156028368794352</v>
      </c>
      <c r="GL266" s="75">
        <f>EA266+EC266+EE266+EG266</f>
        <v>59.400000000000006</v>
      </c>
      <c r="GM266" s="72">
        <f t="shared" si="1588"/>
        <v>-11.210762331838566</v>
      </c>
      <c r="GN266" s="75">
        <f>EI266+EK266+EM266+EO266</f>
        <v>65.2</v>
      </c>
      <c r="GO266" s="72">
        <f t="shared" si="1588"/>
        <v>9.7643097643097576</v>
      </c>
      <c r="GP266" s="75">
        <f>EQ266+ES266+EU266+EW266</f>
        <v>68.105450592000011</v>
      </c>
      <c r="GQ266" s="72">
        <f t="shared" si="1588"/>
        <v>4.4562125644171999</v>
      </c>
      <c r="GR266" s="74">
        <f>GP266*1.06</f>
        <v>72.191777627520011</v>
      </c>
      <c r="GS266" s="72">
        <f t="shared" si="1588"/>
        <v>6</v>
      </c>
      <c r="GT266" s="74">
        <f>GR266*1.06</f>
        <v>76.523284285171215</v>
      </c>
      <c r="GU266" s="72">
        <f t="shared" si="1588"/>
        <v>6</v>
      </c>
      <c r="GV266" s="74">
        <f>GT266*1.06</f>
        <v>81.114681342281486</v>
      </c>
      <c r="GW266" s="72">
        <f t="shared" si="1589"/>
        <v>6</v>
      </c>
      <c r="GX266" s="74">
        <f>GV266*1.06</f>
        <v>85.981562222818383</v>
      </c>
      <c r="GY266" s="72">
        <f t="shared" si="1590"/>
        <v>6</v>
      </c>
      <c r="GZ266" s="72">
        <f t="shared" si="1591"/>
        <v>5.6894279314195551</v>
      </c>
      <c r="HA266" s="72"/>
      <c r="HB266" s="72"/>
      <c r="HC266"/>
      <c r="HD266"/>
      <c r="HE266"/>
      <c r="HF266"/>
      <c r="HG266"/>
      <c r="HH266"/>
      <c r="HI266" s="2"/>
    </row>
    <row r="267" spans="1:217" s="3" customFormat="1" ht="12.75" customHeight="1" x14ac:dyDescent="0.2">
      <c r="B267" s="76" t="s">
        <v>303</v>
      </c>
      <c r="C267" s="74"/>
      <c r="D267" s="72"/>
      <c r="E267" s="74"/>
      <c r="F267" s="72"/>
      <c r="G267" s="74"/>
      <c r="H267" s="72"/>
      <c r="I267" s="74"/>
      <c r="J267" s="72"/>
      <c r="K267" s="74"/>
      <c r="L267" s="87"/>
      <c r="M267" s="74"/>
      <c r="N267" s="87"/>
      <c r="O267" s="74"/>
      <c r="P267" s="87"/>
      <c r="Q267" s="74"/>
      <c r="R267" s="87"/>
      <c r="S267" s="74"/>
      <c r="T267" s="87"/>
      <c r="U267" s="74"/>
      <c r="V267" s="87"/>
      <c r="W267" s="74"/>
      <c r="X267" s="87"/>
      <c r="Y267" s="74"/>
      <c r="Z267" s="87"/>
      <c r="AA267" s="74"/>
      <c r="AB267" s="87"/>
      <c r="AC267" s="74"/>
      <c r="AD267" s="87"/>
      <c r="AE267" s="74"/>
      <c r="AF267" s="87"/>
      <c r="AG267" s="74"/>
      <c r="AH267" s="87"/>
      <c r="AI267" s="74"/>
      <c r="AJ267" s="87"/>
      <c r="AK267" s="74"/>
      <c r="AL267" s="87"/>
      <c r="AM267" s="74"/>
      <c r="AN267" s="87"/>
      <c r="AO267" s="74"/>
      <c r="AP267" s="87"/>
      <c r="AQ267" s="74"/>
      <c r="AR267" s="87"/>
      <c r="AS267" s="74"/>
      <c r="AT267" s="87"/>
      <c r="AU267" s="74">
        <v>-5.0999999999999996</v>
      </c>
      <c r="AV267" s="87" t="str">
        <f t="shared" si="1534"/>
        <v>NA</v>
      </c>
      <c r="AW267" s="74">
        <v>-3.1</v>
      </c>
      <c r="AX267" s="87" t="str">
        <f t="shared" si="1535"/>
        <v>NA</v>
      </c>
      <c r="AY267" s="74">
        <v>-4</v>
      </c>
      <c r="AZ267" s="87" t="str">
        <f t="shared" si="1536"/>
        <v>NA</v>
      </c>
      <c r="BA267" s="74">
        <v>-4.4000000000000004</v>
      </c>
      <c r="BB267" s="87" t="str">
        <f t="shared" si="1537"/>
        <v>NA</v>
      </c>
      <c r="BC267" s="74">
        <v>-3.6</v>
      </c>
      <c r="BD267" s="87">
        <f t="shared" si="1538"/>
        <v>-29.411764705882348</v>
      </c>
      <c r="BE267" s="74">
        <v>-4.9000000000000004</v>
      </c>
      <c r="BF267" s="87">
        <f t="shared" si="1539"/>
        <v>58.064516129032285</v>
      </c>
      <c r="BG267" s="74">
        <v>-4.7</v>
      </c>
      <c r="BH267" s="87">
        <f t="shared" si="1540"/>
        <v>17.5</v>
      </c>
      <c r="BI267" s="74">
        <v>-8.1999999999999993</v>
      </c>
      <c r="BJ267" s="87">
        <f t="shared" si="1541"/>
        <v>86.363636363636317</v>
      </c>
      <c r="BK267" s="74">
        <v>-6</v>
      </c>
      <c r="BL267" s="87">
        <f t="shared" si="1542"/>
        <v>66.666666666666657</v>
      </c>
      <c r="BM267" s="74">
        <v>-6.4</v>
      </c>
      <c r="BN267" s="87">
        <f t="shared" si="1543"/>
        <v>30.612244897959187</v>
      </c>
      <c r="BO267" s="74">
        <v>-4.3</v>
      </c>
      <c r="BP267" s="87">
        <f t="shared" si="1544"/>
        <v>-8.5106382978723474</v>
      </c>
      <c r="BQ267" s="74">
        <v>-4.5999999999999996</v>
      </c>
      <c r="BR267" s="87">
        <f t="shared" si="1545"/>
        <v>-43.90243902439024</v>
      </c>
      <c r="BS267" s="74">
        <v>-4.8</v>
      </c>
      <c r="BT267" s="87">
        <f t="shared" si="1546"/>
        <v>-20</v>
      </c>
      <c r="BU267" s="74">
        <v>-5.9</v>
      </c>
      <c r="BV267" s="87">
        <f t="shared" si="1547"/>
        <v>-7.8125</v>
      </c>
      <c r="BW267" s="74">
        <v>-4.5999999999999996</v>
      </c>
      <c r="BX267" s="72">
        <f t="shared" si="1548"/>
        <v>6.9767441860465027</v>
      </c>
      <c r="BY267" s="74">
        <v>-6.5</v>
      </c>
      <c r="BZ267" s="72">
        <f t="shared" si="1549"/>
        <v>41.304347826086968</v>
      </c>
      <c r="CA267" s="74">
        <v>-5.6</v>
      </c>
      <c r="CB267" s="72">
        <f t="shared" si="1550"/>
        <v>16.666666666666671</v>
      </c>
      <c r="CC267" s="74">
        <v>-4.5</v>
      </c>
      <c r="CD267" s="72">
        <f t="shared" si="1551"/>
        <v>-23.728813559322035</v>
      </c>
      <c r="CE267" s="74">
        <v>-5.7</v>
      </c>
      <c r="CF267" s="72">
        <f t="shared" si="1552"/>
        <v>23.913043478260889</v>
      </c>
      <c r="CG267" s="74">
        <v>-4.3</v>
      </c>
      <c r="CH267" s="72">
        <f t="shared" si="1553"/>
        <v>-33.846153846153854</v>
      </c>
      <c r="CI267" s="74">
        <v>-5.2</v>
      </c>
      <c r="CJ267" s="72">
        <f t="shared" si="1554"/>
        <v>-7.1428571428571246</v>
      </c>
      <c r="CK267" s="74">
        <v>-6.7</v>
      </c>
      <c r="CL267" s="72">
        <f t="shared" si="1554"/>
        <v>48.888888888888886</v>
      </c>
      <c r="CM267" s="86">
        <v>-6.9</v>
      </c>
      <c r="CN267" s="72">
        <f t="shared" si="1554"/>
        <v>21.05263157894737</v>
      </c>
      <c r="CO267" s="86">
        <v>-6.2</v>
      </c>
      <c r="CP267" s="72">
        <f t="shared" si="1554"/>
        <v>44.186046511627922</v>
      </c>
      <c r="CQ267" s="86">
        <v>-8.6999999999999993</v>
      </c>
      <c r="CR267" s="72">
        <f t="shared" si="1554"/>
        <v>67.307692307692292</v>
      </c>
      <c r="CS267" s="86">
        <v>-10.7</v>
      </c>
      <c r="CT267" s="72">
        <f t="shared" si="1554"/>
        <v>59.701492537313413</v>
      </c>
      <c r="CU267" s="86">
        <v>-8.6999999999999993</v>
      </c>
      <c r="CV267" s="72">
        <f t="shared" si="1555"/>
        <v>26.086956521739111</v>
      </c>
      <c r="CW267" s="86">
        <v>-11.2</v>
      </c>
      <c r="CX267" s="72">
        <f t="shared" si="1556"/>
        <v>80.645161290322562</v>
      </c>
      <c r="CY267" s="86">
        <v>-9.3000000000000007</v>
      </c>
      <c r="CZ267" s="72">
        <f t="shared" si="1557"/>
        <v>6.8965517241379501</v>
      </c>
      <c r="DA267" s="86">
        <v>-12.4</v>
      </c>
      <c r="DB267" s="72">
        <f t="shared" si="1558"/>
        <v>15.887850467289738</v>
      </c>
      <c r="DC267" s="86">
        <v>-7.5</v>
      </c>
      <c r="DD267" s="72">
        <f t="shared" si="1559"/>
        <v>-13.793103448275858</v>
      </c>
      <c r="DE267" s="86">
        <v>-11.7</v>
      </c>
      <c r="DF267" s="72">
        <f t="shared" si="1560"/>
        <v>4.4642857142857224</v>
      </c>
      <c r="DG267" s="86">
        <v>-10</v>
      </c>
      <c r="DH267" s="72">
        <f t="shared" si="1561"/>
        <v>7.5268817204300973</v>
      </c>
      <c r="DI267" s="86">
        <v>-8.5</v>
      </c>
      <c r="DJ267" s="72">
        <f t="shared" si="1562"/>
        <v>-31.451612903225808</v>
      </c>
      <c r="DK267" s="86">
        <v>-9</v>
      </c>
      <c r="DL267" s="72">
        <f t="shared" si="1563"/>
        <v>20</v>
      </c>
      <c r="DM267" s="86">
        <v>-7.8</v>
      </c>
      <c r="DN267" s="72">
        <f t="shared" si="1564"/>
        <v>-33.333333333333329</v>
      </c>
      <c r="DO267" s="86">
        <v>-11.4</v>
      </c>
      <c r="DP267" s="72">
        <f t="shared" si="1564"/>
        <v>14.000000000000014</v>
      </c>
      <c r="DQ267" s="86">
        <v>-13.4</v>
      </c>
      <c r="DR267" s="72">
        <f t="shared" si="1564"/>
        <v>57.64705882352942</v>
      </c>
      <c r="DS267" s="86">
        <v>-13.1</v>
      </c>
      <c r="DT267" s="72">
        <f t="shared" si="1564"/>
        <v>45.555555555555543</v>
      </c>
      <c r="DU267" s="86">
        <v>-11.5</v>
      </c>
      <c r="DV267" s="72">
        <f t="shared" si="1564"/>
        <v>47.435897435897459</v>
      </c>
      <c r="DW267" s="86">
        <v>-10.8</v>
      </c>
      <c r="DX267" s="72">
        <f t="shared" si="1564"/>
        <v>-5.2631578947368354</v>
      </c>
      <c r="DY267" s="86">
        <v>-10.3</v>
      </c>
      <c r="DZ267" s="72">
        <f t="shared" si="1564"/>
        <v>-23.134328358208961</v>
      </c>
      <c r="EA267" s="86">
        <v>-15.1</v>
      </c>
      <c r="EB267" s="72">
        <f t="shared" si="1566"/>
        <v>15.267175572519093</v>
      </c>
      <c r="EC267" s="86">
        <v>-12.8</v>
      </c>
      <c r="ED267" s="72">
        <f t="shared" si="1567"/>
        <v>11.304347826086953</v>
      </c>
      <c r="EE267" s="86">
        <v>-13</v>
      </c>
      <c r="EF267" s="72">
        <f t="shared" si="1568"/>
        <v>20.370370370370367</v>
      </c>
      <c r="EG267" s="86">
        <v>-13.2</v>
      </c>
      <c r="EH267" s="72">
        <f t="shared" si="1569"/>
        <v>28.155339805825236</v>
      </c>
      <c r="EI267" s="86">
        <v>-15.4</v>
      </c>
      <c r="EJ267" s="72">
        <f t="shared" si="1570"/>
        <v>1.9867549668874318</v>
      </c>
      <c r="EK267" s="86">
        <v>-10.7</v>
      </c>
      <c r="EL267" s="72">
        <f t="shared" si="1571"/>
        <v>-16.406250000000014</v>
      </c>
      <c r="EM267" s="86">
        <v>-11.2</v>
      </c>
      <c r="EN267" s="72">
        <f t="shared" si="1572"/>
        <v>-13.846153846153854</v>
      </c>
      <c r="EO267" s="86">
        <v>-16.3</v>
      </c>
      <c r="EP267" s="72">
        <f t="shared" si="1573"/>
        <v>23.484848484848484</v>
      </c>
      <c r="EQ267" s="81">
        <f t="shared" ref="EQ267" si="1596">-EQ276*EQ265/400</f>
        <v>-14.231750000000003</v>
      </c>
      <c r="ER267" s="72">
        <f t="shared" si="1575"/>
        <v>-7.5860389610389376</v>
      </c>
      <c r="ES267" s="81">
        <f t="shared" ref="ES267" si="1597">-ES276*ES265/400</f>
        <v>-14.220857625000006</v>
      </c>
      <c r="ET267" s="72">
        <f t="shared" si="1577"/>
        <v>32.90521144859818</v>
      </c>
      <c r="EU267" s="81">
        <f t="shared" ref="EU267" si="1598">-EU276*EU265/400</f>
        <v>-14.448658928437505</v>
      </c>
      <c r="EV267" s="72">
        <f t="shared" si="1579"/>
        <v>29.005883289620584</v>
      </c>
      <c r="EW267" s="81">
        <f t="shared" ref="EW267" si="1599">-EW276*EW265/400</f>
        <v>-14.682290114547662</v>
      </c>
      <c r="EX267" s="72">
        <f t="shared" si="1581"/>
        <v>-9.9246005242474666</v>
      </c>
      <c r="EY267" s="72"/>
      <c r="EZ267" s="307"/>
      <c r="FA267" s="72"/>
      <c r="FB267" s="75"/>
      <c r="FC267" s="87"/>
      <c r="FD267" s="75"/>
      <c r="FE267" s="87"/>
      <c r="FF267" s="75"/>
      <c r="FG267" s="87"/>
      <c r="FH267" s="75"/>
      <c r="FI267" s="87"/>
      <c r="FJ267" s="75"/>
      <c r="FK267" s="87"/>
      <c r="FL267" s="75"/>
      <c r="FM267" s="87"/>
      <c r="FN267" s="75"/>
      <c r="FO267" s="87"/>
      <c r="FP267" s="115">
        <f>AU267+AW267</f>
        <v>-8.1999999999999993</v>
      </c>
      <c r="FQ267" s="87"/>
      <c r="FR267" s="75">
        <f>AY267+BA267+BC267+BE267</f>
        <v>-16.899999999999999</v>
      </c>
      <c r="FS267" s="87" t="str">
        <f t="shared" si="1582"/>
        <v>NM</v>
      </c>
      <c r="FT267" s="75">
        <f>BG267+BI267+BK267+BM267</f>
        <v>-25.299999999999997</v>
      </c>
      <c r="FU267" s="87">
        <f t="shared" si="1583"/>
        <v>49.704142011834307</v>
      </c>
      <c r="FV267" s="75">
        <f>BO267+BQ267+BS267+BU267</f>
        <v>-19.600000000000001</v>
      </c>
      <c r="FW267" s="72">
        <f t="shared" si="1584"/>
        <v>-22.529644268774689</v>
      </c>
      <c r="FX267" s="75">
        <f>BW267+BY267+CA267+CC267</f>
        <v>-21.2</v>
      </c>
      <c r="FY267" s="72">
        <f t="shared" si="1585"/>
        <v>8.1632653061224403</v>
      </c>
      <c r="FZ267" s="75">
        <f>CE267+CG267+CI267+CK267</f>
        <v>-21.9</v>
      </c>
      <c r="GA267" s="72">
        <f t="shared" si="1586"/>
        <v>3.3018867924528195</v>
      </c>
      <c r="GB267" s="75">
        <f>CM267+CO267+CQ267+CS267</f>
        <v>-32.5</v>
      </c>
      <c r="GC267" s="72">
        <f t="shared" si="1587"/>
        <v>48.401826484018272</v>
      </c>
      <c r="GD267" s="75">
        <f>CU267+CW267+CY267+DA267</f>
        <v>-41.6</v>
      </c>
      <c r="GE267" s="72">
        <f t="shared" si="1587"/>
        <v>28</v>
      </c>
      <c r="GF267" s="75">
        <f>DC267+DE267+DG267+DI267</f>
        <v>-37.700000000000003</v>
      </c>
      <c r="GG267" s="72">
        <f t="shared" si="1587"/>
        <v>-9.375</v>
      </c>
      <c r="GH267" s="75">
        <f>DK267+DM267+DO267+DQ267</f>
        <v>-41.6</v>
      </c>
      <c r="GI267" s="72">
        <f t="shared" si="1588"/>
        <v>10.34482758620689</v>
      </c>
      <c r="GJ267" s="75">
        <f>DS267+DU267+DW267+DY267</f>
        <v>-45.7</v>
      </c>
      <c r="GK267" s="72">
        <f t="shared" si="1588"/>
        <v>9.8557692307692264</v>
      </c>
      <c r="GL267" s="75">
        <f>EA267+EC267+EE267+EG267</f>
        <v>-54.099999999999994</v>
      </c>
      <c r="GM267" s="72">
        <f t="shared" si="1588"/>
        <v>18.380743982494522</v>
      </c>
      <c r="GN267" s="75">
        <f>EI267+EK267+EM267+EO267</f>
        <v>-53.599999999999994</v>
      </c>
      <c r="GO267" s="72">
        <f t="shared" si="1588"/>
        <v>-0.92421441774492052</v>
      </c>
      <c r="GP267" s="75">
        <f>EQ267+ES267+EU267+EW267</f>
        <v>-57.583556667985178</v>
      </c>
      <c r="GQ267" s="72">
        <f t="shared" si="1588"/>
        <v>7.4320087089275688</v>
      </c>
      <c r="GR267" s="75">
        <f>-GR276*GR265/100</f>
        <v>-60.375749188371522</v>
      </c>
      <c r="GS267" s="72">
        <f t="shared" si="1588"/>
        <v>4.8489407079968174</v>
      </c>
      <c r="GT267" s="75">
        <f>-GT276*GT265/100</f>
        <v>-64.344578980560925</v>
      </c>
      <c r="GU267" s="72">
        <f t="shared" si="1588"/>
        <v>6.5735495551478778</v>
      </c>
      <c r="GV267" s="75">
        <f>-GV276*GV265/100</f>
        <v>-68.519853729303165</v>
      </c>
      <c r="GW267" s="72">
        <f t="shared" si="1589"/>
        <v>6.4889300930908576</v>
      </c>
      <c r="GX267" s="75">
        <f>-GX276*GX265/100</f>
        <v>-72.916859272801503</v>
      </c>
      <c r="GY267" s="72">
        <f t="shared" si="1590"/>
        <v>6.4171262841122001</v>
      </c>
      <c r="GZ267" s="72">
        <f t="shared" si="1591"/>
        <v>6.3488095599466554</v>
      </c>
      <c r="HA267" s="72"/>
      <c r="HB267" s="72"/>
      <c r="HC267"/>
      <c r="HD267"/>
      <c r="HE267"/>
      <c r="HF267"/>
      <c r="HG267"/>
      <c r="HH267"/>
      <c r="HI267" s="2"/>
    </row>
    <row r="268" spans="1:217" s="3" customFormat="1" ht="12.75" customHeight="1" x14ac:dyDescent="0.2">
      <c r="B268" s="76" t="s">
        <v>421</v>
      </c>
      <c r="C268" s="74"/>
      <c r="D268" s="72"/>
      <c r="E268" s="74"/>
      <c r="F268" s="72"/>
      <c r="G268" s="74"/>
      <c r="H268" s="72"/>
      <c r="I268" s="74"/>
      <c r="J268" s="72"/>
      <c r="K268" s="74"/>
      <c r="L268" s="87"/>
      <c r="M268" s="74"/>
      <c r="N268" s="87"/>
      <c r="O268" s="74"/>
      <c r="P268" s="87"/>
      <c r="Q268" s="74"/>
      <c r="R268" s="87"/>
      <c r="S268" s="74"/>
      <c r="T268" s="87"/>
      <c r="U268" s="74"/>
      <c r="V268" s="87"/>
      <c r="W268" s="74"/>
      <c r="X268" s="87"/>
      <c r="Y268" s="74"/>
      <c r="Z268" s="87"/>
      <c r="AA268" s="74"/>
      <c r="AB268" s="87"/>
      <c r="AC268" s="74"/>
      <c r="AD268" s="87"/>
      <c r="AE268" s="74"/>
      <c r="AF268" s="87"/>
      <c r="AG268" s="74"/>
      <c r="AH268" s="87"/>
      <c r="AI268" s="74"/>
      <c r="AJ268" s="87"/>
      <c r="AK268" s="74"/>
      <c r="AL268" s="87"/>
      <c r="AM268" s="74"/>
      <c r="AN268" s="87"/>
      <c r="AO268" s="74"/>
      <c r="AP268" s="87"/>
      <c r="AQ268" s="74"/>
      <c r="AR268" s="87"/>
      <c r="AS268" s="74"/>
      <c r="AT268" s="87"/>
      <c r="AU268" s="74">
        <v>2.2000000000000002</v>
      </c>
      <c r="AV268" s="87" t="str">
        <f t="shared" si="1534"/>
        <v>NA</v>
      </c>
      <c r="AW268" s="74">
        <v>2</v>
      </c>
      <c r="AX268" s="87" t="str">
        <f t="shared" si="1535"/>
        <v>NA</v>
      </c>
      <c r="AY268" s="74">
        <v>1.9</v>
      </c>
      <c r="AZ268" s="87" t="str">
        <f t="shared" si="1536"/>
        <v>NA</v>
      </c>
      <c r="BA268" s="74">
        <v>-0.4</v>
      </c>
      <c r="BB268" s="87" t="str">
        <f t="shared" si="1537"/>
        <v>NA</v>
      </c>
      <c r="BC268" s="74">
        <v>4.3</v>
      </c>
      <c r="BD268" s="87">
        <f t="shared" si="1538"/>
        <v>95.454545454545439</v>
      </c>
      <c r="BE268" s="74">
        <v>4.5</v>
      </c>
      <c r="BF268" s="87" t="str">
        <f t="shared" si="1539"/>
        <v>NM</v>
      </c>
      <c r="BG268" s="74">
        <v>2.5</v>
      </c>
      <c r="BH268" s="87">
        <f t="shared" si="1540"/>
        <v>31.578947368421069</v>
      </c>
      <c r="BI268" s="74">
        <v>3.5</v>
      </c>
      <c r="BJ268" s="87" t="str">
        <f t="shared" si="1541"/>
        <v>NM</v>
      </c>
      <c r="BK268" s="74">
        <v>3.7</v>
      </c>
      <c r="BL268" s="87">
        <f t="shared" si="1542"/>
        <v>-13.95348837209302</v>
      </c>
      <c r="BM268" s="74">
        <v>1.2</v>
      </c>
      <c r="BN268" s="87" t="str">
        <f t="shared" si="1543"/>
        <v>NM</v>
      </c>
      <c r="BO268" s="74">
        <v>-2.8</v>
      </c>
      <c r="BP268" s="87" t="str">
        <f t="shared" si="1544"/>
        <v>NM</v>
      </c>
      <c r="BQ268" s="74">
        <v>-0.5</v>
      </c>
      <c r="BR268" s="87" t="str">
        <f t="shared" si="1545"/>
        <v>NM</v>
      </c>
      <c r="BS268" s="74">
        <v>-8.4</v>
      </c>
      <c r="BT268" s="87" t="str">
        <f t="shared" si="1546"/>
        <v>NM</v>
      </c>
      <c r="BU268" s="74">
        <v>-10.7</v>
      </c>
      <c r="BV268" s="87" t="str">
        <f t="shared" si="1547"/>
        <v>NM</v>
      </c>
      <c r="BW268" s="74">
        <v>-7.3</v>
      </c>
      <c r="BX268" s="72" t="str">
        <f t="shared" si="1548"/>
        <v>NM</v>
      </c>
      <c r="BY268" s="74">
        <v>7.2</v>
      </c>
      <c r="BZ268" s="72" t="str">
        <f t="shared" si="1549"/>
        <v>NM</v>
      </c>
      <c r="CA268" s="74">
        <v>9.9</v>
      </c>
      <c r="CB268" s="72" t="str">
        <f t="shared" si="1550"/>
        <v>NM</v>
      </c>
      <c r="CC268" s="74">
        <v>2.1</v>
      </c>
      <c r="CD268" s="72" t="str">
        <f t="shared" si="1551"/>
        <v>NM</v>
      </c>
      <c r="CE268" s="74">
        <v>3.6</v>
      </c>
      <c r="CF268" s="72" t="str">
        <f t="shared" si="1552"/>
        <v>NM</v>
      </c>
      <c r="CG268" s="74">
        <v>-0.6</v>
      </c>
      <c r="CH268" s="72" t="str">
        <f t="shared" si="1553"/>
        <v>NM</v>
      </c>
      <c r="CI268" s="74">
        <v>11</v>
      </c>
      <c r="CJ268" s="72">
        <f t="shared" si="1554"/>
        <v>11.111111111111114</v>
      </c>
      <c r="CK268" s="74">
        <v>3</v>
      </c>
      <c r="CL268" s="72">
        <f t="shared" si="1554"/>
        <v>42.857142857142861</v>
      </c>
      <c r="CM268" s="86">
        <v>5.4</v>
      </c>
      <c r="CN268" s="72">
        <f t="shared" si="1554"/>
        <v>50</v>
      </c>
      <c r="CO268" s="86">
        <v>4.7</v>
      </c>
      <c r="CP268" s="72" t="str">
        <f t="shared" si="1554"/>
        <v>NM</v>
      </c>
      <c r="CQ268" s="86">
        <v>0.4</v>
      </c>
      <c r="CR268" s="72" t="str">
        <f t="shared" si="1554"/>
        <v>NM</v>
      </c>
      <c r="CS268" s="86">
        <v>6.3</v>
      </c>
      <c r="CT268" s="72" t="str">
        <f t="shared" si="1554"/>
        <v>NM</v>
      </c>
      <c r="CU268" s="86">
        <v>7.7</v>
      </c>
      <c r="CV268" s="72">
        <f t="shared" si="1555"/>
        <v>42.592592592592581</v>
      </c>
      <c r="CW268" s="86">
        <v>3.7</v>
      </c>
      <c r="CX268" s="72">
        <f t="shared" si="1556"/>
        <v>-21.276595744680847</v>
      </c>
      <c r="CY268" s="86">
        <v>8.9</v>
      </c>
      <c r="CZ268" s="72" t="str">
        <f t="shared" si="1557"/>
        <v>NM</v>
      </c>
      <c r="DA268" s="86">
        <v>2.8</v>
      </c>
      <c r="DB268" s="72" t="str">
        <f t="shared" si="1558"/>
        <v>NM</v>
      </c>
      <c r="DC268" s="86">
        <v>1.9</v>
      </c>
      <c r="DD268" s="72" t="str">
        <f t="shared" si="1559"/>
        <v>NM</v>
      </c>
      <c r="DE268" s="86">
        <v>-6.1</v>
      </c>
      <c r="DF268" s="72" t="str">
        <f t="shared" si="1560"/>
        <v>NM</v>
      </c>
      <c r="DG268" s="86">
        <v>6</v>
      </c>
      <c r="DH268" s="72">
        <f t="shared" si="1561"/>
        <v>-32.584269662921344</v>
      </c>
      <c r="DI268" s="86">
        <v>6</v>
      </c>
      <c r="DJ268" s="72" t="str">
        <f t="shared" si="1562"/>
        <v>NM</v>
      </c>
      <c r="DK268" s="86">
        <v>8</v>
      </c>
      <c r="DL268" s="72" t="str">
        <f t="shared" si="1563"/>
        <v>NM</v>
      </c>
      <c r="DM268" s="86">
        <v>10.3</v>
      </c>
      <c r="DN268" s="72" t="str">
        <f t="shared" si="1564"/>
        <v>NM</v>
      </c>
      <c r="DO268" s="86">
        <v>-1</v>
      </c>
      <c r="DP268" s="72" t="str">
        <f t="shared" si="1564"/>
        <v>NM</v>
      </c>
      <c r="DQ268" s="86">
        <v>5.8</v>
      </c>
      <c r="DR268" s="72">
        <f t="shared" si="1564"/>
        <v>-3.3333333333333286</v>
      </c>
      <c r="DS268" s="86">
        <v>6.6</v>
      </c>
      <c r="DT268" s="72">
        <f t="shared" si="1564"/>
        <v>-17.5</v>
      </c>
      <c r="DU268" s="86">
        <v>-5</v>
      </c>
      <c r="DV268" s="72" t="str">
        <f t="shared" si="1564"/>
        <v>NM</v>
      </c>
      <c r="DW268" s="86">
        <v>-1.7</v>
      </c>
      <c r="DX268" s="72">
        <f t="shared" si="1564"/>
        <v>70</v>
      </c>
      <c r="DY268" s="86">
        <v>2.2000000000000002</v>
      </c>
      <c r="DZ268" s="72" t="str">
        <f t="shared" si="1564"/>
        <v>NM</v>
      </c>
      <c r="EA268" s="86">
        <v>12.7</v>
      </c>
      <c r="EB268" s="72">
        <f t="shared" si="1566"/>
        <v>92.424242424242436</v>
      </c>
      <c r="EC268" s="86">
        <v>11.3</v>
      </c>
      <c r="ED268" s="72" t="str">
        <f t="shared" si="1567"/>
        <v>NM</v>
      </c>
      <c r="EE268" s="86">
        <v>8.4</v>
      </c>
      <c r="EF268" s="72" t="str">
        <f t="shared" si="1568"/>
        <v>NM</v>
      </c>
      <c r="EG268" s="86">
        <v>-10.6</v>
      </c>
      <c r="EH268" s="72" t="str">
        <f t="shared" si="1569"/>
        <v>NM</v>
      </c>
      <c r="EI268" s="86">
        <v>9.6</v>
      </c>
      <c r="EJ268" s="72">
        <f t="shared" si="1570"/>
        <v>-24.409448818897644</v>
      </c>
      <c r="EK268" s="86">
        <v>10.8</v>
      </c>
      <c r="EL268" s="72">
        <f t="shared" si="1571"/>
        <v>-4.424778761061944</v>
      </c>
      <c r="EM268" s="86">
        <v>9.1</v>
      </c>
      <c r="EN268" s="72">
        <f t="shared" si="1572"/>
        <v>8.3333333333333286</v>
      </c>
      <c r="EO268" s="86">
        <v>8.5</v>
      </c>
      <c r="EP268" s="72" t="str">
        <f t="shared" si="1573"/>
        <v>NM</v>
      </c>
      <c r="EQ268" s="81">
        <f t="shared" ref="EQ268" si="1600">EQ265*(EQ278/100*EQ$25/100)</f>
        <v>-2.6274000000000011</v>
      </c>
      <c r="ER268" s="72" t="str">
        <f t="shared" si="1575"/>
        <v>NM</v>
      </c>
      <c r="ES268" s="81">
        <f t="shared" ref="ES268" si="1601">ES265*(ES278/100*ES$25/100)</f>
        <v>4.3756485000000014</v>
      </c>
      <c r="ET268" s="72" t="str">
        <f t="shared" si="1577"/>
        <v>NM</v>
      </c>
      <c r="EU268" s="81">
        <f t="shared" ref="EU268" si="1602">EU265*(EU278/100*EU$25/100)</f>
        <v>4.4457412087500021</v>
      </c>
      <c r="EV268" s="72" t="str">
        <f t="shared" si="1579"/>
        <v>NM</v>
      </c>
      <c r="EW268" s="81">
        <f t="shared" ref="EW268" si="1603">EW265*(EW278/100*EW$25/100)</f>
        <v>4.5176277275531262</v>
      </c>
      <c r="EX268" s="72">
        <f t="shared" si="1581"/>
        <v>-46.851438499374986</v>
      </c>
      <c r="EY268" s="72"/>
      <c r="EZ268" s="307"/>
      <c r="FA268" s="72"/>
      <c r="FB268" s="75"/>
      <c r="FC268" s="87"/>
      <c r="FD268" s="75"/>
      <c r="FE268" s="87"/>
      <c r="FF268" s="75"/>
      <c r="FG268" s="87"/>
      <c r="FH268" s="75"/>
      <c r="FI268" s="87"/>
      <c r="FJ268" s="75"/>
      <c r="FK268" s="87"/>
      <c r="FL268" s="75"/>
      <c r="FM268" s="87"/>
      <c r="FN268" s="75"/>
      <c r="FO268" s="87"/>
      <c r="FP268" s="115">
        <f>AU268+AW268</f>
        <v>4.2</v>
      </c>
      <c r="FQ268" s="87"/>
      <c r="FR268" s="75">
        <f>AY268+BA268+BC268+BE268</f>
        <v>10.3</v>
      </c>
      <c r="FS268" s="87" t="str">
        <f t="shared" si="1582"/>
        <v>NM</v>
      </c>
      <c r="FT268" s="75">
        <f>BG268+BI268+BK268+BM268</f>
        <v>10.899999999999999</v>
      </c>
      <c r="FU268" s="87">
        <f t="shared" si="1583"/>
        <v>5.8252427184465745</v>
      </c>
      <c r="FV268" s="75">
        <f>BO268+BQ268+BS268+BU268</f>
        <v>-22.4</v>
      </c>
      <c r="FW268" s="72" t="str">
        <f t="shared" si="1584"/>
        <v>NM</v>
      </c>
      <c r="FX268" s="75">
        <f>BW268+BY268+CA268+CC268</f>
        <v>11.9</v>
      </c>
      <c r="FY268" s="72" t="str">
        <f t="shared" si="1585"/>
        <v>NM</v>
      </c>
      <c r="FZ268" s="75">
        <f>CE268+CG268+CI268+CK268</f>
        <v>17</v>
      </c>
      <c r="GA268" s="72">
        <f t="shared" si="1586"/>
        <v>42.857142857142861</v>
      </c>
      <c r="GB268" s="75">
        <f>CM268+CO268+CQ268+CS268</f>
        <v>16.8</v>
      </c>
      <c r="GC268" s="72">
        <f t="shared" si="1587"/>
        <v>-1.1764705882352899</v>
      </c>
      <c r="GD268" s="75">
        <f>CU268+CW268+CY268+DA268</f>
        <v>23.1</v>
      </c>
      <c r="GE268" s="72">
        <f t="shared" si="1587"/>
        <v>37.5</v>
      </c>
      <c r="GF268" s="75">
        <f>DC268+DE268+DG268+DI268</f>
        <v>7.8000000000000007</v>
      </c>
      <c r="GG268" s="72" t="str">
        <f t="shared" si="1587"/>
        <v>NM</v>
      </c>
      <c r="GH268" s="75">
        <f>DK268+DM268+DO268+DQ268</f>
        <v>23.1</v>
      </c>
      <c r="GI268" s="72" t="str">
        <f t="shared" si="1588"/>
        <v>NM</v>
      </c>
      <c r="GJ268" s="75">
        <f>DS268+DU268+DW268+DY268</f>
        <v>2.0999999999999996</v>
      </c>
      <c r="GK268" s="72" t="str">
        <f t="shared" si="1588"/>
        <v>NM</v>
      </c>
      <c r="GL268" s="75">
        <f>EA268+EC268+EE268+EG268</f>
        <v>21.799999999999997</v>
      </c>
      <c r="GM268" s="72" t="str">
        <f t="shared" si="1588"/>
        <v>NM</v>
      </c>
      <c r="GN268" s="75">
        <f>EI268+EK268+EM268+EO268</f>
        <v>38</v>
      </c>
      <c r="GO268" s="72">
        <f t="shared" si="1588"/>
        <v>74.311926605504595</v>
      </c>
      <c r="GP268" s="75">
        <f>EQ268+ES268+EU268+EW268</f>
        <v>10.711617436303129</v>
      </c>
      <c r="GQ268" s="72" t="str">
        <f t="shared" si="1588"/>
        <v>NM</v>
      </c>
      <c r="GR268" s="75">
        <f>GR265*(GR278/100*GR$25/100)</f>
        <v>18.365340454412721</v>
      </c>
      <c r="GS268" s="72">
        <f t="shared" si="1588"/>
        <v>71.452542658684621</v>
      </c>
      <c r="GT268" s="75">
        <f>GT265*(GT278/100*GT$25/100)</f>
        <v>19.572595210155168</v>
      </c>
      <c r="GU268" s="72">
        <f t="shared" si="1588"/>
        <v>6.5735495551479062</v>
      </c>
      <c r="GV268" s="75">
        <f>GV265*(GV278/100*GV$25/100)</f>
        <v>20.84264723074579</v>
      </c>
      <c r="GW268" s="72">
        <f t="shared" si="1589"/>
        <v>6.488930093090886</v>
      </c>
      <c r="GX268" s="75">
        <f>GX265*(GX278/100*GX$25/100)</f>
        <v>22.180146224494756</v>
      </c>
      <c r="GY268" s="72">
        <f t="shared" si="1590"/>
        <v>6.4171262841121717</v>
      </c>
      <c r="GZ268" s="72">
        <f t="shared" si="1591"/>
        <v>-10.208306686874591</v>
      </c>
      <c r="HA268" s="72"/>
      <c r="HB268" s="72"/>
      <c r="HC268"/>
      <c r="HD268"/>
      <c r="HE268"/>
      <c r="HF268"/>
      <c r="HG268"/>
      <c r="HH268"/>
      <c r="HI268" s="2"/>
    </row>
    <row r="269" spans="1:217" s="3" customFormat="1" ht="12.75" customHeight="1" x14ac:dyDescent="0.2">
      <c r="B269" s="76" t="s">
        <v>426</v>
      </c>
      <c r="C269" s="74"/>
      <c r="D269" s="72"/>
      <c r="E269" s="74"/>
      <c r="F269" s="72"/>
      <c r="G269" s="74"/>
      <c r="H269" s="72"/>
      <c r="I269" s="74"/>
      <c r="J269" s="72"/>
      <c r="K269" s="74"/>
      <c r="L269" s="87"/>
      <c r="M269" s="74"/>
      <c r="N269" s="87"/>
      <c r="O269" s="74"/>
      <c r="P269" s="87"/>
      <c r="Q269" s="74"/>
      <c r="R269" s="87"/>
      <c r="S269" s="74"/>
      <c r="T269" s="87"/>
      <c r="U269" s="74"/>
      <c r="V269" s="87"/>
      <c r="W269" s="74"/>
      <c r="X269" s="87"/>
      <c r="Y269" s="74"/>
      <c r="Z269" s="87"/>
      <c r="AA269" s="74"/>
      <c r="AB269" s="87"/>
      <c r="AC269" s="74"/>
      <c r="AD269" s="87"/>
      <c r="AE269" s="74"/>
      <c r="AF269" s="87"/>
      <c r="AG269" s="74"/>
      <c r="AH269" s="87"/>
      <c r="AI269" s="74"/>
      <c r="AJ269" s="87"/>
      <c r="AK269" s="74"/>
      <c r="AL269" s="87"/>
      <c r="AM269" s="74"/>
      <c r="AN269" s="87"/>
      <c r="AO269" s="74"/>
      <c r="AP269" s="87"/>
      <c r="AQ269" s="74"/>
      <c r="AR269" s="87"/>
      <c r="AS269" s="74"/>
      <c r="AT269" s="87"/>
      <c r="AU269" s="74">
        <v>-0.3</v>
      </c>
      <c r="AV269" s="87" t="str">
        <f t="shared" si="1534"/>
        <v>NA</v>
      </c>
      <c r="AW269" s="74">
        <v>0.1</v>
      </c>
      <c r="AX269" s="87" t="str">
        <f t="shared" si="1535"/>
        <v>NA</v>
      </c>
      <c r="AY269" s="74">
        <v>0.2</v>
      </c>
      <c r="AZ269" s="87" t="str">
        <f t="shared" si="1536"/>
        <v>NA</v>
      </c>
      <c r="BA269" s="74">
        <v>-0.1</v>
      </c>
      <c r="BB269" s="87" t="str">
        <f t="shared" si="1537"/>
        <v>NA</v>
      </c>
      <c r="BC269" s="74">
        <v>0.4</v>
      </c>
      <c r="BD269" s="87" t="str">
        <f t="shared" si="1538"/>
        <v>NM</v>
      </c>
      <c r="BE269" s="74">
        <v>0</v>
      </c>
      <c r="BF269" s="87" t="str">
        <f t="shared" si="1539"/>
        <v>NM</v>
      </c>
      <c r="BG269" s="74">
        <v>0.4</v>
      </c>
      <c r="BH269" s="87">
        <f t="shared" si="1540"/>
        <v>100</v>
      </c>
      <c r="BI269" s="74">
        <v>-0.2</v>
      </c>
      <c r="BJ269" s="87">
        <f t="shared" si="1541"/>
        <v>100</v>
      </c>
      <c r="BK269" s="74">
        <v>-0.1</v>
      </c>
      <c r="BL269" s="87" t="str">
        <f t="shared" si="1542"/>
        <v>NM</v>
      </c>
      <c r="BM269" s="74">
        <v>0.8</v>
      </c>
      <c r="BN269" s="87" t="str">
        <f t="shared" si="1543"/>
        <v>NA</v>
      </c>
      <c r="BO269" s="74">
        <v>-1</v>
      </c>
      <c r="BP269" s="87" t="str">
        <f t="shared" si="1544"/>
        <v>NM</v>
      </c>
      <c r="BQ269" s="74">
        <v>-0.1</v>
      </c>
      <c r="BR269" s="87">
        <f t="shared" si="1545"/>
        <v>-50</v>
      </c>
      <c r="BS269" s="74">
        <v>-0.3</v>
      </c>
      <c r="BT269" s="87" t="str">
        <f t="shared" si="1546"/>
        <v>NM</v>
      </c>
      <c r="BU269" s="74">
        <f>0.9-0.5</f>
        <v>0.4</v>
      </c>
      <c r="BV269" s="87">
        <f t="shared" si="1547"/>
        <v>-50</v>
      </c>
      <c r="BW269" s="74">
        <v>-0.9</v>
      </c>
      <c r="BX269" s="72">
        <f t="shared" si="1548"/>
        <v>-10</v>
      </c>
      <c r="BY269" s="74">
        <v>-0.1</v>
      </c>
      <c r="BZ269" s="72">
        <f t="shared" si="1549"/>
        <v>0</v>
      </c>
      <c r="CA269" s="74">
        <v>-0.02</v>
      </c>
      <c r="CB269" s="72" t="str">
        <f t="shared" si="1550"/>
        <v>NM</v>
      </c>
      <c r="CC269" s="74">
        <v>-0.1</v>
      </c>
      <c r="CD269" s="72" t="str">
        <f t="shared" si="1551"/>
        <v>NM</v>
      </c>
      <c r="CE269" s="74">
        <v>-0.6</v>
      </c>
      <c r="CF269" s="72">
        <f t="shared" si="1552"/>
        <v>-33.333333333333343</v>
      </c>
      <c r="CG269" s="74">
        <v>0</v>
      </c>
      <c r="CH269" s="72" t="str">
        <f t="shared" si="1553"/>
        <v>NM</v>
      </c>
      <c r="CI269" s="74">
        <v>0</v>
      </c>
      <c r="CJ269" s="72" t="str">
        <f t="shared" si="1554"/>
        <v>NM</v>
      </c>
      <c r="CK269" s="74">
        <v>0.6</v>
      </c>
      <c r="CL269" s="72" t="str">
        <f t="shared" si="1554"/>
        <v>NM</v>
      </c>
      <c r="CM269" s="86">
        <f>-0.1+0.4</f>
        <v>0.30000000000000004</v>
      </c>
      <c r="CN269" s="72" t="str">
        <f t="shared" si="1554"/>
        <v>NM</v>
      </c>
      <c r="CO269" s="86">
        <v>0.1</v>
      </c>
      <c r="CP269" s="72" t="str">
        <f t="shared" si="1554"/>
        <v>NA</v>
      </c>
      <c r="CQ269" s="86">
        <f>-0.2-0.1</f>
        <v>-0.30000000000000004</v>
      </c>
      <c r="CR269" s="72" t="str">
        <f t="shared" si="1554"/>
        <v>NA</v>
      </c>
      <c r="CS269" s="86">
        <v>0.3</v>
      </c>
      <c r="CT269" s="72">
        <f t="shared" si="1554"/>
        <v>-50</v>
      </c>
      <c r="CU269" s="86">
        <f>0.1+0.1</f>
        <v>0.2</v>
      </c>
      <c r="CV269" s="72">
        <f t="shared" si="1555"/>
        <v>-33.333333333333343</v>
      </c>
      <c r="CW269" s="86">
        <f>0.1+0.1</f>
        <v>0.2</v>
      </c>
      <c r="CX269" s="72">
        <f t="shared" si="1556"/>
        <v>100</v>
      </c>
      <c r="CY269" s="86">
        <v>0.1</v>
      </c>
      <c r="CZ269" s="72" t="str">
        <f t="shared" si="1557"/>
        <v>NM</v>
      </c>
      <c r="DA269" s="86">
        <f>-0.1-0.3</f>
        <v>-0.4</v>
      </c>
      <c r="DB269" s="72" t="str">
        <f t="shared" si="1558"/>
        <v>NM</v>
      </c>
      <c r="DC269" s="86">
        <f>-0.2-0.3</f>
        <v>-0.5</v>
      </c>
      <c r="DD269" s="72" t="str">
        <f t="shared" si="1559"/>
        <v>NM</v>
      </c>
      <c r="DE269" s="86">
        <v>-0.3</v>
      </c>
      <c r="DF269" s="72" t="str">
        <f t="shared" si="1560"/>
        <v>NM</v>
      </c>
      <c r="DG269" s="86">
        <f>0.2+0.1</f>
        <v>0.30000000000000004</v>
      </c>
      <c r="DH269" s="72" t="str">
        <f t="shared" si="1561"/>
        <v>NM</v>
      </c>
      <c r="DI269" s="86">
        <f>-0.5-0.3</f>
        <v>-0.8</v>
      </c>
      <c r="DJ269" s="72">
        <f t="shared" si="1562"/>
        <v>100</v>
      </c>
      <c r="DK269" s="86">
        <f>-0.1+0.1</f>
        <v>0</v>
      </c>
      <c r="DL269" s="72" t="str">
        <f t="shared" si="1563"/>
        <v>NM</v>
      </c>
      <c r="DM269" s="86">
        <v>0.1</v>
      </c>
      <c r="DN269" s="72" t="str">
        <f t="shared" si="1564"/>
        <v>NM</v>
      </c>
      <c r="DO269" s="86">
        <v>-0.4</v>
      </c>
      <c r="DP269" s="72" t="str">
        <f t="shared" si="1564"/>
        <v>NM</v>
      </c>
      <c r="DQ269" s="86">
        <v>-0.4</v>
      </c>
      <c r="DR269" s="72">
        <f t="shared" si="1564"/>
        <v>-50</v>
      </c>
      <c r="DS269" s="86">
        <v>0.2</v>
      </c>
      <c r="DT269" s="72" t="str">
        <f t="shared" si="1564"/>
        <v>NA</v>
      </c>
      <c r="DU269" s="86">
        <v>0</v>
      </c>
      <c r="DV269" s="72" t="str">
        <f t="shared" si="1564"/>
        <v>NM</v>
      </c>
      <c r="DW269" s="86">
        <f>-0.2-0.1</f>
        <v>-0.30000000000000004</v>
      </c>
      <c r="DX269" s="72">
        <f t="shared" si="1564"/>
        <v>-24.999999999999986</v>
      </c>
      <c r="DY269" s="86">
        <v>0.3</v>
      </c>
      <c r="DZ269" s="72" t="str">
        <f t="shared" si="1564"/>
        <v>NM</v>
      </c>
      <c r="EA269" s="86">
        <f>-1+3.1</f>
        <v>2.1</v>
      </c>
      <c r="EB269" s="72" t="str">
        <f t="shared" si="1566"/>
        <v>NM</v>
      </c>
      <c r="EC269" s="86">
        <f>0.4+0.4</f>
        <v>0.8</v>
      </c>
      <c r="ED269" s="72" t="str">
        <f t="shared" si="1567"/>
        <v>NA</v>
      </c>
      <c r="EE269" s="86">
        <f>13.5+0.2</f>
        <v>13.7</v>
      </c>
      <c r="EF269" s="72" t="str">
        <f t="shared" si="1568"/>
        <v>NM</v>
      </c>
      <c r="EG269" s="86">
        <f>-1.1-3.3</f>
        <v>-4.4000000000000004</v>
      </c>
      <c r="EH269" s="72" t="str">
        <f t="shared" si="1569"/>
        <v>NM</v>
      </c>
      <c r="EI269" s="86">
        <f>2+0.6</f>
        <v>2.6</v>
      </c>
      <c r="EJ269" s="72">
        <f t="shared" si="1570"/>
        <v>23.80952380952381</v>
      </c>
      <c r="EK269" s="86">
        <f>-1.7-0.1</f>
        <v>-1.8</v>
      </c>
      <c r="EL269" s="72" t="str">
        <f t="shared" si="1571"/>
        <v>NM</v>
      </c>
      <c r="EM269" s="86">
        <v>2.6</v>
      </c>
      <c r="EN269" s="72" t="str">
        <f t="shared" si="1572"/>
        <v>NM</v>
      </c>
      <c r="EO269" s="86">
        <f>-1.6+0.1</f>
        <v>-1.5</v>
      </c>
      <c r="EP269" s="72" t="str">
        <f t="shared" si="1573"/>
        <v>NM</v>
      </c>
      <c r="EQ269" s="86">
        <v>0</v>
      </c>
      <c r="ER269" s="72" t="str">
        <f t="shared" si="1575"/>
        <v>NM</v>
      </c>
      <c r="ES269" s="86">
        <v>0</v>
      </c>
      <c r="ET269" s="72" t="str">
        <f t="shared" si="1577"/>
        <v>NM</v>
      </c>
      <c r="EU269" s="86">
        <v>0</v>
      </c>
      <c r="EV269" s="72" t="str">
        <f t="shared" si="1579"/>
        <v>NM</v>
      </c>
      <c r="EW269" s="86">
        <v>0</v>
      </c>
      <c r="EX269" s="72" t="str">
        <f t="shared" si="1581"/>
        <v>NM</v>
      </c>
      <c r="EY269" s="72"/>
      <c r="EZ269" s="307"/>
      <c r="FA269" s="72"/>
      <c r="FB269" s="75"/>
      <c r="FC269" s="87"/>
      <c r="FD269" s="75"/>
      <c r="FE269" s="87"/>
      <c r="FF269" s="75"/>
      <c r="FG269" s="87"/>
      <c r="FH269" s="75"/>
      <c r="FI269" s="87"/>
      <c r="FJ269" s="75"/>
      <c r="FK269" s="87"/>
      <c r="FL269" s="75"/>
      <c r="FM269" s="87"/>
      <c r="FN269" s="75"/>
      <c r="FO269" s="87"/>
      <c r="FP269" s="115">
        <f>AU269+AW269</f>
        <v>-0.19999999999999998</v>
      </c>
      <c r="FQ269" s="87"/>
      <c r="FR269" s="75">
        <f>AY269+BA269+BC269+BE269</f>
        <v>0.5</v>
      </c>
      <c r="FS269" s="87" t="str">
        <f t="shared" si="1582"/>
        <v>NM</v>
      </c>
      <c r="FT269" s="75">
        <f>BG269+BI269+BK269+BM269</f>
        <v>0.9</v>
      </c>
      <c r="FU269" s="87">
        <f t="shared" si="1583"/>
        <v>80</v>
      </c>
      <c r="FV269" s="75">
        <f>BO269+BQ269+BS269+BU269</f>
        <v>-1</v>
      </c>
      <c r="FW269" s="72" t="str">
        <f t="shared" si="1584"/>
        <v>NM</v>
      </c>
      <c r="FX269" s="75">
        <f>BW269+BY269+CA269+CC269</f>
        <v>-1.1200000000000001</v>
      </c>
      <c r="FY269" s="72">
        <f t="shared" si="1585"/>
        <v>12.000000000000014</v>
      </c>
      <c r="FZ269" s="75">
        <f>CE269+CG269+CI269+CK269</f>
        <v>0</v>
      </c>
      <c r="GA269" s="72" t="str">
        <f t="shared" si="1586"/>
        <v>NM</v>
      </c>
      <c r="GB269" s="75">
        <f>CM269+CO269+CQ269+CS269</f>
        <v>0.39999999999999997</v>
      </c>
      <c r="GC269" s="72" t="str">
        <f t="shared" si="1587"/>
        <v>NA</v>
      </c>
      <c r="GD269" s="75">
        <f>CU269+CW269+CY269+DA269</f>
        <v>9.9999999999999978E-2</v>
      </c>
      <c r="GE269" s="72" t="str">
        <f t="shared" si="1587"/>
        <v>NM</v>
      </c>
      <c r="GF269" s="75">
        <f>DC269+DE269+DG269+DI269</f>
        <v>-1.3</v>
      </c>
      <c r="GG269" s="72" t="str">
        <f t="shared" si="1587"/>
        <v>NM</v>
      </c>
      <c r="GH269" s="75">
        <f>DK269+DM269+DO269+DQ269</f>
        <v>-0.70000000000000007</v>
      </c>
      <c r="GI269" s="72">
        <f t="shared" si="1588"/>
        <v>-46.153846153846146</v>
      </c>
      <c r="GJ269" s="75">
        <f>DS269+DU269+DW269+DY269</f>
        <v>0.19999999999999996</v>
      </c>
      <c r="GK269" s="72" t="str">
        <f t="shared" si="1588"/>
        <v>NM</v>
      </c>
      <c r="GL269" s="75">
        <f>EA269+EC269+EE269+EG269</f>
        <v>12.200000000000001</v>
      </c>
      <c r="GM269" s="72" t="str">
        <f t="shared" si="1588"/>
        <v>NM</v>
      </c>
      <c r="GN269" s="75">
        <f>EI269+EK269+EM269+EO269</f>
        <v>1.9000000000000004</v>
      </c>
      <c r="GO269" s="72" t="str">
        <f t="shared" si="1588"/>
        <v>NM</v>
      </c>
      <c r="GP269" s="75">
        <f>EQ269+ES269+EU269+EW269</f>
        <v>0</v>
      </c>
      <c r="GQ269" s="72" t="str">
        <f t="shared" si="1588"/>
        <v>NM</v>
      </c>
      <c r="GR269" s="74">
        <v>0</v>
      </c>
      <c r="GS269" s="72" t="str">
        <f t="shared" si="1588"/>
        <v>NA</v>
      </c>
      <c r="GT269" s="74">
        <v>0</v>
      </c>
      <c r="GU269" s="72" t="str">
        <f t="shared" si="1588"/>
        <v>NA</v>
      </c>
      <c r="GV269" s="74">
        <v>0</v>
      </c>
      <c r="GW269" s="72" t="str">
        <f t="shared" si="1589"/>
        <v>NA</v>
      </c>
      <c r="GX269" s="74">
        <v>0</v>
      </c>
      <c r="GY269" s="72" t="str">
        <f t="shared" si="1590"/>
        <v>NA</v>
      </c>
      <c r="GZ269" s="72" t="str">
        <f t="shared" si="1591"/>
        <v>NM</v>
      </c>
      <c r="HA269" s="72"/>
      <c r="HB269" s="72"/>
      <c r="HC269"/>
      <c r="HD269"/>
      <c r="HE269"/>
      <c r="HF269"/>
      <c r="HG269"/>
      <c r="HH269"/>
      <c r="HI269" s="2"/>
    </row>
    <row r="270" spans="1:217" s="3" customFormat="1" ht="12.75" customHeight="1" x14ac:dyDescent="0.2">
      <c r="B270" s="76" t="s">
        <v>600</v>
      </c>
      <c r="C270" s="75"/>
      <c r="D270" s="72"/>
      <c r="E270" s="75"/>
      <c r="F270" s="72"/>
      <c r="G270" s="75"/>
      <c r="H270" s="72"/>
      <c r="I270" s="75"/>
      <c r="J270" s="72"/>
      <c r="K270" s="75"/>
      <c r="L270" s="87"/>
      <c r="M270" s="75"/>
      <c r="N270" s="87"/>
      <c r="O270" s="75"/>
      <c r="P270" s="87"/>
      <c r="Q270" s="75"/>
      <c r="R270" s="87"/>
      <c r="S270" s="75"/>
      <c r="T270" s="87"/>
      <c r="U270" s="75"/>
      <c r="V270" s="87"/>
      <c r="W270" s="75"/>
      <c r="X270" s="87"/>
      <c r="Y270" s="75"/>
      <c r="Z270" s="87"/>
      <c r="AA270" s="75"/>
      <c r="AB270" s="87"/>
      <c r="AC270" s="75"/>
      <c r="AD270" s="87"/>
      <c r="AE270" s="75"/>
      <c r="AF270" s="87"/>
      <c r="AG270" s="75"/>
      <c r="AH270" s="87"/>
      <c r="AI270" s="75"/>
      <c r="AJ270" s="87"/>
      <c r="AK270" s="75"/>
      <c r="AL270" s="87"/>
      <c r="AM270" s="75"/>
      <c r="AN270" s="87"/>
      <c r="AO270" s="75"/>
      <c r="AP270" s="87"/>
      <c r="AQ270" s="75"/>
      <c r="AR270" s="87"/>
      <c r="AS270" s="75"/>
      <c r="AT270" s="87"/>
      <c r="AU270" s="75">
        <f>SUM(AU265:AU269)</f>
        <v>95</v>
      </c>
      <c r="AV270" s="87" t="str">
        <f t="shared" si="1534"/>
        <v>NA</v>
      </c>
      <c r="AW270" s="75">
        <f>SUM(AW265:AW269)</f>
        <v>101.3</v>
      </c>
      <c r="AX270" s="87" t="str">
        <f t="shared" si="1535"/>
        <v>NA</v>
      </c>
      <c r="AY270" s="75">
        <f>SUM(AY265:AY269)</f>
        <v>106.7</v>
      </c>
      <c r="AZ270" s="87" t="str">
        <f t="shared" si="1536"/>
        <v>NA</v>
      </c>
      <c r="BA270" s="75">
        <f>SUM(BA265:BA269)</f>
        <v>107.1</v>
      </c>
      <c r="BB270" s="87" t="str">
        <f t="shared" si="1537"/>
        <v>NA</v>
      </c>
      <c r="BC270" s="75">
        <f>SUM(BC265:BC269)</f>
        <v>115</v>
      </c>
      <c r="BD270" s="87">
        <f t="shared" si="1538"/>
        <v>21.05263157894737</v>
      </c>
      <c r="BE270" s="75">
        <f>SUM(BE265:BE269)</f>
        <v>122.89999999999999</v>
      </c>
      <c r="BF270" s="87">
        <f t="shared" si="1539"/>
        <v>21.322803553800583</v>
      </c>
      <c r="BG270" s="75">
        <f>SUM(BG265:BG269)</f>
        <v>126.99999999999999</v>
      </c>
      <c r="BH270" s="87">
        <f t="shared" si="1540"/>
        <v>19.025304592314882</v>
      </c>
      <c r="BI270" s="75">
        <f>SUM(BI265:BI269)</f>
        <v>132</v>
      </c>
      <c r="BJ270" s="87">
        <f t="shared" si="1541"/>
        <v>23.249299719887958</v>
      </c>
      <c r="BK270" s="75">
        <f>SUM(BK265:BK269)</f>
        <v>135</v>
      </c>
      <c r="BL270" s="87">
        <f t="shared" si="1542"/>
        <v>17.391304347826093</v>
      </c>
      <c r="BM270" s="75">
        <f>SUM(BM265:BM269)</f>
        <v>141.69999999999999</v>
      </c>
      <c r="BN270" s="87">
        <f t="shared" si="1543"/>
        <v>15.296989422294544</v>
      </c>
      <c r="BO270" s="75">
        <f>SUM(BO265:BO269)</f>
        <v>140.09999999999997</v>
      </c>
      <c r="BP270" s="87">
        <f t="shared" si="1544"/>
        <v>10.314960629921259</v>
      </c>
      <c r="BQ270" s="75">
        <f>SUM(BQ265:BQ269)</f>
        <v>145.79999999999998</v>
      </c>
      <c r="BR270" s="87">
        <f t="shared" si="1545"/>
        <v>10.454545454545453</v>
      </c>
      <c r="BS270" s="75">
        <f>SUM(BS265:BS269)</f>
        <v>138.59999999999997</v>
      </c>
      <c r="BT270" s="87">
        <f t="shared" si="1546"/>
        <v>2.666666666666643</v>
      </c>
      <c r="BU270" s="75">
        <f>SUM(BU265:BU269)</f>
        <v>128.49999999999997</v>
      </c>
      <c r="BV270" s="87">
        <f t="shared" si="1547"/>
        <v>-9.3154551870148339</v>
      </c>
      <c r="BW270" s="75">
        <f>SUM(BW265:BW269)</f>
        <v>120.59999999999998</v>
      </c>
      <c r="BX270" s="72">
        <f t="shared" si="1548"/>
        <v>-13.918629550321199</v>
      </c>
      <c r="BY270" s="75">
        <f>SUM(BY265:BY269)</f>
        <v>128.89999999999998</v>
      </c>
      <c r="BZ270" s="72">
        <f t="shared" si="1549"/>
        <v>-11.591220850480113</v>
      </c>
      <c r="CA270" s="75">
        <f>SUM(CA265:CA269)</f>
        <v>143.57999999999998</v>
      </c>
      <c r="CB270" s="72">
        <f t="shared" si="1550"/>
        <v>3.593073593073612</v>
      </c>
      <c r="CC270" s="75">
        <f>SUM(CC265:CC269)</f>
        <v>151.88</v>
      </c>
      <c r="CD270" s="72">
        <f t="shared" si="1551"/>
        <v>18.1945525291829</v>
      </c>
      <c r="CE270" s="75">
        <f>SUM(CE265:CE269)</f>
        <v>156.88</v>
      </c>
      <c r="CF270" s="72">
        <f t="shared" si="1552"/>
        <v>30.082918739635176</v>
      </c>
      <c r="CG270" s="75">
        <f>SUM(CG265:CG269)</f>
        <v>167.17999999999998</v>
      </c>
      <c r="CH270" s="72">
        <f t="shared" si="1553"/>
        <v>29.69743987587276</v>
      </c>
      <c r="CI270" s="75">
        <f>SUM(CI265:CI269)</f>
        <v>183.98</v>
      </c>
      <c r="CJ270" s="72">
        <f t="shared" si="1554"/>
        <v>28.137623624460247</v>
      </c>
      <c r="CK270" s="75">
        <f>SUM(CK265:CK269)</f>
        <v>197.48</v>
      </c>
      <c r="CL270" s="72">
        <f t="shared" si="1554"/>
        <v>30.023702923360531</v>
      </c>
      <c r="CM270" s="81">
        <f>SUM(CM265:CM269)</f>
        <v>211.9</v>
      </c>
      <c r="CN270" s="72">
        <f t="shared" si="1554"/>
        <v>35.071392146863843</v>
      </c>
      <c r="CO270" s="81">
        <f>SUM(CO265:CO269)</f>
        <v>221.6</v>
      </c>
      <c r="CP270" s="72">
        <f t="shared" si="1554"/>
        <v>32.551740638832428</v>
      </c>
      <c r="CQ270" s="81">
        <f>SUM(CQ265:CQ269)</f>
        <v>224</v>
      </c>
      <c r="CR270" s="72">
        <f t="shared" si="1554"/>
        <v>21.752364387433417</v>
      </c>
      <c r="CS270" s="81">
        <f>SUM(CS265:CS269)</f>
        <v>234.20000000000005</v>
      </c>
      <c r="CT270" s="72">
        <f t="shared" si="1554"/>
        <v>18.594288029167544</v>
      </c>
      <c r="CU270" s="81">
        <f>SUM(CU265:CU269)</f>
        <v>247.50000000000003</v>
      </c>
      <c r="CV270" s="72">
        <f t="shared" si="1555"/>
        <v>16.800377536573862</v>
      </c>
      <c r="CW270" s="81">
        <f>SUM(CW265:CW269)</f>
        <v>251.40000000000003</v>
      </c>
      <c r="CX270" s="72">
        <f t="shared" si="1556"/>
        <v>13.447653429602894</v>
      </c>
      <c r="CY270" s="81">
        <f>SUM(CY265:CY269)</f>
        <v>263.8</v>
      </c>
      <c r="CZ270" s="72">
        <f t="shared" si="1557"/>
        <v>17.767857142857153</v>
      </c>
      <c r="DA270" s="81">
        <f>SUM(DA265:DA269)</f>
        <v>274.60000000000008</v>
      </c>
      <c r="DB270" s="72">
        <f t="shared" si="1558"/>
        <v>17.250213492741253</v>
      </c>
      <c r="DC270" s="81">
        <f>SUM(DC265:DC269)</f>
        <v>282.90000000000003</v>
      </c>
      <c r="DD270" s="72">
        <f t="shared" si="1559"/>
        <v>14.303030303030312</v>
      </c>
      <c r="DE270" s="81">
        <f>SUM(DE265:DE269)</f>
        <v>279.60000000000002</v>
      </c>
      <c r="DF270" s="72">
        <f t="shared" si="1560"/>
        <v>11.217183770883054</v>
      </c>
      <c r="DG270" s="81">
        <f>SUM(DG265:DG269)</f>
        <v>290.00000000000006</v>
      </c>
      <c r="DH270" s="72">
        <f t="shared" si="1561"/>
        <v>9.9317664897649962</v>
      </c>
      <c r="DI270" s="81">
        <f>SUM(DI265:DI269)</f>
        <v>300.50000000000006</v>
      </c>
      <c r="DJ270" s="72">
        <f t="shared" si="1562"/>
        <v>9.4319009468317461</v>
      </c>
      <c r="DK270" s="81">
        <f>SUM(DK265:DK269)</f>
        <v>310.40000000000003</v>
      </c>
      <c r="DL270" s="72">
        <f t="shared" si="1563"/>
        <v>9.7207493814068613</v>
      </c>
      <c r="DM270" s="81">
        <f>SUM(DM265:DM269)</f>
        <v>323.50000000000006</v>
      </c>
      <c r="DN270" s="72">
        <f t="shared" si="1564"/>
        <v>15.701001430615165</v>
      </c>
      <c r="DO270" s="81">
        <f>SUM(DO265:DO269)</f>
        <v>320.7000000000001</v>
      </c>
      <c r="DP270" s="72">
        <f t="shared" si="1564"/>
        <v>10.586206896551744</v>
      </c>
      <c r="DQ270" s="81">
        <f>SUM(DQ265:DQ269)</f>
        <v>323.60000000000014</v>
      </c>
      <c r="DR270" s="72">
        <f t="shared" si="1564"/>
        <v>7.6871880199667544</v>
      </c>
      <c r="DS270" s="81">
        <f>SUM(DS265:DS269)</f>
        <v>334.10000000000014</v>
      </c>
      <c r="DT270" s="72">
        <f t="shared" si="1564"/>
        <v>7.6353092783505474</v>
      </c>
      <c r="DU270" s="81">
        <f>SUM(DU265:DU269)</f>
        <v>335.90000000000015</v>
      </c>
      <c r="DV270" s="72">
        <f t="shared" si="1564"/>
        <v>3.8330757341576742</v>
      </c>
      <c r="DW270" s="81">
        <f>SUM(DW265:DW269)</f>
        <v>338.60000000000014</v>
      </c>
      <c r="DX270" s="72">
        <f t="shared" si="1564"/>
        <v>5.5815403804178487</v>
      </c>
      <c r="DY270" s="81">
        <f>SUM(DY265:DY269)</f>
        <v>347.10000000000014</v>
      </c>
      <c r="DZ270" s="72">
        <f t="shared" si="1564"/>
        <v>7.2620519159456052</v>
      </c>
      <c r="EA270" s="81">
        <f>SUM(EA265:EA269)</f>
        <v>359.30000000000013</v>
      </c>
      <c r="EB270" s="72">
        <f t="shared" si="1566"/>
        <v>7.5426519006285559</v>
      </c>
      <c r="EC270" s="81">
        <f>SUM(EC265:EC269)</f>
        <v>373.40000000000015</v>
      </c>
      <c r="ED270" s="72">
        <f t="shared" si="1567"/>
        <v>11.164036915748724</v>
      </c>
      <c r="EE270" s="81">
        <f>SUM(EE265:EE269)</f>
        <v>398.90000000000009</v>
      </c>
      <c r="EF270" s="72">
        <f t="shared" si="1568"/>
        <v>17.808623744831635</v>
      </c>
      <c r="EG270" s="81">
        <f>SUM(EG265:EG269)</f>
        <v>386.40000000000009</v>
      </c>
      <c r="EH270" s="72">
        <f t="shared" si="1569"/>
        <v>11.322385479688819</v>
      </c>
      <c r="EI270" s="81">
        <f>SUM(EI265:EI269)</f>
        <v>399.10000000000014</v>
      </c>
      <c r="EJ270" s="72">
        <f t="shared" si="1570"/>
        <v>11.07709435012525</v>
      </c>
      <c r="EK270" s="81">
        <f>SUM(EK265:EK269)</f>
        <v>414.60000000000014</v>
      </c>
      <c r="EL270" s="72">
        <f t="shared" si="1571"/>
        <v>11.033743974290289</v>
      </c>
      <c r="EM270" s="81">
        <f>SUM(EM265:EM269)</f>
        <v>431.00000000000017</v>
      </c>
      <c r="EN270" s="72">
        <f t="shared" si="1572"/>
        <v>8.0471296064176698</v>
      </c>
      <c r="EO270" s="81">
        <f>SUM(EO265:EO269)</f>
        <v>437.90000000000015</v>
      </c>
      <c r="EP270" s="72">
        <f t="shared" si="1573"/>
        <v>13.3281573498965</v>
      </c>
      <c r="EQ270" s="81">
        <f t="shared" ref="EQ270" si="1604">SUM(EQ265:EQ269)</f>
        <v>437.56485000000015</v>
      </c>
      <c r="ER270" s="72">
        <f t="shared" si="1575"/>
        <v>9.6378977699824446</v>
      </c>
      <c r="ES270" s="81">
        <f t="shared" ref="ES270" si="1605">SUM(ES265:ES269)</f>
        <v>444.57412087500018</v>
      </c>
      <c r="ET270" s="72">
        <f t="shared" si="1577"/>
        <v>7.2296480643994272</v>
      </c>
      <c r="EU270" s="81">
        <f t="shared" ref="EU270" si="1606">SUM(EU265:EU269)</f>
        <v>451.76277275531265</v>
      </c>
      <c r="EV270" s="72">
        <f t="shared" si="1579"/>
        <v>4.8173486671258701</v>
      </c>
      <c r="EW270" s="81">
        <f t="shared" ref="EW270" si="1607">SUM(EW265:EW269)</f>
        <v>459.13351136031815</v>
      </c>
      <c r="EX270" s="72">
        <f t="shared" si="1581"/>
        <v>4.8489407079968032</v>
      </c>
      <c r="EY270" s="72"/>
      <c r="EZ270" s="307"/>
      <c r="FA270" s="72"/>
      <c r="FB270" s="75"/>
      <c r="FC270" s="87"/>
      <c r="FD270" s="75"/>
      <c r="FE270" s="87"/>
      <c r="FF270" s="75"/>
      <c r="FG270" s="87"/>
      <c r="FH270" s="75"/>
      <c r="FI270" s="87"/>
      <c r="FJ270" s="75"/>
      <c r="FK270" s="87"/>
      <c r="FL270" s="75"/>
      <c r="FM270" s="87"/>
      <c r="FN270" s="75"/>
      <c r="FO270" s="87"/>
      <c r="FP270" s="115">
        <f>SUM(FP265:FP269)</f>
        <v>101.3</v>
      </c>
      <c r="FQ270" s="87"/>
      <c r="FR270" s="75">
        <f>SUM(FR265:FR269)</f>
        <v>122.89999999999999</v>
      </c>
      <c r="FS270" s="87">
        <f t="shared" si="1582"/>
        <v>21.322803553800583</v>
      </c>
      <c r="FT270" s="75">
        <f>SUM(FT265:FT269)</f>
        <v>141.69999999999999</v>
      </c>
      <c r="FU270" s="87">
        <f t="shared" si="1583"/>
        <v>15.296989422294544</v>
      </c>
      <c r="FV270" s="75">
        <f>SUM(FV265:FV269)</f>
        <v>128.5</v>
      </c>
      <c r="FW270" s="72">
        <f t="shared" si="1584"/>
        <v>-9.3154551870148055</v>
      </c>
      <c r="FX270" s="75">
        <f>SUM(FX265:FX269)</f>
        <v>151.88000000000002</v>
      </c>
      <c r="FY270" s="72">
        <f t="shared" si="1585"/>
        <v>18.1945525291829</v>
      </c>
      <c r="FZ270" s="75">
        <f>SUM(FZ265:FZ269)</f>
        <v>197.48000000000002</v>
      </c>
      <c r="GA270" s="72">
        <f t="shared" si="1586"/>
        <v>30.023702923360531</v>
      </c>
      <c r="GB270" s="75">
        <f>SUM(GB265:GB269)</f>
        <v>234.20000000000002</v>
      </c>
      <c r="GC270" s="72">
        <f t="shared" si="1587"/>
        <v>18.594288029167515</v>
      </c>
      <c r="GD270" s="75">
        <f>SUM(GD265:GD269)</f>
        <v>274.60000000000002</v>
      </c>
      <c r="GE270" s="72">
        <f t="shared" si="1587"/>
        <v>17.250213492741253</v>
      </c>
      <c r="GF270" s="75">
        <f>SUM(GF265:GF269)</f>
        <v>300.50000000000006</v>
      </c>
      <c r="GG270" s="72">
        <f t="shared" si="1587"/>
        <v>9.4319009468317745</v>
      </c>
      <c r="GH270" s="75">
        <f>SUM(GH265:GH269)</f>
        <v>323.60000000000008</v>
      </c>
      <c r="GI270" s="72">
        <f t="shared" si="1588"/>
        <v>7.687188019966726</v>
      </c>
      <c r="GJ270" s="75">
        <f>SUM(GJ265:GJ269)</f>
        <v>347.10000000000014</v>
      </c>
      <c r="GK270" s="72">
        <f t="shared" si="1588"/>
        <v>7.2620519159456194</v>
      </c>
      <c r="GL270" s="75">
        <f>SUM(GL265:GL269)</f>
        <v>386.40000000000009</v>
      </c>
      <c r="GM270" s="72">
        <f t="shared" si="1588"/>
        <v>11.322385479688819</v>
      </c>
      <c r="GN270" s="75">
        <f>SUM(GN265:GN269)</f>
        <v>437.90000000000009</v>
      </c>
      <c r="GO270" s="72">
        <f t="shared" si="1588"/>
        <v>13.328157349896472</v>
      </c>
      <c r="GP270" s="75">
        <f>SUM(GP265:GP269)</f>
        <v>459.13351136031804</v>
      </c>
      <c r="GQ270" s="72">
        <f t="shared" si="1588"/>
        <v>4.8489407079968032</v>
      </c>
      <c r="GR270" s="75">
        <f>SUM(GR265:GR269)</f>
        <v>489.31488025387921</v>
      </c>
      <c r="GS270" s="72">
        <f t="shared" si="1588"/>
        <v>6.5735495551479062</v>
      </c>
      <c r="GT270" s="75">
        <f>SUM(GT265:GT269)</f>
        <v>521.0661807686447</v>
      </c>
      <c r="GU270" s="72">
        <f t="shared" si="1588"/>
        <v>6.4889300930908576</v>
      </c>
      <c r="GV270" s="75">
        <f>SUM(GV265:GV269)</f>
        <v>554.5036556123689</v>
      </c>
      <c r="GW270" s="72">
        <f t="shared" si="1589"/>
        <v>6.4171262841121717</v>
      </c>
      <c r="GX270" s="75">
        <f>SUM(GX265:GX269)</f>
        <v>589.74850478688052</v>
      </c>
      <c r="GY270" s="72">
        <f t="shared" si="1590"/>
        <v>6.35610763207481</v>
      </c>
      <c r="GZ270" s="72">
        <f t="shared" si="1591"/>
        <v>6.1349404710565159</v>
      </c>
      <c r="HA270" s="72"/>
      <c r="HB270" s="72"/>
      <c r="HC270"/>
      <c r="HD270"/>
      <c r="HE270"/>
      <c r="HF270"/>
      <c r="HG270"/>
      <c r="HH270"/>
      <c r="HI270" s="2"/>
    </row>
    <row r="271" spans="1:217" s="3" customFormat="1" ht="12.75" customHeight="1" x14ac:dyDescent="0.2">
      <c r="B271" s="76" t="s">
        <v>427</v>
      </c>
      <c r="C271" s="74"/>
      <c r="D271" s="72"/>
      <c r="E271" s="74"/>
      <c r="F271" s="72"/>
      <c r="G271" s="74"/>
      <c r="H271" s="72"/>
      <c r="I271" s="74"/>
      <c r="J271" s="72"/>
      <c r="K271" s="74"/>
      <c r="L271" s="87"/>
      <c r="M271" s="74"/>
      <c r="N271" s="87"/>
      <c r="O271" s="74"/>
      <c r="P271" s="87"/>
      <c r="Q271" s="74"/>
      <c r="R271" s="87"/>
      <c r="S271" s="74"/>
      <c r="T271" s="87"/>
      <c r="U271" s="74"/>
      <c r="V271" s="87"/>
      <c r="W271" s="74"/>
      <c r="X271" s="87"/>
      <c r="Y271" s="74"/>
      <c r="Z271" s="87"/>
      <c r="AA271" s="74"/>
      <c r="AB271" s="87"/>
      <c r="AC271" s="74"/>
      <c r="AD271" s="87"/>
      <c r="AE271" s="74"/>
      <c r="AF271" s="87"/>
      <c r="AG271" s="74"/>
      <c r="AH271" s="87"/>
      <c r="AI271" s="74"/>
      <c r="AJ271" s="87"/>
      <c r="AK271" s="74"/>
      <c r="AL271" s="87"/>
      <c r="AM271" s="74"/>
      <c r="AN271" s="87"/>
      <c r="AO271" s="74"/>
      <c r="AP271" s="87"/>
      <c r="AQ271" s="74"/>
      <c r="AR271" s="87"/>
      <c r="AS271" s="74"/>
      <c r="AT271" s="87"/>
      <c r="AU271" s="74">
        <v>34.799999999999997</v>
      </c>
      <c r="AV271" s="87" t="str">
        <f t="shared" si="1534"/>
        <v>NA</v>
      </c>
      <c r="AW271" s="74">
        <v>33.4</v>
      </c>
      <c r="AX271" s="87" t="str">
        <f t="shared" si="1535"/>
        <v>NA</v>
      </c>
      <c r="AY271" s="74">
        <v>32</v>
      </c>
      <c r="AZ271" s="87" t="str">
        <f t="shared" si="1536"/>
        <v>NA</v>
      </c>
      <c r="BA271" s="74">
        <v>31.4</v>
      </c>
      <c r="BB271" s="87" t="str">
        <f t="shared" si="1537"/>
        <v>NA</v>
      </c>
      <c r="BC271" s="74">
        <v>32.9</v>
      </c>
      <c r="BD271" s="87">
        <f t="shared" si="1538"/>
        <v>-5.4597701149425291</v>
      </c>
      <c r="BE271" s="74">
        <v>33.9</v>
      </c>
      <c r="BF271" s="87">
        <f t="shared" si="1539"/>
        <v>1.4970059880239575</v>
      </c>
      <c r="BG271" s="74">
        <v>34</v>
      </c>
      <c r="BH271" s="87">
        <f t="shared" si="1540"/>
        <v>6.25</v>
      </c>
      <c r="BI271" s="74">
        <v>34.200000000000003</v>
      </c>
      <c r="BJ271" s="87">
        <f t="shared" si="1541"/>
        <v>8.9171974522293169</v>
      </c>
      <c r="BK271" s="74">
        <v>35.1</v>
      </c>
      <c r="BL271" s="87">
        <f t="shared" si="1542"/>
        <v>6.6869300911854168</v>
      </c>
      <c r="BM271" s="74">
        <v>34.700000000000003</v>
      </c>
      <c r="BN271" s="87">
        <f t="shared" si="1543"/>
        <v>2.3598820058997205</v>
      </c>
      <c r="BO271" s="74">
        <v>34.1</v>
      </c>
      <c r="BP271" s="87">
        <f t="shared" si="1544"/>
        <v>0.29411764705882604</v>
      </c>
      <c r="BQ271" s="74">
        <v>33.5</v>
      </c>
      <c r="BR271" s="87">
        <f t="shared" si="1545"/>
        <v>-2.0467836257309955</v>
      </c>
      <c r="BS271" s="74">
        <v>32.299999999999997</v>
      </c>
      <c r="BT271" s="87">
        <f t="shared" si="1546"/>
        <v>-7.9772079772079962</v>
      </c>
      <c r="BU271" s="74">
        <v>32.700000000000003</v>
      </c>
      <c r="BV271" s="87">
        <f t="shared" si="1547"/>
        <v>-5.7636887608069145</v>
      </c>
      <c r="BW271" s="74">
        <v>32.1</v>
      </c>
      <c r="BX271" s="72">
        <f t="shared" si="1548"/>
        <v>-5.8651026392961825</v>
      </c>
      <c r="BY271" s="74">
        <v>34.6</v>
      </c>
      <c r="BZ271" s="72">
        <f t="shared" si="1549"/>
        <v>3.2835820895522403</v>
      </c>
      <c r="CA271" s="74">
        <v>36.5</v>
      </c>
      <c r="CB271" s="72">
        <f t="shared" si="1550"/>
        <v>13.003095975232213</v>
      </c>
      <c r="CC271" s="74">
        <v>36.5</v>
      </c>
      <c r="CD271" s="72">
        <f t="shared" si="1551"/>
        <v>11.620795107033615</v>
      </c>
      <c r="CE271" s="74">
        <v>37.1</v>
      </c>
      <c r="CF271" s="72">
        <f t="shared" si="1552"/>
        <v>15.576323987538942</v>
      </c>
      <c r="CG271" s="74">
        <v>37.9</v>
      </c>
      <c r="CH271" s="72">
        <f t="shared" si="1553"/>
        <v>9.5375722543352452</v>
      </c>
      <c r="CI271" s="74">
        <v>37.9</v>
      </c>
      <c r="CJ271" s="72">
        <f t="shared" si="1554"/>
        <v>3.8356164383561691</v>
      </c>
      <c r="CK271" s="74">
        <v>37.700000000000003</v>
      </c>
      <c r="CL271" s="72">
        <f t="shared" si="1554"/>
        <v>3.2876712328767184</v>
      </c>
      <c r="CM271" s="86">
        <v>37</v>
      </c>
      <c r="CN271" s="72">
        <f t="shared" si="1554"/>
        <v>-0.26954177897574993</v>
      </c>
      <c r="CO271" s="86">
        <v>37.299999999999997</v>
      </c>
      <c r="CP271" s="72">
        <f t="shared" si="1554"/>
        <v>-1.5831134564643747</v>
      </c>
      <c r="CQ271" s="86">
        <v>37.200000000000003</v>
      </c>
      <c r="CR271" s="72">
        <f t="shared" si="1554"/>
        <v>-1.8469656992084396</v>
      </c>
      <c r="CS271" s="86">
        <v>37.6</v>
      </c>
      <c r="CT271" s="72">
        <f t="shared" si="1554"/>
        <v>-0.26525198938992389</v>
      </c>
      <c r="CU271" s="86">
        <v>38.6</v>
      </c>
      <c r="CV271" s="72">
        <f t="shared" si="1555"/>
        <v>4.3243243243243228</v>
      </c>
      <c r="CW271" s="86">
        <v>37.799999999999997</v>
      </c>
      <c r="CX271" s="72">
        <f t="shared" si="1556"/>
        <v>1.3404825737265469</v>
      </c>
      <c r="CY271" s="86">
        <v>39.299999999999997</v>
      </c>
      <c r="CZ271" s="72">
        <f t="shared" si="1557"/>
        <v>5.6451612903225765</v>
      </c>
      <c r="DA271" s="86">
        <v>39.1</v>
      </c>
      <c r="DB271" s="72">
        <f t="shared" si="1558"/>
        <v>3.9893617021276668</v>
      </c>
      <c r="DC271" s="86">
        <v>40.299999999999997</v>
      </c>
      <c r="DD271" s="72">
        <f t="shared" si="1559"/>
        <v>4.4041450777202016</v>
      </c>
      <c r="DE271" s="86">
        <v>39.5</v>
      </c>
      <c r="DF271" s="72">
        <f t="shared" si="1560"/>
        <v>4.4973544973545074</v>
      </c>
      <c r="DG271" s="86">
        <v>40.299999999999997</v>
      </c>
      <c r="DH271" s="72">
        <f t="shared" si="1561"/>
        <v>2.544529262086499</v>
      </c>
      <c r="DI271" s="86">
        <v>41.2</v>
      </c>
      <c r="DJ271" s="72">
        <f t="shared" si="1562"/>
        <v>5.3708439897698099</v>
      </c>
      <c r="DK271" s="86">
        <v>41.8</v>
      </c>
      <c r="DL271" s="72">
        <f t="shared" si="1563"/>
        <v>3.7220843672456567</v>
      </c>
      <c r="DM271" s="86">
        <v>43.5</v>
      </c>
      <c r="DN271" s="72">
        <f t="shared" si="1564"/>
        <v>10.126582278481024</v>
      </c>
      <c r="DO271" s="86">
        <v>43</v>
      </c>
      <c r="DP271" s="72">
        <f t="shared" si="1564"/>
        <v>6.6997518610421878</v>
      </c>
      <c r="DQ271" s="86">
        <v>46.4</v>
      </c>
      <c r="DR271" s="72">
        <f t="shared" si="1564"/>
        <v>12.621359223300971</v>
      </c>
      <c r="DS271" s="86">
        <v>46.8</v>
      </c>
      <c r="DT271" s="72">
        <f t="shared" si="1564"/>
        <v>11.961722488038291</v>
      </c>
      <c r="DU271" s="86">
        <v>44.7</v>
      </c>
      <c r="DV271" s="72">
        <f t="shared" si="1564"/>
        <v>2.7586206896551744</v>
      </c>
      <c r="DW271" s="86">
        <v>42.3</v>
      </c>
      <c r="DX271" s="72">
        <f t="shared" si="1564"/>
        <v>-1.6279069767441996</v>
      </c>
      <c r="DY271" s="86">
        <v>42</v>
      </c>
      <c r="DZ271" s="72">
        <f t="shared" si="1564"/>
        <v>-9.4827586206896513</v>
      </c>
      <c r="EA271" s="86">
        <v>44.3</v>
      </c>
      <c r="EB271" s="72">
        <f t="shared" si="1566"/>
        <v>-5.3418803418803407</v>
      </c>
      <c r="EC271" s="86">
        <v>45.4</v>
      </c>
      <c r="ED271" s="72">
        <f t="shared" si="1567"/>
        <v>1.5659955257270752</v>
      </c>
      <c r="EE271" s="86">
        <v>47</v>
      </c>
      <c r="EF271" s="72">
        <f t="shared" si="1568"/>
        <v>11.111111111111114</v>
      </c>
      <c r="EG271" s="86">
        <v>45.1</v>
      </c>
      <c r="EH271" s="72">
        <f t="shared" si="1569"/>
        <v>7.3809523809523796</v>
      </c>
      <c r="EI271" s="86">
        <v>46.1</v>
      </c>
      <c r="EJ271" s="72">
        <f t="shared" si="1570"/>
        <v>4.0632054176072359</v>
      </c>
      <c r="EK271" s="86">
        <v>46.6</v>
      </c>
      <c r="EL271" s="72">
        <f t="shared" si="1571"/>
        <v>2.6431718061674019</v>
      </c>
      <c r="EM271" s="86">
        <v>47.3</v>
      </c>
      <c r="EN271" s="72">
        <f t="shared" si="1572"/>
        <v>0.63829787234041646</v>
      </c>
      <c r="EO271" s="86">
        <v>51.6</v>
      </c>
      <c r="EP271" s="72">
        <f t="shared" si="1573"/>
        <v>14.412416851441236</v>
      </c>
      <c r="EQ271" s="86">
        <f t="shared" ref="EQ271" si="1608">EO271*1.016</f>
        <v>52.425600000000003</v>
      </c>
      <c r="ER271" s="72">
        <f t="shared" si="1575"/>
        <v>13.721475054229941</v>
      </c>
      <c r="ES271" s="86">
        <f t="shared" ref="ES271" si="1609">EQ271*1.016</f>
        <v>53.2644096</v>
      </c>
      <c r="ET271" s="72">
        <f t="shared" si="1577"/>
        <v>14.30130815450643</v>
      </c>
      <c r="EU271" s="86">
        <f t="shared" ref="EU271" si="1610">ES271*1.016</f>
        <v>54.116640153600002</v>
      </c>
      <c r="EV271" s="72">
        <f t="shared" si="1579"/>
        <v>14.411501381818198</v>
      </c>
      <c r="EW271" s="86">
        <f t="shared" ref="EW271" si="1611">EU271*1.016</f>
        <v>54.982506396057602</v>
      </c>
      <c r="EX271" s="72">
        <f t="shared" si="1581"/>
        <v>6.5552449536000097</v>
      </c>
      <c r="EY271" s="72"/>
      <c r="EZ271" s="307"/>
      <c r="FA271" s="72"/>
      <c r="FB271" s="75"/>
      <c r="FC271" s="87"/>
      <c r="FD271" s="75"/>
      <c r="FE271" s="87"/>
      <c r="FF271" s="75"/>
      <c r="FG271" s="87"/>
      <c r="FH271" s="75"/>
      <c r="FI271" s="87"/>
      <c r="FJ271" s="75"/>
      <c r="FK271" s="87"/>
      <c r="FL271" s="75"/>
      <c r="FM271" s="87"/>
      <c r="FN271" s="75"/>
      <c r="FO271" s="87"/>
      <c r="FP271" s="115">
        <f>AW271</f>
        <v>33.4</v>
      </c>
      <c r="FQ271" s="87"/>
      <c r="FR271" s="75">
        <f>BE271</f>
        <v>33.9</v>
      </c>
      <c r="FS271" s="87">
        <f t="shared" si="1582"/>
        <v>1.4970059880239575</v>
      </c>
      <c r="FT271" s="75">
        <f>BM271</f>
        <v>34.700000000000003</v>
      </c>
      <c r="FU271" s="87">
        <f t="shared" si="1583"/>
        <v>2.3598820058997205</v>
      </c>
      <c r="FV271" s="75">
        <f>BU271</f>
        <v>32.700000000000003</v>
      </c>
      <c r="FW271" s="72">
        <f t="shared" si="1584"/>
        <v>-5.7636887608069145</v>
      </c>
      <c r="FX271" s="75">
        <f>CC271</f>
        <v>36.5</v>
      </c>
      <c r="FY271" s="72">
        <f t="shared" si="1585"/>
        <v>11.620795107033615</v>
      </c>
      <c r="FZ271" s="75">
        <f>CK271</f>
        <v>37.700000000000003</v>
      </c>
      <c r="GA271" s="72">
        <f t="shared" si="1586"/>
        <v>3.2876712328767184</v>
      </c>
      <c r="GB271" s="75">
        <f>CS271</f>
        <v>37.6</v>
      </c>
      <c r="GC271" s="72">
        <f t="shared" si="1587"/>
        <v>-0.26525198938992389</v>
      </c>
      <c r="GD271" s="75">
        <f>DA271</f>
        <v>39.1</v>
      </c>
      <c r="GE271" s="72">
        <f t="shared" si="1587"/>
        <v>3.9893617021276668</v>
      </c>
      <c r="GF271" s="75">
        <f>DI271</f>
        <v>41.2</v>
      </c>
      <c r="GG271" s="72">
        <f t="shared" si="1587"/>
        <v>5.3708439897698099</v>
      </c>
      <c r="GH271" s="75">
        <f>DQ271</f>
        <v>46.4</v>
      </c>
      <c r="GI271" s="72">
        <f t="shared" si="1588"/>
        <v>12.621359223300971</v>
      </c>
      <c r="GJ271" s="75">
        <f>DY271</f>
        <v>42</v>
      </c>
      <c r="GK271" s="72">
        <f t="shared" si="1588"/>
        <v>-9.4827586206896513</v>
      </c>
      <c r="GL271" s="75">
        <f>EA271</f>
        <v>44.3</v>
      </c>
      <c r="GM271" s="72">
        <f t="shared" si="1588"/>
        <v>5.4761904761904816</v>
      </c>
      <c r="GN271" s="75">
        <f>EI271</f>
        <v>46.1</v>
      </c>
      <c r="GO271" s="72">
        <f t="shared" si="1588"/>
        <v>4.0632054176072359</v>
      </c>
      <c r="GP271" s="75">
        <f>EQ271</f>
        <v>52.425600000000003</v>
      </c>
      <c r="GQ271" s="72">
        <f t="shared" si="1588"/>
        <v>13.721475054229941</v>
      </c>
      <c r="GR271" s="74">
        <f>GP271*1.04</f>
        <v>54.522624000000008</v>
      </c>
      <c r="GS271" s="72">
        <f t="shared" si="1588"/>
        <v>4</v>
      </c>
      <c r="GT271" s="74">
        <f>GR271*1.04</f>
        <v>56.703528960000007</v>
      </c>
      <c r="GU271" s="72">
        <f t="shared" si="1588"/>
        <v>4</v>
      </c>
      <c r="GV271" s="74">
        <f>GT271*1.04</f>
        <v>58.971670118400006</v>
      </c>
      <c r="GW271" s="72">
        <f t="shared" si="1589"/>
        <v>4</v>
      </c>
      <c r="GX271" s="74">
        <f>GV271*1.04</f>
        <v>61.330536923136009</v>
      </c>
      <c r="GY271" s="72">
        <f t="shared" si="1590"/>
        <v>4</v>
      </c>
      <c r="GZ271" s="72">
        <f t="shared" si="1591"/>
        <v>5.8754253924955702</v>
      </c>
      <c r="HA271" s="72"/>
      <c r="HB271" s="72"/>
      <c r="HC271"/>
      <c r="HD271"/>
      <c r="HE271"/>
      <c r="HF271"/>
      <c r="HG271"/>
      <c r="HH271"/>
      <c r="HI271" s="2"/>
    </row>
    <row r="272" spans="1:217" s="3" customFormat="1" ht="12.75" customHeight="1" x14ac:dyDescent="0.2">
      <c r="B272" s="76" t="s">
        <v>110</v>
      </c>
      <c r="C272" s="115"/>
      <c r="D272" s="72"/>
      <c r="E272" s="115"/>
      <c r="F272" s="72"/>
      <c r="G272" s="115"/>
      <c r="H272" s="72"/>
      <c r="I272" s="115"/>
      <c r="J272" s="72"/>
      <c r="K272" s="115"/>
      <c r="L272" s="87"/>
      <c r="M272" s="115"/>
      <c r="N272" s="87"/>
      <c r="O272" s="115"/>
      <c r="P272" s="87"/>
      <c r="Q272" s="115"/>
      <c r="R272" s="87"/>
      <c r="S272" s="115"/>
      <c r="T272" s="87"/>
      <c r="U272" s="115"/>
      <c r="V272" s="87"/>
      <c r="W272" s="115"/>
      <c r="X272" s="87"/>
      <c r="Y272" s="115"/>
      <c r="Z272" s="87"/>
      <c r="AA272" s="115"/>
      <c r="AB272" s="87"/>
      <c r="AC272" s="115"/>
      <c r="AD272" s="87"/>
      <c r="AE272" s="115"/>
      <c r="AF272" s="87"/>
      <c r="AG272" s="115"/>
      <c r="AH272" s="87"/>
      <c r="AI272" s="115"/>
      <c r="AJ272" s="87"/>
      <c r="AK272" s="115"/>
      <c r="AL272" s="87"/>
      <c r="AM272" s="115"/>
      <c r="AN272" s="87"/>
      <c r="AO272" s="115"/>
      <c r="AP272" s="87"/>
      <c r="AQ272" s="115"/>
      <c r="AR272" s="87"/>
      <c r="AS272" s="115"/>
      <c r="AT272" s="87"/>
      <c r="AU272" s="115">
        <f>AU271+AU270</f>
        <v>129.80000000000001</v>
      </c>
      <c r="AV272" s="87" t="str">
        <f t="shared" si="1534"/>
        <v>NA</v>
      </c>
      <c r="AW272" s="115">
        <f>AW271+AW270</f>
        <v>134.69999999999999</v>
      </c>
      <c r="AX272" s="87" t="str">
        <f t="shared" si="1535"/>
        <v>NA</v>
      </c>
      <c r="AY272" s="115">
        <f>AY271+AY270</f>
        <v>138.69999999999999</v>
      </c>
      <c r="AZ272" s="87" t="str">
        <f t="shared" si="1536"/>
        <v>NA</v>
      </c>
      <c r="BA272" s="115">
        <f>BA271+BA270</f>
        <v>138.5</v>
      </c>
      <c r="BB272" s="87" t="str">
        <f t="shared" si="1537"/>
        <v>NA</v>
      </c>
      <c r="BC272" s="115">
        <f>BC271+BC270</f>
        <v>147.9</v>
      </c>
      <c r="BD272" s="87">
        <f t="shared" si="1538"/>
        <v>13.944530046224955</v>
      </c>
      <c r="BE272" s="115">
        <f>BE271+BE270</f>
        <v>156.79999999999998</v>
      </c>
      <c r="BF272" s="87">
        <f t="shared" si="1539"/>
        <v>16.406829992576093</v>
      </c>
      <c r="BG272" s="115">
        <f>BG271+BG270</f>
        <v>161</v>
      </c>
      <c r="BH272" s="87">
        <f t="shared" si="1540"/>
        <v>16.077865897620768</v>
      </c>
      <c r="BI272" s="115">
        <f>BI271+BI270</f>
        <v>166.2</v>
      </c>
      <c r="BJ272" s="87">
        <f t="shared" si="1541"/>
        <v>20</v>
      </c>
      <c r="BK272" s="115">
        <f>BK271+BK270</f>
        <v>170.1</v>
      </c>
      <c r="BL272" s="87">
        <f t="shared" si="1542"/>
        <v>15.010141987829613</v>
      </c>
      <c r="BM272" s="115">
        <f>BM271+BM270</f>
        <v>176.39999999999998</v>
      </c>
      <c r="BN272" s="87">
        <f t="shared" si="1543"/>
        <v>12.5</v>
      </c>
      <c r="BO272" s="115">
        <f>BO271+BO270</f>
        <v>174.19999999999996</v>
      </c>
      <c r="BP272" s="87">
        <f t="shared" si="1544"/>
        <v>8.1987577639751379</v>
      </c>
      <c r="BQ272" s="115">
        <f>BQ271+BQ270</f>
        <v>179.29999999999998</v>
      </c>
      <c r="BR272" s="87">
        <f t="shared" si="1545"/>
        <v>7.882069795427185</v>
      </c>
      <c r="BS272" s="115">
        <f>BS271+BS270</f>
        <v>170.89999999999998</v>
      </c>
      <c r="BT272" s="87">
        <f t="shared" si="1546"/>
        <v>0.4703115814226777</v>
      </c>
      <c r="BU272" s="115">
        <f>BU271+BU270</f>
        <v>161.19999999999999</v>
      </c>
      <c r="BV272" s="87">
        <f t="shared" si="1547"/>
        <v>-8.6167800453514758</v>
      </c>
      <c r="BW272" s="115">
        <f>BW271+BW270</f>
        <v>152.69999999999999</v>
      </c>
      <c r="BX272" s="72">
        <f t="shared" si="1548"/>
        <v>-12.342135476463824</v>
      </c>
      <c r="BY272" s="115">
        <f>BY271+BY270</f>
        <v>163.49999999999997</v>
      </c>
      <c r="BZ272" s="72">
        <f t="shared" si="1549"/>
        <v>-8.8120468488566672</v>
      </c>
      <c r="CA272" s="115">
        <f>CA271+CA270</f>
        <v>180.07999999999998</v>
      </c>
      <c r="CB272" s="72">
        <f t="shared" si="1550"/>
        <v>5.371562317144523</v>
      </c>
      <c r="CC272" s="115">
        <f>CC271+CC270</f>
        <v>188.38</v>
      </c>
      <c r="CD272" s="72">
        <f t="shared" si="1551"/>
        <v>16.861042183622828</v>
      </c>
      <c r="CE272" s="115">
        <f>CE271+CE270</f>
        <v>193.98</v>
      </c>
      <c r="CF272" s="72">
        <f t="shared" si="1552"/>
        <v>27.033398821218071</v>
      </c>
      <c r="CG272" s="115">
        <f>CG271+CG270</f>
        <v>205.07999999999998</v>
      </c>
      <c r="CH272" s="72">
        <f t="shared" si="1553"/>
        <v>25.431192660550465</v>
      </c>
      <c r="CI272" s="115">
        <f>CI271+CI270</f>
        <v>221.88</v>
      </c>
      <c r="CJ272" s="72">
        <f t="shared" si="1554"/>
        <v>23.211905819635732</v>
      </c>
      <c r="CK272" s="115">
        <f>CK271+CK270</f>
        <v>235.18</v>
      </c>
      <c r="CL272" s="72">
        <f t="shared" si="1554"/>
        <v>24.8434016349931</v>
      </c>
      <c r="CM272" s="116">
        <f>CM271+CM270</f>
        <v>248.9</v>
      </c>
      <c r="CN272" s="72">
        <f t="shared" si="1554"/>
        <v>28.312197133725135</v>
      </c>
      <c r="CO272" s="116">
        <f>CO271+CO270</f>
        <v>258.89999999999998</v>
      </c>
      <c r="CP272" s="72">
        <f t="shared" si="1554"/>
        <v>26.243417203042711</v>
      </c>
      <c r="CQ272" s="116">
        <f>CQ271+CQ270</f>
        <v>261.2</v>
      </c>
      <c r="CR272" s="72">
        <f t="shared" si="1554"/>
        <v>17.721290787813231</v>
      </c>
      <c r="CS272" s="116">
        <f>CS271+CS270</f>
        <v>271.80000000000007</v>
      </c>
      <c r="CT272" s="72">
        <f t="shared" si="1554"/>
        <v>15.57105196020072</v>
      </c>
      <c r="CU272" s="116">
        <f>CU271+CU270</f>
        <v>286.10000000000002</v>
      </c>
      <c r="CV272" s="72">
        <f t="shared" si="1555"/>
        <v>14.945761349939744</v>
      </c>
      <c r="CW272" s="116">
        <f>CW271+CW270</f>
        <v>289.20000000000005</v>
      </c>
      <c r="CX272" s="72">
        <f t="shared" si="1556"/>
        <v>11.703360370799558</v>
      </c>
      <c r="CY272" s="116">
        <f>CY271+CY270</f>
        <v>303.10000000000002</v>
      </c>
      <c r="CZ272" s="72">
        <f t="shared" si="1557"/>
        <v>16.04134762633997</v>
      </c>
      <c r="DA272" s="116">
        <f>DA271+DA270</f>
        <v>313.7000000000001</v>
      </c>
      <c r="DB272" s="72">
        <f t="shared" si="1558"/>
        <v>15.415746872700538</v>
      </c>
      <c r="DC272" s="116">
        <f>DC271+DC270</f>
        <v>323.20000000000005</v>
      </c>
      <c r="DD272" s="72">
        <f t="shared" si="1559"/>
        <v>12.967493883257617</v>
      </c>
      <c r="DE272" s="116">
        <f>DE271+DE270</f>
        <v>319.10000000000002</v>
      </c>
      <c r="DF272" s="72">
        <f t="shared" si="1560"/>
        <v>10.338865836791129</v>
      </c>
      <c r="DG272" s="116">
        <f>DG271+DG270</f>
        <v>330.30000000000007</v>
      </c>
      <c r="DH272" s="72">
        <f t="shared" si="1561"/>
        <v>8.9739359947212307</v>
      </c>
      <c r="DI272" s="116">
        <f>DI271+DI270</f>
        <v>341.70000000000005</v>
      </c>
      <c r="DJ272" s="72">
        <f t="shared" si="1562"/>
        <v>8.9257252151737134</v>
      </c>
      <c r="DK272" s="116">
        <f>DK271+DK270</f>
        <v>352.20000000000005</v>
      </c>
      <c r="DL272" s="72">
        <f t="shared" si="1563"/>
        <v>8.972772277227719</v>
      </c>
      <c r="DM272" s="116">
        <f>DM271+DM270</f>
        <v>367.00000000000006</v>
      </c>
      <c r="DN272" s="72">
        <f t="shared" si="1564"/>
        <v>15.010968348480105</v>
      </c>
      <c r="DO272" s="116">
        <f>DO271+DO270</f>
        <v>363.7000000000001</v>
      </c>
      <c r="DP272" s="72">
        <f t="shared" si="1564"/>
        <v>10.112019376324554</v>
      </c>
      <c r="DQ272" s="116">
        <f>DQ271+DQ270</f>
        <v>370.00000000000011</v>
      </c>
      <c r="DR272" s="72">
        <f t="shared" si="1564"/>
        <v>8.2821188176763485</v>
      </c>
      <c r="DS272" s="116">
        <f>DS271+DS270</f>
        <v>380.90000000000015</v>
      </c>
      <c r="DT272" s="72">
        <f t="shared" si="1564"/>
        <v>8.1487791027825267</v>
      </c>
      <c r="DU272" s="116">
        <f>DU271+DU270</f>
        <v>380.60000000000014</v>
      </c>
      <c r="DV272" s="72">
        <f t="shared" si="1564"/>
        <v>3.7057220708447005</v>
      </c>
      <c r="DW272" s="116">
        <f>DW271+DW270</f>
        <v>380.90000000000015</v>
      </c>
      <c r="DX272" s="72">
        <f t="shared" si="1564"/>
        <v>4.7291723948309112</v>
      </c>
      <c r="DY272" s="116">
        <f>DY271+DY270</f>
        <v>389.10000000000014</v>
      </c>
      <c r="DZ272" s="72">
        <f t="shared" si="1564"/>
        <v>5.1621621621621614</v>
      </c>
      <c r="EA272" s="116">
        <f>EA271+EA270</f>
        <v>403.60000000000014</v>
      </c>
      <c r="EB272" s="72">
        <f t="shared" si="1566"/>
        <v>5.9595694407980915</v>
      </c>
      <c r="EC272" s="116">
        <f>EC271+EC270</f>
        <v>418.80000000000013</v>
      </c>
      <c r="ED272" s="72">
        <f t="shared" si="1567"/>
        <v>10.036784025223326</v>
      </c>
      <c r="EE272" s="116">
        <f>EE271+EE270</f>
        <v>445.90000000000009</v>
      </c>
      <c r="EF272" s="72">
        <f t="shared" si="1568"/>
        <v>17.064846416382238</v>
      </c>
      <c r="EG272" s="116">
        <f>EG271+EG270</f>
        <v>431.50000000000011</v>
      </c>
      <c r="EH272" s="72">
        <f t="shared" si="1569"/>
        <v>10.896941660241581</v>
      </c>
      <c r="EI272" s="116">
        <f>EI271+EI270</f>
        <v>445.20000000000016</v>
      </c>
      <c r="EJ272" s="72">
        <f t="shared" si="1570"/>
        <v>10.307234886025768</v>
      </c>
      <c r="EK272" s="116">
        <f>EK271+EK270</f>
        <v>461.20000000000016</v>
      </c>
      <c r="EL272" s="72">
        <f t="shared" si="1571"/>
        <v>10.124164278892067</v>
      </c>
      <c r="EM272" s="116">
        <f>EM271+EM270</f>
        <v>478.30000000000018</v>
      </c>
      <c r="EN272" s="72">
        <f t="shared" si="1572"/>
        <v>7.2662031845705428</v>
      </c>
      <c r="EO272" s="116">
        <f>EO271+EO270</f>
        <v>489.50000000000017</v>
      </c>
      <c r="EP272" s="72">
        <f t="shared" si="1573"/>
        <v>13.441483198146017</v>
      </c>
      <c r="EQ272" s="81">
        <f t="shared" ref="EQ272" si="1612">EQ271+EQ270</f>
        <v>489.99045000000012</v>
      </c>
      <c r="ER272" s="72">
        <f t="shared" si="1575"/>
        <v>10.060747978436652</v>
      </c>
      <c r="ES272" s="81">
        <f t="shared" ref="ES272" si="1613">ES271+ES270</f>
        <v>497.8385304750002</v>
      </c>
      <c r="ET272" s="72">
        <f t="shared" si="1577"/>
        <v>7.9441739971812808</v>
      </c>
      <c r="EU272" s="81">
        <f t="shared" ref="EU272" si="1614">EU271+EU270</f>
        <v>505.87941290891263</v>
      </c>
      <c r="EV272" s="72">
        <f t="shared" si="1579"/>
        <v>5.7661327428209148</v>
      </c>
      <c r="EW272" s="81">
        <f t="shared" ref="EW272" si="1615">EW271+EW270</f>
        <v>514.11601775637575</v>
      </c>
      <c r="EX272" s="72">
        <f t="shared" si="1581"/>
        <v>5.0288085304138122</v>
      </c>
      <c r="EY272" s="72"/>
      <c r="EZ272" s="307"/>
      <c r="FA272" s="72"/>
      <c r="FB272" s="75"/>
      <c r="FC272" s="87"/>
      <c r="FD272" s="75"/>
      <c r="FE272" s="87"/>
      <c r="FF272" s="75"/>
      <c r="FG272" s="87"/>
      <c r="FH272" s="75"/>
      <c r="FI272" s="87"/>
      <c r="FJ272" s="75"/>
      <c r="FK272" s="87"/>
      <c r="FL272" s="75"/>
      <c r="FM272" s="87"/>
      <c r="FN272" s="75"/>
      <c r="FO272" s="87"/>
      <c r="FP272" s="115">
        <f>FP271+FP270</f>
        <v>134.69999999999999</v>
      </c>
      <c r="FQ272" s="87"/>
      <c r="FR272" s="75">
        <f>FR271+FR270</f>
        <v>156.79999999999998</v>
      </c>
      <c r="FS272" s="87">
        <f t="shared" si="1582"/>
        <v>16.406829992576093</v>
      </c>
      <c r="FT272" s="75">
        <f>FT271+FT270</f>
        <v>176.39999999999998</v>
      </c>
      <c r="FU272" s="87">
        <f t="shared" si="1583"/>
        <v>12.5</v>
      </c>
      <c r="FV272" s="75">
        <f>FV271+FV270</f>
        <v>161.19999999999999</v>
      </c>
      <c r="FW272" s="72">
        <f t="shared" si="1584"/>
        <v>-8.6167800453514758</v>
      </c>
      <c r="FX272" s="75">
        <f>FX271+FX270</f>
        <v>188.38000000000002</v>
      </c>
      <c r="FY272" s="72">
        <f t="shared" si="1585"/>
        <v>16.861042183622857</v>
      </c>
      <c r="FZ272" s="75">
        <f>FZ271+FZ270</f>
        <v>235.18</v>
      </c>
      <c r="GA272" s="72">
        <f t="shared" si="1586"/>
        <v>24.843401634993086</v>
      </c>
      <c r="GB272" s="75">
        <f>GB271+GB270</f>
        <v>271.8</v>
      </c>
      <c r="GC272" s="14">
        <f t="shared" si="1587"/>
        <v>15.571051960200705</v>
      </c>
      <c r="GD272" s="75">
        <f>GD271+GD270</f>
        <v>313.70000000000005</v>
      </c>
      <c r="GE272" s="14">
        <f t="shared" si="1587"/>
        <v>15.415746872700538</v>
      </c>
      <c r="GF272" s="75">
        <f>GF271+GF270</f>
        <v>341.70000000000005</v>
      </c>
      <c r="GG272" s="14">
        <f t="shared" si="1587"/>
        <v>8.9257252151737418</v>
      </c>
      <c r="GH272" s="75">
        <f>GH271+GH270</f>
        <v>370.00000000000006</v>
      </c>
      <c r="GI272" s="72">
        <f t="shared" si="1588"/>
        <v>8.2821188176763343</v>
      </c>
      <c r="GJ272" s="75">
        <f>GJ271+GJ270</f>
        <v>389.10000000000014</v>
      </c>
      <c r="GK272" s="72">
        <f t="shared" si="1588"/>
        <v>5.1621621621621898</v>
      </c>
      <c r="GL272" s="75">
        <f>GL271+GL270</f>
        <v>430.7000000000001</v>
      </c>
      <c r="GM272" s="72">
        <f t="shared" si="1588"/>
        <v>10.691338987406823</v>
      </c>
      <c r="GN272" s="75">
        <f>GN271+GN270</f>
        <v>484.00000000000011</v>
      </c>
      <c r="GO272" s="72">
        <f t="shared" si="1588"/>
        <v>12.375203157650333</v>
      </c>
      <c r="GP272" s="75">
        <f>GP271+GP270</f>
        <v>511.55911136031807</v>
      </c>
      <c r="GQ272" s="72">
        <f t="shared" si="1588"/>
        <v>5.6940312727929552</v>
      </c>
      <c r="GR272" s="75">
        <f>GR271+GR270</f>
        <v>543.83750425387916</v>
      </c>
      <c r="GS272" s="72">
        <f t="shared" si="1588"/>
        <v>6.3098070539155486</v>
      </c>
      <c r="GT272" s="75">
        <f>GT271+GT270</f>
        <v>577.76970972864467</v>
      </c>
      <c r="GU272" s="72">
        <f t="shared" si="1588"/>
        <v>6.2394015141193648</v>
      </c>
      <c r="GV272" s="75">
        <f>GV271+GV270</f>
        <v>613.47532573076887</v>
      </c>
      <c r="GW272" s="72">
        <f t="shared" si="1589"/>
        <v>6.1799044499743161</v>
      </c>
      <c r="GX272" s="75">
        <f>GX271+GX270</f>
        <v>651.07904171001655</v>
      </c>
      <c r="GY272" s="72">
        <f t="shared" si="1590"/>
        <v>6.1296215841206418</v>
      </c>
      <c r="GZ272" s="72">
        <f t="shared" si="1591"/>
        <v>6.1103313708377849</v>
      </c>
      <c r="HA272" s="72"/>
      <c r="HB272" s="72"/>
      <c r="HC272"/>
      <c r="HD272"/>
      <c r="HE272"/>
      <c r="HF272"/>
      <c r="HG272"/>
      <c r="HH272"/>
      <c r="HI272" s="2"/>
    </row>
    <row r="273" spans="1:217" s="3" customFormat="1" ht="12.75" customHeight="1" x14ac:dyDescent="0.2">
      <c r="B273" s="76"/>
      <c r="C273" s="81"/>
      <c r="D273" s="72"/>
      <c r="E273" s="81"/>
      <c r="F273" s="72"/>
      <c r="G273" s="81"/>
      <c r="H273" s="72"/>
      <c r="I273" s="81"/>
      <c r="J273" s="72"/>
      <c r="K273" s="81"/>
      <c r="L273" s="87"/>
      <c r="M273" s="81"/>
      <c r="N273" s="87"/>
      <c r="O273" s="81"/>
      <c r="P273" s="87"/>
      <c r="Q273" s="81"/>
      <c r="R273" s="87"/>
      <c r="S273" s="81"/>
      <c r="T273" s="87"/>
      <c r="U273" s="81"/>
      <c r="V273" s="87"/>
      <c r="W273" s="81"/>
      <c r="X273" s="87"/>
      <c r="Y273" s="81"/>
      <c r="Z273" s="87"/>
      <c r="AA273" s="81"/>
      <c r="AB273" s="87"/>
      <c r="AC273" s="81"/>
      <c r="AD273" s="87"/>
      <c r="AE273" s="81"/>
      <c r="AF273" s="87"/>
      <c r="AG273" s="81"/>
      <c r="AH273" s="87"/>
      <c r="AI273" s="81"/>
      <c r="AJ273" s="87"/>
      <c r="AK273" s="81"/>
      <c r="AL273" s="87"/>
      <c r="AM273" s="81"/>
      <c r="AN273" s="87"/>
      <c r="AO273" s="81"/>
      <c r="AP273" s="87"/>
      <c r="AQ273" s="81"/>
      <c r="AR273" s="87"/>
      <c r="AS273" s="81"/>
      <c r="AT273" s="87"/>
      <c r="AU273" s="81"/>
      <c r="AV273" s="87"/>
      <c r="AW273" s="81"/>
      <c r="AX273" s="87"/>
      <c r="AY273" s="81"/>
      <c r="AZ273" s="87"/>
      <c r="BA273" s="81"/>
      <c r="BB273" s="87"/>
      <c r="BC273" s="81"/>
      <c r="BD273" s="87"/>
      <c r="BE273" s="81"/>
      <c r="BF273" s="87"/>
      <c r="BG273" s="81"/>
      <c r="BH273" s="87"/>
      <c r="BI273" s="81"/>
      <c r="BJ273" s="87"/>
      <c r="BK273" s="81"/>
      <c r="BL273" s="87"/>
      <c r="BM273" s="81"/>
      <c r="BN273" s="87"/>
      <c r="BO273" s="81"/>
      <c r="BP273" s="87"/>
      <c r="BQ273" s="81"/>
      <c r="BR273" s="87"/>
      <c r="BS273" s="81"/>
      <c r="BT273" s="87"/>
      <c r="BU273" s="81"/>
      <c r="BV273" s="87"/>
      <c r="BW273" s="81"/>
      <c r="BX273" s="72"/>
      <c r="BY273" s="81"/>
      <c r="BZ273" s="72"/>
      <c r="CA273" s="81"/>
      <c r="CB273" s="72"/>
      <c r="CC273" s="81"/>
      <c r="CD273" s="72"/>
      <c r="CE273" s="81"/>
      <c r="CF273" s="72"/>
      <c r="CG273" s="81"/>
      <c r="CH273" s="72"/>
      <c r="CI273" s="81"/>
      <c r="CJ273" s="72"/>
      <c r="CK273" s="81"/>
      <c r="CL273" s="72"/>
      <c r="CM273" s="81"/>
      <c r="CN273" s="72"/>
      <c r="CO273" s="81"/>
      <c r="CP273" s="72"/>
      <c r="CQ273" s="81"/>
      <c r="CR273" s="72"/>
      <c r="CS273" s="81"/>
      <c r="CT273" s="72"/>
      <c r="CU273" s="81"/>
      <c r="CV273" s="72"/>
      <c r="CW273" s="81"/>
      <c r="CX273" s="72"/>
      <c r="CY273" s="81"/>
      <c r="CZ273" s="72"/>
      <c r="DA273" s="81"/>
      <c r="DB273" s="72"/>
      <c r="DC273" s="81"/>
      <c r="DD273" s="72"/>
      <c r="DE273" s="81"/>
      <c r="DF273" s="72"/>
      <c r="DG273" s="81"/>
      <c r="DH273" s="72"/>
      <c r="DI273" s="81"/>
      <c r="DJ273" s="72"/>
      <c r="DK273" s="81"/>
      <c r="DL273" s="72"/>
      <c r="DM273" s="81"/>
      <c r="DN273" s="72"/>
      <c r="DO273" s="81"/>
      <c r="DP273" s="72"/>
      <c r="DQ273" s="81"/>
      <c r="DR273" s="72"/>
      <c r="DS273" s="81"/>
      <c r="DT273" s="72"/>
      <c r="DU273" s="81"/>
      <c r="DV273" s="72"/>
      <c r="DW273" s="81"/>
      <c r="DX273" s="72"/>
      <c r="DY273" s="81"/>
      <c r="DZ273" s="72"/>
      <c r="EA273" s="81"/>
      <c r="EB273" s="72"/>
      <c r="EC273" s="81"/>
      <c r="ED273" s="72"/>
      <c r="EE273" s="81"/>
      <c r="EF273" s="72"/>
      <c r="EG273" s="81"/>
      <c r="EH273" s="72"/>
      <c r="EI273" s="81"/>
      <c r="EJ273" s="72"/>
      <c r="EK273" s="81"/>
      <c r="EL273" s="72"/>
      <c r="EM273" s="81"/>
      <c r="EN273" s="72"/>
      <c r="EO273" s="81"/>
      <c r="EP273" s="72"/>
      <c r="EQ273" s="81"/>
      <c r="ER273" s="72"/>
      <c r="ES273" s="81"/>
      <c r="ET273" s="72"/>
      <c r="EU273" s="81"/>
      <c r="EV273" s="72"/>
      <c r="EW273" s="81"/>
      <c r="EX273" s="72"/>
      <c r="EY273" s="72"/>
      <c r="EZ273" s="309"/>
      <c r="FA273" s="72"/>
      <c r="FB273" s="81"/>
      <c r="FC273" s="72"/>
      <c r="FD273" s="81"/>
      <c r="FE273" s="87"/>
      <c r="FF273" s="81"/>
      <c r="FG273" s="87"/>
      <c r="FH273" s="81"/>
      <c r="FI273" s="87"/>
      <c r="FJ273" s="81"/>
      <c r="FK273" s="87"/>
      <c r="FL273" s="81"/>
      <c r="FM273" s="87"/>
      <c r="FN273" s="81"/>
      <c r="FO273" s="87"/>
      <c r="FP273" s="116"/>
      <c r="FQ273" s="87"/>
      <c r="FR273" s="81"/>
      <c r="FS273" s="87"/>
      <c r="FT273" s="81"/>
      <c r="FU273" s="87"/>
      <c r="FV273" s="81"/>
      <c r="FW273" s="87"/>
      <c r="FX273" s="81"/>
      <c r="FY273" s="87"/>
      <c r="FZ273" s="81"/>
      <c r="GA273" s="87"/>
      <c r="GB273" s="216"/>
      <c r="GC273" s="14"/>
      <c r="GD273" s="216"/>
      <c r="GE273" s="14"/>
      <c r="GF273" s="216"/>
      <c r="GG273" s="14"/>
      <c r="GH273" s="216"/>
      <c r="GI273" s="14"/>
      <c r="GJ273" s="216"/>
      <c r="GK273" s="14"/>
      <c r="GL273" s="216"/>
      <c r="GM273" s="14"/>
      <c r="GN273" s="216"/>
      <c r="GO273" s="14"/>
      <c r="GP273" s="216"/>
      <c r="GQ273" s="14"/>
      <c r="GR273" s="81"/>
      <c r="GS273" s="14"/>
      <c r="GT273" s="81"/>
      <c r="GU273" s="14"/>
      <c r="GV273" s="81"/>
      <c r="GW273" s="14"/>
      <c r="GX273" s="81"/>
      <c r="GY273" s="14"/>
      <c r="GZ273" s="87"/>
      <c r="HA273" s="87"/>
      <c r="HB273" s="87"/>
      <c r="HC273"/>
      <c r="HD273"/>
      <c r="HE273"/>
      <c r="HF273"/>
      <c r="HG273"/>
      <c r="HH273"/>
      <c r="HI273" s="2"/>
    </row>
    <row r="274" spans="1:217" s="3" customFormat="1" ht="12.75" customHeight="1" x14ac:dyDescent="0.2">
      <c r="B274" s="76" t="s">
        <v>369</v>
      </c>
      <c r="C274" s="75"/>
      <c r="D274" s="72"/>
      <c r="E274" s="75"/>
      <c r="F274" s="72"/>
      <c r="G274" s="75"/>
      <c r="H274" s="72"/>
      <c r="I274" s="75"/>
      <c r="J274" s="72"/>
      <c r="K274" s="75"/>
      <c r="L274" s="87"/>
      <c r="M274" s="75"/>
      <c r="N274" s="87"/>
      <c r="O274" s="75"/>
      <c r="P274" s="87"/>
      <c r="Q274" s="75"/>
      <c r="R274" s="87"/>
      <c r="S274" s="75"/>
      <c r="T274" s="87"/>
      <c r="U274" s="75"/>
      <c r="V274" s="87"/>
      <c r="W274" s="75"/>
      <c r="X274" s="87"/>
      <c r="Y274" s="75"/>
      <c r="Z274" s="87"/>
      <c r="AA274" s="75"/>
      <c r="AB274" s="87"/>
      <c r="AC274" s="75"/>
      <c r="AD274" s="87"/>
      <c r="AE274" s="75"/>
      <c r="AF274" s="87"/>
      <c r="AG274" s="75"/>
      <c r="AH274" s="87"/>
      <c r="AI274" s="75"/>
      <c r="AJ274" s="87"/>
      <c r="AK274" s="75"/>
      <c r="AL274" s="87"/>
      <c r="AM274" s="75"/>
      <c r="AN274" s="87"/>
      <c r="AO274" s="75"/>
      <c r="AP274" s="87"/>
      <c r="AQ274" s="75"/>
      <c r="AR274" s="87"/>
      <c r="AS274" s="75"/>
      <c r="AT274" s="87"/>
      <c r="AU274" s="75">
        <f>AU266+AU267</f>
        <v>2</v>
      </c>
      <c r="AV274" s="87" t="str">
        <f>IF(ISERROR(AU274/AM274),"NA",IF(OR(AU274/AM274&gt;2,AU274/AM274&lt;0.5),"NM",AU274/AM274*100-100))</f>
        <v>NA</v>
      </c>
      <c r="AW274" s="75">
        <f>AW266+AW267</f>
        <v>4.1999999999999993</v>
      </c>
      <c r="AX274" s="87" t="str">
        <f>IF(ISERROR(AW274/AO274),"NA",IF(OR(AW274/AO274&gt;2,AW274/AO274&lt;0.5),"NM",AW274/AO274*100-100))</f>
        <v>NA</v>
      </c>
      <c r="AY274" s="75">
        <f>AY266+AY267</f>
        <v>3.3</v>
      </c>
      <c r="AZ274" s="87" t="str">
        <f>IF(ISERROR(AY274/AQ274),"NA",IF(OR(AY274/AQ274&gt;2,AY274/AQ274&lt;0.5),"NM",AY274/AQ274*100-100))</f>
        <v>NA</v>
      </c>
      <c r="BA274" s="75">
        <f>BA266+BA267</f>
        <v>0.89999999999999947</v>
      </c>
      <c r="BB274" s="87" t="str">
        <f>IF(ISERROR(BA274/AS274),"NA",IF(OR(BA274/AS274&gt;2,BA274/AS274&lt;0.5),"NM",BA274/AS274*100-100))</f>
        <v>NA</v>
      </c>
      <c r="BC274" s="75">
        <f>BC266+BC267</f>
        <v>3.1999999999999997</v>
      </c>
      <c r="BD274" s="87">
        <f>IF(ISERROR(BC274/AU274),"NA",IF(OR(BC274/AU274&gt;2,BC274/AU274&lt;0.5),"NM",BC274/AU274*100-100))</f>
        <v>60</v>
      </c>
      <c r="BE274" s="75">
        <f>BE266+BE267</f>
        <v>3.4000000000000004</v>
      </c>
      <c r="BF274" s="87">
        <f>IF(ISERROR(BE274/AW274),"NA",IF(OR(BE274/AW274&gt;2,BE274/AW274&lt;0.5),"NM",BE274/AW274*100-100))</f>
        <v>-19.047619047619023</v>
      </c>
      <c r="BG274" s="75">
        <f>BG266+BG267</f>
        <v>1.2000000000000002</v>
      </c>
      <c r="BH274" s="87" t="str">
        <f>IF(ISERROR(BG274/AY274),"NA",IF(OR(BG274/AY274&gt;2,BG274/AY274&lt;0.5),"NM",BG274/AY274*100-100))</f>
        <v>NM</v>
      </c>
      <c r="BI274" s="75">
        <f>BI266+BI267</f>
        <v>1.7000000000000011</v>
      </c>
      <c r="BJ274" s="87">
        <f>IF(ISERROR(BI274/BA274),"NA",IF(OR(BI274/BA274&gt;2,BI274/BA274&lt;0.5),"NM",BI274/BA274*100-100))</f>
        <v>88.888888888889142</v>
      </c>
      <c r="BK274" s="75">
        <f>BK266+BK267</f>
        <v>-0.59999999999999964</v>
      </c>
      <c r="BL274" s="87" t="str">
        <f>IF(ISERROR(BK274/BC274),"NA",IF(OR(BK274/BC274&gt;2,BK274/BC274&lt;0.5),"NM",BK274/BC274*100-100))</f>
        <v>NM</v>
      </c>
      <c r="BM274" s="75">
        <f>BM266+BM267</f>
        <v>4.6999999999999993</v>
      </c>
      <c r="BN274" s="87">
        <f>IF(ISERROR(BM274/BE274),"NA",IF(OR(BM274/BE274&gt;2,BM274/BE274&lt;0.5),"NM",BM274/BE274*100-100))</f>
        <v>38.235294117647044</v>
      </c>
      <c r="BO274" s="75">
        <f>BO266+BO267</f>
        <v>2.2000000000000002</v>
      </c>
      <c r="BP274" s="87">
        <f>IF(ISERROR(BO274/BG274),"NA",IF(OR(BO274/BG274&gt;2,BO274/BG274&lt;0.5),"NM",BO274/BG274*100-100))</f>
        <v>83.333333333333314</v>
      </c>
      <c r="BQ274" s="75">
        <f>BQ266+BQ267</f>
        <v>6.3000000000000007</v>
      </c>
      <c r="BR274" s="87" t="str">
        <f>IF(ISERROR(BQ274/BI274),"NA",IF(OR(BQ274/BI274&gt;2,BQ274/BI274&lt;0.5),"NM",BQ274/BI274*100-100))</f>
        <v>NM</v>
      </c>
      <c r="BS274" s="75">
        <f>BS266+BS267</f>
        <v>1.5</v>
      </c>
      <c r="BT274" s="87" t="str">
        <f>IF(ISERROR(BS274/BK274),"NA",IF(OR(BS274/BK274&gt;2,BS274/BK274&lt;0.5),"NM",BS274/BK274*100-100))</f>
        <v>NM</v>
      </c>
      <c r="BU274" s="75">
        <f>BU266+BU267</f>
        <v>0.19999999999999929</v>
      </c>
      <c r="BV274" s="87" t="str">
        <f>IF(ISERROR(BU274/BM274),"NA",IF(OR(BU274/BM274&gt;2,BU274/BM274&lt;0.5),"NM",BU274/BM274*100-100))</f>
        <v>NM</v>
      </c>
      <c r="BW274" s="75">
        <f>BW266+BW267</f>
        <v>0.30000000000000071</v>
      </c>
      <c r="BX274" s="72" t="str">
        <f>IF(ISERROR(BW274/BO274),"NA",IF(OR(BW274/BO274&gt;2,BW274/BO274&lt;0.5),"NM",BW274/BO274*100-100))</f>
        <v>NM</v>
      </c>
      <c r="BY274" s="75">
        <f>BY266+BY267</f>
        <v>1.2000000000000002</v>
      </c>
      <c r="BZ274" s="72" t="str">
        <f>IF(ISERROR(BY274/BQ274),"NA",IF(OR(BY274/BQ274&gt;2,BY274/BQ274&lt;0.5),"NM",BY274/BQ274*100-100))</f>
        <v>NM</v>
      </c>
      <c r="CA274" s="75">
        <f>CA266+CA267</f>
        <v>4.8000000000000007</v>
      </c>
      <c r="CB274" s="72" t="str">
        <f>IF(ISERROR(CA274/BS274),"NA",IF(OR(CA274/BS274&gt;2,CA274/BS274&lt;0.5),"NM",CA274/BS274*100-100))</f>
        <v>NM</v>
      </c>
      <c r="CC274" s="75">
        <f>CC266+CC267</f>
        <v>6.3000000000000007</v>
      </c>
      <c r="CD274" s="72" t="str">
        <f>IF(ISERROR(CC274/BU274),"NA",IF(OR(CC274/BU274&gt;2,CC274/BU274&lt;0.5),"NM",CC274/BU274*100-100))</f>
        <v>NM</v>
      </c>
      <c r="CE274" s="75">
        <f>CE266+CE267</f>
        <v>2</v>
      </c>
      <c r="CF274" s="72" t="str">
        <f>IF(ISERROR(CE274/BW274),"NA",IF(OR(CE274/BW274&gt;2,CE274/BW274&lt;0.5),"NM",CE274/BW274*100-100))</f>
        <v>NM</v>
      </c>
      <c r="CG274" s="75">
        <f>CG266+CG267</f>
        <v>10.899999999999999</v>
      </c>
      <c r="CH274" s="72" t="str">
        <f>IF(ISERROR(CG274/BY274),"NA",IF(OR(CG274/BY274&gt;2,CG274/BY274&lt;0.5),"NM",CG274/BY274*100-100))</f>
        <v>NM</v>
      </c>
      <c r="CI274" s="75">
        <f>CI266+CI267</f>
        <v>5.8</v>
      </c>
      <c r="CJ274" s="72">
        <f>IF(ISERROR(CI274/CA274),"NA",IF(OR(CI274/CA274&gt;2,CI274/CA274&lt;0.5),"NM",CI274/CA274*100-100))</f>
        <v>20.8333333333333</v>
      </c>
      <c r="CK274" s="81">
        <f>CK266+CK267</f>
        <v>9.9000000000000021</v>
      </c>
      <c r="CL274" s="72">
        <f>IF(ISERROR(CK274/CC274),"NA",IF(OR(CK274/CC274&gt;2,CK274/CC274&lt;0.5),"NM",CK274/CC274*100-100))</f>
        <v>57.142857142857167</v>
      </c>
      <c r="CM274" s="81">
        <f>CM266+CM267</f>
        <v>6.1</v>
      </c>
      <c r="CN274" s="72" t="str">
        <f>IF(ISERROR(CM274/CE274),"NA",IF(OR(CM274/CE274&gt;2,CM274/CE274&lt;0.5),"NM",CM274/CE274*100-100))</f>
        <v>NM</v>
      </c>
      <c r="CO274" s="81">
        <f>CO266+CO267</f>
        <v>4.8999999999999995</v>
      </c>
      <c r="CP274" s="72" t="str">
        <f>IF(ISERROR(CO274/CG274),"NA",IF(OR(CO274/CG274&gt;2,CO274/CG274&lt;0.5),"NM",CO274/CG274*100-100))</f>
        <v>NM</v>
      </c>
      <c r="CQ274" s="81">
        <f>CQ266+CQ267</f>
        <v>2.3000000000000007</v>
      </c>
      <c r="CR274" s="72" t="str">
        <f>IF(ISERROR(CQ274/CI274),"NA",IF(OR(CQ274/CI274&gt;2,CQ274/CI274&lt;0.5),"NM",CQ274/CI274*100-100))</f>
        <v>NM</v>
      </c>
      <c r="CS274" s="81">
        <f>CS266+CS267</f>
        <v>3.6000000000000014</v>
      </c>
      <c r="CT274" s="72" t="str">
        <f>IF(ISERROR(CS274/CK274),"NA",IF(OR(CS274/CK274&gt;2,CS274/CK274&lt;0.5),"NM",CS274/CK274*100-100))</f>
        <v>NM</v>
      </c>
      <c r="CU274" s="81">
        <f>CU266+CU267</f>
        <v>5.4</v>
      </c>
      <c r="CV274" s="72">
        <f>IF(ISERROR(CU274/CM274),"NA",IF(OR(CU274/CM274&gt;2,CU274/CM274&lt;0.5),"NM",CU274/CM274*100-100))</f>
        <v>-11.475409836065566</v>
      </c>
      <c r="CW274" s="81">
        <f>CW266+CW267</f>
        <v>0</v>
      </c>
      <c r="CX274" s="72" t="str">
        <f>IF(ISERROR(CW274/CO274),"NA",IF(OR(CW274/CO274&gt;2,CW274/CO274&lt;0.5),"NM",CW274/CO274*100-100))</f>
        <v>NM</v>
      </c>
      <c r="CY274" s="81">
        <f>CY266+CY267</f>
        <v>3.3999999999999986</v>
      </c>
      <c r="CZ274" s="72">
        <f>IF(ISERROR(CY274/CQ274),"NA",IF(OR(CY274/CQ274&gt;2,CY274/CQ274&lt;0.5),"NM",CY274/CQ274*100-100))</f>
        <v>47.826086956521635</v>
      </c>
      <c r="DA274" s="81">
        <f>DA266+DA267</f>
        <v>8.4</v>
      </c>
      <c r="DB274" s="72" t="str">
        <f>IF(ISERROR(DA274/CS274),"NA",IF(OR(DA274/CS274&gt;2,DA274/CS274&lt;0.5),"NM",DA274/CS274*100-100))</f>
        <v>NM</v>
      </c>
      <c r="DC274" s="81">
        <f>DC266+DC267</f>
        <v>6.9</v>
      </c>
      <c r="DD274" s="72">
        <f>IF(ISERROR(DC274/CU274),"NA",IF(OR(DC274/CU274&gt;2,DC274/CU274&lt;0.5),"NM",DC274/CU274*100-100))</f>
        <v>27.777777777777771</v>
      </c>
      <c r="DE274" s="81">
        <f>DE266+DE267</f>
        <v>3.1000000000000014</v>
      </c>
      <c r="DF274" s="72" t="str">
        <f>IF(ISERROR(DE274/CW274),"NA",IF(OR(DE274/CW274&gt;2,DE274/CW274&lt;0.5),"NM",DE274/CW274*100-100))</f>
        <v>NA</v>
      </c>
      <c r="DG274" s="81">
        <f>DG266+DG267</f>
        <v>4.0999999999999996</v>
      </c>
      <c r="DH274" s="72">
        <f>IF(ISERROR(DG274/CY274),"NA",IF(OR(DG274/CY274&gt;2,DG274/CY274&lt;0.5),"NM",DG274/CY274*100-100))</f>
        <v>20.58823529411768</v>
      </c>
      <c r="DI274" s="81">
        <f>DI266+DI267</f>
        <v>5.3000000000000007</v>
      </c>
      <c r="DJ274" s="72">
        <f>IF(ISERROR(DI274/DA274),"NA",IF(OR(DI274/DA274&gt;2,DI274/DA274&lt;0.5),"NM",DI274/DA274*100-100))</f>
        <v>-36.904761904761898</v>
      </c>
      <c r="DK274" s="81">
        <f>DK266+DK267</f>
        <v>1.9000000000000004</v>
      </c>
      <c r="DL274" s="72" t="str">
        <f>IF(ISERROR(DK274/DC274),"NA",IF(OR(DK274/DC274&gt;2,DK274/DC274&lt;0.5),"NM",DK274/DC274*100-100))</f>
        <v>NM</v>
      </c>
      <c r="DM274" s="81">
        <f>DM266+DM267</f>
        <v>2.7</v>
      </c>
      <c r="DN274" s="72">
        <f>IF(ISERROR(DM274/DE274),"NA",IF(OR(DM274/DE274&gt;2,DM274/DE274&lt;0.5),"NM",DM274/DE274*100-100))</f>
        <v>-12.903225806451644</v>
      </c>
      <c r="DO274" s="81">
        <f>DO266+DO267</f>
        <v>-1.4000000000000004</v>
      </c>
      <c r="DP274" s="72" t="str">
        <f>IF(ISERROR(DO274/DG274),"NA",IF(OR(DO274/DG274&gt;2,DO274/DG274&lt;0.5),"NM",DO274/DG274*100-100))</f>
        <v>NM</v>
      </c>
      <c r="DQ274" s="81">
        <f>DQ266+DQ267</f>
        <v>-2.5</v>
      </c>
      <c r="DR274" s="72" t="str">
        <f>IF(ISERROR(DQ274/DI274),"NA",IF(OR(DQ274/DI274&gt;2,DQ274/DI274&lt;0.5),"NM",DQ274/DI274*100-100))</f>
        <v>NM</v>
      </c>
      <c r="DS274" s="81">
        <f>DS266+DS267</f>
        <v>3.7000000000000011</v>
      </c>
      <c r="DT274" s="72">
        <f>IF(ISERROR(DS274/DK274),"NA",IF(OR(DS274/DK274&gt;2,DS274/DK274&lt;0.5),"NM",DS274/DK274*100-100))</f>
        <v>94.736842105263179</v>
      </c>
      <c r="DU274" s="81">
        <f>DU266+DU267</f>
        <v>6.8000000000000007</v>
      </c>
      <c r="DV274" s="72" t="str">
        <f>IF(ISERROR(DU274/DM274),"NA",IF(OR(DU274/DM274&gt;2,DU274/DM274&lt;0.5),"NM",DU274/DM274*100-100))</f>
        <v>NM</v>
      </c>
      <c r="DW274" s="81">
        <f>DW266+DW267</f>
        <v>4.6999999999999993</v>
      </c>
      <c r="DX274" s="72" t="str">
        <f>IF(ISERROR(DW274/DO274),"NA",IF(OR(DW274/DO274&gt;2,DW274/DO274&lt;0.5),"NM",DW274/DO274*100-100))</f>
        <v>NM</v>
      </c>
      <c r="DY274" s="81">
        <f>DY266+DY267</f>
        <v>6</v>
      </c>
      <c r="DZ274" s="72" t="str">
        <f>IF(ISERROR(DY274/DQ274),"NA",IF(OR(DY274/DQ274&gt;2,DY274/DQ274&lt;0.5),"NM",DY274/DQ274*100-100))</f>
        <v>NM</v>
      </c>
      <c r="EA274" s="81">
        <f>EA266+EA267</f>
        <v>-2.5999999999999996</v>
      </c>
      <c r="EB274" s="72" t="str">
        <f>IF(ISERROR(EA274/DS274),"NA",IF(OR(EA274/DS274&gt;2,EA274/DS274&lt;0.5),"NM",EA274/DS274*100-100))</f>
        <v>NM</v>
      </c>
      <c r="EC274" s="81">
        <f>EC266+EC267</f>
        <v>2</v>
      </c>
      <c r="ED274" s="72" t="str">
        <f>IF(ISERROR(EC274/DU274),"NA",IF(OR(EC274/DU274&gt;2,EC274/DU274&lt;0.5),"NM",EC274/DU274*100-100))</f>
        <v>NM</v>
      </c>
      <c r="EE274" s="81">
        <f>EE266+EE267</f>
        <v>3.3999999999999986</v>
      </c>
      <c r="EF274" s="72">
        <f>IF(ISERROR(EE274/DW274),"NA",IF(OR(EE274/DW274&gt;2,EE274/DW274&lt;0.5),"NM",EE274/DW274*100-100))</f>
        <v>-27.659574468085125</v>
      </c>
      <c r="EG274" s="81">
        <f>EG266+EG267</f>
        <v>2.5</v>
      </c>
      <c r="EH274" s="72" t="str">
        <f>IF(ISERROR(EG274/DY274),"NA",IF(OR(EG274/DY274&gt;2,EG274/DY274&lt;0.5),"NM",EG274/DY274*100-100))</f>
        <v>NM</v>
      </c>
      <c r="EI274" s="81">
        <f>EI266+EI267</f>
        <v>0.5</v>
      </c>
      <c r="EJ274" s="72" t="str">
        <f>IF(ISERROR(EI274/EA274),"NA",IF(OR(EI274/EA274&gt;2,EI274/EA274&lt;0.5),"NM",EI274/EA274*100-100))</f>
        <v>NM</v>
      </c>
      <c r="EK274" s="81">
        <f>EK266+EK267</f>
        <v>6.5</v>
      </c>
      <c r="EL274" s="72" t="str">
        <f>IF(ISERROR(EK274/EC274),"NA",IF(OR(EK274/EC274&gt;2,EK274/EC274&lt;0.5),"NM",EK274/EC274*100-100))</f>
        <v>NM</v>
      </c>
      <c r="EM274" s="81">
        <f>EM266+EM267</f>
        <v>4.7000000000000011</v>
      </c>
      <c r="EN274" s="72">
        <f>IF(ISERROR(EM274/EE274),"NA",IF(OR(EM274/EE274&gt;2,EM274/EE274&lt;0.5),"NM",EM274/EE274*100-100))</f>
        <v>38.235294117647157</v>
      </c>
      <c r="EO274" s="81">
        <f>EO266+EO267</f>
        <v>-0.10000000000000142</v>
      </c>
      <c r="EP274" s="72" t="str">
        <f>IF(ISERROR(EO274/EG274),"NA",IF(OR(EO274/EG274&gt;2,EO274/EG274&lt;0.5),"NM",EO274/EG274*100-100))</f>
        <v>NM</v>
      </c>
      <c r="EQ274" s="81">
        <f t="shared" ref="EQ274" si="1616">EQ266+EQ267</f>
        <v>2.2922499999999975</v>
      </c>
      <c r="ER274" s="72" t="str">
        <f t="shared" ref="ER274" si="1617">IF(ISERROR(EQ274/EI274),"NA",IF(OR(EQ274/EI274&gt;2,EQ274/EI274&lt;0.5),"NM",EQ274/EI274*100-100))</f>
        <v>NM</v>
      </c>
      <c r="ES274" s="81">
        <f t="shared" ref="ES274" si="1618">ES266+ES267</f>
        <v>2.6336223749999963</v>
      </c>
      <c r="ET274" s="72" t="str">
        <f t="shared" ref="ET274" si="1619">IF(ISERROR(ES274/EK274),"NA",IF(OR(ES274/EK274&gt;2,ES274/EK274&lt;0.5),"NM",ES274/EK274*100-100))</f>
        <v>NM</v>
      </c>
      <c r="EU274" s="81">
        <f t="shared" ref="EU274" si="1620">EU266+EU267</f>
        <v>2.7429106715624965</v>
      </c>
      <c r="EV274" s="72">
        <f t="shared" ref="EV274" si="1621">IF(ISERROR(EU274/EM274),"NA",IF(OR(EU274/EM274&gt;2,EU274/EM274&lt;0.5),"NM",EU274/EM274*100-100))</f>
        <v>-41.64019847739371</v>
      </c>
      <c r="EW274" s="81">
        <f t="shared" ref="EW274" si="1622">EW266+EW267</f>
        <v>2.853110877452341</v>
      </c>
      <c r="EX274" s="72" t="str">
        <f t="shared" ref="EX274" si="1623">IF(ISERROR(EW274/EO274),"NA",IF(OR(EW274/EO274&gt;2,EW274/EO274&lt;0.5),"NM",EW274/EO274*100-100))</f>
        <v>NM</v>
      </c>
      <c r="EY274" s="72"/>
      <c r="EZ274" s="309"/>
      <c r="FA274" s="72"/>
      <c r="FB274" s="81"/>
      <c r="FC274" s="72"/>
      <c r="FD274" s="81"/>
      <c r="FE274" s="87"/>
      <c r="FF274" s="81"/>
      <c r="FG274" s="87"/>
      <c r="FH274" s="81"/>
      <c r="FI274" s="87"/>
      <c r="FJ274" s="81"/>
      <c r="FK274" s="87"/>
      <c r="FL274" s="81"/>
      <c r="FM274" s="87"/>
      <c r="FN274" s="81"/>
      <c r="FO274" s="87"/>
      <c r="FP274" s="81">
        <f>FP266+FP267</f>
        <v>6.1999999999999993</v>
      </c>
      <c r="FQ274" s="87"/>
      <c r="FR274" s="75">
        <f>FR266+FR267</f>
        <v>10.8</v>
      </c>
      <c r="FS274" s="87">
        <f>IF(ISERROR(FR274/FP274),"NA",IF(OR(FR274/FP274&gt;2,FR274/FP274&lt;0.5),"NM",FR274/FP274*100-100))</f>
        <v>74.193548387096797</v>
      </c>
      <c r="FT274" s="75">
        <f>FT266+FT267</f>
        <v>7.0000000000000071</v>
      </c>
      <c r="FU274" s="87">
        <f>IF(ISERROR(FT274/FR274),"NA",IF(OR(FT274/FR274&gt;2,FT274/FR274&lt;0.5),"NM",FT274/FR274*100-100))</f>
        <v>-35.185185185185119</v>
      </c>
      <c r="FV274" s="75">
        <f>FV266+FV267</f>
        <v>10.199999999999996</v>
      </c>
      <c r="FW274" s="72">
        <f>IF(ISERROR(FV274/FT274),"NA",IF(OR(FV274/FT274&gt;2,FV274/FT274&lt;0.5),"NM",FV274/FT274*100-100))</f>
        <v>45.714285714285495</v>
      </c>
      <c r="FX274" s="75">
        <f>FX266+FX267</f>
        <v>12.599999999999998</v>
      </c>
      <c r="FY274" s="72">
        <f>IF(ISERROR(FX274/FV274),"NA",IF(OR(FX274/FV274&gt;2,FX274/FV274&lt;0.5),"NM",FX274/FV274*100-100))</f>
        <v>23.529411764705912</v>
      </c>
      <c r="FZ274" s="75">
        <f>FZ266+FZ267</f>
        <v>28.6</v>
      </c>
      <c r="GA274" s="72" t="str">
        <f>IF(ISERROR(FZ274/FX274),"NA",IF(OR(FZ274/FX274&gt;2,FZ274/FX274&lt;0.5),"NM",FZ274/FX274*100-100))</f>
        <v>NM</v>
      </c>
      <c r="GB274" s="81">
        <f>GB266+GB267</f>
        <v>16.900000000000006</v>
      </c>
      <c r="GC274" s="72">
        <f>IF(ISERROR(GB274/FZ274),"NA",IF(OR(GB274/FZ274&gt;2,GB274/FZ274&lt;0.5),"NM",GB274/FZ274*100-100))</f>
        <v>-40.909090909090892</v>
      </c>
      <c r="GD274" s="81">
        <f>GD266+GD267</f>
        <v>17.199999999999996</v>
      </c>
      <c r="GE274" s="72">
        <f>IF(ISERROR(GD274/GB274),"NA",IF(OR(GD274/GB274&gt;2,GD274/GB274&lt;0.5),"NM",GD274/GB274*100-100))</f>
        <v>1.7751479289940306</v>
      </c>
      <c r="GF274" s="81">
        <f>GF266+GF267</f>
        <v>19.400000000000006</v>
      </c>
      <c r="GG274" s="72">
        <f>IF(ISERROR(GF274/GD274),"NA",IF(OR(GF274/GD274&gt;2,GF274/GD274&lt;0.5),"NM",GF274/GD274*100-100))</f>
        <v>12.790697674418666</v>
      </c>
      <c r="GH274" s="81">
        <f>GH266+GH267</f>
        <v>0.69999999999999574</v>
      </c>
      <c r="GI274" s="72" t="str">
        <f t="shared" ref="GI274:GU274" si="1624">IF(ISERROR(GH274/GF274),"NA",IF(OR(GH274/GF274&gt;2,GH274/GF274&lt;0.5),"NM",GH274/GF274*100-100))</f>
        <v>NM</v>
      </c>
      <c r="GJ274" s="81">
        <f>GJ266+GJ267</f>
        <v>21.200000000000003</v>
      </c>
      <c r="GK274" s="72" t="str">
        <f t="shared" si="1624"/>
        <v>NM</v>
      </c>
      <c r="GL274" s="81">
        <f>GL266+GL267</f>
        <v>5.3000000000000114</v>
      </c>
      <c r="GM274" s="72" t="str">
        <f t="shared" si="1624"/>
        <v>NM</v>
      </c>
      <c r="GN274" s="81">
        <f>GN266+GN267</f>
        <v>11.600000000000009</v>
      </c>
      <c r="GO274" s="72" t="str">
        <f t="shared" si="1624"/>
        <v>NM</v>
      </c>
      <c r="GP274" s="81">
        <f>GP266+GP267</f>
        <v>10.521893924014833</v>
      </c>
      <c r="GQ274" s="72">
        <f t="shared" si="1624"/>
        <v>-9.2940178964239237</v>
      </c>
      <c r="GR274" s="81">
        <f>GR266+GR267</f>
        <v>11.816028439148489</v>
      </c>
      <c r="GS274" s="72">
        <f t="shared" si="1624"/>
        <v>12.299444610251825</v>
      </c>
      <c r="GT274" s="81">
        <f>GT266+GT267</f>
        <v>12.17870530461029</v>
      </c>
      <c r="GU274" s="72">
        <f t="shared" si="1624"/>
        <v>3.0693635118564089</v>
      </c>
      <c r="GV274" s="81">
        <f>GV266+GV267</f>
        <v>12.594827612978321</v>
      </c>
      <c r="GW274" s="72">
        <f>IF(ISERROR(GV274/GT274),"NA",IF(OR(GV274/GT274&gt;2,GV274/GT274&lt;0.5),"NM",GV274/GT274*100-100))</f>
        <v>3.4168025086419078</v>
      </c>
      <c r="GX274" s="81">
        <f>GX266+GX267</f>
        <v>13.06470295001688</v>
      </c>
      <c r="GY274" s="72">
        <f>IF(ISERROR(GX274/GV274),"NA",IF(OR(GX274/GV274&gt;2,GX274/GV274&lt;0.5),"NM",GX274/GV274*100-100))</f>
        <v>3.7307008200285168</v>
      </c>
      <c r="GZ274" s="72">
        <f>IF(ISERROR(((GX274/GN274)^0.2-1)*100),"NA",IF((((GX274/GN274)^0.2-1)*100)&gt;100,"NM",IF((((GX274/GN274)^0.2-1)*100)&lt;-50,"NM",((GX274/GN274)^0.2-1)*100)))</f>
        <v>2.4066855291709599</v>
      </c>
      <c r="HA274" s="72"/>
      <c r="HB274" s="72"/>
      <c r="HC274"/>
      <c r="HD274"/>
      <c r="HE274"/>
      <c r="HF274"/>
      <c r="HG274"/>
      <c r="HH274"/>
      <c r="HI274" s="2"/>
    </row>
    <row r="275" spans="1:217" s="3" customFormat="1" ht="12.75" customHeight="1" x14ac:dyDescent="0.2">
      <c r="B275" s="76"/>
      <c r="C275" s="75"/>
      <c r="D275" s="72"/>
      <c r="E275" s="75"/>
      <c r="F275" s="72"/>
      <c r="G275" s="75"/>
      <c r="H275" s="72"/>
      <c r="I275" s="75"/>
      <c r="J275" s="72"/>
      <c r="K275" s="75"/>
      <c r="L275" s="87"/>
      <c r="M275" s="75"/>
      <c r="N275" s="87"/>
      <c r="O275" s="75"/>
      <c r="P275" s="87"/>
      <c r="Q275" s="75"/>
      <c r="R275" s="87"/>
      <c r="S275" s="75"/>
      <c r="T275" s="87"/>
      <c r="U275" s="75"/>
      <c r="V275" s="87"/>
      <c r="W275" s="75"/>
      <c r="X275" s="87"/>
      <c r="Y275" s="75"/>
      <c r="Z275" s="87"/>
      <c r="AA275" s="75"/>
      <c r="AB275" s="87"/>
      <c r="AC275" s="75"/>
      <c r="AD275" s="87"/>
      <c r="AE275" s="75"/>
      <c r="AF275" s="87"/>
      <c r="AG275" s="75"/>
      <c r="AH275" s="87"/>
      <c r="AI275" s="75"/>
      <c r="AJ275" s="87"/>
      <c r="AK275" s="75"/>
      <c r="AL275" s="87"/>
      <c r="AM275" s="75"/>
      <c r="AN275" s="87"/>
      <c r="AO275" s="75"/>
      <c r="AP275" s="87"/>
      <c r="AQ275" s="75"/>
      <c r="AR275" s="87"/>
      <c r="AS275" s="75"/>
      <c r="AT275" s="87"/>
      <c r="AU275" s="75"/>
      <c r="AV275" s="87"/>
      <c r="AW275" s="75"/>
      <c r="AX275" s="87"/>
      <c r="AY275" s="75"/>
      <c r="AZ275" s="87"/>
      <c r="BA275" s="75"/>
      <c r="BB275" s="87"/>
      <c r="BC275" s="75"/>
      <c r="BD275" s="87"/>
      <c r="BE275" s="75"/>
      <c r="BF275" s="87"/>
      <c r="BG275" s="75"/>
      <c r="BH275" s="87"/>
      <c r="BI275" s="75"/>
      <c r="BJ275" s="87"/>
      <c r="BK275" s="75"/>
      <c r="BL275" s="87"/>
      <c r="BM275" s="75"/>
      <c r="BN275" s="87"/>
      <c r="BO275" s="75"/>
      <c r="BP275" s="87"/>
      <c r="BQ275" s="75"/>
      <c r="BR275" s="87"/>
      <c r="BS275" s="75"/>
      <c r="BT275" s="87"/>
      <c r="BU275" s="75"/>
      <c r="BV275" s="87"/>
      <c r="BW275" s="75"/>
      <c r="BX275" s="72"/>
      <c r="BY275" s="75"/>
      <c r="BZ275" s="72"/>
      <c r="CA275" s="75"/>
      <c r="CB275" s="72"/>
      <c r="CC275" s="75"/>
      <c r="CD275" s="72"/>
      <c r="CE275" s="75"/>
      <c r="CF275" s="72"/>
      <c r="CG275" s="75"/>
      <c r="CH275" s="72"/>
      <c r="CI275" s="75"/>
      <c r="CJ275" s="72"/>
      <c r="CK275" s="81"/>
      <c r="CL275" s="72"/>
      <c r="CM275" s="81"/>
      <c r="CN275" s="72"/>
      <c r="CO275" s="81"/>
      <c r="CP275" s="72"/>
      <c r="CQ275" s="81"/>
      <c r="CR275" s="72"/>
      <c r="CS275" s="81"/>
      <c r="CT275" s="72"/>
      <c r="CU275" s="81"/>
      <c r="CV275" s="72"/>
      <c r="CW275" s="81"/>
      <c r="CX275" s="72"/>
      <c r="CY275" s="81"/>
      <c r="CZ275" s="72"/>
      <c r="DA275" s="81"/>
      <c r="DB275" s="72"/>
      <c r="DC275" s="81"/>
      <c r="DD275" s="72"/>
      <c r="DE275" s="81"/>
      <c r="DF275" s="72"/>
      <c r="DG275" s="81"/>
      <c r="DH275" s="72"/>
      <c r="DI275" s="81"/>
      <c r="DJ275" s="72"/>
      <c r="DK275" s="81"/>
      <c r="DL275" s="72"/>
      <c r="DM275" s="81"/>
      <c r="DN275" s="72"/>
      <c r="DO275" s="81"/>
      <c r="DP275" s="72"/>
      <c r="DQ275" s="81"/>
      <c r="DR275" s="72"/>
      <c r="DS275" s="81"/>
      <c r="DT275" s="72"/>
      <c r="DU275" s="81"/>
      <c r="DV275" s="72"/>
      <c r="DW275" s="81"/>
      <c r="DX275" s="72"/>
      <c r="DY275" s="81"/>
      <c r="DZ275" s="72"/>
      <c r="EA275" s="81"/>
      <c r="EB275" s="72"/>
      <c r="EC275" s="81"/>
      <c r="ED275" s="72"/>
      <c r="EE275" s="81"/>
      <c r="EF275" s="72"/>
      <c r="EG275" s="81"/>
      <c r="EH275" s="72"/>
      <c r="EI275" s="81"/>
      <c r="EJ275" s="72"/>
      <c r="EK275" s="81"/>
      <c r="EL275" s="72"/>
      <c r="EM275" s="81"/>
      <c r="EN275" s="72"/>
      <c r="EO275" s="81"/>
      <c r="EP275" s="72"/>
      <c r="EQ275" s="81"/>
      <c r="ER275" s="72"/>
      <c r="ES275" s="81"/>
      <c r="ET275" s="72"/>
      <c r="EU275" s="81"/>
      <c r="EV275" s="72"/>
      <c r="EW275" s="81"/>
      <c r="EX275" s="72"/>
      <c r="EY275" s="72"/>
      <c r="EZ275" s="309"/>
      <c r="FA275" s="72"/>
      <c r="FB275" s="81"/>
      <c r="FC275" s="72"/>
      <c r="FD275" s="81"/>
      <c r="FE275" s="87"/>
      <c r="FF275" s="81"/>
      <c r="FG275" s="87"/>
      <c r="FH275" s="81"/>
      <c r="FI275" s="87"/>
      <c r="FJ275" s="81"/>
      <c r="FK275" s="87"/>
      <c r="FL275" s="81"/>
      <c r="FM275" s="87"/>
      <c r="FN275" s="81"/>
      <c r="FO275" s="87"/>
      <c r="FP275" s="81"/>
      <c r="FQ275" s="87"/>
      <c r="FR275" s="75"/>
      <c r="FS275" s="87"/>
      <c r="FT275" s="75"/>
      <c r="FU275" s="87"/>
      <c r="FV275" s="75"/>
      <c r="FW275" s="72"/>
      <c r="FX275" s="75"/>
      <c r="FY275" s="72"/>
      <c r="FZ275" s="75"/>
      <c r="GA275" s="72"/>
      <c r="GB275" s="75"/>
      <c r="GC275" s="72"/>
      <c r="GD275" s="75"/>
      <c r="GE275" s="72"/>
      <c r="GF275" s="75"/>
      <c r="GG275" s="72"/>
      <c r="GH275" s="75"/>
      <c r="GI275" s="72"/>
      <c r="GJ275" s="75"/>
      <c r="GK275" s="72"/>
      <c r="GL275" s="75"/>
      <c r="GM275" s="72"/>
      <c r="GN275" s="75"/>
      <c r="GO275" s="72"/>
      <c r="GP275" s="75"/>
      <c r="GQ275" s="72"/>
      <c r="GR275" s="75"/>
      <c r="GS275" s="72"/>
      <c r="GT275" s="75"/>
      <c r="GU275" s="72"/>
      <c r="GV275" s="75"/>
      <c r="GW275" s="72"/>
      <c r="GX275" s="75"/>
      <c r="GY275" s="72"/>
      <c r="GZ275" s="72"/>
      <c r="HA275" s="72"/>
      <c r="HB275" s="72"/>
      <c r="HC275"/>
      <c r="HD275"/>
      <c r="HE275"/>
      <c r="HF275"/>
      <c r="HG275"/>
      <c r="HH275"/>
      <c r="HI275" s="2"/>
    </row>
    <row r="276" spans="1:217" s="3" customFormat="1" ht="12.75" customHeight="1" x14ac:dyDescent="0.2">
      <c r="A276" s="3" t="s">
        <v>171</v>
      </c>
      <c r="B276" s="10" t="s">
        <v>155</v>
      </c>
      <c r="C276" s="73"/>
      <c r="D276" s="72"/>
      <c r="E276" s="73"/>
      <c r="F276" s="72"/>
      <c r="G276" s="73"/>
      <c r="H276" s="72"/>
      <c r="I276" s="73"/>
      <c r="J276" s="72"/>
      <c r="K276" s="73"/>
      <c r="L276" s="72"/>
      <c r="M276" s="73"/>
      <c r="N276" s="72"/>
      <c r="O276" s="73"/>
      <c r="P276" s="72"/>
      <c r="Q276" s="73"/>
      <c r="R276" s="72"/>
      <c r="S276" s="73"/>
      <c r="T276" s="72"/>
      <c r="U276" s="73"/>
      <c r="V276" s="72"/>
      <c r="W276" s="73"/>
      <c r="X276" s="72"/>
      <c r="Y276" s="73"/>
      <c r="Z276" s="72"/>
      <c r="AA276" s="73"/>
      <c r="AB276" s="72"/>
      <c r="AC276" s="73"/>
      <c r="AD276" s="72"/>
      <c r="AE276" s="73"/>
      <c r="AF276" s="72"/>
      <c r="AG276" s="73"/>
      <c r="AH276" s="72"/>
      <c r="AI276" s="73"/>
      <c r="AJ276" s="72"/>
      <c r="AK276" s="73"/>
      <c r="AL276" s="72"/>
      <c r="AM276" s="73"/>
      <c r="AN276" s="72"/>
      <c r="AO276" s="73"/>
      <c r="AP276" s="72"/>
      <c r="AQ276" s="73"/>
      <c r="AR276" s="72"/>
      <c r="AS276" s="73"/>
      <c r="AT276" s="72"/>
      <c r="AU276" s="81">
        <f>-AU267/AU265*400</f>
        <v>22.39297475301866</v>
      </c>
      <c r="AV276" s="72"/>
      <c r="AW276" s="81">
        <f>-AW267/AW265*400</f>
        <v>13.052631578947368</v>
      </c>
      <c r="AX276" s="72"/>
      <c r="AY276" s="81">
        <f>-AY267/AY265*400</f>
        <v>15.794669299111549</v>
      </c>
      <c r="AZ276" s="72"/>
      <c r="BA276" s="81">
        <f>-BA267/BA265*400</f>
        <v>16.494845360824741</v>
      </c>
      <c r="BB276" s="72"/>
      <c r="BC276" s="81">
        <f>-BC267/BC265*400</f>
        <v>13.445378151260506</v>
      </c>
      <c r="BD276" s="72"/>
      <c r="BE276" s="81">
        <f>-BE267/BE265*400</f>
        <v>17.043478260869566</v>
      </c>
      <c r="BF276" s="72"/>
      <c r="BG276" s="81">
        <f>-BG267/BG265*400</f>
        <v>15.296989422294549</v>
      </c>
      <c r="BH276" s="72"/>
      <c r="BI276" s="81">
        <f>-BI267/BI265*400</f>
        <v>25.826771653543307</v>
      </c>
      <c r="BJ276" s="72"/>
      <c r="BK276" s="81">
        <f>-BK267/BK265*400</f>
        <v>18.181818181818183</v>
      </c>
      <c r="BL276" s="72"/>
      <c r="BM276" s="81">
        <f>-BM267/BM265*400</f>
        <v>18.962962962962965</v>
      </c>
      <c r="BN276" s="72"/>
      <c r="BO276" s="81">
        <f>-BO267/BO265*400</f>
        <v>12.138320395201131</v>
      </c>
      <c r="BP276" s="72"/>
      <c r="BQ276" s="81">
        <f>-BQ267/BQ265*400</f>
        <v>13.13347608850821</v>
      </c>
      <c r="BR276" s="72"/>
      <c r="BS276" s="81">
        <f>-BS267/BS265*400</f>
        <v>13.168724279835391</v>
      </c>
      <c r="BT276" s="72"/>
      <c r="BU276" s="81">
        <f>-BU267/BU265*400</f>
        <v>17.027417027417034</v>
      </c>
      <c r="BV276" s="72"/>
      <c r="BW276" s="81">
        <f>-BW267/BW265*400</f>
        <v>14.319066147859925</v>
      </c>
      <c r="BX276" s="72"/>
      <c r="BY276" s="81">
        <f>-BY267/BY265*400</f>
        <v>21.558872305140966</v>
      </c>
      <c r="BZ276" s="72"/>
      <c r="CA276" s="81">
        <f>-CA267/CA265*400</f>
        <v>17.377812257564003</v>
      </c>
      <c r="CB276" s="72"/>
      <c r="CC276" s="81">
        <f>-CC267/CC265*400</f>
        <v>12.536564981195152</v>
      </c>
      <c r="CD276" s="72"/>
      <c r="CE276" s="81">
        <f>-CE267/CE265*400</f>
        <v>15.011851461680276</v>
      </c>
      <c r="CF276" s="72"/>
      <c r="CG276" s="81">
        <f>-CG267/CG265*400</f>
        <v>10.963793982661906</v>
      </c>
      <c r="CH276" s="72"/>
      <c r="CI276" s="81">
        <f>-CI267/CI265*400</f>
        <v>12.441679626749613</v>
      </c>
      <c r="CJ276" s="72"/>
      <c r="CK276" s="81">
        <f>-CK267/CK265*400</f>
        <v>14.566800739210786</v>
      </c>
      <c r="CL276" s="72"/>
      <c r="CM276" s="81">
        <f>-CM267/CM265*400</f>
        <v>13.793103448275861</v>
      </c>
      <c r="CN276" s="72"/>
      <c r="CO276" s="81">
        <f>-CO267/CO265*400</f>
        <v>11.70363378952336</v>
      </c>
      <c r="CP276" s="72"/>
      <c r="CQ276" s="81">
        <f>-CQ267/CQ265*400</f>
        <v>15.703971119133572</v>
      </c>
      <c r="CR276" s="72"/>
      <c r="CS276" s="81">
        <f>-CS267/CS265*400</f>
        <v>19.107142857142854</v>
      </c>
      <c r="CT276" s="72"/>
      <c r="CU276" s="81">
        <f>-CU267/CU265*400</f>
        <v>14.859094790777108</v>
      </c>
      <c r="CV276" s="72"/>
      <c r="CW276" s="81">
        <f>-CW267/CW265*400</f>
        <v>18.101010101010097</v>
      </c>
      <c r="CX276" s="72"/>
      <c r="CY276" s="81">
        <f>-CY267/CY265*400</f>
        <v>14.797136038186157</v>
      </c>
      <c r="CZ276" s="72"/>
      <c r="DA276" s="81">
        <f>-DA267/DA265*400</f>
        <v>18.802122820318424</v>
      </c>
      <c r="DB276" s="72"/>
      <c r="DC276" s="81">
        <f>-DC267/DC265*400</f>
        <v>10.924981791697011</v>
      </c>
      <c r="DD276" s="72"/>
      <c r="DE276" s="81">
        <f>-DE267/DE265*400</f>
        <v>16.542948038176032</v>
      </c>
      <c r="DF276" s="72"/>
      <c r="DG276" s="81">
        <f>-DG267/DG265*400</f>
        <v>14.306151645207438</v>
      </c>
      <c r="DH276" s="72"/>
      <c r="DI276" s="81">
        <f>-DI267/DI265*400</f>
        <v>11.72413793103448</v>
      </c>
      <c r="DJ276" s="72"/>
      <c r="DK276" s="81">
        <f>-DK267/DK265*400</f>
        <v>11.980033277870215</v>
      </c>
      <c r="DL276" s="72"/>
      <c r="DM276" s="81">
        <f>-DM267/DM265*400</f>
        <v>10.051546391752577</v>
      </c>
      <c r="DN276" s="72">
        <f t="shared" ref="DN276:DZ278" si="1625">IF(ISERROR(DM276/DE276),"NA",IF(OR(DM276/DE276&gt;2,DM276/DE276&lt;0.5),"NM",DM276/DE276*100-100))</f>
        <v>-39.239690721649481</v>
      </c>
      <c r="DO276" s="81">
        <f>-DO267/DO265*400</f>
        <v>14.095826893353939</v>
      </c>
      <c r="DP276" s="72">
        <f t="shared" si="1625"/>
        <v>-1.4701700154559489</v>
      </c>
      <c r="DQ276" s="81">
        <f>-DQ267/DQ265*400</f>
        <v>16.713439351418767</v>
      </c>
      <c r="DR276" s="72">
        <f t="shared" si="1625"/>
        <v>42.55580623268952</v>
      </c>
      <c r="DS276" s="81">
        <f>-DS267/DS265*400</f>
        <v>16.192830655129782</v>
      </c>
      <c r="DT276" s="72">
        <f t="shared" si="1625"/>
        <v>35.165155885180553</v>
      </c>
      <c r="DU276" s="81">
        <f>-DU267/DU265*400</f>
        <v>13.76833283448069</v>
      </c>
      <c r="DV276" s="72">
        <f t="shared" si="1625"/>
        <v>36.977259994320718</v>
      </c>
      <c r="DW276" s="81">
        <f>-DW267/DW265*400</f>
        <v>12.860970526942539</v>
      </c>
      <c r="DX276" s="72">
        <f t="shared" si="1625"/>
        <v>-8.7604393538177163</v>
      </c>
      <c r="DY276" s="81">
        <f>-DY267/DY265*400</f>
        <v>12.167749556999405</v>
      </c>
      <c r="DZ276" s="72">
        <f t="shared" si="1625"/>
        <v>-27.197811885639737</v>
      </c>
      <c r="EA276" s="81">
        <f>-EA267/EA265*400</f>
        <v>17.401325266493796</v>
      </c>
      <c r="EB276" s="72">
        <f>IF(ISERROR(EA276/DS276),"NA",IF(OR(EA276/DS276&gt;2,EA276/DS276&lt;0.5),"NM",EA276/DS276*100-100))</f>
        <v>7.4631461114006612</v>
      </c>
      <c r="EC276" s="81">
        <f>-EC267/EC265*400</f>
        <v>14.249930420261617</v>
      </c>
      <c r="ED276" s="72">
        <f>IF(ISERROR(EC276/DU276),"NA",IF(OR(EC276/DU276&gt;2,EC276/DU276&lt;0.5),"NM",EC276/DU276*100-100))</f>
        <v>3.4978642045523429</v>
      </c>
      <c r="EE276" s="81">
        <f>-EE267/EE265*400</f>
        <v>13.926084627745039</v>
      </c>
      <c r="EF276" s="72">
        <f>IF(ISERROR(EE276/DW276),"NA",IF(OR(EE276/DW276&gt;2,EE276/DW276&lt;0.5),"NM",EE276/DW276*100-100))</f>
        <v>8.2817552421194449</v>
      </c>
      <c r="EG276" s="81">
        <f>-EG267/EG265*400</f>
        <v>13.236400100275755</v>
      </c>
      <c r="EH276" s="72">
        <f>IF(ISERROR(EG276/DY276),"NA",IF(OR(EG276/DY276&gt;2,EG276/DY276&lt;0.5),"NM",EG276/DY276*100-100))</f>
        <v>8.7826474260527192</v>
      </c>
      <c r="EI276" s="81">
        <f>-EI267/EI265*400</f>
        <v>15.942028985507243</v>
      </c>
      <c r="EJ276" s="72">
        <f>IF(ISERROR(EI276/EA276),"NA",IF(OR(EI276/EA276&gt;2,EI276/EA276&lt;0.5),"NM",EI276/EA276*100-100))</f>
        <v>-8.3861215087820113</v>
      </c>
      <c r="EK276" s="81">
        <f>-EK267/EK265*400</f>
        <v>10.724129290904532</v>
      </c>
      <c r="EL276" s="72">
        <f>IF(ISERROR(EK276/EC276),"NA",IF(OR(EK276/EC276&gt;2,EK276/EC276&lt;0.5),"NM",EK276/EC276*100-100))</f>
        <v>-24.742584878476578</v>
      </c>
      <c r="EM276" s="81">
        <f>-EM267/EM265*400</f>
        <v>10.805595754944521</v>
      </c>
      <c r="EN276" s="72">
        <f>IF(ISERROR(EM276/EE276),"NA",IF(OR(EM276/EE276&gt;2,EM276/EE276&lt;0.5),"NM",EM276/EE276*100-100))</f>
        <v>-22.407510482763726</v>
      </c>
      <c r="EO276" s="81">
        <f>-EO267/EO265*400</f>
        <v>15.1276102088167</v>
      </c>
      <c r="EP276" s="72">
        <f>IF(ISERROR(EO276/EG276),"NA",IF(OR(EO276/EG276&gt;2,EO276/EG276&lt;0.5),"NM",EO276/EG276*100-100))</f>
        <v>14.287949096533765</v>
      </c>
      <c r="EQ276" s="86">
        <v>13</v>
      </c>
      <c r="ER276" s="72">
        <f t="shared" ref="ER276:ER278" si="1626">IF(ISERROR(EQ276/EI276),"NA",IF(OR(EQ276/EI276&gt;2,EQ276/EI276&lt;0.5),"NM",EQ276/EI276*100-100))</f>
        <v>-18.454545454545439</v>
      </c>
      <c r="ES276" s="86">
        <f>EQ276</f>
        <v>13</v>
      </c>
      <c r="ET276" s="72">
        <f t="shared" ref="ET276:ET278" si="1627">IF(ISERROR(ES276/EK276),"NA",IF(OR(ES276/EK276&gt;2,ES276/EK276&lt;0.5),"NM",ES276/EK276*100-100))</f>
        <v>21.221962616822481</v>
      </c>
      <c r="EU276" s="86">
        <f>ES276</f>
        <v>13</v>
      </c>
      <c r="EV276" s="72">
        <f t="shared" ref="EV276:EV278" si="1628">IF(ISERROR(EU276/EM276),"NA",IF(OR(EU276/EM276&gt;2,EU276/EM276&lt;0.5),"NM",EU276/EM276*100-100))</f>
        <v>20.308035714285751</v>
      </c>
      <c r="EW276" s="86">
        <f>EU276</f>
        <v>13</v>
      </c>
      <c r="EX276" s="72">
        <f t="shared" ref="EX276:EX278" si="1629">IF(ISERROR(EW276/EO276),"NA",IF(OR(EW276/EO276&gt;2,EW276/EO276&lt;0.5),"NM",EW276/EO276*100-100))</f>
        <v>-14.064417177914081</v>
      </c>
      <c r="EY276" s="72"/>
      <c r="EZ276" s="306"/>
      <c r="FA276" s="72"/>
      <c r="FB276" s="73"/>
      <c r="FC276" s="88"/>
      <c r="FD276" s="73"/>
      <c r="FE276" s="72"/>
      <c r="FF276" s="73"/>
      <c r="FG276" s="72"/>
      <c r="FH276" s="73"/>
      <c r="FI276" s="72"/>
      <c r="FJ276" s="73"/>
      <c r="FK276" s="72"/>
      <c r="FL276" s="73"/>
      <c r="FM276" s="72"/>
      <c r="FN276" s="73"/>
      <c r="FO276" s="72"/>
      <c r="FP276" s="81">
        <f>-FP267/FP265*100</f>
        <v>9.0010976948408352</v>
      </c>
      <c r="FQ276" s="72"/>
      <c r="FR276" s="81">
        <f>-FR267/FR265*100</f>
        <v>16.683119447186574</v>
      </c>
      <c r="FS276" s="72"/>
      <c r="FT276" s="81">
        <f>-FT267/FT265*100</f>
        <v>20.585842148087877</v>
      </c>
      <c r="FU276" s="72"/>
      <c r="FV276" s="81">
        <f>-FV267/FV265*100</f>
        <v>13.832039520112914</v>
      </c>
      <c r="FW276" s="72"/>
      <c r="FX276" s="81">
        <f>-FX267/FX265*100</f>
        <v>16.498054474708169</v>
      </c>
      <c r="FY276" s="72"/>
      <c r="FZ276" s="81">
        <f>-FZ267/FZ265*100</f>
        <v>14.419278377666576</v>
      </c>
      <c r="GA276" s="72"/>
      <c r="GB276" s="81">
        <f>-GB267/GB265*100</f>
        <v>16.241879060469767</v>
      </c>
      <c r="GC276" s="72"/>
      <c r="GD276" s="81">
        <f>-GD267/GD265*100</f>
        <v>17.762596071733562</v>
      </c>
      <c r="GE276" s="72"/>
      <c r="GF276" s="81">
        <f>-GF267/GF265*100</f>
        <v>13.729060451565914</v>
      </c>
      <c r="GG276" s="72"/>
      <c r="GH276" s="81">
        <f>-GH267/GH265*100</f>
        <v>13.843594009983359</v>
      </c>
      <c r="GI276" s="72">
        <f t="shared" ref="GI276:GU277" si="1630">IF(ISERROR(GH276/GF276),"NA",IF(OR(GH276/GF276&gt;2,GH276/GF276&lt;0.5),"NM",GH276/GF276*100-100))</f>
        <v>0.83424178093980572</v>
      </c>
      <c r="GJ276" s="81">
        <f>-GJ267/GJ265*100</f>
        <v>14.122373300370825</v>
      </c>
      <c r="GK276" s="72">
        <f t="shared" si="1630"/>
        <v>2.0137782875344641</v>
      </c>
      <c r="GL276" s="81">
        <f>-GL267/GL265*100</f>
        <v>15.586286372803219</v>
      </c>
      <c r="GM276" s="72">
        <f t="shared" si="1630"/>
        <v>10.365914009608829</v>
      </c>
      <c r="GN276" s="81">
        <f>-GN267/GN265*100</f>
        <v>13.871635610766042</v>
      </c>
      <c r="GO276" s="72">
        <f t="shared" si="1630"/>
        <v>-11.001021802275503</v>
      </c>
      <c r="GP276" s="81">
        <f>-GP267/GP265*100</f>
        <v>13.149933013926734</v>
      </c>
      <c r="GQ276" s="72">
        <f t="shared" si="1630"/>
        <v>-5.2027217055729267</v>
      </c>
      <c r="GR276" s="86">
        <f>GP276</f>
        <v>13.149933013926734</v>
      </c>
      <c r="GS276" s="72">
        <f t="shared" si="1630"/>
        <v>0</v>
      </c>
      <c r="GT276" s="86">
        <f>GR276</f>
        <v>13.149933013926734</v>
      </c>
      <c r="GU276" s="72">
        <f t="shared" si="1630"/>
        <v>0</v>
      </c>
      <c r="GV276" s="86">
        <f>GT276</f>
        <v>13.149933013926734</v>
      </c>
      <c r="GW276" s="72">
        <f>IF(ISERROR(GV276/GT276),"NA",IF(OR(GV276/GT276&gt;2,GV276/GT276&lt;0.5),"NM",GV276/GT276*100-100))</f>
        <v>0</v>
      </c>
      <c r="GX276" s="86">
        <f>GV276</f>
        <v>13.149933013926734</v>
      </c>
      <c r="GY276" s="72">
        <f>IF(ISERROR(GX276/GV276),"NA",IF(OR(GX276/GV276&gt;2,GX276/GV276&lt;0.5),"NM",GX276/GV276*100-100))</f>
        <v>0</v>
      </c>
      <c r="GZ276" s="72"/>
      <c r="HA276" s="72"/>
      <c r="HB276" s="72"/>
      <c r="HC276"/>
      <c r="HD276"/>
      <c r="HE276"/>
      <c r="HF276"/>
      <c r="HG276"/>
      <c r="HH276"/>
      <c r="HI276" s="2"/>
    </row>
    <row r="277" spans="1:217" s="3" customFormat="1" ht="12.75" customHeight="1" x14ac:dyDescent="0.2">
      <c r="B277" s="266" t="s">
        <v>281</v>
      </c>
      <c r="C277" s="73"/>
      <c r="D277" s="72"/>
      <c r="E277" s="73"/>
      <c r="F277" s="72"/>
      <c r="G277" s="73"/>
      <c r="H277" s="72"/>
      <c r="I277" s="73"/>
      <c r="J277" s="72"/>
      <c r="K277" s="73"/>
      <c r="L277" s="72"/>
      <c r="M277" s="73"/>
      <c r="N277" s="72"/>
      <c r="O277" s="73"/>
      <c r="P277" s="72"/>
      <c r="Q277" s="73"/>
      <c r="R277" s="72"/>
      <c r="S277" s="73"/>
      <c r="T277" s="72"/>
      <c r="U277" s="73"/>
      <c r="V277" s="72"/>
      <c r="W277" s="73"/>
      <c r="X277" s="72"/>
      <c r="Y277" s="73"/>
      <c r="Z277" s="72"/>
      <c r="AA277" s="73"/>
      <c r="AB277" s="72"/>
      <c r="AC277" s="73"/>
      <c r="AD277" s="72"/>
      <c r="AE277" s="73"/>
      <c r="AF277" s="72"/>
      <c r="AG277" s="73"/>
      <c r="AH277" s="72"/>
      <c r="AI277" s="73"/>
      <c r="AJ277" s="72"/>
      <c r="AK277" s="73"/>
      <c r="AL277" s="72"/>
      <c r="AM277" s="73"/>
      <c r="AN277" s="72"/>
      <c r="AO277" s="73"/>
      <c r="AP277" s="72"/>
      <c r="AQ277" s="73"/>
      <c r="AR277" s="72"/>
      <c r="AS277" s="73"/>
      <c r="AT277" s="72"/>
      <c r="AU277" s="81">
        <f>AU268/AU265*400</f>
        <v>9.6597145993413847</v>
      </c>
      <c r="AV277" s="72"/>
      <c r="AW277" s="81">
        <f>AW268/AW265*400</f>
        <v>8.4210526315789469</v>
      </c>
      <c r="AX277" s="72"/>
      <c r="AY277" s="81">
        <f>AY268/AY265*400</f>
        <v>7.5024679170779862</v>
      </c>
      <c r="AZ277" s="72"/>
      <c r="BA277" s="81">
        <f>BA268/BA265*400</f>
        <v>-1.499531396438613</v>
      </c>
      <c r="BB277" s="72"/>
      <c r="BC277" s="81">
        <f>BC268/BC265*400</f>
        <v>16.059757236227824</v>
      </c>
      <c r="BD277" s="72"/>
      <c r="BE277" s="81">
        <f>BE268/BE265*400</f>
        <v>15.65217391304348</v>
      </c>
      <c r="BF277" s="72"/>
      <c r="BG277" s="81">
        <f>BG268/BG265*400</f>
        <v>8.1366965012205057</v>
      </c>
      <c r="BH277" s="72"/>
      <c r="BI277" s="81">
        <f>BI268/BI265*400</f>
        <v>11.023622047244096</v>
      </c>
      <c r="BJ277" s="72"/>
      <c r="BK277" s="81">
        <f>BK268/BK265*400</f>
        <v>11.212121212121213</v>
      </c>
      <c r="BL277" s="72"/>
      <c r="BM277" s="81">
        <f>BM268/BM265*400</f>
        <v>3.5555555555555554</v>
      </c>
      <c r="BN277" s="72"/>
      <c r="BO277" s="81">
        <f>BO268/BO265*400</f>
        <v>-7.9040225829216659</v>
      </c>
      <c r="BP277" s="72"/>
      <c r="BQ277" s="81">
        <f>BQ268/BQ265*400</f>
        <v>-1.4275517487508926</v>
      </c>
      <c r="BR277" s="72"/>
      <c r="BS277" s="81">
        <f>BS268/BS265*400</f>
        <v>-23.045267489711936</v>
      </c>
      <c r="BT277" s="72"/>
      <c r="BU277" s="81">
        <f>BU268/BU265*400</f>
        <v>-30.880230880230886</v>
      </c>
      <c r="BV277" s="72"/>
      <c r="BW277" s="81">
        <f>BW268/BW265*400</f>
        <v>-22.723735408560316</v>
      </c>
      <c r="BX277" s="72"/>
      <c r="BY277" s="81">
        <f>BY268/BY265*400</f>
        <v>23.880597014925378</v>
      </c>
      <c r="BZ277" s="72"/>
      <c r="CA277" s="81">
        <f>CA268/CA265*400</f>
        <v>30.721489526764937</v>
      </c>
      <c r="CB277" s="72"/>
      <c r="CC277" s="81">
        <f>CC268/CC265*400</f>
        <v>5.8503969912244056</v>
      </c>
      <c r="CD277" s="72"/>
      <c r="CE277" s="81">
        <f>CE268/CE265*400</f>
        <v>9.4811693442191203</v>
      </c>
      <c r="CF277" s="72"/>
      <c r="CG277" s="81">
        <f>CG268/CG265*400</f>
        <v>-1.5298317185109638</v>
      </c>
      <c r="CH277" s="72"/>
      <c r="CI277" s="81">
        <f>CI268/CI265*400</f>
        <v>26.318937671970332</v>
      </c>
      <c r="CJ277" s="72"/>
      <c r="CK277" s="81">
        <f>CK268/CK265*400</f>
        <v>6.5224480921839332</v>
      </c>
      <c r="CL277" s="72"/>
      <c r="CM277" s="81">
        <f>CM268/CM265*400</f>
        <v>10.794602698650674</v>
      </c>
      <c r="CN277" s="72"/>
      <c r="CO277" s="81">
        <f>CO268/CO265*400</f>
        <v>8.8721094856064173</v>
      </c>
      <c r="CP277" s="72"/>
      <c r="CQ277" s="81">
        <f>CQ268/CQ265*400</f>
        <v>0.72202166064981954</v>
      </c>
      <c r="CR277" s="72"/>
      <c r="CS277" s="81">
        <f>CS268/CS265*400</f>
        <v>11.25</v>
      </c>
      <c r="CT277" s="72"/>
      <c r="CU277" s="81">
        <f>CU268/CU265*400</f>
        <v>13.151152860802732</v>
      </c>
      <c r="CV277" s="72"/>
      <c r="CW277" s="81">
        <f>CW268/CW265*400</f>
        <v>5.9797979797979792</v>
      </c>
      <c r="CX277" s="72"/>
      <c r="CY277" s="81">
        <f>CY268/CY265*400</f>
        <v>14.160700079554495</v>
      </c>
      <c r="CZ277" s="72"/>
      <c r="DA277" s="81">
        <f>DA268/DA265*400</f>
        <v>4.2456406368460948</v>
      </c>
      <c r="DB277" s="72"/>
      <c r="DC277" s="81">
        <f>DC268/DC265*400</f>
        <v>2.7676620538965762</v>
      </c>
      <c r="DD277" s="72"/>
      <c r="DE277" s="81">
        <f>DE268/DE265*400</f>
        <v>-8.6249558147755376</v>
      </c>
      <c r="DF277" s="72"/>
      <c r="DG277" s="81">
        <f>DG268/DG265*400</f>
        <v>8.5836909871244629</v>
      </c>
      <c r="DH277" s="72"/>
      <c r="DI277" s="81">
        <f>DI268/DI265*400</f>
        <v>8.275862068965516</v>
      </c>
      <c r="DJ277" s="72"/>
      <c r="DK277" s="81">
        <f>DK268/DK265*400</f>
        <v>10.648918469217968</v>
      </c>
      <c r="DL277" s="72"/>
      <c r="DM277" s="81">
        <f>DM268/DM265*400</f>
        <v>13.273195876288661</v>
      </c>
      <c r="DN277" s="72" t="str">
        <f t="shared" si="1625"/>
        <v>NM</v>
      </c>
      <c r="DO277" s="81">
        <f>DO268/DO265*400</f>
        <v>-1.2364760432766613</v>
      </c>
      <c r="DP277" s="72" t="str">
        <f t="shared" si="1625"/>
        <v>NM</v>
      </c>
      <c r="DQ277" s="81">
        <f>DQ268/DQ265*400</f>
        <v>7.2341752416588694</v>
      </c>
      <c r="DR277" s="72">
        <f t="shared" si="1625"/>
        <v>-12.58704916328864</v>
      </c>
      <c r="DS277" s="81">
        <f>DS268/DS265*400</f>
        <v>8.1582200247218761</v>
      </c>
      <c r="DT277" s="72">
        <f t="shared" si="1625"/>
        <v>-23.389215080346119</v>
      </c>
      <c r="DU277" s="81">
        <f>DU268/DU265*400</f>
        <v>-5.9862316671655167</v>
      </c>
      <c r="DV277" s="72" t="str">
        <f t="shared" si="1625"/>
        <v>NM</v>
      </c>
      <c r="DW277" s="81">
        <f>DW268/DW265*400</f>
        <v>-2.0244120273891029</v>
      </c>
      <c r="DX277" s="72">
        <f t="shared" si="1625"/>
        <v>63.724322715093706</v>
      </c>
      <c r="DY277" s="81">
        <f>DY268/DY265*400</f>
        <v>2.5989367985823972</v>
      </c>
      <c r="DZ277" s="72" t="str">
        <f t="shared" si="1625"/>
        <v>NM</v>
      </c>
      <c r="EA277" s="81">
        <f>EA268/EA265*400</f>
        <v>14.635551714203393</v>
      </c>
      <c r="EB277" s="72">
        <f>IF(ISERROR(EA277/DS277),"NA",IF(OR(EA277/DS277&gt;2,EA277/DS277&lt;0.5),"NM",EA277/DS277*100-100))</f>
        <v>79.39638389076589</v>
      </c>
      <c r="EC277" s="81">
        <f>EC268/EC265*400</f>
        <v>12.580016699137209</v>
      </c>
      <c r="ED277" s="72" t="str">
        <f>IF(ISERROR(EC277/DU277),"NA",IF(OR(EC277/DU277&gt;2,EC277/DU277&lt;0.5),"NM",EC277/DU277*100-100))</f>
        <v>NM</v>
      </c>
      <c r="EE277" s="81">
        <f>EE268/EE265*400</f>
        <v>8.9983931440814118</v>
      </c>
      <c r="EF277" s="72" t="str">
        <f>IF(ISERROR(EE277/DW277),"NA",IF(OR(EE277/DW277&gt;2,EE277/DW277&lt;0.5),"NM",EE277/DW277*100-100))</f>
        <v>NM</v>
      </c>
      <c r="EG277" s="81">
        <f>EG268/EG265*400</f>
        <v>-10.629230383554773</v>
      </c>
      <c r="EH277" s="72" t="str">
        <f>IF(ISERROR(EG277/DY277),"NA",IF(OR(EG277/DY277&gt;2,EG277/DY277&lt;0.5),"NM",EG277/DY277*100-100))</f>
        <v>NM</v>
      </c>
      <c r="EI277" s="81">
        <f>EI268/EI265*400</f>
        <v>9.9378881987577614</v>
      </c>
      <c r="EJ277" s="72">
        <f>IF(ISERROR(EI277/EA277),"NA",IF(OR(EI277/EA277&gt;2,EI277/EA277&lt;0.5),"NM",EI277/EA277*100-100))</f>
        <v>-32.097618232503535</v>
      </c>
      <c r="EK277" s="81">
        <f>EK268/EK265*400</f>
        <v>10.824354798296163</v>
      </c>
      <c r="EL277" s="72">
        <f>IF(ISERROR(EK277/EC277),"NA",IF(OR(EK277/EC277&gt;2,EK277/EC277&lt;0.5),"NM",EK277/EC277*100-100))</f>
        <v>-13.955958428588232</v>
      </c>
      <c r="EM277" s="81">
        <f>EM268/EM265*400</f>
        <v>8.7795465508924231</v>
      </c>
      <c r="EN277" s="72">
        <f>IF(ISERROR(EM277/EE277),"NA",IF(OR(EM277/EE277&gt;2,EM277/EE277&lt;0.5),"NM",EM277/EE277*100-100))</f>
        <v>-2.4320630326419206</v>
      </c>
      <c r="EO277" s="81">
        <f>EO268/EO265*400</f>
        <v>7.8886310904872357</v>
      </c>
      <c r="EP277" s="72" t="str">
        <f>IF(ISERROR(EO277/EG277),"NA",IF(OR(EO277/EG277&gt;2,EO277/EG277&lt;0.5),"NM",EO277/EG277*100-100))</f>
        <v>NM</v>
      </c>
      <c r="EQ277" s="81">
        <f t="shared" ref="EQ277" si="1631">EQ268/EQ265*400</f>
        <v>-2.4</v>
      </c>
      <c r="ER277" s="72" t="str">
        <f t="shared" si="1626"/>
        <v>NM</v>
      </c>
      <c r="ES277" s="81">
        <f t="shared" ref="ES277" si="1632">ES268/ES265*400</f>
        <v>4</v>
      </c>
      <c r="ET277" s="72" t="str">
        <f t="shared" si="1627"/>
        <v>NM</v>
      </c>
      <c r="EU277" s="81">
        <f t="shared" ref="EU277" si="1633">EU268/EU265*400</f>
        <v>4</v>
      </c>
      <c r="EV277" s="72" t="str">
        <f t="shared" si="1628"/>
        <v>NM</v>
      </c>
      <c r="EW277" s="81">
        <f t="shared" ref="EW277" si="1634">EW268/EW265*400</f>
        <v>4</v>
      </c>
      <c r="EX277" s="72">
        <f t="shared" si="1629"/>
        <v>-49.294117647058798</v>
      </c>
      <c r="EY277" s="72"/>
      <c r="EZ277" s="306"/>
      <c r="FA277" s="72"/>
      <c r="FB277" s="73"/>
      <c r="FC277" s="88"/>
      <c r="FD277" s="73"/>
      <c r="FE277" s="72"/>
      <c r="FF277" s="73"/>
      <c r="FG277" s="72"/>
      <c r="FH277" s="73"/>
      <c r="FI277" s="72"/>
      <c r="FJ277" s="73"/>
      <c r="FK277" s="72"/>
      <c r="FL277" s="73"/>
      <c r="FM277" s="72"/>
      <c r="FN277" s="73"/>
      <c r="FO277" s="72"/>
      <c r="FP277" s="81">
        <f>FP268/FP265*100</f>
        <v>4.6103183315038425</v>
      </c>
      <c r="FQ277" s="72"/>
      <c r="FR277" s="81">
        <f>FR268/FR265*100</f>
        <v>10.167818361303063</v>
      </c>
      <c r="FS277" s="72"/>
      <c r="FT277" s="81">
        <f>FT268/FT265*100</f>
        <v>8.868999186330349</v>
      </c>
      <c r="FU277" s="72"/>
      <c r="FV277" s="81">
        <f>FV268/FV265*100</f>
        <v>-15.808045165843332</v>
      </c>
      <c r="FW277" s="72"/>
      <c r="FX277" s="81">
        <f>FX268/FX265*100</f>
        <v>9.2607003891050592</v>
      </c>
      <c r="FY277" s="72"/>
      <c r="FZ277" s="81">
        <f>FZ268/FZ265*100</f>
        <v>11.193047142480903</v>
      </c>
      <c r="GA277" s="72"/>
      <c r="GB277" s="81">
        <f>GB268/GB265*100</f>
        <v>8.3958020989505258</v>
      </c>
      <c r="GC277" s="72"/>
      <c r="GD277" s="81">
        <f>GD268/GD265*100</f>
        <v>9.863364645602049</v>
      </c>
      <c r="GE277" s="72"/>
      <c r="GF277" s="81">
        <f>GF268/GF265*100</f>
        <v>2.8404952658412235</v>
      </c>
      <c r="GG277" s="72"/>
      <c r="GH277" s="81">
        <f>GH268/GH265*100</f>
        <v>7.6871880199667215</v>
      </c>
      <c r="GI277" s="72" t="str">
        <f t="shared" si="1630"/>
        <v>NM</v>
      </c>
      <c r="GJ277" s="81">
        <f>GJ268/GJ265*100</f>
        <v>0.64894932014833095</v>
      </c>
      <c r="GK277" s="72" t="str">
        <f t="shared" si="1630"/>
        <v>NM</v>
      </c>
      <c r="GL277" s="81">
        <f>GL268/GL265*100</f>
        <v>6.2806107749927937</v>
      </c>
      <c r="GM277" s="72" t="str">
        <f t="shared" si="1630"/>
        <v>NM</v>
      </c>
      <c r="GN277" s="81">
        <f>GN268/GN265*100</f>
        <v>9.8343685300207007</v>
      </c>
      <c r="GO277" s="72">
        <f t="shared" si="1630"/>
        <v>56.582996182118677</v>
      </c>
      <c r="GP277" s="81">
        <f>GP268/GP265*100</f>
        <v>2.4461332350543796</v>
      </c>
      <c r="GQ277" s="72" t="str">
        <f t="shared" si="1630"/>
        <v>NM</v>
      </c>
      <c r="GR277" s="81">
        <f>GR268/GR265*100</f>
        <v>4</v>
      </c>
      <c r="GS277" s="72">
        <f t="shared" si="1630"/>
        <v>63.523390413812706</v>
      </c>
      <c r="GT277" s="81">
        <f>GT268/GT265*100</f>
        <v>4</v>
      </c>
      <c r="GU277" s="72">
        <f t="shared" si="1630"/>
        <v>0</v>
      </c>
      <c r="GV277" s="81">
        <f>GV268/GV265*100</f>
        <v>4</v>
      </c>
      <c r="GW277" s="72">
        <f>IF(ISERROR(GV277/GT277),"NA",IF(OR(GV277/GT277&gt;2,GV277/GT277&lt;0.5),"NM",GV277/GT277*100-100))</f>
        <v>0</v>
      </c>
      <c r="GX277" s="81">
        <f>GX268/GX265*100</f>
        <v>4</v>
      </c>
      <c r="GY277" s="72">
        <f>IF(ISERROR(GX277/GV277),"NA",IF(OR(GX277/GV277&gt;2,GX277/GV277&lt;0.5),"NM",GX277/GV277*100-100))</f>
        <v>0</v>
      </c>
      <c r="GZ277" s="72"/>
      <c r="HA277" s="72"/>
      <c r="HB277" s="72"/>
      <c r="HC277"/>
      <c r="HD277"/>
      <c r="HE277"/>
      <c r="HF277"/>
      <c r="HG277"/>
      <c r="HH277"/>
      <c r="HI277" s="2"/>
    </row>
    <row r="278" spans="1:217" s="3" customFormat="1" ht="12.75" customHeight="1" x14ac:dyDescent="0.2">
      <c r="B278" s="266" t="s">
        <v>282</v>
      </c>
      <c r="C278" s="73"/>
      <c r="D278" s="72"/>
      <c r="E278" s="73"/>
      <c r="F278" s="72"/>
      <c r="G278" s="73"/>
      <c r="H278" s="72"/>
      <c r="I278" s="73"/>
      <c r="J278" s="72"/>
      <c r="K278" s="73"/>
      <c r="L278" s="72"/>
      <c r="M278" s="73"/>
      <c r="N278" s="72"/>
      <c r="O278" s="73"/>
      <c r="P278" s="72"/>
      <c r="Q278" s="73"/>
      <c r="R278" s="72"/>
      <c r="S278" s="73"/>
      <c r="T278" s="72"/>
      <c r="U278" s="73"/>
      <c r="V278" s="72"/>
      <c r="W278" s="73"/>
      <c r="X278" s="72"/>
      <c r="Y278" s="73"/>
      <c r="Z278" s="72"/>
      <c r="AA278" s="73"/>
      <c r="AB278" s="72"/>
      <c r="AC278" s="73"/>
      <c r="AD278" s="72"/>
      <c r="AE278" s="73"/>
      <c r="AF278" s="72"/>
      <c r="AG278" s="73"/>
      <c r="AH278" s="72"/>
      <c r="AI278" s="73"/>
      <c r="AJ278" s="72"/>
      <c r="AK278" s="73"/>
      <c r="AL278" s="72"/>
      <c r="AM278" s="73"/>
      <c r="AN278" s="72"/>
      <c r="AO278" s="73"/>
      <c r="AP278" s="72"/>
      <c r="AQ278" s="73"/>
      <c r="AR278" s="72"/>
      <c r="AS278" s="73"/>
      <c r="AT278" s="72"/>
      <c r="AU278" s="73"/>
      <c r="AV278" s="72"/>
      <c r="AW278" s="73"/>
      <c r="AX278" s="72"/>
      <c r="AY278" s="265">
        <f>(AY277/4)/AY$25*100</f>
        <v>50.307445491714219</v>
      </c>
      <c r="AZ278" s="72"/>
      <c r="BA278" s="265">
        <f>(BA277/4)/BA$25*100</f>
        <v>19.708140188322695</v>
      </c>
      <c r="BB278" s="72"/>
      <c r="BC278" s="265">
        <f>(BC277/4)/BC$25*100</f>
        <v>77.6813964737822</v>
      </c>
      <c r="BD278" s="72"/>
      <c r="BE278" s="265">
        <f>(BE277/4)/BE$25*100</f>
        <v>63.398585563325717</v>
      </c>
      <c r="BF278" s="72"/>
      <c r="BG278" s="265">
        <f>(BG277/4)/BG$25*100</f>
        <v>1127.1564979578066</v>
      </c>
      <c r="BH278" s="72"/>
      <c r="BI278" s="265">
        <f>(BI277/4)/BI$25*100</f>
        <v>47.469458478861149</v>
      </c>
      <c r="BJ278" s="72"/>
      <c r="BK278" s="265">
        <f>(BK277/4)/BK$25*100</f>
        <v>180.08193664802982</v>
      </c>
      <c r="BL278" s="72"/>
      <c r="BM278" s="265">
        <f>(BM277/4)/BM$25*100</f>
        <v>-17.477735595608127</v>
      </c>
      <c r="BN278" s="72"/>
      <c r="BO278" s="265">
        <f>(BO277/4)/BO$25*100</f>
        <v>19.919603489801592</v>
      </c>
      <c r="BP278" s="72"/>
      <c r="BQ278" s="265">
        <f>(BQ277/4)/BQ$25*100</f>
        <v>5.4224962716331149</v>
      </c>
      <c r="BR278" s="72"/>
      <c r="BS278" s="265">
        <f>(BS277/4)/BS$25*100</f>
        <v>62.442949670996803</v>
      </c>
      <c r="BT278" s="72"/>
      <c r="BU278" s="265">
        <f>(BU277/4)/BU$25*100</f>
        <v>34.767825556062071</v>
      </c>
      <c r="BV278" s="72"/>
      <c r="BW278" s="265">
        <f>(BW277/4)/BW$25*100</f>
        <v>48.689813172728982</v>
      </c>
      <c r="BX278" s="72"/>
      <c r="BY278" s="265">
        <f>(BY277/4)/BY$25*100</f>
        <v>44.732724974302748</v>
      </c>
      <c r="BZ278" s="72"/>
      <c r="CA278" s="265">
        <f>(CA277/4)/CA$25*100</f>
        <v>53.020664082897497</v>
      </c>
      <c r="CB278" s="72"/>
      <c r="CC278" s="265">
        <f>(CC277/4)/CC$25*100</f>
        <v>17.668711895521263</v>
      </c>
      <c r="CD278" s="72"/>
      <c r="CE278" s="265">
        <f>(CE277/4)/CE$25*100</f>
        <v>48.649141947197691</v>
      </c>
      <c r="CF278" s="72"/>
      <c r="CG278" s="265">
        <f>(CG277/4)/CG$25*100</f>
        <v>3.057018483957509</v>
      </c>
      <c r="CH278" s="72"/>
      <c r="CI278" s="265">
        <f>(CI277/4)/CI$25*100</f>
        <v>59.385180993775691</v>
      </c>
      <c r="CJ278" s="72"/>
      <c r="CK278" s="265">
        <f>(CK277/4)/CK$25*100</f>
        <v>16.778046706471279</v>
      </c>
      <c r="CL278" s="72"/>
      <c r="CM278" s="265">
        <f>(CM277/4)/CM$25*100</f>
        <v>49.771678612959228</v>
      </c>
      <c r="CN278" s="72"/>
      <c r="CO278" s="265">
        <f>(CO277/4)/CO$25*100</f>
        <v>-251.08723374730667</v>
      </c>
      <c r="CP278" s="72"/>
      <c r="CQ278" s="265">
        <f>(CQ277/4)/CQ$25*100</f>
        <v>-1.1611893855014932</v>
      </c>
      <c r="CR278" s="72"/>
      <c r="CS278" s="265">
        <f>(CS277/4)/CS$25*100</f>
        <v>25.218903723968744</v>
      </c>
      <c r="CT278" s="72"/>
      <c r="CU278" s="265">
        <f>(CU277/4)/CU$25*100</f>
        <v>27.405842049932733</v>
      </c>
      <c r="CV278" s="72"/>
      <c r="CW278" s="265">
        <f>(CW277/4)/CW$25*100</f>
        <v>-45.46731840102602</v>
      </c>
      <c r="CX278" s="72"/>
      <c r="CY278" s="265">
        <f>(CY277/4)/CY$25*100</f>
        <v>61.4225551533751</v>
      </c>
      <c r="CZ278" s="72"/>
      <c r="DA278" s="265">
        <f>(DA277/4)/DA$25*100</f>
        <v>-75.815011372251689</v>
      </c>
      <c r="DB278" s="72"/>
      <c r="DC278" s="265">
        <f>(DC277/4)/DC$25*100</f>
        <v>7.1331496234447842</v>
      </c>
      <c r="DD278" s="72"/>
      <c r="DE278" s="265">
        <f>(DE277/4)/DE$25*100</f>
        <v>-76.364250263932092</v>
      </c>
      <c r="DF278" s="72"/>
      <c r="DG278" s="265">
        <f>(DG277/4)/DG$25*100</f>
        <v>52.339579189783315</v>
      </c>
      <c r="DH278" s="72"/>
      <c r="DI278" s="265">
        <f>(DI277/4)/DI$25*100</f>
        <v>20.898641588296758</v>
      </c>
      <c r="DJ278" s="72"/>
      <c r="DK278" s="265">
        <f>(DK277/4)/DK$25*100</f>
        <v>204.78689363880704</v>
      </c>
      <c r="DL278" s="72"/>
      <c r="DM278" s="265">
        <f>(DM277/4)/DM$25*100</f>
        <v>70.602105724939676</v>
      </c>
      <c r="DN278" s="72" t="str">
        <f t="shared" si="1625"/>
        <v>NM</v>
      </c>
      <c r="DO278" s="265">
        <f>(DO277/4)/DO$25*100</f>
        <v>-51.519835136527561</v>
      </c>
      <c r="DP278" s="72" t="str">
        <f t="shared" si="1625"/>
        <v>NM</v>
      </c>
      <c r="DQ278" s="265">
        <f>(DQ277/4)/DQ$25*100</f>
        <v>41.103268418516301</v>
      </c>
      <c r="DR278" s="72">
        <f t="shared" si="1625"/>
        <v>96.679139382600511</v>
      </c>
      <c r="DS278" s="265">
        <f>(DS277/4)/DS$25*100</f>
        <v>509.8887515451172</v>
      </c>
      <c r="DT278" s="72" t="str">
        <f t="shared" si="1625"/>
        <v>NM</v>
      </c>
      <c r="DU278" s="265">
        <f>(DU277/4)/DU$25*100</f>
        <v>-374.13947919784476</v>
      </c>
      <c r="DV278" s="72" t="str">
        <f t="shared" si="1625"/>
        <v>NM</v>
      </c>
      <c r="DW278" s="265">
        <f>(DW277/4)/DW$25*100</f>
        <v>6.6801396051639026</v>
      </c>
      <c r="DX278" s="72" t="str">
        <f t="shared" si="1625"/>
        <v>NM</v>
      </c>
      <c r="DY278" s="265">
        <f>(DY277/4)/DY$25*100</f>
        <v>10.40601517138909</v>
      </c>
      <c r="DZ278" s="72" t="str">
        <f t="shared" si="1625"/>
        <v>NM</v>
      </c>
      <c r="EA278" s="265">
        <f>(EA277/4)/EA$25*100</f>
        <v>473.32578434697831</v>
      </c>
      <c r="EB278" s="72">
        <f>IF(ISERROR(EA278/DS278),"NA",IF(OR(EA278/DS278&gt;2,EA278/DS278&lt;0.5),"NM",EA278/DS278*100-100))</f>
        <v>-7.1707734456471286</v>
      </c>
      <c r="EC278" s="265">
        <f>(EC277/4)/EC$25*100</f>
        <v>249.95690677599325</v>
      </c>
      <c r="ED278" s="72" t="str">
        <f>IF(ISERROR(EC278/DU278),"NA",IF(OR(EC278/DU278&gt;2,EC278/DU278&lt;0.5),"NM",EC278/DU278*100-100))</f>
        <v>NM</v>
      </c>
      <c r="EE278" s="265">
        <f>(EE277/4)/EE$25*100</f>
        <v>72.425094926599442</v>
      </c>
      <c r="EF278" s="72" t="str">
        <f>IF(ISERROR(EE278/DW278),"NA",IF(OR(EE278/DW278&gt;2,EE278/DW278&lt;0.5),"NM",EE278/DW278*100-100))</f>
        <v>NM</v>
      </c>
      <c r="EG278" s="265">
        <f>(EG277/4)/EG$25*100</f>
        <v>-81.657477943994749</v>
      </c>
      <c r="EH278" s="72" t="str">
        <f>IF(ISERROR(EG278/DY278),"NA",IF(OR(EG278/DY278&gt;2,EG278/DY278&lt;0.5),"NM",EG278/DY278*100-100))</f>
        <v>NM</v>
      </c>
      <c r="EI278" s="265">
        <f>(EI277/4)/EI$25*100</f>
        <v>44.897133108771534</v>
      </c>
      <c r="EJ278" s="72" t="str">
        <f>IF(ISERROR(EI278/EA278),"NA",IF(OR(EI278/EA278&gt;2,EI278/EA278&lt;0.5),"NM",EI278/EA278*100-100))</f>
        <v>NM</v>
      </c>
      <c r="EK278" s="265">
        <f>(EK277/4)/EK$25*100</f>
        <v>105.35063259610406</v>
      </c>
      <c r="EL278" s="72" t="str">
        <f>IF(ISERROR(EK278/EC278),"NA",IF(OR(EK278/EC278&gt;2,EK278/EC278&lt;0.5),"NM",EK278/EC278*100-100))</f>
        <v>NM</v>
      </c>
      <c r="EM278" s="265">
        <f>(EM277/4)/EM$25*100</f>
        <v>60.96907327008627</v>
      </c>
      <c r="EN278" s="72">
        <f>IF(ISERROR(EM278/EE278),"NA",IF(OR(EM278/EE278&gt;2,EM278/EE278&lt;0.5),"NM",EM278/EE278*100-100))</f>
        <v>-15.8177516620772</v>
      </c>
      <c r="EO278" s="265">
        <f>(EO277/4)/EO$25*100</f>
        <v>32.330455288882114</v>
      </c>
      <c r="EP278" s="72" t="str">
        <f>IF(ISERROR(EO278/EG278),"NA",IF(OR(EO278/EG278&gt;2,EO278/EG278&lt;0.5),"NM",EO278/EG278*100-100))</f>
        <v>NM</v>
      </c>
      <c r="EQ278" s="264">
        <v>50</v>
      </c>
      <c r="ER278" s="72">
        <f t="shared" si="1626"/>
        <v>11.365685374310729</v>
      </c>
      <c r="ES278" s="264">
        <v>50</v>
      </c>
      <c r="ET278" s="72" t="str">
        <f t="shared" si="1627"/>
        <v>NM</v>
      </c>
      <c r="EU278" s="264">
        <v>50</v>
      </c>
      <c r="EV278" s="72">
        <f t="shared" si="1628"/>
        <v>-17.991208791208763</v>
      </c>
      <c r="EW278" s="264">
        <v>50</v>
      </c>
      <c r="EX278" s="72">
        <f t="shared" si="1629"/>
        <v>54.652941176470648</v>
      </c>
      <c r="EY278" s="72"/>
      <c r="EZ278" s="306"/>
      <c r="FA278" s="72"/>
      <c r="FB278" s="73"/>
      <c r="FC278" s="88"/>
      <c r="FD278" s="73"/>
      <c r="FE278" s="72"/>
      <c r="FF278" s="73"/>
      <c r="FG278" s="72"/>
      <c r="FH278" s="73"/>
      <c r="FI278" s="72"/>
      <c r="FJ278" s="73"/>
      <c r="FK278" s="72"/>
      <c r="FL278" s="73"/>
      <c r="FM278" s="72"/>
      <c r="FN278" s="73"/>
      <c r="FO278" s="72"/>
      <c r="FP278" s="265"/>
      <c r="FQ278" s="72"/>
      <c r="FR278" s="73"/>
      <c r="FS278" s="72"/>
      <c r="FT278" s="73"/>
      <c r="FU278" s="72"/>
      <c r="FV278" s="81"/>
      <c r="FW278" s="72"/>
      <c r="FX278" s="265"/>
      <c r="FY278" s="72"/>
      <c r="FZ278" s="265"/>
      <c r="GA278" s="72"/>
      <c r="GB278" s="81"/>
      <c r="GC278" s="72"/>
      <c r="GD278" s="81"/>
      <c r="GE278" s="72"/>
      <c r="GF278" s="81"/>
      <c r="GG278" s="72"/>
      <c r="GH278" s="81"/>
      <c r="GI278" s="72"/>
      <c r="GJ278" s="81"/>
      <c r="GK278" s="72"/>
      <c r="GL278" s="81"/>
      <c r="GM278" s="72"/>
      <c r="GN278" s="81"/>
      <c r="GO278" s="72"/>
      <c r="GP278" s="81"/>
      <c r="GQ278" s="72"/>
      <c r="GR278" s="86">
        <v>50</v>
      </c>
      <c r="GS278" s="72"/>
      <c r="GT278" s="86">
        <v>50</v>
      </c>
      <c r="GU278" s="72"/>
      <c r="GV278" s="86">
        <v>50</v>
      </c>
      <c r="GW278" s="72"/>
      <c r="GX278" s="86">
        <v>50</v>
      </c>
      <c r="GY278" s="72"/>
      <c r="GZ278" s="72"/>
      <c r="HA278" s="72"/>
      <c r="HB278" s="72"/>
      <c r="HC278"/>
      <c r="HD278"/>
      <c r="HE278"/>
      <c r="HF278"/>
      <c r="HG278"/>
      <c r="HH278"/>
      <c r="HI278" s="2"/>
    </row>
    <row r="279" spans="1:217" s="3" customFormat="1" ht="12.75" customHeight="1" x14ac:dyDescent="0.2">
      <c r="B279" s="76"/>
      <c r="C279" s="81"/>
      <c r="D279" s="72"/>
      <c r="E279" s="81"/>
      <c r="F279" s="72"/>
      <c r="G279" s="81"/>
      <c r="H279" s="72"/>
      <c r="I279" s="81"/>
      <c r="J279" s="72"/>
      <c r="K279" s="81"/>
      <c r="L279" s="87"/>
      <c r="M279" s="81"/>
      <c r="N279" s="87"/>
      <c r="O279" s="81"/>
      <c r="P279" s="87"/>
      <c r="Q279" s="81"/>
      <c r="R279" s="87"/>
      <c r="S279" s="81"/>
      <c r="T279" s="87"/>
      <c r="U279" s="81"/>
      <c r="V279" s="87"/>
      <c r="W279" s="81"/>
      <c r="X279" s="87"/>
      <c r="Y279" s="81"/>
      <c r="Z279" s="87"/>
      <c r="AA279" s="81"/>
      <c r="AB279" s="87"/>
      <c r="AC279" s="81"/>
      <c r="AD279" s="87"/>
      <c r="AE279" s="81"/>
      <c r="AF279" s="87"/>
      <c r="AG279" s="81"/>
      <c r="AH279" s="87"/>
      <c r="AI279" s="81"/>
      <c r="AJ279" s="87"/>
      <c r="AK279" s="81"/>
      <c r="AL279" s="87"/>
      <c r="AM279" s="81"/>
      <c r="AN279" s="87"/>
      <c r="AO279" s="81"/>
      <c r="AP279" s="87"/>
      <c r="AQ279" s="81"/>
      <c r="AR279" s="87"/>
      <c r="AS279" s="81"/>
      <c r="AT279" s="87"/>
      <c r="AU279" s="81"/>
      <c r="AV279" s="87"/>
      <c r="AW279" s="81"/>
      <c r="AX279" s="87"/>
      <c r="AY279" s="81"/>
      <c r="AZ279" s="87"/>
      <c r="BA279" s="81"/>
      <c r="BB279" s="87"/>
      <c r="BC279" s="81"/>
      <c r="BD279" s="87"/>
      <c r="BE279" s="81"/>
      <c r="BF279" s="87"/>
      <c r="BG279" s="81"/>
      <c r="BH279" s="87"/>
      <c r="BI279" s="81"/>
      <c r="BJ279" s="87"/>
      <c r="BK279" s="81"/>
      <c r="BL279" s="87"/>
      <c r="BM279" s="81"/>
      <c r="BN279" s="87"/>
      <c r="BO279" s="81"/>
      <c r="BP279" s="87"/>
      <c r="BQ279" s="81"/>
      <c r="BR279" s="87"/>
      <c r="BS279" s="81"/>
      <c r="BT279" s="87"/>
      <c r="BU279" s="81"/>
      <c r="BV279" s="87"/>
      <c r="BW279" s="81"/>
      <c r="BX279" s="72"/>
      <c r="BY279" s="81"/>
      <c r="BZ279" s="72"/>
      <c r="CA279" s="81"/>
      <c r="CB279" s="72"/>
      <c r="CC279" s="81"/>
      <c r="CD279" s="72"/>
      <c r="CE279" s="81"/>
      <c r="CF279" s="72"/>
      <c r="CG279" s="81"/>
      <c r="CH279" s="72"/>
      <c r="CI279" s="81"/>
      <c r="CJ279" s="72"/>
      <c r="CK279" s="81"/>
      <c r="CL279" s="72"/>
      <c r="CM279" s="81"/>
      <c r="CN279" s="72"/>
      <c r="CO279" s="81"/>
      <c r="CP279" s="72"/>
      <c r="CQ279" s="81"/>
      <c r="CR279" s="72"/>
      <c r="CS279" s="81"/>
      <c r="CT279" s="72"/>
      <c r="CU279" s="81"/>
      <c r="CV279" s="72"/>
      <c r="CW279" s="81"/>
      <c r="CX279" s="72"/>
      <c r="CY279" s="81"/>
      <c r="CZ279" s="72"/>
      <c r="DA279" s="81"/>
      <c r="DB279" s="72"/>
      <c r="DC279" s="81"/>
      <c r="DD279" s="72"/>
      <c r="DE279" s="81"/>
      <c r="DF279" s="72"/>
      <c r="DG279" s="81"/>
      <c r="DH279" s="72"/>
      <c r="DI279" s="81"/>
      <c r="DJ279" s="72"/>
      <c r="DK279" s="81"/>
      <c r="DL279" s="72"/>
      <c r="DM279" s="81"/>
      <c r="DN279" s="72"/>
      <c r="DO279" s="81"/>
      <c r="DP279" s="72"/>
      <c r="DQ279" s="81"/>
      <c r="DR279" s="72"/>
      <c r="DS279" s="81"/>
      <c r="DT279" s="72"/>
      <c r="DU279" s="81"/>
      <c r="DV279" s="72"/>
      <c r="DW279" s="81"/>
      <c r="DX279" s="72"/>
      <c r="DY279" s="81"/>
      <c r="DZ279" s="72"/>
      <c r="EA279" s="81"/>
      <c r="EB279" s="72"/>
      <c r="EC279" s="81"/>
      <c r="ED279" s="72"/>
      <c r="EE279" s="81"/>
      <c r="EF279" s="72"/>
      <c r="EG279" s="81"/>
      <c r="EH279" s="72"/>
      <c r="EI279" s="81"/>
      <c r="EJ279" s="72"/>
      <c r="EK279" s="81"/>
      <c r="EL279" s="72"/>
      <c r="EM279" s="81"/>
      <c r="EN279" s="72"/>
      <c r="EO279" s="81"/>
      <c r="EP279" s="72"/>
      <c r="EQ279" s="81"/>
      <c r="ER279" s="72"/>
      <c r="ES279" s="81"/>
      <c r="ET279" s="72"/>
      <c r="EU279" s="81"/>
      <c r="EV279" s="72"/>
      <c r="EW279" s="81"/>
      <c r="EX279" s="72"/>
      <c r="EY279" s="72"/>
      <c r="EZ279" s="309"/>
      <c r="FA279" s="72"/>
      <c r="FB279" s="81"/>
      <c r="FC279" s="72"/>
      <c r="FD279" s="81"/>
      <c r="FE279" s="87"/>
      <c r="FF279" s="81"/>
      <c r="FG279" s="87"/>
      <c r="FH279" s="81"/>
      <c r="FI279" s="87"/>
      <c r="FJ279" s="81"/>
      <c r="FK279" s="87"/>
      <c r="FL279" s="81"/>
      <c r="FM279" s="87"/>
      <c r="FN279" s="81"/>
      <c r="FO279" s="87"/>
      <c r="FP279" s="116"/>
      <c r="FQ279" s="87"/>
      <c r="FR279" s="81"/>
      <c r="FS279" s="87"/>
      <c r="FT279" s="81"/>
      <c r="FU279" s="87"/>
      <c r="FV279" s="81"/>
      <c r="FW279" s="87"/>
      <c r="FX279" s="81"/>
      <c r="FY279" s="87"/>
      <c r="FZ279" s="81"/>
      <c r="GA279" s="87"/>
      <c r="GB279" s="81"/>
      <c r="GC279" s="87"/>
      <c r="GD279" s="81"/>
      <c r="GE279" s="87"/>
      <c r="GF279" s="81"/>
      <c r="GG279" s="87"/>
      <c r="GH279" s="81"/>
      <c r="GI279" s="87"/>
      <c r="GJ279" s="81"/>
      <c r="GK279" s="87"/>
      <c r="GL279" s="81"/>
      <c r="GM279" s="87"/>
      <c r="GN279" s="81"/>
      <c r="GO279" s="87"/>
      <c r="GP279" s="81"/>
      <c r="GQ279" s="87"/>
      <c r="GR279" s="81"/>
      <c r="GS279" s="87"/>
      <c r="GT279" s="81"/>
      <c r="GU279" s="87"/>
      <c r="GV279" s="81"/>
      <c r="GW279" s="87"/>
      <c r="GX279" s="81"/>
      <c r="GY279" s="87"/>
      <c r="GZ279" s="87"/>
      <c r="HA279" s="87"/>
      <c r="HB279" s="87"/>
      <c r="HC279"/>
      <c r="HD279"/>
      <c r="HE279"/>
      <c r="HF279"/>
      <c r="HG279"/>
      <c r="HH279"/>
      <c r="HI279" s="2"/>
    </row>
    <row r="280" spans="1:217" s="3" customFormat="1" ht="12.75" customHeight="1" x14ac:dyDescent="0.2">
      <c r="B280" s="114" t="s">
        <v>109</v>
      </c>
      <c r="C280" s="81"/>
      <c r="D280" s="72"/>
      <c r="E280" s="81"/>
      <c r="F280" s="72"/>
      <c r="G280" s="81"/>
      <c r="H280" s="72"/>
      <c r="I280" s="81"/>
      <c r="J280" s="72"/>
      <c r="K280" s="81"/>
      <c r="L280" s="87"/>
      <c r="M280" s="81"/>
      <c r="N280" s="87"/>
      <c r="O280" s="81"/>
      <c r="P280" s="87"/>
      <c r="Q280" s="81"/>
      <c r="R280" s="87"/>
      <c r="S280" s="81"/>
      <c r="T280" s="87"/>
      <c r="U280" s="81"/>
      <c r="V280" s="87"/>
      <c r="W280" s="81"/>
      <c r="X280" s="87"/>
      <c r="Y280" s="81"/>
      <c r="Z280" s="87"/>
      <c r="AA280" s="81"/>
      <c r="AB280" s="87"/>
      <c r="AC280" s="81"/>
      <c r="AD280" s="87"/>
      <c r="AE280" s="81"/>
      <c r="AF280" s="87"/>
      <c r="AG280" s="81"/>
      <c r="AH280" s="87"/>
      <c r="AI280" s="81"/>
      <c r="AJ280" s="87"/>
      <c r="AK280" s="81"/>
      <c r="AL280" s="87"/>
      <c r="AM280" s="81"/>
      <c r="AN280" s="87"/>
      <c r="AO280" s="81"/>
      <c r="AP280" s="87"/>
      <c r="AQ280" s="81"/>
      <c r="AR280" s="87"/>
      <c r="AS280" s="81"/>
      <c r="AT280" s="87"/>
      <c r="AU280" s="81"/>
      <c r="AV280" s="87"/>
      <c r="AW280" s="81"/>
      <c r="AX280" s="87"/>
      <c r="AY280" s="81"/>
      <c r="AZ280" s="87"/>
      <c r="BA280" s="81"/>
      <c r="BB280" s="87"/>
      <c r="BC280" s="81"/>
      <c r="BD280" s="87"/>
      <c r="BE280" s="81"/>
      <c r="BF280" s="87"/>
      <c r="BG280" s="81"/>
      <c r="BH280" s="87"/>
      <c r="BI280" s="81"/>
      <c r="BJ280" s="87"/>
      <c r="BK280" s="81"/>
      <c r="BL280" s="87"/>
      <c r="BM280" s="81"/>
      <c r="BN280" s="87"/>
      <c r="BO280" s="81"/>
      <c r="BP280" s="87"/>
      <c r="BQ280" s="81"/>
      <c r="BR280" s="87"/>
      <c r="BS280" s="81"/>
      <c r="BT280" s="87"/>
      <c r="BU280" s="81"/>
      <c r="BV280" s="87"/>
      <c r="BW280" s="81"/>
      <c r="BX280" s="72"/>
      <c r="BY280" s="81"/>
      <c r="BZ280" s="72"/>
      <c r="CA280" s="81"/>
      <c r="CB280" s="72"/>
      <c r="CC280" s="81"/>
      <c r="CD280" s="72"/>
      <c r="CE280" s="81"/>
      <c r="CF280" s="72"/>
      <c r="CG280" s="81"/>
      <c r="CH280" s="72"/>
      <c r="CI280" s="81"/>
      <c r="CJ280" s="72"/>
      <c r="CK280" s="81"/>
      <c r="CL280" s="72"/>
      <c r="CM280" s="81"/>
      <c r="CN280" s="72"/>
      <c r="CO280" s="81"/>
      <c r="CP280" s="72"/>
      <c r="CQ280" s="81"/>
      <c r="CR280" s="72"/>
      <c r="CS280" s="81"/>
      <c r="CT280" s="72"/>
      <c r="CU280" s="81"/>
      <c r="CV280" s="72"/>
      <c r="CW280" s="81"/>
      <c r="CX280" s="72"/>
      <c r="CY280" s="81"/>
      <c r="CZ280" s="72"/>
      <c r="DA280" s="81"/>
      <c r="DB280" s="72"/>
      <c r="DC280" s="81"/>
      <c r="DD280" s="72"/>
      <c r="DE280" s="81"/>
      <c r="DF280" s="72"/>
      <c r="DG280" s="81"/>
      <c r="DH280" s="72"/>
      <c r="DI280" s="81"/>
      <c r="DJ280" s="72"/>
      <c r="DK280" s="81"/>
      <c r="DL280" s="72"/>
      <c r="DM280" s="81"/>
      <c r="DN280" s="72"/>
      <c r="DO280" s="81"/>
      <c r="DP280" s="72"/>
      <c r="DQ280" s="81"/>
      <c r="DR280" s="72"/>
      <c r="DS280" s="81"/>
      <c r="DT280" s="72"/>
      <c r="DU280" s="81"/>
      <c r="DV280" s="72"/>
      <c r="DW280" s="81"/>
      <c r="DX280" s="72"/>
      <c r="DY280" s="81"/>
      <c r="DZ280" s="72"/>
      <c r="EA280" s="81"/>
      <c r="EB280" s="72"/>
      <c r="EC280" s="81"/>
      <c r="ED280" s="72"/>
      <c r="EE280" s="81"/>
      <c r="EF280" s="72"/>
      <c r="EG280" s="81"/>
      <c r="EH280" s="72"/>
      <c r="EI280" s="81"/>
      <c r="EJ280" s="72"/>
      <c r="EK280" s="81"/>
      <c r="EL280" s="72"/>
      <c r="EM280" s="81"/>
      <c r="EN280" s="72"/>
      <c r="EO280" s="81"/>
      <c r="EP280" s="72"/>
      <c r="EQ280" s="81"/>
      <c r="ER280" s="72"/>
      <c r="ES280" s="81"/>
      <c r="ET280" s="72"/>
      <c r="EU280" s="81"/>
      <c r="EV280" s="72"/>
      <c r="EW280" s="81"/>
      <c r="EX280" s="72"/>
      <c r="EY280" s="72"/>
      <c r="EZ280" s="309"/>
      <c r="FA280" s="72"/>
      <c r="FB280" s="81"/>
      <c r="FC280" s="72"/>
      <c r="FD280" s="81"/>
      <c r="FE280" s="87"/>
      <c r="FF280" s="81"/>
      <c r="FG280" s="87"/>
      <c r="FH280" s="81"/>
      <c r="FI280" s="87"/>
      <c r="FJ280" s="81"/>
      <c r="FK280" s="87"/>
      <c r="FL280" s="81"/>
      <c r="FM280" s="87"/>
      <c r="FN280" s="81"/>
      <c r="FO280" s="87"/>
      <c r="FP280" s="116"/>
      <c r="FQ280" s="87"/>
      <c r="FR280" s="81"/>
      <c r="FS280" s="87"/>
      <c r="FT280" s="81"/>
      <c r="FU280" s="87"/>
      <c r="FV280" s="81"/>
      <c r="FW280" s="87"/>
      <c r="FX280" s="81"/>
      <c r="FY280" s="87"/>
      <c r="FZ280" s="81"/>
      <c r="GA280" s="87"/>
      <c r="GB280" s="81"/>
      <c r="GC280" s="87"/>
      <c r="GD280" s="81"/>
      <c r="GE280" s="87"/>
      <c r="GF280" s="81"/>
      <c r="GG280" s="87"/>
      <c r="GH280" s="81"/>
      <c r="GI280" s="87"/>
      <c r="GJ280" s="81"/>
      <c r="GK280" s="87"/>
      <c r="GL280" s="81"/>
      <c r="GM280" s="87"/>
      <c r="GN280" s="81"/>
      <c r="GO280" s="87"/>
      <c r="GP280" s="81"/>
      <c r="GQ280" s="87"/>
      <c r="GR280" s="81"/>
      <c r="GS280" s="87"/>
      <c r="GT280" s="81"/>
      <c r="GU280" s="87"/>
      <c r="GV280" s="81"/>
      <c r="GW280" s="87"/>
      <c r="GX280" s="81"/>
      <c r="GY280" s="87"/>
      <c r="GZ280" s="87"/>
      <c r="HA280" s="87"/>
      <c r="HB280" s="87"/>
      <c r="HC280"/>
      <c r="HD280"/>
      <c r="HE280"/>
      <c r="HF280"/>
      <c r="HG280"/>
      <c r="HH280"/>
      <c r="HI280" s="2"/>
    </row>
    <row r="281" spans="1:217" s="3" customFormat="1" ht="12.75" customHeight="1" x14ac:dyDescent="0.2">
      <c r="B281" s="76" t="s">
        <v>599</v>
      </c>
      <c r="C281" s="75"/>
      <c r="D281" s="72"/>
      <c r="E281" s="75"/>
      <c r="F281" s="72"/>
      <c r="G281" s="75"/>
      <c r="H281" s="72"/>
      <c r="I281" s="75"/>
      <c r="J281" s="72"/>
      <c r="K281" s="75"/>
      <c r="L281" s="87"/>
      <c r="M281" s="75"/>
      <c r="N281" s="87"/>
      <c r="O281" s="75"/>
      <c r="P281" s="87"/>
      <c r="Q281" s="75"/>
      <c r="R281" s="87"/>
      <c r="S281" s="75"/>
      <c r="T281" s="87"/>
      <c r="U281" s="75"/>
      <c r="V281" s="87"/>
      <c r="W281" s="75"/>
      <c r="X281" s="87"/>
      <c r="Y281" s="75"/>
      <c r="Z281" s="87"/>
      <c r="AA281" s="75"/>
      <c r="AB281" s="87"/>
      <c r="AC281" s="75"/>
      <c r="AD281" s="87"/>
      <c r="AE281" s="75"/>
      <c r="AF281" s="87"/>
      <c r="AG281" s="75"/>
      <c r="AH281" s="87"/>
      <c r="AI281" s="75"/>
      <c r="AJ281" s="87"/>
      <c r="AK281" s="75"/>
      <c r="AL281" s="87"/>
      <c r="AM281" s="75"/>
      <c r="AN281" s="87"/>
      <c r="AO281" s="75"/>
      <c r="AP281" s="87"/>
      <c r="AQ281" s="75">
        <v>33.200000000000003</v>
      </c>
      <c r="AR281" s="87"/>
      <c r="AS281" s="75">
        <f>AQ287</f>
        <v>32.799999999999997</v>
      </c>
      <c r="AT281" s="87"/>
      <c r="AU281" s="75">
        <f>AS287</f>
        <v>33.6</v>
      </c>
      <c r="AV281" s="87" t="str">
        <f t="shared" ref="AV281:AV289" si="1635">IF(ISERROR(AU281/AM281),"NA",IF(OR(AU281/AM281&gt;2,AU281/AM281&lt;0.5),"NM",AU281/AM281*100-100))</f>
        <v>NA</v>
      </c>
      <c r="AW281" s="75">
        <f>AU287</f>
        <v>36.800000000000004</v>
      </c>
      <c r="AX281" s="87" t="str">
        <f t="shared" ref="AX281:AX289" si="1636">IF(ISERROR(AW281/AO281),"NA",IF(OR(AW281/AO281&gt;2,AW281/AO281&lt;0.5),"NM",AW281/AO281*100-100))</f>
        <v>NA</v>
      </c>
      <c r="AY281" s="75">
        <f>AW287</f>
        <v>38.700000000000003</v>
      </c>
      <c r="AZ281" s="87">
        <f t="shared" ref="AZ281:AZ289" si="1637">IF(ISERROR(AY281/AQ281),"NA",IF(OR(AY281/AQ281&gt;2,AY281/AQ281&lt;0.5),"NM",AY281/AQ281*100-100))</f>
        <v>16.566265060240966</v>
      </c>
      <c r="BA281" s="75">
        <f>AY287</f>
        <v>40.500000000000007</v>
      </c>
      <c r="BB281" s="87">
        <f t="shared" ref="BB281:BB289" si="1638">IF(ISERROR(BA281/AS281),"NA",IF(OR(BA281/AS281&gt;2,BA281/AS281&lt;0.5),"NM",BA281/AS281*100-100))</f>
        <v>23.475609756097597</v>
      </c>
      <c r="BC281" s="75">
        <f>BA287</f>
        <v>40.700000000000003</v>
      </c>
      <c r="BD281" s="87">
        <f t="shared" ref="BD281:BD289" si="1639">IF(ISERROR(BC281/AU281),"NA",IF(OR(BC281/AU281&gt;2,BC281/AU281&lt;0.5),"NM",BC281/AU281*100-100))</f>
        <v>21.130952380952394</v>
      </c>
      <c r="BE281" s="75">
        <f>BC287</f>
        <v>41.3</v>
      </c>
      <c r="BF281" s="87">
        <f t="shared" ref="BF281:BF289" si="1640">IF(ISERROR(BE281/AW281),"NA",IF(OR(BE281/AW281&gt;2,BE281/AW281&lt;0.5),"NM",BE281/AW281*100-100))</f>
        <v>12.22826086956519</v>
      </c>
      <c r="BG281" s="81">
        <f>BE287</f>
        <v>43.4</v>
      </c>
      <c r="BH281" s="87">
        <f t="shared" ref="BH281:BH289" si="1641">IF(ISERROR(BG281/AY281),"NA",IF(OR(BG281/AY281&gt;2,BG281/AY281&lt;0.5),"NM",BG281/AY281*100-100))</f>
        <v>12.144702842377257</v>
      </c>
      <c r="BI281" s="81">
        <f>BG287</f>
        <v>47.699999999999996</v>
      </c>
      <c r="BJ281" s="87">
        <f t="shared" ref="BJ281:BJ289" si="1642">IF(ISERROR(BI281/BA281),"NA",IF(OR(BI281/BA281&gt;2,BI281/BA281&lt;0.5),"NM",BI281/BA281*100-100))</f>
        <v>17.777777777777743</v>
      </c>
      <c r="BK281" s="81">
        <f>BI287</f>
        <v>49.3</v>
      </c>
      <c r="BL281" s="87">
        <f t="shared" ref="BL281:BL289" si="1643">IF(ISERROR(BK281/BC281),"NA",IF(OR(BK281/BC281&gt;2,BK281/BC281&lt;0.5),"NM",BK281/BC281*100-100))</f>
        <v>21.130221130221116</v>
      </c>
      <c r="BM281" s="81">
        <f>BK287</f>
        <v>51.300000000000004</v>
      </c>
      <c r="BN281" s="87">
        <f t="shared" ref="BN281:BN289" si="1644">IF(ISERROR(BM281/BE281),"NA",IF(OR(BM281/BE281&gt;2,BM281/BE281&lt;0.5),"NM",BM281/BE281*100-100))</f>
        <v>24.213075060532702</v>
      </c>
      <c r="BO281" s="81">
        <f>BM287</f>
        <v>50.900000000000006</v>
      </c>
      <c r="BP281" s="87">
        <f t="shared" ref="BP281:BP289" si="1645">IF(ISERROR(BO281/BG281),"NA",IF(OR(BO281/BG281&gt;2,BO281/BG281&lt;0.5),"NM",BO281/BG281*100-100))</f>
        <v>17.281105990783431</v>
      </c>
      <c r="BQ281" s="81">
        <f>BO287</f>
        <v>48.2</v>
      </c>
      <c r="BR281" s="87">
        <f t="shared" ref="BR281:BR289" si="1646">IF(ISERROR(BQ281/BI281),"NA",IF(OR(BQ281/BI281&gt;2,BQ281/BI281&lt;0.5),"NM",BQ281/BI281*100-100))</f>
        <v>1.0482180293501102</v>
      </c>
      <c r="BS281" s="81">
        <f>BQ287</f>
        <v>50.7</v>
      </c>
      <c r="BT281" s="87">
        <f t="shared" ref="BT281:BT289" si="1647">IF(ISERROR(BS281/BK281),"NA",IF(OR(BS281/BK281&gt;2,BS281/BK281&lt;0.5),"NM",BS281/BK281*100-100))</f>
        <v>2.8397565922921046</v>
      </c>
      <c r="BU281" s="81">
        <f>BS287</f>
        <v>43.400000000000006</v>
      </c>
      <c r="BV281" s="87">
        <f t="shared" ref="BV281:BV289" si="1648">IF(ISERROR(BU281/BM281),"NA",IF(OR(BU281/BM281&gt;2,BU281/BM281&lt;0.5),"NM",BU281/BM281*100-100))</f>
        <v>-15.399610136452239</v>
      </c>
      <c r="BW281" s="81">
        <f>BU287</f>
        <v>33.500000000000007</v>
      </c>
      <c r="BX281" s="72">
        <f t="shared" ref="BX281:BX289" si="1649">IF(ISERROR(BW281/BO281),"NA",IF(OR(BW281/BO281&gt;2,BW281/BO281&lt;0.5),"NM",BW281/BO281*100-100))</f>
        <v>-34.18467583497052</v>
      </c>
      <c r="BY281" s="81">
        <f>BW287</f>
        <v>33.500000000000007</v>
      </c>
      <c r="BZ281" s="72">
        <f t="shared" ref="BZ281:BZ289" si="1650">IF(ISERROR(BY281/BQ281),"NA",IF(OR(BY281/BQ281&gt;2,BY281/BQ281&lt;0.5),"NM",BY281/BQ281*100-100))</f>
        <v>-30.497925311203318</v>
      </c>
      <c r="CA281" s="81">
        <f>BY287</f>
        <v>39.500000000000007</v>
      </c>
      <c r="CB281" s="72">
        <f t="shared" ref="CB281:CB289" si="1651">IF(ISERROR(CA281/BS281),"NA",IF(OR(CA281/BS281&gt;2,CA281/BS281&lt;0.5),"NM",CA281/BS281*100-100))</f>
        <v>-22.09072978303746</v>
      </c>
      <c r="CC281" s="81">
        <f>CA287</f>
        <v>47.20000000000001</v>
      </c>
      <c r="CD281" s="72">
        <f t="shared" ref="CD281:CD289" si="1652">IF(ISERROR(CC281/BU281),"NA",IF(OR(CC281/BU281&gt;2,CC281/BU281&lt;0.5),"NM",CC281/BU281*100-100))</f>
        <v>8.7557603686636156</v>
      </c>
      <c r="CE281" s="81">
        <f>CC287</f>
        <v>51.1</v>
      </c>
      <c r="CF281" s="72">
        <f t="shared" ref="CF281:CF289" si="1653">IF(ISERROR(CE281/BW281),"NA",IF(OR(CE281/BW281&gt;2,CE281/BW281&lt;0.5),"NM",CE281/BW281*100-100))</f>
        <v>52.537313432835788</v>
      </c>
      <c r="CG281" s="81">
        <f>CE287</f>
        <v>53.499999999999993</v>
      </c>
      <c r="CH281" s="72">
        <f t="shared" ref="CH281:CH289" si="1654">IF(ISERROR(CG281/BY281),"NA",IF(OR(CG281/BY281&gt;2,CG281/BY281&lt;0.5),"NM",CG281/BY281*100-100))</f>
        <v>59.701492537313385</v>
      </c>
      <c r="CI281" s="81">
        <f>CG287</f>
        <v>49.099999999999994</v>
      </c>
      <c r="CJ281" s="72">
        <f t="shared" ref="CJ281:CT289" si="1655">IF(ISERROR(CI281/CA281),"NA",IF(OR(CI281/CA281&gt;2,CI281/CA281&lt;0.5),"NM",CI281/CA281*100-100))</f>
        <v>24.303797468354404</v>
      </c>
      <c r="CK281" s="81">
        <f>CI287</f>
        <v>55.5</v>
      </c>
      <c r="CL281" s="72">
        <f t="shared" si="1655"/>
        <v>17.584745762711833</v>
      </c>
      <c r="CM281" s="86">
        <v>75.099999999999994</v>
      </c>
      <c r="CN281" s="72">
        <f t="shared" si="1655"/>
        <v>46.96673189823872</v>
      </c>
      <c r="CO281" s="81">
        <f>CM287</f>
        <v>80.7</v>
      </c>
      <c r="CP281" s="72">
        <f t="shared" si="1655"/>
        <v>50.841121495327144</v>
      </c>
      <c r="CQ281" s="81">
        <f>CO287</f>
        <v>82.100000000000009</v>
      </c>
      <c r="CR281" s="72">
        <f t="shared" si="1655"/>
        <v>67.209775967413492</v>
      </c>
      <c r="CS281" s="86">
        <v>72.2</v>
      </c>
      <c r="CT281" s="72">
        <f t="shared" si="1655"/>
        <v>30.090090090090087</v>
      </c>
      <c r="CU281" s="81">
        <f>CS287</f>
        <v>69.600000000000009</v>
      </c>
      <c r="CV281" s="72">
        <f t="shared" ref="CV281:CV289" si="1656">IF(ISERROR(CU281/CM281),"NA",IF(OR(CU281/CM281&gt;2,CU281/CM281&lt;0.5),"NM",CU281/CM281*100-100))</f>
        <v>-7.3235685752330113</v>
      </c>
      <c r="CW281" s="81">
        <f>CU287</f>
        <v>81.100000000000023</v>
      </c>
      <c r="CX281" s="72">
        <f t="shared" ref="CX281:CX289" si="1657">IF(ISERROR(CW281/CO281),"NA",IF(OR(CW281/CO281&gt;2,CW281/CO281&lt;0.5),"NM",CW281/CO281*100-100))</f>
        <v>0.49566294919456766</v>
      </c>
      <c r="CY281" s="81">
        <f>CW287</f>
        <v>81.100000000000023</v>
      </c>
      <c r="CZ281" s="72">
        <f t="shared" ref="CZ281:CZ289" si="1658">IF(ISERROR(CY281/CQ281),"NA",IF(OR(CY281/CQ281&gt;2,CY281/CQ281&lt;0.5),"NM",CY281/CQ281*100-100))</f>
        <v>-1.2180267965895126</v>
      </c>
      <c r="DA281" s="81">
        <f>CY287</f>
        <v>87.800000000000026</v>
      </c>
      <c r="DB281" s="72">
        <f t="shared" ref="DB281:DB289" si="1659">IF(ISERROR(DA281/CS281),"NA",IF(OR(DA281/CS281&gt;2,DA281/CS281&lt;0.5),"NM",DA281/CS281*100-100))</f>
        <v>21.606648199446028</v>
      </c>
      <c r="DC281" s="81">
        <f>DA287</f>
        <v>91.100000000000023</v>
      </c>
      <c r="DD281" s="72">
        <f t="shared" ref="DD281:DD289" si="1660">IF(ISERROR(DC281/CU281),"NA",IF(OR(DC281/CU281&gt;2,DC281/CU281&lt;0.5),"NM",DC281/CU281*100-100))</f>
        <v>30.890804597701162</v>
      </c>
      <c r="DE281" s="81">
        <f>DC287</f>
        <v>97.900000000000034</v>
      </c>
      <c r="DF281" s="72">
        <f t="shared" ref="DF281:DF289" si="1661">IF(ISERROR(DE281/CW281),"NA",IF(OR(DE281/CW281&gt;2,DE281/CW281&lt;0.5),"NM",DE281/CW281*100-100))</f>
        <v>20.715166461159072</v>
      </c>
      <c r="DG281" s="81">
        <f>DE287</f>
        <v>100.40000000000003</v>
      </c>
      <c r="DH281" s="72">
        <f t="shared" ref="DH281:DH289" si="1662">IF(ISERROR(DG281/CY281),"NA",IF(OR(DG281/CY281&gt;2,DG281/CY281&lt;0.5),"NM",DG281/CY281*100-100))</f>
        <v>23.797780517879175</v>
      </c>
      <c r="DI281" s="81">
        <f>DG287</f>
        <v>106.50000000000003</v>
      </c>
      <c r="DJ281" s="72">
        <f t="shared" ref="DJ281:DJ289" si="1663">IF(ISERROR(DI281/DA281),"NA",IF(OR(DI281/DA281&gt;2,DI281/DA281&lt;0.5),"NM",DI281/DA281*100-100))</f>
        <v>21.298405466970394</v>
      </c>
      <c r="DK281" s="81">
        <f>DI287</f>
        <v>115.00000000000003</v>
      </c>
      <c r="DL281" s="72">
        <f t="shared" ref="DL281:DL289" si="1664">IF(ISERROR(DK281/DC281),"NA",IF(OR(DK281/DC281&gt;2,DK281/DC281&lt;0.5),"NM",DK281/DC281*100-100))</f>
        <v>26.234906695938534</v>
      </c>
      <c r="DM281" s="81">
        <f>DK287</f>
        <v>117.00000000000003</v>
      </c>
      <c r="DN281" s="72">
        <f t="shared" ref="DN281:DZ289" si="1665">IF(ISERROR(DM281/DE281),"NA",IF(OR(DM281/DE281&gt;2,DM281/DE281&lt;0.5),"NM",DM281/DE281*100-100))</f>
        <v>19.509703779366689</v>
      </c>
      <c r="DO281" s="81">
        <f>DM287</f>
        <v>122.50000000000003</v>
      </c>
      <c r="DP281" s="72">
        <f t="shared" si="1665"/>
        <v>22.011952191235039</v>
      </c>
      <c r="DQ281" s="81">
        <f>DO287</f>
        <v>122.70000000000003</v>
      </c>
      <c r="DR281" s="72">
        <f t="shared" si="1665"/>
        <v>15.211267605633807</v>
      </c>
      <c r="DS281" s="81">
        <f>DQ287</f>
        <v>126.80000000000003</v>
      </c>
      <c r="DT281" s="72">
        <f t="shared" si="1665"/>
        <v>10.260869565217391</v>
      </c>
      <c r="DU281" s="81">
        <f>DS287</f>
        <v>135.10000000000005</v>
      </c>
      <c r="DV281" s="72">
        <f t="shared" si="1665"/>
        <v>15.470085470085479</v>
      </c>
      <c r="DW281" s="81">
        <f t="shared" ref="DW281:EE281" si="1666">DU287</f>
        <v>135.20000000000007</v>
      </c>
      <c r="DX281" s="72">
        <f t="shared" si="1665"/>
        <v>10.36734693877554</v>
      </c>
      <c r="DY281" s="81">
        <f t="shared" si="1666"/>
        <v>125.90000000000006</v>
      </c>
      <c r="DZ281" s="72">
        <f t="shared" si="1665"/>
        <v>2.607986960065233</v>
      </c>
      <c r="EA281" s="81">
        <f t="shared" si="1666"/>
        <v>128.90000000000006</v>
      </c>
      <c r="EB281" s="72">
        <f t="shared" ref="EB281:EB289" si="1667">IF(ISERROR(EA281/DS281),"NA",IF(OR(EA281/DS281&gt;2,EA281/DS281&lt;0.5),"NM",EA281/DS281*100-100))</f>
        <v>1.6561514195583982</v>
      </c>
      <c r="EC281" s="81">
        <f t="shared" si="1666"/>
        <v>127.80000000000007</v>
      </c>
      <c r="ED281" s="72">
        <f t="shared" ref="ED281:ED289" si="1668">IF(ISERROR(EC281/DU281),"NA",IF(OR(EC281/DU281&gt;2,EC281/DU281&lt;0.5),"NM",EC281/DU281*100-100))</f>
        <v>-5.403404885270163</v>
      </c>
      <c r="EE281" s="81">
        <f t="shared" si="1666"/>
        <v>131.30000000000007</v>
      </c>
      <c r="EF281" s="72">
        <f t="shared" ref="EF281:EF289" si="1669">IF(ISERROR(EE281/DW281),"NA",IF(OR(EE281/DW281&gt;2,EE281/DW281&lt;0.5),"NM",EE281/DW281*100-100))</f>
        <v>-2.8846153846153868</v>
      </c>
      <c r="EG281" s="81">
        <f>EE287</f>
        <v>137.70000000000007</v>
      </c>
      <c r="EH281" s="72">
        <f t="shared" ref="EH281:EH289" si="1670">IF(ISERROR(EG281/DY281),"NA",IF(OR(EG281/DY281&gt;2,EG281/DY281&lt;0.5),"NM",EG281/DY281*100-100))</f>
        <v>9.3725178713264512</v>
      </c>
      <c r="EI281" s="81">
        <f>EG287</f>
        <v>136.60000000000008</v>
      </c>
      <c r="EJ281" s="72">
        <f t="shared" ref="EJ281:EJ289" si="1671">IF(ISERROR(EI281/EA281),"NA",IF(OR(EI281/EA281&gt;2,EI281/EA281&lt;0.5),"NM",EI281/EA281*100-100))</f>
        <v>5.9736229635376219</v>
      </c>
      <c r="EK281" s="81">
        <f>EI287</f>
        <v>144.20000000000007</v>
      </c>
      <c r="EL281" s="72">
        <f t="shared" ref="EL281:EL289" si="1672">IF(ISERROR(EK281/EC281),"NA",IF(OR(EK281/EC281&gt;2,EK281/EC281&lt;0.5),"NM",EK281/EC281*100-100))</f>
        <v>12.832550860719877</v>
      </c>
      <c r="EM281" s="81">
        <f>EK287</f>
        <v>150.00000000000009</v>
      </c>
      <c r="EN281" s="72">
        <f t="shared" ref="EN281:EN289" si="1673">IF(ISERROR(EM281/EE281),"NA",IF(OR(EM281/EE281&gt;2,EM281/EE281&lt;0.5),"NM",EM281/EE281*100-100))</f>
        <v>14.242193450114243</v>
      </c>
      <c r="EO281" s="81">
        <f>EM287</f>
        <v>157.50000000000009</v>
      </c>
      <c r="EP281" s="72">
        <f t="shared" ref="EP281:EP289" si="1674">IF(ISERROR(EO281/EG281),"NA",IF(OR(EO281/EG281&gt;2,EO281/EG281&lt;0.5),"NM",EO281/EG281*100-100))</f>
        <v>14.379084967320253</v>
      </c>
      <c r="EQ281" s="81">
        <f t="shared" ref="EQ281" si="1675">EO287</f>
        <v>164.3000000000001</v>
      </c>
      <c r="ER281" s="72">
        <f t="shared" ref="ER281:ER289" si="1676">IF(ISERROR(EQ281/EI281),"NA",IF(OR(EQ281/EI281&gt;2,EQ281/EI281&lt;0.5),"NM",EQ281/EI281*100-100))</f>
        <v>20.278184480234259</v>
      </c>
      <c r="ES281" s="81">
        <f t="shared" ref="ES281" si="1677">EQ287</f>
        <v>164.0337900000001</v>
      </c>
      <c r="ET281" s="72">
        <f t="shared" ref="ET281:ET289" si="1678">IF(ISERROR(ES281/EK281),"NA",IF(OR(ES281/EK281&gt;2,ES281/EK281&lt;0.5),"NM",ES281/EK281*100-100))</f>
        <v>13.754361997226084</v>
      </c>
      <c r="EU281" s="81">
        <f t="shared" ref="EU281" si="1679">ES287</f>
        <v>166.42177672826639</v>
      </c>
      <c r="EV281" s="72">
        <f t="shared" ref="EV281:EV289" si="1680">IF(ISERROR(EU281/EM281),"NA",IF(OR(EU281/EM281&gt;2,EU281/EM281&lt;0.5),"NM",EU281/EM281*100-100))</f>
        <v>10.947851152177535</v>
      </c>
      <c r="EW281" s="81">
        <f t="shared" ref="EW281" si="1681">EU287</f>
        <v>169.15336582687476</v>
      </c>
      <c r="EX281" s="72">
        <f t="shared" ref="EX281:EX289" si="1682">IF(ISERROR(EW281/EO281),"NA",IF(OR(EW281/EO281&gt;2,EW281/EO281&lt;0.5),"NM",EW281/EO281*100-100))</f>
        <v>7.3989624297616956</v>
      </c>
      <c r="EY281" s="72"/>
      <c r="EZ281" s="309"/>
      <c r="FA281" s="72"/>
      <c r="FB281" s="81"/>
      <c r="FC281" s="72"/>
      <c r="FD281" s="81"/>
      <c r="FE281" s="87"/>
      <c r="FF281" s="81"/>
      <c r="FG281" s="87"/>
      <c r="FH281" s="81"/>
      <c r="FI281" s="87"/>
      <c r="FJ281" s="81"/>
      <c r="FK281" s="87"/>
      <c r="FL281" s="81"/>
      <c r="FM281" s="87"/>
      <c r="FN281" s="81"/>
      <c r="FO281" s="87"/>
      <c r="FP281" s="116">
        <f>AQ281</f>
        <v>33.200000000000003</v>
      </c>
      <c r="FQ281" s="87"/>
      <c r="FR281" s="75">
        <f>FP287</f>
        <v>38.700000000000003</v>
      </c>
      <c r="FS281" s="87">
        <f t="shared" ref="FS281:FS289" si="1683">IF(ISERROR(FR281/FP281),"NA",IF(OR(FR281/FP281&gt;2,FR281/FP281&lt;0.5),"NM",FR281/FP281*100-100))</f>
        <v>16.566265060240966</v>
      </c>
      <c r="FT281" s="75">
        <f>FR287</f>
        <v>43.400000000000006</v>
      </c>
      <c r="FU281" s="87">
        <f t="shared" ref="FU281:FU289" si="1684">IF(ISERROR(FT281/FR281),"NA",IF(OR(FT281/FR281&gt;2,FT281/FR281&lt;0.5),"NM",FT281/FR281*100-100))</f>
        <v>12.144702842377271</v>
      </c>
      <c r="FV281" s="81">
        <f>FT287</f>
        <v>50.900000000000006</v>
      </c>
      <c r="FW281" s="72">
        <f t="shared" ref="FW281:GG286" si="1685">IF(ISERROR(FV281/FT281),"NA",IF(OR(FV281/FT281&gt;2,FV281/FT281&lt;0.5),"NM",FV281/FT281*100-100))</f>
        <v>17.281105990783402</v>
      </c>
      <c r="FX281" s="81">
        <f>FV287</f>
        <v>33.5</v>
      </c>
      <c r="FY281" s="72">
        <f t="shared" si="1685"/>
        <v>-34.184675834970534</v>
      </c>
      <c r="FZ281" s="81">
        <f>FX287</f>
        <v>51.099999999999994</v>
      </c>
      <c r="GA281" s="72">
        <f t="shared" si="1685"/>
        <v>52.537313432835816</v>
      </c>
      <c r="GB281" s="81">
        <f>CM281</f>
        <v>75.099999999999994</v>
      </c>
      <c r="GC281" s="72">
        <f t="shared" si="1685"/>
        <v>46.966731898238748</v>
      </c>
      <c r="GD281" s="81">
        <f>GB287</f>
        <v>69.599999999999994</v>
      </c>
      <c r="GE281" s="72">
        <f t="shared" si="1685"/>
        <v>-7.3235685752330255</v>
      </c>
      <c r="GF281" s="81">
        <f>GD287</f>
        <v>91.1</v>
      </c>
      <c r="GG281" s="72">
        <f t="shared" si="1685"/>
        <v>30.890804597701162</v>
      </c>
      <c r="GH281" s="81">
        <f>GF287</f>
        <v>115.00000000000001</v>
      </c>
      <c r="GI281" s="72">
        <f t="shared" ref="GI281:GU289" si="1686">IF(ISERROR(GH281/GF281),"NA",IF(OR(GH281/GF281&gt;2,GH281/GF281&lt;0.5),"NM",GH281/GF281*100-100))</f>
        <v>26.234906695938548</v>
      </c>
      <c r="GJ281" s="81">
        <f>GH287</f>
        <v>126.80000000000003</v>
      </c>
      <c r="GK281" s="72">
        <f t="shared" si="1686"/>
        <v>10.260869565217391</v>
      </c>
      <c r="GL281" s="81">
        <f>GJ287</f>
        <v>128.90000000000003</v>
      </c>
      <c r="GM281" s="72">
        <f t="shared" si="1686"/>
        <v>1.6561514195583698</v>
      </c>
      <c r="GN281" s="81">
        <f>GL287</f>
        <v>136.60000000000002</v>
      </c>
      <c r="GO281" s="72">
        <f t="shared" si="1686"/>
        <v>5.9736229635376077</v>
      </c>
      <c r="GP281" s="81">
        <f>GN287</f>
        <v>164.3</v>
      </c>
      <c r="GQ281" s="72">
        <f t="shared" si="1686"/>
        <v>20.278184480234245</v>
      </c>
      <c r="GR281" s="81">
        <f>GP287</f>
        <v>172.45833591307695</v>
      </c>
      <c r="GS281" s="72">
        <f t="shared" si="1686"/>
        <v>4.9655118156280764</v>
      </c>
      <c r="GT281" s="81">
        <f>GR287</f>
        <v>181.36524358341617</v>
      </c>
      <c r="GU281" s="72">
        <f t="shared" si="1686"/>
        <v>5.1646721645444416</v>
      </c>
      <c r="GV281" s="81">
        <f>GT287</f>
        <v>189.04764998247822</v>
      </c>
      <c r="GW281" s="72">
        <f t="shared" ref="GW281:GW289" si="1687">IF(ISERROR(GV281/GT281),"NA",IF(OR(GV281/GT281&gt;2,GV281/GT281&lt;0.5),"NM",GV281/GT281*100-100))</f>
        <v>4.2358757649883643</v>
      </c>
      <c r="GX281" s="81">
        <f>GV287</f>
        <v>195.84154341698132</v>
      </c>
      <c r="GY281" s="72">
        <f t="shared" ref="GY281:GY289" si="1688">IF(ISERROR(GX281/GV281),"NA",IF(OR(GX281/GV281&gt;2,GX281/GV281&lt;0.5),"NM",GX281/GV281*100-100))</f>
        <v>3.5937465687263455</v>
      </c>
      <c r="GZ281" s="72">
        <f t="shared" ref="GZ281:GZ289" si="1689">IF(ISERROR(((GX281/GN281)^0.2-1)*100),"NA",IF((((GX281/GN281)^0.2-1)*100)&gt;100,"NM",IF((((GX281/GN281)^0.2-1)*100)&lt;-50,"NM",((GX281/GN281)^0.2-1)*100)))</f>
        <v>7.4708848867173661</v>
      </c>
      <c r="HA281" s="72"/>
      <c r="HB281" s="72"/>
      <c r="HC281"/>
      <c r="HD281"/>
      <c r="HE281"/>
      <c r="HF281"/>
      <c r="HG281"/>
      <c r="HH281"/>
      <c r="HI281" s="2"/>
    </row>
    <row r="282" spans="1:217" s="3" customFormat="1" ht="12.75" customHeight="1" x14ac:dyDescent="0.2">
      <c r="B282" s="76" t="s">
        <v>28</v>
      </c>
      <c r="C282" s="74"/>
      <c r="D282" s="72"/>
      <c r="E282" s="74"/>
      <c r="F282" s="72"/>
      <c r="G282" s="74"/>
      <c r="H282" s="72"/>
      <c r="I282" s="74"/>
      <c r="J282" s="72"/>
      <c r="K282" s="74"/>
      <c r="L282" s="87"/>
      <c r="M282" s="74"/>
      <c r="N282" s="87"/>
      <c r="O282" s="74"/>
      <c r="P282" s="87"/>
      <c r="Q282" s="74"/>
      <c r="R282" s="87"/>
      <c r="S282" s="74"/>
      <c r="T282" s="87"/>
      <c r="U282" s="74"/>
      <c r="V282" s="87"/>
      <c r="W282" s="74"/>
      <c r="X282" s="87"/>
      <c r="Y282" s="74"/>
      <c r="Z282" s="87"/>
      <c r="AA282" s="74"/>
      <c r="AB282" s="87"/>
      <c r="AC282" s="74"/>
      <c r="AD282" s="87"/>
      <c r="AE282" s="74"/>
      <c r="AF282" s="87"/>
      <c r="AG282" s="74"/>
      <c r="AH282" s="87"/>
      <c r="AI282" s="74"/>
      <c r="AJ282" s="87"/>
      <c r="AK282" s="74"/>
      <c r="AL282" s="87"/>
      <c r="AM282" s="74"/>
      <c r="AN282" s="87"/>
      <c r="AO282" s="74"/>
      <c r="AP282" s="87"/>
      <c r="AQ282" s="74">
        <v>1.4</v>
      </c>
      <c r="AR282" s="87"/>
      <c r="AS282" s="74">
        <v>1.6</v>
      </c>
      <c r="AT282" s="87"/>
      <c r="AU282" s="74">
        <v>2.5</v>
      </c>
      <c r="AV282" s="87" t="str">
        <f t="shared" si="1635"/>
        <v>NA</v>
      </c>
      <c r="AW282" s="74">
        <v>3.3</v>
      </c>
      <c r="AX282" s="87" t="str">
        <f t="shared" si="1636"/>
        <v>NA</v>
      </c>
      <c r="AY282" s="74">
        <v>2.7</v>
      </c>
      <c r="AZ282" s="87">
        <f t="shared" si="1637"/>
        <v>92.85714285714289</v>
      </c>
      <c r="BA282" s="74">
        <v>3.3</v>
      </c>
      <c r="BB282" s="87" t="str">
        <f t="shared" si="1638"/>
        <v>NM</v>
      </c>
      <c r="BC282" s="74">
        <v>1.9</v>
      </c>
      <c r="BD282" s="87">
        <f t="shared" si="1639"/>
        <v>-24</v>
      </c>
      <c r="BE282" s="74">
        <v>2.1</v>
      </c>
      <c r="BF282" s="87">
        <f t="shared" si="1640"/>
        <v>-36.363636363636353</v>
      </c>
      <c r="BG282" s="86">
        <v>3</v>
      </c>
      <c r="BH282" s="87">
        <f t="shared" si="1641"/>
        <v>11.1111111111111</v>
      </c>
      <c r="BI282" s="86">
        <v>2.7</v>
      </c>
      <c r="BJ282" s="87">
        <f t="shared" si="1642"/>
        <v>-18.181818181818173</v>
      </c>
      <c r="BK282" s="86">
        <v>2.7</v>
      </c>
      <c r="BL282" s="87">
        <f t="shared" si="1643"/>
        <v>42.105263157894768</v>
      </c>
      <c r="BM282" s="86">
        <v>2.6</v>
      </c>
      <c r="BN282" s="87">
        <f t="shared" si="1644"/>
        <v>23.80952380952381</v>
      </c>
      <c r="BO282" s="86">
        <v>3.5</v>
      </c>
      <c r="BP282" s="87">
        <f t="shared" si="1645"/>
        <v>16.666666666666671</v>
      </c>
      <c r="BQ282" s="86">
        <v>3.8</v>
      </c>
      <c r="BR282" s="87">
        <f t="shared" si="1646"/>
        <v>40.740740740740733</v>
      </c>
      <c r="BS282" s="86">
        <v>4.4000000000000004</v>
      </c>
      <c r="BT282" s="87">
        <f t="shared" si="1647"/>
        <v>62.96296296296299</v>
      </c>
      <c r="BU282" s="86">
        <v>3.4</v>
      </c>
      <c r="BV282" s="87">
        <f t="shared" si="1648"/>
        <v>30.769230769230774</v>
      </c>
      <c r="BW282" s="86">
        <v>3.5</v>
      </c>
      <c r="BX282" s="72">
        <f t="shared" si="1649"/>
        <v>0</v>
      </c>
      <c r="BY282" s="86">
        <v>4.5999999999999996</v>
      </c>
      <c r="BZ282" s="72">
        <f t="shared" si="1650"/>
        <v>21.05263157894737</v>
      </c>
      <c r="CA282" s="86">
        <v>6.1</v>
      </c>
      <c r="CB282" s="72">
        <f t="shared" si="1651"/>
        <v>38.636363636363626</v>
      </c>
      <c r="CC282" s="74">
        <v>4.4000000000000004</v>
      </c>
      <c r="CD282" s="72">
        <f t="shared" si="1652"/>
        <v>29.411764705882348</v>
      </c>
      <c r="CE282" s="86">
        <v>4.8</v>
      </c>
      <c r="CF282" s="72">
        <f t="shared" si="1653"/>
        <v>37.142857142857139</v>
      </c>
      <c r="CG282" s="86">
        <v>6.8</v>
      </c>
      <c r="CH282" s="72">
        <f t="shared" si="1654"/>
        <v>47.826086956521749</v>
      </c>
      <c r="CI282" s="86">
        <v>4.0999999999999996</v>
      </c>
      <c r="CJ282" s="72">
        <f t="shared" si="1655"/>
        <v>-32.786885245901644</v>
      </c>
      <c r="CK282" s="86">
        <v>5.3</v>
      </c>
      <c r="CL282" s="72">
        <f t="shared" si="1655"/>
        <v>20.454545454545439</v>
      </c>
      <c r="CM282" s="86">
        <v>8.1</v>
      </c>
      <c r="CN282" s="72">
        <f t="shared" si="1655"/>
        <v>68.75</v>
      </c>
      <c r="CO282" s="86">
        <v>6.1</v>
      </c>
      <c r="CP282" s="72">
        <f t="shared" si="1655"/>
        <v>-10.294117647058826</v>
      </c>
      <c r="CQ282" s="86">
        <v>7.5</v>
      </c>
      <c r="CR282" s="72">
        <f t="shared" si="1655"/>
        <v>82.926829268292693</v>
      </c>
      <c r="CS282" s="86">
        <v>8.1999999999999993</v>
      </c>
      <c r="CT282" s="72">
        <f t="shared" si="1655"/>
        <v>54.71698113207546</v>
      </c>
      <c r="CU282" s="86">
        <v>9.4</v>
      </c>
      <c r="CV282" s="72">
        <f t="shared" si="1656"/>
        <v>16.049382716049394</v>
      </c>
      <c r="CW282" s="86">
        <v>9.5</v>
      </c>
      <c r="CX282" s="72">
        <f t="shared" si="1657"/>
        <v>55.737704918032819</v>
      </c>
      <c r="CY282" s="86">
        <v>8</v>
      </c>
      <c r="CZ282" s="72">
        <f t="shared" si="1658"/>
        <v>6.6666666666666714</v>
      </c>
      <c r="DA282" s="86">
        <v>10.1</v>
      </c>
      <c r="DB282" s="72">
        <f t="shared" si="1659"/>
        <v>23.170731707317074</v>
      </c>
      <c r="DC282" s="86">
        <v>10.9</v>
      </c>
      <c r="DD282" s="72">
        <f t="shared" si="1660"/>
        <v>15.957446808510639</v>
      </c>
      <c r="DE282" s="86">
        <v>12.4</v>
      </c>
      <c r="DF282" s="72">
        <f t="shared" si="1661"/>
        <v>30.526315789473699</v>
      </c>
      <c r="DG282" s="86">
        <v>7.1</v>
      </c>
      <c r="DH282" s="72">
        <f t="shared" si="1662"/>
        <v>-11.25</v>
      </c>
      <c r="DI282" s="86">
        <v>9.8000000000000007</v>
      </c>
      <c r="DJ282" s="72">
        <f t="shared" si="1663"/>
        <v>-2.9702970297029623</v>
      </c>
      <c r="DK282" s="86">
        <v>8</v>
      </c>
      <c r="DL282" s="72">
        <f t="shared" si="1664"/>
        <v>-26.605504587155977</v>
      </c>
      <c r="DM282" s="86">
        <v>8.4</v>
      </c>
      <c r="DN282" s="72">
        <f t="shared" si="1665"/>
        <v>-32.258064516129025</v>
      </c>
      <c r="DO282" s="86">
        <v>8.5</v>
      </c>
      <c r="DP282" s="72">
        <f t="shared" si="1665"/>
        <v>19.718309859154928</v>
      </c>
      <c r="DQ282" s="86">
        <v>11.9</v>
      </c>
      <c r="DR282" s="72">
        <f t="shared" si="1665"/>
        <v>21.428571428571416</v>
      </c>
      <c r="DS282" s="86">
        <v>13.1</v>
      </c>
      <c r="DT282" s="72">
        <f t="shared" si="1665"/>
        <v>63.75</v>
      </c>
      <c r="DU282" s="86">
        <v>10.3</v>
      </c>
      <c r="DV282" s="72">
        <f t="shared" si="1665"/>
        <v>22.61904761904762</v>
      </c>
      <c r="DW282" s="86">
        <v>8.1999999999999993</v>
      </c>
      <c r="DX282" s="72">
        <f t="shared" si="1665"/>
        <v>-3.5294117647058982</v>
      </c>
      <c r="DY282" s="86">
        <v>9.3000000000000007</v>
      </c>
      <c r="DZ282" s="72">
        <f t="shared" si="1665"/>
        <v>-21.848739495798313</v>
      </c>
      <c r="EA282" s="86">
        <v>10.199999999999999</v>
      </c>
      <c r="EB282" s="72">
        <f t="shared" si="1667"/>
        <v>-22.137404580152676</v>
      </c>
      <c r="EC282" s="86">
        <v>11.5</v>
      </c>
      <c r="ED282" s="72">
        <f t="shared" si="1668"/>
        <v>11.650485436893206</v>
      </c>
      <c r="EE282" s="86">
        <v>10.5</v>
      </c>
      <c r="EF282" s="72">
        <f t="shared" si="1669"/>
        <v>28.048780487804891</v>
      </c>
      <c r="EG282" s="86">
        <v>9.9</v>
      </c>
      <c r="EH282" s="72">
        <f t="shared" si="1670"/>
        <v>6.4516129032257936</v>
      </c>
      <c r="EI282" s="86">
        <v>13</v>
      </c>
      <c r="EJ282" s="72">
        <f t="shared" si="1671"/>
        <v>27.450980392156879</v>
      </c>
      <c r="EK282" s="86">
        <v>10.8</v>
      </c>
      <c r="EL282" s="72">
        <f t="shared" si="1672"/>
        <v>-6.0869565217391255</v>
      </c>
      <c r="EM282" s="86">
        <v>11.9</v>
      </c>
      <c r="EN282" s="72">
        <f t="shared" si="1673"/>
        <v>13.333333333333329</v>
      </c>
      <c r="EO282" s="86">
        <v>14</v>
      </c>
      <c r="EP282" s="72">
        <f t="shared" si="1674"/>
        <v>41.414141414141426</v>
      </c>
      <c r="EQ282" s="86">
        <f t="shared" ref="EQ282" si="1690">EI282*1.05</f>
        <v>13.65</v>
      </c>
      <c r="ER282" s="72">
        <f t="shared" si="1676"/>
        <v>5</v>
      </c>
      <c r="ES282" s="86">
        <f t="shared" ref="ES282" si="1691">EK282*1.05</f>
        <v>11.340000000000002</v>
      </c>
      <c r="ET282" s="72">
        <f t="shared" si="1678"/>
        <v>5</v>
      </c>
      <c r="EU282" s="86">
        <f t="shared" ref="EU282" si="1692">EM282*1.05</f>
        <v>12.495000000000001</v>
      </c>
      <c r="EV282" s="72">
        <f t="shared" si="1680"/>
        <v>5</v>
      </c>
      <c r="EW282" s="86">
        <f t="shared" ref="EW282" si="1693">EO282*1.05</f>
        <v>14.700000000000001</v>
      </c>
      <c r="EX282" s="72">
        <f t="shared" si="1682"/>
        <v>5</v>
      </c>
      <c r="EY282" s="72"/>
      <c r="EZ282" s="309"/>
      <c r="FA282" s="72"/>
      <c r="FB282" s="81"/>
      <c r="FC282" s="72"/>
      <c r="FD282" s="81"/>
      <c r="FE282" s="87"/>
      <c r="FF282" s="81"/>
      <c r="FG282" s="87"/>
      <c r="FH282" s="81"/>
      <c r="FI282" s="87"/>
      <c r="FJ282" s="81"/>
      <c r="FK282" s="87"/>
      <c r="FL282" s="81"/>
      <c r="FM282" s="87"/>
      <c r="FN282" s="81"/>
      <c r="FO282" s="87"/>
      <c r="FP282" s="116">
        <f>AU282+AW282+AS282+AQ282</f>
        <v>8.8000000000000007</v>
      </c>
      <c r="FQ282" s="87"/>
      <c r="FR282" s="75">
        <f>AY282+BA282+BC282+BE282</f>
        <v>10</v>
      </c>
      <c r="FS282" s="87">
        <f t="shared" si="1683"/>
        <v>13.636363636363626</v>
      </c>
      <c r="FT282" s="75">
        <f>BG282+BI282+BK282+BM282</f>
        <v>11</v>
      </c>
      <c r="FU282" s="87">
        <f t="shared" si="1684"/>
        <v>10.000000000000014</v>
      </c>
      <c r="FV282" s="81">
        <f>BO282+BQ282+BS282+BU282</f>
        <v>15.1</v>
      </c>
      <c r="FW282" s="72">
        <f t="shared" si="1685"/>
        <v>37.27272727272728</v>
      </c>
      <c r="FX282" s="81">
        <f>BW282+BY282+CA282+CC282</f>
        <v>18.600000000000001</v>
      </c>
      <c r="FY282" s="72">
        <f t="shared" si="1685"/>
        <v>23.178807947019877</v>
      </c>
      <c r="FZ282" s="81">
        <f>CE282+CG282+CI282+CK282</f>
        <v>21</v>
      </c>
      <c r="GA282" s="72">
        <f t="shared" si="1685"/>
        <v>12.903225806451601</v>
      </c>
      <c r="GB282" s="81">
        <f>CM282+CO282+CQ282+CS282</f>
        <v>29.9</v>
      </c>
      <c r="GC282" s="72">
        <f t="shared" si="1685"/>
        <v>42.380952380952351</v>
      </c>
      <c r="GD282" s="81">
        <f>CU282+CW282+CY282+DA282</f>
        <v>37</v>
      </c>
      <c r="GE282" s="72">
        <f t="shared" si="1685"/>
        <v>23.745819397993316</v>
      </c>
      <c r="GF282" s="81">
        <f>DC282+DE282+DG282+DI282</f>
        <v>40.200000000000003</v>
      </c>
      <c r="GG282" s="72">
        <f t="shared" si="1685"/>
        <v>8.6486486486486456</v>
      </c>
      <c r="GH282" s="81">
        <f>DK282+DM282+DO282+DQ282</f>
        <v>36.799999999999997</v>
      </c>
      <c r="GI282" s="72">
        <f t="shared" si="1686"/>
        <v>-8.457711442786092</v>
      </c>
      <c r="GJ282" s="81">
        <f>DS282+DU282+DW282+DY282</f>
        <v>40.9</v>
      </c>
      <c r="GK282" s="72">
        <f t="shared" si="1686"/>
        <v>11.141304347826093</v>
      </c>
      <c r="GL282" s="81">
        <f>EA282+EC282+EE282+EG282</f>
        <v>42.1</v>
      </c>
      <c r="GM282" s="72">
        <f t="shared" si="1686"/>
        <v>2.9339853300733694</v>
      </c>
      <c r="GN282" s="81">
        <f>EI282+EK282+EM282+EO282</f>
        <v>49.7</v>
      </c>
      <c r="GO282" s="72">
        <f t="shared" si="1686"/>
        <v>18.052256532066508</v>
      </c>
      <c r="GP282" s="81">
        <f>EQ282+ES282+EU282+EW282</f>
        <v>52.185000000000002</v>
      </c>
      <c r="GQ282" s="72">
        <f t="shared" si="1686"/>
        <v>5</v>
      </c>
      <c r="GR282" s="86">
        <f>GP282*1.02</f>
        <v>53.228700000000003</v>
      </c>
      <c r="GS282" s="72">
        <f t="shared" si="1686"/>
        <v>2</v>
      </c>
      <c r="GT282" s="86">
        <f>GR282*1.02</f>
        <v>54.293274000000004</v>
      </c>
      <c r="GU282" s="72">
        <f t="shared" si="1686"/>
        <v>2</v>
      </c>
      <c r="GV282" s="86">
        <f>GT282*1.02</f>
        <v>55.379139480000006</v>
      </c>
      <c r="GW282" s="72">
        <f t="shared" si="1687"/>
        <v>2</v>
      </c>
      <c r="GX282" s="86">
        <f>GV282*1.02</f>
        <v>56.486722269600008</v>
      </c>
      <c r="GY282" s="72">
        <f t="shared" si="1688"/>
        <v>2</v>
      </c>
      <c r="GZ282" s="72">
        <f t="shared" si="1689"/>
        <v>2.593063235330284</v>
      </c>
      <c r="HA282" s="72"/>
      <c r="HB282" s="72"/>
      <c r="HC282"/>
      <c r="HD282"/>
      <c r="HE282"/>
      <c r="HF282"/>
      <c r="HG282"/>
      <c r="HH282"/>
      <c r="HI282" s="2"/>
    </row>
    <row r="283" spans="1:217" s="3" customFormat="1" ht="12.75" customHeight="1" x14ac:dyDescent="0.2">
      <c r="B283" s="76" t="s">
        <v>303</v>
      </c>
      <c r="C283" s="74"/>
      <c r="D283" s="72"/>
      <c r="E283" s="74"/>
      <c r="F283" s="72"/>
      <c r="G283" s="74"/>
      <c r="H283" s="72"/>
      <c r="I283" s="74"/>
      <c r="J283" s="72"/>
      <c r="K283" s="74"/>
      <c r="L283" s="87"/>
      <c r="M283" s="74"/>
      <c r="N283" s="87"/>
      <c r="O283" s="74"/>
      <c r="P283" s="87"/>
      <c r="Q283" s="74"/>
      <c r="R283" s="87"/>
      <c r="S283" s="74"/>
      <c r="T283" s="87"/>
      <c r="U283" s="74"/>
      <c r="V283" s="87"/>
      <c r="W283" s="74"/>
      <c r="X283" s="87"/>
      <c r="Y283" s="74"/>
      <c r="Z283" s="87"/>
      <c r="AA283" s="74"/>
      <c r="AB283" s="87"/>
      <c r="AC283" s="74"/>
      <c r="AD283" s="87"/>
      <c r="AE283" s="74"/>
      <c r="AF283" s="87"/>
      <c r="AG283" s="74"/>
      <c r="AH283" s="87"/>
      <c r="AI283" s="74"/>
      <c r="AJ283" s="87"/>
      <c r="AK283" s="74"/>
      <c r="AL283" s="87"/>
      <c r="AM283" s="74"/>
      <c r="AN283" s="87"/>
      <c r="AO283" s="74"/>
      <c r="AP283" s="87"/>
      <c r="AQ283" s="74">
        <v>-1.9</v>
      </c>
      <c r="AR283" s="87"/>
      <c r="AS283" s="74">
        <v>-2</v>
      </c>
      <c r="AT283" s="87"/>
      <c r="AU283" s="74">
        <v>-2</v>
      </c>
      <c r="AV283" s="87" t="str">
        <f t="shared" si="1635"/>
        <v>NA</v>
      </c>
      <c r="AW283" s="74">
        <v>-2.2999999999999998</v>
      </c>
      <c r="AX283" s="87" t="str">
        <f t="shared" si="1636"/>
        <v>NA</v>
      </c>
      <c r="AY283" s="74">
        <v>-2.2999999999999998</v>
      </c>
      <c r="AZ283" s="87">
        <f t="shared" si="1637"/>
        <v>21.05263157894737</v>
      </c>
      <c r="BA283" s="74">
        <v>-3</v>
      </c>
      <c r="BB283" s="87">
        <f t="shared" si="1638"/>
        <v>50</v>
      </c>
      <c r="BC283" s="74">
        <v>-2.6</v>
      </c>
      <c r="BD283" s="87">
        <f t="shared" si="1639"/>
        <v>30</v>
      </c>
      <c r="BE283" s="74">
        <v>-1.9</v>
      </c>
      <c r="BF283" s="87">
        <f t="shared" si="1640"/>
        <v>-17.391304347826093</v>
      </c>
      <c r="BG283" s="86">
        <v>-2.7</v>
      </c>
      <c r="BH283" s="87">
        <f t="shared" si="1641"/>
        <v>17.391304347826093</v>
      </c>
      <c r="BI283" s="86">
        <v>-3.4</v>
      </c>
      <c r="BJ283" s="87">
        <f t="shared" si="1642"/>
        <v>13.333333333333329</v>
      </c>
      <c r="BK283" s="86">
        <v>-2.4</v>
      </c>
      <c r="BL283" s="87">
        <f t="shared" si="1643"/>
        <v>-7.6923076923076934</v>
      </c>
      <c r="BM283" s="86">
        <v>-2.4</v>
      </c>
      <c r="BN283" s="87">
        <f t="shared" si="1644"/>
        <v>26.315789473684205</v>
      </c>
      <c r="BO283" s="86">
        <v>-2.5</v>
      </c>
      <c r="BP283" s="87">
        <f t="shared" si="1645"/>
        <v>-7.407407407407419</v>
      </c>
      <c r="BQ283" s="86">
        <v>-2.9</v>
      </c>
      <c r="BR283" s="87">
        <f t="shared" si="1646"/>
        <v>-14.705882352941174</v>
      </c>
      <c r="BS283" s="86">
        <v>-4.3</v>
      </c>
      <c r="BT283" s="87">
        <f t="shared" si="1647"/>
        <v>79.166666666666686</v>
      </c>
      <c r="BU283" s="86">
        <v>-5</v>
      </c>
      <c r="BV283" s="87" t="str">
        <f t="shared" si="1648"/>
        <v>NM</v>
      </c>
      <c r="BW283" s="86">
        <v>-3.3</v>
      </c>
      <c r="BX283" s="72">
        <f t="shared" si="1649"/>
        <v>31.999999999999972</v>
      </c>
      <c r="BY283" s="86">
        <v>-2.7</v>
      </c>
      <c r="BZ283" s="72">
        <f t="shared" si="1650"/>
        <v>-6.8965517241379217</v>
      </c>
      <c r="CA283" s="86">
        <v>-3.3</v>
      </c>
      <c r="CB283" s="72">
        <f t="shared" si="1651"/>
        <v>-23.255813953488371</v>
      </c>
      <c r="CC283" s="86">
        <v>-3.2</v>
      </c>
      <c r="CD283" s="72">
        <f t="shared" si="1652"/>
        <v>-36</v>
      </c>
      <c r="CE283" s="86">
        <v>-3.7</v>
      </c>
      <c r="CF283" s="72">
        <f t="shared" si="1653"/>
        <v>12.121212121212139</v>
      </c>
      <c r="CG283" s="86">
        <v>-3.9</v>
      </c>
      <c r="CH283" s="72">
        <f t="shared" si="1654"/>
        <v>44.444444444444429</v>
      </c>
      <c r="CI283" s="86">
        <v>-2.9</v>
      </c>
      <c r="CJ283" s="72">
        <f t="shared" si="1655"/>
        <v>-12.121212121212125</v>
      </c>
      <c r="CK283" s="86">
        <v>-4.0999999999999996</v>
      </c>
      <c r="CL283" s="72">
        <f t="shared" si="1655"/>
        <v>28.124999999999972</v>
      </c>
      <c r="CM283" s="86">
        <v>-5.3</v>
      </c>
      <c r="CN283" s="72">
        <f t="shared" si="1655"/>
        <v>43.243243243243228</v>
      </c>
      <c r="CO283" s="86">
        <v>-6.1</v>
      </c>
      <c r="CP283" s="72">
        <f t="shared" si="1655"/>
        <v>56.410256410256409</v>
      </c>
      <c r="CQ283" s="86">
        <v>-6.8</v>
      </c>
      <c r="CR283" s="72" t="str">
        <f t="shared" si="1655"/>
        <v>NM</v>
      </c>
      <c r="CS283" s="86">
        <v>-6</v>
      </c>
      <c r="CT283" s="72">
        <f t="shared" si="1655"/>
        <v>46.341463414634177</v>
      </c>
      <c r="CU283" s="86">
        <v>-6.1</v>
      </c>
      <c r="CV283" s="72">
        <f t="shared" si="1656"/>
        <v>15.094339622641513</v>
      </c>
      <c r="CW283" s="86">
        <v>-5.9</v>
      </c>
      <c r="CX283" s="72">
        <f t="shared" si="1657"/>
        <v>-3.2786885245901516</v>
      </c>
      <c r="CY283" s="86">
        <v>-5.5</v>
      </c>
      <c r="CZ283" s="72">
        <f t="shared" si="1658"/>
        <v>-19.117647058823522</v>
      </c>
      <c r="DA283" s="86">
        <v>-6.7</v>
      </c>
      <c r="DB283" s="72">
        <f t="shared" si="1659"/>
        <v>11.666666666666671</v>
      </c>
      <c r="DC283" s="86">
        <v>-9.1</v>
      </c>
      <c r="DD283" s="72">
        <f t="shared" si="1660"/>
        <v>49.180327868852459</v>
      </c>
      <c r="DE283" s="86">
        <v>-9.9</v>
      </c>
      <c r="DF283" s="72">
        <f t="shared" si="1661"/>
        <v>67.796610169491515</v>
      </c>
      <c r="DG283" s="86">
        <v>-8.5</v>
      </c>
      <c r="DH283" s="72">
        <f t="shared" si="1662"/>
        <v>54.545454545454533</v>
      </c>
      <c r="DI283" s="86">
        <v>-8.3000000000000007</v>
      </c>
      <c r="DJ283" s="72">
        <f t="shared" si="1663"/>
        <v>23.880597014925371</v>
      </c>
      <c r="DK283" s="86">
        <v>-7.8</v>
      </c>
      <c r="DL283" s="72">
        <f t="shared" si="1664"/>
        <v>-14.285714285714278</v>
      </c>
      <c r="DM283" s="86">
        <v>-7.7</v>
      </c>
      <c r="DN283" s="72">
        <f t="shared" si="1665"/>
        <v>-22.222222222222214</v>
      </c>
      <c r="DO283" s="86">
        <v>-7.3</v>
      </c>
      <c r="DP283" s="72">
        <f t="shared" si="1665"/>
        <v>-14.117647058823536</v>
      </c>
      <c r="DQ283" s="86">
        <v>-9.3000000000000007</v>
      </c>
      <c r="DR283" s="72">
        <f t="shared" si="1665"/>
        <v>12.048192771084331</v>
      </c>
      <c r="DS283" s="86">
        <v>-9.1</v>
      </c>
      <c r="DT283" s="72">
        <f t="shared" si="1665"/>
        <v>16.666666666666671</v>
      </c>
      <c r="DU283" s="86">
        <v>-10.7</v>
      </c>
      <c r="DV283" s="72">
        <f t="shared" si="1665"/>
        <v>38.961038961038952</v>
      </c>
      <c r="DW283" s="86">
        <v>-9.8000000000000007</v>
      </c>
      <c r="DX283" s="72">
        <f t="shared" si="1665"/>
        <v>34.246575342465746</v>
      </c>
      <c r="DY283" s="86">
        <v>-10.5</v>
      </c>
      <c r="DZ283" s="72">
        <f t="shared" si="1665"/>
        <v>12.903225806451601</v>
      </c>
      <c r="EA283" s="86">
        <v>-10.7</v>
      </c>
      <c r="EB283" s="72">
        <f t="shared" si="1667"/>
        <v>17.582417582417591</v>
      </c>
      <c r="EC283" s="86">
        <v>-9.9</v>
      </c>
      <c r="ED283" s="72">
        <f t="shared" si="1668"/>
        <v>-7.4766355140186818</v>
      </c>
      <c r="EE283" s="86">
        <v>-9.6</v>
      </c>
      <c r="EF283" s="72">
        <f t="shared" si="1669"/>
        <v>-2.0408163265306314</v>
      </c>
      <c r="EG283" s="86">
        <v>-11.5</v>
      </c>
      <c r="EH283" s="72">
        <f t="shared" si="1670"/>
        <v>9.5238095238095326</v>
      </c>
      <c r="EI283" s="86">
        <v>-12.9</v>
      </c>
      <c r="EJ283" s="72">
        <f t="shared" si="1671"/>
        <v>20.56074766355141</v>
      </c>
      <c r="EK283" s="86">
        <v>-9.6</v>
      </c>
      <c r="EL283" s="72">
        <f t="shared" si="1672"/>
        <v>-3.0303030303030454</v>
      </c>
      <c r="EM283" s="86">
        <v>-10.6</v>
      </c>
      <c r="EN283" s="72">
        <f t="shared" si="1673"/>
        <v>10.416666666666671</v>
      </c>
      <c r="EO283" s="86">
        <v>-12.5</v>
      </c>
      <c r="EP283" s="72">
        <f t="shared" si="1674"/>
        <v>8.6956521739130324</v>
      </c>
      <c r="EQ283" s="81">
        <f t="shared" ref="EQ283" si="1694">-EQ293*EQ281/400</f>
        <v>-12.733250000000007</v>
      </c>
      <c r="ER283" s="72">
        <f t="shared" si="1676"/>
        <v>-1.2926356589146764</v>
      </c>
      <c r="ES283" s="81">
        <f t="shared" ref="ES283" si="1695">-ES293*ES281/400</f>
        <v>-10.920418751733703</v>
      </c>
      <c r="ET283" s="72">
        <f t="shared" si="1678"/>
        <v>13.754361997226084</v>
      </c>
      <c r="EU283" s="81">
        <f t="shared" ref="EU283" si="1696">-EU293*EU281/400</f>
        <v>-11.760472222130819</v>
      </c>
      <c r="EV283" s="72">
        <f t="shared" si="1680"/>
        <v>10.947851152177535</v>
      </c>
      <c r="EW283" s="81">
        <f t="shared" ref="EW283" si="1697">-EW293*EW281/400</f>
        <v>-13.424870303720214</v>
      </c>
      <c r="EX283" s="72">
        <f t="shared" si="1682"/>
        <v>7.3989624297616956</v>
      </c>
      <c r="EY283" s="72"/>
      <c r="EZ283" s="309"/>
      <c r="FA283" s="72"/>
      <c r="FB283" s="81"/>
      <c r="FC283" s="72"/>
      <c r="FD283" s="81"/>
      <c r="FE283" s="87"/>
      <c r="FF283" s="81"/>
      <c r="FG283" s="87"/>
      <c r="FH283" s="81"/>
      <c r="FI283" s="87"/>
      <c r="FJ283" s="81"/>
      <c r="FK283" s="87"/>
      <c r="FL283" s="81"/>
      <c r="FM283" s="87"/>
      <c r="FN283" s="81"/>
      <c r="FO283" s="87"/>
      <c r="FP283" s="116">
        <f>AU283+AW283+AS283+AQ283</f>
        <v>-8.1999999999999993</v>
      </c>
      <c r="FQ283" s="87"/>
      <c r="FR283" s="75">
        <f>AY283+BA283+BC283+BE283</f>
        <v>-9.8000000000000007</v>
      </c>
      <c r="FS283" s="87">
        <f t="shared" si="1683"/>
        <v>19.512195121951237</v>
      </c>
      <c r="FT283" s="75">
        <f>BG283+BI283+BK283+BM283</f>
        <v>-10.9</v>
      </c>
      <c r="FU283" s="87">
        <f t="shared" si="1684"/>
        <v>11.224489795918373</v>
      </c>
      <c r="FV283" s="81">
        <f>BO283+BQ283+BS283+BU283</f>
        <v>-14.7</v>
      </c>
      <c r="FW283" s="72">
        <f t="shared" si="1685"/>
        <v>34.862385321100902</v>
      </c>
      <c r="FX283" s="81">
        <f>BW283+BY283+CA283+CC283</f>
        <v>-12.5</v>
      </c>
      <c r="FY283" s="72">
        <f t="shared" si="1685"/>
        <v>-14.965986394557817</v>
      </c>
      <c r="FZ283" s="81">
        <f>CE283+CG283+CI283+CK283</f>
        <v>-14.6</v>
      </c>
      <c r="GA283" s="72">
        <f t="shared" si="1685"/>
        <v>16.799999999999997</v>
      </c>
      <c r="GB283" s="81">
        <f>CM283+CO283+CQ283+CS283</f>
        <v>-24.2</v>
      </c>
      <c r="GC283" s="72">
        <f t="shared" si="1685"/>
        <v>65.753424657534254</v>
      </c>
      <c r="GD283" s="81">
        <f>CU283+CW283+CY283+DA283</f>
        <v>-24.2</v>
      </c>
      <c r="GE283" s="72">
        <f t="shared" si="1685"/>
        <v>0</v>
      </c>
      <c r="GF283" s="81">
        <f>DC283+DE283+DG283+DI283</f>
        <v>-35.799999999999997</v>
      </c>
      <c r="GG283" s="72">
        <f t="shared" si="1685"/>
        <v>47.933884297520649</v>
      </c>
      <c r="GH283" s="81">
        <f>DK283+DM283+DO283+DQ283</f>
        <v>-32.1</v>
      </c>
      <c r="GI283" s="72">
        <f t="shared" si="1686"/>
        <v>-10.335195530726253</v>
      </c>
      <c r="GJ283" s="81">
        <f>DS283+DU283+DW283+DY283</f>
        <v>-40.099999999999994</v>
      </c>
      <c r="GK283" s="72">
        <f t="shared" si="1686"/>
        <v>24.922118380062287</v>
      </c>
      <c r="GL283" s="81">
        <f>EA283+EC283+EE283+EG283</f>
        <v>-41.7</v>
      </c>
      <c r="GM283" s="72">
        <f t="shared" si="1686"/>
        <v>3.9900249376558747</v>
      </c>
      <c r="GN283" s="81">
        <f>EI283+EK283+EM283+EO283</f>
        <v>-45.6</v>
      </c>
      <c r="GO283" s="72">
        <f t="shared" si="1686"/>
        <v>9.3525179856114988</v>
      </c>
      <c r="GP283" s="81">
        <f>EQ283+ES283+EU283+EW283</f>
        <v>-48.839011277584746</v>
      </c>
      <c r="GQ283" s="72">
        <f t="shared" si="1686"/>
        <v>7.103094906984083</v>
      </c>
      <c r="GR283" s="81">
        <f>-GR293*GR281/100</f>
        <v>-52.599792453488469</v>
      </c>
      <c r="GS283" s="72">
        <f t="shared" si="1686"/>
        <v>7.700363044879623</v>
      </c>
      <c r="GT283" s="81">
        <f>-GT293*GT281/100</f>
        <v>-55.316399292941931</v>
      </c>
      <c r="GU283" s="72">
        <f t="shared" si="1686"/>
        <v>5.1646721645444416</v>
      </c>
      <c r="GV283" s="81">
        <f>-GV293*GV281/100</f>
        <v>-57.659533244655861</v>
      </c>
      <c r="GW283" s="72">
        <f t="shared" si="1687"/>
        <v>4.2358757649883785</v>
      </c>
      <c r="GX283" s="81">
        <f>-GX293*GX281/100</f>
        <v>-59.731670742179304</v>
      </c>
      <c r="GY283" s="72">
        <f t="shared" si="1688"/>
        <v>3.5937465687263312</v>
      </c>
      <c r="GZ283" s="72">
        <f t="shared" si="1689"/>
        <v>5.5475031361272853</v>
      </c>
      <c r="HA283" s="72"/>
      <c r="HB283" s="72"/>
      <c r="HC283"/>
      <c r="HD283"/>
      <c r="HE283"/>
      <c r="HF283"/>
      <c r="HG283"/>
      <c r="HH283"/>
      <c r="HI283" s="2"/>
    </row>
    <row r="284" spans="1:217" s="3" customFormat="1" ht="12.75" customHeight="1" x14ac:dyDescent="0.2">
      <c r="B284" s="76" t="s">
        <v>421</v>
      </c>
      <c r="C284" s="74"/>
      <c r="D284" s="72"/>
      <c r="E284" s="74"/>
      <c r="F284" s="72"/>
      <c r="G284" s="74"/>
      <c r="H284" s="72"/>
      <c r="I284" s="74"/>
      <c r="J284" s="72"/>
      <c r="K284" s="74"/>
      <c r="L284" s="87"/>
      <c r="M284" s="74"/>
      <c r="N284" s="87"/>
      <c r="O284" s="74"/>
      <c r="P284" s="87"/>
      <c r="Q284" s="74"/>
      <c r="R284" s="87"/>
      <c r="S284" s="74"/>
      <c r="T284" s="87"/>
      <c r="U284" s="74"/>
      <c r="V284" s="87"/>
      <c r="W284" s="74"/>
      <c r="X284" s="87"/>
      <c r="Y284" s="74"/>
      <c r="Z284" s="87"/>
      <c r="AA284" s="74"/>
      <c r="AB284" s="87"/>
      <c r="AC284" s="74"/>
      <c r="AD284" s="87"/>
      <c r="AE284" s="74"/>
      <c r="AF284" s="87"/>
      <c r="AG284" s="74"/>
      <c r="AH284" s="87"/>
      <c r="AI284" s="74"/>
      <c r="AJ284" s="87"/>
      <c r="AK284" s="74"/>
      <c r="AL284" s="87"/>
      <c r="AM284" s="74"/>
      <c r="AN284" s="87"/>
      <c r="AO284" s="74"/>
      <c r="AP284" s="87"/>
      <c r="AQ284" s="74">
        <v>-0.8</v>
      </c>
      <c r="AR284" s="87"/>
      <c r="AS284" s="74">
        <v>1.7</v>
      </c>
      <c r="AT284" s="87"/>
      <c r="AU284" s="74">
        <v>2.2000000000000002</v>
      </c>
      <c r="AV284" s="87" t="str">
        <f t="shared" si="1635"/>
        <v>NA</v>
      </c>
      <c r="AW284" s="74">
        <v>1</v>
      </c>
      <c r="AX284" s="87" t="str">
        <f t="shared" si="1636"/>
        <v>NA</v>
      </c>
      <c r="AY284" s="74">
        <v>1.3</v>
      </c>
      <c r="AZ284" s="87" t="str">
        <f t="shared" si="1637"/>
        <v>NM</v>
      </c>
      <c r="BA284" s="74">
        <v>-1</v>
      </c>
      <c r="BB284" s="87" t="str">
        <f t="shared" si="1638"/>
        <v>NM</v>
      </c>
      <c r="BC284" s="74">
        <v>1.3</v>
      </c>
      <c r="BD284" s="87">
        <f t="shared" si="1639"/>
        <v>-40.909090909090921</v>
      </c>
      <c r="BE284" s="74">
        <v>2</v>
      </c>
      <c r="BF284" s="87">
        <f t="shared" si="1640"/>
        <v>100</v>
      </c>
      <c r="BG284" s="86">
        <v>1.1000000000000001</v>
      </c>
      <c r="BH284" s="87">
        <f t="shared" si="1641"/>
        <v>-15.384615384615387</v>
      </c>
      <c r="BI284" s="86">
        <v>2.2999999999999998</v>
      </c>
      <c r="BJ284" s="87" t="str">
        <f t="shared" si="1642"/>
        <v>NM</v>
      </c>
      <c r="BK284" s="86">
        <v>1.7</v>
      </c>
      <c r="BL284" s="87">
        <f t="shared" si="1643"/>
        <v>30.769230769230774</v>
      </c>
      <c r="BM284" s="86">
        <v>-0.2</v>
      </c>
      <c r="BN284" s="87" t="str">
        <f t="shared" si="1644"/>
        <v>NM</v>
      </c>
      <c r="BO284" s="86">
        <v>-4</v>
      </c>
      <c r="BP284" s="87" t="str">
        <f t="shared" si="1645"/>
        <v>NM</v>
      </c>
      <c r="BQ284" s="86">
        <v>1.9</v>
      </c>
      <c r="BR284" s="87">
        <f t="shared" si="1646"/>
        <v>-17.391304347826093</v>
      </c>
      <c r="BS284" s="86">
        <v>-7.5</v>
      </c>
      <c r="BT284" s="87" t="str">
        <f t="shared" si="1647"/>
        <v>NM</v>
      </c>
      <c r="BU284" s="86">
        <v>-8.4</v>
      </c>
      <c r="BV284" s="87" t="str">
        <f t="shared" si="1648"/>
        <v>NM</v>
      </c>
      <c r="BW284" s="86">
        <v>-0.7</v>
      </c>
      <c r="BX284" s="72" t="str">
        <f t="shared" si="1649"/>
        <v>NM</v>
      </c>
      <c r="BY284" s="86">
        <v>4.5</v>
      </c>
      <c r="BZ284" s="72" t="str">
        <f t="shared" si="1650"/>
        <v>NM</v>
      </c>
      <c r="CA284" s="86">
        <v>5.0999999999999996</v>
      </c>
      <c r="CB284" s="72" t="str">
        <f t="shared" si="1651"/>
        <v>NM</v>
      </c>
      <c r="CC284" s="86">
        <v>2.9</v>
      </c>
      <c r="CD284" s="72" t="str">
        <f t="shared" si="1652"/>
        <v>NM</v>
      </c>
      <c r="CE284" s="86">
        <v>1.5</v>
      </c>
      <c r="CF284" s="72" t="str">
        <f t="shared" si="1653"/>
        <v>NM</v>
      </c>
      <c r="CG284" s="86">
        <v>-4.9000000000000004</v>
      </c>
      <c r="CH284" s="72" t="str">
        <f t="shared" si="1654"/>
        <v>NM</v>
      </c>
      <c r="CI284" s="86">
        <v>5.2</v>
      </c>
      <c r="CJ284" s="72">
        <f t="shared" si="1655"/>
        <v>1.9607843137255117</v>
      </c>
      <c r="CK284" s="86">
        <v>4.9000000000000004</v>
      </c>
      <c r="CL284" s="72">
        <f t="shared" si="1655"/>
        <v>68.965517241379331</v>
      </c>
      <c r="CM284" s="86">
        <v>3</v>
      </c>
      <c r="CN284" s="72">
        <f t="shared" si="1655"/>
        <v>100</v>
      </c>
      <c r="CO284" s="86">
        <v>1.2</v>
      </c>
      <c r="CP284" s="72" t="str">
        <f t="shared" si="1655"/>
        <v>NM</v>
      </c>
      <c r="CQ284" s="86">
        <v>-9.1</v>
      </c>
      <c r="CR284" s="72" t="str">
        <f t="shared" si="1655"/>
        <v>NM</v>
      </c>
      <c r="CS284" s="86">
        <v>5.2</v>
      </c>
      <c r="CT284" s="72">
        <f t="shared" si="1655"/>
        <v>6.1224489795918373</v>
      </c>
      <c r="CU284" s="86">
        <v>8.1999999999999993</v>
      </c>
      <c r="CV284" s="72" t="str">
        <f t="shared" si="1656"/>
        <v>NM</v>
      </c>
      <c r="CW284" s="86">
        <v>-3.6</v>
      </c>
      <c r="CX284" s="72" t="str">
        <f t="shared" si="1657"/>
        <v>NM</v>
      </c>
      <c r="CY284" s="86">
        <v>4.3</v>
      </c>
      <c r="CZ284" s="72" t="str">
        <f t="shared" si="1658"/>
        <v>NM</v>
      </c>
      <c r="DA284" s="86">
        <v>-0.1</v>
      </c>
      <c r="DB284" s="72" t="str">
        <f t="shared" si="1659"/>
        <v>NM</v>
      </c>
      <c r="DC284" s="86">
        <v>5</v>
      </c>
      <c r="DD284" s="72">
        <f t="shared" si="1660"/>
        <v>-39.024390243902431</v>
      </c>
      <c r="DE284" s="86">
        <v>0</v>
      </c>
      <c r="DF284" s="72" t="str">
        <f t="shared" si="1661"/>
        <v>NM</v>
      </c>
      <c r="DG284" s="86">
        <v>7.5</v>
      </c>
      <c r="DH284" s="72">
        <f t="shared" si="1662"/>
        <v>74.418604651162781</v>
      </c>
      <c r="DI284" s="86">
        <v>7</v>
      </c>
      <c r="DJ284" s="72" t="str">
        <f t="shared" si="1663"/>
        <v>NM</v>
      </c>
      <c r="DK284" s="86">
        <v>1.8</v>
      </c>
      <c r="DL284" s="72" t="str">
        <f t="shared" si="1664"/>
        <v>NM</v>
      </c>
      <c r="DM284" s="86">
        <v>4.8</v>
      </c>
      <c r="DN284" s="72" t="str">
        <f t="shared" si="1665"/>
        <v>NA</v>
      </c>
      <c r="DO284" s="86">
        <v>-1</v>
      </c>
      <c r="DP284" s="72" t="str">
        <f t="shared" si="1665"/>
        <v>NM</v>
      </c>
      <c r="DQ284" s="86">
        <v>1.6</v>
      </c>
      <c r="DR284" s="72" t="str">
        <f t="shared" si="1665"/>
        <v>NM</v>
      </c>
      <c r="DS284" s="86">
        <v>4.3</v>
      </c>
      <c r="DT284" s="72" t="str">
        <f t="shared" si="1665"/>
        <v>NM</v>
      </c>
      <c r="DU284" s="86">
        <v>0.5</v>
      </c>
      <c r="DV284" s="72" t="str">
        <f t="shared" si="1665"/>
        <v>NM</v>
      </c>
      <c r="DW284" s="86">
        <v>-7.6</v>
      </c>
      <c r="DX284" s="72" t="str">
        <f t="shared" si="1665"/>
        <v>NM</v>
      </c>
      <c r="DY284" s="86">
        <v>4.2</v>
      </c>
      <c r="DZ284" s="72" t="str">
        <f t="shared" si="1665"/>
        <v>NM</v>
      </c>
      <c r="EA284" s="86">
        <v>-1.2</v>
      </c>
      <c r="EB284" s="72" t="str">
        <f t="shared" si="1667"/>
        <v>NM</v>
      </c>
      <c r="EC284" s="86">
        <v>1.9</v>
      </c>
      <c r="ED284" s="72" t="str">
        <f t="shared" si="1668"/>
        <v>NM</v>
      </c>
      <c r="EE284" s="86">
        <v>5.5</v>
      </c>
      <c r="EF284" s="72" t="str">
        <f t="shared" si="1669"/>
        <v>NM</v>
      </c>
      <c r="EG284" s="86">
        <v>-1.7</v>
      </c>
      <c r="EH284" s="72" t="str">
        <f t="shared" si="1670"/>
        <v>NM</v>
      </c>
      <c r="EI284" s="86">
        <v>7.4</v>
      </c>
      <c r="EJ284" s="72" t="str">
        <f t="shared" si="1671"/>
        <v>NM</v>
      </c>
      <c r="EK284" s="86">
        <v>4.5999999999999996</v>
      </c>
      <c r="EL284" s="72" t="str">
        <f t="shared" si="1672"/>
        <v>NM</v>
      </c>
      <c r="EM284" s="86">
        <v>6.2</v>
      </c>
      <c r="EN284" s="72">
        <f t="shared" si="1673"/>
        <v>12.72727272727272</v>
      </c>
      <c r="EO284" s="86">
        <v>5.3</v>
      </c>
      <c r="EP284" s="72" t="str">
        <f t="shared" si="1674"/>
        <v>NM</v>
      </c>
      <c r="EQ284" s="81">
        <f t="shared" ref="EQ284" si="1698">EQ281*(EQ295/100*EQ$25/100)</f>
        <v>-1.1829600000000007</v>
      </c>
      <c r="ER284" s="72" t="str">
        <f t="shared" si="1676"/>
        <v>NM</v>
      </c>
      <c r="ES284" s="81">
        <f t="shared" ref="ES284" si="1699">ES281*(ES295/100*ES$25/100)</f>
        <v>1.9684054800000013</v>
      </c>
      <c r="ET284" s="72" t="str">
        <f t="shared" si="1678"/>
        <v>NM</v>
      </c>
      <c r="EU284" s="81">
        <f t="shared" ref="EU284" si="1700">EU281*(EU295/100*EU$25/100)</f>
        <v>1.9970613207391967</v>
      </c>
      <c r="EV284" s="72" t="str">
        <f t="shared" si="1680"/>
        <v>NM</v>
      </c>
      <c r="EW284" s="81">
        <f t="shared" ref="EW284" si="1701">EW281*(EW295/100*EW$25/100)</f>
        <v>2.029840389922497</v>
      </c>
      <c r="EX284" s="72" t="str">
        <f t="shared" si="1682"/>
        <v>NM</v>
      </c>
      <c r="EY284" s="72"/>
      <c r="EZ284" s="309"/>
      <c r="FA284" s="72"/>
      <c r="FB284" s="81"/>
      <c r="FC284" s="72"/>
      <c r="FD284" s="81"/>
      <c r="FE284" s="87"/>
      <c r="FF284" s="81"/>
      <c r="FG284" s="87"/>
      <c r="FH284" s="81"/>
      <c r="FI284" s="87"/>
      <c r="FJ284" s="81"/>
      <c r="FK284" s="87"/>
      <c r="FL284" s="81"/>
      <c r="FM284" s="87"/>
      <c r="FN284" s="81"/>
      <c r="FO284" s="87"/>
      <c r="FP284" s="116">
        <f>AU284+AW284+AS284+AQ284</f>
        <v>4.1000000000000005</v>
      </c>
      <c r="FQ284" s="87"/>
      <c r="FR284" s="75">
        <f>AY284+BA284+BC284+BE284</f>
        <v>3.6</v>
      </c>
      <c r="FS284" s="87">
        <f t="shared" si="1683"/>
        <v>-12.195121951219519</v>
      </c>
      <c r="FT284" s="75">
        <f>BG284+BI284+BK284+BM284</f>
        <v>4.8999999999999995</v>
      </c>
      <c r="FU284" s="87">
        <f t="shared" si="1684"/>
        <v>36.111111111111086</v>
      </c>
      <c r="FV284" s="81">
        <f>BO284+BQ284+BS284+BU284</f>
        <v>-18</v>
      </c>
      <c r="FW284" s="72" t="str">
        <f t="shared" si="1685"/>
        <v>NM</v>
      </c>
      <c r="FX284" s="81">
        <f>BW284+BY284+CA284+CC284</f>
        <v>11.799999999999999</v>
      </c>
      <c r="FY284" s="72" t="str">
        <f t="shared" si="1685"/>
        <v>NM</v>
      </c>
      <c r="FZ284" s="81">
        <f>CE284+CG284+CI284+CK284</f>
        <v>6.7</v>
      </c>
      <c r="GA284" s="72">
        <f t="shared" si="1685"/>
        <v>-43.220338983050844</v>
      </c>
      <c r="GB284" s="81">
        <f>CM284+CO284+CQ284+CS284</f>
        <v>0.30000000000000071</v>
      </c>
      <c r="GC284" s="72" t="str">
        <f t="shared" si="1685"/>
        <v>NM</v>
      </c>
      <c r="GD284" s="81">
        <f>CU284+CW284+CY284+DA284</f>
        <v>8.7999999999999989</v>
      </c>
      <c r="GE284" s="72" t="str">
        <f t="shared" si="1685"/>
        <v>NM</v>
      </c>
      <c r="GF284" s="81">
        <f>DC284+DE284+DG284+DI284</f>
        <v>19.5</v>
      </c>
      <c r="GG284" s="72" t="str">
        <f t="shared" si="1685"/>
        <v>NM</v>
      </c>
      <c r="GH284" s="81">
        <f>DK284+DM284+DO284+DQ284</f>
        <v>7.1999999999999993</v>
      </c>
      <c r="GI284" s="72" t="str">
        <f t="shared" si="1686"/>
        <v>NM</v>
      </c>
      <c r="GJ284" s="81">
        <f>DS284+DU284+DW284+DY284</f>
        <v>1.4000000000000004</v>
      </c>
      <c r="GK284" s="72" t="str">
        <f t="shared" si="1686"/>
        <v>NM</v>
      </c>
      <c r="GL284" s="81">
        <f>EA284+EC284+EE284+EG284</f>
        <v>4.5</v>
      </c>
      <c r="GM284" s="72" t="str">
        <f t="shared" si="1686"/>
        <v>NM</v>
      </c>
      <c r="GN284" s="81">
        <f>EI284+EK284+EM284+EO284</f>
        <v>23.5</v>
      </c>
      <c r="GO284" s="72" t="str">
        <f t="shared" si="1686"/>
        <v>NM</v>
      </c>
      <c r="GP284" s="81">
        <f>EQ284+ES284+EU284+EW284</f>
        <v>4.8123471906616944</v>
      </c>
      <c r="GQ284" s="72" t="str">
        <f t="shared" si="1686"/>
        <v>NM</v>
      </c>
      <c r="GR284" s="81">
        <f>GR281*(GR295/100*GR$25/100)</f>
        <v>8.2780001238276935</v>
      </c>
      <c r="GS284" s="72">
        <f t="shared" si="1686"/>
        <v>72.015854132284119</v>
      </c>
      <c r="GT284" s="81">
        <f>GT281*(GT295/100*GT$25/100)</f>
        <v>8.7055316920039765</v>
      </c>
      <c r="GU284" s="72">
        <f t="shared" si="1686"/>
        <v>5.1646721645444416</v>
      </c>
      <c r="GV284" s="81">
        <f>GV281*(GV295/100*GV$25/100)</f>
        <v>9.0742871991589542</v>
      </c>
      <c r="GW284" s="72">
        <f t="shared" si="1687"/>
        <v>4.2358757649883643</v>
      </c>
      <c r="GX284" s="81">
        <f>GX281*(GX295/100*GX$25/100)</f>
        <v>9.4003940840151046</v>
      </c>
      <c r="GY284" s="72">
        <f t="shared" si="1688"/>
        <v>3.5937465687263455</v>
      </c>
      <c r="GZ284" s="72">
        <f t="shared" si="1689"/>
        <v>-16.743981195112934</v>
      </c>
      <c r="HA284" s="72"/>
      <c r="HB284" s="72"/>
      <c r="HC284"/>
      <c r="HD284"/>
      <c r="HE284"/>
      <c r="HF284"/>
      <c r="HG284"/>
      <c r="HH284"/>
      <c r="HI284" s="2"/>
    </row>
    <row r="285" spans="1:217" s="3" customFormat="1" ht="12.75" customHeight="1" x14ac:dyDescent="0.2">
      <c r="B285" s="76" t="s">
        <v>426</v>
      </c>
      <c r="C285" s="74"/>
      <c r="D285" s="72"/>
      <c r="E285" s="74"/>
      <c r="F285" s="72"/>
      <c r="G285" s="74"/>
      <c r="H285" s="72"/>
      <c r="I285" s="74"/>
      <c r="J285" s="72"/>
      <c r="K285" s="74"/>
      <c r="L285" s="87"/>
      <c r="M285" s="74"/>
      <c r="N285" s="87"/>
      <c r="O285" s="74"/>
      <c r="P285" s="87"/>
      <c r="Q285" s="74"/>
      <c r="R285" s="87"/>
      <c r="S285" s="74"/>
      <c r="T285" s="87"/>
      <c r="U285" s="74"/>
      <c r="V285" s="87"/>
      <c r="W285" s="74"/>
      <c r="X285" s="87"/>
      <c r="Y285" s="74"/>
      <c r="Z285" s="87"/>
      <c r="AA285" s="74"/>
      <c r="AB285" s="87"/>
      <c r="AC285" s="74"/>
      <c r="AD285" s="87"/>
      <c r="AE285" s="74"/>
      <c r="AF285" s="87"/>
      <c r="AG285" s="74"/>
      <c r="AH285" s="87"/>
      <c r="AI285" s="74"/>
      <c r="AJ285" s="87"/>
      <c r="AK285" s="74"/>
      <c r="AL285" s="87"/>
      <c r="AM285" s="74"/>
      <c r="AN285" s="87"/>
      <c r="AO285" s="74"/>
      <c r="AP285" s="87"/>
      <c r="AQ285" s="74">
        <v>0.1</v>
      </c>
      <c r="AR285" s="87"/>
      <c r="AS285" s="74">
        <v>-0.1</v>
      </c>
      <c r="AT285" s="87"/>
      <c r="AU285" s="74">
        <v>0</v>
      </c>
      <c r="AV285" s="87" t="str">
        <f t="shared" si="1635"/>
        <v>NA</v>
      </c>
      <c r="AW285" s="74">
        <v>0.1</v>
      </c>
      <c r="AX285" s="87" t="str">
        <f t="shared" si="1636"/>
        <v>NA</v>
      </c>
      <c r="AY285" s="74">
        <v>0.1</v>
      </c>
      <c r="AZ285" s="87">
        <f t="shared" si="1637"/>
        <v>0</v>
      </c>
      <c r="BA285" s="74">
        <v>0.9</v>
      </c>
      <c r="BB285" s="87" t="str">
        <f t="shared" si="1638"/>
        <v>NM</v>
      </c>
      <c r="BC285" s="74">
        <v>0</v>
      </c>
      <c r="BD285" s="87" t="str">
        <f t="shared" si="1639"/>
        <v>NA</v>
      </c>
      <c r="BE285" s="74">
        <v>-0.1</v>
      </c>
      <c r="BF285" s="87" t="str">
        <f t="shared" si="1640"/>
        <v>NM</v>
      </c>
      <c r="BG285" s="86">
        <v>0.1</v>
      </c>
      <c r="BH285" s="87">
        <f t="shared" si="1641"/>
        <v>0</v>
      </c>
      <c r="BI285" s="86">
        <v>0</v>
      </c>
      <c r="BJ285" s="87" t="str">
        <f t="shared" si="1642"/>
        <v>NM</v>
      </c>
      <c r="BK285" s="86">
        <v>0</v>
      </c>
      <c r="BL285" s="87" t="str">
        <f t="shared" si="1643"/>
        <v>NA</v>
      </c>
      <c r="BM285" s="86">
        <v>-0.6</v>
      </c>
      <c r="BN285" s="87" t="str">
        <f t="shared" si="1644"/>
        <v>NM</v>
      </c>
      <c r="BO285" s="86">
        <v>0.3</v>
      </c>
      <c r="BP285" s="87" t="str">
        <f t="shared" si="1645"/>
        <v>NM</v>
      </c>
      <c r="BQ285" s="86">
        <v>-0.3</v>
      </c>
      <c r="BR285" s="87" t="str">
        <f t="shared" si="1646"/>
        <v>NA</v>
      </c>
      <c r="BS285" s="86">
        <v>0.1</v>
      </c>
      <c r="BT285" s="87" t="str">
        <f t="shared" si="1647"/>
        <v>NA</v>
      </c>
      <c r="BU285" s="86">
        <v>0.1</v>
      </c>
      <c r="BV285" s="87" t="str">
        <f t="shared" si="1648"/>
        <v>NM</v>
      </c>
      <c r="BW285" s="86">
        <v>0.7</v>
      </c>
      <c r="BX285" s="72" t="str">
        <f t="shared" si="1649"/>
        <v>NM</v>
      </c>
      <c r="BY285" s="86">
        <v>-0.4</v>
      </c>
      <c r="BZ285" s="72">
        <f t="shared" si="1650"/>
        <v>33.333333333333343</v>
      </c>
      <c r="CA285" s="86">
        <v>-0.2</v>
      </c>
      <c r="CB285" s="72" t="str">
        <f t="shared" si="1651"/>
        <v>NM</v>
      </c>
      <c r="CC285" s="86">
        <v>-0.2</v>
      </c>
      <c r="CD285" s="72" t="str">
        <f t="shared" si="1652"/>
        <v>NM</v>
      </c>
      <c r="CE285" s="86">
        <v>-0.2</v>
      </c>
      <c r="CF285" s="72" t="str">
        <f t="shared" si="1653"/>
        <v>NM</v>
      </c>
      <c r="CG285" s="86">
        <v>-2.4</v>
      </c>
      <c r="CH285" s="72" t="str">
        <f t="shared" si="1654"/>
        <v>NM</v>
      </c>
      <c r="CI285" s="86">
        <v>0</v>
      </c>
      <c r="CJ285" s="72" t="str">
        <f t="shared" si="1655"/>
        <v>NM</v>
      </c>
      <c r="CK285" s="86">
        <v>0</v>
      </c>
      <c r="CL285" s="72" t="str">
        <f t="shared" si="1655"/>
        <v>NM</v>
      </c>
      <c r="CM285" s="86">
        <v>-0.1</v>
      </c>
      <c r="CN285" s="72">
        <f t="shared" si="1655"/>
        <v>-50</v>
      </c>
      <c r="CO285" s="86">
        <v>0</v>
      </c>
      <c r="CP285" s="72" t="str">
        <f t="shared" si="1655"/>
        <v>NM</v>
      </c>
      <c r="CQ285" s="86">
        <v>0</v>
      </c>
      <c r="CR285" s="72" t="str">
        <f t="shared" si="1655"/>
        <v>NA</v>
      </c>
      <c r="CS285" s="86">
        <v>-1</v>
      </c>
      <c r="CT285" s="72" t="str">
        <f t="shared" si="1655"/>
        <v>NA</v>
      </c>
      <c r="CU285" s="86">
        <v>0</v>
      </c>
      <c r="CV285" s="72" t="str">
        <f t="shared" si="1656"/>
        <v>NM</v>
      </c>
      <c r="CW285" s="86">
        <v>0</v>
      </c>
      <c r="CX285" s="72" t="str">
        <f t="shared" si="1657"/>
        <v>NA</v>
      </c>
      <c r="CY285" s="86">
        <v>-0.1</v>
      </c>
      <c r="CZ285" s="72" t="str">
        <f t="shared" si="1658"/>
        <v>NA</v>
      </c>
      <c r="DA285" s="86">
        <v>0</v>
      </c>
      <c r="DB285" s="72" t="str">
        <f t="shared" si="1659"/>
        <v>NM</v>
      </c>
      <c r="DC285" s="86">
        <v>0</v>
      </c>
      <c r="DD285" s="72" t="str">
        <f t="shared" si="1660"/>
        <v>NA</v>
      </c>
      <c r="DE285" s="86">
        <v>0</v>
      </c>
      <c r="DF285" s="72" t="str">
        <f t="shared" si="1661"/>
        <v>NA</v>
      </c>
      <c r="DG285" s="86">
        <v>0</v>
      </c>
      <c r="DH285" s="72" t="str">
        <f t="shared" si="1662"/>
        <v>NM</v>
      </c>
      <c r="DI285" s="86">
        <v>0</v>
      </c>
      <c r="DJ285" s="72" t="str">
        <f t="shared" si="1663"/>
        <v>NA</v>
      </c>
      <c r="DK285" s="86">
        <v>0</v>
      </c>
      <c r="DL285" s="72" t="str">
        <f t="shared" si="1664"/>
        <v>NA</v>
      </c>
      <c r="DM285" s="86">
        <v>0</v>
      </c>
      <c r="DN285" s="72" t="str">
        <f t="shared" si="1665"/>
        <v>NA</v>
      </c>
      <c r="DO285" s="86">
        <v>0</v>
      </c>
      <c r="DP285" s="72" t="str">
        <f t="shared" si="1665"/>
        <v>NA</v>
      </c>
      <c r="DQ285" s="86">
        <v>0</v>
      </c>
      <c r="DR285" s="72" t="str">
        <f t="shared" si="1665"/>
        <v>NA</v>
      </c>
      <c r="DS285" s="86">
        <v>0</v>
      </c>
      <c r="DT285" s="72" t="str">
        <f t="shared" si="1665"/>
        <v>NA</v>
      </c>
      <c r="DU285" s="86">
        <v>0</v>
      </c>
      <c r="DV285" s="72" t="str">
        <f t="shared" si="1665"/>
        <v>NA</v>
      </c>
      <c r="DW285" s="86">
        <v>0</v>
      </c>
      <c r="DX285" s="72" t="str">
        <f t="shared" si="1665"/>
        <v>NA</v>
      </c>
      <c r="DY285" s="86">
        <v>0</v>
      </c>
      <c r="DZ285" s="72" t="str">
        <f t="shared" si="1665"/>
        <v>NA</v>
      </c>
      <c r="EA285" s="86">
        <v>-0.1</v>
      </c>
      <c r="EB285" s="72" t="str">
        <f t="shared" si="1667"/>
        <v>NA</v>
      </c>
      <c r="EC285" s="86">
        <v>0</v>
      </c>
      <c r="ED285" s="72" t="str">
        <f t="shared" si="1668"/>
        <v>NA</v>
      </c>
      <c r="EE285" s="86">
        <v>0</v>
      </c>
      <c r="EF285" s="72" t="str">
        <f t="shared" si="1669"/>
        <v>NA</v>
      </c>
      <c r="EG285" s="86">
        <v>0</v>
      </c>
      <c r="EH285" s="72" t="str">
        <f t="shared" si="1670"/>
        <v>NA</v>
      </c>
      <c r="EI285" s="86">
        <v>0</v>
      </c>
      <c r="EJ285" s="72" t="str">
        <f t="shared" si="1671"/>
        <v>NM</v>
      </c>
      <c r="EK285" s="86">
        <v>0</v>
      </c>
      <c r="EL285" s="72" t="str">
        <f t="shared" si="1672"/>
        <v>NA</v>
      </c>
      <c r="EM285" s="86">
        <v>0</v>
      </c>
      <c r="EN285" s="72" t="str">
        <f t="shared" si="1673"/>
        <v>NA</v>
      </c>
      <c r="EO285" s="86">
        <v>0</v>
      </c>
      <c r="EP285" s="72" t="str">
        <f t="shared" si="1674"/>
        <v>NA</v>
      </c>
      <c r="EQ285" s="86">
        <v>0</v>
      </c>
      <c r="ER285" s="72" t="str">
        <f t="shared" si="1676"/>
        <v>NA</v>
      </c>
      <c r="ES285" s="86">
        <v>0</v>
      </c>
      <c r="ET285" s="72" t="str">
        <f t="shared" si="1678"/>
        <v>NA</v>
      </c>
      <c r="EU285" s="86">
        <v>0</v>
      </c>
      <c r="EV285" s="72" t="str">
        <f t="shared" si="1680"/>
        <v>NA</v>
      </c>
      <c r="EW285" s="86">
        <v>0</v>
      </c>
      <c r="EX285" s="72" t="str">
        <f t="shared" si="1682"/>
        <v>NA</v>
      </c>
      <c r="EY285" s="72"/>
      <c r="EZ285" s="309"/>
      <c r="FA285" s="72"/>
      <c r="FB285" s="81"/>
      <c r="FC285" s="72"/>
      <c r="FD285" s="81"/>
      <c r="FE285" s="87"/>
      <c r="FF285" s="81"/>
      <c r="FG285" s="87"/>
      <c r="FH285" s="81"/>
      <c r="FI285" s="87"/>
      <c r="FJ285" s="81"/>
      <c r="FK285" s="87"/>
      <c r="FL285" s="81"/>
      <c r="FM285" s="87"/>
      <c r="FN285" s="81"/>
      <c r="FO285" s="87"/>
      <c r="FP285" s="116">
        <f>AU285+AW285+AS285+AQ285</f>
        <v>0.1</v>
      </c>
      <c r="FQ285" s="87"/>
      <c r="FR285" s="75">
        <f>AY285+BA285+BC285+BE285</f>
        <v>0.9</v>
      </c>
      <c r="FS285" s="87" t="str">
        <f t="shared" si="1683"/>
        <v>NM</v>
      </c>
      <c r="FT285" s="75">
        <f>BG285+BI285+BK285+BM285</f>
        <v>-0.5</v>
      </c>
      <c r="FU285" s="87" t="str">
        <f t="shared" si="1684"/>
        <v>NM</v>
      </c>
      <c r="FV285" s="81">
        <f>BO285+BQ285+BS285+BU285</f>
        <v>0.2</v>
      </c>
      <c r="FW285" s="72" t="str">
        <f t="shared" si="1685"/>
        <v>NM</v>
      </c>
      <c r="FX285" s="81">
        <f>BW285+BY285+CA285+CC285</f>
        <v>-0.10000000000000009</v>
      </c>
      <c r="FY285" s="72" t="str">
        <f t="shared" si="1685"/>
        <v>NM</v>
      </c>
      <c r="FZ285" s="81">
        <f>CE285+CG285+CI285+CK285</f>
        <v>-2.6</v>
      </c>
      <c r="GA285" s="72" t="str">
        <f t="shared" si="1685"/>
        <v>NM</v>
      </c>
      <c r="GB285" s="81">
        <f>CM285+CO285+CQ285+CS285</f>
        <v>-1.1000000000000001</v>
      </c>
      <c r="GC285" s="72" t="str">
        <f t="shared" si="1685"/>
        <v>NM</v>
      </c>
      <c r="GD285" s="81">
        <f>CU285+CW285+CY285+DA285</f>
        <v>-0.1</v>
      </c>
      <c r="GE285" s="72" t="str">
        <f t="shared" si="1685"/>
        <v>NM</v>
      </c>
      <c r="GF285" s="81">
        <f>DC285+DE285+DG285+DI285</f>
        <v>0</v>
      </c>
      <c r="GG285" s="72" t="str">
        <f t="shared" si="1685"/>
        <v>NM</v>
      </c>
      <c r="GH285" s="81">
        <f>DK285+DM285+DO285+DQ285</f>
        <v>0</v>
      </c>
      <c r="GI285" s="72" t="str">
        <f t="shared" si="1686"/>
        <v>NA</v>
      </c>
      <c r="GJ285" s="81">
        <f>DS285+DU285+DW285+DY285</f>
        <v>0</v>
      </c>
      <c r="GK285" s="72" t="str">
        <f t="shared" si="1686"/>
        <v>NA</v>
      </c>
      <c r="GL285" s="81">
        <f>EA285+EC285+EE285+EG285</f>
        <v>-0.1</v>
      </c>
      <c r="GM285" s="72" t="str">
        <f t="shared" si="1686"/>
        <v>NA</v>
      </c>
      <c r="GN285" s="81">
        <f>EI285+EK285+EM285+EO285</f>
        <v>0</v>
      </c>
      <c r="GO285" s="72" t="str">
        <f t="shared" si="1686"/>
        <v>NM</v>
      </c>
      <c r="GP285" s="81">
        <f>EQ285+ES285+EU285+EW285</f>
        <v>0</v>
      </c>
      <c r="GQ285" s="72" t="str">
        <f t="shared" si="1686"/>
        <v>NA</v>
      </c>
      <c r="GR285" s="86">
        <v>0</v>
      </c>
      <c r="GS285" s="72" t="str">
        <f t="shared" si="1686"/>
        <v>NA</v>
      </c>
      <c r="GT285" s="86">
        <v>0</v>
      </c>
      <c r="GU285" s="72" t="str">
        <f t="shared" si="1686"/>
        <v>NA</v>
      </c>
      <c r="GV285" s="86">
        <v>0</v>
      </c>
      <c r="GW285" s="72" t="str">
        <f t="shared" si="1687"/>
        <v>NA</v>
      </c>
      <c r="GX285" s="86">
        <v>0</v>
      </c>
      <c r="GY285" s="72" t="str">
        <f t="shared" si="1688"/>
        <v>NA</v>
      </c>
      <c r="GZ285" s="72" t="str">
        <f t="shared" si="1689"/>
        <v>NA</v>
      </c>
      <c r="HA285" s="72"/>
      <c r="HB285" s="72"/>
      <c r="HC285"/>
      <c r="HD285"/>
      <c r="HE285"/>
      <c r="HF285"/>
      <c r="HG285"/>
      <c r="HH285"/>
      <c r="HI285" s="2"/>
    </row>
    <row r="286" spans="1:217" s="3" customFormat="1" ht="12.75" customHeight="1" x14ac:dyDescent="0.2">
      <c r="B286" s="76" t="s">
        <v>697</v>
      </c>
      <c r="C286" s="74"/>
      <c r="D286" s="72"/>
      <c r="E286" s="74"/>
      <c r="F286" s="72"/>
      <c r="G286" s="74"/>
      <c r="H286" s="72"/>
      <c r="I286" s="74"/>
      <c r="J286" s="72"/>
      <c r="K286" s="74"/>
      <c r="L286" s="87"/>
      <c r="M286" s="74"/>
      <c r="N286" s="87"/>
      <c r="O286" s="74"/>
      <c r="P286" s="87"/>
      <c r="Q286" s="74"/>
      <c r="R286" s="87"/>
      <c r="S286" s="74"/>
      <c r="T286" s="87"/>
      <c r="U286" s="74"/>
      <c r="V286" s="87"/>
      <c r="W286" s="74"/>
      <c r="X286" s="87"/>
      <c r="Y286" s="74"/>
      <c r="Z286" s="87"/>
      <c r="AA286" s="74"/>
      <c r="AB286" s="87"/>
      <c r="AC286" s="74"/>
      <c r="AD286" s="87"/>
      <c r="AE286" s="74"/>
      <c r="AF286" s="87"/>
      <c r="AG286" s="74"/>
      <c r="AH286" s="87"/>
      <c r="AI286" s="74"/>
      <c r="AJ286" s="87"/>
      <c r="AK286" s="74"/>
      <c r="AL286" s="87"/>
      <c r="AM286" s="74"/>
      <c r="AN286" s="87"/>
      <c r="AO286" s="74"/>
      <c r="AP286" s="87"/>
      <c r="AQ286" s="74">
        <v>0.8</v>
      </c>
      <c r="AR286" s="87"/>
      <c r="AS286" s="74">
        <v>-0.4</v>
      </c>
      <c r="AT286" s="87"/>
      <c r="AU286" s="74">
        <v>0.5</v>
      </c>
      <c r="AV286" s="87" t="str">
        <f t="shared" si="1635"/>
        <v>NA</v>
      </c>
      <c r="AW286" s="74">
        <v>-0.2</v>
      </c>
      <c r="AX286" s="87" t="str">
        <f t="shared" si="1636"/>
        <v>NA</v>
      </c>
      <c r="AY286" s="74">
        <v>0</v>
      </c>
      <c r="AZ286" s="87" t="str">
        <f t="shared" si="1637"/>
        <v>NM</v>
      </c>
      <c r="BA286" s="74">
        <v>0</v>
      </c>
      <c r="BB286" s="87" t="str">
        <f t="shared" si="1638"/>
        <v>NM</v>
      </c>
      <c r="BC286" s="74">
        <v>0</v>
      </c>
      <c r="BD286" s="87" t="str">
        <f t="shared" si="1639"/>
        <v>NM</v>
      </c>
      <c r="BE286" s="74">
        <v>0</v>
      </c>
      <c r="BF286" s="87" t="str">
        <f t="shared" si="1640"/>
        <v>NM</v>
      </c>
      <c r="BG286" s="86">
        <v>2.8</v>
      </c>
      <c r="BH286" s="87" t="str">
        <f t="shared" si="1641"/>
        <v>NA</v>
      </c>
      <c r="BI286" s="86">
        <v>0</v>
      </c>
      <c r="BJ286" s="87" t="str">
        <f t="shared" si="1642"/>
        <v>NA</v>
      </c>
      <c r="BK286" s="86">
        <v>0</v>
      </c>
      <c r="BL286" s="87" t="str">
        <f t="shared" si="1643"/>
        <v>NA</v>
      </c>
      <c r="BM286" s="86">
        <v>0.2</v>
      </c>
      <c r="BN286" s="87" t="str">
        <f t="shared" si="1644"/>
        <v>NA</v>
      </c>
      <c r="BO286" s="86">
        <v>0</v>
      </c>
      <c r="BP286" s="87" t="str">
        <f t="shared" si="1645"/>
        <v>NM</v>
      </c>
      <c r="BQ286" s="86">
        <v>0</v>
      </c>
      <c r="BR286" s="87" t="str">
        <f t="shared" si="1646"/>
        <v>NA</v>
      </c>
      <c r="BS286" s="86">
        <v>0</v>
      </c>
      <c r="BT286" s="87" t="str">
        <f t="shared" si="1647"/>
        <v>NA</v>
      </c>
      <c r="BU286" s="86">
        <v>0</v>
      </c>
      <c r="BV286" s="87" t="str">
        <f t="shared" si="1648"/>
        <v>NM</v>
      </c>
      <c r="BW286" s="86">
        <v>-0.2</v>
      </c>
      <c r="BX286" s="72" t="str">
        <f t="shared" si="1649"/>
        <v>NA</v>
      </c>
      <c r="BY286" s="86">
        <v>0</v>
      </c>
      <c r="BZ286" s="72" t="str">
        <f t="shared" si="1650"/>
        <v>NA</v>
      </c>
      <c r="CA286" s="86">
        <v>0</v>
      </c>
      <c r="CB286" s="72" t="str">
        <f t="shared" si="1651"/>
        <v>NA</v>
      </c>
      <c r="CC286" s="86">
        <v>0</v>
      </c>
      <c r="CD286" s="72" t="str">
        <f t="shared" si="1652"/>
        <v>NA</v>
      </c>
      <c r="CE286" s="86">
        <v>0</v>
      </c>
      <c r="CF286" s="72" t="str">
        <f t="shared" si="1653"/>
        <v>NM</v>
      </c>
      <c r="CG286" s="86">
        <v>0</v>
      </c>
      <c r="CH286" s="72" t="str">
        <f t="shared" si="1654"/>
        <v>NA</v>
      </c>
      <c r="CI286" s="86">
        <v>0</v>
      </c>
      <c r="CJ286" s="72" t="str">
        <f t="shared" si="1655"/>
        <v>NA</v>
      </c>
      <c r="CK286" s="86">
        <v>0</v>
      </c>
      <c r="CL286" s="72" t="str">
        <f t="shared" si="1655"/>
        <v>NA</v>
      </c>
      <c r="CM286" s="86">
        <v>-0.1</v>
      </c>
      <c r="CN286" s="72" t="str">
        <f t="shared" si="1655"/>
        <v>NA</v>
      </c>
      <c r="CO286" s="86">
        <v>0.2</v>
      </c>
      <c r="CP286" s="72" t="str">
        <f t="shared" si="1655"/>
        <v>NA</v>
      </c>
      <c r="CQ286" s="86">
        <v>-1.5</v>
      </c>
      <c r="CR286" s="72" t="str">
        <f t="shared" si="1655"/>
        <v>NA</v>
      </c>
      <c r="CS286" s="86">
        <v>-9</v>
      </c>
      <c r="CT286" s="72" t="str">
        <f t="shared" si="1655"/>
        <v>NA</v>
      </c>
      <c r="CU286" s="86">
        <v>0</v>
      </c>
      <c r="CV286" s="72" t="str">
        <f t="shared" si="1656"/>
        <v>NM</v>
      </c>
      <c r="CW286" s="86">
        <v>0</v>
      </c>
      <c r="CX286" s="72" t="str">
        <f t="shared" si="1657"/>
        <v>NM</v>
      </c>
      <c r="CY286" s="86">
        <v>0</v>
      </c>
      <c r="CZ286" s="72" t="str">
        <f t="shared" si="1658"/>
        <v>NM</v>
      </c>
      <c r="DA286" s="86">
        <v>0</v>
      </c>
      <c r="DB286" s="72" t="str">
        <f t="shared" si="1659"/>
        <v>NM</v>
      </c>
      <c r="DC286" s="86">
        <v>0</v>
      </c>
      <c r="DD286" s="72" t="str">
        <f t="shared" si="1660"/>
        <v>NA</v>
      </c>
      <c r="DE286" s="86">
        <v>0</v>
      </c>
      <c r="DF286" s="72" t="str">
        <f t="shared" si="1661"/>
        <v>NA</v>
      </c>
      <c r="DG286" s="86">
        <v>0</v>
      </c>
      <c r="DH286" s="72" t="str">
        <f t="shared" si="1662"/>
        <v>NA</v>
      </c>
      <c r="DI286" s="86">
        <v>0</v>
      </c>
      <c r="DJ286" s="72" t="str">
        <f t="shared" si="1663"/>
        <v>NA</v>
      </c>
      <c r="DK286" s="86">
        <v>0</v>
      </c>
      <c r="DL286" s="72" t="str">
        <f t="shared" si="1664"/>
        <v>NA</v>
      </c>
      <c r="DM286" s="86">
        <v>0</v>
      </c>
      <c r="DN286" s="72" t="str">
        <f t="shared" si="1665"/>
        <v>NA</v>
      </c>
      <c r="DO286" s="86">
        <v>0</v>
      </c>
      <c r="DP286" s="72" t="str">
        <f t="shared" si="1665"/>
        <v>NA</v>
      </c>
      <c r="DQ286" s="86">
        <v>-0.1</v>
      </c>
      <c r="DR286" s="72" t="str">
        <f t="shared" si="1665"/>
        <v>NA</v>
      </c>
      <c r="DS286" s="86">
        <v>0</v>
      </c>
      <c r="DT286" s="72" t="str">
        <f t="shared" si="1665"/>
        <v>NA</v>
      </c>
      <c r="DU286" s="86">
        <v>0</v>
      </c>
      <c r="DV286" s="72" t="str">
        <f t="shared" si="1665"/>
        <v>NA</v>
      </c>
      <c r="DW286" s="86">
        <v>-0.1</v>
      </c>
      <c r="DX286" s="72" t="str">
        <f t="shared" si="1665"/>
        <v>NA</v>
      </c>
      <c r="DY286" s="86">
        <v>0</v>
      </c>
      <c r="DZ286" s="72" t="str">
        <f t="shared" si="1665"/>
        <v>NM</v>
      </c>
      <c r="EA286" s="86">
        <v>0.7</v>
      </c>
      <c r="EB286" s="72" t="str">
        <f t="shared" si="1667"/>
        <v>NA</v>
      </c>
      <c r="EC286" s="86">
        <v>0</v>
      </c>
      <c r="ED286" s="72" t="str">
        <f t="shared" si="1668"/>
        <v>NA</v>
      </c>
      <c r="EE286" s="86">
        <v>0</v>
      </c>
      <c r="EF286" s="72" t="str">
        <f t="shared" si="1669"/>
        <v>NM</v>
      </c>
      <c r="EG286" s="86">
        <v>2.2000000000000002</v>
      </c>
      <c r="EH286" s="72" t="str">
        <f t="shared" si="1670"/>
        <v>NA</v>
      </c>
      <c r="EI286" s="86">
        <v>0.1</v>
      </c>
      <c r="EJ286" s="72" t="str">
        <f t="shared" si="1671"/>
        <v>NM</v>
      </c>
      <c r="EK286" s="86">
        <v>0</v>
      </c>
      <c r="EL286" s="72" t="str">
        <f t="shared" si="1672"/>
        <v>NA</v>
      </c>
      <c r="EM286" s="86">
        <v>0</v>
      </c>
      <c r="EN286" s="72" t="str">
        <f t="shared" si="1673"/>
        <v>NA</v>
      </c>
      <c r="EO286" s="86">
        <v>0</v>
      </c>
      <c r="EP286" s="72" t="str">
        <f t="shared" si="1674"/>
        <v>NM</v>
      </c>
      <c r="EQ286" s="86">
        <v>0</v>
      </c>
      <c r="ER286" s="72" t="str">
        <f t="shared" si="1676"/>
        <v>NM</v>
      </c>
      <c r="ES286" s="86">
        <v>0</v>
      </c>
      <c r="ET286" s="72" t="str">
        <f t="shared" si="1678"/>
        <v>NA</v>
      </c>
      <c r="EU286" s="86">
        <v>0</v>
      </c>
      <c r="EV286" s="72" t="str">
        <f t="shared" si="1680"/>
        <v>NA</v>
      </c>
      <c r="EW286" s="86">
        <v>0</v>
      </c>
      <c r="EX286" s="72" t="str">
        <f t="shared" si="1682"/>
        <v>NA</v>
      </c>
      <c r="EY286" s="72"/>
      <c r="EZ286" s="309"/>
      <c r="FA286" s="72"/>
      <c r="FB286" s="81"/>
      <c r="FC286" s="72"/>
      <c r="FD286" s="81"/>
      <c r="FE286" s="87"/>
      <c r="FF286" s="81"/>
      <c r="FG286" s="87"/>
      <c r="FH286" s="81"/>
      <c r="FI286" s="87"/>
      <c r="FJ286" s="81"/>
      <c r="FK286" s="87"/>
      <c r="FL286" s="81"/>
      <c r="FM286" s="87"/>
      <c r="FN286" s="81"/>
      <c r="FO286" s="87"/>
      <c r="FP286" s="116">
        <f>AU286+AW286+AS286+AQ286</f>
        <v>0.7</v>
      </c>
      <c r="FQ286" s="87"/>
      <c r="FR286" s="75">
        <f>AY286+BA286+BC286+BE286</f>
        <v>0</v>
      </c>
      <c r="FS286" s="87" t="str">
        <f t="shared" si="1683"/>
        <v>NM</v>
      </c>
      <c r="FT286" s="75">
        <f>BG286+BI286+BK286+BM286</f>
        <v>3</v>
      </c>
      <c r="FU286" s="87" t="str">
        <f t="shared" si="1684"/>
        <v>NA</v>
      </c>
      <c r="FV286" s="81">
        <f>BO286+BQ286+BS286+BU286</f>
        <v>0</v>
      </c>
      <c r="FW286" s="72" t="str">
        <f t="shared" si="1685"/>
        <v>NM</v>
      </c>
      <c r="FX286" s="81">
        <f>BW286+BY286+CA286+CC286</f>
        <v>-0.2</v>
      </c>
      <c r="FY286" s="72" t="str">
        <f t="shared" si="1685"/>
        <v>NA</v>
      </c>
      <c r="FZ286" s="81">
        <f>CE286+CG286+CI286+CK286</f>
        <v>0</v>
      </c>
      <c r="GA286" s="72" t="str">
        <f t="shared" si="1685"/>
        <v>NM</v>
      </c>
      <c r="GB286" s="81">
        <f>CM286+CO286+CQ286+CS286</f>
        <v>-10.4</v>
      </c>
      <c r="GC286" s="72" t="str">
        <f t="shared" si="1685"/>
        <v>NA</v>
      </c>
      <c r="GD286" s="81">
        <f>CU286+CW286+CY286+DA286</f>
        <v>0</v>
      </c>
      <c r="GE286" s="72" t="str">
        <f t="shared" si="1685"/>
        <v>NM</v>
      </c>
      <c r="GF286" s="81">
        <f>DC286+DE286+DG286+DI286</f>
        <v>0</v>
      </c>
      <c r="GG286" s="72" t="str">
        <f t="shared" si="1685"/>
        <v>NA</v>
      </c>
      <c r="GH286" s="81">
        <f>DK286+DM286+DO286+DQ286</f>
        <v>-0.1</v>
      </c>
      <c r="GI286" s="72" t="str">
        <f t="shared" si="1686"/>
        <v>NA</v>
      </c>
      <c r="GJ286" s="81">
        <f>DS286+DU286+DW286+DY286</f>
        <v>-0.1</v>
      </c>
      <c r="GK286" s="72">
        <f t="shared" si="1686"/>
        <v>0</v>
      </c>
      <c r="GL286" s="81">
        <f>EA286+EC286+EE286+EG286</f>
        <v>2.9000000000000004</v>
      </c>
      <c r="GM286" s="72" t="str">
        <f t="shared" si="1686"/>
        <v>NM</v>
      </c>
      <c r="GN286" s="81">
        <f>EI286+EK286+EM286+EO286</f>
        <v>0.1</v>
      </c>
      <c r="GO286" s="72" t="str">
        <f t="shared" si="1686"/>
        <v>NM</v>
      </c>
      <c r="GP286" s="81">
        <f>EQ286+ES286+EU286+EW286</f>
        <v>0</v>
      </c>
      <c r="GQ286" s="72" t="str">
        <f t="shared" si="1686"/>
        <v>NM</v>
      </c>
      <c r="GR286" s="86">
        <v>0</v>
      </c>
      <c r="GS286" s="72" t="str">
        <f t="shared" si="1686"/>
        <v>NA</v>
      </c>
      <c r="GT286" s="86">
        <v>0</v>
      </c>
      <c r="GU286" s="72" t="str">
        <f t="shared" si="1686"/>
        <v>NA</v>
      </c>
      <c r="GV286" s="86">
        <v>0</v>
      </c>
      <c r="GW286" s="72" t="str">
        <f t="shared" si="1687"/>
        <v>NA</v>
      </c>
      <c r="GX286" s="86">
        <v>0</v>
      </c>
      <c r="GY286" s="72" t="str">
        <f t="shared" si="1688"/>
        <v>NA</v>
      </c>
      <c r="GZ286" s="72" t="str">
        <f t="shared" si="1689"/>
        <v>NM</v>
      </c>
      <c r="HA286" s="72"/>
      <c r="HB286" s="72"/>
      <c r="HC286"/>
      <c r="HD286"/>
      <c r="HE286"/>
      <c r="HF286"/>
      <c r="HG286"/>
      <c r="HH286"/>
      <c r="HI286" s="2"/>
    </row>
    <row r="287" spans="1:217" s="3" customFormat="1" ht="12.75" customHeight="1" x14ac:dyDescent="0.2">
      <c r="B287" s="76" t="s">
        <v>600</v>
      </c>
      <c r="C287" s="75"/>
      <c r="D287" s="72"/>
      <c r="E287" s="75"/>
      <c r="F287" s="72"/>
      <c r="G287" s="75"/>
      <c r="H287" s="72"/>
      <c r="I287" s="75"/>
      <c r="J287" s="72"/>
      <c r="K287" s="75"/>
      <c r="L287" s="87"/>
      <c r="M287" s="75"/>
      <c r="N287" s="87"/>
      <c r="O287" s="75"/>
      <c r="P287" s="87"/>
      <c r="Q287" s="75"/>
      <c r="R287" s="87"/>
      <c r="S287" s="75"/>
      <c r="T287" s="87"/>
      <c r="U287" s="75"/>
      <c r="V287" s="87"/>
      <c r="W287" s="75"/>
      <c r="X287" s="87"/>
      <c r="Y287" s="75"/>
      <c r="Z287" s="87"/>
      <c r="AA287" s="75"/>
      <c r="AB287" s="87"/>
      <c r="AC287" s="75"/>
      <c r="AD287" s="87"/>
      <c r="AE287" s="75"/>
      <c r="AF287" s="87"/>
      <c r="AG287" s="75"/>
      <c r="AH287" s="87"/>
      <c r="AI287" s="75"/>
      <c r="AJ287" s="87"/>
      <c r="AK287" s="75"/>
      <c r="AL287" s="87"/>
      <c r="AM287" s="75"/>
      <c r="AN287" s="87"/>
      <c r="AO287" s="75"/>
      <c r="AP287" s="87"/>
      <c r="AQ287" s="75">
        <f>SUM(AQ281:AQ286)</f>
        <v>32.799999999999997</v>
      </c>
      <c r="AR287" s="87"/>
      <c r="AS287" s="75">
        <f>SUM(AS281:AS286)</f>
        <v>33.6</v>
      </c>
      <c r="AT287" s="87"/>
      <c r="AU287" s="75">
        <f>SUM(AU281:AU286)</f>
        <v>36.800000000000004</v>
      </c>
      <c r="AV287" s="87" t="str">
        <f t="shared" si="1635"/>
        <v>NA</v>
      </c>
      <c r="AW287" s="75">
        <f>SUM(AW281:AW286)</f>
        <v>38.700000000000003</v>
      </c>
      <c r="AX287" s="87" t="str">
        <f t="shared" si="1636"/>
        <v>NA</v>
      </c>
      <c r="AY287" s="75">
        <f>SUM(AY281:AY286)</f>
        <v>40.500000000000007</v>
      </c>
      <c r="AZ287" s="87">
        <f t="shared" si="1637"/>
        <v>23.475609756097597</v>
      </c>
      <c r="BA287" s="75">
        <f>SUM(BA281:BA286)</f>
        <v>40.700000000000003</v>
      </c>
      <c r="BB287" s="87">
        <f t="shared" si="1638"/>
        <v>21.130952380952394</v>
      </c>
      <c r="BC287" s="75">
        <f>SUM(BC281:BC286)</f>
        <v>41.3</v>
      </c>
      <c r="BD287" s="87">
        <f t="shared" si="1639"/>
        <v>12.22826086956519</v>
      </c>
      <c r="BE287" s="75">
        <f>SUM(BE281:BE286)</f>
        <v>43.4</v>
      </c>
      <c r="BF287" s="87">
        <f t="shared" si="1640"/>
        <v>12.144702842377257</v>
      </c>
      <c r="BG287" s="81">
        <f>SUM(BG281:BG286)</f>
        <v>47.699999999999996</v>
      </c>
      <c r="BH287" s="87">
        <f t="shared" si="1641"/>
        <v>17.777777777777743</v>
      </c>
      <c r="BI287" s="81">
        <f>SUM(BI281:BI286)</f>
        <v>49.3</v>
      </c>
      <c r="BJ287" s="87">
        <f t="shared" si="1642"/>
        <v>21.130221130221116</v>
      </c>
      <c r="BK287" s="81">
        <f>SUM(BK281:BK286)</f>
        <v>51.300000000000004</v>
      </c>
      <c r="BL287" s="87">
        <f t="shared" si="1643"/>
        <v>24.213075060532702</v>
      </c>
      <c r="BM287" s="81">
        <f>SUM(BM281:BM286)</f>
        <v>50.900000000000006</v>
      </c>
      <c r="BN287" s="87">
        <f t="shared" si="1644"/>
        <v>17.281105990783431</v>
      </c>
      <c r="BO287" s="81">
        <f>SUM(BO281:BO286)</f>
        <v>48.2</v>
      </c>
      <c r="BP287" s="87">
        <f t="shared" si="1645"/>
        <v>1.0482180293501102</v>
      </c>
      <c r="BQ287" s="81">
        <f>SUM(BQ281:BQ286)</f>
        <v>50.7</v>
      </c>
      <c r="BR287" s="87">
        <f t="shared" si="1646"/>
        <v>2.8397565922921046</v>
      </c>
      <c r="BS287" s="81">
        <f>SUM(BS281:BS286)</f>
        <v>43.400000000000006</v>
      </c>
      <c r="BT287" s="87">
        <f t="shared" si="1647"/>
        <v>-15.399610136452239</v>
      </c>
      <c r="BU287" s="81">
        <f>SUM(BU281:BU286)</f>
        <v>33.500000000000007</v>
      </c>
      <c r="BV287" s="87">
        <f t="shared" si="1648"/>
        <v>-34.18467583497052</v>
      </c>
      <c r="BW287" s="81">
        <f>SUM(BW281:BW286)</f>
        <v>33.500000000000007</v>
      </c>
      <c r="BX287" s="72">
        <f t="shared" si="1649"/>
        <v>-30.497925311203318</v>
      </c>
      <c r="BY287" s="81">
        <f>SUM(BY281:BY286)</f>
        <v>39.500000000000007</v>
      </c>
      <c r="BZ287" s="72">
        <f t="shared" si="1650"/>
        <v>-22.09072978303746</v>
      </c>
      <c r="CA287" s="81">
        <f>SUM(CA281:CA286)</f>
        <v>47.20000000000001</v>
      </c>
      <c r="CB287" s="72">
        <f t="shared" si="1651"/>
        <v>8.7557603686636156</v>
      </c>
      <c r="CC287" s="81">
        <f>SUM(CC281:CC286)</f>
        <v>51.1</v>
      </c>
      <c r="CD287" s="72">
        <f t="shared" si="1652"/>
        <v>52.537313432835788</v>
      </c>
      <c r="CE287" s="81">
        <f>SUM(CE281:CE286)</f>
        <v>53.499999999999993</v>
      </c>
      <c r="CF287" s="72">
        <f t="shared" si="1653"/>
        <v>59.701492537313385</v>
      </c>
      <c r="CG287" s="81">
        <f>SUM(CG281:CG286)</f>
        <v>49.099999999999994</v>
      </c>
      <c r="CH287" s="72">
        <f t="shared" si="1654"/>
        <v>24.303797468354404</v>
      </c>
      <c r="CI287" s="81">
        <f>SUM(CI281:CI286)</f>
        <v>55.5</v>
      </c>
      <c r="CJ287" s="72">
        <f t="shared" si="1655"/>
        <v>17.584745762711833</v>
      </c>
      <c r="CK287" s="81">
        <f>SUM(CK281:CK286)</f>
        <v>61.599999999999994</v>
      </c>
      <c r="CL287" s="72">
        <f t="shared" si="1655"/>
        <v>20.547945205479451</v>
      </c>
      <c r="CM287" s="81">
        <f>SUM(CM281:CM286)</f>
        <v>80.7</v>
      </c>
      <c r="CN287" s="72">
        <f t="shared" si="1655"/>
        <v>50.841121495327144</v>
      </c>
      <c r="CO287" s="81">
        <f>SUM(CO281:CO286)</f>
        <v>82.100000000000009</v>
      </c>
      <c r="CP287" s="72">
        <f t="shared" si="1655"/>
        <v>67.209775967413492</v>
      </c>
      <c r="CQ287" s="81">
        <f>SUM(CQ281:CQ286)</f>
        <v>72.200000000000017</v>
      </c>
      <c r="CR287" s="72">
        <f t="shared" si="1655"/>
        <v>30.090090090090115</v>
      </c>
      <c r="CS287" s="81">
        <f>SUM(CS281:CS286)</f>
        <v>69.600000000000009</v>
      </c>
      <c r="CT287" s="72">
        <f t="shared" si="1655"/>
        <v>12.987012987013017</v>
      </c>
      <c r="CU287" s="81">
        <f>SUM(CU281:CU286)</f>
        <v>81.100000000000023</v>
      </c>
      <c r="CV287" s="72">
        <f t="shared" si="1656"/>
        <v>0.49566294919456766</v>
      </c>
      <c r="CW287" s="81">
        <f>SUM(CW281:CW286)</f>
        <v>81.100000000000023</v>
      </c>
      <c r="CX287" s="72">
        <f t="shared" si="1657"/>
        <v>-1.2180267965895126</v>
      </c>
      <c r="CY287" s="81">
        <f>SUM(CY281:CY286)</f>
        <v>87.800000000000026</v>
      </c>
      <c r="CZ287" s="72">
        <f t="shared" si="1658"/>
        <v>21.606648199445999</v>
      </c>
      <c r="DA287" s="81">
        <f>SUM(DA281:DA286)</f>
        <v>91.100000000000023</v>
      </c>
      <c r="DB287" s="72">
        <f t="shared" si="1659"/>
        <v>30.890804597701162</v>
      </c>
      <c r="DC287" s="81">
        <f>SUM(DC281:DC286)</f>
        <v>97.900000000000034</v>
      </c>
      <c r="DD287" s="72">
        <f t="shared" si="1660"/>
        <v>20.715166461159072</v>
      </c>
      <c r="DE287" s="81">
        <f>SUM(DE281:DE286)</f>
        <v>100.40000000000003</v>
      </c>
      <c r="DF287" s="72">
        <f t="shared" si="1661"/>
        <v>23.797780517879175</v>
      </c>
      <c r="DG287" s="81">
        <f>SUM(DG281:DG286)</f>
        <v>106.50000000000003</v>
      </c>
      <c r="DH287" s="72">
        <f t="shared" si="1662"/>
        <v>21.298405466970394</v>
      </c>
      <c r="DI287" s="81">
        <f>SUM(DI281:DI286)</f>
        <v>115.00000000000003</v>
      </c>
      <c r="DJ287" s="72">
        <f t="shared" si="1663"/>
        <v>26.234906695938534</v>
      </c>
      <c r="DK287" s="81">
        <f>SUM(DK281:DK286)</f>
        <v>117.00000000000003</v>
      </c>
      <c r="DL287" s="72">
        <f t="shared" si="1664"/>
        <v>19.509703779366689</v>
      </c>
      <c r="DM287" s="81">
        <f>SUM(DM281:DM286)</f>
        <v>122.50000000000003</v>
      </c>
      <c r="DN287" s="72">
        <f t="shared" si="1665"/>
        <v>22.011952191235039</v>
      </c>
      <c r="DO287" s="81">
        <f>SUM(DO281:DO286)</f>
        <v>122.70000000000003</v>
      </c>
      <c r="DP287" s="72">
        <f t="shared" si="1665"/>
        <v>15.211267605633807</v>
      </c>
      <c r="DQ287" s="81">
        <f>SUM(DQ281:DQ286)</f>
        <v>126.80000000000003</v>
      </c>
      <c r="DR287" s="72">
        <f t="shared" si="1665"/>
        <v>10.260869565217391</v>
      </c>
      <c r="DS287" s="81">
        <f>SUM(DS281:DS286)</f>
        <v>135.10000000000005</v>
      </c>
      <c r="DT287" s="72">
        <f t="shared" si="1665"/>
        <v>15.470085470085479</v>
      </c>
      <c r="DU287" s="81">
        <f>SUM(DU281:DU286)</f>
        <v>135.20000000000007</v>
      </c>
      <c r="DV287" s="72">
        <f t="shared" si="1665"/>
        <v>10.36734693877554</v>
      </c>
      <c r="DW287" s="81">
        <f>SUM(DW281:DW286)</f>
        <v>125.90000000000006</v>
      </c>
      <c r="DX287" s="72">
        <f t="shared" si="1665"/>
        <v>2.607986960065233</v>
      </c>
      <c r="DY287" s="81">
        <f>SUM(DY281:DY286)</f>
        <v>128.90000000000006</v>
      </c>
      <c r="DZ287" s="72">
        <f t="shared" si="1665"/>
        <v>1.6561514195583982</v>
      </c>
      <c r="EA287" s="81">
        <f>SUM(EA281:EA286)</f>
        <v>127.80000000000007</v>
      </c>
      <c r="EB287" s="72">
        <f t="shared" si="1667"/>
        <v>-5.403404885270163</v>
      </c>
      <c r="EC287" s="81">
        <f>SUM(EC281:EC286)</f>
        <v>131.30000000000007</v>
      </c>
      <c r="ED287" s="72">
        <f t="shared" si="1668"/>
        <v>-2.8846153846153868</v>
      </c>
      <c r="EE287" s="81">
        <f>SUM(EE281:EE286)</f>
        <v>137.70000000000007</v>
      </c>
      <c r="EF287" s="72">
        <f t="shared" si="1669"/>
        <v>9.3725178713264512</v>
      </c>
      <c r="EG287" s="81">
        <f>SUM(EG281:EG286)</f>
        <v>136.60000000000008</v>
      </c>
      <c r="EH287" s="72">
        <f t="shared" si="1670"/>
        <v>5.9736229635376219</v>
      </c>
      <c r="EI287" s="81">
        <f>SUM(EI281:EI286)</f>
        <v>144.20000000000007</v>
      </c>
      <c r="EJ287" s="72">
        <f t="shared" si="1671"/>
        <v>12.832550860719877</v>
      </c>
      <c r="EK287" s="81">
        <f>SUM(EK281:EK286)</f>
        <v>150.00000000000009</v>
      </c>
      <c r="EL287" s="72">
        <f t="shared" si="1672"/>
        <v>14.242193450114243</v>
      </c>
      <c r="EM287" s="81">
        <f>SUM(EM281:EM286)</f>
        <v>157.50000000000009</v>
      </c>
      <c r="EN287" s="72">
        <f t="shared" si="1673"/>
        <v>14.379084967320253</v>
      </c>
      <c r="EO287" s="81">
        <f>SUM(EO281:EO286)</f>
        <v>164.3000000000001</v>
      </c>
      <c r="EP287" s="72">
        <f t="shared" si="1674"/>
        <v>20.278184480234259</v>
      </c>
      <c r="EQ287" s="81">
        <f t="shared" ref="EQ287" si="1702">SUM(EQ281:EQ286)</f>
        <v>164.0337900000001</v>
      </c>
      <c r="ER287" s="72">
        <f t="shared" si="1676"/>
        <v>13.754361997226084</v>
      </c>
      <c r="ES287" s="81">
        <f t="shared" ref="ES287" si="1703">SUM(ES281:ES286)</f>
        <v>166.42177672826639</v>
      </c>
      <c r="ET287" s="72">
        <f t="shared" si="1678"/>
        <v>10.947851152177535</v>
      </c>
      <c r="EU287" s="81">
        <f t="shared" ref="EU287" si="1704">SUM(EU281:EU286)</f>
        <v>169.15336582687476</v>
      </c>
      <c r="EV287" s="72">
        <f t="shared" si="1680"/>
        <v>7.3989624297616956</v>
      </c>
      <c r="EW287" s="81">
        <f t="shared" ref="EW287" si="1705">SUM(EW281:EW286)</f>
        <v>172.45833591307704</v>
      </c>
      <c r="EX287" s="72">
        <f t="shared" si="1682"/>
        <v>4.9655118156280764</v>
      </c>
      <c r="EY287" s="72"/>
      <c r="EZ287" s="309"/>
      <c r="FA287" s="72"/>
      <c r="FB287" s="81"/>
      <c r="FC287" s="72"/>
      <c r="FD287" s="81"/>
      <c r="FE287" s="87"/>
      <c r="FF287" s="81"/>
      <c r="FG287" s="87"/>
      <c r="FH287" s="81"/>
      <c r="FI287" s="87"/>
      <c r="FJ287" s="81"/>
      <c r="FK287" s="87"/>
      <c r="FL287" s="81"/>
      <c r="FM287" s="87"/>
      <c r="FN287" s="81"/>
      <c r="FO287" s="87"/>
      <c r="FP287" s="116">
        <f>SUM(FP281:FP286)</f>
        <v>38.700000000000003</v>
      </c>
      <c r="FQ287" s="87"/>
      <c r="FR287" s="75">
        <f>SUM(FR281:FR286)</f>
        <v>43.400000000000006</v>
      </c>
      <c r="FS287" s="87">
        <f t="shared" si="1683"/>
        <v>12.144702842377271</v>
      </c>
      <c r="FT287" s="75">
        <f>SUM(FT281:FT286)</f>
        <v>50.900000000000006</v>
      </c>
      <c r="FU287" s="87">
        <f t="shared" si="1684"/>
        <v>17.281105990783402</v>
      </c>
      <c r="FV287" s="81">
        <f>SUM(FV281:FV286)</f>
        <v>33.5</v>
      </c>
      <c r="FW287" s="87">
        <f>IF(ISERROR(FV287/FT287),"NA",IF(OR(FV287/FT287&gt;2,FV287/FT287&lt;0.5),"NM",FV287/FT287*100-100))</f>
        <v>-34.184675834970534</v>
      </c>
      <c r="FX287" s="81">
        <f>SUM(FX281:FX286)</f>
        <v>51.099999999999994</v>
      </c>
      <c r="FY287" s="87">
        <f>IF(ISERROR(FX287/FV287),"NA",IF(OR(FX287/FV287&gt;2,FX287/FV287&lt;0.5),"NM",FX287/FV287*100-100))</f>
        <v>52.537313432835816</v>
      </c>
      <c r="FZ287" s="81">
        <f>SUM(FZ281:FZ286)</f>
        <v>61.599999999999987</v>
      </c>
      <c r="GA287" s="87">
        <f>IF(ISERROR(FZ287/FX287),"NA",IF(OR(FZ287/FX287&gt;2,FZ287/FX287&lt;0.5),"NM",FZ287/FX287*100-100))</f>
        <v>20.547945205479451</v>
      </c>
      <c r="GB287" s="81">
        <f>SUM(GB281:GB286)</f>
        <v>69.599999999999994</v>
      </c>
      <c r="GC287" s="87">
        <f>IF(ISERROR(GB287/FZ287),"NA",IF(OR(GB287/FZ287&gt;2,GB287/FZ287&lt;0.5),"NM",GB287/FZ287*100-100))</f>
        <v>12.987012987012989</v>
      </c>
      <c r="GD287" s="81">
        <f>SUM(GD281:GD286)</f>
        <v>91.1</v>
      </c>
      <c r="GE287" s="87">
        <f>IF(ISERROR(GD287/GB287),"NA",IF(OR(GD287/GB287&gt;2,GD287/GB287&lt;0.5),"NM",GD287/GB287*100-100))</f>
        <v>30.890804597701162</v>
      </c>
      <c r="GF287" s="81">
        <f>SUM(GF281:GF286)</f>
        <v>115.00000000000001</v>
      </c>
      <c r="GG287" s="87">
        <f>IF(ISERROR(GF287/GD287),"NA",IF(OR(GF287/GD287&gt;2,GF287/GD287&lt;0.5),"NM",GF287/GD287*100-100))</f>
        <v>26.234906695938548</v>
      </c>
      <c r="GH287" s="81">
        <f>SUM(GH281:GH286)</f>
        <v>126.80000000000003</v>
      </c>
      <c r="GI287" s="72">
        <f t="shared" si="1686"/>
        <v>10.260869565217391</v>
      </c>
      <c r="GJ287" s="81">
        <f>SUM(GJ281:GJ286)</f>
        <v>128.90000000000003</v>
      </c>
      <c r="GK287" s="72">
        <f t="shared" si="1686"/>
        <v>1.6561514195583698</v>
      </c>
      <c r="GL287" s="81">
        <f>SUM(GL281:GL286)</f>
        <v>136.60000000000002</v>
      </c>
      <c r="GM287" s="72">
        <f t="shared" si="1686"/>
        <v>5.9736229635376077</v>
      </c>
      <c r="GN287" s="81">
        <f>SUM(GN281:GN286)</f>
        <v>164.3</v>
      </c>
      <c r="GO287" s="72">
        <f t="shared" si="1686"/>
        <v>20.278184480234245</v>
      </c>
      <c r="GP287" s="81">
        <f>SUM(GP281:GP286)</f>
        <v>172.45833591307695</v>
      </c>
      <c r="GQ287" s="72">
        <f t="shared" si="1686"/>
        <v>4.9655118156280764</v>
      </c>
      <c r="GR287" s="81">
        <f>SUM(GR281:GR286)</f>
        <v>181.36524358341617</v>
      </c>
      <c r="GS287" s="72">
        <f t="shared" si="1686"/>
        <v>5.1646721645444416</v>
      </c>
      <c r="GT287" s="81">
        <f>SUM(GT281:GT286)</f>
        <v>189.04764998247822</v>
      </c>
      <c r="GU287" s="72">
        <f t="shared" si="1686"/>
        <v>4.2358757649883643</v>
      </c>
      <c r="GV287" s="81">
        <f>SUM(GV281:GV286)</f>
        <v>195.84154341698132</v>
      </c>
      <c r="GW287" s="72">
        <f t="shared" si="1687"/>
        <v>3.5937465687263455</v>
      </c>
      <c r="GX287" s="81">
        <f>SUM(GX281:GX286)</f>
        <v>201.99698902841715</v>
      </c>
      <c r="GY287" s="72">
        <f t="shared" si="1688"/>
        <v>3.1430744999439497</v>
      </c>
      <c r="GZ287" s="87">
        <f t="shared" si="1689"/>
        <v>4.2176957000570114</v>
      </c>
      <c r="HA287" s="87"/>
      <c r="HB287" s="87"/>
      <c r="HC287"/>
      <c r="HD287"/>
      <c r="HE287"/>
      <c r="HF287"/>
      <c r="HG287"/>
      <c r="HH287"/>
      <c r="HI287" s="2"/>
    </row>
    <row r="288" spans="1:217" s="3" customFormat="1" ht="12.75" customHeight="1" x14ac:dyDescent="0.2">
      <c r="B288" s="76" t="s">
        <v>529</v>
      </c>
      <c r="C288" s="74"/>
      <c r="D288" s="72"/>
      <c r="E288" s="74"/>
      <c r="F288" s="72"/>
      <c r="G288" s="74"/>
      <c r="H288" s="72"/>
      <c r="I288" s="74"/>
      <c r="J288" s="72"/>
      <c r="K288" s="74"/>
      <c r="L288" s="87"/>
      <c r="M288" s="74"/>
      <c r="N288" s="87"/>
      <c r="O288" s="74"/>
      <c r="P288" s="87"/>
      <c r="Q288" s="74"/>
      <c r="R288" s="87"/>
      <c r="S288" s="74"/>
      <c r="T288" s="87"/>
      <c r="U288" s="74"/>
      <c r="V288" s="87"/>
      <c r="W288" s="74"/>
      <c r="X288" s="87"/>
      <c r="Y288" s="74"/>
      <c r="Z288" s="87"/>
      <c r="AA288" s="74"/>
      <c r="AB288" s="87"/>
      <c r="AC288" s="74"/>
      <c r="AD288" s="87"/>
      <c r="AE288" s="74"/>
      <c r="AF288" s="87"/>
      <c r="AG288" s="74"/>
      <c r="AH288" s="87"/>
      <c r="AI288" s="74"/>
      <c r="AJ288" s="87"/>
      <c r="AK288" s="74"/>
      <c r="AL288" s="87"/>
      <c r="AM288" s="74"/>
      <c r="AN288" s="87"/>
      <c r="AO288" s="74"/>
      <c r="AP288" s="87"/>
      <c r="AQ288" s="74">
        <v>32</v>
      </c>
      <c r="AR288" s="87"/>
      <c r="AS288" s="74">
        <v>32.1</v>
      </c>
      <c r="AT288" s="87"/>
      <c r="AU288" s="74">
        <v>33.700000000000003</v>
      </c>
      <c r="AV288" s="87" t="str">
        <f t="shared" si="1635"/>
        <v>NA</v>
      </c>
      <c r="AW288" s="74">
        <v>34.799999999999997</v>
      </c>
      <c r="AX288" s="87" t="str">
        <f t="shared" si="1636"/>
        <v>NA</v>
      </c>
      <c r="AY288" s="74">
        <v>35.1</v>
      </c>
      <c r="AZ288" s="87">
        <f t="shared" si="1637"/>
        <v>9.6875</v>
      </c>
      <c r="BA288" s="74">
        <v>34.4</v>
      </c>
      <c r="BB288" s="87">
        <f t="shared" si="1638"/>
        <v>7.1651090342678998</v>
      </c>
      <c r="BC288" s="74">
        <v>34.6</v>
      </c>
      <c r="BD288" s="87">
        <f t="shared" si="1639"/>
        <v>2.6706231454005831</v>
      </c>
      <c r="BE288" s="74">
        <v>35.6</v>
      </c>
      <c r="BF288" s="87">
        <f t="shared" si="1640"/>
        <v>2.2988505747126595</v>
      </c>
      <c r="BG288" s="86">
        <v>36.5</v>
      </c>
      <c r="BH288" s="87">
        <f t="shared" si="1641"/>
        <v>3.9886039886039839</v>
      </c>
      <c r="BI288" s="86">
        <v>37.799999999999997</v>
      </c>
      <c r="BJ288" s="87">
        <f t="shared" si="1642"/>
        <v>9.8837209302325562</v>
      </c>
      <c r="BK288" s="86">
        <v>37.200000000000003</v>
      </c>
      <c r="BL288" s="87">
        <f t="shared" si="1643"/>
        <v>7.5144508670520196</v>
      </c>
      <c r="BM288" s="86">
        <v>35.700000000000003</v>
      </c>
      <c r="BN288" s="87">
        <f t="shared" si="1644"/>
        <v>0.28089887640450684</v>
      </c>
      <c r="BO288" s="86">
        <v>33.6</v>
      </c>
      <c r="BP288" s="87">
        <f t="shared" si="1645"/>
        <v>-7.9452054794520564</v>
      </c>
      <c r="BQ288" s="86">
        <v>33.6</v>
      </c>
      <c r="BR288" s="87">
        <f t="shared" si="1646"/>
        <v>-11.1111111111111</v>
      </c>
      <c r="BS288" s="86">
        <v>32</v>
      </c>
      <c r="BT288" s="87">
        <f t="shared" si="1647"/>
        <v>-13.978494623655919</v>
      </c>
      <c r="BU288" s="86">
        <v>28.2</v>
      </c>
      <c r="BV288" s="87">
        <f t="shared" si="1648"/>
        <v>-21.008403361344534</v>
      </c>
      <c r="BW288" s="86">
        <v>27.8</v>
      </c>
      <c r="BX288" s="72">
        <f t="shared" si="1649"/>
        <v>-17.261904761904773</v>
      </c>
      <c r="BY288" s="86">
        <v>30.8</v>
      </c>
      <c r="BZ288" s="72">
        <f t="shared" si="1650"/>
        <v>-8.3333333333333428</v>
      </c>
      <c r="CA288" s="86">
        <v>31.9</v>
      </c>
      <c r="CB288" s="72">
        <f t="shared" si="1651"/>
        <v>-0.3125</v>
      </c>
      <c r="CC288" s="86">
        <v>33.299999999999997</v>
      </c>
      <c r="CD288" s="72">
        <f t="shared" si="1652"/>
        <v>18.085106382978708</v>
      </c>
      <c r="CE288" s="86">
        <v>35.5</v>
      </c>
      <c r="CF288" s="72">
        <f t="shared" si="1653"/>
        <v>27.697841726618705</v>
      </c>
      <c r="CG288" s="86">
        <v>35.1</v>
      </c>
      <c r="CH288" s="72">
        <f t="shared" si="1654"/>
        <v>13.96103896103898</v>
      </c>
      <c r="CI288" s="86">
        <v>35.1</v>
      </c>
      <c r="CJ288" s="72">
        <f t="shared" si="1655"/>
        <v>10.031347962382455</v>
      </c>
      <c r="CK288" s="86">
        <v>39.6</v>
      </c>
      <c r="CL288" s="72">
        <f t="shared" si="1655"/>
        <v>18.918918918918919</v>
      </c>
      <c r="CM288" s="86">
        <v>38</v>
      </c>
      <c r="CN288" s="72">
        <f t="shared" si="1655"/>
        <v>7.042253521126753</v>
      </c>
      <c r="CO288" s="86">
        <v>37.700000000000003</v>
      </c>
      <c r="CP288" s="72">
        <f t="shared" si="1655"/>
        <v>7.407407407407419</v>
      </c>
      <c r="CQ288" s="86">
        <v>47.2</v>
      </c>
      <c r="CR288" s="72">
        <f t="shared" si="1655"/>
        <v>34.472934472934469</v>
      </c>
      <c r="CS288" s="86">
        <v>49.7</v>
      </c>
      <c r="CT288" s="72">
        <f t="shared" si="1655"/>
        <v>25.505050505050491</v>
      </c>
      <c r="CU288" s="86">
        <v>44</v>
      </c>
      <c r="CV288" s="72">
        <f t="shared" si="1656"/>
        <v>15.789473684210535</v>
      </c>
      <c r="CW288" s="86">
        <v>50.6</v>
      </c>
      <c r="CX288" s="72">
        <f t="shared" si="1657"/>
        <v>34.217506631299727</v>
      </c>
      <c r="CY288" s="86">
        <v>46.1</v>
      </c>
      <c r="CZ288" s="72">
        <f t="shared" si="1658"/>
        <v>-2.330508474576277</v>
      </c>
      <c r="DA288" s="86">
        <v>47.6</v>
      </c>
      <c r="DB288" s="72">
        <f t="shared" si="1659"/>
        <v>-4.2253521126760631</v>
      </c>
      <c r="DC288" s="86">
        <v>45.9</v>
      </c>
      <c r="DD288" s="72">
        <f t="shared" si="1660"/>
        <v>4.3181818181818272</v>
      </c>
      <c r="DE288" s="86">
        <v>52</v>
      </c>
      <c r="DF288" s="72">
        <f t="shared" si="1661"/>
        <v>2.7667984189723427</v>
      </c>
      <c r="DG288" s="86">
        <v>52.6</v>
      </c>
      <c r="DH288" s="72">
        <f t="shared" si="1662"/>
        <v>14.099783080260295</v>
      </c>
      <c r="DI288" s="86">
        <v>55.7</v>
      </c>
      <c r="DJ288" s="72">
        <f t="shared" si="1663"/>
        <v>17.016806722689083</v>
      </c>
      <c r="DK288" s="86">
        <v>55.9</v>
      </c>
      <c r="DL288" s="72">
        <f t="shared" si="1664"/>
        <v>21.786492374727672</v>
      </c>
      <c r="DM288" s="86">
        <v>57.6</v>
      </c>
      <c r="DN288" s="72">
        <f t="shared" si="1665"/>
        <v>10.769230769230774</v>
      </c>
      <c r="DO288" s="86">
        <v>57.3</v>
      </c>
      <c r="DP288" s="72">
        <f t="shared" si="1665"/>
        <v>8.9353612167300156</v>
      </c>
      <c r="DQ288" s="86">
        <v>59.3</v>
      </c>
      <c r="DR288" s="72">
        <f t="shared" si="1665"/>
        <v>6.4631956912028556</v>
      </c>
      <c r="DS288" s="86">
        <v>63.3</v>
      </c>
      <c r="DT288" s="72">
        <f t="shared" si="1665"/>
        <v>13.237924865831843</v>
      </c>
      <c r="DU288" s="86">
        <v>64</v>
      </c>
      <c r="DV288" s="72">
        <f t="shared" si="1665"/>
        <v>11.111111111111114</v>
      </c>
      <c r="DW288" s="86">
        <v>63</v>
      </c>
      <c r="DX288" s="72">
        <f t="shared" si="1665"/>
        <v>9.9476439790576023</v>
      </c>
      <c r="DY288" s="86">
        <v>68.400000000000006</v>
      </c>
      <c r="DZ288" s="72">
        <f t="shared" si="1665"/>
        <v>15.345699831365948</v>
      </c>
      <c r="EA288" s="86">
        <v>70.8</v>
      </c>
      <c r="EB288" s="72">
        <f t="shared" si="1667"/>
        <v>11.848341232227483</v>
      </c>
      <c r="EC288" s="86">
        <v>70.8</v>
      </c>
      <c r="ED288" s="72">
        <f t="shared" si="1668"/>
        <v>10.625</v>
      </c>
      <c r="EE288" s="86">
        <v>71.3</v>
      </c>
      <c r="EF288" s="72">
        <f t="shared" si="1669"/>
        <v>13.174603174603178</v>
      </c>
      <c r="EG288" s="86">
        <v>72.599999999999994</v>
      </c>
      <c r="EH288" s="72">
        <f t="shared" si="1670"/>
        <v>6.140350877192958</v>
      </c>
      <c r="EI288" s="86">
        <v>73.400000000000006</v>
      </c>
      <c r="EJ288" s="72">
        <f t="shared" si="1671"/>
        <v>3.6723163841807889</v>
      </c>
      <c r="EK288" s="86">
        <v>81.2</v>
      </c>
      <c r="EL288" s="72">
        <f t="shared" si="1672"/>
        <v>14.689265536723155</v>
      </c>
      <c r="EM288" s="86">
        <v>82.4</v>
      </c>
      <c r="EN288" s="72">
        <f t="shared" si="1673"/>
        <v>15.568022440392724</v>
      </c>
      <c r="EO288" s="86">
        <v>81.3</v>
      </c>
      <c r="EP288" s="72">
        <f t="shared" si="1674"/>
        <v>11.983471074380176</v>
      </c>
      <c r="EQ288" s="86">
        <f t="shared" ref="EQ288" si="1706">EO288*1.01</f>
        <v>82.113</v>
      </c>
      <c r="ER288" s="72">
        <f t="shared" si="1676"/>
        <v>11.87057220708445</v>
      </c>
      <c r="ES288" s="86">
        <f t="shared" ref="ES288" si="1707">EQ288*1.01</f>
        <v>82.934129999999996</v>
      </c>
      <c r="ET288" s="72">
        <f t="shared" si="1678"/>
        <v>2.1356280788177315</v>
      </c>
      <c r="EU288" s="86">
        <f t="shared" ref="EU288" si="1708">ES288*1.01</f>
        <v>83.763471299999992</v>
      </c>
      <c r="EV288" s="72">
        <f t="shared" si="1680"/>
        <v>1.6546981796116427</v>
      </c>
      <c r="EW288" s="86">
        <f t="shared" ref="EW288" si="1709">EU288*1.01</f>
        <v>84.601106012999992</v>
      </c>
      <c r="EX288" s="72">
        <f t="shared" si="1682"/>
        <v>4.0604009999999988</v>
      </c>
      <c r="EY288" s="72"/>
      <c r="EZ288" s="309"/>
      <c r="FA288" s="72"/>
      <c r="FB288" s="81"/>
      <c r="FC288" s="72"/>
      <c r="FD288" s="81"/>
      <c r="FE288" s="87"/>
      <c r="FF288" s="81"/>
      <c r="FG288" s="87"/>
      <c r="FH288" s="81"/>
      <c r="FI288" s="87"/>
      <c r="FJ288" s="81"/>
      <c r="FK288" s="87"/>
      <c r="FL288" s="81"/>
      <c r="FM288" s="87"/>
      <c r="FN288" s="81"/>
      <c r="FO288" s="87"/>
      <c r="FP288" s="116">
        <f>AW288</f>
        <v>34.799999999999997</v>
      </c>
      <c r="FQ288" s="87"/>
      <c r="FR288" s="75">
        <f>BE288</f>
        <v>35.6</v>
      </c>
      <c r="FS288" s="87">
        <f t="shared" si="1683"/>
        <v>2.2988505747126595</v>
      </c>
      <c r="FT288" s="75">
        <f>BM288</f>
        <v>35.700000000000003</v>
      </c>
      <c r="FU288" s="87">
        <f t="shared" si="1684"/>
        <v>0.28089887640450684</v>
      </c>
      <c r="FV288" s="81">
        <f>BU288</f>
        <v>28.2</v>
      </c>
      <c r="FW288" s="87">
        <f>IF(ISERROR(FV288/FT288),"NA",IF(OR(FV288/FT288&gt;2,FV288/FT288&lt;0.5),"NM",FV288/FT288*100-100))</f>
        <v>-21.008403361344534</v>
      </c>
      <c r="FX288" s="81">
        <f>CC288</f>
        <v>33.299999999999997</v>
      </c>
      <c r="FY288" s="87">
        <f>IF(ISERROR(FX288/FV288),"NA",IF(OR(FX288/FV288&gt;2,FX288/FV288&lt;0.5),"NM",FX288/FV288*100-100))</f>
        <v>18.085106382978708</v>
      </c>
      <c r="FZ288" s="81">
        <f>CK288</f>
        <v>39.6</v>
      </c>
      <c r="GA288" s="87">
        <f>IF(ISERROR(FZ288/FX288),"NA",IF(OR(FZ288/FX288&gt;2,FZ288/FX288&lt;0.5),"NM",FZ288/FX288*100-100))</f>
        <v>18.918918918918919</v>
      </c>
      <c r="GB288" s="81">
        <f>CS288</f>
        <v>49.7</v>
      </c>
      <c r="GC288" s="87">
        <f>IF(ISERROR(GB288/FZ288),"NA",IF(OR(GB288/FZ288&gt;2,GB288/FZ288&lt;0.5),"NM",GB288/FZ288*100-100))</f>
        <v>25.505050505050491</v>
      </c>
      <c r="GD288" s="81">
        <f>DA288</f>
        <v>47.6</v>
      </c>
      <c r="GE288" s="87">
        <f>IF(ISERROR(GD288/GB288),"NA",IF(OR(GD288/GB288&gt;2,GD288/GB288&lt;0.5),"NM",GD288/GB288*100-100))</f>
        <v>-4.2253521126760631</v>
      </c>
      <c r="GF288" s="81">
        <f>DI288</f>
        <v>55.7</v>
      </c>
      <c r="GG288" s="87">
        <f>IF(ISERROR(GF288/GD288),"NA",IF(OR(GF288/GD288&gt;2,GF288/GD288&lt;0.5),"NM",GF288/GD288*100-100))</f>
        <v>17.016806722689083</v>
      </c>
      <c r="GH288" s="81">
        <f>DQ288</f>
        <v>59.3</v>
      </c>
      <c r="GI288" s="72">
        <f t="shared" si="1686"/>
        <v>6.4631956912028556</v>
      </c>
      <c r="GJ288" s="81">
        <f>DY288</f>
        <v>68.400000000000006</v>
      </c>
      <c r="GK288" s="72">
        <f t="shared" si="1686"/>
        <v>15.345699831365948</v>
      </c>
      <c r="GL288" s="81">
        <f>EG288</f>
        <v>72.599999999999994</v>
      </c>
      <c r="GM288" s="72">
        <f t="shared" si="1686"/>
        <v>6.140350877192958</v>
      </c>
      <c r="GN288" s="81">
        <f>EO288</f>
        <v>81.3</v>
      </c>
      <c r="GO288" s="72">
        <f t="shared" si="1686"/>
        <v>11.983471074380176</v>
      </c>
      <c r="GP288" s="81">
        <f>EW288</f>
        <v>84.601106012999992</v>
      </c>
      <c r="GQ288" s="72">
        <f t="shared" si="1686"/>
        <v>4.0604009999999988</v>
      </c>
      <c r="GR288" s="86">
        <f>GP288*1.04</f>
        <v>87.98515025351999</v>
      </c>
      <c r="GS288" s="72">
        <f t="shared" si="1686"/>
        <v>4</v>
      </c>
      <c r="GT288" s="86">
        <f>GR288*1.04</f>
        <v>91.504556263660788</v>
      </c>
      <c r="GU288" s="72">
        <f t="shared" si="1686"/>
        <v>4</v>
      </c>
      <c r="GV288" s="86">
        <f>GT288*1.04</f>
        <v>95.16473851420723</v>
      </c>
      <c r="GW288" s="72">
        <f t="shared" si="1687"/>
        <v>4</v>
      </c>
      <c r="GX288" s="86">
        <f>GV288*1.04</f>
        <v>98.971328054775526</v>
      </c>
      <c r="GY288" s="72">
        <f t="shared" si="1688"/>
        <v>4</v>
      </c>
      <c r="GZ288" s="87">
        <f t="shared" si="1689"/>
        <v>4.0120773946076937</v>
      </c>
      <c r="HA288" s="87"/>
      <c r="HB288" s="87"/>
      <c r="HC288"/>
      <c r="HD288"/>
      <c r="HE288"/>
      <c r="HF288"/>
      <c r="HG288"/>
      <c r="HH288"/>
      <c r="HI288" s="2"/>
    </row>
    <row r="289" spans="1:217" s="3" customFormat="1" ht="12.75" customHeight="1" x14ac:dyDescent="0.2">
      <c r="B289" s="76" t="s">
        <v>110</v>
      </c>
      <c r="C289" s="115"/>
      <c r="D289" s="72"/>
      <c r="E289" s="115"/>
      <c r="F289" s="72"/>
      <c r="G289" s="115"/>
      <c r="H289" s="72"/>
      <c r="I289" s="115"/>
      <c r="J289" s="72"/>
      <c r="K289" s="115"/>
      <c r="L289" s="87"/>
      <c r="M289" s="115"/>
      <c r="N289" s="87"/>
      <c r="O289" s="115"/>
      <c r="P289" s="87"/>
      <c r="Q289" s="115"/>
      <c r="R289" s="87"/>
      <c r="S289" s="115"/>
      <c r="T289" s="87"/>
      <c r="U289" s="115"/>
      <c r="V289" s="87"/>
      <c r="W289" s="115"/>
      <c r="X289" s="87"/>
      <c r="Y289" s="115"/>
      <c r="Z289" s="87"/>
      <c r="AA289" s="115"/>
      <c r="AB289" s="87"/>
      <c r="AC289" s="115"/>
      <c r="AD289" s="87"/>
      <c r="AE289" s="115"/>
      <c r="AF289" s="87"/>
      <c r="AG289" s="115"/>
      <c r="AH289" s="87"/>
      <c r="AI289" s="115"/>
      <c r="AJ289" s="87"/>
      <c r="AK289" s="115"/>
      <c r="AL289" s="87"/>
      <c r="AM289" s="115"/>
      <c r="AN289" s="87"/>
      <c r="AO289" s="115"/>
      <c r="AP289" s="87"/>
      <c r="AQ289" s="115">
        <f>AQ288+AQ287</f>
        <v>64.8</v>
      </c>
      <c r="AR289" s="87"/>
      <c r="AS289" s="115">
        <f>AS288+AS287</f>
        <v>65.7</v>
      </c>
      <c r="AT289" s="87"/>
      <c r="AU289" s="115">
        <f>AU288+AU287</f>
        <v>70.5</v>
      </c>
      <c r="AV289" s="87" t="str">
        <f t="shared" si="1635"/>
        <v>NA</v>
      </c>
      <c r="AW289" s="115">
        <f>AW288+AW287</f>
        <v>73.5</v>
      </c>
      <c r="AX289" s="87" t="str">
        <f t="shared" si="1636"/>
        <v>NA</v>
      </c>
      <c r="AY289" s="115">
        <f>AY288+AY287</f>
        <v>75.600000000000009</v>
      </c>
      <c r="AZ289" s="87">
        <f t="shared" si="1637"/>
        <v>16.666666666666671</v>
      </c>
      <c r="BA289" s="115">
        <f>BA288+BA287</f>
        <v>75.099999999999994</v>
      </c>
      <c r="BB289" s="87">
        <f t="shared" si="1638"/>
        <v>14.30745814307457</v>
      </c>
      <c r="BC289" s="115">
        <f>BC288+BC287</f>
        <v>75.900000000000006</v>
      </c>
      <c r="BD289" s="87">
        <f t="shared" si="1639"/>
        <v>7.6595744680851112</v>
      </c>
      <c r="BE289" s="115">
        <f>BE288+BE287</f>
        <v>79</v>
      </c>
      <c r="BF289" s="87">
        <f t="shared" si="1640"/>
        <v>7.4829931972789154</v>
      </c>
      <c r="BG289" s="116">
        <f>BG288+BG287</f>
        <v>84.199999999999989</v>
      </c>
      <c r="BH289" s="87">
        <f t="shared" si="1641"/>
        <v>11.375661375661352</v>
      </c>
      <c r="BI289" s="116">
        <f>BI288+BI287</f>
        <v>87.1</v>
      </c>
      <c r="BJ289" s="87">
        <f t="shared" si="1642"/>
        <v>15.978695073235684</v>
      </c>
      <c r="BK289" s="116">
        <f>BK288+BK287</f>
        <v>88.5</v>
      </c>
      <c r="BL289" s="87">
        <f t="shared" si="1643"/>
        <v>16.600790513833985</v>
      </c>
      <c r="BM289" s="116">
        <f>BM288+BM287</f>
        <v>86.600000000000009</v>
      </c>
      <c r="BN289" s="87">
        <f t="shared" si="1644"/>
        <v>9.6202531645569707</v>
      </c>
      <c r="BO289" s="116">
        <f>BO288+BO287</f>
        <v>81.800000000000011</v>
      </c>
      <c r="BP289" s="87">
        <f t="shared" si="1645"/>
        <v>-2.8503562945367946</v>
      </c>
      <c r="BQ289" s="116">
        <f>BQ288+BQ287</f>
        <v>84.300000000000011</v>
      </c>
      <c r="BR289" s="87">
        <f t="shared" si="1646"/>
        <v>-3.2146957520091632</v>
      </c>
      <c r="BS289" s="116">
        <f>BS288+BS287</f>
        <v>75.400000000000006</v>
      </c>
      <c r="BT289" s="87">
        <f t="shared" si="1647"/>
        <v>-14.802259887005647</v>
      </c>
      <c r="BU289" s="116">
        <f>BU288+BU287</f>
        <v>61.7</v>
      </c>
      <c r="BV289" s="87">
        <f t="shared" si="1648"/>
        <v>-28.752886836027713</v>
      </c>
      <c r="BW289" s="116">
        <f>BW288+BW287</f>
        <v>61.300000000000011</v>
      </c>
      <c r="BX289" s="72">
        <f t="shared" si="1649"/>
        <v>-25.061124694376531</v>
      </c>
      <c r="BY289" s="116">
        <f>BY288+BY287</f>
        <v>70.300000000000011</v>
      </c>
      <c r="BZ289" s="72">
        <f t="shared" si="1650"/>
        <v>-16.607354685646499</v>
      </c>
      <c r="CA289" s="116">
        <f>CA288+CA287</f>
        <v>79.100000000000009</v>
      </c>
      <c r="CB289" s="72">
        <f t="shared" si="1651"/>
        <v>4.9071618037135352</v>
      </c>
      <c r="CC289" s="116">
        <f>CC288+CC287</f>
        <v>84.4</v>
      </c>
      <c r="CD289" s="72">
        <f t="shared" si="1652"/>
        <v>36.790923824959464</v>
      </c>
      <c r="CE289" s="116">
        <f>CE288+CE287</f>
        <v>89</v>
      </c>
      <c r="CF289" s="72">
        <f t="shared" si="1653"/>
        <v>45.187601957585628</v>
      </c>
      <c r="CG289" s="116">
        <f>CG288+CG287</f>
        <v>84.199999999999989</v>
      </c>
      <c r="CH289" s="72">
        <f t="shared" si="1654"/>
        <v>19.772403982930257</v>
      </c>
      <c r="CI289" s="116">
        <f>CI288+CI287</f>
        <v>90.6</v>
      </c>
      <c r="CJ289" s="72">
        <f t="shared" si="1655"/>
        <v>14.538558786346385</v>
      </c>
      <c r="CK289" s="116">
        <f>CK288+CK287</f>
        <v>101.19999999999999</v>
      </c>
      <c r="CL289" s="72">
        <f t="shared" si="1655"/>
        <v>19.90521327014217</v>
      </c>
      <c r="CM289" s="116">
        <f>CM288+CM287</f>
        <v>118.7</v>
      </c>
      <c r="CN289" s="72">
        <f t="shared" si="1655"/>
        <v>33.37078651685394</v>
      </c>
      <c r="CO289" s="116">
        <f>CO288+CO287</f>
        <v>119.80000000000001</v>
      </c>
      <c r="CP289" s="72">
        <f t="shared" si="1655"/>
        <v>42.280285035629475</v>
      </c>
      <c r="CQ289" s="116">
        <f>CQ288+CQ287</f>
        <v>119.40000000000002</v>
      </c>
      <c r="CR289" s="72">
        <f t="shared" si="1655"/>
        <v>31.78807947019871</v>
      </c>
      <c r="CS289" s="116">
        <f>CS288+CS287</f>
        <v>119.30000000000001</v>
      </c>
      <c r="CT289" s="72">
        <f t="shared" si="1655"/>
        <v>17.88537549407117</v>
      </c>
      <c r="CU289" s="116">
        <f>CU288+CU287</f>
        <v>125.10000000000002</v>
      </c>
      <c r="CV289" s="72">
        <f t="shared" si="1656"/>
        <v>5.3917438921651524</v>
      </c>
      <c r="CW289" s="116">
        <f>CW288+CW287</f>
        <v>131.70000000000002</v>
      </c>
      <c r="CX289" s="72">
        <f t="shared" si="1657"/>
        <v>9.9332220367278836</v>
      </c>
      <c r="CY289" s="116">
        <f>CY288+CY287</f>
        <v>133.90000000000003</v>
      </c>
      <c r="CZ289" s="72">
        <f t="shared" si="1658"/>
        <v>12.144053601340033</v>
      </c>
      <c r="DA289" s="116">
        <f>DA288+DA287</f>
        <v>138.70000000000002</v>
      </c>
      <c r="DB289" s="72">
        <f t="shared" si="1659"/>
        <v>16.261525565800511</v>
      </c>
      <c r="DC289" s="116">
        <f>DC288+DC287</f>
        <v>143.80000000000004</v>
      </c>
      <c r="DD289" s="72">
        <f t="shared" si="1660"/>
        <v>14.94804156674661</v>
      </c>
      <c r="DE289" s="116">
        <f>DE288+DE287</f>
        <v>152.40000000000003</v>
      </c>
      <c r="DF289" s="72">
        <f t="shared" si="1661"/>
        <v>15.717539863325754</v>
      </c>
      <c r="DG289" s="116">
        <f>DG288+DG287</f>
        <v>159.10000000000002</v>
      </c>
      <c r="DH289" s="72">
        <f t="shared" si="1662"/>
        <v>18.820014936519769</v>
      </c>
      <c r="DI289" s="116">
        <f>DI288+DI287</f>
        <v>170.70000000000005</v>
      </c>
      <c r="DJ289" s="72">
        <f t="shared" si="1663"/>
        <v>23.071377072819061</v>
      </c>
      <c r="DK289" s="116">
        <f>DK288+DK287</f>
        <v>172.90000000000003</v>
      </c>
      <c r="DL289" s="72">
        <f t="shared" si="1664"/>
        <v>20.236439499304581</v>
      </c>
      <c r="DM289" s="116">
        <f>DM288+DM287</f>
        <v>180.10000000000002</v>
      </c>
      <c r="DN289" s="72">
        <f t="shared" si="1665"/>
        <v>18.175853018372706</v>
      </c>
      <c r="DO289" s="116">
        <f>DO288+DO287</f>
        <v>180.00000000000003</v>
      </c>
      <c r="DP289" s="72">
        <f t="shared" si="1665"/>
        <v>13.136392206159655</v>
      </c>
      <c r="DQ289" s="116">
        <f>DQ288+DQ287</f>
        <v>186.10000000000002</v>
      </c>
      <c r="DR289" s="72">
        <f t="shared" si="1665"/>
        <v>9.0216754540128647</v>
      </c>
      <c r="DS289" s="116">
        <f>DS288+DS287</f>
        <v>198.40000000000003</v>
      </c>
      <c r="DT289" s="72">
        <f t="shared" si="1665"/>
        <v>14.748409485251585</v>
      </c>
      <c r="DU289" s="116">
        <f>DU288+DU287</f>
        <v>199.20000000000007</v>
      </c>
      <c r="DV289" s="72">
        <f t="shared" si="1665"/>
        <v>10.605219322598586</v>
      </c>
      <c r="DW289" s="116">
        <f>DW288+DW287</f>
        <v>188.90000000000006</v>
      </c>
      <c r="DX289" s="72">
        <f t="shared" si="1665"/>
        <v>4.9444444444444571</v>
      </c>
      <c r="DY289" s="116">
        <f>DY288+DY287</f>
        <v>197.30000000000007</v>
      </c>
      <c r="DZ289" s="72">
        <f t="shared" si="1665"/>
        <v>6.0182697474476328</v>
      </c>
      <c r="EA289" s="116">
        <f>EA288+EA287</f>
        <v>198.60000000000008</v>
      </c>
      <c r="EB289" s="72">
        <f t="shared" si="1667"/>
        <v>0.10080645161292523</v>
      </c>
      <c r="EC289" s="116">
        <f>EC288+EC287</f>
        <v>202.10000000000008</v>
      </c>
      <c r="ED289" s="72">
        <f t="shared" si="1668"/>
        <v>1.4558232931726849</v>
      </c>
      <c r="EE289" s="116">
        <f>EE288+EE287</f>
        <v>209.00000000000006</v>
      </c>
      <c r="EF289" s="72">
        <f t="shared" si="1669"/>
        <v>10.640550555849643</v>
      </c>
      <c r="EG289" s="116">
        <f>EG288+EG287</f>
        <v>209.20000000000007</v>
      </c>
      <c r="EH289" s="72">
        <f t="shared" si="1670"/>
        <v>6.0314242270653722</v>
      </c>
      <c r="EI289" s="116">
        <f>EI288+EI287</f>
        <v>217.60000000000008</v>
      </c>
      <c r="EJ289" s="72">
        <f t="shared" si="1671"/>
        <v>9.5669687814702939</v>
      </c>
      <c r="EK289" s="116">
        <f>EK288+EK287</f>
        <v>231.2000000000001</v>
      </c>
      <c r="EL289" s="72">
        <f t="shared" si="1672"/>
        <v>14.398812469074727</v>
      </c>
      <c r="EM289" s="116">
        <f>EM288+EM287</f>
        <v>239.90000000000009</v>
      </c>
      <c r="EN289" s="72">
        <f t="shared" si="1673"/>
        <v>14.784688995215319</v>
      </c>
      <c r="EO289" s="116">
        <f>EO288+EO287</f>
        <v>245.60000000000008</v>
      </c>
      <c r="EP289" s="72">
        <f t="shared" si="1674"/>
        <v>17.399617590822174</v>
      </c>
      <c r="EQ289" s="81">
        <f t="shared" ref="EQ289" si="1710">EQ288+EQ287</f>
        <v>246.1467900000001</v>
      </c>
      <c r="ER289" s="72">
        <f t="shared" si="1676"/>
        <v>13.11892922794118</v>
      </c>
      <c r="ES289" s="81">
        <f t="shared" ref="ES289" si="1711">ES288+ES287</f>
        <v>249.3559067282664</v>
      </c>
      <c r="ET289" s="72">
        <f t="shared" si="1678"/>
        <v>7.8529008340252062</v>
      </c>
      <c r="EU289" s="81">
        <f t="shared" ref="EU289" si="1712">EU288+EU287</f>
        <v>252.91683712687475</v>
      </c>
      <c r="EV289" s="72">
        <f t="shared" si="1680"/>
        <v>5.4259429457585071</v>
      </c>
      <c r="EW289" s="81">
        <f t="shared" ref="EW289" si="1713">EW288+EW287</f>
        <v>257.05944192607706</v>
      </c>
      <c r="EX289" s="72">
        <f t="shared" si="1682"/>
        <v>4.6658965497056215</v>
      </c>
      <c r="EY289" s="72"/>
      <c r="EZ289" s="309"/>
      <c r="FA289" s="72"/>
      <c r="FB289" s="81"/>
      <c r="FC289" s="82"/>
      <c r="FD289" s="81"/>
      <c r="FE289" s="87"/>
      <c r="FF289" s="81"/>
      <c r="FG289" s="87"/>
      <c r="FH289" s="81"/>
      <c r="FI289" s="87"/>
      <c r="FJ289" s="81"/>
      <c r="FK289" s="87"/>
      <c r="FL289" s="81"/>
      <c r="FM289" s="87"/>
      <c r="FN289" s="81"/>
      <c r="FO289" s="87"/>
      <c r="FP289" s="116">
        <f>FP288+FP287</f>
        <v>73.5</v>
      </c>
      <c r="FQ289" s="87"/>
      <c r="FR289" s="75">
        <f>FR288+FR287</f>
        <v>79</v>
      </c>
      <c r="FS289" s="87">
        <f t="shared" si="1683"/>
        <v>7.4829931972789154</v>
      </c>
      <c r="FT289" s="75">
        <f>FT288+FT287</f>
        <v>86.600000000000009</v>
      </c>
      <c r="FU289" s="87">
        <f t="shared" si="1684"/>
        <v>9.6202531645569707</v>
      </c>
      <c r="FV289" s="81">
        <f>FV288+FV287</f>
        <v>61.7</v>
      </c>
      <c r="FW289" s="87">
        <f>IF(ISERROR(FV289/FT289),"NA",IF(OR(FV289/FT289&gt;2,FV289/FT289&lt;0.5),"NM",FV289/FT289*100-100))</f>
        <v>-28.752886836027713</v>
      </c>
      <c r="FX289" s="81">
        <f>FX288+FX287</f>
        <v>84.399999999999991</v>
      </c>
      <c r="FY289" s="87">
        <f>IF(ISERROR(FX289/FV289),"NA",IF(OR(FX289/FV289&gt;2,FX289/FV289&lt;0.5),"NM",FX289/FV289*100-100))</f>
        <v>36.790923824959464</v>
      </c>
      <c r="FZ289" s="81">
        <f>FZ288+FZ287</f>
        <v>101.19999999999999</v>
      </c>
      <c r="GA289" s="87">
        <f>IF(ISERROR(FZ289/FX289),"NA",IF(OR(FZ289/FX289&gt;2,FZ289/FX289&lt;0.5),"NM",FZ289/FX289*100-100))</f>
        <v>19.905213270142184</v>
      </c>
      <c r="GB289" s="81">
        <f>GB288+GB287</f>
        <v>119.3</v>
      </c>
      <c r="GC289" s="87">
        <f>IF(ISERROR(GB289/FZ289),"NA",IF(OR(GB289/FZ289&gt;2,GB289/FZ289&lt;0.5),"NM",GB289/FZ289*100-100))</f>
        <v>17.88537549407117</v>
      </c>
      <c r="GD289" s="81">
        <f>GD288+GD287</f>
        <v>138.69999999999999</v>
      </c>
      <c r="GE289" s="87">
        <f>IF(ISERROR(GD289/GB289),"NA",IF(OR(GD289/GB289&gt;2,GD289/GB289&lt;0.5),"NM",GD289/GB289*100-100))</f>
        <v>16.261525565800497</v>
      </c>
      <c r="GF289" s="81">
        <f>GF288+GF287</f>
        <v>170.70000000000002</v>
      </c>
      <c r="GG289" s="87">
        <f>IF(ISERROR(GF289/GD289),"NA",IF(OR(GF289/GD289&gt;2,GF289/GD289&lt;0.5),"NM",GF289/GD289*100-100))</f>
        <v>23.071377072819061</v>
      </c>
      <c r="GH289" s="81">
        <f>GH288+GH287</f>
        <v>186.10000000000002</v>
      </c>
      <c r="GI289" s="72">
        <f t="shared" si="1686"/>
        <v>9.0216754540128932</v>
      </c>
      <c r="GJ289" s="81">
        <f>GJ288+GJ287</f>
        <v>197.30000000000004</v>
      </c>
      <c r="GK289" s="72">
        <f t="shared" si="1686"/>
        <v>6.0182697474476186</v>
      </c>
      <c r="GL289" s="81">
        <f>GL288+GL287</f>
        <v>209.20000000000002</v>
      </c>
      <c r="GM289" s="72">
        <f t="shared" si="1686"/>
        <v>6.0314242270653722</v>
      </c>
      <c r="GN289" s="81">
        <f>GN288+GN287</f>
        <v>245.60000000000002</v>
      </c>
      <c r="GO289" s="72">
        <f t="shared" si="1686"/>
        <v>17.399617590822174</v>
      </c>
      <c r="GP289" s="81">
        <f>GP288+GP287</f>
        <v>257.05944192607694</v>
      </c>
      <c r="GQ289" s="72">
        <f t="shared" si="1686"/>
        <v>4.6658965497055931</v>
      </c>
      <c r="GR289" s="81">
        <f>GR288+GR287</f>
        <v>269.35039383693618</v>
      </c>
      <c r="GS289" s="72">
        <f t="shared" si="1686"/>
        <v>4.7813656712107075</v>
      </c>
      <c r="GT289" s="81">
        <f>GT288+GT287</f>
        <v>280.55220624613901</v>
      </c>
      <c r="GU289" s="72">
        <f t="shared" si="1686"/>
        <v>4.158825331432169</v>
      </c>
      <c r="GV289" s="81">
        <f>GV288+GV287</f>
        <v>291.00628193118854</v>
      </c>
      <c r="GW289" s="72">
        <f t="shared" si="1687"/>
        <v>3.7262496791338009</v>
      </c>
      <c r="GX289" s="81">
        <f>GX288+GX287</f>
        <v>300.96831708319269</v>
      </c>
      <c r="GY289" s="72">
        <f t="shared" si="1688"/>
        <v>3.4233058770737301</v>
      </c>
      <c r="GZ289" s="87">
        <f t="shared" si="1689"/>
        <v>4.1498103530525743</v>
      </c>
      <c r="HA289" s="87"/>
      <c r="HB289" s="87"/>
      <c r="HC289"/>
      <c r="HD289"/>
      <c r="HE289"/>
      <c r="HF289"/>
      <c r="HG289"/>
      <c r="HH289"/>
      <c r="HI289" s="2"/>
    </row>
    <row r="290" spans="1:217" s="3" customFormat="1" ht="12.75" customHeight="1" x14ac:dyDescent="0.2">
      <c r="B290" s="76"/>
      <c r="C290" s="81"/>
      <c r="D290" s="72"/>
      <c r="E290" s="81"/>
      <c r="F290" s="72"/>
      <c r="G290" s="81"/>
      <c r="H290" s="72"/>
      <c r="I290" s="81"/>
      <c r="J290" s="72"/>
      <c r="K290" s="81"/>
      <c r="L290" s="87"/>
      <c r="M290" s="81"/>
      <c r="N290" s="87"/>
      <c r="O290" s="81"/>
      <c r="P290" s="87"/>
      <c r="Q290" s="81"/>
      <c r="R290" s="87"/>
      <c r="S290" s="81"/>
      <c r="T290" s="87"/>
      <c r="U290" s="81"/>
      <c r="V290" s="87"/>
      <c r="W290" s="81"/>
      <c r="X290" s="87"/>
      <c r="Y290" s="81"/>
      <c r="Z290" s="87"/>
      <c r="AA290" s="81"/>
      <c r="AB290" s="87"/>
      <c r="AC290" s="81"/>
      <c r="AD290" s="87"/>
      <c r="AE290" s="81"/>
      <c r="AF290" s="87"/>
      <c r="AG290" s="81"/>
      <c r="AH290" s="87"/>
      <c r="AI290" s="81"/>
      <c r="AJ290" s="87"/>
      <c r="AK290" s="81"/>
      <c r="AL290" s="87"/>
      <c r="AM290" s="81"/>
      <c r="AN290" s="87"/>
      <c r="AO290" s="81"/>
      <c r="AP290" s="87"/>
      <c r="AQ290" s="81"/>
      <c r="AR290" s="87"/>
      <c r="AS290" s="81"/>
      <c r="AT290" s="87"/>
      <c r="AU290" s="81"/>
      <c r="AV290" s="87"/>
      <c r="AW290" s="81"/>
      <c r="AX290" s="87"/>
      <c r="AY290" s="81"/>
      <c r="AZ290" s="87"/>
      <c r="BA290" s="81"/>
      <c r="BB290" s="87"/>
      <c r="BC290" s="81"/>
      <c r="BD290" s="87"/>
      <c r="BE290" s="81"/>
      <c r="BF290" s="87"/>
      <c r="BG290" s="81"/>
      <c r="BH290" s="87"/>
      <c r="BI290" s="81"/>
      <c r="BJ290" s="87"/>
      <c r="BK290" s="81"/>
      <c r="BL290" s="87"/>
      <c r="BM290" s="81"/>
      <c r="BN290" s="87"/>
      <c r="BO290" s="81"/>
      <c r="BP290" s="87"/>
      <c r="BQ290" s="81"/>
      <c r="BR290" s="87"/>
      <c r="BS290" s="81"/>
      <c r="BT290" s="87"/>
      <c r="BU290" s="81"/>
      <c r="BV290" s="87"/>
      <c r="BW290" s="81"/>
      <c r="BX290" s="72"/>
      <c r="BY290" s="81"/>
      <c r="BZ290" s="72"/>
      <c r="CA290" s="81"/>
      <c r="CB290" s="72"/>
      <c r="CC290" s="81"/>
      <c r="CD290" s="72"/>
      <c r="CE290" s="81"/>
      <c r="CF290" s="72"/>
      <c r="CG290" s="81"/>
      <c r="CH290" s="72"/>
      <c r="CI290" s="81"/>
      <c r="CJ290" s="72"/>
      <c r="CK290" s="81"/>
      <c r="CL290" s="72"/>
      <c r="CM290" s="81"/>
      <c r="CN290" s="72"/>
      <c r="CO290" s="81"/>
      <c r="CP290" s="72"/>
      <c r="CQ290" s="81"/>
      <c r="CR290" s="72"/>
      <c r="CS290" s="81"/>
      <c r="CT290" s="72"/>
      <c r="CU290" s="81"/>
      <c r="CV290" s="72"/>
      <c r="CW290" s="81"/>
      <c r="CX290" s="72"/>
      <c r="CY290" s="81"/>
      <c r="CZ290" s="72"/>
      <c r="DA290" s="81"/>
      <c r="DB290" s="72"/>
      <c r="DC290" s="81"/>
      <c r="DD290" s="72"/>
      <c r="DE290" s="81"/>
      <c r="DF290" s="72"/>
      <c r="DG290" s="81"/>
      <c r="DH290" s="72"/>
      <c r="DI290" s="81"/>
      <c r="DJ290" s="72"/>
      <c r="DK290" s="81"/>
      <c r="DL290" s="72"/>
      <c r="DM290" s="81"/>
      <c r="DN290" s="72"/>
      <c r="DO290" s="81"/>
      <c r="DP290" s="72"/>
      <c r="DQ290" s="81"/>
      <c r="DR290" s="72"/>
      <c r="DS290" s="81"/>
      <c r="DT290" s="72"/>
      <c r="DU290" s="81"/>
      <c r="DV290" s="72"/>
      <c r="DW290" s="81"/>
      <c r="DX290" s="72"/>
      <c r="DY290" s="81"/>
      <c r="DZ290" s="72"/>
      <c r="EA290" s="81"/>
      <c r="EB290" s="72"/>
      <c r="EC290" s="81"/>
      <c r="ED290" s="72"/>
      <c r="EE290" s="81"/>
      <c r="EF290" s="72"/>
      <c r="EG290" s="81"/>
      <c r="EH290" s="72"/>
      <c r="EI290" s="81"/>
      <c r="EJ290" s="72"/>
      <c r="EK290" s="81"/>
      <c r="EL290" s="72"/>
      <c r="EM290" s="81"/>
      <c r="EN290" s="72"/>
      <c r="EO290" s="81"/>
      <c r="EP290" s="72"/>
      <c r="EQ290" s="81"/>
      <c r="ER290" s="72"/>
      <c r="ES290" s="81"/>
      <c r="ET290" s="72"/>
      <c r="EU290" s="81"/>
      <c r="EV290" s="72"/>
      <c r="EW290" s="81"/>
      <c r="EX290" s="72"/>
      <c r="EY290" s="72"/>
      <c r="EZ290" s="309"/>
      <c r="FA290" s="72"/>
      <c r="FB290" s="81"/>
      <c r="FC290" s="72"/>
      <c r="FD290" s="81"/>
      <c r="FE290" s="87"/>
      <c r="FF290" s="81"/>
      <c r="FG290" s="87"/>
      <c r="FH290" s="81"/>
      <c r="FI290" s="87"/>
      <c r="FJ290" s="81"/>
      <c r="FK290" s="87"/>
      <c r="FL290" s="81"/>
      <c r="FM290" s="87"/>
      <c r="FN290" s="81"/>
      <c r="FO290" s="87"/>
      <c r="FP290" s="86"/>
      <c r="FQ290" s="87"/>
      <c r="FR290" s="81"/>
      <c r="FS290" s="87"/>
      <c r="FT290" s="81"/>
      <c r="FU290" s="87"/>
      <c r="FV290" s="81"/>
      <c r="FW290" s="87"/>
      <c r="FX290" s="81"/>
      <c r="FY290" s="87"/>
      <c r="FZ290" s="81"/>
      <c r="GA290" s="87"/>
      <c r="GB290" s="81"/>
      <c r="GC290" s="87"/>
      <c r="GD290" s="81"/>
      <c r="GE290" s="87"/>
      <c r="GF290" s="81"/>
      <c r="GG290" s="87"/>
      <c r="GH290" s="81"/>
      <c r="GI290" s="87"/>
      <c r="GJ290" s="81"/>
      <c r="GK290" s="87"/>
      <c r="GL290" s="81"/>
      <c r="GM290" s="87"/>
      <c r="GN290" s="81"/>
      <c r="GO290" s="87"/>
      <c r="GP290" s="81"/>
      <c r="GQ290" s="87"/>
      <c r="GR290" s="81"/>
      <c r="GS290" s="87"/>
      <c r="GT290" s="81"/>
      <c r="GU290" s="87"/>
      <c r="GV290" s="81"/>
      <c r="GW290" s="87"/>
      <c r="GX290" s="81"/>
      <c r="GY290" s="87"/>
      <c r="GZ290" s="87"/>
      <c r="HA290" s="87"/>
      <c r="HB290" s="87"/>
      <c r="HC290"/>
      <c r="HD290"/>
      <c r="HE290"/>
      <c r="HF290"/>
      <c r="HG290"/>
      <c r="HH290"/>
      <c r="HI290" s="2"/>
    </row>
    <row r="291" spans="1:217" s="3" customFormat="1" ht="12.75" customHeight="1" x14ac:dyDescent="0.2">
      <c r="B291" s="76" t="s">
        <v>111</v>
      </c>
      <c r="C291" s="73"/>
      <c r="D291" s="72"/>
      <c r="E291" s="73"/>
      <c r="F291" s="72"/>
      <c r="G291" s="73"/>
      <c r="H291" s="72"/>
      <c r="I291" s="73"/>
      <c r="J291" s="72"/>
      <c r="K291" s="73"/>
      <c r="L291" s="87"/>
      <c r="M291" s="73"/>
      <c r="N291" s="87"/>
      <c r="O291" s="73"/>
      <c r="P291" s="87"/>
      <c r="Q291" s="73"/>
      <c r="R291" s="87"/>
      <c r="S291" s="73"/>
      <c r="T291" s="87"/>
      <c r="U291" s="73"/>
      <c r="V291" s="87"/>
      <c r="W291" s="73"/>
      <c r="X291" s="87"/>
      <c r="Y291" s="73"/>
      <c r="Z291" s="87"/>
      <c r="AA291" s="73"/>
      <c r="AB291" s="87"/>
      <c r="AC291" s="73"/>
      <c r="AD291" s="87"/>
      <c r="AE291" s="73"/>
      <c r="AF291" s="87"/>
      <c r="AG291" s="73"/>
      <c r="AH291" s="87"/>
      <c r="AI291" s="73"/>
      <c r="AJ291" s="87"/>
      <c r="AK291" s="73"/>
      <c r="AL291" s="87"/>
      <c r="AM291" s="73"/>
      <c r="AN291" s="87"/>
      <c r="AO291" s="73"/>
      <c r="AP291" s="87"/>
      <c r="AQ291" s="73">
        <f>AQ282+AQ283</f>
        <v>-0.5</v>
      </c>
      <c r="AR291" s="87"/>
      <c r="AS291" s="73">
        <f>AS282+AS283</f>
        <v>-0.39999999999999991</v>
      </c>
      <c r="AT291" s="87"/>
      <c r="AU291" s="73">
        <f>AU282+AU283</f>
        <v>0.5</v>
      </c>
      <c r="AV291" s="87" t="str">
        <f>IF(ISERROR(AU291/AM291),"NA",IF(OR(AU291/AM291&gt;2,AU291/AM291&lt;0.5),"NM",AU291/AM291*100-100))</f>
        <v>NA</v>
      </c>
      <c r="AW291" s="73">
        <f>AW282+AW283</f>
        <v>1</v>
      </c>
      <c r="AX291" s="87" t="str">
        <f>IF(ISERROR(AW291/AO291),"NA",IF(OR(AW291/AO291&gt;2,AW291/AO291&lt;0.5),"NM",AW291/AO291*100-100))</f>
        <v>NA</v>
      </c>
      <c r="AY291" s="81">
        <f>AY282+AY283</f>
        <v>0.40000000000000036</v>
      </c>
      <c r="AZ291" s="87" t="str">
        <f>IF(ISERROR(AY291/AQ291),"NA",IF(OR(AY291/AQ291&gt;2,AY291/AQ291&lt;0.5),"NM",AY291/AQ291*100-100))</f>
        <v>NM</v>
      </c>
      <c r="BA291" s="73">
        <f>BA282+BA283</f>
        <v>0.29999999999999982</v>
      </c>
      <c r="BB291" s="87" t="str">
        <f>IF(ISERROR(BA291/AS291),"NA",IF(OR(BA291/AS291&gt;2,BA291/AS291&lt;0.5),"NM",BA291/AS291*100-100))</f>
        <v>NM</v>
      </c>
      <c r="BC291" s="73">
        <f>BC282+BC283</f>
        <v>-0.70000000000000018</v>
      </c>
      <c r="BD291" s="87" t="str">
        <f>IF(ISERROR(BC291/AU291),"NA",IF(OR(BC291/AU291&gt;2,BC291/AU291&lt;0.5),"NM",BC291/AU291*100-100))</f>
        <v>NM</v>
      </c>
      <c r="BE291" s="81">
        <f>BE282+BE283</f>
        <v>0.20000000000000018</v>
      </c>
      <c r="BF291" s="87" t="str">
        <f>IF(ISERROR(BE291/AW291),"NA",IF(OR(BE291/AW291&gt;2,BE291/AW291&lt;0.5),"NM",BE291/AW291*100-100))</f>
        <v>NM</v>
      </c>
      <c r="BG291" s="81">
        <f>BG282+BG283</f>
        <v>0.29999999999999982</v>
      </c>
      <c r="BH291" s="87">
        <f>IF(ISERROR(BG291/AY291),"NA",IF(OR(BG291/AY291&gt;2,BG291/AY291&lt;0.5),"NM",BG291/AY291*100-100))</f>
        <v>-25.000000000000114</v>
      </c>
      <c r="BI291" s="81">
        <f>BI282+BI283</f>
        <v>-0.69999999999999973</v>
      </c>
      <c r="BJ291" s="87" t="str">
        <f>IF(ISERROR(BI291/BA291),"NA",IF(OR(BI291/BA291&gt;2,BI291/BA291&lt;0.5),"NM",BI291/BA291*100-100))</f>
        <v>NM</v>
      </c>
      <c r="BK291" s="81">
        <f>BK282+BK283</f>
        <v>0.30000000000000027</v>
      </c>
      <c r="BL291" s="87" t="str">
        <f>IF(ISERROR(BK291/BC291),"NA",IF(OR(BK291/BC291&gt;2,BK291/BC291&lt;0.5),"NM",BK291/BC291*100-100))</f>
        <v>NM</v>
      </c>
      <c r="BM291" s="81">
        <f>BM282+BM283</f>
        <v>0.20000000000000018</v>
      </c>
      <c r="BN291" s="87">
        <f>IF(ISERROR(BM291/BE291),"NA",IF(OR(BM291/BE291&gt;2,BM291/BE291&lt;0.5),"NM",BM291/BE291*100-100))</f>
        <v>0</v>
      </c>
      <c r="BO291" s="81">
        <f>BO282+BO283</f>
        <v>1</v>
      </c>
      <c r="BP291" s="87" t="str">
        <f>IF(ISERROR(BO291/BG291),"NA",IF(OR(BO291/BG291&gt;2,BO291/BG291&lt;0.5),"NM",BO291/BG291*100-100))</f>
        <v>NM</v>
      </c>
      <c r="BQ291" s="81">
        <f>BQ282+BQ283</f>
        <v>0.89999999999999991</v>
      </c>
      <c r="BR291" s="87" t="str">
        <f>IF(ISERROR(BQ291/BI291),"NA",IF(OR(BQ291/BI291&gt;2,BQ291/BI291&lt;0.5),"NM",BQ291/BI291*100-100))</f>
        <v>NM</v>
      </c>
      <c r="BS291" s="81">
        <f>BS282+BS283</f>
        <v>0.10000000000000053</v>
      </c>
      <c r="BT291" s="87" t="str">
        <f>IF(ISERROR(BS291/BK291),"NA",IF(OR(BS291/BK291&gt;2,BS291/BK291&lt;0.5),"NM",BS291/BK291*100-100))</f>
        <v>NM</v>
      </c>
      <c r="BU291" s="81">
        <f>BU282+BU283</f>
        <v>-1.6</v>
      </c>
      <c r="BV291" s="87" t="str">
        <f>IF(ISERROR(BU291/BM291),"NA",IF(OR(BU291/BM291&gt;2,BU291/BM291&lt;0.5),"NM",BU291/BM291*100-100))</f>
        <v>NM</v>
      </c>
      <c r="BW291" s="81">
        <f>BW282+BW283</f>
        <v>0.20000000000000018</v>
      </c>
      <c r="BX291" s="72" t="str">
        <f>IF(ISERROR(BW291/BO291),"NA",IF(OR(BW291/BO291&gt;2,BW291/BO291&lt;0.5),"NM",BW291/BO291*100-100))</f>
        <v>NM</v>
      </c>
      <c r="BY291" s="81">
        <f>BY282+BY283</f>
        <v>1.8999999999999995</v>
      </c>
      <c r="BZ291" s="72" t="str">
        <f>IF(ISERROR(BY291/BQ291),"NA",IF(OR(BY291/BQ291&gt;2,BY291/BQ291&lt;0.5),"NM",BY291/BQ291*100-100))</f>
        <v>NM</v>
      </c>
      <c r="CA291" s="81">
        <f>CA282+CA283</f>
        <v>2.8</v>
      </c>
      <c r="CB291" s="72" t="str">
        <f>IF(ISERROR(CA291/BS291),"NA",IF(OR(CA291/BS291&gt;2,CA291/BS291&lt;0.5),"NM",CA291/BS291*100-100))</f>
        <v>NM</v>
      </c>
      <c r="CC291" s="81">
        <f>CC282+CC283</f>
        <v>1.2000000000000002</v>
      </c>
      <c r="CD291" s="72" t="str">
        <f>IF(ISERROR(CC291/BU291),"NA",IF(OR(CC291/BU291&gt;2,CC291/BU291&lt;0.5),"NM",CC291/BU291*100-100))</f>
        <v>NM</v>
      </c>
      <c r="CE291" s="81">
        <f>CE282+CE283</f>
        <v>1.0999999999999996</v>
      </c>
      <c r="CF291" s="72" t="str">
        <f>IF(ISERROR(CE291/BW291),"NA",IF(OR(CE291/BW291&gt;2,CE291/BW291&lt;0.5),"NM",CE291/BW291*100-100))</f>
        <v>NM</v>
      </c>
      <c r="CG291" s="81">
        <f>CG282+CG283</f>
        <v>2.9</v>
      </c>
      <c r="CH291" s="72">
        <f>IF(ISERROR(CG291/BY291),"NA",IF(OR(CG291/BY291&gt;2,CG291/BY291&lt;0.5),"NM",CG291/BY291*100-100))</f>
        <v>52.631578947368439</v>
      </c>
      <c r="CI291" s="81">
        <f>CI282+CI283</f>
        <v>1.1999999999999997</v>
      </c>
      <c r="CJ291" s="72" t="str">
        <f>IF(ISERROR(CI291/CA291),"NA",IF(OR(CI291/CA291&gt;2,CI291/CA291&lt;0.5),"NM",CI291/CA291*100-100))</f>
        <v>NM</v>
      </c>
      <c r="CK291" s="81">
        <f>CK282+CK283</f>
        <v>1.2000000000000002</v>
      </c>
      <c r="CL291" s="72">
        <f>IF(ISERROR(CK291/CC291),"NA",IF(OR(CK291/CC291&gt;2,CK291/CC291&lt;0.5),"NM",CK291/CC291*100-100))</f>
        <v>0</v>
      </c>
      <c r="CM291" s="81">
        <f>CM282+CM283</f>
        <v>2.8</v>
      </c>
      <c r="CN291" s="72" t="str">
        <f>IF(ISERROR(CM291/CE291),"NA",IF(OR(CM291/CE291&gt;2,CM291/CE291&lt;0.5),"NM",CM291/CE291*100-100))</f>
        <v>NM</v>
      </c>
      <c r="CO291" s="81">
        <f>CO282+CO283</f>
        <v>0</v>
      </c>
      <c r="CP291" s="72" t="str">
        <f>IF(ISERROR(CO291/CG291),"NA",IF(OR(CO291/CG291&gt;2,CO291/CG291&lt;0.5),"NM",CO291/CG291*100-100))</f>
        <v>NM</v>
      </c>
      <c r="CQ291" s="81">
        <f>CQ282+CQ283</f>
        <v>0.70000000000000018</v>
      </c>
      <c r="CR291" s="72">
        <f>IF(ISERROR(CQ291/CI291),"NA",IF(OR(CQ291/CI291&gt;2,CQ291/CI291&lt;0.5),"NM",CQ291/CI291*100-100))</f>
        <v>-41.666666666666643</v>
      </c>
      <c r="CS291" s="81">
        <f>CS282+CS283</f>
        <v>2.1999999999999993</v>
      </c>
      <c r="CT291" s="72">
        <f>IF(ISERROR(CS291/CK291),"NA",IF(OR(CS291/CK291&gt;2,CS291/CK291&lt;0.5),"NM",CS291/CK291*100-100))</f>
        <v>83.333333333333229</v>
      </c>
      <c r="CU291" s="81">
        <f>CU282+CU283</f>
        <v>3.3000000000000007</v>
      </c>
      <c r="CV291" s="72">
        <f>IF(ISERROR(CU291/CM291),"NA",IF(OR(CU291/CM291&gt;2,CU291/CM291&lt;0.5),"NM",CU291/CM291*100-100))</f>
        <v>17.85714285714289</v>
      </c>
      <c r="CW291" s="81">
        <f>CW282+CW283</f>
        <v>3.5999999999999996</v>
      </c>
      <c r="CX291" s="72" t="str">
        <f>IF(ISERROR(CW291/CO291),"NA",IF(OR(CW291/CO291&gt;2,CW291/CO291&lt;0.5),"NM",CW291/CO291*100-100))</f>
        <v>NA</v>
      </c>
      <c r="CY291" s="81">
        <f>CY282+CY283</f>
        <v>2.5</v>
      </c>
      <c r="CZ291" s="72" t="str">
        <f>IF(ISERROR(CY291/CQ291),"NA",IF(OR(CY291/CQ291&gt;2,CY291/CQ291&lt;0.5),"NM",CY291/CQ291*100-100))</f>
        <v>NM</v>
      </c>
      <c r="DA291" s="81">
        <f>DA282+DA283</f>
        <v>3.3999999999999995</v>
      </c>
      <c r="DB291" s="82">
        <f>IF(ISERROR(DA291/CS291),"NA",IF(OR(DA291/CS291&gt;2,DA291/CS291&lt;0.5),"NM",DA291/CS291*100-100))</f>
        <v>54.545454545454561</v>
      </c>
      <c r="DC291" s="81">
        <f>DC282+DC283</f>
        <v>1.8000000000000007</v>
      </c>
      <c r="DD291" s="72">
        <f>IF(ISERROR(DC291/CU291),"NA",IF(OR(DC291/CU291&gt;2,DC291/CU291&lt;0.5),"NM",DC291/CU291*100-100))</f>
        <v>-45.454545454545446</v>
      </c>
      <c r="DE291" s="81">
        <f>DE282+DE283</f>
        <v>2.5</v>
      </c>
      <c r="DF291" s="72">
        <f>IF(ISERROR(DE291/CW291),"NA",IF(OR(DE291/CW291&gt;2,DE291/CW291&lt;0.5),"NM",DE291/CW291*100-100))</f>
        <v>-30.555555555555543</v>
      </c>
      <c r="DG291" s="81">
        <f>DG282+DG283</f>
        <v>-1.4000000000000004</v>
      </c>
      <c r="DH291" s="72" t="str">
        <f>IF(ISERROR(DG291/CY291),"NA",IF(OR(DG291/CY291&gt;2,DG291/CY291&lt;0.5),"NM",DG291/CY291*100-100))</f>
        <v>NM</v>
      </c>
      <c r="DI291" s="81">
        <f>DI282+DI283</f>
        <v>1.5</v>
      </c>
      <c r="DJ291" s="72" t="str">
        <f>IF(ISERROR(DI291/DA291),"NA",IF(OR(DI291/DA291&gt;2,DI291/DA291&lt;0.5),"NM",DI291/DA291*100-100))</f>
        <v>NM</v>
      </c>
      <c r="DK291" s="81">
        <f>DK282+DK283</f>
        <v>0.20000000000000018</v>
      </c>
      <c r="DL291" s="72" t="str">
        <f>IF(ISERROR(DK291/DC291),"NA",IF(OR(DK291/DC291&gt;2,DK291/DC291&lt;0.5),"NM",DK291/DC291*100-100))</f>
        <v>NM</v>
      </c>
      <c r="DM291" s="81">
        <f>DM282+DM283</f>
        <v>0.70000000000000018</v>
      </c>
      <c r="DN291" s="72" t="str">
        <f>IF(ISERROR(DM291/DE291),"NA",IF(OR(DM291/DE291&gt;2,DM291/DE291&lt;0.5),"NM",DM291/DE291*100-100))</f>
        <v>NM</v>
      </c>
      <c r="DO291" s="81">
        <f>DO282+DO283</f>
        <v>1.2000000000000002</v>
      </c>
      <c r="DP291" s="72" t="str">
        <f>IF(ISERROR(DO291/DG291),"NA",IF(OR(DO291/DG291&gt;2,DO291/DG291&lt;0.5),"NM",DO291/DG291*100-100))</f>
        <v>NM</v>
      </c>
      <c r="DQ291" s="81">
        <f>DQ282+DQ283</f>
        <v>2.5999999999999996</v>
      </c>
      <c r="DR291" s="72">
        <f>IF(ISERROR(DQ291/DI291),"NA",IF(OR(DQ291/DI291&gt;2,DQ291/DI291&lt;0.5),"NM",DQ291/DI291*100-100))</f>
        <v>73.333333333333314</v>
      </c>
      <c r="DS291" s="81">
        <f>DS282+DS283</f>
        <v>4</v>
      </c>
      <c r="DT291" s="72" t="str">
        <f>IF(ISERROR(DS291/DK291),"NA",IF(OR(DS291/DK291&gt;2,DS291/DK291&lt;0.5),"NM",DS291/DK291*100-100))</f>
        <v>NM</v>
      </c>
      <c r="DU291" s="81">
        <f>DU282+DU283</f>
        <v>-0.39999999999999858</v>
      </c>
      <c r="DV291" s="72" t="str">
        <f>IF(ISERROR(DU291/DM291),"NA",IF(OR(DU291/DM291&gt;2,DU291/DM291&lt;0.5),"NM",DU291/DM291*100-100))</f>
        <v>NM</v>
      </c>
      <c r="DW291" s="81">
        <f>DW282+DW283</f>
        <v>-1.6000000000000014</v>
      </c>
      <c r="DX291" s="72" t="str">
        <f>IF(ISERROR(DW291/DO291),"NA",IF(OR(DW291/DO291&gt;2,DW291/DO291&lt;0.5),"NM",DW291/DO291*100-100))</f>
        <v>NM</v>
      </c>
      <c r="DY291" s="81">
        <f>DY282+DY283</f>
        <v>-1.1999999999999993</v>
      </c>
      <c r="DZ291" s="72" t="str">
        <f>IF(ISERROR(DY291/DQ291),"NA",IF(OR(DY291/DQ291&gt;2,DY291/DQ291&lt;0.5),"NM",DY291/DQ291*100-100))</f>
        <v>NM</v>
      </c>
      <c r="EA291" s="81">
        <f>EA282+EA283</f>
        <v>-0.5</v>
      </c>
      <c r="EB291" s="72" t="str">
        <f>IF(ISERROR(EA291/DS291),"NA",IF(OR(EA291/DS291&gt;2,EA291/DS291&lt;0.5),"NM",EA291/DS291*100-100))</f>
        <v>NM</v>
      </c>
      <c r="EC291" s="81">
        <f>EC282+EC283</f>
        <v>1.5999999999999996</v>
      </c>
      <c r="ED291" s="72" t="str">
        <f>IF(ISERROR(EC291/DU291),"NA",IF(OR(EC291/DU291&gt;2,EC291/DU291&lt;0.5),"NM",EC291/DU291*100-100))</f>
        <v>NM</v>
      </c>
      <c r="EE291" s="81">
        <f>EE282+EE283</f>
        <v>0.90000000000000036</v>
      </c>
      <c r="EF291" s="72" t="str">
        <f>IF(ISERROR(EE291/DW291),"NA",IF(OR(EE291/DW291&gt;2,EE291/DW291&lt;0.5),"NM",EE291/DW291*100-100))</f>
        <v>NM</v>
      </c>
      <c r="EG291" s="81">
        <f>EG282+EG283</f>
        <v>-1.5999999999999996</v>
      </c>
      <c r="EH291" s="72">
        <f>IF(ISERROR(EG291/DY291),"NA",IF(OR(EG291/DY291&gt;2,EG291/DY291&lt;0.5),"NM",EG291/DY291*100-100))</f>
        <v>33.3333333333334</v>
      </c>
      <c r="EI291" s="81">
        <f>EI282+EI283</f>
        <v>9.9999999999999645E-2</v>
      </c>
      <c r="EJ291" s="72" t="str">
        <f>IF(ISERROR(EI291/EA291),"NA",IF(OR(EI291/EA291&gt;2,EI291/EA291&lt;0.5),"NM",EI291/EA291*100-100))</f>
        <v>NM</v>
      </c>
      <c r="EK291" s="81">
        <f>EK282+EK283</f>
        <v>1.2000000000000011</v>
      </c>
      <c r="EL291" s="72">
        <f>IF(ISERROR(EK291/EC291),"NA",IF(OR(EK291/EC291&gt;2,EK291/EC291&lt;0.5),"NM",EK291/EC291*100-100))</f>
        <v>-24.999999999999915</v>
      </c>
      <c r="EM291" s="81">
        <f>EM282+EM283</f>
        <v>1.3000000000000007</v>
      </c>
      <c r="EN291" s="72">
        <f>IF(ISERROR(EM291/EE291),"NA",IF(OR(EM291/EE291&gt;2,EM291/EE291&lt;0.5),"NM",EM291/EE291*100-100))</f>
        <v>44.444444444444457</v>
      </c>
      <c r="EO291" s="81">
        <f>EO282+EO283</f>
        <v>1.5</v>
      </c>
      <c r="EP291" s="72" t="str">
        <f>IF(ISERROR(EO291/EG291),"NA",IF(OR(EO291/EG291&gt;2,EO291/EG291&lt;0.5),"NM",EO291/EG291*100-100))</f>
        <v>NM</v>
      </c>
      <c r="EQ291" s="81">
        <f t="shared" ref="EQ291" si="1714">EQ282+EQ283</f>
        <v>0.91674999999999329</v>
      </c>
      <c r="ER291" s="72" t="str">
        <f t="shared" ref="ER291" si="1715">IF(ISERROR(EQ291/EI291),"NA",IF(OR(EQ291/EI291&gt;2,EQ291/EI291&lt;0.5),"NM",EQ291/EI291*100-100))</f>
        <v>NM</v>
      </c>
      <c r="ES291" s="81">
        <f t="shared" ref="ES291" si="1716">ES282+ES283</f>
        <v>0.41958124826629906</v>
      </c>
      <c r="ET291" s="72" t="str">
        <f t="shared" ref="ET291" si="1717">IF(ISERROR(ES291/EK291),"NA",IF(OR(ES291/EK291&gt;2,ES291/EK291&lt;0.5),"NM",ES291/EK291*100-100))</f>
        <v>NM</v>
      </c>
      <c r="EU291" s="81">
        <f t="shared" ref="EU291" si="1718">EU282+EU283</f>
        <v>0.73452777786918233</v>
      </c>
      <c r="EV291" s="72">
        <f t="shared" ref="EV291" si="1719">IF(ISERROR(EU291/EM291),"NA",IF(OR(EU291/EM291&gt;2,EU291/EM291&lt;0.5),"NM",EU291/EM291*100-100))</f>
        <v>-43.49786324083216</v>
      </c>
      <c r="EW291" s="81">
        <f t="shared" ref="EW291" si="1720">EW282+EW283</f>
        <v>1.2751296962797873</v>
      </c>
      <c r="EX291" s="72">
        <f t="shared" ref="EX291" si="1721">IF(ISERROR(EW291/EO291),"NA",IF(OR(EW291/EO291&gt;2,EW291/EO291&lt;0.5),"NM",EW291/EO291*100-100))</f>
        <v>-14.991353581347511</v>
      </c>
      <c r="EY291" s="72"/>
      <c r="EZ291" s="306"/>
      <c r="FA291" s="72"/>
      <c r="FB291" s="73"/>
      <c r="FC291" s="88"/>
      <c r="FD291" s="73"/>
      <c r="FE291" s="87"/>
      <c r="FF291" s="73"/>
      <c r="FG291" s="87"/>
      <c r="FH291" s="73"/>
      <c r="FI291" s="87"/>
      <c r="FJ291" s="73"/>
      <c r="FK291" s="87"/>
      <c r="FL291" s="73"/>
      <c r="FM291" s="87"/>
      <c r="FN291" s="73"/>
      <c r="FO291" s="87"/>
      <c r="FP291" s="73">
        <f>FP282+FP283</f>
        <v>0.60000000000000142</v>
      </c>
      <c r="FQ291" s="87"/>
      <c r="FR291" s="81">
        <f>FR282+FR283</f>
        <v>0.19999999999999929</v>
      </c>
      <c r="FS291" s="87" t="str">
        <f>IF(ISERROR(FR291/FP291),"NA",IF(OR(FR291/FP291&gt;2,FR291/FP291&lt;0.5),"NM",FR291/FP291*100-100))</f>
        <v>NM</v>
      </c>
      <c r="FT291" s="81">
        <f>FT282+FT283</f>
        <v>9.9999999999999645E-2</v>
      </c>
      <c r="FU291" s="87">
        <f>IF(ISERROR(FT291/FR291),"NA",IF(OR(FT291/FR291&gt;2,FT291/FR291&lt;0.5),"NM",FT291/FR291*100-100))</f>
        <v>-50</v>
      </c>
      <c r="FV291" s="81">
        <f>FV282+FV283</f>
        <v>0.40000000000000036</v>
      </c>
      <c r="FW291" s="72" t="str">
        <f>IF(ISERROR(FV291/FT291),"NA",IF(OR(FV291/FT291&gt;2,FV291/FT291&lt;0.5),"NM",FV291/FT291*100-100))</f>
        <v>NM</v>
      </c>
      <c r="FX291" s="81">
        <f>FX282+FX283</f>
        <v>6.1000000000000014</v>
      </c>
      <c r="FY291" s="72" t="str">
        <f>IF(ISERROR(FX291/FV291),"NA",IF(OR(FX291/FV291&gt;2,FX291/FV291&lt;0.5),"NM",FX291/FV291*100-100))</f>
        <v>NM</v>
      </c>
      <c r="FZ291" s="81">
        <f>FZ282+FZ283</f>
        <v>6.4</v>
      </c>
      <c r="GA291" s="72">
        <f>IF(ISERROR(FZ291/FX291),"NA",IF(OR(FZ291/FX291&gt;2,FZ291/FX291&lt;0.5),"NM",FZ291/FX291*100-100))</f>
        <v>4.9180327868852345</v>
      </c>
      <c r="GB291" s="81">
        <f>GB282+GB283</f>
        <v>5.6999999999999993</v>
      </c>
      <c r="GC291" s="72">
        <f>IF(ISERROR(GB291/FZ291),"NA",IF(OR(GB291/FZ291&gt;2,GB291/FZ291&lt;0.5),"NM",GB291/FZ291*100-100))</f>
        <v>-10.937500000000014</v>
      </c>
      <c r="GD291" s="81">
        <f>GD282+GD283</f>
        <v>12.8</v>
      </c>
      <c r="GE291" s="72" t="str">
        <f>IF(ISERROR(GD291/GB291),"NA",IF(OR(GD291/GB291&gt;2,GD291/GB291&lt;0.5),"NM",GD291/GB291*100-100))</f>
        <v>NM</v>
      </c>
      <c r="GF291" s="81">
        <f>GF282+GF283</f>
        <v>4.4000000000000057</v>
      </c>
      <c r="GG291" s="72" t="str">
        <f>IF(ISERROR(GF291/GD291),"NA",IF(OR(GF291/GD291&gt;2,GF291/GD291&lt;0.5),"NM",GF291/GD291*100-100))</f>
        <v>NM</v>
      </c>
      <c r="GH291" s="81">
        <f>GH282+GH283</f>
        <v>4.6999999999999957</v>
      </c>
      <c r="GI291" s="72">
        <f t="shared" ref="GI291:GU291" si="1722">IF(ISERROR(GH291/GF291),"NA",IF(OR(GH291/GF291&gt;2,GH291/GF291&lt;0.5),"NM",GH291/GF291*100-100))</f>
        <v>6.8181818181815856</v>
      </c>
      <c r="GJ291" s="81">
        <f>GJ282+GJ283</f>
        <v>0.80000000000000426</v>
      </c>
      <c r="GK291" s="72" t="str">
        <f t="shared" si="1722"/>
        <v>NM</v>
      </c>
      <c r="GL291" s="81">
        <f>GL282+GL283</f>
        <v>0.39999999999999858</v>
      </c>
      <c r="GM291" s="72" t="str">
        <f t="shared" si="1722"/>
        <v>NM</v>
      </c>
      <c r="GN291" s="81">
        <f>GN282+GN283</f>
        <v>4.1000000000000014</v>
      </c>
      <c r="GO291" s="72" t="str">
        <f t="shared" si="1722"/>
        <v>NM</v>
      </c>
      <c r="GP291" s="81">
        <f>GP282+GP283</f>
        <v>3.3459887224152567</v>
      </c>
      <c r="GQ291" s="72">
        <f t="shared" si="1722"/>
        <v>-18.390518965481576</v>
      </c>
      <c r="GR291" s="81">
        <f>GR282+GR283</f>
        <v>0.62890754651153458</v>
      </c>
      <c r="GS291" s="72" t="str">
        <f t="shared" si="1722"/>
        <v>NM</v>
      </c>
      <c r="GT291" s="81">
        <f>GT282+GT283</f>
        <v>-1.023125292941927</v>
      </c>
      <c r="GU291" s="72" t="str">
        <f t="shared" si="1722"/>
        <v>NM</v>
      </c>
      <c r="GV291" s="81">
        <f>GV282+GV283</f>
        <v>-2.2803937646558552</v>
      </c>
      <c r="GW291" s="72" t="str">
        <f>IF(ISERROR(GV291/GT291),"NA",IF(OR(GV291/GT291&gt;2,GV291/GT291&lt;0.5),"NM",GV291/GT291*100-100))</f>
        <v>NM</v>
      </c>
      <c r="GX291" s="81">
        <f>GX282+GX283</f>
        <v>-3.2449484725792956</v>
      </c>
      <c r="GY291" s="72">
        <f>IF(ISERROR(GX291/GV291),"NA",IF(OR(GX291/GV291&gt;2,GX291/GV291&lt;0.5),"NM",GX291/GV291*100-100))</f>
        <v>42.297726071400916</v>
      </c>
      <c r="GZ291" s="72" t="str">
        <f>IF(ISERROR(((GX291/GN291)^0.2-1)*100),"NA",IF((((GX291/GN291)^0.2-1)*100)&gt;100,"NM",IF((((GX291/GN291)^0.2-1)*100)&lt;-50,"NM",((GX291/GN291)^0.2-1)*100)))</f>
        <v>NM</v>
      </c>
      <c r="HA291" s="72"/>
      <c r="HB291" s="72"/>
      <c r="HC291"/>
      <c r="HD291"/>
      <c r="HE291"/>
      <c r="HF291"/>
      <c r="HG291"/>
      <c r="HH291"/>
      <c r="HI291" s="2"/>
    </row>
    <row r="292" spans="1:217" s="3" customFormat="1" ht="12.75" customHeight="1" x14ac:dyDescent="0.2">
      <c r="B292" s="76"/>
      <c r="C292" s="73"/>
      <c r="D292" s="72"/>
      <c r="E292" s="73"/>
      <c r="F292" s="72"/>
      <c r="G292" s="73"/>
      <c r="H292" s="72"/>
      <c r="I292" s="73"/>
      <c r="J292" s="72"/>
      <c r="K292" s="73"/>
      <c r="L292" s="87"/>
      <c r="M292" s="73"/>
      <c r="N292" s="87"/>
      <c r="O292" s="73"/>
      <c r="P292" s="87"/>
      <c r="Q292" s="73"/>
      <c r="R292" s="87"/>
      <c r="S292" s="73"/>
      <c r="T292" s="87"/>
      <c r="U292" s="73"/>
      <c r="V292" s="87"/>
      <c r="W292" s="73"/>
      <c r="X292" s="87"/>
      <c r="Y292" s="73"/>
      <c r="Z292" s="87"/>
      <c r="AA292" s="73"/>
      <c r="AB292" s="87"/>
      <c r="AC292" s="73"/>
      <c r="AD292" s="87"/>
      <c r="AE292" s="73"/>
      <c r="AF292" s="87"/>
      <c r="AG292" s="73"/>
      <c r="AH292" s="87"/>
      <c r="AI292" s="73"/>
      <c r="AJ292" s="87"/>
      <c r="AK292" s="73"/>
      <c r="AL292" s="87"/>
      <c r="AM292" s="73"/>
      <c r="AN292" s="87"/>
      <c r="AO292" s="73"/>
      <c r="AP292" s="87"/>
      <c r="AQ292" s="73"/>
      <c r="AR292" s="87"/>
      <c r="AS292" s="73"/>
      <c r="AT292" s="87"/>
      <c r="AU292" s="73"/>
      <c r="AV292" s="87"/>
      <c r="AW292" s="73"/>
      <c r="AX292" s="87"/>
      <c r="AY292" s="81"/>
      <c r="AZ292" s="87"/>
      <c r="BA292" s="73"/>
      <c r="BB292" s="87"/>
      <c r="BC292" s="73"/>
      <c r="BD292" s="87"/>
      <c r="BE292" s="81"/>
      <c r="BF292" s="87"/>
      <c r="BG292" s="81"/>
      <c r="BH292" s="87"/>
      <c r="BI292" s="81"/>
      <c r="BJ292" s="87"/>
      <c r="BK292" s="81"/>
      <c r="BL292" s="87"/>
      <c r="BM292" s="81"/>
      <c r="BN292" s="87"/>
      <c r="BO292" s="81"/>
      <c r="BP292" s="87"/>
      <c r="BQ292" s="81"/>
      <c r="BR292" s="87"/>
      <c r="BS292" s="81"/>
      <c r="BT292" s="87"/>
      <c r="BU292" s="81"/>
      <c r="BV292" s="87"/>
      <c r="BW292" s="81"/>
      <c r="BX292" s="72"/>
      <c r="BY292" s="81"/>
      <c r="BZ292" s="72"/>
      <c r="CA292" s="81"/>
      <c r="CB292" s="72"/>
      <c r="CC292" s="81"/>
      <c r="CD292" s="72"/>
      <c r="CE292" s="81"/>
      <c r="CF292" s="72"/>
      <c r="CG292" s="81"/>
      <c r="CH292" s="72"/>
      <c r="CI292" s="81"/>
      <c r="CJ292" s="72"/>
      <c r="CK292" s="81"/>
      <c r="CL292" s="72"/>
      <c r="CM292" s="81"/>
      <c r="CN292" s="72"/>
      <c r="CO292" s="81"/>
      <c r="CP292" s="72"/>
      <c r="CQ292" s="81"/>
      <c r="CR292" s="72"/>
      <c r="CS292" s="81"/>
      <c r="CT292" s="72"/>
      <c r="CU292" s="81"/>
      <c r="CV292" s="72"/>
      <c r="CW292" s="81"/>
      <c r="CX292" s="72"/>
      <c r="CY292" s="81"/>
      <c r="CZ292" s="72"/>
      <c r="DA292" s="81"/>
      <c r="DB292" s="72"/>
      <c r="DC292" s="81"/>
      <c r="DD292" s="72"/>
      <c r="DE292" s="81"/>
      <c r="DF292" s="72"/>
      <c r="DG292" s="81"/>
      <c r="DH292" s="72"/>
      <c r="DI292" s="81"/>
      <c r="DJ292" s="72"/>
      <c r="DK292" s="81"/>
      <c r="DL292" s="72"/>
      <c r="DM292" s="81"/>
      <c r="DN292" s="72"/>
      <c r="DO292" s="81"/>
      <c r="DP292" s="72"/>
      <c r="DQ292" s="81"/>
      <c r="DR292" s="72"/>
      <c r="DS292" s="81"/>
      <c r="DT292" s="72"/>
      <c r="DU292" s="81"/>
      <c r="DV292" s="72"/>
      <c r="DW292" s="81"/>
      <c r="DX292" s="72"/>
      <c r="DY292" s="81"/>
      <c r="DZ292" s="72"/>
      <c r="EA292" s="81"/>
      <c r="EB292" s="72"/>
      <c r="EC292" s="81"/>
      <c r="ED292" s="72"/>
      <c r="EE292" s="81"/>
      <c r="EF292" s="72"/>
      <c r="EG292" s="81"/>
      <c r="EH292" s="72"/>
      <c r="EI292" s="81"/>
      <c r="EJ292" s="72"/>
      <c r="EK292" s="81"/>
      <c r="EL292" s="72"/>
      <c r="EM292" s="81"/>
      <c r="EN292" s="72"/>
      <c r="EO292" s="81"/>
      <c r="EP292" s="72"/>
      <c r="EQ292" s="81"/>
      <c r="ER292" s="72"/>
      <c r="ES292" s="81"/>
      <c r="ET292" s="72"/>
      <c r="EU292" s="81"/>
      <c r="EV292" s="72"/>
      <c r="EW292" s="81"/>
      <c r="EX292" s="72"/>
      <c r="EY292" s="72"/>
      <c r="EZ292" s="306"/>
      <c r="FA292" s="72"/>
      <c r="FB292" s="73"/>
      <c r="FC292" s="88"/>
      <c r="FD292" s="73"/>
      <c r="FE292" s="87"/>
      <c r="FF292" s="73"/>
      <c r="FG292" s="87"/>
      <c r="FH292" s="73"/>
      <c r="FI292" s="87"/>
      <c r="FJ292" s="73"/>
      <c r="FK292" s="87"/>
      <c r="FL292" s="73"/>
      <c r="FM292" s="87"/>
      <c r="FN292" s="73"/>
      <c r="FO292" s="87"/>
      <c r="FP292" s="73"/>
      <c r="FQ292" s="87"/>
      <c r="FR292" s="81"/>
      <c r="FS292" s="87"/>
      <c r="FT292" s="81"/>
      <c r="FU292" s="87"/>
      <c r="FV292" s="81"/>
      <c r="FW292" s="72"/>
      <c r="FX292" s="81"/>
      <c r="FY292" s="72"/>
      <c r="FZ292" s="81"/>
      <c r="GA292" s="72"/>
      <c r="GB292" s="81"/>
      <c r="GC292" s="72"/>
      <c r="GD292" s="81"/>
      <c r="GE292" s="72"/>
      <c r="GF292" s="81"/>
      <c r="GG292" s="72"/>
      <c r="GH292" s="81"/>
      <c r="GI292" s="72"/>
      <c r="GJ292" s="81"/>
      <c r="GK292" s="72"/>
      <c r="GL292" s="81"/>
      <c r="GM292" s="72"/>
      <c r="GN292" s="81"/>
      <c r="GO292" s="72"/>
      <c r="GP292" s="81"/>
      <c r="GQ292" s="72"/>
      <c r="GR292" s="81"/>
      <c r="GS292" s="72"/>
      <c r="GT292" s="81"/>
      <c r="GU292" s="72"/>
      <c r="GV292" s="81"/>
      <c r="GW292" s="72"/>
      <c r="GX292" s="81"/>
      <c r="GY292" s="72"/>
      <c r="GZ292" s="72"/>
      <c r="HA292" s="72"/>
      <c r="HB292" s="72"/>
      <c r="HC292"/>
      <c r="HD292"/>
      <c r="HE292"/>
      <c r="HF292"/>
      <c r="HG292"/>
      <c r="HH292"/>
      <c r="HI292" s="2"/>
    </row>
    <row r="293" spans="1:217" s="3" customFormat="1" ht="12.75" customHeight="1" x14ac:dyDescent="0.2">
      <c r="B293" s="76" t="s">
        <v>155</v>
      </c>
      <c r="C293" s="73"/>
      <c r="D293" s="72"/>
      <c r="E293" s="73"/>
      <c r="F293" s="72"/>
      <c r="G293" s="73"/>
      <c r="H293" s="72"/>
      <c r="I293" s="73"/>
      <c r="J293" s="72"/>
      <c r="K293" s="73"/>
      <c r="L293" s="87"/>
      <c r="M293" s="73"/>
      <c r="N293" s="87"/>
      <c r="O293" s="73"/>
      <c r="P293" s="87"/>
      <c r="Q293" s="73"/>
      <c r="R293" s="87"/>
      <c r="S293" s="73"/>
      <c r="T293" s="87"/>
      <c r="U293" s="73"/>
      <c r="V293" s="87"/>
      <c r="W293" s="73"/>
      <c r="X293" s="87"/>
      <c r="Y293" s="73"/>
      <c r="Z293" s="87"/>
      <c r="AA293" s="73"/>
      <c r="AB293" s="87"/>
      <c r="AC293" s="73"/>
      <c r="AD293" s="87"/>
      <c r="AE293" s="73"/>
      <c r="AF293" s="87"/>
      <c r="AG293" s="73"/>
      <c r="AH293" s="87"/>
      <c r="AI293" s="73"/>
      <c r="AJ293" s="87"/>
      <c r="AK293" s="73"/>
      <c r="AL293" s="87"/>
      <c r="AM293" s="73"/>
      <c r="AN293" s="87"/>
      <c r="AO293" s="73"/>
      <c r="AP293" s="87"/>
      <c r="AQ293" s="81">
        <f>-AQ283/AQ281*400</f>
        <v>22.891566265060238</v>
      </c>
      <c r="AR293" s="87"/>
      <c r="AS293" s="81">
        <f>-AS283/AS281*400</f>
        <v>24.390243902439028</v>
      </c>
      <c r="AT293" s="87"/>
      <c r="AU293" s="81">
        <f>-AU283/AU281*400</f>
        <v>23.809523809523807</v>
      </c>
      <c r="AV293" s="87"/>
      <c r="AW293" s="81">
        <f>-AW283/AW281*400</f>
        <v>24.999999999999993</v>
      </c>
      <c r="AX293" s="87"/>
      <c r="AY293" s="81">
        <f>-AY283/AY281*400</f>
        <v>23.772609819121442</v>
      </c>
      <c r="AZ293" s="87"/>
      <c r="BA293" s="81">
        <f>-BA283/BA281*400</f>
        <v>29.629629629629623</v>
      </c>
      <c r="BB293" s="87"/>
      <c r="BC293" s="81">
        <f>-BC283/BC281*400</f>
        <v>25.552825552825553</v>
      </c>
      <c r="BD293" s="87"/>
      <c r="BE293" s="81">
        <f>-BE283/BE281*400</f>
        <v>18.401937046004843</v>
      </c>
      <c r="BF293" s="87"/>
      <c r="BG293" s="81">
        <f>-BG283/BG281*400</f>
        <v>24.884792626728114</v>
      </c>
      <c r="BH293" s="87"/>
      <c r="BI293" s="81">
        <f>-BI283/BI281*400</f>
        <v>28.511530398322854</v>
      </c>
      <c r="BJ293" s="87"/>
      <c r="BK293" s="81">
        <f>-BK283/BK281*400</f>
        <v>19.472616632860039</v>
      </c>
      <c r="BL293" s="87"/>
      <c r="BM293" s="81">
        <f>-BM283/BM281*400</f>
        <v>18.71345029239766</v>
      </c>
      <c r="BN293" s="87"/>
      <c r="BO293" s="81">
        <f>-BO283/BO281*400</f>
        <v>19.646365422396855</v>
      </c>
      <c r="BP293" s="87"/>
      <c r="BQ293" s="81">
        <f>-BQ283/BQ281*400</f>
        <v>24.066390041493772</v>
      </c>
      <c r="BR293" s="87"/>
      <c r="BS293" s="81">
        <f>-BS283/BS281*400</f>
        <v>33.925049309664686</v>
      </c>
      <c r="BT293" s="87"/>
      <c r="BU293" s="81">
        <f>-BU283/BU281*400</f>
        <v>46.082949308755758</v>
      </c>
      <c r="BV293" s="87"/>
      <c r="BW293" s="81">
        <f>-BW283/BW281*400</f>
        <v>39.402985074626855</v>
      </c>
      <c r="BX293" s="87"/>
      <c r="BY293" s="81">
        <f>-BY283/BY281*400</f>
        <v>32.238805970149251</v>
      </c>
      <c r="BZ293" s="87"/>
      <c r="CA293" s="81">
        <f>-CA283/CA281*400</f>
        <v>33.417721518987335</v>
      </c>
      <c r="CB293" s="87"/>
      <c r="CC293" s="81">
        <f>-CC283/CC281*400</f>
        <v>27.118644067796605</v>
      </c>
      <c r="CD293" s="87"/>
      <c r="CE293" s="81">
        <f>-CE283/CE281*400</f>
        <v>28.962818003913892</v>
      </c>
      <c r="CF293" s="87"/>
      <c r="CG293" s="81">
        <f>-CG283/CG281*400</f>
        <v>29.158878504672902</v>
      </c>
      <c r="CH293" s="87"/>
      <c r="CI293" s="81">
        <f>-CI283/CI281*400</f>
        <v>23.625254582484729</v>
      </c>
      <c r="CJ293" s="87"/>
      <c r="CK293" s="81">
        <f>-CK283/CK281*400</f>
        <v>29.549549549549546</v>
      </c>
      <c r="CL293" s="87"/>
      <c r="CM293" s="81">
        <f>-CM283/CM281*400</f>
        <v>28.22902796271638</v>
      </c>
      <c r="CN293" s="87"/>
      <c r="CO293" s="81">
        <f>-CO283/CO281*400</f>
        <v>30.235439900867405</v>
      </c>
      <c r="CP293" s="87"/>
      <c r="CQ293" s="81">
        <f>-CQ283/CQ281*400</f>
        <v>33.130328867235079</v>
      </c>
      <c r="CR293" s="87"/>
      <c r="CS293" s="81">
        <f>-CS283/CS281*400</f>
        <v>33.2409972299169</v>
      </c>
      <c r="CT293" s="87"/>
      <c r="CU293" s="81">
        <f>-CU283/CU281*400</f>
        <v>35.057471264367813</v>
      </c>
      <c r="CV293" s="87"/>
      <c r="CW293" s="81">
        <f>-CW283/CW281*400</f>
        <v>29.099876695437725</v>
      </c>
      <c r="CX293" s="87"/>
      <c r="CY293" s="81">
        <f>-CY283/CY281*400</f>
        <v>27.127003699136861</v>
      </c>
      <c r="CZ293" s="72"/>
      <c r="DA293" s="81">
        <f>-DA283/DA281*400</f>
        <v>30.523917995444183</v>
      </c>
      <c r="DB293" s="72"/>
      <c r="DC293" s="81">
        <f>-DC283/DC281*400</f>
        <v>39.95609220636662</v>
      </c>
      <c r="DD293" s="72"/>
      <c r="DE293" s="81">
        <f>-DE283/DE281*400</f>
        <v>40.44943820224718</v>
      </c>
      <c r="DF293" s="72"/>
      <c r="DG293" s="81">
        <f>-DG283/DG281*400</f>
        <v>33.86454183266931</v>
      </c>
      <c r="DH293" s="72"/>
      <c r="DI293" s="81">
        <f>-DI283/DI281*400</f>
        <v>31.173708920187789</v>
      </c>
      <c r="DJ293" s="72"/>
      <c r="DK293" s="81">
        <f>-DK283/DK281*400</f>
        <v>27.130434782608688</v>
      </c>
      <c r="DL293" s="72"/>
      <c r="DM293" s="81">
        <f>-DM283/DM281*400</f>
        <v>26.32478632478632</v>
      </c>
      <c r="DN293" s="72">
        <f t="shared" ref="DN293:DZ295" si="1723">IF(ISERROR(DM293/DE293),"NA",IF(OR(DM293/DE293&gt;2,DM293/DE293&lt;0.5),"NM",DM293/DE293*100-100))</f>
        <v>-34.919278252611576</v>
      </c>
      <c r="DO293" s="81">
        <f>-DO283/DO281*400</f>
        <v>23.836734693877546</v>
      </c>
      <c r="DP293" s="72">
        <f t="shared" si="1723"/>
        <v>-29.611524609843926</v>
      </c>
      <c r="DQ293" s="81">
        <f>-DQ283/DQ281*400</f>
        <v>30.317848410757943</v>
      </c>
      <c r="DR293" s="72">
        <f t="shared" si="1723"/>
        <v>-2.7454561522372956</v>
      </c>
      <c r="DS293" s="81">
        <f>-DS283/DS281*400</f>
        <v>28.706624605678225</v>
      </c>
      <c r="DT293" s="72">
        <f t="shared" si="1723"/>
        <v>5.8096740273396534</v>
      </c>
      <c r="DU293" s="81">
        <f>-DU283/DU281*400</f>
        <v>31.680236861584</v>
      </c>
      <c r="DV293" s="72">
        <f t="shared" si="1723"/>
        <v>20.343756909263917</v>
      </c>
      <c r="DW293" s="81">
        <f>-DW283/DW281*400</f>
        <v>28.994082840236672</v>
      </c>
      <c r="DX293" s="72">
        <f t="shared" si="1723"/>
        <v>21.636135203047701</v>
      </c>
      <c r="DY293" s="81">
        <f>-DY283/DY281*400</f>
        <v>33.359809372517859</v>
      </c>
      <c r="DZ293" s="72">
        <f t="shared" si="1723"/>
        <v>10.033564785159726</v>
      </c>
      <c r="EA293" s="81">
        <f>-EA283/EA281*400</f>
        <v>33.204034134988348</v>
      </c>
      <c r="EB293" s="72">
        <f>IF(ISERROR(EA293/DS293),"NA",IF(OR(EA293/DS293&gt;2,EA293/DS293&lt;0.5),"NM",EA293/DS293*100-100))</f>
        <v>15.666800228475935</v>
      </c>
      <c r="EC293" s="81">
        <f>-EC283/EC281*400</f>
        <v>30.985915492957734</v>
      </c>
      <c r="ED293" s="72">
        <f>IF(ISERROR(EC293/DU293),"NA",IF(OR(EC293/DU293&gt;2,EC293/DU293&lt;0.5),"NM",EC293/DU293*100-100))</f>
        <v>-2.1916546005002004</v>
      </c>
      <c r="EE293" s="81">
        <f>-EE283/EE281*400</f>
        <v>29.246001523229232</v>
      </c>
      <c r="EF293" s="72">
        <f>IF(ISERROR(EE293/DW293),"NA",IF(OR(EE293/DW293&gt;2,EE293/DW293&lt;0.5),"NM",EE293/DW293*100-100))</f>
        <v>0.8688623964437312</v>
      </c>
      <c r="EG293" s="81">
        <f>-EG283/EG281*400</f>
        <v>33.405954974582407</v>
      </c>
      <c r="EH293" s="72">
        <f>IF(ISERROR(EG293/DY293),"NA",IF(OR(EG293/DY293&gt;2,EG293/DY293&lt;0.5),"NM",EG293/DY293*100-100))</f>
        <v>0.1383269357125414</v>
      </c>
      <c r="EI293" s="81">
        <f>-EI283/EI281*400</f>
        <v>37.774524158125892</v>
      </c>
      <c r="EJ293" s="72">
        <f>IF(ISERROR(EI293/EA293),"NA",IF(OR(EI293/EA293&gt;2,EI293/EA293&lt;0.5),"NM",EI293/EA293*100-100))</f>
        <v>13.764863644449292</v>
      </c>
      <c r="EK293" s="81">
        <f>-EK283/EK281*400</f>
        <v>26.629680998613019</v>
      </c>
      <c r="EL293" s="72">
        <f>IF(ISERROR(EK293/EC293),"NA",IF(OR(EK293/EC293&gt;2,EK293/EC293&lt;0.5),"NM",EK293/EC293*100-100))</f>
        <v>-14.058756777203413</v>
      </c>
      <c r="EM293" s="81">
        <f>-EM283/EM281*400</f>
        <v>28.266666666666652</v>
      </c>
      <c r="EN293" s="72">
        <f>IF(ISERROR(EM293/EE293),"NA",IF(OR(EM293/EE293&gt;2,EM293/EE293&lt;0.5),"NM",EM293/EE293*100-100))</f>
        <v>-3.3486111111111256</v>
      </c>
      <c r="EO293" s="81">
        <f>-EO283/EO281*400</f>
        <v>31.746031746031729</v>
      </c>
      <c r="EP293" s="72">
        <f>IF(ISERROR(EO293/EG293),"NA",IF(OR(EO293/EG293&gt;2,EO293/EG293&lt;0.5),"NM",EO293/EG293*100-100))</f>
        <v>-4.9689440993788736</v>
      </c>
      <c r="EQ293" s="86">
        <v>31</v>
      </c>
      <c r="ER293" s="72">
        <f t="shared" ref="ER293:ER295" si="1724">IF(ISERROR(EQ293/EI293),"NA",IF(OR(EQ293/EI293&gt;2,EQ293/EI293&lt;0.5),"NM",EQ293/EI293*100-100))</f>
        <v>-17.934108527131727</v>
      </c>
      <c r="ES293" s="86">
        <f t="shared" ref="ES293" si="1725">EK293</f>
        <v>26.629680998613019</v>
      </c>
      <c r="ET293" s="72">
        <f t="shared" ref="ET293:ET295" si="1726">IF(ISERROR(ES293/EK293),"NA",IF(OR(ES293/EK293&gt;2,ES293/EK293&lt;0.5),"NM",ES293/EK293*100-100))</f>
        <v>0</v>
      </c>
      <c r="EU293" s="86">
        <f t="shared" ref="EU293" si="1727">EM293</f>
        <v>28.266666666666652</v>
      </c>
      <c r="EV293" s="72">
        <f t="shared" ref="EV293:EV295" si="1728">IF(ISERROR(EU293/EM293),"NA",IF(OR(EU293/EM293&gt;2,EU293/EM293&lt;0.5),"NM",EU293/EM293*100-100))</f>
        <v>0</v>
      </c>
      <c r="EW293" s="86">
        <f t="shared" ref="EW293" si="1729">EO293</f>
        <v>31.746031746031729</v>
      </c>
      <c r="EX293" s="72">
        <f t="shared" ref="EX293:EX295" si="1730">IF(ISERROR(EW293/EO293),"NA",IF(OR(EW293/EO293&gt;2,EW293/EO293&lt;0.5),"NM",EW293/EO293*100-100))</f>
        <v>0</v>
      </c>
      <c r="EY293" s="72"/>
      <c r="EZ293" s="309"/>
      <c r="FA293" s="72"/>
      <c r="FB293" s="81"/>
      <c r="FC293" s="72"/>
      <c r="FD293" s="81"/>
      <c r="FE293" s="87"/>
      <c r="FF293" s="81"/>
      <c r="FG293" s="87"/>
      <c r="FH293" s="81"/>
      <c r="FI293" s="87"/>
      <c r="FJ293" s="81"/>
      <c r="FK293" s="87"/>
      <c r="FL293" s="81"/>
      <c r="FM293" s="87"/>
      <c r="FN293" s="81"/>
      <c r="FO293" s="87"/>
      <c r="FP293" s="81">
        <f>-FP283/FP281*100</f>
        <v>24.69879518072289</v>
      </c>
      <c r="FQ293" s="87"/>
      <c r="FR293" s="81">
        <f>-FR283/FR281*100</f>
        <v>25.322997416020669</v>
      </c>
      <c r="FS293" s="87"/>
      <c r="FT293" s="81">
        <f>-FT283/FT281*100</f>
        <v>25.115207373271886</v>
      </c>
      <c r="FU293" s="87"/>
      <c r="FV293" s="81">
        <f>-FV283/FV281*100</f>
        <v>28.880157170923376</v>
      </c>
      <c r="FW293" s="87"/>
      <c r="FX293" s="81">
        <f>-FX283/FX281*100</f>
        <v>37.313432835820898</v>
      </c>
      <c r="FY293" s="87"/>
      <c r="FZ293" s="81">
        <f>-FZ283/FZ281*100</f>
        <v>28.571428571428577</v>
      </c>
      <c r="GA293" s="87"/>
      <c r="GB293" s="81">
        <f>-GB283/GB281*100</f>
        <v>32.223701731025301</v>
      </c>
      <c r="GC293" s="87"/>
      <c r="GD293" s="81">
        <f>-GD283/GD281*100</f>
        <v>34.770114942528735</v>
      </c>
      <c r="GE293" s="87"/>
      <c r="GF293" s="81">
        <f>-GF283/GF281*100</f>
        <v>39.297475301866079</v>
      </c>
      <c r="GG293" s="87"/>
      <c r="GH293" s="81">
        <f>-GH283/GH281*100</f>
        <v>27.913043478260867</v>
      </c>
      <c r="GI293" s="72">
        <f t="shared" ref="GI293:GU294" si="1731">IF(ISERROR(GH293/GF293),"NA",IF(OR(GH293/GF293&gt;2,GH293/GF293&lt;0.5),"NM",GH293/GF293*100-100))</f>
        <v>-28.969880981297052</v>
      </c>
      <c r="GJ293" s="81">
        <f>-GJ283/GJ281*100</f>
        <v>31.624605678233426</v>
      </c>
      <c r="GK293" s="72">
        <f t="shared" si="1731"/>
        <v>13.296873925135344</v>
      </c>
      <c r="GL293" s="81">
        <f>-GL283/GL281*100</f>
        <v>32.350659425911552</v>
      </c>
      <c r="GM293" s="72">
        <f t="shared" si="1731"/>
        <v>2.2958507532565164</v>
      </c>
      <c r="GN293" s="81">
        <f>-GN283/GN281*100</f>
        <v>33.382137628111266</v>
      </c>
      <c r="GO293" s="72">
        <f t="shared" si="1731"/>
        <v>3.1884302221473177</v>
      </c>
      <c r="GP293" s="81">
        <f>-GP283/GP281*100</f>
        <v>29.725508994269472</v>
      </c>
      <c r="GQ293" s="72">
        <f t="shared" si="1731"/>
        <v>-10.953848056640112</v>
      </c>
      <c r="GR293" s="86">
        <v>30.5</v>
      </c>
      <c r="GS293" s="72">
        <f t="shared" si="1731"/>
        <v>2.6054760101158649</v>
      </c>
      <c r="GT293" s="86">
        <f>GR293</f>
        <v>30.5</v>
      </c>
      <c r="GU293" s="72">
        <f t="shared" si="1731"/>
        <v>0</v>
      </c>
      <c r="GV293" s="86">
        <f>GT293</f>
        <v>30.5</v>
      </c>
      <c r="GW293" s="72">
        <f>IF(ISERROR(GV293/GT293),"NA",IF(OR(GV293/GT293&gt;2,GV293/GT293&lt;0.5),"NM",GV293/GT293*100-100))</f>
        <v>0</v>
      </c>
      <c r="GX293" s="86">
        <f>GV293</f>
        <v>30.5</v>
      </c>
      <c r="GY293" s="72">
        <f>IF(ISERROR(GX293/GV293),"NA",IF(OR(GX293/GV293&gt;2,GX293/GV293&lt;0.5),"NM",GX293/GV293*100-100))</f>
        <v>0</v>
      </c>
      <c r="GZ293" s="72"/>
      <c r="HA293" s="72"/>
      <c r="HB293" s="72"/>
      <c r="HC293"/>
      <c r="HD293"/>
      <c r="HE293"/>
      <c r="HF293"/>
      <c r="HG293"/>
      <c r="HH293"/>
      <c r="HI293" s="2"/>
    </row>
    <row r="294" spans="1:217" s="3" customFormat="1" ht="12.75" customHeight="1" x14ac:dyDescent="0.2">
      <c r="B294" s="266" t="s">
        <v>281</v>
      </c>
      <c r="C294" s="73"/>
      <c r="D294" s="72"/>
      <c r="E294" s="73"/>
      <c r="F294" s="72"/>
      <c r="G294" s="73"/>
      <c r="H294" s="72"/>
      <c r="I294" s="73"/>
      <c r="J294" s="72"/>
      <c r="K294" s="73"/>
      <c r="L294" s="87"/>
      <c r="M294" s="73"/>
      <c r="N294" s="87"/>
      <c r="O294" s="73"/>
      <c r="P294" s="87"/>
      <c r="Q294" s="73"/>
      <c r="R294" s="87"/>
      <c r="S294" s="73"/>
      <c r="T294" s="87"/>
      <c r="U294" s="73"/>
      <c r="V294" s="87"/>
      <c r="W294" s="73"/>
      <c r="X294" s="87"/>
      <c r="Y294" s="73"/>
      <c r="Z294" s="87"/>
      <c r="AA294" s="73"/>
      <c r="AB294" s="87"/>
      <c r="AC294" s="73"/>
      <c r="AD294" s="87"/>
      <c r="AE294" s="73"/>
      <c r="AF294" s="87"/>
      <c r="AG294" s="73"/>
      <c r="AH294" s="87"/>
      <c r="AI294" s="73"/>
      <c r="AJ294" s="87"/>
      <c r="AK294" s="73"/>
      <c r="AL294" s="87"/>
      <c r="AM294" s="73"/>
      <c r="AN294" s="87"/>
      <c r="AO294" s="73"/>
      <c r="AP294" s="87"/>
      <c r="AQ294" s="81">
        <f>AQ284/AQ281*400</f>
        <v>-9.6385542168674689</v>
      </c>
      <c r="AR294" s="87"/>
      <c r="AS294" s="81">
        <f>AS284/AS281*400</f>
        <v>20.731707317073173</v>
      </c>
      <c r="AT294" s="87"/>
      <c r="AU294" s="81">
        <f>AU284/AU281*400</f>
        <v>26.190476190476193</v>
      </c>
      <c r="AV294" s="87"/>
      <c r="AW294" s="81">
        <f>AW284/AW281*400</f>
        <v>10.869565217391303</v>
      </c>
      <c r="AX294" s="87"/>
      <c r="AY294" s="81">
        <f>AY284/AY281*400</f>
        <v>13.436692506459949</v>
      </c>
      <c r="AZ294" s="87"/>
      <c r="BA294" s="81">
        <f>BA284/BA281*400</f>
        <v>-9.8765432098765409</v>
      </c>
      <c r="BB294" s="87"/>
      <c r="BC294" s="81">
        <f>BC284/BC281*400</f>
        <v>12.776412776412776</v>
      </c>
      <c r="BD294" s="87"/>
      <c r="BE294" s="81">
        <f>BE284/BE281*400</f>
        <v>19.370460048426153</v>
      </c>
      <c r="BF294" s="87"/>
      <c r="BG294" s="81">
        <f>BG284/BG281*400</f>
        <v>10.138248847926267</v>
      </c>
      <c r="BH294" s="87"/>
      <c r="BI294" s="81">
        <f>BI284/BI281*400</f>
        <v>19.287211740041929</v>
      </c>
      <c r="BJ294" s="87"/>
      <c r="BK294" s="81">
        <f>BK284/BK281*400</f>
        <v>13.793103448275861</v>
      </c>
      <c r="BL294" s="87"/>
      <c r="BM294" s="81">
        <f>BM284/BM281*400</f>
        <v>-1.5594541910331383</v>
      </c>
      <c r="BN294" s="87"/>
      <c r="BO294" s="81">
        <f>BO284/BO281*400</f>
        <v>-31.43418467583497</v>
      </c>
      <c r="BP294" s="87"/>
      <c r="BQ294" s="81">
        <f>BQ284/BQ281*400</f>
        <v>15.767634854771783</v>
      </c>
      <c r="BR294" s="87"/>
      <c r="BS294" s="81">
        <f>BS284/BS281*400</f>
        <v>-59.171597633136088</v>
      </c>
      <c r="BT294" s="87"/>
      <c r="BU294" s="81">
        <f>BU284/BU281*400</f>
        <v>-77.41935483870968</v>
      </c>
      <c r="BV294" s="87"/>
      <c r="BW294" s="81">
        <f>BW284/BW281*400</f>
        <v>-8.3582089552238781</v>
      </c>
      <c r="BX294" s="87"/>
      <c r="BY294" s="81">
        <f>BY284/BY281*400</f>
        <v>53.731343283582078</v>
      </c>
      <c r="BZ294" s="87"/>
      <c r="CA294" s="81">
        <f>CA284/CA281*400</f>
        <v>51.645569620253148</v>
      </c>
      <c r="CB294" s="87"/>
      <c r="CC294" s="81">
        <f>CC284/CC281*400</f>
        <v>24.576271186440671</v>
      </c>
      <c r="CD294" s="87"/>
      <c r="CE294" s="81">
        <f>CE284/CE281*400</f>
        <v>11.741682974559687</v>
      </c>
      <c r="CF294" s="87"/>
      <c r="CG294" s="81">
        <f>CG284/CG281*400</f>
        <v>-36.635514018691595</v>
      </c>
      <c r="CH294" s="87"/>
      <c r="CI294" s="81">
        <f>CI284/CI281*400</f>
        <v>42.362525458248477</v>
      </c>
      <c r="CJ294" s="87"/>
      <c r="CK294" s="81">
        <f>CK284/CK281*400</f>
        <v>35.315315315315317</v>
      </c>
      <c r="CL294" s="87"/>
      <c r="CM294" s="81">
        <f>CM284/CM281*400</f>
        <v>15.978695073235688</v>
      </c>
      <c r="CN294" s="87"/>
      <c r="CO294" s="81">
        <f>CO284/CO281*400</f>
        <v>5.9479553903345721</v>
      </c>
      <c r="CP294" s="87"/>
      <c r="CQ294" s="81">
        <f>CQ284/CQ281*400</f>
        <v>-44.336175395858703</v>
      </c>
      <c r="CR294" s="87"/>
      <c r="CS294" s="81">
        <f>CS284/CS281*400</f>
        <v>28.80886426592798</v>
      </c>
      <c r="CT294" s="87"/>
      <c r="CU294" s="81">
        <f>CU284/CU281*400</f>
        <v>47.126436781609186</v>
      </c>
      <c r="CV294" s="87"/>
      <c r="CW294" s="81">
        <f>CW284/CW281*400</f>
        <v>-17.755856966707764</v>
      </c>
      <c r="CX294" s="87"/>
      <c r="CY294" s="81">
        <f>CY284/CY281*400</f>
        <v>21.20838471023427</v>
      </c>
      <c r="CZ294" s="72"/>
      <c r="DA294" s="81">
        <f>DA284/DA281*400</f>
        <v>-0.45558086560364452</v>
      </c>
      <c r="DB294" s="72"/>
      <c r="DC294" s="81">
        <f>DC284/DC281*400</f>
        <v>21.953896816684956</v>
      </c>
      <c r="DD294" s="72"/>
      <c r="DE294" s="81">
        <f>DE284/DE281*400</f>
        <v>0</v>
      </c>
      <c r="DF294" s="72"/>
      <c r="DG294" s="81">
        <f>DG284/DG281*400</f>
        <v>29.880478087649394</v>
      </c>
      <c r="DH294" s="72"/>
      <c r="DI294" s="81">
        <f>DI284/DI281*400</f>
        <v>26.291079812206565</v>
      </c>
      <c r="DJ294" s="72"/>
      <c r="DK294" s="81">
        <f>DK284/DK281*400</f>
        <v>6.2608695652173907</v>
      </c>
      <c r="DL294" s="72"/>
      <c r="DM294" s="81">
        <f>DM284/DM281*400</f>
        <v>16.410256410256405</v>
      </c>
      <c r="DN294" s="72" t="str">
        <f t="shared" si="1723"/>
        <v>NA</v>
      </c>
      <c r="DO294" s="81">
        <f>DO284/DO281*400</f>
        <v>-3.2653061224489783</v>
      </c>
      <c r="DP294" s="72" t="str">
        <f t="shared" si="1723"/>
        <v>NM</v>
      </c>
      <c r="DQ294" s="81">
        <f>DQ284/DQ281*400</f>
        <v>5.2159739201303985</v>
      </c>
      <c r="DR294" s="72" t="str">
        <f t="shared" si="1723"/>
        <v>NM</v>
      </c>
      <c r="DS294" s="81">
        <f>DS284/DS281*400</f>
        <v>13.564668769716084</v>
      </c>
      <c r="DT294" s="72" t="str">
        <f t="shared" si="1723"/>
        <v>NM</v>
      </c>
      <c r="DU294" s="81">
        <f>DU284/DU281*400</f>
        <v>1.4803849000740186</v>
      </c>
      <c r="DV294" s="72" t="str">
        <f t="shared" si="1723"/>
        <v>NM</v>
      </c>
      <c r="DW294" s="81">
        <f>DW284/DW281*400</f>
        <v>-22.485207100591705</v>
      </c>
      <c r="DX294" s="72" t="str">
        <f t="shared" si="1723"/>
        <v>NM</v>
      </c>
      <c r="DY294" s="81">
        <f>DY284/DY281*400</f>
        <v>13.343923749007141</v>
      </c>
      <c r="DZ294" s="72" t="str">
        <f t="shared" si="1723"/>
        <v>NM</v>
      </c>
      <c r="EA294" s="81">
        <f>EA284/EA281*400</f>
        <v>-3.7238169123351414</v>
      </c>
      <c r="EB294" s="72" t="str">
        <f>IF(ISERROR(EA294/DS294),"NA",IF(OR(EA294/DS294&gt;2,EA294/DS294&lt;0.5),"NM",EA294/DS294*100-100))</f>
        <v>NM</v>
      </c>
      <c r="EC294" s="81">
        <f>EC284/EC281*400</f>
        <v>5.9467918622848162</v>
      </c>
      <c r="ED294" s="72" t="str">
        <f>IF(ISERROR(EC294/DU294),"NA",IF(OR(EC294/DU294&gt;2,EC294/DU294&lt;0.5),"NM",EC294/DU294*100-100))</f>
        <v>NM</v>
      </c>
      <c r="EE294" s="81">
        <f>EE284/EE281*400</f>
        <v>16.755521706016747</v>
      </c>
      <c r="EF294" s="72" t="str">
        <f>IF(ISERROR(EE294/DW294),"NA",IF(OR(EE294/DW294&gt;2,EE294/DW294&lt;0.5),"NM",EE294/DW294*100-100))</f>
        <v>NM</v>
      </c>
      <c r="EG294" s="81">
        <f>EG284/EG281*400</f>
        <v>-4.9382716049382687</v>
      </c>
      <c r="EH294" s="72" t="str">
        <f>IF(ISERROR(EG294/DY294),"NA",IF(OR(EG294/DY294&gt;2,EG294/DY294&lt;0.5),"NM",EG294/DY294*100-100))</f>
        <v>NM</v>
      </c>
      <c r="EI294" s="81">
        <f>EI284/EI281*400</f>
        <v>21.669106881405554</v>
      </c>
      <c r="EJ294" s="72" t="str">
        <f>IF(ISERROR(EI294/EA294),"NA",IF(OR(EI294/EA294&gt;2,EI294/EA294&lt;0.5),"NM",EI294/EA294*100-100))</f>
        <v>NM</v>
      </c>
      <c r="EK294" s="81">
        <f>EK284/EK281*400</f>
        <v>12.760055478502071</v>
      </c>
      <c r="EL294" s="72" t="str">
        <f>IF(ISERROR(EK294/EC294),"NA",IF(OR(EK294/EC294&gt;2,EK294/EC294&lt;0.5),"NM",EK294/EC294*100-100))</f>
        <v>NM</v>
      </c>
      <c r="EM294" s="81">
        <f>EM284/EM281*400</f>
        <v>16.533333333333324</v>
      </c>
      <c r="EN294" s="72">
        <f>IF(ISERROR(EM294/EE294),"NA",IF(OR(EM294/EE294&gt;2,EM294/EE294&lt;0.5),"NM",EM294/EE294*100-100))</f>
        <v>-1.3260606060606079</v>
      </c>
      <c r="EO294" s="81">
        <f>EO284/EO281*400</f>
        <v>13.460317460317453</v>
      </c>
      <c r="EP294" s="72" t="str">
        <f>IF(ISERROR(EO294/EG294),"NA",IF(OR(EO294/EG294&gt;2,EO294/EG294&lt;0.5),"NM",EO294/EG294*100-100))</f>
        <v>NM</v>
      </c>
      <c r="EQ294" s="81">
        <f t="shared" ref="EQ294" si="1732">EQ284/EQ281*400</f>
        <v>-2.88</v>
      </c>
      <c r="ER294" s="72" t="str">
        <f t="shared" si="1724"/>
        <v>NM</v>
      </c>
      <c r="ES294" s="81">
        <f t="shared" ref="ES294" si="1733">ES284/ES281*400</f>
        <v>4.8</v>
      </c>
      <c r="ET294" s="72" t="str">
        <f t="shared" si="1726"/>
        <v>NM</v>
      </c>
      <c r="EU294" s="81">
        <f t="shared" ref="EU294" si="1734">EU284/EU281*400</f>
        <v>4.8</v>
      </c>
      <c r="EV294" s="72" t="str">
        <f t="shared" si="1728"/>
        <v>NM</v>
      </c>
      <c r="EW294" s="81">
        <f t="shared" ref="EW294" si="1735">EW284/EW281*400</f>
        <v>4.8</v>
      </c>
      <c r="EX294" s="72" t="str">
        <f t="shared" si="1730"/>
        <v>NM</v>
      </c>
      <c r="EY294" s="72"/>
      <c r="EZ294" s="309"/>
      <c r="FA294" s="72"/>
      <c r="FB294" s="81"/>
      <c r="FC294" s="82"/>
      <c r="FD294" s="81"/>
      <c r="FE294" s="87"/>
      <c r="FF294" s="81"/>
      <c r="FG294" s="87"/>
      <c r="FH294" s="81"/>
      <c r="FI294" s="87"/>
      <c r="FJ294" s="81"/>
      <c r="FK294" s="87"/>
      <c r="FL294" s="81"/>
      <c r="FM294" s="87"/>
      <c r="FN294" s="81"/>
      <c r="FO294" s="87"/>
      <c r="FP294" s="81">
        <f>FP284/FP281*100</f>
        <v>12.349397590361447</v>
      </c>
      <c r="FQ294" s="87"/>
      <c r="FR294" s="81">
        <f>FR284/FR281*100</f>
        <v>9.3023255813953494</v>
      </c>
      <c r="FS294" s="87"/>
      <c r="FT294" s="81">
        <f>FT284/FT281*100</f>
        <v>11.290322580645158</v>
      </c>
      <c r="FU294" s="87"/>
      <c r="FV294" s="81">
        <f>FV284/FV281*100</f>
        <v>-35.36345776031434</v>
      </c>
      <c r="FW294" s="87"/>
      <c r="FX294" s="81">
        <f>FX284/FX281*100</f>
        <v>35.223880597014926</v>
      </c>
      <c r="FY294" s="87"/>
      <c r="FZ294" s="81">
        <f>FZ284/FZ281*100</f>
        <v>13.111545988258319</v>
      </c>
      <c r="GA294" s="87"/>
      <c r="GB294" s="81">
        <f>GB284/GB281*100</f>
        <v>0.39946737683089312</v>
      </c>
      <c r="GC294" s="87"/>
      <c r="GD294" s="81">
        <f>GD284/GD281*100</f>
        <v>12.643678160919539</v>
      </c>
      <c r="GE294" s="87"/>
      <c r="GF294" s="81">
        <f>GF284/GF281*100</f>
        <v>21.405049396267838</v>
      </c>
      <c r="GG294" s="87"/>
      <c r="GH294" s="81">
        <f>GH284/GH281*100</f>
        <v>6.2608695652173907</v>
      </c>
      <c r="GI294" s="72" t="str">
        <f t="shared" si="1731"/>
        <v>NM</v>
      </c>
      <c r="GJ294" s="81">
        <f>GJ284/GJ281*100</f>
        <v>1.1041009463722398</v>
      </c>
      <c r="GK294" s="72" t="str">
        <f t="shared" si="1731"/>
        <v>NM</v>
      </c>
      <c r="GL294" s="81">
        <f>GL284/GL281*100</f>
        <v>3.4910783553141962</v>
      </c>
      <c r="GM294" s="72" t="str">
        <f t="shared" si="1731"/>
        <v>NM</v>
      </c>
      <c r="GN294" s="81">
        <f>GN284/GN281*100</f>
        <v>17.203513909224007</v>
      </c>
      <c r="GO294" s="72" t="str">
        <f t="shared" si="1731"/>
        <v>NM</v>
      </c>
      <c r="GP294" s="81">
        <f>GP284/GP281*100</f>
        <v>2.9290001160448531</v>
      </c>
      <c r="GQ294" s="72" t="str">
        <f t="shared" si="1731"/>
        <v>NM</v>
      </c>
      <c r="GR294" s="81">
        <f>GR284/GR281*100</f>
        <v>4.8</v>
      </c>
      <c r="GS294" s="72">
        <f t="shared" si="1731"/>
        <v>63.878450318453162</v>
      </c>
      <c r="GT294" s="81">
        <f>GT284/GT281*100</f>
        <v>4.8</v>
      </c>
      <c r="GU294" s="72">
        <f t="shared" si="1731"/>
        <v>0</v>
      </c>
      <c r="GV294" s="81">
        <f>GV284/GV281*100</f>
        <v>4.8</v>
      </c>
      <c r="GW294" s="72">
        <f>IF(ISERROR(GV294/GT294),"NA",IF(OR(GV294/GT294&gt;2,GV294/GT294&lt;0.5),"NM",GV294/GT294*100-100))</f>
        <v>0</v>
      </c>
      <c r="GX294" s="81">
        <f>GX284/GX281*100</f>
        <v>4.8000000000000007</v>
      </c>
      <c r="GY294" s="72">
        <f>IF(ISERROR(GX294/GV294),"NA",IF(OR(GX294/GV294&gt;2,GX294/GV294&lt;0.5),"NM",GX294/GV294*100-100))</f>
        <v>2.8421709430404007E-14</v>
      </c>
      <c r="GZ294" s="72"/>
      <c r="HA294" s="72"/>
      <c r="HB294" s="72"/>
      <c r="HC294"/>
      <c r="HD294"/>
      <c r="HE294"/>
      <c r="HF294"/>
      <c r="HG294"/>
      <c r="HH294"/>
      <c r="HI294" s="2"/>
    </row>
    <row r="295" spans="1:217" s="3" customFormat="1" ht="12.75" customHeight="1" x14ac:dyDescent="0.2">
      <c r="B295" s="266" t="s">
        <v>282</v>
      </c>
      <c r="C295" s="73"/>
      <c r="D295" s="72"/>
      <c r="E295" s="73"/>
      <c r="F295" s="72"/>
      <c r="G295" s="73"/>
      <c r="H295" s="72"/>
      <c r="I295" s="73"/>
      <c r="J295" s="72"/>
      <c r="K295" s="73"/>
      <c r="L295" s="87"/>
      <c r="M295" s="73"/>
      <c r="N295" s="87"/>
      <c r="O295" s="73"/>
      <c r="P295" s="87"/>
      <c r="Q295" s="73"/>
      <c r="R295" s="87"/>
      <c r="S295" s="73"/>
      <c r="T295" s="87"/>
      <c r="U295" s="73"/>
      <c r="V295" s="87"/>
      <c r="W295" s="73"/>
      <c r="X295" s="87"/>
      <c r="Y295" s="73"/>
      <c r="Z295" s="87"/>
      <c r="AA295" s="73"/>
      <c r="AB295" s="87"/>
      <c r="AC295" s="73"/>
      <c r="AD295" s="87"/>
      <c r="AE295" s="73"/>
      <c r="AF295" s="87"/>
      <c r="AG295" s="73"/>
      <c r="AH295" s="87"/>
      <c r="AI295" s="73"/>
      <c r="AJ295" s="87"/>
      <c r="AK295" s="73"/>
      <c r="AL295" s="87"/>
      <c r="AM295" s="73"/>
      <c r="AN295" s="87"/>
      <c r="AO295" s="73"/>
      <c r="AP295" s="87"/>
      <c r="AQ295" s="73"/>
      <c r="AR295" s="87"/>
      <c r="AS295" s="73"/>
      <c r="AT295" s="87"/>
      <c r="AU295" s="73"/>
      <c r="AV295" s="87"/>
      <c r="AW295" s="73"/>
      <c r="AX295" s="87"/>
      <c r="AY295" s="265">
        <f>(AY294/4)/AY$25*100</f>
        <v>90.099109163658994</v>
      </c>
      <c r="AZ295" s="87"/>
      <c r="BA295" s="265">
        <f>(BA294/4)/BA$25*100</f>
        <v>129.80608383296487</v>
      </c>
      <c r="BB295" s="87"/>
      <c r="BC295" s="265">
        <f>(BC294/4)/BC$25*100</f>
        <v>61.799787618105796</v>
      </c>
      <c r="BD295" s="87"/>
      <c r="BE295" s="265">
        <f>(BE294/4)/BE$25*100</f>
        <v>78.45937411657205</v>
      </c>
      <c r="BF295" s="87"/>
      <c r="BG295" s="265">
        <f>(BG294/4)/BG$25*100</f>
        <v>1404.4266079162749</v>
      </c>
      <c r="BH295" s="87"/>
      <c r="BI295" s="265">
        <f>(BI294/4)/BI$25*100</f>
        <v>83.053781501499486</v>
      </c>
      <c r="BJ295" s="87"/>
      <c r="BK295" s="265">
        <f>(BK294/4)/BK$25*100</f>
        <v>221.53602644492017</v>
      </c>
      <c r="BL295" s="87"/>
      <c r="BM295" s="265">
        <f>(BM294/4)/BM$25*100</f>
        <v>7.6656735068456685</v>
      </c>
      <c r="BN295" s="87"/>
      <c r="BO295" s="265">
        <f>(BO294/4)/BO$25*100</f>
        <v>79.219977954108487</v>
      </c>
      <c r="BP295" s="87"/>
      <c r="BQ295" s="265">
        <f>(BQ294/4)/BQ$25*100</f>
        <v>-59.89270881933686</v>
      </c>
      <c r="BR295" s="87"/>
      <c r="BS295" s="265">
        <f>(BS294/4)/BS$25*100</f>
        <v>160.33005885515871</v>
      </c>
      <c r="BT295" s="87"/>
      <c r="BU295" s="265">
        <f>(BU294/4)/BU$25*100</f>
        <v>87.165884029005767</v>
      </c>
      <c r="BV295" s="87"/>
      <c r="BW295" s="265">
        <f>(BW294/4)/BW$25*100</f>
        <v>17.909011224236231</v>
      </c>
      <c r="BX295" s="87"/>
      <c r="BY295" s="265">
        <f>(BY294/4)/BY$25*100</f>
        <v>100.64863119218114</v>
      </c>
      <c r="BZ295" s="87"/>
      <c r="CA295" s="265">
        <f>(CA294/4)/CA$25*100</f>
        <v>89.132475032491939</v>
      </c>
      <c r="CB295" s="87"/>
      <c r="CC295" s="265">
        <f>(CC294/4)/CC$25*100</f>
        <v>74.222493911228113</v>
      </c>
      <c r="CD295" s="87"/>
      <c r="CE295" s="265">
        <f>(CE294/4)/CE$25*100</f>
        <v>60.248138282292771</v>
      </c>
      <c r="CF295" s="87"/>
      <c r="CG295" s="265">
        <f>(CG294/4)/CG$25*100</f>
        <v>73.20768825046558</v>
      </c>
      <c r="CH295" s="87"/>
      <c r="CI295" s="265">
        <f>(CI294/4)/CI$25*100</f>
        <v>95.58540215590628</v>
      </c>
      <c r="CJ295" s="87"/>
      <c r="CK295" s="265">
        <f>(CK294/4)/CK$25*100</f>
        <v>90.843499471334979</v>
      </c>
      <c r="CL295" s="87"/>
      <c r="CM295" s="265">
        <f>(CM294/4)/CM$25*100</f>
        <v>73.674455470137161</v>
      </c>
      <c r="CN295" s="87"/>
      <c r="CO295" s="265">
        <f>(CO294/4)/CO$25*100</f>
        <v>-168.3315188833482</v>
      </c>
      <c r="CP295" s="87"/>
      <c r="CQ295" s="265">
        <f>(CQ294/4)/CQ$25*100</f>
        <v>71.303534324813967</v>
      </c>
      <c r="CR295" s="87"/>
      <c r="CS295" s="265">
        <f>(CS294/4)/CS$25*100</f>
        <v>64.58026438393965</v>
      </c>
      <c r="CT295" s="87"/>
      <c r="CU295" s="265">
        <f>(CU294/4)/CU$25*100</f>
        <v>98.207335621683868</v>
      </c>
      <c r="CV295" s="87"/>
      <c r="CW295" s="265">
        <f>(CW294/4)/CW$25*100</f>
        <v>135.00643414974564</v>
      </c>
      <c r="CX295" s="87"/>
      <c r="CY295" s="265">
        <f>(CY294/4)/CY$25*100</f>
        <v>91.992145321910158</v>
      </c>
      <c r="CZ295" s="72"/>
      <c r="DA295" s="265">
        <f>(DA294/4)/DA$25*100</f>
        <v>8.1353726000650806</v>
      </c>
      <c r="DB295" s="72"/>
      <c r="DC295" s="265">
        <f>(DC294/4)/DC$25*100</f>
        <v>56.58220829042515</v>
      </c>
      <c r="DD295" s="72"/>
      <c r="DE295" s="265">
        <f>(DE294/4)/DE$25*100</f>
        <v>0</v>
      </c>
      <c r="DF295" s="72"/>
      <c r="DG295" s="265">
        <f>(DG294/4)/DG$25*100</f>
        <v>182.19803711981339</v>
      </c>
      <c r="DH295" s="72"/>
      <c r="DI295" s="265">
        <f>(DI294/4)/DI$25*100</f>
        <v>66.391615687390313</v>
      </c>
      <c r="DJ295" s="72"/>
      <c r="DK295" s="265">
        <f>(DK294/4)/DK$25*100</f>
        <v>120.40133779264212</v>
      </c>
      <c r="DL295" s="72"/>
      <c r="DM295" s="265">
        <f>(DM294/4)/DM$25*100</f>
        <v>87.288597926895775</v>
      </c>
      <c r="DN295" s="72" t="str">
        <f t="shared" si="1723"/>
        <v>NA</v>
      </c>
      <c r="DO295" s="265">
        <f>(DO294/4)/DO$25*100</f>
        <v>-136.05442176870744</v>
      </c>
      <c r="DP295" s="72" t="str">
        <f t="shared" si="1723"/>
        <v>NM</v>
      </c>
      <c r="DQ295" s="265">
        <f>(DQ294/4)/DQ$25*100</f>
        <v>29.636215455286351</v>
      </c>
      <c r="DR295" s="72" t="str">
        <f t="shared" si="1723"/>
        <v>NM</v>
      </c>
      <c r="DS295" s="265">
        <f>(DS294/4)/DS$25*100</f>
        <v>847.79179810725532</v>
      </c>
      <c r="DT295" s="72" t="str">
        <f t="shared" si="1723"/>
        <v>NM</v>
      </c>
      <c r="DU295" s="265">
        <f>(DU294/4)/DU$25*100</f>
        <v>92.524056254626146</v>
      </c>
      <c r="DV295" s="72">
        <f t="shared" si="1723"/>
        <v>5.9978719467061126</v>
      </c>
      <c r="DW295" s="265">
        <f>(DW294/4)/DW$25*100</f>
        <v>74.196517532399128</v>
      </c>
      <c r="DX295" s="72" t="str">
        <f t="shared" si="1723"/>
        <v>NM</v>
      </c>
      <c r="DY295" s="265">
        <f>(DY294/4)/DY$25*100</f>
        <v>53.428414670863781</v>
      </c>
      <c r="DZ295" s="72">
        <f t="shared" si="1723"/>
        <v>80.280828203162145</v>
      </c>
      <c r="EA295" s="265">
        <f>(EA294/4)/EA$25*100</f>
        <v>-120.43130284491022</v>
      </c>
      <c r="EB295" s="72" t="str">
        <f>IF(ISERROR(EA295/DS295),"NA",IF(OR(EA295/DS295&gt;2,EA295/DS295&lt;0.5),"NM",EA295/DS295*100-100))</f>
        <v>NM</v>
      </c>
      <c r="EC295" s="265">
        <f>(EC294/4)/EC$25*100</f>
        <v>118.15896073010042</v>
      </c>
      <c r="ED295" s="72">
        <f>IF(ISERROR(EC295/DU295),"NA",IF(OR(EC295/DU295&gt;2,EC295/DU295&lt;0.5),"NM",EC295/DU295*100-100))</f>
        <v>27.706204757092607</v>
      </c>
      <c r="EE295" s="265">
        <f>(EE294/4)/EE$25*100</f>
        <v>134.85966112751356</v>
      </c>
      <c r="EF295" s="72">
        <f>IF(ISERROR(EE295/DW295),"NA",IF(OR(EE295/DW295&gt;2,EE295/DW295&lt;0.5),"NM",EE295/DW295*100-100))</f>
        <v>81.760095503976828</v>
      </c>
      <c r="EG295" s="265">
        <f>(EG294/4)/EG$25*100</f>
        <v>-37.937535466875723</v>
      </c>
      <c r="EH295" s="72" t="str">
        <f>IF(ISERROR(EG295/DY295),"NA",IF(OR(EG295/DY295&gt;2,EG295/DY295&lt;0.5),"NM",EG295/DY295*100-100))</f>
        <v>NM</v>
      </c>
      <c r="EI295" s="265">
        <f>(EI294/4)/EI$25*100</f>
        <v>97.896128085267918</v>
      </c>
      <c r="EJ295" s="72" t="str">
        <f>IF(ISERROR(EI295/EA295),"NA",IF(OR(EI295/EA295&gt;2,EI295/EA295&lt;0.5),"NM",EI295/EA295*100-100))</f>
        <v>NM</v>
      </c>
      <c r="EK295" s="265">
        <f>(EK294/4)/EK$25*100</f>
        <v>124.19030433418317</v>
      </c>
      <c r="EL295" s="72">
        <f>IF(ISERROR(EK295/EC295),"NA",IF(OR(EK295/EC295&gt;2,EK295/EC295&lt;0.5),"NM",EK295/EC295*100-100))</f>
        <v>5.1044318321820583</v>
      </c>
      <c r="EM295" s="265">
        <f>(EM294/4)/EM$25*100</f>
        <v>114.81481481481475</v>
      </c>
      <c r="EN295" s="72">
        <f>IF(ISERROR(EM295/EE295),"NA",IF(OR(EM295/EE295&gt;2,EM295/EE295&lt;0.5),"NM",EM295/EE295*100-100))</f>
        <v>-14.863485600594714</v>
      </c>
      <c r="EO295" s="265">
        <f>(EO294/4)/EO$25*100</f>
        <v>55.165235493104326</v>
      </c>
      <c r="EP295" s="72" t="str">
        <f>IF(ISERROR(EO295/EG295),"NA",IF(OR(EO295/EG295&gt;2,EO295/EG295&lt;0.5),"NM",EO295/EG295*100-100))</f>
        <v>NM</v>
      </c>
      <c r="EQ295" s="86">
        <v>60</v>
      </c>
      <c r="ER295" s="72">
        <f t="shared" si="1724"/>
        <v>-38.710548441977444</v>
      </c>
      <c r="ES295" s="86">
        <f t="shared" ref="ES295" si="1736">EQ295</f>
        <v>60</v>
      </c>
      <c r="ET295" s="72" t="str">
        <f t="shared" si="1726"/>
        <v>NM</v>
      </c>
      <c r="EU295" s="86">
        <f t="shared" ref="EU295" si="1737">ES295</f>
        <v>60</v>
      </c>
      <c r="EV295" s="72">
        <f t="shared" si="1728"/>
        <v>-47.741935483870932</v>
      </c>
      <c r="EW295" s="86">
        <f t="shared" ref="EW295" si="1738">EU295</f>
        <v>60</v>
      </c>
      <c r="EX295" s="72">
        <f t="shared" si="1730"/>
        <v>8.7641509433962597</v>
      </c>
      <c r="EY295" s="72"/>
      <c r="EZ295" s="309"/>
      <c r="FA295" s="72"/>
      <c r="FB295" s="81"/>
      <c r="FC295" s="82"/>
      <c r="FD295" s="81"/>
      <c r="FE295" s="87"/>
      <c r="FF295" s="81"/>
      <c r="FG295" s="87"/>
      <c r="FH295" s="81"/>
      <c r="FI295" s="87"/>
      <c r="FJ295" s="81"/>
      <c r="FK295" s="87"/>
      <c r="FL295" s="81"/>
      <c r="FM295" s="87"/>
      <c r="FN295" s="81"/>
      <c r="FO295" s="87"/>
      <c r="FP295" s="81"/>
      <c r="FQ295" s="87"/>
      <c r="FR295" s="81"/>
      <c r="FS295" s="87"/>
      <c r="FT295" s="81"/>
      <c r="FU295" s="87"/>
      <c r="FV295" s="81"/>
      <c r="FW295" s="72"/>
      <c r="FX295" s="81"/>
      <c r="FY295" s="72"/>
      <c r="FZ295" s="81"/>
      <c r="GA295" s="72"/>
      <c r="GB295" s="81"/>
      <c r="GC295" s="72"/>
      <c r="GD295" s="81"/>
      <c r="GE295" s="72"/>
      <c r="GF295" s="81"/>
      <c r="GG295" s="72"/>
      <c r="GH295" s="81"/>
      <c r="GI295" s="72"/>
      <c r="GJ295" s="81"/>
      <c r="GK295" s="72"/>
      <c r="GL295" s="81"/>
      <c r="GM295" s="72"/>
      <c r="GN295" s="81"/>
      <c r="GO295" s="72"/>
      <c r="GP295" s="81"/>
      <c r="GQ295" s="72"/>
      <c r="GR295" s="86">
        <v>60</v>
      </c>
      <c r="GS295" s="72"/>
      <c r="GT295" s="86">
        <f>GR295</f>
        <v>60</v>
      </c>
      <c r="GU295" s="72"/>
      <c r="GV295" s="86">
        <f>GT295</f>
        <v>60</v>
      </c>
      <c r="GW295" s="72"/>
      <c r="GX295" s="86">
        <f>GV295</f>
        <v>60</v>
      </c>
      <c r="GY295" s="72"/>
      <c r="GZ295" s="72"/>
      <c r="HA295" s="72"/>
      <c r="HB295" s="72"/>
      <c r="HC295"/>
      <c r="HD295"/>
      <c r="HE295"/>
      <c r="HF295"/>
      <c r="HG295"/>
      <c r="HH295"/>
      <c r="HI295" s="2"/>
    </row>
    <row r="296" spans="1:217" s="3" customFormat="1" ht="12.75" customHeight="1" x14ac:dyDescent="0.2">
      <c r="B296" s="76"/>
      <c r="C296" s="81"/>
      <c r="D296" s="72"/>
      <c r="E296" s="81"/>
      <c r="F296" s="72"/>
      <c r="G296" s="81"/>
      <c r="H296" s="72"/>
      <c r="I296" s="81"/>
      <c r="J296" s="72"/>
      <c r="K296" s="81"/>
      <c r="L296" s="87"/>
      <c r="M296" s="81"/>
      <c r="N296" s="87"/>
      <c r="O296" s="81"/>
      <c r="P296" s="87"/>
      <c r="Q296" s="81"/>
      <c r="R296" s="87"/>
      <c r="S296" s="81"/>
      <c r="T296" s="87"/>
      <c r="U296" s="81"/>
      <c r="V296" s="87"/>
      <c r="W296" s="81"/>
      <c r="X296" s="87"/>
      <c r="Y296" s="81"/>
      <c r="Z296" s="87"/>
      <c r="AA296" s="81"/>
      <c r="AB296" s="87"/>
      <c r="AC296" s="81"/>
      <c r="AD296" s="87"/>
      <c r="AE296" s="81"/>
      <c r="AF296" s="87"/>
      <c r="AG296" s="81"/>
      <c r="AH296" s="87"/>
      <c r="AI296" s="81"/>
      <c r="AJ296" s="87"/>
      <c r="AK296" s="81"/>
      <c r="AL296" s="87"/>
      <c r="AM296" s="81"/>
      <c r="AN296" s="87"/>
      <c r="AO296" s="81"/>
      <c r="AP296" s="87"/>
      <c r="AQ296" s="81"/>
      <c r="AR296" s="87"/>
      <c r="AS296" s="81"/>
      <c r="AT296" s="87"/>
      <c r="AU296" s="81"/>
      <c r="AV296" s="87"/>
      <c r="AW296" s="81"/>
      <c r="AX296" s="87"/>
      <c r="AY296" s="81"/>
      <c r="AZ296" s="87"/>
      <c r="BA296" s="81"/>
      <c r="BB296" s="87"/>
      <c r="BC296" s="81"/>
      <c r="BD296" s="87"/>
      <c r="BE296" s="81"/>
      <c r="BF296" s="87"/>
      <c r="BG296" s="81"/>
      <c r="BH296" s="87"/>
      <c r="BI296" s="81"/>
      <c r="BJ296" s="87"/>
      <c r="BK296" s="81"/>
      <c r="BL296" s="87"/>
      <c r="BM296" s="81"/>
      <c r="BN296" s="87"/>
      <c r="BO296" s="81"/>
      <c r="BP296" s="87"/>
      <c r="BQ296" s="81"/>
      <c r="BR296" s="87"/>
      <c r="BS296" s="81"/>
      <c r="BT296" s="87"/>
      <c r="BU296" s="81"/>
      <c r="BV296" s="87"/>
      <c r="BW296" s="81"/>
      <c r="BX296" s="72"/>
      <c r="BY296" s="81"/>
      <c r="BZ296" s="72"/>
      <c r="CA296" s="81"/>
      <c r="CB296" s="72"/>
      <c r="CC296" s="81"/>
      <c r="CD296" s="72"/>
      <c r="CE296" s="81"/>
      <c r="CF296" s="72"/>
      <c r="CG296" s="81"/>
      <c r="CH296" s="72"/>
      <c r="CI296" s="81"/>
      <c r="CJ296" s="72"/>
      <c r="CK296" s="81"/>
      <c r="CL296" s="72"/>
      <c r="CM296" s="81"/>
      <c r="CN296" s="72"/>
      <c r="CO296" s="81"/>
      <c r="CP296" s="72"/>
      <c r="CQ296" s="81"/>
      <c r="CR296" s="72"/>
      <c r="CS296" s="81"/>
      <c r="CT296" s="72"/>
      <c r="CU296" s="81"/>
      <c r="CV296" s="72"/>
      <c r="CW296" s="81"/>
      <c r="CX296" s="72"/>
      <c r="CY296" s="81"/>
      <c r="CZ296" s="72"/>
      <c r="DA296" s="81"/>
      <c r="DB296" s="72"/>
      <c r="DC296" s="81"/>
      <c r="DD296" s="72"/>
      <c r="DE296" s="81"/>
      <c r="DF296" s="72"/>
      <c r="DG296" s="81"/>
      <c r="DH296" s="72"/>
      <c r="DI296" s="81"/>
      <c r="DJ296" s="72"/>
      <c r="DK296" s="81"/>
      <c r="DL296" s="72"/>
      <c r="DM296" s="81"/>
      <c r="DN296" s="72"/>
      <c r="DO296" s="81"/>
      <c r="DP296" s="72"/>
      <c r="DQ296" s="81"/>
      <c r="DR296" s="72"/>
      <c r="DS296" s="81"/>
      <c r="DT296" s="72"/>
      <c r="DU296" s="81"/>
      <c r="DV296" s="72"/>
      <c r="DW296" s="81"/>
      <c r="DX296" s="72"/>
      <c r="DY296" s="81"/>
      <c r="DZ296" s="72"/>
      <c r="EA296" s="81"/>
      <c r="EB296" s="72"/>
      <c r="EC296" s="81"/>
      <c r="ED296" s="72"/>
      <c r="EE296" s="81"/>
      <c r="EF296" s="72"/>
      <c r="EG296" s="81"/>
      <c r="EH296" s="72"/>
      <c r="EI296" s="81"/>
      <c r="EJ296" s="72"/>
      <c r="EK296" s="81"/>
      <c r="EL296" s="72"/>
      <c r="EM296" s="81"/>
      <c r="EN296" s="72"/>
      <c r="EO296" s="81"/>
      <c r="EP296" s="72"/>
      <c r="EQ296" s="81"/>
      <c r="ER296" s="72"/>
      <c r="ES296" s="81"/>
      <c r="ET296" s="72"/>
      <c r="EU296" s="81"/>
      <c r="EV296" s="72"/>
      <c r="EW296" s="81"/>
      <c r="EX296" s="72"/>
      <c r="EY296" s="72"/>
      <c r="EZ296" s="309"/>
      <c r="FA296" s="72"/>
      <c r="FB296" s="81"/>
      <c r="FC296" s="72"/>
      <c r="FD296" s="81"/>
      <c r="FE296" s="87"/>
      <c r="FF296" s="81"/>
      <c r="FG296" s="87"/>
      <c r="FH296" s="81"/>
      <c r="FI296" s="87"/>
      <c r="FJ296" s="81"/>
      <c r="FK296" s="87"/>
      <c r="FL296" s="81"/>
      <c r="FM296" s="87"/>
      <c r="FN296" s="81"/>
      <c r="FO296" s="87"/>
      <c r="FP296" s="81"/>
      <c r="FQ296" s="87"/>
      <c r="FR296" s="81"/>
      <c r="FS296" s="87"/>
      <c r="FT296" s="81"/>
      <c r="FU296" s="87"/>
      <c r="FV296" s="81"/>
      <c r="FW296" s="87"/>
      <c r="FX296" s="81"/>
      <c r="FY296" s="87"/>
      <c r="FZ296" s="81"/>
      <c r="GA296" s="87"/>
      <c r="GB296" s="81"/>
      <c r="GC296" s="87"/>
      <c r="GD296" s="81"/>
      <c r="GE296" s="87"/>
      <c r="GF296" s="81"/>
      <c r="GG296" s="87"/>
      <c r="GH296" s="81"/>
      <c r="GI296" s="87"/>
      <c r="GJ296" s="81"/>
      <c r="GK296" s="87"/>
      <c r="GL296" s="81"/>
      <c r="GM296" s="87"/>
      <c r="GN296" s="81"/>
      <c r="GO296" s="87"/>
      <c r="GP296" s="81"/>
      <c r="GQ296" s="87"/>
      <c r="GR296" s="81"/>
      <c r="GS296" s="87"/>
      <c r="GT296" s="81"/>
      <c r="GU296" s="87"/>
      <c r="GV296" s="81"/>
      <c r="GW296" s="87"/>
      <c r="GX296" s="81"/>
      <c r="GY296" s="87"/>
      <c r="GZ296" s="87"/>
      <c r="HA296" s="87"/>
      <c r="HB296" s="87"/>
      <c r="HC296"/>
      <c r="HD296"/>
      <c r="HE296"/>
      <c r="HF296"/>
      <c r="HG296"/>
      <c r="HH296"/>
      <c r="HI296" s="2"/>
    </row>
    <row r="297" spans="1:217" s="3" customFormat="1" ht="12.75" customHeight="1" x14ac:dyDescent="0.2">
      <c r="B297" s="76" t="s">
        <v>208</v>
      </c>
      <c r="C297" s="75"/>
      <c r="D297" s="72"/>
      <c r="E297" s="75"/>
      <c r="F297" s="72"/>
      <c r="G297" s="75"/>
      <c r="H297" s="72"/>
      <c r="I297" s="75"/>
      <c r="J297" s="72"/>
      <c r="K297" s="75"/>
      <c r="L297" s="87"/>
      <c r="M297" s="75"/>
      <c r="N297" s="87"/>
      <c r="O297" s="75"/>
      <c r="P297" s="87"/>
      <c r="Q297" s="75"/>
      <c r="R297" s="87"/>
      <c r="S297" s="75"/>
      <c r="T297" s="87"/>
      <c r="U297" s="75"/>
      <c r="V297" s="87"/>
      <c r="W297" s="75"/>
      <c r="X297" s="87"/>
      <c r="Y297" s="75"/>
      <c r="Z297" s="87"/>
      <c r="AA297" s="75"/>
      <c r="AB297" s="87"/>
      <c r="AC297" s="75"/>
      <c r="AD297" s="87"/>
      <c r="AE297" s="75"/>
      <c r="AF297" s="87"/>
      <c r="AG297" s="75"/>
      <c r="AH297" s="87"/>
      <c r="AI297" s="75"/>
      <c r="AJ297" s="87"/>
      <c r="AK297" s="75"/>
      <c r="AL297" s="87"/>
      <c r="AM297" s="75"/>
      <c r="AN297" s="87"/>
      <c r="AO297" s="75"/>
      <c r="AP297" s="87"/>
      <c r="AQ297" s="75"/>
      <c r="AR297" s="87"/>
      <c r="AS297" s="75"/>
      <c r="AT297" s="87"/>
      <c r="AU297" s="75">
        <f>AU289+AU272</f>
        <v>200.3</v>
      </c>
      <c r="AV297" s="87" t="str">
        <f>IF(ISERROR(AU297/AM297),"NA",IF(OR(AU297/AM297&gt;2,AU297/AM297&lt;0.5),"NM",AU297/AM297*100-100))</f>
        <v>NA</v>
      </c>
      <c r="AW297" s="75">
        <f>AW289+AW272</f>
        <v>208.2</v>
      </c>
      <c r="AX297" s="87" t="str">
        <f>IF(ISERROR(AW297/AO297),"NA",IF(OR(AW297/AO297&gt;2,AW297/AO297&lt;0.5),"NM",AW297/AO297*100-100))</f>
        <v>NA</v>
      </c>
      <c r="AY297" s="75">
        <f>AY289+AY272</f>
        <v>214.3</v>
      </c>
      <c r="AZ297" s="87" t="str">
        <f>IF(ISERROR(AY297/AQ297),"NA",IF(OR(AY297/AQ297&gt;2,AY297/AQ297&lt;0.5),"NM",AY297/AQ297*100-100))</f>
        <v>NA</v>
      </c>
      <c r="BA297" s="75">
        <f>BA289+BA272</f>
        <v>213.6</v>
      </c>
      <c r="BB297" s="87" t="str">
        <f>IF(ISERROR(BA297/AS297),"NA",IF(OR(BA297/AS297&gt;2,BA297/AS297&lt;0.5),"NM",BA297/AS297*100-100))</f>
        <v>NA</v>
      </c>
      <c r="BC297" s="75">
        <f>BC289+BC272</f>
        <v>223.8</v>
      </c>
      <c r="BD297" s="87">
        <f>IF(ISERROR(BC297/AU297),"NA",IF(OR(BC297/AU297&gt;2,BC297/AU297&lt;0.5),"NM",BC297/AU297*100-100))</f>
        <v>11.732401397903146</v>
      </c>
      <c r="BE297" s="75">
        <f>BE289+BE272</f>
        <v>235.79999999999998</v>
      </c>
      <c r="BF297" s="87">
        <f>IF(ISERROR(BE297/AW297),"NA",IF(OR(BE297/AW297&gt;2,BE297/AW297&lt;0.5),"NM",BE297/AW297*100-100))</f>
        <v>13.256484149855893</v>
      </c>
      <c r="BG297" s="75">
        <f>BG289+BG272</f>
        <v>245.2</v>
      </c>
      <c r="BH297" s="87">
        <f>IF(ISERROR(BG297/AY297),"NA",IF(OR(BG297/AY297&gt;2,BG297/AY297&lt;0.5),"NM",BG297/AY297*100-100))</f>
        <v>14.419038730751282</v>
      </c>
      <c r="BI297" s="75">
        <f>BI289+BI272</f>
        <v>253.29999999999998</v>
      </c>
      <c r="BJ297" s="87">
        <f>IF(ISERROR(BI297/BA297),"NA",IF(OR(BI297/BA297&gt;2,BI297/BA297&lt;0.5),"NM",BI297/BA297*100-100))</f>
        <v>18.586142322097359</v>
      </c>
      <c r="BK297" s="75">
        <f>BK289+BK272</f>
        <v>258.60000000000002</v>
      </c>
      <c r="BL297" s="87">
        <f>IF(ISERROR(BK297/BC297),"NA",IF(OR(BK297/BC297&gt;2,BK297/BC297&lt;0.5),"NM",BK297/BC297*100-100))</f>
        <v>15.549597855227887</v>
      </c>
      <c r="BM297" s="75">
        <f>BM289+BM272</f>
        <v>263</v>
      </c>
      <c r="BN297" s="87">
        <f>IF(ISERROR(BM297/BE297),"NA",IF(OR(BM297/BE297&gt;2,BM297/BE297&lt;0.5),"NM",BM297/BE297*100-100))</f>
        <v>11.535199321458876</v>
      </c>
      <c r="BO297" s="75">
        <f>BO289+BO272</f>
        <v>255.99999999999997</v>
      </c>
      <c r="BP297" s="87">
        <f>IF(ISERROR(BO297/BG297),"NA",IF(OR(BO297/BG297&gt;2,BO297/BG297&lt;0.5),"NM",BO297/BG297*100-100))</f>
        <v>4.4045676998368606</v>
      </c>
      <c r="BQ297" s="75">
        <f>BQ289+BQ272</f>
        <v>263.60000000000002</v>
      </c>
      <c r="BR297" s="87">
        <f>IF(ISERROR(BQ297/BI297),"NA",IF(OR(BQ297/BI297&gt;2,BQ297/BI297&lt;0.5),"NM",BQ297/BI297*100-100))</f>
        <v>4.0663245163837587</v>
      </c>
      <c r="BS297" s="75">
        <f>BS289+BS272</f>
        <v>246.29999999999998</v>
      </c>
      <c r="BT297" s="87">
        <f>IF(ISERROR(BS297/BK297),"NA",IF(OR(BS297/BK297&gt;2,BS297/BK297&lt;0.5),"NM",BS297/BK297*100-100))</f>
        <v>-4.7563805104408488</v>
      </c>
      <c r="BU297" s="75">
        <f>BU289+BU272</f>
        <v>222.89999999999998</v>
      </c>
      <c r="BV297" s="87">
        <f>IF(ISERROR(BU297/BM297),"NA",IF(OR(BU297/BM297&gt;2,BU297/BM297&lt;0.5),"NM",BU297/BM297*100-100))</f>
        <v>-15.247148288973392</v>
      </c>
      <c r="BW297" s="75">
        <f>BW289+BW272</f>
        <v>214</v>
      </c>
      <c r="BX297" s="72">
        <f>IF(ISERROR(BW297/BO297),"NA",IF(OR(BW297/BO297&gt;2,BW297/BO297&lt;0.5),"NM",BW297/BO297*100-100))</f>
        <v>-16.406249999999986</v>
      </c>
      <c r="BY297" s="75">
        <f>BY289+BY272</f>
        <v>233.79999999999998</v>
      </c>
      <c r="BZ297" s="72">
        <f>IF(ISERROR(BY297/BQ297),"NA",IF(OR(BY297/BQ297&gt;2,BY297/BQ297&lt;0.5),"NM",BY297/BQ297*100-100))</f>
        <v>-11.305007587253428</v>
      </c>
      <c r="CA297" s="75">
        <f>CA289+CA272</f>
        <v>259.18</v>
      </c>
      <c r="CB297" s="72">
        <f>IF(ISERROR(CA297/BS297),"NA",IF(OR(CA297/BS297&gt;2,CA297/BS297&lt;0.5),"NM",CA297/BS297*100-100))</f>
        <v>5.2293950466910388</v>
      </c>
      <c r="CC297" s="75">
        <f>CC289+CC272</f>
        <v>272.77999999999997</v>
      </c>
      <c r="CD297" s="72">
        <f>IF(ISERROR(CC297/BU297),"NA",IF(OR(CC297/BU297&gt;2,CC297/BU297&lt;0.5),"NM",CC297/BU297*100-100))</f>
        <v>22.377747868999549</v>
      </c>
      <c r="CE297" s="75">
        <f>CE289+CE272</f>
        <v>282.98</v>
      </c>
      <c r="CF297" s="72">
        <f>IF(ISERROR(CE297/BW297),"NA",IF(OR(CE297/BW297&gt;2,CE297/BW297&lt;0.5),"NM",CE297/BW297*100-100))</f>
        <v>32.233644859813069</v>
      </c>
      <c r="CG297" s="75">
        <f>CG289+CG272</f>
        <v>289.27999999999997</v>
      </c>
      <c r="CH297" s="72">
        <f>IF(ISERROR(CG297/BY297),"NA",IF(OR(CG297/BY297&gt;2,CG297/BY297&lt;0.5),"NM",CG297/BY297*100-100))</f>
        <v>23.729683490162529</v>
      </c>
      <c r="CI297" s="75">
        <f>CI289+CI272</f>
        <v>312.48</v>
      </c>
      <c r="CJ297" s="72">
        <f>IF(ISERROR(CI297/CA297),"NA",IF(OR(CI297/CA297&gt;2,CI297/CA297&lt;0.5),"NM",CI297/CA297*100-100))</f>
        <v>20.564858399567882</v>
      </c>
      <c r="CK297" s="75">
        <f>CK289+CK272</f>
        <v>336.38</v>
      </c>
      <c r="CL297" s="72">
        <f>IF(ISERROR(CK297/CC297),"NA",IF(OR(CK297/CC297&gt;2,CK297/CC297&lt;0.5),"NM",CK297/CC297*100-100))</f>
        <v>23.315492338147962</v>
      </c>
      <c r="CM297" s="75">
        <f>CM289+CM272</f>
        <v>367.6</v>
      </c>
      <c r="CN297" s="72">
        <f>IF(ISERROR(CM297/CE297),"NA",IF(OR(CM297/CE297&gt;2,CM297/CE297&lt;0.5),"NM",CM297/CE297*100-100))</f>
        <v>29.903173369142706</v>
      </c>
      <c r="CO297" s="75">
        <f>CO289+CO272</f>
        <v>378.7</v>
      </c>
      <c r="CP297" s="72">
        <f>IF(ISERROR(CO297/CG297),"NA",IF(OR(CO297/CG297&gt;2,CO297/CG297&lt;0.5),"NM",CO297/CG297*100-100))</f>
        <v>30.91122787610621</v>
      </c>
      <c r="CQ297" s="75">
        <f>CQ289+CQ272</f>
        <v>380.6</v>
      </c>
      <c r="CR297" s="72">
        <f>IF(ISERROR(CQ297/CI297),"NA",IF(OR(CQ297/CI297&gt;2,CQ297/CI297&lt;0.5),"NM",CQ297/CI297*100-100))</f>
        <v>21.79979518689197</v>
      </c>
      <c r="CS297" s="75">
        <f>CS289+CS272</f>
        <v>391.10000000000008</v>
      </c>
      <c r="CT297" s="72">
        <f>IF(ISERROR(CS297/CK297),"NA",IF(OR(CS297/CK297&gt;2,CS297/CK297&lt;0.5),"NM",CS297/CK297*100-100))</f>
        <v>16.267316725132304</v>
      </c>
      <c r="CU297" s="75">
        <f>CU289+CU272</f>
        <v>411.20000000000005</v>
      </c>
      <c r="CV297" s="72">
        <f>IF(ISERROR(CU297/CM297),"NA",IF(OR(CU297/CM297&gt;2,CU297/CM297&lt;0.5),"NM",CU297/CM297*100-100))</f>
        <v>11.860718171926024</v>
      </c>
      <c r="CW297" s="75">
        <f>CW289+CW272</f>
        <v>420.90000000000009</v>
      </c>
      <c r="CX297" s="72">
        <f>IF(ISERROR(CW297/CO297),"NA",IF(OR(CW297/CO297&gt;2,CW297/CO297&lt;0.5),"NM",CW297/CO297*100-100))</f>
        <v>11.143385265381596</v>
      </c>
      <c r="CY297" s="75">
        <f>CY289+CY272</f>
        <v>437.00000000000006</v>
      </c>
      <c r="CZ297" s="72">
        <f>IF(ISERROR(CY297/CQ297),"NA",IF(OR(CY297/CQ297&gt;2,CY297/CQ297&lt;0.5),"NM",CY297/CQ297*100-100))</f>
        <v>14.818707304256449</v>
      </c>
      <c r="DA297" s="75">
        <f>DA289+DA272</f>
        <v>452.40000000000009</v>
      </c>
      <c r="DB297" s="72">
        <f>IF(ISERROR(DA297/CS297),"NA",IF(OR(DA297/CS297&gt;2,DA297/CS297&lt;0.5),"NM",DA297/CS297*100-100))</f>
        <v>15.673740731270769</v>
      </c>
      <c r="DC297" s="75">
        <f>DC289+DC272</f>
        <v>467.00000000000011</v>
      </c>
      <c r="DD297" s="72">
        <f>IF(ISERROR(DC297/CU297),"NA",IF(OR(DC297/CU297&gt;2,DC297/CU297&lt;0.5),"NM",DC297/CU297*100-100))</f>
        <v>13.570038910505858</v>
      </c>
      <c r="DE297" s="75">
        <f>DE289+DE272</f>
        <v>471.50000000000006</v>
      </c>
      <c r="DF297" s="72">
        <f>IF(ISERROR(DE297/CW297),"NA",IF(OR(DE297/CW297&gt;2,DE297/CW297&lt;0.5),"NM",DE297/CW297*100-100))</f>
        <v>12.021857923497265</v>
      </c>
      <c r="DG297" s="75">
        <f>DG289+DG272</f>
        <v>489.40000000000009</v>
      </c>
      <c r="DH297" s="72">
        <f>IF(ISERROR(DG297/CY297),"NA",IF(OR(DG297/CY297&gt;2,DG297/CY297&lt;0.5),"NM",DG297/CY297*100-100))</f>
        <v>11.990846681922207</v>
      </c>
      <c r="DI297" s="75">
        <f>DI289+DI272</f>
        <v>512.40000000000009</v>
      </c>
      <c r="DJ297" s="72">
        <f>IF(ISERROR(DI297/DA297),"NA",IF(OR(DI297/DA297&gt;2,DI297/DA297&lt;0.5),"NM",DI297/DA297*100-100))</f>
        <v>13.262599469496024</v>
      </c>
      <c r="DK297" s="75">
        <f>DK289+DK272</f>
        <v>525.10000000000014</v>
      </c>
      <c r="DL297" s="72">
        <f>IF(ISERROR(DK297/DC297),"NA",IF(OR(DK297/DC297&gt;2,DK297/DC297&lt;0.5),"NM",DK297/DC297*100-100))</f>
        <v>12.441113490364032</v>
      </c>
      <c r="DM297" s="75">
        <f>DM289+DM272</f>
        <v>547.10000000000014</v>
      </c>
      <c r="DN297" s="72">
        <f t="shared" ref="DN297:DZ298" si="1739">IF(ISERROR(DM297/DE297),"NA",IF(OR(DM297/DE297&gt;2,DM297/DE297&lt;0.5),"NM",DM297/DE297*100-100))</f>
        <v>16.033934252386018</v>
      </c>
      <c r="DO297" s="75">
        <f>DO289+DO272</f>
        <v>543.70000000000016</v>
      </c>
      <c r="DP297" s="72">
        <f t="shared" si="1739"/>
        <v>11.095218635063347</v>
      </c>
      <c r="DQ297" s="75">
        <f>DQ289+DQ272</f>
        <v>556.10000000000014</v>
      </c>
      <c r="DR297" s="72">
        <f t="shared" si="1739"/>
        <v>8.5284933645589405</v>
      </c>
      <c r="DS297" s="75">
        <f>DS289+DS272</f>
        <v>579.30000000000018</v>
      </c>
      <c r="DT297" s="72">
        <f t="shared" si="1739"/>
        <v>10.321843458388884</v>
      </c>
      <c r="DU297" s="75">
        <f>DU289+DU272</f>
        <v>579.80000000000018</v>
      </c>
      <c r="DV297" s="72">
        <f t="shared" si="1739"/>
        <v>5.9769694754158422</v>
      </c>
      <c r="DW297" s="75">
        <f>DW289+DW272</f>
        <v>569.80000000000018</v>
      </c>
      <c r="DX297" s="72">
        <f t="shared" si="1739"/>
        <v>4.8004414199006789</v>
      </c>
      <c r="DY297" s="75">
        <f>DY289+DY272</f>
        <v>586.4000000000002</v>
      </c>
      <c r="DZ297" s="72">
        <f t="shared" si="1739"/>
        <v>5.4486603128933666</v>
      </c>
      <c r="EA297" s="75">
        <f>EA289+EA272</f>
        <v>602.20000000000027</v>
      </c>
      <c r="EB297" s="72">
        <f>IF(ISERROR(EA297/DS297),"NA",IF(OR(EA297/DS297&gt;2,EA297/DS297&lt;0.5),"NM",EA297/DS297*100-100))</f>
        <v>3.9530467805972904</v>
      </c>
      <c r="EC297" s="75">
        <f>EC289+EC272</f>
        <v>620.9000000000002</v>
      </c>
      <c r="ED297" s="72">
        <f>IF(ISERROR(EC297/DU297),"NA",IF(OR(EC297/DU297&gt;2,EC297/DU297&lt;0.5),"NM",EC297/DU297*100-100))</f>
        <v>7.0886512590548421</v>
      </c>
      <c r="EE297" s="75">
        <f>EE289+EE272</f>
        <v>654.90000000000009</v>
      </c>
      <c r="EF297" s="72">
        <f>IF(ISERROR(EE297/DW297),"NA",IF(OR(EE297/DW297&gt;2,EE297/DW297&lt;0.5),"NM",EE297/DW297*100-100))</f>
        <v>14.935064935064915</v>
      </c>
      <c r="EG297" s="75">
        <f>EG289+EG272</f>
        <v>640.70000000000016</v>
      </c>
      <c r="EH297" s="72">
        <f>IF(ISERROR(EG297/DY297),"NA",IF(OR(EG297/DY297&gt;2,EG297/DY297&lt;0.5),"NM",EG297/DY297*100-100))</f>
        <v>9.2598908594815725</v>
      </c>
      <c r="EI297" s="75">
        <f>EI289+EI272</f>
        <v>662.80000000000018</v>
      </c>
      <c r="EJ297" s="72">
        <f>IF(ISERROR(EI297/EA297),"NA",IF(OR(EI297/EA297&gt;2,EI297/EA297&lt;0.5),"NM",EI297/EA297*100-100))</f>
        <v>10.063101959481884</v>
      </c>
      <c r="EK297" s="75">
        <f>EK289+EK272</f>
        <v>692.40000000000032</v>
      </c>
      <c r="EL297" s="72">
        <f>IF(ISERROR(EK297/EC297),"NA",IF(OR(EK297/EC297&gt;2,EK297/EC297&lt;0.5),"NM",EK297/EC297*100-100))</f>
        <v>11.515541955226311</v>
      </c>
      <c r="EM297" s="75">
        <f>EM289+EM272</f>
        <v>718.20000000000027</v>
      </c>
      <c r="EN297" s="72">
        <f>IF(ISERROR(EM297/EE297),"NA",IF(OR(EM297/EE297&gt;2,EM297/EE297&lt;0.5),"NM",EM297/EE297*100-100))</f>
        <v>9.6655978011910548</v>
      </c>
      <c r="EO297" s="75">
        <f>EO289+EO272</f>
        <v>735.10000000000025</v>
      </c>
      <c r="EP297" s="72">
        <f>IF(ISERROR(EO297/EG297),"NA",IF(OR(EO297/EG297&gt;2,EO297/EG297&lt;0.5),"NM",EO297/EG297*100-100))</f>
        <v>14.733884813485247</v>
      </c>
      <c r="EQ297" s="75">
        <f t="shared" ref="EQ297" si="1740">EQ289+EQ272</f>
        <v>736.13724000000025</v>
      </c>
      <c r="ER297" s="72">
        <f t="shared" ref="ER297:ER298" si="1741">IF(ISERROR(EQ297/EI297),"NA",IF(OR(EQ297/EI297&gt;2,EQ297/EI297&lt;0.5),"NM",EQ297/EI297*100-100))</f>
        <v>11.06476161738081</v>
      </c>
      <c r="ES297" s="75">
        <f t="shared" ref="ES297" si="1742">ES289+ES272</f>
        <v>747.1944372032666</v>
      </c>
      <c r="ET297" s="72">
        <f t="shared" ref="ET297:ET298" si="1743">IF(ISERROR(ES297/EK297),"NA",IF(OR(ES297/EK297&gt;2,ES297/EK297&lt;0.5),"NM",ES297/EK297*100-100))</f>
        <v>7.9136968808876702</v>
      </c>
      <c r="EU297" s="75">
        <f t="shared" ref="EU297" si="1744">EU289+EU272</f>
        <v>758.79625003578735</v>
      </c>
      <c r="EV297" s="72">
        <f t="shared" ref="EV297:EV298" si="1745">IF(ISERROR(EU297/EM297),"NA",IF(OR(EU297/EM297&gt;2,EU297/EM297&lt;0.5),"NM",EU297/EM297*100-100))</f>
        <v>5.6524993087979851</v>
      </c>
      <c r="EW297" s="75">
        <f t="shared" ref="EW297" si="1746">EW289+EW272</f>
        <v>771.17545968245281</v>
      </c>
      <c r="EX297" s="72">
        <f t="shared" ref="EX297:EX298" si="1747">IF(ISERROR(EW297/EO297),"NA",IF(OR(EW297/EO297&gt;2,EW297/EO297&lt;0.5),"NM",EW297/EO297*100-100))</f>
        <v>4.9075581121551579</v>
      </c>
      <c r="EY297" s="72"/>
      <c r="EZ297" s="307"/>
      <c r="FA297" s="72"/>
      <c r="FB297" s="75"/>
      <c r="FC297" s="87"/>
      <c r="FD297" s="75"/>
      <c r="FE297" s="87"/>
      <c r="FF297" s="75"/>
      <c r="FG297" s="87"/>
      <c r="FH297" s="75"/>
      <c r="FI297" s="87"/>
      <c r="FJ297" s="75"/>
      <c r="FK297" s="87"/>
      <c r="FL297" s="75"/>
      <c r="FM297" s="87"/>
      <c r="FN297" s="75"/>
      <c r="FO297" s="87"/>
      <c r="FP297" s="75">
        <f>FP289+FP272</f>
        <v>208.2</v>
      </c>
      <c r="FQ297" s="87"/>
      <c r="FR297" s="75">
        <f>FR289+FR272</f>
        <v>235.79999999999998</v>
      </c>
      <c r="FS297" s="87">
        <f>IF(ISERROR(FR297/FP297),"NA",IF(OR(FR297/FP297&gt;2,FR297/FP297&lt;0.5),"NM",FR297/FP297*100-100))</f>
        <v>13.256484149855893</v>
      </c>
      <c r="FT297" s="75">
        <f>FT289+FT272</f>
        <v>263</v>
      </c>
      <c r="FU297" s="87">
        <f>IF(ISERROR(FT297/FR297),"NA",IF(OR(FT297/FR297&gt;2,FT297/FR297&lt;0.5),"NM",FT297/FR297*100-100))</f>
        <v>11.535199321458876</v>
      </c>
      <c r="FV297" s="75">
        <f>FV289+FV272</f>
        <v>222.89999999999998</v>
      </c>
      <c r="FW297" s="72">
        <f t="shared" ref="FW297:GG298" si="1748">IF(ISERROR(FV297/FT297),"NA",IF(OR(FV297/FT297&gt;2,FV297/FT297&lt;0.5),"NM",FV297/FT297*100-100))</f>
        <v>-15.247148288973392</v>
      </c>
      <c r="FX297" s="75">
        <f>FX289+FX272</f>
        <v>272.78000000000003</v>
      </c>
      <c r="FY297" s="72">
        <f t="shared" si="1748"/>
        <v>22.377747868999577</v>
      </c>
      <c r="FZ297" s="75">
        <f>FZ289+FZ272</f>
        <v>336.38</v>
      </c>
      <c r="GA297" s="72">
        <f t="shared" si="1748"/>
        <v>23.315492338147934</v>
      </c>
      <c r="GB297" s="75">
        <f>GB289+GB272</f>
        <v>391.1</v>
      </c>
      <c r="GC297" s="72">
        <f t="shared" si="1748"/>
        <v>16.267316725132304</v>
      </c>
      <c r="GD297" s="75">
        <f>GD289+GD272</f>
        <v>452.40000000000003</v>
      </c>
      <c r="GE297" s="72">
        <f t="shared" si="1748"/>
        <v>15.673740731270769</v>
      </c>
      <c r="GF297" s="75">
        <f>GF289+GF272</f>
        <v>512.40000000000009</v>
      </c>
      <c r="GG297" s="72">
        <f t="shared" si="1748"/>
        <v>13.262599469496038</v>
      </c>
      <c r="GH297" s="75">
        <f>GH289+GH272</f>
        <v>556.10000000000014</v>
      </c>
      <c r="GI297" s="72">
        <f t="shared" ref="GI297:GU298" si="1749">IF(ISERROR(GH297/GF297),"NA",IF(OR(GH297/GF297&gt;2,GH297/GF297&lt;0.5),"NM",GH297/GF297*100-100))</f>
        <v>8.5284933645589405</v>
      </c>
      <c r="GJ297" s="75">
        <f>GJ289+GJ272</f>
        <v>586.4000000000002</v>
      </c>
      <c r="GK297" s="72">
        <f t="shared" si="1749"/>
        <v>5.4486603128933666</v>
      </c>
      <c r="GL297" s="75">
        <f>GL289+GL272</f>
        <v>639.90000000000009</v>
      </c>
      <c r="GM297" s="72">
        <f t="shared" si="1749"/>
        <v>9.123465211459731</v>
      </c>
      <c r="GN297" s="75">
        <f>GN289+GN272</f>
        <v>729.60000000000014</v>
      </c>
      <c r="GO297" s="72">
        <f t="shared" si="1749"/>
        <v>14.017815283638086</v>
      </c>
      <c r="GP297" s="75">
        <f>GP289+GP272</f>
        <v>768.61855328639501</v>
      </c>
      <c r="GQ297" s="72">
        <f t="shared" si="1749"/>
        <v>5.3479376763150981</v>
      </c>
      <c r="GR297" s="75">
        <f>GR289+GR272</f>
        <v>813.18789809081534</v>
      </c>
      <c r="GS297" s="72">
        <f t="shared" si="1749"/>
        <v>5.7986298423131188</v>
      </c>
      <c r="GT297" s="75">
        <f>GT289+GT272</f>
        <v>858.32191597478368</v>
      </c>
      <c r="GU297" s="72">
        <f t="shared" si="1749"/>
        <v>5.5502569565942821</v>
      </c>
      <c r="GV297" s="75">
        <f>GV289+GV272</f>
        <v>904.48160766195747</v>
      </c>
      <c r="GW297" s="72">
        <f>IF(ISERROR(GV297/GT297),"NA",IF(OR(GV297/GT297&gt;2,GV297/GT297&lt;0.5),"NM",GV297/GT297*100-100))</f>
        <v>5.3778996933511678</v>
      </c>
      <c r="GX297" s="75">
        <f>GX289+GX272</f>
        <v>952.04735879320924</v>
      </c>
      <c r="GY297" s="72">
        <f>IF(ISERROR(GX297/GV297),"NA",IF(OR(GX297/GV297&gt;2,GX297/GV297&lt;0.5),"NM",GX297/GV297*100-100))</f>
        <v>5.2588964472375608</v>
      </c>
      <c r="GZ297" s="72">
        <f>IF(ISERROR(((GX297/GN297)^0.2-1)*100),"NA",IF((((GX297/GN297)^0.2-1)*100)&gt;100,"NM",IF((((GX297/GN297)^0.2-1)*100)&lt;-50,"NM",((GX297/GN297)^0.2-1)*100)))</f>
        <v>5.4665513967033341</v>
      </c>
      <c r="HA297" s="72"/>
      <c r="HB297" s="72"/>
      <c r="HC297"/>
      <c r="HD297"/>
      <c r="HE297"/>
      <c r="HF297"/>
      <c r="HG297"/>
      <c r="HH297"/>
      <c r="HI297" s="2"/>
    </row>
    <row r="298" spans="1:217" s="3" customFormat="1" ht="12.75" customHeight="1" x14ac:dyDescent="0.2">
      <c r="B298" s="76" t="s">
        <v>528</v>
      </c>
      <c r="C298" s="75"/>
      <c r="D298" s="72"/>
      <c r="E298" s="75"/>
      <c r="F298" s="72"/>
      <c r="G298" s="75"/>
      <c r="H298" s="72"/>
      <c r="I298" s="75"/>
      <c r="J298" s="72"/>
      <c r="K298" s="75"/>
      <c r="L298" s="87"/>
      <c r="M298" s="75"/>
      <c r="N298" s="87"/>
      <c r="O298" s="75"/>
      <c r="P298" s="87"/>
      <c r="Q298" s="75"/>
      <c r="R298" s="87"/>
      <c r="S298" s="75"/>
      <c r="T298" s="87"/>
      <c r="U298" s="75"/>
      <c r="V298" s="87"/>
      <c r="W298" s="75"/>
      <c r="X298" s="87"/>
      <c r="Y298" s="75"/>
      <c r="Z298" s="87"/>
      <c r="AA298" s="75"/>
      <c r="AB298" s="87"/>
      <c r="AC298" s="75"/>
      <c r="AD298" s="87"/>
      <c r="AE298" s="75"/>
      <c r="AF298" s="87"/>
      <c r="AG298" s="75"/>
      <c r="AH298" s="87"/>
      <c r="AI298" s="75"/>
      <c r="AJ298" s="87"/>
      <c r="AK298" s="75"/>
      <c r="AL298" s="87"/>
      <c r="AM298" s="75"/>
      <c r="AN298" s="87"/>
      <c r="AO298" s="75"/>
      <c r="AP298" s="87"/>
      <c r="AQ298" s="75"/>
      <c r="AR298" s="87"/>
      <c r="AS298" s="75"/>
      <c r="AT298" s="87"/>
      <c r="AU298" s="75"/>
      <c r="AV298" s="87" t="str">
        <f>IF(ISERROR(AU298/AM298),"NA",IF(OR(AU298/AM298&gt;2,AU298/AM298&lt;0.5),"NM",AU298/AM298*100-100))</f>
        <v>NA</v>
      </c>
      <c r="AW298" s="75">
        <f>AVERAGE(AW297,AU297)</f>
        <v>204.25</v>
      </c>
      <c r="AX298" s="87" t="str">
        <f>IF(ISERROR(AW298/AO298),"NA",IF(OR(AW298/AO298&gt;2,AW298/AO298&lt;0.5),"NM",AW298/AO298*100-100))</f>
        <v>NA</v>
      </c>
      <c r="AY298" s="75">
        <f>AVERAGE(AY297,AW297)</f>
        <v>211.25</v>
      </c>
      <c r="AZ298" s="87" t="str">
        <f>IF(ISERROR(AY298/AQ298),"NA",IF(OR(AY298/AQ298&gt;2,AY298/AQ298&lt;0.5),"NM",AY298/AQ298*100-100))</f>
        <v>NA</v>
      </c>
      <c r="BA298" s="75">
        <f>AVERAGE(BA297,AY297)</f>
        <v>213.95</v>
      </c>
      <c r="BB298" s="87" t="str">
        <f>IF(ISERROR(BA298/AS298),"NA",IF(OR(BA298/AS298&gt;2,BA298/AS298&lt;0.5),"NM",BA298/AS298*100-100))</f>
        <v>NA</v>
      </c>
      <c r="BC298" s="75">
        <f>AVERAGE(BC297,BA297)</f>
        <v>218.7</v>
      </c>
      <c r="BD298" s="87" t="str">
        <f>IF(ISERROR(BC298/AU298),"NA",IF(OR(BC298/AU298&gt;2,BC298/AU298&lt;0.5),"NM",BC298/AU298*100-100))</f>
        <v>NA</v>
      </c>
      <c r="BE298" s="75">
        <f>AVERAGE(BE297,BC297)</f>
        <v>229.8</v>
      </c>
      <c r="BF298" s="87">
        <f>IF(ISERROR(BE298/AW298),"NA",IF(OR(BE298/AW298&gt;2,BE298/AW298&lt;0.5),"NM",BE298/AW298*100-100))</f>
        <v>12.509179926560591</v>
      </c>
      <c r="BG298" s="75">
        <f>AVERAGE(BG297,BE297)</f>
        <v>240.5</v>
      </c>
      <c r="BH298" s="87">
        <f>IF(ISERROR(BG298/AY298),"NA",IF(OR(BG298/AY298&gt;2,BG298/AY298&lt;0.5),"NM",BG298/AY298*100-100))</f>
        <v>13.84615384615384</v>
      </c>
      <c r="BI298" s="75">
        <f>AVERAGE(BI297,BG297)</f>
        <v>249.25</v>
      </c>
      <c r="BJ298" s="87">
        <f>IF(ISERROR(BI298/BA298),"NA",IF(OR(BI298/BA298&gt;2,BI298/BA298&lt;0.5),"NM",BI298/BA298*100-100))</f>
        <v>16.499182051881277</v>
      </c>
      <c r="BK298" s="75">
        <f>AVERAGE(BK297,BI297)</f>
        <v>255.95</v>
      </c>
      <c r="BL298" s="87">
        <f>IF(ISERROR(BK298/BC298),"NA",IF(OR(BK298/BC298&gt;2,BK298/BC298&lt;0.5),"NM",BK298/BC298*100-100))</f>
        <v>17.032464563328759</v>
      </c>
      <c r="BM298" s="75">
        <f>AVERAGE(BM297,BK297)</f>
        <v>260.8</v>
      </c>
      <c r="BN298" s="87">
        <f>IF(ISERROR(BM298/BE298),"NA",IF(OR(BM298/BE298&gt;2,BM298/BE298&lt;0.5),"NM",BM298/BE298*100-100))</f>
        <v>13.489991296779806</v>
      </c>
      <c r="BO298" s="75">
        <f>AVERAGE(BO297,BM297)</f>
        <v>259.5</v>
      </c>
      <c r="BP298" s="87">
        <f>IF(ISERROR(BO298/BG298),"NA",IF(OR(BO298/BG298&gt;2,BO298/BG298&lt;0.5),"NM",BO298/BG298*100-100))</f>
        <v>7.9002079002078887</v>
      </c>
      <c r="BQ298" s="75">
        <f>AVERAGE(BQ297,BO297)</f>
        <v>259.8</v>
      </c>
      <c r="BR298" s="87">
        <f>IF(ISERROR(BQ298/BI298),"NA",IF(OR(BQ298/BI298&gt;2,BQ298/BI298&lt;0.5),"NM",BQ298/BI298*100-100))</f>
        <v>4.2326980942828669</v>
      </c>
      <c r="BS298" s="75">
        <f>AVERAGE(BS297,BQ297)</f>
        <v>254.95</v>
      </c>
      <c r="BT298" s="87">
        <f>IF(ISERROR(BS298/BK298),"NA",IF(OR(BS298/BK298&gt;2,BS298/BK298&lt;0.5),"NM",BS298/BK298*100-100))</f>
        <v>-0.39070130884938692</v>
      </c>
      <c r="BU298" s="75">
        <f>AVERAGE(BU297,BS297)</f>
        <v>234.59999999999997</v>
      </c>
      <c r="BV298" s="87">
        <f>IF(ISERROR(BU298/BM298),"NA",IF(OR(BU298/BM298&gt;2,BU298/BM298&lt;0.5),"NM",BU298/BM298*100-100))</f>
        <v>-10.046012269938672</v>
      </c>
      <c r="BW298" s="75">
        <f>AVERAGE(BW297,BU297)</f>
        <v>218.45</v>
      </c>
      <c r="BX298" s="72">
        <f>IF(ISERROR(BW298/BO298),"NA",IF(OR(BW298/BO298&gt;2,BW298/BO298&lt;0.5),"NM",BW298/BO298*100-100))</f>
        <v>-15.818882466281309</v>
      </c>
      <c r="BY298" s="75">
        <f>AVERAGE(BY297,BW297)</f>
        <v>223.89999999999998</v>
      </c>
      <c r="BZ298" s="72">
        <f>IF(ISERROR(BY298/BQ298),"NA",IF(OR(BY298/BQ298&gt;2,BY298/BQ298&lt;0.5),"NM",BY298/BQ298*100-100))</f>
        <v>-13.818321785989241</v>
      </c>
      <c r="CA298" s="75">
        <f>AVERAGE(CA297,BY297)</f>
        <v>246.49</v>
      </c>
      <c r="CB298" s="72">
        <f>IF(ISERROR(CA298/BS298),"NA",IF(OR(CA298/BS298&gt;2,CA298/BS298&lt;0.5),"NM",CA298/BS298*100-100))</f>
        <v>-3.3182977054324283</v>
      </c>
      <c r="CC298" s="75">
        <f>AVERAGE(CC297,CA297)</f>
        <v>265.98</v>
      </c>
      <c r="CD298" s="72">
        <f>IF(ISERROR(CC298/BU298),"NA",IF(OR(CC298/BU298&gt;2,CC298/BU298&lt;0.5),"NM",CC298/BU298*100-100))</f>
        <v>13.375959079283902</v>
      </c>
      <c r="CE298" s="75">
        <f>AVERAGE(CE297,CC297)</f>
        <v>277.88</v>
      </c>
      <c r="CF298" s="72">
        <f>IF(ISERROR(CE298/BW298),"NA",IF(OR(CE298/BW298&gt;2,CE298/BW298&lt;0.5),"NM",CE298/BW298*100-100))</f>
        <v>27.205310139620067</v>
      </c>
      <c r="CG298" s="75">
        <f>AVERAGE(CG297,CE297)</f>
        <v>286.13</v>
      </c>
      <c r="CH298" s="72">
        <f>IF(ISERROR(CG298/BY298),"NA",IF(OR(CG298/BY298&gt;2,CG298/BY298&lt;0.5),"NM",CG298/BY298*100-100))</f>
        <v>27.793657882983496</v>
      </c>
      <c r="CI298" s="75">
        <f>AVERAGE(CI297,CG297)</f>
        <v>300.88</v>
      </c>
      <c r="CJ298" s="72">
        <f>IF(ISERROR(CI298/CA298),"NA",IF(OR(CI298/CA298&gt;2,CI298/CA298&lt;0.5),"NM",CI298/CA298*100-100))</f>
        <v>22.065803886567409</v>
      </c>
      <c r="CK298" s="75">
        <f>AVERAGE(CK297,CI297)</f>
        <v>324.43</v>
      </c>
      <c r="CL298" s="72">
        <f>IF(ISERROR(CK298/CC298),"NA",IF(OR(CK298/CC298&gt;2,CK298/CC298&lt;0.5),"NM",CK298/CC298*100-100))</f>
        <v>21.975336491465526</v>
      </c>
      <c r="CM298" s="75">
        <f>AVERAGE(CM297,CK297)</f>
        <v>351.99</v>
      </c>
      <c r="CN298" s="72">
        <f>IF(ISERROR(CM298/CE298),"NA",IF(OR(CM298/CE298&gt;2,CM298/CE298&lt;0.5),"NM",CM298/CE298*100-100))</f>
        <v>26.669785518929046</v>
      </c>
      <c r="CO298" s="75">
        <f>AVERAGE(CO297,CM297)</f>
        <v>373.15</v>
      </c>
      <c r="CP298" s="72">
        <f>IF(ISERROR(CO298/CG298),"NA",IF(OR(CO298/CG298&gt;2,CO298/CG298&lt;0.5),"NM",CO298/CG298*100-100))</f>
        <v>30.412749449550915</v>
      </c>
      <c r="CQ298" s="75">
        <f>AVERAGE(CQ297,CO297)</f>
        <v>379.65</v>
      </c>
      <c r="CR298" s="72">
        <f>IF(ISERROR(CQ298/CI298),"NA",IF(OR(CQ298/CI298&gt;2,CQ298/CI298&lt;0.5),"NM",CQ298/CI298*100-100))</f>
        <v>26.179872374368514</v>
      </c>
      <c r="CS298" s="75">
        <f>AVERAGE(CS297,CQ297)</f>
        <v>385.85</v>
      </c>
      <c r="CT298" s="72">
        <f>IF(ISERROR(CS298/CK298),"NA",IF(OR(CS298/CK298&gt;2,CS298/CK298&lt;0.5),"NM",CS298/CK298*100-100))</f>
        <v>18.931664765897111</v>
      </c>
      <c r="CU298" s="75">
        <f>AVERAGE(CU297,CS297)</f>
        <v>401.15000000000009</v>
      </c>
      <c r="CV298" s="72">
        <f>IF(ISERROR(CU298/CM298),"NA",IF(OR(CU298/CM298&gt;2,CU298/CM298&lt;0.5),"NM",CU298/CM298*100-100))</f>
        <v>13.966305860961995</v>
      </c>
      <c r="CW298" s="75">
        <f>AVERAGE(CW297,CU297)</f>
        <v>416.05000000000007</v>
      </c>
      <c r="CX298" s="72">
        <f>IF(ISERROR(CW298/CO298),"NA",IF(OR(CW298/CO298&gt;2,CW298/CO298&lt;0.5),"NM",CW298/CO298*100-100))</f>
        <v>11.496717137880225</v>
      </c>
      <c r="CY298" s="75">
        <f>AVERAGE(CY297,CW297)</f>
        <v>428.95000000000005</v>
      </c>
      <c r="CZ298" s="72">
        <f>IF(ISERROR(CY298/CQ298),"NA",IF(OR(CY298/CQ298&gt;2,CY298/CQ298&lt;0.5),"NM",CY298/CQ298*100-100))</f>
        <v>12.985644672724888</v>
      </c>
      <c r="DA298" s="75">
        <f>AVERAGE(DA297,CY297)</f>
        <v>444.70000000000005</v>
      </c>
      <c r="DB298" s="72">
        <f>IF(ISERROR(DA298/CS298),"NA",IF(OR(DA298/CS298&gt;2,DA298/CS298&lt;0.5),"NM",DA298/CS298*100-100))</f>
        <v>15.252040948555148</v>
      </c>
      <c r="DC298" s="75">
        <f>AVERAGE(DC297,DA297)</f>
        <v>459.7000000000001</v>
      </c>
      <c r="DD298" s="72">
        <f>IF(ISERROR(DC298/CU298),"NA",IF(OR(DC298/CU298&gt;2,DC298/CU298&lt;0.5),"NM",DC298/CU298*100-100))</f>
        <v>14.595537828742366</v>
      </c>
      <c r="DE298" s="75">
        <f>AVERAGE(DE297,DC297)</f>
        <v>469.25000000000011</v>
      </c>
      <c r="DF298" s="72">
        <f>IF(ISERROR(DE298/CW298),"NA",IF(OR(DE298/CW298&gt;2,DE298/CW298&lt;0.5),"NM",DE298/CW298*100-100))</f>
        <v>12.786924648479769</v>
      </c>
      <c r="DG298" s="75">
        <f>AVERAGE(DG297,DE297)</f>
        <v>480.45000000000005</v>
      </c>
      <c r="DH298" s="72">
        <f>IF(ISERROR(DG298/CY298),"NA",IF(OR(DG298/CY298&gt;2,DG298/CY298&lt;0.5),"NM",DG298/CY298*100-100))</f>
        <v>12.006061312507271</v>
      </c>
      <c r="DI298" s="75">
        <f>AVERAGE(DI297,DG297)</f>
        <v>500.90000000000009</v>
      </c>
      <c r="DJ298" s="72">
        <f>IF(ISERROR(DI298/DA298),"NA",IF(OR(DI298/DA298&gt;2,DI298/DA298&lt;0.5),"NM",DI298/DA298*100-100))</f>
        <v>12.637733303350586</v>
      </c>
      <c r="DK298" s="75">
        <f>AVERAGE(DK297,DI297)</f>
        <v>518.75000000000011</v>
      </c>
      <c r="DL298" s="72">
        <f>IF(ISERROR(DK298/DC298),"NA",IF(OR(DK298/DC298&gt;2,DK298/DC298&lt;0.5),"NM",DK298/DC298*100-100))</f>
        <v>12.845333913421797</v>
      </c>
      <c r="DM298" s="75">
        <f>AVERAGE(DM297,DK297)</f>
        <v>536.10000000000014</v>
      </c>
      <c r="DN298" s="72">
        <f t="shared" si="1739"/>
        <v>14.246137453383056</v>
      </c>
      <c r="DO298" s="75">
        <f>AVERAGE(DO297,DM297)</f>
        <v>545.40000000000009</v>
      </c>
      <c r="DP298" s="72">
        <f t="shared" si="1739"/>
        <v>13.518576334686244</v>
      </c>
      <c r="DQ298" s="75">
        <f>AVERAGE(DQ297,DO297)</f>
        <v>549.90000000000009</v>
      </c>
      <c r="DR298" s="72">
        <f t="shared" si="1739"/>
        <v>9.7823916949490979</v>
      </c>
      <c r="DS298" s="75">
        <f>AVERAGE(DS297,DQ297)</f>
        <v>567.70000000000016</v>
      </c>
      <c r="DT298" s="72">
        <f t="shared" si="1739"/>
        <v>9.4361445783132609</v>
      </c>
      <c r="DU298" s="75">
        <f>AVERAGE(DU297,DS297)</f>
        <v>579.55000000000018</v>
      </c>
      <c r="DV298" s="72">
        <f t="shared" si="1739"/>
        <v>8.1048311882111648</v>
      </c>
      <c r="DW298" s="75">
        <f t="shared" ref="DW298:EE298" si="1750">AVERAGE(DW297,DU297)</f>
        <v>574.80000000000018</v>
      </c>
      <c r="DX298" s="72">
        <f t="shared" si="1739"/>
        <v>5.3905390539054139</v>
      </c>
      <c r="DY298" s="75">
        <f t="shared" si="1750"/>
        <v>578.10000000000014</v>
      </c>
      <c r="DZ298" s="72">
        <f t="shared" si="1739"/>
        <v>5.1282051282051384</v>
      </c>
      <c r="EA298" s="75">
        <f t="shared" si="1750"/>
        <v>594.30000000000018</v>
      </c>
      <c r="EB298" s="72">
        <f>IF(ISERROR(EA298/DS298),"NA",IF(OR(EA298/DS298&gt;2,EA298/DS298&lt;0.5),"NM",EA298/DS298*100-100))</f>
        <v>4.6855733662145553</v>
      </c>
      <c r="EC298" s="75">
        <f t="shared" si="1750"/>
        <v>611.55000000000018</v>
      </c>
      <c r="ED298" s="72">
        <f>IF(ISERROR(EC298/DU298),"NA",IF(OR(EC298/DU298&gt;2,EC298/DU298&lt;0.5),"NM",EC298/DU298*100-100))</f>
        <v>5.5215253213700208</v>
      </c>
      <c r="EE298" s="75">
        <f t="shared" si="1750"/>
        <v>637.90000000000009</v>
      </c>
      <c r="EF298" s="72">
        <f>IF(ISERROR(EE298/DW298),"NA",IF(OR(EE298/DW298&gt;2,EE298/DW298&lt;0.5),"NM",EE298/DW298*100-100))</f>
        <v>10.977731384829497</v>
      </c>
      <c r="EG298" s="75">
        <f>AVERAGE(EG297,EE297)</f>
        <v>647.80000000000018</v>
      </c>
      <c r="EH298" s="72">
        <f>IF(ISERROR(EG298/DY298),"NA",IF(OR(EG298/DY298&gt;2,EG298/DY298&lt;0.5),"NM",EG298/DY298*100-100))</f>
        <v>12.056737588652481</v>
      </c>
      <c r="EI298" s="75">
        <f>AVERAGE(EI297,EG297)</f>
        <v>651.75000000000023</v>
      </c>
      <c r="EJ298" s="72">
        <f>IF(ISERROR(EI298/EA298),"NA",IF(OR(EI298/EA298&gt;2,EI298/EA298&lt;0.5),"NM",EI298/EA298*100-100))</f>
        <v>9.6668349318526055</v>
      </c>
      <c r="EK298" s="75">
        <f>AVERAGE(EK297,EI297)</f>
        <v>677.60000000000025</v>
      </c>
      <c r="EL298" s="72">
        <f>IF(ISERROR(EK298/EC298),"NA",IF(OR(EK298/EC298&gt;2,EK298/EC298&lt;0.5),"NM",EK298/EC298*100-100))</f>
        <v>10.800425149211023</v>
      </c>
      <c r="EM298" s="75">
        <f>AVERAGE(EM297,EK297)</f>
        <v>705.3000000000003</v>
      </c>
      <c r="EN298" s="72">
        <f>IF(ISERROR(EM298/EE298),"NA",IF(OR(EM298/EE298&gt;2,EM298/EE298&lt;0.5),"NM",EM298/EE298*100-100))</f>
        <v>10.56591942310709</v>
      </c>
      <c r="EO298" s="75">
        <f>AVERAGE(EO297,EM297)</f>
        <v>726.65000000000032</v>
      </c>
      <c r="EP298" s="72">
        <f>IF(ISERROR(EO298/EG298),"NA",IF(OR(EO298/EG298&gt;2,EO298/EG298&lt;0.5),"NM",EO298/EG298*100-100))</f>
        <v>12.171966656375432</v>
      </c>
      <c r="EQ298" s="75">
        <f t="shared" ref="EQ298" si="1751">AVERAGE(EQ297,EO297)</f>
        <v>735.61862000000019</v>
      </c>
      <c r="ER298" s="72">
        <f t="shared" si="1741"/>
        <v>12.868219409282688</v>
      </c>
      <c r="ES298" s="75">
        <f t="shared" ref="ES298" si="1752">AVERAGE(ES297,EQ297)</f>
        <v>741.66583860163337</v>
      </c>
      <c r="ET298" s="72">
        <f t="shared" si="1743"/>
        <v>9.4548167948100854</v>
      </c>
      <c r="EU298" s="75">
        <f t="shared" ref="EU298" si="1753">AVERAGE(EU297,ES297)</f>
        <v>752.99534361952692</v>
      </c>
      <c r="EV298" s="72">
        <f t="shared" si="1745"/>
        <v>6.7624193420567877</v>
      </c>
      <c r="EW298" s="75">
        <f t="shared" ref="EW298" si="1754">AVERAGE(EW297,EU297)</f>
        <v>764.98585485912008</v>
      </c>
      <c r="EX298" s="72">
        <f t="shared" si="1747"/>
        <v>5.2756973589926019</v>
      </c>
      <c r="EY298" s="72"/>
      <c r="EZ298" s="307"/>
      <c r="FA298" s="72"/>
      <c r="FB298" s="75"/>
      <c r="FC298" s="87"/>
      <c r="FD298" s="75"/>
      <c r="FE298" s="87"/>
      <c r="FF298" s="75"/>
      <c r="FG298" s="87"/>
      <c r="FH298" s="75"/>
      <c r="FI298" s="87"/>
      <c r="FJ298" s="75"/>
      <c r="FK298" s="87"/>
      <c r="FL298" s="75"/>
      <c r="FM298" s="87"/>
      <c r="FN298" s="75"/>
      <c r="FO298" s="87"/>
      <c r="FP298" s="75">
        <f>AVERAGE(FP297,FN297)</f>
        <v>208.2</v>
      </c>
      <c r="FQ298" s="87"/>
      <c r="FR298" s="75">
        <f>AVERAGE(FR297,FP297)</f>
        <v>222</v>
      </c>
      <c r="FS298" s="87">
        <f>IF(ISERROR(FR298/FP298),"NA",IF(OR(FR298/FP298&gt;2,FR298/FP298&lt;0.5),"NM",FR298/FP298*100-100))</f>
        <v>6.6282420749279538</v>
      </c>
      <c r="FT298" s="75">
        <f>AVERAGE(FT297,FR297)</f>
        <v>249.39999999999998</v>
      </c>
      <c r="FU298" s="87">
        <f>IF(ISERROR(FT298/FR298),"NA",IF(OR(FT298/FR298&gt;2,FT298/FR298&lt;0.5),"NM",FT298/FR298*100-100))</f>
        <v>12.342342342342334</v>
      </c>
      <c r="FV298" s="75">
        <f>AVERAGE(FV297,FT297)</f>
        <v>242.95</v>
      </c>
      <c r="FW298" s="72">
        <f t="shared" si="1748"/>
        <v>-2.5862068965517295</v>
      </c>
      <c r="FX298" s="75">
        <f>AVERAGE(FX297,FV297)</f>
        <v>247.84</v>
      </c>
      <c r="FY298" s="72">
        <f t="shared" si="1748"/>
        <v>2.0127598271249241</v>
      </c>
      <c r="FZ298" s="75">
        <f>AVERAGE(FZ297,FX297)</f>
        <v>304.58000000000004</v>
      </c>
      <c r="GA298" s="72">
        <f t="shared" si="1748"/>
        <v>22.893802453195633</v>
      </c>
      <c r="GB298" s="75">
        <f>AVERAGE(GB297,FZ297)</f>
        <v>363.74</v>
      </c>
      <c r="GC298" s="87">
        <f t="shared" si="1748"/>
        <v>19.423468382690913</v>
      </c>
      <c r="GD298" s="75">
        <f>AVERAGE(GD297,GB297)</f>
        <v>421.75</v>
      </c>
      <c r="GE298" s="87">
        <f t="shared" si="1748"/>
        <v>15.948204761642941</v>
      </c>
      <c r="GF298" s="75">
        <f>AVERAGE(GF297,GD297)</f>
        <v>482.40000000000009</v>
      </c>
      <c r="GG298" s="87">
        <f t="shared" si="1748"/>
        <v>14.380557202133986</v>
      </c>
      <c r="GH298" s="75">
        <f>AVERAGE(GH297,GF297)</f>
        <v>534.25000000000011</v>
      </c>
      <c r="GI298" s="72">
        <f t="shared" si="1749"/>
        <v>10.748341625207303</v>
      </c>
      <c r="GJ298" s="75">
        <f>AVERAGE(GJ297,GH297)</f>
        <v>571.25000000000023</v>
      </c>
      <c r="GK298" s="72">
        <f t="shared" si="1749"/>
        <v>6.9255966307908352</v>
      </c>
      <c r="GL298" s="75">
        <f>AVERAGE(GL297,GJ297)</f>
        <v>613.15000000000009</v>
      </c>
      <c r="GM298" s="72">
        <f t="shared" si="1749"/>
        <v>7.3347921225382748</v>
      </c>
      <c r="GN298" s="75">
        <f>AVERAGE(GN297,GL297)</f>
        <v>684.75000000000011</v>
      </c>
      <c r="GO298" s="72">
        <f t="shared" si="1749"/>
        <v>11.677403571719807</v>
      </c>
      <c r="GP298" s="75">
        <f>AVERAGE(GP297,GN297)</f>
        <v>749.10927664319752</v>
      </c>
      <c r="GQ298" s="72">
        <f t="shared" si="1749"/>
        <v>9.3989451103610548</v>
      </c>
      <c r="GR298" s="75">
        <f>AVERAGE(GR297,GP297)</f>
        <v>790.90322568860518</v>
      </c>
      <c r="GS298" s="72">
        <f t="shared" si="1749"/>
        <v>5.5791525146623258</v>
      </c>
      <c r="GT298" s="75">
        <f>AVERAGE(GT297,GR297)</f>
        <v>835.75490703279957</v>
      </c>
      <c r="GU298" s="72">
        <f t="shared" si="1749"/>
        <v>5.6709442934872243</v>
      </c>
      <c r="GV298" s="75">
        <f>AVERAGE(GV297,GT297)</f>
        <v>881.40176181837057</v>
      </c>
      <c r="GW298" s="72">
        <f>IF(ISERROR(GV298/GT298),"NA",IF(OR(GV298/GT298&gt;2,GV298/GT298&lt;0.5),"NM",GV298/GT298*100-100))</f>
        <v>5.4617513342077899</v>
      </c>
      <c r="GX298" s="75">
        <f>AVERAGE(GX297,GV297)</f>
        <v>928.26448322758336</v>
      </c>
      <c r="GY298" s="72">
        <f>IF(ISERROR(GX298/GV298),"NA",IF(OR(GX298/GV298&gt;2,GX298/GV298&lt;0.5),"NM",GX298/GV298*100-100))</f>
        <v>5.316839997293954</v>
      </c>
      <c r="GZ298" s="72">
        <f>IF(ISERROR(((GX298/GN298)^0.2-1)*100),"NA",IF((((GX298/GN298)^0.2-1)*100)&gt;100,"NM",IF((((GX298/GN298)^0.2-1)*100)&lt;-50,"NM",((GX298/GN298)^0.2-1)*100)))</f>
        <v>6.2742230524889475</v>
      </c>
      <c r="HA298" s="72"/>
      <c r="HB298" s="72"/>
      <c r="HC298"/>
      <c r="HD298"/>
      <c r="HE298"/>
      <c r="HF298"/>
      <c r="HG298"/>
      <c r="HH298"/>
      <c r="HI298" s="2"/>
    </row>
    <row r="299" spans="1:217" s="3" customFormat="1" ht="12.75" customHeight="1" x14ac:dyDescent="0.2">
      <c r="C299" s="75"/>
      <c r="D299" s="72"/>
      <c r="E299" s="75"/>
      <c r="F299" s="72"/>
      <c r="G299" s="75"/>
      <c r="H299" s="72"/>
      <c r="I299" s="75"/>
      <c r="J299" s="72"/>
      <c r="K299" s="75"/>
      <c r="L299" s="87"/>
      <c r="M299" s="75"/>
      <c r="N299" s="87"/>
      <c r="O299" s="75"/>
      <c r="P299" s="87"/>
      <c r="Q299" s="75"/>
      <c r="R299" s="87"/>
      <c r="S299" s="75"/>
      <c r="T299" s="87"/>
      <c r="U299" s="75"/>
      <c r="V299" s="87"/>
      <c r="W299" s="75"/>
      <c r="X299" s="87"/>
      <c r="Y299" s="75"/>
      <c r="Z299" s="87"/>
      <c r="AA299" s="75"/>
      <c r="AB299" s="87"/>
      <c r="AC299" s="75"/>
      <c r="AD299" s="87"/>
      <c r="AE299" s="75"/>
      <c r="AF299" s="87"/>
      <c r="AG299" s="75"/>
      <c r="AH299" s="87"/>
      <c r="AI299" s="75"/>
      <c r="AJ299" s="87"/>
      <c r="AK299" s="75"/>
      <c r="AL299" s="87"/>
      <c r="AM299" s="75"/>
      <c r="AN299" s="87"/>
      <c r="AO299" s="75"/>
      <c r="AP299" s="87"/>
      <c r="AQ299" s="75"/>
      <c r="AR299" s="87"/>
      <c r="AS299" s="75"/>
      <c r="AT299" s="87"/>
      <c r="AU299" s="75"/>
      <c r="AV299" s="87"/>
      <c r="AW299" s="75"/>
      <c r="AX299" s="87"/>
      <c r="AY299" s="75"/>
      <c r="AZ299" s="87"/>
      <c r="BA299" s="75"/>
      <c r="BB299" s="87"/>
      <c r="BC299" s="75"/>
      <c r="BD299" s="87"/>
      <c r="BE299" s="75"/>
      <c r="BF299" s="87"/>
      <c r="BG299" s="75"/>
      <c r="BH299" s="87"/>
      <c r="BI299" s="75"/>
      <c r="BJ299" s="87"/>
      <c r="BK299" s="75"/>
      <c r="BL299" s="87"/>
      <c r="BM299" s="75"/>
      <c r="BN299" s="87"/>
      <c r="BO299" s="75"/>
      <c r="BP299" s="87"/>
      <c r="BQ299" s="75"/>
      <c r="BR299" s="87"/>
      <c r="BS299" s="75"/>
      <c r="BT299" s="87"/>
      <c r="BU299" s="75"/>
      <c r="BV299" s="87"/>
      <c r="BW299" s="75"/>
      <c r="BX299" s="72"/>
      <c r="BY299" s="75"/>
      <c r="BZ299" s="72"/>
      <c r="CA299" s="75"/>
      <c r="CB299" s="72"/>
      <c r="CC299" s="75"/>
      <c r="CD299" s="72"/>
      <c r="CE299" s="75"/>
      <c r="CF299" s="72"/>
      <c r="CG299" s="75"/>
      <c r="CH299" s="72"/>
      <c r="CI299" s="75"/>
      <c r="CJ299" s="72"/>
      <c r="CK299" s="75"/>
      <c r="CL299" s="72"/>
      <c r="CM299" s="75"/>
      <c r="CN299" s="72"/>
      <c r="CO299" s="75"/>
      <c r="CP299" s="72"/>
      <c r="CQ299" s="75"/>
      <c r="CR299" s="72"/>
      <c r="CS299" s="75"/>
      <c r="CT299" s="72"/>
      <c r="CU299" s="75"/>
      <c r="CV299" s="72"/>
      <c r="CW299" s="75"/>
      <c r="CX299" s="72"/>
      <c r="CY299" s="75"/>
      <c r="CZ299" s="72"/>
      <c r="DA299" s="75"/>
      <c r="DB299" s="72"/>
      <c r="DC299" s="75"/>
      <c r="DD299" s="72"/>
      <c r="DE299" s="75"/>
      <c r="DF299" s="72"/>
      <c r="DG299" s="75"/>
      <c r="DH299" s="72"/>
      <c r="DI299" s="75"/>
      <c r="DJ299" s="72"/>
      <c r="DK299" s="75"/>
      <c r="DL299" s="72"/>
      <c r="DM299" s="75"/>
      <c r="DN299" s="72"/>
      <c r="DO299" s="75"/>
      <c r="DP299" s="72"/>
      <c r="DQ299" s="75"/>
      <c r="DR299" s="72"/>
      <c r="DS299" s="75"/>
      <c r="DT299" s="72"/>
      <c r="DU299" s="75"/>
      <c r="DV299" s="72"/>
      <c r="DW299" s="75"/>
      <c r="DX299" s="72"/>
      <c r="DY299" s="75"/>
      <c r="DZ299" s="72"/>
      <c r="EA299" s="75"/>
      <c r="EB299" s="72"/>
      <c r="EC299" s="75"/>
      <c r="ED299" s="72"/>
      <c r="EE299" s="75"/>
      <c r="EF299" s="72"/>
      <c r="EG299" s="75"/>
      <c r="EH299" s="72"/>
      <c r="EI299" s="75"/>
      <c r="EJ299" s="72"/>
      <c r="EK299" s="75"/>
      <c r="EL299" s="72"/>
      <c r="EM299" s="75"/>
      <c r="EN299" s="72"/>
      <c r="EO299" s="75"/>
      <c r="EP299" s="72"/>
      <c r="EQ299" s="75"/>
      <c r="ER299" s="72"/>
      <c r="ES299" s="75"/>
      <c r="ET299" s="72"/>
      <c r="EU299" s="75"/>
      <c r="EV299" s="72"/>
      <c r="EW299" s="75"/>
      <c r="EX299" s="72"/>
      <c r="EY299" s="72"/>
      <c r="EZ299" s="315"/>
      <c r="FA299" s="72"/>
      <c r="FB299" s="75"/>
      <c r="FC299" s="72"/>
      <c r="FD299" s="75"/>
      <c r="FE299" s="87"/>
      <c r="FF299" s="75"/>
      <c r="FG299" s="87"/>
      <c r="FH299" s="75"/>
      <c r="FI299" s="87"/>
      <c r="FJ299" s="75"/>
      <c r="FK299" s="87"/>
      <c r="FL299" s="75"/>
      <c r="FM299" s="87"/>
      <c r="FN299" s="75"/>
      <c r="FO299" s="87"/>
      <c r="FP299" s="75"/>
      <c r="FQ299" s="87"/>
      <c r="FR299" s="75"/>
      <c r="FS299" s="87"/>
      <c r="FT299" s="75"/>
      <c r="FU299" s="87"/>
      <c r="FV299" s="75"/>
      <c r="FW299" s="87"/>
      <c r="FX299" s="75"/>
      <c r="FY299" s="87"/>
      <c r="FZ299" s="75"/>
      <c r="GA299" s="87"/>
      <c r="GB299" s="216"/>
      <c r="GC299" s="14"/>
      <c r="GD299" s="216"/>
      <c r="GE299" s="14"/>
      <c r="GF299" s="216"/>
      <c r="GG299" s="14"/>
      <c r="GH299" s="216"/>
      <c r="GI299" s="14"/>
      <c r="GJ299" s="216"/>
      <c r="GK299" s="14"/>
      <c r="GL299" s="216"/>
      <c r="GM299" s="14"/>
      <c r="GN299" s="216"/>
      <c r="GO299" s="14"/>
      <c r="GP299" s="216"/>
      <c r="GQ299" s="14"/>
      <c r="GR299" s="75"/>
      <c r="GS299" s="14"/>
      <c r="GT299" s="75"/>
      <c r="GU299" s="14"/>
      <c r="GV299" s="75"/>
      <c r="GW299" s="14"/>
      <c r="GX299" s="75"/>
      <c r="GY299" s="14"/>
      <c r="GZ299" s="87"/>
      <c r="HA299" s="87"/>
      <c r="HB299" s="87"/>
      <c r="HC299"/>
      <c r="HD299"/>
      <c r="HE299"/>
      <c r="HF299"/>
      <c r="HG299"/>
      <c r="HH299"/>
      <c r="HI299" s="2"/>
    </row>
    <row r="300" spans="1:217" s="3" customFormat="1" ht="12.75" customHeight="1" x14ac:dyDescent="0.2">
      <c r="B300" s="70" t="s">
        <v>489</v>
      </c>
      <c r="C300" s="75"/>
      <c r="D300" s="72"/>
      <c r="E300" s="75"/>
      <c r="F300" s="72"/>
      <c r="G300" s="75"/>
      <c r="H300" s="72"/>
      <c r="I300" s="75"/>
      <c r="J300" s="72"/>
      <c r="K300" s="75"/>
      <c r="L300" s="87"/>
      <c r="M300" s="75"/>
      <c r="N300" s="87"/>
      <c r="O300" s="75"/>
      <c r="P300" s="87"/>
      <c r="Q300" s="75"/>
      <c r="R300" s="87"/>
      <c r="S300" s="75"/>
      <c r="T300" s="87"/>
      <c r="U300" s="75"/>
      <c r="V300" s="87"/>
      <c r="W300" s="75"/>
      <c r="X300" s="87"/>
      <c r="Y300" s="75"/>
      <c r="Z300" s="87"/>
      <c r="AA300" s="75"/>
      <c r="AB300" s="87"/>
      <c r="AC300" s="75"/>
      <c r="AD300" s="87"/>
      <c r="AE300" s="75"/>
      <c r="AF300" s="87"/>
      <c r="AG300" s="75"/>
      <c r="AH300" s="87"/>
      <c r="AI300" s="75"/>
      <c r="AJ300" s="87"/>
      <c r="AK300" s="75"/>
      <c r="AL300" s="87"/>
      <c r="AM300" s="75"/>
      <c r="AN300" s="87"/>
      <c r="AO300" s="75"/>
      <c r="AP300" s="87"/>
      <c r="AQ300" s="75"/>
      <c r="AR300" s="87"/>
      <c r="AS300" s="75"/>
      <c r="AT300" s="87"/>
      <c r="AU300" s="75"/>
      <c r="AV300" s="87"/>
      <c r="AW300" s="75"/>
      <c r="AX300" s="87"/>
      <c r="AY300" s="75"/>
      <c r="AZ300" s="87"/>
      <c r="BA300" s="75"/>
      <c r="BB300" s="87"/>
      <c r="BC300" s="75"/>
      <c r="BD300" s="87"/>
      <c r="BE300" s="75"/>
      <c r="BF300" s="87"/>
      <c r="BG300" s="75"/>
      <c r="BH300" s="87"/>
      <c r="BI300" s="75"/>
      <c r="BJ300" s="87"/>
      <c r="BK300" s="75"/>
      <c r="BL300" s="87"/>
      <c r="BM300" s="75"/>
      <c r="BN300" s="87"/>
      <c r="BO300" s="75"/>
      <c r="BP300" s="87"/>
      <c r="BQ300" s="75"/>
      <c r="BR300" s="87"/>
      <c r="BS300" s="75"/>
      <c r="BT300" s="87"/>
      <c r="BU300" s="75"/>
      <c r="BV300" s="87"/>
      <c r="BW300" s="75"/>
      <c r="BX300" s="72"/>
      <c r="BY300" s="75"/>
      <c r="BZ300" s="72"/>
      <c r="CA300" s="75"/>
      <c r="CB300" s="72"/>
      <c r="CC300" s="75"/>
      <c r="CD300" s="72"/>
      <c r="CE300" s="75"/>
      <c r="CF300" s="72"/>
      <c r="CG300" s="75"/>
      <c r="CH300" s="72"/>
      <c r="CI300" s="75"/>
      <c r="CJ300" s="72"/>
      <c r="CK300" s="75"/>
      <c r="CL300" s="72"/>
      <c r="CM300" s="75"/>
      <c r="CN300" s="72"/>
      <c r="CO300" s="75"/>
      <c r="CP300" s="72"/>
      <c r="CQ300" s="75"/>
      <c r="CR300" s="72"/>
      <c r="CS300" s="75"/>
      <c r="CT300" s="72"/>
      <c r="CU300" s="75"/>
      <c r="CV300" s="72"/>
      <c r="CW300" s="75"/>
      <c r="CX300" s="72"/>
      <c r="CY300" s="75"/>
      <c r="CZ300" s="72"/>
      <c r="DA300" s="75"/>
      <c r="DB300" s="72"/>
      <c r="DC300" s="75"/>
      <c r="DD300" s="72"/>
      <c r="DE300" s="75"/>
      <c r="DF300" s="72"/>
      <c r="DG300" s="75"/>
      <c r="DH300" s="72"/>
      <c r="DI300" s="75"/>
      <c r="DJ300" s="72"/>
      <c r="DK300" s="75"/>
      <c r="DL300" s="72"/>
      <c r="DM300" s="75"/>
      <c r="DN300" s="72"/>
      <c r="DO300" s="75"/>
      <c r="DP300" s="72"/>
      <c r="DQ300" s="75"/>
      <c r="DR300" s="72"/>
      <c r="DS300" s="75"/>
      <c r="DT300" s="72"/>
      <c r="DU300" s="75"/>
      <c r="DV300" s="72"/>
      <c r="DW300" s="75"/>
      <c r="DX300" s="72"/>
      <c r="DY300" s="75"/>
      <c r="DZ300" s="72"/>
      <c r="EA300" s="75"/>
      <c r="EB300" s="72"/>
      <c r="EC300" s="75"/>
      <c r="ED300" s="72"/>
      <c r="EE300" s="75"/>
      <c r="EF300" s="72"/>
      <c r="EG300" s="75"/>
      <c r="EH300" s="72"/>
      <c r="EI300" s="75"/>
      <c r="EJ300" s="72"/>
      <c r="EK300" s="75"/>
      <c r="EL300" s="72"/>
      <c r="EM300" s="75"/>
      <c r="EN300" s="72"/>
      <c r="EO300" s="75"/>
      <c r="EP300" s="72"/>
      <c r="EQ300" s="75"/>
      <c r="ER300" s="72"/>
      <c r="ES300" s="75"/>
      <c r="ET300" s="72"/>
      <c r="EU300" s="75"/>
      <c r="EV300" s="72"/>
      <c r="EW300" s="75"/>
      <c r="EX300" s="72"/>
      <c r="EY300" s="72"/>
      <c r="EZ300" s="309"/>
      <c r="FA300" s="72"/>
      <c r="FB300" s="81"/>
      <c r="FC300" s="72"/>
      <c r="FD300" s="81"/>
      <c r="FE300" s="87"/>
      <c r="FF300" s="81"/>
      <c r="FG300" s="87"/>
      <c r="FH300" s="81"/>
      <c r="FI300" s="87"/>
      <c r="FJ300" s="81"/>
      <c r="FK300" s="87"/>
      <c r="FL300" s="81"/>
      <c r="FM300" s="87"/>
      <c r="FN300" s="81"/>
      <c r="FO300" s="87"/>
      <c r="FP300" s="81"/>
      <c r="FQ300" s="87"/>
      <c r="FR300" s="75"/>
      <c r="FS300" s="87"/>
      <c r="FT300" s="75"/>
      <c r="FU300" s="87"/>
      <c r="FV300" s="75"/>
      <c r="FW300" s="87"/>
      <c r="FX300" s="75"/>
      <c r="FY300" s="87"/>
      <c r="FZ300" s="75"/>
      <c r="GA300" s="87"/>
      <c r="GB300" s="75"/>
      <c r="GC300" s="87"/>
      <c r="GD300" s="75"/>
      <c r="GE300" s="87"/>
      <c r="GF300" s="75"/>
      <c r="GG300" s="87"/>
      <c r="GH300" s="75"/>
      <c r="GI300" s="87"/>
      <c r="GJ300" s="75"/>
      <c r="GK300" s="87"/>
      <c r="GL300" s="75"/>
      <c r="GM300" s="87"/>
      <c r="GN300" s="75"/>
      <c r="GO300" s="87"/>
      <c r="GP300" s="75"/>
      <c r="GQ300" s="87"/>
      <c r="GR300" s="75"/>
      <c r="GS300" s="87"/>
      <c r="GT300" s="75"/>
      <c r="GU300" s="87"/>
      <c r="GV300" s="75"/>
      <c r="GW300" s="87"/>
      <c r="GX300" s="75"/>
      <c r="GY300" s="87"/>
      <c r="GZ300" s="87"/>
      <c r="HA300" s="87"/>
      <c r="HB300" s="87"/>
      <c r="HC300"/>
      <c r="HD300"/>
      <c r="HE300"/>
      <c r="HF300"/>
      <c r="HG300"/>
      <c r="HH300"/>
      <c r="HI300" s="2"/>
    </row>
    <row r="301" spans="1:217" s="3" customFormat="1" ht="12.75" customHeight="1" x14ac:dyDescent="0.2">
      <c r="B301" s="10" t="s">
        <v>667</v>
      </c>
      <c r="C301" s="74"/>
      <c r="D301" s="72"/>
      <c r="E301" s="74"/>
      <c r="F301" s="72"/>
      <c r="G301" s="74"/>
      <c r="H301" s="72"/>
      <c r="I301" s="74"/>
      <c r="J301" s="72"/>
      <c r="K301" s="74">
        <v>19</v>
      </c>
      <c r="L301" s="87" t="str">
        <f>IF(ISERROR(K301/C301),"NA",IF(OR(K301/C301&gt;2,K301/C301&lt;0.5),"NM",K301/C301*100-100))</f>
        <v>NA</v>
      </c>
      <c r="M301" s="74">
        <v>23</v>
      </c>
      <c r="N301" s="87" t="str">
        <f>IF(ISERROR(M301/E301),"NA",IF(OR(M301/E301&gt;2,M301/E301&lt;0.5),"NM",M301/E301*100-100))</f>
        <v>NA</v>
      </c>
      <c r="O301" s="74">
        <v>19</v>
      </c>
      <c r="P301" s="87" t="str">
        <f>IF(ISERROR(O301/G301),"NA",IF(OR(O301/G301&gt;2,O301/G301&lt;0.5),"NM",O301/G301*100-100))</f>
        <v>NA</v>
      </c>
      <c r="Q301" s="74">
        <v>26</v>
      </c>
      <c r="R301" s="87" t="str">
        <f>IF(ISERROR(Q301/I301),"NA",IF(OR(Q301/I301&gt;2,Q301/I301&lt;0.5),"NM",Q301/I301*100-100))</f>
        <v>NA</v>
      </c>
      <c r="S301" s="74">
        <v>15</v>
      </c>
      <c r="T301" s="87">
        <f>IF(ISERROR(S301/K301),"NA",IF(OR(S301/K301&gt;2,S301/K301&lt;0.5),"NM",S301/K301*100-100))</f>
        <v>-21.05263157894737</v>
      </c>
      <c r="U301" s="74">
        <v>13</v>
      </c>
      <c r="V301" s="87">
        <f>IF(ISERROR(U301/M301),"NA",IF(OR(U301/M301&gt;2,U301/M301&lt;0.5),"NM",U301/M301*100-100))</f>
        <v>-43.478260869565219</v>
      </c>
      <c r="W301" s="74">
        <v>17</v>
      </c>
      <c r="X301" s="87">
        <f>IF(ISERROR(W301/O301),"NA",IF(OR(W301/O301&gt;2,W301/O301&lt;0.5),"NM",W301/O301*100-100))</f>
        <v>-10.526315789473685</v>
      </c>
      <c r="Y301" s="74">
        <v>15</v>
      </c>
      <c r="Z301" s="87">
        <f>IF(ISERROR(Y301/Q301),"NA",IF(OR(Y301/Q301&gt;2,Y301/Q301&lt;0.5),"NM",Y301/Q301*100-100))</f>
        <v>-42.307692307692314</v>
      </c>
      <c r="AA301" s="74">
        <v>12</v>
      </c>
      <c r="AB301" s="87">
        <f>IF(ISERROR(AA301/S301),"NA",IF(OR(AA301/S301&gt;2,AA301/S301&lt;0.5),"NM",AA301/S301*100-100))</f>
        <v>-20</v>
      </c>
      <c r="AC301" s="74">
        <v>13</v>
      </c>
      <c r="AD301" s="87">
        <f>IF(ISERROR(AC301/U301),"NA",IF(OR(AC301/U301&gt;2,AC301/U301&lt;0.5),"NM",AC301/U301*100-100))</f>
        <v>0</v>
      </c>
      <c r="AE301" s="74">
        <v>18</v>
      </c>
      <c r="AF301" s="87">
        <f>IF(ISERROR(AE301/W301),"NA",IF(OR(AE301/W301&gt;2,AE301/W301&lt;0.5),"NM",AE301/W301*100-100))</f>
        <v>5.8823529411764781</v>
      </c>
      <c r="AG301" s="74">
        <v>13</v>
      </c>
      <c r="AH301" s="87">
        <f>IF(ISERROR(AG301/Y301),"NA",IF(OR(AG301/Y301&gt;2,AG301/Y301&lt;0.5),"NM",AG301/Y301*100-100))</f>
        <v>-13.333333333333329</v>
      </c>
      <c r="AI301" s="74">
        <v>22</v>
      </c>
      <c r="AJ301" s="87">
        <f>IF(ISERROR(AI301/AA301),"NA",IF(OR(AI301/AA301&gt;2,AI301/AA301&lt;0.5),"NM",AI301/AA301*100-100))</f>
        <v>83.333333333333314</v>
      </c>
      <c r="AK301" s="74">
        <v>23</v>
      </c>
      <c r="AL301" s="87">
        <f>IF(ISERROR(AK301/AC301),"NA",IF(OR(AK301/AC301&gt;2,AK301/AC301&lt;0.5),"NM",AK301/AC301*100-100))</f>
        <v>76.923076923076906</v>
      </c>
      <c r="AM301" s="74">
        <v>9</v>
      </c>
      <c r="AN301" s="87">
        <f>IF(ISERROR(AM301/AE301),"NA",IF(OR(AM301/AE301&gt;2,AM301/AE301&lt;0.5),"NM",AM301/AE301*100-100))</f>
        <v>-50</v>
      </c>
      <c r="AO301" s="74">
        <v>33</v>
      </c>
      <c r="AP301" s="87" t="str">
        <f>IF(ISERROR(AO301/AG301),"NA",IF(OR(AO301/AG301&gt;2,AO301/AG301&lt;0.5),"NM",AO301/AG301*100-100))</f>
        <v>NM</v>
      </c>
      <c r="AQ301" s="74">
        <v>27</v>
      </c>
      <c r="AR301" s="87">
        <f>IF(ISERROR(AQ301/AI301),"NA",IF(OR(AQ301/AI301&gt;2,AQ301/AI301&lt;0.5),"NM",AQ301/AI301*100-100))</f>
        <v>22.727272727272734</v>
      </c>
      <c r="AS301" s="74">
        <v>15</v>
      </c>
      <c r="AT301" s="87">
        <f>IF(ISERROR(AS301/AK301),"NA",IF(OR(AS301/AK301&gt;2,AS301/AK301&lt;0.5),"NM",AS301/AK301*100-100))</f>
        <v>-34.782608695652172</v>
      </c>
      <c r="AU301" s="74">
        <v>33</v>
      </c>
      <c r="AV301" s="87" t="str">
        <f>IF(ISERROR(AU301/AM301),"NA",IF(OR(AU301/AM301&gt;2,AU301/AM301&lt;0.5),"NM",AU301/AM301*100-100))</f>
        <v>NM</v>
      </c>
      <c r="AW301" s="74">
        <v>30</v>
      </c>
      <c r="AX301" s="87">
        <f>IF(ISERROR(AW301/AO301),"NA",IF(OR(AW301/AO301&gt;2,AW301/AO301&lt;0.5),"NM",AW301/AO301*100-100))</f>
        <v>-9.0909090909090935</v>
      </c>
      <c r="AY301" s="74">
        <v>39</v>
      </c>
      <c r="AZ301" s="87">
        <f>IF(ISERROR(AY301/AQ301),"NA",IF(OR(AY301/AQ301&gt;2,AY301/AQ301&lt;0.5),"NM",AY301/AQ301*100-100))</f>
        <v>44.444444444444429</v>
      </c>
      <c r="BA301" s="74">
        <v>37</v>
      </c>
      <c r="BB301" s="87" t="str">
        <f>IF(ISERROR(BA301/AS301),"NA",IF(OR(BA301/AS301&gt;2,BA301/AS301&lt;0.5),"NM",BA301/AS301*100-100))</f>
        <v>NM</v>
      </c>
      <c r="BC301" s="74">
        <v>48</v>
      </c>
      <c r="BD301" s="87">
        <f>IF(ISERROR(BC301/AU301),"NA",IF(OR(BC301/AU301&gt;2,BC301/AU301&lt;0.5),"NM",BC301/AU301*100-100))</f>
        <v>45.454545454545467</v>
      </c>
      <c r="BE301" s="74">
        <v>46</v>
      </c>
      <c r="BF301" s="87">
        <f>IF(ISERROR(BE301/AW301),"NA",IF(OR(BE301/AW301&gt;2,BE301/AW301&lt;0.5),"NM",BE301/AW301*100-100))</f>
        <v>53.333333333333343</v>
      </c>
      <c r="BG301" s="74">
        <v>40</v>
      </c>
      <c r="BH301" s="87">
        <f>IF(ISERROR(BG301/AY301),"NA",IF(OR(BG301/AY301&gt;2,BG301/AY301&lt;0.5),"NM",BG301/AY301*100-100))</f>
        <v>2.564102564102555</v>
      </c>
      <c r="BI301" s="74">
        <v>62</v>
      </c>
      <c r="BJ301" s="87">
        <f>IF(ISERROR(BI301/BA301),"NA",IF(OR(BI301/BA301&gt;2,BI301/BA301&lt;0.5),"NM",BI301/BA301*100-100))</f>
        <v>67.567567567567579</v>
      </c>
      <c r="BK301" s="74">
        <v>44</v>
      </c>
      <c r="BL301" s="87">
        <f>IF(ISERROR(BK301/BC301),"NA",IF(OR(BK301/BC301&gt;2,BK301/BC301&lt;0.5),"NM",BK301/BC301*100-100))</f>
        <v>-8.3333333333333428</v>
      </c>
      <c r="BM301" s="74">
        <v>70</v>
      </c>
      <c r="BN301" s="87">
        <f>IF(ISERROR(BM301/BE301),"NA",IF(OR(BM301/BE301&gt;2,BM301/BE301&lt;0.5),"NM",BM301/BE301*100-100))</f>
        <v>52.173913043478279</v>
      </c>
      <c r="BO301" s="74">
        <v>71</v>
      </c>
      <c r="BP301" s="87">
        <f>IF(ISERROR(BO301/BG301),"NA",IF(OR(BO301/BG301&gt;2,BO301/BG301&lt;0.5),"NM",BO301/BG301*100-100))</f>
        <v>77.5</v>
      </c>
      <c r="BQ301" s="74">
        <v>96</v>
      </c>
      <c r="BR301" s="87">
        <f>IF(ISERROR(BQ301/BI301),"NA",IF(OR(BQ301/BI301&gt;2,BQ301/BI301&lt;0.5),"NM",BQ301/BI301*100-100))</f>
        <v>54.838709677419359</v>
      </c>
      <c r="BS301" s="74">
        <v>-15</v>
      </c>
      <c r="BT301" s="87" t="str">
        <f>IF(ISERROR(BS301/BK301),"NA",IF(OR(BS301/BK301&gt;2,BS301/BK301&lt;0.5),"NM",BS301/BK301*100-100))</f>
        <v>NM</v>
      </c>
      <c r="BU301" s="74">
        <v>-67</v>
      </c>
      <c r="BV301" s="87" t="str">
        <f>IF(ISERROR(BU301/BM301),"NA",IF(OR(BU301/BM301&gt;2,BU301/BM301&lt;0.5),"NM",BU301/BM301*100-100))</f>
        <v>NM</v>
      </c>
      <c r="BW301" s="74">
        <v>11</v>
      </c>
      <c r="BX301" s="72" t="str">
        <f>IF(ISERROR(BW301/BO301),"NA",IF(OR(BW301/BO301&gt;2,BW301/BO301&lt;0.5),"NM",BW301/BO301*100-100))</f>
        <v>NM</v>
      </c>
      <c r="BY301" s="74">
        <v>32</v>
      </c>
      <c r="BZ301" s="72" t="str">
        <f>IF(ISERROR(BY301/BQ301),"NA",IF(OR(BY301/BQ301&gt;2,BY301/BQ301&lt;0.5),"NM",BY301/BQ301*100-100))</f>
        <v>NM</v>
      </c>
      <c r="CA301" s="74">
        <v>13</v>
      </c>
      <c r="CB301" s="72" t="str">
        <f>IF(ISERROR(CA301/BS301),"NA",IF(OR(CA301/BS301&gt;2,CA301/BS301&lt;0.5),"NM",CA301/BS301*100-100))</f>
        <v>NM</v>
      </c>
      <c r="CC301" s="74">
        <v>34</v>
      </c>
      <c r="CD301" s="72" t="str">
        <f>IF(ISERROR(CC301/BU301),"NA",IF(OR(CC301/BU301&gt;2,CC301/BU301&lt;0.5),"NM",CC301/BU301*100-100))</f>
        <v>NM</v>
      </c>
      <c r="CE301" s="74">
        <v>24</v>
      </c>
      <c r="CF301" s="72" t="str">
        <f>IF(ISERROR(CE301/BW301),"NA",IF(OR(CE301/BW301&gt;2,CE301/BW301&lt;0.5),"NM",CE301/BW301*100-100))</f>
        <v>NM</v>
      </c>
      <c r="CG301" s="74">
        <v>29</v>
      </c>
      <c r="CH301" s="72">
        <f>IF(ISERROR(CG301/BY301),"NA",IF(OR(CG301/BY301&gt;2,CG301/BY301&lt;0.5),"NM",CG301/BY301*100-100))</f>
        <v>-9.375</v>
      </c>
      <c r="CI301" s="74">
        <v>31</v>
      </c>
      <c r="CJ301" s="72" t="str">
        <f>IF(ISERROR(CI301/CA301),"NA",IF(OR(CI301/CA301&gt;2,CI301/CA301&lt;0.5),"NM",CI301/CA301*100-100))</f>
        <v>NM</v>
      </c>
      <c r="CK301" s="74">
        <v>37</v>
      </c>
      <c r="CL301" s="72">
        <f>IF(ISERROR(CK301/CC301),"NA",IF(OR(CK301/CC301&gt;2,CK301/CC301&lt;0.5),"NM",CK301/CC301*100-100))</f>
        <v>8.8235294117646959</v>
      </c>
      <c r="CM301" s="74">
        <v>38</v>
      </c>
      <c r="CN301" s="72">
        <f>IF(ISERROR(CM301/CE301),"NA",IF(OR(CM301/CE301&gt;2,CM301/CE301&lt;0.5),"NM",CM301/CE301*100-100))</f>
        <v>58.333333333333314</v>
      </c>
      <c r="CO301" s="74">
        <v>32</v>
      </c>
      <c r="CP301" s="72">
        <f>IF(ISERROR(CO301/CG301),"NA",IF(OR(CO301/CG301&gt;2,CO301/CG301&lt;0.5),"NM",CO301/CG301*100-100))</f>
        <v>10.34482758620689</v>
      </c>
      <c r="CQ301" s="74">
        <v>18</v>
      </c>
      <c r="CR301" s="72">
        <f>IF(ISERROR(CQ301/CI301),"NA",IF(OR(CQ301/CI301&gt;2,CQ301/CI301&lt;0.5),"NM",CQ301/CI301*100-100))</f>
        <v>-41.935483870967737</v>
      </c>
      <c r="CS301" s="74">
        <v>32</v>
      </c>
      <c r="CT301" s="72">
        <f>IF(ISERROR(CS301/CK301),"NA",IF(OR(CS301/CK301&gt;2,CS301/CK301&lt;0.5),"NM",CS301/CK301*100-100))</f>
        <v>-13.513513513513516</v>
      </c>
      <c r="CU301" s="74">
        <v>23</v>
      </c>
      <c r="CV301" s="72">
        <f>IF(ISERROR(CU301/CM301),"NA",IF(OR(CU301/CM301&gt;2,CU301/CM301&lt;0.5),"NM",CU301/CM301*100-100))</f>
        <v>-39.473684210526315</v>
      </c>
      <c r="CW301" s="74">
        <v>15</v>
      </c>
      <c r="CX301" s="72" t="str">
        <f>IF(ISERROR(CW301/CO301),"NA",IF(OR(CW301/CO301&gt;2,CW301/CO301&lt;0.5),"NM",CW301/CO301*100-100))</f>
        <v>NM</v>
      </c>
      <c r="CY301" s="74">
        <v>38</v>
      </c>
      <c r="CZ301" s="72" t="str">
        <f>IF(ISERROR(CY301/CQ301),"NA",IF(OR(CY301/CQ301&gt;2,CY301/CQ301&lt;0.5),"NM",CY301/CQ301*100-100))</f>
        <v>NM</v>
      </c>
      <c r="DA301" s="74">
        <v>31</v>
      </c>
      <c r="DB301" s="72">
        <f>IF(ISERROR(DA301/CS301),"NA",IF(OR(DA301/CS301&gt;2,DA301/CS301&lt;0.5),"NM",DA301/CS301*100-100))</f>
        <v>-3.125</v>
      </c>
      <c r="DC301" s="74">
        <v>18</v>
      </c>
      <c r="DD301" s="72">
        <f>IF(ISERROR(DC301/CU301),"NA",IF(OR(DC301/CU301&gt;2,DC301/CU301&lt;0.5),"NM",DC301/CU301*100-100))</f>
        <v>-21.739130434782609</v>
      </c>
      <c r="DE301" s="74">
        <v>20</v>
      </c>
      <c r="DF301" s="72">
        <f>IF(ISERROR(DE301/CW301),"NA",IF(OR(DE301/CW301&gt;2,DE301/CW301&lt;0.5),"NM",DE301/CW301*100-100))</f>
        <v>33.333333333333314</v>
      </c>
      <c r="DG301" s="74">
        <v>22</v>
      </c>
      <c r="DH301" s="72">
        <f>IF(ISERROR(DG301/CY301),"NA",IF(OR(DG301/CY301&gt;2,DG301/CY301&lt;0.5),"NM",DG301/CY301*100-100))</f>
        <v>-42.105263157894733</v>
      </c>
      <c r="DI301" s="74">
        <v>27</v>
      </c>
      <c r="DJ301" s="72">
        <f>IF(ISERROR(DI301/DA301),"NA",IF(OR(DI301/DA301&gt;2,DI301/DA301&lt;0.5),"NM",DI301/DA301*100-100))</f>
        <v>-12.903225806451616</v>
      </c>
      <c r="DK301" s="74">
        <v>24</v>
      </c>
      <c r="DL301" s="72">
        <f>IF(ISERROR(DK301/DC301),"NA",IF(OR(DK301/DC301&gt;2,DK301/DC301&lt;0.5),"NM",DK301/DC301*100-100))</f>
        <v>33.333333333333314</v>
      </c>
      <c r="DM301" s="74">
        <v>21</v>
      </c>
      <c r="DN301" s="72">
        <f t="shared" ref="DN301:DZ303" si="1755">IF(ISERROR(DM301/DE301),"NA",IF(OR(DM301/DE301&gt;2,DM301/DE301&lt;0.5),"NM",DM301/DE301*100-100))</f>
        <v>5</v>
      </c>
      <c r="DO301" s="74">
        <v>43</v>
      </c>
      <c r="DP301" s="72">
        <f t="shared" si="1755"/>
        <v>95.454545454545467</v>
      </c>
      <c r="DQ301" s="74">
        <v>32</v>
      </c>
      <c r="DR301" s="72">
        <f t="shared" si="1755"/>
        <v>18.518518518518505</v>
      </c>
      <c r="DS301" s="74">
        <v>25</v>
      </c>
      <c r="DT301" s="72">
        <f t="shared" si="1755"/>
        <v>4.1666666666666714</v>
      </c>
      <c r="DU301" s="74">
        <v>36</v>
      </c>
      <c r="DV301" s="72">
        <f t="shared" si="1755"/>
        <v>71.428571428571416</v>
      </c>
      <c r="DW301" s="74">
        <v>20</v>
      </c>
      <c r="DX301" s="72" t="str">
        <f t="shared" si="1755"/>
        <v>NM</v>
      </c>
      <c r="DY301" s="74">
        <v>30</v>
      </c>
      <c r="DZ301" s="72">
        <f t="shared" si="1755"/>
        <v>-6.25</v>
      </c>
      <c r="EA301" s="74">
        <v>18</v>
      </c>
      <c r="EB301" s="72">
        <f>IF(ISERROR(EA301/DS301),"NA",IF(OR(EA301/DS301&gt;2,EA301/DS301&lt;0.5),"NM",EA301/DS301*100-100))</f>
        <v>-28</v>
      </c>
      <c r="EC301" s="74">
        <v>23</v>
      </c>
      <c r="ED301" s="72">
        <f>IF(ISERROR(EC301/DU301),"NA",IF(OR(EC301/DU301&gt;2,EC301/DU301&lt;0.5),"NM",EC301/DU301*100-100))</f>
        <v>-36.111111111111114</v>
      </c>
      <c r="EE301" s="74">
        <v>19</v>
      </c>
      <c r="EF301" s="72">
        <f>IF(ISERROR(EE301/DW301),"NA",IF(OR(EE301/DW301&gt;2,EE301/DW301&lt;0.5),"NM",EE301/DW301*100-100))</f>
        <v>-5</v>
      </c>
      <c r="EG301" s="74">
        <v>20</v>
      </c>
      <c r="EH301" s="72">
        <f>IF(ISERROR(EG301/DY301),"NA",IF(OR(EG301/DY301&gt;2,EG301/DY301&lt;0.5),"NM",EG301/DY301*100-100))</f>
        <v>-33.333333333333343</v>
      </c>
      <c r="EI301" s="74">
        <v>32</v>
      </c>
      <c r="EJ301" s="72">
        <f>IF(ISERROR(EI301/EA301),"NA",IF(OR(EI301/EA301&gt;2,EI301/EA301&lt;0.5),"NM",EI301/EA301*100-100))</f>
        <v>77.777777777777771</v>
      </c>
      <c r="EK301" s="74">
        <v>37</v>
      </c>
      <c r="EL301" s="72">
        <f>IF(ISERROR(EK301/EC301),"NA",IF(OR(EK301/EC301&gt;2,EK301/EC301&lt;0.5),"NM",EK301/EC301*100-100))</f>
        <v>60.869565217391312</v>
      </c>
      <c r="EM301" s="74">
        <v>55</v>
      </c>
      <c r="EN301" s="72" t="str">
        <f>IF(ISERROR(EM301/EE301),"NA",IF(OR(EM301/EE301&gt;2,EM301/EE301&lt;0.5),"NM",EM301/EE301*100-100))</f>
        <v>NM</v>
      </c>
      <c r="EO301" s="74">
        <v>46</v>
      </c>
      <c r="EP301" s="72" t="str">
        <f>IF(ISERROR(EO301/EG301),"NA",IF(OR(EO301/EG301&gt;2,EO301/EG301&lt;0.5),"NM",EO301/EG301*100-100))</f>
        <v>NM</v>
      </c>
      <c r="EQ301" s="74">
        <f t="shared" ref="EQ301" si="1756">EO301*1.005</f>
        <v>46.23</v>
      </c>
      <c r="ER301" s="72">
        <f t="shared" ref="ER301:ER303" si="1757">IF(ISERROR(EQ301/EI301),"NA",IF(OR(EQ301/EI301&gt;2,EQ301/EI301&lt;0.5),"NM",EQ301/EI301*100-100))</f>
        <v>44.46875</v>
      </c>
      <c r="ES301" s="74">
        <f t="shared" ref="ES301" si="1758">EQ301*1.005</f>
        <v>46.461149999999989</v>
      </c>
      <c r="ET301" s="72">
        <f t="shared" ref="ET301:ET303" si="1759">IF(ISERROR(ES301/EK301),"NA",IF(OR(ES301/EK301&gt;2,ES301/EK301&lt;0.5),"NM",ES301/EK301*100-100))</f>
        <v>25.570675675675631</v>
      </c>
      <c r="EU301" s="74">
        <f t="shared" ref="EU301" si="1760">ES301*1.005</f>
        <v>46.693455749999984</v>
      </c>
      <c r="EV301" s="72">
        <f t="shared" ref="EV301:EV303" si="1761">IF(ISERROR(EU301/EM301),"NA",IF(OR(EU301/EM301&gt;2,EU301/EM301&lt;0.5),"NM",EU301/EM301*100-100))</f>
        <v>-15.102807727272761</v>
      </c>
      <c r="EW301" s="74">
        <f t="shared" ref="EW301" si="1762">EU301*1.005</f>
        <v>46.926923028749982</v>
      </c>
      <c r="EX301" s="72">
        <f t="shared" ref="EX301:EX303" si="1763">IF(ISERROR(EW301/EO301),"NA",IF(OR(EW301/EO301&gt;2,EW301/EO301&lt;0.5),"NM",EW301/EO301*100-100))</f>
        <v>2.0150500624999523</v>
      </c>
      <c r="EY301" s="72"/>
      <c r="EZ301" s="309"/>
      <c r="FA301" s="72"/>
      <c r="FB301" s="81"/>
      <c r="FC301" s="72"/>
      <c r="FD301" s="74">
        <v>36</v>
      </c>
      <c r="FE301" s="87" t="str">
        <f>IF(ISERROR(FD301/FB301),"NA",IF(OR(FD301/FB301&gt;2,FD301/FB301&lt;0.5),"NM",FD301/FB301*100-100))</f>
        <v>NA</v>
      </c>
      <c r="FF301" s="74">
        <v>58</v>
      </c>
      <c r="FG301" s="87">
        <f>IF(ISERROR(FF301/FD301),"NA",IF(OR(FF301/FD301&gt;2,FF301/FD301&lt;0.5),"NM",FF301/FD301*100-100))</f>
        <v>61.111111111111114</v>
      </c>
      <c r="FH301" s="75">
        <f>+K301+M301+O301+Q301</f>
        <v>87</v>
      </c>
      <c r="FI301" s="87">
        <f>IF(ISERROR(FH301/FF301),"NA",IF(OR(FH301/FF301&gt;2,FH301/FF301&lt;0.5),"NM",FH301/FF301*100-100))</f>
        <v>50</v>
      </c>
      <c r="FJ301" s="75">
        <f>+S301+U301+W301+Y301</f>
        <v>60</v>
      </c>
      <c r="FK301" s="87">
        <f>IF(ISERROR(FJ301/FH301),"NA",IF(OR(FJ301/FH301&gt;2,FJ301/FH301&lt;0.5),"NM",FJ301/FH301*100-100))</f>
        <v>-31.034482758620683</v>
      </c>
      <c r="FL301" s="75">
        <f>AA301+AC301+AE301+AG301</f>
        <v>56</v>
      </c>
      <c r="FM301" s="87">
        <f>IF(ISERROR(FL301/FJ301),"NA",IF(OR(FL301/FJ301&gt;2,FL301/FJ301&lt;0.5),"NM",FL301/FJ301*100-100))</f>
        <v>-6.6666666666666714</v>
      </c>
      <c r="FN301" s="75">
        <f>AI301+AK301+AM301+AO301</f>
        <v>87</v>
      </c>
      <c r="FO301" s="87">
        <f>IF(ISERROR(FN301/FL301),"NA",IF(OR(FN301/FL301&gt;2,FN301/FL301&lt;0.5),"NM",FN301/FL301*100-100))</f>
        <v>55.357142857142861</v>
      </c>
      <c r="FP301" s="75">
        <f>AQ301+AS301+AU301+AW301</f>
        <v>105</v>
      </c>
      <c r="FQ301" s="87">
        <f>IF(ISERROR(FP301/FN301),"NA",IF(OR(FP301/FN301&gt;2,FP301/FN301&lt;0.5),"NM",FP301/FN301*100-100))</f>
        <v>20.689655172413794</v>
      </c>
      <c r="FR301" s="75">
        <f>AY301+BA301+BC301+BE301</f>
        <v>170</v>
      </c>
      <c r="FS301" s="87">
        <f>IF(ISERROR(FR301/FP301),"NA",IF(OR(FR301/FP301&gt;2,FR301/FP301&lt;0.5),"NM",FR301/FP301*100-100))</f>
        <v>61.904761904761898</v>
      </c>
      <c r="FT301" s="75">
        <f>BG301+BI301+BK301+BM301</f>
        <v>216</v>
      </c>
      <c r="FU301" s="87">
        <f>IF(ISERROR(FT301/FR301),"NA",IF(OR(FT301/FR301&gt;2,FT301/FR301&lt;0.5),"NM",FT301/FR301*100-100))</f>
        <v>27.058823529411754</v>
      </c>
      <c r="FV301" s="75">
        <f>BO301+BQ301+BS301+BU301</f>
        <v>85</v>
      </c>
      <c r="FW301" s="72" t="str">
        <f>IF(ISERROR(FV301/FT301),"NA",IF(OR(FV301/FT301&gt;2,FV301/FT301&lt;0.5),"NM",FV301/FT301*100-100))</f>
        <v>NM</v>
      </c>
      <c r="FX301" s="75">
        <f>BW301+BY301+CA301+CC301</f>
        <v>90</v>
      </c>
      <c r="FY301" s="72">
        <f>IF(ISERROR(FX301/FV301),"NA",IF(OR(FX301/FV301&gt;2,FX301/FV301&lt;0.5),"NM",FX301/FV301*100-100))</f>
        <v>5.8823529411764781</v>
      </c>
      <c r="FZ301" s="75">
        <f>CE301+CG301+CI301+CK301</f>
        <v>121</v>
      </c>
      <c r="GA301" s="72">
        <f>IF(ISERROR(FZ301/FX301),"NA",IF(OR(FZ301/FX301&gt;2,FZ301/FX301&lt;0.5),"NM",FZ301/FX301*100-100))</f>
        <v>34.444444444444457</v>
      </c>
      <c r="GB301" s="75">
        <f>CM301+CO301+CQ301+CS301</f>
        <v>120</v>
      </c>
      <c r="GC301" s="72">
        <f>IF(ISERROR(GB301/FZ301),"NA",IF(OR(GB301/FZ301&gt;2,GB301/FZ301&lt;0.5),"NM",GB301/FZ301*100-100))</f>
        <v>-0.8264462809917319</v>
      </c>
      <c r="GD301" s="75">
        <f>CU301+CW301+CY301+DA301</f>
        <v>107</v>
      </c>
      <c r="GE301" s="72">
        <f>IF(ISERROR(GD301/GB301),"NA",IF(OR(GD301/GB301&gt;2,GD301/GB301&lt;0.5),"NM",GD301/GB301*100-100))</f>
        <v>-10.833333333333329</v>
      </c>
      <c r="GF301" s="75">
        <f>DC301+DE301+DG301+DI301</f>
        <v>87</v>
      </c>
      <c r="GG301" s="72">
        <f>IF(ISERROR(GF301/GD301),"NA",IF(OR(GF301/GD301&gt;2,GF301/GD301&lt;0.5),"NM",GF301/GD301*100-100))</f>
        <v>-18.691588785046733</v>
      </c>
      <c r="GH301" s="75">
        <f>DK301+DM301+DO301+DQ301</f>
        <v>120</v>
      </c>
      <c r="GI301" s="72">
        <f t="shared" ref="GI301:GU303" si="1764">IF(ISERROR(GH301/GF301),"NA",IF(OR(GH301/GF301&gt;2,GH301/GF301&lt;0.5),"NM",GH301/GF301*100-100))</f>
        <v>37.931034482758633</v>
      </c>
      <c r="GJ301" s="75">
        <f>DS301+DU301+DW301+DY301</f>
        <v>111</v>
      </c>
      <c r="GK301" s="72">
        <f t="shared" si="1764"/>
        <v>-7.5</v>
      </c>
      <c r="GL301" s="75">
        <f>EA301+EC301+EE301+EG301</f>
        <v>80</v>
      </c>
      <c r="GM301" s="72">
        <f t="shared" si="1764"/>
        <v>-27.927927927927925</v>
      </c>
      <c r="GN301" s="75">
        <f>EI301+EK301+EM301+EO301</f>
        <v>170</v>
      </c>
      <c r="GO301" s="72" t="str">
        <f t="shared" si="1764"/>
        <v>NM</v>
      </c>
      <c r="GP301" s="75">
        <f>EQ301+ES301+EU301+EW301</f>
        <v>186.31152877874996</v>
      </c>
      <c r="GQ301" s="72">
        <f t="shared" si="1764"/>
        <v>9.5950169286764435</v>
      </c>
      <c r="GR301" s="74">
        <f>GP301*1.05</f>
        <v>195.62710521768747</v>
      </c>
      <c r="GS301" s="72">
        <f t="shared" si="1764"/>
        <v>5</v>
      </c>
      <c r="GT301" s="74">
        <f>GR301*1.05</f>
        <v>205.40846047857187</v>
      </c>
      <c r="GU301" s="72">
        <f t="shared" si="1764"/>
        <v>5</v>
      </c>
      <c r="GV301" s="74">
        <f>GT301*1.05</f>
        <v>215.67888350250047</v>
      </c>
      <c r="GW301" s="72">
        <f>IF(ISERROR(GV301/GT301),"NA",IF(OR(GV301/GT301&gt;2,GV301/GT301&lt;0.5),"NM",GV301/GT301*100-100))</f>
        <v>5</v>
      </c>
      <c r="GX301" s="74">
        <f>GV301*1.05</f>
        <v>226.46282767762551</v>
      </c>
      <c r="GY301" s="72">
        <f>IF(ISERROR(GX301/GV301),"NA",IF(OR(GX301/GV301&gt;2,GX301/GV301&lt;0.5),"NM",GX301/GV301*100-100))</f>
        <v>5</v>
      </c>
      <c r="GZ301" s="72">
        <f>IF(ISERROR(((GX301/GN301)^0.2-1)*100),"NA",IF((((GX301/GN301)^0.2-1)*100)&gt;100,"NM",IF((((GX301/GN301)^0.2-1)*100)&lt;-50,"NM",((GX301/GN301)^0.2-1)*100)))</f>
        <v>5.9033262673358067</v>
      </c>
      <c r="HA301" s="72"/>
      <c r="HB301" s="72"/>
      <c r="HC301"/>
      <c r="HD301"/>
      <c r="HE301"/>
      <c r="HF301"/>
      <c r="HG301"/>
      <c r="HH301"/>
      <c r="HI301" s="2"/>
    </row>
    <row r="302" spans="1:217" s="3" customFormat="1" ht="12.75" customHeight="1" x14ac:dyDescent="0.2">
      <c r="B302" s="77" t="s">
        <v>293</v>
      </c>
      <c r="C302" s="74"/>
      <c r="D302" s="72"/>
      <c r="E302" s="74"/>
      <c r="F302" s="72"/>
      <c r="G302" s="74"/>
      <c r="H302" s="72"/>
      <c r="I302" s="74"/>
      <c r="J302" s="72"/>
      <c r="K302" s="74">
        <v>351</v>
      </c>
      <c r="L302" s="87" t="str">
        <f>IF(ISERROR(K302/C302),"NA",IF(OR(K302/C302&gt;2,K302/C302&lt;0.5),"NM",K302/C302*100-100))</f>
        <v>NA</v>
      </c>
      <c r="M302" s="74">
        <v>336</v>
      </c>
      <c r="N302" s="87" t="str">
        <f>IF(ISERROR(M302/E302),"NA",IF(OR(M302/E302&gt;2,M302/E302&lt;0.5),"NM",M302/E302*100-100))</f>
        <v>NA</v>
      </c>
      <c r="O302" s="74">
        <v>341</v>
      </c>
      <c r="P302" s="87" t="str">
        <f>IF(ISERROR(O302/G302),"NA",IF(OR(O302/G302&gt;2,O302/G302&lt;0.5),"NM",O302/G302*100-100))</f>
        <v>NA</v>
      </c>
      <c r="Q302" s="74">
        <v>347</v>
      </c>
      <c r="R302" s="87" t="str">
        <f>IF(ISERROR(Q302/I302),"NA",IF(OR(Q302/I302&gt;2,Q302/I302&lt;0.5),"NM",Q302/I302*100-100))</f>
        <v>NA</v>
      </c>
      <c r="S302" s="74">
        <v>331</v>
      </c>
      <c r="T302" s="87">
        <f>IF(ISERROR(S302/K302),"NA",IF(OR(S302/K302&gt;2,S302/K302&lt;0.5),"NM",S302/K302*100-100))</f>
        <v>-5.6980056980056872</v>
      </c>
      <c r="U302" s="74">
        <v>324</v>
      </c>
      <c r="V302" s="87">
        <f>IF(ISERROR(U302/M302),"NA",IF(OR(U302/M302&gt;2,U302/M302&lt;0.5),"NM",U302/M302*100-100))</f>
        <v>-3.5714285714285694</v>
      </c>
      <c r="W302" s="74">
        <v>300</v>
      </c>
      <c r="X302" s="87">
        <f>IF(ISERROR(W302/O302),"NA",IF(OR(W302/O302&gt;2,W302/O302&lt;0.5),"NM",W302/O302*100-100))</f>
        <v>-12.023460410557192</v>
      </c>
      <c r="Y302" s="74">
        <v>310</v>
      </c>
      <c r="Z302" s="87">
        <f>IF(ISERROR(Y302/Q302),"NA",IF(OR(Y302/Q302&gt;2,Y302/Q302&lt;0.5),"NM",Y302/Q302*100-100))</f>
        <v>-10.66282420749279</v>
      </c>
      <c r="AA302" s="74">
        <v>293</v>
      </c>
      <c r="AB302" s="87">
        <f>IF(ISERROR(AA302/S302),"NA",IF(OR(AA302/S302&gt;2,AA302/S302&lt;0.5),"NM",AA302/S302*100-100))</f>
        <v>-11.48036253776435</v>
      </c>
      <c r="AC302" s="74">
        <v>322</v>
      </c>
      <c r="AD302" s="87">
        <f>IF(ISERROR(AC302/U302),"NA",IF(OR(AC302/U302&gt;2,AC302/U302&lt;0.5),"NM",AC302/U302*100-100))</f>
        <v>-0.61728395061729202</v>
      </c>
      <c r="AE302" s="74">
        <v>324</v>
      </c>
      <c r="AF302" s="87">
        <f>IF(ISERROR(AE302/W302),"NA",IF(OR(AE302/W302&gt;2,AE302/W302&lt;0.5),"NM",AE302/W302*100-100))</f>
        <v>8</v>
      </c>
      <c r="AG302" s="74">
        <v>366</v>
      </c>
      <c r="AH302" s="87">
        <f>IF(ISERROR(AG302/Y302),"NA",IF(OR(AG302/Y302&gt;2,AG302/Y302&lt;0.5),"NM",AG302/Y302*100-100))</f>
        <v>18.064516129032256</v>
      </c>
      <c r="AI302" s="74">
        <v>325</v>
      </c>
      <c r="AJ302" s="87">
        <f>IF(ISERROR(AI302/AA302),"NA",IF(OR(AI302/AA302&gt;2,AI302/AA302&lt;0.5),"NM",AI302/AA302*100-100))</f>
        <v>10.921501706484648</v>
      </c>
      <c r="AK302" s="74">
        <v>343</v>
      </c>
      <c r="AL302" s="87">
        <f>IF(ISERROR(AK302/AC302),"NA",IF(OR(AK302/AC302&gt;2,AK302/AC302&lt;0.5),"NM",AK302/AC302*100-100))</f>
        <v>6.5217391304347956</v>
      </c>
      <c r="AM302" s="74">
        <v>324</v>
      </c>
      <c r="AN302" s="87">
        <f>IF(ISERROR(AM302/AE302),"NA",IF(OR(AM302/AE302&gt;2,AM302/AE302&lt;0.5),"NM",AM302/AE302*100-100))</f>
        <v>0</v>
      </c>
      <c r="AO302" s="74">
        <v>385</v>
      </c>
      <c r="AP302" s="87">
        <f>IF(ISERROR(AO302/AG302),"NA",IF(OR(AO302/AG302&gt;2,AO302/AG302&lt;0.5),"NM",AO302/AG302*100-100))</f>
        <v>5.1912568306010911</v>
      </c>
      <c r="AQ302" s="74">
        <v>391</v>
      </c>
      <c r="AR302" s="87">
        <f>IF(ISERROR(AQ302/AI302),"NA",IF(OR(AQ302/AI302&gt;2,AQ302/AI302&lt;0.5),"NM",AQ302/AI302*100-100))</f>
        <v>20.307692307692321</v>
      </c>
      <c r="AS302" s="74">
        <v>386</v>
      </c>
      <c r="AT302" s="87">
        <f>IF(ISERROR(AS302/AK302),"NA",IF(OR(AS302/AK302&gt;2,AS302/AK302&lt;0.5),"NM",AS302/AK302*100-100))</f>
        <v>12.536443148688051</v>
      </c>
      <c r="AU302" s="74">
        <v>408</v>
      </c>
      <c r="AV302" s="87">
        <f>IF(ISERROR(AU302/AM302),"NA",IF(OR(AU302/AM302&gt;2,AU302/AM302&lt;0.5),"NM",AU302/AM302*100-100))</f>
        <v>25.925925925925924</v>
      </c>
      <c r="AW302" s="74">
        <v>406</v>
      </c>
      <c r="AX302" s="87">
        <f>IF(ISERROR(AW302/AO302),"NA",IF(OR(AW302/AO302&gt;2,AW302/AO302&lt;0.5),"NM",AW302/AO302*100-100))</f>
        <v>5.454545454545439</v>
      </c>
      <c r="AY302" s="74">
        <v>445</v>
      </c>
      <c r="AZ302" s="87">
        <f>IF(ISERROR(AY302/AQ302),"NA",IF(OR(AY302/AQ302&gt;2,AY302/AQ302&lt;0.5),"NM",AY302/AQ302*100-100))</f>
        <v>13.81074168797953</v>
      </c>
      <c r="BA302" s="74">
        <v>418</v>
      </c>
      <c r="BB302" s="87">
        <f>IF(ISERROR(BA302/AS302),"NA",IF(OR(BA302/AS302&gt;2,BA302/AS302&lt;0.5),"NM",BA302/AS302*100-100))</f>
        <v>8.2901554404145088</v>
      </c>
      <c r="BC302" s="74">
        <v>392</v>
      </c>
      <c r="BD302" s="87">
        <f>IF(ISERROR(BC302/AU302),"NA",IF(OR(BC302/AU302&gt;2,BC302/AU302&lt;0.5),"NM",BC302/AU302*100-100))</f>
        <v>-3.9215686274509807</v>
      </c>
      <c r="BE302" s="74">
        <v>566</v>
      </c>
      <c r="BF302" s="87">
        <f>IF(ISERROR(BE302/AW302),"NA",IF(OR(BE302/AW302&gt;2,BE302/AW302&lt;0.5),"NM",BE302/AW302*100-100))</f>
        <v>39.408866995073879</v>
      </c>
      <c r="BG302" s="74">
        <v>505</v>
      </c>
      <c r="BH302" s="87">
        <f>IF(ISERROR(BG302/AY302),"NA",IF(OR(BG302/AY302&gt;2,BG302/AY302&lt;0.5),"NM",BG302/AY302*100-100))</f>
        <v>13.483146067415746</v>
      </c>
      <c r="BI302" s="74">
        <v>528</v>
      </c>
      <c r="BJ302" s="87">
        <f>IF(ISERROR(BI302/BA302),"NA",IF(OR(BI302/BA302&gt;2,BI302/BA302&lt;0.5),"NM",BI302/BA302*100-100))</f>
        <v>26.315789473684205</v>
      </c>
      <c r="BK302" s="74">
        <v>514</v>
      </c>
      <c r="BL302" s="87">
        <f>IF(ISERROR(BK302/BC302),"NA",IF(OR(BK302/BC302&gt;2,BK302/BC302&lt;0.5),"NM",BK302/BC302*100-100))</f>
        <v>31.122448979591837</v>
      </c>
      <c r="BM302" s="74">
        <v>556</v>
      </c>
      <c r="BN302" s="87">
        <f>IF(ISERROR(BM302/BE302),"NA",IF(OR(BM302/BE302&gt;2,BM302/BE302&lt;0.5),"NM",BM302/BE302*100-100))</f>
        <v>-1.7667844522968181</v>
      </c>
      <c r="BO302" s="74">
        <v>477</v>
      </c>
      <c r="BP302" s="87">
        <f>IF(ISERROR(BO302/BG302),"NA",IF(OR(BO302/BG302&gt;2,BO302/BG302&lt;0.5),"NM",BO302/BG302*100-100))</f>
        <v>-5.5445544554455495</v>
      </c>
      <c r="BQ302" s="74">
        <v>468</v>
      </c>
      <c r="BR302" s="87">
        <f>IF(ISERROR(BQ302/BI302),"NA",IF(OR(BQ302/BI302&gt;2,BQ302/BI302&lt;0.5),"NM",BQ302/BI302*100-100))</f>
        <v>-11.36363636363636</v>
      </c>
      <c r="BS302" s="74">
        <v>360</v>
      </c>
      <c r="BT302" s="87">
        <f>IF(ISERROR(BS302/BK302),"NA",IF(OR(BS302/BK302&gt;2,BS302/BK302&lt;0.5),"NM",BS302/BK302*100-100))</f>
        <v>-29.961089494163431</v>
      </c>
      <c r="BU302" s="74">
        <v>296</v>
      </c>
      <c r="BV302" s="87">
        <f>IF(ISERROR(BU302/BM302),"NA",IF(OR(BU302/BM302&gt;2,BU302/BM302&lt;0.5),"NM",BU302/BM302*100-100))</f>
        <v>-46.762589928057551</v>
      </c>
      <c r="BW302" s="74">
        <v>252</v>
      </c>
      <c r="BX302" s="72">
        <f>IF(ISERROR(BW302/BO302),"NA",IF(OR(BW302/BO302&gt;2,BW302/BO302&lt;0.5),"NM",BW302/BO302*100-100))</f>
        <v>-47.169811320754718</v>
      </c>
      <c r="BY302" s="74">
        <v>310</v>
      </c>
      <c r="BZ302" s="72">
        <f>IF(ISERROR(BY302/BQ302),"NA",IF(OR(BY302/BQ302&gt;2,BY302/BQ302&lt;0.5),"NM",BY302/BQ302*100-100))</f>
        <v>-33.760683760683762</v>
      </c>
      <c r="CA302" s="74">
        <v>278</v>
      </c>
      <c r="CB302" s="72">
        <f>IF(ISERROR(CA302/BS302),"NA",IF(OR(CA302/BS302&gt;2,CA302/BS302&lt;0.5),"NM",CA302/BS302*100-100))</f>
        <v>-22.777777777777771</v>
      </c>
      <c r="CC302" s="74">
        <v>327</v>
      </c>
      <c r="CD302" s="72">
        <f>IF(ISERROR(CC302/BU302),"NA",IF(OR(CC302/BU302&gt;2,CC302/BU302&lt;0.5),"NM",CC302/BU302*100-100))</f>
        <v>10.472972972972983</v>
      </c>
      <c r="CE302" s="74">
        <v>355</v>
      </c>
      <c r="CF302" s="72">
        <f>IF(ISERROR(CE302/BW302),"NA",IF(OR(CE302/BW302&gt;2,CE302/BW302&lt;0.5),"NM",CE302/BW302*100-100))</f>
        <v>40.873015873015873</v>
      </c>
      <c r="CG302" s="74">
        <v>465</v>
      </c>
      <c r="CH302" s="72">
        <f>IF(ISERROR(CG302/BY302),"NA",IF(OR(CG302/BY302&gt;2,CG302/BY302&lt;0.5),"NM",CG302/BY302*100-100))</f>
        <v>50</v>
      </c>
      <c r="CI302" s="74">
        <v>462</v>
      </c>
      <c r="CJ302" s="72">
        <f>IF(ISERROR(CI302/CA302),"NA",IF(OR(CI302/CA302&gt;2,CI302/CA302&lt;0.5),"NM",CI302/CA302*100-100))</f>
        <v>66.187050359712231</v>
      </c>
      <c r="CK302" s="74">
        <v>485</v>
      </c>
      <c r="CL302" s="72">
        <f>IF(ISERROR(CK302/CC302),"NA",IF(OR(CK302/CC302&gt;2,CK302/CC302&lt;0.5),"NM",CK302/CC302*100-100))</f>
        <v>48.318042813455662</v>
      </c>
      <c r="CM302" s="74">
        <v>510</v>
      </c>
      <c r="CN302" s="72">
        <f>IF(ISERROR(CM302/CE302),"NA",IF(OR(CM302/CE302&gt;2,CM302/CE302&lt;0.5),"NM",CM302/CE302*100-100))</f>
        <v>43.661971830985919</v>
      </c>
      <c r="CO302" s="74">
        <v>624</v>
      </c>
      <c r="CP302" s="72">
        <f>IF(ISERROR(CO302/CG302),"NA",IF(OR(CO302/CG302&gt;2,CO302/CG302&lt;0.5),"NM",CO302/CG302*100-100))</f>
        <v>34.193548387096797</v>
      </c>
      <c r="CQ302" s="74">
        <v>495</v>
      </c>
      <c r="CR302" s="72">
        <f>IF(ISERROR(CQ302/CI302),"NA",IF(OR(CQ302/CI302&gt;2,CQ302/CI302&lt;0.5),"NM",CQ302/CI302*100-100))</f>
        <v>7.1428571428571388</v>
      </c>
      <c r="CS302" s="74">
        <v>681</v>
      </c>
      <c r="CT302" s="72">
        <f>IF(ISERROR(CS302/CK302),"NA",IF(OR(CS302/CK302&gt;2,CS302/CK302&lt;0.5),"NM",CS302/CK302*100-100))</f>
        <v>40.412371134020617</v>
      </c>
      <c r="CU302" s="74">
        <v>540</v>
      </c>
      <c r="CV302" s="72">
        <f>IF(ISERROR(CU302/CM302),"NA",IF(OR(CU302/CM302&gt;2,CU302/CM302&lt;0.5),"NM",CU302/CM302*100-100))</f>
        <v>5.8823529411764781</v>
      </c>
      <c r="CW302" s="74">
        <v>481</v>
      </c>
      <c r="CX302" s="72">
        <f>IF(ISERROR(CW302/CO302),"NA",IF(OR(CW302/CO302&gt;2,CW302/CO302&lt;0.5),"NM",CW302/CO302*100-100))</f>
        <v>-22.916666666666657</v>
      </c>
      <c r="CY302" s="74">
        <v>594</v>
      </c>
      <c r="CZ302" s="72">
        <f>IF(ISERROR(CY302/CQ302),"NA",IF(OR(CY302/CQ302&gt;2,CY302/CQ302&lt;0.5),"NM",CY302/CQ302*100-100))</f>
        <v>20</v>
      </c>
      <c r="DA302" s="74">
        <v>654</v>
      </c>
      <c r="DB302" s="72">
        <f>IF(ISERROR(DA302/CS302),"NA",IF(OR(DA302/CS302&gt;2,DA302/CS302&lt;0.5),"NM",DA302/CS302*100-100))</f>
        <v>-3.9647577092511028</v>
      </c>
      <c r="DC302" s="74">
        <v>624</v>
      </c>
      <c r="DD302" s="72">
        <f>IF(ISERROR(DC302/CU302),"NA",IF(OR(DC302/CU302&gt;2,DC302/CU302&lt;0.5),"NM",DC302/CU302*100-100))</f>
        <v>15.555555555555543</v>
      </c>
      <c r="DE302" s="74">
        <v>642</v>
      </c>
      <c r="DF302" s="72">
        <f>IF(ISERROR(DE302/CW302),"NA",IF(OR(DE302/CW302&gt;2,DE302/CW302&lt;0.5),"NM",DE302/CW302*100-100))</f>
        <v>33.471933471933482</v>
      </c>
      <c r="DG302" s="74">
        <v>627</v>
      </c>
      <c r="DH302" s="72">
        <f>IF(ISERROR(DG302/CY302),"NA",IF(OR(DG302/CY302&gt;2,DG302/CY302&lt;0.5),"NM",DG302/CY302*100-100))</f>
        <v>5.5555555555555571</v>
      </c>
      <c r="DI302" s="74">
        <v>698</v>
      </c>
      <c r="DJ302" s="72">
        <f>IF(ISERROR(DI302/DA302),"NA",IF(OR(DI302/DA302&gt;2,DI302/DA302&lt;0.5),"NM",DI302/DA302*100-100))</f>
        <v>6.7278287461773658</v>
      </c>
      <c r="DK302" s="74">
        <v>643</v>
      </c>
      <c r="DL302" s="72">
        <f>IF(ISERROR(DK302/DC302),"NA",IF(OR(DK302/DC302&gt;2,DK302/DC302&lt;0.5),"NM",DK302/DC302*100-100))</f>
        <v>3.0448717948717814</v>
      </c>
      <c r="DM302" s="74">
        <v>692</v>
      </c>
      <c r="DN302" s="72">
        <f t="shared" si="1755"/>
        <v>7.7881619937694637</v>
      </c>
      <c r="DO302" s="74">
        <v>678</v>
      </c>
      <c r="DP302" s="72">
        <f t="shared" si="1755"/>
        <v>8.1339712918660325</v>
      </c>
      <c r="DQ302" s="74">
        <v>707</v>
      </c>
      <c r="DR302" s="72">
        <f t="shared" si="1755"/>
        <v>1.2893982808023026</v>
      </c>
      <c r="DS302" s="74">
        <v>708</v>
      </c>
      <c r="DT302" s="72">
        <f t="shared" si="1755"/>
        <v>10.108864696734059</v>
      </c>
      <c r="DU302" s="74">
        <v>740</v>
      </c>
      <c r="DV302" s="72">
        <f t="shared" si="1755"/>
        <v>6.9364161849710939</v>
      </c>
      <c r="DW302" s="74">
        <v>684</v>
      </c>
      <c r="DX302" s="72">
        <f t="shared" si="1755"/>
        <v>0.88495575221239164</v>
      </c>
      <c r="DY302" s="74">
        <v>701</v>
      </c>
      <c r="DZ302" s="72">
        <f t="shared" si="1755"/>
        <v>-0.84865629420085043</v>
      </c>
      <c r="EA302" s="74">
        <v>688</v>
      </c>
      <c r="EB302" s="72">
        <f>IF(ISERROR(EA302/DS302),"NA",IF(OR(EA302/DS302&gt;2,EA302/DS302&lt;0.5),"NM",EA302/DS302*100-100))</f>
        <v>-2.8248587570621453</v>
      </c>
      <c r="EC302" s="74">
        <v>709</v>
      </c>
      <c r="ED302" s="72">
        <f>IF(ISERROR(EC302/DU302),"NA",IF(OR(EC302/DU302&gt;2,EC302/DU302&lt;0.5),"NM",EC302/DU302*100-100))</f>
        <v>-4.189189189189193</v>
      </c>
      <c r="EE302" s="74">
        <v>731</v>
      </c>
      <c r="EF302" s="72">
        <f>IF(ISERROR(EE302/DW302),"NA",IF(OR(EE302/DW302&gt;2,EE302/DW302&lt;0.5),"NM",EE302/DW302*100-100))</f>
        <v>6.8713450292397624</v>
      </c>
      <c r="EG302" s="74">
        <v>753</v>
      </c>
      <c r="EH302" s="72">
        <f>IF(ISERROR(EG302/DY302),"NA",IF(OR(EG302/DY302&gt;2,EG302/DY302&lt;0.5),"NM",EG302/DY302*100-100))</f>
        <v>7.4179743223965744</v>
      </c>
      <c r="EI302" s="74">
        <v>724</v>
      </c>
      <c r="EJ302" s="72">
        <f>IF(ISERROR(EI302/EA302),"NA",IF(OR(EI302/EA302&gt;2,EI302/EA302&lt;0.5),"NM",EI302/EA302*100-100))</f>
        <v>5.2325581395348877</v>
      </c>
      <c r="EK302" s="74">
        <v>750</v>
      </c>
      <c r="EL302" s="72">
        <f>IF(ISERROR(EK302/EC302),"NA",IF(OR(EK302/EC302&gt;2,EK302/EC302&lt;0.5),"NM",EK302/EC302*100-100))</f>
        <v>5.7827926657263617</v>
      </c>
      <c r="EM302" s="74">
        <v>772</v>
      </c>
      <c r="EN302" s="72">
        <f>IF(ISERROR(EM302/EE302),"NA",IF(OR(EM302/EE302&gt;2,EM302/EE302&lt;0.5),"NM",EM302/EE302*100-100))</f>
        <v>5.6087551299589506</v>
      </c>
      <c r="EO302" s="74">
        <v>939</v>
      </c>
      <c r="EP302" s="72">
        <f>IF(ISERROR(EO302/EG302),"NA",IF(OR(EO302/EG302&gt;2,EO302/EG302&lt;0.5),"NM",EO302/EG302*100-100))</f>
        <v>24.701195219123505</v>
      </c>
      <c r="EQ302" s="75">
        <f t="shared" ref="EQ302" si="1765">(EQ305/400)*(EQ298*1000)</f>
        <v>845.96141300000022</v>
      </c>
      <c r="ER302" s="72">
        <f t="shared" si="1757"/>
        <v>16.845499033149196</v>
      </c>
      <c r="ES302" s="75">
        <f t="shared" ref="ES302" si="1766">(ES305/400)*(ES298*1000)</f>
        <v>843.64489140935791</v>
      </c>
      <c r="ET302" s="72">
        <f t="shared" si="1759"/>
        <v>12.485985521247713</v>
      </c>
      <c r="EU302" s="75">
        <f t="shared" ref="EU302" si="1767">(EU305/400)*(EU298*1000)</f>
        <v>856.53220336721199</v>
      </c>
      <c r="EV302" s="72">
        <f t="shared" si="1761"/>
        <v>10.949767275545597</v>
      </c>
      <c r="EW302" s="75">
        <f t="shared" ref="EW302" si="1768">(EW305/400)*(EW298*1000)</f>
        <v>870.17140990224914</v>
      </c>
      <c r="EX302" s="72">
        <f t="shared" si="1763"/>
        <v>-7.3299882958201152</v>
      </c>
      <c r="EY302" s="72"/>
      <c r="EZ302" s="309"/>
      <c r="FA302" s="72"/>
      <c r="FB302" s="81"/>
      <c r="FC302" s="72"/>
      <c r="FD302" s="74">
        <v>1361</v>
      </c>
      <c r="FE302" s="87" t="str">
        <f>IF(ISERROR(FD302/FB302),"NA",IF(OR(FD302/FB302&gt;2,FD302/FB302&lt;0.5),"NM",FD302/FB302*100-100))</f>
        <v>NA</v>
      </c>
      <c r="FF302" s="74">
        <v>1475</v>
      </c>
      <c r="FG302" s="87">
        <f>IF(ISERROR(FF302/FD302),"NA",IF(OR(FF302/FD302&gt;2,FF302/FD302&lt;0.5),"NM",FF302/FD302*100-100))</f>
        <v>8.3761939750183672</v>
      </c>
      <c r="FH302" s="75">
        <f>+K302+M302+O302+Q302</f>
        <v>1375</v>
      </c>
      <c r="FI302" s="87">
        <f>IF(ISERROR(FH302/FF302),"NA",IF(OR(FH302/FF302&gt;2,FH302/FF302&lt;0.5),"NM",FH302/FF302*100-100))</f>
        <v>-6.7796610169491629</v>
      </c>
      <c r="FJ302" s="75">
        <f>+S302+U302+W302+Y302</f>
        <v>1265</v>
      </c>
      <c r="FK302" s="87">
        <f>IF(ISERROR(FJ302/FH302),"NA",IF(OR(FJ302/FH302&gt;2,FJ302/FH302&lt;0.5),"NM",FJ302/FH302*100-100))</f>
        <v>-8</v>
      </c>
      <c r="FL302" s="75">
        <f>AA302+AC302+AE302+AG302</f>
        <v>1305</v>
      </c>
      <c r="FM302" s="87">
        <f>IF(ISERROR(FL302/FJ302),"NA",IF(OR(FL302/FJ302&gt;2,FL302/FJ302&lt;0.5),"NM",FL302/FJ302*100-100))</f>
        <v>3.1620553359683896</v>
      </c>
      <c r="FN302" s="75">
        <f>AI302+AK302+AM302+AO302</f>
        <v>1377</v>
      </c>
      <c r="FO302" s="87">
        <f>IF(ISERROR(FN302/FL302),"NA",IF(OR(FN302/FL302&gt;2,FN302/FL302&lt;0.5),"NM",FN302/FL302*100-100))</f>
        <v>5.5172413793103487</v>
      </c>
      <c r="FP302" s="75">
        <f>AQ302+AS302+AU302+AW302</f>
        <v>1591</v>
      </c>
      <c r="FQ302" s="87">
        <f>IF(ISERROR(FP302/FN302),"NA",IF(OR(FP302/FN302&gt;2,FP302/FN302&lt;0.5),"NM",FP302/FN302*100-100))</f>
        <v>15.541031227305751</v>
      </c>
      <c r="FR302" s="75">
        <f>AY302+BA302+BC302+BE302</f>
        <v>1821</v>
      </c>
      <c r="FS302" s="87">
        <f>IF(ISERROR(FR302/FP302),"NA",IF(OR(FR302/FP302&gt;2,FR302/FP302&lt;0.5),"NM",FR302/FP302*100-100))</f>
        <v>14.456316781898181</v>
      </c>
      <c r="FT302" s="75">
        <f>BG302+BI302+BK302+BM302</f>
        <v>2103</v>
      </c>
      <c r="FU302" s="87">
        <f>IF(ISERROR(FT302/FR302),"NA",IF(OR(FT302/FR302&gt;2,FT302/FR302&lt;0.5),"NM",FT302/FR302*100-100))</f>
        <v>15.485996705107084</v>
      </c>
      <c r="FV302" s="75">
        <f>BO302+BQ302+BS302+BU302</f>
        <v>1601</v>
      </c>
      <c r="FW302" s="72">
        <f>IF(ISERROR(FV302/FT302),"NA",IF(OR(FV302/FT302&gt;2,FV302/FT302&lt;0.5),"NM",FV302/FT302*100-100))</f>
        <v>-23.870660960532575</v>
      </c>
      <c r="FX302" s="75">
        <f>BW302+BY302+CA302+CC302</f>
        <v>1167</v>
      </c>
      <c r="FY302" s="72">
        <f>IF(ISERROR(FX302/FV302),"NA",IF(OR(FX302/FV302&gt;2,FX302/FV302&lt;0.5),"NM",FX302/FV302*100-100))</f>
        <v>-27.108057464084951</v>
      </c>
      <c r="FZ302" s="75">
        <f>CE302+CG302+CI302+CK302</f>
        <v>1767</v>
      </c>
      <c r="GA302" s="72">
        <f>IF(ISERROR(FZ302/FX302),"NA",IF(OR(FZ302/FX302&gt;2,FZ302/FX302&lt;0.5),"NM",FZ302/FX302*100-100))</f>
        <v>51.413881748071987</v>
      </c>
      <c r="GB302" s="75">
        <f>CM302+CO302+CQ302+CS302</f>
        <v>2310</v>
      </c>
      <c r="GC302" s="72">
        <f>IF(ISERROR(GB302/FZ302),"NA",IF(OR(GB302/FZ302&gt;2,GB302/FZ302&lt;0.5),"NM",GB302/FZ302*100-100))</f>
        <v>30.73005093378606</v>
      </c>
      <c r="GD302" s="75">
        <f>CU302+CW302+CY302+DA302</f>
        <v>2269</v>
      </c>
      <c r="GE302" s="72">
        <f>IF(ISERROR(GD302/GB302),"NA",IF(OR(GD302/GB302&gt;2,GD302/GB302&lt;0.5),"NM",GD302/GB302*100-100))</f>
        <v>-1.7748917748917705</v>
      </c>
      <c r="GF302" s="75">
        <f>DC302+DE302+DG302+DI302</f>
        <v>2591</v>
      </c>
      <c r="GG302" s="72">
        <f>IF(ISERROR(GF302/GD302),"NA",IF(OR(GF302/GD302&gt;2,GF302/GD302&lt;0.5),"NM",GF302/GD302*100-100))</f>
        <v>14.191273688849719</v>
      </c>
      <c r="GH302" s="75">
        <f>DK302+DM302+DO302+DQ302</f>
        <v>2720</v>
      </c>
      <c r="GI302" s="72">
        <f t="shared" si="1764"/>
        <v>4.9787726746429968</v>
      </c>
      <c r="GJ302" s="75">
        <f>DS302+DU302+DW302+DY302</f>
        <v>2833</v>
      </c>
      <c r="GK302" s="72">
        <f t="shared" si="1764"/>
        <v>4.154411764705884</v>
      </c>
      <c r="GL302" s="75">
        <f>EA302+EC302+EE302+EG302</f>
        <v>2881</v>
      </c>
      <c r="GM302" s="72">
        <f t="shared" si="1764"/>
        <v>1.6943169784680521</v>
      </c>
      <c r="GN302" s="75">
        <f>EI302+EK302+EM302+EO302</f>
        <v>3185</v>
      </c>
      <c r="GO302" s="72">
        <f t="shared" si="1764"/>
        <v>10.551891704269352</v>
      </c>
      <c r="GP302" s="75">
        <f>EQ302+ES302+EU302+EW302</f>
        <v>3416.3099176788191</v>
      </c>
      <c r="GQ302" s="72">
        <f t="shared" si="1764"/>
        <v>7.2624777921136427</v>
      </c>
      <c r="GR302" s="75">
        <f>GR305*GR298/0.1</f>
        <v>3606.9110583596548</v>
      </c>
      <c r="GS302" s="72">
        <f t="shared" si="1764"/>
        <v>5.5791525146622973</v>
      </c>
      <c r="GT302" s="75">
        <f>GT305*GT298/0.1</f>
        <v>3769.6692298432217</v>
      </c>
      <c r="GU302" s="72">
        <f t="shared" si="1764"/>
        <v>4.5123976957054595</v>
      </c>
      <c r="GV302" s="75">
        <f>GV305*GV298/0.1</f>
        <v>3931.4891012084863</v>
      </c>
      <c r="GW302" s="72">
        <f>IF(ISERROR(GV302/GT302),"NA",IF(OR(GV302/GT302&gt;2,GV302/GT302&lt;0.5),"NM",GV302/GT302*100-100))</f>
        <v>4.2926809090885172</v>
      </c>
      <c r="GX302" s="75">
        <f>GX305*GX298/0.1</f>
        <v>4047.6936379080335</v>
      </c>
      <c r="GY302" s="72">
        <f>IF(ISERROR(GX302/GV302),"NA",IF(OR(GX302/GV302&gt;2,GX302/GV302&lt;0.5),"NM",GX302/GV302*100-100))</f>
        <v>2.9557384926700507</v>
      </c>
      <c r="GZ302" s="72">
        <f>IF(ISERROR(((GX302/GN302)^0.2-1)*100),"NA",IF((((GX302/GN302)^0.2-1)*100)&gt;100,"NM",IF((((GX302/GN302)^0.2-1)*100)&lt;-50,"NM",((GX302/GN302)^0.2-1)*100)))</f>
        <v>4.9106649004007519</v>
      </c>
      <c r="HA302" s="72"/>
      <c r="HB302" s="72"/>
      <c r="HC302"/>
      <c r="HD302"/>
      <c r="HE302"/>
      <c r="HF302"/>
      <c r="HG302"/>
      <c r="HH302"/>
      <c r="HI302" s="2"/>
    </row>
    <row r="303" spans="1:217" s="3" customFormat="1" ht="12.75" customHeight="1" x14ac:dyDescent="0.2">
      <c r="A303" s="3" t="s">
        <v>363</v>
      </c>
      <c r="B303" s="70" t="s">
        <v>435</v>
      </c>
      <c r="C303" s="91"/>
      <c r="D303" s="72"/>
      <c r="E303" s="91"/>
      <c r="F303" s="72"/>
      <c r="G303" s="91"/>
      <c r="H303" s="72"/>
      <c r="I303" s="91"/>
      <c r="J303" s="72"/>
      <c r="K303" s="91">
        <f>+K301+K302</f>
        <v>370</v>
      </c>
      <c r="L303" s="87" t="str">
        <f>IF(ISERROR(K303/C303),"NA",IF(OR(K303/C303&gt;2,K303/C303&lt;0.5),"NM",K303/C303*100-100))</f>
        <v>NA</v>
      </c>
      <c r="M303" s="91">
        <f>+M301+M302</f>
        <v>359</v>
      </c>
      <c r="N303" s="87" t="str">
        <f>IF(ISERROR(M303/E303),"NA",IF(OR(M303/E303&gt;2,M303/E303&lt;0.5),"NM",M303/E303*100-100))</f>
        <v>NA</v>
      </c>
      <c r="O303" s="91">
        <f>+O301+O302</f>
        <v>360</v>
      </c>
      <c r="P303" s="87" t="str">
        <f>IF(ISERROR(O303/G303),"NA",IF(OR(O303/G303&gt;2,O303/G303&lt;0.5),"NM",O303/G303*100-100))</f>
        <v>NA</v>
      </c>
      <c r="Q303" s="91">
        <f>+Q301+Q302</f>
        <v>373</v>
      </c>
      <c r="R303" s="87" t="str">
        <f>IF(ISERROR(Q303/I303),"NA",IF(OR(Q303/I303&gt;2,Q303/I303&lt;0.5),"NM",Q303/I303*100-100))</f>
        <v>NA</v>
      </c>
      <c r="S303" s="91">
        <f>+S301+S302</f>
        <v>346</v>
      </c>
      <c r="T303" s="87">
        <f>IF(ISERROR(S303/K303),"NA",IF(OR(S303/K303&gt;2,S303/K303&lt;0.5),"NM",S303/K303*100-100))</f>
        <v>-6.4864864864864842</v>
      </c>
      <c r="U303" s="91">
        <f>+U301+U302</f>
        <v>337</v>
      </c>
      <c r="V303" s="87">
        <f>IF(ISERROR(U303/M303),"NA",IF(OR(U303/M303&gt;2,U303/M303&lt;0.5),"NM",U303/M303*100-100))</f>
        <v>-6.1281337047353759</v>
      </c>
      <c r="W303" s="91">
        <f>+W301+W302</f>
        <v>317</v>
      </c>
      <c r="X303" s="87">
        <f>IF(ISERROR(W303/O303),"NA",IF(OR(W303/O303&gt;2,W303/O303&lt;0.5),"NM",W303/O303*100-100))</f>
        <v>-11.944444444444443</v>
      </c>
      <c r="Y303" s="91">
        <f>+Y301+Y302</f>
        <v>325</v>
      </c>
      <c r="Z303" s="87">
        <f>IF(ISERROR(Y303/Q303),"NA",IF(OR(Y303/Q303&gt;2,Y303/Q303&lt;0.5),"NM",Y303/Q303*100-100))</f>
        <v>-12.868632707774793</v>
      </c>
      <c r="AA303" s="91">
        <f>+AA301+AA302</f>
        <v>305</v>
      </c>
      <c r="AB303" s="87">
        <f>IF(ISERROR(AA303/S303),"NA",IF(OR(AA303/S303&gt;2,AA303/S303&lt;0.5),"NM",AA303/S303*100-100))</f>
        <v>-11.849710982658962</v>
      </c>
      <c r="AC303" s="91">
        <f>+AC301+AC302</f>
        <v>335</v>
      </c>
      <c r="AD303" s="87">
        <f>IF(ISERROR(AC303/U303),"NA",IF(OR(AC303/U303&gt;2,AC303/U303&lt;0.5),"NM",AC303/U303*100-100))</f>
        <v>-0.59347181008901373</v>
      </c>
      <c r="AE303" s="91">
        <f>+AE301+AE302</f>
        <v>342</v>
      </c>
      <c r="AF303" s="87">
        <f>IF(ISERROR(AE303/W303),"NA",IF(OR(AE303/W303&gt;2,AE303/W303&lt;0.5),"NM",AE303/W303*100-100))</f>
        <v>7.886435331230274</v>
      </c>
      <c r="AG303" s="91">
        <f>+AG301+AG302</f>
        <v>379</v>
      </c>
      <c r="AH303" s="87">
        <f>IF(ISERROR(AG303/Y303),"NA",IF(OR(AG303/Y303&gt;2,AG303/Y303&lt;0.5),"NM",AG303/Y303*100-100))</f>
        <v>16.615384615384613</v>
      </c>
      <c r="AI303" s="91">
        <f>+AI301+AI302</f>
        <v>347</v>
      </c>
      <c r="AJ303" s="87">
        <f>IF(ISERROR(AI303/AA303),"NA",IF(OR(AI303/AA303&gt;2,AI303/AA303&lt;0.5),"NM",AI303/AA303*100-100))</f>
        <v>13.770491803278702</v>
      </c>
      <c r="AK303" s="91">
        <f>+AK301+AK302</f>
        <v>366</v>
      </c>
      <c r="AL303" s="87">
        <f>IF(ISERROR(AK303/AC303),"NA",IF(OR(AK303/AC303&gt;2,AK303/AC303&lt;0.5),"NM",AK303/AC303*100-100))</f>
        <v>9.2537313432835759</v>
      </c>
      <c r="AM303" s="91">
        <f>+AM301+AM302</f>
        <v>333</v>
      </c>
      <c r="AN303" s="87">
        <f>IF(ISERROR(AM303/AE303),"NA",IF(OR(AM303/AE303&gt;2,AM303/AE303&lt;0.5),"NM",AM303/AE303*100-100))</f>
        <v>-2.6315789473684248</v>
      </c>
      <c r="AO303" s="91">
        <f>+AO301+AO302</f>
        <v>418</v>
      </c>
      <c r="AP303" s="87">
        <f>IF(ISERROR(AO303/AG303),"NA",IF(OR(AO303/AG303&gt;2,AO303/AG303&lt;0.5),"NM",AO303/AG303*100-100))</f>
        <v>10.290237467018471</v>
      </c>
      <c r="AQ303" s="91">
        <f>+AQ301+AQ302</f>
        <v>418</v>
      </c>
      <c r="AR303" s="87">
        <f>IF(ISERROR(AQ303/AI303),"NA",IF(OR(AQ303/AI303&gt;2,AQ303/AI303&lt;0.5),"NM",AQ303/AI303*100-100))</f>
        <v>20.461095100864554</v>
      </c>
      <c r="AS303" s="91">
        <f>+AS301+AS302</f>
        <v>401</v>
      </c>
      <c r="AT303" s="87">
        <f>IF(ISERROR(AS303/AK303),"NA",IF(OR(AS303/AK303&gt;2,AS303/AK303&lt;0.5),"NM",AS303/AK303*100-100))</f>
        <v>9.5628415300546408</v>
      </c>
      <c r="AU303" s="91">
        <f>+AU301+AU302</f>
        <v>441</v>
      </c>
      <c r="AV303" s="87">
        <f>IF(ISERROR(AU303/AM303),"NA",IF(OR(AU303/AM303&gt;2,AU303/AM303&lt;0.5),"NM",AU303/AM303*100-100))</f>
        <v>32.432432432432421</v>
      </c>
      <c r="AW303" s="91">
        <f>+AW301+AW302</f>
        <v>436</v>
      </c>
      <c r="AX303" s="87">
        <f>IF(ISERROR(AW303/AO303),"NA",IF(OR(AW303/AO303&gt;2,AW303/AO303&lt;0.5),"NM",AW303/AO303*100-100))</f>
        <v>4.3062200956937744</v>
      </c>
      <c r="AY303" s="91">
        <f>+AY301+AY302</f>
        <v>484</v>
      </c>
      <c r="AZ303" s="87">
        <f>IF(ISERROR(AY303/AQ303),"NA",IF(OR(AY303/AQ303&gt;2,AY303/AQ303&lt;0.5),"NM",AY303/AQ303*100-100))</f>
        <v>15.789473684210535</v>
      </c>
      <c r="BA303" s="91">
        <f>+BA301+BA302</f>
        <v>455</v>
      </c>
      <c r="BB303" s="87">
        <f>IF(ISERROR(BA303/AS303),"NA",IF(OR(BA303/AS303&gt;2,BA303/AS303&lt;0.5),"NM",BA303/AS303*100-100))</f>
        <v>13.466334164588531</v>
      </c>
      <c r="BC303" s="91">
        <f>+BC301+BC302</f>
        <v>440</v>
      </c>
      <c r="BD303" s="87">
        <f>IF(ISERROR(BC303/AU303),"NA",IF(OR(BC303/AU303&gt;2,BC303/AU303&lt;0.5),"NM",BC303/AU303*100-100))</f>
        <v>-0.22675736961451776</v>
      </c>
      <c r="BE303" s="91">
        <f>+BE301+BE302</f>
        <v>612</v>
      </c>
      <c r="BF303" s="87">
        <f>IF(ISERROR(BE303/AW303),"NA",IF(OR(BE303/AW303&gt;2,BE303/AW303&lt;0.5),"NM",BE303/AW303*100-100))</f>
        <v>40.366972477064223</v>
      </c>
      <c r="BG303" s="91">
        <f>+BG301+BG302</f>
        <v>545</v>
      </c>
      <c r="BH303" s="87">
        <f>IF(ISERROR(BG303/AY303),"NA",IF(OR(BG303/AY303&gt;2,BG303/AY303&lt;0.5),"NM",BG303/AY303*100-100))</f>
        <v>12.603305785123965</v>
      </c>
      <c r="BI303" s="91">
        <f>+BI301+BI302</f>
        <v>590</v>
      </c>
      <c r="BJ303" s="87">
        <f>IF(ISERROR(BI303/BA303),"NA",IF(OR(BI303/BA303&gt;2,BI303/BA303&lt;0.5),"NM",BI303/BA303*100-100))</f>
        <v>29.670329670329664</v>
      </c>
      <c r="BK303" s="91">
        <f>+BK301+BK302</f>
        <v>558</v>
      </c>
      <c r="BL303" s="87">
        <f>IF(ISERROR(BK303/BC303),"NA",IF(OR(BK303/BC303&gt;2,BK303/BC303&lt;0.5),"NM",BK303/BC303*100-100))</f>
        <v>26.818181818181813</v>
      </c>
      <c r="BM303" s="91">
        <f>+BM301+BM302</f>
        <v>626</v>
      </c>
      <c r="BN303" s="87">
        <f>IF(ISERROR(BM303/BE303),"NA",IF(OR(BM303/BE303&gt;2,BM303/BE303&lt;0.5),"NM",BM303/BE303*100-100))</f>
        <v>2.28758169934639</v>
      </c>
      <c r="BO303" s="91">
        <f>+BO301+BO302</f>
        <v>548</v>
      </c>
      <c r="BP303" s="87">
        <f>IF(ISERROR(BO303/BG303),"NA",IF(OR(BO303/BG303&gt;2,BO303/BG303&lt;0.5),"NM",BO303/BG303*100-100))</f>
        <v>0.55045871559633497</v>
      </c>
      <c r="BQ303" s="91">
        <f>+BQ301+BQ302</f>
        <v>564</v>
      </c>
      <c r="BR303" s="87">
        <f>IF(ISERROR(BQ303/BI303),"NA",IF(OR(BQ303/BI303&gt;2,BQ303/BI303&lt;0.5),"NM",BQ303/BI303*100-100))</f>
        <v>-4.406779661016941</v>
      </c>
      <c r="BS303" s="91">
        <f>+BS301+BS302</f>
        <v>345</v>
      </c>
      <c r="BT303" s="87">
        <f>IF(ISERROR(BS303/BK303),"NA",IF(OR(BS303/BK303&gt;2,BS303/BK303&lt;0.5),"NM",BS303/BK303*100-100))</f>
        <v>-38.172043010752688</v>
      </c>
      <c r="BU303" s="91">
        <f>+BU301+BU302</f>
        <v>229</v>
      </c>
      <c r="BV303" s="87" t="str">
        <f>IF(ISERROR(BU303/BM303),"NA",IF(OR(BU303/BM303&gt;2,BU303/BM303&lt;0.5),"NM",BU303/BM303*100-100))</f>
        <v>NM</v>
      </c>
      <c r="BW303" s="91">
        <f>+BW301+BW302</f>
        <v>263</v>
      </c>
      <c r="BX303" s="72" t="str">
        <f>IF(ISERROR(BW303/BO303),"NA",IF(OR(BW303/BO303&gt;2,BW303/BO303&lt;0.5),"NM",BW303/BO303*100-100))</f>
        <v>NM</v>
      </c>
      <c r="BY303" s="91">
        <f>+BY301+BY302</f>
        <v>342</v>
      </c>
      <c r="BZ303" s="72">
        <f>IF(ISERROR(BY303/BQ303),"NA",IF(OR(BY303/BQ303&gt;2,BY303/BQ303&lt;0.5),"NM",BY303/BQ303*100-100))</f>
        <v>-39.361702127659569</v>
      </c>
      <c r="CA303" s="91">
        <f>+CA301+CA302</f>
        <v>291</v>
      </c>
      <c r="CB303" s="72">
        <f>IF(ISERROR(CA303/BS303),"NA",IF(OR(CA303/BS303&gt;2,CA303/BS303&lt;0.5),"NM",CA303/BS303*100-100))</f>
        <v>-15.65217391304347</v>
      </c>
      <c r="CC303" s="91">
        <f>+CC301+CC302</f>
        <v>361</v>
      </c>
      <c r="CD303" s="72">
        <f>IF(ISERROR(CC303/BU303),"NA",IF(OR(CC303/BU303&gt;2,CC303/BU303&lt;0.5),"NM",CC303/BU303*100-100))</f>
        <v>57.641921397379917</v>
      </c>
      <c r="CE303" s="91">
        <f>+CE301+CE302</f>
        <v>379</v>
      </c>
      <c r="CF303" s="72">
        <f>IF(ISERROR(CE303/BW303),"NA",IF(OR(CE303/BW303&gt;2,CE303/BW303&lt;0.5),"NM",CE303/BW303*100-100))</f>
        <v>44.106463878326991</v>
      </c>
      <c r="CG303" s="91">
        <f>+CG301+CG302</f>
        <v>494</v>
      </c>
      <c r="CH303" s="72">
        <f>IF(ISERROR(CG303/BY303),"NA",IF(OR(CG303/BY303&gt;2,CG303/BY303&lt;0.5),"NM",CG303/BY303*100-100))</f>
        <v>44.444444444444429</v>
      </c>
      <c r="CI303" s="91">
        <f>+CI301+CI302</f>
        <v>493</v>
      </c>
      <c r="CJ303" s="72">
        <f>IF(ISERROR(CI303/CA303),"NA",IF(OR(CI303/CA303&gt;2,CI303/CA303&lt;0.5),"NM",CI303/CA303*100-100))</f>
        <v>69.415807560137466</v>
      </c>
      <c r="CK303" s="91">
        <f>+CK301+CK302</f>
        <v>522</v>
      </c>
      <c r="CL303" s="72">
        <f>IF(ISERROR(CK303/CC303),"NA",IF(OR(CK303/CC303&gt;2,CK303/CC303&lt;0.5),"NM",CK303/CC303*100-100))</f>
        <v>44.5983379501385</v>
      </c>
      <c r="CM303" s="91">
        <f>+CM301+CM302</f>
        <v>548</v>
      </c>
      <c r="CN303" s="72">
        <f>IF(ISERROR(CM303/CE303),"NA",IF(OR(CM303/CE303&gt;2,CM303/CE303&lt;0.5),"NM",CM303/CE303*100-100))</f>
        <v>44.5910290237467</v>
      </c>
      <c r="CO303" s="91">
        <f>+CO301+CO302</f>
        <v>656</v>
      </c>
      <c r="CP303" s="72">
        <f>IF(ISERROR(CO303/CG303),"NA",IF(OR(CO303/CG303&gt;2,CO303/CG303&lt;0.5),"NM",CO303/CG303*100-100))</f>
        <v>32.793522267206498</v>
      </c>
      <c r="CQ303" s="91">
        <f>+CQ301+CQ302</f>
        <v>513</v>
      </c>
      <c r="CR303" s="72">
        <f>IF(ISERROR(CQ303/CI303),"NA",IF(OR(CQ303/CI303&gt;2,CQ303/CI303&lt;0.5),"NM",CQ303/CI303*100-100))</f>
        <v>4.0567951318458455</v>
      </c>
      <c r="CS303" s="91">
        <f>+CS301+CS302</f>
        <v>713</v>
      </c>
      <c r="CT303" s="72">
        <f>IF(ISERROR(CS303/CK303),"NA",IF(OR(CS303/CK303&gt;2,CS303/CK303&lt;0.5),"NM",CS303/CK303*100-100))</f>
        <v>36.59003831417624</v>
      </c>
      <c r="CU303" s="91">
        <f>+CU301+CU302</f>
        <v>563</v>
      </c>
      <c r="CV303" s="72">
        <f>IF(ISERROR(CU303/CM303),"NA",IF(OR(CU303/CM303&gt;2,CU303/CM303&lt;0.5),"NM",CU303/CM303*100-100))</f>
        <v>2.7372262773722724</v>
      </c>
      <c r="CW303" s="91">
        <f>+CW301+CW302</f>
        <v>496</v>
      </c>
      <c r="CX303" s="72">
        <f>IF(ISERROR(CW303/CO303),"NA",IF(OR(CW303/CO303&gt;2,CW303/CO303&lt;0.5),"NM",CW303/CO303*100-100))</f>
        <v>-24.390243902439025</v>
      </c>
      <c r="CY303" s="91">
        <f>+CY301+CY302</f>
        <v>632</v>
      </c>
      <c r="CZ303" s="72">
        <f>IF(ISERROR(CY303/CQ303),"NA",IF(OR(CY303/CQ303&gt;2,CY303/CQ303&lt;0.5),"NM",CY303/CQ303*100-100))</f>
        <v>23.196881091617925</v>
      </c>
      <c r="DA303" s="91">
        <f>+DA301+DA302</f>
        <v>685</v>
      </c>
      <c r="DB303" s="72">
        <f>IF(ISERROR(DA303/CS303),"NA",IF(OR(DA303/CS303&gt;2,DA303/CS303&lt;0.5),"NM",DA303/CS303*100-100))</f>
        <v>-3.9270687237026607</v>
      </c>
      <c r="DC303" s="91">
        <f>+DC301+DC302</f>
        <v>642</v>
      </c>
      <c r="DD303" s="72">
        <f>IF(ISERROR(DC303/CU303),"NA",IF(OR(DC303/CU303&gt;2,DC303/CU303&lt;0.5),"NM",DC303/CU303*100-100))</f>
        <v>14.031971580817057</v>
      </c>
      <c r="DE303" s="91">
        <f>+DE301+DE302</f>
        <v>662</v>
      </c>
      <c r="DF303" s="72">
        <f>IF(ISERROR(DE303/CW303),"NA",IF(OR(DE303/CW303&gt;2,DE303/CW303&lt;0.5),"NM",DE303/CW303*100-100))</f>
        <v>33.467741935483872</v>
      </c>
      <c r="DG303" s="91">
        <f>+DG301+DG302</f>
        <v>649</v>
      </c>
      <c r="DH303" s="72">
        <f>IF(ISERROR(DG303/CY303),"NA",IF(OR(DG303/CY303&gt;2,DG303/CY303&lt;0.5),"NM",DG303/CY303*100-100))</f>
        <v>2.6898734177215147</v>
      </c>
      <c r="DI303" s="91">
        <f>+DI301+DI302</f>
        <v>725</v>
      </c>
      <c r="DJ303" s="72">
        <f>IF(ISERROR(DI303/DA303),"NA",IF(OR(DI303/DA303&gt;2,DI303/DA303&lt;0.5),"NM",DI303/DA303*100-100))</f>
        <v>5.8394160583941499</v>
      </c>
      <c r="DK303" s="91">
        <f>+DK301+DK302</f>
        <v>667</v>
      </c>
      <c r="DL303" s="72">
        <f>IF(ISERROR(DK303/DC303),"NA",IF(OR(DK303/DC303&gt;2,DK303/DC303&lt;0.5),"NM",DK303/DC303*100-100))</f>
        <v>3.8940809968847248</v>
      </c>
      <c r="DM303" s="91">
        <f>+DM301+DM302</f>
        <v>713</v>
      </c>
      <c r="DN303" s="72">
        <f t="shared" si="1755"/>
        <v>7.7039274924471215</v>
      </c>
      <c r="DO303" s="91">
        <f>+DO301+DO302</f>
        <v>721</v>
      </c>
      <c r="DP303" s="72">
        <f t="shared" si="1755"/>
        <v>11.093990755007695</v>
      </c>
      <c r="DQ303" s="91">
        <f>+DQ301+DQ302</f>
        <v>739</v>
      </c>
      <c r="DR303" s="72">
        <f t="shared" si="1755"/>
        <v>1.9310344827586192</v>
      </c>
      <c r="DS303" s="91">
        <f>+DS301+DS302</f>
        <v>733</v>
      </c>
      <c r="DT303" s="72">
        <f t="shared" si="1755"/>
        <v>9.8950524737631156</v>
      </c>
      <c r="DU303" s="91">
        <f>+DU301+DU302</f>
        <v>776</v>
      </c>
      <c r="DV303" s="72">
        <f t="shared" si="1755"/>
        <v>8.8359046283309937</v>
      </c>
      <c r="DW303" s="91">
        <f>+DW301+DW302</f>
        <v>704</v>
      </c>
      <c r="DX303" s="72">
        <f t="shared" si="1755"/>
        <v>-2.3578363384188634</v>
      </c>
      <c r="DY303" s="91">
        <f>+DY301+DY302</f>
        <v>731</v>
      </c>
      <c r="DZ303" s="72">
        <f t="shared" si="1755"/>
        <v>-1.082543978349122</v>
      </c>
      <c r="EA303" s="91">
        <f>+EA301+EA302</f>
        <v>706</v>
      </c>
      <c r="EB303" s="72">
        <f>IF(ISERROR(EA303/DS303),"NA",IF(OR(EA303/DS303&gt;2,EA303/DS303&lt;0.5),"NM",EA303/DS303*100-100))</f>
        <v>-3.6834924965893521</v>
      </c>
      <c r="EC303" s="91">
        <f>+EC301+EC302</f>
        <v>732</v>
      </c>
      <c r="ED303" s="72">
        <f>IF(ISERROR(EC303/DU303),"NA",IF(OR(EC303/DU303&gt;2,EC303/DU303&lt;0.5),"NM",EC303/DU303*100-100))</f>
        <v>-5.6701030927835063</v>
      </c>
      <c r="EE303" s="91">
        <f>+EE301+EE302</f>
        <v>750</v>
      </c>
      <c r="EF303" s="72">
        <f>IF(ISERROR(EE303/DW303),"NA",IF(OR(EE303/DW303&gt;2,EE303/DW303&lt;0.5),"NM",EE303/DW303*100-100))</f>
        <v>6.5340909090909207</v>
      </c>
      <c r="EG303" s="91">
        <f>+EG301+EG302</f>
        <v>773</v>
      </c>
      <c r="EH303" s="72">
        <f>IF(ISERROR(EG303/DY303),"NA",IF(OR(EG303/DY303&gt;2,EG303/DY303&lt;0.5),"NM",EG303/DY303*100-100))</f>
        <v>5.7455540355677073</v>
      </c>
      <c r="EI303" s="91">
        <f>+EI301+EI302</f>
        <v>756</v>
      </c>
      <c r="EJ303" s="72">
        <f>IF(ISERROR(EI303/EA303),"NA",IF(OR(EI303/EA303&gt;2,EI303/EA303&lt;0.5),"NM",EI303/EA303*100-100))</f>
        <v>7.082152974504254</v>
      </c>
      <c r="EK303" s="91">
        <f>+EK301+EK302</f>
        <v>787</v>
      </c>
      <c r="EL303" s="72">
        <f>IF(ISERROR(EK303/EC303),"NA",IF(OR(EK303/EC303&gt;2,EK303/EC303&lt;0.5),"NM",EK303/EC303*100-100))</f>
        <v>7.5136612021858014</v>
      </c>
      <c r="EM303" s="91">
        <f>+EM301+EM302</f>
        <v>827</v>
      </c>
      <c r="EN303" s="72">
        <f>IF(ISERROR(EM303/EE303),"NA",IF(OR(EM303/EE303&gt;2,EM303/EE303&lt;0.5),"NM",EM303/EE303*100-100))</f>
        <v>10.266666666666666</v>
      </c>
      <c r="EO303" s="91">
        <f>+EO301+EO302</f>
        <v>985</v>
      </c>
      <c r="EP303" s="72">
        <f>IF(ISERROR(EO303/EG303),"NA",IF(OR(EO303/EG303&gt;2,EO303/EG303&lt;0.5),"NM",EO303/EG303*100-100))</f>
        <v>27.425614489003891</v>
      </c>
      <c r="EQ303" s="91">
        <f t="shared" ref="EQ303" si="1769">+EQ301+EQ302</f>
        <v>892.19141300000024</v>
      </c>
      <c r="ER303" s="72">
        <f t="shared" si="1757"/>
        <v>18.014737169312212</v>
      </c>
      <c r="ES303" s="91">
        <f t="shared" ref="ES303" si="1770">+ES301+ES302</f>
        <v>890.10604140935789</v>
      </c>
      <c r="ET303" s="72">
        <f t="shared" si="1759"/>
        <v>13.101148844899342</v>
      </c>
      <c r="EU303" s="91">
        <f t="shared" ref="EU303" si="1771">+EU301+EU302</f>
        <v>903.22565911721199</v>
      </c>
      <c r="EV303" s="72">
        <f t="shared" si="1761"/>
        <v>9.2171292765673485</v>
      </c>
      <c r="EW303" s="91">
        <f t="shared" ref="EW303" si="1772">+EW301+EW302</f>
        <v>917.09833293099916</v>
      </c>
      <c r="EX303" s="72">
        <f t="shared" si="1763"/>
        <v>-6.8935702608122682</v>
      </c>
      <c r="EY303" s="72"/>
      <c r="EZ303" s="309"/>
      <c r="FA303" s="72"/>
      <c r="FB303" s="81"/>
      <c r="FC303" s="72"/>
      <c r="FD303" s="91">
        <f>+FD301+FD302</f>
        <v>1397</v>
      </c>
      <c r="FE303" s="87" t="str">
        <f>IF(ISERROR(FD303/FB303),"NA",IF(OR(FD303/FB303&gt;2,FD303/FB303&lt;0.5),"NM",FD303/FB303*100-100))</f>
        <v>NA</v>
      </c>
      <c r="FF303" s="91">
        <f>+FF301+FF302</f>
        <v>1533</v>
      </c>
      <c r="FG303" s="87">
        <f>IF(ISERROR(FF303/FD303),"NA",IF(OR(FF303/FD303&gt;2,FF303/FD303&lt;0.5),"NM",FF303/FD303*100-100))</f>
        <v>9.7351467430207634</v>
      </c>
      <c r="FH303" s="91">
        <f>+FH301+FH302</f>
        <v>1462</v>
      </c>
      <c r="FI303" s="87">
        <f>IF(ISERROR(FH303/FF303),"NA",IF(OR(FH303/FF303&gt;2,FH303/FF303&lt;0.5),"NM",FH303/FF303*100-100))</f>
        <v>-4.6314416177429933</v>
      </c>
      <c r="FJ303" s="91">
        <f>+FJ301+FJ302</f>
        <v>1325</v>
      </c>
      <c r="FK303" s="87">
        <f>IF(ISERROR(FJ303/FH303),"NA",IF(OR(FJ303/FH303&gt;2,FJ303/FH303&lt;0.5),"NM",FJ303/FH303*100-100))</f>
        <v>-9.3707250341997224</v>
      </c>
      <c r="FL303" s="91">
        <f>+FL301+FL302</f>
        <v>1361</v>
      </c>
      <c r="FM303" s="87">
        <f>IF(ISERROR(FL303/FJ303),"NA",IF(OR(FL303/FJ303&gt;2,FL303/FJ303&lt;0.5),"NM",FL303/FJ303*100-100))</f>
        <v>2.7169811320754746</v>
      </c>
      <c r="FN303" s="91">
        <f>+FN301+FN302</f>
        <v>1464</v>
      </c>
      <c r="FO303" s="87">
        <f>IF(ISERROR(FN303/FL303),"NA",IF(OR(FN303/FL303&gt;2,FN303/FL303&lt;0.5),"NM",FN303/FL303*100-100))</f>
        <v>7.5679647318148398</v>
      </c>
      <c r="FP303" s="91">
        <f>+FP301+FP302</f>
        <v>1696</v>
      </c>
      <c r="FQ303" s="87">
        <f>IF(ISERROR(FP303/FN303),"NA",IF(OR(FP303/FN303&gt;2,FP303/FN303&lt;0.5),"NM",FP303/FN303*100-100))</f>
        <v>15.846994535519116</v>
      </c>
      <c r="FR303" s="91">
        <f>+FR301+FR302</f>
        <v>1991</v>
      </c>
      <c r="FS303" s="87">
        <f>IF(ISERROR(FR303/FP303),"NA",IF(OR(FR303/FP303&gt;2,FR303/FP303&lt;0.5),"NM",FR303/FP303*100-100))</f>
        <v>17.393867924528308</v>
      </c>
      <c r="FT303" s="91">
        <f>+FT301+FT302</f>
        <v>2319</v>
      </c>
      <c r="FU303" s="87">
        <f>IF(ISERROR(FT303/FR303),"NA",IF(OR(FT303/FR303&gt;2,FT303/FR303&lt;0.5),"NM",FT303/FR303*100-100))</f>
        <v>16.474133601205423</v>
      </c>
      <c r="FV303" s="91">
        <f>+FV301+FV302</f>
        <v>1686</v>
      </c>
      <c r="FW303" s="72">
        <f>IF(ISERROR(FV303/FT303),"NA",IF(OR(FV303/FT303&gt;2,FV303/FT303&lt;0.5),"NM",FV303/FT303*100-100))</f>
        <v>-27.296248382923665</v>
      </c>
      <c r="FX303" s="91">
        <f>+FX301+FX302</f>
        <v>1257</v>
      </c>
      <c r="FY303" s="72">
        <f>IF(ISERROR(FX303/FV303),"NA",IF(OR(FX303/FV303&gt;2,FX303/FV303&lt;0.5),"NM",FX303/FV303*100-100))</f>
        <v>-25.444839857651246</v>
      </c>
      <c r="FZ303" s="91">
        <f>+FZ301+FZ302</f>
        <v>1888</v>
      </c>
      <c r="GA303" s="72">
        <f>IF(ISERROR(FZ303/FX303),"NA",IF(OR(FZ303/FX303&gt;2,FZ303/FX303&lt;0.5),"NM",FZ303/FX303*100-100))</f>
        <v>50.198886237072401</v>
      </c>
      <c r="GB303" s="91">
        <f>+GB301+GB302</f>
        <v>2430</v>
      </c>
      <c r="GC303" s="72">
        <f>IF(ISERROR(GB303/FZ303),"NA",IF(OR(GB303/FZ303&gt;2,GB303/FZ303&lt;0.5),"NM",GB303/FZ303*100-100))</f>
        <v>28.707627118644069</v>
      </c>
      <c r="GD303" s="91">
        <f>+GD301+GD302</f>
        <v>2376</v>
      </c>
      <c r="GE303" s="72">
        <f>IF(ISERROR(GD303/GB303),"NA",IF(OR(GD303/GB303&gt;2,GD303/GB303&lt;0.5),"NM",GD303/GB303*100-100))</f>
        <v>-2.2222222222222285</v>
      </c>
      <c r="GF303" s="91">
        <f>+GF301+GF302</f>
        <v>2678</v>
      </c>
      <c r="GG303" s="72">
        <f>IF(ISERROR(GF303/GD303),"NA",IF(OR(GF303/GD303&gt;2,GF303/GD303&lt;0.5),"NM",GF303/GD303*100-100))</f>
        <v>12.710437710437716</v>
      </c>
      <c r="GH303" s="91">
        <f>+GH301+GH302</f>
        <v>2840</v>
      </c>
      <c r="GI303" s="72">
        <f t="shared" si="1764"/>
        <v>6.0492905153099343</v>
      </c>
      <c r="GJ303" s="91">
        <f>+GJ301+GJ302</f>
        <v>2944</v>
      </c>
      <c r="GK303" s="72">
        <f t="shared" si="1764"/>
        <v>3.6619718309859053</v>
      </c>
      <c r="GL303" s="91">
        <f>+GL301+GL302</f>
        <v>2961</v>
      </c>
      <c r="GM303" s="72">
        <f t="shared" si="1764"/>
        <v>0.57744565217390686</v>
      </c>
      <c r="GN303" s="91">
        <f>+GN301+GN302</f>
        <v>3355</v>
      </c>
      <c r="GO303" s="72">
        <f t="shared" si="1764"/>
        <v>13.306315433975001</v>
      </c>
      <c r="GP303" s="91">
        <f>+GP301+GP302</f>
        <v>3602.6214464575692</v>
      </c>
      <c r="GQ303" s="72">
        <f t="shared" si="1764"/>
        <v>7.3806690449349901</v>
      </c>
      <c r="GR303" s="91">
        <f>+GR301+GR302</f>
        <v>3802.5381635773424</v>
      </c>
      <c r="GS303" s="72">
        <f t="shared" si="1764"/>
        <v>5.5492013271710761</v>
      </c>
      <c r="GT303" s="91">
        <f>+GT301+GT302</f>
        <v>3975.0776903217934</v>
      </c>
      <c r="GU303" s="72">
        <f t="shared" si="1764"/>
        <v>4.537483105288004</v>
      </c>
      <c r="GV303" s="91">
        <f>+GV301+GV302</f>
        <v>4147.1679847109872</v>
      </c>
      <c r="GW303" s="72">
        <f>IF(ISERROR(GV303/GT303),"NA",IF(OR(GV303/GT303&gt;2,GV303/GT303&lt;0.5),"NM",GV303/GT303*100-100))</f>
        <v>4.3292309684458701</v>
      </c>
      <c r="GX303" s="91">
        <f>+GX301+GX302</f>
        <v>4274.1564655856591</v>
      </c>
      <c r="GY303" s="72">
        <f>IF(ISERROR(GX303/GV303),"NA",IF(OR(GX303/GV303&gt;2,GX303/GV303&lt;0.5),"NM",GX303/GV303*100-100))</f>
        <v>3.0620529803188532</v>
      </c>
      <c r="GZ303" s="72">
        <f>IF(ISERROR(((GX303/GN303)^0.2-1)*100),"NA",IF((((GX303/GN303)^0.2-1)*100)&gt;100,"NM",IF((((GX303/GN303)^0.2-1)*100)&lt;-50,"NM",((GX303/GN303)^0.2-1)*100)))</f>
        <v>4.9618745701216049</v>
      </c>
      <c r="HA303" s="72"/>
      <c r="HB303" s="72"/>
      <c r="HC303"/>
      <c r="HD303"/>
      <c r="HE303"/>
      <c r="HF303"/>
      <c r="HG303"/>
      <c r="HH303"/>
      <c r="HI303" s="2"/>
    </row>
    <row r="304" spans="1:217" s="3" customFormat="1" ht="12.75" customHeight="1" x14ac:dyDescent="0.2">
      <c r="B304" s="10"/>
      <c r="C304" s="75"/>
      <c r="D304" s="72"/>
      <c r="E304" s="75"/>
      <c r="F304" s="72"/>
      <c r="G304" s="75"/>
      <c r="H304" s="72"/>
      <c r="I304" s="75"/>
      <c r="J304" s="72"/>
      <c r="K304" s="75"/>
      <c r="L304" s="87"/>
      <c r="M304" s="75"/>
      <c r="N304" s="87"/>
      <c r="O304" s="75"/>
      <c r="P304" s="87"/>
      <c r="Q304" s="75"/>
      <c r="R304" s="87"/>
      <c r="S304" s="75"/>
      <c r="T304" s="87"/>
      <c r="U304" s="75"/>
      <c r="V304" s="87"/>
      <c r="W304" s="75"/>
      <c r="X304" s="87"/>
      <c r="Y304" s="75"/>
      <c r="Z304" s="87"/>
      <c r="AA304" s="75"/>
      <c r="AB304" s="87"/>
      <c r="AC304" s="75"/>
      <c r="AD304" s="87"/>
      <c r="AE304" s="75"/>
      <c r="AF304" s="87"/>
      <c r="AG304" s="75"/>
      <c r="AH304" s="87"/>
      <c r="AI304" s="75"/>
      <c r="AJ304" s="87"/>
      <c r="AK304" s="75"/>
      <c r="AL304" s="87"/>
      <c r="AM304" s="75"/>
      <c r="AN304" s="87"/>
      <c r="AO304" s="75"/>
      <c r="AP304" s="87"/>
      <c r="AQ304" s="75"/>
      <c r="AR304" s="87"/>
      <c r="AS304" s="75"/>
      <c r="AT304" s="87"/>
      <c r="AU304" s="75"/>
      <c r="AV304" s="87"/>
      <c r="AW304" s="75"/>
      <c r="AX304" s="87"/>
      <c r="AY304" s="75"/>
      <c r="AZ304" s="87"/>
      <c r="BA304" s="75"/>
      <c r="BB304" s="87"/>
      <c r="BC304" s="75"/>
      <c r="BD304" s="87"/>
      <c r="BE304" s="75"/>
      <c r="BF304" s="87"/>
      <c r="BG304" s="75"/>
      <c r="BH304" s="87"/>
      <c r="BI304" s="75"/>
      <c r="BJ304" s="87"/>
      <c r="BK304" s="75"/>
      <c r="BL304" s="87"/>
      <c r="BM304" s="75"/>
      <c r="BN304" s="87"/>
      <c r="BO304" s="75"/>
      <c r="BP304" s="87"/>
      <c r="BQ304" s="75"/>
      <c r="BR304" s="87"/>
      <c r="BS304" s="75"/>
      <c r="BT304" s="87"/>
      <c r="BU304" s="75"/>
      <c r="BV304" s="87"/>
      <c r="BW304" s="75"/>
      <c r="BX304" s="72"/>
      <c r="BY304" s="75"/>
      <c r="BZ304" s="72"/>
      <c r="CA304" s="75"/>
      <c r="CB304" s="72"/>
      <c r="CC304" s="75"/>
      <c r="CD304" s="72"/>
      <c r="CE304" s="75"/>
      <c r="CF304" s="72"/>
      <c r="CG304" s="75"/>
      <c r="CH304" s="72"/>
      <c r="CI304" s="75"/>
      <c r="CJ304" s="72"/>
      <c r="CK304" s="75"/>
      <c r="CL304" s="72"/>
      <c r="CM304" s="75"/>
      <c r="CN304" s="72"/>
      <c r="CO304" s="75"/>
      <c r="CP304" s="72"/>
      <c r="CQ304" s="75"/>
      <c r="CR304" s="72"/>
      <c r="CS304" s="75"/>
      <c r="CT304" s="72"/>
      <c r="CU304" s="75"/>
      <c r="CV304" s="72"/>
      <c r="CW304" s="75"/>
      <c r="CX304" s="72"/>
      <c r="CY304" s="75"/>
      <c r="CZ304" s="72"/>
      <c r="DA304" s="75"/>
      <c r="DB304" s="72"/>
      <c r="DC304" s="75"/>
      <c r="DD304" s="72"/>
      <c r="DE304" s="75"/>
      <c r="DF304" s="72"/>
      <c r="DG304" s="75"/>
      <c r="DH304" s="72"/>
      <c r="DI304" s="75"/>
      <c r="DJ304" s="72"/>
      <c r="DK304" s="75"/>
      <c r="DL304" s="72"/>
      <c r="DM304" s="75"/>
      <c r="DN304" s="72"/>
      <c r="DO304" s="75"/>
      <c r="DP304" s="72"/>
      <c r="DQ304" s="75"/>
      <c r="DR304" s="72"/>
      <c r="DS304" s="75"/>
      <c r="DT304" s="72"/>
      <c r="DU304" s="75"/>
      <c r="DV304" s="72"/>
      <c r="DW304" s="75"/>
      <c r="DX304" s="72"/>
      <c r="DY304" s="75"/>
      <c r="DZ304" s="72"/>
      <c r="EA304" s="75"/>
      <c r="EB304" s="72"/>
      <c r="EC304" s="75"/>
      <c r="ED304" s="72"/>
      <c r="EE304" s="75"/>
      <c r="EF304" s="72"/>
      <c r="EG304" s="75"/>
      <c r="EH304" s="72"/>
      <c r="EI304" s="75"/>
      <c r="EJ304" s="72"/>
      <c r="EK304" s="75"/>
      <c r="EL304" s="72"/>
      <c r="EM304" s="75"/>
      <c r="EN304" s="72"/>
      <c r="EO304" s="75"/>
      <c r="EP304" s="72"/>
      <c r="EQ304" s="75"/>
      <c r="ER304" s="72"/>
      <c r="ES304" s="75"/>
      <c r="ET304" s="72"/>
      <c r="EU304" s="75"/>
      <c r="EV304" s="72"/>
      <c r="EW304" s="75"/>
      <c r="EX304" s="72"/>
      <c r="EY304" s="72"/>
      <c r="EZ304" s="309"/>
      <c r="FA304" s="72"/>
      <c r="FB304" s="81"/>
      <c r="FC304" s="72"/>
      <c r="FD304" s="81"/>
      <c r="FE304" s="87"/>
      <c r="FF304" s="81"/>
      <c r="FG304" s="87"/>
      <c r="FH304" s="81"/>
      <c r="FI304" s="87"/>
      <c r="FJ304" s="81"/>
      <c r="FK304" s="87"/>
      <c r="FL304" s="81"/>
      <c r="FM304" s="87"/>
      <c r="FN304" s="81"/>
      <c r="FO304" s="87"/>
      <c r="FP304" s="81"/>
      <c r="FQ304" s="87"/>
      <c r="FR304" s="75"/>
      <c r="FS304" s="87"/>
      <c r="FT304" s="75"/>
      <c r="FU304" s="87"/>
      <c r="FV304" s="75"/>
      <c r="FW304" s="72"/>
      <c r="FX304" s="75"/>
      <c r="FY304" s="72"/>
      <c r="FZ304" s="75"/>
      <c r="GA304" s="72"/>
      <c r="GB304" s="75"/>
      <c r="GC304" s="72"/>
      <c r="GD304" s="75"/>
      <c r="GE304" s="72"/>
      <c r="GF304" s="75"/>
      <c r="GG304" s="72"/>
      <c r="GH304" s="75"/>
      <c r="GI304" s="72"/>
      <c r="GJ304" s="75"/>
      <c r="GK304" s="72"/>
      <c r="GL304" s="75"/>
      <c r="GM304" s="72"/>
      <c r="GN304" s="75"/>
      <c r="GO304" s="72"/>
      <c r="GP304" s="75"/>
      <c r="GQ304" s="72"/>
      <c r="GR304" s="75"/>
      <c r="GS304" s="72"/>
      <c r="GT304" s="75"/>
      <c r="GU304" s="72"/>
      <c r="GV304" s="75"/>
      <c r="GW304" s="72"/>
      <c r="GX304" s="75"/>
      <c r="GY304" s="72"/>
      <c r="GZ304" s="72"/>
      <c r="HA304" s="72"/>
      <c r="HB304" s="72"/>
      <c r="HC304"/>
      <c r="HD304"/>
      <c r="HE304"/>
      <c r="HF304"/>
      <c r="HG304"/>
      <c r="HH304"/>
      <c r="HI304" s="2"/>
    </row>
    <row r="305" spans="1:217" s="3" customFormat="1" ht="12.75" customHeight="1" x14ac:dyDescent="0.2">
      <c r="B305" s="10" t="s">
        <v>341</v>
      </c>
      <c r="C305" s="73"/>
      <c r="D305" s="72"/>
      <c r="E305" s="73"/>
      <c r="F305" s="72"/>
      <c r="G305" s="73"/>
      <c r="H305" s="72"/>
      <c r="I305" s="73"/>
      <c r="J305" s="72"/>
      <c r="K305" s="73"/>
      <c r="L305" s="87"/>
      <c r="M305" s="73"/>
      <c r="N305" s="87"/>
      <c r="O305" s="73"/>
      <c r="P305" s="87"/>
      <c r="Q305" s="73"/>
      <c r="R305" s="87"/>
      <c r="S305" s="73"/>
      <c r="T305" s="87"/>
      <c r="U305" s="73"/>
      <c r="V305" s="87"/>
      <c r="W305" s="73"/>
      <c r="X305" s="87"/>
      <c r="Y305" s="73"/>
      <c r="Z305" s="87"/>
      <c r="AA305" s="73"/>
      <c r="AB305" s="87"/>
      <c r="AC305" s="73"/>
      <c r="AD305" s="87"/>
      <c r="AE305" s="73"/>
      <c r="AF305" s="87"/>
      <c r="AG305" s="73"/>
      <c r="AH305" s="87"/>
      <c r="AI305" s="73"/>
      <c r="AJ305" s="87"/>
      <c r="AK305" s="73"/>
      <c r="AL305" s="87"/>
      <c r="AM305" s="73"/>
      <c r="AN305" s="87"/>
      <c r="AO305" s="73"/>
      <c r="AP305" s="87"/>
      <c r="AQ305" s="73"/>
      <c r="AR305" s="87"/>
      <c r="AS305" s="73"/>
      <c r="AT305" s="87"/>
      <c r="AU305" s="73"/>
      <c r="AV305" s="87"/>
      <c r="AW305" s="73">
        <f>+AW302/AW298*0.4</f>
        <v>0.79510403916768668</v>
      </c>
      <c r="AX305" s="87" t="str">
        <f>IF(ISERROR(AW305/AO305),"NA",IF(OR(AW305/AO305&gt;2,AW305/AO305&lt;0.5),"NM",AW305/AO305*100-100))</f>
        <v>NA</v>
      </c>
      <c r="AY305" s="73">
        <f>+AY302/AY298*0.4</f>
        <v>0.84260355029585809</v>
      </c>
      <c r="AZ305" s="87" t="str">
        <f>IF(ISERROR(AY305/AQ305),"NA",IF(OR(AY305/AQ305&gt;2,AY305/AQ305&lt;0.5),"NM",AY305/AQ305*100-100))</f>
        <v>NA</v>
      </c>
      <c r="BA305" s="73">
        <f>+BA302/BA298*0.4</f>
        <v>0.78149100257069426</v>
      </c>
      <c r="BB305" s="87" t="str">
        <f>IF(ISERROR(BA305/AS305),"NA",IF(OR(BA305/AS305&gt;2,BA305/AS305&lt;0.5),"NM",BA305/AS305*100-100))</f>
        <v>NA</v>
      </c>
      <c r="BC305" s="73">
        <f>+BC302/BC298*0.4</f>
        <v>0.71696387745770473</v>
      </c>
      <c r="BD305" s="87" t="str">
        <f>IF(ISERROR(BC305/AU305),"NA",IF(OR(BC305/AU305&gt;2,BC305/AU305&lt;0.5),"NM",BC305/AU305*100-100))</f>
        <v>NA</v>
      </c>
      <c r="BE305" s="73">
        <f>+BE302/BE298*0.4</f>
        <v>0.98520452567449956</v>
      </c>
      <c r="BF305" s="87">
        <f>IF(ISERROR(BE305/AW305),"NA",IF(OR(BE305/AW305&gt;2,BE305/AW305&lt;0.5),"NM",BE305/AW305*100-100))</f>
        <v>23.908882000625951</v>
      </c>
      <c r="BG305" s="73">
        <f>+BG302/BG298*0.4</f>
        <v>0.83991683991683996</v>
      </c>
      <c r="BH305" s="87">
        <f>IF(ISERROR(BG305/AY305),"NA",IF(OR(BG305/AY305&gt;2,BG305/AY305&lt;0.5),"NM",BG305/AY305*100-100))</f>
        <v>-0.31885818402672328</v>
      </c>
      <c r="BI305" s="73">
        <f>+BI302/BI298*0.4</f>
        <v>0.84734202607823483</v>
      </c>
      <c r="BJ305" s="87">
        <f>IF(ISERROR(BI305/BA305),"NA",IF(OR(BI305/BA305&gt;2,BI305/BA305&lt;0.5),"NM",BI305/BA305*100-100))</f>
        <v>8.426331626458321</v>
      </c>
      <c r="BK305" s="73">
        <f>+BK302/BK298*0.4</f>
        <v>0.80328189099433489</v>
      </c>
      <c r="BL305" s="87">
        <f>IF(ISERROR(BK305/BC305),"NA",IF(OR(BK305/BC305&gt;2,BK305/BC305&lt;0.5),"NM",BK305/BC305*100-100))</f>
        <v>12.039381097232791</v>
      </c>
      <c r="BM305" s="73">
        <f>+BM302/BM298*0.4</f>
        <v>0.85276073619631898</v>
      </c>
      <c r="BN305" s="87">
        <f>IF(ISERROR(BM305/BE305),"NA",IF(OR(BM305/BE305&gt;2,BM305/BE305&lt;0.5),"NM",BM305/BE305*100-100))</f>
        <v>-13.443278631663375</v>
      </c>
      <c r="BO305" s="73">
        <f>+BO302/BO298*0.4</f>
        <v>0.73526011560693649</v>
      </c>
      <c r="BP305" s="87">
        <f>IF(ISERROR(BO305/BG305),"NA",IF(OR(BO305/BG305&gt;2,BO305/BG305&lt;0.5),"NM",BO305/BG305*100-100))</f>
        <v>-12.460367424025634</v>
      </c>
      <c r="BQ305" s="73">
        <f>+BQ302/BQ298*0.4</f>
        <v>0.72055427251732107</v>
      </c>
      <c r="BR305" s="87">
        <f>IF(ISERROR(BQ305/BI305),"NA",IF(OR(BQ305/BI305&gt;2,BQ305/BI305&lt;0.5),"NM",BQ305/BI305*100-100))</f>
        <v>-14.962996010917493</v>
      </c>
      <c r="BS305" s="73">
        <f>+BS302/BS298*0.4</f>
        <v>0.56481663071190435</v>
      </c>
      <c r="BT305" s="87">
        <f>IF(ISERROR(BS305/BK305),"NA",IF(OR(BS305/BK305&gt;2,BS305/BK305&lt;0.5),"NM",BS305/BK305*100-100))</f>
        <v>-29.68637323408953</v>
      </c>
      <c r="BU305" s="73">
        <f>+BU302/BU298*0.4</f>
        <v>0.50468883205456105</v>
      </c>
      <c r="BV305" s="87">
        <f>IF(ISERROR(BU305/BM305),"NA",IF(OR(BU305/BM305&gt;2,BU305/BM305&lt;0.5),"NM",BU305/BM305*100-100))</f>
        <v>-40.817065018062259</v>
      </c>
      <c r="BW305" s="73">
        <f>+BW302/BW298*0.4</f>
        <v>0.46143282215609988</v>
      </c>
      <c r="BX305" s="72">
        <f>IF(ISERROR(BW305/BO305),"NA",IF(OR(BW305/BO305&gt;2,BW305/BO305&lt;0.5),"NM",BW305/BO305*100-100))</f>
        <v>-37.242234093549321</v>
      </c>
      <c r="BY305" s="73">
        <f>+BY302/BY298*0.4</f>
        <v>0.55381866904868249</v>
      </c>
      <c r="BZ305" s="72">
        <f>IF(ISERROR(BY305/BQ305),"NA",IF(OR(BY305/BQ305&gt;2,BY305/BQ305&lt;0.5),"NM",BY305/BQ305*100-100))</f>
        <v>-23.139909071128358</v>
      </c>
      <c r="CA305" s="73">
        <f>+CA302/CA298*0.4</f>
        <v>0.45113392024017201</v>
      </c>
      <c r="CB305" s="72">
        <f>IF(ISERROR(CA305/BS305),"NA",IF(OR(CA305/BS305&gt;2,CA305/BS305&lt;0.5),"NM",CA305/BS305*100-100))</f>
        <v>-20.127365996366777</v>
      </c>
      <c r="CC305" s="73">
        <f>+CC302/CC298*0.4</f>
        <v>0.49176629821791107</v>
      </c>
      <c r="CD305" s="72">
        <f>IF(ISERROR(CC305/BU305),"NA",IF(OR(CC305/BU305&gt;2,CC305/BU305&lt;0.5),"NM",CC305/BU305*100-100))</f>
        <v>-2.560495302430823</v>
      </c>
      <c r="CE305" s="73">
        <f>+CE302/CE298*0.4</f>
        <v>0.51101194760328206</v>
      </c>
      <c r="CF305" s="72">
        <f>IF(ISERROR(CE305/BW305),"NA",IF(OR(CE305/BW305&gt;2,CE305/BW305&lt;0.5),"NM",CE305/BW305*100-100))</f>
        <v>10.744603128905709</v>
      </c>
      <c r="CG305" s="73">
        <f>+CG302/CG298*0.4</f>
        <v>0.65005417118093178</v>
      </c>
      <c r="CH305" s="72">
        <f>IF(ISERROR(CG305/BY305),"NA",IF(OR(CG305/BY305&gt;2,CG305/BY305&lt;0.5),"NM",CG305/BY305*100-100))</f>
        <v>17.376716876944045</v>
      </c>
      <c r="CI305" s="73">
        <f>+CI302/CI298*0.4</f>
        <v>0.6141983515022601</v>
      </c>
      <c r="CJ305" s="72">
        <f>IF(ISERROR(CI305/CA305),"NA",IF(OR(CI305/CA305&gt;2,CI305/CA305&lt;0.5),"NM",CI305/CA305*100-100))</f>
        <v>36.145460127510887</v>
      </c>
      <c r="CK305" s="73">
        <f>+CK302/CK298*0.4</f>
        <v>0.5979718275128687</v>
      </c>
      <c r="CL305" s="72">
        <f>IF(ISERROR(CK305/CC305),"NA",IF(OR(CK305/CC305&gt;2,CK305/CC305&lt;0.5),"NM",CK305/CC305*100-100))</f>
        <v>21.596748227731524</v>
      </c>
      <c r="CM305" s="73">
        <f>+CM302/CM298*0.4</f>
        <v>0.5795619193727094</v>
      </c>
      <c r="CN305" s="72">
        <f>IF(ISERROR(CM305/CE305),"NA",IF(OR(CM305/CE305&gt;2,CM305/CE305&lt;0.5),"NM",CM305/CE305*100-100))</f>
        <v>13.414553630484832</v>
      </c>
      <c r="CO305" s="73">
        <f>+CO302/CO298*0.4</f>
        <v>0.66889990620393958</v>
      </c>
      <c r="CP305" s="72">
        <f>IF(ISERROR(CO305/CG305),"NA",IF(OR(CO305/CG305&gt;2,CO305/CG305&lt;0.5),"NM",CO305/CG305*100-100))</f>
        <v>2.899102237706046</v>
      </c>
      <c r="CQ305" s="73">
        <f>+CQ302/CQ298*0.4</f>
        <v>0.52153299091268279</v>
      </c>
      <c r="CR305" s="72">
        <f>IF(ISERROR(CQ305/CI305),"NA",IF(OR(CQ305/CI305&gt;2,CQ305/CI305&lt;0.5),"NM",CQ305/CI305*100-100))</f>
        <v>-15.08720437997404</v>
      </c>
      <c r="CS305" s="73">
        <f>+CS302/CS298*0.4</f>
        <v>0.70597382402488007</v>
      </c>
      <c r="CT305" s="72">
        <f>IF(ISERROR(CS305/CK305),"NA",IF(OR(CS305/CK305&gt;2,CS305/CK305&lt;0.5),"NM",CS305/CK305*100-100))</f>
        <v>18.061385427006101</v>
      </c>
      <c r="CU305" s="73">
        <f>(CU302/(CU298*1000))*400</f>
        <v>0.53845195064190443</v>
      </c>
      <c r="CV305" s="72">
        <f>IF(ISERROR(CU305/CM305),"NA",IF(OR(CU305/CM305&gt;2,CU305/CM305&lt;0.5),"NM",CU305/CM305*100-100))</f>
        <v>-7.0932832811549247</v>
      </c>
      <c r="CW305" s="73">
        <f>(CW302/(CW298*1000))*400</f>
        <v>0.46244441773825257</v>
      </c>
      <c r="CX305" s="72">
        <f>IF(ISERROR(CW305/CO305),"NA",IF(OR(CW305/CO305&gt;2,CW305/CO305&lt;0.5),"NM",CW305/CO305*100-100))</f>
        <v>-30.864930096542906</v>
      </c>
      <c r="CY305" s="73">
        <f>(CY302/(CY298*1000))*400</f>
        <v>0.5539107122042195</v>
      </c>
      <c r="CZ305" s="72">
        <f>IF(ISERROR(CY305/CQ305),"NA",IF(OR(CY305/CQ305&gt;2,CY305/CQ305&lt;0.5),"NM",CY305/CQ305*100-100))</f>
        <v>6.2081827718847933</v>
      </c>
      <c r="DA305" s="73">
        <f>(DA302/(DA298*1000))*400</f>
        <v>0.58826174949404086</v>
      </c>
      <c r="DB305" s="72">
        <f>IF(ISERROR(DA305/CS305),"NA",IF(OR(DA305/CS305&gt;2,DA305/CS305&lt;0.5),"NM",DA305/CS305*100-100))</f>
        <v>-16.673716577725514</v>
      </c>
      <c r="DC305" s="73">
        <f>(DC302/(DC298*1000))*400</f>
        <v>0.54296280182727852</v>
      </c>
      <c r="DD305" s="72">
        <f>IF(ISERROR(DC305/CU305),"NA",IF(OR(DC305/CU305&gt;2,DC305/CU305&lt;0.5),"NM",DC305/CU305*100-100))</f>
        <v>0.8377444226911166</v>
      </c>
      <c r="DE305" s="73">
        <f>(DE302/(DE298*1000))*400</f>
        <v>0.54725625998934457</v>
      </c>
      <c r="DF305" s="72">
        <f>IF(ISERROR(DE305/CW305),"NA",IF(OR(DE305/CW305&gt;2,DE305/CW305&lt;0.5),"NM",DE305/CW305*100-100))</f>
        <v>18.33989967181229</v>
      </c>
      <c r="DG305" s="73">
        <f>(DG302/(DG298*1000))*400</f>
        <v>0.52201061504839208</v>
      </c>
      <c r="DH305" s="72">
        <f>IF(ISERROR(DG305/CY305),"NA",IF(OR(DG305/CY305&gt;2,DG305/CY305&lt;0.5),"NM",DG305/CY305*100-100))</f>
        <v>-5.7590684659057985</v>
      </c>
      <c r="DI305" s="73">
        <f>(DI302/(DI298*1000))*400</f>
        <v>0.55739668596526237</v>
      </c>
      <c r="DJ305" s="72">
        <f>IF(ISERROR(DI305/DA305),"NA",IF(OR(DI305/DA305&gt;2,DI305/DA305&lt;0.5),"NM",DI305/DA305*100-100))</f>
        <v>-5.2468248284586423</v>
      </c>
      <c r="DK305" s="73">
        <f>(DK302/(DK298*1000))*400</f>
        <v>0.49580722891566259</v>
      </c>
      <c r="DL305" s="72">
        <f>IF(ISERROR(DK305/DC305),"NA",IF(OR(DK305/DC305&gt;2,DK305/DC305&lt;0.5),"NM",DK305/DC305*100-100))</f>
        <v>-8.6848625270311857</v>
      </c>
      <c r="DM305" s="73">
        <f>(DM302/(DM298*1000))*400</f>
        <v>0.51632158179444121</v>
      </c>
      <c r="DN305" s="72">
        <f>IF(ISERROR(DM305/DE305),"NA",IF(OR(DM305/DE305&gt;2,DM305/DE305&lt;0.5),"NM",DM305/DE305*100-100))</f>
        <v>-5.6526860369775704</v>
      </c>
      <c r="DO305" s="73">
        <f>(DO302/(DO298*1000))*400</f>
        <v>0.4972497249724972</v>
      </c>
      <c r="DP305" s="72">
        <f>IF(ISERROR(DO305/DG305),"NA",IF(OR(DO305/DG305&gt;2,DO305/DG305&lt;0.5),"NM",DO305/DG305*100-100))</f>
        <v>-4.7433690737494771</v>
      </c>
      <c r="DQ305" s="73">
        <f>(DQ302/(DQ298*1000))*400</f>
        <v>0.514275322785961</v>
      </c>
      <c r="DR305" s="72">
        <f>IF(ISERROR(DQ305/DI305),"NA",IF(OR(DQ305/DI305&gt;2,DQ305/DI305&lt;0.5),"NM",DQ305/DI305*100-100))</f>
        <v>-7.7362073125043196</v>
      </c>
      <c r="DS305" s="73">
        <f>(DS302/(DS298*1000))*400</f>
        <v>0.49885502906464674</v>
      </c>
      <c r="DT305" s="72">
        <f>IF(ISERROR(DS305/DK305),"NA",IF(OR(DS305/DK305&gt;2,DS305/DK305&lt;0.5),"NM",DS305/DK305*100-100))</f>
        <v>0.61471474622298672</v>
      </c>
      <c r="DU305" s="73">
        <f>(DU302/(DU298*1000))*400</f>
        <v>0.51074109222672748</v>
      </c>
      <c r="DV305" s="72">
        <f>IF(ISERROR(DU305/DM305),"NA",IF(OR(DU305/DM305&gt;2,DU305/DM305&lt;0.5),"NM",DU305/DM305*100-100))</f>
        <v>-1.0808166391803979</v>
      </c>
      <c r="DW305" s="73">
        <f>(DW302/(DW298*1000))*400</f>
        <v>0.47599164926931087</v>
      </c>
      <c r="DX305" s="72">
        <f>IF(ISERROR(DW305/DO305),"NA",IF(OR(DW305/DO305&gt;2,DW305/DO305&lt;0.5),"NM",DW305/DO305*100-100))</f>
        <v>-4.2751307111053904</v>
      </c>
      <c r="DY305" s="73">
        <f>(DY302/(DY298*1000))*400</f>
        <v>0.48503719079743979</v>
      </c>
      <c r="DZ305" s="72">
        <f>IF(ISERROR(DY305/DQ305),"NA",IF(OR(DY305/DQ305&gt;2,DY305/DQ305&lt;0.5),"NM",DY305/DQ305*100-100))</f>
        <v>-5.685307206678857</v>
      </c>
      <c r="EA305" s="73">
        <f>(EA302/(EA298*1000))*400</f>
        <v>0.46306579168769962</v>
      </c>
      <c r="EB305" s="72">
        <f>IF(ISERROR(EA305/DS305),"NA",IF(OR(EA305/DS305&gt;2,EA305/DS305&lt;0.5),"NM",EA305/DS305*100-100))</f>
        <v>-7.1742761507390185</v>
      </c>
      <c r="EC305" s="73">
        <f>(EC302/(EC298*1000))*400</f>
        <v>0.46373967786771297</v>
      </c>
      <c r="ED305" s="72">
        <f>IF(ISERROR(EC305/DU305),"NA",IF(OR(EC305/DU305&gt;2,EC305/DU305&lt;0.5),"NM",EC305/DU305*100-100))</f>
        <v>-9.2025911120833968</v>
      </c>
      <c r="EE305" s="73">
        <f>(EE302/(EE298*1000))*400</f>
        <v>0.45837905627841341</v>
      </c>
      <c r="EF305" s="72">
        <f>IF(ISERROR(EE305/DW305),"NA",IF(OR(EE305/DW305&gt;2,EE305/DW305&lt;0.5),"NM",EE305/DW305*100-100))</f>
        <v>-3.7001894923859169</v>
      </c>
      <c r="EG305" s="73">
        <f>(EG302/(EG298*1000))*400</f>
        <v>0.46495832046928048</v>
      </c>
      <c r="EH305" s="72">
        <f>IF(ISERROR(EG305/DY305),"NA",IF(OR(EG305/DY305&gt;2,EG305/DY305&lt;0.5),"NM",EG305/DY305*100-100))</f>
        <v>-4.1396558262157299</v>
      </c>
      <c r="EI305" s="73">
        <f>(EI302/(EI298*1000))*400</f>
        <v>0.44434215573456065</v>
      </c>
      <c r="EJ305" s="72">
        <f>IF(ISERROR(EI305/EA305),"NA",IF(OR(EI305/EA305&gt;2,EI305/EA305&lt;0.5),"NM",EI305/EA305*100-100))</f>
        <v>-4.043407284502365</v>
      </c>
      <c r="EK305" s="73">
        <f>(EK302/(EK298*1000))*400</f>
        <v>0.44273907910271532</v>
      </c>
      <c r="EL305" s="72">
        <f>IF(ISERROR(EK305/EC305),"NA",IF(OR(EK305/EC305&gt;2,EK305/EC305&lt;0.5),"NM",EK305/EC305*100-100))</f>
        <v>-4.5285317964507499</v>
      </c>
      <c r="EM305" s="73">
        <f>(EM302/(EM298*1000))*400</f>
        <v>0.43782787466326362</v>
      </c>
      <c r="EN305" s="72">
        <f>IF(ISERROR(EM305/EE305),"NA",IF(OR(EM305/EE305&gt;2,EM305/EE305&lt;0.5),"NM",EM305/EE305*100-100))</f>
        <v>-4.4834469057127393</v>
      </c>
      <c r="EO305" s="73">
        <f>(EO302/(EO298*1000))*400</f>
        <v>0.51689258927957038</v>
      </c>
      <c r="EP305" s="72">
        <f>IF(ISERROR(EO305/EG305),"NA",IF(OR(EO305/EG305&gt;2,EO305/EG305&lt;0.5),"NM",EO305/EG305*100-100))</f>
        <v>11.16966113389968</v>
      </c>
      <c r="EQ305" s="71">
        <v>0.46</v>
      </c>
      <c r="ER305" s="72">
        <f t="shared" ref="ER305" si="1773">IF(ISERROR(EQ305/EI305),"NA",IF(OR(EQ305/EI305&gt;2,EQ305/EI305&lt;0.5),"NM",EQ305/EI305*100-100))</f>
        <v>3.5238259668508647</v>
      </c>
      <c r="ES305" s="71">
        <f>EQ305-0.005</f>
        <v>0.45500000000000002</v>
      </c>
      <c r="ET305" s="72">
        <f t="shared" ref="ET305" si="1774">IF(ISERROR(ES305/EK305),"NA",IF(OR(ES305/EK305&gt;2,ES305/EK305&lt;0.5),"NM",ES305/EK305*100-100))</f>
        <v>2.7693333333333783</v>
      </c>
      <c r="EU305" s="71">
        <f>ES305</f>
        <v>0.45500000000000002</v>
      </c>
      <c r="EV305" s="72">
        <f t="shared" ref="EV305" si="1775">IF(ISERROR(EU305/EM305),"NA",IF(OR(EU305/EM305&gt;2,EU305/EM305&lt;0.5),"NM",EU305/EM305*100-100))</f>
        <v>3.9221178756477286</v>
      </c>
      <c r="EW305" s="71">
        <f>EU305</f>
        <v>0.45500000000000002</v>
      </c>
      <c r="EX305" s="72">
        <f t="shared" ref="EX305" si="1776">IF(ISERROR(EW305/EO305),"NA",IF(OR(EW305/EO305&gt;2,EW305/EO305&lt;0.5),"NM",EW305/EO305*100-100))</f>
        <v>-11.973974973375888</v>
      </c>
      <c r="EY305" s="72"/>
      <c r="EZ305" s="309"/>
      <c r="FA305" s="72"/>
      <c r="FB305" s="81"/>
      <c r="FC305" s="72"/>
      <c r="FD305" s="86"/>
      <c r="FE305" s="87"/>
      <c r="FF305" s="86"/>
      <c r="FG305" s="87"/>
      <c r="FH305" s="73"/>
      <c r="FI305" s="87"/>
      <c r="FJ305" s="73"/>
      <c r="FK305" s="87"/>
      <c r="FL305" s="73"/>
      <c r="FM305" s="87"/>
      <c r="FN305" s="73"/>
      <c r="FO305" s="87"/>
      <c r="FP305" s="73">
        <f>+FP302/FP298*0.1</f>
        <v>0.76416906820365038</v>
      </c>
      <c r="FQ305" s="87" t="str">
        <f>IF(ISERROR(FP305/FN305),"NA",IF(OR(FP305/FN305&gt;2,FP305/FN305&lt;0.5),"NM",FP305/FN305*100-100))</f>
        <v>NA</v>
      </c>
      <c r="FR305" s="73">
        <f>+FR302/FR298*0.1</f>
        <v>0.82027027027027044</v>
      </c>
      <c r="FS305" s="87">
        <f>IF(ISERROR(FR305/FP305),"NA",IF(OR(FR305/FP305&gt;2,FR305/FP305&lt;0.5),"NM",FR305/FP305*100-100))</f>
        <v>7.3414646576180473</v>
      </c>
      <c r="FT305" s="73">
        <f>+FT302/FT298*0.1</f>
        <v>0.8432237369687251</v>
      </c>
      <c r="FU305" s="87">
        <f>IF(ISERROR(FT305/FR305),"NA",IF(OR(FT305/FR305&gt;2,FT305/FR305&lt;0.5),"NM",FT305/FR305*100-100))</f>
        <v>2.7982809484112749</v>
      </c>
      <c r="FV305" s="73">
        <f>+FV302/FV298*0.1</f>
        <v>0.65898332990327235</v>
      </c>
      <c r="FW305" s="72">
        <f>IF(ISERROR(FV305/FT305),"NA",IF(OR(FV305/FT305&gt;2,FV305/FT305&lt;0.5),"NM",FV305/FT305*100-100))</f>
        <v>-21.849528065679465</v>
      </c>
      <c r="FX305" s="73">
        <f>+FX302/FX298*0.1</f>
        <v>0.4708683021304067</v>
      </c>
      <c r="FY305" s="72">
        <f>IF(ISERROR(FX305/FV305),"NA",IF(OR(FX305/FV305&gt;2,FX305/FV305&lt;0.5),"NM",FX305/FV305*100-100))</f>
        <v>-28.546249842234673</v>
      </c>
      <c r="FZ305" s="73">
        <f>+FZ302/FZ298*0.1</f>
        <v>0.58014314794142752</v>
      </c>
      <c r="GA305" s="72">
        <f>IF(ISERROR(FZ305/FX305),"NA",IF(OR(FZ305/FX305&gt;2,FZ305/FX305&lt;0.5),"NM",FZ305/FX305*100-100))</f>
        <v>23.207093218340532</v>
      </c>
      <c r="GB305" s="73">
        <f>+GB302/GB298*0.1</f>
        <v>0.63506900533347999</v>
      </c>
      <c r="GC305" s="72">
        <f>IF(ISERROR(GB305/FZ305),"NA",IF(OR(GB305/FZ305&gt;2,GB305/FZ305&lt;0.5),"NM",GB305/FZ305*100-100))</f>
        <v>9.4676387348451243</v>
      </c>
      <c r="GD305" s="73">
        <f>+GD302/GD298*0.1</f>
        <v>0.53799644339063435</v>
      </c>
      <c r="GE305" s="72">
        <f>IF(ISERROR(GD305/GB305),"NA",IF(OR(GD305/GB305&gt;2,GD305/GB305&lt;0.5),"NM",GD305/GB305*100-100))</f>
        <v>-15.285356571900721</v>
      </c>
      <c r="GF305" s="73">
        <f>+GF302/GF298*0.1</f>
        <v>0.53710613598673296</v>
      </c>
      <c r="GG305" s="72">
        <f>IF(ISERROR(GF305/GD305),"NA",IF(OR(GF305/GD305&gt;2,GF305/GD305&lt;0.5),"NM",GF305/GD305*100-100))</f>
        <v>-0.16548574155812901</v>
      </c>
      <c r="GH305" s="73">
        <f>+GH302/GH298*0.1</f>
        <v>0.50912494150678511</v>
      </c>
      <c r="GI305" s="72">
        <f t="shared" ref="GI305:GU305" si="1777">IF(ISERROR(GH305/GF305),"NA",IF(OR(GH305/GF305&gt;2,GH305/GF305&lt;0.5),"NM",GH305/GF305*100-100))</f>
        <v>-5.2096210795549354</v>
      </c>
      <c r="GJ305" s="73">
        <f>+GJ302/GJ298*0.1</f>
        <v>0.4959299781181617</v>
      </c>
      <c r="GK305" s="72">
        <f t="shared" si="1777"/>
        <v>-2.5916945552838371</v>
      </c>
      <c r="GL305" s="73">
        <f>+GL302/GL298*0.1</f>
        <v>0.46986871075593239</v>
      </c>
      <c r="GM305" s="72">
        <f t="shared" si="1777"/>
        <v>-5.2550296437252086</v>
      </c>
      <c r="GN305" s="73">
        <f>+GN302/GN298*0.1</f>
        <v>0.46513326031398317</v>
      </c>
      <c r="GO305" s="72">
        <f t="shared" si="1777"/>
        <v>-1.0078241716352494</v>
      </c>
      <c r="GP305" s="73">
        <f>+GP302/GP298*0.1</f>
        <v>0.45604960774047598</v>
      </c>
      <c r="GQ305" s="72">
        <f t="shared" si="1777"/>
        <v>-1.9529140030483632</v>
      </c>
      <c r="GR305" s="71">
        <f>GP305</f>
        <v>0.45604960774047598</v>
      </c>
      <c r="GS305" s="72">
        <f t="shared" si="1777"/>
        <v>0</v>
      </c>
      <c r="GT305" s="71">
        <f>GR305-0.005</f>
        <v>0.45104960774047598</v>
      </c>
      <c r="GU305" s="72">
        <f t="shared" si="1777"/>
        <v>-1.0963719549662159</v>
      </c>
      <c r="GV305" s="71">
        <f>GT305-0.005</f>
        <v>0.44604960774047597</v>
      </c>
      <c r="GW305" s="72">
        <f>IF(ISERROR(GV305/GT305),"NA",IF(OR(GV305/GT305&gt;2,GV305/GT305&lt;0.5),"NM",GV305/GT305*100-100))</f>
        <v>-1.1085255178576574</v>
      </c>
      <c r="GX305" s="71">
        <f>GV305-0.01</f>
        <v>0.43604960774047596</v>
      </c>
      <c r="GY305" s="72">
        <f>IF(ISERROR(GX305/GV305),"NA",IF(OR(GX305/GV305&gt;2,GX305/GV305&lt;0.5),"NM",GX305/GV305*100-100))</f>
        <v>-2.2419031037055106</v>
      </c>
      <c r="GZ305" s="72">
        <f>IF(ISERROR(((GX305/GN305)^0.2-1)*100),"NA",IF((((GX305/GN305)^0.2-1)*100)&gt;100,"NM",IF((((GX305/GN305)^0.2-1)*100)&lt;-50,"NM",((GX305/GN305)^0.2-1)*100)))</f>
        <v>-1.2830563356974523</v>
      </c>
      <c r="HA305" s="72"/>
      <c r="HB305" s="72"/>
      <c r="HC305"/>
      <c r="HD305"/>
      <c r="HE305"/>
      <c r="HF305"/>
      <c r="HG305"/>
      <c r="HH305"/>
      <c r="HI305" s="2"/>
    </row>
    <row r="306" spans="1:217" s="3" customFormat="1" ht="12.75" customHeight="1" collapsed="1" x14ac:dyDescent="0.2">
      <c r="B306" s="10"/>
      <c r="C306" s="75"/>
      <c r="D306" s="72"/>
      <c r="E306" s="75"/>
      <c r="F306" s="72"/>
      <c r="G306" s="75"/>
      <c r="H306" s="72"/>
      <c r="I306" s="75"/>
      <c r="J306" s="72"/>
      <c r="K306" s="75"/>
      <c r="L306" s="87"/>
      <c r="M306" s="75"/>
      <c r="N306" s="87"/>
      <c r="O306" s="75"/>
      <c r="P306" s="87"/>
      <c r="Q306" s="75"/>
      <c r="R306" s="87"/>
      <c r="S306" s="75"/>
      <c r="T306" s="87"/>
      <c r="U306" s="75"/>
      <c r="V306" s="87"/>
      <c r="W306" s="75"/>
      <c r="X306" s="87"/>
      <c r="Y306" s="75"/>
      <c r="Z306" s="87"/>
      <c r="AA306" s="75"/>
      <c r="AB306" s="87"/>
      <c r="AC306" s="75"/>
      <c r="AD306" s="87"/>
      <c r="AE306" s="75"/>
      <c r="AF306" s="87"/>
      <c r="AG306" s="75"/>
      <c r="AH306" s="87"/>
      <c r="AI306" s="75"/>
      <c r="AJ306" s="87"/>
      <c r="AK306" s="75"/>
      <c r="AL306" s="87"/>
      <c r="AM306" s="75"/>
      <c r="AN306" s="87"/>
      <c r="AO306" s="75"/>
      <c r="AP306" s="87"/>
      <c r="AQ306" s="75"/>
      <c r="AR306" s="87"/>
      <c r="AS306" s="75"/>
      <c r="AT306" s="87"/>
      <c r="AU306" s="75"/>
      <c r="AV306" s="87"/>
      <c r="AW306" s="75"/>
      <c r="AX306" s="87"/>
      <c r="AY306" s="75"/>
      <c r="AZ306" s="87"/>
      <c r="BA306" s="75"/>
      <c r="BB306" s="87"/>
      <c r="BC306" s="75"/>
      <c r="BD306" s="87"/>
      <c r="BE306" s="75"/>
      <c r="BF306" s="87"/>
      <c r="BG306" s="75"/>
      <c r="BH306" s="87"/>
      <c r="BI306" s="75"/>
      <c r="BJ306" s="87"/>
      <c r="BK306" s="75"/>
      <c r="BL306" s="87"/>
      <c r="BM306" s="75"/>
      <c r="BN306" s="87"/>
      <c r="BO306" s="75"/>
      <c r="BP306" s="87"/>
      <c r="BQ306" s="75"/>
      <c r="BR306" s="87"/>
      <c r="BS306" s="75"/>
      <c r="BT306" s="87"/>
      <c r="BU306" s="75"/>
      <c r="BV306" s="87"/>
      <c r="BW306" s="75"/>
      <c r="BX306" s="72"/>
      <c r="BY306" s="75"/>
      <c r="BZ306" s="72"/>
      <c r="CA306" s="75"/>
      <c r="CB306" s="72"/>
      <c r="CC306" s="75"/>
      <c r="CD306" s="72"/>
      <c r="CE306" s="75"/>
      <c r="CF306" s="72"/>
      <c r="CG306" s="75"/>
      <c r="CH306" s="72"/>
      <c r="CI306" s="75"/>
      <c r="CJ306" s="72"/>
      <c r="CK306" s="75"/>
      <c r="CL306" s="72"/>
      <c r="CM306" s="75"/>
      <c r="CN306" s="72"/>
      <c r="CO306" s="75"/>
      <c r="CP306" s="72"/>
      <c r="CQ306" s="75"/>
      <c r="CR306" s="72"/>
      <c r="CS306" s="75"/>
      <c r="CT306" s="72"/>
      <c r="CU306" s="75"/>
      <c r="CV306" s="72"/>
      <c r="CW306" s="75"/>
      <c r="CX306" s="72"/>
      <c r="CY306" s="75"/>
      <c r="CZ306" s="72"/>
      <c r="DA306" s="75"/>
      <c r="DB306" s="72"/>
      <c r="DC306" s="75"/>
      <c r="DD306" s="72"/>
      <c r="DE306" s="75"/>
      <c r="DF306" s="72"/>
      <c r="DG306" s="75"/>
      <c r="DH306" s="72"/>
      <c r="DI306" s="75"/>
      <c r="DJ306" s="72"/>
      <c r="DK306" s="75"/>
      <c r="DL306" s="72"/>
      <c r="DM306" s="75"/>
      <c r="DN306" s="72"/>
      <c r="DO306" s="75"/>
      <c r="DP306" s="72"/>
      <c r="DQ306" s="75"/>
      <c r="DR306" s="72"/>
      <c r="DS306" s="75"/>
      <c r="DT306" s="72"/>
      <c r="DU306" s="75"/>
      <c r="DV306" s="72"/>
      <c r="DW306" s="75"/>
      <c r="DX306" s="72"/>
      <c r="DY306" s="75"/>
      <c r="DZ306" s="72"/>
      <c r="EA306" s="75"/>
      <c r="EB306" s="72"/>
      <c r="EC306" s="75"/>
      <c r="ED306" s="72"/>
      <c r="EE306" s="75"/>
      <c r="EF306" s="72"/>
      <c r="EG306" s="75"/>
      <c r="EH306" s="72"/>
      <c r="EI306" s="75"/>
      <c r="EJ306" s="72"/>
      <c r="EK306" s="75"/>
      <c r="EL306" s="72"/>
      <c r="EM306" s="75"/>
      <c r="EN306" s="72"/>
      <c r="EO306" s="75"/>
      <c r="EP306" s="72"/>
      <c r="EQ306" s="75"/>
      <c r="ER306" s="72"/>
      <c r="ES306" s="75"/>
      <c r="ET306" s="72"/>
      <c r="EU306" s="75"/>
      <c r="EV306" s="72"/>
      <c r="EW306" s="75"/>
      <c r="EX306" s="72"/>
      <c r="EY306" s="72"/>
      <c r="EZ306" s="309"/>
      <c r="FA306" s="72"/>
      <c r="FB306" s="81"/>
      <c r="FC306" s="72"/>
      <c r="FD306" s="81"/>
      <c r="FE306" s="87"/>
      <c r="FF306" s="81"/>
      <c r="FG306" s="87"/>
      <c r="FH306" s="81"/>
      <c r="FI306" s="87"/>
      <c r="FJ306" s="81"/>
      <c r="FK306" s="87"/>
      <c r="FL306" s="81"/>
      <c r="FM306" s="87"/>
      <c r="FN306" s="81"/>
      <c r="FO306" s="87"/>
      <c r="FP306" s="81"/>
      <c r="FQ306" s="87"/>
      <c r="FR306" s="75"/>
      <c r="FS306" s="87"/>
      <c r="FT306" s="75"/>
      <c r="FU306" s="87"/>
      <c r="FV306" s="75"/>
      <c r="FW306" s="87"/>
      <c r="FX306" s="75"/>
      <c r="FY306" s="87"/>
      <c r="FZ306" s="75"/>
      <c r="GA306" s="87"/>
      <c r="GB306" s="216"/>
      <c r="GC306" s="216"/>
      <c r="GD306" s="216"/>
      <c r="GE306" s="216"/>
      <c r="GF306" s="216"/>
      <c r="GG306" s="787"/>
      <c r="GH306" s="216"/>
      <c r="GI306" s="787"/>
      <c r="GJ306" s="216"/>
      <c r="GK306" s="787"/>
      <c r="GL306" s="216"/>
      <c r="GM306" s="787"/>
      <c r="GN306" s="216"/>
      <c r="GO306" s="787"/>
      <c r="GP306" s="216"/>
      <c r="GQ306" s="787"/>
      <c r="GR306" s="75"/>
      <c r="GS306" s="787"/>
      <c r="GT306" s="75"/>
      <c r="GU306" s="787"/>
      <c r="GV306" s="75"/>
      <c r="GW306" s="787"/>
      <c r="GX306" s="75"/>
      <c r="GY306" s="787"/>
      <c r="GZ306" s="87"/>
      <c r="HA306" s="87"/>
      <c r="HB306" s="87"/>
      <c r="HC306"/>
      <c r="HD306"/>
      <c r="HE306"/>
      <c r="HF306"/>
      <c r="HG306"/>
      <c r="HH306"/>
      <c r="HI306" s="2"/>
    </row>
    <row r="307" spans="1:217" s="3" customFormat="1" ht="12.75" customHeight="1" x14ac:dyDescent="0.2">
      <c r="B307" s="70" t="s">
        <v>669</v>
      </c>
      <c r="C307" s="75"/>
      <c r="D307" s="72"/>
      <c r="E307" s="75"/>
      <c r="F307" s="72"/>
      <c r="G307" s="75"/>
      <c r="H307" s="72"/>
      <c r="I307" s="75"/>
      <c r="J307" s="72"/>
      <c r="K307" s="75"/>
      <c r="L307" s="87"/>
      <c r="M307" s="75"/>
      <c r="N307" s="87"/>
      <c r="O307" s="75"/>
      <c r="P307" s="87"/>
      <c r="Q307" s="75"/>
      <c r="R307" s="87"/>
      <c r="S307" s="75"/>
      <c r="T307" s="87"/>
      <c r="U307" s="75"/>
      <c r="V307" s="87"/>
      <c r="W307" s="75"/>
      <c r="X307" s="87"/>
      <c r="Y307" s="75"/>
      <c r="Z307" s="87"/>
      <c r="AA307" s="75"/>
      <c r="AB307" s="87"/>
      <c r="AC307" s="75"/>
      <c r="AD307" s="87"/>
      <c r="AE307" s="75"/>
      <c r="AF307" s="87"/>
      <c r="AG307" s="75"/>
      <c r="AH307" s="87"/>
      <c r="AI307" s="75"/>
      <c r="AJ307" s="87"/>
      <c r="AK307" s="75"/>
      <c r="AL307" s="87"/>
      <c r="AM307" s="75"/>
      <c r="AN307" s="87"/>
      <c r="AO307" s="75"/>
      <c r="AP307" s="87"/>
      <c r="AQ307" s="75"/>
      <c r="AR307" s="87"/>
      <c r="AS307" s="75"/>
      <c r="AT307" s="87"/>
      <c r="AU307" s="75"/>
      <c r="AV307" s="87"/>
      <c r="AW307" s="75"/>
      <c r="AX307" s="87"/>
      <c r="AY307" s="75"/>
      <c r="AZ307" s="87"/>
      <c r="BA307" s="75"/>
      <c r="BB307" s="87"/>
      <c r="BC307" s="75"/>
      <c r="BD307" s="87"/>
      <c r="BE307" s="75"/>
      <c r="BF307" s="87"/>
      <c r="BG307" s="75"/>
      <c r="BH307" s="87"/>
      <c r="BI307" s="75"/>
      <c r="BJ307" s="87"/>
      <c r="BK307" s="75"/>
      <c r="BL307" s="87"/>
      <c r="BM307" s="75"/>
      <c r="BN307" s="87"/>
      <c r="BO307" s="75"/>
      <c r="BP307" s="87"/>
      <c r="BQ307" s="75"/>
      <c r="BR307" s="87"/>
      <c r="BS307" s="75"/>
      <c r="BT307" s="87"/>
      <c r="BU307" s="75"/>
      <c r="BV307" s="87"/>
      <c r="BW307" s="75"/>
      <c r="BX307" s="72"/>
      <c r="BY307" s="75"/>
      <c r="BZ307" s="72"/>
      <c r="CA307" s="75"/>
      <c r="CB307" s="72"/>
      <c r="CC307" s="75"/>
      <c r="CD307" s="72"/>
      <c r="CE307" s="75"/>
      <c r="CF307" s="72"/>
      <c r="CG307" s="75"/>
      <c r="CH307" s="72"/>
      <c r="CI307" s="75"/>
      <c r="CJ307" s="72"/>
      <c r="CK307" s="75"/>
      <c r="CL307" s="72"/>
      <c r="CM307" s="75"/>
      <c r="CN307" s="72"/>
      <c r="CO307" s="75"/>
      <c r="CP307" s="72"/>
      <c r="CQ307" s="75"/>
      <c r="CR307" s="72"/>
      <c r="CS307" s="75"/>
      <c r="CT307" s="72"/>
      <c r="CU307" s="75"/>
      <c r="CV307" s="72"/>
      <c r="CW307" s="75"/>
      <c r="CX307" s="72"/>
      <c r="CY307" s="75"/>
      <c r="CZ307" s="72"/>
      <c r="DA307" s="75"/>
      <c r="DB307" s="72"/>
      <c r="DC307" s="75"/>
      <c r="DD307" s="72"/>
      <c r="DE307" s="75"/>
      <c r="DF307" s="72"/>
      <c r="DG307" s="75"/>
      <c r="DH307" s="72"/>
      <c r="DI307" s="75"/>
      <c r="DJ307" s="72"/>
      <c r="DK307" s="75"/>
      <c r="DL307" s="72"/>
      <c r="DM307" s="75"/>
      <c r="DN307" s="72"/>
      <c r="DO307" s="75"/>
      <c r="DP307" s="72"/>
      <c r="DQ307" s="75"/>
      <c r="DR307" s="72"/>
      <c r="DS307" s="75"/>
      <c r="DT307" s="72"/>
      <c r="DU307" s="75"/>
      <c r="DV307" s="72"/>
      <c r="DW307" s="75"/>
      <c r="DX307" s="72"/>
      <c r="DY307" s="75"/>
      <c r="DZ307" s="72"/>
      <c r="EA307" s="75"/>
      <c r="EB307" s="72"/>
      <c r="EC307" s="75"/>
      <c r="ED307" s="72"/>
      <c r="EE307" s="75"/>
      <c r="EF307" s="72"/>
      <c r="EG307" s="75"/>
      <c r="EH307" s="72"/>
      <c r="EI307" s="75"/>
      <c r="EJ307" s="72"/>
      <c r="EK307" s="75"/>
      <c r="EL307" s="72"/>
      <c r="EM307" s="75"/>
      <c r="EN307" s="72"/>
      <c r="EO307" s="75"/>
      <c r="EP307" s="72"/>
      <c r="EQ307" s="75"/>
      <c r="ER307" s="72"/>
      <c r="ES307" s="75"/>
      <c r="ET307" s="72"/>
      <c r="EU307" s="75"/>
      <c r="EV307" s="72"/>
      <c r="EW307" s="75"/>
      <c r="EX307" s="72"/>
      <c r="EY307" s="72"/>
      <c r="EZ307" s="309"/>
      <c r="FA307" s="72"/>
      <c r="FB307" s="81"/>
      <c r="FC307" s="72"/>
      <c r="FD307" s="81"/>
      <c r="FE307" s="87"/>
      <c r="FF307" s="81"/>
      <c r="FG307" s="87"/>
      <c r="FH307" s="81"/>
      <c r="FI307" s="87"/>
      <c r="FJ307" s="81"/>
      <c r="FK307" s="87"/>
      <c r="FL307" s="81"/>
      <c r="FM307" s="87"/>
      <c r="FN307" s="81"/>
      <c r="FO307" s="87"/>
      <c r="FP307" s="81"/>
      <c r="FQ307" s="87"/>
      <c r="FR307" s="75"/>
      <c r="FS307" s="87"/>
      <c r="FT307" s="75"/>
      <c r="FU307" s="87"/>
      <c r="FV307" s="75"/>
      <c r="FW307" s="87"/>
      <c r="FX307" s="75"/>
      <c r="FY307" s="87"/>
      <c r="FZ307" s="75"/>
      <c r="GA307" s="87"/>
      <c r="GB307" s="216"/>
      <c r="GC307" s="87"/>
      <c r="GD307" s="216"/>
      <c r="GE307" s="87"/>
      <c r="GF307" s="216"/>
      <c r="GG307" s="87"/>
      <c r="GH307" s="216"/>
      <c r="GI307" s="87"/>
      <c r="GJ307" s="216"/>
      <c r="GK307" s="87"/>
      <c r="GL307" s="216"/>
      <c r="GM307" s="87"/>
      <c r="GN307" s="216"/>
      <c r="GO307" s="87"/>
      <c r="GP307" s="216"/>
      <c r="GQ307" s="87"/>
      <c r="GR307" s="75"/>
      <c r="GS307" s="87"/>
      <c r="GT307" s="75"/>
      <c r="GU307" s="87"/>
      <c r="GV307" s="75"/>
      <c r="GW307" s="87"/>
      <c r="GX307" s="75"/>
      <c r="GY307" s="87"/>
      <c r="GZ307" s="87"/>
      <c r="HA307" s="87"/>
      <c r="HB307" s="87"/>
      <c r="HC307"/>
      <c r="HD307"/>
      <c r="HE307"/>
      <c r="HF307"/>
      <c r="HG307"/>
      <c r="HH307"/>
      <c r="HI307" s="2"/>
    </row>
    <row r="308" spans="1:217" s="3" customFormat="1" ht="12.75" customHeight="1" x14ac:dyDescent="0.2">
      <c r="B308" s="77" t="s">
        <v>271</v>
      </c>
      <c r="C308" s="74"/>
      <c r="D308" s="72"/>
      <c r="E308" s="74"/>
      <c r="F308" s="72"/>
      <c r="G308" s="74"/>
      <c r="H308" s="72"/>
      <c r="I308" s="74"/>
      <c r="J308" s="72"/>
      <c r="K308" s="74">
        <v>5</v>
      </c>
      <c r="L308" s="87" t="str">
        <f>IF(ISERROR(K308/C308),"NA",IF(OR(K308/C308&gt;2,K308/C308&lt;0.5),"NM",K308/C308*100-100))</f>
        <v>NA</v>
      </c>
      <c r="M308" s="74">
        <v>5</v>
      </c>
      <c r="N308" s="87" t="str">
        <f>IF(ISERROR(M308/E308),"NA",IF(OR(M308/E308&gt;2,M308/E308&lt;0.5),"NM",M308/E308*100-100))</f>
        <v>NA</v>
      </c>
      <c r="O308" s="74">
        <v>5</v>
      </c>
      <c r="P308" s="87" t="str">
        <f>IF(ISERROR(O308/G308),"NA",IF(OR(O308/G308&gt;2,O308/G308&lt;0.5),"NM",O308/G308*100-100))</f>
        <v>NA</v>
      </c>
      <c r="Q308" s="74">
        <v>4</v>
      </c>
      <c r="R308" s="87" t="str">
        <f>IF(ISERROR(Q308/I308),"NA",IF(OR(Q308/I308&gt;2,Q308/I308&lt;0.5),"NM",Q308/I308*100-100))</f>
        <v>NA</v>
      </c>
      <c r="S308" s="74">
        <v>2</v>
      </c>
      <c r="T308" s="87" t="str">
        <f>IF(ISERROR(S308/K308),"NA",IF(OR(S308/K308&gt;2,S308/K308&lt;0.5),"NM",S308/K308*100-100))</f>
        <v>NM</v>
      </c>
      <c r="U308" s="74">
        <v>3</v>
      </c>
      <c r="V308" s="87">
        <f>IF(ISERROR(U308/M308),"NA",IF(OR(U308/M308&gt;2,U308/M308&lt;0.5),"NM",U308/M308*100-100))</f>
        <v>-40</v>
      </c>
      <c r="W308" s="74">
        <v>4</v>
      </c>
      <c r="X308" s="87">
        <f>IF(ISERROR(W308/O308),"NA",IF(OR(W308/O308&gt;2,W308/O308&lt;0.5),"NM",W308/O308*100-100))</f>
        <v>-20</v>
      </c>
      <c r="Y308" s="74">
        <v>3</v>
      </c>
      <c r="Z308" s="87">
        <f>IF(ISERROR(Y308/Q308),"NA",IF(OR(Y308/Q308&gt;2,Y308/Q308&lt;0.5),"NM",Y308/Q308*100-100))</f>
        <v>-25</v>
      </c>
      <c r="AA308" s="74">
        <v>3</v>
      </c>
      <c r="AB308" s="87">
        <f>IF(ISERROR(AA308/S308),"NA",IF(OR(AA308/S308&gt;2,AA308/S308&lt;0.5),"NM",AA308/S308*100-100))</f>
        <v>50</v>
      </c>
      <c r="AC308" s="74">
        <v>4</v>
      </c>
      <c r="AD308" s="87">
        <f>IF(ISERROR(AC308/U308),"NA",IF(OR(AC308/U308&gt;2,AC308/U308&lt;0.5),"NM",AC308/U308*100-100))</f>
        <v>33.333333333333314</v>
      </c>
      <c r="AE308" s="74">
        <v>6</v>
      </c>
      <c r="AF308" s="87">
        <f>IF(ISERROR(AE308/W308),"NA",IF(OR(AE308/W308&gt;2,AE308/W308&lt;0.5),"NM",AE308/W308*100-100))</f>
        <v>50</v>
      </c>
      <c r="AG308" s="74">
        <v>3</v>
      </c>
      <c r="AH308" s="87">
        <f>IF(ISERROR(AG308/Y308),"NA",IF(OR(AG308/Y308&gt;2,AG308/Y308&lt;0.5),"NM",AG308/Y308*100-100))</f>
        <v>0</v>
      </c>
      <c r="AI308" s="74">
        <v>3</v>
      </c>
      <c r="AJ308" s="87">
        <f>IF(ISERROR(AI308/AA308),"NA",IF(OR(AI308/AA308&gt;2,AI308/AA308&lt;0.5),"NM",AI308/AA308*100-100))</f>
        <v>0</v>
      </c>
      <c r="AK308" s="74">
        <v>2</v>
      </c>
      <c r="AL308" s="87">
        <f>IF(ISERROR(AK308/AC308),"NA",IF(OR(AK308/AC308&gt;2,AK308/AC308&lt;0.5),"NM",AK308/AC308*100-100))</f>
        <v>-50</v>
      </c>
      <c r="AM308" s="74">
        <v>3</v>
      </c>
      <c r="AN308" s="87">
        <f>IF(ISERROR(AM308/AE308),"NA",IF(OR(AM308/AE308&gt;2,AM308/AE308&lt;0.5),"NM",AM308/AE308*100-100))</f>
        <v>-50</v>
      </c>
      <c r="AO308" s="74">
        <v>3</v>
      </c>
      <c r="AP308" s="87">
        <f>IF(ISERROR(AO308/AG308),"NA",IF(OR(AO308/AG308&gt;2,AO308/AG308&lt;0.5),"NM",AO308/AG308*100-100))</f>
        <v>0</v>
      </c>
      <c r="AQ308" s="74">
        <v>3</v>
      </c>
      <c r="AR308" s="87">
        <f>IF(ISERROR(AQ308/AI308),"NA",IF(OR(AQ308/AI308&gt;2,AQ308/AI308&lt;0.5),"NM",AQ308/AI308*100-100))</f>
        <v>0</v>
      </c>
      <c r="AS308" s="74">
        <v>4</v>
      </c>
      <c r="AT308" s="87">
        <f>IF(ISERROR(AS308/AK308),"NA",IF(OR(AS308/AK308&gt;2,AS308/AK308&lt;0.5),"NM",AS308/AK308*100-100))</f>
        <v>100</v>
      </c>
      <c r="AU308" s="74">
        <v>3</v>
      </c>
      <c r="AV308" s="87">
        <f>IF(ISERROR(AU308/AM308),"NA",IF(OR(AU308/AM308&gt;2,AU308/AM308&lt;0.5),"NM",AU308/AM308*100-100))</f>
        <v>0</v>
      </c>
      <c r="AW308" s="74">
        <v>6</v>
      </c>
      <c r="AX308" s="87">
        <f>IF(ISERROR(AW308/AO308),"NA",IF(OR(AW308/AO308&gt;2,AW308/AO308&lt;0.5),"NM",AW308/AO308*100-100))</f>
        <v>100</v>
      </c>
      <c r="AY308" s="74">
        <v>6</v>
      </c>
      <c r="AZ308" s="87">
        <f>IF(ISERROR(AY308/AQ308),"NA",IF(OR(AY308/AQ308&gt;2,AY308/AQ308&lt;0.5),"NM",AY308/AQ308*100-100))</f>
        <v>100</v>
      </c>
      <c r="BA308" s="74">
        <v>9</v>
      </c>
      <c r="BB308" s="87" t="str">
        <f>IF(ISERROR(BA308/AS308),"NA",IF(OR(BA308/AS308&gt;2,BA308/AS308&lt;0.5),"NM",BA308/AS308*100-100))</f>
        <v>NM</v>
      </c>
      <c r="BC308" s="74">
        <v>10</v>
      </c>
      <c r="BD308" s="87" t="str">
        <f>IF(ISERROR(BC308/AU308),"NA",IF(OR(BC308/AU308&gt;2,BC308/AU308&lt;0.5),"NM",BC308/AU308*100-100))</f>
        <v>NM</v>
      </c>
      <c r="BE308" s="74">
        <v>16</v>
      </c>
      <c r="BF308" s="87" t="str">
        <f>IF(ISERROR(BE308/AW308),"NA",IF(OR(BE308/AW308&gt;2,BE308/AW308&lt;0.5),"NM",BE308/AW308*100-100))</f>
        <v>NM</v>
      </c>
      <c r="BG308" s="74">
        <v>10</v>
      </c>
      <c r="BH308" s="87">
        <f>IF(ISERROR(BG308/AY308),"NA",IF(OR(BG308/AY308&gt;2,BG308/AY308&lt;0.5),"NM",BG308/AY308*100-100))</f>
        <v>66.666666666666686</v>
      </c>
      <c r="BI308" s="74">
        <v>14</v>
      </c>
      <c r="BJ308" s="87">
        <f>IF(ISERROR(BI308/BA308),"NA",IF(OR(BI308/BA308&gt;2,BI308/BA308&lt;0.5),"NM",BI308/BA308*100-100))</f>
        <v>55.555555555555571</v>
      </c>
      <c r="BK308" s="74">
        <v>19</v>
      </c>
      <c r="BL308" s="87">
        <f>IF(ISERROR(BK308/BC308),"NA",IF(OR(BK308/BC308&gt;2,BK308/BC308&lt;0.5),"NM",BK308/BC308*100-100))</f>
        <v>90</v>
      </c>
      <c r="BM308" s="74">
        <v>19</v>
      </c>
      <c r="BN308" s="87">
        <f>IF(ISERROR(BM308/BE308),"NA",IF(OR(BM308/BE308&gt;2,BM308/BE308&lt;0.5),"NM",BM308/BE308*100-100))</f>
        <v>18.75</v>
      </c>
      <c r="BO308" s="74">
        <v>22</v>
      </c>
      <c r="BP308" s="87" t="str">
        <f>IF(ISERROR(BO308/BG308),"NA",IF(OR(BO308/BG308&gt;2,BO308/BG308&lt;0.5),"NM",BO308/BG308*100-100))</f>
        <v>NM</v>
      </c>
      <c r="BQ308" s="74">
        <v>17</v>
      </c>
      <c r="BR308" s="87">
        <f>IF(ISERROR(BQ308/BI308),"NA",IF(OR(BQ308/BI308&gt;2,BQ308/BI308&lt;0.5),"NM",BQ308/BI308*100-100))</f>
        <v>21.428571428571416</v>
      </c>
      <c r="BS308" s="74">
        <v>20</v>
      </c>
      <c r="BT308" s="87">
        <f>IF(ISERROR(BS308/BK308),"NA",IF(OR(BS308/BK308&gt;2,BS308/BK308&lt;0.5),"NM",BS308/BK308*100-100))</f>
        <v>5.2631578947368354</v>
      </c>
      <c r="BU308" s="74">
        <v>19</v>
      </c>
      <c r="BV308" s="87">
        <f>IF(ISERROR(BU308/BM308),"NA",IF(OR(BU308/BM308&gt;2,BU308/BM308&lt;0.5),"NM",BU308/BM308*100-100))</f>
        <v>0</v>
      </c>
      <c r="BW308" s="74">
        <v>9</v>
      </c>
      <c r="BX308" s="72" t="str">
        <f>IF(ISERROR(BW308/BO308),"NA",IF(OR(BW308/BO308&gt;2,BW308/BO308&lt;0.5),"NM",BW308/BO308*100-100))</f>
        <v>NM</v>
      </c>
      <c r="BY308" s="74">
        <v>7</v>
      </c>
      <c r="BZ308" s="72" t="str">
        <f>IF(ISERROR(BY308/BQ308),"NA",IF(OR(BY308/BQ308&gt;2,BY308/BQ308&lt;0.5),"NM",BY308/BQ308*100-100))</f>
        <v>NM</v>
      </c>
      <c r="CA308" s="74">
        <v>6</v>
      </c>
      <c r="CB308" s="72" t="str">
        <f>IF(ISERROR(CA308/BS308),"NA",IF(OR(CA308/BS308&gt;2,CA308/BS308&lt;0.5),"NM",CA308/BS308*100-100))</f>
        <v>NM</v>
      </c>
      <c r="CC308" s="74">
        <v>4</v>
      </c>
      <c r="CD308" s="72" t="str">
        <f>IF(ISERROR(CC308/BU308),"NA",IF(OR(CC308/BU308&gt;2,CC308/BU308&lt;0.5),"NM",CC308/BU308*100-100))</f>
        <v>NM</v>
      </c>
      <c r="CE308" s="74">
        <v>3</v>
      </c>
      <c r="CF308" s="72" t="str">
        <f>IF(ISERROR(CE308/BW308),"NA",IF(OR(CE308/BW308&gt;2,CE308/BW308&lt;0.5),"NM",CE308/BW308*100-100))</f>
        <v>NM</v>
      </c>
      <c r="CG308" s="74">
        <v>4</v>
      </c>
      <c r="CH308" s="72">
        <f>IF(ISERROR(CG308/BY308),"NA",IF(OR(CG308/BY308&gt;2,CG308/BY308&lt;0.5),"NM",CG308/BY308*100-100))</f>
        <v>-42.857142857142861</v>
      </c>
      <c r="CI308" s="74">
        <v>3</v>
      </c>
      <c r="CJ308" s="72">
        <f>IF(ISERROR(CI308/CA308),"NA",IF(OR(CI308/CA308&gt;2,CI308/CA308&lt;0.5),"NM",CI308/CA308*100-100))</f>
        <v>-50</v>
      </c>
      <c r="CK308" s="74">
        <v>3</v>
      </c>
      <c r="CL308" s="72">
        <f>IF(ISERROR(CK308/CC308),"NA",IF(OR(CK308/CC308&gt;2,CK308/CC308&lt;0.5),"NM",CK308/CC308*100-100))</f>
        <v>-25</v>
      </c>
      <c r="CM308" s="74">
        <v>3</v>
      </c>
      <c r="CN308" s="72">
        <f>IF(ISERROR(CM308/CE308),"NA",IF(OR(CM308/CE308&gt;2,CM308/CE308&lt;0.5),"NM",CM308/CE308*100-100))</f>
        <v>0</v>
      </c>
      <c r="CO308" s="74">
        <v>4</v>
      </c>
      <c r="CP308" s="72">
        <f>IF(ISERROR(CO308/CG308),"NA",IF(OR(CO308/CG308&gt;2,CO308/CG308&lt;0.5),"NM",CO308/CG308*100-100))</f>
        <v>0</v>
      </c>
      <c r="CQ308" s="74">
        <v>3</v>
      </c>
      <c r="CR308" s="72">
        <f>IF(ISERROR(CQ308/CI308),"NA",IF(OR(CQ308/CI308&gt;2,CQ308/CI308&lt;0.5),"NM",CQ308/CI308*100-100))</f>
        <v>0</v>
      </c>
      <c r="CS308" s="74">
        <v>3</v>
      </c>
      <c r="CT308" s="72">
        <f>IF(ISERROR(CS308/CK308),"NA",IF(OR(CS308/CK308&gt;2,CS308/CK308&lt;0.5),"NM",CS308/CK308*100-100))</f>
        <v>0</v>
      </c>
      <c r="CU308" s="74">
        <v>3</v>
      </c>
      <c r="CV308" s="72">
        <f>IF(ISERROR(CU308/CM308),"NA",IF(OR(CU308/CM308&gt;2,CU308/CM308&lt;0.5),"NM",CU308/CM308*100-100))</f>
        <v>0</v>
      </c>
      <c r="CW308" s="74">
        <v>5</v>
      </c>
      <c r="CX308" s="72">
        <f>IF(ISERROR(CW308/CO308),"NA",IF(OR(CW308/CO308&gt;2,CW308/CO308&lt;0.5),"NM",CW308/CO308*100-100))</f>
        <v>25</v>
      </c>
      <c r="CY308" s="74">
        <v>3</v>
      </c>
      <c r="CZ308" s="72">
        <f>IF(ISERROR(CY308/CQ308),"NA",IF(OR(CY308/CQ308&gt;2,CY308/CQ308&lt;0.5),"NM",CY308/CQ308*100-100))</f>
        <v>0</v>
      </c>
      <c r="DA308" s="74">
        <v>4</v>
      </c>
      <c r="DB308" s="72">
        <f>IF(ISERROR(DA308/CS308),"NA",IF(OR(DA308/CS308&gt;2,DA308/CS308&lt;0.5),"NM",DA308/CS308*100-100))</f>
        <v>33.333333333333314</v>
      </c>
      <c r="DC308" s="74">
        <v>3</v>
      </c>
      <c r="DD308" s="72">
        <f>IF(ISERROR(DC308/CU308),"NA",IF(OR(DC308/CU308&gt;2,DC308/CU308&lt;0.5),"NM",DC308/CU308*100-100))</f>
        <v>0</v>
      </c>
      <c r="DE308" s="74">
        <v>3</v>
      </c>
      <c r="DF308" s="72">
        <f>IF(ISERROR(DE308/CW308),"NA",IF(OR(DE308/CW308&gt;2,DE308/CW308&lt;0.5),"NM",DE308/CW308*100-100))</f>
        <v>-40</v>
      </c>
      <c r="DG308" s="74">
        <v>2</v>
      </c>
      <c r="DH308" s="72">
        <f>IF(ISERROR(DG308/CY308),"NA",IF(OR(DG308/CY308&gt;2,DG308/CY308&lt;0.5),"NM",DG308/CY308*100-100))</f>
        <v>-33.333333333333343</v>
      </c>
      <c r="DI308" s="74">
        <v>3</v>
      </c>
      <c r="DJ308" s="72">
        <f>IF(ISERROR(DI308/DA308),"NA",IF(OR(DI308/DA308&gt;2,DI308/DA308&lt;0.5),"NM",DI308/DA308*100-100))</f>
        <v>-25</v>
      </c>
      <c r="DK308" s="74">
        <v>3</v>
      </c>
      <c r="DL308" s="72">
        <f>IF(ISERROR(DK308/DC308),"NA",IF(OR(DK308/DC308&gt;2,DK308/DC308&lt;0.5),"NM",DK308/DC308*100-100))</f>
        <v>0</v>
      </c>
      <c r="DM308" s="74">
        <v>3</v>
      </c>
      <c r="DN308" s="72">
        <f t="shared" ref="DN308:DZ311" si="1778">IF(ISERROR(DM308/DE308),"NA",IF(OR(DM308/DE308&gt;2,DM308/DE308&lt;0.5),"NM",DM308/DE308*100-100))</f>
        <v>0</v>
      </c>
      <c r="DO308" s="74">
        <v>2</v>
      </c>
      <c r="DP308" s="72">
        <f t="shared" si="1778"/>
        <v>0</v>
      </c>
      <c r="DQ308" s="74">
        <v>2</v>
      </c>
      <c r="DR308" s="72">
        <f t="shared" si="1778"/>
        <v>-33.333333333333343</v>
      </c>
      <c r="DS308" s="74">
        <v>2</v>
      </c>
      <c r="DT308" s="72">
        <f t="shared" si="1778"/>
        <v>-33.333333333333343</v>
      </c>
      <c r="DU308" s="74">
        <v>2</v>
      </c>
      <c r="DV308" s="72">
        <f t="shared" si="1778"/>
        <v>-33.333333333333343</v>
      </c>
      <c r="DW308" s="74">
        <v>3</v>
      </c>
      <c r="DX308" s="72">
        <f t="shared" si="1778"/>
        <v>50</v>
      </c>
      <c r="DY308" s="74">
        <v>3</v>
      </c>
      <c r="DZ308" s="72">
        <f t="shared" si="1778"/>
        <v>50</v>
      </c>
      <c r="EA308" s="74">
        <v>3</v>
      </c>
      <c r="EB308" s="72">
        <f>IF(ISERROR(EA308/DS308),"NA",IF(OR(EA308/DS308&gt;2,EA308/DS308&lt;0.5),"NM",EA308/DS308*100-100))</f>
        <v>50</v>
      </c>
      <c r="EC308" s="74">
        <v>4</v>
      </c>
      <c r="ED308" s="72">
        <f>IF(ISERROR(EC308/DU308),"NA",IF(OR(EC308/DU308&gt;2,EC308/DU308&lt;0.5),"NM",EC308/DU308*100-100))</f>
        <v>100</v>
      </c>
      <c r="EE308" s="74">
        <v>4</v>
      </c>
      <c r="EF308" s="72">
        <f>IF(ISERROR(EE308/DW308),"NA",IF(OR(EE308/DW308&gt;2,EE308/DW308&lt;0.5),"NM",EE308/DW308*100-100))</f>
        <v>33.333333333333314</v>
      </c>
      <c r="EG308" s="74">
        <v>4</v>
      </c>
      <c r="EH308" s="72">
        <f>IF(ISERROR(EG308/DY308),"NA",IF(OR(EG308/DY308&gt;2,EG308/DY308&lt;0.5),"NM",EG308/DY308*100-100))</f>
        <v>33.333333333333314</v>
      </c>
      <c r="EI308" s="74">
        <v>5</v>
      </c>
      <c r="EJ308" s="72">
        <f>IF(ISERROR(EI308/EA308),"NA",IF(OR(EI308/EA308&gt;2,EI308/EA308&lt;0.5),"NM",EI308/EA308*100-100))</f>
        <v>66.666666666666686</v>
      </c>
      <c r="EK308" s="74">
        <v>7</v>
      </c>
      <c r="EL308" s="72">
        <f>IF(ISERROR(EK308/EC308),"NA",IF(OR(EK308/EC308&gt;2,EK308/EC308&lt;0.5),"NM",EK308/EC308*100-100))</f>
        <v>75</v>
      </c>
      <c r="EM308" s="74">
        <v>7</v>
      </c>
      <c r="EN308" s="72">
        <f>IF(ISERROR(EM308/EE308),"NA",IF(OR(EM308/EE308&gt;2,EM308/EE308&lt;0.5),"NM",EM308/EE308*100-100))</f>
        <v>75</v>
      </c>
      <c r="EO308" s="74">
        <v>8</v>
      </c>
      <c r="EP308" s="72">
        <f>IF(ISERROR(EO308/EG308),"NA",IF(OR(EO308/EG308&gt;2,EO308/EG308&lt;0.5),"NM",EO308/EG308*100-100))</f>
        <v>100</v>
      </c>
      <c r="EQ308" s="74">
        <f>EO308*1.01</f>
        <v>8.08</v>
      </c>
      <c r="ER308" s="72">
        <f t="shared" ref="ER308:ER311" si="1779">IF(ISERROR(EQ308/EI308),"NA",IF(OR(EQ308/EI308&gt;2,EQ308/EI308&lt;0.5),"NM",EQ308/EI308*100-100))</f>
        <v>61.600000000000023</v>
      </c>
      <c r="ES308" s="74">
        <f>EQ308*1.01</f>
        <v>8.1608000000000001</v>
      </c>
      <c r="ET308" s="72">
        <f t="shared" ref="ET308:ET311" si="1780">IF(ISERROR(ES308/EK308),"NA",IF(OR(ES308/EK308&gt;2,ES308/EK308&lt;0.5),"NM",ES308/EK308*100-100))</f>
        <v>16.582857142857137</v>
      </c>
      <c r="EU308" s="74">
        <f>ES308*1.01</f>
        <v>8.2424079999999993</v>
      </c>
      <c r="EV308" s="72">
        <f t="shared" ref="EV308:EV311" si="1781">IF(ISERROR(EU308/EM308),"NA",IF(OR(EU308/EM308&gt;2,EU308/EM308&lt;0.5),"NM",EU308/EM308*100-100))</f>
        <v>17.748685714285699</v>
      </c>
      <c r="EW308" s="74">
        <f>EU308*1.01</f>
        <v>8.3248320800000002</v>
      </c>
      <c r="EX308" s="72">
        <f t="shared" ref="EX308:EX311" si="1782">IF(ISERROR(EW308/EO308),"NA",IF(OR(EW308/EO308&gt;2,EW308/EO308&lt;0.5),"NM",EW308/EO308*100-100))</f>
        <v>4.0604009999999988</v>
      </c>
      <c r="EY308" s="72"/>
      <c r="EZ308" s="309"/>
      <c r="FA308" s="72"/>
      <c r="FB308" s="81"/>
      <c r="FC308" s="72"/>
      <c r="FD308" s="74">
        <v>1</v>
      </c>
      <c r="FE308" s="87" t="str">
        <f>IF(ISERROR(FD308/FB308),"NA",IF(OR(FD308/FB308&gt;2,FD308/FB308&lt;0.5),"NM",FD308/FB308*100-100))</f>
        <v>NA</v>
      </c>
      <c r="FF308" s="74">
        <v>8</v>
      </c>
      <c r="FG308" s="87" t="str">
        <f>IF(ISERROR(FF308/FD308),"NA",IF(OR(FF308/FD308&gt;2,FF308/FD308&lt;0.5),"NM",FF308/FD308*100-100))</f>
        <v>NM</v>
      </c>
      <c r="FH308" s="75">
        <f>+K308+M308+O308+Q308</f>
        <v>19</v>
      </c>
      <c r="FI308" s="87" t="str">
        <f>IF(ISERROR(FH308/FF308),"NA",IF(OR(FH308/FF308&gt;2,FH308/FF308&lt;0.5),"NM",FH308/FF308*100-100))</f>
        <v>NM</v>
      </c>
      <c r="FJ308" s="75">
        <f>+S308+U308+W308+Y308</f>
        <v>12</v>
      </c>
      <c r="FK308" s="87">
        <f>IF(ISERROR(FJ308/FH308),"NA",IF(OR(FJ308/FH308&gt;2,FJ308/FH308&lt;0.5),"NM",FJ308/FH308*100-100))</f>
        <v>-36.842105263157897</v>
      </c>
      <c r="FL308" s="75">
        <f>AA308+AC308+AE308+AG308</f>
        <v>16</v>
      </c>
      <c r="FM308" s="87">
        <f>IF(ISERROR(FL308/FJ308),"NA",IF(OR(FL308/FJ308&gt;2,FL308/FJ308&lt;0.5),"NM",FL308/FJ308*100-100))</f>
        <v>33.333333333333314</v>
      </c>
      <c r="FN308" s="75">
        <f>AI308+AK308+AM308+AO308</f>
        <v>11</v>
      </c>
      <c r="FO308" s="87">
        <f>IF(ISERROR(FN308/FL308),"NA",IF(OR(FN308/FL308&gt;2,FN308/FL308&lt;0.5),"NM",FN308/FL308*100-100))</f>
        <v>-31.25</v>
      </c>
      <c r="FP308" s="75">
        <f>AQ308+AS308+AU308+AW308</f>
        <v>16</v>
      </c>
      <c r="FQ308" s="87">
        <f>IF(ISERROR(FP308/FN308),"NA",IF(OR(FP308/FN308&gt;2,FP308/FN308&lt;0.5),"NM",FP308/FN308*100-100))</f>
        <v>45.454545454545467</v>
      </c>
      <c r="FR308" s="75">
        <f>AY308+BA308+BC308+BE308</f>
        <v>41</v>
      </c>
      <c r="FS308" s="87" t="str">
        <f>IF(ISERROR(FR308/FP308),"NA",IF(OR(FR308/FP308&gt;2,FR308/FP308&lt;0.5),"NM",FR308/FP308*100-100))</f>
        <v>NM</v>
      </c>
      <c r="FT308" s="75">
        <f>BG308+BI308+BK308+BM308</f>
        <v>62</v>
      </c>
      <c r="FU308" s="87">
        <f>IF(ISERROR(FT308/FR308),"NA",IF(OR(FT308/FR308&gt;2,FT308/FR308&lt;0.5),"NM",FT308/FR308*100-100))</f>
        <v>51.219512195121951</v>
      </c>
      <c r="FV308" s="75">
        <f>BO308+BQ308+BS308+BU308</f>
        <v>78</v>
      </c>
      <c r="FW308" s="72">
        <f t="shared" ref="FW308:GG311" si="1783">IF(ISERROR(FV308/FT308),"NA",IF(OR(FV308/FT308&gt;2,FV308/FT308&lt;0.5),"NM",FV308/FT308*100-100))</f>
        <v>25.806451612903231</v>
      </c>
      <c r="FX308" s="75">
        <f>BW308+BY308+CA308+CC308</f>
        <v>26</v>
      </c>
      <c r="FY308" s="72" t="str">
        <f t="shared" si="1783"/>
        <v>NM</v>
      </c>
      <c r="FZ308" s="75">
        <f>CE308+CG308+CI308+CK308</f>
        <v>13</v>
      </c>
      <c r="GA308" s="72">
        <f t="shared" si="1783"/>
        <v>-50</v>
      </c>
      <c r="GB308" s="75">
        <f>CM308+CO308+CQ308+CS308</f>
        <v>13</v>
      </c>
      <c r="GC308" s="72">
        <f t="shared" si="1783"/>
        <v>0</v>
      </c>
      <c r="GD308" s="75">
        <f>CU308+CW308+CY308+DA308</f>
        <v>15</v>
      </c>
      <c r="GE308" s="72">
        <f t="shared" si="1783"/>
        <v>15.384615384615373</v>
      </c>
      <c r="GF308" s="75">
        <f>DC308+DE308+DG308+DI308</f>
        <v>11</v>
      </c>
      <c r="GG308" s="72">
        <f t="shared" si="1783"/>
        <v>-26.666666666666671</v>
      </c>
      <c r="GH308" s="75">
        <f>DK308+DM308+DO308+DQ308</f>
        <v>10</v>
      </c>
      <c r="GI308" s="72">
        <f t="shared" ref="GI308:GU311" si="1784">IF(ISERROR(GH308/GF308),"NA",IF(OR(GH308/GF308&gt;2,GH308/GF308&lt;0.5),"NM",GH308/GF308*100-100))</f>
        <v>-9.0909090909090935</v>
      </c>
      <c r="GJ308" s="75">
        <f>DS308+DU308+DW308+DY308</f>
        <v>10</v>
      </c>
      <c r="GK308" s="72">
        <f t="shared" si="1784"/>
        <v>0</v>
      </c>
      <c r="GL308" s="75">
        <f>EA308+EC308+EE308+EG308</f>
        <v>15</v>
      </c>
      <c r="GM308" s="72">
        <f t="shared" si="1784"/>
        <v>50</v>
      </c>
      <c r="GN308" s="75">
        <f>EI308+EK308+EM308+EO308</f>
        <v>27</v>
      </c>
      <c r="GO308" s="72">
        <f t="shared" si="1784"/>
        <v>80</v>
      </c>
      <c r="GP308" s="75">
        <f>EQ308+ES308+EU308+EW308</f>
        <v>32.808040079999998</v>
      </c>
      <c r="GQ308" s="72">
        <f t="shared" si="1784"/>
        <v>21.511259555555554</v>
      </c>
      <c r="GR308" s="74">
        <f>+GP308*1.09</f>
        <v>35.760763687199997</v>
      </c>
      <c r="GS308" s="72">
        <f t="shared" si="1784"/>
        <v>9.0000000000000142</v>
      </c>
      <c r="GT308" s="74">
        <f>+GR308*1.09</f>
        <v>38.979232419048003</v>
      </c>
      <c r="GU308" s="72">
        <f t="shared" si="1784"/>
        <v>9.0000000000000142</v>
      </c>
      <c r="GV308" s="74">
        <f>+GT308*1.09</f>
        <v>42.487363336762328</v>
      </c>
      <c r="GW308" s="72">
        <f>IF(ISERROR(GV308/GT308),"NA",IF(OR(GV308/GT308&gt;2,GV308/GT308&lt;0.5),"NM",GV308/GT308*100-100))</f>
        <v>9.0000000000000142</v>
      </c>
      <c r="GX308" s="74">
        <f>+GV308*1.09</f>
        <v>46.311226037070938</v>
      </c>
      <c r="GY308" s="72">
        <f>IF(ISERROR(GX308/GV308),"NA",IF(OR(GX308/GV308&gt;2,GX308/GV308&lt;0.5),"NM",GX308/GV308*100-100))</f>
        <v>9.0000000000000142</v>
      </c>
      <c r="GZ308" s="72">
        <f>IF(ISERROR(((GX308/GN308)^0.2-1)*100),"NA",IF((((GX308/GN308)^0.2-1)*100)&gt;100,"NM",IF((((GX308/GN308)^0.2-1)*100)&lt;-50,"NM",((GX308/GN308)^0.2-1)*100)))</f>
        <v>11.394693502207121</v>
      </c>
      <c r="HA308" s="72"/>
      <c r="HB308" s="72"/>
      <c r="HC308"/>
      <c r="HD308"/>
      <c r="HE308"/>
      <c r="HF308"/>
      <c r="HG308"/>
      <c r="HH308"/>
      <c r="HI308" s="2"/>
    </row>
    <row r="309" spans="1:217" s="3" customFormat="1" ht="12.75" customHeight="1" x14ac:dyDescent="0.2">
      <c r="B309" s="77" t="s">
        <v>432</v>
      </c>
      <c r="C309" s="74"/>
      <c r="D309" s="72"/>
      <c r="E309" s="74"/>
      <c r="F309" s="72"/>
      <c r="G309" s="74"/>
      <c r="H309" s="72"/>
      <c r="I309" s="74"/>
      <c r="J309" s="72"/>
      <c r="K309" s="74">
        <v>296</v>
      </c>
      <c r="L309" s="87" t="str">
        <f>IF(ISERROR(K309/C309),"NA",IF(OR(K309/C309&gt;2,K309/C309&lt;0.5),"NM",K309/C309*100-100))</f>
        <v>NA</v>
      </c>
      <c r="M309" s="74">
        <v>308</v>
      </c>
      <c r="N309" s="87" t="str">
        <f>IF(ISERROR(M309/E309),"NA",IF(OR(M309/E309&gt;2,M309/E309&lt;0.5),"NM",M309/E309*100-100))</f>
        <v>NA</v>
      </c>
      <c r="O309" s="74">
        <v>293</v>
      </c>
      <c r="P309" s="87" t="str">
        <f>IF(ISERROR(O309/G309),"NA",IF(OR(O309/G309&gt;2,O309/G309&lt;0.5),"NM",O309/G309*100-100))</f>
        <v>NA</v>
      </c>
      <c r="Q309" s="74">
        <v>322</v>
      </c>
      <c r="R309" s="87" t="str">
        <f>IF(ISERROR(Q309/I309),"NA",IF(OR(Q309/I309&gt;2,Q309/I309&lt;0.5),"NM",Q309/I309*100-100))</f>
        <v>NA</v>
      </c>
      <c r="S309" s="74">
        <v>273</v>
      </c>
      <c r="T309" s="87">
        <f>IF(ISERROR(S309/K309),"NA",IF(OR(S309/K309&gt;2,S309/K309&lt;0.5),"NM",S309/K309*100-100))</f>
        <v>-7.7702702702702737</v>
      </c>
      <c r="U309" s="74">
        <v>279</v>
      </c>
      <c r="V309" s="87">
        <f>IF(ISERROR(U309/M309),"NA",IF(OR(U309/M309&gt;2,U309/M309&lt;0.5),"NM",U309/M309*100-100))</f>
        <v>-9.4155844155844051</v>
      </c>
      <c r="W309" s="74">
        <v>257</v>
      </c>
      <c r="X309" s="87">
        <f>IF(ISERROR(W309/O309),"NA",IF(OR(W309/O309&gt;2,W309/O309&lt;0.5),"NM",W309/O309*100-100))</f>
        <v>-12.286689419795223</v>
      </c>
      <c r="Y309" s="74">
        <v>280</v>
      </c>
      <c r="Z309" s="87">
        <f>IF(ISERROR(Y309/Q309),"NA",IF(OR(Y309/Q309&gt;2,Y309/Q309&lt;0.5),"NM",Y309/Q309*100-100))</f>
        <v>-13.043478260869563</v>
      </c>
      <c r="AA309" s="74">
        <v>246</v>
      </c>
      <c r="AB309" s="87">
        <f>IF(ISERROR(AA309/S309),"NA",IF(OR(AA309/S309&gt;2,AA309/S309&lt;0.5),"NM",AA309/S309*100-100))</f>
        <v>-9.8901098901098834</v>
      </c>
      <c r="AC309" s="74">
        <v>268</v>
      </c>
      <c r="AD309" s="87">
        <f>IF(ISERROR(AC309/U309),"NA",IF(OR(AC309/U309&gt;2,AC309/U309&lt;0.5),"NM",AC309/U309*100-100))</f>
        <v>-3.9426523297491087</v>
      </c>
      <c r="AE309" s="74">
        <v>286</v>
      </c>
      <c r="AF309" s="87">
        <f>IF(ISERROR(AE309/W309),"NA",IF(OR(AE309/W309&gt;2,AE309/W309&lt;0.5),"NM",AE309/W309*100-100))</f>
        <v>11.284046692607006</v>
      </c>
      <c r="AG309" s="74">
        <v>300</v>
      </c>
      <c r="AH309" s="87">
        <f>IF(ISERROR(AG309/Y309),"NA",IF(OR(AG309/Y309&gt;2,AG309/Y309&lt;0.5),"NM",AG309/Y309*100-100))</f>
        <v>7.1428571428571388</v>
      </c>
      <c r="AI309" s="74">
        <v>280</v>
      </c>
      <c r="AJ309" s="87">
        <f>IF(ISERROR(AI309/AA309),"NA",IF(OR(AI309/AA309&gt;2,AI309/AA309&lt;0.5),"NM",AI309/AA309*100-100))</f>
        <v>13.821138211382106</v>
      </c>
      <c r="AK309" s="74">
        <v>298</v>
      </c>
      <c r="AL309" s="87">
        <f>IF(ISERROR(AK309/AC309),"NA",IF(OR(AK309/AC309&gt;2,AK309/AC309&lt;0.5),"NM",AK309/AC309*100-100))</f>
        <v>11.194029850746261</v>
      </c>
      <c r="AM309" s="74">
        <v>265</v>
      </c>
      <c r="AN309" s="87">
        <f>IF(ISERROR(AM309/AE309),"NA",IF(OR(AM309/AE309&gt;2,AM309/AE309&lt;0.5),"NM",AM309/AE309*100-100))</f>
        <v>-7.3426573426573469</v>
      </c>
      <c r="AO309" s="74">
        <v>320</v>
      </c>
      <c r="AP309" s="87">
        <f>IF(ISERROR(AO309/AG309),"NA",IF(OR(AO309/AG309&gt;2,AO309/AG309&lt;0.5),"NM",AO309/AG309*100-100))</f>
        <v>6.6666666666666714</v>
      </c>
      <c r="AQ309" s="74">
        <v>276</v>
      </c>
      <c r="AR309" s="87">
        <f>IF(ISERROR(AQ309/AI309),"NA",IF(OR(AQ309/AI309&gt;2,AQ309/AI309&lt;0.5),"NM",AQ309/AI309*100-100))</f>
        <v>-1.4285714285714164</v>
      </c>
      <c r="AS309" s="74">
        <v>288</v>
      </c>
      <c r="AT309" s="87">
        <f>IF(ISERROR(AS309/AK309),"NA",IF(OR(AS309/AK309&gt;2,AS309/AK309&lt;0.5),"NM",AS309/AK309*100-100))</f>
        <v>-3.3557046979865675</v>
      </c>
      <c r="AU309" s="74">
        <v>319</v>
      </c>
      <c r="AV309" s="87">
        <f>IF(ISERROR(AU309/AM309),"NA",IF(OR(AU309/AM309&gt;2,AU309/AM309&lt;0.5),"NM",AU309/AM309*100-100))</f>
        <v>20.377358490566039</v>
      </c>
      <c r="AW309" s="74">
        <v>317</v>
      </c>
      <c r="AX309" s="87">
        <f>IF(ISERROR(AW309/AO309),"NA",IF(OR(AW309/AO309&gt;2,AW309/AO309&lt;0.5),"NM",AW309/AO309*100-100))</f>
        <v>-0.9375</v>
      </c>
      <c r="AY309" s="74">
        <v>322</v>
      </c>
      <c r="AZ309" s="87">
        <f>IF(ISERROR(AY309/AQ309),"NA",IF(OR(AY309/AQ309&gt;2,AY309/AQ309&lt;0.5),"NM",AY309/AQ309*100-100))</f>
        <v>16.666666666666671</v>
      </c>
      <c r="BA309" s="74">
        <v>317</v>
      </c>
      <c r="BB309" s="87">
        <f>IF(ISERROR(BA309/AS309),"NA",IF(OR(BA309/AS309&gt;2,BA309/AS309&lt;0.5),"NM",BA309/AS309*100-100))</f>
        <v>10.069444444444443</v>
      </c>
      <c r="BC309" s="74">
        <v>325</v>
      </c>
      <c r="BD309" s="87">
        <f>IF(ISERROR(BC309/AU309),"NA",IF(OR(BC309/AU309&gt;2,BC309/AU309&lt;0.5),"NM",BC309/AU309*100-100))</f>
        <v>1.8808777429467227</v>
      </c>
      <c r="BE309" s="74">
        <v>426</v>
      </c>
      <c r="BF309" s="87">
        <f>IF(ISERROR(BE309/AW309),"NA",IF(OR(BE309/AW309&gt;2,BE309/AW309&lt;0.5),"NM",BE309/AW309*100-100))</f>
        <v>34.384858044164048</v>
      </c>
      <c r="BG309" s="74">
        <v>358</v>
      </c>
      <c r="BH309" s="87">
        <f>IF(ISERROR(BG309/AY309),"NA",IF(OR(BG309/AY309&gt;2,BG309/AY309&lt;0.5),"NM",BG309/AY309*100-100))</f>
        <v>11.18012422360249</v>
      </c>
      <c r="BI309" s="74">
        <v>408</v>
      </c>
      <c r="BJ309" s="87">
        <f>IF(ISERROR(BI309/BA309),"NA",IF(OR(BI309/BA309&gt;2,BI309/BA309&lt;0.5),"NM",BI309/BA309*100-100))</f>
        <v>28.706624605678229</v>
      </c>
      <c r="BK309" s="74">
        <v>378</v>
      </c>
      <c r="BL309" s="87">
        <f>IF(ISERROR(BK309/BC309),"NA",IF(OR(BK309/BC309&gt;2,BK309/BC309&lt;0.5),"NM",BK309/BC309*100-100))</f>
        <v>16.307692307692307</v>
      </c>
      <c r="BM309" s="74">
        <v>408</v>
      </c>
      <c r="BN309" s="87">
        <f>IF(ISERROR(BM309/BE309),"NA",IF(OR(BM309/BE309&gt;2,BM309/BE309&lt;0.5),"NM",BM309/BE309*100-100))</f>
        <v>-4.2253521126760631</v>
      </c>
      <c r="BO309" s="74">
        <v>406</v>
      </c>
      <c r="BP309" s="87">
        <f>IF(ISERROR(BO309/BG309),"NA",IF(OR(BO309/BG309&gt;2,BO309/BG309&lt;0.5),"NM",BO309/BG309*100-100))</f>
        <v>13.407821229050285</v>
      </c>
      <c r="BQ309" s="74">
        <v>358</v>
      </c>
      <c r="BR309" s="87">
        <f>IF(ISERROR(BQ309/BI309),"NA",IF(OR(BQ309/BI309&gt;2,BQ309/BI309&lt;0.5),"NM",BQ309/BI309*100-100))</f>
        <v>-12.254901960784309</v>
      </c>
      <c r="BS309" s="74">
        <v>330</v>
      </c>
      <c r="BT309" s="87">
        <f>IF(ISERROR(BS309/BK309),"NA",IF(OR(BS309/BK309&gt;2,BS309/BK309&lt;0.5),"NM",BS309/BK309*100-100))</f>
        <v>-12.698412698412696</v>
      </c>
      <c r="BU309" s="74">
        <v>276</v>
      </c>
      <c r="BV309" s="87">
        <f>IF(ISERROR(BU309/BM309),"NA",IF(OR(BU309/BM309&gt;2,BU309/BM309&lt;0.5),"NM",BU309/BM309*100-100))</f>
        <v>-32.35294117647058</v>
      </c>
      <c r="BW309" s="74">
        <v>254</v>
      </c>
      <c r="BX309" s="72">
        <f>IF(ISERROR(BW309/BO309),"NA",IF(OR(BW309/BO309&gt;2,BW309/BO309&lt;0.5),"NM",BW309/BO309*100-100))</f>
        <v>-37.438423645320199</v>
      </c>
      <c r="BY309" s="74">
        <v>303</v>
      </c>
      <c r="BZ309" s="72">
        <f>IF(ISERROR(BY309/BQ309),"NA",IF(OR(BY309/BQ309&gt;2,BY309/BQ309&lt;0.5),"NM",BY309/BQ309*100-100))</f>
        <v>-15.363128491620117</v>
      </c>
      <c r="CA309" s="74">
        <v>258</v>
      </c>
      <c r="CB309" s="72">
        <f>IF(ISERROR(CA309/BS309),"NA",IF(OR(CA309/BS309&gt;2,CA309/BS309&lt;0.5),"NM",CA309/BS309*100-100))</f>
        <v>-21.818181818181813</v>
      </c>
      <c r="CC309" s="74">
        <v>365</v>
      </c>
      <c r="CD309" s="72">
        <f>IF(ISERROR(CC309/BU309),"NA",IF(OR(CC309/BU309&gt;2,CC309/BU309&lt;0.5),"NM",CC309/BU309*100-100))</f>
        <v>32.246376811594217</v>
      </c>
      <c r="CE309" s="74">
        <v>293</v>
      </c>
      <c r="CF309" s="72">
        <f>IF(ISERROR(CE309/BW309),"NA",IF(OR(CE309/BW309&gt;2,CE309/BW309&lt;0.5),"NM",CE309/BW309*100-100))</f>
        <v>15.354330708661408</v>
      </c>
      <c r="CG309" s="74">
        <v>365</v>
      </c>
      <c r="CH309" s="72">
        <f>IF(ISERROR(CG309/BY309),"NA",IF(OR(CG309/BY309&gt;2,CG309/BY309&lt;0.5),"NM",CG309/BY309*100-100))</f>
        <v>20.462046204620464</v>
      </c>
      <c r="CI309" s="74">
        <v>342</v>
      </c>
      <c r="CJ309" s="72">
        <f>IF(ISERROR(CI309/CA309),"NA",IF(OR(CI309/CA309&gt;2,CI309/CA309&lt;0.5),"NM",CI309/CA309*100-100))</f>
        <v>32.558139534883708</v>
      </c>
      <c r="CK309" s="74">
        <v>387</v>
      </c>
      <c r="CL309" s="72">
        <f>IF(ISERROR(CK309/CC309),"NA",IF(OR(CK309/CC309&gt;2,CK309/CC309&lt;0.5),"NM",CK309/CC309*100-100))</f>
        <v>6.0273972602739718</v>
      </c>
      <c r="CM309" s="74">
        <v>392</v>
      </c>
      <c r="CN309" s="72">
        <f>IF(ISERROR(CM309/CE309),"NA",IF(OR(CM309/CE309&gt;2,CM309/CE309&lt;0.5),"NM",CM309/CE309*100-100))</f>
        <v>33.78839590443684</v>
      </c>
      <c r="CO309" s="74">
        <v>425</v>
      </c>
      <c r="CP309" s="72">
        <f>IF(ISERROR(CO309/CG309),"NA",IF(OR(CO309/CG309&gt;2,CO309/CG309&lt;0.5),"NM",CO309/CG309*100-100))</f>
        <v>16.438356164383563</v>
      </c>
      <c r="CQ309" s="74">
        <v>385</v>
      </c>
      <c r="CR309" s="72">
        <f>IF(ISERROR(CQ309/CI309),"NA",IF(OR(CQ309/CI309&gt;2,CQ309/CI309&lt;0.5),"NM",CQ309/CI309*100-100))</f>
        <v>12.57309941520468</v>
      </c>
      <c r="CS309" s="74">
        <v>453</v>
      </c>
      <c r="CT309" s="72">
        <f>IF(ISERROR(CS309/CK309),"NA",IF(OR(CS309/CK309&gt;2,CS309/CK309&lt;0.5),"NM",CS309/CK309*100-100))</f>
        <v>17.054263565891475</v>
      </c>
      <c r="CU309" s="74">
        <v>414</v>
      </c>
      <c r="CV309" s="72">
        <f>IF(ISERROR(CU309/CM309),"NA",IF(OR(CU309/CM309&gt;2,CU309/CM309&lt;0.5),"NM",CU309/CM309*100-100))</f>
        <v>5.6122448979591724</v>
      </c>
      <c r="CW309" s="74">
        <v>436</v>
      </c>
      <c r="CX309" s="72">
        <f>IF(ISERROR(CW309/CO309),"NA",IF(OR(CW309/CO309&gt;2,CW309/CO309&lt;0.5),"NM",CW309/CO309*100-100))</f>
        <v>2.5882352941176521</v>
      </c>
      <c r="CY309" s="74">
        <v>433</v>
      </c>
      <c r="CZ309" s="72">
        <f>IF(ISERROR(CY309/CQ309),"NA",IF(OR(CY309/CQ309&gt;2,CY309/CQ309&lt;0.5),"NM",CY309/CQ309*100-100))</f>
        <v>12.467532467532465</v>
      </c>
      <c r="DA309" s="74">
        <v>496</v>
      </c>
      <c r="DB309" s="72">
        <f>IF(ISERROR(DA309/CS309),"NA",IF(OR(DA309/CS309&gt;2,DA309/CS309&lt;0.5),"NM",DA309/CS309*100-100))</f>
        <v>9.4922737306843317</v>
      </c>
      <c r="DC309" s="74">
        <v>471</v>
      </c>
      <c r="DD309" s="72">
        <f>IF(ISERROR(DC309/CU309),"NA",IF(OR(DC309/CU309&gt;2,DC309/CU309&lt;0.5),"NM",DC309/CU309*100-100))</f>
        <v>13.768115942028984</v>
      </c>
      <c r="DE309" s="74">
        <v>486</v>
      </c>
      <c r="DF309" s="72">
        <f>IF(ISERROR(DE309/CW309),"NA",IF(OR(DE309/CW309&gt;2,DE309/CW309&lt;0.5),"NM",DE309/CW309*100-100))</f>
        <v>11.467889908256893</v>
      </c>
      <c r="DG309" s="74">
        <v>473</v>
      </c>
      <c r="DH309" s="72">
        <f>IF(ISERROR(DG309/CY309),"NA",IF(OR(DG309/CY309&gt;2,DG309/CY309&lt;0.5),"NM",DG309/CY309*100-100))</f>
        <v>9.2378752886836111</v>
      </c>
      <c r="DI309" s="74">
        <v>511</v>
      </c>
      <c r="DJ309" s="72">
        <f>IF(ISERROR(DI309/DA309),"NA",IF(OR(DI309/DA309&gt;2,DI309/DA309&lt;0.5),"NM",DI309/DA309*100-100))</f>
        <v>3.0241935483871032</v>
      </c>
      <c r="DK309" s="74">
        <v>471</v>
      </c>
      <c r="DL309" s="72">
        <f>IF(ISERROR(DK309/DC309),"NA",IF(OR(DK309/DC309&gt;2,DK309/DC309&lt;0.5),"NM",DK309/DC309*100-100))</f>
        <v>0</v>
      </c>
      <c r="DM309" s="74">
        <v>510</v>
      </c>
      <c r="DN309" s="72">
        <f t="shared" si="1778"/>
        <v>4.9382716049382651</v>
      </c>
      <c r="DO309" s="74">
        <v>517</v>
      </c>
      <c r="DP309" s="72">
        <f t="shared" si="1778"/>
        <v>9.3023255813953369</v>
      </c>
      <c r="DQ309" s="74">
        <v>543</v>
      </c>
      <c r="DR309" s="72">
        <f t="shared" si="1778"/>
        <v>6.2622309197651589</v>
      </c>
      <c r="DS309" s="74">
        <v>524</v>
      </c>
      <c r="DT309" s="72">
        <f t="shared" si="1778"/>
        <v>11.252653927813157</v>
      </c>
      <c r="DU309" s="74">
        <v>576</v>
      </c>
      <c r="DV309" s="72">
        <f t="shared" si="1778"/>
        <v>12.941176470588232</v>
      </c>
      <c r="DW309" s="74">
        <v>519</v>
      </c>
      <c r="DX309" s="72">
        <f t="shared" si="1778"/>
        <v>0.38684719535784495</v>
      </c>
      <c r="DY309" s="74">
        <v>528</v>
      </c>
      <c r="DZ309" s="72">
        <f t="shared" si="1778"/>
        <v>-2.7624309392265189</v>
      </c>
      <c r="EA309" s="74">
        <v>537</v>
      </c>
      <c r="EB309" s="72">
        <f>IF(ISERROR(EA309/DS309),"NA",IF(OR(EA309/DS309&gt;2,EA309/DS309&lt;0.5),"NM",EA309/DS309*100-100))</f>
        <v>2.4809160305343596</v>
      </c>
      <c r="EC309" s="74">
        <v>520</v>
      </c>
      <c r="ED309" s="72">
        <f>IF(ISERROR(EC309/DU309),"NA",IF(OR(EC309/DU309&gt;2,EC309/DU309&lt;0.5),"NM",EC309/DU309*100-100))</f>
        <v>-9.7222222222222143</v>
      </c>
      <c r="EE309" s="74">
        <v>554</v>
      </c>
      <c r="EF309" s="72">
        <f>IF(ISERROR(EE309/DW309),"NA",IF(OR(EE309/DW309&gt;2,EE309/DW309&lt;0.5),"NM",EE309/DW309*100-100))</f>
        <v>6.7437379576107901</v>
      </c>
      <c r="EG309" s="74">
        <v>543</v>
      </c>
      <c r="EH309" s="72">
        <f>IF(ISERROR(EG309/DY309),"NA",IF(OR(EG309/DY309&gt;2,EG309/DY309&lt;0.5),"NM",EG309/DY309*100-100))</f>
        <v>2.8409090909090793</v>
      </c>
      <c r="EI309" s="74">
        <v>553</v>
      </c>
      <c r="EJ309" s="72">
        <f>IF(ISERROR(EI309/EA309),"NA",IF(OR(EI309/EA309&gt;2,EI309/EA309&lt;0.5),"NM",EI309/EA309*100-100))</f>
        <v>2.9795158286778332</v>
      </c>
      <c r="EK309" s="74">
        <v>561</v>
      </c>
      <c r="EL309" s="72">
        <f>IF(ISERROR(EK309/EC309),"NA",IF(OR(EK309/EC309&gt;2,EK309/EC309&lt;0.5),"NM",EK309/EC309*100-100))</f>
        <v>7.8846153846153726</v>
      </c>
      <c r="EM309" s="74">
        <v>561</v>
      </c>
      <c r="EN309" s="72">
        <f>IF(ISERROR(EM309/EE309),"NA",IF(OR(EM309/EE309&gt;2,EM309/EE309&lt;0.5),"NM",EM309/EE309*100-100))</f>
        <v>1.2635379061371736</v>
      </c>
      <c r="EO309" s="74">
        <v>669</v>
      </c>
      <c r="EP309" s="72">
        <f>IF(ISERROR(EO309/EG309),"NA",IF(OR(EO309/EG309&gt;2,EO309/EG309&lt;0.5),"NM",EO309/EG309*100-100))</f>
        <v>23.204419889502773</v>
      </c>
      <c r="EQ309" s="75">
        <f t="shared" ref="EQ309" si="1785">+EQ303*(EQ313/100)</f>
        <v>633.4559032300001</v>
      </c>
      <c r="ER309" s="72">
        <f t="shared" si="1779"/>
        <v>14.548987925858967</v>
      </c>
      <c r="ES309" s="75">
        <f t="shared" ref="ES309" si="1786">+ES303*(ES313/100)</f>
        <v>631.9752894006441</v>
      </c>
      <c r="ET309" s="72">
        <f t="shared" si="1780"/>
        <v>12.651566738082721</v>
      </c>
      <c r="EU309" s="75">
        <f t="shared" ref="EU309" si="1787">+EU303*(EU313/100)</f>
        <v>641.29021797322048</v>
      </c>
      <c r="EV309" s="72">
        <f t="shared" si="1781"/>
        <v>14.311981813408295</v>
      </c>
      <c r="EW309" s="75">
        <f t="shared" ref="EW309" si="1788">+EW303*(EW313/100)</f>
        <v>655.72530804566441</v>
      </c>
      <c r="EX309" s="72">
        <f t="shared" si="1782"/>
        <v>-1.9842588870456694</v>
      </c>
      <c r="EY309" s="72"/>
      <c r="EZ309" s="309"/>
      <c r="FA309" s="72"/>
      <c r="FB309" s="81"/>
      <c r="FC309" s="72"/>
      <c r="FD309" s="74">
        <v>1162</v>
      </c>
      <c r="FE309" s="87" t="str">
        <f>IF(ISERROR(FD309/FB309),"NA",IF(OR(FD309/FB309&gt;2,FD309/FB309&lt;0.5),"NM",FD309/FB309*100-100))</f>
        <v>NA</v>
      </c>
      <c r="FF309" s="74">
        <v>1276</v>
      </c>
      <c r="FG309" s="87">
        <f>IF(ISERROR(FF309/FD309),"NA",IF(OR(FF309/FD309&gt;2,FF309/FD309&lt;0.5),"NM",FF309/FD309*100-100))</f>
        <v>9.8106712564543841</v>
      </c>
      <c r="FH309" s="75">
        <f>+K309+M309+O309+Q309</f>
        <v>1219</v>
      </c>
      <c r="FI309" s="87">
        <f>IF(ISERROR(FH309/FF309),"NA",IF(OR(FH309/FF309&gt;2,FH309/FF309&lt;0.5),"NM",FH309/FF309*100-100))</f>
        <v>-4.467084639498438</v>
      </c>
      <c r="FJ309" s="75">
        <f>+S309+U309+W309+Y309</f>
        <v>1089</v>
      </c>
      <c r="FK309" s="87">
        <f>IF(ISERROR(FJ309/FH309),"NA",IF(OR(FJ309/FH309&gt;2,FJ309/FH309&lt;0.5),"NM",FJ309/FH309*100-100))</f>
        <v>-10.664479081214111</v>
      </c>
      <c r="FL309" s="75">
        <f>AA309+AC309+AE309+AG309</f>
        <v>1100</v>
      </c>
      <c r="FM309" s="87">
        <f>IF(ISERROR(FL309/FJ309),"NA",IF(OR(FL309/FJ309&gt;2,FL309/FJ309&lt;0.5),"NM",FL309/FJ309*100-100))</f>
        <v>1.0101010101010104</v>
      </c>
      <c r="FN309" s="75">
        <f>AI309+AK309+AM309+AO309</f>
        <v>1163</v>
      </c>
      <c r="FO309" s="87">
        <f>IF(ISERROR(FN309/FL309),"NA",IF(OR(FN309/FL309&gt;2,FN309/FL309&lt;0.5),"NM",FN309/FL309*100-100))</f>
        <v>5.7272727272727337</v>
      </c>
      <c r="FP309" s="75">
        <f>AQ309+AS309+AU309+AW309</f>
        <v>1200</v>
      </c>
      <c r="FQ309" s="87">
        <f>IF(ISERROR(FP309/FN309),"NA",IF(OR(FP309/FN309&gt;2,FP309/FN309&lt;0.5),"NM",FP309/FN309*100-100))</f>
        <v>3.1814273430782407</v>
      </c>
      <c r="FR309" s="75">
        <f>AY309+BA309+BC309+BE309</f>
        <v>1390</v>
      </c>
      <c r="FS309" s="87">
        <f>IF(ISERROR(FR309/FP309),"NA",IF(OR(FR309/FP309&gt;2,FR309/FP309&lt;0.5),"NM",FR309/FP309*100-100))</f>
        <v>15.833333333333343</v>
      </c>
      <c r="FT309" s="75">
        <f>BG309+BI309+BK309+BM309</f>
        <v>1552</v>
      </c>
      <c r="FU309" s="87">
        <f>IF(ISERROR(FT309/FR309),"NA",IF(OR(FT309/FR309&gt;2,FT309/FR309&lt;0.5),"NM",FT309/FR309*100-100))</f>
        <v>11.654676258992808</v>
      </c>
      <c r="FV309" s="75">
        <f>BO309+BQ309+BS309+BU309</f>
        <v>1370</v>
      </c>
      <c r="FW309" s="72">
        <f t="shared" si="1783"/>
        <v>-11.726804123711347</v>
      </c>
      <c r="FX309" s="75">
        <f>BW309+BY309+CA309+CC309</f>
        <v>1180</v>
      </c>
      <c r="FY309" s="72">
        <f t="shared" si="1783"/>
        <v>-13.868613138686143</v>
      </c>
      <c r="FZ309" s="75">
        <f>CE309+CG309+CI309+CK309</f>
        <v>1387</v>
      </c>
      <c r="GA309" s="72">
        <f t="shared" si="1783"/>
        <v>17.542372881355945</v>
      </c>
      <c r="GB309" s="75">
        <f>CM309+CO309+CQ309+CS309</f>
        <v>1655</v>
      </c>
      <c r="GC309" s="72">
        <f t="shared" si="1783"/>
        <v>19.322278298485941</v>
      </c>
      <c r="GD309" s="75">
        <f>CU309+CW309+CY309+DA309</f>
        <v>1779</v>
      </c>
      <c r="GE309" s="72">
        <f t="shared" si="1783"/>
        <v>7.4924471299093796</v>
      </c>
      <c r="GF309" s="75">
        <f>DC309+DE309+DG309+DI309</f>
        <v>1941</v>
      </c>
      <c r="GG309" s="72">
        <f t="shared" si="1783"/>
        <v>9.1062394603709862</v>
      </c>
      <c r="GH309" s="75">
        <f>DK309+DM309+DO309+DQ309</f>
        <v>2041</v>
      </c>
      <c r="GI309" s="72">
        <f t="shared" si="1784"/>
        <v>5.1519835136527519</v>
      </c>
      <c r="GJ309" s="75">
        <f>DS309+DU309+DW309+DY309</f>
        <v>2147</v>
      </c>
      <c r="GK309" s="72">
        <f t="shared" si="1784"/>
        <v>5.1935325820676042</v>
      </c>
      <c r="GL309" s="75">
        <f>EA309+EC309+EE309+EG309</f>
        <v>2154</v>
      </c>
      <c r="GM309" s="72">
        <f t="shared" si="1784"/>
        <v>0.32603632976247354</v>
      </c>
      <c r="GN309" s="75">
        <f>EI309+EK309+EM309+EO309</f>
        <v>2344</v>
      </c>
      <c r="GO309" s="72">
        <f t="shared" si="1784"/>
        <v>8.8207985143918393</v>
      </c>
      <c r="GP309" s="75">
        <f>EQ309+ES309+EU309+EW309</f>
        <v>2562.446718649529</v>
      </c>
      <c r="GQ309" s="72">
        <f t="shared" si="1784"/>
        <v>9.319399259792192</v>
      </c>
      <c r="GR309" s="75">
        <f>+GR303*(GR313/100)</f>
        <v>2704.6420459688802</v>
      </c>
      <c r="GS309" s="72">
        <f t="shared" si="1784"/>
        <v>5.5492013271710761</v>
      </c>
      <c r="GT309" s="75">
        <f>+GT303*(GT313/100)</f>
        <v>2827.3647218632341</v>
      </c>
      <c r="GU309" s="72">
        <f t="shared" si="1784"/>
        <v>4.537483105288004</v>
      </c>
      <c r="GV309" s="75">
        <f>+GV303*(GV313/100)</f>
        <v>2949.7678709930506</v>
      </c>
      <c r="GW309" s="72">
        <f>IF(ISERROR(GV309/GT309),"NA",IF(OR(GV309/GT309&gt;2,GV309/GT309&lt;0.5),"NM",GV309/GT309*100-100))</f>
        <v>4.3292309684458701</v>
      </c>
      <c r="GX309" s="75">
        <f>+GX303*(GX313/100)</f>
        <v>3040.0913259992813</v>
      </c>
      <c r="GY309" s="72">
        <f>IF(ISERROR(GX309/GV309),"NA",IF(OR(GX309/GV309&gt;2,GX309/GV309&lt;0.5),"NM",GX309/GV309*100-100))</f>
        <v>3.0620529803188532</v>
      </c>
      <c r="GZ309" s="72">
        <f>IF(ISERROR(((GX309/GN309)^0.2-1)*100),"NA",IF((((GX309/GN309)^0.2-1)*100)&gt;100,"NM",IF((((GX309/GN309)^0.2-1)*100)&lt;-50,"NM",((GX309/GN309)^0.2-1)*100)))</f>
        <v>5.3381785683976002</v>
      </c>
      <c r="HA309" s="72"/>
      <c r="HB309" s="72"/>
      <c r="HC309"/>
      <c r="HD309"/>
      <c r="HE309"/>
      <c r="HF309"/>
      <c r="HG309"/>
      <c r="HH309"/>
      <c r="HI309" s="2"/>
    </row>
    <row r="310" spans="1:217" s="3" customFormat="1" ht="12.75" customHeight="1" x14ac:dyDescent="0.2">
      <c r="B310" s="3" t="s">
        <v>625</v>
      </c>
      <c r="C310" s="101"/>
      <c r="D310" s="72"/>
      <c r="E310" s="101"/>
      <c r="F310" s="72"/>
      <c r="G310" s="101"/>
      <c r="H310" s="72"/>
      <c r="I310" s="101"/>
      <c r="J310" s="72"/>
      <c r="K310" s="101">
        <v>2</v>
      </c>
      <c r="L310" s="87" t="str">
        <f>IF(ISERROR(K310/C310),"NA",IF(OR(K310/C310&gt;2,K310/C310&lt;0.5),"NM",K310/C310*100-100))</f>
        <v>NA</v>
      </c>
      <c r="M310" s="101">
        <v>6</v>
      </c>
      <c r="N310" s="87" t="str">
        <f>IF(ISERROR(M310/E310),"NA",IF(OR(M310/E310&gt;2,M310/E310&lt;0.5),"NM",M310/E310*100-100))</f>
        <v>NA</v>
      </c>
      <c r="O310" s="101">
        <v>11</v>
      </c>
      <c r="P310" s="87" t="str">
        <f>IF(ISERROR(O310/G310),"NA",IF(OR(O310/G310&gt;2,O310/G310&lt;0.5),"NM",O310/G310*100-100))</f>
        <v>NA</v>
      </c>
      <c r="Q310" s="101">
        <v>9</v>
      </c>
      <c r="R310" s="87" t="str">
        <f>IF(ISERROR(Q310/I310),"NA",IF(OR(Q310/I310&gt;2,Q310/I310&lt;0.5),"NM",Q310/I310*100-100))</f>
        <v>NA</v>
      </c>
      <c r="S310" s="101">
        <v>8</v>
      </c>
      <c r="T310" s="87" t="str">
        <f>IF(ISERROR(S310/K310),"NA",IF(OR(S310/K310&gt;2,S310/K310&lt;0.5),"NM",S310/K310*100-100))</f>
        <v>NM</v>
      </c>
      <c r="U310" s="101">
        <v>7</v>
      </c>
      <c r="V310" s="87">
        <f>IF(ISERROR(U310/M310),"NA",IF(OR(U310/M310&gt;2,U310/M310&lt;0.5),"NM",U310/M310*100-100))</f>
        <v>16.666666666666671</v>
      </c>
      <c r="W310" s="101">
        <v>14</v>
      </c>
      <c r="X310" s="87">
        <f>IF(ISERROR(W310/O310),"NA",IF(OR(W310/O310&gt;2,W310/O310&lt;0.5),"NM",W310/O310*100-100))</f>
        <v>27.272727272727266</v>
      </c>
      <c r="Y310" s="101">
        <v>11</v>
      </c>
      <c r="Z310" s="87">
        <f>IF(ISERROR(Y310/Q310),"NA",IF(OR(Y310/Q310&gt;2,Y310/Q310&lt;0.5),"NM",Y310/Q310*100-100))</f>
        <v>22.222222222222229</v>
      </c>
      <c r="AA310" s="101">
        <v>11</v>
      </c>
      <c r="AB310" s="87">
        <f>IF(ISERROR(AA310/S310),"NA",IF(OR(AA310/S310&gt;2,AA310/S310&lt;0.5),"NM",AA310/S310*100-100))</f>
        <v>37.5</v>
      </c>
      <c r="AC310" s="101">
        <v>9</v>
      </c>
      <c r="AD310" s="87">
        <f>IF(ISERROR(AC310/U310),"NA",IF(OR(AC310/U310&gt;2,AC310/U310&lt;0.5),"NM",AC310/U310*100-100))</f>
        <v>28.571428571428584</v>
      </c>
      <c r="AE310" s="101">
        <v>8</v>
      </c>
      <c r="AF310" s="87">
        <f>IF(ISERROR(AE310/W310),"NA",IF(OR(AE310/W310&gt;2,AE310/W310&lt;0.5),"NM",AE310/W310*100-100))</f>
        <v>-42.857142857142861</v>
      </c>
      <c r="AG310" s="101">
        <v>8</v>
      </c>
      <c r="AH310" s="87">
        <f>IF(ISERROR(AG310/Y310),"NA",IF(OR(AG310/Y310&gt;2,AG310/Y310&lt;0.5),"NM",AG310/Y310*100-100))</f>
        <v>-27.272727272727266</v>
      </c>
      <c r="AI310" s="101">
        <v>6</v>
      </c>
      <c r="AJ310" s="87">
        <f>IF(ISERROR(AI310/AA310),"NA",IF(OR(AI310/AA310&gt;2,AI310/AA310&lt;0.5),"NM",AI310/AA310*100-100))</f>
        <v>-45.45454545454546</v>
      </c>
      <c r="AK310" s="101">
        <f>11-5</f>
        <v>6</v>
      </c>
      <c r="AL310" s="87">
        <f>IF(ISERROR(AK310/AC310),"NA",IF(OR(AK310/AC310&gt;2,AK310/AC310&lt;0.5),"NM",AK310/AC310*100-100))</f>
        <v>-33.333333333333343</v>
      </c>
      <c r="AM310" s="101">
        <f>11-4</f>
        <v>7</v>
      </c>
      <c r="AN310" s="87">
        <f>IF(ISERROR(AM310/AE310),"NA",IF(OR(AM310/AE310&gt;2,AM310/AE310&lt;0.5),"NM",AM310/AE310*100-100))</f>
        <v>-12.5</v>
      </c>
      <c r="AO310" s="101">
        <f>9-4</f>
        <v>5</v>
      </c>
      <c r="AP310" s="87">
        <f>IF(ISERROR(AO310/AG310),"NA",IF(OR(AO310/AG310&gt;2,AO310/AG310&lt;0.5),"NM",AO310/AG310*100-100))</f>
        <v>-37.5</v>
      </c>
      <c r="AQ310" s="101">
        <f>9-4</f>
        <v>5</v>
      </c>
      <c r="AR310" s="87">
        <f>IF(ISERROR(AQ310/AI310),"NA",IF(OR(AQ310/AI310&gt;2,AQ310/AI310&lt;0.5),"NM",AQ310/AI310*100-100))</f>
        <v>-16.666666666666657</v>
      </c>
      <c r="AS310" s="101">
        <f>9-5</f>
        <v>4</v>
      </c>
      <c r="AT310" s="87">
        <f>IF(ISERROR(AS310/AK310),"NA",IF(OR(AS310/AK310&gt;2,AS310/AK310&lt;0.5),"NM",AS310/AK310*100-100))</f>
        <v>-33.333333333333343</v>
      </c>
      <c r="AU310" s="101">
        <f>8-5</f>
        <v>3</v>
      </c>
      <c r="AV310" s="87" t="str">
        <f>IF(ISERROR(AU310/AM310),"NA",IF(OR(AU310/AM310&gt;2,AU310/AM310&lt;0.5),"NM",AU310/AM310*100-100))</f>
        <v>NM</v>
      </c>
      <c r="AW310" s="101">
        <f>-3+7</f>
        <v>4</v>
      </c>
      <c r="AX310" s="87">
        <f>IF(ISERROR(AW310/AO310),"NA",IF(OR(AW310/AO310&gt;2,AW310/AO310&lt;0.5),"NM",AW310/AO310*100-100))</f>
        <v>-20</v>
      </c>
      <c r="AY310" s="101">
        <f>-5+7</f>
        <v>2</v>
      </c>
      <c r="AZ310" s="87" t="str">
        <f>IF(ISERROR(AY310/AQ310),"NA",IF(OR(AY310/AQ310&gt;2,AY310/AQ310&lt;0.5),"NM",AY310/AQ310*100-100))</f>
        <v>NM</v>
      </c>
      <c r="BA310" s="101">
        <f>-6+8</f>
        <v>2</v>
      </c>
      <c r="BB310" s="87">
        <f>IF(ISERROR(BA310/AS310),"NA",IF(OR(BA310/AS310&gt;2,BA310/AS310&lt;0.5),"NM",BA310/AS310*100-100))</f>
        <v>-50</v>
      </c>
      <c r="BC310" s="101">
        <f>-3+6</f>
        <v>3</v>
      </c>
      <c r="BD310" s="87">
        <f>IF(ISERROR(BC310/AU310),"NA",IF(OR(BC310/AU310&gt;2,BC310/AU310&lt;0.5),"NM",BC310/AU310*100-100))</f>
        <v>0</v>
      </c>
      <c r="BE310" s="101">
        <f>-3+6</f>
        <v>3</v>
      </c>
      <c r="BF310" s="87">
        <f>IF(ISERROR(BE310/AW310),"NA",IF(OR(BE310/AW310&gt;2,BE310/AW310&lt;0.5),"NM",BE310/AW310*100-100))</f>
        <v>-25</v>
      </c>
      <c r="BG310" s="101">
        <f>-4+6</f>
        <v>2</v>
      </c>
      <c r="BH310" s="87">
        <f>IF(ISERROR(BG310/AY310),"NA",IF(OR(BG310/AY310&gt;2,BG310/AY310&lt;0.5),"NM",BG310/AY310*100-100))</f>
        <v>0</v>
      </c>
      <c r="BI310" s="101">
        <f>-4+5</f>
        <v>1</v>
      </c>
      <c r="BJ310" s="87">
        <f>IF(ISERROR(BI310/BA310),"NA",IF(OR(BI310/BA310&gt;2,BI310/BA310&lt;0.5),"NM",BI310/BA310*100-100))</f>
        <v>-50</v>
      </c>
      <c r="BK310" s="101">
        <f>-4+4</f>
        <v>0</v>
      </c>
      <c r="BL310" s="87" t="str">
        <f>IF(ISERROR(BK310/BC310),"NA",IF(OR(BK310/BC310&gt;2,BK310/BC310&lt;0.5),"NM",BK310/BC310*100-100))</f>
        <v>NM</v>
      </c>
      <c r="BM310" s="101">
        <f>-4+5</f>
        <v>1</v>
      </c>
      <c r="BN310" s="87" t="str">
        <f>IF(ISERROR(BM310/BE310),"NA",IF(OR(BM310/BE310&gt;2,BM310/BE310&lt;0.5),"NM",BM310/BE310*100-100))</f>
        <v>NM</v>
      </c>
      <c r="BO310" s="101">
        <f>-4+5</f>
        <v>1</v>
      </c>
      <c r="BP310" s="87">
        <f>IF(ISERROR(BO310/BG310),"NA",IF(OR(BO310/BG310&gt;2,BO310/BG310&lt;0.5),"NM",BO310/BG310*100-100))</f>
        <v>-50</v>
      </c>
      <c r="BQ310" s="101">
        <f>-5+4</f>
        <v>-1</v>
      </c>
      <c r="BR310" s="87" t="str">
        <f>IF(ISERROR(BQ310/BI310),"NA",IF(OR(BQ310/BI310&gt;2,BQ310/BI310&lt;0.5),"NM",BQ310/BI310*100-100))</f>
        <v>NM</v>
      </c>
      <c r="BS310" s="101">
        <f>-3+6</f>
        <v>3</v>
      </c>
      <c r="BT310" s="87" t="str">
        <f>IF(ISERROR(BS310/BK310),"NA",IF(OR(BS310/BK310&gt;2,BS310/BK310&lt;0.5),"NM",BS310/BK310*100-100))</f>
        <v>NA</v>
      </c>
      <c r="BU310" s="101">
        <f>-2+5</f>
        <v>3</v>
      </c>
      <c r="BV310" s="87" t="str">
        <f>IF(ISERROR(BU310/BM310),"NA",IF(OR(BU310/BM310&gt;2,BU310/BM310&lt;0.5),"NM",BU310/BM310*100-100))</f>
        <v>NM</v>
      </c>
      <c r="BW310" s="101">
        <f>-3+4</f>
        <v>1</v>
      </c>
      <c r="BX310" s="72">
        <f>IF(ISERROR(BW310/BO310),"NA",IF(OR(BW310/BO310&gt;2,BW310/BO310&lt;0.5),"NM",BW310/BO310*100-100))</f>
        <v>0</v>
      </c>
      <c r="BY310" s="101">
        <f>-5+4</f>
        <v>-1</v>
      </c>
      <c r="BZ310" s="72">
        <f>IF(ISERROR(BY310/BQ310),"NA",IF(OR(BY310/BQ310&gt;2,BY310/BQ310&lt;0.5),"NM",BY310/BQ310*100-100))</f>
        <v>0</v>
      </c>
      <c r="CA310" s="101">
        <f>-7+5</f>
        <v>-2</v>
      </c>
      <c r="CB310" s="72" t="str">
        <f>IF(ISERROR(CA310/BS310),"NA",IF(OR(CA310/BS310&gt;2,CA310/BS310&lt;0.5),"NM",CA310/BS310*100-100))</f>
        <v>NM</v>
      </c>
      <c r="CC310" s="101">
        <f>-7+5</f>
        <v>-2</v>
      </c>
      <c r="CD310" s="72" t="str">
        <f>IF(ISERROR(CC310/BU310),"NA",IF(OR(CC310/BU310&gt;2,CC310/BU310&lt;0.5),"NM",CC310/BU310*100-100))</f>
        <v>NM</v>
      </c>
      <c r="CE310" s="101">
        <v>0</v>
      </c>
      <c r="CF310" s="72" t="str">
        <f>IF(ISERROR(CE310/BW310),"NA",IF(OR(CE310/BW310&gt;2,CE310/BW310&lt;0.5),"NM",CE310/BW310*100-100))</f>
        <v>NM</v>
      </c>
      <c r="CG310" s="101">
        <f>-6+7</f>
        <v>1</v>
      </c>
      <c r="CH310" s="72" t="str">
        <f>IF(ISERROR(CG310/BY310),"NA",IF(OR(CG310/BY310&gt;2,CG310/BY310&lt;0.5),"NM",CG310/BY310*100-100))</f>
        <v>NM</v>
      </c>
      <c r="CI310" s="101">
        <f>-6+6</f>
        <v>0</v>
      </c>
      <c r="CJ310" s="72" t="str">
        <f>IF(ISERROR(CI310/CA310),"NA",IF(OR(CI310/CA310&gt;2,CI310/CA310&lt;0.5),"NM",CI310/CA310*100-100))</f>
        <v>NM</v>
      </c>
      <c r="CK310" s="101">
        <f>-6+6</f>
        <v>0</v>
      </c>
      <c r="CL310" s="72" t="str">
        <f>IF(ISERROR(CK310/CC310),"NA",IF(OR(CK310/CC310&gt;2,CK310/CC310&lt;0.5),"NM",CK310/CC310*100-100))</f>
        <v>NM</v>
      </c>
      <c r="CM310" s="101">
        <f>-7+6</f>
        <v>-1</v>
      </c>
      <c r="CN310" s="72" t="str">
        <f>IF(ISERROR(CM310/CE310),"NA",IF(OR(CM310/CE310&gt;2,CM310/CE310&lt;0.5),"NM",CM310/CE310*100-100))</f>
        <v>NA</v>
      </c>
      <c r="CO310" s="101">
        <f>6-6</f>
        <v>0</v>
      </c>
      <c r="CP310" s="72" t="str">
        <f>IF(ISERROR(CO310/CG310),"NA",IF(OR(CO310/CG310&gt;2,CO310/CG310&lt;0.5),"NM",CO310/CG310*100-100))</f>
        <v>NM</v>
      </c>
      <c r="CQ310" s="101">
        <f>-5+7</f>
        <v>2</v>
      </c>
      <c r="CR310" s="72" t="str">
        <f>IF(ISERROR(CQ310/CI310),"NA",IF(OR(CQ310/CI310&gt;2,CQ310/CI310&lt;0.5),"NM",CQ310/CI310*100-100))</f>
        <v>NA</v>
      </c>
      <c r="CS310" s="101">
        <f>-5+6</f>
        <v>1</v>
      </c>
      <c r="CT310" s="72" t="str">
        <f>IF(ISERROR(CS310/CK310),"NA",IF(OR(CS310/CK310&gt;2,CS310/CK310&lt;0.5),"NM",CS310/CK310*100-100))</f>
        <v>NA</v>
      </c>
      <c r="CU310" s="101">
        <f>-7+6</f>
        <v>-1</v>
      </c>
      <c r="CV310" s="72">
        <f>IF(ISERROR(CU310/CM310),"NA",IF(OR(CU310/CM310&gt;2,CU310/CM310&lt;0.5),"NM",CU310/CM310*100-100))</f>
        <v>0</v>
      </c>
      <c r="CW310" s="101">
        <f>-6+6</f>
        <v>0</v>
      </c>
      <c r="CX310" s="72" t="str">
        <f>IF(ISERROR(CW310/CO310),"NA",IF(OR(CW310/CO310&gt;2,CW310/CO310&lt;0.5),"NM",CW310/CO310*100-100))</f>
        <v>NA</v>
      </c>
      <c r="CY310" s="101">
        <f>-7+6</f>
        <v>-1</v>
      </c>
      <c r="CZ310" s="72" t="str">
        <f>IF(ISERROR(CY310/CQ310),"NA",IF(OR(CY310/CQ310&gt;2,CY310/CQ310&lt;0.5),"NM",CY310/CQ310*100-100))</f>
        <v>NM</v>
      </c>
      <c r="DA310" s="101">
        <f>-6+6</f>
        <v>0</v>
      </c>
      <c r="DB310" s="72" t="str">
        <f>IF(ISERROR(DA310/CS310),"NA",IF(OR(DA310/CS310&gt;2,DA310/CS310&lt;0.5),"NM",DA310/CS310*100-100))</f>
        <v>NM</v>
      </c>
      <c r="DC310" s="101">
        <f>-7+6</f>
        <v>-1</v>
      </c>
      <c r="DD310" s="72">
        <f>IF(ISERROR(DC310/CU310),"NA",IF(OR(DC310/CU310&gt;2,DC310/CU310&lt;0.5),"NM",DC310/CU310*100-100))</f>
        <v>0</v>
      </c>
      <c r="DE310" s="101">
        <f>-6+7</f>
        <v>1</v>
      </c>
      <c r="DF310" s="72" t="str">
        <f>IF(ISERROR(DE310/CW310),"NA",IF(OR(DE310/CW310&gt;2,DE310/CW310&lt;0.5),"NM",DE310/CW310*100-100))</f>
        <v>NA</v>
      </c>
      <c r="DG310" s="101">
        <f>-5+6</f>
        <v>1</v>
      </c>
      <c r="DH310" s="72" t="str">
        <f>IF(ISERROR(DG310/CY310),"NA",IF(OR(DG310/CY310&gt;2,DG310/CY310&lt;0.5),"NM",DG310/CY310*100-100))</f>
        <v>NM</v>
      </c>
      <c r="DI310" s="101">
        <f>-4+6</f>
        <v>2</v>
      </c>
      <c r="DJ310" s="72" t="str">
        <f>IF(ISERROR(DI310/DA310),"NA",IF(OR(DI310/DA310&gt;2,DI310/DA310&lt;0.5),"NM",DI310/DA310*100-100))</f>
        <v>NA</v>
      </c>
      <c r="DK310" s="101">
        <f>-5+5</f>
        <v>0</v>
      </c>
      <c r="DL310" s="72" t="str">
        <f>IF(ISERROR(DK310/DC310),"NA",IF(OR(DK310/DC310&gt;2,DK310/DC310&lt;0.5),"NM",DK310/DC310*100-100))</f>
        <v>NM</v>
      </c>
      <c r="DM310" s="101">
        <f>-5+5</f>
        <v>0</v>
      </c>
      <c r="DN310" s="72" t="str">
        <f t="shared" si="1778"/>
        <v>NM</v>
      </c>
      <c r="DO310" s="101">
        <f>-3+5</f>
        <v>2</v>
      </c>
      <c r="DP310" s="72">
        <f t="shared" si="1778"/>
        <v>100</v>
      </c>
      <c r="DQ310" s="101">
        <f>-3+5</f>
        <v>2</v>
      </c>
      <c r="DR310" s="72">
        <f t="shared" si="1778"/>
        <v>0</v>
      </c>
      <c r="DS310" s="101">
        <f>-3+5</f>
        <v>2</v>
      </c>
      <c r="DT310" s="72" t="str">
        <f t="shared" si="1778"/>
        <v>NA</v>
      </c>
      <c r="DU310" s="101">
        <f>-3+5</f>
        <v>2</v>
      </c>
      <c r="DV310" s="72" t="str">
        <f t="shared" si="1778"/>
        <v>NA</v>
      </c>
      <c r="DW310" s="101">
        <f>-2+4</f>
        <v>2</v>
      </c>
      <c r="DX310" s="72">
        <f t="shared" si="1778"/>
        <v>0</v>
      </c>
      <c r="DY310" s="101">
        <f>-3+5</f>
        <v>2</v>
      </c>
      <c r="DZ310" s="72">
        <f t="shared" si="1778"/>
        <v>0</v>
      </c>
      <c r="EA310" s="74">
        <f>-3+4</f>
        <v>1</v>
      </c>
      <c r="EB310" s="72">
        <f>IF(ISERROR(EA310/DS310),"NA",IF(OR(EA310/DS310&gt;2,EA310/DS310&lt;0.5),"NM",EA310/DS310*100-100))</f>
        <v>-50</v>
      </c>
      <c r="EC310" s="74">
        <f>-3+4</f>
        <v>1</v>
      </c>
      <c r="ED310" s="72">
        <f>IF(ISERROR(EC310/DU310),"NA",IF(OR(EC310/DU310&gt;2,EC310/DU310&lt;0.5),"NM",EC310/DU310*100-100))</f>
        <v>-50</v>
      </c>
      <c r="EE310" s="101">
        <f>-2+3</f>
        <v>1</v>
      </c>
      <c r="EF310" s="72">
        <f>IF(ISERROR(EE310/DW310),"NA",IF(OR(EE310/DW310&gt;2,EE310/DW310&lt;0.5),"NM",EE310/DW310*100-100))</f>
        <v>-50</v>
      </c>
      <c r="EG310" s="101">
        <f>4-2</f>
        <v>2</v>
      </c>
      <c r="EH310" s="72">
        <f>IF(ISERROR(EG310/DY310),"NA",IF(OR(EG310/DY310&gt;2,EG310/DY310&lt;0.5),"NM",EG310/DY310*100-100))</f>
        <v>0</v>
      </c>
      <c r="EI310" s="101">
        <f>-2+4</f>
        <v>2</v>
      </c>
      <c r="EJ310" s="72">
        <f>IF(ISERROR(EI310/EA310),"NA",IF(OR(EI310/EA310&gt;2,EI310/EA310&lt;0.5),"NM",EI310/EA310*100-100))</f>
        <v>100</v>
      </c>
      <c r="EK310" s="101">
        <f>-1+2</f>
        <v>1</v>
      </c>
      <c r="EL310" s="72">
        <f>IF(ISERROR(EK310/EC310),"NA",IF(OR(EK310/EC310&gt;2,EK310/EC310&lt;0.5),"NM",EK310/EC310*100-100))</f>
        <v>0</v>
      </c>
      <c r="EM310" s="101">
        <f>-2+2</f>
        <v>0</v>
      </c>
      <c r="EN310" s="72" t="str">
        <f>IF(ISERROR(EM310/EE310),"NA",IF(OR(EM310/EE310&gt;2,EM310/EE310&lt;0.5),"NM",EM310/EE310*100-100))</f>
        <v>NM</v>
      </c>
      <c r="EO310" s="101">
        <f>-1+3</f>
        <v>2</v>
      </c>
      <c r="EP310" s="72">
        <f>IF(ISERROR(EO310/EG310),"NA",IF(OR(EO310/EG310&gt;2,EO310/EG310&lt;0.5),"NM",EO310/EG310*100-100))</f>
        <v>0</v>
      </c>
      <c r="EQ310" s="100">
        <f t="shared" ref="EQ310" si="1789">EQ314/100*EQ309</f>
        <v>1.8937396210164428</v>
      </c>
      <c r="ER310" s="72">
        <f t="shared" si="1779"/>
        <v>-5.3130189491778594</v>
      </c>
      <c r="ES310" s="100">
        <f t="shared" ref="ES310" si="1790">ES314/100*ES309</f>
        <v>1.8893132717508045</v>
      </c>
      <c r="ET310" s="72">
        <f t="shared" si="1780"/>
        <v>88.931327175080469</v>
      </c>
      <c r="EU310" s="100">
        <f t="shared" ref="EU310" si="1791">EU314/100*EU309</f>
        <v>1.9171605918481929</v>
      </c>
      <c r="EV310" s="72" t="str">
        <f t="shared" si="1781"/>
        <v>NA</v>
      </c>
      <c r="EW310" s="100">
        <f t="shared" ref="EW310" si="1792">EW314/100*EW309</f>
        <v>1.9603148222590865</v>
      </c>
      <c r="EX310" s="72">
        <f t="shared" si="1782"/>
        <v>-1.9842588870456694</v>
      </c>
      <c r="EY310" s="72"/>
      <c r="EZ310" s="307"/>
      <c r="FA310" s="72"/>
      <c r="FB310" s="75"/>
      <c r="FC310" s="87"/>
      <c r="FD310" s="101">
        <v>3</v>
      </c>
      <c r="FE310" s="87" t="str">
        <f>IF(ISERROR(FD310/FB310),"NA",IF(OR(FD310/FB310&gt;2,FD310/FB310&lt;0.5),"NM",FD310/FB310*100-100))</f>
        <v>NA</v>
      </c>
      <c r="FF310" s="101">
        <v>2</v>
      </c>
      <c r="FG310" s="87">
        <f>IF(ISERROR(FF310/FD310),"NA",IF(OR(FF310/FD310&gt;2,FF310/FD310&lt;0.5),"NM",FF310/FD310*100-100))</f>
        <v>-33.333333333333343</v>
      </c>
      <c r="FH310" s="75">
        <f>+K310+M310+O310+Q310</f>
        <v>28</v>
      </c>
      <c r="FI310" s="87" t="str">
        <f>IF(ISERROR(FH310/FF310),"NA",IF(OR(FH310/FF310&gt;2,FH310/FF310&lt;0.5),"NM",FH310/FF310*100-100))</f>
        <v>NM</v>
      </c>
      <c r="FJ310" s="75">
        <f>+S310+U310+W310+Y310</f>
        <v>40</v>
      </c>
      <c r="FK310" s="87">
        <f>IF(ISERROR(FJ310/FH310),"NA",IF(OR(FJ310/FH310&gt;2,FJ310/FH310&lt;0.5),"NM",FJ310/FH310*100-100))</f>
        <v>42.857142857142861</v>
      </c>
      <c r="FL310" s="75">
        <f>AA310+AC310+AE310+AG310</f>
        <v>36</v>
      </c>
      <c r="FM310" s="87">
        <f>IF(ISERROR(FL310/FJ310),"NA",IF(OR(FL310/FJ310&gt;2,FL310/FJ310&lt;0.5),"NM",FL310/FJ310*100-100))</f>
        <v>-10</v>
      </c>
      <c r="FN310" s="75">
        <f>AI310+AK310+AM310+AO310</f>
        <v>24</v>
      </c>
      <c r="FO310" s="87">
        <f>IF(ISERROR(FN310/FL310),"NA",IF(OR(FN310/FL310&gt;2,FN310/FL310&lt;0.5),"NM",FN310/FL310*100-100))</f>
        <v>-33.333333333333343</v>
      </c>
      <c r="FP310" s="75">
        <f>AQ310+AS310+AU310+AW310</f>
        <v>16</v>
      </c>
      <c r="FQ310" s="87">
        <f>IF(ISERROR(FP310/FN310),"NA",IF(OR(FP310/FN310&gt;2,FP310/FN310&lt;0.5),"NM",FP310/FN310*100-100))</f>
        <v>-33.333333333333343</v>
      </c>
      <c r="FR310" s="100">
        <f>AY310+BA310+BC310+BE310</f>
        <v>10</v>
      </c>
      <c r="FS310" s="87">
        <f>IF(ISERROR(FR310/FP310),"NA",IF(OR(FR310/FP310&gt;2,FR310/FP310&lt;0.5),"NM",FR310/FP310*100-100))</f>
        <v>-37.5</v>
      </c>
      <c r="FT310" s="100">
        <f>BG310+BI310+BK310+BM310</f>
        <v>4</v>
      </c>
      <c r="FU310" s="87" t="str">
        <f>IF(ISERROR(FT310/FR310),"NA",IF(OR(FT310/FR310&gt;2,FT310/FR310&lt;0.5),"NM",FT310/FR310*100-100))</f>
        <v>NM</v>
      </c>
      <c r="FV310" s="100">
        <f>BO310+BQ310+BS310+BU310</f>
        <v>6</v>
      </c>
      <c r="FW310" s="72">
        <f t="shared" si="1783"/>
        <v>50</v>
      </c>
      <c r="FX310" s="75">
        <f>BW310+BY310+CA310+CC310</f>
        <v>-4</v>
      </c>
      <c r="FY310" s="72" t="str">
        <f t="shared" si="1783"/>
        <v>NM</v>
      </c>
      <c r="FZ310" s="75">
        <f>CE310+CG310+CI310+CK310</f>
        <v>1</v>
      </c>
      <c r="GA310" s="72" t="str">
        <f t="shared" si="1783"/>
        <v>NM</v>
      </c>
      <c r="GB310" s="100">
        <f>CM310+CO310+CQ310+CS310</f>
        <v>2</v>
      </c>
      <c r="GC310" s="72">
        <f t="shared" si="1783"/>
        <v>100</v>
      </c>
      <c r="GD310" s="100">
        <f>CU310+CW310+CY310+DA310</f>
        <v>-2</v>
      </c>
      <c r="GE310" s="72" t="str">
        <f t="shared" si="1783"/>
        <v>NM</v>
      </c>
      <c r="GF310" s="100">
        <f>DC310+DE310+DG310+DI310</f>
        <v>3</v>
      </c>
      <c r="GG310" s="72" t="str">
        <f t="shared" si="1783"/>
        <v>NM</v>
      </c>
      <c r="GH310" s="100">
        <f>DK310+DM310+DO310+DQ310</f>
        <v>4</v>
      </c>
      <c r="GI310" s="72">
        <f t="shared" si="1784"/>
        <v>33.333333333333314</v>
      </c>
      <c r="GJ310" s="100">
        <f>DS310+DU310+DW310+DY310</f>
        <v>8</v>
      </c>
      <c r="GK310" s="72">
        <f t="shared" si="1784"/>
        <v>100</v>
      </c>
      <c r="GL310" s="100">
        <f>EA310+EC310+EE310+EG310</f>
        <v>5</v>
      </c>
      <c r="GM310" s="72">
        <f t="shared" si="1784"/>
        <v>-37.5</v>
      </c>
      <c r="GN310" s="100">
        <f>EI310+EK310+EM310+EO310</f>
        <v>5</v>
      </c>
      <c r="GO310" s="72">
        <f t="shared" si="1784"/>
        <v>0</v>
      </c>
      <c r="GP310" s="100">
        <f>EQ310+ES310+EU310+EW310</f>
        <v>7.6605283068745269</v>
      </c>
      <c r="GQ310" s="72">
        <f t="shared" si="1784"/>
        <v>53.210566137490531</v>
      </c>
      <c r="GR310" s="100">
        <f>GR314/100*GR309</f>
        <v>8.0856264453479252</v>
      </c>
      <c r="GS310" s="72">
        <f t="shared" si="1784"/>
        <v>5.5492013271710903</v>
      </c>
      <c r="GT310" s="100">
        <f>GT314/100*GT309</f>
        <v>8.4525103792622858</v>
      </c>
      <c r="GU310" s="72">
        <f t="shared" si="1784"/>
        <v>4.5374831052879898</v>
      </c>
      <c r="GV310" s="100">
        <f>GV314/100*GV309</f>
        <v>8.8184390762124103</v>
      </c>
      <c r="GW310" s="72">
        <f>IF(ISERROR(GV310/GT310),"NA",IF(OR(GV310/GT310&gt;2,GV310/GT310&lt;0.5),"NM",GV310/GT310*100-100))</f>
        <v>4.3292309684458701</v>
      </c>
      <c r="GX310" s="100">
        <f>GX314/100*GX309</f>
        <v>9.0884643527631734</v>
      </c>
      <c r="GY310" s="72">
        <f>IF(ISERROR(GX310/GV310),"NA",IF(OR(GX310/GV310&gt;2,GX310/GV310&lt;0.5),"NM",GX310/GV310*100-100))</f>
        <v>3.0620529803188248</v>
      </c>
      <c r="GZ310" s="72">
        <f>IF(ISERROR(((GX310/GN310)^0.2-1)*100),"NA",IF((((GX310/GN310)^0.2-1)*100)&gt;100,"NM",IF((((GX310/GN310)^0.2-1)*100)&lt;-50,"NM",((GX310/GN310)^0.2-1)*100)))</f>
        <v>12.694858024405619</v>
      </c>
      <c r="HA310" s="72"/>
      <c r="HB310" s="72"/>
      <c r="HC310"/>
      <c r="HD310"/>
      <c r="HE310"/>
      <c r="HF310"/>
      <c r="HG310"/>
      <c r="HH310"/>
      <c r="HI310" s="2"/>
    </row>
    <row r="311" spans="1:217" s="3" customFormat="1" ht="12.75" customHeight="1" collapsed="1" x14ac:dyDescent="0.2">
      <c r="B311" s="70" t="s">
        <v>2</v>
      </c>
      <c r="C311" s="91"/>
      <c r="D311" s="72"/>
      <c r="E311" s="91"/>
      <c r="F311" s="72"/>
      <c r="G311" s="91"/>
      <c r="H311" s="72"/>
      <c r="I311" s="91"/>
      <c r="J311" s="72"/>
      <c r="K311" s="91">
        <f>+K308+K309+K310</f>
        <v>303</v>
      </c>
      <c r="L311" s="87" t="str">
        <f>IF(ISERROR(K311/C311),"NA",IF(OR(K311/C311&gt;2,K311/C311&lt;0.5),"NM",K311/C311*100-100))</f>
        <v>NA</v>
      </c>
      <c r="M311" s="91">
        <f>+M308+M309+M310</f>
        <v>319</v>
      </c>
      <c r="N311" s="87" t="str">
        <f>IF(ISERROR(M311/E311),"NA",IF(OR(M311/E311&gt;2,M311/E311&lt;0.5),"NM",M311/E311*100-100))</f>
        <v>NA</v>
      </c>
      <c r="O311" s="91">
        <f>+O308+O309+O310</f>
        <v>309</v>
      </c>
      <c r="P311" s="87" t="str">
        <f>IF(ISERROR(O311/G311),"NA",IF(OR(O311/G311&gt;2,O311/G311&lt;0.5),"NM",O311/G311*100-100))</f>
        <v>NA</v>
      </c>
      <c r="Q311" s="91">
        <f>+Q308+Q309+Q310</f>
        <v>335</v>
      </c>
      <c r="R311" s="87" t="str">
        <f>IF(ISERROR(Q311/I311),"NA",IF(OR(Q311/I311&gt;2,Q311/I311&lt;0.5),"NM",Q311/I311*100-100))</f>
        <v>NA</v>
      </c>
      <c r="S311" s="91">
        <f>+S308+S309+S310</f>
        <v>283</v>
      </c>
      <c r="T311" s="87">
        <f>IF(ISERROR(S311/K311),"NA",IF(OR(S311/K311&gt;2,S311/K311&lt;0.5),"NM",S311/K311*100-100))</f>
        <v>-6.600660066006597</v>
      </c>
      <c r="U311" s="91">
        <f>+U308+U309+U310</f>
        <v>289</v>
      </c>
      <c r="V311" s="87">
        <f>IF(ISERROR(U311/M311),"NA",IF(OR(U311/M311&gt;2,U311/M311&lt;0.5),"NM",U311/M311*100-100))</f>
        <v>-9.4043887147335425</v>
      </c>
      <c r="W311" s="91">
        <f>+W308+W309+W310</f>
        <v>275</v>
      </c>
      <c r="X311" s="87">
        <f>IF(ISERROR(W311/O311),"NA",IF(OR(W311/O311&gt;2,W311/O311&lt;0.5),"NM",W311/O311*100-100))</f>
        <v>-11.003236245954696</v>
      </c>
      <c r="Y311" s="91">
        <f>+Y308+Y309+Y310</f>
        <v>294</v>
      </c>
      <c r="Z311" s="87">
        <f>IF(ISERROR(Y311/Q311),"NA",IF(OR(Y311/Q311&gt;2,Y311/Q311&lt;0.5),"NM",Y311/Q311*100-100))</f>
        <v>-12.238805970149258</v>
      </c>
      <c r="AA311" s="91">
        <f>+AA308+AA309+AA310</f>
        <v>260</v>
      </c>
      <c r="AB311" s="87">
        <f>IF(ISERROR(AA311/S311),"NA",IF(OR(AA311/S311&gt;2,AA311/S311&lt;0.5),"NM",AA311/S311*100-100))</f>
        <v>-8.1272084805653719</v>
      </c>
      <c r="AC311" s="91">
        <f>+AC308+AC309+AC310</f>
        <v>281</v>
      </c>
      <c r="AD311" s="87">
        <f>IF(ISERROR(AC311/U311),"NA",IF(OR(AC311/U311&gt;2,AC311/U311&lt;0.5),"NM",AC311/U311*100-100))</f>
        <v>-2.7681660899653906</v>
      </c>
      <c r="AE311" s="91">
        <f>+AE308+AE309+AE310</f>
        <v>300</v>
      </c>
      <c r="AF311" s="87">
        <f>IF(ISERROR(AE311/W311),"NA",IF(OR(AE311/W311&gt;2,AE311/W311&lt;0.5),"NM",AE311/W311*100-100))</f>
        <v>9.0909090909090793</v>
      </c>
      <c r="AG311" s="91">
        <f>+AG308+AG309+AG310</f>
        <v>311</v>
      </c>
      <c r="AH311" s="87">
        <f>IF(ISERROR(AG311/Y311),"NA",IF(OR(AG311/Y311&gt;2,AG311/Y311&lt;0.5),"NM",AG311/Y311*100-100))</f>
        <v>5.7823129251700607</v>
      </c>
      <c r="AI311" s="91">
        <f>+AI308+AI309+AI310</f>
        <v>289</v>
      </c>
      <c r="AJ311" s="87">
        <f>IF(ISERROR(AI311/AA311),"NA",IF(OR(AI311/AA311&gt;2,AI311/AA311&lt;0.5),"NM",AI311/AA311*100-100))</f>
        <v>11.15384615384616</v>
      </c>
      <c r="AK311" s="91">
        <f>+AK308+AK309+AK310</f>
        <v>306</v>
      </c>
      <c r="AL311" s="87">
        <f>IF(ISERROR(AK311/AC311),"NA",IF(OR(AK311/AC311&gt;2,AK311/AC311&lt;0.5),"NM",AK311/AC311*100-100))</f>
        <v>8.8967971530249201</v>
      </c>
      <c r="AM311" s="91">
        <f>+AM308+AM309+AM310</f>
        <v>275</v>
      </c>
      <c r="AN311" s="87">
        <f>IF(ISERROR(AM311/AE311),"NA",IF(OR(AM311/AE311&gt;2,AM311/AE311&lt;0.5),"NM",AM311/AE311*100-100))</f>
        <v>-8.3333333333333428</v>
      </c>
      <c r="AO311" s="91">
        <f>+AO308+AO309+AO310</f>
        <v>328</v>
      </c>
      <c r="AP311" s="87">
        <f>IF(ISERROR(AO311/AG311),"NA",IF(OR(AO311/AG311&gt;2,AO311/AG311&lt;0.5),"NM",AO311/AG311*100-100))</f>
        <v>5.4662379421221772</v>
      </c>
      <c r="AQ311" s="91">
        <f>+AQ308+AQ309+AQ310</f>
        <v>284</v>
      </c>
      <c r="AR311" s="87">
        <f>IF(ISERROR(AQ311/AI311),"NA",IF(OR(AQ311/AI311&gt;2,AQ311/AI311&lt;0.5),"NM",AQ311/AI311*100-100))</f>
        <v>-1.7301038062283851</v>
      </c>
      <c r="AS311" s="91">
        <f>+AS308+AS309+AS310</f>
        <v>296</v>
      </c>
      <c r="AT311" s="87">
        <f>IF(ISERROR(AS311/AK311),"NA",IF(OR(AS311/AK311&gt;2,AS311/AK311&lt;0.5),"NM",AS311/AK311*100-100))</f>
        <v>-3.2679738562091529</v>
      </c>
      <c r="AU311" s="91">
        <f>+AU308+AU309+AU310</f>
        <v>325</v>
      </c>
      <c r="AV311" s="87">
        <f>IF(ISERROR(AU311/AM311),"NA",IF(OR(AU311/AM311&gt;2,AU311/AM311&lt;0.5),"NM",AU311/AM311*100-100))</f>
        <v>18.181818181818187</v>
      </c>
      <c r="AW311" s="91">
        <f>+AW308+AW309+AW310</f>
        <v>327</v>
      </c>
      <c r="AX311" s="87">
        <f>IF(ISERROR(AW311/AO311),"NA",IF(OR(AW311/AO311&gt;2,AW311/AO311&lt;0.5),"NM",AW311/AO311*100-100))</f>
        <v>-0.30487804878049474</v>
      </c>
      <c r="AY311" s="91">
        <f>+AY308+AY309+AY310</f>
        <v>330</v>
      </c>
      <c r="AZ311" s="87">
        <f>IF(ISERROR(AY311/AQ311),"NA",IF(OR(AY311/AQ311&gt;2,AY311/AQ311&lt;0.5),"NM",AY311/AQ311*100-100))</f>
        <v>16.197183098591552</v>
      </c>
      <c r="BA311" s="91">
        <f>+BA308+BA309+BA310</f>
        <v>328</v>
      </c>
      <c r="BB311" s="87">
        <f>IF(ISERROR(BA311/AS311),"NA",IF(OR(BA311/AS311&gt;2,BA311/AS311&lt;0.5),"NM",BA311/AS311*100-100))</f>
        <v>10.810810810810807</v>
      </c>
      <c r="BC311" s="91">
        <f>+BC308+BC309+BC310</f>
        <v>338</v>
      </c>
      <c r="BD311" s="87">
        <f>IF(ISERROR(BC311/AU311),"NA",IF(OR(BC311/AU311&gt;2,BC311/AU311&lt;0.5),"NM",BC311/AU311*100-100))</f>
        <v>4</v>
      </c>
      <c r="BE311" s="91">
        <f>+BE308+BE309+BE310</f>
        <v>445</v>
      </c>
      <c r="BF311" s="87">
        <f>IF(ISERROR(BE311/AW311),"NA",IF(OR(BE311/AW311&gt;2,BE311/AW311&lt;0.5),"NM",BE311/AW311*100-100))</f>
        <v>36.085626911314989</v>
      </c>
      <c r="BG311" s="91">
        <f>+BG308+BG309+BG310</f>
        <v>370</v>
      </c>
      <c r="BH311" s="87">
        <f>IF(ISERROR(BG311/AY311),"NA",IF(OR(BG311/AY311&gt;2,BG311/AY311&lt;0.5),"NM",BG311/AY311*100-100))</f>
        <v>12.12121212121211</v>
      </c>
      <c r="BI311" s="91">
        <f>+BI308+BI309+BI310</f>
        <v>423</v>
      </c>
      <c r="BJ311" s="87">
        <f>IF(ISERROR(BI311/BA311),"NA",IF(OR(BI311/BA311&gt;2,BI311/BA311&lt;0.5),"NM",BI311/BA311*100-100))</f>
        <v>28.963414634146346</v>
      </c>
      <c r="BK311" s="91">
        <f>+BK308+BK309+BK310</f>
        <v>397</v>
      </c>
      <c r="BL311" s="87">
        <f>IF(ISERROR(BK311/BC311),"NA",IF(OR(BK311/BC311&gt;2,BK311/BC311&lt;0.5),"NM",BK311/BC311*100-100))</f>
        <v>17.455621301775139</v>
      </c>
      <c r="BM311" s="91">
        <f>+BM308+BM309+BM310</f>
        <v>428</v>
      </c>
      <c r="BN311" s="87">
        <f>IF(ISERROR(BM311/BE311),"NA",IF(OR(BM311/BE311&gt;2,BM311/BE311&lt;0.5),"NM",BM311/BE311*100-100))</f>
        <v>-3.8202247191011338</v>
      </c>
      <c r="BO311" s="91">
        <f>+BO308+BO309+BO310</f>
        <v>429</v>
      </c>
      <c r="BP311" s="87">
        <f>IF(ISERROR(BO311/BG311),"NA",IF(OR(BO311/BG311&gt;2,BO311/BG311&lt;0.5),"NM",BO311/BG311*100-100))</f>
        <v>15.945945945945937</v>
      </c>
      <c r="BQ311" s="91">
        <f>+BQ308+BQ309+BQ310</f>
        <v>374</v>
      </c>
      <c r="BR311" s="87">
        <f>IF(ISERROR(BQ311/BI311),"NA",IF(OR(BQ311/BI311&gt;2,BQ311/BI311&lt;0.5),"NM",BQ311/BI311*100-100))</f>
        <v>-11.583924349881798</v>
      </c>
      <c r="BS311" s="91">
        <f>+BS308+BS309+BS310</f>
        <v>353</v>
      </c>
      <c r="BT311" s="87">
        <f>IF(ISERROR(BS311/BK311),"NA",IF(OR(BS311/BK311&gt;2,BS311/BK311&lt;0.5),"NM",BS311/BK311*100-100))</f>
        <v>-11.083123425692705</v>
      </c>
      <c r="BU311" s="91">
        <f>+BU308+BU309+BU310</f>
        <v>298</v>
      </c>
      <c r="BV311" s="87">
        <f>IF(ISERROR(BU311/BM311),"NA",IF(OR(BU311/BM311&gt;2,BU311/BM311&lt;0.5),"NM",BU311/BM311*100-100))</f>
        <v>-30.373831775700936</v>
      </c>
      <c r="BW311" s="91">
        <f>+BW308+BW309+BW310</f>
        <v>264</v>
      </c>
      <c r="BX311" s="72">
        <f>IF(ISERROR(BW311/BO311),"NA",IF(OR(BW311/BO311&gt;2,BW311/BO311&lt;0.5),"NM",BW311/BO311*100-100))</f>
        <v>-38.46153846153846</v>
      </c>
      <c r="BY311" s="91">
        <f>+BY308+BY309+BY310</f>
        <v>309</v>
      </c>
      <c r="BZ311" s="72">
        <f>IF(ISERROR(BY311/BQ311),"NA",IF(OR(BY311/BQ311&gt;2,BY311/BQ311&lt;0.5),"NM",BY311/BQ311*100-100))</f>
        <v>-17.379679144385022</v>
      </c>
      <c r="CA311" s="91">
        <f>+CA308+CA309+CA310</f>
        <v>262</v>
      </c>
      <c r="CB311" s="72">
        <f>IF(ISERROR(CA311/BS311),"NA",IF(OR(CA311/BS311&gt;2,CA311/BS311&lt;0.5),"NM",CA311/BS311*100-100))</f>
        <v>-25.779036827195469</v>
      </c>
      <c r="CC311" s="91">
        <f>+CC308+CC309+CC310</f>
        <v>367</v>
      </c>
      <c r="CD311" s="72">
        <f>IF(ISERROR(CC311/BU311),"NA",IF(OR(CC311/BU311&gt;2,CC311/BU311&lt;0.5),"NM",CC311/BU311*100-100))</f>
        <v>23.154362416107375</v>
      </c>
      <c r="CE311" s="91">
        <f>+CE308+CE309+CE310</f>
        <v>296</v>
      </c>
      <c r="CF311" s="72">
        <f>IF(ISERROR(CE311/BW311),"NA",IF(OR(CE311/BW311&gt;2,CE311/BW311&lt;0.5),"NM",CE311/BW311*100-100))</f>
        <v>12.12121212121211</v>
      </c>
      <c r="CG311" s="91">
        <f>+CG308+CG309+CG310</f>
        <v>370</v>
      </c>
      <c r="CH311" s="72">
        <f>IF(ISERROR(CG311/BY311),"NA",IF(OR(CG311/BY311&gt;2,CG311/BY311&lt;0.5),"NM",CG311/BY311*100-100))</f>
        <v>19.741100323624593</v>
      </c>
      <c r="CI311" s="91">
        <f>+CI308+CI309+CI310</f>
        <v>345</v>
      </c>
      <c r="CJ311" s="72">
        <f>IF(ISERROR(CI311/CA311),"NA",IF(OR(CI311/CA311&gt;2,CI311/CA311&lt;0.5),"NM",CI311/CA311*100-100))</f>
        <v>31.679389312977094</v>
      </c>
      <c r="CK311" s="91">
        <f>+CK308+CK309+CK310</f>
        <v>390</v>
      </c>
      <c r="CL311" s="72">
        <f>IF(ISERROR(CK311/CC311),"NA",IF(OR(CK311/CC311&gt;2,CK311/CC311&lt;0.5),"NM",CK311/CC311*100-100))</f>
        <v>6.2670299727520415</v>
      </c>
      <c r="CM311" s="91">
        <f>+CM308+CM309+CM310</f>
        <v>394</v>
      </c>
      <c r="CN311" s="72">
        <f>IF(ISERROR(CM311/CE311),"NA",IF(OR(CM311/CE311&gt;2,CM311/CE311&lt;0.5),"NM",CM311/CE311*100-100))</f>
        <v>33.108108108108127</v>
      </c>
      <c r="CO311" s="91">
        <f>+CO308+CO309+CO310</f>
        <v>429</v>
      </c>
      <c r="CP311" s="72">
        <f>IF(ISERROR(CO311/CG311),"NA",IF(OR(CO311/CG311&gt;2,CO311/CG311&lt;0.5),"NM",CO311/CG311*100-100))</f>
        <v>15.945945945945937</v>
      </c>
      <c r="CQ311" s="91">
        <f>+CQ308+CQ309+CQ310</f>
        <v>390</v>
      </c>
      <c r="CR311" s="72">
        <f>IF(ISERROR(CQ311/CI311),"NA",IF(OR(CQ311/CI311&gt;2,CQ311/CI311&lt;0.5),"NM",CQ311/CI311*100-100))</f>
        <v>13.043478260869563</v>
      </c>
      <c r="CS311" s="91">
        <f>+CS308+CS309+CS310</f>
        <v>457</v>
      </c>
      <c r="CT311" s="72">
        <f>IF(ISERROR(CS311/CK311),"NA",IF(OR(CS311/CK311&gt;2,CS311/CK311&lt;0.5),"NM",CS311/CK311*100-100))</f>
        <v>17.179487179487182</v>
      </c>
      <c r="CU311" s="91">
        <f>+CU308+CU309+CU310</f>
        <v>416</v>
      </c>
      <c r="CV311" s="72">
        <f>IF(ISERROR(CU311/CM311),"NA",IF(OR(CU311/CM311&gt;2,CU311/CM311&lt;0.5),"NM",CU311/CM311*100-100))</f>
        <v>5.5837563451776759</v>
      </c>
      <c r="CW311" s="91">
        <f>+CW308+CW309+CW310</f>
        <v>441</v>
      </c>
      <c r="CX311" s="72">
        <f>IF(ISERROR(CW311/CO311),"NA",IF(OR(CW311/CO311&gt;2,CW311/CO311&lt;0.5),"NM",CW311/CO311*100-100))</f>
        <v>2.797202797202786</v>
      </c>
      <c r="CY311" s="91">
        <f>+CY308+CY309+CY310</f>
        <v>435</v>
      </c>
      <c r="CZ311" s="72">
        <f>IF(ISERROR(CY311/CQ311),"NA",IF(OR(CY311/CQ311&gt;2,CY311/CQ311&lt;0.5),"NM",CY311/CQ311*100-100))</f>
        <v>11.538461538461547</v>
      </c>
      <c r="DA311" s="91">
        <f>+DA308+DA309+DA310</f>
        <v>500</v>
      </c>
      <c r="DB311" s="72">
        <f>IF(ISERROR(DA311/CS311),"NA",IF(OR(DA311/CS311&gt;2,DA311/CS311&lt;0.5),"NM",DA311/CS311*100-100))</f>
        <v>9.4091903719912438</v>
      </c>
      <c r="DC311" s="91">
        <f>+DC308+DC309+DC310</f>
        <v>473</v>
      </c>
      <c r="DD311" s="72">
        <f>IF(ISERROR(DC311/CU311),"NA",IF(OR(DC311/CU311&gt;2,DC311/CU311&lt;0.5),"NM",DC311/CU311*100-100))</f>
        <v>13.70192307692308</v>
      </c>
      <c r="DE311" s="91">
        <f>+DE308+DE309+DE310</f>
        <v>490</v>
      </c>
      <c r="DF311" s="72">
        <f>IF(ISERROR(DE311/CW311),"NA",IF(OR(DE311/CW311&gt;2,DE311/CW311&lt;0.5),"NM",DE311/CW311*100-100))</f>
        <v>11.111111111111114</v>
      </c>
      <c r="DG311" s="91">
        <f>+DG308+DG309+DG310</f>
        <v>476</v>
      </c>
      <c r="DH311" s="72">
        <f>IF(ISERROR(DG311/CY311),"NA",IF(OR(DG311/CY311&gt;2,DG311/CY311&lt;0.5),"NM",DG311/CY311*100-100))</f>
        <v>9.4252873563218458</v>
      </c>
      <c r="DI311" s="91">
        <f>+DI308+DI309+DI310</f>
        <v>516</v>
      </c>
      <c r="DJ311" s="72">
        <f>IF(ISERROR(DI311/DA311),"NA",IF(OR(DI311/DA311&gt;2,DI311/DA311&lt;0.5),"NM",DI311/DA311*100-100))</f>
        <v>3.2000000000000028</v>
      </c>
      <c r="DK311" s="91">
        <f>+DK308+DK309+DK310</f>
        <v>474</v>
      </c>
      <c r="DL311" s="72">
        <f>IF(ISERROR(DK311/DC311),"NA",IF(OR(DK311/DC311&gt;2,DK311/DC311&lt;0.5),"NM",DK311/DC311*100-100))</f>
        <v>0.21141649048625766</v>
      </c>
      <c r="DM311" s="91">
        <f>+DM308+DM309+DM310</f>
        <v>513</v>
      </c>
      <c r="DN311" s="72">
        <f t="shared" si="1778"/>
        <v>4.6938775510203925</v>
      </c>
      <c r="DO311" s="91">
        <f>+DO308+DO309+DO310</f>
        <v>521</v>
      </c>
      <c r="DP311" s="72">
        <f t="shared" si="1778"/>
        <v>9.4537815126050475</v>
      </c>
      <c r="DQ311" s="91">
        <f>+DQ308+DQ309+DQ310</f>
        <v>547</v>
      </c>
      <c r="DR311" s="72">
        <f t="shared" si="1778"/>
        <v>6.0077519379845086</v>
      </c>
      <c r="DS311" s="91">
        <f>+DS308+DS309+DS310</f>
        <v>528</v>
      </c>
      <c r="DT311" s="72">
        <f t="shared" si="1778"/>
        <v>11.392405063291136</v>
      </c>
      <c r="DU311" s="91">
        <f>+DU308+DU309+DU310</f>
        <v>580</v>
      </c>
      <c r="DV311" s="72">
        <f t="shared" si="1778"/>
        <v>13.060428849902522</v>
      </c>
      <c r="DW311" s="91">
        <f>+DW308+DW309+DW310</f>
        <v>524</v>
      </c>
      <c r="DX311" s="72">
        <f t="shared" si="1778"/>
        <v>0.57581573896352722</v>
      </c>
      <c r="DY311" s="91">
        <f>+DY308+DY309+DY310</f>
        <v>533</v>
      </c>
      <c r="DZ311" s="72">
        <f t="shared" si="1778"/>
        <v>-2.5594149908592385</v>
      </c>
      <c r="EA311" s="91">
        <f>+EA308+EA309+EA310</f>
        <v>541</v>
      </c>
      <c r="EB311" s="72">
        <f>IF(ISERROR(EA311/DS311),"NA",IF(OR(EA311/DS311&gt;2,EA311/DS311&lt;0.5),"NM",EA311/DS311*100-100))</f>
        <v>2.4621212121212182</v>
      </c>
      <c r="EC311" s="91">
        <f>+EC308+EC309+EC310</f>
        <v>525</v>
      </c>
      <c r="ED311" s="72">
        <f>IF(ISERROR(EC311/DU311),"NA",IF(OR(EC311/DU311&gt;2,EC311/DU311&lt;0.5),"NM",EC311/DU311*100-100))</f>
        <v>-9.4827586206896513</v>
      </c>
      <c r="EE311" s="91">
        <f>+EE308+EE309+EE310</f>
        <v>559</v>
      </c>
      <c r="EF311" s="72">
        <f>IF(ISERROR(EE311/DW311),"NA",IF(OR(EE311/DW311&gt;2,EE311/DW311&lt;0.5),"NM",EE311/DW311*100-100))</f>
        <v>6.6793893129770936</v>
      </c>
      <c r="EG311" s="91">
        <f>+EG308+EG309+EG310</f>
        <v>549</v>
      </c>
      <c r="EH311" s="72">
        <f>IF(ISERROR(EG311/DY311),"NA",IF(OR(EG311/DY311&gt;2,EG311/DY311&lt;0.5),"NM",EG311/DY311*100-100))</f>
        <v>3.0018761726078793</v>
      </c>
      <c r="EI311" s="91">
        <f>+EI308+EI309+EI310</f>
        <v>560</v>
      </c>
      <c r="EJ311" s="72">
        <f>IF(ISERROR(EI311/EA311),"NA",IF(OR(EI311/EA311&gt;2,EI311/EA311&lt;0.5),"NM",EI311/EA311*100-100))</f>
        <v>3.5120147874306866</v>
      </c>
      <c r="EK311" s="91">
        <f>+EK308+EK309+EK310</f>
        <v>569</v>
      </c>
      <c r="EL311" s="72">
        <f>IF(ISERROR(EK311/EC311),"NA",IF(OR(EK311/EC311&gt;2,EK311/EC311&lt;0.5),"NM",EK311/EC311*100-100))</f>
        <v>8.3809523809523796</v>
      </c>
      <c r="EM311" s="91">
        <f>+EM308+EM309+EM310</f>
        <v>568</v>
      </c>
      <c r="EN311" s="72">
        <f>IF(ISERROR(EM311/EE311),"NA",IF(OR(EM311/EE311&gt;2,EM311/EE311&lt;0.5),"NM",EM311/EE311*100-100))</f>
        <v>1.6100178890876577</v>
      </c>
      <c r="EO311" s="91">
        <f>+EO308+EO309+EO310</f>
        <v>679</v>
      </c>
      <c r="EP311" s="72">
        <f>IF(ISERROR(EO311/EG311),"NA",IF(OR(EO311/EG311&gt;2,EO311/EG311&lt;0.5),"NM",EO311/EG311*100-100))</f>
        <v>23.679417122040064</v>
      </c>
      <c r="EQ311" s="91">
        <f t="shared" ref="EQ311" si="1793">+EQ308+EQ309+EQ310</f>
        <v>643.42964285101664</v>
      </c>
      <c r="ER311" s="72">
        <f t="shared" si="1779"/>
        <v>14.898150509110124</v>
      </c>
      <c r="ES311" s="91">
        <f t="shared" ref="ES311" si="1794">+ES308+ES309+ES310</f>
        <v>642.02540267239488</v>
      </c>
      <c r="ET311" s="72">
        <f t="shared" si="1780"/>
        <v>12.833989924849718</v>
      </c>
      <c r="EU311" s="91">
        <f t="shared" ref="EU311" si="1795">+EU308+EU309+EU310</f>
        <v>651.44978656506862</v>
      </c>
      <c r="EV311" s="72">
        <f t="shared" si="1781"/>
        <v>14.69186383187828</v>
      </c>
      <c r="EW311" s="91">
        <f t="shared" ref="EW311" si="1796">+EW308+EW309+EW310</f>
        <v>666.01045494792345</v>
      </c>
      <c r="EX311" s="72">
        <f t="shared" si="1782"/>
        <v>-1.9130405084059703</v>
      </c>
      <c r="EY311" s="72"/>
      <c r="EZ311" s="309"/>
      <c r="FA311" s="72"/>
      <c r="FB311" s="81"/>
      <c r="FC311" s="72"/>
      <c r="FD311" s="91">
        <f>+FD308+FD309+FD310</f>
        <v>1166</v>
      </c>
      <c r="FE311" s="87" t="str">
        <f>IF(ISERROR(FD311/FB311),"NA",IF(OR(FD311/FB311&gt;2,FD311/FB311&lt;0.5),"NM",FD311/FB311*100-100))</f>
        <v>NA</v>
      </c>
      <c r="FF311" s="91">
        <f>+FF308+FF309+FF310</f>
        <v>1286</v>
      </c>
      <c r="FG311" s="87">
        <f>IF(ISERROR(FF311/FD311),"NA",IF(OR(FF311/FD311&gt;2,FF311/FD311&lt;0.5),"NM",FF311/FD311*100-100))</f>
        <v>10.291595197255575</v>
      </c>
      <c r="FH311" s="91">
        <f>+FH308+FH309+FH310</f>
        <v>1266</v>
      </c>
      <c r="FI311" s="87">
        <f>IF(ISERROR(FH311/FF311),"NA",IF(OR(FH311/FF311&gt;2,FH311/FF311&lt;0.5),"NM",FH311/FF311*100-100))</f>
        <v>-1.5552099533437058</v>
      </c>
      <c r="FJ311" s="91">
        <f>+FJ308+FJ309+FJ310</f>
        <v>1141</v>
      </c>
      <c r="FK311" s="87">
        <f>IF(ISERROR(FJ311/FH311),"NA",IF(OR(FJ311/FH311&gt;2,FJ311/FH311&lt;0.5),"NM",FJ311/FH311*100-100))</f>
        <v>-9.8736176935229025</v>
      </c>
      <c r="FL311" s="91">
        <f>+FL308+FL309+FL310</f>
        <v>1152</v>
      </c>
      <c r="FM311" s="87">
        <f>IF(ISERROR(FL311/FJ311),"NA",IF(OR(FL311/FJ311&gt;2,FL311/FJ311&lt;0.5),"NM",FL311/FJ311*100-100))</f>
        <v>0.96406660823838308</v>
      </c>
      <c r="FN311" s="91">
        <f>+FN308+FN309+FN310</f>
        <v>1198</v>
      </c>
      <c r="FO311" s="87">
        <f>IF(ISERROR(FN311/FL311),"NA",IF(OR(FN311/FL311&gt;2,FN311/FL311&lt;0.5),"NM",FN311/FL311*100-100))</f>
        <v>3.9930555555555571</v>
      </c>
      <c r="FP311" s="91">
        <f>+FP308+FP309+FP310</f>
        <v>1232</v>
      </c>
      <c r="FQ311" s="87">
        <f>IF(ISERROR(FP311/FN311),"NA",IF(OR(FP311/FN311&gt;2,FP311/FN311&lt;0.5),"NM",FP311/FN311*100-100))</f>
        <v>2.8380634390651238</v>
      </c>
      <c r="FR311" s="91">
        <f>+FR308+FR309+FR310</f>
        <v>1441</v>
      </c>
      <c r="FS311" s="87">
        <f>IF(ISERROR(FR311/FP311),"NA",IF(OR(FR311/FP311&gt;2,FR311/FP311&lt;0.5),"NM",FR311/FP311*100-100))</f>
        <v>16.964285714285722</v>
      </c>
      <c r="FT311" s="91">
        <f>+FT308+FT309+FT310</f>
        <v>1618</v>
      </c>
      <c r="FU311" s="87">
        <f>IF(ISERROR(FT311/FR311),"NA",IF(OR(FT311/FR311&gt;2,FT311/FR311&lt;0.5),"NM",FT311/FR311*100-100))</f>
        <v>12.283136710617626</v>
      </c>
      <c r="FV311" s="91">
        <f>+FV308+FV309+FV310</f>
        <v>1454</v>
      </c>
      <c r="FW311" s="72">
        <f t="shared" si="1783"/>
        <v>-10.135970333745377</v>
      </c>
      <c r="FX311" s="91">
        <f>+FX308+FX309+FX310</f>
        <v>1202</v>
      </c>
      <c r="FY311" s="72">
        <f t="shared" si="1783"/>
        <v>-17.331499312242087</v>
      </c>
      <c r="FZ311" s="91">
        <f>+FZ308+FZ309+FZ310</f>
        <v>1401</v>
      </c>
      <c r="GA311" s="72">
        <f t="shared" si="1783"/>
        <v>16.555740432612325</v>
      </c>
      <c r="GB311" s="91">
        <f>+GB308+GB309+GB310</f>
        <v>1670</v>
      </c>
      <c r="GC311" s="72">
        <f t="shared" si="1783"/>
        <v>19.200571020699499</v>
      </c>
      <c r="GD311" s="91">
        <f>+GD308+GD309+GD310</f>
        <v>1792</v>
      </c>
      <c r="GE311" s="72">
        <f t="shared" si="1783"/>
        <v>7.3053892215568794</v>
      </c>
      <c r="GF311" s="91">
        <f>+GF308+GF309+GF310</f>
        <v>1955</v>
      </c>
      <c r="GG311" s="72">
        <f t="shared" si="1783"/>
        <v>9.0959821428571388</v>
      </c>
      <c r="GH311" s="91">
        <f>+GH308+GH309+GH310</f>
        <v>2055</v>
      </c>
      <c r="GI311" s="72">
        <f t="shared" si="1784"/>
        <v>5.1150895140664971</v>
      </c>
      <c r="GJ311" s="91">
        <f>+GJ308+GJ309+GJ310</f>
        <v>2165</v>
      </c>
      <c r="GK311" s="72">
        <f t="shared" si="1784"/>
        <v>5.3527980535279767</v>
      </c>
      <c r="GL311" s="91">
        <f>+GL308+GL309+GL310</f>
        <v>2174</v>
      </c>
      <c r="GM311" s="72">
        <f t="shared" si="1784"/>
        <v>0.41570438799077181</v>
      </c>
      <c r="GN311" s="91">
        <f>+GN308+GN309+GN310</f>
        <v>2376</v>
      </c>
      <c r="GO311" s="72">
        <f t="shared" si="1784"/>
        <v>9.2916283348666013</v>
      </c>
      <c r="GP311" s="91">
        <f>+GP308+GP309+GP310</f>
        <v>2602.9152870364032</v>
      </c>
      <c r="GQ311" s="72">
        <f t="shared" si="1784"/>
        <v>9.5503066934513186</v>
      </c>
      <c r="GR311" s="91">
        <f>+GR308+GR309+GR310</f>
        <v>2748.4884361014279</v>
      </c>
      <c r="GS311" s="72">
        <f t="shared" si="1784"/>
        <v>5.5926963812475776</v>
      </c>
      <c r="GT311" s="91">
        <f>+GT308+GT309+GT310</f>
        <v>2874.7964646615442</v>
      </c>
      <c r="GU311" s="72">
        <f t="shared" si="1784"/>
        <v>4.5955452059051538</v>
      </c>
      <c r="GV311" s="91">
        <f>+GV308+GV309+GV310</f>
        <v>3001.0736734060256</v>
      </c>
      <c r="GW311" s="72">
        <f>IF(ISERROR(GV311/GT311),"NA",IF(OR(GV311/GT311&gt;2,GV311/GT311&lt;0.5),"NM",GV311/GT311*100-100))</f>
        <v>4.3925617099069427</v>
      </c>
      <c r="GX311" s="91">
        <f>+GX308+GX309+GX310</f>
        <v>3095.4910163891154</v>
      </c>
      <c r="GY311" s="72">
        <f>IF(ISERROR(GX311/GV311),"NA",IF(OR(GX311/GV311&gt;2,GX311/GV311&lt;0.5),"NM",GX311/GV311*100-100))</f>
        <v>3.1461187980744256</v>
      </c>
      <c r="GZ311" s="72">
        <f>IF(ISERROR(((GX311/GN311)^0.2-1)*100),"NA",IF((((GX311/GN311)^0.2-1)*100)&gt;100,"NM",IF((((GX311/GN311)^0.2-1)*100)&lt;-50,"NM",((GX311/GN311)^0.2-1)*100)))</f>
        <v>5.4330141247787456</v>
      </c>
      <c r="HA311" s="72"/>
      <c r="HB311" s="72"/>
      <c r="HC311"/>
      <c r="HD311"/>
      <c r="HE311"/>
      <c r="HF311"/>
      <c r="HG311"/>
      <c r="HH311"/>
      <c r="HI311" s="2"/>
    </row>
    <row r="312" spans="1:217" s="3" customFormat="1" ht="12.75" customHeight="1" x14ac:dyDescent="0.2">
      <c r="EZ312" s="297"/>
      <c r="GG312" s="168"/>
      <c r="GI312" s="168"/>
      <c r="GK312" s="168"/>
      <c r="GM312" s="168"/>
      <c r="GO312" s="168"/>
      <c r="GQ312" s="168"/>
      <c r="GS312" s="168"/>
      <c r="GU312" s="168"/>
      <c r="GW312" s="168"/>
      <c r="GY312" s="168"/>
      <c r="HC312"/>
      <c r="HD312"/>
      <c r="HE312"/>
      <c r="HF312"/>
      <c r="HG312"/>
      <c r="HH312"/>
    </row>
    <row r="313" spans="1:217" s="3" customFormat="1" ht="12.75" customHeight="1" x14ac:dyDescent="0.2">
      <c r="B313" s="10" t="s">
        <v>434</v>
      </c>
      <c r="C313" s="81"/>
      <c r="D313" s="72"/>
      <c r="E313" s="81"/>
      <c r="F313" s="72"/>
      <c r="G313" s="81"/>
      <c r="H313" s="72"/>
      <c r="I313" s="81"/>
      <c r="J313" s="72"/>
      <c r="K313" s="81">
        <f>+K309/K303*100</f>
        <v>80</v>
      </c>
      <c r="L313" s="87" t="str">
        <f>IF(ISERROR(K313/C313),"NA",IF(OR(K313/C313&gt;2,K313/C313&lt;0.5),"NM",K313/C313*100-100))</f>
        <v>NA</v>
      </c>
      <c r="M313" s="81">
        <f>+M309/M303*100</f>
        <v>85.793871866295262</v>
      </c>
      <c r="N313" s="87" t="str">
        <f>IF(ISERROR(M313/E313),"NA",IF(OR(M313/E313&gt;2,M313/E313&lt;0.5),"NM",M313/E313*100-100))</f>
        <v>NA</v>
      </c>
      <c r="O313" s="81">
        <f>+O309/O303*100</f>
        <v>81.388888888888886</v>
      </c>
      <c r="P313" s="87" t="str">
        <f>IF(ISERROR(O313/G313),"NA",IF(OR(O313/G313&gt;2,O313/G313&lt;0.5),"NM",O313/G313*100-100))</f>
        <v>NA</v>
      </c>
      <c r="Q313" s="81">
        <f>+Q309/Q303*100</f>
        <v>86.327077747989279</v>
      </c>
      <c r="R313" s="87" t="str">
        <f>IF(ISERROR(Q313/I313),"NA",IF(OR(Q313/I313&gt;2,Q313/I313&lt;0.5),"NM",Q313/I313*100-100))</f>
        <v>NA</v>
      </c>
      <c r="S313" s="81">
        <f>+S309/S303*100</f>
        <v>78.901734104046241</v>
      </c>
      <c r="T313" s="87">
        <f>IF(ISERROR(S313/K313),"NA",IF(OR(S313/K313&gt;2,S313/K313&lt;0.5),"NM",S313/K313*100-100))</f>
        <v>-1.372832369942202</v>
      </c>
      <c r="U313" s="81">
        <f>+U309/U303*100</f>
        <v>82.789317507418403</v>
      </c>
      <c r="V313" s="87">
        <f>IF(ISERROR(U313/M313),"NA",IF(OR(U313/M313&gt;2,U313/M313&lt;0.5),"NM",U313/M313*100-100))</f>
        <v>-3.5020617364830997</v>
      </c>
      <c r="W313" s="81">
        <f>+W309/W303*100</f>
        <v>81.072555205047308</v>
      </c>
      <c r="X313" s="87">
        <f>IF(ISERROR(W313/O313),"NA",IF(OR(W313/O313&gt;2,W313/O313&lt;0.5),"NM",W313/O313*100-100))</f>
        <v>-0.38866937263811963</v>
      </c>
      <c r="Y313" s="81">
        <f>+Y309/Y303*100</f>
        <v>86.15384615384616</v>
      </c>
      <c r="Z313" s="87">
        <f>IF(ISERROR(Y313/Q313),"NA",IF(OR(Y313/Q313&gt;2,Y313/Q313&lt;0.5),"NM",Y313/Q313*100-100))</f>
        <v>-0.20066889632106211</v>
      </c>
      <c r="AA313" s="81">
        <f>+AA309/AA303*100</f>
        <v>80.655737704918025</v>
      </c>
      <c r="AB313" s="87">
        <f>IF(ISERROR(AA313/S313),"NA",IF(OR(AA313/S313&gt;2,AA313/S313&lt;0.5),"NM",AA313/S313*100-100))</f>
        <v>2.2230228787605739</v>
      </c>
      <c r="AC313" s="81">
        <f>+AC309/AC303*100</f>
        <v>80</v>
      </c>
      <c r="AD313" s="87">
        <f>IF(ISERROR(AC313/U313),"NA",IF(OR(AC313/U313&gt;2,AC313/U313&lt;0.5),"NM",AC313/U313*100-100))</f>
        <v>-3.3691756272401534</v>
      </c>
      <c r="AE313" s="81">
        <f>+AE309/AE303*100</f>
        <v>83.62573099415205</v>
      </c>
      <c r="AF313" s="87">
        <f>IF(ISERROR(AE313/W313),"NA",IF(OR(AE313/W313&gt;2,AE313/W313&lt;0.5),"NM",AE313/W313*100-100))</f>
        <v>3.1492479577673151</v>
      </c>
      <c r="AG313" s="81">
        <f>+AG309/AG303*100</f>
        <v>79.155672823218993</v>
      </c>
      <c r="AH313" s="87">
        <f>IF(ISERROR(AG313/Y313),"NA",IF(OR(AG313/Y313&gt;2,AG313/Y313&lt;0.5),"NM",AG313/Y313*100-100))</f>
        <v>-8.1228797587636734</v>
      </c>
      <c r="AI313" s="81">
        <f>+AI309/AI303*100</f>
        <v>80.691642651296831</v>
      </c>
      <c r="AJ313" s="87">
        <f>IF(ISERROR(AI313/AA313),"NA",IF(OR(AI313/AA313&gt;2,AI313/AA313&lt;0.5),"NM",AI313/AA313*100-100))</f>
        <v>4.4516295307062137E-2</v>
      </c>
      <c r="AK313" s="81">
        <f>+AK309/AK303*100</f>
        <v>81.420765027322403</v>
      </c>
      <c r="AL313" s="87">
        <f>IF(ISERROR(AK313/AC313),"NA",IF(OR(AK313/AC313&gt;2,AK313/AC313&lt;0.5),"NM",AK313/AC313*100-100))</f>
        <v>1.7759562841530112</v>
      </c>
      <c r="AM313" s="81">
        <f>+AM309/AM303*100</f>
        <v>79.579579579579587</v>
      </c>
      <c r="AN313" s="87">
        <f>IF(ISERROR(AM313/AE313),"NA",IF(OR(AM313/AE313&gt;2,AM313/AE313&lt;0.5),"NM",AM313/AE313*100-100))</f>
        <v>-4.838404838404827</v>
      </c>
      <c r="AO313" s="81">
        <f>+AO309/AO303*100</f>
        <v>76.555023923444978</v>
      </c>
      <c r="AP313" s="87">
        <f>IF(ISERROR(AO313/AG313),"NA",IF(OR(AO313/AG313&gt;2,AO313/AG313&lt;0.5),"NM",AO313/AG313*100-100))</f>
        <v>-3.2854864433811741</v>
      </c>
      <c r="AQ313" s="81">
        <f>+AQ309/AQ303*100</f>
        <v>66.028708133971293</v>
      </c>
      <c r="AR313" s="87">
        <f>IF(ISERROR(AQ313/AI313),"NA",IF(OR(AQ313/AI313&gt;2,AQ313/AI313&lt;0.5),"NM",AQ313/AI313*100-100))</f>
        <v>-18.171565276828431</v>
      </c>
      <c r="AS313" s="81">
        <f>+AS309/AS303*100</f>
        <v>71.820448877805489</v>
      </c>
      <c r="AT313" s="87">
        <f>IF(ISERROR(AS313/AK313),"NA",IF(OR(AS313/AK313&gt;2,AS313/AK313&lt;0.5),"NM",AS313/AK313*100-100))</f>
        <v>-11.790992317863058</v>
      </c>
      <c r="AU313" s="81">
        <f>+AU309/AU303*100</f>
        <v>72.335600907029473</v>
      </c>
      <c r="AV313" s="87">
        <f>IF(ISERROR(AU313/AM313),"NA",IF(OR(AU313/AM313&gt;2,AU313/AM313&lt;0.5),"NM",AU313/AM313*100-100))</f>
        <v>-9.1028109356950466</v>
      </c>
      <c r="AW313" s="81">
        <f>+AW309/AW303*100</f>
        <v>72.706422018348633</v>
      </c>
      <c r="AX313" s="87">
        <f>IF(ISERROR(AW313/AO313),"NA",IF(OR(AW313/AO313&gt;2,AW313/AO313&lt;0.5),"NM",AW313/AO313*100-100))</f>
        <v>-5.0272362385320974</v>
      </c>
      <c r="AY313" s="81">
        <f>+AY309/AY303*100</f>
        <v>66.528925619834709</v>
      </c>
      <c r="AZ313" s="87">
        <f>IF(ISERROR(AY313/AQ313),"NA",IF(OR(AY313/AQ313&gt;2,AY313/AQ313&lt;0.5),"NM",AY313/AQ313*100-100))</f>
        <v>0.75757575757575069</v>
      </c>
      <c r="BA313" s="81">
        <f>+BA309/BA303*100</f>
        <v>69.670329670329664</v>
      </c>
      <c r="BB313" s="87">
        <f>IF(ISERROR(BA313/AS313),"NA",IF(OR(BA313/AS313&gt;2,BA313/AS313&lt;0.5),"NM",BA313/AS313*100-100))</f>
        <v>-2.9937423687423745</v>
      </c>
      <c r="BC313" s="81">
        <f>+BC309/BC303*100</f>
        <v>73.86363636363636</v>
      </c>
      <c r="BD313" s="87">
        <f>IF(ISERROR(BC313/AU313),"NA",IF(OR(BC313/AU313&gt;2,BC313/AU313&lt;0.5),"NM",BC313/AU313*100-100))</f>
        <v>2.1124251923624939</v>
      </c>
      <c r="BE313" s="81">
        <f>+BE309/BE303*100</f>
        <v>69.607843137254903</v>
      </c>
      <c r="BF313" s="87">
        <f>IF(ISERROR(BE313/AW313),"NA",IF(OR(BE313/AW313&gt;2,BE313/AW313&lt;0.5),"NM",BE313/AW313*100-100))</f>
        <v>-4.2617677986021079</v>
      </c>
      <c r="BG313" s="81">
        <f>+BG309/BG303*100</f>
        <v>65.688073394495419</v>
      </c>
      <c r="BH313" s="87">
        <f>IF(ISERROR(BG313/AY313),"NA",IF(OR(BG313/AY313&gt;2,BG313/AY313&lt;0.5),"NM",BG313/AY313*100-100))</f>
        <v>-1.2638896803236435</v>
      </c>
      <c r="BI313" s="81">
        <f>+BI309/BI303*100</f>
        <v>69.152542372881356</v>
      </c>
      <c r="BJ313" s="87">
        <f>IF(ISERROR(BI313/BA313),"NA",IF(OR(BI313/BA313&gt;2,BI313/BA313&lt;0.5),"NM",BI313/BA313*100-100))</f>
        <v>-0.74319627867186</v>
      </c>
      <c r="BK313" s="81">
        <f>+BK309/BK303*100</f>
        <v>67.741935483870961</v>
      </c>
      <c r="BL313" s="87">
        <f>IF(ISERROR(BK313/BC313),"NA",IF(OR(BK313/BC313&gt;2,BK313/BC313&lt;0.5),"NM",BK313/BC313*100-100))</f>
        <v>-8.2878411910670025</v>
      </c>
      <c r="BM313" s="81">
        <f>+BM309/BM303*100</f>
        <v>65.175718849840251</v>
      </c>
      <c r="BN313" s="87">
        <f>IF(ISERROR(BM313/BE313),"NA",IF(OR(BM313/BE313&gt;2,BM313/BE313&lt;0.5),"NM",BM313/BE313*100-100))</f>
        <v>-6.3672771452999228</v>
      </c>
      <c r="BO313" s="81">
        <f>+BO309/BO303*100</f>
        <v>74.087591240875923</v>
      </c>
      <c r="BP313" s="87">
        <f>IF(ISERROR(BO313/BG313),"NA",IF(OR(BO313/BG313&gt;2,BO313/BG313&lt;0.5),"NM",BO313/BG313*100-100))</f>
        <v>12.786975492394888</v>
      </c>
      <c r="BQ313" s="81">
        <f>+BQ309/BQ303*100</f>
        <v>63.475177304964539</v>
      </c>
      <c r="BR313" s="87">
        <f>IF(ISERROR(BQ313/BI313),"NA",IF(OR(BQ313/BI313&gt;2,BQ313/BI313&lt;0.5),"NM",BQ313/BI313*100-100))</f>
        <v>-8.2099151717424519</v>
      </c>
      <c r="BS313" s="81">
        <f>+BS309/BS303*100</f>
        <v>95.652173913043484</v>
      </c>
      <c r="BT313" s="87">
        <f>IF(ISERROR(BS313/BK313),"NA",IF(OR(BS313/BK313&gt;2,BS313/BK313&lt;0.5),"NM",BS313/BK313*100-100))</f>
        <v>41.200828157349918</v>
      </c>
      <c r="BU313" s="81">
        <f>+BU309/BU303*100</f>
        <v>120.5240174672489</v>
      </c>
      <c r="BV313" s="87">
        <f>IF(ISERROR(BU313/BM313),"NA",IF(OR(BU313/BM313&gt;2,BU313/BM313&lt;0.5),"NM",BU313/BM313*100-100))</f>
        <v>84.921654251220133</v>
      </c>
      <c r="BW313" s="81">
        <f>+BW309/BW303*100</f>
        <v>96.577946768060841</v>
      </c>
      <c r="BX313" s="72">
        <f>IF(ISERROR(BW313/BO313),"NA",IF(OR(BW313/BO313&gt;2,BW313/BO313&lt;0.5),"NM",BW313/BO313*100-100))</f>
        <v>30.35644046526437</v>
      </c>
      <c r="BY313" s="81">
        <f>+BY309/BY303*100</f>
        <v>88.596491228070178</v>
      </c>
      <c r="BZ313" s="72">
        <f>IF(ISERROR(BY313/BQ313),"NA",IF(OR(BY313/BQ313&gt;2,BY313/BQ313&lt;0.5),"NM",BY313/BQ313*100-100))</f>
        <v>39.576595119082612</v>
      </c>
      <c r="CA313" s="81">
        <f>+CA309/CA303*100</f>
        <v>88.659793814432987</v>
      </c>
      <c r="CB313" s="72">
        <f>IF(ISERROR(CA313/BS313),"NA",IF(OR(CA313/BS313&gt;2,CA313/BS313&lt;0.5),"NM",CA313/BS313*100-100))</f>
        <v>-7.3102155576382444</v>
      </c>
      <c r="CC313" s="81">
        <f>+CC309/CC303*100</f>
        <v>101.10803324099722</v>
      </c>
      <c r="CD313" s="72">
        <f>IF(ISERROR(CC313/BU313),"NA",IF(OR(CC313/BU313&gt;2,CC313/BU313&lt;0.5),"NM",CC313/BU313*100-100))</f>
        <v>-16.109639086274044</v>
      </c>
      <c r="CE313" s="81">
        <f>+CE309/CE303*100</f>
        <v>77.308707124010553</v>
      </c>
      <c r="CF313" s="72">
        <f>IF(ISERROR(CE313/BW313),"NA",IF(OR(CE313/BW313&gt;2,CE313/BW313&lt;0.5),"NM",CE313/BW313*100-100))</f>
        <v>-19.952007977894596</v>
      </c>
      <c r="CG313" s="81">
        <f>+CG309/CG303*100</f>
        <v>73.886639676113361</v>
      </c>
      <c r="CH313" s="72">
        <f>IF(ISERROR(CG313/BY313),"NA",IF(OR(CG313/BY313&gt;2,CG313/BY313&lt;0.5),"NM",CG313/BY313*100-100))</f>
        <v>-16.603198781416609</v>
      </c>
      <c r="CI313" s="81">
        <f>+CI309/CI303*100</f>
        <v>69.371196754563897</v>
      </c>
      <c r="CJ313" s="72">
        <f>IF(ISERROR(CI313/CA313),"NA",IF(OR(CI313/CA313&gt;2,CI313/CA313&lt;0.5),"NM",CI313/CA313*100-100))</f>
        <v>-21.755743195433737</v>
      </c>
      <c r="CK313" s="81">
        <f>+CK309/CK303*100</f>
        <v>74.137931034482762</v>
      </c>
      <c r="CL313" s="72">
        <f>IF(ISERROR(CK313/CC313),"NA",IF(OR(CK313/CC313&gt;2,CK313/CC313&lt;0.5),"NM",CK313/CC313*100-100))</f>
        <v>-26.674539442607454</v>
      </c>
      <c r="CM313" s="81">
        <f>+CM309/CM303*100</f>
        <v>71.532846715328475</v>
      </c>
      <c r="CN313" s="72">
        <f>IF(ISERROR(CM313/CE313),"NA",IF(OR(CM313/CE313&gt;2,CM313/CE313&lt;0.5),"NM",CM313/CE313*100-100))</f>
        <v>-7.471164146383984</v>
      </c>
      <c r="CO313" s="81">
        <f>+CO309/CO303*100</f>
        <v>64.786585365853654</v>
      </c>
      <c r="CP313" s="72">
        <f>IF(ISERROR(CO313/CG313),"NA",IF(OR(CO313/CG313&gt;2,CO313/CG313&lt;0.5),"NM",CO313/CG313*100-100))</f>
        <v>-12.316237888406292</v>
      </c>
      <c r="CQ313" s="81">
        <f>+CQ309/CQ303*100</f>
        <v>75.048732943469787</v>
      </c>
      <c r="CR313" s="72">
        <f>IF(ISERROR(CQ313/CI313),"NA",IF(OR(CQ313/CI313&gt;2,CQ313/CI313&lt;0.5),"NM",CQ313/CI313*100-100))</f>
        <v>8.1842846231889013</v>
      </c>
      <c r="CS313" s="81">
        <f>+CS309/CS303*100</f>
        <v>63.534361851332399</v>
      </c>
      <c r="CT313" s="72">
        <f>IF(ISERROR(CS313/CK313),"NA",IF(OR(CS313/CK313&gt;2,CS313/CK313&lt;0.5),"NM",CS313/CK313*100-100))</f>
        <v>-14.302488665644674</v>
      </c>
      <c r="CU313" s="81">
        <f>+CU309/CU303*100</f>
        <v>73.53463587921847</v>
      </c>
      <c r="CV313" s="72">
        <f>IF(ISERROR(CU313/CM313),"NA",IF(OR(CU313/CM313&gt;2,CU313/CM313&lt;0.5),"NM",CU313/CM313*100-100))</f>
        <v>2.7984195454380512</v>
      </c>
      <c r="CW313" s="81">
        <f>+CW309/CW303*100</f>
        <v>87.903225806451616</v>
      </c>
      <c r="CX313" s="72">
        <f>IF(ISERROR(CW313/CO313),"NA",IF(OR(CW313/CO313&gt;2,CW313/CO313&lt;0.5),"NM",CW313/CO313*100-100))</f>
        <v>35.681214421252378</v>
      </c>
      <c r="CY313" s="81">
        <f>+CY309/CY303*100</f>
        <v>68.512658227848107</v>
      </c>
      <c r="CZ313" s="72">
        <f>IF(ISERROR(CY313/CQ313),"NA",IF(OR(CY313/CQ313&gt;2,CY313/CQ313&lt;0.5),"NM",CY313/CQ313*100-100))</f>
        <v>-8.7091073483478425</v>
      </c>
      <c r="DA313" s="81">
        <f>+DA309/DA303*100</f>
        <v>72.408759124087595</v>
      </c>
      <c r="DB313" s="72">
        <f>IF(ISERROR(DA313/CS313),"NA",IF(OR(DA313/CS313&gt;2,DA313/CS313&lt;0.5),"NM",DA313/CS313*100-100))</f>
        <v>13.967870321135663</v>
      </c>
      <c r="DC313" s="81">
        <f>+DC309/DC303*100</f>
        <v>73.36448598130842</v>
      </c>
      <c r="DD313" s="72">
        <f>IF(ISERROR(DC313/CU313),"NA",IF(OR(DC313/CU313&gt;2,DC313/CU313&lt;0.5),"NM",DC313/CU313*100-100))</f>
        <v>-0.23138742155400394</v>
      </c>
      <c r="DE313" s="81">
        <f>+DE309/DE303*100</f>
        <v>73.413897280966765</v>
      </c>
      <c r="DF313" s="72">
        <f>IF(ISERROR(DE313/CW313),"NA",IF(OR(DE313/CW313&gt;2,DE313/CW313&lt;0.5),"NM",DE313/CW313*100-100))</f>
        <v>-16.483272817982765</v>
      </c>
      <c r="DG313" s="81">
        <f>+DG309/DG303*100</f>
        <v>72.881355932203391</v>
      </c>
      <c r="DH313" s="72">
        <f>IF(ISERROR(DG313/CY313),"NA",IF(OR(DG313/CY313&gt;2,DG313/CY313&lt;0.5),"NM",DG313/CY313*100-100))</f>
        <v>6.3764825615532033</v>
      </c>
      <c r="DI313" s="81">
        <f>+DI309/DI303*100</f>
        <v>70.482758620689651</v>
      </c>
      <c r="DJ313" s="72">
        <f>IF(ISERROR(DI313/DA313),"NA",IF(OR(DI313/DA313&gt;2,DI313/DA313&lt;0.5),"NM",DI313/DA313*100-100))</f>
        <v>-2.6598998887653096</v>
      </c>
      <c r="DK313" s="81">
        <f>+DK309/DK303*100</f>
        <v>70.61469265367316</v>
      </c>
      <c r="DL313" s="72">
        <f>IF(ISERROR(DK313/DC313),"NA",IF(OR(DK313/DC313&gt;2,DK313/DC313&lt;0.5),"NM",DK313/DC313*100-100))</f>
        <v>-3.748125937031503</v>
      </c>
      <c r="DM313" s="81">
        <f>+DM309/DM303*100</f>
        <v>71.528751753155689</v>
      </c>
      <c r="DN313" s="72">
        <f t="shared" ref="DN313:DZ314" si="1797">IF(ISERROR(DM313/DE313),"NA",IF(OR(DM313/DE313&gt;2,DM313/DE313&lt;0.5),"NM",DM313/DE313*100-100))</f>
        <v>-2.5678319740965634</v>
      </c>
      <c r="DO313" s="81">
        <f>+DO309/DO303*100</f>
        <v>71.705963938973653</v>
      </c>
      <c r="DP313" s="72">
        <f t="shared" si="1797"/>
        <v>-1.6127471535012745</v>
      </c>
      <c r="DQ313" s="81">
        <f>+DQ309/DQ303*100</f>
        <v>73.47767253044654</v>
      </c>
      <c r="DR313" s="72">
        <f t="shared" si="1797"/>
        <v>4.2491440011228008</v>
      </c>
      <c r="DS313" s="81">
        <f>+DS309/DS303*100</f>
        <v>71.487039563437932</v>
      </c>
      <c r="DT313" s="72">
        <f t="shared" si="1797"/>
        <v>1.2353617596881179</v>
      </c>
      <c r="DU313" s="81">
        <f>+DU309/DU303*100</f>
        <v>74.226804123711347</v>
      </c>
      <c r="DV313" s="72">
        <f t="shared" si="1797"/>
        <v>3.7719830200121152</v>
      </c>
      <c r="DW313" s="81">
        <f>+DW309/DW303*100</f>
        <v>73.721590909090907</v>
      </c>
      <c r="DX313" s="72">
        <f t="shared" si="1797"/>
        <v>2.810961403200281</v>
      </c>
      <c r="DY313" s="81">
        <f>+DY309/DY303*100</f>
        <v>72.229822161422703</v>
      </c>
      <c r="DZ313" s="72">
        <f t="shared" si="1797"/>
        <v>-1.6982714967009542</v>
      </c>
      <c r="EA313" s="81">
        <f>+EA309/EA303*100</f>
        <v>76.062322946175641</v>
      </c>
      <c r="EB313" s="72">
        <f>IF(ISERROR(EA313/DS313),"NA",IF(OR(EA313/DS313&gt;2,EA313/DS313&lt;0.5),"NM",EA313/DS313*100-100))</f>
        <v>6.4001578617304204</v>
      </c>
      <c r="EC313" s="81">
        <f>+EC309/EC303*100</f>
        <v>71.038251366120221</v>
      </c>
      <c r="ED313" s="72">
        <f>IF(ISERROR(EC313/DU313),"NA",IF(OR(EC313/DU313&gt;2,EC313/DU313&lt;0.5),"NM",EC313/DU313*100-100))</f>
        <v>-4.2956891317547132</v>
      </c>
      <c r="EE313" s="81">
        <f>+EE309/EE303*100</f>
        <v>73.866666666666674</v>
      </c>
      <c r="EF313" s="72">
        <f>IF(ISERROR(EE313/DW313),"NA",IF(OR(EE313/DW313&gt;2,EE313/DW313&lt;0.5),"NM",EE313/DW313*100-100))</f>
        <v>0.19678869621067463</v>
      </c>
      <c r="EG313" s="81">
        <f>+EG309/EG303*100</f>
        <v>70.245795601552402</v>
      </c>
      <c r="EH313" s="72">
        <f>IF(ISERROR(EG313/DY313),"NA",IF(OR(EG313/DY313&gt;2,EG313/DY313&lt;0.5),"NM",EG313/DY313*100-100))</f>
        <v>-2.7468246501234717</v>
      </c>
      <c r="EI313" s="81">
        <f>+EI309/EI303*100</f>
        <v>73.148148148148152</v>
      </c>
      <c r="EJ313" s="72">
        <f>IF(ISERROR(EI313/EA313),"NA",IF(OR(EI313/EA313&gt;2,EI313/EA313&lt;0.5),"NM",EI313/EA313*100-100))</f>
        <v>-3.8312987102558793</v>
      </c>
      <c r="EK313" s="81">
        <f>+EK309/EK303*100</f>
        <v>71.283354510800507</v>
      </c>
      <c r="EL313" s="72">
        <f>IF(ISERROR(EK313/EC313),"NA",IF(OR(EK313/EC313&gt;2,EK313/EC313&lt;0.5),"NM",EK313/EC313*100-100))</f>
        <v>0.34502981135761956</v>
      </c>
      <c r="EM313" s="81">
        <f>+EM309/EM303*100</f>
        <v>67.83555018137848</v>
      </c>
      <c r="EN313" s="72">
        <f>IF(ISERROR(EM313/EE313),"NA",IF(OR(EM313/EE313&gt;2,EM313/EE313&lt;0.5),"NM",EM313/EE313*100-100))</f>
        <v>-8.1648688880255378</v>
      </c>
      <c r="EO313" s="81">
        <f>+EO309/EO303*100</f>
        <v>67.918781725888323</v>
      </c>
      <c r="EP313" s="72">
        <f>IF(ISERROR(EO313/EG313),"NA",IF(OR(EO313/EG313&gt;2,EO313/EG313&lt;0.5),"NM",EO313/EG313*100-100))</f>
        <v>-3.3126735283394737</v>
      </c>
      <c r="EQ313" s="86">
        <v>71</v>
      </c>
      <c r="ER313" s="72">
        <f t="shared" ref="ER313:ER314" si="1798">IF(ISERROR(EQ313/EI313),"NA",IF(OR(EQ313/EI313&gt;2,EQ313/EI313&lt;0.5),"NM",EQ313/EI313*100-100))</f>
        <v>-2.9367088607594951</v>
      </c>
      <c r="ES313" s="86">
        <f t="shared" ref="ES313:ES314" si="1799">EQ313</f>
        <v>71</v>
      </c>
      <c r="ET313" s="72">
        <f t="shared" ref="ET313:ET314" si="1800">IF(ISERROR(ES313/EK313),"NA",IF(OR(ES313/EK313&gt;2,ES313/EK313&lt;0.5),"NM",ES313/EK313*100-100))</f>
        <v>-0.39750445632797948</v>
      </c>
      <c r="EU313" s="86">
        <f t="shared" ref="EU313:EU314" si="1801">ES313</f>
        <v>71</v>
      </c>
      <c r="EV313" s="72">
        <f t="shared" ref="EV313:EV314" si="1802">IF(ISERROR(EU313/EM313),"NA",IF(OR(EU313/EM313&gt;2,EU313/EM313&lt;0.5),"NM",EU313/EM313*100-100))</f>
        <v>4.6648841354723629</v>
      </c>
      <c r="EW313" s="86">
        <v>71.5</v>
      </c>
      <c r="EX313" s="72">
        <f t="shared" ref="EX313:EX314" si="1803">IF(ISERROR(EW313/EO313),"NA",IF(OR(EW313/EO313&gt;2,EW313/EO313&lt;0.5),"NM",EW313/EO313*100-100))</f>
        <v>5.2727952167414003</v>
      </c>
      <c r="EY313" s="72"/>
      <c r="EZ313" s="309"/>
      <c r="FA313" s="72"/>
      <c r="FB313" s="81"/>
      <c r="FC313" s="72"/>
      <c r="FD313" s="81">
        <f>+FD309/FD303*100</f>
        <v>83.178239083750896</v>
      </c>
      <c r="FE313" s="87" t="str">
        <f>IF(ISERROR(FD313/FB313),"NA",IF(OR(FD313/FB313&gt;2,FD313/FB313&lt;0.5),"NM",FD313/FB313*100-100))</f>
        <v>NA</v>
      </c>
      <c r="FF313" s="81">
        <f>+FF309/FF303*100</f>
        <v>83.235485975212001</v>
      </c>
      <c r="FG313" s="87">
        <f>IF(ISERROR(FF313/FD313),"NA",IF(OR(FF313/FD313&gt;2,FF313/FD313&lt;0.5),"NM",FF313/FD313*100-100))</f>
        <v>6.8824360904613968E-2</v>
      </c>
      <c r="FH313" s="81">
        <f>+FH309/FH303*100</f>
        <v>83.378932968536262</v>
      </c>
      <c r="FI313" s="87">
        <f>IF(ISERROR(FH313/FF313),"NA",IF(OR(FH313/FF313&gt;2,FH313/FF313&lt;0.5),"NM",FH313/FF313*100-100))</f>
        <v>0.17233874668190197</v>
      </c>
      <c r="FJ313" s="81">
        <f>+FJ309/FJ303*100</f>
        <v>82.188679245283012</v>
      </c>
      <c r="FK313" s="87">
        <f>IF(ISERROR(FJ313/FH313),"NA",IF(OR(FJ313/FH313&gt;2,FJ313/FH313&lt;0.5),"NM",FJ313/FH313*100-100))</f>
        <v>-1.4275233333849542</v>
      </c>
      <c r="FL313" s="81">
        <f>+FL309/FL303*100</f>
        <v>80.822924320352683</v>
      </c>
      <c r="FM313" s="87">
        <f>IF(ISERROR(FL313/FJ313),"NA",IF(OR(FL313/FJ313&gt;2,FL313/FJ313&lt;0.5),"NM",FL313/FJ313*100-100))</f>
        <v>-1.6617311988362644</v>
      </c>
      <c r="FN313" s="81">
        <f>+FN309/FN303*100</f>
        <v>79.439890710382514</v>
      </c>
      <c r="FO313" s="87">
        <f>IF(ISERROR(FN313/FL313),"NA",IF(OR(FN313/FL313&gt;2,FN313/FL313&lt;0.5),"NM",FN313/FL313*100-100))</f>
        <v>-1.7111897665176343</v>
      </c>
      <c r="FP313" s="81">
        <f>+FP309/FP303*100</f>
        <v>70.754716981132077</v>
      </c>
      <c r="FQ313" s="87">
        <f>IF(ISERROR(FP313/FN313),"NA",IF(OR(FP313/FN313&gt;2,FP313/FN313&lt;0.5),"NM",FP313/FN313*100-100))</f>
        <v>-10.933013189701327</v>
      </c>
      <c r="FR313" s="81">
        <f>+FR309/FR303*100</f>
        <v>69.814163736815672</v>
      </c>
      <c r="FS313" s="87">
        <f>IF(ISERROR(FR313/FP313),"NA",IF(OR(FR313/FP313&gt;2,FR313/FP313&lt;0.5),"NM",FR313/FP313*100-100))</f>
        <v>-1.3293152519671878</v>
      </c>
      <c r="FT313" s="81">
        <f>+FT309/FT303*100</f>
        <v>66.925398878827082</v>
      </c>
      <c r="FU313" s="87">
        <f>IF(ISERROR(FT313/FR313),"NA",IF(OR(FT313/FR313&gt;2,FT313/FR313&lt;0.5),"NM",FT313/FR313*100-100))</f>
        <v>-4.1377919656512887</v>
      </c>
      <c r="FV313" s="81">
        <f>+FV309/FV303*100</f>
        <v>81.257413997627523</v>
      </c>
      <c r="FW313" s="72">
        <f t="shared" ref="FW313:GG314" si="1804">IF(ISERROR(FV313/FT313),"NA",IF(OR(FV313/FT313&gt;2,FV313/FT313&lt;0.5),"NM",FV313/FT313*100-100))</f>
        <v>21.414911765784936</v>
      </c>
      <c r="FX313" s="81">
        <f>+FX309/FX303*100</f>
        <v>93.87430389817024</v>
      </c>
      <c r="FY313" s="72">
        <f t="shared" si="1804"/>
        <v>15.527063045485406</v>
      </c>
      <c r="FZ313" s="81">
        <f>+FZ309/FZ303*100</f>
        <v>73.46398305084746</v>
      </c>
      <c r="GA313" s="72">
        <f t="shared" si="1804"/>
        <v>-21.742180767020955</v>
      </c>
      <c r="GB313" s="81">
        <f>+GB309/GB303*100</f>
        <v>68.106995884773653</v>
      </c>
      <c r="GC313" s="72">
        <f t="shared" si="1804"/>
        <v>-7.2919911820817305</v>
      </c>
      <c r="GD313" s="81">
        <f>+GD309/GD303*100</f>
        <v>74.87373737373737</v>
      </c>
      <c r="GE313" s="72">
        <f t="shared" si="1804"/>
        <v>9.9354572919527726</v>
      </c>
      <c r="GF313" s="81">
        <f>+GF309/GF303*100</f>
        <v>72.479462285287539</v>
      </c>
      <c r="GG313" s="72">
        <f t="shared" si="1804"/>
        <v>-3.197750202449015</v>
      </c>
      <c r="GH313" s="81">
        <f>+GH309/GH303*100</f>
        <v>71.866197183098592</v>
      </c>
      <c r="GI313" s="72">
        <f t="shared" ref="GI313:GU314" si="1805">IF(ISERROR(GH313/GF313),"NA",IF(OR(GH313/GF313&gt;2,GH313/GF313&lt;0.5),"NM",GH313/GF313*100-100))</f>
        <v>-0.84612258818238217</v>
      </c>
      <c r="GJ313" s="81">
        <f>+GJ309/GJ303*100</f>
        <v>72.927989130434781</v>
      </c>
      <c r="GK313" s="72">
        <f t="shared" si="1805"/>
        <v>1.4774567028097891</v>
      </c>
      <c r="GL313" s="81">
        <f>+GL309/GL303*100</f>
        <v>72.745694022289769</v>
      </c>
      <c r="GM313" s="72">
        <f t="shared" si="1805"/>
        <v>-0.24996590516018102</v>
      </c>
      <c r="GN313" s="81">
        <f>+GN309/GN303*100</f>
        <v>69.865871833084952</v>
      </c>
      <c r="GO313" s="72">
        <f t="shared" si="1805"/>
        <v>-3.9587527865531484</v>
      </c>
      <c r="GP313" s="81">
        <f>+GP309/GP303*100</f>
        <v>71.12728208424906</v>
      </c>
      <c r="GQ313" s="72">
        <f t="shared" si="1805"/>
        <v>1.8054741436243944</v>
      </c>
      <c r="GR313" s="86">
        <f>GP313</f>
        <v>71.12728208424906</v>
      </c>
      <c r="GS313" s="72">
        <f t="shared" si="1805"/>
        <v>0</v>
      </c>
      <c r="GT313" s="86">
        <f>GR313</f>
        <v>71.12728208424906</v>
      </c>
      <c r="GU313" s="72">
        <f t="shared" si="1805"/>
        <v>0</v>
      </c>
      <c r="GV313" s="86">
        <f>GT313</f>
        <v>71.12728208424906</v>
      </c>
      <c r="GW313" s="72">
        <f>IF(ISERROR(GV313/GT313),"NA",IF(OR(GV313/GT313&gt;2,GV313/GT313&lt;0.5),"NM",GV313/GT313*100-100))</f>
        <v>0</v>
      </c>
      <c r="GX313" s="86">
        <f>GV313</f>
        <v>71.12728208424906</v>
      </c>
      <c r="GY313" s="72">
        <f>IF(ISERROR(GX313/GV313),"NA",IF(OR(GX313/GV313&gt;2,GX313/GV313&lt;0.5),"NM",GX313/GV313*100-100))</f>
        <v>0</v>
      </c>
      <c r="GZ313" s="72">
        <f>IF(ISERROR(((GX313/GN313)^0.2-1)*100),"NA",IF((((GX313/GN313)^0.2-1)*100)&gt;100,"NM",IF((((GX313/GN313)^0.2-1)*100)&lt;-50,"NM",((GX313/GN313)^0.2-1)*100)))</f>
        <v>0.35851493679697199</v>
      </c>
      <c r="HA313" s="72"/>
      <c r="HB313" s="72"/>
      <c r="HC313"/>
      <c r="HD313"/>
      <c r="HE313"/>
      <c r="HF313"/>
      <c r="HG313"/>
      <c r="HH313"/>
      <c r="HI313" s="2"/>
    </row>
    <row r="314" spans="1:217" s="3" customFormat="1" ht="12.75" customHeight="1" x14ac:dyDescent="0.2">
      <c r="B314" s="10" t="s">
        <v>336</v>
      </c>
      <c r="C314" s="81"/>
      <c r="D314" s="72"/>
      <c r="E314" s="81"/>
      <c r="F314" s="72"/>
      <c r="G314" s="81"/>
      <c r="H314" s="72"/>
      <c r="I314" s="81"/>
      <c r="J314" s="72"/>
      <c r="K314" s="81">
        <f>K310/K309*100</f>
        <v>0.67567567567567566</v>
      </c>
      <c r="L314" s="87" t="str">
        <f>IF(ISERROR(K314/C314),"NA",IF(OR(K314/C314&gt;2,K314/C314&lt;0.5),"NM",K314/C314*100-100))</f>
        <v>NA</v>
      </c>
      <c r="M314" s="81">
        <f>M310/M309*100</f>
        <v>1.948051948051948</v>
      </c>
      <c r="N314" s="87" t="str">
        <f>IF(ISERROR(M314/E314),"NA",IF(OR(M314/E314&gt;2,M314/E314&lt;0.5),"NM",M314/E314*100-100))</f>
        <v>NA</v>
      </c>
      <c r="O314" s="81">
        <f>O310/O309*100</f>
        <v>3.7542662116040959</v>
      </c>
      <c r="P314" s="87" t="str">
        <f>IF(ISERROR(O314/G314),"NA",IF(OR(O314/G314&gt;2,O314/G314&lt;0.5),"NM",O314/G314*100-100))</f>
        <v>NA</v>
      </c>
      <c r="Q314" s="81">
        <f>Q310/Q309*100</f>
        <v>2.7950310559006213</v>
      </c>
      <c r="R314" s="87" t="str">
        <f>IF(ISERROR(Q314/I314),"NA",IF(OR(Q314/I314&gt;2,Q314/I314&lt;0.5),"NM",Q314/I314*100-100))</f>
        <v>NA</v>
      </c>
      <c r="S314" s="81">
        <f>S310/S309*100</f>
        <v>2.9304029304029302</v>
      </c>
      <c r="T314" s="87" t="str">
        <f>IF(ISERROR(S314/K314),"NA",IF(OR(S314/K314&gt;2,S314/K314&lt;0.5),"NM",S314/K314*100-100))</f>
        <v>NM</v>
      </c>
      <c r="U314" s="81">
        <f>U310/U309*100</f>
        <v>2.5089605734767026</v>
      </c>
      <c r="V314" s="87">
        <f>IF(ISERROR(U314/M314),"NA",IF(OR(U314/M314&gt;2,U314/M314&lt;0.5),"NM",U314/M314*100-100))</f>
        <v>28.793309438470743</v>
      </c>
      <c r="W314" s="81">
        <f>W310/W309*100</f>
        <v>5.4474708171206228</v>
      </c>
      <c r="X314" s="87">
        <f>IF(ISERROR(W314/O314),"NA",IF(OR(W314/O314&gt;2,W314/O314&lt;0.5),"NM",W314/O314*100-100))</f>
        <v>45.100813583303847</v>
      </c>
      <c r="Y314" s="81">
        <f>Y310/Y309*100</f>
        <v>3.9285714285714284</v>
      </c>
      <c r="Z314" s="87">
        <f>IF(ISERROR(Y314/Q314),"NA",IF(OR(Y314/Q314&gt;2,Y314/Q314&lt;0.5),"NM",Y314/Q314*100-100))</f>
        <v>40.555555555555543</v>
      </c>
      <c r="AA314" s="81">
        <f>AA310/AA309*100</f>
        <v>4.4715447154471546</v>
      </c>
      <c r="AB314" s="87">
        <f>IF(ISERROR(AA314/S314),"NA",IF(OR(AA314/S314&gt;2,AA314/S314&lt;0.5),"NM",AA314/S314*100-100))</f>
        <v>52.591463414634177</v>
      </c>
      <c r="AC314" s="81">
        <f>AC310/AC309*100</f>
        <v>3.3582089552238807</v>
      </c>
      <c r="AD314" s="87">
        <f>IF(ISERROR(AC314/U314),"NA",IF(OR(AC314/U314&gt;2,AC314/U314&lt;0.5),"NM",AC314/U314*100-100))</f>
        <v>33.848614072494655</v>
      </c>
      <c r="AE314" s="81">
        <f>AE310/AE309*100</f>
        <v>2.7972027972027971</v>
      </c>
      <c r="AF314" s="87">
        <f>IF(ISERROR(AE314/W314),"NA",IF(OR(AE314/W314&gt;2,AE314/W314&lt;0.5),"NM",AE314/W314*100-100))</f>
        <v>-48.651348651348655</v>
      </c>
      <c r="AG314" s="81">
        <f>AG310/AG309*100</f>
        <v>2.666666666666667</v>
      </c>
      <c r="AH314" s="87">
        <f>IF(ISERROR(AG314/Y314),"NA",IF(OR(AG314/Y314&gt;2,AG314/Y314&lt;0.5),"NM",AG314/Y314*100-100))</f>
        <v>-32.12121212121211</v>
      </c>
      <c r="AI314" s="81">
        <f>AI310/AI309*100</f>
        <v>2.1428571428571428</v>
      </c>
      <c r="AJ314" s="87" t="str">
        <f>IF(ISERROR(AI314/AA314),"NA",IF(OR(AI314/AA314&gt;2,AI314/AA314&lt;0.5),"NM",AI314/AA314*100-100))</f>
        <v>NM</v>
      </c>
      <c r="AK314" s="81">
        <f>AK310/AK309*100</f>
        <v>2.0134228187919461</v>
      </c>
      <c r="AL314" s="87">
        <f>IF(ISERROR(AK314/AC314),"NA",IF(OR(AK314/AC314&gt;2,AK314/AC314&lt;0.5),"NM",AK314/AC314*100-100))</f>
        <v>-40.044742729306492</v>
      </c>
      <c r="AM314" s="81">
        <f>AM310/AM309*100</f>
        <v>2.6415094339622645</v>
      </c>
      <c r="AN314" s="87">
        <f>IF(ISERROR(AM314/AE314),"NA",IF(OR(AM314/AE314&gt;2,AM314/AE314&lt;0.5),"NM",AM314/AE314*100-100))</f>
        <v>-5.5660377358490365</v>
      </c>
      <c r="AO314" s="81">
        <f>AO310/AO309*100</f>
        <v>1.5625</v>
      </c>
      <c r="AP314" s="87">
        <f>IF(ISERROR(AO314/AG314),"NA",IF(OR(AO314/AG314&gt;2,AO314/AG314&lt;0.5),"NM",AO314/AG314*100-100))</f>
        <v>-41.406250000000014</v>
      </c>
      <c r="AQ314" s="81">
        <f>AQ310/AQ309*100</f>
        <v>1.8115942028985508</v>
      </c>
      <c r="AR314" s="87">
        <f>IF(ISERROR(AQ314/AI314),"NA",IF(OR(AQ314/AI314&gt;2,AQ314/AI314&lt;0.5),"NM",AQ314/AI314*100-100))</f>
        <v>-15.45893719806763</v>
      </c>
      <c r="AS314" s="81">
        <f>AS310/AS309*100</f>
        <v>1.3888888888888888</v>
      </c>
      <c r="AT314" s="87">
        <f>IF(ISERROR(AS314/AK314),"NA",IF(OR(AS314/AK314&gt;2,AS314/AK314&lt;0.5),"NM",AS314/AK314*100-100))</f>
        <v>-31.018518518518505</v>
      </c>
      <c r="AU314" s="81">
        <f>AU310/AU309*100</f>
        <v>0.94043887147335425</v>
      </c>
      <c r="AV314" s="87" t="str">
        <f>IF(ISERROR(AU314/AM314),"NA",IF(OR(AU314/AM314&gt;2,AU314/AM314&lt;0.5),"NM",AU314/AM314*100-100))</f>
        <v>NM</v>
      </c>
      <c r="AW314" s="81">
        <f>AW310/AW309*100</f>
        <v>1.2618296529968454</v>
      </c>
      <c r="AX314" s="87">
        <f>IF(ISERROR(AW314/AO314),"NA",IF(OR(AW314/AO314&gt;2,AW314/AO314&lt;0.5),"NM",AW314/AO314*100-100))</f>
        <v>-19.242902208201897</v>
      </c>
      <c r="AY314" s="81">
        <f>AY310/AY309*100</f>
        <v>0.6211180124223602</v>
      </c>
      <c r="AZ314" s="87" t="str">
        <f>IF(ISERROR(AY314/AQ314),"NA",IF(OR(AY314/AQ314&gt;2,AY314/AQ314&lt;0.5),"NM",AY314/AQ314*100-100))</f>
        <v>NM</v>
      </c>
      <c r="BA314" s="81">
        <f>BA310/BA309*100</f>
        <v>0.63091482649842268</v>
      </c>
      <c r="BB314" s="87" t="str">
        <f>IF(ISERROR(BA314/AS314),"NA",IF(OR(BA314/AS314&gt;2,BA314/AS314&lt;0.5),"NM",BA314/AS314*100-100))</f>
        <v>NM</v>
      </c>
      <c r="BC314" s="81">
        <f>BC310/BC309*100</f>
        <v>0.92307692307692313</v>
      </c>
      <c r="BD314" s="87">
        <f>IF(ISERROR(BC314/AU314),"NA",IF(OR(BC314/AU314&gt;2,BC314/AU314&lt;0.5),"NM",BC314/AU314*100-100))</f>
        <v>-1.8461538461538396</v>
      </c>
      <c r="BE314" s="81">
        <f>BE310/BE309*100</f>
        <v>0.70422535211267612</v>
      </c>
      <c r="BF314" s="87">
        <f>IF(ISERROR(BE314/AW314),"NA",IF(OR(BE314/AW314&gt;2,BE314/AW314&lt;0.5),"NM",BE314/AW314*100-100))</f>
        <v>-44.190140845070417</v>
      </c>
      <c r="BG314" s="81">
        <f>BG310/BG309*100</f>
        <v>0.55865921787709494</v>
      </c>
      <c r="BH314" s="87">
        <f>IF(ISERROR(BG314/AY314),"NA",IF(OR(BG314/AY314&gt;2,BG314/AY314&lt;0.5),"NM",BG314/AY314*100-100))</f>
        <v>-10.055865921787714</v>
      </c>
      <c r="BI314" s="81">
        <f>BI310/BI309*100</f>
        <v>0.24509803921568626</v>
      </c>
      <c r="BJ314" s="87" t="str">
        <f>IF(ISERROR(BI314/BA314),"NA",IF(OR(BI314/BA314&gt;2,BI314/BA314&lt;0.5),"NM",BI314/BA314*100-100))</f>
        <v>NM</v>
      </c>
      <c r="BK314" s="81">
        <f>BK310/BK309*100</f>
        <v>0</v>
      </c>
      <c r="BL314" s="87" t="str">
        <f>IF(ISERROR(BK314/BC314),"NA",IF(OR(BK314/BC314&gt;2,BK314/BC314&lt;0.5),"NM",BK314/BC314*100-100))</f>
        <v>NM</v>
      </c>
      <c r="BM314" s="81">
        <f>BM310/BM309*100</f>
        <v>0.24509803921568626</v>
      </c>
      <c r="BN314" s="87" t="str">
        <f>IF(ISERROR(BM314/BE314),"NA",IF(OR(BM314/BE314&gt;2,BM314/BE314&lt;0.5),"NM",BM314/BE314*100-100))</f>
        <v>NM</v>
      </c>
      <c r="BO314" s="81">
        <f>BO310/BO309*100</f>
        <v>0.24630541871921183</v>
      </c>
      <c r="BP314" s="87" t="str">
        <f>IF(ISERROR(BO314/BG314),"NA",IF(OR(BO314/BG314&gt;2,BO314/BG314&lt;0.5),"NM",BO314/BG314*100-100))</f>
        <v>NM</v>
      </c>
      <c r="BQ314" s="81">
        <f>BQ310/BQ309*100</f>
        <v>-0.27932960893854747</v>
      </c>
      <c r="BR314" s="87" t="str">
        <f>IF(ISERROR(BQ314/BI314),"NA",IF(OR(BQ314/BI314&gt;2,BQ314/BI314&lt;0.5),"NM",BQ314/BI314*100-100))</f>
        <v>NM</v>
      </c>
      <c r="BS314" s="81">
        <f>BS310/BS309*100</f>
        <v>0.90909090909090906</v>
      </c>
      <c r="BT314" s="87" t="str">
        <f>IF(ISERROR(BS314/BK314),"NA",IF(OR(BS314/BK314&gt;2,BS314/BK314&lt;0.5),"NM",BS314/BK314*100-100))</f>
        <v>NA</v>
      </c>
      <c r="BU314" s="81">
        <f>BU310/BU309*100</f>
        <v>1.0869565217391304</v>
      </c>
      <c r="BV314" s="87" t="str">
        <f>IF(ISERROR(BU314/BM314),"NA",IF(OR(BU314/BM314&gt;2,BU314/BM314&lt;0.5),"NM",BU314/BM314*100-100))</f>
        <v>NM</v>
      </c>
      <c r="BW314" s="81">
        <f>BW310/BW309*100</f>
        <v>0.39370078740157477</v>
      </c>
      <c r="BX314" s="72">
        <f>IF(ISERROR(BW314/BO314),"NA",IF(OR(BW314/BO314&gt;2,BW314/BO314&lt;0.5),"NM",BW314/BO314*100-100))</f>
        <v>59.842519685039349</v>
      </c>
      <c r="BY314" s="81">
        <f>BY310/BY309*100</f>
        <v>-0.33003300330033003</v>
      </c>
      <c r="BZ314" s="72">
        <f>IF(ISERROR(BY314/BQ314),"NA",IF(OR(BY314/BQ314&gt;2,BY314/BQ314&lt;0.5),"NM",BY314/BQ314*100-100))</f>
        <v>18.15181518151816</v>
      </c>
      <c r="CA314" s="81">
        <f>CA310/CA309*100</f>
        <v>-0.77519379844961245</v>
      </c>
      <c r="CB314" s="72" t="str">
        <f>IF(ISERROR(CA314/BS314),"NA",IF(OR(CA314/BS314&gt;2,CA314/BS314&lt;0.5),"NM",CA314/BS314*100-100))</f>
        <v>NM</v>
      </c>
      <c r="CC314" s="81">
        <f>CC310/CC309*100</f>
        <v>-0.54794520547945202</v>
      </c>
      <c r="CD314" s="72" t="str">
        <f>IF(ISERROR(CC314/BU314),"NA",IF(OR(CC314/BU314&gt;2,CC314/BU314&lt;0.5),"NM",CC314/BU314*100-100))</f>
        <v>NM</v>
      </c>
      <c r="CE314" s="81">
        <f>CE310/CE309*100</f>
        <v>0</v>
      </c>
      <c r="CF314" s="72" t="str">
        <f>IF(ISERROR(CE314/BW314),"NA",IF(OR(CE314/BW314&gt;2,CE314/BW314&lt;0.5),"NM",CE314/BW314*100-100))</f>
        <v>NM</v>
      </c>
      <c r="CG314" s="81">
        <f>CG310/CG309*100</f>
        <v>0.27397260273972601</v>
      </c>
      <c r="CH314" s="72" t="str">
        <f>IF(ISERROR(CG314/BY314),"NA",IF(OR(CG314/BY314&gt;2,CG314/BY314&lt;0.5),"NM",CG314/BY314*100-100))</f>
        <v>NM</v>
      </c>
      <c r="CI314" s="81">
        <f>CI310/CI309*100</f>
        <v>0</v>
      </c>
      <c r="CJ314" s="72" t="str">
        <f>IF(ISERROR(CI314/CA314),"NA",IF(OR(CI314/CA314&gt;2,CI314/CA314&lt;0.5),"NM",CI314/CA314*100-100))</f>
        <v>NM</v>
      </c>
      <c r="CK314" s="81">
        <f>CK310/CK309*100</f>
        <v>0</v>
      </c>
      <c r="CL314" s="72" t="str">
        <f>IF(ISERROR(CK314/CC314),"NA",IF(OR(CK314/CC314&gt;2,CK314/CC314&lt;0.5),"NM",CK314/CC314*100-100))</f>
        <v>NM</v>
      </c>
      <c r="CM314" s="81">
        <f>CM310/CM309*100</f>
        <v>-0.25510204081632654</v>
      </c>
      <c r="CN314" s="72" t="str">
        <f>IF(ISERROR(CM314/CE314),"NA",IF(OR(CM314/CE314&gt;2,CM314/CE314&lt;0.5),"NM",CM314/CE314*100-100))</f>
        <v>NA</v>
      </c>
      <c r="CO314" s="81">
        <f>CO310/CO309*100</f>
        <v>0</v>
      </c>
      <c r="CP314" s="72" t="str">
        <f>IF(ISERROR(CO314/CG314),"NA",IF(OR(CO314/CG314&gt;2,CO314/CG314&lt;0.5),"NM",CO314/CG314*100-100))</f>
        <v>NM</v>
      </c>
      <c r="CQ314" s="81">
        <f>CQ310/CQ309*100</f>
        <v>0.51948051948051943</v>
      </c>
      <c r="CR314" s="72" t="str">
        <f>IF(ISERROR(CQ314/CI314),"NA",IF(OR(CQ314/CI314&gt;2,CQ314/CI314&lt;0.5),"NM",CQ314/CI314*100-100))</f>
        <v>NA</v>
      </c>
      <c r="CS314" s="81">
        <f>CS310/CS309*100</f>
        <v>0.22075055187637968</v>
      </c>
      <c r="CT314" s="72" t="str">
        <f>IF(ISERROR(CS314/CK314),"NA",IF(OR(CS314/CK314&gt;2,CS314/CK314&lt;0.5),"NM",CS314/CK314*100-100))</f>
        <v>NA</v>
      </c>
      <c r="CU314" s="81">
        <f>CU310/CU309*100</f>
        <v>-0.24154589371980675</v>
      </c>
      <c r="CV314" s="72">
        <f>IF(ISERROR(CU314/CM314),"NA",IF(OR(CU314/CM314&gt;2,CU314/CM314&lt;0.5),"NM",CU314/CM314*100-100))</f>
        <v>-5.3140096618357546</v>
      </c>
      <c r="CW314" s="81">
        <f>CW310/CW309*100</f>
        <v>0</v>
      </c>
      <c r="CX314" s="72" t="str">
        <f>IF(ISERROR(CW314/CO314),"NA",IF(OR(CW314/CO314&gt;2,CW314/CO314&lt;0.5),"NM",CW314/CO314*100-100))</f>
        <v>NA</v>
      </c>
      <c r="CY314" s="81">
        <f>CY310/CY309*100</f>
        <v>-0.23094688221709006</v>
      </c>
      <c r="CZ314" s="72" t="str">
        <f>IF(ISERROR(CY314/CQ314),"NA",IF(OR(CY314/CQ314&gt;2,CY314/CQ314&lt;0.5),"NM",CY314/CQ314*100-100))</f>
        <v>NM</v>
      </c>
      <c r="DA314" s="81">
        <f>DA310/DA309*100</f>
        <v>0</v>
      </c>
      <c r="DB314" s="72" t="str">
        <f>IF(ISERROR(DA314/CS314),"NA",IF(OR(DA314/CS314&gt;2,DA314/CS314&lt;0.5),"NM",DA314/CS314*100-100))</f>
        <v>NM</v>
      </c>
      <c r="DC314" s="81">
        <f>DC310/DC309*100</f>
        <v>-0.21231422505307856</v>
      </c>
      <c r="DD314" s="72">
        <f>IF(ISERROR(DC314/CU314),"NA",IF(OR(DC314/CU314&gt;2,DC314/CU314&lt;0.5),"NM",DC314/CU314*100-100))</f>
        <v>-12.101910828025481</v>
      </c>
      <c r="DE314" s="81">
        <f>DE310/DE309*100</f>
        <v>0.20576131687242799</v>
      </c>
      <c r="DF314" s="72" t="str">
        <f>IF(ISERROR(DE314/CW314),"NA",IF(OR(DE314/CW314&gt;2,DE314/CW314&lt;0.5),"NM",DE314/CW314*100-100))</f>
        <v>NA</v>
      </c>
      <c r="DG314" s="81">
        <f>DG310/DG309*100</f>
        <v>0.21141649048625794</v>
      </c>
      <c r="DH314" s="72" t="str">
        <f>IF(ISERROR(DG314/CY314),"NA",IF(OR(DG314/CY314&gt;2,DG314/CY314&lt;0.5),"NM",DG314/CY314*100-100))</f>
        <v>NM</v>
      </c>
      <c r="DI314" s="81">
        <f>DI310/DI309*100</f>
        <v>0.39138943248532287</v>
      </c>
      <c r="DJ314" s="72" t="str">
        <f>IF(ISERROR(DI314/DA314),"NA",IF(OR(DI314/DA314&gt;2,DI314/DA314&lt;0.5),"NM",DI314/DA314*100-100))</f>
        <v>NA</v>
      </c>
      <c r="DK314" s="81">
        <f>DK310/DK309*100</f>
        <v>0</v>
      </c>
      <c r="DL314" s="72" t="str">
        <f>IF(ISERROR(DK314/DC314),"NA",IF(OR(DK314/DC314&gt;2,DK314/DC314&lt;0.5),"NM",DK314/DC314*100-100))</f>
        <v>NM</v>
      </c>
      <c r="DM314" s="81">
        <f>DM310/DM309*100</f>
        <v>0</v>
      </c>
      <c r="DN314" s="72" t="str">
        <f t="shared" si="1797"/>
        <v>NM</v>
      </c>
      <c r="DO314" s="456">
        <f>DO310/DO309*100</f>
        <v>0.38684719535783368</v>
      </c>
      <c r="DP314" s="532">
        <f t="shared" si="1797"/>
        <v>82.978723404255305</v>
      </c>
      <c r="DQ314" s="456">
        <f>DQ310/DQ309*100</f>
        <v>0.36832412523020258</v>
      </c>
      <c r="DR314" s="532">
        <f t="shared" si="1797"/>
        <v>-5.8931860036832404</v>
      </c>
      <c r="DS314" s="456">
        <f>DS310/DS309*100</f>
        <v>0.38167938931297707</v>
      </c>
      <c r="DT314" s="532" t="str">
        <f t="shared" si="1797"/>
        <v>NA</v>
      </c>
      <c r="DU314" s="456">
        <f>DU310/DU309*100</f>
        <v>0.34722222222222221</v>
      </c>
      <c r="DV314" s="72" t="str">
        <f t="shared" si="1797"/>
        <v>NA</v>
      </c>
      <c r="DW314" s="81">
        <f>DW310/DW309*100</f>
        <v>0.38535645472061658</v>
      </c>
      <c r="DX314" s="72">
        <f t="shared" si="1797"/>
        <v>-0.38535645472062185</v>
      </c>
      <c r="DY314" s="81">
        <f>DY310/DY309*100</f>
        <v>0.37878787878787878</v>
      </c>
      <c r="DZ314" s="72">
        <f t="shared" si="1797"/>
        <v>2.8409090909090793</v>
      </c>
      <c r="EA314" s="81">
        <f>EA310/EA309*100</f>
        <v>0.18621973929236499</v>
      </c>
      <c r="EB314" s="72" t="str">
        <f>IF(ISERROR(EA314/DS314),"NA",IF(OR(EA314/DS314&gt;2,EA314/DS314&lt;0.5),"NM",EA314/DS314*100-100))</f>
        <v>NM</v>
      </c>
      <c r="EC314" s="81">
        <f>EC310/EC309*100</f>
        <v>0.19230769230769232</v>
      </c>
      <c r="ED314" s="72">
        <f>IF(ISERROR(EC314/DU314),"NA",IF(OR(EC314/DU314&gt;2,EC314/DU314&lt;0.5),"NM",EC314/DU314*100-100))</f>
        <v>-44.615384615384613</v>
      </c>
      <c r="EE314" s="81">
        <f>EE310/EE309*100</f>
        <v>0.18050541516245489</v>
      </c>
      <c r="EF314" s="72" t="str">
        <f>IF(ISERROR(EE314/DW314),"NA",IF(OR(EE314/DW314&gt;2,EE314/DW314&lt;0.5),"NM",EE314/DW314*100-100))</f>
        <v>NM</v>
      </c>
      <c r="EG314" s="81">
        <f>EG310/EG309*100</f>
        <v>0.36832412523020258</v>
      </c>
      <c r="EH314" s="72">
        <f>IF(ISERROR(EG314/DY314),"NA",IF(OR(EG314/DY314&gt;2,EG314/DY314&lt;0.5),"NM",EG314/DY314*100-100))</f>
        <v>-2.7624309392265189</v>
      </c>
      <c r="EI314" s="81">
        <f>EI310/EI309*100</f>
        <v>0.36166365280289331</v>
      </c>
      <c r="EJ314" s="72">
        <f>IF(ISERROR(EI314/EA314),"NA",IF(OR(EI314/EA314&gt;2,EI314/EA314&lt;0.5),"NM",EI314/EA314*100-100))</f>
        <v>94.213381555153717</v>
      </c>
      <c r="EK314" s="81">
        <f>EK310/EK309*100</f>
        <v>0.17825311942959002</v>
      </c>
      <c r="EL314" s="72">
        <f>IF(ISERROR(EK314/EC314),"NA",IF(OR(EK314/EC314&gt;2,EK314/EC314&lt;0.5),"NM",EK314/EC314*100-100))</f>
        <v>-7.3083778966131945</v>
      </c>
      <c r="EM314" s="81">
        <f>EM310/EM309*100</f>
        <v>0</v>
      </c>
      <c r="EN314" s="72" t="str">
        <f>IF(ISERROR(EM314/EE314),"NA",IF(OR(EM314/EE314&gt;2,EM314/EE314&lt;0.5),"NM",EM314/EE314*100-100))</f>
        <v>NM</v>
      </c>
      <c r="EO314" s="81">
        <f>EO310/EO309*100</f>
        <v>0.29895366218236175</v>
      </c>
      <c r="EP314" s="72">
        <f>IF(ISERROR(EO314/EG314),"NA",IF(OR(EO314/EG314&gt;2,EO314/EG314&lt;0.5),"NM",EO314/EG314*100-100))</f>
        <v>-18.834080717488789</v>
      </c>
      <c r="EQ314" s="86">
        <f t="shared" ref="EQ314" si="1806">EO314</f>
        <v>0.29895366218236175</v>
      </c>
      <c r="ER314" s="72">
        <f t="shared" si="1798"/>
        <v>-17.33931240657698</v>
      </c>
      <c r="ES314" s="86">
        <f t="shared" si="1799"/>
        <v>0.29895366218236175</v>
      </c>
      <c r="ET314" s="72">
        <f t="shared" si="1800"/>
        <v>67.713004484304918</v>
      </c>
      <c r="EU314" s="86">
        <f t="shared" si="1801"/>
        <v>0.29895366218236175</v>
      </c>
      <c r="EV314" s="72" t="str">
        <f t="shared" si="1802"/>
        <v>NA</v>
      </c>
      <c r="EW314" s="86">
        <f t="shared" ref="EW314" si="1807">EU314</f>
        <v>0.29895366218236175</v>
      </c>
      <c r="EX314" s="72">
        <f t="shared" si="1803"/>
        <v>0</v>
      </c>
      <c r="EY314" s="72"/>
      <c r="EZ314" s="309"/>
      <c r="FA314" s="72"/>
      <c r="FB314" s="81"/>
      <c r="FC314" s="72"/>
      <c r="FD314" s="73">
        <f>FD310/FD309*100</f>
        <v>0.25817555938037867</v>
      </c>
      <c r="FE314" s="87" t="str">
        <f>IF(ISERROR(FD314/FB314),"NA",IF(OR(FD314/FB314&gt;2,FD314/FB314&lt;0.5),"NM",FD314/FB314*100-100))</f>
        <v>NA</v>
      </c>
      <c r="FF314" s="73">
        <f>FF310/FF309*100</f>
        <v>0.15673981191222569</v>
      </c>
      <c r="FG314" s="87">
        <f>IF(ISERROR(FF314/FD314),"NA",IF(OR(FF314/FD314&gt;2,FF314/FD314&lt;0.5),"NM",FF314/FD314*100-100))</f>
        <v>-39.289446185997924</v>
      </c>
      <c r="FH314" s="73">
        <f>FH310/FH309*100</f>
        <v>2.2969647251845777</v>
      </c>
      <c r="FI314" s="87" t="str">
        <f>IF(ISERROR(FH314/FF314),"NA",IF(OR(FH314/FF314&gt;2,FH314/FF314&lt;0.5),"NM",FH314/FF314*100-100))</f>
        <v>NM</v>
      </c>
      <c r="FJ314" s="73">
        <f>FJ310/FJ309*100</f>
        <v>3.6730945821854912</v>
      </c>
      <c r="FK314" s="87">
        <f>IF(ISERROR(FJ314/FH314),"NA",IF(OR(FJ314/FH314&gt;2,FJ314/FH314&lt;0.5),"NM",FJ314/FH314*100-100))</f>
        <v>59.910796274432641</v>
      </c>
      <c r="FL314" s="73">
        <f>FL310/FL309*100</f>
        <v>3.2727272727272729</v>
      </c>
      <c r="FM314" s="87">
        <f>IF(ISERROR(FL314/FJ314),"NA",IF(OR(FL314/FJ314&gt;2,FL314/FJ314&lt;0.5),"NM",FL314/FJ314*100-100))</f>
        <v>-10.900000000000006</v>
      </c>
      <c r="FN314" s="73">
        <f>FN310/FN309*100</f>
        <v>2.0636285468615649</v>
      </c>
      <c r="FO314" s="87">
        <f>IF(ISERROR(FN314/FL314),"NA",IF(OR(FN314/FL314&gt;2,FN314/FL314&lt;0.5),"NM",FN314/FL314*100-100))</f>
        <v>-36.944683290341075</v>
      </c>
      <c r="FP314" s="73">
        <f>FP310/FP309*100</f>
        <v>1.3333333333333335</v>
      </c>
      <c r="FQ314" s="87">
        <f>IF(ISERROR(FP314/FN314),"NA",IF(OR(FP314/FN314&gt;2,FP314/FN314&lt;0.5),"NM",FP314/FN314*100-100))</f>
        <v>-35.388888888888886</v>
      </c>
      <c r="FR314" s="81">
        <f>FR310/FR309*100</f>
        <v>0.71942446043165476</v>
      </c>
      <c r="FS314" s="87">
        <f>IF(ISERROR(FR314/FP314),"NA",IF(OR(FR314/FP314&gt;2,FR314/FP314&lt;0.5),"NM",FR314/FP314*100-100))</f>
        <v>-46.043165467625904</v>
      </c>
      <c r="FT314" s="81">
        <f>FT310/FT309*100</f>
        <v>0.25773195876288657</v>
      </c>
      <c r="FU314" s="87" t="str">
        <f>IF(ISERROR(FT314/FR314),"NA",IF(OR(FT314/FR314&gt;2,FT314/FR314&lt;0.5),"NM",FT314/FR314*100-100))</f>
        <v>NM</v>
      </c>
      <c r="FV314" s="81">
        <f>FV310/FV309*100</f>
        <v>0.43795620437956206</v>
      </c>
      <c r="FW314" s="72">
        <f t="shared" si="1804"/>
        <v>69.927007299270116</v>
      </c>
      <c r="FX314" s="81">
        <f>FX310/FX309*100</f>
        <v>-0.33898305084745761</v>
      </c>
      <c r="FY314" s="72" t="str">
        <f t="shared" si="1804"/>
        <v>NM</v>
      </c>
      <c r="FZ314" s="81">
        <f>FZ310/FZ309*100</f>
        <v>7.2098053352559477E-2</v>
      </c>
      <c r="GA314" s="72" t="str">
        <f t="shared" si="1804"/>
        <v>NM</v>
      </c>
      <c r="GB314" s="81">
        <f>GB310/GB309*100</f>
        <v>0.12084592145015105</v>
      </c>
      <c r="GC314" s="72">
        <f t="shared" si="1804"/>
        <v>67.613293051359534</v>
      </c>
      <c r="GD314" s="81">
        <f>GD310/GD309*100</f>
        <v>-0.11242270938729623</v>
      </c>
      <c r="GE314" s="72" t="str">
        <f t="shared" si="1804"/>
        <v>NM</v>
      </c>
      <c r="GF314" s="81">
        <f>GF310/GF309*100</f>
        <v>0.15455950540958269</v>
      </c>
      <c r="GG314" s="72" t="str">
        <f t="shared" si="1804"/>
        <v>NM</v>
      </c>
      <c r="GH314" s="81">
        <f>GH310/GH309*100</f>
        <v>0.19598236158745713</v>
      </c>
      <c r="GI314" s="72">
        <f t="shared" si="1805"/>
        <v>26.800587947084779</v>
      </c>
      <c r="GJ314" s="81">
        <f>GJ310/GJ309*100</f>
        <v>0.37261294829995345</v>
      </c>
      <c r="GK314" s="72">
        <f t="shared" si="1805"/>
        <v>90.125756870051248</v>
      </c>
      <c r="GL314" s="81">
        <f>GL310/GL309*100</f>
        <v>0.23212627669452179</v>
      </c>
      <c r="GM314" s="72">
        <f t="shared" si="1805"/>
        <v>-37.703110492107719</v>
      </c>
      <c r="GN314" s="81">
        <f>GN310/GN309*100</f>
        <v>0.21331058020477817</v>
      </c>
      <c r="GO314" s="72">
        <f t="shared" si="1805"/>
        <v>-8.1058020477815518</v>
      </c>
      <c r="GP314" s="81">
        <f>GP310/GP309*100</f>
        <v>0.2989536621823618</v>
      </c>
      <c r="GQ314" s="72">
        <f t="shared" si="1805"/>
        <v>40.149476831091192</v>
      </c>
      <c r="GR314" s="86">
        <f>GP314</f>
        <v>0.2989536621823618</v>
      </c>
      <c r="GS314" s="72">
        <f t="shared" si="1805"/>
        <v>0</v>
      </c>
      <c r="GT314" s="86">
        <f>GR314</f>
        <v>0.2989536621823618</v>
      </c>
      <c r="GU314" s="72">
        <f t="shared" si="1805"/>
        <v>0</v>
      </c>
      <c r="GV314" s="86">
        <f>GT314</f>
        <v>0.2989536621823618</v>
      </c>
      <c r="GW314" s="72">
        <f>IF(ISERROR(GV314/GT314),"NA",IF(OR(GV314/GT314&gt;2,GV314/GT314&lt;0.5),"NM",GV314/GT314*100-100))</f>
        <v>0</v>
      </c>
      <c r="GX314" s="86">
        <f>GV314</f>
        <v>0.2989536621823618</v>
      </c>
      <c r="GY314" s="72">
        <f>IF(ISERROR(GX314/GV314),"NA",IF(OR(GX314/GV314&gt;2,GX314/GV314&lt;0.5),"NM",GX314/GV314*100-100))</f>
        <v>0</v>
      </c>
      <c r="GZ314" s="72">
        <f>IF(ISERROR(((GX314/GN314)^0.2-1)*100),"NA",IF((((GX314/GN314)^0.2-1)*100)&gt;100,"NM",IF((((GX314/GN314)^0.2-1)*100)&lt;-50,"NM",((GX314/GN314)^0.2-1)*100)))</f>
        <v>6.9838681055522933</v>
      </c>
      <c r="HA314" s="72"/>
      <c r="HB314" s="72"/>
      <c r="HC314"/>
      <c r="HD314"/>
      <c r="HE314"/>
      <c r="HF314"/>
      <c r="HG314"/>
      <c r="HH314"/>
      <c r="HI314" s="2"/>
    </row>
    <row r="315" spans="1:217" s="3" customFormat="1" ht="12.75" customHeight="1" x14ac:dyDescent="0.2">
      <c r="B315" s="10"/>
      <c r="C315" s="73"/>
      <c r="D315" s="72"/>
      <c r="E315" s="73"/>
      <c r="F315" s="72"/>
      <c r="G315" s="73"/>
      <c r="H315" s="72"/>
      <c r="I315" s="73"/>
      <c r="J315" s="72"/>
      <c r="K315" s="73"/>
      <c r="L315" s="87"/>
      <c r="M315" s="73"/>
      <c r="N315" s="87"/>
      <c r="O315" s="73"/>
      <c r="P315" s="87"/>
      <c r="Q315" s="73"/>
      <c r="R315" s="87"/>
      <c r="S315" s="73"/>
      <c r="T315" s="87"/>
      <c r="U315" s="73"/>
      <c r="V315" s="87"/>
      <c r="W315" s="73"/>
      <c r="X315" s="87"/>
      <c r="Y315" s="73"/>
      <c r="Z315" s="87"/>
      <c r="AA315" s="73"/>
      <c r="AB315" s="87"/>
      <c r="AC315" s="73"/>
      <c r="AD315" s="87"/>
      <c r="AE315" s="73"/>
      <c r="AF315" s="87"/>
      <c r="AG315" s="73"/>
      <c r="AH315" s="87"/>
      <c r="AI315" s="73"/>
      <c r="AJ315" s="87"/>
      <c r="AK315" s="73"/>
      <c r="AL315" s="87"/>
      <c r="AM315" s="73"/>
      <c r="AN315" s="87"/>
      <c r="AO315" s="73"/>
      <c r="AP315" s="87"/>
      <c r="AQ315" s="73"/>
      <c r="AR315" s="87"/>
      <c r="AS315" s="73"/>
      <c r="AT315" s="87"/>
      <c r="AU315" s="73"/>
      <c r="AV315" s="87"/>
      <c r="AW315" s="73"/>
      <c r="AX315" s="87"/>
      <c r="AY315" s="73"/>
      <c r="AZ315" s="87"/>
      <c r="BA315" s="73"/>
      <c r="BB315" s="87"/>
      <c r="BC315" s="73"/>
      <c r="BD315" s="87"/>
      <c r="BE315" s="73"/>
      <c r="BF315" s="87"/>
      <c r="BG315" s="73"/>
      <c r="BH315" s="87"/>
      <c r="BI315" s="73"/>
      <c r="BJ315" s="87"/>
      <c r="BK315" s="73"/>
      <c r="BL315" s="87"/>
      <c r="BM315" s="73"/>
      <c r="BN315" s="87"/>
      <c r="BO315" s="73"/>
      <c r="BP315" s="87"/>
      <c r="BQ315" s="73"/>
      <c r="BR315" s="87"/>
      <c r="BS315" s="73"/>
      <c r="BT315" s="87"/>
      <c r="BU315" s="73"/>
      <c r="BV315" s="87"/>
      <c r="BW315" s="73"/>
      <c r="BX315" s="72"/>
      <c r="BY315" s="73"/>
      <c r="BZ315" s="72"/>
      <c r="CA315" s="73"/>
      <c r="CB315" s="72"/>
      <c r="CC315" s="73"/>
      <c r="CD315" s="72"/>
      <c r="CE315" s="73"/>
      <c r="CF315" s="72"/>
      <c r="CG315" s="73"/>
      <c r="CH315" s="72"/>
      <c r="CI315" s="73"/>
      <c r="CJ315" s="72"/>
      <c r="CK315" s="73"/>
      <c r="CL315" s="72"/>
      <c r="CM315" s="73"/>
      <c r="CN315" s="72"/>
      <c r="CO315" s="73"/>
      <c r="CP315" s="72"/>
      <c r="CQ315" s="73"/>
      <c r="CR315" s="72"/>
      <c r="CS315" s="73"/>
      <c r="CT315" s="72"/>
      <c r="CU315" s="73"/>
      <c r="CV315" s="72"/>
      <c r="CW315" s="73"/>
      <c r="CX315" s="72"/>
      <c r="CY315" s="73"/>
      <c r="CZ315" s="72"/>
      <c r="DA315" s="73"/>
      <c r="DB315" s="72"/>
      <c r="DC315" s="73"/>
      <c r="DD315" s="72"/>
      <c r="DE315" s="73"/>
      <c r="DF315" s="72"/>
      <c r="DG315" s="73"/>
      <c r="DH315" s="72"/>
      <c r="DI315" s="73"/>
      <c r="DJ315" s="72"/>
      <c r="DK315" s="73"/>
      <c r="DL315" s="72"/>
      <c r="DM315" s="73"/>
      <c r="DN315" s="72"/>
      <c r="DO315" s="457"/>
      <c r="DP315" s="532"/>
      <c r="DQ315" s="457"/>
      <c r="DR315" s="532"/>
      <c r="DS315" s="457"/>
      <c r="DT315" s="532"/>
      <c r="DU315" s="457"/>
      <c r="DV315" s="72"/>
      <c r="DW315" s="73"/>
      <c r="DX315" s="72"/>
      <c r="DY315" s="73"/>
      <c r="DZ315" s="72"/>
      <c r="EA315" s="73"/>
      <c r="EB315" s="72"/>
      <c r="EC315" s="73"/>
      <c r="ED315" s="72"/>
      <c r="EE315" s="73"/>
      <c r="EF315" s="72"/>
      <c r="EG315" s="73"/>
      <c r="EH315" s="72"/>
      <c r="EI315" s="73"/>
      <c r="EJ315" s="72"/>
      <c r="EK315" s="73"/>
      <c r="EL315" s="72"/>
      <c r="EM315" s="73"/>
      <c r="EN315" s="72"/>
      <c r="EO315" s="73"/>
      <c r="EP315" s="72"/>
      <c r="EQ315" s="73"/>
      <c r="ER315" s="72"/>
      <c r="ES315" s="73"/>
      <c r="ET315" s="72"/>
      <c r="EU315" s="73"/>
      <c r="EV315" s="72"/>
      <c r="EW315" s="73"/>
      <c r="EX315" s="72"/>
      <c r="EY315" s="72"/>
      <c r="EZ315" s="309"/>
      <c r="FA315" s="72"/>
      <c r="FB315" s="81"/>
      <c r="FC315" s="72"/>
      <c r="FD315" s="71"/>
      <c r="FE315" s="87"/>
      <c r="FF315" s="71"/>
      <c r="FG315" s="87"/>
      <c r="FH315" s="73"/>
      <c r="FI315" s="87"/>
      <c r="FJ315" s="73"/>
      <c r="FK315" s="87"/>
      <c r="FL315" s="73"/>
      <c r="FM315" s="87"/>
      <c r="FN315" s="73"/>
      <c r="FO315" s="87"/>
      <c r="FP315" s="73"/>
      <c r="FQ315" s="87"/>
      <c r="FR315" s="73"/>
      <c r="FS315" s="87"/>
      <c r="FT315" s="73"/>
      <c r="FU315" s="87"/>
      <c r="FV315" s="73"/>
      <c r="FW315" s="87"/>
      <c r="FX315" s="73"/>
      <c r="FY315" s="87"/>
      <c r="FZ315" s="73"/>
      <c r="GA315" s="87"/>
      <c r="GB315" s="73"/>
      <c r="GC315" s="87"/>
      <c r="GD315" s="73"/>
      <c r="GE315" s="87"/>
      <c r="GF315" s="73"/>
      <c r="GG315" s="87"/>
      <c r="GH315" s="73"/>
      <c r="GI315" s="87"/>
      <c r="GJ315" s="73"/>
      <c r="GK315" s="87"/>
      <c r="GL315" s="73"/>
      <c r="GM315" s="87"/>
      <c r="GN315" s="73"/>
      <c r="GO315" s="87"/>
      <c r="GP315" s="73"/>
      <c r="GQ315" s="87"/>
      <c r="GR315" s="73"/>
      <c r="GS315" s="87"/>
      <c r="GT315" s="73"/>
      <c r="GU315" s="87"/>
      <c r="GV315" s="73"/>
      <c r="GW315" s="87"/>
      <c r="GX315" s="73"/>
      <c r="GY315" s="87"/>
      <c r="GZ315" s="87"/>
      <c r="HA315" s="87"/>
      <c r="HB315" s="87"/>
      <c r="HC315"/>
      <c r="HD315"/>
      <c r="HE315"/>
      <c r="HF315"/>
      <c r="HG315"/>
      <c r="HH315"/>
      <c r="HI315" s="2"/>
    </row>
    <row r="316" spans="1:217" s="3" customFormat="1" ht="12.75" customHeight="1" x14ac:dyDescent="0.2">
      <c r="A316" s="3" t="s">
        <v>410</v>
      </c>
      <c r="B316" s="70" t="s">
        <v>27</v>
      </c>
      <c r="C316" s="91"/>
      <c r="D316" s="72"/>
      <c r="E316" s="91"/>
      <c r="F316" s="72"/>
      <c r="G316" s="91"/>
      <c r="H316" s="72"/>
      <c r="I316" s="91"/>
      <c r="J316" s="72"/>
      <c r="K316" s="91">
        <f>+K303-K311</f>
        <v>67</v>
      </c>
      <c r="L316" s="87" t="str">
        <f>IF(ISERROR(K316/C316),"NA",IF(OR(K316/C316&gt;2,K316/C316&lt;0.5),"NM",K316/C316*100-100))</f>
        <v>NA</v>
      </c>
      <c r="M316" s="91">
        <f>+M303-M311</f>
        <v>40</v>
      </c>
      <c r="N316" s="87" t="str">
        <f>IF(ISERROR(M316/E316),"NA",IF(OR(M316/E316&gt;2,M316/E316&lt;0.5),"NM",M316/E316*100-100))</f>
        <v>NA</v>
      </c>
      <c r="O316" s="91">
        <f>+O303-O311</f>
        <v>51</v>
      </c>
      <c r="P316" s="87" t="str">
        <f>IF(ISERROR(O316/G316),"NA",IF(OR(O316/G316&gt;2,O316/G316&lt;0.5),"NM",O316/G316*100-100))</f>
        <v>NA</v>
      </c>
      <c r="Q316" s="91">
        <f>+Q303-Q311</f>
        <v>38</v>
      </c>
      <c r="R316" s="87" t="str">
        <f>IF(ISERROR(Q316/I316),"NA",IF(OR(Q316/I316&gt;2,Q316/I316&lt;0.5),"NM",Q316/I316*100-100))</f>
        <v>NA</v>
      </c>
      <c r="S316" s="91">
        <f>+S303-S311</f>
        <v>63</v>
      </c>
      <c r="T316" s="87">
        <f>IF(ISERROR(S316/K316),"NA",IF(OR(S316/K316&gt;2,S316/K316&lt;0.5),"NM",S316/K316*100-100))</f>
        <v>-5.9701492537313356</v>
      </c>
      <c r="U316" s="91">
        <f>+U303-U311</f>
        <v>48</v>
      </c>
      <c r="V316" s="87">
        <f>IF(ISERROR(U316/M316),"NA",IF(OR(U316/M316&gt;2,U316/M316&lt;0.5),"NM",U316/M316*100-100))</f>
        <v>20</v>
      </c>
      <c r="W316" s="91">
        <f>+W303-W311</f>
        <v>42</v>
      </c>
      <c r="X316" s="87">
        <f>IF(ISERROR(W316/O316),"NA",IF(OR(W316/O316&gt;2,W316/O316&lt;0.5),"NM",W316/O316*100-100))</f>
        <v>-17.64705882352942</v>
      </c>
      <c r="Y316" s="91">
        <f>+Y303-Y311</f>
        <v>31</v>
      </c>
      <c r="Z316" s="87">
        <f>IF(ISERROR(Y316/Q316),"NA",IF(OR(Y316/Q316&gt;2,Y316/Q316&lt;0.5),"NM",Y316/Q316*100-100))</f>
        <v>-18.421052631578945</v>
      </c>
      <c r="AA316" s="91">
        <f>+AA303-AA311</f>
        <v>45</v>
      </c>
      <c r="AB316" s="87">
        <f>IF(ISERROR(AA316/S316),"NA",IF(OR(AA316/S316&gt;2,AA316/S316&lt;0.5),"NM",AA316/S316*100-100))</f>
        <v>-28.571428571428569</v>
      </c>
      <c r="AC316" s="91">
        <f>+AC303-AC311</f>
        <v>54</v>
      </c>
      <c r="AD316" s="87">
        <f>IF(ISERROR(AC316/U316),"NA",IF(OR(AC316/U316&gt;2,AC316/U316&lt;0.5),"NM",AC316/U316*100-100))</f>
        <v>12.5</v>
      </c>
      <c r="AE316" s="91">
        <f>+AE303-AE311</f>
        <v>42</v>
      </c>
      <c r="AF316" s="87">
        <f>IF(ISERROR(AE316/W316),"NA",IF(OR(AE316/W316&gt;2,AE316/W316&lt;0.5),"NM",AE316/W316*100-100))</f>
        <v>0</v>
      </c>
      <c r="AG316" s="91">
        <f>+AG303-AG311</f>
        <v>68</v>
      </c>
      <c r="AH316" s="87" t="str">
        <f>IF(ISERROR(AG316/Y316),"NA",IF(OR(AG316/Y316&gt;2,AG316/Y316&lt;0.5),"NM",AG316/Y316*100-100))</f>
        <v>NM</v>
      </c>
      <c r="AI316" s="91">
        <f>+AI303-AI311</f>
        <v>58</v>
      </c>
      <c r="AJ316" s="87">
        <f>IF(ISERROR(AI316/AA316),"NA",IF(OR(AI316/AA316&gt;2,AI316/AA316&lt;0.5),"NM",AI316/AA316*100-100))</f>
        <v>28.888888888888886</v>
      </c>
      <c r="AK316" s="91">
        <f>+AK303-AK311</f>
        <v>60</v>
      </c>
      <c r="AL316" s="87">
        <f>IF(ISERROR(AK316/AC316),"NA",IF(OR(AK316/AC316&gt;2,AK316/AC316&lt;0.5),"NM",AK316/AC316*100-100))</f>
        <v>11.111111111111114</v>
      </c>
      <c r="AM316" s="91">
        <f>+AM303-AM311</f>
        <v>58</v>
      </c>
      <c r="AN316" s="87">
        <f>IF(ISERROR(AM316/AE316),"NA",IF(OR(AM316/AE316&gt;2,AM316/AE316&lt;0.5),"NM",AM316/AE316*100-100))</f>
        <v>38.095238095238102</v>
      </c>
      <c r="AO316" s="91">
        <f>+AO303-AO311</f>
        <v>90</v>
      </c>
      <c r="AP316" s="87">
        <f>IF(ISERROR(AO316/AG316),"NA",IF(OR(AO316/AG316&gt;2,AO316/AG316&lt;0.5),"NM",AO316/AG316*100-100))</f>
        <v>32.35294117647058</v>
      </c>
      <c r="AQ316" s="91">
        <f>+AQ303-AQ311</f>
        <v>134</v>
      </c>
      <c r="AR316" s="87" t="str">
        <f>IF(ISERROR(AQ316/AI316),"NA",IF(OR(AQ316/AI316&gt;2,AQ316/AI316&lt;0.5),"NM",AQ316/AI316*100-100))</f>
        <v>NM</v>
      </c>
      <c r="AS316" s="91">
        <f>+AS303-AS311</f>
        <v>105</v>
      </c>
      <c r="AT316" s="87">
        <f>IF(ISERROR(AS316/AK316),"NA",IF(OR(AS316/AK316&gt;2,AS316/AK316&lt;0.5),"NM",AS316/AK316*100-100))</f>
        <v>75</v>
      </c>
      <c r="AU316" s="91">
        <f>+AU303-AU311</f>
        <v>116</v>
      </c>
      <c r="AV316" s="87">
        <f>IF(ISERROR(AU316/AM316),"NA",IF(OR(AU316/AM316&gt;2,AU316/AM316&lt;0.5),"NM",AU316/AM316*100-100))</f>
        <v>100</v>
      </c>
      <c r="AW316" s="91">
        <f>+AW303-AW311</f>
        <v>109</v>
      </c>
      <c r="AX316" s="87">
        <f>IF(ISERROR(AW316/AO316),"NA",IF(OR(AW316/AO316&gt;2,AW316/AO316&lt;0.5),"NM",AW316/AO316*100-100))</f>
        <v>21.1111111111111</v>
      </c>
      <c r="AY316" s="91">
        <f>+AY303-AY311</f>
        <v>154</v>
      </c>
      <c r="AZ316" s="87">
        <f>IF(ISERROR(AY316/AQ316),"NA",IF(OR(AY316/AQ316&gt;2,AY316/AQ316&lt;0.5),"NM",AY316/AQ316*100-100))</f>
        <v>14.925373134328353</v>
      </c>
      <c r="BA316" s="91">
        <f>+BA303-BA311</f>
        <v>127</v>
      </c>
      <c r="BB316" s="87">
        <f>IF(ISERROR(BA316/AS316),"NA",IF(OR(BA316/AS316&gt;2,BA316/AS316&lt;0.5),"NM",BA316/AS316*100-100))</f>
        <v>20.952380952380949</v>
      </c>
      <c r="BC316" s="91">
        <f>+BC303-BC311</f>
        <v>102</v>
      </c>
      <c r="BD316" s="87">
        <f>IF(ISERROR(BC316/AU316),"NA",IF(OR(BC316/AU316&gt;2,BC316/AU316&lt;0.5),"NM",BC316/AU316*100-100))</f>
        <v>-12.068965517241381</v>
      </c>
      <c r="BE316" s="91">
        <f>+BE303-BE311</f>
        <v>167</v>
      </c>
      <c r="BF316" s="87">
        <f>IF(ISERROR(BE316/AW316),"NA",IF(OR(BE316/AW316&gt;2,BE316/AW316&lt;0.5),"NM",BE316/AW316*100-100))</f>
        <v>53.211009174311926</v>
      </c>
      <c r="BG316" s="91">
        <f>+BG303-BG311</f>
        <v>175</v>
      </c>
      <c r="BH316" s="87">
        <f>IF(ISERROR(BG316/AY316),"NA",IF(OR(BG316/AY316&gt;2,BG316/AY316&lt;0.5),"NM",BG316/AY316*100-100))</f>
        <v>13.63636363636364</v>
      </c>
      <c r="BI316" s="91">
        <f>+BI303-BI311</f>
        <v>167</v>
      </c>
      <c r="BJ316" s="87">
        <f>IF(ISERROR(BI316/BA316),"NA",IF(OR(BI316/BA316&gt;2,BI316/BA316&lt;0.5),"NM",BI316/BA316*100-100))</f>
        <v>31.496062992125985</v>
      </c>
      <c r="BK316" s="91">
        <f>+BK303-BK311</f>
        <v>161</v>
      </c>
      <c r="BL316" s="87">
        <f>IF(ISERROR(BK316/BC316),"NA",IF(OR(BK316/BC316&gt;2,BK316/BC316&lt;0.5),"NM",BK316/BC316*100-100))</f>
        <v>57.843137254901961</v>
      </c>
      <c r="BM316" s="91">
        <f>+BM303-BM311</f>
        <v>198</v>
      </c>
      <c r="BN316" s="87">
        <f>IF(ISERROR(BM316/BE316),"NA",IF(OR(BM316/BE316&gt;2,BM316/BE316&lt;0.5),"NM",BM316/BE316*100-100))</f>
        <v>18.562874251497007</v>
      </c>
      <c r="BO316" s="91">
        <f>+BO303-BO311</f>
        <v>119</v>
      </c>
      <c r="BP316" s="87">
        <f>IF(ISERROR(BO316/BG316),"NA",IF(OR(BO316/BG316&gt;2,BO316/BG316&lt;0.5),"NM",BO316/BG316*100-100))</f>
        <v>-32</v>
      </c>
      <c r="BQ316" s="91">
        <f>+BQ303-BQ311</f>
        <v>190</v>
      </c>
      <c r="BR316" s="87">
        <f>IF(ISERROR(BQ316/BI316),"NA",IF(OR(BQ316/BI316&gt;2,BQ316/BI316&lt;0.5),"NM",BQ316/BI316*100-100))</f>
        <v>13.772455089820369</v>
      </c>
      <c r="BS316" s="91">
        <f>+BS303-BS311</f>
        <v>-8</v>
      </c>
      <c r="BT316" s="87" t="str">
        <f>IF(ISERROR(BS316/BK316),"NA",IF(OR(BS316/BK316&gt;2,BS316/BK316&lt;0.5),"NM",BS316/BK316*100-100))</f>
        <v>NM</v>
      </c>
      <c r="BU316" s="91">
        <f>+BU303-BU311</f>
        <v>-69</v>
      </c>
      <c r="BV316" s="87" t="str">
        <f>IF(ISERROR(BU316/BM316),"NA",IF(OR(BU316/BM316&gt;2,BU316/BM316&lt;0.5),"NM",BU316/BM316*100-100))</f>
        <v>NM</v>
      </c>
      <c r="BW316" s="91">
        <f>+BW303-BW311</f>
        <v>-1</v>
      </c>
      <c r="BX316" s="72" t="str">
        <f>IF(ISERROR(BW316/BO316),"NA",IF(OR(BW316/BO316&gt;2,BW316/BO316&lt;0.5),"NM",BW316/BO316*100-100))</f>
        <v>NM</v>
      </c>
      <c r="BY316" s="91">
        <f>+BY303-BY311</f>
        <v>33</v>
      </c>
      <c r="BZ316" s="72" t="str">
        <f>IF(ISERROR(BY316/BQ316),"NA",IF(OR(BY316/BQ316&gt;2,BY316/BQ316&lt;0.5),"NM",BY316/BQ316*100-100))</f>
        <v>NM</v>
      </c>
      <c r="CA316" s="91">
        <f>+CA303-CA311</f>
        <v>29</v>
      </c>
      <c r="CB316" s="72" t="str">
        <f>IF(ISERROR(CA316/BS316),"NA",IF(OR(CA316/BS316&gt;2,CA316/BS316&lt;0.5),"NM",CA316/BS316*100-100))</f>
        <v>NM</v>
      </c>
      <c r="CC316" s="91">
        <f>+CC303-CC311</f>
        <v>-6</v>
      </c>
      <c r="CD316" s="72" t="str">
        <f>IF(ISERROR(CC316/BU316),"NA",IF(OR(CC316/BU316&gt;2,CC316/BU316&lt;0.5),"NM",CC316/BU316*100-100))</f>
        <v>NM</v>
      </c>
      <c r="CE316" s="91">
        <f>+CE303-CE311</f>
        <v>83</v>
      </c>
      <c r="CF316" s="72" t="str">
        <f>IF(ISERROR(CE316/BW316),"NA",IF(OR(CE316/BW316&gt;2,CE316/BW316&lt;0.5),"NM",CE316/BW316*100-100))</f>
        <v>NM</v>
      </c>
      <c r="CG316" s="91">
        <f>+CG303-CG311</f>
        <v>124</v>
      </c>
      <c r="CH316" s="72" t="str">
        <f>IF(ISERROR(CG316/BY316),"NA",IF(OR(CG316/BY316&gt;2,CG316/BY316&lt;0.5),"NM",CG316/BY316*100-100))</f>
        <v>NM</v>
      </c>
      <c r="CI316" s="91">
        <f>+CI303-CI311</f>
        <v>148</v>
      </c>
      <c r="CJ316" s="72" t="str">
        <f>IF(ISERROR(CI316/CA316),"NA",IF(OR(CI316/CA316&gt;2,CI316/CA316&lt;0.5),"NM",CI316/CA316*100-100))</f>
        <v>NM</v>
      </c>
      <c r="CK316" s="91">
        <f>+CK303-CK311</f>
        <v>132</v>
      </c>
      <c r="CL316" s="72" t="str">
        <f>IF(ISERROR(CK316/CC316),"NA",IF(OR(CK316/CC316&gt;2,CK316/CC316&lt;0.5),"NM",CK316/CC316*100-100))</f>
        <v>NM</v>
      </c>
      <c r="CM316" s="91">
        <f>+CM303-CM311</f>
        <v>154</v>
      </c>
      <c r="CN316" s="72">
        <f>IF(ISERROR(CM316/CE316),"NA",IF(OR(CM316/CE316&gt;2,CM316/CE316&lt;0.5),"NM",CM316/CE316*100-100))</f>
        <v>85.542168674698786</v>
      </c>
      <c r="CO316" s="91">
        <f>+CO303-CO311</f>
        <v>227</v>
      </c>
      <c r="CP316" s="72">
        <f>IF(ISERROR(CO316/CG316),"NA",IF(OR(CO316/CG316&gt;2,CO316/CG316&lt;0.5),"NM",CO316/CG316*100-100))</f>
        <v>83.064516129032256</v>
      </c>
      <c r="CQ316" s="91">
        <f>+CQ303-CQ311</f>
        <v>123</v>
      </c>
      <c r="CR316" s="72">
        <f>IF(ISERROR(CQ316/CI316),"NA",IF(OR(CQ316/CI316&gt;2,CQ316/CI316&lt;0.5),"NM",CQ316/CI316*100-100))</f>
        <v>-16.891891891891902</v>
      </c>
      <c r="CS316" s="91">
        <f>+CS303-CS311</f>
        <v>256</v>
      </c>
      <c r="CT316" s="72">
        <f>IF(ISERROR(CS316/CK316),"NA",IF(OR(CS316/CK316&gt;2,CS316/CK316&lt;0.5),"NM",CS316/CK316*100-100))</f>
        <v>93.939393939393938</v>
      </c>
      <c r="CU316" s="91">
        <f>+CU303-CU311</f>
        <v>147</v>
      </c>
      <c r="CV316" s="72">
        <f>IF(ISERROR(CU316/CM316),"NA",IF(OR(CU316/CM316&gt;2,CU316/CM316&lt;0.5),"NM",CU316/CM316*100-100))</f>
        <v>-4.5454545454545467</v>
      </c>
      <c r="CW316" s="91">
        <f>+CW303-CW311</f>
        <v>55</v>
      </c>
      <c r="CX316" s="72" t="str">
        <f>IF(ISERROR(CW316/CO316),"NA",IF(OR(CW316/CO316&gt;2,CW316/CO316&lt;0.5),"NM",CW316/CO316*100-100))</f>
        <v>NM</v>
      </c>
      <c r="CY316" s="91">
        <f>+CY303-CY311</f>
        <v>197</v>
      </c>
      <c r="CZ316" s="72">
        <f>IF(ISERROR(CY316/CQ316),"NA",IF(OR(CY316/CQ316&gt;2,CY316/CQ316&lt;0.5),"NM",CY316/CQ316*100-100))</f>
        <v>60.162601626016254</v>
      </c>
      <c r="DA316" s="91">
        <f>+DA303-DA311</f>
        <v>185</v>
      </c>
      <c r="DB316" s="72">
        <f>IF(ISERROR(DA316/CS316),"NA",IF(OR(DA316/CS316&gt;2,DA316/CS316&lt;0.5),"NM",DA316/CS316*100-100))</f>
        <v>-27.734375</v>
      </c>
      <c r="DC316" s="91">
        <f>+DC303-DC311</f>
        <v>169</v>
      </c>
      <c r="DD316" s="72">
        <f>IF(ISERROR(DC316/CU316),"NA",IF(OR(DC316/CU316&gt;2,DC316/CU316&lt;0.5),"NM",DC316/CU316*100-100))</f>
        <v>14.965986394557817</v>
      </c>
      <c r="DE316" s="91">
        <f>+DE303-DE311</f>
        <v>172</v>
      </c>
      <c r="DF316" s="72" t="str">
        <f>IF(ISERROR(DE316/CW316),"NA",IF(OR(DE316/CW316&gt;2,DE316/CW316&lt;0.5),"NM",DE316/CW316*100-100))</f>
        <v>NM</v>
      </c>
      <c r="DG316" s="91">
        <f>+DG303-DG311</f>
        <v>173</v>
      </c>
      <c r="DH316" s="72">
        <f>IF(ISERROR(DG316/CY316),"NA",IF(OR(DG316/CY316&gt;2,DG316/CY316&lt;0.5),"NM",DG316/CY316*100-100))</f>
        <v>-12.182741116751274</v>
      </c>
      <c r="DI316" s="91">
        <f>+DI303-DI311</f>
        <v>209</v>
      </c>
      <c r="DJ316" s="72">
        <f>IF(ISERROR(DI316/DA316),"NA",IF(OR(DI316/DA316&gt;2,DI316/DA316&lt;0.5),"NM",DI316/DA316*100-100))</f>
        <v>12.972972972972968</v>
      </c>
      <c r="DK316" s="91">
        <f>+DK303-DK311</f>
        <v>193</v>
      </c>
      <c r="DL316" s="72">
        <f>IF(ISERROR(DK316/DC316),"NA",IF(OR(DK316/DC316&gt;2,DK316/DC316&lt;0.5),"NM",DK316/DC316*100-100))</f>
        <v>14.201183431952671</v>
      </c>
      <c r="DM316" s="91">
        <f>+DM303-DM311</f>
        <v>200</v>
      </c>
      <c r="DN316" s="72">
        <f t="shared" ref="DN316:DZ317" si="1808">IF(ISERROR(DM316/DE316),"NA",IF(OR(DM316/DE316&gt;2,DM316/DE316&lt;0.5),"NM",DM316/DE316*100-100))</f>
        <v>16.279069767441868</v>
      </c>
      <c r="DO316" s="452">
        <f>+DO303-DO311</f>
        <v>200</v>
      </c>
      <c r="DP316" s="532">
        <f t="shared" si="1808"/>
        <v>15.606936416184979</v>
      </c>
      <c r="DQ316" s="452">
        <f>+DQ303-DQ311</f>
        <v>192</v>
      </c>
      <c r="DR316" s="532">
        <f t="shared" si="1808"/>
        <v>-8.1339712918660325</v>
      </c>
      <c r="DS316" s="452">
        <f>+DS303-DS311</f>
        <v>205</v>
      </c>
      <c r="DT316" s="532">
        <f t="shared" si="1808"/>
        <v>6.2176165803108745</v>
      </c>
      <c r="DU316" s="452">
        <f>+DU303-DU311</f>
        <v>196</v>
      </c>
      <c r="DV316" s="72">
        <f t="shared" si="1808"/>
        <v>-2</v>
      </c>
      <c r="DW316" s="91">
        <f>+DW303-DW311</f>
        <v>180</v>
      </c>
      <c r="DX316" s="72">
        <f t="shared" si="1808"/>
        <v>-10</v>
      </c>
      <c r="DY316" s="91">
        <f>+DY303-DY311</f>
        <v>198</v>
      </c>
      <c r="DZ316" s="72">
        <f t="shared" si="1808"/>
        <v>3.125</v>
      </c>
      <c r="EA316" s="91">
        <f>+EA303-EA311</f>
        <v>165</v>
      </c>
      <c r="EB316" s="72">
        <f>IF(ISERROR(EA316/DS316),"NA",IF(OR(EA316/DS316&gt;2,EA316/DS316&lt;0.5),"NM",EA316/DS316*100-100))</f>
        <v>-19.512195121951208</v>
      </c>
      <c r="EC316" s="91">
        <f>+EC303-EC311</f>
        <v>207</v>
      </c>
      <c r="ED316" s="72">
        <f>IF(ISERROR(EC316/DU316),"NA",IF(OR(EC316/DU316&gt;2,EC316/DU316&lt;0.5),"NM",EC316/DU316*100-100))</f>
        <v>5.6122448979591724</v>
      </c>
      <c r="EE316" s="91">
        <f>+EE303-EE311</f>
        <v>191</v>
      </c>
      <c r="EF316" s="72">
        <f>IF(ISERROR(EE316/DW316),"NA",IF(OR(EE316/DW316&gt;2,EE316/DW316&lt;0.5),"NM",EE316/DW316*100-100))</f>
        <v>6.1111111111111143</v>
      </c>
      <c r="EG316" s="91">
        <f>+EG303-EG311</f>
        <v>224</v>
      </c>
      <c r="EH316" s="72">
        <f>IF(ISERROR(EG316/DY316),"NA",IF(OR(EG316/DY316&gt;2,EG316/DY316&lt;0.5),"NM",EG316/DY316*100-100))</f>
        <v>13.131313131313121</v>
      </c>
      <c r="EI316" s="91">
        <f>+EI303-EI311</f>
        <v>196</v>
      </c>
      <c r="EJ316" s="72">
        <f>IF(ISERROR(EI316/EA316),"NA",IF(OR(EI316/EA316&gt;2,EI316/EA316&lt;0.5),"NM",EI316/EA316*100-100))</f>
        <v>18.787878787878796</v>
      </c>
      <c r="EK316" s="91">
        <f>+EK303-EK311</f>
        <v>218</v>
      </c>
      <c r="EL316" s="72">
        <f>IF(ISERROR(EK316/EC316),"NA",IF(OR(EK316/EC316&gt;2,EK316/EC316&lt;0.5),"NM",EK316/EC316*100-100))</f>
        <v>5.3140096618357546</v>
      </c>
      <c r="EM316" s="91">
        <f>+EM303-EM311</f>
        <v>259</v>
      </c>
      <c r="EN316" s="72">
        <f>IF(ISERROR(EM316/EE316),"NA",IF(OR(EM316/EE316&gt;2,EM316/EE316&lt;0.5),"NM",EM316/EE316*100-100))</f>
        <v>35.602094240837687</v>
      </c>
      <c r="EO316" s="91">
        <f>+EO303-EO311</f>
        <v>306</v>
      </c>
      <c r="EP316" s="72">
        <f>IF(ISERROR(EO316/EG316),"NA",IF(OR(EO316/EG316&gt;2,EO316/EG316&lt;0.5),"NM",EO316/EG316*100-100))</f>
        <v>36.607142857142861</v>
      </c>
      <c r="EQ316" s="91">
        <f t="shared" ref="EQ316" si="1809">+EQ303-EQ311</f>
        <v>248.7617701489836</v>
      </c>
      <c r="ER316" s="72">
        <f t="shared" ref="ER316:ER317" si="1810">IF(ISERROR(EQ316/EI316),"NA",IF(OR(EQ316/EI316&gt;2,EQ316/EI316&lt;0.5),"NM",EQ316/EI316*100-100))</f>
        <v>26.9192704841753</v>
      </c>
      <c r="ES316" s="91">
        <f t="shared" ref="ES316" si="1811">+ES303-ES311</f>
        <v>248.08063873696301</v>
      </c>
      <c r="ET316" s="72">
        <f t="shared" ref="ET316:ET317" si="1812">IF(ISERROR(ES316/EK316),"NA",IF(OR(ES316/EK316&gt;2,ES316/EK316&lt;0.5),"NM",ES316/EK316*100-100))</f>
        <v>13.798458136221555</v>
      </c>
      <c r="EU316" s="91">
        <f t="shared" ref="EU316" si="1813">+EU303-EU311</f>
        <v>251.77587255214337</v>
      </c>
      <c r="EV316" s="72">
        <f t="shared" ref="EV316:EV317" si="1814">IF(ISERROR(EU316/EM316),"NA",IF(OR(EU316/EM316&gt;2,EU316/EM316&lt;0.5),"NM",EU316/EM316*100-100))</f>
        <v>-2.7892383968558363</v>
      </c>
      <c r="EW316" s="91">
        <f t="shared" ref="EW316" si="1815">+EW303-EW311</f>
        <v>251.08787798307571</v>
      </c>
      <c r="EX316" s="72">
        <f t="shared" ref="EX316:EX317" si="1816">IF(ISERROR(EW316/EO316),"NA",IF(OR(EW316/EO316&gt;2,EW316/EO316&lt;0.5),"NM",EW316/EO316*100-100))</f>
        <v>-17.945137914027541</v>
      </c>
      <c r="EY316" s="72"/>
      <c r="EZ316" s="309"/>
      <c r="FA316" s="72"/>
      <c r="FB316" s="81"/>
      <c r="FC316" s="72"/>
      <c r="FD316" s="91">
        <f>+FD303-FD311</f>
        <v>231</v>
      </c>
      <c r="FE316" s="87" t="str">
        <f>IF(ISERROR(FD316/FB316),"NA",IF(OR(FD316/FB316&gt;2,FD316/FB316&lt;0.5),"NM",FD316/FB316*100-100))</f>
        <v>NA</v>
      </c>
      <c r="FF316" s="91">
        <f>+FF303-FF311</f>
        <v>247</v>
      </c>
      <c r="FG316" s="87">
        <f>IF(ISERROR(FF316/FD316),"NA",IF(OR(FF316/FD316&gt;2,FF316/FD316&lt;0.5),"NM",FF316/FD316*100-100))</f>
        <v>6.9264069264069406</v>
      </c>
      <c r="FH316" s="91">
        <f>+FH303-FH311</f>
        <v>196</v>
      </c>
      <c r="FI316" s="87">
        <f>IF(ISERROR(FH316/FF316),"NA",IF(OR(FH316/FF316&gt;2,FH316/FF316&lt;0.5),"NM",FH316/FF316*100-100))</f>
        <v>-20.647773279352222</v>
      </c>
      <c r="FJ316" s="91">
        <f>+FJ303-FJ311</f>
        <v>184</v>
      </c>
      <c r="FK316" s="87">
        <f>IF(ISERROR(FJ316/FH316),"NA",IF(OR(FJ316/FH316&gt;2,FJ316/FH316&lt;0.5),"NM",FJ316/FH316*100-100))</f>
        <v>-6.1224489795918373</v>
      </c>
      <c r="FL316" s="91">
        <f>+FL303-FL311</f>
        <v>209</v>
      </c>
      <c r="FM316" s="87">
        <f>IF(ISERROR(FL316/FJ316),"NA",IF(OR(FL316/FJ316&gt;2,FL316/FJ316&lt;0.5),"NM",FL316/FJ316*100-100))</f>
        <v>13.58695652173914</v>
      </c>
      <c r="FN316" s="91">
        <f>+FN303-FN311</f>
        <v>266</v>
      </c>
      <c r="FO316" s="87">
        <f>IF(ISERROR(FN316/FL316),"NA",IF(OR(FN316/FL316&gt;2,FN316/FL316&lt;0.5),"NM",FN316/FL316*100-100))</f>
        <v>27.272727272727266</v>
      </c>
      <c r="FP316" s="91">
        <f>+FP303-FP311</f>
        <v>464</v>
      </c>
      <c r="FQ316" s="87">
        <f>IF(ISERROR(FP316/FN316),"NA",IF(OR(FP316/FN316&gt;2,FP316/FN316&lt;0.5),"NM",FP316/FN316*100-100))</f>
        <v>74.436090225563902</v>
      </c>
      <c r="FR316" s="91">
        <f>+FR303-FR311</f>
        <v>550</v>
      </c>
      <c r="FS316" s="87">
        <f>IF(ISERROR(FR316/FP316),"NA",IF(OR(FR316/FP316&gt;2,FR316/FP316&lt;0.5),"NM",FR316/FP316*100-100))</f>
        <v>18.534482758620683</v>
      </c>
      <c r="FT316" s="91">
        <f>+FT303-FT311</f>
        <v>701</v>
      </c>
      <c r="FU316" s="87">
        <f>IF(ISERROR(FT316/FR316),"NA",IF(OR(FT316/FR316&gt;2,FT316/FR316&lt;0.5),"NM",FT316/FR316*100-100))</f>
        <v>27.454545454545467</v>
      </c>
      <c r="FV316" s="91">
        <f>+FV303-FV311</f>
        <v>232</v>
      </c>
      <c r="FW316" s="72" t="str">
        <f>IF(ISERROR(FV316/FT316),"NA",IF(OR(FV316/FT316&gt;2,FV316/FT316&lt;0.5),"NM",FV316/FT316*100-100))</f>
        <v>NM</v>
      </c>
      <c r="FX316" s="91">
        <f>+FX303-FX311</f>
        <v>55</v>
      </c>
      <c r="FY316" s="72" t="str">
        <f>IF(ISERROR(FX316/FV316),"NA",IF(OR(FX316/FV316&gt;2,FX316/FV316&lt;0.5),"NM",FX316/FV316*100-100))</f>
        <v>NM</v>
      </c>
      <c r="FZ316" s="91">
        <f>+FZ303-FZ311</f>
        <v>487</v>
      </c>
      <c r="GA316" s="72" t="str">
        <f>IF(ISERROR(FZ316/FX316),"NA",IF(OR(FZ316/FX316&gt;2,FZ316/FX316&lt;0.5),"NM",FZ316/FX316*100-100))</f>
        <v>NM</v>
      </c>
      <c r="GB316" s="91">
        <f>+GB303-GB311</f>
        <v>760</v>
      </c>
      <c r="GC316" s="72">
        <f>IF(ISERROR(GB316/FZ316),"NA",IF(OR(GB316/FZ316&gt;2,GB316/FZ316&lt;0.5),"NM",GB316/FZ316*100-100))</f>
        <v>56.057494866529765</v>
      </c>
      <c r="GD316" s="91">
        <f>+GD303-GD311</f>
        <v>584</v>
      </c>
      <c r="GE316" s="72">
        <f>IF(ISERROR(GD316/GB316),"NA",IF(OR(GD316/GB316&gt;2,GD316/GB316&lt;0.5),"NM",GD316/GB316*100-100))</f>
        <v>-23.15789473684211</v>
      </c>
      <c r="GF316" s="91">
        <f>+GF303-GF311</f>
        <v>723</v>
      </c>
      <c r="GG316" s="72">
        <f>IF(ISERROR(GF316/GD316),"NA",IF(OR(GF316/GD316&gt;2,GF316/GD316&lt;0.5),"NM",GF316/GD316*100-100))</f>
        <v>23.80136986301369</v>
      </c>
      <c r="GH316" s="91">
        <f>+GH303-GH311</f>
        <v>785</v>
      </c>
      <c r="GI316" s="72">
        <f t="shared" ref="GI316:GU317" si="1817">IF(ISERROR(GH316/GF316),"NA",IF(OR(GH316/GF316&gt;2,GH316/GF316&lt;0.5),"NM",GH316/GF316*100-100))</f>
        <v>8.5753803596127227</v>
      </c>
      <c r="GJ316" s="91">
        <f>+GJ303-GJ311</f>
        <v>779</v>
      </c>
      <c r="GK316" s="72">
        <f t="shared" si="1817"/>
        <v>-0.76433121019108796</v>
      </c>
      <c r="GL316" s="91">
        <f>+GL303-GL311</f>
        <v>787</v>
      </c>
      <c r="GM316" s="72">
        <f t="shared" si="1817"/>
        <v>1.0269576379974268</v>
      </c>
      <c r="GN316" s="91">
        <f>+GN303-GN311</f>
        <v>979</v>
      </c>
      <c r="GO316" s="72">
        <f t="shared" si="1817"/>
        <v>24.396442185514616</v>
      </c>
      <c r="GP316" s="91">
        <f>+GP303-GP311</f>
        <v>999.70615942116592</v>
      </c>
      <c r="GQ316" s="72">
        <f t="shared" si="1817"/>
        <v>2.1150316058392065</v>
      </c>
      <c r="GR316" s="91">
        <f>+GR303-GR311</f>
        <v>1054.0497274759146</v>
      </c>
      <c r="GS316" s="72">
        <f t="shared" si="1817"/>
        <v>5.4359541093768655</v>
      </c>
      <c r="GT316" s="91">
        <f>+GT303-GT311</f>
        <v>1100.2812256602492</v>
      </c>
      <c r="GU316" s="72">
        <f t="shared" si="1817"/>
        <v>4.3860832159259928</v>
      </c>
      <c r="GV316" s="91">
        <f>+GV303-GV311</f>
        <v>1146.0943113049616</v>
      </c>
      <c r="GW316" s="72">
        <f>IF(ISERROR(GV316/GT316),"NA",IF(OR(GV316/GT316&gt;2,GV316/GT316&lt;0.5),"NM",GV316/GT316*100-100))</f>
        <v>4.1637614617318519</v>
      </c>
      <c r="GX316" s="91">
        <f>+GX303-GX311</f>
        <v>1178.6654491965437</v>
      </c>
      <c r="GY316" s="72">
        <f>IF(ISERROR(GX316/GV316),"NA",IF(OR(GX316/GV316&gt;2,GX316/GV316&lt;0.5),"NM",GX316/GV316*100-100))</f>
        <v>2.8419247500230682</v>
      </c>
      <c r="GZ316" s="72">
        <f>IF(ISERROR(((GX316/GN316)^0.2-1)*100),"NA",IF((((GX316/GN316)^0.2-1)*100)&gt;100,"NM",IF((((GX316/GN316)^0.2-1)*100)&lt;-50,"NM",((GX316/GN316)^0.2-1)*100)))</f>
        <v>3.7818892258121739</v>
      </c>
      <c r="HA316" s="72"/>
      <c r="HB316" s="72"/>
      <c r="HC316"/>
      <c r="HD316"/>
      <c r="HE316"/>
      <c r="HF316"/>
      <c r="HG316"/>
      <c r="HH316"/>
      <c r="HI316" s="2"/>
    </row>
    <row r="317" spans="1:217" s="3" customFormat="1" ht="12.75" customHeight="1" x14ac:dyDescent="0.2">
      <c r="B317" s="77" t="s">
        <v>397</v>
      </c>
      <c r="C317" s="81"/>
      <c r="D317" s="72"/>
      <c r="E317" s="81"/>
      <c r="F317" s="72"/>
      <c r="G317" s="81"/>
      <c r="H317" s="72"/>
      <c r="I317" s="81"/>
      <c r="J317" s="72"/>
      <c r="K317" s="81">
        <f>+K316/K303*100</f>
        <v>18.108108108108109</v>
      </c>
      <c r="L317" s="87" t="str">
        <f>IF(ISERROR(K317/C317),"NA",IF(OR(K317/C317&gt;2,K317/C317&lt;0.5),"NM",K317/C317*100-100))</f>
        <v>NA</v>
      </c>
      <c r="M317" s="81">
        <f>+M316/M303*100</f>
        <v>11.142061281337048</v>
      </c>
      <c r="N317" s="87" t="str">
        <f>IF(ISERROR(M317/E317),"NA",IF(OR(M317/E317&gt;2,M317/E317&lt;0.5),"NM",M317/E317*100-100))</f>
        <v>NA</v>
      </c>
      <c r="O317" s="81">
        <f>+O316/O303*100</f>
        <v>14.166666666666666</v>
      </c>
      <c r="P317" s="87" t="str">
        <f>IF(ISERROR(O317/G317),"NA",IF(OR(O317/G317&gt;2,O317/G317&lt;0.5),"NM",O317/G317*100-100))</f>
        <v>NA</v>
      </c>
      <c r="Q317" s="81">
        <f>+Q316/Q303*100</f>
        <v>10.187667560321715</v>
      </c>
      <c r="R317" s="87" t="str">
        <f>IF(ISERROR(Q317/I317),"NA",IF(OR(Q317/I317&gt;2,Q317/I317&lt;0.5),"NM",Q317/I317*100-100))</f>
        <v>NA</v>
      </c>
      <c r="S317" s="81">
        <f>+S316/S303*100</f>
        <v>18.20809248554913</v>
      </c>
      <c r="T317" s="87">
        <f>IF(ISERROR(S317/K317),"NA",IF(OR(S317/K317&gt;2,S317/K317&lt;0.5),"NM",S317/K317*100-100))</f>
        <v>0.55215253213698645</v>
      </c>
      <c r="U317" s="81">
        <f>+U316/U303*100</f>
        <v>14.243323442136498</v>
      </c>
      <c r="V317" s="87">
        <f>IF(ISERROR(U317/M317),"NA",IF(OR(U317/M317&gt;2,U317/M317&lt;0.5),"NM",U317/M317*100-100))</f>
        <v>27.833827893175055</v>
      </c>
      <c r="W317" s="81">
        <f>+W316/W303*100</f>
        <v>13.249211356466878</v>
      </c>
      <c r="X317" s="87">
        <f>IF(ISERROR(W317/O317),"NA",IF(OR(W317/O317&gt;2,W317/O317&lt;0.5),"NM",W317/O317*100-100))</f>
        <v>-6.4761551308220362</v>
      </c>
      <c r="Y317" s="81">
        <f>+Y316/Y303*100</f>
        <v>9.5384615384615383</v>
      </c>
      <c r="Z317" s="87">
        <f>IF(ISERROR(Y317/Q317),"NA",IF(OR(Y317/Q317&gt;2,Y317/Q317&lt;0.5),"NM",Y317/Q317*100-100))</f>
        <v>-6.3724696356275246</v>
      </c>
      <c r="AA317" s="81">
        <f>+AA316/AA303*100</f>
        <v>14.754098360655737</v>
      </c>
      <c r="AB317" s="87">
        <f>IF(ISERROR(AA317/S317),"NA",IF(OR(AA317/S317&gt;2,AA317/S317&lt;0.5),"NM",AA317/S317*100-100))</f>
        <v>-18.969555035128792</v>
      </c>
      <c r="AC317" s="81">
        <f>+AC316/AC303*100</f>
        <v>16.119402985074625</v>
      </c>
      <c r="AD317" s="87">
        <f>IF(ISERROR(AC317/U317),"NA",IF(OR(AC317/U317&gt;2,AC317/U317&lt;0.5),"NM",AC317/U317*100-100))</f>
        <v>13.171641791044777</v>
      </c>
      <c r="AE317" s="81">
        <f>+AE316/AE303*100</f>
        <v>12.280701754385964</v>
      </c>
      <c r="AF317" s="87">
        <f>IF(ISERROR(AE317/W317),"NA",IF(OR(AE317/W317&gt;2,AE317/W317&lt;0.5),"NM",AE317/W317*100-100))</f>
        <v>-7.3099415204678593</v>
      </c>
      <c r="AG317" s="81">
        <f>+AG316/AG303*100</f>
        <v>17.941952506596305</v>
      </c>
      <c r="AH317" s="87">
        <f>IF(ISERROR(AG317/Y317),"NA",IF(OR(AG317/Y317&gt;2,AG317/Y317&lt;0.5),"NM",AG317/Y317*100-100))</f>
        <v>88.101114988509664</v>
      </c>
      <c r="AI317" s="81">
        <f>+AI316/AI303*100</f>
        <v>16.714697406340058</v>
      </c>
      <c r="AJ317" s="87">
        <f>IF(ISERROR(AI317/AA317),"NA",IF(OR(AI317/AA317&gt;2,AI317/AA317&lt;0.5),"NM",AI317/AA317*100-100))</f>
        <v>13.288504642971503</v>
      </c>
      <c r="AK317" s="81">
        <f>+AK316/AK303*100</f>
        <v>16.393442622950818</v>
      </c>
      <c r="AL317" s="87">
        <f>IF(ISERROR(AK317/AC317),"NA",IF(OR(AK317/AC317&gt;2,AK317/AC317&lt;0.5),"NM",AK317/AC317*100-100))</f>
        <v>1.7000607164541606</v>
      </c>
      <c r="AM317" s="81">
        <f>+AM316/AM303*100</f>
        <v>17.417417417417415</v>
      </c>
      <c r="AN317" s="87">
        <f>IF(ISERROR(AM317/AE317),"NA",IF(OR(AM317/AE317&gt;2,AM317/AE317&lt;0.5),"NM",AM317/AE317*100-100))</f>
        <v>41.827541827541836</v>
      </c>
      <c r="AO317" s="81">
        <f>+AO316/AO303*100</f>
        <v>21.5311004784689</v>
      </c>
      <c r="AP317" s="87">
        <f>IF(ISERROR(AO317/AG317),"NA",IF(OR(AO317/AG317&gt;2,AO317/AG317&lt;0.5),"NM",AO317/AG317*100-100))</f>
        <v>20.004221784407548</v>
      </c>
      <c r="AQ317" s="81">
        <f>+AQ316/AQ303*100</f>
        <v>32.057416267942585</v>
      </c>
      <c r="AR317" s="87">
        <f>IF(ISERROR(AQ317/AI317),"NA",IF(OR(AQ317/AI317&gt;2,AQ317/AI317&lt;0.5),"NM",AQ317/AI317*100-100))</f>
        <v>91.791783534070305</v>
      </c>
      <c r="AS317" s="81">
        <f>+AS316/AS303*100</f>
        <v>26.184538653366584</v>
      </c>
      <c r="AT317" s="87">
        <f>IF(ISERROR(AS317/AK317),"NA",IF(OR(AS317/AK317&gt;2,AS317/AK317&lt;0.5),"NM",AS317/AK317*100-100))</f>
        <v>59.725685785536172</v>
      </c>
      <c r="AU317" s="81">
        <f>+AU316/AU303*100</f>
        <v>26.303854875283445</v>
      </c>
      <c r="AV317" s="87">
        <f>IF(ISERROR(AU317/AM317),"NA",IF(OR(AU317/AM317&gt;2,AU317/AM317&lt;0.5),"NM",AU317/AM317*100-100))</f>
        <v>51.02040816326533</v>
      </c>
      <c r="AW317" s="81">
        <f>+AW316/AW303*100</f>
        <v>25</v>
      </c>
      <c r="AX317" s="87">
        <f>IF(ISERROR(AW317/AO317),"NA",IF(OR(AW317/AO317&gt;2,AW317/AO317&lt;0.5),"NM",AW317/AO317*100-100))</f>
        <v>16.1111111111111</v>
      </c>
      <c r="AY317" s="81">
        <f>+AY316/AY303*100</f>
        <v>31.818181818181817</v>
      </c>
      <c r="AZ317" s="87">
        <f>IF(ISERROR(AY317/AQ317),"NA",IF(OR(AY317/AQ317&gt;2,AY317/AQ317&lt;0.5),"NM",AY317/AQ317*100-100))</f>
        <v>-0.74626865671643827</v>
      </c>
      <c r="BA317" s="81">
        <f>+BA316/BA303*100</f>
        <v>27.912087912087912</v>
      </c>
      <c r="BB317" s="87">
        <f>IF(ISERROR(BA317/AS317),"NA",IF(OR(BA317/AS317&gt;2,BA317/AS317&lt;0.5),"NM",BA317/AS317*100-100))</f>
        <v>6.597592883307172</v>
      </c>
      <c r="BC317" s="81">
        <f>+BC316/BC303*100</f>
        <v>23.18181818181818</v>
      </c>
      <c r="BD317" s="87">
        <f>IF(ISERROR(BC317/AU317),"NA",IF(OR(BC317/AU317&gt;2,BC317/AU317&lt;0.5),"NM",BC317/AU317*100-100))</f>
        <v>-11.869122257053291</v>
      </c>
      <c r="BE317" s="81">
        <f>+BE316/BE303*100</f>
        <v>27.287581699346404</v>
      </c>
      <c r="BF317" s="87">
        <f>IF(ISERROR(BE317/AW317),"NA",IF(OR(BE317/AW317&gt;2,BE317/AW317&lt;0.5),"NM",BE317/AW317*100-100))</f>
        <v>9.1503267973856168</v>
      </c>
      <c r="BG317" s="81">
        <f>+BG316/BG303*100</f>
        <v>32.11009174311927</v>
      </c>
      <c r="BH317" s="87">
        <f>IF(ISERROR(BG317/AY317),"NA",IF(OR(BG317/AY317&gt;2,BG317/AY317&lt;0.5),"NM",BG317/AY317*100-100))</f>
        <v>0.91743119266057249</v>
      </c>
      <c r="BI317" s="81">
        <f>+BI316/BI303*100</f>
        <v>28.305084745762709</v>
      </c>
      <c r="BJ317" s="87">
        <f>IF(ISERROR(BI317/BA317),"NA",IF(OR(BI317/BA317&gt;2,BI317/BA317&lt;0.5),"NM",BI317/BA317*100-100))</f>
        <v>1.4079807820632624</v>
      </c>
      <c r="BK317" s="81">
        <f>+BK316/BK303*100</f>
        <v>28.853046594982079</v>
      </c>
      <c r="BL317" s="87">
        <f>IF(ISERROR(BK317/BC317),"NA",IF(OR(BK317/BC317&gt;2,BK317/BC317&lt;0.5),"NM",BK317/BC317*100-100))</f>
        <v>24.464122566589367</v>
      </c>
      <c r="BM317" s="81">
        <f>+BM316/BM303*100</f>
        <v>31.629392971246006</v>
      </c>
      <c r="BN317" s="87">
        <f>IF(ISERROR(BM317/BE317),"NA",IF(OR(BM317/BE317&gt;2,BM317/BE317&lt;0.5),"NM",BM317/BE317*100-100))</f>
        <v>15.911308373668007</v>
      </c>
      <c r="BO317" s="81">
        <f>+BO316/BO303*100</f>
        <v>21.715328467153284</v>
      </c>
      <c r="BP317" s="87">
        <f>IF(ISERROR(BO317/BG317),"NA",IF(OR(BO317/BG317&gt;2,BO317/BG317&lt;0.5),"NM",BO317/BG317*100-100))</f>
        <v>-32.372262773722639</v>
      </c>
      <c r="BQ317" s="81">
        <f>+BQ316/BQ303*100</f>
        <v>33.687943262411345</v>
      </c>
      <c r="BR317" s="87">
        <f>IF(ISERROR(BQ317/BI317),"NA",IF(OR(BQ317/BI317&gt;2,BQ317/BI317&lt;0.5),"NM",BQ317/BI317*100-100))</f>
        <v>19.017284579776629</v>
      </c>
      <c r="BS317" s="81">
        <f>+BS316/BS303*100</f>
        <v>-2.318840579710145</v>
      </c>
      <c r="BT317" s="87" t="str">
        <f>IF(ISERROR(BS317/BK317),"NA",IF(OR(BS317/BK317&gt;2,BS317/BK317&lt;0.5),"NM",BS317/BK317*100-100))</f>
        <v>NM</v>
      </c>
      <c r="BU317" s="81">
        <f>+BU316/BU303*100</f>
        <v>-30.131004366812224</v>
      </c>
      <c r="BV317" s="87" t="str">
        <f>IF(ISERROR(BU317/BM317),"NA",IF(OR(BU317/BM317&gt;2,BU317/BM317&lt;0.5),"NM",BU317/BM317*100-100))</f>
        <v>NM</v>
      </c>
      <c r="BW317" s="81">
        <f>+BW316/BW303*100</f>
        <v>-0.38022813688212925</v>
      </c>
      <c r="BX317" s="72" t="str">
        <f>IF(ISERROR(BW317/BO317),"NA",IF(OR(BW317/BO317&gt;2,BW317/BO317&lt;0.5),"NM",BW317/BO317*100-100))</f>
        <v>NM</v>
      </c>
      <c r="BY317" s="81">
        <f>+BY316/BY303*100</f>
        <v>9.6491228070175428</v>
      </c>
      <c r="BZ317" s="72" t="str">
        <f>IF(ISERROR(BY317/BQ317),"NA",IF(OR(BY317/BQ317&gt;2,BY317/BQ317&lt;0.5),"NM",BY317/BQ317*100-100))</f>
        <v>NM</v>
      </c>
      <c r="CA317" s="81">
        <f>+CA316/CA303*100</f>
        <v>9.9656357388316152</v>
      </c>
      <c r="CB317" s="72" t="str">
        <f>IF(ISERROR(CA317/BS317),"NA",IF(OR(CA317/BS317&gt;2,CA317/BS317&lt;0.5),"NM",CA317/BS317*100-100))</f>
        <v>NM</v>
      </c>
      <c r="CC317" s="81">
        <f>+CC316/CC303*100</f>
        <v>-1.662049861495845</v>
      </c>
      <c r="CD317" s="72" t="str">
        <f>IF(ISERROR(CC317/BU317),"NA",IF(OR(CC317/BU317&gt;2,CC317/BU317&lt;0.5),"NM",CC317/BU317*100-100))</f>
        <v>NM</v>
      </c>
      <c r="CE317" s="81">
        <f>+CE316/CE303*100</f>
        <v>21.899736147757256</v>
      </c>
      <c r="CF317" s="72" t="str">
        <f>IF(ISERROR(CE317/BW317),"NA",IF(OR(CE317/BW317&gt;2,CE317/BW317&lt;0.5),"NM",CE317/BW317*100-100))</f>
        <v>NM</v>
      </c>
      <c r="CG317" s="81">
        <f>+CG316/CG303*100</f>
        <v>25.101214574898783</v>
      </c>
      <c r="CH317" s="72" t="str">
        <f>IF(ISERROR(CG317/BY317),"NA",IF(OR(CG317/BY317&gt;2,CG317/BY317&lt;0.5),"NM",CG317/BY317*100-100))</f>
        <v>NM</v>
      </c>
      <c r="CI317" s="81">
        <f>+CI316/CI303*100</f>
        <v>30.020283975659229</v>
      </c>
      <c r="CJ317" s="72" t="str">
        <f>IF(ISERROR(CI317/CA317),"NA",IF(OR(CI317/CA317&gt;2,CI317/CA317&lt;0.5),"NM",CI317/CA317*100-100))</f>
        <v>NM</v>
      </c>
      <c r="CK317" s="81">
        <f>+CK316/CK303*100</f>
        <v>25.287356321839084</v>
      </c>
      <c r="CL317" s="72" t="str">
        <f>IF(ISERROR(CK317/CC317),"NA",IF(OR(CK317/CC317&gt;2,CK317/CC317&lt;0.5),"NM",CK317/CC317*100-100))</f>
        <v>NM</v>
      </c>
      <c r="CM317" s="81">
        <f>+CM316/CM303*100</f>
        <v>28.102189781021895</v>
      </c>
      <c r="CN317" s="72">
        <f>IF(ISERROR(CM317/CE317),"NA",IF(OR(CM317/CE317&gt;2,CM317/CE317&lt;0.5),"NM",CM317/CE317*100-100))</f>
        <v>28.322047313340931</v>
      </c>
      <c r="CO317" s="81">
        <f>+CO316/CO303*100</f>
        <v>34.603658536585364</v>
      </c>
      <c r="CP317" s="72">
        <f>IF(ISERROR(CO317/CG317),"NA",IF(OR(CO317/CG317&gt;2,CO317/CG317&lt;0.5),"NM",CO317/CG317*100-100))</f>
        <v>37.856510621557845</v>
      </c>
      <c r="CQ317" s="81">
        <f>+CQ316/CQ303*100</f>
        <v>23.976608187134502</v>
      </c>
      <c r="CR317" s="72">
        <f>IF(ISERROR(CQ317/CI317),"NA",IF(OR(CQ317/CI317&gt;2,CQ317/CI317&lt;0.5),"NM",CQ317/CI317*100-100))</f>
        <v>-20.131974079342513</v>
      </c>
      <c r="CS317" s="81">
        <f>+CS316/CS303*100</f>
        <v>35.904628330995791</v>
      </c>
      <c r="CT317" s="72">
        <f>IF(ISERROR(CS317/CK317),"NA",IF(OR(CS317/CK317&gt;2,CS317/CK317&lt;0.5),"NM",CS317/CK317*100-100))</f>
        <v>41.986484763483332</v>
      </c>
      <c r="CU317" s="81">
        <f>+CU316/CU303*100</f>
        <v>26.110124333925398</v>
      </c>
      <c r="CV317" s="72">
        <f>IF(ISERROR(CU317/CM317),"NA",IF(OR(CU317/CM317&gt;2,CU317/CM317&lt;0.5),"NM",CU317/CM317*100-100))</f>
        <v>-7.0886484740836408</v>
      </c>
      <c r="CW317" s="81">
        <f>+CW316/CW303*100</f>
        <v>11.088709677419354</v>
      </c>
      <c r="CX317" s="72" t="str">
        <f>IF(ISERROR(CW317/CO317),"NA",IF(OR(CW317/CO317&gt;2,CW317/CO317&lt;0.5),"NM",CW317/CO317*100-100))</f>
        <v>NM</v>
      </c>
      <c r="CY317" s="81">
        <f>+CY316/CY303*100</f>
        <v>31.170886075949365</v>
      </c>
      <c r="CZ317" s="72">
        <f>IF(ISERROR(CY317/CQ317),"NA",IF(OR(CY317/CQ317&gt;2,CY317/CQ317&lt;0.5),"NM",CY317/CQ317*100-100))</f>
        <v>30.005402902130271</v>
      </c>
      <c r="DA317" s="81">
        <f>+DA316/DA303*100</f>
        <v>27.007299270072991</v>
      </c>
      <c r="DB317" s="72">
        <f>IF(ISERROR(DA317/CS317),"NA",IF(OR(DA317/CS317&gt;2,DA317/CS317&lt;0.5),"NM",DA317/CS317*100-100))</f>
        <v>-24.780451642335763</v>
      </c>
      <c r="DC317" s="81">
        <f>+DC316/DC303*100</f>
        <v>26.323987538940806</v>
      </c>
      <c r="DD317" s="72">
        <f>IF(ISERROR(DC317/CU317),"NA",IF(OR(DC317/CU317&gt;2,DC317/CU317&lt;0.5),"NM",DC317/CU317*100-100))</f>
        <v>0.81908152669166157</v>
      </c>
      <c r="DE317" s="81">
        <f>+DE316/DE303*100</f>
        <v>25.981873111782477</v>
      </c>
      <c r="DF317" s="72" t="str">
        <f>IF(ISERROR(DE317/CW317),"NA",IF(OR(DE317/CW317&gt;2,DE317/CW317&lt;0.5),"NM",DE317/CW317*100-100))</f>
        <v>NM</v>
      </c>
      <c r="DG317" s="81">
        <f>+DG316/DG303*100</f>
        <v>26.656394453004623</v>
      </c>
      <c r="DH317" s="72">
        <f>IF(ISERROR(DG317/CY317),"NA",IF(OR(DG317/CY317&gt;2,DG317/CY317&lt;0.5),"NM",DG317/CY317*100-100))</f>
        <v>-14.483039115233893</v>
      </c>
      <c r="DI317" s="81">
        <f>+DI316/DI303*100</f>
        <v>28.827586206896548</v>
      </c>
      <c r="DJ317" s="72">
        <f>IF(ISERROR(DI317/DA317),"NA",IF(OR(DI317/DA317&gt;2,DI317/DA317&lt;0.5),"NM",DI317/DA317*100-100))</f>
        <v>6.7399813606709955</v>
      </c>
      <c r="DK317" s="81">
        <f>+DK316/DK303*100</f>
        <v>28.935532233883059</v>
      </c>
      <c r="DL317" s="72">
        <f>IF(ISERROR(DK317/DC317),"NA",IF(OR(DK317/DC317&gt;2,DK317/DC317&lt;0.5),"NM",DK317/DC317*100-100))</f>
        <v>9.9207792553427652</v>
      </c>
      <c r="DM317" s="81">
        <f>+DM316/DM303*100</f>
        <v>28.050490883590463</v>
      </c>
      <c r="DN317" s="72">
        <f t="shared" si="1808"/>
        <v>7.9617730519586445</v>
      </c>
      <c r="DO317" s="456">
        <f>+DO316/DO303*100</f>
        <v>27.739251040221912</v>
      </c>
      <c r="DP317" s="532">
        <f t="shared" si="1808"/>
        <v>4.0622770237226575</v>
      </c>
      <c r="DQ317" s="456">
        <f>+DQ316/DQ303*100</f>
        <v>25.981055480378888</v>
      </c>
      <c r="DR317" s="532">
        <f t="shared" si="1808"/>
        <v>-9.8743290752406807</v>
      </c>
      <c r="DS317" s="456">
        <f>+DS316/DS303*100</f>
        <v>27.967257844474762</v>
      </c>
      <c r="DT317" s="532">
        <f t="shared" si="1808"/>
        <v>-3.3463161540690862</v>
      </c>
      <c r="DU317" s="456">
        <f>+DU316/DU303*100</f>
        <v>25.257731958762886</v>
      </c>
      <c r="DV317" s="72">
        <f t="shared" si="1808"/>
        <v>-9.9561855670103085</v>
      </c>
      <c r="DW317" s="81">
        <f>+DW316/DW303*100</f>
        <v>25.568181818181817</v>
      </c>
      <c r="DX317" s="72">
        <f t="shared" si="1808"/>
        <v>-7.8267045454545467</v>
      </c>
      <c r="DY317" s="81">
        <f>+DY316/DY303*100</f>
        <v>27.086183310533517</v>
      </c>
      <c r="DZ317" s="72">
        <f t="shared" si="1808"/>
        <v>4.2535909712722457</v>
      </c>
      <c r="EA317" s="81">
        <f>+EA316/EA303*100</f>
        <v>23.371104815864022</v>
      </c>
      <c r="EB317" s="72">
        <f>IF(ISERROR(EA317/DS317),"NA",IF(OR(EA317/DS317&gt;2,EA317/DS317&lt;0.5),"NM",EA317/DS317*100-100))</f>
        <v>-16.434049609617915</v>
      </c>
      <c r="EC317" s="81">
        <f>+EC316/EC303*100</f>
        <v>28.278688524590162</v>
      </c>
      <c r="ED317" s="72">
        <f>IF(ISERROR(EC317/DU317),"NA",IF(OR(EC317/DU317&gt;2,EC317/DU317&lt;0.5),"NM",EC317/DU317*100-100))</f>
        <v>11.960521913683507</v>
      </c>
      <c r="EE317" s="81">
        <f>+EE316/EE303*100</f>
        <v>25.466666666666665</v>
      </c>
      <c r="EF317" s="72">
        <f>IF(ISERROR(EE317/DW317),"NA",IF(OR(EE317/DW317&gt;2,EE317/DW317&lt;0.5),"NM",EE317/DW317*100-100))</f>
        <v>-0.39703703703703752</v>
      </c>
      <c r="EG317" s="81">
        <f>+EG316/EG303*100</f>
        <v>28.978007761966364</v>
      </c>
      <c r="EH317" s="72">
        <f>IF(ISERROR(EG317/DY317),"NA",IF(OR(EG317/DY317&gt;2,EG317/DY317&lt;0.5),"NM",EG317/DY317*100-100))</f>
        <v>6.984462999986917</v>
      </c>
      <c r="EI317" s="81">
        <f>+EI316/EI303*100</f>
        <v>25.925925925925924</v>
      </c>
      <c r="EJ317" s="72">
        <f>IF(ISERROR(EI317/EA317),"NA",IF(OR(EI317/EA317&gt;2,EI317/EA317&lt;0.5),"NM",EI317/EA317*100-100))</f>
        <v>10.931537598204272</v>
      </c>
      <c r="EK317" s="81">
        <f>+EK316/EK303*100</f>
        <v>27.700127064803048</v>
      </c>
      <c r="EL317" s="72">
        <f>IF(ISERROR(EK317/EC317),"NA",IF(OR(EK317/EC317&gt;2,EK317/EC317&lt;0.5),"NM",EK317/EC317*100-100))</f>
        <v>-2.0459274809863217</v>
      </c>
      <c r="EM317" s="81">
        <f>+EM316/EM303*100</f>
        <v>31.318016928657798</v>
      </c>
      <c r="EN317" s="72">
        <f>IF(ISERROR(EM317/EE317),"NA",IF(OR(EM317/EE317&gt;2,EM317/EE317&lt;0.5),"NM",EM317/EE317*100-100))</f>
        <v>22.976506264363096</v>
      </c>
      <c r="EO317" s="81">
        <f>+EO316/EO303*100</f>
        <v>31.065989847715734</v>
      </c>
      <c r="EP317" s="72">
        <f>IF(ISERROR(EO317/EG317),"NA",IF(OR(EO317/EG317&gt;2,EO317/EG317&lt;0.5),"NM",EO317/EG317*100-100))</f>
        <v>7.2054024655547408</v>
      </c>
      <c r="EQ317" s="81">
        <f t="shared" ref="EQ317" si="1818">+EQ316/EQ303*100</f>
        <v>27.882107642408293</v>
      </c>
      <c r="ER317" s="72">
        <f t="shared" si="1810"/>
        <v>7.5452723350034177</v>
      </c>
      <c r="ES317" s="81">
        <f t="shared" ref="ES317" si="1819">+ES316/ES303*100</f>
        <v>27.870908318312519</v>
      </c>
      <c r="ET317" s="72">
        <f t="shared" si="1812"/>
        <v>0.61653599317411079</v>
      </c>
      <c r="EU317" s="81">
        <f t="shared" ref="EU317" si="1820">+EU316/EU303*100</f>
        <v>27.875190436709051</v>
      </c>
      <c r="EV317" s="72">
        <f t="shared" si="1814"/>
        <v>-10.993117794755264</v>
      </c>
      <c r="EW317" s="81">
        <f t="shared" ref="EW317" si="1821">+EW316/EW303*100</f>
        <v>27.378512092657694</v>
      </c>
      <c r="EX317" s="72">
        <f t="shared" si="1816"/>
        <v>-11.869822185399244</v>
      </c>
      <c r="EY317" s="72"/>
      <c r="EZ317" s="309"/>
      <c r="FA317" s="72"/>
      <c r="FB317" s="81"/>
      <c r="FC317" s="72"/>
      <c r="FD317" s="81">
        <f>+FD316/FD303*100</f>
        <v>16.535433070866144</v>
      </c>
      <c r="FE317" s="87" t="str">
        <f>IF(ISERROR(FD317/FB317),"NA",IF(OR(FD317/FB317&gt;2,FD317/FB317&lt;0.5),"NM",FD317/FB317*100-100))</f>
        <v>NA</v>
      </c>
      <c r="FF317" s="81">
        <f>+FF316/FF303*100</f>
        <v>16.112198303979124</v>
      </c>
      <c r="FG317" s="87">
        <f>IF(ISERROR(FF317/FD317),"NA",IF(OR(FF317/FD317&gt;2,FF317/FD317&lt;0.5),"NM",FF317/FD317*100-100))</f>
        <v>-2.5595626378405569</v>
      </c>
      <c r="FH317" s="81">
        <f>+FH316/FH303*100</f>
        <v>13.406292749658002</v>
      </c>
      <c r="FI317" s="87">
        <f>IF(ISERROR(FH317/FF317),"NA",IF(OR(FH317/FF317&gt;2,FH317/FF317&lt;0.5),"NM",FH317/FF317*100-100))</f>
        <v>-16.794142569936355</v>
      </c>
      <c r="FJ317" s="81">
        <f>+FJ316/FJ303*100</f>
        <v>13.886792452830187</v>
      </c>
      <c r="FK317" s="87">
        <f>IF(ISERROR(FJ317/FH317),"NA",IF(OR(FJ317/FH317&gt;2,FJ317/FH317&lt;0.5),"NM",FJ317/FH317*100-100))</f>
        <v>3.5841355410088482</v>
      </c>
      <c r="FL317" s="81">
        <f>+FL316/FL303*100</f>
        <v>15.35635562086701</v>
      </c>
      <c r="FM317" s="87">
        <f>IF(ISERROR(FL317/FJ317),"NA",IF(OR(FL317/FJ317&gt;2,FL317/FJ317&lt;0.5),"NM",FL317/FJ317*100-100))</f>
        <v>10.582452161134739</v>
      </c>
      <c r="FN317" s="81">
        <f>+FN316/FN303*100</f>
        <v>18.169398907103826</v>
      </c>
      <c r="FO317" s="87">
        <f>IF(ISERROR(FN317/FL317),"NA",IF(OR(FN317/FL317&gt;2,FN317/FL317&lt;0.5),"NM",FN317/FL317*100-100))</f>
        <v>18.318430203676115</v>
      </c>
      <c r="FP317" s="81">
        <f>+FP316/FP303*100</f>
        <v>27.358490566037734</v>
      </c>
      <c r="FQ317" s="87">
        <f>IF(ISERROR(FP317/FN317),"NA",IF(OR(FP317/FN317&gt;2,FP317/FN317&lt;0.5),"NM",FP317/FN317*100-100))</f>
        <v>50.574549581500889</v>
      </c>
      <c r="FR317" s="81">
        <f>+FR316/FR303*100</f>
        <v>27.624309392265197</v>
      </c>
      <c r="FS317" s="87">
        <f>IF(ISERROR(FR317/FP317),"NA",IF(OR(FR317/FP317&gt;2,FR317/FP317&lt;0.5),"NM",FR317/FP317*100-100))</f>
        <v>0.97161364069349077</v>
      </c>
      <c r="FT317" s="81">
        <f>+FT316/FT303*100</f>
        <v>30.228546787408366</v>
      </c>
      <c r="FU317" s="87">
        <f>IF(ISERROR(FT317/FR317),"NA",IF(OR(FT317/FR317&gt;2,FT317/FR317&lt;0.5),"NM",FT317/FR317*100-100))</f>
        <v>9.4273393704182666</v>
      </c>
      <c r="FV317" s="81">
        <f>+FV316/FV303*100</f>
        <v>13.760379596678529</v>
      </c>
      <c r="FW317" s="72" t="str">
        <f>IF(ISERROR(FV317/FT317),"NA",IF(OR(FV317/FT317&gt;2,FV317/FT317&lt;0.5),"NM",FV317/FT317*100-100))</f>
        <v>NM</v>
      </c>
      <c r="FX317" s="81">
        <f>+FX316/FX303*100</f>
        <v>4.3754972155926808</v>
      </c>
      <c r="FY317" s="72" t="str">
        <f>IF(ISERROR(FX317/FV317),"NA",IF(OR(FX317/FV317&gt;2,FX317/FV317&lt;0.5),"NM",FX317/FV317*100-100))</f>
        <v>NM</v>
      </c>
      <c r="FZ317" s="81">
        <f>+FZ316/FZ303*100</f>
        <v>25.79449152542373</v>
      </c>
      <c r="GA317" s="72" t="str">
        <f>IF(ISERROR(FZ317/FX317),"NA",IF(OR(FZ317/FX317&gt;2,FZ317/FX317&lt;0.5),"NM",FZ317/FX317*100-100))</f>
        <v>NM</v>
      </c>
      <c r="GB317" s="81">
        <f>+GB316/GB303*100</f>
        <v>31.275720164609055</v>
      </c>
      <c r="GC317" s="72">
        <f>IF(ISERROR(GB317/FZ317),"NA",IF(OR(GB317/FZ317&gt;2,GB317/FZ317&lt;0.5),"NM",GB317/FZ317*100-100))</f>
        <v>21.249609180250289</v>
      </c>
      <c r="GD317" s="81">
        <f>+GD316/GD303*100</f>
        <v>24.579124579124578</v>
      </c>
      <c r="GE317" s="72">
        <f>IF(ISERROR(GD317/GB317),"NA",IF(OR(GD317/GB317&gt;2,GD317/GB317&lt;0.5),"NM",GD317/GB317*100-100))</f>
        <v>-21.411483253588528</v>
      </c>
      <c r="GF317" s="81">
        <f>+GF316/GF303*100</f>
        <v>26.997759522031366</v>
      </c>
      <c r="GG317" s="72">
        <f>IF(ISERROR(GF317/GD317),"NA",IF(OR(GF317/GD317&gt;2,GF317/GD317&lt;0.5),"NM",GF317/GD317*100-100))</f>
        <v>9.8401996992235183</v>
      </c>
      <c r="GH317" s="81">
        <f>+GH316/GH303*100</f>
        <v>27.640845070422536</v>
      </c>
      <c r="GI317" s="72">
        <f t="shared" si="1817"/>
        <v>2.3819959869869365</v>
      </c>
      <c r="GJ317" s="81">
        <f>+GJ316/GJ303*100</f>
        <v>26.460597826086957</v>
      </c>
      <c r="GK317" s="72">
        <f t="shared" si="1817"/>
        <v>-4.2699390750484696</v>
      </c>
      <c r="GL317" s="81">
        <f>+GL316/GL303*100</f>
        <v>26.578858493752112</v>
      </c>
      <c r="GM317" s="72">
        <f t="shared" si="1817"/>
        <v>0.44693120103494266</v>
      </c>
      <c r="GN317" s="81">
        <f>+GN316/GN303*100</f>
        <v>29.180327868852459</v>
      </c>
      <c r="GO317" s="72">
        <f t="shared" si="1817"/>
        <v>9.7877392880205036</v>
      </c>
      <c r="GP317" s="81">
        <f>+GP316/GP303*100</f>
        <v>27.749408986730188</v>
      </c>
      <c r="GQ317" s="72">
        <f t="shared" si="1817"/>
        <v>-4.9037107758122715</v>
      </c>
      <c r="GR317" s="81">
        <f>+GR316/GR303*100</f>
        <v>27.71963573100048</v>
      </c>
      <c r="GS317" s="72">
        <f t="shared" si="1817"/>
        <v>-0.10729329674713028</v>
      </c>
      <c r="GT317" s="81">
        <f>+GT316/GT303*100</f>
        <v>27.679489845924959</v>
      </c>
      <c r="GU317" s="72">
        <f t="shared" si="1817"/>
        <v>-0.14482832842793414</v>
      </c>
      <c r="GV317" s="81">
        <f>+GV316/GV303*100</f>
        <v>27.635589287199615</v>
      </c>
      <c r="GW317" s="72">
        <f>IF(ISERROR(GV317/GT317),"NA",IF(OR(GV317/GT317&gt;2,GV317/GT317&lt;0.5),"NM",GV317/GT317*100-100))</f>
        <v>-0.15860320753637325</v>
      </c>
      <c r="GX317" s="81">
        <f>+GX316/GX303*100</f>
        <v>27.576562970654823</v>
      </c>
      <c r="GY317" s="72">
        <f>IF(ISERROR(GX317/GV317),"NA",IF(OR(GX317/GV317&gt;2,GX317/GV317&lt;0.5),"NM",GX317/GV317*100-100))</f>
        <v>-0.21358805101409928</v>
      </c>
      <c r="GZ317" s="72">
        <f>IF(ISERROR(((GX317/GN317)^0.2-1)*100),"NA",IF((((GX317/GN317)^0.2-1)*100)&gt;100,"NM",IF((((GX317/GN317)^0.2-1)*100)&lt;-50,"NM",((GX317/GN317)^0.2-1)*100)))</f>
        <v>-1.1242037636447821</v>
      </c>
      <c r="HA317" s="72"/>
      <c r="HB317" s="72"/>
      <c r="HC317"/>
      <c r="HD317"/>
      <c r="HE317"/>
      <c r="HF317"/>
      <c r="HG317"/>
      <c r="HH317"/>
      <c r="HI317" s="2"/>
    </row>
    <row r="318" spans="1:217" ht="12.75" customHeight="1" x14ac:dyDescent="0.2">
      <c r="B318" s="77"/>
      <c r="C318" s="109"/>
      <c r="D318" s="72"/>
      <c r="E318" s="109"/>
      <c r="F318" s="72"/>
      <c r="G318" s="109"/>
      <c r="H318" s="72"/>
      <c r="I318" s="109"/>
      <c r="J318" s="72"/>
      <c r="K318" s="109"/>
      <c r="L318" s="87"/>
      <c r="M318" s="109"/>
      <c r="N318" s="87"/>
      <c r="O318" s="109"/>
      <c r="P318" s="87"/>
      <c r="Q318" s="109"/>
      <c r="R318" s="87"/>
      <c r="S318" s="109"/>
      <c r="T318" s="87"/>
      <c r="U318" s="109"/>
      <c r="V318" s="87"/>
      <c r="W318" s="109"/>
      <c r="X318" s="87"/>
      <c r="Y318" s="109"/>
      <c r="Z318" s="87"/>
      <c r="AA318" s="109"/>
      <c r="AB318" s="87"/>
      <c r="AC318" s="109"/>
      <c r="AD318" s="87"/>
      <c r="AE318" s="109"/>
      <c r="AF318" s="87"/>
      <c r="AG318" s="109"/>
      <c r="AH318" s="87"/>
      <c r="AI318" s="109"/>
      <c r="AJ318" s="87"/>
      <c r="AK318" s="109"/>
      <c r="AL318" s="87"/>
      <c r="AM318" s="109"/>
      <c r="AN318" s="87"/>
      <c r="AO318" s="109"/>
      <c r="AP318" s="87"/>
      <c r="AQ318" s="109"/>
      <c r="AR318" s="87"/>
      <c r="AS318" s="109"/>
      <c r="AT318" s="87"/>
      <c r="AU318" s="109"/>
      <c r="AV318" s="87"/>
      <c r="AW318" s="109"/>
      <c r="AX318" s="87"/>
      <c r="AY318" s="109"/>
      <c r="AZ318" s="87"/>
      <c r="BA318" s="109"/>
      <c r="BB318" s="87"/>
      <c r="BC318" s="109"/>
      <c r="BD318" s="87"/>
      <c r="BE318" s="109"/>
      <c r="BF318" s="87"/>
      <c r="BG318" s="109"/>
      <c r="BH318" s="87"/>
      <c r="BI318" s="109"/>
      <c r="BJ318" s="87"/>
      <c r="BK318" s="109"/>
      <c r="BL318" s="87"/>
      <c r="BM318" s="109"/>
      <c r="BN318" s="87"/>
      <c r="BO318" s="109"/>
      <c r="BP318" s="87"/>
      <c r="BQ318" s="109"/>
      <c r="BR318" s="87"/>
      <c r="BS318" s="109"/>
      <c r="BT318" s="87"/>
      <c r="BU318" s="109"/>
      <c r="BV318" s="87"/>
      <c r="BW318" s="109"/>
      <c r="BX318" s="72"/>
      <c r="BY318" s="109"/>
      <c r="BZ318" s="72"/>
      <c r="CA318" s="109"/>
      <c r="CB318" s="72"/>
      <c r="CC318" s="109"/>
      <c r="CD318" s="72"/>
      <c r="CE318" s="109"/>
      <c r="CF318" s="72"/>
      <c r="CG318" s="109"/>
      <c r="CH318" s="72"/>
      <c r="CI318" s="109"/>
      <c r="CJ318" s="72"/>
      <c r="CK318" s="109"/>
      <c r="CL318" s="72"/>
      <c r="CM318" s="109"/>
      <c r="CN318" s="72"/>
      <c r="CO318" s="109"/>
      <c r="CP318" s="72"/>
      <c r="CQ318" s="109"/>
      <c r="CR318" s="72"/>
      <c r="CS318" s="109"/>
      <c r="CT318" s="72"/>
      <c r="CU318" s="109"/>
      <c r="CV318" s="72"/>
      <c r="CW318" s="109"/>
      <c r="CX318" s="72"/>
      <c r="CY318" s="109"/>
      <c r="CZ318" s="72"/>
      <c r="DA318" s="109"/>
      <c r="DB318" s="72"/>
      <c r="DC318" s="109"/>
      <c r="DD318" s="72"/>
      <c r="DE318" s="109"/>
      <c r="DF318" s="72"/>
      <c r="DG318" s="109"/>
      <c r="DH318" s="72"/>
      <c r="DI318" s="109"/>
      <c r="DJ318" s="72"/>
      <c r="DK318" s="109"/>
      <c r="DL318" s="72"/>
      <c r="DM318" s="109"/>
      <c r="DN318" s="72"/>
      <c r="DO318" s="722"/>
      <c r="DP318" s="532"/>
      <c r="DQ318" s="722"/>
      <c r="DR318" s="532"/>
      <c r="DS318" s="722"/>
      <c r="DT318" s="532"/>
      <c r="DU318" s="722"/>
      <c r="DV318" s="72"/>
      <c r="DW318" s="109"/>
      <c r="DX318" s="72"/>
      <c r="DY318" s="109"/>
      <c r="DZ318" s="72"/>
      <c r="EA318" s="109"/>
      <c r="EB318" s="72"/>
      <c r="EC318" s="109"/>
      <c r="ED318" s="72"/>
      <c r="EE318" s="109"/>
      <c r="EF318" s="72"/>
      <c r="EG318" s="109"/>
      <c r="EH318" s="72"/>
      <c r="EI318" s="109"/>
      <c r="EJ318" s="72"/>
      <c r="EK318" s="109"/>
      <c r="EL318" s="72"/>
      <c r="EM318" s="109"/>
      <c r="EN318" s="72"/>
      <c r="EO318" s="109"/>
      <c r="EP318" s="72"/>
      <c r="EQ318" s="109"/>
      <c r="ER318" s="72"/>
      <c r="ES318" s="109"/>
      <c r="ET318" s="72"/>
      <c r="EU318" s="109"/>
      <c r="EV318" s="72"/>
      <c r="EW318" s="109"/>
      <c r="EX318" s="72"/>
      <c r="EY318" s="72"/>
      <c r="EZ318" s="306"/>
      <c r="FA318" s="72"/>
      <c r="FB318" s="109"/>
      <c r="FC318" s="72"/>
      <c r="FD318" s="109"/>
      <c r="FE318" s="87"/>
      <c r="FF318" s="109"/>
      <c r="FG318" s="87"/>
      <c r="FH318" s="109"/>
      <c r="FI318" s="87"/>
      <c r="FJ318" s="109"/>
      <c r="FK318" s="87"/>
      <c r="FL318" s="109"/>
      <c r="FM318" s="87"/>
      <c r="FN318" s="109"/>
      <c r="FO318" s="87"/>
      <c r="FP318" s="109"/>
      <c r="FQ318" s="87"/>
      <c r="FR318" s="109"/>
      <c r="FS318" s="87"/>
      <c r="FT318" s="109"/>
      <c r="FU318" s="87"/>
      <c r="FV318" s="109"/>
      <c r="FW318" s="72"/>
      <c r="FX318" s="109"/>
      <c r="FY318" s="72"/>
      <c r="FZ318" s="109"/>
      <c r="GA318" s="72"/>
      <c r="GB318" s="109"/>
      <c r="GC318" s="72"/>
      <c r="GD318" s="109"/>
      <c r="GE318" s="72"/>
      <c r="GF318" s="109"/>
      <c r="GG318" s="72"/>
      <c r="GH318" s="109"/>
      <c r="GI318" s="72"/>
      <c r="GJ318" s="109"/>
      <c r="GK318" s="72"/>
      <c r="GL318" s="109"/>
      <c r="GM318" s="72"/>
      <c r="GN318" s="109"/>
      <c r="GO318" s="72"/>
      <c r="GP318" s="109"/>
      <c r="GQ318" s="72"/>
      <c r="GR318" s="109"/>
      <c r="GS318" s="72"/>
      <c r="GT318" s="109"/>
      <c r="GU318" s="72"/>
      <c r="GV318" s="109"/>
      <c r="GW318" s="72"/>
      <c r="GX318" s="109"/>
      <c r="GY318" s="72"/>
      <c r="GZ318" s="72"/>
      <c r="HA318" s="72"/>
      <c r="HB318" s="72"/>
    </row>
    <row r="319" spans="1:217" s="3" customFormat="1" ht="12.75" customHeight="1" x14ac:dyDescent="0.2">
      <c r="B319" s="77" t="s">
        <v>772</v>
      </c>
      <c r="C319" s="75"/>
      <c r="D319" s="72"/>
      <c r="E319" s="75"/>
      <c r="F319" s="72"/>
      <c r="G319" s="75"/>
      <c r="H319" s="72"/>
      <c r="I319" s="75"/>
      <c r="J319" s="72"/>
      <c r="K319" s="75"/>
      <c r="L319" s="72"/>
      <c r="M319" s="75"/>
      <c r="N319" s="72"/>
      <c r="O319" s="75"/>
      <c r="P319" s="72"/>
      <c r="Q319" s="75"/>
      <c r="R319" s="72"/>
      <c r="S319" s="75"/>
      <c r="T319" s="72"/>
      <c r="U319" s="75"/>
      <c r="V319" s="72"/>
      <c r="W319" s="75"/>
      <c r="X319" s="72"/>
      <c r="Y319" s="75"/>
      <c r="Z319" s="72"/>
      <c r="AA319" s="75"/>
      <c r="AB319" s="72"/>
      <c r="AC319" s="75"/>
      <c r="AD319" s="72"/>
      <c r="AE319" s="75"/>
      <c r="AF319" s="72"/>
      <c r="AG319" s="75"/>
      <c r="AH319" s="72"/>
      <c r="AI319" s="75"/>
      <c r="AJ319" s="72"/>
      <c r="AK319" s="75"/>
      <c r="AL319" s="72"/>
      <c r="AM319" s="75"/>
      <c r="AN319" s="72"/>
      <c r="AO319" s="75"/>
      <c r="AP319" s="72"/>
      <c r="AQ319" s="75"/>
      <c r="AR319" s="72"/>
      <c r="AS319" s="75"/>
      <c r="AT319" s="72"/>
      <c r="AU319" s="75"/>
      <c r="AV319" s="72"/>
      <c r="AW319" s="75"/>
      <c r="AX319" s="72"/>
      <c r="AY319" s="75"/>
      <c r="AZ319" s="72"/>
      <c r="BA319" s="75"/>
      <c r="BB319" s="72"/>
      <c r="BC319" s="75"/>
      <c r="BD319" s="72"/>
      <c r="BE319" s="75"/>
      <c r="BF319" s="72"/>
      <c r="BG319" s="75"/>
      <c r="BH319" s="72"/>
      <c r="BI319" s="75"/>
      <c r="BJ319" s="72"/>
      <c r="BK319" s="75"/>
      <c r="BL319" s="72"/>
      <c r="BM319" s="75"/>
      <c r="BN319" s="72"/>
      <c r="BO319" s="75"/>
      <c r="BP319" s="72"/>
      <c r="BQ319" s="75"/>
      <c r="BR319" s="72"/>
      <c r="BS319" s="75"/>
      <c r="BT319" s="72"/>
      <c r="BU319" s="75"/>
      <c r="BV319" s="72"/>
      <c r="BW319" s="75"/>
      <c r="BX319" s="72"/>
      <c r="BY319" s="75"/>
      <c r="BZ319" s="72"/>
      <c r="CA319" s="75"/>
      <c r="CB319" s="72"/>
      <c r="CC319" s="75"/>
      <c r="CD319" s="72"/>
      <c r="CE319" s="75"/>
      <c r="CF319" s="72"/>
      <c r="CG319" s="75"/>
      <c r="CH319" s="72"/>
      <c r="CI319" s="75"/>
      <c r="CJ319" s="72"/>
      <c r="CK319" s="75"/>
      <c r="CL319" s="72"/>
      <c r="CM319" s="75"/>
      <c r="CN319" s="75"/>
      <c r="CO319" s="75"/>
      <c r="CP319" s="75"/>
      <c r="CQ319" s="75"/>
      <c r="CR319" s="75"/>
      <c r="CS319" s="75"/>
      <c r="CT319" s="72"/>
      <c r="CU319" s="74">
        <f>DC319-26</f>
        <v>14</v>
      </c>
      <c r="CV319" s="72" t="str">
        <f>IF(ISERROR(CU319/CM319),"NA",IF(OR(CU319/CM319&gt;2,CU319/CM319&lt;0.5),"NM",CU319/CM319*100-100))</f>
        <v>NA</v>
      </c>
      <c r="CW319" s="74">
        <f>DE319-4</f>
        <v>18</v>
      </c>
      <c r="CX319" s="72" t="str">
        <f t="shared" ref="CX319:DJ320" si="1822">IF(ISERROR(CW319/CO319),"NA",IF(OR(CW319/CO319&gt;2,CW319/CO319&lt;0.5),"NM",CW319/CO319*100-100))</f>
        <v>NA</v>
      </c>
      <c r="CY319" s="74">
        <f>DG319+24</f>
        <v>71</v>
      </c>
      <c r="CZ319" s="72" t="str">
        <f t="shared" si="1822"/>
        <v>NA</v>
      </c>
      <c r="DA319" s="74">
        <v>89</v>
      </c>
      <c r="DB319" s="72" t="str">
        <f t="shared" si="1822"/>
        <v>NA</v>
      </c>
      <c r="DC319" s="74">
        <v>40</v>
      </c>
      <c r="DD319" s="72" t="str">
        <f t="shared" si="1822"/>
        <v>NM</v>
      </c>
      <c r="DE319" s="74">
        <v>22</v>
      </c>
      <c r="DF319" s="72">
        <f t="shared" si="1822"/>
        <v>22.222222222222229</v>
      </c>
      <c r="DG319" s="74">
        <v>47</v>
      </c>
      <c r="DH319" s="72">
        <f t="shared" si="1822"/>
        <v>-33.802816901408448</v>
      </c>
      <c r="DI319" s="74">
        <v>57</v>
      </c>
      <c r="DJ319" s="72">
        <f t="shared" si="1822"/>
        <v>-35.955056179775283</v>
      </c>
      <c r="DK319" s="74">
        <f>DC319-2</f>
        <v>38</v>
      </c>
      <c r="DL319" s="72"/>
      <c r="DM319" s="74">
        <v>33</v>
      </c>
      <c r="DN319" s="72">
        <f t="shared" ref="DN319:DZ321" si="1823">IF(ISERROR(DM319/DE319),"NA",IF(OR(DM319/DE319&gt;2,DM319/DE319&lt;0.5),"NM",DM319/DE319*100-100))</f>
        <v>50</v>
      </c>
      <c r="DO319" s="723">
        <v>58</v>
      </c>
      <c r="DP319" s="532">
        <f t="shared" si="1823"/>
        <v>23.40425531914893</v>
      </c>
      <c r="DQ319" s="723">
        <v>25</v>
      </c>
      <c r="DR319" s="532" t="str">
        <f t="shared" si="1823"/>
        <v>NM</v>
      </c>
      <c r="DS319" s="723">
        <f>DK319+15</f>
        <v>53</v>
      </c>
      <c r="DT319" s="532">
        <f t="shared" si="1823"/>
        <v>39.473684210526301</v>
      </c>
      <c r="DU319" s="74">
        <f>DM319-9</f>
        <v>24</v>
      </c>
      <c r="DV319" s="72">
        <f t="shared" si="1823"/>
        <v>-27.272727272727266</v>
      </c>
      <c r="DW319" s="74">
        <v>22</v>
      </c>
      <c r="DX319" s="72" t="str">
        <f t="shared" si="1823"/>
        <v>NM</v>
      </c>
      <c r="DY319" s="723">
        <v>37</v>
      </c>
      <c r="DZ319" s="72">
        <f t="shared" si="1823"/>
        <v>48</v>
      </c>
      <c r="EA319" s="74">
        <v>25</v>
      </c>
      <c r="EB319" s="72" t="str">
        <f>IF(ISERROR(EA319/DS319),"NA",IF(OR(EA319/DS319&gt;2,EA319/DS319&lt;0.5),"NM",EA319/DS319*100-100))</f>
        <v>NM</v>
      </c>
      <c r="EC319" s="74">
        <v>33</v>
      </c>
      <c r="ED319" s="72">
        <f>IF(ISERROR(EC319/DU319),"NA",IF(OR(EC319/DU319&gt;2,EC319/DU319&lt;0.5),"NM",EC319/DU319*100-100))</f>
        <v>37.5</v>
      </c>
      <c r="EE319" s="74">
        <v>16</v>
      </c>
      <c r="EF319" s="72">
        <f>IF(ISERROR(EE319/DW319),"NA",IF(OR(EE319/DW319&gt;2,EE319/DW319&lt;0.5),"NM",EE319/DW319*100-100))</f>
        <v>-27.272727272727266</v>
      </c>
      <c r="EG319" s="74">
        <v>22</v>
      </c>
      <c r="EH319" s="72">
        <f>IF(ISERROR(EG319/DY319),"NA",IF(OR(EG319/DY319&gt;2,EG319/DY319&lt;0.5),"NM",EG319/DY319*100-100))</f>
        <v>-40.54054054054054</v>
      </c>
      <c r="EI319" s="74">
        <v>29</v>
      </c>
      <c r="EJ319" s="72">
        <f>IF(ISERROR(EI319/EA319),"NA",IF(OR(EI319/EA319&gt;2,EI319/EA319&lt;0.5),"NM",EI319/EA319*100-100))</f>
        <v>15.999999999999986</v>
      </c>
      <c r="EK319" s="74">
        <v>29</v>
      </c>
      <c r="EL319" s="72">
        <f>IF(ISERROR(EK319/EC319),"NA",IF(OR(EK319/EC319&gt;2,EK319/EC319&lt;0.5),"NM",EK319/EC319*100-100))</f>
        <v>-12.121212121212125</v>
      </c>
      <c r="EM319" s="74">
        <v>29</v>
      </c>
      <c r="EN319" s="72">
        <f>IF(ISERROR(EM319/EE319),"NA",IF(OR(EM319/EE319&gt;2,EM319/EE319&lt;0.5),"NM",EM319/EE319*100-100))</f>
        <v>81.25</v>
      </c>
      <c r="EO319" s="74">
        <v>92</v>
      </c>
      <c r="EP319" s="72" t="str">
        <f>IF(ISERROR(EO319/EG319),"NA",IF(OR(EO319/EG319&gt;2,EO319/EG319&lt;0.5),"NM",EO319/EG319*100-100))</f>
        <v>NM</v>
      </c>
      <c r="EQ319" s="74">
        <v>30</v>
      </c>
      <c r="ER319" s="72">
        <f t="shared" ref="ER319:ER321" si="1824">IF(ISERROR(EQ319/EI319),"NA",IF(OR(EQ319/EI319&gt;2,EQ319/EI319&lt;0.5),"NM",EQ319/EI319*100-100))</f>
        <v>3.448275862068968</v>
      </c>
      <c r="ES319" s="74">
        <f t="shared" ref="ES319" si="1825">EQ319</f>
        <v>30</v>
      </c>
      <c r="ET319" s="72">
        <f t="shared" ref="ET319:ET321" si="1826">IF(ISERROR(ES319/EK319),"NA",IF(OR(ES319/EK319&gt;2,ES319/EK319&lt;0.5),"NM",ES319/EK319*100-100))</f>
        <v>3.448275862068968</v>
      </c>
      <c r="EU319" s="74">
        <f t="shared" ref="EU319" si="1827">ES319</f>
        <v>30</v>
      </c>
      <c r="EV319" s="72">
        <f t="shared" ref="EV319:EV321" si="1828">IF(ISERROR(EU319/EM319),"NA",IF(OR(EU319/EM319&gt;2,EU319/EM319&lt;0.5),"NM",EU319/EM319*100-100))</f>
        <v>3.448275862068968</v>
      </c>
      <c r="EW319" s="74">
        <f t="shared" ref="EW319" si="1829">EU319</f>
        <v>30</v>
      </c>
      <c r="EX319" s="72" t="str">
        <f t="shared" ref="EX319:EX321" si="1830">IF(ISERROR(EW319/EO319),"NA",IF(OR(EW319/EO319&gt;2,EW319/EO319&lt;0.5),"NM",EW319/EO319*100-100))</f>
        <v>NM</v>
      </c>
      <c r="EY319" s="72"/>
      <c r="EZ319" s="309"/>
      <c r="FA319" s="72"/>
      <c r="FB319" s="81"/>
      <c r="FC319" s="72"/>
      <c r="FD319" s="81"/>
      <c r="FE319" s="72"/>
      <c r="FF319" s="81"/>
      <c r="FG319" s="72"/>
      <c r="FH319" s="81"/>
      <c r="FI319" s="72"/>
      <c r="FJ319" s="81"/>
      <c r="FK319" s="72"/>
      <c r="FL319" s="81"/>
      <c r="FM319" s="72"/>
      <c r="FN319" s="81"/>
      <c r="FO319" s="72"/>
      <c r="FP319" s="81"/>
      <c r="FQ319" s="72"/>
      <c r="FR319" s="75"/>
      <c r="FS319" s="72"/>
      <c r="FT319" s="75"/>
      <c r="FU319" s="72"/>
      <c r="FV319" s="75"/>
      <c r="FW319" s="72"/>
      <c r="FX319" s="75"/>
      <c r="FY319" s="72"/>
      <c r="FZ319" s="75"/>
      <c r="GA319" s="72"/>
      <c r="GB319" s="75"/>
      <c r="GC319" s="72"/>
      <c r="GD319" s="75">
        <f>CU319+CW319+CY319+DA319</f>
        <v>192</v>
      </c>
      <c r="GE319" s="72" t="str">
        <f>IF(ISERROR(GD319/GB319),"NA",IF(OR(GD319/GB319&gt;2,GD319/GB319&lt;0.5),"NM",GD319/GB319*100-100))</f>
        <v>NA</v>
      </c>
      <c r="GF319" s="75">
        <f>DC319+DE319+DG319+DI319</f>
        <v>166</v>
      </c>
      <c r="GG319" s="72">
        <f>IF(ISERROR(GF319/GD319),"NA",IF(OR(GF319/GD319&gt;2,GF319/GD319&lt;0.5),"NM",GF319/GD319*100-100))</f>
        <v>-13.541666666666657</v>
      </c>
      <c r="GH319" s="75">
        <f>DK319+DM319+DO319+DQ319</f>
        <v>154</v>
      </c>
      <c r="GI319" s="72">
        <f t="shared" ref="GI319:GU321" si="1831">IF(ISERROR(GH319/GF319),"NA",IF(OR(GH319/GF319&gt;2,GH319/GF319&lt;0.5),"NM",GH319/GF319*100-100))</f>
        <v>-7.228915662650607</v>
      </c>
      <c r="GJ319" s="75">
        <f>DS319+DU319+DW319+DY319</f>
        <v>136</v>
      </c>
      <c r="GK319" s="72">
        <f t="shared" si="1831"/>
        <v>-11.688311688311686</v>
      </c>
      <c r="GL319" s="75">
        <f>EA319+EC319+EE319+EG319</f>
        <v>96</v>
      </c>
      <c r="GM319" s="72">
        <f t="shared" si="1831"/>
        <v>-29.411764705882348</v>
      </c>
      <c r="GN319" s="75">
        <f>EI319+EK319+EM319+EO319</f>
        <v>179</v>
      </c>
      <c r="GO319" s="72">
        <f t="shared" si="1831"/>
        <v>86.458333333333314</v>
      </c>
      <c r="GP319" s="75">
        <f>EQ319+ES319+EU319+EW319</f>
        <v>120</v>
      </c>
      <c r="GQ319" s="72">
        <f t="shared" si="1831"/>
        <v>-32.960893854748605</v>
      </c>
      <c r="GR319" s="74">
        <f>GP319*1.05</f>
        <v>126</v>
      </c>
      <c r="GS319" s="72">
        <f t="shared" si="1831"/>
        <v>5</v>
      </c>
      <c r="GT319" s="74">
        <f>GR319*1.05</f>
        <v>132.30000000000001</v>
      </c>
      <c r="GU319" s="72">
        <f t="shared" si="1831"/>
        <v>5</v>
      </c>
      <c r="GV319" s="74">
        <f>GT319*1.05</f>
        <v>138.91500000000002</v>
      </c>
      <c r="GW319" s="72">
        <f>IF(ISERROR(GV319/GT319),"NA",IF(OR(GV319/GT319&gt;2,GV319/GT319&lt;0.5),"NM",GV319/GT319*100-100))</f>
        <v>5</v>
      </c>
      <c r="GX319" s="74">
        <f>GV319*1.05</f>
        <v>145.86075000000002</v>
      </c>
      <c r="GY319" s="72">
        <f>IF(ISERROR(GX319/GV319),"NA",IF(OR(GX319/GV319&gt;2,GX319/GV319&lt;0.5),"NM",GX319/GV319*100-100))</f>
        <v>5</v>
      </c>
      <c r="GZ319" s="72">
        <f>IF(ISERROR(((GX319/GN319)^0.2-1)*100),"NA",IF((((GX319/GN319)^0.2-1)*100)&gt;100,"NM",IF((((GX319/GN319)^0.2-1)*100)&lt;-50,"NM",((GX319/GN319)^0.2-1)*100)))</f>
        <v>-4.0119691823555792</v>
      </c>
      <c r="HA319" s="72"/>
      <c r="HB319" s="72"/>
      <c r="HC319"/>
      <c r="HD319"/>
      <c r="HE319"/>
      <c r="HF319"/>
      <c r="HG319"/>
      <c r="HH319"/>
      <c r="HI319" s="2"/>
    </row>
    <row r="320" spans="1:217" s="3" customFormat="1" ht="12.75" customHeight="1" x14ac:dyDescent="0.2">
      <c r="B320" s="70" t="s">
        <v>470</v>
      </c>
      <c r="C320" s="91"/>
      <c r="D320" s="72"/>
      <c r="E320" s="91"/>
      <c r="F320" s="72"/>
      <c r="G320" s="91"/>
      <c r="H320" s="72"/>
      <c r="I320" s="91"/>
      <c r="J320" s="72"/>
      <c r="K320" s="91"/>
      <c r="L320" s="87"/>
      <c r="M320" s="91"/>
      <c r="N320" s="87"/>
      <c r="O320" s="91"/>
      <c r="P320" s="87"/>
      <c r="Q320" s="91"/>
      <c r="R320" s="87"/>
      <c r="S320" s="91"/>
      <c r="T320" s="87"/>
      <c r="U320" s="91"/>
      <c r="V320" s="87"/>
      <c r="W320" s="91"/>
      <c r="X320" s="87"/>
      <c r="Y320" s="91"/>
      <c r="Z320" s="87"/>
      <c r="AA320" s="91"/>
      <c r="AB320" s="87"/>
      <c r="AC320" s="91"/>
      <c r="AD320" s="87"/>
      <c r="AE320" s="91"/>
      <c r="AF320" s="87"/>
      <c r="AG320" s="91"/>
      <c r="AH320" s="87"/>
      <c r="AI320" s="91"/>
      <c r="AJ320" s="87"/>
      <c r="AK320" s="91"/>
      <c r="AL320" s="87"/>
      <c r="AM320" s="91"/>
      <c r="AN320" s="87"/>
      <c r="AO320" s="91"/>
      <c r="AP320" s="87"/>
      <c r="AQ320" s="91"/>
      <c r="AR320" s="87"/>
      <c r="AS320" s="91"/>
      <c r="AT320" s="87"/>
      <c r="AU320" s="91"/>
      <c r="AV320" s="87"/>
      <c r="AW320" s="91"/>
      <c r="AX320" s="87"/>
      <c r="AY320" s="91"/>
      <c r="AZ320" s="87"/>
      <c r="BA320" s="91"/>
      <c r="BB320" s="87"/>
      <c r="BC320" s="91"/>
      <c r="BD320" s="87"/>
      <c r="BE320" s="91"/>
      <c r="BF320" s="87"/>
      <c r="BG320" s="91"/>
      <c r="BH320" s="87"/>
      <c r="BI320" s="91"/>
      <c r="BJ320" s="87"/>
      <c r="BK320" s="91"/>
      <c r="BL320" s="87"/>
      <c r="BM320" s="91"/>
      <c r="BN320" s="87"/>
      <c r="BO320" s="91"/>
      <c r="BP320" s="87"/>
      <c r="BQ320" s="91"/>
      <c r="BR320" s="87"/>
      <c r="BS320" s="91"/>
      <c r="BT320" s="87"/>
      <c r="BU320" s="91"/>
      <c r="BV320" s="87"/>
      <c r="BW320" s="91"/>
      <c r="BX320" s="72"/>
      <c r="BY320" s="91"/>
      <c r="BZ320" s="72"/>
      <c r="CA320" s="91"/>
      <c r="CB320" s="72"/>
      <c r="CC320" s="91"/>
      <c r="CD320" s="72"/>
      <c r="CE320" s="91"/>
      <c r="CF320" s="72"/>
      <c r="CG320" s="91"/>
      <c r="CH320" s="72"/>
      <c r="CI320" s="91"/>
      <c r="CJ320" s="72"/>
      <c r="CK320" s="91"/>
      <c r="CL320" s="72"/>
      <c r="CM320" s="91"/>
      <c r="CN320" s="72"/>
      <c r="CO320" s="91"/>
      <c r="CP320" s="72"/>
      <c r="CQ320" s="91"/>
      <c r="CR320" s="72"/>
      <c r="CS320" s="91"/>
      <c r="CT320" s="72"/>
      <c r="CU320" s="91">
        <f>CU316-CU319</f>
        <v>133</v>
      </c>
      <c r="CV320" s="72" t="str">
        <f>IF(ISERROR(CU320/CM320),"NA",IF(OR(CU320/CM320&gt;2,CU320/CM320&lt;0.5),"NM",CU320/CM320*100-100))</f>
        <v>NA</v>
      </c>
      <c r="CW320" s="91">
        <f>CW316-CW319</f>
        <v>37</v>
      </c>
      <c r="CX320" s="72" t="str">
        <f t="shared" si="1822"/>
        <v>NA</v>
      </c>
      <c r="CY320" s="91">
        <f>CY316-CY319</f>
        <v>126</v>
      </c>
      <c r="CZ320" s="72" t="str">
        <f t="shared" si="1822"/>
        <v>NA</v>
      </c>
      <c r="DA320" s="91">
        <f>DA316-DA319</f>
        <v>96</v>
      </c>
      <c r="DB320" s="72" t="str">
        <f t="shared" si="1822"/>
        <v>NA</v>
      </c>
      <c r="DC320" s="91">
        <f>DC316-DC319</f>
        <v>129</v>
      </c>
      <c r="DD320" s="72">
        <f t="shared" si="1822"/>
        <v>-3.0075187969924855</v>
      </c>
      <c r="DE320" s="91">
        <f>DE316-DE319</f>
        <v>150</v>
      </c>
      <c r="DF320" s="72" t="str">
        <f t="shared" si="1822"/>
        <v>NM</v>
      </c>
      <c r="DG320" s="91">
        <f>DG316-DG319</f>
        <v>126</v>
      </c>
      <c r="DH320" s="72">
        <f t="shared" si="1822"/>
        <v>0</v>
      </c>
      <c r="DI320" s="91">
        <f>DI316-DI319</f>
        <v>152</v>
      </c>
      <c r="DJ320" s="72">
        <f t="shared" si="1822"/>
        <v>58.333333333333314</v>
      </c>
      <c r="DK320" s="91">
        <f>DK316-DK319</f>
        <v>155</v>
      </c>
      <c r="DL320" s="72"/>
      <c r="DM320" s="91">
        <f>DM316-DM319</f>
        <v>167</v>
      </c>
      <c r="DN320" s="72">
        <f t="shared" si="1823"/>
        <v>11.333333333333329</v>
      </c>
      <c r="DO320" s="452">
        <f>DO316-DO319</f>
        <v>142</v>
      </c>
      <c r="DP320" s="532">
        <f t="shared" si="1823"/>
        <v>12.698412698412696</v>
      </c>
      <c r="DQ320" s="452">
        <f>DQ316-DQ319</f>
        <v>167</v>
      </c>
      <c r="DR320" s="532">
        <f t="shared" si="1823"/>
        <v>9.8684210526315752</v>
      </c>
      <c r="DS320" s="452">
        <f>DS316-DS319</f>
        <v>152</v>
      </c>
      <c r="DT320" s="532">
        <f t="shared" si="1823"/>
        <v>-1.9354838709677438</v>
      </c>
      <c r="DU320" s="452">
        <f>DU316-DU319</f>
        <v>172</v>
      </c>
      <c r="DV320" s="72">
        <f t="shared" si="1823"/>
        <v>2.9940119760479007</v>
      </c>
      <c r="DW320" s="91">
        <f>DW316-DW319</f>
        <v>158</v>
      </c>
      <c r="DX320" s="72">
        <f t="shared" si="1823"/>
        <v>11.26760563380283</v>
      </c>
      <c r="DY320" s="91">
        <f>DY316-DY319</f>
        <v>161</v>
      </c>
      <c r="DZ320" s="72">
        <f t="shared" si="1823"/>
        <v>-3.5928143712574752</v>
      </c>
      <c r="EA320" s="91">
        <f>EA316-EA319</f>
        <v>140</v>
      </c>
      <c r="EB320" s="72">
        <f>IF(ISERROR(EA320/DS320),"NA",IF(OR(EA320/DS320&gt;2,EA320/DS320&lt;0.5),"NM",EA320/DS320*100-100))</f>
        <v>-7.8947368421052602</v>
      </c>
      <c r="EC320" s="91">
        <f>EC316-EC319</f>
        <v>174</v>
      </c>
      <c r="ED320" s="72">
        <f>IF(ISERROR(EC320/DU320),"NA",IF(OR(EC320/DU320&gt;2,EC320/DU320&lt;0.5),"NM",EC320/DU320*100-100))</f>
        <v>1.1627906976744242</v>
      </c>
      <c r="EE320" s="91">
        <f>EE316-EE319</f>
        <v>175</v>
      </c>
      <c r="EF320" s="72">
        <f>IF(ISERROR(EE320/DW320),"NA",IF(OR(EE320/DW320&gt;2,EE320/DW320&lt;0.5),"NM",EE320/DW320*100-100))</f>
        <v>10.759493670886073</v>
      </c>
      <c r="EG320" s="91">
        <f>EG316-EG319</f>
        <v>202</v>
      </c>
      <c r="EH320" s="72">
        <f>IF(ISERROR(EG320/DY320),"NA",IF(OR(EG320/DY320&gt;2,EG320/DY320&lt;0.5),"NM",EG320/DY320*100-100))</f>
        <v>25.465838509316768</v>
      </c>
      <c r="EI320" s="91">
        <f>EI316-EI319</f>
        <v>167</v>
      </c>
      <c r="EJ320" s="72">
        <f>IF(ISERROR(EI320/EA320),"NA",IF(OR(EI320/EA320&gt;2,EI320/EA320&lt;0.5),"NM",EI320/EA320*100-100))</f>
        <v>19.285714285714278</v>
      </c>
      <c r="EK320" s="91">
        <f>EK316-EK319</f>
        <v>189</v>
      </c>
      <c r="EL320" s="72">
        <f>IF(ISERROR(EK320/EC320),"NA",IF(OR(EK320/EC320&gt;2,EK320/EC320&lt;0.5),"NM",EK320/EC320*100-100))</f>
        <v>8.6206896551724128</v>
      </c>
      <c r="EM320" s="91">
        <f>EM316-EM319</f>
        <v>230</v>
      </c>
      <c r="EN320" s="72">
        <f>IF(ISERROR(EM320/EE320),"NA",IF(OR(EM320/EE320&gt;2,EM320/EE320&lt;0.5),"NM",EM320/EE320*100-100))</f>
        <v>31.428571428571416</v>
      </c>
      <c r="EO320" s="91">
        <f>EO316-EO319</f>
        <v>214</v>
      </c>
      <c r="EP320" s="72">
        <f>IF(ISERROR(EO320/EG320),"NA",IF(OR(EO320/EG320&gt;2,EO320/EG320&lt;0.5),"NM",EO320/EG320*100-100))</f>
        <v>5.940594059405953</v>
      </c>
      <c r="EQ320" s="91">
        <f t="shared" ref="EQ320" si="1832">EQ316-EQ319</f>
        <v>218.7617701489836</v>
      </c>
      <c r="ER320" s="72">
        <f t="shared" si="1824"/>
        <v>30.995071945499149</v>
      </c>
      <c r="ES320" s="91">
        <f t="shared" ref="ES320" si="1833">ES316-ES319</f>
        <v>218.08063873696301</v>
      </c>
      <c r="ET320" s="72">
        <f t="shared" si="1826"/>
        <v>15.386581342308475</v>
      </c>
      <c r="EU320" s="91">
        <f t="shared" ref="EU320" si="1834">EU316-EU319</f>
        <v>221.77587255214337</v>
      </c>
      <c r="EV320" s="72">
        <f t="shared" si="1828"/>
        <v>-3.5757075860246204</v>
      </c>
      <c r="EW320" s="91">
        <f t="shared" ref="EW320" si="1835">EW316-EW319</f>
        <v>221.08787798307571</v>
      </c>
      <c r="EX320" s="72">
        <f t="shared" si="1830"/>
        <v>3.3120925154559444</v>
      </c>
      <c r="EY320" s="72"/>
      <c r="EZ320" s="309"/>
      <c r="FA320" s="72"/>
      <c r="FB320" s="81"/>
      <c r="FC320" s="72"/>
      <c r="FD320" s="91"/>
      <c r="FE320" s="87"/>
      <c r="FF320" s="91"/>
      <c r="FG320" s="87"/>
      <c r="FH320" s="91"/>
      <c r="FI320" s="87"/>
      <c r="FJ320" s="91"/>
      <c r="FK320" s="87"/>
      <c r="FL320" s="91"/>
      <c r="FM320" s="87"/>
      <c r="FN320" s="91"/>
      <c r="FO320" s="87"/>
      <c r="FP320" s="91"/>
      <c r="FQ320" s="87"/>
      <c r="FR320" s="91"/>
      <c r="FS320" s="87"/>
      <c r="FT320" s="91"/>
      <c r="FU320" s="87"/>
      <c r="FV320" s="91"/>
      <c r="FW320" s="72"/>
      <c r="FX320" s="91"/>
      <c r="FY320" s="72"/>
      <c r="FZ320" s="91"/>
      <c r="GA320" s="72"/>
      <c r="GB320" s="91"/>
      <c r="GC320" s="72"/>
      <c r="GD320" s="91">
        <f>GD316-GD319</f>
        <v>392</v>
      </c>
      <c r="GE320" s="72" t="str">
        <f>IF(ISERROR(GD320/GB320),"NA",IF(OR(GD320/GB320&gt;2,GD320/GB320&lt;0.5),"NM",GD320/GB320*100-100))</f>
        <v>NA</v>
      </c>
      <c r="GF320" s="91">
        <f>GF316-GF319</f>
        <v>557</v>
      </c>
      <c r="GG320" s="72">
        <f>IF(ISERROR(GF320/GD320),"NA",IF(OR(GF320/GD320&gt;2,GF320/GD320&lt;0.5),"NM",GF320/GD320*100-100))</f>
        <v>42.091836734693885</v>
      </c>
      <c r="GH320" s="91">
        <f>GH316-GH319</f>
        <v>631</v>
      </c>
      <c r="GI320" s="72">
        <f t="shared" si="1831"/>
        <v>13.28545780969479</v>
      </c>
      <c r="GJ320" s="91">
        <f>GJ316-GJ319</f>
        <v>643</v>
      </c>
      <c r="GK320" s="72">
        <f t="shared" si="1831"/>
        <v>1.9017432646592596</v>
      </c>
      <c r="GL320" s="91">
        <f>GL316-GL319</f>
        <v>691</v>
      </c>
      <c r="GM320" s="72">
        <f t="shared" si="1831"/>
        <v>7.4650077760497737</v>
      </c>
      <c r="GN320" s="91">
        <f>GN316-GN319</f>
        <v>800</v>
      </c>
      <c r="GO320" s="72">
        <f t="shared" si="1831"/>
        <v>15.774240231548475</v>
      </c>
      <c r="GP320" s="91">
        <f>GP316-GP319</f>
        <v>879.70615942116592</v>
      </c>
      <c r="GQ320" s="72">
        <f t="shared" si="1831"/>
        <v>9.9632699276457402</v>
      </c>
      <c r="GR320" s="91">
        <f>GR316-GR319</f>
        <v>928.04972747591455</v>
      </c>
      <c r="GS320" s="72">
        <f t="shared" si="1831"/>
        <v>5.4954222540124107</v>
      </c>
      <c r="GT320" s="91">
        <f>GT316-GT319</f>
        <v>967.98122566024927</v>
      </c>
      <c r="GU320" s="72">
        <f t="shared" si="1831"/>
        <v>4.3027326017259071</v>
      </c>
      <c r="GV320" s="91">
        <f>GV316-GV319</f>
        <v>1007.1793113049616</v>
      </c>
      <c r="GW320" s="72">
        <f>IF(ISERROR(GV320/GT320),"NA",IF(OR(GV320/GT320&gt;2,GV320/GT320&lt;0.5),"NM",GV320/GT320*100-100))</f>
        <v>4.0494675522219694</v>
      </c>
      <c r="GX320" s="91">
        <f>GX316-GX319</f>
        <v>1032.8046991965437</v>
      </c>
      <c r="GY320" s="72">
        <f>IF(ISERROR(GX320/GV320),"NA",IF(OR(GX320/GV320&gt;2,GX320/GV320&lt;0.5),"NM",GX320/GV320*100-100))</f>
        <v>2.54427266366109</v>
      </c>
      <c r="GZ320" s="72">
        <f>IF(ISERROR(((GX320/GN320)^0.2-1)*100),"NA",IF((((GX320/GN320)^0.2-1)*100)&gt;100,"NM",IF((((GX320/GN320)^0.2-1)*100)&lt;-50,"NM",((GX320/GN320)^0.2-1)*100)))</f>
        <v>5.2411641900956152</v>
      </c>
      <c r="HA320" s="72"/>
      <c r="HB320" s="72"/>
      <c r="HC320"/>
      <c r="HD320"/>
      <c r="HE320"/>
      <c r="HF320"/>
      <c r="HG320"/>
      <c r="HH320"/>
      <c r="HI320" s="2"/>
    </row>
    <row r="321" spans="1:217" s="3" customFormat="1" ht="12.75" customHeight="1" x14ac:dyDescent="0.2">
      <c r="B321" s="77" t="s">
        <v>325</v>
      </c>
      <c r="C321" s="75"/>
      <c r="D321" s="72"/>
      <c r="E321" s="75"/>
      <c r="F321" s="72"/>
      <c r="G321" s="75"/>
      <c r="H321" s="72"/>
      <c r="I321" s="75"/>
      <c r="J321" s="72"/>
      <c r="K321" s="75"/>
      <c r="L321" s="87"/>
      <c r="M321" s="75"/>
      <c r="N321" s="87"/>
      <c r="O321" s="75"/>
      <c r="P321" s="87"/>
      <c r="Q321" s="75"/>
      <c r="R321" s="87"/>
      <c r="S321" s="75"/>
      <c r="T321" s="87"/>
      <c r="U321" s="75"/>
      <c r="V321" s="87"/>
      <c r="W321" s="75"/>
      <c r="X321" s="87"/>
      <c r="Y321" s="75"/>
      <c r="Z321" s="87"/>
      <c r="AA321" s="75"/>
      <c r="AB321" s="87"/>
      <c r="AC321" s="75"/>
      <c r="AD321" s="87"/>
      <c r="AE321" s="75"/>
      <c r="AF321" s="87"/>
      <c r="AG321" s="75"/>
      <c r="AH321" s="87"/>
      <c r="AI321" s="75"/>
      <c r="AJ321" s="87"/>
      <c r="AK321" s="75"/>
      <c r="AL321" s="87"/>
      <c r="AM321" s="75"/>
      <c r="AN321" s="87"/>
      <c r="AO321" s="75"/>
      <c r="AP321" s="87"/>
      <c r="AQ321" s="75"/>
      <c r="AR321" s="87"/>
      <c r="AS321" s="75"/>
      <c r="AT321" s="87"/>
      <c r="AU321" s="75"/>
      <c r="AV321" s="87"/>
      <c r="AW321" s="75"/>
      <c r="AX321" s="87"/>
      <c r="AY321" s="75"/>
      <c r="AZ321" s="87"/>
      <c r="BA321" s="75"/>
      <c r="BB321" s="87"/>
      <c r="BC321" s="75"/>
      <c r="BD321" s="87"/>
      <c r="BE321" s="75"/>
      <c r="BF321" s="87"/>
      <c r="BG321" s="75"/>
      <c r="BH321" s="87"/>
      <c r="BI321" s="75"/>
      <c r="BJ321" s="87"/>
      <c r="BK321" s="75"/>
      <c r="BL321" s="87"/>
      <c r="BM321" s="75"/>
      <c r="BN321" s="87"/>
      <c r="BO321" s="75"/>
      <c r="BP321" s="87"/>
      <c r="BQ321" s="75"/>
      <c r="BR321" s="87"/>
      <c r="BS321" s="75"/>
      <c r="BT321" s="87"/>
      <c r="BU321" s="75"/>
      <c r="BV321" s="87"/>
      <c r="BW321" s="75"/>
      <c r="BX321" s="72"/>
      <c r="BY321" s="75"/>
      <c r="BZ321" s="72"/>
      <c r="CA321" s="75"/>
      <c r="CB321" s="72"/>
      <c r="CC321" s="75"/>
      <c r="CD321" s="72"/>
      <c r="CE321" s="75"/>
      <c r="CF321" s="72"/>
      <c r="CG321" s="75"/>
      <c r="CH321" s="72"/>
      <c r="CI321" s="75"/>
      <c r="CJ321" s="72"/>
      <c r="CK321" s="75"/>
      <c r="CL321" s="72"/>
      <c r="CM321" s="75"/>
      <c r="CN321" s="72"/>
      <c r="CO321" s="75"/>
      <c r="CP321" s="72"/>
      <c r="CQ321" s="75"/>
      <c r="CR321" s="72"/>
      <c r="CS321" s="75"/>
      <c r="CT321" s="72"/>
      <c r="CU321" s="81">
        <f>CU320/CU298*400</f>
        <v>132.61872117661719</v>
      </c>
      <c r="CV321" s="72"/>
      <c r="CW321" s="81">
        <f>CW320/CW298*400</f>
        <v>35.572647518327116</v>
      </c>
      <c r="CX321" s="72"/>
      <c r="CY321" s="81">
        <f>CY320/CY298*400</f>
        <v>117.49621167968294</v>
      </c>
      <c r="CZ321" s="72"/>
      <c r="DA321" s="81">
        <f>DA320/DA298*400</f>
        <v>86.350348549583984</v>
      </c>
      <c r="DB321" s="72"/>
      <c r="DC321" s="81">
        <f>DC320/DC298*400</f>
        <v>112.24711768544699</v>
      </c>
      <c r="DD321" s="72"/>
      <c r="DE321" s="81">
        <f>DE320/DE298*400</f>
        <v>127.86361214704311</v>
      </c>
      <c r="DF321" s="72"/>
      <c r="DG321" s="81">
        <f>DG320/DG298*400</f>
        <v>104.90165469871995</v>
      </c>
      <c r="DH321" s="72"/>
      <c r="DI321" s="81">
        <f>DI320/DI298*400</f>
        <v>121.38151327610301</v>
      </c>
      <c r="DJ321" s="72"/>
      <c r="DK321" s="81">
        <f>DK320/DK298*400</f>
        <v>119.51807228915661</v>
      </c>
      <c r="DL321" s="72"/>
      <c r="DM321" s="81">
        <f>DM320/DM298*400</f>
        <v>124.60361872784924</v>
      </c>
      <c r="DN321" s="72">
        <f t="shared" si="1823"/>
        <v>-2.5495865199278853</v>
      </c>
      <c r="DO321" s="456">
        <f>DO320/DO298*400</f>
        <v>104.14374770810413</v>
      </c>
      <c r="DP321" s="532">
        <f t="shared" si="1823"/>
        <v>-0.72249288420907476</v>
      </c>
      <c r="DQ321" s="456">
        <f>DQ320/DQ298*400</f>
        <v>121.47663211492996</v>
      </c>
      <c r="DR321" s="532">
        <f t="shared" si="1823"/>
        <v>7.8363530211220223E-2</v>
      </c>
      <c r="DS321" s="456">
        <f>DS320/DS298*400</f>
        <v>107.0988197991897</v>
      </c>
      <c r="DT321" s="532">
        <f t="shared" si="1823"/>
        <v>-10.391108434145707</v>
      </c>
      <c r="DU321" s="456">
        <f>DU320/DU298*400</f>
        <v>118.71279440945557</v>
      </c>
      <c r="DV321" s="72">
        <f t="shared" si="1823"/>
        <v>-4.727651073489298</v>
      </c>
      <c r="DW321" s="81">
        <f>DW320/DW298*400</f>
        <v>109.9512874043145</v>
      </c>
      <c r="DX321" s="72">
        <f t="shared" si="1823"/>
        <v>5.5764650533681959</v>
      </c>
      <c r="DY321" s="81">
        <f>DY320/DY298*400</f>
        <v>111.39941186645908</v>
      </c>
      <c r="DZ321" s="72">
        <f t="shared" si="1823"/>
        <v>-8.2956039141229638</v>
      </c>
      <c r="EA321" s="81">
        <f>EA320/EA298*400</f>
        <v>94.228504122497029</v>
      </c>
      <c r="EB321" s="72">
        <f>IF(ISERROR(EA321/DS321),"NA",IF(OR(EA321/DS321&gt;2,EA321/DS321&lt;0.5),"NM",EA321/DS321*100-100))</f>
        <v>-12.017233897464521</v>
      </c>
      <c r="EC321" s="81">
        <f>EC320/EC298*400</f>
        <v>113.8091734118224</v>
      </c>
      <c r="ED321" s="72">
        <f>IF(ISERROR(EC321/DU321),"NA",IF(OR(EC321/DU321&gt;2,EC321/DU321&lt;0.5),"NM",EC321/DU321*100-100))</f>
        <v>-4.1306592284568353</v>
      </c>
      <c r="EE321" s="81">
        <f>EE320/EE298*400</f>
        <v>109.73506819250665</v>
      </c>
      <c r="EF321" s="72">
        <f>IF(ISERROR(EE321/DW321),"NA",IF(OR(EE321/DW321&gt;2,EE321/DW321&lt;0.5),"NM",EE321/DW321*100-100))</f>
        <v>-0.19665000466322624</v>
      </c>
      <c r="EG321" s="81">
        <f>EG320/EG298*400</f>
        <v>124.72985489348561</v>
      </c>
      <c r="EH321" s="72">
        <f>IF(ISERROR(EG321/DY321),"NA",IF(OR(EG321/DY321&gt;2,EG321/DY321&lt;0.5),"NM",EG321/DY321*100-100))</f>
        <v>11.966349555782656</v>
      </c>
      <c r="EI321" s="81">
        <f>EI320/EI298*400</f>
        <v>102.49328730341385</v>
      </c>
      <c r="EJ321" s="72">
        <f>IF(ISERROR(EI321/EA321),"NA",IF(OR(EI321/EA321&gt;2,EI321/EA321&lt;0.5),"NM",EI321/EA321*100-100))</f>
        <v>8.7710011507479777</v>
      </c>
      <c r="EK321" s="81">
        <f>EK320/EK298*400</f>
        <v>111.57024793388426</v>
      </c>
      <c r="EL321" s="72">
        <f>IF(ISERROR(EK321/EC321),"NA",IF(OR(EK321/EC321&gt;2,EK321/EC321&lt;0.5),"NM",EK321/EC321*100-100))</f>
        <v>-1.9672627529210729</v>
      </c>
      <c r="EM321" s="81">
        <f>EM320/EM298*400</f>
        <v>130.44094711470291</v>
      </c>
      <c r="EN321" s="72">
        <f>IF(ISERROR(EM321/EE321),"NA",IF(OR(EM321/EE321&gt;2,EM321/EE321&lt;0.5),"NM",EM321/EE321*100-100))</f>
        <v>18.868971663527148</v>
      </c>
      <c r="EO321" s="81">
        <f>EO320/EO298*400</f>
        <v>117.80086699236216</v>
      </c>
      <c r="EP321" s="72">
        <f>IF(ISERROR(EO321/EG321),"NA",IF(OR(EO321/EG321&gt;2,EO321/EG321&lt;0.5),"NM",EO321/EG321*100-100))</f>
        <v>-5.5551959930046735</v>
      </c>
      <c r="EQ321" s="81">
        <f t="shared" ref="EQ321" si="1836">EQ320/EQ298*400</f>
        <v>118.95390584266808</v>
      </c>
      <c r="ER321" s="72">
        <f t="shared" si="1824"/>
        <v>16.060191815806803</v>
      </c>
      <c r="ES321" s="81">
        <f t="shared" ref="ES321" si="1837">ES320/ES298*400</f>
        <v>117.61665558070791</v>
      </c>
      <c r="ET321" s="72">
        <f t="shared" si="1826"/>
        <v>5.4193727797456432</v>
      </c>
      <c r="EU321" s="81">
        <f t="shared" ref="EU321" si="1838">EU320/EU298*400</f>
        <v>117.80995695729143</v>
      </c>
      <c r="EV321" s="72">
        <f t="shared" si="1828"/>
        <v>-9.6833014761112111</v>
      </c>
      <c r="EW321" s="81">
        <f t="shared" ref="EW321" si="1839">EW320/EW298*400</f>
        <v>115.60364238305625</v>
      </c>
      <c r="EX321" s="72">
        <f t="shared" si="1830"/>
        <v>-1.8652024092898785</v>
      </c>
      <c r="EY321" s="72"/>
      <c r="EZ321" s="309"/>
      <c r="FA321" s="72"/>
      <c r="FB321" s="81"/>
      <c r="FC321" s="72"/>
      <c r="FD321" s="75"/>
      <c r="FE321" s="87"/>
      <c r="FF321" s="75"/>
      <c r="FG321" s="87"/>
      <c r="FH321" s="75"/>
      <c r="FI321" s="87"/>
      <c r="FJ321" s="75"/>
      <c r="FK321" s="87"/>
      <c r="FL321" s="75"/>
      <c r="FM321" s="87"/>
      <c r="FN321" s="75"/>
      <c r="FO321" s="87"/>
      <c r="FP321" s="75"/>
      <c r="FQ321" s="87"/>
      <c r="FR321" s="75"/>
      <c r="FS321" s="87"/>
      <c r="FT321" s="75"/>
      <c r="FU321" s="87"/>
      <c r="FV321" s="75"/>
      <c r="FW321" s="72"/>
      <c r="FX321" s="75"/>
      <c r="FY321" s="72"/>
      <c r="FZ321" s="75"/>
      <c r="GA321" s="72"/>
      <c r="GB321" s="75"/>
      <c r="GC321" s="72"/>
      <c r="GD321" s="81">
        <f>GD320/GD298*100</f>
        <v>92.946058091286304</v>
      </c>
      <c r="GE321" s="72"/>
      <c r="GF321" s="81">
        <f>GF320/GF298*100</f>
        <v>115.46434494195685</v>
      </c>
      <c r="GG321" s="72"/>
      <c r="GH321" s="81">
        <f>GH320/GH298*100</f>
        <v>118.10949929808139</v>
      </c>
      <c r="GI321" s="72">
        <f t="shared" si="1831"/>
        <v>2.2908841317674558</v>
      </c>
      <c r="GJ321" s="81">
        <f>GJ320/GJ298*100</f>
        <v>112.56017505470454</v>
      </c>
      <c r="GK321" s="72">
        <f t="shared" si="1831"/>
        <v>-4.69845717436462</v>
      </c>
      <c r="GL321" s="81">
        <f>GL320/GL298*100</f>
        <v>112.69673000081544</v>
      </c>
      <c r="GM321" s="72">
        <f t="shared" si="1831"/>
        <v>0.12131728299509348</v>
      </c>
      <c r="GN321" s="81">
        <f>GN320/GN298*100</f>
        <v>116.83096020445416</v>
      </c>
      <c r="GO321" s="72">
        <f t="shared" si="1831"/>
        <v>3.6684562219407866</v>
      </c>
      <c r="GP321" s="81">
        <f>GP320/GP298*100</f>
        <v>117.43362241663601</v>
      </c>
      <c r="GQ321" s="72">
        <f t="shared" si="1831"/>
        <v>0.51584118723940264</v>
      </c>
      <c r="GR321" s="81">
        <f>GR320/GR298*100</f>
        <v>117.34049088849041</v>
      </c>
      <c r="GS321" s="72">
        <f t="shared" si="1831"/>
        <v>-7.930567603133909E-2</v>
      </c>
      <c r="GT321" s="81">
        <f>GT320/GT298*100</f>
        <v>115.82118364065559</v>
      </c>
      <c r="GU321" s="72">
        <f t="shared" si="1831"/>
        <v>-1.2947851473355598</v>
      </c>
      <c r="GV321" s="81">
        <f>GV320/GV298*100</f>
        <v>114.27017223418143</v>
      </c>
      <c r="GW321" s="72">
        <f>IF(ISERROR(GV321/GT321),"NA",IF(OR(GV321/GT321&gt;2,GV321/GT321&lt;0.5),"NM",GV321/GT321*100-100))</f>
        <v>-1.339143115033508</v>
      </c>
      <c r="GX321" s="81">
        <f>GX320/GX298*100</f>
        <v>111.26189979880228</v>
      </c>
      <c r="GY321" s="72">
        <f>IF(ISERROR(GX321/GV321),"NA",IF(OR(GX321/GV321&gt;2,GX321/GV321&lt;0.5),"NM",GX321/GV321*100-100))</f>
        <v>-2.6325963955091396</v>
      </c>
      <c r="GZ321" s="72">
        <f>IF(ISERROR(((GX321/GN321)^0.2-1)*100),"NA",IF((((GX321/GN321)^0.2-1)*100)&gt;100,"NM",IF((((GX321/GN321)^0.2-1)*100)&lt;-50,"NM",((GX321/GN321)^0.2-1)*100)))</f>
        <v>-0.97206908008454773</v>
      </c>
      <c r="HA321" s="72"/>
      <c r="HB321" s="72"/>
      <c r="HC321"/>
      <c r="HD321"/>
      <c r="HE321"/>
      <c r="HF321"/>
      <c r="HG321"/>
      <c r="HH321"/>
      <c r="HI321" s="2"/>
    </row>
    <row r="322" spans="1:217" s="3" customFormat="1" ht="12.75" customHeight="1" x14ac:dyDescent="0.2">
      <c r="B322" s="77"/>
      <c r="C322" s="75"/>
      <c r="D322" s="72"/>
      <c r="E322" s="75"/>
      <c r="F322" s="72"/>
      <c r="G322" s="75"/>
      <c r="H322" s="72"/>
      <c r="I322" s="75"/>
      <c r="J322" s="72"/>
      <c r="K322" s="75"/>
      <c r="L322" s="72"/>
      <c r="M322" s="75"/>
      <c r="N322" s="72"/>
      <c r="O322" s="75"/>
      <c r="P322" s="72"/>
      <c r="Q322" s="75"/>
      <c r="R322" s="72"/>
      <c r="S322" s="75"/>
      <c r="T322" s="72"/>
      <c r="U322" s="75"/>
      <c r="V322" s="72"/>
      <c r="W322" s="75"/>
      <c r="X322" s="72"/>
      <c r="Y322" s="75"/>
      <c r="Z322" s="72"/>
      <c r="AA322" s="75"/>
      <c r="AB322" s="72"/>
      <c r="AC322" s="75"/>
      <c r="AD322" s="72"/>
      <c r="AE322" s="75"/>
      <c r="AF322" s="72"/>
      <c r="AG322" s="75"/>
      <c r="AH322" s="72"/>
      <c r="AI322" s="75"/>
      <c r="AJ322" s="72"/>
      <c r="AK322" s="75"/>
      <c r="AL322" s="72"/>
      <c r="AM322" s="75"/>
      <c r="AN322" s="72"/>
      <c r="AO322" s="75"/>
      <c r="AP322" s="72"/>
      <c r="AQ322" s="75"/>
      <c r="AR322" s="72"/>
      <c r="AS322" s="75"/>
      <c r="AT322" s="72"/>
      <c r="AU322" s="75"/>
      <c r="AV322" s="72"/>
      <c r="AW322" s="75"/>
      <c r="AX322" s="72"/>
      <c r="AY322" s="75"/>
      <c r="AZ322" s="72"/>
      <c r="BA322" s="75"/>
      <c r="BB322" s="72"/>
      <c r="BC322" s="75"/>
      <c r="BD322" s="72"/>
      <c r="BE322" s="75"/>
      <c r="BF322" s="72"/>
      <c r="BG322" s="75"/>
      <c r="BH322" s="72"/>
      <c r="BI322" s="75"/>
      <c r="BJ322" s="72"/>
      <c r="BK322" s="75"/>
      <c r="BL322" s="72"/>
      <c r="BM322" s="75"/>
      <c r="BN322" s="72"/>
      <c r="BO322" s="75"/>
      <c r="BP322" s="72"/>
      <c r="BQ322" s="75"/>
      <c r="BR322" s="72"/>
      <c r="BS322" s="75"/>
      <c r="BT322" s="72"/>
      <c r="BU322" s="75"/>
      <c r="BV322" s="72"/>
      <c r="BW322" s="75"/>
      <c r="BX322" s="72"/>
      <c r="BY322" s="75"/>
      <c r="BZ322" s="72"/>
      <c r="CA322" s="75"/>
      <c r="CB322" s="72"/>
      <c r="CC322" s="75"/>
      <c r="CD322" s="72"/>
      <c r="CE322" s="75"/>
      <c r="CF322" s="72"/>
      <c r="CG322" s="75"/>
      <c r="CH322" s="72"/>
      <c r="CI322" s="75"/>
      <c r="CJ322" s="72"/>
      <c r="CK322" s="75"/>
      <c r="CL322" s="72"/>
      <c r="CM322" s="75"/>
      <c r="CN322" s="75"/>
      <c r="CO322" s="75"/>
      <c r="CP322" s="75"/>
      <c r="CQ322" s="75"/>
      <c r="CR322" s="75"/>
      <c r="CS322" s="75"/>
      <c r="CT322" s="72"/>
      <c r="CU322" s="75"/>
      <c r="CV322" s="72"/>
      <c r="CW322" s="75"/>
      <c r="CX322" s="72"/>
      <c r="CY322" s="75"/>
      <c r="CZ322" s="72"/>
      <c r="DA322" s="75"/>
      <c r="DB322" s="72"/>
      <c r="DC322" s="75"/>
      <c r="DD322" s="72"/>
      <c r="DE322" s="75"/>
      <c r="DF322" s="72"/>
      <c r="DG322" s="75"/>
      <c r="DH322" s="72"/>
      <c r="DI322" s="75"/>
      <c r="DJ322" s="72"/>
      <c r="DK322" s="75"/>
      <c r="DL322" s="72"/>
      <c r="DM322" s="75"/>
      <c r="DN322" s="72"/>
      <c r="DO322" s="449"/>
      <c r="DP322" s="532"/>
      <c r="DQ322" s="449"/>
      <c r="DR322" s="532"/>
      <c r="DS322" s="449"/>
      <c r="DT322" s="532"/>
      <c r="DU322" s="449"/>
      <c r="DV322" s="72"/>
      <c r="DW322" s="75"/>
      <c r="DX322" s="72"/>
      <c r="DY322" s="75"/>
      <c r="DZ322" s="72"/>
      <c r="EA322" s="75"/>
      <c r="EB322" s="72"/>
      <c r="EC322" s="75"/>
      <c r="ED322" s="72"/>
      <c r="EE322" s="75"/>
      <c r="EF322" s="72"/>
      <c r="EG322" s="75"/>
      <c r="EH322" s="72"/>
      <c r="EI322" s="75"/>
      <c r="EJ322" s="72"/>
      <c r="EK322" s="75"/>
      <c r="EL322" s="72"/>
      <c r="EM322" s="75"/>
      <c r="EN322" s="72"/>
      <c r="EO322" s="75"/>
      <c r="EP322" s="72"/>
      <c r="EQ322" s="75"/>
      <c r="ER322" s="72"/>
      <c r="ES322" s="75"/>
      <c r="ET322" s="72"/>
      <c r="EU322" s="75"/>
      <c r="EV322" s="72"/>
      <c r="EW322" s="75"/>
      <c r="EX322" s="72"/>
      <c r="EY322" s="72"/>
      <c r="EZ322" s="309"/>
      <c r="FA322" s="72"/>
      <c r="FB322" s="81"/>
      <c r="FC322" s="72"/>
      <c r="FD322" s="81"/>
      <c r="FE322" s="72"/>
      <c r="FF322" s="81"/>
      <c r="FG322" s="72"/>
      <c r="FH322" s="81"/>
      <c r="FI322" s="72"/>
      <c r="FJ322" s="81"/>
      <c r="FK322" s="72"/>
      <c r="FL322" s="81"/>
      <c r="FM322" s="72"/>
      <c r="FN322" s="81"/>
      <c r="FO322" s="72"/>
      <c r="FP322" s="81"/>
      <c r="FQ322" s="72"/>
      <c r="FR322" s="75"/>
      <c r="FS322" s="72"/>
      <c r="FT322" s="75"/>
      <c r="FU322" s="72"/>
      <c r="FV322" s="75"/>
      <c r="FW322" s="72"/>
      <c r="FX322" s="75"/>
      <c r="FY322" s="72"/>
      <c r="FZ322" s="75"/>
      <c r="GA322" s="72"/>
      <c r="GB322" s="75"/>
      <c r="GC322" s="72"/>
      <c r="GD322" s="75"/>
      <c r="GE322" s="72"/>
      <c r="GF322" s="75"/>
      <c r="GG322" s="72"/>
      <c r="GH322" s="75"/>
      <c r="GI322" s="72"/>
      <c r="GJ322" s="75"/>
      <c r="GK322" s="72"/>
      <c r="GL322" s="75"/>
      <c r="GM322" s="72"/>
      <c r="GN322" s="75"/>
      <c r="GO322" s="72"/>
      <c r="GP322" s="75"/>
      <c r="GQ322" s="72"/>
      <c r="GR322" s="75"/>
      <c r="GS322" s="72"/>
      <c r="GT322" s="75"/>
      <c r="GU322" s="72"/>
      <c r="GV322" s="75"/>
      <c r="GW322" s="72"/>
      <c r="GX322" s="75"/>
      <c r="GY322" s="72"/>
      <c r="GZ322" s="72"/>
      <c r="HA322" s="72"/>
      <c r="HB322" s="72"/>
      <c r="HC322"/>
      <c r="HD322"/>
      <c r="HE322"/>
      <c r="HF322"/>
      <c r="HG322"/>
      <c r="HH322"/>
      <c r="HI322" s="2"/>
    </row>
    <row r="323" spans="1:217" s="3" customFormat="1" ht="12.75" customHeight="1" x14ac:dyDescent="0.2">
      <c r="B323" s="77" t="s">
        <v>537</v>
      </c>
      <c r="C323" s="74">
        <v>0</v>
      </c>
      <c r="D323" s="92"/>
      <c r="E323" s="74">
        <v>0</v>
      </c>
      <c r="F323" s="92"/>
      <c r="G323" s="74">
        <v>0</v>
      </c>
      <c r="H323" s="92"/>
      <c r="I323" s="74">
        <v>0</v>
      </c>
      <c r="J323" s="92"/>
      <c r="K323" s="74">
        <v>0</v>
      </c>
      <c r="L323" s="87" t="str">
        <f>IF(ISERROR(K323/C323),"NA",IF(OR(K323/C323&gt;2,K323/C323&lt;0.5),"NM",K323/C323*100-100))</f>
        <v>NA</v>
      </c>
      <c r="M323" s="74">
        <v>0</v>
      </c>
      <c r="N323" s="87" t="str">
        <f>IF(ISERROR(M323/E323),"NA",IF(OR(M323/E323&gt;2,M323/E323&lt;0.5),"NM",M323/E323*100-100))</f>
        <v>NA</v>
      </c>
      <c r="O323" s="74">
        <v>0</v>
      </c>
      <c r="P323" s="87" t="str">
        <f>IF(ISERROR(O323/G323),"NA",IF(OR(O323/G323&gt;2,O323/G323&lt;0.5),"NM",O323/G323*100-100))</f>
        <v>NA</v>
      </c>
      <c r="Q323" s="74">
        <v>0</v>
      </c>
      <c r="R323" s="87" t="str">
        <f>IF(ISERROR(Q323/I323),"NA",IF(OR(Q323/I323&gt;2,Q323/I323&lt;0.5),"NM",Q323/I323*100-100))</f>
        <v>NA</v>
      </c>
      <c r="S323" s="74">
        <v>0</v>
      </c>
      <c r="T323" s="87" t="str">
        <f>IF(ISERROR(S323/K323),"NA",IF(OR(S323/K323&gt;2,S323/K323&lt;0.5),"NM",S323/K323*100-100))</f>
        <v>NA</v>
      </c>
      <c r="U323" s="74">
        <v>0</v>
      </c>
      <c r="V323" s="87" t="str">
        <f>IF(ISERROR(U323/M323),"NA",IF(OR(U323/M323&gt;2,U323/M323&lt;0.5),"NM",U323/M323*100-100))</f>
        <v>NA</v>
      </c>
      <c r="W323" s="74">
        <v>0</v>
      </c>
      <c r="X323" s="87" t="str">
        <f>IF(ISERROR(W323/O323),"NA",IF(OR(W323/O323&gt;2,W323/O323&lt;0.5),"NM",W323/O323*100-100))</f>
        <v>NA</v>
      </c>
      <c r="Y323" s="74">
        <v>0</v>
      </c>
      <c r="Z323" s="87" t="str">
        <f>IF(ISERROR(Y323/Q323),"NA",IF(OR(Y323/Q323&gt;2,Y323/Q323&lt;0.5),"NM",Y323/Q323*100-100))</f>
        <v>NA</v>
      </c>
      <c r="AA323" s="74">
        <v>0</v>
      </c>
      <c r="AB323" s="87" t="str">
        <f>IF(ISERROR(AA323/S323),"NA",IF(OR(AA323/S323&gt;2,AA323/S323&lt;0.5),"NM",AA323/S323*100-100))</f>
        <v>NA</v>
      </c>
      <c r="AC323" s="74">
        <v>0</v>
      </c>
      <c r="AD323" s="87" t="str">
        <f>IF(ISERROR(AC323/U323),"NA",IF(OR(AC323/U323&gt;2,AC323/U323&lt;0.5),"NM",AC323/U323*100-100))</f>
        <v>NA</v>
      </c>
      <c r="AE323" s="74">
        <v>0</v>
      </c>
      <c r="AF323" s="87" t="str">
        <f>IF(ISERROR(AE323/W323),"NA",IF(OR(AE323/W323&gt;2,AE323/W323&lt;0.5),"NM",AE323/W323*100-100))</f>
        <v>NA</v>
      </c>
      <c r="AG323" s="74">
        <v>0</v>
      </c>
      <c r="AH323" s="87" t="str">
        <f>IF(ISERROR(AG323/Y323),"NA",IF(OR(AG323/Y323&gt;2,AG323/Y323&lt;0.5),"NM",AG323/Y323*100-100))</f>
        <v>NA</v>
      </c>
      <c r="AI323" s="74">
        <v>0</v>
      </c>
      <c r="AJ323" s="87" t="str">
        <f>IF(ISERROR(AI323/AA323),"NA",IF(OR(AI323/AA323&gt;2,AI323/AA323&lt;0.5),"NM",AI323/AA323*100-100))</f>
        <v>NA</v>
      </c>
      <c r="AK323" s="74">
        <v>0</v>
      </c>
      <c r="AL323" s="87" t="str">
        <f>IF(ISERROR(AK323/AC323),"NA",IF(OR(AK323/AC323&gt;2,AK323/AC323&lt;0.5),"NM",AK323/AC323*100-100))</f>
        <v>NA</v>
      </c>
      <c r="AM323" s="74">
        <v>0</v>
      </c>
      <c r="AN323" s="87" t="str">
        <f>IF(ISERROR(AM323/AE323),"NA",IF(OR(AM323/AE323&gt;2,AM323/AE323&lt;0.5),"NM",AM323/AE323*100-100))</f>
        <v>NA</v>
      </c>
      <c r="AO323" s="74">
        <v>20</v>
      </c>
      <c r="AP323" s="87" t="str">
        <f>IF(ISERROR(AO323/AG323),"NA",IF(OR(AO323/AG323&gt;2,AO323/AG323&lt;0.5),"NM",AO323/AG323*100-100))</f>
        <v>NA</v>
      </c>
      <c r="AQ323" s="74">
        <v>35</v>
      </c>
      <c r="AR323" s="87" t="str">
        <f>IF(ISERROR(AQ323/AI323),"NA",IF(OR(AQ323/AI323&gt;2,AQ323/AI323&lt;0.5),"NM",AQ323/AI323*100-100))</f>
        <v>NA</v>
      </c>
      <c r="AS323" s="74">
        <v>23</v>
      </c>
      <c r="AT323" s="87" t="str">
        <f>IF(ISERROR(AS323/AK323),"NA",IF(OR(AS323/AK323&gt;2,AS323/AK323&lt;0.5),"NM",AS323/AK323*100-100))</f>
        <v>NA</v>
      </c>
      <c r="AU323" s="74">
        <v>19</v>
      </c>
      <c r="AV323" s="87" t="str">
        <f>IF(ISERROR(AU323/AM323),"NA",IF(OR(AU323/AM323&gt;2,AU323/AM323&lt;0.5),"NM",AU323/AM323*100-100))</f>
        <v>NA</v>
      </c>
      <c r="AW323" s="74">
        <v>0</v>
      </c>
      <c r="AX323" s="87" t="str">
        <f>IF(ISERROR(AW323/AO323),"NA",IF(OR(AW323/AO323&gt;2,AW323/AO323&lt;0.5),"NM",AW323/AO323*100-100))</f>
        <v>NM</v>
      </c>
      <c r="AY323" s="74">
        <v>0</v>
      </c>
      <c r="AZ323" s="87" t="str">
        <f>IF(ISERROR(AY323/AQ323),"NA",IF(OR(AY323/AQ323&gt;2,AY323/AQ323&lt;0.5),"NM",AY323/AQ323*100-100))</f>
        <v>NM</v>
      </c>
      <c r="BA323" s="74">
        <v>23</v>
      </c>
      <c r="BB323" s="87">
        <f>IF(ISERROR(BA323/AS323),"NA",IF(OR(BA323/AS323&gt;2,BA323/AS323&lt;0.5),"NM",BA323/AS323*100-100))</f>
        <v>0</v>
      </c>
      <c r="BC323" s="74">
        <v>0</v>
      </c>
      <c r="BD323" s="87" t="str">
        <f>IF(ISERROR(BC323/AU323),"NA",IF(OR(BC323/AU323&gt;2,BC323/AU323&lt;0.5),"NM",BC323/AU323*100-100))</f>
        <v>NM</v>
      </c>
      <c r="BE323" s="74">
        <v>44</v>
      </c>
      <c r="BF323" s="87" t="str">
        <f>IF(ISERROR(BE323/AW323),"NA",IF(OR(BE323/AW323&gt;2,BE323/AW323&lt;0.5),"NM",BE323/AW323*100-100))</f>
        <v>NA</v>
      </c>
      <c r="BG323" s="74">
        <v>20</v>
      </c>
      <c r="BH323" s="87" t="str">
        <f>IF(ISERROR(BG323/AY323),"NA",IF(OR(BG323/AY323&gt;2,BG323/AY323&lt;0.5),"NM",BG323/AY323*100-100))</f>
        <v>NA</v>
      </c>
      <c r="BI323" s="74">
        <v>14</v>
      </c>
      <c r="BJ323" s="87">
        <f>IF(ISERROR(BI323/BA323),"NA",IF(OR(BI323/BA323&gt;2,BI323/BA323&lt;0.5),"NM",BI323/BA323*100-100))</f>
        <v>-39.130434782608688</v>
      </c>
      <c r="BK323" s="74">
        <f>-42-11</f>
        <v>-53</v>
      </c>
      <c r="BL323" s="87" t="str">
        <f>IF(ISERROR(BK323/BC323),"NA",IF(OR(BK323/BC323&gt;2,BK323/BC323&lt;0.5),"NM",BK323/BC323*100-100))</f>
        <v>NA</v>
      </c>
      <c r="BM323" s="74">
        <v>-49</v>
      </c>
      <c r="BN323" s="87" t="str">
        <f>IF(ISERROR(BM323/BE323),"NA",IF(OR(BM323/BE323&gt;2,BM323/BE323&lt;0.5),"NM",BM323/BE323*100-100))</f>
        <v>NM</v>
      </c>
      <c r="BO323" s="74">
        <v>-30</v>
      </c>
      <c r="BP323" s="87" t="str">
        <f>IF(ISERROR(BO323/BG323),"NA",IF(OR(BO323/BG323&gt;2,BO323/BG323&lt;0.5),"NM",BO323/BG323*100-100))</f>
        <v>NM</v>
      </c>
      <c r="BQ323" s="74">
        <v>40</v>
      </c>
      <c r="BR323" s="87" t="str">
        <f>IF(ISERROR(BQ323/BI323),"NA",IF(OR(BQ323/BI323&gt;2,BQ323/BI323&lt;0.5),"NM",BQ323/BI323*100-100))</f>
        <v>NM</v>
      </c>
      <c r="BS323" s="74">
        <v>-110</v>
      </c>
      <c r="BT323" s="87" t="str">
        <f>IF(ISERROR(BS323/BK323),"NA",IF(OR(BS323/BK323&gt;2,BS323/BK323&lt;0.5),"NM",BS323/BK323*100-100))</f>
        <v>NM</v>
      </c>
      <c r="BU323" s="74">
        <v>-150</v>
      </c>
      <c r="BV323" s="87" t="str">
        <f>IF(ISERROR(BU323/BM323),"NA",IF(OR(BU323/BM323&gt;2,BU323/BM323&lt;0.5),"NM",BU323/BM323*100-100))</f>
        <v>NM</v>
      </c>
      <c r="BW323" s="74">
        <v>0</v>
      </c>
      <c r="BX323" s="72" t="str">
        <f>IF(ISERROR(BW323/BO323),"NA",IF(OR(BW323/BO323&gt;2,BW323/BO323&lt;0.5),"NM",BW323/BO323*100-100))</f>
        <v>NM</v>
      </c>
      <c r="BY323" s="74">
        <v>0</v>
      </c>
      <c r="BZ323" s="72" t="str">
        <f>IF(ISERROR(BY323/BQ323),"NA",IF(OR(BY323/BQ323&gt;2,BY323/BQ323&lt;0.5),"NM",BY323/BQ323*100-100))</f>
        <v>NM</v>
      </c>
      <c r="CA323" s="74">
        <v>0</v>
      </c>
      <c r="CB323" s="72" t="str">
        <f>IF(ISERROR(CA323/BS323),"NA",IF(OR(CA323/BS323&gt;2,CA323/BS323&lt;0.5),"NM",CA323/BS323*100-100))</f>
        <v>NM</v>
      </c>
      <c r="CC323" s="74">
        <v>0</v>
      </c>
      <c r="CD323" s="72" t="str">
        <f>IF(ISERROR(CC323/BU323),"NA",IF(OR(CC323/BU323&gt;2,CC323/BU323&lt;0.5),"NM",CC323/BU323*100-100))</f>
        <v>NM</v>
      </c>
      <c r="CE323" s="74">
        <v>0</v>
      </c>
      <c r="CF323" s="72" t="str">
        <f>IF(ISERROR(CE323/BW323),"NA",IF(OR(CE323/BW323&gt;2,CE323/BW323&lt;0.5),"NM",CE323/BW323*100-100))</f>
        <v>NA</v>
      </c>
      <c r="CG323" s="74">
        <v>0</v>
      </c>
      <c r="CH323" s="72" t="str">
        <f>IF(ISERROR(CG323/BY323),"NA",IF(OR(CG323/BY323&gt;2,CG323/BY323&lt;0.5),"NM",CG323/BY323*100-100))</f>
        <v>NA</v>
      </c>
      <c r="CI323" s="74">
        <v>0</v>
      </c>
      <c r="CJ323" s="72" t="str">
        <f>IF(ISERROR(CI323/CA323),"NA",IF(OR(CI323/CA323&gt;2,CI323/CA323&lt;0.5),"NM",CI323/CA323*100-100))</f>
        <v>NA</v>
      </c>
      <c r="CK323" s="74">
        <v>0</v>
      </c>
      <c r="CL323" s="72" t="str">
        <f>IF(ISERROR(CK323/CC323),"NA",IF(OR(CK323/CC323&gt;2,CK323/CC323&lt;0.5),"NM",CK323/CC323*100-100))</f>
        <v>NA</v>
      </c>
      <c r="CM323" s="74">
        <v>0</v>
      </c>
      <c r="CN323" s="72" t="str">
        <f>IF(ISERROR(CM323/CE323),"NA",IF(OR(CM323/CE323&gt;2,CM323/CE323&lt;0.5),"NM",CM323/CE323*100-100))</f>
        <v>NA</v>
      </c>
      <c r="CO323" s="74">
        <v>61</v>
      </c>
      <c r="CP323" s="72" t="str">
        <f>IF(ISERROR(CO323/CG323),"NA",IF(OR(CO323/CG323&gt;2,CO323/CG323&lt;0.5),"NM",CO323/CG323*100-100))</f>
        <v>NA</v>
      </c>
      <c r="CQ323" s="74">
        <v>0</v>
      </c>
      <c r="CR323" s="72" t="str">
        <f>IF(ISERROR(CQ323/CI323),"NA",IF(OR(CQ323/CI323&gt;2,CQ323/CI323&lt;0.5),"NM",CQ323/CI323*100-100))</f>
        <v>NA</v>
      </c>
      <c r="CS323" s="74">
        <v>96</v>
      </c>
      <c r="CT323" s="72" t="str">
        <f>IF(ISERROR(CS323/CK323),"NA",IF(OR(CS323/CK323&gt;2,CS323/CK323&lt;0.5),"NM",CS323/CK323*100-100))</f>
        <v>NA</v>
      </c>
      <c r="CU323" s="74">
        <v>0</v>
      </c>
      <c r="CV323" s="72" t="str">
        <f>IF(ISERROR(CU323/CM323),"NA",IF(OR(CU323/CM323&gt;2,CU323/CM323&lt;0.5),"NM",CU323/CM323*100-100))</f>
        <v>NA</v>
      </c>
      <c r="CW323" s="74">
        <v>-75</v>
      </c>
      <c r="CX323" s="72" t="str">
        <f>IF(ISERROR(CW323/CO323),"NA",IF(OR(CW323/CO323&gt;2,CW323/CO323&lt;0.5),"NM",CW323/CO323*100-100))</f>
        <v>NM</v>
      </c>
      <c r="CY323" s="74">
        <v>0</v>
      </c>
      <c r="CZ323" s="72" t="str">
        <f>IF(ISERROR(CY323/CQ323),"NA",IF(OR(CY323/CQ323&gt;2,CY323/CQ323&lt;0.5),"NM",CY323/CQ323*100-100))</f>
        <v>NA</v>
      </c>
      <c r="DA323" s="74">
        <f>-9-49+41</f>
        <v>-17</v>
      </c>
      <c r="DB323" s="72" t="str">
        <f>IF(ISERROR(DA323/CS323),"NA",IF(OR(DA323/CS323&gt;2,DA323/CS323&lt;0.5),"NM",DA323/CS323*100-100))</f>
        <v>NM</v>
      </c>
      <c r="DC323" s="74">
        <v>0</v>
      </c>
      <c r="DD323" s="72" t="str">
        <f>IF(ISERROR(DC323/CU323),"NA",IF(OR(DC323/CU323&gt;2,DC323/CU323&lt;0.5),"NM",DC323/CU323*100-100))</f>
        <v>NA</v>
      </c>
      <c r="DE323" s="74">
        <v>0</v>
      </c>
      <c r="DF323" s="72" t="str">
        <f>IF(ISERROR(DE323/CW323),"NA",IF(OR(DE323/CW323&gt;2,DE323/CW323&lt;0.5),"NM",DE323/CW323*100-100))</f>
        <v>NM</v>
      </c>
      <c r="DG323" s="74">
        <v>0</v>
      </c>
      <c r="DH323" s="72" t="str">
        <f>IF(ISERROR(DG323/CY323),"NA",IF(OR(DG323/CY323&gt;2,DG323/CY323&lt;0.5),"NM",DG323/CY323*100-100))</f>
        <v>NA</v>
      </c>
      <c r="DI323" s="74">
        <v>0</v>
      </c>
      <c r="DJ323" s="72" t="str">
        <f>IF(ISERROR(DI323/DA323),"NA",IF(OR(DI323/DA323&gt;2,DI323/DA323&lt;0.5),"NM",DI323/DA323*100-100))</f>
        <v>NM</v>
      </c>
      <c r="DK323" s="74">
        <v>0</v>
      </c>
      <c r="DL323" s="72" t="str">
        <f>IF(ISERROR(DK323/DC323),"NA",IF(OR(DK323/DC323&gt;2,DK323/DC323&lt;0.5),"NM",DK323/DC323*100-100))</f>
        <v>NA</v>
      </c>
      <c r="DM323" s="74">
        <v>0</v>
      </c>
      <c r="DN323" s="72" t="str">
        <f t="shared" ref="DN323:DZ327" si="1840">IF(ISERROR(DM323/DE323),"NA",IF(OR(DM323/DE323&gt;2,DM323/DE323&lt;0.5),"NM",DM323/DE323*100-100))</f>
        <v>NA</v>
      </c>
      <c r="DO323" s="723">
        <v>0</v>
      </c>
      <c r="DP323" s="532" t="str">
        <f t="shared" si="1840"/>
        <v>NA</v>
      </c>
      <c r="DQ323" s="723">
        <v>0</v>
      </c>
      <c r="DR323" s="532" t="str">
        <f t="shared" si="1840"/>
        <v>NA</v>
      </c>
      <c r="DS323" s="723">
        <v>0</v>
      </c>
      <c r="DT323" s="532" t="str">
        <f t="shared" si="1840"/>
        <v>NA</v>
      </c>
      <c r="DU323" s="723">
        <v>0</v>
      </c>
      <c r="DV323" s="72" t="str">
        <f t="shared" si="1840"/>
        <v>NA</v>
      </c>
      <c r="DW323" s="74">
        <v>0</v>
      </c>
      <c r="DX323" s="72" t="str">
        <f t="shared" si="1840"/>
        <v>NA</v>
      </c>
      <c r="DY323" s="74">
        <v>0</v>
      </c>
      <c r="DZ323" s="72" t="str">
        <f t="shared" si="1840"/>
        <v>NA</v>
      </c>
      <c r="EA323" s="74">
        <v>0</v>
      </c>
      <c r="EB323" s="72" t="str">
        <f>IF(ISERROR(EA323/DS323),"NA",IF(OR(EA323/DS323&gt;2,EA323/DS323&lt;0.5),"NM",EA323/DS323*100-100))</f>
        <v>NA</v>
      </c>
      <c r="EC323" s="74">
        <v>0</v>
      </c>
      <c r="ED323" s="72" t="str">
        <f>IF(ISERROR(EC323/DU323),"NA",IF(OR(EC323/DU323&gt;2,EC323/DU323&lt;0.5),"NM",EC323/DU323*100-100))</f>
        <v>NA</v>
      </c>
      <c r="EE323" s="74">
        <v>0</v>
      </c>
      <c r="EF323" s="72" t="str">
        <f>IF(ISERROR(EE323/DW323),"NA",IF(OR(EE323/DW323&gt;2,EE323/DW323&lt;0.5),"NM",EE323/DW323*100-100))</f>
        <v>NA</v>
      </c>
      <c r="EG323" s="74">
        <v>0</v>
      </c>
      <c r="EH323" s="72" t="str">
        <f>IF(ISERROR(EG323/DY323),"NA",IF(OR(EG323/DY323&gt;2,EG323/DY323&lt;0.5),"NM",EG323/DY323*100-100))</f>
        <v>NA</v>
      </c>
      <c r="EI323" s="74">
        <v>0</v>
      </c>
      <c r="EJ323" s="72" t="str">
        <f>IF(ISERROR(EI323/EA323),"NA",IF(OR(EI323/EA323&gt;2,EI323/EA323&lt;0.5),"NM",EI323/EA323*100-100))</f>
        <v>NA</v>
      </c>
      <c r="EK323" s="74">
        <v>0</v>
      </c>
      <c r="EL323" s="72" t="str">
        <f>IF(ISERROR(EK323/EC323),"NA",IF(OR(EK323/EC323&gt;2,EK323/EC323&lt;0.5),"NM",EK323/EC323*100-100))</f>
        <v>NA</v>
      </c>
      <c r="EM323" s="74">
        <v>0</v>
      </c>
      <c r="EN323" s="72" t="str">
        <f>IF(ISERROR(EM323/EE323),"NA",IF(OR(EM323/EE323&gt;2,EM323/EE323&lt;0.5),"NM",EM323/EE323*100-100))</f>
        <v>NA</v>
      </c>
      <c r="EO323" s="74">
        <v>0</v>
      </c>
      <c r="EP323" s="72" t="str">
        <f>IF(ISERROR(EO323/EG323),"NA",IF(OR(EO323/EG323&gt;2,EO323/EG323&lt;0.5),"NM",EO323/EG323*100-100))</f>
        <v>NA</v>
      </c>
      <c r="EQ323" s="74">
        <v>0</v>
      </c>
      <c r="ER323" s="72" t="str">
        <f t="shared" ref="ER323:ER327" si="1841">IF(ISERROR(EQ323/EI323),"NA",IF(OR(EQ323/EI323&gt;2,EQ323/EI323&lt;0.5),"NM",EQ323/EI323*100-100))</f>
        <v>NA</v>
      </c>
      <c r="ES323" s="74">
        <v>0</v>
      </c>
      <c r="ET323" s="72" t="str">
        <f t="shared" ref="ET323:ET327" si="1842">IF(ISERROR(ES323/EK323),"NA",IF(OR(ES323/EK323&gt;2,ES323/EK323&lt;0.5),"NM",ES323/EK323*100-100))</f>
        <v>NA</v>
      </c>
      <c r="EU323" s="74">
        <v>0</v>
      </c>
      <c r="EV323" s="72" t="str">
        <f t="shared" ref="EV323:EV327" si="1843">IF(ISERROR(EU323/EM323),"NA",IF(OR(EU323/EM323&gt;2,EU323/EM323&lt;0.5),"NM",EU323/EM323*100-100))</f>
        <v>NA</v>
      </c>
      <c r="EW323" s="74">
        <v>0</v>
      </c>
      <c r="EX323" s="72" t="str">
        <f t="shared" ref="EX323:EX327" si="1844">IF(ISERROR(EW323/EO323),"NA",IF(OR(EW323/EO323&gt;2,EW323/EO323&lt;0.5),"NM",EW323/EO323*100-100))</f>
        <v>NA</v>
      </c>
      <c r="EY323" s="72"/>
      <c r="EZ323" s="307"/>
      <c r="FA323" s="72"/>
      <c r="FB323" s="75">
        <v>0</v>
      </c>
      <c r="FC323" s="87"/>
      <c r="FD323" s="75">
        <v>0</v>
      </c>
      <c r="FE323" s="87" t="str">
        <f>IF(ISERROR(FD323/FB323),"NA",IF(OR(FD323/FB323&gt;2,FD323/FB323&lt;0.5),"NM",FD323/FB323*100-100))</f>
        <v>NA</v>
      </c>
      <c r="FF323" s="75">
        <v>0</v>
      </c>
      <c r="FG323" s="87" t="str">
        <f>IF(ISERROR(FF323/FD323),"NA",IF(OR(FF323/FD323&gt;2,FF323/FD323&lt;0.5),"NM",FF323/FD323*100-100))</f>
        <v>NA</v>
      </c>
      <c r="FH323" s="75">
        <v>0</v>
      </c>
      <c r="FI323" s="87" t="str">
        <f>IF(ISERROR(FH323/FF323),"NA",IF(OR(FH323/FF323&gt;2,FH323/FF323&lt;0.5),"NM",FH323/FF323*100-100))</f>
        <v>NA</v>
      </c>
      <c r="FJ323" s="75">
        <v>0</v>
      </c>
      <c r="FK323" s="87" t="str">
        <f>IF(ISERROR(FJ323/FH323),"NA",IF(OR(FJ323/FH323&gt;2,FJ323/FH323&lt;0.5),"NM",FJ323/FH323*100-100))</f>
        <v>NA</v>
      </c>
      <c r="FL323" s="75">
        <v>0</v>
      </c>
      <c r="FM323" s="87" t="str">
        <f>IF(ISERROR(FL323/FJ323),"NA",IF(OR(FL323/FJ323&gt;2,FL323/FJ323&lt;0.5),"NM",FL323/FJ323*100-100))</f>
        <v>NA</v>
      </c>
      <c r="FN323" s="75">
        <f>AI323+AK323+AM323+AO323</f>
        <v>20</v>
      </c>
      <c r="FO323" s="87" t="str">
        <f>IF(ISERROR(FN323/FF323),"NA",IF(OR(FN323/FF323&gt;2,FN323/FF323&lt;0.5),"NM",FN323/FF323*100-100))</f>
        <v>NA</v>
      </c>
      <c r="FP323" s="75">
        <f>AQ323+AS323+AU323+AW323</f>
        <v>77</v>
      </c>
      <c r="FQ323" s="87" t="str">
        <f>IF(ISERROR(FP323/FN323),"NA",IF(OR(FP323/FN323&gt;2,FP323/FN323&lt;0.5),"NM",FP323/FN323*100-100))</f>
        <v>NM</v>
      </c>
      <c r="FR323" s="75">
        <f>SUM(AY323,BA323,BC323,BE323)</f>
        <v>67</v>
      </c>
      <c r="FS323" s="87">
        <f>IF(ISERROR(FR323/FP323),"NA",IF(OR(FR323/FP323&gt;2,FR323/FP323&lt;0.5),"NM",FR323/FP323*100-100))</f>
        <v>-12.987012987012989</v>
      </c>
      <c r="FT323" s="75">
        <f>SUM(BG323,BI323,BK323,BM323)</f>
        <v>-68</v>
      </c>
      <c r="FU323" s="87" t="str">
        <f>IF(ISERROR(FT323/FR323),"NA",IF(OR(FT323/FR323&gt;2,FT323/FR323&lt;0.5),"NM",FT323/FR323*100-100))</f>
        <v>NM</v>
      </c>
      <c r="FV323" s="75">
        <f>BO323+BQ323+BS323+BU323</f>
        <v>-250</v>
      </c>
      <c r="FW323" s="72" t="str">
        <f>IF(ISERROR(FV323/FT323),"NA",IF(OR(FV323/FT323&gt;2,FV323/FT323&lt;0.5),"NM",FV323/FT323*100-100))</f>
        <v>NM</v>
      </c>
      <c r="FX323" s="75">
        <f>BW323+BY323+CA323+CC323</f>
        <v>0</v>
      </c>
      <c r="FY323" s="72" t="str">
        <f>IF(ISERROR(FX323/FV323),"NA",IF(OR(FX323/FV323&gt;2,FX323/FV323&lt;0.5),"NM",FX323/FV323*100-100))</f>
        <v>NM</v>
      </c>
      <c r="FZ323" s="75">
        <f>CE323+CG323+CI323+CK323</f>
        <v>0</v>
      </c>
      <c r="GA323" s="72" t="str">
        <f>IF(ISERROR(FZ323/FX323),"NA",IF(OR(FZ323/FX323&gt;2,FZ323/FX323&lt;0.5),"NM",FZ323/FX323*100-100))</f>
        <v>NA</v>
      </c>
      <c r="GB323" s="75">
        <f>CM323+CO323+CQ323+CS323</f>
        <v>157</v>
      </c>
      <c r="GC323" s="72" t="str">
        <f>IF(ISERROR(GB323/FZ323),"NA",IF(OR(GB323/FZ323&gt;2,GB323/FZ323&lt;0.5),"NM",GB323/FZ323*100-100))</f>
        <v>NA</v>
      </c>
      <c r="GD323" s="75">
        <f>CU323+CW323+CY323+DA323</f>
        <v>-92</v>
      </c>
      <c r="GE323" s="72" t="str">
        <f>IF(ISERROR(GD323/GB323),"NA",IF(OR(GD323/GB323&gt;2,GD323/GB323&lt;0.5),"NM",GD323/GB323*100-100))</f>
        <v>NM</v>
      </c>
      <c r="GF323" s="75">
        <f>DC323+DE323+DG323+DI323</f>
        <v>0</v>
      </c>
      <c r="GG323" s="72" t="str">
        <f>IF(ISERROR(GF323/GD323),"NA",IF(OR(GF323/GD323&gt;2,GF323/GD323&lt;0.5),"NM",GF323/GD323*100-100))</f>
        <v>NM</v>
      </c>
      <c r="GH323" s="75">
        <f>DK323+DM323+DO323+DQ323</f>
        <v>0</v>
      </c>
      <c r="GI323" s="72" t="str">
        <f t="shared" ref="GI323:GU326" si="1845">IF(ISERROR(GH323/GF323),"NA",IF(OR(GH323/GF323&gt;2,GH323/GF323&lt;0.5),"NM",GH323/GF323*100-100))</f>
        <v>NA</v>
      </c>
      <c r="GJ323" s="75">
        <f>DS323+DU323+DW323+DY323</f>
        <v>0</v>
      </c>
      <c r="GK323" s="72" t="str">
        <f t="shared" si="1845"/>
        <v>NA</v>
      </c>
      <c r="GL323" s="75">
        <f>EA323+EC323+EE323+EG323</f>
        <v>0</v>
      </c>
      <c r="GM323" s="72" t="str">
        <f t="shared" si="1845"/>
        <v>NA</v>
      </c>
      <c r="GN323" s="75">
        <f>EI323+EK323+EM323+EO323</f>
        <v>0</v>
      </c>
      <c r="GO323" s="72" t="str">
        <f t="shared" si="1845"/>
        <v>NA</v>
      </c>
      <c r="GP323" s="75">
        <f>EQ323+ES323+EU323+EW323</f>
        <v>0</v>
      </c>
      <c r="GQ323" s="72" t="str">
        <f t="shared" si="1845"/>
        <v>NA</v>
      </c>
      <c r="GR323" s="74">
        <v>0</v>
      </c>
      <c r="GS323" s="72" t="str">
        <f t="shared" si="1845"/>
        <v>NA</v>
      </c>
      <c r="GT323" s="74">
        <v>0</v>
      </c>
      <c r="GU323" s="72" t="str">
        <f t="shared" si="1845"/>
        <v>NA</v>
      </c>
      <c r="GV323" s="74">
        <v>0</v>
      </c>
      <c r="GW323" s="72" t="str">
        <f>IF(ISERROR(GV323/GT323),"NA",IF(OR(GV323/GT323&gt;2,GV323/GT323&lt;0.5),"NM",GV323/GT323*100-100))</f>
        <v>NA</v>
      </c>
      <c r="GX323" s="74">
        <v>0</v>
      </c>
      <c r="GY323" s="72" t="str">
        <f>IF(ISERROR(GX323/GV323),"NA",IF(OR(GX323/GV323&gt;2,GX323/GV323&lt;0.5),"NM",GX323/GV323*100-100))</f>
        <v>NA</v>
      </c>
      <c r="GZ323" s="72" t="str">
        <f>IF(ISERROR(((GX323/GN323)^0.2-1)*100),"NA",IF((((GX323/GN323)^0.2-1)*100)&gt;100,"NM",IF((((GX323/GN323)^0.2-1)*100)&lt;-50,"NM",((GX323/GN323)^0.2-1)*100)))</f>
        <v>NA</v>
      </c>
      <c r="HA323" s="72"/>
      <c r="HB323" s="72"/>
      <c r="HC323"/>
      <c r="HD323"/>
      <c r="HE323"/>
      <c r="HF323"/>
      <c r="HG323"/>
      <c r="HH323"/>
      <c r="HI323" s="2"/>
    </row>
    <row r="324" spans="1:217" s="78" customFormat="1" ht="12.75" customHeight="1" x14ac:dyDescent="0.2">
      <c r="B324" s="70" t="s">
        <v>539</v>
      </c>
      <c r="C324" s="91">
        <f>C316-C323</f>
        <v>0</v>
      </c>
      <c r="D324" s="80"/>
      <c r="E324" s="91">
        <f>E316-E323</f>
        <v>0</v>
      </c>
      <c r="F324" s="80"/>
      <c r="G324" s="91">
        <f>G316-G323</f>
        <v>0</v>
      </c>
      <c r="H324" s="80"/>
      <c r="I324" s="91">
        <f>I316-I323</f>
        <v>0</v>
      </c>
      <c r="J324" s="80"/>
      <c r="K324" s="91">
        <f>K316-K323</f>
        <v>67</v>
      </c>
      <c r="L324" s="87" t="str">
        <f>IF(ISERROR(K324/C324),"NA",IF(OR(K324/C324&gt;2,K324/C324&lt;0.5),"NM",K324/C324*100-100))</f>
        <v>NA</v>
      </c>
      <c r="M324" s="91">
        <f>M316-M323</f>
        <v>40</v>
      </c>
      <c r="N324" s="87" t="str">
        <f>IF(ISERROR(M324/E324),"NA",IF(OR(M324/E324&gt;2,M324/E324&lt;0.5),"NM",M324/E324*100-100))</f>
        <v>NA</v>
      </c>
      <c r="O324" s="91">
        <f>O316-O323</f>
        <v>51</v>
      </c>
      <c r="P324" s="87" t="str">
        <f>IF(ISERROR(O324/G324),"NA",IF(OR(O324/G324&gt;2,O324/G324&lt;0.5),"NM",O324/G324*100-100))</f>
        <v>NA</v>
      </c>
      <c r="Q324" s="91">
        <f>Q316-Q323</f>
        <v>38</v>
      </c>
      <c r="R324" s="87" t="str">
        <f>IF(ISERROR(Q324/I324),"NA",IF(OR(Q324/I324&gt;2,Q324/I324&lt;0.5),"NM",Q324/I324*100-100))</f>
        <v>NA</v>
      </c>
      <c r="S324" s="91">
        <f>S316-S323</f>
        <v>63</v>
      </c>
      <c r="T324" s="87">
        <f>IF(ISERROR(S324/K324),"NA",IF(OR(S324/K324&gt;2,S324/K324&lt;0.5),"NM",S324/K324*100-100))</f>
        <v>-5.9701492537313356</v>
      </c>
      <c r="U324" s="91">
        <f>U316-U323</f>
        <v>48</v>
      </c>
      <c r="V324" s="87">
        <f>IF(ISERROR(U324/M324),"NA",IF(OR(U324/M324&gt;2,U324/M324&lt;0.5),"NM",U324/M324*100-100))</f>
        <v>20</v>
      </c>
      <c r="W324" s="91">
        <f>W316-W323</f>
        <v>42</v>
      </c>
      <c r="X324" s="87">
        <f>IF(ISERROR(W324/O324),"NA",IF(OR(W324/O324&gt;2,W324/O324&lt;0.5),"NM",W324/O324*100-100))</f>
        <v>-17.64705882352942</v>
      </c>
      <c r="Y324" s="91">
        <f>Y316-Y323</f>
        <v>31</v>
      </c>
      <c r="Z324" s="87">
        <f>IF(ISERROR(Y324/Q324),"NA",IF(OR(Y324/Q324&gt;2,Y324/Q324&lt;0.5),"NM",Y324/Q324*100-100))</f>
        <v>-18.421052631578945</v>
      </c>
      <c r="AA324" s="91">
        <f>AA316-AA323</f>
        <v>45</v>
      </c>
      <c r="AB324" s="87">
        <f>IF(ISERROR(AA324/S324),"NA",IF(OR(AA324/S324&gt;2,AA324/S324&lt;0.5),"NM",AA324/S324*100-100))</f>
        <v>-28.571428571428569</v>
      </c>
      <c r="AC324" s="91">
        <f>AC316-AC323</f>
        <v>54</v>
      </c>
      <c r="AD324" s="87">
        <f>IF(ISERROR(AC324/U324),"NA",IF(OR(AC324/U324&gt;2,AC324/U324&lt;0.5),"NM",AC324/U324*100-100))</f>
        <v>12.5</v>
      </c>
      <c r="AE324" s="91">
        <f>AE316-AE323</f>
        <v>42</v>
      </c>
      <c r="AF324" s="87">
        <f>IF(ISERROR(AE324/W324),"NA",IF(OR(AE324/W324&gt;2,AE324/W324&lt;0.5),"NM",AE324/W324*100-100))</f>
        <v>0</v>
      </c>
      <c r="AG324" s="91">
        <f>AG316-AG323</f>
        <v>68</v>
      </c>
      <c r="AH324" s="87" t="str">
        <f>IF(ISERROR(AG324/Y324),"NA",IF(OR(AG324/Y324&gt;2,AG324/Y324&lt;0.5),"NM",AG324/Y324*100-100))</f>
        <v>NM</v>
      </c>
      <c r="AI324" s="91">
        <f>AI316-AI323</f>
        <v>58</v>
      </c>
      <c r="AJ324" s="87">
        <f>IF(ISERROR(AI324/AA324),"NA",IF(OR(AI324/AA324&gt;2,AI324/AA324&lt;0.5),"NM",AI324/AA324*100-100))</f>
        <v>28.888888888888886</v>
      </c>
      <c r="AK324" s="91">
        <f>AK316-AK323</f>
        <v>60</v>
      </c>
      <c r="AL324" s="87">
        <f>IF(ISERROR(AK324/AC324),"NA",IF(OR(AK324/AC324&gt;2,AK324/AC324&lt;0.5),"NM",AK324/AC324*100-100))</f>
        <v>11.111111111111114</v>
      </c>
      <c r="AM324" s="91">
        <f>AM316-AM323</f>
        <v>58</v>
      </c>
      <c r="AN324" s="87">
        <f>IF(ISERROR(AM324/AE324),"NA",IF(OR(AM324/AE324&gt;2,AM324/AE324&lt;0.5),"NM",AM324/AE324*100-100))</f>
        <v>38.095238095238102</v>
      </c>
      <c r="AO324" s="91">
        <f>AO316-AO323</f>
        <v>70</v>
      </c>
      <c r="AP324" s="87">
        <f>IF(ISERROR(AO324/AG324),"NA",IF(OR(AO324/AG324&gt;2,AO324/AG324&lt;0.5),"NM",AO324/AG324*100-100))</f>
        <v>2.941176470588232</v>
      </c>
      <c r="AQ324" s="91">
        <f>AQ316-AQ323</f>
        <v>99</v>
      </c>
      <c r="AR324" s="87">
        <f>IF(ISERROR(AQ324/AI324),"NA",IF(OR(AQ324/AI324&gt;2,AQ324/AI324&lt;0.5),"NM",AQ324/AI324*100-100))</f>
        <v>70.689655172413779</v>
      </c>
      <c r="AS324" s="91">
        <f>AS316-AS323</f>
        <v>82</v>
      </c>
      <c r="AT324" s="87">
        <f>IF(ISERROR(AS324/AK324),"NA",IF(OR(AS324/AK324&gt;2,AS324/AK324&lt;0.5),"NM",AS324/AK324*100-100))</f>
        <v>36.666666666666657</v>
      </c>
      <c r="AU324" s="91">
        <f>AU316-AU323</f>
        <v>97</v>
      </c>
      <c r="AV324" s="87">
        <f>IF(ISERROR(AU324/AM324),"NA",IF(OR(AU324/AM324&gt;2,AU324/AM324&lt;0.5),"NM",AU324/AM324*100-100))</f>
        <v>67.241379310344826</v>
      </c>
      <c r="AW324" s="91">
        <f>AW316-AW323</f>
        <v>109</v>
      </c>
      <c r="AX324" s="87">
        <f>IF(ISERROR(AW324/AO324),"NA",IF(OR(AW324/AO324&gt;2,AW324/AO324&lt;0.5),"NM",AW324/AO324*100-100))</f>
        <v>55.714285714285722</v>
      </c>
      <c r="AY324" s="91">
        <f>AY316-AY323</f>
        <v>154</v>
      </c>
      <c r="AZ324" s="87">
        <f>IF(ISERROR(AY324/AQ324),"NA",IF(OR(AY324/AQ324&gt;2,AY324/AQ324&lt;0.5),"NM",AY324/AQ324*100-100))</f>
        <v>55.555555555555571</v>
      </c>
      <c r="BA324" s="91">
        <f>BA316-BA323</f>
        <v>104</v>
      </c>
      <c r="BB324" s="87">
        <f>IF(ISERROR(BA324/AS324),"NA",IF(OR(BA324/AS324&gt;2,BA324/AS324&lt;0.5),"NM",BA324/AS324*100-100))</f>
        <v>26.829268292682926</v>
      </c>
      <c r="BC324" s="91">
        <f>BC316-BC323</f>
        <v>102</v>
      </c>
      <c r="BD324" s="87">
        <f>IF(ISERROR(BC324/AU324),"NA",IF(OR(BC324/AU324&gt;2,BC324/AU324&lt;0.5),"NM",BC324/AU324*100-100))</f>
        <v>5.1546391752577421</v>
      </c>
      <c r="BE324" s="91">
        <f>BE316-BE323</f>
        <v>123</v>
      </c>
      <c r="BF324" s="87">
        <f>IF(ISERROR(BE324/AW324),"NA",IF(OR(BE324/AW324&gt;2,BE324/AW324&lt;0.5),"NM",BE324/AW324*100-100))</f>
        <v>12.844036697247702</v>
      </c>
      <c r="BG324" s="91">
        <f>BG316-BG323</f>
        <v>155</v>
      </c>
      <c r="BH324" s="87">
        <f>IF(ISERROR(BG324/AY324),"NA",IF(OR(BG324/AY324&gt;2,BG324/AY324&lt;0.5),"NM",BG324/AY324*100-100))</f>
        <v>0.64935064935065157</v>
      </c>
      <c r="BI324" s="91">
        <f>BI316-BI323</f>
        <v>153</v>
      </c>
      <c r="BJ324" s="87">
        <f>IF(ISERROR(BI324/BA324),"NA",IF(OR(BI324/BA324&gt;2,BI324/BA324&lt;0.5),"NM",BI324/BA324*100-100))</f>
        <v>47.115384615384613</v>
      </c>
      <c r="BK324" s="91">
        <f>BK316-BK323</f>
        <v>214</v>
      </c>
      <c r="BL324" s="87" t="str">
        <f>IF(ISERROR(BK324/BC324),"NA",IF(OR(BK324/BC324&gt;2,BK324/BC324&lt;0.5),"NM",BK324/BC324*100-100))</f>
        <v>NM</v>
      </c>
      <c r="BM324" s="91">
        <f>BM316-BM323</f>
        <v>247</v>
      </c>
      <c r="BN324" s="87" t="str">
        <f>IF(ISERROR(BM324/BE324),"NA",IF(OR(BM324/BE324&gt;2,BM324/BE324&lt;0.5),"NM",BM324/BE324*100-100))</f>
        <v>NM</v>
      </c>
      <c r="BO324" s="91">
        <f>BO316-BO323</f>
        <v>149</v>
      </c>
      <c r="BP324" s="87">
        <f>IF(ISERROR(BO324/BG324),"NA",IF(OR(BO324/BG324&gt;2,BO324/BG324&lt;0.5),"NM",BO324/BG324*100-100))</f>
        <v>-3.8709677419354875</v>
      </c>
      <c r="BQ324" s="91">
        <f>BQ316-BQ323</f>
        <v>150</v>
      </c>
      <c r="BR324" s="87">
        <f>IF(ISERROR(BQ324/BI324),"NA",IF(OR(BQ324/BI324&gt;2,BQ324/BI324&lt;0.5),"NM",BQ324/BI324*100-100))</f>
        <v>-1.9607843137254974</v>
      </c>
      <c r="BS324" s="91">
        <f>BS316-BS323</f>
        <v>102</v>
      </c>
      <c r="BT324" s="87" t="str">
        <f>IF(ISERROR(BS324/BK324),"NA",IF(OR(BS324/BK324&gt;2,BS324/BK324&lt;0.5),"NM",BS324/BK324*100-100))</f>
        <v>NM</v>
      </c>
      <c r="BU324" s="91">
        <f>BU316-BU323</f>
        <v>81</v>
      </c>
      <c r="BV324" s="87" t="str">
        <f>IF(ISERROR(BU324/BM324),"NA",IF(OR(BU324/BM324&gt;2,BU324/BM324&lt;0.5),"NM",BU324/BM324*100-100))</f>
        <v>NM</v>
      </c>
      <c r="BW324" s="91">
        <f>BW316-BW323</f>
        <v>-1</v>
      </c>
      <c r="BX324" s="72" t="str">
        <f>IF(ISERROR(BW324/BO324),"NA",IF(OR(BW324/BO324&gt;2,BW324/BO324&lt;0.5),"NM",BW324/BO324*100-100))</f>
        <v>NM</v>
      </c>
      <c r="BY324" s="91">
        <f>BY316-BY323</f>
        <v>33</v>
      </c>
      <c r="BZ324" s="72" t="str">
        <f>IF(ISERROR(BY324/BQ324),"NA",IF(OR(BY324/BQ324&gt;2,BY324/BQ324&lt;0.5),"NM",BY324/BQ324*100-100))</f>
        <v>NM</v>
      </c>
      <c r="CA324" s="91">
        <f>CA316-CA323</f>
        <v>29</v>
      </c>
      <c r="CB324" s="72" t="str">
        <f>IF(ISERROR(CA324/BS324),"NA",IF(OR(CA324/BS324&gt;2,CA324/BS324&lt;0.5),"NM",CA324/BS324*100-100))</f>
        <v>NM</v>
      </c>
      <c r="CC324" s="91">
        <f>CC316-CC323</f>
        <v>-6</v>
      </c>
      <c r="CD324" s="72" t="str">
        <f>IF(ISERROR(CC324/BU324),"NA",IF(OR(CC324/BU324&gt;2,CC324/BU324&lt;0.5),"NM",CC324/BU324*100-100))</f>
        <v>NM</v>
      </c>
      <c r="CE324" s="91">
        <f>CE316-CE323</f>
        <v>83</v>
      </c>
      <c r="CF324" s="72" t="str">
        <f>IF(ISERROR(CE324/BW324),"NA",IF(OR(CE324/BW324&gt;2,CE324/BW324&lt;0.5),"NM",CE324/BW324*100-100))</f>
        <v>NM</v>
      </c>
      <c r="CG324" s="91">
        <f>CG316-CG323</f>
        <v>124</v>
      </c>
      <c r="CH324" s="72" t="str">
        <f>IF(ISERROR(CG324/BY324),"NA",IF(OR(CG324/BY324&gt;2,CG324/BY324&lt;0.5),"NM",CG324/BY324*100-100))</f>
        <v>NM</v>
      </c>
      <c r="CI324" s="91">
        <f>CI316-CI323</f>
        <v>148</v>
      </c>
      <c r="CJ324" s="72" t="str">
        <f>IF(ISERROR(CI324/CA324),"NA",IF(OR(CI324/CA324&gt;2,CI324/CA324&lt;0.5),"NM",CI324/CA324*100-100))</f>
        <v>NM</v>
      </c>
      <c r="CK324" s="91">
        <f>CK316-CK323</f>
        <v>132</v>
      </c>
      <c r="CL324" s="72" t="str">
        <f>IF(ISERROR(CK324/CC324),"NA",IF(OR(CK324/CC324&gt;2,CK324/CC324&lt;0.5),"NM",CK324/CC324*100-100))</f>
        <v>NM</v>
      </c>
      <c r="CM324" s="91">
        <f>CM316-CM323</f>
        <v>154</v>
      </c>
      <c r="CN324" s="72">
        <f>IF(ISERROR(CM324/CE324),"NA",IF(OR(CM324/CE324&gt;2,CM324/CE324&lt;0.5),"NM",CM324/CE324*100-100))</f>
        <v>85.542168674698786</v>
      </c>
      <c r="CO324" s="91">
        <f>CO316-CO323</f>
        <v>166</v>
      </c>
      <c r="CP324" s="72">
        <f>IF(ISERROR(CO324/CG324),"NA",IF(OR(CO324/CG324&gt;2,CO324/CG324&lt;0.5),"NM",CO324/CG324*100-100))</f>
        <v>33.870967741935488</v>
      </c>
      <c r="CQ324" s="91">
        <f>CQ316-CQ323</f>
        <v>123</v>
      </c>
      <c r="CR324" s="72">
        <f>IF(ISERROR(CQ324/CI324),"NA",IF(OR(CQ324/CI324&gt;2,CQ324/CI324&lt;0.5),"NM",CQ324/CI324*100-100))</f>
        <v>-16.891891891891902</v>
      </c>
      <c r="CS324" s="91">
        <f>CS316-CS323</f>
        <v>160</v>
      </c>
      <c r="CT324" s="72">
        <f>IF(ISERROR(CS324/CK324),"NA",IF(OR(CS324/CK324&gt;2,CS324/CK324&lt;0.5),"NM",CS324/CK324*100-100))</f>
        <v>21.212121212121218</v>
      </c>
      <c r="CU324" s="91">
        <f>CU316-CU323</f>
        <v>147</v>
      </c>
      <c r="CV324" s="72">
        <f>IF(ISERROR(CU324/CM324),"NA",IF(OR(CU324/CM324&gt;2,CU324/CM324&lt;0.5),"NM",CU324/CM324*100-100))</f>
        <v>-4.5454545454545467</v>
      </c>
      <c r="CW324" s="91">
        <f>CW316-CW323</f>
        <v>130</v>
      </c>
      <c r="CX324" s="72">
        <f>IF(ISERROR(CW324/CO324),"NA",IF(OR(CW324/CO324&gt;2,CW324/CO324&lt;0.5),"NM",CW324/CO324*100-100))</f>
        <v>-21.686746987951807</v>
      </c>
      <c r="CY324" s="91">
        <f>CY316-CY323</f>
        <v>197</v>
      </c>
      <c r="CZ324" s="72">
        <f>IF(ISERROR(CY324/CQ324),"NA",IF(OR(CY324/CQ324&gt;2,CY324/CQ324&lt;0.5),"NM",CY324/CQ324*100-100))</f>
        <v>60.162601626016254</v>
      </c>
      <c r="DA324" s="91">
        <f>DA316-DA323</f>
        <v>202</v>
      </c>
      <c r="DB324" s="72">
        <f>IF(ISERROR(DA324/CS324),"NA",IF(OR(DA324/CS324&gt;2,DA324/CS324&lt;0.5),"NM",DA324/CS324*100-100))</f>
        <v>26.25</v>
      </c>
      <c r="DC324" s="91">
        <f>DC316-DC323</f>
        <v>169</v>
      </c>
      <c r="DD324" s="72">
        <f>IF(ISERROR(DC324/CU324),"NA",IF(OR(DC324/CU324&gt;2,DC324/CU324&lt;0.5),"NM",DC324/CU324*100-100))</f>
        <v>14.965986394557817</v>
      </c>
      <c r="DE324" s="91">
        <f>DE316-DE323</f>
        <v>172</v>
      </c>
      <c r="DF324" s="72">
        <f>IF(ISERROR(DE324/CW324),"NA",IF(OR(DE324/CW324&gt;2,DE324/CW324&lt;0.5),"NM",DE324/CW324*100-100))</f>
        <v>32.307692307692292</v>
      </c>
      <c r="DG324" s="91">
        <f>DG316-DG323</f>
        <v>173</v>
      </c>
      <c r="DH324" s="72">
        <f>IF(ISERROR(DG324/CY324),"NA",IF(OR(DG324/CY324&gt;2,DG324/CY324&lt;0.5),"NM",DG324/CY324*100-100))</f>
        <v>-12.182741116751274</v>
      </c>
      <c r="DI324" s="91">
        <f>DI316-DI323</f>
        <v>209</v>
      </c>
      <c r="DJ324" s="72">
        <f>IF(ISERROR(DI324/DA324),"NA",IF(OR(DI324/DA324&gt;2,DI324/DA324&lt;0.5),"NM",DI324/DA324*100-100))</f>
        <v>3.4653465346534631</v>
      </c>
      <c r="DK324" s="91">
        <f>DK316-DK323</f>
        <v>193</v>
      </c>
      <c r="DL324" s="72">
        <f>IF(ISERROR(DK324/DC324),"NA",IF(OR(DK324/DC324&gt;2,DK324/DC324&lt;0.5),"NM",DK324/DC324*100-100))</f>
        <v>14.201183431952671</v>
      </c>
      <c r="DM324" s="91">
        <f>DM316-DM323</f>
        <v>200</v>
      </c>
      <c r="DN324" s="72">
        <f t="shared" si="1840"/>
        <v>16.279069767441868</v>
      </c>
      <c r="DO324" s="452">
        <f>DO316-DO323</f>
        <v>200</v>
      </c>
      <c r="DP324" s="532">
        <f t="shared" si="1840"/>
        <v>15.606936416184979</v>
      </c>
      <c r="DQ324" s="452">
        <f>DQ316-DQ323</f>
        <v>192</v>
      </c>
      <c r="DR324" s="532">
        <f t="shared" si="1840"/>
        <v>-8.1339712918660325</v>
      </c>
      <c r="DS324" s="452">
        <f>DS316-DS323</f>
        <v>205</v>
      </c>
      <c r="DT324" s="532">
        <f t="shared" si="1840"/>
        <v>6.2176165803108745</v>
      </c>
      <c r="DU324" s="452">
        <f>DU316-DU323</f>
        <v>196</v>
      </c>
      <c r="DV324" s="72">
        <f t="shared" si="1840"/>
        <v>-2</v>
      </c>
      <c r="DW324" s="91">
        <f>DW316-DW323</f>
        <v>180</v>
      </c>
      <c r="DX324" s="72">
        <f t="shared" si="1840"/>
        <v>-10</v>
      </c>
      <c r="DY324" s="91">
        <f>DY316-DY323</f>
        <v>198</v>
      </c>
      <c r="DZ324" s="72">
        <f t="shared" si="1840"/>
        <v>3.125</v>
      </c>
      <c r="EA324" s="91">
        <f>EA316-EA323</f>
        <v>165</v>
      </c>
      <c r="EB324" s="72">
        <f>IF(ISERROR(EA324/DS324),"NA",IF(OR(EA324/DS324&gt;2,EA324/DS324&lt;0.5),"NM",EA324/DS324*100-100))</f>
        <v>-19.512195121951208</v>
      </c>
      <c r="EC324" s="91">
        <f>EC316-EC323</f>
        <v>207</v>
      </c>
      <c r="ED324" s="72">
        <f>IF(ISERROR(EC324/DU324),"NA",IF(OR(EC324/DU324&gt;2,EC324/DU324&lt;0.5),"NM",EC324/DU324*100-100))</f>
        <v>5.6122448979591724</v>
      </c>
      <c r="EE324" s="91">
        <f>EE316-EE323</f>
        <v>191</v>
      </c>
      <c r="EF324" s="72">
        <f>IF(ISERROR(EE324/DW324),"NA",IF(OR(EE324/DW324&gt;2,EE324/DW324&lt;0.5),"NM",EE324/DW324*100-100))</f>
        <v>6.1111111111111143</v>
      </c>
      <c r="EG324" s="91">
        <f>EG316-EG323</f>
        <v>224</v>
      </c>
      <c r="EH324" s="72">
        <f>IF(ISERROR(EG324/DY324),"NA",IF(OR(EG324/DY324&gt;2,EG324/DY324&lt;0.5),"NM",EG324/DY324*100-100))</f>
        <v>13.131313131313121</v>
      </c>
      <c r="EI324" s="91">
        <f>EI316-EI323</f>
        <v>196</v>
      </c>
      <c r="EJ324" s="72">
        <f>IF(ISERROR(EI324/EA324),"NA",IF(OR(EI324/EA324&gt;2,EI324/EA324&lt;0.5),"NM",EI324/EA324*100-100))</f>
        <v>18.787878787878796</v>
      </c>
      <c r="EK324" s="91">
        <f>EK316-EK323</f>
        <v>218</v>
      </c>
      <c r="EL324" s="72">
        <f>IF(ISERROR(EK324/EC324),"NA",IF(OR(EK324/EC324&gt;2,EK324/EC324&lt;0.5),"NM",EK324/EC324*100-100))</f>
        <v>5.3140096618357546</v>
      </c>
      <c r="EM324" s="91">
        <f>EM316-EM323</f>
        <v>259</v>
      </c>
      <c r="EN324" s="72">
        <f>IF(ISERROR(EM324/EE324),"NA",IF(OR(EM324/EE324&gt;2,EM324/EE324&lt;0.5),"NM",EM324/EE324*100-100))</f>
        <v>35.602094240837687</v>
      </c>
      <c r="EO324" s="91">
        <f>EO316-EO323</f>
        <v>306</v>
      </c>
      <c r="EP324" s="72">
        <f>IF(ISERROR(EO324/EG324),"NA",IF(OR(EO324/EG324&gt;2,EO324/EG324&lt;0.5),"NM",EO324/EG324*100-100))</f>
        <v>36.607142857142861</v>
      </c>
      <c r="EQ324" s="91">
        <f t="shared" ref="EQ324" si="1846">EQ316-EQ323</f>
        <v>248.7617701489836</v>
      </c>
      <c r="ER324" s="72">
        <f t="shared" si="1841"/>
        <v>26.9192704841753</v>
      </c>
      <c r="ES324" s="91">
        <f t="shared" ref="ES324" si="1847">ES316-ES323</f>
        <v>248.08063873696301</v>
      </c>
      <c r="ET324" s="72">
        <f t="shared" si="1842"/>
        <v>13.798458136221555</v>
      </c>
      <c r="EU324" s="91">
        <f t="shared" ref="EU324" si="1848">EU316-EU323</f>
        <v>251.77587255214337</v>
      </c>
      <c r="EV324" s="72">
        <f t="shared" si="1843"/>
        <v>-2.7892383968558363</v>
      </c>
      <c r="EW324" s="91">
        <f t="shared" ref="EW324" si="1849">EW316-EW323</f>
        <v>251.08787798307571</v>
      </c>
      <c r="EX324" s="72">
        <f t="shared" si="1844"/>
        <v>-17.945137914027541</v>
      </c>
      <c r="EY324" s="72"/>
      <c r="EZ324" s="314"/>
      <c r="FA324" s="72"/>
      <c r="FB324" s="91">
        <f>FB316-FB323</f>
        <v>0</v>
      </c>
      <c r="FC324" s="80"/>
      <c r="FD324" s="91">
        <f>FD316-FD323</f>
        <v>231</v>
      </c>
      <c r="FE324" s="87" t="str">
        <f>IF(ISERROR(FD324/FB324),"NA",IF(OR(FD324/FB324&gt;2,FD324/FB324&lt;0.5),"NM",FD324/FB324*100-100))</f>
        <v>NA</v>
      </c>
      <c r="FF324" s="91">
        <f>FF316-FF323</f>
        <v>247</v>
      </c>
      <c r="FG324" s="87">
        <f>IF(ISERROR(FF324/FD324),"NA",IF(OR(FF324/FD324&gt;2,FF324/FD324&lt;0.5),"NM",FF324/FD324*100-100))</f>
        <v>6.9264069264069406</v>
      </c>
      <c r="FH324" s="91">
        <f>FH316-FH323</f>
        <v>196</v>
      </c>
      <c r="FI324" s="87">
        <f>IF(ISERROR(FH324/FF324),"NA",IF(OR(FH324/FF324&gt;2,FH324/FF324&lt;0.5),"NM",FH324/FF324*100-100))</f>
        <v>-20.647773279352222</v>
      </c>
      <c r="FJ324" s="91">
        <f>FJ316-FJ323</f>
        <v>184</v>
      </c>
      <c r="FK324" s="87">
        <f>IF(ISERROR(FJ324/FH324),"NA",IF(OR(FJ324/FH324&gt;2,FJ324/FH324&lt;0.5),"NM",FJ324/FH324*100-100))</f>
        <v>-6.1224489795918373</v>
      </c>
      <c r="FL324" s="91">
        <f>FL316-FL323</f>
        <v>209</v>
      </c>
      <c r="FM324" s="87">
        <f>IF(ISERROR(FL324/FJ324),"NA",IF(OR(FL324/FJ324&gt;2,FL324/FJ324&lt;0.5),"NM",FL324/FJ324*100-100))</f>
        <v>13.58695652173914</v>
      </c>
      <c r="FN324" s="75">
        <f>AI324+AK324+AM324+AO324</f>
        <v>246</v>
      </c>
      <c r="FO324" s="87">
        <f>IF(ISERROR(FN324/FF324),"NA",IF(OR(FN324/FF324&gt;2,FN324/FF324&lt;0.5),"NM",FN324/FF324*100-100))</f>
        <v>-0.40485829959514774</v>
      </c>
      <c r="FP324" s="75">
        <f>AQ324+AS324+AU324+AW324</f>
        <v>387</v>
      </c>
      <c r="FQ324" s="87">
        <f>IF(ISERROR(FP324/FN324),"NA",IF(OR(FP324/FN324&gt;2,FP324/FN324&lt;0.5),"NM",FP324/FN324*100-100))</f>
        <v>57.317073170731703</v>
      </c>
      <c r="FR324" s="91">
        <f>FR316-FR323</f>
        <v>483</v>
      </c>
      <c r="FS324" s="87">
        <f>IF(ISERROR(FR324/FP324),"NA",IF(OR(FR324/FP324&gt;2,FR324/FP324&lt;0.5),"NM",FR324/FP324*100-100))</f>
        <v>24.806201550387598</v>
      </c>
      <c r="FT324" s="91">
        <f>FT316-FT323</f>
        <v>769</v>
      </c>
      <c r="FU324" s="87">
        <f>IF(ISERROR(FT324/FR324),"NA",IF(OR(FT324/FR324&gt;2,FT324/FR324&lt;0.5),"NM",FT324/FR324*100-100))</f>
        <v>59.21325051759834</v>
      </c>
      <c r="FV324" s="91">
        <f>FV316-FV323</f>
        <v>482</v>
      </c>
      <c r="FW324" s="72">
        <f>IF(ISERROR(FV324/FT324),"NA",IF(OR(FV324/FT324&gt;2,FV324/FT324&lt;0.5),"NM",FV324/FT324*100-100))</f>
        <v>-37.32119635890767</v>
      </c>
      <c r="FX324" s="91">
        <f>FX316-FX323</f>
        <v>55</v>
      </c>
      <c r="FY324" s="72" t="str">
        <f>IF(ISERROR(FX324/FV324),"NA",IF(OR(FX324/FV324&gt;2,FX324/FV324&lt;0.5),"NM",FX324/FV324*100-100))</f>
        <v>NM</v>
      </c>
      <c r="FZ324" s="91">
        <f>FZ316-FZ323</f>
        <v>487</v>
      </c>
      <c r="GA324" s="72" t="str">
        <f>IF(ISERROR(FZ324/FX324),"NA",IF(OR(FZ324/FX324&gt;2,FZ324/FX324&lt;0.5),"NM",FZ324/FX324*100-100))</f>
        <v>NM</v>
      </c>
      <c r="GB324" s="91">
        <f>GB316-GB323</f>
        <v>603</v>
      </c>
      <c r="GC324" s="72">
        <f>IF(ISERROR(GB324/FZ324),"NA",IF(OR(GB324/FZ324&gt;2,GB324/FZ324&lt;0.5),"NM",GB324/FZ324*100-100))</f>
        <v>23.819301848049278</v>
      </c>
      <c r="GD324" s="91">
        <f>GD316-GD323</f>
        <v>676</v>
      </c>
      <c r="GE324" s="72">
        <f>IF(ISERROR(GD324/GB324),"NA",IF(OR(GD324/GB324&gt;2,GD324/GB324&lt;0.5),"NM",GD324/GB324*100-100))</f>
        <v>12.106135986733008</v>
      </c>
      <c r="GF324" s="91">
        <f>GF316-GF323</f>
        <v>723</v>
      </c>
      <c r="GG324" s="72">
        <f>IF(ISERROR(GF324/GD324),"NA",IF(OR(GF324/GD324&gt;2,GF324/GD324&lt;0.5),"NM",GF324/GD324*100-100))</f>
        <v>6.9526627218935033</v>
      </c>
      <c r="GH324" s="91">
        <f>GH316-GH323</f>
        <v>785</v>
      </c>
      <c r="GI324" s="72">
        <f t="shared" si="1845"/>
        <v>8.5753803596127227</v>
      </c>
      <c r="GJ324" s="91">
        <f>GJ316-GJ323</f>
        <v>779</v>
      </c>
      <c r="GK324" s="72">
        <f t="shared" si="1845"/>
        <v>-0.76433121019108796</v>
      </c>
      <c r="GL324" s="91">
        <f>GL316-GL323</f>
        <v>787</v>
      </c>
      <c r="GM324" s="72">
        <f t="shared" si="1845"/>
        <v>1.0269576379974268</v>
      </c>
      <c r="GN324" s="91">
        <f>GN316-GN323</f>
        <v>979</v>
      </c>
      <c r="GO324" s="72">
        <f t="shared" si="1845"/>
        <v>24.396442185514616</v>
      </c>
      <c r="GP324" s="91">
        <f>GP316-GP323</f>
        <v>999.70615942116592</v>
      </c>
      <c r="GQ324" s="72">
        <f t="shared" si="1845"/>
        <v>2.1150316058392065</v>
      </c>
      <c r="GR324" s="91">
        <f>GR316-GR323</f>
        <v>1054.0497274759146</v>
      </c>
      <c r="GS324" s="72">
        <f t="shared" si="1845"/>
        <v>5.4359541093768655</v>
      </c>
      <c r="GT324" s="91">
        <f>GT316-GT323</f>
        <v>1100.2812256602492</v>
      </c>
      <c r="GU324" s="72">
        <f t="shared" si="1845"/>
        <v>4.3860832159259928</v>
      </c>
      <c r="GV324" s="91">
        <f>GV316-GV323</f>
        <v>1146.0943113049616</v>
      </c>
      <c r="GW324" s="72">
        <f>IF(ISERROR(GV324/GT324),"NA",IF(OR(GV324/GT324&gt;2,GV324/GT324&lt;0.5),"NM",GV324/GT324*100-100))</f>
        <v>4.1637614617318519</v>
      </c>
      <c r="GX324" s="91">
        <f>GX316-GX323</f>
        <v>1178.6654491965437</v>
      </c>
      <c r="GY324" s="72">
        <f>IF(ISERROR(GX324/GV324),"NA",IF(OR(GX324/GV324&gt;2,GX324/GV324&lt;0.5),"NM",GX324/GV324*100-100))</f>
        <v>2.8419247500230682</v>
      </c>
      <c r="GZ324" s="72">
        <f>IF(ISERROR(((GX324/GN324)^0.2-1)*100),"NA",IF((((GX324/GN324)^0.2-1)*100)&gt;100,"NM",IF((((GX324/GN324)^0.2-1)*100)&lt;-50,"NM",((GX324/GN324)^0.2-1)*100)))</f>
        <v>3.7818892258121739</v>
      </c>
      <c r="HA324" s="72"/>
      <c r="HB324" s="72"/>
      <c r="HC324"/>
      <c r="HD324"/>
      <c r="HE324"/>
      <c r="HF324"/>
      <c r="HG324"/>
      <c r="HH324"/>
      <c r="HI324" s="2"/>
    </row>
    <row r="325" spans="1:217" s="3" customFormat="1" ht="12.75" customHeight="1" x14ac:dyDescent="0.2">
      <c r="B325" s="77" t="s">
        <v>418</v>
      </c>
      <c r="C325" s="75"/>
      <c r="D325" s="72"/>
      <c r="E325" s="75"/>
      <c r="F325" s="72"/>
      <c r="G325" s="75"/>
      <c r="H325" s="72"/>
      <c r="I325" s="75"/>
      <c r="J325" s="72"/>
      <c r="K325" s="75"/>
      <c r="L325" s="72"/>
      <c r="M325" s="75"/>
      <c r="N325" s="72"/>
      <c r="O325" s="75"/>
      <c r="P325" s="72"/>
      <c r="Q325" s="75"/>
      <c r="R325" s="72"/>
      <c r="S325" s="75"/>
      <c r="T325" s="72"/>
      <c r="U325" s="75"/>
      <c r="V325" s="72"/>
      <c r="W325" s="75"/>
      <c r="X325" s="72"/>
      <c r="Y325" s="75"/>
      <c r="Z325" s="72"/>
      <c r="AA325" s="75"/>
      <c r="AB325" s="72"/>
      <c r="AC325" s="75"/>
      <c r="AD325" s="72"/>
      <c r="AE325" s="75"/>
      <c r="AF325" s="72"/>
      <c r="AG325" s="75"/>
      <c r="AH325" s="72"/>
      <c r="AI325" s="75"/>
      <c r="AJ325" s="72"/>
      <c r="AK325" s="75"/>
      <c r="AL325" s="72"/>
      <c r="AM325" s="75"/>
      <c r="AN325" s="72"/>
      <c r="AO325" s="75"/>
      <c r="AP325" s="72"/>
      <c r="AQ325" s="75"/>
      <c r="AR325" s="72"/>
      <c r="AS325" s="75"/>
      <c r="AT325" s="72"/>
      <c r="AU325" s="75"/>
      <c r="AV325" s="72"/>
      <c r="AW325" s="75"/>
      <c r="AX325" s="72"/>
      <c r="AY325" s="75"/>
      <c r="AZ325" s="72"/>
      <c r="BA325" s="75"/>
      <c r="BB325" s="72"/>
      <c r="BC325" s="75"/>
      <c r="BD325" s="72"/>
      <c r="BE325" s="75"/>
      <c r="BF325" s="72"/>
      <c r="BG325" s="75"/>
      <c r="BH325" s="72"/>
      <c r="BI325" s="75"/>
      <c r="BJ325" s="72"/>
      <c r="BK325" s="75"/>
      <c r="BL325" s="72"/>
      <c r="BM325" s="75"/>
      <c r="BN325" s="72"/>
      <c r="BO325" s="75"/>
      <c r="BP325" s="72"/>
      <c r="BQ325" s="75"/>
      <c r="BR325" s="72"/>
      <c r="BS325" s="75"/>
      <c r="BT325" s="72"/>
      <c r="BU325" s="75"/>
      <c r="BV325" s="72"/>
      <c r="BW325" s="75"/>
      <c r="BX325" s="72"/>
      <c r="BY325" s="75"/>
      <c r="BZ325" s="72"/>
      <c r="CA325" s="75"/>
      <c r="CB325" s="72"/>
      <c r="CC325" s="75"/>
      <c r="CD325" s="72"/>
      <c r="CE325" s="75"/>
      <c r="CF325" s="72"/>
      <c r="CG325" s="75"/>
      <c r="CH325" s="72"/>
      <c r="CI325" s="75"/>
      <c r="CJ325" s="72"/>
      <c r="CK325" s="75"/>
      <c r="CL325" s="72"/>
      <c r="CM325" s="81">
        <f>CM324/CM303*100</f>
        <v>28.102189781021895</v>
      </c>
      <c r="CN325" s="72"/>
      <c r="CO325" s="81">
        <f>CO324/CO303*100</f>
        <v>25.304878048780488</v>
      </c>
      <c r="CP325" s="72"/>
      <c r="CQ325" s="81">
        <f>CQ324/CQ303*100</f>
        <v>23.976608187134502</v>
      </c>
      <c r="CR325" s="72"/>
      <c r="CS325" s="81">
        <f>CS324/CS303*100</f>
        <v>22.44039270687237</v>
      </c>
      <c r="CT325" s="72"/>
      <c r="CU325" s="81">
        <f>CU324/CU303*100</f>
        <v>26.110124333925398</v>
      </c>
      <c r="CV325" s="72"/>
      <c r="CW325" s="81">
        <f>CW324/CW303*100</f>
        <v>26.209677419354836</v>
      </c>
      <c r="CX325" s="72"/>
      <c r="CY325" s="81">
        <f>CY324/CY303*100</f>
        <v>31.170886075949365</v>
      </c>
      <c r="CZ325" s="72"/>
      <c r="DA325" s="81">
        <f>DA324/DA303*100</f>
        <v>29.489051094890513</v>
      </c>
      <c r="DB325" s="72"/>
      <c r="DC325" s="81">
        <f>DC324/DC303*100</f>
        <v>26.323987538940806</v>
      </c>
      <c r="DD325" s="72"/>
      <c r="DE325" s="81">
        <f>DE324/DE303*100</f>
        <v>25.981873111782477</v>
      </c>
      <c r="DF325" s="72"/>
      <c r="DG325" s="81">
        <f>DG324/DG303*100</f>
        <v>26.656394453004623</v>
      </c>
      <c r="DH325" s="72"/>
      <c r="DI325" s="81">
        <f>DI324/DI303*100</f>
        <v>28.827586206896548</v>
      </c>
      <c r="DJ325" s="72"/>
      <c r="DK325" s="81">
        <f>DK324/DK303*100</f>
        <v>28.935532233883059</v>
      </c>
      <c r="DL325" s="72"/>
      <c r="DM325" s="81">
        <f>DM324/DM303*100</f>
        <v>28.050490883590463</v>
      </c>
      <c r="DN325" s="72">
        <f t="shared" si="1840"/>
        <v>7.9617730519586445</v>
      </c>
      <c r="DO325" s="81">
        <f>DO324/DO303*100</f>
        <v>27.739251040221912</v>
      </c>
      <c r="DP325" s="72">
        <f t="shared" si="1840"/>
        <v>4.0622770237226575</v>
      </c>
      <c r="DQ325" s="81">
        <f>DQ324/DQ303*100</f>
        <v>25.981055480378888</v>
      </c>
      <c r="DR325" s="72">
        <f t="shared" si="1840"/>
        <v>-9.8743290752406807</v>
      </c>
      <c r="DS325" s="81">
        <f>DS324/DS303*100</f>
        <v>27.967257844474762</v>
      </c>
      <c r="DT325" s="72">
        <f t="shared" si="1840"/>
        <v>-3.3463161540690862</v>
      </c>
      <c r="DU325" s="81">
        <f>DU324/DU303*100</f>
        <v>25.257731958762886</v>
      </c>
      <c r="DV325" s="72">
        <f t="shared" si="1840"/>
        <v>-9.9561855670103085</v>
      </c>
      <c r="DW325" s="81">
        <f>DW324/DW303*100</f>
        <v>25.568181818181817</v>
      </c>
      <c r="DX325" s="72">
        <f t="shared" si="1840"/>
        <v>-7.8267045454545467</v>
      </c>
      <c r="DY325" s="81">
        <f>DY324/DY303*100</f>
        <v>27.086183310533517</v>
      </c>
      <c r="DZ325" s="72">
        <f t="shared" si="1840"/>
        <v>4.2535909712722457</v>
      </c>
      <c r="EA325" s="81">
        <f>EA324/EA303*100</f>
        <v>23.371104815864022</v>
      </c>
      <c r="EB325" s="72">
        <f>IF(ISERROR(EA325/DS325),"NA",IF(OR(EA325/DS325&gt;2,EA325/DS325&lt;0.5),"NM",EA325/DS325*100-100))</f>
        <v>-16.434049609617915</v>
      </c>
      <c r="EC325" s="81">
        <f>EC324/EC303*100</f>
        <v>28.278688524590162</v>
      </c>
      <c r="ED325" s="72">
        <f>IF(ISERROR(EC325/DU325),"NA",IF(OR(EC325/DU325&gt;2,EC325/DU325&lt;0.5),"NM",EC325/DU325*100-100))</f>
        <v>11.960521913683507</v>
      </c>
      <c r="EE325" s="81">
        <f>EE324/EE303*100</f>
        <v>25.466666666666665</v>
      </c>
      <c r="EF325" s="72">
        <f>IF(ISERROR(EE325/DW325),"NA",IF(OR(EE325/DW325&gt;2,EE325/DW325&lt;0.5),"NM",EE325/DW325*100-100))</f>
        <v>-0.39703703703703752</v>
      </c>
      <c r="EG325" s="81">
        <f>EG324/EG303*100</f>
        <v>28.978007761966364</v>
      </c>
      <c r="EH325" s="72">
        <f>IF(ISERROR(EG325/DY325),"NA",IF(OR(EG325/DY325&gt;2,EG325/DY325&lt;0.5),"NM",EG325/DY325*100-100))</f>
        <v>6.984462999986917</v>
      </c>
      <c r="EI325" s="81">
        <f>EI324/EI303*100</f>
        <v>25.925925925925924</v>
      </c>
      <c r="EJ325" s="72">
        <f>IF(ISERROR(EI325/EA325),"NA",IF(OR(EI325/EA325&gt;2,EI325/EA325&lt;0.5),"NM",EI325/EA325*100-100))</f>
        <v>10.931537598204272</v>
      </c>
      <c r="EK325" s="81">
        <f>EK324/EK303*100</f>
        <v>27.700127064803048</v>
      </c>
      <c r="EL325" s="72">
        <f>IF(ISERROR(EK325/EC325),"NA",IF(OR(EK325/EC325&gt;2,EK325/EC325&lt;0.5),"NM",EK325/EC325*100-100))</f>
        <v>-2.0459274809863217</v>
      </c>
      <c r="EM325" s="81">
        <f>EM324/EM303*100</f>
        <v>31.318016928657798</v>
      </c>
      <c r="EN325" s="72">
        <f>IF(ISERROR(EM325/EE325),"NA",IF(OR(EM325/EE325&gt;2,EM325/EE325&lt;0.5),"NM",EM325/EE325*100-100))</f>
        <v>22.976506264363096</v>
      </c>
      <c r="EO325" s="81">
        <f>EO324/EO303*100</f>
        <v>31.065989847715734</v>
      </c>
      <c r="EP325" s="72">
        <f>IF(ISERROR(EO325/EG325),"NA",IF(OR(EO325/EG325&gt;2,EO325/EG325&lt;0.5),"NM",EO325/EG325*100-100))</f>
        <v>7.2054024655547408</v>
      </c>
      <c r="EQ325" s="81">
        <f t="shared" ref="EQ325" si="1850">EQ324/EQ303*100</f>
        <v>27.882107642408293</v>
      </c>
      <c r="ER325" s="72">
        <f t="shared" si="1841"/>
        <v>7.5452723350034177</v>
      </c>
      <c r="ES325" s="81">
        <f t="shared" ref="ES325" si="1851">ES324/ES303*100</f>
        <v>27.870908318312519</v>
      </c>
      <c r="ET325" s="72">
        <f t="shared" si="1842"/>
        <v>0.61653599317411079</v>
      </c>
      <c r="EU325" s="81">
        <f t="shared" ref="EU325" si="1852">EU324/EU303*100</f>
        <v>27.875190436709051</v>
      </c>
      <c r="EV325" s="72">
        <f t="shared" si="1843"/>
        <v>-10.993117794755264</v>
      </c>
      <c r="EW325" s="81">
        <f t="shared" ref="EW325" si="1853">EW324/EW303*100</f>
        <v>27.378512092657694</v>
      </c>
      <c r="EX325" s="72">
        <f t="shared" si="1844"/>
        <v>-11.869822185399244</v>
      </c>
      <c r="EY325" s="72"/>
      <c r="EZ325" s="306"/>
      <c r="FA325" s="72"/>
      <c r="FB325" s="75"/>
      <c r="FC325" s="72"/>
      <c r="FD325" s="75"/>
      <c r="FE325" s="72"/>
      <c r="FF325" s="75"/>
      <c r="FG325" s="72"/>
      <c r="FH325" s="75"/>
      <c r="FI325" s="72"/>
      <c r="FJ325" s="75"/>
      <c r="FK325" s="72"/>
      <c r="FL325" s="75"/>
      <c r="FM325" s="72"/>
      <c r="FN325" s="75"/>
      <c r="FO325" s="72"/>
      <c r="FP325" s="75"/>
      <c r="FQ325" s="72"/>
      <c r="FR325" s="75"/>
      <c r="FS325" s="72"/>
      <c r="FT325" s="75"/>
      <c r="FU325" s="72"/>
      <c r="FV325" s="75"/>
      <c r="FW325" s="72"/>
      <c r="FX325" s="75"/>
      <c r="FY325" s="72"/>
      <c r="FZ325" s="75"/>
      <c r="GA325" s="72"/>
      <c r="GB325" s="81">
        <f>GB324/GB303*100</f>
        <v>24.814814814814813</v>
      </c>
      <c r="GC325" s="72"/>
      <c r="GD325" s="81">
        <f>GD324/GD303*100</f>
        <v>28.45117845117845</v>
      </c>
      <c r="GE325" s="72"/>
      <c r="GF325" s="81">
        <f>GF324/GF303*100</f>
        <v>26.997759522031366</v>
      </c>
      <c r="GG325" s="72"/>
      <c r="GH325" s="81">
        <f>GH324/GH303*100</f>
        <v>27.640845070422536</v>
      </c>
      <c r="GI325" s="72">
        <f t="shared" si="1845"/>
        <v>2.3819959869869365</v>
      </c>
      <c r="GJ325" s="81">
        <f>GJ324/GJ303*100</f>
        <v>26.460597826086957</v>
      </c>
      <c r="GK325" s="72">
        <f t="shared" si="1845"/>
        <v>-4.2699390750484696</v>
      </c>
      <c r="GL325" s="81">
        <f>GL324/GL303*100</f>
        <v>26.578858493752112</v>
      </c>
      <c r="GM325" s="72">
        <f t="shared" si="1845"/>
        <v>0.44693120103494266</v>
      </c>
      <c r="GN325" s="81">
        <f>GN324/GN303*100</f>
        <v>29.180327868852459</v>
      </c>
      <c r="GO325" s="72">
        <f t="shared" si="1845"/>
        <v>9.7877392880205036</v>
      </c>
      <c r="GP325" s="81">
        <f>GP324/GP303*100</f>
        <v>27.749408986730188</v>
      </c>
      <c r="GQ325" s="72">
        <f t="shared" si="1845"/>
        <v>-4.9037107758122715</v>
      </c>
      <c r="GR325" s="81">
        <f>GR324/GR303*100</f>
        <v>27.71963573100048</v>
      </c>
      <c r="GS325" s="72">
        <f t="shared" si="1845"/>
        <v>-0.10729329674713028</v>
      </c>
      <c r="GT325" s="81">
        <f>GT324/GT303*100</f>
        <v>27.679489845924959</v>
      </c>
      <c r="GU325" s="72">
        <f t="shared" si="1845"/>
        <v>-0.14482832842793414</v>
      </c>
      <c r="GV325" s="81">
        <f>GV324/GV303*100</f>
        <v>27.635589287199615</v>
      </c>
      <c r="GW325" s="72">
        <f>IF(ISERROR(GV325/GT325),"NA",IF(OR(GV325/GT325&gt;2,GV325/GT325&lt;0.5),"NM",GV325/GT325*100-100))</f>
        <v>-0.15860320753637325</v>
      </c>
      <c r="GX325" s="81">
        <f>GX324/GX303*100</f>
        <v>27.576562970654823</v>
      </c>
      <c r="GY325" s="72">
        <f>IF(ISERROR(GX325/GV325),"NA",IF(OR(GX325/GV325&gt;2,GX325/GV325&lt;0.5),"NM",GX325/GV325*100-100))</f>
        <v>-0.21358805101409928</v>
      </c>
      <c r="GZ325" s="72">
        <f>IF(ISERROR(((GX325/GN325)^0.2-1)*100),"NA",IF((((GX325/GN325)^0.2-1)*100)&gt;100,"NM",IF((((GX325/GN325)^0.2-1)*100)&lt;-50,"NM",((GX325/GN325)^0.2-1)*100)))</f>
        <v>-1.1242037636447821</v>
      </c>
      <c r="HA325" s="72"/>
      <c r="HB325" s="72"/>
      <c r="HC325"/>
      <c r="HD325"/>
      <c r="HE325"/>
      <c r="HF325"/>
      <c r="HG325"/>
      <c r="HH325"/>
      <c r="HI325" s="2"/>
    </row>
    <row r="326" spans="1:217" s="3" customFormat="1" ht="12.75" customHeight="1" x14ac:dyDescent="0.2">
      <c r="B326" s="77" t="s">
        <v>326</v>
      </c>
      <c r="C326" s="75"/>
      <c r="D326" s="72"/>
      <c r="E326" s="75"/>
      <c r="F326" s="72"/>
      <c r="G326" s="75"/>
      <c r="H326" s="72"/>
      <c r="I326" s="75"/>
      <c r="J326" s="72"/>
      <c r="K326" s="75"/>
      <c r="L326" s="72"/>
      <c r="M326" s="75"/>
      <c r="N326" s="72"/>
      <c r="O326" s="75"/>
      <c r="P326" s="72"/>
      <c r="Q326" s="75"/>
      <c r="R326" s="72"/>
      <c r="S326" s="75"/>
      <c r="T326" s="72"/>
      <c r="U326" s="75"/>
      <c r="V326" s="72"/>
      <c r="W326" s="75"/>
      <c r="X326" s="72"/>
      <c r="Y326" s="75"/>
      <c r="Z326" s="72"/>
      <c r="AA326" s="75"/>
      <c r="AB326" s="72"/>
      <c r="AC326" s="75"/>
      <c r="AD326" s="72"/>
      <c r="AE326" s="75"/>
      <c r="AF326" s="72"/>
      <c r="AG326" s="75"/>
      <c r="AH326" s="72"/>
      <c r="AI326" s="75"/>
      <c r="AJ326" s="72"/>
      <c r="AK326" s="75"/>
      <c r="AL326" s="72"/>
      <c r="AM326" s="75"/>
      <c r="AN326" s="72"/>
      <c r="AO326" s="75"/>
      <c r="AP326" s="72"/>
      <c r="AQ326" s="75"/>
      <c r="AR326" s="72"/>
      <c r="AS326" s="75"/>
      <c r="AT326" s="72"/>
      <c r="AU326" s="75"/>
      <c r="AV326" s="72"/>
      <c r="AW326" s="75"/>
      <c r="AX326" s="72"/>
      <c r="AY326" s="75"/>
      <c r="AZ326" s="72"/>
      <c r="BA326" s="75"/>
      <c r="BB326" s="72"/>
      <c r="BC326" s="75"/>
      <c r="BD326" s="72"/>
      <c r="BE326" s="75"/>
      <c r="BF326" s="72"/>
      <c r="BG326" s="75"/>
      <c r="BH326" s="72"/>
      <c r="BI326" s="75"/>
      <c r="BJ326" s="72"/>
      <c r="BK326" s="75"/>
      <c r="BL326" s="72"/>
      <c r="BM326" s="75"/>
      <c r="BN326" s="72"/>
      <c r="BO326" s="75"/>
      <c r="BP326" s="72"/>
      <c r="BQ326" s="75"/>
      <c r="BR326" s="72"/>
      <c r="BS326" s="75"/>
      <c r="BT326" s="72"/>
      <c r="BU326" s="75"/>
      <c r="BV326" s="72"/>
      <c r="BW326" s="75"/>
      <c r="BX326" s="72"/>
      <c r="BY326" s="75"/>
      <c r="BZ326" s="72"/>
      <c r="CA326" s="75"/>
      <c r="CB326" s="72"/>
      <c r="CC326" s="75"/>
      <c r="CD326" s="72"/>
      <c r="CE326" s="75"/>
      <c r="CF326" s="72"/>
      <c r="CG326" s="75"/>
      <c r="CH326" s="72"/>
      <c r="CI326" s="75"/>
      <c r="CJ326" s="72"/>
      <c r="CK326" s="75"/>
      <c r="CL326" s="72"/>
      <c r="CM326" s="81"/>
      <c r="CN326" s="72"/>
      <c r="CO326" s="81"/>
      <c r="CP326" s="72"/>
      <c r="CQ326" s="81"/>
      <c r="CR326" s="72"/>
      <c r="CS326" s="81"/>
      <c r="CT326" s="72"/>
      <c r="CU326" s="81">
        <f>(CU324-CU319)/CU298*400</f>
        <v>132.61872117661719</v>
      </c>
      <c r="CV326" s="72"/>
      <c r="CW326" s="81">
        <f>(CW324-CW319)/CW298*400</f>
        <v>107.67936546088208</v>
      </c>
      <c r="CX326" s="72"/>
      <c r="CY326" s="81">
        <f>(CY324-CY319)/CY298*400</f>
        <v>117.49621167968294</v>
      </c>
      <c r="CZ326" s="72"/>
      <c r="DA326" s="81">
        <f>(DA324-DA319)/DA298*400</f>
        <v>101.64155610523949</v>
      </c>
      <c r="DB326" s="72"/>
      <c r="DC326" s="81">
        <f>(DC324-DC319)/DC298*400</f>
        <v>112.24711768544699</v>
      </c>
      <c r="DD326" s="72"/>
      <c r="DE326" s="81">
        <f>(DE324-DE319)/DE298*400</f>
        <v>127.86361214704311</v>
      </c>
      <c r="DF326" s="72"/>
      <c r="DG326" s="81">
        <f>(DG324-DG319)/DG298*400</f>
        <v>104.90165469871995</v>
      </c>
      <c r="DH326" s="72"/>
      <c r="DI326" s="81">
        <f>(DI324-DI319)/DI298*400</f>
        <v>121.38151327610301</v>
      </c>
      <c r="DJ326" s="72"/>
      <c r="DK326" s="81">
        <f>(DK324-DK319)/DK298*400</f>
        <v>119.51807228915661</v>
      </c>
      <c r="DL326" s="72"/>
      <c r="DM326" s="81">
        <f>(DM324-DM319)/DM298*400</f>
        <v>124.60361872784924</v>
      </c>
      <c r="DN326" s="72">
        <f t="shared" si="1840"/>
        <v>-2.5495865199278853</v>
      </c>
      <c r="DO326" s="81">
        <f>(DO324-DO319)/DO298*400</f>
        <v>104.14374770810413</v>
      </c>
      <c r="DP326" s="72">
        <f t="shared" si="1840"/>
        <v>-0.72249288420907476</v>
      </c>
      <c r="DQ326" s="81">
        <f>(DQ324-DQ319)/DQ298*400</f>
        <v>121.47663211492996</v>
      </c>
      <c r="DR326" s="72">
        <f t="shared" si="1840"/>
        <v>7.8363530211220223E-2</v>
      </c>
      <c r="DS326" s="81">
        <f>(DS324-DS319)/DS298*400</f>
        <v>107.0988197991897</v>
      </c>
      <c r="DT326" s="72">
        <f t="shared" si="1840"/>
        <v>-10.391108434145707</v>
      </c>
      <c r="DU326" s="81">
        <f>(DU324-DU319)/DU298*400</f>
        <v>118.71279440945557</v>
      </c>
      <c r="DV326" s="72">
        <f t="shared" si="1840"/>
        <v>-4.727651073489298</v>
      </c>
      <c r="DW326" s="81">
        <f>(DW324-DW319)/DW298*400</f>
        <v>109.9512874043145</v>
      </c>
      <c r="DX326" s="72">
        <f t="shared" si="1840"/>
        <v>5.5764650533681959</v>
      </c>
      <c r="DY326" s="81">
        <f>(DY324-DY319)/DY298*400</f>
        <v>111.39941186645908</v>
      </c>
      <c r="DZ326" s="72">
        <f t="shared" si="1840"/>
        <v>-8.2956039141229638</v>
      </c>
      <c r="EA326" s="81">
        <f>(EA324-EA319)/EA298*400</f>
        <v>94.228504122497029</v>
      </c>
      <c r="EB326" s="72">
        <f>IF(ISERROR(EA326/DS326),"NA",IF(OR(EA326/DS326&gt;2,EA326/DS326&lt;0.5),"NM",EA326/DS326*100-100))</f>
        <v>-12.017233897464521</v>
      </c>
      <c r="EC326" s="81">
        <f>(EC324-EC319)/EC298*400</f>
        <v>113.8091734118224</v>
      </c>
      <c r="ED326" s="72">
        <f>IF(ISERROR(EC326/DU326),"NA",IF(OR(EC326/DU326&gt;2,EC326/DU326&lt;0.5),"NM",EC326/DU326*100-100))</f>
        <v>-4.1306592284568353</v>
      </c>
      <c r="EE326" s="81">
        <f>(EE324-EE319)/EE298*400</f>
        <v>109.73506819250665</v>
      </c>
      <c r="EF326" s="72">
        <f>IF(ISERROR(EE326/DW326),"NA",IF(OR(EE326/DW326&gt;2,EE326/DW326&lt;0.5),"NM",EE326/DW326*100-100))</f>
        <v>-0.19665000466322624</v>
      </c>
      <c r="EG326" s="81">
        <f>(EG324-EG319)/EG298*400</f>
        <v>124.72985489348561</v>
      </c>
      <c r="EH326" s="72">
        <f>IF(ISERROR(EG326/DY326),"NA",IF(OR(EG326/DY326&gt;2,EG326/DY326&lt;0.5),"NM",EG326/DY326*100-100))</f>
        <v>11.966349555782656</v>
      </c>
      <c r="EI326" s="81">
        <f>(EI324-EI319)/EI298*400</f>
        <v>102.49328730341385</v>
      </c>
      <c r="EJ326" s="72">
        <f>IF(ISERROR(EI326/EA326),"NA",IF(OR(EI326/EA326&gt;2,EI326/EA326&lt;0.5),"NM",EI326/EA326*100-100))</f>
        <v>8.7710011507479777</v>
      </c>
      <c r="EK326" s="81">
        <f>(EK324-EK319)/EK298*400</f>
        <v>111.57024793388426</v>
      </c>
      <c r="EL326" s="72">
        <f>IF(ISERROR(EK326/EC326),"NA",IF(OR(EK326/EC326&gt;2,EK326/EC326&lt;0.5),"NM",EK326/EC326*100-100))</f>
        <v>-1.9672627529210729</v>
      </c>
      <c r="EM326" s="81">
        <f>(EM324-EM319)/EM298*400</f>
        <v>130.44094711470291</v>
      </c>
      <c r="EN326" s="72">
        <f>IF(ISERROR(EM326/EE326),"NA",IF(OR(EM326/EE326&gt;2,EM326/EE326&lt;0.5),"NM",EM326/EE326*100-100))</f>
        <v>18.868971663527148</v>
      </c>
      <c r="EO326" s="81">
        <f>(EO324-EO319)/EO298*400</f>
        <v>117.80086699236216</v>
      </c>
      <c r="EP326" s="72">
        <f>IF(ISERROR(EO326/EG326),"NA",IF(OR(EO326/EG326&gt;2,EO326/EG326&lt;0.5),"NM",EO326/EG326*100-100))</f>
        <v>-5.5551959930046735</v>
      </c>
      <c r="EQ326" s="81">
        <f t="shared" ref="EQ326" si="1854">(EQ324-EQ319)/EQ298*400</f>
        <v>118.95390584266808</v>
      </c>
      <c r="ER326" s="72">
        <f t="shared" si="1841"/>
        <v>16.060191815806803</v>
      </c>
      <c r="ES326" s="81">
        <f t="shared" ref="ES326" si="1855">(ES324-ES319)/ES298*400</f>
        <v>117.61665558070791</v>
      </c>
      <c r="ET326" s="72">
        <f t="shared" si="1842"/>
        <v>5.4193727797456432</v>
      </c>
      <c r="EU326" s="81">
        <f t="shared" ref="EU326" si="1856">(EU324-EU319)/EU298*400</f>
        <v>117.80995695729143</v>
      </c>
      <c r="EV326" s="72">
        <f t="shared" si="1843"/>
        <v>-9.6833014761112111</v>
      </c>
      <c r="EW326" s="81">
        <f t="shared" ref="EW326" si="1857">(EW324-EW319)/EW298*400</f>
        <v>115.60364238305625</v>
      </c>
      <c r="EX326" s="72">
        <f t="shared" si="1844"/>
        <v>-1.8652024092898785</v>
      </c>
      <c r="EY326" s="72"/>
      <c r="EZ326" s="306"/>
      <c r="FA326" s="72"/>
      <c r="FB326" s="75"/>
      <c r="FC326" s="72"/>
      <c r="FD326" s="75"/>
      <c r="FE326" s="72"/>
      <c r="FF326" s="75"/>
      <c r="FG326" s="72"/>
      <c r="FH326" s="75"/>
      <c r="FI326" s="72"/>
      <c r="FJ326" s="75"/>
      <c r="FK326" s="72"/>
      <c r="FL326" s="75"/>
      <c r="FM326" s="72"/>
      <c r="FN326" s="75"/>
      <c r="FO326" s="72"/>
      <c r="FP326" s="75"/>
      <c r="FQ326" s="72"/>
      <c r="FR326" s="75"/>
      <c r="FS326" s="72"/>
      <c r="FT326" s="75"/>
      <c r="FU326" s="72"/>
      <c r="FV326" s="75"/>
      <c r="FW326" s="72"/>
      <c r="FX326" s="75"/>
      <c r="FY326" s="72"/>
      <c r="FZ326" s="75"/>
      <c r="GA326" s="72"/>
      <c r="GB326" s="81"/>
      <c r="GC326" s="72"/>
      <c r="GD326" s="81">
        <f>(GD324-GD319)/GD298*100</f>
        <v>114.75992886781268</v>
      </c>
      <c r="GE326" s="72"/>
      <c r="GF326" s="81">
        <f>(GF324-GF319)/GF298*100</f>
        <v>115.46434494195685</v>
      </c>
      <c r="GG326" s="72"/>
      <c r="GH326" s="81">
        <f>(GH324-GH319)/GH298*100</f>
        <v>118.10949929808139</v>
      </c>
      <c r="GI326" s="72">
        <f t="shared" si="1845"/>
        <v>2.2908841317674558</v>
      </c>
      <c r="GJ326" s="81">
        <f>(GJ324-GJ319)/GJ298*100</f>
        <v>112.56017505470454</v>
      </c>
      <c r="GK326" s="72">
        <f t="shared" si="1845"/>
        <v>-4.69845717436462</v>
      </c>
      <c r="GL326" s="81">
        <f>(GL324-GL319)/GL298*100</f>
        <v>112.69673000081544</v>
      </c>
      <c r="GM326" s="72">
        <f t="shared" si="1845"/>
        <v>0.12131728299509348</v>
      </c>
      <c r="GN326" s="81">
        <f>(GN324-GN319)/GN298*100</f>
        <v>116.83096020445416</v>
      </c>
      <c r="GO326" s="72">
        <f t="shared" si="1845"/>
        <v>3.6684562219407866</v>
      </c>
      <c r="GP326" s="81">
        <f>(GP324-GP319)/GP298*100</f>
        <v>117.43362241663601</v>
      </c>
      <c r="GQ326" s="72">
        <f t="shared" si="1845"/>
        <v>0.51584118723940264</v>
      </c>
      <c r="GR326" s="81">
        <f>(GR324-GR319)/GR298*100</f>
        <v>117.34049088849041</v>
      </c>
      <c r="GS326" s="72">
        <f t="shared" si="1845"/>
        <v>-7.930567603133909E-2</v>
      </c>
      <c r="GT326" s="81">
        <f>(GT324-GT319)/GT298*100</f>
        <v>115.82118364065559</v>
      </c>
      <c r="GU326" s="72">
        <f t="shared" si="1845"/>
        <v>-1.2947851473355598</v>
      </c>
      <c r="GV326" s="81">
        <f>(GV324-GV319)/GV298*100</f>
        <v>114.27017223418143</v>
      </c>
      <c r="GW326" s="72">
        <f>IF(ISERROR(GV326/GT326),"NA",IF(OR(GV326/GT326&gt;2,GV326/GT326&lt;0.5),"NM",GV326/GT326*100-100))</f>
        <v>-1.339143115033508</v>
      </c>
      <c r="GX326" s="81">
        <f>(GX324-GX319)/GX298*100</f>
        <v>111.26189979880228</v>
      </c>
      <c r="GY326" s="72">
        <f>IF(ISERROR(GX326/GV326),"NA",IF(OR(GX326/GV326&gt;2,GX326/GV326&lt;0.5),"NM",GX326/GV326*100-100))</f>
        <v>-2.6325963955091396</v>
      </c>
      <c r="GZ326" s="72">
        <f>IF(ISERROR(((GX326/GN326)^0.2-1)*100),"NA",IF((((GX326/GN326)^0.2-1)*100)&gt;100,"NM",IF((((GX326/GN326)^0.2-1)*100)&lt;-50,"NM",((GX326/GN326)^0.2-1)*100)))</f>
        <v>-0.97206908008454773</v>
      </c>
      <c r="HA326" s="72"/>
      <c r="HB326" s="72"/>
      <c r="HC326"/>
      <c r="HD326"/>
      <c r="HE326"/>
      <c r="HF326"/>
      <c r="HG326"/>
      <c r="HH326"/>
      <c r="HI326" s="2"/>
    </row>
    <row r="327" spans="1:217" s="3" customFormat="1" ht="12.75" customHeight="1" x14ac:dyDescent="0.2">
      <c r="B327" s="77" t="s">
        <v>466</v>
      </c>
      <c r="C327" s="75"/>
      <c r="D327" s="72"/>
      <c r="E327" s="75"/>
      <c r="F327" s="72"/>
      <c r="G327" s="75"/>
      <c r="H327" s="72"/>
      <c r="I327" s="75"/>
      <c r="J327" s="72"/>
      <c r="K327" s="75"/>
      <c r="L327" s="72"/>
      <c r="M327" s="75"/>
      <c r="N327" s="72"/>
      <c r="O327" s="75"/>
      <c r="P327" s="72"/>
      <c r="Q327" s="75"/>
      <c r="R327" s="72"/>
      <c r="S327" s="75"/>
      <c r="T327" s="72"/>
      <c r="U327" s="75"/>
      <c r="V327" s="72"/>
      <c r="W327" s="75"/>
      <c r="X327" s="72"/>
      <c r="Y327" s="75"/>
      <c r="Z327" s="72"/>
      <c r="AA327" s="75"/>
      <c r="AB327" s="72"/>
      <c r="AC327" s="75"/>
      <c r="AD327" s="72"/>
      <c r="AE327" s="75"/>
      <c r="AF327" s="72"/>
      <c r="AG327" s="75"/>
      <c r="AH327" s="72"/>
      <c r="AI327" s="75"/>
      <c r="AJ327" s="72"/>
      <c r="AK327" s="75"/>
      <c r="AL327" s="72"/>
      <c r="AM327" s="75"/>
      <c r="AN327" s="72"/>
      <c r="AO327" s="75"/>
      <c r="AP327" s="72"/>
      <c r="AQ327" s="75"/>
      <c r="AR327" s="72"/>
      <c r="AS327" s="75"/>
      <c r="AT327" s="72"/>
      <c r="AU327" s="75"/>
      <c r="AV327" s="72"/>
      <c r="AW327" s="75"/>
      <c r="AX327" s="72"/>
      <c r="AY327" s="75"/>
      <c r="AZ327" s="72"/>
      <c r="BA327" s="75"/>
      <c r="BB327" s="72"/>
      <c r="BC327" s="75"/>
      <c r="BD327" s="72"/>
      <c r="BE327" s="75"/>
      <c r="BF327" s="72"/>
      <c r="BG327" s="75"/>
      <c r="BH327" s="72"/>
      <c r="BI327" s="75"/>
      <c r="BJ327" s="72"/>
      <c r="BK327" s="75"/>
      <c r="BL327" s="72"/>
      <c r="BM327" s="75"/>
      <c r="BN327" s="72"/>
      <c r="BO327" s="75"/>
      <c r="BP327" s="72"/>
      <c r="BQ327" s="75"/>
      <c r="BR327" s="72"/>
      <c r="BS327" s="75"/>
      <c r="BT327" s="72"/>
      <c r="BU327" s="75"/>
      <c r="BV327" s="72"/>
      <c r="BW327" s="75"/>
      <c r="BX327" s="72"/>
      <c r="BY327" s="75"/>
      <c r="BZ327" s="72"/>
      <c r="CA327" s="75"/>
      <c r="CB327" s="72"/>
      <c r="CC327" s="75"/>
      <c r="CD327" s="72"/>
      <c r="CE327" s="75"/>
      <c r="CF327" s="72"/>
      <c r="CG327" s="75"/>
      <c r="CH327" s="72"/>
      <c r="CI327" s="75"/>
      <c r="CJ327" s="72"/>
      <c r="CK327" s="75"/>
      <c r="CL327" s="72"/>
      <c r="CM327" s="81">
        <f>CM324/CM298*40</f>
        <v>17.500497173215148</v>
      </c>
      <c r="CN327" s="72"/>
      <c r="CO327" s="81">
        <f>CO324/CO298*40</f>
        <v>17.794452632989415</v>
      </c>
      <c r="CP327" s="72"/>
      <c r="CQ327" s="81">
        <f>CQ324/CQ298*40</f>
        <v>12.959304622678784</v>
      </c>
      <c r="CR327" s="72"/>
      <c r="CS327" s="81">
        <f>CS324/CS298*40</f>
        <v>16.58675651159777</v>
      </c>
      <c r="CT327" s="72"/>
      <c r="CU327" s="81">
        <f>CU324/CU298*40</f>
        <v>14.657858656362954</v>
      </c>
      <c r="CV327" s="72"/>
      <c r="CW327" s="81">
        <f>CW324/CW298*40</f>
        <v>12.498497776709527</v>
      </c>
      <c r="CX327" s="72"/>
      <c r="CY327" s="81">
        <f>CY324/CY298*40</f>
        <v>18.370439445156777</v>
      </c>
      <c r="CZ327" s="72"/>
      <c r="DA327" s="81">
        <f>DA324/DA298*40</f>
        <v>18.169552507308296</v>
      </c>
      <c r="DB327" s="72"/>
      <c r="DC327" s="81">
        <f>DC324/DC298*40</f>
        <v>14.705242549488792</v>
      </c>
      <c r="DD327" s="72"/>
      <c r="DE327" s="81">
        <f>DE324/DE298*40</f>
        <v>14.661694192860946</v>
      </c>
      <c r="DF327" s="72"/>
      <c r="DG327" s="81">
        <f>DG324/DG298*40</f>
        <v>14.403163700697261</v>
      </c>
      <c r="DH327" s="72"/>
      <c r="DI327" s="81">
        <f>DI324/DI298*40</f>
        <v>16.689958075464162</v>
      </c>
      <c r="DJ327" s="72"/>
      <c r="DK327" s="81">
        <f>DK324/DK298*40</f>
        <v>14.881927710843371</v>
      </c>
      <c r="DL327" s="72"/>
      <c r="DM327" s="81">
        <f>DM324/DM298*40</f>
        <v>14.922589069203502</v>
      </c>
      <c r="DN327" s="72">
        <f t="shared" si="1840"/>
        <v>1.7794319872637345</v>
      </c>
      <c r="DO327" s="81">
        <f>DO324/DO298*40</f>
        <v>14.668133480014667</v>
      </c>
      <c r="DP327" s="72">
        <f t="shared" si="1840"/>
        <v>1.8396637351596468</v>
      </c>
      <c r="DQ327" s="81">
        <f>DQ324/DQ298*40</f>
        <v>13.966175668303325</v>
      </c>
      <c r="DR327" s="72">
        <f t="shared" si="1840"/>
        <v>-16.319887652474435</v>
      </c>
      <c r="DS327" s="81">
        <f>DS324/DS298*40</f>
        <v>14.444248722917031</v>
      </c>
      <c r="DT327" s="72">
        <f t="shared" si="1840"/>
        <v>-2.9410100386889724</v>
      </c>
      <c r="DU327" s="81">
        <f>DU324/DU298*40</f>
        <v>13.527737037356566</v>
      </c>
      <c r="DV327" s="72">
        <f t="shared" si="1840"/>
        <v>-9.3472521784142799</v>
      </c>
      <c r="DW327" s="81"/>
      <c r="DX327" s="72" t="str">
        <f t="shared" si="1840"/>
        <v>NM</v>
      </c>
      <c r="DY327" s="81"/>
      <c r="DZ327" s="72" t="str">
        <f t="shared" si="1840"/>
        <v>NM</v>
      </c>
      <c r="EA327" s="81"/>
      <c r="EB327" s="72" t="str">
        <f>IF(ISERROR(EA327/DS327),"NA",IF(OR(EA327/DS327&gt;2,EA327/DS327&lt;0.5),"NM",EA327/DS327*100-100))</f>
        <v>NM</v>
      </c>
      <c r="EC327" s="81"/>
      <c r="ED327" s="72" t="str">
        <f>IF(ISERROR(EC327/DU327),"NA",IF(OR(EC327/DU327&gt;2,EC327/DU327&lt;0.5),"NM",EC327/DU327*100-100))</f>
        <v>NM</v>
      </c>
      <c r="EE327" s="81"/>
      <c r="EF327" s="72" t="str">
        <f>IF(ISERROR(EE327/DW327),"NA",IF(OR(EE327/DW327&gt;2,EE327/DW327&lt;0.5),"NM",EE327/DW327*100-100))</f>
        <v>NA</v>
      </c>
      <c r="EG327" s="81"/>
      <c r="EH327" s="72" t="str">
        <f>IF(ISERROR(EG327/DY327),"NA",IF(OR(EG327/DY327&gt;2,EG327/DY327&lt;0.5),"NM",EG327/DY327*100-100))</f>
        <v>NA</v>
      </c>
      <c r="EI327" s="81"/>
      <c r="EJ327" s="72" t="str">
        <f>IF(ISERROR(EI327/EA327),"NA",IF(OR(EI327/EA327&gt;2,EI327/EA327&lt;0.5),"NM",EI327/EA327*100-100))</f>
        <v>NA</v>
      </c>
      <c r="EK327" s="81"/>
      <c r="EL327" s="72" t="str">
        <f>IF(ISERROR(EK327/EC327),"NA",IF(OR(EK327/EC327&gt;2,EK327/EC327&lt;0.5),"NM",EK327/EC327*100-100))</f>
        <v>NA</v>
      </c>
      <c r="EM327" s="81"/>
      <c r="EN327" s="72" t="str">
        <f>IF(ISERROR(EM327/EE327),"NA",IF(OR(EM327/EE327&gt;2,EM327/EE327&lt;0.5),"NM",EM327/EE327*100-100))</f>
        <v>NA</v>
      </c>
      <c r="EO327" s="81"/>
      <c r="EP327" s="72" t="str">
        <f>IF(ISERROR(EO327/EG327),"NA",IF(OR(EO327/EG327&gt;2,EO327/EG327&lt;0.5),"NM",EO327/EG327*100-100))</f>
        <v>NA</v>
      </c>
      <c r="EQ327" s="81"/>
      <c r="ER327" s="72" t="str">
        <f t="shared" si="1841"/>
        <v>NA</v>
      </c>
      <c r="ES327" s="81"/>
      <c r="ET327" s="72" t="str">
        <f t="shared" si="1842"/>
        <v>NA</v>
      </c>
      <c r="EU327" s="81"/>
      <c r="EV327" s="72" t="str">
        <f t="shared" si="1843"/>
        <v>NA</v>
      </c>
      <c r="EW327" s="81"/>
      <c r="EX327" s="72" t="str">
        <f t="shared" si="1844"/>
        <v>NA</v>
      </c>
      <c r="EY327" s="72"/>
      <c r="EZ327" s="306"/>
      <c r="FA327" s="72"/>
      <c r="FB327" s="75"/>
      <c r="FC327" s="72"/>
      <c r="FD327" s="75"/>
      <c r="FE327" s="72"/>
      <c r="FF327" s="75"/>
      <c r="FG327" s="72"/>
      <c r="FH327" s="75"/>
      <c r="FI327" s="72"/>
      <c r="FJ327" s="75"/>
      <c r="FK327" s="72"/>
      <c r="FL327" s="75"/>
      <c r="FM327" s="72"/>
      <c r="FN327" s="75"/>
      <c r="FO327" s="72"/>
      <c r="FP327" s="75"/>
      <c r="FQ327" s="72"/>
      <c r="FR327" s="75"/>
      <c r="FS327" s="72"/>
      <c r="FT327" s="75"/>
      <c r="FU327" s="72"/>
      <c r="FV327" s="75"/>
      <c r="FW327" s="72"/>
      <c r="FX327" s="75"/>
      <c r="FY327" s="72"/>
      <c r="FZ327" s="75"/>
      <c r="GA327" s="72"/>
      <c r="GB327" s="81"/>
      <c r="GC327" s="72"/>
      <c r="GD327" s="81"/>
      <c r="GE327" s="72"/>
      <c r="GF327" s="81"/>
      <c r="GG327" s="72"/>
      <c r="GH327" s="81"/>
      <c r="GI327" s="72"/>
      <c r="GJ327" s="81"/>
      <c r="GK327" s="72"/>
      <c r="GL327" s="81"/>
      <c r="GM327" s="72"/>
      <c r="GN327" s="81"/>
      <c r="GO327" s="72"/>
      <c r="GP327" s="81"/>
      <c r="GQ327" s="72"/>
      <c r="GR327" s="81"/>
      <c r="GS327" s="72"/>
      <c r="GT327" s="81"/>
      <c r="GU327" s="72"/>
      <c r="GV327" s="81"/>
      <c r="GW327" s="72"/>
      <c r="GX327" s="81"/>
      <c r="GY327" s="72"/>
      <c r="GZ327" s="72"/>
      <c r="HA327" s="72"/>
      <c r="HB327" s="72"/>
      <c r="HC327"/>
      <c r="HD327"/>
      <c r="HE327"/>
      <c r="HF327"/>
      <c r="HG327"/>
      <c r="HH327"/>
      <c r="HI327" s="2"/>
    </row>
    <row r="328" spans="1:217" s="3" customFormat="1" ht="12.75" customHeight="1" x14ac:dyDescent="0.2">
      <c r="B328" s="10"/>
      <c r="C328" s="74"/>
      <c r="D328" s="72"/>
      <c r="E328" s="74"/>
      <c r="F328" s="72"/>
      <c r="G328" s="74"/>
      <c r="H328" s="72"/>
      <c r="I328" s="74"/>
      <c r="J328" s="72"/>
      <c r="K328" s="74"/>
      <c r="L328" s="72"/>
      <c r="M328" s="74"/>
      <c r="N328" s="72"/>
      <c r="O328" s="74"/>
      <c r="P328" s="72"/>
      <c r="Q328" s="74"/>
      <c r="R328" s="72"/>
      <c r="S328" s="74"/>
      <c r="T328" s="72"/>
      <c r="U328" s="74"/>
      <c r="V328" s="72"/>
      <c r="W328" s="74"/>
      <c r="X328" s="72"/>
      <c r="Y328" s="74"/>
      <c r="Z328" s="72"/>
      <c r="AA328" s="74"/>
      <c r="AB328" s="72"/>
      <c r="AC328" s="74"/>
      <c r="AD328" s="72"/>
      <c r="AE328" s="74"/>
      <c r="AF328" s="72"/>
      <c r="AG328" s="74"/>
      <c r="AH328" s="72"/>
      <c r="AI328" s="74"/>
      <c r="AJ328" s="72"/>
      <c r="AK328" s="74"/>
      <c r="AL328" s="72"/>
      <c r="AM328" s="74"/>
      <c r="AN328" s="72"/>
      <c r="AO328" s="74"/>
      <c r="AP328" s="72"/>
      <c r="AQ328" s="74"/>
      <c r="AR328" s="72"/>
      <c r="AS328" s="74"/>
      <c r="AT328" s="72"/>
      <c r="AU328" s="74"/>
      <c r="AV328" s="72"/>
      <c r="AW328" s="74"/>
      <c r="AX328" s="72"/>
      <c r="AY328" s="74"/>
      <c r="AZ328" s="72"/>
      <c r="BA328" s="74"/>
      <c r="BB328" s="72"/>
      <c r="BC328" s="74"/>
      <c r="BD328" s="72"/>
      <c r="BE328" s="74"/>
      <c r="BF328" s="72"/>
      <c r="BG328" s="74"/>
      <c r="BH328" s="72"/>
      <c r="BI328" s="74"/>
      <c r="BJ328" s="72"/>
      <c r="BK328" s="74"/>
      <c r="BL328" s="72"/>
      <c r="BM328" s="74"/>
      <c r="BN328" s="72"/>
      <c r="BO328" s="74"/>
      <c r="BP328" s="72"/>
      <c r="BQ328" s="74"/>
      <c r="BR328" s="72"/>
      <c r="BS328" s="74"/>
      <c r="BT328" s="72"/>
      <c r="BU328" s="74"/>
      <c r="BV328" s="72"/>
      <c r="BW328" s="74"/>
      <c r="BX328" s="72"/>
      <c r="BY328" s="74"/>
      <c r="BZ328" s="72"/>
      <c r="CA328" s="74"/>
      <c r="CB328" s="72"/>
      <c r="CC328" s="74"/>
      <c r="CD328" s="72"/>
      <c r="CE328" s="74"/>
      <c r="CF328" s="72"/>
      <c r="CG328" s="74"/>
      <c r="CH328" s="72"/>
      <c r="CI328" s="74"/>
      <c r="CJ328" s="72"/>
      <c r="CK328" s="74"/>
      <c r="CL328" s="72"/>
      <c r="CM328" s="74"/>
      <c r="CN328" s="72"/>
      <c r="CO328" s="74"/>
      <c r="CP328" s="72"/>
      <c r="CQ328" s="74"/>
      <c r="CR328" s="72"/>
      <c r="CS328" s="74"/>
      <c r="CT328" s="72"/>
      <c r="CU328" s="74"/>
      <c r="CV328" s="72"/>
      <c r="CW328" s="74"/>
      <c r="CX328" s="72"/>
      <c r="CY328" s="74"/>
      <c r="CZ328" s="72"/>
      <c r="DA328" s="74"/>
      <c r="DB328" s="72"/>
      <c r="DC328" s="74"/>
      <c r="DD328" s="72"/>
      <c r="DE328" s="74"/>
      <c r="DF328" s="72"/>
      <c r="DG328" s="74"/>
      <c r="DH328" s="72"/>
      <c r="DI328" s="74"/>
      <c r="DJ328" s="72"/>
      <c r="DK328" s="74"/>
      <c r="DL328" s="72"/>
      <c r="DM328" s="74"/>
      <c r="DN328" s="72"/>
      <c r="DO328" s="74"/>
      <c r="DP328" s="72"/>
      <c r="DQ328" s="74"/>
      <c r="DR328" s="72"/>
      <c r="DS328" s="74"/>
      <c r="DT328" s="72"/>
      <c r="DU328" s="74"/>
      <c r="DV328" s="72"/>
      <c r="DW328" s="75"/>
      <c r="DX328" s="72"/>
      <c r="DY328" s="75"/>
      <c r="DZ328" s="72"/>
      <c r="EA328" s="75"/>
      <c r="EB328" s="72"/>
      <c r="EC328" s="75"/>
      <c r="ED328" s="72"/>
      <c r="EE328" s="75"/>
      <c r="EF328" s="72"/>
      <c r="EG328" s="75"/>
      <c r="EH328" s="72"/>
      <c r="EI328" s="75"/>
      <c r="EJ328" s="72"/>
      <c r="EK328" s="75"/>
      <c r="EL328" s="72"/>
      <c r="EM328" s="75"/>
      <c r="EN328" s="72"/>
      <c r="EO328" s="75"/>
      <c r="EP328" s="72"/>
      <c r="EQ328" s="75"/>
      <c r="ER328" s="72"/>
      <c r="ES328" s="75"/>
      <c r="ET328" s="72"/>
      <c r="EU328" s="75"/>
      <c r="EV328" s="72"/>
      <c r="EW328" s="75"/>
      <c r="EX328" s="72"/>
      <c r="EY328" s="72"/>
      <c r="EZ328" s="307"/>
      <c r="FA328" s="72"/>
      <c r="FB328" s="74"/>
      <c r="FC328" s="72"/>
      <c r="FD328" s="75"/>
      <c r="FE328" s="72"/>
      <c r="FF328" s="75"/>
      <c r="FG328" s="72"/>
      <c r="FH328" s="75"/>
      <c r="FI328" s="72"/>
      <c r="FJ328" s="75"/>
      <c r="FK328" s="72"/>
      <c r="FL328" s="75"/>
      <c r="FM328" s="72"/>
      <c r="FN328" s="75"/>
      <c r="FO328" s="72"/>
      <c r="FP328" s="74"/>
      <c r="FQ328" s="72"/>
      <c r="FR328" s="75"/>
      <c r="FS328" s="72"/>
      <c r="FT328" s="75"/>
      <c r="FU328" s="72"/>
      <c r="FV328" s="75"/>
      <c r="FW328" s="72"/>
      <c r="FX328" s="75"/>
      <c r="FY328" s="72"/>
      <c r="FZ328" s="81"/>
      <c r="GA328" s="72"/>
      <c r="GB328" s="81"/>
      <c r="GC328" s="72"/>
      <c r="GD328" s="81"/>
      <c r="GE328" s="72"/>
      <c r="GF328" s="81"/>
      <c r="GG328" s="72"/>
      <c r="GH328" s="81"/>
      <c r="GI328" s="72"/>
      <c r="GJ328" s="81"/>
      <c r="GK328" s="72"/>
      <c r="GL328" s="81"/>
      <c r="GM328" s="72"/>
      <c r="GN328" s="81"/>
      <c r="GO328" s="72"/>
      <c r="GP328" s="81"/>
      <c r="GQ328" s="72"/>
      <c r="GR328" s="75"/>
      <c r="GS328" s="72"/>
      <c r="GT328" s="75"/>
      <c r="GU328" s="72"/>
      <c r="GV328" s="75"/>
      <c r="GW328" s="72"/>
      <c r="GX328" s="75"/>
      <c r="GY328" s="72"/>
      <c r="GZ328" s="72"/>
      <c r="HA328" s="72"/>
      <c r="HB328" s="72"/>
      <c r="HC328"/>
      <c r="HD328"/>
      <c r="HE328"/>
      <c r="HF328"/>
      <c r="HG328"/>
      <c r="HH328"/>
      <c r="HI328" s="2"/>
    </row>
    <row r="329" spans="1:217" s="3" customFormat="1" ht="12.75" customHeight="1" x14ac:dyDescent="0.2">
      <c r="B329" s="10" t="s">
        <v>472</v>
      </c>
      <c r="C329" s="145"/>
      <c r="D329" s="11"/>
      <c r="E329" s="145"/>
      <c r="F329" s="11"/>
      <c r="G329" s="145"/>
      <c r="H329" s="11"/>
      <c r="I329" s="145"/>
      <c r="J329" s="11"/>
      <c r="K329" s="145"/>
      <c r="L329" s="72"/>
      <c r="M329" s="145"/>
      <c r="N329" s="72"/>
      <c r="O329" s="145"/>
      <c r="P329" s="72"/>
      <c r="Q329" s="145"/>
      <c r="R329" s="72"/>
      <c r="S329" s="145"/>
      <c r="T329" s="72"/>
      <c r="U329" s="145"/>
      <c r="V329" s="72"/>
      <c r="W329" s="145"/>
      <c r="X329" s="72"/>
      <c r="Y329" s="145"/>
      <c r="Z329" s="72"/>
      <c r="AA329" s="145"/>
      <c r="AB329" s="72"/>
      <c r="AC329" s="145"/>
      <c r="AD329" s="72"/>
      <c r="AE329" s="145"/>
      <c r="AF329" s="72"/>
      <c r="AG329" s="145"/>
      <c r="AH329" s="72"/>
      <c r="AI329" s="145"/>
      <c r="AJ329" s="72"/>
      <c r="AK329" s="145"/>
      <c r="AL329" s="72"/>
      <c r="AM329" s="145"/>
      <c r="AN329" s="72"/>
      <c r="AO329" s="145"/>
      <c r="AP329" s="72"/>
      <c r="AQ329" s="145"/>
      <c r="AR329" s="72"/>
      <c r="AS329" s="145"/>
      <c r="AT329" s="72"/>
      <c r="AU329" s="145"/>
      <c r="AV329" s="72"/>
      <c r="AW329" s="145"/>
      <c r="AX329" s="72"/>
      <c r="AY329" s="145"/>
      <c r="AZ329" s="72"/>
      <c r="BA329" s="145"/>
      <c r="BB329" s="72"/>
      <c r="BC329" s="145"/>
      <c r="BD329" s="72"/>
      <c r="BE329" s="145"/>
      <c r="BF329" s="72"/>
      <c r="BG329" s="145"/>
      <c r="BH329" s="72"/>
      <c r="BI329" s="145"/>
      <c r="BJ329" s="72"/>
      <c r="BK329" s="145"/>
      <c r="BL329" s="72"/>
      <c r="BM329" s="145"/>
      <c r="BN329" s="72"/>
      <c r="BO329" s="145"/>
      <c r="BP329" s="72"/>
      <c r="BQ329" s="145"/>
      <c r="BR329" s="72"/>
      <c r="BS329" s="145"/>
      <c r="BT329" s="72"/>
      <c r="BU329" s="145"/>
      <c r="BV329" s="72"/>
      <c r="BW329" s="145"/>
      <c r="BX329" s="72"/>
      <c r="BY329" s="145"/>
      <c r="BZ329" s="72"/>
      <c r="CA329" s="145"/>
      <c r="CB329" s="72"/>
      <c r="CC329" s="145"/>
      <c r="CD329" s="72"/>
      <c r="CE329" s="145"/>
      <c r="CF329" s="72"/>
      <c r="CG329" s="145"/>
      <c r="CH329" s="72"/>
      <c r="CI329" s="145"/>
      <c r="CJ329" s="72"/>
      <c r="CK329" s="145"/>
      <c r="CL329" s="72"/>
      <c r="CM329" s="145"/>
      <c r="CN329" s="72"/>
      <c r="CO329" s="145"/>
      <c r="CP329" s="72"/>
      <c r="CQ329" s="145"/>
      <c r="CR329" s="72"/>
      <c r="CS329" s="145"/>
      <c r="CT329" s="72"/>
      <c r="CU329" s="145"/>
      <c r="CV329" s="72"/>
      <c r="CW329" s="145"/>
      <c r="CX329" s="72"/>
      <c r="CY329" s="145"/>
      <c r="CZ329" s="72"/>
      <c r="DA329" s="145"/>
      <c r="DB329" s="72"/>
      <c r="DC329" s="145"/>
      <c r="DD329" s="72"/>
      <c r="DE329" s="145"/>
      <c r="DF329" s="72"/>
      <c r="DG329" s="150">
        <v>0</v>
      </c>
      <c r="DH329" s="72"/>
      <c r="DI329" s="150">
        <v>0</v>
      </c>
      <c r="DJ329" s="72"/>
      <c r="DK329" s="150">
        <v>0</v>
      </c>
      <c r="DL329" s="72"/>
      <c r="DM329" s="150">
        <v>0</v>
      </c>
      <c r="DN329" s="72" t="str">
        <f t="shared" ref="DN329:DZ330" si="1858">IF(ISERROR(DM329/DE329),"NA",IF(OR(DM329/DE329&gt;2,DM329/DE329&lt;0.5),"NM",DM329/DE329*100-100))</f>
        <v>NA</v>
      </c>
      <c r="DO329" s="150">
        <v>0</v>
      </c>
      <c r="DP329" s="72" t="str">
        <f t="shared" si="1858"/>
        <v>NA</v>
      </c>
      <c r="DQ329" s="150">
        <v>0</v>
      </c>
      <c r="DR329" s="72" t="str">
        <f t="shared" si="1858"/>
        <v>NA</v>
      </c>
      <c r="DS329" s="150">
        <v>0</v>
      </c>
      <c r="DT329" s="72" t="str">
        <f t="shared" si="1858"/>
        <v>NA</v>
      </c>
      <c r="DU329" s="150">
        <v>0</v>
      </c>
      <c r="DV329" s="72" t="str">
        <f t="shared" si="1858"/>
        <v>NA</v>
      </c>
      <c r="DW329" s="150">
        <v>0</v>
      </c>
      <c r="DX329" s="72" t="str">
        <f t="shared" si="1858"/>
        <v>NA</v>
      </c>
      <c r="DY329" s="150">
        <v>0</v>
      </c>
      <c r="DZ329" s="72" t="str">
        <f t="shared" si="1858"/>
        <v>NA</v>
      </c>
      <c r="EA329" s="150">
        <v>0</v>
      </c>
      <c r="EB329" s="72" t="str">
        <f>IF(ISERROR(EA329/DS329),"NA",IF(OR(EA329/DS329&gt;2,EA329/DS329&lt;0.5),"NM",EA329/DS329*100-100))</f>
        <v>NA</v>
      </c>
      <c r="EC329" s="150">
        <v>0</v>
      </c>
      <c r="ED329" s="72" t="str">
        <f>IF(ISERROR(EC329/DU329),"NA",IF(OR(EC329/DU329&gt;2,EC329/DU329&lt;0.5),"NM",EC329/DU329*100-100))</f>
        <v>NA</v>
      </c>
      <c r="EE329" s="150">
        <v>0</v>
      </c>
      <c r="EF329" s="72" t="str">
        <f>IF(ISERROR(EE329/DW329),"NA",IF(OR(EE329/DW329&gt;2,EE329/DW329&lt;0.5),"NM",EE329/DW329*100-100))</f>
        <v>NA</v>
      </c>
      <c r="EG329" s="150"/>
      <c r="EH329" s="72" t="str">
        <f>IF(ISERROR(EG329/DY329),"NA",IF(OR(EG329/DY329&gt;2,EG329/DY329&lt;0.5),"NM",EG329/DY329*100-100))</f>
        <v>NA</v>
      </c>
      <c r="EI329" s="150">
        <v>-25</v>
      </c>
      <c r="EJ329" s="72" t="str">
        <f>IF(ISERROR(EI329/EA329),"NA",IF(OR(EI329/EA329&gt;2,EI329/EA329&lt;0.5),"NM",EI329/EA329*100-100))</f>
        <v>NA</v>
      </c>
      <c r="EK329" s="144"/>
      <c r="EL329" s="72" t="str">
        <f>IF(ISERROR(EK329/EC329),"NA",IF(OR(EK329/EC329&gt;2,EK329/EC329&lt;0.5),"NM",EK329/EC329*100-100))</f>
        <v>NA</v>
      </c>
      <c r="EM329" s="144"/>
      <c r="EN329" s="72" t="str">
        <f>IF(ISERROR(EM329/EE329),"NA",IF(OR(EM329/EE329&gt;2,EM329/EE329&lt;0.5),"NM",EM329/EE329*100-100))</f>
        <v>NA</v>
      </c>
      <c r="EO329" s="144"/>
      <c r="EP329" s="72" t="str">
        <f>IF(ISERROR(EO329/EG329),"NA",IF(OR(EO329/EG329&gt;2,EO329/EG329&lt;0.5),"NM",EO329/EG329*100-100))</f>
        <v>NA</v>
      </c>
      <c r="EQ329" s="144"/>
      <c r="ER329" s="72" t="str">
        <f t="shared" ref="ER329:ER330" si="1859">IF(ISERROR(EQ329/EI329),"NA",IF(OR(EQ329/EI329&gt;2,EQ329/EI329&lt;0.5),"NM",EQ329/EI329*100-100))</f>
        <v>NM</v>
      </c>
      <c r="ES329" s="144"/>
      <c r="ET329" s="72" t="str">
        <f t="shared" ref="ET329:ET330" si="1860">IF(ISERROR(ES329/EK329),"NA",IF(OR(ES329/EK329&gt;2,ES329/EK329&lt;0.5),"NM",ES329/EK329*100-100))</f>
        <v>NA</v>
      </c>
      <c r="EU329" s="144"/>
      <c r="EV329" s="72" t="str">
        <f t="shared" ref="EV329:EV330" si="1861">IF(ISERROR(EU329/EM329),"NA",IF(OR(EU329/EM329&gt;2,EU329/EM329&lt;0.5),"NM",EU329/EM329*100-100))</f>
        <v>NA</v>
      </c>
      <c r="EW329" s="144"/>
      <c r="EX329" s="72" t="str">
        <f t="shared" ref="EX329:EX330" si="1862">IF(ISERROR(EW329/EO329),"NA",IF(OR(EW329/EO329&gt;2,EW329/EO329&lt;0.5),"NM",EW329/EO329*100-100))</f>
        <v>NA</v>
      </c>
      <c r="EY329" s="72"/>
      <c r="EZ329" s="296"/>
      <c r="FA329" s="72"/>
      <c r="FB329" s="145"/>
      <c r="FC329" s="11"/>
      <c r="FD329" s="145"/>
      <c r="FE329" s="72"/>
      <c r="FF329" s="145"/>
      <c r="FG329" s="72"/>
      <c r="FH329" s="145"/>
      <c r="FI329" s="72"/>
      <c r="FJ329" s="145"/>
      <c r="FK329" s="72"/>
      <c r="FL329" s="145"/>
      <c r="FM329" s="72"/>
      <c r="FN329" s="145"/>
      <c r="FO329" s="72"/>
      <c r="FP329" s="145"/>
      <c r="FQ329" s="72"/>
      <c r="FR329" s="144"/>
      <c r="FS329" s="72"/>
      <c r="FT329" s="144"/>
      <c r="FU329" s="72"/>
      <c r="FV329" s="144"/>
      <c r="FW329" s="72"/>
      <c r="FX329" s="144"/>
      <c r="FY329" s="72"/>
      <c r="FZ329" s="144"/>
      <c r="GA329" s="72"/>
      <c r="GB329" s="144"/>
      <c r="GC329" s="72"/>
      <c r="GD329" s="144"/>
      <c r="GE329" s="72"/>
      <c r="GF329" s="144">
        <f>DC329+DE329+DG329+DI329</f>
        <v>0</v>
      </c>
      <c r="GG329" s="72"/>
      <c r="GH329" s="144"/>
      <c r="GI329" s="72"/>
      <c r="GJ329" s="144"/>
      <c r="GK329" s="72"/>
      <c r="GL329" s="144"/>
      <c r="GM329" s="72"/>
      <c r="GN329" s="144"/>
      <c r="GO329" s="72"/>
      <c r="GP329" s="144"/>
      <c r="GQ329" s="72"/>
      <c r="GR329" s="144"/>
      <c r="GS329" s="72"/>
      <c r="GT329" s="144"/>
      <c r="GU329" s="72"/>
      <c r="GV329" s="144"/>
      <c r="GW329" s="72"/>
      <c r="GX329" s="144"/>
      <c r="GY329" s="72"/>
      <c r="GZ329" s="72"/>
      <c r="HA329" s="72"/>
      <c r="HB329" s="72"/>
      <c r="HC329"/>
      <c r="HD329"/>
      <c r="HE329"/>
      <c r="HF329"/>
      <c r="HG329"/>
      <c r="HH329"/>
      <c r="HI329" s="2"/>
    </row>
    <row r="330" spans="1:217" s="78" customFormat="1" ht="12.75" customHeight="1" x14ac:dyDescent="0.2">
      <c r="A330" s="3"/>
      <c r="B330" s="70" t="s">
        <v>424</v>
      </c>
      <c r="C330" s="91"/>
      <c r="D330" s="80"/>
      <c r="E330" s="91"/>
      <c r="F330" s="80"/>
      <c r="G330" s="91"/>
      <c r="H330" s="80"/>
      <c r="I330" s="91"/>
      <c r="J330" s="80"/>
      <c r="K330" s="91"/>
      <c r="L330" s="72"/>
      <c r="M330" s="91"/>
      <c r="N330" s="72"/>
      <c r="O330" s="91"/>
      <c r="P330" s="72"/>
      <c r="Q330" s="91"/>
      <c r="R330" s="72"/>
      <c r="S330" s="91"/>
      <c r="T330" s="72"/>
      <c r="U330" s="91"/>
      <c r="V330" s="72"/>
      <c r="W330" s="91"/>
      <c r="X330" s="72"/>
      <c r="Y330" s="91"/>
      <c r="Z330" s="72"/>
      <c r="AA330" s="91"/>
      <c r="AB330" s="72"/>
      <c r="AC330" s="91"/>
      <c r="AD330" s="72"/>
      <c r="AE330" s="91"/>
      <c r="AF330" s="72"/>
      <c r="AG330" s="91"/>
      <c r="AH330" s="72"/>
      <c r="AI330" s="91"/>
      <c r="AJ330" s="72"/>
      <c r="AK330" s="91"/>
      <c r="AL330" s="72"/>
      <c r="AM330" s="91"/>
      <c r="AN330" s="72"/>
      <c r="AO330" s="91"/>
      <c r="AP330" s="72"/>
      <c r="AQ330" s="91"/>
      <c r="AR330" s="72"/>
      <c r="AS330" s="91"/>
      <c r="AT330" s="72"/>
      <c r="AU330" s="91"/>
      <c r="AV330" s="72"/>
      <c r="AW330" s="91"/>
      <c r="AX330" s="72"/>
      <c r="AY330" s="91"/>
      <c r="AZ330" s="72"/>
      <c r="BA330" s="91"/>
      <c r="BB330" s="72"/>
      <c r="BC330" s="91"/>
      <c r="BD330" s="72"/>
      <c r="BE330" s="91"/>
      <c r="BF330" s="72"/>
      <c r="BG330" s="91"/>
      <c r="BH330" s="72"/>
      <c r="BI330" s="91"/>
      <c r="BJ330" s="72"/>
      <c r="BK330" s="91"/>
      <c r="BL330" s="72"/>
      <c r="BM330" s="91"/>
      <c r="BN330" s="72"/>
      <c r="BO330" s="91"/>
      <c r="BP330" s="72"/>
      <c r="BQ330" s="91"/>
      <c r="BR330" s="72"/>
      <c r="BS330" s="91"/>
      <c r="BT330" s="72"/>
      <c r="BU330" s="91"/>
      <c r="BV330" s="72"/>
      <c r="BW330" s="91"/>
      <c r="BX330" s="72"/>
      <c r="BY330" s="91"/>
      <c r="BZ330" s="72"/>
      <c r="CA330" s="91"/>
      <c r="CB330" s="72"/>
      <c r="CC330" s="91"/>
      <c r="CD330" s="72"/>
      <c r="CE330" s="91"/>
      <c r="CF330" s="72"/>
      <c r="CG330" s="91"/>
      <c r="CH330" s="72"/>
      <c r="CI330" s="91"/>
      <c r="CJ330" s="72"/>
      <c r="CK330" s="91"/>
      <c r="CL330" s="72"/>
      <c r="CM330" s="91"/>
      <c r="CN330" s="72"/>
      <c r="CO330" s="91"/>
      <c r="CP330" s="72"/>
      <c r="CQ330" s="91"/>
      <c r="CR330" s="72"/>
      <c r="CS330" s="91"/>
      <c r="CT330" s="72"/>
      <c r="CU330" s="91"/>
      <c r="CV330" s="72"/>
      <c r="CW330" s="91"/>
      <c r="CX330" s="72"/>
      <c r="CY330" s="91"/>
      <c r="CZ330" s="72"/>
      <c r="DA330" s="91"/>
      <c r="DB330" s="72"/>
      <c r="DC330" s="91"/>
      <c r="DD330" s="72"/>
      <c r="DE330" s="91"/>
      <c r="DF330" s="72"/>
      <c r="DG330" s="91">
        <f>DG324-DG329</f>
        <v>173</v>
      </c>
      <c r="DH330" s="72"/>
      <c r="DI330" s="91">
        <f>DI324-DI329</f>
        <v>209</v>
      </c>
      <c r="DJ330" s="72"/>
      <c r="DK330" s="91">
        <f>DK324-DK329</f>
        <v>193</v>
      </c>
      <c r="DL330" s="72"/>
      <c r="DM330" s="91">
        <f>DM324-DM329</f>
        <v>200</v>
      </c>
      <c r="DN330" s="72" t="str">
        <f t="shared" si="1858"/>
        <v>NA</v>
      </c>
      <c r="DO330" s="91">
        <f>DO324-DO329</f>
        <v>200</v>
      </c>
      <c r="DP330" s="72">
        <f t="shared" si="1858"/>
        <v>15.606936416184979</v>
      </c>
      <c r="DQ330" s="91">
        <f>DQ324-DQ329</f>
        <v>192</v>
      </c>
      <c r="DR330" s="72">
        <f t="shared" si="1858"/>
        <v>-8.1339712918660325</v>
      </c>
      <c r="DS330" s="91">
        <f>DS324-DS329</f>
        <v>205</v>
      </c>
      <c r="DT330" s="72">
        <f t="shared" si="1858"/>
        <v>6.2176165803108745</v>
      </c>
      <c r="DU330" s="91">
        <f>DU324-DU329</f>
        <v>196</v>
      </c>
      <c r="DV330" s="72">
        <f t="shared" si="1858"/>
        <v>-2</v>
      </c>
      <c r="DW330" s="91">
        <f>DW324-DW329</f>
        <v>180</v>
      </c>
      <c r="DX330" s="72">
        <f t="shared" si="1858"/>
        <v>-10</v>
      </c>
      <c r="DY330" s="91">
        <f>DY324-DY329</f>
        <v>198</v>
      </c>
      <c r="DZ330" s="72">
        <f t="shared" si="1858"/>
        <v>3.125</v>
      </c>
      <c r="EA330" s="91">
        <f>EA324-EA329</f>
        <v>165</v>
      </c>
      <c r="EB330" s="72">
        <f>IF(ISERROR(EA330/DS330),"NA",IF(OR(EA330/DS330&gt;2,EA330/DS330&lt;0.5),"NM",EA330/DS330*100-100))</f>
        <v>-19.512195121951208</v>
      </c>
      <c r="EC330" s="91">
        <f>EC324-EC329</f>
        <v>207</v>
      </c>
      <c r="ED330" s="72">
        <f>IF(ISERROR(EC330/DU330),"NA",IF(OR(EC330/DU330&gt;2,EC330/DU330&lt;0.5),"NM",EC330/DU330*100-100))</f>
        <v>5.6122448979591724</v>
      </c>
      <c r="EE330" s="91">
        <f>EE324-EE329</f>
        <v>191</v>
      </c>
      <c r="EF330" s="72">
        <f>IF(ISERROR(EE330/DW330),"NA",IF(OR(EE330/DW330&gt;2,EE330/DW330&lt;0.5),"NM",EE330/DW330*100-100))</f>
        <v>6.1111111111111143</v>
      </c>
      <c r="EG330" s="91">
        <f>EG324-EG329</f>
        <v>224</v>
      </c>
      <c r="EH330" s="72">
        <f>IF(ISERROR(EG330/DY330),"NA",IF(OR(EG330/DY330&gt;2,EG330/DY330&lt;0.5),"NM",EG330/DY330*100-100))</f>
        <v>13.131313131313121</v>
      </c>
      <c r="EI330" s="91">
        <f>EI324-EI329</f>
        <v>221</v>
      </c>
      <c r="EJ330" s="72">
        <f>IF(ISERROR(EI330/EA330),"NA",IF(OR(EI330/EA330&gt;2,EI330/EA330&lt;0.5),"NM",EI330/EA330*100-100))</f>
        <v>33.939393939393938</v>
      </c>
      <c r="EK330" s="91">
        <f>EK324-EK329</f>
        <v>218</v>
      </c>
      <c r="EL330" s="72">
        <f>IF(ISERROR(EK330/EC330),"NA",IF(OR(EK330/EC330&gt;2,EK330/EC330&lt;0.5),"NM",EK330/EC330*100-100))</f>
        <v>5.3140096618357546</v>
      </c>
      <c r="EM330" s="91">
        <f>EM324-EM329</f>
        <v>259</v>
      </c>
      <c r="EN330" s="72">
        <f>IF(ISERROR(EM330/EE330),"NA",IF(OR(EM330/EE330&gt;2,EM330/EE330&lt;0.5),"NM",EM330/EE330*100-100))</f>
        <v>35.602094240837687</v>
      </c>
      <c r="EO330" s="91">
        <f>EO324-EO329</f>
        <v>306</v>
      </c>
      <c r="EP330" s="72">
        <f>IF(ISERROR(EO330/EG330),"NA",IF(OR(EO330/EG330&gt;2,EO330/EG330&lt;0.5),"NM",EO330/EG330*100-100))</f>
        <v>36.607142857142861</v>
      </c>
      <c r="EQ330" s="91"/>
      <c r="ER330" s="72" t="str">
        <f t="shared" si="1859"/>
        <v>NM</v>
      </c>
      <c r="ES330" s="91"/>
      <c r="ET330" s="72" t="str">
        <f t="shared" si="1860"/>
        <v>NM</v>
      </c>
      <c r="EU330" s="91"/>
      <c r="EV330" s="72" t="str">
        <f t="shared" si="1861"/>
        <v>NM</v>
      </c>
      <c r="EW330" s="91"/>
      <c r="EX330" s="72" t="str">
        <f t="shared" si="1862"/>
        <v>NM</v>
      </c>
      <c r="EY330" s="72"/>
      <c r="EZ330" s="314"/>
      <c r="FA330" s="72"/>
      <c r="FB330" s="91"/>
      <c r="FC330" s="80"/>
      <c r="FD330" s="91"/>
      <c r="FE330" s="72"/>
      <c r="FF330" s="91"/>
      <c r="FG330" s="72"/>
      <c r="FH330" s="91"/>
      <c r="FI330" s="72"/>
      <c r="FJ330" s="91"/>
      <c r="FK330" s="72"/>
      <c r="FL330" s="91"/>
      <c r="FM330" s="72"/>
      <c r="FN330" s="75"/>
      <c r="FO330" s="72"/>
      <c r="FP330" s="91"/>
      <c r="FQ330" s="72"/>
      <c r="FR330" s="91"/>
      <c r="FS330" s="72"/>
      <c r="FT330" s="91"/>
      <c r="FU330" s="72"/>
      <c r="FV330" s="91"/>
      <c r="FW330" s="72"/>
      <c r="FX330" s="91"/>
      <c r="FY330" s="72"/>
      <c r="FZ330" s="91"/>
      <c r="GA330" s="72"/>
      <c r="GB330" s="91"/>
      <c r="GC330" s="72"/>
      <c r="GD330" s="91"/>
      <c r="GE330" s="72"/>
      <c r="GF330" s="91">
        <f>GF324-GF329</f>
        <v>723</v>
      </c>
      <c r="GG330" s="72"/>
      <c r="GH330" s="91"/>
      <c r="GI330" s="72"/>
      <c r="GJ330" s="91"/>
      <c r="GK330" s="72"/>
      <c r="GL330" s="91"/>
      <c r="GM330" s="72"/>
      <c r="GN330" s="91"/>
      <c r="GO330" s="72"/>
      <c r="GP330" s="91"/>
      <c r="GQ330" s="72"/>
      <c r="GR330" s="91"/>
      <c r="GS330" s="72"/>
      <c r="GT330" s="91"/>
      <c r="GU330" s="72"/>
      <c r="GV330" s="91"/>
      <c r="GW330" s="72"/>
      <c r="GX330" s="91"/>
      <c r="GY330" s="72"/>
      <c r="GZ330" s="72"/>
      <c r="HA330" s="72"/>
      <c r="HB330" s="72"/>
      <c r="HC330"/>
      <c r="HD330"/>
      <c r="HE330"/>
      <c r="HF330"/>
      <c r="HG330"/>
      <c r="HH330"/>
      <c r="HI330" s="2"/>
    </row>
    <row r="331" spans="1:217" s="3" customFormat="1" ht="12.75" customHeight="1" x14ac:dyDescent="0.2">
      <c r="B331" s="77"/>
      <c r="C331" s="75"/>
      <c r="D331" s="72"/>
      <c r="E331" s="75"/>
      <c r="F331" s="72"/>
      <c r="G331" s="75"/>
      <c r="H331" s="72"/>
      <c r="I331" s="75"/>
      <c r="J331" s="72"/>
      <c r="K331" s="75"/>
      <c r="L331" s="72"/>
      <c r="M331" s="75"/>
      <c r="N331" s="72"/>
      <c r="O331" s="75"/>
      <c r="P331" s="72"/>
      <c r="Q331" s="75"/>
      <c r="R331" s="72"/>
      <c r="S331" s="75"/>
      <c r="T331" s="72"/>
      <c r="U331" s="75"/>
      <c r="V331" s="72"/>
      <c r="W331" s="75"/>
      <c r="X331" s="72"/>
      <c r="Y331" s="75"/>
      <c r="Z331" s="72"/>
      <c r="AA331" s="75"/>
      <c r="AB331" s="72"/>
      <c r="AC331" s="75"/>
      <c r="AD331" s="72"/>
      <c r="AE331" s="75"/>
      <c r="AF331" s="72"/>
      <c r="AG331" s="75"/>
      <c r="AH331" s="72"/>
      <c r="AI331" s="75"/>
      <c r="AJ331" s="72"/>
      <c r="AK331" s="75"/>
      <c r="AL331" s="72"/>
      <c r="AM331" s="75"/>
      <c r="AN331" s="72"/>
      <c r="AO331" s="75"/>
      <c r="AP331" s="72"/>
      <c r="AQ331" s="75"/>
      <c r="AR331" s="72"/>
      <c r="AS331" s="75"/>
      <c r="AT331" s="72"/>
      <c r="AU331" s="75"/>
      <c r="AV331" s="72"/>
      <c r="AW331" s="75"/>
      <c r="AX331" s="72"/>
      <c r="AY331" s="75"/>
      <c r="AZ331" s="72"/>
      <c r="BA331" s="75"/>
      <c r="BB331" s="72"/>
      <c r="BC331" s="75"/>
      <c r="BD331" s="72"/>
      <c r="BE331" s="75"/>
      <c r="BF331" s="72"/>
      <c r="BG331" s="75"/>
      <c r="BH331" s="72"/>
      <c r="BI331" s="75"/>
      <c r="BJ331" s="72"/>
      <c r="BK331" s="75"/>
      <c r="BL331" s="72"/>
      <c r="BM331" s="75"/>
      <c r="BN331" s="72"/>
      <c r="BO331" s="75"/>
      <c r="BP331" s="72"/>
      <c r="BQ331" s="75"/>
      <c r="BR331" s="72"/>
      <c r="BS331" s="75"/>
      <c r="BT331" s="72"/>
      <c r="BU331" s="75"/>
      <c r="BV331" s="72"/>
      <c r="BW331" s="75"/>
      <c r="BX331" s="72"/>
      <c r="BY331" s="75"/>
      <c r="BZ331" s="72"/>
      <c r="CA331" s="75"/>
      <c r="CB331" s="72"/>
      <c r="CC331" s="75"/>
      <c r="CD331" s="72"/>
      <c r="CE331" s="75"/>
      <c r="CF331" s="72"/>
      <c r="CG331" s="75"/>
      <c r="CH331" s="72"/>
      <c r="CI331" s="75"/>
      <c r="CJ331" s="72"/>
      <c r="CK331" s="75"/>
      <c r="CL331" s="72"/>
      <c r="CM331" s="75"/>
      <c r="CN331" s="75"/>
      <c r="CO331" s="75"/>
      <c r="CP331" s="75"/>
      <c r="CQ331" s="75"/>
      <c r="CR331" s="75"/>
      <c r="CS331" s="75"/>
      <c r="CT331" s="72"/>
      <c r="CU331" s="75"/>
      <c r="CV331" s="72"/>
      <c r="CW331" s="75"/>
      <c r="CX331" s="72"/>
      <c r="CY331" s="75"/>
      <c r="CZ331" s="72"/>
      <c r="DA331" s="75"/>
      <c r="DB331" s="72"/>
      <c r="DC331" s="75"/>
      <c r="DD331" s="72"/>
      <c r="DE331" s="75"/>
      <c r="DF331" s="72"/>
      <c r="DG331" s="75"/>
      <c r="DH331" s="72"/>
      <c r="DI331" s="75"/>
      <c r="DJ331" s="72"/>
      <c r="DK331" s="75"/>
      <c r="DL331" s="72"/>
      <c r="DM331" s="75"/>
      <c r="DN331" s="72"/>
      <c r="DO331" s="75"/>
      <c r="DP331" s="72"/>
      <c r="DQ331" s="75"/>
      <c r="DR331" s="72"/>
      <c r="DS331" s="75"/>
      <c r="DT331" s="72"/>
      <c r="DU331" s="75"/>
      <c r="DV331" s="72"/>
      <c r="DW331" s="75"/>
      <c r="DX331" s="72"/>
      <c r="DY331" s="75"/>
      <c r="DZ331" s="72"/>
      <c r="EA331" s="75"/>
      <c r="EB331" s="72"/>
      <c r="EC331" s="75"/>
      <c r="ED331" s="72"/>
      <c r="EE331" s="75"/>
      <c r="EF331" s="72"/>
      <c r="EG331" s="75"/>
      <c r="EH331" s="72"/>
      <c r="EI331" s="75"/>
      <c r="EJ331" s="72"/>
      <c r="EK331" s="75"/>
      <c r="EL331" s="72"/>
      <c r="EM331" s="75"/>
      <c r="EN331" s="72"/>
      <c r="EO331" s="75"/>
      <c r="EP331" s="72"/>
      <c r="EQ331" s="75"/>
      <c r="ER331" s="72"/>
      <c r="ES331" s="75"/>
      <c r="ET331" s="72"/>
      <c r="EU331" s="75"/>
      <c r="EV331" s="72"/>
      <c r="EW331" s="75"/>
      <c r="EX331" s="72"/>
      <c r="EY331" s="72"/>
      <c r="EZ331" s="309"/>
      <c r="FA331" s="72"/>
      <c r="FB331" s="81"/>
      <c r="FC331" s="72"/>
      <c r="FD331" s="81"/>
      <c r="FE331" s="72"/>
      <c r="FF331" s="81"/>
      <c r="FG331" s="72"/>
      <c r="FH331" s="81"/>
      <c r="FI331" s="72"/>
      <c r="FJ331" s="81"/>
      <c r="FK331" s="72"/>
      <c r="FL331" s="81"/>
      <c r="FM331" s="72"/>
      <c r="FN331" s="81"/>
      <c r="FO331" s="72"/>
      <c r="FP331" s="81"/>
      <c r="FQ331" s="72"/>
      <c r="FR331" s="75"/>
      <c r="FS331" s="72"/>
      <c r="FT331" s="75"/>
      <c r="FU331" s="72"/>
      <c r="FV331" s="75"/>
      <c r="FW331" s="72"/>
      <c r="FX331" s="75"/>
      <c r="FY331" s="72"/>
      <c r="FZ331" s="75"/>
      <c r="GA331" s="72"/>
      <c r="GB331" s="75"/>
      <c r="GC331" s="72"/>
      <c r="GD331" s="75"/>
      <c r="GE331" s="72"/>
      <c r="GF331" s="75"/>
      <c r="GG331" s="72"/>
      <c r="GH331" s="75"/>
      <c r="GI331" s="72"/>
      <c r="GJ331" s="75"/>
      <c r="GK331" s="72"/>
      <c r="GL331" s="75"/>
      <c r="GM331" s="72"/>
      <c r="GN331" s="75"/>
      <c r="GO331" s="72"/>
      <c r="GP331" s="75"/>
      <c r="GQ331" s="72"/>
      <c r="GR331" s="75"/>
      <c r="GS331" s="72"/>
      <c r="GT331" s="75"/>
      <c r="GU331" s="72"/>
      <c r="GV331" s="75"/>
      <c r="GW331" s="72"/>
      <c r="GX331" s="75"/>
      <c r="GY331" s="72"/>
      <c r="GZ331" s="72"/>
      <c r="HA331" s="72"/>
      <c r="HB331" s="72"/>
      <c r="HC331"/>
      <c r="HD331"/>
      <c r="HE331"/>
      <c r="HF331"/>
      <c r="HG331"/>
      <c r="HH331"/>
      <c r="HI331" s="2"/>
    </row>
    <row r="332" spans="1:217" s="253" customFormat="1" ht="12.75" hidden="1" customHeight="1" outlineLevel="1" x14ac:dyDescent="0.2">
      <c r="B332" s="254" t="s">
        <v>524</v>
      </c>
      <c r="C332" s="255"/>
      <c r="D332" s="256"/>
      <c r="E332" s="255"/>
      <c r="F332" s="256"/>
      <c r="G332" s="255"/>
      <c r="H332" s="256"/>
      <c r="I332" s="255"/>
      <c r="J332" s="256"/>
      <c r="K332" s="255"/>
      <c r="L332" s="256"/>
      <c r="M332" s="255"/>
      <c r="N332" s="256"/>
      <c r="O332" s="255"/>
      <c r="P332" s="256"/>
      <c r="Q332" s="255"/>
      <c r="R332" s="256"/>
      <c r="S332" s="255"/>
      <c r="T332" s="256"/>
      <c r="U332" s="255"/>
      <c r="V332" s="256"/>
      <c r="W332" s="255"/>
      <c r="X332" s="256"/>
      <c r="Y332" s="255"/>
      <c r="Z332" s="256"/>
      <c r="AA332" s="255"/>
      <c r="AB332" s="256"/>
      <c r="AC332" s="255"/>
      <c r="AD332" s="256"/>
      <c r="AE332" s="255"/>
      <c r="AF332" s="256"/>
      <c r="AG332" s="255"/>
      <c r="AH332" s="256"/>
      <c r="AI332" s="255"/>
      <c r="AJ332" s="256"/>
      <c r="AK332" s="255"/>
      <c r="AL332" s="256"/>
      <c r="AM332" s="255"/>
      <c r="AN332" s="256"/>
      <c r="AO332" s="255"/>
      <c r="AP332" s="256"/>
      <c r="AQ332" s="255"/>
      <c r="AR332" s="256"/>
      <c r="AS332" s="255"/>
      <c r="AT332" s="256"/>
      <c r="AU332" s="255"/>
      <c r="AV332" s="256"/>
      <c r="AW332" s="255"/>
      <c r="AX332" s="256"/>
      <c r="AY332" s="255"/>
      <c r="AZ332" s="256"/>
      <c r="BA332" s="255"/>
      <c r="BB332" s="256"/>
      <c r="BC332" s="255"/>
      <c r="BD332" s="256"/>
      <c r="BE332" s="255"/>
      <c r="BF332" s="256"/>
      <c r="BG332" s="255"/>
      <c r="BH332" s="256"/>
      <c r="BI332" s="255"/>
      <c r="BJ332" s="256"/>
      <c r="BK332" s="255"/>
      <c r="BL332" s="256"/>
      <c r="BM332" s="255"/>
      <c r="BN332" s="256"/>
      <c r="BO332" s="255"/>
      <c r="BP332" s="256"/>
      <c r="BQ332" s="255"/>
      <c r="BR332" s="255"/>
      <c r="BS332" s="255"/>
      <c r="BT332" s="256"/>
      <c r="BU332" s="255"/>
      <c r="BV332" s="256"/>
      <c r="BW332" s="255"/>
      <c r="BX332" s="256"/>
      <c r="BY332" s="255"/>
      <c r="BZ332" s="256"/>
      <c r="CA332" s="255"/>
      <c r="CB332" s="256"/>
      <c r="CC332" s="255"/>
      <c r="CD332" s="256"/>
      <c r="CE332" s="255"/>
      <c r="CF332" s="256"/>
      <c r="CG332" s="255"/>
      <c r="CH332" s="256"/>
      <c r="CI332" s="255"/>
      <c r="CJ332" s="256"/>
      <c r="CK332" s="255"/>
      <c r="CL332" s="256"/>
      <c r="CM332" s="255"/>
      <c r="CN332" s="256"/>
      <c r="CO332" s="255"/>
      <c r="CP332" s="256"/>
      <c r="CQ332" s="255"/>
      <c r="CR332" s="256"/>
      <c r="CS332" s="255"/>
      <c r="CT332" s="256"/>
      <c r="CU332" s="255"/>
      <c r="CV332" s="256"/>
      <c r="CW332" s="255"/>
      <c r="CX332" s="256"/>
      <c r="CY332" s="255"/>
      <c r="CZ332" s="256"/>
      <c r="DA332" s="255"/>
      <c r="DB332" s="256"/>
      <c r="DC332" s="255"/>
      <c r="DD332" s="256"/>
      <c r="DE332" s="255"/>
      <c r="DF332" s="256"/>
      <c r="DG332" s="255"/>
      <c r="DH332" s="256"/>
      <c r="DI332" s="255"/>
      <c r="DJ332" s="256"/>
      <c r="DK332" s="255"/>
      <c r="DL332" s="256"/>
      <c r="DM332" s="255"/>
      <c r="DN332" s="256"/>
      <c r="DO332" s="255"/>
      <c r="DP332" s="256"/>
      <c r="DQ332" s="255"/>
      <c r="DR332" s="256"/>
      <c r="DS332" s="255"/>
      <c r="DT332" s="256"/>
      <c r="DU332" s="255"/>
      <c r="DV332" s="256"/>
      <c r="DW332" s="257"/>
      <c r="DX332" s="256"/>
      <c r="DY332" s="257"/>
      <c r="DZ332" s="256"/>
      <c r="EA332" s="257"/>
      <c r="EB332" s="256"/>
      <c r="EC332" s="257"/>
      <c r="ED332" s="256"/>
      <c r="EE332" s="257"/>
      <c r="EF332" s="256"/>
      <c r="EG332" s="257"/>
      <c r="EH332" s="256"/>
      <c r="EI332" s="257"/>
      <c r="EJ332" s="256"/>
      <c r="EK332" s="257"/>
      <c r="EL332" s="256"/>
      <c r="EM332" s="257"/>
      <c r="EN332" s="256"/>
      <c r="EO332" s="257"/>
      <c r="EP332" s="256"/>
      <c r="EQ332" s="257"/>
      <c r="ER332" s="256"/>
      <c r="ES332" s="257"/>
      <c r="ET332" s="256"/>
      <c r="EU332" s="257"/>
      <c r="EV332" s="256"/>
      <c r="EW332" s="257"/>
      <c r="EX332" s="256"/>
      <c r="EY332" s="256"/>
      <c r="EZ332" s="316"/>
      <c r="FA332" s="256"/>
      <c r="FB332" s="255"/>
      <c r="FC332" s="256"/>
      <c r="FD332" s="255"/>
      <c r="FE332" s="256"/>
      <c r="FF332" s="255"/>
      <c r="FG332" s="256"/>
      <c r="FH332" s="255"/>
      <c r="FI332" s="256"/>
      <c r="FJ332" s="255"/>
      <c r="FK332" s="256"/>
      <c r="FL332" s="255"/>
      <c r="FM332" s="256"/>
      <c r="FN332" s="255"/>
      <c r="FO332" s="256"/>
      <c r="FP332" s="255"/>
      <c r="FQ332" s="256"/>
      <c r="FR332" s="257"/>
      <c r="FS332" s="256"/>
      <c r="FT332" s="257"/>
      <c r="FU332" s="256"/>
      <c r="FV332" s="257"/>
      <c r="FW332" s="256"/>
      <c r="FX332" s="257"/>
      <c r="FY332" s="256"/>
      <c r="FZ332" s="257"/>
      <c r="GA332" s="256"/>
      <c r="GB332" s="257"/>
      <c r="GC332" s="256"/>
      <c r="GD332" s="257"/>
      <c r="GE332" s="256"/>
      <c r="GF332" s="257"/>
      <c r="GG332" s="788"/>
      <c r="GH332" s="257"/>
      <c r="GI332" s="788"/>
      <c r="GJ332" s="257"/>
      <c r="GK332" s="788"/>
      <c r="GL332" s="257"/>
      <c r="GM332" s="788"/>
      <c r="GN332" s="257"/>
      <c r="GO332" s="788"/>
      <c r="GP332" s="257"/>
      <c r="GQ332" s="788"/>
      <c r="GR332" s="257"/>
      <c r="GS332" s="788"/>
      <c r="GT332" s="257"/>
      <c r="GU332" s="788"/>
      <c r="GV332" s="257"/>
      <c r="GW332" s="788"/>
      <c r="GX332" s="257"/>
      <c r="GY332" s="788"/>
      <c r="GZ332" s="256"/>
      <c r="HA332" s="256"/>
      <c r="HB332" s="256"/>
      <c r="HC332"/>
      <c r="HD332"/>
      <c r="HE332"/>
      <c r="HF332"/>
      <c r="HG332"/>
      <c r="HH332"/>
    </row>
    <row r="333" spans="1:217" s="3" customFormat="1" ht="12.75" hidden="1" customHeight="1" outlineLevel="1" x14ac:dyDescent="0.2">
      <c r="B333" s="113"/>
      <c r="C333" s="117"/>
      <c r="D333" s="72"/>
      <c r="E333" s="117"/>
      <c r="F333" s="72"/>
      <c r="G333" s="117"/>
      <c r="H333" s="72"/>
      <c r="I333" s="117"/>
      <c r="J333" s="72"/>
      <c r="K333" s="117"/>
      <c r="L333" s="72"/>
      <c r="M333" s="117"/>
      <c r="N333" s="72"/>
      <c r="O333" s="117"/>
      <c r="P333" s="72"/>
      <c r="Q333" s="117"/>
      <c r="R333" s="72"/>
      <c r="S333" s="117"/>
      <c r="T333" s="72"/>
      <c r="U333" s="117"/>
      <c r="V333" s="72"/>
      <c r="W333" s="117"/>
      <c r="X333" s="72"/>
      <c r="Y333" s="117"/>
      <c r="Z333" s="72"/>
      <c r="AA333" s="117"/>
      <c r="AB333" s="72"/>
      <c r="AC333" s="117"/>
      <c r="AD333" s="72"/>
      <c r="AE333" s="117"/>
      <c r="AF333" s="72"/>
      <c r="AG333" s="117"/>
      <c r="AH333" s="72"/>
      <c r="AI333" s="117"/>
      <c r="AJ333" s="72"/>
      <c r="AK333" s="117"/>
      <c r="AL333" s="72"/>
      <c r="AM333" s="117"/>
      <c r="AN333" s="72"/>
      <c r="AO333" s="117"/>
      <c r="AP333" s="72"/>
      <c r="AQ333" s="117"/>
      <c r="AR333" s="72"/>
      <c r="AS333" s="117"/>
      <c r="AT333" s="72"/>
      <c r="AU333" s="117"/>
      <c r="AV333" s="72"/>
      <c r="AW333" s="117"/>
      <c r="AX333" s="72"/>
      <c r="AY333" s="117"/>
      <c r="AZ333" s="72"/>
      <c r="BA333" s="117"/>
      <c r="BB333" s="72"/>
      <c r="BC333" s="117"/>
      <c r="BD333" s="72"/>
      <c r="BE333" s="117"/>
      <c r="BF333" s="72"/>
      <c r="BG333" s="117"/>
      <c r="BH333" s="72"/>
      <c r="BI333" s="117"/>
      <c r="BJ333" s="72"/>
      <c r="BK333" s="117"/>
      <c r="BL333" s="72"/>
      <c r="BM333" s="117"/>
      <c r="BN333" s="72"/>
      <c r="BO333" s="117"/>
      <c r="BP333" s="72"/>
      <c r="BQ333" s="117"/>
      <c r="BR333" s="72"/>
      <c r="BS333" s="117"/>
      <c r="BT333" s="72"/>
      <c r="BU333" s="117"/>
      <c r="BV333" s="72"/>
      <c r="BW333" s="117"/>
      <c r="BX333" s="72"/>
      <c r="BY333" s="117"/>
      <c r="BZ333" s="72"/>
      <c r="CA333" s="117"/>
      <c r="CB333" s="72"/>
      <c r="CC333" s="117"/>
      <c r="CD333" s="72"/>
      <c r="CE333" s="117"/>
      <c r="CF333" s="72"/>
      <c r="CG333" s="117"/>
      <c r="CH333" s="72"/>
      <c r="CI333" s="117"/>
      <c r="CJ333" s="72"/>
      <c r="CK333" s="117"/>
      <c r="CL333" s="72"/>
      <c r="CM333" s="117"/>
      <c r="CN333" s="72"/>
      <c r="CO333" s="117"/>
      <c r="CP333" s="72"/>
      <c r="CQ333" s="117"/>
      <c r="CR333" s="72"/>
      <c r="CS333" s="117"/>
      <c r="CT333" s="72"/>
      <c r="CU333" s="117"/>
      <c r="CV333" s="72"/>
      <c r="CW333" s="117"/>
      <c r="CX333" s="72"/>
      <c r="CY333" s="117"/>
      <c r="CZ333" s="72"/>
      <c r="DA333" s="117"/>
      <c r="DB333" s="72"/>
      <c r="DC333" s="117"/>
      <c r="DD333" s="72"/>
      <c r="DE333" s="117"/>
      <c r="DF333" s="72"/>
      <c r="DG333" s="117"/>
      <c r="DH333" s="72"/>
      <c r="DI333" s="117"/>
      <c r="DJ333" s="72"/>
      <c r="DK333" s="117"/>
      <c r="DL333" s="72"/>
      <c r="DM333" s="117"/>
      <c r="DN333" s="72"/>
      <c r="DO333" s="117"/>
      <c r="DP333" s="72"/>
      <c r="DQ333" s="117"/>
      <c r="DR333" s="72"/>
      <c r="DS333" s="117"/>
      <c r="DT333" s="72"/>
      <c r="DU333" s="117"/>
      <c r="DV333" s="72"/>
      <c r="DW333" s="75"/>
      <c r="DX333" s="72"/>
      <c r="DY333" s="75"/>
      <c r="DZ333" s="72"/>
      <c r="EA333" s="75"/>
      <c r="EB333" s="72"/>
      <c r="EC333" s="75"/>
      <c r="ED333" s="72"/>
      <c r="EE333" s="75"/>
      <c r="EF333" s="72"/>
      <c r="EG333" s="75"/>
      <c r="EH333" s="72"/>
      <c r="EI333" s="75"/>
      <c r="EJ333" s="72"/>
      <c r="EK333" s="75"/>
      <c r="EL333" s="72"/>
      <c r="EM333" s="75"/>
      <c r="EN333" s="72"/>
      <c r="EO333" s="75"/>
      <c r="EP333" s="72"/>
      <c r="EQ333" s="75"/>
      <c r="ER333" s="72"/>
      <c r="ES333" s="75"/>
      <c r="ET333" s="72"/>
      <c r="EU333" s="75"/>
      <c r="EV333" s="72"/>
      <c r="EW333" s="75"/>
      <c r="EX333" s="72"/>
      <c r="EY333" s="72"/>
      <c r="EZ333" s="309"/>
      <c r="FA333" s="72"/>
      <c r="FB333" s="81"/>
      <c r="FC333" s="72"/>
      <c r="FD333" s="81"/>
      <c r="FE333" s="72"/>
      <c r="FF333" s="81"/>
      <c r="FG333" s="72"/>
      <c r="FH333" s="81"/>
      <c r="FI333" s="72"/>
      <c r="FJ333" s="81"/>
      <c r="FK333" s="72"/>
      <c r="FL333" s="81"/>
      <c r="FM333" s="72"/>
      <c r="FN333" s="81"/>
      <c r="FO333" s="72"/>
      <c r="FP333" s="81"/>
      <c r="FQ333" s="72"/>
      <c r="FR333" s="75"/>
      <c r="FS333" s="72"/>
      <c r="FT333" s="75"/>
      <c r="FU333" s="72"/>
      <c r="FV333" s="75"/>
      <c r="FW333" s="72"/>
      <c r="FX333" s="75"/>
      <c r="FY333" s="72"/>
      <c r="FZ333" s="75"/>
      <c r="GA333" s="72"/>
      <c r="GB333" s="75"/>
      <c r="GC333" s="72"/>
      <c r="GD333" s="75"/>
      <c r="GE333" s="72"/>
      <c r="GF333" s="75"/>
      <c r="GG333" s="72"/>
      <c r="GH333" s="75"/>
      <c r="GI333" s="72"/>
      <c r="GJ333" s="75"/>
      <c r="GK333" s="72"/>
      <c r="GL333" s="75"/>
      <c r="GM333" s="72"/>
      <c r="GN333" s="75"/>
      <c r="GO333" s="72"/>
      <c r="GP333" s="75"/>
      <c r="GQ333" s="72"/>
      <c r="GR333" s="75"/>
      <c r="GS333" s="72"/>
      <c r="GT333" s="75"/>
      <c r="GU333" s="72"/>
      <c r="GV333" s="75"/>
      <c r="GW333" s="72"/>
      <c r="GX333" s="75"/>
      <c r="GY333" s="72"/>
      <c r="GZ333" s="72"/>
      <c r="HA333" s="72"/>
      <c r="HB333" s="72"/>
      <c r="HC333"/>
      <c r="HD333"/>
      <c r="HE333"/>
      <c r="HF333"/>
      <c r="HG333"/>
      <c r="HH333"/>
      <c r="HI333" s="2"/>
    </row>
    <row r="334" spans="1:217" s="3" customFormat="1" ht="12.75" hidden="1" customHeight="1" outlineLevel="1" x14ac:dyDescent="0.2">
      <c r="B334" s="118" t="s">
        <v>258</v>
      </c>
      <c r="C334" s="117"/>
      <c r="D334" s="72"/>
      <c r="E334" s="117"/>
      <c r="F334" s="72"/>
      <c r="G334" s="117"/>
      <c r="H334" s="72"/>
      <c r="I334" s="117"/>
      <c r="J334" s="72"/>
      <c r="K334" s="117"/>
      <c r="L334" s="72"/>
      <c r="M334" s="117"/>
      <c r="N334" s="72"/>
      <c r="O334" s="117"/>
      <c r="P334" s="72"/>
      <c r="Q334" s="117"/>
      <c r="R334" s="72"/>
      <c r="S334" s="117"/>
      <c r="T334" s="72"/>
      <c r="U334" s="117"/>
      <c r="V334" s="72"/>
      <c r="W334" s="117"/>
      <c r="X334" s="72"/>
      <c r="Y334" s="117"/>
      <c r="Z334" s="72"/>
      <c r="AA334" s="117"/>
      <c r="AB334" s="72"/>
      <c r="AC334" s="117"/>
      <c r="AD334" s="72"/>
      <c r="AE334" s="117"/>
      <c r="AF334" s="72"/>
      <c r="AG334" s="117"/>
      <c r="AH334" s="72"/>
      <c r="AI334" s="117"/>
      <c r="AJ334" s="72"/>
      <c r="AK334" s="117"/>
      <c r="AL334" s="72"/>
      <c r="AM334" s="117"/>
      <c r="AN334" s="72"/>
      <c r="AO334" s="117"/>
      <c r="AP334" s="72"/>
      <c r="AQ334" s="117"/>
      <c r="AR334" s="72"/>
      <c r="AS334" s="117"/>
      <c r="AT334" s="72"/>
      <c r="AU334" s="117"/>
      <c r="AV334" s="72"/>
      <c r="AW334" s="117"/>
      <c r="AX334" s="72"/>
      <c r="AY334" s="117"/>
      <c r="AZ334" s="72"/>
      <c r="BA334" s="117"/>
      <c r="BB334" s="72"/>
      <c r="BC334" s="117"/>
      <c r="BD334" s="72"/>
      <c r="BE334" s="117"/>
      <c r="BF334" s="72"/>
      <c r="BG334" s="74">
        <f>BG340/0.38</f>
        <v>244.73684210526315</v>
      </c>
      <c r="BH334" s="72"/>
      <c r="BI334" s="74">
        <f>BI340/0.38</f>
        <v>255.26315789473685</v>
      </c>
      <c r="BJ334" s="72"/>
      <c r="BK334" s="75"/>
      <c r="BL334" s="72"/>
      <c r="BM334" s="75"/>
      <c r="BN334" s="72"/>
      <c r="BO334" s="75"/>
      <c r="BP334" s="72"/>
      <c r="BQ334" s="75"/>
      <c r="BR334" s="72"/>
      <c r="BS334" s="75"/>
      <c r="BT334" s="72"/>
      <c r="BU334" s="75"/>
      <c r="BV334" s="72"/>
      <c r="BW334" s="75"/>
      <c r="BX334" s="72"/>
      <c r="BY334" s="75"/>
      <c r="BZ334" s="72"/>
      <c r="CA334" s="75"/>
      <c r="CB334" s="72"/>
      <c r="CC334" s="75"/>
      <c r="CD334" s="72"/>
      <c r="CE334" s="75"/>
      <c r="CF334" s="72"/>
      <c r="CG334" s="75"/>
      <c r="CH334" s="72"/>
      <c r="CI334" s="75"/>
      <c r="CJ334" s="72"/>
      <c r="CK334" s="75"/>
      <c r="CL334" s="72"/>
      <c r="CM334" s="75"/>
      <c r="CN334" s="72"/>
      <c r="CO334" s="75"/>
      <c r="CP334" s="72"/>
      <c r="CQ334" s="75"/>
      <c r="CR334" s="72"/>
      <c r="CS334" s="75"/>
      <c r="CT334" s="72"/>
      <c r="CU334" s="75"/>
      <c r="CV334" s="72"/>
      <c r="CW334" s="75"/>
      <c r="CX334" s="72"/>
      <c r="CY334" s="75"/>
      <c r="CZ334" s="72"/>
      <c r="DA334" s="75"/>
      <c r="DB334" s="72"/>
      <c r="DC334" s="75"/>
      <c r="DD334" s="72"/>
      <c r="DE334" s="75"/>
      <c r="DF334" s="72"/>
      <c r="DG334" s="75"/>
      <c r="DH334" s="72"/>
      <c r="DI334" s="75"/>
      <c r="DJ334" s="72"/>
      <c r="DK334" s="75"/>
      <c r="DL334" s="72"/>
      <c r="DM334" s="75"/>
      <c r="DN334" s="72"/>
      <c r="DO334" s="75"/>
      <c r="DP334" s="72"/>
      <c r="DQ334" s="75"/>
      <c r="DR334" s="72"/>
      <c r="DS334" s="75"/>
      <c r="DT334" s="72"/>
      <c r="DU334" s="75"/>
      <c r="DV334" s="72"/>
      <c r="DW334" s="74"/>
      <c r="DX334" s="72"/>
      <c r="DY334" s="74"/>
      <c r="DZ334" s="72"/>
      <c r="EA334" s="74"/>
      <c r="EB334" s="72"/>
      <c r="EC334" s="74"/>
      <c r="ED334" s="72"/>
      <c r="EE334" s="74"/>
      <c r="EF334" s="72"/>
      <c r="EG334" s="74"/>
      <c r="EH334" s="72"/>
      <c r="EI334" s="74"/>
      <c r="EJ334" s="72"/>
      <c r="EK334" s="74"/>
      <c r="EL334" s="72"/>
      <c r="EM334" s="74"/>
      <c r="EN334" s="72"/>
      <c r="EO334" s="74"/>
      <c r="EP334" s="72"/>
      <c r="EQ334" s="74"/>
      <c r="ER334" s="72"/>
      <c r="ES334" s="74"/>
      <c r="ET334" s="72"/>
      <c r="EU334" s="74"/>
      <c r="EV334" s="72"/>
      <c r="EW334" s="74"/>
      <c r="EX334" s="72"/>
      <c r="EY334" s="72"/>
      <c r="EZ334" s="309"/>
      <c r="FA334" s="72"/>
      <c r="FB334" s="81"/>
      <c r="FC334" s="72"/>
      <c r="FD334" s="81"/>
      <c r="FE334" s="72"/>
      <c r="FF334" s="81"/>
      <c r="FG334" s="72"/>
      <c r="FH334" s="81"/>
      <c r="FI334" s="72"/>
      <c r="FJ334" s="81"/>
      <c r="FK334" s="72"/>
      <c r="FL334" s="81"/>
      <c r="FM334" s="72"/>
      <c r="FN334" s="81"/>
      <c r="FO334" s="72"/>
      <c r="FP334" s="81"/>
      <c r="FQ334" s="72"/>
      <c r="FR334" s="75">
        <f>FR340/0.38</f>
        <v>773.68421052631572</v>
      </c>
      <c r="FS334" s="72"/>
      <c r="FT334" s="75">
        <f>BG334+BI334+BK334+BM334</f>
        <v>500</v>
      </c>
      <c r="FU334" s="72">
        <f t="shared" ref="FU334:FU339" si="1863">IF(ISERROR(FT334/FR334),"NA",IF(OR(FT334/FR334&gt;2,FT334/FR334&lt;0.5),"NM",FT334/FR334*100-100))</f>
        <v>-35.374149659863946</v>
      </c>
      <c r="FV334" s="75"/>
      <c r="FW334" s="72"/>
      <c r="FX334" s="75"/>
      <c r="FY334" s="72"/>
      <c r="FZ334" s="75"/>
      <c r="GA334" s="72"/>
      <c r="GB334" s="75"/>
      <c r="GC334" s="72"/>
      <c r="GD334" s="75"/>
      <c r="GE334" s="72"/>
      <c r="GF334" s="75"/>
      <c r="GG334" s="72"/>
      <c r="GH334" s="75"/>
      <c r="GI334" s="72"/>
      <c r="GJ334" s="75"/>
      <c r="GK334" s="72"/>
      <c r="GL334" s="75"/>
      <c r="GM334" s="72"/>
      <c r="GN334" s="75"/>
      <c r="GO334" s="72"/>
      <c r="GP334" s="75"/>
      <c r="GQ334" s="72"/>
      <c r="GR334" s="74"/>
      <c r="GS334" s="72"/>
      <c r="GT334" s="74"/>
      <c r="GU334" s="72"/>
      <c r="GV334" s="74"/>
      <c r="GW334" s="72"/>
      <c r="GX334" s="74"/>
      <c r="GY334" s="72"/>
      <c r="GZ334" s="72"/>
      <c r="HA334" s="72"/>
      <c r="HB334" s="72"/>
      <c r="HC334"/>
      <c r="HD334"/>
      <c r="HE334"/>
      <c r="HF334"/>
      <c r="HG334"/>
      <c r="HH334"/>
      <c r="HI334" s="2"/>
    </row>
    <row r="335" spans="1:217" s="3" customFormat="1" ht="12.75" hidden="1" customHeight="1" outlineLevel="1" x14ac:dyDescent="0.2">
      <c r="B335" s="118" t="s">
        <v>67</v>
      </c>
      <c r="C335" s="117"/>
      <c r="D335" s="72"/>
      <c r="E335" s="117"/>
      <c r="F335" s="72"/>
      <c r="G335" s="117"/>
      <c r="H335" s="72"/>
      <c r="I335" s="117"/>
      <c r="J335" s="72"/>
      <c r="K335" s="117"/>
      <c r="L335" s="72"/>
      <c r="M335" s="117"/>
      <c r="N335" s="72"/>
      <c r="O335" s="117"/>
      <c r="P335" s="72"/>
      <c r="Q335" s="117"/>
      <c r="R335" s="72"/>
      <c r="S335" s="117"/>
      <c r="T335" s="72"/>
      <c r="U335" s="117"/>
      <c r="V335" s="72"/>
      <c r="W335" s="117"/>
      <c r="X335" s="72"/>
      <c r="Y335" s="117"/>
      <c r="Z335" s="72"/>
      <c r="AA335" s="117"/>
      <c r="AB335" s="72"/>
      <c r="AC335" s="117"/>
      <c r="AD335" s="72"/>
      <c r="AE335" s="117"/>
      <c r="AF335" s="72"/>
      <c r="AG335" s="117"/>
      <c r="AH335" s="72"/>
      <c r="AI335" s="117"/>
      <c r="AJ335" s="72"/>
      <c r="AK335" s="117"/>
      <c r="AL335" s="72"/>
      <c r="AM335" s="117"/>
      <c r="AN335" s="72"/>
      <c r="AO335" s="117"/>
      <c r="AP335" s="72"/>
      <c r="AQ335" s="117"/>
      <c r="AR335" s="72"/>
      <c r="AS335" s="117"/>
      <c r="AT335" s="72"/>
      <c r="AU335" s="117"/>
      <c r="AV335" s="72"/>
      <c r="AW335" s="117"/>
      <c r="AX335" s="72"/>
      <c r="AY335" s="117"/>
      <c r="AZ335" s="72"/>
      <c r="BA335" s="117"/>
      <c r="BB335" s="72"/>
      <c r="BC335" s="117"/>
      <c r="BD335" s="72"/>
      <c r="BE335" s="117"/>
      <c r="BF335" s="72"/>
      <c r="BG335" s="117"/>
      <c r="BH335" s="72"/>
      <c r="BI335" s="117"/>
      <c r="BJ335" s="72"/>
      <c r="BK335" s="117"/>
      <c r="BL335" s="72"/>
      <c r="BM335" s="117"/>
      <c r="BN335" s="72"/>
      <c r="BO335" s="117"/>
      <c r="BP335" s="72"/>
      <c r="BQ335" s="117"/>
      <c r="BR335" s="72"/>
      <c r="BS335" s="117"/>
      <c r="BT335" s="72"/>
      <c r="BU335" s="117"/>
      <c r="BV335" s="72"/>
      <c r="BW335" s="117"/>
      <c r="BX335" s="72"/>
      <c r="BY335" s="117"/>
      <c r="BZ335" s="72"/>
      <c r="CA335" s="117"/>
      <c r="CB335" s="72"/>
      <c r="CC335" s="117"/>
      <c r="CD335" s="72"/>
      <c r="CE335" s="117"/>
      <c r="CF335" s="72"/>
      <c r="CG335" s="117"/>
      <c r="CH335" s="72"/>
      <c r="CI335" s="117"/>
      <c r="CJ335" s="72"/>
      <c r="CK335" s="117"/>
      <c r="CL335" s="72"/>
      <c r="CM335" s="117"/>
      <c r="CN335" s="72"/>
      <c r="CO335" s="117"/>
      <c r="CP335" s="72"/>
      <c r="CQ335" s="117"/>
      <c r="CR335" s="72"/>
      <c r="CS335" s="117"/>
      <c r="CT335" s="72"/>
      <c r="CU335" s="117"/>
      <c r="CV335" s="72"/>
      <c r="CW335" s="117"/>
      <c r="CX335" s="72"/>
      <c r="CY335" s="117"/>
      <c r="CZ335" s="72"/>
      <c r="DA335" s="117"/>
      <c r="DB335" s="72"/>
      <c r="DC335" s="117"/>
      <c r="DD335" s="72"/>
      <c r="DE335" s="117"/>
      <c r="DF335" s="72"/>
      <c r="DG335" s="117"/>
      <c r="DH335" s="72"/>
      <c r="DI335" s="117"/>
      <c r="DJ335" s="72"/>
      <c r="DK335" s="117"/>
      <c r="DL335" s="72"/>
      <c r="DM335" s="117"/>
      <c r="DN335" s="72"/>
      <c r="DO335" s="117"/>
      <c r="DP335" s="72"/>
      <c r="DQ335" s="117"/>
      <c r="DR335" s="72"/>
      <c r="DS335" s="117"/>
      <c r="DT335" s="72"/>
      <c r="DU335" s="117"/>
      <c r="DV335" s="72"/>
      <c r="DW335" s="74"/>
      <c r="DX335" s="72"/>
      <c r="DY335" s="74"/>
      <c r="DZ335" s="72"/>
      <c r="EA335" s="74"/>
      <c r="EB335" s="72"/>
      <c r="EC335" s="74"/>
      <c r="ED335" s="72"/>
      <c r="EE335" s="74"/>
      <c r="EF335" s="72"/>
      <c r="EG335" s="74"/>
      <c r="EH335" s="72"/>
      <c r="EI335" s="74"/>
      <c r="EJ335" s="72"/>
      <c r="EK335" s="74"/>
      <c r="EL335" s="72"/>
      <c r="EM335" s="74"/>
      <c r="EN335" s="72"/>
      <c r="EO335" s="74"/>
      <c r="EP335" s="72"/>
      <c r="EQ335" s="74"/>
      <c r="ER335" s="72"/>
      <c r="ES335" s="74"/>
      <c r="ET335" s="72"/>
      <c r="EU335" s="74"/>
      <c r="EV335" s="72"/>
      <c r="EW335" s="74"/>
      <c r="EX335" s="72"/>
      <c r="EY335" s="72"/>
      <c r="EZ335" s="309"/>
      <c r="FA335" s="72"/>
      <c r="FB335" s="81"/>
      <c r="FC335" s="72"/>
      <c r="FD335" s="81"/>
      <c r="FE335" s="72"/>
      <c r="FF335" s="81"/>
      <c r="FG335" s="72"/>
      <c r="FH335" s="81"/>
      <c r="FI335" s="72"/>
      <c r="FJ335" s="81"/>
      <c r="FK335" s="72"/>
      <c r="FL335" s="81"/>
      <c r="FM335" s="72"/>
      <c r="FN335" s="81"/>
      <c r="FO335" s="72"/>
      <c r="FP335" s="81"/>
      <c r="FQ335" s="72"/>
      <c r="FR335" s="75"/>
      <c r="FS335" s="72"/>
      <c r="FT335" s="75">
        <f>BG335+BI335+BK335+BM335</f>
        <v>0</v>
      </c>
      <c r="FU335" s="72" t="str">
        <f t="shared" si="1863"/>
        <v>NA</v>
      </c>
      <c r="FV335" s="75"/>
      <c r="FW335" s="72"/>
      <c r="FX335" s="75"/>
      <c r="FY335" s="72"/>
      <c r="FZ335" s="75"/>
      <c r="GA335" s="72"/>
      <c r="GB335" s="75"/>
      <c r="GC335" s="72"/>
      <c r="GD335" s="75"/>
      <c r="GE335" s="72"/>
      <c r="GF335" s="75"/>
      <c r="GG335" s="72"/>
      <c r="GH335" s="75"/>
      <c r="GI335" s="72"/>
      <c r="GJ335" s="75"/>
      <c r="GK335" s="72"/>
      <c r="GL335" s="75"/>
      <c r="GM335" s="72"/>
      <c r="GN335" s="75"/>
      <c r="GO335" s="72"/>
      <c r="GP335" s="75"/>
      <c r="GQ335" s="72"/>
      <c r="GR335" s="74"/>
      <c r="GS335" s="72"/>
      <c r="GT335" s="74"/>
      <c r="GU335" s="72"/>
      <c r="GV335" s="74"/>
      <c r="GW335" s="72"/>
      <c r="GX335" s="74"/>
      <c r="GY335" s="72"/>
      <c r="GZ335" s="72"/>
      <c r="HA335" s="72"/>
      <c r="HB335" s="72"/>
      <c r="HC335"/>
      <c r="HD335"/>
      <c r="HE335"/>
      <c r="HF335"/>
      <c r="HG335"/>
      <c r="HH335"/>
      <c r="HI335" s="2"/>
    </row>
    <row r="336" spans="1:217" s="3" customFormat="1" ht="12.75" hidden="1" customHeight="1" outlineLevel="1" x14ac:dyDescent="0.2">
      <c r="B336" s="118" t="s">
        <v>658</v>
      </c>
      <c r="C336" s="117"/>
      <c r="D336" s="72"/>
      <c r="E336" s="117"/>
      <c r="F336" s="72"/>
      <c r="G336" s="117"/>
      <c r="H336" s="72"/>
      <c r="I336" s="117"/>
      <c r="J336" s="72"/>
      <c r="K336" s="117"/>
      <c r="L336" s="72"/>
      <c r="M336" s="117"/>
      <c r="N336" s="72"/>
      <c r="O336" s="117"/>
      <c r="P336" s="72"/>
      <c r="Q336" s="117"/>
      <c r="R336" s="72"/>
      <c r="S336" s="117"/>
      <c r="T336" s="72"/>
      <c r="U336" s="117"/>
      <c r="V336" s="72"/>
      <c r="W336" s="117"/>
      <c r="X336" s="72"/>
      <c r="Y336" s="117"/>
      <c r="Z336" s="72"/>
      <c r="AA336" s="117"/>
      <c r="AB336" s="72"/>
      <c r="AC336" s="117"/>
      <c r="AD336" s="72"/>
      <c r="AE336" s="117"/>
      <c r="AF336" s="72"/>
      <c r="AG336" s="117"/>
      <c r="AH336" s="72"/>
      <c r="AI336" s="117"/>
      <c r="AJ336" s="72"/>
      <c r="AK336" s="117"/>
      <c r="AL336" s="72"/>
      <c r="AM336" s="117"/>
      <c r="AN336" s="72"/>
      <c r="AO336" s="117"/>
      <c r="AP336" s="72"/>
      <c r="AQ336" s="117"/>
      <c r="AR336" s="72"/>
      <c r="AS336" s="117"/>
      <c r="AT336" s="72"/>
      <c r="AU336" s="117"/>
      <c r="AV336" s="72"/>
      <c r="AW336" s="117"/>
      <c r="AX336" s="72"/>
      <c r="AY336" s="117"/>
      <c r="AZ336" s="72"/>
      <c r="BA336" s="117"/>
      <c r="BB336" s="72"/>
      <c r="BC336" s="117"/>
      <c r="BD336" s="72"/>
      <c r="BE336" s="117"/>
      <c r="BF336" s="72"/>
      <c r="BG336" s="117"/>
      <c r="BH336" s="72"/>
      <c r="BI336" s="117"/>
      <c r="BJ336" s="72"/>
      <c r="BK336" s="117"/>
      <c r="BL336" s="72"/>
      <c r="BM336" s="117"/>
      <c r="BN336" s="72"/>
      <c r="BO336" s="117"/>
      <c r="BP336" s="72"/>
      <c r="BQ336" s="117"/>
      <c r="BR336" s="72"/>
      <c r="BS336" s="117"/>
      <c r="BT336" s="72"/>
      <c r="BU336" s="117"/>
      <c r="BV336" s="72"/>
      <c r="BW336" s="117"/>
      <c r="BX336" s="72"/>
      <c r="BY336" s="117"/>
      <c r="BZ336" s="72"/>
      <c r="CA336" s="117"/>
      <c r="CB336" s="72"/>
      <c r="CC336" s="117"/>
      <c r="CD336" s="72"/>
      <c r="CE336" s="117"/>
      <c r="CF336" s="72"/>
      <c r="CG336" s="117"/>
      <c r="CH336" s="72"/>
      <c r="CI336" s="117"/>
      <c r="CJ336" s="72"/>
      <c r="CK336" s="117"/>
      <c r="CL336" s="72"/>
      <c r="CM336" s="117"/>
      <c r="CN336" s="72"/>
      <c r="CO336" s="117"/>
      <c r="CP336" s="72"/>
      <c r="CQ336" s="117"/>
      <c r="CR336" s="72"/>
      <c r="CS336" s="117"/>
      <c r="CT336" s="72"/>
      <c r="CU336" s="117"/>
      <c r="CV336" s="72"/>
      <c r="CW336" s="117"/>
      <c r="CX336" s="72"/>
      <c r="CY336" s="117"/>
      <c r="CZ336" s="72"/>
      <c r="DA336" s="117"/>
      <c r="DB336" s="72"/>
      <c r="DC336" s="117"/>
      <c r="DD336" s="72"/>
      <c r="DE336" s="117"/>
      <c r="DF336" s="72"/>
      <c r="DG336" s="117"/>
      <c r="DH336" s="72"/>
      <c r="DI336" s="117"/>
      <c r="DJ336" s="72"/>
      <c r="DK336" s="117"/>
      <c r="DL336" s="72"/>
      <c r="DM336" s="117"/>
      <c r="DN336" s="72"/>
      <c r="DO336" s="117"/>
      <c r="DP336" s="72"/>
      <c r="DQ336" s="117"/>
      <c r="DR336" s="72"/>
      <c r="DS336" s="117"/>
      <c r="DT336" s="72"/>
      <c r="DU336" s="117"/>
      <c r="DV336" s="72"/>
      <c r="DW336" s="74"/>
      <c r="DX336" s="72"/>
      <c r="DY336" s="74"/>
      <c r="DZ336" s="72"/>
      <c r="EA336" s="74"/>
      <c r="EB336" s="72"/>
      <c r="EC336" s="74"/>
      <c r="ED336" s="72"/>
      <c r="EE336" s="74"/>
      <c r="EF336" s="72"/>
      <c r="EG336" s="74"/>
      <c r="EH336" s="72"/>
      <c r="EI336" s="74"/>
      <c r="EJ336" s="72"/>
      <c r="EK336" s="74"/>
      <c r="EL336" s="72"/>
      <c r="EM336" s="74"/>
      <c r="EN336" s="72"/>
      <c r="EO336" s="74"/>
      <c r="EP336" s="72"/>
      <c r="EQ336" s="74"/>
      <c r="ER336" s="72"/>
      <c r="ES336" s="74"/>
      <c r="ET336" s="72"/>
      <c r="EU336" s="74"/>
      <c r="EV336" s="72"/>
      <c r="EW336" s="74"/>
      <c r="EX336" s="72"/>
      <c r="EY336" s="72"/>
      <c r="EZ336" s="309"/>
      <c r="FA336" s="72"/>
      <c r="FB336" s="81"/>
      <c r="FC336" s="72"/>
      <c r="FD336" s="81"/>
      <c r="FE336" s="72"/>
      <c r="FF336" s="81"/>
      <c r="FG336" s="72"/>
      <c r="FH336" s="81"/>
      <c r="FI336" s="72"/>
      <c r="FJ336" s="81"/>
      <c r="FK336" s="72"/>
      <c r="FL336" s="81"/>
      <c r="FM336" s="72"/>
      <c r="FN336" s="81"/>
      <c r="FO336" s="72"/>
      <c r="FP336" s="81"/>
      <c r="FQ336" s="72"/>
      <c r="FR336" s="75"/>
      <c r="FS336" s="72"/>
      <c r="FT336" s="75">
        <f>BG336+BI336+BK336+BM336</f>
        <v>0</v>
      </c>
      <c r="FU336" s="72" t="str">
        <f t="shared" si="1863"/>
        <v>NA</v>
      </c>
      <c r="FV336" s="75"/>
      <c r="FW336" s="72"/>
      <c r="FX336" s="75"/>
      <c r="FY336" s="72"/>
      <c r="FZ336" s="75"/>
      <c r="GA336" s="72"/>
      <c r="GB336" s="75"/>
      <c r="GC336" s="72"/>
      <c r="GD336" s="75"/>
      <c r="GE336" s="72"/>
      <c r="GF336" s="75"/>
      <c r="GG336" s="72"/>
      <c r="GH336" s="75"/>
      <c r="GI336" s="72"/>
      <c r="GJ336" s="75"/>
      <c r="GK336" s="72"/>
      <c r="GL336" s="75"/>
      <c r="GM336" s="72"/>
      <c r="GN336" s="75"/>
      <c r="GO336" s="72"/>
      <c r="GP336" s="75"/>
      <c r="GQ336" s="72"/>
      <c r="GR336" s="74"/>
      <c r="GS336" s="72"/>
      <c r="GT336" s="74"/>
      <c r="GU336" s="72"/>
      <c r="GV336" s="74"/>
      <c r="GW336" s="72"/>
      <c r="GX336" s="74"/>
      <c r="GY336" s="72"/>
      <c r="GZ336" s="72"/>
      <c r="HA336" s="72"/>
      <c r="HB336" s="72"/>
      <c r="HC336"/>
      <c r="HD336"/>
      <c r="HE336"/>
      <c r="HF336"/>
      <c r="HG336"/>
      <c r="HH336"/>
      <c r="HI336" s="2"/>
    </row>
    <row r="337" spans="1:217" s="3" customFormat="1" ht="12.75" hidden="1" customHeight="1" outlineLevel="1" x14ac:dyDescent="0.2">
      <c r="GG337" s="168"/>
      <c r="GI337" s="168"/>
      <c r="GK337" s="168"/>
      <c r="GM337" s="168"/>
      <c r="GO337" s="168"/>
      <c r="GQ337" s="168"/>
      <c r="GS337" s="168"/>
      <c r="GU337" s="168"/>
      <c r="GW337" s="168"/>
      <c r="GY337" s="168"/>
      <c r="HC337"/>
      <c r="HD337"/>
      <c r="HE337"/>
      <c r="HF337"/>
      <c r="HG337"/>
      <c r="HH337"/>
    </row>
    <row r="338" spans="1:217" s="3" customFormat="1" ht="12.75" hidden="1" customHeight="1" outlineLevel="1" x14ac:dyDescent="0.2">
      <c r="B338" s="118" t="s">
        <v>141</v>
      </c>
      <c r="C338" s="117"/>
      <c r="D338" s="72"/>
      <c r="E338" s="117"/>
      <c r="F338" s="72"/>
      <c r="G338" s="117"/>
      <c r="H338" s="72"/>
      <c r="I338" s="117"/>
      <c r="J338" s="72"/>
      <c r="K338" s="117"/>
      <c r="L338" s="72"/>
      <c r="M338" s="117"/>
      <c r="N338" s="72"/>
      <c r="O338" s="117"/>
      <c r="P338" s="72"/>
      <c r="Q338" s="117"/>
      <c r="R338" s="72"/>
      <c r="S338" s="117"/>
      <c r="T338" s="72"/>
      <c r="U338" s="117"/>
      <c r="V338" s="72"/>
      <c r="W338" s="117"/>
      <c r="X338" s="72"/>
      <c r="Y338" s="117"/>
      <c r="Z338" s="72"/>
      <c r="AA338" s="117"/>
      <c r="AB338" s="72"/>
      <c r="AC338" s="117"/>
      <c r="AD338" s="72"/>
      <c r="AE338" s="117"/>
      <c r="AF338" s="72"/>
      <c r="AG338" s="117"/>
      <c r="AH338" s="72"/>
      <c r="AI338" s="117"/>
      <c r="AJ338" s="72"/>
      <c r="AK338" s="117"/>
      <c r="AL338" s="72"/>
      <c r="AM338" s="117"/>
      <c r="AN338" s="72"/>
      <c r="AO338" s="117"/>
      <c r="AP338" s="72"/>
      <c r="AQ338" s="117"/>
      <c r="AR338" s="72"/>
      <c r="AS338" s="117"/>
      <c r="AT338" s="72"/>
      <c r="AU338" s="117"/>
      <c r="AV338" s="72"/>
      <c r="AW338" s="117"/>
      <c r="AX338" s="72"/>
      <c r="AY338" s="117"/>
      <c r="AZ338" s="72"/>
      <c r="BA338" s="117"/>
      <c r="BB338" s="72"/>
      <c r="BC338" s="117"/>
      <c r="BD338" s="72"/>
      <c r="BE338" s="117"/>
      <c r="BF338" s="72"/>
      <c r="BG338" s="75">
        <f>SUM(BG334:BG337)</f>
        <v>244.73684210526315</v>
      </c>
      <c r="BH338" s="72"/>
      <c r="BI338" s="75">
        <f>SUM(BI334:BI337)</f>
        <v>255.26315789473685</v>
      </c>
      <c r="BJ338" s="72"/>
      <c r="BK338" s="75"/>
      <c r="BL338" s="72"/>
      <c r="BM338" s="75"/>
      <c r="BN338" s="72"/>
      <c r="BO338" s="75"/>
      <c r="BP338" s="72"/>
      <c r="BQ338" s="75"/>
      <c r="BR338" s="72"/>
      <c r="BS338" s="75"/>
      <c r="BT338" s="72"/>
      <c r="BU338" s="75"/>
      <c r="BV338" s="72"/>
      <c r="BW338" s="75"/>
      <c r="BX338" s="72"/>
      <c r="BY338" s="75"/>
      <c r="BZ338" s="72"/>
      <c r="CA338" s="75"/>
      <c r="CB338" s="72"/>
      <c r="CC338" s="75"/>
      <c r="CD338" s="72"/>
      <c r="CE338" s="75"/>
      <c r="CF338" s="72"/>
      <c r="CG338" s="75"/>
      <c r="CH338" s="72"/>
      <c r="CI338" s="75"/>
      <c r="CJ338" s="72"/>
      <c r="CK338" s="75"/>
      <c r="CL338" s="72"/>
      <c r="CM338" s="75"/>
      <c r="CN338" s="72"/>
      <c r="CO338" s="75"/>
      <c r="CP338" s="72"/>
      <c r="CQ338" s="75"/>
      <c r="CR338" s="72"/>
      <c r="CS338" s="75"/>
      <c r="CT338" s="72"/>
      <c r="CU338" s="75"/>
      <c r="CV338" s="72"/>
      <c r="CW338" s="75"/>
      <c r="CX338" s="72"/>
      <c r="CY338" s="75"/>
      <c r="CZ338" s="72"/>
      <c r="DA338" s="75"/>
      <c r="DB338" s="72"/>
      <c r="DC338" s="75"/>
      <c r="DD338" s="72"/>
      <c r="DE338" s="75"/>
      <c r="DF338" s="72"/>
      <c r="DG338" s="75"/>
      <c r="DH338" s="72"/>
      <c r="DI338" s="75"/>
      <c r="DJ338" s="72"/>
      <c r="DK338" s="75"/>
      <c r="DL338" s="72"/>
      <c r="DM338" s="75"/>
      <c r="DN338" s="72"/>
      <c r="DO338" s="75"/>
      <c r="DP338" s="72"/>
      <c r="DQ338" s="75"/>
      <c r="DR338" s="72"/>
      <c r="DS338" s="75"/>
      <c r="DT338" s="72"/>
      <c r="DU338" s="75"/>
      <c r="DV338" s="72"/>
      <c r="DW338" s="75"/>
      <c r="DX338" s="72"/>
      <c r="DY338" s="75"/>
      <c r="DZ338" s="72"/>
      <c r="EA338" s="75"/>
      <c r="EB338" s="72"/>
      <c r="EC338" s="75"/>
      <c r="ED338" s="72"/>
      <c r="EE338" s="75"/>
      <c r="EF338" s="72"/>
      <c r="EG338" s="75"/>
      <c r="EH338" s="72"/>
      <c r="EI338" s="75"/>
      <c r="EJ338" s="72"/>
      <c r="EK338" s="75"/>
      <c r="EL338" s="72"/>
      <c r="EM338" s="75"/>
      <c r="EN338" s="72"/>
      <c r="EO338" s="75"/>
      <c r="EP338" s="72"/>
      <c r="EQ338" s="75"/>
      <c r="ER338" s="72"/>
      <c r="ES338" s="75"/>
      <c r="ET338" s="72"/>
      <c r="EU338" s="75"/>
      <c r="EV338" s="72"/>
      <c r="EW338" s="75"/>
      <c r="EX338" s="72"/>
      <c r="EY338" s="72"/>
      <c r="EZ338" s="309"/>
      <c r="FA338" s="72"/>
      <c r="FB338" s="81"/>
      <c r="FC338" s="72"/>
      <c r="FD338" s="81"/>
      <c r="FE338" s="72"/>
      <c r="FF338" s="81"/>
      <c r="FG338" s="72"/>
      <c r="FH338" s="81"/>
      <c r="FI338" s="72"/>
      <c r="FJ338" s="81"/>
      <c r="FK338" s="72"/>
      <c r="FL338" s="81"/>
      <c r="FM338" s="72"/>
      <c r="FN338" s="81"/>
      <c r="FO338" s="72"/>
      <c r="FP338" s="81"/>
      <c r="FQ338" s="72"/>
      <c r="FR338" s="75"/>
      <c r="FS338" s="72"/>
      <c r="FT338" s="75">
        <f>BG338+BI338+BK338+BM338</f>
        <v>500</v>
      </c>
      <c r="FU338" s="72" t="str">
        <f t="shared" si="1863"/>
        <v>NA</v>
      </c>
      <c r="FV338" s="75"/>
      <c r="FW338" s="72"/>
      <c r="FX338" s="75"/>
      <c r="FY338" s="72"/>
      <c r="FZ338" s="75"/>
      <c r="GA338" s="72"/>
      <c r="GB338" s="75"/>
      <c r="GC338" s="72"/>
      <c r="GD338" s="75"/>
      <c r="GE338" s="72"/>
      <c r="GF338" s="75"/>
      <c r="GG338" s="72"/>
      <c r="GH338" s="75"/>
      <c r="GI338" s="72"/>
      <c r="GJ338" s="75"/>
      <c r="GK338" s="72"/>
      <c r="GL338" s="75"/>
      <c r="GM338" s="72"/>
      <c r="GN338" s="75"/>
      <c r="GO338" s="72"/>
      <c r="GP338" s="75"/>
      <c r="GQ338" s="72"/>
      <c r="GR338" s="75"/>
      <c r="GS338" s="72"/>
      <c r="GT338" s="75"/>
      <c r="GU338" s="72"/>
      <c r="GV338" s="75"/>
      <c r="GW338" s="72"/>
      <c r="GX338" s="75"/>
      <c r="GY338" s="72"/>
      <c r="GZ338" s="72"/>
      <c r="HA338" s="72"/>
      <c r="HB338" s="72"/>
      <c r="HC338"/>
      <c r="HD338"/>
      <c r="HE338"/>
      <c r="HF338"/>
      <c r="HG338"/>
      <c r="HH338"/>
      <c r="HI338" s="2"/>
    </row>
    <row r="339" spans="1:217" s="3" customFormat="1" ht="12.75" hidden="1" customHeight="1" outlineLevel="1" x14ac:dyDescent="0.2">
      <c r="B339" s="118" t="s">
        <v>493</v>
      </c>
      <c r="C339" s="117"/>
      <c r="D339" s="72"/>
      <c r="E339" s="117"/>
      <c r="F339" s="72"/>
      <c r="G339" s="117"/>
      <c r="H339" s="72"/>
      <c r="I339" s="117"/>
      <c r="J339" s="72"/>
      <c r="K339" s="117"/>
      <c r="L339" s="72"/>
      <c r="M339" s="117"/>
      <c r="N339" s="72"/>
      <c r="O339" s="117"/>
      <c r="P339" s="72"/>
      <c r="Q339" s="117"/>
      <c r="R339" s="72"/>
      <c r="S339" s="117"/>
      <c r="T339" s="72"/>
      <c r="U339" s="117"/>
      <c r="V339" s="72"/>
      <c r="W339" s="117"/>
      <c r="X339" s="72"/>
      <c r="Y339" s="117"/>
      <c r="Z339" s="72"/>
      <c r="AA339" s="117"/>
      <c r="AB339" s="72"/>
      <c r="AC339" s="117"/>
      <c r="AD339" s="72"/>
      <c r="AE339" s="117"/>
      <c r="AF339" s="72"/>
      <c r="AG339" s="117"/>
      <c r="AH339" s="72"/>
      <c r="AI339" s="117"/>
      <c r="AJ339" s="72"/>
      <c r="AK339" s="117"/>
      <c r="AL339" s="72"/>
      <c r="AM339" s="117"/>
      <c r="AN339" s="72"/>
      <c r="AO339" s="117"/>
      <c r="AP339" s="72"/>
      <c r="AQ339" s="117"/>
      <c r="AR339" s="72"/>
      <c r="AS339" s="117"/>
      <c r="AT339" s="72"/>
      <c r="AU339" s="117"/>
      <c r="AV339" s="72"/>
      <c r="AW339" s="117"/>
      <c r="AX339" s="72"/>
      <c r="AY339" s="117"/>
      <c r="AZ339" s="72"/>
      <c r="BA339" s="117"/>
      <c r="BB339" s="72"/>
      <c r="BC339" s="117"/>
      <c r="BD339" s="72"/>
      <c r="BE339" s="117"/>
      <c r="BF339" s="72"/>
      <c r="BG339" s="75">
        <f>BG340/BG338</f>
        <v>0.38</v>
      </c>
      <c r="BH339" s="72"/>
      <c r="BI339" s="75">
        <f>BI340/BI338</f>
        <v>0.38</v>
      </c>
      <c r="BJ339" s="72"/>
      <c r="BK339" s="119"/>
      <c r="BL339" s="72"/>
      <c r="BM339" s="119"/>
      <c r="BN339" s="72"/>
      <c r="BO339" s="119"/>
      <c r="BP339" s="72"/>
      <c r="BQ339" s="119"/>
      <c r="BR339" s="72"/>
      <c r="BS339" s="119"/>
      <c r="BT339" s="72"/>
      <c r="BU339" s="119"/>
      <c r="BV339" s="72"/>
      <c r="BW339" s="119"/>
      <c r="BX339" s="72"/>
      <c r="BY339" s="119"/>
      <c r="BZ339" s="72"/>
      <c r="CA339" s="119"/>
      <c r="CB339" s="72"/>
      <c r="CC339" s="119"/>
      <c r="CD339" s="72"/>
      <c r="CE339" s="119"/>
      <c r="CF339" s="72"/>
      <c r="CG339" s="119"/>
      <c r="CH339" s="72"/>
      <c r="CI339" s="119"/>
      <c r="CJ339" s="72"/>
      <c r="CK339" s="119"/>
      <c r="CL339" s="72"/>
      <c r="CM339" s="119"/>
      <c r="CN339" s="72"/>
      <c r="CO339" s="119"/>
      <c r="CP339" s="72"/>
      <c r="CQ339" s="119"/>
      <c r="CR339" s="72"/>
      <c r="CS339" s="119"/>
      <c r="CT339" s="72"/>
      <c r="CU339" s="119"/>
      <c r="CV339" s="72"/>
      <c r="CW339" s="119"/>
      <c r="CX339" s="72"/>
      <c r="CY339" s="119"/>
      <c r="CZ339" s="72"/>
      <c r="DA339" s="119"/>
      <c r="DB339" s="72"/>
      <c r="DC339" s="119"/>
      <c r="DD339" s="72"/>
      <c r="DE339" s="119"/>
      <c r="DF339" s="72"/>
      <c r="DG339" s="119"/>
      <c r="DH339" s="72"/>
      <c r="DI339" s="119"/>
      <c r="DJ339" s="72"/>
      <c r="DK339" s="119"/>
      <c r="DL339" s="72"/>
      <c r="DM339" s="119"/>
      <c r="DN339" s="72"/>
      <c r="DO339" s="119"/>
      <c r="DP339" s="72"/>
      <c r="DQ339" s="119"/>
      <c r="DR339" s="72"/>
      <c r="DS339" s="119"/>
      <c r="DT339" s="72"/>
      <c r="DU339" s="119"/>
      <c r="DV339" s="72"/>
      <c r="DW339" s="119"/>
      <c r="DX339" s="72"/>
      <c r="DY339" s="119"/>
      <c r="DZ339" s="72"/>
      <c r="EA339" s="119"/>
      <c r="EB339" s="72"/>
      <c r="EC339" s="119"/>
      <c r="ED339" s="72"/>
      <c r="EE339" s="119"/>
      <c r="EF339" s="72"/>
      <c r="EG339" s="119"/>
      <c r="EH339" s="72"/>
      <c r="EI339" s="119"/>
      <c r="EJ339" s="72"/>
      <c r="EK339" s="119"/>
      <c r="EL339" s="72"/>
      <c r="EM339" s="119"/>
      <c r="EN339" s="72"/>
      <c r="EO339" s="119"/>
      <c r="EP339" s="72"/>
      <c r="EQ339" s="119"/>
      <c r="ER339" s="72"/>
      <c r="ES339" s="119"/>
      <c r="ET339" s="72"/>
      <c r="EU339" s="119"/>
      <c r="EV339" s="72"/>
      <c r="EW339" s="119"/>
      <c r="EX339" s="72"/>
      <c r="EY339" s="72"/>
      <c r="EZ339" s="309"/>
      <c r="FA339" s="72"/>
      <c r="FB339" s="81"/>
      <c r="FC339" s="72"/>
      <c r="FD339" s="81"/>
      <c r="FE339" s="72"/>
      <c r="FF339" s="81"/>
      <c r="FG339" s="72"/>
      <c r="FH339" s="81"/>
      <c r="FI339" s="72"/>
      <c r="FJ339" s="81"/>
      <c r="FK339" s="72"/>
      <c r="FL339" s="81"/>
      <c r="FM339" s="72"/>
      <c r="FN339" s="81"/>
      <c r="FO339" s="72"/>
      <c r="FP339" s="81"/>
      <c r="FQ339" s="72"/>
      <c r="FR339" s="120"/>
      <c r="FS339" s="72"/>
      <c r="FT339" s="120">
        <f>FT340/FT338</f>
        <v>0.38</v>
      </c>
      <c r="FU339" s="72" t="str">
        <f t="shared" si="1863"/>
        <v>NA</v>
      </c>
      <c r="FV339" s="120"/>
      <c r="FW339" s="72"/>
      <c r="FX339" s="120"/>
      <c r="FY339" s="72"/>
      <c r="FZ339" s="120"/>
      <c r="GA339" s="72"/>
      <c r="GB339" s="120"/>
      <c r="GC339" s="72"/>
      <c r="GD339" s="120"/>
      <c r="GE339" s="72"/>
      <c r="GF339" s="120"/>
      <c r="GG339" s="72"/>
      <c r="GH339" s="120"/>
      <c r="GI339" s="72"/>
      <c r="GJ339" s="120"/>
      <c r="GK339" s="72"/>
      <c r="GL339" s="120"/>
      <c r="GM339" s="72"/>
      <c r="GN339" s="120"/>
      <c r="GO339" s="72"/>
      <c r="GP339" s="120"/>
      <c r="GQ339" s="72"/>
      <c r="GR339" s="119"/>
      <c r="GS339" s="72"/>
      <c r="GT339" s="119"/>
      <c r="GU339" s="72"/>
      <c r="GV339" s="119"/>
      <c r="GW339" s="72"/>
      <c r="GX339" s="119"/>
      <c r="GY339" s="72"/>
      <c r="GZ339" s="72"/>
      <c r="HA339" s="72"/>
      <c r="HB339" s="72"/>
      <c r="HC339"/>
      <c r="HD339"/>
      <c r="HE339"/>
      <c r="HF339"/>
      <c r="HG339"/>
      <c r="HH339"/>
      <c r="HI339" s="2"/>
    </row>
    <row r="340" spans="1:217" s="3" customFormat="1" ht="12.75" hidden="1" customHeight="1" outlineLevel="1" x14ac:dyDescent="0.2">
      <c r="B340" s="121" t="s">
        <v>83</v>
      </c>
      <c r="C340" s="74"/>
      <c r="D340" s="72"/>
      <c r="E340" s="74"/>
      <c r="F340" s="72"/>
      <c r="G340" s="74"/>
      <c r="H340" s="72"/>
      <c r="I340" s="74"/>
      <c r="J340" s="72"/>
      <c r="K340" s="74"/>
      <c r="L340" s="72"/>
      <c r="M340" s="74"/>
      <c r="N340" s="72"/>
      <c r="O340" s="74"/>
      <c r="P340" s="72"/>
      <c r="Q340" s="74"/>
      <c r="R340" s="72"/>
      <c r="S340" s="74"/>
      <c r="T340" s="72"/>
      <c r="U340" s="74"/>
      <c r="V340" s="72"/>
      <c r="W340" s="74"/>
      <c r="X340" s="72"/>
      <c r="Y340" s="74"/>
      <c r="Z340" s="72"/>
      <c r="AA340" s="74"/>
      <c r="AB340" s="72"/>
      <c r="AC340" s="74"/>
      <c r="AD340" s="72"/>
      <c r="AE340" s="74">
        <v>47</v>
      </c>
      <c r="AF340" s="72" t="str">
        <f t="shared" ref="AF340:AF346" si="1864">IF(ISERROR(AE340/W340),"NA",IF(OR(AE340/W340&gt;2,AE340/W340&lt;0.5),"NM",AE340/W340*100-100))</f>
        <v>NA</v>
      </c>
      <c r="AG340" s="74">
        <v>41</v>
      </c>
      <c r="AH340" s="72" t="str">
        <f t="shared" ref="AH340:AH346" si="1865">IF(ISERROR(AG340/Y340),"NA",IF(OR(AG340/Y340&gt;2,AG340/Y340&lt;0.5),"NM",AG340/Y340*100-100))</f>
        <v>NA</v>
      </c>
      <c r="AI340" s="74">
        <v>54</v>
      </c>
      <c r="AJ340" s="72" t="str">
        <f t="shared" ref="AJ340:AJ346" si="1866">IF(ISERROR(AI340/AA340),"NA",IF(OR(AI340/AA340&gt;2,AI340/AA340&lt;0.5),"NM",AI340/AA340*100-100))</f>
        <v>NA</v>
      </c>
      <c r="AK340" s="74">
        <v>36</v>
      </c>
      <c r="AL340" s="72" t="str">
        <f t="shared" ref="AL340:AL346" si="1867">IF(ISERROR(AK340/AC340),"NA",IF(OR(AK340/AC340&gt;2,AK340/AC340&lt;0.5),"NM",AK340/AC340*100-100))</f>
        <v>NA</v>
      </c>
      <c r="AM340" s="74">
        <v>28</v>
      </c>
      <c r="AN340" s="72">
        <f t="shared" ref="AN340:AN346" si="1868">IF(ISERROR(AM340/AE340),"NA",IF(OR(AM340/AE340&gt;2,AM340/AE340&lt;0.5),"NM",AM340/AE340*100-100))</f>
        <v>-40.425531914893618</v>
      </c>
      <c r="AO340" s="74">
        <v>54</v>
      </c>
      <c r="AP340" s="72">
        <f t="shared" ref="AP340:AP346" si="1869">IF(ISERROR(AO340/AG340),"NA",IF(OR(AO340/AG340&gt;2,AO340/AG340&lt;0.5),"NM",AO340/AG340*100-100))</f>
        <v>31.707317073170742</v>
      </c>
      <c r="AQ340" s="74">
        <v>50</v>
      </c>
      <c r="AR340" s="72">
        <f t="shared" ref="AR340:AR346" si="1870">IF(ISERROR(AQ340/AI340),"NA",IF(OR(AQ340/AI340&gt;2,AQ340/AI340&lt;0.5),"NM",AQ340/AI340*100-100))</f>
        <v>-7.4074074074074048</v>
      </c>
      <c r="AS340" s="74">
        <v>47</v>
      </c>
      <c r="AT340" s="72">
        <f t="shared" ref="AT340:AT346" si="1871">IF(ISERROR(AS340/AK340),"NA",IF(OR(AS340/AK340&gt;2,AS340/AK340&lt;0.5),"NM",AS340/AK340*100-100))</f>
        <v>30.555555555555571</v>
      </c>
      <c r="AU340" s="74">
        <v>59</v>
      </c>
      <c r="AV340" s="72" t="str">
        <f t="shared" ref="AV340:AV346" si="1872">IF(ISERROR(AU340/AM340),"NA",IF(OR(AU340/AM340&gt;2,AU340/AM340&lt;0.5),"NM",AU340/AM340*100-100))</f>
        <v>NM</v>
      </c>
      <c r="AW340" s="74">
        <v>61</v>
      </c>
      <c r="AX340" s="72">
        <f t="shared" ref="AX340:AX346" si="1873">IF(ISERROR(AW340/AO340),"NA",IF(OR(AW340/AO340&gt;2,AW340/AO340&lt;0.5),"NM",AW340/AO340*100-100))</f>
        <v>12.962962962962948</v>
      </c>
      <c r="AY340" s="74">
        <v>69</v>
      </c>
      <c r="AZ340" s="72">
        <f t="shared" ref="AZ340:AZ346" si="1874">IF(ISERROR(AY340/AQ340),"NA",IF(OR(AY340/AQ340&gt;2,AY340/AQ340&lt;0.5),"NM",AY340/AQ340*100-100))</f>
        <v>38</v>
      </c>
      <c r="BA340" s="74">
        <v>60</v>
      </c>
      <c r="BB340" s="72">
        <f t="shared" ref="BB340:BB346" si="1875">IF(ISERROR(BA340/AS340),"NA",IF(OR(BA340/AS340&gt;2,BA340/AS340&lt;0.5),"NM",BA340/AS340*100-100))</f>
        <v>27.659574468085111</v>
      </c>
      <c r="BC340" s="74">
        <v>73</v>
      </c>
      <c r="BD340" s="72">
        <f t="shared" ref="BD340:BD346" si="1876">IF(ISERROR(BC340/AU340),"NA",IF(OR(BC340/AU340&gt;2,BC340/AU340&lt;0.5),"NM",BC340/AU340*100-100))</f>
        <v>23.728813559322035</v>
      </c>
      <c r="BE340" s="74">
        <v>92</v>
      </c>
      <c r="BF340" s="72">
        <f t="shared" ref="BF340:BF346" si="1877">IF(ISERROR(BE340/AW340),"NA",IF(OR(BE340/AW340&gt;2,BE340/AW340&lt;0.5),"NM",BE340/AW340*100-100))</f>
        <v>50.819672131147541</v>
      </c>
      <c r="BG340" s="74">
        <v>93</v>
      </c>
      <c r="BH340" s="72">
        <f t="shared" ref="BH340:BH346" si="1878">IF(ISERROR(BG340/AY340),"NA",IF(OR(BG340/AY340&gt;2,BG340/AY340&lt;0.5),"NM",BG340/AY340*100-100))</f>
        <v>34.782608695652186</v>
      </c>
      <c r="BI340" s="74">
        <v>97</v>
      </c>
      <c r="BJ340" s="72">
        <f t="shared" ref="BJ340:BJ346" si="1879">IF(ISERROR(BI340/BA340),"NA",IF(OR(BI340/BA340&gt;2,BI340/BA340&lt;0.5),"NM",BI340/BA340*100-100))</f>
        <v>61.666666666666657</v>
      </c>
      <c r="BK340" s="74"/>
      <c r="BL340" s="72"/>
      <c r="BM340" s="74"/>
      <c r="BN340" s="72"/>
      <c r="BO340" s="74"/>
      <c r="BP340" s="72"/>
      <c r="BQ340" s="74"/>
      <c r="BR340" s="72"/>
      <c r="BS340" s="74"/>
      <c r="BT340" s="72"/>
      <c r="BU340" s="74"/>
      <c r="BV340" s="72"/>
      <c r="BW340" s="74"/>
      <c r="BX340" s="72"/>
      <c r="BY340" s="74"/>
      <c r="BZ340" s="72"/>
      <c r="CA340" s="74"/>
      <c r="CB340" s="72"/>
      <c r="CC340" s="74"/>
      <c r="CD340" s="72"/>
      <c r="CE340" s="74"/>
      <c r="CF340" s="72"/>
      <c r="CG340" s="74"/>
      <c r="CH340" s="72"/>
      <c r="CI340" s="74"/>
      <c r="CJ340" s="72"/>
      <c r="CK340" s="74"/>
      <c r="CL340" s="72"/>
      <c r="CM340" s="74"/>
      <c r="CN340" s="72"/>
      <c r="CO340" s="74"/>
      <c r="CP340" s="72"/>
      <c r="CQ340" s="74"/>
      <c r="CR340" s="72"/>
      <c r="CS340" s="74"/>
      <c r="CT340" s="72"/>
      <c r="CU340" s="74"/>
      <c r="CV340" s="72"/>
      <c r="CW340" s="74"/>
      <c r="CX340" s="72"/>
      <c r="CY340" s="74"/>
      <c r="CZ340" s="72"/>
      <c r="DA340" s="74"/>
      <c r="DB340" s="72"/>
      <c r="DC340" s="74"/>
      <c r="DD340" s="72"/>
      <c r="DE340" s="74"/>
      <c r="DF340" s="72"/>
      <c r="DG340" s="74"/>
      <c r="DH340" s="72"/>
      <c r="DI340" s="74"/>
      <c r="DJ340" s="72"/>
      <c r="DK340" s="74"/>
      <c r="DL340" s="72"/>
      <c r="DM340" s="74"/>
      <c r="DN340" s="72"/>
      <c r="DO340" s="74"/>
      <c r="DP340" s="72"/>
      <c r="DQ340" s="74"/>
      <c r="DR340" s="72"/>
      <c r="DS340" s="74"/>
      <c r="DT340" s="72"/>
      <c r="DU340" s="74"/>
      <c r="DV340" s="72"/>
      <c r="DW340" s="75"/>
      <c r="DX340" s="72"/>
      <c r="DY340" s="75"/>
      <c r="DZ340" s="72"/>
      <c r="EA340" s="75"/>
      <c r="EB340" s="72"/>
      <c r="EC340" s="75"/>
      <c r="ED340" s="72"/>
      <c r="EE340" s="75"/>
      <c r="EF340" s="72"/>
      <c r="EG340" s="75"/>
      <c r="EH340" s="72"/>
      <c r="EI340" s="75"/>
      <c r="EJ340" s="72"/>
      <c r="EK340" s="75"/>
      <c r="EL340" s="72"/>
      <c r="EM340" s="75"/>
      <c r="EN340" s="72"/>
      <c r="EO340" s="75"/>
      <c r="EP340" s="72"/>
      <c r="EQ340" s="75"/>
      <c r="ER340" s="72"/>
      <c r="ES340" s="75"/>
      <c r="ET340" s="72"/>
      <c r="EU340" s="75"/>
      <c r="EV340" s="72"/>
      <c r="EW340" s="75"/>
      <c r="EX340" s="72"/>
      <c r="EY340" s="72"/>
      <c r="EZ340" s="309"/>
      <c r="FA340" s="72"/>
      <c r="FB340" s="81"/>
      <c r="FC340" s="72"/>
      <c r="FD340" s="81"/>
      <c r="FE340" s="72"/>
      <c r="FF340" s="81"/>
      <c r="FG340" s="72"/>
      <c r="FH340" s="81"/>
      <c r="FI340" s="72"/>
      <c r="FJ340" s="81"/>
      <c r="FK340" s="72"/>
      <c r="FL340" s="75">
        <f>AA340+AC340+AE340+AG340</f>
        <v>88</v>
      </c>
      <c r="FM340" s="72" t="str">
        <f t="shared" ref="FM340:FM346" si="1880">IF(ISERROR(FL340/FJ340),"NA",IF(OR(FL340/FJ340&gt;2,FL340/FJ340&lt;0.5),"NM",FL340/FJ340*100-100))</f>
        <v>NA</v>
      </c>
      <c r="FN340" s="75">
        <f t="shared" ref="FN340:FN345" si="1881">AI340+AK340+AM340+AO340</f>
        <v>172</v>
      </c>
      <c r="FO340" s="72">
        <f t="shared" ref="FO340:FO346" si="1882">IF(ISERROR(FN340/FL340),"NA",IF(OR(FN340/FL340&gt;2,FN340/FL340&lt;0.5),"NM",FN340/FL340*100-100))</f>
        <v>95.454545454545467</v>
      </c>
      <c r="FP340" s="75">
        <f t="shared" ref="FP340:FP345" si="1883">AQ340+AS340+AU340+AW340</f>
        <v>217</v>
      </c>
      <c r="FQ340" s="72">
        <f t="shared" ref="FQ340:FQ346" si="1884">IF(ISERROR(FP340/FN340),"NA",IF(OR(FP340/FN340&gt;2,FP340/FN340&lt;0.5),"NM",FP340/FN340*100-100))</f>
        <v>26.162790697674424</v>
      </c>
      <c r="FR340" s="75">
        <f t="shared" ref="FR340:FR345" si="1885">AY340+BA340+BC340+BE340</f>
        <v>294</v>
      </c>
      <c r="FS340" s="72">
        <f t="shared" ref="FS340:FS346" si="1886">IF(ISERROR(FR340/FP340),"NA",IF(OR(FR340/FP340&gt;2,FR340/FP340&lt;0.5),"NM",FR340/FP340*100-100))</f>
        <v>35.483870967741922</v>
      </c>
      <c r="FT340" s="75">
        <f t="shared" ref="FT340:FT345" si="1887">BG340+BI340+BK340+BM340</f>
        <v>190</v>
      </c>
      <c r="FU340" s="72">
        <f t="shared" ref="FU340:FU346" si="1888">IF(ISERROR(FT340/FR340),"NA",IF(OR(FT340/FR340&gt;2,FT340/FR340&lt;0.5),"NM",FT340/FR340*100-100))</f>
        <v>-35.374149659863946</v>
      </c>
      <c r="FV340" s="75"/>
      <c r="FW340" s="72"/>
      <c r="FX340" s="75"/>
      <c r="FY340" s="72"/>
      <c r="FZ340" s="75"/>
      <c r="GA340" s="72"/>
      <c r="GB340" s="75"/>
      <c r="GC340" s="72"/>
      <c r="GD340" s="75"/>
      <c r="GE340" s="72"/>
      <c r="GF340" s="75"/>
      <c r="GG340" s="72"/>
      <c r="GH340" s="75"/>
      <c r="GI340" s="72"/>
      <c r="GJ340" s="75"/>
      <c r="GK340" s="72"/>
      <c r="GL340" s="75"/>
      <c r="GM340" s="72"/>
      <c r="GN340" s="75"/>
      <c r="GO340" s="72"/>
      <c r="GP340" s="75"/>
      <c r="GQ340" s="72"/>
      <c r="GR340" s="75"/>
      <c r="GS340" s="72"/>
      <c r="GT340" s="75"/>
      <c r="GU340" s="72"/>
      <c r="GV340" s="75"/>
      <c r="GW340" s="72"/>
      <c r="GX340" s="75"/>
      <c r="GY340" s="72"/>
      <c r="GZ340" s="72"/>
      <c r="HA340" s="72"/>
      <c r="HB340" s="72"/>
      <c r="HC340"/>
      <c r="HD340"/>
      <c r="HE340"/>
      <c r="HF340"/>
      <c r="HG340"/>
      <c r="HH340"/>
      <c r="HI340" s="2"/>
    </row>
    <row r="341" spans="1:217" s="3" customFormat="1" ht="12.75" hidden="1" customHeight="1" outlineLevel="1" x14ac:dyDescent="0.2">
      <c r="B341" s="10" t="s">
        <v>30</v>
      </c>
      <c r="C341" s="74"/>
      <c r="D341" s="72"/>
      <c r="E341" s="74"/>
      <c r="F341" s="72"/>
      <c r="G341" s="74"/>
      <c r="H341" s="72"/>
      <c r="I341" s="74"/>
      <c r="J341" s="72"/>
      <c r="K341" s="74"/>
      <c r="L341" s="72"/>
      <c r="M341" s="74"/>
      <c r="N341" s="72"/>
      <c r="O341" s="74"/>
      <c r="P341" s="72"/>
      <c r="Q341" s="74"/>
      <c r="R341" s="72"/>
      <c r="S341" s="74"/>
      <c r="T341" s="72"/>
      <c r="U341" s="74"/>
      <c r="V341" s="72"/>
      <c r="W341" s="74"/>
      <c r="X341" s="72"/>
      <c r="Y341" s="74"/>
      <c r="Z341" s="72"/>
      <c r="AA341" s="74"/>
      <c r="AB341" s="72"/>
      <c r="AC341" s="74"/>
      <c r="AD341" s="72"/>
      <c r="AE341" s="74">
        <v>-28</v>
      </c>
      <c r="AF341" s="72" t="str">
        <f t="shared" si="1864"/>
        <v>NA</v>
      </c>
      <c r="AG341" s="74">
        <v>-79</v>
      </c>
      <c r="AH341" s="72" t="str">
        <f t="shared" si="1865"/>
        <v>NA</v>
      </c>
      <c r="AI341" s="74">
        <v>-41</v>
      </c>
      <c r="AJ341" s="72" t="str">
        <f t="shared" si="1866"/>
        <v>NA</v>
      </c>
      <c r="AK341" s="74">
        <v>-77.400000000000006</v>
      </c>
      <c r="AL341" s="72" t="str">
        <f t="shared" si="1867"/>
        <v>NA</v>
      </c>
      <c r="AM341" s="74">
        <v>-39</v>
      </c>
      <c r="AN341" s="72">
        <f t="shared" si="1868"/>
        <v>39.285714285714278</v>
      </c>
      <c r="AO341" s="74">
        <v>-70</v>
      </c>
      <c r="AP341" s="72">
        <f t="shared" si="1869"/>
        <v>-11.39240506329115</v>
      </c>
      <c r="AQ341" s="74">
        <v>-27</v>
      </c>
      <c r="AR341" s="72">
        <f t="shared" si="1870"/>
        <v>-34.146341463414629</v>
      </c>
      <c r="AS341" s="74">
        <v>-136</v>
      </c>
      <c r="AT341" s="72">
        <f t="shared" si="1871"/>
        <v>75.710594315245459</v>
      </c>
      <c r="AU341" s="74">
        <v>-22</v>
      </c>
      <c r="AV341" s="72">
        <f t="shared" si="1872"/>
        <v>-43.589743589743591</v>
      </c>
      <c r="AW341" s="74">
        <v>-267</v>
      </c>
      <c r="AX341" s="72" t="str">
        <f t="shared" si="1873"/>
        <v>NM</v>
      </c>
      <c r="AY341" s="74">
        <f>-176+42</f>
        <v>-134</v>
      </c>
      <c r="AZ341" s="72" t="str">
        <f t="shared" si="1874"/>
        <v>NM</v>
      </c>
      <c r="BA341" s="74">
        <v>-30</v>
      </c>
      <c r="BB341" s="72" t="str">
        <f t="shared" si="1875"/>
        <v>NM</v>
      </c>
      <c r="BC341" s="74">
        <v>-22</v>
      </c>
      <c r="BD341" s="72">
        <f t="shared" si="1876"/>
        <v>0</v>
      </c>
      <c r="BE341" s="74">
        <v>-39</v>
      </c>
      <c r="BF341" s="72" t="str">
        <f t="shared" si="1877"/>
        <v>NM</v>
      </c>
      <c r="BG341" s="74">
        <v>-21</v>
      </c>
      <c r="BH341" s="72" t="str">
        <f t="shared" si="1878"/>
        <v>NM</v>
      </c>
      <c r="BI341" s="74">
        <v>-12</v>
      </c>
      <c r="BJ341" s="72" t="str">
        <f t="shared" si="1879"/>
        <v>NM</v>
      </c>
      <c r="BK341" s="74"/>
      <c r="BL341" s="72"/>
      <c r="BM341" s="74"/>
      <c r="BN341" s="72"/>
      <c r="BO341" s="74"/>
      <c r="BP341" s="72"/>
      <c r="BQ341" s="74"/>
      <c r="BR341" s="72"/>
      <c r="BS341" s="74"/>
      <c r="BT341" s="72"/>
      <c r="BU341" s="74"/>
      <c r="BV341" s="72"/>
      <c r="BW341" s="74"/>
      <c r="BX341" s="72"/>
      <c r="BY341" s="74"/>
      <c r="BZ341" s="72"/>
      <c r="CA341" s="74"/>
      <c r="CB341" s="72"/>
      <c r="CC341" s="74"/>
      <c r="CD341" s="72"/>
      <c r="CE341" s="74"/>
      <c r="CF341" s="72"/>
      <c r="CG341" s="74"/>
      <c r="CH341" s="72"/>
      <c r="CI341" s="74"/>
      <c r="CJ341" s="72"/>
      <c r="CK341" s="74"/>
      <c r="CL341" s="72"/>
      <c r="CM341" s="74"/>
      <c r="CN341" s="72"/>
      <c r="CO341" s="74"/>
      <c r="CP341" s="72"/>
      <c r="CQ341" s="74"/>
      <c r="CR341" s="72"/>
      <c r="CS341" s="74"/>
      <c r="CT341" s="72"/>
      <c r="CU341" s="74"/>
      <c r="CV341" s="72"/>
      <c r="CW341" s="74"/>
      <c r="CX341" s="72"/>
      <c r="CY341" s="74"/>
      <c r="CZ341" s="72"/>
      <c r="DA341" s="74"/>
      <c r="DB341" s="72"/>
      <c r="DC341" s="74"/>
      <c r="DD341" s="72"/>
      <c r="DE341" s="74"/>
      <c r="DF341" s="72"/>
      <c r="DG341" s="74"/>
      <c r="DH341" s="72"/>
      <c r="DI341" s="74"/>
      <c r="DJ341" s="72"/>
      <c r="DK341" s="74"/>
      <c r="DL341" s="72"/>
      <c r="DM341" s="74"/>
      <c r="DN341" s="72"/>
      <c r="DO341" s="74"/>
      <c r="DP341" s="72"/>
      <c r="DQ341" s="74"/>
      <c r="DR341" s="72"/>
      <c r="DS341" s="74"/>
      <c r="DT341" s="72"/>
      <c r="DU341" s="74"/>
      <c r="DV341" s="72"/>
      <c r="DW341" s="74"/>
      <c r="DX341" s="72"/>
      <c r="DY341" s="74"/>
      <c r="DZ341" s="72"/>
      <c r="EA341" s="74"/>
      <c r="EB341" s="72"/>
      <c r="EC341" s="74"/>
      <c r="ED341" s="72"/>
      <c r="EE341" s="74"/>
      <c r="EF341" s="72"/>
      <c r="EG341" s="74"/>
      <c r="EH341" s="72"/>
      <c r="EI341" s="74"/>
      <c r="EJ341" s="72"/>
      <c r="EK341" s="74"/>
      <c r="EL341" s="72"/>
      <c r="EM341" s="74"/>
      <c r="EN341" s="72"/>
      <c r="EO341" s="74"/>
      <c r="EP341" s="72"/>
      <c r="EQ341" s="74"/>
      <c r="ER341" s="72"/>
      <c r="ES341" s="74"/>
      <c r="ET341" s="72"/>
      <c r="EU341" s="74"/>
      <c r="EV341" s="72"/>
      <c r="EW341" s="74"/>
      <c r="EX341" s="72"/>
      <c r="EY341" s="72"/>
      <c r="EZ341" s="309"/>
      <c r="FA341" s="72"/>
      <c r="FB341" s="81"/>
      <c r="FC341" s="72"/>
      <c r="FD341" s="81"/>
      <c r="FE341" s="72"/>
      <c r="FF341" s="81"/>
      <c r="FG341" s="72"/>
      <c r="FH341" s="81"/>
      <c r="FI341" s="72"/>
      <c r="FJ341" s="81"/>
      <c r="FK341" s="72"/>
      <c r="FL341" s="75">
        <f>AA341+AC341+AE341+AG341</f>
        <v>-107</v>
      </c>
      <c r="FM341" s="72" t="str">
        <f t="shared" si="1880"/>
        <v>NA</v>
      </c>
      <c r="FN341" s="75">
        <f t="shared" si="1881"/>
        <v>-227.4</v>
      </c>
      <c r="FO341" s="72" t="str">
        <f t="shared" si="1882"/>
        <v>NM</v>
      </c>
      <c r="FP341" s="75">
        <f t="shared" si="1883"/>
        <v>-452</v>
      </c>
      <c r="FQ341" s="72">
        <f t="shared" si="1884"/>
        <v>98.76868953386105</v>
      </c>
      <c r="FR341" s="75">
        <f t="shared" si="1885"/>
        <v>-225</v>
      </c>
      <c r="FS341" s="72" t="str">
        <f t="shared" si="1886"/>
        <v>NM</v>
      </c>
      <c r="FT341" s="75">
        <f t="shared" si="1887"/>
        <v>-33</v>
      </c>
      <c r="FU341" s="72" t="str">
        <f t="shared" si="1888"/>
        <v>NM</v>
      </c>
      <c r="FV341" s="75"/>
      <c r="FW341" s="72"/>
      <c r="FX341" s="75"/>
      <c r="FY341" s="72"/>
      <c r="FZ341" s="75"/>
      <c r="GA341" s="72"/>
      <c r="GB341" s="75"/>
      <c r="GC341" s="72"/>
      <c r="GD341" s="75"/>
      <c r="GE341" s="72"/>
      <c r="GF341" s="75"/>
      <c r="GG341" s="72"/>
      <c r="GH341" s="75"/>
      <c r="GI341" s="72"/>
      <c r="GJ341" s="75"/>
      <c r="GK341" s="72"/>
      <c r="GL341" s="75"/>
      <c r="GM341" s="72"/>
      <c r="GN341" s="75"/>
      <c r="GO341" s="72"/>
      <c r="GP341" s="75"/>
      <c r="GQ341" s="72"/>
      <c r="GR341" s="74"/>
      <c r="GS341" s="72"/>
      <c r="GT341" s="74"/>
      <c r="GU341" s="72"/>
      <c r="GV341" s="74"/>
      <c r="GW341" s="72"/>
      <c r="GX341" s="74"/>
      <c r="GY341" s="72"/>
      <c r="GZ341" s="72"/>
      <c r="HA341" s="72"/>
      <c r="HB341" s="72"/>
      <c r="HC341"/>
      <c r="HD341"/>
      <c r="HE341"/>
      <c r="HF341"/>
      <c r="HG341"/>
      <c r="HH341"/>
      <c r="HI341" s="2"/>
    </row>
    <row r="342" spans="1:217" s="3" customFormat="1" ht="12.75" hidden="1" customHeight="1" outlineLevel="1" x14ac:dyDescent="0.2">
      <c r="B342" s="10" t="s">
        <v>31</v>
      </c>
      <c r="C342" s="74"/>
      <c r="D342" s="72"/>
      <c r="E342" s="74"/>
      <c r="F342" s="72"/>
      <c r="G342" s="74"/>
      <c r="H342" s="72"/>
      <c r="I342" s="74"/>
      <c r="J342" s="72"/>
      <c r="K342" s="74"/>
      <c r="L342" s="72"/>
      <c r="M342" s="74"/>
      <c r="N342" s="72"/>
      <c r="O342" s="74"/>
      <c r="P342" s="72"/>
      <c r="Q342" s="74"/>
      <c r="R342" s="72"/>
      <c r="S342" s="74"/>
      <c r="T342" s="72"/>
      <c r="U342" s="74"/>
      <c r="V342" s="72"/>
      <c r="W342" s="74"/>
      <c r="X342" s="72"/>
      <c r="Y342" s="74"/>
      <c r="Z342" s="72"/>
      <c r="AA342" s="74"/>
      <c r="AB342" s="72"/>
      <c r="AC342" s="74"/>
      <c r="AD342" s="72"/>
      <c r="AE342" s="74">
        <f>-ROUND(41*0.38,0)</f>
        <v>-16</v>
      </c>
      <c r="AF342" s="72" t="str">
        <f t="shared" si="1864"/>
        <v>NA</v>
      </c>
      <c r="AG342" s="74">
        <f>-ROUND(43*0.38,0)</f>
        <v>-16</v>
      </c>
      <c r="AH342" s="72" t="str">
        <f t="shared" si="1865"/>
        <v>NA</v>
      </c>
      <c r="AI342" s="74">
        <f>-ROUND(57*0.38,0)</f>
        <v>-22</v>
      </c>
      <c r="AJ342" s="72" t="str">
        <f t="shared" si="1866"/>
        <v>NA</v>
      </c>
      <c r="AK342" s="74">
        <f>-ROUND(66*0.38,0)</f>
        <v>-25</v>
      </c>
      <c r="AL342" s="72" t="str">
        <f t="shared" si="1867"/>
        <v>NA</v>
      </c>
      <c r="AM342" s="74">
        <f>ROUND(0.38*(-99),0)</f>
        <v>-38</v>
      </c>
      <c r="AN342" s="72" t="str">
        <f t="shared" si="1868"/>
        <v>NM</v>
      </c>
      <c r="AO342" s="74">
        <f>ROUND(0.38*(-78),0)</f>
        <v>-30</v>
      </c>
      <c r="AP342" s="72">
        <f t="shared" si="1869"/>
        <v>87.5</v>
      </c>
      <c r="AQ342" s="74">
        <f>ROUND(0.38*(-29),0)</f>
        <v>-11</v>
      </c>
      <c r="AR342" s="72">
        <f t="shared" si="1870"/>
        <v>-50</v>
      </c>
      <c r="AS342" s="74">
        <f>ROUND(0.38*(-37),0)</f>
        <v>-14</v>
      </c>
      <c r="AT342" s="72">
        <f t="shared" si="1871"/>
        <v>-43.999999999999993</v>
      </c>
      <c r="AU342" s="74">
        <v>0</v>
      </c>
      <c r="AV342" s="72" t="str">
        <f t="shared" si="1872"/>
        <v>NM</v>
      </c>
      <c r="AW342" s="74">
        <v>0</v>
      </c>
      <c r="AX342" s="72" t="str">
        <f t="shared" si="1873"/>
        <v>NM</v>
      </c>
      <c r="AY342" s="74">
        <v>0</v>
      </c>
      <c r="AZ342" s="72" t="str">
        <f t="shared" si="1874"/>
        <v>NM</v>
      </c>
      <c r="BA342" s="74">
        <v>-9</v>
      </c>
      <c r="BB342" s="72">
        <f t="shared" si="1875"/>
        <v>-35.714285714285708</v>
      </c>
      <c r="BC342" s="74">
        <v>0</v>
      </c>
      <c r="BD342" s="72" t="str">
        <f t="shared" si="1876"/>
        <v>NA</v>
      </c>
      <c r="BE342" s="74">
        <v>0</v>
      </c>
      <c r="BF342" s="72" t="str">
        <f t="shared" si="1877"/>
        <v>NA</v>
      </c>
      <c r="BG342" s="74">
        <v>0</v>
      </c>
      <c r="BH342" s="72" t="str">
        <f t="shared" si="1878"/>
        <v>NA</v>
      </c>
      <c r="BI342" s="74">
        <v>0</v>
      </c>
      <c r="BJ342" s="72" t="str">
        <f t="shared" si="1879"/>
        <v>NM</v>
      </c>
      <c r="BK342" s="74"/>
      <c r="BL342" s="72"/>
      <c r="BM342" s="74"/>
      <c r="BN342" s="72"/>
      <c r="BO342" s="74"/>
      <c r="BP342" s="72"/>
      <c r="BQ342" s="74"/>
      <c r="BR342" s="72"/>
      <c r="BS342" s="74"/>
      <c r="BT342" s="72"/>
      <c r="BU342" s="74"/>
      <c r="BV342" s="72"/>
      <c r="BW342" s="74"/>
      <c r="BX342" s="72"/>
      <c r="BY342" s="74"/>
      <c r="BZ342" s="72"/>
      <c r="CA342" s="74"/>
      <c r="CB342" s="72"/>
      <c r="CC342" s="74"/>
      <c r="CD342" s="72"/>
      <c r="CE342" s="74"/>
      <c r="CF342" s="72"/>
      <c r="CG342" s="74"/>
      <c r="CH342" s="72"/>
      <c r="CI342" s="74"/>
      <c r="CJ342" s="72"/>
      <c r="CK342" s="74"/>
      <c r="CL342" s="72"/>
      <c r="CM342" s="74"/>
      <c r="CN342" s="72"/>
      <c r="CO342" s="74"/>
      <c r="CP342" s="72"/>
      <c r="CQ342" s="74"/>
      <c r="CR342" s="72"/>
      <c r="CS342" s="74"/>
      <c r="CT342" s="72"/>
      <c r="CU342" s="74"/>
      <c r="CV342" s="72"/>
      <c r="CW342" s="74"/>
      <c r="CX342" s="72"/>
      <c r="CY342" s="74"/>
      <c r="CZ342" s="72"/>
      <c r="DA342" s="74"/>
      <c r="DB342" s="72"/>
      <c r="DC342" s="74"/>
      <c r="DD342" s="72"/>
      <c r="DE342" s="74"/>
      <c r="DF342" s="72"/>
      <c r="DG342" s="74"/>
      <c r="DH342" s="72"/>
      <c r="DI342" s="74"/>
      <c r="DJ342" s="72"/>
      <c r="DK342" s="74"/>
      <c r="DL342" s="72"/>
      <c r="DM342" s="74"/>
      <c r="DN342" s="72"/>
      <c r="DO342" s="74"/>
      <c r="DP342" s="72"/>
      <c r="DQ342" s="74"/>
      <c r="DR342" s="72"/>
      <c r="DS342" s="74"/>
      <c r="DT342" s="72"/>
      <c r="DU342" s="74"/>
      <c r="DV342" s="72"/>
      <c r="DW342" s="75"/>
      <c r="DX342" s="72"/>
      <c r="DY342" s="75"/>
      <c r="DZ342" s="72"/>
      <c r="EA342" s="75"/>
      <c r="EB342" s="72"/>
      <c r="EC342" s="75"/>
      <c r="ED342" s="72"/>
      <c r="EE342" s="75"/>
      <c r="EF342" s="72"/>
      <c r="EG342" s="75"/>
      <c r="EH342" s="72"/>
      <c r="EI342" s="75"/>
      <c r="EJ342" s="72"/>
      <c r="EK342" s="75"/>
      <c r="EL342" s="72"/>
      <c r="EM342" s="75"/>
      <c r="EN342" s="72"/>
      <c r="EO342" s="75"/>
      <c r="EP342" s="72"/>
      <c r="EQ342" s="75"/>
      <c r="ER342" s="72"/>
      <c r="ES342" s="75"/>
      <c r="ET342" s="72"/>
      <c r="EU342" s="75"/>
      <c r="EV342" s="72"/>
      <c r="EW342" s="75"/>
      <c r="EX342" s="72"/>
      <c r="EY342" s="72"/>
      <c r="EZ342" s="309"/>
      <c r="FA342" s="72"/>
      <c r="FB342" s="81"/>
      <c r="FC342" s="72"/>
      <c r="FD342" s="81"/>
      <c r="FE342" s="72"/>
      <c r="FF342" s="81"/>
      <c r="FG342" s="72"/>
      <c r="FH342" s="81"/>
      <c r="FI342" s="72"/>
      <c r="FJ342" s="81"/>
      <c r="FK342" s="72"/>
      <c r="FL342" s="75">
        <f>AA342+AC342+AE342+AG342</f>
        <v>-32</v>
      </c>
      <c r="FM342" s="72" t="str">
        <f t="shared" si="1880"/>
        <v>NA</v>
      </c>
      <c r="FN342" s="75">
        <f t="shared" si="1881"/>
        <v>-115</v>
      </c>
      <c r="FO342" s="72" t="str">
        <f t="shared" si="1882"/>
        <v>NM</v>
      </c>
      <c r="FP342" s="75">
        <f t="shared" si="1883"/>
        <v>-25</v>
      </c>
      <c r="FQ342" s="72" t="str">
        <f t="shared" si="1884"/>
        <v>NM</v>
      </c>
      <c r="FR342" s="75">
        <f t="shared" si="1885"/>
        <v>-9</v>
      </c>
      <c r="FS342" s="72" t="str">
        <f t="shared" si="1886"/>
        <v>NM</v>
      </c>
      <c r="FT342" s="75">
        <f t="shared" si="1887"/>
        <v>0</v>
      </c>
      <c r="FU342" s="72" t="str">
        <f t="shared" si="1888"/>
        <v>NM</v>
      </c>
      <c r="FV342" s="75"/>
      <c r="FW342" s="72"/>
      <c r="FX342" s="75"/>
      <c r="FY342" s="72"/>
      <c r="FZ342" s="75"/>
      <c r="GA342" s="72"/>
      <c r="GB342" s="75"/>
      <c r="GC342" s="72"/>
      <c r="GD342" s="75"/>
      <c r="GE342" s="72"/>
      <c r="GF342" s="75"/>
      <c r="GG342" s="72"/>
      <c r="GH342" s="75"/>
      <c r="GI342" s="72"/>
      <c r="GJ342" s="75"/>
      <c r="GK342" s="72"/>
      <c r="GL342" s="75"/>
      <c r="GM342" s="72"/>
      <c r="GN342" s="75"/>
      <c r="GO342" s="72"/>
      <c r="GP342" s="75"/>
      <c r="GQ342" s="72"/>
      <c r="GR342" s="75"/>
      <c r="GS342" s="72"/>
      <c r="GT342" s="75"/>
      <c r="GU342" s="72"/>
      <c r="GV342" s="75"/>
      <c r="GW342" s="72"/>
      <c r="GX342" s="75"/>
      <c r="GY342" s="72"/>
      <c r="GZ342" s="72"/>
      <c r="HA342" s="72"/>
      <c r="HB342" s="72"/>
      <c r="HC342"/>
      <c r="HD342"/>
      <c r="HE342"/>
      <c r="HF342"/>
      <c r="HG342"/>
      <c r="HH342"/>
      <c r="HI342" s="2"/>
    </row>
    <row r="343" spans="1:217" s="3" customFormat="1" ht="12.75" hidden="1" customHeight="1" outlineLevel="1" x14ac:dyDescent="0.2">
      <c r="B343" s="10" t="s">
        <v>32</v>
      </c>
      <c r="C343" s="74"/>
      <c r="D343" s="72"/>
      <c r="E343" s="74"/>
      <c r="F343" s="72"/>
      <c r="G343" s="74"/>
      <c r="H343" s="72"/>
      <c r="I343" s="74"/>
      <c r="J343" s="72"/>
      <c r="K343" s="74"/>
      <c r="L343" s="72"/>
      <c r="M343" s="74"/>
      <c r="N343" s="72"/>
      <c r="O343" s="74"/>
      <c r="P343" s="72"/>
      <c r="Q343" s="74"/>
      <c r="R343" s="72"/>
      <c r="S343" s="74"/>
      <c r="T343" s="72"/>
      <c r="U343" s="74"/>
      <c r="V343" s="72"/>
      <c r="W343" s="74"/>
      <c r="X343" s="72"/>
      <c r="Y343" s="74"/>
      <c r="Z343" s="72"/>
      <c r="AA343" s="74"/>
      <c r="AB343" s="72"/>
      <c r="AC343" s="74"/>
      <c r="AD343" s="72"/>
      <c r="AE343" s="74">
        <f>-18+19</f>
        <v>1</v>
      </c>
      <c r="AF343" s="72" t="str">
        <f t="shared" si="1864"/>
        <v>NA</v>
      </c>
      <c r="AG343" s="74">
        <v>-10</v>
      </c>
      <c r="AH343" s="72" t="str">
        <f t="shared" si="1865"/>
        <v>NA</v>
      </c>
      <c r="AI343" s="74">
        <v>-8</v>
      </c>
      <c r="AJ343" s="72" t="str">
        <f t="shared" si="1866"/>
        <v>NA</v>
      </c>
      <c r="AK343" s="74">
        <v>-13</v>
      </c>
      <c r="AL343" s="72" t="str">
        <f t="shared" si="1867"/>
        <v>NA</v>
      </c>
      <c r="AM343" s="74">
        <f>-59-AM342</f>
        <v>-21</v>
      </c>
      <c r="AN343" s="72" t="str">
        <f t="shared" si="1868"/>
        <v>NM</v>
      </c>
      <c r="AO343" s="74">
        <f>-67-AO342</f>
        <v>-37</v>
      </c>
      <c r="AP343" s="72" t="str">
        <f t="shared" si="1869"/>
        <v>NM</v>
      </c>
      <c r="AQ343" s="74">
        <f>-11-AQ342</f>
        <v>0</v>
      </c>
      <c r="AR343" s="72" t="str">
        <f t="shared" si="1870"/>
        <v>NM</v>
      </c>
      <c r="AS343" s="74">
        <f>-9-AS342</f>
        <v>5</v>
      </c>
      <c r="AT343" s="72" t="str">
        <f t="shared" si="1871"/>
        <v>NM</v>
      </c>
      <c r="AU343" s="74">
        <v>0</v>
      </c>
      <c r="AV343" s="72" t="str">
        <f t="shared" si="1872"/>
        <v>NM</v>
      </c>
      <c r="AW343" s="74">
        <v>0</v>
      </c>
      <c r="AX343" s="72" t="str">
        <f t="shared" si="1873"/>
        <v>NM</v>
      </c>
      <c r="AY343" s="74">
        <v>0</v>
      </c>
      <c r="AZ343" s="72" t="str">
        <f t="shared" si="1874"/>
        <v>NA</v>
      </c>
      <c r="BA343" s="74">
        <v>0</v>
      </c>
      <c r="BB343" s="72" t="str">
        <f t="shared" si="1875"/>
        <v>NM</v>
      </c>
      <c r="BC343" s="74">
        <v>0</v>
      </c>
      <c r="BD343" s="72" t="str">
        <f t="shared" si="1876"/>
        <v>NA</v>
      </c>
      <c r="BE343" s="74">
        <v>0</v>
      </c>
      <c r="BF343" s="72" t="str">
        <f t="shared" si="1877"/>
        <v>NA</v>
      </c>
      <c r="BG343" s="74">
        <v>0</v>
      </c>
      <c r="BH343" s="72" t="str">
        <f t="shared" si="1878"/>
        <v>NA</v>
      </c>
      <c r="BI343" s="74">
        <v>0</v>
      </c>
      <c r="BJ343" s="72" t="str">
        <f t="shared" si="1879"/>
        <v>NA</v>
      </c>
      <c r="BK343" s="74"/>
      <c r="BL343" s="72"/>
      <c r="BM343" s="74"/>
      <c r="BN343" s="72"/>
      <c r="BO343" s="74"/>
      <c r="BP343" s="72"/>
      <c r="BQ343" s="74"/>
      <c r="BR343" s="72"/>
      <c r="BS343" s="74"/>
      <c r="BT343" s="72"/>
      <c r="BU343" s="74"/>
      <c r="BV343" s="72"/>
      <c r="BW343" s="74"/>
      <c r="BX343" s="72"/>
      <c r="BY343" s="74"/>
      <c r="BZ343" s="72"/>
      <c r="CA343" s="74"/>
      <c r="CB343" s="72"/>
      <c r="CC343" s="74"/>
      <c r="CD343" s="72"/>
      <c r="CE343" s="74"/>
      <c r="CF343" s="72"/>
      <c r="CG343" s="74"/>
      <c r="CH343" s="72"/>
      <c r="CI343" s="74"/>
      <c r="CJ343" s="72"/>
      <c r="CK343" s="74"/>
      <c r="CL343" s="72"/>
      <c r="CM343" s="74"/>
      <c r="CN343" s="72"/>
      <c r="CO343" s="74"/>
      <c r="CP343" s="72"/>
      <c r="CQ343" s="74"/>
      <c r="CR343" s="72"/>
      <c r="CS343" s="74"/>
      <c r="CT343" s="72"/>
      <c r="CU343" s="74"/>
      <c r="CV343" s="72"/>
      <c r="CW343" s="74"/>
      <c r="CX343" s="72"/>
      <c r="CY343" s="74"/>
      <c r="CZ343" s="72"/>
      <c r="DA343" s="74"/>
      <c r="DB343" s="72"/>
      <c r="DC343" s="74"/>
      <c r="DD343" s="72"/>
      <c r="DE343" s="74"/>
      <c r="DF343" s="72"/>
      <c r="DG343" s="74"/>
      <c r="DH343" s="72"/>
      <c r="DI343" s="74"/>
      <c r="DJ343" s="72"/>
      <c r="DK343" s="74"/>
      <c r="DL343" s="72"/>
      <c r="DM343" s="74"/>
      <c r="DN343" s="72"/>
      <c r="DO343" s="74"/>
      <c r="DP343" s="72"/>
      <c r="DQ343" s="74"/>
      <c r="DR343" s="72"/>
      <c r="DS343" s="74"/>
      <c r="DT343" s="72"/>
      <c r="DU343" s="74"/>
      <c r="DV343" s="72"/>
      <c r="DW343" s="75"/>
      <c r="DX343" s="72"/>
      <c r="DY343" s="75"/>
      <c r="DZ343" s="72"/>
      <c r="EA343" s="75"/>
      <c r="EB343" s="72"/>
      <c r="EC343" s="75"/>
      <c r="ED343" s="72"/>
      <c r="EE343" s="75"/>
      <c r="EF343" s="72"/>
      <c r="EG343" s="75"/>
      <c r="EH343" s="72"/>
      <c r="EI343" s="75"/>
      <c r="EJ343" s="72"/>
      <c r="EK343" s="75"/>
      <c r="EL343" s="72"/>
      <c r="EM343" s="75"/>
      <c r="EN343" s="72"/>
      <c r="EO343" s="75"/>
      <c r="EP343" s="72"/>
      <c r="EQ343" s="75"/>
      <c r="ER343" s="72"/>
      <c r="ES343" s="75"/>
      <c r="ET343" s="72"/>
      <c r="EU343" s="75"/>
      <c r="EV343" s="72"/>
      <c r="EW343" s="75"/>
      <c r="EX343" s="72"/>
      <c r="EY343" s="72"/>
      <c r="EZ343" s="309"/>
      <c r="FA343" s="72"/>
      <c r="FB343" s="81"/>
      <c r="FC343" s="72"/>
      <c r="FD343" s="81"/>
      <c r="FE343" s="72"/>
      <c r="FF343" s="81"/>
      <c r="FG343" s="72"/>
      <c r="FH343" s="81"/>
      <c r="FI343" s="72"/>
      <c r="FJ343" s="81"/>
      <c r="FK343" s="72"/>
      <c r="FL343" s="75">
        <f>AA343+AC343+AE343+AG343</f>
        <v>-9</v>
      </c>
      <c r="FM343" s="72" t="str">
        <f t="shared" si="1880"/>
        <v>NA</v>
      </c>
      <c r="FN343" s="75">
        <f t="shared" si="1881"/>
        <v>-79</v>
      </c>
      <c r="FO343" s="72" t="str">
        <f t="shared" si="1882"/>
        <v>NM</v>
      </c>
      <c r="FP343" s="75">
        <f t="shared" si="1883"/>
        <v>5</v>
      </c>
      <c r="FQ343" s="72" t="str">
        <f t="shared" si="1884"/>
        <v>NM</v>
      </c>
      <c r="FR343" s="75">
        <f t="shared" si="1885"/>
        <v>0</v>
      </c>
      <c r="FS343" s="72" t="str">
        <f t="shared" si="1886"/>
        <v>NM</v>
      </c>
      <c r="FT343" s="75">
        <f t="shared" si="1887"/>
        <v>0</v>
      </c>
      <c r="FU343" s="72" t="str">
        <f t="shared" si="1888"/>
        <v>NA</v>
      </c>
      <c r="FV343" s="75"/>
      <c r="FW343" s="72"/>
      <c r="FX343" s="75"/>
      <c r="FY343" s="72"/>
      <c r="FZ343" s="75"/>
      <c r="GA343" s="72"/>
      <c r="GB343" s="75"/>
      <c r="GC343" s="72"/>
      <c r="GD343" s="75"/>
      <c r="GE343" s="72"/>
      <c r="GF343" s="75"/>
      <c r="GG343" s="72"/>
      <c r="GH343" s="75"/>
      <c r="GI343" s="72"/>
      <c r="GJ343" s="75"/>
      <c r="GK343" s="72"/>
      <c r="GL343" s="75"/>
      <c r="GM343" s="72"/>
      <c r="GN343" s="75"/>
      <c r="GO343" s="72"/>
      <c r="GP343" s="75"/>
      <c r="GQ343" s="72"/>
      <c r="GR343" s="75"/>
      <c r="GS343" s="72"/>
      <c r="GT343" s="75"/>
      <c r="GU343" s="72"/>
      <c r="GV343" s="75"/>
      <c r="GW343" s="72"/>
      <c r="GX343" s="75"/>
      <c r="GY343" s="72"/>
      <c r="GZ343" s="72"/>
      <c r="HA343" s="72"/>
      <c r="HB343" s="72"/>
      <c r="HC343"/>
      <c r="HD343"/>
      <c r="HE343"/>
      <c r="HF343"/>
      <c r="HG343"/>
      <c r="HH343"/>
      <c r="HI343" s="2"/>
    </row>
    <row r="344" spans="1:217" s="78" customFormat="1" ht="12.75" hidden="1" customHeight="1" outlineLevel="1" x14ac:dyDescent="0.2">
      <c r="B344" s="89" t="s">
        <v>521</v>
      </c>
      <c r="C344" s="91"/>
      <c r="D344" s="80"/>
      <c r="E344" s="91"/>
      <c r="F344" s="80"/>
      <c r="G344" s="91"/>
      <c r="H344" s="80"/>
      <c r="I344" s="91"/>
      <c r="J344" s="80"/>
      <c r="K344" s="91"/>
      <c r="L344" s="72"/>
      <c r="M344" s="91"/>
      <c r="N344" s="72"/>
      <c r="O344" s="91"/>
      <c r="P344" s="72"/>
      <c r="Q344" s="91"/>
      <c r="R344" s="72"/>
      <c r="S344" s="91"/>
      <c r="T344" s="72"/>
      <c r="U344" s="91"/>
      <c r="V344" s="72"/>
      <c r="W344" s="91"/>
      <c r="X344" s="72"/>
      <c r="Y344" s="91"/>
      <c r="Z344" s="72"/>
      <c r="AA344" s="91"/>
      <c r="AB344" s="72"/>
      <c r="AC344" s="91"/>
      <c r="AD344" s="72"/>
      <c r="AE344" s="91">
        <f>SUM(AE340:AE343)</f>
        <v>4</v>
      </c>
      <c r="AF344" s="72" t="str">
        <f t="shared" si="1864"/>
        <v>NA</v>
      </c>
      <c r="AG344" s="91">
        <f>SUM(AG340:AG343)</f>
        <v>-64</v>
      </c>
      <c r="AH344" s="72" t="str">
        <f t="shared" si="1865"/>
        <v>NA</v>
      </c>
      <c r="AI344" s="91">
        <f>SUM(AI340:AI343)</f>
        <v>-17</v>
      </c>
      <c r="AJ344" s="72" t="str">
        <f t="shared" si="1866"/>
        <v>NA</v>
      </c>
      <c r="AK344" s="91">
        <f>SUM(AK340:AK343)</f>
        <v>-79.400000000000006</v>
      </c>
      <c r="AL344" s="72" t="str">
        <f t="shared" si="1867"/>
        <v>NA</v>
      </c>
      <c r="AM344" s="91">
        <f>SUM(AM340:AM343)</f>
        <v>-70</v>
      </c>
      <c r="AN344" s="72" t="str">
        <f t="shared" si="1868"/>
        <v>NM</v>
      </c>
      <c r="AO344" s="91">
        <f>SUM(AO340:AO343)</f>
        <v>-83</v>
      </c>
      <c r="AP344" s="72">
        <f t="shared" si="1869"/>
        <v>29.6875</v>
      </c>
      <c r="AQ344" s="91">
        <f>SUM(AQ340:AQ343)</f>
        <v>12</v>
      </c>
      <c r="AR344" s="72" t="str">
        <f t="shared" si="1870"/>
        <v>NM</v>
      </c>
      <c r="AS344" s="91">
        <f>SUM(AS340:AS343)</f>
        <v>-98</v>
      </c>
      <c r="AT344" s="72">
        <f t="shared" si="1871"/>
        <v>23.42569269521411</v>
      </c>
      <c r="AU344" s="91">
        <f>SUM(AU340:AU343)</f>
        <v>37</v>
      </c>
      <c r="AV344" s="72" t="str">
        <f t="shared" si="1872"/>
        <v>NM</v>
      </c>
      <c r="AW344" s="91">
        <f>SUM(AW340:AW343)</f>
        <v>-206</v>
      </c>
      <c r="AX344" s="72" t="str">
        <f t="shared" si="1873"/>
        <v>NM</v>
      </c>
      <c r="AY344" s="91">
        <f>SUM(AY340:AY343)</f>
        <v>-65</v>
      </c>
      <c r="AZ344" s="72" t="str">
        <f t="shared" si="1874"/>
        <v>NM</v>
      </c>
      <c r="BA344" s="91">
        <f>SUM(BA340:BA343)</f>
        <v>21</v>
      </c>
      <c r="BB344" s="72" t="str">
        <f t="shared" si="1875"/>
        <v>NM</v>
      </c>
      <c r="BC344" s="91">
        <f>SUM(BC340:BC343)</f>
        <v>51</v>
      </c>
      <c r="BD344" s="72">
        <f t="shared" si="1876"/>
        <v>37.837837837837839</v>
      </c>
      <c r="BE344" s="91">
        <f>SUM(BE340:BE343)</f>
        <v>53</v>
      </c>
      <c r="BF344" s="72" t="str">
        <f t="shared" si="1877"/>
        <v>NM</v>
      </c>
      <c r="BG344" s="91">
        <f>SUM(BG340:BG343)</f>
        <v>72</v>
      </c>
      <c r="BH344" s="72" t="str">
        <f t="shared" si="1878"/>
        <v>NM</v>
      </c>
      <c r="BI344" s="91">
        <f>SUM(BI340:BI343)</f>
        <v>85</v>
      </c>
      <c r="BJ344" s="72" t="str">
        <f t="shared" si="1879"/>
        <v>NM</v>
      </c>
      <c r="BK344" s="91"/>
      <c r="BL344" s="72"/>
      <c r="BM344" s="91"/>
      <c r="BN344" s="72"/>
      <c r="BO344" s="91"/>
      <c r="BP344" s="72"/>
      <c r="BQ344" s="91"/>
      <c r="BR344" s="72"/>
      <c r="BS344" s="91"/>
      <c r="BT344" s="72"/>
      <c r="BU344" s="91"/>
      <c r="BV344" s="72"/>
      <c r="BW344" s="91"/>
      <c r="BX344" s="72"/>
      <c r="BY344" s="91"/>
      <c r="BZ344" s="72"/>
      <c r="CA344" s="91"/>
      <c r="CB344" s="72"/>
      <c r="CC344" s="91"/>
      <c r="CD344" s="72"/>
      <c r="CE344" s="91"/>
      <c r="CF344" s="72"/>
      <c r="CG344" s="91"/>
      <c r="CH344" s="72"/>
      <c r="CI344" s="91"/>
      <c r="CJ344" s="72"/>
      <c r="CK344" s="91"/>
      <c r="CL344" s="72"/>
      <c r="CM344" s="91"/>
      <c r="CN344" s="72"/>
      <c r="CO344" s="91"/>
      <c r="CP344" s="72"/>
      <c r="CQ344" s="91"/>
      <c r="CR344" s="72"/>
      <c r="CS344" s="91"/>
      <c r="CT344" s="72"/>
      <c r="CU344" s="91"/>
      <c r="CV344" s="72"/>
      <c r="CW344" s="91"/>
      <c r="CX344" s="72"/>
      <c r="CY344" s="91"/>
      <c r="CZ344" s="72"/>
      <c r="DA344" s="91"/>
      <c r="DB344" s="72"/>
      <c r="DC344" s="91"/>
      <c r="DD344" s="72"/>
      <c r="DE344" s="91"/>
      <c r="DF344" s="72"/>
      <c r="DG344" s="91"/>
      <c r="DH344" s="72"/>
      <c r="DI344" s="91"/>
      <c r="DJ344" s="72"/>
      <c r="DK344" s="91"/>
      <c r="DL344" s="72"/>
      <c r="DM344" s="91"/>
      <c r="DN344" s="72"/>
      <c r="DO344" s="91"/>
      <c r="DP344" s="72"/>
      <c r="DQ344" s="91"/>
      <c r="DR344" s="72"/>
      <c r="DS344" s="91"/>
      <c r="DT344" s="72"/>
      <c r="DU344" s="91"/>
      <c r="DV344" s="72"/>
      <c r="DW344" s="91"/>
      <c r="DX344" s="72"/>
      <c r="DY344" s="91"/>
      <c r="DZ344" s="72"/>
      <c r="EA344" s="91"/>
      <c r="EB344" s="72"/>
      <c r="EC344" s="91"/>
      <c r="ED344" s="72"/>
      <c r="EE344" s="91"/>
      <c r="EF344" s="72"/>
      <c r="EG344" s="91"/>
      <c r="EH344" s="72"/>
      <c r="EI344" s="91"/>
      <c r="EJ344" s="72"/>
      <c r="EK344" s="91"/>
      <c r="EL344" s="72"/>
      <c r="EM344" s="91"/>
      <c r="EN344" s="72"/>
      <c r="EO344" s="91"/>
      <c r="EP344" s="72"/>
      <c r="EQ344" s="91"/>
      <c r="ER344" s="72"/>
      <c r="ES344" s="91"/>
      <c r="ET344" s="72"/>
      <c r="EU344" s="91"/>
      <c r="EV344" s="72"/>
      <c r="EW344" s="91"/>
      <c r="EX344" s="72"/>
      <c r="EY344" s="72"/>
      <c r="EZ344" s="310"/>
      <c r="FA344" s="72"/>
      <c r="FB344" s="79"/>
      <c r="FC344" s="80"/>
      <c r="FD344" s="79"/>
      <c r="FE344" s="72"/>
      <c r="FF344" s="79"/>
      <c r="FG344" s="72"/>
      <c r="FH344" s="79"/>
      <c r="FI344" s="72"/>
      <c r="FJ344" s="79"/>
      <c r="FK344" s="72"/>
      <c r="FL344" s="75"/>
      <c r="FM344" s="72" t="str">
        <f t="shared" si="1880"/>
        <v>NA</v>
      </c>
      <c r="FN344" s="91">
        <f t="shared" si="1881"/>
        <v>-249.4</v>
      </c>
      <c r="FO344" s="72" t="str">
        <f t="shared" si="1882"/>
        <v>NA</v>
      </c>
      <c r="FP344" s="91">
        <f t="shared" si="1883"/>
        <v>-255</v>
      </c>
      <c r="FQ344" s="72">
        <f t="shared" si="1884"/>
        <v>2.2453889334402675</v>
      </c>
      <c r="FR344" s="91">
        <f t="shared" si="1885"/>
        <v>60</v>
      </c>
      <c r="FS344" s="72" t="str">
        <f t="shared" si="1886"/>
        <v>NM</v>
      </c>
      <c r="FT344" s="91">
        <f t="shared" si="1887"/>
        <v>157</v>
      </c>
      <c r="FU344" s="72" t="str">
        <f t="shared" si="1888"/>
        <v>NM</v>
      </c>
      <c r="FV344" s="91"/>
      <c r="FW344" s="72"/>
      <c r="FX344" s="91"/>
      <c r="FY344" s="72"/>
      <c r="FZ344" s="91"/>
      <c r="GA344" s="72"/>
      <c r="GB344" s="91"/>
      <c r="GC344" s="72"/>
      <c r="GD344" s="91"/>
      <c r="GE344" s="72"/>
      <c r="GF344" s="91"/>
      <c r="GG344" s="72"/>
      <c r="GH344" s="91"/>
      <c r="GI344" s="72"/>
      <c r="GJ344" s="91"/>
      <c r="GK344" s="72"/>
      <c r="GL344" s="91"/>
      <c r="GM344" s="72"/>
      <c r="GN344" s="91"/>
      <c r="GO344" s="72"/>
      <c r="GP344" s="91"/>
      <c r="GQ344" s="72"/>
      <c r="GR344" s="91"/>
      <c r="GS344" s="72"/>
      <c r="GT344" s="91"/>
      <c r="GU344" s="72"/>
      <c r="GV344" s="91"/>
      <c r="GW344" s="72"/>
      <c r="GX344" s="91"/>
      <c r="GY344" s="72"/>
      <c r="GZ344" s="72"/>
      <c r="HA344" s="72"/>
      <c r="HB344" s="72"/>
      <c r="HC344"/>
      <c r="HD344"/>
      <c r="HE344"/>
      <c r="HF344"/>
      <c r="HG344"/>
      <c r="HH344"/>
      <c r="HI344" s="2"/>
    </row>
    <row r="345" spans="1:217" s="3" customFormat="1" ht="12.75" hidden="1" customHeight="1" outlineLevel="1" x14ac:dyDescent="0.2">
      <c r="B345" s="10" t="s">
        <v>522</v>
      </c>
      <c r="C345" s="74"/>
      <c r="D345" s="72"/>
      <c r="E345" s="74"/>
      <c r="F345" s="72"/>
      <c r="G345" s="74"/>
      <c r="H345" s="72"/>
      <c r="I345" s="74"/>
      <c r="J345" s="72"/>
      <c r="K345" s="74"/>
      <c r="L345" s="72"/>
      <c r="M345" s="74"/>
      <c r="N345" s="72"/>
      <c r="O345" s="74"/>
      <c r="P345" s="72"/>
      <c r="Q345" s="74"/>
      <c r="R345" s="72"/>
      <c r="S345" s="74"/>
      <c r="T345" s="72"/>
      <c r="U345" s="74"/>
      <c r="V345" s="72"/>
      <c r="W345" s="74"/>
      <c r="X345" s="72"/>
      <c r="Y345" s="74"/>
      <c r="Z345" s="72"/>
      <c r="AA345" s="74"/>
      <c r="AB345" s="72"/>
      <c r="AC345" s="74"/>
      <c r="AD345" s="72"/>
      <c r="AE345" s="74">
        <v>-2</v>
      </c>
      <c r="AF345" s="72" t="str">
        <f t="shared" si="1864"/>
        <v>NA</v>
      </c>
      <c r="AG345" s="74">
        <v>-3</v>
      </c>
      <c r="AH345" s="72" t="str">
        <f t="shared" si="1865"/>
        <v>NA</v>
      </c>
      <c r="AI345" s="74">
        <v>3</v>
      </c>
      <c r="AJ345" s="72" t="str">
        <f t="shared" si="1866"/>
        <v>NA</v>
      </c>
      <c r="AK345" s="74">
        <v>-1</v>
      </c>
      <c r="AL345" s="72" t="str">
        <f t="shared" si="1867"/>
        <v>NA</v>
      </c>
      <c r="AM345" s="74">
        <v>-6</v>
      </c>
      <c r="AN345" s="72" t="str">
        <f t="shared" si="1868"/>
        <v>NM</v>
      </c>
      <c r="AO345" s="74">
        <v>8</v>
      </c>
      <c r="AP345" s="72" t="str">
        <f t="shared" si="1869"/>
        <v>NM</v>
      </c>
      <c r="AQ345" s="74">
        <v>3</v>
      </c>
      <c r="AR345" s="72">
        <f t="shared" si="1870"/>
        <v>0</v>
      </c>
      <c r="AS345" s="74">
        <v>1</v>
      </c>
      <c r="AT345" s="72" t="str">
        <f t="shared" si="1871"/>
        <v>NM</v>
      </c>
      <c r="AU345" s="74">
        <v>-6</v>
      </c>
      <c r="AV345" s="72">
        <f t="shared" si="1872"/>
        <v>0</v>
      </c>
      <c r="AW345" s="74">
        <v>2</v>
      </c>
      <c r="AX345" s="72" t="str">
        <f t="shared" si="1873"/>
        <v>NM</v>
      </c>
      <c r="AY345" s="74">
        <v>-42</v>
      </c>
      <c r="AZ345" s="72" t="str">
        <f t="shared" si="1874"/>
        <v>NM</v>
      </c>
      <c r="BA345" s="74">
        <v>9</v>
      </c>
      <c r="BB345" s="72" t="str">
        <f t="shared" si="1875"/>
        <v>NM</v>
      </c>
      <c r="BC345" s="74">
        <v>0</v>
      </c>
      <c r="BD345" s="72" t="str">
        <f t="shared" si="1876"/>
        <v>NM</v>
      </c>
      <c r="BE345" s="74">
        <v>0</v>
      </c>
      <c r="BF345" s="72" t="str">
        <f t="shared" si="1877"/>
        <v>NM</v>
      </c>
      <c r="BG345" s="74">
        <v>0</v>
      </c>
      <c r="BH345" s="72" t="str">
        <f t="shared" si="1878"/>
        <v>NM</v>
      </c>
      <c r="BI345" s="74">
        <v>0</v>
      </c>
      <c r="BJ345" s="72" t="str">
        <f t="shared" si="1879"/>
        <v>NM</v>
      </c>
      <c r="BK345" s="74"/>
      <c r="BL345" s="72"/>
      <c r="BM345" s="74"/>
      <c r="BN345" s="72"/>
      <c r="BO345" s="74"/>
      <c r="BP345" s="72"/>
      <c r="BQ345" s="74"/>
      <c r="BR345" s="72"/>
      <c r="BS345" s="74"/>
      <c r="BT345" s="72"/>
      <c r="BU345" s="74"/>
      <c r="BV345" s="72"/>
      <c r="BW345" s="74"/>
      <c r="BX345" s="72"/>
      <c r="BY345" s="74"/>
      <c r="BZ345" s="72"/>
      <c r="CA345" s="74"/>
      <c r="CB345" s="72"/>
      <c r="CC345" s="74"/>
      <c r="CD345" s="72"/>
      <c r="CE345" s="74"/>
      <c r="CF345" s="72"/>
      <c r="CG345" s="74"/>
      <c r="CH345" s="72"/>
      <c r="CI345" s="74"/>
      <c r="CJ345" s="72"/>
      <c r="CK345" s="74"/>
      <c r="CL345" s="72"/>
      <c r="CM345" s="74"/>
      <c r="CN345" s="72"/>
      <c r="CO345" s="74"/>
      <c r="CP345" s="72"/>
      <c r="CQ345" s="74"/>
      <c r="CR345" s="72"/>
      <c r="CS345" s="74"/>
      <c r="CT345" s="72"/>
      <c r="CU345" s="74"/>
      <c r="CV345" s="72"/>
      <c r="CW345" s="74"/>
      <c r="CX345" s="72"/>
      <c r="CY345" s="74"/>
      <c r="CZ345" s="72"/>
      <c r="DA345" s="74"/>
      <c r="DB345" s="72"/>
      <c r="DC345" s="74"/>
      <c r="DD345" s="72"/>
      <c r="DE345" s="74"/>
      <c r="DF345" s="72"/>
      <c r="DG345" s="74"/>
      <c r="DH345" s="72"/>
      <c r="DI345" s="74"/>
      <c r="DJ345" s="72"/>
      <c r="DK345" s="74"/>
      <c r="DL345" s="72"/>
      <c r="DM345" s="74"/>
      <c r="DN345" s="72"/>
      <c r="DO345" s="74"/>
      <c r="DP345" s="72"/>
      <c r="DQ345" s="74"/>
      <c r="DR345" s="72"/>
      <c r="DS345" s="74"/>
      <c r="DT345" s="72"/>
      <c r="DU345" s="74"/>
      <c r="DV345" s="72"/>
      <c r="DW345" s="75"/>
      <c r="DX345" s="72"/>
      <c r="DY345" s="75"/>
      <c r="DZ345" s="72"/>
      <c r="EA345" s="75"/>
      <c r="EB345" s="72"/>
      <c r="EC345" s="75"/>
      <c r="ED345" s="72"/>
      <c r="EE345" s="75"/>
      <c r="EF345" s="72"/>
      <c r="EG345" s="75"/>
      <c r="EH345" s="72"/>
      <c r="EI345" s="75"/>
      <c r="EJ345" s="72"/>
      <c r="EK345" s="75"/>
      <c r="EL345" s="72"/>
      <c r="EM345" s="75"/>
      <c r="EN345" s="72"/>
      <c r="EO345" s="75"/>
      <c r="EP345" s="72"/>
      <c r="EQ345" s="75"/>
      <c r="ER345" s="72"/>
      <c r="ES345" s="75"/>
      <c r="ET345" s="72"/>
      <c r="EU345" s="75"/>
      <c r="EV345" s="72"/>
      <c r="EW345" s="75"/>
      <c r="EX345" s="72"/>
      <c r="EY345" s="72"/>
      <c r="EZ345" s="309"/>
      <c r="FA345" s="72"/>
      <c r="FB345" s="81"/>
      <c r="FC345" s="72"/>
      <c r="FD345" s="81"/>
      <c r="FE345" s="72"/>
      <c r="FF345" s="81"/>
      <c r="FG345" s="72"/>
      <c r="FH345" s="81"/>
      <c r="FI345" s="72"/>
      <c r="FJ345" s="81"/>
      <c r="FK345" s="72"/>
      <c r="FL345" s="75"/>
      <c r="FM345" s="72" t="str">
        <f t="shared" si="1880"/>
        <v>NA</v>
      </c>
      <c r="FN345" s="75">
        <f t="shared" si="1881"/>
        <v>4</v>
      </c>
      <c r="FO345" s="72" t="str">
        <f t="shared" si="1882"/>
        <v>NA</v>
      </c>
      <c r="FP345" s="75">
        <f t="shared" si="1883"/>
        <v>0</v>
      </c>
      <c r="FQ345" s="72" t="str">
        <f t="shared" si="1884"/>
        <v>NM</v>
      </c>
      <c r="FR345" s="75">
        <f t="shared" si="1885"/>
        <v>-33</v>
      </c>
      <c r="FS345" s="72" t="str">
        <f t="shared" si="1886"/>
        <v>NA</v>
      </c>
      <c r="FT345" s="75">
        <f t="shared" si="1887"/>
        <v>0</v>
      </c>
      <c r="FU345" s="72" t="str">
        <f t="shared" si="1888"/>
        <v>NM</v>
      </c>
      <c r="FV345" s="75"/>
      <c r="FW345" s="72"/>
      <c r="FX345" s="75"/>
      <c r="FY345" s="72"/>
      <c r="FZ345" s="75"/>
      <c r="GA345" s="72"/>
      <c r="GB345" s="75"/>
      <c r="GC345" s="72"/>
      <c r="GD345" s="75"/>
      <c r="GE345" s="72"/>
      <c r="GF345" s="75"/>
      <c r="GG345" s="72"/>
      <c r="GH345" s="75"/>
      <c r="GI345" s="72"/>
      <c r="GJ345" s="75"/>
      <c r="GK345" s="72"/>
      <c r="GL345" s="75"/>
      <c r="GM345" s="72"/>
      <c r="GN345" s="75"/>
      <c r="GO345" s="72"/>
      <c r="GP345" s="75"/>
      <c r="GQ345" s="72"/>
      <c r="GR345" s="75"/>
      <c r="GS345" s="72"/>
      <c r="GT345" s="75"/>
      <c r="GU345" s="72"/>
      <c r="GV345" s="75"/>
      <c r="GW345" s="72"/>
      <c r="GX345" s="75"/>
      <c r="GY345" s="72"/>
      <c r="GZ345" s="72"/>
      <c r="HA345" s="72"/>
      <c r="HB345" s="72"/>
      <c r="HC345"/>
      <c r="HD345"/>
      <c r="HE345"/>
      <c r="HF345"/>
      <c r="HG345"/>
      <c r="HH345"/>
      <c r="HI345" s="2"/>
    </row>
    <row r="346" spans="1:217" s="3" customFormat="1" ht="12.75" hidden="1" customHeight="1" outlineLevel="1" x14ac:dyDescent="0.2">
      <c r="A346" s="3" t="s">
        <v>411</v>
      </c>
      <c r="B346" s="70" t="s">
        <v>27</v>
      </c>
      <c r="C346" s="91"/>
      <c r="D346" s="72"/>
      <c r="E346" s="91"/>
      <c r="F346" s="72"/>
      <c r="G346" s="91"/>
      <c r="H346" s="72"/>
      <c r="I346" s="91"/>
      <c r="J346" s="72"/>
      <c r="K346" s="91">
        <v>35</v>
      </c>
      <c r="L346" s="72" t="str">
        <f>IF(ISERROR(K346/C346),"NA",IF(OR(K346/C346&gt;2,K346/C346&lt;0.5),"NM",K346/C346*100-100))</f>
        <v>NA</v>
      </c>
      <c r="M346" s="91">
        <v>-85</v>
      </c>
      <c r="N346" s="72" t="str">
        <f>IF(ISERROR(M346/E346),"NA",IF(OR(M346/E346&gt;2,M346/E346&lt;0.5),"NM",M346/E346*100-100))</f>
        <v>NA</v>
      </c>
      <c r="O346" s="91">
        <v>-47</v>
      </c>
      <c r="P346" s="72" t="str">
        <f>IF(ISERROR(O346/G346),"NA",IF(OR(O346/G346&gt;2,O346/G346&lt;0.5),"NM",O346/G346*100-100))</f>
        <v>NA</v>
      </c>
      <c r="Q346" s="91">
        <v>-39</v>
      </c>
      <c r="R346" s="72" t="str">
        <f>IF(ISERROR(Q346/I346),"NA",IF(OR(Q346/I346&gt;2,Q346/I346&lt;0.5),"NM",Q346/I346*100-100))</f>
        <v>NA</v>
      </c>
      <c r="S346" s="91">
        <v>7</v>
      </c>
      <c r="T346" s="72" t="str">
        <f>IF(ISERROR(S346/K346),"NA",IF(OR(S346/K346&gt;2,S346/K346&lt;0.5),"NM",S346/K346*100-100))</f>
        <v>NM</v>
      </c>
      <c r="U346" s="91">
        <v>-6</v>
      </c>
      <c r="V346" s="72" t="str">
        <f>IF(ISERROR(U346/M346),"NA",IF(OR(U346/M346&gt;2,U346/M346&lt;0.5),"NM",U346/M346*100-100))</f>
        <v>NM</v>
      </c>
      <c r="W346" s="91">
        <v>-15</v>
      </c>
      <c r="X346" s="72" t="str">
        <f>IF(ISERROR(W346/O346),"NA",IF(OR(W346/O346&gt;2,W346/O346&lt;0.5),"NM",W346/O346*100-100))</f>
        <v>NM</v>
      </c>
      <c r="Y346" s="91">
        <v>-29</v>
      </c>
      <c r="Z346" s="72">
        <f>IF(ISERROR(Y346/Q346),"NA",IF(OR(Y346/Q346&gt;2,Y346/Q346&lt;0.5),"NM",Y346/Q346*100-100))</f>
        <v>-25.641025641025635</v>
      </c>
      <c r="AA346" s="91">
        <v>-25</v>
      </c>
      <c r="AB346" s="72" t="str">
        <f>IF(ISERROR(AA346/S346),"NA",IF(OR(AA346/S346&gt;2,AA346/S346&lt;0.5),"NM",AA346/S346*100-100))</f>
        <v>NM</v>
      </c>
      <c r="AC346" s="91">
        <v>-21</v>
      </c>
      <c r="AD346" s="72" t="str">
        <f>IF(ISERROR(AC346/U346),"NA",IF(OR(AC346/U346&gt;2,AC346/U346&lt;0.5),"NM",AC346/U346*100-100))</f>
        <v>NM</v>
      </c>
      <c r="AE346" s="91">
        <f>AE344+AE345</f>
        <v>2</v>
      </c>
      <c r="AF346" s="72" t="str">
        <f t="shared" si="1864"/>
        <v>NM</v>
      </c>
      <c r="AG346" s="91">
        <f>AG344+AG345</f>
        <v>-67</v>
      </c>
      <c r="AH346" s="72" t="str">
        <f t="shared" si="1865"/>
        <v>NM</v>
      </c>
      <c r="AI346" s="91">
        <f>AI344+AI345</f>
        <v>-14</v>
      </c>
      <c r="AJ346" s="72">
        <f t="shared" si="1866"/>
        <v>-43.999999999999993</v>
      </c>
      <c r="AK346" s="91">
        <f>AK344+AK345</f>
        <v>-80.400000000000006</v>
      </c>
      <c r="AL346" s="72" t="str">
        <f t="shared" si="1867"/>
        <v>NM</v>
      </c>
      <c r="AM346" s="91">
        <f>AM344+AM345</f>
        <v>-76</v>
      </c>
      <c r="AN346" s="72" t="str">
        <f t="shared" si="1868"/>
        <v>NM</v>
      </c>
      <c r="AO346" s="91">
        <f>AO344+AO345</f>
        <v>-75</v>
      </c>
      <c r="AP346" s="72">
        <f t="shared" si="1869"/>
        <v>11.940298507462671</v>
      </c>
      <c r="AQ346" s="91">
        <f>AQ344+AQ345</f>
        <v>15</v>
      </c>
      <c r="AR346" s="72" t="str">
        <f t="shared" si="1870"/>
        <v>NM</v>
      </c>
      <c r="AS346" s="91">
        <f>AS344+AS345</f>
        <v>-97</v>
      </c>
      <c r="AT346" s="72">
        <f t="shared" si="1871"/>
        <v>20.646766169154219</v>
      </c>
      <c r="AU346" s="91">
        <f>AU344+AU345</f>
        <v>31</v>
      </c>
      <c r="AV346" s="72" t="str">
        <f t="shared" si="1872"/>
        <v>NM</v>
      </c>
      <c r="AW346" s="91">
        <f>AW344+AW345</f>
        <v>-204</v>
      </c>
      <c r="AX346" s="72" t="str">
        <f t="shared" si="1873"/>
        <v>NM</v>
      </c>
      <c r="AY346" s="91">
        <f>AY344+AY345</f>
        <v>-107</v>
      </c>
      <c r="AZ346" s="72" t="str">
        <f t="shared" si="1874"/>
        <v>NM</v>
      </c>
      <c r="BA346" s="91">
        <f>BA344+BA345</f>
        <v>30</v>
      </c>
      <c r="BB346" s="72" t="str">
        <f t="shared" si="1875"/>
        <v>NM</v>
      </c>
      <c r="BC346" s="91">
        <f>BC344+BC345</f>
        <v>51</v>
      </c>
      <c r="BD346" s="72">
        <f t="shared" si="1876"/>
        <v>64.516129032258078</v>
      </c>
      <c r="BE346" s="91">
        <f>BE344+BE345</f>
        <v>53</v>
      </c>
      <c r="BF346" s="72" t="str">
        <f t="shared" si="1877"/>
        <v>NM</v>
      </c>
      <c r="BG346" s="91">
        <f>BG344+BG345</f>
        <v>72</v>
      </c>
      <c r="BH346" s="72" t="str">
        <f t="shared" si="1878"/>
        <v>NM</v>
      </c>
      <c r="BI346" s="91">
        <f>BI344+BI345</f>
        <v>85</v>
      </c>
      <c r="BJ346" s="72" t="str">
        <f t="shared" si="1879"/>
        <v>NM</v>
      </c>
      <c r="BK346" s="91"/>
      <c r="BL346" s="72"/>
      <c r="BM346" s="91"/>
      <c r="BN346" s="72"/>
      <c r="BO346" s="91"/>
      <c r="BP346" s="72"/>
      <c r="BQ346" s="91"/>
      <c r="BR346" s="72"/>
      <c r="BS346" s="91"/>
      <c r="BT346" s="72"/>
      <c r="BU346" s="91"/>
      <c r="BV346" s="72"/>
      <c r="BW346" s="91"/>
      <c r="BX346" s="72"/>
      <c r="BY346" s="91"/>
      <c r="BZ346" s="72"/>
      <c r="CA346" s="91"/>
      <c r="CB346" s="72"/>
      <c r="CC346" s="91"/>
      <c r="CD346" s="72"/>
      <c r="CE346" s="91"/>
      <c r="CF346" s="72"/>
      <c r="CG346" s="91"/>
      <c r="CH346" s="72"/>
      <c r="CI346" s="91"/>
      <c r="CJ346" s="72"/>
      <c r="CK346" s="91"/>
      <c r="CL346" s="72"/>
      <c r="CM346" s="91"/>
      <c r="CN346" s="72"/>
      <c r="CO346" s="91"/>
      <c r="CP346" s="72"/>
      <c r="CQ346" s="91"/>
      <c r="CR346" s="72"/>
      <c r="CS346" s="91"/>
      <c r="CT346" s="72"/>
      <c r="CU346" s="91"/>
      <c r="CV346" s="72"/>
      <c r="CW346" s="91"/>
      <c r="CX346" s="72"/>
      <c r="CY346" s="91"/>
      <c r="CZ346" s="72"/>
      <c r="DA346" s="91"/>
      <c r="DB346" s="72"/>
      <c r="DC346" s="91"/>
      <c r="DD346" s="72"/>
      <c r="DE346" s="91"/>
      <c r="DF346" s="72"/>
      <c r="DG346" s="91"/>
      <c r="DH346" s="72"/>
      <c r="DI346" s="91"/>
      <c r="DJ346" s="72"/>
      <c r="DK346" s="91"/>
      <c r="DL346" s="72"/>
      <c r="DM346" s="91"/>
      <c r="DN346" s="72"/>
      <c r="DO346" s="91"/>
      <c r="DP346" s="72"/>
      <c r="DQ346" s="91"/>
      <c r="DR346" s="72"/>
      <c r="DS346" s="91"/>
      <c r="DT346" s="72"/>
      <c r="DU346" s="91"/>
      <c r="DV346" s="72"/>
      <c r="DW346" s="91"/>
      <c r="DX346" s="72"/>
      <c r="DY346" s="91"/>
      <c r="DZ346" s="72"/>
      <c r="EA346" s="91"/>
      <c r="EB346" s="72"/>
      <c r="EC346" s="91"/>
      <c r="ED346" s="72"/>
      <c r="EE346" s="91"/>
      <c r="EF346" s="72"/>
      <c r="EG346" s="91"/>
      <c r="EH346" s="72"/>
      <c r="EI346" s="91"/>
      <c r="EJ346" s="72"/>
      <c r="EK346" s="91"/>
      <c r="EL346" s="72"/>
      <c r="EM346" s="91"/>
      <c r="EN346" s="72"/>
      <c r="EO346" s="91"/>
      <c r="EP346" s="72"/>
      <c r="EQ346" s="91"/>
      <c r="ER346" s="72"/>
      <c r="ES346" s="91"/>
      <c r="ET346" s="72"/>
      <c r="EU346" s="91"/>
      <c r="EV346" s="72"/>
      <c r="EW346" s="91"/>
      <c r="EX346" s="72"/>
      <c r="EY346" s="72"/>
      <c r="EZ346" s="309"/>
      <c r="FA346" s="72"/>
      <c r="FB346" s="81"/>
      <c r="FC346" s="72"/>
      <c r="FD346" s="122">
        <v>319</v>
      </c>
      <c r="FE346" s="72" t="str">
        <f>IF(ISERROR(FD346/FB346),"NA",IF(OR(FD346/FB346&gt;2,FD346/FB346&lt;0.5),"NM",FD346/FB346*100-100))</f>
        <v>NA</v>
      </c>
      <c r="FF346" s="122">
        <v>358</v>
      </c>
      <c r="FG346" s="72">
        <f>IF(ISERROR(FF346/FD346),"NA",IF(OR(FF346/FD346&gt;2,FF346/FD346&lt;0.5),"NM",FF346/FD346*100-100))</f>
        <v>12.225705329153612</v>
      </c>
      <c r="FH346" s="122">
        <v>-136</v>
      </c>
      <c r="FI346" s="72" t="str">
        <f>IF(ISERROR(FH346/FF346),"NA",IF(OR(FH346/FF346&gt;2,FH346/FF346&lt;0.5),"NM",FH346/FF346*100-100))</f>
        <v>NM</v>
      </c>
      <c r="FJ346" s="122">
        <v>-43</v>
      </c>
      <c r="FK346" s="72" t="str">
        <f>IF(ISERROR(FJ346/FH346),"NA",IF(OR(FJ346/FH346&gt;2,FJ346/FH346&lt;0.5),"NM",FJ346/FH346*100-100))</f>
        <v>NM</v>
      </c>
      <c r="FL346" s="122">
        <v>-111</v>
      </c>
      <c r="FM346" s="72" t="str">
        <f t="shared" si="1880"/>
        <v>NM</v>
      </c>
      <c r="FN346" s="91">
        <f>FN344+FN345</f>
        <v>-245.4</v>
      </c>
      <c r="FO346" s="72" t="str">
        <f t="shared" si="1882"/>
        <v>NM</v>
      </c>
      <c r="FP346" s="91">
        <f>FP344+FP345</f>
        <v>-255</v>
      </c>
      <c r="FQ346" s="72">
        <f t="shared" si="1884"/>
        <v>3.9119804400977927</v>
      </c>
      <c r="FR346" s="91">
        <f>FR344+FR345</f>
        <v>27</v>
      </c>
      <c r="FS346" s="72" t="str">
        <f t="shared" si="1886"/>
        <v>NM</v>
      </c>
      <c r="FT346" s="91">
        <f>FT344+FT345</f>
        <v>157</v>
      </c>
      <c r="FU346" s="72" t="str">
        <f t="shared" si="1888"/>
        <v>NM</v>
      </c>
      <c r="FV346" s="91"/>
      <c r="FW346" s="72"/>
      <c r="FX346" s="91"/>
      <c r="FY346" s="72"/>
      <c r="FZ346" s="91"/>
      <c r="GA346" s="72"/>
      <c r="GB346" s="91"/>
      <c r="GC346" s="72"/>
      <c r="GD346" s="91"/>
      <c r="GE346" s="72"/>
      <c r="GF346" s="91"/>
      <c r="GG346" s="72"/>
      <c r="GH346" s="91"/>
      <c r="GI346" s="72"/>
      <c r="GJ346" s="91"/>
      <c r="GK346" s="72"/>
      <c r="GL346" s="91"/>
      <c r="GM346" s="72"/>
      <c r="GN346" s="91"/>
      <c r="GO346" s="72"/>
      <c r="GP346" s="91"/>
      <c r="GQ346" s="72"/>
      <c r="GR346" s="91"/>
      <c r="GS346" s="72"/>
      <c r="GT346" s="91"/>
      <c r="GU346" s="72"/>
      <c r="GV346" s="91"/>
      <c r="GW346" s="72"/>
      <c r="GX346" s="91"/>
      <c r="GY346" s="72"/>
      <c r="GZ346" s="72"/>
      <c r="HA346" s="72"/>
      <c r="HB346" s="72"/>
      <c r="HC346"/>
      <c r="HD346"/>
      <c r="HE346"/>
      <c r="HF346"/>
      <c r="HG346"/>
      <c r="HH346"/>
      <c r="HI346" s="2"/>
    </row>
    <row r="347" spans="1:217" s="3" customFormat="1" ht="12.75" hidden="1" customHeight="1" outlineLevel="1" x14ac:dyDescent="0.2">
      <c r="B347" s="70"/>
      <c r="C347" s="91"/>
      <c r="D347" s="72"/>
      <c r="E347" s="91"/>
      <c r="F347" s="72"/>
      <c r="G347" s="91"/>
      <c r="H347" s="72"/>
      <c r="I347" s="91"/>
      <c r="J347" s="72"/>
      <c r="K347" s="91"/>
      <c r="L347" s="72"/>
      <c r="M347" s="91"/>
      <c r="N347" s="72"/>
      <c r="O347" s="91"/>
      <c r="P347" s="72"/>
      <c r="Q347" s="91"/>
      <c r="R347" s="72"/>
      <c r="S347" s="91"/>
      <c r="T347" s="72"/>
      <c r="U347" s="91"/>
      <c r="V347" s="72"/>
      <c r="W347" s="91"/>
      <c r="X347" s="72"/>
      <c r="Y347" s="91"/>
      <c r="Z347" s="72"/>
      <c r="AA347" s="91"/>
      <c r="AB347" s="72"/>
      <c r="AC347" s="91"/>
      <c r="AD347" s="72"/>
      <c r="AE347" s="91"/>
      <c r="AF347" s="72"/>
      <c r="AG347" s="91"/>
      <c r="AH347" s="72"/>
      <c r="AI347" s="91"/>
      <c r="AJ347" s="72"/>
      <c r="AK347" s="91"/>
      <c r="AL347" s="72"/>
      <c r="AM347" s="91"/>
      <c r="AN347" s="72"/>
      <c r="AO347" s="91"/>
      <c r="AP347" s="72"/>
      <c r="AQ347" s="91"/>
      <c r="AR347" s="72"/>
      <c r="AS347" s="91"/>
      <c r="AT347" s="72"/>
      <c r="AU347" s="91"/>
      <c r="AV347" s="72"/>
      <c r="AW347" s="91"/>
      <c r="AX347" s="72"/>
      <c r="AY347" s="91"/>
      <c r="AZ347" s="72"/>
      <c r="BA347" s="91"/>
      <c r="BB347" s="72"/>
      <c r="BC347" s="91"/>
      <c r="BD347" s="72"/>
      <c r="BE347" s="91"/>
      <c r="BF347" s="72"/>
      <c r="BG347" s="91"/>
      <c r="BH347" s="72"/>
      <c r="BI347" s="91"/>
      <c r="BJ347" s="72"/>
      <c r="BK347" s="91"/>
      <c r="BL347" s="72"/>
      <c r="BM347" s="91"/>
      <c r="BN347" s="72"/>
      <c r="BO347" s="91"/>
      <c r="BP347" s="72"/>
      <c r="BQ347" s="91"/>
      <c r="BR347" s="72"/>
      <c r="BS347" s="91"/>
      <c r="BT347" s="72"/>
      <c r="BU347" s="91"/>
      <c r="BV347" s="72"/>
      <c r="BW347" s="91"/>
      <c r="BX347" s="72"/>
      <c r="BY347" s="91"/>
      <c r="BZ347" s="72"/>
      <c r="CA347" s="91"/>
      <c r="CB347" s="72"/>
      <c r="CC347" s="91"/>
      <c r="CD347" s="72"/>
      <c r="CE347" s="91"/>
      <c r="CF347" s="72"/>
      <c r="CG347" s="91"/>
      <c r="CH347" s="72"/>
      <c r="CI347" s="91"/>
      <c r="CJ347" s="72"/>
      <c r="CK347" s="91"/>
      <c r="CL347" s="72"/>
      <c r="CM347" s="91"/>
      <c r="CN347" s="72"/>
      <c r="CO347" s="91"/>
      <c r="CP347" s="72"/>
      <c r="CQ347" s="91"/>
      <c r="CR347" s="72"/>
      <c r="CS347" s="91"/>
      <c r="CT347" s="72"/>
      <c r="CU347" s="91"/>
      <c r="CV347" s="72"/>
      <c r="CW347" s="91"/>
      <c r="CX347" s="72"/>
      <c r="CY347" s="91"/>
      <c r="CZ347" s="72"/>
      <c r="DA347" s="91"/>
      <c r="DB347" s="72"/>
      <c r="DC347" s="91"/>
      <c r="DD347" s="72"/>
      <c r="DE347" s="91"/>
      <c r="DF347" s="72"/>
      <c r="DG347" s="91"/>
      <c r="DH347" s="72"/>
      <c r="DI347" s="91"/>
      <c r="DJ347" s="72"/>
      <c r="DK347" s="91"/>
      <c r="DL347" s="72"/>
      <c r="DM347" s="91"/>
      <c r="DN347" s="72"/>
      <c r="DO347" s="91"/>
      <c r="DP347" s="72"/>
      <c r="DQ347" s="91"/>
      <c r="DR347" s="72"/>
      <c r="DS347" s="91"/>
      <c r="DT347" s="72"/>
      <c r="DU347" s="91"/>
      <c r="DV347" s="72"/>
      <c r="DW347" s="91"/>
      <c r="DX347" s="72"/>
      <c r="DY347" s="91"/>
      <c r="DZ347" s="72"/>
      <c r="EA347" s="91"/>
      <c r="EB347" s="72"/>
      <c r="EC347" s="91"/>
      <c r="ED347" s="72"/>
      <c r="EE347" s="91"/>
      <c r="EF347" s="72"/>
      <c r="EG347" s="91"/>
      <c r="EH347" s="72"/>
      <c r="EI347" s="91"/>
      <c r="EJ347" s="72"/>
      <c r="EK347" s="91"/>
      <c r="EL347" s="72"/>
      <c r="EM347" s="91"/>
      <c r="EN347" s="72"/>
      <c r="EO347" s="91"/>
      <c r="EP347" s="72"/>
      <c r="EQ347" s="91"/>
      <c r="ER347" s="72"/>
      <c r="ES347" s="91"/>
      <c r="ET347" s="72"/>
      <c r="EU347" s="91"/>
      <c r="EV347" s="72"/>
      <c r="EW347" s="91"/>
      <c r="EX347" s="72"/>
      <c r="EY347" s="72"/>
      <c r="EZ347" s="309"/>
      <c r="FA347" s="72"/>
      <c r="FB347" s="81"/>
      <c r="FC347" s="72"/>
      <c r="FD347" s="122"/>
      <c r="FE347" s="72"/>
      <c r="FF347" s="122"/>
      <c r="FG347" s="72"/>
      <c r="FH347" s="122"/>
      <c r="FI347" s="72"/>
      <c r="FJ347" s="122"/>
      <c r="FK347" s="72"/>
      <c r="FL347" s="122"/>
      <c r="FM347" s="72"/>
      <c r="FN347" s="91"/>
      <c r="FO347" s="72"/>
      <c r="FP347" s="91"/>
      <c r="FQ347" s="72"/>
      <c r="FR347" s="91"/>
      <c r="FS347" s="72"/>
      <c r="FT347" s="91"/>
      <c r="FU347" s="72"/>
      <c r="FV347" s="91"/>
      <c r="FW347" s="72"/>
      <c r="FX347" s="91"/>
      <c r="FY347" s="72"/>
      <c r="FZ347" s="91"/>
      <c r="GA347" s="72"/>
      <c r="GB347" s="91"/>
      <c r="GC347" s="72"/>
      <c r="GD347" s="91"/>
      <c r="GE347" s="72"/>
      <c r="GF347" s="91"/>
      <c r="GG347" s="72"/>
      <c r="GH347" s="91"/>
      <c r="GI347" s="72"/>
      <c r="GJ347" s="91"/>
      <c r="GK347" s="72"/>
      <c r="GL347" s="91"/>
      <c r="GM347" s="72"/>
      <c r="GN347" s="91"/>
      <c r="GO347" s="72"/>
      <c r="GP347" s="91"/>
      <c r="GQ347" s="72"/>
      <c r="GR347" s="91"/>
      <c r="GS347" s="72"/>
      <c r="GT347" s="91"/>
      <c r="GU347" s="72"/>
      <c r="GV347" s="91"/>
      <c r="GW347" s="72"/>
      <c r="GX347" s="91"/>
      <c r="GY347" s="72"/>
      <c r="GZ347" s="72"/>
      <c r="HA347" s="72"/>
      <c r="HB347" s="72"/>
      <c r="HC347"/>
      <c r="HD347"/>
      <c r="HE347"/>
      <c r="HF347"/>
      <c r="HG347"/>
      <c r="HH347"/>
      <c r="HI347" s="2"/>
    </row>
    <row r="348" spans="1:217" s="3" customFormat="1" ht="12.75" hidden="1" customHeight="1" outlineLevel="1" x14ac:dyDescent="0.2">
      <c r="B348" s="77" t="s">
        <v>537</v>
      </c>
      <c r="C348" s="74"/>
      <c r="D348" s="92"/>
      <c r="E348" s="74"/>
      <c r="F348" s="92"/>
      <c r="G348" s="74"/>
      <c r="H348" s="92"/>
      <c r="I348" s="74"/>
      <c r="J348" s="92"/>
      <c r="K348" s="74">
        <v>0</v>
      </c>
      <c r="L348" s="72" t="str">
        <f>IF(ISERROR(K348/C348),"NA",IF(OR(K348/C348&gt;2,K348/C348&lt;0.5),"NM",K348/C348*100-100))</f>
        <v>NA</v>
      </c>
      <c r="M348" s="74">
        <v>0</v>
      </c>
      <c r="N348" s="72" t="str">
        <f>IF(ISERROR(M348/E348),"NA",IF(OR(M348/E348&gt;2,M348/E348&lt;0.5),"NM",M348/E348*100-100))</f>
        <v>NA</v>
      </c>
      <c r="O348" s="74">
        <v>0</v>
      </c>
      <c r="P348" s="72" t="str">
        <f>IF(ISERROR(O348/G348),"NA",IF(OR(O348/G348&gt;2,O348/G348&lt;0.5),"NM",O348/G348*100-100))</f>
        <v>NA</v>
      </c>
      <c r="Q348" s="74">
        <v>0</v>
      </c>
      <c r="R348" s="72" t="str">
        <f>IF(ISERROR(Q348/I348),"NA",IF(OR(Q348/I348&gt;2,Q348/I348&lt;0.5),"NM",Q348/I348*100-100))</f>
        <v>NA</v>
      </c>
      <c r="S348" s="74">
        <v>0</v>
      </c>
      <c r="T348" s="72" t="str">
        <f>IF(ISERROR(S348/K348),"NA",IF(OR(S348/K348&gt;2,S348/K348&lt;0.5),"NM",S348/K348*100-100))</f>
        <v>NA</v>
      </c>
      <c r="U348" s="74">
        <v>0</v>
      </c>
      <c r="V348" s="72" t="str">
        <f>IF(ISERROR(U348/M348),"NA",IF(OR(U348/M348&gt;2,U348/M348&lt;0.5),"NM",U348/M348*100-100))</f>
        <v>NA</v>
      </c>
      <c r="W348" s="74">
        <v>0</v>
      </c>
      <c r="X348" s="72" t="str">
        <f>IF(ISERROR(W348/O348),"NA",IF(OR(W348/O348&gt;2,W348/O348&lt;0.5),"NM",W348/O348*100-100))</f>
        <v>NA</v>
      </c>
      <c r="Y348" s="74">
        <v>0</v>
      </c>
      <c r="Z348" s="72" t="str">
        <f>IF(ISERROR(Y348/Q348),"NA",IF(OR(Y348/Q348&gt;2,Y348/Q348&lt;0.5),"NM",Y348/Q348*100-100))</f>
        <v>NA</v>
      </c>
      <c r="AA348" s="74">
        <v>0</v>
      </c>
      <c r="AB348" s="72" t="str">
        <f t="shared" ref="AB348:AV349" si="1889">IF(ISERROR(AA348/S348),"NA",IF(OR(AA348/S348&gt;2,AA348/S348&lt;0.5),"NM",AA348/S348*100-100))</f>
        <v>NA</v>
      </c>
      <c r="AC348" s="74">
        <v>0</v>
      </c>
      <c r="AD348" s="72" t="str">
        <f t="shared" si="1889"/>
        <v>NA</v>
      </c>
      <c r="AE348" s="74">
        <v>0</v>
      </c>
      <c r="AF348" s="72" t="str">
        <f t="shared" si="1889"/>
        <v>NA</v>
      </c>
      <c r="AG348" s="74">
        <v>0</v>
      </c>
      <c r="AH348" s="72" t="str">
        <f t="shared" si="1889"/>
        <v>NA</v>
      </c>
      <c r="AI348" s="74">
        <v>0</v>
      </c>
      <c r="AJ348" s="72" t="str">
        <f t="shared" si="1889"/>
        <v>NA</v>
      </c>
      <c r="AK348" s="74">
        <v>0</v>
      </c>
      <c r="AL348" s="72" t="str">
        <f t="shared" si="1889"/>
        <v>NA</v>
      </c>
      <c r="AM348" s="74">
        <v>0</v>
      </c>
      <c r="AN348" s="72" t="str">
        <f t="shared" si="1889"/>
        <v>NA</v>
      </c>
      <c r="AO348" s="74">
        <v>0</v>
      </c>
      <c r="AP348" s="72" t="str">
        <f t="shared" si="1889"/>
        <v>NA</v>
      </c>
      <c r="AQ348" s="74">
        <v>0</v>
      </c>
      <c r="AR348" s="72" t="str">
        <f t="shared" si="1889"/>
        <v>NA</v>
      </c>
      <c r="AS348" s="74">
        <v>-109</v>
      </c>
      <c r="AT348" s="72" t="str">
        <f t="shared" si="1889"/>
        <v>NA</v>
      </c>
      <c r="AU348" s="74">
        <v>0</v>
      </c>
      <c r="AV348" s="72" t="str">
        <f t="shared" si="1889"/>
        <v>NA</v>
      </c>
      <c r="AW348" s="74">
        <v>-267</v>
      </c>
      <c r="AX348" s="72" t="str">
        <f>IF(ISERROR(AW348/AO348),"NA",IF(OR(AW348/AO348&gt;2,AW348/AO348&lt;0.5),"NM",AW348/AO348*100-100))</f>
        <v>NA</v>
      </c>
      <c r="AY348" s="74">
        <f>-176+42</f>
        <v>-134</v>
      </c>
      <c r="AZ348" s="72" t="str">
        <f>IF(ISERROR(AY348/AQ348),"NA",IF(OR(AY348/AQ348&gt;2,AY348/AQ348&lt;0.5),"NM",AY348/AQ348*100-100))</f>
        <v>NA</v>
      </c>
      <c r="BA348" s="74">
        <v>0</v>
      </c>
      <c r="BB348" s="72" t="str">
        <f>IF(ISERROR(BA348/AS348),"NA",IF(OR(BA348/AS348&gt;2,BA348/AS348&lt;0.5),"NM",BA348/AS348*100-100))</f>
        <v>NM</v>
      </c>
      <c r="BC348" s="74">
        <v>0</v>
      </c>
      <c r="BD348" s="72" t="str">
        <f>IF(ISERROR(BC348/AU348),"NA",IF(OR(BC348/AU348&gt;2,BC348/AU348&lt;0.5),"NM",BC348/AU348*100-100))</f>
        <v>NA</v>
      </c>
      <c r="BE348" s="74">
        <v>0</v>
      </c>
      <c r="BF348" s="72" t="str">
        <f>IF(ISERROR(BE348/AW348),"NA",IF(OR(BE348/AW348&gt;2,BE348/AW348&lt;0.5),"NM",BE348/AW348*100-100))</f>
        <v>NM</v>
      </c>
      <c r="BG348" s="74">
        <v>0</v>
      </c>
      <c r="BH348" s="72" t="str">
        <f>IF(ISERROR(BG348/AY348),"NA",IF(OR(BG348/AY348&gt;2,BG348/AY348&lt;0.5),"NM",BG348/AY348*100-100))</f>
        <v>NM</v>
      </c>
      <c r="BI348" s="74">
        <v>0</v>
      </c>
      <c r="BJ348" s="72" t="str">
        <f>IF(ISERROR(BI348/BA348),"NA",IF(OR(BI348/BA348&gt;2,BI348/BA348&lt;0.5),"NM",BI348/BA348*100-100))</f>
        <v>NA</v>
      </c>
      <c r="BK348" s="74"/>
      <c r="BL348" s="72"/>
      <c r="BM348" s="74"/>
      <c r="BN348" s="72"/>
      <c r="BO348" s="74"/>
      <c r="BP348" s="72"/>
      <c r="BQ348" s="74"/>
      <c r="BR348" s="72"/>
      <c r="BS348" s="74"/>
      <c r="BT348" s="72"/>
      <c r="BU348" s="74"/>
      <c r="BV348" s="72"/>
      <c r="BW348" s="74"/>
      <c r="BX348" s="72"/>
      <c r="BY348" s="74"/>
      <c r="BZ348" s="72"/>
      <c r="CA348" s="74"/>
      <c r="CB348" s="72"/>
      <c r="CC348" s="74"/>
      <c r="CD348" s="72"/>
      <c r="CE348" s="74"/>
      <c r="CF348" s="72"/>
      <c r="CG348" s="74"/>
      <c r="CH348" s="72"/>
      <c r="CI348" s="74"/>
      <c r="CJ348" s="72"/>
      <c r="CK348" s="74"/>
      <c r="CL348" s="72"/>
      <c r="CM348" s="74"/>
      <c r="CN348" s="72"/>
      <c r="CO348" s="74"/>
      <c r="CP348" s="72"/>
      <c r="CQ348" s="74"/>
      <c r="CR348" s="72"/>
      <c r="CS348" s="74"/>
      <c r="CT348" s="72"/>
      <c r="CU348" s="74"/>
      <c r="CV348" s="72"/>
      <c r="CW348" s="74"/>
      <c r="CX348" s="72"/>
      <c r="CY348" s="74"/>
      <c r="CZ348" s="72"/>
      <c r="DA348" s="74"/>
      <c r="DB348" s="72"/>
      <c r="DC348" s="74"/>
      <c r="DD348" s="72"/>
      <c r="DE348" s="74"/>
      <c r="DF348" s="72"/>
      <c r="DG348" s="74"/>
      <c r="DH348" s="72"/>
      <c r="DI348" s="74"/>
      <c r="DJ348" s="72"/>
      <c r="DK348" s="74"/>
      <c r="DL348" s="72"/>
      <c r="DM348" s="74"/>
      <c r="DN348" s="72"/>
      <c r="DO348" s="74"/>
      <c r="DP348" s="72"/>
      <c r="DQ348" s="74"/>
      <c r="DR348" s="72"/>
      <c r="DS348" s="74"/>
      <c r="DT348" s="72"/>
      <c r="DU348" s="74"/>
      <c r="DV348" s="72"/>
      <c r="DW348" s="75"/>
      <c r="DX348" s="72"/>
      <c r="DY348" s="75"/>
      <c r="DZ348" s="72"/>
      <c r="EA348" s="75"/>
      <c r="EB348" s="72"/>
      <c r="EC348" s="75"/>
      <c r="ED348" s="72"/>
      <c r="EE348" s="75"/>
      <c r="EF348" s="72"/>
      <c r="EG348" s="75"/>
      <c r="EH348" s="72"/>
      <c r="EI348" s="75"/>
      <c r="EJ348" s="72"/>
      <c r="EK348" s="75"/>
      <c r="EL348" s="72"/>
      <c r="EM348" s="75"/>
      <c r="EN348" s="72"/>
      <c r="EO348" s="75"/>
      <c r="EP348" s="72"/>
      <c r="EQ348" s="75"/>
      <c r="ER348" s="72"/>
      <c r="ES348" s="75"/>
      <c r="ET348" s="72"/>
      <c r="EU348" s="75"/>
      <c r="EV348" s="72"/>
      <c r="EW348" s="75"/>
      <c r="EX348" s="72"/>
      <c r="EY348" s="72"/>
      <c r="EZ348" s="306"/>
      <c r="FA348" s="72"/>
      <c r="FB348" s="75">
        <v>0</v>
      </c>
      <c r="FC348" s="72"/>
      <c r="FD348" s="75">
        <v>0</v>
      </c>
      <c r="FE348" s="72" t="str">
        <f>IF(ISERROR(FD348/FB348),"NA",IF(OR(FD348/FB348&gt;2,FD348/FB348&lt;0.5),"NM",FD348/FB348*100-100))</f>
        <v>NA</v>
      </c>
      <c r="FF348" s="75">
        <v>0</v>
      </c>
      <c r="FG348" s="72" t="str">
        <f>IF(ISERROR(FF348/FD348),"NA",IF(OR(FF348/FD348&gt;2,FF348/FD348&lt;0.5),"NM",FF348/FD348*100-100))</f>
        <v>NA</v>
      </c>
      <c r="FH348" s="75">
        <v>0</v>
      </c>
      <c r="FI348" s="72" t="str">
        <f>IF(ISERROR(FH348/FF348),"NA",IF(OR(FH348/FF348&gt;2,FH348/FF348&lt;0.5),"NM",FH348/FF348*100-100))</f>
        <v>NA</v>
      </c>
      <c r="FJ348" s="75">
        <v>0</v>
      </c>
      <c r="FK348" s="72" t="str">
        <f>IF(ISERROR(FJ348/FH348),"NA",IF(OR(FJ348/FH348&gt;2,FJ348/FH348&lt;0.5),"NM",FJ348/FH348*100-100))</f>
        <v>NA</v>
      </c>
      <c r="FL348" s="75">
        <v>0</v>
      </c>
      <c r="FM348" s="72" t="str">
        <f>IF(ISERROR(FL348/FJ348),"NA",IF(OR(FL348/FJ348&gt;2,FL348/FJ348&lt;0.5),"NM",FL348/FJ348*100-100))</f>
        <v>NA</v>
      </c>
      <c r="FN348" s="75">
        <f>AI348+AK348+AM348+AO348</f>
        <v>0</v>
      </c>
      <c r="FO348" s="72" t="str">
        <f>IF(ISERROR(FN348/FF348),"NA",IF(OR(FN348/FF348&gt;2,FN348/FF348&lt;0.5),"NM",FN348/FF348*100-100))</f>
        <v>NA</v>
      </c>
      <c r="FP348" s="75">
        <f>AQ348+AS348+AU348+AW348</f>
        <v>-376</v>
      </c>
      <c r="FQ348" s="72" t="str">
        <f>IF(ISERROR(FP348/FN348),"NA",IF(OR(FP348/FN348&gt;2,FP348/FN348&lt;0.5),"NM",FP348/FN348*100-100))</f>
        <v>NA</v>
      </c>
      <c r="FR348" s="75">
        <f>SUM(AY348,BA348,BC348,BE348)</f>
        <v>-134</v>
      </c>
      <c r="FS348" s="72" t="str">
        <f>IF(ISERROR(FR348/FP348),"NA",IF(OR(FR348/FP348&gt;2,FR348/FP348&lt;0.5),"NM",FR348/FP348*100-100))</f>
        <v>NM</v>
      </c>
      <c r="FT348" s="75">
        <f>SUM(BG348,BI348,BK348,BM348)</f>
        <v>0</v>
      </c>
      <c r="FU348" s="72" t="str">
        <f>IF(ISERROR(FT348/FR348),"NA",IF(OR(FT348/FR348&gt;2,FT348/FR348&lt;0.5),"NM",FT348/FR348*100-100))</f>
        <v>NM</v>
      </c>
      <c r="FV348" s="75"/>
      <c r="FW348" s="72"/>
      <c r="FX348" s="75"/>
      <c r="FY348" s="72"/>
      <c r="FZ348" s="75"/>
      <c r="GA348" s="72"/>
      <c r="GB348" s="75"/>
      <c r="GC348" s="72"/>
      <c r="GD348" s="75"/>
      <c r="GE348" s="72"/>
      <c r="GF348" s="75"/>
      <c r="GG348" s="72"/>
      <c r="GH348" s="75"/>
      <c r="GI348" s="72"/>
      <c r="GJ348" s="75"/>
      <c r="GK348" s="72"/>
      <c r="GL348" s="75"/>
      <c r="GM348" s="72"/>
      <c r="GN348" s="75"/>
      <c r="GO348" s="72"/>
      <c r="GP348" s="75"/>
      <c r="GQ348" s="72"/>
      <c r="GR348" s="75"/>
      <c r="GS348" s="72"/>
      <c r="GT348" s="75"/>
      <c r="GU348" s="72"/>
      <c r="GV348" s="75"/>
      <c r="GW348" s="72"/>
      <c r="GX348" s="75"/>
      <c r="GY348" s="72"/>
      <c r="GZ348" s="72"/>
      <c r="HA348" s="72"/>
      <c r="HB348" s="72"/>
      <c r="HC348"/>
      <c r="HD348"/>
      <c r="HE348"/>
      <c r="HF348"/>
      <c r="HG348"/>
      <c r="HH348"/>
      <c r="HI348" s="2"/>
    </row>
    <row r="349" spans="1:217" s="78" customFormat="1" ht="12.75" hidden="1" customHeight="1" outlineLevel="1" x14ac:dyDescent="0.2">
      <c r="B349" s="70" t="s">
        <v>539</v>
      </c>
      <c r="C349" s="91"/>
      <c r="D349" s="80"/>
      <c r="E349" s="91"/>
      <c r="F349" s="80"/>
      <c r="G349" s="91"/>
      <c r="H349" s="80"/>
      <c r="I349" s="91"/>
      <c r="J349" s="80"/>
      <c r="K349" s="91">
        <f>K346-K348</f>
        <v>35</v>
      </c>
      <c r="L349" s="72" t="str">
        <f>IF(ISERROR(K349/C349),"NA",IF(OR(K349/C349&gt;2,K349/C349&lt;0.5),"NM",K349/C349*100-100))</f>
        <v>NA</v>
      </c>
      <c r="M349" s="91">
        <f>M346-M348</f>
        <v>-85</v>
      </c>
      <c r="N349" s="72" t="str">
        <f>IF(ISERROR(M349/E349),"NA",IF(OR(M349/E349&gt;2,M349/E349&lt;0.5),"NM",M349/E349*100-100))</f>
        <v>NA</v>
      </c>
      <c r="O349" s="91">
        <f>O346-O348</f>
        <v>-47</v>
      </c>
      <c r="P349" s="72" t="str">
        <f>IF(ISERROR(O349/G349),"NA",IF(OR(O349/G349&gt;2,O349/G349&lt;0.5),"NM",O349/G349*100-100))</f>
        <v>NA</v>
      </c>
      <c r="Q349" s="91">
        <f>Q346-Q348</f>
        <v>-39</v>
      </c>
      <c r="R349" s="72" t="str">
        <f>IF(ISERROR(Q349/I349),"NA",IF(OR(Q349/I349&gt;2,Q349/I349&lt;0.5),"NM",Q349/I349*100-100))</f>
        <v>NA</v>
      </c>
      <c r="S349" s="91">
        <f>S346-S348</f>
        <v>7</v>
      </c>
      <c r="T349" s="72" t="str">
        <f>IF(ISERROR(S349/K349),"NA",IF(OR(S349/K349&gt;2,S349/K349&lt;0.5),"NM",S349/K349*100-100))</f>
        <v>NM</v>
      </c>
      <c r="U349" s="91">
        <f>U346-U348</f>
        <v>-6</v>
      </c>
      <c r="V349" s="72" t="str">
        <f>IF(ISERROR(U349/M349),"NA",IF(OR(U349/M349&gt;2,U349/M349&lt;0.5),"NM",U349/M349*100-100))</f>
        <v>NM</v>
      </c>
      <c r="W349" s="91">
        <f>W346-W348</f>
        <v>-15</v>
      </c>
      <c r="X349" s="72" t="str">
        <f>IF(ISERROR(W349/O349),"NA",IF(OR(W349/O349&gt;2,W349/O349&lt;0.5),"NM",W349/O349*100-100))</f>
        <v>NM</v>
      </c>
      <c r="Y349" s="91">
        <f>Y346-Y348</f>
        <v>-29</v>
      </c>
      <c r="Z349" s="72">
        <f>IF(ISERROR(Y349/Q349),"NA",IF(OR(Y349/Q349&gt;2,Y349/Q349&lt;0.5),"NM",Y349/Q349*100-100))</f>
        <v>-25.641025641025635</v>
      </c>
      <c r="AA349" s="91">
        <f>AA346-AA348</f>
        <v>-25</v>
      </c>
      <c r="AB349" s="72" t="str">
        <f t="shared" si="1889"/>
        <v>NM</v>
      </c>
      <c r="AC349" s="91">
        <f>AC346-AC348</f>
        <v>-21</v>
      </c>
      <c r="AD349" s="72" t="str">
        <f t="shared" si="1889"/>
        <v>NM</v>
      </c>
      <c r="AE349" s="91">
        <f>AE346-AE348</f>
        <v>2</v>
      </c>
      <c r="AF349" s="72" t="str">
        <f t="shared" si="1889"/>
        <v>NM</v>
      </c>
      <c r="AG349" s="91">
        <f>AG346-AG348</f>
        <v>-67</v>
      </c>
      <c r="AH349" s="72" t="str">
        <f t="shared" si="1889"/>
        <v>NM</v>
      </c>
      <c r="AI349" s="91">
        <f>AI346-AI348</f>
        <v>-14</v>
      </c>
      <c r="AJ349" s="72">
        <f t="shared" si="1889"/>
        <v>-43.999999999999993</v>
      </c>
      <c r="AK349" s="91">
        <f>AK346-AK348</f>
        <v>-80.400000000000006</v>
      </c>
      <c r="AL349" s="72" t="str">
        <f t="shared" si="1889"/>
        <v>NM</v>
      </c>
      <c r="AM349" s="91">
        <f>AM346-AM348</f>
        <v>-76</v>
      </c>
      <c r="AN349" s="72" t="str">
        <f t="shared" si="1889"/>
        <v>NM</v>
      </c>
      <c r="AO349" s="91">
        <f>AO346-AO348</f>
        <v>-75</v>
      </c>
      <c r="AP349" s="72">
        <f t="shared" si="1889"/>
        <v>11.940298507462671</v>
      </c>
      <c r="AQ349" s="91">
        <f>AQ346-AQ348</f>
        <v>15</v>
      </c>
      <c r="AR349" s="72" t="str">
        <f t="shared" si="1889"/>
        <v>NM</v>
      </c>
      <c r="AS349" s="91">
        <f>AS346-AS348</f>
        <v>12</v>
      </c>
      <c r="AT349" s="72" t="str">
        <f t="shared" si="1889"/>
        <v>NM</v>
      </c>
      <c r="AU349" s="91">
        <f>AU346-AU348</f>
        <v>31</v>
      </c>
      <c r="AV349" s="72" t="str">
        <f t="shared" si="1889"/>
        <v>NM</v>
      </c>
      <c r="AW349" s="91">
        <f>AW346-AW348</f>
        <v>63</v>
      </c>
      <c r="AX349" s="72" t="str">
        <f>IF(ISERROR(AW349/AO349),"NA",IF(OR(AW349/AO349&gt;2,AW349/AO349&lt;0.5),"NM",AW349/AO349*100-100))</f>
        <v>NM</v>
      </c>
      <c r="AY349" s="91">
        <f>AY346-AY348</f>
        <v>27</v>
      </c>
      <c r="AZ349" s="72">
        <f>IF(ISERROR(AY349/AQ349),"NA",IF(OR(AY349/AQ349&gt;2,AY349/AQ349&lt;0.5),"NM",AY349/AQ349*100-100))</f>
        <v>80</v>
      </c>
      <c r="BA349" s="91">
        <f>BA346-BA348</f>
        <v>30</v>
      </c>
      <c r="BB349" s="72" t="str">
        <f>IF(ISERROR(BA349/AS349),"NA",IF(OR(BA349/AS349&gt;2,BA349/AS349&lt;0.5),"NM",BA349/AS349*100-100))</f>
        <v>NM</v>
      </c>
      <c r="BC349" s="91">
        <f>BC346-BC348</f>
        <v>51</v>
      </c>
      <c r="BD349" s="72">
        <f>IF(ISERROR(BC349/AU349),"NA",IF(OR(BC349/AU349&gt;2,BC349/AU349&lt;0.5),"NM",BC349/AU349*100-100))</f>
        <v>64.516129032258078</v>
      </c>
      <c r="BE349" s="91">
        <f>BE346-BE348</f>
        <v>53</v>
      </c>
      <c r="BF349" s="72">
        <f>IF(ISERROR(BE349/AW349),"NA",IF(OR(BE349/AW349&gt;2,BE349/AW349&lt;0.5),"NM",BE349/AW349*100-100))</f>
        <v>-15.873015873015873</v>
      </c>
      <c r="BG349" s="91">
        <f>BG346-BG348</f>
        <v>72</v>
      </c>
      <c r="BH349" s="72" t="str">
        <f>IF(ISERROR(BG349/AY349),"NA",IF(OR(BG349/AY349&gt;2,BG349/AY349&lt;0.5),"NM",BG349/AY349*100-100))</f>
        <v>NM</v>
      </c>
      <c r="BI349" s="91">
        <f>BI346-BI348</f>
        <v>85</v>
      </c>
      <c r="BJ349" s="72" t="str">
        <f>IF(ISERROR(BI349/BA349),"NA",IF(OR(BI349/BA349&gt;2,BI349/BA349&lt;0.5),"NM",BI349/BA349*100-100))</f>
        <v>NM</v>
      </c>
      <c r="BK349" s="91"/>
      <c r="BL349" s="72"/>
      <c r="BM349" s="91"/>
      <c r="BN349" s="72"/>
      <c r="BO349" s="91"/>
      <c r="BP349" s="72"/>
      <c r="BQ349" s="91"/>
      <c r="BR349" s="72"/>
      <c r="BS349" s="91"/>
      <c r="BT349" s="72"/>
      <c r="BU349" s="91"/>
      <c r="BV349" s="72"/>
      <c r="BW349" s="91"/>
      <c r="BX349" s="72"/>
      <c r="BY349" s="91"/>
      <c r="BZ349" s="72"/>
      <c r="CA349" s="91"/>
      <c r="CB349" s="72"/>
      <c r="CC349" s="91"/>
      <c r="CD349" s="72"/>
      <c r="CE349" s="91"/>
      <c r="CF349" s="72"/>
      <c r="CG349" s="91"/>
      <c r="CH349" s="72"/>
      <c r="CI349" s="91"/>
      <c r="CJ349" s="72"/>
      <c r="CK349" s="91"/>
      <c r="CL349" s="72"/>
      <c r="CM349" s="91"/>
      <c r="CN349" s="72"/>
      <c r="CO349" s="91"/>
      <c r="CP349" s="72"/>
      <c r="CQ349" s="91"/>
      <c r="CR349" s="72"/>
      <c r="CS349" s="91"/>
      <c r="CT349" s="72"/>
      <c r="CU349" s="91"/>
      <c r="CV349" s="72"/>
      <c r="CW349" s="91"/>
      <c r="CX349" s="72"/>
      <c r="CY349" s="91"/>
      <c r="CZ349" s="72"/>
      <c r="DA349" s="91"/>
      <c r="DB349" s="72"/>
      <c r="DC349" s="91"/>
      <c r="DD349" s="72"/>
      <c r="DE349" s="91"/>
      <c r="DF349" s="72"/>
      <c r="DG349" s="91"/>
      <c r="DH349" s="72"/>
      <c r="DI349" s="91"/>
      <c r="DJ349" s="72"/>
      <c r="DK349" s="91"/>
      <c r="DL349" s="72"/>
      <c r="DM349" s="91"/>
      <c r="DN349" s="72"/>
      <c r="DO349" s="91"/>
      <c r="DP349" s="72"/>
      <c r="DQ349" s="91"/>
      <c r="DR349" s="72"/>
      <c r="DS349" s="91"/>
      <c r="DT349" s="72"/>
      <c r="DU349" s="91"/>
      <c r="DV349" s="72"/>
      <c r="DW349" s="91"/>
      <c r="DX349" s="72"/>
      <c r="DY349" s="91"/>
      <c r="DZ349" s="72"/>
      <c r="EA349" s="91"/>
      <c r="EB349" s="72"/>
      <c r="EC349" s="91"/>
      <c r="ED349" s="72"/>
      <c r="EE349" s="91"/>
      <c r="EF349" s="72"/>
      <c r="EG349" s="91"/>
      <c r="EH349" s="72"/>
      <c r="EI349" s="91"/>
      <c r="EJ349" s="72"/>
      <c r="EK349" s="91"/>
      <c r="EL349" s="72"/>
      <c r="EM349" s="91"/>
      <c r="EN349" s="72"/>
      <c r="EO349" s="91"/>
      <c r="EP349" s="72"/>
      <c r="EQ349" s="91"/>
      <c r="ER349" s="72"/>
      <c r="ES349" s="91"/>
      <c r="ET349" s="72"/>
      <c r="EU349" s="91"/>
      <c r="EV349" s="72"/>
      <c r="EW349" s="91"/>
      <c r="EX349" s="72"/>
      <c r="EY349" s="72"/>
      <c r="EZ349" s="314"/>
      <c r="FA349" s="72"/>
      <c r="FB349" s="91">
        <f>FB346-FB348</f>
        <v>0</v>
      </c>
      <c r="FC349" s="80"/>
      <c r="FD349" s="91">
        <f>FD346-FD348</f>
        <v>319</v>
      </c>
      <c r="FE349" s="72" t="str">
        <f>IF(ISERROR(FD349/FB349),"NA",IF(OR(FD349/FB349&gt;2,FD349/FB349&lt;0.5),"NM",FD349/FB349*100-100))</f>
        <v>NA</v>
      </c>
      <c r="FF349" s="91">
        <f>FF346-FF348</f>
        <v>358</v>
      </c>
      <c r="FG349" s="72">
        <f>IF(ISERROR(FF349/FD349),"NA",IF(OR(FF349/FD349&gt;2,FF349/FD349&lt;0.5),"NM",FF349/FD349*100-100))</f>
        <v>12.225705329153612</v>
      </c>
      <c r="FH349" s="91">
        <f>FH346-FH348</f>
        <v>-136</v>
      </c>
      <c r="FI349" s="72" t="str">
        <f>IF(ISERROR(FH349/FF349),"NA",IF(OR(FH349/FF349&gt;2,FH349/FF349&lt;0.5),"NM",FH349/FF349*100-100))</f>
        <v>NM</v>
      </c>
      <c r="FJ349" s="91">
        <f>FJ346-FJ348</f>
        <v>-43</v>
      </c>
      <c r="FK349" s="72" t="str">
        <f>IF(ISERROR(FJ349/FH349),"NA",IF(OR(FJ349/FH349&gt;2,FJ349/FH349&lt;0.5),"NM",FJ349/FH349*100-100))</f>
        <v>NM</v>
      </c>
      <c r="FL349" s="91">
        <f>FL346-FL348</f>
        <v>-111</v>
      </c>
      <c r="FM349" s="72" t="str">
        <f>IF(ISERROR(FL349/FJ349),"NA",IF(OR(FL349/FJ349&gt;2,FL349/FJ349&lt;0.5),"NM",FL349/FJ349*100-100))</f>
        <v>NM</v>
      </c>
      <c r="FN349" s="75">
        <f>AI349+AK349+AM349+AO349</f>
        <v>-245.4</v>
      </c>
      <c r="FO349" s="72" t="str">
        <f>IF(ISERROR(FN349/FF349),"NA",IF(OR(FN349/FF349&gt;2,FN349/FF349&lt;0.5),"NM",FN349/FF349*100-100))</f>
        <v>NM</v>
      </c>
      <c r="FP349" s="75">
        <f>AQ349+AS349+AU349+AW349</f>
        <v>121</v>
      </c>
      <c r="FQ349" s="72" t="str">
        <f>IF(ISERROR(FP349/FN349),"NA",IF(OR(FP349/FN349&gt;2,FP349/FN349&lt;0.5),"NM",FP349/FN349*100-100))</f>
        <v>NM</v>
      </c>
      <c r="FR349" s="91">
        <f>FR346-FR348</f>
        <v>161</v>
      </c>
      <c r="FS349" s="72">
        <f>IF(ISERROR(FR349/FP349),"NA",IF(OR(FR349/FP349&gt;2,FR349/FP349&lt;0.5),"NM",FR349/FP349*100-100))</f>
        <v>33.057851239669418</v>
      </c>
      <c r="FT349" s="91">
        <f>FT346-FT348</f>
        <v>157</v>
      </c>
      <c r="FU349" s="72">
        <f>IF(ISERROR(FT349/FR349),"NA",IF(OR(FT349/FR349&gt;2,FT349/FR349&lt;0.5),"NM",FT349/FR349*100-100))</f>
        <v>-2.4844720496894439</v>
      </c>
      <c r="FV349" s="91"/>
      <c r="FW349" s="72"/>
      <c r="FX349" s="91"/>
      <c r="FY349" s="72"/>
      <c r="FZ349" s="91"/>
      <c r="GA349" s="72"/>
      <c r="GB349" s="91"/>
      <c r="GC349" s="72"/>
      <c r="GD349" s="91"/>
      <c r="GE349" s="72"/>
      <c r="GF349" s="91"/>
      <c r="GG349" s="72"/>
      <c r="GH349" s="91"/>
      <c r="GI349" s="72"/>
      <c r="GJ349" s="91"/>
      <c r="GK349" s="72"/>
      <c r="GL349" s="91"/>
      <c r="GM349" s="72"/>
      <c r="GN349" s="91"/>
      <c r="GO349" s="72"/>
      <c r="GP349" s="91"/>
      <c r="GQ349" s="72"/>
      <c r="GR349" s="91"/>
      <c r="GS349" s="72"/>
      <c r="GT349" s="91"/>
      <c r="GU349" s="72"/>
      <c r="GV349" s="91"/>
      <c r="GW349" s="72"/>
      <c r="GX349" s="91"/>
      <c r="GY349" s="72"/>
      <c r="GZ349" s="72"/>
      <c r="HA349" s="72"/>
      <c r="HB349" s="72"/>
      <c r="HC349"/>
      <c r="HD349"/>
      <c r="HE349"/>
      <c r="HF349"/>
      <c r="HG349"/>
      <c r="HH349"/>
      <c r="HI349" s="2"/>
    </row>
    <row r="350" spans="1:217" s="78" customFormat="1" ht="12.75" hidden="1" customHeight="1" outlineLevel="1" x14ac:dyDescent="0.2">
      <c r="B350" s="70"/>
      <c r="C350" s="91"/>
      <c r="D350" s="80"/>
      <c r="E350" s="91"/>
      <c r="F350" s="80"/>
      <c r="G350" s="91"/>
      <c r="H350" s="80"/>
      <c r="I350" s="91"/>
      <c r="J350" s="72"/>
      <c r="K350" s="91"/>
      <c r="L350" s="72"/>
      <c r="M350" s="91"/>
      <c r="N350" s="72"/>
      <c r="O350" s="91"/>
      <c r="P350" s="72"/>
      <c r="Q350" s="91"/>
      <c r="R350" s="72"/>
      <c r="S350" s="91"/>
      <c r="T350" s="72"/>
      <c r="U350" s="91"/>
      <c r="V350" s="72"/>
      <c r="W350" s="91"/>
      <c r="X350" s="72"/>
      <c r="Y350" s="91"/>
      <c r="Z350" s="72"/>
      <c r="AA350" s="91"/>
      <c r="AB350" s="72"/>
      <c r="AC350" s="91"/>
      <c r="AD350" s="72"/>
      <c r="AE350" s="91"/>
      <c r="AF350" s="72"/>
      <c r="AG350" s="91"/>
      <c r="AH350" s="72"/>
      <c r="AI350" s="91"/>
      <c r="AJ350" s="72"/>
      <c r="AK350" s="91"/>
      <c r="AL350" s="72"/>
      <c r="AM350" s="91"/>
      <c r="AN350" s="72"/>
      <c r="AO350" s="91"/>
      <c r="AP350" s="72"/>
      <c r="AQ350" s="91"/>
      <c r="AR350" s="72"/>
      <c r="AS350" s="91"/>
      <c r="AT350" s="72"/>
      <c r="AU350" s="91"/>
      <c r="AV350" s="72"/>
      <c r="AW350" s="91"/>
      <c r="AX350" s="72"/>
      <c r="AY350" s="91"/>
      <c r="AZ350" s="72"/>
      <c r="BA350" s="91"/>
      <c r="BB350" s="72"/>
      <c r="BC350" s="91"/>
      <c r="BD350" s="72"/>
      <c r="BE350" s="91"/>
      <c r="BF350" s="72"/>
      <c r="BG350" s="91"/>
      <c r="BH350" s="72"/>
      <c r="BI350" s="91"/>
      <c r="BJ350" s="72"/>
      <c r="BK350" s="91"/>
      <c r="BL350" s="72"/>
      <c r="BM350" s="91"/>
      <c r="BN350" s="72"/>
      <c r="BO350" s="91"/>
      <c r="BP350" s="72"/>
      <c r="BQ350" s="91"/>
      <c r="BR350" s="72"/>
      <c r="BS350" s="91"/>
      <c r="BT350" s="72"/>
      <c r="BU350" s="91"/>
      <c r="BV350" s="72"/>
      <c r="BW350" s="91"/>
      <c r="BX350" s="72"/>
      <c r="BY350" s="91"/>
      <c r="BZ350" s="72"/>
      <c r="CA350" s="91"/>
      <c r="CB350" s="72"/>
      <c r="CC350" s="91"/>
      <c r="CD350" s="72"/>
      <c r="CE350" s="91"/>
      <c r="CF350" s="72"/>
      <c r="CG350" s="91"/>
      <c r="CH350" s="72"/>
      <c r="CI350" s="91"/>
      <c r="CJ350" s="72"/>
      <c r="CK350" s="91"/>
      <c r="CL350" s="72"/>
      <c r="CM350" s="91"/>
      <c r="CN350" s="72"/>
      <c r="CO350" s="91"/>
      <c r="CP350" s="72"/>
      <c r="CQ350" s="91"/>
      <c r="CR350" s="72"/>
      <c r="CS350" s="91"/>
      <c r="CT350" s="72"/>
      <c r="CU350" s="91"/>
      <c r="CV350" s="72"/>
      <c r="CW350" s="91"/>
      <c r="CX350" s="72"/>
      <c r="CY350" s="91"/>
      <c r="CZ350" s="72"/>
      <c r="DA350" s="91"/>
      <c r="DB350" s="72"/>
      <c r="DC350" s="91"/>
      <c r="DD350" s="72"/>
      <c r="DE350" s="91"/>
      <c r="DF350" s="72"/>
      <c r="DG350" s="91"/>
      <c r="DH350" s="72"/>
      <c r="DI350" s="91"/>
      <c r="DJ350" s="72"/>
      <c r="DK350" s="91"/>
      <c r="DL350" s="72"/>
      <c r="DM350" s="91"/>
      <c r="DN350" s="72"/>
      <c r="DO350" s="91"/>
      <c r="DP350" s="72"/>
      <c r="DQ350" s="91"/>
      <c r="DR350" s="72"/>
      <c r="DS350" s="91"/>
      <c r="DT350" s="72"/>
      <c r="DU350" s="91"/>
      <c r="DV350" s="72"/>
      <c r="DW350" s="91"/>
      <c r="DX350" s="72"/>
      <c r="DY350" s="91"/>
      <c r="DZ350" s="72"/>
      <c r="EA350" s="91"/>
      <c r="EB350" s="72"/>
      <c r="EC350" s="91"/>
      <c r="ED350" s="72"/>
      <c r="EE350" s="91"/>
      <c r="EF350" s="72"/>
      <c r="EG350" s="91"/>
      <c r="EH350" s="72"/>
      <c r="EI350" s="91"/>
      <c r="EJ350" s="72"/>
      <c r="EK350" s="91"/>
      <c r="EL350" s="72"/>
      <c r="EM350" s="91"/>
      <c r="EN350" s="72"/>
      <c r="EO350" s="91"/>
      <c r="EP350" s="72"/>
      <c r="EQ350" s="91"/>
      <c r="ER350" s="72"/>
      <c r="ES350" s="91"/>
      <c r="ET350" s="72"/>
      <c r="EU350" s="91"/>
      <c r="EV350" s="72"/>
      <c r="EW350" s="91"/>
      <c r="EX350" s="72"/>
      <c r="EY350" s="72"/>
      <c r="EZ350" s="314"/>
      <c r="FA350" s="72"/>
      <c r="FB350" s="91"/>
      <c r="FC350" s="80"/>
      <c r="FD350" s="91"/>
      <c r="FE350" s="72"/>
      <c r="FF350" s="91"/>
      <c r="FG350" s="72"/>
      <c r="FH350" s="91"/>
      <c r="FI350" s="72"/>
      <c r="FJ350" s="91"/>
      <c r="FK350" s="72"/>
      <c r="FL350" s="91"/>
      <c r="FM350" s="72"/>
      <c r="FN350" s="91"/>
      <c r="FO350" s="72"/>
      <c r="FP350" s="91"/>
      <c r="FQ350" s="72"/>
      <c r="FR350" s="91"/>
      <c r="FS350" s="72"/>
      <c r="FT350" s="91"/>
      <c r="FU350" s="72"/>
      <c r="FV350" s="91"/>
      <c r="FW350" s="72"/>
      <c r="FX350" s="91"/>
      <c r="FY350" s="72"/>
      <c r="FZ350" s="91"/>
      <c r="GA350" s="72"/>
      <c r="GB350" s="91"/>
      <c r="GC350" s="72"/>
      <c r="GD350" s="91"/>
      <c r="GE350" s="72"/>
      <c r="GF350" s="91"/>
      <c r="GG350" s="72"/>
      <c r="GH350" s="91"/>
      <c r="GI350" s="72"/>
      <c r="GJ350" s="91"/>
      <c r="GK350" s="72"/>
      <c r="GL350" s="91"/>
      <c r="GM350" s="72"/>
      <c r="GN350" s="91"/>
      <c r="GO350" s="72"/>
      <c r="GP350" s="91"/>
      <c r="GQ350" s="72"/>
      <c r="GR350" s="91"/>
      <c r="GS350" s="72"/>
      <c r="GT350" s="91"/>
      <c r="GU350" s="72"/>
      <c r="GV350" s="91"/>
      <c r="GW350" s="72"/>
      <c r="GX350" s="91"/>
      <c r="GY350" s="72"/>
      <c r="GZ350" s="72"/>
      <c r="HA350" s="72"/>
      <c r="HB350" s="72"/>
      <c r="HC350"/>
      <c r="HD350"/>
      <c r="HE350"/>
      <c r="HF350"/>
      <c r="HG350"/>
      <c r="HH350"/>
      <c r="HI350" s="2"/>
    </row>
    <row r="351" spans="1:217" s="3" customFormat="1" ht="12.75" hidden="1" customHeight="1" outlineLevel="1" x14ac:dyDescent="0.2">
      <c r="B351" s="123" t="s">
        <v>154</v>
      </c>
      <c r="C351" s="124"/>
      <c r="D351" s="125"/>
      <c r="E351" s="124"/>
      <c r="F351" s="125"/>
      <c r="G351" s="124"/>
      <c r="H351" s="125"/>
      <c r="I351" s="124"/>
      <c r="J351" s="125"/>
      <c r="K351" s="124"/>
      <c r="L351" s="72"/>
      <c r="M351" s="124"/>
      <c r="N351" s="72"/>
      <c r="O351" s="124"/>
      <c r="P351" s="72"/>
      <c r="Q351" s="124"/>
      <c r="R351" s="72"/>
      <c r="S351" s="124"/>
      <c r="T351" s="72"/>
      <c r="U351" s="124"/>
      <c r="V351" s="72"/>
      <c r="W351" s="124"/>
      <c r="X351" s="72"/>
      <c r="Y351" s="124"/>
      <c r="Z351" s="72"/>
      <c r="AA351" s="124"/>
      <c r="AB351" s="72"/>
      <c r="AC351" s="124" t="s">
        <v>582</v>
      </c>
      <c r="AD351" s="72"/>
      <c r="AE351" s="124">
        <v>38</v>
      </c>
      <c r="AF351" s="72"/>
      <c r="AG351" s="124">
        <v>43</v>
      </c>
      <c r="AH351" s="72"/>
      <c r="AI351" s="124">
        <v>39</v>
      </c>
      <c r="AJ351" s="72"/>
      <c r="AK351" s="124">
        <v>25</v>
      </c>
      <c r="AL351" s="72"/>
      <c r="AM351" s="124">
        <v>1</v>
      </c>
      <c r="AN351" s="72"/>
      <c r="AO351" s="124">
        <v>33</v>
      </c>
      <c r="AP351" s="72"/>
      <c r="AQ351" s="124">
        <v>47</v>
      </c>
      <c r="AR351" s="72"/>
      <c r="AS351" s="124">
        <v>41</v>
      </c>
      <c r="AT351" s="72"/>
      <c r="AU351" s="124">
        <v>65</v>
      </c>
      <c r="AV351" s="72"/>
      <c r="AW351" s="124">
        <v>67</v>
      </c>
      <c r="AX351" s="72"/>
      <c r="AY351" s="124">
        <v>75</v>
      </c>
      <c r="AZ351" s="72"/>
      <c r="BA351" s="124">
        <v>67</v>
      </c>
      <c r="BB351" s="72"/>
      <c r="BC351" s="124">
        <v>76</v>
      </c>
      <c r="BD351" s="72"/>
      <c r="BE351" s="124">
        <v>94</v>
      </c>
      <c r="BF351" s="72"/>
      <c r="BG351" s="124">
        <v>114</v>
      </c>
      <c r="BH351" s="72"/>
      <c r="BI351" s="124">
        <v>94</v>
      </c>
      <c r="BJ351" s="72"/>
      <c r="BK351" s="124">
        <v>94</v>
      </c>
      <c r="BL351" s="72"/>
      <c r="BM351" s="124"/>
      <c r="BN351" s="72"/>
      <c r="BO351" s="124"/>
      <c r="BP351" s="72"/>
      <c r="BQ351" s="124"/>
      <c r="BR351" s="72"/>
      <c r="BS351" s="124"/>
      <c r="BT351" s="72"/>
      <c r="BU351" s="124"/>
      <c r="BV351" s="72"/>
      <c r="BW351" s="124"/>
      <c r="BX351" s="72"/>
      <c r="BY351" s="124"/>
      <c r="BZ351" s="72"/>
      <c r="CA351" s="124"/>
      <c r="CB351" s="72"/>
      <c r="CC351" s="124"/>
      <c r="CD351" s="72"/>
      <c r="CE351" s="124"/>
      <c r="CF351" s="72"/>
      <c r="CG351" s="124"/>
      <c r="CH351" s="72"/>
      <c r="CI351" s="124"/>
      <c r="CJ351" s="72"/>
      <c r="CK351" s="124"/>
      <c r="CL351" s="72"/>
      <c r="CM351" s="124"/>
      <c r="CN351" s="72"/>
      <c r="CO351" s="124"/>
      <c r="CP351" s="72"/>
      <c r="CQ351" s="124"/>
      <c r="CR351" s="72"/>
      <c r="CS351" s="124"/>
      <c r="CT351" s="72"/>
      <c r="CU351" s="124"/>
      <c r="CV351" s="72"/>
      <c r="CW351" s="124"/>
      <c r="CX351" s="72"/>
      <c r="CY351" s="124"/>
      <c r="CZ351" s="72"/>
      <c r="DA351" s="124"/>
      <c r="DB351" s="72"/>
      <c r="DC351" s="124"/>
      <c r="DD351" s="72"/>
      <c r="DE351" s="124"/>
      <c r="DF351" s="72"/>
      <c r="DG351" s="124"/>
      <c r="DH351" s="72"/>
      <c r="DI351" s="124"/>
      <c r="DJ351" s="72"/>
      <c r="DK351" s="124"/>
      <c r="DL351" s="72"/>
      <c r="DM351" s="124"/>
      <c r="DN351" s="72"/>
      <c r="DO351" s="124"/>
      <c r="DP351" s="72"/>
      <c r="DQ351" s="124"/>
      <c r="DR351" s="72"/>
      <c r="DS351" s="124"/>
      <c r="DT351" s="72"/>
      <c r="DU351" s="124"/>
      <c r="DV351" s="72"/>
      <c r="DW351" s="75"/>
      <c r="DX351" s="72"/>
      <c r="DY351" s="75"/>
      <c r="DZ351" s="72"/>
      <c r="EA351" s="75"/>
      <c r="EB351" s="72"/>
      <c r="EC351" s="75"/>
      <c r="ED351" s="72"/>
      <c r="EE351" s="75"/>
      <c r="EF351" s="72"/>
      <c r="EG351" s="75"/>
      <c r="EH351" s="72"/>
      <c r="EI351" s="75"/>
      <c r="EJ351" s="72"/>
      <c r="EK351" s="75"/>
      <c r="EL351" s="72"/>
      <c r="EM351" s="75"/>
      <c r="EN351" s="72"/>
      <c r="EO351" s="75"/>
      <c r="EP351" s="72"/>
      <c r="EQ351" s="75"/>
      <c r="ER351" s="72"/>
      <c r="ES351" s="75"/>
      <c r="ET351" s="72"/>
      <c r="EU351" s="75"/>
      <c r="EV351" s="72"/>
      <c r="EW351" s="75"/>
      <c r="EX351" s="72"/>
      <c r="EY351" s="72"/>
      <c r="EZ351" s="309"/>
      <c r="FA351" s="72"/>
      <c r="FB351" s="81"/>
      <c r="FC351" s="72"/>
      <c r="FD351" s="122"/>
      <c r="FE351" s="72"/>
      <c r="FF351" s="122"/>
      <c r="FG351" s="72"/>
      <c r="FH351" s="122"/>
      <c r="FI351" s="72"/>
      <c r="FJ351" s="122"/>
      <c r="FK351" s="72"/>
      <c r="FL351" s="122"/>
      <c r="FM351" s="72"/>
      <c r="FN351" s="91"/>
      <c r="FO351" s="72"/>
      <c r="FP351" s="91"/>
      <c r="FQ351" s="72"/>
      <c r="FR351" s="75"/>
      <c r="FS351" s="72"/>
      <c r="FT351" s="75"/>
      <c r="FU351" s="72"/>
      <c r="FV351" s="75"/>
      <c r="FW351" s="72"/>
      <c r="FX351" s="75"/>
      <c r="FY351" s="72"/>
      <c r="FZ351" s="75"/>
      <c r="GA351" s="72"/>
      <c r="GB351" s="75"/>
      <c r="GC351" s="72"/>
      <c r="GD351" s="75"/>
      <c r="GE351" s="72"/>
      <c r="GF351" s="75"/>
      <c r="GG351" s="72"/>
      <c r="GH351" s="75"/>
      <c r="GI351" s="72"/>
      <c r="GJ351" s="75"/>
      <c r="GK351" s="72"/>
      <c r="GL351" s="75"/>
      <c r="GM351" s="72"/>
      <c r="GN351" s="75"/>
      <c r="GO351" s="72"/>
      <c r="GP351" s="75"/>
      <c r="GQ351" s="72"/>
      <c r="GR351" s="75"/>
      <c r="GS351" s="72"/>
      <c r="GT351" s="75"/>
      <c r="GU351" s="72"/>
      <c r="GV351" s="75"/>
      <c r="GW351" s="72"/>
      <c r="GX351" s="75"/>
      <c r="GY351" s="72"/>
      <c r="GZ351" s="72"/>
      <c r="HA351" s="72"/>
      <c r="HB351" s="72"/>
      <c r="HC351"/>
      <c r="HD351"/>
      <c r="HE351"/>
      <c r="HF351"/>
      <c r="HG351"/>
      <c r="HH351"/>
      <c r="HI351" s="2"/>
    </row>
    <row r="352" spans="1:217" s="3" customFormat="1" ht="12.75" hidden="1" customHeight="1" outlineLevel="1" x14ac:dyDescent="0.2">
      <c r="B352" s="123" t="s">
        <v>217</v>
      </c>
      <c r="C352" s="124"/>
      <c r="D352" s="125"/>
      <c r="E352" s="124"/>
      <c r="F352" s="125"/>
      <c r="G352" s="124"/>
      <c r="H352" s="125"/>
      <c r="I352" s="124"/>
      <c r="J352" s="125"/>
      <c r="K352" s="124"/>
      <c r="L352" s="72"/>
      <c r="M352" s="124"/>
      <c r="N352" s="72"/>
      <c r="O352" s="124"/>
      <c r="P352" s="72"/>
      <c r="Q352" s="124"/>
      <c r="R352" s="72"/>
      <c r="S352" s="124"/>
      <c r="T352" s="72"/>
      <c r="U352" s="124"/>
      <c r="V352" s="72"/>
      <c r="W352" s="124"/>
      <c r="X352" s="72"/>
      <c r="Y352" s="124"/>
      <c r="Z352" s="72"/>
      <c r="AA352" s="124"/>
      <c r="AB352" s="72"/>
      <c r="AC352" s="124" t="s">
        <v>583</v>
      </c>
      <c r="AD352" s="72"/>
      <c r="AE352" s="124">
        <v>-16</v>
      </c>
      <c r="AF352" s="72"/>
      <c r="AG352" s="124">
        <v>-15</v>
      </c>
      <c r="AH352" s="72"/>
      <c r="AI352" s="124">
        <v>-22</v>
      </c>
      <c r="AJ352" s="72"/>
      <c r="AK352" s="124">
        <v>-25</v>
      </c>
      <c r="AL352" s="72"/>
      <c r="AM352" s="124">
        <v>-37</v>
      </c>
      <c r="AN352" s="72"/>
      <c r="AO352" s="124">
        <v>-30</v>
      </c>
      <c r="AP352" s="72"/>
      <c r="AQ352" s="124">
        <v>-11</v>
      </c>
      <c r="AR352" s="72"/>
      <c r="AS352" s="124">
        <v>-14</v>
      </c>
      <c r="AT352" s="72"/>
      <c r="AU352" s="124">
        <v>0</v>
      </c>
      <c r="AV352" s="72"/>
      <c r="AW352" s="124">
        <v>0</v>
      </c>
      <c r="AX352" s="72"/>
      <c r="AY352" s="124">
        <v>0</v>
      </c>
      <c r="AZ352" s="72"/>
      <c r="BA352" s="124">
        <v>0</v>
      </c>
      <c r="BB352" s="72"/>
      <c r="BC352" s="124">
        <v>0</v>
      </c>
      <c r="BD352" s="72"/>
      <c r="BE352" s="124">
        <v>0</v>
      </c>
      <c r="BF352" s="72"/>
      <c r="BG352" s="124">
        <v>0</v>
      </c>
      <c r="BH352" s="72"/>
      <c r="BI352" s="124">
        <v>0</v>
      </c>
      <c r="BJ352" s="72"/>
      <c r="BK352" s="124">
        <v>0</v>
      </c>
      <c r="BL352" s="72"/>
      <c r="BM352" s="124"/>
      <c r="BN352" s="72"/>
      <c r="BO352" s="124"/>
      <c r="BP352" s="72"/>
      <c r="BQ352" s="124"/>
      <c r="BR352" s="72"/>
      <c r="BS352" s="124"/>
      <c r="BT352" s="72"/>
      <c r="BU352" s="124"/>
      <c r="BV352" s="72"/>
      <c r="BW352" s="124"/>
      <c r="BX352" s="72"/>
      <c r="BY352" s="124"/>
      <c r="BZ352" s="72"/>
      <c r="CA352" s="124"/>
      <c r="CB352" s="72"/>
      <c r="CC352" s="124"/>
      <c r="CD352" s="72"/>
      <c r="CE352" s="124"/>
      <c r="CF352" s="72"/>
      <c r="CG352" s="124"/>
      <c r="CH352" s="72"/>
      <c r="CI352" s="124"/>
      <c r="CJ352" s="72"/>
      <c r="CK352" s="124"/>
      <c r="CL352" s="72"/>
      <c r="CM352" s="124"/>
      <c r="CN352" s="72"/>
      <c r="CO352" s="124"/>
      <c r="CP352" s="72"/>
      <c r="CQ352" s="124"/>
      <c r="CR352" s="72"/>
      <c r="CS352" s="124"/>
      <c r="CT352" s="72"/>
      <c r="CU352" s="124"/>
      <c r="CV352" s="72"/>
      <c r="CW352" s="124"/>
      <c r="CX352" s="72"/>
      <c r="CY352" s="124"/>
      <c r="CZ352" s="72"/>
      <c r="DA352" s="124"/>
      <c r="DB352" s="72"/>
      <c r="DC352" s="124"/>
      <c r="DD352" s="72"/>
      <c r="DE352" s="124"/>
      <c r="DF352" s="72"/>
      <c r="DG352" s="124"/>
      <c r="DH352" s="72"/>
      <c r="DI352" s="124"/>
      <c r="DJ352" s="72"/>
      <c r="DK352" s="124"/>
      <c r="DL352" s="72"/>
      <c r="DM352" s="124"/>
      <c r="DN352" s="72"/>
      <c r="DO352" s="124"/>
      <c r="DP352" s="72"/>
      <c r="DQ352" s="124"/>
      <c r="DR352" s="72"/>
      <c r="DS352" s="124"/>
      <c r="DT352" s="72"/>
      <c r="DU352" s="124"/>
      <c r="DV352" s="72"/>
      <c r="DW352" s="75"/>
      <c r="DX352" s="72"/>
      <c r="DY352" s="75"/>
      <c r="DZ352" s="72"/>
      <c r="EA352" s="75"/>
      <c r="EB352" s="72"/>
      <c r="EC352" s="75"/>
      <c r="ED352" s="72"/>
      <c r="EE352" s="75"/>
      <c r="EF352" s="72"/>
      <c r="EG352" s="75"/>
      <c r="EH352" s="72"/>
      <c r="EI352" s="75"/>
      <c r="EJ352" s="72"/>
      <c r="EK352" s="75"/>
      <c r="EL352" s="72"/>
      <c r="EM352" s="75"/>
      <c r="EN352" s="72"/>
      <c r="EO352" s="75"/>
      <c r="EP352" s="72"/>
      <c r="EQ352" s="75"/>
      <c r="ER352" s="72"/>
      <c r="ES352" s="75"/>
      <c r="ET352" s="72"/>
      <c r="EU352" s="75"/>
      <c r="EV352" s="72"/>
      <c r="EW352" s="75"/>
      <c r="EX352" s="72"/>
      <c r="EY352" s="72"/>
      <c r="EZ352" s="309"/>
      <c r="FA352" s="72"/>
      <c r="FB352" s="81"/>
      <c r="FC352" s="72"/>
      <c r="FD352" s="122"/>
      <c r="FE352" s="72">
        <f>74+57</f>
        <v>131</v>
      </c>
      <c r="FF352" s="122"/>
      <c r="FG352" s="72"/>
      <c r="FH352" s="122"/>
      <c r="FI352" s="72"/>
      <c r="FJ352" s="122"/>
      <c r="FK352" s="72"/>
      <c r="FL352" s="122"/>
      <c r="FM352" s="72"/>
      <c r="FN352" s="91"/>
      <c r="FO352" s="72"/>
      <c r="FP352" s="91"/>
      <c r="FQ352" s="72"/>
      <c r="FR352" s="75"/>
      <c r="FS352" s="72"/>
      <c r="FT352" s="75"/>
      <c r="FU352" s="72"/>
      <c r="FV352" s="75"/>
      <c r="FW352" s="72"/>
      <c r="FX352" s="75"/>
      <c r="FY352" s="72"/>
      <c r="FZ352" s="75"/>
      <c r="GA352" s="72"/>
      <c r="GB352" s="75"/>
      <c r="GC352" s="72"/>
      <c r="GD352" s="75"/>
      <c r="GE352" s="72"/>
      <c r="GF352" s="75"/>
      <c r="GG352" s="72"/>
      <c r="GH352" s="75"/>
      <c r="GI352" s="72"/>
      <c r="GJ352" s="75"/>
      <c r="GK352" s="72"/>
      <c r="GL352" s="75"/>
      <c r="GM352" s="72"/>
      <c r="GN352" s="75"/>
      <c r="GO352" s="72"/>
      <c r="GP352" s="75"/>
      <c r="GQ352" s="72"/>
      <c r="GR352" s="75"/>
      <c r="GS352" s="72"/>
      <c r="GT352" s="75"/>
      <c r="GU352" s="72"/>
      <c r="GV352" s="75"/>
      <c r="GW352" s="72"/>
      <c r="GX352" s="75"/>
      <c r="GY352" s="72"/>
      <c r="GZ352" s="72"/>
      <c r="HA352" s="72"/>
      <c r="HB352" s="72"/>
      <c r="HC352"/>
      <c r="HD352"/>
      <c r="HE352"/>
      <c r="HF352"/>
      <c r="HG352"/>
      <c r="HH352"/>
      <c r="HI352" s="2"/>
    </row>
    <row r="353" spans="2:217" s="3" customFormat="1" ht="12.75" hidden="1" customHeight="1" outlineLevel="1" x14ac:dyDescent="0.2">
      <c r="B353" s="123" t="s">
        <v>580</v>
      </c>
      <c r="C353" s="124"/>
      <c r="D353" s="72"/>
      <c r="E353" s="124"/>
      <c r="F353" s="72"/>
      <c r="G353" s="124"/>
      <c r="H353" s="72"/>
      <c r="I353" s="124"/>
      <c r="J353" s="72"/>
      <c r="K353" s="124"/>
      <c r="L353" s="72"/>
      <c r="M353" s="124"/>
      <c r="N353" s="72"/>
      <c r="O353" s="124"/>
      <c r="P353" s="72"/>
      <c r="Q353" s="124"/>
      <c r="R353" s="72"/>
      <c r="S353" s="124"/>
      <c r="T353" s="72"/>
      <c r="U353" s="124"/>
      <c r="V353" s="72"/>
      <c r="W353" s="124"/>
      <c r="X353" s="72"/>
      <c r="Y353" s="124"/>
      <c r="Z353" s="72"/>
      <c r="AA353" s="124"/>
      <c r="AB353" s="72"/>
      <c r="AC353" s="124" t="s">
        <v>584</v>
      </c>
      <c r="AD353" s="72"/>
      <c r="AE353" s="124">
        <f>+AE351-AE352</f>
        <v>54</v>
      </c>
      <c r="AF353" s="72"/>
      <c r="AG353" s="124">
        <f>+AG351-AG352</f>
        <v>58</v>
      </c>
      <c r="AH353" s="72"/>
      <c r="AI353" s="124">
        <f>+AI351-AI352</f>
        <v>61</v>
      </c>
      <c r="AJ353" s="72"/>
      <c r="AK353" s="124">
        <f>+AK351-AK352</f>
        <v>50</v>
      </c>
      <c r="AL353" s="72"/>
      <c r="AM353" s="124">
        <f>+AM351-AM352</f>
        <v>38</v>
      </c>
      <c r="AN353" s="72"/>
      <c r="AO353" s="124">
        <f>+AO351-AO352</f>
        <v>63</v>
      </c>
      <c r="AP353" s="72"/>
      <c r="AQ353" s="124">
        <f>+AQ351-AQ352</f>
        <v>58</v>
      </c>
      <c r="AR353" s="72"/>
      <c r="AS353" s="124">
        <f>+AS351-AS352</f>
        <v>55</v>
      </c>
      <c r="AT353" s="72"/>
      <c r="AU353" s="124">
        <f>+AU351-AU352</f>
        <v>65</v>
      </c>
      <c r="AV353" s="72"/>
      <c r="AW353" s="124">
        <f>+AW351-AW352</f>
        <v>67</v>
      </c>
      <c r="AX353" s="72"/>
      <c r="AY353" s="124">
        <f>+AY351-AY352</f>
        <v>75</v>
      </c>
      <c r="AZ353" s="72"/>
      <c r="BA353" s="124">
        <f>+BA351-BA352</f>
        <v>67</v>
      </c>
      <c r="BB353" s="72"/>
      <c r="BC353" s="124">
        <f>+BC351-BC352</f>
        <v>76</v>
      </c>
      <c r="BD353" s="72"/>
      <c r="BE353" s="124">
        <f>+BE351-BE352</f>
        <v>94</v>
      </c>
      <c r="BF353" s="72"/>
      <c r="BG353" s="124">
        <f>+BG351-BG352</f>
        <v>114</v>
      </c>
      <c r="BH353" s="72"/>
      <c r="BI353" s="124">
        <f>+BI351-BI352</f>
        <v>94</v>
      </c>
      <c r="BJ353" s="72"/>
      <c r="BK353" s="124">
        <f>+BK351-BK352</f>
        <v>94</v>
      </c>
      <c r="BL353" s="72"/>
      <c r="BM353" s="124"/>
      <c r="BN353" s="72"/>
      <c r="BO353" s="124"/>
      <c r="BP353" s="72"/>
      <c r="BQ353" s="124"/>
      <c r="BR353" s="72"/>
      <c r="BS353" s="124"/>
      <c r="BT353" s="72"/>
      <c r="BU353" s="124"/>
      <c r="BV353" s="72"/>
      <c r="BW353" s="124"/>
      <c r="BX353" s="72"/>
      <c r="BY353" s="124"/>
      <c r="BZ353" s="72"/>
      <c r="CA353" s="124"/>
      <c r="CB353" s="72"/>
      <c r="CC353" s="124"/>
      <c r="CD353" s="72"/>
      <c r="CE353" s="124"/>
      <c r="CF353" s="72"/>
      <c r="CG353" s="124"/>
      <c r="CH353" s="72"/>
      <c r="CI353" s="124"/>
      <c r="CJ353" s="72"/>
      <c r="CK353" s="124"/>
      <c r="CL353" s="72"/>
      <c r="CM353" s="124"/>
      <c r="CN353" s="72"/>
      <c r="CO353" s="124"/>
      <c r="CP353" s="72"/>
      <c r="CQ353" s="124"/>
      <c r="CR353" s="72"/>
      <c r="CS353" s="124"/>
      <c r="CT353" s="72"/>
      <c r="CU353" s="124"/>
      <c r="CV353" s="72"/>
      <c r="CW353" s="124"/>
      <c r="CX353" s="72"/>
      <c r="CY353" s="124"/>
      <c r="CZ353" s="72"/>
      <c r="DA353" s="124"/>
      <c r="DB353" s="72"/>
      <c r="DC353" s="124"/>
      <c r="DD353" s="72"/>
      <c r="DE353" s="124"/>
      <c r="DF353" s="72"/>
      <c r="DG353" s="124"/>
      <c r="DH353" s="72"/>
      <c r="DI353" s="124"/>
      <c r="DJ353" s="72"/>
      <c r="DK353" s="124"/>
      <c r="DL353" s="72"/>
      <c r="DM353" s="124"/>
      <c r="DN353" s="72"/>
      <c r="DO353" s="124"/>
      <c r="DP353" s="72"/>
      <c r="DQ353" s="124"/>
      <c r="DR353" s="72"/>
      <c r="DS353" s="124"/>
      <c r="DT353" s="72"/>
      <c r="DU353" s="124"/>
      <c r="DV353" s="72"/>
      <c r="DW353" s="75"/>
      <c r="DX353" s="72"/>
      <c r="DY353" s="75"/>
      <c r="DZ353" s="72"/>
      <c r="EA353" s="75"/>
      <c r="EB353" s="72"/>
      <c r="EC353" s="75"/>
      <c r="ED353" s="72"/>
      <c r="EE353" s="75"/>
      <c r="EF353" s="72"/>
      <c r="EG353" s="75"/>
      <c r="EH353" s="72"/>
      <c r="EI353" s="75"/>
      <c r="EJ353" s="72"/>
      <c r="EK353" s="75"/>
      <c r="EL353" s="72"/>
      <c r="EM353" s="75"/>
      <c r="EN353" s="72"/>
      <c r="EO353" s="75"/>
      <c r="EP353" s="72"/>
      <c r="EQ353" s="75"/>
      <c r="ER353" s="72"/>
      <c r="ES353" s="75"/>
      <c r="ET353" s="72"/>
      <c r="EU353" s="75"/>
      <c r="EV353" s="72"/>
      <c r="EW353" s="75"/>
      <c r="EX353" s="72"/>
      <c r="EY353" s="72"/>
      <c r="EZ353" s="309"/>
      <c r="FA353" s="72"/>
      <c r="FB353" s="81"/>
      <c r="FC353" s="72"/>
      <c r="FD353" s="122"/>
      <c r="FE353" s="72">
        <f>1049-974</f>
        <v>75</v>
      </c>
      <c r="FF353" s="122"/>
      <c r="FG353" s="72"/>
      <c r="FH353" s="122"/>
      <c r="FI353" s="72"/>
      <c r="FJ353" s="122"/>
      <c r="FK353" s="72"/>
      <c r="FL353" s="122"/>
      <c r="FM353" s="72"/>
      <c r="FN353" s="91"/>
      <c r="FO353" s="72"/>
      <c r="FP353" s="91"/>
      <c r="FQ353" s="72"/>
      <c r="FR353" s="75"/>
      <c r="FS353" s="72"/>
      <c r="FT353" s="75"/>
      <c r="FU353" s="72"/>
      <c r="FV353" s="75"/>
      <c r="FW353" s="72"/>
      <c r="FX353" s="75"/>
      <c r="FY353" s="72"/>
      <c r="FZ353" s="75"/>
      <c r="GA353" s="72"/>
      <c r="GB353" s="75"/>
      <c r="GC353" s="72"/>
      <c r="GD353" s="75"/>
      <c r="GE353" s="72"/>
      <c r="GF353" s="75"/>
      <c r="GG353" s="72"/>
      <c r="GH353" s="75"/>
      <c r="GI353" s="72"/>
      <c r="GJ353" s="75"/>
      <c r="GK353" s="72"/>
      <c r="GL353" s="75"/>
      <c r="GM353" s="72"/>
      <c r="GN353" s="75"/>
      <c r="GO353" s="72"/>
      <c r="GP353" s="75"/>
      <c r="GQ353" s="72"/>
      <c r="GR353" s="75"/>
      <c r="GS353" s="72"/>
      <c r="GT353" s="75"/>
      <c r="GU353" s="72"/>
      <c r="GV353" s="75"/>
      <c r="GW353" s="72"/>
      <c r="GX353" s="75"/>
      <c r="GY353" s="72"/>
      <c r="GZ353" s="72"/>
      <c r="HA353" s="72"/>
      <c r="HB353" s="72"/>
      <c r="HC353"/>
      <c r="HD353"/>
      <c r="HE353"/>
      <c r="HF353"/>
      <c r="HG353"/>
      <c r="HH353"/>
      <c r="HI353" s="2"/>
    </row>
    <row r="354" spans="2:217" s="126" customFormat="1" ht="12.75" hidden="1" customHeight="1" outlineLevel="1" x14ac:dyDescent="0.2">
      <c r="B354" s="123" t="s">
        <v>581</v>
      </c>
      <c r="C354" s="124"/>
      <c r="D354" s="125"/>
      <c r="E354" s="124"/>
      <c r="F354" s="125"/>
      <c r="G354" s="124"/>
      <c r="H354" s="125"/>
      <c r="I354" s="124"/>
      <c r="J354" s="125"/>
      <c r="K354" s="124"/>
      <c r="L354" s="125"/>
      <c r="M354" s="124"/>
      <c r="N354" s="125"/>
      <c r="O354" s="124"/>
      <c r="P354" s="125"/>
      <c r="Q354" s="124"/>
      <c r="R354" s="125"/>
      <c r="S354" s="124"/>
      <c r="T354" s="125"/>
      <c r="U354" s="124"/>
      <c r="V354" s="125"/>
      <c r="W354" s="124"/>
      <c r="X354" s="125"/>
      <c r="Y354" s="124"/>
      <c r="Z354" s="125"/>
      <c r="AA354" s="124"/>
      <c r="AB354" s="125"/>
      <c r="AC354" s="124" t="s">
        <v>585</v>
      </c>
      <c r="AD354" s="125"/>
      <c r="AE354" s="124">
        <f>+AE353-AE340</f>
        <v>7</v>
      </c>
      <c r="AF354" s="125"/>
      <c r="AG354" s="124">
        <f>+AG353-AG340</f>
        <v>17</v>
      </c>
      <c r="AH354" s="125"/>
      <c r="AI354" s="124">
        <f>+AI353-AI340</f>
        <v>7</v>
      </c>
      <c r="AJ354" s="125"/>
      <c r="AK354" s="124">
        <f>+AK353-AK340</f>
        <v>14</v>
      </c>
      <c r="AL354" s="125"/>
      <c r="AM354" s="124">
        <f>+AM353-AM340</f>
        <v>10</v>
      </c>
      <c r="AN354" s="125"/>
      <c r="AO354" s="124">
        <f>+AO353-AO340</f>
        <v>9</v>
      </c>
      <c r="AP354" s="125"/>
      <c r="AQ354" s="124">
        <f>+AQ353-AQ340</f>
        <v>8</v>
      </c>
      <c r="AR354" s="125"/>
      <c r="AS354" s="124">
        <f>+AS353-AS340</f>
        <v>8</v>
      </c>
      <c r="AT354" s="125"/>
      <c r="AU354" s="124">
        <f>+AU353-AU340</f>
        <v>6</v>
      </c>
      <c r="AV354" s="125"/>
      <c r="AW354" s="124">
        <f>+AW353-AW340</f>
        <v>6</v>
      </c>
      <c r="AX354" s="125"/>
      <c r="AY354" s="124">
        <f>+AY353-AY340</f>
        <v>6</v>
      </c>
      <c r="AZ354" s="125"/>
      <c r="BA354" s="124">
        <f>+BA353-BA340</f>
        <v>7</v>
      </c>
      <c r="BB354" s="125"/>
      <c r="BC354" s="124">
        <f>+BC353-BC340</f>
        <v>3</v>
      </c>
      <c r="BD354" s="125"/>
      <c r="BE354" s="124">
        <f>+BE353-BE340</f>
        <v>2</v>
      </c>
      <c r="BF354" s="125"/>
      <c r="BG354" s="124">
        <f>+BG353-BG340</f>
        <v>21</v>
      </c>
      <c r="BH354" s="125"/>
      <c r="BI354" s="124">
        <f>+BI353-BI340</f>
        <v>-3</v>
      </c>
      <c r="BJ354" s="125"/>
      <c r="BK354" s="124">
        <f>+BK353-BK340</f>
        <v>94</v>
      </c>
      <c r="BL354" s="125"/>
      <c r="BM354" s="124"/>
      <c r="BN354" s="125"/>
      <c r="BO354" s="124"/>
      <c r="BP354" s="125"/>
      <c r="BQ354" s="124"/>
      <c r="BR354" s="125"/>
      <c r="BS354" s="124"/>
      <c r="BT354" s="125"/>
      <c r="BU354" s="124"/>
      <c r="BV354" s="125"/>
      <c r="BW354" s="124"/>
      <c r="BX354" s="125"/>
      <c r="BY354" s="124"/>
      <c r="BZ354" s="125"/>
      <c r="CA354" s="124"/>
      <c r="CB354" s="125"/>
      <c r="CC354" s="124"/>
      <c r="CD354" s="125"/>
      <c r="CE354" s="124"/>
      <c r="CF354" s="125"/>
      <c r="CG354" s="124"/>
      <c r="CH354" s="125"/>
      <c r="CI354" s="124"/>
      <c r="CJ354" s="125"/>
      <c r="CK354" s="124"/>
      <c r="CL354" s="125"/>
      <c r="CM354" s="124"/>
      <c r="CN354" s="125"/>
      <c r="CO354" s="124"/>
      <c r="CP354" s="125"/>
      <c r="CQ354" s="124"/>
      <c r="CR354" s="125"/>
      <c r="CS354" s="124"/>
      <c r="CT354" s="125"/>
      <c r="CU354" s="124"/>
      <c r="CV354" s="125"/>
      <c r="CW354" s="124"/>
      <c r="CX354" s="125"/>
      <c r="CY354" s="124"/>
      <c r="CZ354" s="125"/>
      <c r="DA354" s="124"/>
      <c r="DB354" s="125"/>
      <c r="DC354" s="124"/>
      <c r="DD354" s="125"/>
      <c r="DE354" s="124"/>
      <c r="DF354" s="125"/>
      <c r="DG354" s="124"/>
      <c r="DH354" s="125"/>
      <c r="DI354" s="124"/>
      <c r="DJ354" s="125"/>
      <c r="DK354" s="124"/>
      <c r="DL354" s="125"/>
      <c r="DM354" s="124"/>
      <c r="DN354" s="125"/>
      <c r="DO354" s="124"/>
      <c r="DP354" s="125"/>
      <c r="DQ354" s="124"/>
      <c r="DR354" s="125"/>
      <c r="DS354" s="124"/>
      <c r="DT354" s="125"/>
      <c r="DU354" s="124"/>
      <c r="DV354" s="125"/>
      <c r="DW354" s="75"/>
      <c r="DX354" s="125"/>
      <c r="DY354" s="75"/>
      <c r="DZ354" s="125"/>
      <c r="EA354" s="75"/>
      <c r="EB354" s="125"/>
      <c r="EC354" s="75"/>
      <c r="ED354" s="125"/>
      <c r="EE354" s="75"/>
      <c r="EF354" s="125"/>
      <c r="EG354" s="75"/>
      <c r="EH354" s="125"/>
      <c r="EI354" s="75"/>
      <c r="EJ354" s="125"/>
      <c r="EK354" s="75"/>
      <c r="EL354" s="125"/>
      <c r="EM354" s="75"/>
      <c r="EN354" s="125"/>
      <c r="EO354" s="75"/>
      <c r="EP354" s="125"/>
      <c r="EQ354" s="75"/>
      <c r="ER354" s="125"/>
      <c r="ES354" s="75"/>
      <c r="ET354" s="125"/>
      <c r="EU354" s="75"/>
      <c r="EV354" s="125"/>
      <c r="EW354" s="75"/>
      <c r="EX354" s="125"/>
      <c r="EY354" s="125"/>
      <c r="EZ354" s="317"/>
      <c r="FA354" s="125"/>
      <c r="FB354" s="127"/>
      <c r="FC354" s="125"/>
      <c r="FD354" s="127"/>
      <c r="FE354" s="125"/>
      <c r="FF354" s="127"/>
      <c r="FG354" s="125"/>
      <c r="FH354" s="127"/>
      <c r="FI354" s="125"/>
      <c r="FJ354" s="127"/>
      <c r="FK354" s="125"/>
      <c r="FL354" s="127"/>
      <c r="FM354" s="125"/>
      <c r="FN354" s="127"/>
      <c r="FO354" s="125"/>
      <c r="FP354" s="127"/>
      <c r="FQ354" s="125"/>
      <c r="FR354" s="75"/>
      <c r="FS354" s="125"/>
      <c r="FT354" s="75"/>
      <c r="FU354" s="125"/>
      <c r="FV354" s="75"/>
      <c r="FW354" s="125"/>
      <c r="FX354" s="75"/>
      <c r="FY354" s="125"/>
      <c r="FZ354" s="75"/>
      <c r="GA354" s="125"/>
      <c r="GB354" s="75"/>
      <c r="GC354" s="125"/>
      <c r="GD354" s="75"/>
      <c r="GE354" s="125"/>
      <c r="GF354" s="75"/>
      <c r="GG354" s="125"/>
      <c r="GH354" s="75"/>
      <c r="GI354" s="125"/>
      <c r="GJ354" s="75"/>
      <c r="GK354" s="125"/>
      <c r="GL354" s="75"/>
      <c r="GM354" s="125"/>
      <c r="GN354" s="75"/>
      <c r="GO354" s="125"/>
      <c r="GP354" s="75"/>
      <c r="GQ354" s="125"/>
      <c r="GR354" s="75"/>
      <c r="GS354" s="125"/>
      <c r="GT354" s="75"/>
      <c r="GU354" s="125"/>
      <c r="GV354" s="75"/>
      <c r="GW354" s="125"/>
      <c r="GX354" s="75"/>
      <c r="GY354" s="125"/>
      <c r="GZ354" s="125"/>
      <c r="HA354" s="125"/>
      <c r="HB354" s="125"/>
      <c r="HC354"/>
      <c r="HD354"/>
      <c r="HE354"/>
      <c r="HF354"/>
      <c r="HG354"/>
      <c r="HH354"/>
      <c r="HI354" s="2"/>
    </row>
    <row r="355" spans="2:217" s="3" customFormat="1" ht="12.75" hidden="1" customHeight="1" outlineLevel="1" x14ac:dyDescent="0.2">
      <c r="B355" s="77"/>
      <c r="C355" s="75"/>
      <c r="D355" s="72"/>
      <c r="E355" s="75"/>
      <c r="F355" s="72"/>
      <c r="G355" s="75"/>
      <c r="H355" s="72"/>
      <c r="I355" s="75"/>
      <c r="J355" s="72"/>
      <c r="K355" s="75"/>
      <c r="L355" s="72"/>
      <c r="M355" s="75"/>
      <c r="N355" s="72"/>
      <c r="O355" s="75"/>
      <c r="P355" s="72"/>
      <c r="Q355" s="75"/>
      <c r="R355" s="72"/>
      <c r="S355" s="75"/>
      <c r="T355" s="72"/>
      <c r="U355" s="75"/>
      <c r="V355" s="72"/>
      <c r="W355" s="75"/>
      <c r="X355" s="72"/>
      <c r="Y355" s="75"/>
      <c r="Z355" s="72"/>
      <c r="AA355" s="75"/>
      <c r="AB355" s="72"/>
      <c r="AC355" s="75"/>
      <c r="AD355" s="72"/>
      <c r="AE355" s="75"/>
      <c r="AF355" s="72"/>
      <c r="AG355" s="75"/>
      <c r="AH355" s="72"/>
      <c r="AI355" s="75"/>
      <c r="AJ355" s="72"/>
      <c r="AK355" s="75"/>
      <c r="AL355" s="72"/>
      <c r="AM355" s="75"/>
      <c r="AN355" s="72"/>
      <c r="AO355" s="75"/>
      <c r="AP355" s="72"/>
      <c r="AQ355" s="75"/>
      <c r="AR355" s="72"/>
      <c r="AS355" s="75"/>
      <c r="AT355" s="72"/>
      <c r="AU355" s="75"/>
      <c r="AV355" s="72"/>
      <c r="AW355" s="75"/>
      <c r="AX355" s="72"/>
      <c r="AY355" s="75"/>
      <c r="AZ355" s="72"/>
      <c r="BA355" s="75"/>
      <c r="BB355" s="72"/>
      <c r="BC355" s="75"/>
      <c r="BD355" s="72"/>
      <c r="BE355" s="75"/>
      <c r="BF355" s="72"/>
      <c r="BG355" s="75"/>
      <c r="BH355" s="72"/>
      <c r="BI355" s="75"/>
      <c r="BJ355" s="72"/>
      <c r="BK355" s="75"/>
      <c r="BL355" s="72"/>
      <c r="BM355" s="75"/>
      <c r="BN355" s="72"/>
      <c r="BO355" s="75"/>
      <c r="BP355" s="72"/>
      <c r="BQ355" s="75"/>
      <c r="BR355" s="72"/>
      <c r="BS355" s="75"/>
      <c r="BT355" s="72"/>
      <c r="BU355" s="75"/>
      <c r="BV355" s="72"/>
      <c r="BW355" s="75"/>
      <c r="BX355" s="72"/>
      <c r="BY355" s="75"/>
      <c r="BZ355" s="72"/>
      <c r="CA355" s="75"/>
      <c r="CB355" s="72"/>
      <c r="CC355" s="75"/>
      <c r="CD355" s="72"/>
      <c r="CE355" s="75"/>
      <c r="CF355" s="72"/>
      <c r="CG355" s="75"/>
      <c r="CH355" s="72"/>
      <c r="CI355" s="75"/>
      <c r="CJ355" s="72"/>
      <c r="CK355" s="75"/>
      <c r="CL355" s="72"/>
      <c r="CM355" s="75"/>
      <c r="CN355" s="72"/>
      <c r="CO355" s="75"/>
      <c r="CP355" s="72"/>
      <c r="CQ355" s="75"/>
      <c r="CR355" s="72"/>
      <c r="CS355" s="75"/>
      <c r="CT355" s="72"/>
      <c r="CU355" s="75"/>
      <c r="CV355" s="72"/>
      <c r="CW355" s="75"/>
      <c r="CX355" s="72"/>
      <c r="CY355" s="75"/>
      <c r="CZ355" s="72"/>
      <c r="DA355" s="75"/>
      <c r="DB355" s="72"/>
      <c r="DC355" s="75"/>
      <c r="DD355" s="72"/>
      <c r="DE355" s="75"/>
      <c r="DF355" s="72"/>
      <c r="DG355" s="75"/>
      <c r="DH355" s="72"/>
      <c r="DI355" s="75"/>
      <c r="DJ355" s="72"/>
      <c r="DK355" s="75"/>
      <c r="DL355" s="72"/>
      <c r="DM355" s="75"/>
      <c r="DN355" s="72"/>
      <c r="DO355" s="75"/>
      <c r="DP355" s="72"/>
      <c r="DQ355" s="75"/>
      <c r="DR355" s="72"/>
      <c r="DS355" s="75"/>
      <c r="DT355" s="72"/>
      <c r="DU355" s="75"/>
      <c r="DV355" s="72"/>
      <c r="DW355" s="75"/>
      <c r="DX355" s="72"/>
      <c r="DY355" s="75"/>
      <c r="DZ355" s="72"/>
      <c r="EA355" s="75"/>
      <c r="EB355" s="72"/>
      <c r="EC355" s="75"/>
      <c r="ED355" s="72"/>
      <c r="EE355" s="75"/>
      <c r="EF355" s="72"/>
      <c r="EG355" s="75"/>
      <c r="EH355" s="72"/>
      <c r="EI355" s="75"/>
      <c r="EJ355" s="72"/>
      <c r="EK355" s="75"/>
      <c r="EL355" s="72"/>
      <c r="EM355" s="75"/>
      <c r="EN355" s="72"/>
      <c r="EO355" s="75"/>
      <c r="EP355" s="72"/>
      <c r="EQ355" s="75"/>
      <c r="ER355" s="72"/>
      <c r="ES355" s="75"/>
      <c r="ET355" s="72"/>
      <c r="EU355" s="75"/>
      <c r="EV355" s="72"/>
      <c r="EW355" s="75"/>
      <c r="EX355" s="72"/>
      <c r="EY355" s="72"/>
      <c r="EZ355" s="309"/>
      <c r="FA355" s="72"/>
      <c r="FB355" s="81"/>
      <c r="FC355" s="72"/>
      <c r="FD355" s="81"/>
      <c r="FE355" s="72"/>
      <c r="FF355" s="81"/>
      <c r="FG355" s="72"/>
      <c r="FH355" s="81"/>
      <c r="FI355" s="72"/>
      <c r="FJ355" s="81"/>
      <c r="FK355" s="72"/>
      <c r="FL355" s="81"/>
      <c r="FM355" s="72"/>
      <c r="FN355" s="81"/>
      <c r="FO355" s="72"/>
      <c r="FP355" s="81"/>
      <c r="FQ355" s="72"/>
      <c r="FR355" s="75"/>
      <c r="FS355" s="72"/>
      <c r="FT355" s="75"/>
      <c r="FU355" s="72"/>
      <c r="FV355" s="75"/>
      <c r="FW355" s="72"/>
      <c r="FX355" s="75"/>
      <c r="FY355" s="72"/>
      <c r="FZ355" s="75"/>
      <c r="GA355" s="72"/>
      <c r="GB355" s="75"/>
      <c r="GC355" s="72"/>
      <c r="GD355" s="75"/>
      <c r="GE355" s="72"/>
      <c r="GF355" s="75"/>
      <c r="GG355" s="72"/>
      <c r="GH355" s="75"/>
      <c r="GI355" s="72"/>
      <c r="GJ355" s="75"/>
      <c r="GK355" s="72"/>
      <c r="GL355" s="75"/>
      <c r="GM355" s="72"/>
      <c r="GN355" s="75"/>
      <c r="GO355" s="72"/>
      <c r="GP355" s="75"/>
      <c r="GQ355" s="72"/>
      <c r="GR355" s="75"/>
      <c r="GS355" s="72"/>
      <c r="GT355" s="75"/>
      <c r="GU355" s="72"/>
      <c r="GV355" s="75"/>
      <c r="GW355" s="72"/>
      <c r="GX355" s="75"/>
      <c r="GY355" s="72"/>
      <c r="GZ355" s="72"/>
      <c r="HA355" s="72"/>
      <c r="HB355" s="72"/>
      <c r="HC355"/>
      <c r="HD355"/>
      <c r="HE355"/>
      <c r="HF355"/>
      <c r="HG355"/>
      <c r="HH355"/>
      <c r="HI355" s="2"/>
    </row>
    <row r="356" spans="2:217" s="295" customFormat="1" ht="12.75" customHeight="1" collapsed="1" x14ac:dyDescent="0.2">
      <c r="B356" s="291" t="s">
        <v>814</v>
      </c>
      <c r="C356" s="292"/>
      <c r="D356" s="293"/>
      <c r="E356" s="292"/>
      <c r="F356" s="293"/>
      <c r="G356" s="292"/>
      <c r="H356" s="293"/>
      <c r="I356" s="292"/>
      <c r="J356" s="293"/>
      <c r="K356" s="292"/>
      <c r="L356" s="293"/>
      <c r="M356" s="292"/>
      <c r="N356" s="293"/>
      <c r="O356" s="292"/>
      <c r="P356" s="293"/>
      <c r="Q356" s="292"/>
      <c r="R356" s="293"/>
      <c r="S356" s="292"/>
      <c r="T356" s="293"/>
      <c r="U356" s="292"/>
      <c r="V356" s="293"/>
      <c r="W356" s="292"/>
      <c r="X356" s="293"/>
      <c r="Y356" s="292"/>
      <c r="Z356" s="293"/>
      <c r="AA356" s="292"/>
      <c r="AB356" s="293"/>
      <c r="AC356" s="292"/>
      <c r="AD356" s="293"/>
      <c r="AE356" s="292"/>
      <c r="AF356" s="293"/>
      <c r="AG356" s="292"/>
      <c r="AH356" s="293"/>
      <c r="AI356" s="292"/>
      <c r="AJ356" s="293"/>
      <c r="AK356" s="292"/>
      <c r="AL356" s="293"/>
      <c r="AM356" s="292"/>
      <c r="AN356" s="293"/>
      <c r="AO356" s="292"/>
      <c r="AP356" s="293"/>
      <c r="AQ356" s="292"/>
      <c r="AR356" s="293"/>
      <c r="AS356" s="292"/>
      <c r="AT356" s="293"/>
      <c r="AU356" s="292"/>
      <c r="AV356" s="293"/>
      <c r="AW356" s="292"/>
      <c r="AX356" s="293"/>
      <c r="AY356" s="292"/>
      <c r="AZ356" s="293"/>
      <c r="BA356" s="292"/>
      <c r="BB356" s="293"/>
      <c r="BC356" s="292"/>
      <c r="BD356" s="293"/>
      <c r="BE356" s="292"/>
      <c r="BF356" s="293"/>
      <c r="BG356" s="292"/>
      <c r="BH356" s="293"/>
      <c r="BI356" s="292"/>
      <c r="BJ356" s="293"/>
      <c r="BK356" s="292"/>
      <c r="BL356" s="293"/>
      <c r="BM356" s="292"/>
      <c r="BN356" s="293"/>
      <c r="BO356" s="292"/>
      <c r="BP356" s="293"/>
      <c r="BQ356" s="294"/>
      <c r="BR356" s="294"/>
      <c r="BS356" s="294"/>
      <c r="BT356" s="293"/>
      <c r="BU356" s="294"/>
      <c r="BV356" s="293"/>
      <c r="BW356" s="294"/>
      <c r="BX356" s="293"/>
      <c r="BY356" s="294"/>
      <c r="BZ356" s="293"/>
      <c r="CA356" s="294"/>
      <c r="CB356" s="293"/>
      <c r="CC356" s="294"/>
      <c r="CD356" s="293"/>
      <c r="CE356" s="294"/>
      <c r="CF356" s="293"/>
      <c r="CG356" s="294"/>
      <c r="CH356" s="293"/>
      <c r="CI356" s="294"/>
      <c r="CJ356" s="293"/>
      <c r="CK356" s="294"/>
      <c r="CL356" s="293"/>
      <c r="CM356" s="294"/>
      <c r="CN356" s="293"/>
      <c r="CO356" s="294"/>
      <c r="CP356" s="293"/>
      <c r="CQ356" s="294"/>
      <c r="CR356" s="293"/>
      <c r="CS356" s="294"/>
      <c r="CT356" s="293"/>
      <c r="CU356" s="294"/>
      <c r="CV356" s="293"/>
      <c r="CW356" s="294"/>
      <c r="CX356" s="293"/>
      <c r="CY356" s="294"/>
      <c r="CZ356" s="293"/>
      <c r="DA356" s="294"/>
      <c r="DB356" s="293"/>
      <c r="DC356" s="294"/>
      <c r="DD356" s="293"/>
      <c r="DE356" s="294"/>
      <c r="DF356" s="293"/>
      <c r="DG356" s="294"/>
      <c r="DH356" s="293"/>
      <c r="DI356" s="294"/>
      <c r="DJ356" s="293"/>
      <c r="DK356" s="294"/>
      <c r="DL356" s="293"/>
      <c r="DM356" s="294"/>
      <c r="DN356" s="293"/>
      <c r="DO356" s="294"/>
      <c r="DP356" s="293"/>
      <c r="DQ356" s="294"/>
      <c r="DR356" s="293"/>
      <c r="DS356" s="294"/>
      <c r="DT356" s="293"/>
      <c r="DU356" s="294"/>
      <c r="DV356" s="293"/>
      <c r="DW356" s="292"/>
      <c r="DX356" s="293"/>
      <c r="DY356" s="292"/>
      <c r="DZ356" s="293"/>
      <c r="EA356" s="292"/>
      <c r="EB356" s="293"/>
      <c r="EC356" s="292"/>
      <c r="ED356" s="293"/>
      <c r="EE356" s="292"/>
      <c r="EF356" s="293"/>
      <c r="EG356" s="292"/>
      <c r="EH356" s="293"/>
      <c r="EI356" s="292"/>
      <c r="EJ356" s="293"/>
      <c r="EK356" s="292"/>
      <c r="EL356" s="293"/>
      <c r="EM356" s="292"/>
      <c r="EN356" s="293"/>
      <c r="EO356" s="292"/>
      <c r="EP356" s="293"/>
      <c r="EQ356" s="292"/>
      <c r="ER356" s="293"/>
      <c r="ES356" s="292"/>
      <c r="ET356" s="293"/>
      <c r="EU356" s="292"/>
      <c r="EV356" s="293"/>
      <c r="EW356" s="292"/>
      <c r="EX356" s="293"/>
      <c r="EY356" s="293"/>
      <c r="EZ356" s="299"/>
      <c r="FA356" s="293"/>
      <c r="FB356" s="292"/>
      <c r="FC356" s="293"/>
      <c r="FD356" s="292"/>
      <c r="FE356" s="293"/>
      <c r="FF356" s="292"/>
      <c r="FG356" s="293"/>
      <c r="FH356" s="292"/>
      <c r="FI356" s="293"/>
      <c r="FJ356" s="292"/>
      <c r="FK356" s="293"/>
      <c r="FL356" s="292"/>
      <c r="FM356" s="293"/>
      <c r="FN356" s="292"/>
      <c r="FO356" s="293"/>
      <c r="FP356" s="292"/>
      <c r="FQ356" s="293"/>
      <c r="FR356" s="294"/>
      <c r="FS356" s="293"/>
      <c r="FT356" s="294"/>
      <c r="FU356" s="293"/>
      <c r="FV356" s="294"/>
      <c r="FW356" s="293"/>
      <c r="FX356" s="294"/>
      <c r="FY356" s="293"/>
      <c r="FZ356" s="294"/>
      <c r="GA356" s="293"/>
      <c r="GB356" s="294"/>
      <c r="GC356" s="293"/>
      <c r="GD356" s="294"/>
      <c r="GE356" s="293"/>
      <c r="GF356" s="294"/>
      <c r="GG356" s="293"/>
      <c r="GH356" s="294"/>
      <c r="GI356" s="293"/>
      <c r="GJ356" s="294"/>
      <c r="GK356" s="293"/>
      <c r="GL356" s="294"/>
      <c r="GM356" s="293"/>
      <c r="GN356" s="294"/>
      <c r="GO356" s="293"/>
      <c r="GP356" s="294"/>
      <c r="GQ356" s="293"/>
      <c r="GR356" s="292"/>
      <c r="GS356" s="293"/>
      <c r="GT356" s="292"/>
      <c r="GU356" s="293"/>
      <c r="GV356" s="292"/>
      <c r="GW356" s="293"/>
      <c r="GX356" s="292"/>
      <c r="GY356" s="293"/>
      <c r="GZ356" s="293"/>
      <c r="HA356" s="293"/>
      <c r="HB356" s="293"/>
      <c r="HC356"/>
      <c r="HD356"/>
      <c r="HE356"/>
      <c r="HF356"/>
      <c r="HG356"/>
      <c r="HH356"/>
      <c r="HI356" s="290"/>
    </row>
    <row r="357" spans="2:217" s="3" customFormat="1" ht="12.75" customHeight="1" x14ac:dyDescent="0.2">
      <c r="B357" s="77"/>
      <c r="C357" s="75"/>
      <c r="D357" s="72"/>
      <c r="E357" s="75"/>
      <c r="F357" s="72"/>
      <c r="G357" s="75"/>
      <c r="H357" s="72"/>
      <c r="I357" s="75"/>
      <c r="J357" s="72"/>
      <c r="K357" s="75"/>
      <c r="L357" s="72"/>
      <c r="M357" s="75"/>
      <c r="N357" s="72"/>
      <c r="O357" s="75"/>
      <c r="P357" s="72"/>
      <c r="Q357" s="75"/>
      <c r="R357" s="72"/>
      <c r="S357" s="75"/>
      <c r="T357" s="72"/>
      <c r="U357" s="75"/>
      <c r="V357" s="72"/>
      <c r="W357" s="75"/>
      <c r="X357" s="72"/>
      <c r="Y357" s="75"/>
      <c r="Z357" s="72"/>
      <c r="AA357" s="75"/>
      <c r="AB357" s="72"/>
      <c r="AC357" s="75"/>
      <c r="AD357" s="72"/>
      <c r="AE357" s="75"/>
      <c r="AF357" s="72"/>
      <c r="AG357" s="75"/>
      <c r="AH357" s="72"/>
      <c r="AI357" s="75"/>
      <c r="AJ357" s="72"/>
      <c r="AK357" s="75"/>
      <c r="AL357" s="72"/>
      <c r="AM357" s="75"/>
      <c r="AN357" s="72"/>
      <c r="AO357" s="75"/>
      <c r="AP357" s="72"/>
      <c r="AQ357" s="75"/>
      <c r="AR357" s="72"/>
      <c r="AS357" s="75"/>
      <c r="AT357" s="72"/>
      <c r="AU357" s="75"/>
      <c r="AV357" s="72"/>
      <c r="AW357" s="75"/>
      <c r="AX357" s="72"/>
      <c r="AY357" s="75"/>
      <c r="AZ357" s="72"/>
      <c r="BA357" s="75"/>
      <c r="BB357" s="72"/>
      <c r="BC357" s="75"/>
      <c r="BD357" s="72"/>
      <c r="BE357" s="75"/>
      <c r="BF357" s="72"/>
      <c r="BG357" s="75"/>
      <c r="BH357" s="72"/>
      <c r="BI357" s="75"/>
      <c r="BJ357" s="72"/>
      <c r="BK357" s="75"/>
      <c r="BL357" s="72"/>
      <c r="BM357" s="75"/>
      <c r="BN357" s="72"/>
      <c r="BO357" s="75"/>
      <c r="BP357" s="72"/>
      <c r="BQ357" s="75"/>
      <c r="BR357" s="72"/>
      <c r="BS357" s="75"/>
      <c r="BT357" s="72"/>
      <c r="BU357" s="75"/>
      <c r="BV357" s="72"/>
      <c r="BW357" s="75"/>
      <c r="BX357" s="72"/>
      <c r="BY357" s="75"/>
      <c r="BZ357" s="72"/>
      <c r="CA357" s="75"/>
      <c r="CB357" s="72"/>
      <c r="CC357" s="75"/>
      <c r="CD357" s="72"/>
      <c r="CE357" s="75"/>
      <c r="CF357" s="72"/>
      <c r="CG357" s="75"/>
      <c r="CH357" s="72"/>
      <c r="CI357" s="75"/>
      <c r="CJ357" s="72"/>
      <c r="CK357" s="75"/>
      <c r="CL357" s="72"/>
      <c r="CM357" s="75"/>
      <c r="CN357" s="72"/>
      <c r="CO357" s="75"/>
      <c r="CP357" s="72"/>
      <c r="CQ357" s="75"/>
      <c r="CR357" s="72"/>
      <c r="CS357" s="75"/>
      <c r="CT357" s="72"/>
      <c r="CU357" s="75"/>
      <c r="CV357" s="72"/>
      <c r="CW357" s="75"/>
      <c r="CX357" s="72"/>
      <c r="CY357" s="75"/>
      <c r="CZ357" s="72"/>
      <c r="DA357" s="75"/>
      <c r="DB357" s="72"/>
      <c r="DC357" s="75"/>
      <c r="DD357" s="72"/>
      <c r="DE357" s="75"/>
      <c r="DF357" s="72"/>
      <c r="DG357" s="75"/>
      <c r="DH357" s="72"/>
      <c r="DI357" s="75"/>
      <c r="DJ357" s="72"/>
      <c r="DK357" s="75"/>
      <c r="DL357" s="72"/>
      <c r="DM357" s="75"/>
      <c r="DN357" s="72"/>
      <c r="DO357" s="75"/>
      <c r="DP357" s="72"/>
      <c r="DQ357" s="75"/>
      <c r="DR357" s="72"/>
      <c r="DS357" s="75"/>
      <c r="DT357" s="72"/>
      <c r="DU357" s="75"/>
      <c r="DV357" s="72"/>
      <c r="DW357" s="75"/>
      <c r="DX357" s="72"/>
      <c r="DY357" s="75"/>
      <c r="DZ357" s="72"/>
      <c r="EA357" s="75"/>
      <c r="EB357" s="72"/>
      <c r="EC357" s="75"/>
      <c r="ED357" s="72"/>
      <c r="EE357" s="75"/>
      <c r="EF357" s="72"/>
      <c r="EG357" s="75"/>
      <c r="EH357" s="72"/>
      <c r="EI357" s="75"/>
      <c r="EJ357" s="72"/>
      <c r="EK357" s="75"/>
      <c r="EL357" s="72"/>
      <c r="EM357" s="75"/>
      <c r="EN357" s="72"/>
      <c r="EO357" s="75"/>
      <c r="EP357" s="72"/>
      <c r="EQ357" s="75"/>
      <c r="ER357" s="72"/>
      <c r="ES357" s="75"/>
      <c r="ET357" s="72"/>
      <c r="EU357" s="75"/>
      <c r="EV357" s="72"/>
      <c r="EW357" s="75"/>
      <c r="EX357" s="72"/>
      <c r="EY357" s="72"/>
      <c r="EZ357" s="309"/>
      <c r="FA357" s="72"/>
      <c r="FB357" s="81"/>
      <c r="FC357" s="72"/>
      <c r="FD357" s="81"/>
      <c r="FE357" s="72"/>
      <c r="FF357" s="81"/>
      <c r="FG357" s="72"/>
      <c r="FH357" s="81"/>
      <c r="FI357" s="72"/>
      <c r="FJ357" s="81"/>
      <c r="FK357" s="72"/>
      <c r="FL357" s="81"/>
      <c r="FM357" s="72"/>
      <c r="FN357" s="81"/>
      <c r="FO357" s="72"/>
      <c r="FP357" s="81"/>
      <c r="FQ357" s="72"/>
      <c r="FR357" s="75"/>
      <c r="FS357" s="72"/>
      <c r="FT357" s="75"/>
      <c r="FU357" s="72"/>
      <c r="FV357" s="75"/>
      <c r="FW357" s="72"/>
      <c r="FX357" s="75"/>
      <c r="FY357" s="72"/>
      <c r="FZ357" s="75"/>
      <c r="GA357" s="72"/>
      <c r="GB357" s="75"/>
      <c r="GC357" s="72"/>
      <c r="GD357" s="75"/>
      <c r="GE357" s="72"/>
      <c r="GF357" s="75"/>
      <c r="GG357" s="72"/>
      <c r="GH357" s="75"/>
      <c r="GI357" s="72"/>
      <c r="GJ357" s="75"/>
      <c r="GK357" s="72"/>
      <c r="GL357" s="75"/>
      <c r="GM357" s="72"/>
      <c r="GN357" s="75"/>
      <c r="GO357" s="72"/>
      <c r="GP357" s="75"/>
      <c r="GQ357" s="72"/>
      <c r="GR357" s="75"/>
      <c r="GS357" s="72"/>
      <c r="GT357" s="75"/>
      <c r="GU357" s="72"/>
      <c r="GV357" s="75"/>
      <c r="GW357" s="72"/>
      <c r="GX357" s="75"/>
      <c r="GY357" s="72"/>
      <c r="GZ357" s="72"/>
      <c r="HA357" s="72"/>
      <c r="HB357" s="72"/>
      <c r="HC357"/>
      <c r="HD357"/>
      <c r="HE357"/>
      <c r="HF357"/>
      <c r="HG357"/>
      <c r="HH357"/>
      <c r="HI357" s="2"/>
    </row>
    <row r="358" spans="2:217" s="3" customFormat="1" ht="12.75" customHeight="1" x14ac:dyDescent="0.2">
      <c r="B358" s="77" t="s">
        <v>186</v>
      </c>
      <c r="C358" s="75"/>
      <c r="D358" s="72"/>
      <c r="E358" s="75"/>
      <c r="F358" s="72"/>
      <c r="G358" s="75"/>
      <c r="H358" s="72"/>
      <c r="I358" s="75"/>
      <c r="J358" s="72"/>
      <c r="K358" s="75"/>
      <c r="L358" s="72"/>
      <c r="M358" s="75"/>
      <c r="N358" s="72"/>
      <c r="O358" s="75"/>
      <c r="P358" s="72"/>
      <c r="Q358" s="75"/>
      <c r="R358" s="72"/>
      <c r="S358" s="75"/>
      <c r="T358" s="72"/>
      <c r="U358" s="75"/>
      <c r="V358" s="72"/>
      <c r="W358" s="75"/>
      <c r="X358" s="72"/>
      <c r="Y358" s="75"/>
      <c r="Z358" s="72"/>
      <c r="AA358" s="75"/>
      <c r="AB358" s="72"/>
      <c r="AC358" s="75"/>
      <c r="AD358" s="72"/>
      <c r="AE358" s="75"/>
      <c r="AF358" s="72"/>
      <c r="AG358" s="75"/>
      <c r="AH358" s="72"/>
      <c r="AI358" s="75"/>
      <c r="AJ358" s="72"/>
      <c r="AK358" s="75"/>
      <c r="AL358" s="72"/>
      <c r="AM358" s="75"/>
      <c r="AN358" s="72"/>
      <c r="AO358" s="75"/>
      <c r="AP358" s="72"/>
      <c r="AQ358" s="75"/>
      <c r="AR358" s="72"/>
      <c r="AS358" s="75"/>
      <c r="AT358" s="72"/>
      <c r="AU358" s="75"/>
      <c r="AV358" s="72"/>
      <c r="AW358" s="75"/>
      <c r="AX358" s="72"/>
      <c r="AY358" s="75"/>
      <c r="AZ358" s="72"/>
      <c r="BA358" s="75"/>
      <c r="BB358" s="72"/>
      <c r="BC358" s="75"/>
      <c r="BD358" s="72"/>
      <c r="BE358" s="75"/>
      <c r="BF358" s="72"/>
      <c r="BG358" s="75"/>
      <c r="BH358" s="72"/>
      <c r="BI358" s="75"/>
      <c r="BJ358" s="72"/>
      <c r="BK358" s="75"/>
      <c r="BL358" s="72"/>
      <c r="BM358" s="75"/>
      <c r="BN358" s="72"/>
      <c r="BO358" s="75"/>
      <c r="BP358" s="72"/>
      <c r="BQ358" s="75"/>
      <c r="BR358" s="72"/>
      <c r="BS358" s="75"/>
      <c r="BT358" s="72"/>
      <c r="BU358" s="75"/>
      <c r="BV358" s="72"/>
      <c r="BW358" s="75"/>
      <c r="BX358" s="72"/>
      <c r="BY358" s="75"/>
      <c r="BZ358" s="72"/>
      <c r="CA358" s="75"/>
      <c r="CB358" s="72"/>
      <c r="CC358" s="75"/>
      <c r="CD358" s="72"/>
      <c r="CE358" s="75"/>
      <c r="CF358" s="72"/>
      <c r="CG358" s="75"/>
      <c r="CH358" s="72"/>
      <c r="CI358" s="75"/>
      <c r="CJ358" s="72"/>
      <c r="CK358" s="75"/>
      <c r="CL358" s="72"/>
      <c r="CM358" s="75"/>
      <c r="CN358" s="72"/>
      <c r="CO358" s="75"/>
      <c r="CP358" s="72"/>
      <c r="CQ358" s="75"/>
      <c r="CR358" s="72"/>
      <c r="CS358" s="75"/>
      <c r="CT358" s="72"/>
      <c r="CU358" s="75"/>
      <c r="CV358" s="72"/>
      <c r="CW358" s="75"/>
      <c r="CX358" s="72"/>
      <c r="CY358" s="75"/>
      <c r="CZ358" s="72"/>
      <c r="DA358" s="75"/>
      <c r="DB358" s="72"/>
      <c r="DC358" s="74">
        <v>80</v>
      </c>
      <c r="DD358" s="72"/>
      <c r="DE358" s="74">
        <v>80</v>
      </c>
      <c r="DF358" s="72"/>
      <c r="DG358" s="74">
        <v>80</v>
      </c>
      <c r="DH358" s="72"/>
      <c r="DI358" s="74">
        <v>80</v>
      </c>
      <c r="DJ358" s="72"/>
      <c r="DK358" s="75">
        <f>$GH$358</f>
        <v>82</v>
      </c>
      <c r="DL358" s="72"/>
      <c r="DM358" s="75">
        <f>$GH$358</f>
        <v>82</v>
      </c>
      <c r="DN358" s="72"/>
      <c r="DO358" s="75">
        <f>$GH$358</f>
        <v>82</v>
      </c>
      <c r="DP358" s="72"/>
      <c r="DQ358" s="75">
        <f>$GH$358</f>
        <v>82</v>
      </c>
      <c r="DR358" s="72"/>
      <c r="DS358" s="75">
        <f>$GJ$358</f>
        <v>91</v>
      </c>
      <c r="DT358" s="72"/>
      <c r="DU358" s="75">
        <f>$GJ$358</f>
        <v>91</v>
      </c>
      <c r="DV358" s="72"/>
      <c r="DW358" s="75">
        <f>$GJ$358</f>
        <v>91</v>
      </c>
      <c r="DX358" s="72"/>
      <c r="DY358" s="75">
        <f>$GJ$358</f>
        <v>91</v>
      </c>
      <c r="DZ358" s="72"/>
      <c r="EA358" s="75">
        <f>$GL$358</f>
        <v>106</v>
      </c>
      <c r="EB358" s="72"/>
      <c r="EC358" s="75">
        <f>$GL$358</f>
        <v>106</v>
      </c>
      <c r="ED358" s="72"/>
      <c r="EE358" s="75">
        <f>$GL$358</f>
        <v>106</v>
      </c>
      <c r="EF358" s="72"/>
      <c r="EG358" s="75">
        <f>$GL$358</f>
        <v>106</v>
      </c>
      <c r="EH358" s="72"/>
      <c r="EI358" s="86">
        <v>112</v>
      </c>
      <c r="EJ358" s="72"/>
      <c r="EK358" s="86">
        <v>112</v>
      </c>
      <c r="EL358" s="72"/>
      <c r="EM358" s="86">
        <v>112</v>
      </c>
      <c r="EN358" s="72"/>
      <c r="EO358" s="86">
        <v>112</v>
      </c>
      <c r="EP358" s="72"/>
      <c r="EQ358" s="75">
        <v>111</v>
      </c>
      <c r="ER358" s="72"/>
      <c r="ES358" s="75">
        <f t="shared" ref="ES358:ES359" si="1890">EQ358</f>
        <v>111</v>
      </c>
      <c r="ET358" s="72"/>
      <c r="EU358" s="75">
        <f t="shared" ref="EU358:EU359" si="1891">ES358</f>
        <v>111</v>
      </c>
      <c r="EV358" s="72"/>
      <c r="EW358" s="75">
        <f t="shared" ref="EW358:EW359" si="1892">EU358</f>
        <v>111</v>
      </c>
      <c r="EX358" s="72"/>
      <c r="EY358" s="72"/>
      <c r="EZ358" s="309"/>
      <c r="FA358" s="72"/>
      <c r="FB358" s="81"/>
      <c r="FC358" s="72"/>
      <c r="FD358" s="81"/>
      <c r="FE358" s="72"/>
      <c r="FF358" s="81"/>
      <c r="FG358" s="72"/>
      <c r="FH358" s="81"/>
      <c r="FI358" s="72"/>
      <c r="FJ358" s="81"/>
      <c r="FK358" s="72"/>
      <c r="FL358" s="81"/>
      <c r="FM358" s="72"/>
      <c r="FN358" s="81"/>
      <c r="FO358" s="72"/>
      <c r="FP358" s="81"/>
      <c r="FQ358" s="72"/>
      <c r="FR358" s="75"/>
      <c r="FS358" s="72"/>
      <c r="FT358" s="75"/>
      <c r="FU358" s="72"/>
      <c r="FV358" s="75"/>
      <c r="FW358" s="72"/>
      <c r="FX358" s="75"/>
      <c r="FY358" s="72"/>
      <c r="FZ358" s="75"/>
      <c r="GA358" s="72"/>
      <c r="GB358" s="75"/>
      <c r="GC358" s="72"/>
      <c r="GD358" s="75"/>
      <c r="GE358" s="72"/>
      <c r="GF358" s="74">
        <v>80</v>
      </c>
      <c r="GG358" s="72"/>
      <c r="GH358" s="75">
        <v>82</v>
      </c>
      <c r="GI358" s="72">
        <f t="shared" ref="GI358:GU358" si="1893">IF(ISERROR(GH358/GF358),"NA",IF(OR(GH358/GF358&gt;2,GH358/GF358&lt;0.5),"NM",GH358/GF358*100-100))</f>
        <v>2.4999999999999858</v>
      </c>
      <c r="GJ358" s="75">
        <v>91</v>
      </c>
      <c r="GK358" s="72">
        <f t="shared" si="1893"/>
        <v>10.975609756097569</v>
      </c>
      <c r="GL358" s="75">
        <v>106</v>
      </c>
      <c r="GM358" s="72">
        <f t="shared" si="1893"/>
        <v>16.483516483516496</v>
      </c>
      <c r="GN358" s="75">
        <f>EO358</f>
        <v>112</v>
      </c>
      <c r="GO358" s="72">
        <f t="shared" si="1893"/>
        <v>5.6603773584905639</v>
      </c>
      <c r="GP358" s="75">
        <f>EW358</f>
        <v>111</v>
      </c>
      <c r="GQ358" s="72">
        <f t="shared" si="1893"/>
        <v>-0.8928571428571388</v>
      </c>
      <c r="GR358" s="75">
        <f>GP358</f>
        <v>111</v>
      </c>
      <c r="GS358" s="72">
        <f t="shared" si="1893"/>
        <v>0</v>
      </c>
      <c r="GT358" s="75">
        <f>GR358</f>
        <v>111</v>
      </c>
      <c r="GU358" s="72">
        <f t="shared" si="1893"/>
        <v>0</v>
      </c>
      <c r="GV358" s="75">
        <f>GT358</f>
        <v>111</v>
      </c>
      <c r="GW358" s="72">
        <f>IF(ISERROR(GV358/GT358),"NA",IF(OR(GV358/GT358&gt;2,GV358/GT358&lt;0.5),"NM",GV358/GT358*100-100))</f>
        <v>0</v>
      </c>
      <c r="GX358" s="75">
        <f>GV358</f>
        <v>111</v>
      </c>
      <c r="GY358" s="72">
        <f>IF(ISERROR(GX358/GV358),"NA",IF(OR(GX358/GV358&gt;2,GX358/GV358&lt;0.5),"NM",GX358/GV358*100-100))</f>
        <v>0</v>
      </c>
      <c r="GZ358" s="72"/>
      <c r="HA358" s="72"/>
      <c r="HB358" s="72"/>
      <c r="HC358"/>
      <c r="HD358"/>
      <c r="HE358"/>
      <c r="HF358"/>
      <c r="HG358"/>
      <c r="HH358"/>
      <c r="HI358" s="2"/>
    </row>
    <row r="359" spans="2:217" s="3" customFormat="1" ht="12.75" customHeight="1" x14ac:dyDescent="0.2">
      <c r="B359" s="77" t="s">
        <v>187</v>
      </c>
      <c r="C359" s="75"/>
      <c r="D359" s="72"/>
      <c r="E359" s="75"/>
      <c r="F359" s="72"/>
      <c r="G359" s="75"/>
      <c r="H359" s="72"/>
      <c r="I359" s="75"/>
      <c r="J359" s="72"/>
      <c r="K359" s="75"/>
      <c r="L359" s="72"/>
      <c r="M359" s="75"/>
      <c r="N359" s="72"/>
      <c r="O359" s="75"/>
      <c r="P359" s="72"/>
      <c r="Q359" s="75"/>
      <c r="R359" s="72"/>
      <c r="S359" s="75"/>
      <c r="T359" s="72"/>
      <c r="U359" s="75"/>
      <c r="V359" s="72"/>
      <c r="W359" s="75"/>
      <c r="X359" s="72"/>
      <c r="Y359" s="75"/>
      <c r="Z359" s="72"/>
      <c r="AA359" s="75"/>
      <c r="AB359" s="72"/>
      <c r="AC359" s="75"/>
      <c r="AD359" s="72"/>
      <c r="AE359" s="75"/>
      <c r="AF359" s="72"/>
      <c r="AG359" s="75"/>
      <c r="AH359" s="72"/>
      <c r="AI359" s="75"/>
      <c r="AJ359" s="72"/>
      <c r="AK359" s="75"/>
      <c r="AL359" s="72"/>
      <c r="AM359" s="75"/>
      <c r="AN359" s="72"/>
      <c r="AO359" s="75"/>
      <c r="AP359" s="72"/>
      <c r="AQ359" s="75"/>
      <c r="AR359" s="72"/>
      <c r="AS359" s="75"/>
      <c r="AT359" s="72"/>
      <c r="AU359" s="75"/>
      <c r="AV359" s="72"/>
      <c r="AW359" s="75"/>
      <c r="AX359" s="72"/>
      <c r="AY359" s="75"/>
      <c r="AZ359" s="72"/>
      <c r="BA359" s="75"/>
      <c r="BB359" s="72"/>
      <c r="BC359" s="75"/>
      <c r="BD359" s="72"/>
      <c r="BE359" s="75"/>
      <c r="BF359" s="72"/>
      <c r="BG359" s="75"/>
      <c r="BH359" s="72"/>
      <c r="BI359" s="75"/>
      <c r="BJ359" s="72"/>
      <c r="BK359" s="75"/>
      <c r="BL359" s="72"/>
      <c r="BM359" s="75"/>
      <c r="BN359" s="72"/>
      <c r="BO359" s="75"/>
      <c r="BP359" s="72"/>
      <c r="BQ359" s="75"/>
      <c r="BR359" s="72"/>
      <c r="BS359" s="75"/>
      <c r="BT359" s="72"/>
      <c r="BU359" s="75"/>
      <c r="BV359" s="72"/>
      <c r="BW359" s="75"/>
      <c r="BX359" s="72"/>
      <c r="BY359" s="75"/>
      <c r="BZ359" s="72"/>
      <c r="CA359" s="75"/>
      <c r="CB359" s="72"/>
      <c r="CC359" s="75"/>
      <c r="CD359" s="72"/>
      <c r="CE359" s="75"/>
      <c r="CF359" s="72"/>
      <c r="CG359" s="75"/>
      <c r="CH359" s="72"/>
      <c r="CI359" s="75"/>
      <c r="CJ359" s="72"/>
      <c r="CK359" s="75"/>
      <c r="CL359" s="72"/>
      <c r="CM359" s="75"/>
      <c r="CN359" s="72"/>
      <c r="CO359" s="75"/>
      <c r="CP359" s="72"/>
      <c r="CQ359" s="75"/>
      <c r="CR359" s="72"/>
      <c r="CS359" s="75"/>
      <c r="CT359" s="72"/>
      <c r="CU359" s="75"/>
      <c r="CV359" s="72"/>
      <c r="CW359" s="75"/>
      <c r="CX359" s="72"/>
      <c r="CY359" s="75"/>
      <c r="CZ359" s="72"/>
      <c r="DA359" s="75"/>
      <c r="DB359" s="72"/>
      <c r="DC359" s="75"/>
      <c r="DD359" s="72"/>
      <c r="DE359" s="75"/>
      <c r="DF359" s="72"/>
      <c r="DG359" s="75"/>
      <c r="DH359" s="72"/>
      <c r="DI359" s="75"/>
      <c r="DJ359" s="72"/>
      <c r="DK359" s="75"/>
      <c r="DL359" s="72"/>
      <c r="DM359" s="75"/>
      <c r="DN359" s="72"/>
      <c r="DO359" s="75"/>
      <c r="DP359" s="72"/>
      <c r="DQ359" s="75"/>
      <c r="DR359" s="72"/>
      <c r="DS359" s="75"/>
      <c r="DT359" s="72"/>
      <c r="DU359" s="75"/>
      <c r="DV359" s="72"/>
      <c r="DW359" s="75"/>
      <c r="DX359" s="72"/>
      <c r="DY359" s="75"/>
      <c r="DZ359" s="72"/>
      <c r="EA359" s="75"/>
      <c r="EB359" s="86">
        <v>5</v>
      </c>
      <c r="EC359" s="75"/>
      <c r="ED359" s="86">
        <v>5</v>
      </c>
      <c r="EE359" s="75"/>
      <c r="EF359" s="86">
        <v>5</v>
      </c>
      <c r="EG359" s="75"/>
      <c r="EH359" s="72"/>
      <c r="EI359" s="86">
        <v>4</v>
      </c>
      <c r="EJ359" s="72"/>
      <c r="EK359" s="86">
        <v>4</v>
      </c>
      <c r="EL359" s="72"/>
      <c r="EM359" s="86">
        <v>4</v>
      </c>
      <c r="EN359" s="72"/>
      <c r="EO359" s="86">
        <v>4</v>
      </c>
      <c r="EP359" s="72"/>
      <c r="EQ359" s="86">
        <f t="shared" ref="EQ359" si="1894">EO359</f>
        <v>4</v>
      </c>
      <c r="ER359" s="72"/>
      <c r="ES359" s="86">
        <f t="shared" si="1890"/>
        <v>4</v>
      </c>
      <c r="ET359" s="72"/>
      <c r="EU359" s="86">
        <f t="shared" si="1891"/>
        <v>4</v>
      </c>
      <c r="EV359" s="72"/>
      <c r="EW359" s="86">
        <f t="shared" si="1892"/>
        <v>4</v>
      </c>
      <c r="EX359" s="72"/>
      <c r="EY359" s="72"/>
      <c r="EZ359" s="309"/>
      <c r="FA359" s="72"/>
      <c r="FB359" s="81"/>
      <c r="FC359" s="72"/>
      <c r="FD359" s="81"/>
      <c r="FE359" s="72"/>
      <c r="FF359" s="81"/>
      <c r="FG359" s="72"/>
      <c r="FH359" s="81"/>
      <c r="FI359" s="72"/>
      <c r="FJ359" s="81"/>
      <c r="FK359" s="72"/>
      <c r="FL359" s="81"/>
      <c r="FM359" s="72"/>
      <c r="FN359" s="81"/>
      <c r="FO359" s="72"/>
      <c r="FP359" s="81"/>
      <c r="FQ359" s="72"/>
      <c r="FR359" s="75"/>
      <c r="FS359" s="72"/>
      <c r="FT359" s="75"/>
      <c r="FU359" s="72"/>
      <c r="FV359" s="75"/>
      <c r="FW359" s="72"/>
      <c r="FX359" s="75"/>
      <c r="FY359" s="72"/>
      <c r="FZ359" s="75"/>
      <c r="GA359" s="72"/>
      <c r="GB359" s="75"/>
      <c r="GC359" s="72"/>
      <c r="GD359" s="75"/>
      <c r="GE359" s="72"/>
      <c r="GF359" s="75"/>
      <c r="GG359" s="72"/>
      <c r="GH359" s="86"/>
      <c r="GI359" s="72" t="str">
        <f>IF(ISERROR(GH359/GF359),"NA",IF(OR(GH359/GF359&gt;2,GH359/GF359&lt;0.5),"NM",GH359/GF359*100-100))</f>
        <v>NA</v>
      </c>
      <c r="GJ359" s="688"/>
      <c r="GK359" s="72" t="str">
        <f>IF(ISERROR(GJ359/GH359),"NA",IF(OR(GJ359/GH359&gt;2,GJ359/GH359&lt;0.5),"NM",GJ359/GH359*100-100))</f>
        <v>NA</v>
      </c>
      <c r="GL359" s="688"/>
      <c r="GM359" s="72" t="str">
        <f>IF(ISERROR(GL359/GJ359),"NA",IF(OR(GL359/GJ359&gt;2,GL359/GJ359&lt;0.5),"NM",GL359/GJ359*100-100))</f>
        <v>NA</v>
      </c>
      <c r="GN359" s="688"/>
      <c r="GO359" s="72" t="str">
        <f>IF(ISERROR(GN359/GL359),"NA",IF(OR(GN359/GL359&gt;2,GN359/GL359&lt;0.5),"NM",GN359/GL359*100-100))</f>
        <v>NA</v>
      </c>
      <c r="GP359" s="688"/>
      <c r="GQ359" s="72" t="str">
        <f>IF(ISERROR(GP359/GN359),"NA",IF(OR(GP359/GN359&gt;2,GP359/GN359&lt;0.5),"NM",GP359/GN359*100-100))</f>
        <v>NA</v>
      </c>
      <c r="GR359" s="86">
        <v>4</v>
      </c>
      <c r="GS359" s="72" t="str">
        <f>IF(ISERROR(GR359/GP359),"NA",IF(OR(GR359/GP359&gt;2,GR359/GP359&lt;0.5),"NM",GR359/GP359*100-100))</f>
        <v>NA</v>
      </c>
      <c r="GT359" s="86">
        <f>GR359</f>
        <v>4</v>
      </c>
      <c r="GU359" s="72">
        <f>IF(ISERROR(GT359/GR359),"NA",IF(OR(GT359/GR359&gt;2,GT359/GR359&lt;0.5),"NM",GT359/GR359*100-100))</f>
        <v>0</v>
      </c>
      <c r="GV359" s="86">
        <f>GT359</f>
        <v>4</v>
      </c>
      <c r="GW359" s="72">
        <f>IF(ISERROR(GV359/GT359),"NA",IF(OR(GV359/GT359&gt;2,GV359/GT359&lt;0.5),"NM",GV359/GT359*100-100))</f>
        <v>0</v>
      </c>
      <c r="GX359" s="86">
        <f>GV359</f>
        <v>4</v>
      </c>
      <c r="GY359" s="72">
        <f>IF(ISERROR(GX359/GV359),"NA",IF(OR(GX359/GV359&gt;2,GX359/GV359&lt;0.5),"NM",GX359/GV359*100-100))</f>
        <v>0</v>
      </c>
      <c r="GZ359" s="72"/>
      <c r="HA359" s="72"/>
      <c r="HB359" s="83"/>
      <c r="HC359"/>
      <c r="HD359"/>
      <c r="HE359"/>
      <c r="HF359"/>
      <c r="HG359"/>
      <c r="HH359"/>
      <c r="HI359" s="2"/>
    </row>
    <row r="360" spans="2:217" s="3" customFormat="1" ht="12.75" customHeight="1" x14ac:dyDescent="0.2">
      <c r="B360" s="77" t="s">
        <v>189</v>
      </c>
      <c r="C360" s="75"/>
      <c r="D360" s="72"/>
      <c r="E360" s="75"/>
      <c r="F360" s="72"/>
      <c r="G360" s="75"/>
      <c r="H360" s="72"/>
      <c r="I360" s="75"/>
      <c r="J360" s="72"/>
      <c r="K360" s="75"/>
      <c r="L360" s="72"/>
      <c r="M360" s="75"/>
      <c r="N360" s="72"/>
      <c r="O360" s="75"/>
      <c r="P360" s="72"/>
      <c r="Q360" s="75"/>
      <c r="R360" s="72"/>
      <c r="S360" s="75"/>
      <c r="T360" s="72"/>
      <c r="U360" s="75"/>
      <c r="V360" s="72"/>
      <c r="W360" s="75"/>
      <c r="X360" s="72"/>
      <c r="Y360" s="75"/>
      <c r="Z360" s="72"/>
      <c r="AA360" s="75"/>
      <c r="AB360" s="72"/>
      <c r="AC360" s="75"/>
      <c r="AD360" s="72"/>
      <c r="AE360" s="75"/>
      <c r="AF360" s="72"/>
      <c r="AG360" s="75"/>
      <c r="AH360" s="72"/>
      <c r="AI360" s="75"/>
      <c r="AJ360" s="72"/>
      <c r="AK360" s="75"/>
      <c r="AL360" s="72"/>
      <c r="AM360" s="75"/>
      <c r="AN360" s="72"/>
      <c r="AO360" s="75"/>
      <c r="AP360" s="72"/>
      <c r="AQ360" s="75"/>
      <c r="AR360" s="72"/>
      <c r="AS360" s="75"/>
      <c r="AT360" s="72"/>
      <c r="AU360" s="75"/>
      <c r="AV360" s="72"/>
      <c r="AW360" s="75"/>
      <c r="AX360" s="72"/>
      <c r="AY360" s="75"/>
      <c r="AZ360" s="72"/>
      <c r="BA360" s="75"/>
      <c r="BB360" s="72"/>
      <c r="BC360" s="75"/>
      <c r="BD360" s="72"/>
      <c r="BE360" s="75"/>
      <c r="BF360" s="72"/>
      <c r="BG360" s="75"/>
      <c r="BH360" s="72"/>
      <c r="BI360" s="75"/>
      <c r="BJ360" s="72"/>
      <c r="BK360" s="75"/>
      <c r="BL360" s="72"/>
      <c r="BM360" s="75"/>
      <c r="BN360" s="72"/>
      <c r="BO360" s="75"/>
      <c r="BP360" s="72"/>
      <c r="BQ360" s="75"/>
      <c r="BR360" s="72"/>
      <c r="BS360" s="75"/>
      <c r="BT360" s="72"/>
      <c r="BU360" s="75"/>
      <c r="BV360" s="72"/>
      <c r="BW360" s="75"/>
      <c r="BX360" s="72"/>
      <c r="BY360" s="75"/>
      <c r="BZ360" s="72"/>
      <c r="CA360" s="75"/>
      <c r="CB360" s="72"/>
      <c r="CC360" s="75"/>
      <c r="CD360" s="72"/>
      <c r="CE360" s="75"/>
      <c r="CF360" s="72"/>
      <c r="CG360" s="75"/>
      <c r="CH360" s="72"/>
      <c r="CI360" s="75"/>
      <c r="CJ360" s="72"/>
      <c r="CK360" s="75"/>
      <c r="CL360" s="72"/>
      <c r="CM360" s="75"/>
      <c r="CN360" s="72"/>
      <c r="CO360" s="75"/>
      <c r="CP360" s="72"/>
      <c r="CQ360" s="75"/>
      <c r="CR360" s="72"/>
      <c r="CS360" s="75"/>
      <c r="CT360" s="72"/>
      <c r="CU360" s="75"/>
      <c r="CV360" s="72"/>
      <c r="CW360" s="75"/>
      <c r="CX360" s="72"/>
      <c r="CY360" s="75"/>
      <c r="CZ360" s="72"/>
      <c r="DA360" s="75"/>
      <c r="DB360" s="72"/>
      <c r="DC360" s="75"/>
      <c r="DD360" s="72"/>
      <c r="DE360" s="75"/>
      <c r="DF360" s="72"/>
      <c r="DG360" s="75"/>
      <c r="DH360" s="72"/>
      <c r="DI360" s="75"/>
      <c r="DJ360" s="72"/>
      <c r="DK360" s="75"/>
      <c r="DL360" s="72"/>
      <c r="DM360" s="75"/>
      <c r="DN360" s="72"/>
      <c r="DO360" s="75"/>
      <c r="DP360" s="72"/>
      <c r="DQ360" s="75"/>
      <c r="DR360" s="72"/>
      <c r="DS360" s="75"/>
      <c r="DT360" s="72"/>
      <c r="DU360" s="75"/>
      <c r="DV360" s="72"/>
      <c r="DW360" s="75"/>
      <c r="DX360" s="72"/>
      <c r="DY360" s="75"/>
      <c r="DZ360" s="72"/>
      <c r="EA360" s="75"/>
      <c r="EB360" s="72"/>
      <c r="EC360" s="75"/>
      <c r="ED360" s="72"/>
      <c r="EE360" s="75"/>
      <c r="EF360" s="72"/>
      <c r="EG360" s="75"/>
      <c r="EH360" s="72"/>
      <c r="EI360" s="75">
        <f>(EA358/EI358*100-100)*0.5</f>
        <v>-2.6785714285714306</v>
      </c>
      <c r="EJ360" s="72"/>
      <c r="EK360" s="75">
        <f>(EC358/EK358*100-100)*0.5</f>
        <v>-2.6785714285714306</v>
      </c>
      <c r="EL360" s="72"/>
      <c r="EM360" s="75">
        <f>(EE358/EM358*100-100)*0.5</f>
        <v>-2.6785714285714306</v>
      </c>
      <c r="EN360" s="72"/>
      <c r="EO360" s="75">
        <f>(EG358/EO358*100-100)*0.5</f>
        <v>-2.6785714285714306</v>
      </c>
      <c r="EP360" s="72"/>
      <c r="EQ360" s="81">
        <f t="shared" ref="EQ360" si="1895">(EI358/EQ358*100-100)*0.5</f>
        <v>0.45045045045044674</v>
      </c>
      <c r="ER360" s="72"/>
      <c r="ES360" s="81">
        <f t="shared" ref="ES360" si="1896">(EK358/ES358*100-100)*0.5</f>
        <v>0.45045045045044674</v>
      </c>
      <c r="ET360" s="72"/>
      <c r="EU360" s="81">
        <f t="shared" ref="EU360" si="1897">(EM358/EU358*100-100)*0.5</f>
        <v>0.45045045045044674</v>
      </c>
      <c r="EV360" s="72"/>
      <c r="EW360" s="81">
        <f t="shared" ref="EW360" si="1898">(EO358/EW358*100-100)*0.5</f>
        <v>0.45045045045044674</v>
      </c>
      <c r="EX360" s="72"/>
      <c r="EY360" s="72"/>
      <c r="EZ360" s="309"/>
      <c r="FA360" s="72"/>
      <c r="FB360" s="81"/>
      <c r="FC360" s="72"/>
      <c r="FD360" s="81"/>
      <c r="FE360" s="72"/>
      <c r="FF360" s="81"/>
      <c r="FG360" s="72"/>
      <c r="FH360" s="81"/>
      <c r="FI360" s="72"/>
      <c r="FJ360" s="81"/>
      <c r="FK360" s="72"/>
      <c r="FL360" s="81"/>
      <c r="FM360" s="72"/>
      <c r="FN360" s="81"/>
      <c r="FO360" s="72"/>
      <c r="FP360" s="81"/>
      <c r="FQ360" s="72"/>
      <c r="FR360" s="75"/>
      <c r="FS360" s="72"/>
      <c r="FT360" s="75"/>
      <c r="FU360" s="72"/>
      <c r="FV360" s="75"/>
      <c r="FW360" s="72"/>
      <c r="FX360" s="75"/>
      <c r="FY360" s="72"/>
      <c r="FZ360" s="75"/>
      <c r="GA360" s="72"/>
      <c r="GB360" s="75"/>
      <c r="GC360" s="72"/>
      <c r="GD360" s="75"/>
      <c r="GE360" s="72"/>
      <c r="GF360" s="75"/>
      <c r="GG360" s="72"/>
      <c r="GH360" s="81"/>
      <c r="GI360" s="72"/>
      <c r="GJ360" s="81"/>
      <c r="GK360" s="72"/>
      <c r="GL360" s="81"/>
      <c r="GM360" s="72"/>
      <c r="GN360" s="81"/>
      <c r="GO360" s="72"/>
      <c r="GP360" s="81"/>
      <c r="GQ360" s="72"/>
      <c r="GR360" s="81">
        <f>(GP358/GR358*100-100)*0.5</f>
        <v>0</v>
      </c>
      <c r="GS360" s="72"/>
      <c r="GT360" s="81">
        <f>(GR358/GT358*100-100)*0.5</f>
        <v>0</v>
      </c>
      <c r="GU360" s="72"/>
      <c r="GV360" s="81">
        <f>(GT358/GV358*100-100)*0.5</f>
        <v>0</v>
      </c>
      <c r="GW360" s="72"/>
      <c r="GX360" s="81">
        <f>(GV358/GX358*100-100)*0.5</f>
        <v>0</v>
      </c>
      <c r="GY360" s="72"/>
      <c r="GZ360" s="72"/>
      <c r="HA360" s="72"/>
      <c r="HB360" s="83"/>
      <c r="HC360"/>
      <c r="HD360"/>
      <c r="HE360"/>
      <c r="HF360"/>
      <c r="HG360"/>
      <c r="HH360"/>
      <c r="HI360" s="2"/>
    </row>
    <row r="361" spans="2:217" s="3" customFormat="1" ht="12.75" customHeight="1" x14ac:dyDescent="0.2">
      <c r="B361" s="77" t="s">
        <v>188</v>
      </c>
      <c r="C361" s="75"/>
      <c r="D361" s="72"/>
      <c r="E361" s="75"/>
      <c r="F361" s="72"/>
      <c r="G361" s="75"/>
      <c r="H361" s="72"/>
      <c r="I361" s="75"/>
      <c r="J361" s="72"/>
      <c r="K361" s="75"/>
      <c r="L361" s="72"/>
      <c r="M361" s="75"/>
      <c r="N361" s="72"/>
      <c r="O361" s="75"/>
      <c r="P361" s="72"/>
      <c r="Q361" s="75"/>
      <c r="R361" s="72"/>
      <c r="S361" s="75"/>
      <c r="T361" s="72"/>
      <c r="U361" s="75"/>
      <c r="V361" s="72"/>
      <c r="W361" s="75"/>
      <c r="X361" s="72"/>
      <c r="Y361" s="75"/>
      <c r="Z361" s="72"/>
      <c r="AA361" s="75"/>
      <c r="AB361" s="72"/>
      <c r="AC361" s="75"/>
      <c r="AD361" s="72"/>
      <c r="AE361" s="75"/>
      <c r="AF361" s="72"/>
      <c r="AG361" s="75"/>
      <c r="AH361" s="72"/>
      <c r="AI361" s="75"/>
      <c r="AJ361" s="72"/>
      <c r="AK361" s="75"/>
      <c r="AL361" s="72"/>
      <c r="AM361" s="75"/>
      <c r="AN361" s="72"/>
      <c r="AO361" s="75"/>
      <c r="AP361" s="72"/>
      <c r="AQ361" s="75"/>
      <c r="AR361" s="72"/>
      <c r="AS361" s="75"/>
      <c r="AT361" s="72"/>
      <c r="AU361" s="75"/>
      <c r="AV361" s="72"/>
      <c r="AW361" s="75"/>
      <c r="AX361" s="72"/>
      <c r="AY361" s="75"/>
      <c r="AZ361" s="72"/>
      <c r="BA361" s="75"/>
      <c r="BB361" s="72"/>
      <c r="BC361" s="75"/>
      <c r="BD361" s="72"/>
      <c r="BE361" s="75"/>
      <c r="BF361" s="72"/>
      <c r="BG361" s="75"/>
      <c r="BH361" s="72"/>
      <c r="BI361" s="75"/>
      <c r="BJ361" s="72"/>
      <c r="BK361" s="75"/>
      <c r="BL361" s="72"/>
      <c r="BM361" s="75"/>
      <c r="BN361" s="72"/>
      <c r="BO361" s="75"/>
      <c r="BP361" s="72"/>
      <c r="BQ361" s="75"/>
      <c r="BR361" s="72"/>
      <c r="BS361" s="75"/>
      <c r="BT361" s="72"/>
      <c r="BU361" s="75"/>
      <c r="BV361" s="72"/>
      <c r="BW361" s="75"/>
      <c r="BX361" s="72"/>
      <c r="BY361" s="75"/>
      <c r="BZ361" s="72"/>
      <c r="CA361" s="75"/>
      <c r="CB361" s="72"/>
      <c r="CC361" s="75"/>
      <c r="CD361" s="72"/>
      <c r="CE361" s="75"/>
      <c r="CF361" s="72"/>
      <c r="CG361" s="75"/>
      <c r="CH361" s="72"/>
      <c r="CI361" s="75"/>
      <c r="CJ361" s="72"/>
      <c r="CK361" s="75"/>
      <c r="CL361" s="72"/>
      <c r="CM361" s="75"/>
      <c r="CN361" s="72"/>
      <c r="CO361" s="75"/>
      <c r="CP361" s="72"/>
      <c r="CQ361" s="75"/>
      <c r="CR361" s="72"/>
      <c r="CS361" s="75"/>
      <c r="CT361" s="72"/>
      <c r="CU361" s="75"/>
      <c r="CV361" s="72"/>
      <c r="CW361" s="75"/>
      <c r="CX361" s="72"/>
      <c r="CY361" s="75"/>
      <c r="CZ361" s="72"/>
      <c r="DA361" s="75"/>
      <c r="DB361" s="72"/>
      <c r="DC361" s="75"/>
      <c r="DD361" s="72"/>
      <c r="DE361" s="75"/>
      <c r="DF361" s="72"/>
      <c r="DG361" s="75"/>
      <c r="DH361" s="72"/>
      <c r="DI361" s="75"/>
      <c r="DJ361" s="72"/>
      <c r="DK361" s="75"/>
      <c r="DL361" s="72"/>
      <c r="DM361" s="75"/>
      <c r="DN361" s="72"/>
      <c r="DO361" s="75"/>
      <c r="DP361" s="72"/>
      <c r="DQ361" s="75"/>
      <c r="DR361" s="72"/>
      <c r="DS361" s="75"/>
      <c r="DT361" s="72"/>
      <c r="DU361" s="75"/>
      <c r="DV361" s="72"/>
      <c r="DW361" s="75"/>
      <c r="DX361" s="72"/>
      <c r="DY361" s="75"/>
      <c r="DZ361" s="72"/>
      <c r="EA361" s="75"/>
      <c r="EB361" s="72"/>
      <c r="EC361" s="75"/>
      <c r="ED361" s="72"/>
      <c r="EE361" s="75"/>
      <c r="EF361" s="72"/>
      <c r="EG361" s="75"/>
      <c r="EH361" s="72"/>
      <c r="EI361" s="75">
        <f>EI359+EI360</f>
        <v>1.3214285714285694</v>
      </c>
      <c r="EJ361" s="72"/>
      <c r="EK361" s="75">
        <f>EK359+EK360</f>
        <v>1.3214285714285694</v>
      </c>
      <c r="EL361" s="72"/>
      <c r="EM361" s="75">
        <f>EM359+EM360</f>
        <v>1.3214285714285694</v>
      </c>
      <c r="EN361" s="72"/>
      <c r="EO361" s="75">
        <f>EO359+EO360</f>
        <v>1.3214285714285694</v>
      </c>
      <c r="EP361" s="72"/>
      <c r="EQ361" s="81">
        <f t="shared" ref="EQ361" si="1899">EQ359+EQ360</f>
        <v>4.4504504504504467</v>
      </c>
      <c r="ER361" s="72"/>
      <c r="ES361" s="81">
        <f t="shared" ref="ES361" si="1900">ES359+ES360</f>
        <v>4.4504504504504467</v>
      </c>
      <c r="ET361" s="72"/>
      <c r="EU361" s="81">
        <f t="shared" ref="EU361" si="1901">EU359+EU360</f>
        <v>4.4504504504504467</v>
      </c>
      <c r="EV361" s="72"/>
      <c r="EW361" s="81">
        <f t="shared" ref="EW361" si="1902">EW359+EW360</f>
        <v>4.4504504504504467</v>
      </c>
      <c r="EX361" s="72"/>
      <c r="EY361" s="72"/>
      <c r="EZ361" s="309"/>
      <c r="FA361" s="72"/>
      <c r="FB361" s="81"/>
      <c r="FC361" s="72"/>
      <c r="FD361" s="81"/>
      <c r="FE361" s="72"/>
      <c r="FF361" s="81"/>
      <c r="FG361" s="72"/>
      <c r="FH361" s="81"/>
      <c r="FI361" s="72"/>
      <c r="FJ361" s="81"/>
      <c r="FK361" s="72"/>
      <c r="FL361" s="81"/>
      <c r="FM361" s="72"/>
      <c r="FN361" s="81"/>
      <c r="FO361" s="72"/>
      <c r="FP361" s="81"/>
      <c r="FQ361" s="72"/>
      <c r="FR361" s="75"/>
      <c r="FS361" s="72"/>
      <c r="FT361" s="75"/>
      <c r="FU361" s="72"/>
      <c r="FV361" s="75"/>
      <c r="FW361" s="72"/>
      <c r="FX361" s="75"/>
      <c r="FY361" s="72"/>
      <c r="FZ361" s="75"/>
      <c r="GA361" s="72"/>
      <c r="GB361" s="75"/>
      <c r="GC361" s="72"/>
      <c r="GD361" s="75"/>
      <c r="GE361" s="72"/>
      <c r="GF361" s="75"/>
      <c r="GG361" s="72"/>
      <c r="GH361" s="81"/>
      <c r="GI361" s="72" t="str">
        <f>IF(ISERROR(GH361/GF361),"NA",IF(OR(GH361/GF361&gt;2,GH361/GF361&lt;0.5),"NM",GH361/GF361*100-100))</f>
        <v>NA</v>
      </c>
      <c r="GJ361" s="81"/>
      <c r="GK361" s="72" t="str">
        <f>IF(ISERROR(GJ361/GH361),"NA",IF(OR(GJ361/GH361&gt;2,GJ361/GH361&lt;0.5),"NM",GJ361/GH361*100-100))</f>
        <v>NA</v>
      </c>
      <c r="GL361" s="81"/>
      <c r="GM361" s="72" t="str">
        <f>IF(ISERROR(GL361/GJ361),"NA",IF(OR(GL361/GJ361&gt;2,GL361/GJ361&lt;0.5),"NM",GL361/GJ361*100-100))</f>
        <v>NA</v>
      </c>
      <c r="GN361" s="81"/>
      <c r="GO361" s="72" t="str">
        <f>IF(ISERROR(GN361/GL361),"NA",IF(OR(GN361/GL361&gt;2,GN361/GL361&lt;0.5),"NM",GN361/GL361*100-100))</f>
        <v>NA</v>
      </c>
      <c r="GP361" s="81"/>
      <c r="GQ361" s="72" t="str">
        <f>IF(ISERROR(GP361/GN361),"NA",IF(OR(GP361/GN361&gt;2,GP361/GN361&lt;0.5),"NM",GP361/GN361*100-100))</f>
        <v>NA</v>
      </c>
      <c r="GR361" s="81">
        <f>GR359+GR360</f>
        <v>4</v>
      </c>
      <c r="GS361" s="72" t="str">
        <f>IF(ISERROR(GR361/GP361),"NA",IF(OR(GR361/GP361&gt;2,GR361/GP361&lt;0.5),"NM",GR361/GP361*100-100))</f>
        <v>NA</v>
      </c>
      <c r="GT361" s="81">
        <f>GT359+GT360</f>
        <v>4</v>
      </c>
      <c r="GU361" s="72">
        <f>IF(ISERROR(GT361/GR361),"NA",IF(OR(GT361/GR361&gt;2,GT361/GR361&lt;0.5),"NM",GT361/GR361*100-100))</f>
        <v>0</v>
      </c>
      <c r="GV361" s="81">
        <f>GV359+GV360</f>
        <v>4</v>
      </c>
      <c r="GW361" s="72">
        <f>IF(ISERROR(GV361/GT361),"NA",IF(OR(GV361/GT361&gt;2,GV361/GT361&lt;0.5),"NM",GV361/GT361*100-100))</f>
        <v>0</v>
      </c>
      <c r="GX361" s="81">
        <f>GX359+GX360</f>
        <v>4</v>
      </c>
      <c r="GY361" s="72">
        <f>IF(ISERROR(GX361/GV361),"NA",IF(OR(GX361/GV361&gt;2,GX361/GV361&lt;0.5),"NM",GX361/GV361*100-100))</f>
        <v>0</v>
      </c>
      <c r="GZ361" s="72"/>
      <c r="HA361" s="72"/>
      <c r="HB361" s="83"/>
      <c r="HC361"/>
      <c r="HD361"/>
      <c r="HE361"/>
      <c r="HF361"/>
      <c r="HG361"/>
      <c r="HH361"/>
      <c r="HI361" s="2"/>
    </row>
    <row r="362" spans="2:217" s="3" customFormat="1" ht="12.75" customHeight="1" x14ac:dyDescent="0.2">
      <c r="B362" s="77"/>
      <c r="C362" s="75"/>
      <c r="D362" s="72"/>
      <c r="E362" s="75"/>
      <c r="F362" s="72"/>
      <c r="G362" s="75"/>
      <c r="H362" s="72"/>
      <c r="I362" s="75"/>
      <c r="J362" s="72"/>
      <c r="K362" s="75"/>
      <c r="L362" s="72"/>
      <c r="M362" s="75"/>
      <c r="N362" s="72"/>
      <c r="O362" s="75"/>
      <c r="P362" s="72"/>
      <c r="Q362" s="75"/>
      <c r="R362" s="72"/>
      <c r="S362" s="75"/>
      <c r="T362" s="72"/>
      <c r="U362" s="75"/>
      <c r="V362" s="72"/>
      <c r="W362" s="75"/>
      <c r="X362" s="72"/>
      <c r="Y362" s="75"/>
      <c r="Z362" s="72"/>
      <c r="AA362" s="75"/>
      <c r="AB362" s="72"/>
      <c r="AC362" s="75"/>
      <c r="AD362" s="72"/>
      <c r="AE362" s="75"/>
      <c r="AF362" s="72"/>
      <c r="AG362" s="75"/>
      <c r="AH362" s="72"/>
      <c r="AI362" s="75"/>
      <c r="AJ362" s="72"/>
      <c r="AK362" s="75"/>
      <c r="AL362" s="72"/>
      <c r="AM362" s="75"/>
      <c r="AN362" s="72"/>
      <c r="AO362" s="75"/>
      <c r="AP362" s="72"/>
      <c r="AQ362" s="75"/>
      <c r="AR362" s="72"/>
      <c r="AS362" s="75"/>
      <c r="AT362" s="72"/>
      <c r="AU362" s="75"/>
      <c r="AV362" s="72"/>
      <c r="AW362" s="75"/>
      <c r="AX362" s="72"/>
      <c r="AY362" s="75"/>
      <c r="AZ362" s="72"/>
      <c r="BA362" s="75"/>
      <c r="BB362" s="72"/>
      <c r="BC362" s="75"/>
      <c r="BD362" s="72"/>
      <c r="BE362" s="75"/>
      <c r="BF362" s="72"/>
      <c r="BG362" s="75"/>
      <c r="BH362" s="72"/>
      <c r="BI362" s="75"/>
      <c r="BJ362" s="72"/>
      <c r="BK362" s="75"/>
      <c r="BL362" s="72"/>
      <c r="BM362" s="75"/>
      <c r="BN362" s="72"/>
      <c r="BO362" s="75"/>
      <c r="BP362" s="72"/>
      <c r="BQ362" s="75"/>
      <c r="BR362" s="72"/>
      <c r="BS362" s="75"/>
      <c r="BT362" s="72"/>
      <c r="BU362" s="75"/>
      <c r="BV362" s="72"/>
      <c r="BW362" s="75"/>
      <c r="BX362" s="72"/>
      <c r="BY362" s="75"/>
      <c r="BZ362" s="72"/>
      <c r="CA362" s="75"/>
      <c r="CB362" s="72"/>
      <c r="CC362" s="75"/>
      <c r="CD362" s="72"/>
      <c r="CE362" s="75"/>
      <c r="CF362" s="72"/>
      <c r="CG362" s="75"/>
      <c r="CH362" s="72"/>
      <c r="CI362" s="75"/>
      <c r="CJ362" s="72"/>
      <c r="CK362" s="75"/>
      <c r="CL362" s="72"/>
      <c r="CM362" s="75"/>
      <c r="CN362" s="72"/>
      <c r="CO362" s="75"/>
      <c r="CP362" s="72"/>
      <c r="CQ362" s="75"/>
      <c r="CR362" s="72"/>
      <c r="CS362" s="75"/>
      <c r="CT362" s="72"/>
      <c r="CU362" s="75"/>
      <c r="CV362" s="72"/>
      <c r="CW362" s="75"/>
      <c r="CX362" s="72"/>
      <c r="CY362" s="75"/>
      <c r="CZ362" s="72"/>
      <c r="DA362" s="75"/>
      <c r="DB362" s="72"/>
      <c r="DC362" s="75"/>
      <c r="DD362" s="72"/>
      <c r="DE362" s="75"/>
      <c r="DF362" s="72"/>
      <c r="DG362" s="75"/>
      <c r="DH362" s="72"/>
      <c r="DI362" s="75"/>
      <c r="DJ362" s="72"/>
      <c r="DK362" s="75"/>
      <c r="DL362" s="72"/>
      <c r="DM362" s="75"/>
      <c r="DN362" s="72"/>
      <c r="DO362" s="75"/>
      <c r="DP362" s="72"/>
      <c r="DQ362" s="75"/>
      <c r="DR362" s="72"/>
      <c r="DS362" s="75"/>
      <c r="DT362" s="72"/>
      <c r="DU362" s="75"/>
      <c r="DV362" s="72"/>
      <c r="DW362" s="81"/>
      <c r="DX362" s="72"/>
      <c r="DY362" s="81"/>
      <c r="DZ362" s="72"/>
      <c r="EA362" s="81"/>
      <c r="EB362" s="72"/>
      <c r="EC362" s="81"/>
      <c r="ED362" s="72"/>
      <c r="EE362" s="81"/>
      <c r="EF362" s="72"/>
      <c r="EG362" s="81"/>
      <c r="EH362" s="72"/>
      <c r="EI362" s="81"/>
      <c r="EJ362" s="72"/>
      <c r="EK362" s="81"/>
      <c r="EL362" s="72"/>
      <c r="EM362" s="81"/>
      <c r="EN362" s="72"/>
      <c r="EO362" s="81"/>
      <c r="EP362" s="72"/>
      <c r="EQ362" s="81"/>
      <c r="ER362" s="72"/>
      <c r="ES362" s="81"/>
      <c r="ET362" s="72"/>
      <c r="EU362" s="81"/>
      <c r="EV362" s="72"/>
      <c r="EW362" s="81"/>
      <c r="EX362" s="72"/>
      <c r="EY362" s="72"/>
      <c r="EZ362" s="309"/>
      <c r="FA362" s="72"/>
      <c r="FB362" s="81"/>
      <c r="FC362" s="72"/>
      <c r="FD362" s="81"/>
      <c r="FE362" s="72"/>
      <c r="FF362" s="81"/>
      <c r="FG362" s="72"/>
      <c r="FH362" s="81"/>
      <c r="FI362" s="72"/>
      <c r="FJ362" s="81"/>
      <c r="FK362" s="72"/>
      <c r="FL362" s="81"/>
      <c r="FM362" s="72"/>
      <c r="FN362" s="81"/>
      <c r="FO362" s="72"/>
      <c r="FP362" s="81"/>
      <c r="FQ362" s="72"/>
      <c r="FR362" s="75"/>
      <c r="FS362" s="72"/>
      <c r="FT362" s="75"/>
      <c r="FU362" s="72"/>
      <c r="FV362" s="75"/>
      <c r="FW362" s="72"/>
      <c r="FX362" s="75"/>
      <c r="FY362" s="72"/>
      <c r="FZ362" s="75"/>
      <c r="GA362" s="72"/>
      <c r="GB362" s="75"/>
      <c r="GC362" s="72"/>
      <c r="GD362" s="75"/>
      <c r="GE362" s="72"/>
      <c r="GF362" s="75"/>
      <c r="GG362" s="72"/>
      <c r="GH362" s="81"/>
      <c r="GI362" s="72"/>
      <c r="GJ362" s="81"/>
      <c r="GK362" s="72"/>
      <c r="GL362" s="81"/>
      <c r="GM362" s="72"/>
      <c r="GN362" s="81"/>
      <c r="GO362" s="72"/>
      <c r="GP362" s="81"/>
      <c r="GQ362" s="72"/>
      <c r="GR362" s="81"/>
      <c r="GS362" s="72"/>
      <c r="GT362" s="81"/>
      <c r="GU362" s="72"/>
      <c r="GV362" s="81"/>
      <c r="GW362" s="72"/>
      <c r="GX362" s="81"/>
      <c r="GY362" s="72"/>
      <c r="GZ362" s="72"/>
      <c r="HA362" s="72"/>
      <c r="HB362" s="83"/>
      <c r="HC362"/>
      <c r="HD362"/>
      <c r="HE362"/>
      <c r="HF362"/>
      <c r="HG362"/>
      <c r="HH362"/>
      <c r="HI362" s="2"/>
    </row>
    <row r="363" spans="2:217" s="3" customFormat="1" ht="12.75" customHeight="1" x14ac:dyDescent="0.2">
      <c r="B363" s="70" t="s">
        <v>489</v>
      </c>
      <c r="C363" s="71"/>
      <c r="D363" s="72"/>
      <c r="E363" s="71"/>
      <c r="F363" s="72"/>
      <c r="G363" s="71"/>
      <c r="H363" s="72"/>
      <c r="I363" s="71"/>
      <c r="J363" s="72"/>
      <c r="K363" s="71"/>
      <c r="L363" s="72"/>
      <c r="M363" s="71"/>
      <c r="N363" s="72"/>
      <c r="O363" s="71"/>
      <c r="P363" s="72"/>
      <c r="Q363" s="71"/>
      <c r="R363" s="72"/>
      <c r="S363" s="71"/>
      <c r="T363" s="72"/>
      <c r="U363" s="71"/>
      <c r="V363" s="72"/>
      <c r="W363" s="71"/>
      <c r="X363" s="72"/>
      <c r="Y363" s="71"/>
      <c r="Z363" s="72"/>
      <c r="AA363" s="71"/>
      <c r="AB363" s="72"/>
      <c r="AC363" s="71"/>
      <c r="AD363" s="72"/>
      <c r="AE363" s="71"/>
      <c r="AF363" s="72"/>
      <c r="AG363" s="71"/>
      <c r="AH363" s="72"/>
      <c r="AI363" s="71"/>
      <c r="AJ363" s="72"/>
      <c r="AK363" s="71"/>
      <c r="AL363" s="72"/>
      <c r="AM363" s="71"/>
      <c r="AN363" s="72"/>
      <c r="AO363" s="71"/>
      <c r="AP363" s="72"/>
      <c r="AQ363" s="71"/>
      <c r="AR363" s="72"/>
      <c r="AS363" s="71"/>
      <c r="AT363" s="72"/>
      <c r="AU363" s="71"/>
      <c r="AV363" s="72"/>
      <c r="AW363" s="71"/>
      <c r="AX363" s="72"/>
      <c r="AY363" s="71"/>
      <c r="AZ363" s="72"/>
      <c r="BA363" s="71"/>
      <c r="BB363" s="72"/>
      <c r="BC363" s="71"/>
      <c r="BD363" s="72"/>
      <c r="BE363" s="71"/>
      <c r="BF363" s="72"/>
      <c r="BG363" s="71"/>
      <c r="BH363" s="72"/>
      <c r="BI363" s="71"/>
      <c r="BJ363" s="72"/>
      <c r="BK363" s="71"/>
      <c r="BL363" s="72"/>
      <c r="BM363" s="71"/>
      <c r="BN363" s="72"/>
      <c r="BO363" s="71"/>
      <c r="BP363" s="72"/>
      <c r="BQ363" s="71"/>
      <c r="BR363" s="72"/>
      <c r="BS363" s="71"/>
      <c r="BT363" s="72"/>
      <c r="BU363" s="71"/>
      <c r="BV363" s="72"/>
      <c r="BW363" s="71"/>
      <c r="BX363" s="72"/>
      <c r="BY363" s="71"/>
      <c r="BZ363" s="72"/>
      <c r="CA363" s="71"/>
      <c r="CB363" s="72"/>
      <c r="CC363" s="71"/>
      <c r="CD363" s="72"/>
      <c r="CE363" s="71"/>
      <c r="CF363" s="72"/>
      <c r="CG363" s="71"/>
      <c r="CH363" s="72"/>
      <c r="CI363" s="71"/>
      <c r="CJ363" s="72"/>
      <c r="CK363" s="71"/>
      <c r="CL363" s="72"/>
      <c r="CM363" s="71"/>
      <c r="CN363" s="72"/>
      <c r="CO363" s="71"/>
      <c r="CP363" s="72"/>
      <c r="CQ363" s="71"/>
      <c r="CR363" s="72"/>
      <c r="CS363" s="71"/>
      <c r="CT363" s="72"/>
      <c r="CU363" s="71"/>
      <c r="CV363" s="72"/>
      <c r="CW363" s="71"/>
      <c r="CX363" s="72"/>
      <c r="CY363" s="71"/>
      <c r="CZ363" s="72"/>
      <c r="DA363" s="71"/>
      <c r="DB363" s="72"/>
      <c r="DC363" s="71"/>
      <c r="DD363" s="72"/>
      <c r="DE363" s="71"/>
      <c r="DF363" s="72"/>
      <c r="DG363" s="71"/>
      <c r="DH363" s="72"/>
      <c r="DI363" s="71"/>
      <c r="DJ363" s="72"/>
      <c r="DK363" s="71"/>
      <c r="DL363" s="72"/>
      <c r="DM363" s="71"/>
      <c r="DN363" s="72"/>
      <c r="DO363" s="71"/>
      <c r="DP363" s="72"/>
      <c r="DQ363" s="71"/>
      <c r="DR363" s="72"/>
      <c r="DS363" s="71"/>
      <c r="DT363" s="72"/>
      <c r="DU363" s="71"/>
      <c r="DV363" s="72"/>
      <c r="DW363" s="73"/>
      <c r="DX363" s="72"/>
      <c r="DY363" s="73"/>
      <c r="DZ363" s="72"/>
      <c r="EA363" s="73"/>
      <c r="EB363" s="72"/>
      <c r="EC363" s="73"/>
      <c r="ED363" s="72"/>
      <c r="EE363" s="73"/>
      <c r="EF363" s="72"/>
      <c r="EG363" s="73"/>
      <c r="EH363" s="72"/>
      <c r="EI363" s="73"/>
      <c r="EJ363" s="72"/>
      <c r="EK363" s="73"/>
      <c r="EL363" s="72"/>
      <c r="EM363" s="73"/>
      <c r="EN363" s="72"/>
      <c r="EO363" s="73"/>
      <c r="EP363" s="72"/>
      <c r="EQ363" s="73"/>
      <c r="ER363" s="72"/>
      <c r="ES363" s="73"/>
      <c r="ET363" s="72"/>
      <c r="EU363" s="73"/>
      <c r="EV363" s="72"/>
      <c r="EW363" s="73"/>
      <c r="EX363" s="72"/>
      <c r="EY363" s="72"/>
      <c r="EZ363" s="306"/>
      <c r="FA363" s="72"/>
      <c r="FB363" s="71"/>
      <c r="FC363" s="72"/>
      <c r="FD363" s="71"/>
      <c r="FE363" s="72"/>
      <c r="FF363" s="71"/>
      <c r="FG363" s="72"/>
      <c r="FH363" s="71"/>
      <c r="FI363" s="72"/>
      <c r="FJ363" s="71"/>
      <c r="FK363" s="72"/>
      <c r="FL363" s="71"/>
      <c r="FM363" s="72"/>
      <c r="FN363" s="71"/>
      <c r="FO363" s="72"/>
      <c r="FP363" s="71"/>
      <c r="FQ363" s="72"/>
      <c r="FR363" s="73"/>
      <c r="FS363" s="72"/>
      <c r="FT363" s="73"/>
      <c r="FU363" s="72"/>
      <c r="FV363" s="73"/>
      <c r="FW363" s="72"/>
      <c r="FX363" s="73"/>
      <c r="FY363" s="72"/>
      <c r="FZ363" s="73"/>
      <c r="GA363" s="72"/>
      <c r="GB363" s="73"/>
      <c r="GC363" s="72"/>
      <c r="GD363" s="73"/>
      <c r="GE363" s="72"/>
      <c r="GF363" s="73"/>
      <c r="GG363" s="72"/>
      <c r="GH363" s="73"/>
      <c r="GI363" s="72"/>
      <c r="GJ363" s="73"/>
      <c r="GK363" s="72"/>
      <c r="GL363" s="73"/>
      <c r="GM363" s="72"/>
      <c r="GN363" s="73"/>
      <c r="GO363" s="72"/>
      <c r="GP363" s="73"/>
      <c r="GQ363" s="72"/>
      <c r="GR363" s="73"/>
      <c r="GS363" s="72"/>
      <c r="GT363" s="73"/>
      <c r="GU363" s="72"/>
      <c r="GV363" s="73"/>
      <c r="GW363" s="72"/>
      <c r="GX363" s="73"/>
      <c r="GY363" s="72"/>
      <c r="GZ363" s="72"/>
      <c r="HA363" s="72"/>
      <c r="HB363" s="83"/>
      <c r="HC363"/>
      <c r="HD363"/>
      <c r="HE363"/>
      <c r="HF363"/>
      <c r="HG363"/>
      <c r="HH363"/>
      <c r="HI363" s="2"/>
    </row>
    <row r="364" spans="2:217" s="3" customFormat="1" ht="12.75" customHeight="1" x14ac:dyDescent="0.2">
      <c r="B364" s="77" t="s">
        <v>334</v>
      </c>
      <c r="C364" s="74">
        <f>FF364-I364-G364-E364</f>
        <v>407</v>
      </c>
      <c r="D364" s="72"/>
      <c r="E364" s="74">
        <v>405</v>
      </c>
      <c r="F364" s="72"/>
      <c r="G364" s="74">
        <v>423</v>
      </c>
      <c r="H364" s="72"/>
      <c r="I364" s="74">
        <v>445</v>
      </c>
      <c r="J364" s="72"/>
      <c r="K364" s="74">
        <v>454</v>
      </c>
      <c r="L364" s="72">
        <f t="shared" ref="L364:L370" si="1903">IF(ISERROR(K364/C364),"NA",IF(OR(K364/C364&gt;2,K364/C364&lt;0.5),"NM",K364/C364*100-100))</f>
        <v>11.547911547911553</v>
      </c>
      <c r="M364" s="74">
        <v>439</v>
      </c>
      <c r="N364" s="72">
        <f t="shared" ref="N364:N370" si="1904">IF(ISERROR(M364/E364),"NA",IF(OR(M364/E364&gt;2,M364/E364&lt;0.5),"NM",M364/E364*100-100))</f>
        <v>8.3950617283950635</v>
      </c>
      <c r="O364" s="74">
        <v>458</v>
      </c>
      <c r="P364" s="72">
        <f t="shared" ref="P364:P370" si="1905">IF(ISERROR(O364/G364),"NA",IF(OR(O364/G364&gt;2,O364/G364&lt;0.5),"NM",O364/G364*100-100))</f>
        <v>8.2742316784869985</v>
      </c>
      <c r="Q364" s="74">
        <v>481</v>
      </c>
      <c r="R364" s="72">
        <f>IF(ISERROR(Q364/I364),"NA",IF(OR(Q364/I364&gt;2,Q364/I364&lt;0.5),"NM",Q364/I364*100-100))</f>
        <v>8.0898876404494473</v>
      </c>
      <c r="S364" s="74">
        <v>486</v>
      </c>
      <c r="T364" s="72">
        <f>IF(ISERROR(S364/K364),"NA",IF(OR(S364/K364&gt;2,S364/K364&lt;0.5),"NM",S364/K364*100-100))</f>
        <v>7.0484581497797478</v>
      </c>
      <c r="U364" s="74">
        <v>495</v>
      </c>
      <c r="V364" s="72">
        <f>IF(ISERROR(U364/M364),"NA",IF(OR(U364/M364&gt;2,U364/M364&lt;0.5),"NM",U364/M364*100-100))</f>
        <v>12.756264236902055</v>
      </c>
      <c r="W364" s="74">
        <v>551</v>
      </c>
      <c r="X364" s="72">
        <f>IF(ISERROR(W364/O364),"NA",IF(OR(W364/O364&gt;2,W364/O364&lt;0.5),"NM",W364/O364*100-100))</f>
        <v>20.3056768558952</v>
      </c>
      <c r="Y364" s="74">
        <v>551</v>
      </c>
      <c r="Z364" s="72">
        <f>IF(ISERROR(Y364/Q364),"NA",IF(OR(Y364/Q364&gt;2,Y364/Q364&lt;0.5),"NM",Y364/Q364*100-100))</f>
        <v>14.553014553014549</v>
      </c>
      <c r="AA364" s="74">
        <v>626</v>
      </c>
      <c r="AB364" s="72">
        <f>IF(ISERROR(AA364/S364),"NA",IF(OR(AA364/S364&gt;2,AA364/S364&lt;0.5),"NM",AA364/S364*100-100))</f>
        <v>28.806584362139915</v>
      </c>
      <c r="AC364" s="74">
        <v>603</v>
      </c>
      <c r="AD364" s="72">
        <f>IF(ISERROR(AC364/U364),"NA",IF(OR(AC364/U364&gt;2,AC364/U364&lt;0.5),"NM",AC364/U364*100-100))</f>
        <v>21.818181818181827</v>
      </c>
      <c r="AE364" s="74">
        <v>663</v>
      </c>
      <c r="AF364" s="72">
        <f>IF(ISERROR(AE364/W364),"NA",IF(OR(AE364/W364&gt;2,AE364/W364&lt;0.5),"NM",AE364/W364*100-100))</f>
        <v>20.326678765880217</v>
      </c>
      <c r="AG364" s="74">
        <v>689</v>
      </c>
      <c r="AH364" s="72">
        <f>IF(ISERROR(AG364/Y364),"NA",IF(OR(AG364/Y364&gt;2,AG364/Y364&lt;0.5),"NM",AG364/Y364*100-100))</f>
        <v>25.045372050816695</v>
      </c>
      <c r="AI364" s="74">
        <v>736</v>
      </c>
      <c r="AJ364" s="72">
        <f>IF(ISERROR(AI364/AA364),"NA",IF(OR(AI364/AA364&gt;2,AI364/AA364&lt;0.5),"NM",AI364/AA364*100-100))</f>
        <v>17.571884984025559</v>
      </c>
      <c r="AK364" s="74">
        <v>681</v>
      </c>
      <c r="AL364" s="72">
        <f>IF(ISERROR(AK364/AC364),"NA",IF(OR(AK364/AC364&gt;2,AK364/AC364&lt;0.5),"NM",AK364/AC364*100-100))</f>
        <v>12.93532338308458</v>
      </c>
      <c r="AM364" s="74">
        <v>730</v>
      </c>
      <c r="AN364" s="72">
        <f>IF(ISERROR(AM364/AE364),"NA",IF(OR(AM364/AE364&gt;2,AM364/AE364&lt;0.5),"NM",AM364/AE364*100-100))</f>
        <v>10.105580693815995</v>
      </c>
      <c r="AO364" s="74">
        <v>801</v>
      </c>
      <c r="AP364" s="72">
        <f>IF(ISERROR(AO364/AG364),"NA",IF(OR(AO364/AG364&gt;2,AO364/AG364&lt;0.5),"NM",AO364/AG364*100-100))</f>
        <v>16.255442670537008</v>
      </c>
      <c r="AQ364" s="74">
        <v>964</v>
      </c>
      <c r="AR364" s="72">
        <f t="shared" ref="AR364:AR370" si="1906">IF(ISERROR(AQ364/AI364),"NA",IF(OR(AQ364/AI364&gt;2,AQ364/AI364&lt;0.5),"NM",AQ364/AI364*100-100))</f>
        <v>30.978260869565219</v>
      </c>
      <c r="AS364" s="74">
        <v>911</v>
      </c>
      <c r="AT364" s="72">
        <f t="shared" ref="AT364:AT370" si="1907">IF(ISERROR(AS364/AK364),"NA",IF(OR(AS364/AK364&gt;2,AS364/AK364&lt;0.5),"NM",AS364/AK364*100-100))</f>
        <v>33.773861967694558</v>
      </c>
      <c r="AU364" s="74">
        <v>894</v>
      </c>
      <c r="AV364" s="72">
        <f t="shared" ref="AV364:AV370" si="1908">IF(ISERROR(AU364/AM364),"NA",IF(OR(AU364/AM364&gt;2,AU364/AM364&lt;0.5),"NM",AU364/AM364*100-100))</f>
        <v>22.465753424657535</v>
      </c>
      <c r="AW364" s="74">
        <v>890</v>
      </c>
      <c r="AX364" s="72">
        <f t="shared" ref="AX364:AX370" si="1909">IF(ISERROR(AW364/AO364),"NA",IF(OR(AW364/AO364&gt;2,AW364/AO364&lt;0.5),"NM",AW364/AO364*100-100))</f>
        <v>11.111111111111114</v>
      </c>
      <c r="AY364" s="74">
        <v>989</v>
      </c>
      <c r="AZ364" s="72">
        <f t="shared" ref="AZ364:AZ370" si="1910">IF(ISERROR(AY364/AQ364),"NA",IF(OR(AY364/AQ364&gt;2,AY364/AQ364&lt;0.5),"NM",AY364/AQ364*100-100))</f>
        <v>2.5933609958506167</v>
      </c>
      <c r="BA364" s="74">
        <v>977</v>
      </c>
      <c r="BB364" s="72">
        <f t="shared" ref="BB364:BB370" si="1911">IF(ISERROR(BA364/AS364),"NA",IF(OR(BA364/AS364&gt;2,BA364/AS364&lt;0.5),"NM",BA364/AS364*100-100))</f>
        <v>7.2447859495060385</v>
      </c>
      <c r="BC364" s="74">
        <v>963</v>
      </c>
      <c r="BD364" s="72">
        <f t="shared" ref="BD364:BD370" si="1912">IF(ISERROR(BC364/AU364),"NA",IF(OR(BC364/AU364&gt;2,BC364/AU364&lt;0.5),"NM",BC364/AU364*100-100))</f>
        <v>7.7181208053691392</v>
      </c>
      <c r="BE364" s="74">
        <v>988</v>
      </c>
      <c r="BF364" s="72">
        <f t="shared" ref="BF364:BF370" si="1913">IF(ISERROR(BE364/AW364),"NA",IF(OR(BE364/AW364&gt;2,BE364/AW364&lt;0.5),"NM",BE364/AW364*100-100))</f>
        <v>11.011235955056179</v>
      </c>
      <c r="BG364" s="74">
        <v>1086</v>
      </c>
      <c r="BH364" s="72">
        <f t="shared" ref="BH364:BH370" si="1914">IF(ISERROR(BG364/AY364),"NA",IF(OR(BG364/AY364&gt;2,BG364/AY364&lt;0.5),"NM",BG364/AY364*100-100))</f>
        <v>9.8078867542972716</v>
      </c>
      <c r="BI364" s="74">
        <v>1024</v>
      </c>
      <c r="BJ364" s="72">
        <f>IF(ISERROR(BI364/BA364),"NA",IF(OR(BI364/BA364&gt;2,BI364/BA364&lt;0.5),"NM",BI364/BA364*100-100))</f>
        <v>4.8106448311156669</v>
      </c>
      <c r="BK364" s="74">
        <v>1060</v>
      </c>
      <c r="BL364" s="72">
        <f>IF(ISERROR(BK364/BC364),"NA",IF(OR(BK364/BC364&gt;2,BK364/BC364&lt;0.5),"NM",BK364/BC364*100-100))</f>
        <v>10.072689511941846</v>
      </c>
      <c r="BM364" s="74">
        <v>1106</v>
      </c>
      <c r="BN364" s="72">
        <f t="shared" ref="BN364:BN370" si="1915">IF(ISERROR(BM364/BE364),"NA",IF(OR(BM364/BE364&gt;2,BM364/BE364&lt;0.5),"NM",BM364/BE364*100-100))</f>
        <v>11.943319838056681</v>
      </c>
      <c r="BO364" s="74">
        <v>1262</v>
      </c>
      <c r="BP364" s="72">
        <f>IF(ISERROR(BO364/BG364),"NA",IF(OR(BO364/BG364&gt;2,BO364/BG364&lt;0.5),"NM",BO364/BG364*100-100))</f>
        <v>16.206261510128911</v>
      </c>
      <c r="BQ364" s="74">
        <v>1161</v>
      </c>
      <c r="BR364" s="72">
        <f>IF(ISERROR(BQ364/BI364),"NA",IF(OR(BQ364/BI364&gt;2,BQ364/BI364&lt;0.5),"NM",BQ364/BI364*100-100))</f>
        <v>13.37890625</v>
      </c>
      <c r="BS364" s="74">
        <v>1129</v>
      </c>
      <c r="BT364" s="72">
        <f>IF(ISERROR(BS364/BK364),"NA",IF(OR(BS364/BK364&gt;2,BS364/BK364&lt;0.5),"NM",BS364/BK364*100-100))</f>
        <v>6.5094339622641542</v>
      </c>
      <c r="BU364" s="74">
        <v>1158</v>
      </c>
      <c r="BV364" s="72">
        <f>IF(ISERROR(BU364/BM364),"NA",IF(OR(BU364/BM364&gt;2,BU364/BM364&lt;0.5),"NM",BU364/BM364*100-100))</f>
        <v>4.7016274864376157</v>
      </c>
      <c r="BW364" s="74">
        <v>1285</v>
      </c>
      <c r="BX364" s="72">
        <f>IF(ISERROR(BW364/BO364),"NA",IF(OR(BW364/BO364&gt;2,BW364/BO364&lt;0.5),"NM",BW364/BO364*100-100))</f>
        <v>1.8225039619651255</v>
      </c>
      <c r="BY364" s="74">
        <v>1199</v>
      </c>
      <c r="BZ364" s="72">
        <f>IF(ISERROR(BY364/BQ364),"NA",IF(OR(BY364/BQ364&gt;2,BY364/BQ364&lt;0.5),"NM",BY364/BQ364*100-100))</f>
        <v>3.2730404823428074</v>
      </c>
      <c r="CA364" s="74">
        <v>1232</v>
      </c>
      <c r="CB364" s="72">
        <f>IF(ISERROR(CA364/BS364),"NA",IF(OR(CA364/BS364&gt;2,CA364/BS364&lt;0.5),"NM",CA364/BS364*100-100))</f>
        <v>9.1231178033658153</v>
      </c>
      <c r="CC364" s="74">
        <v>1302</v>
      </c>
      <c r="CD364" s="72">
        <f>IF(ISERROR(CC364/BU364),"NA",IF(OR(CC364/BU364&gt;2,CC364/BU364&lt;0.5),"NM",CC364/BU364*100-100))</f>
        <v>12.435233160621763</v>
      </c>
      <c r="CE364" s="74">
        <v>1443</v>
      </c>
      <c r="CF364" s="72">
        <f>IF(ISERROR(CE364/BW364),"NA",IF(OR(CE364/BW364&gt;2,CE364/BW364&lt;0.5),"NM",CE364/BW364*100-100))</f>
        <v>12.295719844357976</v>
      </c>
      <c r="CG364" s="74">
        <v>1311</v>
      </c>
      <c r="CH364" s="72">
        <f>IF(ISERROR(CG364/BY364),"NA",IF(OR(CG364/BY364&gt;2,CG364/BY364&lt;0.5),"NM",CG364/BY364*100-100))</f>
        <v>9.3411175979983341</v>
      </c>
      <c r="CI364" s="74">
        <v>1407</v>
      </c>
      <c r="CJ364" s="72">
        <f>IF(ISERROR(CI364/CA364),"NA",IF(OR(CI364/CA364&gt;2,CI364/CA364&lt;0.5),"NM",CI364/CA364*100-100))</f>
        <v>14.204545454545453</v>
      </c>
      <c r="CK364" s="74">
        <v>1487</v>
      </c>
      <c r="CL364" s="72">
        <f>IF(ISERROR(CK364/CC364),"NA",IF(OR(CK364/CC364&gt;2,CK364/CC364&lt;0.5),"NM",CK364/CC364*100-100))</f>
        <v>14.208909370199692</v>
      </c>
      <c r="CM364" s="74">
        <v>1655</v>
      </c>
      <c r="CN364" s="72">
        <f>IF(ISERROR(CM364/CE364),"NA",IF(OR(CM364/CE364&gt;2,CM364/CE364&lt;0.5),"NM",CM364/CE364*100-100))</f>
        <v>14.691614691614689</v>
      </c>
      <c r="CO364" s="74">
        <v>1512</v>
      </c>
      <c r="CP364" s="72">
        <f>IF(ISERROR(CO364/CG364),"NA",IF(OR(CO364/CG364&gt;2,CO364/CG364&lt;0.5),"NM",CO364/CG364*100-100))</f>
        <v>15.331807780320375</v>
      </c>
      <c r="CQ364" s="74">
        <v>1612</v>
      </c>
      <c r="CR364" s="72">
        <f>IF(ISERROR(CQ364/CI364),"NA",IF(OR(CQ364/CI364&gt;2,CQ364/CI364&lt;0.5),"NM",CQ364/CI364*100-100))</f>
        <v>14.570007107320549</v>
      </c>
      <c r="CS364" s="74">
        <v>1632</v>
      </c>
      <c r="CT364" s="72">
        <f>IF(ISERROR(CS364/CK364),"NA",IF(OR(CS364/CK364&gt;2,CS364/CK364&lt;0.5),"NM",CS364/CK364*100-100))</f>
        <v>9.751176866173509</v>
      </c>
      <c r="CU364" s="74">
        <v>1826</v>
      </c>
      <c r="CV364" s="72">
        <f>IF(ISERROR(CU364/CM364),"NA",IF(OR(CU364/CM364&gt;2,CU364/CM364&lt;0.5),"NM",CU364/CM364*100-100))</f>
        <v>10.332326283987925</v>
      </c>
      <c r="CW364" s="74">
        <v>1690</v>
      </c>
      <c r="CX364" s="72">
        <f>IF(ISERROR(CW364/CO364),"NA",IF(OR(CW364/CO364&gt;2,CW364/CO364&lt;0.5),"NM",CW364/CO364*100-100))</f>
        <v>11.772486772486772</v>
      </c>
      <c r="CY364" s="74">
        <v>1727</v>
      </c>
      <c r="CZ364" s="72">
        <f>IF(ISERROR(CY364/CQ364),"NA",IF(OR(CY364/CQ364&gt;2,CY364/CQ364&lt;0.5),"NM",CY364/CQ364*100-100))</f>
        <v>7.1339950372208563</v>
      </c>
      <c r="DA364" s="74">
        <v>1728</v>
      </c>
      <c r="DB364" s="72">
        <f>IF(ISERROR(DA364/CS364),"NA",IF(OR(DA364/CS364&gt;2,DA364/CS364&lt;0.5),"NM",DA364/CS364*100-100))</f>
        <v>5.8823529411764781</v>
      </c>
      <c r="DC364" s="74">
        <v>1890</v>
      </c>
      <c r="DD364" s="72">
        <f t="shared" ref="DD364:DD370" si="1916">IF(ISERROR(DC364/CU364),"NA",IF(OR(DC364/CU364&gt;2,DC364/CU364&lt;0.5),"NM",DC364/CU364*100-100))</f>
        <v>3.5049288061336199</v>
      </c>
      <c r="DE364" s="74">
        <v>1623</v>
      </c>
      <c r="DF364" s="72">
        <f t="shared" ref="DF364:DF370" si="1917">IF(ISERROR(DE364/CW364),"NA",IF(OR(DE364/CW364&gt;2,DE364/CW364&lt;0.5),"NM",DE364/CW364*100-100))</f>
        <v>-3.9644970414201168</v>
      </c>
      <c r="DG364" s="74">
        <v>1606</v>
      </c>
      <c r="DH364" s="72">
        <f t="shared" ref="DH364:DH370" si="1918">IF(ISERROR(DG364/CY364),"NA",IF(OR(DG364/CY364&gt;2,DG364/CY364&lt;0.5),"NM",DG364/CY364*100-100))</f>
        <v>-7.0063694267515899</v>
      </c>
      <c r="DI364" s="74">
        <v>1651</v>
      </c>
      <c r="DJ364" s="72">
        <f>IF(ISERROR(DI364/DA364),"NA",IF(OR(DI364/DA364&gt;2,DI364/DA364&lt;0.5),"NM",DI364/DA364*100-100))</f>
        <v>-4.456018518518519</v>
      </c>
      <c r="DK364" s="74">
        <v>1884</v>
      </c>
      <c r="DL364" s="72">
        <f>IF(ISERROR(DK364/DC364),"NA",IF(OR(DK364/DC364&gt;2,DK364/DC364&lt;0.5),"NM",DK364/DC364*100-100))</f>
        <v>-0.31746031746031633</v>
      </c>
      <c r="DM364" s="74">
        <v>1686</v>
      </c>
      <c r="DN364" s="72">
        <f t="shared" ref="DN364:DZ370" si="1919">IF(ISERROR(DM364/DE364),"NA",IF(OR(DM364/DE364&gt;2,DM364/DE364&lt;0.5),"NM",DM364/DE364*100-100))</f>
        <v>3.8817005545286491</v>
      </c>
      <c r="DO364" s="74">
        <v>1693</v>
      </c>
      <c r="DP364" s="72">
        <f t="shared" si="1919"/>
        <v>5.4171855541718514</v>
      </c>
      <c r="DQ364" s="74">
        <v>1620</v>
      </c>
      <c r="DR364" s="72">
        <f t="shared" si="1919"/>
        <v>-1.8776499091459726</v>
      </c>
      <c r="DS364" s="74">
        <v>1830</v>
      </c>
      <c r="DT364" s="72">
        <f t="shared" si="1919"/>
        <v>-2.866242038216555</v>
      </c>
      <c r="DU364" s="74">
        <v>1627</v>
      </c>
      <c r="DV364" s="72">
        <f t="shared" si="1919"/>
        <v>-3.4994068801898095</v>
      </c>
      <c r="DW364" s="74">
        <v>1643</v>
      </c>
      <c r="DX364" s="72">
        <f t="shared" si="1919"/>
        <v>-2.9533372711163679</v>
      </c>
      <c r="DY364" s="74">
        <v>1628</v>
      </c>
      <c r="DZ364" s="72">
        <f t="shared" si="1919"/>
        <v>0.49382716049382225</v>
      </c>
      <c r="EA364" s="74">
        <v>1940</v>
      </c>
      <c r="EB364" s="72">
        <f t="shared" ref="EB364:EB370" si="1920">IF(ISERROR(EA364/DS364),"NA",IF(OR(EA364/DS364&gt;2,EA364/DS364&lt;0.5),"NM",EA364/DS364*100-100))</f>
        <v>6.0109289617486468</v>
      </c>
      <c r="EC364" s="74">
        <v>1818</v>
      </c>
      <c r="ED364" s="72">
        <f t="shared" ref="ED364:ED370" si="1921">IF(ISERROR(EC364/DU364),"NA",IF(OR(EC364/DU364&gt;2,EC364/DU364&lt;0.5),"NM",EC364/DU364*100-100))</f>
        <v>11.739397664413033</v>
      </c>
      <c r="EE364" s="74">
        <v>1882</v>
      </c>
      <c r="EF364" s="72">
        <f t="shared" ref="EF364:EF370" si="1922">IF(ISERROR(EE364/DW364),"NA",IF(OR(EE364/DW364&gt;2,EE364/DW364&lt;0.5),"NM",EE364/DW364*100-100))</f>
        <v>14.546561168594025</v>
      </c>
      <c r="EG364" s="74">
        <v>1831</v>
      </c>
      <c r="EH364" s="72">
        <f t="shared" ref="EH364:EH370" si="1923">IF(ISERROR(EG364/DY364),"NA",IF(OR(EG364/DY364&gt;2,EG364/DY364&lt;0.5),"NM",EG364/DY364*100-100))</f>
        <v>12.469287469287465</v>
      </c>
      <c r="EI364" s="74">
        <v>2116</v>
      </c>
      <c r="EJ364" s="72">
        <f t="shared" ref="EJ364:EJ370" si="1924">IF(ISERROR(EI364/EA364),"NA",IF(OR(EI364/EA364&gt;2,EI364/EA364&lt;0.5),"NM",EI364/EA364*100-100))</f>
        <v>9.0721649484536044</v>
      </c>
      <c r="EK364" s="74">
        <v>1933</v>
      </c>
      <c r="EL364" s="72">
        <f t="shared" ref="EL364:EL370" si="1925">IF(ISERROR(EK364/EC364),"NA",IF(OR(EK364/EC364&gt;2,EK364/EC364&lt;0.5),"NM",EK364/EC364*100-100))</f>
        <v>6.3256325632563346</v>
      </c>
      <c r="EM364" s="74">
        <v>1938</v>
      </c>
      <c r="EN364" s="72">
        <f t="shared" ref="EN364:EN370" si="1926">IF(ISERROR(EM364/EE364),"NA",IF(OR(EM364/EE364&gt;2,EM364/EE364&lt;0.5),"NM",EM364/EE364*100-100))</f>
        <v>2.9755579171094553</v>
      </c>
      <c r="EO364" s="74">
        <v>1966</v>
      </c>
      <c r="EP364" s="72">
        <f t="shared" ref="EP364:EP370" si="1927">IF(ISERROR(EO364/EG364),"NA",IF(OR(EO364/EG364&gt;2,EO364/EG364&lt;0.5),"NM",EO364/EG364*100-100))</f>
        <v>7.373020207536868</v>
      </c>
      <c r="EQ364" s="74">
        <f t="shared" ref="EQ364" si="1928">EI364*(1+EQ$361/100)</f>
        <v>2210.1715315315314</v>
      </c>
      <c r="ER364" s="72">
        <f t="shared" ref="ER364:ER370" si="1929">IF(ISERROR(EQ364/EI364),"NA",IF(OR(EQ364/EI364&gt;2,EQ364/EI364&lt;0.5),"NM",EQ364/EI364*100-100))</f>
        <v>4.4504504504504467</v>
      </c>
      <c r="ES364" s="74">
        <f t="shared" ref="ES364" si="1930">EK364*(1+ES$361/100)</f>
        <v>2019.0272072072071</v>
      </c>
      <c r="ET364" s="72">
        <f t="shared" ref="ET364:ET370" si="1931">IF(ISERROR(ES364/EK364),"NA",IF(OR(ES364/EK364&gt;2,ES364/EK364&lt;0.5),"NM",ES364/EK364*100-100))</f>
        <v>4.4504504504504467</v>
      </c>
      <c r="EU364" s="74">
        <f t="shared" ref="EU364" si="1932">EM364*(1+EU$361/100)</f>
        <v>2024.2497297297298</v>
      </c>
      <c r="EV364" s="72">
        <f t="shared" ref="EV364:EV370" si="1933">IF(ISERROR(EU364/EM364),"NA",IF(OR(EU364/EM364&gt;2,EU364/EM364&lt;0.5),"NM",EU364/EM364*100-100))</f>
        <v>4.4504504504504467</v>
      </c>
      <c r="EW364" s="74">
        <f t="shared" ref="EW364" si="1934">EO364*(1+EW$361/100)</f>
        <v>2053.495855855856</v>
      </c>
      <c r="EX364" s="72">
        <f t="shared" ref="EX364:EX370" si="1935">IF(ISERROR(EW364/EO364),"NA",IF(OR(EW364/EO364&gt;2,EW364/EO364&lt;0.5),"NM",EW364/EO364*100-100))</f>
        <v>4.4504504504504467</v>
      </c>
      <c r="EY364" s="72"/>
      <c r="EZ364" s="311"/>
      <c r="FA364" s="72"/>
      <c r="FB364" s="74">
        <v>959</v>
      </c>
      <c r="FC364" s="72"/>
      <c r="FD364" s="74">
        <v>1345</v>
      </c>
      <c r="FE364" s="72">
        <f t="shared" ref="FE364:FE370" si="1936">IF(ISERROR(FD364/FB364),"NA",IF(OR(FD364/FB364&gt;2,FD364/FB364&lt;0.5),"NM",FD364/FB364*100-100))</f>
        <v>40.250260688216883</v>
      </c>
      <c r="FF364" s="74">
        <v>1680</v>
      </c>
      <c r="FG364" s="72">
        <f t="shared" ref="FG364:FG370" si="1937">IF(ISERROR(FF364/FD364),"NA",IF(OR(FF364/FD364&gt;2,FF364/FD364&lt;0.5),"NM",FF364/FD364*100-100))</f>
        <v>24.907063197026019</v>
      </c>
      <c r="FH364" s="75">
        <f>K364+M364+O364+Q364</f>
        <v>1832</v>
      </c>
      <c r="FI364" s="72">
        <f t="shared" ref="FI364:FI370" si="1938">IF(ISERROR(FH364/FF364),"NA",IF(OR(FH364/FF364&gt;2,FH364/FF364&lt;0.5),"NM",FH364/FF364*100-100))</f>
        <v>9.0476190476190368</v>
      </c>
      <c r="FJ364" s="75">
        <f>S364+U364+W364+Y364</f>
        <v>2083</v>
      </c>
      <c r="FK364" s="72">
        <f t="shared" ref="FK364:FK370" si="1939">IF(ISERROR(FJ364/FH364),"NA",IF(OR(FJ364/FH364&gt;2,FJ364/FH364&lt;0.5),"NM",FJ364/FH364*100-100))</f>
        <v>13.700873362445407</v>
      </c>
      <c r="FL364" s="75">
        <f>+AA364+AC364+AE364+AG364</f>
        <v>2581</v>
      </c>
      <c r="FM364" s="72">
        <f t="shared" ref="FM364:FM370" si="1940">IF(ISERROR(FL364/FJ364),"NA",IF(OR(FL364/FJ364&gt;2,FL364/FJ364&lt;0.5),"NM",FL364/FJ364*100-100))</f>
        <v>23.907825252040311</v>
      </c>
      <c r="FN364" s="75">
        <f>+AI364+AK364+AM364+AO364</f>
        <v>2948</v>
      </c>
      <c r="FO364" s="72">
        <f t="shared" ref="FO364:FO370" si="1941">IF(ISERROR(FN364/FL364),"NA",IF(OR(FN364/FL364&gt;2,FN364/FL364&lt;0.5),"NM",FN364/FL364*100-100))</f>
        <v>14.219294846958547</v>
      </c>
      <c r="FP364" s="75">
        <f>AQ364+AS364+AU364+AW364</f>
        <v>3659</v>
      </c>
      <c r="FQ364" s="72">
        <f t="shared" ref="FQ364:FQ370" si="1942">IF(ISERROR(FP364/FN364),"NA",IF(OR(FP364/FN364&gt;2,FP364/FN364&lt;0.5),"NM",FP364/FN364*100-100))</f>
        <v>24.1180461329715</v>
      </c>
      <c r="FR364" s="75">
        <f>AY364+BA364+BC364+BE364</f>
        <v>3917</v>
      </c>
      <c r="FS364" s="72">
        <f t="shared" ref="FS364:FS370" si="1943">IF(ISERROR(FR364/FP364),"NA",IF(OR(FR364/FP364&gt;2,FR364/FP364&lt;0.5),"NM",FR364/FP364*100-100))</f>
        <v>7.0511068597977555</v>
      </c>
      <c r="FT364" s="75">
        <f>BG364+BI364+BK364+BM364</f>
        <v>4276</v>
      </c>
      <c r="FU364" s="72">
        <f t="shared" ref="FU364:FU370" si="1944">IF(ISERROR(FT364/FR364),"NA",IF(OR(FT364/FR364&gt;2,FT364/FR364&lt;0.5),"NM",FT364/FR364*100-100))</f>
        <v>9.1651774317079457</v>
      </c>
      <c r="FV364" s="74">
        <v>4702</v>
      </c>
      <c r="FW364" s="72">
        <f>IF(ISERROR(FV364/FT364),"NA",IF(OR(FV364/FT364&gt;2,FV364/FT364&lt;0.5),"NM",FV364/FT364*100-100))</f>
        <v>9.962581852198312</v>
      </c>
      <c r="FX364" s="74">
        <v>4975</v>
      </c>
      <c r="FY364" s="72">
        <f>IF(ISERROR(FX364/FV364),"NA",IF(OR(FX364/FV364&gt;2,FX364/FV364&lt;0.5),"NM",FX364/FV364*100-100))</f>
        <v>5.8060399829859648</v>
      </c>
      <c r="FZ364" s="75">
        <f t="shared" ref="FZ364:FZ369" si="1945">CE364+CG364+CI364+CK364</f>
        <v>5648</v>
      </c>
      <c r="GA364" s="72">
        <f>IF(ISERROR(FZ364/FX364),"NA",IF(OR(FZ364/FX364&gt;2,FZ364/FX364&lt;0.5),"NM",FZ364/FX364*100-100))</f>
        <v>13.527638190954775</v>
      </c>
      <c r="GB364" s="75">
        <f t="shared" ref="GB364:GB369" si="1946">CM364+CO364+CQ364+CS364</f>
        <v>6411</v>
      </c>
      <c r="GC364" s="72">
        <f>IF(ISERROR(GB364/FZ364),"NA",IF(OR(GB364/FZ364&gt;2,GB364/FZ364&lt;0.5),"NM",GB364/FZ364*100-100))</f>
        <v>13.509206798866842</v>
      </c>
      <c r="GD364" s="75">
        <f>CU364+CW364+CY364+DA364</f>
        <v>6971</v>
      </c>
      <c r="GE364" s="72">
        <f>IF(ISERROR(GD364/GB364),"NA",IF(OR(GD364/GB364&gt;2,GD364/GB364&lt;0.5),"NM",GD364/GB364*100-100))</f>
        <v>8.7349867415379805</v>
      </c>
      <c r="GF364" s="75">
        <f>DC364+DE364+DG364+DI364</f>
        <v>6770</v>
      </c>
      <c r="GG364" s="72">
        <f>IF(ISERROR(GF364/GD364),"NA",IF(OR(GF364/GD364&gt;2,GF364/GD364&lt;0.5),"NM",GF364/GD364*100-100))</f>
        <v>-2.8833739779084766</v>
      </c>
      <c r="GH364" s="75">
        <f>DK364+DM364+DO364+DQ364</f>
        <v>6883</v>
      </c>
      <c r="GI364" s="72">
        <f t="shared" ref="GI364:GU370" si="1947">IF(ISERROR(GH364/GF364),"NA",IF(OR(GH364/GF364&gt;2,GH364/GF364&lt;0.5),"NM",GH364/GF364*100-100))</f>
        <v>1.6691285081240892</v>
      </c>
      <c r="GJ364" s="75">
        <f>DS364+DU364+DW364+DY364</f>
        <v>6728</v>
      </c>
      <c r="GK364" s="72">
        <f t="shared" si="1947"/>
        <v>-2.2519250326892433</v>
      </c>
      <c r="GL364" s="75">
        <f>EA364+EC364+EE364+EG364</f>
        <v>7471</v>
      </c>
      <c r="GM364" s="72">
        <f t="shared" si="1947"/>
        <v>11.043400713436398</v>
      </c>
      <c r="GN364" s="75">
        <f>EI364+EK364+EM364+EO364</f>
        <v>7953</v>
      </c>
      <c r="GO364" s="72">
        <f t="shared" si="1947"/>
        <v>6.4516129032257936</v>
      </c>
      <c r="GP364" s="75">
        <f>EQ364+ES364+EU364+EW364</f>
        <v>8306.944324324324</v>
      </c>
      <c r="GQ364" s="72">
        <f t="shared" si="1947"/>
        <v>4.4504504504504467</v>
      </c>
      <c r="GR364" s="74">
        <f>GP364*(1+GR$361/100)</f>
        <v>8639.2220972972973</v>
      </c>
      <c r="GS364" s="72">
        <f t="shared" si="1947"/>
        <v>4</v>
      </c>
      <c r="GT364" s="74">
        <f>GR364*(1+GT$361/100)</f>
        <v>8984.7909811891896</v>
      </c>
      <c r="GU364" s="72">
        <f t="shared" si="1947"/>
        <v>4</v>
      </c>
      <c r="GV364" s="74">
        <f>GT364*(1+GV$361/100)</f>
        <v>9344.1826204367571</v>
      </c>
      <c r="GW364" s="72">
        <f t="shared" ref="GW364:GW370" si="1948">IF(ISERROR(GV364/GT364),"NA",IF(OR(GV364/GT364&gt;2,GV364/GT364&lt;0.5),"NM",GV364/GT364*100-100))</f>
        <v>4</v>
      </c>
      <c r="GX364" s="74">
        <f>GV364*(1+GX$361/100)</f>
        <v>9717.9499252542282</v>
      </c>
      <c r="GY364" s="72">
        <f t="shared" ref="GY364:GY370" si="1949">IF(ISERROR(GX364/GV364),"NA",IF(OR(GX364/GV364&gt;2,GX364/GV364&lt;0.5),"NM",GX364/GV364*100-100))</f>
        <v>4</v>
      </c>
      <c r="GZ364" s="72">
        <f>IF(ISERROR(((GX364/GN364)^0.2-1)*100),"NA",IF((((GX364/GN364)^0.2-1)*100)&gt;100,"NM",IF((((GX364/GN364)^0.2-1)*100)&lt;-50,"NM",((GX364/GN364)^0.2-1)*100)))</f>
        <v>4.089934413243701</v>
      </c>
      <c r="HA364" s="72"/>
      <c r="HB364" s="72"/>
      <c r="HC364"/>
      <c r="HD364"/>
      <c r="HE364"/>
      <c r="HF364"/>
      <c r="HG364"/>
      <c r="HH364"/>
      <c r="HI364" s="2"/>
    </row>
    <row r="365" spans="2:217" s="135" customFormat="1" ht="12.75" hidden="1" customHeight="1" outlineLevel="1" x14ac:dyDescent="0.2">
      <c r="B365" s="233" t="s">
        <v>361</v>
      </c>
      <c r="C365" s="209"/>
      <c r="D365" s="137"/>
      <c r="E365" s="209"/>
      <c r="F365" s="137"/>
      <c r="G365" s="209"/>
      <c r="H365" s="137"/>
      <c r="I365" s="209"/>
      <c r="J365" s="137"/>
      <c r="K365" s="209"/>
      <c r="L365" s="137"/>
      <c r="M365" s="209"/>
      <c r="N365" s="137"/>
      <c r="O365" s="209"/>
      <c r="P365" s="137"/>
      <c r="Q365" s="209"/>
      <c r="R365" s="137"/>
      <c r="S365" s="209"/>
      <c r="T365" s="137"/>
      <c r="U365" s="209"/>
      <c r="V365" s="137"/>
      <c r="W365" s="209"/>
      <c r="X365" s="137"/>
      <c r="Y365" s="209"/>
      <c r="Z365" s="137"/>
      <c r="AA365" s="209"/>
      <c r="AB365" s="137"/>
      <c r="AC365" s="209"/>
      <c r="AD365" s="137"/>
      <c r="AE365" s="209"/>
      <c r="AF365" s="137"/>
      <c r="AG365" s="209"/>
      <c r="AH365" s="137"/>
      <c r="AI365" s="209"/>
      <c r="AJ365" s="137"/>
      <c r="AK365" s="209"/>
      <c r="AL365" s="137"/>
      <c r="AM365" s="209"/>
      <c r="AN365" s="137"/>
      <c r="AO365" s="209"/>
      <c r="AP365" s="137"/>
      <c r="AQ365" s="209"/>
      <c r="AR365" s="137"/>
      <c r="AS365" s="209"/>
      <c r="AT365" s="137"/>
      <c r="AU365" s="209"/>
      <c r="AV365" s="137"/>
      <c r="AW365" s="209"/>
      <c r="AX365" s="137"/>
      <c r="AY365" s="209"/>
      <c r="AZ365" s="137"/>
      <c r="BA365" s="209"/>
      <c r="BB365" s="137"/>
      <c r="BC365" s="209"/>
      <c r="BD365" s="137"/>
      <c r="BE365" s="209"/>
      <c r="BF365" s="137"/>
      <c r="BG365" s="209"/>
      <c r="BH365" s="137"/>
      <c r="BI365" s="209"/>
      <c r="BJ365" s="137"/>
      <c r="BK365" s="209"/>
      <c r="BL365" s="137"/>
      <c r="BM365" s="209"/>
      <c r="BN365" s="137"/>
      <c r="BO365" s="209"/>
      <c r="BP365" s="137"/>
      <c r="BQ365" s="209"/>
      <c r="BR365" s="137"/>
      <c r="BS365" s="209"/>
      <c r="BT365" s="137"/>
      <c r="BU365" s="209"/>
      <c r="BV365" s="137"/>
      <c r="BW365" s="209"/>
      <c r="BX365" s="137"/>
      <c r="BY365" s="209"/>
      <c r="BZ365" s="137"/>
      <c r="CA365" s="209"/>
      <c r="CB365" s="137"/>
      <c r="CC365" s="209"/>
      <c r="CD365" s="137"/>
      <c r="CE365" s="209"/>
      <c r="CF365" s="137"/>
      <c r="CG365" s="209"/>
      <c r="CH365" s="137"/>
      <c r="CI365" s="209"/>
      <c r="CJ365" s="137"/>
      <c r="CK365" s="209"/>
      <c r="CL365" s="137"/>
      <c r="CM365" s="209"/>
      <c r="CN365" s="137"/>
      <c r="CO365" s="209"/>
      <c r="CP365" s="137"/>
      <c r="CQ365" s="209"/>
      <c r="CR365" s="137"/>
      <c r="CS365" s="209"/>
      <c r="CT365" s="137"/>
      <c r="CU365" s="209"/>
      <c r="CV365" s="137"/>
      <c r="CW365" s="209"/>
      <c r="CX365" s="137"/>
      <c r="CY365" s="209"/>
      <c r="CZ365" s="137"/>
      <c r="DA365" s="209"/>
      <c r="DB365" s="137"/>
      <c r="DC365" s="209"/>
      <c r="DD365" s="72" t="str">
        <f t="shared" si="1916"/>
        <v>NA</v>
      </c>
      <c r="DE365" s="209"/>
      <c r="DF365" s="72" t="str">
        <f t="shared" si="1917"/>
        <v>NA</v>
      </c>
      <c r="DG365" s="209"/>
      <c r="DH365" s="72" t="str">
        <f t="shared" si="1918"/>
        <v>NA</v>
      </c>
      <c r="DI365" s="209"/>
      <c r="DJ365" s="137"/>
      <c r="DK365" s="209"/>
      <c r="DL365" s="137"/>
      <c r="DM365" s="209"/>
      <c r="DN365" s="72" t="str">
        <f t="shared" si="1919"/>
        <v>NA</v>
      </c>
      <c r="DO365" s="209"/>
      <c r="DP365" s="72" t="str">
        <f t="shared" si="1919"/>
        <v>NA</v>
      </c>
      <c r="DQ365" s="209"/>
      <c r="DR365" s="72" t="str">
        <f t="shared" si="1919"/>
        <v>NA</v>
      </c>
      <c r="DS365" s="209"/>
      <c r="DT365" s="72" t="str">
        <f t="shared" si="1919"/>
        <v>NA</v>
      </c>
      <c r="DU365" s="209"/>
      <c r="DV365" s="72" t="str">
        <f t="shared" si="1919"/>
        <v>NA</v>
      </c>
      <c r="DW365" s="209"/>
      <c r="DX365" s="72" t="str">
        <f t="shared" si="1919"/>
        <v>NA</v>
      </c>
      <c r="DY365" s="209"/>
      <c r="DZ365" s="72" t="str">
        <f t="shared" si="1919"/>
        <v>NA</v>
      </c>
      <c r="EA365" s="209"/>
      <c r="EB365" s="72" t="str">
        <f t="shared" si="1920"/>
        <v>NA</v>
      </c>
      <c r="EC365" s="209"/>
      <c r="ED365" s="72" t="str">
        <f t="shared" si="1921"/>
        <v>NA</v>
      </c>
      <c r="EE365" s="209"/>
      <c r="EF365" s="72" t="str">
        <f t="shared" si="1922"/>
        <v>NA</v>
      </c>
      <c r="EG365" s="209">
        <f>IF($B$6=1,EG364,IF($B$6=2,EG364*(1+EG910/100),IF($B$6=3,EG364*(1+EG911/100))))</f>
        <v>1831</v>
      </c>
      <c r="EH365" s="72" t="str">
        <f t="shared" si="1923"/>
        <v>NA</v>
      </c>
      <c r="EI365" s="209">
        <f>IF($B$6=1,EI364,IF($B$6=2,EI364*(1+EI910/100),IF($B$6=3,EI364*(1+EI911/100))))</f>
        <v>2116</v>
      </c>
      <c r="EJ365" s="72" t="str">
        <f t="shared" si="1924"/>
        <v>NA</v>
      </c>
      <c r="EK365" s="209">
        <f>IF($B$6=1,EK364,IF($B$6=2,EK364*(1+EK910/100),IF($B$6=3,EK364*(1+EK911/100))))</f>
        <v>1933</v>
      </c>
      <c r="EL365" s="72" t="str">
        <f t="shared" si="1925"/>
        <v>NA</v>
      </c>
      <c r="EM365" s="209">
        <f>IF($B$6=1,EM364,IF($B$6=2,EM364*(1+EM910/100),IF($B$6=3,EM364*(1+EM911/100))))</f>
        <v>1938</v>
      </c>
      <c r="EN365" s="72" t="str">
        <f t="shared" si="1926"/>
        <v>NA</v>
      </c>
      <c r="EO365" s="209"/>
      <c r="EP365" s="72" t="str">
        <f t="shared" si="1927"/>
        <v>NM</v>
      </c>
      <c r="EQ365" s="209">
        <f>IF($B$6=1,EQ364,IF($B$6=2,EQ364*(1+EQ910/100),IF($B$6=3,EQ364*(1+EQ911/100))))</f>
        <v>2210.1715315315314</v>
      </c>
      <c r="ER365" s="72">
        <f t="shared" si="1929"/>
        <v>4.4504504504504467</v>
      </c>
      <c r="ES365" s="209">
        <f>IF($B$6=1,ES364,IF($B$6=2,ES364*(1+ES910/100),IF($B$6=3,ES364*(1+ES911/100))))</f>
        <v>2019.0272072072071</v>
      </c>
      <c r="ET365" s="72">
        <f t="shared" si="1931"/>
        <v>4.4504504504504467</v>
      </c>
      <c r="EU365" s="209">
        <f>IF($B$6=1,EU364,IF($B$6=2,EU364*(1+EU910/100),IF($B$6=3,EU364*(1+EU911/100))))</f>
        <v>2024.2497297297298</v>
      </c>
      <c r="EV365" s="72">
        <f t="shared" si="1933"/>
        <v>4.4504504504504467</v>
      </c>
      <c r="EW365" s="209">
        <f>IF($B$6=1,EW364,IF($B$6=2,EW364*(1+EW910/100),IF($B$6=3,EW364*(1+EW911/100))))</f>
        <v>2053.495855855856</v>
      </c>
      <c r="EX365" s="72" t="str">
        <f t="shared" si="1935"/>
        <v>NA</v>
      </c>
      <c r="EY365" s="137"/>
      <c r="EZ365" s="313"/>
      <c r="FA365" s="137"/>
      <c r="FB365" s="209"/>
      <c r="FC365" s="137"/>
      <c r="FD365" s="209"/>
      <c r="FE365" s="137"/>
      <c r="FF365" s="209"/>
      <c r="FG365" s="137"/>
      <c r="FH365" s="209"/>
      <c r="FI365" s="137"/>
      <c r="FJ365" s="209"/>
      <c r="FK365" s="137"/>
      <c r="FL365" s="209"/>
      <c r="FM365" s="137"/>
      <c r="FN365" s="209"/>
      <c r="FO365" s="137"/>
      <c r="FP365" s="209"/>
      <c r="FQ365" s="137"/>
      <c r="FR365" s="209"/>
      <c r="FS365" s="137"/>
      <c r="FT365" s="209"/>
      <c r="FU365" s="137"/>
      <c r="FV365" s="209"/>
      <c r="FW365" s="137"/>
      <c r="FX365" s="209"/>
      <c r="FY365" s="137"/>
      <c r="FZ365" s="209"/>
      <c r="GA365" s="137"/>
      <c r="GB365" s="209"/>
      <c r="GC365" s="137"/>
      <c r="GD365" s="209"/>
      <c r="GE365" s="137"/>
      <c r="GF365" s="209"/>
      <c r="GG365" s="137"/>
      <c r="GH365" s="209"/>
      <c r="GI365" s="72" t="str">
        <f t="shared" si="1947"/>
        <v>NA</v>
      </c>
      <c r="GJ365" s="209"/>
      <c r="GK365" s="72" t="str">
        <f t="shared" si="1947"/>
        <v>NA</v>
      </c>
      <c r="GL365" s="209"/>
      <c r="GM365" s="72" t="str">
        <f t="shared" si="1947"/>
        <v>NA</v>
      </c>
      <c r="GN365" s="209"/>
      <c r="GO365" s="72" t="str">
        <f t="shared" si="1947"/>
        <v>NA</v>
      </c>
      <c r="GP365" s="209"/>
      <c r="GQ365" s="72" t="str">
        <f t="shared" si="1947"/>
        <v>NA</v>
      </c>
      <c r="GR365" s="209">
        <f>IF($B$6=1,GR364,IF($B$6=2,GR364*(1+GR910/100),IF($B$6=3,GR364*(1+GR911/100))))</f>
        <v>8639.2220972972973</v>
      </c>
      <c r="GS365" s="72" t="str">
        <f t="shared" si="1947"/>
        <v>NA</v>
      </c>
      <c r="GT365" s="209">
        <f>IF($B$6=1,GT364,IF($B$6=2,GT364*(1+GT910/100),IF($B$6=3,GT364*(1+GT911/100))))</f>
        <v>8984.7909811891896</v>
      </c>
      <c r="GU365" s="72">
        <f t="shared" si="1947"/>
        <v>4</v>
      </c>
      <c r="GV365" s="209">
        <f>IF($B$6=1,GV364,IF($B$6=2,GV364*(1+GV910/100),IF($B$6=3,GV364*(1+GV911/100))))</f>
        <v>9344.1826204367571</v>
      </c>
      <c r="GW365" s="72">
        <f t="shared" si="1948"/>
        <v>4</v>
      </c>
      <c r="GX365" s="209">
        <f>IF($B$6=1,GX364,IF($B$6=2,GX364*(1+GX910/100),IF($B$6=3,GX364*(1+GX911/100))))</f>
        <v>9717.9499252542282</v>
      </c>
      <c r="GY365" s="72">
        <f t="shared" si="1949"/>
        <v>4</v>
      </c>
      <c r="GZ365" s="137"/>
      <c r="HA365" s="137"/>
      <c r="HB365" s="137"/>
      <c r="HC365"/>
      <c r="HD365"/>
      <c r="HE365"/>
      <c r="HF365"/>
      <c r="HG365"/>
      <c r="HH365"/>
      <c r="HI365" s="236"/>
    </row>
    <row r="366" spans="2:217" s="3" customFormat="1" ht="12.75" customHeight="1" collapsed="1" x14ac:dyDescent="0.2">
      <c r="B366" s="77" t="s">
        <v>437</v>
      </c>
      <c r="C366" s="74">
        <f>C367-C364</f>
        <v>24</v>
      </c>
      <c r="D366" s="72"/>
      <c r="E366" s="74">
        <f>E367-E364</f>
        <v>19</v>
      </c>
      <c r="F366" s="72"/>
      <c r="G366" s="74">
        <f>G367-G364</f>
        <v>23</v>
      </c>
      <c r="H366" s="72"/>
      <c r="I366" s="74">
        <f>I367-I364</f>
        <v>26</v>
      </c>
      <c r="J366" s="72"/>
      <c r="K366" s="74">
        <f>K367-K364</f>
        <v>24</v>
      </c>
      <c r="L366" s="72">
        <f t="shared" si="1903"/>
        <v>0</v>
      </c>
      <c r="M366" s="74">
        <f>M367-M364</f>
        <v>22</v>
      </c>
      <c r="N366" s="72">
        <f t="shared" si="1904"/>
        <v>15.789473684210535</v>
      </c>
      <c r="O366" s="74">
        <f>O367-O364</f>
        <v>25</v>
      </c>
      <c r="P366" s="72">
        <f t="shared" si="1905"/>
        <v>8.6956521739130324</v>
      </c>
      <c r="Q366" s="74">
        <f>Q367-Q364</f>
        <v>31</v>
      </c>
      <c r="R366" s="72">
        <f>IF(ISERROR(Q366/I366),"NA",IF(OR(Q366/I366&gt;2,Q366/I366&lt;0.5),"NM",Q366/I366*100-100))</f>
        <v>19.230769230769226</v>
      </c>
      <c r="S366" s="74">
        <f>S367-S364</f>
        <v>29</v>
      </c>
      <c r="T366" s="72">
        <f>IF(ISERROR(S366/K366),"NA",IF(OR(S366/K366&gt;2,S366/K366&lt;0.5),"NM",S366/K366*100-100))</f>
        <v>20.833333333333329</v>
      </c>
      <c r="U366" s="74">
        <f>U367-U364</f>
        <v>21</v>
      </c>
      <c r="V366" s="72">
        <f>IF(ISERROR(U366/M366),"NA",IF(OR(U366/M366&gt;2,U366/M366&lt;0.5),"NM",U366/M366*100-100))</f>
        <v>-4.5454545454545467</v>
      </c>
      <c r="W366" s="74">
        <f>W367-W364</f>
        <v>28</v>
      </c>
      <c r="X366" s="72">
        <f>IF(ISERROR(W366/O366),"NA",IF(OR(W366/O366&gt;2,W366/O366&lt;0.5),"NM",W366/O366*100-100))</f>
        <v>12.000000000000014</v>
      </c>
      <c r="Y366" s="74">
        <f>Y367-Y364</f>
        <v>30</v>
      </c>
      <c r="Z366" s="72">
        <f>IF(ISERROR(Y366/Q366),"NA",IF(OR(Y366/Q366&gt;2,Y366/Q366&lt;0.5),"NM",Y366/Q366*100-100))</f>
        <v>-3.2258064516128968</v>
      </c>
      <c r="AA366" s="74">
        <f>AA367-AA364</f>
        <v>33</v>
      </c>
      <c r="AB366" s="72">
        <f>IF(ISERROR(AA366/S366),"NA",IF(OR(AA366/S366&gt;2,AA366/S366&lt;0.5),"NM",AA366/S366*100-100))</f>
        <v>13.793103448275872</v>
      </c>
      <c r="AC366" s="74">
        <f>AC367-AC364</f>
        <v>32</v>
      </c>
      <c r="AD366" s="72">
        <f>IF(ISERROR(AC366/U366),"NA",IF(OR(AC366/U366&gt;2,AC366/U366&lt;0.5),"NM",AC366/U366*100-100))</f>
        <v>52.38095238095238</v>
      </c>
      <c r="AE366" s="74">
        <f>AE367-AE364</f>
        <v>34</v>
      </c>
      <c r="AF366" s="72">
        <f>IF(ISERROR(AE366/W366),"NA",IF(OR(AE366/W366&gt;2,AE366/W366&lt;0.5),"NM",AE366/W366*100-100))</f>
        <v>21.428571428571416</v>
      </c>
      <c r="AG366" s="74">
        <f>AG367-AG364</f>
        <v>41</v>
      </c>
      <c r="AH366" s="72">
        <f>IF(ISERROR(AG366/Y366),"NA",IF(OR(AG366/Y366&gt;2,AG366/Y366&lt;0.5),"NM",AG366/Y366*100-100))</f>
        <v>36.666666666666657</v>
      </c>
      <c r="AI366" s="74">
        <v>44</v>
      </c>
      <c r="AJ366" s="72">
        <f>IF(ISERROR(AI366/AA366),"NA",IF(OR(AI366/AA366&gt;2,AI366/AA366&lt;0.5),"NM",AI366/AA366*100-100))</f>
        <v>33.333333333333314</v>
      </c>
      <c r="AK366" s="74">
        <v>38</v>
      </c>
      <c r="AL366" s="72">
        <f>IF(ISERROR(AK366/AC366),"NA",IF(OR(AK366/AC366&gt;2,AK366/AC366&lt;0.5),"NM",AK366/AC366*100-100))</f>
        <v>18.75</v>
      </c>
      <c r="AM366" s="74">
        <v>38</v>
      </c>
      <c r="AN366" s="72">
        <f>IF(ISERROR(AM366/AE366),"NA",IF(OR(AM366/AE366&gt;2,AM366/AE366&lt;0.5),"NM",AM366/AE366*100-100))</f>
        <v>11.764705882352942</v>
      </c>
      <c r="AO366" s="74">
        <v>44</v>
      </c>
      <c r="AP366" s="72">
        <f>IF(ISERROR(AO366/AG366),"NA",IF(OR(AO366/AG366&gt;2,AO366/AG366&lt;0.5),"NM",AO366/AG366*100-100))</f>
        <v>7.3170731707317174</v>
      </c>
      <c r="AQ366" s="74">
        <v>53</v>
      </c>
      <c r="AR366" s="72">
        <f t="shared" si="1906"/>
        <v>20.454545454545453</v>
      </c>
      <c r="AS366" s="74">
        <v>46</v>
      </c>
      <c r="AT366" s="72">
        <f t="shared" si="1907"/>
        <v>21.05263157894737</v>
      </c>
      <c r="AU366" s="74">
        <v>54</v>
      </c>
      <c r="AV366" s="72">
        <f t="shared" si="1908"/>
        <v>42.10526315789474</v>
      </c>
      <c r="AW366" s="74">
        <v>44</v>
      </c>
      <c r="AX366" s="72">
        <f t="shared" si="1909"/>
        <v>0</v>
      </c>
      <c r="AY366" s="74">
        <v>58</v>
      </c>
      <c r="AZ366" s="72">
        <f t="shared" si="1910"/>
        <v>9.4339622641509351</v>
      </c>
      <c r="BA366" s="74">
        <v>51</v>
      </c>
      <c r="BB366" s="72">
        <f t="shared" si="1911"/>
        <v>10.869565217391312</v>
      </c>
      <c r="BC366" s="74">
        <v>55</v>
      </c>
      <c r="BD366" s="72">
        <f t="shared" si="1912"/>
        <v>1.8518518518518619</v>
      </c>
      <c r="BE366" s="74">
        <v>57</v>
      </c>
      <c r="BF366" s="72">
        <f t="shared" si="1913"/>
        <v>29.545454545454533</v>
      </c>
      <c r="BG366" s="74">
        <v>56</v>
      </c>
      <c r="BH366" s="72">
        <f t="shared" si="1914"/>
        <v>-3.448275862068968</v>
      </c>
      <c r="BI366" s="74">
        <v>57</v>
      </c>
      <c r="BJ366" s="72">
        <f>IF(ISERROR(BI366/BA366),"NA",IF(OR(BI366/BA366&gt;2,BI366/BA366&lt;0.5),"NM",BI366/BA366*100-100))</f>
        <v>11.764705882352942</v>
      </c>
      <c r="BK366" s="74">
        <v>58</v>
      </c>
      <c r="BL366" s="72">
        <f>IF(ISERROR(BK366/BC366),"NA",IF(OR(BK366/BC366&gt;2,BK366/BC366&lt;0.5),"NM",BK366/BC366*100-100))</f>
        <v>5.454545454545439</v>
      </c>
      <c r="BM366" s="74">
        <v>59</v>
      </c>
      <c r="BN366" s="72">
        <f t="shared" si="1915"/>
        <v>3.5087719298245759</v>
      </c>
      <c r="BO366" s="74">
        <v>70</v>
      </c>
      <c r="BP366" s="72">
        <f>IF(ISERROR(BO366/BG366),"NA",IF(OR(BO366/BG366&gt;2,BO366/BG366&lt;0.5),"NM",BO366/BG366*100-100))</f>
        <v>25</v>
      </c>
      <c r="BQ366" s="74">
        <v>64</v>
      </c>
      <c r="BR366" s="72">
        <f>IF(ISERROR(BQ366/BI366),"NA",IF(OR(BQ366/BI366&gt;2,BQ366/BI366&lt;0.5),"NM",BQ366/BI366*100-100))</f>
        <v>12.280701754385959</v>
      </c>
      <c r="BS366" s="74">
        <v>66</v>
      </c>
      <c r="BT366" s="72">
        <f>IF(ISERROR(BS366/BK366),"NA",IF(OR(BS366/BK366&gt;2,BS366/BK366&lt;0.5),"NM",BS366/BK366*100-100))</f>
        <v>13.793103448275872</v>
      </c>
      <c r="BU366" s="74">
        <v>71</v>
      </c>
      <c r="BV366" s="72">
        <f>IF(ISERROR(BU366/BM366),"NA",IF(OR(BU366/BM366&gt;2,BU366/BM366&lt;0.5),"NM",BU366/BM366*100-100))</f>
        <v>20.338983050847446</v>
      </c>
      <c r="BW366" s="74">
        <v>78</v>
      </c>
      <c r="BX366" s="72">
        <f>IF(ISERROR(BW366/BO366),"NA",IF(OR(BW366/BO366&gt;2,BW366/BO366&lt;0.5),"NM",BW366/BO366*100-100))</f>
        <v>11.428571428571431</v>
      </c>
      <c r="BY366" s="74">
        <v>72</v>
      </c>
      <c r="BZ366" s="72">
        <f>IF(ISERROR(BY366/BQ366),"NA",IF(OR(BY366/BQ366&gt;2,BY366/BQ366&lt;0.5),"NM",BY366/BQ366*100-100))</f>
        <v>12.5</v>
      </c>
      <c r="CA366" s="74">
        <v>71</v>
      </c>
      <c r="CB366" s="72">
        <f>IF(ISERROR(CA366/BS366),"NA",IF(OR(CA366/BS366&gt;2,CA366/BS366&lt;0.5),"NM",CA366/BS366*100-100))</f>
        <v>7.5757575757575637</v>
      </c>
      <c r="CC366" s="74">
        <v>74</v>
      </c>
      <c r="CD366" s="72">
        <f>IF(ISERROR(CC366/BU366),"NA",IF(OR(CC366/BU366&gt;2,CC366/BU366&lt;0.5),"NM",CC366/BU366*100-100))</f>
        <v>4.2253521126760489</v>
      </c>
      <c r="CE366" s="74">
        <v>76</v>
      </c>
      <c r="CF366" s="72">
        <f>IF(ISERROR(CE366/BW366),"NA",IF(OR(CE366/BW366&gt;2,CE366/BW366&lt;0.5),"NM",CE366/BW366*100-100))</f>
        <v>-2.5641025641025692</v>
      </c>
      <c r="CG366" s="74">
        <v>77</v>
      </c>
      <c r="CH366" s="72">
        <f>IF(ISERROR(CG366/BY366),"NA",IF(OR(CG366/BY366&gt;2,CG366/BY366&lt;0.5),"NM",CG366/BY366*100-100))</f>
        <v>6.9444444444444429</v>
      </c>
      <c r="CI366" s="74">
        <v>86</v>
      </c>
      <c r="CJ366" s="72">
        <f>IF(ISERROR(CI366/CA366),"NA",IF(OR(CI366/CA366&gt;2,CI366/CA366&lt;0.5),"NM",CI366/CA366*100-100))</f>
        <v>21.126760563380273</v>
      </c>
      <c r="CK366" s="74">
        <v>86</v>
      </c>
      <c r="CL366" s="72">
        <f>IF(ISERROR(CK366/CC366),"NA",IF(OR(CK366/CC366&gt;2,CK366/CC366&lt;0.5),"NM",CK366/CC366*100-100))</f>
        <v>16.21621621621621</v>
      </c>
      <c r="CM366" s="74">
        <v>90</v>
      </c>
      <c r="CN366" s="72">
        <f>IF(ISERROR(CM366/CE366),"NA",IF(OR(CM366/CE366&gt;2,CM366/CE366&lt;0.5),"NM",CM366/CE366*100-100))</f>
        <v>18.421052631578931</v>
      </c>
      <c r="CO366" s="74">
        <v>91</v>
      </c>
      <c r="CP366" s="72">
        <f>IF(ISERROR(CO366/CG366),"NA",IF(OR(CO366/CG366&gt;2,CO366/CG366&lt;0.5),"NM",CO366/CG366*100-100))</f>
        <v>18.181818181818187</v>
      </c>
      <c r="CQ366" s="74">
        <v>98</v>
      </c>
      <c r="CR366" s="72">
        <f>IF(ISERROR(CQ366/CI366),"NA",IF(OR(CQ366/CI366&gt;2,CQ366/CI366&lt;0.5),"NM",CQ366/CI366*100-100))</f>
        <v>13.95348837209302</v>
      </c>
      <c r="CS366" s="74">
        <v>92</v>
      </c>
      <c r="CT366" s="72">
        <f>IF(ISERROR(CS366/CK366),"NA",IF(OR(CS366/CK366&gt;2,CS366/CK366&lt;0.5),"NM",CS366/CK366*100-100))</f>
        <v>6.9767441860465027</v>
      </c>
      <c r="CU366" s="74">
        <v>94</v>
      </c>
      <c r="CV366" s="72">
        <f>IF(ISERROR(CU366/CM366),"NA",IF(OR(CU366/CM366&gt;2,CU366/CM366&lt;0.5),"NM",CU366/CM366*100-100))</f>
        <v>4.4444444444444571</v>
      </c>
      <c r="CW366" s="74">
        <v>94</v>
      </c>
      <c r="CX366" s="72">
        <f>IF(ISERROR(CW366/CO366),"NA",IF(OR(CW366/CO366&gt;2,CW366/CO366&lt;0.5),"NM",CW366/CO366*100-100))</f>
        <v>3.2967032967033134</v>
      </c>
      <c r="CY366" s="74">
        <v>83</v>
      </c>
      <c r="CZ366" s="72">
        <f>IF(ISERROR(CY366/CQ366),"NA",IF(OR(CY366/CQ366&gt;2,CY366/CQ366&lt;0.5),"NM",CY366/CQ366*100-100))</f>
        <v>-15.306122448979593</v>
      </c>
      <c r="DA366" s="74">
        <v>100</v>
      </c>
      <c r="DB366" s="72">
        <f>IF(ISERROR(DA366/CS366),"NA",IF(OR(DA366/CS366&gt;2,DA366/CS366&lt;0.5),"NM",DA366/CS366*100-100))</f>
        <v>8.6956521739130324</v>
      </c>
      <c r="DC366" s="74">
        <v>90</v>
      </c>
      <c r="DD366" s="72">
        <f t="shared" si="1916"/>
        <v>-4.2553191489361666</v>
      </c>
      <c r="DE366" s="74">
        <v>85</v>
      </c>
      <c r="DF366" s="72">
        <f t="shared" si="1917"/>
        <v>-9.5744680851063748</v>
      </c>
      <c r="DG366" s="74">
        <v>88</v>
      </c>
      <c r="DH366" s="72">
        <f t="shared" si="1918"/>
        <v>6.0240963855421796</v>
      </c>
      <c r="DI366" s="74">
        <v>86</v>
      </c>
      <c r="DJ366" s="72">
        <f>IF(ISERROR(DI366/DA366),"NA",IF(OR(DI366/DA366&gt;2,DI366/DA366&lt;0.5),"NM",DI366/DA366*100-100))</f>
        <v>-14</v>
      </c>
      <c r="DK366" s="74">
        <v>91</v>
      </c>
      <c r="DL366" s="72">
        <f>IF(ISERROR(DK366/DC366),"NA",IF(OR(DK366/DC366&gt;2,DK366/DC366&lt;0.5),"NM",DK366/DC366*100-100))</f>
        <v>1.1111111111111143</v>
      </c>
      <c r="DM366" s="74">
        <v>89</v>
      </c>
      <c r="DN366" s="72">
        <f t="shared" si="1919"/>
        <v>4.7058823529411882</v>
      </c>
      <c r="DO366" s="74">
        <v>87</v>
      </c>
      <c r="DP366" s="72">
        <f t="shared" si="1919"/>
        <v>-1.1363636363636402</v>
      </c>
      <c r="DQ366" s="74">
        <v>106</v>
      </c>
      <c r="DR366" s="72">
        <f t="shared" si="1919"/>
        <v>23.255813953488371</v>
      </c>
      <c r="DS366" s="74">
        <v>87</v>
      </c>
      <c r="DT366" s="72">
        <f t="shared" si="1919"/>
        <v>-4.3956043956043942</v>
      </c>
      <c r="DU366" s="74">
        <v>85</v>
      </c>
      <c r="DV366" s="72">
        <f t="shared" si="1919"/>
        <v>-4.4943820224719104</v>
      </c>
      <c r="DW366" s="74">
        <v>85</v>
      </c>
      <c r="DX366" s="72">
        <f t="shared" si="1919"/>
        <v>-2.2988505747126453</v>
      </c>
      <c r="DY366" s="74">
        <v>82</v>
      </c>
      <c r="DZ366" s="72">
        <f t="shared" si="1919"/>
        <v>-22.641509433962256</v>
      </c>
      <c r="EA366" s="74">
        <v>92</v>
      </c>
      <c r="EB366" s="72">
        <f t="shared" si="1920"/>
        <v>5.7471264367816133</v>
      </c>
      <c r="EC366" s="74">
        <v>67</v>
      </c>
      <c r="ED366" s="72">
        <f t="shared" si="1921"/>
        <v>-21.17647058823529</v>
      </c>
      <c r="EE366" s="74">
        <v>97</v>
      </c>
      <c r="EF366" s="72">
        <f t="shared" si="1922"/>
        <v>14.117647058823522</v>
      </c>
      <c r="EG366" s="74">
        <v>90</v>
      </c>
      <c r="EH366" s="72">
        <f t="shared" si="1923"/>
        <v>9.7560975609756184</v>
      </c>
      <c r="EI366" s="74">
        <v>96</v>
      </c>
      <c r="EJ366" s="72">
        <f t="shared" si="1924"/>
        <v>4.3478260869565162</v>
      </c>
      <c r="EK366" s="74">
        <v>77</v>
      </c>
      <c r="EL366" s="72">
        <f t="shared" si="1925"/>
        <v>14.925373134328353</v>
      </c>
      <c r="EM366" s="74">
        <v>92</v>
      </c>
      <c r="EN366" s="72">
        <f t="shared" si="1926"/>
        <v>-5.1546391752577421</v>
      </c>
      <c r="EO366" s="74">
        <v>92</v>
      </c>
      <c r="EP366" s="72">
        <f t="shared" si="1927"/>
        <v>2.2222222222222143</v>
      </c>
      <c r="EQ366" s="74">
        <f t="shared" ref="EQ366" si="1950">EI366*(1+EQ$361/100)</f>
        <v>100.27243243243242</v>
      </c>
      <c r="ER366" s="72">
        <f t="shared" si="1929"/>
        <v>4.4504504504504467</v>
      </c>
      <c r="ES366" s="74">
        <f t="shared" ref="ES366" si="1951">EK366*(1+ES$361/100)</f>
        <v>80.426846846846843</v>
      </c>
      <c r="ET366" s="72">
        <f t="shared" si="1931"/>
        <v>4.4504504504504467</v>
      </c>
      <c r="EU366" s="74">
        <f t="shared" ref="EU366" si="1952">EM366*(1+EU$361/100)</f>
        <v>96.094414414414416</v>
      </c>
      <c r="EV366" s="72">
        <f t="shared" si="1933"/>
        <v>4.4504504504504467</v>
      </c>
      <c r="EW366" s="74">
        <f t="shared" ref="EW366" si="1953">EO366*(1+EW$361/100)</f>
        <v>96.094414414414416</v>
      </c>
      <c r="EX366" s="72">
        <f t="shared" si="1935"/>
        <v>4.4504504504504467</v>
      </c>
      <c r="EY366" s="72"/>
      <c r="EZ366" s="311"/>
      <c r="FA366" s="72"/>
      <c r="FB366" s="115">
        <f>FB367-FB364</f>
        <v>51</v>
      </c>
      <c r="FC366" s="72"/>
      <c r="FD366" s="115">
        <f>FD367-FD364</f>
        <v>77</v>
      </c>
      <c r="FE366" s="72">
        <f t="shared" si="1936"/>
        <v>50.980392156862735</v>
      </c>
      <c r="FF366" s="115">
        <f>FF367-FF364</f>
        <v>92</v>
      </c>
      <c r="FG366" s="72">
        <f t="shared" si="1937"/>
        <v>19.480519480519476</v>
      </c>
      <c r="FH366" s="75">
        <f>K366+M366+O366+Q366</f>
        <v>102</v>
      </c>
      <c r="FI366" s="72">
        <f t="shared" si="1938"/>
        <v>10.869565217391312</v>
      </c>
      <c r="FJ366" s="75">
        <f>S366+U366+W366+Y366</f>
        <v>108</v>
      </c>
      <c r="FK366" s="72">
        <f t="shared" si="1939"/>
        <v>5.8823529411764781</v>
      </c>
      <c r="FL366" s="75">
        <f>+AA366+AC366+AE366+AG366</f>
        <v>140</v>
      </c>
      <c r="FM366" s="72">
        <f t="shared" si="1940"/>
        <v>29.629629629629619</v>
      </c>
      <c r="FN366" s="75">
        <f>+AI366+AK366+AM366+AO366</f>
        <v>164</v>
      </c>
      <c r="FO366" s="72">
        <f t="shared" si="1941"/>
        <v>17.142857142857153</v>
      </c>
      <c r="FP366" s="75">
        <f>AQ366+AS366+AU366+AW366</f>
        <v>197</v>
      </c>
      <c r="FQ366" s="72">
        <f t="shared" si="1942"/>
        <v>20.121951219512198</v>
      </c>
      <c r="FR366" s="75">
        <f>AY366+BA366+BC366+BE366</f>
        <v>221</v>
      </c>
      <c r="FS366" s="72">
        <f t="shared" si="1943"/>
        <v>12.182741116751259</v>
      </c>
      <c r="FT366" s="75">
        <f>BG366+BI366+BK366+BM366</f>
        <v>230</v>
      </c>
      <c r="FU366" s="72">
        <f t="shared" si="1944"/>
        <v>4.0723981900452628</v>
      </c>
      <c r="FV366" s="75">
        <f>BO366+BQ366+BS366+BU366</f>
        <v>271</v>
      </c>
      <c r="FW366" s="72">
        <f>IF(ISERROR(FV366/FT366),"NA",IF(OR(FV366/FT366&gt;2,FV366/FT366&lt;0.5),"NM",FV366/FT366*100-100))</f>
        <v>17.826086956521749</v>
      </c>
      <c r="FX366" s="75">
        <f>BW366+BY366+CA366+CC366</f>
        <v>295</v>
      </c>
      <c r="FY366" s="72">
        <f>IF(ISERROR(FX366/FV366),"NA",IF(OR(FX366/FV366&gt;2,FX366/FV366&lt;0.5),"NM",FX366/FV366*100-100))</f>
        <v>8.8560885608855955</v>
      </c>
      <c r="FZ366" s="75">
        <f t="shared" si="1945"/>
        <v>325</v>
      </c>
      <c r="GA366" s="72">
        <f>IF(ISERROR(FZ366/FX366),"NA",IF(OR(FZ366/FX366&gt;2,FZ366/FX366&lt;0.5),"NM",FZ366/FX366*100-100))</f>
        <v>10.169491525423723</v>
      </c>
      <c r="GB366" s="75">
        <f t="shared" si="1946"/>
        <v>371</v>
      </c>
      <c r="GC366" s="72">
        <f>IF(ISERROR(GB366/FZ366),"NA",IF(OR(GB366/FZ366&gt;2,GB366/FZ366&lt;0.5),"NM",GB366/FZ366*100-100))</f>
        <v>14.15384615384616</v>
      </c>
      <c r="GD366" s="75">
        <f>CU366+CW366+CY366+DA366</f>
        <v>371</v>
      </c>
      <c r="GE366" s="72">
        <f>IF(ISERROR(GD366/GB366),"NA",IF(OR(GD366/GB366&gt;2,GD366/GB366&lt;0.5),"NM",GD366/GB366*100-100))</f>
        <v>0</v>
      </c>
      <c r="GF366" s="75">
        <f>DC366+DE366+DG366+DI366</f>
        <v>349</v>
      </c>
      <c r="GG366" s="72">
        <f>IF(ISERROR(GF366/GD366),"NA",IF(OR(GF366/GD366&gt;2,GF366/GD366&lt;0.5),"NM",GF366/GD366*100-100))</f>
        <v>-5.9299191374663138</v>
      </c>
      <c r="GH366" s="75">
        <f>DK366+DM366+DO366+DQ366</f>
        <v>373</v>
      </c>
      <c r="GI366" s="72">
        <f t="shared" si="1947"/>
        <v>6.8767908309455663</v>
      </c>
      <c r="GJ366" s="75">
        <f>DS366+DU366+DW366+DY366</f>
        <v>339</v>
      </c>
      <c r="GK366" s="72">
        <f t="shared" si="1947"/>
        <v>-9.1152815013404762</v>
      </c>
      <c r="GL366" s="75">
        <f>EA366+EC366+EE366+EG366</f>
        <v>346</v>
      </c>
      <c r="GM366" s="72">
        <f t="shared" si="1947"/>
        <v>2.0648967551622377</v>
      </c>
      <c r="GN366" s="75">
        <f>EI366+EK366+EM366+EO366</f>
        <v>357</v>
      </c>
      <c r="GO366" s="72">
        <f t="shared" si="1947"/>
        <v>3.179190751445077</v>
      </c>
      <c r="GP366" s="75">
        <f>EQ366+ES366+EU366+EW366</f>
        <v>372.8881081081081</v>
      </c>
      <c r="GQ366" s="72">
        <f t="shared" si="1947"/>
        <v>4.4504504504504467</v>
      </c>
      <c r="GR366" s="74">
        <f>GP366*(1+GR$361/100)</f>
        <v>387.80363243243244</v>
      </c>
      <c r="GS366" s="72">
        <f t="shared" si="1947"/>
        <v>4</v>
      </c>
      <c r="GT366" s="74">
        <f>GR366*(1+GT$361/100)</f>
        <v>403.31577772972975</v>
      </c>
      <c r="GU366" s="72">
        <f t="shared" si="1947"/>
        <v>4</v>
      </c>
      <c r="GV366" s="74">
        <f>GT366*(1+GV$361/100)</f>
        <v>419.44840883891897</v>
      </c>
      <c r="GW366" s="72">
        <f t="shared" si="1948"/>
        <v>4</v>
      </c>
      <c r="GX366" s="74">
        <f>GV366*(1+GX$361/100)</f>
        <v>436.22634519247572</v>
      </c>
      <c r="GY366" s="72">
        <f t="shared" si="1949"/>
        <v>4</v>
      </c>
      <c r="GZ366" s="72">
        <f t="shared" ref="GZ366:GZ384" si="1954">IF(ISERROR(((GX366/GN366)^0.2-1)*100),"NA",IF((((GX366/GN366)^0.2-1)*100)&gt;100,"NM",IF((((GX366/GN366)^0.2-1)*100)&lt;-50,"NM",((GX366/GN366)^0.2-1)*100)))</f>
        <v>4.089934413243701</v>
      </c>
      <c r="HA366" s="72"/>
      <c r="HB366" s="72"/>
      <c r="HC366"/>
      <c r="HD366"/>
      <c r="HE366"/>
      <c r="HF366"/>
      <c r="HG366"/>
      <c r="HH366"/>
      <c r="HI366" s="2"/>
    </row>
    <row r="367" spans="2:217" s="3" customFormat="1" ht="12.75" customHeight="1" x14ac:dyDescent="0.2">
      <c r="B367" s="77" t="s">
        <v>477</v>
      </c>
      <c r="C367" s="115">
        <v>431</v>
      </c>
      <c r="D367" s="92"/>
      <c r="E367" s="115">
        <v>424</v>
      </c>
      <c r="F367" s="92"/>
      <c r="G367" s="115">
        <v>446</v>
      </c>
      <c r="H367" s="92"/>
      <c r="I367" s="115">
        <v>471</v>
      </c>
      <c r="J367" s="92"/>
      <c r="K367" s="115">
        <v>478</v>
      </c>
      <c r="L367" s="72">
        <f t="shared" si="1903"/>
        <v>10.904872389791194</v>
      </c>
      <c r="M367" s="115">
        <v>461</v>
      </c>
      <c r="N367" s="72">
        <f t="shared" si="1904"/>
        <v>8.7264150943396288</v>
      </c>
      <c r="O367" s="115">
        <v>483</v>
      </c>
      <c r="P367" s="72">
        <f t="shared" si="1905"/>
        <v>8.2959641255605305</v>
      </c>
      <c r="Q367" s="115">
        <v>512</v>
      </c>
      <c r="R367" s="72">
        <f>IF(ISERROR(Q367/I367),"NA",IF(OR(Q367/I367&gt;2,Q367/I367&lt;0.5),"NM",Q367/I367*100-100))</f>
        <v>8.7048832271762251</v>
      </c>
      <c r="S367" s="115">
        <v>515</v>
      </c>
      <c r="T367" s="72">
        <f>IF(ISERROR(S367/K367),"NA",IF(OR(S367/K367&gt;2,S367/K367&lt;0.5),"NM",S367/K367*100-100))</f>
        <v>7.7405857740585873</v>
      </c>
      <c r="U367" s="115">
        <v>516</v>
      </c>
      <c r="V367" s="72">
        <f>IF(ISERROR(U367/M367),"NA",IF(OR(U367/M367&gt;2,U367/M367&lt;0.5),"NM",U367/M367*100-100))</f>
        <v>11.930585683297195</v>
      </c>
      <c r="W367" s="115">
        <v>579</v>
      </c>
      <c r="X367" s="72">
        <f>IF(ISERROR(W367/O367),"NA",IF(OR(W367/O367&gt;2,W367/O367&lt;0.5),"NM",W367/O367*100-100))</f>
        <v>19.875776397515523</v>
      </c>
      <c r="Y367" s="115">
        <v>581</v>
      </c>
      <c r="Z367" s="72">
        <f>IF(ISERROR(Y367/Q367),"NA",IF(OR(Y367/Q367&gt;2,Y367/Q367&lt;0.5),"NM",Y367/Q367*100-100))</f>
        <v>13.4765625</v>
      </c>
      <c r="AA367" s="115">
        <v>659</v>
      </c>
      <c r="AB367" s="72">
        <f>IF(ISERROR(AA367/S367),"NA",IF(OR(AA367/S367&gt;2,AA367/S367&lt;0.5),"NM",AA367/S367*100-100))</f>
        <v>27.961165048543691</v>
      </c>
      <c r="AC367" s="115">
        <v>635</v>
      </c>
      <c r="AD367" s="72">
        <f>IF(ISERROR(AC367/U367),"NA",IF(OR(AC367/U367&gt;2,AC367/U367&lt;0.5),"NM",AC367/U367*100-100))</f>
        <v>23.062015503875969</v>
      </c>
      <c r="AE367" s="115">
        <v>697</v>
      </c>
      <c r="AF367" s="72">
        <f>IF(ISERROR(AE367/W367),"NA",IF(OR(AE367/W367&gt;2,AE367/W367&lt;0.5),"NM",AE367/W367*100-100))</f>
        <v>20.379965457685657</v>
      </c>
      <c r="AG367" s="115">
        <v>730</v>
      </c>
      <c r="AH367" s="72">
        <f>IF(ISERROR(AG367/Y367),"NA",IF(OR(AG367/Y367&gt;2,AG367/Y367&lt;0.5),"NM",AG367/Y367*100-100))</f>
        <v>25.645438898450948</v>
      </c>
      <c r="AI367" s="115">
        <f>AI366+AI364</f>
        <v>780</v>
      </c>
      <c r="AJ367" s="72">
        <f>IF(ISERROR(AI367/AA367),"NA",IF(OR(AI367/AA367&gt;2,AI367/AA367&lt;0.5),"NM",AI367/AA367*100-100))</f>
        <v>18.361153262518968</v>
      </c>
      <c r="AK367" s="115">
        <f>AK366+AK364</f>
        <v>719</v>
      </c>
      <c r="AL367" s="72">
        <f>IF(ISERROR(AK367/AC367),"NA",IF(OR(AK367/AC367&gt;2,AK367/AC367&lt;0.5),"NM",AK367/AC367*100-100))</f>
        <v>13.228346456692904</v>
      </c>
      <c r="AM367" s="115">
        <f>AM366+AM364</f>
        <v>768</v>
      </c>
      <c r="AN367" s="72">
        <f>IF(ISERROR(AM367/AE367),"NA",IF(OR(AM367/AE367&gt;2,AM367/AE367&lt;0.5),"NM",AM367/AE367*100-100))</f>
        <v>10.186513629842182</v>
      </c>
      <c r="AO367" s="115">
        <f>AO366+AO364</f>
        <v>845</v>
      </c>
      <c r="AP367" s="72">
        <f>IF(ISERROR(AO367/AG367),"NA",IF(OR(AO367/AG367&gt;2,AO367/AG367&lt;0.5),"NM",AO367/AG367*100-100))</f>
        <v>15.753424657534239</v>
      </c>
      <c r="AQ367" s="115">
        <f>AQ366+AQ364</f>
        <v>1017</v>
      </c>
      <c r="AR367" s="72">
        <f t="shared" si="1906"/>
        <v>30.384615384615387</v>
      </c>
      <c r="AS367" s="115">
        <f>AS366+AS364</f>
        <v>957</v>
      </c>
      <c r="AT367" s="72">
        <f t="shared" si="1907"/>
        <v>33.101529902642568</v>
      </c>
      <c r="AU367" s="115">
        <f>AU366+AU364</f>
        <v>948</v>
      </c>
      <c r="AV367" s="72">
        <f t="shared" si="1908"/>
        <v>23.4375</v>
      </c>
      <c r="AW367" s="115">
        <f>AW366+AW364</f>
        <v>934</v>
      </c>
      <c r="AX367" s="72">
        <f t="shared" si="1909"/>
        <v>10.532544378698219</v>
      </c>
      <c r="AY367" s="115">
        <f>AY366+AY364</f>
        <v>1047</v>
      </c>
      <c r="AZ367" s="72">
        <f t="shared" si="1910"/>
        <v>2.9498525073746293</v>
      </c>
      <c r="BA367" s="115">
        <f>BA366+BA364</f>
        <v>1028</v>
      </c>
      <c r="BB367" s="72">
        <f t="shared" si="1911"/>
        <v>7.4190177638453463</v>
      </c>
      <c r="BC367" s="115">
        <f>BC366+BC364</f>
        <v>1018</v>
      </c>
      <c r="BD367" s="72">
        <f t="shared" si="1912"/>
        <v>7.383966244725741</v>
      </c>
      <c r="BE367" s="115">
        <f>BE366+BE364</f>
        <v>1045</v>
      </c>
      <c r="BF367" s="72">
        <f t="shared" si="1913"/>
        <v>11.884368308351185</v>
      </c>
      <c r="BG367" s="115">
        <f>BG366+BG364</f>
        <v>1142</v>
      </c>
      <c r="BH367" s="72">
        <f t="shared" si="1914"/>
        <v>9.0735434574976068</v>
      </c>
      <c r="BI367" s="115">
        <f>BI366+BI364</f>
        <v>1081</v>
      </c>
      <c r="BJ367" s="72">
        <f>IF(ISERROR(BI367/BA367),"NA",IF(OR(BI367/BA367&gt;2,BI367/BA367&lt;0.5),"NM",BI367/BA367*100-100))</f>
        <v>5.1556420233463029</v>
      </c>
      <c r="BK367" s="115">
        <f>BK366+BK364</f>
        <v>1118</v>
      </c>
      <c r="BL367" s="72">
        <f>IF(ISERROR(BK367/BC367),"NA",IF(OR(BK367/BC367&gt;2,BK367/BC367&lt;0.5),"NM",BK367/BC367*100-100))</f>
        <v>9.8231827111984131</v>
      </c>
      <c r="BM367" s="115">
        <f>BM366+BM364</f>
        <v>1165</v>
      </c>
      <c r="BN367" s="72">
        <f t="shared" si="1915"/>
        <v>11.483253588516746</v>
      </c>
      <c r="BO367" s="115">
        <f>BO366+BO364</f>
        <v>1332</v>
      </c>
      <c r="BP367" s="72">
        <f>IF(ISERROR(BO367/BG367),"NA",IF(OR(BO367/BG367&gt;2,BO367/BG367&lt;0.5),"NM",BO367/BG367*100-100))</f>
        <v>16.637478108581433</v>
      </c>
      <c r="BQ367" s="115">
        <f>BQ366+BQ364</f>
        <v>1225</v>
      </c>
      <c r="BR367" s="72">
        <f>IF(ISERROR(BQ367/BI367),"NA",IF(OR(BQ367/BI367&gt;2,BQ367/BI367&lt;0.5),"NM",BQ367/BI367*100-100))</f>
        <v>13.320999074930626</v>
      </c>
      <c r="BS367" s="115">
        <f>BS366+BS364</f>
        <v>1195</v>
      </c>
      <c r="BT367" s="72">
        <f>IF(ISERROR(BS367/BK367),"NA",IF(OR(BS367/BK367&gt;2,BS367/BK367&lt;0.5),"NM",BS367/BK367*100-100))</f>
        <v>6.8872987477638645</v>
      </c>
      <c r="BU367" s="115">
        <f>BU366+BU364</f>
        <v>1229</v>
      </c>
      <c r="BV367" s="72">
        <f>IF(ISERROR(BU367/BM367),"NA",IF(OR(BU367/BM367&gt;2,BU367/BM367&lt;0.5),"NM",BU367/BM367*100-100))</f>
        <v>5.493562231759654</v>
      </c>
      <c r="BW367" s="115">
        <f>BW366+BW364</f>
        <v>1363</v>
      </c>
      <c r="BX367" s="72">
        <f>IF(ISERROR(BW367/BO367),"NA",IF(OR(BW367/BO367&gt;2,BW367/BO367&lt;0.5),"NM",BW367/BO367*100-100))</f>
        <v>2.3273273273273247</v>
      </c>
      <c r="BY367" s="115">
        <f>BY366+BY364</f>
        <v>1271</v>
      </c>
      <c r="BZ367" s="72">
        <f>IF(ISERROR(BY367/BQ367),"NA",IF(OR(BY367/BQ367&gt;2,BY367/BQ367&lt;0.5),"NM",BY367/BQ367*100-100))</f>
        <v>3.7551020408163254</v>
      </c>
      <c r="CA367" s="115">
        <f>CA366+CA364</f>
        <v>1303</v>
      </c>
      <c r="CB367" s="72">
        <f>IF(ISERROR(CA367/BS367),"NA",IF(OR(CA367/BS367&gt;2,CA367/BS367&lt;0.5),"NM",CA367/BS367*100-100))</f>
        <v>9.0376569037657077</v>
      </c>
      <c r="CC367" s="115">
        <f>CC366+CC364</f>
        <v>1376</v>
      </c>
      <c r="CD367" s="72">
        <f>IF(ISERROR(CC367/BU367),"NA",IF(OR(CC367/BU367&gt;2,CC367/BU367&lt;0.5),"NM",CC367/BU367*100-100))</f>
        <v>11.960943856794131</v>
      </c>
      <c r="CE367" s="115">
        <f>CE366+CE364</f>
        <v>1519</v>
      </c>
      <c r="CF367" s="72">
        <f>IF(ISERROR(CE367/BW367),"NA",IF(OR(CE367/BW367&gt;2,CE367/BW367&lt;0.5),"NM",CE367/BW367*100-100))</f>
        <v>11.445341159207629</v>
      </c>
      <c r="CG367" s="115">
        <f>CG366+CG364</f>
        <v>1388</v>
      </c>
      <c r="CH367" s="72">
        <f>IF(ISERROR(CG367/BY367),"NA",IF(OR(CG367/BY367&gt;2,CG367/BY367&lt;0.5),"NM",CG367/BY367*100-100))</f>
        <v>9.2053501180173072</v>
      </c>
      <c r="CI367" s="115">
        <f>CI366+CI364</f>
        <v>1493</v>
      </c>
      <c r="CJ367" s="72">
        <f>IF(ISERROR(CI367/CA367),"NA",IF(OR(CI367/CA367&gt;2,CI367/CA367&lt;0.5),"NM",CI367/CA367*100-100))</f>
        <v>14.581734458940915</v>
      </c>
      <c r="CK367" s="115">
        <f>CK366+CK364</f>
        <v>1573</v>
      </c>
      <c r="CL367" s="72">
        <f>IF(ISERROR(CK367/CC367),"NA",IF(OR(CK367/CC367&gt;2,CK367/CC367&lt;0.5),"NM",CK367/CC367*100-100))</f>
        <v>14.316860465116292</v>
      </c>
      <c r="CM367" s="115">
        <f>CM366+CM364</f>
        <v>1745</v>
      </c>
      <c r="CN367" s="72">
        <f>IF(ISERROR(CM367/CE367),"NA",IF(OR(CM367/CE367&gt;2,CM367/CE367&lt;0.5),"NM",CM367/CE367*100-100))</f>
        <v>14.878209348255439</v>
      </c>
      <c r="CO367" s="115">
        <f>CO366+CO364</f>
        <v>1603</v>
      </c>
      <c r="CP367" s="72">
        <f>IF(ISERROR(CO367/CG367),"NA",IF(OR(CO367/CG367&gt;2,CO367/CG367&lt;0.5),"NM",CO367/CG367*100-100))</f>
        <v>15.489913544668596</v>
      </c>
      <c r="CQ367" s="115">
        <f>CQ366+CQ364</f>
        <v>1710</v>
      </c>
      <c r="CR367" s="72">
        <f>IF(ISERROR(CQ367/CI367),"NA",IF(OR(CQ367/CI367&gt;2,CQ367/CI367&lt;0.5),"NM",CQ367/CI367*100-100))</f>
        <v>14.534494306764898</v>
      </c>
      <c r="CS367" s="115">
        <f>CS366+CS364</f>
        <v>1724</v>
      </c>
      <c r="CT367" s="72">
        <f>IF(ISERROR(CS367/CK367),"NA",IF(OR(CS367/CK367&gt;2,CS367/CK367&lt;0.5),"NM",CS367/CK367*100-100))</f>
        <v>9.5994914176732493</v>
      </c>
      <c r="CU367" s="115">
        <f>CU366+CU364</f>
        <v>1920</v>
      </c>
      <c r="CV367" s="72">
        <f>IF(ISERROR(CU367/CM367),"NA",IF(OR(CU367/CM367&gt;2,CU367/CM367&lt;0.5),"NM",CU367/CM367*100-100))</f>
        <v>10.028653295128947</v>
      </c>
      <c r="CW367" s="115">
        <f>CW366+CW364</f>
        <v>1784</v>
      </c>
      <c r="CX367" s="72">
        <f>IF(ISERROR(CW367/CO367),"NA",IF(OR(CW367/CO367&gt;2,CW367/CO367&lt;0.5),"NM",CW367/CO367*100-100))</f>
        <v>11.291328758577663</v>
      </c>
      <c r="CY367" s="115">
        <f>CY366+CY364</f>
        <v>1810</v>
      </c>
      <c r="CZ367" s="72">
        <f>IF(ISERROR(CY367/CQ367),"NA",IF(OR(CY367/CQ367&gt;2,CY367/CQ367&lt;0.5),"NM",CY367/CQ367*100-100))</f>
        <v>5.8479532163742789</v>
      </c>
      <c r="DA367" s="115">
        <f>DA366+DA364</f>
        <v>1828</v>
      </c>
      <c r="DB367" s="72">
        <f>IF(ISERROR(DA367/CS367),"NA",IF(OR(DA367/CS367&gt;2,DA367/CS367&lt;0.5),"NM",DA367/CS367*100-100))</f>
        <v>6.0324825986078849</v>
      </c>
      <c r="DC367" s="115">
        <f>DC366+DC364</f>
        <v>1980</v>
      </c>
      <c r="DD367" s="72">
        <f t="shared" si="1916"/>
        <v>3.125</v>
      </c>
      <c r="DE367" s="115">
        <f>DE366+DE364</f>
        <v>1708</v>
      </c>
      <c r="DF367" s="72">
        <f t="shared" si="1917"/>
        <v>-4.2600896860986524</v>
      </c>
      <c r="DG367" s="115">
        <f>DG366+DG364</f>
        <v>1694</v>
      </c>
      <c r="DH367" s="72">
        <f t="shared" si="1918"/>
        <v>-6.4088397790055325</v>
      </c>
      <c r="DI367" s="115">
        <f>DI366+DI364</f>
        <v>1737</v>
      </c>
      <c r="DJ367" s="72">
        <f>IF(ISERROR(DI367/DA367),"NA",IF(OR(DI367/DA367&gt;2,DI367/DA367&lt;0.5),"NM",DI367/DA367*100-100))</f>
        <v>-4.9781181619256074</v>
      </c>
      <c r="DK367" s="115">
        <f>DK366+DK364</f>
        <v>1975</v>
      </c>
      <c r="DL367" s="72">
        <f>IF(ISERROR(DK367/DC367),"NA",IF(OR(DK367/DC367&gt;2,DK367/DC367&lt;0.5),"NM",DK367/DC367*100-100))</f>
        <v>-0.25252525252524549</v>
      </c>
      <c r="DM367" s="115">
        <f>DM366+DM364</f>
        <v>1775</v>
      </c>
      <c r="DN367" s="72">
        <f t="shared" si="1919"/>
        <v>3.9227166276346566</v>
      </c>
      <c r="DO367" s="115">
        <f>DO366+DO364</f>
        <v>1780</v>
      </c>
      <c r="DP367" s="72">
        <f t="shared" si="1919"/>
        <v>5.076741440377802</v>
      </c>
      <c r="DQ367" s="115">
        <f>DQ366+DQ364</f>
        <v>1726</v>
      </c>
      <c r="DR367" s="72">
        <f t="shared" si="1919"/>
        <v>-0.63327576280943276</v>
      </c>
      <c r="DS367" s="115">
        <f>DS366+DS364</f>
        <v>1917</v>
      </c>
      <c r="DT367" s="72">
        <f t="shared" si="1919"/>
        <v>-2.9367088607594951</v>
      </c>
      <c r="DU367" s="115">
        <f>DU366+DU364</f>
        <v>1712</v>
      </c>
      <c r="DV367" s="72">
        <f t="shared" si="1919"/>
        <v>-3.5492957746478879</v>
      </c>
      <c r="DW367" s="115">
        <f>DW366+DW364</f>
        <v>1728</v>
      </c>
      <c r="DX367" s="72">
        <f t="shared" si="1919"/>
        <v>-2.921348314606746</v>
      </c>
      <c r="DY367" s="115">
        <f>DY366+DY364</f>
        <v>1710</v>
      </c>
      <c r="DZ367" s="72">
        <f t="shared" si="1919"/>
        <v>-0.92699884125144649</v>
      </c>
      <c r="EA367" s="115">
        <f>EA366+EA364</f>
        <v>2032</v>
      </c>
      <c r="EB367" s="72">
        <f t="shared" si="1920"/>
        <v>5.9989567031820457</v>
      </c>
      <c r="EC367" s="115">
        <f>EC366+EC364</f>
        <v>1885</v>
      </c>
      <c r="ED367" s="72">
        <f t="shared" si="1921"/>
        <v>10.105140186915889</v>
      </c>
      <c r="EE367" s="115">
        <f>EE366+EE364</f>
        <v>1979</v>
      </c>
      <c r="EF367" s="72">
        <f t="shared" si="1922"/>
        <v>14.525462962962948</v>
      </c>
      <c r="EG367" s="115">
        <f>EG366+EG364</f>
        <v>1921</v>
      </c>
      <c r="EH367" s="72">
        <f t="shared" si="1923"/>
        <v>12.339181286549717</v>
      </c>
      <c r="EI367" s="115">
        <f>EI366+EI364</f>
        <v>2212</v>
      </c>
      <c r="EJ367" s="72">
        <f t="shared" si="1924"/>
        <v>8.8582677165354369</v>
      </c>
      <c r="EK367" s="115">
        <f>EK366+EK364</f>
        <v>2010</v>
      </c>
      <c r="EL367" s="72">
        <f t="shared" si="1925"/>
        <v>6.631299734748012</v>
      </c>
      <c r="EM367" s="115">
        <f>EM366+EM364</f>
        <v>2030</v>
      </c>
      <c r="EN367" s="72">
        <f t="shared" si="1926"/>
        <v>2.5770591207680695</v>
      </c>
      <c r="EO367" s="115">
        <f>EO366+EO364</f>
        <v>2058</v>
      </c>
      <c r="EP367" s="72">
        <f t="shared" si="1927"/>
        <v>7.1317022384174749</v>
      </c>
      <c r="EQ367" s="75">
        <f t="shared" ref="EQ367" si="1955">EQ366+EQ365</f>
        <v>2310.4439639639641</v>
      </c>
      <c r="ER367" s="72">
        <f t="shared" si="1929"/>
        <v>4.4504504504504467</v>
      </c>
      <c r="ES367" s="75">
        <f t="shared" ref="ES367" si="1956">ES366+ES365</f>
        <v>2099.4540540540538</v>
      </c>
      <c r="ET367" s="72">
        <f t="shared" si="1931"/>
        <v>4.4504504504504467</v>
      </c>
      <c r="EU367" s="75">
        <f t="shared" ref="EU367" si="1957">EU366+EU365</f>
        <v>2120.3441441441441</v>
      </c>
      <c r="EV367" s="72">
        <f t="shared" si="1933"/>
        <v>4.4504504504504467</v>
      </c>
      <c r="EW367" s="75">
        <f t="shared" ref="EW367" si="1958">EW366+EW365</f>
        <v>2149.5902702702706</v>
      </c>
      <c r="EX367" s="72">
        <f t="shared" si="1935"/>
        <v>4.4504504504504752</v>
      </c>
      <c r="EY367" s="72"/>
      <c r="EZ367" s="311"/>
      <c r="FA367" s="72"/>
      <c r="FB367" s="74">
        <v>1010</v>
      </c>
      <c r="FC367" s="92"/>
      <c r="FD367" s="74">
        <v>1422</v>
      </c>
      <c r="FE367" s="72">
        <f t="shared" si="1936"/>
        <v>40.792079207920779</v>
      </c>
      <c r="FF367" s="74">
        <v>1772</v>
      </c>
      <c r="FG367" s="72">
        <f t="shared" si="1937"/>
        <v>24.613220815752456</v>
      </c>
      <c r="FH367" s="75">
        <f>K367+M367+O367+Q367</f>
        <v>1934</v>
      </c>
      <c r="FI367" s="72">
        <f t="shared" si="1938"/>
        <v>9.1422121896162594</v>
      </c>
      <c r="FJ367" s="75">
        <f>S367+U367+W367+Y367</f>
        <v>2191</v>
      </c>
      <c r="FK367" s="72">
        <f t="shared" si="1939"/>
        <v>13.288521199586341</v>
      </c>
      <c r="FL367" s="75">
        <f>+AA367+AC367+AE367+AG367</f>
        <v>2721</v>
      </c>
      <c r="FM367" s="72">
        <f t="shared" si="1940"/>
        <v>24.189867640346876</v>
      </c>
      <c r="FN367" s="75">
        <f>+AI367+AK367+AM367+AO367</f>
        <v>3112</v>
      </c>
      <c r="FO367" s="72">
        <f t="shared" si="1941"/>
        <v>14.369717015803005</v>
      </c>
      <c r="FP367" s="75">
        <f>AQ367+AS367+AU367+AW367</f>
        <v>3856</v>
      </c>
      <c r="FQ367" s="72">
        <f t="shared" si="1942"/>
        <v>23.907455012853475</v>
      </c>
      <c r="FR367" s="75">
        <f>AY367+BA367+BC367+BE367</f>
        <v>4138</v>
      </c>
      <c r="FS367" s="72">
        <f t="shared" si="1943"/>
        <v>7.3132780082987523</v>
      </c>
      <c r="FT367" s="75">
        <f>BG367+BI367+BK367+BM367</f>
        <v>4506</v>
      </c>
      <c r="FU367" s="72">
        <f t="shared" si="1944"/>
        <v>8.8931851135814384</v>
      </c>
      <c r="FV367" s="115">
        <f>FV366+FV364</f>
        <v>4973</v>
      </c>
      <c r="FW367" s="72">
        <f>IF(ISERROR(FV367/FT367),"NA",IF(OR(FV367/FT367&gt;2,FV367/FT367&lt;0.5),"NM",FV367/FT367*100-100))</f>
        <v>10.363959165557034</v>
      </c>
      <c r="FX367" s="115">
        <f>FX366+FX364</f>
        <v>5270</v>
      </c>
      <c r="FY367" s="72">
        <f>IF(ISERROR(FX367/FV367),"NA",IF(OR(FX367/FV367&gt;2,FX367/FV367&lt;0.5),"NM",FX367/FV367*100-100))</f>
        <v>5.9722501508143893</v>
      </c>
      <c r="FZ367" s="75">
        <f t="shared" si="1945"/>
        <v>5973</v>
      </c>
      <c r="GA367" s="72">
        <f>IF(ISERROR(FZ367/FX367),"NA",IF(OR(FZ367/FX367&gt;2,FZ367/FX367&lt;0.5),"NM",FZ367/FX367*100-100))</f>
        <v>13.33965844402276</v>
      </c>
      <c r="GB367" s="75">
        <f t="shared" si="1946"/>
        <v>6782</v>
      </c>
      <c r="GC367" s="72">
        <f>IF(ISERROR(GB367/FZ367),"NA",IF(OR(GB367/FZ367&gt;2,GB367/FZ367&lt;0.5),"NM",GB367/FZ367*100-100))</f>
        <v>13.544282605056097</v>
      </c>
      <c r="GD367" s="75">
        <f>CU367+CW367+CY367+DA367</f>
        <v>7342</v>
      </c>
      <c r="GE367" s="72">
        <f>IF(ISERROR(GD367/GB367),"NA",IF(OR(GD367/GB367&gt;2,GD367/GB367&lt;0.5),"NM",GD367/GB367*100-100))</f>
        <v>8.2571512828074418</v>
      </c>
      <c r="GF367" s="75">
        <f>DC367+DE367+DG367+DI367</f>
        <v>7119</v>
      </c>
      <c r="GG367" s="72">
        <f>IF(ISERROR(GF367/GD367),"NA",IF(OR(GF367/GD367&gt;2,GF367/GD367&lt;0.5),"NM",GF367/GD367*100-100))</f>
        <v>-3.0373195314628134</v>
      </c>
      <c r="GH367" s="75">
        <f>DK367+DM367+DO367+DQ367</f>
        <v>7256</v>
      </c>
      <c r="GI367" s="72">
        <f t="shared" si="1947"/>
        <v>1.9244275881443969</v>
      </c>
      <c r="GJ367" s="75">
        <f>DS367+DU367+DW367+DY367</f>
        <v>7067</v>
      </c>
      <c r="GK367" s="72">
        <f t="shared" si="1947"/>
        <v>-2.6047409040793781</v>
      </c>
      <c r="GL367" s="75">
        <f>EA367+EC367+EE367+EG367</f>
        <v>7817</v>
      </c>
      <c r="GM367" s="72">
        <f t="shared" si="1947"/>
        <v>10.612706947785483</v>
      </c>
      <c r="GN367" s="75">
        <f>EI367+EK367+EM367+EO367</f>
        <v>8310</v>
      </c>
      <c r="GO367" s="72">
        <f t="shared" si="1947"/>
        <v>6.3067673020340322</v>
      </c>
      <c r="GP367" s="75">
        <f>EQ367+ES367+EU367+EW367</f>
        <v>8679.8324324324312</v>
      </c>
      <c r="GQ367" s="72">
        <f t="shared" si="1947"/>
        <v>4.4504504504504325</v>
      </c>
      <c r="GR367" s="75">
        <f>GR366+GR365</f>
        <v>9027.0257297297303</v>
      </c>
      <c r="GS367" s="72">
        <f t="shared" si="1947"/>
        <v>4.0000000000000284</v>
      </c>
      <c r="GT367" s="75">
        <f>GT366+GT365</f>
        <v>9388.1067589189188</v>
      </c>
      <c r="GU367" s="72">
        <f t="shared" si="1947"/>
        <v>3.9999999999999858</v>
      </c>
      <c r="GV367" s="75">
        <f>GV366+GV365</f>
        <v>9763.6310292756752</v>
      </c>
      <c r="GW367" s="72">
        <f t="shared" si="1948"/>
        <v>4</v>
      </c>
      <c r="GX367" s="75">
        <f>GX366+GX365</f>
        <v>10154.176270446704</v>
      </c>
      <c r="GY367" s="72">
        <f t="shared" si="1949"/>
        <v>4.0000000000000284</v>
      </c>
      <c r="GZ367" s="72">
        <f t="shared" si="1954"/>
        <v>4.089934413243701</v>
      </c>
      <c r="HA367" s="72"/>
      <c r="HB367" s="72"/>
      <c r="HC367"/>
      <c r="HD367"/>
      <c r="HE367"/>
      <c r="HF367"/>
      <c r="HG367"/>
      <c r="HH367"/>
      <c r="HI367" s="2"/>
    </row>
    <row r="368" spans="2:217" s="3" customFormat="1" ht="12.75" customHeight="1" x14ac:dyDescent="0.2">
      <c r="B368" s="10" t="s">
        <v>667</v>
      </c>
      <c r="C368" s="74">
        <f>FF368-I368-G368-E368</f>
        <v>30</v>
      </c>
      <c r="D368" s="72"/>
      <c r="E368" s="74">
        <v>30</v>
      </c>
      <c r="F368" s="72"/>
      <c r="G368" s="74">
        <v>34</v>
      </c>
      <c r="H368" s="72"/>
      <c r="I368" s="74">
        <v>35</v>
      </c>
      <c r="J368" s="72"/>
      <c r="K368" s="74">
        <v>34</v>
      </c>
      <c r="L368" s="72">
        <f t="shared" si="1903"/>
        <v>13.333333333333329</v>
      </c>
      <c r="M368" s="74">
        <v>34</v>
      </c>
      <c r="N368" s="72">
        <f t="shared" si="1904"/>
        <v>13.333333333333329</v>
      </c>
      <c r="O368" s="74">
        <v>37</v>
      </c>
      <c r="P368" s="72">
        <f t="shared" si="1905"/>
        <v>8.8235294117646959</v>
      </c>
      <c r="Q368" s="74">
        <v>41</v>
      </c>
      <c r="R368" s="72">
        <f>IF(ISERROR(Q368/I368),"NA",IF(OR(Q368/I368&gt;2,Q368/I368&lt;0.5),"NM",Q368/I368*100-100))</f>
        <v>17.142857142857153</v>
      </c>
      <c r="S368" s="74">
        <v>41</v>
      </c>
      <c r="T368" s="72">
        <f>IF(ISERROR(S368/K368),"NA",IF(OR(S368/K368&gt;2,S368/K368&lt;0.5),"NM",S368/K368*100-100))</f>
        <v>20.588235294117638</v>
      </c>
      <c r="U368" s="74">
        <v>45</v>
      </c>
      <c r="V368" s="72">
        <f>IF(ISERROR(U368/M368),"NA",IF(OR(U368/M368&gt;2,U368/M368&lt;0.5),"NM",U368/M368*100-100))</f>
        <v>32.35294117647058</v>
      </c>
      <c r="W368" s="74">
        <v>48</v>
      </c>
      <c r="X368" s="72">
        <f>IF(ISERROR(W368/O368),"NA",IF(OR(W368/O368&gt;2,W368/O368&lt;0.5),"NM",W368/O368*100-100))</f>
        <v>29.72972972972974</v>
      </c>
      <c r="Y368" s="74">
        <v>48</v>
      </c>
      <c r="Z368" s="72">
        <f>IF(ISERROR(Y368/Q368),"NA",IF(OR(Y368/Q368&gt;2,Y368/Q368&lt;0.5),"NM",Y368/Q368*100-100))</f>
        <v>17.073170731707307</v>
      </c>
      <c r="AA368" s="74">
        <v>49</v>
      </c>
      <c r="AB368" s="72">
        <f>IF(ISERROR(AA368/S368),"NA",IF(OR(AA368/S368&gt;2,AA368/S368&lt;0.5),"NM",AA368/S368*100-100))</f>
        <v>19.512195121951208</v>
      </c>
      <c r="AC368" s="74">
        <v>54</v>
      </c>
      <c r="AD368" s="72">
        <f>IF(ISERROR(AC368/U368),"NA",IF(OR(AC368/U368&gt;2,AC368/U368&lt;0.5),"NM",AC368/U368*100-100))</f>
        <v>20</v>
      </c>
      <c r="AE368" s="74">
        <v>60</v>
      </c>
      <c r="AF368" s="72">
        <f>IF(ISERROR(AE368/W368),"NA",IF(OR(AE368/W368&gt;2,AE368/W368&lt;0.5),"NM",AE368/W368*100-100))</f>
        <v>25</v>
      </c>
      <c r="AG368" s="74">
        <v>70</v>
      </c>
      <c r="AH368" s="72">
        <f>IF(ISERROR(AG368/Y368),"NA",IF(OR(AG368/Y368&gt;2,AG368/Y368&lt;0.5),"NM",AG368/Y368*100-100))</f>
        <v>45.833333333333314</v>
      </c>
      <c r="AI368" s="74">
        <v>74</v>
      </c>
      <c r="AJ368" s="72">
        <f>IF(ISERROR(AI368/AA368),"NA",IF(OR(AI368/AA368&gt;2,AI368/AA368&lt;0.5),"NM",AI368/AA368*100-100))</f>
        <v>51.020408163265301</v>
      </c>
      <c r="AK368" s="74">
        <v>80</v>
      </c>
      <c r="AL368" s="72">
        <f>IF(ISERROR(AK368/AC368),"NA",IF(OR(AK368/AC368&gt;2,AK368/AC368&lt;0.5),"NM",AK368/AC368*100-100))</f>
        <v>48.148148148148152</v>
      </c>
      <c r="AM368" s="74">
        <v>85</v>
      </c>
      <c r="AN368" s="72">
        <f>IF(ISERROR(AM368/AE368),"NA",IF(OR(AM368/AE368&gt;2,AM368/AE368&lt;0.5),"NM",AM368/AE368*100-100))</f>
        <v>41.666666666666686</v>
      </c>
      <c r="AO368" s="74">
        <v>80</v>
      </c>
      <c r="AP368" s="72">
        <f>IF(ISERROR(AO368/AG368),"NA",IF(OR(AO368/AG368&gt;2,AO368/AG368&lt;0.5),"NM",AO368/AG368*100-100))</f>
        <v>14.285714285714278</v>
      </c>
      <c r="AQ368" s="74">
        <v>144</v>
      </c>
      <c r="AR368" s="72">
        <f t="shared" si="1906"/>
        <v>94.594594594594611</v>
      </c>
      <c r="AS368" s="74">
        <v>140</v>
      </c>
      <c r="AT368" s="72">
        <f t="shared" si="1907"/>
        <v>75</v>
      </c>
      <c r="AU368" s="74">
        <v>146</v>
      </c>
      <c r="AV368" s="72">
        <f t="shared" si="1908"/>
        <v>71.764705882352928</v>
      </c>
      <c r="AW368" s="74">
        <v>193</v>
      </c>
      <c r="AX368" s="72" t="str">
        <f t="shared" si="1909"/>
        <v>NM</v>
      </c>
      <c r="AY368" s="74">
        <v>156</v>
      </c>
      <c r="AZ368" s="72">
        <f t="shared" si="1910"/>
        <v>8.3333333333333286</v>
      </c>
      <c r="BA368" s="74">
        <v>162</v>
      </c>
      <c r="BB368" s="72">
        <f t="shared" si="1911"/>
        <v>15.714285714285722</v>
      </c>
      <c r="BC368" s="74">
        <v>173</v>
      </c>
      <c r="BD368" s="72">
        <f t="shared" si="1912"/>
        <v>18.493150684931521</v>
      </c>
      <c r="BE368" s="74">
        <v>179</v>
      </c>
      <c r="BF368" s="72">
        <f t="shared" si="1913"/>
        <v>-7.2538860103626916</v>
      </c>
      <c r="BG368" s="74">
        <v>187</v>
      </c>
      <c r="BH368" s="72">
        <f t="shared" si="1914"/>
        <v>19.871794871794862</v>
      </c>
      <c r="BI368" s="74">
        <v>188</v>
      </c>
      <c r="BJ368" s="72">
        <f>IF(ISERROR(BI368/BA368),"NA",IF(OR(BI368/BA368&gt;2,BI368/BA368&lt;0.5),"NM",BI368/BA368*100-100))</f>
        <v>16.049382716049394</v>
      </c>
      <c r="BK368" s="74">
        <v>207</v>
      </c>
      <c r="BL368" s="72">
        <f>IF(ISERROR(BK368/BC368),"NA",IF(OR(BK368/BC368&gt;2,BK368/BC368&lt;0.5),"NM",BK368/BC368*100-100))</f>
        <v>19.653179190751445</v>
      </c>
      <c r="BM368" s="74">
        <v>217</v>
      </c>
      <c r="BN368" s="72">
        <f t="shared" si="1915"/>
        <v>21.229050279329613</v>
      </c>
      <c r="BO368" s="74">
        <v>232</v>
      </c>
      <c r="BP368" s="72">
        <f>IF(ISERROR(BO368/BG368),"NA",IF(OR(BO368/BG368&gt;2,BO368/BG368&lt;0.5),"NM",BO368/BG368*100-100))</f>
        <v>24.064171122994665</v>
      </c>
      <c r="BQ368" s="74">
        <v>234</v>
      </c>
      <c r="BR368" s="72">
        <f>IF(ISERROR(BQ368/BI368),"NA",IF(OR(BQ368/BI368&gt;2,BQ368/BI368&lt;0.5),"NM",BQ368/BI368*100-100))</f>
        <v>24.468085106382986</v>
      </c>
      <c r="BS368" s="74">
        <v>247</v>
      </c>
      <c r="BT368" s="72">
        <f>IF(ISERROR(BS368/BK368),"NA",IF(OR(BS368/BK368&gt;2,BS368/BK368&lt;0.5),"NM",BS368/BK368*100-100))</f>
        <v>19.323671497584542</v>
      </c>
      <c r="BU368" s="74">
        <v>249</v>
      </c>
      <c r="BV368" s="72">
        <f>IF(ISERROR(BU368/BM368),"NA",IF(OR(BU368/BM368&gt;2,BU368/BM368&lt;0.5),"NM",BU368/BM368*100-100))</f>
        <v>14.746543778801851</v>
      </c>
      <c r="BW368" s="74">
        <v>254</v>
      </c>
      <c r="BX368" s="72">
        <f>IF(ISERROR(BW368/BO368),"NA",IF(OR(BW368/BO368&gt;2,BW368/BO368&lt;0.5),"NM",BW368/BO368*100-100))</f>
        <v>9.4827586206896513</v>
      </c>
      <c r="BY368" s="74">
        <v>251</v>
      </c>
      <c r="BZ368" s="72">
        <f>IF(ISERROR(BY368/BQ368),"NA",IF(OR(BY368/BQ368&gt;2,BY368/BQ368&lt;0.5),"NM",BY368/BQ368*100-100))</f>
        <v>7.2649572649572605</v>
      </c>
      <c r="CA368" s="74">
        <v>279</v>
      </c>
      <c r="CB368" s="72">
        <f>IF(ISERROR(CA368/BS368),"NA",IF(OR(CA368/BS368&gt;2,CA368/BS368&lt;0.5),"NM",CA368/BS368*100-100))</f>
        <v>12.955465587044529</v>
      </c>
      <c r="CC368" s="74">
        <v>285</v>
      </c>
      <c r="CD368" s="72">
        <f>IF(ISERROR(CC368/BU368),"NA",IF(OR(CC368/BU368&gt;2,CC368/BU368&lt;0.5),"NM",CC368/BU368*100-100))</f>
        <v>14.457831325301214</v>
      </c>
      <c r="CE368" s="74">
        <v>299</v>
      </c>
      <c r="CF368" s="72">
        <f>IF(ISERROR(CE368/BW368),"NA",IF(OR(CE368/BW368&gt;2,CE368/BW368&lt;0.5),"NM",CE368/BW368*100-100))</f>
        <v>17.71653543307086</v>
      </c>
      <c r="CG368" s="74">
        <v>295</v>
      </c>
      <c r="CH368" s="72">
        <f>IF(ISERROR(CG368/BY368),"NA",IF(OR(CG368/BY368&gt;2,CG368/BY368&lt;0.5),"NM",CG368/BY368*100-100))</f>
        <v>17.529880478087662</v>
      </c>
      <c r="CI368" s="74">
        <v>326</v>
      </c>
      <c r="CJ368" s="72">
        <f>IF(ISERROR(CI368/CA368),"NA",IF(OR(CI368/CA368&gt;2,CI368/CA368&lt;0.5),"NM",CI368/CA368*100-100))</f>
        <v>16.84587813620071</v>
      </c>
      <c r="CK368" s="74">
        <v>336</v>
      </c>
      <c r="CL368" s="72">
        <f>IF(ISERROR(CK368/CC368),"NA",IF(OR(CK368/CC368&gt;2,CK368/CC368&lt;0.5),"NM",CK368/CC368*100-100))</f>
        <v>17.894736842105246</v>
      </c>
      <c r="CM368" s="74">
        <v>351</v>
      </c>
      <c r="CN368" s="72">
        <f>IF(ISERROR(CM368/CE368),"NA",IF(OR(CM368/CE368&gt;2,CM368/CE368&lt;0.5),"NM",CM368/CE368*100-100))</f>
        <v>17.391304347826093</v>
      </c>
      <c r="CO368" s="74">
        <v>347</v>
      </c>
      <c r="CP368" s="72">
        <f>IF(ISERROR(CO368/CG368),"NA",IF(OR(CO368/CG368&gt;2,CO368/CG368&lt;0.5),"NM",CO368/CG368*100-100))</f>
        <v>17.627118644067806</v>
      </c>
      <c r="CQ368" s="74">
        <v>378</v>
      </c>
      <c r="CR368" s="72">
        <f>IF(ISERROR(CQ368/CI368),"NA",IF(OR(CQ368/CI368&gt;2,CQ368/CI368&lt;0.5),"NM",CQ368/CI368*100-100))</f>
        <v>15.950920245398777</v>
      </c>
      <c r="CS368" s="74">
        <v>375</v>
      </c>
      <c r="CT368" s="72">
        <f>IF(ISERROR(CS368/CK368),"NA",IF(OR(CS368/CK368&gt;2,CS368/CK368&lt;0.5),"NM",CS368/CK368*100-100))</f>
        <v>11.607142857142861</v>
      </c>
      <c r="CU368" s="74">
        <v>386</v>
      </c>
      <c r="CV368" s="72">
        <f>IF(ISERROR(CU368/CM368),"NA",IF(OR(CU368/CM368&gt;2,CU368/CM368&lt;0.5),"NM",CU368/CM368*100-100))</f>
        <v>9.971509971509974</v>
      </c>
      <c r="CW368" s="74">
        <v>381</v>
      </c>
      <c r="CX368" s="72">
        <f>IF(ISERROR(CW368/CO368),"NA",IF(OR(CW368/CO368&gt;2,CW368/CO368&lt;0.5),"NM",CW368/CO368*100-100))</f>
        <v>9.7982708933717504</v>
      </c>
      <c r="CY368" s="74">
        <v>418</v>
      </c>
      <c r="CZ368" s="72">
        <f>IF(ISERROR(CY368/CQ368),"NA",IF(OR(CY368/CQ368&gt;2,CY368/CQ368&lt;0.5),"NM",CY368/CQ368*100-100))</f>
        <v>10.582010582010582</v>
      </c>
      <c r="DA368" s="74">
        <v>410</v>
      </c>
      <c r="DB368" s="72">
        <f>IF(ISERROR(DA368/CS368),"NA",IF(OR(DA368/CS368&gt;2,DA368/CS368&lt;0.5),"NM",DA368/CS368*100-100))</f>
        <v>9.3333333333333286</v>
      </c>
      <c r="DC368" s="74">
        <v>403</v>
      </c>
      <c r="DD368" s="72">
        <f t="shared" si="1916"/>
        <v>4.4041450777202016</v>
      </c>
      <c r="DE368" s="74">
        <v>390</v>
      </c>
      <c r="DF368" s="72">
        <f t="shared" si="1917"/>
        <v>2.3622047244094517</v>
      </c>
      <c r="DG368" s="74">
        <v>405</v>
      </c>
      <c r="DH368" s="72">
        <f t="shared" si="1918"/>
        <v>-3.1100478468899553</v>
      </c>
      <c r="DI368" s="74">
        <v>418</v>
      </c>
      <c r="DJ368" s="72">
        <f>IF(ISERROR(DI368/DA368),"NA",IF(OR(DI368/DA368&gt;2,DI368/DA368&lt;0.5),"NM",DI368/DA368*100-100))</f>
        <v>1.9512195121951237</v>
      </c>
      <c r="DK368" s="74">
        <v>431</v>
      </c>
      <c r="DL368" s="72">
        <f>IF(ISERROR(DK368/DC368),"NA",IF(OR(DK368/DC368&gt;2,DK368/DC368&lt;0.5),"NM",DK368/DC368*100-100))</f>
        <v>6.9478908188585535</v>
      </c>
      <c r="DM368" s="74">
        <v>431</v>
      </c>
      <c r="DN368" s="72">
        <f t="shared" si="1919"/>
        <v>10.512820512820525</v>
      </c>
      <c r="DO368" s="74">
        <v>436</v>
      </c>
      <c r="DP368" s="72">
        <f t="shared" si="1919"/>
        <v>7.6543209876543301</v>
      </c>
      <c r="DQ368" s="74">
        <v>429</v>
      </c>
      <c r="DR368" s="72">
        <f t="shared" si="1919"/>
        <v>2.6315789473684248</v>
      </c>
      <c r="DS368" s="74">
        <v>434</v>
      </c>
      <c r="DT368" s="72">
        <f t="shared" si="1919"/>
        <v>0.69605568445476251</v>
      </c>
      <c r="DU368" s="74">
        <v>435</v>
      </c>
      <c r="DV368" s="72">
        <f t="shared" si="1919"/>
        <v>0.92807424593968335</v>
      </c>
      <c r="DW368" s="74">
        <v>434</v>
      </c>
      <c r="DX368" s="72">
        <f t="shared" si="1919"/>
        <v>-0.45871559633027914</v>
      </c>
      <c r="DY368" s="74">
        <v>448</v>
      </c>
      <c r="DZ368" s="72">
        <f t="shared" si="1919"/>
        <v>4.428904428904417</v>
      </c>
      <c r="EA368" s="74">
        <v>464</v>
      </c>
      <c r="EB368" s="72">
        <f t="shared" si="1920"/>
        <v>6.9124423963133665</v>
      </c>
      <c r="EC368" s="74">
        <v>483</v>
      </c>
      <c r="ED368" s="72">
        <f t="shared" si="1921"/>
        <v>11.034482758620683</v>
      </c>
      <c r="EE368" s="74">
        <v>513</v>
      </c>
      <c r="EF368" s="72">
        <f t="shared" si="1922"/>
        <v>18.20276497695852</v>
      </c>
      <c r="EG368" s="74">
        <v>492</v>
      </c>
      <c r="EH368" s="72">
        <f t="shared" si="1923"/>
        <v>9.8214285714285836</v>
      </c>
      <c r="EI368" s="74">
        <v>509</v>
      </c>
      <c r="EJ368" s="72">
        <f t="shared" si="1924"/>
        <v>9.698275862068968</v>
      </c>
      <c r="EK368" s="74">
        <v>516</v>
      </c>
      <c r="EL368" s="72">
        <f t="shared" si="1925"/>
        <v>6.8322981366459601</v>
      </c>
      <c r="EM368" s="74">
        <v>540</v>
      </c>
      <c r="EN368" s="72">
        <f t="shared" si="1926"/>
        <v>5.2631578947368354</v>
      </c>
      <c r="EO368" s="74">
        <v>554</v>
      </c>
      <c r="EP368" s="72">
        <f t="shared" si="1927"/>
        <v>12.601626016260155</v>
      </c>
      <c r="EQ368" s="74">
        <f t="shared" ref="EQ368:EQ369" si="1959">EI368*(1+EQ$361/100)</f>
        <v>531.65279279279275</v>
      </c>
      <c r="ER368" s="72">
        <f t="shared" si="1929"/>
        <v>4.4504504504504467</v>
      </c>
      <c r="ES368" s="74">
        <f t="shared" ref="ES368:ES369" si="1960">EK368*(1+ES$361/100)</f>
        <v>538.96432432432437</v>
      </c>
      <c r="ET368" s="72">
        <f t="shared" si="1931"/>
        <v>4.4504504504504467</v>
      </c>
      <c r="EU368" s="74">
        <f t="shared" ref="EU368:EU369" si="1961">EM368*(1+EU$361/100)</f>
        <v>564.03243243243242</v>
      </c>
      <c r="EV368" s="72">
        <f t="shared" si="1933"/>
        <v>4.4504504504504467</v>
      </c>
      <c r="EW368" s="74">
        <f t="shared" ref="EW368:EW369" si="1962">EO368*(1+EW$361/100)</f>
        <v>578.65549549549553</v>
      </c>
      <c r="EX368" s="72">
        <f t="shared" si="1935"/>
        <v>4.4504504504504467</v>
      </c>
      <c r="EY368" s="72"/>
      <c r="EZ368" s="311"/>
      <c r="FA368" s="72"/>
      <c r="FB368" s="74">
        <v>65</v>
      </c>
      <c r="FC368" s="72"/>
      <c r="FD368" s="74">
        <v>99</v>
      </c>
      <c r="FE368" s="72">
        <f t="shared" si="1936"/>
        <v>52.307692307692292</v>
      </c>
      <c r="FF368" s="74">
        <v>129</v>
      </c>
      <c r="FG368" s="72">
        <f t="shared" si="1937"/>
        <v>30.303030303030312</v>
      </c>
      <c r="FH368" s="75">
        <f>K368+M368+O368+Q368</f>
        <v>146</v>
      </c>
      <c r="FI368" s="72">
        <f t="shared" si="1938"/>
        <v>13.178294573643413</v>
      </c>
      <c r="FJ368" s="75">
        <f>S368+U368+W368+Y368</f>
        <v>182</v>
      </c>
      <c r="FK368" s="72">
        <f t="shared" si="1939"/>
        <v>24.657534246575352</v>
      </c>
      <c r="FL368" s="75">
        <f>+AA368+AC368+AE368+AG368</f>
        <v>233</v>
      </c>
      <c r="FM368" s="72">
        <f t="shared" si="1940"/>
        <v>28.021978021978015</v>
      </c>
      <c r="FN368" s="75">
        <f>+AI368+AK368+AM368+AO368</f>
        <v>319</v>
      </c>
      <c r="FO368" s="72">
        <f t="shared" si="1941"/>
        <v>36.909871244635184</v>
      </c>
      <c r="FP368" s="75">
        <f>AQ368+AS368+AU368+AW368</f>
        <v>623</v>
      </c>
      <c r="FQ368" s="72">
        <f t="shared" si="1942"/>
        <v>95.29780564263325</v>
      </c>
      <c r="FR368" s="75">
        <f>AY368+BA368+BC368+BE368</f>
        <v>670</v>
      </c>
      <c r="FS368" s="72">
        <f t="shared" si="1943"/>
        <v>7.5441412520064262</v>
      </c>
      <c r="FT368" s="75">
        <f>BG368+BI368+BK368+BM368</f>
        <v>799</v>
      </c>
      <c r="FU368" s="72">
        <f t="shared" si="1944"/>
        <v>19.25373134328359</v>
      </c>
      <c r="FV368" s="75">
        <f>BO368+BQ368+BS368+BU368</f>
        <v>962</v>
      </c>
      <c r="FW368" s="72">
        <f>IF(ISERROR(FV368/FT368),"NA",IF(OR(FV368/FT368&gt;2,FV368/FT368&lt;0.5),"NM",FV368/FT368*100-100))</f>
        <v>20.400500625782229</v>
      </c>
      <c r="FX368" s="75">
        <f>BW368+BY368+CA368+CC368</f>
        <v>1069</v>
      </c>
      <c r="FY368" s="72">
        <f>IF(ISERROR(FX368/FV368),"NA",IF(OR(FX368/FV368&gt;2,FX368/FV368&lt;0.5),"NM",FX368/FV368*100-100))</f>
        <v>11.122661122661114</v>
      </c>
      <c r="FZ368" s="75">
        <f t="shared" si="1945"/>
        <v>1256</v>
      </c>
      <c r="GA368" s="72">
        <f>IF(ISERROR(FZ368/FX368),"NA",IF(OR(FZ368/FX368&gt;2,FZ368/FX368&lt;0.5),"NM",FZ368/FX368*100-100))</f>
        <v>17.492984097287192</v>
      </c>
      <c r="GB368" s="75">
        <f t="shared" si="1946"/>
        <v>1451</v>
      </c>
      <c r="GC368" s="72">
        <f>IF(ISERROR(GB368/FZ368),"NA",IF(OR(GB368/FZ368&gt;2,GB368/FZ368&lt;0.5),"NM",GB368/FZ368*100-100))</f>
        <v>15.52547770700636</v>
      </c>
      <c r="GD368" s="75">
        <f>CU368+CW368+CY368+DA368</f>
        <v>1595</v>
      </c>
      <c r="GE368" s="72">
        <f>IF(ISERROR(GD368/GB368),"NA",IF(OR(GD368/GB368&gt;2,GD368/GB368&lt;0.5),"NM",GD368/GB368*100-100))</f>
        <v>9.9241902136457725</v>
      </c>
      <c r="GF368" s="75">
        <f>DC368+DE368+DG368+DI368</f>
        <v>1616</v>
      </c>
      <c r="GG368" s="72">
        <f>IF(ISERROR(GF368/GD368),"NA",IF(OR(GF368/GD368&gt;2,GF368/GD368&lt;0.5),"NM",GF368/GD368*100-100))</f>
        <v>1.3166144200627059</v>
      </c>
      <c r="GH368" s="75">
        <f>DK368+DM368+DO368+DQ368</f>
        <v>1727</v>
      </c>
      <c r="GI368" s="72">
        <f t="shared" si="1947"/>
        <v>6.8688118811881083</v>
      </c>
      <c r="GJ368" s="75">
        <f>DS368+DU368+DW368+DY368</f>
        <v>1751</v>
      </c>
      <c r="GK368" s="72">
        <f t="shared" si="1947"/>
        <v>1.3896931094383262</v>
      </c>
      <c r="GL368" s="75">
        <f>EA368+EC368+EE368+EG368</f>
        <v>1952</v>
      </c>
      <c r="GM368" s="72">
        <f t="shared" si="1947"/>
        <v>11.479154768703609</v>
      </c>
      <c r="GN368" s="75">
        <f>EI368+EK368+EM368+EO368</f>
        <v>2119</v>
      </c>
      <c r="GO368" s="72">
        <f t="shared" si="1947"/>
        <v>8.5553278688524728</v>
      </c>
      <c r="GP368" s="75">
        <f>EQ368+ES368+EU368+EW368</f>
        <v>2213.3050450450451</v>
      </c>
      <c r="GQ368" s="72">
        <f t="shared" si="1947"/>
        <v>4.4504504504504467</v>
      </c>
      <c r="GR368" s="74">
        <f>GP368*(1+GR$361/100)</f>
        <v>2301.8372468468469</v>
      </c>
      <c r="GS368" s="72">
        <f t="shared" si="1947"/>
        <v>4</v>
      </c>
      <c r="GT368" s="74">
        <f>GR368*(1+GT$361/100)</f>
        <v>2393.9107367207207</v>
      </c>
      <c r="GU368" s="72">
        <f t="shared" si="1947"/>
        <v>4</v>
      </c>
      <c r="GV368" s="74">
        <f>GT368*(1+GV$361/100)</f>
        <v>2489.6671661895498</v>
      </c>
      <c r="GW368" s="72">
        <f t="shared" si="1948"/>
        <v>4</v>
      </c>
      <c r="GX368" s="74">
        <f>GV368*(1+GX$361/100)</f>
        <v>2589.2538528371319</v>
      </c>
      <c r="GY368" s="72">
        <f t="shared" si="1949"/>
        <v>4</v>
      </c>
      <c r="GZ368" s="72">
        <f t="shared" si="1954"/>
        <v>4.089934413243701</v>
      </c>
      <c r="HA368" s="72"/>
      <c r="HB368" s="72"/>
      <c r="HC368"/>
      <c r="HD368"/>
      <c r="HE368"/>
      <c r="HF368"/>
      <c r="HG368"/>
      <c r="HH368"/>
      <c r="HI368" s="2"/>
    </row>
    <row r="369" spans="1:217" s="3" customFormat="1" ht="12.75" customHeight="1" x14ac:dyDescent="0.2">
      <c r="B369" s="77" t="s">
        <v>293</v>
      </c>
      <c r="C369" s="74">
        <f>FF369-I369-G369-E369</f>
        <v>5</v>
      </c>
      <c r="D369" s="72"/>
      <c r="E369" s="74">
        <v>4</v>
      </c>
      <c r="F369" s="72"/>
      <c r="G369" s="74">
        <v>4</v>
      </c>
      <c r="H369" s="72"/>
      <c r="I369" s="74">
        <v>6</v>
      </c>
      <c r="J369" s="72"/>
      <c r="K369" s="74">
        <v>9</v>
      </c>
      <c r="L369" s="72">
        <f t="shared" si="1903"/>
        <v>80</v>
      </c>
      <c r="M369" s="74">
        <v>11</v>
      </c>
      <c r="N369" s="72" t="str">
        <f t="shared" si="1904"/>
        <v>NM</v>
      </c>
      <c r="O369" s="74">
        <v>8</v>
      </c>
      <c r="P369" s="72">
        <f t="shared" si="1905"/>
        <v>100</v>
      </c>
      <c r="Q369" s="74">
        <v>12</v>
      </c>
      <c r="R369" s="72">
        <f>IF(ISERROR(Q369/I369),"NA",IF(OR(Q369/I369&gt;2,Q369/I369&lt;0.5),"NM",Q369/I369*100-100))</f>
        <v>100</v>
      </c>
      <c r="S369" s="74">
        <v>10</v>
      </c>
      <c r="T369" s="72">
        <f>IF(ISERROR(S369/K369),"NA",IF(OR(S369/K369&gt;2,S369/K369&lt;0.5),"NM",S369/K369*100-100))</f>
        <v>11.111111111111114</v>
      </c>
      <c r="U369" s="74">
        <v>4</v>
      </c>
      <c r="V369" s="72" t="str">
        <f>IF(ISERROR(U369/M369),"NA",IF(OR(U369/M369&gt;2,U369/M369&lt;0.5),"NM",U369/M369*100-100))</f>
        <v>NM</v>
      </c>
      <c r="W369" s="74">
        <v>-5</v>
      </c>
      <c r="X369" s="72" t="str">
        <f>IF(ISERROR(W369/O369),"NA",IF(OR(W369/O369&gt;2,W369/O369&lt;0.5),"NM",W369/O369*100-100))</f>
        <v>NM</v>
      </c>
      <c r="Y369" s="74">
        <v>-3</v>
      </c>
      <c r="Z369" s="72" t="str">
        <f>IF(ISERROR(Y369/Q369),"NA",IF(OR(Y369/Q369&gt;2,Y369/Q369&lt;0.5),"NM",Y369/Q369*100-100))</f>
        <v>NM</v>
      </c>
      <c r="AA369" s="74">
        <v>-1</v>
      </c>
      <c r="AB369" s="72" t="str">
        <f>IF(ISERROR(AA369/S369),"NA",IF(OR(AA369/S369&gt;2,AA369/S369&lt;0.5),"NM",AA369/S369*100-100))</f>
        <v>NM</v>
      </c>
      <c r="AC369" s="74">
        <v>0</v>
      </c>
      <c r="AD369" s="72" t="str">
        <f>IF(ISERROR(AC369/U369),"NA",IF(OR(AC369/U369&gt;2,AC369/U369&lt;0.5),"NM",AC369/U369*100-100))</f>
        <v>NM</v>
      </c>
      <c r="AE369" s="74">
        <v>-7</v>
      </c>
      <c r="AF369" s="72">
        <f>IF(ISERROR(AE369/W369),"NA",IF(OR(AE369/W369&gt;2,AE369/W369&lt;0.5),"NM",AE369/W369*100-100))</f>
        <v>40</v>
      </c>
      <c r="AG369" s="74">
        <v>-11</v>
      </c>
      <c r="AH369" s="72" t="str">
        <f>IF(ISERROR(AG369/Y369),"NA",IF(OR(AG369/Y369&gt;2,AG369/Y369&lt;0.5),"NM",AG369/Y369*100-100))</f>
        <v>NM</v>
      </c>
      <c r="AI369" s="74">
        <v>-10</v>
      </c>
      <c r="AJ369" s="72" t="str">
        <f>IF(ISERROR(AI369/AA369),"NA",IF(OR(AI369/AA369&gt;2,AI369/AA369&lt;0.5),"NM",AI369/AA369*100-100))</f>
        <v>NM</v>
      </c>
      <c r="AK369" s="74">
        <v>0</v>
      </c>
      <c r="AL369" s="72" t="str">
        <f>IF(ISERROR(AK369/AC369),"NA",IF(OR(AK369/AC369&gt;2,AK369/AC369&lt;0.5),"NM",AK369/AC369*100-100))</f>
        <v>NA</v>
      </c>
      <c r="AM369" s="74">
        <v>-9</v>
      </c>
      <c r="AN369" s="72">
        <f>IF(ISERROR(AM369/AE369),"NA",IF(OR(AM369/AE369&gt;2,AM369/AE369&lt;0.5),"NM",AM369/AE369*100-100))</f>
        <v>28.571428571428584</v>
      </c>
      <c r="AO369" s="74">
        <v>-8</v>
      </c>
      <c r="AP369" s="72">
        <f>IF(ISERROR(AO369/AG369),"NA",IF(OR(AO369/AG369&gt;2,AO369/AG369&lt;0.5),"NM",AO369/AG369*100-100))</f>
        <v>-27.272727272727266</v>
      </c>
      <c r="AQ369" s="74">
        <v>-2</v>
      </c>
      <c r="AR369" s="72" t="str">
        <f t="shared" si="1906"/>
        <v>NM</v>
      </c>
      <c r="AS369" s="74">
        <v>-13</v>
      </c>
      <c r="AT369" s="72" t="str">
        <f t="shared" si="1907"/>
        <v>NA</v>
      </c>
      <c r="AU369" s="74">
        <v>-3</v>
      </c>
      <c r="AV369" s="72" t="str">
        <f t="shared" si="1908"/>
        <v>NM</v>
      </c>
      <c r="AW369" s="74">
        <v>21</v>
      </c>
      <c r="AX369" s="72" t="str">
        <f t="shared" si="1909"/>
        <v>NM</v>
      </c>
      <c r="AY369" s="74">
        <v>16</v>
      </c>
      <c r="AZ369" s="72" t="str">
        <f t="shared" si="1910"/>
        <v>NM</v>
      </c>
      <c r="BA369" s="74">
        <v>13</v>
      </c>
      <c r="BB369" s="72" t="str">
        <f t="shared" si="1911"/>
        <v>NM</v>
      </c>
      <c r="BC369" s="74">
        <v>25</v>
      </c>
      <c r="BD369" s="72" t="str">
        <f t="shared" si="1912"/>
        <v>NM</v>
      </c>
      <c r="BE369" s="74">
        <v>22</v>
      </c>
      <c r="BF369" s="72">
        <f t="shared" si="1913"/>
        <v>4.7619047619047734</v>
      </c>
      <c r="BG369" s="74">
        <v>30</v>
      </c>
      <c r="BH369" s="72">
        <f t="shared" si="1914"/>
        <v>87.5</v>
      </c>
      <c r="BI369" s="74">
        <v>39</v>
      </c>
      <c r="BJ369" s="72" t="str">
        <f>IF(ISERROR(BI369/BA369),"NA",IF(OR(BI369/BA369&gt;2,BI369/BA369&lt;0.5),"NM",BI369/BA369*100-100))</f>
        <v>NM</v>
      </c>
      <c r="BK369" s="74">
        <v>19</v>
      </c>
      <c r="BL369" s="72">
        <f>IF(ISERROR(BK369/BC369),"NA",IF(OR(BK369/BC369&gt;2,BK369/BC369&lt;0.5),"NM",BK369/BC369*100-100))</f>
        <v>-24</v>
      </c>
      <c r="BM369" s="74">
        <v>21</v>
      </c>
      <c r="BN369" s="72">
        <f t="shared" si="1915"/>
        <v>-4.5454545454545467</v>
      </c>
      <c r="BO369" s="74">
        <v>13</v>
      </c>
      <c r="BP369" s="72" t="str">
        <f>IF(ISERROR(BO369/BG369),"NA",IF(OR(BO369/BG369&gt;2,BO369/BG369&lt;0.5),"NM",BO369/BG369*100-100))</f>
        <v>NM</v>
      </c>
      <c r="BQ369" s="74">
        <v>30</v>
      </c>
      <c r="BR369" s="72">
        <f>IF(ISERROR(BQ369/BI369),"NA",IF(OR(BQ369/BI369&gt;2,BQ369/BI369&lt;0.5),"NM",BQ369/BI369*100-100))</f>
        <v>-23.076923076923066</v>
      </c>
      <c r="BS369" s="74">
        <v>20</v>
      </c>
      <c r="BT369" s="72">
        <f>IF(ISERROR(BS369/BK369),"NA",IF(OR(BS369/BK369&gt;2,BS369/BK369&lt;0.5),"NM",BS369/BK369*100-100))</f>
        <v>5.2631578947368354</v>
      </c>
      <c r="BU369" s="74">
        <v>16</v>
      </c>
      <c r="BV369" s="72">
        <f>IF(ISERROR(BU369/BM369),"NA",IF(OR(BU369/BM369&gt;2,BU369/BM369&lt;0.5),"NM",BU369/BM369*100-100))</f>
        <v>-23.80952380952381</v>
      </c>
      <c r="BW369" s="74">
        <v>25</v>
      </c>
      <c r="BX369" s="72">
        <f>IF(ISERROR(BW369/BO369),"NA",IF(OR(BW369/BO369&gt;2,BW369/BO369&lt;0.5),"NM",BW369/BO369*100-100))</f>
        <v>92.307692307692321</v>
      </c>
      <c r="BY369" s="74">
        <v>17</v>
      </c>
      <c r="BZ369" s="72">
        <f>IF(ISERROR(BY369/BQ369),"NA",IF(OR(BY369/BQ369&gt;2,BY369/BQ369&lt;0.5),"NM",BY369/BQ369*100-100))</f>
        <v>-43.333333333333336</v>
      </c>
      <c r="CA369" s="74">
        <v>14</v>
      </c>
      <c r="CB369" s="72">
        <f>IF(ISERROR(CA369/BS369),"NA",IF(OR(CA369/BS369&gt;2,CA369/BS369&lt;0.5),"NM",CA369/BS369*100-100))</f>
        <v>-30</v>
      </c>
      <c r="CC369" s="74">
        <v>5</v>
      </c>
      <c r="CD369" s="72" t="str">
        <f>IF(ISERROR(CC369/BU369),"NA",IF(OR(CC369/BU369&gt;2,CC369/BU369&lt;0.5),"NM",CC369/BU369*100-100))</f>
        <v>NM</v>
      </c>
      <c r="CE369" s="74">
        <v>10</v>
      </c>
      <c r="CF369" s="72" t="str">
        <f>IF(ISERROR(CE369/BW369),"NA",IF(OR(CE369/BW369&gt;2,CE369/BW369&lt;0.5),"NM",CE369/BW369*100-100))</f>
        <v>NM</v>
      </c>
      <c r="CG369" s="74">
        <v>10</v>
      </c>
      <c r="CH369" s="72">
        <f>IF(ISERROR(CG369/BY369),"NA",IF(OR(CG369/BY369&gt;2,CG369/BY369&lt;0.5),"NM",CG369/BY369*100-100))</f>
        <v>-41.17647058823529</v>
      </c>
      <c r="CI369" s="74">
        <v>7</v>
      </c>
      <c r="CJ369" s="72">
        <f>IF(ISERROR(CI369/CA369),"NA",IF(OR(CI369/CA369&gt;2,CI369/CA369&lt;0.5),"NM",CI369/CA369*100-100))</f>
        <v>-50</v>
      </c>
      <c r="CK369" s="74">
        <v>-4</v>
      </c>
      <c r="CL369" s="72" t="str">
        <f>IF(ISERROR(CK369/CC369),"NA",IF(OR(CK369/CC369&gt;2,CK369/CC369&lt;0.5),"NM",CK369/CC369*100-100))</f>
        <v>NM</v>
      </c>
      <c r="CM369" s="74">
        <v>1</v>
      </c>
      <c r="CN369" s="72" t="str">
        <f>IF(ISERROR(CM369/CE369),"NA",IF(OR(CM369/CE369&gt;2,CM369/CE369&lt;0.5),"NM",CM369/CE369*100-100))</f>
        <v>NM</v>
      </c>
      <c r="CO369" s="74">
        <v>-6</v>
      </c>
      <c r="CP369" s="72" t="str">
        <f>IF(ISERROR(CO369/CG369),"NA",IF(OR(CO369/CG369&gt;2,CO369/CG369&lt;0.5),"NM",CO369/CG369*100-100))</f>
        <v>NM</v>
      </c>
      <c r="CQ369" s="74">
        <v>-12</v>
      </c>
      <c r="CR369" s="72" t="str">
        <f>IF(ISERROR(CQ369/CI369),"NA",IF(OR(CQ369/CI369&gt;2,CQ369/CI369&lt;0.5),"NM",CQ369/CI369*100-100))</f>
        <v>NM</v>
      </c>
      <c r="CS369" s="74">
        <v>-14</v>
      </c>
      <c r="CT369" s="72" t="str">
        <f>IF(ISERROR(CS369/CK369),"NA",IF(OR(CS369/CK369&gt;2,CS369/CK369&lt;0.5),"NM",CS369/CK369*100-100))</f>
        <v>NM</v>
      </c>
      <c r="CU369" s="74">
        <v>11</v>
      </c>
      <c r="CV369" s="72" t="str">
        <f>IF(ISERROR(CU369/CM369),"NA",IF(OR(CU369/CM369&gt;2,CU369/CM369&lt;0.5),"NM",CU369/CM369*100-100))</f>
        <v>NM</v>
      </c>
      <c r="CW369" s="74">
        <v>27</v>
      </c>
      <c r="CX369" s="72" t="str">
        <f>IF(ISERROR(CW369/CO369),"NA",IF(OR(CW369/CO369&gt;2,CW369/CO369&lt;0.5),"NM",CW369/CO369*100-100))</f>
        <v>NM</v>
      </c>
      <c r="CY369" s="74">
        <v>9</v>
      </c>
      <c r="CZ369" s="72" t="str">
        <f>IF(ISERROR(CY369/CQ369),"NA",IF(OR(CY369/CQ369&gt;2,CY369/CQ369&lt;0.5),"NM",CY369/CQ369*100-100))</f>
        <v>NM</v>
      </c>
      <c r="DA369" s="74">
        <v>18</v>
      </c>
      <c r="DB369" s="72" t="str">
        <f>IF(ISERROR(DA369/CS369),"NA",IF(OR(DA369/CS369&gt;2,DA369/CS369&lt;0.5),"NM",DA369/CS369*100-100))</f>
        <v>NM</v>
      </c>
      <c r="DC369" s="74">
        <v>60</v>
      </c>
      <c r="DD369" s="72" t="str">
        <f t="shared" si="1916"/>
        <v>NM</v>
      </c>
      <c r="DE369" s="74">
        <v>60</v>
      </c>
      <c r="DF369" s="72" t="str">
        <f t="shared" si="1917"/>
        <v>NM</v>
      </c>
      <c r="DG369" s="74">
        <v>74</v>
      </c>
      <c r="DH369" s="72" t="str">
        <f t="shared" si="1918"/>
        <v>NM</v>
      </c>
      <c r="DI369" s="74">
        <v>49</v>
      </c>
      <c r="DJ369" s="72" t="str">
        <f>IF(ISERROR(DI369/DA369),"NA",IF(OR(DI369/DA369&gt;2,DI369/DA369&lt;0.5),"NM",DI369/DA369*100-100))</f>
        <v>NM</v>
      </c>
      <c r="DK369" s="74">
        <v>73</v>
      </c>
      <c r="DL369" s="72">
        <f>IF(ISERROR(DK369/DC369),"NA",IF(OR(DK369/DC369&gt;2,DK369/DC369&lt;0.5),"NM",DK369/DC369*100-100))</f>
        <v>21.666666666666657</v>
      </c>
      <c r="DM369" s="74">
        <v>55</v>
      </c>
      <c r="DN369" s="72">
        <f t="shared" si="1919"/>
        <v>-8.3333333333333428</v>
      </c>
      <c r="DO369" s="74">
        <v>68</v>
      </c>
      <c r="DP369" s="72">
        <f t="shared" si="1919"/>
        <v>-8.1081081081080981</v>
      </c>
      <c r="DQ369" s="74">
        <v>88</v>
      </c>
      <c r="DR369" s="72">
        <f t="shared" si="1919"/>
        <v>79.591836734693885</v>
      </c>
      <c r="DS369" s="74">
        <v>91</v>
      </c>
      <c r="DT369" s="72">
        <f t="shared" si="1919"/>
        <v>24.657534246575352</v>
      </c>
      <c r="DU369" s="74">
        <v>84</v>
      </c>
      <c r="DV369" s="72">
        <f t="shared" si="1919"/>
        <v>52.727272727272748</v>
      </c>
      <c r="DW369" s="74">
        <v>88</v>
      </c>
      <c r="DX369" s="72">
        <f t="shared" si="1919"/>
        <v>29.411764705882348</v>
      </c>
      <c r="DY369" s="74">
        <v>91</v>
      </c>
      <c r="DZ369" s="72">
        <f t="shared" si="1919"/>
        <v>3.4090909090909207</v>
      </c>
      <c r="EA369" s="74">
        <v>63</v>
      </c>
      <c r="EB369" s="72">
        <f t="shared" si="1920"/>
        <v>-30.769230769230774</v>
      </c>
      <c r="EC369" s="74">
        <v>49</v>
      </c>
      <c r="ED369" s="72">
        <f t="shared" si="1921"/>
        <v>-41.666666666666664</v>
      </c>
      <c r="EE369" s="74">
        <v>41</v>
      </c>
      <c r="EF369" s="72" t="str">
        <f t="shared" si="1922"/>
        <v>NM</v>
      </c>
      <c r="EG369" s="74">
        <v>64</v>
      </c>
      <c r="EH369" s="72">
        <f t="shared" si="1923"/>
        <v>-29.670329670329664</v>
      </c>
      <c r="EI369" s="74">
        <v>57</v>
      </c>
      <c r="EJ369" s="72">
        <f t="shared" si="1924"/>
        <v>-9.5238095238095184</v>
      </c>
      <c r="EK369" s="74">
        <v>51</v>
      </c>
      <c r="EL369" s="72">
        <f t="shared" si="1925"/>
        <v>4.0816326530612344</v>
      </c>
      <c r="EM369" s="74">
        <v>57</v>
      </c>
      <c r="EN369" s="72">
        <f t="shared" si="1926"/>
        <v>39.024390243902417</v>
      </c>
      <c r="EO369" s="74">
        <v>50</v>
      </c>
      <c r="EP369" s="72">
        <f t="shared" si="1927"/>
        <v>-21.875</v>
      </c>
      <c r="EQ369" s="74">
        <f t="shared" si="1959"/>
        <v>59.536756756756759</v>
      </c>
      <c r="ER369" s="72">
        <f t="shared" si="1929"/>
        <v>4.4504504504504467</v>
      </c>
      <c r="ES369" s="74">
        <f t="shared" si="1960"/>
        <v>53.269729729729733</v>
      </c>
      <c r="ET369" s="72">
        <f t="shared" si="1931"/>
        <v>4.4504504504504467</v>
      </c>
      <c r="EU369" s="74">
        <f t="shared" si="1961"/>
        <v>59.536756756756759</v>
      </c>
      <c r="EV369" s="72">
        <f t="shared" si="1933"/>
        <v>4.4504504504504467</v>
      </c>
      <c r="EW369" s="74">
        <f t="shared" si="1962"/>
        <v>52.225225225225223</v>
      </c>
      <c r="EX369" s="72">
        <f t="shared" si="1935"/>
        <v>4.4504504504504467</v>
      </c>
      <c r="EY369" s="72"/>
      <c r="EZ369" s="311"/>
      <c r="FA369" s="72"/>
      <c r="FB369" s="74">
        <v>15</v>
      </c>
      <c r="FC369" s="72"/>
      <c r="FD369" s="74">
        <v>1</v>
      </c>
      <c r="FE369" s="72" t="str">
        <f t="shared" si="1936"/>
        <v>NM</v>
      </c>
      <c r="FF369" s="74">
        <v>19</v>
      </c>
      <c r="FG369" s="72" t="str">
        <f t="shared" si="1937"/>
        <v>NM</v>
      </c>
      <c r="FH369" s="75">
        <f>K369+M369+O369+Q369</f>
        <v>40</v>
      </c>
      <c r="FI369" s="72" t="str">
        <f t="shared" si="1938"/>
        <v>NM</v>
      </c>
      <c r="FJ369" s="75">
        <f>S369+U369+W369+Y369</f>
        <v>6</v>
      </c>
      <c r="FK369" s="72" t="str">
        <f t="shared" si="1939"/>
        <v>NM</v>
      </c>
      <c r="FL369" s="75">
        <f>+AA369+AC369+AE369+AG369</f>
        <v>-19</v>
      </c>
      <c r="FM369" s="72" t="str">
        <f t="shared" si="1940"/>
        <v>NM</v>
      </c>
      <c r="FN369" s="75">
        <f>+AI369+AK369+AM369+AO369</f>
        <v>-27</v>
      </c>
      <c r="FO369" s="72">
        <f t="shared" si="1941"/>
        <v>42.10526315789474</v>
      </c>
      <c r="FP369" s="75">
        <f>AQ369+AS369+AU369+AW369</f>
        <v>3</v>
      </c>
      <c r="FQ369" s="72" t="str">
        <f t="shared" si="1942"/>
        <v>NM</v>
      </c>
      <c r="FR369" s="75">
        <f>AY369+BA369+BC369+BE369</f>
        <v>76</v>
      </c>
      <c r="FS369" s="72" t="str">
        <f t="shared" si="1943"/>
        <v>NM</v>
      </c>
      <c r="FT369" s="75">
        <f>BG369+BI369+BK369+BM369</f>
        <v>109</v>
      </c>
      <c r="FU369" s="72">
        <f t="shared" si="1944"/>
        <v>43.421052631578931</v>
      </c>
      <c r="FV369" s="74">
        <v>78</v>
      </c>
      <c r="FW369" s="72">
        <f>IF(ISERROR(FV369/FT369),"NA",IF(OR(FV369/FT369&gt;2,FV369/FT369&lt;0.5),"NM",FV369/FT369*100-100))</f>
        <v>-28.440366972477065</v>
      </c>
      <c r="FX369" s="74">
        <v>54</v>
      </c>
      <c r="FY369" s="72">
        <f>IF(ISERROR(FX369/FV369),"NA",IF(OR(FX369/FV369&gt;2,FX369/FV369&lt;0.5),"NM",FX369/FV369*100-100))</f>
        <v>-30.769230769230774</v>
      </c>
      <c r="FZ369" s="75">
        <f t="shared" si="1945"/>
        <v>23</v>
      </c>
      <c r="GA369" s="72" t="str">
        <f>IF(ISERROR(FZ369/FX369),"NA",IF(OR(FZ369/FX369&gt;2,FZ369/FX369&lt;0.5),"NM",FZ369/FX369*100-100))</f>
        <v>NM</v>
      </c>
      <c r="GB369" s="75">
        <f t="shared" si="1946"/>
        <v>-31</v>
      </c>
      <c r="GC369" s="72" t="str">
        <f>IF(ISERROR(GB369/FZ369),"NA",IF(OR(GB369/FZ369&gt;2,GB369/FZ369&lt;0.5),"NM",GB369/FZ369*100-100))</f>
        <v>NM</v>
      </c>
      <c r="GD369" s="75">
        <f>CU369+CW369+CY369+DA369</f>
        <v>65</v>
      </c>
      <c r="GE369" s="72" t="str">
        <f>IF(ISERROR(GD369/GB369),"NA",IF(OR(GD369/GB369&gt;2,GD369/GB369&lt;0.5),"NM",GD369/GB369*100-100))</f>
        <v>NM</v>
      </c>
      <c r="GF369" s="75">
        <f>DC369+DE369+DG369+DI369</f>
        <v>243</v>
      </c>
      <c r="GG369" s="72" t="str">
        <f>IF(ISERROR(GF369/GD369),"NA",IF(OR(GF369/GD369&gt;2,GF369/GD369&lt;0.5),"NM",GF369/GD369*100-100))</f>
        <v>NM</v>
      </c>
      <c r="GH369" s="75">
        <f>DK369+DM369+DO369+DQ369</f>
        <v>284</v>
      </c>
      <c r="GI369" s="72">
        <f t="shared" si="1947"/>
        <v>16.872427983539097</v>
      </c>
      <c r="GJ369" s="75">
        <f>DS369+DU369+DW369+DY369</f>
        <v>354</v>
      </c>
      <c r="GK369" s="72">
        <f t="shared" si="1947"/>
        <v>24.64788732394365</v>
      </c>
      <c r="GL369" s="75">
        <f>EA369+EC369+EE369+EG369</f>
        <v>217</v>
      </c>
      <c r="GM369" s="72">
        <f t="shared" si="1947"/>
        <v>-38.700564971751419</v>
      </c>
      <c r="GN369" s="75">
        <f>EI369+EK369+EM369+EO369</f>
        <v>215</v>
      </c>
      <c r="GO369" s="72">
        <f t="shared" si="1947"/>
        <v>-0.92165898617511743</v>
      </c>
      <c r="GP369" s="75">
        <f>EQ369+ES369+EU369+EW369</f>
        <v>224.56846846846847</v>
      </c>
      <c r="GQ369" s="72">
        <f t="shared" si="1947"/>
        <v>4.4504504504504467</v>
      </c>
      <c r="GR369" s="74">
        <f>GP369*(1+GR$361/100)</f>
        <v>233.55120720720723</v>
      </c>
      <c r="GS369" s="72">
        <f t="shared" si="1947"/>
        <v>4</v>
      </c>
      <c r="GT369" s="74">
        <f>GR369*(1+GT$361/100)</f>
        <v>242.89325549549554</v>
      </c>
      <c r="GU369" s="72">
        <f t="shared" si="1947"/>
        <v>4</v>
      </c>
      <c r="GV369" s="74">
        <f>GT369*(1+GV$361/100)</f>
        <v>252.60898571531536</v>
      </c>
      <c r="GW369" s="72">
        <f t="shared" si="1948"/>
        <v>4</v>
      </c>
      <c r="GX369" s="74">
        <f>GV369*(1+GX$361/100)</f>
        <v>262.713345143928</v>
      </c>
      <c r="GY369" s="72">
        <f t="shared" si="1949"/>
        <v>4</v>
      </c>
      <c r="GZ369" s="72">
        <f t="shared" si="1954"/>
        <v>4.089934413243701</v>
      </c>
      <c r="HA369" s="72"/>
      <c r="HB369" s="72"/>
      <c r="HC369"/>
      <c r="HD369"/>
      <c r="HE369"/>
      <c r="HF369"/>
      <c r="HG369"/>
      <c r="HH369"/>
      <c r="HI369" s="2"/>
    </row>
    <row r="370" spans="1:217" s="133" customFormat="1" ht="12.75" customHeight="1" x14ac:dyDescent="0.2">
      <c r="A370" s="133" t="s">
        <v>86</v>
      </c>
      <c r="B370" s="93" t="s">
        <v>212</v>
      </c>
      <c r="C370" s="91">
        <f>SUM(C367:C369)</f>
        <v>466</v>
      </c>
      <c r="D370" s="80"/>
      <c r="E370" s="91">
        <f>SUM(E367:E369)</f>
        <v>458</v>
      </c>
      <c r="F370" s="80"/>
      <c r="G370" s="91">
        <f>SUM(G367:G369)</f>
        <v>484</v>
      </c>
      <c r="H370" s="80"/>
      <c r="I370" s="91">
        <f>SUM(I367:I369)</f>
        <v>512</v>
      </c>
      <c r="J370" s="80"/>
      <c r="K370" s="91">
        <f>SUM(K367:K369)</f>
        <v>521</v>
      </c>
      <c r="L370" s="72">
        <f t="shared" si="1903"/>
        <v>11.80257510729615</v>
      </c>
      <c r="M370" s="91">
        <f>SUM(M367:M369)</f>
        <v>506</v>
      </c>
      <c r="N370" s="72">
        <f t="shared" si="1904"/>
        <v>10.480349344978166</v>
      </c>
      <c r="O370" s="91">
        <f>SUM(O367:O369)</f>
        <v>528</v>
      </c>
      <c r="P370" s="72">
        <f t="shared" si="1905"/>
        <v>9.0909090909090793</v>
      </c>
      <c r="Q370" s="91">
        <f>SUM(Q367:Q369)</f>
        <v>565</v>
      </c>
      <c r="R370" s="72">
        <f>IF(ISERROR(Q370/I370),"NA",IF(OR(Q370/I370&gt;2,Q370/I370&lt;0.5),"NM",Q370/I370*100-100))</f>
        <v>10.3515625</v>
      </c>
      <c r="S370" s="91">
        <f>SUM(S367:S369)</f>
        <v>566</v>
      </c>
      <c r="T370" s="72">
        <f>IF(ISERROR(S370/K370),"NA",IF(OR(S370/K370&gt;2,S370/K370&lt;0.5),"NM",S370/K370*100-100))</f>
        <v>8.6372360844529652</v>
      </c>
      <c r="U370" s="91">
        <f>SUM(U367:U369)</f>
        <v>565</v>
      </c>
      <c r="V370" s="72">
        <f>IF(ISERROR(U370/M370),"NA",IF(OR(U370/M370&gt;2,U370/M370&lt;0.5),"NM",U370/M370*100-100))</f>
        <v>11.660079051383406</v>
      </c>
      <c r="W370" s="91">
        <f>SUM(W367:W369)</f>
        <v>622</v>
      </c>
      <c r="X370" s="72">
        <f>IF(ISERROR(W370/O370),"NA",IF(OR(W370/O370&gt;2,W370/O370&lt;0.5),"NM",W370/O370*100-100))</f>
        <v>17.803030303030297</v>
      </c>
      <c r="Y370" s="91">
        <f>SUM(Y367:Y369)</f>
        <v>626</v>
      </c>
      <c r="Z370" s="72">
        <f>IF(ISERROR(Y370/Q370),"NA",IF(OR(Y370/Q370&gt;2,Y370/Q370&lt;0.5),"NM",Y370/Q370*100-100))</f>
        <v>10.796460176991147</v>
      </c>
      <c r="AA370" s="91">
        <f>SUM(AA367:AA369)</f>
        <v>707</v>
      </c>
      <c r="AB370" s="72">
        <f>IF(ISERROR(AA370/S370),"NA",IF(OR(AA370/S370&gt;2,AA370/S370&lt;0.5),"NM",AA370/S370*100-100))</f>
        <v>24.911660777385151</v>
      </c>
      <c r="AC370" s="91">
        <f>SUM(AC367:AC369)</f>
        <v>689</v>
      </c>
      <c r="AD370" s="72">
        <f>IF(ISERROR(AC370/U370),"NA",IF(OR(AC370/U370&gt;2,AC370/U370&lt;0.5),"NM",AC370/U370*100-100))</f>
        <v>21.946902654867245</v>
      </c>
      <c r="AE370" s="91">
        <f>SUM(AE367:AE369)</f>
        <v>750</v>
      </c>
      <c r="AF370" s="72">
        <f>IF(ISERROR(AE370/W370),"NA",IF(OR(AE370/W370&gt;2,AE370/W370&lt;0.5),"NM",AE370/W370*100-100))</f>
        <v>20.578778135048225</v>
      </c>
      <c r="AG370" s="91">
        <f>SUM(AG367:AG369)</f>
        <v>789</v>
      </c>
      <c r="AH370" s="72">
        <f>IF(ISERROR(AG370/Y370),"NA",IF(OR(AG370/Y370&gt;2,AG370/Y370&lt;0.5),"NM",AG370/Y370*100-100))</f>
        <v>26.038338658146969</v>
      </c>
      <c r="AI370" s="91">
        <f>SUM(AI367:AI369)</f>
        <v>844</v>
      </c>
      <c r="AJ370" s="72">
        <f>IF(ISERROR(AI370/AA370),"NA",IF(OR(AI370/AA370&gt;2,AI370/AA370&lt;0.5),"NM",AI370/AA370*100-100))</f>
        <v>19.377652050919366</v>
      </c>
      <c r="AK370" s="91">
        <f>SUM(AK367:AK369)</f>
        <v>799</v>
      </c>
      <c r="AL370" s="72">
        <f>IF(ISERROR(AK370/AC370),"NA",IF(OR(AK370/AC370&gt;2,AK370/AC370&lt;0.5),"NM",AK370/AC370*100-100))</f>
        <v>15.965166908563134</v>
      </c>
      <c r="AM370" s="91">
        <f>SUM(AM367:AM369)</f>
        <v>844</v>
      </c>
      <c r="AN370" s="72">
        <f>IF(ISERROR(AM370/AE370),"NA",IF(OR(AM370/AE370&gt;2,AM370/AE370&lt;0.5),"NM",AM370/AE370*100-100))</f>
        <v>12.533333333333331</v>
      </c>
      <c r="AO370" s="91">
        <f>SUM(AO367:AO369)</f>
        <v>917</v>
      </c>
      <c r="AP370" s="72">
        <f>IF(ISERROR(AO370/AG370),"NA",IF(OR(AO370/AG370&gt;2,AO370/AG370&lt;0.5),"NM",AO370/AG370*100-100))</f>
        <v>16.223067173637503</v>
      </c>
      <c r="AQ370" s="91">
        <f>SUM(AQ367:AQ369)</f>
        <v>1159</v>
      </c>
      <c r="AR370" s="72">
        <f t="shared" si="1906"/>
        <v>37.322274881516591</v>
      </c>
      <c r="AS370" s="91">
        <f>SUM(AS367:AS369)</f>
        <v>1084</v>
      </c>
      <c r="AT370" s="72">
        <f t="shared" si="1907"/>
        <v>35.669586983729658</v>
      </c>
      <c r="AU370" s="91">
        <f>SUM(AU367:AU369)</f>
        <v>1091</v>
      </c>
      <c r="AV370" s="72">
        <f t="shared" si="1908"/>
        <v>29.265402843601919</v>
      </c>
      <c r="AW370" s="91">
        <f>SUM(AW367:AW369)</f>
        <v>1148</v>
      </c>
      <c r="AX370" s="72">
        <f t="shared" si="1909"/>
        <v>25.190839694656503</v>
      </c>
      <c r="AY370" s="91">
        <f>SUM(AY367:AY369)</f>
        <v>1219</v>
      </c>
      <c r="AZ370" s="72">
        <f t="shared" si="1910"/>
        <v>5.1768766177739565</v>
      </c>
      <c r="BA370" s="91">
        <f>SUM(BA367:BA369)</f>
        <v>1203</v>
      </c>
      <c r="BB370" s="72">
        <f t="shared" si="1911"/>
        <v>10.977859778597775</v>
      </c>
      <c r="BC370" s="91">
        <f>SUM(BC367:BC369)</f>
        <v>1216</v>
      </c>
      <c r="BD370" s="72">
        <f t="shared" si="1912"/>
        <v>11.457378551787343</v>
      </c>
      <c r="BE370" s="91">
        <f>SUM(BE367:BE369)</f>
        <v>1246</v>
      </c>
      <c r="BF370" s="72">
        <f t="shared" si="1913"/>
        <v>8.5365853658536679</v>
      </c>
      <c r="BG370" s="91">
        <f>SUM(BG367:BG369)</f>
        <v>1359</v>
      </c>
      <c r="BH370" s="72">
        <f t="shared" si="1914"/>
        <v>11.484823625922886</v>
      </c>
      <c r="BI370" s="91">
        <f>SUM(BI367:BI369)</f>
        <v>1308</v>
      </c>
      <c r="BJ370" s="72">
        <f>IF(ISERROR(BI370/BA370),"NA",IF(OR(BI370/BA370&gt;2,BI370/BA370&lt;0.5),"NM",BI370/BA370*100-100))</f>
        <v>8.7281795511221958</v>
      </c>
      <c r="BK370" s="91">
        <f>SUM(BK367:BK369)</f>
        <v>1344</v>
      </c>
      <c r="BL370" s="72">
        <f>IF(ISERROR(BK370/BC370),"NA",IF(OR(BK370/BC370&gt;2,BK370/BC370&lt;0.5),"NM",BK370/BC370*100-100))</f>
        <v>10.526315789473699</v>
      </c>
      <c r="BM370" s="91">
        <f>SUM(BM367:BM369)</f>
        <v>1403</v>
      </c>
      <c r="BN370" s="72">
        <f t="shared" si="1915"/>
        <v>12.600321027287322</v>
      </c>
      <c r="BO370" s="91">
        <f>SUM(BO367:BO369)</f>
        <v>1577</v>
      </c>
      <c r="BP370" s="72">
        <f>IF(ISERROR(BO370/BG370),"NA",IF(OR(BO370/BG370&gt;2,BO370/BG370&lt;0.5),"NM",BO370/BG370*100-100))</f>
        <v>16.041206769683598</v>
      </c>
      <c r="BQ370" s="91">
        <f>SUM(BQ367:BQ369)</f>
        <v>1489</v>
      </c>
      <c r="BR370" s="72">
        <f>IF(ISERROR(BQ370/BI370),"NA",IF(OR(BQ370/BI370&gt;2,BQ370/BI370&lt;0.5),"NM",BQ370/BI370*100-100))</f>
        <v>13.837920489296636</v>
      </c>
      <c r="BS370" s="91">
        <f>SUM(BS367:BS369)</f>
        <v>1462</v>
      </c>
      <c r="BT370" s="72">
        <f>IF(ISERROR(BS370/BK370),"NA",IF(OR(BS370/BK370&gt;2,BS370/BK370&lt;0.5),"NM",BS370/BK370*100-100))</f>
        <v>8.7797619047619122</v>
      </c>
      <c r="BU370" s="91">
        <f>SUM(BU367:BU369)</f>
        <v>1494</v>
      </c>
      <c r="BV370" s="72">
        <f>IF(ISERROR(BU370/BM370),"NA",IF(OR(BU370/BM370&gt;2,BU370/BM370&lt;0.5),"NM",BU370/BM370*100-100))</f>
        <v>6.4861012116892454</v>
      </c>
      <c r="BW370" s="91">
        <f>SUM(BW367:BW369)</f>
        <v>1642</v>
      </c>
      <c r="BX370" s="72">
        <f>IF(ISERROR(BW370/BO370),"NA",IF(OR(BW370/BO370&gt;2,BW370/BO370&lt;0.5),"NM",BW370/BO370*100-100))</f>
        <v>4.1217501585288403</v>
      </c>
      <c r="BY370" s="91">
        <f>SUM(BY367:BY369)</f>
        <v>1539</v>
      </c>
      <c r="BZ370" s="72">
        <f>IF(ISERROR(BY370/BQ370),"NA",IF(OR(BY370/BQ370&gt;2,BY370/BQ370&lt;0.5),"NM",BY370/BQ370*100-100))</f>
        <v>3.3579583613163209</v>
      </c>
      <c r="CA370" s="91">
        <f>SUM(CA367:CA369)</f>
        <v>1596</v>
      </c>
      <c r="CB370" s="72">
        <f>IF(ISERROR(CA370/BS370),"NA",IF(OR(CA370/BS370&gt;2,CA370/BS370&lt;0.5),"NM",CA370/BS370*100-100))</f>
        <v>9.1655266757865803</v>
      </c>
      <c r="CC370" s="91">
        <f>SUM(CC367:CC369)</f>
        <v>1666</v>
      </c>
      <c r="CD370" s="72">
        <f>IF(ISERROR(CC370/BU370),"NA",IF(OR(CC370/BU370&gt;2,CC370/BU370&lt;0.5),"NM",CC370/BU370*100-100))</f>
        <v>11.512717536813938</v>
      </c>
      <c r="CE370" s="91">
        <f>SUM(CE367:CE369)</f>
        <v>1828</v>
      </c>
      <c r="CF370" s="72">
        <f>IF(ISERROR(CE370/BW370),"NA",IF(OR(CE370/BW370&gt;2,CE370/BW370&lt;0.5),"NM",CE370/BW370*100-100))</f>
        <v>11.32764920828258</v>
      </c>
      <c r="CG370" s="91">
        <f>SUM(CG367:CG369)</f>
        <v>1693</v>
      </c>
      <c r="CH370" s="72">
        <f>IF(ISERROR(CG370/BY370),"NA",IF(OR(CG370/BY370&gt;2,CG370/BY370&lt;0.5),"NM",CG370/BY370*100-100))</f>
        <v>10.006497725795981</v>
      </c>
      <c r="CI370" s="91">
        <f>SUM(CI367:CI369)</f>
        <v>1826</v>
      </c>
      <c r="CJ370" s="72">
        <f>IF(ISERROR(CI370/CA370),"NA",IF(OR(CI370/CA370&gt;2,CI370/CA370&lt;0.5),"NM",CI370/CA370*100-100))</f>
        <v>14.411027568922293</v>
      </c>
      <c r="CK370" s="91">
        <f>SUM(CK367:CK369)</f>
        <v>1905</v>
      </c>
      <c r="CL370" s="72">
        <f>IF(ISERROR(CK370/CC370),"NA",IF(OR(CK370/CC370&gt;2,CK370/CC370&lt;0.5),"NM",CK370/CC370*100-100))</f>
        <v>14.345738295318128</v>
      </c>
      <c r="CM370" s="91">
        <f>SUM(CM367:CM369)</f>
        <v>2097</v>
      </c>
      <c r="CN370" s="72">
        <f>IF(ISERROR(CM370/CE370),"NA",IF(OR(CM370/CE370&gt;2,CM370/CE370&lt;0.5),"NM",CM370/CE370*100-100))</f>
        <v>14.715536105032825</v>
      </c>
      <c r="CO370" s="91">
        <f>SUM(CO367:CO369)</f>
        <v>1944</v>
      </c>
      <c r="CP370" s="72">
        <f>IF(ISERROR(CO370/CG370),"NA",IF(OR(CO370/CG370&gt;2,CO370/CG370&lt;0.5),"NM",CO370/CG370*100-100))</f>
        <v>14.825753101004139</v>
      </c>
      <c r="CQ370" s="91">
        <f>SUM(CQ367:CQ369)</f>
        <v>2076</v>
      </c>
      <c r="CR370" s="72">
        <f>IF(ISERROR(CQ370/CI370),"NA",IF(OR(CQ370/CI370&gt;2,CQ370/CI370&lt;0.5),"NM",CQ370/CI370*100-100))</f>
        <v>13.691128148959478</v>
      </c>
      <c r="CS370" s="91">
        <f>SUM(CS367:CS369)</f>
        <v>2085</v>
      </c>
      <c r="CT370" s="72">
        <f>IF(ISERROR(CS370/CK370),"NA",IF(OR(CS370/CK370&gt;2,CS370/CK370&lt;0.5),"NM",CS370/CK370*100-100))</f>
        <v>9.4488188976378069</v>
      </c>
      <c r="CU370" s="91">
        <f>SUM(CU367:CU369)</f>
        <v>2317</v>
      </c>
      <c r="CV370" s="72">
        <f>IF(ISERROR(CU370/CM370),"NA",IF(OR(CU370/CM370&gt;2,CU370/CM370&lt;0.5),"NM",CU370/CM370*100-100))</f>
        <v>10.491177873152125</v>
      </c>
      <c r="CW370" s="91">
        <f>SUM(CW367:CW369)</f>
        <v>2192</v>
      </c>
      <c r="CX370" s="72">
        <f>IF(ISERROR(CW370/CO370),"NA",IF(OR(CW370/CO370&gt;2,CW370/CO370&lt;0.5),"NM",CW370/CO370*100-100))</f>
        <v>12.757201646090536</v>
      </c>
      <c r="CY370" s="91">
        <f>SUM(CY367:CY369)</f>
        <v>2237</v>
      </c>
      <c r="CZ370" s="72">
        <f>IF(ISERROR(CY370/CQ370),"NA",IF(OR(CY370/CQ370&gt;2,CY370/CQ370&lt;0.5),"NM",CY370/CQ370*100-100))</f>
        <v>7.7552986512524171</v>
      </c>
      <c r="DA370" s="91">
        <f>SUM(DA367:DA369)</f>
        <v>2256</v>
      </c>
      <c r="DB370" s="72">
        <f>IF(ISERROR(DA370/CS370),"NA",IF(OR(DA370/CS370&gt;2,DA370/CS370&lt;0.5),"NM",DA370/CS370*100-100))</f>
        <v>8.2014388489208585</v>
      </c>
      <c r="DC370" s="91">
        <f>SUM(DC367:DC369)</f>
        <v>2443</v>
      </c>
      <c r="DD370" s="72">
        <f t="shared" si="1916"/>
        <v>5.4380664652567958</v>
      </c>
      <c r="DE370" s="91">
        <f>SUM(DE367:DE369)</f>
        <v>2158</v>
      </c>
      <c r="DF370" s="72">
        <f t="shared" si="1917"/>
        <v>-1.551094890510953</v>
      </c>
      <c r="DG370" s="91">
        <f>SUM(DG367:DG369)</f>
        <v>2173</v>
      </c>
      <c r="DH370" s="72">
        <f t="shared" si="1918"/>
        <v>-2.8609745194456906</v>
      </c>
      <c r="DI370" s="91">
        <f>SUM(DI367:DI369)</f>
        <v>2204</v>
      </c>
      <c r="DJ370" s="72">
        <f>IF(ISERROR(DI370/DA370),"NA",IF(OR(DI370/DA370&gt;2,DI370/DA370&lt;0.5),"NM",DI370/DA370*100-100))</f>
        <v>-2.3049645390070879</v>
      </c>
      <c r="DK370" s="91">
        <f>SUM(DK367:DK369)</f>
        <v>2479</v>
      </c>
      <c r="DL370" s="72">
        <f>IF(ISERROR(DK370/DC370),"NA",IF(OR(DK370/DC370&gt;2,DK370/DC370&lt;0.5),"NM",DK370/DC370*100-100))</f>
        <v>1.4735980352026132</v>
      </c>
      <c r="DM370" s="91">
        <f>SUM(DM367:DM369)</f>
        <v>2261</v>
      </c>
      <c r="DN370" s="72">
        <f t="shared" si="1919"/>
        <v>4.7729379054680265</v>
      </c>
      <c r="DO370" s="91">
        <f>SUM(DO367:DO369)</f>
        <v>2284</v>
      </c>
      <c r="DP370" s="72">
        <f t="shared" si="1919"/>
        <v>5.1081454210768413</v>
      </c>
      <c r="DQ370" s="91">
        <f>SUM(DQ367:DQ369)</f>
        <v>2243</v>
      </c>
      <c r="DR370" s="72">
        <f t="shared" si="1919"/>
        <v>1.7695099818511721</v>
      </c>
      <c r="DS370" s="91">
        <f>SUM(DS367:DS369)</f>
        <v>2442</v>
      </c>
      <c r="DT370" s="72">
        <f t="shared" si="1919"/>
        <v>-1.4925373134328339</v>
      </c>
      <c r="DU370" s="91">
        <f>SUM(DU367:DU369)</f>
        <v>2231</v>
      </c>
      <c r="DV370" s="72">
        <f t="shared" si="1919"/>
        <v>-1.3268465280849142</v>
      </c>
      <c r="DW370" s="91">
        <f>SUM(DW367:DW369)</f>
        <v>2250</v>
      </c>
      <c r="DX370" s="72">
        <f t="shared" si="1919"/>
        <v>-1.488616462346755</v>
      </c>
      <c r="DY370" s="91">
        <f>SUM(DY367:DY369)</f>
        <v>2249</v>
      </c>
      <c r="DZ370" s="72">
        <f t="shared" si="1919"/>
        <v>0.26749888542130407</v>
      </c>
      <c r="EA370" s="91">
        <f>SUM(EA367:EA369)</f>
        <v>2559</v>
      </c>
      <c r="EB370" s="72">
        <f t="shared" si="1920"/>
        <v>4.7911547911547956</v>
      </c>
      <c r="EC370" s="91">
        <f>SUM(EC367:EC369)</f>
        <v>2417</v>
      </c>
      <c r="ED370" s="72">
        <f t="shared" si="1921"/>
        <v>8.3370685791125112</v>
      </c>
      <c r="EE370" s="91">
        <f>SUM(EE367:EE369)</f>
        <v>2533</v>
      </c>
      <c r="EF370" s="72">
        <f t="shared" si="1922"/>
        <v>12.577777777777783</v>
      </c>
      <c r="EG370" s="91">
        <f>SUM(EG367:EG369)</f>
        <v>2477</v>
      </c>
      <c r="EH370" s="72">
        <f t="shared" si="1923"/>
        <v>10.137839039573151</v>
      </c>
      <c r="EI370" s="91">
        <f>SUM(EI367:EI369)</f>
        <v>2778</v>
      </c>
      <c r="EJ370" s="72">
        <f t="shared" si="1924"/>
        <v>8.5580304806565124</v>
      </c>
      <c r="EK370" s="91">
        <f>SUM(EK367:EK369)</f>
        <v>2577</v>
      </c>
      <c r="EL370" s="72">
        <f t="shared" si="1925"/>
        <v>6.6197765825403394</v>
      </c>
      <c r="EM370" s="91">
        <f>SUM(EM367:EM369)</f>
        <v>2627</v>
      </c>
      <c r="EN370" s="72">
        <f t="shared" si="1926"/>
        <v>3.7110146071851489</v>
      </c>
      <c r="EO370" s="91">
        <f>SUM(EO367:EO369)</f>
        <v>2662</v>
      </c>
      <c r="EP370" s="72">
        <f t="shared" si="1927"/>
        <v>7.4687121517965238</v>
      </c>
      <c r="EQ370" s="91">
        <f t="shared" ref="EQ370" si="1963">SUM(EQ367:EQ369)</f>
        <v>2901.6335135135137</v>
      </c>
      <c r="ER370" s="72">
        <f t="shared" si="1929"/>
        <v>4.4504504504504467</v>
      </c>
      <c r="ES370" s="91">
        <f t="shared" ref="ES370" si="1964">SUM(ES367:ES369)</f>
        <v>2691.6881081081078</v>
      </c>
      <c r="ET370" s="72">
        <f t="shared" si="1931"/>
        <v>4.4504504504504467</v>
      </c>
      <c r="EU370" s="91">
        <f t="shared" ref="EU370" si="1965">SUM(EU367:EU369)</f>
        <v>2743.9133333333334</v>
      </c>
      <c r="EV370" s="72">
        <f t="shared" si="1933"/>
        <v>4.4504504504504467</v>
      </c>
      <c r="EW370" s="91">
        <f t="shared" ref="EW370" si="1966">SUM(EW367:EW369)</f>
        <v>2780.4709909909911</v>
      </c>
      <c r="EX370" s="72">
        <f t="shared" si="1935"/>
        <v>4.4504504504504467</v>
      </c>
      <c r="EY370" s="72"/>
      <c r="EZ370" s="310"/>
      <c r="FA370" s="72"/>
      <c r="FB370" s="91">
        <f>SUM(FB367:FB369)</f>
        <v>1090</v>
      </c>
      <c r="FC370" s="80"/>
      <c r="FD370" s="91">
        <f>SUM(FD367:FD369)</f>
        <v>1522</v>
      </c>
      <c r="FE370" s="72">
        <f t="shared" si="1936"/>
        <v>39.633027522935777</v>
      </c>
      <c r="FF370" s="91">
        <f>SUM(FF367:FF369)</f>
        <v>1920</v>
      </c>
      <c r="FG370" s="72">
        <f t="shared" si="1937"/>
        <v>26.149802890932989</v>
      </c>
      <c r="FH370" s="91">
        <f>SUM(FH367:FH369)</f>
        <v>2120</v>
      </c>
      <c r="FI370" s="72">
        <f t="shared" si="1938"/>
        <v>10.416666666666671</v>
      </c>
      <c r="FJ370" s="91">
        <f>SUM(FJ367:FJ369)</f>
        <v>2379</v>
      </c>
      <c r="FK370" s="72">
        <f t="shared" si="1939"/>
        <v>12.216981132075475</v>
      </c>
      <c r="FL370" s="91">
        <f>SUM(FL367:FL369)</f>
        <v>2935</v>
      </c>
      <c r="FM370" s="72">
        <f t="shared" si="1940"/>
        <v>23.371164354770912</v>
      </c>
      <c r="FN370" s="91">
        <f>SUM(FN367:FN369)</f>
        <v>3404</v>
      </c>
      <c r="FO370" s="72">
        <f t="shared" si="1941"/>
        <v>15.979557069846678</v>
      </c>
      <c r="FP370" s="91">
        <f>SUM(FP367:FP369)</f>
        <v>4482</v>
      </c>
      <c r="FQ370" s="72">
        <f t="shared" si="1942"/>
        <v>31.668625146886029</v>
      </c>
      <c r="FR370" s="91">
        <f>SUM(FR367:FR369)</f>
        <v>4884</v>
      </c>
      <c r="FS370" s="72">
        <f t="shared" si="1943"/>
        <v>8.9692101740294561</v>
      </c>
      <c r="FT370" s="91">
        <f>SUM(FT367:FT369)</f>
        <v>5414</v>
      </c>
      <c r="FU370" s="72">
        <f t="shared" si="1944"/>
        <v>10.851760851760844</v>
      </c>
      <c r="FV370" s="91">
        <f>SUM(FV367:FV369)</f>
        <v>6013</v>
      </c>
      <c r="FW370" s="72">
        <f>IF(ISERROR(FV370/FT370),"NA",IF(OR(FV370/FT370&gt;2,FV370/FT370&lt;0.5),"NM",FV370/FT370*100-100))</f>
        <v>11.063908385666792</v>
      </c>
      <c r="FX370" s="91">
        <f>SUM(FX367:FX369)</f>
        <v>6393</v>
      </c>
      <c r="FY370" s="72">
        <f>IF(ISERROR(FX370/FV370),"NA",IF(OR(FX370/FV370&gt;2,FX370/FV370&lt;0.5),"NM",FX370/FV370*100-100))</f>
        <v>6.3196407783136692</v>
      </c>
      <c r="FZ370" s="91">
        <f>SUM(FZ367:FZ369)</f>
        <v>7252</v>
      </c>
      <c r="GA370" s="72">
        <f>IF(ISERROR(FZ370/FX370),"NA",IF(OR(FZ370/FX370&gt;2,FZ370/FX370&lt;0.5),"NM",FZ370/FX370*100-100))</f>
        <v>13.436571249804459</v>
      </c>
      <c r="GB370" s="91">
        <f>SUM(GB367:GB369)</f>
        <v>8202</v>
      </c>
      <c r="GC370" s="72">
        <f>IF(ISERROR(GB370/FZ370),"NA",IF(OR(GB370/FZ370&gt;2,GB370/FZ370&lt;0.5),"NM",GB370/FZ370*100-100))</f>
        <v>13.09983452840595</v>
      </c>
      <c r="GD370" s="91">
        <f>SUM(GD367:GD369)</f>
        <v>9002</v>
      </c>
      <c r="GE370" s="72">
        <f>IF(ISERROR(GD370/GB370),"NA",IF(OR(GD370/GB370&gt;2,GD370/GB370&lt;0.5),"NM",GD370/GB370*100-100))</f>
        <v>9.753718605218225</v>
      </c>
      <c r="GF370" s="91">
        <f>SUM(GF367:GF369)</f>
        <v>8978</v>
      </c>
      <c r="GG370" s="72">
        <f>IF(ISERROR(GF370/GD370),"NA",IF(OR(GF370/GD370&gt;2,GF370/GD370&lt;0.5),"NM",GF370/GD370*100-100))</f>
        <v>-0.26660742057320874</v>
      </c>
      <c r="GH370" s="91">
        <f>SUM(GH367:GH369)</f>
        <v>9267</v>
      </c>
      <c r="GI370" s="72">
        <f t="shared" si="1947"/>
        <v>3.2189797282245536</v>
      </c>
      <c r="GJ370" s="91">
        <f>SUM(GJ367:GJ369)</f>
        <v>9172</v>
      </c>
      <c r="GK370" s="72">
        <f t="shared" si="1947"/>
        <v>-1.0251429804683312</v>
      </c>
      <c r="GL370" s="91">
        <f>SUM(GL367:GL369)</f>
        <v>9986</v>
      </c>
      <c r="GM370" s="72">
        <f t="shared" si="1947"/>
        <v>8.8748364587876125</v>
      </c>
      <c r="GN370" s="91">
        <f>SUM(GN367:GN369)</f>
        <v>10644</v>
      </c>
      <c r="GO370" s="72">
        <f t="shared" si="1947"/>
        <v>6.5892249148808304</v>
      </c>
      <c r="GP370" s="91">
        <f>SUM(GP367:GP369)</f>
        <v>11117.705945945945</v>
      </c>
      <c r="GQ370" s="72">
        <f t="shared" si="1947"/>
        <v>4.4504504504504467</v>
      </c>
      <c r="GR370" s="91">
        <f>SUM(GR367:GR369)</f>
        <v>11562.414183783783</v>
      </c>
      <c r="GS370" s="72">
        <f t="shared" si="1947"/>
        <v>4</v>
      </c>
      <c r="GT370" s="91">
        <f>SUM(GT367:GT369)</f>
        <v>12024.910751135136</v>
      </c>
      <c r="GU370" s="72">
        <f t="shared" si="1947"/>
        <v>4</v>
      </c>
      <c r="GV370" s="91">
        <f>SUM(GV367:GV369)</f>
        <v>12505.907181180539</v>
      </c>
      <c r="GW370" s="72">
        <f t="shared" si="1948"/>
        <v>3.9999999999999858</v>
      </c>
      <c r="GX370" s="91">
        <f>SUM(GX367:GX369)</f>
        <v>13006.143468427763</v>
      </c>
      <c r="GY370" s="72">
        <f t="shared" si="1949"/>
        <v>4.0000000000000284</v>
      </c>
      <c r="GZ370" s="72">
        <f t="shared" si="1954"/>
        <v>4.089934413243701</v>
      </c>
      <c r="HA370" s="72"/>
      <c r="HB370" s="72"/>
      <c r="HC370"/>
      <c r="HD370"/>
      <c r="HE370"/>
      <c r="HF370"/>
      <c r="HG370"/>
      <c r="HH370"/>
      <c r="HI370" s="2"/>
    </row>
    <row r="371" spans="1:217" s="3" customFormat="1" ht="12.75" customHeight="1" x14ac:dyDescent="0.2">
      <c r="B371" s="70"/>
      <c r="C371" s="100"/>
      <c r="D371" s="72"/>
      <c r="E371" s="100"/>
      <c r="F371" s="72"/>
      <c r="G371" s="100"/>
      <c r="H371" s="72"/>
      <c r="I371" s="100"/>
      <c r="J371" s="72"/>
      <c r="K371" s="100"/>
      <c r="L371" s="72"/>
      <c r="M371" s="100"/>
      <c r="N371" s="72"/>
      <c r="O371" s="100"/>
      <c r="P371" s="72"/>
      <c r="Q371" s="100"/>
      <c r="R371" s="72"/>
      <c r="S371" s="100"/>
      <c r="T371" s="72"/>
      <c r="U371" s="100"/>
      <c r="V371" s="72"/>
      <c r="W371" s="100"/>
      <c r="X371" s="72"/>
      <c r="Y371" s="100"/>
      <c r="Z371" s="72"/>
      <c r="AA371" s="100"/>
      <c r="AB371" s="72"/>
      <c r="AC371" s="100"/>
      <c r="AD371" s="72"/>
      <c r="AE371" s="100"/>
      <c r="AF371" s="72"/>
      <c r="AG371" s="100"/>
      <c r="AH371" s="72"/>
      <c r="AI371" s="100"/>
      <c r="AJ371" s="72"/>
      <c r="AK371" s="100"/>
      <c r="AL371" s="72"/>
      <c r="AM371" s="100"/>
      <c r="AN371" s="72"/>
      <c r="AO371" s="100"/>
      <c r="AP371" s="72"/>
      <c r="AQ371" s="100"/>
      <c r="AR371" s="72"/>
      <c r="AS371" s="100"/>
      <c r="AT371" s="72"/>
      <c r="AU371" s="100"/>
      <c r="AV371" s="72"/>
      <c r="AW371" s="100"/>
      <c r="AX371" s="72"/>
      <c r="AY371" s="100"/>
      <c r="AZ371" s="72"/>
      <c r="BA371" s="100"/>
      <c r="BB371" s="72"/>
      <c r="BC371" s="100"/>
      <c r="BD371" s="72"/>
      <c r="BE371" s="100"/>
      <c r="BF371" s="72"/>
      <c r="BG371" s="100"/>
      <c r="BH371" s="72"/>
      <c r="BI371" s="100"/>
      <c r="BJ371" s="72"/>
      <c r="BK371" s="100"/>
      <c r="BL371" s="72"/>
      <c r="BM371" s="100"/>
      <c r="BN371" s="72"/>
      <c r="BO371" s="100"/>
      <c r="BP371" s="72"/>
      <c r="BQ371" s="100"/>
      <c r="BR371" s="72"/>
      <c r="BS371" s="100"/>
      <c r="BT371" s="72"/>
      <c r="BU371" s="100"/>
      <c r="BV371" s="72"/>
      <c r="BW371" s="100"/>
      <c r="BX371" s="72"/>
      <c r="BY371" s="100"/>
      <c r="BZ371" s="72"/>
      <c r="CA371" s="100"/>
      <c r="CB371" s="72"/>
      <c r="CC371" s="100"/>
      <c r="CD371" s="72"/>
      <c r="CE371" s="100"/>
      <c r="CF371" s="72"/>
      <c r="CG371" s="100"/>
      <c r="CH371" s="72"/>
      <c r="CI371" s="100"/>
      <c r="CJ371" s="72"/>
      <c r="CK371" s="100"/>
      <c r="CL371" s="72"/>
      <c r="CM371" s="100"/>
      <c r="CN371" s="72"/>
      <c r="CO371" s="100"/>
      <c r="CP371" s="72"/>
      <c r="CQ371" s="100"/>
      <c r="CR371" s="72"/>
      <c r="CS371" s="100"/>
      <c r="CT371" s="72"/>
      <c r="CU371" s="100"/>
      <c r="CV371" s="72"/>
      <c r="CW371" s="100"/>
      <c r="CX371" s="72"/>
      <c r="CY371" s="100"/>
      <c r="CZ371" s="72"/>
      <c r="DA371" s="100"/>
      <c r="DB371" s="72"/>
      <c r="DC371" s="100"/>
      <c r="DD371" s="72"/>
      <c r="DE371" s="100"/>
      <c r="DF371" s="72"/>
      <c r="DG371" s="100"/>
      <c r="DH371" s="72"/>
      <c r="DI371" s="100"/>
      <c r="DJ371" s="72"/>
      <c r="DK371" s="100"/>
      <c r="DL371" s="72"/>
      <c r="DM371" s="100"/>
      <c r="DN371" s="72"/>
      <c r="DO371" s="100"/>
      <c r="DP371" s="72"/>
      <c r="DQ371" s="100"/>
      <c r="DR371" s="72"/>
      <c r="DS371" s="100"/>
      <c r="DT371" s="72"/>
      <c r="DU371" s="100"/>
      <c r="DV371" s="72"/>
      <c r="DW371" s="100"/>
      <c r="DX371" s="72"/>
      <c r="DY371" s="100"/>
      <c r="DZ371" s="72"/>
      <c r="EA371" s="100"/>
      <c r="EB371" s="72"/>
      <c r="EC371" s="100"/>
      <c r="ED371" s="72"/>
      <c r="EE371" s="100"/>
      <c r="EF371" s="72"/>
      <c r="EG371" s="100"/>
      <c r="EH371" s="72"/>
      <c r="EI371" s="100"/>
      <c r="EJ371" s="72"/>
      <c r="EK371" s="100"/>
      <c r="EL371" s="72"/>
      <c r="EM371" s="100"/>
      <c r="EN371" s="72"/>
      <c r="EO371" s="100"/>
      <c r="EP371" s="72"/>
      <c r="EQ371" s="100"/>
      <c r="ER371" s="72"/>
      <c r="ES371" s="100"/>
      <c r="ET371" s="72"/>
      <c r="EU371" s="100"/>
      <c r="EV371" s="72"/>
      <c r="EW371" s="100"/>
      <c r="EX371" s="72"/>
      <c r="EY371" s="72"/>
      <c r="EZ371" s="319"/>
      <c r="FA371" s="72"/>
      <c r="FB371" s="100"/>
      <c r="FC371" s="72"/>
      <c r="FD371" s="100"/>
      <c r="FE371" s="72"/>
      <c r="FF371" s="100"/>
      <c r="FG371" s="72"/>
      <c r="FH371" s="100"/>
      <c r="FI371" s="72"/>
      <c r="FJ371" s="100"/>
      <c r="FK371" s="72"/>
      <c r="FL371" s="100"/>
      <c r="FM371" s="72"/>
      <c r="FN371" s="100"/>
      <c r="FO371" s="72"/>
      <c r="FP371" s="100"/>
      <c r="FQ371" s="72"/>
      <c r="FR371" s="100"/>
      <c r="FS371" s="72"/>
      <c r="FT371" s="100"/>
      <c r="FU371" s="72"/>
      <c r="FV371" s="100"/>
      <c r="FW371" s="72"/>
      <c r="FX371" s="100"/>
      <c r="FY371" s="72"/>
      <c r="FZ371" s="100"/>
      <c r="GA371" s="72"/>
      <c r="GB371" s="100"/>
      <c r="GC371" s="72"/>
      <c r="GD371" s="100"/>
      <c r="GE371" s="72"/>
      <c r="GF371" s="100"/>
      <c r="GG371" s="72"/>
      <c r="GH371" s="100"/>
      <c r="GI371" s="72"/>
      <c r="GJ371" s="100"/>
      <c r="GK371" s="72"/>
      <c r="GL371" s="100"/>
      <c r="GM371" s="72"/>
      <c r="GN371" s="100"/>
      <c r="GO371" s="72"/>
      <c r="GP371" s="100"/>
      <c r="GQ371" s="72"/>
      <c r="GR371" s="100"/>
      <c r="GS371" s="72"/>
      <c r="GT371" s="100"/>
      <c r="GU371" s="72"/>
      <c r="GV371" s="100"/>
      <c r="GW371" s="72"/>
      <c r="GX371" s="100"/>
      <c r="GY371" s="72"/>
      <c r="GZ371" s="72" t="str">
        <f t="shared" si="1954"/>
        <v>NA</v>
      </c>
      <c r="HA371" s="72"/>
      <c r="HB371" s="72"/>
      <c r="HC371"/>
      <c r="HD371"/>
      <c r="HE371"/>
      <c r="HF371"/>
      <c r="HG371"/>
      <c r="HH371"/>
      <c r="HI371" s="2"/>
    </row>
    <row r="372" spans="1:217" s="3" customFormat="1" ht="12.75" customHeight="1" x14ac:dyDescent="0.2">
      <c r="B372" s="70" t="s">
        <v>669</v>
      </c>
      <c r="C372" s="81"/>
      <c r="D372" s="72"/>
      <c r="E372" s="81"/>
      <c r="F372" s="72"/>
      <c r="G372" s="81"/>
      <c r="H372" s="72"/>
      <c r="I372" s="81"/>
      <c r="J372" s="72"/>
      <c r="K372" s="81"/>
      <c r="L372" s="72"/>
      <c r="M372" s="81"/>
      <c r="N372" s="72"/>
      <c r="O372" s="81"/>
      <c r="P372" s="72"/>
      <c r="Q372" s="81"/>
      <c r="R372" s="72"/>
      <c r="S372" s="81"/>
      <c r="T372" s="72"/>
      <c r="U372" s="81"/>
      <c r="V372" s="72"/>
      <c r="W372" s="81"/>
      <c r="X372" s="72"/>
      <c r="Y372" s="81"/>
      <c r="Z372" s="72"/>
      <c r="AA372" s="81"/>
      <c r="AB372" s="72"/>
      <c r="AC372" s="81"/>
      <c r="AD372" s="72"/>
      <c r="AE372" s="81"/>
      <c r="AF372" s="72"/>
      <c r="AG372" s="81"/>
      <c r="AH372" s="72"/>
      <c r="AI372" s="81"/>
      <c r="AJ372" s="72"/>
      <c r="AK372" s="81"/>
      <c r="AL372" s="72"/>
      <c r="AM372" s="81"/>
      <c r="AN372" s="72"/>
      <c r="AO372" s="81"/>
      <c r="AP372" s="72"/>
      <c r="AQ372" s="81"/>
      <c r="AR372" s="72"/>
      <c r="AS372" s="81"/>
      <c r="AT372" s="72"/>
      <c r="AU372" s="81"/>
      <c r="AV372" s="72"/>
      <c r="AW372" s="81"/>
      <c r="AX372" s="72"/>
      <c r="AY372" s="81"/>
      <c r="AZ372" s="72"/>
      <c r="BA372" s="81"/>
      <c r="BB372" s="72"/>
      <c r="BC372" s="81"/>
      <c r="BD372" s="72"/>
      <c r="BE372" s="81"/>
      <c r="BF372" s="72"/>
      <c r="BG372" s="81"/>
      <c r="BH372" s="72"/>
      <c r="BI372" s="81"/>
      <c r="BJ372" s="72"/>
      <c r="BK372" s="81"/>
      <c r="BL372" s="72"/>
      <c r="BM372" s="81"/>
      <c r="BN372" s="72"/>
      <c r="BO372" s="81"/>
      <c r="BP372" s="72"/>
      <c r="BQ372" s="81"/>
      <c r="BR372" s="72"/>
      <c r="BS372" s="81"/>
      <c r="BT372" s="72"/>
      <c r="BU372" s="81"/>
      <c r="BV372" s="72"/>
      <c r="BW372" s="81"/>
      <c r="BX372" s="72"/>
      <c r="BY372" s="81"/>
      <c r="BZ372" s="72"/>
      <c r="CA372" s="81"/>
      <c r="CB372" s="72"/>
      <c r="CC372" s="81"/>
      <c r="CD372" s="72"/>
      <c r="CE372" s="81"/>
      <c r="CF372" s="72"/>
      <c r="CG372" s="81"/>
      <c r="CH372" s="72"/>
      <c r="CI372" s="81"/>
      <c r="CJ372" s="72"/>
      <c r="CK372" s="81"/>
      <c r="CL372" s="72"/>
      <c r="CM372" s="81"/>
      <c r="CN372" s="72"/>
      <c r="CO372" s="81"/>
      <c r="CP372" s="72"/>
      <c r="CQ372" s="81"/>
      <c r="CR372" s="72"/>
      <c r="CS372" s="81"/>
      <c r="CT372" s="72"/>
      <c r="CU372" s="81"/>
      <c r="CV372" s="72"/>
      <c r="CW372" s="81"/>
      <c r="CX372" s="72"/>
      <c r="CY372" s="81"/>
      <c r="CZ372" s="72"/>
      <c r="DA372" s="81"/>
      <c r="DB372" s="72"/>
      <c r="DC372" s="81"/>
      <c r="DD372" s="72"/>
      <c r="DE372" s="81"/>
      <c r="DF372" s="72"/>
      <c r="DG372" s="81"/>
      <c r="DH372" s="72"/>
      <c r="DI372" s="81"/>
      <c r="DJ372" s="72"/>
      <c r="DK372" s="81"/>
      <c r="DL372" s="72"/>
      <c r="DM372" s="81"/>
      <c r="DN372" s="72"/>
      <c r="DO372" s="81"/>
      <c r="DP372" s="72"/>
      <c r="DQ372" s="81"/>
      <c r="DR372" s="72"/>
      <c r="DS372" s="81"/>
      <c r="DT372" s="72"/>
      <c r="DU372" s="81"/>
      <c r="DV372" s="72"/>
      <c r="DW372" s="81"/>
      <c r="DX372" s="72"/>
      <c r="DY372" s="81"/>
      <c r="DZ372" s="72"/>
      <c r="EA372" s="81"/>
      <c r="EB372" s="72"/>
      <c r="EC372" s="81"/>
      <c r="ED372" s="72"/>
      <c r="EE372" s="81"/>
      <c r="EF372" s="72"/>
      <c r="EG372" s="81"/>
      <c r="EH372" s="72"/>
      <c r="EI372" s="81"/>
      <c r="EJ372" s="72"/>
      <c r="EK372" s="81"/>
      <c r="EL372" s="72"/>
      <c r="EM372" s="81"/>
      <c r="EN372" s="72"/>
      <c r="EO372" s="81"/>
      <c r="EP372" s="72"/>
      <c r="EQ372" s="81"/>
      <c r="ER372" s="72"/>
      <c r="ES372" s="81"/>
      <c r="ET372" s="72"/>
      <c r="EU372" s="81"/>
      <c r="EV372" s="72"/>
      <c r="EW372" s="81"/>
      <c r="EX372" s="72"/>
      <c r="EY372" s="72"/>
      <c r="EZ372" s="311"/>
      <c r="FA372" s="72"/>
      <c r="FB372" s="81"/>
      <c r="FC372" s="72"/>
      <c r="FD372" s="81"/>
      <c r="FE372" s="72"/>
      <c r="FF372" s="81"/>
      <c r="FG372" s="72"/>
      <c r="FH372" s="81"/>
      <c r="FI372" s="72"/>
      <c r="FJ372" s="81"/>
      <c r="FK372" s="72"/>
      <c r="FL372" s="81"/>
      <c r="FM372" s="72"/>
      <c r="FN372" s="81"/>
      <c r="FO372" s="72"/>
      <c r="FP372" s="81"/>
      <c r="FQ372" s="72"/>
      <c r="FR372" s="81"/>
      <c r="FS372" s="72"/>
      <c r="FT372" s="81"/>
      <c r="FU372" s="72"/>
      <c r="FV372" s="81"/>
      <c r="FW372" s="72"/>
      <c r="FX372" s="81"/>
      <c r="FY372" s="72"/>
      <c r="FZ372" s="81"/>
      <c r="GA372" s="72"/>
      <c r="GB372" s="81"/>
      <c r="GC372" s="72"/>
      <c r="GD372" s="81"/>
      <c r="GE372" s="72"/>
      <c r="GF372" s="81"/>
      <c r="GG372" s="72"/>
      <c r="GH372" s="81"/>
      <c r="GI372" s="72"/>
      <c r="GJ372" s="81"/>
      <c r="GK372" s="72"/>
      <c r="GL372" s="81"/>
      <c r="GM372" s="72"/>
      <c r="GN372" s="81"/>
      <c r="GO372" s="72"/>
      <c r="GP372" s="81"/>
      <c r="GQ372" s="72"/>
      <c r="GR372" s="81"/>
      <c r="GS372" s="72"/>
      <c r="GT372" s="81"/>
      <c r="GU372" s="72"/>
      <c r="GV372" s="81"/>
      <c r="GW372" s="72"/>
      <c r="GX372" s="81"/>
      <c r="GY372" s="72"/>
      <c r="GZ372" s="72" t="str">
        <f t="shared" si="1954"/>
        <v>NA</v>
      </c>
      <c r="HA372" s="72"/>
      <c r="HB372" s="72"/>
      <c r="HC372"/>
      <c r="HD372"/>
      <c r="HE372"/>
      <c r="HF372"/>
      <c r="HG372"/>
      <c r="HH372"/>
      <c r="HI372" s="2"/>
    </row>
    <row r="373" spans="1:217" s="3" customFormat="1" ht="12.75" customHeight="1" x14ac:dyDescent="0.2">
      <c r="B373" s="77" t="s">
        <v>213</v>
      </c>
      <c r="C373" s="74">
        <f>FF373-I373-G373-E373</f>
        <v>312</v>
      </c>
      <c r="D373" s="72"/>
      <c r="E373" s="74">
        <v>297</v>
      </c>
      <c r="F373" s="72"/>
      <c r="G373" s="74">
        <v>329</v>
      </c>
      <c r="H373" s="72"/>
      <c r="I373" s="74">
        <v>327</v>
      </c>
      <c r="J373" s="72"/>
      <c r="K373" s="74">
        <v>337</v>
      </c>
      <c r="L373" s="72">
        <f t="shared" ref="L373:L378" si="1967">IF(ISERROR(K373/C373),"NA",IF(OR(K373/C373&gt;2,K373/C373&lt;0.5),"NM",K373/C373*100-100))</f>
        <v>8.012820512820511</v>
      </c>
      <c r="M373" s="74">
        <v>337</v>
      </c>
      <c r="N373" s="72">
        <f t="shared" ref="N373:N378" si="1968">IF(ISERROR(M373/E373),"NA",IF(OR(M373/E373&gt;2,M373/E373&lt;0.5),"NM",M373/E373*100-100))</f>
        <v>13.468013468013467</v>
      </c>
      <c r="O373" s="74">
        <v>345</v>
      </c>
      <c r="P373" s="72">
        <f t="shared" ref="P373:P378" si="1969">IF(ISERROR(O373/G373),"NA",IF(OR(O373/G373&gt;2,O373/G373&lt;0.5),"NM",O373/G373*100-100))</f>
        <v>4.8632218844984862</v>
      </c>
      <c r="Q373" s="74">
        <v>364</v>
      </c>
      <c r="R373" s="72">
        <f t="shared" ref="R373:AP378" si="1970">IF(ISERROR(Q373/I373),"NA",IF(OR(Q373/I373&gt;2,Q373/I373&lt;0.5),"NM",Q373/I373*100-100))</f>
        <v>11.314984709480115</v>
      </c>
      <c r="S373" s="74">
        <v>356</v>
      </c>
      <c r="T373" s="72">
        <f t="shared" si="1970"/>
        <v>5.6379821958457086</v>
      </c>
      <c r="U373" s="74">
        <v>374</v>
      </c>
      <c r="V373" s="72">
        <f t="shared" si="1970"/>
        <v>10.979228486646875</v>
      </c>
      <c r="W373" s="74">
        <v>408</v>
      </c>
      <c r="X373" s="72">
        <f t="shared" si="1970"/>
        <v>18.260869565217391</v>
      </c>
      <c r="Y373" s="74">
        <v>410</v>
      </c>
      <c r="Z373" s="72">
        <f t="shared" si="1970"/>
        <v>12.637362637362642</v>
      </c>
      <c r="AA373" s="74">
        <v>474</v>
      </c>
      <c r="AB373" s="72">
        <f t="shared" si="1970"/>
        <v>33.146067415730329</v>
      </c>
      <c r="AC373" s="74">
        <v>451</v>
      </c>
      <c r="AD373" s="72">
        <f t="shared" si="1970"/>
        <v>20.588235294117638</v>
      </c>
      <c r="AE373" s="74">
        <v>480</v>
      </c>
      <c r="AF373" s="72">
        <f t="shared" si="1970"/>
        <v>17.64705882352942</v>
      </c>
      <c r="AG373" s="74">
        <v>514</v>
      </c>
      <c r="AH373" s="72">
        <f t="shared" si="1970"/>
        <v>25.365853658536579</v>
      </c>
      <c r="AI373" s="74">
        <v>576</v>
      </c>
      <c r="AJ373" s="72">
        <f t="shared" si="1970"/>
        <v>21.51898734177216</v>
      </c>
      <c r="AK373" s="74">
        <v>531</v>
      </c>
      <c r="AL373" s="72">
        <f t="shared" si="1970"/>
        <v>17.738359201773847</v>
      </c>
      <c r="AM373" s="74">
        <v>545</v>
      </c>
      <c r="AN373" s="72">
        <f t="shared" si="1970"/>
        <v>13.541666666666671</v>
      </c>
      <c r="AO373" s="74">
        <v>605</v>
      </c>
      <c r="AP373" s="72">
        <f t="shared" si="1970"/>
        <v>17.704280155642024</v>
      </c>
      <c r="AQ373" s="74">
        <v>770</v>
      </c>
      <c r="AR373" s="72">
        <f t="shared" ref="AR373:AR378" si="1971">IF(ISERROR(AQ373/AI373),"NA",IF(OR(AQ373/AI373&gt;2,AQ373/AI373&lt;0.5),"NM",AQ373/AI373*100-100))</f>
        <v>33.680555555555571</v>
      </c>
      <c r="AS373" s="74">
        <v>686</v>
      </c>
      <c r="AT373" s="72">
        <f t="shared" ref="AT373:AT378" si="1972">IF(ISERROR(AS373/AK373),"NA",IF(OR(AS373/AK373&gt;2,AS373/AK373&lt;0.5),"NM",AS373/AK373*100-100))</f>
        <v>29.190207156308844</v>
      </c>
      <c r="AU373" s="74">
        <v>673</v>
      </c>
      <c r="AV373" s="72">
        <f t="shared" ref="AV373:AV378" si="1973">IF(ISERROR(AU373/AM373),"NA",IF(OR(AU373/AM373&gt;2,AU373/AM373&lt;0.5),"NM",AU373/AM373*100-100))</f>
        <v>23.486238532110093</v>
      </c>
      <c r="AW373" s="74">
        <v>707</v>
      </c>
      <c r="AX373" s="72">
        <f t="shared" ref="AX373:AX378" si="1974">IF(ISERROR(AW373/AO373),"NA",IF(OR(AW373/AO373&gt;2,AW373/AO373&lt;0.5),"NM",AW373/AO373*100-100))</f>
        <v>16.859504132231407</v>
      </c>
      <c r="AY373" s="74">
        <v>769</v>
      </c>
      <c r="AZ373" s="72">
        <f t="shared" ref="AZ373:AZ378" si="1975">IF(ISERROR(AY373/AQ373),"NA",IF(OR(AY373/AQ373&gt;2,AY373/AQ373&lt;0.5),"NM",AY373/AQ373*100-100))</f>
        <v>-0.12987012987012747</v>
      </c>
      <c r="BA373" s="74">
        <v>744</v>
      </c>
      <c r="BB373" s="72">
        <f t="shared" ref="BB373:BB378" si="1976">IF(ISERROR(BA373/AS373),"NA",IF(OR(BA373/AS373&gt;2,BA373/AS373&lt;0.5),"NM",BA373/AS373*100-100))</f>
        <v>8.4548104956268162</v>
      </c>
      <c r="BC373" s="74">
        <v>733</v>
      </c>
      <c r="BD373" s="72">
        <f t="shared" ref="BD373:BD378" si="1977">IF(ISERROR(BC373/AU373),"NA",IF(OR(BC373/AU373&gt;2,BC373/AU373&lt;0.5),"NM",BC373/AU373*100-100))</f>
        <v>8.91530460624071</v>
      </c>
      <c r="BE373" s="74">
        <v>773</v>
      </c>
      <c r="BF373" s="72">
        <f t="shared" ref="BF373:BF378" si="1978">IF(ISERROR(BE373/AW373),"NA",IF(OR(BE373/AW373&gt;2,BE373/AW373&lt;0.5),"NM",BE373/AW373*100-100))</f>
        <v>9.3352192362093263</v>
      </c>
      <c r="BG373" s="74">
        <v>848</v>
      </c>
      <c r="BH373" s="72">
        <f t="shared" ref="BH373:BH378" si="1979">IF(ISERROR(BG373/AY373),"NA",IF(OR(BG373/AY373&gt;2,BG373/AY373&lt;0.5),"NM",BG373/AY373*100-100))</f>
        <v>10.273081924577369</v>
      </c>
      <c r="BI373" s="74">
        <v>807</v>
      </c>
      <c r="BJ373" s="72">
        <f t="shared" ref="BJ373:BJ378" si="1980">IF(ISERROR(BI373/BA373),"NA",IF(OR(BI373/BA373&gt;2,BI373/BA373&lt;0.5),"NM",BI373/BA373*100-100))</f>
        <v>8.4677419354838719</v>
      </c>
      <c r="BK373" s="74">
        <v>837</v>
      </c>
      <c r="BL373" s="72">
        <f t="shared" ref="BL373:BL378" si="1981">IF(ISERROR(BK373/BC373),"NA",IF(OR(BK373/BC373&gt;2,BK373/BC373&lt;0.5),"NM",BK373/BC373*100-100))</f>
        <v>14.188267394270127</v>
      </c>
      <c r="BM373" s="74">
        <v>894</v>
      </c>
      <c r="BN373" s="72">
        <f t="shared" ref="BN373:BN378" si="1982">IF(ISERROR(BM373/BE373),"NA",IF(OR(BM373/BE373&gt;2,BM373/BE373&lt;0.5),"NM",BM373/BE373*100-100))</f>
        <v>15.653298835705058</v>
      </c>
      <c r="BO373" s="74">
        <v>1001</v>
      </c>
      <c r="BP373" s="72">
        <f t="shared" ref="BP373:BP378" si="1983">IF(ISERROR(BO373/BG373),"NA",IF(OR(BO373/BG373&gt;2,BO373/BG373&lt;0.5),"NM",BO373/BG373*100-100))</f>
        <v>18.04245283018868</v>
      </c>
      <c r="BQ373" s="74">
        <v>916</v>
      </c>
      <c r="BR373" s="72">
        <f t="shared" ref="BR373:BR378" si="1984">IF(ISERROR(BQ373/BI373),"NA",IF(OR(BQ373/BI373&gt;2,BQ373/BI373&lt;0.5),"NM",BQ373/BI373*100-100))</f>
        <v>13.506815365551432</v>
      </c>
      <c r="BS373" s="74">
        <v>900</v>
      </c>
      <c r="BT373" s="72">
        <f t="shared" ref="BT373:BT378" si="1985">IF(ISERROR(BS373/BK373),"NA",IF(OR(BS373/BK373&gt;2,BS373/BK373&lt;0.5),"NM",BS373/BK373*100-100))</f>
        <v>7.5268817204300973</v>
      </c>
      <c r="BU373" s="74">
        <v>921</v>
      </c>
      <c r="BV373" s="72">
        <f t="shared" ref="BV373:BV378" si="1986">IF(ISERROR(BU373/BM373),"NA",IF(OR(BU373/BM373&gt;2,BU373/BM373&lt;0.5),"NM",BU373/BM373*100-100))</f>
        <v>3.0201342281879135</v>
      </c>
      <c r="BW373" s="74">
        <v>1018</v>
      </c>
      <c r="BX373" s="72">
        <f t="shared" ref="BX373:BX378" si="1987">IF(ISERROR(BW373/BO373),"NA",IF(OR(BW373/BO373&gt;2,BW373/BO373&lt;0.5),"NM",BW373/BO373*100-100))</f>
        <v>1.698301698301691</v>
      </c>
      <c r="BY373" s="74">
        <v>900</v>
      </c>
      <c r="BZ373" s="72">
        <f t="shared" ref="BZ373:BZ378" si="1988">IF(ISERROR(BY373/BQ373),"NA",IF(OR(BY373/BQ373&gt;2,BY373/BQ373&lt;0.5),"NM",BY373/BQ373*100-100))</f>
        <v>-1.7467248908296966</v>
      </c>
      <c r="CA373" s="74">
        <v>970</v>
      </c>
      <c r="CB373" s="72">
        <f t="shared" ref="CB373:CB378" si="1989">IF(ISERROR(CA373/BS373),"NA",IF(OR(CA373/BS373&gt;2,CA373/BS373&lt;0.5),"NM",CA373/BS373*100-100))</f>
        <v>7.7777777777777715</v>
      </c>
      <c r="CC373" s="74">
        <v>1013</v>
      </c>
      <c r="CD373" s="72">
        <f t="shared" ref="CD373:CD378" si="1990">IF(ISERROR(CC373/BU373),"NA",IF(OR(CC373/BU373&gt;2,CC373/BU373&lt;0.5),"NM",CC373/BU373*100-100))</f>
        <v>9.9891422366992515</v>
      </c>
      <c r="CE373" s="74">
        <v>1163</v>
      </c>
      <c r="CF373" s="72">
        <f t="shared" ref="CF373:CF378" si="1991">IF(ISERROR(CE373/BW373),"NA",IF(OR(CE373/BW373&gt;2,CE373/BW373&lt;0.5),"NM",CE373/BW373*100-100))</f>
        <v>14.243614931237715</v>
      </c>
      <c r="CG373" s="74">
        <v>1070</v>
      </c>
      <c r="CH373" s="72">
        <f t="shared" ref="CH373:CH378" si="1992">IF(ISERROR(CG373/BY373),"NA",IF(OR(CG373/BY373&gt;2,CG373/BY373&lt;0.5),"NM",CG373/BY373*100-100))</f>
        <v>18.888888888888886</v>
      </c>
      <c r="CI373" s="74">
        <v>1150</v>
      </c>
      <c r="CJ373" s="72">
        <f t="shared" ref="CJ373:CJ378" si="1993">IF(ISERROR(CI373/CA373),"NA",IF(OR(CI373/CA373&gt;2,CI373/CA373&lt;0.5),"NM",CI373/CA373*100-100))</f>
        <v>18.55670103092784</v>
      </c>
      <c r="CK373" s="74">
        <v>1211</v>
      </c>
      <c r="CL373" s="72">
        <f t="shared" ref="CL373:CL378" si="1994">IF(ISERROR(CK373/CC373),"NA",IF(OR(CK373/CC373&gt;2,CK373/CC373&lt;0.5),"NM",CK373/CC373*100-100))</f>
        <v>19.545903257650536</v>
      </c>
      <c r="CM373" s="74">
        <v>1389</v>
      </c>
      <c r="CN373" s="72">
        <f t="shared" ref="CN373:CN378" si="1995">IF(ISERROR(CM373/CE373),"NA",IF(OR(CM373/CE373&gt;2,CM373/CE373&lt;0.5),"NM",CM373/CE373*100-100))</f>
        <v>19.432502149613072</v>
      </c>
      <c r="CO373" s="74">
        <v>1229</v>
      </c>
      <c r="CP373" s="72">
        <f t="shared" ref="CP373:CP378" si="1996">IF(ISERROR(CO373/CG373),"NA",IF(OR(CO373/CG373&gt;2,CO373/CG373&lt;0.5),"NM",CO373/CG373*100-100))</f>
        <v>14.859813084112147</v>
      </c>
      <c r="CQ373" s="74">
        <v>1325</v>
      </c>
      <c r="CR373" s="72">
        <f t="shared" ref="CR373:CR378" si="1997">IF(ISERROR(CQ373/CI373),"NA",IF(OR(CQ373/CI373&gt;2,CQ373/CI373&lt;0.5),"NM",CQ373/CI373*100-100))</f>
        <v>15.217391304347828</v>
      </c>
      <c r="CS373" s="74">
        <v>1351</v>
      </c>
      <c r="CT373" s="72">
        <f t="shared" ref="CT373:CT378" si="1998">IF(ISERROR(CS373/CK373),"NA",IF(OR(CS373/CK373&gt;2,CS373/CK373&lt;0.5),"NM",CS373/CK373*100-100))</f>
        <v>11.560693641618485</v>
      </c>
      <c r="CU373" s="74">
        <v>1490</v>
      </c>
      <c r="CV373" s="72">
        <f t="shared" ref="CV373:CV378" si="1999">IF(ISERROR(CU373/CM373),"NA",IF(OR(CU373/CM373&gt;2,CU373/CM373&lt;0.5),"NM",CU373/CM373*100-100))</f>
        <v>7.2714182865370844</v>
      </c>
      <c r="CW373" s="74">
        <v>1402</v>
      </c>
      <c r="CX373" s="72">
        <f t="shared" ref="CX373:CX378" si="2000">IF(ISERROR(CW373/CO373),"NA",IF(OR(CW373/CO373&gt;2,CW373/CO373&lt;0.5),"NM",CW373/CO373*100-100))</f>
        <v>14.076484947111467</v>
      </c>
      <c r="CY373" s="74">
        <v>1436</v>
      </c>
      <c r="CZ373" s="72">
        <f t="shared" ref="CZ373:CZ378" si="2001">IF(ISERROR(CY373/CQ373),"NA",IF(OR(CY373/CQ373&gt;2,CY373/CQ373&lt;0.5),"NM",CY373/CQ373*100-100))</f>
        <v>8.3773584905660385</v>
      </c>
      <c r="DA373" s="74">
        <v>1471</v>
      </c>
      <c r="DB373" s="72">
        <f t="shared" ref="DB373:DB378" si="2002">IF(ISERROR(DA373/CS373),"NA",IF(OR(DA373/CS373&gt;2,DA373/CS373&lt;0.5),"NM",DA373/CS373*100-100))</f>
        <v>8.8823094004441145</v>
      </c>
      <c r="DC373" s="74">
        <v>1591</v>
      </c>
      <c r="DD373" s="72">
        <f t="shared" ref="DD373:DD378" si="2003">IF(ISERROR(DC373/CU373),"NA",IF(OR(DC373/CU373&gt;2,DC373/CU373&lt;0.5),"NM",DC373/CU373*100-100))</f>
        <v>6.7785234899328799</v>
      </c>
      <c r="DE373" s="74">
        <v>1381</v>
      </c>
      <c r="DF373" s="72">
        <f t="shared" ref="DF373:DF378" si="2004">IF(ISERROR(DE373/CW373),"NA",IF(OR(DE373/CW373&gt;2,DE373/CW373&lt;0.5),"NM",DE373/CW373*100-100))</f>
        <v>-1.4978601997146939</v>
      </c>
      <c r="DG373" s="74">
        <v>1364</v>
      </c>
      <c r="DH373" s="72">
        <f t="shared" ref="DH373:DH378" si="2005">IF(ISERROR(DG373/CY373),"NA",IF(OR(DG373/CY373&gt;2,DG373/CY373&lt;0.5),"NM",DG373/CY373*100-100))</f>
        <v>-5.0139275766016738</v>
      </c>
      <c r="DI373" s="74">
        <v>1478</v>
      </c>
      <c r="DJ373" s="72">
        <f t="shared" ref="DJ373:DJ378" si="2006">IF(ISERROR(DI373/DA373),"NA",IF(OR(DI373/DA373&gt;2,DI373/DA373&lt;0.5),"NM",DI373/DA373*100-100))</f>
        <v>0.47586675730795491</v>
      </c>
      <c r="DK373" s="74">
        <v>1637</v>
      </c>
      <c r="DL373" s="72">
        <f t="shared" ref="DL373:DL378" si="2007">IF(ISERROR(DK373/DC373),"NA",IF(OR(DK373/DC373&gt;2,DK373/DC373&lt;0.5),"NM",DK373/DC373*100-100))</f>
        <v>2.891263356379639</v>
      </c>
      <c r="DM373" s="74">
        <v>1457</v>
      </c>
      <c r="DN373" s="72">
        <f t="shared" ref="DN373:DZ378" si="2008">IF(ISERROR(DM373/DE373),"NA",IF(OR(DM373/DE373&gt;2,DM373/DE373&lt;0.5),"NM",DM373/DE373*100-100))</f>
        <v>5.503258508327292</v>
      </c>
      <c r="DO373" s="74">
        <v>1486</v>
      </c>
      <c r="DP373" s="72">
        <f t="shared" si="2008"/>
        <v>8.94428152492668</v>
      </c>
      <c r="DQ373" s="74">
        <v>1434</v>
      </c>
      <c r="DR373" s="72">
        <f t="shared" si="2008"/>
        <v>-2.9769959404600854</v>
      </c>
      <c r="DS373" s="74">
        <v>1591</v>
      </c>
      <c r="DT373" s="72">
        <f t="shared" si="2008"/>
        <v>-2.8100183262064746</v>
      </c>
      <c r="DU373" s="74">
        <v>1450</v>
      </c>
      <c r="DV373" s="72">
        <f t="shared" si="2008"/>
        <v>-0.48043925875084881</v>
      </c>
      <c r="DW373" s="74">
        <v>1444</v>
      </c>
      <c r="DX373" s="72">
        <f t="shared" si="2008"/>
        <v>-2.8263795423956992</v>
      </c>
      <c r="DY373" s="74">
        <v>1448</v>
      </c>
      <c r="DZ373" s="72">
        <f t="shared" si="2008"/>
        <v>0.97629009762900409</v>
      </c>
      <c r="EA373" s="74">
        <v>1709</v>
      </c>
      <c r="EB373" s="72">
        <f t="shared" ref="EB373:EB378" si="2009">IF(ISERROR(EA373/DS373),"NA",IF(OR(EA373/DS373&gt;2,EA373/DS373&lt;0.5),"NM",EA373/DS373*100-100))</f>
        <v>7.4167190446260207</v>
      </c>
      <c r="EC373" s="74">
        <v>1632</v>
      </c>
      <c r="ED373" s="72">
        <f t="shared" ref="ED373:ED378" si="2010">IF(ISERROR(EC373/DU373),"NA",IF(OR(EC373/DU373&gt;2,EC373/DU373&lt;0.5),"NM",EC373/DU373*100-100))</f>
        <v>12.551724137931046</v>
      </c>
      <c r="EE373" s="74">
        <v>1658</v>
      </c>
      <c r="EF373" s="72">
        <f t="shared" ref="EF373:EF378" si="2011">IF(ISERROR(EE373/DW373),"NA",IF(OR(EE373/DW373&gt;2,EE373/DW373&lt;0.5),"NM",EE373/DW373*100-100))</f>
        <v>14.819944598337955</v>
      </c>
      <c r="EG373" s="74">
        <v>1608</v>
      </c>
      <c r="EH373" s="72">
        <f t="shared" ref="EH373:EH378" si="2012">IF(ISERROR(EG373/DY373),"NA",IF(OR(EG373/DY373&gt;2,EG373/DY373&lt;0.5),"NM",EG373/DY373*100-100))</f>
        <v>11.049723756906076</v>
      </c>
      <c r="EI373" s="74">
        <v>1866</v>
      </c>
      <c r="EJ373" s="72">
        <f t="shared" ref="EJ373:EJ378" si="2013">IF(ISERROR(EI373/EA373),"NA",IF(OR(EI373/EA373&gt;2,EI373/EA373&lt;0.5),"NM",EI373/EA373*100-100))</f>
        <v>9.1866588648332339</v>
      </c>
      <c r="EK373" s="74">
        <v>1711</v>
      </c>
      <c r="EL373" s="72">
        <f t="shared" ref="EL373:EL378" si="2014">IF(ISERROR(EK373/EC373),"NA",IF(OR(EK373/EC373&gt;2,EK373/EC373&lt;0.5),"NM",EK373/EC373*100-100))</f>
        <v>4.8406862745097925</v>
      </c>
      <c r="EM373" s="74">
        <v>1701</v>
      </c>
      <c r="EN373" s="72">
        <f t="shared" ref="EN373:EN378" si="2015">IF(ISERROR(EM373/EE373),"NA",IF(OR(EM373/EE373&gt;2,EM373/EE373&lt;0.5),"NM",EM373/EE373*100-100))</f>
        <v>2.5934861278648924</v>
      </c>
      <c r="EO373" s="74">
        <v>1741</v>
      </c>
      <c r="EP373" s="72">
        <f t="shared" ref="EP373:EP378" si="2016">IF(ISERROR(EO373/EG373),"NA",IF(OR(EO373/EG373&gt;2,EO373/EG373&lt;0.5),"NM",EO373/EG373*100-100))</f>
        <v>8.271144278606954</v>
      </c>
      <c r="EQ373" s="75">
        <f t="shared" ref="EQ373" si="2017">EQ367*EQ380/100</f>
        <v>1940.7729297297296</v>
      </c>
      <c r="ER373" s="72">
        <f t="shared" ref="ER373:ER378" si="2018">IF(ISERROR(EQ373/EI373),"NA",IF(OR(EQ373/EI373&gt;2,EQ373/EI373&lt;0.5),"NM",EQ373/EI373*100-100))</f>
        <v>4.0071237797282748</v>
      </c>
      <c r="ES373" s="75">
        <f t="shared" ref="ES373" si="2019">ES367*ES380/100</f>
        <v>1774.0386756756752</v>
      </c>
      <c r="ET373" s="72">
        <f t="shared" ref="ET373:ET378" si="2020">IF(ISERROR(ES373/EK373),"NA",IF(OR(ES373/EK373&gt;2,ES373/EK373&lt;0.5),"NM",ES373/EK373*100-100))</f>
        <v>3.6843176899868695</v>
      </c>
      <c r="EU373" s="75">
        <f t="shared" ref="EU373" si="2021">EU367*EU380/100</f>
        <v>1785.3297693693694</v>
      </c>
      <c r="EV373" s="72">
        <f t="shared" ref="EV373:EV378" si="2022">IF(ISERROR(EU373/EM373),"NA",IF(OR(EU373/EM373&gt;2,EU373/EM373&lt;0.5),"NM",EU373/EM373*100-100))</f>
        <v>4.9576583991398877</v>
      </c>
      <c r="EW373" s="75">
        <f t="shared" ref="EW373" si="2023">EW367*EW380/100</f>
        <v>1809.9550075675679</v>
      </c>
      <c r="EX373" s="72">
        <f t="shared" ref="EX373:EX378" si="2024">IF(ISERROR(EW373/EO373),"NA",IF(OR(EW373/EO373&gt;2,EW373/EO373&lt;0.5),"NM",EW373/EO373*100-100))</f>
        <v>3.9606552307620717</v>
      </c>
      <c r="EY373" s="72"/>
      <c r="EZ373" s="311"/>
      <c r="FA373" s="72"/>
      <c r="FB373" s="74">
        <v>742</v>
      </c>
      <c r="FC373" s="72"/>
      <c r="FD373" s="74">
        <v>1031</v>
      </c>
      <c r="FE373" s="72">
        <f t="shared" ref="FE373:FE378" si="2025">IF(ISERROR(FD373/FB373),"NA",IF(OR(FD373/FB373&gt;2,FD373/FB373&lt;0.5),"NM",FD373/FB373*100-100))</f>
        <v>38.948787061994608</v>
      </c>
      <c r="FF373" s="74">
        <v>1265</v>
      </c>
      <c r="FG373" s="72">
        <f t="shared" ref="FG373:FG378" si="2026">IF(ISERROR(FF373/FD373),"NA",IF(OR(FF373/FD373&gt;2,FF373/FD373&lt;0.5),"NM",FF373/FD373*100-100))</f>
        <v>22.696411251212425</v>
      </c>
      <c r="FH373" s="75">
        <f>K373+M373+O373+Q373</f>
        <v>1383</v>
      </c>
      <c r="FI373" s="72">
        <f t="shared" ref="FI373:FI378" si="2027">IF(ISERROR(FH373/FF373),"NA",IF(OR(FH373/FF373&gt;2,FH373/FF373&lt;0.5),"NM",FH373/FF373*100-100))</f>
        <v>9.3280632411067046</v>
      </c>
      <c r="FJ373" s="75">
        <f>S373+U373+W373+Y373</f>
        <v>1548</v>
      </c>
      <c r="FK373" s="72">
        <f t="shared" ref="FK373:FK378" si="2028">IF(ISERROR(FJ373/FH373),"NA",IF(OR(FJ373/FH373&gt;2,FJ373/FH373&lt;0.5),"NM",FJ373/FH373*100-100))</f>
        <v>11.930585683297195</v>
      </c>
      <c r="FL373" s="75">
        <f>+AA373+AC373+AE373+AG373</f>
        <v>1919</v>
      </c>
      <c r="FM373" s="72">
        <f t="shared" ref="FM373:FM378" si="2029">IF(ISERROR(FL373/FJ373),"NA",IF(OR(FL373/FJ373&gt;2,FL373/FJ373&lt;0.5),"NM",FL373/FJ373*100-100))</f>
        <v>23.966408268733844</v>
      </c>
      <c r="FN373" s="75">
        <f>+AI373+AK373+AM373+AO373</f>
        <v>2257</v>
      </c>
      <c r="FO373" s="72">
        <f t="shared" ref="FO373:FO378" si="2030">IF(ISERROR(FN373/FL373),"NA",IF(OR(FN373/FL373&gt;2,FN373/FL373&lt;0.5),"NM",FN373/FL373*100-100))</f>
        <v>17.61334028139656</v>
      </c>
      <c r="FP373" s="75">
        <f>AQ373+AS373+AU373+AW373</f>
        <v>2836</v>
      </c>
      <c r="FQ373" s="72">
        <f t="shared" ref="FQ373:FQ378" si="2031">IF(ISERROR(FP373/FN373),"NA",IF(OR(FP373/FN373&gt;2,FP373/FN373&lt;0.5),"NM",FP373/FN373*100-100))</f>
        <v>25.653522374833841</v>
      </c>
      <c r="FR373" s="75">
        <f>AY373+BA373+BC373+BE373</f>
        <v>3019</v>
      </c>
      <c r="FS373" s="72">
        <f t="shared" ref="FS373:FS378" si="2032">IF(ISERROR(FR373/FP373),"NA",IF(OR(FR373/FP373&gt;2,FR373/FP373&lt;0.5),"NM",FR373/FP373*100-100))</f>
        <v>6.4527503526093</v>
      </c>
      <c r="FT373" s="75">
        <f>BG373+BI373+BK373+BM373</f>
        <v>3386</v>
      </c>
      <c r="FU373" s="72">
        <f t="shared" ref="FU373:FU378" si="2033">IF(ISERROR(FT373/FR373),"NA",IF(OR(FT373/FR373&gt;2,FT373/FR373&lt;0.5),"NM",FT373/FR373*100-100))</f>
        <v>12.156343159986747</v>
      </c>
      <c r="FV373" s="75">
        <f>BO373+BQ373+BS373+BU373</f>
        <v>3738</v>
      </c>
      <c r="FW373" s="72">
        <f t="shared" ref="FW373:GG378" si="2034">IF(ISERROR(FV373/FT373),"NA",IF(OR(FV373/FT373&gt;2,FV373/FT373&lt;0.5),"NM",FV373/FT373*100-100))</f>
        <v>10.395747194329587</v>
      </c>
      <c r="FX373" s="75">
        <f>BW373+BY373+CA373+CC373</f>
        <v>3901</v>
      </c>
      <c r="FY373" s="72">
        <f t="shared" si="2034"/>
        <v>4.360620652755486</v>
      </c>
      <c r="FZ373" s="75">
        <f>CE373+CG373+CI373+CK373</f>
        <v>4594</v>
      </c>
      <c r="GA373" s="72">
        <f t="shared" si="2034"/>
        <v>17.764675724173287</v>
      </c>
      <c r="GB373" s="75">
        <f>CM373+CO373+CQ373+CS373</f>
        <v>5294</v>
      </c>
      <c r="GC373" s="72">
        <f t="shared" si="2034"/>
        <v>15.237265999129292</v>
      </c>
      <c r="GD373" s="75">
        <f>CU373+CW373+CY373+DA373</f>
        <v>5799</v>
      </c>
      <c r="GE373" s="72">
        <f t="shared" si="2034"/>
        <v>9.5391008689081929</v>
      </c>
      <c r="GF373" s="75">
        <f>DC373+DE373+DG373+DI373</f>
        <v>5814</v>
      </c>
      <c r="GG373" s="72">
        <f t="shared" si="2034"/>
        <v>0.25866528711846115</v>
      </c>
      <c r="GH373" s="75">
        <f>DK373+DM373+DO373+DQ373</f>
        <v>6014</v>
      </c>
      <c r="GI373" s="72">
        <f t="shared" ref="GI373:GU378" si="2035">IF(ISERROR(GH373/GF373),"NA",IF(OR(GH373/GF373&gt;2,GH373/GF373&lt;0.5),"NM",GH373/GF373*100-100))</f>
        <v>3.4399724802201632</v>
      </c>
      <c r="GJ373" s="75">
        <f>DS373+DU373+DW373+DY373</f>
        <v>5933</v>
      </c>
      <c r="GK373" s="72">
        <f t="shared" si="2035"/>
        <v>-1.3468573328899254</v>
      </c>
      <c r="GL373" s="75">
        <f>EA373+EC373+EE373+EG373</f>
        <v>6607</v>
      </c>
      <c r="GM373" s="72">
        <f t="shared" si="2035"/>
        <v>11.360188774650254</v>
      </c>
      <c r="GN373" s="75">
        <f>EI373+EK373+EM373+EO373</f>
        <v>7019</v>
      </c>
      <c r="GO373" s="72">
        <f t="shared" si="2035"/>
        <v>6.2358105040108995</v>
      </c>
      <c r="GP373" s="75">
        <f>EQ373+ES373+EU373+EW373</f>
        <v>7310.0963823423417</v>
      </c>
      <c r="GQ373" s="72">
        <f t="shared" si="2035"/>
        <v>4.147262891328424</v>
      </c>
      <c r="GR373" s="75">
        <f>GR367*GR380/100</f>
        <v>7602.500237636038</v>
      </c>
      <c r="GS373" s="72">
        <f t="shared" si="2035"/>
        <v>4.0000000000000284</v>
      </c>
      <c r="GT373" s="75">
        <f>GT367*GT380/100</f>
        <v>7906.6002471414777</v>
      </c>
      <c r="GU373" s="72">
        <f t="shared" si="2035"/>
        <v>3.9999999999999858</v>
      </c>
      <c r="GV373" s="75">
        <f>GV367*GV380/100</f>
        <v>8222.8642570271368</v>
      </c>
      <c r="GW373" s="72">
        <f t="shared" ref="GW373:GW378" si="2036">IF(ISERROR(GV373/GT373),"NA",IF(OR(GV373/GT373&gt;2,GV373/GT373&lt;0.5),"NM",GV373/GT373*100-100))</f>
        <v>4</v>
      </c>
      <c r="GX373" s="75">
        <f>GX367*GX380/100</f>
        <v>8551.7788273082242</v>
      </c>
      <c r="GY373" s="72">
        <f t="shared" ref="GY373:GY378" si="2037">IF(ISERROR(GX373/GV373),"NA",IF(OR(GX373/GV373&gt;2,GX373/GV373&lt;0.5),"NM",GX373/GV373*100-100))</f>
        <v>4.0000000000000284</v>
      </c>
      <c r="GZ373" s="72">
        <f t="shared" si="1954"/>
        <v>4.0294359106096689</v>
      </c>
      <c r="HA373" s="72"/>
      <c r="HB373" s="72"/>
      <c r="HC373"/>
      <c r="HD373"/>
      <c r="HE373"/>
      <c r="HF373"/>
      <c r="HG373"/>
      <c r="HH373"/>
      <c r="HI373" s="2"/>
    </row>
    <row r="374" spans="1:217" s="3" customFormat="1" ht="12.75" customHeight="1" x14ac:dyDescent="0.2">
      <c r="B374" s="77" t="s">
        <v>668</v>
      </c>
      <c r="C374" s="74">
        <f>FF374-I374-G374-E374</f>
        <v>0</v>
      </c>
      <c r="D374" s="72"/>
      <c r="E374" s="74">
        <v>1</v>
      </c>
      <c r="F374" s="72"/>
      <c r="G374" s="74">
        <v>1</v>
      </c>
      <c r="H374" s="72"/>
      <c r="I374" s="74">
        <v>0</v>
      </c>
      <c r="J374" s="72"/>
      <c r="K374" s="74">
        <v>1</v>
      </c>
      <c r="L374" s="72" t="str">
        <f t="shared" si="1967"/>
        <v>NA</v>
      </c>
      <c r="M374" s="74">
        <v>1</v>
      </c>
      <c r="N374" s="72">
        <f t="shared" si="1968"/>
        <v>0</v>
      </c>
      <c r="O374" s="74">
        <v>1</v>
      </c>
      <c r="P374" s="72">
        <f t="shared" si="1969"/>
        <v>0</v>
      </c>
      <c r="Q374" s="74">
        <v>2</v>
      </c>
      <c r="R374" s="72" t="str">
        <f t="shared" si="1970"/>
        <v>NA</v>
      </c>
      <c r="S374" s="74">
        <v>1</v>
      </c>
      <c r="T374" s="72">
        <f t="shared" si="1970"/>
        <v>0</v>
      </c>
      <c r="U374" s="74">
        <v>2</v>
      </c>
      <c r="V374" s="72">
        <f t="shared" si="1970"/>
        <v>100</v>
      </c>
      <c r="W374" s="74">
        <v>2</v>
      </c>
      <c r="X374" s="72">
        <f t="shared" si="1970"/>
        <v>100</v>
      </c>
      <c r="Y374" s="74">
        <v>2</v>
      </c>
      <c r="Z374" s="72">
        <f t="shared" si="1970"/>
        <v>0</v>
      </c>
      <c r="AA374" s="74">
        <v>3</v>
      </c>
      <c r="AB374" s="72" t="str">
        <f t="shared" si="1970"/>
        <v>NM</v>
      </c>
      <c r="AC374" s="74">
        <v>3</v>
      </c>
      <c r="AD374" s="72">
        <f t="shared" si="1970"/>
        <v>50</v>
      </c>
      <c r="AE374" s="74">
        <v>3</v>
      </c>
      <c r="AF374" s="72">
        <f t="shared" si="1970"/>
        <v>50</v>
      </c>
      <c r="AG374" s="74">
        <v>4</v>
      </c>
      <c r="AH374" s="72">
        <f t="shared" si="1970"/>
        <v>100</v>
      </c>
      <c r="AI374" s="74">
        <v>6</v>
      </c>
      <c r="AJ374" s="72">
        <f t="shared" si="1970"/>
        <v>100</v>
      </c>
      <c r="AK374" s="74">
        <v>6</v>
      </c>
      <c r="AL374" s="72">
        <f t="shared" si="1970"/>
        <v>100</v>
      </c>
      <c r="AM374" s="74">
        <v>7</v>
      </c>
      <c r="AN374" s="72" t="str">
        <f t="shared" si="1970"/>
        <v>NM</v>
      </c>
      <c r="AO374" s="74">
        <v>9</v>
      </c>
      <c r="AP374" s="72" t="str">
        <f t="shared" si="1970"/>
        <v>NM</v>
      </c>
      <c r="AQ374" s="74">
        <v>25</v>
      </c>
      <c r="AR374" s="72" t="str">
        <f t="shared" si="1971"/>
        <v>NM</v>
      </c>
      <c r="AS374" s="74">
        <v>29</v>
      </c>
      <c r="AT374" s="72" t="str">
        <f t="shared" si="1972"/>
        <v>NM</v>
      </c>
      <c r="AU374" s="74">
        <v>25</v>
      </c>
      <c r="AV374" s="72" t="str">
        <f t="shared" si="1973"/>
        <v>NM</v>
      </c>
      <c r="AW374" s="74">
        <v>23</v>
      </c>
      <c r="AX374" s="72" t="str">
        <f t="shared" si="1974"/>
        <v>NM</v>
      </c>
      <c r="AY374" s="74">
        <v>27</v>
      </c>
      <c r="AZ374" s="72">
        <f t="shared" si="1975"/>
        <v>8</v>
      </c>
      <c r="BA374" s="74">
        <v>27</v>
      </c>
      <c r="BB374" s="72">
        <f t="shared" si="1976"/>
        <v>-6.8965517241379359</v>
      </c>
      <c r="BC374" s="74">
        <v>27</v>
      </c>
      <c r="BD374" s="72">
        <f t="shared" si="1977"/>
        <v>8</v>
      </c>
      <c r="BE374" s="74">
        <v>25</v>
      </c>
      <c r="BF374" s="72">
        <f t="shared" si="1978"/>
        <v>8.6956521739130324</v>
      </c>
      <c r="BG374" s="74">
        <v>34</v>
      </c>
      <c r="BH374" s="72">
        <f t="shared" si="1979"/>
        <v>25.925925925925924</v>
      </c>
      <c r="BI374" s="74">
        <v>31</v>
      </c>
      <c r="BJ374" s="72">
        <f t="shared" si="1980"/>
        <v>14.81481481481481</v>
      </c>
      <c r="BK374" s="74">
        <v>36</v>
      </c>
      <c r="BL374" s="72">
        <f t="shared" si="1981"/>
        <v>33.333333333333314</v>
      </c>
      <c r="BM374" s="74">
        <v>36</v>
      </c>
      <c r="BN374" s="72">
        <f t="shared" si="1982"/>
        <v>44</v>
      </c>
      <c r="BO374" s="74">
        <v>43</v>
      </c>
      <c r="BP374" s="72">
        <f t="shared" si="1983"/>
        <v>26.470588235294116</v>
      </c>
      <c r="BQ374" s="74">
        <v>40</v>
      </c>
      <c r="BR374" s="72">
        <f t="shared" si="1984"/>
        <v>29.032258064516128</v>
      </c>
      <c r="BS374" s="74">
        <v>42</v>
      </c>
      <c r="BT374" s="72">
        <f t="shared" si="1985"/>
        <v>16.666666666666671</v>
      </c>
      <c r="BU374" s="74">
        <v>42</v>
      </c>
      <c r="BV374" s="72">
        <f t="shared" si="1986"/>
        <v>16.666666666666671</v>
      </c>
      <c r="BW374" s="74">
        <v>48</v>
      </c>
      <c r="BX374" s="72">
        <f t="shared" si="1987"/>
        <v>11.627906976744185</v>
      </c>
      <c r="BY374" s="74">
        <v>40</v>
      </c>
      <c r="BZ374" s="72">
        <f t="shared" si="1988"/>
        <v>0</v>
      </c>
      <c r="CA374" s="74">
        <v>49</v>
      </c>
      <c r="CB374" s="72">
        <f t="shared" si="1989"/>
        <v>16.666666666666671</v>
      </c>
      <c r="CC374" s="74">
        <v>49</v>
      </c>
      <c r="CD374" s="72">
        <f t="shared" si="1990"/>
        <v>16.666666666666671</v>
      </c>
      <c r="CE374" s="74">
        <v>53</v>
      </c>
      <c r="CF374" s="72">
        <f t="shared" si="1991"/>
        <v>10.416666666666671</v>
      </c>
      <c r="CG374" s="74">
        <v>47</v>
      </c>
      <c r="CH374" s="72">
        <f t="shared" si="1992"/>
        <v>17.5</v>
      </c>
      <c r="CI374" s="74">
        <v>59</v>
      </c>
      <c r="CJ374" s="72">
        <f t="shared" si="1993"/>
        <v>20.408163265306129</v>
      </c>
      <c r="CK374" s="74">
        <v>54</v>
      </c>
      <c r="CL374" s="72">
        <f t="shared" si="1994"/>
        <v>10.204081632653043</v>
      </c>
      <c r="CM374" s="74">
        <v>62</v>
      </c>
      <c r="CN374" s="72">
        <f t="shared" si="1995"/>
        <v>16.981132075471692</v>
      </c>
      <c r="CO374" s="74">
        <v>56</v>
      </c>
      <c r="CP374" s="72">
        <f t="shared" si="1996"/>
        <v>19.148936170212764</v>
      </c>
      <c r="CQ374" s="74">
        <v>66</v>
      </c>
      <c r="CR374" s="72">
        <f t="shared" si="1997"/>
        <v>11.86440677966101</v>
      </c>
      <c r="CS374" s="74">
        <v>61</v>
      </c>
      <c r="CT374" s="72">
        <f t="shared" si="1998"/>
        <v>12.962962962962948</v>
      </c>
      <c r="CU374" s="74">
        <v>68</v>
      </c>
      <c r="CV374" s="72">
        <f t="shared" si="1999"/>
        <v>9.6774193548387046</v>
      </c>
      <c r="CW374" s="74">
        <v>61</v>
      </c>
      <c r="CX374" s="72">
        <f t="shared" si="2000"/>
        <v>8.9285714285714164</v>
      </c>
      <c r="CY374" s="74">
        <v>80</v>
      </c>
      <c r="CZ374" s="72">
        <f t="shared" si="2001"/>
        <v>21.212121212121218</v>
      </c>
      <c r="DA374" s="74">
        <v>52</v>
      </c>
      <c r="DB374" s="72">
        <f t="shared" si="2002"/>
        <v>-14.754098360655746</v>
      </c>
      <c r="DC374" s="74">
        <v>69</v>
      </c>
      <c r="DD374" s="72">
        <f t="shared" si="2003"/>
        <v>1.470588235294116</v>
      </c>
      <c r="DE374" s="74">
        <v>55</v>
      </c>
      <c r="DF374" s="72">
        <f t="shared" si="2004"/>
        <v>-9.8360655737704974</v>
      </c>
      <c r="DG374" s="74">
        <v>63</v>
      </c>
      <c r="DH374" s="72">
        <f t="shared" si="2005"/>
        <v>-21.25</v>
      </c>
      <c r="DI374" s="74">
        <v>57</v>
      </c>
      <c r="DJ374" s="72">
        <f t="shared" si="2006"/>
        <v>9.6153846153846274</v>
      </c>
      <c r="DK374" s="74">
        <v>60</v>
      </c>
      <c r="DL374" s="72">
        <f>IF(ISERROR(DK374/DC374),"NA",IF(OR(DK374/DC374&gt;2,DK374/DC374&lt;0.5),"NM",DK374/DC374*100-100))</f>
        <v>-13.043478260869563</v>
      </c>
      <c r="DM374" s="74">
        <v>53</v>
      </c>
      <c r="DN374" s="72">
        <f t="shared" si="2008"/>
        <v>-3.6363636363636402</v>
      </c>
      <c r="DO374" s="74">
        <v>59</v>
      </c>
      <c r="DP374" s="72">
        <f t="shared" si="2008"/>
        <v>-6.3492063492063551</v>
      </c>
      <c r="DQ374" s="74">
        <v>49</v>
      </c>
      <c r="DR374" s="72">
        <f t="shared" si="2008"/>
        <v>-14.035087719298247</v>
      </c>
      <c r="DS374" s="74">
        <v>55</v>
      </c>
      <c r="DT374" s="72">
        <f t="shared" si="2008"/>
        <v>-8.3333333333333428</v>
      </c>
      <c r="DU374" s="74">
        <v>48</v>
      </c>
      <c r="DV374" s="72">
        <f t="shared" si="2008"/>
        <v>-9.4339622641509351</v>
      </c>
      <c r="DW374" s="74">
        <v>54</v>
      </c>
      <c r="DX374" s="72">
        <f t="shared" si="2008"/>
        <v>-8.4745762711864359</v>
      </c>
      <c r="DY374" s="74">
        <v>47</v>
      </c>
      <c r="DZ374" s="72">
        <f t="shared" si="2008"/>
        <v>-4.0816326530612344</v>
      </c>
      <c r="EA374" s="74">
        <v>59</v>
      </c>
      <c r="EB374" s="72">
        <f t="shared" si="2009"/>
        <v>7.2727272727272805</v>
      </c>
      <c r="EC374" s="74">
        <v>56</v>
      </c>
      <c r="ED374" s="72">
        <f t="shared" si="2010"/>
        <v>16.666666666666671</v>
      </c>
      <c r="EE374" s="74">
        <v>64</v>
      </c>
      <c r="EF374" s="72">
        <f t="shared" si="2011"/>
        <v>18.518518518518505</v>
      </c>
      <c r="EG374" s="74">
        <v>55</v>
      </c>
      <c r="EH374" s="72">
        <f t="shared" si="2012"/>
        <v>17.021276595744681</v>
      </c>
      <c r="EI374" s="74">
        <v>62</v>
      </c>
      <c r="EJ374" s="72">
        <f t="shared" si="2013"/>
        <v>5.0847457627118757</v>
      </c>
      <c r="EK374" s="74">
        <v>56</v>
      </c>
      <c r="EL374" s="72">
        <f t="shared" si="2014"/>
        <v>0</v>
      </c>
      <c r="EM374" s="74">
        <v>64</v>
      </c>
      <c r="EN374" s="72">
        <f t="shared" si="2015"/>
        <v>0</v>
      </c>
      <c r="EO374" s="74">
        <v>56</v>
      </c>
      <c r="EP374" s="72">
        <f t="shared" si="2016"/>
        <v>1.818181818181813</v>
      </c>
      <c r="EQ374" s="74">
        <f t="shared" ref="EQ374" si="2038">EI374*(1+EQ$361/100)</f>
        <v>64.759279279279284</v>
      </c>
      <c r="ER374" s="72">
        <f t="shared" si="2018"/>
        <v>4.4504504504504467</v>
      </c>
      <c r="ES374" s="74">
        <f t="shared" ref="ES374" si="2039">EK374*(1+ES$361/100)</f>
        <v>58.49225225225225</v>
      </c>
      <c r="ET374" s="72">
        <f t="shared" si="2020"/>
        <v>4.4504504504504467</v>
      </c>
      <c r="EU374" s="74">
        <f t="shared" ref="EU374" si="2040">EM374*(1+EU$361/100)</f>
        <v>66.848288288288288</v>
      </c>
      <c r="EV374" s="72">
        <f t="shared" si="2022"/>
        <v>4.4504504504504467</v>
      </c>
      <c r="EW374" s="74">
        <f t="shared" ref="EW374" si="2041">EO374*(1+EW$361/100)</f>
        <v>58.49225225225225</v>
      </c>
      <c r="EX374" s="72">
        <f t="shared" si="2024"/>
        <v>4.4504504504504467</v>
      </c>
      <c r="EY374" s="72"/>
      <c r="EZ374" s="311"/>
      <c r="FA374" s="72"/>
      <c r="FB374" s="74">
        <v>3</v>
      </c>
      <c r="FC374" s="72"/>
      <c r="FD374" s="74">
        <v>1</v>
      </c>
      <c r="FE374" s="72" t="str">
        <f t="shared" si="2025"/>
        <v>NM</v>
      </c>
      <c r="FF374" s="74">
        <v>2</v>
      </c>
      <c r="FG374" s="72">
        <f t="shared" si="2026"/>
        <v>100</v>
      </c>
      <c r="FH374" s="75">
        <f>K374+M374+O374+Q374</f>
        <v>5</v>
      </c>
      <c r="FI374" s="72" t="str">
        <f t="shared" si="2027"/>
        <v>NM</v>
      </c>
      <c r="FJ374" s="75">
        <f>S374+U374+W374+Y374</f>
        <v>7</v>
      </c>
      <c r="FK374" s="72">
        <f t="shared" si="2028"/>
        <v>40</v>
      </c>
      <c r="FL374" s="75">
        <f>+AA374+AC374+AE374+AG374</f>
        <v>13</v>
      </c>
      <c r="FM374" s="72">
        <f t="shared" si="2029"/>
        <v>85.714285714285722</v>
      </c>
      <c r="FN374" s="75">
        <f>+AI374+AK374+AM374+AO374</f>
        <v>28</v>
      </c>
      <c r="FO374" s="72" t="str">
        <f t="shared" si="2030"/>
        <v>NM</v>
      </c>
      <c r="FP374" s="75">
        <f>AQ374+AS374+AU374+AW374</f>
        <v>102</v>
      </c>
      <c r="FQ374" s="72" t="str">
        <f t="shared" si="2031"/>
        <v>NM</v>
      </c>
      <c r="FR374" s="75">
        <f>AY374+BA374+BC374+BE374</f>
        <v>106</v>
      </c>
      <c r="FS374" s="72">
        <f t="shared" si="2032"/>
        <v>3.9215686274509949</v>
      </c>
      <c r="FT374" s="75">
        <f>BG374+BI374+BK374+BM374</f>
        <v>137</v>
      </c>
      <c r="FU374" s="72">
        <f t="shared" si="2033"/>
        <v>29.245283018867923</v>
      </c>
      <c r="FV374" s="75">
        <f>BO374+BQ374+BS374+BU374</f>
        <v>167</v>
      </c>
      <c r="FW374" s="72">
        <f t="shared" si="2034"/>
        <v>21.897810218978094</v>
      </c>
      <c r="FX374" s="75">
        <f>BW374+BY374+CA374+CC374</f>
        <v>186</v>
      </c>
      <c r="FY374" s="72">
        <f t="shared" si="2034"/>
        <v>11.377245508982028</v>
      </c>
      <c r="FZ374" s="75">
        <f>CE374+CG374+CI374+CK374</f>
        <v>213</v>
      </c>
      <c r="GA374" s="72">
        <f t="shared" si="2034"/>
        <v>14.516129032258078</v>
      </c>
      <c r="GB374" s="75">
        <f>CM374+CO374+CQ374+CS374</f>
        <v>245</v>
      </c>
      <c r="GC374" s="72">
        <f t="shared" si="2034"/>
        <v>15.023474178403745</v>
      </c>
      <c r="GD374" s="75">
        <f>CU374+CW374+CY374+DA374</f>
        <v>261</v>
      </c>
      <c r="GE374" s="72">
        <f t="shared" si="2034"/>
        <v>6.5306122448979522</v>
      </c>
      <c r="GF374" s="75">
        <f>DC374+DE374+DG374+DI374</f>
        <v>244</v>
      </c>
      <c r="GG374" s="72">
        <f t="shared" si="2034"/>
        <v>-6.5134099616858236</v>
      </c>
      <c r="GH374" s="75">
        <f>DK374+DM374+DO374+DQ374</f>
        <v>221</v>
      </c>
      <c r="GI374" s="72">
        <f t="shared" si="2035"/>
        <v>-9.4262295081967267</v>
      </c>
      <c r="GJ374" s="75">
        <f>DS374+DU374+DW374+DY374</f>
        <v>204</v>
      </c>
      <c r="GK374" s="72">
        <f t="shared" si="2035"/>
        <v>-7.6923076923076934</v>
      </c>
      <c r="GL374" s="75">
        <f>EA374+EC374+EE374+EG374</f>
        <v>234</v>
      </c>
      <c r="GM374" s="72">
        <f t="shared" si="2035"/>
        <v>14.705882352941174</v>
      </c>
      <c r="GN374" s="75">
        <f>EI374+EK374+EM374+EO374</f>
        <v>238</v>
      </c>
      <c r="GO374" s="72">
        <f t="shared" si="2035"/>
        <v>1.7094017094017033</v>
      </c>
      <c r="GP374" s="75">
        <f>EQ374+ES374+EU374+EW374</f>
        <v>248.59207207207206</v>
      </c>
      <c r="GQ374" s="72">
        <f t="shared" si="2035"/>
        <v>4.4504504504504467</v>
      </c>
      <c r="GR374" s="74">
        <f>GP374*(1+GR$361/100)</f>
        <v>258.53575495495494</v>
      </c>
      <c r="GS374" s="72">
        <f t="shared" si="2035"/>
        <v>4</v>
      </c>
      <c r="GT374" s="74">
        <f>GR374*(1+GT$361/100)</f>
        <v>268.87718515315316</v>
      </c>
      <c r="GU374" s="72">
        <f t="shared" si="2035"/>
        <v>4</v>
      </c>
      <c r="GV374" s="74">
        <f>GT374*(1+GV$361/100)</f>
        <v>279.63227255927927</v>
      </c>
      <c r="GW374" s="72">
        <f t="shared" si="2036"/>
        <v>4</v>
      </c>
      <c r="GX374" s="74">
        <f>GV374*(1+GX$361/100)</f>
        <v>290.81756346165048</v>
      </c>
      <c r="GY374" s="72">
        <f t="shared" si="2037"/>
        <v>4</v>
      </c>
      <c r="GZ374" s="72">
        <f t="shared" si="1954"/>
        <v>4.089934413243701</v>
      </c>
      <c r="HA374" s="72"/>
      <c r="HB374" s="72"/>
      <c r="HC374"/>
      <c r="HD374"/>
      <c r="HE374"/>
      <c r="HF374"/>
      <c r="HG374"/>
      <c r="HH374"/>
      <c r="HI374" s="2"/>
    </row>
    <row r="375" spans="1:217" s="3" customFormat="1" ht="12.75" customHeight="1" x14ac:dyDescent="0.2">
      <c r="B375" s="77" t="s">
        <v>271</v>
      </c>
      <c r="C375" s="74">
        <f>FF375-I375-G375-E375</f>
        <v>0</v>
      </c>
      <c r="D375" s="72"/>
      <c r="E375" s="74">
        <v>0</v>
      </c>
      <c r="F375" s="72"/>
      <c r="G375" s="74">
        <v>2</v>
      </c>
      <c r="H375" s="72"/>
      <c r="I375" s="74">
        <v>2</v>
      </c>
      <c r="J375" s="72"/>
      <c r="K375" s="74">
        <v>2</v>
      </c>
      <c r="L375" s="72" t="str">
        <f t="shared" si="1967"/>
        <v>NA</v>
      </c>
      <c r="M375" s="74">
        <v>2</v>
      </c>
      <c r="N375" s="72" t="str">
        <f t="shared" si="1968"/>
        <v>NA</v>
      </c>
      <c r="O375" s="74">
        <v>1</v>
      </c>
      <c r="P375" s="72">
        <f t="shared" si="1969"/>
        <v>-50</v>
      </c>
      <c r="Q375" s="74">
        <v>0</v>
      </c>
      <c r="R375" s="72" t="str">
        <f t="shared" si="1970"/>
        <v>NM</v>
      </c>
      <c r="S375" s="74">
        <v>1</v>
      </c>
      <c r="T375" s="72">
        <f t="shared" si="1970"/>
        <v>-50</v>
      </c>
      <c r="U375" s="74">
        <v>1</v>
      </c>
      <c r="V375" s="72">
        <f t="shared" si="1970"/>
        <v>-50</v>
      </c>
      <c r="W375" s="74">
        <v>1</v>
      </c>
      <c r="X375" s="72">
        <f t="shared" si="1970"/>
        <v>0</v>
      </c>
      <c r="Y375" s="74">
        <v>1</v>
      </c>
      <c r="Z375" s="72" t="str">
        <f t="shared" si="1970"/>
        <v>NA</v>
      </c>
      <c r="AA375" s="74">
        <v>3</v>
      </c>
      <c r="AB375" s="72" t="str">
        <f t="shared" si="1970"/>
        <v>NM</v>
      </c>
      <c r="AC375" s="74">
        <v>3</v>
      </c>
      <c r="AD375" s="72" t="str">
        <f t="shared" si="1970"/>
        <v>NM</v>
      </c>
      <c r="AE375" s="74">
        <v>3</v>
      </c>
      <c r="AF375" s="72" t="str">
        <f t="shared" si="1970"/>
        <v>NM</v>
      </c>
      <c r="AG375" s="74">
        <v>3</v>
      </c>
      <c r="AH375" s="72" t="str">
        <f t="shared" si="1970"/>
        <v>NM</v>
      </c>
      <c r="AI375" s="74">
        <v>3</v>
      </c>
      <c r="AJ375" s="72">
        <f t="shared" si="1970"/>
        <v>0</v>
      </c>
      <c r="AK375" s="74">
        <v>3</v>
      </c>
      <c r="AL375" s="72">
        <f t="shared" si="1970"/>
        <v>0</v>
      </c>
      <c r="AM375" s="74">
        <v>2</v>
      </c>
      <c r="AN375" s="72">
        <f t="shared" si="1970"/>
        <v>-33.333333333333343</v>
      </c>
      <c r="AO375" s="74">
        <v>4</v>
      </c>
      <c r="AP375" s="72">
        <f t="shared" si="1970"/>
        <v>33.333333333333314</v>
      </c>
      <c r="AQ375" s="74">
        <v>6</v>
      </c>
      <c r="AR375" s="72">
        <f t="shared" si="1971"/>
        <v>100</v>
      </c>
      <c r="AS375" s="74">
        <v>5</v>
      </c>
      <c r="AT375" s="72">
        <f t="shared" si="1972"/>
        <v>66.666666666666686</v>
      </c>
      <c r="AU375" s="74">
        <v>6</v>
      </c>
      <c r="AV375" s="72" t="str">
        <f t="shared" si="1973"/>
        <v>NM</v>
      </c>
      <c r="AW375" s="74">
        <v>4</v>
      </c>
      <c r="AX375" s="72">
        <f t="shared" si="1974"/>
        <v>0</v>
      </c>
      <c r="AY375" s="74">
        <v>3</v>
      </c>
      <c r="AZ375" s="72">
        <f t="shared" si="1975"/>
        <v>-50</v>
      </c>
      <c r="BA375" s="74">
        <v>3</v>
      </c>
      <c r="BB375" s="72">
        <f t="shared" si="1976"/>
        <v>-40</v>
      </c>
      <c r="BC375" s="74">
        <v>3</v>
      </c>
      <c r="BD375" s="72">
        <f t="shared" si="1977"/>
        <v>-50</v>
      </c>
      <c r="BE375" s="74">
        <v>2</v>
      </c>
      <c r="BF375" s="72">
        <f t="shared" si="1978"/>
        <v>-50</v>
      </c>
      <c r="BG375" s="74">
        <v>3</v>
      </c>
      <c r="BH375" s="72">
        <f t="shared" si="1979"/>
        <v>0</v>
      </c>
      <c r="BI375" s="74">
        <v>3</v>
      </c>
      <c r="BJ375" s="72">
        <f t="shared" si="1980"/>
        <v>0</v>
      </c>
      <c r="BK375" s="74">
        <v>2</v>
      </c>
      <c r="BL375" s="72">
        <f t="shared" si="1981"/>
        <v>-33.333333333333343</v>
      </c>
      <c r="BM375" s="74">
        <v>4</v>
      </c>
      <c r="BN375" s="72">
        <f t="shared" si="1982"/>
        <v>100</v>
      </c>
      <c r="BO375" s="74">
        <v>3</v>
      </c>
      <c r="BP375" s="72">
        <f t="shared" si="1983"/>
        <v>0</v>
      </c>
      <c r="BQ375" s="74">
        <v>4</v>
      </c>
      <c r="BR375" s="72">
        <f t="shared" si="1984"/>
        <v>33.333333333333314</v>
      </c>
      <c r="BS375" s="74">
        <v>2</v>
      </c>
      <c r="BT375" s="72">
        <f t="shared" si="1985"/>
        <v>0</v>
      </c>
      <c r="BU375" s="74">
        <v>4</v>
      </c>
      <c r="BV375" s="72">
        <f t="shared" si="1986"/>
        <v>0</v>
      </c>
      <c r="BW375" s="74">
        <v>3</v>
      </c>
      <c r="BX375" s="72">
        <f t="shared" si="1987"/>
        <v>0</v>
      </c>
      <c r="BY375" s="74">
        <v>-1</v>
      </c>
      <c r="BZ375" s="72" t="str">
        <f t="shared" si="1988"/>
        <v>NM</v>
      </c>
      <c r="CA375" s="74">
        <v>0</v>
      </c>
      <c r="CB375" s="72" t="str">
        <f t="shared" si="1989"/>
        <v>NM</v>
      </c>
      <c r="CC375" s="74">
        <v>1</v>
      </c>
      <c r="CD375" s="72" t="str">
        <f t="shared" si="1990"/>
        <v>NM</v>
      </c>
      <c r="CE375" s="74">
        <v>1</v>
      </c>
      <c r="CF375" s="72" t="str">
        <f t="shared" si="1991"/>
        <v>NM</v>
      </c>
      <c r="CG375" s="74">
        <v>0</v>
      </c>
      <c r="CH375" s="72" t="str">
        <f t="shared" si="1992"/>
        <v>NM</v>
      </c>
      <c r="CI375" s="74">
        <v>0</v>
      </c>
      <c r="CJ375" s="72" t="str">
        <f t="shared" si="1993"/>
        <v>NA</v>
      </c>
      <c r="CK375" s="74">
        <v>1</v>
      </c>
      <c r="CL375" s="72">
        <f t="shared" si="1994"/>
        <v>0</v>
      </c>
      <c r="CM375" s="74">
        <v>0</v>
      </c>
      <c r="CN375" s="72" t="str">
        <f t="shared" si="1995"/>
        <v>NM</v>
      </c>
      <c r="CO375" s="74">
        <v>0</v>
      </c>
      <c r="CP375" s="72" t="str">
        <f t="shared" si="1996"/>
        <v>NA</v>
      </c>
      <c r="CQ375" s="74">
        <v>0</v>
      </c>
      <c r="CR375" s="72" t="str">
        <f t="shared" si="1997"/>
        <v>NA</v>
      </c>
      <c r="CS375" s="74">
        <v>-1</v>
      </c>
      <c r="CT375" s="72" t="str">
        <f t="shared" si="1998"/>
        <v>NM</v>
      </c>
      <c r="CU375" s="74">
        <v>0</v>
      </c>
      <c r="CV375" s="72" t="str">
        <f t="shared" si="1999"/>
        <v>NA</v>
      </c>
      <c r="CW375" s="74">
        <v>0</v>
      </c>
      <c r="CX375" s="72" t="str">
        <f t="shared" si="2000"/>
        <v>NA</v>
      </c>
      <c r="CY375" s="74">
        <v>0</v>
      </c>
      <c r="CZ375" s="72" t="str">
        <f t="shared" si="2001"/>
        <v>NA</v>
      </c>
      <c r="DA375" s="74">
        <v>0</v>
      </c>
      <c r="DB375" s="72" t="str">
        <f t="shared" si="2002"/>
        <v>NM</v>
      </c>
      <c r="DC375" s="74">
        <v>1</v>
      </c>
      <c r="DD375" s="72" t="str">
        <f>IF(ISERROR(DC375/CU375),"NA",IF(OR(DC375/CU375&gt;2,DC375/CU375&lt;0.5),"NM",DC375/CU375*100-100))</f>
        <v>NA</v>
      </c>
      <c r="DE375" s="74">
        <v>0</v>
      </c>
      <c r="DF375" s="72" t="str">
        <f>IF(ISERROR(DE375/CW375),"NA",IF(OR(DE375/CW375&gt;2,DE375/CW375&lt;0.5),"NM",DE375/CW375*100-100))</f>
        <v>NA</v>
      </c>
      <c r="DG375" s="74">
        <v>0</v>
      </c>
      <c r="DH375" s="72" t="str">
        <f>IF(ISERROR(DG375/CY375),"NA",IF(OR(DG375/CY375&gt;2,DG375/CY375&lt;0.5),"NM",DG375/CY375*100-100))</f>
        <v>NA</v>
      </c>
      <c r="DI375" s="74">
        <v>1</v>
      </c>
      <c r="DJ375" s="72" t="str">
        <f t="shared" si="2006"/>
        <v>NA</v>
      </c>
      <c r="DK375" s="74">
        <v>0</v>
      </c>
      <c r="DL375" s="72" t="str">
        <f t="shared" si="2007"/>
        <v>NM</v>
      </c>
      <c r="DM375" s="74">
        <v>1</v>
      </c>
      <c r="DN375" s="72" t="str">
        <f t="shared" si="2008"/>
        <v>NA</v>
      </c>
      <c r="DO375" s="74">
        <v>1</v>
      </c>
      <c r="DP375" s="72" t="str">
        <f t="shared" si="2008"/>
        <v>NA</v>
      </c>
      <c r="DQ375" s="74">
        <v>0</v>
      </c>
      <c r="DR375" s="72" t="str">
        <f t="shared" si="2008"/>
        <v>NM</v>
      </c>
      <c r="DS375" s="74">
        <v>1</v>
      </c>
      <c r="DT375" s="72" t="str">
        <f t="shared" si="2008"/>
        <v>NA</v>
      </c>
      <c r="DU375" s="74">
        <v>0</v>
      </c>
      <c r="DV375" s="72" t="str">
        <f t="shared" si="2008"/>
        <v>NM</v>
      </c>
      <c r="DW375" s="74">
        <v>1</v>
      </c>
      <c r="DX375" s="72">
        <f t="shared" si="2008"/>
        <v>0</v>
      </c>
      <c r="DY375" s="74">
        <v>1</v>
      </c>
      <c r="DZ375" s="72" t="str">
        <f t="shared" si="2008"/>
        <v>NA</v>
      </c>
      <c r="EA375" s="74">
        <v>1</v>
      </c>
      <c r="EB375" s="72">
        <f t="shared" si="2009"/>
        <v>0</v>
      </c>
      <c r="EC375" s="74">
        <v>1</v>
      </c>
      <c r="ED375" s="72" t="str">
        <f t="shared" si="2010"/>
        <v>NA</v>
      </c>
      <c r="EE375" s="74">
        <v>1</v>
      </c>
      <c r="EF375" s="72">
        <f t="shared" si="2011"/>
        <v>0</v>
      </c>
      <c r="EG375" s="74">
        <v>2</v>
      </c>
      <c r="EH375" s="72">
        <f t="shared" si="2012"/>
        <v>100</v>
      </c>
      <c r="EI375" s="74">
        <v>2</v>
      </c>
      <c r="EJ375" s="72">
        <f t="shared" si="2013"/>
        <v>100</v>
      </c>
      <c r="EK375" s="74">
        <v>2</v>
      </c>
      <c r="EL375" s="72">
        <f t="shared" si="2014"/>
        <v>100</v>
      </c>
      <c r="EM375" s="74">
        <v>2</v>
      </c>
      <c r="EN375" s="72">
        <f t="shared" si="2015"/>
        <v>100</v>
      </c>
      <c r="EO375" s="74">
        <v>2</v>
      </c>
      <c r="EP375" s="72">
        <f t="shared" si="2016"/>
        <v>0</v>
      </c>
      <c r="EQ375" s="74">
        <f t="shared" ref="EQ375" si="2042">EI375*1.11</f>
        <v>2.2200000000000002</v>
      </c>
      <c r="ER375" s="72">
        <f t="shared" si="2018"/>
        <v>11.000000000000014</v>
      </c>
      <c r="ES375" s="74">
        <f t="shared" ref="ES375" si="2043">EK375*1.11</f>
        <v>2.2200000000000002</v>
      </c>
      <c r="ET375" s="72">
        <f t="shared" si="2020"/>
        <v>11.000000000000014</v>
      </c>
      <c r="EU375" s="74">
        <f t="shared" ref="EU375" si="2044">EM375*1.11</f>
        <v>2.2200000000000002</v>
      </c>
      <c r="EV375" s="72">
        <f t="shared" si="2022"/>
        <v>11.000000000000014</v>
      </c>
      <c r="EW375" s="74">
        <f t="shared" ref="EW375" si="2045">EO375*1.11</f>
        <v>2.2200000000000002</v>
      </c>
      <c r="EX375" s="72">
        <f t="shared" si="2024"/>
        <v>11.000000000000014</v>
      </c>
      <c r="EY375" s="72"/>
      <c r="EZ375" s="311"/>
      <c r="FA375" s="72"/>
      <c r="FB375" s="74">
        <v>0</v>
      </c>
      <c r="FC375" s="72"/>
      <c r="FD375" s="74">
        <v>0</v>
      </c>
      <c r="FE375" s="72" t="str">
        <f t="shared" si="2025"/>
        <v>NA</v>
      </c>
      <c r="FF375" s="74">
        <v>4</v>
      </c>
      <c r="FG375" s="72" t="str">
        <f t="shared" si="2026"/>
        <v>NA</v>
      </c>
      <c r="FH375" s="75">
        <f>K375+M375+O375+Q375</f>
        <v>5</v>
      </c>
      <c r="FI375" s="72">
        <f t="shared" si="2027"/>
        <v>25</v>
      </c>
      <c r="FJ375" s="75">
        <f>S375+U375+W375+Y375</f>
        <v>4</v>
      </c>
      <c r="FK375" s="72">
        <f t="shared" si="2028"/>
        <v>-20</v>
      </c>
      <c r="FL375" s="75">
        <f>+AA375+AC375+AE375+AG375</f>
        <v>12</v>
      </c>
      <c r="FM375" s="72" t="str">
        <f t="shared" si="2029"/>
        <v>NM</v>
      </c>
      <c r="FN375" s="75">
        <f>+AI375+AK375+AM375+AO375</f>
        <v>12</v>
      </c>
      <c r="FO375" s="72">
        <f t="shared" si="2030"/>
        <v>0</v>
      </c>
      <c r="FP375" s="75">
        <f>AQ375+AS375+AU375+AW375</f>
        <v>21</v>
      </c>
      <c r="FQ375" s="72">
        <f t="shared" si="2031"/>
        <v>75</v>
      </c>
      <c r="FR375" s="75">
        <f>AY375+BA375+BC375+BE375</f>
        <v>11</v>
      </c>
      <c r="FS375" s="72">
        <f t="shared" si="2032"/>
        <v>-47.619047619047613</v>
      </c>
      <c r="FT375" s="75">
        <f>BG375+BI375+BK375+BM375</f>
        <v>12</v>
      </c>
      <c r="FU375" s="72">
        <f t="shared" si="2033"/>
        <v>9.0909090909090793</v>
      </c>
      <c r="FV375" s="75">
        <f>BO375+BQ375+BS375+BU375</f>
        <v>13</v>
      </c>
      <c r="FW375" s="72">
        <f t="shared" si="2034"/>
        <v>8.3333333333333286</v>
      </c>
      <c r="FX375" s="75">
        <f>BW375+BY375+CA375+CC375</f>
        <v>3</v>
      </c>
      <c r="FY375" s="72" t="str">
        <f t="shared" si="2034"/>
        <v>NM</v>
      </c>
      <c r="FZ375" s="75">
        <f>CE375+CG375+CI375+CK375</f>
        <v>2</v>
      </c>
      <c r="GA375" s="72">
        <f t="shared" si="2034"/>
        <v>-33.333333333333343</v>
      </c>
      <c r="GB375" s="75">
        <f>CM375+CO375+CQ375+CS375</f>
        <v>-1</v>
      </c>
      <c r="GC375" s="72" t="str">
        <f t="shared" si="2034"/>
        <v>NM</v>
      </c>
      <c r="GD375" s="75">
        <f>CU375+CW375+CY375+DA375</f>
        <v>0</v>
      </c>
      <c r="GE375" s="72" t="str">
        <f t="shared" si="2034"/>
        <v>NM</v>
      </c>
      <c r="GF375" s="75">
        <f>DC375+DE375+DG375+DI375</f>
        <v>2</v>
      </c>
      <c r="GG375" s="72" t="str">
        <f t="shared" si="2034"/>
        <v>NA</v>
      </c>
      <c r="GH375" s="75">
        <f>DK375+DM375+DO375+DQ375</f>
        <v>2</v>
      </c>
      <c r="GI375" s="72">
        <f t="shared" si="2035"/>
        <v>0</v>
      </c>
      <c r="GJ375" s="75">
        <f>DS375+DU375+DW375+DY375</f>
        <v>3</v>
      </c>
      <c r="GK375" s="72">
        <f t="shared" si="2035"/>
        <v>50</v>
      </c>
      <c r="GL375" s="75">
        <f>EA375+EC375+EE375+EG375</f>
        <v>5</v>
      </c>
      <c r="GM375" s="72">
        <f t="shared" si="2035"/>
        <v>66.666666666666686</v>
      </c>
      <c r="GN375" s="75">
        <f>EI375+EK375+EM375+EO375</f>
        <v>8</v>
      </c>
      <c r="GO375" s="72">
        <f t="shared" si="2035"/>
        <v>60</v>
      </c>
      <c r="GP375" s="75">
        <f>EQ375+ES375+EU375+EW375</f>
        <v>8.8800000000000008</v>
      </c>
      <c r="GQ375" s="72">
        <f t="shared" si="2035"/>
        <v>11.000000000000014</v>
      </c>
      <c r="GR375" s="74">
        <f>GP375*1.11</f>
        <v>9.8568000000000016</v>
      </c>
      <c r="GS375" s="72">
        <f t="shared" si="2035"/>
        <v>11.000000000000014</v>
      </c>
      <c r="GT375" s="74">
        <f>GR375*1.11</f>
        <v>10.941048000000002</v>
      </c>
      <c r="GU375" s="72">
        <f t="shared" si="2035"/>
        <v>11.000000000000014</v>
      </c>
      <c r="GV375" s="74">
        <f>GT375*1.11</f>
        <v>12.144563280000003</v>
      </c>
      <c r="GW375" s="72">
        <f t="shared" si="2036"/>
        <v>11.000000000000014</v>
      </c>
      <c r="GX375" s="74">
        <f>GV375*1.11</f>
        <v>13.480465240800005</v>
      </c>
      <c r="GY375" s="72">
        <f t="shared" si="2037"/>
        <v>11.000000000000014</v>
      </c>
      <c r="GZ375" s="72">
        <f t="shared" si="1954"/>
        <v>11.000000000000011</v>
      </c>
      <c r="HA375" s="72"/>
      <c r="HB375" s="72"/>
      <c r="HC375"/>
      <c r="HD375"/>
      <c r="HE375"/>
      <c r="HF375"/>
      <c r="HG375"/>
      <c r="HH375"/>
      <c r="HI375" s="2"/>
    </row>
    <row r="376" spans="1:217" s="3" customFormat="1" ht="12.75" customHeight="1" x14ac:dyDescent="0.2">
      <c r="B376" s="77" t="s">
        <v>404</v>
      </c>
      <c r="C376" s="74">
        <f>FF376-I376-G376-E376</f>
        <v>143</v>
      </c>
      <c r="D376" s="72"/>
      <c r="E376" s="74">
        <v>146</v>
      </c>
      <c r="F376" s="72"/>
      <c r="G376" s="74">
        <v>153</v>
      </c>
      <c r="H376" s="72"/>
      <c r="I376" s="74">
        <v>169</v>
      </c>
      <c r="J376" s="72"/>
      <c r="K376" s="74">
        <v>162</v>
      </c>
      <c r="L376" s="72">
        <f t="shared" si="1967"/>
        <v>13.286713286713294</v>
      </c>
      <c r="M376" s="74">
        <v>167</v>
      </c>
      <c r="N376" s="72">
        <f t="shared" si="1968"/>
        <v>14.383561643835606</v>
      </c>
      <c r="O376" s="74">
        <v>178</v>
      </c>
      <c r="P376" s="72">
        <f t="shared" si="1969"/>
        <v>16.339869281045765</v>
      </c>
      <c r="Q376" s="74">
        <v>175</v>
      </c>
      <c r="R376" s="72">
        <f t="shared" si="1970"/>
        <v>3.5502958579881607</v>
      </c>
      <c r="S376" s="74">
        <v>169</v>
      </c>
      <c r="T376" s="72">
        <f t="shared" si="1970"/>
        <v>4.3209876543209873</v>
      </c>
      <c r="U376" s="74">
        <v>165</v>
      </c>
      <c r="V376" s="72">
        <f t="shared" si="1970"/>
        <v>-1.1976047904191631</v>
      </c>
      <c r="W376" s="74">
        <v>184</v>
      </c>
      <c r="X376" s="72">
        <f t="shared" si="1970"/>
        <v>3.3707865168539399</v>
      </c>
      <c r="Y376" s="74">
        <v>181</v>
      </c>
      <c r="Z376" s="72">
        <f t="shared" si="1970"/>
        <v>3.4285714285714306</v>
      </c>
      <c r="AA376" s="74">
        <v>193</v>
      </c>
      <c r="AB376" s="72">
        <f t="shared" si="1970"/>
        <v>14.201183431952671</v>
      </c>
      <c r="AC376" s="74">
        <v>184</v>
      </c>
      <c r="AD376" s="72">
        <f t="shared" si="1970"/>
        <v>11.51515151515153</v>
      </c>
      <c r="AE376" s="74">
        <v>210</v>
      </c>
      <c r="AF376" s="72">
        <f t="shared" si="1970"/>
        <v>14.130434782608688</v>
      </c>
      <c r="AG376" s="74">
        <v>220</v>
      </c>
      <c r="AH376" s="72">
        <f t="shared" si="1970"/>
        <v>21.546961325966848</v>
      </c>
      <c r="AI376" s="74">
        <v>228</v>
      </c>
      <c r="AJ376" s="72">
        <f t="shared" si="1970"/>
        <v>18.134715025906729</v>
      </c>
      <c r="AK376" s="74">
        <v>211</v>
      </c>
      <c r="AL376" s="72">
        <f t="shared" si="1970"/>
        <v>14.673913043478265</v>
      </c>
      <c r="AM376" s="74">
        <v>228</v>
      </c>
      <c r="AN376" s="72">
        <f t="shared" si="1970"/>
        <v>8.5714285714285694</v>
      </c>
      <c r="AO376" s="74">
        <v>264</v>
      </c>
      <c r="AP376" s="72">
        <f t="shared" si="1970"/>
        <v>20</v>
      </c>
      <c r="AQ376" s="74">
        <v>298</v>
      </c>
      <c r="AR376" s="72">
        <f t="shared" si="1971"/>
        <v>30.701754385964932</v>
      </c>
      <c r="AS376" s="74">
        <v>295</v>
      </c>
      <c r="AT376" s="72">
        <f t="shared" si="1972"/>
        <v>39.81042654028434</v>
      </c>
      <c r="AU376" s="74">
        <v>272</v>
      </c>
      <c r="AV376" s="72">
        <f t="shared" si="1973"/>
        <v>19.298245614035082</v>
      </c>
      <c r="AW376" s="74">
        <v>292</v>
      </c>
      <c r="AX376" s="72">
        <f t="shared" si="1974"/>
        <v>10.606060606060595</v>
      </c>
      <c r="AY376" s="74">
        <v>290</v>
      </c>
      <c r="AZ376" s="72">
        <f t="shared" si="1975"/>
        <v>-2.6845637583892596</v>
      </c>
      <c r="BA376" s="74">
        <v>287</v>
      </c>
      <c r="BB376" s="72">
        <f t="shared" si="1976"/>
        <v>-2.711864406779668</v>
      </c>
      <c r="BC376" s="74">
        <v>288</v>
      </c>
      <c r="BD376" s="72">
        <f t="shared" si="1977"/>
        <v>5.8823529411764781</v>
      </c>
      <c r="BE376" s="74">
        <v>313</v>
      </c>
      <c r="BF376" s="72">
        <f t="shared" si="1978"/>
        <v>7.1917808219178028</v>
      </c>
      <c r="BG376" s="74">
        <v>304</v>
      </c>
      <c r="BH376" s="72">
        <f t="shared" si="1979"/>
        <v>4.8275862068965552</v>
      </c>
      <c r="BI376" s="74">
        <v>308</v>
      </c>
      <c r="BJ376" s="72">
        <f t="shared" si="1980"/>
        <v>7.3170731707317174</v>
      </c>
      <c r="BK376" s="74">
        <v>316</v>
      </c>
      <c r="BL376" s="72">
        <f t="shared" si="1981"/>
        <v>9.7222222222222285</v>
      </c>
      <c r="BM376" s="74">
        <v>352</v>
      </c>
      <c r="BN376" s="72">
        <f t="shared" si="1982"/>
        <v>12.460063897763575</v>
      </c>
      <c r="BO376" s="74">
        <v>345</v>
      </c>
      <c r="BP376" s="72">
        <f t="shared" si="1983"/>
        <v>13.486842105263165</v>
      </c>
      <c r="BQ376" s="74">
        <v>341</v>
      </c>
      <c r="BR376" s="72">
        <f t="shared" si="1984"/>
        <v>10.714285714285722</v>
      </c>
      <c r="BS376" s="74">
        <v>325</v>
      </c>
      <c r="BT376" s="72">
        <f t="shared" si="1985"/>
        <v>2.8481012658227769</v>
      </c>
      <c r="BU376" s="74">
        <v>350</v>
      </c>
      <c r="BV376" s="72">
        <f t="shared" si="1986"/>
        <v>-0.56818181818182723</v>
      </c>
      <c r="BW376" s="74">
        <v>360</v>
      </c>
      <c r="BX376" s="72">
        <f t="shared" si="1987"/>
        <v>4.3478260869565162</v>
      </c>
      <c r="BY376" s="74">
        <v>339</v>
      </c>
      <c r="BZ376" s="72">
        <f t="shared" si="1988"/>
        <v>-0.58651026392962535</v>
      </c>
      <c r="CA376" s="74">
        <v>360</v>
      </c>
      <c r="CB376" s="72">
        <f t="shared" si="1989"/>
        <v>10.769230769230774</v>
      </c>
      <c r="CC376" s="74">
        <v>399</v>
      </c>
      <c r="CD376" s="72">
        <f t="shared" si="1990"/>
        <v>13.999999999999986</v>
      </c>
      <c r="CE376" s="74">
        <v>377</v>
      </c>
      <c r="CF376" s="72">
        <f t="shared" si="1991"/>
        <v>4.7222222222222285</v>
      </c>
      <c r="CG376" s="74">
        <v>355</v>
      </c>
      <c r="CH376" s="72">
        <f t="shared" si="1992"/>
        <v>4.7197640117994126</v>
      </c>
      <c r="CI376" s="74">
        <v>377</v>
      </c>
      <c r="CJ376" s="72">
        <f t="shared" si="1993"/>
        <v>4.7222222222222285</v>
      </c>
      <c r="CK376" s="74">
        <v>417</v>
      </c>
      <c r="CL376" s="72">
        <f t="shared" si="1994"/>
        <v>4.5112781954887282</v>
      </c>
      <c r="CM376" s="74">
        <v>425</v>
      </c>
      <c r="CN376" s="72">
        <f t="shared" si="1995"/>
        <v>12.732095490716191</v>
      </c>
      <c r="CO376" s="74">
        <v>409</v>
      </c>
      <c r="CP376" s="72">
        <f t="shared" si="1996"/>
        <v>15.211267605633807</v>
      </c>
      <c r="CQ376" s="74">
        <v>418</v>
      </c>
      <c r="CR376" s="72">
        <f t="shared" si="1997"/>
        <v>10.875331564986752</v>
      </c>
      <c r="CS376" s="74">
        <v>441</v>
      </c>
      <c r="CT376" s="72">
        <f t="shared" si="1998"/>
        <v>5.7553956834532443</v>
      </c>
      <c r="CU376" s="74">
        <v>463</v>
      </c>
      <c r="CV376" s="72">
        <f t="shared" si="1999"/>
        <v>8.941176470588232</v>
      </c>
      <c r="CW376" s="74">
        <v>457</v>
      </c>
      <c r="CX376" s="72">
        <f t="shared" si="2000"/>
        <v>11.735941320293406</v>
      </c>
      <c r="CY376" s="74">
        <v>442</v>
      </c>
      <c r="CZ376" s="72">
        <f t="shared" si="2001"/>
        <v>5.7416267942583801</v>
      </c>
      <c r="DA376" s="74">
        <v>477</v>
      </c>
      <c r="DB376" s="72">
        <f t="shared" si="2002"/>
        <v>8.1632653061224545</v>
      </c>
      <c r="DC376" s="74">
        <v>450</v>
      </c>
      <c r="DD376" s="72">
        <f t="shared" si="2003"/>
        <v>-2.8077753779697616</v>
      </c>
      <c r="DE376" s="74">
        <v>403</v>
      </c>
      <c r="DF376" s="72">
        <f t="shared" si="2004"/>
        <v>-11.816192560175054</v>
      </c>
      <c r="DG376" s="74">
        <v>379</v>
      </c>
      <c r="DH376" s="72">
        <f t="shared" si="2005"/>
        <v>-14.25339366515837</v>
      </c>
      <c r="DI376" s="74">
        <v>428</v>
      </c>
      <c r="DJ376" s="72">
        <f t="shared" si="2006"/>
        <v>-10.272536687631032</v>
      </c>
      <c r="DK376" s="74">
        <v>438</v>
      </c>
      <c r="DL376" s="72">
        <f t="shared" si="2007"/>
        <v>-2.6666666666666572</v>
      </c>
      <c r="DM376" s="74">
        <v>440</v>
      </c>
      <c r="DN376" s="72">
        <f t="shared" si="2008"/>
        <v>9.1811414392059589</v>
      </c>
      <c r="DO376" s="74">
        <v>425</v>
      </c>
      <c r="DP376" s="72">
        <f t="shared" si="2008"/>
        <v>12.137203166226911</v>
      </c>
      <c r="DQ376" s="74">
        <v>459</v>
      </c>
      <c r="DR376" s="72">
        <f t="shared" si="2008"/>
        <v>7.2429906542056131</v>
      </c>
      <c r="DS376" s="74">
        <v>437</v>
      </c>
      <c r="DT376" s="72">
        <f t="shared" si="2008"/>
        <v>-0.22831050228310801</v>
      </c>
      <c r="DU376" s="74">
        <v>418</v>
      </c>
      <c r="DV376" s="72">
        <f t="shared" si="2008"/>
        <v>-5</v>
      </c>
      <c r="DW376" s="74">
        <v>411</v>
      </c>
      <c r="DX376" s="72">
        <f t="shared" si="2008"/>
        <v>-3.294117647058826</v>
      </c>
      <c r="DY376" s="74">
        <v>461</v>
      </c>
      <c r="DZ376" s="72">
        <f t="shared" si="2008"/>
        <v>0.43572984749455657</v>
      </c>
      <c r="EA376" s="74">
        <v>462</v>
      </c>
      <c r="EB376" s="72">
        <f t="shared" si="2009"/>
        <v>5.720823798626995</v>
      </c>
      <c r="EC376" s="74">
        <v>455</v>
      </c>
      <c r="ED376" s="72">
        <f t="shared" si="2010"/>
        <v>8.8516746411483354</v>
      </c>
      <c r="EE376" s="74">
        <v>505</v>
      </c>
      <c r="EF376" s="72">
        <f t="shared" si="2011"/>
        <v>22.871046228710455</v>
      </c>
      <c r="EG376" s="74">
        <v>507</v>
      </c>
      <c r="EH376" s="72">
        <f t="shared" si="2012"/>
        <v>9.978308026030362</v>
      </c>
      <c r="EI376" s="74">
        <v>557</v>
      </c>
      <c r="EJ376" s="72">
        <f t="shared" si="2013"/>
        <v>20.562770562770567</v>
      </c>
      <c r="EK376" s="74">
        <v>591</v>
      </c>
      <c r="EL376" s="72">
        <f t="shared" si="2014"/>
        <v>29.890109890109898</v>
      </c>
      <c r="EM376" s="74">
        <v>566</v>
      </c>
      <c r="EN376" s="72">
        <f t="shared" si="2015"/>
        <v>12.079207920792086</v>
      </c>
      <c r="EO376" s="74">
        <v>568</v>
      </c>
      <c r="EP376" s="72">
        <f t="shared" si="2016"/>
        <v>12.031558185404336</v>
      </c>
      <c r="EQ376" s="75">
        <f t="shared" ref="EQ376" si="2046">EQ370*EQ381/100</f>
        <v>581.78900900900908</v>
      </c>
      <c r="ER376" s="72">
        <f t="shared" si="2018"/>
        <v>4.4504504504504752</v>
      </c>
      <c r="ES376" s="75">
        <f t="shared" ref="ES376" si="2047">ES370*ES381/100</f>
        <v>570.63787891891889</v>
      </c>
      <c r="ET376" s="72">
        <f t="shared" si="2020"/>
        <v>-3.4453673572049297</v>
      </c>
      <c r="EU376" s="75">
        <f t="shared" ref="EU376" si="2048">EU370*EU381/100</f>
        <v>581.70962666666662</v>
      </c>
      <c r="EV376" s="72">
        <f t="shared" si="2022"/>
        <v>2.7755524146054142</v>
      </c>
      <c r="EW376" s="75">
        <f t="shared" ref="EW376" si="2049">EW370*EW381/100</f>
        <v>603.36220504504502</v>
      </c>
      <c r="EX376" s="72">
        <f t="shared" si="2024"/>
        <v>6.2257403248318752</v>
      </c>
      <c r="EY376" s="72"/>
      <c r="EZ376" s="311"/>
      <c r="FA376" s="72"/>
      <c r="FB376" s="74">
        <v>340</v>
      </c>
      <c r="FC376" s="72"/>
      <c r="FD376" s="74">
        <v>506</v>
      </c>
      <c r="FE376" s="72">
        <f t="shared" si="2025"/>
        <v>48.823529411764696</v>
      </c>
      <c r="FF376" s="74">
        <v>611</v>
      </c>
      <c r="FG376" s="72">
        <f t="shared" si="2026"/>
        <v>20.750988142292485</v>
      </c>
      <c r="FH376" s="75">
        <f>K376+M376+O376+Q376</f>
        <v>682</v>
      </c>
      <c r="FI376" s="72">
        <f t="shared" si="2027"/>
        <v>11.62029459901801</v>
      </c>
      <c r="FJ376" s="75">
        <f>S376+U376+W376+Y376</f>
        <v>699</v>
      </c>
      <c r="FK376" s="72">
        <f t="shared" si="2028"/>
        <v>2.4926686217008722</v>
      </c>
      <c r="FL376" s="75">
        <f>+AA376+AC376+AE376+AG376</f>
        <v>807</v>
      </c>
      <c r="FM376" s="72">
        <f t="shared" si="2029"/>
        <v>15.450643776824037</v>
      </c>
      <c r="FN376" s="75">
        <f>+AI376+AK376+AM376+AO376</f>
        <v>931</v>
      </c>
      <c r="FO376" s="72">
        <f t="shared" si="2030"/>
        <v>15.365551425030972</v>
      </c>
      <c r="FP376" s="75">
        <f>AQ376+AS376+AU376+AW376</f>
        <v>1157</v>
      </c>
      <c r="FQ376" s="72">
        <f t="shared" si="2031"/>
        <v>24.274973147153588</v>
      </c>
      <c r="FR376" s="75">
        <f>AY376+BA376+BC376+BE376</f>
        <v>1178</v>
      </c>
      <c r="FS376" s="72">
        <f t="shared" si="2032"/>
        <v>1.8150388936905699</v>
      </c>
      <c r="FT376" s="75">
        <f>BG376+BI376+BK376+BM376</f>
        <v>1280</v>
      </c>
      <c r="FU376" s="72">
        <f t="shared" si="2033"/>
        <v>8.6587436332767425</v>
      </c>
      <c r="FV376" s="75">
        <f>BO376+BQ376+BS376+BU376</f>
        <v>1361</v>
      </c>
      <c r="FW376" s="72">
        <f t="shared" si="2034"/>
        <v>6.328125</v>
      </c>
      <c r="FX376" s="75">
        <f>BW376+BY376+CA376+CC376</f>
        <v>1458</v>
      </c>
      <c r="FY376" s="72">
        <f t="shared" si="2034"/>
        <v>7.1271124173401859</v>
      </c>
      <c r="FZ376" s="75">
        <f>CE376+CG376+CI376+CK376</f>
        <v>1526</v>
      </c>
      <c r="GA376" s="72">
        <f t="shared" si="2034"/>
        <v>4.6639231824417067</v>
      </c>
      <c r="GB376" s="75">
        <f>CM376+CO376+CQ376+CS376</f>
        <v>1693</v>
      </c>
      <c r="GC376" s="72">
        <f t="shared" si="2034"/>
        <v>10.943643512450848</v>
      </c>
      <c r="GD376" s="75">
        <f>CU376+CW376+CY376+DA376</f>
        <v>1839</v>
      </c>
      <c r="GE376" s="72">
        <f t="shared" si="2034"/>
        <v>8.6237448316597778</v>
      </c>
      <c r="GF376" s="75">
        <f>DC376+DE376+DG376+DI376</f>
        <v>1660</v>
      </c>
      <c r="GG376" s="72">
        <f t="shared" si="2034"/>
        <v>-9.7335508428493682</v>
      </c>
      <c r="GH376" s="75">
        <f>DK376+DM376+DO376+DQ376</f>
        <v>1762</v>
      </c>
      <c r="GI376" s="72">
        <f t="shared" si="2035"/>
        <v>6.1445783132530067</v>
      </c>
      <c r="GJ376" s="75">
        <f>DS376+DU376+DW376+DY376</f>
        <v>1727</v>
      </c>
      <c r="GK376" s="72">
        <f t="shared" si="2035"/>
        <v>-1.9863791146424603</v>
      </c>
      <c r="GL376" s="75">
        <f>EA376+EC376+EE376+EG376</f>
        <v>1929</v>
      </c>
      <c r="GM376" s="72">
        <f t="shared" si="2035"/>
        <v>11.696583671105955</v>
      </c>
      <c r="GN376" s="75">
        <f>EI376+EK376+EM376+EO376</f>
        <v>2282</v>
      </c>
      <c r="GO376" s="72">
        <f t="shared" si="2035"/>
        <v>18.299637117677548</v>
      </c>
      <c r="GP376" s="75">
        <f>EQ376+ES376+EU376+EW376</f>
        <v>2337.4987196396396</v>
      </c>
      <c r="GQ376" s="72">
        <f t="shared" si="2035"/>
        <v>2.4320210183891078</v>
      </c>
      <c r="GR376" s="75">
        <f>GR370*GR381/100</f>
        <v>2430.9986684252253</v>
      </c>
      <c r="GS376" s="72">
        <f t="shared" si="2035"/>
        <v>4</v>
      </c>
      <c r="GT376" s="75">
        <f>GT370*GT381/100</f>
        <v>2528.2386151622345</v>
      </c>
      <c r="GU376" s="72">
        <f t="shared" si="2035"/>
        <v>4</v>
      </c>
      <c r="GV376" s="75">
        <f>GV370*GV381/100</f>
        <v>2629.3681597687232</v>
      </c>
      <c r="GW376" s="72">
        <f t="shared" si="2036"/>
        <v>3.9999999999999858</v>
      </c>
      <c r="GX376" s="75">
        <f>GX370*GX381/100</f>
        <v>2734.5428861594728</v>
      </c>
      <c r="GY376" s="72">
        <f t="shared" si="2037"/>
        <v>4.0000000000000284</v>
      </c>
      <c r="GZ376" s="72">
        <f t="shared" si="1954"/>
        <v>3.6844957146608293</v>
      </c>
      <c r="HA376" s="72"/>
      <c r="HB376" s="72"/>
      <c r="HC376"/>
      <c r="HD376"/>
      <c r="HE376"/>
      <c r="HF376"/>
      <c r="HG376"/>
      <c r="HH376"/>
      <c r="HI376" s="2"/>
    </row>
    <row r="377" spans="1:217" s="3" customFormat="1" ht="12.75" customHeight="1" x14ac:dyDescent="0.2">
      <c r="B377" s="3" t="s">
        <v>625</v>
      </c>
      <c r="C377" s="74">
        <v>-59</v>
      </c>
      <c r="D377" s="92"/>
      <c r="E377" s="74">
        <v>-61</v>
      </c>
      <c r="F377" s="92"/>
      <c r="G377" s="74">
        <v>-67</v>
      </c>
      <c r="H377" s="92"/>
      <c r="I377" s="74">
        <v>-71</v>
      </c>
      <c r="J377" s="92"/>
      <c r="K377" s="74">
        <v>-76</v>
      </c>
      <c r="L377" s="72">
        <f t="shared" si="1967"/>
        <v>28.813559322033882</v>
      </c>
      <c r="M377" s="74">
        <v>-84</v>
      </c>
      <c r="N377" s="72">
        <f t="shared" si="1968"/>
        <v>37.704918032786878</v>
      </c>
      <c r="O377" s="74">
        <v>-73</v>
      </c>
      <c r="P377" s="72">
        <f t="shared" si="1969"/>
        <v>8.9552238805970177</v>
      </c>
      <c r="Q377" s="74">
        <v>-71</v>
      </c>
      <c r="R377" s="72">
        <f t="shared" si="1970"/>
        <v>0</v>
      </c>
      <c r="S377" s="74">
        <v>-61</v>
      </c>
      <c r="T377" s="72">
        <f t="shared" si="1970"/>
        <v>-19.73684210526315</v>
      </c>
      <c r="U377" s="74">
        <v>-63</v>
      </c>
      <c r="V377" s="72">
        <f t="shared" si="1970"/>
        <v>-25</v>
      </c>
      <c r="W377" s="74">
        <v>-57</v>
      </c>
      <c r="X377" s="72">
        <f t="shared" si="1970"/>
        <v>-21.917808219178085</v>
      </c>
      <c r="Y377" s="74">
        <v>-77</v>
      </c>
      <c r="Z377" s="72">
        <f t="shared" si="1970"/>
        <v>8.4507042253521263</v>
      </c>
      <c r="AA377" s="74">
        <v>-66</v>
      </c>
      <c r="AB377" s="72">
        <f t="shared" si="1970"/>
        <v>8.1967213114754145</v>
      </c>
      <c r="AC377" s="74">
        <v>-61</v>
      </c>
      <c r="AD377" s="72">
        <f t="shared" si="1970"/>
        <v>-3.1746031746031775</v>
      </c>
      <c r="AE377" s="74">
        <v>-57</v>
      </c>
      <c r="AF377" s="72">
        <f t="shared" si="1970"/>
        <v>0</v>
      </c>
      <c r="AG377" s="74">
        <v>-81</v>
      </c>
      <c r="AH377" s="72">
        <f t="shared" si="1970"/>
        <v>5.1948051948051983</v>
      </c>
      <c r="AI377" s="74">
        <f>69-159</f>
        <v>-90</v>
      </c>
      <c r="AJ377" s="72">
        <f t="shared" si="1970"/>
        <v>36.363636363636346</v>
      </c>
      <c r="AK377" s="74">
        <f>57-138</f>
        <v>-81</v>
      </c>
      <c r="AL377" s="72">
        <f t="shared" si="1970"/>
        <v>32.78688524590163</v>
      </c>
      <c r="AM377" s="74">
        <f>-150+73</f>
        <v>-77</v>
      </c>
      <c r="AN377" s="72">
        <f t="shared" si="1970"/>
        <v>35.087719298245617</v>
      </c>
      <c r="AO377" s="74">
        <f>-178+87</f>
        <v>-91</v>
      </c>
      <c r="AP377" s="72">
        <f t="shared" si="1970"/>
        <v>12.345679012345684</v>
      </c>
      <c r="AQ377" s="74">
        <f>-195+76</f>
        <v>-119</v>
      </c>
      <c r="AR377" s="72">
        <f t="shared" si="1971"/>
        <v>32.222222222222229</v>
      </c>
      <c r="AS377" s="74">
        <f>-190+76</f>
        <v>-114</v>
      </c>
      <c r="AT377" s="72">
        <f t="shared" si="1972"/>
        <v>40.740740740740733</v>
      </c>
      <c r="AU377" s="74">
        <f>-178+76</f>
        <v>-102</v>
      </c>
      <c r="AV377" s="72">
        <f t="shared" si="1973"/>
        <v>32.467532467532465</v>
      </c>
      <c r="AW377" s="74">
        <f>-175+68</f>
        <v>-107</v>
      </c>
      <c r="AX377" s="72">
        <f t="shared" si="1974"/>
        <v>17.582417582417591</v>
      </c>
      <c r="AY377" s="74">
        <f>-191+91</f>
        <v>-100</v>
      </c>
      <c r="AZ377" s="72">
        <f t="shared" si="1975"/>
        <v>-15.966386554621849</v>
      </c>
      <c r="BA377" s="74">
        <f>-179+93</f>
        <v>-86</v>
      </c>
      <c r="BB377" s="72">
        <f t="shared" si="1976"/>
        <v>-24.561403508771932</v>
      </c>
      <c r="BC377" s="74">
        <f>-167+85</f>
        <v>-82</v>
      </c>
      <c r="BD377" s="72">
        <f t="shared" si="1977"/>
        <v>-19.607843137254903</v>
      </c>
      <c r="BE377" s="74">
        <f>-187+88</f>
        <v>-99</v>
      </c>
      <c r="BF377" s="72">
        <f t="shared" si="1978"/>
        <v>-7.476635514018696</v>
      </c>
      <c r="BG377" s="74">
        <f>-196+97</f>
        <v>-99</v>
      </c>
      <c r="BH377" s="72">
        <f t="shared" si="1979"/>
        <v>-1</v>
      </c>
      <c r="BI377" s="74">
        <f>-188+94</f>
        <v>-94</v>
      </c>
      <c r="BJ377" s="72">
        <f t="shared" si="1980"/>
        <v>9.3023255813953369</v>
      </c>
      <c r="BK377" s="74">
        <f>-187+74</f>
        <v>-113</v>
      </c>
      <c r="BL377" s="72">
        <f t="shared" si="1981"/>
        <v>37.804878048780466</v>
      </c>
      <c r="BM377" s="74">
        <f>-211+96</f>
        <v>-115</v>
      </c>
      <c r="BN377" s="72">
        <f t="shared" si="1982"/>
        <v>16.161616161616152</v>
      </c>
      <c r="BO377" s="74">
        <f>-221+121</f>
        <v>-100</v>
      </c>
      <c r="BP377" s="72">
        <f t="shared" si="1983"/>
        <v>1.0101010101010104</v>
      </c>
      <c r="BQ377" s="74">
        <f>-203+105</f>
        <v>-98</v>
      </c>
      <c r="BR377" s="72">
        <f t="shared" si="1984"/>
        <v>4.2553191489361808</v>
      </c>
      <c r="BS377" s="74">
        <f>-200+100</f>
        <v>-100</v>
      </c>
      <c r="BT377" s="72">
        <f t="shared" si="1985"/>
        <v>-11.504424778761063</v>
      </c>
      <c r="BU377" s="74">
        <f>-213+129</f>
        <v>-84</v>
      </c>
      <c r="BV377" s="72">
        <f t="shared" si="1986"/>
        <v>-26.956521739130437</v>
      </c>
      <c r="BW377" s="74">
        <f>-219+138</f>
        <v>-81</v>
      </c>
      <c r="BX377" s="72">
        <f t="shared" si="1987"/>
        <v>-19</v>
      </c>
      <c r="BY377" s="74">
        <f>-201+147</f>
        <v>-54</v>
      </c>
      <c r="BZ377" s="72">
        <f t="shared" si="1988"/>
        <v>-44.897959183673478</v>
      </c>
      <c r="CA377" s="74">
        <f>-207+114</f>
        <v>-93</v>
      </c>
      <c r="CB377" s="72">
        <f t="shared" si="1989"/>
        <v>-7</v>
      </c>
      <c r="CC377" s="74">
        <f>-239+141</f>
        <v>-98</v>
      </c>
      <c r="CD377" s="72">
        <f t="shared" si="1990"/>
        <v>16.666666666666671</v>
      </c>
      <c r="CE377" s="74">
        <f>-163+99</f>
        <v>-64</v>
      </c>
      <c r="CF377" s="72">
        <f t="shared" si="1991"/>
        <v>-20.987654320987659</v>
      </c>
      <c r="CG377" s="74">
        <f>-144+100</f>
        <v>-44</v>
      </c>
      <c r="CH377" s="72">
        <f t="shared" si="1992"/>
        <v>-18.518518518518519</v>
      </c>
      <c r="CI377" s="74">
        <f>-160+104</f>
        <v>-56</v>
      </c>
      <c r="CJ377" s="72">
        <f t="shared" si="1993"/>
        <v>-39.784946236559136</v>
      </c>
      <c r="CK377" s="74">
        <f>-168+100</f>
        <v>-68</v>
      </c>
      <c r="CL377" s="72">
        <f t="shared" si="1994"/>
        <v>-30.612244897959187</v>
      </c>
      <c r="CM377" s="74">
        <f>-192+113</f>
        <v>-79</v>
      </c>
      <c r="CN377" s="72">
        <f t="shared" si="1995"/>
        <v>23.4375</v>
      </c>
      <c r="CO377" s="74">
        <f>-177+112</f>
        <v>-65</v>
      </c>
      <c r="CP377" s="72">
        <f t="shared" si="1996"/>
        <v>47.72727272727272</v>
      </c>
      <c r="CQ377" s="74">
        <f>-185+121</f>
        <v>-64</v>
      </c>
      <c r="CR377" s="72">
        <f t="shared" si="1997"/>
        <v>14.285714285714278</v>
      </c>
      <c r="CS377" s="74">
        <f>-184+117</f>
        <v>-67</v>
      </c>
      <c r="CT377" s="72">
        <f t="shared" si="1998"/>
        <v>-1.470588235294116</v>
      </c>
      <c r="CU377" s="74">
        <f>-212+126</f>
        <v>-86</v>
      </c>
      <c r="CV377" s="72">
        <f t="shared" si="1999"/>
        <v>8.8607594936708836</v>
      </c>
      <c r="CW377" s="74">
        <f>-226+124</f>
        <v>-102</v>
      </c>
      <c r="CX377" s="72">
        <f t="shared" si="2000"/>
        <v>56.923076923076934</v>
      </c>
      <c r="CY377" s="74">
        <f>-190+76</f>
        <v>-114</v>
      </c>
      <c r="CZ377" s="72">
        <f t="shared" si="2001"/>
        <v>78.125</v>
      </c>
      <c r="DA377" s="74">
        <f>-191+115</f>
        <v>-76</v>
      </c>
      <c r="DB377" s="72">
        <f t="shared" si="2002"/>
        <v>13.432835820895519</v>
      </c>
      <c r="DC377" s="74">
        <f>-210+120</f>
        <v>-90</v>
      </c>
      <c r="DD377" s="72">
        <f t="shared" si="2003"/>
        <v>4.6511627906976827</v>
      </c>
      <c r="DE377" s="74">
        <f>-166+117</f>
        <v>-49</v>
      </c>
      <c r="DF377" s="72" t="str">
        <f t="shared" si="2004"/>
        <v>NM</v>
      </c>
      <c r="DG377" s="74">
        <f>-153+96</f>
        <v>-57</v>
      </c>
      <c r="DH377" s="72">
        <f t="shared" si="2005"/>
        <v>-50</v>
      </c>
      <c r="DI377" s="74">
        <f>-173+110</f>
        <v>-63</v>
      </c>
      <c r="DJ377" s="72">
        <f t="shared" si="2006"/>
        <v>-17.10526315789474</v>
      </c>
      <c r="DK377" s="74">
        <f>-209+134</f>
        <v>-75</v>
      </c>
      <c r="DL377" s="72">
        <f>IF(ISERROR(DK377/DC377),"NA",IF(OR(DK377/DC377&gt;2,DK377/DC377&lt;0.5),"NM",DK377/DC377*100-100))</f>
        <v>-16.666666666666657</v>
      </c>
      <c r="DM377" s="74">
        <f>-191+119</f>
        <v>-72</v>
      </c>
      <c r="DN377" s="72">
        <f t="shared" si="2008"/>
        <v>46.938775510204096</v>
      </c>
      <c r="DO377" s="74">
        <f>-185+84</f>
        <v>-101</v>
      </c>
      <c r="DP377" s="72">
        <f t="shared" si="2008"/>
        <v>77.192982456140356</v>
      </c>
      <c r="DQ377" s="74">
        <f>-189+116</f>
        <v>-73</v>
      </c>
      <c r="DR377" s="72">
        <f t="shared" si="2008"/>
        <v>15.873015873015888</v>
      </c>
      <c r="DS377" s="74">
        <f>-209+128</f>
        <v>-81</v>
      </c>
      <c r="DT377" s="72">
        <f t="shared" si="2008"/>
        <v>8</v>
      </c>
      <c r="DU377" s="74">
        <f>-179+113</f>
        <v>-66</v>
      </c>
      <c r="DV377" s="72">
        <f t="shared" si="2008"/>
        <v>-8.3333333333333428</v>
      </c>
      <c r="DW377" s="74">
        <f>-178+120</f>
        <v>-58</v>
      </c>
      <c r="DX377" s="72">
        <f t="shared" si="2008"/>
        <v>-42.57425742574258</v>
      </c>
      <c r="DY377" s="74">
        <f>-186+111</f>
        <v>-75</v>
      </c>
      <c r="DZ377" s="72">
        <f t="shared" si="2008"/>
        <v>2.7397260273972677</v>
      </c>
      <c r="EA377" s="74">
        <f>-213+131</f>
        <v>-82</v>
      </c>
      <c r="EB377" s="72">
        <f t="shared" si="2009"/>
        <v>1.2345679012345698</v>
      </c>
      <c r="EC377" s="74">
        <f>-197+127</f>
        <v>-70</v>
      </c>
      <c r="ED377" s="72">
        <f t="shared" si="2010"/>
        <v>6.0606060606060623</v>
      </c>
      <c r="EE377" s="74">
        <f>-213+127</f>
        <v>-86</v>
      </c>
      <c r="EF377" s="72">
        <f t="shared" si="2011"/>
        <v>48.275862068965523</v>
      </c>
      <c r="EG377" s="74">
        <f>121-211</f>
        <v>-90</v>
      </c>
      <c r="EH377" s="72">
        <f t="shared" si="2012"/>
        <v>20</v>
      </c>
      <c r="EI377" s="74">
        <f>-265+148</f>
        <v>-117</v>
      </c>
      <c r="EJ377" s="72">
        <f t="shared" si="2013"/>
        <v>42.682926829268297</v>
      </c>
      <c r="EK377" s="74">
        <f>-263+151</f>
        <v>-112</v>
      </c>
      <c r="EL377" s="72">
        <f t="shared" si="2014"/>
        <v>60</v>
      </c>
      <c r="EM377" s="74">
        <f>-210+131</f>
        <v>-79</v>
      </c>
      <c r="EN377" s="72">
        <f t="shared" si="2015"/>
        <v>-8.1395348837209269</v>
      </c>
      <c r="EO377" s="74">
        <f>-221+133</f>
        <v>-88</v>
      </c>
      <c r="EP377" s="72">
        <f t="shared" si="2016"/>
        <v>-2.2222222222222285</v>
      </c>
      <c r="EQ377" s="74">
        <f t="shared" ref="EQ377" si="2050">EI377*(1+EQ$361/100)</f>
        <v>-122.20702702702702</v>
      </c>
      <c r="ER377" s="72">
        <f t="shared" si="2018"/>
        <v>4.4504504504504467</v>
      </c>
      <c r="ES377" s="74">
        <f t="shared" ref="ES377" si="2051">EK377*(1+ES$361/100)</f>
        <v>-116.9845045045045</v>
      </c>
      <c r="ET377" s="72">
        <f t="shared" si="2020"/>
        <v>4.4504504504504467</v>
      </c>
      <c r="EU377" s="74">
        <f t="shared" ref="EU377" si="2052">EM377*(1+EU$361/100)</f>
        <v>-82.515855855855861</v>
      </c>
      <c r="EV377" s="72">
        <f t="shared" si="2022"/>
        <v>4.4504504504504467</v>
      </c>
      <c r="EW377" s="74">
        <f t="shared" ref="EW377" si="2053">EO377*(1+EW$361/100)</f>
        <v>-91.916396396396394</v>
      </c>
      <c r="EX377" s="72">
        <f t="shared" si="2024"/>
        <v>4.4504504504504467</v>
      </c>
      <c r="EY377" s="72"/>
      <c r="EZ377" s="311"/>
      <c r="FA377" s="72"/>
      <c r="FB377" s="74">
        <v>-139</v>
      </c>
      <c r="FC377" s="72"/>
      <c r="FD377" s="74">
        <v>-234</v>
      </c>
      <c r="FE377" s="72">
        <f t="shared" si="2025"/>
        <v>68.345323741007178</v>
      </c>
      <c r="FF377" s="74">
        <v>-258</v>
      </c>
      <c r="FG377" s="72">
        <f t="shared" si="2026"/>
        <v>10.256410256410263</v>
      </c>
      <c r="FH377" s="75">
        <f>K377+M377+O377+Q377</f>
        <v>-304</v>
      </c>
      <c r="FI377" s="72">
        <f t="shared" si="2027"/>
        <v>17.829457364341096</v>
      </c>
      <c r="FJ377" s="75">
        <f>S377+U377+W377+Y377</f>
        <v>-258</v>
      </c>
      <c r="FK377" s="72">
        <f t="shared" si="2028"/>
        <v>-15.131578947368425</v>
      </c>
      <c r="FL377" s="75">
        <f>+AA377+AC377+AE377+AG377</f>
        <v>-265</v>
      </c>
      <c r="FM377" s="72">
        <f t="shared" si="2029"/>
        <v>2.7131782945736518</v>
      </c>
      <c r="FN377" s="75">
        <f>+AI377+AK377+AM377+AO377</f>
        <v>-339</v>
      </c>
      <c r="FO377" s="72">
        <f t="shared" si="2030"/>
        <v>27.924528301886781</v>
      </c>
      <c r="FP377" s="75">
        <f>AQ377+AS377+AU377+AW377</f>
        <v>-442</v>
      </c>
      <c r="FQ377" s="72">
        <f t="shared" si="2031"/>
        <v>30.383480825958685</v>
      </c>
      <c r="FR377" s="75">
        <f>AY377+BA377+BC377+BE377</f>
        <v>-367</v>
      </c>
      <c r="FS377" s="72">
        <f t="shared" si="2032"/>
        <v>-16.968325791855193</v>
      </c>
      <c r="FT377" s="75">
        <f>BG377+BI377+BK377+BM377</f>
        <v>-421</v>
      </c>
      <c r="FU377" s="72">
        <f t="shared" si="2033"/>
        <v>14.713896457765657</v>
      </c>
      <c r="FV377" s="74">
        <f>-588+324</f>
        <v>-264</v>
      </c>
      <c r="FW377" s="72">
        <f t="shared" si="2034"/>
        <v>-37.292161520190028</v>
      </c>
      <c r="FX377" s="74">
        <f>-599+385</f>
        <v>-214</v>
      </c>
      <c r="FY377" s="72">
        <f t="shared" si="2034"/>
        <v>-18.939393939393938</v>
      </c>
      <c r="FZ377" s="75">
        <f>CE377+CG377+CI377+CK377</f>
        <v>-232</v>
      </c>
      <c r="GA377" s="72">
        <f t="shared" si="2034"/>
        <v>8.4112149532710134</v>
      </c>
      <c r="GB377" s="75">
        <f>CM377+CO377+CQ377+CS377</f>
        <v>-275</v>
      </c>
      <c r="GC377" s="72">
        <f t="shared" si="2034"/>
        <v>18.534482758620683</v>
      </c>
      <c r="GD377" s="75">
        <f>CU377+CW377+CY377+DA377</f>
        <v>-378</v>
      </c>
      <c r="GE377" s="72">
        <f t="shared" si="2034"/>
        <v>37.454545454545439</v>
      </c>
      <c r="GF377" s="75">
        <f>DC377+DE377+DG377+DI377</f>
        <v>-259</v>
      </c>
      <c r="GG377" s="72">
        <f t="shared" si="2034"/>
        <v>-31.481481481481481</v>
      </c>
      <c r="GH377" s="75">
        <f>DK377+DM377+DO377+DQ377</f>
        <v>-321</v>
      </c>
      <c r="GI377" s="72">
        <f t="shared" si="2035"/>
        <v>23.938223938223928</v>
      </c>
      <c r="GJ377" s="75">
        <f>DS377+DU377+DW377+DY377</f>
        <v>-280</v>
      </c>
      <c r="GK377" s="72">
        <f t="shared" si="2035"/>
        <v>-12.772585669781932</v>
      </c>
      <c r="GL377" s="75">
        <f>EA377+EC377+EE377+EG377</f>
        <v>-328</v>
      </c>
      <c r="GM377" s="72">
        <f t="shared" si="2035"/>
        <v>17.142857142857153</v>
      </c>
      <c r="GN377" s="75">
        <f>EI377+EK377+EM377+EO377</f>
        <v>-396</v>
      </c>
      <c r="GO377" s="72">
        <f t="shared" si="2035"/>
        <v>20.731707317073173</v>
      </c>
      <c r="GP377" s="75">
        <f>EQ377+ES377+EU377+EW377</f>
        <v>-413.62378378378378</v>
      </c>
      <c r="GQ377" s="72">
        <f t="shared" si="2035"/>
        <v>4.4504504504504467</v>
      </c>
      <c r="GR377" s="74">
        <f>GP377*(1+GR$361/100)</f>
        <v>-430.16873513513514</v>
      </c>
      <c r="GS377" s="72">
        <f t="shared" si="2035"/>
        <v>4</v>
      </c>
      <c r="GT377" s="74">
        <f>GR377*(1+GT$361/100)</f>
        <v>-447.37548454054058</v>
      </c>
      <c r="GU377" s="72">
        <f t="shared" si="2035"/>
        <v>4</v>
      </c>
      <c r="GV377" s="74">
        <f>GT377*(1+GV$361/100)</f>
        <v>-465.27050392216222</v>
      </c>
      <c r="GW377" s="72">
        <f t="shared" si="2036"/>
        <v>4</v>
      </c>
      <c r="GX377" s="74">
        <f>GV377*(1+GX$361/100)</f>
        <v>-483.88132407904874</v>
      </c>
      <c r="GY377" s="72">
        <f t="shared" si="2037"/>
        <v>4</v>
      </c>
      <c r="GZ377" s="72">
        <f t="shared" si="1954"/>
        <v>4.089934413243701</v>
      </c>
      <c r="HA377" s="72"/>
      <c r="HB377" s="72"/>
      <c r="HC377"/>
      <c r="HD377"/>
      <c r="HE377"/>
      <c r="HF377"/>
      <c r="HG377"/>
      <c r="HH377"/>
      <c r="HI377" s="2"/>
    </row>
    <row r="378" spans="1:217" s="133" customFormat="1" ht="12.75" customHeight="1" x14ac:dyDescent="0.2">
      <c r="B378" s="93" t="s">
        <v>156</v>
      </c>
      <c r="C378" s="91">
        <f>SUM(C373:C377)</f>
        <v>396</v>
      </c>
      <c r="D378" s="80"/>
      <c r="E378" s="91">
        <f>SUM(E373:E377)</f>
        <v>383</v>
      </c>
      <c r="F378" s="80"/>
      <c r="G378" s="91">
        <f>SUM(G373:G377)</f>
        <v>418</v>
      </c>
      <c r="H378" s="80"/>
      <c r="I378" s="91">
        <f>SUM(I373:I377)</f>
        <v>427</v>
      </c>
      <c r="J378" s="80"/>
      <c r="K378" s="91">
        <f>SUM(K373:K377)</f>
        <v>426</v>
      </c>
      <c r="L378" s="72">
        <f t="shared" si="1967"/>
        <v>7.5757575757575637</v>
      </c>
      <c r="M378" s="91">
        <f>SUM(M373:M377)</f>
        <v>423</v>
      </c>
      <c r="N378" s="72">
        <f t="shared" si="1968"/>
        <v>10.443864229765026</v>
      </c>
      <c r="O378" s="91">
        <f>SUM(O373:O377)</f>
        <v>452</v>
      </c>
      <c r="P378" s="72">
        <f t="shared" si="1969"/>
        <v>8.1339712918660325</v>
      </c>
      <c r="Q378" s="91">
        <f>SUM(Q373:Q377)</f>
        <v>470</v>
      </c>
      <c r="R378" s="72">
        <f t="shared" si="1970"/>
        <v>10.070257611241203</v>
      </c>
      <c r="S378" s="91">
        <f>SUM(S373:S377)</f>
        <v>466</v>
      </c>
      <c r="T378" s="72">
        <f t="shared" si="1970"/>
        <v>9.3896713615023515</v>
      </c>
      <c r="U378" s="91">
        <f>SUM(U373:U377)</f>
        <v>479</v>
      </c>
      <c r="V378" s="72">
        <f t="shared" si="1970"/>
        <v>13.238770685579198</v>
      </c>
      <c r="W378" s="91">
        <f>SUM(W373:W377)</f>
        <v>538</v>
      </c>
      <c r="X378" s="72">
        <f t="shared" si="1970"/>
        <v>19.026548672566364</v>
      </c>
      <c r="Y378" s="91">
        <f>SUM(Y373:Y377)</f>
        <v>517</v>
      </c>
      <c r="Z378" s="72">
        <f t="shared" si="1970"/>
        <v>10.000000000000014</v>
      </c>
      <c r="AA378" s="91">
        <f>SUM(AA373:AA377)</f>
        <v>607</v>
      </c>
      <c r="AB378" s="72">
        <f t="shared" si="1970"/>
        <v>30.257510729613728</v>
      </c>
      <c r="AC378" s="91">
        <f>SUM(AC373:AC377)</f>
        <v>580</v>
      </c>
      <c r="AD378" s="72">
        <f t="shared" si="1970"/>
        <v>21.085594989561599</v>
      </c>
      <c r="AE378" s="91">
        <f>SUM(AE373:AE377)</f>
        <v>639</v>
      </c>
      <c r="AF378" s="72">
        <f t="shared" si="1970"/>
        <v>18.773234200743502</v>
      </c>
      <c r="AG378" s="91">
        <f>SUM(AG373:AG377)</f>
        <v>660</v>
      </c>
      <c r="AH378" s="72">
        <f t="shared" si="1970"/>
        <v>27.659574468085111</v>
      </c>
      <c r="AI378" s="91">
        <f>SUM(AI373:AI377)</f>
        <v>723</v>
      </c>
      <c r="AJ378" s="72">
        <f t="shared" si="1970"/>
        <v>19.110378912685348</v>
      </c>
      <c r="AK378" s="91">
        <f>SUM(AK373:AK377)</f>
        <v>670</v>
      </c>
      <c r="AL378" s="72">
        <f t="shared" si="1970"/>
        <v>15.517241379310349</v>
      </c>
      <c r="AM378" s="91">
        <f>SUM(AM373:AM377)</f>
        <v>705</v>
      </c>
      <c r="AN378" s="72">
        <f t="shared" si="1970"/>
        <v>10.328638497652577</v>
      </c>
      <c r="AO378" s="91">
        <f>SUM(AO373:AO377)</f>
        <v>791</v>
      </c>
      <c r="AP378" s="72">
        <f t="shared" si="1970"/>
        <v>19.848484848484844</v>
      </c>
      <c r="AQ378" s="91">
        <f>SUM(AQ373:AQ377)</f>
        <v>980</v>
      </c>
      <c r="AR378" s="72">
        <f t="shared" si="1971"/>
        <v>35.546334716459199</v>
      </c>
      <c r="AS378" s="91">
        <f>SUM(AS373:AS377)</f>
        <v>901</v>
      </c>
      <c r="AT378" s="72">
        <f t="shared" si="1972"/>
        <v>34.477611940298516</v>
      </c>
      <c r="AU378" s="91">
        <f>SUM(AU373:AU377)</f>
        <v>874</v>
      </c>
      <c r="AV378" s="72">
        <f t="shared" si="1973"/>
        <v>23.971631205673759</v>
      </c>
      <c r="AW378" s="91">
        <f>SUM(AW373:AW377)</f>
        <v>919</v>
      </c>
      <c r="AX378" s="72">
        <f t="shared" si="1974"/>
        <v>16.182048040455115</v>
      </c>
      <c r="AY378" s="91">
        <f>SUM(AY373:AY377)</f>
        <v>989</v>
      </c>
      <c r="AZ378" s="72">
        <f t="shared" si="1975"/>
        <v>0.91836734693877986</v>
      </c>
      <c r="BA378" s="91">
        <f>SUM(BA373:BA377)</f>
        <v>975</v>
      </c>
      <c r="BB378" s="72">
        <f t="shared" si="1976"/>
        <v>8.2130965593784708</v>
      </c>
      <c r="BC378" s="91">
        <f>SUM(BC373:BC377)</f>
        <v>969</v>
      </c>
      <c r="BD378" s="72">
        <f t="shared" si="1977"/>
        <v>10.869565217391312</v>
      </c>
      <c r="BE378" s="91">
        <f>SUM(BE373:BE377)</f>
        <v>1014</v>
      </c>
      <c r="BF378" s="72">
        <f t="shared" si="1978"/>
        <v>10.337323177366713</v>
      </c>
      <c r="BG378" s="91">
        <f>SUM(BG373:BG377)</f>
        <v>1090</v>
      </c>
      <c r="BH378" s="72">
        <f t="shared" si="1979"/>
        <v>10.212335692618808</v>
      </c>
      <c r="BI378" s="91">
        <f>SUM(BI373:BI377)</f>
        <v>1055</v>
      </c>
      <c r="BJ378" s="72">
        <f t="shared" si="1980"/>
        <v>8.2051282051282044</v>
      </c>
      <c r="BK378" s="91">
        <f>SUM(BK373:BK377)</f>
        <v>1078</v>
      </c>
      <c r="BL378" s="72">
        <f t="shared" si="1981"/>
        <v>11.248710010319911</v>
      </c>
      <c r="BM378" s="91">
        <f>SUM(BM373:BM377)</f>
        <v>1171</v>
      </c>
      <c r="BN378" s="72">
        <f t="shared" si="1982"/>
        <v>15.483234714003942</v>
      </c>
      <c r="BO378" s="91">
        <f>SUM(BO373:BO377)</f>
        <v>1292</v>
      </c>
      <c r="BP378" s="72">
        <f t="shared" si="1983"/>
        <v>18.532110091743121</v>
      </c>
      <c r="BQ378" s="91">
        <f>SUM(BQ373:BQ377)</f>
        <v>1203</v>
      </c>
      <c r="BR378" s="72">
        <f t="shared" si="1984"/>
        <v>14.028436018957336</v>
      </c>
      <c r="BS378" s="91">
        <f>SUM(BS373:BS377)</f>
        <v>1169</v>
      </c>
      <c r="BT378" s="72">
        <f t="shared" si="1985"/>
        <v>8.4415584415584561</v>
      </c>
      <c r="BU378" s="91">
        <f>SUM(BU373:BU377)</f>
        <v>1233</v>
      </c>
      <c r="BV378" s="72">
        <f t="shared" si="1986"/>
        <v>5.2946199829205796</v>
      </c>
      <c r="BW378" s="91">
        <f>SUM(BW373:BW377)</f>
        <v>1348</v>
      </c>
      <c r="BX378" s="72">
        <f t="shared" si="1987"/>
        <v>4.3343653250773997</v>
      </c>
      <c r="BY378" s="91">
        <f>SUM(BY373:BY377)</f>
        <v>1224</v>
      </c>
      <c r="BZ378" s="72">
        <f t="shared" si="1988"/>
        <v>1.7456359102244363</v>
      </c>
      <c r="CA378" s="91">
        <f>SUM(CA373:CA377)</f>
        <v>1286</v>
      </c>
      <c r="CB378" s="72">
        <f t="shared" si="1989"/>
        <v>10.008554319931577</v>
      </c>
      <c r="CC378" s="91">
        <f>SUM(CC373:CC377)</f>
        <v>1364</v>
      </c>
      <c r="CD378" s="72">
        <f t="shared" si="1990"/>
        <v>10.624493106244941</v>
      </c>
      <c r="CE378" s="91">
        <f>SUM(CE373:CE377)</f>
        <v>1530</v>
      </c>
      <c r="CF378" s="72">
        <f t="shared" si="1991"/>
        <v>13.501483679525222</v>
      </c>
      <c r="CG378" s="91">
        <f>SUM(CG373:CG377)</f>
        <v>1428</v>
      </c>
      <c r="CH378" s="72">
        <f t="shared" si="1992"/>
        <v>16.666666666666671</v>
      </c>
      <c r="CI378" s="91">
        <f>SUM(CI373:CI377)</f>
        <v>1530</v>
      </c>
      <c r="CJ378" s="72">
        <f t="shared" si="1993"/>
        <v>18.973561430793168</v>
      </c>
      <c r="CK378" s="91">
        <f>SUM(CK373:CK377)</f>
        <v>1615</v>
      </c>
      <c r="CL378" s="72">
        <f t="shared" si="1994"/>
        <v>18.401759530791793</v>
      </c>
      <c r="CM378" s="91">
        <f>SUM(CM373:CM377)</f>
        <v>1797</v>
      </c>
      <c r="CN378" s="72">
        <f t="shared" si="1995"/>
        <v>17.450980392156865</v>
      </c>
      <c r="CO378" s="91">
        <f>SUM(CO373:CO377)</f>
        <v>1629</v>
      </c>
      <c r="CP378" s="72">
        <f t="shared" si="1996"/>
        <v>14.075630252100837</v>
      </c>
      <c r="CQ378" s="91">
        <f>SUM(CQ373:CQ377)</f>
        <v>1745</v>
      </c>
      <c r="CR378" s="72">
        <f t="shared" si="1997"/>
        <v>14.052287581699346</v>
      </c>
      <c r="CS378" s="91">
        <f>SUM(CS373:CS377)</f>
        <v>1785</v>
      </c>
      <c r="CT378" s="72">
        <f t="shared" si="1998"/>
        <v>10.526315789473699</v>
      </c>
      <c r="CU378" s="91">
        <f>SUM(CU373:CU377)</f>
        <v>1935</v>
      </c>
      <c r="CV378" s="72">
        <f t="shared" si="1999"/>
        <v>7.6794657762938101</v>
      </c>
      <c r="CW378" s="91">
        <f>SUM(CW373:CW377)</f>
        <v>1818</v>
      </c>
      <c r="CX378" s="72">
        <f t="shared" si="2000"/>
        <v>11.60220994475138</v>
      </c>
      <c r="CY378" s="91">
        <f>SUM(CY373:CY377)</f>
        <v>1844</v>
      </c>
      <c r="CZ378" s="72">
        <f t="shared" si="2001"/>
        <v>5.6733524355300915</v>
      </c>
      <c r="DA378" s="91">
        <f>SUM(DA373:DA377)</f>
        <v>1924</v>
      </c>
      <c r="DB378" s="72">
        <f t="shared" si="2002"/>
        <v>7.7871148459383761</v>
      </c>
      <c r="DC378" s="91">
        <f>SUM(DC373:DC377)</f>
        <v>2021</v>
      </c>
      <c r="DD378" s="72">
        <f t="shared" si="2003"/>
        <v>4.4444444444444571</v>
      </c>
      <c r="DE378" s="91">
        <f>SUM(DE373:DE377)</f>
        <v>1790</v>
      </c>
      <c r="DF378" s="72">
        <f t="shared" si="2004"/>
        <v>-1.5401540154015407</v>
      </c>
      <c r="DG378" s="91">
        <f>SUM(DG373:DG377)</f>
        <v>1749</v>
      </c>
      <c r="DH378" s="72">
        <f t="shared" si="2005"/>
        <v>-5.1518438177874089</v>
      </c>
      <c r="DI378" s="91">
        <f>SUM(DI373:DI377)</f>
        <v>1901</v>
      </c>
      <c r="DJ378" s="72">
        <f t="shared" si="2006"/>
        <v>-1.1954261954261938</v>
      </c>
      <c r="DK378" s="91">
        <f>SUM(DK373:DK377)</f>
        <v>2060</v>
      </c>
      <c r="DL378" s="72">
        <f t="shared" si="2007"/>
        <v>1.9297377535873323</v>
      </c>
      <c r="DM378" s="91">
        <f>SUM(DM373:DM377)</f>
        <v>1879</v>
      </c>
      <c r="DN378" s="72">
        <f t="shared" si="2008"/>
        <v>4.9720670391061503</v>
      </c>
      <c r="DO378" s="91">
        <f>SUM(DO373:DO377)</f>
        <v>1870</v>
      </c>
      <c r="DP378" s="72">
        <f t="shared" si="2008"/>
        <v>6.9182389937106876</v>
      </c>
      <c r="DQ378" s="91">
        <f>SUM(DQ373:DQ377)</f>
        <v>1869</v>
      </c>
      <c r="DR378" s="72">
        <f t="shared" si="2008"/>
        <v>-1.6833245660178875</v>
      </c>
      <c r="DS378" s="91">
        <f>SUM(DS373:DS377)</f>
        <v>2003</v>
      </c>
      <c r="DT378" s="72">
        <f t="shared" si="2008"/>
        <v>-2.7669902912621325</v>
      </c>
      <c r="DU378" s="91">
        <f>SUM(DU373:DU377)</f>
        <v>1850</v>
      </c>
      <c r="DV378" s="72">
        <f t="shared" si="2008"/>
        <v>-1.5433741351782828</v>
      </c>
      <c r="DW378" s="91">
        <f>SUM(DW373:DW377)</f>
        <v>1852</v>
      </c>
      <c r="DX378" s="72">
        <f t="shared" si="2008"/>
        <v>-0.96256684491979172</v>
      </c>
      <c r="DY378" s="91">
        <f>SUM(DY373:DY377)</f>
        <v>1882</v>
      </c>
      <c r="DZ378" s="72">
        <f t="shared" si="2008"/>
        <v>0.69555912252540963</v>
      </c>
      <c r="EA378" s="91">
        <f>SUM(EA373:EA377)</f>
        <v>2149</v>
      </c>
      <c r="EB378" s="72">
        <f t="shared" si="2009"/>
        <v>7.2890664003993919</v>
      </c>
      <c r="EC378" s="91">
        <f>SUM(EC373:EC377)</f>
        <v>2074</v>
      </c>
      <c r="ED378" s="72">
        <f t="shared" si="2010"/>
        <v>12.108108108108112</v>
      </c>
      <c r="EE378" s="91">
        <f>SUM(EE373:EE377)</f>
        <v>2142</v>
      </c>
      <c r="EF378" s="72">
        <f t="shared" si="2011"/>
        <v>15.658747300215992</v>
      </c>
      <c r="EG378" s="91">
        <f>SUM(EG373:EG377)</f>
        <v>2082</v>
      </c>
      <c r="EH378" s="72">
        <f t="shared" si="2012"/>
        <v>10.626992561105197</v>
      </c>
      <c r="EI378" s="91">
        <f>SUM(EI373:EI377)</f>
        <v>2370</v>
      </c>
      <c r="EJ378" s="72">
        <f t="shared" si="2013"/>
        <v>10.283852954862738</v>
      </c>
      <c r="EK378" s="91">
        <f>SUM(EK373:EK377)</f>
        <v>2248</v>
      </c>
      <c r="EL378" s="72">
        <f t="shared" si="2014"/>
        <v>8.3895853423336462</v>
      </c>
      <c r="EM378" s="91">
        <f>SUM(EM373:EM377)</f>
        <v>2254</v>
      </c>
      <c r="EN378" s="72">
        <f t="shared" si="2015"/>
        <v>5.2287581699346504</v>
      </c>
      <c r="EO378" s="91">
        <f>SUM(EO373:EO377)</f>
        <v>2279</v>
      </c>
      <c r="EP378" s="72">
        <f t="shared" si="2016"/>
        <v>9.4620557156580105</v>
      </c>
      <c r="EQ378" s="91">
        <f t="shared" ref="EQ378" si="2054">SUM(EQ373:EQ377)</f>
        <v>2467.3341909909914</v>
      </c>
      <c r="ER378" s="72">
        <f t="shared" si="2018"/>
        <v>4.1069278899152408</v>
      </c>
      <c r="ES378" s="91">
        <f t="shared" ref="ES378" si="2055">SUM(ES373:ES377)</f>
        <v>2288.4043023423419</v>
      </c>
      <c r="ET378" s="72">
        <f t="shared" si="2020"/>
        <v>1.7973444102465237</v>
      </c>
      <c r="EU378" s="91">
        <f t="shared" ref="EU378" si="2056">SUM(EU373:EU377)</f>
        <v>2353.5918284684685</v>
      </c>
      <c r="EV378" s="72">
        <f t="shared" si="2022"/>
        <v>4.4184484679888385</v>
      </c>
      <c r="EW378" s="91">
        <f t="shared" ref="EW378" si="2057">SUM(EW373:EW377)</f>
        <v>2382.1130684684686</v>
      </c>
      <c r="EX378" s="72">
        <f t="shared" si="2024"/>
        <v>4.5244874273132325</v>
      </c>
      <c r="EY378" s="72"/>
      <c r="EZ378" s="310"/>
      <c r="FA378" s="72"/>
      <c r="FB378" s="91">
        <f>SUM(FB373:FB377)</f>
        <v>946</v>
      </c>
      <c r="FC378" s="80"/>
      <c r="FD378" s="91">
        <f>SUM(FD373:FD377)</f>
        <v>1304</v>
      </c>
      <c r="FE378" s="72">
        <f t="shared" si="2025"/>
        <v>37.843551797040163</v>
      </c>
      <c r="FF378" s="91">
        <f>SUM(FF373:FF377)</f>
        <v>1624</v>
      </c>
      <c r="FG378" s="72">
        <f t="shared" si="2026"/>
        <v>24.539877300613483</v>
      </c>
      <c r="FH378" s="91">
        <f>SUM(FH373:FH377)</f>
        <v>1771</v>
      </c>
      <c r="FI378" s="72">
        <f t="shared" si="2027"/>
        <v>9.051724137931032</v>
      </c>
      <c r="FJ378" s="91">
        <f>SUM(FJ373:FJ377)</f>
        <v>2000</v>
      </c>
      <c r="FK378" s="72">
        <f t="shared" si="2028"/>
        <v>12.9305477131564</v>
      </c>
      <c r="FL378" s="91">
        <f>SUM(FL373:FL377)</f>
        <v>2486</v>
      </c>
      <c r="FM378" s="72">
        <f t="shared" si="2029"/>
        <v>24.300000000000011</v>
      </c>
      <c r="FN378" s="91">
        <f>SUM(FN373:FN377)</f>
        <v>2889</v>
      </c>
      <c r="FO378" s="72">
        <f t="shared" si="2030"/>
        <v>16.210780370072399</v>
      </c>
      <c r="FP378" s="91">
        <f>SUM(FP373:FP377)</f>
        <v>3674</v>
      </c>
      <c r="FQ378" s="72">
        <f t="shared" si="2031"/>
        <v>27.172031844929052</v>
      </c>
      <c r="FR378" s="91">
        <f>SUM(FR373:FR377)</f>
        <v>3947</v>
      </c>
      <c r="FS378" s="72">
        <f t="shared" si="2032"/>
        <v>7.4305933587370845</v>
      </c>
      <c r="FT378" s="91">
        <f>SUM(FT373:FT377)</f>
        <v>4394</v>
      </c>
      <c r="FU378" s="72">
        <f t="shared" si="2033"/>
        <v>11.325057005320488</v>
      </c>
      <c r="FV378" s="91">
        <f>SUM(FV373:FV377)</f>
        <v>5015</v>
      </c>
      <c r="FW378" s="72">
        <f t="shared" si="2034"/>
        <v>14.132908511606729</v>
      </c>
      <c r="FX378" s="91">
        <f>SUM(FX373:FX377)</f>
        <v>5334</v>
      </c>
      <c r="FY378" s="72">
        <f t="shared" si="2034"/>
        <v>6.3609172482552196</v>
      </c>
      <c r="FZ378" s="91">
        <f>SUM(FZ373:FZ377)</f>
        <v>6103</v>
      </c>
      <c r="GA378" s="72">
        <f t="shared" si="2034"/>
        <v>14.416947881514815</v>
      </c>
      <c r="GB378" s="91">
        <f>SUM(GB373:GB377)</f>
        <v>6956</v>
      </c>
      <c r="GC378" s="72">
        <f t="shared" si="2034"/>
        <v>13.976732754383093</v>
      </c>
      <c r="GD378" s="91">
        <f>SUM(GD373:GD377)</f>
        <v>7521</v>
      </c>
      <c r="GE378" s="72">
        <f t="shared" si="2034"/>
        <v>8.1224841863139829</v>
      </c>
      <c r="GF378" s="91">
        <f>SUM(GF373:GF377)</f>
        <v>7461</v>
      </c>
      <c r="GG378" s="72">
        <f t="shared" si="2034"/>
        <v>-0.79776625448742777</v>
      </c>
      <c r="GH378" s="91">
        <f>SUM(GH373:GH377)</f>
        <v>7678</v>
      </c>
      <c r="GI378" s="72">
        <f t="shared" si="2035"/>
        <v>2.9084573113523646</v>
      </c>
      <c r="GJ378" s="91">
        <f>SUM(GJ373:GJ377)</f>
        <v>7587</v>
      </c>
      <c r="GK378" s="72">
        <f t="shared" si="2035"/>
        <v>-1.1852044803334252</v>
      </c>
      <c r="GL378" s="91">
        <f>SUM(GL373:GL377)</f>
        <v>8447</v>
      </c>
      <c r="GM378" s="72">
        <f t="shared" si="2035"/>
        <v>11.335178594965072</v>
      </c>
      <c r="GN378" s="91">
        <f>SUM(GN373:GN377)</f>
        <v>9151</v>
      </c>
      <c r="GO378" s="72">
        <f t="shared" si="2035"/>
        <v>8.3343198768793627</v>
      </c>
      <c r="GP378" s="91">
        <f>SUM(GP373:GP377)</f>
        <v>9491.4433902702694</v>
      </c>
      <c r="GQ378" s="72">
        <f t="shared" si="2035"/>
        <v>3.7202862011831428</v>
      </c>
      <c r="GR378" s="91">
        <f>SUM(GR373:GR377)</f>
        <v>9871.7227258810817</v>
      </c>
      <c r="GS378" s="72">
        <f t="shared" si="2035"/>
        <v>4.0065490566022675</v>
      </c>
      <c r="GT378" s="91">
        <f>SUM(GT373:GT377)</f>
        <v>10267.281610916325</v>
      </c>
      <c r="GU378" s="72">
        <f t="shared" si="2035"/>
        <v>4.0069894183533989</v>
      </c>
      <c r="GV378" s="91">
        <f>SUM(GV373:GV377)</f>
        <v>10678.738748712978</v>
      </c>
      <c r="GW378" s="72">
        <f t="shared" si="2036"/>
        <v>4.0074593586600997</v>
      </c>
      <c r="GX378" s="91">
        <f>SUM(GX373:GX377)</f>
        <v>11106.738418091098</v>
      </c>
      <c r="GY378" s="72">
        <f t="shared" si="2037"/>
        <v>4.0079608598880867</v>
      </c>
      <c r="GZ378" s="72">
        <f t="shared" si="1954"/>
        <v>3.9497855370064894</v>
      </c>
      <c r="HA378" s="72"/>
      <c r="HB378" s="72"/>
      <c r="HC378"/>
      <c r="HD378"/>
      <c r="HE378"/>
      <c r="HF378"/>
      <c r="HG378"/>
      <c r="HH378"/>
      <c r="HI378" s="2"/>
    </row>
    <row r="379" spans="1:217" s="3" customFormat="1" ht="12.75" customHeight="1" x14ac:dyDescent="0.2">
      <c r="B379" s="94"/>
      <c r="C379" s="71"/>
      <c r="D379" s="72"/>
      <c r="E379" s="71"/>
      <c r="F379" s="72"/>
      <c r="G379" s="71"/>
      <c r="H379" s="72"/>
      <c r="I379" s="71"/>
      <c r="J379" s="72"/>
      <c r="K379" s="71"/>
      <c r="L379" s="72"/>
      <c r="M379" s="71"/>
      <c r="N379" s="72"/>
      <c r="O379" s="71"/>
      <c r="P379" s="72"/>
      <c r="Q379" s="71"/>
      <c r="R379" s="72"/>
      <c r="S379" s="71"/>
      <c r="T379" s="72"/>
      <c r="U379" s="71"/>
      <c r="V379" s="72"/>
      <c r="W379" s="71"/>
      <c r="X379" s="72"/>
      <c r="Y379" s="71"/>
      <c r="Z379" s="72"/>
      <c r="AA379" s="71"/>
      <c r="AB379" s="72"/>
      <c r="AC379" s="71"/>
      <c r="AD379" s="72"/>
      <c r="AE379" s="71"/>
      <c r="AF379" s="72"/>
      <c r="AG379" s="71"/>
      <c r="AH379" s="72"/>
      <c r="AI379" s="71"/>
      <c r="AJ379" s="72"/>
      <c r="AK379" s="71"/>
      <c r="AL379" s="72"/>
      <c r="AM379" s="71"/>
      <c r="AN379" s="72"/>
      <c r="AO379" s="71"/>
      <c r="AP379" s="72"/>
      <c r="AQ379" s="71"/>
      <c r="AR379" s="72"/>
      <c r="AS379" s="71"/>
      <c r="AT379" s="72"/>
      <c r="AU379" s="71"/>
      <c r="AV379" s="72"/>
      <c r="AW379" s="71"/>
      <c r="AX379" s="72"/>
      <c r="AY379" s="71"/>
      <c r="AZ379" s="72"/>
      <c r="BA379" s="71"/>
      <c r="BB379" s="72"/>
      <c r="BC379" s="71"/>
      <c r="BD379" s="72"/>
      <c r="BE379" s="71"/>
      <c r="BF379" s="72"/>
      <c r="BG379" s="71"/>
      <c r="BH379" s="72"/>
      <c r="BI379" s="71"/>
      <c r="BJ379" s="72"/>
      <c r="BK379" s="71"/>
      <c r="BL379" s="72"/>
      <c r="BM379" s="71"/>
      <c r="BN379" s="72"/>
      <c r="BO379" s="71"/>
      <c r="BP379" s="72"/>
      <c r="BQ379" s="71"/>
      <c r="BR379" s="72"/>
      <c r="BS379" s="71"/>
      <c r="BT379" s="72"/>
      <c r="BU379" s="71"/>
      <c r="BV379" s="72"/>
      <c r="BW379" s="71"/>
      <c r="BX379" s="72"/>
      <c r="BY379" s="71"/>
      <c r="BZ379" s="72"/>
      <c r="CA379" s="71"/>
      <c r="CB379" s="72"/>
      <c r="CC379" s="71"/>
      <c r="CD379" s="72"/>
      <c r="CE379" s="71"/>
      <c r="CF379" s="72"/>
      <c r="CG379" s="71"/>
      <c r="CH379" s="72"/>
      <c r="CI379" s="71"/>
      <c r="CJ379" s="72"/>
      <c r="CK379" s="71"/>
      <c r="CL379" s="72"/>
      <c r="CM379" s="71"/>
      <c r="CN379" s="72"/>
      <c r="CO379" s="71"/>
      <c r="CP379" s="72"/>
      <c r="CQ379" s="71"/>
      <c r="CR379" s="72"/>
      <c r="CS379" s="71"/>
      <c r="CT379" s="72"/>
      <c r="CU379" s="71"/>
      <c r="CV379" s="72"/>
      <c r="CW379" s="71"/>
      <c r="CX379" s="72"/>
      <c r="CY379" s="71"/>
      <c r="CZ379" s="72"/>
      <c r="DA379" s="71"/>
      <c r="DB379" s="72"/>
      <c r="DC379" s="71"/>
      <c r="DD379" s="72"/>
      <c r="DE379" s="71"/>
      <c r="DF379" s="72"/>
      <c r="DG379" s="71"/>
      <c r="DH379" s="72"/>
      <c r="DI379" s="71"/>
      <c r="DJ379" s="72"/>
      <c r="DK379" s="71"/>
      <c r="DL379" s="72"/>
      <c r="DM379" s="71"/>
      <c r="DN379" s="72"/>
      <c r="DO379" s="71"/>
      <c r="DP379" s="72"/>
      <c r="DQ379" s="71"/>
      <c r="DR379" s="72"/>
      <c r="DS379" s="71"/>
      <c r="DT379" s="72"/>
      <c r="DU379" s="71"/>
      <c r="DV379" s="72"/>
      <c r="DW379" s="73"/>
      <c r="DX379" s="72"/>
      <c r="DY379" s="73"/>
      <c r="DZ379" s="72"/>
      <c r="EA379" s="73"/>
      <c r="EB379" s="72"/>
      <c r="EC379" s="73"/>
      <c r="ED379" s="72"/>
      <c r="EE379" s="73"/>
      <c r="EF379" s="72"/>
      <c r="EG379" s="73"/>
      <c r="EH379" s="72"/>
      <c r="EI379" s="73"/>
      <c r="EJ379" s="72"/>
      <c r="EK379" s="73"/>
      <c r="EL379" s="72"/>
      <c r="EM379" s="73"/>
      <c r="EN379" s="72"/>
      <c r="EO379" s="73"/>
      <c r="EP379" s="72"/>
      <c r="EQ379" s="73"/>
      <c r="ER379" s="72"/>
      <c r="ES379" s="73"/>
      <c r="ET379" s="72"/>
      <c r="EU379" s="73"/>
      <c r="EV379" s="72"/>
      <c r="EW379" s="73"/>
      <c r="EX379" s="72"/>
      <c r="EY379" s="72"/>
      <c r="EZ379" s="306"/>
      <c r="FA379" s="72"/>
      <c r="FB379" s="71"/>
      <c r="FC379" s="72"/>
      <c r="FD379" s="71"/>
      <c r="FE379" s="72"/>
      <c r="FF379" s="71"/>
      <c r="FG379" s="72"/>
      <c r="FH379" s="71"/>
      <c r="FI379" s="72"/>
      <c r="FJ379" s="71"/>
      <c r="FK379" s="72"/>
      <c r="FL379" s="71"/>
      <c r="FM379" s="72"/>
      <c r="FN379" s="71"/>
      <c r="FO379" s="72"/>
      <c r="FP379" s="71"/>
      <c r="FQ379" s="72"/>
      <c r="FR379" s="73"/>
      <c r="FS379" s="72"/>
      <c r="FT379" s="73"/>
      <c r="FU379" s="72"/>
      <c r="FV379" s="73"/>
      <c r="FW379" s="72"/>
      <c r="FX379" s="73"/>
      <c r="FY379" s="72"/>
      <c r="FZ379" s="73"/>
      <c r="GA379" s="72"/>
      <c r="GB379" s="73"/>
      <c r="GC379" s="72"/>
      <c r="GD379" s="73"/>
      <c r="GE379" s="72"/>
      <c r="GF379" s="73"/>
      <c r="GG379" s="72"/>
      <c r="GH379" s="73"/>
      <c r="GI379" s="72"/>
      <c r="GJ379" s="73"/>
      <c r="GK379" s="72"/>
      <c r="GL379" s="73"/>
      <c r="GM379" s="72"/>
      <c r="GN379" s="73"/>
      <c r="GO379" s="72"/>
      <c r="GP379" s="73"/>
      <c r="GQ379" s="72"/>
      <c r="GR379" s="73"/>
      <c r="GS379" s="72"/>
      <c r="GT379" s="73"/>
      <c r="GU379" s="72"/>
      <c r="GV379" s="73"/>
      <c r="GW379" s="72"/>
      <c r="GX379" s="73"/>
      <c r="GY379" s="72"/>
      <c r="GZ379" s="72" t="str">
        <f t="shared" si="1954"/>
        <v>NA</v>
      </c>
      <c r="HA379" s="72"/>
      <c r="HB379" s="72"/>
      <c r="HC379"/>
      <c r="HD379"/>
      <c r="HE379"/>
      <c r="HF379"/>
      <c r="HG379"/>
      <c r="HH379"/>
      <c r="HI379" s="2"/>
    </row>
    <row r="380" spans="1:217" s="3" customFormat="1" ht="12.75" customHeight="1" x14ac:dyDescent="0.2">
      <c r="B380" s="77" t="s">
        <v>446</v>
      </c>
      <c r="C380" s="105">
        <f>C373/C367*100</f>
        <v>72.389791183294662</v>
      </c>
      <c r="D380" s="72"/>
      <c r="E380" s="105">
        <f>E373/E367*100</f>
        <v>70.047169811320757</v>
      </c>
      <c r="F380" s="72"/>
      <c r="G380" s="105">
        <f>G373/G367*100</f>
        <v>73.766816143497763</v>
      </c>
      <c r="H380" s="72"/>
      <c r="I380" s="105">
        <f>I373/I367*100</f>
        <v>69.42675159235668</v>
      </c>
      <c r="J380" s="72"/>
      <c r="K380" s="105">
        <f>K373/K367*100</f>
        <v>70.502092050209214</v>
      </c>
      <c r="L380" s="72">
        <f>IF(ISERROR(K380/C380),"NA",IF(OR(K380/C380&gt;2,K380/C380&lt;0.5),"NM",K380/C380*100-100))</f>
        <v>-2.6076869434609904</v>
      </c>
      <c r="M380" s="105">
        <f>M373/M367*100</f>
        <v>73.101952277657261</v>
      </c>
      <c r="N380" s="72">
        <f>IF(ISERROR(M380/E380),"NA",IF(OR(M380/E380&gt;2,M380/E380&lt;0.5),"NM",M380/E380*100-100))</f>
        <v>4.3610362482379799</v>
      </c>
      <c r="O380" s="105">
        <f>O373/O367*100</f>
        <v>71.428571428571431</v>
      </c>
      <c r="P380" s="72">
        <f>IF(ISERROR(O380/G380),"NA",IF(OR(O380/G380&gt;2,O380/G380&lt;0.5),"NM",O380/G380*100-100))</f>
        <v>-3.169778549717762</v>
      </c>
      <c r="Q380" s="105">
        <f>Q373/Q367*100</f>
        <v>71.09375</v>
      </c>
      <c r="R380" s="72">
        <f>IF(ISERROR(Q380/I380),"NA",IF(OR(Q380/I380&gt;2,Q380/I380&lt;0.5),"NM",Q380/I380*100-100))</f>
        <v>2.4010894495412884</v>
      </c>
      <c r="S380" s="105">
        <f>S373/S367*100</f>
        <v>69.126213592233015</v>
      </c>
      <c r="T380" s="72">
        <f>IF(ISERROR(S380/K380),"NA",IF(OR(S380/K380&gt;2,S380/K380&lt;0.5),"NM",S380/K380*100-100))</f>
        <v>-1.9515427386131279</v>
      </c>
      <c r="U380" s="105">
        <f>U373/U367*100</f>
        <v>72.48062015503875</v>
      </c>
      <c r="V380" s="72">
        <f>IF(ISERROR(U380/M380),"NA",IF(OR(U380/M380&gt;2,U380/M380&lt;0.5),"NM",U380/M380*100-100))</f>
        <v>-0.84995284429416529</v>
      </c>
      <c r="W380" s="105">
        <f>W373/W367*100</f>
        <v>70.466321243523311</v>
      </c>
      <c r="X380" s="72">
        <f>IF(ISERROR(W380/O380),"NA",IF(OR(W380/O380&gt;2,W380/O380&lt;0.5),"NM",W380/O380*100-100))</f>
        <v>-1.3471502590673623</v>
      </c>
      <c r="Y380" s="105">
        <f>Y373/Y367*100</f>
        <v>70.567986230636834</v>
      </c>
      <c r="Z380" s="72">
        <f>IF(ISERROR(Y380/Q380),"NA",IF(OR(Y380/Q380&gt;2,Y380/Q380&lt;0.5),"NM",Y380/Q380*100-100))</f>
        <v>-0.73953585141191525</v>
      </c>
      <c r="AA380" s="105">
        <f>AA373/AA367*100</f>
        <v>71.927162367223062</v>
      </c>
      <c r="AB380" s="72">
        <f>IF(ISERROR(AA380/S380),"NA",IF(OR(AA380/S380&gt;2,AA380/S380&lt;0.5),"NM",AA380/S380*100-100))</f>
        <v>4.0519343233704319</v>
      </c>
      <c r="AC380" s="105">
        <f>AC373/AC367*100</f>
        <v>71.023622047244089</v>
      </c>
      <c r="AD380" s="72">
        <f>IF(ISERROR(AC380/U380),"NA",IF(OR(AC380/U380&gt;2,AC380/U380&lt;0.5),"NM",AC380/U380*100-100))</f>
        <v>-2.0101899027327335</v>
      </c>
      <c r="AE380" s="105">
        <f>AE373/AE367*100</f>
        <v>68.866571018651371</v>
      </c>
      <c r="AF380" s="72">
        <f>IF(ISERROR(AE380/W380),"NA",IF(OR(AE380/W380&gt;2,AE380/W380&lt;0.5),"NM",AE380/W380*100-100))</f>
        <v>-2.2702337750020973</v>
      </c>
      <c r="AG380" s="105">
        <f>AG373/AG367*100</f>
        <v>70.410958904109592</v>
      </c>
      <c r="AH380" s="72">
        <f>IF(ISERROR(AG380/Y380),"NA",IF(OR(AG380/Y380&gt;2,AG380/Y380&lt;0.5),"NM",AG380/Y380*100-100))</f>
        <v>-0.22251921149347709</v>
      </c>
      <c r="AI380" s="105">
        <f>AI373/AI367*100</f>
        <v>73.846153846153854</v>
      </c>
      <c r="AJ380" s="72">
        <f>IF(ISERROR(AI380/AA380),"NA",IF(OR(AI380/AA380&gt;2,AI380/AA380&lt;0.5),"NM",AI380/AA380*100-100))</f>
        <v>2.6679649464459629</v>
      </c>
      <c r="AK380" s="105">
        <f>AK373/AK367*100</f>
        <v>73.852573018080676</v>
      </c>
      <c r="AL380" s="72">
        <f>IF(ISERROR(AK380/AC380),"NA",IF(OR(AK380/AC380&gt;2,AK380/AC380&lt;0.5),"NM",AK380/AC380*100-100))</f>
        <v>3.9831127859894337</v>
      </c>
      <c r="AM380" s="105">
        <f>AM373/AM367*100</f>
        <v>70.963541666666657</v>
      </c>
      <c r="AN380" s="72">
        <f>IF(ISERROR(AM380/AE380),"NA",IF(OR(AM380/AE380&gt;2,AM380/AE380&lt;0.5),"NM",AM380/AE380*100-100))</f>
        <v>3.0449761284721859</v>
      </c>
      <c r="AO380" s="105">
        <f>AO373/AO367*100</f>
        <v>71.597633136094672</v>
      </c>
      <c r="AP380" s="72">
        <f>IF(ISERROR(AO380/AG380),"NA",IF(OR(AO380/AG380&gt;2,AO380/AG380&lt;0.5),"NM",AO380/AG380*100-100))</f>
        <v>1.6853544539865908</v>
      </c>
      <c r="AQ380" s="105">
        <f>AQ373/AQ367*100</f>
        <v>75.712881022615548</v>
      </c>
      <c r="AR380" s="72">
        <f>IF(ISERROR(AQ380/AI380),"NA",IF(OR(AQ380/AI380&gt;2,AQ380/AI380&lt;0.5),"NM",AQ380/AI380*100-100))</f>
        <v>2.5278597181252138</v>
      </c>
      <c r="AS380" s="105">
        <f>AS373/AS367*100</f>
        <v>71.682340647857885</v>
      </c>
      <c r="AT380" s="72">
        <f>IF(ISERROR(AS380/AK380),"NA",IF(OR(AS380/AK380&gt;2,AS380/AK380&lt;0.5),"NM",AS380/AK380*100-100))</f>
        <v>-2.938600893013529</v>
      </c>
      <c r="AU380" s="105">
        <f>AU373/AU367*100</f>
        <v>70.991561181434605</v>
      </c>
      <c r="AV380" s="72">
        <f>IF(ISERROR(AU380/AM380),"NA",IF(OR(AU380/AM380&gt;2,AU380/AM380&lt;0.5),"NM",AU380/AM380*100-100))</f>
        <v>3.9484380443639111E-2</v>
      </c>
      <c r="AW380" s="105">
        <f>AW373/AW367*100</f>
        <v>75.695931477516069</v>
      </c>
      <c r="AX380" s="72">
        <f>IF(ISERROR(AW380/AO380),"NA",IF(OR(AW380/AO380&gt;2,AW380/AO380&lt;0.5),"NM",AW380/AO380*100-100))</f>
        <v>5.7240695842993148</v>
      </c>
      <c r="AY380" s="105">
        <f>AY373/AY367*100</f>
        <v>73.447946513849089</v>
      </c>
      <c r="AZ380" s="72">
        <f>IF(ISERROR(AY380/AQ380),"NA",IF(OR(AY380/AQ380&gt;2,AY380/AQ380&lt;0.5),"NM",AY380/AQ380*100-100))</f>
        <v>-2.9914784356045345</v>
      </c>
      <c r="BA380" s="105">
        <f>BA373/BA367*100</f>
        <v>72.373540856031127</v>
      </c>
      <c r="BB380" s="72">
        <f>IF(ISERROR(BA380/AS380),"NA",IF(OR(BA380/AS380&gt;2,BA380/AS380&lt;0.5),"NM",BA380/AS380*100-100))</f>
        <v>0.96425451781603044</v>
      </c>
      <c r="BC380" s="105">
        <f>BC373/BC367*100</f>
        <v>72.003929273084481</v>
      </c>
      <c r="BD380" s="72">
        <f>IF(ISERROR(BC380/AU380),"NA",IF(OR(BC380/AU380&gt;2,BC380/AU380&lt;0.5),"NM",BC380/AU380*100-100))</f>
        <v>1.4260400458901756</v>
      </c>
      <c r="BE380" s="105">
        <f>BE373/BE367*100</f>
        <v>73.971291866028707</v>
      </c>
      <c r="BF380" s="72">
        <f>IF(ISERROR(BE380/AW380),"NA",IF(OR(BE380/AW380&gt;2,BE380/AW380&lt;0.5),"NM",BE380/AW380*100-100))</f>
        <v>-2.2783782137612292</v>
      </c>
      <c r="BG380" s="105">
        <f>BG373/BG367*100</f>
        <v>74.255691768826608</v>
      </c>
      <c r="BH380" s="72">
        <f>IF(ISERROR(BG380/AY380),"NA",IF(OR(BG380/AY380&gt;2,BG380/AY380&lt;0.5),"NM",BG380/AY380*100-100))</f>
        <v>1.0997519921475316</v>
      </c>
      <c r="BI380" s="105">
        <f>BI373/BI367*100</f>
        <v>74.653098982423685</v>
      </c>
      <c r="BJ380" s="72">
        <f>IF(ISERROR(BI380/BA380),"NA",IF(OR(BI380/BA380&gt;2,BI380/BA380&lt;0.5),"NM",BI380/BA380*100-100))</f>
        <v>3.1497120348542325</v>
      </c>
      <c r="BK380" s="105">
        <f>BK373/BK367*100</f>
        <v>74.865831842576029</v>
      </c>
      <c r="BL380" s="72">
        <f>IF(ISERROR(BK380/BC380),"NA",IF(OR(BK380/BC380&gt;2,BK380/BC380&lt;0.5),"NM",BK380/BC380*100-100))</f>
        <v>3.9746477704534584</v>
      </c>
      <c r="BM380" s="105">
        <f>BM373/BM367*100</f>
        <v>76.738197424892704</v>
      </c>
      <c r="BN380" s="72">
        <f>IF(ISERROR(BM380/BE380),"NA",IF(OR(BM380/BE380&gt;2,BM380/BE380&lt;0.5),"NM",BM380/BE380*100-100))</f>
        <v>3.7405126895380079</v>
      </c>
      <c r="BO380" s="105">
        <f>BO373/BO367*100</f>
        <v>75.150150150150154</v>
      </c>
      <c r="BP380" s="72">
        <f>IF(ISERROR(BO380/BG380),"NA",IF(OR(BO380/BG380&gt;2,BO380/BG380&lt;0.5),"NM",BO380/BG380*100-100))</f>
        <v>1.2045654144710909</v>
      </c>
      <c r="BQ380" s="105">
        <f>BQ373/BQ367*100</f>
        <v>74.775510204081627</v>
      </c>
      <c r="BR380" s="72">
        <f>IF(ISERROR(BQ380/BI380),"NA",IF(OR(BQ380/BI380&gt;2,BQ380/BI380&lt;0.5),"NM",BQ380/BI380*100-100))</f>
        <v>0.16397339604985461</v>
      </c>
      <c r="BS380" s="105">
        <f>BS373/BS367*100</f>
        <v>75.313807531380746</v>
      </c>
      <c r="BT380" s="72">
        <f>IF(ISERROR(BS380/BK380),"NA",IF(OR(BS380/BK380&gt;2,BS380/BK380&lt;0.5),"NM",BS380/BK380*100-100))</f>
        <v>0.59837135015969523</v>
      </c>
      <c r="BU380" s="105">
        <f>BU373/BU367*100</f>
        <v>74.93897477624084</v>
      </c>
      <c r="BV380" s="72">
        <f>IF(ISERROR(BU380/BM380),"NA",IF(OR(BU380/BM380&gt;2,BU380/BM380&lt;0.5),"NM",BU380/BM380*100-100))</f>
        <v>-2.3446245924825746</v>
      </c>
      <c r="BW380" s="105">
        <f>BW373/BW367*100</f>
        <v>74.688187820983117</v>
      </c>
      <c r="BX380" s="72">
        <f>IF(ISERROR(BW380/BO380),"NA",IF(OR(BW380/BO380&gt;2,BW380/BO380&lt;0.5),"NM",BW380/BO380*100-100))</f>
        <v>-0.61471910334715574</v>
      </c>
      <c r="BY380" s="105">
        <f>BY373/BY367*100</f>
        <v>70.810385523210073</v>
      </c>
      <c r="BZ380" s="72">
        <f>IF(ISERROR(BY380/BQ380),"NA",IF(OR(BY380/BQ380&gt;2,BY380/BQ380&lt;0.5),"NM",BY380/BQ380*100-100))</f>
        <v>-5.3027049498555243</v>
      </c>
      <c r="CA380" s="105">
        <f>CA373/CA367*100</f>
        <v>74.443591711435147</v>
      </c>
      <c r="CB380" s="72">
        <f>IF(ISERROR(CA380/BS380),"NA",IF(OR(CA380/BS380&gt;2,CA380/BS380&lt;0.5),"NM",CA380/BS380*100-100))</f>
        <v>-1.1554532275944354</v>
      </c>
      <c r="CC380" s="105">
        <f>CC373/CC367*100</f>
        <v>73.619186046511629</v>
      </c>
      <c r="CD380" s="72">
        <f>IF(ISERROR(CC380/BU380),"NA",IF(OR(CC380/BU380&gt;2,CC380/BU380&lt;0.5),"NM",CC380/BU380*100-100))</f>
        <v>-1.7611513016690594</v>
      </c>
      <c r="CE380" s="105">
        <f>CE373/CE367*100</f>
        <v>76.563528637261356</v>
      </c>
      <c r="CF380" s="72">
        <f>IF(ISERROR(CE380/BW380),"NA",IF(OR(CE380/BW380&gt;2,CE380/BW380&lt;0.5),"NM",CE380/BW380*100-100))</f>
        <v>2.5108934504786333</v>
      </c>
      <c r="CG380" s="105">
        <f>CG373/CG367*100</f>
        <v>77.089337175792508</v>
      </c>
      <c r="CH380" s="72">
        <f>IF(ISERROR(CG380/BY380),"NA",IF(OR(CG380/BY380&gt;2,CG380/BY380&lt;0.5),"NM",CG380/BY380*100-100))</f>
        <v>8.8672750560358651</v>
      </c>
      <c r="CI380" s="105">
        <f>CI373/CI367*100</f>
        <v>77.026121902210306</v>
      </c>
      <c r="CJ380" s="72">
        <f>IF(ISERROR(CI380/CA380),"NA",IF(OR(CI380/CA380&gt;2,CI380/CA380&lt;0.5),"NM",CI380/CA380*100-100))</f>
        <v>3.4691101428660147</v>
      </c>
      <c r="CK380" s="105">
        <f>CK373/CK367*100</f>
        <v>76.986649713922446</v>
      </c>
      <c r="CL380" s="72">
        <f>IF(ISERROR(CK380/CC380),"NA",IF(OR(CK380/CC380&gt;2,CK380/CC380&lt;0.5),"NM",CK380/CC380*100-100))</f>
        <v>4.5741658503033449</v>
      </c>
      <c r="CM380" s="105">
        <f>CM373/CM367*100</f>
        <v>79.598853868194837</v>
      </c>
      <c r="CN380" s="72">
        <f>IF(ISERROR(CM380/CE380),"NA",IF(OR(CM380/CE380&gt;2,CM380/CE380&lt;0.5),"NM",CM380/CE380*100-100))</f>
        <v>3.9644531606087412</v>
      </c>
      <c r="CO380" s="105">
        <f>CO373/CO367*100</f>
        <v>76.66874610106052</v>
      </c>
      <c r="CP380" s="72">
        <f>IF(ISERROR(CO380/CG380),"NA",IF(OR(CO380/CG380&gt;2,CO380/CG380&lt;0.5),"NM",CO380/CG380*100-100))</f>
        <v>-0.54558916983926053</v>
      </c>
      <c r="CQ380" s="105">
        <f>CQ373/CQ367*100</f>
        <v>77.485380116959064</v>
      </c>
      <c r="CR380" s="72">
        <f>IF(ISERROR(CQ380/CI380),"NA",IF(OR(CQ380/CI380&gt;2,CQ380/CI380&lt;0.5),"NM",CQ380/CI380*100-100))</f>
        <v>0.59623696923469538</v>
      </c>
      <c r="CS380" s="105">
        <f>CS373/CS367*100</f>
        <v>78.364269141531324</v>
      </c>
      <c r="CT380" s="72">
        <f>IF(ISERROR(CS380/CK380),"NA",IF(OR(CS380/CK380&gt;2,CS380/CK380&lt;0.5),"NM",CS380/CK380*100-100))</f>
        <v>1.7894263911055077</v>
      </c>
      <c r="CU380" s="105">
        <f>CU373/CU367*100</f>
        <v>77.604166666666657</v>
      </c>
      <c r="CV380" s="95">
        <f>IF(ISERROR(CU380/CM380),"NA",IF(OR(CU380/CM380&gt;2,CU380/CM380&lt;0.5),"NM",CU380/CM380*100-100))</f>
        <v>-2.5059245260379157</v>
      </c>
      <c r="CW380" s="105">
        <f>CW373/CW367*100</f>
        <v>78.587443946188344</v>
      </c>
      <c r="CX380" s="95">
        <f>IF(ISERROR(CW380/CO380),"NA",IF(OR(CW380/CO380&gt;2,CW380/CO380&lt;0.5),"NM",CW380/CO380*100-100))</f>
        <v>2.5025814855491433</v>
      </c>
      <c r="CY380" s="105">
        <f>CY373/CY367*100</f>
        <v>79.337016574585633</v>
      </c>
      <c r="CZ380" s="95">
        <f>IF(ISERROR(CY380/CQ380),"NA",IF(OR(CY380/CQ380&gt;2,CY380/CQ380&lt;0.5),"NM",CY380/CQ380*100-100))</f>
        <v>2.3896591264463751</v>
      </c>
      <c r="DA380" s="105">
        <f>DA373/DA367*100</f>
        <v>80.470459518599554</v>
      </c>
      <c r="DB380" s="72">
        <f>IF(ISERROR(DA380/CS380),"NA",IF(OR(DA380/CS380&gt;2,DA380/CS380&lt;0.5),"NM",DA380/CS380*100-100))</f>
        <v>2.687692235429779</v>
      </c>
      <c r="DC380" s="105">
        <f>DC373/DC367*100</f>
        <v>80.353535353535349</v>
      </c>
      <c r="DD380" s="72">
        <f>IF(ISERROR(DC380/CU380),"NA",IF(OR(DC380/CU380&gt;2,DC380/CU380&lt;0.5),"NM",DC380/CU380*100-100))</f>
        <v>3.5428106569046207</v>
      </c>
      <c r="DE380" s="105">
        <f>DE373/DE367*100</f>
        <v>80.854800936768143</v>
      </c>
      <c r="DF380" s="72">
        <f>IF(ISERROR(DE380/CW380),"NA",IF(OR(DE380/CW380&gt;2,DE380/CW380&lt;0.5),"NM",DE380/CW380*100-100))</f>
        <v>2.8851389951457804</v>
      </c>
      <c r="DG380" s="105">
        <f>DG373/DG367*100</f>
        <v>80.519480519480524</v>
      </c>
      <c r="DH380" s="72">
        <f>IF(ISERROR(DG380/CY380),"NA",IF(OR(DG380/CY380&gt;2,DG380/CY380&lt;0.5),"NM",DG380/CY380*100-100))</f>
        <v>1.4904315739970428</v>
      </c>
      <c r="DI380" s="105">
        <f>DI373/DI367*100</f>
        <v>85.089234312032232</v>
      </c>
      <c r="DJ380" s="72">
        <f>IF(ISERROR(DI380/DA380),"NA",IF(OR(DI380/DA380&gt;2,DI380/DA380&lt;0.5),"NM",DI380/DA380*100-100))</f>
        <v>5.7397146991128096</v>
      </c>
      <c r="DK380" s="105">
        <f>DK373/DK367*100</f>
        <v>82.886075949367083</v>
      </c>
      <c r="DL380" s="72">
        <f>IF(ISERROR(DK380/DC380),"NA",IF(OR(DK380/DC380&gt;2,DK380/DC380&lt;0.5),"NM",DK380/DC380*100-100))</f>
        <v>3.1517475674084352</v>
      </c>
      <c r="DM380" s="105">
        <f>DM373/DM367*100</f>
        <v>82.08450704225352</v>
      </c>
      <c r="DN380" s="72">
        <f t="shared" ref="DN380:DZ381" si="2058">IF(ISERROR(DM380/DE380),"NA",IF(OR(DM380/DE380&gt;2,DM380/DE380&lt;0.5),"NM",DM380/DE380*100-100))</f>
        <v>1.5208819899848152</v>
      </c>
      <c r="DO380" s="105">
        <f>DO373/DO367*100</f>
        <v>83.483146067415731</v>
      </c>
      <c r="DP380" s="72">
        <f t="shared" si="2058"/>
        <v>3.6806814063066184</v>
      </c>
      <c r="DQ380" s="105">
        <f>DQ373/DQ367*100</f>
        <v>83.082271147161066</v>
      </c>
      <c r="DR380" s="72">
        <f t="shared" si="2058"/>
        <v>-2.3586569806368232</v>
      </c>
      <c r="DS380" s="105">
        <f>DS373/DS367*100</f>
        <v>82.994261867501308</v>
      </c>
      <c r="DT380" s="72">
        <f t="shared" si="2058"/>
        <v>0.13052363366834641</v>
      </c>
      <c r="DU380" s="105">
        <f>DU373/DU367*100</f>
        <v>84.696261682242991</v>
      </c>
      <c r="DV380" s="72">
        <f t="shared" si="2058"/>
        <v>3.1817875675918401</v>
      </c>
      <c r="DW380" s="105">
        <f>DW373/DW367*100</f>
        <v>83.56481481481481</v>
      </c>
      <c r="DX380" s="72">
        <f t="shared" si="2058"/>
        <v>9.7826628782215153E-2</v>
      </c>
      <c r="DY380" s="105">
        <f>DY373/DY367*100</f>
        <v>84.67836257309942</v>
      </c>
      <c r="DZ380" s="72">
        <f t="shared" si="2058"/>
        <v>1.9210974903553648</v>
      </c>
      <c r="EA380" s="105">
        <f>EA373/EA367*100</f>
        <v>84.104330708661408</v>
      </c>
      <c r="EB380" s="727">
        <f>IF(ISERROR(EA380/DS380),"NA",IF(OR(EA380/DS380&gt;2,EA380/DS380&lt;0.5),"NM",EA380/DS380*100-100))</f>
        <v>1.3375248073563171</v>
      </c>
      <c r="EC380" s="105">
        <f>EC373/EC367*100</f>
        <v>86.57824933687003</v>
      </c>
      <c r="ED380" s="727">
        <f>IF(ISERROR(EC380/DU380),"NA",IF(OR(EC380/DU380&gt;2,EC380/DU380&lt;0.5),"NM",EC380/DU380*100-100))</f>
        <v>2.2220433549803289</v>
      </c>
      <c r="EE380" s="105">
        <f>EE373/EE367*100</f>
        <v>83.779686710459828</v>
      </c>
      <c r="EF380" s="727">
        <f>IF(ISERROR(EE380/DW380),"NA",IF(OR(EE380/DW380&gt;2,EE380/DW380&lt;0.5),"NM",EE380/DW380*100-100))</f>
        <v>0.25713201916524042</v>
      </c>
      <c r="EG380" s="105">
        <f>EG373/EG367*100</f>
        <v>83.70640291514836</v>
      </c>
      <c r="EH380" s="72">
        <f>IF(ISERROR(EG380/DY380),"NA",IF(OR(EG380/DY380&gt;2,EG380/DY380&lt;0.5),"NM",EG380/DY380*100-100))</f>
        <v>-1.14782528666872</v>
      </c>
      <c r="EI380" s="105">
        <f>EI373/EI367*100</f>
        <v>84.358047016274867</v>
      </c>
      <c r="EJ380" s="72">
        <f>IF(ISERROR(EI380/EA380),"NA",IF(OR(EI380/EA380&gt;2,EI380/EA380&lt;0.5),"NM",EI380/EA380*100-100))</f>
        <v>0.30166854129348053</v>
      </c>
      <c r="EK380" s="105">
        <f>EK373/EK367*100</f>
        <v>85.124378109452735</v>
      </c>
      <c r="EL380" s="72">
        <f>IF(ISERROR(EK380/EC380),"NA",IF(OR(EK380/EC380&gt;2,EK380/EC380&lt;0.5),"NM",EK380/EC380*100-100))</f>
        <v>-1.6792569017656973</v>
      </c>
      <c r="EM380" s="105">
        <f>EM373/EM367*100</f>
        <v>83.793103448275858</v>
      </c>
      <c r="EN380" s="72">
        <f>IF(ISERROR(EM380/EE380),"NA",IF(OR(EM380/EE380&gt;2,EM380/EE380&lt;0.5),"NM",EM380/EE380*100-100))</f>
        <v>1.6014308888983919E-2</v>
      </c>
      <c r="EO380" s="105">
        <f>EO373/EO367*100</f>
        <v>84.596695821185619</v>
      </c>
      <c r="EP380" s="72">
        <f>IF(ISERROR(EO380/EG380),"NA",IF(OR(EO380/EG380&gt;2,EO380/EG380&lt;0.5),"NM",EO380/EG380*100-100))</f>
        <v>1.0635899704587075</v>
      </c>
      <c r="EQ380" s="104">
        <v>84</v>
      </c>
      <c r="ER380" s="72">
        <f t="shared" ref="ER380:ER381" si="2059">IF(ISERROR(EQ380/EI380),"NA",IF(OR(EQ380/EI380&gt;2,EQ380/EI380&lt;0.5),"NM",EQ380/EI380*100-100))</f>
        <v>-0.4244372990353753</v>
      </c>
      <c r="ES380" s="104">
        <v>84.5</v>
      </c>
      <c r="ET380" s="72">
        <f t="shared" ref="ET380:ET381" si="2060">IF(ISERROR(ES380/EK380),"NA",IF(OR(ES380/EK380&gt;2,ES380/EK380&lt;0.5),"NM",ES380/EK380*100-100))</f>
        <v>-0.73348918760957815</v>
      </c>
      <c r="EU380" s="104">
        <v>84.2</v>
      </c>
      <c r="EV380" s="72">
        <f t="shared" ref="EV380:EV381" si="2061">IF(ISERROR(EU380/EM380),"NA",IF(OR(EU380/EM380&gt;2,EU380/EM380&lt;0.5),"NM",EU380/EM380*100-100))</f>
        <v>0.48559670781894226</v>
      </c>
      <c r="EW380" s="104">
        <v>84.2</v>
      </c>
      <c r="EX380" s="72">
        <f t="shared" ref="EX380:EX381" si="2062">IF(ISERROR(EW380/EO380),"NA",IF(OR(EW380/EO380&gt;2,EW380/EO380&lt;0.5),"NM",EW380/EO380*100-100))</f>
        <v>-0.46892590465249384</v>
      </c>
      <c r="EY380" s="72"/>
      <c r="EZ380" s="306"/>
      <c r="FA380" s="72"/>
      <c r="FB380" s="106">
        <f>FB373/FB367*100</f>
        <v>73.465346534653463</v>
      </c>
      <c r="FC380" s="72"/>
      <c r="FD380" s="106">
        <f>FD373/FD367*100</f>
        <v>72.50351617440225</v>
      </c>
      <c r="FE380" s="72">
        <f>IF(ISERROR(FD380/FB380),"NA",IF(OR(FD380/FB380&gt;2,FD380/FB380&lt;0.5),"NM",FD380/FB380*100-100))</f>
        <v>-1.3092300051936974</v>
      </c>
      <c r="FF380" s="106">
        <f>FF373/FF367*100</f>
        <v>71.388261851015798</v>
      </c>
      <c r="FG380" s="72">
        <f>IF(ISERROR(FF380/FD380),"NA",IF(OR(FF380/FD380&gt;2,FF380/FD380&lt;0.5),"NM",FF380/FD380*100-100))</f>
        <v>-1.5382072239141849</v>
      </c>
      <c r="FH380" s="106">
        <f>FH373/FH367*100</f>
        <v>71.509824198552224</v>
      </c>
      <c r="FI380" s="72">
        <f>IF(ISERROR(FH380/FF380),"NA",IF(OR(FH380/FF380&gt;2,FH380/FF380&lt;0.5),"NM",FH380/FF380*100-100))</f>
        <v>0.17028338326841208</v>
      </c>
      <c r="FJ380" s="106">
        <f>FJ373/FJ367*100</f>
        <v>70.652670013692372</v>
      </c>
      <c r="FK380" s="72">
        <f>IF(ISERROR(FJ380/FH380),"NA",IF(OR(FJ380/FH380&gt;2,FJ380/FH380&lt;0.5),"NM",FJ380/FH380*100-100))</f>
        <v>-1.1986523452776225</v>
      </c>
      <c r="FL380" s="105">
        <f>FL373/FL367*100</f>
        <v>70.525542080117603</v>
      </c>
      <c r="FM380" s="72">
        <f>IF(ISERROR(FL380/FJ380),"NA",IF(OR(FL380/FJ380&gt;2,FL380/FJ380&lt;0.5),"NM",FL380/FJ380*100-100))</f>
        <v>-0.17993365792139571</v>
      </c>
      <c r="FN380" s="105">
        <f>FN373/FN367*100</f>
        <v>72.525706940874031</v>
      </c>
      <c r="FO380" s="72">
        <f>IF(ISERROR(FN380/FL380),"NA",IF(OR(FN380/FL380&gt;2,FN380/FL380&lt;0.5),"NM",FN380/FL380*100-100))</f>
        <v>2.8360857666067005</v>
      </c>
      <c r="FP380" s="105">
        <f>FP373/FP367*100</f>
        <v>73.547717842323664</v>
      </c>
      <c r="FQ380" s="72">
        <f>IF(ISERROR(FP380/FN380),"NA",IF(OR(FP380/FN380&gt;2,FP380/FN380&lt;0.5),"NM",FP380/FN380*100-100))</f>
        <v>1.409170547324436</v>
      </c>
      <c r="FR380" s="105">
        <f>FR373/FR367*100</f>
        <v>72.957950700821655</v>
      </c>
      <c r="FS380" s="72">
        <f>IF(ISERROR(FR380/FP380),"NA",IF(OR(FR380/FP380&gt;2,FR380/FP380&lt;0.5),"NM",FR380/FP380*100-100))</f>
        <v>-0.80188367335392741</v>
      </c>
      <c r="FT380" s="105">
        <f>FT373/FT367*100</f>
        <v>75.144252108300051</v>
      </c>
      <c r="FU380" s="72">
        <f>IF(ISERROR(FT380/FR380),"NA",IF(OR(FT380/FR380&gt;2,FT380/FR380&lt;0.5),"NM",FT380/FR380*100-100))</f>
        <v>2.9966595641423055</v>
      </c>
      <c r="FV380" s="105">
        <f>FV373/FV367*100</f>
        <v>75.165895837522626</v>
      </c>
      <c r="FW380" s="72">
        <f>IF(ISERROR(FV380/FT380),"NA",IF(OR(FV380/FT380&gt;2,FV380/FT380&lt;0.5),"NM",FV380/FT380*100-100))</f>
        <v>2.8802907228865138E-2</v>
      </c>
      <c r="FX380" s="105">
        <f>FX373/FX367*100</f>
        <v>74.022770398481981</v>
      </c>
      <c r="FY380" s="72">
        <f>IF(ISERROR(FX380/FV380),"NA",IF(OR(FX380/FV380&gt;2,FX380/FV380&lt;0.5),"NM",FX380/FV380*100-100))</f>
        <v>-1.5208033195155508</v>
      </c>
      <c r="FZ380" s="105">
        <f>FZ373/FZ367*100</f>
        <v>76.912774150343211</v>
      </c>
      <c r="GA380" s="72">
        <f>IF(ISERROR(FZ380/FX380),"NA",IF(OR(FZ380/FX380&gt;2,FZ380/FX380&lt;0.5),"NM",FZ380/FX380*100-100))</f>
        <v>3.9042091187666301</v>
      </c>
      <c r="GB380" s="105">
        <f>GB373/GB367*100</f>
        <v>78.059569448540259</v>
      </c>
      <c r="GC380" s="72">
        <f>IF(ISERROR(GB380/FZ380),"NA",IF(OR(GB380/FZ380&gt;2,GB380/FZ380&lt;0.5),"NM",GB380/FZ380*100-100))</f>
        <v>1.491033590799077</v>
      </c>
      <c r="GD380" s="105">
        <f>GD373/GD367*100</f>
        <v>78.983928084990467</v>
      </c>
      <c r="GE380" s="72">
        <f>IF(ISERROR(GD380/GB380),"NA",IF(OR(GD380/GB380&gt;2,GD380/GB380&lt;0.5),"NM",GD380/GB380*100-100))</f>
        <v>1.1841708108056821</v>
      </c>
      <c r="GF380" s="105">
        <f>GF373/GF367*100</f>
        <v>81.66877370417194</v>
      </c>
      <c r="GG380" s="72">
        <f>IF(ISERROR(GF380/GD380),"NA",IF(OR(GF380/GD380&gt;2,GF380/GD380&lt;0.5),"NM",GF380/GD380*100-100))</f>
        <v>3.3992303045404952</v>
      </c>
      <c r="GH380" s="105">
        <f>GH373/GH367*100</f>
        <v>82.883131201764058</v>
      </c>
      <c r="GI380" s="72">
        <f t="shared" ref="GI380:GU381" si="2063">IF(ISERROR(GH380/GF380),"NA",IF(OR(GH380/GF380&gt;2,GH380/GF380&lt;0.5),"NM",GH380/GF380*100-100))</f>
        <v>1.4869300009216175</v>
      </c>
      <c r="GJ380" s="105">
        <f>GJ373/GJ367*100</f>
        <v>83.953587094948361</v>
      </c>
      <c r="GK380" s="72">
        <f t="shared" si="2063"/>
        <v>1.291524436472443</v>
      </c>
      <c r="GL380" s="105">
        <f>GL373/GL367*100</f>
        <v>84.520915952411414</v>
      </c>
      <c r="GM380" s="72">
        <f t="shared" si="2063"/>
        <v>0.67576488044689142</v>
      </c>
      <c r="GN380" s="105">
        <f>GN373/GN367*100</f>
        <v>84.464500601684719</v>
      </c>
      <c r="GO380" s="72">
        <f t="shared" si="2063"/>
        <v>-6.6747206997206376E-2</v>
      </c>
      <c r="GP380" s="105">
        <f>GP373/GP367*100</f>
        <v>84.219326113116736</v>
      </c>
      <c r="GQ380" s="72">
        <f t="shared" si="2063"/>
        <v>-0.29026926912665374</v>
      </c>
      <c r="GR380" s="104">
        <f>GP380</f>
        <v>84.219326113116736</v>
      </c>
      <c r="GS380" s="72">
        <f t="shared" si="2063"/>
        <v>0</v>
      </c>
      <c r="GT380" s="104">
        <f>GR380</f>
        <v>84.219326113116736</v>
      </c>
      <c r="GU380" s="72">
        <f t="shared" si="2063"/>
        <v>0</v>
      </c>
      <c r="GV380" s="104">
        <f>GT380</f>
        <v>84.219326113116736</v>
      </c>
      <c r="GW380" s="72">
        <f>IF(ISERROR(GV380/GT380),"NA",IF(OR(GV380/GT380&gt;2,GV380/GT380&lt;0.5),"NM",GV380/GT380*100-100))</f>
        <v>0</v>
      </c>
      <c r="GX380" s="104">
        <f>GV380</f>
        <v>84.219326113116736</v>
      </c>
      <c r="GY380" s="72">
        <f>IF(ISERROR(GX380/GV380),"NA",IF(OR(GX380/GV380&gt;2,GX380/GV380&lt;0.5),"NM",GX380/GV380*100-100))</f>
        <v>0</v>
      </c>
      <c r="GZ380" s="72">
        <f t="shared" si="1954"/>
        <v>-5.8121376456865548E-2</v>
      </c>
      <c r="HA380" s="72"/>
      <c r="HB380" s="72"/>
      <c r="HC380"/>
      <c r="HD380"/>
      <c r="HE380"/>
      <c r="HF380"/>
      <c r="HG380"/>
      <c r="HH380"/>
      <c r="HI380" s="2"/>
    </row>
    <row r="381" spans="1:217" s="3" customFormat="1" ht="12.75" customHeight="1" x14ac:dyDescent="0.2">
      <c r="B381" s="76" t="s">
        <v>428</v>
      </c>
      <c r="C381" s="105">
        <f>C376/C370*100</f>
        <v>30.686695278969957</v>
      </c>
      <c r="D381" s="72"/>
      <c r="E381" s="105">
        <f>E376/E370*100</f>
        <v>31.877729257641924</v>
      </c>
      <c r="F381" s="72"/>
      <c r="G381" s="105">
        <f>G376/G370*100</f>
        <v>31.611570247933884</v>
      </c>
      <c r="H381" s="72"/>
      <c r="I381" s="105">
        <f>I376/I370*100</f>
        <v>33.0078125</v>
      </c>
      <c r="J381" s="72"/>
      <c r="K381" s="105">
        <f>K376/K370*100</f>
        <v>31.094049904030712</v>
      </c>
      <c r="L381" s="72">
        <f>IF(ISERROR(K381/C381),"NA",IF(OR(K381/C381&gt;2,K381/C381&lt;0.5),"NM",K381/C381*100-100))</f>
        <v>1.3274633236245705</v>
      </c>
      <c r="M381" s="105">
        <f>M376/M370*100</f>
        <v>33.003952569169961</v>
      </c>
      <c r="N381" s="72">
        <f>IF(ISERROR(M381/E381),"NA",IF(OR(M381/E381&gt;2,M381/E381&lt;0.5),"NM",M381/E381*100-100))</f>
        <v>3.5329471005468633</v>
      </c>
      <c r="O381" s="105">
        <f>O376/O370*100</f>
        <v>33.712121212121211</v>
      </c>
      <c r="P381" s="72">
        <f>IF(ISERROR(O381/G381),"NA",IF(OR(O381/G381&gt;2,O381/G381&lt;0.5),"NM",O381/G381*100-100))</f>
        <v>6.6448801742919414</v>
      </c>
      <c r="Q381" s="105">
        <f>Q376/Q370*100</f>
        <v>30.973451327433626</v>
      </c>
      <c r="R381" s="72">
        <f>IF(ISERROR(Q381/I381),"NA",IF(OR(Q381/I381&gt;2,Q381/I381&lt;0.5),"NM",Q381/I381*100-100))</f>
        <v>-6.1632717180709022</v>
      </c>
      <c r="S381" s="105">
        <f>S376/S370*100</f>
        <v>29.858657243816257</v>
      </c>
      <c r="T381" s="72">
        <f>IF(ISERROR(S381/K381),"NA",IF(OR(S381/K381&gt;2,S381/K381&lt;0.5),"NM",S381/K381*100-100))</f>
        <v>-3.9730838022946244</v>
      </c>
      <c r="U381" s="105">
        <f>U376/U370*100</f>
        <v>29.20353982300885</v>
      </c>
      <c r="V381" s="72">
        <f>IF(ISERROR(U381/M381),"NA",IF(OR(U381/M381&gt;2,U381/M381&lt;0.5),"NM",U381/M381*100-100))</f>
        <v>-11.51502305124265</v>
      </c>
      <c r="W381" s="105">
        <f>W376/W370*100</f>
        <v>29.581993569131832</v>
      </c>
      <c r="X381" s="72">
        <f>IF(ISERROR(W381/O381),"NA",IF(OR(W381/O381&gt;2,W381/O381&lt;0.5),"NM",W381/O381*100-100))</f>
        <v>-12.251165143249395</v>
      </c>
      <c r="Y381" s="105">
        <f>Y376/Y370*100</f>
        <v>28.913738019169326</v>
      </c>
      <c r="Z381" s="72">
        <f>IF(ISERROR(Y381/Q381),"NA",IF(OR(Y381/Q381&gt;2,Y381/Q381&lt;0.5),"NM",Y381/Q381*100-100))</f>
        <v>-6.6499315381104509</v>
      </c>
      <c r="AA381" s="105">
        <f>AA376/AA370*100</f>
        <v>27.298444130127297</v>
      </c>
      <c r="AB381" s="72">
        <f>IF(ISERROR(AA381/S381),"NA",IF(OR(AA381/S381&gt;2,AA381/S381&lt;0.5),"NM",AA381/S381*100-100))</f>
        <v>-8.5744415523547417</v>
      </c>
      <c r="AC381" s="105">
        <f>AC376/AC370*100</f>
        <v>26.705370101596515</v>
      </c>
      <c r="AD381" s="72">
        <f>IF(ISERROR(AC381/U381),"NA",IF(OR(AC381/U381&gt;2,AC381/U381&lt;0.5),"NM",AC381/U381*100-100))</f>
        <v>-8.5543387430179934</v>
      </c>
      <c r="AE381" s="105">
        <f>AE376/AE370*100</f>
        <v>28.000000000000004</v>
      </c>
      <c r="AF381" s="72">
        <f>IF(ISERROR(AE381/W381),"NA",IF(OR(AE381/W381&gt;2,AE381/W381&lt;0.5),"NM",AE381/W381*100-100))</f>
        <v>-5.347826086956502</v>
      </c>
      <c r="AG381" s="105">
        <f>AG376/AG370*100</f>
        <v>27.883396704689478</v>
      </c>
      <c r="AH381" s="72">
        <f>IF(ISERROR(AG381/Y381),"NA",IF(OR(AG381/Y381&gt;2,AG381/Y381&lt;0.5),"NM",AG381/Y381*100-100))</f>
        <v>-3.5635008998032305</v>
      </c>
      <c r="AI381" s="105">
        <f>AI376/AI370*100</f>
        <v>27.014218009478675</v>
      </c>
      <c r="AJ381" s="72">
        <f>IF(ISERROR(AI381/AA381),"NA",IF(OR(AI381/AA381&gt;2,AI381/AA381&lt;0.5),"NM",AI381/AA381*100-100))</f>
        <v>-1.0411806595781172</v>
      </c>
      <c r="AK381" s="105">
        <f>AK376/AK370*100</f>
        <v>26.408010012515643</v>
      </c>
      <c r="AL381" s="72">
        <f>IF(ISERROR(AK381/AC381),"NA",IF(OR(AK381/AC381&gt;2,AK381/AC381&lt;0.5),"NM",AK381/AC381*100-100))</f>
        <v>-1.1134842466126145</v>
      </c>
      <c r="AM381" s="105">
        <f>AM376/AM370*100</f>
        <v>27.014218009478675</v>
      </c>
      <c r="AN381" s="72">
        <f>IF(ISERROR(AM381/AE381),"NA",IF(OR(AM381/AE381&gt;2,AM381/AE381&lt;0.5),"NM",AM381/AE381*100-100))</f>
        <v>-3.5206499661476016</v>
      </c>
      <c r="AO381" s="105">
        <f>AO376/AO370*100</f>
        <v>28.789531079607418</v>
      </c>
      <c r="AP381" s="72">
        <f>IF(ISERROR(AO381/AG381),"NA",IF(OR(AO381/AG381&gt;2,AO381/AG381&lt;0.5),"NM",AO381/AG381*100-100))</f>
        <v>3.2497273718647932</v>
      </c>
      <c r="AQ381" s="105">
        <f>AQ376/AQ370*100</f>
        <v>25.711820534943918</v>
      </c>
      <c r="AR381" s="72">
        <f>IF(ISERROR(AQ381/AI381),"NA",IF(OR(AQ381/AI381&gt;2,AQ381/AI381&lt;0.5),"NM",AQ381/AI381*100-100))</f>
        <v>-4.8211555636286647</v>
      </c>
      <c r="AS381" s="105">
        <f>AS376/AS370*100</f>
        <v>27.214022140221399</v>
      </c>
      <c r="AT381" s="72">
        <f>IF(ISERROR(AS381/AK381),"NA",IF(OR(AS381/AK381&gt;2,AS381/AK381&lt;0.5),"NM",AS381/AK381*100-100))</f>
        <v>3.0521501897483319</v>
      </c>
      <c r="AU381" s="105">
        <f>AU376/AU370*100</f>
        <v>24.931255728689276</v>
      </c>
      <c r="AV381" s="72">
        <f>IF(ISERROR(AU381/AM381),"NA",IF(OR(AU381/AM381&gt;2,AU381/AM381&lt;0.5),"NM",AU381/AM381*100-100))</f>
        <v>-7.7106147587116283</v>
      </c>
      <c r="AW381" s="105">
        <f>AW376/AW370*100</f>
        <v>25.435540069686414</v>
      </c>
      <c r="AX381" s="72">
        <f>IF(ISERROR(AW381/AO381),"NA",IF(OR(AW381/AO381&gt;2,AW381/AO381&lt;0.5),"NM",AW381/AO381*100-100))</f>
        <v>-11.650036954914995</v>
      </c>
      <c r="AY381" s="105">
        <f>AY376/AY370*100</f>
        <v>23.789991796554553</v>
      </c>
      <c r="AZ381" s="72">
        <f>IF(ISERROR(AY381/AQ381),"NA",IF(OR(AY381/AQ381&gt;2,AY381/AQ381&lt;0.5),"NM",AY381/AQ381*100-100))</f>
        <v>-7.4744949925948845</v>
      </c>
      <c r="BA381" s="105">
        <f>BA376/BA370*100</f>
        <v>23.857024106400665</v>
      </c>
      <c r="BB381" s="72">
        <f>IF(ISERROR(BA381/AS381),"NA",IF(OR(BA381/AS381&gt;2,BA381/AS381&lt;0.5),"NM",BA381/AS381*100-100))</f>
        <v>-12.335545317497207</v>
      </c>
      <c r="BC381" s="105">
        <f>BC376/BC370*100</f>
        <v>23.684210526315788</v>
      </c>
      <c r="BD381" s="72">
        <f>IF(ISERROR(BC381/AU381),"NA",IF(OR(BC381/AU381&gt;2,BC381/AU381&lt;0.5),"NM",BC381/AU381*100-100))</f>
        <v>-5.0019349845201333</v>
      </c>
      <c r="BE381" s="105">
        <f>BE376/BE370*100</f>
        <v>25.120385232744784</v>
      </c>
      <c r="BF381" s="72">
        <f>IF(ISERROR(BE381/AW381),"NA",IF(OR(BE381/AW381&gt;2,BE381/AW381&lt;0.5),"NM",BE381/AW381*100-100))</f>
        <v>-1.2390334000307917</v>
      </c>
      <c r="BG381" s="105">
        <f>BG376/BG370*100</f>
        <v>22.369389256806478</v>
      </c>
      <c r="BH381" s="72">
        <f>IF(ISERROR(BG381/AY381),"NA",IF(OR(BG381/AY381&gt;2,BG381/AY381&lt;0.5),"NM",BG381/AY381*100-100))</f>
        <v>-5.9714292963893172</v>
      </c>
      <c r="BI381" s="105">
        <f>BI376/BI370*100</f>
        <v>23.547400611620795</v>
      </c>
      <c r="BJ381" s="72">
        <f>IF(ISERROR(BI381/BA381),"NA",IF(OR(BI381/BA381&gt;2,BI381/BA381&lt;0.5),"NM",BI381/BA381*100-100))</f>
        <v>-1.297829492056394</v>
      </c>
      <c r="BK381" s="105">
        <f>BK376/BK370*100</f>
        <v>23.511904761904763</v>
      </c>
      <c r="BL381" s="72">
        <f>IF(ISERROR(BK381/BC381),"NA",IF(OR(BK381/BC381&gt;2,BK381/BC381&lt;0.5),"NM",BK381/BC381*100-100))</f>
        <v>-0.72751322751322789</v>
      </c>
      <c r="BM381" s="105">
        <f>BM376/BM370*100</f>
        <v>25.089094796863865</v>
      </c>
      <c r="BN381" s="72">
        <f>IF(ISERROR(BM381/BE381),"NA",IF(OR(BM381/BE381&gt;2,BM381/BE381&lt;0.5),"NM",BM381/BE381*100-100))</f>
        <v>-0.12456192686141776</v>
      </c>
      <c r="BO381" s="105">
        <f>BO376/BO370*100</f>
        <v>21.876981610653139</v>
      </c>
      <c r="BP381" s="72">
        <f>IF(ISERROR(BO381/BG381),"NA",IF(OR(BO381/BG381&gt;2,BO381/BG381&lt;0.5),"NM",BO381/BG381*100-100))</f>
        <v>-2.2012565497446843</v>
      </c>
      <c r="BQ381" s="105">
        <f>BQ376/BQ370*100</f>
        <v>22.901276024177299</v>
      </c>
      <c r="BR381" s="72">
        <f>IF(ISERROR(BQ381/BI381),"NA",IF(OR(BQ381/BI381&gt;2,BQ381/BI381&lt;0.5),"NM",BQ381/BI381*100-100))</f>
        <v>-2.7439316895327579</v>
      </c>
      <c r="BS381" s="105">
        <f>BS376/BS370*100</f>
        <v>22.229822161422707</v>
      </c>
      <c r="BT381" s="72">
        <f>IF(ISERROR(BS381/BK381),"NA",IF(OR(BS381/BK381&gt;2,BS381/BK381&lt;0.5),"NM",BS381/BK381*100-100))</f>
        <v>-5.4529082754679763</v>
      </c>
      <c r="BU381" s="105">
        <f>BU376/BU370*100</f>
        <v>23.427041499330656</v>
      </c>
      <c r="BV381" s="72">
        <f>IF(ISERROR(BU381/BM381),"NA",IF(OR(BU381/BM381&gt;2,BU381/BM381&lt;0.5),"NM",BU381/BM381*100-100))</f>
        <v>-6.6246044785201406</v>
      </c>
      <c r="BW381" s="105">
        <f>BW376/BW370*100</f>
        <v>21.924482338611451</v>
      </c>
      <c r="BX381" s="72">
        <f>IF(ISERROR(BW381/BO381),"NA",IF(OR(BW381/BO381&gt;2,BW381/BO381&lt;0.5),"NM",BW381/BO381*100-100))</f>
        <v>0.21712651591379029</v>
      </c>
      <c r="BY381" s="105">
        <f>BY376/BY370*100</f>
        <v>22.027290448343077</v>
      </c>
      <c r="BZ381" s="72">
        <f>IF(ISERROR(BY381/BQ381),"NA",IF(OR(BY381/BQ381&gt;2,BY381/BQ381&lt;0.5),"NM",BY381/BQ381*100-100))</f>
        <v>-3.8163182475576463</v>
      </c>
      <c r="CA381" s="105">
        <f>CA376/CA370*100</f>
        <v>22.556390977443609</v>
      </c>
      <c r="CB381" s="72">
        <f>IF(ISERROR(CA381/BS381),"NA",IF(OR(CA381/BS381&gt;2,CA381/BS381&lt;0.5),"NM",CA381/BS381*100-100))</f>
        <v>1.4690572585309525</v>
      </c>
      <c r="CC381" s="105">
        <f>CC376/CC370*100</f>
        <v>23.949579831932773</v>
      </c>
      <c r="CD381" s="72">
        <f>IF(ISERROR(CC381/BU381),"NA",IF(OR(CC381/BU381&gt;2,CC381/BU381&lt;0.5),"NM",CC381/BU381*100-100))</f>
        <v>2.2304921968787426</v>
      </c>
      <c r="CE381" s="105">
        <f>CE376/CE370*100</f>
        <v>20.623632385120349</v>
      </c>
      <c r="CF381" s="72">
        <f>IF(ISERROR(CE381/BW381),"NA",IF(OR(CE381/BW381&gt;2,CE381/BW381&lt;0.5),"NM",CE381/BW381*100-100))</f>
        <v>-5.9333211767566354</v>
      </c>
      <c r="CG381" s="105">
        <f>CG376/CG370*100</f>
        <v>20.968694624926165</v>
      </c>
      <c r="CH381" s="72">
        <f>IF(ISERROR(CG381/BY381),"NA",IF(OR(CG381/BY381&gt;2,CG381/BY381&lt;0.5),"NM",CG381/BY381*100-100))</f>
        <v>-4.8058376762201362</v>
      </c>
      <c r="CI381" s="105">
        <f>CI376/CI370*100</f>
        <v>20.646221248630887</v>
      </c>
      <c r="CJ381" s="72">
        <f>IF(ISERROR(CI381/CA381),"NA",IF(OR(CI381/CA381&gt;2,CI381/CA381&lt;0.5),"NM",CI381/CA381*100-100))</f>
        <v>-8.4684191310697372</v>
      </c>
      <c r="CK381" s="105">
        <f>CK376/CK370*100</f>
        <v>21.889763779527559</v>
      </c>
      <c r="CL381" s="72">
        <f>IF(ISERROR(CK381/CC381),"NA",IF(OR(CK381/CC381&gt;2,CK381/CC381&lt;0.5),"NM",CK381/CC381*100-100))</f>
        <v>-8.6006354468849366</v>
      </c>
      <c r="CM381" s="105">
        <f>CM376/CM370*100</f>
        <v>20.267048164043871</v>
      </c>
      <c r="CN381" s="72">
        <f>IF(ISERROR(CM381/CE381),"NA",IF(OR(CM381/CE381&gt;2,CM381/CE381&lt;0.5),"NM",CM381/CE381*100-100))</f>
        <v>-1.7290078411878085</v>
      </c>
      <c r="CO381" s="105">
        <f>CO376/CO370*100</f>
        <v>21.039094650205762</v>
      </c>
      <c r="CP381" s="72">
        <f>IF(ISERROR(CO381/CG381),"NA",IF(OR(CO381/CG381&gt;2,CO381/CG381&lt;0.5),"NM",CO381/CG381*100-100))</f>
        <v>0.33573871210805351</v>
      </c>
      <c r="CQ381" s="105">
        <f>CQ376/CQ370*100</f>
        <v>20.134874759152215</v>
      </c>
      <c r="CR381" s="72">
        <f>IF(ISERROR(CQ381/CI381),"NA",IF(OR(CQ381/CI381&gt;2,CQ381/CI381&lt;0.5),"NM",CQ381/CI381*100-100))</f>
        <v>-2.4767073999683191</v>
      </c>
      <c r="CS381" s="105">
        <f>CS376/CS370*100</f>
        <v>21.151079136690647</v>
      </c>
      <c r="CT381" s="72">
        <f>IF(ISERROR(CS381/CK381),"NA",IF(OR(CS381/CK381&gt;2,CS381/CK381&lt;0.5),"NM",CS381/CK381*100-100))</f>
        <v>-3.3745665338232982</v>
      </c>
      <c r="CU381" s="105">
        <f>CU376/CU370*100</f>
        <v>19.982736296935695</v>
      </c>
      <c r="CV381" s="95">
        <f>IF(ISERROR(CU381/CM381),"NA",IF(OR(CU381/CM381&gt;2,CU381/CM381&lt;0.5),"NM",CU381/CM381*100-100))</f>
        <v>-1.4028282007666917</v>
      </c>
      <c r="CW381" s="105">
        <f>CW376/CW370*100</f>
        <v>20.8485401459854</v>
      </c>
      <c r="CX381" s="95">
        <f>IF(ISERROR(CW381/CO381),"NA",IF(OR(CW381/CO381&gt;2,CW381/CO381&lt;0.5),"NM",CW381/CO381*100-100))</f>
        <v>-0.90571627433834578</v>
      </c>
      <c r="CY381" s="105">
        <f>CY376/CY370*100</f>
        <v>19.75860527492177</v>
      </c>
      <c r="CZ381" s="95">
        <f>IF(ISERROR(CY381/CQ381),"NA",IF(OR(CY381/CQ381&gt;2,CY381/CQ381&lt;0.5),"NM",CY381/CQ381*100-100))</f>
        <v>-1.8687450939291921</v>
      </c>
      <c r="DA381" s="105">
        <f>DA376/DA370*100</f>
        <v>21.143617021276594</v>
      </c>
      <c r="DB381" s="72">
        <f>IF(ISERROR(DA381/CS381),"NA",IF(OR(DA381/CS381&gt;2,DA381/CS381&lt;0.5),"NM",DA381/CS381*100-100))</f>
        <v>-3.5280069474609377E-2</v>
      </c>
      <c r="DC381" s="105">
        <f>DC376/DC370*100</f>
        <v>18.419975440032747</v>
      </c>
      <c r="DD381" s="72">
        <f>IF(ISERROR(DC381/CU381),"NA",IF(OR(DC381/CU381&gt;2,DC381/CU381&lt;0.5),"NM",DC381/CU381*100-100))</f>
        <v>-7.8205548713696089</v>
      </c>
      <c r="DE381" s="105">
        <f>DE376/DE370*100</f>
        <v>18.674698795180721</v>
      </c>
      <c r="DF381" s="72">
        <f>IF(ISERROR(DE381/CW381),"NA",IF(OR(DE381/CW381&gt;2,DE381/CW381&lt;0.5),"NM",DE381/CW381*100-100))</f>
        <v>-10.426827660752423</v>
      </c>
      <c r="DG381" s="105">
        <f>DG376/DG370*100</f>
        <v>17.441325356649791</v>
      </c>
      <c r="DH381" s="72">
        <f>IF(ISERROR(DG381/CY381),"NA",IF(OR(DG381/CY381&gt;2,DG381/CY381&lt;0.5),"NM",DG381/CY381*100-100))</f>
        <v>-11.727952889534876</v>
      </c>
      <c r="DI381" s="105">
        <f>DI376/DI370*100</f>
        <v>19.419237749546276</v>
      </c>
      <c r="DJ381" s="72">
        <f>IF(ISERROR(DI381/DA381),"NA",IF(OR(DI381/DA381&gt;2,DI381/DA381&lt;0.5),"NM",DI381/DA381*100-100))</f>
        <v>-8.1555547945987286</v>
      </c>
      <c r="DK381" s="105">
        <f>DK376/DK370*100</f>
        <v>17.668414683340057</v>
      </c>
      <c r="DL381" s="72">
        <f>IF(ISERROR(DK381/DC381),"NA",IF(OR(DK381/DC381&gt;2,DK381/DC381&lt;0.5),"NM",DK381/DC381*100-100))</f>
        <v>-4.0801398413338745</v>
      </c>
      <c r="DM381" s="105">
        <f>DM376/DM370*100</f>
        <v>19.460415745245466</v>
      </c>
      <c r="DN381" s="72">
        <f t="shared" si="2058"/>
        <v>4.2073875390563842</v>
      </c>
      <c r="DO381" s="105">
        <f>DO376/DO370*100</f>
        <v>18.607705779334502</v>
      </c>
      <c r="DP381" s="72">
        <f t="shared" si="2058"/>
        <v>6.6874529247859584</v>
      </c>
      <c r="DQ381" s="105">
        <f>DQ376/DQ370*100</f>
        <v>20.463664734730273</v>
      </c>
      <c r="DR381" s="72">
        <f t="shared" si="2058"/>
        <v>5.3783109237045039</v>
      </c>
      <c r="DS381" s="105">
        <f>DS376/DS370*100</f>
        <v>17.895167895167894</v>
      </c>
      <c r="DT381" s="72">
        <f t="shared" si="2058"/>
        <v>1.2833817628337982</v>
      </c>
      <c r="DU381" s="105">
        <f>DU376/DU370*100</f>
        <v>18.735992828328104</v>
      </c>
      <c r="DV381" s="72">
        <f t="shared" si="2058"/>
        <v>-3.7225459435230874</v>
      </c>
      <c r="DW381" s="105">
        <f>DW376/DW370*100</f>
        <v>18.266666666666666</v>
      </c>
      <c r="DX381" s="72">
        <f t="shared" si="2058"/>
        <v>-1.8327843137254973</v>
      </c>
      <c r="DY381" s="105">
        <f>DY376/DY370*100</f>
        <v>20.497999110715874</v>
      </c>
      <c r="DZ381" s="72">
        <f t="shared" si="2058"/>
        <v>0.16778214670087266</v>
      </c>
      <c r="EA381" s="105">
        <f>EA376/EA370*100</f>
        <v>18.053927315357562</v>
      </c>
      <c r="EB381" s="72">
        <f>IF(ISERROR(EA381/DS381),"NA",IF(OR(EA381/DS381&gt;2,EA381/DS381&lt;0.5),"NM",EA381/DS381*100-100))</f>
        <v>0.8871636249500483</v>
      </c>
      <c r="EC381" s="105">
        <f>EC376/EC370*100</f>
        <v>18.82498965659909</v>
      </c>
      <c r="ED381" s="72">
        <f>IF(ISERROR(EC381/DU381),"NA",IF(OR(EC381/DU381&gt;2,EC381/DU381&lt;0.5),"NM",EC381/DU381*100-100))</f>
        <v>0.47500460256596</v>
      </c>
      <c r="EE381" s="105">
        <f>EE376/EE370*100</f>
        <v>19.936833793920254</v>
      </c>
      <c r="EF381" s="72">
        <f>IF(ISERROR(EE381/DW381),"NA",IF(OR(EE381/DW381&gt;2,EE381/DW381&lt;0.5),"NM",EE381/DW381*100-100))</f>
        <v>9.1432506966437188</v>
      </c>
      <c r="EG381" s="105">
        <f>EG376/EG370*100</f>
        <v>20.468308437626163</v>
      </c>
      <c r="EH381" s="72">
        <f>IF(ISERROR(EG381/DY381),"NA",IF(OR(EG381/DY381&gt;2,EG381/DY381&lt;0.5),"NM",EG381/DY381*100-100))</f>
        <v>-0.144846689324865</v>
      </c>
      <c r="EI381" s="105">
        <f>EI376/EI370*100</f>
        <v>20.050395968322533</v>
      </c>
      <c r="EJ381" s="72">
        <f>IF(ISERROR(EI381/EA381),"NA",IF(OR(EI381/EA381&gt;2,EI381/EA381&lt;0.5),"NM",EI381/EA381*100-100))</f>
        <v>11.058362084279992</v>
      </c>
      <c r="EK381" s="105">
        <f>EK376/EK370*100</f>
        <v>22.933643771827704</v>
      </c>
      <c r="EL381" s="72">
        <f>IF(ISERROR(EK381/EC381),"NA",IF(OR(EK381/EC381&gt;2,EK381/EC381&lt;0.5),"NM",EK381/EC381*100-100))</f>
        <v>21.825531860456167</v>
      </c>
      <c r="EM381" s="105">
        <f>EM376/EM370*100</f>
        <v>21.545489151122954</v>
      </c>
      <c r="EN381" s="72">
        <f>IF(ISERROR(EM381/EE381),"NA",IF(OR(EM381/EE381&gt;2,EM381/EE381&lt;0.5),"NM",EM381/EE381*100-100))</f>
        <v>8.068760435236527</v>
      </c>
      <c r="EO381" s="105">
        <f>EO376/EO370*100</f>
        <v>21.337340345604808</v>
      </c>
      <c r="EP381" s="72">
        <f>IF(ISERROR(EO381/EG381),"NA",IF(OR(EO381/EG381&gt;2,EO381/EG381&lt;0.5),"NM",EO381/EG381*100-100))</f>
        <v>4.245743660873984</v>
      </c>
      <c r="EQ381" s="104">
        <f>EI381</f>
        <v>20.050395968322533</v>
      </c>
      <c r="ER381" s="72">
        <f t="shared" si="2059"/>
        <v>0</v>
      </c>
      <c r="ES381" s="104">
        <v>21.2</v>
      </c>
      <c r="ET381" s="72">
        <f t="shared" si="2060"/>
        <v>-7.5593908629441557</v>
      </c>
      <c r="EU381" s="104">
        <f>ES381</f>
        <v>21.2</v>
      </c>
      <c r="EV381" s="72">
        <f t="shared" si="2061"/>
        <v>-1.6035335689046093</v>
      </c>
      <c r="EW381" s="104">
        <f>EU381+0.5</f>
        <v>21.7</v>
      </c>
      <c r="EX381" s="72">
        <f t="shared" si="2062"/>
        <v>1.6996478873239482</v>
      </c>
      <c r="EY381" s="72"/>
      <c r="EZ381" s="309"/>
      <c r="FA381" s="72"/>
      <c r="FB381" s="106">
        <f>FB376/FB370*100</f>
        <v>31.192660550458719</v>
      </c>
      <c r="FC381" s="72"/>
      <c r="FD381" s="106">
        <f>FD376/FD370*100</f>
        <v>33.245729303547961</v>
      </c>
      <c r="FE381" s="72">
        <f>IF(ISERROR(FD381/FB381),"NA",IF(OR(FD381/FB381&gt;2,FD381/FB381&lt;0.5),"NM",FD381/FB381*100-100))</f>
        <v>6.5818968849037418</v>
      </c>
      <c r="FF381" s="106">
        <f>FF376/FF370*100</f>
        <v>31.822916666666668</v>
      </c>
      <c r="FG381" s="72">
        <f>IF(ISERROR(FF381/FD381),"NA",IF(OR(FF381/FD381&gt;2,FF381/FD381&lt;0.5),"NM",FF381/FD381*100-100))</f>
        <v>-4.2796854413702192</v>
      </c>
      <c r="FH381" s="106">
        <f>FH376/FH370*100</f>
        <v>32.169811320754718</v>
      </c>
      <c r="FI381" s="72">
        <f>IF(ISERROR(FH381/FF381),"NA",IF(OR(FH381/FF381&gt;2,FH381/FF381&lt;0.5),"NM",FH381/FF381*100-100))</f>
        <v>1.0900781274125251</v>
      </c>
      <c r="FJ381" s="106">
        <f>FJ376/FJ370*100</f>
        <v>29.382093316519548</v>
      </c>
      <c r="FK381" s="72">
        <f>IF(ISERROR(FJ381/FH381),"NA",IF(OR(FJ381/FH381&gt;2,FJ381/FH381&lt;0.5),"NM",FJ381/FH381*100-100))</f>
        <v>-8.6656336788541921</v>
      </c>
      <c r="FL381" s="105">
        <f>FL376/FL370*100</f>
        <v>27.495741056218058</v>
      </c>
      <c r="FM381" s="72">
        <f>IF(ISERROR(FL381/FJ381),"NA",IF(OR(FL381/FJ381&gt;2,FL381/FJ381&lt;0.5),"NM",FL381/FJ381*100-100))</f>
        <v>-6.4200744309831776</v>
      </c>
      <c r="FN381" s="105">
        <f>FN376/FN370*100</f>
        <v>27.350176263219737</v>
      </c>
      <c r="FO381" s="72">
        <f>IF(ISERROR(FN381/FL381),"NA",IF(OR(FN381/FL381&gt;2,FN381/FL381&lt;0.5),"NM",FN381/FL381*100-100))</f>
        <v>-0.52940850985139321</v>
      </c>
      <c r="FP381" s="105">
        <f>FP376/FP370*100</f>
        <v>25.814368585452925</v>
      </c>
      <c r="FQ381" s="72">
        <f>IF(ISERROR(FP381/FN381),"NA",IF(OR(FP381/FN381&gt;2,FP381/FN381&lt;0.5),"NM",FP381/FN381*100-100))</f>
        <v>-5.615348372844494</v>
      </c>
      <c r="FR381" s="105">
        <f>FR376/FR370*100</f>
        <v>24.119574119574118</v>
      </c>
      <c r="FS381" s="72">
        <f>IF(ISERROR(FR381/FP381),"NA",IF(OR(FR381/FP381&gt;2,FR381/FP381&lt;0.5),"NM",FR381/FP381*100-100))</f>
        <v>-6.5653144304829851</v>
      </c>
      <c r="FT381" s="105">
        <f>FT376/FT370*100</f>
        <v>23.642408570373107</v>
      </c>
      <c r="FU381" s="72">
        <f>IF(ISERROR(FT381/FR381),"NA",IF(OR(FT381/FR381&gt;2,FT381/FR381&lt;0.5),"NM",FT381/FR381*100-100))</f>
        <v>-1.9783332277569912</v>
      </c>
      <c r="FV381" s="105">
        <f>FV376/FV370*100</f>
        <v>22.634292366539167</v>
      </c>
      <c r="FW381" s="72">
        <f>IF(ISERROR(FV381/FT381),"NA",IF(OR(FV381/FT381&gt;2,FV381/FT381&lt;0.5),"NM",FV381/FT381*100-100))</f>
        <v>-4.2640165059038679</v>
      </c>
      <c r="FX381" s="105">
        <f>FX376/FX370*100</f>
        <v>22.806194274988268</v>
      </c>
      <c r="FY381" s="72">
        <f>IF(ISERROR(FX381/FV381),"NA",IF(OR(FX381/FV381&gt;2,FX381/FV381&lt;0.5),"NM",FX381/FV381*100-100))</f>
        <v>0.75947551469835162</v>
      </c>
      <c r="FZ381" s="105">
        <f>FZ376/FZ370*100</f>
        <v>21.042471042471043</v>
      </c>
      <c r="GA381" s="72">
        <f>IF(ISERROR(FZ381/FX381),"NA",IF(OR(FZ381/FX381&gt;2,FZ381/FX381&lt;0.5),"NM",FZ381/FX381*100-100))</f>
        <v>-7.7335271779716237</v>
      </c>
      <c r="GB381" s="105">
        <f>GB376/GB370*100</f>
        <v>20.6413069982931</v>
      </c>
      <c r="GC381" s="72">
        <f>IF(ISERROR(GB381/FZ381),"NA",IF(OR(GB381/FZ381&gt;2,GB381/FZ381&lt;0.5),"NM",GB381/FZ381*100-100))</f>
        <v>-1.9064493108639908</v>
      </c>
      <c r="GD381" s="105">
        <f>GD376/GD370*100</f>
        <v>20.428793601421908</v>
      </c>
      <c r="GE381" s="72">
        <f>IF(ISERROR(GD381/GB381),"NA",IF(OR(GD381/GB381&gt;2,GD381/GB381&lt;0.5),"NM",GD381/GB381*100-100))</f>
        <v>-1.0295539758638625</v>
      </c>
      <c r="GF381" s="105">
        <f>GF376/GF370*100</f>
        <v>18.489641345511249</v>
      </c>
      <c r="GG381" s="72">
        <f>IF(ISERROR(GF381/GD381),"NA",IF(OR(GF381/GD381&gt;2,GF381/GD381&lt;0.5),"NM",GF381/GD381*100-100))</f>
        <v>-9.4922504663989997</v>
      </c>
      <c r="GH381" s="105">
        <f>GH376/GH370*100</f>
        <v>19.013704543002049</v>
      </c>
      <c r="GI381" s="72">
        <f t="shared" si="2063"/>
        <v>2.8343610765496408</v>
      </c>
      <c r="GJ381" s="105">
        <f>GJ376/GJ370*100</f>
        <v>18.829044919319667</v>
      </c>
      <c r="GK381" s="72">
        <f t="shared" si="2063"/>
        <v>-0.97119224328298515</v>
      </c>
      <c r="GL381" s="105">
        <f>GL376/GL370*100</f>
        <v>19.317043861405971</v>
      </c>
      <c r="GM381" s="72">
        <f t="shared" si="2063"/>
        <v>2.5917349720993457</v>
      </c>
      <c r="GN381" s="105">
        <f>GN376/GN370*100</f>
        <v>21.439308530627585</v>
      </c>
      <c r="GO381" s="72">
        <f t="shared" si="2063"/>
        <v>10.986487810703508</v>
      </c>
      <c r="GP381" s="105">
        <f>GP376/GP370*100</f>
        <v>21.0250093949643</v>
      </c>
      <c r="GQ381" s="72">
        <f t="shared" si="2063"/>
        <v>-1.9324276950043782</v>
      </c>
      <c r="GR381" s="104">
        <f>GP381</f>
        <v>21.0250093949643</v>
      </c>
      <c r="GS381" s="72">
        <f t="shared" si="2063"/>
        <v>0</v>
      </c>
      <c r="GT381" s="104">
        <f>GR381</f>
        <v>21.0250093949643</v>
      </c>
      <c r="GU381" s="72">
        <f t="shared" si="2063"/>
        <v>0</v>
      </c>
      <c r="GV381" s="104">
        <f>GT381</f>
        <v>21.0250093949643</v>
      </c>
      <c r="GW381" s="72">
        <f>IF(ISERROR(GV381/GT381),"NA",IF(OR(GV381/GT381&gt;2,GV381/GT381&lt;0.5),"NM",GV381/GT381*100-100))</f>
        <v>0</v>
      </c>
      <c r="GX381" s="104">
        <f>GV381</f>
        <v>21.0250093949643</v>
      </c>
      <c r="GY381" s="72">
        <f>IF(ISERROR(GX381/GV381),"NA",IF(OR(GX381/GV381&gt;2,GX381/GV381&lt;0.5),"NM",GX381/GV381*100-100))</f>
        <v>0</v>
      </c>
      <c r="GZ381" s="72">
        <f t="shared" si="1954"/>
        <v>-0.38950807382899244</v>
      </c>
      <c r="HA381" s="72"/>
      <c r="HB381" s="72"/>
      <c r="HC381"/>
      <c r="HD381"/>
      <c r="HE381"/>
      <c r="HF381"/>
      <c r="HG381"/>
      <c r="HH381"/>
      <c r="HI381" s="2"/>
    </row>
    <row r="382" spans="1:217" s="3" customFormat="1" ht="12.75" customHeight="1" x14ac:dyDescent="0.2">
      <c r="B382" s="76"/>
      <c r="C382" s="106"/>
      <c r="D382" s="72"/>
      <c r="E382" s="106"/>
      <c r="F382" s="72"/>
      <c r="G382" s="106"/>
      <c r="H382" s="72"/>
      <c r="I382" s="106"/>
      <c r="J382" s="72"/>
      <c r="K382" s="106"/>
      <c r="L382" s="72"/>
      <c r="M382" s="106"/>
      <c r="N382" s="72"/>
      <c r="O382" s="106"/>
      <c r="P382" s="72"/>
      <c r="Q382" s="106"/>
      <c r="R382" s="72"/>
      <c r="S382" s="106"/>
      <c r="T382" s="72"/>
      <c r="U382" s="106"/>
      <c r="V382" s="72"/>
      <c r="W382" s="106"/>
      <c r="X382" s="72"/>
      <c r="Y382" s="106"/>
      <c r="Z382" s="72"/>
      <c r="AA382" s="106"/>
      <c r="AB382" s="72"/>
      <c r="AC382" s="106"/>
      <c r="AD382" s="72"/>
      <c r="AE382" s="106"/>
      <c r="AF382" s="72"/>
      <c r="AG382" s="106"/>
      <c r="AH382" s="72"/>
      <c r="AI382" s="106"/>
      <c r="AJ382" s="72"/>
      <c r="AK382" s="106"/>
      <c r="AL382" s="72"/>
      <c r="AM382" s="106"/>
      <c r="AN382" s="72"/>
      <c r="AO382" s="106"/>
      <c r="AP382" s="72"/>
      <c r="AQ382" s="106"/>
      <c r="AR382" s="72"/>
      <c r="AS382" s="106"/>
      <c r="AT382" s="72"/>
      <c r="AU382" s="106"/>
      <c r="AV382" s="72"/>
      <c r="AW382" s="106"/>
      <c r="AX382" s="72"/>
      <c r="AY382" s="106"/>
      <c r="AZ382" s="72"/>
      <c r="BA382" s="106"/>
      <c r="BB382" s="72"/>
      <c r="BC382" s="106"/>
      <c r="BD382" s="72"/>
      <c r="BE382" s="106"/>
      <c r="BF382" s="72"/>
      <c r="BG382" s="106"/>
      <c r="BH382" s="72"/>
      <c r="BI382" s="106"/>
      <c r="BJ382" s="72"/>
      <c r="BK382" s="106"/>
      <c r="BL382" s="72"/>
      <c r="BM382" s="106"/>
      <c r="BN382" s="72"/>
      <c r="BO382" s="106"/>
      <c r="BP382" s="72"/>
      <c r="BQ382" s="106"/>
      <c r="BR382" s="72"/>
      <c r="BS382" s="106"/>
      <c r="BT382" s="72"/>
      <c r="BU382" s="106"/>
      <c r="BV382" s="72"/>
      <c r="BW382" s="106"/>
      <c r="BX382" s="72"/>
      <c r="BY382" s="106"/>
      <c r="BZ382" s="72"/>
      <c r="CA382" s="106"/>
      <c r="CB382" s="72"/>
      <c r="CC382" s="106"/>
      <c r="CD382" s="72"/>
      <c r="CE382" s="106"/>
      <c r="CF382" s="72"/>
      <c r="CG382" s="106"/>
      <c r="CH382" s="72"/>
      <c r="CI382" s="106"/>
      <c r="CJ382" s="72"/>
      <c r="CK382" s="106"/>
      <c r="CL382" s="72"/>
      <c r="CM382" s="106"/>
      <c r="CN382" s="72"/>
      <c r="CO382" s="106"/>
      <c r="CP382" s="72"/>
      <c r="CQ382" s="106"/>
      <c r="CR382" s="72"/>
      <c r="CS382" s="106"/>
      <c r="CT382" s="72"/>
      <c r="CU382" s="106"/>
      <c r="CV382" s="72"/>
      <c r="CW382" s="106"/>
      <c r="CX382" s="72"/>
      <c r="CY382" s="106"/>
      <c r="CZ382" s="72"/>
      <c r="DA382" s="106"/>
      <c r="DB382" s="72"/>
      <c r="DC382" s="106"/>
      <c r="DD382" s="72"/>
      <c r="DE382" s="106"/>
      <c r="DF382" s="72"/>
      <c r="DG382" s="106"/>
      <c r="DH382" s="72"/>
      <c r="DI382" s="106"/>
      <c r="DJ382" s="72"/>
      <c r="DK382" s="106"/>
      <c r="DL382" s="72"/>
      <c r="DM382" s="106"/>
      <c r="DN382" s="72"/>
      <c r="DO382" s="106"/>
      <c r="DP382" s="72"/>
      <c r="DQ382" s="106"/>
      <c r="DR382" s="72"/>
      <c r="DS382" s="106"/>
      <c r="DT382" s="72"/>
      <c r="DU382" s="106"/>
      <c r="DV382" s="72"/>
      <c r="DW382" s="106"/>
      <c r="DX382" s="72"/>
      <c r="DY382" s="106"/>
      <c r="DZ382" s="72"/>
      <c r="EA382" s="106"/>
      <c r="EB382" s="72"/>
      <c r="EC382" s="106"/>
      <c r="ED382" s="72"/>
      <c r="EE382" s="106"/>
      <c r="EF382" s="72"/>
      <c r="EG382" s="106"/>
      <c r="EH382" s="72"/>
      <c r="EI382" s="106"/>
      <c r="EJ382" s="72"/>
      <c r="EK382" s="106"/>
      <c r="EL382" s="72"/>
      <c r="EM382" s="106"/>
      <c r="EN382" s="72"/>
      <c r="EO382" s="106"/>
      <c r="EP382" s="72"/>
      <c r="EQ382" s="106"/>
      <c r="ER382" s="72"/>
      <c r="ES382" s="106"/>
      <c r="ET382" s="72"/>
      <c r="EU382" s="106"/>
      <c r="EV382" s="72"/>
      <c r="EW382" s="106"/>
      <c r="EX382" s="72"/>
      <c r="EY382" s="72"/>
      <c r="EZ382" s="309"/>
      <c r="FA382" s="72"/>
      <c r="FB382" s="106"/>
      <c r="FC382" s="72"/>
      <c r="FD382" s="106"/>
      <c r="FE382" s="72"/>
      <c r="FF382" s="106"/>
      <c r="FG382" s="72"/>
      <c r="FH382" s="106"/>
      <c r="FI382" s="72"/>
      <c r="FJ382" s="106"/>
      <c r="FK382" s="72"/>
      <c r="FL382" s="106"/>
      <c r="FM382" s="72"/>
      <c r="FN382" s="106"/>
      <c r="FO382" s="72"/>
      <c r="FP382" s="107"/>
      <c r="FQ382" s="72"/>
      <c r="FR382" s="106"/>
      <c r="FS382" s="72"/>
      <c r="FT382" s="106"/>
      <c r="FU382" s="72"/>
      <c r="FV382" s="106"/>
      <c r="FW382" s="72"/>
      <c r="FX382" s="106"/>
      <c r="FY382" s="72"/>
      <c r="FZ382" s="106"/>
      <c r="GA382" s="72"/>
      <c r="GB382" s="106"/>
      <c r="GC382" s="72"/>
      <c r="GD382" s="106"/>
      <c r="GE382" s="72"/>
      <c r="GF382" s="106"/>
      <c r="GG382" s="72"/>
      <c r="GH382" s="106"/>
      <c r="GI382" s="72"/>
      <c r="GJ382" s="106"/>
      <c r="GK382" s="72"/>
      <c r="GL382" s="106"/>
      <c r="GM382" s="72"/>
      <c r="GN382" s="106"/>
      <c r="GO382" s="72"/>
      <c r="GP382" s="106"/>
      <c r="GQ382" s="72"/>
      <c r="GR382" s="106"/>
      <c r="GS382" s="72"/>
      <c r="GT382" s="106"/>
      <c r="GU382" s="72"/>
      <c r="GV382" s="106"/>
      <c r="GW382" s="72"/>
      <c r="GX382" s="106"/>
      <c r="GY382" s="72"/>
      <c r="GZ382" s="72" t="str">
        <f t="shared" si="1954"/>
        <v>NA</v>
      </c>
      <c r="HA382" s="72"/>
      <c r="HB382" s="72"/>
      <c r="HC382"/>
      <c r="HD382"/>
      <c r="HE382"/>
      <c r="HF382"/>
      <c r="HG382"/>
      <c r="HH382"/>
      <c r="HI382" s="2"/>
    </row>
    <row r="383" spans="1:217" s="3" customFormat="1" ht="12.75" customHeight="1" x14ac:dyDescent="0.2">
      <c r="A383" s="3" t="s">
        <v>483</v>
      </c>
      <c r="B383" s="70" t="s">
        <v>27</v>
      </c>
      <c r="C383" s="91">
        <f>C370-C378</f>
        <v>70</v>
      </c>
      <c r="D383" s="72"/>
      <c r="E383" s="91">
        <f>E370-E378</f>
        <v>75</v>
      </c>
      <c r="F383" s="72"/>
      <c r="G383" s="91">
        <f>G370-G378</f>
        <v>66</v>
      </c>
      <c r="H383" s="72"/>
      <c r="I383" s="91">
        <f>I370-I378</f>
        <v>85</v>
      </c>
      <c r="J383" s="72"/>
      <c r="K383" s="91">
        <f>K370-K378</f>
        <v>95</v>
      </c>
      <c r="L383" s="72">
        <f>IF(ISERROR(K383/C383),"NA",IF(OR(K383/C383&gt;2,K383/C383&lt;0.5),"NM",K383/C383*100-100))</f>
        <v>35.714285714285722</v>
      </c>
      <c r="M383" s="91">
        <f>M370-M378</f>
        <v>83</v>
      </c>
      <c r="N383" s="72">
        <f>IF(ISERROR(M383/E383),"NA",IF(OR(M383/E383&gt;2,M383/E383&lt;0.5),"NM",M383/E383*100-100))</f>
        <v>10.666666666666671</v>
      </c>
      <c r="O383" s="91">
        <f>O370-O378</f>
        <v>76</v>
      </c>
      <c r="P383" s="72">
        <f>IF(ISERROR(O383/G383),"NA",IF(OR(O383/G383&gt;2,O383/G383&lt;0.5),"NM",O383/G383*100-100))</f>
        <v>15.151515151515156</v>
      </c>
      <c r="Q383" s="91">
        <f>Q370-Q378</f>
        <v>95</v>
      </c>
      <c r="R383" s="72">
        <f>IF(ISERROR(Q383/I383),"NA",IF(OR(Q383/I383&gt;2,Q383/I383&lt;0.5),"NM",Q383/I383*100-100))</f>
        <v>11.764705882352942</v>
      </c>
      <c r="S383" s="91">
        <f>S370-S378</f>
        <v>100</v>
      </c>
      <c r="T383" s="72">
        <f>IF(ISERROR(S383/K383),"NA",IF(OR(S383/K383&gt;2,S383/K383&lt;0.5),"NM",S383/K383*100-100))</f>
        <v>5.2631578947368354</v>
      </c>
      <c r="U383" s="91">
        <f>U370-U378</f>
        <v>86</v>
      </c>
      <c r="V383" s="72">
        <f>IF(ISERROR(U383/M383),"NA",IF(OR(U383/M383&gt;2,U383/M383&lt;0.5),"NM",U383/M383*100-100))</f>
        <v>3.6144578313252964</v>
      </c>
      <c r="W383" s="91">
        <f>W370-W378</f>
        <v>84</v>
      </c>
      <c r="X383" s="72">
        <f>IF(ISERROR(W383/O383),"NA",IF(OR(W383/O383&gt;2,W383/O383&lt;0.5),"NM",W383/O383*100-100))</f>
        <v>10.526315789473699</v>
      </c>
      <c r="Y383" s="91">
        <f>Y370-Y378</f>
        <v>109</v>
      </c>
      <c r="Z383" s="72">
        <f>IF(ISERROR(Y383/Q383),"NA",IF(OR(Y383/Q383&gt;2,Y383/Q383&lt;0.5),"NM",Y383/Q383*100-100))</f>
        <v>14.736842105263165</v>
      </c>
      <c r="AA383" s="91">
        <f>AA370-AA378</f>
        <v>100</v>
      </c>
      <c r="AB383" s="72">
        <f>IF(ISERROR(AA383/S383),"NA",IF(OR(AA383/S383&gt;2,AA383/S383&lt;0.5),"NM",AA383/S383*100-100))</f>
        <v>0</v>
      </c>
      <c r="AC383" s="91">
        <f>AC370-AC378</f>
        <v>109</v>
      </c>
      <c r="AD383" s="72">
        <f>IF(ISERROR(AC383/U383),"NA",IF(OR(AC383/U383&gt;2,AC383/U383&lt;0.5),"NM",AC383/U383*100-100))</f>
        <v>26.744186046511629</v>
      </c>
      <c r="AE383" s="91">
        <f>AE370-AE378</f>
        <v>111</v>
      </c>
      <c r="AF383" s="72">
        <f>IF(ISERROR(AE383/W383),"NA",IF(OR(AE383/W383&gt;2,AE383/W383&lt;0.5),"NM",AE383/W383*100-100))</f>
        <v>32.142857142857139</v>
      </c>
      <c r="AG383" s="91">
        <f>AG370-AG378</f>
        <v>129</v>
      </c>
      <c r="AH383" s="72">
        <f>IF(ISERROR(AG383/Y383),"NA",IF(OR(AG383/Y383&gt;2,AG383/Y383&lt;0.5),"NM",AG383/Y383*100-100))</f>
        <v>18.348623853211009</v>
      </c>
      <c r="AI383" s="91">
        <f>AI370-AI378</f>
        <v>121</v>
      </c>
      <c r="AJ383" s="72">
        <f>IF(ISERROR(AI383/AA383),"NA",IF(OR(AI383/AA383&gt;2,AI383/AA383&lt;0.5),"NM",AI383/AA383*100-100))</f>
        <v>21</v>
      </c>
      <c r="AK383" s="91">
        <f>AK370-AK378</f>
        <v>129</v>
      </c>
      <c r="AL383" s="72">
        <f>IF(ISERROR(AK383/AC383),"NA",IF(OR(AK383/AC383&gt;2,AK383/AC383&lt;0.5),"NM",AK383/AC383*100-100))</f>
        <v>18.348623853211009</v>
      </c>
      <c r="AM383" s="91">
        <f>AM370-AM378</f>
        <v>139</v>
      </c>
      <c r="AN383" s="72">
        <f>IF(ISERROR(AM383/AE383),"NA",IF(OR(AM383/AE383&gt;2,AM383/AE383&lt;0.5),"NM",AM383/AE383*100-100))</f>
        <v>25.22522522522523</v>
      </c>
      <c r="AO383" s="91">
        <f>AO370-AO378</f>
        <v>126</v>
      </c>
      <c r="AP383" s="72">
        <f>IF(ISERROR(AO383/AG383),"NA",IF(OR(AO383/AG383&gt;2,AO383/AG383&lt;0.5),"NM",AO383/AG383*100-100))</f>
        <v>-2.3255813953488484</v>
      </c>
      <c r="AQ383" s="91">
        <f>AQ370-AQ378</f>
        <v>179</v>
      </c>
      <c r="AR383" s="72">
        <f>IF(ISERROR(AQ383/AI383),"NA",IF(OR(AQ383/AI383&gt;2,AQ383/AI383&lt;0.5),"NM",AQ383/AI383*100-100))</f>
        <v>47.933884297520649</v>
      </c>
      <c r="AS383" s="91">
        <f>AS370-AS378</f>
        <v>183</v>
      </c>
      <c r="AT383" s="72">
        <f>IF(ISERROR(AS383/AK383),"NA",IF(OR(AS383/AK383&gt;2,AS383/AK383&lt;0.5),"NM",AS383/AK383*100-100))</f>
        <v>41.860465116279073</v>
      </c>
      <c r="AU383" s="91">
        <f>AU370-AU378</f>
        <v>217</v>
      </c>
      <c r="AV383" s="72">
        <f>IF(ISERROR(AU383/AM383),"NA",IF(OR(AU383/AM383&gt;2,AU383/AM383&lt;0.5),"NM",AU383/AM383*100-100))</f>
        <v>56.115107913669078</v>
      </c>
      <c r="AW383" s="91">
        <f>AW370-AW378</f>
        <v>229</v>
      </c>
      <c r="AX383" s="72">
        <f>IF(ISERROR(AW383/AO383),"NA",IF(OR(AW383/AO383&gt;2,AW383/AO383&lt;0.5),"NM",AW383/AO383*100-100))</f>
        <v>81.746031746031747</v>
      </c>
      <c r="AY383" s="91">
        <f>AY370-AY378</f>
        <v>230</v>
      </c>
      <c r="AZ383" s="72">
        <f>IF(ISERROR(AY383/AQ383),"NA",IF(OR(AY383/AQ383&gt;2,AY383/AQ383&lt;0.5),"NM",AY383/AQ383*100-100))</f>
        <v>28.491620111731862</v>
      </c>
      <c r="BA383" s="91">
        <f>BA370-BA378</f>
        <v>228</v>
      </c>
      <c r="BB383" s="72">
        <f>IF(ISERROR(BA383/AS383),"NA",IF(OR(BA383/AS383&gt;2,BA383/AS383&lt;0.5),"NM",BA383/AS383*100-100))</f>
        <v>24.590163934426229</v>
      </c>
      <c r="BC383" s="91">
        <f>BC370-BC378</f>
        <v>247</v>
      </c>
      <c r="BD383" s="72">
        <f>IF(ISERROR(BC383/AU383),"NA",IF(OR(BC383/AU383&gt;2,BC383/AU383&lt;0.5),"NM",BC383/AU383*100-100))</f>
        <v>13.824884792626733</v>
      </c>
      <c r="BE383" s="91">
        <f>BE370-BE378</f>
        <v>232</v>
      </c>
      <c r="BF383" s="72">
        <f>IF(ISERROR(BE383/AW383),"NA",IF(OR(BE383/AW383&gt;2,BE383/AW383&lt;0.5),"NM",BE383/AW383*100-100))</f>
        <v>1.3100436681222618</v>
      </c>
      <c r="BG383" s="91">
        <f>BG370-BG378</f>
        <v>269</v>
      </c>
      <c r="BH383" s="72">
        <f>IF(ISERROR(BG383/AY383),"NA",IF(OR(BG383/AY383&gt;2,BG383/AY383&lt;0.5),"NM",BG383/AY383*100-100))</f>
        <v>16.956521739130423</v>
      </c>
      <c r="BI383" s="91">
        <f>BI370-BI378</f>
        <v>253</v>
      </c>
      <c r="BJ383" s="72">
        <f>IF(ISERROR(BI383/BA383),"NA",IF(OR(BI383/BA383&gt;2,BI383/BA383&lt;0.5),"NM",BI383/BA383*100-100))</f>
        <v>10.964912280701753</v>
      </c>
      <c r="BK383" s="91">
        <f>BK370-BK378</f>
        <v>266</v>
      </c>
      <c r="BL383" s="72">
        <f>IF(ISERROR(BK383/BC383),"NA",IF(OR(BK383/BC383&gt;2,BK383/BC383&lt;0.5),"NM",BK383/BC383*100-100))</f>
        <v>7.6923076923076934</v>
      </c>
      <c r="BM383" s="91">
        <f>BM370-BM378</f>
        <v>232</v>
      </c>
      <c r="BN383" s="72">
        <f>IF(ISERROR(BM383/BE383),"NA",IF(OR(BM383/BE383&gt;2,BM383/BE383&lt;0.5),"NM",BM383/BE383*100-100))</f>
        <v>0</v>
      </c>
      <c r="BO383" s="91">
        <f>BO370-BO378</f>
        <v>285</v>
      </c>
      <c r="BP383" s="72">
        <f>IF(ISERROR(BO383/BG383),"NA",IF(OR(BO383/BG383&gt;2,BO383/BG383&lt;0.5),"NM",BO383/BG383*100-100))</f>
        <v>5.9479553903345703</v>
      </c>
      <c r="BQ383" s="91">
        <f>BQ370-BQ378</f>
        <v>286</v>
      </c>
      <c r="BR383" s="72">
        <f>IF(ISERROR(BQ383/BI383),"NA",IF(OR(BQ383/BI383&gt;2,BQ383/BI383&lt;0.5),"NM",BQ383/BI383*100-100))</f>
        <v>13.043478260869563</v>
      </c>
      <c r="BS383" s="91">
        <f>BS370-BS378</f>
        <v>293</v>
      </c>
      <c r="BT383" s="72">
        <f>IF(ISERROR(BS383/BK383),"NA",IF(OR(BS383/BK383&gt;2,BS383/BK383&lt;0.5),"NM",BS383/BK383*100-100))</f>
        <v>10.150375939849624</v>
      </c>
      <c r="BU383" s="91">
        <f>BU370-BU378</f>
        <v>261</v>
      </c>
      <c r="BV383" s="72">
        <f>IF(ISERROR(BU383/BM383),"NA",IF(OR(BU383/BM383&gt;2,BU383/BM383&lt;0.5),"NM",BU383/BM383*100-100))</f>
        <v>12.5</v>
      </c>
      <c r="BW383" s="91">
        <f>BW370-BW378</f>
        <v>294</v>
      </c>
      <c r="BX383" s="72">
        <f>IF(ISERROR(BW383/BO383),"NA",IF(OR(BW383/BO383&gt;2,BW383/BO383&lt;0.5),"NM",BW383/BO383*100-100))</f>
        <v>3.1578947368421098</v>
      </c>
      <c r="BY383" s="91">
        <f>BY370-BY378</f>
        <v>315</v>
      </c>
      <c r="BZ383" s="72">
        <f>IF(ISERROR(BY383/BQ383),"NA",IF(OR(BY383/BQ383&gt;2,BY383/BQ383&lt;0.5),"NM",BY383/BQ383*100-100))</f>
        <v>10.139860139860147</v>
      </c>
      <c r="CA383" s="91">
        <f>CA370-CA378</f>
        <v>310</v>
      </c>
      <c r="CB383" s="72">
        <f>IF(ISERROR(CA383/BS383),"NA",IF(OR(CA383/BS383&gt;2,CA383/BS383&lt;0.5),"NM",CA383/BS383*100-100))</f>
        <v>5.8020477815699678</v>
      </c>
      <c r="CC383" s="91">
        <f>CC370-CC378</f>
        <v>302</v>
      </c>
      <c r="CD383" s="72">
        <f>IF(ISERROR(CC383/BU383),"NA",IF(OR(CC383/BU383&gt;2,CC383/BU383&lt;0.5),"NM",CC383/BU383*100-100))</f>
        <v>15.708812260536405</v>
      </c>
      <c r="CE383" s="91">
        <f>CE370-CE378</f>
        <v>298</v>
      </c>
      <c r="CF383" s="72">
        <f>IF(ISERROR(CE383/BW383),"NA",IF(OR(CE383/BW383&gt;2,CE383/BW383&lt;0.5),"NM",CE383/BW383*100-100))</f>
        <v>1.3605442176870781</v>
      </c>
      <c r="CG383" s="91">
        <f>CG370-CG378</f>
        <v>265</v>
      </c>
      <c r="CH383" s="72">
        <f>IF(ISERROR(CG383/BY383),"NA",IF(OR(CG383/BY383&gt;2,CG383/BY383&lt;0.5),"NM",CG383/BY383*100-100))</f>
        <v>-15.873015873015873</v>
      </c>
      <c r="CI383" s="91">
        <f>CI370-CI378</f>
        <v>296</v>
      </c>
      <c r="CJ383" s="72">
        <f>IF(ISERROR(CI383/CA383),"NA",IF(OR(CI383/CA383&gt;2,CI383/CA383&lt;0.5),"NM",CI383/CA383*100-100))</f>
        <v>-4.5161290322580641</v>
      </c>
      <c r="CK383" s="91">
        <f>CK370-CK378</f>
        <v>290</v>
      </c>
      <c r="CL383" s="72">
        <f>IF(ISERROR(CK383/CC383),"NA",IF(OR(CK383/CC383&gt;2,CK383/CC383&lt;0.5),"NM",CK383/CC383*100-100))</f>
        <v>-3.9735099337748352</v>
      </c>
      <c r="CM383" s="91">
        <f>CM370-CM378</f>
        <v>300</v>
      </c>
      <c r="CN383" s="72">
        <f>IF(ISERROR(CM383/CE383),"NA",IF(OR(CM383/CE383&gt;2,CM383/CE383&lt;0.5),"NM",CM383/CE383*100-100))</f>
        <v>0.67114093959732202</v>
      </c>
      <c r="CO383" s="91">
        <f>CO370-CO378</f>
        <v>315</v>
      </c>
      <c r="CP383" s="72">
        <f>IF(ISERROR(CO383/CG383),"NA",IF(OR(CO383/CG383&gt;2,CO383/CG383&lt;0.5),"NM",CO383/CG383*100-100))</f>
        <v>18.867924528301884</v>
      </c>
      <c r="CQ383" s="91">
        <f>CQ370-CQ378</f>
        <v>331</v>
      </c>
      <c r="CR383" s="72">
        <f>IF(ISERROR(CQ383/CI383),"NA",IF(OR(CQ383/CI383&gt;2,CQ383/CI383&lt;0.5),"NM",CQ383/CI383*100-100))</f>
        <v>11.824324324324323</v>
      </c>
      <c r="CS383" s="91">
        <f>CS370-CS378</f>
        <v>300</v>
      </c>
      <c r="CT383" s="72">
        <f>IF(ISERROR(CS383/CK383),"NA",IF(OR(CS383/CK383&gt;2,CS383/CK383&lt;0.5),"NM",CS383/CK383*100-100))</f>
        <v>3.448275862068968</v>
      </c>
      <c r="CU383" s="91">
        <f>CU370-CU378</f>
        <v>382</v>
      </c>
      <c r="CV383" s="72">
        <f>IF(ISERROR(CU383/CM383),"NA",IF(OR(CU383/CM383&gt;2,CU383/CM383&lt;0.5),"NM",CU383/CM383*100-100))</f>
        <v>27.333333333333343</v>
      </c>
      <c r="CW383" s="91">
        <f>CW370-CW378</f>
        <v>374</v>
      </c>
      <c r="CX383" s="72">
        <f>IF(ISERROR(CW383/CO383),"NA",IF(OR(CW383/CO383&gt;2,CW383/CO383&lt;0.5),"NM",CW383/CO383*100-100))</f>
        <v>18.730158730158735</v>
      </c>
      <c r="CY383" s="91">
        <f>CY370-CY378</f>
        <v>393</v>
      </c>
      <c r="CZ383" s="72">
        <f>IF(ISERROR(CY383/CQ383),"NA",IF(OR(CY383/CQ383&gt;2,CY383/CQ383&lt;0.5),"NM",CY383/CQ383*100-100))</f>
        <v>18.731117824773406</v>
      </c>
      <c r="DA383" s="91">
        <f>DA370-DA378</f>
        <v>332</v>
      </c>
      <c r="DB383" s="72">
        <f>IF(ISERROR(DA383/CS383),"NA",IF(OR(DA383/CS383&gt;2,DA383/CS383&lt;0.5),"NM",DA383/CS383*100-100))</f>
        <v>10.666666666666671</v>
      </c>
      <c r="DC383" s="91">
        <f>DC370-DC378</f>
        <v>422</v>
      </c>
      <c r="DD383" s="72">
        <f>IF(ISERROR(DC383/CU383),"NA",IF(OR(DC383/CU383&gt;2,DC383/CU383&lt;0.5),"NM",DC383/CU383*100-100))</f>
        <v>10.471204188481693</v>
      </c>
      <c r="DE383" s="91">
        <f>DE370-DE378</f>
        <v>368</v>
      </c>
      <c r="DF383" s="72">
        <f>IF(ISERROR(DE383/CW383),"NA",IF(OR(DE383/CW383&gt;2,DE383/CW383&lt;0.5),"NM",DE383/CW383*100-100))</f>
        <v>-1.6042780748663006</v>
      </c>
      <c r="DG383" s="91">
        <f>DG370-DG378</f>
        <v>424</v>
      </c>
      <c r="DH383" s="72">
        <f>IF(ISERROR(DG383/CY383),"NA",IF(OR(DG383/CY383&gt;2,DG383/CY383&lt;0.5),"NM",DG383/CY383*100-100))</f>
        <v>7.8880407124681966</v>
      </c>
      <c r="DI383" s="91">
        <f>DI370-DI378</f>
        <v>303</v>
      </c>
      <c r="DJ383" s="72">
        <f>IF(ISERROR(DI383/DA383),"NA",IF(OR(DI383/DA383&gt;2,DI383/DA383&lt;0.5),"NM",DI383/DA383*100-100))</f>
        <v>-8.7349397590361377</v>
      </c>
      <c r="DK383" s="91">
        <f>DK370-DK378</f>
        <v>419</v>
      </c>
      <c r="DL383" s="72">
        <f>IF(ISERROR(DK383/DC383),"NA",IF(OR(DK383/DC383&gt;2,DK383/DC383&lt;0.5),"NM",DK383/DC383*100-100))</f>
        <v>-0.71090047393364841</v>
      </c>
      <c r="DM383" s="91">
        <f>DM370-DM378</f>
        <v>382</v>
      </c>
      <c r="DN383" s="72">
        <f t="shared" ref="DN383:DZ384" si="2064">IF(ISERROR(DM383/DE383),"NA",IF(OR(DM383/DE383&gt;2,DM383/DE383&lt;0.5),"NM",DM383/DE383*100-100))</f>
        <v>3.8043478260869676</v>
      </c>
      <c r="DO383" s="91">
        <f>DO370-DO378</f>
        <v>414</v>
      </c>
      <c r="DP383" s="72">
        <f t="shared" si="2064"/>
        <v>-2.3584905660377444</v>
      </c>
      <c r="DQ383" s="91">
        <f>DQ370-DQ378</f>
        <v>374</v>
      </c>
      <c r="DR383" s="72">
        <f t="shared" si="2064"/>
        <v>23.43234323432344</v>
      </c>
      <c r="DS383" s="91">
        <f>DS370-DS378</f>
        <v>439</v>
      </c>
      <c r="DT383" s="72">
        <f t="shared" si="2064"/>
        <v>4.7732696897374751</v>
      </c>
      <c r="DU383" s="91">
        <f>DU370-DU378</f>
        <v>381</v>
      </c>
      <c r="DV383" s="72">
        <f t="shared" si="2064"/>
        <v>-0.26178010471204516</v>
      </c>
      <c r="DW383" s="91">
        <f>DW370-DW378</f>
        <v>398</v>
      </c>
      <c r="DX383" s="72">
        <f t="shared" si="2064"/>
        <v>-3.864734299516897</v>
      </c>
      <c r="DY383" s="91">
        <f>DY370-DY378</f>
        <v>367</v>
      </c>
      <c r="DZ383" s="72">
        <f t="shared" si="2064"/>
        <v>-1.8716577540106982</v>
      </c>
      <c r="EA383" s="91">
        <f>EA370-EA378</f>
        <v>410</v>
      </c>
      <c r="EB383" s="72">
        <f>IF(ISERROR(EA383/DS383),"NA",IF(OR(EA383/DS383&gt;2,EA383/DS383&lt;0.5),"NM",EA383/DS383*100-100))</f>
        <v>-6.6059225512528457</v>
      </c>
      <c r="EC383" s="91">
        <f>EC370-EC378</f>
        <v>343</v>
      </c>
      <c r="ED383" s="72">
        <f>IF(ISERROR(EC383/DU383),"NA",IF(OR(EC383/DU383&gt;2,EC383/DU383&lt;0.5),"NM",EC383/DU383*100-100))</f>
        <v>-9.9737532808398868</v>
      </c>
      <c r="EE383" s="91">
        <f>EE370-EE378</f>
        <v>391</v>
      </c>
      <c r="EF383" s="72">
        <f>IF(ISERROR(EE383/DW383),"NA",IF(OR(EE383/DW383&gt;2,EE383/DW383&lt;0.5),"NM",EE383/DW383*100-100))</f>
        <v>-1.7587939698492505</v>
      </c>
      <c r="EG383" s="91">
        <f>EG370-EG378</f>
        <v>395</v>
      </c>
      <c r="EH383" s="72">
        <f>IF(ISERROR(EG383/DY383),"NA",IF(OR(EG383/DY383&gt;2,EG383/DY383&lt;0.5),"NM",EG383/DY383*100-100))</f>
        <v>7.6294277929155356</v>
      </c>
      <c r="EI383" s="91">
        <f>EI370-EI378</f>
        <v>408</v>
      </c>
      <c r="EJ383" s="72">
        <f>IF(ISERROR(EI383/EA383),"NA",IF(OR(EI383/EA383&gt;2,EI383/EA383&lt;0.5),"NM",EI383/EA383*100-100))</f>
        <v>-0.48780487804877737</v>
      </c>
      <c r="EK383" s="91">
        <f>EK370-EK378</f>
        <v>329</v>
      </c>
      <c r="EL383" s="72">
        <f>IF(ISERROR(EK383/EC383),"NA",IF(OR(EK383/EC383&gt;2,EK383/EC383&lt;0.5),"NM",EK383/EC383*100-100))</f>
        <v>-4.0816326530612344</v>
      </c>
      <c r="EM383" s="91">
        <f>EM370-EM378</f>
        <v>373</v>
      </c>
      <c r="EN383" s="72">
        <f>IF(ISERROR(EM383/EE383),"NA",IF(OR(EM383/EE383&gt;2,EM383/EE383&lt;0.5),"NM",EM383/EE383*100-100))</f>
        <v>-4.6035805626598432</v>
      </c>
      <c r="EO383" s="91">
        <f>EO370-EO378</f>
        <v>383</v>
      </c>
      <c r="EP383" s="72">
        <f>IF(ISERROR(EO383/EG383),"NA",IF(OR(EO383/EG383&gt;2,EO383/EG383&lt;0.5),"NM",EO383/EG383*100-100))</f>
        <v>-3.0379746835443058</v>
      </c>
      <c r="EQ383" s="91">
        <f t="shared" ref="EQ383" si="2065">EQ370-EQ378</f>
        <v>434.29932252252229</v>
      </c>
      <c r="ER383" s="72">
        <f t="shared" ref="ER383:ER384" si="2066">IF(ISERROR(EQ383/EI383),"NA",IF(OR(EQ383/EI383&gt;2,EQ383/EI383&lt;0.5),"NM",EQ383/EI383*100-100))</f>
        <v>6.4459123829711444</v>
      </c>
      <c r="ES383" s="91">
        <f t="shared" ref="ES383" si="2067">ES370-ES378</f>
        <v>403.28380576576592</v>
      </c>
      <c r="ET383" s="72">
        <f t="shared" ref="ET383:ET384" si="2068">IF(ISERROR(ES383/EK383),"NA",IF(OR(ES383/EK383&gt;2,ES383/EK383&lt;0.5),"NM",ES383/EK383*100-100))</f>
        <v>22.578664366494209</v>
      </c>
      <c r="EU383" s="91">
        <f t="shared" ref="EU383" si="2069">EU370-EU378</f>
        <v>390.32150486486489</v>
      </c>
      <c r="EV383" s="72">
        <f t="shared" ref="EV383:EV384" si="2070">IF(ISERROR(EU383/EM383),"NA",IF(OR(EU383/EM383&gt;2,EU383/EM383&lt;0.5),"NM",EU383/EM383*100-100))</f>
        <v>4.643835084414178</v>
      </c>
      <c r="EW383" s="91">
        <f t="shared" ref="EW383" si="2071">EW370-EW378</f>
        <v>398.35792252252259</v>
      </c>
      <c r="EX383" s="72">
        <f t="shared" ref="EX383:EX384" si="2072">IF(ISERROR(EW383/EO383),"NA",IF(OR(EW383/EO383&gt;2,EW383/EO383&lt;0.5),"NM",EW383/EO383*100-100))</f>
        <v>4.0099014419119072</v>
      </c>
      <c r="EY383" s="72"/>
      <c r="EZ383" s="306"/>
      <c r="FA383" s="72"/>
      <c r="FB383" s="91">
        <f>FB370-FB378</f>
        <v>144</v>
      </c>
      <c r="FC383" s="72"/>
      <c r="FD383" s="91">
        <f>FD370-FD378</f>
        <v>218</v>
      </c>
      <c r="FE383" s="72">
        <f>IF(ISERROR(FD383/FB383),"NA",IF(OR(FD383/FB383&gt;2,FD383/FB383&lt;0.5),"NM",FD383/FB383*100-100))</f>
        <v>51.388888888888886</v>
      </c>
      <c r="FF383" s="91">
        <f>FF370-FF378</f>
        <v>296</v>
      </c>
      <c r="FG383" s="72">
        <f>IF(ISERROR(FF383/FD383),"NA",IF(OR(FF383/FD383&gt;2,FF383/FD383&lt;0.5),"NM",FF383/FD383*100-100))</f>
        <v>35.779816513761489</v>
      </c>
      <c r="FH383" s="91">
        <f>FH370-FH378</f>
        <v>349</v>
      </c>
      <c r="FI383" s="72">
        <f>IF(ISERROR(FH383/FF383),"NA",IF(OR(FH383/FF383&gt;2,FH383/FF383&lt;0.5),"NM",FH383/FF383*100-100))</f>
        <v>17.905405405405389</v>
      </c>
      <c r="FJ383" s="91">
        <f>FJ370-FJ378</f>
        <v>379</v>
      </c>
      <c r="FK383" s="72">
        <f>IF(ISERROR(FJ383/FH383),"NA",IF(OR(FJ383/FH383&gt;2,FJ383/FH383&lt;0.5),"NM",FJ383/FH383*100-100))</f>
        <v>8.5959885386819508</v>
      </c>
      <c r="FL383" s="91">
        <f>FL370-FL378</f>
        <v>449</v>
      </c>
      <c r="FM383" s="72">
        <f>IF(ISERROR(FL383/FJ383),"NA",IF(OR(FL383/FJ383&gt;2,FL383/FJ383&lt;0.5),"NM",FL383/FJ383*100-100))</f>
        <v>18.469656992084424</v>
      </c>
      <c r="FN383" s="91">
        <f>FN370-FN378</f>
        <v>515</v>
      </c>
      <c r="FO383" s="72">
        <f>IF(ISERROR(FN383/FL383),"NA",IF(OR(FN383/FL383&gt;2,FN383/FL383&lt;0.5),"NM",FN383/FL383*100-100))</f>
        <v>14.699331848552347</v>
      </c>
      <c r="FP383" s="91">
        <f>FP370-FP378</f>
        <v>808</v>
      </c>
      <c r="FQ383" s="72">
        <f>IF(ISERROR(FP383/FN383),"NA",IF(OR(FP383/FN383&gt;2,FP383/FN383&lt;0.5),"NM",FP383/FN383*100-100))</f>
        <v>56.893203883495147</v>
      </c>
      <c r="FR383" s="91">
        <f>FR370-FR378</f>
        <v>937</v>
      </c>
      <c r="FS383" s="72">
        <f>IF(ISERROR(FR383/FP383),"NA",IF(OR(FR383/FP383&gt;2,FR383/FP383&lt;0.5),"NM",FR383/FP383*100-100))</f>
        <v>15.965346534653463</v>
      </c>
      <c r="FT383" s="91">
        <f>FT370-FT378</f>
        <v>1020</v>
      </c>
      <c r="FU383" s="72">
        <f>IF(ISERROR(FT383/FR383),"NA",IF(OR(FT383/FR383&gt;2,FT383/FR383&lt;0.5),"NM",FT383/FR383*100-100))</f>
        <v>8.858057630736397</v>
      </c>
      <c r="FV383" s="91">
        <f>FV370-FV378</f>
        <v>998</v>
      </c>
      <c r="FW383" s="72">
        <f>IF(ISERROR(FV383/FT383),"NA",IF(OR(FV383/FT383&gt;2,FV383/FT383&lt;0.5),"NM",FV383/FT383*100-100))</f>
        <v>-2.1568627450980387</v>
      </c>
      <c r="FX383" s="91">
        <f>FX370-FX378</f>
        <v>1059</v>
      </c>
      <c r="FY383" s="72">
        <f>IF(ISERROR(FX383/FV383),"NA",IF(OR(FX383/FV383&gt;2,FX383/FV383&lt;0.5),"NM",FX383/FV383*100-100))</f>
        <v>6.1122244488977913</v>
      </c>
      <c r="FZ383" s="91">
        <f>FZ370-FZ378</f>
        <v>1149</v>
      </c>
      <c r="GA383" s="72">
        <f>IF(ISERROR(FZ383/FX383),"NA",IF(OR(FZ383/FX383&gt;2,FZ383/FX383&lt;0.5),"NM",FZ383/FX383*100-100))</f>
        <v>8.4985835694050991</v>
      </c>
      <c r="GB383" s="91">
        <f>GB370-GB378</f>
        <v>1246</v>
      </c>
      <c r="GC383" s="72">
        <f>IF(ISERROR(GB383/FZ383),"NA",IF(OR(GB383/FZ383&gt;2,GB383/FZ383&lt;0.5),"NM",GB383/FZ383*100-100))</f>
        <v>8.4421235857267192</v>
      </c>
      <c r="GD383" s="91">
        <f>GD370-GD378</f>
        <v>1481</v>
      </c>
      <c r="GE383" s="72">
        <f>IF(ISERROR(GD383/GB383),"NA",IF(OR(GD383/GB383&gt;2,GD383/GB383&lt;0.5),"NM",GD383/GB383*100-100))</f>
        <v>18.860353130016065</v>
      </c>
      <c r="GF383" s="91">
        <f>GF370-GF378</f>
        <v>1517</v>
      </c>
      <c r="GG383" s="72">
        <f>IF(ISERROR(GF383/GD383),"NA",IF(OR(GF383/GD383&gt;2,GF383/GD383&lt;0.5),"NM",GF383/GD383*100-100))</f>
        <v>2.4307900067521899</v>
      </c>
      <c r="GH383" s="91">
        <f>GH370-GH378</f>
        <v>1589</v>
      </c>
      <c r="GI383" s="72">
        <f t="shared" ref="GI383:GU384" si="2073">IF(ISERROR(GH383/GF383),"NA",IF(OR(GH383/GF383&gt;2,GH383/GF383&lt;0.5),"NM",GH383/GF383*100-100))</f>
        <v>4.7462096242583982</v>
      </c>
      <c r="GJ383" s="91">
        <f>GJ370-GJ378</f>
        <v>1585</v>
      </c>
      <c r="GK383" s="72">
        <f t="shared" si="2073"/>
        <v>-0.25173064820641855</v>
      </c>
      <c r="GL383" s="91">
        <f>GL370-GL378</f>
        <v>1539</v>
      </c>
      <c r="GM383" s="72">
        <f t="shared" si="2073"/>
        <v>-2.9022082018927478</v>
      </c>
      <c r="GN383" s="91">
        <f>GN370-GN378</f>
        <v>1493</v>
      </c>
      <c r="GO383" s="72">
        <f t="shared" si="2073"/>
        <v>-2.9889538661468436</v>
      </c>
      <c r="GP383" s="91">
        <f>GP370-GP378</f>
        <v>1626.2625556756757</v>
      </c>
      <c r="GQ383" s="72">
        <f t="shared" si="2073"/>
        <v>8.9258242247606034</v>
      </c>
      <c r="GR383" s="91">
        <f>GR370-GR378</f>
        <v>1690.6914579027016</v>
      </c>
      <c r="GS383" s="72">
        <f t="shared" si="2073"/>
        <v>3.9617773896452491</v>
      </c>
      <c r="GT383" s="91">
        <f>GT370-GT378</f>
        <v>1757.6291402188108</v>
      </c>
      <c r="GU383" s="72">
        <f t="shared" si="2073"/>
        <v>3.9591897151444471</v>
      </c>
      <c r="GV383" s="91">
        <f>GV370-GV378</f>
        <v>1827.1684324675607</v>
      </c>
      <c r="GW383" s="72">
        <f>IF(ISERROR(GV383/GT383),"NA",IF(OR(GV383/GT383&gt;2,GV383/GT383&lt;0.5),"NM",GV383/GT383*100-100))</f>
        <v>3.95642577023348</v>
      </c>
      <c r="GX383" s="91">
        <f>GX370-GX378</f>
        <v>1899.4050503366652</v>
      </c>
      <c r="GY383" s="72">
        <f>IF(ISERROR(GX383/GV383),"NA",IF(OR(GX383/GV383&gt;2,GX383/GV383&lt;0.5),"NM",GX383/GV383*100-100))</f>
        <v>3.9534733955287322</v>
      </c>
      <c r="GZ383" s="72">
        <f t="shared" si="1954"/>
        <v>4.93287116057326</v>
      </c>
      <c r="HA383" s="72"/>
      <c r="HB383" s="72"/>
      <c r="HC383"/>
      <c r="HD383"/>
      <c r="HE383"/>
      <c r="HF383"/>
      <c r="HG383"/>
      <c r="HH383"/>
      <c r="HI383" s="2"/>
    </row>
    <row r="384" spans="1:217" s="3" customFormat="1" ht="12.75" customHeight="1" x14ac:dyDescent="0.2">
      <c r="B384" s="77" t="s">
        <v>397</v>
      </c>
      <c r="C384" s="143">
        <f>C383/C370*100</f>
        <v>15.021459227467812</v>
      </c>
      <c r="D384" s="72"/>
      <c r="E384" s="143">
        <f>E383/E370*100</f>
        <v>16.375545851528383</v>
      </c>
      <c r="F384" s="72"/>
      <c r="G384" s="143">
        <f>G383/G370*100</f>
        <v>13.636363636363635</v>
      </c>
      <c r="H384" s="72"/>
      <c r="I384" s="143">
        <f>I383/I370*100</f>
        <v>16.6015625</v>
      </c>
      <c r="J384" s="72"/>
      <c r="K384" s="143">
        <f>K383/K370*100</f>
        <v>18.234165067178505</v>
      </c>
      <c r="L384" s="72">
        <f>IF(ISERROR(K384/C384),"NA",IF(OR(K384/C384&gt;2,K384/C384&lt;0.5),"NM",K384/C384*100-100))</f>
        <v>21.387441732931194</v>
      </c>
      <c r="M384" s="143">
        <f>M383/M370*100</f>
        <v>16.403162055335969</v>
      </c>
      <c r="N384" s="72">
        <f>IF(ISERROR(M384/E384),"NA",IF(OR(M384/E384&gt;2,M384/E384&lt;0.5),"NM",M384/E384*100-100))</f>
        <v>0.1686429512516554</v>
      </c>
      <c r="O384" s="143">
        <f>O383/O370*100</f>
        <v>14.393939393939394</v>
      </c>
      <c r="P384" s="72">
        <f>IF(ISERROR(O384/G384),"NA",IF(OR(O384/G384&gt;2,O384/G384&lt;0.5),"NM",O384/G384*100-100))</f>
        <v>5.5555555555555856</v>
      </c>
      <c r="Q384" s="143">
        <f>Q383/Q370*100</f>
        <v>16.814159292035399</v>
      </c>
      <c r="R384" s="72">
        <f>IF(ISERROR(Q384/I384),"NA",IF(OR(Q384/I384&gt;2,Q384/I384&lt;0.5),"NM",Q384/I384*100-100))</f>
        <v>1.2805830296720444</v>
      </c>
      <c r="S384" s="143">
        <f>S383/S370*100</f>
        <v>17.667844522968199</v>
      </c>
      <c r="T384" s="72">
        <f>IF(ISERROR(S384/K384),"NA",IF(OR(S384/K384&gt;2,S384/K384&lt;0.5),"NM",S384/K384*100-100))</f>
        <v>-3.105821089827046</v>
      </c>
      <c r="U384" s="143">
        <f>U383/U370*100</f>
        <v>15.221238938053098</v>
      </c>
      <c r="V384" s="72">
        <f>IF(ISERROR(U384/M384),"NA",IF(OR(U384/M384&gt;2,U384/M384&lt;0.5),"NM",U384/M384*100-100))</f>
        <v>-7.2054590041582145</v>
      </c>
      <c r="W384" s="143">
        <f>W383/W370*100</f>
        <v>13.504823151125404</v>
      </c>
      <c r="X384" s="72">
        <f>IF(ISERROR(W384/O384),"NA",IF(OR(W384/O384&gt;2,W384/O384&lt;0.5),"NM",W384/O384*100-100))</f>
        <v>-6.1770181079708806</v>
      </c>
      <c r="Y384" s="143">
        <f>Y383/Y370*100</f>
        <v>17.412140575079874</v>
      </c>
      <c r="Z384" s="72">
        <f>IF(ISERROR(Y384/Q384),"NA",IF(OR(Y384/Q384&gt;2,Y384/Q384&lt;0.5),"NM",Y384/Q384*100-100))</f>
        <v>3.5564149991592444</v>
      </c>
      <c r="AA384" s="143">
        <f>AA383/AA370*100</f>
        <v>14.144271570014144</v>
      </c>
      <c r="AB384" s="72">
        <f>IF(ISERROR(AA384/S384),"NA",IF(OR(AA384/S384&gt;2,AA384/S384&lt;0.5),"NM",AA384/S384*100-100))</f>
        <v>-19.943422913719957</v>
      </c>
      <c r="AC384" s="143">
        <f>AC383/AC370*100</f>
        <v>15.820029027576195</v>
      </c>
      <c r="AD384" s="72">
        <f>IF(ISERROR(AC384/U384),"NA",IF(OR(AC384/U384&gt;2,AC384/U384&lt;0.5),"NM",AC384/U384*100-100))</f>
        <v>3.933911634657548</v>
      </c>
      <c r="AE384" s="143">
        <f>AE383/AE370*100</f>
        <v>14.799999999999999</v>
      </c>
      <c r="AF384" s="72">
        <f>IF(ISERROR(AE384/W384),"NA",IF(OR(AE384/W384&gt;2,AE384/W384&lt;0.5),"NM",AE384/W384*100-100))</f>
        <v>9.5904761904761671</v>
      </c>
      <c r="AG384" s="143">
        <f>AG383/AG370*100</f>
        <v>16.34980988593156</v>
      </c>
      <c r="AH384" s="72">
        <f>IF(ISERROR(AG384/Y384),"NA",IF(OR(AG384/Y384&gt;2,AG384/Y384&lt;0.5),"NM",AG384/Y384*100-100))</f>
        <v>-6.1010918477692258</v>
      </c>
      <c r="AI384" s="143">
        <f>AI383/AI370*100</f>
        <v>14.336492890995261</v>
      </c>
      <c r="AJ384" s="72">
        <f>IF(ISERROR(AI384/AA384),"NA",IF(OR(AI384/AA384&gt;2,AI384/AA384&lt;0.5),"NM",AI384/AA384*100-100))</f>
        <v>1.3590047393364983</v>
      </c>
      <c r="AK384" s="143">
        <f>AK383/AK370*100</f>
        <v>16.145181476846059</v>
      </c>
      <c r="AL384" s="72">
        <f>IF(ISERROR(AK384/AC384),"NA",IF(OR(AK384/AC384&gt;2,AK384/AC384&lt;0.5),"NM",AK384/AC384*100-100))</f>
        <v>2.0553214453847346</v>
      </c>
      <c r="AM384" s="143">
        <f>AM383/AM370*100</f>
        <v>16.469194312796208</v>
      </c>
      <c r="AN384" s="72">
        <f>IF(ISERROR(AM384/AE384),"NA",IF(OR(AM384/AE384&gt;2,AM384/AE384&lt;0.5),"NM",AM384/AE384*100-100))</f>
        <v>11.278339951325748</v>
      </c>
      <c r="AO384" s="143">
        <f>AO383/AO370*100</f>
        <v>13.740458015267176</v>
      </c>
      <c r="AP384" s="72">
        <f>IF(ISERROR(AO384/AG384),"NA",IF(OR(AO384/AG384&gt;2,AO384/AG384&lt;0.5),"NM",AO384/AG384*100-100))</f>
        <v>-15.959524232203094</v>
      </c>
      <c r="AQ384" s="143">
        <f>AQ383/AQ370*100</f>
        <v>15.44434857635893</v>
      </c>
      <c r="AR384" s="72">
        <f>IF(ISERROR(AQ384/AI384),"NA",IF(OR(AQ384/AI384&gt;2,AQ384/AI384&lt;0.5),"NM",AQ384/AI384*100-100))</f>
        <v>7.7275223012143357</v>
      </c>
      <c r="AS384" s="143">
        <f>AS383/AS370*100</f>
        <v>16.88191881918819</v>
      </c>
      <c r="AT384" s="72">
        <f>IF(ISERROR(AS384/AK384),"NA",IF(OR(AS384/AK384&gt;2,AS384/AK384&lt;0.5),"NM",AS384/AK384*100-100))</f>
        <v>4.5632026087702542</v>
      </c>
      <c r="AU384" s="143">
        <f>AU383/AU370*100</f>
        <v>19.890009165902843</v>
      </c>
      <c r="AV384" s="72">
        <f>IF(ISERROR(AU384/AM384),"NA",IF(OR(AU384/AM384&gt;2,AU384/AM384&lt;0.5),"NM",AU384/AM384*100-100))</f>
        <v>20.770990906633074</v>
      </c>
      <c r="AW384" s="143">
        <f>AW383/AW370*100</f>
        <v>19.94773519163763</v>
      </c>
      <c r="AX384" s="72">
        <f>IF(ISERROR(AW384/AO384),"NA",IF(OR(AW384/AO384&gt;2,AW384/AO384&lt;0.5),"NM",AW384/AO384*100-100))</f>
        <v>45.17518389469609</v>
      </c>
      <c r="AY384" s="143">
        <f>AY383/AY370*100</f>
        <v>18.867924528301888</v>
      </c>
      <c r="AZ384" s="72">
        <f>IF(ISERROR(AY384/AQ384),"NA",IF(OR(AY384/AQ384&gt;2,AY384/AQ384&lt;0.5),"NM",AY384/AQ384*100-100))</f>
        <v>22.167176135764734</v>
      </c>
      <c r="BA384" s="143">
        <f>BA383/BA370*100</f>
        <v>18.952618453865338</v>
      </c>
      <c r="BB384" s="72">
        <f>IF(ISERROR(BA384/AS384),"NA",IF(OR(BA384/AS384&gt;2,BA384/AS384&lt;0.5),"NM",BA384/AS384*100-100))</f>
        <v>12.265783628360822</v>
      </c>
      <c r="BC384" s="143">
        <f>BC383/BC370*100</f>
        <v>20.3125</v>
      </c>
      <c r="BD384" s="72">
        <f>IF(ISERROR(BC384/AU384),"NA",IF(OR(BC384/AU384&gt;2,BC384/AU384&lt;0.5),"NM",BC384/AU384*100-100))</f>
        <v>2.1241359447004413</v>
      </c>
      <c r="BE384" s="143">
        <f>BE383/BE370*100</f>
        <v>18.619582664526487</v>
      </c>
      <c r="BF384" s="72">
        <f>IF(ISERROR(BE384/AW384),"NA",IF(OR(BE384/AW384&gt;2,BE384/AW384&lt;0.5),"NM",BE384/AW384*100-100))</f>
        <v>-6.6581620136401511</v>
      </c>
      <c r="BG384" s="143">
        <f>BG383/BG370*100</f>
        <v>19.793966151582048</v>
      </c>
      <c r="BH384" s="72">
        <f>IF(ISERROR(BG384/AY384),"NA",IF(OR(BG384/AY384&gt;2,BG384/AY384&lt;0.5),"NM",BG384/AY384*100-100))</f>
        <v>4.9080206033848413</v>
      </c>
      <c r="BI384" s="143">
        <f>BI383/BI370*100</f>
        <v>19.342507645259939</v>
      </c>
      <c r="BJ384" s="72">
        <f>IF(ISERROR(BI384/BA384),"NA",IF(OR(BI384/BA384&gt;2,BI384/BA384&lt;0.5),"NM",BI384/BA384*100-100))</f>
        <v>2.0571784967004589</v>
      </c>
      <c r="BK384" s="143">
        <f>BK383/BK370*100</f>
        <v>19.791666666666664</v>
      </c>
      <c r="BL384" s="72">
        <f>IF(ISERROR(BK384/BC384),"NA",IF(OR(BK384/BC384&gt;2,BK384/BC384&lt;0.5),"NM",BK384/BC384*100-100))</f>
        <v>-2.5641025641025834</v>
      </c>
      <c r="BM384" s="143">
        <f>BM383/BM370*100</f>
        <v>16.535994297933001</v>
      </c>
      <c r="BN384" s="72">
        <f>IF(ISERROR(BM384/BE384),"NA",IF(OR(BM384/BE384&gt;2,BM384/BE384&lt;0.5),"NM",BM384/BE384*100-100))</f>
        <v>-11.190306486101221</v>
      </c>
      <c r="BO384" s="143">
        <f>BO383/BO370*100</f>
        <v>18.072289156626507</v>
      </c>
      <c r="BP384" s="72">
        <f>IF(ISERROR(BO384/BG384),"NA",IF(OR(BO384/BG384&gt;2,BO384/BG384&lt;0.5),"NM",BO384/BG384*100-100))</f>
        <v>-8.6979889819501182</v>
      </c>
      <c r="BQ384" s="143">
        <f>BQ383/BQ370*100</f>
        <v>19.207521826729348</v>
      </c>
      <c r="BR384" s="72">
        <f>IF(ISERROR(BQ384/BI384),"NA",IF(OR(BQ384/BI384&gt;2,BQ384/BI384&lt;0.5),"NM",BQ384/BI384*100-100))</f>
        <v>-0.69787134639530279</v>
      </c>
      <c r="BS384" s="143">
        <f>BS383/BS370*100</f>
        <v>20.041039671682626</v>
      </c>
      <c r="BT384" s="72">
        <f>IF(ISERROR(BS384/BK384),"NA",IF(OR(BS384/BK384&gt;2,BS384/BK384&lt;0.5),"NM",BS384/BK384*100-100))</f>
        <v>1.2599899200806561</v>
      </c>
      <c r="BU384" s="143">
        <f>BU383/BU370*100</f>
        <v>17.46987951807229</v>
      </c>
      <c r="BV384" s="72">
        <f>IF(ISERROR(BU384/BM384),"NA",IF(OR(BU384/BM384&gt;2,BU384/BM384&lt;0.5),"NM",BU384/BM384*100-100))</f>
        <v>5.6475903614457792</v>
      </c>
      <c r="BW384" s="143">
        <f>BW383/BW370*100</f>
        <v>17.904993909866018</v>
      </c>
      <c r="BX384" s="72">
        <f>IF(ISERROR(BW384/BO384),"NA",IF(OR(BW384/BO384&gt;2,BW384/BO384&lt;0.5),"NM",BW384/BO384*100-100))</f>
        <v>-0.92570036540803358</v>
      </c>
      <c r="BY384" s="143">
        <f>BY383/BY370*100</f>
        <v>20.467836257309941</v>
      </c>
      <c r="BZ384" s="72">
        <f>IF(ISERROR(BY384/BQ384),"NA",IF(OR(BY384/BQ384&gt;2,BY384/BQ384&lt;0.5),"NM",BY384/BQ384*100-100))</f>
        <v>6.5615670878828638</v>
      </c>
      <c r="CA384" s="143">
        <f>CA383/CA370*100</f>
        <v>19.423558897243108</v>
      </c>
      <c r="CB384" s="72">
        <f>IF(ISERROR(CA384/BS384),"NA",IF(OR(CA384/BS384&gt;2,CA384/BS384&lt;0.5),"NM",CA384/BS384*100-100))</f>
        <v>-3.0810815434490593</v>
      </c>
      <c r="CC384" s="143">
        <f>CC383/CC370*100</f>
        <v>18.127250900360146</v>
      </c>
      <c r="CD384" s="72">
        <f>IF(ISERROR(CC384/BU384),"NA",IF(OR(CC384/BU384&gt;2,CC384/BU384&lt;0.5),"NM",CC384/BU384*100-100))</f>
        <v>3.7628844641304937</v>
      </c>
      <c r="CE384" s="143">
        <f>CE383/CE370*100</f>
        <v>16.301969365426697</v>
      </c>
      <c r="CF384" s="72">
        <f>IF(ISERROR(CE384/BW384),"NA",IF(OR(CE384/BW384&gt;2,CE384/BW384&lt;0.5),"NM",CE384/BW384*100-100))</f>
        <v>-8.9529466053379707</v>
      </c>
      <c r="CG384" s="143">
        <f>CG383/CG370*100</f>
        <v>15.652687536916716</v>
      </c>
      <c r="CH384" s="72">
        <f>IF(ISERROR(CG384/BY384),"NA",IF(OR(CG384/BY384&gt;2,CG384/BY384&lt;0.5),"NM",CG384/BY384*100-100))</f>
        <v>-23.525440891064036</v>
      </c>
      <c r="CI384" s="143">
        <f>CI383/CI370*100</f>
        <v>16.210295728368017</v>
      </c>
      <c r="CJ384" s="72">
        <f>IF(ISERROR(CI384/CA384),"NA",IF(OR(CI384/CA384&gt;2,CI384/CA384&lt;0.5),"NM",CI384/CA384*100-100))</f>
        <v>-16.543122637176282</v>
      </c>
      <c r="CK384" s="143">
        <f>CK383/CK370*100</f>
        <v>15.223097112860891</v>
      </c>
      <c r="CL384" s="72">
        <f>IF(ISERROR(CK384/CC384),"NA",IF(OR(CK384/CC384&gt;2,CK384/CC384&lt;0.5),"NM",CK384/CC384*100-100))</f>
        <v>-16.020927847595217</v>
      </c>
      <c r="CM384" s="143">
        <f>CM383/CM370*100</f>
        <v>14.306151645207441</v>
      </c>
      <c r="CN384" s="72">
        <f>IF(ISERROR(CM384/CE384),"NA",IF(OR(CM384/CE384&gt;2,CM384/CE384&lt;0.5),"NM",CM384/CE384*100-100))</f>
        <v>-12.242801317318126</v>
      </c>
      <c r="CO384" s="143">
        <f>CO383/CO370*100</f>
        <v>16.203703703703702</v>
      </c>
      <c r="CP384" s="72">
        <f>IF(ISERROR(CO384/CG384),"NA",IF(OR(CO384/CG384&gt;2,CO384/CG384&lt;0.5),"NM",CO384/CG384*100-100))</f>
        <v>3.520265548567437</v>
      </c>
      <c r="CQ384" s="143">
        <f>CQ383/CQ370*100</f>
        <v>15.944123314065511</v>
      </c>
      <c r="CR384" s="72">
        <f>IF(ISERROR(CQ384/CI384),"NA",IF(OR(CQ384/CI384&gt;2,CQ384/CI384&lt;0.5),"NM",CQ384/CI384*100-100))</f>
        <v>-1.6419960422850579</v>
      </c>
      <c r="CS384" s="143">
        <f>CS383/CS370*100</f>
        <v>14.388489208633093</v>
      </c>
      <c r="CT384" s="72">
        <f>IF(ISERROR(CS384/CK384),"NA",IF(OR(CS384/CK384&gt;2,CS384/CK384&lt;0.5),"NM",CS384/CK384*100-100))</f>
        <v>-5.4825105432895072</v>
      </c>
      <c r="CU384" s="143">
        <f>CU383/CU370*100</f>
        <v>16.486836426413465</v>
      </c>
      <c r="CV384" s="72">
        <f>IF(ISERROR(CU384/CM384),"NA",IF(OR(CU384/CM384&gt;2,CU384/CM384&lt;0.5),"NM",CU384/CM384*100-100))</f>
        <v>15.242986620630106</v>
      </c>
      <c r="CW384" s="143">
        <f>CW383/CW370*100</f>
        <v>17.062043795620436</v>
      </c>
      <c r="CX384" s="72">
        <f>IF(ISERROR(CW384/CO384),"NA",IF(OR(CW384/CO384&gt;2,CW384/CO384&lt;0.5),"NM",CW384/CO384*100-100))</f>
        <v>5.2971845672575597</v>
      </c>
      <c r="CY384" s="143">
        <f>CY383/CY370*100</f>
        <v>17.568171658471165</v>
      </c>
      <c r="CZ384" s="72">
        <f>IF(ISERROR(CY384/CQ384),"NA",IF(OR(CY384/CQ384&gt;2,CY384/CQ384&lt;0.5),"NM",CY384/CQ384*100-100))</f>
        <v>10.185874208417346</v>
      </c>
      <c r="DA384" s="143">
        <f>DA383/DA370*100</f>
        <v>14.716312056737587</v>
      </c>
      <c r="DB384" s="72">
        <f>IF(ISERROR(DA384/CS384),"NA",IF(OR(DA384/CS384&gt;2,DA384/CS384&lt;0.5),"NM",DA384/CS384*100-100))</f>
        <v>2.2783687943262407</v>
      </c>
      <c r="DC384" s="143">
        <f>DC383/DC370*100</f>
        <v>17.273843634875153</v>
      </c>
      <c r="DD384" s="72">
        <f>IF(ISERROR(DC384/CU384),"NA",IF(OR(DC384/CU384&gt;2,DC384/CU384&lt;0.5),"NM",DC384/CU384*100-100))</f>
        <v>4.7735489581301778</v>
      </c>
      <c r="DE384" s="143">
        <f>DE383/DE370*100</f>
        <v>17.052826691380911</v>
      </c>
      <c r="DF384" s="72">
        <f>IF(ISERROR(DE384/CW384),"NA",IF(OR(DE384/CW384&gt;2,DE384/CW384&lt;0.5),"NM",DE384/CW384*100-100))</f>
        <v>-5.4021102922561681E-2</v>
      </c>
      <c r="DG384" s="143">
        <f>DG383/DG370*100</f>
        <v>19.512195121951219</v>
      </c>
      <c r="DH384" s="72">
        <f>IF(ISERROR(DG384/CY384),"NA",IF(OR(DG384/CY384&gt;2,DG384/CY384&lt;0.5),"NM",DG384/CY384*100-100))</f>
        <v>11.065599205610383</v>
      </c>
      <c r="DI384" s="143">
        <f>DI383/DI370*100</f>
        <v>13.747731397459164</v>
      </c>
      <c r="DJ384" s="72">
        <f>IF(ISERROR(DI384/DA384),"NA",IF(OR(DI384/DA384&gt;2,DI384/DA384&lt;0.5),"NM",DI384/DA384*100-100))</f>
        <v>-6.5816806244943393</v>
      </c>
      <c r="DK384" s="143">
        <f>DK383/DK370*100</f>
        <v>16.901976603469141</v>
      </c>
      <c r="DL384" s="72">
        <f>IF(ISERROR(DK384/DC384),"NA",IF(OR(DK384/DC384&gt;2,DK384/DC384&lt;0.5),"NM",DK384/DC384*100-100))</f>
        <v>-2.1527752552722461</v>
      </c>
      <c r="DM384" s="143">
        <f>DM383/DM370*100</f>
        <v>16.895179124281292</v>
      </c>
      <c r="DN384" s="72">
        <f t="shared" si="2064"/>
        <v>-0.92446589619831343</v>
      </c>
      <c r="DO384" s="143">
        <f>DO383/DO370*100</f>
        <v>18.126094570928196</v>
      </c>
      <c r="DP384" s="72">
        <f t="shared" si="2064"/>
        <v>-7.1037653239929881</v>
      </c>
      <c r="DQ384" s="143">
        <f>DQ383/DQ370*100</f>
        <v>16.674097191261701</v>
      </c>
      <c r="DR384" s="72">
        <f t="shared" si="2064"/>
        <v>21.286172308715479</v>
      </c>
      <c r="DS384" s="143">
        <f>DS383/DS370*100</f>
        <v>17.977067977067975</v>
      </c>
      <c r="DT384" s="72">
        <f t="shared" si="2064"/>
        <v>6.3607434729152885</v>
      </c>
      <c r="DU384" s="143">
        <f>DU383/DU370*100</f>
        <v>17.077543702375618</v>
      </c>
      <c r="DV384" s="72">
        <f t="shared" si="2064"/>
        <v>1.0793882488776774</v>
      </c>
      <c r="DW384" s="143">
        <f>DW383/DW370*100</f>
        <v>17.68888888888889</v>
      </c>
      <c r="DX384" s="72">
        <f t="shared" si="2064"/>
        <v>-2.412023617820708</v>
      </c>
      <c r="DY384" s="143">
        <f>DY383/DY370*100</f>
        <v>16.318363717207649</v>
      </c>
      <c r="DZ384" s="72">
        <f t="shared" si="2064"/>
        <v>-2.1334496853027787</v>
      </c>
      <c r="EA384" s="143">
        <f>EA383/EA370*100</f>
        <v>16.021883548261041</v>
      </c>
      <c r="EB384" s="72">
        <f>IF(ISERROR(EA384/DS384),"NA",IF(OR(EA384/DS384&gt;2,EA384/DS384&lt;0.5),"NM",EA384/DS384*100-100))</f>
        <v>-10.875991742930609</v>
      </c>
      <c r="EC384" s="143">
        <f>EC383/EC370*100</f>
        <v>14.191146048820851</v>
      </c>
      <c r="ED384" s="72">
        <f>IF(ISERROR(EC384/DU384),"NA",IF(OR(EC384/DU384&gt;2,EC384/DU384&lt;0.5),"NM",EC384/DU384*100-100))</f>
        <v>-16.901714344043782</v>
      </c>
      <c r="EE384" s="143">
        <f>EE383/EE370*100</f>
        <v>15.436241610738255</v>
      </c>
      <c r="EF384" s="72">
        <f>IF(ISERROR(EE384/DW384),"NA",IF(OR(EE384/DW384&gt;2,EE384/DW384&lt;0.5),"NM",EE384/DW384*100-100))</f>
        <v>-12.734815014670673</v>
      </c>
      <c r="EG384" s="143">
        <f>EG383/EG370*100</f>
        <v>15.946709729511504</v>
      </c>
      <c r="EH384" s="72">
        <f>IF(ISERROR(EG384/DY384),"NA",IF(OR(EG384/DY384&gt;2,EG384/DY384&lt;0.5),"NM",EG384/DY384*100-100))</f>
        <v>-2.2775199409499436</v>
      </c>
      <c r="EI384" s="143">
        <f>EI383/EI370*100</f>
        <v>14.686825053995682</v>
      </c>
      <c r="EJ384" s="72">
        <f>IF(ISERROR(EI384/EA384),"NA",IF(OR(EI384/EA384&gt;2,EI384/EA384&lt;0.5),"NM",EI384/EA384*100-100))</f>
        <v>-8.3327187483537983</v>
      </c>
      <c r="EK384" s="143">
        <f>EK383/EK370*100</f>
        <v>12.766783081102057</v>
      </c>
      <c r="EL384" s="72">
        <f>IF(ISERROR(EK384/EC384),"NA",IF(OR(EK384/EC384&gt;2,EK384/EC384&lt;0.5),"NM",EK384/EC384*100-100))</f>
        <v>-10.036983361447014</v>
      </c>
      <c r="EM384" s="143">
        <f>EM383/EM370*100</f>
        <v>14.198705748001522</v>
      </c>
      <c r="EN384" s="72">
        <f>IF(ISERROR(EM384/EE384),"NA",IF(OR(EM384/EE384&gt;2,EM384/EE384&lt;0.5),"NM",EM384/EE384*100-100))</f>
        <v>-8.0170801542510048</v>
      </c>
      <c r="EO384" s="143">
        <f>EO383/EO370*100</f>
        <v>14.387678437265214</v>
      </c>
      <c r="EP384" s="72">
        <f>IF(ISERROR(EO384/EG384),"NA",IF(OR(EO384/EG384&gt;2,EO384/EG384&lt;0.5),"NM",EO384/EG384*100-100))</f>
        <v>-9.7765076225166183</v>
      </c>
      <c r="EQ384" s="143">
        <f t="shared" ref="EQ384" si="2074">EQ383/EQ370*100</f>
        <v>14.967407858363217</v>
      </c>
      <c r="ER384" s="72">
        <f t="shared" si="2066"/>
        <v>1.9104388003260198</v>
      </c>
      <c r="ES384" s="143">
        <f t="shared" ref="ES384" si="2075">ES383/ES370*100</f>
        <v>14.982560741378755</v>
      </c>
      <c r="ET384" s="72">
        <f t="shared" si="2068"/>
        <v>17.355802524416575</v>
      </c>
      <c r="EU384" s="143">
        <f t="shared" ref="EU384" si="2076">EU383/EU370*100</f>
        <v>14.224993921025137</v>
      </c>
      <c r="EV384" s="72">
        <f t="shared" si="2070"/>
        <v>0.18514485397595593</v>
      </c>
      <c r="EW384" s="143">
        <f t="shared" ref="EW384" si="2077">EW383/EW370*100</f>
        <v>14.326994376608956</v>
      </c>
      <c r="EX384" s="72">
        <f t="shared" si="2072"/>
        <v>-0.42177798816437928</v>
      </c>
      <c r="EY384" s="72"/>
      <c r="EZ384" s="320"/>
      <c r="FA384" s="72"/>
      <c r="FB384" s="109">
        <f>FB383/FB370*100</f>
        <v>13.211009174311927</v>
      </c>
      <c r="FC384" s="72"/>
      <c r="FD384" s="109">
        <f>FD383/FD370*100</f>
        <v>14.323258869908015</v>
      </c>
      <c r="FE384" s="72">
        <f>IF(ISERROR(FD384/FB384),"NA",IF(OR(FD384/FB384&gt;2,FD384/FB384&lt;0.5),"NM",FD384/FB384*100-100))</f>
        <v>8.4191122791648354</v>
      </c>
      <c r="FF384" s="109">
        <f>FF383/FF370*100</f>
        <v>15.416666666666668</v>
      </c>
      <c r="FG384" s="72">
        <f>IF(ISERROR(FF384/FD384),"NA",IF(OR(FF384/FD384&gt;2,FF384/FD384&lt;0.5),"NM",FF384/FD384*100-100))</f>
        <v>7.633792048929692</v>
      </c>
      <c r="FH384" s="109">
        <f>FH383/FH370*100</f>
        <v>16.462264150943394</v>
      </c>
      <c r="FI384" s="72">
        <f>IF(ISERROR(FH384/FF384),"NA",IF(OR(FH384/FF384&gt;2,FH384/FF384&lt;0.5),"NM",FH384/FF384*100-100))</f>
        <v>6.7822539520652469</v>
      </c>
      <c r="FJ384" s="109">
        <f>FJ383/FJ370*100</f>
        <v>15.931063472047077</v>
      </c>
      <c r="FK384" s="72">
        <f>IF(ISERROR(FJ384/FH384),"NA",IF(OR(FJ384/FH384&gt;2,FJ384/FH384&lt;0.5),"NM",FJ384/FH384*100-100))</f>
        <v>-3.2267777629231773</v>
      </c>
      <c r="FL384" s="143">
        <f>FL383/FL370*100</f>
        <v>15.298126064735944</v>
      </c>
      <c r="FM384" s="72">
        <f>IF(ISERROR(FL384/FJ384),"NA",IF(OR(FL384/FJ384&gt;2,FL384/FJ384&lt;0.5),"NM",FL384/FJ384*100-100))</f>
        <v>-3.9729764960242306</v>
      </c>
      <c r="FN384" s="143">
        <f>FN383/FN370*100</f>
        <v>15.129259694477085</v>
      </c>
      <c r="FO384" s="72">
        <f>IF(ISERROR(FN384/FL384),"NA",IF(OR(FN384/FL384&gt;2,FN384/FL384&lt;0.5),"NM",FN384/FL384*100-100))</f>
        <v>-1.1038369637188339</v>
      </c>
      <c r="FP384" s="143">
        <f>FP383/FP370*100</f>
        <v>18.027666220437304</v>
      </c>
      <c r="FQ384" s="72">
        <f>IF(ISERROR(FP384/FN384),"NA",IF(OR(FP384/FN384&gt;2,FP384/FN384&lt;0.5),"NM",FP384/FN384*100-100))</f>
        <v>19.15762294052152</v>
      </c>
      <c r="FR384" s="143">
        <f>FR383/FR370*100</f>
        <v>19.185094185094183</v>
      </c>
      <c r="FS384" s="72">
        <f>IF(ISERROR(FR384/FP384),"NA",IF(OR(FR384/FP384&gt;2,FR384/FP384&lt;0.5),"NM",FR384/FP384*100-100))</f>
        <v>6.4202872990001651</v>
      </c>
      <c r="FT384" s="143">
        <f>FT383/FT370*100</f>
        <v>18.840044329516068</v>
      </c>
      <c r="FU384" s="72">
        <f>IF(ISERROR(FT384/FR384),"NA",IF(OR(FT384/FR384&gt;2,FT384/FR384&lt;0.5),"NM",FT384/FR384*100-100))</f>
        <v>-1.7985309441232715</v>
      </c>
      <c r="FV384" s="143">
        <f>FV383/FV370*100</f>
        <v>16.597372359886911</v>
      </c>
      <c r="FW384" s="72">
        <f>IF(ISERROR(FV384/FT384),"NA",IF(OR(FV384/FT384&gt;2,FV384/FT384&lt;0.5),"NM",FV384/FT384*100-100))</f>
        <v>-11.903751023110061</v>
      </c>
      <c r="FX384" s="143">
        <f>FX383/FX370*100</f>
        <v>16.56499296105115</v>
      </c>
      <c r="FY384" s="72">
        <f>IF(ISERROR(FX384/FV384),"NA",IF(OR(FX384/FV384&gt;2,FX384/FV384&lt;0.5),"NM",FX384/FV384*100-100))</f>
        <v>-0.19508750019983268</v>
      </c>
      <c r="FZ384" s="143">
        <f>FZ383/FZ370*100</f>
        <v>15.843905129619415</v>
      </c>
      <c r="GA384" s="72">
        <f>IF(ISERROR(FZ384/FX384),"NA",IF(OR(FZ384/FX384&gt;2,FZ384/FX384&lt;0.5),"NM",FZ384/FX384*100-100))</f>
        <v>-4.3530826311077249</v>
      </c>
      <c r="GB384" s="143">
        <f>GB383/GB370*100</f>
        <v>15.191416727627407</v>
      </c>
      <c r="GC384" s="72">
        <f>IF(ISERROR(GB384/FZ384),"NA",IF(OR(GB384/FZ384&gt;2,GB384/FZ384&lt;0.5),"NM",GB384/FZ384*100-100))</f>
        <v>-4.1182296703620835</v>
      </c>
      <c r="GD384" s="143">
        <f>GD383/GD370*100</f>
        <v>16.451899577871583</v>
      </c>
      <c r="GE384" s="72">
        <f>IF(ISERROR(GD384/GB384),"NA",IF(OR(GD384/GB384&gt;2,GD384/GB384&lt;0.5),"NM",GD384/GB384*100-100))</f>
        <v>8.2973357445447249</v>
      </c>
      <c r="GF384" s="143">
        <f>GF383/GF370*100</f>
        <v>16.896858988638897</v>
      </c>
      <c r="GG384" s="72">
        <f>IF(ISERROR(GF384/GD384),"NA",IF(OR(GF384/GD384&gt;2,GF384/GD384&lt;0.5),"NM",GF384/GD384*100-100))</f>
        <v>2.7046081132527746</v>
      </c>
      <c r="GH384" s="143">
        <f>GH383/GH370*100</f>
        <v>17.146865220675515</v>
      </c>
      <c r="GI384" s="72">
        <f t="shared" si="2073"/>
        <v>1.4796018135957496</v>
      </c>
      <c r="GJ384" s="143">
        <f>GJ383/GJ370*100</f>
        <v>17.280854775403402</v>
      </c>
      <c r="GK384" s="72">
        <f t="shared" si="2073"/>
        <v>0.78142303565972782</v>
      </c>
      <c r="GL384" s="143">
        <f>GL383/GL370*100</f>
        <v>15.411576206689364</v>
      </c>
      <c r="GM384" s="72">
        <f t="shared" si="2073"/>
        <v>-10.817049231700409</v>
      </c>
      <c r="GN384" s="143">
        <f>GN383/GN370*100</f>
        <v>14.026681698609544</v>
      </c>
      <c r="GO384" s="72">
        <f t="shared" si="2073"/>
        <v>-8.9860666391715966</v>
      </c>
      <c r="GP384" s="143">
        <f>GP383/GP370*100</f>
        <v>14.627680958486671</v>
      </c>
      <c r="GQ384" s="72">
        <f t="shared" si="2073"/>
        <v>4.2846859491842935</v>
      </c>
      <c r="GR384" s="143">
        <f>GR383/GR370*100</f>
        <v>14.622304918586002</v>
      </c>
      <c r="GS384" s="72">
        <f t="shared" si="2073"/>
        <v>-3.6752509956471613E-2</v>
      </c>
      <c r="GT384" s="143">
        <f>GT383/GT370*100</f>
        <v>14.61656702984588</v>
      </c>
      <c r="GU384" s="72">
        <f t="shared" si="2073"/>
        <v>-3.9240658514984261E-2</v>
      </c>
      <c r="GV384" s="143">
        <f>GV383/GV370*100</f>
        <v>14.610442937055918</v>
      </c>
      <c r="GW384" s="72">
        <f>IF(ISERROR(GV384/GT384),"NA",IF(OR(GV384/GT384&gt;2,GV384/GT384&lt;0.5),"NM",GV384/GT384*100-100))</f>
        <v>-4.1898297852412725E-2</v>
      </c>
      <c r="GX384" s="143">
        <f>GX383/GX370*100</f>
        <v>14.603906645712813</v>
      </c>
      <c r="GY384" s="72">
        <f>IF(ISERROR(GX384/GV384),"NA",IF(OR(GX384/GV384&gt;2,GX384/GV384&lt;0.5),"NM",GX384/GV384*100-100))</f>
        <v>-4.4737119683944115E-2</v>
      </c>
      <c r="GZ384" s="72">
        <f t="shared" si="1954"/>
        <v>0.80981581176047257</v>
      </c>
      <c r="HA384" s="72"/>
      <c r="HB384" s="72"/>
      <c r="HC384"/>
      <c r="HD384"/>
      <c r="HE384"/>
      <c r="HF384"/>
      <c r="HG384"/>
      <c r="HH384"/>
      <c r="HI384" s="2"/>
    </row>
    <row r="385" spans="1:217" ht="12.75" customHeight="1" x14ac:dyDescent="0.2">
      <c r="B385" s="77"/>
      <c r="C385" s="109"/>
      <c r="D385" s="72"/>
      <c r="E385" s="109"/>
      <c r="F385" s="72"/>
      <c r="G385" s="109"/>
      <c r="H385" s="72"/>
      <c r="I385" s="109"/>
      <c r="J385" s="72"/>
      <c r="K385" s="109"/>
      <c r="L385" s="72"/>
      <c r="M385" s="109"/>
      <c r="N385" s="72"/>
      <c r="O385" s="109"/>
      <c r="P385" s="72"/>
      <c r="Q385" s="109"/>
      <c r="R385" s="72"/>
      <c r="S385" s="109"/>
      <c r="T385" s="72"/>
      <c r="U385" s="109"/>
      <c r="V385" s="72"/>
      <c r="W385" s="109"/>
      <c r="X385" s="72"/>
      <c r="Y385" s="109"/>
      <c r="Z385" s="72"/>
      <c r="AA385" s="109"/>
      <c r="AB385" s="72"/>
      <c r="AC385" s="109"/>
      <c r="AD385" s="72"/>
      <c r="AE385" s="109"/>
      <c r="AF385" s="72"/>
      <c r="AG385" s="109"/>
      <c r="AH385" s="72"/>
      <c r="AI385" s="109"/>
      <c r="AJ385" s="72"/>
      <c r="AK385" s="109"/>
      <c r="AL385" s="72"/>
      <c r="AM385" s="109"/>
      <c r="AN385" s="72"/>
      <c r="AO385" s="109"/>
      <c r="AP385" s="72"/>
      <c r="AQ385" s="109"/>
      <c r="AR385" s="72"/>
      <c r="AS385" s="109"/>
      <c r="AT385" s="72"/>
      <c r="AU385" s="109"/>
      <c r="AV385" s="72"/>
      <c r="AW385" s="109"/>
      <c r="AX385" s="72"/>
      <c r="AY385" s="109"/>
      <c r="AZ385" s="72"/>
      <c r="BA385" s="109"/>
      <c r="BB385" s="72"/>
      <c r="BC385" s="109"/>
      <c r="BD385" s="72"/>
      <c r="BE385" s="109"/>
      <c r="BF385" s="72"/>
      <c r="BG385" s="109"/>
      <c r="BH385" s="72"/>
      <c r="BI385" s="109"/>
      <c r="BJ385" s="72"/>
      <c r="BK385" s="109"/>
      <c r="BL385" s="72"/>
      <c r="BM385" s="109"/>
      <c r="BN385" s="72"/>
      <c r="BO385" s="109"/>
      <c r="BP385" s="72"/>
      <c r="BQ385" s="109"/>
      <c r="BR385" s="72"/>
      <c r="BS385" s="109"/>
      <c r="BT385" s="72"/>
      <c r="BU385" s="109"/>
      <c r="BV385" s="72"/>
      <c r="BW385" s="109"/>
      <c r="BX385" s="72"/>
      <c r="BY385" s="109"/>
      <c r="BZ385" s="72"/>
      <c r="CA385" s="109"/>
      <c r="CB385" s="72"/>
      <c r="CC385" s="109"/>
      <c r="CD385" s="72"/>
      <c r="CE385" s="109"/>
      <c r="CF385" s="72"/>
      <c r="CG385" s="109"/>
      <c r="CH385" s="72"/>
      <c r="CI385" s="109"/>
      <c r="CJ385" s="72"/>
      <c r="CK385" s="109"/>
      <c r="CL385" s="72"/>
      <c r="CM385" s="109"/>
      <c r="CN385" s="72"/>
      <c r="CO385" s="109"/>
      <c r="CP385" s="72"/>
      <c r="CQ385" s="109"/>
      <c r="CR385" s="72"/>
      <c r="CS385" s="109"/>
      <c r="CT385" s="72"/>
      <c r="CU385" s="109"/>
      <c r="CV385" s="72"/>
      <c r="CW385" s="109"/>
      <c r="CX385" s="72"/>
      <c r="CY385" s="109"/>
      <c r="CZ385" s="72"/>
      <c r="DA385" s="109"/>
      <c r="DB385" s="72"/>
      <c r="DC385" s="109"/>
      <c r="DD385" s="72"/>
      <c r="DE385" s="109"/>
      <c r="DF385" s="72"/>
      <c r="DG385" s="109"/>
      <c r="DH385" s="72"/>
      <c r="DI385" s="109"/>
      <c r="DJ385" s="72"/>
      <c r="DK385" s="109"/>
      <c r="DL385" s="72"/>
      <c r="DM385" s="109"/>
      <c r="DN385" s="72"/>
      <c r="DO385" s="109"/>
      <c r="DP385" s="72"/>
      <c r="DQ385" s="109"/>
      <c r="DR385" s="72"/>
      <c r="DS385" s="109"/>
      <c r="DT385" s="72"/>
      <c r="DU385" s="109"/>
      <c r="DV385" s="72"/>
      <c r="DW385" s="109"/>
      <c r="DX385" s="72"/>
      <c r="DY385" s="109"/>
      <c r="DZ385" s="72"/>
      <c r="EA385" s="109"/>
      <c r="EB385" s="72"/>
      <c r="EC385" s="109"/>
      <c r="ED385" s="72"/>
      <c r="EE385" s="109"/>
      <c r="EF385" s="72"/>
      <c r="EG385" s="109"/>
      <c r="EH385" s="72"/>
      <c r="EI385" s="109"/>
      <c r="EJ385" s="72"/>
      <c r="EK385" s="109"/>
      <c r="EL385" s="72"/>
      <c r="EM385" s="109"/>
      <c r="EN385" s="72"/>
      <c r="EO385" s="109"/>
      <c r="EP385" s="72"/>
      <c r="EQ385" s="109"/>
      <c r="ER385" s="72"/>
      <c r="ES385" s="109"/>
      <c r="ET385" s="72"/>
      <c r="EU385" s="109"/>
      <c r="EV385" s="72"/>
      <c r="EW385" s="109"/>
      <c r="EX385" s="72"/>
      <c r="EY385" s="72"/>
      <c r="EZ385" s="306"/>
      <c r="FA385" s="72"/>
      <c r="FB385" s="109"/>
      <c r="FC385" s="72"/>
      <c r="FD385" s="109"/>
      <c r="FE385" s="72"/>
      <c r="FF385" s="109"/>
      <c r="FG385" s="72"/>
      <c r="FH385" s="109"/>
      <c r="FI385" s="72"/>
      <c r="FJ385" s="109"/>
      <c r="FK385" s="72"/>
      <c r="FL385" s="109"/>
      <c r="FM385" s="72"/>
      <c r="FN385" s="109"/>
      <c r="FO385" s="72"/>
      <c r="FP385" s="109"/>
      <c r="FQ385" s="72"/>
      <c r="FR385" s="109"/>
      <c r="FS385" s="72"/>
      <c r="FT385" s="109"/>
      <c r="FU385" s="72"/>
      <c r="FV385" s="109"/>
      <c r="FW385" s="72"/>
      <c r="FX385" s="109"/>
      <c r="FY385" s="72"/>
      <c r="FZ385" s="109"/>
      <c r="GA385" s="72"/>
      <c r="GB385" s="109"/>
      <c r="GC385" s="72"/>
      <c r="GD385" s="109"/>
      <c r="GE385" s="72"/>
      <c r="GF385" s="109"/>
      <c r="GG385" s="72"/>
      <c r="GH385" s="109"/>
      <c r="GI385" s="72"/>
      <c r="GJ385" s="109"/>
      <c r="GK385" s="72"/>
      <c r="GL385" s="109"/>
      <c r="GM385" s="72"/>
      <c r="GN385" s="109"/>
      <c r="GO385" s="72"/>
      <c r="GP385" s="109"/>
      <c r="GQ385" s="72"/>
      <c r="GR385" s="109"/>
      <c r="GS385" s="72"/>
      <c r="GT385" s="109"/>
      <c r="GU385" s="72"/>
      <c r="GV385" s="109"/>
      <c r="GW385" s="72"/>
      <c r="GX385" s="109"/>
      <c r="GY385" s="72"/>
      <c r="GZ385" s="72"/>
      <c r="HA385" s="72"/>
      <c r="HB385" s="72"/>
    </row>
    <row r="386" spans="1:217" s="3" customFormat="1" ht="12.75" customHeight="1" x14ac:dyDescent="0.2">
      <c r="B386" s="77" t="s">
        <v>537</v>
      </c>
      <c r="C386" s="74">
        <v>0</v>
      </c>
      <c r="D386" s="72"/>
      <c r="E386" s="74">
        <v>0</v>
      </c>
      <c r="F386" s="72"/>
      <c r="G386" s="74">
        <v>0</v>
      </c>
      <c r="H386" s="72"/>
      <c r="I386" s="74">
        <v>0</v>
      </c>
      <c r="J386" s="72"/>
      <c r="K386" s="74">
        <v>0</v>
      </c>
      <c r="L386" s="72" t="str">
        <f>IF(ISERROR(K386/C386),"NA",IF(OR(K386/C386&gt;2,K386/C386&lt;0.5),"NM",K386/C386*100-100))</f>
        <v>NA</v>
      </c>
      <c r="M386" s="74">
        <v>0</v>
      </c>
      <c r="N386" s="72" t="str">
        <f>IF(ISERROR(M386/E386),"NA",IF(OR(M386/E386&gt;2,M386/E386&lt;0.5),"NM",M386/E386*100-100))</f>
        <v>NA</v>
      </c>
      <c r="O386" s="74">
        <v>0</v>
      </c>
      <c r="P386" s="72" t="str">
        <f>IF(ISERROR(O386/G386),"NA",IF(OR(O386/G386&gt;2,O386/G386&lt;0.5),"NM",O386/G386*100-100))</f>
        <v>NA</v>
      </c>
      <c r="Q386" s="74">
        <v>0</v>
      </c>
      <c r="R386" s="72" t="str">
        <f>IF(ISERROR(Q386/I386),"NA",IF(OR(Q386/I386&gt;2,Q386/I386&lt;0.5),"NM",Q386/I386*100-100))</f>
        <v>NA</v>
      </c>
      <c r="S386" s="74">
        <v>0</v>
      </c>
      <c r="T386" s="72" t="str">
        <f>IF(ISERROR(S386/K386),"NA",IF(OR(S386/K386&gt;2,S386/K386&lt;0.5),"NM",S386/K386*100-100))</f>
        <v>NA</v>
      </c>
      <c r="U386" s="74">
        <v>0</v>
      </c>
      <c r="V386" s="72" t="str">
        <f>IF(ISERROR(U386/M386),"NA",IF(OR(U386/M386&gt;2,U386/M386&lt;0.5),"NM",U386/M386*100-100))</f>
        <v>NA</v>
      </c>
      <c r="W386" s="74">
        <v>0</v>
      </c>
      <c r="X386" s="72" t="str">
        <f>IF(ISERROR(W386/O386),"NA",IF(OR(W386/O386&gt;2,W386/O386&lt;0.5),"NM",W386/O386*100-100))</f>
        <v>NA</v>
      </c>
      <c r="Y386" s="74">
        <v>0</v>
      </c>
      <c r="Z386" s="72" t="str">
        <f>IF(ISERROR(Y386/Q386),"NA",IF(OR(Y386/Q386&gt;2,Y386/Q386&lt;0.5),"NM",Y386/Q386*100-100))</f>
        <v>NA</v>
      </c>
      <c r="AA386" s="74">
        <v>0</v>
      </c>
      <c r="AB386" s="72" t="str">
        <f>IF(ISERROR(AA386/S386),"NA",IF(OR(AA386/S386&gt;2,AA386/S386&lt;0.5),"NM",AA386/S386*100-100))</f>
        <v>NA</v>
      </c>
      <c r="AC386" s="74">
        <v>0</v>
      </c>
      <c r="AD386" s="72" t="str">
        <f>IF(ISERROR(AC386/U386),"NA",IF(OR(AC386/U386&gt;2,AC386/U386&lt;0.5),"NM",AC386/U386*100-100))</f>
        <v>NA</v>
      </c>
      <c r="AE386" s="74">
        <v>0</v>
      </c>
      <c r="AF386" s="72" t="str">
        <f>IF(ISERROR(AE386/W386),"NA",IF(OR(AE386/W386&gt;2,AE386/W386&lt;0.5),"NM",AE386/W386*100-100))</f>
        <v>NA</v>
      </c>
      <c r="AG386" s="74">
        <v>0</v>
      </c>
      <c r="AH386" s="72" t="str">
        <f>IF(ISERROR(AG386/Y386),"NA",IF(OR(AG386/Y386&gt;2,AG386/Y386&lt;0.5),"NM",AG386/Y386*100-100))</f>
        <v>NA</v>
      </c>
      <c r="AI386" s="74">
        <v>0</v>
      </c>
      <c r="AJ386" s="72" t="str">
        <f>IF(ISERROR(AI386/AA386),"NA",IF(OR(AI386/AA386&gt;2,AI386/AA386&lt;0.5),"NM",AI386/AA386*100-100))</f>
        <v>NA</v>
      </c>
      <c r="AK386" s="74">
        <v>0</v>
      </c>
      <c r="AL386" s="72" t="str">
        <f>IF(ISERROR(AK386/AC386),"NA",IF(OR(AK386/AC386&gt;2,AK386/AC386&lt;0.5),"NM",AK386/AC386*100-100))</f>
        <v>NA</v>
      </c>
      <c r="AM386" s="74">
        <v>0</v>
      </c>
      <c r="AN386" s="72" t="str">
        <f>IF(ISERROR(AM386/AE386),"NA",IF(OR(AM386/AE386&gt;2,AM386/AE386&lt;0.5),"NM",AM386/AE386*100-100))</f>
        <v>NA</v>
      </c>
      <c r="AO386" s="74">
        <v>-11</v>
      </c>
      <c r="AP386" s="72" t="str">
        <f>IF(ISERROR(AO386/AG386),"NA",IF(OR(AO386/AG386&gt;2,AO386/AG386&lt;0.5),"NM",AO386/AG386*100-100))</f>
        <v>NA</v>
      </c>
      <c r="AQ386" s="74">
        <v>7</v>
      </c>
      <c r="AR386" s="72" t="str">
        <f>IF(ISERROR(AQ386/AI386),"NA",IF(OR(AQ386/AI386&gt;2,AQ386/AI386&lt;0.5),"NM",AQ386/AI386*100-100))</f>
        <v>NA</v>
      </c>
      <c r="AS386" s="74">
        <v>0</v>
      </c>
      <c r="AT386" s="72" t="str">
        <f>IF(ISERROR(AS386/AK386),"NA",IF(OR(AS386/AK386&gt;2,AS386/AK386&lt;0.5),"NM",AS386/AK386*100-100))</f>
        <v>NA</v>
      </c>
      <c r="AU386" s="74">
        <v>10</v>
      </c>
      <c r="AV386" s="72" t="str">
        <f>IF(ISERROR(AU386/AM386),"NA",IF(OR(AU386/AM386&gt;2,AU386/AM386&lt;0.5),"NM",AU386/AM386*100-100))</f>
        <v>NA</v>
      </c>
      <c r="AW386" s="74">
        <f>44-20</f>
        <v>24</v>
      </c>
      <c r="AX386" s="72" t="str">
        <f>IF(ISERROR(AW386/AO386),"NA",IF(OR(AW386/AO386&gt;2,AW386/AO386&lt;0.5),"NM",AW386/AO386*100-100))</f>
        <v>NM</v>
      </c>
      <c r="AY386" s="74">
        <v>0</v>
      </c>
      <c r="AZ386" s="72" t="str">
        <f>IF(ISERROR(AY386/AQ386),"NA",IF(OR(AY386/AQ386&gt;2,AY386/AQ386&lt;0.5),"NM",AY386/AQ386*100-100))</f>
        <v>NM</v>
      </c>
      <c r="BA386" s="74">
        <v>0</v>
      </c>
      <c r="BB386" s="72" t="str">
        <f>IF(ISERROR(BA386/AS386),"NA",IF(OR(BA386/AS386&gt;2,BA386/AS386&lt;0.5),"NM",BA386/AS386*100-100))</f>
        <v>NA</v>
      </c>
      <c r="BC386" s="74">
        <v>10</v>
      </c>
      <c r="BD386" s="72">
        <f>IF(ISERROR(BC386/AU386),"NA",IF(OR(BC386/AU386&gt;2,BC386/AU386&lt;0.5),"NM",BC386/AU386*100-100))</f>
        <v>0</v>
      </c>
      <c r="BE386" s="74">
        <v>0</v>
      </c>
      <c r="BF386" s="72" t="str">
        <f>IF(ISERROR(BE386/AW386),"NA",IF(OR(BE386/AW386&gt;2,BE386/AW386&lt;0.5),"NM",BE386/AW386*100-100))</f>
        <v>NM</v>
      </c>
      <c r="BG386" s="74">
        <v>0</v>
      </c>
      <c r="BH386" s="72" t="str">
        <f>IF(ISERROR(BG386/AY386),"NA",IF(OR(BG386/AY386&gt;2,BG386/AY386&lt;0.5),"NM",BG386/AY386*100-100))</f>
        <v>NA</v>
      </c>
      <c r="BI386" s="74">
        <v>0</v>
      </c>
      <c r="BJ386" s="72" t="str">
        <f>IF(ISERROR(BI386/BA386),"NA",IF(OR(BI386/BA386&gt;2,BI386/BA386&lt;0.5),"NM",BI386/BA386*100-100))</f>
        <v>NA</v>
      </c>
      <c r="BK386" s="74">
        <f>-53</f>
        <v>-53</v>
      </c>
      <c r="BL386" s="72" t="str">
        <f>IF(ISERROR(BK386/BC386),"NA",IF(OR(BK386/BC386&gt;2,BK386/BC386&lt;0.5),"NM",BK386/BC386*100-100))</f>
        <v>NM</v>
      </c>
      <c r="BM386" s="74">
        <v>-49</v>
      </c>
      <c r="BN386" s="72" t="str">
        <f>IF(ISERROR(BM386/BE386),"NA",IF(OR(BM386/BE386&gt;2,BM386/BE386&lt;0.5),"NM",BM386/BE386*100-100))</f>
        <v>NA</v>
      </c>
      <c r="BO386" s="74">
        <v>0</v>
      </c>
      <c r="BP386" s="72" t="str">
        <f>IF(ISERROR(BO386/BG386),"NA",IF(OR(BO386/BG386&gt;2,BO386/BG386&lt;0.5),"NM",BO386/BG386*100-100))</f>
        <v>NA</v>
      </c>
      <c r="BQ386" s="74">
        <v>0</v>
      </c>
      <c r="BR386" s="72" t="str">
        <f>IF(ISERROR(BQ386/BI386),"NA",IF(OR(BQ386/BI386&gt;2,BQ386/BI386&lt;0.5),"NM",BQ386/BI386*100-100))</f>
        <v>NA</v>
      </c>
      <c r="BS386" s="74">
        <v>0</v>
      </c>
      <c r="BT386" s="72" t="str">
        <f>IF(ISERROR(BS386/BK386),"NA",IF(OR(BS386/BK386&gt;2,BS386/BK386&lt;0.5),"NM",BS386/BK386*100-100))</f>
        <v>NM</v>
      </c>
      <c r="BU386" s="74">
        <v>0</v>
      </c>
      <c r="BV386" s="72" t="str">
        <f>IF(ISERROR(BU386/BM386),"NA",IF(OR(BU386/BM386&gt;2,BU386/BM386&lt;0.5),"NM",BU386/BM386*100-100))</f>
        <v>NM</v>
      </c>
      <c r="BW386" s="74">
        <v>-4</v>
      </c>
      <c r="BX386" s="72" t="str">
        <f>IF(ISERROR(BW386/BO386),"NA",IF(OR(BW386/BO386&gt;2,BW386/BO386&lt;0.5),"NM",BW386/BO386*100-100))</f>
        <v>NA</v>
      </c>
      <c r="BY386" s="74">
        <v>-7</v>
      </c>
      <c r="BZ386" s="72" t="str">
        <f>IF(ISERROR(BY386/BQ386),"NA",IF(OR(BY386/BQ386&gt;2,BY386/BQ386&lt;0.5),"NM",BY386/BQ386*100-100))</f>
        <v>NA</v>
      </c>
      <c r="CA386" s="74">
        <v>15</v>
      </c>
      <c r="CB386" s="72" t="str">
        <f>IF(ISERROR(CA386/BS386),"NA",IF(OR(CA386/BS386&gt;2,CA386/BS386&lt;0.5),"NM",CA386/BS386*100-100))</f>
        <v>NA</v>
      </c>
      <c r="CC386" s="74">
        <f>-11+11</f>
        <v>0</v>
      </c>
      <c r="CD386" s="72" t="str">
        <f>IF(ISERROR(CC386/BU386),"NA",IF(OR(CC386/BU386&gt;2,CC386/BU386&lt;0.5),"NM",CC386/BU386*100-100))</f>
        <v>NA</v>
      </c>
      <c r="CE386" s="74">
        <f>-11+11</f>
        <v>0</v>
      </c>
      <c r="CF386" s="72" t="str">
        <f>IF(ISERROR(CE386/BW386),"NA",IF(OR(CE386/BW386&gt;2,CE386/BW386&lt;0.5),"NM",CE386/BW386*100-100))</f>
        <v>NM</v>
      </c>
      <c r="CG386" s="74">
        <f>-11+11</f>
        <v>0</v>
      </c>
      <c r="CH386" s="72" t="str">
        <f>IF(ISERROR(CG386/BY386),"NA",IF(OR(CG386/BY386&gt;2,CG386/BY386&lt;0.5),"NM",CG386/BY386*100-100))</f>
        <v>NM</v>
      </c>
      <c r="CI386" s="74">
        <f>-11+11</f>
        <v>0</v>
      </c>
      <c r="CJ386" s="72" t="str">
        <f>IF(ISERROR(CI386/CA386),"NA",IF(OR(CI386/CA386&gt;2,CI386/CA386&lt;0.5),"NM",CI386/CA386*100-100))</f>
        <v>NM</v>
      </c>
      <c r="CK386" s="74">
        <f>-11+11</f>
        <v>0</v>
      </c>
      <c r="CL386" s="72" t="str">
        <f>IF(ISERROR(CK386/CC386),"NA",IF(OR(CK386/CC386&gt;2,CK386/CC386&lt;0.5),"NM",CK386/CC386*100-100))</f>
        <v>NA</v>
      </c>
      <c r="CM386" s="74">
        <v>-18.5</v>
      </c>
      <c r="CN386" s="72" t="str">
        <f>IF(ISERROR(CM386/CE386),"NA",IF(OR(CM386/CE386&gt;2,CM386/CE386&lt;0.5),"NM",CM386/CE386*100-100))</f>
        <v>NA</v>
      </c>
      <c r="CO386" s="74">
        <v>6</v>
      </c>
      <c r="CP386" s="72" t="str">
        <f>IF(ISERROR(CO386/CG386),"NA",IF(OR(CO386/CG386&gt;2,CO386/CG386&lt;0.5),"NM",CO386/CG386*100-100))</f>
        <v>NA</v>
      </c>
      <c r="CQ386" s="74">
        <v>0</v>
      </c>
      <c r="CR386" s="72" t="str">
        <f>IF(ISERROR(CQ386/CI386),"NA",IF(OR(CQ386/CI386&gt;2,CQ386/CI386&lt;0.5),"NM",CQ386/CI386*100-100))</f>
        <v>NA</v>
      </c>
      <c r="CS386" s="74">
        <v>0</v>
      </c>
      <c r="CT386" s="72" t="str">
        <f>IF(ISERROR(CS386/CK386),"NA",IF(OR(CS386/CK386&gt;2,CS386/CK386&lt;0.5),"NM",CS386/CK386*100-100))</f>
        <v>NA</v>
      </c>
      <c r="CU386" s="74">
        <v>0</v>
      </c>
      <c r="CV386" s="72" t="str">
        <f>IF(ISERROR(CU386/CM386),"NA",IF(OR(CU386/CM386&gt;2,CU386/CM386&lt;0.5),"NM",CU386/CM386*100-100))</f>
        <v>NM</v>
      </c>
      <c r="CW386" s="74">
        <v>0</v>
      </c>
      <c r="CX386" s="72" t="str">
        <f>IF(ISERROR(CW386/CO386),"NA",IF(OR(CW386/CO386&gt;2,CW386/CO386&lt;0.5),"NM",CW386/CO386*100-100))</f>
        <v>NM</v>
      </c>
      <c r="CY386" s="74">
        <v>20</v>
      </c>
      <c r="CZ386" s="72" t="str">
        <f>IF(ISERROR(CY386/CQ386),"NA",IF(OR(CY386/CQ386&gt;2,CY386/CQ386&lt;0.5),"NM",CY386/CQ386*100-100))</f>
        <v>NA</v>
      </c>
      <c r="DA386" s="74">
        <v>0</v>
      </c>
      <c r="DB386" s="72" t="str">
        <f>IF(ISERROR(DA386/CS386),"NA",IF(OR(DA386/CS386&gt;2,DA386/CS386&lt;0.5),"NM",DA386/CS386*100-100))</f>
        <v>NA</v>
      </c>
      <c r="DC386" s="74">
        <v>0</v>
      </c>
      <c r="DD386" s="72" t="str">
        <f>IF(ISERROR(DC386/CU386),"NA",IF(OR(DC386/CU386&gt;2,DC386/CU386&lt;0.5),"NM",DC386/CU386*100-100))</f>
        <v>NA</v>
      </c>
      <c r="DE386" s="74">
        <v>0</v>
      </c>
      <c r="DF386" s="72" t="str">
        <f>IF(ISERROR(DE386/CW386),"NA",IF(OR(DE386/CW386&gt;2,DE386/CW386&lt;0.5),"NM",DE386/CW386*100-100))</f>
        <v>NA</v>
      </c>
      <c r="DG386" s="74">
        <v>19</v>
      </c>
      <c r="DH386" s="72">
        <f>IF(ISERROR(DG386/CY386),"NA",IF(OR(DG386/CY386&gt;2,DG386/CY386&lt;0.5),"NM",DG386/CY386*100-100))</f>
        <v>-5</v>
      </c>
      <c r="DI386" s="74">
        <v>-78</v>
      </c>
      <c r="DJ386" s="72" t="str">
        <f>IF(ISERROR(DI386/DA386),"NA",IF(OR(DI386/DA386&gt;2,DI386/DA386&lt;0.5),"NM",DI386/DA386*100-100))</f>
        <v>NA</v>
      </c>
      <c r="DK386" s="74">
        <v>-16</v>
      </c>
      <c r="DL386" s="72" t="str">
        <f>IF(ISERROR(DK386/DC386),"NA",IF(OR(DK386/DC386&gt;2,DK386/DC386&lt;0.5),"NM",DK386/DC386*100-100))</f>
        <v>NA</v>
      </c>
      <c r="DM386" s="74">
        <v>0</v>
      </c>
      <c r="DN386" s="72" t="str">
        <f t="shared" ref="DN386:DZ388" si="2078">IF(ISERROR(DM386/DE386),"NA",IF(OR(DM386/DE386&gt;2,DM386/DE386&lt;0.5),"NM",DM386/DE386*100-100))</f>
        <v>NA</v>
      </c>
      <c r="DO386" s="74">
        <v>17</v>
      </c>
      <c r="DP386" s="72">
        <f t="shared" si="2078"/>
        <v>-10.526315789473685</v>
      </c>
      <c r="DQ386" s="74">
        <v>-8</v>
      </c>
      <c r="DR386" s="72" t="str">
        <f t="shared" si="2078"/>
        <v>NM</v>
      </c>
      <c r="DS386" s="74">
        <v>0</v>
      </c>
      <c r="DT386" s="72" t="str">
        <f t="shared" si="2078"/>
        <v>NM</v>
      </c>
      <c r="DU386" s="150">
        <v>-11</v>
      </c>
      <c r="DV386" s="72" t="str">
        <f t="shared" si="2078"/>
        <v>NA</v>
      </c>
      <c r="DW386" s="150">
        <v>0</v>
      </c>
      <c r="DX386" s="72" t="str">
        <f t="shared" si="2078"/>
        <v>NM</v>
      </c>
      <c r="DY386" s="150">
        <v>0</v>
      </c>
      <c r="DZ386" s="72" t="str">
        <f t="shared" si="2078"/>
        <v>NM</v>
      </c>
      <c r="EA386" s="150">
        <v>0</v>
      </c>
      <c r="EB386" s="72" t="str">
        <f>IF(ISERROR(EA386/DS386),"NA",IF(OR(EA386/DS386&gt;2,EA386/DS386&lt;0.5),"NM",EA386/DS386*100-100))</f>
        <v>NA</v>
      </c>
      <c r="EC386" s="150">
        <v>0</v>
      </c>
      <c r="ED386" s="72" t="str">
        <f>IF(ISERROR(EC386/DU386),"NA",IF(OR(EC386/DU386&gt;2,EC386/DU386&lt;0.5),"NM",EC386/DU386*100-100))</f>
        <v>NM</v>
      </c>
      <c r="EE386" s="150">
        <v>0</v>
      </c>
      <c r="EF386" s="72" t="str">
        <f>IF(ISERROR(EE386/DW386),"NA",IF(OR(EE386/DW386&gt;2,EE386/DW386&lt;0.5),"NM",EE386/DW386*100-100))</f>
        <v>NA</v>
      </c>
      <c r="EG386" s="150">
        <v>0</v>
      </c>
      <c r="EH386" s="72" t="str">
        <f>IF(ISERROR(EG386/DY386),"NA",IF(OR(EG386/DY386&gt;2,EG386/DY386&lt;0.5),"NM",EG386/DY386*100-100))</f>
        <v>NA</v>
      </c>
      <c r="EI386" s="150">
        <v>0</v>
      </c>
      <c r="EJ386" s="72" t="str">
        <f>IF(ISERROR(EI386/EA386),"NA",IF(OR(EI386/EA386&gt;2,EI386/EA386&lt;0.5),"NM",EI386/EA386*100-100))</f>
        <v>NA</v>
      </c>
      <c r="EK386" s="150">
        <v>-67</v>
      </c>
      <c r="EL386" s="72" t="str">
        <f>IF(ISERROR(EK386/EC386),"NA",IF(OR(EK386/EC386&gt;2,EK386/EC386&lt;0.5),"NM",EK386/EC386*100-100))</f>
        <v>NA</v>
      </c>
      <c r="EM386" s="150">
        <v>0</v>
      </c>
      <c r="EN386" s="72" t="str">
        <f>IF(ISERROR(EM386/EE386),"NA",IF(OR(EM386/EE386&gt;2,EM386/EE386&lt;0.5),"NM",EM386/EE386*100-100))</f>
        <v>NA</v>
      </c>
      <c r="EO386" s="150"/>
      <c r="EP386" s="72" t="str">
        <f>IF(ISERROR(EO386/EG386),"NA",IF(OR(EO386/EG386&gt;2,EO386/EG386&lt;0.5),"NM",EO386/EG386*100-100))</f>
        <v>NA</v>
      </c>
      <c r="EQ386" s="74">
        <v>0</v>
      </c>
      <c r="ER386" s="72" t="str">
        <f t="shared" ref="ER386:ER388" si="2079">IF(ISERROR(EQ386/EI386),"NA",IF(OR(EQ386/EI386&gt;2,EQ386/EI386&lt;0.5),"NM",EQ386/EI386*100-100))</f>
        <v>NA</v>
      </c>
      <c r="ES386" s="74">
        <v>0</v>
      </c>
      <c r="ET386" s="72" t="str">
        <f t="shared" ref="ET386:ET388" si="2080">IF(ISERROR(ES386/EK386),"NA",IF(OR(ES386/EK386&gt;2,ES386/EK386&lt;0.5),"NM",ES386/EK386*100-100))</f>
        <v>NM</v>
      </c>
      <c r="EU386" s="74">
        <v>0</v>
      </c>
      <c r="EV386" s="72" t="str">
        <f t="shared" ref="EV386:EV388" si="2081">IF(ISERROR(EU386/EM386),"NA",IF(OR(EU386/EM386&gt;2,EU386/EM386&lt;0.5),"NM",EU386/EM386*100-100))</f>
        <v>NA</v>
      </c>
      <c r="EW386" s="74">
        <v>0</v>
      </c>
      <c r="EX386" s="72" t="str">
        <f t="shared" ref="EX386:EX388" si="2082">IF(ISERROR(EW386/EO386),"NA",IF(OR(EW386/EO386&gt;2,EW386/EO386&lt;0.5),"NM",EW386/EO386*100-100))</f>
        <v>NA</v>
      </c>
      <c r="EY386" s="72"/>
      <c r="EZ386" s="306"/>
      <c r="FA386" s="72"/>
      <c r="FB386" s="75">
        <v>0</v>
      </c>
      <c r="FC386" s="72"/>
      <c r="FD386" s="75">
        <v>0</v>
      </c>
      <c r="FE386" s="72" t="str">
        <f>IF(ISERROR(FD386/FB386),"NA",IF(OR(FD386/FB386&gt;2,FD386/FB386&lt;0.5),"NM",FD386/FB386*100-100))</f>
        <v>NA</v>
      </c>
      <c r="FF386" s="75">
        <v>0</v>
      </c>
      <c r="FG386" s="72" t="str">
        <f>IF(ISERROR(FF386/FD386),"NA",IF(OR(FF386/FD386&gt;2,FF386/FD386&lt;0.5),"NM",FF386/FD386*100-100))</f>
        <v>NA</v>
      </c>
      <c r="FH386" s="75">
        <v>0</v>
      </c>
      <c r="FI386" s="72" t="str">
        <f>IF(ISERROR(FH386/FF386),"NA",IF(OR(FH386/FF386&gt;2,FH386/FF386&lt;0.5),"NM",FH386/FF386*100-100))</f>
        <v>NA</v>
      </c>
      <c r="FJ386" s="75">
        <v>0</v>
      </c>
      <c r="FK386" s="72" t="str">
        <f>IF(ISERROR(FJ386/FH386),"NA",IF(OR(FJ386/FH386&gt;2,FJ386/FH386&lt;0.5),"NM",FJ386/FH386*100-100))</f>
        <v>NA</v>
      </c>
      <c r="FL386" s="75">
        <v>0</v>
      </c>
      <c r="FM386" s="72" t="str">
        <f>IF(ISERROR(FL386/FJ386),"NA",IF(OR(FL386/FJ386&gt;2,FL386/FJ386&lt;0.5),"NM",FL386/FJ386*100-100))</f>
        <v>NA</v>
      </c>
      <c r="FN386" s="75">
        <f>AI386+AK386+AM386+AO386</f>
        <v>-11</v>
      </c>
      <c r="FO386" s="72" t="str">
        <f>IF(ISERROR(FN386/FF386),"NA",IF(OR(FN386/FF386&gt;2,FN386/FF386&lt;0.5),"NM",FN386/FF386*100-100))</f>
        <v>NA</v>
      </c>
      <c r="FP386" s="75">
        <f>AQ386+AS386+AU386+AW386</f>
        <v>41</v>
      </c>
      <c r="FQ386" s="72" t="str">
        <f>IF(ISERROR(FP386/FN386),"NA",IF(OR(FP386/FN386&gt;2,FP386/FN386&lt;0.5),"NM",FP386/FN386*100-100))</f>
        <v>NM</v>
      </c>
      <c r="FR386" s="75">
        <f>SUM(AY386,BA386,BC386,BE386)</f>
        <v>10</v>
      </c>
      <c r="FS386" s="72" t="str">
        <f>IF(ISERROR(FR386/FP386),"NA",IF(OR(FR386/FP386&gt;2,FR386/FP386&lt;0.5),"NM",FR386/FP386*100-100))</f>
        <v>NM</v>
      </c>
      <c r="FT386" s="75">
        <f>SUM(BG386,BI386,BK386,BM386)</f>
        <v>-102</v>
      </c>
      <c r="FU386" s="72" t="str">
        <f>IF(ISERROR(FT386/FR386),"NA",IF(OR(FT386/FR386&gt;2,FT386/FR386&lt;0.5),"NM",FT386/FR386*100-100))</f>
        <v>NM</v>
      </c>
      <c r="FV386" s="75">
        <f>BO386+BQ386+BS386+BU386</f>
        <v>0</v>
      </c>
      <c r="FW386" s="72" t="str">
        <f>IF(ISERROR(FV386/FT386),"NA",IF(OR(FV386/FT386&gt;2,FV386/FT386&lt;0.5),"NM",FV386/FT386*100-100))</f>
        <v>NM</v>
      </c>
      <c r="FX386" s="75">
        <f>BW386+BY386+CA386+CC386</f>
        <v>4</v>
      </c>
      <c r="FY386" s="72" t="str">
        <f>IF(ISERROR(FX386/FV386),"NA",IF(OR(FX386/FV386&gt;2,FX386/FV386&lt;0.5),"NM",FX386/FV386*100-100))</f>
        <v>NA</v>
      </c>
      <c r="FZ386" s="75">
        <f>CE386+CG386+CI386+CK386</f>
        <v>0</v>
      </c>
      <c r="GA386" s="72" t="str">
        <f>IF(ISERROR(FZ386/FX386),"NA",IF(OR(FZ386/FX386&gt;2,FZ386/FX386&lt;0.5),"NM",FZ386/FX386*100-100))</f>
        <v>NM</v>
      </c>
      <c r="GB386" s="75">
        <f>CM386+CO386+CQ386+CS386</f>
        <v>-12.5</v>
      </c>
      <c r="GC386" s="72" t="str">
        <f>IF(ISERROR(GB386/FZ386),"NA",IF(OR(GB386/FZ386&gt;2,GB386/FZ386&lt;0.5),"NM",GB386/FZ386*100-100))</f>
        <v>NA</v>
      </c>
      <c r="GD386" s="75">
        <f>CU386+CW386+CY386+DA386</f>
        <v>20</v>
      </c>
      <c r="GE386" s="72" t="str">
        <f>IF(ISERROR(GD386/GB386),"NA",IF(OR(GD386/GB386&gt;2,GD386/GB386&lt;0.5),"NM",GD386/GB386*100-100))</f>
        <v>NM</v>
      </c>
      <c r="GF386" s="75">
        <f>DC386+DE386+DG386+DI386</f>
        <v>-59</v>
      </c>
      <c r="GG386" s="72" t="str">
        <f>IF(ISERROR(GF386/GD386),"NA",IF(OR(GF386/GD386&gt;2,GF386/GD386&lt;0.5),"NM",GF386/GD386*100-100))</f>
        <v>NM</v>
      </c>
      <c r="GH386" s="75">
        <f>DK386+DM386+DO386+DQ386</f>
        <v>-7</v>
      </c>
      <c r="GI386" s="72" t="str">
        <f t="shared" ref="GI386:GU388" si="2083">IF(ISERROR(GH386/GF386),"NA",IF(OR(GH386/GF386&gt;2,GH386/GF386&lt;0.5),"NM",GH386/GF386*100-100))</f>
        <v>NM</v>
      </c>
      <c r="GJ386" s="75">
        <f>DS386+DU386+DW386+DY386</f>
        <v>-11</v>
      </c>
      <c r="GK386" s="72">
        <f t="shared" si="2083"/>
        <v>57.142857142857139</v>
      </c>
      <c r="GL386" s="75">
        <f>EA386+EC386+EE386+EG386</f>
        <v>0</v>
      </c>
      <c r="GM386" s="72" t="str">
        <f t="shared" si="2083"/>
        <v>NM</v>
      </c>
      <c r="GN386" s="75">
        <f>EI386+EK386+EM386+EO386</f>
        <v>-67</v>
      </c>
      <c r="GO386" s="72" t="str">
        <f t="shared" si="2083"/>
        <v>NA</v>
      </c>
      <c r="GP386" s="75">
        <f>EQ386+ES386+EU386+EW386</f>
        <v>0</v>
      </c>
      <c r="GQ386" s="72" t="str">
        <f t="shared" si="2083"/>
        <v>NM</v>
      </c>
      <c r="GR386" s="74">
        <v>0</v>
      </c>
      <c r="GS386" s="72" t="str">
        <f t="shared" si="2083"/>
        <v>NA</v>
      </c>
      <c r="GT386" s="74">
        <v>0</v>
      </c>
      <c r="GU386" s="72" t="str">
        <f t="shared" si="2083"/>
        <v>NA</v>
      </c>
      <c r="GV386" s="74">
        <v>0</v>
      </c>
      <c r="GW386" s="72" t="str">
        <f>IF(ISERROR(GV386/GT386),"NA",IF(OR(GV386/GT386&gt;2,GV386/GT386&lt;0.5),"NM",GV386/GT386*100-100))</f>
        <v>NA</v>
      </c>
      <c r="GX386" s="74">
        <v>0</v>
      </c>
      <c r="GY386" s="72" t="str">
        <f>IF(ISERROR(GX386/GV386),"NA",IF(OR(GX386/GV386&gt;2,GX386/GV386&lt;0.5),"NM",GX386/GV386*100-100))</f>
        <v>NA</v>
      </c>
      <c r="GZ386" s="72" t="str">
        <f>IF(ISERROR(((GX386/GN386)^0.2-1)*100),"NA",IF((((GX386/GN386)^0.2-1)*100)&gt;100,"NM",IF((((GX386/GN386)^0.2-1)*100)&lt;-50,"NM",((GX386/GN386)^0.2-1)*100)))</f>
        <v>NM</v>
      </c>
      <c r="HA386" s="72"/>
      <c r="HB386" s="72"/>
      <c r="HC386"/>
      <c r="HD386"/>
      <c r="HE386"/>
      <c r="HF386"/>
      <c r="HG386"/>
      <c r="HH386"/>
      <c r="HI386" s="2"/>
    </row>
    <row r="387" spans="1:217" s="78" customFormat="1" ht="12.75" customHeight="1" x14ac:dyDescent="0.2">
      <c r="B387" s="70" t="s">
        <v>539</v>
      </c>
      <c r="C387" s="91">
        <f>C383-C386</f>
        <v>70</v>
      </c>
      <c r="D387" s="80"/>
      <c r="E387" s="91">
        <f>E383-E386</f>
        <v>75</v>
      </c>
      <c r="F387" s="80"/>
      <c r="G387" s="91">
        <f>G383-G386</f>
        <v>66</v>
      </c>
      <c r="H387" s="80"/>
      <c r="I387" s="91">
        <f>I383-I386</f>
        <v>85</v>
      </c>
      <c r="J387" s="80"/>
      <c r="K387" s="91">
        <f>K383-K386</f>
        <v>95</v>
      </c>
      <c r="L387" s="72">
        <f>IF(ISERROR(K387/C387),"NA",IF(OR(K387/C387&gt;2,K387/C387&lt;0.5),"NM",K387/C387*100-100))</f>
        <v>35.714285714285722</v>
      </c>
      <c r="M387" s="91">
        <f>M383-M386</f>
        <v>83</v>
      </c>
      <c r="N387" s="72">
        <f>IF(ISERROR(M387/E387),"NA",IF(OR(M387/E387&gt;2,M387/E387&lt;0.5),"NM",M387/E387*100-100))</f>
        <v>10.666666666666671</v>
      </c>
      <c r="O387" s="91">
        <f>O383-O386</f>
        <v>76</v>
      </c>
      <c r="P387" s="72">
        <f>IF(ISERROR(O387/G387),"NA",IF(OR(O387/G387&gt;2,O387/G387&lt;0.5),"NM",O387/G387*100-100))</f>
        <v>15.151515151515156</v>
      </c>
      <c r="Q387" s="91">
        <f>Q383-Q386</f>
        <v>95</v>
      </c>
      <c r="R387" s="72">
        <f>IF(ISERROR(Q387/I387),"NA",IF(OR(Q387/I387&gt;2,Q387/I387&lt;0.5),"NM",Q387/I387*100-100))</f>
        <v>11.764705882352942</v>
      </c>
      <c r="S387" s="91">
        <f>S383-S386</f>
        <v>100</v>
      </c>
      <c r="T387" s="72">
        <f>IF(ISERROR(S387/K387),"NA",IF(OR(S387/K387&gt;2,S387/K387&lt;0.5),"NM",S387/K387*100-100))</f>
        <v>5.2631578947368354</v>
      </c>
      <c r="U387" s="91">
        <f>U383-U386</f>
        <v>86</v>
      </c>
      <c r="V387" s="72">
        <f>IF(ISERROR(U387/M387),"NA",IF(OR(U387/M387&gt;2,U387/M387&lt;0.5),"NM",U387/M387*100-100))</f>
        <v>3.6144578313252964</v>
      </c>
      <c r="W387" s="91">
        <f>W383-W386</f>
        <v>84</v>
      </c>
      <c r="X387" s="72">
        <f>IF(ISERROR(W387/O387),"NA",IF(OR(W387/O387&gt;2,W387/O387&lt;0.5),"NM",W387/O387*100-100))</f>
        <v>10.526315789473699</v>
      </c>
      <c r="Y387" s="91">
        <f>Y383-Y386</f>
        <v>109</v>
      </c>
      <c r="Z387" s="72">
        <f>IF(ISERROR(Y387/Q387),"NA",IF(OR(Y387/Q387&gt;2,Y387/Q387&lt;0.5),"NM",Y387/Q387*100-100))</f>
        <v>14.736842105263165</v>
      </c>
      <c r="AA387" s="91">
        <f>AA383-AA386</f>
        <v>100</v>
      </c>
      <c r="AB387" s="72">
        <f>IF(ISERROR(AA387/S387),"NA",IF(OR(AA387/S387&gt;2,AA387/S387&lt;0.5),"NM",AA387/S387*100-100))</f>
        <v>0</v>
      </c>
      <c r="AC387" s="91">
        <f>AC383-AC386</f>
        <v>109</v>
      </c>
      <c r="AD387" s="72">
        <f>IF(ISERROR(AC387/U387),"NA",IF(OR(AC387/U387&gt;2,AC387/U387&lt;0.5),"NM",AC387/U387*100-100))</f>
        <v>26.744186046511629</v>
      </c>
      <c r="AE387" s="91">
        <f>AE383-AE386</f>
        <v>111</v>
      </c>
      <c r="AF387" s="72">
        <f>IF(ISERROR(AE387/W387),"NA",IF(OR(AE387/W387&gt;2,AE387/W387&lt;0.5),"NM",AE387/W387*100-100))</f>
        <v>32.142857142857139</v>
      </c>
      <c r="AG387" s="91">
        <f>AG383-AG386</f>
        <v>129</v>
      </c>
      <c r="AH387" s="72">
        <f>IF(ISERROR(AG387/Y387),"NA",IF(OR(AG387/Y387&gt;2,AG387/Y387&lt;0.5),"NM",AG387/Y387*100-100))</f>
        <v>18.348623853211009</v>
      </c>
      <c r="AI387" s="91">
        <f>AI383-AI386</f>
        <v>121</v>
      </c>
      <c r="AJ387" s="72">
        <f>IF(ISERROR(AI387/AA387),"NA",IF(OR(AI387/AA387&gt;2,AI387/AA387&lt;0.5),"NM",AI387/AA387*100-100))</f>
        <v>21</v>
      </c>
      <c r="AK387" s="91">
        <f>AK383-AK386</f>
        <v>129</v>
      </c>
      <c r="AL387" s="72">
        <f>IF(ISERROR(AK387/AC387),"NA",IF(OR(AK387/AC387&gt;2,AK387/AC387&lt;0.5),"NM",AK387/AC387*100-100))</f>
        <v>18.348623853211009</v>
      </c>
      <c r="AM387" s="91">
        <f>AM383-AM386</f>
        <v>139</v>
      </c>
      <c r="AN387" s="72">
        <f>IF(ISERROR(AM387/AE387),"NA",IF(OR(AM387/AE387&gt;2,AM387/AE387&lt;0.5),"NM",AM387/AE387*100-100))</f>
        <v>25.22522522522523</v>
      </c>
      <c r="AO387" s="91">
        <f>AO383-AO386</f>
        <v>137</v>
      </c>
      <c r="AP387" s="72">
        <f>IF(ISERROR(AO387/AG387),"NA",IF(OR(AO387/AG387&gt;2,AO387/AG387&lt;0.5),"NM",AO387/AG387*100-100))</f>
        <v>6.2015503875969102</v>
      </c>
      <c r="AQ387" s="91">
        <f>AQ383-AQ386</f>
        <v>172</v>
      </c>
      <c r="AR387" s="72">
        <f>IF(ISERROR(AQ387/AI387),"NA",IF(OR(AQ387/AI387&gt;2,AQ387/AI387&lt;0.5),"NM",AQ387/AI387*100-100))</f>
        <v>42.148760330578511</v>
      </c>
      <c r="AS387" s="91">
        <f>AS383-AS386</f>
        <v>183</v>
      </c>
      <c r="AT387" s="72">
        <f>IF(ISERROR(AS387/AK387),"NA",IF(OR(AS387/AK387&gt;2,AS387/AK387&lt;0.5),"NM",AS387/AK387*100-100))</f>
        <v>41.860465116279073</v>
      </c>
      <c r="AU387" s="91">
        <f>AU383-AU386</f>
        <v>207</v>
      </c>
      <c r="AV387" s="72">
        <f>IF(ISERROR(AU387/AM387),"NA",IF(OR(AU387/AM387&gt;2,AU387/AM387&lt;0.5),"NM",AU387/AM387*100-100))</f>
        <v>48.920863309352512</v>
      </c>
      <c r="AW387" s="91">
        <f>AW383-AW386</f>
        <v>205</v>
      </c>
      <c r="AX387" s="72">
        <f>IF(ISERROR(AW387/AO387),"NA",IF(OR(AW387/AO387&gt;2,AW387/AO387&lt;0.5),"NM",AW387/AO387*100-100))</f>
        <v>49.635036496350381</v>
      </c>
      <c r="AY387" s="91">
        <f>AY383-AY386</f>
        <v>230</v>
      </c>
      <c r="AZ387" s="72">
        <f>IF(ISERROR(AY387/AQ387),"NA",IF(OR(AY387/AQ387&gt;2,AY387/AQ387&lt;0.5),"NM",AY387/AQ387*100-100))</f>
        <v>33.720930232558146</v>
      </c>
      <c r="BA387" s="91">
        <f>BA383-BA386</f>
        <v>228</v>
      </c>
      <c r="BB387" s="72">
        <f>IF(ISERROR(BA387/AS387),"NA",IF(OR(BA387/AS387&gt;2,BA387/AS387&lt;0.5),"NM",BA387/AS387*100-100))</f>
        <v>24.590163934426229</v>
      </c>
      <c r="BC387" s="91">
        <f>BC383-BC386</f>
        <v>237</v>
      </c>
      <c r="BD387" s="72">
        <f>IF(ISERROR(BC387/AU387),"NA",IF(OR(BC387/AU387&gt;2,BC387/AU387&lt;0.5),"NM",BC387/AU387*100-100))</f>
        <v>14.492753623188406</v>
      </c>
      <c r="BE387" s="91">
        <f>BE383-BE386</f>
        <v>232</v>
      </c>
      <c r="BF387" s="72">
        <f>IF(ISERROR(BE387/AW387),"NA",IF(OR(BE387/AW387&gt;2,BE387/AW387&lt;0.5),"NM",BE387/AW387*100-100))</f>
        <v>13.17073170731706</v>
      </c>
      <c r="BG387" s="91">
        <f>BG383-BG386</f>
        <v>269</v>
      </c>
      <c r="BH387" s="72">
        <f>IF(ISERROR(BG387/AY387),"NA",IF(OR(BG387/AY387&gt;2,BG387/AY387&lt;0.5),"NM",BG387/AY387*100-100))</f>
        <v>16.956521739130423</v>
      </c>
      <c r="BI387" s="91">
        <f>BI383-BI386</f>
        <v>253</v>
      </c>
      <c r="BJ387" s="72">
        <f>IF(ISERROR(BI387/BA387),"NA",IF(OR(BI387/BA387&gt;2,BI387/BA387&lt;0.5),"NM",BI387/BA387*100-100))</f>
        <v>10.964912280701753</v>
      </c>
      <c r="BK387" s="91">
        <f>BK383-BK386</f>
        <v>319</v>
      </c>
      <c r="BL387" s="72">
        <f>IF(ISERROR(BK387/BC387),"NA",IF(OR(BK387/BC387&gt;2,BK387/BC387&lt;0.5),"NM",BK387/BC387*100-100))</f>
        <v>34.599156118143469</v>
      </c>
      <c r="BM387" s="91">
        <f>BM383-BM386</f>
        <v>281</v>
      </c>
      <c r="BN387" s="72">
        <f>IF(ISERROR(BM387/BE387),"NA",IF(OR(BM387/BE387&gt;2,BM387/BE387&lt;0.5),"NM",BM387/BE387*100-100))</f>
        <v>21.120689655172413</v>
      </c>
      <c r="BO387" s="91">
        <f>BO383-BO386</f>
        <v>285</v>
      </c>
      <c r="BP387" s="72">
        <f>IF(ISERROR(BO387/BG387),"NA",IF(OR(BO387/BG387&gt;2,BO387/BG387&lt;0.5),"NM",BO387/BG387*100-100))</f>
        <v>5.9479553903345703</v>
      </c>
      <c r="BQ387" s="91">
        <f>BQ383-BQ386</f>
        <v>286</v>
      </c>
      <c r="BR387" s="72">
        <f>IF(ISERROR(BQ387/BI387),"NA",IF(OR(BQ387/BI387&gt;2,BQ387/BI387&lt;0.5),"NM",BQ387/BI387*100-100))</f>
        <v>13.043478260869563</v>
      </c>
      <c r="BS387" s="91">
        <f>BS383-BS386</f>
        <v>293</v>
      </c>
      <c r="BT387" s="72">
        <f>IF(ISERROR(BS387/BK387),"NA",IF(OR(BS387/BK387&gt;2,BS387/BK387&lt;0.5),"NM",BS387/BK387*100-100))</f>
        <v>-8.1504702194357321</v>
      </c>
      <c r="BU387" s="91">
        <f>BU383-BU386</f>
        <v>261</v>
      </c>
      <c r="BV387" s="72">
        <f>IF(ISERROR(BU387/BM387),"NA",IF(OR(BU387/BM387&gt;2,BU387/BM387&lt;0.5),"NM",BU387/BM387*100-100))</f>
        <v>-7.1174377224199219</v>
      </c>
      <c r="BW387" s="91">
        <f>BW383-BW386</f>
        <v>298</v>
      </c>
      <c r="BX387" s="72">
        <f>IF(ISERROR(BW387/BO387),"NA",IF(OR(BW387/BO387&gt;2,BW387/BO387&lt;0.5),"NM",BW387/BO387*100-100))</f>
        <v>4.5614035087719174</v>
      </c>
      <c r="BY387" s="91">
        <f>BY383-BY386</f>
        <v>322</v>
      </c>
      <c r="BZ387" s="72">
        <f>IF(ISERROR(BY387/BQ387),"NA",IF(OR(BY387/BQ387&gt;2,BY387/BQ387&lt;0.5),"NM",BY387/BQ387*100-100))</f>
        <v>12.587412587412587</v>
      </c>
      <c r="CA387" s="91">
        <f>CA383-CA386</f>
        <v>295</v>
      </c>
      <c r="CB387" s="72">
        <f>IF(ISERROR(CA387/BS387),"NA",IF(OR(CA387/BS387&gt;2,CA387/BS387&lt;0.5),"NM",CA387/BS387*100-100))</f>
        <v>0.68259385665530203</v>
      </c>
      <c r="CC387" s="91">
        <f>CC383-CC386</f>
        <v>302</v>
      </c>
      <c r="CD387" s="72">
        <f>IF(ISERROR(CC387/BU387),"NA",IF(OR(CC387/BU387&gt;2,CC387/BU387&lt;0.5),"NM",CC387/BU387*100-100))</f>
        <v>15.708812260536405</v>
      </c>
      <c r="CE387" s="91">
        <f>CE383-CE386</f>
        <v>298</v>
      </c>
      <c r="CF387" s="72">
        <f>IF(ISERROR(CE387/BW387),"NA",IF(OR(CE387/BW387&gt;2,CE387/BW387&lt;0.5),"NM",CE387/BW387*100-100))</f>
        <v>0</v>
      </c>
      <c r="CG387" s="91">
        <f>CG383-CG386</f>
        <v>265</v>
      </c>
      <c r="CH387" s="72">
        <f>IF(ISERROR(CG387/BY387),"NA",IF(OR(CG387/BY387&gt;2,CG387/BY387&lt;0.5),"NM",CG387/BY387*100-100))</f>
        <v>-17.701863354037258</v>
      </c>
      <c r="CI387" s="91">
        <f>CI383-CI386</f>
        <v>296</v>
      </c>
      <c r="CJ387" s="72">
        <f>IF(ISERROR(CI387/CA387),"NA",IF(OR(CI387/CA387&gt;2,CI387/CA387&lt;0.5),"NM",CI387/CA387*100-100))</f>
        <v>0.33898305084744607</v>
      </c>
      <c r="CK387" s="91">
        <f>CK383-CK386</f>
        <v>290</v>
      </c>
      <c r="CL387" s="72">
        <f>IF(ISERROR(CK387/CC387),"NA",IF(OR(CK387/CC387&gt;2,CK387/CC387&lt;0.5),"NM",CK387/CC387*100-100))</f>
        <v>-3.9735099337748352</v>
      </c>
      <c r="CM387" s="91">
        <f>CM383-CM386</f>
        <v>318.5</v>
      </c>
      <c r="CN387" s="72">
        <f>IF(ISERROR(CM387/CE387),"NA",IF(OR(CM387/CE387&gt;2,CM387/CE387&lt;0.5),"NM",CM387/CE387*100-100))</f>
        <v>6.8791946308724761</v>
      </c>
      <c r="CO387" s="91">
        <f>CO383-CO386</f>
        <v>309</v>
      </c>
      <c r="CP387" s="72">
        <f>IF(ISERROR(CO387/CG387),"NA",IF(OR(CO387/CG387&gt;2,CO387/CG387&lt;0.5),"NM",CO387/CG387*100-100))</f>
        <v>16.603773584905653</v>
      </c>
      <c r="CQ387" s="91">
        <f>CQ383-CQ386</f>
        <v>331</v>
      </c>
      <c r="CR387" s="72">
        <f>IF(ISERROR(CQ387/CI387),"NA",IF(OR(CQ387/CI387&gt;2,CQ387/CI387&lt;0.5),"NM",CQ387/CI387*100-100))</f>
        <v>11.824324324324323</v>
      </c>
      <c r="CS387" s="91">
        <f>CS383-CS386</f>
        <v>300</v>
      </c>
      <c r="CT387" s="72">
        <f>IF(ISERROR(CS387/CK387),"NA",IF(OR(CS387/CK387&gt;2,CS387/CK387&lt;0.5),"NM",CS387/CK387*100-100))</f>
        <v>3.448275862068968</v>
      </c>
      <c r="CU387" s="91">
        <f>CU383-CU386</f>
        <v>382</v>
      </c>
      <c r="CV387" s="72">
        <f>IF(ISERROR(CU387/CM387),"NA",IF(OR(CU387/CM387&gt;2,CU387/CM387&lt;0.5),"NM",CU387/CM387*100-100))</f>
        <v>19.937205651491368</v>
      </c>
      <c r="CW387" s="91">
        <f>CW383-CW386</f>
        <v>374</v>
      </c>
      <c r="CX387" s="72">
        <f>IF(ISERROR(CW387/CO387),"NA",IF(OR(CW387/CO387&gt;2,CW387/CO387&lt;0.5),"NM",CW387/CO387*100-100))</f>
        <v>21.035598705501627</v>
      </c>
      <c r="CY387" s="91">
        <f>CY383-CY386</f>
        <v>373</v>
      </c>
      <c r="CZ387" s="72">
        <f>IF(ISERROR(CY387/CQ387),"NA",IF(OR(CY387/CQ387&gt;2,CY387/CQ387&lt;0.5),"NM",CY387/CQ387*100-100))</f>
        <v>12.688821752265866</v>
      </c>
      <c r="DA387" s="91">
        <f>DA383-DA386</f>
        <v>332</v>
      </c>
      <c r="DB387" s="72">
        <f>IF(ISERROR(DA387/CS387),"NA",IF(OR(DA387/CS387&gt;2,DA387/CS387&lt;0.5),"NM",DA387/CS387*100-100))</f>
        <v>10.666666666666671</v>
      </c>
      <c r="DC387" s="91">
        <f>DC383-DC386</f>
        <v>422</v>
      </c>
      <c r="DD387" s="72">
        <f>IF(ISERROR(DC387/CU387),"NA",IF(OR(DC387/CU387&gt;2,DC387/CU387&lt;0.5),"NM",DC387/CU387*100-100))</f>
        <v>10.471204188481693</v>
      </c>
      <c r="DE387" s="91">
        <f>DE383-DE386</f>
        <v>368</v>
      </c>
      <c r="DF387" s="72">
        <f>IF(ISERROR(DE387/CW387),"NA",IF(OR(DE387/CW387&gt;2,DE387/CW387&lt;0.5),"NM",DE387/CW387*100-100))</f>
        <v>-1.6042780748663006</v>
      </c>
      <c r="DG387" s="91">
        <f>DG383-DG386</f>
        <v>405</v>
      </c>
      <c r="DH387" s="72">
        <f>IF(ISERROR(DG387/CY387),"NA",IF(OR(DG387/CY387&gt;2,DG387/CY387&lt;0.5),"NM",DG387/CY387*100-100))</f>
        <v>8.5790884718498717</v>
      </c>
      <c r="DI387" s="91">
        <f>DI383-DI386</f>
        <v>381</v>
      </c>
      <c r="DJ387" s="72">
        <f>IF(ISERROR(DI387/DA387),"NA",IF(OR(DI387/DA387&gt;2,DI387/DA387&lt;0.5),"NM",DI387/DA387*100-100))</f>
        <v>14.759036144578317</v>
      </c>
      <c r="DK387" s="91">
        <f>DK383-DK386</f>
        <v>435</v>
      </c>
      <c r="DL387" s="72">
        <f>IF(ISERROR(DK387/DC387),"NA",IF(OR(DK387/DC387&gt;2,DK387/DC387&lt;0.5),"NM",DK387/DC387*100-100))</f>
        <v>3.0805687203791337</v>
      </c>
      <c r="DM387" s="91">
        <f>DM383-DM386</f>
        <v>382</v>
      </c>
      <c r="DN387" s="72">
        <f t="shared" si="2078"/>
        <v>3.8043478260869676</v>
      </c>
      <c r="DO387" s="91">
        <f>DO383-DO386</f>
        <v>397</v>
      </c>
      <c r="DP387" s="72">
        <f t="shared" si="2078"/>
        <v>-1.9753086419753032</v>
      </c>
      <c r="DQ387" s="91">
        <f>DQ383-DQ386</f>
        <v>382</v>
      </c>
      <c r="DR387" s="72">
        <f t="shared" si="2078"/>
        <v>0.26246719160106124</v>
      </c>
      <c r="DS387" s="91">
        <f>DS383-DS386</f>
        <v>439</v>
      </c>
      <c r="DT387" s="72">
        <f t="shared" si="2078"/>
        <v>0.91954022988505812</v>
      </c>
      <c r="DU387" s="91">
        <f>DU383-DU386</f>
        <v>392</v>
      </c>
      <c r="DV387" s="72">
        <f t="shared" si="2078"/>
        <v>2.6178010471204232</v>
      </c>
      <c r="DW387" s="91">
        <f>DW383-DW386</f>
        <v>398</v>
      </c>
      <c r="DX387" s="72">
        <f t="shared" si="2078"/>
        <v>0.25188916876575718</v>
      </c>
      <c r="DY387" s="91">
        <f>DY383-DY386</f>
        <v>367</v>
      </c>
      <c r="DZ387" s="72">
        <f t="shared" si="2078"/>
        <v>-3.9267015706806205</v>
      </c>
      <c r="EA387" s="91">
        <f>EA383-EA386</f>
        <v>410</v>
      </c>
      <c r="EB387" s="72">
        <f>IF(ISERROR(EA387/DS387),"NA",IF(OR(EA387/DS387&gt;2,EA387/DS387&lt;0.5),"NM",EA387/DS387*100-100))</f>
        <v>-6.6059225512528457</v>
      </c>
      <c r="EC387" s="91">
        <f>EC383-EC386</f>
        <v>343</v>
      </c>
      <c r="ED387" s="72">
        <f>IF(ISERROR(EC387/DU387),"NA",IF(OR(EC387/DU387&gt;2,EC387/DU387&lt;0.5),"NM",EC387/DU387*100-100))</f>
        <v>-12.5</v>
      </c>
      <c r="EE387" s="91">
        <f>EE383-EE386</f>
        <v>391</v>
      </c>
      <c r="EF387" s="72">
        <f>IF(ISERROR(EE387/DW387),"NA",IF(OR(EE387/DW387&gt;2,EE387/DW387&lt;0.5),"NM",EE387/DW387*100-100))</f>
        <v>-1.7587939698492505</v>
      </c>
      <c r="EG387" s="91">
        <f>EG383-EG386</f>
        <v>395</v>
      </c>
      <c r="EH387" s="72">
        <f>IF(ISERROR(EG387/DY387),"NA",IF(OR(EG387/DY387&gt;2,EG387/DY387&lt;0.5),"NM",EG387/DY387*100-100))</f>
        <v>7.6294277929155356</v>
      </c>
      <c r="EI387" s="91">
        <f>EI383-EI386</f>
        <v>408</v>
      </c>
      <c r="EJ387" s="72">
        <f>IF(ISERROR(EI387/EA387),"NA",IF(OR(EI387/EA387&gt;2,EI387/EA387&lt;0.5),"NM",EI387/EA387*100-100))</f>
        <v>-0.48780487804877737</v>
      </c>
      <c r="EK387" s="91">
        <f>EK383-EK386</f>
        <v>396</v>
      </c>
      <c r="EL387" s="72">
        <f>IF(ISERROR(EK387/EC387),"NA",IF(OR(EK387/EC387&gt;2,EK387/EC387&lt;0.5),"NM",EK387/EC387*100-100))</f>
        <v>15.451895043731795</v>
      </c>
      <c r="EM387" s="91">
        <f>EM383-EM386</f>
        <v>373</v>
      </c>
      <c r="EN387" s="72">
        <f>IF(ISERROR(EM387/EE387),"NA",IF(OR(EM387/EE387&gt;2,EM387/EE387&lt;0.5),"NM",EM387/EE387*100-100))</f>
        <v>-4.6035805626598432</v>
      </c>
      <c r="EO387" s="91">
        <f>EO383-EO386</f>
        <v>383</v>
      </c>
      <c r="EP387" s="72">
        <f>IF(ISERROR(EO387/EG387),"NA",IF(OR(EO387/EG387&gt;2,EO387/EG387&lt;0.5),"NM",EO387/EG387*100-100))</f>
        <v>-3.0379746835443058</v>
      </c>
      <c r="EQ387" s="91">
        <f t="shared" ref="EQ387" si="2084">EQ383-EQ386</f>
        <v>434.29932252252229</v>
      </c>
      <c r="ER387" s="72">
        <f t="shared" si="2079"/>
        <v>6.4459123829711444</v>
      </c>
      <c r="ES387" s="91">
        <f t="shared" ref="ES387" si="2085">ES383-ES386</f>
        <v>403.28380576576592</v>
      </c>
      <c r="ET387" s="72">
        <f t="shared" si="2080"/>
        <v>1.8393448903449183</v>
      </c>
      <c r="EU387" s="91">
        <f t="shared" ref="EU387" si="2086">EU383-EU386</f>
        <v>390.32150486486489</v>
      </c>
      <c r="EV387" s="72">
        <f t="shared" si="2081"/>
        <v>4.643835084414178</v>
      </c>
      <c r="EW387" s="91">
        <f t="shared" ref="EW387" si="2087">EW383-EW386</f>
        <v>398.35792252252259</v>
      </c>
      <c r="EX387" s="72">
        <f t="shared" si="2082"/>
        <v>4.0099014419119072</v>
      </c>
      <c r="EY387" s="72"/>
      <c r="EZ387" s="314"/>
      <c r="FA387" s="72"/>
      <c r="FB387" s="91">
        <f>FB383-FB386</f>
        <v>144</v>
      </c>
      <c r="FC387" s="80"/>
      <c r="FD387" s="91">
        <f>FD383-FD386</f>
        <v>218</v>
      </c>
      <c r="FE387" s="72">
        <f>IF(ISERROR(FD387/FB387),"NA",IF(OR(FD387/FB387&gt;2,FD387/FB387&lt;0.5),"NM",FD387/FB387*100-100))</f>
        <v>51.388888888888886</v>
      </c>
      <c r="FF387" s="91">
        <f>FF383-FF386</f>
        <v>296</v>
      </c>
      <c r="FG387" s="72">
        <f>IF(ISERROR(FF387/FD387),"NA",IF(OR(FF387/FD387&gt;2,FF387/FD387&lt;0.5),"NM",FF387/FD387*100-100))</f>
        <v>35.779816513761489</v>
      </c>
      <c r="FH387" s="91">
        <f>FH383-FH386</f>
        <v>349</v>
      </c>
      <c r="FI387" s="72">
        <f>IF(ISERROR(FH387/FF387),"NA",IF(OR(FH387/FF387&gt;2,FH387/FF387&lt;0.5),"NM",FH387/FF387*100-100))</f>
        <v>17.905405405405389</v>
      </c>
      <c r="FJ387" s="91">
        <f>FJ383-FJ386</f>
        <v>379</v>
      </c>
      <c r="FK387" s="72">
        <f>IF(ISERROR(FJ387/FH387),"NA",IF(OR(FJ387/FH387&gt;2,FJ387/FH387&lt;0.5),"NM",FJ387/FH387*100-100))</f>
        <v>8.5959885386819508</v>
      </c>
      <c r="FL387" s="91">
        <f>FL383-FL386</f>
        <v>449</v>
      </c>
      <c r="FM387" s="72">
        <f>IF(ISERROR(FL387/FJ387),"NA",IF(OR(FL387/FJ387&gt;2,FL387/FJ387&lt;0.5),"NM",FL387/FJ387*100-100))</f>
        <v>18.469656992084424</v>
      </c>
      <c r="FN387" s="75">
        <f>AI387+AK387+AM387+AO387</f>
        <v>526</v>
      </c>
      <c r="FO387" s="72">
        <f>IF(ISERROR(FN387/FF387),"NA",IF(OR(FN387/FF387&gt;2,FN387/FF387&lt;0.5),"NM",FN387/FF387*100-100))</f>
        <v>77.702702702702709</v>
      </c>
      <c r="FP387" s="75">
        <f>AQ387+AS387+AU387+AW387</f>
        <v>767</v>
      </c>
      <c r="FQ387" s="72">
        <f>IF(ISERROR(FP387/FN387),"NA",IF(OR(FP387/FN387&gt;2,FP387/FN387&lt;0.5),"NM",FP387/FN387*100-100))</f>
        <v>45.817490494296578</v>
      </c>
      <c r="FR387" s="91">
        <f>FR383-FR386</f>
        <v>927</v>
      </c>
      <c r="FS387" s="72">
        <f>IF(ISERROR(FR387/FP387),"NA",IF(OR(FR387/FP387&gt;2,FR387/FP387&lt;0.5),"NM",FR387/FP387*100-100))</f>
        <v>20.860495436766627</v>
      </c>
      <c r="FT387" s="91">
        <f>FT383-FT386</f>
        <v>1122</v>
      </c>
      <c r="FU387" s="72">
        <f>IF(ISERROR(FT387/FR387),"NA",IF(OR(FT387/FR387&gt;2,FT387/FR387&lt;0.5),"NM",FT387/FR387*100-100))</f>
        <v>21.035598705501627</v>
      </c>
      <c r="FV387" s="91">
        <f>FV383-FV386</f>
        <v>998</v>
      </c>
      <c r="FW387" s="72">
        <f>IF(ISERROR(FV387/FT387),"NA",IF(OR(FV387/FT387&gt;2,FV387/FT387&lt;0.5),"NM",FV387/FT387*100-100))</f>
        <v>-11.051693404634577</v>
      </c>
      <c r="FX387" s="91">
        <f>FX383-FX386</f>
        <v>1055</v>
      </c>
      <c r="FY387" s="72">
        <f>IF(ISERROR(FX387/FV387),"NA",IF(OR(FX387/FV387&gt;2,FX387/FV387&lt;0.5),"NM",FX387/FV387*100-100))</f>
        <v>5.7114228456913736</v>
      </c>
      <c r="FZ387" s="91">
        <f>FZ383-FZ386</f>
        <v>1149</v>
      </c>
      <c r="GA387" s="72">
        <f>IF(ISERROR(FZ387/FX387),"NA",IF(OR(FZ387/FX387&gt;2,FZ387/FX387&lt;0.5),"NM",FZ387/FX387*100-100))</f>
        <v>8.9099526066350734</v>
      </c>
      <c r="GB387" s="91">
        <f>GB383-GB386</f>
        <v>1258.5</v>
      </c>
      <c r="GC387" s="72">
        <f>IF(ISERROR(GB387/FZ387),"NA",IF(OR(GB387/FZ387&gt;2,GB387/FZ387&lt;0.5),"NM",GB387/FZ387*100-100))</f>
        <v>9.5300261096605823</v>
      </c>
      <c r="GD387" s="91">
        <f>GD383-GD386</f>
        <v>1461</v>
      </c>
      <c r="GE387" s="72">
        <f>IF(ISERROR(GD387/GB387),"NA",IF(OR(GD387/GB387&gt;2,GD387/GB387&lt;0.5),"NM",GD387/GB387*100-100))</f>
        <v>16.090584028605477</v>
      </c>
      <c r="GF387" s="91">
        <f>GF383-GF386</f>
        <v>1576</v>
      </c>
      <c r="GG387" s="72">
        <f>IF(ISERROR(GF387/GD387),"NA",IF(OR(GF387/GD387&gt;2,GF387/GD387&lt;0.5),"NM",GF387/GD387*100-100))</f>
        <v>7.8713210130047884</v>
      </c>
      <c r="GH387" s="91">
        <f>GH383-GH386</f>
        <v>1596</v>
      </c>
      <c r="GI387" s="72">
        <f t="shared" si="2083"/>
        <v>1.2690355329949341</v>
      </c>
      <c r="GJ387" s="91">
        <f>GJ383-GJ386</f>
        <v>1596</v>
      </c>
      <c r="GK387" s="72">
        <f t="shared" si="2083"/>
        <v>0</v>
      </c>
      <c r="GL387" s="91">
        <f>GL383-GL386</f>
        <v>1539</v>
      </c>
      <c r="GM387" s="72">
        <f t="shared" si="2083"/>
        <v>-3.5714285714285694</v>
      </c>
      <c r="GN387" s="91">
        <f>GN383-GN386</f>
        <v>1560</v>
      </c>
      <c r="GO387" s="72">
        <f t="shared" si="2083"/>
        <v>1.3645224171539923</v>
      </c>
      <c r="GP387" s="91">
        <f>GP383-GP386</f>
        <v>1626.2625556756757</v>
      </c>
      <c r="GQ387" s="72">
        <f t="shared" si="2083"/>
        <v>4.247599722799734</v>
      </c>
      <c r="GR387" s="91">
        <f>GR383-GR386</f>
        <v>1690.6914579027016</v>
      </c>
      <c r="GS387" s="72">
        <f t="shared" si="2083"/>
        <v>3.9617773896452491</v>
      </c>
      <c r="GT387" s="91">
        <f>GT383-GT386</f>
        <v>1757.6291402188108</v>
      </c>
      <c r="GU387" s="72">
        <f t="shared" si="2083"/>
        <v>3.9591897151444471</v>
      </c>
      <c r="GV387" s="91">
        <f>GV383-GV386</f>
        <v>1827.1684324675607</v>
      </c>
      <c r="GW387" s="72">
        <f>IF(ISERROR(GV387/GT387),"NA",IF(OR(GV387/GT387&gt;2,GV387/GT387&lt;0.5),"NM",GV387/GT387*100-100))</f>
        <v>3.95642577023348</v>
      </c>
      <c r="GX387" s="91">
        <f>GX383-GX386</f>
        <v>1899.4050503366652</v>
      </c>
      <c r="GY387" s="72">
        <f>IF(ISERROR(GX387/GV387),"NA",IF(OR(GX387/GV387&gt;2,GX387/GV387&lt;0.5),"NM",GX387/GV387*100-100))</f>
        <v>3.9534733955287322</v>
      </c>
      <c r="GZ387" s="72">
        <f>IF(ISERROR(((GX387/GN387)^0.2-1)*100),"NA",IF((((GX387/GN387)^0.2-1)*100)&gt;100,"NM",IF((((GX387/GN387)^0.2-1)*100)&lt;-50,"NM",((GX387/GN387)^0.2-1)*100)))</f>
        <v>4.0156286032805966</v>
      </c>
      <c r="HA387" s="72"/>
      <c r="HB387" s="72"/>
      <c r="HC387"/>
      <c r="HD387"/>
      <c r="HE387"/>
      <c r="HF387"/>
      <c r="HG387"/>
      <c r="HH387"/>
      <c r="HI387" s="2"/>
    </row>
    <row r="388" spans="1:217" s="3" customFormat="1" ht="12.75" customHeight="1" x14ac:dyDescent="0.2">
      <c r="B388" s="77" t="s">
        <v>418</v>
      </c>
      <c r="C388" s="75"/>
      <c r="D388" s="72"/>
      <c r="E388" s="75"/>
      <c r="F388" s="72"/>
      <c r="G388" s="75"/>
      <c r="H388" s="72"/>
      <c r="I388" s="75"/>
      <c r="J388" s="72"/>
      <c r="K388" s="75"/>
      <c r="L388" s="72"/>
      <c r="M388" s="75"/>
      <c r="N388" s="72"/>
      <c r="O388" s="75"/>
      <c r="P388" s="72"/>
      <c r="Q388" s="75"/>
      <c r="R388" s="72"/>
      <c r="S388" s="75"/>
      <c r="T388" s="72"/>
      <c r="U388" s="75"/>
      <c r="V388" s="72"/>
      <c r="W388" s="75"/>
      <c r="X388" s="72"/>
      <c r="Y388" s="75"/>
      <c r="Z388" s="72"/>
      <c r="AA388" s="75"/>
      <c r="AB388" s="72"/>
      <c r="AC388" s="75"/>
      <c r="AD388" s="72"/>
      <c r="AE388" s="75"/>
      <c r="AF388" s="72"/>
      <c r="AG388" s="75"/>
      <c r="AH388" s="72"/>
      <c r="AI388" s="75"/>
      <c r="AJ388" s="72"/>
      <c r="AK388" s="75"/>
      <c r="AL388" s="72"/>
      <c r="AM388" s="75"/>
      <c r="AN388" s="72"/>
      <c r="AO388" s="75"/>
      <c r="AP388" s="72"/>
      <c r="AQ388" s="75"/>
      <c r="AR388" s="72"/>
      <c r="AS388" s="75"/>
      <c r="AT388" s="72"/>
      <c r="AU388" s="75"/>
      <c r="AV388" s="72"/>
      <c r="AW388" s="75"/>
      <c r="AX388" s="72"/>
      <c r="AY388" s="75"/>
      <c r="AZ388" s="72"/>
      <c r="BA388" s="75"/>
      <c r="BB388" s="72"/>
      <c r="BC388" s="75"/>
      <c r="BD388" s="72"/>
      <c r="BE388" s="75"/>
      <c r="BF388" s="72"/>
      <c r="BG388" s="75"/>
      <c r="BH388" s="72"/>
      <c r="BI388" s="75"/>
      <c r="BJ388" s="72"/>
      <c r="BK388" s="75"/>
      <c r="BL388" s="72"/>
      <c r="BM388" s="75"/>
      <c r="BN388" s="72"/>
      <c r="BO388" s="75"/>
      <c r="BP388" s="72"/>
      <c r="BQ388" s="75"/>
      <c r="BR388" s="72"/>
      <c r="BS388" s="75"/>
      <c r="BT388" s="72"/>
      <c r="BU388" s="75"/>
      <c r="BV388" s="72"/>
      <c r="BW388" s="75"/>
      <c r="BX388" s="72"/>
      <c r="BY388" s="75"/>
      <c r="BZ388" s="72"/>
      <c r="CA388" s="75"/>
      <c r="CB388" s="72"/>
      <c r="CC388" s="75"/>
      <c r="CD388" s="72"/>
      <c r="CE388" s="75"/>
      <c r="CF388" s="72"/>
      <c r="CG388" s="75"/>
      <c r="CH388" s="72"/>
      <c r="CI388" s="75"/>
      <c r="CJ388" s="72"/>
      <c r="CK388" s="75"/>
      <c r="CL388" s="72"/>
      <c r="CM388" s="81">
        <f>CM387/CM370*100</f>
        <v>15.188364329995233</v>
      </c>
      <c r="CN388" s="72"/>
      <c r="CO388" s="81">
        <f>CO387/CO370*100</f>
        <v>15.895061728395063</v>
      </c>
      <c r="CP388" s="72"/>
      <c r="CQ388" s="81">
        <f>CQ387/CQ370*100</f>
        <v>15.944123314065511</v>
      </c>
      <c r="CR388" s="72"/>
      <c r="CS388" s="81">
        <f>CS387/CS370*100</f>
        <v>14.388489208633093</v>
      </c>
      <c r="CT388" s="72"/>
      <c r="CU388" s="81">
        <f>CU387/CU370*100</f>
        <v>16.486836426413465</v>
      </c>
      <c r="CV388" s="72"/>
      <c r="CW388" s="81">
        <f>CW387/CW370*100</f>
        <v>17.062043795620436</v>
      </c>
      <c r="CX388" s="72"/>
      <c r="CY388" s="81">
        <f>CY387/CY370*100</f>
        <v>16.674117121144391</v>
      </c>
      <c r="CZ388" s="72"/>
      <c r="DA388" s="81">
        <f>DA387/DA370*100</f>
        <v>14.716312056737587</v>
      </c>
      <c r="DB388" s="72"/>
      <c r="DC388" s="81">
        <f>DC387/DC370*100</f>
        <v>17.273843634875153</v>
      </c>
      <c r="DD388" s="72"/>
      <c r="DE388" s="81">
        <f>DE387/DE370*100</f>
        <v>17.052826691380911</v>
      </c>
      <c r="DF388" s="72"/>
      <c r="DG388" s="81">
        <f>DG387/DG370*100</f>
        <v>18.637827887712842</v>
      </c>
      <c r="DH388" s="72"/>
      <c r="DI388" s="81">
        <f>DI387/DI370*100</f>
        <v>17.286751361161524</v>
      </c>
      <c r="DJ388" s="72"/>
      <c r="DK388" s="81">
        <f>DK387/DK370*100</f>
        <v>17.547398144413069</v>
      </c>
      <c r="DL388" s="72"/>
      <c r="DM388" s="81">
        <f>DM387/DM370*100</f>
        <v>16.895179124281292</v>
      </c>
      <c r="DN388" s="72">
        <f t="shared" si="2078"/>
        <v>-0.92446589619831343</v>
      </c>
      <c r="DO388" s="81">
        <f>DO387/DO370*100</f>
        <v>17.381786339754814</v>
      </c>
      <c r="DP388" s="72">
        <f t="shared" si="2078"/>
        <v>-6.7392056387970172</v>
      </c>
      <c r="DQ388" s="81">
        <f>DQ387/DQ370*100</f>
        <v>17.030762371823453</v>
      </c>
      <c r="DR388" s="72">
        <f t="shared" si="2078"/>
        <v>-1.4808391929162923</v>
      </c>
      <c r="DS388" s="81">
        <f>DS387/DS370*100</f>
        <v>17.977067977067975</v>
      </c>
      <c r="DT388" s="72">
        <f t="shared" si="2078"/>
        <v>2.4486241727621092</v>
      </c>
      <c r="DU388" s="81">
        <f>DU387/DU370*100</f>
        <v>17.570596145226354</v>
      </c>
      <c r="DV388" s="72">
        <f t="shared" si="2078"/>
        <v>3.997690796745502</v>
      </c>
      <c r="DW388" s="81">
        <f>DW387/DW370*100</f>
        <v>17.68888888888889</v>
      </c>
      <c r="DX388" s="72">
        <f t="shared" si="2078"/>
        <v>1.7668066050937909</v>
      </c>
      <c r="DY388" s="81">
        <f>DY387/DY370*100</f>
        <v>16.318363717207649</v>
      </c>
      <c r="DZ388" s="72">
        <f t="shared" si="2078"/>
        <v>-4.1830109484378113</v>
      </c>
      <c r="EA388" s="81">
        <f>EA387/EA370*100</f>
        <v>16.021883548261041</v>
      </c>
      <c r="EB388" s="72">
        <f>IF(ISERROR(EA388/DS388),"NA",IF(OR(EA388/DS388&gt;2,EA388/DS388&lt;0.5),"NM",EA388/DS388*100-100))</f>
        <v>-10.875991742930609</v>
      </c>
      <c r="EC388" s="81">
        <f>EC387/EC370*100</f>
        <v>14.191146048820851</v>
      </c>
      <c r="ED388" s="72">
        <f>IF(ISERROR(EC388/DU388),"NA",IF(OR(EC388/DU388&gt;2,EC388/DU388&lt;0.5),"NM",EC388/DU388*100-100))</f>
        <v>-19.233553992552743</v>
      </c>
      <c r="EE388" s="81">
        <f>EE387/EE370*100</f>
        <v>15.436241610738255</v>
      </c>
      <c r="EF388" s="72">
        <f>IF(ISERROR(EE388/DW388),"NA",IF(OR(EE388/DW388&gt;2,EE388/DW388&lt;0.5),"NM",EE388/DW388*100-100))</f>
        <v>-12.734815014670673</v>
      </c>
      <c r="EG388" s="81">
        <f>EG387/EG370*100</f>
        <v>15.946709729511504</v>
      </c>
      <c r="EH388" s="72">
        <f>IF(ISERROR(EG388/DY388),"NA",IF(OR(EG388/DY388&gt;2,EG388/DY388&lt;0.5),"NM",EG388/DY388*100-100))</f>
        <v>-2.2775199409499436</v>
      </c>
      <c r="EI388" s="81">
        <f>EI387/EI370*100</f>
        <v>14.686825053995682</v>
      </c>
      <c r="EJ388" s="72">
        <f>IF(ISERROR(EI388/EA388),"NA",IF(OR(EI388/EA388&gt;2,EI388/EA388&lt;0.5),"NM",EI388/EA388*100-100))</f>
        <v>-8.3327187483537983</v>
      </c>
      <c r="EK388" s="81">
        <f>EK387/EK370*100</f>
        <v>15.366705471478465</v>
      </c>
      <c r="EL388" s="72">
        <f>IF(ISERROR(EK388/EC388),"NA",IF(OR(EK388/EC388&gt;2,EK388/EC388&lt;0.5),"NM",EK388/EC388*100-100))</f>
        <v>8.2837525497476747</v>
      </c>
      <c r="EM388" s="81">
        <f>EM387/EM370*100</f>
        <v>14.198705748001522</v>
      </c>
      <c r="EN388" s="72">
        <f>IF(ISERROR(EM388/EE388),"NA",IF(OR(EM388/EE388&gt;2,EM388/EE388&lt;0.5),"NM",EM388/EE388*100-100))</f>
        <v>-8.0170801542510048</v>
      </c>
      <c r="EO388" s="81">
        <f>EO387/EO370*100</f>
        <v>14.387678437265214</v>
      </c>
      <c r="EP388" s="72">
        <f>IF(ISERROR(EO388/EG388),"NA",IF(OR(EO388/EG388&gt;2,EO388/EG388&lt;0.5),"NM",EO388/EG388*100-100))</f>
        <v>-9.7765076225166183</v>
      </c>
      <c r="EQ388" s="81">
        <f t="shared" ref="EQ388" si="2088">EQ387/EQ370*100</f>
        <v>14.967407858363217</v>
      </c>
      <c r="ER388" s="72">
        <f t="shared" si="2079"/>
        <v>1.9104388003260198</v>
      </c>
      <c r="ES388" s="81">
        <f t="shared" ref="ES388" si="2089">ES387/ES370*100</f>
        <v>14.982560741378755</v>
      </c>
      <c r="ET388" s="72">
        <f t="shared" si="2080"/>
        <v>-2.4998509329973473</v>
      </c>
      <c r="EU388" s="81">
        <f t="shared" ref="EU388" si="2090">EU387/EU370*100</f>
        <v>14.224993921025137</v>
      </c>
      <c r="EV388" s="72">
        <f t="shared" si="2081"/>
        <v>0.18514485397595593</v>
      </c>
      <c r="EW388" s="81">
        <f t="shared" ref="EW388" si="2091">EW387/EW370*100</f>
        <v>14.326994376608956</v>
      </c>
      <c r="EX388" s="72">
        <f t="shared" si="2082"/>
        <v>-0.42177798816437928</v>
      </c>
      <c r="EY388" s="72"/>
      <c r="EZ388" s="306"/>
      <c r="FA388" s="72"/>
      <c r="FB388" s="75"/>
      <c r="FC388" s="72"/>
      <c r="FD388" s="75"/>
      <c r="FE388" s="72"/>
      <c r="FF388" s="75"/>
      <c r="FG388" s="72"/>
      <c r="FH388" s="75"/>
      <c r="FI388" s="72"/>
      <c r="FJ388" s="75"/>
      <c r="FK388" s="72"/>
      <c r="FL388" s="75"/>
      <c r="FM388" s="72"/>
      <c r="FN388" s="75"/>
      <c r="FO388" s="72"/>
      <c r="FP388" s="75"/>
      <c r="FQ388" s="72"/>
      <c r="FR388" s="75"/>
      <c r="FS388" s="72"/>
      <c r="FT388" s="75"/>
      <c r="FU388" s="72"/>
      <c r="FV388" s="75"/>
      <c r="FW388" s="72"/>
      <c r="FX388" s="75"/>
      <c r="FY388" s="72"/>
      <c r="FZ388" s="75"/>
      <c r="GA388" s="72"/>
      <c r="GB388" s="81">
        <f>GB387/GB370*100</f>
        <v>15.343818580833943</v>
      </c>
      <c r="GC388" s="72"/>
      <c r="GD388" s="81">
        <f>GD387/GD370*100</f>
        <v>16.22972672739391</v>
      </c>
      <c r="GE388" s="72"/>
      <c r="GF388" s="81">
        <f>GF387/GF370*100</f>
        <v>17.554020940075741</v>
      </c>
      <c r="GG388" s="72"/>
      <c r="GH388" s="81">
        <f>GH387/GH370*100</f>
        <v>17.222402071867918</v>
      </c>
      <c r="GI388" s="72">
        <f t="shared" si="2083"/>
        <v>-1.8891333748539552</v>
      </c>
      <c r="GJ388" s="81">
        <f>GJ387/GJ370*100</f>
        <v>17.40078499781945</v>
      </c>
      <c r="GK388" s="72">
        <f t="shared" si="2083"/>
        <v>1.0357610117749658</v>
      </c>
      <c r="GL388" s="81">
        <f>GL387/GL370*100</f>
        <v>15.411576206689364</v>
      </c>
      <c r="GM388" s="72">
        <f t="shared" si="2083"/>
        <v>-11.431718691882921</v>
      </c>
      <c r="GN388" s="81">
        <f>GN387/GN370*100</f>
        <v>14.656144306651633</v>
      </c>
      <c r="GO388" s="72">
        <f t="shared" si="2083"/>
        <v>-4.9017173188932901</v>
      </c>
      <c r="GP388" s="81">
        <f>GP387/GP370*100</f>
        <v>14.627680958486671</v>
      </c>
      <c r="GQ388" s="72">
        <f t="shared" si="2083"/>
        <v>-0.19420761401785569</v>
      </c>
      <c r="GR388" s="81">
        <f>GR387/GR370*100</f>
        <v>14.622304918586002</v>
      </c>
      <c r="GS388" s="72">
        <f t="shared" si="2083"/>
        <v>-3.6752509956471613E-2</v>
      </c>
      <c r="GT388" s="81">
        <f>GT387/GT370*100</f>
        <v>14.61656702984588</v>
      </c>
      <c r="GU388" s="72">
        <f t="shared" si="2083"/>
        <v>-3.9240658514984261E-2</v>
      </c>
      <c r="GV388" s="81">
        <f>GV387/GV370*100</f>
        <v>14.610442937055918</v>
      </c>
      <c r="GW388" s="72">
        <f>IF(ISERROR(GV388/GT388),"NA",IF(OR(GV388/GT388&gt;2,GV388/GT388&lt;0.5),"NM",GV388/GT388*100-100))</f>
        <v>-4.1898297852412725E-2</v>
      </c>
      <c r="GX388" s="81">
        <f>GX387/GX370*100</f>
        <v>14.603906645712813</v>
      </c>
      <c r="GY388" s="72">
        <f>IF(ISERROR(GX388/GV388),"NA",IF(OR(GX388/GV388&gt;2,GX388/GV388&lt;0.5),"NM",GX388/GV388*100-100))</f>
        <v>-4.4737119683944115E-2</v>
      </c>
      <c r="GZ388" s="72"/>
      <c r="HA388" s="72"/>
      <c r="HB388" s="72"/>
      <c r="HC388"/>
      <c r="HD388"/>
      <c r="HE388"/>
      <c r="HF388"/>
      <c r="HG388"/>
      <c r="HH388"/>
      <c r="HI388" s="2"/>
    </row>
    <row r="389" spans="1:217" s="3" customFormat="1" ht="12.75" customHeight="1" x14ac:dyDescent="0.2">
      <c r="B389" s="10"/>
      <c r="C389" s="74"/>
      <c r="D389" s="72"/>
      <c r="E389" s="74"/>
      <c r="F389" s="72"/>
      <c r="G389" s="74"/>
      <c r="H389" s="72"/>
      <c r="I389" s="74"/>
      <c r="J389" s="72"/>
      <c r="K389" s="74"/>
      <c r="L389" s="72"/>
      <c r="M389" s="74"/>
      <c r="N389" s="72"/>
      <c r="O389" s="74"/>
      <c r="P389" s="72"/>
      <c r="Q389" s="74"/>
      <c r="R389" s="72"/>
      <c r="S389" s="74"/>
      <c r="T389" s="72"/>
      <c r="U389" s="74"/>
      <c r="V389" s="72"/>
      <c r="W389" s="74"/>
      <c r="X389" s="72"/>
      <c r="Y389" s="74"/>
      <c r="Z389" s="72"/>
      <c r="AA389" s="74"/>
      <c r="AB389" s="72"/>
      <c r="AC389" s="74"/>
      <c r="AD389" s="72"/>
      <c r="AE389" s="74"/>
      <c r="AF389" s="72"/>
      <c r="AG389" s="74"/>
      <c r="AH389" s="72"/>
      <c r="AI389" s="74"/>
      <c r="AJ389" s="72"/>
      <c r="AK389" s="74"/>
      <c r="AL389" s="72"/>
      <c r="AM389" s="74"/>
      <c r="AN389" s="72"/>
      <c r="AO389" s="74"/>
      <c r="AP389" s="72"/>
      <c r="AQ389" s="74"/>
      <c r="AR389" s="72"/>
      <c r="AS389" s="74"/>
      <c r="AT389" s="72"/>
      <c r="AU389" s="74"/>
      <c r="AV389" s="72"/>
      <c r="AW389" s="74"/>
      <c r="AX389" s="72"/>
      <c r="AY389" s="74"/>
      <c r="AZ389" s="72"/>
      <c r="BA389" s="74"/>
      <c r="BB389" s="72"/>
      <c r="BC389" s="74"/>
      <c r="BD389" s="72"/>
      <c r="BE389" s="74"/>
      <c r="BF389" s="72"/>
      <c r="BG389" s="74"/>
      <c r="BH389" s="72"/>
      <c r="BI389" s="74"/>
      <c r="BJ389" s="72"/>
      <c r="BK389" s="74"/>
      <c r="BL389" s="72"/>
      <c r="BM389" s="74"/>
      <c r="BN389" s="72"/>
      <c r="BO389" s="74"/>
      <c r="BP389" s="72"/>
      <c r="BQ389" s="74"/>
      <c r="BR389" s="72"/>
      <c r="BS389" s="74"/>
      <c r="BT389" s="72"/>
      <c r="BU389" s="74"/>
      <c r="BV389" s="72"/>
      <c r="BW389" s="74"/>
      <c r="BX389" s="72"/>
      <c r="BY389" s="74"/>
      <c r="BZ389" s="72"/>
      <c r="CA389" s="74"/>
      <c r="CB389" s="72"/>
      <c r="CC389" s="74"/>
      <c r="CD389" s="72"/>
      <c r="CE389" s="74"/>
      <c r="CF389" s="72"/>
      <c r="CG389" s="74"/>
      <c r="CH389" s="72"/>
      <c r="CI389" s="74"/>
      <c r="CJ389" s="72"/>
      <c r="CK389" s="74"/>
      <c r="CL389" s="72"/>
      <c r="CM389" s="74"/>
      <c r="CN389" s="72"/>
      <c r="CO389" s="74"/>
      <c r="CP389" s="72"/>
      <c r="CQ389" s="74"/>
      <c r="CR389" s="72"/>
      <c r="CS389" s="74"/>
      <c r="CT389" s="72"/>
      <c r="CU389" s="74"/>
      <c r="CV389" s="72"/>
      <c r="CW389" s="74"/>
      <c r="CX389" s="72"/>
      <c r="CY389" s="74"/>
      <c r="CZ389" s="72"/>
      <c r="DA389" s="74"/>
      <c r="DB389" s="72"/>
      <c r="DC389" s="74"/>
      <c r="DD389" s="72"/>
      <c r="DE389" s="74"/>
      <c r="DF389" s="72"/>
      <c r="DG389" s="74"/>
      <c r="DH389" s="72"/>
      <c r="DI389" s="74"/>
      <c r="DJ389" s="72"/>
      <c r="DK389" s="74"/>
      <c r="DL389" s="72"/>
      <c r="DM389" s="74"/>
      <c r="DN389" s="72"/>
      <c r="DO389" s="74"/>
      <c r="DP389" s="72"/>
      <c r="DQ389" s="74"/>
      <c r="DR389" s="72"/>
      <c r="DS389" s="74"/>
      <c r="DT389" s="72"/>
      <c r="DU389" s="74"/>
      <c r="DV389" s="72"/>
      <c r="DW389" s="75"/>
      <c r="DX389" s="72"/>
      <c r="DY389" s="75"/>
      <c r="DZ389" s="72"/>
      <c r="EA389" s="75"/>
      <c r="EB389" s="72"/>
      <c r="EC389" s="75"/>
      <c r="ED389" s="72"/>
      <c r="EE389" s="75"/>
      <c r="EF389" s="72"/>
      <c r="EG389" s="75"/>
      <c r="EH389" s="72"/>
      <c r="EI389" s="75"/>
      <c r="EJ389" s="72"/>
      <c r="EK389" s="75"/>
      <c r="EL389" s="72"/>
      <c r="EM389" s="75"/>
      <c r="EN389" s="72"/>
      <c r="EO389" s="75"/>
      <c r="EP389" s="72"/>
      <c r="EQ389" s="75"/>
      <c r="ER389" s="72"/>
      <c r="ES389" s="75"/>
      <c r="ET389" s="72"/>
      <c r="EU389" s="75"/>
      <c r="EV389" s="72"/>
      <c r="EW389" s="75"/>
      <c r="EX389" s="72"/>
      <c r="EY389" s="72"/>
      <c r="EZ389" s="307"/>
      <c r="FA389" s="72"/>
      <c r="FB389" s="74"/>
      <c r="FC389" s="72"/>
      <c r="FD389" s="75"/>
      <c r="FE389" s="72"/>
      <c r="FF389" s="75"/>
      <c r="FG389" s="72"/>
      <c r="FH389" s="75"/>
      <c r="FI389" s="72"/>
      <c r="FJ389" s="75"/>
      <c r="FK389" s="72"/>
      <c r="FL389" s="75"/>
      <c r="FM389" s="72"/>
      <c r="FN389" s="75"/>
      <c r="FO389" s="72"/>
      <c r="FP389" s="74"/>
      <c r="FQ389" s="72"/>
      <c r="FR389" s="75"/>
      <c r="FS389" s="72"/>
      <c r="FT389" s="75"/>
      <c r="FU389" s="72"/>
      <c r="FV389" s="75"/>
      <c r="FW389" s="72"/>
      <c r="FX389" s="75"/>
      <c r="FY389" s="72"/>
      <c r="FZ389" s="81"/>
      <c r="GA389" s="72"/>
      <c r="GB389" s="81"/>
      <c r="GC389" s="72"/>
      <c r="GD389" s="81"/>
      <c r="GE389" s="72"/>
      <c r="GF389" s="81"/>
      <c r="GG389" s="72"/>
      <c r="GH389" s="81"/>
      <c r="GI389" s="72"/>
      <c r="GJ389" s="81"/>
      <c r="GK389" s="72"/>
      <c r="GL389" s="81"/>
      <c r="GM389" s="72"/>
      <c r="GN389" s="81"/>
      <c r="GO389" s="72"/>
      <c r="GP389" s="81"/>
      <c r="GQ389" s="72"/>
      <c r="GR389" s="75"/>
      <c r="GS389" s="72"/>
      <c r="GT389" s="75"/>
      <c r="GU389" s="72"/>
      <c r="GV389" s="75"/>
      <c r="GW389" s="72"/>
      <c r="GX389" s="75"/>
      <c r="GY389" s="72"/>
      <c r="GZ389" s="72"/>
      <c r="HA389" s="72"/>
      <c r="HB389" s="72"/>
      <c r="HC389"/>
      <c r="HD389"/>
      <c r="HE389"/>
      <c r="HF389"/>
      <c r="HG389"/>
      <c r="HH389"/>
      <c r="HI389" s="2"/>
    </row>
    <row r="390" spans="1:217" s="3" customFormat="1" ht="12.75" customHeight="1" x14ac:dyDescent="0.2">
      <c r="B390" s="10" t="s">
        <v>472</v>
      </c>
      <c r="C390" s="145"/>
      <c r="D390" s="11"/>
      <c r="E390" s="145"/>
      <c r="F390" s="11"/>
      <c r="G390" s="145"/>
      <c r="H390" s="11"/>
      <c r="I390" s="145"/>
      <c r="J390" s="11"/>
      <c r="K390" s="145"/>
      <c r="L390" s="72"/>
      <c r="M390" s="145"/>
      <c r="N390" s="72"/>
      <c r="O390" s="145"/>
      <c r="P390" s="72"/>
      <c r="Q390" s="145"/>
      <c r="R390" s="72"/>
      <c r="S390" s="145"/>
      <c r="T390" s="72"/>
      <c r="U390" s="145"/>
      <c r="V390" s="72"/>
      <c r="W390" s="145"/>
      <c r="X390" s="72"/>
      <c r="Y390" s="145"/>
      <c r="Z390" s="72"/>
      <c r="AA390" s="145"/>
      <c r="AB390" s="72"/>
      <c r="AC390" s="145"/>
      <c r="AD390" s="72"/>
      <c r="AE390" s="145"/>
      <c r="AF390" s="72"/>
      <c r="AG390" s="145"/>
      <c r="AH390" s="72"/>
      <c r="AI390" s="145"/>
      <c r="AJ390" s="72"/>
      <c r="AK390" s="145"/>
      <c r="AL390" s="72"/>
      <c r="AM390" s="145"/>
      <c r="AN390" s="72"/>
      <c r="AO390" s="145"/>
      <c r="AP390" s="72"/>
      <c r="AQ390" s="145"/>
      <c r="AR390" s="72"/>
      <c r="AS390" s="145"/>
      <c r="AT390" s="72"/>
      <c r="AU390" s="145"/>
      <c r="AV390" s="72"/>
      <c r="AW390" s="145"/>
      <c r="AX390" s="72"/>
      <c r="AY390" s="145"/>
      <c r="AZ390" s="72"/>
      <c r="BA390" s="145"/>
      <c r="BB390" s="72"/>
      <c r="BC390" s="145"/>
      <c r="BD390" s="72"/>
      <c r="BE390" s="145"/>
      <c r="BF390" s="72"/>
      <c r="BG390" s="145"/>
      <c r="BH390" s="72"/>
      <c r="BI390" s="145"/>
      <c r="BJ390" s="72"/>
      <c r="BK390" s="145"/>
      <c r="BL390" s="72"/>
      <c r="BM390" s="145"/>
      <c r="BN390" s="72"/>
      <c r="BO390" s="145"/>
      <c r="BP390" s="72"/>
      <c r="BQ390" s="145"/>
      <c r="BR390" s="72"/>
      <c r="BS390" s="145"/>
      <c r="BT390" s="72"/>
      <c r="BU390" s="145"/>
      <c r="BV390" s="72"/>
      <c r="BW390" s="145"/>
      <c r="BX390" s="72"/>
      <c r="BY390" s="145"/>
      <c r="BZ390" s="72"/>
      <c r="CA390" s="145"/>
      <c r="CB390" s="72"/>
      <c r="CC390" s="145"/>
      <c r="CD390" s="72"/>
      <c r="CE390" s="145"/>
      <c r="CF390" s="72"/>
      <c r="CG390" s="145"/>
      <c r="CH390" s="72"/>
      <c r="CI390" s="145"/>
      <c r="CJ390" s="72"/>
      <c r="CK390" s="145"/>
      <c r="CL390" s="72"/>
      <c r="CM390" s="145"/>
      <c r="CN390" s="72"/>
      <c r="CO390" s="145"/>
      <c r="CP390" s="72"/>
      <c r="CQ390" s="145"/>
      <c r="CR390" s="72"/>
      <c r="CS390" s="145"/>
      <c r="CT390" s="72"/>
      <c r="CU390" s="145"/>
      <c r="CV390" s="72"/>
      <c r="CW390" s="145"/>
      <c r="CX390" s="72"/>
      <c r="CY390" s="145"/>
      <c r="CZ390" s="72"/>
      <c r="DA390" s="145"/>
      <c r="DB390" s="72"/>
      <c r="DC390" s="418">
        <v>15</v>
      </c>
      <c r="DD390" s="72"/>
      <c r="DE390" s="145"/>
      <c r="DF390" s="72"/>
      <c r="DG390" s="150">
        <v>0</v>
      </c>
      <c r="DH390" s="72"/>
      <c r="DI390" s="150">
        <v>0</v>
      </c>
      <c r="DJ390" s="72"/>
      <c r="DK390" s="150">
        <v>0</v>
      </c>
      <c r="DL390" s="72"/>
      <c r="DM390" s="150">
        <v>10</v>
      </c>
      <c r="DN390" s="72" t="str">
        <f t="shared" ref="DN390:DZ391" si="2092">IF(ISERROR(DM390/DE390),"NA",IF(OR(DM390/DE390&gt;2,DM390/DE390&lt;0.5),"NM",DM390/DE390*100-100))</f>
        <v>NA</v>
      </c>
      <c r="DO390" s="150">
        <v>10</v>
      </c>
      <c r="DP390" s="72" t="str">
        <f t="shared" si="2092"/>
        <v>NA</v>
      </c>
      <c r="DQ390" s="150">
        <v>25</v>
      </c>
      <c r="DR390" s="72" t="str">
        <f t="shared" si="2092"/>
        <v>NA</v>
      </c>
      <c r="DS390" s="150">
        <f>15+30</f>
        <v>45</v>
      </c>
      <c r="DT390" s="72" t="str">
        <f t="shared" si="2092"/>
        <v>NA</v>
      </c>
      <c r="DU390" s="150">
        <v>0</v>
      </c>
      <c r="DV390" s="72" t="str">
        <f t="shared" si="2092"/>
        <v>NM</v>
      </c>
      <c r="DW390" s="150">
        <v>0</v>
      </c>
      <c r="DX390" s="72" t="str">
        <f t="shared" si="2092"/>
        <v>NM</v>
      </c>
      <c r="DY390" s="730">
        <f>10-40</f>
        <v>-30</v>
      </c>
      <c r="DZ390" s="72" t="str">
        <f t="shared" si="2092"/>
        <v>NM</v>
      </c>
      <c r="EA390" s="730">
        <v>-5</v>
      </c>
      <c r="EB390" s="72" t="str">
        <f>IF(ISERROR(EA390/DS390),"NA",IF(OR(EA390/DS390&gt;2,EA390/DS390&lt;0.5),"NM",EA390/DS390*100-100))</f>
        <v>NM</v>
      </c>
      <c r="EC390" s="730">
        <f>-38+10</f>
        <v>-28</v>
      </c>
      <c r="ED390" s="72" t="str">
        <f>IF(ISERROR(EC390/DU390),"NA",IF(OR(EC390/DU390&gt;2,EC390/DU390&lt;0.5),"NM",EC390/DU390*100-100))</f>
        <v>NA</v>
      </c>
      <c r="EE390" s="730">
        <f>10+5</f>
        <v>15</v>
      </c>
      <c r="EF390" s="72" t="str">
        <f>IF(ISERROR(EE390/DW390),"NA",IF(OR(EE390/DW390&gt;2,EE390/DW390&lt;0.5),"NM",EE390/DW390*100-100))</f>
        <v>NA</v>
      </c>
      <c r="EG390" s="730">
        <v>15</v>
      </c>
      <c r="EH390" s="72" t="str">
        <f>IF(ISERROR(EG390/DY390),"NA",IF(OR(EG390/DY390&gt;2,EG390/DY390&lt;0.5),"NM",EG390/DY390*100-100))</f>
        <v>NM</v>
      </c>
      <c r="EI390" s="730">
        <v>-7</v>
      </c>
      <c r="EJ390" s="72">
        <f>IF(ISERROR(EI390/EA390),"NA",IF(OR(EI390/EA390&gt;2,EI390/EA390&lt;0.5),"NM",EI390/EA390*100-100))</f>
        <v>40</v>
      </c>
      <c r="EK390" s="730">
        <f>20+10-25</f>
        <v>5</v>
      </c>
      <c r="EL390" s="72" t="str">
        <f>IF(ISERROR(EK390/EC390),"NA",IF(OR(EK390/EC390&gt;2,EK390/EC390&lt;0.5),"NM",EK390/EC390*100-100))</f>
        <v>NM</v>
      </c>
      <c r="EM390" s="730">
        <v>-20</v>
      </c>
      <c r="EN390" s="72" t="str">
        <f>IF(ISERROR(EM390/EE390),"NA",IF(OR(EM390/EE390&gt;2,EM390/EE390&lt;0.5),"NM",EM390/EE390*100-100))</f>
        <v>NM</v>
      </c>
      <c r="EO390" s="730">
        <v>15</v>
      </c>
      <c r="EP390" s="72">
        <f>IF(ISERROR(EO390/EG390),"NA",IF(OR(EO390/EG390&gt;2,EO390/EG390&lt;0.5),"NM",EO390/EG390*100-100))</f>
        <v>0</v>
      </c>
      <c r="EQ390" s="144"/>
      <c r="ER390" s="72" t="str">
        <f t="shared" ref="ER390:ER391" si="2093">IF(ISERROR(EQ390/EI390),"NA",IF(OR(EQ390/EI390&gt;2,EQ390/EI390&lt;0.5),"NM",EQ390/EI390*100-100))</f>
        <v>NM</v>
      </c>
      <c r="ES390" s="144"/>
      <c r="ET390" s="72" t="str">
        <f t="shared" ref="ET390:ET391" si="2094">IF(ISERROR(ES390/EK390),"NA",IF(OR(ES390/EK390&gt;2,ES390/EK390&lt;0.5),"NM",ES390/EK390*100-100))</f>
        <v>NM</v>
      </c>
      <c r="EU390" s="144"/>
      <c r="EV390" s="72" t="str">
        <f t="shared" ref="EV390:EV391" si="2095">IF(ISERROR(EU390/EM390),"NA",IF(OR(EU390/EM390&gt;2,EU390/EM390&lt;0.5),"NM",EU390/EM390*100-100))</f>
        <v>NM</v>
      </c>
      <c r="EW390" s="144"/>
      <c r="EX390" s="72" t="str">
        <f t="shared" ref="EX390:EX391" si="2096">IF(ISERROR(EW390/EO390),"NA",IF(OR(EW390/EO390&gt;2,EW390/EO390&lt;0.5),"NM",EW390/EO390*100-100))</f>
        <v>NM</v>
      </c>
      <c r="EY390" s="72"/>
      <c r="EZ390" s="296"/>
      <c r="FA390" s="72"/>
      <c r="FB390" s="145"/>
      <c r="FC390" s="11"/>
      <c r="FD390" s="145"/>
      <c r="FE390" s="72"/>
      <c r="FF390" s="145"/>
      <c r="FG390" s="72"/>
      <c r="FH390" s="145"/>
      <c r="FI390" s="72"/>
      <c r="FJ390" s="145"/>
      <c r="FK390" s="72"/>
      <c r="FL390" s="145"/>
      <c r="FM390" s="72"/>
      <c r="FN390" s="145"/>
      <c r="FO390" s="72"/>
      <c r="FP390" s="145"/>
      <c r="FQ390" s="72"/>
      <c r="FR390" s="144"/>
      <c r="FS390" s="72"/>
      <c r="FT390" s="144"/>
      <c r="FU390" s="72"/>
      <c r="FV390" s="144"/>
      <c r="FW390" s="72"/>
      <c r="FX390" s="144"/>
      <c r="FY390" s="72"/>
      <c r="FZ390" s="144"/>
      <c r="GA390" s="72"/>
      <c r="GB390" s="144"/>
      <c r="GC390" s="72"/>
      <c r="GD390" s="144"/>
      <c r="GE390" s="72"/>
      <c r="GF390" s="144">
        <f>DC390+DE390+DG390+DI390</f>
        <v>15</v>
      </c>
      <c r="GG390" s="72"/>
      <c r="GH390" s="144"/>
      <c r="GI390" s="72"/>
      <c r="GJ390" s="144"/>
      <c r="GK390" s="72"/>
      <c r="GL390" s="144"/>
      <c r="GM390" s="72"/>
      <c r="GN390" s="144"/>
      <c r="GO390" s="72"/>
      <c r="GP390" s="144"/>
      <c r="GQ390" s="72"/>
      <c r="GR390" s="144"/>
      <c r="GS390" s="72"/>
      <c r="GT390" s="144"/>
      <c r="GU390" s="72"/>
      <c r="GV390" s="144"/>
      <c r="GW390" s="72"/>
      <c r="GX390" s="144"/>
      <c r="GY390" s="72"/>
      <c r="GZ390" s="72"/>
      <c r="HA390" s="72"/>
      <c r="HB390" s="72"/>
      <c r="HC390"/>
      <c r="HD390"/>
      <c r="HE390"/>
      <c r="HF390"/>
      <c r="HG390"/>
      <c r="HH390"/>
      <c r="HI390" s="2"/>
    </row>
    <row r="391" spans="1:217" s="78" customFormat="1" ht="12.75" customHeight="1" x14ac:dyDescent="0.2">
      <c r="A391" s="3"/>
      <c r="B391" s="70" t="s">
        <v>424</v>
      </c>
      <c r="C391" s="91"/>
      <c r="D391" s="80"/>
      <c r="E391" s="91"/>
      <c r="F391" s="80"/>
      <c r="G391" s="91"/>
      <c r="H391" s="80"/>
      <c r="I391" s="91"/>
      <c r="J391" s="80"/>
      <c r="K391" s="91"/>
      <c r="L391" s="72"/>
      <c r="M391" s="91"/>
      <c r="N391" s="72"/>
      <c r="O391" s="91"/>
      <c r="P391" s="72"/>
      <c r="Q391" s="91"/>
      <c r="R391" s="72"/>
      <c r="S391" s="91"/>
      <c r="T391" s="72"/>
      <c r="U391" s="91"/>
      <c r="V391" s="72"/>
      <c r="W391" s="91"/>
      <c r="X391" s="72"/>
      <c r="Y391" s="91"/>
      <c r="Z391" s="72"/>
      <c r="AA391" s="91"/>
      <c r="AB391" s="72"/>
      <c r="AC391" s="91"/>
      <c r="AD391" s="72"/>
      <c r="AE391" s="91"/>
      <c r="AF391" s="72"/>
      <c r="AG391" s="91"/>
      <c r="AH391" s="72"/>
      <c r="AI391" s="91"/>
      <c r="AJ391" s="72"/>
      <c r="AK391" s="91"/>
      <c r="AL391" s="72"/>
      <c r="AM391" s="91"/>
      <c r="AN391" s="72"/>
      <c r="AO391" s="91"/>
      <c r="AP391" s="72"/>
      <c r="AQ391" s="91"/>
      <c r="AR391" s="72"/>
      <c r="AS391" s="91"/>
      <c r="AT391" s="72"/>
      <c r="AU391" s="91"/>
      <c r="AV391" s="72"/>
      <c r="AW391" s="91"/>
      <c r="AX391" s="72"/>
      <c r="AY391" s="91"/>
      <c r="AZ391" s="72"/>
      <c r="BA391" s="91"/>
      <c r="BB391" s="72"/>
      <c r="BC391" s="91"/>
      <c r="BD391" s="72"/>
      <c r="BE391" s="91"/>
      <c r="BF391" s="72"/>
      <c r="BG391" s="91"/>
      <c r="BH391" s="72"/>
      <c r="BI391" s="91"/>
      <c r="BJ391" s="72"/>
      <c r="BK391" s="91"/>
      <c r="BL391" s="72"/>
      <c r="BM391" s="91"/>
      <c r="BN391" s="72"/>
      <c r="BO391" s="91"/>
      <c r="BP391" s="72"/>
      <c r="BQ391" s="91"/>
      <c r="BR391" s="72"/>
      <c r="BS391" s="91"/>
      <c r="BT391" s="72"/>
      <c r="BU391" s="91"/>
      <c r="BV391" s="72"/>
      <c r="BW391" s="91"/>
      <c r="BX391" s="72"/>
      <c r="BY391" s="91"/>
      <c r="BZ391" s="72"/>
      <c r="CA391" s="91"/>
      <c r="CB391" s="72"/>
      <c r="CC391" s="91"/>
      <c r="CD391" s="72"/>
      <c r="CE391" s="91"/>
      <c r="CF391" s="72"/>
      <c r="CG391" s="91"/>
      <c r="CH391" s="72"/>
      <c r="CI391" s="91"/>
      <c r="CJ391" s="72"/>
      <c r="CK391" s="91"/>
      <c r="CL391" s="72"/>
      <c r="CM391" s="91"/>
      <c r="CN391" s="72"/>
      <c r="CO391" s="91"/>
      <c r="CP391" s="72"/>
      <c r="CQ391" s="91"/>
      <c r="CR391" s="72"/>
      <c r="CS391" s="91"/>
      <c r="CT391" s="72"/>
      <c r="CU391" s="91"/>
      <c r="CV391" s="72"/>
      <c r="CW391" s="91"/>
      <c r="CX391" s="72"/>
      <c r="CY391" s="91"/>
      <c r="CZ391" s="72"/>
      <c r="DA391" s="91"/>
      <c r="DB391" s="72"/>
      <c r="DC391" s="91">
        <f>DC387-DC390</f>
        <v>407</v>
      </c>
      <c r="DD391" s="72"/>
      <c r="DE391" s="91"/>
      <c r="DF391" s="72"/>
      <c r="DG391" s="91">
        <f>DG387-DG390</f>
        <v>405</v>
      </c>
      <c r="DH391" s="72"/>
      <c r="DI391" s="91">
        <f>DI387-DI390</f>
        <v>381</v>
      </c>
      <c r="DJ391" s="72"/>
      <c r="DK391" s="91">
        <f>DK387-DK390</f>
        <v>435</v>
      </c>
      <c r="DL391" s="72">
        <f>IF(ISERROR(DK391/DC391),"NA",IF(OR(DK391/DC391&gt;2,DK391/DC391&lt;0.5),"NM",DK391/DC391*100-100))</f>
        <v>6.8796068796068681</v>
      </c>
      <c r="DM391" s="91">
        <f>DM387-DM390</f>
        <v>372</v>
      </c>
      <c r="DN391" s="72" t="str">
        <f t="shared" si="2092"/>
        <v>NA</v>
      </c>
      <c r="DO391" s="91">
        <f>DO387-DO390</f>
        <v>387</v>
      </c>
      <c r="DP391" s="72">
        <f t="shared" si="2092"/>
        <v>-4.4444444444444429</v>
      </c>
      <c r="DQ391" s="91">
        <f>DQ387-DQ390</f>
        <v>357</v>
      </c>
      <c r="DR391" s="72">
        <f t="shared" si="2092"/>
        <v>-6.2992125984251999</v>
      </c>
      <c r="DS391" s="91">
        <f>DS387-DS390</f>
        <v>394</v>
      </c>
      <c r="DT391" s="72">
        <f t="shared" si="2092"/>
        <v>-9.4252873563218458</v>
      </c>
      <c r="DU391" s="91">
        <f>DU387-DU390</f>
        <v>392</v>
      </c>
      <c r="DV391" s="72">
        <f t="shared" si="2092"/>
        <v>5.3763440860215042</v>
      </c>
      <c r="DW391" s="91">
        <f>DW387-DW390</f>
        <v>398</v>
      </c>
      <c r="DX391" s="72">
        <f t="shared" si="2092"/>
        <v>2.8423772609819054</v>
      </c>
      <c r="DY391" s="91">
        <f>DY387-DY390</f>
        <v>397</v>
      </c>
      <c r="DZ391" s="72">
        <f t="shared" si="2092"/>
        <v>11.20448179271709</v>
      </c>
      <c r="EA391" s="91">
        <f>EA387-EA390</f>
        <v>415</v>
      </c>
      <c r="EB391" s="72">
        <f>IF(ISERROR(EA391/DS391),"NA",IF(OR(EA391/DS391&gt;2,EA391/DS391&lt;0.5),"NM",EA391/DS391*100-100))</f>
        <v>5.3299492385786778</v>
      </c>
      <c r="EC391" s="91">
        <f>EC387-EC390</f>
        <v>371</v>
      </c>
      <c r="ED391" s="72">
        <f>IF(ISERROR(EC391/DU391),"NA",IF(OR(EC391/DU391&gt;2,EC391/DU391&lt;0.5),"NM",EC391/DU391*100-100))</f>
        <v>-5.3571428571428612</v>
      </c>
      <c r="EE391" s="91">
        <f>EE387-EE390</f>
        <v>376</v>
      </c>
      <c r="EF391" s="72">
        <f>IF(ISERROR(EE391/DW391),"NA",IF(OR(EE391/DW391&gt;2,EE391/DW391&lt;0.5),"NM",EE391/DW391*100-100))</f>
        <v>-5.5276381909547752</v>
      </c>
      <c r="EG391" s="91">
        <f>EG387-EG390</f>
        <v>380</v>
      </c>
      <c r="EH391" s="72">
        <f>IF(ISERROR(EG391/DY391),"NA",IF(OR(EG391/DY391&gt;2,EG391/DY391&lt;0.5),"NM",EG391/DY391*100-100))</f>
        <v>-4.2821158690176304</v>
      </c>
      <c r="EI391" s="91">
        <f>EI387-EI390</f>
        <v>415</v>
      </c>
      <c r="EJ391" s="72">
        <f>IF(ISERROR(EI391/EA391),"NA",IF(OR(EI391/EA391&gt;2,EI391/EA391&lt;0.5),"NM",EI391/EA391*100-100))</f>
        <v>0</v>
      </c>
      <c r="EK391" s="91">
        <f>EK387-EK390</f>
        <v>391</v>
      </c>
      <c r="EL391" s="72">
        <f>IF(ISERROR(EK391/EC391),"NA",IF(OR(EK391/EC391&gt;2,EK391/EC391&lt;0.5),"NM",EK391/EC391*100-100))</f>
        <v>5.3908355795148282</v>
      </c>
      <c r="EM391" s="91">
        <f>EM387-EM390</f>
        <v>393</v>
      </c>
      <c r="EN391" s="72">
        <f>IF(ISERROR(EM391/EE391),"NA",IF(OR(EM391/EE391&gt;2,EM391/EE391&lt;0.5),"NM",EM391/EE391*100-100))</f>
        <v>4.5212765957446805</v>
      </c>
      <c r="EO391" s="91">
        <f>EO387-EO390</f>
        <v>368</v>
      </c>
      <c r="EP391" s="72">
        <f>IF(ISERROR(EO391/EG391),"NA",IF(OR(EO391/EG391&gt;2,EO391/EG391&lt;0.5),"NM",EO391/EG391*100-100))</f>
        <v>-3.1578947368421098</v>
      </c>
      <c r="EQ391" s="91"/>
      <c r="ER391" s="72" t="str">
        <f t="shared" si="2093"/>
        <v>NM</v>
      </c>
      <c r="ES391" s="91"/>
      <c r="ET391" s="72" t="str">
        <f t="shared" si="2094"/>
        <v>NM</v>
      </c>
      <c r="EU391" s="91"/>
      <c r="EV391" s="72" t="str">
        <f t="shared" si="2095"/>
        <v>NM</v>
      </c>
      <c r="EW391" s="91"/>
      <c r="EX391" s="72" t="str">
        <f t="shared" si="2096"/>
        <v>NM</v>
      </c>
      <c r="EY391" s="72"/>
      <c r="EZ391" s="314"/>
      <c r="FA391" s="72"/>
      <c r="FB391" s="91"/>
      <c r="FC391" s="80"/>
      <c r="FD391" s="91"/>
      <c r="FE391" s="72"/>
      <c r="FF391" s="91"/>
      <c r="FG391" s="72"/>
      <c r="FH391" s="91"/>
      <c r="FI391" s="72"/>
      <c r="FJ391" s="91"/>
      <c r="FK391" s="72"/>
      <c r="FL391" s="91"/>
      <c r="FM391" s="72"/>
      <c r="FN391" s="75"/>
      <c r="FO391" s="72"/>
      <c r="FP391" s="91"/>
      <c r="FQ391" s="72"/>
      <c r="FR391" s="91"/>
      <c r="FS391" s="72"/>
      <c r="FT391" s="91"/>
      <c r="FU391" s="72"/>
      <c r="FV391" s="91"/>
      <c r="FW391" s="72"/>
      <c r="FX391" s="91"/>
      <c r="FY391" s="72"/>
      <c r="FZ391" s="91"/>
      <c r="GA391" s="72"/>
      <c r="GB391" s="91"/>
      <c r="GC391" s="72"/>
      <c r="GD391" s="91"/>
      <c r="GE391" s="72"/>
      <c r="GF391" s="91">
        <f>GF387-GF390</f>
        <v>1561</v>
      </c>
      <c r="GG391" s="72"/>
      <c r="GH391" s="91"/>
      <c r="GI391" s="72"/>
      <c r="GJ391" s="91"/>
      <c r="GK391" s="72"/>
      <c r="GL391" s="91"/>
      <c r="GM391" s="72"/>
      <c r="GN391" s="91"/>
      <c r="GO391" s="72"/>
      <c r="GP391" s="91"/>
      <c r="GQ391" s="72"/>
      <c r="GR391" s="91"/>
      <c r="GS391" s="72"/>
      <c r="GT391" s="91"/>
      <c r="GU391" s="72"/>
      <c r="GV391" s="91"/>
      <c r="GW391" s="72"/>
      <c r="GX391" s="91"/>
      <c r="GY391" s="72"/>
      <c r="GZ391" s="72"/>
      <c r="HA391" s="72"/>
      <c r="HB391" s="72"/>
      <c r="HC391"/>
      <c r="HD391"/>
      <c r="HE391"/>
      <c r="HF391"/>
      <c r="HG391"/>
      <c r="HH391"/>
      <c r="HI391" s="2"/>
    </row>
    <row r="392" spans="1:217" ht="12.75" customHeight="1" x14ac:dyDescent="0.2">
      <c r="B392" s="77"/>
      <c r="C392" s="109"/>
      <c r="D392" s="72"/>
      <c r="E392" s="109"/>
      <c r="F392" s="72"/>
      <c r="G392" s="109"/>
      <c r="H392" s="72"/>
      <c r="I392" s="109"/>
      <c r="J392" s="72"/>
      <c r="K392" s="109"/>
      <c r="L392" s="72"/>
      <c r="M392" s="109"/>
      <c r="N392" s="72"/>
      <c r="O392" s="109"/>
      <c r="P392" s="72"/>
      <c r="Q392" s="109"/>
      <c r="R392" s="72"/>
      <c r="S392" s="109"/>
      <c r="T392" s="72"/>
      <c r="U392" s="109"/>
      <c r="V392" s="72"/>
      <c r="W392" s="109"/>
      <c r="X392" s="72"/>
      <c r="Y392" s="109"/>
      <c r="Z392" s="72"/>
      <c r="AA392" s="109"/>
      <c r="AB392" s="72"/>
      <c r="AC392" s="109"/>
      <c r="AD392" s="72"/>
      <c r="AE392" s="109"/>
      <c r="AF392" s="72"/>
      <c r="AG392" s="109"/>
      <c r="AH392" s="72"/>
      <c r="AI392" s="109"/>
      <c r="AJ392" s="72"/>
      <c r="AK392" s="109"/>
      <c r="AL392" s="72"/>
      <c r="AM392" s="109"/>
      <c r="AN392" s="72"/>
      <c r="AO392" s="109"/>
      <c r="AP392" s="72"/>
      <c r="AQ392" s="109"/>
      <c r="AR392" s="72"/>
      <c r="AS392" s="109"/>
      <c r="AT392" s="72"/>
      <c r="AU392" s="109"/>
      <c r="AV392" s="72"/>
      <c r="AW392" s="109"/>
      <c r="AX392" s="72"/>
      <c r="AY392" s="109"/>
      <c r="AZ392" s="72"/>
      <c r="BA392" s="109"/>
      <c r="BB392" s="72"/>
      <c r="BC392" s="109"/>
      <c r="BD392" s="72"/>
      <c r="BE392" s="109"/>
      <c r="BF392" s="72"/>
      <c r="BG392" s="109"/>
      <c r="BH392" s="72"/>
      <c r="BI392" s="109"/>
      <c r="BJ392" s="72"/>
      <c r="BK392" s="109"/>
      <c r="BL392" s="72"/>
      <c r="BM392" s="109"/>
      <c r="BN392" s="72"/>
      <c r="BO392" s="109"/>
      <c r="BP392" s="72"/>
      <c r="BQ392" s="109"/>
      <c r="BR392" s="72"/>
      <c r="BS392" s="109"/>
      <c r="BT392" s="72"/>
      <c r="BU392" s="109"/>
      <c r="BV392" s="72"/>
      <c r="BW392" s="109"/>
      <c r="BX392" s="72"/>
      <c r="BY392" s="109"/>
      <c r="BZ392" s="72"/>
      <c r="CA392" s="109"/>
      <c r="CB392" s="72"/>
      <c r="CC392" s="109"/>
      <c r="CD392" s="72"/>
      <c r="CE392" s="109"/>
      <c r="CF392" s="72"/>
      <c r="CG392" s="109"/>
      <c r="CH392" s="72"/>
      <c r="CI392" s="109"/>
      <c r="CJ392" s="72"/>
      <c r="CK392" s="109"/>
      <c r="CL392" s="72"/>
      <c r="CM392" s="109"/>
      <c r="CN392" s="72"/>
      <c r="CO392" s="109"/>
      <c r="CP392" s="72"/>
      <c r="CQ392" s="109"/>
      <c r="CR392" s="72"/>
      <c r="CS392" s="109"/>
      <c r="CT392" s="72"/>
      <c r="CU392" s="109"/>
      <c r="CV392" s="72"/>
      <c r="CW392" s="109"/>
      <c r="CX392" s="72"/>
      <c r="CY392" s="109"/>
      <c r="CZ392" s="72"/>
      <c r="DA392" s="109"/>
      <c r="DB392" s="72"/>
      <c r="DC392" s="109"/>
      <c r="DD392" s="72"/>
      <c r="DE392" s="109"/>
      <c r="DF392" s="72"/>
      <c r="DG392" s="109"/>
      <c r="DH392" s="72"/>
      <c r="DI392" s="109"/>
      <c r="DJ392" s="72"/>
      <c r="DK392" s="109"/>
      <c r="DL392" s="72"/>
      <c r="DM392" s="109"/>
      <c r="DN392" s="72"/>
      <c r="DO392" s="109"/>
      <c r="DP392" s="72"/>
      <c r="DQ392" s="109"/>
      <c r="DR392" s="72"/>
      <c r="DS392" s="109"/>
      <c r="DT392" s="72"/>
      <c r="DU392" s="109"/>
      <c r="DV392" s="72"/>
      <c r="DW392" s="109"/>
      <c r="DX392" s="72"/>
      <c r="DY392" s="109"/>
      <c r="DZ392" s="72"/>
      <c r="EA392" s="109"/>
      <c r="EB392" s="72"/>
      <c r="EC392" s="109"/>
      <c r="ED392" s="72"/>
      <c r="EE392" s="109"/>
      <c r="EF392" s="72"/>
      <c r="EG392" s="109"/>
      <c r="EH392" s="72"/>
      <c r="EI392" s="109"/>
      <c r="EJ392" s="72"/>
      <c r="EK392" s="109"/>
      <c r="EL392" s="72"/>
      <c r="EM392" s="109"/>
      <c r="EN392" s="72"/>
      <c r="EO392" s="109"/>
      <c r="EP392" s="72"/>
      <c r="EQ392" s="109"/>
      <c r="ER392" s="72"/>
      <c r="ES392" s="109"/>
      <c r="ET392" s="72"/>
      <c r="EU392" s="109"/>
      <c r="EV392" s="72"/>
      <c r="EW392" s="109"/>
      <c r="EX392" s="72"/>
      <c r="EY392" s="72"/>
      <c r="EZ392" s="306"/>
      <c r="FA392" s="72"/>
      <c r="FB392" s="109"/>
      <c r="FC392" s="72"/>
      <c r="FD392" s="109"/>
      <c r="FE392" s="72"/>
      <c r="FF392" s="109"/>
      <c r="FG392" s="72"/>
      <c r="FH392" s="109"/>
      <c r="FI392" s="72"/>
      <c r="FJ392" s="109"/>
      <c r="FK392" s="72"/>
      <c r="FL392" s="109"/>
      <c r="FM392" s="72"/>
      <c r="FN392" s="109"/>
      <c r="FO392" s="72"/>
      <c r="FP392" s="109"/>
      <c r="FQ392" s="72"/>
      <c r="FR392" s="109"/>
      <c r="FS392" s="72"/>
      <c r="FT392" s="109"/>
      <c r="FU392" s="72"/>
      <c r="FV392" s="109"/>
      <c r="FW392" s="72"/>
      <c r="FX392" s="109"/>
      <c r="FY392" s="72"/>
      <c r="FZ392" s="109"/>
      <c r="GA392" s="72"/>
      <c r="GB392" s="109"/>
      <c r="GC392" s="72"/>
      <c r="GD392" s="109"/>
      <c r="GE392" s="72"/>
      <c r="GF392" s="109"/>
      <c r="GG392" s="72"/>
      <c r="GH392" s="109"/>
      <c r="GI392" s="72"/>
      <c r="GJ392" s="109"/>
      <c r="GK392" s="72"/>
      <c r="GL392" s="109"/>
      <c r="GM392" s="72"/>
      <c r="GN392" s="109"/>
      <c r="GO392" s="72"/>
      <c r="GP392" s="109"/>
      <c r="GQ392" s="72"/>
      <c r="GR392" s="109"/>
      <c r="GS392" s="72"/>
      <c r="GT392" s="109"/>
      <c r="GU392" s="72"/>
      <c r="GV392" s="109"/>
      <c r="GW392" s="72"/>
      <c r="GX392" s="109"/>
      <c r="GY392" s="72"/>
      <c r="GZ392" s="72"/>
      <c r="HA392" s="72"/>
      <c r="HB392" s="72"/>
    </row>
    <row r="393" spans="1:217" s="3" customFormat="1" ht="12.75" customHeight="1" x14ac:dyDescent="0.2">
      <c r="A393" s="3" t="s">
        <v>353</v>
      </c>
      <c r="B393" s="77" t="s">
        <v>139</v>
      </c>
      <c r="C393" s="74">
        <f>FF393-I393-G393-E393</f>
        <v>116</v>
      </c>
      <c r="D393" s="72"/>
      <c r="E393" s="74">
        <v>111</v>
      </c>
      <c r="F393" s="72"/>
      <c r="G393" s="74">
        <v>120</v>
      </c>
      <c r="H393" s="72"/>
      <c r="I393" s="74">
        <f>115+47</f>
        <v>162</v>
      </c>
      <c r="J393" s="72"/>
      <c r="K393" s="74">
        <f>114+48</f>
        <v>162</v>
      </c>
      <c r="L393" s="72">
        <f>IF(ISERROR(K393/C393),"NA",IF(OR(K393/C393&gt;2,K393/C393&lt;0.5),"NM",K393/C393*100-100))</f>
        <v>39.65517241379311</v>
      </c>
      <c r="M393" s="74">
        <f>92+60</f>
        <v>152</v>
      </c>
      <c r="N393" s="72">
        <f>IF(ISERROR(M393/E393),"NA",IF(OR(M393/E393&gt;2,M393/E393&lt;0.5),"NM",M393/E393*100-100))</f>
        <v>36.936936936936945</v>
      </c>
      <c r="O393" s="74">
        <f>77+51</f>
        <v>128</v>
      </c>
      <c r="P393" s="72">
        <f>IF(ISERROR(O393/G393),"NA",IF(OR(O393/G393&gt;2,O393/G393&lt;0.5),"NM",O393/G393*100-100))</f>
        <v>6.6666666666666714</v>
      </c>
      <c r="Q393" s="74">
        <f>87+53</f>
        <v>140</v>
      </c>
      <c r="R393" s="72">
        <f>IF(ISERROR(Q393/I393),"NA",IF(OR(Q393/I393&gt;2,Q393/I393&lt;0.5),"NM",Q393/I393*100-100))</f>
        <v>-13.580246913580254</v>
      </c>
      <c r="S393" s="74">
        <f>77+53</f>
        <v>130</v>
      </c>
      <c r="T393" s="72">
        <f>IF(ISERROR(S393/K393),"NA",IF(OR(S393/K393&gt;2,S393/K393&lt;0.5),"NM",S393/K393*100-100))</f>
        <v>-19.753086419753089</v>
      </c>
      <c r="U393" s="74">
        <f>67+51</f>
        <v>118</v>
      </c>
      <c r="V393" s="72">
        <f>IF(ISERROR(U393/M393),"NA",IF(OR(U393/M393&gt;2,U393/M393&lt;0.5),"NM",U393/M393*100-100))</f>
        <v>-22.368421052631575</v>
      </c>
      <c r="W393" s="74">
        <f>79+44</f>
        <v>123</v>
      </c>
      <c r="X393" s="72">
        <f>IF(ISERROR(W393/O393),"NA",IF(OR(W393/O393&gt;2,W393/O393&lt;0.5),"NM",W393/O393*100-100))</f>
        <v>-3.90625</v>
      </c>
      <c r="Y393" s="74">
        <f>84+55</f>
        <v>139</v>
      </c>
      <c r="Z393" s="72">
        <f>IF(ISERROR(Y393/Q393),"NA",IF(OR(Y393/Q393&gt;2,Y393/Q393&lt;0.5),"NM",Y393/Q393*100-100))</f>
        <v>-0.7142857142857082</v>
      </c>
      <c r="AA393" s="74">
        <f>106+50</f>
        <v>156</v>
      </c>
      <c r="AB393" s="72">
        <f>IF(ISERROR(AA393/S393),"NA",IF(OR(AA393/S393&gt;2,AA393/S393&lt;0.5),"NM",AA393/S393*100-100))</f>
        <v>20</v>
      </c>
      <c r="AC393" s="74">
        <f>85+46</f>
        <v>131</v>
      </c>
      <c r="AD393" s="72">
        <f>IF(ISERROR(AC393/U393),"NA",IF(OR(AC393/U393&gt;2,AC393/U393&lt;0.5),"NM",AC393/U393*100-100))</f>
        <v>11.016949152542367</v>
      </c>
      <c r="AE393" s="74">
        <f>95+53</f>
        <v>148</v>
      </c>
      <c r="AF393" s="72">
        <f>IF(ISERROR(AE393/W393),"NA",IF(OR(AE393/W393&gt;2,AE393/W393&lt;0.5),"NM",AE393/W393*100-100))</f>
        <v>20.325203252032537</v>
      </c>
      <c r="AG393" s="74">
        <f>112+61</f>
        <v>173</v>
      </c>
      <c r="AH393" s="72">
        <f>IF(ISERROR(AG393/Y393),"NA",IF(OR(AG393/Y393&gt;2,AG393/Y393&lt;0.5),"NM",AG393/Y393*100-100))</f>
        <v>24.460431654676256</v>
      </c>
      <c r="AI393" s="74">
        <f>128+50</f>
        <v>178</v>
      </c>
      <c r="AJ393" s="72">
        <f>IF(ISERROR(AI393/AA393),"NA",IF(OR(AI393/AA393&gt;2,AI393/AA393&lt;0.5),"NM",AI393/AA393*100-100))</f>
        <v>14.102564102564102</v>
      </c>
      <c r="AK393" s="74">
        <f>93+50</f>
        <v>143</v>
      </c>
      <c r="AL393" s="72">
        <f>IF(ISERROR(AK393/AC393),"NA",IF(OR(AK393/AC393&gt;2,AK393/AC393&lt;0.5),"NM",AK393/AC393*100-100))</f>
        <v>9.160305343511439</v>
      </c>
      <c r="AM393" s="74">
        <f>103+50</f>
        <v>153</v>
      </c>
      <c r="AN393" s="72">
        <f>IF(ISERROR(AM393/AE393),"NA",IF(OR(AM393/AE393&gt;2,AM393/AE393&lt;0.5),"NM",AM393/AE393*100-100))</f>
        <v>3.3783783783783718</v>
      </c>
      <c r="AO393" s="74">
        <f>127+67</f>
        <v>194</v>
      </c>
      <c r="AP393" s="72">
        <f>IF(ISERROR(AO393/AG393),"NA",IF(OR(AO393/AG393&gt;2,AO393/AG393&lt;0.5),"NM",AO393/AG393*100-100))</f>
        <v>12.138728323699425</v>
      </c>
      <c r="AQ393" s="74">
        <f>171+66</f>
        <v>237</v>
      </c>
      <c r="AR393" s="72">
        <f>IF(ISERROR(AQ393/AI393),"NA",IF(OR(AQ393/AI393&gt;2,AQ393/AI393&lt;0.5),"NM",AQ393/AI393*100-100))</f>
        <v>33.146067415730329</v>
      </c>
      <c r="AS393" s="74">
        <f>179+68</f>
        <v>247</v>
      </c>
      <c r="AT393" s="72">
        <f>IF(ISERROR(AS393/AK393),"NA",IF(OR(AS393/AK393&gt;2,AS393/AK393&lt;0.5),"NM",AS393/AK393*100-100))</f>
        <v>72.72727272727272</v>
      </c>
      <c r="AU393" s="74">
        <f>117+64</f>
        <v>181</v>
      </c>
      <c r="AV393" s="72">
        <f>IF(ISERROR(AU393/AM393),"NA",IF(OR(AU393/AM393&gt;2,AU393/AM393&lt;0.5),"NM",AU393/AM393*100-100))</f>
        <v>18.300653594771248</v>
      </c>
      <c r="AW393" s="74">
        <f>109+82</f>
        <v>191</v>
      </c>
      <c r="AX393" s="72">
        <f>IF(ISERROR(AW393/AO393),"NA",IF(OR(AW393/AO393&gt;2,AW393/AO393&lt;0.5),"NM",AW393/AO393*100-100))</f>
        <v>-1.546391752577307</v>
      </c>
      <c r="AY393" s="74">
        <f>138+78</f>
        <v>216</v>
      </c>
      <c r="AZ393" s="72">
        <f>IF(ISERROR(AY393/AQ393),"NA",IF(OR(AY393/AQ393&gt;2,AY393/AQ393&lt;0.5),"NM",AY393/AQ393*100-100))</f>
        <v>-8.8607594936708836</v>
      </c>
      <c r="BA393" s="74">
        <v>185</v>
      </c>
      <c r="BB393" s="72">
        <f>IF(ISERROR(BA393/AS393),"NA",IF(OR(BA393/AS393&gt;2,BA393/AS393&lt;0.5),"NM",BA393/AS393*100-100))</f>
        <v>-25.10121457489879</v>
      </c>
      <c r="BC393" s="74">
        <v>174</v>
      </c>
      <c r="BD393" s="72">
        <f>IF(ISERROR(BC393/AU393),"NA",IF(OR(BC393/AU393&gt;2,BC393/AU393&lt;0.5),"NM",BC393/AU393*100-100))</f>
        <v>-3.8674033149171265</v>
      </c>
      <c r="BE393" s="74">
        <v>192</v>
      </c>
      <c r="BF393" s="72">
        <f>IF(ISERROR(BE393/AW393),"NA",IF(OR(BE393/AW393&gt;2,BE393/AW393&lt;0.5),"NM",BE393/AW393*100-100))</f>
        <v>0.52356020942407611</v>
      </c>
      <c r="BG393" s="74">
        <v>223</v>
      </c>
      <c r="BH393" s="72">
        <f>IF(ISERROR(BG393/AY393),"NA",IF(OR(BG393/AY393&gt;2,BG393/AY393&lt;0.5),"NM",BG393/AY393*100-100))</f>
        <v>3.2407407407407476</v>
      </c>
      <c r="BI393" s="74">
        <v>178</v>
      </c>
      <c r="BJ393" s="72">
        <f>IF(ISERROR(BI393/BA393),"NA",IF(OR(BI393/BA393&gt;2,BI393/BA393&lt;0.5),"NM",BI393/BA393*100-100))</f>
        <v>-3.7837837837837753</v>
      </c>
      <c r="BK393" s="74">
        <v>178</v>
      </c>
      <c r="BL393" s="72">
        <f>IF(ISERROR(BK393/BC393),"NA",IF(OR(BK393/BC393&gt;2,BK393/BC393&lt;0.5),"NM",BK393/BC393*100-100))</f>
        <v>2.2988505747126453</v>
      </c>
      <c r="BM393" s="74">
        <v>209</v>
      </c>
      <c r="BN393" s="72">
        <f>IF(ISERROR(BM393/BE393),"NA",IF(OR(BM393/BE393&gt;2,BM393/BE393&lt;0.5),"NM",BM393/BE393*100-100))</f>
        <v>8.8541666666666714</v>
      </c>
      <c r="BO393" s="74">
        <v>235</v>
      </c>
      <c r="BP393" s="72">
        <f>IF(ISERROR(BO393/BG393),"NA",IF(OR(BO393/BG393&gt;2,BO393/BG393&lt;0.5),"NM",BO393/BG393*100-100))</f>
        <v>5.381165919282509</v>
      </c>
      <c r="BQ393" s="74">
        <v>188</v>
      </c>
      <c r="BR393" s="72">
        <f>IF(ISERROR(BQ393/BI393),"NA",IF(OR(BQ393/BI393&gt;2,BQ393/BI393&lt;0.5),"NM",BQ393/BI393*100-100))</f>
        <v>5.6179775280898809</v>
      </c>
      <c r="BS393" s="74">
        <v>175</v>
      </c>
      <c r="BT393" s="72">
        <f>IF(ISERROR(BS393/BK393),"NA",IF(OR(BS393/BK393&gt;2,BS393/BK393&lt;0.5),"NM",BS393/BK393*100-100))</f>
        <v>-1.68539325842697</v>
      </c>
      <c r="BU393" s="74">
        <v>177</v>
      </c>
      <c r="BV393" s="72">
        <f>IF(ISERROR(BU393/BM393),"NA",IF(OR(BU393/BM393&gt;2,BU393/BM393&lt;0.5),"NM",BU393/BM393*100-100))</f>
        <v>-15.311004784689004</v>
      </c>
      <c r="BW393" s="74">
        <v>220</v>
      </c>
      <c r="BX393" s="72">
        <f>IF(ISERROR(BW393/BO393),"NA",IF(OR(BW393/BO393&gt;2,BW393/BO393&lt;0.5),"NM",BW393/BO393*100-100))</f>
        <v>-6.3829787234042499</v>
      </c>
      <c r="BY393" s="74">
        <v>181</v>
      </c>
      <c r="BZ393" s="72">
        <f>IF(ISERROR(BY393/BQ393),"NA",IF(OR(BY393/BQ393&gt;2,BY393/BQ393&lt;0.5),"NM",BY393/BQ393*100-100))</f>
        <v>-3.7234042553191529</v>
      </c>
      <c r="CA393" s="74">
        <v>205</v>
      </c>
      <c r="CB393" s="72">
        <f>IF(ISERROR(CA393/BS393),"NA",IF(OR(CA393/BS393&gt;2,CA393/BS393&lt;0.5),"NM",CA393/BS393*100-100))</f>
        <v>17.142857142857153</v>
      </c>
      <c r="CC393" s="74">
        <v>227</v>
      </c>
      <c r="CD393" s="72">
        <f>IF(ISERROR(CC393/BU393),"NA",IF(OR(CC393/BU393&gt;2,CC393/BU393&lt;0.5),"NM",CC393/BU393*100-100))</f>
        <v>28.248587570621481</v>
      </c>
      <c r="CE393" s="74">
        <v>248</v>
      </c>
      <c r="CF393" s="72">
        <f>IF(ISERROR(CE393/BW393),"NA",IF(OR(CE393/BW393&gt;2,CE393/BW393&lt;0.5),"NM",CE393/BW393*100-100))</f>
        <v>12.72727272727272</v>
      </c>
      <c r="CG393" s="74">
        <v>198</v>
      </c>
      <c r="CH393" s="72">
        <f>IF(ISERROR(CG393/BY393),"NA",IF(OR(CG393/BY393&gt;2,CG393/BY393&lt;0.5),"NM",CG393/BY393*100-100))</f>
        <v>9.3922651933701786</v>
      </c>
      <c r="CI393" s="74">
        <v>242</v>
      </c>
      <c r="CJ393" s="72">
        <f>IF(ISERROR(CI393/CA393),"NA",IF(OR(CI393/CA393&gt;2,CI393/CA393&lt;0.5),"NM",CI393/CA393*100-100))</f>
        <v>18.048780487804876</v>
      </c>
      <c r="CK393" s="74">
        <v>276</v>
      </c>
      <c r="CL393" s="72">
        <f>IF(ISERROR(CK393/CC393),"NA",IF(OR(CK393/CC393&gt;2,CK393/CC393&lt;0.5),"NM",CK393/CC393*100-100))</f>
        <v>21.58590308370043</v>
      </c>
      <c r="CM393" s="74">
        <v>307</v>
      </c>
      <c r="CN393" s="72">
        <f>IF(ISERROR(CM393/CE393),"NA",IF(OR(CM393/CE393&gt;2,CM393/CE393&lt;0.5),"NM",CM393/CE393*100-100))</f>
        <v>23.790322580645153</v>
      </c>
      <c r="CO393" s="74">
        <v>258</v>
      </c>
      <c r="CP393" s="72">
        <f>IF(ISERROR(CO393/CG393),"NA",IF(OR(CO393/CG393&gt;2,CO393/CG393&lt;0.5),"NM",CO393/CG393*100-100))</f>
        <v>30.303030303030312</v>
      </c>
      <c r="CQ393" s="74">
        <v>291</v>
      </c>
      <c r="CR393" s="72">
        <f>IF(ISERROR(CQ393/CI393),"NA",IF(OR(CQ393/CI393&gt;2,CQ393/CI393&lt;0.5),"NM",CQ393/CI393*100-100))</f>
        <v>20.247933884297538</v>
      </c>
      <c r="CS393" s="74">
        <v>294</v>
      </c>
      <c r="CT393" s="72">
        <f>IF(ISERROR(CS393/CK393),"NA",IF(OR(CS393/CK393&gt;2,CS393/CK393&lt;0.5),"NM",CS393/CK393*100-100))</f>
        <v>6.5217391304347956</v>
      </c>
      <c r="CU393" s="74">
        <v>394</v>
      </c>
      <c r="CV393" s="72">
        <f>IF(ISERROR(CU393/CM393),"NA",IF(OR(CU393/CM393&gt;2,CU393/CM393&lt;0.5),"NM",CU393/CM393*100-100))</f>
        <v>28.338762214983717</v>
      </c>
      <c r="CW393" s="74">
        <v>402</v>
      </c>
      <c r="CX393" s="72">
        <f>IF(ISERROR(CW393/CO393),"NA",IF(OR(CW393/CO393&gt;2,CW393/CO393&lt;0.5),"NM",CW393/CO393*100-100))</f>
        <v>55.813953488372107</v>
      </c>
      <c r="CY393" s="74">
        <v>274</v>
      </c>
      <c r="CZ393" s="72">
        <f>IF(ISERROR(CY393/CQ393),"NA",IF(OR(CY393/CQ393&gt;2,CY393/CQ393&lt;0.5),"NM",CY393/CQ393*100-100))</f>
        <v>-5.8419243986254372</v>
      </c>
      <c r="DA393" s="74">
        <v>284</v>
      </c>
      <c r="DB393" s="72">
        <f>IF(ISERROR(DA393/CS393),"NA",IF(OR(DA393/CS393&gt;2,DA393/CS393&lt;0.5),"NM",DA393/CS393*100-100))</f>
        <v>-3.4013605442176953</v>
      </c>
      <c r="DC393" s="74">
        <v>345</v>
      </c>
      <c r="DD393" s="72">
        <f>IF(ISERROR(DC393/CU393),"NA",IF(OR(DC393/CU393&gt;2,DC393/CU393&lt;0.5),"NM",DC393/CU393*100-100))</f>
        <v>-12.436548223350258</v>
      </c>
      <c r="DE393" s="74">
        <v>255</v>
      </c>
      <c r="DF393" s="72">
        <f>IF(ISERROR(DE393/CW393),"NA",IF(OR(DE393/CW393&gt;2,DE393/CW393&lt;0.5),"NM",DE393/CW393*100-100))</f>
        <v>-36.567164179104473</v>
      </c>
      <c r="DG393" s="74">
        <v>237</v>
      </c>
      <c r="DH393" s="72">
        <f>IF(ISERROR(DG393/CY393),"NA",IF(OR(DG393/CY393&gt;2,DG393/CY393&lt;0.5),"NM",DG393/CY393*100-100))</f>
        <v>-13.503649635036496</v>
      </c>
      <c r="DI393" s="74">
        <v>291</v>
      </c>
      <c r="DJ393" s="72">
        <f>IF(ISERROR(DI393/DA393),"NA",IF(OR(DI393/DA393&gt;2,DI393/DA393&lt;0.5),"NM",DI393/DA393*100-100))</f>
        <v>2.4647887323943678</v>
      </c>
      <c r="DK393" s="74">
        <v>331</v>
      </c>
      <c r="DL393" s="72">
        <f>IF(ISERROR(DK393/DC393),"NA",IF(OR(DK393/DC393&gt;2,DK393/DC393&lt;0.5),"NM",DK393/DC393*100-100))</f>
        <v>-4.0579710144927503</v>
      </c>
      <c r="DM393" s="74">
        <v>272</v>
      </c>
      <c r="DN393" s="72">
        <f>IF(ISERROR(DM393/DE393),"NA",IF(OR(DM393/DE393&gt;2,DM393/DE393&lt;0.5),"NM",DM393/DE393*100-100))</f>
        <v>6.6666666666666714</v>
      </c>
      <c r="DO393" s="74">
        <v>274</v>
      </c>
      <c r="DP393" s="72">
        <f>IF(ISERROR(DO393/DG393),"NA",IF(OR(DO393/DG393&gt;2,DO393/DG393&lt;0.5),"NM",DO393/DG393*100-100))</f>
        <v>15.611814345991576</v>
      </c>
      <c r="DQ393" s="74">
        <v>284</v>
      </c>
      <c r="DR393" s="72">
        <f>IF(ISERROR(DQ393/DI393),"NA",IF(OR(DQ393/DI393&gt;2,DQ393/DI393&lt;0.5),"NM",DQ393/DI393*100-100))</f>
        <v>-2.4054982817869472</v>
      </c>
      <c r="DS393" s="74">
        <v>316</v>
      </c>
      <c r="DT393" s="72">
        <f>IF(ISERROR(DS393/DK393),"NA",IF(OR(DS393/DK393&gt;2,DS393/DK393&lt;0.5),"NM",DS393/DK393*100-100))</f>
        <v>-4.5317220543806656</v>
      </c>
      <c r="DU393" s="74">
        <v>258</v>
      </c>
      <c r="DV393" s="72">
        <f>IF(ISERROR(DU393/DM393),"NA",IF(OR(DU393/DM393&gt;2,DU393/DM393&lt;0.5),"NM",DU393/DM393*100-100))</f>
        <v>-5.1470588235294201</v>
      </c>
      <c r="DW393" s="74">
        <v>263</v>
      </c>
      <c r="DX393" s="72">
        <f>IF(ISERROR(DW393/DO393),"NA",IF(OR(DW393/DO393&gt;2,DW393/DO393&lt;0.5),"NM",DW393/DO393*100-100))</f>
        <v>-4.0145985401459825</v>
      </c>
      <c r="DY393" s="74">
        <v>280</v>
      </c>
      <c r="DZ393" s="72">
        <f>IF(ISERROR(DY393/DQ393),"NA",IF(OR(DY393/DQ393&gt;2,DY393/DQ393&lt;0.5),"NM",DY393/DQ393*100-100))</f>
        <v>-1.4084507042253449</v>
      </c>
      <c r="EA393" s="74">
        <v>335</v>
      </c>
      <c r="EB393" s="72">
        <f>IF(ISERROR(EA393/DS393),"NA",IF(OR(EA393/DS393&gt;2,EA393/DS393&lt;0.5),"NM",EA393/DS393*100-100))</f>
        <v>6.0126582278481067</v>
      </c>
      <c r="EC393" s="74">
        <v>289</v>
      </c>
      <c r="ED393" s="72">
        <f>IF(ISERROR(EC393/DU393),"NA",IF(OR(EC393/DU393&gt;2,EC393/DU393&lt;0.5),"NM",EC393/DU393*100-100))</f>
        <v>12.015503875968989</v>
      </c>
      <c r="EE393" s="74">
        <v>323</v>
      </c>
      <c r="EF393" s="72">
        <f>IF(ISERROR(EE393/DW393),"NA",IF(OR(EE393/DW393&gt;2,EE393/DW393&lt;0.5),"NM",EE393/DW393*100-100))</f>
        <v>22.813688212927758</v>
      </c>
      <c r="EG393" s="74">
        <v>329</v>
      </c>
      <c r="EH393" s="72">
        <f>IF(ISERROR(EG393/DY393),"NA",IF(OR(EG393/DY393&gt;2,EG393/DY393&lt;0.5),"NM",EG393/DY393*100-100))</f>
        <v>17.5</v>
      </c>
      <c r="EI393" s="74">
        <v>464</v>
      </c>
      <c r="EJ393" s="72">
        <f>IF(ISERROR(EI393/EA393),"NA",IF(OR(EI393/EA393&gt;2,EI393/EA393&lt;0.5),"NM",EI393/EA393*100-100))</f>
        <v>38.50746268656718</v>
      </c>
      <c r="EK393" s="74">
        <v>357</v>
      </c>
      <c r="EL393" s="72">
        <f>IF(ISERROR(EK393/EC393),"NA",IF(OR(EK393/EC393&gt;2,EK393/EC393&lt;0.5),"NM",EK393/EC393*100-100))</f>
        <v>23.529411764705884</v>
      </c>
      <c r="EM393" s="74">
        <v>277</v>
      </c>
      <c r="EN393" s="72">
        <f>IF(ISERROR(EM393/EE393),"NA",IF(OR(EM393/EE393&gt;2,EM393/EE393&lt;0.5),"NM",EM393/EE393*100-100))</f>
        <v>-14.241486068111456</v>
      </c>
      <c r="EO393" s="74">
        <v>293</v>
      </c>
      <c r="EP393" s="72">
        <f>IF(ISERROR(EO393/EG393),"NA",IF(OR(EO393/EG393&gt;2,EO393/EG393&lt;0.5),"NM",EO393/EG393*100-100))</f>
        <v>-10.942249240121583</v>
      </c>
      <c r="EQ393" s="74">
        <f t="shared" ref="EQ393" si="2097">EI393*1.05</f>
        <v>487.20000000000005</v>
      </c>
      <c r="ER393" s="72">
        <f t="shared" ref="ER393" si="2098">IF(ISERROR(EQ393/EI393),"NA",IF(OR(EQ393/EI393&gt;2,EQ393/EI393&lt;0.5),"NM",EQ393/EI393*100-100))</f>
        <v>5</v>
      </c>
      <c r="ES393" s="74">
        <f t="shared" ref="ES393" si="2099">EK393*1.05</f>
        <v>374.85</v>
      </c>
      <c r="ET393" s="72">
        <f t="shared" ref="ET393" si="2100">IF(ISERROR(ES393/EK393),"NA",IF(OR(ES393/EK393&gt;2,ES393/EK393&lt;0.5),"NM",ES393/EK393*100-100))</f>
        <v>5</v>
      </c>
      <c r="EU393" s="74">
        <f t="shared" ref="EU393" si="2101">EM393*1.05</f>
        <v>290.85000000000002</v>
      </c>
      <c r="EV393" s="72">
        <f t="shared" ref="EV393" si="2102">IF(ISERROR(EU393/EM393),"NA",IF(OR(EU393/EM393&gt;2,EU393/EM393&lt;0.5),"NM",EU393/EM393*100-100))</f>
        <v>5</v>
      </c>
      <c r="EW393" s="74">
        <f t="shared" ref="EW393" si="2103">EO393*1.05</f>
        <v>307.65000000000003</v>
      </c>
      <c r="EX393" s="72">
        <f t="shared" ref="EX393" si="2104">IF(ISERROR(EW393/EO393),"NA",IF(OR(EW393/EO393&gt;2,EW393/EO393&lt;0.5),"NM",EW393/EO393*100-100))</f>
        <v>5</v>
      </c>
      <c r="EY393" s="72"/>
      <c r="EZ393" s="311"/>
      <c r="FA393" s="72"/>
      <c r="FB393" s="74">
        <f>223+47</f>
        <v>270</v>
      </c>
      <c r="FC393" s="72"/>
      <c r="FD393" s="74">
        <f>302+96</f>
        <v>398</v>
      </c>
      <c r="FE393" s="72">
        <f>IF(ISERROR(FD393/FB393),"NA",IF(OR(FD393/FB393&gt;2,FD393/FB393&lt;0.5),"NM",FD393/FB393*100-100))</f>
        <v>47.407407407407419</v>
      </c>
      <c r="FF393" s="74">
        <f>359+150</f>
        <v>509</v>
      </c>
      <c r="FG393" s="72">
        <f>IF(ISERROR(FF393/FD393),"NA",IF(OR(FF393/FD393&gt;2,FF393/FD393&lt;0.5),"NM",FF393/FD393*100-100))</f>
        <v>27.889447236180899</v>
      </c>
      <c r="FH393" s="75">
        <f>K393+M393+O393+Q393</f>
        <v>582</v>
      </c>
      <c r="FI393" s="72">
        <f>IF(ISERROR(FH393/FF393),"NA",IF(OR(FH393/FF393&gt;2,FH393/FF393&lt;0.5),"NM",FH393/FF393*100-100))</f>
        <v>14.341846758349703</v>
      </c>
      <c r="FJ393" s="75">
        <f>S393+U393+W393+Y393</f>
        <v>510</v>
      </c>
      <c r="FK393" s="72">
        <f>IF(ISERROR(FJ393/FH393),"NA",IF(OR(FJ393/FH393&gt;2,FJ393/FH393&lt;0.5),"NM",FJ393/FH393*100-100))</f>
        <v>-12.371134020618555</v>
      </c>
      <c r="FL393" s="75">
        <f>+AA393+AC393+AE393+AG393</f>
        <v>608</v>
      </c>
      <c r="FM393" s="72">
        <f>IF(ISERROR(FL393/FJ393),"NA",IF(OR(FL393/FJ393&gt;2,FL393/FJ393&lt;0.5),"NM",FL393/FJ393*100-100))</f>
        <v>19.215686274509807</v>
      </c>
      <c r="FN393" s="75">
        <f>+AI393+AK393+AM393+AO393</f>
        <v>668</v>
      </c>
      <c r="FO393" s="72">
        <f>IF(ISERROR(FN393/FL393),"NA",IF(OR(FN393/FL393&gt;2,FN393/FL393&lt;0.5),"NM",FN393/FL393*100-100))</f>
        <v>9.8684210526315752</v>
      </c>
      <c r="FP393" s="75">
        <f>AQ393+AS393+AU393+AW393</f>
        <v>856</v>
      </c>
      <c r="FQ393" s="72">
        <f>IF(ISERROR(FP393/FN393),"NA",IF(OR(FP393/FN393&gt;2,FP393/FN393&lt;0.5),"NM",FP393/FN393*100-100))</f>
        <v>28.143712574850298</v>
      </c>
      <c r="FR393" s="75">
        <f>AY393+BA393+BC393+BE393</f>
        <v>767</v>
      </c>
      <c r="FS393" s="72">
        <f>IF(ISERROR(FR393/FP393),"NA",IF(OR(FR393/FP393&gt;2,FR393/FP393&lt;0.5),"NM",FR393/FP393*100-100))</f>
        <v>-10.39719626168224</v>
      </c>
      <c r="FT393" s="75">
        <f>BG393+BI393+BK393+BM393</f>
        <v>788</v>
      </c>
      <c r="FU393" s="72">
        <f>IF(ISERROR(FT393/FR393),"NA",IF(OR(FT393/FR393&gt;2,FT393/FR393&lt;0.5),"NM",FT393/FR393*100-100))</f>
        <v>2.7379400260756199</v>
      </c>
      <c r="FV393" s="75">
        <f>BO393+BQ393+BS393+BU393</f>
        <v>775</v>
      </c>
      <c r="FW393" s="72">
        <f>IF(ISERROR(FV393/FT393),"NA",IF(OR(FV393/FT393&gt;2,FV393/FT393&lt;0.5),"NM",FV393/FT393*100-100))</f>
        <v>-1.649746192893403</v>
      </c>
      <c r="FX393" s="75">
        <f>BW393+BY393+CA393+CC393</f>
        <v>833</v>
      </c>
      <c r="FY393" s="72">
        <f>IF(ISERROR(FX393/FV393),"NA",IF(OR(FX393/FV393&gt;2,FX393/FV393&lt;0.5),"NM",FX393/FV393*100-100))</f>
        <v>7.4838709677419502</v>
      </c>
      <c r="FZ393" s="75">
        <f>CE393+CG393+CI393+CK393</f>
        <v>964</v>
      </c>
      <c r="GA393" s="72">
        <f>IF(ISERROR(FZ393/FX393),"NA",IF(OR(FZ393/FX393&gt;2,FZ393/FX393&lt;0.5),"NM",FZ393/FX393*100-100))</f>
        <v>15.72629051620649</v>
      </c>
      <c r="GB393" s="75">
        <f>CM393+CO393+CQ393+CS393</f>
        <v>1150</v>
      </c>
      <c r="GC393" s="72">
        <f>IF(ISERROR(GB393/FZ393),"NA",IF(OR(GB393/FZ393&gt;2,GB393/FZ393&lt;0.5),"NM",GB393/FZ393*100-100))</f>
        <v>19.294605809128626</v>
      </c>
      <c r="GD393" s="75">
        <f>CU393+CW393+CY393+DA393</f>
        <v>1354</v>
      </c>
      <c r="GE393" s="72">
        <f>IF(ISERROR(GD393/GB393),"NA",IF(OR(GD393/GB393&gt;2,GD393/GB393&lt;0.5),"NM",GD393/GB393*100-100))</f>
        <v>17.739130434782609</v>
      </c>
      <c r="GF393" s="75">
        <f>DC393+DE393+DG393+DI393</f>
        <v>1128</v>
      </c>
      <c r="GG393" s="72">
        <f>IF(ISERROR(GF393/GD393),"NA",IF(OR(GF393/GD393&gt;2,GF393/GD393&lt;0.5),"NM",GF393/GD393*100-100))</f>
        <v>-16.691285081240764</v>
      </c>
      <c r="GH393" s="75">
        <f>DK393+DM393+DO393+DQ393</f>
        <v>1161</v>
      </c>
      <c r="GI393" s="72">
        <f t="shared" ref="GI393:GU393" si="2105">IF(ISERROR(GH393/GF393),"NA",IF(OR(GH393/GF393&gt;2,GH393/GF393&lt;0.5),"NM",GH393/GF393*100-100))</f>
        <v>2.9255319148936252</v>
      </c>
      <c r="GJ393" s="75">
        <f>DS393+DU393+DW393+DY393</f>
        <v>1117</v>
      </c>
      <c r="GK393" s="72">
        <f t="shared" si="2105"/>
        <v>-3.7898363479758785</v>
      </c>
      <c r="GL393" s="75">
        <f>EA393+EC393+EE393+EG393</f>
        <v>1276</v>
      </c>
      <c r="GM393" s="72">
        <f t="shared" si="2105"/>
        <v>14.234556848701871</v>
      </c>
      <c r="GN393" s="75">
        <f>EI393+EK393+EM393+EO393</f>
        <v>1391</v>
      </c>
      <c r="GO393" s="72">
        <f t="shared" si="2105"/>
        <v>9.0125391849529706</v>
      </c>
      <c r="GP393" s="75">
        <f>EQ393+ES393+EU393+EW393</f>
        <v>1460.5500000000002</v>
      </c>
      <c r="GQ393" s="72">
        <f t="shared" si="2105"/>
        <v>5</v>
      </c>
      <c r="GR393" s="74">
        <f>GP393*1.05</f>
        <v>1533.5775000000003</v>
      </c>
      <c r="GS393" s="72">
        <f t="shared" si="2105"/>
        <v>5</v>
      </c>
      <c r="GT393" s="74">
        <f>GR393*1.05</f>
        <v>1610.2563750000004</v>
      </c>
      <c r="GU393" s="72">
        <f t="shared" si="2105"/>
        <v>5</v>
      </c>
      <c r="GV393" s="74">
        <f>GT393*1.05</f>
        <v>1690.7691937500006</v>
      </c>
      <c r="GW393" s="72">
        <f>IF(ISERROR(GV393/GT393),"NA",IF(OR(GV393/GT393&gt;2,GV393/GT393&lt;0.5),"NM",GV393/GT393*100-100))</f>
        <v>5</v>
      </c>
      <c r="GX393" s="74">
        <f>GV393*1.05</f>
        <v>1775.3076534375007</v>
      </c>
      <c r="GY393" s="72">
        <f>IF(ISERROR(GX393/GV393),"NA",IF(OR(GX393/GV393&gt;2,GX393/GV393&lt;0.5),"NM",GX393/GV393*100-100))</f>
        <v>5</v>
      </c>
      <c r="GZ393" s="72">
        <f>IF(ISERROR(((GX393/GN393)^0.2-1)*100),"NA",IF((((GX393/GN393)^0.2-1)*100)&gt;100,"NM",IF((((GX393/GN393)^0.2-1)*100)&lt;-50,"NM",((GX393/GN393)^0.2-1)*100)))</f>
        <v>5.0000000000000044</v>
      </c>
      <c r="HA393" s="72"/>
      <c r="HB393" s="72"/>
      <c r="HC393"/>
      <c r="HD393"/>
      <c r="HE393"/>
      <c r="HF393"/>
      <c r="HG393"/>
      <c r="HH393"/>
      <c r="HI393" s="2"/>
    </row>
    <row r="394" spans="1:217" s="3" customFormat="1" ht="12.75" customHeight="1" x14ac:dyDescent="0.2">
      <c r="B394" s="77"/>
      <c r="C394" s="74"/>
      <c r="D394" s="72"/>
      <c r="E394" s="74"/>
      <c r="F394" s="72"/>
      <c r="G394" s="74"/>
      <c r="H394" s="72"/>
      <c r="I394" s="74"/>
      <c r="J394" s="72"/>
      <c r="K394" s="74"/>
      <c r="L394" s="72"/>
      <c r="M394" s="74"/>
      <c r="N394" s="72"/>
      <c r="O394" s="74"/>
      <c r="P394" s="72"/>
      <c r="Q394" s="74"/>
      <c r="R394" s="72"/>
      <c r="S394" s="74"/>
      <c r="T394" s="72"/>
      <c r="U394" s="74"/>
      <c r="V394" s="72"/>
      <c r="W394" s="74"/>
      <c r="X394" s="72"/>
      <c r="Y394" s="74"/>
      <c r="Z394" s="72"/>
      <c r="AA394" s="74"/>
      <c r="AB394" s="72"/>
      <c r="AC394" s="74"/>
      <c r="AD394" s="72"/>
      <c r="AE394" s="74"/>
      <c r="AF394" s="72"/>
      <c r="AG394" s="74"/>
      <c r="AH394" s="72"/>
      <c r="AI394" s="74"/>
      <c r="AJ394" s="72"/>
      <c r="AK394" s="74"/>
      <c r="AL394" s="72"/>
      <c r="AM394" s="74"/>
      <c r="AN394" s="72"/>
      <c r="AO394" s="74"/>
      <c r="AP394" s="72"/>
      <c r="AQ394" s="74"/>
      <c r="AR394" s="72"/>
      <c r="AS394" s="74"/>
      <c r="AT394" s="72"/>
      <c r="AU394" s="74"/>
      <c r="AV394" s="72"/>
      <c r="AW394" s="74"/>
      <c r="AX394" s="72"/>
      <c r="AY394" s="74"/>
      <c r="AZ394" s="72"/>
      <c r="BA394" s="74"/>
      <c r="BB394" s="72"/>
      <c r="BC394" s="74"/>
      <c r="BD394" s="72"/>
      <c r="BE394" s="74"/>
      <c r="BF394" s="72"/>
      <c r="BG394" s="74"/>
      <c r="BH394" s="72"/>
      <c r="BI394" s="74"/>
      <c r="BJ394" s="72"/>
      <c r="BK394" s="74"/>
      <c r="BL394" s="72"/>
      <c r="BM394" s="74"/>
      <c r="BN394" s="72"/>
      <c r="BO394" s="74"/>
      <c r="BP394" s="72"/>
      <c r="BQ394" s="74"/>
      <c r="BR394" s="72"/>
      <c r="BS394" s="74"/>
      <c r="BT394" s="72"/>
      <c r="BU394" s="74"/>
      <c r="BV394" s="72"/>
      <c r="BW394" s="74"/>
      <c r="BX394" s="72"/>
      <c r="BY394" s="74"/>
      <c r="BZ394" s="72"/>
      <c r="CA394" s="74"/>
      <c r="CB394" s="72"/>
      <c r="CC394" s="74"/>
      <c r="CD394" s="72"/>
      <c r="CE394" s="74"/>
      <c r="CF394" s="72"/>
      <c r="CG394" s="74"/>
      <c r="CH394" s="72"/>
      <c r="CI394" s="74"/>
      <c r="CJ394" s="72"/>
      <c r="CK394" s="74"/>
      <c r="CL394" s="72"/>
      <c r="CM394" s="74"/>
      <c r="CN394" s="74"/>
      <c r="CO394" s="74"/>
      <c r="CP394" s="74"/>
      <c r="CQ394" s="74"/>
      <c r="CR394" s="74"/>
      <c r="CS394" s="74"/>
      <c r="CT394" s="72"/>
      <c r="CU394" s="74"/>
      <c r="CV394" s="72"/>
      <c r="CW394" s="74"/>
      <c r="CX394" s="72"/>
      <c r="CY394" s="74"/>
      <c r="CZ394" s="72"/>
      <c r="DA394" s="74"/>
      <c r="DB394" s="72"/>
      <c r="DC394" s="74"/>
      <c r="DD394" s="72"/>
      <c r="DE394" s="74"/>
      <c r="DF394" s="72"/>
      <c r="DG394" s="74"/>
      <c r="DH394" s="72"/>
      <c r="DI394" s="74"/>
      <c r="DJ394" s="72"/>
      <c r="DK394" s="74"/>
      <c r="DL394" s="72"/>
      <c r="DM394" s="74"/>
      <c r="DN394" s="72"/>
      <c r="DO394" s="74"/>
      <c r="DP394" s="72"/>
      <c r="DQ394" s="74"/>
      <c r="DR394" s="72"/>
      <c r="DS394" s="74"/>
      <c r="DT394" s="72"/>
      <c r="DU394" s="74"/>
      <c r="DV394" s="72"/>
      <c r="DW394" s="74"/>
      <c r="DX394" s="72"/>
      <c r="DY394" s="74"/>
      <c r="DZ394" s="72"/>
      <c r="EA394" s="74"/>
      <c r="EB394" s="72"/>
      <c r="EC394" s="74"/>
      <c r="ED394" s="72"/>
      <c r="EE394" s="74"/>
      <c r="EF394" s="72"/>
      <c r="EG394" s="74"/>
      <c r="EH394" s="72"/>
      <c r="EI394" s="74"/>
      <c r="EJ394" s="72"/>
      <c r="EK394" s="74"/>
      <c r="EL394" s="72"/>
      <c r="EM394" s="74"/>
      <c r="EN394" s="72"/>
      <c r="EO394" s="74"/>
      <c r="EP394" s="72"/>
      <c r="EQ394" s="74"/>
      <c r="ER394" s="72"/>
      <c r="ES394" s="74"/>
      <c r="ET394" s="72"/>
      <c r="EU394" s="74"/>
      <c r="EV394" s="72"/>
      <c r="EW394" s="74"/>
      <c r="EX394" s="72"/>
      <c r="EY394" s="72"/>
      <c r="EZ394" s="311"/>
      <c r="FA394" s="72"/>
      <c r="FB394" s="74"/>
      <c r="FC394" s="72"/>
      <c r="FD394" s="74"/>
      <c r="FE394" s="72"/>
      <c r="FF394" s="74"/>
      <c r="FG394" s="72"/>
      <c r="FH394" s="75"/>
      <c r="FI394" s="72"/>
      <c r="FJ394" s="75"/>
      <c r="FK394" s="72"/>
      <c r="FL394" s="75"/>
      <c r="FM394" s="72"/>
      <c r="FN394" s="75"/>
      <c r="FO394" s="72"/>
      <c r="FP394" s="75"/>
      <c r="FQ394" s="72"/>
      <c r="FR394" s="75"/>
      <c r="FS394" s="72"/>
      <c r="FT394" s="75"/>
      <c r="FU394" s="72"/>
      <c r="FV394" s="75"/>
      <c r="FW394" s="72"/>
      <c r="FX394" s="75"/>
      <c r="FY394" s="72"/>
      <c r="FZ394" s="75"/>
      <c r="GA394" s="72"/>
      <c r="GB394" s="75"/>
      <c r="GC394" s="72"/>
      <c r="GD394" s="75"/>
      <c r="GE394" s="72"/>
      <c r="GF394" s="75"/>
      <c r="GG394" s="72"/>
      <c r="GH394" s="75"/>
      <c r="GI394" s="72"/>
      <c r="GJ394" s="75"/>
      <c r="GK394" s="72"/>
      <c r="GL394" s="75"/>
      <c r="GM394" s="72"/>
      <c r="GN394" s="75"/>
      <c r="GO394" s="72"/>
      <c r="GP394" s="75"/>
      <c r="GQ394" s="72"/>
      <c r="GR394" s="74"/>
      <c r="GS394" s="72"/>
      <c r="GT394" s="74"/>
      <c r="GU394" s="72"/>
      <c r="GV394" s="74"/>
      <c r="GW394" s="72"/>
      <c r="GX394" s="74"/>
      <c r="GY394" s="72"/>
      <c r="GZ394" s="72"/>
      <c r="HA394" s="72"/>
      <c r="HB394" s="72"/>
      <c r="HC394"/>
      <c r="HD394"/>
      <c r="HE394"/>
      <c r="HF394"/>
      <c r="HG394"/>
      <c r="HH394"/>
      <c r="HI394" s="2"/>
    </row>
    <row r="395" spans="1:217" s="295" customFormat="1" ht="12.75" customHeight="1" collapsed="1" x14ac:dyDescent="0.2">
      <c r="B395" s="291" t="s">
        <v>815</v>
      </c>
      <c r="C395" s="292"/>
      <c r="D395" s="293"/>
      <c r="E395" s="292"/>
      <c r="F395" s="293"/>
      <c r="G395" s="292"/>
      <c r="H395" s="293"/>
      <c r="I395" s="292"/>
      <c r="J395" s="293"/>
      <c r="K395" s="292"/>
      <c r="L395" s="293"/>
      <c r="M395" s="292"/>
      <c r="N395" s="293"/>
      <c r="O395" s="292"/>
      <c r="P395" s="293"/>
      <c r="Q395" s="292"/>
      <c r="R395" s="293"/>
      <c r="S395" s="292"/>
      <c r="T395" s="293"/>
      <c r="U395" s="292"/>
      <c r="V395" s="293"/>
      <c r="W395" s="292"/>
      <c r="X395" s="293"/>
      <c r="Y395" s="292"/>
      <c r="Z395" s="293"/>
      <c r="AA395" s="292"/>
      <c r="AB395" s="293"/>
      <c r="AC395" s="292"/>
      <c r="AD395" s="293"/>
      <c r="AE395" s="292"/>
      <c r="AF395" s="293"/>
      <c r="AG395" s="292"/>
      <c r="AH395" s="293"/>
      <c r="AI395" s="292"/>
      <c r="AJ395" s="293"/>
      <c r="AK395" s="292"/>
      <c r="AL395" s="293"/>
      <c r="AM395" s="292"/>
      <c r="AN395" s="293"/>
      <c r="AO395" s="292"/>
      <c r="AP395" s="293"/>
      <c r="AQ395" s="292"/>
      <c r="AR395" s="293"/>
      <c r="AS395" s="292"/>
      <c r="AT395" s="293"/>
      <c r="AU395" s="292"/>
      <c r="AV395" s="293"/>
      <c r="AW395" s="292"/>
      <c r="AX395" s="293"/>
      <c r="AY395" s="292"/>
      <c r="AZ395" s="293"/>
      <c r="BA395" s="292"/>
      <c r="BB395" s="293"/>
      <c r="BC395" s="292"/>
      <c r="BD395" s="293"/>
      <c r="BE395" s="292"/>
      <c r="BF395" s="293"/>
      <c r="BG395" s="292"/>
      <c r="BH395" s="293"/>
      <c r="BI395" s="292"/>
      <c r="BJ395" s="293"/>
      <c r="BK395" s="292"/>
      <c r="BL395" s="293"/>
      <c r="BM395" s="292"/>
      <c r="BN395" s="293"/>
      <c r="BO395" s="292"/>
      <c r="BP395" s="293"/>
      <c r="BQ395" s="294"/>
      <c r="BR395" s="294"/>
      <c r="BS395" s="294"/>
      <c r="BT395" s="293"/>
      <c r="BU395" s="294"/>
      <c r="BV395" s="293"/>
      <c r="BW395" s="294"/>
      <c r="BX395" s="293"/>
      <c r="BY395" s="294"/>
      <c r="BZ395" s="293"/>
      <c r="CA395" s="294"/>
      <c r="CB395" s="293"/>
      <c r="CC395" s="294"/>
      <c r="CD395" s="293"/>
      <c r="CE395" s="294"/>
      <c r="CF395" s="293"/>
      <c r="CG395" s="294"/>
      <c r="CH395" s="293"/>
      <c r="CI395" s="294"/>
      <c r="CJ395" s="293"/>
      <c r="CK395" s="294"/>
      <c r="CL395" s="293"/>
      <c r="CM395" s="294"/>
      <c r="CN395" s="293"/>
      <c r="CO395" s="294"/>
      <c r="CP395" s="293"/>
      <c r="CQ395" s="294"/>
      <c r="CR395" s="293"/>
      <c r="CS395" s="294"/>
      <c r="CT395" s="293"/>
      <c r="CU395" s="294"/>
      <c r="CV395" s="293"/>
      <c r="CW395" s="294"/>
      <c r="CX395" s="293"/>
      <c r="CY395" s="294"/>
      <c r="CZ395" s="293"/>
      <c r="DA395" s="294"/>
      <c r="DB395" s="293"/>
      <c r="DC395" s="294"/>
      <c r="DD395" s="293"/>
      <c r="DE395" s="294"/>
      <c r="DF395" s="293"/>
      <c r="DG395" s="294"/>
      <c r="DH395" s="293"/>
      <c r="DI395" s="294"/>
      <c r="DJ395" s="293"/>
      <c r="DK395" s="294"/>
      <c r="DL395" s="293"/>
      <c r="DM395" s="294"/>
      <c r="DN395" s="293"/>
      <c r="DO395" s="294"/>
      <c r="DP395" s="293"/>
      <c r="DQ395" s="294"/>
      <c r="DR395" s="293"/>
      <c r="DS395" s="294"/>
      <c r="DT395" s="293"/>
      <c r="DU395" s="294"/>
      <c r="DV395" s="293"/>
      <c r="DW395" s="292"/>
      <c r="DX395" s="293"/>
      <c r="DY395" s="292"/>
      <c r="DZ395" s="293"/>
      <c r="EA395" s="292"/>
      <c r="EB395" s="293"/>
      <c r="EC395" s="292"/>
      <c r="ED395" s="293"/>
      <c r="EE395" s="292"/>
      <c r="EF395" s="293"/>
      <c r="EG395" s="292"/>
      <c r="EH395" s="293"/>
      <c r="EI395" s="292"/>
      <c r="EJ395" s="293"/>
      <c r="EK395" s="292"/>
      <c r="EL395" s="293"/>
      <c r="EM395" s="292"/>
      <c r="EN395" s="293"/>
      <c r="EO395" s="292"/>
      <c r="EP395" s="293"/>
      <c r="EQ395" s="292"/>
      <c r="ER395" s="293"/>
      <c r="ES395" s="292"/>
      <c r="ET395" s="293"/>
      <c r="EU395" s="292"/>
      <c r="EV395" s="293"/>
      <c r="EW395" s="292"/>
      <c r="EX395" s="293"/>
      <c r="EY395" s="293"/>
      <c r="EZ395" s="299"/>
      <c r="FA395" s="293"/>
      <c r="FB395" s="292"/>
      <c r="FC395" s="293"/>
      <c r="FD395" s="292"/>
      <c r="FE395" s="293"/>
      <c r="FF395" s="292"/>
      <c r="FG395" s="293"/>
      <c r="FH395" s="292"/>
      <c r="FI395" s="293"/>
      <c r="FJ395" s="292"/>
      <c r="FK395" s="293"/>
      <c r="FL395" s="292"/>
      <c r="FM395" s="293"/>
      <c r="FN395" s="292"/>
      <c r="FO395" s="293"/>
      <c r="FP395" s="292"/>
      <c r="FQ395" s="293"/>
      <c r="FR395" s="294"/>
      <c r="FS395" s="293"/>
      <c r="FT395" s="294"/>
      <c r="FU395" s="293"/>
      <c r="FV395" s="294"/>
      <c r="FW395" s="293"/>
      <c r="FX395" s="294"/>
      <c r="FY395" s="293"/>
      <c r="FZ395" s="294"/>
      <c r="GA395" s="293"/>
      <c r="GB395" s="294"/>
      <c r="GC395" s="293"/>
      <c r="GD395" s="294"/>
      <c r="GE395" s="293"/>
      <c r="GF395" s="294"/>
      <c r="GG395" s="293"/>
      <c r="GH395" s="294"/>
      <c r="GI395" s="293"/>
      <c r="GJ395" s="294"/>
      <c r="GK395" s="293"/>
      <c r="GL395" s="294"/>
      <c r="GM395" s="293"/>
      <c r="GN395" s="294"/>
      <c r="GO395" s="293"/>
      <c r="GP395" s="294"/>
      <c r="GQ395" s="293"/>
      <c r="GR395" s="292"/>
      <c r="GS395" s="293"/>
      <c r="GT395" s="292"/>
      <c r="GU395" s="293"/>
      <c r="GV395" s="292"/>
      <c r="GW395" s="293"/>
      <c r="GX395" s="292"/>
      <c r="GY395" s="293"/>
      <c r="GZ395" s="293"/>
      <c r="HA395" s="293"/>
      <c r="HB395" s="293"/>
      <c r="HC395"/>
      <c r="HD395"/>
      <c r="HE395"/>
      <c r="HF395"/>
      <c r="HG395"/>
      <c r="HH395"/>
      <c r="HI395" s="290"/>
    </row>
    <row r="396" spans="1:217" s="3" customFormat="1" ht="12.75" customHeight="1" x14ac:dyDescent="0.2">
      <c r="B396" s="89"/>
      <c r="C396" s="12"/>
      <c r="D396" s="72"/>
      <c r="E396" s="12"/>
      <c r="F396" s="72"/>
      <c r="G396" s="12"/>
      <c r="H396" s="72"/>
      <c r="I396" s="12"/>
      <c r="J396" s="72"/>
      <c r="K396" s="12"/>
      <c r="L396" s="72"/>
      <c r="M396" s="12"/>
      <c r="N396" s="72"/>
      <c r="O396" s="12"/>
      <c r="P396" s="72"/>
      <c r="Q396" s="12"/>
      <c r="R396" s="72"/>
      <c r="S396" s="12"/>
      <c r="T396" s="72"/>
      <c r="U396" s="12"/>
      <c r="V396" s="72"/>
      <c r="W396" s="12"/>
      <c r="X396" s="72"/>
      <c r="Y396" s="12"/>
      <c r="Z396" s="72"/>
      <c r="AA396" s="12"/>
      <c r="AB396" s="72"/>
      <c r="AC396" s="12"/>
      <c r="AD396" s="72"/>
      <c r="AE396" s="12"/>
      <c r="AF396" s="72"/>
      <c r="AG396" s="12"/>
      <c r="AH396" s="72"/>
      <c r="AI396" s="12"/>
      <c r="AJ396" s="72"/>
      <c r="AK396" s="12"/>
      <c r="AL396" s="72"/>
      <c r="AM396" s="12"/>
      <c r="AN396" s="72"/>
      <c r="AO396" s="12"/>
      <c r="AP396" s="72"/>
      <c r="AQ396" s="12"/>
      <c r="AR396" s="72"/>
      <c r="AS396" s="12"/>
      <c r="AT396" s="72"/>
      <c r="AU396" s="12"/>
      <c r="AV396" s="72"/>
      <c r="AW396" s="12"/>
      <c r="AX396" s="72"/>
      <c r="AY396" s="12"/>
      <c r="AZ396" s="72"/>
      <c r="BA396" s="12"/>
      <c r="BB396" s="72"/>
      <c r="BC396" s="12"/>
      <c r="BD396" s="72"/>
      <c r="BE396" s="12"/>
      <c r="BF396" s="72"/>
      <c r="BG396" s="12"/>
      <c r="BH396" s="72"/>
      <c r="BI396" s="12"/>
      <c r="BJ396" s="72"/>
      <c r="BK396" s="12"/>
      <c r="BL396" s="72"/>
      <c r="BM396" s="12"/>
      <c r="BN396" s="72"/>
      <c r="BO396" s="12"/>
      <c r="BP396" s="72"/>
      <c r="BQ396" s="12"/>
      <c r="BR396" s="72"/>
      <c r="BS396" s="12"/>
      <c r="BT396" s="72"/>
      <c r="BU396" s="12"/>
      <c r="BV396" s="72"/>
      <c r="BW396" s="12"/>
      <c r="BX396" s="72"/>
      <c r="BY396" s="12"/>
      <c r="BZ396" s="72"/>
      <c r="CA396" s="12"/>
      <c r="CB396" s="72"/>
      <c r="CC396" s="12"/>
      <c r="CD396" s="72"/>
      <c r="CE396" s="12"/>
      <c r="CF396" s="72"/>
      <c r="CG396" s="12"/>
      <c r="CH396" s="72"/>
      <c r="CI396" s="12"/>
      <c r="CJ396" s="72"/>
      <c r="CK396" s="12"/>
      <c r="CL396" s="72"/>
      <c r="CM396" s="12"/>
      <c r="CN396" s="72"/>
      <c r="CO396" s="12"/>
      <c r="CP396" s="72"/>
      <c r="CQ396" s="12"/>
      <c r="CR396" s="72"/>
      <c r="CS396" s="12"/>
      <c r="CT396" s="72"/>
      <c r="CU396" s="12"/>
      <c r="CV396" s="72"/>
      <c r="CW396" s="12"/>
      <c r="CX396" s="72"/>
      <c r="CY396" s="12"/>
      <c r="CZ396" s="72"/>
      <c r="DA396" s="12"/>
      <c r="DB396" s="72"/>
      <c r="DC396" s="12"/>
      <c r="DD396" s="72"/>
      <c r="DE396" s="12"/>
      <c r="DF396" s="72"/>
      <c r="DG396" s="12"/>
      <c r="DH396" s="72"/>
      <c r="DI396" s="12"/>
      <c r="DJ396" s="72"/>
      <c r="DK396" s="12"/>
      <c r="DL396" s="72"/>
      <c r="DM396" s="12"/>
      <c r="DN396" s="72"/>
      <c r="DO396" s="12"/>
      <c r="DP396" s="72"/>
      <c r="DQ396" s="12"/>
      <c r="DR396" s="72"/>
      <c r="DS396" s="12"/>
      <c r="DT396" s="72"/>
      <c r="DU396" s="12"/>
      <c r="DV396" s="72"/>
      <c r="DW396" s="13"/>
      <c r="DX396" s="72"/>
      <c r="DY396" s="13"/>
      <c r="DZ396" s="72"/>
      <c r="EA396" s="13"/>
      <c r="EB396" s="72"/>
      <c r="EC396" s="13"/>
      <c r="ED396" s="72"/>
      <c r="EE396" s="13"/>
      <c r="EF396" s="72"/>
      <c r="EG396" s="13"/>
      <c r="EH396" s="72"/>
      <c r="EI396" s="13"/>
      <c r="EJ396" s="72"/>
      <c r="EK396" s="13"/>
      <c r="EL396" s="72"/>
      <c r="EM396" s="13"/>
      <c r="EN396" s="72"/>
      <c r="EO396" s="13"/>
      <c r="EP396" s="72"/>
      <c r="EQ396" s="13"/>
      <c r="ER396" s="72"/>
      <c r="ES396" s="13"/>
      <c r="ET396" s="72"/>
      <c r="EU396" s="13"/>
      <c r="EV396" s="72"/>
      <c r="EW396" s="13"/>
      <c r="EX396" s="72"/>
      <c r="EY396" s="72"/>
      <c r="EZ396" s="321"/>
      <c r="FA396" s="72"/>
      <c r="FB396" s="12"/>
      <c r="FC396" s="72"/>
      <c r="FD396" s="12"/>
      <c r="FE396" s="72"/>
      <c r="FF396" s="12"/>
      <c r="FG396" s="72"/>
      <c r="FH396" s="12"/>
      <c r="FI396" s="72"/>
      <c r="FJ396" s="12"/>
      <c r="FK396" s="72"/>
      <c r="FL396" s="12"/>
      <c r="FM396" s="72"/>
      <c r="FN396" s="12"/>
      <c r="FO396" s="72"/>
      <c r="FP396" s="12"/>
      <c r="FQ396" s="72"/>
      <c r="FR396" s="13"/>
      <c r="FS396" s="72"/>
      <c r="FT396" s="13"/>
      <c r="FU396" s="72"/>
      <c r="FV396" s="13"/>
      <c r="FW396" s="72"/>
      <c r="FX396" s="13"/>
      <c r="FY396" s="72"/>
      <c r="FZ396" s="13"/>
      <c r="GA396" s="72"/>
      <c r="GB396" s="13"/>
      <c r="GC396" s="72"/>
      <c r="GD396" s="13"/>
      <c r="GE396" s="72"/>
      <c r="GF396" s="13"/>
      <c r="GG396" s="72"/>
      <c r="GH396" s="13"/>
      <c r="GI396" s="72"/>
      <c r="GJ396" s="13"/>
      <c r="GK396" s="72"/>
      <c r="GL396" s="13"/>
      <c r="GM396" s="72"/>
      <c r="GN396" s="13"/>
      <c r="GO396" s="72"/>
      <c r="GP396" s="13"/>
      <c r="GQ396" s="72"/>
      <c r="GR396" s="13"/>
      <c r="GS396" s="72"/>
      <c r="GT396" s="13"/>
      <c r="GU396" s="72"/>
      <c r="GV396" s="13"/>
      <c r="GW396" s="72"/>
      <c r="GX396" s="13"/>
      <c r="GY396" s="72"/>
      <c r="GZ396" s="72"/>
      <c r="HA396" s="72"/>
      <c r="HB396" s="72"/>
      <c r="HC396"/>
      <c r="HD396"/>
      <c r="HE396"/>
      <c r="HF396"/>
      <c r="HG396"/>
      <c r="HH396"/>
      <c r="HI396" s="2"/>
    </row>
    <row r="397" spans="1:217" s="3" customFormat="1" ht="12.75" customHeight="1" x14ac:dyDescent="0.2">
      <c r="B397" s="10" t="s">
        <v>190</v>
      </c>
      <c r="C397" s="12"/>
      <c r="D397" s="72"/>
      <c r="E397" s="12"/>
      <c r="F397" s="72"/>
      <c r="G397" s="12"/>
      <c r="H397" s="72"/>
      <c r="I397" s="12"/>
      <c r="J397" s="72"/>
      <c r="K397" s="12"/>
      <c r="L397" s="72"/>
      <c r="M397" s="12"/>
      <c r="N397" s="72"/>
      <c r="O397" s="12"/>
      <c r="P397" s="72"/>
      <c r="Q397" s="12"/>
      <c r="R397" s="72"/>
      <c r="S397" s="12"/>
      <c r="T397" s="72"/>
      <c r="U397" s="12"/>
      <c r="V397" s="72"/>
      <c r="W397" s="12"/>
      <c r="X397" s="72"/>
      <c r="Y397" s="12"/>
      <c r="Z397" s="72"/>
      <c r="AA397" s="12"/>
      <c r="AB397" s="72"/>
      <c r="AC397" s="12"/>
      <c r="AD397" s="72"/>
      <c r="AE397" s="12"/>
      <c r="AF397" s="72"/>
      <c r="AG397" s="12"/>
      <c r="AH397" s="72"/>
      <c r="AI397" s="12"/>
      <c r="AJ397" s="72"/>
      <c r="AK397" s="12"/>
      <c r="AL397" s="72"/>
      <c r="AM397" s="12"/>
      <c r="AN397" s="72"/>
      <c r="AO397" s="12"/>
      <c r="AP397" s="72"/>
      <c r="AQ397" s="12"/>
      <c r="AR397" s="72"/>
      <c r="AS397" s="12"/>
      <c r="AT397" s="72"/>
      <c r="AU397" s="12"/>
      <c r="AV397" s="72"/>
      <c r="AW397" s="12"/>
      <c r="AX397" s="72"/>
      <c r="AY397" s="12"/>
      <c r="AZ397" s="72"/>
      <c r="BA397" s="12"/>
      <c r="BB397" s="72"/>
      <c r="BC397" s="12"/>
      <c r="BD397" s="72"/>
      <c r="BE397" s="12"/>
      <c r="BF397" s="72"/>
      <c r="BG397" s="12"/>
      <c r="BH397" s="72"/>
      <c r="BI397" s="12"/>
      <c r="BJ397" s="72"/>
      <c r="BK397" s="12"/>
      <c r="BL397" s="72"/>
      <c r="BM397" s="12"/>
      <c r="BN397" s="72"/>
      <c r="BO397" s="12"/>
      <c r="BP397" s="72"/>
      <c r="BQ397" s="12"/>
      <c r="BR397" s="72"/>
      <c r="BS397" s="12"/>
      <c r="BT397" s="72"/>
      <c r="BU397" s="12"/>
      <c r="BV397" s="72"/>
      <c r="BW397" s="12"/>
      <c r="BX397" s="72"/>
      <c r="BY397" s="12"/>
      <c r="BZ397" s="72"/>
      <c r="CA397" s="12"/>
      <c r="CB397" s="72"/>
      <c r="CC397" s="12"/>
      <c r="CD397" s="72"/>
      <c r="CE397" s="12"/>
      <c r="CF397" s="72"/>
      <c r="CG397" s="12"/>
      <c r="CH397" s="72"/>
      <c r="CI397" s="12"/>
      <c r="CJ397" s="72"/>
      <c r="CK397" s="12"/>
      <c r="CL397" s="72"/>
      <c r="CM397" s="12"/>
      <c r="CN397" s="72"/>
      <c r="CO397" s="12"/>
      <c r="CP397" s="72"/>
      <c r="CQ397" s="12"/>
      <c r="CR397" s="72"/>
      <c r="CS397" s="12"/>
      <c r="CT397" s="72"/>
      <c r="CU397" s="12"/>
      <c r="CV397" s="72"/>
      <c r="CW397" s="12"/>
      <c r="CX397" s="72"/>
      <c r="CY397" s="12"/>
      <c r="CZ397" s="72"/>
      <c r="DA397" s="12"/>
      <c r="DB397" s="72"/>
      <c r="DC397" s="12"/>
      <c r="DD397" s="72"/>
      <c r="DE397" s="12"/>
      <c r="DF397" s="72"/>
      <c r="DG397" s="12"/>
      <c r="DH397" s="72"/>
      <c r="DI397" s="12"/>
      <c r="DJ397" s="72"/>
      <c r="DK397" s="12"/>
      <c r="DL397" s="72"/>
      <c r="DM397" s="12"/>
      <c r="DN397" s="72"/>
      <c r="DO397" s="12"/>
      <c r="DP397" s="72"/>
      <c r="DQ397" s="12"/>
      <c r="DR397" s="72"/>
      <c r="DS397" s="12"/>
      <c r="DT397" s="72"/>
      <c r="DU397" s="12"/>
      <c r="DV397" s="72"/>
      <c r="DW397" s="86"/>
      <c r="DX397" s="72"/>
      <c r="DY397" s="86"/>
      <c r="DZ397" s="72"/>
      <c r="EA397" s="86"/>
      <c r="EB397" s="72"/>
      <c r="EC397" s="86"/>
      <c r="ED397" s="72"/>
      <c r="EE397" s="86"/>
      <c r="EF397" s="72"/>
      <c r="EG397" s="86"/>
      <c r="EH397" s="72"/>
      <c r="EI397" s="86">
        <v>1</v>
      </c>
      <c r="EJ397" s="72"/>
      <c r="EK397" s="86">
        <v>1</v>
      </c>
      <c r="EL397" s="72"/>
      <c r="EM397" s="86">
        <v>1</v>
      </c>
      <c r="EN397" s="72"/>
      <c r="EO397" s="86">
        <v>1</v>
      </c>
      <c r="EP397" s="72"/>
      <c r="EQ397" s="86">
        <f t="shared" ref="EQ397" si="2106">EO397</f>
        <v>1</v>
      </c>
      <c r="ER397" s="72"/>
      <c r="ES397" s="86">
        <f t="shared" ref="ES397" si="2107">EQ397</f>
        <v>1</v>
      </c>
      <c r="ET397" s="72"/>
      <c r="EU397" s="86">
        <f t="shared" ref="EU397" si="2108">ES397</f>
        <v>1</v>
      </c>
      <c r="EV397" s="72"/>
      <c r="EW397" s="86">
        <f t="shared" ref="EW397" si="2109">EU397</f>
        <v>1</v>
      </c>
      <c r="EX397" s="72"/>
      <c r="EY397" s="72"/>
      <c r="EZ397" s="321"/>
      <c r="FA397" s="72"/>
      <c r="FB397" s="12"/>
      <c r="FC397" s="72"/>
      <c r="FD397" s="12"/>
      <c r="FE397" s="72"/>
      <c r="FF397" s="12"/>
      <c r="FG397" s="72"/>
      <c r="FH397" s="12"/>
      <c r="FI397" s="72"/>
      <c r="FJ397" s="12"/>
      <c r="FK397" s="72"/>
      <c r="FL397" s="12"/>
      <c r="FM397" s="72"/>
      <c r="FN397" s="12"/>
      <c r="FO397" s="72"/>
      <c r="FP397" s="12"/>
      <c r="FQ397" s="72"/>
      <c r="FR397" s="13"/>
      <c r="FS397" s="72"/>
      <c r="FT397" s="13"/>
      <c r="FU397" s="72"/>
      <c r="FV397" s="13"/>
      <c r="FW397" s="72"/>
      <c r="FX397" s="13"/>
      <c r="FY397" s="72"/>
      <c r="FZ397" s="13"/>
      <c r="GA397" s="72"/>
      <c r="GB397" s="13"/>
      <c r="GC397" s="72"/>
      <c r="GD397" s="13"/>
      <c r="GE397" s="72"/>
      <c r="GF397" s="13"/>
      <c r="GG397" s="72"/>
      <c r="GH397" s="13"/>
      <c r="GI397" s="72"/>
      <c r="GJ397" s="13"/>
      <c r="GK397" s="72"/>
      <c r="GL397" s="13"/>
      <c r="GM397" s="72"/>
      <c r="GN397" s="13"/>
      <c r="GO397" s="72"/>
      <c r="GP397" s="13"/>
      <c r="GQ397" s="72"/>
      <c r="GR397" s="86">
        <v>1</v>
      </c>
      <c r="GS397" s="72"/>
      <c r="GT397" s="86">
        <v>1</v>
      </c>
      <c r="GU397" s="72"/>
      <c r="GV397" s="86">
        <v>1</v>
      </c>
      <c r="GW397" s="72"/>
      <c r="GX397" s="86">
        <v>1</v>
      </c>
      <c r="GY397" s="72"/>
      <c r="GZ397" s="72"/>
      <c r="HA397" s="72"/>
      <c r="HB397" s="72"/>
      <c r="HC397"/>
      <c r="HD397"/>
      <c r="HE397"/>
      <c r="HF397"/>
      <c r="HG397"/>
      <c r="HH397"/>
      <c r="HI397" s="2"/>
    </row>
    <row r="398" spans="1:217" s="3" customFormat="1" ht="12.75" customHeight="1" x14ac:dyDescent="0.2">
      <c r="B398" s="10" t="s">
        <v>189</v>
      </c>
      <c r="C398" s="12"/>
      <c r="D398" s="72"/>
      <c r="E398" s="12"/>
      <c r="F398" s="72"/>
      <c r="G398" s="12"/>
      <c r="H398" s="72"/>
      <c r="I398" s="12"/>
      <c r="J398" s="72"/>
      <c r="K398" s="12"/>
      <c r="L398" s="72"/>
      <c r="M398" s="12"/>
      <c r="N398" s="72"/>
      <c r="O398" s="12"/>
      <c r="P398" s="72"/>
      <c r="Q398" s="12"/>
      <c r="R398" s="72"/>
      <c r="S398" s="12"/>
      <c r="T398" s="72"/>
      <c r="U398" s="12"/>
      <c r="V398" s="72"/>
      <c r="W398" s="12"/>
      <c r="X398" s="72"/>
      <c r="Y398" s="12"/>
      <c r="Z398" s="72"/>
      <c r="AA398" s="12"/>
      <c r="AB398" s="72"/>
      <c r="AC398" s="12"/>
      <c r="AD398" s="72"/>
      <c r="AE398" s="12"/>
      <c r="AF398" s="72"/>
      <c r="AG398" s="12"/>
      <c r="AH398" s="72"/>
      <c r="AI398" s="12"/>
      <c r="AJ398" s="72"/>
      <c r="AK398" s="12"/>
      <c r="AL398" s="72"/>
      <c r="AM398" s="12"/>
      <c r="AN398" s="72"/>
      <c r="AO398" s="12"/>
      <c r="AP398" s="72"/>
      <c r="AQ398" s="12"/>
      <c r="AR398" s="72"/>
      <c r="AS398" s="12"/>
      <c r="AT398" s="72"/>
      <c r="AU398" s="12"/>
      <c r="AV398" s="72"/>
      <c r="AW398" s="12"/>
      <c r="AX398" s="72"/>
      <c r="AY398" s="12"/>
      <c r="AZ398" s="72"/>
      <c r="BA398" s="12"/>
      <c r="BB398" s="72"/>
      <c r="BC398" s="12"/>
      <c r="BD398" s="72"/>
      <c r="BE398" s="12"/>
      <c r="BF398" s="72"/>
      <c r="BG398" s="12"/>
      <c r="BH398" s="72"/>
      <c r="BI398" s="12"/>
      <c r="BJ398" s="72"/>
      <c r="BK398" s="12"/>
      <c r="BL398" s="72"/>
      <c r="BM398" s="12"/>
      <c r="BN398" s="72"/>
      <c r="BO398" s="12"/>
      <c r="BP398" s="72"/>
      <c r="BQ398" s="12"/>
      <c r="BR398" s="72"/>
      <c r="BS398" s="12"/>
      <c r="BT398" s="72"/>
      <c r="BU398" s="12"/>
      <c r="BV398" s="72"/>
      <c r="BW398" s="12"/>
      <c r="BX398" s="72"/>
      <c r="BY398" s="12"/>
      <c r="BZ398" s="72"/>
      <c r="CA398" s="12"/>
      <c r="CB398" s="72"/>
      <c r="CC398" s="12"/>
      <c r="CD398" s="72"/>
      <c r="CE398" s="12"/>
      <c r="CF398" s="72"/>
      <c r="CG398" s="12"/>
      <c r="CH398" s="72"/>
      <c r="CI398" s="12"/>
      <c r="CJ398" s="72"/>
      <c r="CK398" s="12"/>
      <c r="CL398" s="72"/>
      <c r="CM398" s="12"/>
      <c r="CN398" s="72"/>
      <c r="CO398" s="12"/>
      <c r="CP398" s="72"/>
      <c r="CQ398" s="12"/>
      <c r="CR398" s="72"/>
      <c r="CS398" s="12"/>
      <c r="CT398" s="72"/>
      <c r="CU398" s="12"/>
      <c r="CV398" s="72"/>
      <c r="CW398" s="12"/>
      <c r="CX398" s="72"/>
      <c r="CY398" s="12"/>
      <c r="CZ398" s="72"/>
      <c r="DA398" s="12"/>
      <c r="DB398" s="72"/>
      <c r="DC398" s="12"/>
      <c r="DD398" s="72"/>
      <c r="DE398" s="12"/>
      <c r="DF398" s="72"/>
      <c r="DG398" s="12"/>
      <c r="DH398" s="72"/>
      <c r="DI398" s="12"/>
      <c r="DJ398" s="72"/>
      <c r="DK398" s="12"/>
      <c r="DL398" s="72"/>
      <c r="DM398" s="12"/>
      <c r="DN398" s="72"/>
      <c r="DO398" s="12"/>
      <c r="DP398" s="72"/>
      <c r="DQ398" s="12"/>
      <c r="DR398" s="72"/>
      <c r="DS398" s="12"/>
      <c r="DT398" s="72"/>
      <c r="DU398" s="12"/>
      <c r="DV398" s="72"/>
      <c r="DW398" s="81"/>
      <c r="DX398" s="72"/>
      <c r="DY398" s="81"/>
      <c r="DZ398" s="72"/>
      <c r="EA398" s="81"/>
      <c r="EB398" s="72"/>
      <c r="EC398" s="81"/>
      <c r="ED398" s="72"/>
      <c r="EE398" s="81"/>
      <c r="EF398" s="72"/>
      <c r="EG398" s="81"/>
      <c r="EH398" s="72"/>
      <c r="EI398" s="81">
        <f>EI360</f>
        <v>-2.6785714285714306</v>
      </c>
      <c r="EJ398" s="72"/>
      <c r="EK398" s="81">
        <f>EK360</f>
        <v>-2.6785714285714306</v>
      </c>
      <c r="EL398" s="72"/>
      <c r="EM398" s="81">
        <f>EM360</f>
        <v>-2.6785714285714306</v>
      </c>
      <c r="EN398" s="72"/>
      <c r="EO398" s="81">
        <f>EO360</f>
        <v>-2.6785714285714306</v>
      </c>
      <c r="EP398" s="72"/>
      <c r="EQ398" s="81">
        <f t="shared" ref="EQ398" si="2110">EQ360</f>
        <v>0.45045045045044674</v>
      </c>
      <c r="ER398" s="72"/>
      <c r="ES398" s="81">
        <f t="shared" ref="ES398" si="2111">ES360</f>
        <v>0.45045045045044674</v>
      </c>
      <c r="ET398" s="72"/>
      <c r="EU398" s="81">
        <f t="shared" ref="EU398" si="2112">EU360</f>
        <v>0.45045045045044674</v>
      </c>
      <c r="EV398" s="72"/>
      <c r="EW398" s="81">
        <f t="shared" ref="EW398" si="2113">EW360</f>
        <v>0.45045045045044674</v>
      </c>
      <c r="EX398" s="72"/>
      <c r="EY398" s="72"/>
      <c r="EZ398" s="321"/>
      <c r="FA398" s="72"/>
      <c r="FB398" s="12"/>
      <c r="FC398" s="72"/>
      <c r="FD398" s="12"/>
      <c r="FE398" s="72"/>
      <c r="FF398" s="12"/>
      <c r="FG398" s="72"/>
      <c r="FH398" s="12"/>
      <c r="FI398" s="72"/>
      <c r="FJ398" s="12"/>
      <c r="FK398" s="72"/>
      <c r="FL398" s="12"/>
      <c r="FM398" s="72"/>
      <c r="FN398" s="12"/>
      <c r="FO398" s="72"/>
      <c r="FP398" s="12"/>
      <c r="FQ398" s="72"/>
      <c r="FR398" s="13"/>
      <c r="FS398" s="72"/>
      <c r="FT398" s="13"/>
      <c r="FU398" s="72"/>
      <c r="FV398" s="13"/>
      <c r="FW398" s="72"/>
      <c r="FX398" s="13"/>
      <c r="FY398" s="72"/>
      <c r="FZ398" s="13"/>
      <c r="GA398" s="72"/>
      <c r="GB398" s="13"/>
      <c r="GC398" s="72"/>
      <c r="GD398" s="13"/>
      <c r="GE398" s="72"/>
      <c r="GF398" s="13"/>
      <c r="GG398" s="72"/>
      <c r="GH398" s="13"/>
      <c r="GI398" s="72"/>
      <c r="GJ398" s="13"/>
      <c r="GK398" s="72"/>
      <c r="GL398" s="13"/>
      <c r="GM398" s="72"/>
      <c r="GN398" s="13"/>
      <c r="GO398" s="72"/>
      <c r="GP398" s="13"/>
      <c r="GQ398" s="72"/>
      <c r="GR398" s="81">
        <f>GR360</f>
        <v>0</v>
      </c>
      <c r="GS398" s="72"/>
      <c r="GT398" s="81">
        <f>GT360</f>
        <v>0</v>
      </c>
      <c r="GU398" s="72"/>
      <c r="GV398" s="81">
        <f>GV360</f>
        <v>0</v>
      </c>
      <c r="GW398" s="72"/>
      <c r="GX398" s="81">
        <f>GX360</f>
        <v>0</v>
      </c>
      <c r="GY398" s="72"/>
      <c r="GZ398" s="72"/>
      <c r="HA398" s="72"/>
      <c r="HB398" s="72"/>
      <c r="HC398"/>
      <c r="HD398"/>
      <c r="HE398"/>
      <c r="HF398"/>
      <c r="HG398"/>
      <c r="HH398"/>
      <c r="HI398" s="2"/>
    </row>
    <row r="399" spans="1:217" s="3" customFormat="1" ht="12.75" customHeight="1" x14ac:dyDescent="0.2">
      <c r="B399" s="10" t="s">
        <v>191</v>
      </c>
      <c r="C399" s="12"/>
      <c r="D399" s="72"/>
      <c r="E399" s="12"/>
      <c r="F399" s="72"/>
      <c r="G399" s="12"/>
      <c r="H399" s="72"/>
      <c r="I399" s="12"/>
      <c r="J399" s="72"/>
      <c r="K399" s="12"/>
      <c r="L399" s="72"/>
      <c r="M399" s="12"/>
      <c r="N399" s="72"/>
      <c r="O399" s="12"/>
      <c r="P399" s="72"/>
      <c r="Q399" s="12"/>
      <c r="R399" s="72"/>
      <c r="S399" s="12"/>
      <c r="T399" s="72"/>
      <c r="U399" s="12"/>
      <c r="V399" s="72"/>
      <c r="W399" s="12"/>
      <c r="X399" s="72"/>
      <c r="Y399" s="12"/>
      <c r="Z399" s="72"/>
      <c r="AA399" s="12"/>
      <c r="AB399" s="72"/>
      <c r="AC399" s="12"/>
      <c r="AD399" s="72"/>
      <c r="AE399" s="12"/>
      <c r="AF399" s="72"/>
      <c r="AG399" s="12"/>
      <c r="AH399" s="72"/>
      <c r="AI399" s="12"/>
      <c r="AJ399" s="72"/>
      <c r="AK399" s="12"/>
      <c r="AL399" s="72"/>
      <c r="AM399" s="12"/>
      <c r="AN399" s="72"/>
      <c r="AO399" s="12"/>
      <c r="AP399" s="72"/>
      <c r="AQ399" s="12"/>
      <c r="AR399" s="72"/>
      <c r="AS399" s="12"/>
      <c r="AT399" s="72"/>
      <c r="AU399" s="12"/>
      <c r="AV399" s="72"/>
      <c r="AW399" s="12"/>
      <c r="AX399" s="72"/>
      <c r="AY399" s="12"/>
      <c r="AZ399" s="72"/>
      <c r="BA399" s="12"/>
      <c r="BB399" s="72"/>
      <c r="BC399" s="12"/>
      <c r="BD399" s="72"/>
      <c r="BE399" s="12"/>
      <c r="BF399" s="72"/>
      <c r="BG399" s="12"/>
      <c r="BH399" s="72"/>
      <c r="BI399" s="12"/>
      <c r="BJ399" s="72"/>
      <c r="BK399" s="12"/>
      <c r="BL399" s="72"/>
      <c r="BM399" s="12"/>
      <c r="BN399" s="72"/>
      <c r="BO399" s="12"/>
      <c r="BP399" s="72"/>
      <c r="BQ399" s="12"/>
      <c r="BR399" s="72"/>
      <c r="BS399" s="12"/>
      <c r="BT399" s="72"/>
      <c r="BU399" s="12"/>
      <c r="BV399" s="72"/>
      <c r="BW399" s="12"/>
      <c r="BX399" s="72"/>
      <c r="BY399" s="12"/>
      <c r="BZ399" s="72"/>
      <c r="CA399" s="12"/>
      <c r="CB399" s="72"/>
      <c r="CC399" s="12"/>
      <c r="CD399" s="72"/>
      <c r="CE399" s="12"/>
      <c r="CF399" s="72"/>
      <c r="CG399" s="12"/>
      <c r="CH399" s="72"/>
      <c r="CI399" s="12"/>
      <c r="CJ399" s="72"/>
      <c r="CK399" s="12"/>
      <c r="CL399" s="72"/>
      <c r="CM399" s="12"/>
      <c r="CN399" s="72"/>
      <c r="CO399" s="12"/>
      <c r="CP399" s="72"/>
      <c r="CQ399" s="12"/>
      <c r="CR399" s="72"/>
      <c r="CS399" s="12"/>
      <c r="CT399" s="72"/>
      <c r="CU399" s="12"/>
      <c r="CV399" s="72"/>
      <c r="CW399" s="12"/>
      <c r="CX399" s="72"/>
      <c r="CY399" s="12"/>
      <c r="CZ399" s="72"/>
      <c r="DA399" s="12"/>
      <c r="DB399" s="72"/>
      <c r="DC399" s="12"/>
      <c r="DD399" s="72"/>
      <c r="DE399" s="12"/>
      <c r="DF399" s="72"/>
      <c r="DG399" s="12"/>
      <c r="DH399" s="72"/>
      <c r="DI399" s="12"/>
      <c r="DJ399" s="72"/>
      <c r="DK399" s="12"/>
      <c r="DL399" s="72"/>
      <c r="DM399" s="12"/>
      <c r="DN399" s="72"/>
      <c r="DO399" s="12"/>
      <c r="DP399" s="72"/>
      <c r="DQ399" s="12"/>
      <c r="DR399" s="72"/>
      <c r="DS399" s="12"/>
      <c r="DT399" s="72"/>
      <c r="DU399" s="12"/>
      <c r="DV399" s="72"/>
      <c r="DW399" s="81"/>
      <c r="DX399" s="72"/>
      <c r="DY399" s="81"/>
      <c r="DZ399" s="72"/>
      <c r="EA399" s="81"/>
      <c r="EB399" s="72"/>
      <c r="EC399" s="81"/>
      <c r="ED399" s="72"/>
      <c r="EE399" s="81"/>
      <c r="EF399" s="72"/>
      <c r="EG399" s="81"/>
      <c r="EH399" s="72"/>
      <c r="EI399" s="81">
        <f>EI397+EI398</f>
        <v>-1.6785714285714306</v>
      </c>
      <c r="EJ399" s="72"/>
      <c r="EK399" s="81">
        <f>EK397+EK398</f>
        <v>-1.6785714285714306</v>
      </c>
      <c r="EL399" s="72"/>
      <c r="EM399" s="81">
        <f>EM397+EM398</f>
        <v>-1.6785714285714306</v>
      </c>
      <c r="EN399" s="72"/>
      <c r="EO399" s="81">
        <f>EO397+EO398</f>
        <v>-1.6785714285714306</v>
      </c>
      <c r="EP399" s="72"/>
      <c r="EQ399" s="81">
        <f t="shared" ref="EQ399" si="2114">EQ397+EQ398</f>
        <v>1.4504504504504467</v>
      </c>
      <c r="ER399" s="72"/>
      <c r="ES399" s="81">
        <f t="shared" ref="ES399" si="2115">ES397+ES398</f>
        <v>1.4504504504504467</v>
      </c>
      <c r="ET399" s="72"/>
      <c r="EU399" s="81">
        <f t="shared" ref="EU399" si="2116">EU397+EU398</f>
        <v>1.4504504504504467</v>
      </c>
      <c r="EV399" s="72"/>
      <c r="EW399" s="81">
        <f t="shared" ref="EW399" si="2117">EW397+EW398</f>
        <v>1.4504504504504467</v>
      </c>
      <c r="EX399" s="72"/>
      <c r="EY399" s="72"/>
      <c r="EZ399" s="321"/>
      <c r="FA399" s="72"/>
      <c r="FB399" s="12"/>
      <c r="FC399" s="72"/>
      <c r="FD399" s="12"/>
      <c r="FE399" s="72"/>
      <c r="FF399" s="12"/>
      <c r="FG399" s="72"/>
      <c r="FH399" s="12"/>
      <c r="FI399" s="72"/>
      <c r="FJ399" s="12"/>
      <c r="FK399" s="72"/>
      <c r="FL399" s="12"/>
      <c r="FM399" s="72"/>
      <c r="FN399" s="12"/>
      <c r="FO399" s="72"/>
      <c r="FP399" s="12"/>
      <c r="FQ399" s="72"/>
      <c r="FR399" s="13"/>
      <c r="FS399" s="72"/>
      <c r="FT399" s="13"/>
      <c r="FU399" s="72"/>
      <c r="FV399" s="13"/>
      <c r="FW399" s="72"/>
      <c r="FX399" s="13"/>
      <c r="FY399" s="72"/>
      <c r="FZ399" s="13"/>
      <c r="GA399" s="72"/>
      <c r="GB399" s="13"/>
      <c r="GC399" s="72"/>
      <c r="GD399" s="13"/>
      <c r="GE399" s="72"/>
      <c r="GF399" s="13"/>
      <c r="GG399" s="72"/>
      <c r="GH399" s="13"/>
      <c r="GI399" s="72"/>
      <c r="GJ399" s="13"/>
      <c r="GK399" s="72"/>
      <c r="GL399" s="13"/>
      <c r="GM399" s="72"/>
      <c r="GN399" s="13"/>
      <c r="GO399" s="72"/>
      <c r="GP399" s="13"/>
      <c r="GQ399" s="72"/>
      <c r="GR399" s="81">
        <f>GR397+GR398</f>
        <v>1</v>
      </c>
      <c r="GS399" s="72"/>
      <c r="GT399" s="81">
        <f>GT397+GT398</f>
        <v>1</v>
      </c>
      <c r="GU399" s="72"/>
      <c r="GV399" s="81">
        <f>GV397+GV398</f>
        <v>1</v>
      </c>
      <c r="GW399" s="72"/>
      <c r="GX399" s="81">
        <f>GX397+GX398</f>
        <v>1</v>
      </c>
      <c r="GY399" s="72"/>
      <c r="GZ399" s="72"/>
      <c r="HA399" s="72"/>
      <c r="HB399" s="72"/>
      <c r="HC399"/>
      <c r="HD399"/>
      <c r="HE399"/>
      <c r="HF399"/>
      <c r="HG399"/>
      <c r="HH399"/>
      <c r="HI399" s="2"/>
    </row>
    <row r="400" spans="1:217" s="3" customFormat="1" ht="12.75" customHeight="1" x14ac:dyDescent="0.2">
      <c r="B400" s="89"/>
      <c r="C400" s="12"/>
      <c r="D400" s="72"/>
      <c r="E400" s="12"/>
      <c r="F400" s="72"/>
      <c r="G400" s="12"/>
      <c r="H400" s="72"/>
      <c r="I400" s="12"/>
      <c r="J400" s="72"/>
      <c r="K400" s="12"/>
      <c r="L400" s="72"/>
      <c r="M400" s="12"/>
      <c r="N400" s="72"/>
      <c r="O400" s="12"/>
      <c r="P400" s="72"/>
      <c r="Q400" s="12"/>
      <c r="R400" s="72"/>
      <c r="S400" s="12"/>
      <c r="T400" s="72"/>
      <c r="U400" s="12"/>
      <c r="V400" s="72"/>
      <c r="W400" s="12"/>
      <c r="X400" s="72"/>
      <c r="Y400" s="12"/>
      <c r="Z400" s="72"/>
      <c r="AA400" s="12"/>
      <c r="AB400" s="72"/>
      <c r="AC400" s="12"/>
      <c r="AD400" s="72"/>
      <c r="AE400" s="12"/>
      <c r="AF400" s="72"/>
      <c r="AG400" s="12"/>
      <c r="AH400" s="72"/>
      <c r="AI400" s="12"/>
      <c r="AJ400" s="72"/>
      <c r="AK400" s="12"/>
      <c r="AL400" s="72"/>
      <c r="AM400" s="12"/>
      <c r="AN400" s="72"/>
      <c r="AO400" s="12"/>
      <c r="AP400" s="72"/>
      <c r="AQ400" s="12"/>
      <c r="AR400" s="72"/>
      <c r="AS400" s="12"/>
      <c r="AT400" s="72"/>
      <c r="AU400" s="12"/>
      <c r="AV400" s="72"/>
      <c r="AW400" s="12"/>
      <c r="AX400" s="72"/>
      <c r="AY400" s="12"/>
      <c r="AZ400" s="72"/>
      <c r="BA400" s="12"/>
      <c r="BB400" s="72"/>
      <c r="BC400" s="12"/>
      <c r="BD400" s="72"/>
      <c r="BE400" s="12"/>
      <c r="BF400" s="72"/>
      <c r="BG400" s="12"/>
      <c r="BH400" s="72"/>
      <c r="BI400" s="12"/>
      <c r="BJ400" s="72"/>
      <c r="BK400" s="12"/>
      <c r="BL400" s="72"/>
      <c r="BM400" s="12"/>
      <c r="BN400" s="72"/>
      <c r="BO400" s="12"/>
      <c r="BP400" s="72"/>
      <c r="BQ400" s="12"/>
      <c r="BR400" s="72"/>
      <c r="BS400" s="12"/>
      <c r="BT400" s="72"/>
      <c r="BU400" s="12"/>
      <c r="BV400" s="72"/>
      <c r="BW400" s="12"/>
      <c r="BX400" s="72"/>
      <c r="BY400" s="12"/>
      <c r="BZ400" s="72"/>
      <c r="CA400" s="12"/>
      <c r="CB400" s="72"/>
      <c r="CC400" s="12"/>
      <c r="CD400" s="72"/>
      <c r="CE400" s="12"/>
      <c r="CF400" s="72"/>
      <c r="CG400" s="12"/>
      <c r="CH400" s="72"/>
      <c r="CI400" s="12"/>
      <c r="CJ400" s="72"/>
      <c r="CK400" s="12"/>
      <c r="CL400" s="72"/>
      <c r="CM400" s="12"/>
      <c r="CN400" s="72"/>
      <c r="CO400" s="12"/>
      <c r="CP400" s="72"/>
      <c r="CQ400" s="12"/>
      <c r="CR400" s="72"/>
      <c r="CS400" s="12"/>
      <c r="CT400" s="72"/>
      <c r="CU400" s="12"/>
      <c r="CV400" s="72"/>
      <c r="CW400" s="12"/>
      <c r="CX400" s="72"/>
      <c r="CY400" s="12"/>
      <c r="CZ400" s="72"/>
      <c r="DA400" s="12"/>
      <c r="DB400" s="72"/>
      <c r="DC400" s="150"/>
      <c r="DD400" s="72"/>
      <c r="DE400" s="366"/>
      <c r="DF400" s="72"/>
      <c r="DG400" s="366"/>
      <c r="DH400" s="72"/>
      <c r="DI400" s="366"/>
      <c r="DJ400" s="72"/>
      <c r="DK400" s="366"/>
      <c r="DL400" s="72"/>
      <c r="DM400" s="366"/>
      <c r="DN400" s="72"/>
      <c r="DO400" s="366"/>
      <c r="DP400" s="72"/>
      <c r="DQ400" s="366"/>
      <c r="DR400" s="72"/>
      <c r="DS400" s="366"/>
      <c r="DT400" s="72"/>
      <c r="DU400" s="366"/>
      <c r="DV400" s="72"/>
      <c r="DW400" s="13"/>
      <c r="DX400" s="72"/>
      <c r="DY400" s="13"/>
      <c r="DZ400" s="72"/>
      <c r="EA400" s="13"/>
      <c r="EB400" s="72"/>
      <c r="EC400" s="13"/>
      <c r="ED400" s="72"/>
      <c r="EE400" s="13"/>
      <c r="EF400" s="72"/>
      <c r="EG400" s="13"/>
      <c r="EH400" s="72"/>
      <c r="EI400" s="13"/>
      <c r="EJ400" s="72"/>
      <c r="EK400" s="13"/>
      <c r="EL400" s="72"/>
      <c r="EM400" s="13"/>
      <c r="EN400" s="72"/>
      <c r="EO400" s="13"/>
      <c r="EP400" s="72"/>
      <c r="EQ400" s="13"/>
      <c r="ER400" s="72"/>
      <c r="ES400" s="13"/>
      <c r="ET400" s="72"/>
      <c r="EU400" s="13"/>
      <c r="EV400" s="72"/>
      <c r="EW400" s="13"/>
      <c r="EX400" s="72"/>
      <c r="EY400" s="72"/>
      <c r="EZ400" s="321"/>
      <c r="FA400" s="72"/>
      <c r="FB400" s="12"/>
      <c r="FC400" s="72"/>
      <c r="FD400" s="12"/>
      <c r="FE400" s="72"/>
      <c r="FF400" s="12"/>
      <c r="FG400" s="72"/>
      <c r="FH400" s="12"/>
      <c r="FI400" s="72"/>
      <c r="FJ400" s="12"/>
      <c r="FK400" s="72"/>
      <c r="FL400" s="12"/>
      <c r="FM400" s="72"/>
      <c r="FN400" s="12"/>
      <c r="FO400" s="72"/>
      <c r="FP400" s="12"/>
      <c r="FQ400" s="72"/>
      <c r="FR400" s="13"/>
      <c r="FS400" s="72"/>
      <c r="FT400" s="13"/>
      <c r="FU400" s="72"/>
      <c r="FV400" s="13"/>
      <c r="FW400" s="72"/>
      <c r="FX400" s="13"/>
      <c r="FY400" s="72"/>
      <c r="FZ400" s="13"/>
      <c r="GA400" s="72"/>
      <c r="GB400" s="13"/>
      <c r="GC400" s="72"/>
      <c r="GD400" s="13"/>
      <c r="GE400" s="72"/>
      <c r="GF400" s="13"/>
      <c r="GG400" s="72"/>
      <c r="GH400" s="13"/>
      <c r="GI400" s="72"/>
      <c r="GJ400" s="13"/>
      <c r="GK400" s="72"/>
      <c r="GL400" s="13"/>
      <c r="GM400" s="72"/>
      <c r="GN400" s="13"/>
      <c r="GO400" s="72"/>
      <c r="GP400" s="13"/>
      <c r="GQ400" s="72"/>
      <c r="GR400" s="13"/>
      <c r="GS400" s="72"/>
      <c r="GT400" s="13"/>
      <c r="GU400" s="72"/>
      <c r="GV400" s="13"/>
      <c r="GW400" s="72"/>
      <c r="GX400" s="13"/>
      <c r="GY400" s="72"/>
      <c r="GZ400" s="72"/>
      <c r="HA400" s="72"/>
      <c r="HB400" s="72"/>
      <c r="HC400"/>
      <c r="HD400"/>
      <c r="HE400"/>
      <c r="HF400"/>
      <c r="HG400"/>
      <c r="HH400"/>
      <c r="HI400" s="2"/>
    </row>
    <row r="401" spans="1:217" s="69" customFormat="1" ht="12.75" customHeight="1" x14ac:dyDescent="0.2">
      <c r="B401" s="70" t="s">
        <v>489</v>
      </c>
      <c r="C401" s="71"/>
      <c r="D401" s="72"/>
      <c r="E401" s="71"/>
      <c r="F401" s="72"/>
      <c r="G401" s="71"/>
      <c r="H401" s="72"/>
      <c r="I401" s="71"/>
      <c r="J401" s="72"/>
      <c r="K401" s="71"/>
      <c r="L401" s="72"/>
      <c r="M401" s="71"/>
      <c r="N401" s="72"/>
      <c r="O401" s="71"/>
      <c r="P401" s="72"/>
      <c r="Q401" s="71"/>
      <c r="R401" s="72"/>
      <c r="S401" s="71"/>
      <c r="T401" s="72"/>
      <c r="U401" s="71"/>
      <c r="V401" s="72"/>
      <c r="W401" s="71"/>
      <c r="X401" s="72"/>
      <c r="Y401" s="71"/>
      <c r="Z401" s="72"/>
      <c r="AA401" s="71"/>
      <c r="AB401" s="72"/>
      <c r="AC401" s="71"/>
      <c r="AD401" s="72"/>
      <c r="AE401" s="71"/>
      <c r="AF401" s="72"/>
      <c r="AG401" s="71"/>
      <c r="AH401" s="72"/>
      <c r="AI401" s="71"/>
      <c r="AJ401" s="72"/>
      <c r="AK401" s="71"/>
      <c r="AL401" s="72"/>
      <c r="AM401" s="71"/>
      <c r="AN401" s="72"/>
      <c r="AO401" s="71"/>
      <c r="AP401" s="72"/>
      <c r="AQ401" s="71"/>
      <c r="AR401" s="72"/>
      <c r="AS401" s="71"/>
      <c r="AT401" s="72"/>
      <c r="AU401" s="71"/>
      <c r="AV401" s="72"/>
      <c r="AW401" s="71"/>
      <c r="AX401" s="72"/>
      <c r="AY401" s="71"/>
      <c r="AZ401" s="72"/>
      <c r="BA401" s="71"/>
      <c r="BB401" s="72"/>
      <c r="BC401" s="71"/>
      <c r="BD401" s="72"/>
      <c r="BE401" s="71"/>
      <c r="BF401" s="72"/>
      <c r="BG401" s="71"/>
      <c r="BH401" s="72"/>
      <c r="BI401" s="71"/>
      <c r="BJ401" s="72"/>
      <c r="BK401" s="71"/>
      <c r="BL401" s="72"/>
      <c r="BM401" s="71"/>
      <c r="BN401" s="72"/>
      <c r="BO401" s="71"/>
      <c r="BP401" s="72"/>
      <c r="BQ401" s="71"/>
      <c r="BR401" s="72"/>
      <c r="BS401" s="71"/>
      <c r="BT401" s="72"/>
      <c r="BU401" s="71"/>
      <c r="BV401" s="72"/>
      <c r="BW401" s="71"/>
      <c r="BX401" s="72"/>
      <c r="BY401" s="71"/>
      <c r="BZ401" s="72"/>
      <c r="CA401" s="71"/>
      <c r="CB401" s="72"/>
      <c r="CC401" s="71"/>
      <c r="CD401" s="72"/>
      <c r="CE401" s="71"/>
      <c r="CF401" s="72"/>
      <c r="CG401" s="71"/>
      <c r="CH401" s="72"/>
      <c r="CI401" s="71"/>
      <c r="CJ401" s="72"/>
      <c r="CK401" s="71"/>
      <c r="CL401" s="72"/>
      <c r="CM401" s="71"/>
      <c r="CN401" s="72"/>
      <c r="CO401" s="71"/>
      <c r="CP401" s="72"/>
      <c r="CQ401" s="71"/>
      <c r="CR401" s="72"/>
      <c r="CS401" s="71"/>
      <c r="CT401" s="72"/>
      <c r="CU401" s="71"/>
      <c r="CV401" s="72"/>
      <c r="CW401" s="71"/>
      <c r="CX401" s="72"/>
      <c r="CY401" s="71"/>
      <c r="CZ401" s="72"/>
      <c r="DA401" s="71"/>
      <c r="DB401" s="72"/>
      <c r="DC401" s="71"/>
      <c r="DD401" s="72"/>
      <c r="DE401" s="71"/>
      <c r="DF401" s="72"/>
      <c r="DG401" s="71"/>
      <c r="DH401" s="72"/>
      <c r="DI401" s="71"/>
      <c r="DJ401" s="72"/>
      <c r="DK401" s="71"/>
      <c r="DL401" s="72"/>
      <c r="DM401" s="71"/>
      <c r="DN401" s="72"/>
      <c r="DO401" s="71"/>
      <c r="DP401" s="72"/>
      <c r="DQ401" s="71"/>
      <c r="DR401" s="72"/>
      <c r="DS401" s="71"/>
      <c r="DT401" s="72"/>
      <c r="DU401" s="71"/>
      <c r="DV401" s="72"/>
      <c r="DW401" s="73"/>
      <c r="DX401" s="72"/>
      <c r="DY401" s="73"/>
      <c r="DZ401" s="72"/>
      <c r="EA401" s="73"/>
      <c r="EB401" s="72"/>
      <c r="EC401" s="73"/>
      <c r="ED401" s="72"/>
      <c r="EE401" s="73"/>
      <c r="EF401" s="72"/>
      <c r="EG401" s="73"/>
      <c r="EH401" s="72"/>
      <c r="EI401" s="73"/>
      <c r="EJ401" s="72"/>
      <c r="EK401" s="73"/>
      <c r="EL401" s="72"/>
      <c r="EM401" s="73"/>
      <c r="EN401" s="72"/>
      <c r="EO401" s="73"/>
      <c r="EP401" s="72"/>
      <c r="EQ401" s="73"/>
      <c r="ER401" s="72"/>
      <c r="ES401" s="73"/>
      <c r="ET401" s="72"/>
      <c r="EU401" s="73"/>
      <c r="EV401" s="72"/>
      <c r="EW401" s="73"/>
      <c r="EX401" s="72"/>
      <c r="EY401" s="72"/>
      <c r="EZ401" s="322"/>
      <c r="FA401" s="72"/>
      <c r="FB401" s="71"/>
      <c r="FC401" s="72"/>
      <c r="FD401" s="71"/>
      <c r="FE401" s="72"/>
      <c r="FF401" s="71"/>
      <c r="FG401" s="72"/>
      <c r="FH401" s="71"/>
      <c r="FI401" s="72"/>
      <c r="FJ401" s="71"/>
      <c r="FK401" s="72"/>
      <c r="FL401" s="71"/>
      <c r="FM401" s="72"/>
      <c r="FN401" s="71"/>
      <c r="FO401" s="72"/>
      <c r="FP401" s="71"/>
      <c r="FQ401" s="72"/>
      <c r="FR401" s="73"/>
      <c r="FS401" s="72"/>
      <c r="FT401" s="73"/>
      <c r="FU401" s="72"/>
      <c r="FV401" s="73"/>
      <c r="FW401" s="72"/>
      <c r="FX401" s="73"/>
      <c r="FY401" s="72"/>
      <c r="FZ401" s="73"/>
      <c r="GA401" s="72"/>
      <c r="GB401" s="73"/>
      <c r="GC401" s="72"/>
      <c r="GD401" s="73"/>
      <c r="GE401" s="72"/>
      <c r="GF401" s="73"/>
      <c r="GG401" s="72"/>
      <c r="GH401" s="73"/>
      <c r="GI401" s="72"/>
      <c r="GJ401" s="73"/>
      <c r="GK401" s="72"/>
      <c r="GL401" s="73"/>
      <c r="GM401" s="72"/>
      <c r="GN401" s="73"/>
      <c r="GO401" s="72"/>
      <c r="GP401" s="73"/>
      <c r="GQ401" s="72"/>
      <c r="GR401" s="73"/>
      <c r="GS401" s="72"/>
      <c r="GT401" s="73"/>
      <c r="GU401" s="72"/>
      <c r="GV401" s="73"/>
      <c r="GW401" s="72"/>
      <c r="GX401" s="73"/>
      <c r="GY401" s="72"/>
      <c r="GZ401" s="72"/>
      <c r="HA401" s="72"/>
      <c r="HB401" s="72"/>
      <c r="HC401"/>
      <c r="HD401"/>
      <c r="HE401"/>
      <c r="HF401"/>
      <c r="HG401"/>
      <c r="HH401"/>
      <c r="HI401" s="2"/>
    </row>
    <row r="402" spans="1:217" s="69" customFormat="1" ht="12.75" customHeight="1" x14ac:dyDescent="0.2">
      <c r="B402" s="77" t="s">
        <v>334</v>
      </c>
      <c r="C402" s="74"/>
      <c r="D402" s="72"/>
      <c r="E402" s="74"/>
      <c r="F402" s="72"/>
      <c r="G402" s="74"/>
      <c r="H402" s="72"/>
      <c r="I402" s="74"/>
      <c r="J402" s="72"/>
      <c r="K402" s="74">
        <v>0</v>
      </c>
      <c r="L402" s="72" t="str">
        <f t="shared" ref="L402:L408" si="2118">IF(ISERROR(K402/C402),"NA",IF(OR(K402/C402&gt;2,K402/C402&lt;0.5),"NM",K402/C402*100-100))</f>
        <v>NA</v>
      </c>
      <c r="M402" s="74">
        <v>378</v>
      </c>
      <c r="N402" s="72" t="str">
        <f t="shared" ref="N402:N408" si="2119">IF(ISERROR(M402/E402),"NA",IF(OR(M402/E402&gt;2,M402/E402&lt;0.5),"NM",M402/E402*100-100))</f>
        <v>NA</v>
      </c>
      <c r="O402" s="74">
        <v>562</v>
      </c>
      <c r="P402" s="72" t="str">
        <f t="shared" ref="P402:P408" si="2120">IF(ISERROR(O402/G402),"NA",IF(OR(O402/G402&gt;2,O402/G402&lt;0.5),"NM",O402/G402*100-100))</f>
        <v>NA</v>
      </c>
      <c r="Q402" s="74">
        <v>565</v>
      </c>
      <c r="R402" s="72" t="str">
        <f>IF(ISERROR(Q402/I402),"NA",IF(OR(Q402/I402&gt;2,Q402/I402&lt;0.5),"NM",Q402/I402*100-100))</f>
        <v>NA</v>
      </c>
      <c r="S402" s="74">
        <v>530</v>
      </c>
      <c r="T402" s="72" t="str">
        <f>IF(ISERROR(S402/K402),"NA",IF(OR(S402/K402&gt;2,S402/K402&lt;0.5),"NM",S402/K402*100-100))</f>
        <v>NA</v>
      </c>
      <c r="U402" s="74">
        <v>511</v>
      </c>
      <c r="V402" s="72">
        <f>IF(ISERROR(U402/M402),"NA",IF(OR(U402/M402&gt;2,U402/M402&lt;0.5),"NM",U402/M402*100-100))</f>
        <v>35.18518518518519</v>
      </c>
      <c r="W402" s="74">
        <v>510</v>
      </c>
      <c r="X402" s="72">
        <f>IF(ISERROR(W402/O402),"NA",IF(OR(W402/O402&gt;2,W402/O402&lt;0.5),"NM",W402/O402*100-100))</f>
        <v>-9.2526690391459141</v>
      </c>
      <c r="Y402" s="74">
        <v>503</v>
      </c>
      <c r="Z402" s="72">
        <f>IF(ISERROR(Y402/Q402),"NA",IF(OR(Y402/Q402&gt;2,Y402/Q402&lt;0.5),"NM",Y402/Q402*100-100))</f>
        <v>-10.973451327433622</v>
      </c>
      <c r="AA402" s="74">
        <v>515</v>
      </c>
      <c r="AB402" s="72">
        <f>IF(ISERROR(AA402/S402),"NA",IF(OR(AA402/S402&gt;2,AA402/S402&lt;0.5),"NM",AA402/S402*100-100))</f>
        <v>-2.8301886792452819</v>
      </c>
      <c r="AC402" s="74">
        <v>526</v>
      </c>
      <c r="AD402" s="72">
        <f>IF(ISERROR(AC402/U402),"NA",IF(OR(AC402/U402&gt;2,AC402/U402&lt;0.5),"NM",AC402/U402*100-100))</f>
        <v>2.9354207436399236</v>
      </c>
      <c r="AE402" s="74">
        <v>507</v>
      </c>
      <c r="AF402" s="72">
        <f>IF(ISERROR(AE402/W402),"NA",IF(OR(AE402/W402&gt;2,AE402/W402&lt;0.5),"NM",AE402/W402*100-100))</f>
        <v>-0.58823529411765207</v>
      </c>
      <c r="AG402" s="74">
        <v>547</v>
      </c>
      <c r="AH402" s="72">
        <f>IF(ISERROR(AG402/Y402),"NA",IF(OR(AG402/Y402&gt;2,AG402/Y402&lt;0.5),"NM",AG402/Y402*100-100))</f>
        <v>8.7475149105367791</v>
      </c>
      <c r="AI402" s="74">
        <v>571</v>
      </c>
      <c r="AJ402" s="72">
        <f>IF(ISERROR(AI402/AA402),"NA",IF(OR(AI402/AA402&gt;2,AI402/AA402&lt;0.5),"NM",AI402/AA402*100-100))</f>
        <v>10.873786407767</v>
      </c>
      <c r="AK402" s="74">
        <v>636</v>
      </c>
      <c r="AL402" s="72">
        <f>IF(ISERROR(AK402/AC402),"NA",IF(OR(AK402/AC402&gt;2,AK402/AC402&lt;0.5),"NM",AK402/AC402*100-100))</f>
        <v>20.912547528517095</v>
      </c>
      <c r="AM402" s="74">
        <v>542</v>
      </c>
      <c r="AN402" s="72">
        <f>IF(ISERROR(AM402/AE402),"NA",IF(OR(AM402/AE402&gt;2,AM402/AE402&lt;0.5),"NM",AM402/AE402*100-100))</f>
        <v>6.9033530571991975</v>
      </c>
      <c r="AO402" s="74">
        <v>540</v>
      </c>
      <c r="AP402" s="72">
        <f>IF(ISERROR(AO402/AG402),"NA",IF(OR(AO402/AG402&gt;2,AO402/AG402&lt;0.5),"NM",AO402/AG402*100-100))</f>
        <v>-1.2797074954296193</v>
      </c>
      <c r="AQ402" s="74">
        <v>568</v>
      </c>
      <c r="AR402" s="72">
        <f t="shared" ref="AR402:AR408" si="2121">IF(ISERROR(AQ402/AI402),"NA",IF(OR(AQ402/AI402&gt;2,AQ402/AI402&lt;0.5),"NM",AQ402/AI402*100-100))</f>
        <v>-0.52539404553415636</v>
      </c>
      <c r="AS402" s="74">
        <v>615</v>
      </c>
      <c r="AT402" s="72">
        <f t="shared" ref="AT402:AT408" si="2122">IF(ISERROR(AS402/AK402),"NA",IF(OR(AS402/AK402&gt;2,AS402/AK402&lt;0.5),"NM",AS402/AK402*100-100))</f>
        <v>-3.3018867924528337</v>
      </c>
      <c r="AU402" s="74">
        <v>652</v>
      </c>
      <c r="AV402" s="72">
        <f t="shared" ref="AV402:AV408" si="2123">IF(ISERROR(AU402/AM402),"NA",IF(OR(AU402/AM402&gt;2,AU402/AM402&lt;0.5),"NM",AU402/AM402*100-100))</f>
        <v>20.295202952029513</v>
      </c>
      <c r="AW402" s="74">
        <v>528</v>
      </c>
      <c r="AX402" s="72">
        <f t="shared" ref="AX402:AX408" si="2124">IF(ISERROR(AW402/AO402),"NA",IF(OR(AW402/AO402&gt;2,AW402/AO402&lt;0.5),"NM",AW402/AO402*100-100))</f>
        <v>-2.2222222222222285</v>
      </c>
      <c r="AY402" s="74">
        <v>544</v>
      </c>
      <c r="AZ402" s="72">
        <f t="shared" ref="AZ402:AZ408" si="2125">IF(ISERROR(AY402/AQ402),"NA",IF(OR(AY402/AQ402&gt;2,AY402/AQ402&lt;0.5),"NM",AY402/AQ402*100-100))</f>
        <v>-4.2253521126760631</v>
      </c>
      <c r="BA402" s="74">
        <v>540</v>
      </c>
      <c r="BB402" s="72">
        <f t="shared" ref="BB402:BB408" si="2126">IF(ISERROR(BA402/AS402),"NA",IF(OR(BA402/AS402&gt;2,BA402/AS402&lt;0.5),"NM",BA402/AS402*100-100))</f>
        <v>-12.195121951219505</v>
      </c>
      <c r="BC402" s="74">
        <v>475</v>
      </c>
      <c r="BD402" s="72">
        <f t="shared" ref="BD402:BD408" si="2127">IF(ISERROR(BC402/AU402),"NA",IF(OR(BC402/AU402&gt;2,BC402/AU402&lt;0.5),"NM",BC402/AU402*100-100))</f>
        <v>-27.147239263803684</v>
      </c>
      <c r="BE402" s="74">
        <v>470</v>
      </c>
      <c r="BF402" s="72">
        <f t="shared" ref="BF402:BF408" si="2128">IF(ISERROR(BE402/AW402),"NA",IF(OR(BE402/AW402&gt;2,BE402/AW402&lt;0.5),"NM",BE402/AW402*100-100))</f>
        <v>-10.984848484848484</v>
      </c>
      <c r="BG402" s="74">
        <v>467</v>
      </c>
      <c r="BH402" s="72">
        <f t="shared" ref="BH402:BH408" si="2129">IF(ISERROR(BG402/AY402),"NA",IF(OR(BG402/AY402&gt;2,BG402/AY402&lt;0.5),"NM",BG402/AY402*100-100))</f>
        <v>-14.154411764705884</v>
      </c>
      <c r="BI402" s="74">
        <v>507</v>
      </c>
      <c r="BJ402" s="72">
        <f>IF(ISERROR(BI402/BA402),"NA",IF(OR(BI402/BA402&gt;2,BI402/BA402&lt;0.5),"NM",BI402/BA402*100-100))</f>
        <v>-6.1111111111111143</v>
      </c>
      <c r="BK402" s="74">
        <v>458</v>
      </c>
      <c r="BL402" s="72">
        <f>IF(ISERROR(BK402/BC402),"NA",IF(OR(BK402/BC402&gt;2,BK402/BC402&lt;0.5),"NM",BK402/BC402*100-100))</f>
        <v>-3.5789473684210549</v>
      </c>
      <c r="BM402" s="74">
        <v>484</v>
      </c>
      <c r="BN402" s="72">
        <f t="shared" ref="BN402:BN408" si="2130">IF(ISERROR(BM402/BE402),"NA",IF(OR(BM402/BE402&gt;2,BM402/BE402&lt;0.5),"NM",BM402/BE402*100-100))</f>
        <v>2.9787234042553052</v>
      </c>
      <c r="BO402" s="74">
        <v>510</v>
      </c>
      <c r="BP402" s="72">
        <f>IF(ISERROR(BO402/BG402),"NA",IF(OR(BO402/BG402&gt;2,BO402/BG402&lt;0.5),"NM",BO402/BG402*100-100))</f>
        <v>9.2077087794432515</v>
      </c>
      <c r="BQ402" s="74">
        <v>575</v>
      </c>
      <c r="BR402" s="72">
        <f>IF(ISERROR(BQ402/BI402),"NA",IF(OR(BQ402/BI402&gt;2,BQ402/BI402&lt;0.5),"NM",BQ402/BI402*100-100))</f>
        <v>13.41222879684419</v>
      </c>
      <c r="BS402" s="74">
        <v>498</v>
      </c>
      <c r="BT402" s="72">
        <f>IF(ISERROR(BS402/BK402),"NA",IF(OR(BS402/BK402&gt;2,BS402/BK402&lt;0.5),"NM",BS402/BK402*100-100))</f>
        <v>8.7336244541484689</v>
      </c>
      <c r="BU402" s="74">
        <v>540</v>
      </c>
      <c r="BV402" s="72">
        <f>IF(ISERROR(BU402/BM402),"NA",IF(OR(BU402/BM402&gt;2,BU402/BM402&lt;0.5),"NM",BU402/BM402*100-100))</f>
        <v>11.570247933884303</v>
      </c>
      <c r="BW402" s="74">
        <v>614</v>
      </c>
      <c r="BX402" s="72">
        <f>IF(ISERROR(BW402/BO402),"NA",IF(OR(BW402/BO402&gt;2,BW402/BO402&lt;0.5),"NM",BW402/BO402*100-100))</f>
        <v>20.392156862745097</v>
      </c>
      <c r="BY402" s="74">
        <v>712</v>
      </c>
      <c r="BZ402" s="72">
        <f>IF(ISERROR(BY402/BQ402),"NA",IF(OR(BY402/BQ402&gt;2,BY402/BQ402&lt;0.5),"NM",BY402/BQ402*100-100))</f>
        <v>23.826086956521735</v>
      </c>
      <c r="CA402" s="74">
        <v>783</v>
      </c>
      <c r="CB402" s="72">
        <f>IF(ISERROR(CA402/BS402),"NA",IF(OR(CA402/BS402&gt;2,CA402/BS402&lt;0.5),"NM",CA402/BS402*100-100))</f>
        <v>57.228915662650593</v>
      </c>
      <c r="CC402" s="74">
        <v>751</v>
      </c>
      <c r="CD402" s="72">
        <f>IF(ISERROR(CC402/BU402),"NA",IF(OR(CC402/BU402&gt;2,CC402/BU402&lt;0.5),"NM",CC402/BU402*100-100))</f>
        <v>39.074074074074076</v>
      </c>
      <c r="CE402" s="74">
        <v>768</v>
      </c>
      <c r="CF402" s="72">
        <f>IF(ISERROR(CE402/BW402),"NA",IF(OR(CE402/BW402&gt;2,CE402/BW402&lt;0.5),"NM",CE402/BW402*100-100))</f>
        <v>25.081433224755685</v>
      </c>
      <c r="CG402" s="74">
        <v>916</v>
      </c>
      <c r="CH402" s="72">
        <f>IF(ISERROR(CG402/BY402),"NA",IF(OR(CG402/BY402&gt;2,CG402/BY402&lt;0.5),"NM",CG402/BY402*100-100))</f>
        <v>28.651685393258418</v>
      </c>
      <c r="CI402" s="74">
        <v>841</v>
      </c>
      <c r="CJ402" s="72">
        <f>IF(ISERROR(CI402/CA402),"NA",IF(OR(CI402/CA402&gt;2,CI402/CA402&lt;0.5),"NM",CI402/CA402*100-100))</f>
        <v>7.407407407407419</v>
      </c>
      <c r="CK402" s="74">
        <v>921</v>
      </c>
      <c r="CL402" s="72">
        <f>IF(ISERROR(CK402/CC402),"NA",IF(OR(CK402/CC402&gt;2,CK402/CC402&lt;0.5),"NM",CK402/CC402*100-100))</f>
        <v>22.636484687083879</v>
      </c>
      <c r="CM402" s="74">
        <v>1601</v>
      </c>
      <c r="CN402" s="72" t="str">
        <f>IF(ISERROR(CM402/CE402),"NA",IF(OR(CM402/CE402&gt;2,CM402/CE402&lt;0.5),"NM",CM402/CE402*100-100))</f>
        <v>NM</v>
      </c>
      <c r="CO402" s="74">
        <v>2391</v>
      </c>
      <c r="CP402" s="72" t="str">
        <f>IF(ISERROR(CO402/CG402),"NA",IF(OR(CO402/CG402&gt;2,CO402/CG402&lt;0.5),"NM",CO402/CG402*100-100))</f>
        <v>NM</v>
      </c>
      <c r="CQ402" s="74">
        <v>2226</v>
      </c>
      <c r="CR402" s="72" t="str">
        <f>IF(ISERROR(CQ402/CI402),"NA",IF(OR(CQ402/CI402&gt;2,CQ402/CI402&lt;0.5),"NM",CQ402/CI402*100-100))</f>
        <v>NM</v>
      </c>
      <c r="CS402" s="74">
        <v>2386</v>
      </c>
      <c r="CT402" s="72" t="str">
        <f>IF(ISERROR(CS402/CK402),"NA",IF(OR(CS402/CK402&gt;2,CS402/CK402&lt;0.5),"NM",CS402/CK402*100-100))</f>
        <v>NM</v>
      </c>
      <c r="CU402" s="74">
        <v>2779</v>
      </c>
      <c r="CV402" s="72">
        <f>IF(ISERROR(CU402/CM402),"NA",IF(OR(CU402/CM402&gt;2,CU402/CM402&lt;0.5),"NM",CU402/CM402*100-100))</f>
        <v>73.579013116802003</v>
      </c>
      <c r="CW402" s="74">
        <v>3474</v>
      </c>
      <c r="CX402" s="72">
        <f>IF(ISERROR(CW402/CO402),"NA",IF(OR(CW402/CO402&gt;2,CW402/CO402&lt;0.5),"NM",CW402/CO402*100-100))</f>
        <v>45.294855708908415</v>
      </c>
      <c r="CY402" s="74">
        <v>5087</v>
      </c>
      <c r="CZ402" s="72" t="str">
        <f>IF(ISERROR(CY402/CQ402),"NA",IF(OR(CY402/CQ402&gt;2,CY402/CQ402&lt;0.5),"NM",CY402/CQ402*100-100))</f>
        <v>NM</v>
      </c>
      <c r="DA402" s="74">
        <v>6173</v>
      </c>
      <c r="DB402" s="72" t="str">
        <f>IF(ISERROR(DA402/CS402),"NA",IF(OR(DA402/CS402&gt;2,DA402/CS402&lt;0.5),"NM",DA402/CS402*100-100))</f>
        <v>NM</v>
      </c>
      <c r="DC402" s="74">
        <v>3024</v>
      </c>
      <c r="DD402" s="72">
        <f t="shared" ref="DD402:DD408" si="2131">IF(ISERROR(DC402/CU402),"NA",IF(OR(DC402/CU402&gt;2,DC402/CU402&lt;0.5),"NM",DC402/CU402*100-100))</f>
        <v>8.816120906801018</v>
      </c>
      <c r="DE402" s="74">
        <v>2947</v>
      </c>
      <c r="DF402" s="72">
        <f t="shared" ref="DF402:DF408" si="2132">IF(ISERROR(DE402/CW402),"NA",IF(OR(DE402/CW402&gt;2,DE402/CW402&lt;0.5),"NM",DE402/CW402*100-100))</f>
        <v>-15.169833045480715</v>
      </c>
      <c r="DG402" s="74">
        <v>2283</v>
      </c>
      <c r="DH402" s="72" t="str">
        <f t="shared" ref="DH402:DH408" si="2133">IF(ISERROR(DG402/CY402),"NA",IF(OR(DG402/CY402&gt;2,DG402/CY402&lt;0.5),"NM",DG402/CY402*100-100))</f>
        <v>NM</v>
      </c>
      <c r="DI402" s="74">
        <v>2013</v>
      </c>
      <c r="DJ402" s="72" t="str">
        <f>IF(ISERROR(DI402/DA402),"NA",IF(OR(DI402/DA402&gt;2,DI402/DA402&lt;0.5),"NM",DI402/DA402*100-100))</f>
        <v>NM</v>
      </c>
      <c r="DK402" s="74">
        <v>1812</v>
      </c>
      <c r="DL402" s="72">
        <f>IF(ISERROR(DK402/DC402),"NA",IF(OR(DK402/DC402&gt;2,DK402/DC402&lt;0.5),"NM",DK402/DC402*100-100))</f>
        <v>-40.079365079365083</v>
      </c>
      <c r="DM402" s="74">
        <v>2136</v>
      </c>
      <c r="DN402" s="72">
        <f t="shared" ref="DN402:DZ408" si="2134">IF(ISERROR(DM402/DE402),"NA",IF(OR(DM402/DE402&gt;2,DM402/DE402&lt;0.5),"NM",DM402/DE402*100-100))</f>
        <v>-27.51951136749237</v>
      </c>
      <c r="DO402" s="74">
        <v>1875</v>
      </c>
      <c r="DP402" s="72">
        <f t="shared" si="2134"/>
        <v>-17.871222076215503</v>
      </c>
      <c r="DQ402" s="74">
        <v>1718</v>
      </c>
      <c r="DR402" s="72">
        <f t="shared" si="2134"/>
        <v>-14.654744162940887</v>
      </c>
      <c r="DS402" s="74">
        <v>1689</v>
      </c>
      <c r="DT402" s="72">
        <f t="shared" si="2134"/>
        <v>-6.7880794701986673</v>
      </c>
      <c r="DU402" s="74">
        <v>2006</v>
      </c>
      <c r="DV402" s="72">
        <f t="shared" si="2134"/>
        <v>-6.0861423220973734</v>
      </c>
      <c r="DW402" s="74">
        <v>1742</v>
      </c>
      <c r="DX402" s="72">
        <f t="shared" si="2134"/>
        <v>-7.0933333333333337</v>
      </c>
      <c r="DY402" s="74">
        <v>1679</v>
      </c>
      <c r="DZ402" s="72">
        <f t="shared" si="2134"/>
        <v>-2.2700814901047721</v>
      </c>
      <c r="EA402" s="74">
        <v>1756</v>
      </c>
      <c r="EB402" s="72">
        <f t="shared" ref="EB402:EB408" si="2135">IF(ISERROR(EA402/DS402),"NA",IF(OR(EA402/DS402&gt;2,EA402/DS402&lt;0.5),"NM",EA402/DS402*100-100))</f>
        <v>3.9668442865600895</v>
      </c>
      <c r="EC402" s="74">
        <v>2081</v>
      </c>
      <c r="ED402" s="72">
        <f t="shared" ref="ED402:ED408" si="2136">IF(ISERROR(EC402/DU402),"NA",IF(OR(EC402/DU402&gt;2,EC402/DU402&lt;0.5),"NM",EC402/DU402*100-100))</f>
        <v>3.7387836490528485</v>
      </c>
      <c r="EE402" s="74">
        <v>2057</v>
      </c>
      <c r="EF402" s="72">
        <f t="shared" ref="EF402:EF408" si="2137">IF(ISERROR(EE402/DW402),"NA",IF(OR(EE402/DW402&gt;2,EE402/DW402&lt;0.5),"NM",EE402/DW402*100-100))</f>
        <v>18.082663605051664</v>
      </c>
      <c r="EG402" s="74">
        <v>1983</v>
      </c>
      <c r="EH402" s="72">
        <f t="shared" ref="EH402:EH408" si="2138">IF(ISERROR(EG402/DY402),"NA",IF(OR(EG402/DY402&gt;2,EG402/DY402&lt;0.5),"NM",EG402/DY402*100-100))</f>
        <v>18.10601548540798</v>
      </c>
      <c r="EI402" s="74">
        <v>1846</v>
      </c>
      <c r="EJ402" s="72">
        <f t="shared" ref="EJ402:EJ408" si="2139">IF(ISERROR(EI402/EA402),"NA",IF(OR(EI402/EA402&gt;2,EI402/EA402&lt;0.5),"NM",EI402/EA402*100-100))</f>
        <v>5.1252847380409889</v>
      </c>
      <c r="EK402" s="74">
        <v>2099</v>
      </c>
      <c r="EL402" s="72">
        <f t="shared" ref="EL402:EL408" si="2140">IF(ISERROR(EK402/EC402),"NA",IF(OR(EK402/EC402&gt;2,EK402/EC402&lt;0.5),"NM",EK402/EC402*100-100))</f>
        <v>0.86496876501682607</v>
      </c>
      <c r="EM402" s="74">
        <v>1953</v>
      </c>
      <c r="EN402" s="72">
        <f t="shared" ref="EN402:EN408" si="2141">IF(ISERROR(EM402/EE402),"NA",IF(OR(EM402/EE402&gt;2,EM402/EE402&lt;0.5),"NM",EM402/EE402*100-100))</f>
        <v>-5.0559066601847462</v>
      </c>
      <c r="EO402" s="74">
        <v>1856</v>
      </c>
      <c r="EP402" s="72">
        <f t="shared" ref="EP402:EP408" si="2142">IF(ISERROR(EO402/EG402),"NA",IF(OR(EO402/EG402&gt;2,EO402/EG402&lt;0.5),"NM",EO402/EG402*100-100))</f>
        <v>-6.4044377206253102</v>
      </c>
      <c r="EQ402" s="74">
        <f>EI402*(1+EQ$399/100)</f>
        <v>1872.7753153153153</v>
      </c>
      <c r="ER402" s="72">
        <f t="shared" ref="ER402:ER408" si="2143">IF(ISERROR(EQ402/EI402),"NA",IF(OR(EQ402/EI402&gt;2,EQ402/EI402&lt;0.5),"NM",EQ402/EI402*100-100))</f>
        <v>1.4504504504504467</v>
      </c>
      <c r="ES402" s="74">
        <f>EK402*(1+ES$399/100)</f>
        <v>2129.4449549549549</v>
      </c>
      <c r="ET402" s="72">
        <f t="shared" ref="ET402:ET408" si="2144">IF(ISERROR(ES402/EK402),"NA",IF(OR(ES402/EK402&gt;2,ES402/EK402&lt;0.5),"NM",ES402/EK402*100-100))</f>
        <v>1.4504504504504467</v>
      </c>
      <c r="EU402" s="74">
        <f>EM402*(1+EU$399/100)</f>
        <v>1981.3272972972973</v>
      </c>
      <c r="EV402" s="72">
        <f t="shared" ref="EV402:EV408" si="2145">IF(ISERROR(EU402/EM402),"NA",IF(OR(EU402/EM402&gt;2,EU402/EM402&lt;0.5),"NM",EU402/EM402*100-100))</f>
        <v>1.4504504504504467</v>
      </c>
      <c r="EW402" s="74">
        <f>EO402*(1+EW$399/100)</f>
        <v>1882.9203603603603</v>
      </c>
      <c r="EX402" s="72">
        <f t="shared" ref="EX402:EX408" si="2146">IF(ISERROR(EW402/EO402),"NA",IF(OR(EW402/EO402&gt;2,EW402/EO402&lt;0.5),"NM",EW402/EO402*100-100))</f>
        <v>1.4504504504504467</v>
      </c>
      <c r="EY402" s="72"/>
      <c r="EZ402" s="323"/>
      <c r="FA402" s="72"/>
      <c r="FB402" s="74"/>
      <c r="FC402" s="72"/>
      <c r="FD402" s="74"/>
      <c r="FE402" s="72" t="str">
        <f t="shared" ref="FE402:FE408" si="2147">IF(ISERROR(FD402/FB402),"NA",IF(OR(FD402/FB402&gt;2,FD402/FB402&lt;0.5),"NM",FD402/FB402*100-100))</f>
        <v>NA</v>
      </c>
      <c r="FF402" s="74"/>
      <c r="FG402" s="72" t="str">
        <f t="shared" ref="FG402:FG408" si="2148">IF(ISERROR(FF402/FD402),"NA",IF(OR(FF402/FD402&gt;2,FF402/FD402&lt;0.5),"NM",FF402/FD402*100-100))</f>
        <v>NA</v>
      </c>
      <c r="FH402" s="75">
        <f>K402+M402+O402+Q402</f>
        <v>1505</v>
      </c>
      <c r="FI402" s="72" t="str">
        <f t="shared" ref="FI402:FI408" si="2149">IF(ISERROR(FH402/FF402),"NA",IF(OR(FH402/FF402&gt;2,FH402/FF402&lt;0.5),"NM",FH402/FF402*100-100))</f>
        <v>NA</v>
      </c>
      <c r="FJ402" s="75">
        <f>S402+U402+W402+Y402</f>
        <v>2054</v>
      </c>
      <c r="FK402" s="72">
        <f t="shared" ref="FK402:FK408" si="2150">IF(ISERROR(FJ402/FH402),"NA",IF(OR(FJ402/FH402&gt;2,FJ402/FH402&lt;0.5),"NM",FJ402/FH402*100-100))</f>
        <v>36.478405315614623</v>
      </c>
      <c r="FL402" s="75">
        <f>+AA402+AC402+AE402+AG402</f>
        <v>2095</v>
      </c>
      <c r="FM402" s="72">
        <f t="shared" ref="FM402:FM408" si="2151">IF(ISERROR(FL402/FJ402),"NA",IF(OR(FL402/FJ402&gt;2,FL402/FJ402&lt;0.5),"NM",FL402/FJ402*100-100))</f>
        <v>1.9961051606621254</v>
      </c>
      <c r="FN402" s="75">
        <f>+AI402+AK402+AM402+AO402</f>
        <v>2289</v>
      </c>
      <c r="FO402" s="72">
        <f t="shared" ref="FO402:FO408" si="2152">IF(ISERROR(FN402/FL402),"NA",IF(OR(FN402/FL402&gt;2,FN402/FL402&lt;0.5),"NM",FN402/FL402*100-100))</f>
        <v>9.2601431980907023</v>
      </c>
      <c r="FP402" s="75">
        <f>AQ402+AS402+AU402+AW402</f>
        <v>2363</v>
      </c>
      <c r="FQ402" s="72">
        <f t="shared" ref="FQ402:FQ408" si="2153">IF(ISERROR(FP402/FN402),"NA",IF(OR(FP402/FN402&gt;2,FP402/FN402&lt;0.5),"NM",FP402/FN402*100-100))</f>
        <v>3.2328527741371857</v>
      </c>
      <c r="FR402" s="75">
        <f>AY402+BA402+BC402+BE402</f>
        <v>2029</v>
      </c>
      <c r="FS402" s="72">
        <f t="shared" ref="FS402:FS408" si="2154">IF(ISERROR(FR402/FP402),"NA",IF(OR(FR402/FP402&gt;2,FR402/FP402&lt;0.5),"NM",FR402/FP402*100-100))</f>
        <v>-14.134574693186636</v>
      </c>
      <c r="FT402" s="75">
        <f>BG402+BI402+BK402+BM402</f>
        <v>1916</v>
      </c>
      <c r="FU402" s="72">
        <f t="shared" ref="FU402:FU408" si="2155">IF(ISERROR(FT402/FR402),"NA",IF(OR(FT402/FR402&gt;2,FT402/FR402&lt;0.5),"NM",FT402/FR402*100-100))</f>
        <v>-5.5692459339576175</v>
      </c>
      <c r="FV402" s="74">
        <v>2122</v>
      </c>
      <c r="FW402" s="72">
        <f>IF(ISERROR(FV402/FT402),"NA",IF(OR(FV402/FT402&gt;2,FV402/FT402&lt;0.5),"NM",FV402/FT402*100-100))</f>
        <v>10.751565762004176</v>
      </c>
      <c r="FX402" s="75">
        <f>+CC402+CA402+BY402+BW402</f>
        <v>2860</v>
      </c>
      <c r="FY402" s="72">
        <f>IF(ISERROR(FX402/FV402),"NA",IF(OR(FX402/FV402&gt;2,FX402/FV402&lt;0.5),"NM",FX402/FV402*100-100))</f>
        <v>34.778510838831295</v>
      </c>
      <c r="FZ402" s="75">
        <f t="shared" ref="FZ402:FZ407" si="2156">CE402+CG402+CI402+CK402</f>
        <v>3446</v>
      </c>
      <c r="GA402" s="72">
        <f>IF(ISERROR(FZ402/FX402),"NA",IF(OR(FZ402/FX402&gt;2,FZ402/FX402&lt;0.5),"NM",FZ402/FX402*100-100))</f>
        <v>20.489510489510494</v>
      </c>
      <c r="GB402" s="75">
        <f t="shared" ref="GB402:GB407" si="2157">CM402+CO402+CQ402+CS402</f>
        <v>8604</v>
      </c>
      <c r="GC402" s="72" t="str">
        <f>IF(ISERROR(GB402/FZ402),"NA",IF(OR(GB402/FZ402&gt;2,GB402/FZ402&lt;0.5),"NM",GB402/FZ402*100-100))</f>
        <v>NM</v>
      </c>
      <c r="GD402" s="75">
        <f>CU402+CW402+CY402+DA402</f>
        <v>17513</v>
      </c>
      <c r="GE402" s="72" t="str">
        <f>IF(ISERROR(GD402/GB402),"NA",IF(OR(GD402/GB402&gt;2,GD402/GB402&lt;0.5),"NM",GD402/GB402*100-100))</f>
        <v>NM</v>
      </c>
      <c r="GF402" s="75">
        <f>DC402+DE402+DG402+DI402</f>
        <v>10267</v>
      </c>
      <c r="GG402" s="72">
        <f>IF(ISERROR(GF402/GD402),"NA",IF(OR(GF402/GD402&gt;2,GF402/GD402&lt;0.5),"NM",GF402/GD402*100-100))</f>
        <v>-41.374978587335121</v>
      </c>
      <c r="GH402" s="75">
        <f>DK402+DM402+DO402+DQ402</f>
        <v>7541</v>
      </c>
      <c r="GI402" s="72">
        <f t="shared" ref="GI402:GU408" si="2158">IF(ISERROR(GH402/GF402),"NA",IF(OR(GH402/GF402&gt;2,GH402/GF402&lt;0.5),"NM",GH402/GF402*100-100))</f>
        <v>-26.551086003701172</v>
      </c>
      <c r="GJ402" s="75">
        <f>DS402+DU402+DW402+DY402</f>
        <v>7116</v>
      </c>
      <c r="GK402" s="72">
        <f t="shared" si="2158"/>
        <v>-5.635857313353668</v>
      </c>
      <c r="GL402" s="75">
        <f>EA402+EC402+EE402+EG402</f>
        <v>7877</v>
      </c>
      <c r="GM402" s="72">
        <f t="shared" si="2158"/>
        <v>10.694210230466553</v>
      </c>
      <c r="GN402" s="75">
        <f>EI402+EK402+EM402+EO402</f>
        <v>7754</v>
      </c>
      <c r="GO402" s="72">
        <f t="shared" si="2158"/>
        <v>-1.5615081883966013</v>
      </c>
      <c r="GP402" s="75">
        <f>EQ402+ES402+EU402+EW402</f>
        <v>7866.467927927928</v>
      </c>
      <c r="GQ402" s="72">
        <f t="shared" si="2158"/>
        <v>1.4504504504504467</v>
      </c>
      <c r="GR402" s="74">
        <f>GP402*(1+GR$399/100)</f>
        <v>7945.132607207207</v>
      </c>
      <c r="GS402" s="72">
        <f t="shared" si="2158"/>
        <v>1</v>
      </c>
      <c r="GT402" s="74">
        <f>GR402*(1+GT$399/100)</f>
        <v>8024.5839332792793</v>
      </c>
      <c r="GU402" s="72">
        <f t="shared" si="2158"/>
        <v>1</v>
      </c>
      <c r="GV402" s="74">
        <f>GT402*(1+GV$399/100)</f>
        <v>8104.8297726120718</v>
      </c>
      <c r="GW402" s="72">
        <f t="shared" ref="GW402:GW408" si="2159">IF(ISERROR(GV402/GT402),"NA",IF(OR(GV402/GT402&gt;2,GV402/GT402&lt;0.5),"NM",GV402/GT402*100-100))</f>
        <v>1</v>
      </c>
      <c r="GX402" s="74">
        <f>GV402*(1+GX$399/100)</f>
        <v>8185.8780703381926</v>
      </c>
      <c r="GY402" s="72">
        <f t="shared" ref="GY402:GY408" si="2160">IF(ISERROR(GX402/GV402),"NA",IF(OR(GX402/GV402&gt;2,GX402/GV402&lt;0.5),"NM",GX402/GV402*100-100))</f>
        <v>1</v>
      </c>
      <c r="GZ402" s="72">
        <f t="shared" ref="GZ402:GZ408" si="2161">IF(ISERROR(((GX402/GN402)^0.2-1)*100),"NA",IF((((GX402/GN402)^0.2-1)*100)&gt;100,"NM",IF((((GX402/GN402)^0.2-1)*100)&lt;-50,"NM",((GX402/GN402)^0.2-1)*100)))</f>
        <v>1.0899298015088821</v>
      </c>
      <c r="HA402" s="72"/>
      <c r="HB402" s="72"/>
      <c r="HC402"/>
      <c r="HD402"/>
      <c r="HE402"/>
      <c r="HF402"/>
      <c r="HG402"/>
      <c r="HH402"/>
      <c r="HI402" s="2"/>
    </row>
    <row r="403" spans="1:217" s="135" customFormat="1" ht="12.75" hidden="1" customHeight="1" outlineLevel="1" x14ac:dyDescent="0.2">
      <c r="B403" s="233" t="s">
        <v>361</v>
      </c>
      <c r="C403" s="209"/>
      <c r="D403" s="137"/>
      <c r="E403" s="209"/>
      <c r="F403" s="137"/>
      <c r="G403" s="209"/>
      <c r="H403" s="137"/>
      <c r="I403" s="209"/>
      <c r="J403" s="137"/>
      <c r="K403" s="209"/>
      <c r="L403" s="137"/>
      <c r="M403" s="209"/>
      <c r="N403" s="137"/>
      <c r="O403" s="209"/>
      <c r="P403" s="137"/>
      <c r="Q403" s="209"/>
      <c r="R403" s="137"/>
      <c r="S403" s="209"/>
      <c r="T403" s="137"/>
      <c r="U403" s="209"/>
      <c r="V403" s="137"/>
      <c r="W403" s="209"/>
      <c r="X403" s="137"/>
      <c r="Y403" s="209"/>
      <c r="Z403" s="137"/>
      <c r="AA403" s="209"/>
      <c r="AB403" s="137"/>
      <c r="AC403" s="209"/>
      <c r="AD403" s="137"/>
      <c r="AE403" s="209"/>
      <c r="AF403" s="137"/>
      <c r="AG403" s="209"/>
      <c r="AH403" s="137"/>
      <c r="AI403" s="209"/>
      <c r="AJ403" s="137"/>
      <c r="AK403" s="209"/>
      <c r="AL403" s="137"/>
      <c r="AM403" s="209"/>
      <c r="AN403" s="137"/>
      <c r="AO403" s="209"/>
      <c r="AP403" s="137"/>
      <c r="AQ403" s="209"/>
      <c r="AR403" s="137"/>
      <c r="AS403" s="209"/>
      <c r="AT403" s="137"/>
      <c r="AU403" s="209"/>
      <c r="AV403" s="137"/>
      <c r="AW403" s="209"/>
      <c r="AX403" s="137"/>
      <c r="AY403" s="209"/>
      <c r="AZ403" s="137"/>
      <c r="BA403" s="209"/>
      <c r="BB403" s="137"/>
      <c r="BC403" s="209"/>
      <c r="BD403" s="137"/>
      <c r="BE403" s="209"/>
      <c r="BF403" s="137"/>
      <c r="BG403" s="209"/>
      <c r="BH403" s="137"/>
      <c r="BI403" s="209"/>
      <c r="BJ403" s="137"/>
      <c r="BK403" s="209"/>
      <c r="BL403" s="137"/>
      <c r="BM403" s="209"/>
      <c r="BN403" s="137"/>
      <c r="BO403" s="209"/>
      <c r="BP403" s="137"/>
      <c r="BQ403" s="209"/>
      <c r="BR403" s="137"/>
      <c r="BS403" s="209"/>
      <c r="BT403" s="137"/>
      <c r="BU403" s="209"/>
      <c r="BV403" s="137"/>
      <c r="BW403" s="209"/>
      <c r="BX403" s="137"/>
      <c r="BY403" s="209"/>
      <c r="BZ403" s="137"/>
      <c r="CA403" s="209"/>
      <c r="CB403" s="137"/>
      <c r="CC403" s="209"/>
      <c r="CD403" s="137"/>
      <c r="CE403" s="209"/>
      <c r="CF403" s="137"/>
      <c r="CG403" s="209"/>
      <c r="CH403" s="137"/>
      <c r="CI403" s="209"/>
      <c r="CJ403" s="137"/>
      <c r="CK403" s="209"/>
      <c r="CL403" s="137"/>
      <c r="CM403" s="209"/>
      <c r="CN403" s="137"/>
      <c r="CO403" s="209"/>
      <c r="CP403" s="137"/>
      <c r="CQ403" s="209"/>
      <c r="CR403" s="137"/>
      <c r="CS403" s="209"/>
      <c r="CT403" s="137"/>
      <c r="CU403" s="209"/>
      <c r="CV403" s="137"/>
      <c r="CW403" s="209"/>
      <c r="CX403" s="137"/>
      <c r="CY403" s="209"/>
      <c r="CZ403" s="137"/>
      <c r="DA403" s="209"/>
      <c r="DB403" s="137"/>
      <c r="DC403" s="209"/>
      <c r="DD403" s="72" t="str">
        <f t="shared" si="2131"/>
        <v>NA</v>
      </c>
      <c r="DE403" s="209"/>
      <c r="DF403" s="72" t="str">
        <f t="shared" si="2132"/>
        <v>NA</v>
      </c>
      <c r="DG403" s="209"/>
      <c r="DH403" s="72" t="str">
        <f t="shared" si="2133"/>
        <v>NA</v>
      </c>
      <c r="DI403" s="209"/>
      <c r="DJ403" s="137"/>
      <c r="DK403" s="209"/>
      <c r="DL403" s="137"/>
      <c r="DM403" s="209"/>
      <c r="DN403" s="72" t="str">
        <f t="shared" si="2134"/>
        <v>NA</v>
      </c>
      <c r="DO403" s="209"/>
      <c r="DP403" s="72" t="str">
        <f t="shared" si="2134"/>
        <v>NA</v>
      </c>
      <c r="DQ403" s="209"/>
      <c r="DR403" s="72" t="str">
        <f t="shared" si="2134"/>
        <v>NA</v>
      </c>
      <c r="DS403" s="209"/>
      <c r="DT403" s="72" t="str">
        <f t="shared" si="2134"/>
        <v>NA</v>
      </c>
      <c r="DU403" s="209"/>
      <c r="DV403" s="72" t="str">
        <f t="shared" si="2134"/>
        <v>NA</v>
      </c>
      <c r="DW403" s="209"/>
      <c r="DX403" s="72" t="str">
        <f t="shared" si="2134"/>
        <v>NA</v>
      </c>
      <c r="DY403" s="209"/>
      <c r="DZ403" s="72" t="str">
        <f t="shared" si="2134"/>
        <v>NA</v>
      </c>
      <c r="EA403" s="209"/>
      <c r="EB403" s="72" t="str">
        <f t="shared" si="2135"/>
        <v>NA</v>
      </c>
      <c r="EC403" s="209"/>
      <c r="ED403" s="72" t="str">
        <f t="shared" si="2136"/>
        <v>NA</v>
      </c>
      <c r="EE403" s="209"/>
      <c r="EF403" s="72" t="str">
        <f t="shared" si="2137"/>
        <v>NA</v>
      </c>
      <c r="EG403" s="209">
        <f>IF($B$6=1,EG402,IF($B$6=2,EG402*(1+EG916/100),IF($B$6=3,EG402*(1+EG917/100))))</f>
        <v>1983</v>
      </c>
      <c r="EH403" s="72" t="str">
        <f t="shared" si="2138"/>
        <v>NA</v>
      </c>
      <c r="EI403" s="209">
        <f>IF($B$6=1,EI402,IF($B$6=2,EI402*(1+EI916/100),IF($B$6=3,EI402*(1+EI917/100))))</f>
        <v>1846</v>
      </c>
      <c r="EJ403" s="72" t="str">
        <f t="shared" si="2139"/>
        <v>NA</v>
      </c>
      <c r="EK403" s="209">
        <f>IF($B$6=1,EK402,IF($B$6=2,EK402*(1+EK916/100),IF($B$6=3,EK402*(1+EK917/100))))</f>
        <v>2099</v>
      </c>
      <c r="EL403" s="72" t="str">
        <f t="shared" si="2140"/>
        <v>NA</v>
      </c>
      <c r="EM403" s="209">
        <f>IF($B$6=1,EM402,IF($B$6=2,EM402*(1+EM916/100),IF($B$6=3,EM402*(1+EM917/100))))</f>
        <v>1953</v>
      </c>
      <c r="EN403" s="72" t="str">
        <f t="shared" si="2141"/>
        <v>NA</v>
      </c>
      <c r="EO403" s="209"/>
      <c r="EP403" s="72" t="str">
        <f t="shared" si="2142"/>
        <v>NM</v>
      </c>
      <c r="EQ403" s="209">
        <f>IF($B$6=1,EQ402,IF($B$6=2,EQ402*(1+EQ916/100),IF($B$6=3,EQ402*(1+EQ917/100))))</f>
        <v>1872.7753153153153</v>
      </c>
      <c r="ER403" s="72">
        <f t="shared" si="2143"/>
        <v>1.4504504504504467</v>
      </c>
      <c r="ES403" s="209">
        <f>IF($B$6=1,ES402,IF($B$6=2,ES402*(1+ES916/100),IF($B$6=3,ES402*(1+ES917/100))))</f>
        <v>2129.4449549549549</v>
      </c>
      <c r="ET403" s="72">
        <f t="shared" si="2144"/>
        <v>1.4504504504504467</v>
      </c>
      <c r="EU403" s="209">
        <f>IF($B$6=1,EU402,IF($B$6=2,EU402*(1+EU916/100),IF($B$6=3,EU402*(1+EU917/100))))</f>
        <v>1981.3272972972973</v>
      </c>
      <c r="EV403" s="72">
        <f t="shared" si="2145"/>
        <v>1.4504504504504467</v>
      </c>
      <c r="EW403" s="209">
        <f>IF($B$6=1,EW402,IF($B$6=2,EW402*(1+EW916/100),IF($B$6=3,EW402*(1+EW917/100))))</f>
        <v>1882.9203603603603</v>
      </c>
      <c r="EX403" s="72" t="str">
        <f t="shared" si="2146"/>
        <v>NA</v>
      </c>
      <c r="EY403" s="137"/>
      <c r="EZ403" s="324"/>
      <c r="FA403" s="137"/>
      <c r="FB403" s="209"/>
      <c r="FC403" s="137"/>
      <c r="FD403" s="209"/>
      <c r="FE403" s="137"/>
      <c r="FF403" s="209"/>
      <c r="FG403" s="137"/>
      <c r="FH403" s="209"/>
      <c r="FI403" s="137"/>
      <c r="FJ403" s="209"/>
      <c r="FK403" s="137"/>
      <c r="FL403" s="209"/>
      <c r="FM403" s="137"/>
      <c r="FN403" s="209"/>
      <c r="FO403" s="137"/>
      <c r="FP403" s="209"/>
      <c r="FQ403" s="137"/>
      <c r="FR403" s="209"/>
      <c r="FS403" s="137"/>
      <c r="FT403" s="209"/>
      <c r="FU403" s="137"/>
      <c r="FV403" s="209"/>
      <c r="FW403" s="137"/>
      <c r="FX403" s="209"/>
      <c r="FY403" s="137"/>
      <c r="FZ403" s="209"/>
      <c r="GA403" s="137"/>
      <c r="GB403" s="209"/>
      <c r="GC403" s="137"/>
      <c r="GD403" s="209"/>
      <c r="GE403" s="137"/>
      <c r="GF403" s="209"/>
      <c r="GG403" s="137"/>
      <c r="GH403" s="209"/>
      <c r="GI403" s="72" t="str">
        <f t="shared" si="2158"/>
        <v>NA</v>
      </c>
      <c r="GJ403" s="209"/>
      <c r="GK403" s="72" t="str">
        <f t="shared" si="2158"/>
        <v>NA</v>
      </c>
      <c r="GL403" s="209"/>
      <c r="GM403" s="72" t="str">
        <f t="shared" si="2158"/>
        <v>NA</v>
      </c>
      <c r="GN403" s="209"/>
      <c r="GO403" s="72" t="str">
        <f t="shared" si="2158"/>
        <v>NA</v>
      </c>
      <c r="GP403" s="209"/>
      <c r="GQ403" s="72" t="str">
        <f t="shared" si="2158"/>
        <v>NA</v>
      </c>
      <c r="GR403" s="209">
        <f>IF($B$6=1,GR402,IF($B$6=2,GR402*(1+GR916/100),IF($B$6=3,GR402*(1+GR917/100))))</f>
        <v>7945.132607207207</v>
      </c>
      <c r="GS403" s="72" t="str">
        <f t="shared" si="2158"/>
        <v>NA</v>
      </c>
      <c r="GT403" s="209">
        <f>IF($B$6=1,GT402,IF($B$6=2,GT402*(1+GT916/100),IF($B$6=3,GT402*(1+GT917/100))))</f>
        <v>8024.5839332792793</v>
      </c>
      <c r="GU403" s="72">
        <f t="shared" si="2158"/>
        <v>1</v>
      </c>
      <c r="GV403" s="209">
        <f>IF($B$6=1,GV402,IF($B$6=2,GV402*(1+GV916/100),IF($B$6=3,GV402*(1+GV917/100))))</f>
        <v>8104.8297726120718</v>
      </c>
      <c r="GW403" s="72">
        <f t="shared" si="2159"/>
        <v>1</v>
      </c>
      <c r="GX403" s="209">
        <f>IF($B$6=1,GX402,IF($B$6=2,GX402*(1+GX916/100),IF($B$6=3,GX402*(1+GX917/100))))</f>
        <v>8185.8780703381926</v>
      </c>
      <c r="GY403" s="72">
        <f t="shared" si="2160"/>
        <v>1</v>
      </c>
      <c r="GZ403" s="137" t="str">
        <f t="shared" si="2161"/>
        <v>NA</v>
      </c>
      <c r="HA403" s="137"/>
      <c r="HB403" s="137"/>
      <c r="HC403"/>
      <c r="HD403"/>
      <c r="HE403"/>
      <c r="HF403"/>
      <c r="HG403"/>
      <c r="HH403"/>
      <c r="HI403" s="236"/>
    </row>
    <row r="404" spans="1:217" s="69" customFormat="1" ht="12.75" customHeight="1" collapsed="1" x14ac:dyDescent="0.2">
      <c r="B404" s="77" t="s">
        <v>437</v>
      </c>
      <c r="C404" s="74"/>
      <c r="D404" s="72"/>
      <c r="E404" s="74"/>
      <c r="F404" s="72"/>
      <c r="G404" s="74"/>
      <c r="H404" s="72"/>
      <c r="I404" s="74"/>
      <c r="J404" s="72"/>
      <c r="K404" s="74">
        <v>0</v>
      </c>
      <c r="L404" s="72" t="str">
        <f t="shared" si="2118"/>
        <v>NA</v>
      </c>
      <c r="M404" s="74">
        <v>89</v>
      </c>
      <c r="N404" s="72" t="str">
        <f t="shared" si="2119"/>
        <v>NA</v>
      </c>
      <c r="O404" s="74">
        <v>77</v>
      </c>
      <c r="P404" s="72" t="str">
        <f t="shared" si="2120"/>
        <v>NA</v>
      </c>
      <c r="Q404" s="74">
        <v>39</v>
      </c>
      <c r="R404" s="72" t="str">
        <f>IF(ISERROR(Q404/I404),"NA",IF(OR(Q404/I404&gt;2,Q404/I404&lt;0.5),"NM",Q404/I404*100-100))</f>
        <v>NA</v>
      </c>
      <c r="S404" s="74">
        <v>28</v>
      </c>
      <c r="T404" s="72" t="str">
        <f>IF(ISERROR(S404/K404),"NA",IF(OR(S404/K404&gt;2,S404/K404&lt;0.5),"NM",S404/K404*100-100))</f>
        <v>NA</v>
      </c>
      <c r="U404" s="74">
        <v>28</v>
      </c>
      <c r="V404" s="72" t="str">
        <f>IF(ISERROR(U404/M404),"NA",IF(OR(U404/M404&gt;2,U404/M404&lt;0.5),"NM",U404/M404*100-100))</f>
        <v>NM</v>
      </c>
      <c r="W404" s="74">
        <v>18</v>
      </c>
      <c r="X404" s="72" t="str">
        <f>IF(ISERROR(W404/O404),"NA",IF(OR(W404/O404&gt;2,W404/O404&lt;0.5),"NM",W404/O404*100-100))</f>
        <v>NM</v>
      </c>
      <c r="Y404" s="74">
        <v>22</v>
      </c>
      <c r="Z404" s="72">
        <f>IF(ISERROR(Y404/Q404),"NA",IF(OR(Y404/Q404&gt;2,Y404/Q404&lt;0.5),"NM",Y404/Q404*100-100))</f>
        <v>-43.589743589743591</v>
      </c>
      <c r="AA404" s="74">
        <v>21</v>
      </c>
      <c r="AB404" s="72">
        <f>IF(ISERROR(AA404/S404),"NA",IF(OR(AA404/S404&gt;2,AA404/S404&lt;0.5),"NM",AA404/S404*100-100))</f>
        <v>-25</v>
      </c>
      <c r="AC404" s="74">
        <v>26</v>
      </c>
      <c r="AD404" s="72">
        <f>IF(ISERROR(AC404/U404),"NA",IF(OR(AC404/U404&gt;2,AC404/U404&lt;0.5),"NM",AC404/U404*100-100))</f>
        <v>-7.1428571428571388</v>
      </c>
      <c r="AE404" s="74">
        <v>20</v>
      </c>
      <c r="AF404" s="72">
        <f>IF(ISERROR(AE404/W404),"NA",IF(OR(AE404/W404&gt;2,AE404/W404&lt;0.5),"NM",AE404/W404*100-100))</f>
        <v>11.111111111111114</v>
      </c>
      <c r="AG404" s="74">
        <v>19</v>
      </c>
      <c r="AH404" s="72">
        <f>IF(ISERROR(AG404/Y404),"NA",IF(OR(AG404/Y404&gt;2,AG404/Y404&lt;0.5),"NM",AG404/Y404*100-100))</f>
        <v>-13.63636363636364</v>
      </c>
      <c r="AI404" s="74">
        <v>19</v>
      </c>
      <c r="AJ404" s="72">
        <f>IF(ISERROR(AI404/AA404),"NA",IF(OR(AI404/AA404&gt;2,AI404/AA404&lt;0.5),"NM",AI404/AA404*100-100))</f>
        <v>-9.5238095238095184</v>
      </c>
      <c r="AK404" s="74">
        <v>23</v>
      </c>
      <c r="AL404" s="72">
        <f>IF(ISERROR(AK404/AC404),"NA",IF(OR(AK404/AC404&gt;2,AK404/AC404&lt;0.5),"NM",AK404/AC404*100-100))</f>
        <v>-11.538461538461547</v>
      </c>
      <c r="AM404" s="74">
        <v>17</v>
      </c>
      <c r="AN404" s="72">
        <f>IF(ISERROR(AM404/AE404),"NA",IF(OR(AM404/AE404&gt;2,AM404/AE404&lt;0.5),"NM",AM404/AE404*100-100))</f>
        <v>-15</v>
      </c>
      <c r="AO404" s="74">
        <v>17</v>
      </c>
      <c r="AP404" s="72">
        <f>IF(ISERROR(AO404/AG404),"NA",IF(OR(AO404/AG404&gt;2,AO404/AG404&lt;0.5),"NM",AO404/AG404*100-100))</f>
        <v>-10.526315789473685</v>
      </c>
      <c r="AQ404" s="74">
        <v>18</v>
      </c>
      <c r="AR404" s="72">
        <f t="shared" si="2121"/>
        <v>-5.2631578947368496</v>
      </c>
      <c r="AS404" s="74">
        <v>20</v>
      </c>
      <c r="AT404" s="72">
        <f t="shared" si="2122"/>
        <v>-13.043478260869563</v>
      </c>
      <c r="AU404" s="74">
        <v>13</v>
      </c>
      <c r="AV404" s="72">
        <f t="shared" si="2123"/>
        <v>-23.529411764705884</v>
      </c>
      <c r="AW404" s="74">
        <v>16</v>
      </c>
      <c r="AX404" s="72">
        <f t="shared" si="2124"/>
        <v>-5.8823529411764781</v>
      </c>
      <c r="AY404" s="74">
        <v>18</v>
      </c>
      <c r="AZ404" s="72">
        <f t="shared" si="2125"/>
        <v>0</v>
      </c>
      <c r="BA404" s="74">
        <v>19</v>
      </c>
      <c r="BB404" s="72">
        <f t="shared" si="2126"/>
        <v>-5</v>
      </c>
      <c r="BC404" s="74">
        <v>15</v>
      </c>
      <c r="BD404" s="72">
        <f t="shared" si="2127"/>
        <v>15.384615384615373</v>
      </c>
      <c r="BE404" s="74">
        <v>13</v>
      </c>
      <c r="BF404" s="72">
        <f t="shared" si="2128"/>
        <v>-18.75</v>
      </c>
      <c r="BG404" s="74">
        <v>16</v>
      </c>
      <c r="BH404" s="72">
        <f t="shared" si="2129"/>
        <v>-11.111111111111114</v>
      </c>
      <c r="BI404" s="74">
        <v>16</v>
      </c>
      <c r="BJ404" s="72">
        <f>IF(ISERROR(BI404/BA404),"NA",IF(OR(BI404/BA404&gt;2,BI404/BA404&lt;0.5),"NM",BI404/BA404*100-100))</f>
        <v>-15.789473684210535</v>
      </c>
      <c r="BK404" s="74">
        <v>14</v>
      </c>
      <c r="BL404" s="72">
        <f>IF(ISERROR(BK404/BC404),"NA",IF(OR(BK404/BC404&gt;2,BK404/BC404&lt;0.5),"NM",BK404/BC404*100-100))</f>
        <v>-6.6666666666666714</v>
      </c>
      <c r="BM404" s="74">
        <v>17</v>
      </c>
      <c r="BN404" s="72">
        <f t="shared" si="2130"/>
        <v>30.769230769230774</v>
      </c>
      <c r="BO404" s="74">
        <v>17</v>
      </c>
      <c r="BP404" s="72">
        <f>IF(ISERROR(BO404/BG404),"NA",IF(OR(BO404/BG404&gt;2,BO404/BG404&lt;0.5),"NM",BO404/BG404*100-100))</f>
        <v>6.25</v>
      </c>
      <c r="BQ404" s="74">
        <v>18</v>
      </c>
      <c r="BR404" s="72">
        <f>IF(ISERROR(BQ404/BI404),"NA",IF(OR(BQ404/BI404&gt;2,BQ404/BI404&lt;0.5),"NM",BQ404/BI404*100-100))</f>
        <v>12.5</v>
      </c>
      <c r="BS404" s="74">
        <v>17</v>
      </c>
      <c r="BT404" s="72">
        <f>IF(ISERROR(BS404/BK404),"NA",IF(OR(BS404/BK404&gt;2,BS404/BK404&lt;0.5),"NM",BS404/BK404*100-100))</f>
        <v>21.428571428571416</v>
      </c>
      <c r="BU404" s="74">
        <v>19</v>
      </c>
      <c r="BV404" s="72">
        <f>IF(ISERROR(BU404/BM404),"NA",IF(OR(BU404/BM404&gt;2,BU404/BM404&lt;0.5),"NM",BU404/BM404*100-100))</f>
        <v>11.764705882352942</v>
      </c>
      <c r="BW404" s="74">
        <v>21</v>
      </c>
      <c r="BX404" s="72">
        <f>IF(ISERROR(BW404/BO404),"NA",IF(OR(BW404/BO404&gt;2,BW404/BO404&lt;0.5),"NM",BW404/BO404*100-100))</f>
        <v>23.529411764705884</v>
      </c>
      <c r="BY404" s="74">
        <v>19</v>
      </c>
      <c r="BZ404" s="72">
        <f>IF(ISERROR(BY404/BQ404),"NA",IF(OR(BY404/BQ404&gt;2,BY404/BQ404&lt;0.5),"NM",BY404/BQ404*100-100))</f>
        <v>5.5555555555555571</v>
      </c>
      <c r="CA404" s="74">
        <v>19</v>
      </c>
      <c r="CB404" s="72">
        <f>IF(ISERROR(CA404/BS404),"NA",IF(OR(CA404/BS404&gt;2,CA404/BS404&lt;0.5),"NM",CA404/BS404*100-100))</f>
        <v>11.764705882352942</v>
      </c>
      <c r="CC404" s="74">
        <v>20</v>
      </c>
      <c r="CD404" s="72">
        <f>IF(ISERROR(CC404/BU404),"NA",IF(OR(CC404/BU404&gt;2,CC404/BU404&lt;0.5),"NM",CC404/BU404*100-100))</f>
        <v>5.2631578947368354</v>
      </c>
      <c r="CE404" s="74">
        <v>19</v>
      </c>
      <c r="CF404" s="72">
        <f>IF(ISERROR(CE404/BW404),"NA",IF(OR(CE404/BW404&gt;2,CE404/BW404&lt;0.5),"NM",CE404/BW404*100-100))</f>
        <v>-9.5238095238095184</v>
      </c>
      <c r="CG404" s="74">
        <v>19</v>
      </c>
      <c r="CH404" s="72">
        <f>IF(ISERROR(CG404/BY404),"NA",IF(OR(CG404/BY404&gt;2,CG404/BY404&lt;0.5),"NM",CG404/BY404*100-100))</f>
        <v>0</v>
      </c>
      <c r="CI404" s="74">
        <v>21</v>
      </c>
      <c r="CJ404" s="72">
        <f>IF(ISERROR(CI404/CA404),"NA",IF(OR(CI404/CA404&gt;2,CI404/CA404&lt;0.5),"NM",CI404/CA404*100-100))</f>
        <v>10.526315789473699</v>
      </c>
      <c r="CK404" s="74">
        <v>23</v>
      </c>
      <c r="CL404" s="72">
        <f>IF(ISERROR(CK404/CC404),"NA",IF(OR(CK404/CC404&gt;2,CK404/CC404&lt;0.5),"NM",CK404/CC404*100-100))</f>
        <v>14.999999999999986</v>
      </c>
      <c r="CM404" s="74">
        <v>23</v>
      </c>
      <c r="CN404" s="72">
        <f>IF(ISERROR(CM404/CE404),"NA",IF(OR(CM404/CE404&gt;2,CM404/CE404&lt;0.5),"NM",CM404/CE404*100-100))</f>
        <v>21.05263157894737</v>
      </c>
      <c r="CO404" s="74">
        <v>52</v>
      </c>
      <c r="CP404" s="72" t="str">
        <f>IF(ISERROR(CO404/CG404),"NA",IF(OR(CO404/CG404&gt;2,CO404/CG404&lt;0.5),"NM",CO404/CG404*100-100))</f>
        <v>NM</v>
      </c>
      <c r="CQ404" s="74">
        <v>52</v>
      </c>
      <c r="CR404" s="72" t="str">
        <f>IF(ISERROR(CQ404/CI404),"NA",IF(OR(CQ404/CI404&gt;2,CQ404/CI404&lt;0.5),"NM",CQ404/CI404*100-100))</f>
        <v>NM</v>
      </c>
      <c r="CS404" s="74">
        <v>54</v>
      </c>
      <c r="CT404" s="72" t="str">
        <f>IF(ISERROR(CS404/CK404),"NA",IF(OR(CS404/CK404&gt;2,CS404/CK404&lt;0.5),"NM",CS404/CK404*100-100))</f>
        <v>NM</v>
      </c>
      <c r="CU404" s="74">
        <v>58</v>
      </c>
      <c r="CV404" s="72" t="str">
        <f>IF(ISERROR(CU404/CM404),"NA",IF(OR(CU404/CM404&gt;2,CU404/CM404&lt;0.5),"NM",CU404/CM404*100-100))</f>
        <v>NM</v>
      </c>
      <c r="CW404" s="74">
        <v>56</v>
      </c>
      <c r="CX404" s="72">
        <f>IF(ISERROR(CW404/CO404),"NA",IF(OR(CW404/CO404&gt;2,CW404/CO404&lt;0.5),"NM",CW404/CO404*100-100))</f>
        <v>7.6923076923076934</v>
      </c>
      <c r="CY404" s="74">
        <v>56</v>
      </c>
      <c r="CZ404" s="72">
        <f>IF(ISERROR(CY404/CQ404),"NA",IF(OR(CY404/CQ404&gt;2,CY404/CQ404&lt;0.5),"NM",CY404/CQ404*100-100))</f>
        <v>7.6923076923076934</v>
      </c>
      <c r="DA404" s="74">
        <v>56</v>
      </c>
      <c r="DB404" s="72">
        <f>IF(ISERROR(DA404/CS404),"NA",IF(OR(DA404/CS404&gt;2,DA404/CS404&lt;0.5),"NM",DA404/CS404*100-100))</f>
        <v>3.7037037037036953</v>
      </c>
      <c r="DC404" s="74">
        <v>69</v>
      </c>
      <c r="DD404" s="72">
        <f t="shared" si="2131"/>
        <v>18.965517241379317</v>
      </c>
      <c r="DE404" s="74">
        <v>77</v>
      </c>
      <c r="DF404" s="72">
        <f t="shared" si="2132"/>
        <v>37.5</v>
      </c>
      <c r="DG404" s="74">
        <v>54</v>
      </c>
      <c r="DH404" s="72">
        <f t="shared" si="2133"/>
        <v>-3.5714285714285694</v>
      </c>
      <c r="DI404" s="74">
        <v>50</v>
      </c>
      <c r="DJ404" s="72">
        <f>IF(ISERROR(DI404/DA404),"NA",IF(OR(DI404/DA404&gt;2,DI404/DA404&lt;0.5),"NM",DI404/DA404*100-100))</f>
        <v>-10.714285714285708</v>
      </c>
      <c r="DK404" s="74">
        <v>47</v>
      </c>
      <c r="DL404" s="72">
        <f>IF(ISERROR(DK404/DC404),"NA",IF(OR(DK404/DC404&gt;2,DK404/DC404&lt;0.5),"NM",DK404/DC404*100-100))</f>
        <v>-31.884057971014485</v>
      </c>
      <c r="DM404" s="74">
        <v>49</v>
      </c>
      <c r="DN404" s="72">
        <f t="shared" si="2134"/>
        <v>-36.363636363636367</v>
      </c>
      <c r="DO404" s="74">
        <v>69</v>
      </c>
      <c r="DP404" s="72">
        <f t="shared" si="2134"/>
        <v>27.777777777777771</v>
      </c>
      <c r="DQ404" s="74">
        <v>58</v>
      </c>
      <c r="DR404" s="72">
        <f t="shared" si="2134"/>
        <v>15.999999999999986</v>
      </c>
      <c r="DS404" s="74">
        <v>53</v>
      </c>
      <c r="DT404" s="72">
        <f t="shared" si="2134"/>
        <v>12.7659574468085</v>
      </c>
      <c r="DU404" s="74">
        <v>54</v>
      </c>
      <c r="DV404" s="72">
        <f t="shared" si="2134"/>
        <v>10.204081632653043</v>
      </c>
      <c r="DW404" s="74">
        <v>44</v>
      </c>
      <c r="DX404" s="72">
        <f t="shared" si="2134"/>
        <v>-36.231884057971023</v>
      </c>
      <c r="DY404" s="74">
        <v>40</v>
      </c>
      <c r="DZ404" s="72">
        <f t="shared" si="2134"/>
        <v>-31.034482758620683</v>
      </c>
      <c r="EA404" s="74">
        <v>38</v>
      </c>
      <c r="EB404" s="72">
        <f t="shared" si="2135"/>
        <v>-28.301886792452834</v>
      </c>
      <c r="EC404" s="74">
        <v>39</v>
      </c>
      <c r="ED404" s="72">
        <f t="shared" si="2136"/>
        <v>-27.777777777777786</v>
      </c>
      <c r="EE404" s="74">
        <v>37</v>
      </c>
      <c r="EF404" s="72">
        <f t="shared" si="2137"/>
        <v>-15.909090909090907</v>
      </c>
      <c r="EG404" s="74">
        <v>39</v>
      </c>
      <c r="EH404" s="72">
        <f t="shared" si="2138"/>
        <v>-2.5</v>
      </c>
      <c r="EI404" s="74">
        <v>38</v>
      </c>
      <c r="EJ404" s="72">
        <f t="shared" si="2139"/>
        <v>0</v>
      </c>
      <c r="EK404" s="74">
        <v>35</v>
      </c>
      <c r="EL404" s="72">
        <f t="shared" si="2140"/>
        <v>-10.256410256410248</v>
      </c>
      <c r="EM404" s="74">
        <v>36</v>
      </c>
      <c r="EN404" s="72">
        <f t="shared" si="2141"/>
        <v>-2.7027027027026946</v>
      </c>
      <c r="EO404" s="74">
        <v>37</v>
      </c>
      <c r="EP404" s="72">
        <f t="shared" si="2142"/>
        <v>-5.1282051282051384</v>
      </c>
      <c r="EQ404" s="74">
        <f t="shared" ref="EQ404" si="2162">EI404*(1+EQ$399/100)</f>
        <v>38.55117117117117</v>
      </c>
      <c r="ER404" s="72">
        <f t="shared" si="2143"/>
        <v>1.4504504504504467</v>
      </c>
      <c r="ES404" s="74">
        <f t="shared" ref="ES404" si="2163">EK404*(1+ES$399/100)</f>
        <v>35.50765765765766</v>
      </c>
      <c r="ET404" s="72">
        <f t="shared" si="2144"/>
        <v>1.4504504504504467</v>
      </c>
      <c r="EU404" s="74">
        <f t="shared" ref="EU404" si="2164">EM404*(1+EU$399/100)</f>
        <v>36.522162162162161</v>
      </c>
      <c r="EV404" s="72">
        <f t="shared" si="2145"/>
        <v>1.4504504504504467</v>
      </c>
      <c r="EW404" s="74">
        <f t="shared" ref="EW404" si="2165">EO404*(1+EW$399/100)</f>
        <v>37.536666666666662</v>
      </c>
      <c r="EX404" s="72">
        <f t="shared" si="2146"/>
        <v>1.4504504504504467</v>
      </c>
      <c r="EY404" s="72"/>
      <c r="EZ404" s="325"/>
      <c r="FA404" s="72"/>
      <c r="FB404" s="75"/>
      <c r="FC404" s="87"/>
      <c r="FD404" s="75"/>
      <c r="FE404" s="72" t="str">
        <f t="shared" si="2147"/>
        <v>NA</v>
      </c>
      <c r="FF404" s="75"/>
      <c r="FG404" s="72" t="str">
        <f t="shared" si="2148"/>
        <v>NA</v>
      </c>
      <c r="FH404" s="75">
        <f>K404+M404+O404+Q404</f>
        <v>205</v>
      </c>
      <c r="FI404" s="72" t="str">
        <f t="shared" si="2149"/>
        <v>NA</v>
      </c>
      <c r="FJ404" s="75">
        <f>S404+U404+W404+Y404</f>
        <v>96</v>
      </c>
      <c r="FK404" s="72" t="str">
        <f t="shared" si="2150"/>
        <v>NM</v>
      </c>
      <c r="FL404" s="75">
        <f>+AA404+AC404+AE404+AG404</f>
        <v>86</v>
      </c>
      <c r="FM404" s="72">
        <f t="shared" si="2151"/>
        <v>-10.416666666666657</v>
      </c>
      <c r="FN404" s="75">
        <f>+AI404+AK404+AM404+AO404</f>
        <v>76</v>
      </c>
      <c r="FO404" s="72">
        <f t="shared" si="2152"/>
        <v>-11.627906976744185</v>
      </c>
      <c r="FP404" s="75">
        <f>AQ404+AS404+AU404+AW404</f>
        <v>67</v>
      </c>
      <c r="FQ404" s="72">
        <f t="shared" si="2153"/>
        <v>-11.842105263157904</v>
      </c>
      <c r="FR404" s="75">
        <f>AY404+BA404+BC404+BE404</f>
        <v>65</v>
      </c>
      <c r="FS404" s="72">
        <f t="shared" si="2154"/>
        <v>-2.9850746268656678</v>
      </c>
      <c r="FT404" s="75">
        <f>BG404+BI404+BK404+BM404</f>
        <v>63</v>
      </c>
      <c r="FU404" s="72">
        <f t="shared" si="2155"/>
        <v>-3.0769230769230802</v>
      </c>
      <c r="FV404" s="75">
        <f>BO404+BQ404+BS404+BU404</f>
        <v>71</v>
      </c>
      <c r="FW404" s="72">
        <f>IF(ISERROR(FV404/FT404),"NA",IF(OR(FV404/FT404&gt;2,FV404/FT404&lt;0.5),"NM",FV404/FT404*100-100))</f>
        <v>12.698412698412696</v>
      </c>
      <c r="FX404" s="75">
        <f>BW404+BY404+CA404+CC404</f>
        <v>79</v>
      </c>
      <c r="FY404" s="72">
        <f>IF(ISERROR(FX404/FV404),"NA",IF(OR(FX404/FV404&gt;2,FX404/FV404&lt;0.5),"NM",FX404/FV404*100-100))</f>
        <v>11.26760563380283</v>
      </c>
      <c r="FZ404" s="75">
        <f t="shared" si="2156"/>
        <v>82</v>
      </c>
      <c r="GA404" s="72">
        <f>IF(ISERROR(FZ404/FX404),"NA",IF(OR(FZ404/FX404&gt;2,FZ404/FX404&lt;0.5),"NM",FZ404/FX404*100-100))</f>
        <v>3.7974683544303787</v>
      </c>
      <c r="GB404" s="75">
        <f t="shared" si="2157"/>
        <v>181</v>
      </c>
      <c r="GC404" s="72" t="str">
        <f>IF(ISERROR(GB404/FZ404),"NA",IF(OR(GB404/FZ404&gt;2,GB404/FZ404&lt;0.5),"NM",GB404/FZ404*100-100))</f>
        <v>NM</v>
      </c>
      <c r="GD404" s="75">
        <f>CU404+CW404+CY404+DA404</f>
        <v>226</v>
      </c>
      <c r="GE404" s="72">
        <f>IF(ISERROR(GD404/GB404),"NA",IF(OR(GD404/GB404&gt;2,GD404/GB404&lt;0.5),"NM",GD404/GB404*100-100))</f>
        <v>24.861878453038671</v>
      </c>
      <c r="GF404" s="75">
        <f>DC404+DE404+DG404+DI404</f>
        <v>250</v>
      </c>
      <c r="GG404" s="72">
        <f>IF(ISERROR(GF404/GD404),"NA",IF(OR(GF404/GD404&gt;2,GF404/GD404&lt;0.5),"NM",GF404/GD404*100-100))</f>
        <v>10.619469026548671</v>
      </c>
      <c r="GH404" s="75">
        <f>DK404+DM404+DO404+DQ404</f>
        <v>223</v>
      </c>
      <c r="GI404" s="72">
        <f t="shared" si="2158"/>
        <v>-10.799999999999997</v>
      </c>
      <c r="GJ404" s="75">
        <f>DS404+DU404+DW404+DY404</f>
        <v>191</v>
      </c>
      <c r="GK404" s="72">
        <f t="shared" si="2158"/>
        <v>-14.349775784753362</v>
      </c>
      <c r="GL404" s="75">
        <f>EA404+EC404+EE404+EG404</f>
        <v>153</v>
      </c>
      <c r="GM404" s="72">
        <f t="shared" si="2158"/>
        <v>-19.895287958115176</v>
      </c>
      <c r="GN404" s="75">
        <f>EI404+EK404+EM404+EO404</f>
        <v>146</v>
      </c>
      <c r="GO404" s="72">
        <f t="shared" si="2158"/>
        <v>-4.5751633986928084</v>
      </c>
      <c r="GP404" s="75">
        <f>EQ404+ES404+EU404+EW404</f>
        <v>148.11765765765767</v>
      </c>
      <c r="GQ404" s="72">
        <f t="shared" si="2158"/>
        <v>1.4504504504504752</v>
      </c>
      <c r="GR404" s="74">
        <f>GP404*(1+GR$399/100)</f>
        <v>149.59883423423426</v>
      </c>
      <c r="GS404" s="72">
        <f t="shared" si="2158"/>
        <v>1</v>
      </c>
      <c r="GT404" s="74">
        <f>GR404*(1+GT$399/100)</f>
        <v>151.0948225765766</v>
      </c>
      <c r="GU404" s="72">
        <f t="shared" si="2158"/>
        <v>1</v>
      </c>
      <c r="GV404" s="74">
        <f>GT404*(1+GV$399/100)</f>
        <v>152.60577080234236</v>
      </c>
      <c r="GW404" s="72">
        <f t="shared" si="2159"/>
        <v>1</v>
      </c>
      <c r="GX404" s="74">
        <f>GV404*(1+GX$399/100)</f>
        <v>154.13182851036578</v>
      </c>
      <c r="GY404" s="72">
        <f t="shared" si="2160"/>
        <v>1</v>
      </c>
      <c r="GZ404" s="72">
        <f t="shared" si="2161"/>
        <v>1.0899298015088821</v>
      </c>
      <c r="HA404" s="72"/>
      <c r="HB404" s="72"/>
      <c r="HC404"/>
      <c r="HD404"/>
      <c r="HE404"/>
      <c r="HF404"/>
      <c r="HG404"/>
      <c r="HH404"/>
      <c r="HI404" s="2"/>
    </row>
    <row r="405" spans="1:217" s="69" customFormat="1" ht="12.75" customHeight="1" x14ac:dyDescent="0.2">
      <c r="B405" s="77" t="s">
        <v>477</v>
      </c>
      <c r="C405" s="75"/>
      <c r="D405" s="72"/>
      <c r="E405" s="75"/>
      <c r="F405" s="72"/>
      <c r="G405" s="75"/>
      <c r="H405" s="72"/>
      <c r="I405" s="75"/>
      <c r="J405" s="72"/>
      <c r="K405" s="75">
        <f>SUM(K402:K404)</f>
        <v>0</v>
      </c>
      <c r="L405" s="72" t="str">
        <f t="shared" si="2118"/>
        <v>NA</v>
      </c>
      <c r="M405" s="75">
        <f>SUM(M402:M404)</f>
        <v>467</v>
      </c>
      <c r="N405" s="72" t="str">
        <f t="shared" si="2119"/>
        <v>NA</v>
      </c>
      <c r="O405" s="75">
        <f>SUM(O402:O404)</f>
        <v>639</v>
      </c>
      <c r="P405" s="72" t="str">
        <f t="shared" si="2120"/>
        <v>NA</v>
      </c>
      <c r="Q405" s="75">
        <f>SUM(Q402:Q404)</f>
        <v>604</v>
      </c>
      <c r="R405" s="72" t="str">
        <f>IF(ISERROR(Q405/I405),"NA",IF(OR(Q405/I405&gt;2,Q405/I405&lt;0.5),"NM",Q405/I405*100-100))</f>
        <v>NA</v>
      </c>
      <c r="S405" s="75">
        <f>SUM(S402:S404)</f>
        <v>558</v>
      </c>
      <c r="T405" s="72" t="str">
        <f>IF(ISERROR(S405/K405),"NA",IF(OR(S405/K405&gt;2,S405/K405&lt;0.5),"NM",S405/K405*100-100))</f>
        <v>NA</v>
      </c>
      <c r="U405" s="75">
        <f>SUM(U402:U404)</f>
        <v>539</v>
      </c>
      <c r="V405" s="72">
        <f>IF(ISERROR(U405/M405),"NA",IF(OR(U405/M405&gt;2,U405/M405&lt;0.5),"NM",U405/M405*100-100))</f>
        <v>15.417558886509639</v>
      </c>
      <c r="W405" s="75">
        <f>SUM(W402:W404)</f>
        <v>528</v>
      </c>
      <c r="X405" s="72">
        <f>IF(ISERROR(W405/O405),"NA",IF(OR(W405/O405&gt;2,W405/O405&lt;0.5),"NM",W405/O405*100-100))</f>
        <v>-17.370892018779344</v>
      </c>
      <c r="Y405" s="75">
        <f>SUM(Y402:Y404)</f>
        <v>525</v>
      </c>
      <c r="Z405" s="72">
        <f>IF(ISERROR(Y405/Q405),"NA",IF(OR(Y405/Q405&gt;2,Y405/Q405&lt;0.5),"NM",Y405/Q405*100-100))</f>
        <v>-13.079470198675494</v>
      </c>
      <c r="AA405" s="75">
        <f>SUM(AA402:AA404)</f>
        <v>536</v>
      </c>
      <c r="AB405" s="72">
        <f>IF(ISERROR(AA405/S405),"NA",IF(OR(AA405/S405&gt;2,AA405/S405&lt;0.5),"NM",AA405/S405*100-100))</f>
        <v>-3.9426523297491087</v>
      </c>
      <c r="AC405" s="75">
        <f>SUM(AC402:AC404)</f>
        <v>552</v>
      </c>
      <c r="AD405" s="72">
        <f>IF(ISERROR(AC405/U405),"NA",IF(OR(AC405/U405&gt;2,AC405/U405&lt;0.5),"NM",AC405/U405*100-100))</f>
        <v>2.4118738404452813</v>
      </c>
      <c r="AE405" s="75">
        <f>SUM(AE402:AE404)</f>
        <v>527</v>
      </c>
      <c r="AF405" s="72">
        <f>IF(ISERROR(AE405/W405),"NA",IF(OR(AE405/W405&gt;2,AE405/W405&lt;0.5),"NM",AE405/W405*100-100))</f>
        <v>-0.18939393939393767</v>
      </c>
      <c r="AG405" s="75">
        <f>SUM(AG402:AG404)</f>
        <v>566</v>
      </c>
      <c r="AH405" s="72">
        <f>IF(ISERROR(AG405/Y405),"NA",IF(OR(AG405/Y405&gt;2,AG405/Y405&lt;0.5),"NM",AG405/Y405*100-100))</f>
        <v>7.809523809523796</v>
      </c>
      <c r="AI405" s="75">
        <f>SUM(AI402:AI404)</f>
        <v>590</v>
      </c>
      <c r="AJ405" s="72">
        <f>IF(ISERROR(AI405/AA405),"NA",IF(OR(AI405/AA405&gt;2,AI405/AA405&lt;0.5),"NM",AI405/AA405*100-100))</f>
        <v>10.074626865671647</v>
      </c>
      <c r="AK405" s="75">
        <f>SUM(AK402:AK404)</f>
        <v>659</v>
      </c>
      <c r="AL405" s="72">
        <f>IF(ISERROR(AK405/AC405),"NA",IF(OR(AK405/AC405&gt;2,AK405/AC405&lt;0.5),"NM",AK405/AC405*100-100))</f>
        <v>19.384057971014499</v>
      </c>
      <c r="AM405" s="75">
        <f>SUM(AM402:AM404)</f>
        <v>559</v>
      </c>
      <c r="AN405" s="72">
        <f>IF(ISERROR(AM405/AE405),"NA",IF(OR(AM405/AE405&gt;2,AM405/AE405&lt;0.5),"NM",AM405/AE405*100-100))</f>
        <v>6.072106261859588</v>
      </c>
      <c r="AO405" s="75">
        <f>SUM(AO402:AO404)</f>
        <v>557</v>
      </c>
      <c r="AP405" s="72">
        <f>IF(ISERROR(AO405/AG405),"NA",IF(OR(AO405/AG405&gt;2,AO405/AG405&lt;0.5),"NM",AO405/AG405*100-100))</f>
        <v>-1.5901060070671349</v>
      </c>
      <c r="AQ405" s="75">
        <f>SUM(AQ402:AQ404)</f>
        <v>586</v>
      </c>
      <c r="AR405" s="72">
        <f t="shared" si="2121"/>
        <v>-0.67796610169492055</v>
      </c>
      <c r="AS405" s="75">
        <f>SUM(AS402:AS404)</f>
        <v>635</v>
      </c>
      <c r="AT405" s="72">
        <f t="shared" si="2122"/>
        <v>-3.6418816388467405</v>
      </c>
      <c r="AU405" s="75">
        <f>SUM(AU402:AU404)</f>
        <v>665</v>
      </c>
      <c r="AV405" s="72">
        <f t="shared" si="2123"/>
        <v>18.962432915921283</v>
      </c>
      <c r="AW405" s="75">
        <f>SUM(AW402:AW404)</f>
        <v>544</v>
      </c>
      <c r="AX405" s="72">
        <f t="shared" si="2124"/>
        <v>-2.3339317773788224</v>
      </c>
      <c r="AY405" s="75">
        <f>SUM(AY402:AY404)</f>
        <v>562</v>
      </c>
      <c r="AZ405" s="72">
        <f t="shared" si="2125"/>
        <v>-4.0955631399317411</v>
      </c>
      <c r="BA405" s="75">
        <f>SUM(BA402:BA404)</f>
        <v>559</v>
      </c>
      <c r="BB405" s="72">
        <f t="shared" si="2126"/>
        <v>-11.968503937007881</v>
      </c>
      <c r="BC405" s="75">
        <f>SUM(BC402:BC404)</f>
        <v>490</v>
      </c>
      <c r="BD405" s="72">
        <f t="shared" si="2127"/>
        <v>-26.31578947368422</v>
      </c>
      <c r="BE405" s="75">
        <f>SUM(BE402:BE404)</f>
        <v>483</v>
      </c>
      <c r="BF405" s="72">
        <f t="shared" si="2128"/>
        <v>-11.213235294117652</v>
      </c>
      <c r="BG405" s="75">
        <f>SUM(BG402:BG404)</f>
        <v>483</v>
      </c>
      <c r="BH405" s="72">
        <f t="shared" si="2129"/>
        <v>-14.056939501779368</v>
      </c>
      <c r="BI405" s="75">
        <f>SUM(BI402:BI404)</f>
        <v>523</v>
      </c>
      <c r="BJ405" s="72">
        <f>IF(ISERROR(BI405/BA405),"NA",IF(OR(BI405/BA405&gt;2,BI405/BA405&lt;0.5),"NM",BI405/BA405*100-100))</f>
        <v>-6.440071556350631</v>
      </c>
      <c r="BK405" s="75">
        <f>SUM(BK402:BK404)</f>
        <v>472</v>
      </c>
      <c r="BL405" s="72">
        <f>IF(ISERROR(BK405/BC405),"NA",IF(OR(BK405/BC405&gt;2,BK405/BC405&lt;0.5),"NM",BK405/BC405*100-100))</f>
        <v>-3.6734693877551052</v>
      </c>
      <c r="BM405" s="75">
        <f>SUM(BM402:BM404)</f>
        <v>501</v>
      </c>
      <c r="BN405" s="72">
        <f t="shared" si="2130"/>
        <v>3.726708074534173</v>
      </c>
      <c r="BO405" s="75">
        <f>SUM(BO402:BO404)</f>
        <v>527</v>
      </c>
      <c r="BP405" s="72">
        <f>IF(ISERROR(BO405/BG405),"NA",IF(OR(BO405/BG405&gt;2,BO405/BG405&lt;0.5),"NM",BO405/BG405*100-100))</f>
        <v>9.1097308488612896</v>
      </c>
      <c r="BQ405" s="75">
        <f>SUM(BQ402:BQ404)</f>
        <v>593</v>
      </c>
      <c r="BR405" s="72">
        <f>IF(ISERROR(BQ405/BI405),"NA",IF(OR(BQ405/BI405&gt;2,BQ405/BI405&lt;0.5),"NM",BQ405/BI405*100-100))</f>
        <v>13.384321223709364</v>
      </c>
      <c r="BS405" s="75">
        <f>SUM(BS402:BS404)</f>
        <v>515</v>
      </c>
      <c r="BT405" s="72">
        <f>IF(ISERROR(BS405/BK405),"NA",IF(OR(BS405/BK405&gt;2,BS405/BK405&lt;0.5),"NM",BS405/BK405*100-100))</f>
        <v>9.1101694915254257</v>
      </c>
      <c r="BU405" s="75">
        <f>SUM(BU402:BU404)</f>
        <v>559</v>
      </c>
      <c r="BV405" s="72">
        <f>IF(ISERROR(BU405/BM405),"NA",IF(OR(BU405/BM405&gt;2,BU405/BM405&lt;0.5),"NM",BU405/BM405*100-100))</f>
        <v>11.576846307385225</v>
      </c>
      <c r="BW405" s="75">
        <f>SUM(BW402:BW404)</f>
        <v>635</v>
      </c>
      <c r="BX405" s="72">
        <f>IF(ISERROR(BW405/BO405),"NA",IF(OR(BW405/BO405&gt;2,BW405/BO405&lt;0.5),"NM",BW405/BO405*100-100))</f>
        <v>20.493358633776083</v>
      </c>
      <c r="BY405" s="75">
        <f>SUM(BY402:BY404)</f>
        <v>731</v>
      </c>
      <c r="BZ405" s="72">
        <f>IF(ISERROR(BY405/BQ405),"NA",IF(OR(BY405/BQ405&gt;2,BY405/BQ405&lt;0.5),"NM",BY405/BQ405*100-100))</f>
        <v>23.271500843170315</v>
      </c>
      <c r="CA405" s="75">
        <f>SUM(CA402:CA404)</f>
        <v>802</v>
      </c>
      <c r="CB405" s="72">
        <f>IF(ISERROR(CA405/BS405),"NA",IF(OR(CA405/BS405&gt;2,CA405/BS405&lt;0.5),"NM",CA405/BS405*100-100))</f>
        <v>55.728155339805824</v>
      </c>
      <c r="CC405" s="75">
        <f>SUM(CC402:CC404)</f>
        <v>771</v>
      </c>
      <c r="CD405" s="72">
        <f>IF(ISERROR(CC405/BU405),"NA",IF(OR(CC405/BU405&gt;2,CC405/BU405&lt;0.5),"NM",CC405/BU405*100-100))</f>
        <v>37.924865831842567</v>
      </c>
      <c r="CE405" s="75">
        <f>SUM(CE402:CE404)</f>
        <v>787</v>
      </c>
      <c r="CF405" s="72">
        <f>IF(ISERROR(CE405/BW405),"NA",IF(OR(CE405/BW405&gt;2,CE405/BW405&lt;0.5),"NM",CE405/BW405*100-100))</f>
        <v>23.937007874015762</v>
      </c>
      <c r="CG405" s="75">
        <f>SUM(CG402:CG404)</f>
        <v>935</v>
      </c>
      <c r="CH405" s="72">
        <f>IF(ISERROR(CG405/BY405),"NA",IF(OR(CG405/BY405&gt;2,CG405/BY405&lt;0.5),"NM",CG405/BY405*100-100))</f>
        <v>27.906976744186053</v>
      </c>
      <c r="CI405" s="75">
        <f>SUM(CI402:CI404)</f>
        <v>862</v>
      </c>
      <c r="CJ405" s="72">
        <f>IF(ISERROR(CI405/CA405),"NA",IF(OR(CI405/CA405&gt;2,CI405/CA405&lt;0.5),"NM",CI405/CA405*100-100))</f>
        <v>7.4812967581047332</v>
      </c>
      <c r="CK405" s="75">
        <f>SUM(CK402:CK404)</f>
        <v>944</v>
      </c>
      <c r="CL405" s="72">
        <f>IF(ISERROR(CK405/CC405),"NA",IF(OR(CK405/CC405&gt;2,CK405/CC405&lt;0.5),"NM",CK405/CC405*100-100))</f>
        <v>22.438391699092094</v>
      </c>
      <c r="CM405" s="75">
        <f>SUM(CM402:CM404)</f>
        <v>1624</v>
      </c>
      <c r="CN405" s="72" t="str">
        <f>IF(ISERROR(CM405/CE405),"NA",IF(OR(CM405/CE405&gt;2,CM405/CE405&lt;0.5),"NM",CM405/CE405*100-100))</f>
        <v>NM</v>
      </c>
      <c r="CO405" s="75">
        <f>SUM(CO402:CO404)</f>
        <v>2443</v>
      </c>
      <c r="CP405" s="72" t="str">
        <f>IF(ISERROR(CO405/CG405),"NA",IF(OR(CO405/CG405&gt;2,CO405/CG405&lt;0.5),"NM",CO405/CG405*100-100))</f>
        <v>NM</v>
      </c>
      <c r="CQ405" s="75">
        <f>SUM(CQ402:CQ404)</f>
        <v>2278</v>
      </c>
      <c r="CR405" s="72" t="str">
        <f>IF(ISERROR(CQ405/CI405),"NA",IF(OR(CQ405/CI405&gt;2,CQ405/CI405&lt;0.5),"NM",CQ405/CI405*100-100))</f>
        <v>NM</v>
      </c>
      <c r="CS405" s="75">
        <f>SUM(CS402:CS404)</f>
        <v>2440</v>
      </c>
      <c r="CT405" s="72" t="str">
        <f>IF(ISERROR(CS405/CK405),"NA",IF(OR(CS405/CK405&gt;2,CS405/CK405&lt;0.5),"NM",CS405/CK405*100-100))</f>
        <v>NM</v>
      </c>
      <c r="CU405" s="75">
        <f>SUM(CU402:CU404)</f>
        <v>2837</v>
      </c>
      <c r="CV405" s="72">
        <f>IF(ISERROR(CU405/CM405),"NA",IF(OR(CU405/CM405&gt;2,CU405/CM405&lt;0.5),"NM",CU405/CM405*100-100))</f>
        <v>74.692118226600968</v>
      </c>
      <c r="CW405" s="75">
        <f>SUM(CW402:CW404)</f>
        <v>3530</v>
      </c>
      <c r="CX405" s="72">
        <f>IF(ISERROR(CW405/CO405),"NA",IF(OR(CW405/CO405&gt;2,CW405/CO405&lt;0.5),"NM",CW405/CO405*100-100))</f>
        <v>44.494474007367984</v>
      </c>
      <c r="CY405" s="75">
        <f>SUM(CY402:CY404)</f>
        <v>5143</v>
      </c>
      <c r="CZ405" s="72" t="str">
        <f>IF(ISERROR(CY405/CQ405),"NA",IF(OR(CY405/CQ405&gt;2,CY405/CQ405&lt;0.5),"NM",CY405/CQ405*100-100))</f>
        <v>NM</v>
      </c>
      <c r="DA405" s="75">
        <f>SUM(DA402:DA404)</f>
        <v>6229</v>
      </c>
      <c r="DB405" s="72" t="str">
        <f>IF(ISERROR(DA405/CS405),"NA",IF(OR(DA405/CS405&gt;2,DA405/CS405&lt;0.5),"NM",DA405/CS405*100-100))</f>
        <v>NM</v>
      </c>
      <c r="DC405" s="75">
        <f>SUM(DC402:DC404)</f>
        <v>3093</v>
      </c>
      <c r="DD405" s="72">
        <f t="shared" si="2131"/>
        <v>9.0236164962988994</v>
      </c>
      <c r="DE405" s="75">
        <f>SUM(DE402:DE404)</f>
        <v>3024</v>
      </c>
      <c r="DF405" s="72">
        <f t="shared" si="2132"/>
        <v>-14.334277620396591</v>
      </c>
      <c r="DG405" s="75">
        <f>SUM(DG402:DG404)</f>
        <v>2337</v>
      </c>
      <c r="DH405" s="72" t="str">
        <f t="shared" si="2133"/>
        <v>NM</v>
      </c>
      <c r="DI405" s="75">
        <f>SUM(DI402:DI404)</f>
        <v>2063</v>
      </c>
      <c r="DJ405" s="72" t="str">
        <f>IF(ISERROR(DI405/DA405),"NA",IF(OR(DI405/DA405&gt;2,DI405/DA405&lt;0.5),"NM",DI405/DA405*100-100))</f>
        <v>NM</v>
      </c>
      <c r="DK405" s="75">
        <f>SUM(DK402:DK404)</f>
        <v>1859</v>
      </c>
      <c r="DL405" s="72">
        <f>IF(ISERROR(DK405/DC405),"NA",IF(OR(DK405/DC405&gt;2,DK405/DC405&lt;0.5),"NM",DK405/DC405*100-100))</f>
        <v>-39.896540575493042</v>
      </c>
      <c r="DM405" s="75">
        <f>SUM(DM402:DM404)</f>
        <v>2185</v>
      </c>
      <c r="DN405" s="72">
        <f t="shared" si="2134"/>
        <v>-27.744708994709001</v>
      </c>
      <c r="DO405" s="75">
        <f>SUM(DO402:DO404)</f>
        <v>1944</v>
      </c>
      <c r="DP405" s="72">
        <f t="shared" si="2134"/>
        <v>-16.816431322207961</v>
      </c>
      <c r="DQ405" s="75">
        <f>SUM(DQ402:DQ404)</f>
        <v>1776</v>
      </c>
      <c r="DR405" s="72">
        <f t="shared" si="2134"/>
        <v>-13.911778962675712</v>
      </c>
      <c r="DS405" s="75">
        <f>SUM(DS402:DS404)</f>
        <v>1742</v>
      </c>
      <c r="DT405" s="72">
        <f t="shared" si="2134"/>
        <v>-6.2937062937062933</v>
      </c>
      <c r="DU405" s="75">
        <f>SUM(DU402:DU404)</f>
        <v>2060</v>
      </c>
      <c r="DV405" s="72">
        <f t="shared" si="2134"/>
        <v>-5.7208237986270092</v>
      </c>
      <c r="DW405" s="75">
        <f>SUM(DW402:DW404)</f>
        <v>1786</v>
      </c>
      <c r="DX405" s="72">
        <f t="shared" si="2134"/>
        <v>-8.1275720164609027</v>
      </c>
      <c r="DY405" s="75">
        <f>SUM(DY402:DY404)</f>
        <v>1719</v>
      </c>
      <c r="DZ405" s="72">
        <f t="shared" si="2134"/>
        <v>-3.2094594594594668</v>
      </c>
      <c r="EA405" s="75">
        <f>SUM(EA402:EA404)</f>
        <v>1794</v>
      </c>
      <c r="EB405" s="72">
        <f t="shared" si="2135"/>
        <v>2.985074626865682</v>
      </c>
      <c r="EC405" s="75">
        <f>SUM(EC402:EC404)</f>
        <v>2120</v>
      </c>
      <c r="ED405" s="72">
        <f t="shared" si="2136"/>
        <v>2.9126213592232943</v>
      </c>
      <c r="EE405" s="75">
        <f>SUM(EE402:EE404)</f>
        <v>2094</v>
      </c>
      <c r="EF405" s="72">
        <f t="shared" si="2137"/>
        <v>17.245240761478158</v>
      </c>
      <c r="EG405" s="75">
        <f>EG402+EG404</f>
        <v>2022</v>
      </c>
      <c r="EH405" s="72">
        <f t="shared" si="2138"/>
        <v>17.626527050610832</v>
      </c>
      <c r="EI405" s="75">
        <f>EI402+EI404</f>
        <v>1884</v>
      </c>
      <c r="EJ405" s="72">
        <f t="shared" si="2139"/>
        <v>5.0167224080267516</v>
      </c>
      <c r="EK405" s="75">
        <f>EK402+EK404</f>
        <v>2134</v>
      </c>
      <c r="EL405" s="72">
        <f t="shared" si="2140"/>
        <v>0.66037735849056389</v>
      </c>
      <c r="EM405" s="75">
        <f>EM402+EM404</f>
        <v>1989</v>
      </c>
      <c r="EN405" s="72">
        <f t="shared" si="2141"/>
        <v>-5.0143266475644737</v>
      </c>
      <c r="EO405" s="75">
        <f>EO402+EO404</f>
        <v>1893</v>
      </c>
      <c r="EP405" s="72">
        <f t="shared" si="2142"/>
        <v>-6.3798219584569722</v>
      </c>
      <c r="EQ405" s="75">
        <f t="shared" ref="EQ405" si="2166">EQ404+EQ403</f>
        <v>1911.3264864864864</v>
      </c>
      <c r="ER405" s="72">
        <f t="shared" si="2143"/>
        <v>1.4504504504504467</v>
      </c>
      <c r="ES405" s="75">
        <f t="shared" ref="ES405" si="2167">ES404+ES403</f>
        <v>2164.9526126126125</v>
      </c>
      <c r="ET405" s="72">
        <f t="shared" si="2144"/>
        <v>1.4504504504504467</v>
      </c>
      <c r="EU405" s="75">
        <f t="shared" ref="EU405" si="2168">EU404+EU403</f>
        <v>2017.8494594594595</v>
      </c>
      <c r="EV405" s="72">
        <f t="shared" si="2145"/>
        <v>1.4504504504504467</v>
      </c>
      <c r="EW405" s="75">
        <f t="shared" ref="EW405" si="2169">EW404+EW403</f>
        <v>1920.4570270270269</v>
      </c>
      <c r="EX405" s="72">
        <f t="shared" si="2146"/>
        <v>1.4504504504504467</v>
      </c>
      <c r="EY405" s="72"/>
      <c r="EZ405" s="325"/>
      <c r="FA405" s="72"/>
      <c r="FB405" s="75"/>
      <c r="FC405" s="72"/>
      <c r="FD405" s="75"/>
      <c r="FE405" s="72" t="str">
        <f t="shared" si="2147"/>
        <v>NA</v>
      </c>
      <c r="FF405" s="75"/>
      <c r="FG405" s="72" t="str">
        <f t="shared" si="2148"/>
        <v>NA</v>
      </c>
      <c r="FH405" s="75">
        <f>K405+M405+O405+Q405</f>
        <v>1710</v>
      </c>
      <c r="FI405" s="72" t="str">
        <f t="shared" si="2149"/>
        <v>NA</v>
      </c>
      <c r="FJ405" s="75">
        <f>S405+U405+W405+Y405</f>
        <v>2150</v>
      </c>
      <c r="FK405" s="72">
        <f t="shared" si="2150"/>
        <v>25.730994152046776</v>
      </c>
      <c r="FL405" s="75">
        <f>FL404+FL402</f>
        <v>2181</v>
      </c>
      <c r="FM405" s="72">
        <f t="shared" si="2151"/>
        <v>1.4418604651162781</v>
      </c>
      <c r="FN405" s="75">
        <f>+AI405+AK405+AM405+AO405</f>
        <v>2365</v>
      </c>
      <c r="FO405" s="72">
        <f t="shared" si="2152"/>
        <v>8.4364970197157163</v>
      </c>
      <c r="FP405" s="75">
        <f>AQ405+AS405+AU405+AW405</f>
        <v>2430</v>
      </c>
      <c r="FQ405" s="72">
        <f t="shared" si="2153"/>
        <v>2.7484143763213638</v>
      </c>
      <c r="FR405" s="75">
        <f>AY405+BA405+BC405+BE405</f>
        <v>2094</v>
      </c>
      <c r="FS405" s="72">
        <f t="shared" si="2154"/>
        <v>-13.827160493827165</v>
      </c>
      <c r="FT405" s="75">
        <f>BG405+BI405+BK405+BM405</f>
        <v>1979</v>
      </c>
      <c r="FU405" s="72">
        <f t="shared" si="2155"/>
        <v>-5.4918815663801297</v>
      </c>
      <c r="FV405" s="75">
        <f>SUM(FV402:FV404)</f>
        <v>2193</v>
      </c>
      <c r="FW405" s="72">
        <f>IF(ISERROR(FV405/FT405),"NA",IF(OR(FV405/FT405&gt;2,FV405/FT405&lt;0.5),"NM",FV405/FT405*100-100))</f>
        <v>10.813542193026777</v>
      </c>
      <c r="FX405" s="75">
        <f>SUM(FX402:FX404)</f>
        <v>2939</v>
      </c>
      <c r="FY405" s="72">
        <f>IF(ISERROR(FX405/FV405),"NA",IF(OR(FX405/FV405&gt;2,FX405/FV405&lt;0.5),"NM",FX405/FV405*100-100))</f>
        <v>34.017327861377112</v>
      </c>
      <c r="FZ405" s="75">
        <f t="shared" si="2156"/>
        <v>3528</v>
      </c>
      <c r="GA405" s="72">
        <f>IF(ISERROR(FZ405/FX405),"NA",IF(OR(FZ405/FX405&gt;2,FZ405/FX405&lt;0.5),"NM",FZ405/FX405*100-100))</f>
        <v>20.040830214358635</v>
      </c>
      <c r="GB405" s="75">
        <f t="shared" si="2157"/>
        <v>8785</v>
      </c>
      <c r="GC405" s="72" t="str">
        <f>IF(ISERROR(GB405/FZ405),"NA",IF(OR(GB405/FZ405&gt;2,GB405/FZ405&lt;0.5),"NM",GB405/FZ405*100-100))</f>
        <v>NM</v>
      </c>
      <c r="GD405" s="75">
        <f>CU405+CW405+CY405+DA405</f>
        <v>17739</v>
      </c>
      <c r="GE405" s="72" t="str">
        <f>IF(ISERROR(GD405/GB405),"NA",IF(OR(GD405/GB405&gt;2,GD405/GB405&lt;0.5),"NM",GD405/GB405*100-100))</f>
        <v>NM</v>
      </c>
      <c r="GF405" s="75">
        <f>DC405+DE405+DG405+DI405</f>
        <v>10517</v>
      </c>
      <c r="GG405" s="72">
        <f>IF(ISERROR(GF405/GD405),"NA",IF(OR(GF405/GD405&gt;2,GF405/GD405&lt;0.5),"NM",GF405/GD405*100-100))</f>
        <v>-40.712554258977399</v>
      </c>
      <c r="GH405" s="75">
        <f>DK405+DM405+DO405+DQ405</f>
        <v>7764</v>
      </c>
      <c r="GI405" s="72">
        <f t="shared" si="2158"/>
        <v>-26.176666349719497</v>
      </c>
      <c r="GJ405" s="75">
        <f>DS405+DU405+DW405+DY405</f>
        <v>7307</v>
      </c>
      <c r="GK405" s="72">
        <f t="shared" si="2158"/>
        <v>-5.8861411643482739</v>
      </c>
      <c r="GL405" s="75">
        <f>EA405+EC405+EE405+EG405</f>
        <v>8030</v>
      </c>
      <c r="GM405" s="72">
        <f t="shared" si="2158"/>
        <v>9.8946215957301149</v>
      </c>
      <c r="GN405" s="75">
        <f>EI405+EK405+EM405+EO405</f>
        <v>7900</v>
      </c>
      <c r="GO405" s="72">
        <f t="shared" si="2158"/>
        <v>-1.6189290161892842</v>
      </c>
      <c r="GP405" s="75">
        <f>EQ405+ES405+EU405+EW405</f>
        <v>8014.5855855855852</v>
      </c>
      <c r="GQ405" s="72">
        <f t="shared" si="2158"/>
        <v>1.4504504504504467</v>
      </c>
      <c r="GR405" s="75">
        <f>GR404+GR403</f>
        <v>8094.7314414414413</v>
      </c>
      <c r="GS405" s="72">
        <f t="shared" si="2158"/>
        <v>1</v>
      </c>
      <c r="GT405" s="75">
        <f>GT404+GT403</f>
        <v>8175.6787558558563</v>
      </c>
      <c r="GU405" s="72">
        <f t="shared" si="2158"/>
        <v>1</v>
      </c>
      <c r="GV405" s="75">
        <f>GV404+GV403</f>
        <v>8257.4355434144145</v>
      </c>
      <c r="GW405" s="72">
        <f t="shared" si="2159"/>
        <v>1</v>
      </c>
      <c r="GX405" s="75">
        <f>GX404+GX403</f>
        <v>8340.0098988485588</v>
      </c>
      <c r="GY405" s="72">
        <f t="shared" si="2160"/>
        <v>1</v>
      </c>
      <c r="GZ405" s="72">
        <f t="shared" si="2161"/>
        <v>1.0899298015088821</v>
      </c>
      <c r="HA405" s="72"/>
      <c r="HB405" s="72"/>
      <c r="HC405"/>
      <c r="HD405"/>
      <c r="HE405"/>
      <c r="HF405"/>
      <c r="HG405"/>
      <c r="HH405"/>
      <c r="HI405" s="2"/>
    </row>
    <row r="406" spans="1:217" s="3" customFormat="1" ht="12.75" customHeight="1" x14ac:dyDescent="0.2">
      <c r="B406" s="10" t="s">
        <v>667</v>
      </c>
      <c r="C406" s="151">
        <f>FF406-I406-G406-E406</f>
        <v>-50</v>
      </c>
      <c r="D406" s="72"/>
      <c r="E406" s="151">
        <v>16</v>
      </c>
      <c r="F406" s="72"/>
      <c r="G406" s="151">
        <v>14</v>
      </c>
      <c r="H406" s="72"/>
      <c r="I406" s="151">
        <v>20</v>
      </c>
      <c r="J406" s="72"/>
      <c r="K406" s="151">
        <v>8</v>
      </c>
      <c r="L406" s="72" t="str">
        <f t="shared" si="2118"/>
        <v>NM</v>
      </c>
      <c r="M406" s="74">
        <v>80</v>
      </c>
      <c r="N406" s="72" t="str">
        <f t="shared" si="2119"/>
        <v>NM</v>
      </c>
      <c r="O406" s="74">
        <v>117</v>
      </c>
      <c r="P406" s="72" t="str">
        <f t="shared" si="2120"/>
        <v>NM</v>
      </c>
      <c r="Q406" s="74">
        <v>107</v>
      </c>
      <c r="R406" s="72" t="str">
        <f>IF(ISERROR(Q406/I406),"NA",IF(OR(Q406/I406&gt;2,Q406/I406&lt;0.5),"NM",Q406/I406*100-100))</f>
        <v>NM</v>
      </c>
      <c r="S406" s="74">
        <v>109</v>
      </c>
      <c r="T406" s="72" t="str">
        <f>IF(ISERROR(S406/K406),"NA",IF(OR(S406/K406&gt;2,S406/K406&lt;0.5),"NM",S406/K406*100-100))</f>
        <v>NM</v>
      </c>
      <c r="U406" s="74">
        <v>126</v>
      </c>
      <c r="V406" s="72">
        <f>IF(ISERROR(U406/M406),"NA",IF(OR(U406/M406&gt;2,U406/M406&lt;0.5),"NM",U406/M406*100-100))</f>
        <v>57.5</v>
      </c>
      <c r="W406" s="74">
        <v>138</v>
      </c>
      <c r="X406" s="72">
        <f>IF(ISERROR(W406/O406),"NA",IF(OR(W406/O406&gt;2,W406/O406&lt;0.5),"NM",W406/O406*100-100))</f>
        <v>17.948717948717956</v>
      </c>
      <c r="Y406" s="74">
        <v>127</v>
      </c>
      <c r="Z406" s="72">
        <f>IF(ISERROR(Y406/Q406),"NA",IF(OR(Y406/Q406&gt;2,Y406/Q406&lt;0.5),"NM",Y406/Q406*100-100))</f>
        <v>18.691588785046733</v>
      </c>
      <c r="AA406" s="74">
        <v>132</v>
      </c>
      <c r="AB406" s="72">
        <f>IF(ISERROR(AA406/S406),"NA",IF(OR(AA406/S406&gt;2,AA406/S406&lt;0.5),"NM",AA406/S406*100-100))</f>
        <v>21.10091743119267</v>
      </c>
      <c r="AC406" s="74">
        <v>140</v>
      </c>
      <c r="AD406" s="72">
        <f>IF(ISERROR(AC406/U406),"NA",IF(OR(AC406/U406&gt;2,AC406/U406&lt;0.5),"NM",AC406/U406*100-100))</f>
        <v>11.111111111111114</v>
      </c>
      <c r="AE406" s="74">
        <v>143</v>
      </c>
      <c r="AF406" s="72">
        <f>IF(ISERROR(AE406/W406),"NA",IF(OR(AE406/W406&gt;2,AE406/W406&lt;0.5),"NM",AE406/W406*100-100))</f>
        <v>3.6231884057970944</v>
      </c>
      <c r="AG406" s="74">
        <v>139</v>
      </c>
      <c r="AH406" s="72">
        <f>IF(ISERROR(AG406/Y406),"NA",IF(OR(AG406/Y406&gt;2,AG406/Y406&lt;0.5),"NM",AG406/Y406*100-100))</f>
        <v>9.4488188976378069</v>
      </c>
      <c r="AI406" s="74">
        <v>151</v>
      </c>
      <c r="AJ406" s="72">
        <f>IF(ISERROR(AI406/AA406),"NA",IF(OR(AI406/AA406&gt;2,AI406/AA406&lt;0.5),"NM",AI406/AA406*100-100))</f>
        <v>14.393939393939405</v>
      </c>
      <c r="AK406" s="74">
        <v>148</v>
      </c>
      <c r="AL406" s="72">
        <f>IF(ISERROR(AK406/AC406),"NA",IF(OR(AK406/AC406&gt;2,AK406/AC406&lt;0.5),"NM",AK406/AC406*100-100))</f>
        <v>5.7142857142857224</v>
      </c>
      <c r="AM406" s="74">
        <v>151</v>
      </c>
      <c r="AN406" s="72">
        <f>IF(ISERROR(AM406/AE406),"NA",IF(OR(AM406/AE406&gt;2,AM406/AE406&lt;0.5),"NM",AM406/AE406*100-100))</f>
        <v>5.5944055944056004</v>
      </c>
      <c r="AO406" s="74">
        <v>150</v>
      </c>
      <c r="AP406" s="72">
        <f>IF(ISERROR(AO406/AG406),"NA",IF(OR(AO406/AG406&gt;2,AO406/AG406&lt;0.5),"NM",AO406/AG406*100-100))</f>
        <v>7.9136690647481913</v>
      </c>
      <c r="AQ406" s="74">
        <v>156</v>
      </c>
      <c r="AR406" s="72">
        <f t="shared" si="2121"/>
        <v>3.3112582781456865</v>
      </c>
      <c r="AS406" s="74">
        <v>170</v>
      </c>
      <c r="AT406" s="72">
        <f t="shared" si="2122"/>
        <v>14.86486486486487</v>
      </c>
      <c r="AU406" s="74">
        <v>179</v>
      </c>
      <c r="AV406" s="72">
        <f t="shared" si="2123"/>
        <v>18.543046357615907</v>
      </c>
      <c r="AW406" s="74">
        <v>171</v>
      </c>
      <c r="AX406" s="72">
        <f t="shared" si="2124"/>
        <v>13.999999999999986</v>
      </c>
      <c r="AY406" s="74">
        <v>167</v>
      </c>
      <c r="AZ406" s="72">
        <f t="shared" si="2125"/>
        <v>7.051282051282044</v>
      </c>
      <c r="BA406" s="74">
        <v>175</v>
      </c>
      <c r="BB406" s="72">
        <f t="shared" si="2126"/>
        <v>2.941176470588232</v>
      </c>
      <c r="BC406" s="74">
        <v>196</v>
      </c>
      <c r="BD406" s="72">
        <f t="shared" si="2127"/>
        <v>9.4972067039106065</v>
      </c>
      <c r="BE406" s="74">
        <v>186</v>
      </c>
      <c r="BF406" s="72">
        <f t="shared" si="2128"/>
        <v>8.7719298245614112</v>
      </c>
      <c r="BG406" s="74">
        <v>191</v>
      </c>
      <c r="BH406" s="72">
        <f t="shared" si="2129"/>
        <v>14.371257485029943</v>
      </c>
      <c r="BI406" s="74">
        <v>208</v>
      </c>
      <c r="BJ406" s="72">
        <f>IF(ISERROR(BI406/BA406),"NA",IF(OR(BI406/BA406&gt;2,BI406/BA406&lt;0.5),"NM",BI406/BA406*100-100))</f>
        <v>18.857142857142861</v>
      </c>
      <c r="BK406" s="74">
        <v>201</v>
      </c>
      <c r="BL406" s="72">
        <f>IF(ISERROR(BK406/BC406),"NA",IF(OR(BK406/BC406&gt;2,BK406/BC406&lt;0.5),"NM",BK406/BC406*100-100))</f>
        <v>2.5510204081632679</v>
      </c>
      <c r="BM406" s="74">
        <v>209</v>
      </c>
      <c r="BN406" s="72">
        <f t="shared" si="2130"/>
        <v>12.365591397849457</v>
      </c>
      <c r="BO406" s="74">
        <v>216</v>
      </c>
      <c r="BP406" s="72">
        <f>IF(ISERROR(BO406/BG406),"NA",IF(OR(BO406/BG406&gt;2,BO406/BG406&lt;0.5),"NM",BO406/BG406*100-100))</f>
        <v>13.089005235602102</v>
      </c>
      <c r="BQ406" s="74">
        <v>258</v>
      </c>
      <c r="BR406" s="72">
        <f>IF(ISERROR(BQ406/BI406),"NA",IF(OR(BQ406/BI406&gt;2,BQ406/BI406&lt;0.5),"NM",BQ406/BI406*100-100))</f>
        <v>24.038461538461547</v>
      </c>
      <c r="BS406" s="74">
        <v>255</v>
      </c>
      <c r="BT406" s="72">
        <f>IF(ISERROR(BS406/BK406),"NA",IF(OR(BS406/BK406&gt;2,BS406/BK406&lt;0.5),"NM",BS406/BK406*100-100))</f>
        <v>26.865671641791053</v>
      </c>
      <c r="BU406" s="74">
        <v>266</v>
      </c>
      <c r="BV406" s="72">
        <f>IF(ISERROR(BU406/BM406),"NA",IF(OR(BU406/BM406&gt;2,BU406/BM406&lt;0.5),"NM",BU406/BM406*100-100))</f>
        <v>27.272727272727266</v>
      </c>
      <c r="BW406" s="74">
        <v>277</v>
      </c>
      <c r="BX406" s="72">
        <f>IF(ISERROR(BW406/BO406),"NA",IF(OR(BW406/BO406&gt;2,BW406/BO406&lt;0.5),"NM",BW406/BO406*100-100))</f>
        <v>28.240740740740733</v>
      </c>
      <c r="BY406" s="74">
        <v>258</v>
      </c>
      <c r="BZ406" s="72">
        <f>IF(ISERROR(BY406/BQ406),"NA",IF(OR(BY406/BQ406&gt;2,BY406/BQ406&lt;0.5),"NM",BY406/BQ406*100-100))</f>
        <v>0</v>
      </c>
      <c r="CA406" s="74">
        <v>286</v>
      </c>
      <c r="CB406" s="72">
        <f>IF(ISERROR(CA406/BS406),"NA",IF(OR(CA406/BS406&gt;2,CA406/BS406&lt;0.5),"NM",CA406/BS406*100-100))</f>
        <v>12.156862745098039</v>
      </c>
      <c r="CC406" s="74">
        <v>282</v>
      </c>
      <c r="CD406" s="72">
        <f>IF(ISERROR(CC406/BU406),"NA",IF(OR(CC406/BU406&gt;2,CC406/BU406&lt;0.5),"NM",CC406/BU406*100-100))</f>
        <v>6.0150375939849567</v>
      </c>
      <c r="CE406" s="74">
        <v>286</v>
      </c>
      <c r="CF406" s="72">
        <f>IF(ISERROR(CE406/BW406),"NA",IF(OR(CE406/BW406&gt;2,CE406/BW406&lt;0.5),"NM",CE406/BW406*100-100))</f>
        <v>3.2490974729241913</v>
      </c>
      <c r="CG406" s="74">
        <v>285</v>
      </c>
      <c r="CH406" s="72">
        <f>IF(ISERROR(CG406/BY406),"NA",IF(OR(CG406/BY406&gt;2,CG406/BY406&lt;0.5),"NM",CG406/BY406*100-100))</f>
        <v>10.465116279069761</v>
      </c>
      <c r="CI406" s="74">
        <v>316</v>
      </c>
      <c r="CJ406" s="72">
        <f>IF(ISERROR(CI406/CA406),"NA",IF(OR(CI406/CA406&gt;2,CI406/CA406&lt;0.5),"NM",CI406/CA406*100-100))</f>
        <v>10.489510489510479</v>
      </c>
      <c r="CK406" s="74">
        <v>326</v>
      </c>
      <c r="CL406" s="72">
        <f>IF(ISERROR(CK406/CC406),"NA",IF(OR(CK406/CC406&gt;2,CK406/CC406&lt;0.5),"NM",CK406/CC406*100-100))</f>
        <v>15.60283687943263</v>
      </c>
      <c r="CM406" s="74">
        <v>414</v>
      </c>
      <c r="CN406" s="72">
        <f>IF(ISERROR(CM406/CE406),"NA",IF(OR(CM406/CE406&gt;2,CM406/CE406&lt;0.5),"NM",CM406/CE406*100-100))</f>
        <v>44.755244755244746</v>
      </c>
      <c r="CO406" s="74">
        <v>614</v>
      </c>
      <c r="CP406" s="72" t="str">
        <f>IF(ISERROR(CO406/CG406),"NA",IF(OR(CO406/CG406&gt;2,CO406/CG406&lt;0.5),"NM",CO406/CG406*100-100))</f>
        <v>NM</v>
      </c>
      <c r="CQ406" s="74">
        <v>648</v>
      </c>
      <c r="CR406" s="72" t="str">
        <f>IF(ISERROR(CQ406/CI406),"NA",IF(OR(CQ406/CI406&gt;2,CQ406/CI406&lt;0.5),"NM",CQ406/CI406*100-100))</f>
        <v>NM</v>
      </c>
      <c r="CS406" s="74">
        <v>643</v>
      </c>
      <c r="CT406" s="72">
        <f>IF(ISERROR(CS406/CK406),"NA",IF(OR(CS406/CK406&gt;2,CS406/CK406&lt;0.5),"NM",CS406/CK406*100-100))</f>
        <v>97.239263803680984</v>
      </c>
      <c r="CU406" s="74">
        <v>628</v>
      </c>
      <c r="CV406" s="72">
        <f>IF(ISERROR(CU406/CM406),"NA",IF(OR(CU406/CM406&gt;2,CU406/CM406&lt;0.5),"NM",CU406/CM406*100-100))</f>
        <v>51.690821256038646</v>
      </c>
      <c r="CW406" s="74">
        <v>649</v>
      </c>
      <c r="CX406" s="72">
        <f>IF(ISERROR(CW406/CO406),"NA",IF(OR(CW406/CO406&gt;2,CW406/CO406&lt;0.5),"NM",CW406/CO406*100-100))</f>
        <v>5.7003257328990316</v>
      </c>
      <c r="CY406" s="74">
        <v>701</v>
      </c>
      <c r="CZ406" s="72">
        <f>IF(ISERROR(CY406/CQ406),"NA",IF(OR(CY406/CQ406&gt;2,CY406/CQ406&lt;0.5),"NM",CY406/CQ406*100-100))</f>
        <v>8.1790123456790127</v>
      </c>
      <c r="DA406" s="74">
        <v>695</v>
      </c>
      <c r="DB406" s="72">
        <f>IF(ISERROR(DA406/CS406),"NA",IF(OR(DA406/CS406&gt;2,DA406/CS406&lt;0.5),"NM",DA406/CS406*100-100))</f>
        <v>8.0870917573872418</v>
      </c>
      <c r="DC406" s="74">
        <v>690</v>
      </c>
      <c r="DD406" s="72">
        <f t="shared" si="2131"/>
        <v>9.8726114649681591</v>
      </c>
      <c r="DE406" s="74">
        <v>677</v>
      </c>
      <c r="DF406" s="72">
        <f t="shared" si="2132"/>
        <v>4.3143297380585466</v>
      </c>
      <c r="DG406" s="74">
        <v>681</v>
      </c>
      <c r="DH406" s="72">
        <f t="shared" si="2133"/>
        <v>-2.8530670470756121</v>
      </c>
      <c r="DI406" s="74">
        <v>642</v>
      </c>
      <c r="DJ406" s="72">
        <f>IF(ISERROR(DI406/DA406),"NA",IF(OR(DI406/DA406&gt;2,DI406/DA406&lt;0.5),"NM",DI406/DA406*100-100))</f>
        <v>-7.6258992805755383</v>
      </c>
      <c r="DK406" s="74">
        <v>653</v>
      </c>
      <c r="DL406" s="72">
        <f>IF(ISERROR(DK406/DC406),"NA",IF(OR(DK406/DC406&gt;2,DK406/DC406&lt;0.5),"NM",DK406/DC406*100-100))</f>
        <v>-5.3623188405797038</v>
      </c>
      <c r="DM406" s="74">
        <v>697</v>
      </c>
      <c r="DN406" s="72">
        <f t="shared" si="2134"/>
        <v>2.9542097488921826</v>
      </c>
      <c r="DO406" s="74">
        <v>702</v>
      </c>
      <c r="DP406" s="72">
        <f t="shared" si="2134"/>
        <v>3.0837004405286308</v>
      </c>
      <c r="DQ406" s="74">
        <v>655</v>
      </c>
      <c r="DR406" s="72">
        <f t="shared" si="2134"/>
        <v>2.0249221183800614</v>
      </c>
      <c r="DS406" s="74">
        <v>665</v>
      </c>
      <c r="DT406" s="72">
        <f t="shared" si="2134"/>
        <v>1.8376722817764204</v>
      </c>
      <c r="DU406" s="74">
        <v>664</v>
      </c>
      <c r="DV406" s="72">
        <f t="shared" si="2134"/>
        <v>-4.734576757532281</v>
      </c>
      <c r="DW406" s="74">
        <v>647</v>
      </c>
      <c r="DX406" s="72">
        <f t="shared" si="2134"/>
        <v>-7.8347578347578377</v>
      </c>
      <c r="DY406" s="74">
        <v>630</v>
      </c>
      <c r="DZ406" s="72">
        <f t="shared" si="2134"/>
        <v>-3.8167938931297698</v>
      </c>
      <c r="EA406" s="74">
        <v>656</v>
      </c>
      <c r="EB406" s="72">
        <f t="shared" si="2135"/>
        <v>-1.3533834586466185</v>
      </c>
      <c r="EC406" s="74">
        <v>721</v>
      </c>
      <c r="ED406" s="72">
        <f t="shared" si="2136"/>
        <v>8.5843373493975861</v>
      </c>
      <c r="EE406" s="74">
        <v>716</v>
      </c>
      <c r="EF406" s="72">
        <f t="shared" si="2137"/>
        <v>10.664605873261209</v>
      </c>
      <c r="EG406" s="74">
        <v>714</v>
      </c>
      <c r="EH406" s="72">
        <f t="shared" si="2138"/>
        <v>13.333333333333329</v>
      </c>
      <c r="EI406" s="74">
        <v>696</v>
      </c>
      <c r="EJ406" s="72">
        <f t="shared" si="2139"/>
        <v>6.0975609756097668</v>
      </c>
      <c r="EK406" s="74">
        <v>744</v>
      </c>
      <c r="EL406" s="72">
        <f t="shared" si="2140"/>
        <v>3.1900138696255169</v>
      </c>
      <c r="EM406" s="74">
        <v>738</v>
      </c>
      <c r="EN406" s="72">
        <f t="shared" si="2141"/>
        <v>3.0726256983240319</v>
      </c>
      <c r="EO406" s="74">
        <v>730</v>
      </c>
      <c r="EP406" s="72">
        <f t="shared" si="2142"/>
        <v>2.2408963585434094</v>
      </c>
      <c r="EQ406" s="74">
        <v>705</v>
      </c>
      <c r="ER406" s="72">
        <f t="shared" si="2143"/>
        <v>1.2931034482758719</v>
      </c>
      <c r="ES406" s="74">
        <f>EQ406</f>
        <v>705</v>
      </c>
      <c r="ET406" s="72">
        <f t="shared" si="2144"/>
        <v>-5.2419354838709609</v>
      </c>
      <c r="EU406" s="74">
        <f>ES406</f>
        <v>705</v>
      </c>
      <c r="EV406" s="72">
        <f t="shared" si="2145"/>
        <v>-4.4715447154471519</v>
      </c>
      <c r="EW406" s="74">
        <f>EU406</f>
        <v>705</v>
      </c>
      <c r="EX406" s="72">
        <f t="shared" si="2146"/>
        <v>-3.4246575342465775</v>
      </c>
      <c r="EY406" s="72"/>
      <c r="EZ406" s="323"/>
      <c r="FA406" s="72"/>
      <c r="FB406" s="74"/>
      <c r="FC406" s="72"/>
      <c r="FD406" s="74"/>
      <c r="FE406" s="72" t="str">
        <f t="shared" si="2147"/>
        <v>NA</v>
      </c>
      <c r="FF406" s="74"/>
      <c r="FG406" s="72" t="str">
        <f t="shared" si="2148"/>
        <v>NA</v>
      </c>
      <c r="FH406" s="75">
        <f>K406+M406+O406+Q406</f>
        <v>312</v>
      </c>
      <c r="FI406" s="72" t="str">
        <f t="shared" si="2149"/>
        <v>NA</v>
      </c>
      <c r="FJ406" s="75">
        <f>S406+U406+W406+Y406</f>
        <v>500</v>
      </c>
      <c r="FK406" s="72">
        <f t="shared" si="2150"/>
        <v>60.256410256410277</v>
      </c>
      <c r="FL406" s="75">
        <f>+AA406+AC406+AE406+AG406</f>
        <v>554</v>
      </c>
      <c r="FM406" s="72">
        <f t="shared" si="2151"/>
        <v>10.800000000000011</v>
      </c>
      <c r="FN406" s="75">
        <f>+AI406+AK406+AM406+AO406</f>
        <v>600</v>
      </c>
      <c r="FO406" s="72">
        <f t="shared" si="2152"/>
        <v>8.3032490974729285</v>
      </c>
      <c r="FP406" s="75">
        <f>AQ406+AS406+AU406+AW406</f>
        <v>676</v>
      </c>
      <c r="FQ406" s="72">
        <f t="shared" si="2153"/>
        <v>12.666666666666671</v>
      </c>
      <c r="FR406" s="75">
        <f>AY406+BA406+BC406+BE406</f>
        <v>724</v>
      </c>
      <c r="FS406" s="72">
        <f t="shared" si="2154"/>
        <v>7.1005917159763214</v>
      </c>
      <c r="FT406" s="75">
        <f>BG406+BI406+BK406+BM406</f>
        <v>809</v>
      </c>
      <c r="FU406" s="72">
        <f t="shared" si="2155"/>
        <v>11.740331491712695</v>
      </c>
      <c r="FV406" s="74">
        <v>1007</v>
      </c>
      <c r="FW406" s="72">
        <f>IF(ISERROR(FV406/FT406),"NA",IF(OR(FV406/FT406&gt;2,FV406/FT406&lt;0.5),"NM",FV406/FT406*100-100))</f>
        <v>24.474660074165627</v>
      </c>
      <c r="FX406" s="75">
        <f>+CC406+CA406+BY406+BW406</f>
        <v>1103</v>
      </c>
      <c r="FY406" s="72">
        <f>IF(ISERROR(FX406/FV406),"NA",IF(OR(FX406/FV406&gt;2,FX406/FV406&lt;0.5),"NM",FX406/FV406*100-100))</f>
        <v>9.5332671300893708</v>
      </c>
      <c r="FZ406" s="75">
        <f t="shared" si="2156"/>
        <v>1213</v>
      </c>
      <c r="GA406" s="72">
        <f>IF(ISERROR(FZ406/FX406),"NA",IF(OR(FZ406/FX406&gt;2,FZ406/FX406&lt;0.5),"NM",FZ406/FX406*100-100))</f>
        <v>9.9728014505893015</v>
      </c>
      <c r="GB406" s="75">
        <f t="shared" si="2157"/>
        <v>2319</v>
      </c>
      <c r="GC406" s="72">
        <f>IF(ISERROR(GB406/FZ406),"NA",IF(OR(GB406/FZ406&gt;2,GB406/FZ406&lt;0.5),"NM",GB406/FZ406*100-100))</f>
        <v>91.178895300906845</v>
      </c>
      <c r="GD406" s="75">
        <f>CU406+CW406+CY406+DA406</f>
        <v>2673</v>
      </c>
      <c r="GE406" s="72">
        <f>IF(ISERROR(GD406/GB406),"NA",IF(OR(GD406/GB406&gt;2,GD406/GB406&lt;0.5),"NM",GD406/GB406*100-100))</f>
        <v>15.265200517464422</v>
      </c>
      <c r="GF406" s="75">
        <f>DC406+DE406+DG406+DI406</f>
        <v>2690</v>
      </c>
      <c r="GG406" s="72">
        <f>IF(ISERROR(GF406/GD406),"NA",IF(OR(GF406/GD406&gt;2,GF406/GD406&lt;0.5),"NM",GF406/GD406*100-100))</f>
        <v>0.63598952487842553</v>
      </c>
      <c r="GH406" s="75">
        <f>DK406+DM406+DO406+DQ406</f>
        <v>2707</v>
      </c>
      <c r="GI406" s="72">
        <f t="shared" si="2158"/>
        <v>0.63197026022305636</v>
      </c>
      <c r="GJ406" s="75">
        <f>DS406+DU406+DW406+DY406</f>
        <v>2606</v>
      </c>
      <c r="GK406" s="72">
        <f t="shared" si="2158"/>
        <v>-3.7310676025120131</v>
      </c>
      <c r="GL406" s="75">
        <f>EA406+EC406+EE406+EG406</f>
        <v>2807</v>
      </c>
      <c r="GM406" s="72">
        <f t="shared" si="2158"/>
        <v>7.7129700690713605</v>
      </c>
      <c r="GN406" s="75">
        <f>EI406+EK406+EM406+EO406</f>
        <v>2908</v>
      </c>
      <c r="GO406" s="72">
        <f t="shared" si="2158"/>
        <v>3.5981474884218017</v>
      </c>
      <c r="GP406" s="75">
        <f>EQ406+ES406+EU406+EW406</f>
        <v>2820</v>
      </c>
      <c r="GQ406" s="72">
        <f t="shared" si="2158"/>
        <v>-3.02613480055021</v>
      </c>
      <c r="GR406" s="74">
        <f>GP406*(1+GR$399/100)</f>
        <v>2848.2</v>
      </c>
      <c r="GS406" s="72">
        <f t="shared" si="2158"/>
        <v>1</v>
      </c>
      <c r="GT406" s="74">
        <f>GR406*(1+GT$399/100)</f>
        <v>2876.6819999999998</v>
      </c>
      <c r="GU406" s="72">
        <f t="shared" si="2158"/>
        <v>1</v>
      </c>
      <c r="GV406" s="74">
        <f>GT406*(1+GV$399/100)</f>
        <v>2905.4488199999996</v>
      </c>
      <c r="GW406" s="72">
        <f t="shared" si="2159"/>
        <v>1</v>
      </c>
      <c r="GX406" s="74">
        <f>GV406*(1+GX$399/100)</f>
        <v>2934.5033081999995</v>
      </c>
      <c r="GY406" s="72">
        <f t="shared" si="2160"/>
        <v>1</v>
      </c>
      <c r="GZ406" s="72">
        <f t="shared" si="2161"/>
        <v>0.18161769935505223</v>
      </c>
      <c r="HA406" s="72"/>
      <c r="HB406" s="72"/>
      <c r="HC406"/>
      <c r="HD406"/>
      <c r="HE406"/>
      <c r="HF406"/>
      <c r="HG406"/>
      <c r="HH406"/>
      <c r="HI406" s="2"/>
    </row>
    <row r="407" spans="1:217" s="3" customFormat="1" ht="12.75" customHeight="1" x14ac:dyDescent="0.2">
      <c r="B407" s="77" t="s">
        <v>293</v>
      </c>
      <c r="C407" s="151">
        <f>FF407-I407-G407-E407</f>
        <v>-451</v>
      </c>
      <c r="D407" s="72"/>
      <c r="E407" s="151">
        <v>156</v>
      </c>
      <c r="F407" s="72"/>
      <c r="G407" s="151">
        <v>156</v>
      </c>
      <c r="H407" s="72"/>
      <c r="I407" s="151">
        <v>139</v>
      </c>
      <c r="J407" s="72"/>
      <c r="K407" s="151">
        <v>73</v>
      </c>
      <c r="L407" s="72" t="str">
        <f t="shared" si="2118"/>
        <v>NM</v>
      </c>
      <c r="M407" s="74">
        <v>1</v>
      </c>
      <c r="N407" s="72" t="str">
        <f t="shared" si="2119"/>
        <v>NM</v>
      </c>
      <c r="O407" s="74">
        <v>1</v>
      </c>
      <c r="P407" s="72" t="str">
        <f t="shared" si="2120"/>
        <v>NM</v>
      </c>
      <c r="Q407" s="74">
        <v>10</v>
      </c>
      <c r="R407" s="72" t="str">
        <f>IF(ISERROR(Q407/I407),"NA",IF(OR(Q407/I407&gt;2,Q407/I407&lt;0.5),"NM",Q407/I407*100-100))</f>
        <v>NM</v>
      </c>
      <c r="S407" s="74">
        <v>16</v>
      </c>
      <c r="T407" s="72" t="str">
        <f>IF(ISERROR(S407/K407),"NA",IF(OR(S407/K407&gt;2,S407/K407&lt;0.5),"NM",S407/K407*100-100))</f>
        <v>NM</v>
      </c>
      <c r="U407" s="74">
        <v>18</v>
      </c>
      <c r="V407" s="72" t="str">
        <f>IF(ISERROR(U407/M407),"NA",IF(OR(U407/M407&gt;2,U407/M407&lt;0.5),"NM",U407/M407*100-100))</f>
        <v>NM</v>
      </c>
      <c r="W407" s="74">
        <v>-1</v>
      </c>
      <c r="X407" s="72" t="str">
        <f>IF(ISERROR(W407/O407),"NA",IF(OR(W407/O407&gt;2,W407/O407&lt;0.5),"NM",W407/O407*100-100))</f>
        <v>NM</v>
      </c>
      <c r="Y407" s="74">
        <v>11</v>
      </c>
      <c r="Z407" s="72">
        <f>IF(ISERROR(Y407/Q407),"NA",IF(OR(Y407/Q407&gt;2,Y407/Q407&lt;0.5),"NM",Y407/Q407*100-100))</f>
        <v>10.000000000000014</v>
      </c>
      <c r="AA407" s="74">
        <v>-2</v>
      </c>
      <c r="AB407" s="72" t="str">
        <f>IF(ISERROR(AA407/S407),"NA",IF(OR(AA407/S407&gt;2,AA407/S407&lt;0.5),"NM",AA407/S407*100-100))</f>
        <v>NM</v>
      </c>
      <c r="AC407" s="74">
        <v>0</v>
      </c>
      <c r="AD407" s="72" t="str">
        <f>IF(ISERROR(AC407/U407),"NA",IF(OR(AC407/U407&gt;2,AC407/U407&lt;0.5),"NM",AC407/U407*100-100))</f>
        <v>NM</v>
      </c>
      <c r="AE407" s="74">
        <v>-1</v>
      </c>
      <c r="AF407" s="72">
        <f>IF(ISERROR(AE407/W407),"NA",IF(OR(AE407/W407&gt;2,AE407/W407&lt;0.5),"NM",AE407/W407*100-100))</f>
        <v>0</v>
      </c>
      <c r="AG407" s="74">
        <v>-12</v>
      </c>
      <c r="AH407" s="72" t="str">
        <f>IF(ISERROR(AG407/Y407),"NA",IF(OR(AG407/Y407&gt;2,AG407/Y407&lt;0.5),"NM",AG407/Y407*100-100))</f>
        <v>NM</v>
      </c>
      <c r="AI407" s="74">
        <v>-10</v>
      </c>
      <c r="AJ407" s="72" t="str">
        <f>IF(ISERROR(AI407/AA407),"NA",IF(OR(AI407/AA407&gt;2,AI407/AA407&lt;0.5),"NM",AI407/AA407*100-100))</f>
        <v>NM</v>
      </c>
      <c r="AK407" s="74">
        <v>-3</v>
      </c>
      <c r="AL407" s="72" t="str">
        <f>IF(ISERROR(AK407/AC407),"NA",IF(OR(AK407/AC407&gt;2,AK407/AC407&lt;0.5),"NM",AK407/AC407*100-100))</f>
        <v>NA</v>
      </c>
      <c r="AM407" s="74">
        <v>-6</v>
      </c>
      <c r="AN407" s="72" t="str">
        <f>IF(ISERROR(AM407/AE407),"NA",IF(OR(AM407/AE407&gt;2,AM407/AE407&lt;0.5),"NM",AM407/AE407*100-100))</f>
        <v>NM</v>
      </c>
      <c r="AO407" s="74">
        <v>-8</v>
      </c>
      <c r="AP407" s="72">
        <f>IF(ISERROR(AO407/AG407),"NA",IF(OR(AO407/AG407&gt;2,AO407/AG407&lt;0.5),"NM",AO407/AG407*100-100))</f>
        <v>-33.333333333333343</v>
      </c>
      <c r="AQ407" s="74">
        <v>-1</v>
      </c>
      <c r="AR407" s="72" t="str">
        <f t="shared" si="2121"/>
        <v>NM</v>
      </c>
      <c r="AS407" s="74">
        <v>-1</v>
      </c>
      <c r="AT407" s="72" t="str">
        <f t="shared" si="2122"/>
        <v>NM</v>
      </c>
      <c r="AU407" s="74">
        <v>3</v>
      </c>
      <c r="AV407" s="72" t="str">
        <f t="shared" si="2123"/>
        <v>NM</v>
      </c>
      <c r="AW407" s="74">
        <v>6</v>
      </c>
      <c r="AX407" s="72" t="str">
        <f t="shared" si="2124"/>
        <v>NM</v>
      </c>
      <c r="AY407" s="74">
        <v>2</v>
      </c>
      <c r="AZ407" s="72" t="str">
        <f t="shared" si="2125"/>
        <v>NM</v>
      </c>
      <c r="BA407" s="74">
        <v>3</v>
      </c>
      <c r="BB407" s="72" t="str">
        <f t="shared" si="2126"/>
        <v>NM</v>
      </c>
      <c r="BC407" s="74">
        <v>21</v>
      </c>
      <c r="BD407" s="72" t="str">
        <f t="shared" si="2127"/>
        <v>NM</v>
      </c>
      <c r="BE407" s="74">
        <v>7</v>
      </c>
      <c r="BF407" s="72">
        <f t="shared" si="2128"/>
        <v>16.666666666666671</v>
      </c>
      <c r="BG407" s="74">
        <v>20</v>
      </c>
      <c r="BH407" s="72" t="str">
        <f t="shared" si="2129"/>
        <v>NM</v>
      </c>
      <c r="BI407" s="74">
        <v>16</v>
      </c>
      <c r="BJ407" s="72" t="str">
        <f>IF(ISERROR(BI407/BA407),"NA",IF(OR(BI407/BA407&gt;2,BI407/BA407&lt;0.5),"NM",BI407/BA407*100-100))</f>
        <v>NM</v>
      </c>
      <c r="BK407" s="74">
        <v>23</v>
      </c>
      <c r="BL407" s="72">
        <f>IF(ISERROR(BK407/BC407),"NA",IF(OR(BK407/BC407&gt;2,BK407/BC407&lt;0.5),"NM",BK407/BC407*100-100))</f>
        <v>9.5238095238095326</v>
      </c>
      <c r="BM407" s="74">
        <v>-3</v>
      </c>
      <c r="BN407" s="72" t="str">
        <f t="shared" si="2130"/>
        <v>NM</v>
      </c>
      <c r="BO407" s="74">
        <v>5</v>
      </c>
      <c r="BP407" s="72" t="str">
        <f>IF(ISERROR(BO407/BG407),"NA",IF(OR(BO407/BG407&gt;2,BO407/BG407&lt;0.5),"NM",BO407/BG407*100-100))</f>
        <v>NM</v>
      </c>
      <c r="BQ407" s="74">
        <v>-11</v>
      </c>
      <c r="BR407" s="72" t="str">
        <f>IF(ISERROR(BQ407/BI407),"NA",IF(OR(BQ407/BI407&gt;2,BQ407/BI407&lt;0.5),"NM",BQ407/BI407*100-100))</f>
        <v>NM</v>
      </c>
      <c r="BS407" s="74">
        <v>-6</v>
      </c>
      <c r="BT407" s="72" t="str">
        <f>IF(ISERROR(BS407/BK407),"NA",IF(OR(BS407/BK407&gt;2,BS407/BK407&lt;0.5),"NM",BS407/BK407*100-100))</f>
        <v>NM</v>
      </c>
      <c r="BU407" s="74">
        <v>-14</v>
      </c>
      <c r="BV407" s="72" t="str">
        <f>IF(ISERROR(BU407/BM407),"NA",IF(OR(BU407/BM407&gt;2,BU407/BM407&lt;0.5),"NM",BU407/BM407*100-100))</f>
        <v>NM</v>
      </c>
      <c r="BW407" s="74">
        <v>14</v>
      </c>
      <c r="BX407" s="72" t="str">
        <f>IF(ISERROR(BW407/BO407),"NA",IF(OR(BW407/BO407&gt;2,BW407/BO407&lt;0.5),"NM",BW407/BO407*100-100))</f>
        <v>NM</v>
      </c>
      <c r="BY407" s="74">
        <v>36</v>
      </c>
      <c r="BZ407" s="72" t="str">
        <f>IF(ISERROR(BY407/BQ407),"NA",IF(OR(BY407/BQ407&gt;2,BY407/BQ407&lt;0.5),"NM",BY407/BQ407*100-100))</f>
        <v>NM</v>
      </c>
      <c r="CA407" s="74">
        <v>16</v>
      </c>
      <c r="CB407" s="72" t="str">
        <f>IF(ISERROR(CA407/BS407),"NA",IF(OR(CA407/BS407&gt;2,CA407/BS407&lt;0.5),"NM",CA407/BS407*100-100))</f>
        <v>NM</v>
      </c>
      <c r="CC407" s="74">
        <v>41</v>
      </c>
      <c r="CD407" s="72" t="str">
        <f>IF(ISERROR(CC407/BU407),"NA",IF(OR(CC407/BU407&gt;2,CC407/BU407&lt;0.5),"NM",CC407/BU407*100-100))</f>
        <v>NM</v>
      </c>
      <c r="CE407" s="74">
        <v>40</v>
      </c>
      <c r="CF407" s="72" t="str">
        <f>IF(ISERROR(CE407/BW407),"NA",IF(OR(CE407/BW407&gt;2,CE407/BW407&lt;0.5),"NM",CE407/BW407*100-100))</f>
        <v>NM</v>
      </c>
      <c r="CG407" s="74">
        <v>38</v>
      </c>
      <c r="CH407" s="72">
        <f>IF(ISERROR(CG407/BY407),"NA",IF(OR(CG407/BY407&gt;2,CG407/BY407&lt;0.5),"NM",CG407/BY407*100-100))</f>
        <v>5.5555555555555571</v>
      </c>
      <c r="CI407" s="74">
        <v>36</v>
      </c>
      <c r="CJ407" s="72" t="str">
        <f>IF(ISERROR(CI407/CA407),"NA",IF(OR(CI407/CA407&gt;2,CI407/CA407&lt;0.5),"NM",CI407/CA407*100-100))</f>
        <v>NM</v>
      </c>
      <c r="CK407" s="74">
        <v>95</v>
      </c>
      <c r="CL407" s="72" t="str">
        <f>IF(ISERROR(CK407/CC407),"NA",IF(OR(CK407/CC407&gt;2,CK407/CC407&lt;0.5),"NM",CK407/CC407*100-100))</f>
        <v>NM</v>
      </c>
      <c r="CM407" s="74">
        <v>186</v>
      </c>
      <c r="CN407" s="72" t="str">
        <f>IF(ISERROR(CM407/CE407),"NA",IF(OR(CM407/CE407&gt;2,CM407/CE407&lt;0.5),"NM",CM407/CE407*100-100))</f>
        <v>NM</v>
      </c>
      <c r="CO407" s="74">
        <v>47</v>
      </c>
      <c r="CP407" s="72">
        <f>IF(ISERROR(CO407/CG407),"NA",IF(OR(CO407/CG407&gt;2,CO407/CG407&lt;0.5),"NM",CO407/CG407*100-100))</f>
        <v>23.684210526315795</v>
      </c>
      <c r="CQ407" s="74">
        <v>128</v>
      </c>
      <c r="CR407" s="72" t="str">
        <f>IF(ISERROR(CQ407/CI407),"NA",IF(OR(CQ407/CI407&gt;2,CQ407/CI407&lt;0.5),"NM",CQ407/CI407*100-100))</f>
        <v>NM</v>
      </c>
      <c r="CS407" s="74">
        <v>10</v>
      </c>
      <c r="CT407" s="72" t="str">
        <f>IF(ISERROR(CS407/CK407),"NA",IF(OR(CS407/CK407&gt;2,CS407/CK407&lt;0.5),"NM",CS407/CK407*100-100))</f>
        <v>NM</v>
      </c>
      <c r="CU407" s="74">
        <v>35</v>
      </c>
      <c r="CV407" s="72" t="str">
        <f>IF(ISERROR(CU407/CM407),"NA",IF(OR(CU407/CM407&gt;2,CU407/CM407&lt;0.5),"NM",CU407/CM407*100-100))</f>
        <v>NM</v>
      </c>
      <c r="CW407" s="74">
        <v>35</v>
      </c>
      <c r="CX407" s="72">
        <f>IF(ISERROR(CW407/CO407),"NA",IF(OR(CW407/CO407&gt;2,CW407/CO407&lt;0.5),"NM",CW407/CO407*100-100))</f>
        <v>-25.531914893617028</v>
      </c>
      <c r="CY407" s="74">
        <v>73</v>
      </c>
      <c r="CZ407" s="72">
        <f>IF(ISERROR(CY407/CQ407),"NA",IF(OR(CY407/CQ407&gt;2,CY407/CQ407&lt;0.5),"NM",CY407/CQ407*100-100))</f>
        <v>-42.96875</v>
      </c>
      <c r="DA407" s="74">
        <v>29</v>
      </c>
      <c r="DB407" s="72" t="str">
        <f>IF(ISERROR(DA407/CS407),"NA",IF(OR(DA407/CS407&gt;2,DA407/CS407&lt;0.5),"NM",DA407/CS407*100-100))</f>
        <v>NM</v>
      </c>
      <c r="DC407" s="74">
        <v>124</v>
      </c>
      <c r="DD407" s="72" t="str">
        <f t="shared" si="2131"/>
        <v>NM</v>
      </c>
      <c r="DE407" s="74">
        <v>81</v>
      </c>
      <c r="DF407" s="72" t="str">
        <f t="shared" si="2132"/>
        <v>NM</v>
      </c>
      <c r="DG407" s="74">
        <v>68</v>
      </c>
      <c r="DH407" s="72">
        <f t="shared" si="2133"/>
        <v>-6.849315068493155</v>
      </c>
      <c r="DI407" s="74">
        <v>82</v>
      </c>
      <c r="DJ407" s="72" t="str">
        <f>IF(ISERROR(DI407/DA407),"NA",IF(OR(DI407/DA407&gt;2,DI407/DA407&lt;0.5),"NM",DI407/DA407*100-100))</f>
        <v>NM</v>
      </c>
      <c r="DK407" s="74">
        <v>84</v>
      </c>
      <c r="DL407" s="72">
        <f>IF(ISERROR(DK407/DC407),"NA",IF(OR(DK407/DC407&gt;2,DK407/DC407&lt;0.5),"NM",DK407/DC407*100-100))</f>
        <v>-32.258064516129039</v>
      </c>
      <c r="DM407" s="74">
        <v>109</v>
      </c>
      <c r="DN407" s="72">
        <f t="shared" si="2134"/>
        <v>34.567901234567898</v>
      </c>
      <c r="DO407" s="74">
        <v>72</v>
      </c>
      <c r="DP407" s="72">
        <f t="shared" si="2134"/>
        <v>5.8823529411764781</v>
      </c>
      <c r="DQ407" s="74">
        <v>63</v>
      </c>
      <c r="DR407" s="72">
        <f t="shared" si="2134"/>
        <v>-23.170731707317074</v>
      </c>
      <c r="DS407" s="74">
        <v>57</v>
      </c>
      <c r="DT407" s="72">
        <f t="shared" si="2134"/>
        <v>-32.142857142857139</v>
      </c>
      <c r="DU407" s="74">
        <v>82</v>
      </c>
      <c r="DV407" s="72">
        <f t="shared" si="2134"/>
        <v>-24.77064220183486</v>
      </c>
      <c r="DW407" s="74">
        <v>67</v>
      </c>
      <c r="DX407" s="72">
        <f t="shared" si="2134"/>
        <v>-6.9444444444444429</v>
      </c>
      <c r="DY407" s="74">
        <v>73</v>
      </c>
      <c r="DZ407" s="72">
        <f t="shared" si="2134"/>
        <v>15.873015873015888</v>
      </c>
      <c r="EA407" s="74">
        <v>35</v>
      </c>
      <c r="EB407" s="72">
        <f t="shared" si="2135"/>
        <v>-38.596491228070171</v>
      </c>
      <c r="EC407" s="74">
        <v>85</v>
      </c>
      <c r="ED407" s="72">
        <f t="shared" si="2136"/>
        <v>3.6585365853658516</v>
      </c>
      <c r="EE407" s="74">
        <v>41</v>
      </c>
      <c r="EF407" s="72">
        <f t="shared" si="2137"/>
        <v>-38.805970149253731</v>
      </c>
      <c r="EG407" s="74">
        <v>25</v>
      </c>
      <c r="EH407" s="72" t="str">
        <f t="shared" si="2138"/>
        <v>NM</v>
      </c>
      <c r="EI407" s="74">
        <v>51</v>
      </c>
      <c r="EJ407" s="72">
        <f t="shared" si="2139"/>
        <v>45.714285714285694</v>
      </c>
      <c r="EK407" s="74">
        <v>28</v>
      </c>
      <c r="EL407" s="72" t="str">
        <f t="shared" si="2140"/>
        <v>NM</v>
      </c>
      <c r="EM407" s="74">
        <v>22</v>
      </c>
      <c r="EN407" s="72">
        <f t="shared" si="2141"/>
        <v>-46.341463414634141</v>
      </c>
      <c r="EO407" s="74">
        <v>7</v>
      </c>
      <c r="EP407" s="72" t="str">
        <f t="shared" si="2142"/>
        <v>NM</v>
      </c>
      <c r="EQ407" s="74">
        <f t="shared" ref="EQ407" si="2170">EI407*(1+EQ$399/100)</f>
        <v>51.739729729729731</v>
      </c>
      <c r="ER407" s="72">
        <f t="shared" si="2143"/>
        <v>1.4504504504504467</v>
      </c>
      <c r="ES407" s="74">
        <f t="shared" ref="ES407" si="2171">EK407*(1+ES$399/100)</f>
        <v>28.406126126126125</v>
      </c>
      <c r="ET407" s="72">
        <f t="shared" si="2144"/>
        <v>1.4504504504504467</v>
      </c>
      <c r="EU407" s="74">
        <f t="shared" ref="EU407" si="2172">EM407*(1+EU$399/100)</f>
        <v>22.319099099099098</v>
      </c>
      <c r="EV407" s="72">
        <f t="shared" si="2145"/>
        <v>1.4504504504504467</v>
      </c>
      <c r="EW407" s="74">
        <f t="shared" ref="EW407" si="2173">EO407*(1+EW$399/100)</f>
        <v>7.1015315315315313</v>
      </c>
      <c r="EX407" s="72">
        <f t="shared" si="2146"/>
        <v>1.4504504504504467</v>
      </c>
      <c r="EY407" s="72"/>
      <c r="EZ407" s="325"/>
      <c r="FA407" s="72"/>
      <c r="FB407" s="74"/>
      <c r="FC407" s="87"/>
      <c r="FD407" s="74"/>
      <c r="FE407" s="72" t="str">
        <f t="shared" si="2147"/>
        <v>NA</v>
      </c>
      <c r="FF407" s="74"/>
      <c r="FG407" s="72" t="str">
        <f t="shared" si="2148"/>
        <v>NA</v>
      </c>
      <c r="FH407" s="75">
        <f>K407+M407+O407+Q407</f>
        <v>85</v>
      </c>
      <c r="FI407" s="72" t="str">
        <f t="shared" si="2149"/>
        <v>NA</v>
      </c>
      <c r="FJ407" s="75">
        <f>S407+U407+W407+Y407</f>
        <v>44</v>
      </c>
      <c r="FK407" s="72">
        <f t="shared" si="2150"/>
        <v>-48.235294117647051</v>
      </c>
      <c r="FL407" s="75">
        <f>+AA407+AC407+AE407+AG407</f>
        <v>-15</v>
      </c>
      <c r="FM407" s="72" t="str">
        <f t="shared" si="2151"/>
        <v>NM</v>
      </c>
      <c r="FN407" s="75">
        <f>+AI407+AK407+AM407+AO407</f>
        <v>-27</v>
      </c>
      <c r="FO407" s="72">
        <f t="shared" si="2152"/>
        <v>80</v>
      </c>
      <c r="FP407" s="75">
        <f>AQ407+AS407+AU407+AW407</f>
        <v>7</v>
      </c>
      <c r="FQ407" s="72" t="str">
        <f t="shared" si="2153"/>
        <v>NM</v>
      </c>
      <c r="FR407" s="75">
        <f>AY407+BA407+BC407+BE407</f>
        <v>33</v>
      </c>
      <c r="FS407" s="72" t="str">
        <f t="shared" si="2154"/>
        <v>NM</v>
      </c>
      <c r="FT407" s="75">
        <f>BG407+BI407+BK407+BM407</f>
        <v>56</v>
      </c>
      <c r="FU407" s="72">
        <f t="shared" si="2155"/>
        <v>69.696969696969688</v>
      </c>
      <c r="FV407" s="74">
        <v>-235</v>
      </c>
      <c r="FW407" s="72" t="str">
        <f>IF(ISERROR(FV407/FT407),"NA",IF(OR(FV407/FT407&gt;2,FV407/FT407&lt;0.5),"NM",FV407/FT407*100-100))</f>
        <v>NM</v>
      </c>
      <c r="FX407" s="75">
        <f>+CC407+CA407+BY407+BW407</f>
        <v>107</v>
      </c>
      <c r="FY407" s="72" t="str">
        <f>IF(ISERROR(FX407/FV407),"NA",IF(OR(FX407/FV407&gt;2,FX407/FV407&lt;0.5),"NM",FX407/FV407*100-100))</f>
        <v>NM</v>
      </c>
      <c r="FZ407" s="75">
        <f t="shared" si="2156"/>
        <v>209</v>
      </c>
      <c r="GA407" s="72">
        <f>IF(ISERROR(FZ407/FX407),"NA",IF(OR(FZ407/FX407&gt;2,FZ407/FX407&lt;0.5),"NM",FZ407/FX407*100-100))</f>
        <v>95.327102803738342</v>
      </c>
      <c r="GB407" s="75">
        <f t="shared" si="2157"/>
        <v>371</v>
      </c>
      <c r="GC407" s="72">
        <f>IF(ISERROR(GB407/FZ407),"NA",IF(OR(GB407/FZ407&gt;2,GB407/FZ407&lt;0.5),"NM",GB407/FZ407*100-100))</f>
        <v>77.511961722488053</v>
      </c>
      <c r="GD407" s="75">
        <f>CU407+CW407+CY407+DA407</f>
        <v>172</v>
      </c>
      <c r="GE407" s="72" t="str">
        <f>IF(ISERROR(GD407/GB407),"NA",IF(OR(GD407/GB407&gt;2,GD407/GB407&lt;0.5),"NM",GD407/GB407*100-100))</f>
        <v>NM</v>
      </c>
      <c r="GF407" s="75">
        <f>DC407+DE407+DG407+DI407</f>
        <v>355</v>
      </c>
      <c r="GG407" s="72" t="str">
        <f>IF(ISERROR(GF407/GD407),"NA",IF(OR(GF407/GD407&gt;2,GF407/GD407&lt;0.5),"NM",GF407/GD407*100-100))</f>
        <v>NM</v>
      </c>
      <c r="GH407" s="75">
        <f>DK407+DM407+DO407+DQ407</f>
        <v>328</v>
      </c>
      <c r="GI407" s="72">
        <f t="shared" si="2158"/>
        <v>-7.6056338028168966</v>
      </c>
      <c r="GJ407" s="75">
        <f>DS407+DU407+DW407+DY407</f>
        <v>279</v>
      </c>
      <c r="GK407" s="72">
        <f t="shared" si="2158"/>
        <v>-14.939024390243901</v>
      </c>
      <c r="GL407" s="75">
        <f>EA407+EC407+EE407+EG407</f>
        <v>186</v>
      </c>
      <c r="GM407" s="72">
        <f t="shared" si="2158"/>
        <v>-33.333333333333343</v>
      </c>
      <c r="GN407" s="75">
        <f>EI407+EK407+EM407+EO407</f>
        <v>108</v>
      </c>
      <c r="GO407" s="72">
        <f t="shared" si="2158"/>
        <v>-41.935483870967737</v>
      </c>
      <c r="GP407" s="75">
        <f>EQ407+ES407+EU407+EW407</f>
        <v>109.56648648648648</v>
      </c>
      <c r="GQ407" s="72">
        <f t="shared" si="2158"/>
        <v>1.4504504504504467</v>
      </c>
      <c r="GR407" s="74">
        <f>GP407*(1+GR$399/100)</f>
        <v>110.66215135135135</v>
      </c>
      <c r="GS407" s="72">
        <f t="shared" si="2158"/>
        <v>1</v>
      </c>
      <c r="GT407" s="74">
        <f>GR407*(1+GT$399/100)</f>
        <v>111.76877286486487</v>
      </c>
      <c r="GU407" s="72">
        <f t="shared" si="2158"/>
        <v>1</v>
      </c>
      <c r="GV407" s="74">
        <f>GT407*(1+GV$399/100)</f>
        <v>112.88646059351352</v>
      </c>
      <c r="GW407" s="72">
        <f t="shared" si="2159"/>
        <v>1</v>
      </c>
      <c r="GX407" s="74">
        <f>GV407*(1+GX$399/100)</f>
        <v>114.01532519944865</v>
      </c>
      <c r="GY407" s="72">
        <f t="shared" si="2160"/>
        <v>1</v>
      </c>
      <c r="GZ407" s="72">
        <f t="shared" si="2161"/>
        <v>1.0899298015088821</v>
      </c>
      <c r="HA407" s="72"/>
      <c r="HB407" s="72"/>
      <c r="HC407"/>
      <c r="HD407"/>
      <c r="HE407"/>
      <c r="HF407"/>
      <c r="HG407"/>
      <c r="HH407"/>
      <c r="HI407" s="2"/>
    </row>
    <row r="408" spans="1:217" s="133" customFormat="1" ht="12.75" customHeight="1" x14ac:dyDescent="0.2">
      <c r="A408" s="133" t="s">
        <v>87</v>
      </c>
      <c r="B408" s="93" t="s">
        <v>212</v>
      </c>
      <c r="C408" s="91">
        <f>C407+C406</f>
        <v>-501</v>
      </c>
      <c r="D408" s="80"/>
      <c r="E408" s="91">
        <f>E407+E406</f>
        <v>172</v>
      </c>
      <c r="F408" s="80"/>
      <c r="G408" s="91">
        <f>G407+G406</f>
        <v>170</v>
      </c>
      <c r="H408" s="80"/>
      <c r="I408" s="91">
        <f>I407+I406</f>
        <v>159</v>
      </c>
      <c r="J408" s="80"/>
      <c r="K408" s="91">
        <f>K407+K406</f>
        <v>81</v>
      </c>
      <c r="L408" s="72" t="str">
        <f t="shared" si="2118"/>
        <v>NM</v>
      </c>
      <c r="M408" s="91">
        <f>SUM(M405:M407)</f>
        <v>548</v>
      </c>
      <c r="N408" s="72" t="str">
        <f t="shared" si="2119"/>
        <v>NM</v>
      </c>
      <c r="O408" s="91">
        <f>SUM(O405:O407)</f>
        <v>757</v>
      </c>
      <c r="P408" s="72" t="str">
        <f t="shared" si="2120"/>
        <v>NM</v>
      </c>
      <c r="Q408" s="91">
        <f>SUM(Q405:Q407)</f>
        <v>721</v>
      </c>
      <c r="R408" s="72" t="str">
        <f>IF(ISERROR(Q408/I408),"NA",IF(OR(Q408/I408&gt;2,Q408/I408&lt;0.5),"NM",Q408/I408*100-100))</f>
        <v>NM</v>
      </c>
      <c r="S408" s="91">
        <f>SUM(S405:S407)</f>
        <v>683</v>
      </c>
      <c r="T408" s="72" t="str">
        <f>IF(ISERROR(S408/K408),"NA",IF(OR(S408/K408&gt;2,S408/K408&lt;0.5),"NM",S408/K408*100-100))</f>
        <v>NM</v>
      </c>
      <c r="U408" s="91">
        <f>SUM(U405:U407)</f>
        <v>683</v>
      </c>
      <c r="V408" s="72">
        <f>IF(ISERROR(U408/M408),"NA",IF(OR(U408/M408&gt;2,U408/M408&lt;0.5),"NM",U408/M408*100-100))</f>
        <v>24.635036496350367</v>
      </c>
      <c r="W408" s="91">
        <f>SUM(W405:W407)</f>
        <v>665</v>
      </c>
      <c r="X408" s="72">
        <f>IF(ISERROR(W408/O408),"NA",IF(OR(W408/O408&gt;2,W408/O408&lt;0.5),"NM",W408/O408*100-100))</f>
        <v>-12.153236459709376</v>
      </c>
      <c r="Y408" s="91">
        <f>SUM(Y405:Y407)</f>
        <v>663</v>
      </c>
      <c r="Z408" s="72">
        <f>IF(ISERROR(Y408/Q408),"NA",IF(OR(Y408/Q408&gt;2,Y408/Q408&lt;0.5),"NM",Y408/Q408*100-100))</f>
        <v>-8.044382801664355</v>
      </c>
      <c r="AA408" s="91">
        <f>SUM(AA405:AA407)</f>
        <v>666</v>
      </c>
      <c r="AB408" s="72">
        <f>IF(ISERROR(AA408/S408),"NA",IF(OR(AA408/S408&gt;2,AA408/S408&lt;0.5),"NM",AA408/S408*100-100))</f>
        <v>-2.489019033674964</v>
      </c>
      <c r="AC408" s="91">
        <f>SUM(AC405:AC407)</f>
        <v>692</v>
      </c>
      <c r="AD408" s="72">
        <f>IF(ISERROR(AC408/U408),"NA",IF(OR(AC408/U408&gt;2,AC408/U408&lt;0.5),"NM",AC408/U408*100-100))</f>
        <v>1.3177159590043885</v>
      </c>
      <c r="AE408" s="91">
        <f>SUM(AE405:AE407)</f>
        <v>669</v>
      </c>
      <c r="AF408" s="72">
        <f>IF(ISERROR(AE408/W408),"NA",IF(OR(AE408/W408&gt;2,AE408/W408&lt;0.5),"NM",AE408/W408*100-100))</f>
        <v>0.6015037593984971</v>
      </c>
      <c r="AG408" s="91">
        <f>SUM(AG405:AG407)</f>
        <v>693</v>
      </c>
      <c r="AH408" s="72">
        <f>IF(ISERROR(AG408/Y408),"NA",IF(OR(AG408/Y408&gt;2,AG408/Y408&lt;0.5),"NM",AG408/Y408*100-100))</f>
        <v>4.5248868778280666</v>
      </c>
      <c r="AI408" s="91">
        <f>SUM(AI405:AI407)</f>
        <v>731</v>
      </c>
      <c r="AJ408" s="72">
        <f>IF(ISERROR(AI408/AA408),"NA",IF(OR(AI408/AA408&gt;2,AI408/AA408&lt;0.5),"NM",AI408/AA408*100-100))</f>
        <v>9.7597597597597598</v>
      </c>
      <c r="AK408" s="91">
        <f>SUM(AK405:AK407)</f>
        <v>804</v>
      </c>
      <c r="AL408" s="72">
        <f>IF(ISERROR(AK408/AC408),"NA",IF(OR(AK408/AC408&gt;2,AK408/AC408&lt;0.5),"NM",AK408/AC408*100-100))</f>
        <v>16.184971098265891</v>
      </c>
      <c r="AM408" s="91">
        <f>SUM(AM405:AM407)</f>
        <v>704</v>
      </c>
      <c r="AN408" s="72">
        <f>IF(ISERROR(AM408/AE408),"NA",IF(OR(AM408/AE408&gt;2,AM408/AE408&lt;0.5),"NM",AM408/AE408*100-100))</f>
        <v>5.2316890881913309</v>
      </c>
      <c r="AO408" s="91">
        <f>SUM(AO405:AO407)</f>
        <v>699</v>
      </c>
      <c r="AP408" s="72">
        <f>IF(ISERROR(AO408/AG408),"NA",IF(OR(AO408/AG408&gt;2,AO408/AG408&lt;0.5),"NM",AO408/AG408*100-100))</f>
        <v>0.86580086580086402</v>
      </c>
      <c r="AQ408" s="91">
        <f>SUM(AQ405:AQ407)</f>
        <v>741</v>
      </c>
      <c r="AR408" s="72">
        <f t="shared" si="2121"/>
        <v>1.3679890560875521</v>
      </c>
      <c r="AS408" s="91">
        <f>SUM(AS405:AS407)</f>
        <v>804</v>
      </c>
      <c r="AT408" s="72">
        <f t="shared" si="2122"/>
        <v>0</v>
      </c>
      <c r="AU408" s="91">
        <f>SUM(AU405:AU407)</f>
        <v>847</v>
      </c>
      <c r="AV408" s="72">
        <f t="shared" si="2123"/>
        <v>20.3125</v>
      </c>
      <c r="AW408" s="91">
        <f>SUM(AW405:AW407)</f>
        <v>721</v>
      </c>
      <c r="AX408" s="72">
        <f t="shared" si="2124"/>
        <v>3.1473533619456191</v>
      </c>
      <c r="AY408" s="91">
        <f>SUM(AY405:AY407)</f>
        <v>731</v>
      </c>
      <c r="AZ408" s="72">
        <f t="shared" si="2125"/>
        <v>-1.3495276653171402</v>
      </c>
      <c r="BA408" s="91">
        <f>SUM(BA405:BA407)</f>
        <v>737</v>
      </c>
      <c r="BB408" s="72">
        <f t="shared" si="2126"/>
        <v>-8.3333333333333428</v>
      </c>
      <c r="BC408" s="91">
        <f>SUM(BC405:BC407)</f>
        <v>707</v>
      </c>
      <c r="BD408" s="72">
        <f t="shared" si="2127"/>
        <v>-16.528925619834709</v>
      </c>
      <c r="BE408" s="91">
        <f>SUM(BE405:BE407)</f>
        <v>676</v>
      </c>
      <c r="BF408" s="72">
        <f t="shared" si="2128"/>
        <v>-6.2413314840499226</v>
      </c>
      <c r="BG408" s="91">
        <f>SUM(BG405:BG407)</f>
        <v>694</v>
      </c>
      <c r="BH408" s="72">
        <f t="shared" si="2129"/>
        <v>-5.0615595075239384</v>
      </c>
      <c r="BI408" s="91">
        <f>SUM(BI405:BI407)</f>
        <v>747</v>
      </c>
      <c r="BJ408" s="72">
        <f>IF(ISERROR(BI408/BA408),"NA",IF(OR(BI408/BA408&gt;2,BI408/BA408&lt;0.5),"NM",BI408/BA408*100-100))</f>
        <v>1.3568521031207581</v>
      </c>
      <c r="BK408" s="91">
        <f>SUM(BK405:BK407)</f>
        <v>696</v>
      </c>
      <c r="BL408" s="72">
        <f>IF(ISERROR(BK408/BC408),"NA",IF(OR(BK408/BC408&gt;2,BK408/BC408&lt;0.5),"NM",BK408/BC408*100-100))</f>
        <v>-1.5558698727015496</v>
      </c>
      <c r="BM408" s="91">
        <f>SUM(BM405:BM407)</f>
        <v>707</v>
      </c>
      <c r="BN408" s="72">
        <f t="shared" si="2130"/>
        <v>4.5857988165680439</v>
      </c>
      <c r="BO408" s="91">
        <f>SUM(BO405:BO407)</f>
        <v>748</v>
      </c>
      <c r="BP408" s="72">
        <f>IF(ISERROR(BO408/BG408),"NA",IF(OR(BO408/BG408&gt;2,BO408/BG408&lt;0.5),"NM",BO408/BG408*100-100))</f>
        <v>7.7809798270893396</v>
      </c>
      <c r="BQ408" s="91">
        <f>SUM(BQ405:BQ407)</f>
        <v>840</v>
      </c>
      <c r="BR408" s="72">
        <f>IF(ISERROR(BQ408/BI408),"NA",IF(OR(BQ408/BI408&gt;2,BQ408/BI408&lt;0.5),"NM",BQ408/BI408*100-100))</f>
        <v>12.449799196787154</v>
      </c>
      <c r="BS408" s="91">
        <f>SUM(BS405:BS407)</f>
        <v>764</v>
      </c>
      <c r="BT408" s="72">
        <f>IF(ISERROR(BS408/BK408),"NA",IF(OR(BS408/BK408&gt;2,BS408/BK408&lt;0.5),"NM",BS408/BK408*100-100))</f>
        <v>9.7701149425287355</v>
      </c>
      <c r="BU408" s="91">
        <f>SUM(BU405:BU407)</f>
        <v>811</v>
      </c>
      <c r="BV408" s="72">
        <f>IF(ISERROR(BU408/BM408),"NA",IF(OR(BU408/BM408&gt;2,BU408/BM408&lt;0.5),"NM",BU408/BM408*100-100))</f>
        <v>14.710042432814703</v>
      </c>
      <c r="BW408" s="91">
        <f>SUM(BW405:BW407)</f>
        <v>926</v>
      </c>
      <c r="BX408" s="72">
        <f>IF(ISERROR(BW408/BO408),"NA",IF(OR(BW408/BO408&gt;2,BW408/BO408&lt;0.5),"NM",BW408/BO408*100-100))</f>
        <v>23.796791443850267</v>
      </c>
      <c r="BY408" s="91">
        <f>SUM(BY405:BY407)</f>
        <v>1025</v>
      </c>
      <c r="BZ408" s="72">
        <f>IF(ISERROR(BY408/BQ408),"NA",IF(OR(BY408/BQ408&gt;2,BY408/BQ408&lt;0.5),"NM",BY408/BQ408*100-100))</f>
        <v>22.023809523809533</v>
      </c>
      <c r="CA408" s="91">
        <f>SUM(CA405:CA407)</f>
        <v>1104</v>
      </c>
      <c r="CB408" s="72">
        <f>IF(ISERROR(CA408/BS408),"NA",IF(OR(CA408/BS408&gt;2,CA408/BS408&lt;0.5),"NM",CA408/BS408*100-100))</f>
        <v>44.502617801047109</v>
      </c>
      <c r="CC408" s="91">
        <f>SUM(CC405:CC407)</f>
        <v>1094</v>
      </c>
      <c r="CD408" s="72">
        <f>IF(ISERROR(CC408/BU408),"NA",IF(OR(CC408/BU408&gt;2,CC408/BU408&lt;0.5),"NM",CC408/BU408*100-100))</f>
        <v>34.895191122071509</v>
      </c>
      <c r="CE408" s="91">
        <f>SUM(CE405:CE407)</f>
        <v>1113</v>
      </c>
      <c r="CF408" s="72">
        <f>IF(ISERROR(CE408/BW408),"NA",IF(OR(CE408/BW408&gt;2,CE408/BW408&lt;0.5),"NM",CE408/BW408*100-100))</f>
        <v>20.194384449244069</v>
      </c>
      <c r="CG408" s="91">
        <f>SUM(CG405:CG407)</f>
        <v>1258</v>
      </c>
      <c r="CH408" s="72">
        <f>IF(ISERROR(CG408/BY408),"NA",IF(OR(CG408/BY408&gt;2,CG408/BY408&lt;0.5),"NM",CG408/BY408*100-100))</f>
        <v>22.731707317073173</v>
      </c>
      <c r="CI408" s="91">
        <f>SUM(CI405:CI407)</f>
        <v>1214</v>
      </c>
      <c r="CJ408" s="72">
        <f>IF(ISERROR(CI408/CA408),"NA",IF(OR(CI408/CA408&gt;2,CI408/CA408&lt;0.5),"NM",CI408/CA408*100-100))</f>
        <v>9.9637681159420453</v>
      </c>
      <c r="CK408" s="91">
        <f>SUM(CK405:CK407)</f>
        <v>1365</v>
      </c>
      <c r="CL408" s="72">
        <f>IF(ISERROR(CK408/CC408),"NA",IF(OR(CK408/CC408&gt;2,CK408/CC408&lt;0.5),"NM",CK408/CC408*100-100))</f>
        <v>24.771480804387551</v>
      </c>
      <c r="CM408" s="91">
        <f>SUM(CM405:CM407)</f>
        <v>2224</v>
      </c>
      <c r="CN408" s="72">
        <f>IF(ISERROR(CM408/CE408),"NA",IF(OR(CM408/CE408&gt;2,CM408/CE408&lt;0.5),"NM",CM408/CE408*100-100))</f>
        <v>99.820305480682833</v>
      </c>
      <c r="CO408" s="91">
        <f>SUM(CO405:CO407)</f>
        <v>3104</v>
      </c>
      <c r="CP408" s="72" t="str">
        <f>IF(ISERROR(CO408/CG408),"NA",IF(OR(CO408/CG408&gt;2,CO408/CG408&lt;0.5),"NM",CO408/CG408*100-100))</f>
        <v>NM</v>
      </c>
      <c r="CQ408" s="91">
        <f>SUM(CQ405:CQ407)</f>
        <v>3054</v>
      </c>
      <c r="CR408" s="72" t="str">
        <f>IF(ISERROR(CQ408/CI408),"NA",IF(OR(CQ408/CI408&gt;2,CQ408/CI408&lt;0.5),"NM",CQ408/CI408*100-100))</f>
        <v>NM</v>
      </c>
      <c r="CS408" s="91">
        <f>SUM(CS405:CS407)</f>
        <v>3093</v>
      </c>
      <c r="CT408" s="72" t="str">
        <f>IF(ISERROR(CS408/CK408),"NA",IF(OR(CS408/CK408&gt;2,CS408/CK408&lt;0.5),"NM",CS408/CK408*100-100))</f>
        <v>NM</v>
      </c>
      <c r="CU408" s="91">
        <f>SUM(CU405:CU407)</f>
        <v>3500</v>
      </c>
      <c r="CV408" s="72">
        <f>IF(ISERROR(CU408/CM408),"NA",IF(OR(CU408/CM408&gt;2,CU408/CM408&lt;0.5),"NM",CU408/CM408*100-100))</f>
        <v>57.374100719424462</v>
      </c>
      <c r="CW408" s="91">
        <f>SUM(CW405:CW407)</f>
        <v>4214</v>
      </c>
      <c r="CX408" s="72">
        <f>IF(ISERROR(CW408/CO408),"NA",IF(OR(CW408/CO408&gt;2,CW408/CO408&lt;0.5),"NM",CW408/CO408*100-100))</f>
        <v>35.760309278350519</v>
      </c>
      <c r="CY408" s="91">
        <f>SUM(CY405:CY407)</f>
        <v>5917</v>
      </c>
      <c r="CZ408" s="72">
        <f>IF(ISERROR(CY408/CQ408),"NA",IF(OR(CY408/CQ408&gt;2,CY408/CQ408&lt;0.5),"NM",CY408/CQ408*100-100))</f>
        <v>93.74590700720367</v>
      </c>
      <c r="DA408" s="91">
        <f>SUM(DA405:DA407)</f>
        <v>6953</v>
      </c>
      <c r="DB408" s="72" t="str">
        <f>IF(ISERROR(DA408/CS408),"NA",IF(OR(DA408/CS408&gt;2,DA408/CS408&lt;0.5),"NM",DA408/CS408*100-100))</f>
        <v>NM</v>
      </c>
      <c r="DC408" s="91">
        <f>SUM(DC405:DC407)</f>
        <v>3907</v>
      </c>
      <c r="DD408" s="72">
        <f t="shared" si="2131"/>
        <v>11.628571428571433</v>
      </c>
      <c r="DE408" s="91">
        <f>SUM(DE405:DE407)</f>
        <v>3782</v>
      </c>
      <c r="DF408" s="72">
        <f t="shared" si="2132"/>
        <v>-10.251542477456098</v>
      </c>
      <c r="DG408" s="91">
        <f>SUM(DG405:DG407)</f>
        <v>3086</v>
      </c>
      <c r="DH408" s="72">
        <f t="shared" si="2133"/>
        <v>-47.845191820179146</v>
      </c>
      <c r="DI408" s="91">
        <f>SUM(DI405:DI407)</f>
        <v>2787</v>
      </c>
      <c r="DJ408" s="72" t="str">
        <f>IF(ISERROR(DI408/DA408),"NA",IF(OR(DI408/DA408&gt;2,DI408/DA408&lt;0.5),"NM",DI408/DA408*100-100))</f>
        <v>NM</v>
      </c>
      <c r="DK408" s="91">
        <f>SUM(DK405:DK407)</f>
        <v>2596</v>
      </c>
      <c r="DL408" s="72">
        <f>IF(ISERROR(DK408/DC408),"NA",IF(OR(DK408/DC408&gt;2,DK408/DC408&lt;0.5),"NM",DK408/DC408*100-100))</f>
        <v>-33.555157409777323</v>
      </c>
      <c r="DM408" s="91">
        <f>SUM(DM405:DM407)</f>
        <v>2991</v>
      </c>
      <c r="DN408" s="72">
        <f t="shared" si="2134"/>
        <v>-20.914859862506603</v>
      </c>
      <c r="DO408" s="91">
        <f>SUM(DO405:DO407)</f>
        <v>2718</v>
      </c>
      <c r="DP408" s="72">
        <f t="shared" si="2134"/>
        <v>-11.924821775761501</v>
      </c>
      <c r="DQ408" s="91">
        <f>SUM(DQ405:DQ407)</f>
        <v>2494</v>
      </c>
      <c r="DR408" s="72">
        <f t="shared" si="2134"/>
        <v>-10.513096519555077</v>
      </c>
      <c r="DS408" s="91">
        <f>SUM(DS405:DS407)</f>
        <v>2464</v>
      </c>
      <c r="DT408" s="72">
        <f t="shared" si="2134"/>
        <v>-5.0847457627118615</v>
      </c>
      <c r="DU408" s="91">
        <f>SUM(DU405:DU407)</f>
        <v>2806</v>
      </c>
      <c r="DV408" s="72">
        <f t="shared" si="2134"/>
        <v>-6.1852223336676673</v>
      </c>
      <c r="DW408" s="91">
        <f>SUM(DW405:DW407)</f>
        <v>2500</v>
      </c>
      <c r="DX408" s="72">
        <f t="shared" si="2134"/>
        <v>-8.0206033848417917</v>
      </c>
      <c r="DY408" s="91">
        <f>SUM(DY405:DY407)</f>
        <v>2422</v>
      </c>
      <c r="DZ408" s="72">
        <f t="shared" si="2134"/>
        <v>-2.8869286287089011</v>
      </c>
      <c r="EA408" s="91">
        <f>SUM(EA405:EA407)</f>
        <v>2485</v>
      </c>
      <c r="EB408" s="72">
        <f t="shared" si="2135"/>
        <v>0.85227272727273373</v>
      </c>
      <c r="EC408" s="91">
        <f>SUM(EC405:EC407)</f>
        <v>2926</v>
      </c>
      <c r="ED408" s="72">
        <f t="shared" si="2136"/>
        <v>4.2765502494654299</v>
      </c>
      <c r="EE408" s="91">
        <f>SUM(EE405:EE407)</f>
        <v>2851</v>
      </c>
      <c r="EF408" s="72">
        <f t="shared" si="2137"/>
        <v>14.040000000000006</v>
      </c>
      <c r="EG408" s="91">
        <f>SUM(EG405:EG407)</f>
        <v>2761</v>
      </c>
      <c r="EH408" s="72">
        <f t="shared" si="2138"/>
        <v>13.996696944673829</v>
      </c>
      <c r="EI408" s="91">
        <f>SUM(EI405:EI407)</f>
        <v>2631</v>
      </c>
      <c r="EJ408" s="72">
        <f t="shared" si="2139"/>
        <v>5.8752515090543227</v>
      </c>
      <c r="EK408" s="91">
        <f>SUM(EK405:EK407)</f>
        <v>2906</v>
      </c>
      <c r="EL408" s="72">
        <f t="shared" si="2140"/>
        <v>-0.6835269993164701</v>
      </c>
      <c r="EM408" s="91">
        <f>SUM(EM405:EM407)</f>
        <v>2749</v>
      </c>
      <c r="EN408" s="72">
        <f t="shared" si="2141"/>
        <v>-3.5776920378814481</v>
      </c>
      <c r="EO408" s="91">
        <f>SUM(EO405:EO407)</f>
        <v>2630</v>
      </c>
      <c r="EP408" s="72">
        <f t="shared" si="2142"/>
        <v>-4.7446577327055337</v>
      </c>
      <c r="EQ408" s="91">
        <f t="shared" ref="EQ408" si="2174">SUM(EQ405:EQ407)</f>
        <v>2668.0662162162162</v>
      </c>
      <c r="ER408" s="72">
        <f t="shared" si="2143"/>
        <v>1.408826157970978</v>
      </c>
      <c r="ES408" s="91">
        <f t="shared" ref="ES408" si="2175">SUM(ES405:ES407)</f>
        <v>2898.3587387387388</v>
      </c>
      <c r="ET408" s="72">
        <f t="shared" si="2144"/>
        <v>-0.26294773782728953</v>
      </c>
      <c r="EU408" s="91">
        <f t="shared" ref="EU408" si="2176">SUM(EU405:EU407)</f>
        <v>2745.1685585585587</v>
      </c>
      <c r="EV408" s="72">
        <f t="shared" si="2145"/>
        <v>-0.13937582544348004</v>
      </c>
      <c r="EW408" s="91">
        <f t="shared" ref="EW408" si="2177">SUM(EW405:EW407)</f>
        <v>2632.5585585585586</v>
      </c>
      <c r="EX408" s="72">
        <f t="shared" si="2146"/>
        <v>9.7283595382464227E-2</v>
      </c>
      <c r="EY408" s="72"/>
      <c r="EZ408" s="310"/>
      <c r="FA408" s="72"/>
      <c r="FB408" s="91"/>
      <c r="FC408" s="80"/>
      <c r="FD408" s="91"/>
      <c r="FE408" s="72" t="str">
        <f t="shared" si="2147"/>
        <v>NA</v>
      </c>
      <c r="FF408" s="91"/>
      <c r="FG408" s="72" t="str">
        <f t="shared" si="2148"/>
        <v>NA</v>
      </c>
      <c r="FH408" s="91">
        <f>SUM(FH405:FH407)</f>
        <v>2107</v>
      </c>
      <c r="FI408" s="72" t="str">
        <f t="shared" si="2149"/>
        <v>NA</v>
      </c>
      <c r="FJ408" s="91">
        <f>SUM(FJ405:FJ407)</f>
        <v>2694</v>
      </c>
      <c r="FK408" s="72">
        <f t="shared" si="2150"/>
        <v>27.859515899382998</v>
      </c>
      <c r="FL408" s="91">
        <f>SUM(FL405:FL407)</f>
        <v>2720</v>
      </c>
      <c r="FM408" s="72">
        <f t="shared" si="2151"/>
        <v>0.96510764662211557</v>
      </c>
      <c r="FN408" s="91">
        <f>SUM(FN405:FN407)</f>
        <v>2938</v>
      </c>
      <c r="FO408" s="72">
        <f t="shared" si="2152"/>
        <v>8.0147058823529278</v>
      </c>
      <c r="FP408" s="91">
        <f>SUM(FP405:FP407)</f>
        <v>3113</v>
      </c>
      <c r="FQ408" s="72">
        <f t="shared" si="2153"/>
        <v>5.9564329475833944</v>
      </c>
      <c r="FR408" s="91">
        <f>SUM(FR405:FR407)</f>
        <v>2851</v>
      </c>
      <c r="FS408" s="72">
        <f t="shared" si="2154"/>
        <v>-8.4163186636684912</v>
      </c>
      <c r="FT408" s="91">
        <f>SUM(FT405:FT407)</f>
        <v>2844</v>
      </c>
      <c r="FU408" s="72">
        <f t="shared" si="2155"/>
        <v>-0.24552788495265077</v>
      </c>
      <c r="FV408" s="91">
        <f>SUM(FV405:FV407)</f>
        <v>2965</v>
      </c>
      <c r="FW408" s="72">
        <f>IF(ISERROR(FV408/FT408),"NA",IF(OR(FV408/FT408&gt;2,FV408/FT408&lt;0.5),"NM",FV408/FT408*100-100))</f>
        <v>4.2545710267229282</v>
      </c>
      <c r="FX408" s="91">
        <f>SUM(FX405:FX407)</f>
        <v>4149</v>
      </c>
      <c r="FY408" s="72">
        <f>IF(ISERROR(FX408/FV408),"NA",IF(OR(FX408/FV408&gt;2,FX408/FV408&lt;0.5),"NM",FX408/FV408*100-100))</f>
        <v>39.932546374367632</v>
      </c>
      <c r="FZ408" s="91">
        <f>SUM(FZ405:FZ407)</f>
        <v>4950</v>
      </c>
      <c r="GA408" s="72">
        <f>IF(ISERROR(FZ408/FX408),"NA",IF(OR(FZ408/FX408&gt;2,FZ408/FX408&lt;0.5),"NM",FZ408/FX408*100-100))</f>
        <v>19.305856832971784</v>
      </c>
      <c r="GB408" s="91">
        <f>SUM(GB405:GB407)</f>
        <v>11475</v>
      </c>
      <c r="GC408" s="72" t="str">
        <f>IF(ISERROR(GB408/FZ408),"NA",IF(OR(GB408/FZ408&gt;2,GB408/FZ408&lt;0.5),"NM",GB408/FZ408*100-100))</f>
        <v>NM</v>
      </c>
      <c r="GD408" s="91">
        <f>SUM(GD405:GD407)</f>
        <v>20584</v>
      </c>
      <c r="GE408" s="72">
        <f>IF(ISERROR(GD408/GB408),"NA",IF(OR(GD408/GB408&gt;2,GD408/GB408&lt;0.5),"NM",GD408/GB408*100-100))</f>
        <v>79.381263616557732</v>
      </c>
      <c r="GF408" s="91">
        <f>SUM(GF405:GF407)</f>
        <v>13562</v>
      </c>
      <c r="GG408" s="72">
        <f>IF(ISERROR(GF408/GD408),"NA",IF(OR(GF408/GD408&gt;2,GF408/GD408&lt;0.5),"NM",GF408/GD408*100-100))</f>
        <v>-34.113874854255727</v>
      </c>
      <c r="GH408" s="91">
        <f>SUM(GH405:GH407)</f>
        <v>10799</v>
      </c>
      <c r="GI408" s="72">
        <f t="shared" si="2158"/>
        <v>-20.373101312490789</v>
      </c>
      <c r="GJ408" s="91">
        <f>SUM(GJ405:GJ407)</f>
        <v>10192</v>
      </c>
      <c r="GK408" s="72">
        <f t="shared" si="2158"/>
        <v>-5.6208908232243715</v>
      </c>
      <c r="GL408" s="91">
        <f>SUM(GL405:GL407)</f>
        <v>11023</v>
      </c>
      <c r="GM408" s="72">
        <f t="shared" si="2158"/>
        <v>8.153453689167975</v>
      </c>
      <c r="GN408" s="91">
        <f>SUM(GN405:GN407)</f>
        <v>10916</v>
      </c>
      <c r="GO408" s="72">
        <f t="shared" si="2158"/>
        <v>-0.97069763222353345</v>
      </c>
      <c r="GP408" s="91">
        <f>SUM(GP405:GP407)</f>
        <v>10944.152072072071</v>
      </c>
      <c r="GQ408" s="72">
        <f t="shared" si="2158"/>
        <v>0.25789732568770773</v>
      </c>
      <c r="GR408" s="91">
        <f>SUM(GR405:GR407)</f>
        <v>11053.593592792791</v>
      </c>
      <c r="GS408" s="72">
        <f t="shared" si="2158"/>
        <v>1</v>
      </c>
      <c r="GT408" s="91">
        <f>SUM(GT405:GT407)</f>
        <v>11164.129528720721</v>
      </c>
      <c r="GU408" s="72">
        <f t="shared" si="2158"/>
        <v>1.0000000000000284</v>
      </c>
      <c r="GV408" s="91">
        <f>SUM(GV405:GV407)</f>
        <v>11275.770824007928</v>
      </c>
      <c r="GW408" s="72">
        <f t="shared" si="2159"/>
        <v>1</v>
      </c>
      <c r="GX408" s="91">
        <f>SUM(GX405:GX407)</f>
        <v>11388.528532248007</v>
      </c>
      <c r="GY408" s="72">
        <f t="shared" si="2160"/>
        <v>1</v>
      </c>
      <c r="GZ408" s="72">
        <f t="shared" si="2161"/>
        <v>0.85114132114818553</v>
      </c>
      <c r="HA408" s="72"/>
      <c r="HB408" s="72"/>
      <c r="HC408"/>
      <c r="HD408"/>
      <c r="HE408"/>
      <c r="HF408"/>
      <c r="HG408"/>
      <c r="HH408"/>
      <c r="HI408" s="2"/>
    </row>
    <row r="409" spans="1:217" s="69" customFormat="1" ht="12.75" customHeight="1" x14ac:dyDescent="0.2">
      <c r="B409" s="70"/>
      <c r="C409" s="100"/>
      <c r="D409" s="72"/>
      <c r="E409" s="100"/>
      <c r="F409" s="72"/>
      <c r="G409" s="100"/>
      <c r="H409" s="72"/>
      <c r="I409" s="100"/>
      <c r="J409" s="72"/>
      <c r="K409" s="100"/>
      <c r="L409" s="72"/>
      <c r="M409" s="100"/>
      <c r="N409" s="72"/>
      <c r="O409" s="100"/>
      <c r="P409" s="72"/>
      <c r="Q409" s="100"/>
      <c r="R409" s="72"/>
      <c r="S409" s="100"/>
      <c r="T409" s="72"/>
      <c r="U409" s="100"/>
      <c r="V409" s="72"/>
      <c r="W409" s="100"/>
      <c r="X409" s="72"/>
      <c r="Y409" s="100"/>
      <c r="Z409" s="72"/>
      <c r="AA409" s="100"/>
      <c r="AB409" s="72"/>
      <c r="AC409" s="100"/>
      <c r="AD409" s="72"/>
      <c r="AE409" s="100"/>
      <c r="AF409" s="72"/>
      <c r="AG409" s="100"/>
      <c r="AH409" s="72"/>
      <c r="AI409" s="100"/>
      <c r="AJ409" s="72"/>
      <c r="AK409" s="100"/>
      <c r="AL409" s="72"/>
      <c r="AM409" s="100"/>
      <c r="AN409" s="72"/>
      <c r="AO409" s="100"/>
      <c r="AP409" s="72"/>
      <c r="AQ409" s="100"/>
      <c r="AR409" s="72"/>
      <c r="AS409" s="100"/>
      <c r="AT409" s="72"/>
      <c r="AU409" s="100"/>
      <c r="AV409" s="72"/>
      <c r="AW409" s="100"/>
      <c r="AX409" s="72"/>
      <c r="AY409" s="100"/>
      <c r="AZ409" s="72"/>
      <c r="BA409" s="100"/>
      <c r="BB409" s="72"/>
      <c r="BC409" s="100"/>
      <c r="BD409" s="72"/>
      <c r="BE409" s="100"/>
      <c r="BF409" s="72"/>
      <c r="BG409" s="100"/>
      <c r="BH409" s="72"/>
      <c r="BI409" s="100"/>
      <c r="BJ409" s="72"/>
      <c r="BK409" s="100"/>
      <c r="BL409" s="72"/>
      <c r="BM409" s="100"/>
      <c r="BN409" s="72"/>
      <c r="BO409" s="100"/>
      <c r="BP409" s="72"/>
      <c r="BQ409" s="100"/>
      <c r="BR409" s="72"/>
      <c r="BS409" s="100"/>
      <c r="BT409" s="72"/>
      <c r="BU409" s="100"/>
      <c r="BV409" s="72"/>
      <c r="BW409" s="100"/>
      <c r="BX409" s="72"/>
      <c r="BY409" s="100"/>
      <c r="BZ409" s="72"/>
      <c r="CA409" s="100"/>
      <c r="CB409" s="72"/>
      <c r="CC409" s="100"/>
      <c r="CD409" s="72"/>
      <c r="CE409" s="100"/>
      <c r="CF409" s="72"/>
      <c r="CG409" s="100"/>
      <c r="CH409" s="72"/>
      <c r="CI409" s="100"/>
      <c r="CJ409" s="72"/>
      <c r="CK409" s="100"/>
      <c r="CL409" s="72"/>
      <c r="CM409" s="100"/>
      <c r="CN409" s="72"/>
      <c r="CO409" s="100"/>
      <c r="CP409" s="72"/>
      <c r="CQ409" s="100"/>
      <c r="CR409" s="72"/>
      <c r="CS409" s="100"/>
      <c r="CT409" s="72"/>
      <c r="CU409" s="100"/>
      <c r="CV409" s="72"/>
      <c r="CW409" s="100"/>
      <c r="CX409" s="72"/>
      <c r="CY409" s="100"/>
      <c r="CZ409" s="72"/>
      <c r="DA409" s="100"/>
      <c r="DB409" s="72"/>
      <c r="DC409" s="100"/>
      <c r="DD409" s="72"/>
      <c r="DE409" s="100"/>
      <c r="DF409" s="72"/>
      <c r="DG409" s="100"/>
      <c r="DH409" s="72"/>
      <c r="DI409" s="100"/>
      <c r="DJ409" s="72"/>
      <c r="DK409" s="100"/>
      <c r="DL409" s="72"/>
      <c r="DM409" s="100"/>
      <c r="DN409" s="72"/>
      <c r="DO409" s="100"/>
      <c r="DP409" s="72"/>
      <c r="DQ409" s="100"/>
      <c r="DR409" s="72"/>
      <c r="DS409" s="100"/>
      <c r="DT409" s="72"/>
      <c r="DU409" s="100"/>
      <c r="DV409" s="72"/>
      <c r="DW409" s="100"/>
      <c r="DX409" s="72"/>
      <c r="DY409" s="100"/>
      <c r="DZ409" s="72"/>
      <c r="EA409" s="100"/>
      <c r="EB409" s="72"/>
      <c r="EC409" s="100"/>
      <c r="ED409" s="72"/>
      <c r="EE409" s="100"/>
      <c r="EF409" s="72"/>
      <c r="EG409" s="100"/>
      <c r="EH409" s="72"/>
      <c r="EI409" s="100"/>
      <c r="EJ409" s="72"/>
      <c r="EK409" s="100"/>
      <c r="EL409" s="72"/>
      <c r="EM409" s="100"/>
      <c r="EN409" s="72"/>
      <c r="EO409" s="100"/>
      <c r="EP409" s="72"/>
      <c r="EQ409" s="100"/>
      <c r="ER409" s="72"/>
      <c r="ES409" s="100"/>
      <c r="ET409" s="72"/>
      <c r="EU409" s="100"/>
      <c r="EV409" s="72"/>
      <c r="EW409" s="100"/>
      <c r="EX409" s="72"/>
      <c r="EY409" s="72"/>
      <c r="EZ409" s="325"/>
      <c r="FA409" s="72"/>
      <c r="FB409" s="100"/>
      <c r="FC409" s="72"/>
      <c r="FD409" s="100"/>
      <c r="FE409" s="72"/>
      <c r="FF409" s="100"/>
      <c r="FG409" s="72"/>
      <c r="FH409" s="100"/>
      <c r="FI409" s="72"/>
      <c r="FJ409" s="100"/>
      <c r="FK409" s="72"/>
      <c r="FL409" s="100"/>
      <c r="FM409" s="72"/>
      <c r="FN409" s="100"/>
      <c r="FO409" s="72"/>
      <c r="FP409" s="100"/>
      <c r="FQ409" s="72"/>
      <c r="FR409" s="100"/>
      <c r="FS409" s="72"/>
      <c r="FT409" s="100"/>
      <c r="FU409" s="72"/>
      <c r="FV409" s="100"/>
      <c r="FW409" s="72"/>
      <c r="FX409" s="100"/>
      <c r="FY409" s="72"/>
      <c r="FZ409" s="100"/>
      <c r="GA409" s="72"/>
      <c r="GB409" s="100"/>
      <c r="GC409" s="72"/>
      <c r="GD409" s="100"/>
      <c r="GE409" s="72"/>
      <c r="GF409" s="100"/>
      <c r="GG409" s="72"/>
      <c r="GH409" s="100"/>
      <c r="GI409" s="72"/>
      <c r="GJ409" s="100"/>
      <c r="GK409" s="72"/>
      <c r="GL409" s="100"/>
      <c r="GM409" s="72"/>
      <c r="GN409" s="100"/>
      <c r="GO409" s="72"/>
      <c r="GP409" s="100"/>
      <c r="GQ409" s="72"/>
      <c r="GR409" s="100"/>
      <c r="GS409" s="72"/>
      <c r="GT409" s="100"/>
      <c r="GU409" s="72"/>
      <c r="GV409" s="100"/>
      <c r="GW409" s="72"/>
      <c r="GX409" s="100"/>
      <c r="GY409" s="72"/>
      <c r="GZ409" s="72"/>
      <c r="HA409" s="72"/>
      <c r="HB409" s="72"/>
      <c r="HC409"/>
      <c r="HD409"/>
      <c r="HE409"/>
      <c r="HF409"/>
      <c r="HG409"/>
      <c r="HH409"/>
      <c r="HI409" s="2"/>
    </row>
    <row r="410" spans="1:217" s="69" customFormat="1" ht="12.75" customHeight="1" x14ac:dyDescent="0.2">
      <c r="B410" s="70" t="s">
        <v>669</v>
      </c>
      <c r="C410" s="81"/>
      <c r="D410" s="72"/>
      <c r="E410" s="81"/>
      <c r="F410" s="72"/>
      <c r="G410" s="81"/>
      <c r="H410" s="72"/>
      <c r="I410" s="81"/>
      <c r="J410" s="72"/>
      <c r="K410" s="81"/>
      <c r="L410" s="72"/>
      <c r="M410" s="81"/>
      <c r="N410" s="72"/>
      <c r="O410" s="81"/>
      <c r="P410" s="72"/>
      <c r="Q410" s="81"/>
      <c r="R410" s="72"/>
      <c r="S410" s="81"/>
      <c r="T410" s="72"/>
      <c r="U410" s="81"/>
      <c r="V410" s="72"/>
      <c r="W410" s="81"/>
      <c r="X410" s="72"/>
      <c r="Y410" s="81"/>
      <c r="Z410" s="72"/>
      <c r="AA410" s="81"/>
      <c r="AB410" s="72"/>
      <c r="AC410" s="81"/>
      <c r="AD410" s="72"/>
      <c r="AE410" s="81"/>
      <c r="AF410" s="72"/>
      <c r="AG410" s="81"/>
      <c r="AH410" s="72"/>
      <c r="AI410" s="81"/>
      <c r="AJ410" s="72"/>
      <c r="AK410" s="81"/>
      <c r="AL410" s="72"/>
      <c r="AM410" s="81"/>
      <c r="AN410" s="72"/>
      <c r="AO410" s="81"/>
      <c r="AP410" s="72"/>
      <c r="AQ410" s="81"/>
      <c r="AR410" s="72"/>
      <c r="AS410" s="81"/>
      <c r="AT410" s="72"/>
      <c r="AU410" s="81"/>
      <c r="AV410" s="72"/>
      <c r="AW410" s="81"/>
      <c r="AX410" s="72"/>
      <c r="AY410" s="81"/>
      <c r="AZ410" s="72"/>
      <c r="BA410" s="81"/>
      <c r="BB410" s="72"/>
      <c r="BC410" s="81"/>
      <c r="BD410" s="72"/>
      <c r="BE410" s="81"/>
      <c r="BF410" s="72"/>
      <c r="BG410" s="81"/>
      <c r="BH410" s="72"/>
      <c r="BI410" s="81"/>
      <c r="BJ410" s="72"/>
      <c r="BK410" s="81"/>
      <c r="BL410" s="72"/>
      <c r="BM410" s="81"/>
      <c r="BN410" s="72"/>
      <c r="BO410" s="81"/>
      <c r="BP410" s="72"/>
      <c r="BQ410" s="81"/>
      <c r="BR410" s="72"/>
      <c r="BS410" s="81"/>
      <c r="BT410" s="72"/>
      <c r="BU410" s="81"/>
      <c r="BV410" s="72"/>
      <c r="BW410" s="81"/>
      <c r="BX410" s="72"/>
      <c r="BY410" s="81"/>
      <c r="BZ410" s="72"/>
      <c r="CA410" s="81"/>
      <c r="CB410" s="72"/>
      <c r="CC410" s="81"/>
      <c r="CD410" s="72"/>
      <c r="CE410" s="81"/>
      <c r="CF410" s="72"/>
      <c r="CG410" s="81"/>
      <c r="CH410" s="72"/>
      <c r="CI410" s="81"/>
      <c r="CJ410" s="72"/>
      <c r="CK410" s="81"/>
      <c r="CL410" s="72"/>
      <c r="CM410" s="81"/>
      <c r="CN410" s="72"/>
      <c r="CO410" s="81"/>
      <c r="CP410" s="72"/>
      <c r="CQ410" s="81"/>
      <c r="CR410" s="72"/>
      <c r="CS410" s="81"/>
      <c r="CT410" s="72"/>
      <c r="CU410" s="81"/>
      <c r="CV410" s="72"/>
      <c r="CW410" s="81"/>
      <c r="CX410" s="72"/>
      <c r="CY410" s="81"/>
      <c r="CZ410" s="72"/>
      <c r="DA410" s="81"/>
      <c r="DB410" s="72"/>
      <c r="DC410" s="81"/>
      <c r="DD410" s="72"/>
      <c r="DE410" s="81"/>
      <c r="DF410" s="72"/>
      <c r="DG410" s="81"/>
      <c r="DH410" s="72"/>
      <c r="DI410" s="81"/>
      <c r="DJ410" s="72"/>
      <c r="DK410" s="81"/>
      <c r="DL410" s="72"/>
      <c r="DM410" s="81"/>
      <c r="DN410" s="72"/>
      <c r="DO410" s="81"/>
      <c r="DP410" s="72"/>
      <c r="DQ410" s="81"/>
      <c r="DR410" s="72"/>
      <c r="DS410" s="81"/>
      <c r="DT410" s="72"/>
      <c r="DU410" s="81"/>
      <c r="DV410" s="72"/>
      <c r="DW410" s="81"/>
      <c r="DX410" s="72"/>
      <c r="DY410" s="81"/>
      <c r="DZ410" s="72"/>
      <c r="EA410" s="81"/>
      <c r="EB410" s="72"/>
      <c r="EC410" s="81"/>
      <c r="ED410" s="72"/>
      <c r="EE410" s="81"/>
      <c r="EF410" s="72"/>
      <c r="EG410" s="81"/>
      <c r="EH410" s="72"/>
      <c r="EI410" s="81"/>
      <c r="EJ410" s="72"/>
      <c r="EK410" s="81"/>
      <c r="EL410" s="72"/>
      <c r="EM410" s="81"/>
      <c r="EN410" s="72"/>
      <c r="EO410" s="81"/>
      <c r="EP410" s="72"/>
      <c r="EQ410" s="81"/>
      <c r="ER410" s="72"/>
      <c r="ES410" s="81"/>
      <c r="ET410" s="72"/>
      <c r="EU410" s="81"/>
      <c r="EV410" s="72"/>
      <c r="EW410" s="81"/>
      <c r="EX410" s="72"/>
      <c r="EY410" s="72"/>
      <c r="EZ410" s="325"/>
      <c r="FA410" s="72"/>
      <c r="FB410" s="81"/>
      <c r="FC410" s="72"/>
      <c r="FD410" s="81"/>
      <c r="FE410" s="72"/>
      <c r="FF410" s="81"/>
      <c r="FG410" s="72"/>
      <c r="FH410" s="81"/>
      <c r="FI410" s="72"/>
      <c r="FJ410" s="81"/>
      <c r="FK410" s="72"/>
      <c r="FL410" s="81"/>
      <c r="FM410" s="72"/>
      <c r="FN410" s="81"/>
      <c r="FO410" s="72"/>
      <c r="FP410" s="81"/>
      <c r="FQ410" s="72"/>
      <c r="FR410" s="81"/>
      <c r="FS410" s="72"/>
      <c r="FT410" s="81"/>
      <c r="FU410" s="72"/>
      <c r="FV410" s="81"/>
      <c r="FW410" s="72"/>
      <c r="FX410" s="81"/>
      <c r="FY410" s="72"/>
      <c r="FZ410" s="81"/>
      <c r="GA410" s="72"/>
      <c r="GB410" s="81"/>
      <c r="GC410" s="72"/>
      <c r="GD410" s="81"/>
      <c r="GE410" s="72"/>
      <c r="GF410" s="81"/>
      <c r="GG410" s="72"/>
      <c r="GH410" s="81"/>
      <c r="GI410" s="72"/>
      <c r="GJ410" s="81"/>
      <c r="GK410" s="72"/>
      <c r="GL410" s="81"/>
      <c r="GM410" s="72"/>
      <c r="GN410" s="81"/>
      <c r="GO410" s="72"/>
      <c r="GP410" s="81"/>
      <c r="GQ410" s="72"/>
      <c r="GR410" s="81"/>
      <c r="GS410" s="72"/>
      <c r="GT410" s="81"/>
      <c r="GU410" s="72"/>
      <c r="GV410" s="81"/>
      <c r="GW410" s="72"/>
      <c r="GX410" s="81"/>
      <c r="GY410" s="72"/>
      <c r="GZ410" s="72"/>
      <c r="HA410" s="72"/>
      <c r="HB410" s="72"/>
      <c r="HC410"/>
      <c r="HD410"/>
      <c r="HE410"/>
      <c r="HF410"/>
      <c r="HG410"/>
      <c r="HH410"/>
      <c r="HI410" s="2"/>
    </row>
    <row r="411" spans="1:217" s="3" customFormat="1" ht="12.75" customHeight="1" x14ac:dyDescent="0.2">
      <c r="B411" s="77" t="s">
        <v>213</v>
      </c>
      <c r="C411" s="74"/>
      <c r="D411" s="72"/>
      <c r="E411" s="74"/>
      <c r="F411" s="72"/>
      <c r="G411" s="74"/>
      <c r="H411" s="72"/>
      <c r="I411" s="74"/>
      <c r="J411" s="72"/>
      <c r="K411" s="74">
        <v>0</v>
      </c>
      <c r="L411" s="72" t="str">
        <f t="shared" ref="L411:L416" si="2178">IF(ISERROR(K411/C411),"NA",IF(OR(K411/C411&gt;2,K411/C411&lt;0.5),"NM",K411/C411*100-100))</f>
        <v>NA</v>
      </c>
      <c r="M411" s="74">
        <v>365</v>
      </c>
      <c r="N411" s="72" t="str">
        <f t="shared" ref="N411:N416" si="2179">IF(ISERROR(M411/E411),"NA",IF(OR(M411/E411&gt;2,M411/E411&lt;0.5),"NM",M411/E411*100-100))</f>
        <v>NA</v>
      </c>
      <c r="O411" s="74">
        <f>490-41</f>
        <v>449</v>
      </c>
      <c r="P411" s="72" t="str">
        <f t="shared" ref="P411:P416" si="2180">IF(ISERROR(O411/G411),"NA",IF(OR(O411/G411&gt;2,O411/G411&lt;0.5),"NM",O411/G411*100-100))</f>
        <v>NA</v>
      </c>
      <c r="Q411" s="74">
        <v>477</v>
      </c>
      <c r="R411" s="72" t="str">
        <f t="shared" ref="R411:AP416" si="2181">IF(ISERROR(Q411/I411),"NA",IF(OR(Q411/I411&gt;2,Q411/I411&lt;0.5),"NM",Q411/I411*100-100))</f>
        <v>NA</v>
      </c>
      <c r="S411" s="74">
        <v>427</v>
      </c>
      <c r="T411" s="72" t="str">
        <f t="shared" si="2181"/>
        <v>NA</v>
      </c>
      <c r="U411" s="74">
        <v>425</v>
      </c>
      <c r="V411" s="72">
        <f t="shared" si="2181"/>
        <v>16.438356164383563</v>
      </c>
      <c r="W411" s="74">
        <v>422</v>
      </c>
      <c r="X411" s="72">
        <f t="shared" si="2181"/>
        <v>-6.0133630289532363</v>
      </c>
      <c r="Y411" s="74">
        <v>456</v>
      </c>
      <c r="Z411" s="72">
        <f t="shared" si="2181"/>
        <v>-4.4025157232704402</v>
      </c>
      <c r="AA411" s="74">
        <v>432</v>
      </c>
      <c r="AB411" s="72">
        <f t="shared" si="2181"/>
        <v>1.1709601873536286</v>
      </c>
      <c r="AC411" s="74">
        <v>414</v>
      </c>
      <c r="AD411" s="72">
        <f t="shared" si="2181"/>
        <v>-2.5882352941176521</v>
      </c>
      <c r="AE411" s="74">
        <v>414</v>
      </c>
      <c r="AF411" s="72">
        <f t="shared" si="2181"/>
        <v>-1.895734597156391</v>
      </c>
      <c r="AG411" s="74">
        <v>435</v>
      </c>
      <c r="AH411" s="72">
        <f t="shared" si="2181"/>
        <v>-4.6052631578947398</v>
      </c>
      <c r="AI411" s="74">
        <v>484</v>
      </c>
      <c r="AJ411" s="72">
        <f t="shared" si="2181"/>
        <v>12.037037037037052</v>
      </c>
      <c r="AK411" s="74">
        <v>522</v>
      </c>
      <c r="AL411" s="72">
        <f t="shared" si="2181"/>
        <v>26.08695652173914</v>
      </c>
      <c r="AM411" s="74">
        <v>449</v>
      </c>
      <c r="AN411" s="72">
        <f t="shared" si="2181"/>
        <v>8.4541062801932298</v>
      </c>
      <c r="AO411" s="74">
        <v>432</v>
      </c>
      <c r="AP411" s="72">
        <f t="shared" si="2181"/>
        <v>-0.68965517241379359</v>
      </c>
      <c r="AQ411" s="74">
        <v>467</v>
      </c>
      <c r="AR411" s="72">
        <f t="shared" ref="AR411:AR416" si="2182">IF(ISERROR(AQ411/AI411),"NA",IF(OR(AQ411/AI411&gt;2,AQ411/AI411&lt;0.5),"NM",AQ411/AI411*100-100))</f>
        <v>-3.5123966942148854</v>
      </c>
      <c r="AS411" s="74">
        <v>490</v>
      </c>
      <c r="AT411" s="72">
        <f t="shared" ref="AT411:AT416" si="2183">IF(ISERROR(AS411/AK411),"NA",IF(OR(AS411/AK411&gt;2,AS411/AK411&lt;0.5),"NM",AS411/AK411*100-100))</f>
        <v>-6.1302681992337114</v>
      </c>
      <c r="AU411" s="74">
        <v>561</v>
      </c>
      <c r="AV411" s="72">
        <f t="shared" ref="AV411:AV416" si="2184">IF(ISERROR(AU411/AM411),"NA",IF(OR(AU411/AM411&gt;2,AU411/AM411&lt;0.5),"NM",AU411/AM411*100-100))</f>
        <v>24.944320712694875</v>
      </c>
      <c r="AW411" s="74">
        <v>435</v>
      </c>
      <c r="AX411" s="72">
        <f t="shared" ref="AX411:AX416" si="2185">IF(ISERROR(AW411/AO411),"NA",IF(OR(AW411/AO411&gt;2,AW411/AO411&lt;0.5),"NM",AW411/AO411*100-100))</f>
        <v>0.69444444444444287</v>
      </c>
      <c r="AY411" s="74">
        <v>455</v>
      </c>
      <c r="AZ411" s="72">
        <f t="shared" ref="AZ411:AZ416" si="2186">IF(ISERROR(AY411/AQ411),"NA",IF(OR(AY411/AQ411&gt;2,AY411/AQ411&lt;0.5),"NM",AY411/AQ411*100-100))</f>
        <v>-2.5695931477516041</v>
      </c>
      <c r="BA411" s="74">
        <v>459</v>
      </c>
      <c r="BB411" s="72">
        <f t="shared" ref="BB411:BB416" si="2187">IF(ISERROR(BA411/AS411),"NA",IF(OR(BA411/AS411&gt;2,BA411/AS411&lt;0.5),"NM",BA411/AS411*100-100))</f>
        <v>-6.3265306122448948</v>
      </c>
      <c r="BC411" s="74">
        <v>380</v>
      </c>
      <c r="BD411" s="72">
        <f t="shared" ref="BD411:BD416" si="2188">IF(ISERROR(BC411/AU411),"NA",IF(OR(BC411/AU411&gt;2,BC411/AU411&lt;0.5),"NM",BC411/AU411*100-100))</f>
        <v>-32.263814616755795</v>
      </c>
      <c r="BE411" s="74">
        <v>370</v>
      </c>
      <c r="BF411" s="72">
        <f t="shared" ref="BF411:BF416" si="2189">IF(ISERROR(BE411/AW411),"NA",IF(OR(BE411/AW411&gt;2,BE411/AW411&lt;0.5),"NM",BE411/AW411*100-100))</f>
        <v>-14.942528735632195</v>
      </c>
      <c r="BG411" s="74">
        <v>371</v>
      </c>
      <c r="BH411" s="72">
        <f t="shared" ref="BH411:BH416" si="2190">IF(ISERROR(BG411/AY411),"NA",IF(OR(BG411/AY411&gt;2,BG411/AY411&lt;0.5),"NM",BG411/AY411*100-100))</f>
        <v>-18.461538461538467</v>
      </c>
      <c r="BI411" s="74">
        <v>412</v>
      </c>
      <c r="BJ411" s="72">
        <f t="shared" ref="BJ411:BJ416" si="2191">IF(ISERROR(BI411/BA411),"NA",IF(OR(BI411/BA411&gt;2,BI411/BA411&lt;0.5),"NM",BI411/BA411*100-100))</f>
        <v>-10.239651416122015</v>
      </c>
      <c r="BK411" s="74">
        <v>357</v>
      </c>
      <c r="BL411" s="72">
        <f t="shared" ref="BL411:BL416" si="2192">IF(ISERROR(BK411/BC411),"NA",IF(OR(BK411/BC411&gt;2,BK411/BC411&lt;0.5),"NM",BK411/BC411*100-100))</f>
        <v>-6.0526315789473699</v>
      </c>
      <c r="BM411" s="74">
        <v>381</v>
      </c>
      <c r="BN411" s="72">
        <f t="shared" ref="BN411:BN416" si="2193">IF(ISERROR(BM411/BE411),"NA",IF(OR(BM411/BE411&gt;2,BM411/BE411&lt;0.5),"NM",BM411/BE411*100-100))</f>
        <v>2.9729729729729684</v>
      </c>
      <c r="BO411" s="74">
        <v>412</v>
      </c>
      <c r="BP411" s="72">
        <f t="shared" ref="BP411:BP416" si="2194">IF(ISERROR(BO411/BG411),"NA",IF(OR(BO411/BG411&gt;2,BO411/BG411&lt;0.5),"NM",BO411/BG411*100-100))</f>
        <v>11.051212938005392</v>
      </c>
      <c r="BQ411" s="74">
        <v>444</v>
      </c>
      <c r="BR411" s="72">
        <f t="shared" ref="BR411:BR416" si="2195">IF(ISERROR(BQ411/BI411),"NA",IF(OR(BQ411/BI411&gt;2,BQ411/BI411&lt;0.5),"NM",BQ411/BI411*100-100))</f>
        <v>7.7669902912621325</v>
      </c>
      <c r="BS411" s="74">
        <v>379</v>
      </c>
      <c r="BT411" s="72">
        <f t="shared" ref="BT411:BT416" si="2196">IF(ISERROR(BS411/BK411),"NA",IF(OR(BS411/BK411&gt;2,BS411/BK411&lt;0.5),"NM",BS411/BK411*100-100))</f>
        <v>6.1624649859944043</v>
      </c>
      <c r="BU411" s="74">
        <v>404</v>
      </c>
      <c r="BV411" s="72">
        <f t="shared" ref="BV411:BV416" si="2197">IF(ISERROR(BU411/BM411),"NA",IF(OR(BU411/BM411&gt;2,BU411/BM411&lt;0.5),"NM",BU411/BM411*100-100))</f>
        <v>6.0367454068241528</v>
      </c>
      <c r="BW411" s="74">
        <v>483</v>
      </c>
      <c r="BX411" s="72">
        <f t="shared" ref="BX411:BX416" si="2198">IF(ISERROR(BW411/BO411),"NA",IF(OR(BW411/BO411&gt;2,BW411/BO411&lt;0.5),"NM",BW411/BO411*100-100))</f>
        <v>17.233009708737868</v>
      </c>
      <c r="BY411" s="74">
        <v>565</v>
      </c>
      <c r="BZ411" s="72">
        <f t="shared" ref="BZ411:BZ416" si="2199">IF(ISERROR(BY411/BQ411),"NA",IF(OR(BY411/BQ411&gt;2,BY411/BQ411&lt;0.5),"NM",BY411/BQ411*100-100))</f>
        <v>27.252252252252248</v>
      </c>
      <c r="CA411" s="74">
        <v>602</v>
      </c>
      <c r="CB411" s="72">
        <f t="shared" ref="CB411:CB416" si="2200">IF(ISERROR(CA411/BS411),"NA",IF(OR(CA411/BS411&gt;2,CA411/BS411&lt;0.5),"NM",CA411/BS411*100-100))</f>
        <v>58.839050131926115</v>
      </c>
      <c r="CC411" s="74">
        <v>588</v>
      </c>
      <c r="CD411" s="72">
        <f t="shared" ref="CD411:CD416" si="2201">IF(ISERROR(CC411/BU411),"NA",IF(OR(CC411/BU411&gt;2,CC411/BU411&lt;0.5),"NM",CC411/BU411*100-100))</f>
        <v>45.544554455445535</v>
      </c>
      <c r="CE411" s="74">
        <v>607</v>
      </c>
      <c r="CF411" s="72">
        <f t="shared" ref="CF411:CF416" si="2202">IF(ISERROR(CE411/BW411),"NA",IF(OR(CE411/BW411&gt;2,CE411/BW411&lt;0.5),"NM",CE411/BW411*100-100))</f>
        <v>25.672877846790882</v>
      </c>
      <c r="CG411" s="74">
        <v>745</v>
      </c>
      <c r="CH411" s="72">
        <f t="shared" ref="CH411:CH416" si="2203">IF(ISERROR(CG411/BY411),"NA",IF(OR(CG411/BY411&gt;2,CG411/BY411&lt;0.5),"NM",CG411/BY411*100-100))</f>
        <v>31.858407079646014</v>
      </c>
      <c r="CI411" s="74">
        <v>651</v>
      </c>
      <c r="CJ411" s="72">
        <f t="shared" ref="CJ411:CT416" si="2204">IF(ISERROR(CI411/CA411),"NA",IF(OR(CI411/CA411&gt;2,CI411/CA411&lt;0.5),"NM",CI411/CA411*100-100))</f>
        <v>8.1395348837209269</v>
      </c>
      <c r="CK411" s="74">
        <v>718</v>
      </c>
      <c r="CL411" s="72">
        <f t="shared" si="2204"/>
        <v>22.108843537414955</v>
      </c>
      <c r="CM411" s="74">
        <v>1317</v>
      </c>
      <c r="CN411" s="72" t="str">
        <f t="shared" si="2204"/>
        <v>NM</v>
      </c>
      <c r="CO411" s="74">
        <v>1941</v>
      </c>
      <c r="CP411" s="72" t="str">
        <f t="shared" si="2204"/>
        <v>NM</v>
      </c>
      <c r="CQ411" s="74">
        <v>1709</v>
      </c>
      <c r="CR411" s="72" t="str">
        <f t="shared" si="2204"/>
        <v>NM</v>
      </c>
      <c r="CS411" s="74">
        <v>1824</v>
      </c>
      <c r="CT411" s="72" t="str">
        <f t="shared" si="2204"/>
        <v>NM</v>
      </c>
      <c r="CU411" s="74">
        <v>2262</v>
      </c>
      <c r="CV411" s="72">
        <f t="shared" ref="CV411:CV416" si="2205">IF(ISERROR(CU411/CM411),"NA",IF(OR(CU411/CM411&gt;2,CU411/CM411&lt;0.5),"NM",CU411/CM411*100-100))</f>
        <v>71.753986332574044</v>
      </c>
      <c r="CW411" s="74">
        <v>2901</v>
      </c>
      <c r="CX411" s="72">
        <f t="shared" ref="CX411:CX416" si="2206">IF(ISERROR(CW411/CO411),"NA",IF(OR(CW411/CO411&gt;2,CW411/CO411&lt;0.5),"NM",CW411/CO411*100-100))</f>
        <v>49.459041731066463</v>
      </c>
      <c r="CY411" s="74">
        <v>4546</v>
      </c>
      <c r="CZ411" s="72" t="str">
        <f t="shared" ref="CZ411:CZ416" si="2207">IF(ISERROR(CY411/CQ411),"NA",IF(OR(CY411/CQ411&gt;2,CY411/CQ411&lt;0.5),"NM",CY411/CQ411*100-100))</f>
        <v>NM</v>
      </c>
      <c r="DA411" s="74">
        <v>5597</v>
      </c>
      <c r="DB411" s="72" t="str">
        <f t="shared" ref="DB411:DB416" si="2208">IF(ISERROR(DA411/CS411),"NA",IF(OR(DA411/CS411&gt;2,DA411/CS411&lt;0.5),"NM",DA411/CS411*100-100))</f>
        <v>NM</v>
      </c>
      <c r="DC411" s="74">
        <v>2612</v>
      </c>
      <c r="DD411" s="72">
        <f t="shared" ref="DD411:DD416" si="2209">IF(ISERROR(DC411/CU411),"NA",IF(OR(DC411/CU411&gt;2,DC411/CU411&lt;0.5),"NM",DC411/CU411*100-100))</f>
        <v>15.473032714412028</v>
      </c>
      <c r="DE411" s="74">
        <v>2523</v>
      </c>
      <c r="DF411" s="72">
        <f t="shared" ref="DF411:DF416" si="2210">IF(ISERROR(DE411/CW411),"NA",IF(OR(DE411/CW411&gt;2,DE411/CW411&lt;0.5),"NM",DE411/CW411*100-100))</f>
        <v>-13.029989658738359</v>
      </c>
      <c r="DG411" s="74">
        <v>1985</v>
      </c>
      <c r="DH411" s="72" t="str">
        <f t="shared" ref="DH411:DH416" si="2211">IF(ISERROR(DG411/CY411),"NA",IF(OR(DG411/CY411&gt;2,DG411/CY411&lt;0.5),"NM",DG411/CY411*100-100))</f>
        <v>NM</v>
      </c>
      <c r="DI411" s="74">
        <v>1672</v>
      </c>
      <c r="DJ411" s="72" t="str">
        <f t="shared" ref="DJ411:DJ416" si="2212">IF(ISERROR(DI411/DA411),"NA",IF(OR(DI411/DA411&gt;2,DI411/DA411&lt;0.5),"NM",DI411/DA411*100-100))</f>
        <v>NM</v>
      </c>
      <c r="DK411" s="74">
        <v>1476</v>
      </c>
      <c r="DL411" s="72">
        <f t="shared" ref="DL411:DL416" si="2213">IF(ISERROR(DK411/DC411),"NA",IF(OR(DK411/DC411&gt;2,DK411/DC411&lt;0.5),"NM",DK411/DC411*100-100))</f>
        <v>-43.491577335375183</v>
      </c>
      <c r="DM411" s="74">
        <v>1760</v>
      </c>
      <c r="DN411" s="72">
        <f t="shared" ref="DN411:DZ416" si="2214">IF(ISERROR(DM411/DE411),"NA",IF(OR(DM411/DE411&gt;2,DM411/DE411&lt;0.5),"NM",DM411/DE411*100-100))</f>
        <v>-30.241775663892184</v>
      </c>
      <c r="DO411" s="74">
        <v>1565</v>
      </c>
      <c r="DP411" s="72">
        <f t="shared" si="2214"/>
        <v>-21.158690176322409</v>
      </c>
      <c r="DQ411" s="74">
        <v>1469</v>
      </c>
      <c r="DR411" s="72">
        <f t="shared" si="2214"/>
        <v>-12.141148325358856</v>
      </c>
      <c r="DS411" s="74">
        <v>1411</v>
      </c>
      <c r="DT411" s="72">
        <f t="shared" si="2214"/>
        <v>-4.4037940379403722</v>
      </c>
      <c r="DU411" s="74">
        <v>1683</v>
      </c>
      <c r="DV411" s="72">
        <f t="shared" si="2214"/>
        <v>-4.375</v>
      </c>
      <c r="DW411" s="74">
        <v>1460</v>
      </c>
      <c r="DX411" s="72">
        <f t="shared" si="2214"/>
        <v>-6.7092651757188548</v>
      </c>
      <c r="DY411" s="74">
        <v>1385</v>
      </c>
      <c r="DZ411" s="72">
        <f t="shared" si="2214"/>
        <v>-5.7181756296800614</v>
      </c>
      <c r="EA411" s="74">
        <v>1464</v>
      </c>
      <c r="EB411" s="72">
        <f t="shared" ref="EB411:EB416" si="2215">IF(ISERROR(EA411/DS411),"NA",IF(OR(EA411/DS411&gt;2,EA411/DS411&lt;0.5),"NM",EA411/DS411*100-100))</f>
        <v>3.7562012756910121</v>
      </c>
      <c r="EC411" s="74">
        <v>1765</v>
      </c>
      <c r="ED411" s="72">
        <f t="shared" ref="ED411:ED416" si="2216">IF(ISERROR(EC411/DU411),"NA",IF(OR(EC411/DU411&gt;2,EC411/DU411&lt;0.5),"NM",EC411/DU411*100-100))</f>
        <v>4.8722519310754535</v>
      </c>
      <c r="EE411" s="74">
        <v>1724</v>
      </c>
      <c r="EF411" s="72">
        <f t="shared" ref="EF411:EF416" si="2217">IF(ISERROR(EE411/DW411),"NA",IF(OR(EE411/DW411&gt;2,EE411/DW411&lt;0.5),"NM",EE411/DW411*100-100))</f>
        <v>18.082191780821915</v>
      </c>
      <c r="EG411" s="74">
        <v>1672</v>
      </c>
      <c r="EH411" s="72">
        <f t="shared" ref="EH411:EH416" si="2218">IF(ISERROR(EG411/DY411),"NA",IF(OR(EG411/DY411&gt;2,EG411/DY411&lt;0.5),"NM",EG411/DY411*100-100))</f>
        <v>20.72202166064983</v>
      </c>
      <c r="EI411" s="74">
        <v>1567</v>
      </c>
      <c r="EJ411" s="72">
        <f t="shared" ref="EJ411:EJ416" si="2219">IF(ISERROR(EI411/EA411),"NA",IF(OR(EI411/EA411&gt;2,EI411/EA411&lt;0.5),"NM",EI411/EA411*100-100))</f>
        <v>7.0355191256830523</v>
      </c>
      <c r="EK411" s="74">
        <v>1711</v>
      </c>
      <c r="EL411" s="72">
        <f t="shared" ref="EL411:EL416" si="2220">IF(ISERROR(EK411/EC411),"NA",IF(OR(EK411/EC411&gt;2,EK411/EC411&lt;0.5),"NM",EK411/EC411*100-100))</f>
        <v>-3.0594900849858391</v>
      </c>
      <c r="EM411" s="74">
        <v>1641</v>
      </c>
      <c r="EN411" s="72">
        <f t="shared" ref="EN411:EN416" si="2221">IF(ISERROR(EM411/EE411),"NA",IF(OR(EM411/EE411&gt;2,EM411/EE411&lt;0.5),"NM",EM411/EE411*100-100))</f>
        <v>-4.8143851508120576</v>
      </c>
      <c r="EO411" s="74">
        <v>1550</v>
      </c>
      <c r="EP411" s="72">
        <f t="shared" ref="EP411:EP416" si="2222">IF(ISERROR(EO411/EG411),"NA",IF(OR(EO411/EG411&gt;2,EO411/EG411&lt;0.5),"NM",EO411/EG411*100-100))</f>
        <v>-7.2966507177033435</v>
      </c>
      <c r="EQ411" s="75">
        <f t="shared" ref="EQ411" si="2223">EQ405*EQ418/100</f>
        <v>1589.7285585585587</v>
      </c>
      <c r="ER411" s="72">
        <f t="shared" ref="ER411:ER416" si="2224">IF(ISERROR(EQ411/EI411),"NA",IF(OR(EQ411/EI411&gt;2,EQ411/EI411&lt;0.5),"NM",EQ411/EI411*100-100))</f>
        <v>1.4504504504504752</v>
      </c>
      <c r="ES411" s="75">
        <f t="shared" ref="ES411" si="2225">ES405*ES418/100</f>
        <v>1735.817207207207</v>
      </c>
      <c r="ET411" s="72">
        <f t="shared" ref="ET411:ET416" si="2226">IF(ISERROR(ES411/EK411),"NA",IF(OR(ES411/EK411&gt;2,ES411/EK411&lt;0.5),"NM",ES411/EK411*100-100))</f>
        <v>1.4504504504504467</v>
      </c>
      <c r="EU411" s="75">
        <f t="shared" ref="EU411" si="2227">EU405*EU418/100</f>
        <v>1646.6412467567563</v>
      </c>
      <c r="EV411" s="72">
        <f t="shared" ref="EV411:EV416" si="2228">IF(ISERROR(EU411/EM411),"NA",IF(OR(EU411/EM411&gt;2,EU411/EM411&lt;0.5),"NM",EU411/EM411*100-100))</f>
        <v>0.34376884562806254</v>
      </c>
      <c r="EW411" s="75">
        <f t="shared" ref="EW411" si="2229">EW405*EW418/100</f>
        <v>1562.8796968468469</v>
      </c>
      <c r="EX411" s="72">
        <f t="shared" ref="EX411:EX416" si="2230">IF(ISERROR(EW411/EO411),"NA",IF(OR(EW411/EO411&gt;2,EW411/EO411&lt;0.5),"NM",EW411/EO411*100-100))</f>
        <v>0.83094818366753032</v>
      </c>
      <c r="EY411" s="72"/>
      <c r="EZ411" s="323"/>
      <c r="FA411" s="72"/>
      <c r="FB411" s="74"/>
      <c r="FC411" s="72"/>
      <c r="FD411" s="74"/>
      <c r="FE411" s="72" t="str">
        <f t="shared" ref="FE411:FE416" si="2231">IF(ISERROR(FD411/FB411),"NA",IF(OR(FD411/FB411&gt;2,FD411/FB411&lt;0.5),"NM",FD411/FB411*100-100))</f>
        <v>NA</v>
      </c>
      <c r="FF411" s="74"/>
      <c r="FG411" s="72" t="str">
        <f t="shared" ref="FG411:FG416" si="2232">IF(ISERROR(FF411/FD411),"NA",IF(OR(FF411/FD411&gt;2,FF411/FD411&lt;0.5),"NM",FF411/FD411*100-100))</f>
        <v>NA</v>
      </c>
      <c r="FH411" s="75">
        <f>K411+M411+O411+Q411</f>
        <v>1291</v>
      </c>
      <c r="FI411" s="72" t="str">
        <f t="shared" ref="FI411:FI416" si="2233">IF(ISERROR(FH411/FF411),"NA",IF(OR(FH411/FF411&gt;2,FH411/FF411&lt;0.5),"NM",FH411/FF411*100-100))</f>
        <v>NA</v>
      </c>
      <c r="FJ411" s="75">
        <f>S411+U411+W411+Y411</f>
        <v>1730</v>
      </c>
      <c r="FK411" s="72">
        <f t="shared" ref="FK411:FK416" si="2234">IF(ISERROR(FJ411/FH411),"NA",IF(OR(FJ411/FH411&gt;2,FJ411/FH411&lt;0.5),"NM",FJ411/FH411*100-100))</f>
        <v>34.004647560030975</v>
      </c>
      <c r="FL411" s="75">
        <f>+AA411+AC411+AE411+AG411</f>
        <v>1695</v>
      </c>
      <c r="FM411" s="72">
        <f t="shared" ref="FM411:FM416" si="2235">IF(ISERROR(FL411/FJ411),"NA",IF(OR(FL411/FJ411&gt;2,FL411/FJ411&lt;0.5),"NM",FL411/FJ411*100-100))</f>
        <v>-2.0231213872832399</v>
      </c>
      <c r="FN411" s="75">
        <f>+AI411+AK411+AM411+AO411</f>
        <v>1887</v>
      </c>
      <c r="FO411" s="72">
        <f t="shared" ref="FO411:FO416" si="2236">IF(ISERROR(FN411/FL411),"NA",IF(OR(FN411/FL411&gt;2,FN411/FL411&lt;0.5),"NM",FN411/FL411*100-100))</f>
        <v>11.327433628318587</v>
      </c>
      <c r="FP411" s="75">
        <f>AQ411+AS411+AU411+AW411</f>
        <v>1953</v>
      </c>
      <c r="FQ411" s="72">
        <f t="shared" ref="FQ411:FQ416" si="2237">IF(ISERROR(FP411/FN411),"NA",IF(OR(FP411/FN411&gt;2,FP411/FN411&lt;0.5),"NM",FP411/FN411*100-100))</f>
        <v>3.4976152623211476</v>
      </c>
      <c r="FR411" s="75">
        <f>AY411+BA411+BC411+BE411</f>
        <v>1664</v>
      </c>
      <c r="FS411" s="72">
        <f t="shared" ref="FS411:FS416" si="2238">IF(ISERROR(FR411/FP411),"NA",IF(OR(FR411/FP411&gt;2,FR411/FP411&lt;0.5),"NM",FR411/FP411*100-100))</f>
        <v>-14.79774705581157</v>
      </c>
      <c r="FT411" s="75">
        <f>BG411+BI411+BK411+BM411</f>
        <v>1521</v>
      </c>
      <c r="FU411" s="72">
        <f t="shared" ref="FU411:FU416" si="2239">IF(ISERROR(FT411/FR411),"NA",IF(OR(FT411/FR411&gt;2,FT411/FR411&lt;0.5),"NM",FT411/FR411*100-100))</f>
        <v>-8.59375</v>
      </c>
      <c r="FV411" s="75">
        <f>BO411+BQ411+BS411+BU411</f>
        <v>1639</v>
      </c>
      <c r="FW411" s="72">
        <f t="shared" ref="FW411:GG416" si="2240">IF(ISERROR(FV411/FT411),"NA",IF(OR(FV411/FT411&gt;2,FV411/FT411&lt;0.5),"NM",FV411/FT411*100-100))</f>
        <v>7.7580539119000775</v>
      </c>
      <c r="FX411" s="75">
        <f>BW411+BY411+CA411+CC411</f>
        <v>2238</v>
      </c>
      <c r="FY411" s="72">
        <f t="shared" si="2240"/>
        <v>36.546674801708377</v>
      </c>
      <c r="FZ411" s="75">
        <f>CE411+CG411+CI411+CK411</f>
        <v>2721</v>
      </c>
      <c r="GA411" s="72">
        <f t="shared" si="2240"/>
        <v>21.58176943699732</v>
      </c>
      <c r="GB411" s="75">
        <f>CM411+CO411+CQ411+CS411</f>
        <v>6791</v>
      </c>
      <c r="GC411" s="72" t="str">
        <f t="shared" si="2240"/>
        <v>NM</v>
      </c>
      <c r="GD411" s="75">
        <f>CU411+CW411+CY411+DA411</f>
        <v>15306</v>
      </c>
      <c r="GE411" s="72" t="str">
        <f t="shared" si="2240"/>
        <v>NM</v>
      </c>
      <c r="GF411" s="75">
        <f>DC411+DE411+DG411+DI411</f>
        <v>8792</v>
      </c>
      <c r="GG411" s="72">
        <f t="shared" si="2240"/>
        <v>-42.558473801123739</v>
      </c>
      <c r="GH411" s="75">
        <f>DK411+DM411+DO411+DQ411</f>
        <v>6270</v>
      </c>
      <c r="GI411" s="72">
        <f t="shared" ref="GI411:GU416" si="2241">IF(ISERROR(GH411/GF411),"NA",IF(OR(GH411/GF411&gt;2,GH411/GF411&lt;0.5),"NM",GH411/GF411*100-100))</f>
        <v>-28.685168334849863</v>
      </c>
      <c r="GJ411" s="75">
        <f>DS411+DU411+DW411+DY411</f>
        <v>5939</v>
      </c>
      <c r="GK411" s="72">
        <f t="shared" si="2241"/>
        <v>-5.2791068580542344</v>
      </c>
      <c r="GL411" s="75">
        <f>EA411+EC411+EE411+EG411</f>
        <v>6625</v>
      </c>
      <c r="GM411" s="72">
        <f t="shared" si="2241"/>
        <v>11.550766122242791</v>
      </c>
      <c r="GN411" s="75">
        <f>EI411+EK411+EM411+EO411</f>
        <v>6469</v>
      </c>
      <c r="GO411" s="72">
        <f t="shared" si="2241"/>
        <v>-2.3547169811320714</v>
      </c>
      <c r="GP411" s="75">
        <f>EQ411+ES411+EU411+EW411</f>
        <v>6535.0667093693692</v>
      </c>
      <c r="GQ411" s="72">
        <f t="shared" si="2241"/>
        <v>1.0212816412021937</v>
      </c>
      <c r="GR411" s="75">
        <f>GR405*GR418/100</f>
        <v>6596.3700107423429</v>
      </c>
      <c r="GS411" s="72">
        <f t="shared" si="2241"/>
        <v>0.93806695630334502</v>
      </c>
      <c r="GT411" s="75">
        <f>GT405*GT418/100</f>
        <v>6662.3337108497672</v>
      </c>
      <c r="GU411" s="72">
        <f t="shared" si="2241"/>
        <v>1.0000000000000284</v>
      </c>
      <c r="GV411" s="75">
        <f>GV405*GV418/100</f>
        <v>6728.9570479582644</v>
      </c>
      <c r="GW411" s="72">
        <f t="shared" ref="GW411:GW416" si="2242">IF(ISERROR(GV411/GT411),"NA",IF(OR(GV411/GT411&gt;2,GV411/GT411&lt;0.5),"NM",GV411/GT411*100-100))</f>
        <v>1</v>
      </c>
      <c r="GX411" s="75">
        <f>GX405*GX418/100</f>
        <v>6796.2466184378472</v>
      </c>
      <c r="GY411" s="72">
        <f t="shared" ref="GY411:GY416" si="2243">IF(ISERROR(GX411/GV411),"NA",IF(OR(GX411/GV411&gt;2,GX411/GV411&lt;0.5),"NM",GX411/GV411*100-100))</f>
        <v>1</v>
      </c>
      <c r="GZ411" s="72">
        <f t="shared" ref="GZ411:GZ416" si="2244">IF(ISERROR(((GX411/GN411)^0.2-1)*100),"NA",IF((((GX411/GN411)^0.2-1)*100)&gt;100,"NM",IF((((GX411/GN411)^0.2-1)*100)&lt;-50,"NM",((GX411/GN411)^0.2-1)*100)))</f>
        <v>0.99186579943038033</v>
      </c>
      <c r="HA411" s="72"/>
      <c r="HB411" s="72"/>
      <c r="HC411"/>
      <c r="HD411"/>
      <c r="HE411"/>
      <c r="HF411"/>
      <c r="HG411"/>
      <c r="HH411"/>
      <c r="HI411" s="2"/>
    </row>
    <row r="412" spans="1:217" s="3" customFormat="1" ht="12.75" customHeight="1" x14ac:dyDescent="0.2">
      <c r="B412" s="77" t="s">
        <v>668</v>
      </c>
      <c r="C412" s="74"/>
      <c r="D412" s="72"/>
      <c r="E412" s="74"/>
      <c r="F412" s="72"/>
      <c r="G412" s="74"/>
      <c r="H412" s="72"/>
      <c r="I412" s="74"/>
      <c r="J412" s="72"/>
      <c r="K412" s="74">
        <v>0</v>
      </c>
      <c r="L412" s="72" t="str">
        <f t="shared" si="2178"/>
        <v>NA</v>
      </c>
      <c r="M412" s="74">
        <v>17</v>
      </c>
      <c r="N412" s="72" t="str">
        <f t="shared" si="2179"/>
        <v>NA</v>
      </c>
      <c r="O412" s="74">
        <v>27</v>
      </c>
      <c r="P412" s="72" t="str">
        <f t="shared" si="2180"/>
        <v>NA</v>
      </c>
      <c r="Q412" s="74">
        <v>23</v>
      </c>
      <c r="R412" s="72" t="str">
        <f t="shared" si="2181"/>
        <v>NA</v>
      </c>
      <c r="S412" s="74">
        <v>23</v>
      </c>
      <c r="T412" s="72" t="str">
        <f t="shared" si="2181"/>
        <v>NA</v>
      </c>
      <c r="U412" s="74">
        <v>22</v>
      </c>
      <c r="V412" s="72">
        <f t="shared" si="2181"/>
        <v>29.411764705882348</v>
      </c>
      <c r="W412" s="74">
        <v>22</v>
      </c>
      <c r="X412" s="72">
        <f t="shared" si="2181"/>
        <v>-18.518518518518519</v>
      </c>
      <c r="Y412" s="74">
        <v>22</v>
      </c>
      <c r="Z412" s="72">
        <f t="shared" si="2181"/>
        <v>-4.3478260869565162</v>
      </c>
      <c r="AA412" s="74">
        <v>22</v>
      </c>
      <c r="AB412" s="72">
        <f t="shared" si="2181"/>
        <v>-4.3478260869565162</v>
      </c>
      <c r="AC412" s="74">
        <v>24</v>
      </c>
      <c r="AD412" s="72">
        <f t="shared" si="2181"/>
        <v>9.0909090909090793</v>
      </c>
      <c r="AE412" s="74">
        <v>24</v>
      </c>
      <c r="AF412" s="72">
        <f t="shared" si="2181"/>
        <v>9.0909090909090793</v>
      </c>
      <c r="AG412" s="74">
        <v>26</v>
      </c>
      <c r="AH412" s="72">
        <f t="shared" si="2181"/>
        <v>18.181818181818187</v>
      </c>
      <c r="AI412" s="74">
        <v>22</v>
      </c>
      <c r="AJ412" s="72">
        <f t="shared" si="2181"/>
        <v>0</v>
      </c>
      <c r="AK412" s="74">
        <v>26</v>
      </c>
      <c r="AL412" s="72">
        <f t="shared" si="2181"/>
        <v>8.3333333333333286</v>
      </c>
      <c r="AM412" s="74">
        <v>24</v>
      </c>
      <c r="AN412" s="72">
        <f t="shared" si="2181"/>
        <v>0</v>
      </c>
      <c r="AO412" s="74">
        <v>29</v>
      </c>
      <c r="AP412" s="72">
        <f t="shared" si="2181"/>
        <v>11.538461538461547</v>
      </c>
      <c r="AQ412" s="74">
        <v>23</v>
      </c>
      <c r="AR412" s="72">
        <f t="shared" si="2182"/>
        <v>4.5454545454545467</v>
      </c>
      <c r="AS412" s="74">
        <v>26</v>
      </c>
      <c r="AT412" s="72">
        <f t="shared" si="2183"/>
        <v>0</v>
      </c>
      <c r="AU412" s="74">
        <v>29</v>
      </c>
      <c r="AV412" s="72">
        <f t="shared" si="2184"/>
        <v>20.833333333333329</v>
      </c>
      <c r="AW412" s="74">
        <v>27</v>
      </c>
      <c r="AX412" s="72">
        <f t="shared" si="2185"/>
        <v>-6.8965517241379359</v>
      </c>
      <c r="AY412" s="74">
        <v>30</v>
      </c>
      <c r="AZ412" s="72">
        <f t="shared" si="2186"/>
        <v>30.434782608695656</v>
      </c>
      <c r="BA412" s="74">
        <v>34</v>
      </c>
      <c r="BB412" s="72">
        <f t="shared" si="2187"/>
        <v>30.769230769230774</v>
      </c>
      <c r="BC412" s="74">
        <v>39</v>
      </c>
      <c r="BD412" s="72">
        <f t="shared" si="2188"/>
        <v>34.482758620689651</v>
      </c>
      <c r="BE412" s="74">
        <v>42</v>
      </c>
      <c r="BF412" s="72">
        <f t="shared" si="2189"/>
        <v>55.555555555555571</v>
      </c>
      <c r="BG412" s="74">
        <v>43</v>
      </c>
      <c r="BH412" s="72">
        <f t="shared" si="2190"/>
        <v>43.333333333333343</v>
      </c>
      <c r="BI412" s="74">
        <v>48</v>
      </c>
      <c r="BJ412" s="72">
        <f t="shared" si="2191"/>
        <v>41.176470588235304</v>
      </c>
      <c r="BK412" s="74">
        <v>48</v>
      </c>
      <c r="BL412" s="72">
        <f t="shared" si="2192"/>
        <v>23.07692307692308</v>
      </c>
      <c r="BM412" s="74">
        <v>54</v>
      </c>
      <c r="BN412" s="72">
        <f t="shared" si="2193"/>
        <v>28.571428571428584</v>
      </c>
      <c r="BO412" s="74">
        <v>57</v>
      </c>
      <c r="BP412" s="72">
        <f t="shared" si="2194"/>
        <v>32.558139534883708</v>
      </c>
      <c r="BQ412" s="74">
        <v>61</v>
      </c>
      <c r="BR412" s="72">
        <f t="shared" si="2195"/>
        <v>27.083333333333329</v>
      </c>
      <c r="BS412" s="74">
        <v>64</v>
      </c>
      <c r="BT412" s="72">
        <f t="shared" si="2196"/>
        <v>33.333333333333314</v>
      </c>
      <c r="BU412" s="74">
        <v>67</v>
      </c>
      <c r="BV412" s="72">
        <f t="shared" si="2197"/>
        <v>24.074074074074076</v>
      </c>
      <c r="BW412" s="74">
        <v>71</v>
      </c>
      <c r="BX412" s="72">
        <f t="shared" si="2198"/>
        <v>24.561403508771946</v>
      </c>
      <c r="BY412" s="74">
        <v>70</v>
      </c>
      <c r="BZ412" s="72">
        <f t="shared" si="2199"/>
        <v>14.754098360655732</v>
      </c>
      <c r="CA412" s="74">
        <v>74</v>
      </c>
      <c r="CB412" s="72">
        <f t="shared" si="2200"/>
        <v>15.625</v>
      </c>
      <c r="CC412" s="74">
        <v>79</v>
      </c>
      <c r="CD412" s="72">
        <f t="shared" si="2201"/>
        <v>17.910447761194035</v>
      </c>
      <c r="CE412" s="74">
        <v>81</v>
      </c>
      <c r="CF412" s="72">
        <f t="shared" si="2202"/>
        <v>14.08450704225352</v>
      </c>
      <c r="CG412" s="74">
        <v>83</v>
      </c>
      <c r="CH412" s="72">
        <f t="shared" si="2203"/>
        <v>18.571428571428569</v>
      </c>
      <c r="CI412" s="74">
        <v>89</v>
      </c>
      <c r="CJ412" s="72">
        <f t="shared" si="2204"/>
        <v>20.27027027027026</v>
      </c>
      <c r="CK412" s="74">
        <v>96</v>
      </c>
      <c r="CL412" s="72">
        <f t="shared" si="2204"/>
        <v>21.51898734177216</v>
      </c>
      <c r="CM412" s="74">
        <v>99</v>
      </c>
      <c r="CN412" s="72">
        <f t="shared" si="2204"/>
        <v>22.222222222222229</v>
      </c>
      <c r="CO412" s="74">
        <v>193</v>
      </c>
      <c r="CP412" s="72" t="str">
        <f t="shared" si="2204"/>
        <v>NM</v>
      </c>
      <c r="CQ412" s="74">
        <v>226</v>
      </c>
      <c r="CR412" s="72" t="str">
        <f t="shared" si="2204"/>
        <v>NM</v>
      </c>
      <c r="CS412" s="74">
        <v>215</v>
      </c>
      <c r="CT412" s="72" t="str">
        <f t="shared" si="2204"/>
        <v>NM</v>
      </c>
      <c r="CU412" s="74">
        <v>210</v>
      </c>
      <c r="CV412" s="72" t="str">
        <f t="shared" si="2205"/>
        <v>NM</v>
      </c>
      <c r="CW412" s="74">
        <v>209</v>
      </c>
      <c r="CX412" s="72">
        <f t="shared" si="2206"/>
        <v>8.2901554404145088</v>
      </c>
      <c r="CY412" s="74">
        <v>223</v>
      </c>
      <c r="CZ412" s="72">
        <f t="shared" si="2207"/>
        <v>-1.3274336283185875</v>
      </c>
      <c r="DA412" s="74">
        <v>219</v>
      </c>
      <c r="DB412" s="72">
        <f t="shared" si="2208"/>
        <v>1.8604651162790589</v>
      </c>
      <c r="DC412" s="74">
        <v>198</v>
      </c>
      <c r="DD412" s="72">
        <f t="shared" si="2209"/>
        <v>-5.7142857142857224</v>
      </c>
      <c r="DE412" s="74">
        <v>178</v>
      </c>
      <c r="DF412" s="72">
        <f t="shared" si="2210"/>
        <v>-14.832535885167459</v>
      </c>
      <c r="DG412" s="74">
        <v>182</v>
      </c>
      <c r="DH412" s="72">
        <f t="shared" si="2211"/>
        <v>-18.38565022421524</v>
      </c>
      <c r="DI412" s="74">
        <v>182</v>
      </c>
      <c r="DJ412" s="72">
        <f t="shared" si="2212"/>
        <v>-16.894977168949779</v>
      </c>
      <c r="DK412" s="74">
        <v>179</v>
      </c>
      <c r="DL412" s="72">
        <f t="shared" si="2213"/>
        <v>-9.5959595959595845</v>
      </c>
      <c r="DM412" s="74">
        <v>189</v>
      </c>
      <c r="DN412" s="72">
        <f t="shared" si="2214"/>
        <v>6.1797752808988804</v>
      </c>
      <c r="DO412" s="74">
        <v>197</v>
      </c>
      <c r="DP412" s="72">
        <f t="shared" si="2214"/>
        <v>8.2417582417582338</v>
      </c>
      <c r="DQ412" s="74">
        <v>175</v>
      </c>
      <c r="DR412" s="72">
        <f t="shared" si="2214"/>
        <v>-3.8461538461538396</v>
      </c>
      <c r="DS412" s="74">
        <v>169</v>
      </c>
      <c r="DT412" s="72">
        <f t="shared" si="2214"/>
        <v>-5.5865921787709567</v>
      </c>
      <c r="DU412" s="74">
        <v>176</v>
      </c>
      <c r="DV412" s="72">
        <f t="shared" si="2214"/>
        <v>-6.878306878306887</v>
      </c>
      <c r="DW412" s="74">
        <v>165</v>
      </c>
      <c r="DX412" s="72">
        <f t="shared" si="2214"/>
        <v>-16.243654822335031</v>
      </c>
      <c r="DY412" s="74">
        <v>166</v>
      </c>
      <c r="DZ412" s="72">
        <f t="shared" si="2214"/>
        <v>-5.1428571428571388</v>
      </c>
      <c r="EA412" s="74">
        <v>168</v>
      </c>
      <c r="EB412" s="72">
        <f t="shared" si="2215"/>
        <v>-0.59171597633135775</v>
      </c>
      <c r="EC412" s="74">
        <v>174</v>
      </c>
      <c r="ED412" s="72">
        <f t="shared" si="2216"/>
        <v>-1.1363636363636402</v>
      </c>
      <c r="EE412" s="74">
        <v>173</v>
      </c>
      <c r="EF412" s="72">
        <f t="shared" si="2217"/>
        <v>4.8484848484848584</v>
      </c>
      <c r="EG412" s="74">
        <v>171</v>
      </c>
      <c r="EH412" s="72">
        <f t="shared" si="2218"/>
        <v>3.0120481927710756</v>
      </c>
      <c r="EI412" s="74">
        <v>164</v>
      </c>
      <c r="EJ412" s="72">
        <f t="shared" si="2219"/>
        <v>-2.3809523809523796</v>
      </c>
      <c r="EK412" s="74">
        <v>166</v>
      </c>
      <c r="EL412" s="72">
        <f t="shared" si="2220"/>
        <v>-4.5977011494252906</v>
      </c>
      <c r="EM412" s="74">
        <v>166</v>
      </c>
      <c r="EN412" s="72">
        <f t="shared" si="2221"/>
        <v>-4.0462427745664797</v>
      </c>
      <c r="EO412" s="74">
        <v>165</v>
      </c>
      <c r="EP412" s="72">
        <f t="shared" si="2222"/>
        <v>-3.5087719298245617</v>
      </c>
      <c r="EQ412" s="75">
        <f t="shared" ref="EQ412" si="2245">EQ406*EQ419/100</f>
        <v>157.29838709677421</v>
      </c>
      <c r="ER412" s="72">
        <f t="shared" si="2224"/>
        <v>-4.0863493312352404</v>
      </c>
      <c r="ES412" s="75">
        <f t="shared" ref="ES412" si="2246">ES406*ES419/100</f>
        <v>160.74</v>
      </c>
      <c r="ET412" s="72">
        <f t="shared" si="2226"/>
        <v>-3.1686746987951722</v>
      </c>
      <c r="EU412" s="75">
        <f t="shared" ref="EU412" si="2247">EU406*EU419/100</f>
        <v>160.74</v>
      </c>
      <c r="EV412" s="72">
        <f t="shared" si="2228"/>
        <v>-3.1686746987951722</v>
      </c>
      <c r="EW412" s="75">
        <f t="shared" ref="EW412" si="2248">EW406*EW419/100</f>
        <v>160.74</v>
      </c>
      <c r="EX412" s="72">
        <f t="shared" si="2230"/>
        <v>-2.5818181818181785</v>
      </c>
      <c r="EY412" s="72"/>
      <c r="EZ412" s="326"/>
      <c r="FA412" s="72"/>
      <c r="FB412" s="74"/>
      <c r="FC412" s="72"/>
      <c r="FD412" s="74"/>
      <c r="FE412" s="72" t="str">
        <f t="shared" si="2231"/>
        <v>NA</v>
      </c>
      <c r="FF412" s="74"/>
      <c r="FG412" s="72" t="str">
        <f t="shared" si="2232"/>
        <v>NA</v>
      </c>
      <c r="FH412" s="75">
        <f>K412+M412+O412+Q412</f>
        <v>67</v>
      </c>
      <c r="FI412" s="72" t="str">
        <f t="shared" si="2233"/>
        <v>NA</v>
      </c>
      <c r="FJ412" s="75">
        <f>S412+U412+W412+Y412</f>
        <v>89</v>
      </c>
      <c r="FK412" s="72">
        <f t="shared" si="2234"/>
        <v>32.835820895522403</v>
      </c>
      <c r="FL412" s="75">
        <f>+AA412+AC412+AE412+AG412</f>
        <v>96</v>
      </c>
      <c r="FM412" s="72">
        <f t="shared" si="2235"/>
        <v>7.8651685393258362</v>
      </c>
      <c r="FN412" s="75">
        <f>+AI412+AK412+AM412+AO412</f>
        <v>101</v>
      </c>
      <c r="FO412" s="72">
        <f t="shared" si="2236"/>
        <v>5.2083333333333286</v>
      </c>
      <c r="FP412" s="75">
        <f>AQ412+AS412+AU412+AW412</f>
        <v>105</v>
      </c>
      <c r="FQ412" s="72">
        <f t="shared" si="2237"/>
        <v>3.9603960396039639</v>
      </c>
      <c r="FR412" s="75">
        <f>AY412+BA412+BC412+BE412</f>
        <v>145</v>
      </c>
      <c r="FS412" s="72">
        <f t="shared" si="2238"/>
        <v>38.095238095238102</v>
      </c>
      <c r="FT412" s="75">
        <f>BG412+BI412+BK412+BM412</f>
        <v>193</v>
      </c>
      <c r="FU412" s="72">
        <f t="shared" si="2239"/>
        <v>33.103448275862064</v>
      </c>
      <c r="FV412" s="75">
        <f>BO412+BQ412+BS412+BU412</f>
        <v>249</v>
      </c>
      <c r="FW412" s="72">
        <f t="shared" si="2240"/>
        <v>29.015544041450767</v>
      </c>
      <c r="FX412" s="75">
        <f>BW412+BY412+CA412+CC412</f>
        <v>294</v>
      </c>
      <c r="FY412" s="72">
        <f t="shared" si="2240"/>
        <v>18.07228915662651</v>
      </c>
      <c r="FZ412" s="75">
        <f>CE412+CG412+CI412+CK412</f>
        <v>349</v>
      </c>
      <c r="GA412" s="72">
        <f t="shared" si="2240"/>
        <v>18.707482993197289</v>
      </c>
      <c r="GB412" s="75">
        <f>CM412+CO412+CQ412+CS412</f>
        <v>733</v>
      </c>
      <c r="GC412" s="72" t="str">
        <f t="shared" si="2240"/>
        <v>NM</v>
      </c>
      <c r="GD412" s="75">
        <f>CU412+CW412+CY412+DA412</f>
        <v>861</v>
      </c>
      <c r="GE412" s="72">
        <f t="shared" si="2240"/>
        <v>17.462482946793997</v>
      </c>
      <c r="GF412" s="75">
        <f>DC412+DE412+DG412+DI412</f>
        <v>740</v>
      </c>
      <c r="GG412" s="72">
        <f t="shared" si="2240"/>
        <v>-14.053426248548192</v>
      </c>
      <c r="GH412" s="75">
        <f>DK412+DM412+DO412+DQ412</f>
        <v>740</v>
      </c>
      <c r="GI412" s="72">
        <f t="shared" si="2241"/>
        <v>0</v>
      </c>
      <c r="GJ412" s="75">
        <f>DS412+DU412+DW412+DY412</f>
        <v>676</v>
      </c>
      <c r="GK412" s="72">
        <f t="shared" si="2241"/>
        <v>-8.6486486486486456</v>
      </c>
      <c r="GL412" s="75">
        <f>EA412+EC412+EE412+EG412</f>
        <v>686</v>
      </c>
      <c r="GM412" s="72">
        <f t="shared" si="2241"/>
        <v>1.4792899408283944</v>
      </c>
      <c r="GN412" s="75">
        <f>EI412+EK412+EM412+EO412</f>
        <v>661</v>
      </c>
      <c r="GO412" s="72">
        <f t="shared" si="2241"/>
        <v>-3.6443148688046705</v>
      </c>
      <c r="GP412" s="75">
        <f>EQ412+ES412+EU412+EW412</f>
        <v>639.51838709677418</v>
      </c>
      <c r="GQ412" s="72">
        <f t="shared" si="2241"/>
        <v>-3.2498657947391649</v>
      </c>
      <c r="GR412" s="75">
        <f>GR406*GR419/100</f>
        <v>653.03407096774185</v>
      </c>
      <c r="GS412" s="72">
        <f t="shared" si="2241"/>
        <v>2.1134159929826097</v>
      </c>
      <c r="GT412" s="75">
        <f>GT406*GT419/100</f>
        <v>673.94782167741926</v>
      </c>
      <c r="GU412" s="72">
        <f t="shared" si="2241"/>
        <v>3.2025512357548109</v>
      </c>
      <c r="GV412" s="75">
        <f>GV406*GV419/100</f>
        <v>695.21454399419338</v>
      </c>
      <c r="GW412" s="72">
        <f t="shared" si="2242"/>
        <v>3.1555443363319142</v>
      </c>
      <c r="GX412" s="75">
        <f>GX406*GX419/100</f>
        <v>716.83920597513531</v>
      </c>
      <c r="GY412" s="72">
        <f t="shared" si="2243"/>
        <v>3.1105019547926105</v>
      </c>
      <c r="GZ412" s="72">
        <f t="shared" si="2244"/>
        <v>1.6351794069707548</v>
      </c>
      <c r="HA412" s="72"/>
      <c r="HB412" s="72"/>
      <c r="HC412"/>
      <c r="HD412"/>
      <c r="HE412"/>
      <c r="HF412"/>
      <c r="HG412"/>
      <c r="HH412"/>
      <c r="HI412" s="2"/>
    </row>
    <row r="413" spans="1:217" s="69" customFormat="1" ht="12.75" customHeight="1" x14ac:dyDescent="0.2">
      <c r="B413" s="77" t="s">
        <v>271</v>
      </c>
      <c r="C413" s="74"/>
      <c r="D413" s="72"/>
      <c r="E413" s="74"/>
      <c r="F413" s="72"/>
      <c r="G413" s="74"/>
      <c r="H413" s="72"/>
      <c r="I413" s="74"/>
      <c r="J413" s="72"/>
      <c r="K413" s="74">
        <v>0</v>
      </c>
      <c r="L413" s="72" t="str">
        <f t="shared" si="2178"/>
        <v>NA</v>
      </c>
      <c r="M413" s="74">
        <v>0</v>
      </c>
      <c r="N413" s="72" t="str">
        <f t="shared" si="2179"/>
        <v>NA</v>
      </c>
      <c r="O413" s="74">
        <v>1</v>
      </c>
      <c r="P413" s="72" t="str">
        <f t="shared" si="2180"/>
        <v>NA</v>
      </c>
      <c r="Q413" s="74">
        <v>-2</v>
      </c>
      <c r="R413" s="72" t="str">
        <f t="shared" si="2181"/>
        <v>NA</v>
      </c>
      <c r="S413" s="74">
        <v>-1</v>
      </c>
      <c r="T413" s="72" t="str">
        <f t="shared" si="2181"/>
        <v>NA</v>
      </c>
      <c r="U413" s="74">
        <v>-1</v>
      </c>
      <c r="V413" s="72" t="str">
        <f t="shared" si="2181"/>
        <v>NA</v>
      </c>
      <c r="W413" s="74">
        <v>-1</v>
      </c>
      <c r="X413" s="72" t="str">
        <f t="shared" si="2181"/>
        <v>NM</v>
      </c>
      <c r="Y413" s="74">
        <v>0</v>
      </c>
      <c r="Z413" s="72" t="str">
        <f t="shared" si="2181"/>
        <v>NM</v>
      </c>
      <c r="AA413" s="74">
        <v>-3</v>
      </c>
      <c r="AB413" s="72" t="str">
        <f t="shared" si="2181"/>
        <v>NM</v>
      </c>
      <c r="AC413" s="74">
        <v>-2</v>
      </c>
      <c r="AD413" s="72">
        <f t="shared" si="2181"/>
        <v>100</v>
      </c>
      <c r="AE413" s="74">
        <v>-2</v>
      </c>
      <c r="AF413" s="72">
        <f t="shared" si="2181"/>
        <v>100</v>
      </c>
      <c r="AG413" s="74">
        <v>-2</v>
      </c>
      <c r="AH413" s="72" t="str">
        <f t="shared" si="2181"/>
        <v>NA</v>
      </c>
      <c r="AI413" s="74">
        <v>-3</v>
      </c>
      <c r="AJ413" s="72">
        <f t="shared" si="2181"/>
        <v>0</v>
      </c>
      <c r="AK413" s="74">
        <v>-1</v>
      </c>
      <c r="AL413" s="72">
        <f t="shared" si="2181"/>
        <v>-50</v>
      </c>
      <c r="AM413" s="74">
        <v>-2</v>
      </c>
      <c r="AN413" s="72">
        <f t="shared" si="2181"/>
        <v>0</v>
      </c>
      <c r="AO413" s="74">
        <v>-1</v>
      </c>
      <c r="AP413" s="72">
        <f t="shared" si="2181"/>
        <v>-50</v>
      </c>
      <c r="AQ413" s="74">
        <v>-1</v>
      </c>
      <c r="AR413" s="72" t="str">
        <f t="shared" si="2182"/>
        <v>NM</v>
      </c>
      <c r="AS413" s="74">
        <v>0</v>
      </c>
      <c r="AT413" s="72" t="str">
        <f t="shared" si="2183"/>
        <v>NM</v>
      </c>
      <c r="AU413" s="74">
        <v>0</v>
      </c>
      <c r="AV413" s="72" t="str">
        <f t="shared" si="2184"/>
        <v>NM</v>
      </c>
      <c r="AW413" s="74">
        <v>0</v>
      </c>
      <c r="AX413" s="72" t="str">
        <f t="shared" si="2185"/>
        <v>NM</v>
      </c>
      <c r="AY413" s="74">
        <v>0</v>
      </c>
      <c r="AZ413" s="72" t="str">
        <f t="shared" si="2186"/>
        <v>NM</v>
      </c>
      <c r="BA413" s="74">
        <v>0</v>
      </c>
      <c r="BB413" s="72" t="str">
        <f t="shared" si="2187"/>
        <v>NA</v>
      </c>
      <c r="BC413" s="74">
        <v>0</v>
      </c>
      <c r="BD413" s="72" t="str">
        <f t="shared" si="2188"/>
        <v>NA</v>
      </c>
      <c r="BE413" s="74">
        <v>-2</v>
      </c>
      <c r="BF413" s="72" t="str">
        <f t="shared" si="2189"/>
        <v>NA</v>
      </c>
      <c r="BG413" s="74">
        <v>-2</v>
      </c>
      <c r="BH413" s="72" t="str">
        <f t="shared" si="2190"/>
        <v>NA</v>
      </c>
      <c r="BI413" s="74">
        <v>-2</v>
      </c>
      <c r="BJ413" s="72" t="str">
        <f t="shared" si="2191"/>
        <v>NA</v>
      </c>
      <c r="BK413" s="74">
        <v>4</v>
      </c>
      <c r="BL413" s="72" t="str">
        <f t="shared" si="2192"/>
        <v>NA</v>
      </c>
      <c r="BM413" s="74">
        <v>1</v>
      </c>
      <c r="BN413" s="72" t="str">
        <f t="shared" si="2193"/>
        <v>NM</v>
      </c>
      <c r="BO413" s="74">
        <v>-2</v>
      </c>
      <c r="BP413" s="72">
        <f t="shared" si="2194"/>
        <v>0</v>
      </c>
      <c r="BQ413" s="74">
        <v>-2</v>
      </c>
      <c r="BR413" s="72">
        <f t="shared" si="2195"/>
        <v>0</v>
      </c>
      <c r="BS413" s="74">
        <v>-2</v>
      </c>
      <c r="BT413" s="72" t="str">
        <f t="shared" si="2196"/>
        <v>NM</v>
      </c>
      <c r="BU413" s="74">
        <v>-2</v>
      </c>
      <c r="BV413" s="72" t="str">
        <f t="shared" si="2197"/>
        <v>NM</v>
      </c>
      <c r="BW413" s="74">
        <v>-2</v>
      </c>
      <c r="BX413" s="72">
        <f t="shared" si="2198"/>
        <v>0</v>
      </c>
      <c r="BY413" s="74">
        <v>2</v>
      </c>
      <c r="BZ413" s="72" t="str">
        <f t="shared" si="2199"/>
        <v>NM</v>
      </c>
      <c r="CA413" s="74">
        <v>1</v>
      </c>
      <c r="CB413" s="72" t="str">
        <f t="shared" si="2200"/>
        <v>NM</v>
      </c>
      <c r="CC413" s="74">
        <v>0</v>
      </c>
      <c r="CD413" s="72" t="str">
        <f t="shared" si="2201"/>
        <v>NM</v>
      </c>
      <c r="CE413" s="74">
        <v>0</v>
      </c>
      <c r="CF413" s="72" t="str">
        <f t="shared" si="2202"/>
        <v>NM</v>
      </c>
      <c r="CG413" s="74">
        <v>0</v>
      </c>
      <c r="CH413" s="72" t="str">
        <f t="shared" si="2203"/>
        <v>NM</v>
      </c>
      <c r="CI413" s="74">
        <v>1</v>
      </c>
      <c r="CJ413" s="72">
        <f t="shared" si="2204"/>
        <v>0</v>
      </c>
      <c r="CK413" s="74">
        <v>0</v>
      </c>
      <c r="CL413" s="72" t="str">
        <f t="shared" si="2204"/>
        <v>NA</v>
      </c>
      <c r="CM413" s="74">
        <v>0</v>
      </c>
      <c r="CN413" s="72" t="str">
        <f t="shared" si="2204"/>
        <v>NA</v>
      </c>
      <c r="CO413" s="74">
        <v>1</v>
      </c>
      <c r="CP413" s="72" t="str">
        <f t="shared" si="2204"/>
        <v>NA</v>
      </c>
      <c r="CQ413" s="74">
        <v>0</v>
      </c>
      <c r="CR413" s="72" t="str">
        <f t="shared" si="2204"/>
        <v>NM</v>
      </c>
      <c r="CS413" s="74">
        <v>1</v>
      </c>
      <c r="CT413" s="72" t="str">
        <f t="shared" si="2204"/>
        <v>NA</v>
      </c>
      <c r="CU413" s="74">
        <v>1</v>
      </c>
      <c r="CV413" s="72" t="str">
        <f t="shared" si="2205"/>
        <v>NA</v>
      </c>
      <c r="CW413" s="74">
        <v>-1</v>
      </c>
      <c r="CX413" s="72" t="str">
        <f t="shared" si="2206"/>
        <v>NM</v>
      </c>
      <c r="CY413" s="74">
        <v>1</v>
      </c>
      <c r="CZ413" s="72" t="str">
        <f t="shared" si="2207"/>
        <v>NA</v>
      </c>
      <c r="DA413" s="74">
        <v>2</v>
      </c>
      <c r="DB413" s="72">
        <f t="shared" si="2208"/>
        <v>100</v>
      </c>
      <c r="DC413" s="74">
        <v>0</v>
      </c>
      <c r="DD413" s="72" t="str">
        <f t="shared" si="2209"/>
        <v>NM</v>
      </c>
      <c r="DE413" s="74">
        <v>0</v>
      </c>
      <c r="DF413" s="72" t="str">
        <f t="shared" si="2210"/>
        <v>NM</v>
      </c>
      <c r="DG413" s="74">
        <v>0</v>
      </c>
      <c r="DH413" s="72" t="str">
        <f t="shared" si="2211"/>
        <v>NM</v>
      </c>
      <c r="DI413" s="74">
        <v>1</v>
      </c>
      <c r="DJ413" s="72">
        <f t="shared" si="2212"/>
        <v>-50</v>
      </c>
      <c r="DK413" s="74">
        <v>0</v>
      </c>
      <c r="DL413" s="72" t="str">
        <f t="shared" si="2213"/>
        <v>NA</v>
      </c>
      <c r="DM413" s="74">
        <v>1</v>
      </c>
      <c r="DN413" s="72" t="str">
        <f t="shared" si="2214"/>
        <v>NA</v>
      </c>
      <c r="DO413" s="74">
        <v>0</v>
      </c>
      <c r="DP413" s="72" t="str">
        <f t="shared" si="2214"/>
        <v>NA</v>
      </c>
      <c r="DQ413" s="74">
        <v>1</v>
      </c>
      <c r="DR413" s="72">
        <f t="shared" si="2214"/>
        <v>0</v>
      </c>
      <c r="DS413" s="74">
        <v>0</v>
      </c>
      <c r="DT413" s="72" t="str">
        <f t="shared" si="2214"/>
        <v>NA</v>
      </c>
      <c r="DU413" s="74">
        <v>1</v>
      </c>
      <c r="DV413" s="72">
        <f t="shared" si="2214"/>
        <v>0</v>
      </c>
      <c r="DW413" s="74">
        <v>1</v>
      </c>
      <c r="DX413" s="72" t="str">
        <f t="shared" si="2214"/>
        <v>NA</v>
      </c>
      <c r="DY413" s="74">
        <v>0</v>
      </c>
      <c r="DZ413" s="72" t="str">
        <f t="shared" si="2214"/>
        <v>NM</v>
      </c>
      <c r="EA413" s="74">
        <v>1</v>
      </c>
      <c r="EB413" s="72" t="str">
        <f t="shared" si="2215"/>
        <v>NA</v>
      </c>
      <c r="EC413" s="74">
        <v>0</v>
      </c>
      <c r="ED413" s="72" t="str">
        <f t="shared" si="2216"/>
        <v>NM</v>
      </c>
      <c r="EE413" s="74">
        <v>1</v>
      </c>
      <c r="EF413" s="72">
        <f t="shared" si="2217"/>
        <v>0</v>
      </c>
      <c r="EG413" s="74">
        <v>1</v>
      </c>
      <c r="EH413" s="72" t="str">
        <f t="shared" si="2218"/>
        <v>NA</v>
      </c>
      <c r="EI413" s="74">
        <v>1</v>
      </c>
      <c r="EJ413" s="72">
        <f t="shared" si="2219"/>
        <v>0</v>
      </c>
      <c r="EK413" s="74">
        <v>1</v>
      </c>
      <c r="EL413" s="72" t="str">
        <f t="shared" si="2220"/>
        <v>NA</v>
      </c>
      <c r="EM413" s="74">
        <v>2</v>
      </c>
      <c r="EN413" s="72">
        <f t="shared" si="2221"/>
        <v>100</v>
      </c>
      <c r="EO413" s="74">
        <v>1</v>
      </c>
      <c r="EP413" s="72">
        <f t="shared" si="2222"/>
        <v>0</v>
      </c>
      <c r="EQ413" s="75">
        <f t="shared" ref="EQ413" si="2249">EO413</f>
        <v>1</v>
      </c>
      <c r="ER413" s="72">
        <f t="shared" si="2224"/>
        <v>0</v>
      </c>
      <c r="ES413" s="75">
        <f t="shared" ref="ES413" si="2250">EQ413</f>
        <v>1</v>
      </c>
      <c r="ET413" s="72">
        <f t="shared" si="2226"/>
        <v>0</v>
      </c>
      <c r="EU413" s="75">
        <f t="shared" ref="EU413" si="2251">ES413</f>
        <v>1</v>
      </c>
      <c r="EV413" s="72">
        <f t="shared" si="2228"/>
        <v>-50</v>
      </c>
      <c r="EW413" s="75">
        <f t="shared" ref="EW413" si="2252">EU413</f>
        <v>1</v>
      </c>
      <c r="EX413" s="72">
        <f t="shared" si="2230"/>
        <v>0</v>
      </c>
      <c r="EY413" s="72"/>
      <c r="EZ413" s="325"/>
      <c r="FA413" s="72"/>
      <c r="FB413" s="74"/>
      <c r="FC413" s="87"/>
      <c r="FD413" s="74"/>
      <c r="FE413" s="72" t="str">
        <f t="shared" si="2231"/>
        <v>NA</v>
      </c>
      <c r="FF413" s="74"/>
      <c r="FG413" s="72" t="str">
        <f t="shared" si="2232"/>
        <v>NA</v>
      </c>
      <c r="FH413" s="75">
        <f>K413+M413+O413+Q413</f>
        <v>-1</v>
      </c>
      <c r="FI413" s="72" t="str">
        <f t="shared" si="2233"/>
        <v>NA</v>
      </c>
      <c r="FJ413" s="75">
        <f>S413+U413+W413+Y413</f>
        <v>-3</v>
      </c>
      <c r="FK413" s="72" t="str">
        <f t="shared" si="2234"/>
        <v>NM</v>
      </c>
      <c r="FL413" s="75">
        <f>+AA413+AC413+AE413+AG413</f>
        <v>-9</v>
      </c>
      <c r="FM413" s="72" t="str">
        <f t="shared" si="2235"/>
        <v>NM</v>
      </c>
      <c r="FN413" s="75">
        <f>+AI413+AK413+AM413+AO413</f>
        <v>-7</v>
      </c>
      <c r="FO413" s="72">
        <f t="shared" si="2236"/>
        <v>-22.222222222222214</v>
      </c>
      <c r="FP413" s="75">
        <f>AQ413+AS413+AU413+AW413</f>
        <v>-1</v>
      </c>
      <c r="FQ413" s="72" t="str">
        <f t="shared" si="2237"/>
        <v>NM</v>
      </c>
      <c r="FR413" s="75">
        <f>AY413+BA413+BC413+BE413</f>
        <v>-2</v>
      </c>
      <c r="FS413" s="72">
        <f t="shared" si="2238"/>
        <v>100</v>
      </c>
      <c r="FT413" s="75">
        <f>BG413+BI413+BK413+BM413</f>
        <v>1</v>
      </c>
      <c r="FU413" s="72" t="str">
        <f t="shared" si="2239"/>
        <v>NM</v>
      </c>
      <c r="FV413" s="74">
        <v>-5</v>
      </c>
      <c r="FW413" s="72" t="str">
        <f t="shared" si="2240"/>
        <v>NM</v>
      </c>
      <c r="FX413" s="75">
        <f>BW413+BY413+CA413+CC413</f>
        <v>1</v>
      </c>
      <c r="FY413" s="72" t="str">
        <f t="shared" si="2240"/>
        <v>NM</v>
      </c>
      <c r="FZ413" s="75">
        <f>CE413+CG413+CI413+CK413</f>
        <v>1</v>
      </c>
      <c r="GA413" s="72">
        <f t="shared" si="2240"/>
        <v>0</v>
      </c>
      <c r="GB413" s="75">
        <f>CM413+CO413+CQ413+CS413</f>
        <v>2</v>
      </c>
      <c r="GC413" s="72">
        <f t="shared" si="2240"/>
        <v>100</v>
      </c>
      <c r="GD413" s="75">
        <f>CU413+CW413+CY413+DA413</f>
        <v>3</v>
      </c>
      <c r="GE413" s="72">
        <f t="shared" si="2240"/>
        <v>50</v>
      </c>
      <c r="GF413" s="75">
        <f>DC413+DE413+DG413+DI413</f>
        <v>1</v>
      </c>
      <c r="GG413" s="72" t="str">
        <f t="shared" si="2240"/>
        <v>NM</v>
      </c>
      <c r="GH413" s="75">
        <f>DK413+DM413+DO413+DQ413</f>
        <v>2</v>
      </c>
      <c r="GI413" s="72">
        <f t="shared" si="2241"/>
        <v>100</v>
      </c>
      <c r="GJ413" s="75">
        <f>DS413+DU413+DW413+DY413</f>
        <v>2</v>
      </c>
      <c r="GK413" s="72">
        <f t="shared" si="2241"/>
        <v>0</v>
      </c>
      <c r="GL413" s="75">
        <f>EA413+EC413+EE413+EG413</f>
        <v>3</v>
      </c>
      <c r="GM413" s="72">
        <f t="shared" si="2241"/>
        <v>50</v>
      </c>
      <c r="GN413" s="75">
        <f>EI413+EK413+EM413+EO413</f>
        <v>5</v>
      </c>
      <c r="GO413" s="72">
        <f t="shared" si="2241"/>
        <v>66.666666666666686</v>
      </c>
      <c r="GP413" s="75">
        <f>EQ413+ES413+EU413+EW413</f>
        <v>4</v>
      </c>
      <c r="GQ413" s="72">
        <f t="shared" si="2241"/>
        <v>-20</v>
      </c>
      <c r="GR413" s="75">
        <f>GP413</f>
        <v>4</v>
      </c>
      <c r="GS413" s="72">
        <f t="shared" si="2241"/>
        <v>0</v>
      </c>
      <c r="GT413" s="75">
        <f>GR413</f>
        <v>4</v>
      </c>
      <c r="GU413" s="72">
        <f t="shared" si="2241"/>
        <v>0</v>
      </c>
      <c r="GV413" s="75">
        <f>GT413</f>
        <v>4</v>
      </c>
      <c r="GW413" s="72">
        <f t="shared" si="2242"/>
        <v>0</v>
      </c>
      <c r="GX413" s="75">
        <f>GV413</f>
        <v>4</v>
      </c>
      <c r="GY413" s="72">
        <f t="shared" si="2243"/>
        <v>0</v>
      </c>
      <c r="GZ413" s="72">
        <f t="shared" si="2244"/>
        <v>-4.3647500209962997</v>
      </c>
      <c r="HA413" s="72"/>
      <c r="HB413" s="72"/>
      <c r="HC413"/>
      <c r="HD413"/>
      <c r="HE413"/>
      <c r="HF413"/>
      <c r="HG413"/>
      <c r="HH413"/>
      <c r="HI413" s="2"/>
    </row>
    <row r="414" spans="1:217" s="133" customFormat="1" ht="12.75" customHeight="1" x14ac:dyDescent="0.2">
      <c r="B414" s="77" t="s">
        <v>404</v>
      </c>
      <c r="C414" s="74"/>
      <c r="D414" s="72"/>
      <c r="E414" s="74"/>
      <c r="F414" s="72"/>
      <c r="G414" s="74"/>
      <c r="H414" s="72"/>
      <c r="I414" s="74"/>
      <c r="J414" s="72"/>
      <c r="K414" s="74">
        <v>0</v>
      </c>
      <c r="L414" s="72" t="str">
        <f t="shared" si="2178"/>
        <v>NA</v>
      </c>
      <c r="M414" s="74">
        <v>131</v>
      </c>
      <c r="N414" s="72" t="str">
        <f t="shared" si="2179"/>
        <v>NA</v>
      </c>
      <c r="O414" s="74">
        <v>171</v>
      </c>
      <c r="P414" s="72" t="str">
        <f t="shared" si="2180"/>
        <v>NA</v>
      </c>
      <c r="Q414" s="74">
        <v>177</v>
      </c>
      <c r="R414" s="72" t="str">
        <f t="shared" si="2181"/>
        <v>NA</v>
      </c>
      <c r="S414" s="74">
        <v>155</v>
      </c>
      <c r="T414" s="72" t="str">
        <f t="shared" si="2181"/>
        <v>NA</v>
      </c>
      <c r="U414" s="74">
        <v>176</v>
      </c>
      <c r="V414" s="72">
        <f t="shared" si="2181"/>
        <v>34.351145038167942</v>
      </c>
      <c r="W414" s="74">
        <v>161</v>
      </c>
      <c r="X414" s="72">
        <f t="shared" si="2181"/>
        <v>-5.8479532163742647</v>
      </c>
      <c r="Y414" s="74">
        <v>147</v>
      </c>
      <c r="Z414" s="72">
        <f t="shared" si="2181"/>
        <v>-16.949152542372886</v>
      </c>
      <c r="AA414" s="74">
        <v>177</v>
      </c>
      <c r="AB414" s="72">
        <f t="shared" si="2181"/>
        <v>14.193548387096769</v>
      </c>
      <c r="AC414" s="74">
        <v>201</v>
      </c>
      <c r="AD414" s="72">
        <f t="shared" si="2181"/>
        <v>14.204545454545453</v>
      </c>
      <c r="AE414" s="74">
        <v>160</v>
      </c>
      <c r="AF414" s="72">
        <f t="shared" si="2181"/>
        <v>-0.62111801242235742</v>
      </c>
      <c r="AG414" s="74">
        <v>176</v>
      </c>
      <c r="AH414" s="72">
        <f t="shared" si="2181"/>
        <v>19.72789115646259</v>
      </c>
      <c r="AI414" s="74">
        <v>174</v>
      </c>
      <c r="AJ414" s="72">
        <f t="shared" si="2181"/>
        <v>-1.6949152542372872</v>
      </c>
      <c r="AK414" s="74">
        <v>175</v>
      </c>
      <c r="AL414" s="72">
        <f t="shared" si="2181"/>
        <v>-12.93532338308458</v>
      </c>
      <c r="AM414" s="74">
        <v>170</v>
      </c>
      <c r="AN414" s="72">
        <f t="shared" si="2181"/>
        <v>6.25</v>
      </c>
      <c r="AO414" s="74">
        <v>181</v>
      </c>
      <c r="AP414" s="72">
        <f t="shared" si="2181"/>
        <v>2.8409090909090793</v>
      </c>
      <c r="AQ414" s="74">
        <v>177</v>
      </c>
      <c r="AR414" s="72">
        <f t="shared" si="2182"/>
        <v>1.7241379310344769</v>
      </c>
      <c r="AS414" s="74">
        <v>187</v>
      </c>
      <c r="AT414" s="72">
        <f t="shared" si="2183"/>
        <v>6.857142857142847</v>
      </c>
      <c r="AU414" s="74">
        <v>167</v>
      </c>
      <c r="AV414" s="72">
        <f t="shared" si="2184"/>
        <v>-1.764705882352942</v>
      </c>
      <c r="AW414" s="74">
        <v>194</v>
      </c>
      <c r="AX414" s="72">
        <f t="shared" si="2185"/>
        <v>7.1823204419889493</v>
      </c>
      <c r="AY414" s="74">
        <v>177</v>
      </c>
      <c r="AZ414" s="72">
        <f t="shared" si="2186"/>
        <v>0</v>
      </c>
      <c r="BA414" s="74">
        <v>198</v>
      </c>
      <c r="BB414" s="72">
        <f t="shared" si="2187"/>
        <v>5.8823529411764781</v>
      </c>
      <c r="BC414" s="74">
        <v>189</v>
      </c>
      <c r="BD414" s="72">
        <f t="shared" si="2188"/>
        <v>13.173652694610766</v>
      </c>
      <c r="BE414" s="74">
        <v>176</v>
      </c>
      <c r="BF414" s="72">
        <f t="shared" si="2189"/>
        <v>-9.278350515463913</v>
      </c>
      <c r="BG414" s="74">
        <v>173</v>
      </c>
      <c r="BH414" s="72">
        <f t="shared" si="2190"/>
        <v>-2.2598870056497162</v>
      </c>
      <c r="BI414" s="74">
        <v>171</v>
      </c>
      <c r="BJ414" s="72">
        <f t="shared" si="2191"/>
        <v>-13.63636363636364</v>
      </c>
      <c r="BK414" s="74">
        <v>167</v>
      </c>
      <c r="BL414" s="72">
        <f t="shared" si="2192"/>
        <v>-11.640211640211646</v>
      </c>
      <c r="BM414" s="74">
        <v>190</v>
      </c>
      <c r="BN414" s="72">
        <f t="shared" si="2193"/>
        <v>7.9545454545454533</v>
      </c>
      <c r="BO414" s="74">
        <v>187</v>
      </c>
      <c r="BP414" s="72">
        <f t="shared" si="2194"/>
        <v>8.0924855491329595</v>
      </c>
      <c r="BQ414" s="74">
        <v>219</v>
      </c>
      <c r="BR414" s="72">
        <f t="shared" si="2195"/>
        <v>28.070175438596493</v>
      </c>
      <c r="BS414" s="74">
        <v>193</v>
      </c>
      <c r="BT414" s="72">
        <f t="shared" si="2196"/>
        <v>15.568862275449092</v>
      </c>
      <c r="BU414" s="74">
        <v>215</v>
      </c>
      <c r="BV414" s="72">
        <f t="shared" si="2197"/>
        <v>13.157894736842096</v>
      </c>
      <c r="BW414" s="74">
        <v>264</v>
      </c>
      <c r="BX414" s="72">
        <f t="shared" si="2198"/>
        <v>41.176470588235304</v>
      </c>
      <c r="BY414" s="74">
        <v>261</v>
      </c>
      <c r="BZ414" s="72">
        <f t="shared" si="2199"/>
        <v>19.178082191780831</v>
      </c>
      <c r="CA414" s="74">
        <v>264</v>
      </c>
      <c r="CB414" s="72">
        <f t="shared" si="2200"/>
        <v>36.787564766839381</v>
      </c>
      <c r="CC414" s="74">
        <v>304</v>
      </c>
      <c r="CD414" s="72">
        <f t="shared" si="2201"/>
        <v>41.395348837209298</v>
      </c>
      <c r="CE414" s="74">
        <v>298</v>
      </c>
      <c r="CF414" s="72">
        <f t="shared" si="2202"/>
        <v>12.87878787878789</v>
      </c>
      <c r="CG414" s="74">
        <v>306</v>
      </c>
      <c r="CH414" s="72">
        <f t="shared" si="2203"/>
        <v>17.241379310344811</v>
      </c>
      <c r="CI414" s="74">
        <v>317</v>
      </c>
      <c r="CJ414" s="72">
        <f t="shared" si="2204"/>
        <v>20.075757575757564</v>
      </c>
      <c r="CK414" s="74">
        <v>355</v>
      </c>
      <c r="CL414" s="72">
        <f t="shared" si="2204"/>
        <v>16.776315789473699</v>
      </c>
      <c r="CM414" s="74">
        <v>536</v>
      </c>
      <c r="CN414" s="72">
        <f t="shared" si="2204"/>
        <v>79.865771812080538</v>
      </c>
      <c r="CO414" s="74">
        <v>946</v>
      </c>
      <c r="CP414" s="72" t="str">
        <f t="shared" si="2204"/>
        <v>NM</v>
      </c>
      <c r="CQ414" s="74">
        <v>958</v>
      </c>
      <c r="CR414" s="72" t="str">
        <f t="shared" si="2204"/>
        <v>NM</v>
      </c>
      <c r="CS414" s="74">
        <v>994</v>
      </c>
      <c r="CT414" s="72" t="str">
        <f t="shared" si="2204"/>
        <v>NM</v>
      </c>
      <c r="CU414" s="74">
        <v>936</v>
      </c>
      <c r="CV414" s="72">
        <f t="shared" si="2205"/>
        <v>74.626865671641781</v>
      </c>
      <c r="CW414" s="74">
        <v>957</v>
      </c>
      <c r="CX414" s="72">
        <f t="shared" si="2206"/>
        <v>1.1627906976744242</v>
      </c>
      <c r="CY414" s="74">
        <v>859</v>
      </c>
      <c r="CZ414" s="72">
        <f t="shared" si="2207"/>
        <v>-10.334029227557409</v>
      </c>
      <c r="DA414" s="74">
        <v>912</v>
      </c>
      <c r="DB414" s="72">
        <f t="shared" si="2208"/>
        <v>-8.2494969818913404</v>
      </c>
      <c r="DC414" s="74">
        <v>709</v>
      </c>
      <c r="DD414" s="72">
        <f t="shared" si="2209"/>
        <v>-24.252136752136749</v>
      </c>
      <c r="DE414" s="74">
        <v>672</v>
      </c>
      <c r="DF414" s="72">
        <f t="shared" si="2210"/>
        <v>-29.780564263322887</v>
      </c>
      <c r="DG414" s="74">
        <v>621</v>
      </c>
      <c r="DH414" s="72">
        <f t="shared" si="2211"/>
        <v>-27.706635622817231</v>
      </c>
      <c r="DI414" s="74">
        <v>665</v>
      </c>
      <c r="DJ414" s="72">
        <f t="shared" si="2212"/>
        <v>-27.083333333333343</v>
      </c>
      <c r="DK414" s="74">
        <v>610</v>
      </c>
      <c r="DL414" s="72">
        <f t="shared" si="2213"/>
        <v>-13.963328631875882</v>
      </c>
      <c r="DM414" s="74">
        <v>631</v>
      </c>
      <c r="DN414" s="72">
        <f t="shared" si="2214"/>
        <v>-6.1011904761904816</v>
      </c>
      <c r="DO414" s="74">
        <v>630</v>
      </c>
      <c r="DP414" s="72">
        <f t="shared" si="2214"/>
        <v>1.4492753623188435</v>
      </c>
      <c r="DQ414" s="74">
        <v>612</v>
      </c>
      <c r="DR414" s="72">
        <f t="shared" si="2214"/>
        <v>-7.9699248120300723</v>
      </c>
      <c r="DS414" s="74">
        <v>557</v>
      </c>
      <c r="DT414" s="72">
        <f t="shared" si="2214"/>
        <v>-8.6885245901639365</v>
      </c>
      <c r="DU414" s="74">
        <v>559</v>
      </c>
      <c r="DV414" s="72">
        <f t="shared" si="2214"/>
        <v>-11.410459587955629</v>
      </c>
      <c r="DW414" s="74">
        <v>535</v>
      </c>
      <c r="DX414" s="72">
        <f t="shared" si="2214"/>
        <v>-15.079365079365076</v>
      </c>
      <c r="DY414" s="74">
        <v>579</v>
      </c>
      <c r="DZ414" s="72">
        <f t="shared" si="2214"/>
        <v>-5.3921568627450966</v>
      </c>
      <c r="EA414" s="74">
        <v>567</v>
      </c>
      <c r="EB414" s="72">
        <f t="shared" si="2215"/>
        <v>1.7953321364452535</v>
      </c>
      <c r="EC414" s="74">
        <v>620</v>
      </c>
      <c r="ED414" s="72">
        <f t="shared" si="2216"/>
        <v>10.912343470482995</v>
      </c>
      <c r="EE414" s="74">
        <v>669</v>
      </c>
      <c r="EF414" s="72">
        <f t="shared" si="2217"/>
        <v>25.046728971962608</v>
      </c>
      <c r="EG414" s="74">
        <v>629</v>
      </c>
      <c r="EH414" s="72">
        <f t="shared" si="2218"/>
        <v>8.6355785837651098</v>
      </c>
      <c r="EI414" s="74">
        <v>571</v>
      </c>
      <c r="EJ414" s="72">
        <f t="shared" si="2219"/>
        <v>0.70546737213403787</v>
      </c>
      <c r="EK414" s="74">
        <v>625</v>
      </c>
      <c r="EL414" s="72">
        <f t="shared" si="2220"/>
        <v>0.80645161290323131</v>
      </c>
      <c r="EM414" s="74">
        <v>577</v>
      </c>
      <c r="EN414" s="72">
        <f t="shared" si="2221"/>
        <v>-13.751868460388636</v>
      </c>
      <c r="EO414" s="74">
        <v>576</v>
      </c>
      <c r="EP414" s="72">
        <f t="shared" si="2222"/>
        <v>-8.4260731319554765</v>
      </c>
      <c r="EQ414" s="75">
        <f t="shared" ref="EQ414" si="2253">EQ408*EQ420/100</f>
        <v>581.63843513513518</v>
      </c>
      <c r="ER414" s="72">
        <f t="shared" si="2224"/>
        <v>1.8631234912671175</v>
      </c>
      <c r="ES414" s="75">
        <f t="shared" ref="ES414" si="2254">ES408*ES420/100</f>
        <v>623.35657663857944</v>
      </c>
      <c r="ET414" s="72">
        <f t="shared" si="2226"/>
        <v>-0.26294773782728953</v>
      </c>
      <c r="EU414" s="75">
        <f t="shared" ref="EU414" si="2255">EU408*EU420/100</f>
        <v>576.19580148719103</v>
      </c>
      <c r="EV414" s="72">
        <f t="shared" si="2228"/>
        <v>-0.13937582544349425</v>
      </c>
      <c r="EW414" s="75">
        <f t="shared" ref="EW414" si="2256">EW408*EW420/100</f>
        <v>568.63264864864868</v>
      </c>
      <c r="EX414" s="72">
        <f t="shared" si="2230"/>
        <v>-1.2790540540540576</v>
      </c>
      <c r="EY414" s="72"/>
      <c r="EZ414" s="322"/>
      <c r="FA414" s="72"/>
      <c r="FB414" s="74"/>
      <c r="FC414" s="72"/>
      <c r="FD414" s="74"/>
      <c r="FE414" s="72" t="str">
        <f t="shared" si="2231"/>
        <v>NA</v>
      </c>
      <c r="FF414" s="74"/>
      <c r="FG414" s="72" t="str">
        <f t="shared" si="2232"/>
        <v>NA</v>
      </c>
      <c r="FH414" s="75">
        <f>K414+M414+O414+Q414</f>
        <v>479</v>
      </c>
      <c r="FI414" s="72" t="str">
        <f t="shared" si="2233"/>
        <v>NA</v>
      </c>
      <c r="FJ414" s="75">
        <f>S414+U414+W414+Y414</f>
        <v>639</v>
      </c>
      <c r="FK414" s="72">
        <f t="shared" si="2234"/>
        <v>33.402922755741116</v>
      </c>
      <c r="FL414" s="75">
        <f>+AA414+AC414+AE414+AG414</f>
        <v>714</v>
      </c>
      <c r="FM414" s="72">
        <f t="shared" si="2235"/>
        <v>11.737089201877922</v>
      </c>
      <c r="FN414" s="75">
        <f>+AI414+AK414+AM414+AO414</f>
        <v>700</v>
      </c>
      <c r="FO414" s="72">
        <f t="shared" si="2236"/>
        <v>-1.9607843137254974</v>
      </c>
      <c r="FP414" s="75">
        <f>AQ414+AS414+AU414+AW414</f>
        <v>725</v>
      </c>
      <c r="FQ414" s="72">
        <f t="shared" si="2237"/>
        <v>3.5714285714285836</v>
      </c>
      <c r="FR414" s="75">
        <f>AY414+BA414+BC414+BE414</f>
        <v>740</v>
      </c>
      <c r="FS414" s="72">
        <f t="shared" si="2238"/>
        <v>2.0689655172413808</v>
      </c>
      <c r="FT414" s="75">
        <f>BG414+BI414+BK414+BM414</f>
        <v>701</v>
      </c>
      <c r="FU414" s="72">
        <f t="shared" si="2239"/>
        <v>-5.2702702702702737</v>
      </c>
      <c r="FV414" s="74">
        <v>1025</v>
      </c>
      <c r="FW414" s="72">
        <f t="shared" si="2240"/>
        <v>46.219686162624811</v>
      </c>
      <c r="FX414" s="75">
        <f>BW414+BY414+CA414+CC414</f>
        <v>1093</v>
      </c>
      <c r="FY414" s="72">
        <f t="shared" si="2240"/>
        <v>6.6341463414634205</v>
      </c>
      <c r="FZ414" s="75">
        <f>CE414+CG414+CI414+CK414</f>
        <v>1276</v>
      </c>
      <c r="GA414" s="72">
        <f t="shared" si="2240"/>
        <v>16.742909423604772</v>
      </c>
      <c r="GB414" s="75">
        <f>CM414+CO414+CQ414+CS414</f>
        <v>3434</v>
      </c>
      <c r="GC414" s="72" t="str">
        <f t="shared" si="2240"/>
        <v>NM</v>
      </c>
      <c r="GD414" s="75">
        <f>CU414+CW414+CY414+DA414</f>
        <v>3664</v>
      </c>
      <c r="GE414" s="72">
        <f t="shared" si="2240"/>
        <v>6.6977285963890409</v>
      </c>
      <c r="GF414" s="75">
        <f>DC414+DE414+DG414+DI414</f>
        <v>2667</v>
      </c>
      <c r="GG414" s="72">
        <f t="shared" si="2240"/>
        <v>-27.210698689956331</v>
      </c>
      <c r="GH414" s="75">
        <f>DK414+DM414+DO414+DQ414</f>
        <v>2483</v>
      </c>
      <c r="GI414" s="72">
        <f t="shared" si="2241"/>
        <v>-6.8991376077990196</v>
      </c>
      <c r="GJ414" s="75">
        <f>DS414+DU414+DW414+DY414</f>
        <v>2230</v>
      </c>
      <c r="GK414" s="72">
        <f t="shared" si="2241"/>
        <v>-10.189287152637945</v>
      </c>
      <c r="GL414" s="75">
        <f>EA414+EC414+EE414+EG414</f>
        <v>2485</v>
      </c>
      <c r="GM414" s="72">
        <f t="shared" si="2241"/>
        <v>11.43497757847534</v>
      </c>
      <c r="GN414" s="75">
        <f>EI414+EK414+EM414+EO414</f>
        <v>2349</v>
      </c>
      <c r="GO414" s="72">
        <f t="shared" si="2241"/>
        <v>-5.4728370221327935</v>
      </c>
      <c r="GP414" s="75">
        <f>EQ414+ES414+EU414+EW414</f>
        <v>2349.8234619095542</v>
      </c>
      <c r="GQ414" s="72">
        <f t="shared" si="2241"/>
        <v>3.5055849704306752E-2</v>
      </c>
      <c r="GR414" s="75">
        <f>GR408*GR420/100</f>
        <v>2373.3216965286497</v>
      </c>
      <c r="GS414" s="72">
        <f t="shared" si="2241"/>
        <v>1</v>
      </c>
      <c r="GT414" s="75">
        <f>GT408*GT420/100</f>
        <v>2397.0549134939365</v>
      </c>
      <c r="GU414" s="72">
        <f t="shared" si="2241"/>
        <v>1.0000000000000284</v>
      </c>
      <c r="GV414" s="75">
        <f>GV408*GV420/100</f>
        <v>2421.0254626288761</v>
      </c>
      <c r="GW414" s="72">
        <f t="shared" si="2242"/>
        <v>1</v>
      </c>
      <c r="GX414" s="75">
        <f>GX408*GX420/100</f>
        <v>2445.2357172551642</v>
      </c>
      <c r="GY414" s="72">
        <f t="shared" si="2243"/>
        <v>0.99999999999997158</v>
      </c>
      <c r="GZ414" s="72">
        <f t="shared" si="2244"/>
        <v>0.80626939516712515</v>
      </c>
      <c r="HA414" s="72"/>
      <c r="HB414" s="72"/>
      <c r="HC414"/>
      <c r="HD414"/>
      <c r="HE414"/>
      <c r="HF414"/>
      <c r="HG414"/>
      <c r="HH414"/>
      <c r="HI414" s="2"/>
    </row>
    <row r="415" spans="1:217" s="133" customFormat="1" ht="12.75" customHeight="1" x14ac:dyDescent="0.2">
      <c r="B415" s="77" t="s">
        <v>625</v>
      </c>
      <c r="C415" s="74"/>
      <c r="D415" s="72"/>
      <c r="E415" s="74"/>
      <c r="F415" s="72"/>
      <c r="G415" s="74"/>
      <c r="H415" s="72"/>
      <c r="I415" s="74"/>
      <c r="J415" s="72"/>
      <c r="K415" s="74"/>
      <c r="L415" s="72" t="str">
        <f t="shared" si="2178"/>
        <v>NA</v>
      </c>
      <c r="M415" s="74">
        <v>-24</v>
      </c>
      <c r="N415" s="72" t="str">
        <f t="shared" si="2179"/>
        <v>NA</v>
      </c>
      <c r="O415" s="74">
        <v>-17</v>
      </c>
      <c r="P415" s="72" t="str">
        <f t="shared" si="2180"/>
        <v>NA</v>
      </c>
      <c r="Q415" s="74">
        <v>-31</v>
      </c>
      <c r="R415" s="72" t="str">
        <f t="shared" si="2181"/>
        <v>NA</v>
      </c>
      <c r="S415" s="74">
        <v>-25</v>
      </c>
      <c r="T415" s="72" t="str">
        <f t="shared" si="2181"/>
        <v>NA</v>
      </c>
      <c r="U415" s="74">
        <v>-40</v>
      </c>
      <c r="V415" s="72">
        <f t="shared" si="2181"/>
        <v>66.666666666666686</v>
      </c>
      <c r="W415" s="74">
        <v>-41</v>
      </c>
      <c r="X415" s="72" t="str">
        <f t="shared" si="2181"/>
        <v>NM</v>
      </c>
      <c r="Y415" s="74">
        <v>-33</v>
      </c>
      <c r="Z415" s="72">
        <f t="shared" si="2181"/>
        <v>6.4516129032257936</v>
      </c>
      <c r="AA415" s="74">
        <v>-37</v>
      </c>
      <c r="AB415" s="72">
        <f t="shared" si="2181"/>
        <v>48</v>
      </c>
      <c r="AC415" s="74">
        <v>-43</v>
      </c>
      <c r="AD415" s="72">
        <f t="shared" si="2181"/>
        <v>7.5</v>
      </c>
      <c r="AE415" s="74">
        <v>-31</v>
      </c>
      <c r="AF415" s="72">
        <f t="shared" si="2181"/>
        <v>-24.390243902439025</v>
      </c>
      <c r="AG415" s="74">
        <v>-35</v>
      </c>
      <c r="AH415" s="72">
        <f t="shared" si="2181"/>
        <v>6.0606060606060623</v>
      </c>
      <c r="AI415" s="74">
        <v>-40</v>
      </c>
      <c r="AJ415" s="72">
        <f t="shared" si="2181"/>
        <v>8.1081081081081123</v>
      </c>
      <c r="AK415" s="74">
        <f>23-56</f>
        <v>-33</v>
      </c>
      <c r="AL415" s="72">
        <f t="shared" si="2181"/>
        <v>-23.255813953488371</v>
      </c>
      <c r="AM415" s="74">
        <f>-56+19</f>
        <v>-37</v>
      </c>
      <c r="AN415" s="72">
        <f t="shared" si="2181"/>
        <v>19.354838709677423</v>
      </c>
      <c r="AO415" s="74">
        <f>22-57</f>
        <v>-35</v>
      </c>
      <c r="AP415" s="72">
        <f t="shared" si="2181"/>
        <v>0</v>
      </c>
      <c r="AQ415" s="74">
        <f>31-62</f>
        <v>-31</v>
      </c>
      <c r="AR415" s="72">
        <f t="shared" si="2182"/>
        <v>-22.5</v>
      </c>
      <c r="AS415" s="74">
        <f>28-71</f>
        <v>-43</v>
      </c>
      <c r="AT415" s="72">
        <f t="shared" si="2183"/>
        <v>30.303030303030312</v>
      </c>
      <c r="AU415" s="74">
        <f>14-65</f>
        <v>-51</v>
      </c>
      <c r="AV415" s="72">
        <f t="shared" si="2184"/>
        <v>37.837837837837839</v>
      </c>
      <c r="AW415" s="74">
        <f>-67+21</f>
        <v>-46</v>
      </c>
      <c r="AX415" s="72">
        <f t="shared" si="2185"/>
        <v>31.428571428571416</v>
      </c>
      <c r="AY415" s="74">
        <f>-65+25</f>
        <v>-40</v>
      </c>
      <c r="AZ415" s="72">
        <f t="shared" si="2186"/>
        <v>29.032258064516128</v>
      </c>
      <c r="BA415" s="74">
        <f>-78+22</f>
        <v>-56</v>
      </c>
      <c r="BB415" s="72">
        <f t="shared" si="2187"/>
        <v>30.232558139534888</v>
      </c>
      <c r="BC415" s="74">
        <f>-75+26</f>
        <v>-49</v>
      </c>
      <c r="BD415" s="72">
        <f t="shared" si="2188"/>
        <v>-3.9215686274509807</v>
      </c>
      <c r="BE415" s="74">
        <f>-65+24</f>
        <v>-41</v>
      </c>
      <c r="BF415" s="72">
        <f t="shared" si="2189"/>
        <v>-10.869565217391312</v>
      </c>
      <c r="BG415" s="74">
        <f>-65+31</f>
        <v>-34</v>
      </c>
      <c r="BH415" s="72">
        <f t="shared" si="2190"/>
        <v>-15</v>
      </c>
      <c r="BI415" s="74">
        <f>-71+32</f>
        <v>-39</v>
      </c>
      <c r="BJ415" s="72">
        <f t="shared" si="2191"/>
        <v>-30.357142857142861</v>
      </c>
      <c r="BK415" s="74">
        <f>-66+29</f>
        <v>-37</v>
      </c>
      <c r="BL415" s="72">
        <f t="shared" si="2192"/>
        <v>-24.489795918367349</v>
      </c>
      <c r="BM415" s="74">
        <f>-73+33</f>
        <v>-40</v>
      </c>
      <c r="BN415" s="72">
        <f t="shared" si="2193"/>
        <v>-2.4390243902439011</v>
      </c>
      <c r="BO415" s="74">
        <f>-73+39</f>
        <v>-34</v>
      </c>
      <c r="BP415" s="72">
        <f t="shared" si="2194"/>
        <v>0</v>
      </c>
      <c r="BQ415" s="74">
        <f>-96+47</f>
        <v>-49</v>
      </c>
      <c r="BR415" s="72">
        <f t="shared" si="2195"/>
        <v>25.641025641025635</v>
      </c>
      <c r="BS415" s="74">
        <f>-81+44</f>
        <v>-37</v>
      </c>
      <c r="BT415" s="72">
        <f t="shared" si="2196"/>
        <v>0</v>
      </c>
      <c r="BU415" s="74">
        <f>-86+53</f>
        <v>-33</v>
      </c>
      <c r="BV415" s="72">
        <f t="shared" si="2197"/>
        <v>-17.5</v>
      </c>
      <c r="BW415" s="74">
        <f>-90+64</f>
        <v>-26</v>
      </c>
      <c r="BX415" s="72">
        <f t="shared" si="2198"/>
        <v>-23.529411764705884</v>
      </c>
      <c r="BY415" s="74">
        <f>-98+67</f>
        <v>-31</v>
      </c>
      <c r="BZ415" s="72">
        <f t="shared" si="2199"/>
        <v>-36.734693877551017</v>
      </c>
      <c r="CA415" s="74">
        <f>-95+61</f>
        <v>-34</v>
      </c>
      <c r="CB415" s="72">
        <f t="shared" si="2200"/>
        <v>-8.1081081081080981</v>
      </c>
      <c r="CC415" s="74">
        <f>-99+66</f>
        <v>-33</v>
      </c>
      <c r="CD415" s="72">
        <f t="shared" si="2201"/>
        <v>0</v>
      </c>
      <c r="CE415" s="74">
        <f>-79+50</f>
        <v>-29</v>
      </c>
      <c r="CF415" s="72">
        <f t="shared" si="2202"/>
        <v>11.538461538461547</v>
      </c>
      <c r="CG415" s="74">
        <f>-94+55</f>
        <v>-39</v>
      </c>
      <c r="CH415" s="72">
        <f t="shared" si="2203"/>
        <v>25.806451612903231</v>
      </c>
      <c r="CI415" s="74">
        <f>-97+54</f>
        <v>-43</v>
      </c>
      <c r="CJ415" s="72">
        <f t="shared" si="2204"/>
        <v>26.470588235294116</v>
      </c>
      <c r="CK415" s="74">
        <f>-109+57</f>
        <v>-52</v>
      </c>
      <c r="CL415" s="72">
        <f t="shared" si="2204"/>
        <v>57.575757575757564</v>
      </c>
      <c r="CM415" s="74">
        <f>-129+73</f>
        <v>-56</v>
      </c>
      <c r="CN415" s="72">
        <f t="shared" si="2204"/>
        <v>93.103448275862064</v>
      </c>
      <c r="CO415" s="74">
        <f>-269+107</f>
        <v>-162</v>
      </c>
      <c r="CP415" s="72" t="str">
        <f t="shared" si="2204"/>
        <v>NM</v>
      </c>
      <c r="CQ415" s="74">
        <f>-282+114</f>
        <v>-168</v>
      </c>
      <c r="CR415" s="72" t="str">
        <f t="shared" si="2204"/>
        <v>NM</v>
      </c>
      <c r="CS415" s="74">
        <f>-266+123</f>
        <v>-143</v>
      </c>
      <c r="CT415" s="72" t="str">
        <f t="shared" si="2204"/>
        <v>NM</v>
      </c>
      <c r="CU415" s="74">
        <f>-258+134</f>
        <v>-124</v>
      </c>
      <c r="CV415" s="72" t="str">
        <f t="shared" si="2205"/>
        <v>NM</v>
      </c>
      <c r="CW415" s="74">
        <f>-316+160</f>
        <v>-156</v>
      </c>
      <c r="CX415" s="72">
        <f t="shared" si="2206"/>
        <v>-3.7037037037037095</v>
      </c>
      <c r="CY415" s="74">
        <f>-304+203</f>
        <v>-101</v>
      </c>
      <c r="CZ415" s="72">
        <f t="shared" si="2207"/>
        <v>-39.880952380952387</v>
      </c>
      <c r="DA415" s="74">
        <f>-327+235</f>
        <v>-92</v>
      </c>
      <c r="DB415" s="72">
        <f t="shared" si="2208"/>
        <v>-35.664335664335667</v>
      </c>
      <c r="DC415" s="74">
        <f>-217+150</f>
        <v>-67</v>
      </c>
      <c r="DD415" s="72">
        <f t="shared" si="2209"/>
        <v>-45.967741935483872</v>
      </c>
      <c r="DE415" s="74">
        <f>-231+158</f>
        <v>-73</v>
      </c>
      <c r="DF415" s="72" t="str">
        <f t="shared" si="2210"/>
        <v>NM</v>
      </c>
      <c r="DG415" s="74">
        <f>-194+138</f>
        <v>-56</v>
      </c>
      <c r="DH415" s="72">
        <f t="shared" si="2211"/>
        <v>-44.554455445544548</v>
      </c>
      <c r="DI415" s="74">
        <f>-199+122</f>
        <v>-77</v>
      </c>
      <c r="DJ415" s="72">
        <f t="shared" si="2212"/>
        <v>-16.304347826086953</v>
      </c>
      <c r="DK415" s="74">
        <f>-203+116</f>
        <v>-87</v>
      </c>
      <c r="DL415" s="72">
        <f>IF(ISERROR(DK415/DC415),"NA",IF(OR(DK415/DC415&gt;2,DK415/DC415&lt;0.5),"NM",DK415/DC415*100-100))</f>
        <v>29.850746268656707</v>
      </c>
      <c r="DM415" s="74">
        <f>-229+137</f>
        <v>-92</v>
      </c>
      <c r="DN415" s="72">
        <f t="shared" si="2214"/>
        <v>26.027397260273972</v>
      </c>
      <c r="DO415" s="74">
        <f>-230+125</f>
        <v>-105</v>
      </c>
      <c r="DP415" s="72">
        <f t="shared" si="2214"/>
        <v>87.5</v>
      </c>
      <c r="DQ415" s="74">
        <f>-205+130</f>
        <v>-75</v>
      </c>
      <c r="DR415" s="72">
        <f t="shared" si="2214"/>
        <v>-2.5974025974025921</v>
      </c>
      <c r="DS415" s="74">
        <f>-192+124</f>
        <v>-68</v>
      </c>
      <c r="DT415" s="72">
        <f t="shared" si="2214"/>
        <v>-21.839080459770116</v>
      </c>
      <c r="DU415" s="74">
        <f>-216+142</f>
        <v>-74</v>
      </c>
      <c r="DV415" s="72">
        <f t="shared" si="2214"/>
        <v>-19.565217391304344</v>
      </c>
      <c r="DW415" s="74">
        <f>-204+129</f>
        <v>-75</v>
      </c>
      <c r="DX415" s="72">
        <f t="shared" si="2214"/>
        <v>-28.571428571428569</v>
      </c>
      <c r="DY415" s="74">
        <f>-201+122</f>
        <v>-79</v>
      </c>
      <c r="DZ415" s="72">
        <f t="shared" si="2214"/>
        <v>5.3333333333333286</v>
      </c>
      <c r="EA415" s="74">
        <f>-213+129</f>
        <v>-84</v>
      </c>
      <c r="EB415" s="72">
        <f t="shared" si="2215"/>
        <v>23.529411764705884</v>
      </c>
      <c r="EC415" s="74">
        <f>-239+146</f>
        <v>-93</v>
      </c>
      <c r="ED415" s="72">
        <f t="shared" si="2216"/>
        <v>25.675675675675677</v>
      </c>
      <c r="EE415" s="74">
        <f>-249+144</f>
        <v>-105</v>
      </c>
      <c r="EF415" s="72">
        <f t="shared" si="2217"/>
        <v>40</v>
      </c>
      <c r="EG415" s="74">
        <f>-215+143</f>
        <v>-72</v>
      </c>
      <c r="EH415" s="72">
        <f t="shared" si="2218"/>
        <v>-8.8607594936708836</v>
      </c>
      <c r="EI415" s="74">
        <f>-200+137</f>
        <v>-63</v>
      </c>
      <c r="EJ415" s="72">
        <f t="shared" si="2219"/>
        <v>-25</v>
      </c>
      <c r="EK415" s="74">
        <f>-244+153</f>
        <v>-91</v>
      </c>
      <c r="EL415" s="72">
        <f t="shared" si="2220"/>
        <v>-2.1505376344086073</v>
      </c>
      <c r="EM415" s="74">
        <f>-207+144</f>
        <v>-63</v>
      </c>
      <c r="EN415" s="72">
        <f t="shared" si="2221"/>
        <v>-40</v>
      </c>
      <c r="EO415" s="74">
        <f>-197+141</f>
        <v>-56</v>
      </c>
      <c r="EP415" s="72">
        <f t="shared" si="2222"/>
        <v>-22.222222222222214</v>
      </c>
      <c r="EQ415" s="74">
        <v>-80</v>
      </c>
      <c r="ER415" s="72">
        <f t="shared" si="2224"/>
        <v>26.984126984126974</v>
      </c>
      <c r="ES415" s="74">
        <v>-63</v>
      </c>
      <c r="ET415" s="72">
        <f t="shared" si="2226"/>
        <v>-30.769230769230774</v>
      </c>
      <c r="EU415" s="74">
        <v>-63</v>
      </c>
      <c r="EV415" s="72">
        <f t="shared" si="2228"/>
        <v>0</v>
      </c>
      <c r="EW415" s="74">
        <v>-63</v>
      </c>
      <c r="EX415" s="72">
        <f t="shared" si="2230"/>
        <v>12.5</v>
      </c>
      <c r="EY415" s="72"/>
      <c r="EZ415" s="322"/>
      <c r="FA415" s="72"/>
      <c r="FB415" s="74"/>
      <c r="FC415" s="72"/>
      <c r="FD415" s="74"/>
      <c r="FE415" s="72" t="str">
        <f t="shared" si="2231"/>
        <v>NA</v>
      </c>
      <c r="FF415" s="74"/>
      <c r="FG415" s="72" t="str">
        <f t="shared" si="2232"/>
        <v>NA</v>
      </c>
      <c r="FH415" s="75">
        <f>K415+M415+O415+Q415</f>
        <v>-72</v>
      </c>
      <c r="FI415" s="72" t="str">
        <f t="shared" si="2233"/>
        <v>NA</v>
      </c>
      <c r="FJ415" s="75">
        <f>S415+U415+W415+Y415</f>
        <v>-139</v>
      </c>
      <c r="FK415" s="72">
        <f t="shared" si="2234"/>
        <v>93.055555555555571</v>
      </c>
      <c r="FL415" s="75">
        <f>+AA415+AC415+AE415+AG415</f>
        <v>-146</v>
      </c>
      <c r="FM415" s="72">
        <f t="shared" si="2235"/>
        <v>5.0359712230215763</v>
      </c>
      <c r="FN415" s="75">
        <f>+AI415+AK415+AM415+AO415</f>
        <v>-145</v>
      </c>
      <c r="FO415" s="72">
        <f t="shared" si="2236"/>
        <v>-0.68493150684932402</v>
      </c>
      <c r="FP415" s="75">
        <f>AQ415+AS415+AU415+AW415</f>
        <v>-171</v>
      </c>
      <c r="FQ415" s="72">
        <f t="shared" si="2237"/>
        <v>17.931034482758605</v>
      </c>
      <c r="FR415" s="75">
        <f>AY415+BA415+BC415+BE415</f>
        <v>-186</v>
      </c>
      <c r="FS415" s="72">
        <f t="shared" si="2238"/>
        <v>8.7719298245614112</v>
      </c>
      <c r="FT415" s="75">
        <f>BG415+BI415+BK415+BM415</f>
        <v>-150</v>
      </c>
      <c r="FU415" s="72">
        <f t="shared" si="2239"/>
        <v>-19.354838709677423</v>
      </c>
      <c r="FV415" s="74">
        <f>-243+129</f>
        <v>-114</v>
      </c>
      <c r="FW415" s="72">
        <f t="shared" si="2240"/>
        <v>-24</v>
      </c>
      <c r="FX415" s="74">
        <f>-281+186</f>
        <v>-95</v>
      </c>
      <c r="FY415" s="72">
        <f t="shared" si="2240"/>
        <v>-16.666666666666657</v>
      </c>
      <c r="FZ415" s="75">
        <f>CE415+CG415+CI415+CK415</f>
        <v>-163</v>
      </c>
      <c r="GA415" s="72">
        <f t="shared" si="2240"/>
        <v>71.578947368421041</v>
      </c>
      <c r="GB415" s="75">
        <f>CM415+CO415+CQ415+CS415</f>
        <v>-529</v>
      </c>
      <c r="GC415" s="72" t="str">
        <f t="shared" si="2240"/>
        <v>NM</v>
      </c>
      <c r="GD415" s="75">
        <f>CU415+CW415+CY415+DA415</f>
        <v>-473</v>
      </c>
      <c r="GE415" s="72">
        <f t="shared" si="2240"/>
        <v>-10.586011342155004</v>
      </c>
      <c r="GF415" s="75">
        <f>DC415+DE415+DG415+DI415</f>
        <v>-273</v>
      </c>
      <c r="GG415" s="72">
        <f t="shared" si="2240"/>
        <v>-42.283298097251588</v>
      </c>
      <c r="GH415" s="75">
        <f>DK415+DM415+DO415+DQ415</f>
        <v>-359</v>
      </c>
      <c r="GI415" s="72">
        <f t="shared" si="2241"/>
        <v>31.501831501831504</v>
      </c>
      <c r="GJ415" s="75">
        <f>DS415+DU415+DW415+DY415</f>
        <v>-296</v>
      </c>
      <c r="GK415" s="72">
        <f t="shared" si="2241"/>
        <v>-17.548746518105844</v>
      </c>
      <c r="GL415" s="75">
        <f>EA415+EC415+EE415+EG415</f>
        <v>-354</v>
      </c>
      <c r="GM415" s="72">
        <f t="shared" si="2241"/>
        <v>19.594594594594611</v>
      </c>
      <c r="GN415" s="75">
        <f>EI415+EK415+EM415+EO415</f>
        <v>-273</v>
      </c>
      <c r="GO415" s="72">
        <f t="shared" si="2241"/>
        <v>-22.881355932203391</v>
      </c>
      <c r="GP415" s="75">
        <f>EQ415+ES415+EU415+EW415</f>
        <v>-269</v>
      </c>
      <c r="GQ415" s="72">
        <f t="shared" si="2241"/>
        <v>-1.46520146520146</v>
      </c>
      <c r="GR415" s="74">
        <f>GP415*(1+GR$399/100)</f>
        <v>-271.69</v>
      </c>
      <c r="GS415" s="72">
        <f t="shared" si="2241"/>
        <v>1</v>
      </c>
      <c r="GT415" s="74">
        <f>GR415*(1+GT$399/100)</f>
        <v>-274.40690000000001</v>
      </c>
      <c r="GU415" s="72">
        <f t="shared" si="2241"/>
        <v>1</v>
      </c>
      <c r="GV415" s="74">
        <f>GT415*(1+GV$399/100)</f>
        <v>-277.15096900000003</v>
      </c>
      <c r="GW415" s="72">
        <f t="shared" si="2242"/>
        <v>1</v>
      </c>
      <c r="GX415" s="74">
        <f>GV415*(1+GX$399/100)</f>
        <v>-279.92247869000005</v>
      </c>
      <c r="GY415" s="72">
        <f t="shared" si="2243"/>
        <v>1</v>
      </c>
      <c r="GZ415" s="72">
        <f t="shared" si="2244"/>
        <v>0.5020743469218214</v>
      </c>
      <c r="HA415" s="72"/>
      <c r="HB415" s="72"/>
      <c r="HC415"/>
      <c r="HD415"/>
      <c r="HE415"/>
      <c r="HF415"/>
      <c r="HG415"/>
      <c r="HH415"/>
      <c r="HI415" s="2"/>
    </row>
    <row r="416" spans="1:217" s="133" customFormat="1" ht="12.75" customHeight="1" x14ac:dyDescent="0.2">
      <c r="B416" s="93" t="s">
        <v>156</v>
      </c>
      <c r="C416" s="91"/>
      <c r="D416" s="80"/>
      <c r="E416" s="91"/>
      <c r="F416" s="80"/>
      <c r="G416" s="91"/>
      <c r="H416" s="80"/>
      <c r="I416" s="91"/>
      <c r="J416" s="80"/>
      <c r="K416" s="91">
        <f>SUM(K411:K415)</f>
        <v>0</v>
      </c>
      <c r="L416" s="72" t="str">
        <f t="shared" si="2178"/>
        <v>NA</v>
      </c>
      <c r="M416" s="91">
        <f>SUM(M411:M415)</f>
        <v>489</v>
      </c>
      <c r="N416" s="72" t="str">
        <f t="shared" si="2179"/>
        <v>NA</v>
      </c>
      <c r="O416" s="91">
        <f>SUM(O411:O415)</f>
        <v>631</v>
      </c>
      <c r="P416" s="72" t="str">
        <f t="shared" si="2180"/>
        <v>NA</v>
      </c>
      <c r="Q416" s="91">
        <f>SUM(Q411:Q415)</f>
        <v>644</v>
      </c>
      <c r="R416" s="72" t="str">
        <f t="shared" si="2181"/>
        <v>NA</v>
      </c>
      <c r="S416" s="91">
        <f>SUM(S411:S415)</f>
        <v>579</v>
      </c>
      <c r="T416" s="72" t="str">
        <f t="shared" si="2181"/>
        <v>NA</v>
      </c>
      <c r="U416" s="91">
        <f>SUM(U411:U415)</f>
        <v>582</v>
      </c>
      <c r="V416" s="72">
        <f t="shared" si="2181"/>
        <v>19.018404907975466</v>
      </c>
      <c r="W416" s="91">
        <f>SUM(W411:W415)</f>
        <v>563</v>
      </c>
      <c r="X416" s="72">
        <f t="shared" si="2181"/>
        <v>-10.776545166402542</v>
      </c>
      <c r="Y416" s="91">
        <f>SUM(Y411:Y415)</f>
        <v>592</v>
      </c>
      <c r="Z416" s="72">
        <f t="shared" si="2181"/>
        <v>-8.0745341614906891</v>
      </c>
      <c r="AA416" s="91">
        <f>SUM(AA411:AA415)</f>
        <v>591</v>
      </c>
      <c r="AB416" s="72">
        <f t="shared" si="2181"/>
        <v>2.0725388601036343</v>
      </c>
      <c r="AC416" s="91">
        <f>SUM(AC411:AC415)</f>
        <v>594</v>
      </c>
      <c r="AD416" s="72">
        <f t="shared" si="2181"/>
        <v>2.0618556701030855</v>
      </c>
      <c r="AE416" s="91">
        <f>SUM(AE411:AE415)</f>
        <v>565</v>
      </c>
      <c r="AF416" s="72">
        <f t="shared" si="2181"/>
        <v>0.35523978685611723</v>
      </c>
      <c r="AG416" s="91">
        <f>SUM(AG411:AG415)</f>
        <v>600</v>
      </c>
      <c r="AH416" s="72">
        <f t="shared" si="2181"/>
        <v>1.3513513513513544</v>
      </c>
      <c r="AI416" s="91">
        <f>SUM(AI411:AI415)</f>
        <v>637</v>
      </c>
      <c r="AJ416" s="72">
        <f t="shared" si="2181"/>
        <v>7.7834179357022037</v>
      </c>
      <c r="AK416" s="91">
        <f>SUM(AK411:AK415)</f>
        <v>689</v>
      </c>
      <c r="AL416" s="72">
        <f t="shared" si="2181"/>
        <v>15.993265993266007</v>
      </c>
      <c r="AM416" s="91">
        <f>SUM(AM411:AM415)</f>
        <v>604</v>
      </c>
      <c r="AN416" s="72">
        <f t="shared" si="2181"/>
        <v>6.9026548672566292</v>
      </c>
      <c r="AO416" s="91">
        <f>SUM(AO411:AO415)</f>
        <v>606</v>
      </c>
      <c r="AP416" s="72">
        <f t="shared" si="2181"/>
        <v>1</v>
      </c>
      <c r="AQ416" s="91">
        <f>SUM(AQ411:AQ415)</f>
        <v>635</v>
      </c>
      <c r="AR416" s="72">
        <f t="shared" si="2182"/>
        <v>-0.31397174254317406</v>
      </c>
      <c r="AS416" s="91">
        <f>SUM(AS411:AS415)</f>
        <v>660</v>
      </c>
      <c r="AT416" s="72">
        <f t="shared" si="2183"/>
        <v>-4.2089985486211958</v>
      </c>
      <c r="AU416" s="91">
        <f>SUM(AU411:AU415)</f>
        <v>706</v>
      </c>
      <c r="AV416" s="72">
        <f t="shared" si="2184"/>
        <v>16.88741721854305</v>
      </c>
      <c r="AW416" s="91">
        <f>SUM(AW411:AW415)</f>
        <v>610</v>
      </c>
      <c r="AX416" s="72">
        <f t="shared" si="2185"/>
        <v>0.66006600660067249</v>
      </c>
      <c r="AY416" s="91">
        <f>SUM(AY411:AY415)</f>
        <v>622</v>
      </c>
      <c r="AZ416" s="72">
        <f t="shared" si="2186"/>
        <v>-2.0472440944881924</v>
      </c>
      <c r="BA416" s="91">
        <f>SUM(BA411:BA415)</f>
        <v>635</v>
      </c>
      <c r="BB416" s="72">
        <f t="shared" si="2187"/>
        <v>-3.7878787878787818</v>
      </c>
      <c r="BC416" s="91">
        <f>SUM(BC411:BC415)</f>
        <v>559</v>
      </c>
      <c r="BD416" s="72">
        <f t="shared" si="2188"/>
        <v>-20.821529745042483</v>
      </c>
      <c r="BE416" s="91">
        <f>SUM(BE411:BE415)</f>
        <v>545</v>
      </c>
      <c r="BF416" s="72">
        <f t="shared" si="2189"/>
        <v>-10.655737704918039</v>
      </c>
      <c r="BG416" s="91">
        <f>SUM(BG411:BG415)</f>
        <v>551</v>
      </c>
      <c r="BH416" s="72">
        <f t="shared" si="2190"/>
        <v>-11.414790996784561</v>
      </c>
      <c r="BI416" s="91">
        <f>SUM(BI411:BI415)</f>
        <v>590</v>
      </c>
      <c r="BJ416" s="72">
        <f t="shared" si="2191"/>
        <v>-7.086614173228341</v>
      </c>
      <c r="BK416" s="91">
        <f>SUM(BK411:BK415)</f>
        <v>539</v>
      </c>
      <c r="BL416" s="72">
        <f t="shared" si="2192"/>
        <v>-3.5778175313059108</v>
      </c>
      <c r="BM416" s="91">
        <f>SUM(BM411:BM415)</f>
        <v>586</v>
      </c>
      <c r="BN416" s="72">
        <f t="shared" si="2193"/>
        <v>7.5229357798165069</v>
      </c>
      <c r="BO416" s="91">
        <f>SUM(BO411:BO415)</f>
        <v>620</v>
      </c>
      <c r="BP416" s="72">
        <f t="shared" si="2194"/>
        <v>12.522686025408362</v>
      </c>
      <c r="BQ416" s="91">
        <f>SUM(BQ411:BQ415)</f>
        <v>673</v>
      </c>
      <c r="BR416" s="72">
        <f t="shared" si="2195"/>
        <v>14.067796610169481</v>
      </c>
      <c r="BS416" s="91">
        <f>SUM(BS411:BS415)</f>
        <v>597</v>
      </c>
      <c r="BT416" s="72">
        <f t="shared" si="2196"/>
        <v>10.760667903525061</v>
      </c>
      <c r="BU416" s="91">
        <f>SUM(BU411:BU415)</f>
        <v>651</v>
      </c>
      <c r="BV416" s="72">
        <f t="shared" si="2197"/>
        <v>11.092150170648466</v>
      </c>
      <c r="BW416" s="91">
        <f>SUM(BW411:BW415)</f>
        <v>790</v>
      </c>
      <c r="BX416" s="72">
        <f t="shared" si="2198"/>
        <v>27.41935483870968</v>
      </c>
      <c r="BY416" s="91">
        <f>SUM(BY411:BY415)</f>
        <v>867</v>
      </c>
      <c r="BZ416" s="72">
        <f t="shared" si="2199"/>
        <v>28.826151560178317</v>
      </c>
      <c r="CA416" s="91">
        <f>SUM(CA411:CA415)</f>
        <v>907</v>
      </c>
      <c r="CB416" s="72">
        <f t="shared" si="2200"/>
        <v>51.926298157453942</v>
      </c>
      <c r="CC416" s="91">
        <f>SUM(CC411:CC415)</f>
        <v>938</v>
      </c>
      <c r="CD416" s="72">
        <f t="shared" si="2201"/>
        <v>44.086021505376351</v>
      </c>
      <c r="CE416" s="91">
        <f>SUM(CE411:CE415)</f>
        <v>957</v>
      </c>
      <c r="CF416" s="72">
        <f t="shared" si="2202"/>
        <v>21.139240506329116</v>
      </c>
      <c r="CG416" s="91">
        <f>SUM(CG411:CG415)</f>
        <v>1095</v>
      </c>
      <c r="CH416" s="72">
        <f t="shared" si="2203"/>
        <v>26.297577854671289</v>
      </c>
      <c r="CI416" s="91">
        <f>SUM(CI411:CI415)</f>
        <v>1015</v>
      </c>
      <c r="CJ416" s="72">
        <f t="shared" si="2204"/>
        <v>11.907386990077185</v>
      </c>
      <c r="CK416" s="91">
        <f>SUM(CK411:CK415)</f>
        <v>1117</v>
      </c>
      <c r="CL416" s="72">
        <f t="shared" si="2204"/>
        <v>19.083155650319839</v>
      </c>
      <c r="CM416" s="91">
        <f>SUM(CM411:CM415)</f>
        <v>1896</v>
      </c>
      <c r="CN416" s="72">
        <f t="shared" si="2204"/>
        <v>98.119122257053277</v>
      </c>
      <c r="CO416" s="91">
        <f>SUM(CO411:CO415)</f>
        <v>2919</v>
      </c>
      <c r="CP416" s="72" t="str">
        <f t="shared" si="2204"/>
        <v>NM</v>
      </c>
      <c r="CQ416" s="91">
        <f>SUM(CQ411:CQ415)</f>
        <v>2725</v>
      </c>
      <c r="CR416" s="72" t="str">
        <f t="shared" si="2204"/>
        <v>NM</v>
      </c>
      <c r="CS416" s="91">
        <f>SUM(CS411:CS415)</f>
        <v>2891</v>
      </c>
      <c r="CT416" s="72" t="str">
        <f t="shared" si="2204"/>
        <v>NM</v>
      </c>
      <c r="CU416" s="91">
        <f>SUM(CU411:CU415)</f>
        <v>3285</v>
      </c>
      <c r="CV416" s="72">
        <f t="shared" si="2205"/>
        <v>73.259493670886059</v>
      </c>
      <c r="CW416" s="91">
        <f>SUM(CW411:CW415)</f>
        <v>3910</v>
      </c>
      <c r="CX416" s="72">
        <f t="shared" si="2206"/>
        <v>33.949982870846185</v>
      </c>
      <c r="CY416" s="91">
        <f>SUM(CY411:CY415)</f>
        <v>5528</v>
      </c>
      <c r="CZ416" s="72" t="str">
        <f t="shared" si="2207"/>
        <v>NM</v>
      </c>
      <c r="DA416" s="91">
        <f>SUM(DA411:DA415)</f>
        <v>6638</v>
      </c>
      <c r="DB416" s="72" t="str">
        <f t="shared" si="2208"/>
        <v>NM</v>
      </c>
      <c r="DC416" s="91">
        <f>SUM(DC411:DC415)</f>
        <v>3452</v>
      </c>
      <c r="DD416" s="72">
        <f t="shared" si="2209"/>
        <v>5.0837138508371424</v>
      </c>
      <c r="DE416" s="91">
        <f>SUM(DE411:DE415)</f>
        <v>3300</v>
      </c>
      <c r="DF416" s="72">
        <f t="shared" si="2210"/>
        <v>-15.601023017902818</v>
      </c>
      <c r="DG416" s="91">
        <f>SUM(DG411:DG415)</f>
        <v>2732</v>
      </c>
      <c r="DH416" s="72" t="str">
        <f t="shared" si="2211"/>
        <v>NM</v>
      </c>
      <c r="DI416" s="91">
        <f>SUM(DI411:DI415)</f>
        <v>2443</v>
      </c>
      <c r="DJ416" s="72" t="str">
        <f t="shared" si="2212"/>
        <v>NM</v>
      </c>
      <c r="DK416" s="91">
        <f>SUM(DK411:DK415)</f>
        <v>2178</v>
      </c>
      <c r="DL416" s="72">
        <f t="shared" si="2213"/>
        <v>-36.906141367323286</v>
      </c>
      <c r="DM416" s="91">
        <f>SUM(DM411:DM415)</f>
        <v>2489</v>
      </c>
      <c r="DN416" s="72">
        <f t="shared" si="2214"/>
        <v>-24.575757575757578</v>
      </c>
      <c r="DO416" s="91">
        <f>SUM(DO411:DO415)</f>
        <v>2287</v>
      </c>
      <c r="DP416" s="72">
        <f t="shared" si="2214"/>
        <v>-16.288433382137626</v>
      </c>
      <c r="DQ416" s="91">
        <f>SUM(DQ411:DQ415)</f>
        <v>2182</v>
      </c>
      <c r="DR416" s="72">
        <f t="shared" si="2214"/>
        <v>-10.683585755218999</v>
      </c>
      <c r="DS416" s="91">
        <f>SUM(DS411:DS415)</f>
        <v>2069</v>
      </c>
      <c r="DT416" s="72">
        <f t="shared" si="2214"/>
        <v>-5.0045913682277217</v>
      </c>
      <c r="DU416" s="91">
        <f>SUM(DU411:DU415)</f>
        <v>2345</v>
      </c>
      <c r="DV416" s="72">
        <f t="shared" si="2214"/>
        <v>-5.7854560064282765</v>
      </c>
      <c r="DW416" s="91">
        <f>SUM(DW411:DW415)</f>
        <v>2086</v>
      </c>
      <c r="DX416" s="72">
        <f t="shared" si="2214"/>
        <v>-8.7888062964582332</v>
      </c>
      <c r="DY416" s="91">
        <f>SUM(DY411:DY415)</f>
        <v>2051</v>
      </c>
      <c r="DZ416" s="72">
        <f t="shared" si="2214"/>
        <v>-6.0036663611365668</v>
      </c>
      <c r="EA416" s="91">
        <f>SUM(EA411:EA415)</f>
        <v>2116</v>
      </c>
      <c r="EB416" s="72">
        <f t="shared" si="2215"/>
        <v>2.2716288061865697</v>
      </c>
      <c r="EC416" s="91">
        <f>SUM(EC411:EC415)</f>
        <v>2466</v>
      </c>
      <c r="ED416" s="72">
        <f t="shared" si="2216"/>
        <v>5.1599147121535083</v>
      </c>
      <c r="EE416" s="91">
        <f>SUM(EE411:EE415)</f>
        <v>2462</v>
      </c>
      <c r="EF416" s="72">
        <f t="shared" si="2217"/>
        <v>18.024928092042188</v>
      </c>
      <c r="EG416" s="91">
        <f>SUM(EG411:EG415)</f>
        <v>2401</v>
      </c>
      <c r="EH416" s="72">
        <f t="shared" si="2218"/>
        <v>17.064846416382267</v>
      </c>
      <c r="EI416" s="91">
        <f>SUM(EI411:EI415)</f>
        <v>2240</v>
      </c>
      <c r="EJ416" s="72">
        <f t="shared" si="2219"/>
        <v>5.8601134215500821</v>
      </c>
      <c r="EK416" s="91">
        <f>SUM(EK411:EK415)</f>
        <v>2412</v>
      </c>
      <c r="EL416" s="72">
        <f t="shared" si="2220"/>
        <v>-2.1897810218978009</v>
      </c>
      <c r="EM416" s="91">
        <f>SUM(EM411:EM415)</f>
        <v>2323</v>
      </c>
      <c r="EN416" s="72">
        <f t="shared" si="2221"/>
        <v>-5.645816409423233</v>
      </c>
      <c r="EO416" s="91">
        <f>SUM(EO411:EO415)</f>
        <v>2236</v>
      </c>
      <c r="EP416" s="72">
        <f t="shared" si="2222"/>
        <v>-6.8721366097459367</v>
      </c>
      <c r="EQ416" s="91">
        <f t="shared" ref="EQ416" si="2257">SUM(EQ411:EQ415)</f>
        <v>2249.6653807904681</v>
      </c>
      <c r="ER416" s="72">
        <f t="shared" si="2224"/>
        <v>0.43149021386017239</v>
      </c>
      <c r="ES416" s="91">
        <f t="shared" ref="ES416" si="2258">SUM(ES411:ES415)</f>
        <v>2457.9137838457864</v>
      </c>
      <c r="ET416" s="72">
        <f t="shared" si="2226"/>
        <v>1.9035565441868414</v>
      </c>
      <c r="EU416" s="91">
        <f t="shared" ref="EU416" si="2259">SUM(EU411:EU415)</f>
        <v>2321.5770482439475</v>
      </c>
      <c r="EV416" s="72">
        <f t="shared" si="2228"/>
        <v>-6.1254918469757058E-2</v>
      </c>
      <c r="EW416" s="91">
        <f t="shared" ref="EW416" si="2260">SUM(EW411:EW415)</f>
        <v>2230.2523454954953</v>
      </c>
      <c r="EX416" s="72">
        <f t="shared" si="2230"/>
        <v>-0.25705073812632406</v>
      </c>
      <c r="EY416" s="72"/>
      <c r="EZ416" s="310"/>
      <c r="FA416" s="72"/>
      <c r="FB416" s="91"/>
      <c r="FC416" s="80"/>
      <c r="FD416" s="91"/>
      <c r="FE416" s="72" t="str">
        <f t="shared" si="2231"/>
        <v>NA</v>
      </c>
      <c r="FF416" s="91"/>
      <c r="FG416" s="72" t="str">
        <f t="shared" si="2232"/>
        <v>NA</v>
      </c>
      <c r="FH416" s="91">
        <f>SUM(FH411:FH415)</f>
        <v>1764</v>
      </c>
      <c r="FI416" s="72" t="str">
        <f t="shared" si="2233"/>
        <v>NA</v>
      </c>
      <c r="FJ416" s="91">
        <f>SUM(FJ411:FJ415)</f>
        <v>2316</v>
      </c>
      <c r="FK416" s="72">
        <f t="shared" si="2234"/>
        <v>31.292517006802711</v>
      </c>
      <c r="FL416" s="91">
        <f>SUM(FL411:FL415)</f>
        <v>2350</v>
      </c>
      <c r="FM416" s="72">
        <f t="shared" si="2235"/>
        <v>1.4680483592400577</v>
      </c>
      <c r="FN416" s="91">
        <f>SUM(FN411:FN415)</f>
        <v>2536</v>
      </c>
      <c r="FO416" s="72">
        <f t="shared" si="2236"/>
        <v>7.9148936170212636</v>
      </c>
      <c r="FP416" s="91">
        <f>SUM(FP411:FP415)</f>
        <v>2611</v>
      </c>
      <c r="FQ416" s="72">
        <f t="shared" si="2237"/>
        <v>2.9574132492113563</v>
      </c>
      <c r="FR416" s="91">
        <f>SUM(FR411:FR415)</f>
        <v>2361</v>
      </c>
      <c r="FS416" s="72">
        <f t="shared" si="2238"/>
        <v>-9.5748755266181576</v>
      </c>
      <c r="FT416" s="91">
        <f>SUM(FT411:FT415)</f>
        <v>2266</v>
      </c>
      <c r="FU416" s="72">
        <f t="shared" si="2239"/>
        <v>-4.0237187632359195</v>
      </c>
      <c r="FV416" s="91">
        <f>SUM(FV411:FV415)</f>
        <v>2794</v>
      </c>
      <c r="FW416" s="72">
        <f t="shared" si="2240"/>
        <v>23.300970873786397</v>
      </c>
      <c r="FX416" s="91">
        <f>SUM(FX411:FX415)</f>
        <v>3531</v>
      </c>
      <c r="FY416" s="72">
        <f t="shared" si="2240"/>
        <v>26.377952755905511</v>
      </c>
      <c r="FZ416" s="91">
        <f>SUM(FZ411:FZ415)</f>
        <v>4184</v>
      </c>
      <c r="GA416" s="72">
        <f t="shared" si="2240"/>
        <v>18.493344661568955</v>
      </c>
      <c r="GB416" s="91">
        <f>SUM(GB411:GB415)</f>
        <v>10431</v>
      </c>
      <c r="GC416" s="72" t="str">
        <f t="shared" si="2240"/>
        <v>NM</v>
      </c>
      <c r="GD416" s="91">
        <f>SUM(GD411:GD415)</f>
        <v>19361</v>
      </c>
      <c r="GE416" s="72">
        <f t="shared" si="2240"/>
        <v>85.61020036429872</v>
      </c>
      <c r="GF416" s="91">
        <f>SUM(GF411:GF415)</f>
        <v>11927</v>
      </c>
      <c r="GG416" s="72">
        <f t="shared" si="2240"/>
        <v>-38.396777025980064</v>
      </c>
      <c r="GH416" s="91">
        <f>SUM(GH411:GH415)</f>
        <v>9136</v>
      </c>
      <c r="GI416" s="72">
        <f t="shared" si="2241"/>
        <v>-23.400687515720634</v>
      </c>
      <c r="GJ416" s="91">
        <f>SUM(GJ411:GJ415)</f>
        <v>8551</v>
      </c>
      <c r="GK416" s="72">
        <f t="shared" si="2241"/>
        <v>-6.4032399299474605</v>
      </c>
      <c r="GL416" s="91">
        <f>SUM(GL411:GL415)</f>
        <v>9445</v>
      </c>
      <c r="GM416" s="72">
        <f t="shared" si="2241"/>
        <v>10.454917553502526</v>
      </c>
      <c r="GN416" s="91">
        <f>SUM(GN411:GN415)</f>
        <v>9211</v>
      </c>
      <c r="GO416" s="72">
        <f t="shared" si="2241"/>
        <v>-2.4775013234515626</v>
      </c>
      <c r="GP416" s="91">
        <f>SUM(GP411:GP415)</f>
        <v>9259.4085583756969</v>
      </c>
      <c r="GQ416" s="72">
        <f t="shared" si="2241"/>
        <v>0.5255516054249938</v>
      </c>
      <c r="GR416" s="91">
        <f>SUM(GR411:GR415)</f>
        <v>9355.0357782387346</v>
      </c>
      <c r="GS416" s="72">
        <f t="shared" si="2241"/>
        <v>1.0327573220271944</v>
      </c>
      <c r="GT416" s="91">
        <f>SUM(GT411:GT415)</f>
        <v>9462.9295460211233</v>
      </c>
      <c r="GU416" s="72">
        <f t="shared" si="2241"/>
        <v>1.1533228770045554</v>
      </c>
      <c r="GV416" s="91">
        <f>SUM(GV411:GV415)</f>
        <v>9572.0460855813344</v>
      </c>
      <c r="GW416" s="72">
        <f t="shared" si="2242"/>
        <v>1.1530947052870175</v>
      </c>
      <c r="GX416" s="91">
        <f>SUM(GX411:GX415)</f>
        <v>9682.3990629781474</v>
      </c>
      <c r="GY416" s="72">
        <f t="shared" si="2243"/>
        <v>1.1528671760475646</v>
      </c>
      <c r="GZ416" s="72">
        <f t="shared" si="2244"/>
        <v>1.0032246056440375</v>
      </c>
      <c r="HA416" s="72"/>
      <c r="HB416" s="72"/>
      <c r="HC416"/>
      <c r="HD416"/>
      <c r="HE416"/>
      <c r="HF416"/>
      <c r="HG416"/>
      <c r="HH416"/>
      <c r="HI416" s="2"/>
    </row>
    <row r="417" spans="1:217" s="146" customFormat="1" ht="12.75" customHeight="1" x14ac:dyDescent="0.2">
      <c r="B417" s="147"/>
      <c r="C417" s="71"/>
      <c r="D417" s="72"/>
      <c r="E417" s="71"/>
      <c r="F417" s="72"/>
      <c r="G417" s="71"/>
      <c r="H417" s="72"/>
      <c r="I417" s="71"/>
      <c r="J417" s="72"/>
      <c r="K417" s="71"/>
      <c r="L417" s="72"/>
      <c r="M417" s="71"/>
      <c r="N417" s="72"/>
      <c r="O417" s="71"/>
      <c r="P417" s="72"/>
      <c r="Q417" s="71"/>
      <c r="R417" s="72"/>
      <c r="S417" s="71"/>
      <c r="T417" s="72"/>
      <c r="U417" s="71"/>
      <c r="V417" s="72"/>
      <c r="W417" s="71"/>
      <c r="X417" s="72"/>
      <c r="Y417" s="71"/>
      <c r="Z417" s="72"/>
      <c r="AA417" s="71"/>
      <c r="AB417" s="72"/>
      <c r="AC417" s="71"/>
      <c r="AD417" s="72"/>
      <c r="AE417" s="71"/>
      <c r="AF417" s="72"/>
      <c r="AG417" s="71"/>
      <c r="AH417" s="72"/>
      <c r="AI417" s="71"/>
      <c r="AJ417" s="72"/>
      <c r="AK417" s="71"/>
      <c r="AL417" s="72"/>
      <c r="AM417" s="71"/>
      <c r="AN417" s="72"/>
      <c r="AO417" s="71"/>
      <c r="AP417" s="72"/>
      <c r="AQ417" s="71"/>
      <c r="AR417" s="72"/>
      <c r="AS417" s="71"/>
      <c r="AT417" s="72"/>
      <c r="AU417" s="71"/>
      <c r="AV417" s="72"/>
      <c r="AW417" s="71"/>
      <c r="AX417" s="72"/>
      <c r="AY417" s="71"/>
      <c r="AZ417" s="72"/>
      <c r="BA417" s="71"/>
      <c r="BB417" s="72"/>
      <c r="BC417" s="71"/>
      <c r="BD417" s="72"/>
      <c r="BE417" s="71"/>
      <c r="BF417" s="72"/>
      <c r="BG417" s="71"/>
      <c r="BH417" s="72"/>
      <c r="BI417" s="71"/>
      <c r="BJ417" s="72"/>
      <c r="BK417" s="71"/>
      <c r="BL417" s="72"/>
      <c r="BM417" s="71"/>
      <c r="BN417" s="72"/>
      <c r="BO417" s="71"/>
      <c r="BP417" s="72"/>
      <c r="BQ417" s="71"/>
      <c r="BR417" s="72"/>
      <c r="BS417" s="71"/>
      <c r="BT417" s="72"/>
      <c r="BU417" s="71"/>
      <c r="BV417" s="72"/>
      <c r="BW417" s="71"/>
      <c r="BX417" s="72"/>
      <c r="BY417" s="71"/>
      <c r="BZ417" s="72"/>
      <c r="CA417" s="71"/>
      <c r="CB417" s="72"/>
      <c r="CC417" s="71"/>
      <c r="CD417" s="72"/>
      <c r="CE417" s="71"/>
      <c r="CF417" s="72"/>
      <c r="CG417" s="71"/>
      <c r="CH417" s="72"/>
      <c r="CI417" s="71"/>
      <c r="CJ417" s="72"/>
      <c r="CK417" s="71"/>
      <c r="CL417" s="72"/>
      <c r="CM417" s="71"/>
      <c r="CN417" s="72"/>
      <c r="CO417" s="71"/>
      <c r="CP417" s="72"/>
      <c r="CQ417" s="71"/>
      <c r="CR417" s="72"/>
      <c r="CS417" s="71"/>
      <c r="CT417" s="72"/>
      <c r="CU417" s="71"/>
      <c r="CV417" s="72"/>
      <c r="CW417" s="71"/>
      <c r="CX417" s="72"/>
      <c r="CY417" s="71"/>
      <c r="CZ417" s="72"/>
      <c r="DA417" s="71"/>
      <c r="DB417" s="72"/>
      <c r="DC417" s="71"/>
      <c r="DD417" s="72"/>
      <c r="DE417" s="71"/>
      <c r="DF417" s="72"/>
      <c r="DG417" s="71"/>
      <c r="DH417" s="72"/>
      <c r="DI417" s="71"/>
      <c r="DJ417" s="72"/>
      <c r="DK417" s="71"/>
      <c r="DL417" s="72"/>
      <c r="DM417" s="71"/>
      <c r="DN417" s="72"/>
      <c r="DO417" s="71"/>
      <c r="DP417" s="72"/>
      <c r="DQ417" s="71"/>
      <c r="DR417" s="72"/>
      <c r="DS417" s="71"/>
      <c r="DT417" s="72"/>
      <c r="DU417" s="71"/>
      <c r="DV417" s="72"/>
      <c r="DW417" s="73"/>
      <c r="DX417" s="72"/>
      <c r="DY417" s="73"/>
      <c r="DZ417" s="72"/>
      <c r="EA417" s="73"/>
      <c r="EB417" s="72"/>
      <c r="EC417" s="73"/>
      <c r="ED417" s="72"/>
      <c r="EE417" s="73"/>
      <c r="EF417" s="72"/>
      <c r="EG417" s="73"/>
      <c r="EH417" s="72"/>
      <c r="EI417" s="73"/>
      <c r="EJ417" s="72"/>
      <c r="EK417" s="73"/>
      <c r="EL417" s="72"/>
      <c r="EM417" s="73"/>
      <c r="EN417" s="72"/>
      <c r="EO417" s="73"/>
      <c r="EP417" s="72"/>
      <c r="EQ417" s="73"/>
      <c r="ER417" s="72"/>
      <c r="ES417" s="73"/>
      <c r="ET417" s="72"/>
      <c r="EU417" s="73"/>
      <c r="EV417" s="72"/>
      <c r="EW417" s="73"/>
      <c r="EX417" s="72"/>
      <c r="EY417" s="72"/>
      <c r="EZ417" s="327"/>
      <c r="FA417" s="72"/>
      <c r="FB417" s="71"/>
      <c r="FC417" s="72"/>
      <c r="FD417" s="71"/>
      <c r="FE417" s="72"/>
      <c r="FF417" s="71"/>
      <c r="FG417" s="72"/>
      <c r="FH417" s="71"/>
      <c r="FI417" s="72"/>
      <c r="FJ417" s="71"/>
      <c r="FK417" s="72"/>
      <c r="FL417" s="71"/>
      <c r="FM417" s="72"/>
      <c r="FN417" s="71"/>
      <c r="FO417" s="72"/>
      <c r="FP417" s="71"/>
      <c r="FQ417" s="72"/>
      <c r="FR417" s="73"/>
      <c r="FS417" s="72"/>
      <c r="FT417" s="73"/>
      <c r="FU417" s="72"/>
      <c r="FV417" s="73"/>
      <c r="FW417" s="72"/>
      <c r="FX417" s="73"/>
      <c r="FY417" s="72"/>
      <c r="FZ417" s="73"/>
      <c r="GA417" s="72"/>
      <c r="GB417" s="73"/>
      <c r="GC417" s="72"/>
      <c r="GD417" s="73"/>
      <c r="GE417" s="72"/>
      <c r="GF417" s="73"/>
      <c r="GG417" s="72"/>
      <c r="GH417" s="73"/>
      <c r="GI417" s="72"/>
      <c r="GJ417" s="73"/>
      <c r="GK417" s="72"/>
      <c r="GL417" s="73"/>
      <c r="GM417" s="72"/>
      <c r="GN417" s="73"/>
      <c r="GO417" s="72"/>
      <c r="GP417" s="73"/>
      <c r="GQ417" s="72"/>
      <c r="GR417" s="73"/>
      <c r="GS417" s="72"/>
      <c r="GT417" s="73"/>
      <c r="GU417" s="72"/>
      <c r="GV417" s="73"/>
      <c r="GW417" s="72"/>
      <c r="GX417" s="73"/>
      <c r="GY417" s="72"/>
      <c r="GZ417" s="72"/>
      <c r="HA417" s="72"/>
      <c r="HB417" s="72"/>
      <c r="HC417"/>
      <c r="HD417"/>
      <c r="HE417"/>
      <c r="HF417"/>
      <c r="HG417"/>
      <c r="HH417"/>
      <c r="HI417" s="2"/>
    </row>
    <row r="418" spans="1:217" s="146" customFormat="1" ht="12.75" customHeight="1" x14ac:dyDescent="0.2">
      <c r="B418" s="77" t="s">
        <v>446</v>
      </c>
      <c r="C418" s="105"/>
      <c r="D418" s="72"/>
      <c r="E418" s="105"/>
      <c r="F418" s="72"/>
      <c r="G418" s="105"/>
      <c r="H418" s="72"/>
      <c r="I418" s="105"/>
      <c r="J418" s="72"/>
      <c r="K418" s="105"/>
      <c r="L418" s="72" t="str">
        <f>IF(ISERROR(K418/C418),"NA",IF(OR(K418/C418&gt;2,K418/C418&lt;0.5),"NM",K418/C418*100-100))</f>
        <v>NA</v>
      </c>
      <c r="M418" s="105">
        <f>M411/M405*100</f>
        <v>78.158458244111344</v>
      </c>
      <c r="N418" s="72" t="str">
        <f>IF(ISERROR(M418/E418),"NA",IF(OR(M418/E418&gt;2,M418/E418&lt;0.5),"NM",M418/E418*100-100))</f>
        <v>NA</v>
      </c>
      <c r="O418" s="105">
        <f>O411/O405*100</f>
        <v>70.266040688575899</v>
      </c>
      <c r="P418" s="72" t="str">
        <f>IF(ISERROR(O418/G418),"NA",IF(OR(O418/G418&gt;2,O418/G418&lt;0.5),"NM",O418/G418*100-100))</f>
        <v>NA</v>
      </c>
      <c r="Q418" s="105">
        <f>Q411/Q405*100</f>
        <v>78.973509933774835</v>
      </c>
      <c r="R418" s="72" t="str">
        <f>IF(ISERROR(Q418/I418),"NA",IF(OR(Q418/I418&gt;2,Q418/I418&lt;0.5),"NM",Q418/I418*100-100))</f>
        <v>NA</v>
      </c>
      <c r="S418" s="105">
        <f>S411/S405*100</f>
        <v>76.523297491039415</v>
      </c>
      <c r="T418" s="72" t="str">
        <f>IF(ISERROR(S418/K418),"NA",IF(OR(S418/K418&gt;2,S418/K418&lt;0.5),"NM",S418/K418*100-100))</f>
        <v>NA</v>
      </c>
      <c r="U418" s="105">
        <f>U411/U405*100</f>
        <v>78.849721706864557</v>
      </c>
      <c r="V418" s="72">
        <f>IF(ISERROR(U418/M418),"NA",IF(OR(U418/M418&gt;2,U418/M418&lt;0.5),"NM",U418/M418*100-100))</f>
        <v>0.88443845782397545</v>
      </c>
      <c r="W418" s="105">
        <f>W411/W405*100</f>
        <v>79.924242424242422</v>
      </c>
      <c r="X418" s="72">
        <f>IF(ISERROR(W418/O418),"NA",IF(OR(W418/O418&gt;2,W418/O418&lt;0.5),"NM",W418/O418*100-100))</f>
        <v>13.745191334278189</v>
      </c>
      <c r="Y418" s="105">
        <f>Y411/Y405*100</f>
        <v>86.857142857142861</v>
      </c>
      <c r="Z418" s="72">
        <f>IF(ISERROR(Y418/Q418),"NA",IF(OR(Y418/Q418&gt;2,Y418/Q418&lt;0.5),"NM",Y418/Q418*100-100))</f>
        <v>9.9826295297993397</v>
      </c>
      <c r="AA418" s="105">
        <f>AA411/AA405*100</f>
        <v>80.597014925373131</v>
      </c>
      <c r="AB418" s="72">
        <f>IF(ISERROR(AA418/S418),"NA",IF(OR(AA418/S418&gt;2,AA418/S418&lt;0.5),"NM",AA418/S418*100-100))</f>
        <v>5.3234995980286044</v>
      </c>
      <c r="AC418" s="105">
        <f>AC411/AC405*100</f>
        <v>75</v>
      </c>
      <c r="AD418" s="72">
        <f>IF(ISERROR(AC418/U418),"NA",IF(OR(AC418/U418&gt;2,AC418/U418&lt;0.5),"NM",AC418/U418*100-100))</f>
        <v>-4.8823529411764639</v>
      </c>
      <c r="AE418" s="105">
        <f>AE411/AE405*100</f>
        <v>78.557874762808339</v>
      </c>
      <c r="AF418" s="72">
        <f>IF(ISERROR(AE418/W418),"NA",IF(OR(AE418/W418&gt;2,AE418/W418&lt;0.5),"NM",AE418/W418*100-100))</f>
        <v>-1.7095784958227398</v>
      </c>
      <c r="AG418" s="105">
        <f>AG411/AG405*100</f>
        <v>76.855123674911667</v>
      </c>
      <c r="AH418" s="72">
        <f>IF(ISERROR(AG418/Y418),"NA",IF(OR(AG418/Y418&gt;2,AG418/Y418&lt;0.5),"NM",AG418/Y418*100-100))</f>
        <v>-11.515482611121442</v>
      </c>
      <c r="AI418" s="105">
        <f>AI411/AI405*100</f>
        <v>82.033898305084733</v>
      </c>
      <c r="AJ418" s="72">
        <f>IF(ISERROR(AI418/AA418),"NA",IF(OR(AI418/AA418&gt;2,AI418/AA418&lt;0.5),"NM",AI418/AA418*100-100))</f>
        <v>1.7827997489014251</v>
      </c>
      <c r="AK418" s="105">
        <f>AK411/AK405*100</f>
        <v>79.210925644916543</v>
      </c>
      <c r="AL418" s="72">
        <f>IF(ISERROR(AK418/AC418),"NA",IF(OR(AK418/AC418&gt;2,AK418/AC418&lt;0.5),"NM",AK418/AC418*100-100))</f>
        <v>5.6145675265553763</v>
      </c>
      <c r="AM418" s="105">
        <f>AM411/AM405*100</f>
        <v>80.32200357781754</v>
      </c>
      <c r="AN418" s="72">
        <f>IF(ISERROR(AM418/AE418),"NA",IF(OR(AM418/AE418&gt;2,AM418/AE418&lt;0.5),"NM",AM418/AE418*100-100))</f>
        <v>2.2456422355310366</v>
      </c>
      <c r="AO418" s="105">
        <f>AO411/AO405*100</f>
        <v>77.558348294434467</v>
      </c>
      <c r="AP418" s="72">
        <f>IF(ISERROR(AO418/AG418),"NA",IF(OR(AO418/AG418&gt;2,AO418/AG418&lt;0.5),"NM",AO418/AG418*100-100))</f>
        <v>0.91500030954001943</v>
      </c>
      <c r="AQ418" s="105">
        <f>AQ411/AQ405*100</f>
        <v>79.692832764505113</v>
      </c>
      <c r="AR418" s="72">
        <f>IF(ISERROR(AQ418/AI418),"NA",IF(OR(AQ418/AI418&gt;2,AQ418/AI418&lt;0.5),"NM",AQ418/AI418*100-100))</f>
        <v>-2.8537782416156574</v>
      </c>
      <c r="AS418" s="105">
        <f>AS411/AS405*100</f>
        <v>77.165354330708652</v>
      </c>
      <c r="AT418" s="72">
        <f>IF(ISERROR(AS418/AK418),"NA",IF(OR(AS418/AK418&gt;2,AS418/AK418&lt;0.5),"NM",AS418/AK418*100-100))</f>
        <v>-2.5824358162126515</v>
      </c>
      <c r="AU418" s="105">
        <f>AU411/AU405*100</f>
        <v>84.360902255639104</v>
      </c>
      <c r="AV418" s="72">
        <f>IF(ISERROR(AU418/AM418),"NA",IF(OR(AU418/AM418&gt;2,AU418/AM418&lt;0.5),"NM",AU418/AM418*100-100))</f>
        <v>5.0283838772878795</v>
      </c>
      <c r="AW418" s="105">
        <f>AW411/AW405*100</f>
        <v>79.963235294117652</v>
      </c>
      <c r="AX418" s="72">
        <f>IF(ISERROR(AW418/AO418),"NA",IF(OR(AW418/AO418&gt;2,AW418/AO418&lt;0.5),"NM",AW418/AO418*100-100))</f>
        <v>3.1007455065359579</v>
      </c>
      <c r="AY418" s="105">
        <f>AY411/AY405*100</f>
        <v>80.960854092526688</v>
      </c>
      <c r="AZ418" s="72">
        <f>IF(ISERROR(AY418/AQ418),"NA",IF(OR(AY418/AQ418&gt;2,AY418/AQ418&lt;0.5),"NM",AY418/AQ418*100-100))</f>
        <v>1.5911359704938661</v>
      </c>
      <c r="BA418" s="105">
        <f>BA411/BA405*100</f>
        <v>82.110912343470488</v>
      </c>
      <c r="BB418" s="72">
        <f>IF(ISERROR(BA418/AS418),"NA",IF(OR(BA418/AS418&gt;2,BA418/AS418&lt;0.5),"NM",BA418/AS418*100-100))</f>
        <v>6.4090394655178926</v>
      </c>
      <c r="BC418" s="105">
        <f>BC411/BC405*100</f>
        <v>77.551020408163268</v>
      </c>
      <c r="BD418" s="72">
        <f>IF(ISERROR(BC418/AU418),"NA",IF(OR(BC418/AU418&gt;2,BC418/AU418&lt;0.5),"NM",BC418/AU418*100-100))</f>
        <v>-8.0723198370257165</v>
      </c>
      <c r="BE418" s="105">
        <f>BE411/BE405*100</f>
        <v>76.604554865424433</v>
      </c>
      <c r="BF418" s="72">
        <f>IF(ISERROR(BE418/AW418),"NA",IF(OR(BE418/AW418&gt;2,BE418/AW418&lt;0.5),"NM",BE418/AW418*100-100))</f>
        <v>-4.2002808119749631</v>
      </c>
      <c r="BG418" s="105">
        <f>BG411/BG405*100</f>
        <v>76.811594202898547</v>
      </c>
      <c r="BH418" s="72">
        <f>IF(ISERROR(BG418/AY418),"NA",IF(OR(BG418/AY418&gt;2,BG418/AY418&lt;0.5),"NM",BG418/AY418*100-100))</f>
        <v>-5.125019907628598</v>
      </c>
      <c r="BI418" s="105">
        <f>BI411/BI405*100</f>
        <v>78.77629063097514</v>
      </c>
      <c r="BJ418" s="72">
        <f>IF(ISERROR(BI418/BA418),"NA",IF(OR(BI418/BA418&gt;2,BI418/BA418&lt;0.5),"NM",BI418/BA418*100-100))</f>
        <v>-4.0611188176141582</v>
      </c>
      <c r="BK418" s="105">
        <f>BK411/BK405*100</f>
        <v>75.635593220338976</v>
      </c>
      <c r="BL418" s="72">
        <f>IF(ISERROR(BK418/BC418),"NA",IF(OR(BK418/BC418&gt;2,BK418/BC418&lt;0.5),"NM",BK418/BC418*100-100))</f>
        <v>-2.469892952720798</v>
      </c>
      <c r="BM418" s="105">
        <f>BM411/BM405*100</f>
        <v>76.047904191616766</v>
      </c>
      <c r="BN418" s="72">
        <f>IF(ISERROR(BM418/BE418),"NA",IF(OR(BM418/BE418&gt;2,BM418/BE418&lt;0.5),"NM",BM418/BE418*100-100))</f>
        <v>-0.72665479851109183</v>
      </c>
      <c r="BO418" s="105">
        <f>BO411/BO405*100</f>
        <v>78.178368121442119</v>
      </c>
      <c r="BP418" s="72">
        <f>IF(ISERROR(BO418/BG418),"NA",IF(OR(BO418/BG418&gt;2,BO418/BG418&lt;0.5),"NM",BO418/BG418*100-100))</f>
        <v>1.7793849128208876</v>
      </c>
      <c r="BQ418" s="105">
        <f>BQ411/BQ405*100</f>
        <v>74.873524451939289</v>
      </c>
      <c r="BR418" s="72">
        <f>IF(ISERROR(BQ418/BI418),"NA",IF(OR(BQ418/BI418&gt;2,BQ418/BI418&lt;0.5),"NM",BQ418/BI418*100-100))</f>
        <v>-4.9542395913489088</v>
      </c>
      <c r="BS418" s="105">
        <f>BS411/BS405*100</f>
        <v>73.592233009708735</v>
      </c>
      <c r="BT418" s="72">
        <f>IF(ISERROR(BS418/BK418),"NA",IF(OR(BS418/BK418&gt;2,BS418/BK418&lt;0.5),"NM",BS418/BK418*100-100))</f>
        <v>-2.7015854885643478</v>
      </c>
      <c r="BU418" s="105">
        <f>BU411/BU405*100</f>
        <v>72.271914132379251</v>
      </c>
      <c r="BV418" s="72">
        <f>IF(ISERROR(BU418/BM418),"NA",IF(OR(BU418/BM418&gt;2,BU418/BM418&lt;0.5),"NM",BU418/BM418*100-100))</f>
        <v>-4.9652782668713797</v>
      </c>
      <c r="BW418" s="105">
        <f>BW411/BW405*100</f>
        <v>76.062992125984252</v>
      </c>
      <c r="BX418" s="72">
        <f>IF(ISERROR(BW418/BO418),"NA",IF(OR(BW418/BO418&gt;2,BW418/BO418&lt;0.5),"NM",BW418/BO418*100-100))</f>
        <v>-2.7058328873939246</v>
      </c>
      <c r="BY418" s="105">
        <f>BY411/BY405*100</f>
        <v>77.291381668946642</v>
      </c>
      <c r="BZ418" s="72">
        <f>IF(ISERROR(BY418/BQ418),"NA",IF(OR(BY418/BQ418&gt;2,BY418/BQ418&lt;0.5),"NM",BY418/BQ418*100-100))</f>
        <v>3.2292552470390916</v>
      </c>
      <c r="CA418" s="105">
        <f>CA411/CA405*100</f>
        <v>75.062344139650875</v>
      </c>
      <c r="CB418" s="72">
        <f>IF(ISERROR(CA418/BS418),"NA",IF(OR(CA418/BS418&gt;2,CA418/BS418&lt;0.5),"NM",CA418/BS418*100-100))</f>
        <v>1.9976444113989515</v>
      </c>
      <c r="CC418" s="105">
        <f>CC411/CC405*100</f>
        <v>76.264591439688715</v>
      </c>
      <c r="CD418" s="72">
        <f>IF(ISERROR(CC418/BU418),"NA",IF(OR(CC418/BU418&gt;2,CC418/BU418&lt;0.5),"NM",CC418/BU418*100-100))</f>
        <v>5.5245213237276971</v>
      </c>
      <c r="CE418" s="105">
        <f>CE411/CE405*100</f>
        <v>77.128335451080048</v>
      </c>
      <c r="CF418" s="72">
        <f>IF(ISERROR(CE418/BW418),"NA",IF(OR(CE418/BW418&gt;2,CE418/BW418&lt;0.5),"NM",CE418/BW418*100-100))</f>
        <v>1.4006066489354652</v>
      </c>
      <c r="CG418" s="105">
        <f>CG411/CG405*100</f>
        <v>79.679144385026731</v>
      </c>
      <c r="CH418" s="72">
        <f>IF(ISERROR(CG418/BY418),"NA",IF(OR(CG418/BY418&gt;2,CG418/BY418&lt;0.5),"NM",CG418/BY418*100-100))</f>
        <v>3.0893000804505135</v>
      </c>
      <c r="CI418" s="105">
        <f>CI411/CI405*100</f>
        <v>75.522041763341065</v>
      </c>
      <c r="CJ418" s="72">
        <f>IF(ISERROR(CI418/CA418),"NA",IF(OR(CI418/CA418&gt;2,CI418/CA418&lt;0.5),"NM",CI418/CA418*100-100))</f>
        <v>0.61242108671018514</v>
      </c>
      <c r="CK418" s="105">
        <f>CK411/CK405*100</f>
        <v>76.059322033898297</v>
      </c>
      <c r="CL418" s="72">
        <f>IF(ISERROR(CK418/CC418),"NA",IF(OR(CK418/CC418&gt;2,CK418/CC418&lt;0.5),"NM",CK418/CC418*100-100))</f>
        <v>-0.26915427187825003</v>
      </c>
      <c r="CM418" s="105">
        <f>CM411/CM405*100</f>
        <v>81.096059113300484</v>
      </c>
      <c r="CN418" s="72">
        <f>IF(ISERROR(CM418/CE418),"NA",IF(OR(CM418/CE418&gt;2,CM418/CE418&lt;0.5),"NM",CM418/CE418*100-100))</f>
        <v>5.1443138750699973</v>
      </c>
      <c r="CO418" s="105">
        <f>CO411/CO405*100</f>
        <v>79.451494064674577</v>
      </c>
      <c r="CP418" s="72">
        <f>IF(ISERROR(CO418/CG418),"NA",IF(OR(CO418/CG418&gt;2,CO418/CG418&lt;0.5),"NM",CO418/CG418*100-100))</f>
        <v>-0.28570879131444826</v>
      </c>
      <c r="CQ418" s="105">
        <f>CQ411/CQ405*100</f>
        <v>75.021949078138718</v>
      </c>
      <c r="CR418" s="72">
        <f>IF(ISERROR(CQ418/CI418),"NA",IF(OR(CQ418/CI418&gt;2,CQ418/CI418&lt;0.5),"NM",CQ418/CI418*100-100))</f>
        <v>-0.66218109776409051</v>
      </c>
      <c r="CS418" s="105">
        <f>CS411/CS405*100</f>
        <v>74.754098360655746</v>
      </c>
      <c r="CT418" s="72">
        <f>IF(ISERROR(CS418/CK418),"NA",IF(OR(CS418/CK418&gt;2,CS418/CK418&lt;0.5),"NM",CS418/CK418*100-100))</f>
        <v>-1.7160600940682116</v>
      </c>
      <c r="CU418" s="105">
        <f>CU411/CU405*100</f>
        <v>79.732111385266123</v>
      </c>
      <c r="CV418" s="95">
        <f>IF(ISERROR(CU418/CM418),"NA",IF(OR(CU418/CM418&gt;2,CU418/CM418&lt;0.5),"NM",CU418/CM418*100-100))</f>
        <v>-1.6818915036657529</v>
      </c>
      <c r="CW418" s="105">
        <f>CW411/CW405*100</f>
        <v>82.181303116147305</v>
      </c>
      <c r="CX418" s="95">
        <f>IF(ISERROR(CW418/CO418),"NA",IF(OR(CW418/CO418&gt;2,CW418/CO418&lt;0.5),"NM",CW418/CO418*100-100))</f>
        <v>3.4358183991488431</v>
      </c>
      <c r="CY418" s="105">
        <f>CY411/CY405*100</f>
        <v>88.391989111413565</v>
      </c>
      <c r="CZ418" s="95">
        <f>IF(ISERROR(CY418/CQ418),"NA",IF(OR(CY418/CQ418&gt;2,CY418/CQ418&lt;0.5),"NM",CY418/CQ418*100-100))</f>
        <v>17.821504503101295</v>
      </c>
      <c r="DA418" s="105">
        <f>DA411/DA405*100</f>
        <v>89.853909134692572</v>
      </c>
      <c r="DB418" s="72">
        <f>IF(ISERROR(DA418/CS418),"NA",IF(OR(DA418/CS418&gt;2,DA418/CS418&lt;0.5),"NM",DA418/CS418*100-100))</f>
        <v>20.199308272286103</v>
      </c>
      <c r="DC418" s="105">
        <f>DC411/DC405*100</f>
        <v>84.448755253798907</v>
      </c>
      <c r="DD418" s="72">
        <f>IF(ISERROR(DC418/CU418),"NA",IF(OR(DC418/CU418&gt;2,DC418/CU418&lt;0.5),"NM",DC418/CU418*100-100))</f>
        <v>5.9156139058477208</v>
      </c>
      <c r="DE418" s="105">
        <f>DE411/DE405*100</f>
        <v>83.432539682539684</v>
      </c>
      <c r="DF418" s="72">
        <f>IF(ISERROR(DE418/CW418),"NA",IF(OR(DE418/CW418&gt;2,DE418/CW418&lt;0.5),"NM",DE418/CW418*100-100))</f>
        <v>1.5225319129145305</v>
      </c>
      <c r="DG418" s="105">
        <f>DG411/DG405*100</f>
        <v>84.937954642704312</v>
      </c>
      <c r="DH418" s="72">
        <f>IF(ISERROR(DG418/CY418),"NA",IF(OR(DG418/CY418&gt;2,DG418/CY418&lt;0.5),"NM",DG418/CY418*100-100))</f>
        <v>-3.9076329240148908</v>
      </c>
      <c r="DI418" s="105">
        <f>DI411/DI405*100</f>
        <v>81.047018904507993</v>
      </c>
      <c r="DJ418" s="72">
        <f>IF(ISERROR(DI418/DA418),"NA",IF(OR(DI418/DA418&gt;2,DI418/DA418&lt;0.5),"NM",DI418/DA418*100-100))</f>
        <v>-9.801343441811639</v>
      </c>
      <c r="DK418" s="105">
        <f>DK411/DK405*100</f>
        <v>79.3975255513717</v>
      </c>
      <c r="DL418" s="72">
        <f>IF(ISERROR(DK418/DC418),"NA",IF(OR(DK418/DC418&gt;2,DK418/DC418&lt;0.5),"NM",DK418/DC418*100-100))</f>
        <v>-5.9814140389002119</v>
      </c>
      <c r="DM418" s="105">
        <f>DM411/DM405*100</f>
        <v>80.549199084668189</v>
      </c>
      <c r="DN418" s="72">
        <f t="shared" ref="DN418:DZ420" si="2261">IF(ISERROR(DM418/DE418),"NA",IF(OR(DM418/DE418&gt;2,DM418/DE418&lt;0.5),"NM",DM418/DE418*100-100))</f>
        <v>-3.4558945572585742</v>
      </c>
      <c r="DO418" s="105">
        <f>DO411/DO405*100</f>
        <v>80.504115226337447</v>
      </c>
      <c r="DP418" s="72">
        <f t="shared" si="2261"/>
        <v>-5.220092048387599</v>
      </c>
      <c r="DQ418" s="105">
        <f>DQ411/DQ405*100</f>
        <v>82.713963963963963</v>
      </c>
      <c r="DR418" s="72">
        <f t="shared" si="2261"/>
        <v>2.0567629531445419</v>
      </c>
      <c r="DS418" s="105">
        <f>DS411/DS405*100</f>
        <v>80.998851894374283</v>
      </c>
      <c r="DT418" s="72">
        <f t="shared" si="2261"/>
        <v>2.0168466610039246</v>
      </c>
      <c r="DU418" s="105">
        <f>DU411/DU405*100</f>
        <v>81.699029126213603</v>
      </c>
      <c r="DV418" s="72">
        <f t="shared" si="2261"/>
        <v>1.4274878640776905</v>
      </c>
      <c r="DW418" s="105">
        <f>DW411/DW405*100</f>
        <v>81.746920492721159</v>
      </c>
      <c r="DX418" s="72">
        <f t="shared" si="2261"/>
        <v>1.5437785545366864</v>
      </c>
      <c r="DY418" s="105">
        <f>DY411/DY405*100</f>
        <v>80.57009889470622</v>
      </c>
      <c r="DZ418" s="72">
        <f t="shared" si="2261"/>
        <v>-2.591902221240133</v>
      </c>
      <c r="EA418" s="105">
        <f>EA411/EA405*100</f>
        <v>81.605351170568568</v>
      </c>
      <c r="EB418" s="72">
        <f>IF(ISERROR(EA418/DS418),"NA",IF(OR(EA418/DS418&gt;2,EA418/DS418&lt;0.5),"NM",EA418/DS418*100-100))</f>
        <v>0.74877515175792553</v>
      </c>
      <c r="EC418" s="105">
        <f>EC411/EC405*100</f>
        <v>83.254716981132077</v>
      </c>
      <c r="ED418" s="72">
        <f>IF(ISERROR(EC418/DU418),"NA",IF(OR(EC418/DU418&gt;2,EC418/DU418&lt;0.5),"NM",EC418/DU418*100-100))</f>
        <v>1.9041693292525679</v>
      </c>
      <c r="EE418" s="105">
        <f>EE411/EE405*100</f>
        <v>82.330468003820428</v>
      </c>
      <c r="EF418" s="72">
        <f>IF(ISERROR(EE418/DW418),"NA",IF(OR(EE418/DW418&gt;2,EE418/DW418&lt;0.5),"NM",EE418/DW418*100-100))</f>
        <v>0.7138464759063794</v>
      </c>
      <c r="EG418" s="105">
        <f>EG411/EG405*100</f>
        <v>82.690405539070227</v>
      </c>
      <c r="EH418" s="72">
        <f>IF(ISERROR(EG418/DY418),"NA",IF(OR(EG418/DY418&gt;2,EG418/DY418&lt;0.5),"NM",EG418/DY418*100-100))</f>
        <v>2.6316296907304917</v>
      </c>
      <c r="EI418" s="105">
        <f>EI411/EI405*100</f>
        <v>83.174097664543524</v>
      </c>
      <c r="EJ418" s="72">
        <f>IF(ISERROR(EI418/EA418),"NA",IF(OR(EI418/EA418&gt;2,EI418/EA418&lt;0.5),"NM",EI418/EA418*100-100))</f>
        <v>1.9223573840102972</v>
      </c>
      <c r="EK418" s="105">
        <f>EK411/EK405*100</f>
        <v>80.178069353327089</v>
      </c>
      <c r="EL418" s="72">
        <f>IF(ISERROR(EK418/EC418),"NA",IF(OR(EK418/EC418&gt;2,EK418/EC418&lt;0.5),"NM",EK418/EC418*100-100))</f>
        <v>-3.6954634396297905</v>
      </c>
      <c r="EM418" s="105">
        <f>EM411/EM405*100</f>
        <v>82.503770739064848</v>
      </c>
      <c r="EN418" s="72">
        <f>IF(ISERROR(EM418/EE418),"NA",IF(OR(EM418/EE418&gt;2,EM418/EE418&lt;0.5),"NM",EM418/EE418*100-100))</f>
        <v>0.21049647772726132</v>
      </c>
      <c r="EO418" s="105">
        <f>EO411/EO405*100</f>
        <v>81.880612783940833</v>
      </c>
      <c r="EP418" s="72">
        <f>IF(ISERROR(EO418/EG418),"NA",IF(OR(EO418/EG418&gt;2,EO418/EG418&lt;0.5),"NM",EO418/EG418*100-100))</f>
        <v>-0.97930678879882294</v>
      </c>
      <c r="EQ418" s="104">
        <f>EI418</f>
        <v>83.174097664543524</v>
      </c>
      <c r="ER418" s="72">
        <f t="shared" ref="ER418:ER420" si="2262">IF(ISERROR(EQ418/EI418),"NA",IF(OR(EQ418/EI418&gt;2,EQ418/EI418&lt;0.5),"NM",EQ418/EI418*100-100))</f>
        <v>0</v>
      </c>
      <c r="ES418" s="104">
        <f>EK418</f>
        <v>80.178069353327089</v>
      </c>
      <c r="ET418" s="72">
        <f t="shared" ref="ET418:ET420" si="2263">IF(ISERROR(ES418/EK418),"NA",IF(OR(ES418/EK418&gt;2,ES418/EK418&lt;0.5),"NM",ES418/EK418*100-100))</f>
        <v>0</v>
      </c>
      <c r="EU418" s="104">
        <f>EM418-0.9</f>
        <v>81.603770739064842</v>
      </c>
      <c r="EV418" s="72">
        <f t="shared" ref="EV418:EV420" si="2264">IF(ISERROR(EU418/EM418),"NA",IF(OR(EU418/EM418&gt;2,EU418/EM418&lt;0.5),"NM",EU418/EM418*100-100))</f>
        <v>-1.0908592321755179</v>
      </c>
      <c r="EW418" s="104">
        <f>EO418-0.5</f>
        <v>81.380612783940833</v>
      </c>
      <c r="EX418" s="72">
        <f t="shared" ref="EX418:EX420" si="2265">IF(ISERROR(EW418/EO418),"NA",IF(OR(EW418/EO418&gt;2,EW418/EO418&lt;0.5),"NM",EW418/EO418*100-100))</f>
        <v>-0.61064516129032143</v>
      </c>
      <c r="EY418" s="72"/>
      <c r="EZ418" s="327"/>
      <c r="FA418" s="72"/>
      <c r="FB418" s="106"/>
      <c r="FC418" s="72"/>
      <c r="FD418" s="106"/>
      <c r="FE418" s="72" t="str">
        <f>IF(ISERROR(FD418/FB418),"NA",IF(OR(FD418/FB418&gt;2,FD418/FB418&lt;0.5),"NM",FD418/FB418*100-100))</f>
        <v>NA</v>
      </c>
      <c r="FF418" s="106"/>
      <c r="FG418" s="72" t="str">
        <f>IF(ISERROR(FF418/FD418),"NA",IF(OR(FF418/FD418&gt;2,FF418/FD418&lt;0.5),"NM",FF418/FD418*100-100))</f>
        <v>NA</v>
      </c>
      <c r="FH418" s="106">
        <f>FH411/FH405*100</f>
        <v>75.497076023391813</v>
      </c>
      <c r="FI418" s="72" t="str">
        <f>IF(ISERROR(FH418/FF418),"NA",IF(OR(FH418/FF418&gt;2,FH418/FF418&lt;0.5),"NM",FH418/FF418*100-100))</f>
        <v>NA</v>
      </c>
      <c r="FJ418" s="106">
        <f>FJ411/FJ405*100</f>
        <v>80.465116279069775</v>
      </c>
      <c r="FK418" s="72">
        <f>IF(ISERROR(FJ418/FH418),"NA",IF(OR(FJ418/FH418&gt;2,FJ418/FH418&lt;0.5),"NM",FJ418/FH418*100-100))</f>
        <v>6.5804406175130197</v>
      </c>
      <c r="FL418" s="105">
        <f>FL411/FL405*100</f>
        <v>77.716643741403018</v>
      </c>
      <c r="FM418" s="72">
        <f>IF(ISERROR(FL418/FJ418),"NA",IF(OR(FL418/FJ418&gt;2,FL418/FJ418&lt;0.5),"NM",FL418/FJ418*100-100))</f>
        <v>-3.4157317664644751</v>
      </c>
      <c r="FN418" s="105">
        <f>FN411/FN405*100</f>
        <v>79.788583509513742</v>
      </c>
      <c r="FO418" s="72">
        <f>IF(ISERROR(FN418/FL418),"NA",IF(OR(FN418/FL418&gt;2,FN418/FL418&lt;0.5),"NM",FN418/FL418*100-100))</f>
        <v>2.6660180733035332</v>
      </c>
      <c r="FP418" s="105">
        <f>FP411/FP405*100</f>
        <v>80.370370370370367</v>
      </c>
      <c r="FQ418" s="72">
        <f>IF(ISERROR(FP418/FN418),"NA",IF(OR(FP418/FN418&gt;2,FP418/FN418&lt;0.5),"NM",FP418/FN418*100-100))</f>
        <v>0.72916053308209428</v>
      </c>
      <c r="FR418" s="105">
        <f>FR411/FR405*100</f>
        <v>79.465138490926464</v>
      </c>
      <c r="FS418" s="72">
        <f>IF(ISERROR(FR418/FP418),"NA",IF(OR(FR418/FP418&gt;2,FR418/FP418&lt;0.5),"NM",FR418/FP418*100-100))</f>
        <v>-1.1263253799532436</v>
      </c>
      <c r="FT418" s="105">
        <f>FT411/FT405*100</f>
        <v>76.856998484082879</v>
      </c>
      <c r="FU418" s="72">
        <f>IF(ISERROR(FT418/FR418),"NA",IF(OR(FT418/FR418&gt;2,FT418/FR418&lt;0.5),"NM",FT418/FR418*100-100))</f>
        <v>-3.2821184941889783</v>
      </c>
      <c r="FV418" s="105">
        <f>FV411/FV405*100</f>
        <v>74.737802097583213</v>
      </c>
      <c r="FW418" s="72">
        <f>IF(ISERROR(FV418/FT418),"NA",IF(OR(FV418/FT418&gt;2,FV418/FT418&lt;0.5),"NM",FV418/FT418*100-100))</f>
        <v>-2.7573238980163239</v>
      </c>
      <c r="FX418" s="105">
        <f>FX411/FX405*100</f>
        <v>76.148349778836348</v>
      </c>
      <c r="FY418" s="72">
        <f>IF(ISERROR(FX418/FV418),"NA",IF(OR(FX418/FV418&gt;2,FX418/FV418&lt;0.5),"NM",FX418/FV418*100-100))</f>
        <v>1.8873282885833618</v>
      </c>
      <c r="FZ418" s="105">
        <f>FZ411/FZ405*100</f>
        <v>77.125850340136054</v>
      </c>
      <c r="GA418" s="72">
        <f>IF(ISERROR(FZ418/FX418),"NA",IF(OR(FZ418/FX418&gt;2,FZ418/FX418&lt;0.5),"NM",FZ418/FX418*100-100))</f>
        <v>1.2836792447094894</v>
      </c>
      <c r="GB418" s="105">
        <f>GB411/GB405*100</f>
        <v>77.302219692657943</v>
      </c>
      <c r="GC418" s="72">
        <f>IF(ISERROR(GB418/FZ418),"NA",IF(OR(GB418/FZ418&gt;2,GB418/FZ418&lt;0.5),"NM",GB418/FZ418*100-100))</f>
        <v>0.22867735233266728</v>
      </c>
      <c r="GD418" s="105">
        <f>GD411/GD405*100</f>
        <v>86.284457973955682</v>
      </c>
      <c r="GE418" s="72">
        <f>IF(ISERROR(GD418/GB418),"NA",IF(OR(GD418/GB418&gt;2,GD418/GB418&lt;0.5),"NM",GD418/GB418*100-100))</f>
        <v>11.619638241967408</v>
      </c>
      <c r="GF418" s="105">
        <f>GF411/GF405*100</f>
        <v>83.597984216031179</v>
      </c>
      <c r="GG418" s="72">
        <f>IF(ISERROR(GF418/GD418),"NA",IF(OR(GF418/GD418&gt;2,GF418/GD418&lt;0.5),"NM",GF418/GD418*100-100))</f>
        <v>-3.1135082968654615</v>
      </c>
      <c r="GH418" s="105">
        <f>GH411/GH405*100</f>
        <v>80.75734157650696</v>
      </c>
      <c r="GI418" s="72">
        <f t="shared" ref="GI418:GU420" si="2266">IF(ISERROR(GH418/GF418),"NA",IF(OR(GH418/GF418&gt;2,GH418/GF418&lt;0.5),"NM",GH418/GF418*100-100))</f>
        <v>-3.3979798271014801</v>
      </c>
      <c r="GJ418" s="105">
        <f>GJ411/GJ405*100</f>
        <v>81.278226358286574</v>
      </c>
      <c r="GK418" s="72">
        <f t="shared" si="2266"/>
        <v>0.64499991160079162</v>
      </c>
      <c r="GL418" s="105">
        <f>GL411/GL405*100</f>
        <v>82.503113325031137</v>
      </c>
      <c r="GM418" s="72">
        <f t="shared" si="2266"/>
        <v>1.5070296457320325</v>
      </c>
      <c r="GN418" s="105">
        <f>GN411/GN405*100</f>
        <v>81.886075949367083</v>
      </c>
      <c r="GO418" s="72">
        <f t="shared" si="2266"/>
        <v>-0.7478958681633685</v>
      </c>
      <c r="GP418" s="105">
        <f>GP411/GP405*100</f>
        <v>81.539670886075953</v>
      </c>
      <c r="GQ418" s="72">
        <f t="shared" si="2266"/>
        <v>-0.42303292626371558</v>
      </c>
      <c r="GR418" s="104">
        <f>GP418-0.05</f>
        <v>81.489670886075956</v>
      </c>
      <c r="GS418" s="72">
        <f t="shared" si="2266"/>
        <v>-6.1319845244227622E-2</v>
      </c>
      <c r="GT418" s="104">
        <f>GR418</f>
        <v>81.489670886075956</v>
      </c>
      <c r="GU418" s="72">
        <f t="shared" si="2266"/>
        <v>0</v>
      </c>
      <c r="GV418" s="104">
        <f>GT418</f>
        <v>81.489670886075956</v>
      </c>
      <c r="GW418" s="72">
        <f>IF(ISERROR(GV418/GT418),"NA",IF(OR(GV418/GT418&gt;2,GV418/GT418&lt;0.5),"NM",GV418/GT418*100-100))</f>
        <v>0</v>
      </c>
      <c r="GX418" s="104">
        <f>GV418</f>
        <v>81.489670886075956</v>
      </c>
      <c r="GY418" s="72">
        <f>IF(ISERROR(GX418/GV418),"NA",IF(OR(GX418/GV418&gt;2,GX418/GV418&lt;0.5),"NM",GX418/GV418*100-100))</f>
        <v>0</v>
      </c>
      <c r="GZ418" s="72">
        <f>IF(ISERROR(((GX418/GN418)^0.2-1)*100),"NA",IF((((GX418/GN418)^0.2-1)*100)&gt;100,"NM",IF((((GX418/GN418)^0.2-1)*100)&lt;-50,"NM",((GX418/GN418)^0.2-1)*100)))</f>
        <v>-9.7006697176515999E-2</v>
      </c>
      <c r="HA418" s="72"/>
      <c r="HB418" s="72"/>
      <c r="HC418"/>
      <c r="HD418"/>
      <c r="HE418"/>
      <c r="HF418"/>
      <c r="HG418"/>
      <c r="HH418"/>
      <c r="HI418" s="2"/>
    </row>
    <row r="419" spans="1:217" s="78" customFormat="1" ht="12.75" customHeight="1" x14ac:dyDescent="0.2">
      <c r="B419" s="77" t="s">
        <v>157</v>
      </c>
      <c r="C419" s="105"/>
      <c r="D419" s="72"/>
      <c r="E419" s="105"/>
      <c r="F419" s="72"/>
      <c r="G419" s="105"/>
      <c r="H419" s="72"/>
      <c r="I419" s="105"/>
      <c r="J419" s="72"/>
      <c r="K419" s="105"/>
      <c r="L419" s="72" t="str">
        <f>IF(ISERROR(K419/C419),"NA",IF(OR(K419/C419&gt;2,K419/C419&lt;0.5),"NM",K419/C419*100-100))</f>
        <v>NA</v>
      </c>
      <c r="M419" s="105">
        <f>M412/M406*100</f>
        <v>21.25</v>
      </c>
      <c r="N419" s="72" t="str">
        <f>IF(ISERROR(M419/E419),"NA",IF(OR(M419/E419&gt;2,M419/E419&lt;0.5),"NM",M419/E419*100-100))</f>
        <v>NA</v>
      </c>
      <c r="O419" s="105">
        <f>O412/O406*100</f>
        <v>23.076923076923077</v>
      </c>
      <c r="P419" s="72" t="str">
        <f>IF(ISERROR(O419/G419),"NA",IF(OR(O419/G419&gt;2,O419/G419&lt;0.5),"NM",O419/G419*100-100))</f>
        <v>NA</v>
      </c>
      <c r="Q419" s="105">
        <f>Q412/Q406*100</f>
        <v>21.495327102803738</v>
      </c>
      <c r="R419" s="72" t="str">
        <f>IF(ISERROR(Q419/I419),"NA",IF(OR(Q419/I419&gt;2,Q419/I419&lt;0.5),"NM",Q419/I419*100-100))</f>
        <v>NA</v>
      </c>
      <c r="S419" s="105">
        <f>S412/S406*100</f>
        <v>21.100917431192663</v>
      </c>
      <c r="T419" s="72" t="str">
        <f>IF(ISERROR(S419/K419),"NA",IF(OR(S419/K419&gt;2,S419/K419&lt;0.5),"NM",S419/K419*100-100))</f>
        <v>NA</v>
      </c>
      <c r="U419" s="105">
        <f>U412/U406*100</f>
        <v>17.460317460317459</v>
      </c>
      <c r="V419" s="72">
        <f>IF(ISERROR(U419/M419),"NA",IF(OR(U419/M419&gt;2,U419/M419&lt;0.5),"NM",U419/M419*100-100))</f>
        <v>-17.833800186741371</v>
      </c>
      <c r="W419" s="105">
        <f>W412/W406*100</f>
        <v>15.942028985507244</v>
      </c>
      <c r="X419" s="72">
        <f>IF(ISERROR(W419/O419),"NA",IF(OR(W419/O419&gt;2,W419/O419&lt;0.5),"NM",W419/O419*100-100))</f>
        <v>-30.917874396135275</v>
      </c>
      <c r="Y419" s="105">
        <f>Y412/Y406*100</f>
        <v>17.322834645669293</v>
      </c>
      <c r="Z419" s="72">
        <f>IF(ISERROR(Y419/Q419),"NA",IF(OR(Y419/Q419&gt;2,Y419/Q419&lt;0.5),"NM",Y419/Q419*100-100))</f>
        <v>-19.411160561451553</v>
      </c>
      <c r="AA419" s="105">
        <f>AA412/AA406*100</f>
        <v>16.666666666666664</v>
      </c>
      <c r="AB419" s="72">
        <f>IF(ISERROR(AA419/S419),"NA",IF(OR(AA419/S419&gt;2,AA419/S419&lt;0.5),"NM",AA419/S419*100-100))</f>
        <v>-21.014492753623202</v>
      </c>
      <c r="AC419" s="105">
        <f>AC412/AC406*100</f>
        <v>17.142857142857142</v>
      </c>
      <c r="AD419" s="72">
        <f>IF(ISERROR(AC419/U419),"NA",IF(OR(AC419/U419&gt;2,AC419/U419&lt;0.5),"NM",AC419/U419*100-100))</f>
        <v>-1.818181818181813</v>
      </c>
      <c r="AE419" s="105">
        <f>AE412/AE406*100</f>
        <v>16.783216783216783</v>
      </c>
      <c r="AF419" s="72">
        <f>IF(ISERROR(AE419/W419),"NA",IF(OR(AE419/W419&gt;2,AE419/W419&lt;0.5),"NM",AE419/W419*100-100))</f>
        <v>5.2765416401780101</v>
      </c>
      <c r="AG419" s="105">
        <f>AG412/AG406*100</f>
        <v>18.705035971223023</v>
      </c>
      <c r="AH419" s="72">
        <f>IF(ISERROR(AG419/Y419),"NA",IF(OR(AG419/Y419&gt;2,AG419/Y419&lt;0.5),"NM",AG419/Y419*100-100))</f>
        <v>7.9790712884238104</v>
      </c>
      <c r="AI419" s="105">
        <f>AI412/AI406*100</f>
        <v>14.569536423841059</v>
      </c>
      <c r="AJ419" s="72">
        <f>IF(ISERROR(AI419/AA419),"NA",IF(OR(AI419/AA419&gt;2,AI419/AA419&lt;0.5),"NM",AI419/AA419*100-100))</f>
        <v>-12.582781456953626</v>
      </c>
      <c r="AK419" s="105">
        <f>AK412/AK406*100</f>
        <v>17.567567567567568</v>
      </c>
      <c r="AL419" s="72">
        <f>IF(ISERROR(AK419/AC419),"NA",IF(OR(AK419/AC419&gt;2,AK419/AC419&lt;0.5),"NM",AK419/AC419*100-100))</f>
        <v>2.4774774774774926</v>
      </c>
      <c r="AM419" s="105">
        <f>AM412/AM406*100</f>
        <v>15.894039735099339</v>
      </c>
      <c r="AN419" s="72">
        <f>IF(ISERROR(AM419/AE419),"NA",IF(OR(AM419/AE419&gt;2,AM419/AE419&lt;0.5),"NM",AM419/AE419*100-100))</f>
        <v>-5.2980132450331041</v>
      </c>
      <c r="AO419" s="105">
        <f>AO412/AO406*100</f>
        <v>19.333333333333332</v>
      </c>
      <c r="AP419" s="72">
        <f>IF(ISERROR(AO419/AG419),"NA",IF(OR(AO419/AG419&gt;2,AO419/AG419&lt;0.5),"NM",AO419/AG419*100-100))</f>
        <v>3.3589743589743364</v>
      </c>
      <c r="AQ419" s="105">
        <f>AQ412/AQ406*100</f>
        <v>14.743589743589745</v>
      </c>
      <c r="AR419" s="72">
        <f>IF(ISERROR(AQ419/AI419),"NA",IF(OR(AQ419/AI419&gt;2,AQ419/AI419&lt;0.5),"NM",AQ419/AI419*100-100))</f>
        <v>1.194638694638698</v>
      </c>
      <c r="AS419" s="105">
        <f>AS412/AS406*100</f>
        <v>15.294117647058824</v>
      </c>
      <c r="AT419" s="72">
        <f>IF(ISERROR(AS419/AK419),"NA",IF(OR(AS419/AK419&gt;2,AS419/AK419&lt;0.5),"NM",AS419/AK419*100-100))</f>
        <v>-12.941176470588232</v>
      </c>
      <c r="AU419" s="105">
        <f>AU412/AU406*100</f>
        <v>16.201117318435752</v>
      </c>
      <c r="AV419" s="72">
        <f>IF(ISERROR(AU419/AM419),"NA",IF(OR(AU419/AM419&gt;2,AU419/AM419&lt;0.5),"NM",AU419/AM419*100-100))</f>
        <v>1.9320297951582717</v>
      </c>
      <c r="AW419" s="105">
        <f>AW412/AW406*100</f>
        <v>15.789473684210526</v>
      </c>
      <c r="AX419" s="72">
        <f>IF(ISERROR(AW419/AO419),"NA",IF(OR(AW419/AO419&gt;2,AW419/AO419&lt;0.5),"NM",AW419/AO419*100-100))</f>
        <v>-18.330308529945555</v>
      </c>
      <c r="AY419" s="105">
        <f>AY412/AY406*100</f>
        <v>17.964071856287426</v>
      </c>
      <c r="AZ419" s="72">
        <f>IF(ISERROR(AY419/AQ419),"NA",IF(OR(AY419/AQ419&gt;2,AY419/AQ419&lt;0.5),"NM",AY419/AQ419*100-100))</f>
        <v>21.843269981775563</v>
      </c>
      <c r="BA419" s="105">
        <f>BA412/BA406*100</f>
        <v>19.428571428571427</v>
      </c>
      <c r="BB419" s="72">
        <f>IF(ISERROR(BA419/AS419),"NA",IF(OR(BA419/AS419&gt;2,BA419/AS419&lt;0.5),"NM",BA419/AS419*100-100))</f>
        <v>27.032967032967022</v>
      </c>
      <c r="BC419" s="105">
        <f>BC412/BC406*100</f>
        <v>19.897959183673468</v>
      </c>
      <c r="BD419" s="72">
        <f>IF(ISERROR(BC419/AU419),"NA",IF(OR(BC419/AU419&gt;2,BC419/AU419&lt;0.5),"NM",BC419/AU419*100-100))</f>
        <v>22.818437719915565</v>
      </c>
      <c r="BE419" s="105">
        <f>BE412/BE406*100</f>
        <v>22.58064516129032</v>
      </c>
      <c r="BF419" s="72">
        <f>IF(ISERROR(BE419/AW419),"NA",IF(OR(BE419/AW419&gt;2,BE419/AW419&lt;0.5),"NM",BE419/AW419*100-100))</f>
        <v>43.010752688172033</v>
      </c>
      <c r="BG419" s="105">
        <f>BG412/BG406*100</f>
        <v>22.513089005235599</v>
      </c>
      <c r="BH419" s="72">
        <f>IF(ISERROR(BG419/AY419),"NA",IF(OR(BG419/AY419&gt;2,BG419/AY419&lt;0.5),"NM",BG419/AY419*100-100))</f>
        <v>25.322862129144823</v>
      </c>
      <c r="BI419" s="105">
        <f>BI412/BI406*100</f>
        <v>23.076923076923077</v>
      </c>
      <c r="BJ419" s="72">
        <f>IF(ISERROR(BI419/BA419),"NA",IF(OR(BI419/BA419&gt;2,BI419/BA419&lt;0.5),"NM",BI419/BA419*100-100))</f>
        <v>18.778280542986423</v>
      </c>
      <c r="BK419" s="105">
        <f>BK412/BK406*100</f>
        <v>23.880597014925371</v>
      </c>
      <c r="BL419" s="72">
        <f>IF(ISERROR(BK419/BC419),"NA",IF(OR(BK419/BC419&gt;2,BK419/BC419&lt;0.5),"NM",BK419/BC419*100-100))</f>
        <v>20.015308075009571</v>
      </c>
      <c r="BM419" s="105">
        <f>BM412/BM406*100</f>
        <v>25.837320574162682</v>
      </c>
      <c r="BN419" s="72">
        <f>IF(ISERROR(BM419/BE419),"NA",IF(OR(BM419/BE419&gt;2,BM419/BE419&lt;0.5),"NM",BM419/BE419*100-100))</f>
        <v>14.422419685577609</v>
      </c>
      <c r="BO419" s="105">
        <f>BO412/BO406*100</f>
        <v>26.388888888888889</v>
      </c>
      <c r="BP419" s="72">
        <f>IF(ISERROR(BO419/BG419),"NA",IF(OR(BO419/BG419&gt;2,BO419/BG419&lt;0.5),"NM",BO419/BG419*100-100))</f>
        <v>17.215762273901831</v>
      </c>
      <c r="BQ419" s="105">
        <f>BQ412/BQ406*100</f>
        <v>23.643410852713178</v>
      </c>
      <c r="BR419" s="72">
        <f>IF(ISERROR(BQ419/BI419),"NA",IF(OR(BQ419/BI419&gt;2,BQ419/BI419&lt;0.5),"NM",BQ419/BI419*100-100))</f>
        <v>2.454780361757102</v>
      </c>
      <c r="BS419" s="105">
        <f>BS412/BS406*100</f>
        <v>25.098039215686274</v>
      </c>
      <c r="BT419" s="72">
        <f>IF(ISERROR(BS419/BK419),"NA",IF(OR(BS419/BK419&gt;2,BS419/BK419&lt;0.5),"NM",BS419/BK419*100-100))</f>
        <v>5.0980392156862848</v>
      </c>
      <c r="BU419" s="105">
        <f>BU412/BU406*100</f>
        <v>25.18796992481203</v>
      </c>
      <c r="BV419" s="72">
        <f>IF(ISERROR(BU419/BM419),"NA",IF(OR(BU419/BM419&gt;2,BU419/BM419&lt;0.5),"NM",BU419/BM419*100-100))</f>
        <v>-2.5132275132275197</v>
      </c>
      <c r="BW419" s="105">
        <f>BW412/BW406*100</f>
        <v>25.63176895306859</v>
      </c>
      <c r="BX419" s="72">
        <f>IF(ISERROR(BW419/BO419),"NA",IF(OR(BW419/BO419&gt;2,BW419/BO419&lt;0.5),"NM",BW419/BO419*100-100))</f>
        <v>-2.8690860725821778</v>
      </c>
      <c r="BY419" s="105">
        <f>BY412/BY406*100</f>
        <v>27.131782945736433</v>
      </c>
      <c r="BZ419" s="72">
        <f>IF(ISERROR(BY419/BQ419),"NA",IF(OR(BY419/BQ419&gt;2,BY419/BQ419&lt;0.5),"NM",BY419/BQ419*100-100))</f>
        <v>14.754098360655732</v>
      </c>
      <c r="CA419" s="105">
        <f>CA412/CA406*100</f>
        <v>25.874125874125873</v>
      </c>
      <c r="CB419" s="72">
        <f>IF(ISERROR(CA419/BS419),"NA",IF(OR(CA419/BS419&gt;2,CA419/BS419&lt;0.5),"NM",CA419/BS419*100-100))</f>
        <v>3.0922202797202658</v>
      </c>
      <c r="CC419" s="105">
        <f>CC412/CC406*100</f>
        <v>28.01418439716312</v>
      </c>
      <c r="CD419" s="72">
        <f>IF(ISERROR(CC419/BU419),"NA",IF(OR(CC419/BU419&gt;2,CC419/BU419&lt;0.5),"NM",CC419/BU419*100-100))</f>
        <v>11.220493278289396</v>
      </c>
      <c r="CE419" s="105">
        <f>CE412/CE406*100</f>
        <v>28.321678321678323</v>
      </c>
      <c r="CF419" s="72">
        <f>IF(ISERROR(CE419/BW419),"NA",IF(OR(CE419/BW419&gt;2,CE419/BW419&lt;0.5),"NM",CE419/BW419*100-100))</f>
        <v>10.494435142322487</v>
      </c>
      <c r="CG419" s="105">
        <f>CG412/CG406*100</f>
        <v>29.122807017543863</v>
      </c>
      <c r="CH419" s="72">
        <f>IF(ISERROR(CG419/BY419),"NA",IF(OR(CG419/BY419&gt;2,CG419/BY419&lt;0.5),"NM",CG419/BY419*100-100))</f>
        <v>7.3383458646616617</v>
      </c>
      <c r="CI419" s="105">
        <f>CI412/CI406*100</f>
        <v>28.164556962025316</v>
      </c>
      <c r="CJ419" s="72">
        <f>IF(ISERROR(CI419/CA419),"NA",IF(OR(CI419/CA419&gt;2,CI419/CA419&lt;0.5),"NM",CI419/CA419*100-100))</f>
        <v>8.8522066370167636</v>
      </c>
      <c r="CK419" s="105">
        <f>CK412/CK406*100</f>
        <v>29.447852760736197</v>
      </c>
      <c r="CL419" s="72">
        <f>IF(ISERROR(CK419/CC419),"NA",IF(OR(CK419/CC419&gt;2,CK419/CC419&lt;0.5),"NM",CK419/CC419*100-100))</f>
        <v>5.117651626931746</v>
      </c>
      <c r="CM419" s="105">
        <f>CM412/CM406*100</f>
        <v>23.913043478260871</v>
      </c>
      <c r="CN419" s="72">
        <f>IF(ISERROR(CM419/CE419),"NA",IF(OR(CM419/CE419&gt;2,CM419/CE419&lt;0.5),"NM",CM419/CE419*100-100))</f>
        <v>-15.566290928609774</v>
      </c>
      <c r="CO419" s="105">
        <f>CO412/CO406*100</f>
        <v>31.433224755700323</v>
      </c>
      <c r="CP419" s="72">
        <f>IF(ISERROR(CO419/CG419),"NA",IF(OR(CO419/CG419&gt;2,CO419/CG419&lt;0.5),"NM",CO419/CG419*100-100))</f>
        <v>7.933362112946881</v>
      </c>
      <c r="CQ419" s="105">
        <f>CQ412/CQ406*100</f>
        <v>34.876543209876544</v>
      </c>
      <c r="CR419" s="72">
        <f>IF(ISERROR(CQ419/CI419),"NA",IF(OR(CQ419/CI419&gt;2,CQ419/CI419&lt;0.5),"NM",CQ419/CI419*100-100))</f>
        <v>23.831321958662798</v>
      </c>
      <c r="CS419" s="105">
        <f>CS412/CS406*100</f>
        <v>33.437013996889583</v>
      </c>
      <c r="CT419" s="72">
        <f>IF(ISERROR(CS419/CK419),"NA",IF(OR(CS419/CK419&gt;2,CS419/CK419&lt;0.5),"NM",CS419/CK419*100-100))</f>
        <v>13.546526697770872</v>
      </c>
      <c r="CU419" s="105">
        <f>CU412/CU406*100</f>
        <v>33.439490445859867</v>
      </c>
      <c r="CV419" s="72">
        <f>IF(ISERROR(CU419/CM419),"NA",IF(OR(CU419/CM419&gt;2,CU419/CM419&lt;0.5),"NM",CU419/CM419*100-100))</f>
        <v>39.837869137232161</v>
      </c>
      <c r="CW419" s="105">
        <f>CW412/CW406*100</f>
        <v>32.20338983050847</v>
      </c>
      <c r="CX419" s="72">
        <f>IF(ISERROR(CW419/CO419),"NA",IF(OR(CW419/CO419&gt;2,CW419/CO419&lt;0.5),"NM",CW419/CO419*100-100))</f>
        <v>2.4501624659699672</v>
      </c>
      <c r="CY419" s="105">
        <f>CY412/CY406*100</f>
        <v>31.81169757489301</v>
      </c>
      <c r="CZ419" s="72">
        <f>IF(ISERROR(CY419/CQ419),"NA",IF(OR(CY419/CQ419&gt;2,CY419/CQ419&lt;0.5),"NM",CY419/CQ419*100-100))</f>
        <v>-8.7876989888023473</v>
      </c>
      <c r="DA419" s="105">
        <f>DA412/DA406*100</f>
        <v>31.510791366906478</v>
      </c>
      <c r="DB419" s="72">
        <f>IF(ISERROR(DA419/CS419),"NA",IF(OR(DA419/CS419&gt;2,DA419/CS419&lt;0.5),"NM",DA419/CS419*100-100))</f>
        <v>-5.7607495399029602</v>
      </c>
      <c r="DC419" s="105">
        <f>DC412/DC406*100</f>
        <v>28.695652173913043</v>
      </c>
      <c r="DD419" s="72">
        <f>IF(ISERROR(DC419/CU419),"NA",IF(OR(DC419/CU419&gt;2,DC419/CU419&lt;0.5),"NM",DC419/CU419*100-100))</f>
        <v>-14.186335403726687</v>
      </c>
      <c r="DE419" s="105">
        <f>DE412/DE406*100</f>
        <v>26.292466765140325</v>
      </c>
      <c r="DF419" s="72">
        <f>IF(ISERROR(DE419/CW419),"NA",IF(OR(DE419/CW419&gt;2,DE419/CW419&lt;0.5),"NM",DE419/CW419*100-100))</f>
        <v>-18.35497162403793</v>
      </c>
      <c r="DG419" s="105">
        <f>DG412/DG406*100</f>
        <v>26.725403817914835</v>
      </c>
      <c r="DH419" s="72">
        <f>IF(ISERROR(DG419/CY419),"NA",IF(OR(DG419/CY419&gt;2,DG419/CY419&lt;0.5),"NM",DG419/CY419*100-100))</f>
        <v>-15.988753020814812</v>
      </c>
      <c r="DI419" s="105">
        <f>DI412/DI406*100</f>
        <v>28.348909657320871</v>
      </c>
      <c r="DJ419" s="72">
        <f>IF(ISERROR(DI419/DA419),"NA",IF(OR(DI419/DA419&gt;2,DI419/DA419&lt;0.5),"NM",DI419/DA419*100-100))</f>
        <v>-10.034282137726009</v>
      </c>
      <c r="DK419" s="105">
        <f>DK412/DK406*100</f>
        <v>27.411944869831544</v>
      </c>
      <c r="DL419" s="72">
        <f>IF(ISERROR(DK419/DC419),"NA",IF(OR(DK419/DC419&gt;2,DK419/DC419&lt;0.5),"NM",DK419/DC419*100-100))</f>
        <v>-4.4735254536173414</v>
      </c>
      <c r="DM419" s="105">
        <f>DM412/DM406*100</f>
        <v>27.116212338593975</v>
      </c>
      <c r="DN419" s="72">
        <f t="shared" si="2261"/>
        <v>3.133009849596192</v>
      </c>
      <c r="DO419" s="105">
        <f>DO412/DO406*100</f>
        <v>28.062678062678064</v>
      </c>
      <c r="DP419" s="72">
        <f t="shared" si="2261"/>
        <v>5.0037569268338302</v>
      </c>
      <c r="DQ419" s="105">
        <f>DQ412/DQ406*100</f>
        <v>26.717557251908396</v>
      </c>
      <c r="DR419" s="72">
        <f t="shared" si="2261"/>
        <v>-5.7545507927187316</v>
      </c>
      <c r="DS419" s="105">
        <f>DS412/DS406*100</f>
        <v>25.413533834586467</v>
      </c>
      <c r="DT419" s="72">
        <f t="shared" si="2261"/>
        <v>-7.2902927710337195</v>
      </c>
      <c r="DU419" s="105">
        <f>DU412/DU406*100</f>
        <v>26.506024096385545</v>
      </c>
      <c r="DV419" s="72">
        <f t="shared" si="2261"/>
        <v>-2.2502709249697119</v>
      </c>
      <c r="DW419" s="105">
        <f>DW412/DW406*100</f>
        <v>25.502318392581142</v>
      </c>
      <c r="DX419" s="72">
        <f t="shared" si="2261"/>
        <v>-9.1237182152692355</v>
      </c>
      <c r="DY419" s="105">
        <f>DY412/DY406*100</f>
        <v>26.349206349206352</v>
      </c>
      <c r="DZ419" s="72">
        <f t="shared" si="2261"/>
        <v>-1.3786848072562208</v>
      </c>
      <c r="EA419" s="105">
        <f>EA412/EA406*100</f>
        <v>25.609756097560975</v>
      </c>
      <c r="EB419" s="727">
        <f>IF(ISERROR(EA419/DS419),"NA",IF(OR(EA419/DS419&gt;2,EA419/DS419&lt;0.5),"NM",EA419/DS419*100-100))</f>
        <v>0.77211718862750445</v>
      </c>
      <c r="EC419" s="105">
        <f>EC412/EC406*100</f>
        <v>24.133148404993065</v>
      </c>
      <c r="ED419" s="727">
        <f>IF(ISERROR(EC419/DU419),"NA",IF(OR(EC419/DU419&gt;2,EC419/DU419&lt;0.5),"NM",EC419/DU419*100-100))</f>
        <v>-8.9522128357079964</v>
      </c>
      <c r="EE419" s="105">
        <f>EE412/EE406*100</f>
        <v>24.162011173184357</v>
      </c>
      <c r="EF419" s="727">
        <f>IF(ISERROR(EE419/DW419),"NA",IF(OR(EE419/DW419&gt;2,EE419/DW419&lt;0.5),"NM",EE419/DW419*100-100))</f>
        <v>-5.2556289148467954</v>
      </c>
      <c r="EG419" s="105">
        <f>EG412/EG406*100</f>
        <v>23.949579831932773</v>
      </c>
      <c r="EH419" s="72">
        <f>IF(ISERROR(EG419/DY419),"NA",IF(OR(EG419/DY419&gt;2,EG419/DY419&lt;0.5),"NM",EG419/DY419*100-100))</f>
        <v>-9.1070163004961131</v>
      </c>
      <c r="EI419" s="105">
        <f>EI412/EI406*100</f>
        <v>23.563218390804597</v>
      </c>
      <c r="EJ419" s="72">
        <f>IF(ISERROR(EI419/EA419),"NA",IF(OR(EI419/EA419&gt;2,EI419/EA419&lt;0.5),"NM",EI419/EA419*100-100))</f>
        <v>-7.9912424740010977</v>
      </c>
      <c r="EK419" s="105">
        <f>EK412/EK406*100</f>
        <v>22.311827956989248</v>
      </c>
      <c r="EL419" s="72">
        <f>IF(ISERROR(EK419/EC419),"NA",IF(OR(EK419/EC419&gt;2,EK419/EC419&lt;0.5),"NM",EK419/EC419*100-100))</f>
        <v>-7.5469657644296149</v>
      </c>
      <c r="EM419" s="105">
        <f>EM412/EM406*100</f>
        <v>22.493224932249323</v>
      </c>
      <c r="EN419" s="72">
        <f>IF(ISERROR(EM419/EE419),"NA",IF(OR(EM419/EE419&gt;2,EM419/EE419&lt;0.5),"NM",EM419/EE419*100-100))</f>
        <v>-6.9066528815577186</v>
      </c>
      <c r="EO419" s="105">
        <f>EO412/EO406*100</f>
        <v>22.602739726027394</v>
      </c>
      <c r="EP419" s="72">
        <f>IF(ISERROR(EO419/EG419),"NA",IF(OR(EO419/EG419&gt;2,EO419/EG419&lt;0.5),"NM",EO419/EG419*100-100))</f>
        <v>-5.623648161499645</v>
      </c>
      <c r="EQ419" s="104">
        <f>EK419</f>
        <v>22.311827956989248</v>
      </c>
      <c r="ER419" s="72">
        <f t="shared" si="2262"/>
        <v>-5.3107789142407427</v>
      </c>
      <c r="ES419" s="104">
        <v>22.8</v>
      </c>
      <c r="ET419" s="72">
        <f t="shared" si="2263"/>
        <v>2.1879518072288988</v>
      </c>
      <c r="EU419" s="104">
        <v>22.8</v>
      </c>
      <c r="EV419" s="72">
        <f t="shared" si="2264"/>
        <v>1.3638554216867504</v>
      </c>
      <c r="EW419" s="104">
        <v>22.8</v>
      </c>
      <c r="EX419" s="72">
        <f t="shared" si="2265"/>
        <v>0.87272727272728901</v>
      </c>
      <c r="EY419" s="72"/>
      <c r="EZ419" s="327"/>
      <c r="FA419" s="72"/>
      <c r="FB419" s="106"/>
      <c r="FC419" s="72"/>
      <c r="FD419" s="106"/>
      <c r="FE419" s="72" t="str">
        <f>IF(ISERROR(FD419/FB419),"NA",IF(OR(FD419/FB419&gt;2,FD419/FB419&lt;0.5),"NM",FD419/FB419*100-100))</f>
        <v>NA</v>
      </c>
      <c r="FF419" s="106"/>
      <c r="FG419" s="72" t="str">
        <f>IF(ISERROR(FF419/FD419),"NA",IF(OR(FF419/FD419&gt;2,FF419/FD419&lt;0.5),"NM",FF419/FD419*100-100))</f>
        <v>NA</v>
      </c>
      <c r="FH419" s="106">
        <f>FH412/FH406*100</f>
        <v>21.474358974358974</v>
      </c>
      <c r="FI419" s="72" t="str">
        <f>IF(ISERROR(FH419/FF419),"NA",IF(OR(FH419/FF419&gt;2,FH419/FF419&lt;0.5),"NM",FH419/FF419*100-100))</f>
        <v>NA</v>
      </c>
      <c r="FJ419" s="106">
        <f>FJ412/FJ406*100</f>
        <v>17.8</v>
      </c>
      <c r="FK419" s="72">
        <f>IF(ISERROR(FJ419/FH419),"NA",IF(OR(FJ419/FH419&gt;2,FJ419/FH419&lt;0.5),"NM",FJ419/FH419*100-100))</f>
        <v>-17.110447761194024</v>
      </c>
      <c r="FL419" s="105">
        <f>FL412/FL406*100</f>
        <v>17.328519855595665</v>
      </c>
      <c r="FM419" s="72">
        <f>IF(ISERROR(FL419/FJ419),"NA",IF(OR(FL419/FJ419&gt;2,FL419/FJ419&lt;0.5),"NM",FL419/FJ419*100-100))</f>
        <v>-2.6487648562041386</v>
      </c>
      <c r="FN419" s="105">
        <f>FN412/FN406*100</f>
        <v>16.833333333333332</v>
      </c>
      <c r="FO419" s="72">
        <f>IF(ISERROR(FN419/FL419),"NA",IF(OR(FN419/FL419&gt;2,FN419/FL419&lt;0.5),"NM",FN419/FL419*100-100))</f>
        <v>-2.8576388888888857</v>
      </c>
      <c r="FP419" s="105">
        <f>FP412/FP406*100</f>
        <v>15.532544378698224</v>
      </c>
      <c r="FQ419" s="72">
        <f>IF(ISERROR(FP419/FN419),"NA",IF(OR(FP419/FN419&gt;2,FP419/FN419&lt;0.5),"NM",FP419/FN419*100-100))</f>
        <v>-7.7274591364461855</v>
      </c>
      <c r="FR419" s="105">
        <f>FR412/FR406*100</f>
        <v>20.027624309392262</v>
      </c>
      <c r="FS419" s="72">
        <f>IF(ISERROR(FR419/FP419),"NA",IF(OR(FR419/FP419&gt;2,FR419/FP419&lt;0.5),"NM",FR419/FP419*100-100))</f>
        <v>28.939752696658758</v>
      </c>
      <c r="FT419" s="105">
        <f>FT412/FT406*100</f>
        <v>23.856613102595798</v>
      </c>
      <c r="FU419" s="72">
        <f>IF(ISERROR(FT419/FR419),"NA",IF(OR(FT419/FR419&gt;2,FT419/FR419&lt;0.5),"NM",FT419/FR419*100-100))</f>
        <v>19.118537146754193</v>
      </c>
      <c r="FV419" s="105">
        <f>FV412/FV406*100</f>
        <v>24.726911618669316</v>
      </c>
      <c r="FW419" s="72">
        <f>IF(ISERROR(FV419/FT419),"NA",IF(OR(FV419/FT419&gt;2,FV419/FT419&lt;0.5),"NM",FV419/FT419*100-100))</f>
        <v>3.648038857530949</v>
      </c>
      <c r="FX419" s="105">
        <f>FX412/FX406*100</f>
        <v>26.654578422484132</v>
      </c>
      <c r="FY419" s="72">
        <f>IF(ISERROR(FX419/FV419),"NA",IF(OR(FX419/FV419&gt;2,FX419/FV419&lt;0.5),"NM",FX419/FV419*100-100))</f>
        <v>7.7958251865121184</v>
      </c>
      <c r="FZ419" s="105">
        <f>FZ412/FZ406*100</f>
        <v>28.771640560593571</v>
      </c>
      <c r="GA419" s="72">
        <f>IF(ISERROR(FZ419/FX419),"NA",IF(OR(FZ419/FX419&gt;2,FZ419/FX419&lt;0.5),"NM",FZ419/FX419*100-100))</f>
        <v>7.9425834637235226</v>
      </c>
      <c r="GB419" s="105">
        <f>GB412/GB406*100</f>
        <v>31.608451918930573</v>
      </c>
      <c r="GC419" s="72">
        <f>IF(ISERROR(GB419/FZ419),"NA",IF(OR(GB419/FZ419&gt;2,GB419/FZ419&lt;0.5),"NM",GB419/FZ419*100-100))</f>
        <v>9.8597483600652964</v>
      </c>
      <c r="GD419" s="105">
        <f>GD412/GD406*100</f>
        <v>32.210998877665546</v>
      </c>
      <c r="GE419" s="72">
        <f>IF(ISERROR(GD419/GB419),"NA",IF(OR(GD419/GB419&gt;2,GD419/GB419&lt;0.5),"NM",GD419/GB419*100-100))</f>
        <v>1.9062843073757136</v>
      </c>
      <c r="GF419" s="105">
        <f>GF412/GF406*100</f>
        <v>27.509293680297397</v>
      </c>
      <c r="GG419" s="72">
        <f>IF(ISERROR(GF419/GD419),"NA",IF(OR(GF419/GD419&gt;2,GF419/GD419&lt;0.5),"NM",GF419/GD419*100-100))</f>
        <v>-14.596583034338053</v>
      </c>
      <c r="GH419" s="105">
        <f>GH412/GH406*100</f>
        <v>27.336534909493903</v>
      </c>
      <c r="GI419" s="72">
        <f t="shared" si="2266"/>
        <v>-0.62800147765054248</v>
      </c>
      <c r="GJ419" s="105">
        <f>GJ412/GJ406*100</f>
        <v>25.940138142747504</v>
      </c>
      <c r="GK419" s="72">
        <f t="shared" si="2266"/>
        <v>-5.1081703345709428</v>
      </c>
      <c r="GL419" s="105">
        <f>GL412/GL406*100</f>
        <v>24.438902743142144</v>
      </c>
      <c r="GM419" s="72">
        <f t="shared" si="2266"/>
        <v>-5.7873068807271721</v>
      </c>
      <c r="GN419" s="105">
        <f>GN412/GN406*100</f>
        <v>22.730398899587346</v>
      </c>
      <c r="GO419" s="72">
        <f t="shared" si="2266"/>
        <v>-6.9909187884232011</v>
      </c>
      <c r="GP419" s="105">
        <f>GP412/GP406*100</f>
        <v>22.67795698924731</v>
      </c>
      <c r="GQ419" s="72">
        <f t="shared" si="2266"/>
        <v>-0.23071267060336709</v>
      </c>
      <c r="GR419" s="104">
        <f>GP419+0.25</f>
        <v>22.92795698924731</v>
      </c>
      <c r="GS419" s="72">
        <f t="shared" si="2266"/>
        <v>1.1023920722600167</v>
      </c>
      <c r="GT419" s="104">
        <f>GR419+0.5</f>
        <v>23.42795698924731</v>
      </c>
      <c r="GU419" s="72">
        <f t="shared" si="2266"/>
        <v>2.1807437977770405</v>
      </c>
      <c r="GV419" s="104">
        <f>GT419+0.5</f>
        <v>23.92795698924731</v>
      </c>
      <c r="GW419" s="72">
        <f>IF(ISERROR(GV419/GT419),"NA",IF(OR(GV419/GT419&gt;2,GV419/GT419&lt;0.5),"NM",GV419/GT419*100-100))</f>
        <v>2.1342023131999213</v>
      </c>
      <c r="GX419" s="104">
        <f>GV419+0.5</f>
        <v>24.42795698924731</v>
      </c>
      <c r="GY419" s="72">
        <f>IF(ISERROR(GX419/GV419),"NA",IF(OR(GX419/GV419&gt;2,GX419/GV419&lt;0.5),"NM",GX419/GV419*100-100))</f>
        <v>2.0896058958342678</v>
      </c>
      <c r="GZ419" s="72">
        <f>IF(ISERROR(((GX419/GN419)^0.2-1)*100),"NA",IF((((GX419/GN419)^0.2-1)*100)&gt;100,"NM",IF((((GX419/GN419)^0.2-1)*100)&lt;-50,"NM",((GX419/GN419)^0.2-1)*100)))</f>
        <v>1.4509265681633021</v>
      </c>
      <c r="HA419" s="72"/>
      <c r="HB419" s="72"/>
      <c r="HC419"/>
      <c r="HD419"/>
      <c r="HE419"/>
      <c r="HF419"/>
      <c r="HG419"/>
      <c r="HH419"/>
      <c r="HI419" s="2"/>
    </row>
    <row r="420" spans="1:217" s="3" customFormat="1" ht="12.75" customHeight="1" x14ac:dyDescent="0.2">
      <c r="B420" s="76" t="s">
        <v>428</v>
      </c>
      <c r="C420" s="105"/>
      <c r="D420" s="72"/>
      <c r="E420" s="105"/>
      <c r="F420" s="72"/>
      <c r="G420" s="105"/>
      <c r="H420" s="72"/>
      <c r="I420" s="105"/>
      <c r="J420" s="72"/>
      <c r="K420" s="105"/>
      <c r="L420" s="72" t="str">
        <f>IF(ISERROR(K420/C420),"NA",IF(OR(K420/C420&gt;2,K420/C420&lt;0.5),"NM",K420/C420*100-100))</f>
        <v>NA</v>
      </c>
      <c r="M420" s="105">
        <f>M414/M408*100</f>
        <v>23.905109489051096</v>
      </c>
      <c r="N420" s="72" t="str">
        <f>IF(ISERROR(M420/E420),"NA",IF(OR(M420/E420&gt;2,M420/E420&lt;0.5),"NM",M420/E420*100-100))</f>
        <v>NA</v>
      </c>
      <c r="O420" s="105">
        <f>O414/O408*100</f>
        <v>22.589167767503302</v>
      </c>
      <c r="P420" s="72" t="str">
        <f>IF(ISERROR(O420/G420),"NA",IF(OR(O420/G420&gt;2,O420/G420&lt;0.5),"NM",O420/G420*100-100))</f>
        <v>NA</v>
      </c>
      <c r="Q420" s="105">
        <f>Q414/Q408*100</f>
        <v>24.549237170596395</v>
      </c>
      <c r="R420" s="72" t="str">
        <f>IF(ISERROR(Q420/I420),"NA",IF(OR(Q420/I420&gt;2,Q420/I420&lt;0.5),"NM",Q420/I420*100-100))</f>
        <v>NA</v>
      </c>
      <c r="S420" s="105">
        <f>S414/S408*100</f>
        <v>22.693997071742313</v>
      </c>
      <c r="T420" s="72" t="str">
        <f>IF(ISERROR(S420/K420),"NA",IF(OR(S420/K420&gt;2,S420/K420&lt;0.5),"NM",S420/K420*100-100))</f>
        <v>NA</v>
      </c>
      <c r="U420" s="105">
        <f>U414/U408*100</f>
        <v>25.768667642752561</v>
      </c>
      <c r="V420" s="72">
        <f>IF(ISERROR(U420/M420),"NA",IF(OR(U420/M420&gt;2,U420/M420&lt;0.5),"NM",U420/M420*100-100))</f>
        <v>7.7956478490717842</v>
      </c>
      <c r="W420" s="105">
        <f>W414/W408*100</f>
        <v>24.210526315789473</v>
      </c>
      <c r="X420" s="72">
        <f>IF(ISERROR(W420/O420),"NA",IF(OR(W420/O420&gt;2,W420/O420&lt;0.5),"NM",W420/O420*100-100))</f>
        <v>7.177593105570935</v>
      </c>
      <c r="Y420" s="105">
        <f>Y414/Y408*100</f>
        <v>22.171945701357465</v>
      </c>
      <c r="Z420" s="72">
        <f>IF(ISERROR(Y420/Q420),"NA",IF(OR(Y420/Q420&gt;2,Y420/Q420&lt;0.5),"NM",Y420/Q420*100-100))</f>
        <v>-9.6837692052049107</v>
      </c>
      <c r="AA420" s="105">
        <f>AA414/AA408*100</f>
        <v>26.576576576576578</v>
      </c>
      <c r="AB420" s="72">
        <f>IF(ISERROR(AA420/S420),"NA",IF(OR(AA420/S420&gt;2,AA420/S420&lt;0.5),"NM",AA420/S420*100-100))</f>
        <v>17.108398721301967</v>
      </c>
      <c r="AC420" s="105">
        <f>AC414/AC408*100</f>
        <v>29.046242774566473</v>
      </c>
      <c r="AD420" s="72">
        <f>IF(ISERROR(AC420/U420),"NA",IF(OR(AC420/U420&gt;2,AC420/U420&lt;0.5),"NM",AC420/U420*100-100))</f>
        <v>12.719226221755122</v>
      </c>
      <c r="AE420" s="105">
        <f>AE414/AE408*100</f>
        <v>23.916292974588938</v>
      </c>
      <c r="AF420" s="72">
        <f>IF(ISERROR(AE420/W420),"NA",IF(OR(AE420/W420&gt;2,AE420/W420&lt;0.5),"NM",AE420/W420*100-100))</f>
        <v>-1.2153116266978543</v>
      </c>
      <c r="AG420" s="105">
        <f>AG414/AG408*100</f>
        <v>25.396825396825395</v>
      </c>
      <c r="AH420" s="72">
        <f>IF(ISERROR(AG420/Y420),"NA",IF(OR(AG420/Y420&gt;2,AG420/Y420&lt;0.5),"NM",AG420/Y420*100-100))</f>
        <v>14.544865565273724</v>
      </c>
      <c r="AI420" s="105">
        <f>AI414/AI408*100</f>
        <v>23.803009575923394</v>
      </c>
      <c r="AJ420" s="72">
        <f>IF(ISERROR(AI420/AA420),"NA",IF(OR(AI420/AA420&gt;2,AI420/AA420&lt;0.5),"NM",AI420/AA420*100-100))</f>
        <v>-10.436133460084861</v>
      </c>
      <c r="AK420" s="105">
        <f>AK414/AK408*100</f>
        <v>21.766169154228855</v>
      </c>
      <c r="AL420" s="72">
        <f>IF(ISERROR(AK420/AC420),"NA",IF(OR(AK420/AC420&gt;2,AK420/AC420&lt;0.5),"NM",AK420/AC420*100-100))</f>
        <v>-25.063736046137478</v>
      </c>
      <c r="AM420" s="105">
        <f>AM414/AM408*100</f>
        <v>24.147727272727273</v>
      </c>
      <c r="AN420" s="72">
        <f>IF(ISERROR(AM420/AE420),"NA",IF(OR(AM420/AE420&gt;2,AM420/AE420&lt;0.5),"NM",AM420/AE420*100-100))</f>
        <v>0.96768465909092072</v>
      </c>
      <c r="AO420" s="105">
        <f>AO414/AO408*100</f>
        <v>25.894134477825464</v>
      </c>
      <c r="AP420" s="72">
        <f>IF(ISERROR(AO420/AG420),"NA",IF(OR(AO420/AG420&gt;2,AO420/AG420&lt;0.5),"NM",AO420/AG420*100-100))</f>
        <v>1.958154506437765</v>
      </c>
      <c r="AQ420" s="105">
        <f>AQ414/AQ408*100</f>
        <v>23.886639676113361</v>
      </c>
      <c r="AR420" s="72">
        <f>IF(ISERROR(AQ420/AI420),"NA",IF(OR(AQ420/AI420&gt;2,AQ420/AI420&lt;0.5),"NM",AQ420/AI420*100-100))</f>
        <v>0.35134254734981596</v>
      </c>
      <c r="AS420" s="105">
        <f>AS414/AS408*100</f>
        <v>23.258706467661693</v>
      </c>
      <c r="AT420" s="72">
        <f>IF(ISERROR(AS420/AK420),"NA",IF(OR(AS420/AK420&gt;2,AS420/AK420&lt;0.5),"NM",AS420/AK420*100-100))</f>
        <v>6.8571428571428754</v>
      </c>
      <c r="AU420" s="105">
        <f>AU414/AU408*100</f>
        <v>19.716646989374262</v>
      </c>
      <c r="AV420" s="72">
        <f>IF(ISERROR(AU420/AM420),"NA",IF(OR(AU420/AM420&gt;2,AU420/AM420&lt;0.5),"NM",AU420/AM420*100-100))</f>
        <v>-18.349885408708943</v>
      </c>
      <c r="AW420" s="105">
        <f>AW414/AW408*100</f>
        <v>26.907073509015255</v>
      </c>
      <c r="AX420" s="72">
        <f>IF(ISERROR(AW420/AO420),"NA",IF(OR(AW420/AO420&gt;2,AW420/AO420&lt;0.5),"NM",AW420/AO420*100-100))</f>
        <v>3.9118474187937409</v>
      </c>
      <c r="AY420" s="105">
        <f>AY414/AY408*100</f>
        <v>24.21340629274966</v>
      </c>
      <c r="AZ420" s="72">
        <f>IF(ISERROR(AY420/AQ420),"NA",IF(OR(AY420/AQ420&gt;2,AY420/AQ420&lt;0.5),"NM",AY420/AQ420*100-100))</f>
        <v>1.3679890560875521</v>
      </c>
      <c r="BA420" s="105">
        <f>BA414/BA408*100</f>
        <v>26.865671641791046</v>
      </c>
      <c r="BB420" s="72">
        <f>IF(ISERROR(BA420/AS420),"NA",IF(OR(BA420/AS420&gt;2,BA420/AS420&lt;0.5),"NM",BA420/AS420*100-100))</f>
        <v>15.508021390374324</v>
      </c>
      <c r="BC420" s="105">
        <f>BC414/BC408*100</f>
        <v>26.732673267326735</v>
      </c>
      <c r="BD420" s="72">
        <f>IF(ISERROR(BC420/AU420),"NA",IF(OR(BC420/AU420&gt;2,BC420/AU420&lt;0.5),"NM",BC420/AU420*100-100))</f>
        <v>35.584276990573329</v>
      </c>
      <c r="BE420" s="105">
        <f>BE414/BE408*100</f>
        <v>26.035502958579883</v>
      </c>
      <c r="BF420" s="72">
        <f>IF(ISERROR(BE420/AW420),"NA",IF(OR(BE420/AW420&gt;2,BE420/AW420&lt;0.5),"NM",BE420/AW420*100-100))</f>
        <v>-3.2391874580613518</v>
      </c>
      <c r="BG420" s="105">
        <f>BG414/BG408*100</f>
        <v>24.927953890489913</v>
      </c>
      <c r="BH420" s="72">
        <f>IF(ISERROR(BG420/AY420),"NA",IF(OR(BG420/AY420&gt;2,BG420/AY420&lt;0.5),"NM",BG420/AY420*100-100))</f>
        <v>2.9510412087464744</v>
      </c>
      <c r="BI420" s="105">
        <f>BI414/BI408*100</f>
        <v>22.891566265060241</v>
      </c>
      <c r="BJ420" s="72">
        <f>IF(ISERROR(BI420/BA420),"NA",IF(OR(BI420/BA420&gt;2,BI420/BA420&lt;0.5),"NM",BI420/BA420*100-100))</f>
        <v>-14.792503346720224</v>
      </c>
      <c r="BK420" s="105">
        <f>BK414/BK408*100</f>
        <v>23.994252873563219</v>
      </c>
      <c r="BL420" s="72">
        <f>IF(ISERROR(BK420/BC420),"NA",IF(OR(BK420/BC420&gt;2,BK420/BC420&lt;0.5),"NM",BK420/BC420*100-100))</f>
        <v>-10.243720732226478</v>
      </c>
      <c r="BM420" s="105">
        <f>BM414/BM408*100</f>
        <v>26.874115983026876</v>
      </c>
      <c r="BN420" s="72">
        <f>IF(ISERROR(BM420/BE420),"NA",IF(OR(BM420/BE420&gt;2,BM420/BE420&lt;0.5),"NM",BM420/BE420*100-100))</f>
        <v>3.2210363893532303</v>
      </c>
      <c r="BO420" s="105">
        <f>BO414/BO408*100</f>
        <v>25</v>
      </c>
      <c r="BP420" s="72">
        <f>IF(ISERROR(BO420/BG420),"NA",IF(OR(BO420/BG420&gt;2,BO420/BG420&lt;0.5),"NM",BO420/BG420*100-100))</f>
        <v>0.28901734104044863</v>
      </c>
      <c r="BQ420" s="105">
        <f>BQ414/BQ408*100</f>
        <v>26.071428571428573</v>
      </c>
      <c r="BR420" s="72">
        <f>IF(ISERROR(BQ420/BI420),"NA",IF(OR(BQ420/BI420&gt;2,BQ420/BI420&lt;0.5),"NM",BQ420/BI420*100-100))</f>
        <v>13.890977443609032</v>
      </c>
      <c r="BS420" s="105">
        <f>BS414/BS408*100</f>
        <v>25.261780104712038</v>
      </c>
      <c r="BT420" s="72">
        <f>IF(ISERROR(BS420/BK420),"NA",IF(OR(BS420/BK420&gt;2,BS420/BK420&lt;0.5),"NM",BS420/BK420*100-100))</f>
        <v>5.2826284603567473</v>
      </c>
      <c r="BU420" s="105">
        <f>BU414/BU408*100</f>
        <v>26.510480887792848</v>
      </c>
      <c r="BV420" s="72">
        <f>IF(ISERROR(BU420/BM420),"NA",IF(OR(BU420/BM420&gt;2,BU420/BM420&lt;0.5),"NM",BU420/BM420*100-100))</f>
        <v>-1.3531053280550367</v>
      </c>
      <c r="BW420" s="105">
        <f>BW414/BW408*100</f>
        <v>28.509719222462206</v>
      </c>
      <c r="BX420" s="72">
        <f>IF(ISERROR(BW420/BO420),"NA",IF(OR(BW420/BO420&gt;2,BW420/BO420&lt;0.5),"NM",BW420/BO420*100-100))</f>
        <v>14.038876889848822</v>
      </c>
      <c r="BY420" s="105">
        <f>BY414/BY408*100</f>
        <v>25.463414634146343</v>
      </c>
      <c r="BZ420" s="72">
        <f>IF(ISERROR(BY420/BQ420),"NA",IF(OR(BY420/BQ420&gt;2,BY420/BQ420&lt;0.5),"NM",BY420/BQ420*100-100))</f>
        <v>-2.3321082525893644</v>
      </c>
      <c r="CA420" s="105">
        <f>CA414/CA408*100</f>
        <v>23.913043478260871</v>
      </c>
      <c r="CB420" s="72">
        <f>IF(ISERROR(CA420/BS420),"NA",IF(OR(CA420/BS420&gt;2,CA420/BS420&lt;0.5),"NM",CA420/BS420*100-100))</f>
        <v>-5.3390403243973736</v>
      </c>
      <c r="CC420" s="105">
        <f>CC414/CC408*100</f>
        <v>27.787934186471663</v>
      </c>
      <c r="CD420" s="72">
        <f>IF(ISERROR(CC420/BU420),"NA",IF(OR(CC420/BU420&gt;2,CC420/BU420&lt;0.5),"NM",CC420/BU420*100-100))</f>
        <v>4.8186726754814799</v>
      </c>
      <c r="CE420" s="105">
        <f>CE414/CE408*100</f>
        <v>26.774483378256964</v>
      </c>
      <c r="CF420" s="72">
        <f>IF(ISERROR(CE420/BW420),"NA",IF(OR(CE420/BW420&gt;2,CE420/BW420&lt;0.5),"NM",CE420/BW420*100-100))</f>
        <v>-6.0864711808108183</v>
      </c>
      <c r="CG420" s="105">
        <f>CG414/CG408*100</f>
        <v>24.324324324324326</v>
      </c>
      <c r="CH420" s="72">
        <f>IF(ISERROR(CG420/BY420),"NA",IF(OR(CG420/BY420&gt;2,CG420/BY420&lt;0.5),"NM",CG420/BY420*100-100))</f>
        <v>-4.4734389561975689</v>
      </c>
      <c r="CI420" s="105">
        <f>CI414/CI408*100</f>
        <v>26.112026359143325</v>
      </c>
      <c r="CJ420" s="72">
        <f>IF(ISERROR(CI420/CA420),"NA",IF(OR(CI420/CA420&gt;2,CI420/CA420&lt;0.5),"NM",CI420/CA420*100-100))</f>
        <v>9.1957465927811768</v>
      </c>
      <c r="CK420" s="105">
        <f>CK414/CK408*100</f>
        <v>26.007326007326011</v>
      </c>
      <c r="CL420" s="72">
        <f>IF(ISERROR(CK420/CC420),"NA",IF(OR(CK420/CC420&gt;2,CK420/CC420&lt;0.5),"NM",CK420/CC420*100-100))</f>
        <v>-6.4078465394254778</v>
      </c>
      <c r="CM420" s="105">
        <f>CM414/CM408*100</f>
        <v>24.100719424460433</v>
      </c>
      <c r="CN420" s="72">
        <f>IF(ISERROR(CM420/CE420),"NA",IF(OR(CM420/CE420&gt;2,CM420/CE420&lt;0.5),"NM",CM420/CE420*100-100))</f>
        <v>-9.9862391965622095</v>
      </c>
      <c r="CO420" s="105">
        <f>CO414/CO408*100</f>
        <v>30.476804123711343</v>
      </c>
      <c r="CP420" s="72">
        <f>IF(ISERROR(CO420/CG420),"NA",IF(OR(CO420/CG420&gt;2,CO420/CG420&lt;0.5),"NM",CO420/CG420*100-100))</f>
        <v>25.293528064146614</v>
      </c>
      <c r="CQ420" s="105">
        <f>CQ414/CQ408*100</f>
        <v>31.368696791093647</v>
      </c>
      <c r="CR420" s="72">
        <f>IF(ISERROR(CQ420/CI420),"NA",IF(OR(CQ420/CI420&gt;2,CQ420/CI420&lt;0.5),"NM",CQ420/CI420*100-100))</f>
        <v>20.131223673147304</v>
      </c>
      <c r="CS420" s="105">
        <f>CS414/CS408*100</f>
        <v>32.137083737471713</v>
      </c>
      <c r="CT420" s="72">
        <f>IF(ISERROR(CS420/CK420),"NA",IF(OR(CS420/CK420&gt;2,CS420/CK420&lt;0.5),"NM",CS420/CK420*100-100))</f>
        <v>23.569350145489793</v>
      </c>
      <c r="CU420" s="105">
        <f>CU414/CU408*100</f>
        <v>26.74285714285714</v>
      </c>
      <c r="CV420" s="72">
        <f>IF(ISERROR(CU420/CM420),"NA",IF(OR(CU420/CM420&gt;2,CU420/CM420&lt;0.5),"NM",CU420/CM420*100-100))</f>
        <v>10.962899786780383</v>
      </c>
      <c r="CW420" s="105">
        <f>CW414/CW408*100</f>
        <v>22.710014238253439</v>
      </c>
      <c r="CX420" s="72">
        <f>IF(ISERROR(CW420/CO420),"NA",IF(OR(CW420/CO420&gt;2,CW420/CO420&lt;0.5),"NM",CW420/CO420*100-100))</f>
        <v>-25.484266178077519</v>
      </c>
      <c r="CY420" s="105">
        <f>CY414/CY408*100</f>
        <v>14.517491972283253</v>
      </c>
      <c r="CZ420" s="72" t="str">
        <f>IF(ISERROR(CY420/CQ420),"NA",IF(OR(CY420/CQ420&gt;2,CY420/CQ420&lt;0.5),"NM",CY420/CQ420*100-100))</f>
        <v>NM</v>
      </c>
      <c r="DA420" s="105">
        <f>DA414/DA408*100</f>
        <v>13.116640299151443</v>
      </c>
      <c r="DB420" s="72" t="str">
        <f>IF(ISERROR(DA420/CS420),"NA",IF(OR(DA420/CS420&gt;2,DA420/CS420&lt;0.5),"NM",DA420/CS420*100-100))</f>
        <v>NM</v>
      </c>
      <c r="DC420" s="105">
        <f>DC414/DC408*100</f>
        <v>18.146915792167903</v>
      </c>
      <c r="DD420" s="72">
        <f>IF(ISERROR(DC420/CU420),"NA",IF(OR(DC420/CU420&gt;2,DC420/CU420&lt;0.5),"NM",DC420/CU420*100-100))</f>
        <v>-32.14294308484223</v>
      </c>
      <c r="DE420" s="105">
        <f>DE414/DE408*100</f>
        <v>17.768376520359599</v>
      </c>
      <c r="DF420" s="72">
        <f>IF(ISERROR(DE420/CW420),"NA",IF(OR(DE420/CW420&gt;2,DE420/CW420&lt;0.5),"NM",DE420/CW420*100-100))</f>
        <v>-21.759729721216985</v>
      </c>
      <c r="DG420" s="105">
        <f>DG414/DG408*100</f>
        <v>20.123136746597538</v>
      </c>
      <c r="DH420" s="72">
        <f>IF(ISERROR(DG420/CY420),"NA",IF(OR(DG420/CY420&gt;2,DG420/CY420&lt;0.5),"NM",DG420/CY420*100-100))</f>
        <v>38.613038567657298</v>
      </c>
      <c r="DI420" s="105">
        <f>DI414/DI408*100</f>
        <v>23.860782203085755</v>
      </c>
      <c r="DJ420" s="72">
        <f>IF(ISERROR(DI420/DA420),"NA",IF(OR(DI420/DA420&gt;2,DI420/DA420&lt;0.5),"NM",DI420/DA420*100-100))</f>
        <v>81.912301160148331</v>
      </c>
      <c r="DK420" s="105">
        <f>DK414/DK408*100</f>
        <v>23.497688751926042</v>
      </c>
      <c r="DL420" s="72">
        <f>IF(ISERROR(DK420/DC420),"NA",IF(OR(DK420/DC420&gt;2,DK420/DC420&lt;0.5),"NM",DK420/DC420*100-100))</f>
        <v>29.48585324933012</v>
      </c>
      <c r="DM420" s="105">
        <f>DM414/DM408*100</f>
        <v>21.096623202942162</v>
      </c>
      <c r="DN420" s="72">
        <f t="shared" si="2261"/>
        <v>18.73129308560604</v>
      </c>
      <c r="DO420" s="105">
        <f>DO414/DO408*100</f>
        <v>23.178807947019866</v>
      </c>
      <c r="DP420" s="72">
        <f t="shared" si="2261"/>
        <v>15.184865256849122</v>
      </c>
      <c r="DQ420" s="105">
        <f>DQ414/DQ408*100</f>
        <v>24.538893344025663</v>
      </c>
      <c r="DR420" s="72">
        <f t="shared" si="2261"/>
        <v>2.8419484959391355</v>
      </c>
      <c r="DS420" s="105">
        <f>DS414/DS408*100</f>
        <v>22.605519480519483</v>
      </c>
      <c r="DT420" s="72">
        <f t="shared" si="2261"/>
        <v>-3.7968384074941355</v>
      </c>
      <c r="DU420" s="105">
        <f>DU414/DU408*100</f>
        <v>19.9215965787598</v>
      </c>
      <c r="DV420" s="72">
        <f t="shared" si="2261"/>
        <v>-5.5697379285728204</v>
      </c>
      <c r="DW420" s="105">
        <f>DW414/DW408*100</f>
        <v>21.4</v>
      </c>
      <c r="DX420" s="72">
        <f t="shared" si="2261"/>
        <v>-7.6742857142857162</v>
      </c>
      <c r="DY420" s="105">
        <f>DY414/DY408*100</f>
        <v>23.905862923203962</v>
      </c>
      <c r="DZ420" s="72">
        <f t="shared" si="2261"/>
        <v>-2.579702401191696</v>
      </c>
      <c r="EA420" s="105">
        <f>EA414/EA408*100</f>
        <v>22.816901408450704</v>
      </c>
      <c r="EB420" s="72">
        <f>IF(ISERROR(EA420/DS420),"NA",IF(OR(EA420/DS420&gt;2,EA420/DS420&lt;0.5),"NM",EA420/DS420*100-100))</f>
        <v>0.93508989303865064</v>
      </c>
      <c r="EC420" s="105">
        <f>EC414/EC408*100</f>
        <v>21.189336978810662</v>
      </c>
      <c r="ED420" s="72">
        <f>IF(ISERROR(EC420/DU420),"NA",IF(OR(EC420/DU420&gt;2,EC420/DU420&lt;0.5),"NM",EC420/DU420*100-100))</f>
        <v>6.3636485913107492</v>
      </c>
      <c r="EE420" s="105">
        <f>EE414/EE408*100</f>
        <v>23.46545071904595</v>
      </c>
      <c r="EF420" s="72">
        <f>IF(ISERROR(EE420/DW420),"NA",IF(OR(EE420/DW420&gt;2,EE420/DW420&lt;0.5),"NM",EE420/DW420*100-100))</f>
        <v>9.6516388740464976</v>
      </c>
      <c r="EG420" s="105">
        <f>EG414/EG408*100</f>
        <v>22.781600869250269</v>
      </c>
      <c r="EH420" s="72">
        <f>IF(ISERROR(EG420/DY420),"NA",IF(OR(EG420/DY420&gt;2,EG420/DY420&lt;0.5),"NM",EG420/DY420*100-100))</f>
        <v>-4.702871666106816</v>
      </c>
      <c r="EI420" s="105">
        <f>EI414/EI408*100</f>
        <v>21.702774610414291</v>
      </c>
      <c r="EJ420" s="72">
        <f>IF(ISERROR(EI420/EA420),"NA",IF(OR(EI420/EA420&gt;2,EI420/EA420&lt;0.5),"NM",EI420/EA420*100-100))</f>
        <v>-4.8829013988015646</v>
      </c>
      <c r="EK420" s="105">
        <f>EK414/EK408*100</f>
        <v>21.507226428079836</v>
      </c>
      <c r="EL420" s="72">
        <f>IF(ISERROR(EK420/EC420),"NA",IF(OR(EK420/EC420&gt;2,EK420/EC420&lt;0.5),"NM",EK420/EC420*100-100))</f>
        <v>1.5002331105832241</v>
      </c>
      <c r="EM420" s="105">
        <f>EM414/EM408*100</f>
        <v>20.989450709348851</v>
      </c>
      <c r="EN420" s="72">
        <f>IF(ISERROR(EM420/EE420),"NA",IF(OR(EM420/EE420&gt;2,EM420/EE420&lt;0.5),"NM",EM420/EE420*100-100))</f>
        <v>-10.551683150443097</v>
      </c>
      <c r="EO420" s="105">
        <f>EO414/EO408*100</f>
        <v>21.901140684410649</v>
      </c>
      <c r="EP420" s="72">
        <f>IF(ISERROR(EO420/EG420),"NA",IF(OR(EO420/EG420&gt;2,EO420/EG420&lt;0.5),"NM",EO420/EG420*100-100))</f>
        <v>-3.8647862803532433</v>
      </c>
      <c r="EQ420" s="104">
        <v>21.8</v>
      </c>
      <c r="ER420" s="72">
        <f t="shared" si="2262"/>
        <v>0.44798598949211055</v>
      </c>
      <c r="ES420" s="104">
        <f>EK420</f>
        <v>21.507226428079836</v>
      </c>
      <c r="ET420" s="72">
        <f t="shared" si="2263"/>
        <v>0</v>
      </c>
      <c r="EU420" s="104">
        <f>EM420</f>
        <v>20.989450709348851</v>
      </c>
      <c r="EV420" s="72">
        <f t="shared" si="2264"/>
        <v>0</v>
      </c>
      <c r="EW420" s="104">
        <v>21.6</v>
      </c>
      <c r="EX420" s="72">
        <f t="shared" si="2265"/>
        <v>-1.375</v>
      </c>
      <c r="EY420" s="72"/>
      <c r="EZ420" s="323"/>
      <c r="FA420" s="72"/>
      <c r="FB420" s="106"/>
      <c r="FC420" s="72"/>
      <c r="FD420" s="106"/>
      <c r="FE420" s="72" t="str">
        <f>IF(ISERROR(FD420/FB420),"NA",IF(OR(FD420/FB420&gt;2,FD420/FB420&lt;0.5),"NM",FD420/FB420*100-100))</f>
        <v>NA</v>
      </c>
      <c r="FF420" s="106"/>
      <c r="FG420" s="72" t="str">
        <f>IF(ISERROR(FF420/FD420),"NA",IF(OR(FF420/FD420&gt;2,FF420/FD420&lt;0.5),"NM",FF420/FD420*100-100))</f>
        <v>NA</v>
      </c>
      <c r="FH420" s="106">
        <f>FH414/FH408*100</f>
        <v>22.73374466065496</v>
      </c>
      <c r="FI420" s="72" t="str">
        <f>IF(ISERROR(FH420/FF420),"NA",IF(OR(FH420/FF420&gt;2,FH420/FF420&lt;0.5),"NM",FH420/FF420*100-100))</f>
        <v>NA</v>
      </c>
      <c r="FJ420" s="106">
        <f>FJ414/FJ408*100</f>
        <v>23.719376391982184</v>
      </c>
      <c r="FK420" s="72">
        <f>IF(ISERROR(FJ420/FH420),"NA",IF(OR(FJ420/FH420&gt;2,FJ420/FH420&lt;0.5),"NM",FJ420/FH420*100-100))</f>
        <v>4.3355450060677612</v>
      </c>
      <c r="FL420" s="105">
        <f>FL414/FL408*100</f>
        <v>26.25</v>
      </c>
      <c r="FM420" s="72">
        <f>IF(ISERROR(FL420/FJ420),"NA",IF(OR(FL420/FJ420&gt;2,FL420/FJ420&lt;0.5),"NM",FL420/FJ420*100-100))</f>
        <v>10.66901408450704</v>
      </c>
      <c r="FN420" s="105">
        <f>FN414/FN408*100</f>
        <v>23.82573179033356</v>
      </c>
      <c r="FO420" s="72">
        <f>IF(ISERROR(FN420/FL420),"NA",IF(OR(FN420/FL420&gt;2,FN420/FL420&lt;0.5),"NM",FN420/FL420*100-100))</f>
        <v>-9.2353074653959624</v>
      </c>
      <c r="FP420" s="105">
        <f>FP414/FP408*100</f>
        <v>23.289431416639896</v>
      </c>
      <c r="FQ420" s="72">
        <f>IF(ISERROR(FP420/FN420),"NA",IF(OR(FP420/FN420&gt;2,FP420/FN420&lt;0.5),"NM",FP420/FN420*100-100))</f>
        <v>-2.2509292827314056</v>
      </c>
      <c r="FR420" s="105">
        <f>FR414/FR408*100</f>
        <v>25.955804980708525</v>
      </c>
      <c r="FS420" s="72">
        <f>IF(ISERROR(FR420/FP420),"NA",IF(OR(FR420/FP420&gt;2,FR420/FP420&lt;0.5),"NM",FR420/FP420*100-100))</f>
        <v>11.448856420614689</v>
      </c>
      <c r="FT420" s="105">
        <f>FT414/FT408*100</f>
        <v>24.648382559774966</v>
      </c>
      <c r="FU420" s="72">
        <f>IF(ISERROR(FT420/FR420),"NA",IF(OR(FT420/FR420&gt;2,FT420/FR420&lt;0.5),"NM",FT420/FR420*100-100))</f>
        <v>-5.0371098947048267</v>
      </c>
      <c r="FV420" s="105">
        <f>FV414/FV408*100</f>
        <v>34.569983136593592</v>
      </c>
      <c r="FW420" s="72">
        <f>IF(ISERROR(FV420/FT420),"NA",IF(OR(FV420/FT420&gt;2,FV420/FT420&lt;0.5),"NM",FV420/FT420*100-100))</f>
        <v>40.252542140473849</v>
      </c>
      <c r="FX420" s="105">
        <f>FX414/FX408*100</f>
        <v>26.343697276452154</v>
      </c>
      <c r="FY420" s="72">
        <f>IF(ISERROR(FX420/FV420),"NA",IF(OR(FX420/FV420&gt;2,FX420/FV420&lt;0.5),"NM",FX420/FV420*100-100))</f>
        <v>-23.796036658848166</v>
      </c>
      <c r="FZ420" s="105">
        <f>FZ414/FZ408*100</f>
        <v>25.777777777777779</v>
      </c>
      <c r="GA420" s="72">
        <f>IF(ISERROR(FZ420/FX420),"NA",IF(OR(FZ420/FX420&gt;2,FZ420/FX420&lt;0.5),"NM",FZ420/FX420*100-100))</f>
        <v>-2.1482159194876402</v>
      </c>
      <c r="GB420" s="105">
        <f>GB414/GB408*100</f>
        <v>29.925925925925927</v>
      </c>
      <c r="GC420" s="72">
        <f>IF(ISERROR(GB420/FZ420),"NA",IF(OR(GB420/FZ420&gt;2,GB420/FZ420&lt;0.5),"NM",GB420/FZ420*100-100))</f>
        <v>16.091954022988503</v>
      </c>
      <c r="GD420" s="105">
        <f>GD414/GD408*100</f>
        <v>17.800233190827829</v>
      </c>
      <c r="GE420" s="72">
        <f>IF(ISERROR(GD420/GB420),"NA",IF(OR(GD420/GB420&gt;2,GD420/GB420&lt;0.5),"NM",GD420/GB420*100-100))</f>
        <v>-40.519022753421865</v>
      </c>
      <c r="GF420" s="105">
        <f>GF414/GF408*100</f>
        <v>19.665241114879812</v>
      </c>
      <c r="GG420" s="72">
        <f>IF(ISERROR(GF420/GD420),"NA",IF(OR(GF420/GD420&gt;2,GF420/GD420&lt;0.5),"NM",GF420/GD420*100-100))</f>
        <v>10.47743534625711</v>
      </c>
      <c r="GH420" s="105">
        <f>GH414/GH408*100</f>
        <v>22.992869710158349</v>
      </c>
      <c r="GI420" s="72">
        <f t="shared" si="2266"/>
        <v>16.92137195694319</v>
      </c>
      <c r="GJ420" s="105">
        <f>GJ414/GJ408*100</f>
        <v>21.879905808477236</v>
      </c>
      <c r="GK420" s="72">
        <f t="shared" si="2266"/>
        <v>-4.840474093537793</v>
      </c>
      <c r="GL420" s="105">
        <f>GL414/GL408*100</f>
        <v>22.543772112854938</v>
      </c>
      <c r="GM420" s="72">
        <f t="shared" si="2266"/>
        <v>3.0341369391110078</v>
      </c>
      <c r="GN420" s="105">
        <f>GN414/GN408*100</f>
        <v>21.51887138145841</v>
      </c>
      <c r="GO420" s="72">
        <f t="shared" si="2266"/>
        <v>-4.5462699244200877</v>
      </c>
      <c r="GP420" s="105">
        <f>GP414/GP408*100</f>
        <v>21.471041762166038</v>
      </c>
      <c r="GQ420" s="72">
        <f t="shared" si="2266"/>
        <v>-0.22226825210537982</v>
      </c>
      <c r="GR420" s="104">
        <f>GP420</f>
        <v>21.471041762166038</v>
      </c>
      <c r="GS420" s="72">
        <f t="shared" si="2266"/>
        <v>0</v>
      </c>
      <c r="GT420" s="104">
        <f>GR420</f>
        <v>21.471041762166038</v>
      </c>
      <c r="GU420" s="72">
        <f t="shared" si="2266"/>
        <v>0</v>
      </c>
      <c r="GV420" s="104">
        <f>GT420</f>
        <v>21.471041762166038</v>
      </c>
      <c r="GW420" s="72">
        <f>IF(ISERROR(GV420/GT420),"NA",IF(OR(GV420/GT420&gt;2,GV420/GT420&lt;0.5),"NM",GV420/GT420*100-100))</f>
        <v>0</v>
      </c>
      <c r="GX420" s="104">
        <f>GV420</f>
        <v>21.471041762166038</v>
      </c>
      <c r="GY420" s="72">
        <f>IF(ISERROR(GX420/GV420),"NA",IF(OR(GX420/GV420&gt;2,GX420/GV420&lt;0.5),"NM",GX420/GV420*100-100))</f>
        <v>0</v>
      </c>
      <c r="GZ420" s="72">
        <f>IF(ISERROR(((GX420/GN420)^0.2-1)*100),"NA",IF((((GX420/GN420)^0.2-1)*100)&gt;100,"NM",IF((((GX420/GN420)^0.2-1)*100)&lt;-50,"NM",((GX420/GN420)^0.2-1)*100)))</f>
        <v>-4.4493225751573995E-2</v>
      </c>
      <c r="HA420" s="72"/>
      <c r="HB420" s="72"/>
      <c r="HC420"/>
      <c r="HD420"/>
      <c r="HE420"/>
      <c r="HF420"/>
      <c r="HG420"/>
      <c r="HH420"/>
      <c r="HI420" s="2"/>
    </row>
    <row r="421" spans="1:217" s="3" customFormat="1" ht="12.75" customHeight="1" x14ac:dyDescent="0.2">
      <c r="B421" s="10"/>
      <c r="C421" s="69"/>
      <c r="D421" s="72"/>
      <c r="E421" s="69"/>
      <c r="F421" s="72"/>
      <c r="G421" s="69"/>
      <c r="H421" s="72"/>
      <c r="I421" s="69"/>
      <c r="J421" s="72"/>
      <c r="K421" s="69"/>
      <c r="L421" s="72"/>
      <c r="M421" s="69"/>
      <c r="N421" s="72"/>
      <c r="O421" s="69"/>
      <c r="P421" s="72"/>
      <c r="Q421" s="69"/>
      <c r="R421" s="72"/>
      <c r="S421" s="69"/>
      <c r="T421" s="72"/>
      <c r="U421" s="69"/>
      <c r="V421" s="72"/>
      <c r="W421" s="69"/>
      <c r="X421" s="72"/>
      <c r="Y421" s="69"/>
      <c r="Z421" s="72"/>
      <c r="AA421" s="69"/>
      <c r="AB421" s="72"/>
      <c r="AC421" s="69"/>
      <c r="AD421" s="72"/>
      <c r="AE421" s="69"/>
      <c r="AF421" s="72"/>
      <c r="AG421" s="69"/>
      <c r="AH421" s="72"/>
      <c r="AI421" s="69"/>
      <c r="AJ421" s="72"/>
      <c r="AK421" s="69"/>
      <c r="AL421" s="72"/>
      <c r="AM421" s="69"/>
      <c r="AN421" s="72"/>
      <c r="AO421" s="69"/>
      <c r="AP421" s="72"/>
      <c r="AQ421" s="69"/>
      <c r="AR421" s="72"/>
      <c r="AS421" s="69"/>
      <c r="AT421" s="72"/>
      <c r="AU421" s="69"/>
      <c r="AV421" s="72"/>
      <c r="AW421" s="69"/>
      <c r="AX421" s="72"/>
      <c r="AY421" s="69"/>
      <c r="AZ421" s="72"/>
      <c r="BA421" s="69"/>
      <c r="BB421" s="72"/>
      <c r="BC421" s="69"/>
      <c r="BD421" s="72"/>
      <c r="BE421" s="69"/>
      <c r="BF421" s="72"/>
      <c r="BG421" s="69"/>
      <c r="BH421" s="72"/>
      <c r="BI421" s="69"/>
      <c r="BJ421" s="72"/>
      <c r="BK421" s="69"/>
      <c r="BL421" s="72"/>
      <c r="BM421" s="69"/>
      <c r="BN421" s="72"/>
      <c r="BO421" s="101"/>
      <c r="BP421" s="101"/>
      <c r="BQ421" s="101"/>
      <c r="BR421" s="101"/>
      <c r="BS421" s="101"/>
      <c r="BT421" s="101"/>
      <c r="BU421" s="101"/>
      <c r="BV421" s="101"/>
      <c r="BW421" s="101"/>
      <c r="BX421" s="72"/>
      <c r="BY421" s="101"/>
      <c r="BZ421" s="72"/>
      <c r="CA421" s="101"/>
      <c r="CB421" s="72"/>
      <c r="CC421" s="69"/>
      <c r="CD421" s="72"/>
      <c r="CE421" s="69"/>
      <c r="CF421" s="72"/>
      <c r="CG421" s="69"/>
      <c r="CH421" s="72"/>
      <c r="CI421" s="69"/>
      <c r="CJ421" s="72"/>
      <c r="CK421" s="69"/>
      <c r="CL421" s="72"/>
      <c r="CM421" s="69"/>
      <c r="CN421" s="72"/>
      <c r="CO421" s="69"/>
      <c r="CP421" s="72"/>
      <c r="CQ421" s="69"/>
      <c r="CR421" s="72"/>
      <c r="CS421" s="69"/>
      <c r="CT421" s="72"/>
      <c r="CU421" s="69"/>
      <c r="CV421" s="72"/>
      <c r="CW421" s="69"/>
      <c r="CX421" s="72"/>
      <c r="CY421" s="69"/>
      <c r="CZ421" s="72"/>
      <c r="DA421" s="69"/>
      <c r="DB421" s="72"/>
      <c r="DC421" s="69"/>
      <c r="DD421" s="72"/>
      <c r="DE421" s="69"/>
      <c r="DF421" s="72"/>
      <c r="DG421" s="69"/>
      <c r="DH421" s="72"/>
      <c r="DI421" s="69"/>
      <c r="DJ421" s="72"/>
      <c r="DK421" s="69"/>
      <c r="DL421" s="72"/>
      <c r="DM421" s="69"/>
      <c r="DN421" s="72"/>
      <c r="DO421" s="69"/>
      <c r="DP421" s="72"/>
      <c r="DQ421" s="69"/>
      <c r="DR421" s="72"/>
      <c r="DS421" s="69"/>
      <c r="DT421" s="72"/>
      <c r="DU421" s="69"/>
      <c r="DV421" s="72"/>
      <c r="DX421" s="72"/>
      <c r="DZ421" s="72"/>
      <c r="EB421" s="72"/>
      <c r="ED421" s="72"/>
      <c r="EF421" s="72"/>
      <c r="EH421" s="72"/>
      <c r="EJ421" s="72"/>
      <c r="EL421" s="72"/>
      <c r="EN421" s="72"/>
      <c r="EP421" s="72"/>
      <c r="ER421" s="72"/>
      <c r="ET421" s="72"/>
      <c r="EV421" s="72"/>
      <c r="EX421" s="72"/>
      <c r="EY421" s="72"/>
      <c r="EZ421" s="323"/>
      <c r="FA421" s="72"/>
      <c r="FB421" s="69"/>
      <c r="FC421" s="72"/>
      <c r="FD421" s="69"/>
      <c r="FE421" s="72"/>
      <c r="FF421" s="69"/>
      <c r="FG421" s="72"/>
      <c r="FH421" s="69"/>
      <c r="FI421" s="72"/>
      <c r="FJ421" s="69"/>
      <c r="FK421" s="72"/>
      <c r="FL421" s="69"/>
      <c r="FM421" s="72"/>
      <c r="FN421" s="69"/>
      <c r="FO421" s="72"/>
      <c r="FP421" s="69"/>
      <c r="FQ421" s="72"/>
      <c r="FS421" s="72"/>
      <c r="FU421" s="72"/>
      <c r="FW421" s="72"/>
      <c r="FY421" s="72"/>
      <c r="GA421" s="72"/>
      <c r="GC421" s="72"/>
      <c r="GE421" s="72"/>
      <c r="GG421" s="72"/>
      <c r="GI421" s="72"/>
      <c r="GK421" s="72"/>
      <c r="GM421" s="72"/>
      <c r="GO421" s="72"/>
      <c r="GQ421" s="72"/>
      <c r="GS421" s="72"/>
      <c r="GU421" s="72"/>
      <c r="GW421" s="72"/>
      <c r="GY421" s="72"/>
      <c r="GZ421" s="72"/>
      <c r="HA421" s="72"/>
      <c r="HB421" s="72"/>
      <c r="HC421"/>
      <c r="HD421"/>
      <c r="HE421"/>
      <c r="HF421"/>
      <c r="HG421"/>
      <c r="HH421"/>
      <c r="HI421" s="2"/>
    </row>
    <row r="422" spans="1:217" s="69" customFormat="1" ht="12.75" customHeight="1" x14ac:dyDescent="0.2">
      <c r="A422" s="3" t="s">
        <v>482</v>
      </c>
      <c r="B422" s="70" t="s">
        <v>27</v>
      </c>
      <c r="C422" s="91"/>
      <c r="D422" s="72"/>
      <c r="E422" s="91"/>
      <c r="F422" s="72"/>
      <c r="G422" s="91"/>
      <c r="H422" s="72"/>
      <c r="I422" s="91"/>
      <c r="J422" s="72"/>
      <c r="K422" s="91">
        <f>K408-K416</f>
        <v>81</v>
      </c>
      <c r="L422" s="72" t="str">
        <f>IF(ISERROR(K422/C422),"NA",IF(OR(K422/C422&gt;2,K422/C422&lt;0.5),"NM",K422/C422*100-100))</f>
        <v>NA</v>
      </c>
      <c r="M422" s="91">
        <f>M408-M416</f>
        <v>59</v>
      </c>
      <c r="N422" s="72" t="str">
        <f>IF(ISERROR(M422/E422),"NA",IF(OR(M422/E422&gt;2,M422/E422&lt;0.5),"NM",M422/E422*100-100))</f>
        <v>NA</v>
      </c>
      <c r="O422" s="91">
        <f>O408-O416</f>
        <v>126</v>
      </c>
      <c r="P422" s="72" t="str">
        <f>IF(ISERROR(O422/G422),"NA",IF(OR(O422/G422&gt;2,O422/G422&lt;0.5),"NM",O422/G422*100-100))</f>
        <v>NA</v>
      </c>
      <c r="Q422" s="91">
        <f>Q408-Q416</f>
        <v>77</v>
      </c>
      <c r="R422" s="72" t="str">
        <f>IF(ISERROR(Q422/I422),"NA",IF(OR(Q422/I422&gt;2,Q422/I422&lt;0.5),"NM",Q422/I422*100-100))</f>
        <v>NA</v>
      </c>
      <c r="S422" s="91">
        <f>S408-S416</f>
        <v>104</v>
      </c>
      <c r="T422" s="72">
        <f>IF(ISERROR(S422/K422),"NA",IF(OR(S422/K422&gt;2,S422/K422&lt;0.5),"NM",S422/K422*100-100))</f>
        <v>28.395061728395063</v>
      </c>
      <c r="U422" s="91">
        <f>U408-U416</f>
        <v>101</v>
      </c>
      <c r="V422" s="72">
        <f>IF(ISERROR(U422/M422),"NA",IF(OR(U422/M422&gt;2,U422/M422&lt;0.5),"NM",U422/M422*100-100))</f>
        <v>71.186440677966118</v>
      </c>
      <c r="W422" s="91">
        <f>W408-W416</f>
        <v>102</v>
      </c>
      <c r="X422" s="72">
        <f>IF(ISERROR(W422/O422),"NA",IF(OR(W422/O422&gt;2,W422/O422&lt;0.5),"NM",W422/O422*100-100))</f>
        <v>-19.047619047619051</v>
      </c>
      <c r="Y422" s="91">
        <f>Y408-Y416</f>
        <v>71</v>
      </c>
      <c r="Z422" s="72">
        <f>IF(ISERROR(Y422/Q422),"NA",IF(OR(Y422/Q422&gt;2,Y422/Q422&lt;0.5),"NM",Y422/Q422*100-100))</f>
        <v>-7.7922077922077904</v>
      </c>
      <c r="AA422" s="91">
        <f>AA408-AA416</f>
        <v>75</v>
      </c>
      <c r="AB422" s="72">
        <f>IF(ISERROR(AA422/S422),"NA",IF(OR(AA422/S422&gt;2,AA422/S422&lt;0.5),"NM",AA422/S422*100-100))</f>
        <v>-27.884615384615387</v>
      </c>
      <c r="AC422" s="91">
        <f>AC408-AC416</f>
        <v>98</v>
      </c>
      <c r="AD422" s="72">
        <f>IF(ISERROR(AC422/U422),"NA",IF(OR(AC422/U422&gt;2,AC422/U422&lt;0.5),"NM",AC422/U422*100-100))</f>
        <v>-2.9702970297029765</v>
      </c>
      <c r="AE422" s="91">
        <f>AE408-AE416</f>
        <v>104</v>
      </c>
      <c r="AF422" s="72">
        <f>IF(ISERROR(AE422/W422),"NA",IF(OR(AE422/W422&gt;2,AE422/W422&lt;0.5),"NM",AE422/W422*100-100))</f>
        <v>1.9607843137254832</v>
      </c>
      <c r="AG422" s="91">
        <f>AG408-AG416</f>
        <v>93</v>
      </c>
      <c r="AH422" s="72">
        <f>IF(ISERROR(AG422/Y422),"NA",IF(OR(AG422/Y422&gt;2,AG422/Y422&lt;0.5),"NM",AG422/Y422*100-100))</f>
        <v>30.985915492957758</v>
      </c>
      <c r="AI422" s="91">
        <f>AI408-AI416</f>
        <v>94</v>
      </c>
      <c r="AJ422" s="72">
        <f>IF(ISERROR(AI422/AA422),"NA",IF(OR(AI422/AA422&gt;2,AI422/AA422&lt;0.5),"NM",AI422/AA422*100-100))</f>
        <v>25.333333333333343</v>
      </c>
      <c r="AK422" s="91">
        <f>AK408-AK416</f>
        <v>115</v>
      </c>
      <c r="AL422" s="72">
        <f>IF(ISERROR(AK422/AC422),"NA",IF(OR(AK422/AC422&gt;2,AK422/AC422&lt;0.5),"NM",AK422/AC422*100-100))</f>
        <v>17.34693877551021</v>
      </c>
      <c r="AM422" s="91">
        <f>AM408-AM416</f>
        <v>100</v>
      </c>
      <c r="AN422" s="72">
        <f>IF(ISERROR(AM422/AE422),"NA",IF(OR(AM422/AE422&gt;2,AM422/AE422&lt;0.5),"NM",AM422/AE422*100-100))</f>
        <v>-3.8461538461538396</v>
      </c>
      <c r="AO422" s="91">
        <f>AO408-AO416</f>
        <v>93</v>
      </c>
      <c r="AP422" s="72">
        <f>IF(ISERROR(AO422/AG422),"NA",IF(OR(AO422/AG422&gt;2,AO422/AG422&lt;0.5),"NM",AO422/AG422*100-100))</f>
        <v>0</v>
      </c>
      <c r="AQ422" s="91">
        <f>AQ408-AQ416</f>
        <v>106</v>
      </c>
      <c r="AR422" s="72">
        <f>IF(ISERROR(AQ422/AI422),"NA",IF(OR(AQ422/AI422&gt;2,AQ422/AI422&lt;0.5),"NM",AQ422/AI422*100-100))</f>
        <v>12.7659574468085</v>
      </c>
      <c r="AS422" s="91">
        <f>AS408-AS416</f>
        <v>144</v>
      </c>
      <c r="AT422" s="72">
        <f>IF(ISERROR(AS422/AK422),"NA",IF(OR(AS422/AK422&gt;2,AS422/AK422&lt;0.5),"NM",AS422/AK422*100-100))</f>
        <v>25.217391304347842</v>
      </c>
      <c r="AU422" s="91">
        <f>AU408-AU416</f>
        <v>141</v>
      </c>
      <c r="AV422" s="72">
        <f>IF(ISERROR(AU422/AM422),"NA",IF(OR(AU422/AM422&gt;2,AU422/AM422&lt;0.5),"NM",AU422/AM422*100-100))</f>
        <v>41</v>
      </c>
      <c r="AW422" s="91">
        <f>AW408-AW416</f>
        <v>111</v>
      </c>
      <c r="AX422" s="72">
        <f>IF(ISERROR(AW422/AO422),"NA",IF(OR(AW422/AO422&gt;2,AW422/AO422&lt;0.5),"NM",AW422/AO422*100-100))</f>
        <v>19.354838709677423</v>
      </c>
      <c r="AY422" s="91">
        <f>AY408-AY416</f>
        <v>109</v>
      </c>
      <c r="AZ422" s="72">
        <f>IF(ISERROR(AY422/AQ422),"NA",IF(OR(AY422/AQ422&gt;2,AY422/AQ422&lt;0.5),"NM",AY422/AQ422*100-100))</f>
        <v>2.8301886792452962</v>
      </c>
      <c r="BA422" s="91">
        <f>BA408-BA416</f>
        <v>102</v>
      </c>
      <c r="BB422" s="72">
        <f>IF(ISERROR(BA422/AS422),"NA",IF(OR(BA422/AS422&gt;2,BA422/AS422&lt;0.5),"NM",BA422/AS422*100-100))</f>
        <v>-29.166666666666657</v>
      </c>
      <c r="BC422" s="91">
        <f>BC408-BC416</f>
        <v>148</v>
      </c>
      <c r="BD422" s="72">
        <f>IF(ISERROR(BC422/AU422),"NA",IF(OR(BC422/AU422&gt;2,BC422/AU422&lt;0.5),"NM",BC422/AU422*100-100))</f>
        <v>4.9645390070921991</v>
      </c>
      <c r="BE422" s="91">
        <f>BE408-BE416</f>
        <v>131</v>
      </c>
      <c r="BF422" s="72">
        <f>IF(ISERROR(BE422/AW422),"NA",IF(OR(BE422/AW422&gt;2,BE422/AW422&lt;0.5),"NM",BE422/AW422*100-100))</f>
        <v>18.018018018018012</v>
      </c>
      <c r="BG422" s="91">
        <f>BG408-BG416</f>
        <v>143</v>
      </c>
      <c r="BH422" s="72">
        <f>IF(ISERROR(BG422/AY422),"NA",IF(OR(BG422/AY422&gt;2,BG422/AY422&lt;0.5),"NM",BG422/AY422*100-100))</f>
        <v>31.192660550458697</v>
      </c>
      <c r="BI422" s="91">
        <f>BI408-BI416</f>
        <v>157</v>
      </c>
      <c r="BJ422" s="72">
        <f>IF(ISERROR(BI422/BA422),"NA",IF(OR(BI422/BA422&gt;2,BI422/BA422&lt;0.5),"NM",BI422/BA422*100-100))</f>
        <v>53.921568627450995</v>
      </c>
      <c r="BK422" s="91">
        <f>BK408-BK416</f>
        <v>157</v>
      </c>
      <c r="BL422" s="72">
        <f>IF(ISERROR(BK422/BC422),"NA",IF(OR(BK422/BC422&gt;2,BK422/BC422&lt;0.5),"NM",BK422/BC422*100-100))</f>
        <v>6.0810810810810807</v>
      </c>
      <c r="BM422" s="91">
        <f>BM408-BM416</f>
        <v>121</v>
      </c>
      <c r="BN422" s="72">
        <f>IF(ISERROR(BM422/BE422),"NA",IF(OR(BM422/BE422&gt;2,BM422/BE422&lt;0.5),"NM",BM422/BE422*100-100))</f>
        <v>-7.6335877862595396</v>
      </c>
      <c r="BO422" s="91">
        <f>BO408-BO416</f>
        <v>128</v>
      </c>
      <c r="BP422" s="72">
        <f>IF(ISERROR(BO422/BG422),"NA",IF(OR(BO422/BG422&gt;2,BO422/BG422&lt;0.5),"NM",BO422/BG422*100-100))</f>
        <v>-10.489510489510494</v>
      </c>
      <c r="BQ422" s="91">
        <f>BQ408-BQ416</f>
        <v>167</v>
      </c>
      <c r="BR422" s="72">
        <f>IF(ISERROR(BQ422/BI422),"NA",IF(OR(BQ422/BI422&gt;2,BQ422/BI422&lt;0.5),"NM",BQ422/BI422*100-100))</f>
        <v>6.369426751592357</v>
      </c>
      <c r="BS422" s="91">
        <f>BS408-BS416</f>
        <v>167</v>
      </c>
      <c r="BT422" s="72">
        <f>IF(ISERROR(BS422/BK422),"NA",IF(OR(BS422/BK422&gt;2,BS422/BK422&lt;0.5),"NM",BS422/BK422*100-100))</f>
        <v>6.369426751592357</v>
      </c>
      <c r="BU422" s="91">
        <f>BU408-BU416</f>
        <v>160</v>
      </c>
      <c r="BV422" s="72">
        <f>IF(ISERROR(BU422/BM422),"NA",IF(OR(BU422/BM422&gt;2,BU422/BM422&lt;0.5),"NM",BU422/BM422*100-100))</f>
        <v>32.2314049586777</v>
      </c>
      <c r="BW422" s="91">
        <f>BW408-BW416</f>
        <v>136</v>
      </c>
      <c r="BX422" s="72">
        <f>IF(ISERROR(BW422/BO422),"NA",IF(OR(BW422/BO422&gt;2,BW422/BO422&lt;0.5),"NM",BW422/BO422*100-100))</f>
        <v>6.25</v>
      </c>
      <c r="BY422" s="91">
        <f>BY408-BY416</f>
        <v>158</v>
      </c>
      <c r="BZ422" s="72">
        <f>IF(ISERROR(BY422/BQ422),"NA",IF(OR(BY422/BQ422&gt;2,BY422/BQ422&lt;0.5),"NM",BY422/BQ422*100-100))</f>
        <v>-5.3892215568862269</v>
      </c>
      <c r="CA422" s="91">
        <f>CA408-CA416</f>
        <v>197</v>
      </c>
      <c r="CB422" s="72">
        <f>IF(ISERROR(CA422/BS422),"NA",IF(OR(CA422/BS422&gt;2,CA422/BS422&lt;0.5),"NM",CA422/BS422*100-100))</f>
        <v>17.964071856287433</v>
      </c>
      <c r="CC422" s="91">
        <f>CC408-CC416</f>
        <v>156</v>
      </c>
      <c r="CD422" s="72">
        <f>IF(ISERROR(CC422/BU422),"NA",IF(OR(CC422/BU422&gt;2,CC422/BU422&lt;0.5),"NM",CC422/BU422*100-100))</f>
        <v>-2.5</v>
      </c>
      <c r="CE422" s="91">
        <f>CE408-CE416</f>
        <v>156</v>
      </c>
      <c r="CF422" s="72">
        <f>IF(ISERROR(CE422/BW422),"NA",IF(OR(CE422/BW422&gt;2,CE422/BW422&lt;0.5),"NM",CE422/BW422*100-100))</f>
        <v>14.705882352941174</v>
      </c>
      <c r="CG422" s="91">
        <f>CG408-CG416</f>
        <v>163</v>
      </c>
      <c r="CH422" s="72">
        <f>IF(ISERROR(CG422/BY422),"NA",IF(OR(CG422/BY422&gt;2,CG422/BY422&lt;0.5),"NM",CG422/BY422*100-100))</f>
        <v>3.1645569620253156</v>
      </c>
      <c r="CI422" s="91">
        <f>CI408-CI416</f>
        <v>199</v>
      </c>
      <c r="CJ422" s="72">
        <f>IF(ISERROR(CI422/CA422),"NA",IF(OR(CI422/CA422&gt;2,CI422/CA422&lt;0.5),"NM",CI422/CA422*100-100))</f>
        <v>1.0152284263959359</v>
      </c>
      <c r="CK422" s="91">
        <f>CK408-CK416</f>
        <v>248</v>
      </c>
      <c r="CL422" s="72">
        <f>IF(ISERROR(CK422/CC422),"NA",IF(OR(CK422/CC422&gt;2,CK422/CC422&lt;0.5),"NM",CK422/CC422*100-100))</f>
        <v>58.974358974358978</v>
      </c>
      <c r="CM422" s="91">
        <f>CM408-CM416</f>
        <v>328</v>
      </c>
      <c r="CN422" s="72" t="str">
        <f>IF(ISERROR(CM422/CE422),"NA",IF(OR(CM422/CE422&gt;2,CM422/CE422&lt;0.5),"NM",CM422/CE422*100-100))</f>
        <v>NM</v>
      </c>
      <c r="CO422" s="91">
        <f>CO408-CO416</f>
        <v>185</v>
      </c>
      <c r="CP422" s="72">
        <f>IF(ISERROR(CO422/CG422),"NA",IF(OR(CO422/CG422&gt;2,CO422/CG422&lt;0.5),"NM",CO422/CG422*100-100))</f>
        <v>13.496932515337434</v>
      </c>
      <c r="CQ422" s="91">
        <f>CQ408-CQ416</f>
        <v>329</v>
      </c>
      <c r="CR422" s="72">
        <f>IF(ISERROR(CQ422/CI422),"NA",IF(OR(CQ422/CI422&gt;2,CQ422/CI422&lt;0.5),"NM",CQ422/CI422*100-100))</f>
        <v>65.326633165829151</v>
      </c>
      <c r="CS422" s="91">
        <f>CS408-CS416</f>
        <v>202</v>
      </c>
      <c r="CT422" s="72">
        <f>IF(ISERROR(CS422/CK422),"NA",IF(OR(CS422/CK422&gt;2,CS422/CK422&lt;0.5),"NM",CS422/CK422*100-100))</f>
        <v>-18.548387096774192</v>
      </c>
      <c r="CU422" s="91">
        <f>CU408-CU416</f>
        <v>215</v>
      </c>
      <c r="CV422" s="72">
        <f>IF(ISERROR(CU422/CM422),"NA",IF(OR(CU422/CM422&gt;2,CU422/CM422&lt;0.5),"NM",CU422/CM422*100-100))</f>
        <v>-34.451219512195124</v>
      </c>
      <c r="CW422" s="91">
        <f>CW408-CW416</f>
        <v>304</v>
      </c>
      <c r="CX422" s="72">
        <f>IF(ISERROR(CW422/CO422),"NA",IF(OR(CW422/CO422&gt;2,CW422/CO422&lt;0.5),"NM",CW422/CO422*100-100))</f>
        <v>64.324324324324323</v>
      </c>
      <c r="CY422" s="91">
        <f>CY408-CY416</f>
        <v>389</v>
      </c>
      <c r="CZ422" s="72">
        <f>IF(ISERROR(CY422/CQ422),"NA",IF(OR(CY422/CQ422&gt;2,CY422/CQ422&lt;0.5),"NM",CY422/CQ422*100-100))</f>
        <v>18.237082066869291</v>
      </c>
      <c r="DA422" s="91">
        <f>DA408-DA416</f>
        <v>315</v>
      </c>
      <c r="DB422" s="72">
        <f>IF(ISERROR(DA422/CS422),"NA",IF(OR(DA422/CS422&gt;2,DA422/CS422&lt;0.5),"NM",DA422/CS422*100-100))</f>
        <v>55.940594059405953</v>
      </c>
      <c r="DC422" s="91">
        <f>DC408-DC416</f>
        <v>455</v>
      </c>
      <c r="DD422" s="72" t="str">
        <f>IF(ISERROR(DC422/CU422),"NA",IF(OR(DC422/CU422&gt;2,DC422/CU422&lt;0.5),"NM",DC422/CU422*100-100))</f>
        <v>NM</v>
      </c>
      <c r="DE422" s="91">
        <f>DE408-DE416</f>
        <v>482</v>
      </c>
      <c r="DF422" s="72">
        <f>IF(ISERROR(DE422/CW422),"NA",IF(OR(DE422/CW422&gt;2,DE422/CW422&lt;0.5),"NM",DE422/CW422*100-100))</f>
        <v>58.55263157894737</v>
      </c>
      <c r="DG422" s="91">
        <f>DG408-DG416</f>
        <v>354</v>
      </c>
      <c r="DH422" s="72">
        <f>IF(ISERROR(DG422/CY422),"NA",IF(OR(DG422/CY422&gt;2,DG422/CY422&lt;0.5),"NM",DG422/CY422*100-100))</f>
        <v>-8.9974293059125898</v>
      </c>
      <c r="DI422" s="91">
        <f>DI408-DI416</f>
        <v>344</v>
      </c>
      <c r="DJ422" s="72">
        <f>IF(ISERROR(DI422/DA422),"NA",IF(OR(DI422/DA422&gt;2,DI422/DA422&lt;0.5),"NM",DI422/DA422*100-100))</f>
        <v>9.2063492063492021</v>
      </c>
      <c r="DK422" s="91">
        <f>DK408-DK416</f>
        <v>418</v>
      </c>
      <c r="DL422" s="72">
        <f>IF(ISERROR(DK422/DC422),"NA",IF(OR(DK422/DC422&gt;2,DK422/DC422&lt;0.5),"NM",DK422/DC422*100-100))</f>
        <v>-8.1318681318681314</v>
      </c>
      <c r="DM422" s="91">
        <f>DM408-DM416</f>
        <v>502</v>
      </c>
      <c r="DN422" s="72">
        <f t="shared" ref="DN422:DZ423" si="2267">IF(ISERROR(DM422/DE422),"NA",IF(OR(DM422/DE422&gt;2,DM422/DE422&lt;0.5),"NM",DM422/DE422*100-100))</f>
        <v>4.1493775933610095</v>
      </c>
      <c r="DO422" s="91">
        <f>DO408-DO416</f>
        <v>431</v>
      </c>
      <c r="DP422" s="72">
        <f t="shared" si="2267"/>
        <v>21.751412429378519</v>
      </c>
      <c r="DQ422" s="91">
        <f>DQ408-DQ416</f>
        <v>312</v>
      </c>
      <c r="DR422" s="72">
        <f t="shared" si="2267"/>
        <v>-9.3023255813953512</v>
      </c>
      <c r="DS422" s="91">
        <f>DS408-DS416</f>
        <v>395</v>
      </c>
      <c r="DT422" s="72">
        <f t="shared" si="2267"/>
        <v>-5.5023923444976077</v>
      </c>
      <c r="DU422" s="91">
        <f>DU408-DU416</f>
        <v>461</v>
      </c>
      <c r="DV422" s="72">
        <f t="shared" si="2267"/>
        <v>-8.1673306772908347</v>
      </c>
      <c r="DW422" s="91">
        <f>DW408-DW416</f>
        <v>414</v>
      </c>
      <c r="DX422" s="72">
        <f t="shared" si="2267"/>
        <v>-3.9443155452436116</v>
      </c>
      <c r="DY422" s="91">
        <f>DY408-DY416</f>
        <v>371</v>
      </c>
      <c r="DZ422" s="72">
        <f t="shared" si="2267"/>
        <v>18.910256410256409</v>
      </c>
      <c r="EA422" s="91">
        <f>EA408-EA416</f>
        <v>369</v>
      </c>
      <c r="EB422" s="72">
        <f>IF(ISERROR(EA422/DS422),"NA",IF(OR(EA422/DS422&gt;2,EA422/DS422&lt;0.5),"NM",EA422/DS422*100-100))</f>
        <v>-6.5822784810126649</v>
      </c>
      <c r="EC422" s="91">
        <f>EC408-EC416</f>
        <v>460</v>
      </c>
      <c r="ED422" s="72">
        <f>IF(ISERROR(EC422/DU422),"NA",IF(OR(EC422/DU422&gt;2,EC422/DU422&lt;0.5),"NM",EC422/DU422*100-100))</f>
        <v>-0.21691973969630851</v>
      </c>
      <c r="EE422" s="91">
        <f>EE408-EE416</f>
        <v>389</v>
      </c>
      <c r="EF422" s="72">
        <f>IF(ISERROR(EE422/DW422),"NA",IF(OR(EE422/DW422&gt;2,EE422/DW422&lt;0.5),"NM",EE422/DW422*100-100))</f>
        <v>-6.0386473429951764</v>
      </c>
      <c r="EG422" s="91">
        <f>EG408-EG416</f>
        <v>360</v>
      </c>
      <c r="EH422" s="72">
        <f>IF(ISERROR(EG422/DY422),"NA",IF(OR(EG422/DY422&gt;2,EG422/DY422&lt;0.5),"NM",EG422/DY422*100-100))</f>
        <v>-2.9649595687331498</v>
      </c>
      <c r="EI422" s="91">
        <f>EI408-EI416</f>
        <v>391</v>
      </c>
      <c r="EJ422" s="72">
        <f>IF(ISERROR(EI422/EA422),"NA",IF(OR(EI422/EA422&gt;2,EI422/EA422&lt;0.5),"NM",EI422/EA422*100-100))</f>
        <v>5.9620596205962215</v>
      </c>
      <c r="EK422" s="91">
        <f>EK408-EK416</f>
        <v>494</v>
      </c>
      <c r="EL422" s="72">
        <f>IF(ISERROR(EK422/EC422),"NA",IF(OR(EK422/EC422&gt;2,EK422/EC422&lt;0.5),"NM",EK422/EC422*100-100))</f>
        <v>7.3913043478260931</v>
      </c>
      <c r="EM422" s="91">
        <f>EM408-EM416</f>
        <v>426</v>
      </c>
      <c r="EN422" s="72">
        <f>IF(ISERROR(EM422/EE422),"NA",IF(OR(EM422/EE422&gt;2,EM422/EE422&lt;0.5),"NM",EM422/EE422*100-100))</f>
        <v>9.5115681233933174</v>
      </c>
      <c r="EO422" s="91">
        <f>EO408-EO416</f>
        <v>394</v>
      </c>
      <c r="EP422" s="72">
        <f>IF(ISERROR(EO422/EG422),"NA",IF(OR(EO422/EG422&gt;2,EO422/EG422&lt;0.5),"NM",EO422/EG422*100-100))</f>
        <v>9.4444444444444571</v>
      </c>
      <c r="EQ422" s="91">
        <f t="shared" ref="EQ422" si="2268">EQ408-EQ416</f>
        <v>418.40083542574803</v>
      </c>
      <c r="ER422" s="72">
        <f t="shared" ref="ER422:ER423" si="2269">IF(ISERROR(EQ422/EI422),"NA",IF(OR(EQ422/EI422&gt;2,EQ422/EI422&lt;0.5),"NM",EQ422/EI422*100-100))</f>
        <v>7.0078862981452801</v>
      </c>
      <c r="ES422" s="91">
        <f t="shared" ref="ES422" si="2270">ES408-ES416</f>
        <v>440.44495489295241</v>
      </c>
      <c r="ET422" s="72">
        <f t="shared" ref="ET422:ET423" si="2271">IF(ISERROR(ES422/EK422),"NA",IF(OR(ES422/EK422&gt;2,ES422/EK422&lt;0.5),"NM",ES422/EK422*100-100))</f>
        <v>-10.8411022483902</v>
      </c>
      <c r="EU422" s="91">
        <f t="shared" ref="EU422" si="2272">EU408-EU416</f>
        <v>423.59151031461124</v>
      </c>
      <c r="EV422" s="72">
        <f t="shared" ref="EV422:EV423" si="2273">IF(ISERROR(EU422/EM422),"NA",IF(OR(EU422/EM422&gt;2,EU422/EM422&lt;0.5),"NM",EU422/EM422*100-100))</f>
        <v>-0.56537316558421935</v>
      </c>
      <c r="EW422" s="91">
        <f t="shared" ref="EW422" si="2274">EW408-EW416</f>
        <v>402.3062130630633</v>
      </c>
      <c r="EX422" s="72">
        <f t="shared" ref="EX422:EX423" si="2275">IF(ISERROR(EW422/EO422),"NA",IF(OR(EW422/EO422&gt;2,EW422/EO422&lt;0.5),"NM",EW422/EO422*100-100))</f>
        <v>2.1081759043307926</v>
      </c>
      <c r="EY422" s="72"/>
      <c r="EZ422" s="325"/>
      <c r="FA422" s="72"/>
      <c r="FB422" s="91"/>
      <c r="FC422" s="72"/>
      <c r="FD422" s="91"/>
      <c r="FE422" s="72" t="str">
        <f>IF(ISERROR(FD422/FB422),"NA",IF(OR(FD422/FB422&gt;2,FD422/FB422&lt;0.5),"NM",FD422/FB422*100-100))</f>
        <v>NA</v>
      </c>
      <c r="FF422" s="91"/>
      <c r="FG422" s="72" t="str">
        <f>IF(ISERROR(FF422/FD422),"NA",IF(OR(FF422/FD422&gt;2,FF422/FD422&lt;0.5),"NM",FF422/FD422*100-100))</f>
        <v>NA</v>
      </c>
      <c r="FH422" s="91">
        <f>FH408-FH416</f>
        <v>343</v>
      </c>
      <c r="FI422" s="72" t="str">
        <f>IF(ISERROR(FH422/FF422),"NA",IF(OR(FH422/FF422&gt;2,FH422/FF422&lt;0.5),"NM",FH422/FF422*100-100))</f>
        <v>NA</v>
      </c>
      <c r="FJ422" s="91">
        <f>FJ408-FJ416</f>
        <v>378</v>
      </c>
      <c r="FK422" s="72">
        <f>IF(ISERROR(FJ422/FH422),"NA",IF(OR(FJ422/FH422&gt;2,FJ422/FH422&lt;0.5),"NM",FJ422/FH422*100-100))</f>
        <v>10.204081632653043</v>
      </c>
      <c r="FL422" s="91">
        <f>FL408-FL416</f>
        <v>370</v>
      </c>
      <c r="FM422" s="72">
        <f>IF(ISERROR(FL422/FJ422),"NA",IF(OR(FL422/FJ422&gt;2,FL422/FJ422&lt;0.5),"NM",FL422/FJ422*100-100))</f>
        <v>-2.1164021164021136</v>
      </c>
      <c r="FN422" s="91">
        <f>FN408-FN416</f>
        <v>402</v>
      </c>
      <c r="FO422" s="72">
        <f>IF(ISERROR(FN422/FL422),"NA",IF(OR(FN422/FL422&gt;2,FN422/FL422&lt;0.5),"NM",FN422/FL422*100-100))</f>
        <v>8.6486486486486456</v>
      </c>
      <c r="FP422" s="91">
        <f>FP408-FP416</f>
        <v>502</v>
      </c>
      <c r="FQ422" s="72">
        <f>IF(ISERROR(FP422/FN422),"NA",IF(OR(FP422/FN422&gt;2,FP422/FN422&lt;0.5),"NM",FP422/FN422*100-100))</f>
        <v>24.875621890547265</v>
      </c>
      <c r="FR422" s="91">
        <f>FR408-FR416</f>
        <v>490</v>
      </c>
      <c r="FS422" s="72">
        <f>IF(ISERROR(FR422/FP422),"NA",IF(OR(FR422/FP422&gt;2,FR422/FP422&lt;0.5),"NM",FR422/FP422*100-100))</f>
        <v>-2.3904382470119572</v>
      </c>
      <c r="FT422" s="91">
        <f>FT408-FT416</f>
        <v>578</v>
      </c>
      <c r="FU422" s="72">
        <f>IF(ISERROR(FT422/FR422),"NA",IF(OR(FT422/FR422&gt;2,FT422/FR422&lt;0.5),"NM",FT422/FR422*100-100))</f>
        <v>17.959183673469383</v>
      </c>
      <c r="FV422" s="91">
        <f>FV408-FV416</f>
        <v>171</v>
      </c>
      <c r="FW422" s="72" t="str">
        <f>IF(ISERROR(FV422/FT422),"NA",IF(OR(FV422/FT422&gt;2,FV422/FT422&lt;0.5),"NM",FV422/FT422*100-100))</f>
        <v>NM</v>
      </c>
      <c r="FX422" s="91">
        <f>FX408-FX416</f>
        <v>618</v>
      </c>
      <c r="FY422" s="72" t="str">
        <f>IF(ISERROR(FX422/FV422),"NA",IF(OR(FX422/FV422&gt;2,FX422/FV422&lt;0.5),"NM",FX422/FV422*100-100))</f>
        <v>NM</v>
      </c>
      <c r="FZ422" s="91">
        <f>FZ408-FZ416</f>
        <v>766</v>
      </c>
      <c r="GA422" s="72">
        <f>IF(ISERROR(FZ422/FX422),"NA",IF(OR(FZ422/FX422&gt;2,FZ422/FX422&lt;0.5),"NM",FZ422/FX422*100-100))</f>
        <v>23.948220064724921</v>
      </c>
      <c r="GB422" s="91">
        <f>GB408-GB416</f>
        <v>1044</v>
      </c>
      <c r="GC422" s="72">
        <f>IF(ISERROR(GB422/FZ422),"NA",IF(OR(GB422/FZ422&gt;2,GB422/FZ422&lt;0.5),"NM",GB422/FZ422*100-100))</f>
        <v>36.292428198433413</v>
      </c>
      <c r="GD422" s="91">
        <f>GD408-GD416</f>
        <v>1223</v>
      </c>
      <c r="GE422" s="72">
        <f>IF(ISERROR(GD422/GB422),"NA",IF(OR(GD422/GB422&gt;2,GD422/GB422&lt;0.5),"NM",GD422/GB422*100-100))</f>
        <v>17.145593869731798</v>
      </c>
      <c r="GF422" s="91">
        <f>GF408-GF416</f>
        <v>1635</v>
      </c>
      <c r="GG422" s="72">
        <f>IF(ISERROR(GF422/GD422),"NA",IF(OR(GF422/GD422&gt;2,GF422/GD422&lt;0.5),"NM",GF422/GD422*100-100))</f>
        <v>33.687653311529033</v>
      </c>
      <c r="GH422" s="91">
        <f>GH408-GH416</f>
        <v>1663</v>
      </c>
      <c r="GI422" s="72">
        <f t="shared" ref="GI422:GU423" si="2276">IF(ISERROR(GH422/GF422),"NA",IF(OR(GH422/GF422&gt;2,GH422/GF422&lt;0.5),"NM",GH422/GF422*100-100))</f>
        <v>1.7125382262996851</v>
      </c>
      <c r="GJ422" s="91">
        <f>GJ408-GJ416</f>
        <v>1641</v>
      </c>
      <c r="GK422" s="72">
        <f t="shared" si="2276"/>
        <v>-1.3229104028863503</v>
      </c>
      <c r="GL422" s="91">
        <f>GL408-GL416</f>
        <v>1578</v>
      </c>
      <c r="GM422" s="72">
        <f t="shared" si="2276"/>
        <v>-3.8391224862888436</v>
      </c>
      <c r="GN422" s="91">
        <f>GN408-GN416</f>
        <v>1705</v>
      </c>
      <c r="GO422" s="72">
        <f t="shared" si="2276"/>
        <v>8.0481622306717355</v>
      </c>
      <c r="GP422" s="91">
        <f>GP408-GP416</f>
        <v>1684.7435136963741</v>
      </c>
      <c r="GQ422" s="72">
        <f t="shared" si="2276"/>
        <v>-1.1880637128226397</v>
      </c>
      <c r="GR422" s="91">
        <f>GR408-GR416</f>
        <v>1698.5578145540567</v>
      </c>
      <c r="GS422" s="72">
        <f t="shared" si="2276"/>
        <v>0.8199646263883551</v>
      </c>
      <c r="GT422" s="91">
        <f>GT408-GT416</f>
        <v>1701.199982699598</v>
      </c>
      <c r="GU422" s="72">
        <f t="shared" si="2276"/>
        <v>0.1555536186582458</v>
      </c>
      <c r="GV422" s="91">
        <f>GV408-GV416</f>
        <v>1703.7247384265938</v>
      </c>
      <c r="GW422" s="72">
        <f>IF(ISERROR(GV422/GT422),"NA",IF(OR(GV422/GT422&gt;2,GV422/GT422&lt;0.5),"NM",GV422/GT422*100-100))</f>
        <v>0.14841028407425938</v>
      </c>
      <c r="GX422" s="91">
        <f>GX408-GX416</f>
        <v>1706.1294692698593</v>
      </c>
      <c r="GY422" s="72">
        <f>IF(ISERROR(GX422/GV422),"NA",IF(OR(GX422/GV422&gt;2,GX422/GV422&lt;0.5),"NM",GX422/GV422*100-100))</f>
        <v>0.14114550249979629</v>
      </c>
      <c r="GZ422" s="72">
        <f>IF(ISERROR(((GX422/GN422)^0.2-1)*100),"NA",IF((((GX422/GN422)^0.2-1)*100)&gt;100,"NM",IF((((GX422/GN422)^0.2-1)*100)&lt;-50,"NM",((GX422/GN422)^0.2-1)*100)))</f>
        <v>1.3245397115624336E-2</v>
      </c>
      <c r="HA422" s="72"/>
      <c r="HB422" s="72"/>
      <c r="HC422"/>
      <c r="HD422"/>
      <c r="HE422"/>
      <c r="HF422"/>
      <c r="HG422"/>
      <c r="HH422"/>
      <c r="HI422" s="2"/>
    </row>
    <row r="423" spans="1:217" s="3" customFormat="1" ht="12.75" customHeight="1" x14ac:dyDescent="0.2">
      <c r="B423" s="77" t="s">
        <v>397</v>
      </c>
      <c r="C423" s="148"/>
      <c r="D423" s="72"/>
      <c r="E423" s="148"/>
      <c r="F423" s="72"/>
      <c r="G423" s="148"/>
      <c r="H423" s="72"/>
      <c r="I423" s="148"/>
      <c r="J423" s="72"/>
      <c r="K423" s="148"/>
      <c r="L423" s="72" t="str">
        <f>IF(ISERROR(K423/C423),"NA",IF(OR(K423/C423&gt;2,K423/C423&lt;0.5),"NM",K423/C423*100-100))</f>
        <v>NA</v>
      </c>
      <c r="M423" s="148">
        <f>M422/M408*100</f>
        <v>10.766423357664232</v>
      </c>
      <c r="N423" s="72" t="str">
        <f>IF(ISERROR(M423/E423),"NA",IF(OR(M423/E423&gt;2,M423/E423&lt;0.5),"NM",M423/E423*100-100))</f>
        <v>NA</v>
      </c>
      <c r="O423" s="148">
        <f>O422/O408*100</f>
        <v>16.6446499339498</v>
      </c>
      <c r="P423" s="72" t="str">
        <f>IF(ISERROR(O423/G423),"NA",IF(OR(O423/G423&gt;2,O423/G423&lt;0.5),"NM",O423/G423*100-100))</f>
        <v>NA</v>
      </c>
      <c r="Q423" s="148">
        <f>Q422/Q408*100</f>
        <v>10.679611650485436</v>
      </c>
      <c r="R423" s="72" t="str">
        <f>IF(ISERROR(Q423/I423),"NA",IF(OR(Q423/I423&gt;2,Q423/I423&lt;0.5),"NM",Q423/I423*100-100))</f>
        <v>NA</v>
      </c>
      <c r="S423" s="148">
        <f>S422/S408*100</f>
        <v>15.226939970717424</v>
      </c>
      <c r="T423" s="72" t="str">
        <f>IF(ISERROR(S423/K423),"NA",IF(OR(S423/K423&gt;2,S423/K423&lt;0.5),"NM",S423/K423*100-100))</f>
        <v>NA</v>
      </c>
      <c r="U423" s="148">
        <f>U422/U408*100</f>
        <v>14.787701317715959</v>
      </c>
      <c r="V423" s="72">
        <f>IF(ISERROR(U423/M423),"NA",IF(OR(U423/M423&gt;2,U423/M423&lt;0.5),"NM",U423/M423*100-100))</f>
        <v>37.350174950988901</v>
      </c>
      <c r="W423" s="148">
        <f>W422/W408*100</f>
        <v>15.338345864661655</v>
      </c>
      <c r="X423" s="72">
        <f>IF(ISERROR(W423/O423),"NA",IF(OR(W423/O423&gt;2,W423/O423&lt;0.5),"NM",W423/O423*100-100))</f>
        <v>-7.8481919083422724</v>
      </c>
      <c r="Y423" s="148">
        <f>Y422/Y408*100</f>
        <v>10.708898944193061</v>
      </c>
      <c r="Z423" s="72">
        <f>IF(ISERROR(Y423/Q423),"NA",IF(OR(Y423/Q423&gt;2,Y423/Q423&lt;0.5),"NM",Y423/Q423*100-100))</f>
        <v>0.27423556835321961</v>
      </c>
      <c r="AA423" s="148">
        <f>AA422/AA408*100</f>
        <v>11.261261261261261</v>
      </c>
      <c r="AB423" s="72">
        <f>IF(ISERROR(AA423/S423),"NA",IF(OR(AA423/S423&gt;2,AA423/S423&lt;0.5),"NM",AA423/S423*100-100))</f>
        <v>-26.04383229383231</v>
      </c>
      <c r="AC423" s="148">
        <f>AC422/AC408*100</f>
        <v>14.16184971098266</v>
      </c>
      <c r="AD423" s="72">
        <f>IF(ISERROR(AC423/U423),"NA",IF(OR(AC423/U423&gt;2,AC423/U423&lt;0.5),"NM",AC423/U423*100-100))</f>
        <v>-4.2322440336519094</v>
      </c>
      <c r="AE423" s="148">
        <f>AE422/AE408*100</f>
        <v>15.545590433482809</v>
      </c>
      <c r="AF423" s="72">
        <f>IF(ISERROR(AE423/W423),"NA",IF(OR(AE423/W423&gt;2,AE423/W423&lt;0.5),"NM",AE423/W423*100-100))</f>
        <v>1.3511533163339919</v>
      </c>
      <c r="AG423" s="148">
        <f>AG422/AG408*100</f>
        <v>13.419913419913421</v>
      </c>
      <c r="AH423" s="72">
        <f>IF(ISERROR(AG423/Y423),"NA",IF(OR(AG423/Y423&gt;2,AG423/Y423&lt;0.5),"NM",AG423/Y423*100-100))</f>
        <v>25.31552954088167</v>
      </c>
      <c r="AI423" s="148">
        <f>AI422/AI408*100</f>
        <v>12.859097127222983</v>
      </c>
      <c r="AJ423" s="72">
        <f>IF(ISERROR(AI423/AA423),"NA",IF(OR(AI423/AA423&gt;2,AI423/AA423&lt;0.5),"NM",AI423/AA423*100-100))</f>
        <v>14.188782489740092</v>
      </c>
      <c r="AK423" s="148">
        <f>AK422/AK408*100</f>
        <v>14.303482587064675</v>
      </c>
      <c r="AL423" s="72">
        <f>IF(ISERROR(AK423/AC423),"NA",IF(OR(AK423/AC423&gt;2,AK423/AC423&lt;0.5),"NM",AK423/AC423*100-100))</f>
        <v>1.0001015331505556</v>
      </c>
      <c r="AM423" s="148">
        <f>AM422/AM408*100</f>
        <v>14.204545454545455</v>
      </c>
      <c r="AN423" s="72">
        <f>IF(ISERROR(AM423/AE423),"NA",IF(OR(AM423/AE423&gt;2,AM423/AE423&lt;0.5),"NM",AM423/AE423*100-100))</f>
        <v>-8.6265297202797058</v>
      </c>
      <c r="AO423" s="148">
        <f>AO422/AO408*100</f>
        <v>13.304721030042918</v>
      </c>
      <c r="AP423" s="72">
        <f>IF(ISERROR(AO423/AG423),"NA",IF(OR(AO423/AG423&gt;2,AO423/AG423&lt;0.5),"NM",AO423/AG423*100-100))</f>
        <v>-0.85836909871245837</v>
      </c>
      <c r="AQ423" s="148">
        <f>AQ422/AQ408*100</f>
        <v>14.304993252361673</v>
      </c>
      <c r="AR423" s="72">
        <f>IF(ISERROR(AQ423/AI423),"NA",IF(OR(AQ423/AI423&gt;2,AQ423/AI423&lt;0.5),"NM",AQ423/AI423*100-100))</f>
        <v>11.244149654004062</v>
      </c>
      <c r="AS423" s="148">
        <f>AS422/AS408*100</f>
        <v>17.910447761194028</v>
      </c>
      <c r="AT423" s="72">
        <f>IF(ISERROR(AS423/AK423),"NA",IF(OR(AS423/AK423&gt;2,AS423/AK423&lt;0.5),"NM",AS423/AK423*100-100))</f>
        <v>25.217391304347842</v>
      </c>
      <c r="AU423" s="148">
        <f>AU422/AU408*100</f>
        <v>16.646989374262102</v>
      </c>
      <c r="AV423" s="72">
        <f>IF(ISERROR(AU423/AM423),"NA",IF(OR(AU423/AM423&gt;2,AU423/AM423&lt;0.5),"NM",AU423/AM423*100-100))</f>
        <v>17.194805194805184</v>
      </c>
      <c r="AW423" s="148">
        <f>AW422/AW408*100</f>
        <v>15.395284327323161</v>
      </c>
      <c r="AX423" s="72">
        <f>IF(ISERROR(AW423/AO423),"NA",IF(OR(AW423/AO423&gt;2,AW423/AO423&lt;0.5),"NM",AW423/AO423*100-100))</f>
        <v>15.712943492461179</v>
      </c>
      <c r="AY423" s="148">
        <f>AY422/AY408*100</f>
        <v>14.911080711354311</v>
      </c>
      <c r="AZ423" s="72">
        <f>IF(ISERROR(AY423/AQ423),"NA",IF(OR(AY423/AQ423&gt;2,AY423/AQ423&lt;0.5),"NM",AY423/AQ423*100-100))</f>
        <v>4.2368944067315653</v>
      </c>
      <c r="BA423" s="148">
        <f>BA422/BA408*100</f>
        <v>13.83989145183175</v>
      </c>
      <c r="BB423" s="72">
        <f>IF(ISERROR(BA423/AS423),"NA",IF(OR(BA423/AS423&gt;2,BA423/AS423&lt;0.5),"NM",BA423/AS423*100-100))</f>
        <v>-22.72727272727272</v>
      </c>
      <c r="BC423" s="148">
        <f>BC422/BC408*100</f>
        <v>20.933521923620933</v>
      </c>
      <c r="BD423" s="72">
        <f>IF(ISERROR(BC423/AU423),"NA",IF(OR(BC423/AU423&gt;2,BC423/AU423&lt;0.5),"NM",BC423/AU423*100-100))</f>
        <v>25.749596236219375</v>
      </c>
      <c r="BE423" s="148">
        <f>BE422/BE408*100</f>
        <v>19.378698224852069</v>
      </c>
      <c r="BF423" s="72">
        <f>IF(ISERROR(BE423/AW423),"NA",IF(OR(BE423/AW423&gt;2,BE423/AW423&lt;0.5),"NM",BE423/AW423*100-100))</f>
        <v>25.87424702809318</v>
      </c>
      <c r="BG423" s="148">
        <f>BG422/BG408*100</f>
        <v>20.605187319884728</v>
      </c>
      <c r="BH423" s="72">
        <f>IF(ISERROR(BG423/AY423),"NA",IF(OR(BG423/AY423&gt;2,BG423/AY423&lt;0.5),"NM",BG423/AY423*100-100))</f>
        <v>38.187081934272783</v>
      </c>
      <c r="BI423" s="148">
        <f>BI422/BI408*100</f>
        <v>21.01740294511379</v>
      </c>
      <c r="BJ423" s="72">
        <f>IF(ISERROR(BI423/BA423),"NA",IF(OR(BI423/BA423&gt;2,BI423/BA423&lt;0.5),"NM",BI423/BA423*100-100))</f>
        <v>51.861038926949647</v>
      </c>
      <c r="BK423" s="148">
        <f>BK422/BK408*100</f>
        <v>22.557471264367816</v>
      </c>
      <c r="BL423" s="72">
        <f>IF(ISERROR(BK423/BC423),"NA",IF(OR(BK423/BC423&gt;2,BK423/BC423&lt;0.5),"NM",BK423/BC423*100-100))</f>
        <v>7.7576498912705887</v>
      </c>
      <c r="BM423" s="148">
        <f>BM422/BM408*100</f>
        <v>17.114568599717114</v>
      </c>
      <c r="BN423" s="72">
        <f>IF(ISERROR(BM423/BE423),"NA",IF(OR(BM423/BE423&gt;2,BM423/BE423&lt;0.5),"NM",BM423/BE423*100-100))</f>
        <v>-11.683600202986483</v>
      </c>
      <c r="BO423" s="148">
        <f>BO422/BO408*100</f>
        <v>17.112299465240639</v>
      </c>
      <c r="BP423" s="72">
        <f>IF(ISERROR(BO423/BG423),"NA",IF(OR(BO423/BG423&gt;2,BO423/BG423&lt;0.5),"NM",BO423/BG423*100-100))</f>
        <v>-16.951497700160829</v>
      </c>
      <c r="BQ423" s="148">
        <f>BQ422/BQ408*100</f>
        <v>19.88095238095238</v>
      </c>
      <c r="BR423" s="72">
        <f>IF(ISERROR(BQ423/BI423),"NA",IF(OR(BQ423/BI423&gt;2,BQ423/BI423&lt;0.5),"NM",BQ423/BI423*100-100))</f>
        <v>-5.407188353048241</v>
      </c>
      <c r="BS423" s="148">
        <f>BS422/BS408*100</f>
        <v>21.858638743455497</v>
      </c>
      <c r="BT423" s="72">
        <f>IF(ISERROR(BS423/BK423),"NA",IF(OR(BS423/BK423&gt;2,BS423/BK423&lt;0.5),"NM",BS423/BK423*100-100))</f>
        <v>-3.09800913729282</v>
      </c>
      <c r="BU423" s="148">
        <f>BU422/BU408*100</f>
        <v>19.728729963008632</v>
      </c>
      <c r="BV423" s="72">
        <f>IF(ISERROR(BU423/BM423),"NA",IF(OR(BU423/BM423&gt;2,BU423/BM423&lt;0.5),"NM",BU423/BM423*100-100))</f>
        <v>15.274480031794255</v>
      </c>
      <c r="BW423" s="148">
        <f>BW422/BW408*100</f>
        <v>14.686825053995682</v>
      </c>
      <c r="BX423" s="72">
        <f>IF(ISERROR(BW423/BO423),"NA",IF(OR(BW423/BO423&gt;2,BW423/BO423&lt;0.5),"NM",BW423/BO423*100-100))</f>
        <v>-14.173866090712721</v>
      </c>
      <c r="BY423" s="148">
        <f>BY422/BY408*100</f>
        <v>15.414634146341463</v>
      </c>
      <c r="BZ423" s="72">
        <f>IF(ISERROR(BY423/BQ423),"NA",IF(OR(BY423/BQ423&gt;2,BY423/BQ423&lt;0.5),"NM",BY423/BQ423*100-100))</f>
        <v>-22.46531327588724</v>
      </c>
      <c r="CA423" s="148">
        <f>CA422/CA408*100</f>
        <v>17.844202898550723</v>
      </c>
      <c r="CB423" s="72">
        <f>IF(ISERROR(CA423/BS423),"NA",IF(OR(CA423/BS423&gt;2,CA423/BS423&lt;0.5),"NM",CA423/BS423*100-100))</f>
        <v>-18.36544302698951</v>
      </c>
      <c r="CC423" s="148">
        <f>CC422/CC408*100</f>
        <v>14.259597806215721</v>
      </c>
      <c r="CD423" s="72">
        <f>IF(ISERROR(CC423/BU423),"NA",IF(OR(CC423/BU423&gt;2,CC423/BU423&lt;0.5),"NM",CC423/BU423*100-100))</f>
        <v>-27.721663619744064</v>
      </c>
      <c r="CE423" s="148">
        <f>CE422/CE408*100</f>
        <v>14.016172506738545</v>
      </c>
      <c r="CF423" s="72">
        <f>IF(ISERROR(CE423/BW423),"NA",IF(OR(CE423/BW423&gt;2,CE423/BW423&lt;0.5),"NM",CE423/BW423*100-100))</f>
        <v>-4.5663548438243282</v>
      </c>
      <c r="CG423" s="148">
        <f>CG422/CG408*100</f>
        <v>12.957074721780604</v>
      </c>
      <c r="CH423" s="72">
        <f>IF(ISERROR(CG423/BY423),"NA",IF(OR(CG423/BY423&gt;2,CG423/BY423&lt;0.5),"NM",CG423/BY423*100-100))</f>
        <v>-15.943027912499247</v>
      </c>
      <c r="CI423" s="148">
        <f>CI422/CI408*100</f>
        <v>16.392092257001647</v>
      </c>
      <c r="CJ423" s="72">
        <f>IF(ISERROR(CI423/CA423),"NA",IF(OR(CI423/CA423&gt;2,CI423/CA423&lt;0.5),"NM",CI423/CA423*100-100))</f>
        <v>-8.1377164886811215</v>
      </c>
      <c r="CK423" s="148">
        <f>CK422/CK408*100</f>
        <v>18.168498168498168</v>
      </c>
      <c r="CL423" s="72">
        <f>IF(ISERROR(CK423/CC423),"NA",IF(OR(CK423/CC423&gt;2,CK423/CC423&lt;0.5),"NM",CK423/CC423*100-100))</f>
        <v>27.412416643185878</v>
      </c>
      <c r="CM423" s="148">
        <f>CM422/CM408*100</f>
        <v>14.748201438848922</v>
      </c>
      <c r="CN423" s="72">
        <f>IF(ISERROR(CM423/CE423),"NA",IF(OR(CM423/CE423&gt;2,CM423/CE423&lt;0.5),"NM",CM423/CE423*100-100))</f>
        <v>5.222744881018258</v>
      </c>
      <c r="CO423" s="148">
        <f>CO422/CO408*100</f>
        <v>5.9600515463917532</v>
      </c>
      <c r="CP423" s="72" t="str">
        <f>IF(ISERROR(CO423/CG423),"NA",IF(OR(CO423/CG423&gt;2,CO423/CG423&lt;0.5),"NM",CO423/CG423*100-100))</f>
        <v>NM</v>
      </c>
      <c r="CQ423" s="148">
        <f>CQ422/CQ408*100</f>
        <v>10.77275703994761</v>
      </c>
      <c r="CR423" s="72">
        <f>IF(ISERROR(CQ423/CI423),"NA",IF(OR(CQ423/CI423&gt;2,CQ423/CI423&lt;0.5),"NM",CQ423/CI423*100-100))</f>
        <v>-34.28076861057086</v>
      </c>
      <c r="CS423" s="148">
        <f>CS422/CS408*100</f>
        <v>6.5308761720012933</v>
      </c>
      <c r="CT423" s="72" t="str">
        <f>IF(ISERROR(CS423/CK423),"NA",IF(OR(CS423/CK423&gt;2,CS423/CK423&lt;0.5),"NM",CS423/CK423*100-100))</f>
        <v>NM</v>
      </c>
      <c r="CU423" s="148">
        <f>CU422/CU408*100</f>
        <v>6.1428571428571432</v>
      </c>
      <c r="CV423" s="72" t="str">
        <f>IF(ISERROR(CU423/CM423),"NA",IF(OR(CU423/CM423&gt;2,CU423/CM423&lt;0.5),"NM",CU423/CM423*100-100))</f>
        <v>NM</v>
      </c>
      <c r="CW423" s="148">
        <f>CW422/CW408*100</f>
        <v>7.2140484100616993</v>
      </c>
      <c r="CX423" s="72">
        <f>IF(ISERROR(CW423/CO423),"NA",IF(OR(CW423/CO423&gt;2,CW423/CO423&lt;0.5),"NM",CW423/CO423*100-100))</f>
        <v>21.040033863954122</v>
      </c>
      <c r="CY423" s="148">
        <f>CY422/CY408*100</f>
        <v>6.5742775054926481</v>
      </c>
      <c r="CZ423" s="72">
        <f>IF(ISERROR(CY423/CQ423),"NA",IF(OR(CY423/CQ423&gt;2,CY423/CQ423&lt;0.5),"NM",CY423/CQ423*100-100))</f>
        <v>-38.973120055396514</v>
      </c>
      <c r="DA423" s="148">
        <f>DA422/DA408*100</f>
        <v>4.5304185243779669</v>
      </c>
      <c r="DB423" s="72">
        <f>IF(ISERROR(DA423/CS423),"NA",IF(OR(DA423/CS423&gt;2,DA423/CS423&lt;0.5),"NM",DA423/CS423*100-100))</f>
        <v>-30.630769822272015</v>
      </c>
      <c r="DC423" s="148">
        <f>DC422/DC408*100</f>
        <v>11.645764013309444</v>
      </c>
      <c r="DD423" s="72">
        <f>IF(ISERROR(DC423/CU423),"NA",IF(OR(DC423/CU423&gt;2,DC423/CU423&lt;0.5),"NM",DC423/CU423*100-100))</f>
        <v>89.582204867828153</v>
      </c>
      <c r="DE423" s="148">
        <f>DE422/DE408*100</f>
        <v>12.74457958751983</v>
      </c>
      <c r="DF423" s="72">
        <f>IF(ISERROR(DE423/CW423),"NA",IF(OR(DE423/CW423&gt;2,DE423/CW423&lt;0.5),"NM",DE423/CW423*100-100))</f>
        <v>76.663349940159748</v>
      </c>
      <c r="DG423" s="148">
        <f>DG422/DG408*100</f>
        <v>11.471160077770577</v>
      </c>
      <c r="DH423" s="72">
        <f>IF(ISERROR(DG423/CY423),"NA",IF(OR(DG423/CY423&gt;2,DG423/CY423&lt;0.5),"NM",DG423/CY423*100-100))</f>
        <v>74.485486324340627</v>
      </c>
      <c r="DI423" s="148">
        <f>DI422/DI408*100</f>
        <v>12.343021169716542</v>
      </c>
      <c r="DJ423" s="72" t="str">
        <f>IF(ISERROR(DI423/DA423),"NA",IF(OR(DI423/DA423&gt;2,DI423/DA423&lt;0.5),"NM",DI423/DA423*100-100))</f>
        <v>NM</v>
      </c>
      <c r="DK423" s="148">
        <f>DK422/DK408*100</f>
        <v>16.101694915254235</v>
      </c>
      <c r="DL423" s="72">
        <f>IF(ISERROR(DK423/DC423),"NA",IF(OR(DK423/DC423&gt;2,DK423/DC423&lt;0.5),"NM",DK423/DC423*100-100))</f>
        <v>38.262246228347919</v>
      </c>
      <c r="DM423" s="148">
        <f>DM422/DM408*100</f>
        <v>16.783684386492812</v>
      </c>
      <c r="DN423" s="72">
        <f t="shared" si="2267"/>
        <v>31.692726866630352</v>
      </c>
      <c r="DO423" s="148">
        <f>DO422/DO408*100</f>
        <v>15.857247976453273</v>
      </c>
      <c r="DP423" s="72">
        <f t="shared" si="2267"/>
        <v>38.235783207160466</v>
      </c>
      <c r="DQ423" s="148">
        <f>DQ422/DQ408*100</f>
        <v>12.510024057738573</v>
      </c>
      <c r="DR423" s="72">
        <f t="shared" si="2267"/>
        <v>1.3530146770854685</v>
      </c>
      <c r="DS423" s="148">
        <f>DS422/DS408*100</f>
        <v>16.030844155844157</v>
      </c>
      <c r="DT423" s="72">
        <f t="shared" si="2267"/>
        <v>-0.44002050580995444</v>
      </c>
      <c r="DU423" s="148">
        <f>DU422/DU408*100</f>
        <v>16.429080541696365</v>
      </c>
      <c r="DV423" s="72">
        <f t="shared" si="2267"/>
        <v>-2.1127890433987488</v>
      </c>
      <c r="DW423" s="148">
        <f>DW422/DW408*100</f>
        <v>16.559999999999999</v>
      </c>
      <c r="DX423" s="72">
        <f t="shared" si="2267"/>
        <v>4.4317401392111435</v>
      </c>
      <c r="DY423" s="148">
        <f>DY422/DY408*100</f>
        <v>15.317919075144509</v>
      </c>
      <c r="DZ423" s="72">
        <f t="shared" si="2267"/>
        <v>22.445160812212833</v>
      </c>
      <c r="EA423" s="148">
        <f>EA422/EA408*100</f>
        <v>14.849094567404428</v>
      </c>
      <c r="EB423" s="72">
        <f>IF(ISERROR(EA423/DS423),"NA",IF(OR(EA423/DS423&gt;2,EA423/DS423&lt;0.5),"NM",EA423/DS423*100-100))</f>
        <v>-7.3717240149759391</v>
      </c>
      <c r="EC423" s="148">
        <f>EC422/EC408*100</f>
        <v>15.72112098427888</v>
      </c>
      <c r="ED423" s="72">
        <f>IF(ISERROR(EC423/DU423),"NA",IF(OR(EC423/DU423&gt;2,EC423/DU423&lt;0.5),"NM",EC423/DU423*100-100))</f>
        <v>-4.3091855056691202</v>
      </c>
      <c r="EE423" s="148">
        <f>EE422/EE408*100</f>
        <v>13.644335320940021</v>
      </c>
      <c r="EF423" s="72">
        <f>IF(ISERROR(EE423/DW423),"NA",IF(OR(EE423/DW423&gt;2,EE423/DW423&lt;0.5),"NM",EE423/DW423*100-100))</f>
        <v>-17.606670767270387</v>
      </c>
      <c r="EG423" s="148">
        <f>EG422/EG408*100</f>
        <v>13.038754074610647</v>
      </c>
      <c r="EH423" s="72">
        <f>IF(ISERROR(EG423/DY423),"NA",IF(OR(EG423/DY423&gt;2,EG423/DY423&lt;0.5),"NM",EG423/DY423*100-100))</f>
        <v>-14.879077173296523</v>
      </c>
      <c r="EI423" s="148">
        <f>EI422/EI408*100</f>
        <v>14.861269479285443</v>
      </c>
      <c r="EJ423" s="72">
        <f>IF(ISERROR(EI423/EA423),"NA",IF(OR(EI423/EA423&gt;2,EI423/EA423&lt;0.5),"NM",EI423/EA423*100-100))</f>
        <v>8.1990937735284319E-2</v>
      </c>
      <c r="EK423" s="148">
        <f>EK422/EK408*100</f>
        <v>16.999311768754303</v>
      </c>
      <c r="EL423" s="72">
        <f>IF(ISERROR(EK423/EC423),"NA",IF(OR(EK423/EC423&gt;2,EK423/EC423&lt;0.5),"NM",EK423/EC423*100-100))</f>
        <v>8.1304048595110601</v>
      </c>
      <c r="EM423" s="148">
        <f>EM422/EM408*100</f>
        <v>15.496544197890142</v>
      </c>
      <c r="EN423" s="72">
        <f>IF(ISERROR(EM423/EE423),"NA",IF(OR(EM423/EE423&gt;2,EM423/EE423&lt;0.5),"NM",EM423/EE423*100-100))</f>
        <v>13.574929326953196</v>
      </c>
      <c r="EO423" s="148">
        <f>EO422/EO408*100</f>
        <v>14.980988593155894</v>
      </c>
      <c r="EP423" s="72">
        <f>IF(ISERROR(EO423/EG423),"NA",IF(OR(EO423/EG423&gt;2,EO423/EG423&lt;0.5),"NM",EO423/EG423*100-100))</f>
        <v>14.89585973806507</v>
      </c>
      <c r="EQ423" s="148">
        <f t="shared" ref="EQ423" si="2277">EQ422/EQ408*100</f>
        <v>15.681801031876693</v>
      </c>
      <c r="ER423" s="72">
        <f t="shared" si="2269"/>
        <v>5.521274974085884</v>
      </c>
      <c r="ES423" s="148">
        <f t="shared" ref="ES423" si="2278">ES422/ES408*100</f>
        <v>15.196357476597882</v>
      </c>
      <c r="ET423" s="72">
        <f t="shared" si="2271"/>
        <v>-10.606042860337155</v>
      </c>
      <c r="EU423" s="148">
        <f t="shared" ref="EU423" si="2279">EU422/EU408*100</f>
        <v>15.430437194611901</v>
      </c>
      <c r="EV423" s="72">
        <f t="shared" si="2273"/>
        <v>-0.42659190613117914</v>
      </c>
      <c r="EW423" s="148">
        <f t="shared" ref="EW423" si="2280">EW422/EW408*100</f>
        <v>15.281947357073932</v>
      </c>
      <c r="EX423" s="72">
        <f t="shared" si="2275"/>
        <v>2.0089379418894282</v>
      </c>
      <c r="EY423" s="72"/>
      <c r="EZ423" s="325"/>
      <c r="FA423" s="72"/>
      <c r="FB423" s="149"/>
      <c r="FC423" s="72"/>
      <c r="FD423" s="149"/>
      <c r="FE423" s="72" t="str">
        <f>IF(ISERROR(FD423/FB423),"NA",IF(OR(FD423/FB423&gt;2,FD423/FB423&lt;0.5),"NM",FD423/FB423*100-100))</f>
        <v>NA</v>
      </c>
      <c r="FF423" s="149"/>
      <c r="FG423" s="72" t="str">
        <f>IF(ISERROR(FF423/FD423),"NA",IF(OR(FF423/FD423&gt;2,FF423/FD423&lt;0.5),"NM",FF423/FD423*100-100))</f>
        <v>NA</v>
      </c>
      <c r="FH423" s="148">
        <f>FH422/FH408*100</f>
        <v>16.279069767441861</v>
      </c>
      <c r="FI423" s="72" t="str">
        <f>IF(ISERROR(FH423/FF423),"NA",IF(OR(FH423/FF423&gt;2,FH423/FF423&lt;0.5),"NM",FH423/FF423*100-100))</f>
        <v>NA</v>
      </c>
      <c r="FJ423" s="148">
        <f>FJ422/FJ408*100</f>
        <v>14.03118040089087</v>
      </c>
      <c r="FK423" s="72">
        <f>IF(ISERROR(FJ423/FH423),"NA",IF(OR(FJ423/FH423&gt;2,FJ423/FH423&lt;0.5),"NM",FJ423/FH423*100-100))</f>
        <v>-13.808463251670375</v>
      </c>
      <c r="FL423" s="148">
        <f>FL422/FL408*100</f>
        <v>13.602941176470587</v>
      </c>
      <c r="FM423" s="72">
        <f>IF(ISERROR(FL423/FJ423),"NA",IF(OR(FL423/FJ423&gt;2,FL423/FJ423&lt;0.5),"NM",FL423/FJ423*100-100))</f>
        <v>-3.0520541549953606</v>
      </c>
      <c r="FN423" s="148">
        <f>FN422/FN408*100</f>
        <v>13.682777399591558</v>
      </c>
      <c r="FO423" s="72">
        <f>IF(ISERROR(FN423/FL423),"NA",IF(OR(FN423/FL423&gt;2,FN423/FL423&lt;0.5),"NM",FN423/FL423*100-100))</f>
        <v>0.58690412672713421</v>
      </c>
      <c r="FP423" s="148">
        <f>FP422/FP408*100</f>
        <v>16.125923546418246</v>
      </c>
      <c r="FQ423" s="72">
        <f>IF(ISERROR(FP423/FN423),"NA",IF(OR(FP423/FN423&gt;2,FP423/FN423&lt;0.5),"NM",FP423/FN423*100-100))</f>
        <v>17.855630296957244</v>
      </c>
      <c r="FR423" s="148">
        <f>FR422/FR408*100</f>
        <v>17.186951946685376</v>
      </c>
      <c r="FS423" s="72">
        <f>IF(ISERROR(FR423/FP423),"NA",IF(OR(FR423/FP423&gt;2,FR423/FP423&lt;0.5),"NM",FR423/FP423*100-100))</f>
        <v>6.5796442430907831</v>
      </c>
      <c r="FT423" s="148">
        <f>FT422/FT408*100</f>
        <v>20.323488045007032</v>
      </c>
      <c r="FU423" s="72">
        <f>IF(ISERROR(FT423/FR423),"NA",IF(OR(FT423/FR423&gt;2,FT423/FR423&lt;0.5),"NM",FT423/FR423*100-100))</f>
        <v>18.249519216969475</v>
      </c>
      <c r="FV423" s="148">
        <f>FV422/FV408*100</f>
        <v>5.7672849915682969</v>
      </c>
      <c r="FW423" s="72" t="str">
        <f>IF(ISERROR(FV423/FT423),"NA",IF(OR(FV423/FT423&gt;2,FV423/FT423&lt;0.5),"NM",FV423/FT423*100-100))</f>
        <v>NM</v>
      </c>
      <c r="FX423" s="148">
        <f>FX422/FX408*100</f>
        <v>14.895155459146784</v>
      </c>
      <c r="FY423" s="72" t="str">
        <f>IF(ISERROR(FX423/FV423),"NA",IF(OR(FX423/FV423&gt;2,FX423/FV423&lt;0.5),"NM",FX423/FV423*100-100))</f>
        <v>NM</v>
      </c>
      <c r="FZ423" s="148">
        <f>FZ422/FZ408*100</f>
        <v>15.474747474747474</v>
      </c>
      <c r="GA423" s="72">
        <f>IF(ISERROR(FZ423/FX423),"NA",IF(OR(FZ423/FX423&gt;2,FZ423/FX423&lt;0.5),"NM",FZ423/FX423*100-100))</f>
        <v>3.8911444542512328</v>
      </c>
      <c r="GB423" s="148">
        <f>GB422/GB408*100</f>
        <v>9.0980392156862742</v>
      </c>
      <c r="GC423" s="72">
        <f>IF(ISERROR(GB423/FZ423),"NA",IF(OR(GB423/FZ423&gt;2,GB423/FZ423&lt;0.5),"NM",GB423/FZ423*100-100))</f>
        <v>-41.207187835969897</v>
      </c>
      <c r="GD423" s="148">
        <f>GD422/GD408*100</f>
        <v>5.9415079673532842</v>
      </c>
      <c r="GE423" s="72">
        <f>IF(ISERROR(GD423/GB423),"NA",IF(OR(GD423/GB423&gt;2,GD423/GB423&lt;0.5),"NM",GD423/GB423*100-100))</f>
        <v>-34.694632255384164</v>
      </c>
      <c r="GF423" s="148">
        <f>GF422/GF408*100</f>
        <v>12.055743990561863</v>
      </c>
      <c r="GG423" s="72" t="str">
        <f>IF(ISERROR(GF423/GD423),"NA",IF(OR(GF423/GD423&gt;2,GF423/GD423&lt;0.5),"NM",GF423/GD423*100-100))</f>
        <v>NM</v>
      </c>
      <c r="GH423" s="148">
        <f>GH422/GH408*100</f>
        <v>15.399574034632838</v>
      </c>
      <c r="GI423" s="72">
        <f t="shared" si="2276"/>
        <v>27.73640553987191</v>
      </c>
      <c r="GJ423" s="148">
        <f>GJ422/GJ408*100</f>
        <v>16.100863422291994</v>
      </c>
      <c r="GK423" s="72">
        <f t="shared" si="2276"/>
        <v>4.55395315534048</v>
      </c>
      <c r="GL423" s="148">
        <f>GL422/GL408*100</f>
        <v>14.31552209017509</v>
      </c>
      <c r="GM423" s="72">
        <f t="shared" si="2276"/>
        <v>-11.08848193597531</v>
      </c>
      <c r="GN423" s="148">
        <f>GN422/GN408*100</f>
        <v>15.619274459508977</v>
      </c>
      <c r="GO423" s="72">
        <f t="shared" si="2276"/>
        <v>9.1072638575205644</v>
      </c>
      <c r="GP423" s="148">
        <f>GP422/GP408*100</f>
        <v>15.394006795607321</v>
      </c>
      <c r="GQ423" s="72">
        <f t="shared" si="2276"/>
        <v>-1.4422415361586332</v>
      </c>
      <c r="GR423" s="148">
        <f>GR422/GR408*100</f>
        <v>15.366566540510021</v>
      </c>
      <c r="GS423" s="72">
        <f t="shared" si="2276"/>
        <v>-0.17825284516004558</v>
      </c>
      <c r="GT423" s="148">
        <f>GT422/GT408*100</f>
        <v>15.238088901809219</v>
      </c>
      <c r="GU423" s="72">
        <f t="shared" si="2276"/>
        <v>-0.8360855260809501</v>
      </c>
      <c r="GV423" s="148">
        <f>GV422/GV408*100</f>
        <v>15.109607715679092</v>
      </c>
      <c r="GW423" s="72">
        <f>IF(ISERROR(GV423/GT423),"NA",IF(OR(GV423/GT423&gt;2,GV423/GT423&lt;0.5),"NM",GV423/GT423*100-100))</f>
        <v>-0.84315813457993727</v>
      </c>
      <c r="GX423" s="148">
        <f>GX422/GX408*100</f>
        <v>14.981123017242709</v>
      </c>
      <c r="GY423" s="72">
        <f>IF(ISERROR(GX423/GV423),"NA",IF(OR(GX423/GV423&gt;2,GX423/GV423&lt;0.5),"NM",GX423/GV423*100-100))</f>
        <v>-0.85035098762395478</v>
      </c>
      <c r="GZ423" s="72">
        <f>IF(ISERROR(((GX423/GN423)^0.2-1)*100),"NA",IF((((GX423/GN423)^0.2-1)*100)&gt;100,"NM",IF((((GX423/GN423)^0.2-1)*100)&lt;-50,"NM",((GX423/GN423)^0.2-1)*100)))</f>
        <v>-0.83082443396884642</v>
      </c>
      <c r="HA423" s="72"/>
      <c r="HB423" s="72"/>
      <c r="HC423"/>
      <c r="HD423"/>
      <c r="HE423"/>
      <c r="HF423"/>
      <c r="HG423"/>
      <c r="HH423"/>
      <c r="HI423" s="2"/>
    </row>
    <row r="424" spans="1:217" ht="12.75" customHeight="1" x14ac:dyDescent="0.2">
      <c r="B424" s="77"/>
      <c r="C424" s="109"/>
      <c r="D424" s="72"/>
      <c r="E424" s="109"/>
      <c r="F424" s="72"/>
      <c r="G424" s="109"/>
      <c r="H424" s="72"/>
      <c r="I424" s="109"/>
      <c r="J424" s="72"/>
      <c r="K424" s="109"/>
      <c r="L424" s="72"/>
      <c r="M424" s="109"/>
      <c r="N424" s="72"/>
      <c r="O424" s="109"/>
      <c r="P424" s="72"/>
      <c r="Q424" s="109"/>
      <c r="R424" s="72"/>
      <c r="S424" s="109"/>
      <c r="T424" s="72"/>
      <c r="U424" s="109"/>
      <c r="V424" s="72"/>
      <c r="W424" s="109"/>
      <c r="X424" s="72"/>
      <c r="Y424" s="109"/>
      <c r="Z424" s="72"/>
      <c r="AA424" s="109"/>
      <c r="AB424" s="72"/>
      <c r="AC424" s="109"/>
      <c r="AD424" s="72"/>
      <c r="AE424" s="109"/>
      <c r="AF424" s="72"/>
      <c r="AG424" s="109"/>
      <c r="AH424" s="72"/>
      <c r="AI424" s="109"/>
      <c r="AJ424" s="72"/>
      <c r="AK424" s="109"/>
      <c r="AL424" s="72"/>
      <c r="AM424" s="109"/>
      <c r="AN424" s="72"/>
      <c r="AO424" s="109"/>
      <c r="AP424" s="72"/>
      <c r="AQ424" s="109"/>
      <c r="AR424" s="72"/>
      <c r="AS424" s="109"/>
      <c r="AT424" s="72"/>
      <c r="AU424" s="109"/>
      <c r="AV424" s="72"/>
      <c r="AW424" s="109"/>
      <c r="AX424" s="72"/>
      <c r="AY424" s="109"/>
      <c r="AZ424" s="72"/>
      <c r="BA424" s="109"/>
      <c r="BB424" s="72"/>
      <c r="BC424" s="109"/>
      <c r="BD424" s="72"/>
      <c r="BE424" s="109"/>
      <c r="BF424" s="72"/>
      <c r="BG424" s="109"/>
      <c r="BH424" s="72"/>
      <c r="BI424" s="109"/>
      <c r="BJ424" s="72"/>
      <c r="BK424" s="109"/>
      <c r="BL424" s="72"/>
      <c r="BM424" s="109"/>
      <c r="BN424" s="72"/>
      <c r="BO424" s="109"/>
      <c r="BP424" s="72"/>
      <c r="BQ424" s="109"/>
      <c r="BR424" s="72"/>
      <c r="BS424" s="109"/>
      <c r="BT424" s="72"/>
      <c r="BU424" s="109"/>
      <c r="BV424" s="72"/>
      <c r="BW424" s="109"/>
      <c r="BX424" s="72"/>
      <c r="BY424" s="109"/>
      <c r="BZ424" s="72"/>
      <c r="CA424" s="109"/>
      <c r="CB424" s="72"/>
      <c r="CC424" s="109"/>
      <c r="CD424" s="72"/>
      <c r="CE424" s="109"/>
      <c r="CF424" s="72"/>
      <c r="CG424" s="109"/>
      <c r="CH424" s="72"/>
      <c r="CI424" s="109"/>
      <c r="CJ424" s="72"/>
      <c r="CK424" s="109"/>
      <c r="CL424" s="72"/>
      <c r="CM424" s="109"/>
      <c r="CN424" s="72"/>
      <c r="CO424" s="109"/>
      <c r="CP424" s="72"/>
      <c r="CQ424" s="109"/>
      <c r="CR424" s="72"/>
      <c r="CS424" s="109"/>
      <c r="CT424" s="72"/>
      <c r="CU424" s="109"/>
      <c r="CV424" s="72"/>
      <c r="CW424" s="109"/>
      <c r="CX424" s="72"/>
      <c r="CY424" s="109"/>
      <c r="CZ424" s="72"/>
      <c r="DA424" s="109"/>
      <c r="DB424" s="72"/>
      <c r="DC424" s="109"/>
      <c r="DD424" s="72"/>
      <c r="DE424" s="109"/>
      <c r="DF424" s="72"/>
      <c r="DG424" s="109"/>
      <c r="DH424" s="72"/>
      <c r="DI424" s="109"/>
      <c r="DJ424" s="72"/>
      <c r="DK424" s="109"/>
      <c r="DL424" s="72"/>
      <c r="DM424" s="109"/>
      <c r="DN424" s="72"/>
      <c r="DO424" s="109"/>
      <c r="DP424" s="72"/>
      <c r="DQ424" s="109"/>
      <c r="DR424" s="72"/>
      <c r="DS424" s="109"/>
      <c r="DT424" s="72"/>
      <c r="DU424" s="109"/>
      <c r="DV424" s="72"/>
      <c r="DW424" s="109"/>
      <c r="DX424" s="72"/>
      <c r="DY424" s="109"/>
      <c r="DZ424" s="72"/>
      <c r="EA424" s="109"/>
      <c r="EB424" s="72"/>
      <c r="EC424" s="109"/>
      <c r="ED424" s="72"/>
      <c r="EE424" s="109"/>
      <c r="EF424" s="72"/>
      <c r="EG424" s="109"/>
      <c r="EH424" s="72"/>
      <c r="EI424" s="109"/>
      <c r="EJ424" s="72"/>
      <c r="EK424" s="109"/>
      <c r="EL424" s="72"/>
      <c r="EM424" s="109"/>
      <c r="EN424" s="72"/>
      <c r="EO424" s="109"/>
      <c r="EP424" s="72"/>
      <c r="EQ424" s="109"/>
      <c r="ER424" s="72"/>
      <c r="ES424" s="109"/>
      <c r="ET424" s="72"/>
      <c r="EU424" s="109"/>
      <c r="EV424" s="72"/>
      <c r="EW424" s="109"/>
      <c r="EX424" s="72"/>
      <c r="EY424" s="72"/>
      <c r="EZ424" s="306"/>
      <c r="FA424" s="72"/>
      <c r="FB424" s="109"/>
      <c r="FC424" s="72"/>
      <c r="FD424" s="109"/>
      <c r="FE424" s="72"/>
      <c r="FF424" s="109"/>
      <c r="FG424" s="72"/>
      <c r="FH424" s="109"/>
      <c r="FI424" s="72"/>
      <c r="FJ424" s="109"/>
      <c r="FK424" s="72"/>
      <c r="FL424" s="109"/>
      <c r="FM424" s="72"/>
      <c r="FN424" s="109"/>
      <c r="FO424" s="72"/>
      <c r="FP424" s="109"/>
      <c r="FQ424" s="72"/>
      <c r="FR424" s="109"/>
      <c r="FS424" s="72"/>
      <c r="FT424" s="109"/>
      <c r="FU424" s="72"/>
      <c r="FV424" s="109"/>
      <c r="FW424" s="72"/>
      <c r="FX424" s="109"/>
      <c r="FY424" s="72"/>
      <c r="FZ424" s="109"/>
      <c r="GA424" s="72"/>
      <c r="GB424" s="109"/>
      <c r="GC424" s="72"/>
      <c r="GD424" s="109"/>
      <c r="GE424" s="72"/>
      <c r="GF424" s="109"/>
      <c r="GG424" s="72"/>
      <c r="GH424" s="109"/>
      <c r="GI424" s="72"/>
      <c r="GJ424" s="109"/>
      <c r="GK424" s="72"/>
      <c r="GL424" s="109"/>
      <c r="GM424" s="72"/>
      <c r="GN424" s="109"/>
      <c r="GO424" s="72"/>
      <c r="GP424" s="109"/>
      <c r="GQ424" s="72"/>
      <c r="GR424" s="109"/>
      <c r="GS424" s="72"/>
      <c r="GT424" s="109"/>
      <c r="GU424" s="72"/>
      <c r="GV424" s="109"/>
      <c r="GW424" s="72"/>
      <c r="GX424" s="109"/>
      <c r="GY424" s="72"/>
      <c r="GZ424" s="72"/>
      <c r="HA424" s="72"/>
      <c r="HB424" s="72"/>
    </row>
    <row r="425" spans="1:217" s="3" customFormat="1" ht="12.75" customHeight="1" x14ac:dyDescent="0.2">
      <c r="B425" s="77" t="s">
        <v>251</v>
      </c>
      <c r="C425" s="75"/>
      <c r="D425" s="72"/>
      <c r="E425" s="75"/>
      <c r="F425" s="72"/>
      <c r="G425" s="75"/>
      <c r="H425" s="72"/>
      <c r="I425" s="75"/>
      <c r="J425" s="72"/>
      <c r="K425" s="75"/>
      <c r="L425" s="72"/>
      <c r="M425" s="75"/>
      <c r="N425" s="72"/>
      <c r="O425" s="75"/>
      <c r="P425" s="72"/>
      <c r="Q425" s="75"/>
      <c r="R425" s="72"/>
      <c r="S425" s="75"/>
      <c r="T425" s="72"/>
      <c r="U425" s="75"/>
      <c r="V425" s="72"/>
      <c r="W425" s="75"/>
      <c r="X425" s="72"/>
      <c r="Y425" s="75"/>
      <c r="Z425" s="72"/>
      <c r="AA425" s="75"/>
      <c r="AB425" s="72"/>
      <c r="AC425" s="75"/>
      <c r="AD425" s="72"/>
      <c r="AE425" s="75"/>
      <c r="AF425" s="72"/>
      <c r="AG425" s="75"/>
      <c r="AH425" s="72"/>
      <c r="AI425" s="75"/>
      <c r="AJ425" s="72"/>
      <c r="AK425" s="75"/>
      <c r="AL425" s="72"/>
      <c r="AM425" s="75"/>
      <c r="AN425" s="72"/>
      <c r="AO425" s="75"/>
      <c r="AP425" s="72"/>
      <c r="AQ425" s="75"/>
      <c r="AR425" s="72"/>
      <c r="AS425" s="75"/>
      <c r="AT425" s="72"/>
      <c r="AU425" s="75"/>
      <c r="AV425" s="72"/>
      <c r="AW425" s="75"/>
      <c r="AX425" s="72"/>
      <c r="AY425" s="75"/>
      <c r="AZ425" s="72"/>
      <c r="BA425" s="75"/>
      <c r="BB425" s="72"/>
      <c r="BC425" s="75"/>
      <c r="BD425" s="72"/>
      <c r="BE425" s="75"/>
      <c r="BF425" s="72"/>
      <c r="BG425" s="75"/>
      <c r="BH425" s="72"/>
      <c r="BI425" s="75"/>
      <c r="BJ425" s="72"/>
      <c r="BK425" s="75"/>
      <c r="BL425" s="72"/>
      <c r="BM425" s="75"/>
      <c r="BN425" s="72"/>
      <c r="BO425" s="75"/>
      <c r="BP425" s="72"/>
      <c r="BQ425" s="75"/>
      <c r="BR425" s="72"/>
      <c r="BS425" s="75"/>
      <c r="BT425" s="72"/>
      <c r="BU425" s="75"/>
      <c r="BV425" s="72"/>
      <c r="BW425" s="75"/>
      <c r="BX425" s="72"/>
      <c r="BY425" s="75"/>
      <c r="BZ425" s="72"/>
      <c r="CA425" s="75"/>
      <c r="CB425" s="72"/>
      <c r="CC425" s="75"/>
      <c r="CD425" s="72"/>
      <c r="CE425" s="75"/>
      <c r="CF425" s="72"/>
      <c r="CG425" s="75"/>
      <c r="CH425" s="72"/>
      <c r="CI425" s="75"/>
      <c r="CJ425" s="72"/>
      <c r="CK425" s="75"/>
      <c r="CL425" s="72"/>
      <c r="CM425" s="74">
        <v>-8</v>
      </c>
      <c r="CN425" s="72" t="str">
        <f>IF(ISERROR(CM425/CE425),"NA",IF(OR(CM425/CE425&gt;2,CM425/CE425&lt;0.5),"NM",CM425/CE425*100-100))</f>
        <v>NA</v>
      </c>
      <c r="CO425" s="74">
        <v>-29</v>
      </c>
      <c r="CP425" s="72" t="str">
        <f>IF(ISERROR(CO425/CG425),"NA",IF(OR(CO425/CG425&gt;2,CO425/CG425&lt;0.5),"NM",CO425/CG425*100-100))</f>
        <v>NA</v>
      </c>
      <c r="CQ425" s="74">
        <v>-43</v>
      </c>
      <c r="CR425" s="72" t="str">
        <f>IF(ISERROR(CQ425/CI425),"NA",IF(OR(CQ425/CI425&gt;2,CQ425/CI425&lt;0.5),"NM",CQ425/CI425*100-100))</f>
        <v>NA</v>
      </c>
      <c r="CS425" s="74">
        <f>-94</f>
        <v>-94</v>
      </c>
      <c r="CT425" s="72" t="str">
        <f>IF(ISERROR(CS425/CK425),"NA",IF(OR(CS425/CK425&gt;2,CS425/CK425&lt;0.5),"NM",CS425/CK425*100-100))</f>
        <v>NA</v>
      </c>
      <c r="CU425" s="74">
        <v>-57</v>
      </c>
      <c r="CV425" s="72" t="str">
        <f>IF(ISERROR(CU425/CM425),"NA",IF(OR(CU425/CM425&gt;2,CU425/CM425&lt;0.5),"NM",CU425/CM425*100-100))</f>
        <v>NM</v>
      </c>
      <c r="CW425" s="74">
        <v>-38</v>
      </c>
      <c r="CX425" s="72">
        <f>IF(ISERROR(CW425/CO425),"NA",IF(OR(CW425/CO425&gt;2,CW425/CO425&lt;0.5),"NM",CW425/CO425*100-100))</f>
        <v>31.034482758620697</v>
      </c>
      <c r="CY425" s="74">
        <v>-34</v>
      </c>
      <c r="CZ425" s="72">
        <f>IF(ISERROR(CY425/CQ425),"NA",IF(OR(CY425/CQ425&gt;2,CY425/CQ425&lt;0.5),"NM",CY425/CQ425*100-100))</f>
        <v>-20.930232558139537</v>
      </c>
      <c r="DA425" s="74">
        <v>-10</v>
      </c>
      <c r="DB425" s="72" t="str">
        <f>IF(ISERROR(DA425/CS425),"NA",IF(OR(DA425/CS425&gt;2,DA425/CS425&lt;0.5),"NM",DA425/CS425*100-100))</f>
        <v>NM</v>
      </c>
      <c r="DC425" s="74">
        <v>-3</v>
      </c>
      <c r="DD425" s="72" t="str">
        <f>IF(ISERROR(DC425/CU425),"NA",IF(OR(DC425/CU425&gt;2,DC425/CU425&lt;0.5),"NM",DC425/CU425*100-100))</f>
        <v>NM</v>
      </c>
      <c r="DE425" s="74">
        <v>-6</v>
      </c>
      <c r="DF425" s="72" t="str">
        <f>IF(ISERROR(DE425/CW425),"NA",IF(OR(DE425/CW425&gt;2,DE425/CW425&lt;0.5),"NM",DE425/CW425*100-100))</f>
        <v>NM</v>
      </c>
      <c r="DG425" s="74">
        <v>-8</v>
      </c>
      <c r="DH425" s="72" t="str">
        <f>IF(ISERROR(DG425/CY425),"NA",IF(OR(DG425/CY425&gt;2,DG425/CY425&lt;0.5),"NM",DG425/CY425*100-100))</f>
        <v>NM</v>
      </c>
      <c r="DI425" s="74">
        <v>-11</v>
      </c>
      <c r="DJ425" s="72">
        <f>IF(ISERROR(DI425/DA425),"NA",IF(OR(DI425/DA425&gt;2,DI425/DA425&lt;0.5),"NM",DI425/DA425*100-100))</f>
        <v>10.000000000000014</v>
      </c>
      <c r="DK425" s="74">
        <v>0</v>
      </c>
      <c r="DL425" s="72" t="str">
        <f>IF(ISERROR(DK425/DC425),"NA",IF(OR(DK425/DC425&gt;2,DK425/DC425&lt;0.5),"NM",DK425/DC425*100-100))</f>
        <v>NM</v>
      </c>
      <c r="DM425" s="74">
        <v>0</v>
      </c>
      <c r="DN425" s="72" t="str">
        <f t="shared" ref="DN425:DZ429" si="2281">IF(ISERROR(DM425/DE425),"NA",IF(OR(DM425/DE425&gt;2,DM425/DE425&lt;0.5),"NM",DM425/DE425*100-100))</f>
        <v>NM</v>
      </c>
      <c r="DO425" s="74">
        <v>0</v>
      </c>
      <c r="DP425" s="72" t="str">
        <f t="shared" si="2281"/>
        <v>NM</v>
      </c>
      <c r="DQ425" s="74">
        <v>0</v>
      </c>
      <c r="DR425" s="72" t="str">
        <f t="shared" si="2281"/>
        <v>NM</v>
      </c>
      <c r="DS425" s="74">
        <v>0</v>
      </c>
      <c r="DT425" s="72" t="str">
        <f t="shared" si="2281"/>
        <v>NA</v>
      </c>
      <c r="DU425" s="74">
        <v>0</v>
      </c>
      <c r="DV425" s="72" t="str">
        <f t="shared" si="2281"/>
        <v>NA</v>
      </c>
      <c r="DW425" s="74">
        <v>0</v>
      </c>
      <c r="DX425" s="72" t="str">
        <f t="shared" si="2281"/>
        <v>NA</v>
      </c>
      <c r="DY425" s="74">
        <v>0</v>
      </c>
      <c r="DZ425" s="72" t="str">
        <f t="shared" si="2281"/>
        <v>NA</v>
      </c>
      <c r="EA425" s="74">
        <v>0</v>
      </c>
      <c r="EB425" s="72" t="str">
        <f>IF(ISERROR(EA425/DS425),"NA",IF(OR(EA425/DS425&gt;2,EA425/DS425&lt;0.5),"NM",EA425/DS425*100-100))</f>
        <v>NA</v>
      </c>
      <c r="EC425" s="74">
        <v>0</v>
      </c>
      <c r="ED425" s="72" t="str">
        <f>IF(ISERROR(EC425/DU425),"NA",IF(OR(EC425/DU425&gt;2,EC425/DU425&lt;0.5),"NM",EC425/DU425*100-100))</f>
        <v>NA</v>
      </c>
      <c r="EE425" s="74">
        <v>0</v>
      </c>
      <c r="EF425" s="72" t="str">
        <f>IF(ISERROR(EE425/DW425),"NA",IF(OR(EE425/DW425&gt;2,EE425/DW425&lt;0.5),"NM",EE425/DW425*100-100))</f>
        <v>NA</v>
      </c>
      <c r="EG425" s="74">
        <f>+EE425</f>
        <v>0</v>
      </c>
      <c r="EH425" s="72" t="str">
        <f>IF(ISERROR(EG425/DY425),"NA",IF(OR(EG425/DY425&gt;2,EG425/DY425&lt;0.5),"NM",EG425/DY425*100-100))</f>
        <v>NA</v>
      </c>
      <c r="EI425" s="74">
        <f>+EG425</f>
        <v>0</v>
      </c>
      <c r="EJ425" s="72" t="str">
        <f>IF(ISERROR(EI425/EA425),"NA",IF(OR(EI425/EA425&gt;2,EI425/EA425&lt;0.5),"NM",EI425/EA425*100-100))</f>
        <v>NA</v>
      </c>
      <c r="EK425" s="74">
        <f>+EI425</f>
        <v>0</v>
      </c>
      <c r="EL425" s="72" t="str">
        <f>IF(ISERROR(EK425/EC425),"NA",IF(OR(EK425/EC425&gt;2,EK425/EC425&lt;0.5),"NM",EK425/EC425*100-100))</f>
        <v>NA</v>
      </c>
      <c r="EM425" s="74">
        <f>+EK425</f>
        <v>0</v>
      </c>
      <c r="EN425" s="72" t="str">
        <f>IF(ISERROR(EM425/EE425),"NA",IF(OR(EM425/EE425&gt;2,EM425/EE425&lt;0.5),"NM",EM425/EE425*100-100))</f>
        <v>NA</v>
      </c>
      <c r="EO425" s="74">
        <v>0</v>
      </c>
      <c r="EP425" s="72" t="str">
        <f>IF(ISERROR(EO425/EG425),"NA",IF(OR(EO425/EG425&gt;2,EO425/EG425&lt;0.5),"NM",EO425/EG425*100-100))</f>
        <v>NA</v>
      </c>
      <c r="EQ425" s="74">
        <f t="shared" ref="EQ425" si="2282">+EO425</f>
        <v>0</v>
      </c>
      <c r="ER425" s="72" t="str">
        <f t="shared" ref="ER425:ER429" si="2283">IF(ISERROR(EQ425/EI425),"NA",IF(OR(EQ425/EI425&gt;2,EQ425/EI425&lt;0.5),"NM",EQ425/EI425*100-100))</f>
        <v>NA</v>
      </c>
      <c r="ES425" s="74">
        <f t="shared" ref="ES425" si="2284">+EQ425</f>
        <v>0</v>
      </c>
      <c r="ET425" s="72" t="str">
        <f t="shared" ref="ET425:ET429" si="2285">IF(ISERROR(ES425/EK425),"NA",IF(OR(ES425/EK425&gt;2,ES425/EK425&lt;0.5),"NM",ES425/EK425*100-100))</f>
        <v>NA</v>
      </c>
      <c r="EU425" s="74">
        <f t="shared" ref="EU425" si="2286">+ES425</f>
        <v>0</v>
      </c>
      <c r="EV425" s="72" t="str">
        <f t="shared" ref="EV425:EV429" si="2287">IF(ISERROR(EU425/EM425),"NA",IF(OR(EU425/EM425&gt;2,EU425/EM425&lt;0.5),"NM",EU425/EM425*100-100))</f>
        <v>NA</v>
      </c>
      <c r="EW425" s="74">
        <f t="shared" ref="EW425" si="2288">+EU425</f>
        <v>0</v>
      </c>
      <c r="EX425" s="72" t="str">
        <f t="shared" ref="EX425:EX429" si="2289">IF(ISERROR(EW425/EO425),"NA",IF(OR(EW425/EO425&gt;2,EW425/EO425&lt;0.5),"NM",EW425/EO425*100-100))</f>
        <v>NA</v>
      </c>
      <c r="EY425" s="72"/>
      <c r="EZ425" s="306"/>
      <c r="FA425" s="72"/>
      <c r="FB425" s="75"/>
      <c r="FC425" s="72"/>
      <c r="FD425" s="75"/>
      <c r="FE425" s="72"/>
      <c r="FF425" s="75"/>
      <c r="FG425" s="72"/>
      <c r="FH425" s="74">
        <v>0</v>
      </c>
      <c r="FI425" s="72" t="str">
        <f>IF(ISERROR(FH425/FF425),"NA",IF(OR(FH425/FF425&gt;2,FH425/FF425&lt;0.5),"NM",FH425/FF425*100-100))</f>
        <v>NA</v>
      </c>
      <c r="FJ425" s="74">
        <v>0</v>
      </c>
      <c r="FK425" s="72" t="str">
        <f>IF(ISERROR(FJ425/FH425),"NA",IF(OR(FJ425/FH425&gt;2,FJ425/FH425&lt;0.5),"NM",FJ425/FH425*100-100))</f>
        <v>NA</v>
      </c>
      <c r="FL425" s="74">
        <v>0</v>
      </c>
      <c r="FM425" s="72" t="str">
        <f>IF(ISERROR(FL425/FJ425),"NA",IF(OR(FL425/FJ425&gt;2,FL425/FJ425&lt;0.5),"NM",FL425/FJ425*100-100))</f>
        <v>NA</v>
      </c>
      <c r="FN425" s="74">
        <v>0</v>
      </c>
      <c r="FO425" s="72" t="str">
        <f>IF(ISERROR(FN425/FL425),"NA",IF(OR(FN425/FL425&gt;2,FN425/FL425&lt;0.5),"NM",FN425/FL425*100-100))</f>
        <v>NA</v>
      </c>
      <c r="FP425" s="74">
        <v>0</v>
      </c>
      <c r="FQ425" s="72" t="str">
        <f>IF(ISERROR(FP425/FN425),"NA",IF(OR(FP425/FN425&gt;2,FP425/FN425&lt;0.5),"NM",FP425/FN425*100-100))</f>
        <v>NA</v>
      </c>
      <c r="FR425" s="74">
        <v>0</v>
      </c>
      <c r="FS425" s="72" t="str">
        <f>IF(ISERROR(FR425/FP425),"NA",IF(OR(FR425/FP425&gt;2,FR425/FP425&lt;0.5),"NM",FR425/FP425*100-100))</f>
        <v>NA</v>
      </c>
      <c r="FT425" s="74">
        <v>0</v>
      </c>
      <c r="FU425" s="72" t="str">
        <f>IF(ISERROR(FT425/FR425),"NA",IF(OR(FT425/FR425&gt;2,FT425/FR425&lt;0.5),"NM",FT425/FR425*100-100))</f>
        <v>NA</v>
      </c>
      <c r="FV425" s="74">
        <v>0</v>
      </c>
      <c r="FW425" s="72" t="str">
        <f>IF(ISERROR(FV425/FT425),"NA",IF(OR(FV425/FT425&gt;2,FV425/FT425&lt;0.5),"NM",FV425/FT425*100-100))</f>
        <v>NA</v>
      </c>
      <c r="FX425" s="74">
        <v>0</v>
      </c>
      <c r="FY425" s="72" t="str">
        <f>IF(ISERROR(FX425/FV425),"NA",IF(OR(FX425/FV425&gt;2,FX425/FV425&lt;0.5),"NM",FX425/FV425*100-100))</f>
        <v>NA</v>
      </c>
      <c r="FZ425" s="74">
        <v>0</v>
      </c>
      <c r="GA425" s="72" t="str">
        <f>IF(ISERROR(FZ425/FX425),"NA",IF(OR(FZ425/FX425&gt;2,FZ425/FX425&lt;0.5),"NM",FZ425/FX425*100-100))</f>
        <v>NA</v>
      </c>
      <c r="GB425" s="75">
        <f>+CM425+CO425+CQ425+CS425</f>
        <v>-174</v>
      </c>
      <c r="GC425" s="72" t="str">
        <f>IF(ISERROR(GB425/FZ425),"NA",IF(OR(GB425/FZ425&gt;2,GB425/FZ425&lt;0.5),"NM",GB425/FZ425*100-100))</f>
        <v>NA</v>
      </c>
      <c r="GD425" s="75">
        <f>+CU425+CW425+CY425+DA425</f>
        <v>-139</v>
      </c>
      <c r="GE425" s="72">
        <f>IF(ISERROR(GD425/GB425),"NA",IF(OR(GD425/GB425&gt;2,GD425/GB425&lt;0.5),"NM",GD425/GB425*100-100))</f>
        <v>-20.114942528735639</v>
      </c>
      <c r="GF425" s="75">
        <f>+DC425+DE425+DG425+DI425</f>
        <v>-28</v>
      </c>
      <c r="GG425" s="72" t="str">
        <f>IF(ISERROR(GF425/GD425),"NA",IF(OR(GF425/GD425&gt;2,GF425/GD425&lt;0.5),"NM",GF425/GD425*100-100))</f>
        <v>NM</v>
      </c>
      <c r="GH425" s="75">
        <f>+DK425+DM425+DO425+DQ425</f>
        <v>0</v>
      </c>
      <c r="GI425" s="72" t="str">
        <f t="shared" ref="GI425:GU429" si="2290">IF(ISERROR(GH425/GF425),"NA",IF(OR(GH425/GF425&gt;2,GH425/GF425&lt;0.5),"NM",GH425/GF425*100-100))</f>
        <v>NM</v>
      </c>
      <c r="GJ425" s="75">
        <f>+DS425+DU425+DW425+DY425</f>
        <v>0</v>
      </c>
      <c r="GK425" s="72" t="str">
        <f t="shared" si="2290"/>
        <v>NA</v>
      </c>
      <c r="GL425" s="75">
        <f>EA425+EC425+EE425+EG425</f>
        <v>0</v>
      </c>
      <c r="GM425" s="72" t="str">
        <f t="shared" si="2290"/>
        <v>NA</v>
      </c>
      <c r="GN425" s="75">
        <f>EI425+EK425+EM425+EO425</f>
        <v>0</v>
      </c>
      <c r="GO425" s="72" t="str">
        <f t="shared" si="2290"/>
        <v>NA</v>
      </c>
      <c r="GP425" s="75">
        <f>EQ425+ES425+EU425+EW425</f>
        <v>0</v>
      </c>
      <c r="GQ425" s="72" t="str">
        <f t="shared" si="2290"/>
        <v>NA</v>
      </c>
      <c r="GR425" s="74">
        <v>0</v>
      </c>
      <c r="GS425" s="72" t="str">
        <f t="shared" si="2290"/>
        <v>NA</v>
      </c>
      <c r="GT425" s="74">
        <v>0</v>
      </c>
      <c r="GU425" s="72" t="str">
        <f t="shared" si="2290"/>
        <v>NA</v>
      </c>
      <c r="GV425" s="74">
        <v>0</v>
      </c>
      <c r="GW425" s="72" t="str">
        <f>IF(ISERROR(GV425/GT425),"NA",IF(OR(GV425/GT425&gt;2,GV425/GT425&lt;0.5),"NM",GV425/GT425*100-100))</f>
        <v>NA</v>
      </c>
      <c r="GX425" s="74">
        <v>0</v>
      </c>
      <c r="GY425" s="72" t="str">
        <f>IF(ISERROR(GX425/GV425),"NA",IF(OR(GX425/GV425&gt;2,GX425/GV425&lt;0.5),"NM",GX425/GV425*100-100))</f>
        <v>NA</v>
      </c>
      <c r="GZ425" s="72" t="str">
        <f>IF(ISERROR(((GX425/GN425)^0.2-1)*100),"NA",IF((((GX425/GN425)^0.2-1)*100)&gt;100,"NM",IF((((GX425/GN425)^0.2-1)*100)&lt;-50,"NM",((GX425/GN425)^0.2-1)*100)))</f>
        <v>NA</v>
      </c>
      <c r="HA425" s="72"/>
      <c r="HB425" s="72"/>
      <c r="HC425"/>
      <c r="HD425"/>
      <c r="HE425"/>
      <c r="HF425"/>
      <c r="HG425"/>
      <c r="HH425"/>
      <c r="HI425" s="102"/>
    </row>
    <row r="426" spans="1:217" s="69" customFormat="1" ht="12.75" customHeight="1" x14ac:dyDescent="0.2">
      <c r="A426" s="3"/>
      <c r="B426" s="70" t="s">
        <v>377</v>
      </c>
      <c r="C426" s="91"/>
      <c r="D426" s="72"/>
      <c r="E426" s="91"/>
      <c r="F426" s="72"/>
      <c r="G426" s="91"/>
      <c r="H426" s="72"/>
      <c r="I426" s="91"/>
      <c r="J426" s="72"/>
      <c r="K426" s="91"/>
      <c r="L426" s="72"/>
      <c r="M426" s="91"/>
      <c r="N426" s="72"/>
      <c r="O426" s="91"/>
      <c r="P426" s="72"/>
      <c r="Q426" s="91"/>
      <c r="R426" s="72"/>
      <c r="S426" s="91"/>
      <c r="T426" s="72"/>
      <c r="U426" s="91"/>
      <c r="V426" s="72"/>
      <c r="W426" s="91"/>
      <c r="X426" s="72"/>
      <c r="Y426" s="91"/>
      <c r="Z426" s="72"/>
      <c r="AA426" s="91"/>
      <c r="AB426" s="72"/>
      <c r="AC426" s="91"/>
      <c r="AD426" s="72"/>
      <c r="AE426" s="91"/>
      <c r="AF426" s="72"/>
      <c r="AG426" s="91"/>
      <c r="AH426" s="72"/>
      <c r="AI426" s="91"/>
      <c r="AJ426" s="72"/>
      <c r="AK426" s="91"/>
      <c r="AL426" s="72"/>
      <c r="AM426" s="91"/>
      <c r="AN426" s="72"/>
      <c r="AO426" s="91"/>
      <c r="AP426" s="72"/>
      <c r="AQ426" s="91"/>
      <c r="AR426" s="72"/>
      <c r="AS426" s="91"/>
      <c r="AT426" s="72"/>
      <c r="AU426" s="91"/>
      <c r="AV426" s="72"/>
      <c r="AW426" s="91"/>
      <c r="AX426" s="72"/>
      <c r="AY426" s="91">
        <f>AY422-AY425</f>
        <v>109</v>
      </c>
      <c r="AZ426" s="72" t="str">
        <f>IF(ISERROR(AY426/AQ426),"NA",IF(OR(AY426/AQ426&gt;2,AY426/AQ426&lt;0.5),"NM",AY426/AQ426*100-100))</f>
        <v>NA</v>
      </c>
      <c r="BA426" s="91">
        <f>BA422-BA425</f>
        <v>102</v>
      </c>
      <c r="BB426" s="72" t="str">
        <f>IF(ISERROR(BA426/AS426),"NA",IF(OR(BA426/AS426&gt;2,BA426/AS426&lt;0.5),"NM",BA426/AS426*100-100))</f>
        <v>NA</v>
      </c>
      <c r="BC426" s="91">
        <f>BC422-BC425</f>
        <v>148</v>
      </c>
      <c r="BD426" s="72" t="str">
        <f>IF(ISERROR(BC426/AU426),"NA",IF(OR(BC426/AU426&gt;2,BC426/AU426&lt;0.5),"NM",BC426/AU426*100-100))</f>
        <v>NA</v>
      </c>
      <c r="BE426" s="91">
        <f>BE422-BE425</f>
        <v>131</v>
      </c>
      <c r="BF426" s="72" t="str">
        <f>IF(ISERROR(BE426/AW426),"NA",IF(OR(BE426/AW426&gt;2,BE426/AW426&lt;0.5),"NM",BE426/AW426*100-100))</f>
        <v>NA</v>
      </c>
      <c r="BG426" s="91">
        <f>BG422-BG425</f>
        <v>143</v>
      </c>
      <c r="BH426" s="72">
        <f>IF(ISERROR(BG426/AY426),"NA",IF(OR(BG426/AY426&gt;2,BG426/AY426&lt;0.5),"NM",BG426/AY426*100-100))</f>
        <v>31.192660550458697</v>
      </c>
      <c r="BI426" s="91">
        <f>BI422-BI425</f>
        <v>157</v>
      </c>
      <c r="BJ426" s="72">
        <f>IF(ISERROR(BI426/BA426),"NA",IF(OR(BI426/BA426&gt;2,BI426/BA426&lt;0.5),"NM",BI426/BA426*100-100))</f>
        <v>53.921568627450995</v>
      </c>
      <c r="BK426" s="91">
        <f>BK422-BK425</f>
        <v>157</v>
      </c>
      <c r="BL426" s="72">
        <f>IF(ISERROR(BK426/BC426),"NA",IF(OR(BK426/BC426&gt;2,BK426/BC426&lt;0.5),"NM",BK426/BC426*100-100))</f>
        <v>6.0810810810810807</v>
      </c>
      <c r="BM426" s="91">
        <f>BM422-BM425</f>
        <v>121</v>
      </c>
      <c r="BN426" s="72">
        <f>IF(ISERROR(BM426/BE426),"NA",IF(OR(BM426/BE426&gt;2,BM426/BE426&lt;0.5),"NM",BM426/BE426*100-100))</f>
        <v>-7.6335877862595396</v>
      </c>
      <c r="BO426" s="91">
        <f>BO422-BO425</f>
        <v>128</v>
      </c>
      <c r="BP426" s="72">
        <f>IF(ISERROR(BO426/BG426),"NA",IF(OR(BO426/BG426&gt;2,BO426/BG426&lt;0.5),"NM",BO426/BG426*100-100))</f>
        <v>-10.489510489510494</v>
      </c>
      <c r="BQ426" s="91">
        <f>BQ422-BQ425</f>
        <v>167</v>
      </c>
      <c r="BR426" s="72">
        <f>IF(ISERROR(BQ426/BI426),"NA",IF(OR(BQ426/BI426&gt;2,BQ426/BI426&lt;0.5),"NM",BQ426/BI426*100-100))</f>
        <v>6.369426751592357</v>
      </c>
      <c r="BS426" s="91">
        <f>BS422-BS425</f>
        <v>167</v>
      </c>
      <c r="BT426" s="72">
        <f>IF(ISERROR(BS426/BK426),"NA",IF(OR(BS426/BK426&gt;2,BS426/BK426&lt;0.5),"NM",BS426/BK426*100-100))</f>
        <v>6.369426751592357</v>
      </c>
      <c r="BU426" s="91">
        <f>BU422-BU425</f>
        <v>160</v>
      </c>
      <c r="BV426" s="72">
        <f>IF(ISERROR(BU426/BM426),"NA",IF(OR(BU426/BM426&gt;2,BU426/BM426&lt;0.5),"NM",BU426/BM426*100-100))</f>
        <v>32.2314049586777</v>
      </c>
      <c r="BW426" s="91">
        <f>BW422-BW425</f>
        <v>136</v>
      </c>
      <c r="BX426" s="72">
        <f>IF(ISERROR(BW426/BO426),"NA",IF(OR(BW426/BO426&gt;2,BW426/BO426&lt;0.5),"NM",BW426/BO426*100-100))</f>
        <v>6.25</v>
      </c>
      <c r="BY426" s="91">
        <f>BY422-BY425</f>
        <v>158</v>
      </c>
      <c r="BZ426" s="72">
        <f>IF(ISERROR(BY426/BQ426),"NA",IF(OR(BY426/BQ426&gt;2,BY426/BQ426&lt;0.5),"NM",BY426/BQ426*100-100))</f>
        <v>-5.3892215568862269</v>
      </c>
      <c r="CA426" s="91">
        <f>CA422-CA425</f>
        <v>197</v>
      </c>
      <c r="CB426" s="72">
        <f>IF(ISERROR(CA426/BS426),"NA",IF(OR(CA426/BS426&gt;2,CA426/BS426&lt;0.5),"NM",CA426/BS426*100-100))</f>
        <v>17.964071856287433</v>
      </c>
      <c r="CC426" s="91">
        <f>CC422-CC425</f>
        <v>156</v>
      </c>
      <c r="CD426" s="72">
        <f>IF(ISERROR(CC426/BU426),"NA",IF(OR(CC426/BU426&gt;2,CC426/BU426&lt;0.5),"NM",CC426/BU426*100-100))</f>
        <v>-2.5</v>
      </c>
      <c r="CE426" s="91">
        <f>CE422-CE425</f>
        <v>156</v>
      </c>
      <c r="CF426" s="72">
        <f>IF(ISERROR(CE426/BW426),"NA",IF(OR(CE426/BW426&gt;2,CE426/BW426&lt;0.5),"NM",CE426/BW426*100-100))</f>
        <v>14.705882352941174</v>
      </c>
      <c r="CG426" s="91">
        <f>CG422-CG425</f>
        <v>163</v>
      </c>
      <c r="CH426" s="72">
        <f>IF(ISERROR(CG426/BY426),"NA",IF(OR(CG426/BY426&gt;2,CG426/BY426&lt;0.5),"NM",CG426/BY426*100-100))</f>
        <v>3.1645569620253156</v>
      </c>
      <c r="CI426" s="91">
        <f>CI422-CI425</f>
        <v>199</v>
      </c>
      <c r="CJ426" s="72">
        <f>IF(ISERROR(CI426/CA426),"NA",IF(OR(CI426/CA426&gt;2,CI426/CA426&lt;0.5),"NM",CI426/CA426*100-100))</f>
        <v>1.0152284263959359</v>
      </c>
      <c r="CK426" s="91">
        <f>CK422-CK425</f>
        <v>248</v>
      </c>
      <c r="CL426" s="72">
        <f>IF(ISERROR(CK426/CC426),"NA",IF(OR(CK426/CC426&gt;2,CK426/CC426&lt;0.5),"NM",CK426/CC426*100-100))</f>
        <v>58.974358974358978</v>
      </c>
      <c r="CM426" s="91">
        <f>CM422-CM425</f>
        <v>336</v>
      </c>
      <c r="CN426" s="72" t="str">
        <f>IF(ISERROR(CM426/CE426),"NA",IF(OR(CM426/CE426&gt;2,CM426/CE426&lt;0.5),"NM",CM426/CE426*100-100))</f>
        <v>NM</v>
      </c>
      <c r="CO426" s="91">
        <f>CO422-CO425</f>
        <v>214</v>
      </c>
      <c r="CP426" s="72">
        <f>IF(ISERROR(CO426/CG426),"NA",IF(OR(CO426/CG426&gt;2,CO426/CG426&lt;0.5),"NM",CO426/CG426*100-100))</f>
        <v>31.288343558282207</v>
      </c>
      <c r="CQ426" s="91">
        <f>CQ422-CQ425</f>
        <v>372</v>
      </c>
      <c r="CR426" s="72">
        <f>IF(ISERROR(CQ426/CI426),"NA",IF(OR(CQ426/CI426&gt;2,CQ426/CI426&lt;0.5),"NM",CQ426/CI426*100-100))</f>
        <v>86.934673366834176</v>
      </c>
      <c r="CS426" s="91">
        <f>CS422-CS425</f>
        <v>296</v>
      </c>
      <c r="CT426" s="72">
        <f>IF(ISERROR(CS426/CK426),"NA",IF(OR(CS426/CK426&gt;2,CS426/CK426&lt;0.5),"NM",CS426/CK426*100-100))</f>
        <v>19.354838709677423</v>
      </c>
      <c r="CU426" s="91">
        <f>CU422-CU425</f>
        <v>272</v>
      </c>
      <c r="CV426" s="72">
        <f>IF(ISERROR(CU426/CM426),"NA",IF(OR(CU426/CM426&gt;2,CU426/CM426&lt;0.5),"NM",CU426/CM426*100-100))</f>
        <v>-19.047619047619051</v>
      </c>
      <c r="CW426" s="91">
        <f>CW422-CW425</f>
        <v>342</v>
      </c>
      <c r="CX426" s="72">
        <f>IF(ISERROR(CW426/CO426),"NA",IF(OR(CW426/CO426&gt;2,CW426/CO426&lt;0.5),"NM",CW426/CO426*100-100))</f>
        <v>59.813084112149539</v>
      </c>
      <c r="CY426" s="91">
        <f>CY422-CY425</f>
        <v>423</v>
      </c>
      <c r="CZ426" s="72">
        <f>IF(ISERROR(CY426/CQ426),"NA",IF(OR(CY426/CQ426&gt;2,CY426/CQ426&lt;0.5),"NM",CY426/CQ426*100-100))</f>
        <v>13.709677419354847</v>
      </c>
      <c r="DA426" s="91">
        <f>DA422-DA425</f>
        <v>325</v>
      </c>
      <c r="DB426" s="72">
        <f>IF(ISERROR(DA426/CS426),"NA",IF(OR(DA426/CS426&gt;2,DA426/CS426&lt;0.5),"NM",DA426/CS426*100-100))</f>
        <v>9.7972972972973054</v>
      </c>
      <c r="DC426" s="91">
        <f>DC422-DC425</f>
        <v>458</v>
      </c>
      <c r="DD426" s="72">
        <f>IF(ISERROR(DC426/CU426),"NA",IF(OR(DC426/CU426&gt;2,DC426/CU426&lt;0.5),"NM",DC426/CU426*100-100))</f>
        <v>68.382352941176464</v>
      </c>
      <c r="DE426" s="91">
        <f>DE422-DE425</f>
        <v>488</v>
      </c>
      <c r="DF426" s="72">
        <f>IF(ISERROR(DE426/CW426),"NA",IF(OR(DE426/CW426&gt;2,DE426/CW426&lt;0.5),"NM",DE426/CW426*100-100))</f>
        <v>42.690058479532155</v>
      </c>
      <c r="DG426" s="91">
        <f>DG422-DG425</f>
        <v>362</v>
      </c>
      <c r="DH426" s="72">
        <f>IF(ISERROR(DG426/CY426),"NA",IF(OR(DG426/CY426&gt;2,DG426/CY426&lt;0.5),"NM",DG426/CY426*100-100))</f>
        <v>-14.420803782505914</v>
      </c>
      <c r="DI426" s="91">
        <f>DI422-DI425</f>
        <v>355</v>
      </c>
      <c r="DJ426" s="72">
        <f>IF(ISERROR(DI426/DA426),"NA",IF(OR(DI426/DA426&gt;2,DI426/DA426&lt;0.5),"NM",DI426/DA426*100-100))</f>
        <v>9.2307692307692264</v>
      </c>
      <c r="DK426" s="91">
        <f>DK422-DK425</f>
        <v>418</v>
      </c>
      <c r="DL426" s="72">
        <f>IF(ISERROR(DK426/DC426),"NA",IF(OR(DK426/DC426&gt;2,DK426/DC426&lt;0.5),"NM",DK426/DC426*100-100))</f>
        <v>-8.7336244541484689</v>
      </c>
      <c r="DM426" s="91">
        <f>DM422-DM425</f>
        <v>502</v>
      </c>
      <c r="DN426" s="72">
        <f t="shared" si="2281"/>
        <v>2.8688524590164093</v>
      </c>
      <c r="DO426" s="91">
        <f>DO422-DO425</f>
        <v>431</v>
      </c>
      <c r="DP426" s="72">
        <f t="shared" si="2281"/>
        <v>19.060773480662974</v>
      </c>
      <c r="DQ426" s="91">
        <f>DQ422-DQ425</f>
        <v>312</v>
      </c>
      <c r="DR426" s="72">
        <f t="shared" si="2281"/>
        <v>-12.112676056338017</v>
      </c>
      <c r="DS426" s="91">
        <f>DS422-DS425</f>
        <v>395</v>
      </c>
      <c r="DT426" s="72">
        <f t="shared" si="2281"/>
        <v>-5.5023923444976077</v>
      </c>
      <c r="DU426" s="91">
        <f>DU422-DU425</f>
        <v>461</v>
      </c>
      <c r="DV426" s="72">
        <f t="shared" si="2281"/>
        <v>-8.1673306772908347</v>
      </c>
      <c r="DW426" s="91">
        <f>DW422-DW425</f>
        <v>414</v>
      </c>
      <c r="DX426" s="72">
        <f t="shared" si="2281"/>
        <v>-3.9443155452436116</v>
      </c>
      <c r="DY426" s="91">
        <f>DY422-DY425</f>
        <v>371</v>
      </c>
      <c r="DZ426" s="72">
        <f t="shared" si="2281"/>
        <v>18.910256410256409</v>
      </c>
      <c r="EA426" s="91">
        <f>EA422-EA425</f>
        <v>369</v>
      </c>
      <c r="EB426" s="72">
        <f>IF(ISERROR(EA426/DS426),"NA",IF(OR(EA426/DS426&gt;2,EA426/DS426&lt;0.5),"NM",EA426/DS426*100-100))</f>
        <v>-6.5822784810126649</v>
      </c>
      <c r="EC426" s="91">
        <f>EC422-EC425</f>
        <v>460</v>
      </c>
      <c r="ED426" s="72">
        <f>IF(ISERROR(EC426/DU426),"NA",IF(OR(EC426/DU426&gt;2,EC426/DU426&lt;0.5),"NM",EC426/DU426*100-100))</f>
        <v>-0.21691973969630851</v>
      </c>
      <c r="EE426" s="91">
        <f>EE422-EE425</f>
        <v>389</v>
      </c>
      <c r="EF426" s="72">
        <f>IF(ISERROR(EE426/DW426),"NA",IF(OR(EE426/DW426&gt;2,EE426/DW426&lt;0.5),"NM",EE426/DW426*100-100))</f>
        <v>-6.0386473429951764</v>
      </c>
      <c r="EG426" s="91">
        <f>EG422-EG425</f>
        <v>360</v>
      </c>
      <c r="EH426" s="72">
        <f>IF(ISERROR(EG426/DY426),"NA",IF(OR(EG426/DY426&gt;2,EG426/DY426&lt;0.5),"NM",EG426/DY426*100-100))</f>
        <v>-2.9649595687331498</v>
      </c>
      <c r="EI426" s="91">
        <f>EI422-EI425</f>
        <v>391</v>
      </c>
      <c r="EJ426" s="72">
        <f>IF(ISERROR(EI426/EA426),"NA",IF(OR(EI426/EA426&gt;2,EI426/EA426&lt;0.5),"NM",EI426/EA426*100-100))</f>
        <v>5.9620596205962215</v>
      </c>
      <c r="EK426" s="91">
        <f>EK422-EK425</f>
        <v>494</v>
      </c>
      <c r="EL426" s="72">
        <f>IF(ISERROR(EK426/EC426),"NA",IF(OR(EK426/EC426&gt;2,EK426/EC426&lt;0.5),"NM",EK426/EC426*100-100))</f>
        <v>7.3913043478260931</v>
      </c>
      <c r="EM426" s="91">
        <f>EM422-EM425</f>
        <v>426</v>
      </c>
      <c r="EN426" s="72">
        <f>IF(ISERROR(EM426/EE426),"NA",IF(OR(EM426/EE426&gt;2,EM426/EE426&lt;0.5),"NM",EM426/EE426*100-100))</f>
        <v>9.5115681233933174</v>
      </c>
      <c r="EO426" s="91">
        <f>EO422-EO425</f>
        <v>394</v>
      </c>
      <c r="EP426" s="72">
        <f>IF(ISERROR(EO426/EG426),"NA",IF(OR(EO426/EG426&gt;2,EO426/EG426&lt;0.5),"NM",EO426/EG426*100-100))</f>
        <v>9.4444444444444571</v>
      </c>
      <c r="EQ426" s="91">
        <f t="shared" ref="EQ426" si="2291">EQ422-EQ425</f>
        <v>418.40083542574803</v>
      </c>
      <c r="ER426" s="72">
        <f t="shared" si="2283"/>
        <v>7.0078862981452801</v>
      </c>
      <c r="ES426" s="91">
        <f t="shared" ref="ES426" si="2292">ES422-ES425</f>
        <v>440.44495489295241</v>
      </c>
      <c r="ET426" s="72">
        <f t="shared" si="2285"/>
        <v>-10.8411022483902</v>
      </c>
      <c r="EU426" s="91">
        <f t="shared" ref="EU426" si="2293">EU422-EU425</f>
        <v>423.59151031461124</v>
      </c>
      <c r="EV426" s="72">
        <f t="shared" si="2287"/>
        <v>-0.56537316558421935</v>
      </c>
      <c r="EW426" s="91">
        <f t="shared" ref="EW426" si="2294">EW422-EW425</f>
        <v>402.3062130630633</v>
      </c>
      <c r="EX426" s="72">
        <f t="shared" si="2289"/>
        <v>2.1081759043307926</v>
      </c>
      <c r="EY426" s="72"/>
      <c r="EZ426" s="325"/>
      <c r="FA426" s="72"/>
      <c r="FB426" s="91"/>
      <c r="FC426" s="72"/>
      <c r="FD426" s="91"/>
      <c r="FE426" s="72"/>
      <c r="FF426" s="91"/>
      <c r="FG426" s="72"/>
      <c r="FH426" s="91">
        <f>FH422-FH425</f>
        <v>343</v>
      </c>
      <c r="FI426" s="72" t="str">
        <f>IF(ISERROR(FH426/FF426),"NA",IF(OR(FH426/FF426&gt;2,FH426/FF426&lt;0.5),"NM",FH426/FF426*100-100))</f>
        <v>NA</v>
      </c>
      <c r="FJ426" s="91">
        <f>FJ422-FJ425</f>
        <v>378</v>
      </c>
      <c r="FK426" s="72">
        <f>IF(ISERROR(FJ426/FH426),"NA",IF(OR(FJ426/FH426&gt;2,FJ426/FH426&lt;0.5),"NM",FJ426/FH426*100-100))</f>
        <v>10.204081632653043</v>
      </c>
      <c r="FL426" s="91">
        <f>FL422-FL425</f>
        <v>370</v>
      </c>
      <c r="FM426" s="72">
        <f>IF(ISERROR(FL426/FJ426),"NA",IF(OR(FL426/FJ426&gt;2,FL426/FJ426&lt;0.5),"NM",FL426/FJ426*100-100))</f>
        <v>-2.1164021164021136</v>
      </c>
      <c r="FN426" s="91">
        <f>FN422-FN425</f>
        <v>402</v>
      </c>
      <c r="FO426" s="72">
        <f>IF(ISERROR(FN426/FL426),"NA",IF(OR(FN426/FL426&gt;2,FN426/FL426&lt;0.5),"NM",FN426/FL426*100-100))</f>
        <v>8.6486486486486456</v>
      </c>
      <c r="FP426" s="91">
        <f>FP422-FP425</f>
        <v>502</v>
      </c>
      <c r="FQ426" s="72">
        <f>IF(ISERROR(FP426/FN426),"NA",IF(OR(FP426/FN426&gt;2,FP426/FN426&lt;0.5),"NM",FP426/FN426*100-100))</f>
        <v>24.875621890547265</v>
      </c>
      <c r="FR426" s="91">
        <f>FR422-FR425</f>
        <v>490</v>
      </c>
      <c r="FS426" s="72">
        <f>IF(ISERROR(FR426/FP426),"NA",IF(OR(FR426/FP426&gt;2,FR426/FP426&lt;0.5),"NM",FR426/FP426*100-100))</f>
        <v>-2.3904382470119572</v>
      </c>
      <c r="FT426" s="91">
        <f>FT422-FT425</f>
        <v>578</v>
      </c>
      <c r="FU426" s="72">
        <f>IF(ISERROR(FT426/FR426),"NA",IF(OR(FT426/FR426&gt;2,FT426/FR426&lt;0.5),"NM",FT426/FR426*100-100))</f>
        <v>17.959183673469383</v>
      </c>
      <c r="FV426" s="91">
        <f>FV422-FV425</f>
        <v>171</v>
      </c>
      <c r="FW426" s="72" t="str">
        <f>IF(ISERROR(FV426/FT426),"NA",IF(OR(FV426/FT426&gt;2,FV426/FT426&lt;0.5),"NM",FV426/FT426*100-100))</f>
        <v>NM</v>
      </c>
      <c r="FX426" s="91">
        <f>FX422-FX425</f>
        <v>618</v>
      </c>
      <c r="FY426" s="72" t="str">
        <f>IF(ISERROR(FX426/FV426),"NA",IF(OR(FX426/FV426&gt;2,FX426/FV426&lt;0.5),"NM",FX426/FV426*100-100))</f>
        <v>NM</v>
      </c>
      <c r="FZ426" s="91">
        <f>FZ422-FZ425</f>
        <v>766</v>
      </c>
      <c r="GA426" s="72">
        <f>IF(ISERROR(FZ426/FX426),"NA",IF(OR(FZ426/FX426&gt;2,FZ426/FX426&lt;0.5),"NM",FZ426/FX426*100-100))</f>
        <v>23.948220064724921</v>
      </c>
      <c r="GB426" s="91">
        <f>GB422-GB425</f>
        <v>1218</v>
      </c>
      <c r="GC426" s="72">
        <f>IF(ISERROR(GB426/FZ426),"NA",IF(OR(GB426/FZ426&gt;2,GB426/FZ426&lt;0.5),"NM",GB426/FZ426*100-100))</f>
        <v>59.007832898172325</v>
      </c>
      <c r="GD426" s="91">
        <f>GD422-GD425</f>
        <v>1362</v>
      </c>
      <c r="GE426" s="72">
        <f>IF(ISERROR(GD426/GB426),"NA",IF(OR(GD426/GB426&gt;2,GD426/GB426&lt;0.5),"NM",GD426/GB426*100-100))</f>
        <v>11.822660098522178</v>
      </c>
      <c r="GF426" s="91">
        <f>GF422-GF425</f>
        <v>1663</v>
      </c>
      <c r="GG426" s="72">
        <f>IF(ISERROR(GF426/GD426),"NA",IF(OR(GF426/GD426&gt;2,GF426/GD426&lt;0.5),"NM",GF426/GD426*100-100))</f>
        <v>22.099853157121885</v>
      </c>
      <c r="GH426" s="91">
        <f>GH422-GH425</f>
        <v>1663</v>
      </c>
      <c r="GI426" s="72">
        <f t="shared" si="2290"/>
        <v>0</v>
      </c>
      <c r="GJ426" s="91">
        <f>GJ422-GJ425</f>
        <v>1641</v>
      </c>
      <c r="GK426" s="72">
        <f t="shared" si="2290"/>
        <v>-1.3229104028863503</v>
      </c>
      <c r="GL426" s="91">
        <f>GL422-GL425</f>
        <v>1578</v>
      </c>
      <c r="GM426" s="72">
        <f t="shared" si="2290"/>
        <v>-3.8391224862888436</v>
      </c>
      <c r="GN426" s="91">
        <f>GN422-GN425</f>
        <v>1705</v>
      </c>
      <c r="GO426" s="72">
        <f t="shared" si="2290"/>
        <v>8.0481622306717355</v>
      </c>
      <c r="GP426" s="91">
        <f>GP422-GP425</f>
        <v>1684.7435136963741</v>
      </c>
      <c r="GQ426" s="72">
        <f t="shared" si="2290"/>
        <v>-1.1880637128226397</v>
      </c>
      <c r="GR426" s="91">
        <f>GR422-GR425</f>
        <v>1698.5578145540567</v>
      </c>
      <c r="GS426" s="72">
        <f t="shared" si="2290"/>
        <v>0.8199646263883551</v>
      </c>
      <c r="GT426" s="91">
        <f>GT422-GT425</f>
        <v>1701.199982699598</v>
      </c>
      <c r="GU426" s="72">
        <f t="shared" si="2290"/>
        <v>0.1555536186582458</v>
      </c>
      <c r="GV426" s="91">
        <f>GV422-GV425</f>
        <v>1703.7247384265938</v>
      </c>
      <c r="GW426" s="72">
        <f>IF(ISERROR(GV426/GT426),"NA",IF(OR(GV426/GT426&gt;2,GV426/GT426&lt;0.5),"NM",GV426/GT426*100-100))</f>
        <v>0.14841028407425938</v>
      </c>
      <c r="GX426" s="91">
        <f>GX422-GX425</f>
        <v>1706.1294692698593</v>
      </c>
      <c r="GY426" s="72">
        <f>IF(ISERROR(GX426/GV426),"NA",IF(OR(GX426/GV426&gt;2,GX426/GV426&lt;0.5),"NM",GX426/GV426*100-100))</f>
        <v>0.14114550249979629</v>
      </c>
      <c r="GZ426" s="72">
        <f>IF(ISERROR(((GX426/GN426)^0.2-1)*100),"NA",IF((((GX426/GN426)^0.2-1)*100)&gt;100,"NM",IF((((GX426/GN426)^0.2-1)*100)&lt;-50,"NM",((GX426/GN426)^0.2-1)*100)))</f>
        <v>1.3245397115624336E-2</v>
      </c>
      <c r="HA426" s="72"/>
      <c r="HB426" s="72"/>
      <c r="HC426"/>
      <c r="HD426"/>
      <c r="HE426"/>
      <c r="HF426"/>
      <c r="HG426"/>
      <c r="HH426"/>
      <c r="HI426" s="2"/>
    </row>
    <row r="427" spans="1:217" s="3" customFormat="1" ht="12.75" customHeight="1" x14ac:dyDescent="0.2">
      <c r="B427" s="77" t="s">
        <v>537</v>
      </c>
      <c r="C427" s="74"/>
      <c r="D427" s="92"/>
      <c r="E427" s="74"/>
      <c r="F427" s="92"/>
      <c r="G427" s="74"/>
      <c r="H427" s="92"/>
      <c r="I427" s="74"/>
      <c r="J427" s="92"/>
      <c r="K427" s="74">
        <v>0</v>
      </c>
      <c r="L427" s="72" t="str">
        <f>IF(ISERROR(K427/C427),"NA",IF(OR(K427/C427&gt;2,K427/C427&lt;0.5),"NM",K427/C427*100-100))</f>
        <v>NA</v>
      </c>
      <c r="M427" s="74">
        <v>0</v>
      </c>
      <c r="N427" s="72" t="str">
        <f>IF(ISERROR(M427/E427),"NA",IF(OR(M427/E427&gt;2,M427/E427&lt;0.5),"NM",M427/E427*100-100))</f>
        <v>NA</v>
      </c>
      <c r="O427" s="74">
        <v>0</v>
      </c>
      <c r="P427" s="72" t="str">
        <f>IF(ISERROR(O427/G427),"NA",IF(OR(O427/G427&gt;2,O427/G427&lt;0.5),"NM",O427/G427*100-100))</f>
        <v>NA</v>
      </c>
      <c r="Q427" s="74">
        <v>0</v>
      </c>
      <c r="R427" s="72" t="str">
        <f>IF(ISERROR(Q427/I427),"NA",IF(OR(Q427/I427&gt;2,Q427/I427&lt;0.5),"NM",Q427/I427*100-100))</f>
        <v>NA</v>
      </c>
      <c r="S427" s="74">
        <v>0</v>
      </c>
      <c r="T427" s="72" t="str">
        <f>IF(ISERROR(S427/K427),"NA",IF(OR(S427/K427&gt;2,S427/K427&lt;0.5),"NM",S427/K427*100-100))</f>
        <v>NA</v>
      </c>
      <c r="U427" s="74">
        <v>0</v>
      </c>
      <c r="V427" s="72" t="str">
        <f>IF(ISERROR(U427/M427),"NA",IF(OR(U427/M427&gt;2,U427/M427&lt;0.5),"NM",U427/M427*100-100))</f>
        <v>NA</v>
      </c>
      <c r="W427" s="74">
        <v>0</v>
      </c>
      <c r="X427" s="72" t="str">
        <f>IF(ISERROR(W427/O427),"NA",IF(OR(W427/O427&gt;2,W427/O427&lt;0.5),"NM",W427/O427*100-100))</f>
        <v>NA</v>
      </c>
      <c r="Y427" s="74">
        <v>0</v>
      </c>
      <c r="Z427" s="72" t="str">
        <f>IF(ISERROR(Y427/Q427),"NA",IF(OR(Y427/Q427&gt;2,Y427/Q427&lt;0.5),"NM",Y427/Q427*100-100))</f>
        <v>NA</v>
      </c>
      <c r="AA427" s="74">
        <v>0</v>
      </c>
      <c r="AB427" s="72" t="str">
        <f>IF(ISERROR(AA427/S427),"NA",IF(OR(AA427/S427&gt;2,AA427/S427&lt;0.5),"NM",AA427/S427*100-100))</f>
        <v>NA</v>
      </c>
      <c r="AC427" s="74">
        <v>0</v>
      </c>
      <c r="AD427" s="72" t="str">
        <f>IF(ISERROR(AC427/U427),"NA",IF(OR(AC427/U427&gt;2,AC427/U427&lt;0.5),"NM",AC427/U427*100-100))</f>
        <v>NA</v>
      </c>
      <c r="AE427" s="74">
        <v>0</v>
      </c>
      <c r="AF427" s="72" t="str">
        <f>IF(ISERROR(AE427/W427),"NA",IF(OR(AE427/W427&gt;2,AE427/W427&lt;0.5),"NM",AE427/W427*100-100))</f>
        <v>NA</v>
      </c>
      <c r="AG427" s="74">
        <v>0</v>
      </c>
      <c r="AH427" s="72" t="str">
        <f>IF(ISERROR(AG427/Y427),"NA",IF(OR(AG427/Y427&gt;2,AG427/Y427&lt;0.5),"NM",AG427/Y427*100-100))</f>
        <v>NA</v>
      </c>
      <c r="AI427" s="74">
        <v>0</v>
      </c>
      <c r="AJ427" s="72" t="str">
        <f>IF(ISERROR(AI427/AA427),"NA",IF(OR(AI427/AA427&gt;2,AI427/AA427&lt;0.5),"NM",AI427/AA427*100-100))</f>
        <v>NA</v>
      </c>
      <c r="AK427" s="74">
        <v>0</v>
      </c>
      <c r="AL427" s="72" t="str">
        <f>IF(ISERROR(AK427/AC427),"NA",IF(OR(AK427/AC427&gt;2,AK427/AC427&lt;0.5),"NM",AK427/AC427*100-100))</f>
        <v>NA</v>
      </c>
      <c r="AM427" s="74">
        <v>0</v>
      </c>
      <c r="AN427" s="72" t="str">
        <f>IF(ISERROR(AM427/AE427),"NA",IF(OR(AM427/AE427&gt;2,AM427/AE427&lt;0.5),"NM",AM427/AE427*100-100))</f>
        <v>NA</v>
      </c>
      <c r="AO427" s="74">
        <v>-4</v>
      </c>
      <c r="AP427" s="72" t="str">
        <f>IF(ISERROR(AO427/AG427),"NA",IF(OR(AO427/AG427&gt;2,AO427/AG427&lt;0.5),"NM",AO427/AG427*100-100))</f>
        <v>NA</v>
      </c>
      <c r="AQ427" s="74">
        <v>0</v>
      </c>
      <c r="AR427" s="72" t="str">
        <f>IF(ISERROR(AQ427/AI427),"NA",IF(OR(AQ427/AI427&gt;2,AQ427/AI427&lt;0.5),"NM",AQ427/AI427*100-100))</f>
        <v>NA</v>
      </c>
      <c r="AS427" s="74">
        <f>9+8+15</f>
        <v>32</v>
      </c>
      <c r="AT427" s="72" t="str">
        <f>IF(ISERROR(AS427/AK427),"NA",IF(OR(AS427/AK427&gt;2,AS427/AK427&lt;0.5),"NM",AS427/AK427*100-100))</f>
        <v>NA</v>
      </c>
      <c r="AU427" s="74">
        <v>10</v>
      </c>
      <c r="AV427" s="72" t="str">
        <f>IF(ISERROR(AU427/AM427),"NA",IF(OR(AU427/AM427&gt;2,AU427/AM427&lt;0.5),"NM",AU427/AM427*100-100))</f>
        <v>NA</v>
      </c>
      <c r="AW427" s="74">
        <v>-15</v>
      </c>
      <c r="AX427" s="72" t="str">
        <f>IF(ISERROR(AW427/AO427),"NA",IF(OR(AW427/AO427&gt;2,AW427/AO427&lt;0.5),"NM",AW427/AO427*100-100))</f>
        <v>NM</v>
      </c>
      <c r="AY427" s="74">
        <v>0</v>
      </c>
      <c r="AZ427" s="72" t="str">
        <f>IF(ISERROR(AY427/AQ427),"NA",IF(OR(AY427/AQ427&gt;2,AY427/AQ427&lt;0.5),"NM",AY427/AQ427*100-100))</f>
        <v>NA</v>
      </c>
      <c r="BA427" s="74">
        <v>-27</v>
      </c>
      <c r="BB427" s="72" t="str">
        <f>IF(ISERROR(BA427/AS427),"NA",IF(OR(BA427/AS427&gt;2,BA427/AS427&lt;0.5),"NM",BA427/AS427*100-100))</f>
        <v>NM</v>
      </c>
      <c r="BC427" s="74">
        <v>13</v>
      </c>
      <c r="BD427" s="72">
        <f>IF(ISERROR(BC427/AU427),"NA",IF(OR(BC427/AU427&gt;2,BC427/AU427&lt;0.5),"NM",BC427/AU427*100-100))</f>
        <v>30</v>
      </c>
      <c r="BE427" s="74">
        <v>0</v>
      </c>
      <c r="BF427" s="72" t="str">
        <f>IF(ISERROR(BE427/AW427),"NA",IF(OR(BE427/AW427&gt;2,BE427/AW427&lt;0.5),"NM",BE427/AW427*100-100))</f>
        <v>NM</v>
      </c>
      <c r="BG427" s="74">
        <v>0</v>
      </c>
      <c r="BH427" s="72" t="str">
        <f>IF(ISERROR(BG427/AY427),"NA",IF(OR(BG427/AY427&gt;2,BG427/AY427&lt;0.5),"NM",BG427/AY427*100-100))</f>
        <v>NA</v>
      </c>
      <c r="BI427" s="74">
        <v>11</v>
      </c>
      <c r="BJ427" s="72" t="str">
        <f>IF(ISERROR(BI427/BA427),"NA",IF(OR(BI427/BA427&gt;2,BI427/BA427&lt;0.5),"NM",BI427/BA427*100-100))</f>
        <v>NM</v>
      </c>
      <c r="BK427" s="74">
        <v>-3</v>
      </c>
      <c r="BL427" s="72" t="str">
        <f>IF(ISERROR(BK427/BC427),"NA",IF(OR(BK427/BC427&gt;2,BK427/BC427&lt;0.5),"NM",BK427/BC427*100-100))</f>
        <v>NM</v>
      </c>
      <c r="BM427" s="74">
        <v>-8</v>
      </c>
      <c r="BN427" s="72" t="str">
        <f>IF(ISERROR(BM427/BE427),"NA",IF(OR(BM427/BE427&gt;2,BM427/BE427&lt;0.5),"NM",BM427/BE427*100-100))</f>
        <v>NA</v>
      </c>
      <c r="BO427" s="74">
        <v>0</v>
      </c>
      <c r="BP427" s="72" t="str">
        <f>IF(ISERROR(BO427/BG427),"NA",IF(OR(BO427/BG427&gt;2,BO427/BG427&lt;0.5),"NM",BO427/BG427*100-100))</f>
        <v>NA</v>
      </c>
      <c r="BQ427" s="74">
        <v>0</v>
      </c>
      <c r="BR427" s="72" t="str">
        <f>IF(ISERROR(BQ427/BI427),"NA",IF(OR(BQ427/BI427&gt;2,BQ427/BI427&lt;0.5),"NM",BQ427/BI427*100-100))</f>
        <v>NM</v>
      </c>
      <c r="BS427" s="74">
        <v>0</v>
      </c>
      <c r="BT427" s="72" t="str">
        <f>IF(ISERROR(BS427/BK427),"NA",IF(OR(BS427/BK427&gt;2,BS427/BK427&lt;0.5),"NM",BS427/BK427*100-100))</f>
        <v>NM</v>
      </c>
      <c r="BU427" s="74">
        <v>9</v>
      </c>
      <c r="BV427" s="72" t="str">
        <f>IF(ISERROR(BU427/BM427),"NA",IF(OR(BU427/BM427&gt;2,BU427/BM427&lt;0.5),"NM",BU427/BM427*100-100))</f>
        <v>NM</v>
      </c>
      <c r="BW427" s="74">
        <v>-5</v>
      </c>
      <c r="BX427" s="72" t="str">
        <f>IF(ISERROR(BW427/BO427),"NA",IF(OR(BW427/BO427&gt;2,BW427/BO427&lt;0.5),"NM",BW427/BO427*100-100))</f>
        <v>NA</v>
      </c>
      <c r="BY427" s="74">
        <v>21</v>
      </c>
      <c r="BZ427" s="72" t="str">
        <f>IF(ISERROR(BY427/BQ427),"NA",IF(OR(BY427/BQ427&gt;2,BY427/BQ427&lt;0.5),"NM",BY427/BQ427*100-100))</f>
        <v>NA</v>
      </c>
      <c r="CA427" s="74">
        <v>0</v>
      </c>
      <c r="CB427" s="72" t="str">
        <f>IF(ISERROR(CA427/BS427),"NA",IF(OR(CA427/BS427&gt;2,CA427/BS427&lt;0.5),"NM",CA427/BS427*100-100))</f>
        <v>NA</v>
      </c>
      <c r="CC427" s="74">
        <v>0</v>
      </c>
      <c r="CD427" s="72" t="str">
        <f>IF(ISERROR(CC427/BU427),"NA",IF(OR(CC427/BU427&gt;2,CC427/BU427&lt;0.5),"NM",CC427/BU427*100-100))</f>
        <v>NM</v>
      </c>
      <c r="CE427" s="74">
        <v>0</v>
      </c>
      <c r="CF427" s="72" t="str">
        <f>IF(ISERROR(CE427/BW427),"NA",IF(OR(CE427/BW427&gt;2,CE427/BW427&lt;0.5),"NM",CE427/BW427*100-100))</f>
        <v>NM</v>
      </c>
      <c r="CG427" s="74">
        <v>0</v>
      </c>
      <c r="CH427" s="72" t="str">
        <f>IF(ISERROR(CG427/BY427),"NA",IF(OR(CG427/BY427&gt;2,CG427/BY427&lt;0.5),"NM",CG427/BY427*100-100))</f>
        <v>NM</v>
      </c>
      <c r="CI427" s="74">
        <v>0</v>
      </c>
      <c r="CJ427" s="72" t="str">
        <f>IF(ISERROR(CI427/CA427),"NA",IF(OR(CI427/CA427&gt;2,CI427/CA427&lt;0.5),"NM",CI427/CA427*100-100))</f>
        <v>NA</v>
      </c>
      <c r="CK427" s="74">
        <v>66</v>
      </c>
      <c r="CL427" s="72" t="str">
        <f>IF(ISERROR(CK427/CC427),"NA",IF(OR(CK427/CC427&gt;2,CK427/CC427&lt;0.5),"NM",CK427/CC427*100-100))</f>
        <v>NA</v>
      </c>
      <c r="CM427" s="74">
        <f>106.4+8</f>
        <v>114.4</v>
      </c>
      <c r="CN427" s="72" t="str">
        <f>IF(ISERROR(CM427/CE427),"NA",IF(OR(CM427/CE427&gt;2,CM427/CE427&lt;0.5),"NM",CM427/CE427*100-100))</f>
        <v>NA</v>
      </c>
      <c r="CO427" s="74">
        <v>-56</v>
      </c>
      <c r="CP427" s="72" t="str">
        <f>IF(ISERROR(CO427/CG427),"NA",IF(OR(CO427/CG427&gt;2,CO427/CG427&lt;0.5),"NM",CO427/CG427*100-100))</f>
        <v>NA</v>
      </c>
      <c r="CQ427" s="74">
        <v>84</v>
      </c>
      <c r="CR427" s="72" t="str">
        <f>IF(ISERROR(CQ427/CI427),"NA",IF(OR(CQ427/CI427&gt;2,CQ427/CI427&lt;0.5),"NM",CQ427/CI427*100-100))</f>
        <v>NA</v>
      </c>
      <c r="CS427" s="74">
        <v>0</v>
      </c>
      <c r="CT427" s="72" t="str">
        <f>IF(ISERROR(CS427/CK427),"NA",IF(OR(CS427/CK427&gt;2,CS427/CK427&lt;0.5),"NM",CS427/CK427*100-100))</f>
        <v>NM</v>
      </c>
      <c r="CU427" s="74">
        <v>0</v>
      </c>
      <c r="CV427" s="72" t="str">
        <f>IF(ISERROR(CU427/CM427),"NA",IF(OR(CU427/CM427&gt;2,CU427/CM427&lt;0.5),"NM",CU427/CM427*100-100))</f>
        <v>NM</v>
      </c>
      <c r="CW427" s="74">
        <v>0</v>
      </c>
      <c r="CX427" s="72" t="str">
        <f>IF(ISERROR(CW427/CO427),"NA",IF(OR(CW427/CO427&gt;2,CW427/CO427&lt;0.5),"NM",CW427/CO427*100-100))</f>
        <v>NM</v>
      </c>
      <c r="CY427" s="74">
        <v>60</v>
      </c>
      <c r="CZ427" s="72">
        <f>IF(ISERROR(CY427/CQ427),"NA",IF(OR(CY427/CQ427&gt;2,CY427/CQ427&lt;0.5),"NM",CY427/CQ427*100-100))</f>
        <v>-28.571428571428569</v>
      </c>
      <c r="DA427" s="74">
        <v>0</v>
      </c>
      <c r="DB427" s="72" t="str">
        <f>IF(ISERROR(DA427/CS427),"NA",IF(OR(DA427/CS427&gt;2,DA427/CS427&lt;0.5),"NM",DA427/CS427*100-100))</f>
        <v>NA</v>
      </c>
      <c r="DC427" s="74">
        <v>66</v>
      </c>
      <c r="DD427" s="72" t="str">
        <f>IF(ISERROR(DC427/CU427),"NA",IF(OR(DC427/CU427&gt;2,DC427/CU427&lt;0.5),"NM",DC427/CU427*100-100))</f>
        <v>NA</v>
      </c>
      <c r="DE427" s="74">
        <f>17+20+20</f>
        <v>57</v>
      </c>
      <c r="DF427" s="72" t="str">
        <f>IF(ISERROR(DE427/CW427),"NA",IF(OR(DE427/CW427&gt;2,DE427/CW427&lt;0.5),"NM",DE427/CW427*100-100))</f>
        <v>NA</v>
      </c>
      <c r="DG427" s="74">
        <f>-108</f>
        <v>-108</v>
      </c>
      <c r="DH427" s="72" t="str">
        <f>IF(ISERROR(DG427/CY427),"NA",IF(OR(DG427/CY427&gt;2,DG427/CY427&lt;0.5),"NM",DG427/CY427*100-100))</f>
        <v>NM</v>
      </c>
      <c r="DI427" s="74">
        <v>-23</v>
      </c>
      <c r="DJ427" s="72" t="str">
        <f>IF(ISERROR(DI427/DA427),"NA",IF(OR(DI427/DA427&gt;2,DI427/DA427&lt;0.5),"NM",DI427/DA427*100-100))</f>
        <v>NA</v>
      </c>
      <c r="DK427" s="74">
        <v>0</v>
      </c>
      <c r="DL427" s="72" t="str">
        <f>IF(ISERROR(DK427/DC427),"NA",IF(OR(DK427/DC427&gt;2,DK427/DC427&lt;0.5),"NM",DK427/DC427*100-100))</f>
        <v>NM</v>
      </c>
      <c r="DM427" s="74">
        <v>0</v>
      </c>
      <c r="DN427" s="72" t="str">
        <f t="shared" si="2281"/>
        <v>NM</v>
      </c>
      <c r="DO427" s="74">
        <v>-15</v>
      </c>
      <c r="DP427" s="72" t="str">
        <f t="shared" si="2281"/>
        <v>NM</v>
      </c>
      <c r="DQ427" s="74">
        <v>-73</v>
      </c>
      <c r="DR427" s="72" t="str">
        <f t="shared" si="2281"/>
        <v>NM</v>
      </c>
      <c r="DS427" s="74">
        <v>0</v>
      </c>
      <c r="DT427" s="72" t="str">
        <f t="shared" si="2281"/>
        <v>NA</v>
      </c>
      <c r="DU427" s="74">
        <v>-10</v>
      </c>
      <c r="DV427" s="72" t="str">
        <f t="shared" si="2281"/>
        <v>NA</v>
      </c>
      <c r="DW427" s="74">
        <v>0</v>
      </c>
      <c r="DX427" s="72" t="str">
        <f t="shared" si="2281"/>
        <v>NM</v>
      </c>
      <c r="DY427" s="74">
        <v>0</v>
      </c>
      <c r="DZ427" s="72" t="str">
        <f t="shared" si="2281"/>
        <v>NM</v>
      </c>
      <c r="EA427" s="74">
        <v>0</v>
      </c>
      <c r="EB427" s="72" t="str">
        <f>IF(ISERROR(EA427/DS427),"NA",IF(OR(EA427/DS427&gt;2,EA427/DS427&lt;0.5),"NM",EA427/DS427*100-100))</f>
        <v>NA</v>
      </c>
      <c r="EC427" s="74">
        <v>-34</v>
      </c>
      <c r="ED427" s="72" t="str">
        <f>IF(ISERROR(EC427/DU427),"NA",IF(OR(EC427/DU427&gt;2,EC427/DU427&lt;0.5),"NM",EC427/DU427*100-100))</f>
        <v>NM</v>
      </c>
      <c r="EE427" s="74">
        <v>0</v>
      </c>
      <c r="EF427" s="72" t="str">
        <f>IF(ISERROR(EE427/DW427),"NA",IF(OR(EE427/DW427&gt;2,EE427/DW427&lt;0.5),"NM",EE427/DW427*100-100))</f>
        <v>NA</v>
      </c>
      <c r="EG427" s="74">
        <v>0</v>
      </c>
      <c r="EH427" s="72" t="str">
        <f>IF(ISERROR(EG427/DY427),"NA",IF(OR(EG427/DY427&gt;2,EG427/DY427&lt;0.5),"NM",EG427/DY427*100-100))</f>
        <v>NA</v>
      </c>
      <c r="EI427" s="74">
        <v>0</v>
      </c>
      <c r="EJ427" s="72" t="str">
        <f>IF(ISERROR(EI427/EA427),"NA",IF(OR(EI427/EA427&gt;2,EI427/EA427&lt;0.5),"NM",EI427/EA427*100-100))</f>
        <v>NA</v>
      </c>
      <c r="EK427" s="74">
        <v>21</v>
      </c>
      <c r="EL427" s="72" t="str">
        <f>IF(ISERROR(EK427/EC427),"NA",IF(OR(EK427/EC427&gt;2,EK427/EC427&lt;0.5),"NM",EK427/EC427*100-100))</f>
        <v>NM</v>
      </c>
      <c r="EM427" s="74">
        <v>0</v>
      </c>
      <c r="EN427" s="72" t="str">
        <f>IF(ISERROR(EM427/EE427),"NA",IF(OR(EM427/EE427&gt;2,EM427/EE427&lt;0.5),"NM",EM427/EE427*100-100))</f>
        <v>NA</v>
      </c>
      <c r="EO427" s="74">
        <v>0</v>
      </c>
      <c r="EP427" s="72" t="str">
        <f>IF(ISERROR(EO427/EG427),"NA",IF(OR(EO427/EG427&gt;2,EO427/EG427&lt;0.5),"NM",EO427/EG427*100-100))</f>
        <v>NA</v>
      </c>
      <c r="EQ427" s="74">
        <v>0</v>
      </c>
      <c r="ER427" s="72" t="str">
        <f t="shared" si="2283"/>
        <v>NA</v>
      </c>
      <c r="ES427" s="74">
        <v>0</v>
      </c>
      <c r="ET427" s="72" t="str">
        <f t="shared" si="2285"/>
        <v>NM</v>
      </c>
      <c r="EU427" s="74">
        <v>0</v>
      </c>
      <c r="EV427" s="72" t="str">
        <f t="shared" si="2287"/>
        <v>NA</v>
      </c>
      <c r="EW427" s="74">
        <v>0</v>
      </c>
      <c r="EX427" s="72" t="str">
        <f t="shared" si="2289"/>
        <v>NA</v>
      </c>
      <c r="EY427" s="72"/>
      <c r="EZ427" s="307"/>
      <c r="FA427" s="72"/>
      <c r="FB427" s="75">
        <v>0</v>
      </c>
      <c r="FC427" s="87"/>
      <c r="FD427" s="75">
        <v>0</v>
      </c>
      <c r="FE427" s="72" t="str">
        <f>IF(ISERROR(FD427/FB427),"NA",IF(OR(FD427/FB427&gt;2,FD427/FB427&lt;0.5),"NM",FD427/FB427*100-100))</f>
        <v>NA</v>
      </c>
      <c r="FF427" s="75">
        <v>0</v>
      </c>
      <c r="FG427" s="72" t="str">
        <f>IF(ISERROR(FF427/FD427),"NA",IF(OR(FF427/FD427&gt;2,FF427/FD427&lt;0.5),"NM",FF427/FD427*100-100))</f>
        <v>NA</v>
      </c>
      <c r="FH427" s="75">
        <f>BG427+BI427+BK427+BM427</f>
        <v>0</v>
      </c>
      <c r="FI427" s="72" t="str">
        <f>IF(ISERROR(FH427/FF427),"NA",IF(OR(FH427/FF427&gt;2,FH427/FF427&lt;0.5),"NM",FH427/FF427*100-100))</f>
        <v>NA</v>
      </c>
      <c r="FJ427" s="75">
        <f>BI427+BK427+BM427+BO427</f>
        <v>0</v>
      </c>
      <c r="FK427" s="72" t="str">
        <f>IF(ISERROR(FJ427/FH427),"NA",IF(OR(FJ427/FH427&gt;2,FJ427/FH427&lt;0.5),"NM",FJ427/FH427*100-100))</f>
        <v>NA</v>
      </c>
      <c r="FL427" s="75">
        <f>BK427+BM427+BO427+BQ427</f>
        <v>-11</v>
      </c>
      <c r="FM427" s="72" t="str">
        <f>IF(ISERROR(FL427/FJ427),"NA",IF(OR(FL427/FJ427&gt;2,FL427/FJ427&lt;0.5),"NM",FL427/FJ427*100-100))</f>
        <v>NA</v>
      </c>
      <c r="FN427" s="75">
        <f>BM427+BO427+BQ427+BS427</f>
        <v>-8</v>
      </c>
      <c r="FO427" s="72">
        <f>IF(ISERROR(FN427/FL427),"NA",IF(OR(FN427/FL427&gt;2,FN427/FL427&lt;0.5),"NM",FN427/FL427*100-100))</f>
        <v>-27.272727272727266</v>
      </c>
      <c r="FP427" s="75">
        <f>BO427+BQ427+BS427+BU427</f>
        <v>9</v>
      </c>
      <c r="FQ427" s="72" t="str">
        <f>IF(ISERROR(FP427/FN427),"NA",IF(OR(FP427/FN427&gt;2,FP427/FN427&lt;0.5),"NM",FP427/FN427*100-100))</f>
        <v>NM</v>
      </c>
      <c r="FR427" s="75">
        <f>BQ427+BS427+BU427+BW427</f>
        <v>4</v>
      </c>
      <c r="FS427" s="72" t="str">
        <f>IF(ISERROR(FR427/FP427),"NA",IF(OR(FR427/FP427&gt;2,FR427/FP427&lt;0.5),"NM",FR427/FP427*100-100))</f>
        <v>NM</v>
      </c>
      <c r="FT427" s="75">
        <f>BS427+BU427+BW427+BY427</f>
        <v>25</v>
      </c>
      <c r="FU427" s="72" t="str">
        <f>IF(ISERROR(FT427/FR427),"NA",IF(OR(FT427/FR427&gt;2,FT427/FR427&lt;0.5),"NM",FT427/FR427*100-100))</f>
        <v>NM</v>
      </c>
      <c r="FV427" s="75">
        <f>BU427+BW427+BY427+CA427</f>
        <v>25</v>
      </c>
      <c r="FW427" s="72">
        <f>IF(ISERROR(FV427/FT427),"NA",IF(OR(FV427/FT427&gt;2,FV427/FT427&lt;0.5),"NM",FV427/FT427*100-100))</f>
        <v>0</v>
      </c>
      <c r="FX427" s="75">
        <f>BW427+BY427+CA427+CC427</f>
        <v>16</v>
      </c>
      <c r="FY427" s="72">
        <f>IF(ISERROR(FX427/FV427),"NA",IF(OR(FX427/FV427&gt;2,FX427/FV427&lt;0.5),"NM",FX427/FV427*100-100))</f>
        <v>-36</v>
      </c>
      <c r="FZ427" s="75">
        <f>CE427+CG427+CI427+CK427</f>
        <v>66</v>
      </c>
      <c r="GA427" s="72" t="str">
        <f>IF(ISERROR(FZ427/FX427),"NA",IF(OR(FZ427/FX427&gt;2,FZ427/FX427&lt;0.5),"NM",FZ427/FX427*100-100))</f>
        <v>NM</v>
      </c>
      <c r="GB427" s="75">
        <f>CM427+CO427+CQ427+CS427</f>
        <v>142.4</v>
      </c>
      <c r="GC427" s="72" t="str">
        <f>IF(ISERROR(GB427/FZ427),"NA",IF(OR(GB427/FZ427&gt;2,GB427/FZ427&lt;0.5),"NM",GB427/FZ427*100-100))</f>
        <v>NM</v>
      </c>
      <c r="GD427" s="75">
        <f>CU427+CW427+CY427+DA427</f>
        <v>60</v>
      </c>
      <c r="GE427" s="72" t="str">
        <f>IF(ISERROR(GD427/GB427),"NA",IF(OR(GD427/GB427&gt;2,GD427/GB427&lt;0.5),"NM",GD427/GB427*100-100))</f>
        <v>NM</v>
      </c>
      <c r="GF427" s="75">
        <f>DC427+DE427+DG427+DI427</f>
        <v>-8</v>
      </c>
      <c r="GG427" s="72" t="str">
        <f>IF(ISERROR(GF427/GD427),"NA",IF(OR(GF427/GD427&gt;2,GF427/GD427&lt;0.5),"NM",GF427/GD427*100-100))</f>
        <v>NM</v>
      </c>
      <c r="GH427" s="75">
        <f>DK427+DM427+DO427+DQ427</f>
        <v>-88</v>
      </c>
      <c r="GI427" s="72" t="str">
        <f t="shared" si="2290"/>
        <v>NM</v>
      </c>
      <c r="GJ427" s="75">
        <f>DS427+DU427+DW427+DY427</f>
        <v>-10</v>
      </c>
      <c r="GK427" s="72" t="str">
        <f t="shared" si="2290"/>
        <v>NM</v>
      </c>
      <c r="GL427" s="75">
        <f>EA427+EC427+EE427+EG427</f>
        <v>-34</v>
      </c>
      <c r="GM427" s="72" t="str">
        <f t="shared" si="2290"/>
        <v>NM</v>
      </c>
      <c r="GN427" s="75">
        <f>EI427+EK427+EM427+EO427</f>
        <v>21</v>
      </c>
      <c r="GO427" s="72" t="str">
        <f t="shared" si="2290"/>
        <v>NM</v>
      </c>
      <c r="GP427" s="75">
        <f>EQ427+ES427+EU427+EW427</f>
        <v>0</v>
      </c>
      <c r="GQ427" s="72" t="str">
        <f t="shared" si="2290"/>
        <v>NM</v>
      </c>
      <c r="GR427" s="74">
        <v>0</v>
      </c>
      <c r="GS427" s="72" t="str">
        <f t="shared" si="2290"/>
        <v>NA</v>
      </c>
      <c r="GT427" s="74">
        <v>0</v>
      </c>
      <c r="GU427" s="72" t="str">
        <f t="shared" si="2290"/>
        <v>NA</v>
      </c>
      <c r="GV427" s="74">
        <v>0</v>
      </c>
      <c r="GW427" s="72" t="str">
        <f>IF(ISERROR(GV427/GT427),"NA",IF(OR(GV427/GT427&gt;2,GV427/GT427&lt;0.5),"NM",GV427/GT427*100-100))</f>
        <v>NA</v>
      </c>
      <c r="GX427" s="74">
        <v>0</v>
      </c>
      <c r="GY427" s="72" t="str">
        <f>IF(ISERROR(GX427/GV427),"NA",IF(OR(GX427/GV427&gt;2,GX427/GV427&lt;0.5),"NM",GX427/GV427*100-100))</f>
        <v>NA</v>
      </c>
      <c r="GZ427" s="72" t="str">
        <f>IF(ISERROR(((GX427/GN427)^0.2-1)*100),"NA",IF((((GX427/GN427)^0.2-1)*100)&gt;100,"NM",IF((((GX427/GN427)^0.2-1)*100)&lt;-50,"NM",((GX427/GN427)^0.2-1)*100)))</f>
        <v>NM</v>
      </c>
      <c r="HA427" s="72"/>
      <c r="HB427" s="72"/>
      <c r="HC427"/>
      <c r="HD427"/>
      <c r="HE427"/>
      <c r="HF427"/>
      <c r="HG427"/>
      <c r="HH427"/>
      <c r="HI427" s="2"/>
    </row>
    <row r="428" spans="1:217" s="3" customFormat="1" ht="12.75" customHeight="1" x14ac:dyDescent="0.2">
      <c r="B428" s="218" t="s">
        <v>172</v>
      </c>
      <c r="C428" s="91"/>
      <c r="D428" s="91"/>
      <c r="E428" s="91"/>
      <c r="F428" s="91"/>
      <c r="G428" s="91"/>
      <c r="H428" s="91"/>
      <c r="I428" s="91"/>
      <c r="J428" s="91"/>
      <c r="K428" s="91">
        <f>K422-K427-K425</f>
        <v>81</v>
      </c>
      <c r="L428" s="72" t="str">
        <f>IF(ISERROR(K428/C428),"NA",IF(OR(K428/C428&gt;2,K428/C428&lt;0.5),"NM",K428/C428*100-100))</f>
        <v>NA</v>
      </c>
      <c r="M428" s="91">
        <f>M422-M427-M425</f>
        <v>59</v>
      </c>
      <c r="N428" s="72" t="str">
        <f>IF(ISERROR(M428/E428),"NA",IF(OR(M428/E428&gt;2,M428/E428&lt;0.5),"NM",M428/E428*100-100))</f>
        <v>NA</v>
      </c>
      <c r="O428" s="91">
        <f>O422-O427-O425</f>
        <v>126</v>
      </c>
      <c r="P428" s="72" t="str">
        <f>IF(ISERROR(O428/G428),"NA",IF(OR(O428/G428&gt;2,O428/G428&lt;0.5),"NM",O428/G428*100-100))</f>
        <v>NA</v>
      </c>
      <c r="Q428" s="91">
        <f>Q422-Q427-Q425</f>
        <v>77</v>
      </c>
      <c r="R428" s="72" t="str">
        <f>IF(ISERROR(Q428/I428),"NA",IF(OR(Q428/I428&gt;2,Q428/I428&lt;0.5),"NM",Q428/I428*100-100))</f>
        <v>NA</v>
      </c>
      <c r="S428" s="91">
        <f>S422-S427-S425</f>
        <v>104</v>
      </c>
      <c r="T428" s="72">
        <f>IF(ISERROR(S428/K428),"NA",IF(OR(S428/K428&gt;2,S428/K428&lt;0.5),"NM",S428/K428*100-100))</f>
        <v>28.395061728395063</v>
      </c>
      <c r="U428" s="91">
        <f>U422-U427-U425</f>
        <v>101</v>
      </c>
      <c r="V428" s="72">
        <f>IF(ISERROR(U428/M428),"NA",IF(OR(U428/M428&gt;2,U428/M428&lt;0.5),"NM",U428/M428*100-100))</f>
        <v>71.186440677966118</v>
      </c>
      <c r="W428" s="91">
        <f>W422-W427-W425</f>
        <v>102</v>
      </c>
      <c r="X428" s="72">
        <f>IF(ISERROR(W428/O428),"NA",IF(OR(W428/O428&gt;2,W428/O428&lt;0.5),"NM",W428/O428*100-100))</f>
        <v>-19.047619047619051</v>
      </c>
      <c r="Y428" s="91">
        <f>Y422-Y427-Y425</f>
        <v>71</v>
      </c>
      <c r="Z428" s="72">
        <f>IF(ISERROR(Y428/Q428),"NA",IF(OR(Y428/Q428&gt;2,Y428/Q428&lt;0.5),"NM",Y428/Q428*100-100))</f>
        <v>-7.7922077922077904</v>
      </c>
      <c r="AA428" s="91">
        <f>AA422-AA427-AA425</f>
        <v>75</v>
      </c>
      <c r="AB428" s="72">
        <f>IF(ISERROR(AA428/S428),"NA",IF(OR(AA428/S428&gt;2,AA428/S428&lt;0.5),"NM",AA428/S428*100-100))</f>
        <v>-27.884615384615387</v>
      </c>
      <c r="AC428" s="91">
        <f>AC422-AC427-AC425</f>
        <v>98</v>
      </c>
      <c r="AD428" s="72">
        <f>IF(ISERROR(AC428/U428),"NA",IF(OR(AC428/U428&gt;2,AC428/U428&lt;0.5),"NM",AC428/U428*100-100))</f>
        <v>-2.9702970297029765</v>
      </c>
      <c r="AE428" s="91">
        <f>AE422-AE427-AE425</f>
        <v>104</v>
      </c>
      <c r="AF428" s="72">
        <f>IF(ISERROR(AE428/W428),"NA",IF(OR(AE428/W428&gt;2,AE428/W428&lt;0.5),"NM",AE428/W428*100-100))</f>
        <v>1.9607843137254832</v>
      </c>
      <c r="AG428" s="91">
        <f>AG422-AG427-AG425</f>
        <v>93</v>
      </c>
      <c r="AH428" s="72">
        <f>IF(ISERROR(AG428/Y428),"NA",IF(OR(AG428/Y428&gt;2,AG428/Y428&lt;0.5),"NM",AG428/Y428*100-100))</f>
        <v>30.985915492957758</v>
      </c>
      <c r="AI428" s="91">
        <f t="shared" ref="AI428:BE428" si="2295">AI422-AI427-AI425</f>
        <v>94</v>
      </c>
      <c r="AJ428" s="72">
        <f>IF(ISERROR(AI428/AA428),"NA",IF(OR(AI428/AA428&gt;2,AI428/AA428&lt;0.5),"NM",AI428/AA428*100-100))</f>
        <v>25.333333333333343</v>
      </c>
      <c r="AK428" s="91">
        <f t="shared" si="2295"/>
        <v>115</v>
      </c>
      <c r="AL428" s="72">
        <f>IF(ISERROR(AK428/AC428),"NA",IF(OR(AK428/AC428&gt;2,AK428/AC428&lt;0.5),"NM",AK428/AC428*100-100))</f>
        <v>17.34693877551021</v>
      </c>
      <c r="AM428" s="91">
        <f t="shared" si="2295"/>
        <v>100</v>
      </c>
      <c r="AN428" s="72">
        <f>IF(ISERROR(AM428/AE428),"NA",IF(OR(AM428/AE428&gt;2,AM428/AE428&lt;0.5),"NM",AM428/AE428*100-100))</f>
        <v>-3.8461538461538396</v>
      </c>
      <c r="AO428" s="91">
        <f t="shared" si="2295"/>
        <v>97</v>
      </c>
      <c r="AP428" s="72">
        <f>IF(ISERROR(AO428/AG428),"NA",IF(OR(AO428/AG428&gt;2,AO428/AG428&lt;0.5),"NM",AO428/AG428*100-100))</f>
        <v>4.3010752688172005</v>
      </c>
      <c r="AQ428" s="91">
        <f t="shared" si="2295"/>
        <v>106</v>
      </c>
      <c r="AR428" s="72">
        <f>IF(ISERROR(AQ428/AI428),"NA",IF(OR(AQ428/AI428&gt;2,AQ428/AI428&lt;0.5),"NM",AQ428/AI428*100-100))</f>
        <v>12.7659574468085</v>
      </c>
      <c r="AS428" s="91">
        <f t="shared" si="2295"/>
        <v>112</v>
      </c>
      <c r="AT428" s="72">
        <f>IF(ISERROR(AS428/AK428),"NA",IF(OR(AS428/AK428&gt;2,AS428/AK428&lt;0.5),"NM",AS428/AK428*100-100))</f>
        <v>-2.6086956521739069</v>
      </c>
      <c r="AU428" s="91">
        <f t="shared" si="2295"/>
        <v>131</v>
      </c>
      <c r="AV428" s="72">
        <f>IF(ISERROR(AU428/AM428),"NA",IF(OR(AU428/AM428&gt;2,AU428/AM428&lt;0.5),"NM",AU428/AM428*100-100))</f>
        <v>31</v>
      </c>
      <c r="AW428" s="91">
        <f t="shared" si="2295"/>
        <v>126</v>
      </c>
      <c r="AX428" s="72">
        <f>IF(ISERROR(AW428/AO428),"NA",IF(OR(AW428/AO428&gt;2,AW428/AO428&lt;0.5),"NM",AW428/AO428*100-100))</f>
        <v>29.896907216494839</v>
      </c>
      <c r="AY428" s="91">
        <f t="shared" si="2295"/>
        <v>109</v>
      </c>
      <c r="AZ428" s="72">
        <f>IF(ISERROR(AY428/AQ428),"NA",IF(OR(AY428/AQ428&gt;2,AY428/AQ428&lt;0.5),"NM",AY428/AQ428*100-100))</f>
        <v>2.8301886792452962</v>
      </c>
      <c r="BA428" s="91">
        <f t="shared" si="2295"/>
        <v>129</v>
      </c>
      <c r="BB428" s="72">
        <f>IF(ISERROR(BA428/AS428),"NA",IF(OR(BA428/AS428&gt;2,BA428/AS428&lt;0.5),"NM",BA428/AS428*100-100))</f>
        <v>15.178571428571416</v>
      </c>
      <c r="BC428" s="91">
        <f t="shared" si="2295"/>
        <v>135</v>
      </c>
      <c r="BD428" s="72">
        <f>IF(ISERROR(BC428/AU428),"NA",IF(OR(BC428/AU428&gt;2,BC428/AU428&lt;0.5),"NM",BC428/AU428*100-100))</f>
        <v>3.0534351145038272</v>
      </c>
      <c r="BE428" s="91">
        <f t="shared" si="2295"/>
        <v>131</v>
      </c>
      <c r="BF428" s="72">
        <f>IF(ISERROR(BE428/AW428),"NA",IF(OR(BE428/AW428&gt;2,BE428/AW428&lt;0.5),"NM",BE428/AW428*100-100))</f>
        <v>3.9682539682539755</v>
      </c>
      <c r="BG428" s="91">
        <f>BG426-BG427</f>
        <v>143</v>
      </c>
      <c r="BH428" s="72">
        <f>IF(ISERROR(BG428/AY428),"NA",IF(OR(BG428/AY428&gt;2,BG428/AY428&lt;0.5),"NM",BG428/AY428*100-100))</f>
        <v>31.192660550458697</v>
      </c>
      <c r="BI428" s="91">
        <f>BI426-BI427</f>
        <v>146</v>
      </c>
      <c r="BJ428" s="72">
        <f>IF(ISERROR(BI428/BA428),"NA",IF(OR(BI428/BA428&gt;2,BI428/BA428&lt;0.5),"NM",BI428/BA428*100-100))</f>
        <v>13.178294573643413</v>
      </c>
      <c r="BK428" s="91">
        <f>BK426-BK427</f>
        <v>160</v>
      </c>
      <c r="BL428" s="72">
        <f>IF(ISERROR(BK428/BC428),"NA",IF(OR(BK428/BC428&gt;2,BK428/BC428&lt;0.5),"NM",BK428/BC428*100-100))</f>
        <v>18.518518518518505</v>
      </c>
      <c r="BM428" s="91">
        <f>BM426-BM427</f>
        <v>129</v>
      </c>
      <c r="BN428" s="72">
        <f>IF(ISERROR(BM428/BE428),"NA",IF(OR(BM428/BE428&gt;2,BM428/BE428&lt;0.5),"NM",BM428/BE428*100-100))</f>
        <v>-1.5267175572519136</v>
      </c>
      <c r="BO428" s="91">
        <f>BO426-BO427</f>
        <v>128</v>
      </c>
      <c r="BP428" s="72">
        <f>IF(ISERROR(BO428/BG428),"NA",IF(OR(BO428/BG428&gt;2,BO428/BG428&lt;0.5),"NM",BO428/BG428*100-100))</f>
        <v>-10.489510489510494</v>
      </c>
      <c r="BQ428" s="91">
        <f>BQ426-BQ427</f>
        <v>167</v>
      </c>
      <c r="BR428" s="72">
        <f>IF(ISERROR(BQ428/BI428),"NA",IF(OR(BQ428/BI428&gt;2,BQ428/BI428&lt;0.5),"NM",BQ428/BI428*100-100))</f>
        <v>14.383561643835606</v>
      </c>
      <c r="BS428" s="91">
        <f>BS426-BS427</f>
        <v>167</v>
      </c>
      <c r="BT428" s="72">
        <f>IF(ISERROR(BS428/BK428),"NA",IF(OR(BS428/BK428&gt;2,BS428/BK428&lt;0.5),"NM",BS428/BK428*100-100))</f>
        <v>4.375</v>
      </c>
      <c r="BU428" s="91">
        <f>BU426-BU427</f>
        <v>151</v>
      </c>
      <c r="BV428" s="72">
        <f>IF(ISERROR(BU428/BM428),"NA",IF(OR(BU428/BM428&gt;2,BU428/BM428&lt;0.5),"NM",BU428/BM428*100-100))</f>
        <v>17.054263565891475</v>
      </c>
      <c r="BW428" s="91">
        <f>BW426-BW427</f>
        <v>141</v>
      </c>
      <c r="BX428" s="72">
        <f>IF(ISERROR(BW428/BO428),"NA",IF(OR(BW428/BO428&gt;2,BW428/BO428&lt;0.5),"NM",BW428/BO428*100-100))</f>
        <v>10.15625</v>
      </c>
      <c r="BY428" s="91">
        <f>BY426-BY427</f>
        <v>137</v>
      </c>
      <c r="BZ428" s="72">
        <f>IF(ISERROR(BY428/BQ428),"NA",IF(OR(BY428/BQ428&gt;2,BY428/BQ428&lt;0.5),"NM",BY428/BQ428*100-100))</f>
        <v>-17.964071856287418</v>
      </c>
      <c r="CA428" s="91">
        <f>CA426-CA427</f>
        <v>197</v>
      </c>
      <c r="CB428" s="72">
        <f>IF(ISERROR(CA428/BS428),"NA",IF(OR(CA428/BS428&gt;2,CA428/BS428&lt;0.5),"NM",CA428/BS428*100-100))</f>
        <v>17.964071856287433</v>
      </c>
      <c r="CC428" s="91">
        <f>CC426-CC427</f>
        <v>156</v>
      </c>
      <c r="CD428" s="72">
        <f>IF(ISERROR(CC428/BU428),"NA",IF(OR(CC428/BU428&gt;2,CC428/BU428&lt;0.5),"NM",CC428/BU428*100-100))</f>
        <v>3.3112582781456865</v>
      </c>
      <c r="CE428" s="91">
        <f>CE426-CE427</f>
        <v>156</v>
      </c>
      <c r="CF428" s="72">
        <f>IF(ISERROR(CE428/BW428),"NA",IF(OR(CE428/BW428&gt;2,CE428/BW428&lt;0.5),"NM",CE428/BW428*100-100))</f>
        <v>10.638297872340431</v>
      </c>
      <c r="CG428" s="91">
        <f>CG426-CG427</f>
        <v>163</v>
      </c>
      <c r="CH428" s="72">
        <f>IF(ISERROR(CG428/BY428),"NA",IF(OR(CG428/BY428&gt;2,CG428/BY428&lt;0.5),"NM",CG428/BY428*100-100))</f>
        <v>18.978102189781026</v>
      </c>
      <c r="CI428" s="91">
        <f>CI426-CI427</f>
        <v>199</v>
      </c>
      <c r="CJ428" s="72">
        <f>IF(ISERROR(CI428/CA428),"NA",IF(OR(CI428/CA428&gt;2,CI428/CA428&lt;0.5),"NM",CI428/CA428*100-100))</f>
        <v>1.0152284263959359</v>
      </c>
      <c r="CK428" s="91">
        <f>CK426-CK427</f>
        <v>182</v>
      </c>
      <c r="CL428" s="72">
        <f>IF(ISERROR(CK428/CC428),"NA",IF(OR(CK428/CC428&gt;2,CK428/CC428&lt;0.5),"NM",CK428/CC428*100-100))</f>
        <v>16.666666666666671</v>
      </c>
      <c r="CM428" s="91">
        <f>CM426-CM427</f>
        <v>221.6</v>
      </c>
      <c r="CN428" s="72">
        <f>IF(ISERROR(CM428/CE428),"NA",IF(OR(CM428/CE428&gt;2,CM428/CE428&lt;0.5),"NM",CM428/CE428*100-100))</f>
        <v>42.051282051282044</v>
      </c>
      <c r="CO428" s="91">
        <f>CO426-CO427</f>
        <v>270</v>
      </c>
      <c r="CP428" s="72">
        <f>IF(ISERROR(CO428/CG428),"NA",IF(OR(CO428/CG428&gt;2,CO428/CG428&lt;0.5),"NM",CO428/CG428*100-100))</f>
        <v>65.644171779141089</v>
      </c>
      <c r="CQ428" s="91">
        <f>CQ426-CQ427</f>
        <v>288</v>
      </c>
      <c r="CR428" s="72">
        <f>IF(ISERROR(CQ428/CI428),"NA",IF(OR(CQ428/CI428&gt;2,CQ428/CI428&lt;0.5),"NM",CQ428/CI428*100-100))</f>
        <v>44.723618090452277</v>
      </c>
      <c r="CS428" s="91">
        <f>CS426-CS427</f>
        <v>296</v>
      </c>
      <c r="CT428" s="72">
        <f>IF(ISERROR(CS428/CK428),"NA",IF(OR(CS428/CK428&gt;2,CS428/CK428&lt;0.5),"NM",CS428/CK428*100-100))</f>
        <v>62.637362637362628</v>
      </c>
      <c r="CU428" s="91">
        <f>CU426-CU427</f>
        <v>272</v>
      </c>
      <c r="CV428" s="72">
        <f>IF(ISERROR(CU428/CM428),"NA",IF(OR(CU428/CM428&gt;2,CU428/CM428&lt;0.5),"NM",CU428/CM428*100-100))</f>
        <v>22.743682310469325</v>
      </c>
      <c r="CW428" s="91">
        <f>CW426-CW427</f>
        <v>342</v>
      </c>
      <c r="CX428" s="72">
        <f>IF(ISERROR(CW428/CO428),"NA",IF(OR(CW428/CO428&gt;2,CW428/CO428&lt;0.5),"NM",CW428/CO428*100-100))</f>
        <v>26.666666666666657</v>
      </c>
      <c r="CY428" s="91">
        <f>CY426-CY427</f>
        <v>363</v>
      </c>
      <c r="CZ428" s="72">
        <f>IF(ISERROR(CY428/CQ428),"NA",IF(OR(CY428/CQ428&gt;2,CY428/CQ428&lt;0.5),"NM",CY428/CQ428*100-100))</f>
        <v>26.041666666666671</v>
      </c>
      <c r="DA428" s="91">
        <f>DA426-DA427</f>
        <v>325</v>
      </c>
      <c r="DB428" s="72">
        <f>IF(ISERROR(DA428/CS428),"NA",IF(OR(DA428/CS428&gt;2,DA428/CS428&lt;0.5),"NM",DA428/CS428*100-100))</f>
        <v>9.7972972972973054</v>
      </c>
      <c r="DC428" s="91">
        <f>DC426-DC427</f>
        <v>392</v>
      </c>
      <c r="DD428" s="72">
        <f>IF(ISERROR(DC428/CU428),"NA",IF(OR(DC428/CU428&gt;2,DC428/CU428&lt;0.5),"NM",DC428/CU428*100-100))</f>
        <v>44.117647058823536</v>
      </c>
      <c r="DE428" s="91">
        <f>DE426-DE427</f>
        <v>431</v>
      </c>
      <c r="DF428" s="72">
        <f>IF(ISERROR(DE428/CW428),"NA",IF(OR(DE428/CW428&gt;2,DE428/CW428&lt;0.5),"NM",DE428/CW428*100-100))</f>
        <v>26.023391812865498</v>
      </c>
      <c r="DG428" s="91">
        <f>DG426-DG427</f>
        <v>470</v>
      </c>
      <c r="DH428" s="72">
        <f>IF(ISERROR(DG428/CY428),"NA",IF(OR(DG428/CY428&gt;2,DG428/CY428&lt;0.5),"NM",DG428/CY428*100-100))</f>
        <v>29.476584022038566</v>
      </c>
      <c r="DI428" s="91">
        <f>DI426-DI427</f>
        <v>378</v>
      </c>
      <c r="DJ428" s="72">
        <f>IF(ISERROR(DI428/DA428),"NA",IF(OR(DI428/DA428&gt;2,DI428/DA428&lt;0.5),"NM",DI428/DA428*100-100))</f>
        <v>16.307692307692307</v>
      </c>
      <c r="DK428" s="91">
        <f>DK426-DK427</f>
        <v>418</v>
      </c>
      <c r="DL428" s="72">
        <f>IF(ISERROR(DK428/DC428),"NA",IF(OR(DK428/DC428&gt;2,DK428/DC428&lt;0.5),"NM",DK428/DC428*100-100))</f>
        <v>6.6326530612244881</v>
      </c>
      <c r="DM428" s="91">
        <f>DM426-DM427</f>
        <v>502</v>
      </c>
      <c r="DN428" s="72">
        <f t="shared" si="2281"/>
        <v>16.473317865429223</v>
      </c>
      <c r="DO428" s="91">
        <f>DO426-DO427</f>
        <v>446</v>
      </c>
      <c r="DP428" s="72">
        <f t="shared" si="2281"/>
        <v>-5.1063829787234027</v>
      </c>
      <c r="DQ428" s="91">
        <f>DQ426-DQ427</f>
        <v>385</v>
      </c>
      <c r="DR428" s="72">
        <f t="shared" si="2281"/>
        <v>1.8518518518518619</v>
      </c>
      <c r="DS428" s="91">
        <f>DS426-DS427</f>
        <v>395</v>
      </c>
      <c r="DT428" s="72">
        <f t="shared" si="2281"/>
        <v>-5.5023923444976077</v>
      </c>
      <c r="DU428" s="91">
        <f>DU426-DU427</f>
        <v>471</v>
      </c>
      <c r="DV428" s="72">
        <f t="shared" si="2281"/>
        <v>-6.1752988047808657</v>
      </c>
      <c r="DW428" s="91">
        <f>DW426-DW427</f>
        <v>414</v>
      </c>
      <c r="DX428" s="72">
        <f t="shared" si="2281"/>
        <v>-7.1748878923766739</v>
      </c>
      <c r="DY428" s="91">
        <f>DY426-DY427</f>
        <v>371</v>
      </c>
      <c r="DZ428" s="72">
        <f t="shared" si="2281"/>
        <v>-3.6363636363636402</v>
      </c>
      <c r="EA428" s="91">
        <f>EA426-EA427</f>
        <v>369</v>
      </c>
      <c r="EB428" s="72">
        <f>IF(ISERROR(EA428/DS428),"NA",IF(OR(EA428/DS428&gt;2,EA428/DS428&lt;0.5),"NM",EA428/DS428*100-100))</f>
        <v>-6.5822784810126649</v>
      </c>
      <c r="EC428" s="91">
        <f>EC426-EC427</f>
        <v>494</v>
      </c>
      <c r="ED428" s="72">
        <f>IF(ISERROR(EC428/DU428),"NA",IF(OR(EC428/DU428&gt;2,EC428/DU428&lt;0.5),"NM",EC428/DU428*100-100))</f>
        <v>4.8832271762207995</v>
      </c>
      <c r="EE428" s="91">
        <f>EE426-EE427</f>
        <v>389</v>
      </c>
      <c r="EF428" s="72">
        <f>IF(ISERROR(EE428/DW428),"NA",IF(OR(EE428/DW428&gt;2,EE428/DW428&lt;0.5),"NM",EE428/DW428*100-100))</f>
        <v>-6.0386473429951764</v>
      </c>
      <c r="EG428" s="91">
        <f>EG426-EG427</f>
        <v>360</v>
      </c>
      <c r="EH428" s="72">
        <f>IF(ISERROR(EG428/DY428),"NA",IF(OR(EG428/DY428&gt;2,EG428/DY428&lt;0.5),"NM",EG428/DY428*100-100))</f>
        <v>-2.9649595687331498</v>
      </c>
      <c r="EI428" s="91">
        <f>EI426-EI427</f>
        <v>391</v>
      </c>
      <c r="EJ428" s="72">
        <f>IF(ISERROR(EI428/EA428),"NA",IF(OR(EI428/EA428&gt;2,EI428/EA428&lt;0.5),"NM",EI428/EA428*100-100))</f>
        <v>5.9620596205962215</v>
      </c>
      <c r="EK428" s="91">
        <f>EK426-EK427</f>
        <v>473</v>
      </c>
      <c r="EL428" s="72">
        <f>IF(ISERROR(EK428/EC428),"NA",IF(OR(EK428/EC428&gt;2,EK428/EC428&lt;0.5),"NM",EK428/EC428*100-100))</f>
        <v>-4.2510121457489873</v>
      </c>
      <c r="EM428" s="91">
        <f>EM426-EM427</f>
        <v>426</v>
      </c>
      <c r="EN428" s="72">
        <f>IF(ISERROR(EM428/EE428),"NA",IF(OR(EM428/EE428&gt;2,EM428/EE428&lt;0.5),"NM",EM428/EE428*100-100))</f>
        <v>9.5115681233933174</v>
      </c>
      <c r="EO428" s="91">
        <f>EO426-EO427</f>
        <v>394</v>
      </c>
      <c r="EP428" s="72">
        <f>IF(ISERROR(EO428/EG428),"NA",IF(OR(EO428/EG428&gt;2,EO428/EG428&lt;0.5),"NM",EO428/EG428*100-100))</f>
        <v>9.4444444444444571</v>
      </c>
      <c r="EQ428" s="91">
        <f t="shared" ref="EQ428" si="2296">EQ426-EQ427</f>
        <v>418.40083542574803</v>
      </c>
      <c r="ER428" s="72">
        <f t="shared" si="2283"/>
        <v>7.0078862981452801</v>
      </c>
      <c r="ES428" s="91">
        <f t="shared" ref="ES428" si="2297">ES426-ES427</f>
        <v>440.44495489295241</v>
      </c>
      <c r="ET428" s="72">
        <f t="shared" si="2285"/>
        <v>-6.8826733841538328</v>
      </c>
      <c r="EU428" s="91">
        <f t="shared" ref="EU428" si="2298">EU426-EU427</f>
        <v>423.59151031461124</v>
      </c>
      <c r="EV428" s="72">
        <f t="shared" si="2287"/>
        <v>-0.56537316558421935</v>
      </c>
      <c r="EW428" s="91">
        <f t="shared" ref="EW428" si="2299">EW426-EW427</f>
        <v>402.3062130630633</v>
      </c>
      <c r="EX428" s="72">
        <f t="shared" si="2289"/>
        <v>2.1081759043307926</v>
      </c>
      <c r="EY428" s="72"/>
      <c r="EZ428" s="307"/>
      <c r="FA428" s="72"/>
      <c r="FB428" s="91">
        <f>FB422-FB427-FB425</f>
        <v>0</v>
      </c>
      <c r="FC428" s="91"/>
      <c r="FD428" s="91"/>
      <c r="FE428" s="91"/>
      <c r="FF428" s="91">
        <f>FF422-FF427-FF425</f>
        <v>0</v>
      </c>
      <c r="FG428" s="91"/>
      <c r="FH428" s="91">
        <f>FH426-FH427</f>
        <v>343</v>
      </c>
      <c r="FI428" s="72" t="str">
        <f>IF(ISERROR(FH428/FF428),"NA",IF(OR(FH428/FF428&gt;2,FH428/FF428&lt;0.5),"NM",FH428/FF428*100-100))</f>
        <v>NA</v>
      </c>
      <c r="FJ428" s="91">
        <f>FJ426-FJ427</f>
        <v>378</v>
      </c>
      <c r="FK428" s="72">
        <f>IF(ISERROR(FJ428/FH428),"NA",IF(OR(FJ428/FH428&gt;2,FJ428/FH428&lt;0.5),"NM",FJ428/FH428*100-100))</f>
        <v>10.204081632653043</v>
      </c>
      <c r="FL428" s="91">
        <f>FL426-FL427</f>
        <v>381</v>
      </c>
      <c r="FM428" s="72">
        <f>IF(ISERROR(FL428/FJ428),"NA",IF(OR(FL428/FJ428&gt;2,FL428/FJ428&lt;0.5),"NM",FL428/FJ428*100-100))</f>
        <v>0.79365079365078373</v>
      </c>
      <c r="FN428" s="91">
        <f>FN426-FN427</f>
        <v>410</v>
      </c>
      <c r="FO428" s="72">
        <f>IF(ISERROR(FN428/FL428),"NA",IF(OR(FN428/FL428&gt;2,FN428/FL428&lt;0.5),"NM",FN428/FL428*100-100))</f>
        <v>7.6115485564304493</v>
      </c>
      <c r="FP428" s="91">
        <f>FP426-FP427</f>
        <v>493</v>
      </c>
      <c r="FQ428" s="72">
        <f>IF(ISERROR(FP428/FN428),"NA",IF(OR(FP428/FN428&gt;2,FP428/FN428&lt;0.5),"NM",FP428/FN428*100-100))</f>
        <v>20.243902439024382</v>
      </c>
      <c r="FR428" s="91">
        <f>FR426-FR427</f>
        <v>486</v>
      </c>
      <c r="FS428" s="72">
        <f>IF(ISERROR(FR428/FP428),"NA",IF(OR(FR428/FP428&gt;2,FR428/FP428&lt;0.5),"NM",FR428/FP428*100-100))</f>
        <v>-1.4198782961460523</v>
      </c>
      <c r="FT428" s="91">
        <f>FT426-FT427</f>
        <v>553</v>
      </c>
      <c r="FU428" s="72">
        <f>IF(ISERROR(FT428/FR428),"NA",IF(OR(FT428/FR428&gt;2,FT428/FR428&lt;0.5),"NM",FT428/FR428*100-100))</f>
        <v>13.78600823045268</v>
      </c>
      <c r="FV428" s="91">
        <f>FV426-FV427</f>
        <v>146</v>
      </c>
      <c r="FW428" s="72" t="str">
        <f>IF(ISERROR(FV428/FT428),"NA",IF(OR(FV428/FT428&gt;2,FV428/FT428&lt;0.5),"NM",FV428/FT428*100-100))</f>
        <v>NM</v>
      </c>
      <c r="FX428" s="91">
        <f>FX426-FX427</f>
        <v>602</v>
      </c>
      <c r="FY428" s="72" t="str">
        <f>IF(ISERROR(FX428/FV428),"NA",IF(OR(FX428/FV428&gt;2,FX428/FV428&lt;0.5),"NM",FX428/FV428*100-100))</f>
        <v>NM</v>
      </c>
      <c r="FZ428" s="91">
        <f>FZ426-FZ427</f>
        <v>700</v>
      </c>
      <c r="GA428" s="72">
        <f>IF(ISERROR(FZ428/FX428),"NA",IF(OR(FZ428/FX428&gt;2,FZ428/FX428&lt;0.5),"NM",FZ428/FX428*100-100))</f>
        <v>16.279069767441868</v>
      </c>
      <c r="GB428" s="91">
        <f>GB426-GB427</f>
        <v>1075.5999999999999</v>
      </c>
      <c r="GC428" s="72">
        <f>IF(ISERROR(GB428/FZ428),"NA",IF(OR(GB428/FZ428&gt;2,GB428/FZ428&lt;0.5),"NM",GB428/FZ428*100-100))</f>
        <v>53.657142857142844</v>
      </c>
      <c r="GD428" s="91">
        <f>GD426-GD427</f>
        <v>1302</v>
      </c>
      <c r="GE428" s="72">
        <f>IF(ISERROR(GD428/GB428),"NA",IF(OR(GD428/GB428&gt;2,GD428/GB428&lt;0.5),"NM",GD428/GB428*100-100))</f>
        <v>21.048716995165506</v>
      </c>
      <c r="GF428" s="91">
        <f>GF426-GF427</f>
        <v>1671</v>
      </c>
      <c r="GG428" s="72">
        <f>IF(ISERROR(GF428/GD428),"NA",IF(OR(GF428/GD428&gt;2,GF428/GD428&lt;0.5),"NM",GF428/GD428*100-100))</f>
        <v>28.341013824884783</v>
      </c>
      <c r="GH428" s="91">
        <f>GH426-GH427</f>
        <v>1751</v>
      </c>
      <c r="GI428" s="72">
        <f t="shared" si="2290"/>
        <v>4.7875523638539761</v>
      </c>
      <c r="GJ428" s="91">
        <f>GJ426-GJ427</f>
        <v>1651</v>
      </c>
      <c r="GK428" s="72">
        <f t="shared" si="2290"/>
        <v>-5.7110222729868667</v>
      </c>
      <c r="GL428" s="91">
        <f>GL426-GL427</f>
        <v>1612</v>
      </c>
      <c r="GM428" s="72">
        <f t="shared" si="2290"/>
        <v>-2.3622047244094517</v>
      </c>
      <c r="GN428" s="91">
        <f>GN426-GN427</f>
        <v>1684</v>
      </c>
      <c r="GO428" s="72">
        <f t="shared" si="2290"/>
        <v>4.4665012406947824</v>
      </c>
      <c r="GP428" s="91">
        <f>GP426-GP427</f>
        <v>1684.7435136963741</v>
      </c>
      <c r="GQ428" s="72">
        <f t="shared" si="2290"/>
        <v>4.4151644677796753E-2</v>
      </c>
      <c r="GR428" s="91">
        <f>GR426-GR427</f>
        <v>1698.5578145540567</v>
      </c>
      <c r="GS428" s="72">
        <f t="shared" si="2290"/>
        <v>0.8199646263883551</v>
      </c>
      <c r="GT428" s="91">
        <f>GT426-GT427</f>
        <v>1701.199982699598</v>
      </c>
      <c r="GU428" s="72">
        <f t="shared" si="2290"/>
        <v>0.1555536186582458</v>
      </c>
      <c r="GV428" s="91">
        <f>GV426-GV427</f>
        <v>1703.7247384265938</v>
      </c>
      <c r="GW428" s="72">
        <f>IF(ISERROR(GV428/GT428),"NA",IF(OR(GV428/GT428&gt;2,GV428/GT428&lt;0.5),"NM",GV428/GT428*100-100))</f>
        <v>0.14841028407425938</v>
      </c>
      <c r="GX428" s="91">
        <f>GX426-GX427</f>
        <v>1706.1294692698593</v>
      </c>
      <c r="GY428" s="72">
        <f>IF(ISERROR(GX428/GV428),"NA",IF(OR(GX428/GV428&gt;2,GX428/GV428&lt;0.5),"NM",GX428/GV428*100-100))</f>
        <v>0.14114550249979629</v>
      </c>
      <c r="GZ428" s="72">
        <f>IF(ISERROR(((GX428/GN428)^0.2-1)*100),"NA",IF((((GX428/GN428)^0.2-1)*100)&gt;100,"NM",IF((((GX428/GN428)^0.2-1)*100)&lt;-50,"NM",((GX428/GN428)^0.2-1)*100)))</f>
        <v>0.26144960321734523</v>
      </c>
      <c r="HA428" s="72"/>
      <c r="HB428" s="72"/>
      <c r="HC428"/>
      <c r="HD428"/>
      <c r="HE428"/>
      <c r="HF428"/>
      <c r="HG428"/>
      <c r="HH428"/>
      <c r="HI428" s="2"/>
    </row>
    <row r="429" spans="1:217" s="3" customFormat="1" ht="12.75" customHeight="1" x14ac:dyDescent="0.2">
      <c r="B429" s="77" t="s">
        <v>418</v>
      </c>
      <c r="C429" s="75"/>
      <c r="D429" s="72"/>
      <c r="E429" s="75"/>
      <c r="F429" s="72"/>
      <c r="G429" s="75"/>
      <c r="H429" s="72"/>
      <c r="I429" s="75"/>
      <c r="J429" s="72"/>
      <c r="K429" s="75"/>
      <c r="L429" s="72"/>
      <c r="M429" s="75"/>
      <c r="N429" s="72"/>
      <c r="O429" s="75"/>
      <c r="P429" s="72"/>
      <c r="Q429" s="75"/>
      <c r="R429" s="72"/>
      <c r="S429" s="75"/>
      <c r="T429" s="72"/>
      <c r="U429" s="75"/>
      <c r="V429" s="72"/>
      <c r="W429" s="75"/>
      <c r="X429" s="72"/>
      <c r="Y429" s="75"/>
      <c r="Z429" s="72"/>
      <c r="AA429" s="75"/>
      <c r="AB429" s="72"/>
      <c r="AC429" s="75"/>
      <c r="AD429" s="72"/>
      <c r="AE429" s="75"/>
      <c r="AF429" s="72"/>
      <c r="AG429" s="75"/>
      <c r="AH429" s="72"/>
      <c r="AI429" s="75"/>
      <c r="AJ429" s="72"/>
      <c r="AK429" s="75"/>
      <c r="AL429" s="72"/>
      <c r="AM429" s="75"/>
      <c r="AN429" s="72"/>
      <c r="AO429" s="75"/>
      <c r="AP429" s="72"/>
      <c r="AQ429" s="75"/>
      <c r="AR429" s="72"/>
      <c r="AS429" s="75"/>
      <c r="AT429" s="72"/>
      <c r="AU429" s="75"/>
      <c r="AV429" s="72"/>
      <c r="AW429" s="75"/>
      <c r="AX429" s="72"/>
      <c r="AY429" s="75"/>
      <c r="AZ429" s="72"/>
      <c r="BA429" s="75"/>
      <c r="BB429" s="72"/>
      <c r="BC429" s="75"/>
      <c r="BD429" s="72"/>
      <c r="BE429" s="75"/>
      <c r="BF429" s="72"/>
      <c r="BG429" s="75"/>
      <c r="BH429" s="72"/>
      <c r="BI429" s="75"/>
      <c r="BJ429" s="72"/>
      <c r="BK429" s="75"/>
      <c r="BL429" s="72"/>
      <c r="BM429" s="75"/>
      <c r="BN429" s="72"/>
      <c r="BO429" s="75"/>
      <c r="BP429" s="72"/>
      <c r="BQ429" s="75"/>
      <c r="BR429" s="72"/>
      <c r="BS429" s="75"/>
      <c r="BT429" s="72"/>
      <c r="BU429" s="75"/>
      <c r="BV429" s="72"/>
      <c r="BW429" s="75"/>
      <c r="BX429" s="72"/>
      <c r="BY429" s="75"/>
      <c r="BZ429" s="72"/>
      <c r="CA429" s="75"/>
      <c r="CB429" s="72"/>
      <c r="CC429" s="75"/>
      <c r="CD429" s="72"/>
      <c r="CE429" s="75"/>
      <c r="CF429" s="72"/>
      <c r="CG429" s="75"/>
      <c r="CH429" s="72"/>
      <c r="CI429" s="75"/>
      <c r="CJ429" s="72"/>
      <c r="CK429" s="75"/>
      <c r="CL429" s="72"/>
      <c r="CM429" s="81">
        <f>CM428/CM408*100</f>
        <v>9.9640287769784166</v>
      </c>
      <c r="CN429" s="72"/>
      <c r="CO429" s="81">
        <f>CO428/CO408*100</f>
        <v>8.6984536082474229</v>
      </c>
      <c r="CP429" s="72"/>
      <c r="CQ429" s="81">
        <f>CQ428/CQ408*100</f>
        <v>9.4302554027504915</v>
      </c>
      <c r="CR429" s="72"/>
      <c r="CS429" s="81">
        <f>CS428/CS408*100</f>
        <v>9.5699967668929844</v>
      </c>
      <c r="CT429" s="72"/>
      <c r="CU429" s="81">
        <f>CU428/CU408*100</f>
        <v>7.7714285714285705</v>
      </c>
      <c r="CV429" s="72"/>
      <c r="CW429" s="81">
        <f>CW428/CW408*100</f>
        <v>8.1158044613194118</v>
      </c>
      <c r="CX429" s="72"/>
      <c r="CY429" s="81">
        <f>CY428/CY408*100</f>
        <v>6.1348656413723166</v>
      </c>
      <c r="CZ429" s="72"/>
      <c r="DA429" s="81">
        <f>DA428/DA408*100</f>
        <v>4.6742413346756795</v>
      </c>
      <c r="DB429" s="72"/>
      <c r="DC429" s="81">
        <f>DC428/DC408*100</f>
        <v>10.033273611466599</v>
      </c>
      <c r="DD429" s="72"/>
      <c r="DE429" s="81">
        <f>DE428/DE408*100</f>
        <v>11.396086726599682</v>
      </c>
      <c r="DF429" s="72"/>
      <c r="DG429" s="81">
        <f>DG428/DG408*100</f>
        <v>15.230071289695399</v>
      </c>
      <c r="DH429" s="72"/>
      <c r="DI429" s="81">
        <f>DI428/DI408*100</f>
        <v>13.562970936490851</v>
      </c>
      <c r="DJ429" s="72"/>
      <c r="DK429" s="81">
        <f>DK428/DK408*100</f>
        <v>16.101694915254235</v>
      </c>
      <c r="DL429" s="72"/>
      <c r="DM429" s="81">
        <f>DM428/DM408*100</f>
        <v>16.783684386492812</v>
      </c>
      <c r="DN429" s="72">
        <f t="shared" si="2281"/>
        <v>47.275856959897482</v>
      </c>
      <c r="DO429" s="81">
        <f>DO428/DO408*100</f>
        <v>16.409124356144222</v>
      </c>
      <c r="DP429" s="72">
        <f t="shared" si="2281"/>
        <v>7.74161226183206</v>
      </c>
      <c r="DQ429" s="81">
        <f>DQ428/DQ408*100</f>
        <v>15.437048917401764</v>
      </c>
      <c r="DR429" s="72">
        <f t="shared" si="2281"/>
        <v>13.817606700525701</v>
      </c>
      <c r="DS429" s="81">
        <f>DS428/DS408*100</f>
        <v>16.030844155844157</v>
      </c>
      <c r="DT429" s="72">
        <f t="shared" si="2281"/>
        <v>-0.44002050580995444</v>
      </c>
      <c r="DU429" s="81">
        <f>DU428/DU408*100</f>
        <v>16.785459729151817</v>
      </c>
      <c r="DV429" s="72">
        <f t="shared" si="2281"/>
        <v>1.0577788631650265E-2</v>
      </c>
      <c r="DW429" s="81">
        <f>DW428/DW408*100</f>
        <v>16.559999999999999</v>
      </c>
      <c r="DX429" s="72">
        <f t="shared" si="2281"/>
        <v>0.91946188340807566</v>
      </c>
      <c r="DY429" s="81">
        <f>DY428/DY408*100</f>
        <v>15.317919075144509</v>
      </c>
      <c r="DZ429" s="72">
        <f t="shared" si="2281"/>
        <v>-0.77171383529764626</v>
      </c>
      <c r="EA429" s="81">
        <f>EA428/EA408*100</f>
        <v>14.849094567404428</v>
      </c>
      <c r="EB429" s="72">
        <f>IF(ISERROR(EA429/DS429),"NA",IF(OR(EA429/DS429&gt;2,EA429/DS429&lt;0.5),"NM",EA429/DS429*100-100))</f>
        <v>-7.3717240149759391</v>
      </c>
      <c r="EC429" s="81">
        <f>EC428/EC408*100</f>
        <v>16.883116883116884</v>
      </c>
      <c r="ED429" s="72">
        <f>IF(ISERROR(EC429/DU429),"NA",IF(OR(EC429/DU429&gt;2,EC429/DU429&lt;0.5),"NM",EC429/DU429*100-100))</f>
        <v>0.58179612319739249</v>
      </c>
      <c r="EE429" s="81">
        <f>EE428/EE408*100</f>
        <v>13.644335320940021</v>
      </c>
      <c r="EF429" s="72">
        <f>IF(ISERROR(EE429/DW429),"NA",IF(OR(EE429/DW429&gt;2,EE429/DW429&lt;0.5),"NM",EE429/DW429*100-100))</f>
        <v>-17.606670767270387</v>
      </c>
      <c r="EG429" s="81">
        <f>EG428/EG408*100</f>
        <v>13.038754074610647</v>
      </c>
      <c r="EH429" s="72">
        <f>IF(ISERROR(EG429/DY429),"NA",IF(OR(EG429/DY429&gt;2,EG429/DY429&lt;0.5),"NM",EG429/DY429*100-100))</f>
        <v>-14.879077173296523</v>
      </c>
      <c r="EI429" s="81">
        <f>EI428/EI408*100</f>
        <v>14.861269479285443</v>
      </c>
      <c r="EJ429" s="72">
        <f>IF(ISERROR(EI429/EA429),"NA",IF(OR(EI429/EA429&gt;2,EI429/EA429&lt;0.5),"NM",EI429/EA429*100-100))</f>
        <v>8.1990937735284319E-2</v>
      </c>
      <c r="EK429" s="81">
        <f>EK428/EK408*100</f>
        <v>16.276668960770817</v>
      </c>
      <c r="EL429" s="72">
        <f>IF(ISERROR(EK429/EC429),"NA",IF(OR(EK429/EC429&gt;2,EK429/EC429&lt;0.5),"NM",EK429/EC429*100-100))</f>
        <v>-3.5920376938959322</v>
      </c>
      <c r="EM429" s="81">
        <f>EM428/EM408*100</f>
        <v>15.496544197890142</v>
      </c>
      <c r="EN429" s="72">
        <f>IF(ISERROR(EM429/EE429),"NA",IF(OR(EM429/EE429&gt;2,EM429/EE429&lt;0.5),"NM",EM429/EE429*100-100))</f>
        <v>13.574929326953196</v>
      </c>
      <c r="EO429" s="81">
        <f>EO428/EO408*100</f>
        <v>14.980988593155894</v>
      </c>
      <c r="EP429" s="72">
        <f>IF(ISERROR(EO429/EG429),"NA",IF(OR(EO429/EG429&gt;2,EO429/EG429&lt;0.5),"NM",EO429/EG429*100-100))</f>
        <v>14.89585973806507</v>
      </c>
      <c r="EQ429" s="81">
        <f t="shared" ref="EQ429" si="2300">EQ428/EQ408*100</f>
        <v>15.681801031876693</v>
      </c>
      <c r="ER429" s="72">
        <f t="shared" si="2283"/>
        <v>5.521274974085884</v>
      </c>
      <c r="ES429" s="81">
        <f t="shared" ref="ES429" si="2301">ES428/ES408*100</f>
        <v>15.196357476597882</v>
      </c>
      <c r="ET429" s="72">
        <f t="shared" si="2285"/>
        <v>-6.6371779556163801</v>
      </c>
      <c r="EU429" s="81">
        <f t="shared" ref="EU429" si="2302">EU428/EU408*100</f>
        <v>15.430437194611901</v>
      </c>
      <c r="EV429" s="72">
        <f t="shared" si="2287"/>
        <v>-0.42659190613117914</v>
      </c>
      <c r="EW429" s="81">
        <f t="shared" ref="EW429" si="2303">EW428/EW408*100</f>
        <v>15.281947357073932</v>
      </c>
      <c r="EX429" s="72">
        <f t="shared" si="2289"/>
        <v>2.0089379418894282</v>
      </c>
      <c r="EY429" s="72"/>
      <c r="EZ429" s="306"/>
      <c r="FA429" s="72"/>
      <c r="FB429" s="75"/>
      <c r="FC429" s="72"/>
      <c r="FD429" s="75"/>
      <c r="FE429" s="72"/>
      <c r="FF429" s="75"/>
      <c r="FG429" s="72"/>
      <c r="FH429" s="75"/>
      <c r="FI429" s="72"/>
      <c r="FJ429" s="75"/>
      <c r="FK429" s="72"/>
      <c r="FL429" s="75"/>
      <c r="FM429" s="72"/>
      <c r="FN429" s="75"/>
      <c r="FO429" s="72"/>
      <c r="FP429" s="75"/>
      <c r="FQ429" s="72"/>
      <c r="FR429" s="75"/>
      <c r="FS429" s="72"/>
      <c r="FT429" s="75"/>
      <c r="FU429" s="72"/>
      <c r="FV429" s="75"/>
      <c r="FW429" s="72"/>
      <c r="FX429" s="75"/>
      <c r="FY429" s="72"/>
      <c r="FZ429" s="75"/>
      <c r="GA429" s="72"/>
      <c r="GB429" s="81">
        <f>GB428/GB408*100</f>
        <v>9.3734204793028315</v>
      </c>
      <c r="GC429" s="72"/>
      <c r="GD429" s="81">
        <f>GD428/GD408*100</f>
        <v>6.3253012048192767</v>
      </c>
      <c r="GE429" s="72"/>
      <c r="GF429" s="81">
        <f>GF428/GF408*100</f>
        <v>12.321191564665979</v>
      </c>
      <c r="GG429" s="72"/>
      <c r="GH429" s="81">
        <f>GH428/GH408*100</f>
        <v>16.21446430225021</v>
      </c>
      <c r="GI429" s="72">
        <f t="shared" si="2290"/>
        <v>31.598183642799142</v>
      </c>
      <c r="GJ429" s="81">
        <f>GJ428/GJ408*100</f>
        <v>16.198979591836736</v>
      </c>
      <c r="GK429" s="72">
        <f t="shared" si="2290"/>
        <v>-9.5499364794477515E-2</v>
      </c>
      <c r="GL429" s="81">
        <f>GL428/GL408*100</f>
        <v>14.623968066769482</v>
      </c>
      <c r="GM429" s="72">
        <f t="shared" si="2290"/>
        <v>-9.7229057925411553</v>
      </c>
      <c r="GN429" s="81">
        <f>GN428/GN408*100</f>
        <v>15.426896299010625</v>
      </c>
      <c r="GO429" s="72">
        <f t="shared" si="2290"/>
        <v>5.4904949776638574</v>
      </c>
      <c r="GP429" s="81">
        <f>GP428/GP408*100</f>
        <v>15.394006795607321</v>
      </c>
      <c r="GQ429" s="72">
        <f t="shared" si="2290"/>
        <v>-0.21319585460240376</v>
      </c>
      <c r="GR429" s="81">
        <f>GR428/GR408*100</f>
        <v>15.366566540510021</v>
      </c>
      <c r="GS429" s="72">
        <f t="shared" si="2290"/>
        <v>-0.17825284516004558</v>
      </c>
      <c r="GT429" s="81">
        <f>GT428/GT408*100</f>
        <v>15.238088901809219</v>
      </c>
      <c r="GU429" s="72">
        <f t="shared" si="2290"/>
        <v>-0.8360855260809501</v>
      </c>
      <c r="GV429" s="81">
        <f>GV428/GV408*100</f>
        <v>15.109607715679092</v>
      </c>
      <c r="GW429" s="72">
        <f>IF(ISERROR(GV429/GT429),"NA",IF(OR(GV429/GT429&gt;2,GV429/GT429&lt;0.5),"NM",GV429/GT429*100-100))</f>
        <v>-0.84315813457993727</v>
      </c>
      <c r="GX429" s="81">
        <f>GX428/GX408*100</f>
        <v>14.981123017242709</v>
      </c>
      <c r="GY429" s="72">
        <f>IF(ISERROR(GX429/GV429),"NA",IF(OR(GX429/GV429&gt;2,GX429/GV429&lt;0.5),"NM",GX429/GV429*100-100))</f>
        <v>-0.85035098762395478</v>
      </c>
      <c r="GZ429" s="72"/>
      <c r="HA429" s="72"/>
      <c r="HB429" s="72"/>
      <c r="HC429"/>
      <c r="HD429"/>
      <c r="HE429"/>
      <c r="HF429"/>
      <c r="HG429"/>
      <c r="HH429"/>
      <c r="HI429" s="2"/>
    </row>
    <row r="430" spans="1:217" s="3" customFormat="1" ht="12.75" customHeight="1" x14ac:dyDescent="0.2">
      <c r="B430" s="10"/>
      <c r="C430" s="74"/>
      <c r="D430" s="72"/>
      <c r="E430" s="74"/>
      <c r="F430" s="72"/>
      <c r="G430" s="74"/>
      <c r="H430" s="72"/>
      <c r="I430" s="74"/>
      <c r="J430" s="72"/>
      <c r="K430" s="74"/>
      <c r="L430" s="72"/>
      <c r="M430" s="74"/>
      <c r="N430" s="72"/>
      <c r="O430" s="74"/>
      <c r="P430" s="72"/>
      <c r="Q430" s="74"/>
      <c r="R430" s="72"/>
      <c r="S430" s="74"/>
      <c r="T430" s="72"/>
      <c r="U430" s="74"/>
      <c r="V430" s="72"/>
      <c r="W430" s="74"/>
      <c r="X430" s="72"/>
      <c r="Y430" s="74"/>
      <c r="Z430" s="72"/>
      <c r="AA430" s="74"/>
      <c r="AB430" s="72"/>
      <c r="AC430" s="74"/>
      <c r="AD430" s="72"/>
      <c r="AE430" s="74"/>
      <c r="AF430" s="72"/>
      <c r="AG430" s="74"/>
      <c r="AH430" s="72"/>
      <c r="AI430" s="74"/>
      <c r="AJ430" s="72"/>
      <c r="AK430" s="74"/>
      <c r="AL430" s="72"/>
      <c r="AM430" s="74"/>
      <c r="AN430" s="72"/>
      <c r="AO430" s="74"/>
      <c r="AP430" s="72"/>
      <c r="AQ430" s="74"/>
      <c r="AR430" s="72"/>
      <c r="AS430" s="74"/>
      <c r="AT430" s="72"/>
      <c r="AU430" s="74"/>
      <c r="AV430" s="72"/>
      <c r="AW430" s="74"/>
      <c r="AX430" s="72"/>
      <c r="AY430" s="74"/>
      <c r="AZ430" s="72"/>
      <c r="BA430" s="74"/>
      <c r="BB430" s="72"/>
      <c r="BC430" s="74"/>
      <c r="BD430" s="72"/>
      <c r="BE430" s="74"/>
      <c r="BF430" s="72"/>
      <c r="BG430" s="74"/>
      <c r="BH430" s="72"/>
      <c r="BI430" s="74"/>
      <c r="BJ430" s="72"/>
      <c r="BK430" s="74"/>
      <c r="BL430" s="72"/>
      <c r="BM430" s="74"/>
      <c r="BN430" s="72"/>
      <c r="BO430" s="74"/>
      <c r="BP430" s="72"/>
      <c r="BQ430" s="74"/>
      <c r="BR430" s="72"/>
      <c r="BS430" s="74"/>
      <c r="BT430" s="72"/>
      <c r="BU430" s="74"/>
      <c r="BV430" s="72"/>
      <c r="BW430" s="74"/>
      <c r="BX430" s="72"/>
      <c r="BY430" s="74"/>
      <c r="BZ430" s="72"/>
      <c r="CA430" s="74"/>
      <c r="CB430" s="72"/>
      <c r="CC430" s="74"/>
      <c r="CD430" s="72"/>
      <c r="CE430" s="74"/>
      <c r="CF430" s="72"/>
      <c r="CG430" s="74"/>
      <c r="CH430" s="72"/>
      <c r="CI430" s="74"/>
      <c r="CJ430" s="72"/>
      <c r="CK430" s="74"/>
      <c r="CL430" s="72"/>
      <c r="CM430" s="74"/>
      <c r="CN430" s="72"/>
      <c r="CO430" s="74"/>
      <c r="CP430" s="72"/>
      <c r="CQ430" s="74"/>
      <c r="CR430" s="72"/>
      <c r="CS430" s="74"/>
      <c r="CT430" s="72"/>
      <c r="CU430" s="74"/>
      <c r="CV430" s="72"/>
      <c r="CW430" s="74"/>
      <c r="CX430" s="72"/>
      <c r="CY430" s="74"/>
      <c r="CZ430" s="72"/>
      <c r="DA430" s="74"/>
      <c r="DB430" s="72"/>
      <c r="DC430" s="74"/>
      <c r="DD430" s="72"/>
      <c r="DE430" s="74"/>
      <c r="DF430" s="72"/>
      <c r="DG430" s="74"/>
      <c r="DH430" s="72"/>
      <c r="DI430" s="74"/>
      <c r="DJ430" s="72"/>
      <c r="DK430" s="74"/>
      <c r="DL430" s="72"/>
      <c r="DM430" s="74"/>
      <c r="DN430" s="72"/>
      <c r="DO430" s="74"/>
      <c r="DP430" s="72"/>
      <c r="DQ430" s="74"/>
      <c r="DR430" s="72"/>
      <c r="DS430" s="74"/>
      <c r="DT430" s="72"/>
      <c r="DU430" s="74"/>
      <c r="DV430" s="72"/>
      <c r="DW430" s="75"/>
      <c r="DX430" s="72"/>
      <c r="DY430" s="75"/>
      <c r="DZ430" s="72"/>
      <c r="EA430" s="75"/>
      <c r="EB430" s="72"/>
      <c r="EC430" s="75"/>
      <c r="ED430" s="72"/>
      <c r="EE430" s="75"/>
      <c r="EF430" s="72"/>
      <c r="EG430" s="75"/>
      <c r="EH430" s="72"/>
      <c r="EI430" s="75"/>
      <c r="EJ430" s="72"/>
      <c r="EK430" s="75"/>
      <c r="EL430" s="72"/>
      <c r="EM430" s="75"/>
      <c r="EN430" s="72"/>
      <c r="EO430" s="75"/>
      <c r="EP430" s="72"/>
      <c r="EQ430" s="75"/>
      <c r="ER430" s="72"/>
      <c r="ES430" s="75"/>
      <c r="ET430" s="72"/>
      <c r="EU430" s="75"/>
      <c r="EV430" s="72"/>
      <c r="EW430" s="75"/>
      <c r="EX430" s="72"/>
      <c r="EY430" s="72"/>
      <c r="EZ430" s="307"/>
      <c r="FA430" s="72"/>
      <c r="FB430" s="74"/>
      <c r="FC430" s="72"/>
      <c r="FD430" s="75"/>
      <c r="FE430" s="72"/>
      <c r="FF430" s="75"/>
      <c r="FG430" s="72"/>
      <c r="FH430" s="75"/>
      <c r="FI430" s="72"/>
      <c r="FJ430" s="75"/>
      <c r="FK430" s="72"/>
      <c r="FL430" s="75"/>
      <c r="FM430" s="72"/>
      <c r="FN430" s="75"/>
      <c r="FO430" s="72"/>
      <c r="FP430" s="74"/>
      <c r="FQ430" s="72"/>
      <c r="FR430" s="75"/>
      <c r="FS430" s="72"/>
      <c r="FT430" s="75"/>
      <c r="FU430" s="72"/>
      <c r="FV430" s="75"/>
      <c r="FW430" s="72"/>
      <c r="FX430" s="75"/>
      <c r="FY430" s="72"/>
      <c r="FZ430" s="81"/>
      <c r="GA430" s="72"/>
      <c r="GB430" s="81"/>
      <c r="GC430" s="72"/>
      <c r="GD430" s="81"/>
      <c r="GE430" s="72"/>
      <c r="GF430" s="81"/>
      <c r="GG430" s="72"/>
      <c r="GH430" s="81"/>
      <c r="GI430" s="72"/>
      <c r="GJ430" s="81"/>
      <c r="GK430" s="72"/>
      <c r="GL430" s="81"/>
      <c r="GM430" s="72"/>
      <c r="GN430" s="81"/>
      <c r="GO430" s="72"/>
      <c r="GP430" s="81"/>
      <c r="GQ430" s="72"/>
      <c r="GR430" s="75"/>
      <c r="GS430" s="72"/>
      <c r="GT430" s="75"/>
      <c r="GU430" s="72"/>
      <c r="GV430" s="75"/>
      <c r="GW430" s="72"/>
      <c r="GX430" s="75"/>
      <c r="GY430" s="72"/>
      <c r="GZ430" s="72"/>
      <c r="HA430" s="72"/>
      <c r="HB430" s="72"/>
      <c r="HC430"/>
      <c r="HD430"/>
      <c r="HE430"/>
      <c r="HF430"/>
      <c r="HG430"/>
      <c r="HH430"/>
      <c r="HI430" s="2"/>
    </row>
    <row r="431" spans="1:217" s="3" customFormat="1" ht="12.75" customHeight="1" x14ac:dyDescent="0.2">
      <c r="B431" s="10" t="s">
        <v>472</v>
      </c>
      <c r="C431" s="145"/>
      <c r="D431" s="11"/>
      <c r="E431" s="145"/>
      <c r="F431" s="11"/>
      <c r="G431" s="145"/>
      <c r="H431" s="11"/>
      <c r="I431" s="145"/>
      <c r="J431" s="11"/>
      <c r="K431" s="145"/>
      <c r="L431" s="72"/>
      <c r="M431" s="145"/>
      <c r="N431" s="72"/>
      <c r="O431" s="145"/>
      <c r="P431" s="72"/>
      <c r="Q431" s="145"/>
      <c r="R431" s="72"/>
      <c r="S431" s="145"/>
      <c r="T431" s="72"/>
      <c r="U431" s="145"/>
      <c r="V431" s="72"/>
      <c r="W431" s="145"/>
      <c r="X431" s="72"/>
      <c r="Y431" s="145"/>
      <c r="Z431" s="72"/>
      <c r="AA431" s="145"/>
      <c r="AB431" s="72"/>
      <c r="AC431" s="145"/>
      <c r="AD431" s="72"/>
      <c r="AE431" s="145"/>
      <c r="AF431" s="72"/>
      <c r="AG431" s="145"/>
      <c r="AH431" s="72"/>
      <c r="AI431" s="145"/>
      <c r="AJ431" s="72"/>
      <c r="AK431" s="145"/>
      <c r="AL431" s="72"/>
      <c r="AM431" s="145"/>
      <c r="AN431" s="72"/>
      <c r="AO431" s="145"/>
      <c r="AP431" s="72"/>
      <c r="AQ431" s="145"/>
      <c r="AR431" s="72"/>
      <c r="AS431" s="145"/>
      <c r="AT431" s="72"/>
      <c r="AU431" s="145"/>
      <c r="AV431" s="72"/>
      <c r="AW431" s="145"/>
      <c r="AX431" s="72"/>
      <c r="AY431" s="145"/>
      <c r="AZ431" s="72"/>
      <c r="BA431" s="145"/>
      <c r="BB431" s="72"/>
      <c r="BC431" s="145"/>
      <c r="BD431" s="72"/>
      <c r="BE431" s="145"/>
      <c r="BF431" s="72"/>
      <c r="BG431" s="145"/>
      <c r="BH431" s="72"/>
      <c r="BI431" s="145"/>
      <c r="BJ431" s="72"/>
      <c r="BK431" s="145"/>
      <c r="BL431" s="72"/>
      <c r="BM431" s="145"/>
      <c r="BN431" s="72"/>
      <c r="BO431" s="145"/>
      <c r="BP431" s="72"/>
      <c r="BQ431" s="145"/>
      <c r="BR431" s="72"/>
      <c r="BS431" s="145"/>
      <c r="BT431" s="72"/>
      <c r="BU431" s="145"/>
      <c r="BV431" s="72"/>
      <c r="BW431" s="145"/>
      <c r="BX431" s="72"/>
      <c r="BY431" s="145"/>
      <c r="BZ431" s="72"/>
      <c r="CA431" s="145"/>
      <c r="CB431" s="72"/>
      <c r="CC431" s="145"/>
      <c r="CD431" s="72"/>
      <c r="CE431" s="145"/>
      <c r="CF431" s="72"/>
      <c r="CG431" s="145"/>
      <c r="CH431" s="72"/>
      <c r="CI431" s="145"/>
      <c r="CJ431" s="72"/>
      <c r="CK431" s="145"/>
      <c r="CL431" s="72"/>
      <c r="CM431" s="145"/>
      <c r="CN431" s="72"/>
      <c r="CO431" s="145"/>
      <c r="CP431" s="72"/>
      <c r="CQ431" s="145"/>
      <c r="CR431" s="72"/>
      <c r="CS431" s="145"/>
      <c r="CT431" s="72"/>
      <c r="CU431" s="145"/>
      <c r="CV431" s="72"/>
      <c r="CW431" s="145"/>
      <c r="CX431" s="72"/>
      <c r="CY431" s="145"/>
      <c r="CZ431" s="72"/>
      <c r="DA431" s="145"/>
      <c r="DB431" s="72"/>
      <c r="DC431" s="418">
        <f>25+10</f>
        <v>35</v>
      </c>
      <c r="DD431" s="72"/>
      <c r="DE431" s="418">
        <f>24+30</f>
        <v>54</v>
      </c>
      <c r="DF431" s="72"/>
      <c r="DG431" s="150">
        <f>25+12</f>
        <v>37</v>
      </c>
      <c r="DH431" s="72"/>
      <c r="DI431" s="150"/>
      <c r="DJ431" s="72"/>
      <c r="DK431" s="150">
        <v>0</v>
      </c>
      <c r="DL431" s="72"/>
      <c r="DM431" s="150">
        <f>11+30+20</f>
        <v>61</v>
      </c>
      <c r="DN431" s="72">
        <f t="shared" ref="DN431:DZ432" si="2304">IF(ISERROR(DM431/DE431),"NA",IF(OR(DM431/DE431&gt;2,DM431/DE431&lt;0.5),"NM",DM431/DE431*100-100))</f>
        <v>12.962962962962948</v>
      </c>
      <c r="DO431" s="150">
        <v>0</v>
      </c>
      <c r="DP431" s="72" t="str">
        <f t="shared" si="2304"/>
        <v>NM</v>
      </c>
      <c r="DQ431" s="150">
        <v>20</v>
      </c>
      <c r="DR431" s="72" t="str">
        <f t="shared" si="2304"/>
        <v>NA</v>
      </c>
      <c r="DS431" s="150">
        <v>25</v>
      </c>
      <c r="DT431" s="72" t="str">
        <f t="shared" si="2304"/>
        <v>NA</v>
      </c>
      <c r="DU431" s="74">
        <v>30</v>
      </c>
      <c r="DV431" s="72" t="str">
        <f t="shared" si="2304"/>
        <v>NM</v>
      </c>
      <c r="DW431" s="74"/>
      <c r="DX431" s="72" t="str">
        <f t="shared" si="2304"/>
        <v>NA</v>
      </c>
      <c r="DY431" s="74">
        <f>15-10-15</f>
        <v>-10</v>
      </c>
      <c r="DZ431" s="72" t="str">
        <f t="shared" si="2304"/>
        <v>NM</v>
      </c>
      <c r="EA431" s="74">
        <f>-20+5</f>
        <v>-15</v>
      </c>
      <c r="EB431" s="72" t="str">
        <f>IF(ISERROR(EA431/DS431),"NA",IF(OR(EA431/DS431&gt;2,EA431/DS431&lt;0.5),"NM",EA431/DS431*100-100))</f>
        <v>NM</v>
      </c>
      <c r="EC431" s="74">
        <f>35+40</f>
        <v>75</v>
      </c>
      <c r="ED431" s="72" t="str">
        <f>IF(ISERROR(EC431/DU431),"NA",IF(OR(EC431/DU431&gt;2,EC431/DU431&lt;0.5),"NM",EC431/DU431*100-100))</f>
        <v>NM</v>
      </c>
      <c r="EE431" s="74">
        <f>10-5</f>
        <v>5</v>
      </c>
      <c r="EF431" s="72" t="str">
        <f>IF(ISERROR(EE431/DW431),"NA",IF(OR(EE431/DW431&gt;2,EE431/DW431&lt;0.5),"NM",EE431/DW431*100-100))</f>
        <v>NA</v>
      </c>
      <c r="EG431" s="74"/>
      <c r="EH431" s="72" t="str">
        <f>IF(ISERROR(EG431/DY431),"NA",IF(OR(EG431/DY431&gt;2,EG431/DY431&lt;0.5),"NM",EG431/DY431*100-100))</f>
        <v>NM</v>
      </c>
      <c r="EI431" s="74">
        <v>-7</v>
      </c>
      <c r="EJ431" s="72" t="str">
        <f>IF(ISERROR(EI431/EA431),"NA",IF(OR(EI431/EA431&gt;2,EI431/EA431&lt;0.5),"NM",EI431/EA431*100-100))</f>
        <v>NM</v>
      </c>
      <c r="EK431" s="74">
        <f>10+15</f>
        <v>25</v>
      </c>
      <c r="EL431" s="72" t="str">
        <f>IF(ISERROR(EK431/EC431),"NA",IF(OR(EK431/EC431&gt;2,EK431/EC431&lt;0.5),"NM",EK431/EC431*100-100))</f>
        <v>NM</v>
      </c>
      <c r="EM431" s="74">
        <v>10</v>
      </c>
      <c r="EN431" s="72">
        <f>IF(ISERROR(EM431/EE431),"NA",IF(OR(EM431/EE431&gt;2,EM431/EE431&lt;0.5),"NM",EM431/EE431*100-100))</f>
        <v>100</v>
      </c>
      <c r="EO431" s="74">
        <v>0</v>
      </c>
      <c r="EP431" s="72" t="str">
        <f>IF(ISERROR(EO431/EG431),"NA",IF(OR(EO431/EG431&gt;2,EO431/EG431&lt;0.5),"NM",EO431/EG431*100-100))</f>
        <v>NA</v>
      </c>
      <c r="EQ431" s="144"/>
      <c r="ER431" s="72" t="str">
        <f t="shared" ref="ER431:ER432" si="2305">IF(ISERROR(EQ431/EI431),"NA",IF(OR(EQ431/EI431&gt;2,EQ431/EI431&lt;0.5),"NM",EQ431/EI431*100-100))</f>
        <v>NM</v>
      </c>
      <c r="ES431" s="144"/>
      <c r="ET431" s="72" t="str">
        <f t="shared" ref="ET431:ET432" si="2306">IF(ISERROR(ES431/EK431),"NA",IF(OR(ES431/EK431&gt;2,ES431/EK431&lt;0.5),"NM",ES431/EK431*100-100))</f>
        <v>NM</v>
      </c>
      <c r="EU431" s="144"/>
      <c r="EV431" s="72" t="str">
        <f t="shared" ref="EV431:EV432" si="2307">IF(ISERROR(EU431/EM431),"NA",IF(OR(EU431/EM431&gt;2,EU431/EM431&lt;0.5),"NM",EU431/EM431*100-100))</f>
        <v>NM</v>
      </c>
      <c r="EW431" s="144"/>
      <c r="EX431" s="72" t="str">
        <f t="shared" ref="EX431:EX432" si="2308">IF(ISERROR(EW431/EO431),"NA",IF(OR(EW431/EO431&gt;2,EW431/EO431&lt;0.5),"NM",EW431/EO431*100-100))</f>
        <v>NA</v>
      </c>
      <c r="EY431" s="72"/>
      <c r="EZ431" s="296"/>
      <c r="FA431" s="72"/>
      <c r="FB431" s="145"/>
      <c r="FC431" s="11"/>
      <c r="FD431" s="145"/>
      <c r="FE431" s="72"/>
      <c r="FF431" s="145"/>
      <c r="FG431" s="72"/>
      <c r="FH431" s="145"/>
      <c r="FI431" s="72"/>
      <c r="FJ431" s="145"/>
      <c r="FK431" s="72"/>
      <c r="FL431" s="145"/>
      <c r="FM431" s="72"/>
      <c r="FN431" s="145"/>
      <c r="FO431" s="72"/>
      <c r="FP431" s="145"/>
      <c r="FQ431" s="72"/>
      <c r="FR431" s="144"/>
      <c r="FS431" s="72"/>
      <c r="FT431" s="144"/>
      <c r="FU431" s="72"/>
      <c r="FV431" s="144"/>
      <c r="FW431" s="72"/>
      <c r="FX431" s="144"/>
      <c r="FY431" s="72"/>
      <c r="FZ431" s="144"/>
      <c r="GA431" s="72"/>
      <c r="GB431" s="144"/>
      <c r="GC431" s="72"/>
      <c r="GD431" s="144"/>
      <c r="GE431" s="72"/>
      <c r="GF431" s="144">
        <f>DC431+DE431+DG431+DI431</f>
        <v>126</v>
      </c>
      <c r="GG431" s="72"/>
      <c r="GH431" s="144"/>
      <c r="GI431" s="72"/>
      <c r="GJ431" s="144"/>
      <c r="GK431" s="72"/>
      <c r="GL431" s="144"/>
      <c r="GM431" s="72"/>
      <c r="GN431" s="144"/>
      <c r="GO431" s="72"/>
      <c r="GP431" s="144"/>
      <c r="GQ431" s="72"/>
      <c r="GR431" s="144"/>
      <c r="GS431" s="72"/>
      <c r="GT431" s="144"/>
      <c r="GU431" s="72"/>
      <c r="GV431" s="144"/>
      <c r="GW431" s="72"/>
      <c r="GX431" s="144"/>
      <c r="GY431" s="72"/>
      <c r="GZ431" s="72"/>
      <c r="HA431" s="72"/>
      <c r="HB431" s="72"/>
      <c r="HC431"/>
      <c r="HD431"/>
      <c r="HE431"/>
      <c r="HF431"/>
      <c r="HG431"/>
      <c r="HH431"/>
      <c r="HI431" s="2"/>
    </row>
    <row r="432" spans="1:217" s="78" customFormat="1" ht="12.75" customHeight="1" x14ac:dyDescent="0.2">
      <c r="A432" s="3"/>
      <c r="B432" s="70" t="s">
        <v>424</v>
      </c>
      <c r="C432" s="91"/>
      <c r="D432" s="80"/>
      <c r="E432" s="91"/>
      <c r="F432" s="80"/>
      <c r="G432" s="91"/>
      <c r="H432" s="80"/>
      <c r="I432" s="91"/>
      <c r="J432" s="80"/>
      <c r="K432" s="91"/>
      <c r="L432" s="72"/>
      <c r="M432" s="91"/>
      <c r="N432" s="72"/>
      <c r="O432" s="91"/>
      <c r="P432" s="72"/>
      <c r="Q432" s="91"/>
      <c r="R432" s="72"/>
      <c r="S432" s="91"/>
      <c r="T432" s="72"/>
      <c r="U432" s="91"/>
      <c r="V432" s="72"/>
      <c r="W432" s="91"/>
      <c r="X432" s="72"/>
      <c r="Y432" s="91"/>
      <c r="Z432" s="72"/>
      <c r="AA432" s="91"/>
      <c r="AB432" s="72"/>
      <c r="AC432" s="91"/>
      <c r="AD432" s="72"/>
      <c r="AE432" s="91"/>
      <c r="AF432" s="72"/>
      <c r="AG432" s="91"/>
      <c r="AH432" s="72"/>
      <c r="AI432" s="91"/>
      <c r="AJ432" s="72"/>
      <c r="AK432" s="91"/>
      <c r="AL432" s="72"/>
      <c r="AM432" s="91"/>
      <c r="AN432" s="72"/>
      <c r="AO432" s="91"/>
      <c r="AP432" s="72"/>
      <c r="AQ432" s="91"/>
      <c r="AR432" s="72"/>
      <c r="AS432" s="91"/>
      <c r="AT432" s="72"/>
      <c r="AU432" s="91"/>
      <c r="AV432" s="72"/>
      <c r="AW432" s="91"/>
      <c r="AX432" s="72"/>
      <c r="AY432" s="91"/>
      <c r="AZ432" s="72"/>
      <c r="BA432" s="91"/>
      <c r="BB432" s="72"/>
      <c r="BC432" s="91"/>
      <c r="BD432" s="72"/>
      <c r="BE432" s="91"/>
      <c r="BF432" s="72"/>
      <c r="BG432" s="91"/>
      <c r="BH432" s="72"/>
      <c r="BI432" s="91"/>
      <c r="BJ432" s="72"/>
      <c r="BK432" s="91"/>
      <c r="BL432" s="72"/>
      <c r="BM432" s="91"/>
      <c r="BN432" s="72"/>
      <c r="BO432" s="91"/>
      <c r="BP432" s="72"/>
      <c r="BQ432" s="91"/>
      <c r="BR432" s="72"/>
      <c r="BS432" s="91"/>
      <c r="BT432" s="72"/>
      <c r="BU432" s="91"/>
      <c r="BV432" s="72"/>
      <c r="BW432" s="91"/>
      <c r="BX432" s="72"/>
      <c r="BY432" s="91"/>
      <c r="BZ432" s="72"/>
      <c r="CA432" s="91"/>
      <c r="CB432" s="72"/>
      <c r="CC432" s="91"/>
      <c r="CD432" s="72"/>
      <c r="CE432" s="91"/>
      <c r="CF432" s="72"/>
      <c r="CG432" s="91"/>
      <c r="CH432" s="72"/>
      <c r="CI432" s="91"/>
      <c r="CJ432" s="72"/>
      <c r="CK432" s="91"/>
      <c r="CL432" s="72"/>
      <c r="CM432" s="91"/>
      <c r="CN432" s="72"/>
      <c r="CO432" s="91"/>
      <c r="CP432" s="72"/>
      <c r="CQ432" s="91"/>
      <c r="CR432" s="72"/>
      <c r="CS432" s="91"/>
      <c r="CT432" s="72"/>
      <c r="CU432" s="91"/>
      <c r="CV432" s="72"/>
      <c r="CW432" s="91"/>
      <c r="CX432" s="72"/>
      <c r="CY432" s="91"/>
      <c r="CZ432" s="72"/>
      <c r="DA432" s="91">
        <f>DA428-DA431</f>
        <v>325</v>
      </c>
      <c r="DB432" s="72"/>
      <c r="DC432" s="91">
        <f>DC428-DC431</f>
        <v>357</v>
      </c>
      <c r="DD432" s="72"/>
      <c r="DE432" s="91">
        <f>DE428-DE431</f>
        <v>377</v>
      </c>
      <c r="DF432" s="72"/>
      <c r="DG432" s="91">
        <f>DG428-DG431</f>
        <v>433</v>
      </c>
      <c r="DH432" s="72"/>
      <c r="DI432" s="91">
        <f>DI428-DI431</f>
        <v>378</v>
      </c>
      <c r="DJ432" s="72"/>
      <c r="DK432" s="91">
        <f>DK428-DK431</f>
        <v>418</v>
      </c>
      <c r="DL432" s="72">
        <f>IF(ISERROR(DK432/DC432),"NA",IF(OR(DK432/DC432&gt;2,DK432/DC432&lt;0.5),"NM",DK432/DC432*100-100))</f>
        <v>17.086834733893568</v>
      </c>
      <c r="DM432" s="91">
        <f>DM428-DM431</f>
        <v>441</v>
      </c>
      <c r="DN432" s="72">
        <f t="shared" si="2304"/>
        <v>16.976127320954902</v>
      </c>
      <c r="DO432" s="91">
        <f>DO428-DO431</f>
        <v>446</v>
      </c>
      <c r="DP432" s="72">
        <f t="shared" si="2304"/>
        <v>3.0023094688221619</v>
      </c>
      <c r="DQ432" s="91">
        <f>DQ428-DQ431</f>
        <v>365</v>
      </c>
      <c r="DR432" s="72">
        <f t="shared" si="2304"/>
        <v>-3.4391534391534435</v>
      </c>
      <c r="DS432" s="91">
        <f>DS428-DS431</f>
        <v>370</v>
      </c>
      <c r="DT432" s="72">
        <f t="shared" si="2304"/>
        <v>-11.483253588516746</v>
      </c>
      <c r="DU432" s="91">
        <f>DU428-DU431</f>
        <v>441</v>
      </c>
      <c r="DV432" s="72">
        <f t="shared" si="2304"/>
        <v>0</v>
      </c>
      <c r="DW432" s="91">
        <f>DW428-DW431</f>
        <v>414</v>
      </c>
      <c r="DX432" s="72">
        <f t="shared" si="2304"/>
        <v>-7.1748878923766739</v>
      </c>
      <c r="DY432" s="91">
        <f>DY428-DY431</f>
        <v>381</v>
      </c>
      <c r="DZ432" s="72">
        <f t="shared" si="2304"/>
        <v>4.3835616438356197</v>
      </c>
      <c r="EA432" s="91">
        <f>EA428-EA431</f>
        <v>384</v>
      </c>
      <c r="EB432" s="72">
        <f>IF(ISERROR(EA432/DS432),"NA",IF(OR(EA432/DS432&gt;2,EA432/DS432&lt;0.5),"NM",EA432/DS432*100-100))</f>
        <v>3.7837837837837895</v>
      </c>
      <c r="EC432" s="91">
        <f>EC428-EC431</f>
        <v>419</v>
      </c>
      <c r="ED432" s="72">
        <f>IF(ISERROR(EC432/DU432),"NA",IF(OR(EC432/DU432&gt;2,EC432/DU432&lt;0.5),"NM",EC432/DU432*100-100))</f>
        <v>-4.988662131519277</v>
      </c>
      <c r="EE432" s="91">
        <f>EE428-EE431</f>
        <v>384</v>
      </c>
      <c r="EF432" s="72">
        <f>IF(ISERROR(EE432/DW432),"NA",IF(OR(EE432/DW432&gt;2,EE432/DW432&lt;0.5),"NM",EE432/DW432*100-100))</f>
        <v>-7.2463768115942031</v>
      </c>
      <c r="EG432" s="91">
        <f>EG428-EG431</f>
        <v>360</v>
      </c>
      <c r="EH432" s="72">
        <f>IF(ISERROR(EG432/DY432),"NA",IF(OR(EG432/DY432&gt;2,EG432/DY432&lt;0.5),"NM",EG432/DY432*100-100))</f>
        <v>-5.5118110236220446</v>
      </c>
      <c r="EI432" s="91">
        <f>EI428-EI431</f>
        <v>398</v>
      </c>
      <c r="EJ432" s="72">
        <f>IF(ISERROR(EI432/EA432),"NA",IF(OR(EI432/EA432&gt;2,EI432/EA432&lt;0.5),"NM",EI432/EA432*100-100))</f>
        <v>3.6458333333333286</v>
      </c>
      <c r="EK432" s="91">
        <f>EK428-EK431</f>
        <v>448</v>
      </c>
      <c r="EL432" s="72">
        <f>IF(ISERROR(EK432/EC432),"NA",IF(OR(EK432/EC432&gt;2,EK432/EC432&lt;0.5),"NM",EK432/EC432*100-100))</f>
        <v>6.9212410501193347</v>
      </c>
      <c r="EM432" s="91">
        <f>EM428-EM431</f>
        <v>416</v>
      </c>
      <c r="EN432" s="72">
        <f>IF(ISERROR(EM432/EE432),"NA",IF(OR(EM432/EE432&gt;2,EM432/EE432&lt;0.5),"NM",EM432/EE432*100-100))</f>
        <v>8.3333333333333286</v>
      </c>
      <c r="EO432" s="91">
        <f>EO428-EO431</f>
        <v>394</v>
      </c>
      <c r="EP432" s="72">
        <f>IF(ISERROR(EO432/EG432),"NA",IF(OR(EO432/EG432&gt;2,EO432/EG432&lt;0.5),"NM",EO432/EG432*100-100))</f>
        <v>9.4444444444444571</v>
      </c>
      <c r="EQ432" s="91"/>
      <c r="ER432" s="72" t="str">
        <f t="shared" si="2305"/>
        <v>NM</v>
      </c>
      <c r="ES432" s="91"/>
      <c r="ET432" s="72" t="str">
        <f t="shared" si="2306"/>
        <v>NM</v>
      </c>
      <c r="EU432" s="91"/>
      <c r="EV432" s="72" t="str">
        <f t="shared" si="2307"/>
        <v>NM</v>
      </c>
      <c r="EW432" s="91"/>
      <c r="EX432" s="72" t="str">
        <f t="shared" si="2308"/>
        <v>NM</v>
      </c>
      <c r="EY432" s="72"/>
      <c r="EZ432" s="314"/>
      <c r="FA432" s="72"/>
      <c r="FB432" s="91"/>
      <c r="FC432" s="80"/>
      <c r="FD432" s="91"/>
      <c r="FE432" s="72"/>
      <c r="FF432" s="91"/>
      <c r="FG432" s="72"/>
      <c r="FH432" s="91"/>
      <c r="FI432" s="72"/>
      <c r="FJ432" s="91"/>
      <c r="FK432" s="72"/>
      <c r="FL432" s="91"/>
      <c r="FM432" s="72"/>
      <c r="FN432" s="75"/>
      <c r="FO432" s="72"/>
      <c r="FP432" s="91"/>
      <c r="FQ432" s="72"/>
      <c r="FR432" s="91"/>
      <c r="FS432" s="72"/>
      <c r="FT432" s="91"/>
      <c r="FU432" s="72"/>
      <c r="FV432" s="91"/>
      <c r="FW432" s="72"/>
      <c r="FX432" s="91"/>
      <c r="FY432" s="72"/>
      <c r="FZ432" s="91"/>
      <c r="GA432" s="72"/>
      <c r="GB432" s="91"/>
      <c r="GC432" s="72"/>
      <c r="GD432" s="91"/>
      <c r="GE432" s="72"/>
      <c r="GF432" s="91">
        <f>GF428-GF431</f>
        <v>1545</v>
      </c>
      <c r="GG432" s="72"/>
      <c r="GH432" s="91"/>
      <c r="GI432" s="72"/>
      <c r="GJ432" s="91"/>
      <c r="GK432" s="72"/>
      <c r="GL432" s="91"/>
      <c r="GM432" s="72"/>
      <c r="GN432" s="91"/>
      <c r="GO432" s="72"/>
      <c r="GP432" s="91"/>
      <c r="GQ432" s="72"/>
      <c r="GR432" s="91"/>
      <c r="GS432" s="72"/>
      <c r="GT432" s="91"/>
      <c r="GU432" s="72"/>
      <c r="GV432" s="91"/>
      <c r="GW432" s="72"/>
      <c r="GX432" s="91"/>
      <c r="GY432" s="72"/>
      <c r="GZ432" s="72"/>
      <c r="HA432" s="72"/>
      <c r="HB432" s="72"/>
      <c r="HC432"/>
      <c r="HD432"/>
      <c r="HE432"/>
      <c r="HF432"/>
      <c r="HG432"/>
      <c r="HH432"/>
      <c r="HI432" s="2"/>
    </row>
    <row r="433" spans="1:217" s="3" customFormat="1" ht="12.75" customHeight="1" x14ac:dyDescent="0.2">
      <c r="B433" s="77"/>
      <c r="C433" s="149"/>
      <c r="D433" s="72"/>
      <c r="E433" s="149"/>
      <c r="F433" s="72"/>
      <c r="G433" s="149"/>
      <c r="H433" s="72"/>
      <c r="I433" s="149"/>
      <c r="J433" s="72"/>
      <c r="K433" s="149"/>
      <c r="L433" s="72"/>
      <c r="M433" s="149"/>
      <c r="N433" s="72"/>
      <c r="O433" s="149"/>
      <c r="P433" s="72"/>
      <c r="Q433" s="149"/>
      <c r="R433" s="72"/>
      <c r="S433" s="149"/>
      <c r="T433" s="72"/>
      <c r="U433" s="149"/>
      <c r="V433" s="72"/>
      <c r="W433" s="149"/>
      <c r="X433" s="72"/>
      <c r="Y433" s="149"/>
      <c r="Z433" s="72"/>
      <c r="AA433" s="149"/>
      <c r="AB433" s="72"/>
      <c r="AC433" s="149"/>
      <c r="AD433" s="72"/>
      <c r="AE433" s="149"/>
      <c r="AF433" s="72"/>
      <c r="AG433" s="149"/>
      <c r="AH433" s="72"/>
      <c r="AI433" s="149"/>
      <c r="AJ433" s="72"/>
      <c r="AK433" s="149"/>
      <c r="AL433" s="72"/>
      <c r="AM433" s="149"/>
      <c r="AN433" s="72"/>
      <c r="AO433" s="149"/>
      <c r="AP433" s="72"/>
      <c r="AQ433" s="149"/>
      <c r="AR433" s="72"/>
      <c r="AS433" s="149"/>
      <c r="AT433" s="72"/>
      <c r="AU433" s="149"/>
      <c r="AV433" s="72"/>
      <c r="AW433" s="149"/>
      <c r="AX433" s="72"/>
      <c r="AY433" s="149"/>
      <c r="AZ433" s="72"/>
      <c r="BA433" s="149"/>
      <c r="BB433" s="72"/>
      <c r="BC433" s="149"/>
      <c r="BD433" s="72"/>
      <c r="BE433" s="149"/>
      <c r="BF433" s="72"/>
      <c r="BG433" s="149"/>
      <c r="BH433" s="72"/>
      <c r="BI433" s="149"/>
      <c r="BJ433" s="72"/>
      <c r="BK433" s="149"/>
      <c r="BL433" s="72"/>
      <c r="BM433" s="149"/>
      <c r="BN433" s="72"/>
      <c r="BO433" s="149"/>
      <c r="BP433" s="72"/>
      <c r="BQ433" s="149"/>
      <c r="BR433" s="72"/>
      <c r="BS433" s="149"/>
      <c r="BT433" s="72"/>
      <c r="BU433" s="149"/>
      <c r="BV433" s="72"/>
      <c r="BW433" s="149"/>
      <c r="BX433" s="72"/>
      <c r="BY433" s="149"/>
      <c r="BZ433" s="72"/>
      <c r="CA433" s="149"/>
      <c r="CB433" s="72"/>
      <c r="CC433" s="149"/>
      <c r="CD433" s="72"/>
      <c r="CE433" s="149"/>
      <c r="CF433" s="72"/>
      <c r="CG433" s="149"/>
      <c r="CH433" s="72"/>
      <c r="CI433" s="149"/>
      <c r="CJ433" s="72"/>
      <c r="CK433" s="149"/>
      <c r="CL433" s="72"/>
      <c r="CM433" s="149"/>
      <c r="CN433" s="72"/>
      <c r="CO433" s="149"/>
      <c r="CP433" s="72"/>
      <c r="CQ433" s="149"/>
      <c r="CR433" s="72"/>
      <c r="CS433" s="149"/>
      <c r="CT433" s="72"/>
      <c r="CU433" s="149"/>
      <c r="CV433" s="72"/>
      <c r="CW433" s="149"/>
      <c r="CX433" s="72"/>
      <c r="CY433" s="149"/>
      <c r="CZ433" s="72"/>
      <c r="DA433" s="149"/>
      <c r="DB433" s="72"/>
      <c r="DC433" s="149"/>
      <c r="DD433" s="72"/>
      <c r="DE433" s="149"/>
      <c r="DF433" s="72"/>
      <c r="DG433" s="149"/>
      <c r="DH433" s="72"/>
      <c r="DI433" s="149"/>
      <c r="DJ433" s="72"/>
      <c r="DK433" s="149"/>
      <c r="DL433" s="72"/>
      <c r="DM433" s="149"/>
      <c r="DN433" s="72"/>
      <c r="DO433" s="149"/>
      <c r="DP433" s="72"/>
      <c r="DQ433" s="149"/>
      <c r="DR433" s="72"/>
      <c r="DS433" s="149"/>
      <c r="DT433" s="72"/>
      <c r="DU433" s="149"/>
      <c r="DV433" s="72"/>
      <c r="DW433" s="149"/>
      <c r="DX433" s="149"/>
      <c r="DY433" s="149"/>
      <c r="DZ433" s="149"/>
      <c r="EA433" s="149"/>
      <c r="EB433" s="149"/>
      <c r="EC433" s="149"/>
      <c r="ED433" s="149"/>
      <c r="EE433" s="149"/>
      <c r="EF433" s="72"/>
      <c r="EG433" s="149"/>
      <c r="EH433" s="72"/>
      <c r="EI433" s="149"/>
      <c r="EJ433" s="72"/>
      <c r="EK433" s="149"/>
      <c r="EL433" s="72"/>
      <c r="EM433" s="149"/>
      <c r="EN433" s="72"/>
      <c r="EO433" s="149"/>
      <c r="EP433" s="72"/>
      <c r="EQ433" s="149"/>
      <c r="ER433" s="72"/>
      <c r="ES433" s="149"/>
      <c r="ET433" s="72"/>
      <c r="EU433" s="149"/>
      <c r="EV433" s="72"/>
      <c r="EW433" s="149"/>
      <c r="EX433" s="72"/>
      <c r="EY433" s="72"/>
      <c r="EZ433" s="325"/>
      <c r="FA433" s="72"/>
      <c r="FB433" s="149"/>
      <c r="FC433" s="72"/>
      <c r="FD433" s="149"/>
      <c r="FE433" s="72"/>
      <c r="FF433" s="149"/>
      <c r="FG433" s="72"/>
      <c r="FH433" s="149"/>
      <c r="FI433" s="72"/>
      <c r="FJ433" s="149"/>
      <c r="FK433" s="72"/>
      <c r="FL433" s="149"/>
      <c r="FM433" s="72"/>
      <c r="FN433" s="149"/>
      <c r="FO433" s="72"/>
      <c r="FP433" s="109"/>
      <c r="FQ433" s="72"/>
      <c r="FR433" s="149"/>
      <c r="FS433" s="72"/>
      <c r="FT433" s="149"/>
      <c r="FU433" s="72"/>
      <c r="FV433" s="149"/>
      <c r="FW433" s="72"/>
      <c r="FX433" s="149"/>
      <c r="FY433" s="72"/>
      <c r="FZ433" s="149"/>
      <c r="GA433" s="72"/>
      <c r="GB433" s="149"/>
      <c r="GC433" s="72"/>
      <c r="GD433" s="149"/>
      <c r="GE433" s="72"/>
      <c r="GF433" s="149"/>
      <c r="GG433" s="72"/>
      <c r="GH433" s="149"/>
      <c r="GI433" s="72"/>
      <c r="GJ433" s="149"/>
      <c r="GK433" s="72"/>
      <c r="GL433" s="149"/>
      <c r="GM433" s="72"/>
      <c r="GN433" s="149"/>
      <c r="GO433" s="72"/>
      <c r="GP433" s="149"/>
      <c r="GQ433" s="72"/>
      <c r="GR433" s="149"/>
      <c r="GS433" s="72"/>
      <c r="GT433" s="149"/>
      <c r="GU433" s="72"/>
      <c r="GV433" s="149"/>
      <c r="GW433" s="72"/>
      <c r="GX433" s="149"/>
      <c r="GY433" s="72"/>
      <c r="GZ433" s="72"/>
      <c r="HA433" s="72"/>
      <c r="HB433" s="72"/>
      <c r="HC433"/>
      <c r="HD433"/>
      <c r="HE433"/>
      <c r="HF433"/>
      <c r="HG433"/>
      <c r="HH433"/>
      <c r="HI433" s="2"/>
    </row>
    <row r="434" spans="1:217" s="3" customFormat="1" ht="12.75" customHeight="1" x14ac:dyDescent="0.2">
      <c r="A434" s="3" t="s">
        <v>504</v>
      </c>
      <c r="B434" s="77" t="s">
        <v>551</v>
      </c>
      <c r="C434" s="74"/>
      <c r="D434" s="72"/>
      <c r="E434" s="74"/>
      <c r="F434" s="72"/>
      <c r="G434" s="74"/>
      <c r="H434" s="72"/>
      <c r="I434" s="74"/>
      <c r="J434" s="72"/>
      <c r="K434" s="74">
        <v>0</v>
      </c>
      <c r="L434" s="72" t="str">
        <f>IF(ISERROR(K434/C434),"NA",IF(OR(K434/C434&gt;2,K434/C434&lt;0.5),"NM",K434/C434*100-100))</f>
        <v>NA</v>
      </c>
      <c r="M434" s="74">
        <v>10</v>
      </c>
      <c r="N434" s="72" t="str">
        <f>IF(ISERROR(M434/E434),"NA",IF(OR(M434/E434&gt;2,M434/E434&lt;0.5),"NM",M434/E434*100-100))</f>
        <v>NA</v>
      </c>
      <c r="O434" s="74">
        <v>44</v>
      </c>
      <c r="P434" s="72" t="str">
        <f>IF(ISERROR(O434/G434),"NA",IF(OR(O434/G434&gt;2,O434/G434&lt;0.5),"NM",O434/G434*100-100))</f>
        <v>NA</v>
      </c>
      <c r="Q434" s="74">
        <v>56</v>
      </c>
      <c r="R434" s="72" t="str">
        <f>IF(ISERROR(Q434/I434),"NA",IF(OR(Q434/I434&gt;2,Q434/I434&lt;0.5),"NM",Q434/I434*100-100))</f>
        <v>NA</v>
      </c>
      <c r="S434" s="74">
        <v>49</v>
      </c>
      <c r="T434" s="72" t="str">
        <f>IF(ISERROR(S434/K434),"NA",IF(OR(S434/K434&gt;2,S434/K434&lt;0.5),"NM",S434/K434*100-100))</f>
        <v>NA</v>
      </c>
      <c r="U434" s="74">
        <v>59</v>
      </c>
      <c r="V434" s="72" t="str">
        <f>IF(ISERROR(U434/M434),"NA",IF(OR(U434/M434&gt;2,U434/M434&lt;0.5),"NM",U434/M434*100-100))</f>
        <v>NM</v>
      </c>
      <c r="W434" s="74">
        <v>62</v>
      </c>
      <c r="X434" s="72">
        <f>IF(ISERROR(W434/O434),"NA",IF(OR(W434/O434&gt;2,W434/O434&lt;0.5),"NM",W434/O434*100-100))</f>
        <v>40.909090909090907</v>
      </c>
      <c r="Y434" s="74">
        <v>63</v>
      </c>
      <c r="Z434" s="72">
        <f>IF(ISERROR(Y434/Q434),"NA",IF(OR(Y434/Q434&gt;2,Y434/Q434&lt;0.5),"NM",Y434/Q434*100-100))</f>
        <v>12.5</v>
      </c>
      <c r="AA434" s="74">
        <v>64</v>
      </c>
      <c r="AB434" s="72">
        <f>IF(ISERROR(AA434/S434),"NA",IF(OR(AA434/S434&gt;2,AA434/S434&lt;0.5),"NM",AA434/S434*100-100))</f>
        <v>30.612244897959187</v>
      </c>
      <c r="AC434" s="74">
        <v>89</v>
      </c>
      <c r="AD434" s="72">
        <f>IF(ISERROR(AC434/U434),"NA",IF(OR(AC434/U434&gt;2,AC434/U434&lt;0.5),"NM",AC434/U434*100-100))</f>
        <v>50.847457627118644</v>
      </c>
      <c r="AE434" s="74">
        <v>75</v>
      </c>
      <c r="AF434" s="72">
        <f>IF(ISERROR(AE434/W434),"NA",IF(OR(AE434/W434&gt;2,AE434/W434&lt;0.5),"NM",AE434/W434*100-100))</f>
        <v>20.967741935483872</v>
      </c>
      <c r="AG434" s="74">
        <v>68</v>
      </c>
      <c r="AH434" s="72">
        <f>IF(ISERROR(AG434/Y434),"NA",IF(OR(AG434/Y434&gt;2,AG434/Y434&lt;0.5),"NM",AG434/Y434*100-100))</f>
        <v>7.9365079365079367</v>
      </c>
      <c r="AI434" s="74">
        <v>62</v>
      </c>
      <c r="AJ434" s="72">
        <f>IF(ISERROR(AI434/AA434),"NA",IF(OR(AI434/AA434&gt;2,AI434/AA434&lt;0.5),"NM",AI434/AA434*100-100))</f>
        <v>-3.125</v>
      </c>
      <c r="AK434" s="74">
        <v>81</v>
      </c>
      <c r="AL434" s="72">
        <f>IF(ISERROR(AK434/AC434),"NA",IF(OR(AK434/AC434&gt;2,AK434/AC434&lt;0.5),"NM",AK434/AC434*100-100))</f>
        <v>-8.9887640449438209</v>
      </c>
      <c r="AM434" s="74">
        <v>68</v>
      </c>
      <c r="AN434" s="72">
        <f>IF(ISERROR(AM434/AE434),"NA",IF(OR(AM434/AE434&gt;2,AM434/AE434&lt;0.5),"NM",AM434/AE434*100-100))</f>
        <v>-9.3333333333333428</v>
      </c>
      <c r="AO434" s="74">
        <v>66</v>
      </c>
      <c r="AP434" s="72">
        <f>IF(ISERROR(AO434/AG434),"NA",IF(OR(AO434/AG434&gt;2,AO434/AG434&lt;0.5),"NM",AO434/AG434*100-100))</f>
        <v>-2.941176470588232</v>
      </c>
      <c r="AQ434" s="74">
        <v>71</v>
      </c>
      <c r="AR434" s="72">
        <f>IF(ISERROR(AQ434/AI434),"NA",IF(OR(AQ434/AI434&gt;2,AQ434/AI434&lt;0.5),"NM",AQ434/AI434*100-100))</f>
        <v>14.516129032258078</v>
      </c>
      <c r="AS434" s="74">
        <v>96</v>
      </c>
      <c r="AT434" s="72">
        <f>IF(ISERROR(AS434/AK434),"NA",IF(OR(AS434/AK434&gt;2,AS434/AK434&lt;0.5),"NM",AS434/AK434*100-100))</f>
        <v>18.518518518518505</v>
      </c>
      <c r="AU434" s="74">
        <v>82</v>
      </c>
      <c r="AV434" s="72">
        <f>IF(ISERROR(AU434/AM434),"NA",IF(OR(AU434/AM434&gt;2,AU434/AM434&lt;0.5),"NM",AU434/AM434*100-100))</f>
        <v>20.588235294117638</v>
      </c>
      <c r="AW434" s="74">
        <v>74</v>
      </c>
      <c r="AX434" s="72">
        <f>IF(ISERROR(AW434/AO434),"NA",IF(OR(AW434/AO434&gt;2,AW434/AO434&lt;0.5),"NM",AW434/AO434*100-100))</f>
        <v>12.12121212121211</v>
      </c>
      <c r="AY434" s="74">
        <v>73</v>
      </c>
      <c r="AZ434" s="72">
        <f>IF(ISERROR(AY434/AQ434),"NA",IF(OR(AY434/AQ434&gt;2,AY434/AQ434&lt;0.5),"NM",AY434/AQ434*100-100))</f>
        <v>2.816901408450704</v>
      </c>
      <c r="BA434" s="74">
        <v>115</v>
      </c>
      <c r="BB434" s="72">
        <f>IF(ISERROR(BA434/AS434),"NA",IF(OR(BA434/AS434&gt;2,BA434/AS434&lt;0.5),"NM",BA434/AS434*100-100))</f>
        <v>19.791666666666671</v>
      </c>
      <c r="BC434" s="74">
        <v>71</v>
      </c>
      <c r="BD434" s="72">
        <f>IF(ISERROR(BC434/AU434),"NA",IF(OR(BC434/AU434&gt;2,BC434/AU434&lt;0.5),"NM",BC434/AU434*100-100))</f>
        <v>-13.41463414634147</v>
      </c>
      <c r="BE434" s="74">
        <v>68</v>
      </c>
      <c r="BF434" s="72">
        <f>IF(ISERROR(BE434/AW434),"NA",IF(OR(BE434/AW434&gt;2,BE434/AW434&lt;0.5),"NM",BE434/AW434*100-100))</f>
        <v>-8.1081081081080981</v>
      </c>
      <c r="BG434" s="74">
        <v>67</v>
      </c>
      <c r="BH434" s="72">
        <f>IF(ISERROR(BG434/AY434),"NA",IF(OR(BG434/AY434&gt;2,BG434/AY434&lt;0.5),"NM",BG434/AY434*100-100))</f>
        <v>-8.2191780821917746</v>
      </c>
      <c r="BI434" s="74">
        <v>85</v>
      </c>
      <c r="BJ434" s="72">
        <f>IF(ISERROR(BI434/BA434),"NA",IF(OR(BI434/BA434&gt;2,BI434/BA434&lt;0.5),"NM",BI434/BA434*100-100))</f>
        <v>-26.08695652173914</v>
      </c>
      <c r="BK434" s="74">
        <v>82</v>
      </c>
      <c r="BL434" s="72">
        <f>IF(ISERROR(BK434/BC434),"NA",IF(OR(BK434/BC434&gt;2,BK434/BC434&lt;0.5),"NM",BK434/BC434*100-100))</f>
        <v>15.492957746478879</v>
      </c>
      <c r="BM434" s="74">
        <v>86</v>
      </c>
      <c r="BN434" s="72">
        <f>IF(ISERROR(BM434/BE434),"NA",IF(OR(BM434/BE434&gt;2,BM434/BE434&lt;0.5),"NM",BM434/BE434*100-100))</f>
        <v>26.470588235294116</v>
      </c>
      <c r="BO434" s="74">
        <v>88</v>
      </c>
      <c r="BP434" s="72">
        <f>IF(ISERROR(BO434/BG434),"NA",IF(OR(BO434/BG434&gt;2,BO434/BG434&lt;0.5),"NM",BO434/BG434*100-100))</f>
        <v>31.343283582089555</v>
      </c>
      <c r="BQ434" s="74">
        <v>127</v>
      </c>
      <c r="BR434" s="72">
        <f>IF(ISERROR(BQ434/BI434),"NA",IF(OR(BQ434/BI434&gt;2,BQ434/BI434&lt;0.5),"NM",BQ434/BI434*100-100))</f>
        <v>49.411764705882348</v>
      </c>
      <c r="BS434" s="74">
        <v>96</v>
      </c>
      <c r="BT434" s="72">
        <f>IF(ISERROR(BS434/BK434),"NA",IF(OR(BS434/BK434&gt;2,BS434/BK434&lt;0.5),"NM",BS434/BK434*100-100))</f>
        <v>17.073170731707307</v>
      </c>
      <c r="BU434" s="74">
        <v>89</v>
      </c>
      <c r="BV434" s="72">
        <f>IF(ISERROR(BU434/BM434),"NA",IF(OR(BU434/BM434&gt;2,BU434/BM434&lt;0.5),"NM",BU434/BM434*100-100))</f>
        <v>3.4883720930232585</v>
      </c>
      <c r="BW434" s="74">
        <v>92</v>
      </c>
      <c r="BX434" s="72">
        <f>IF(ISERROR(BW434/BO434),"NA",IF(OR(BW434/BO434&gt;2,BW434/BO434&lt;0.5),"NM",BW434/BO434*100-100))</f>
        <v>4.5454545454545467</v>
      </c>
      <c r="BY434" s="74">
        <v>122</v>
      </c>
      <c r="BZ434" s="72">
        <f>IF(ISERROR(BY434/BQ434),"NA",IF(OR(BY434/BQ434&gt;2,BY434/BQ434&lt;0.5),"NM",BY434/BQ434*100-100))</f>
        <v>-3.9370078740157481</v>
      </c>
      <c r="CA434" s="74">
        <v>111</v>
      </c>
      <c r="CB434" s="72">
        <f>IF(ISERROR(CA434/BS434),"NA",IF(OR(CA434/BS434&gt;2,CA434/BS434&lt;0.5),"NM",CA434/BS434*100-100))</f>
        <v>15.625</v>
      </c>
      <c r="CC434" s="74">
        <v>111</v>
      </c>
      <c r="CD434" s="72">
        <f>IF(ISERROR(CC434/BU434),"NA",IF(OR(CC434/BU434&gt;2,CC434/BU434&lt;0.5),"NM",CC434/BU434*100-100))</f>
        <v>24.719101123595493</v>
      </c>
      <c r="CE434" s="74">
        <v>107</v>
      </c>
      <c r="CF434" s="72">
        <f>IF(ISERROR(CE434/BW434),"NA",IF(OR(CE434/BW434&gt;2,CE434/BW434&lt;0.5),"NM",CE434/BW434*100-100))</f>
        <v>16.304347826086968</v>
      </c>
      <c r="CG434" s="74">
        <v>143</v>
      </c>
      <c r="CH434" s="72">
        <f>IF(ISERROR(CG434/BY434),"NA",IF(OR(CG434/BY434&gt;2,CG434/BY434&lt;0.5),"NM",CG434/BY434*100-100))</f>
        <v>17.21311475409837</v>
      </c>
      <c r="CI434" s="74">
        <v>142</v>
      </c>
      <c r="CJ434" s="72">
        <f>IF(ISERROR(CI434/CA434),"NA",IF(OR(CI434/CA434&gt;2,CI434/CA434&lt;0.5),"NM",CI434/CA434*100-100))</f>
        <v>27.927927927927925</v>
      </c>
      <c r="CK434" s="74">
        <v>150</v>
      </c>
      <c r="CL434" s="72">
        <f>IF(ISERROR(CK434/CC434),"NA",IF(OR(CK434/CC434&gt;2,CK434/CC434&lt;0.5),"NM",CK434/CC434*100-100))</f>
        <v>35.13513513513513</v>
      </c>
      <c r="CM434" s="74">
        <f>160+78</f>
        <v>238</v>
      </c>
      <c r="CN434" s="72" t="str">
        <f>IF(ISERROR(CM434/CE434),"NA",IF(OR(CM434/CE434&gt;2,CM434/CE434&lt;0.5),"NM",CM434/CE434*100-100))</f>
        <v>NM</v>
      </c>
      <c r="CO434" s="74">
        <f>270+131</f>
        <v>401</v>
      </c>
      <c r="CP434" s="72" t="str">
        <f>IF(ISERROR(CO434/CG434),"NA",IF(OR(CO434/CG434&gt;2,CO434/CG434&lt;0.5),"NM",CO434/CG434*100-100))</f>
        <v>NM</v>
      </c>
      <c r="CQ434" s="74">
        <f>269+128</f>
        <v>397</v>
      </c>
      <c r="CR434" s="72" t="str">
        <f>IF(ISERROR(CQ434/CI434),"NA",IF(OR(CQ434/CI434&gt;2,CQ434/CI434&lt;0.5),"NM",CQ434/CI434*100-100))</f>
        <v>NM</v>
      </c>
      <c r="CS434" s="74">
        <f>273+120</f>
        <v>393</v>
      </c>
      <c r="CT434" s="72" t="str">
        <f>IF(ISERROR(CS434/CK434),"NA",IF(OR(CS434/CK434&gt;2,CS434/CK434&lt;0.5),"NM",CS434/CK434*100-100))</f>
        <v>NM</v>
      </c>
      <c r="CU434" s="74">
        <f>193+83</f>
        <v>276</v>
      </c>
      <c r="CV434" s="72">
        <f>IF(ISERROR(CU434/CM434),"NA",IF(OR(CU434/CM434&gt;2,CU434/CM434&lt;0.5),"NM",CU434/CM434*100-100))</f>
        <v>15.966386554621863</v>
      </c>
      <c r="CW434" s="74">
        <f>316+185</f>
        <v>501</v>
      </c>
      <c r="CX434" s="72">
        <f>IF(ISERROR(CW434/CO434),"NA",IF(OR(CW434/CO434&gt;2,CW434/CO434&lt;0.5),"NM",CW434/CO434*100-100))</f>
        <v>24.937655860349125</v>
      </c>
      <c r="CY434" s="74">
        <f>208+39</f>
        <v>247</v>
      </c>
      <c r="CZ434" s="72">
        <f>IF(ISERROR(CY434/CQ434),"NA",IF(OR(CY434/CQ434&gt;2,CY434/CQ434&lt;0.5),"NM",CY434/CQ434*100-100))</f>
        <v>-37.783375314861459</v>
      </c>
      <c r="DA434" s="74">
        <f>213+53</f>
        <v>266</v>
      </c>
      <c r="DB434" s="72">
        <f>IF(ISERROR(DA434/CS434),"NA",IF(OR(DA434/CS434&gt;2,DA434/CS434&lt;0.5),"NM",DA434/CS434*100-100))</f>
        <v>-32.315521628498729</v>
      </c>
      <c r="DC434" s="74">
        <f>204+46</f>
        <v>250</v>
      </c>
      <c r="DD434" s="72">
        <f>IF(ISERROR(DC434/CU434),"NA",IF(OR(DC434/CU434&gt;2,DC434/CU434&lt;0.5),"NM",DC434/CU434*100-100))</f>
        <v>-9.4202898550724683</v>
      </c>
      <c r="DE434" s="74">
        <f>232+69</f>
        <v>301</v>
      </c>
      <c r="DF434" s="72">
        <f>IF(ISERROR(DE434/CW434),"NA",IF(OR(DE434/CW434&gt;2,DE434/CW434&lt;0.5),"NM",DE434/CW434*100-100))</f>
        <v>-39.920159680638726</v>
      </c>
      <c r="DG434" s="74">
        <f>176+49</f>
        <v>225</v>
      </c>
      <c r="DH434" s="72">
        <f>IF(ISERROR(DG434/CY434),"NA",IF(OR(DG434/CY434&gt;2,DG434/CY434&lt;0.5),"NM",DG434/CY434*100-100))</f>
        <v>-8.9068825910931082</v>
      </c>
      <c r="DI434" s="74">
        <f>167+56</f>
        <v>223</v>
      </c>
      <c r="DJ434" s="72">
        <f>IF(ISERROR(DI434/DA434),"NA",IF(OR(DI434/DA434&gt;2,DI434/DA434&lt;0.5),"NM",DI434/DA434*100-100))</f>
        <v>-16.165413533834581</v>
      </c>
      <c r="DK434" s="74">
        <f>158+59</f>
        <v>217</v>
      </c>
      <c r="DL434" s="72">
        <f>IF(ISERROR(DK434/DC434),"NA",IF(OR(DK434/DC434&gt;2,DK434/DC434&lt;0.5),"NM",DK434/DC434*100-100))</f>
        <v>-13.200000000000003</v>
      </c>
      <c r="DM434" s="74">
        <f>210+71</f>
        <v>281</v>
      </c>
      <c r="DN434" s="72">
        <f t="shared" ref="DN434:DZ436" si="2309">IF(ISERROR(DM434/DE434),"NA",IF(OR(DM434/DE434&gt;2,DM434/DE434&lt;0.5),"NM",DM434/DE434*100-100))</f>
        <v>-6.6445182724252447</v>
      </c>
      <c r="DO434" s="74">
        <f>174+65</f>
        <v>239</v>
      </c>
      <c r="DP434" s="72">
        <f t="shared" si="2309"/>
        <v>6.2222222222222143</v>
      </c>
      <c r="DQ434" s="74">
        <f>159+62</f>
        <v>221</v>
      </c>
      <c r="DR434" s="72">
        <f t="shared" si="2309"/>
        <v>-0.89686098654708246</v>
      </c>
      <c r="DS434" s="74">
        <f>146+58</f>
        <v>204</v>
      </c>
      <c r="DT434" s="72">
        <f t="shared" si="2309"/>
        <v>-5.9907834101382491</v>
      </c>
      <c r="DU434" s="74">
        <f>172+67</f>
        <v>239</v>
      </c>
      <c r="DV434" s="72">
        <f t="shared" si="2309"/>
        <v>-14.946619217081846</v>
      </c>
      <c r="DW434" s="74">
        <f>162+60</f>
        <v>222</v>
      </c>
      <c r="DX434" s="72">
        <f t="shared" si="2309"/>
        <v>-7.1129707112970664</v>
      </c>
      <c r="DY434" s="74">
        <f>150+54</f>
        <v>204</v>
      </c>
      <c r="DZ434" s="72">
        <f t="shared" si="2309"/>
        <v>-7.6923076923076934</v>
      </c>
      <c r="EA434" s="74">
        <f>161+54</f>
        <v>215</v>
      </c>
      <c r="EB434" s="72">
        <f>IF(ISERROR(EA434/DS434),"NA",IF(OR(EA434/DS434&gt;2,EA434/DS434&lt;0.5),"NM",EA434/DS434*100-100))</f>
        <v>5.3921568627450966</v>
      </c>
      <c r="EC434" s="74">
        <f>204+69</f>
        <v>273</v>
      </c>
      <c r="ED434" s="72">
        <f>IF(ISERROR(EC434/DU434),"NA",IF(OR(EC434/DU434&gt;2,EC434/DU434&lt;0.5),"NM",EC434/DU434*100-100))</f>
        <v>14.225941422594147</v>
      </c>
      <c r="EE434" s="74">
        <f>200+72</f>
        <v>272</v>
      </c>
      <c r="EF434" s="72">
        <f>IF(ISERROR(EE434/DW434),"NA",IF(OR(EE434/DW434&gt;2,EE434/DW434&lt;0.5),"NM",EE434/DW434*100-100))</f>
        <v>22.522522522522507</v>
      </c>
      <c r="EG434" s="74">
        <f>175+75</f>
        <v>250</v>
      </c>
      <c r="EH434" s="72">
        <f>IF(ISERROR(EG434/DY434),"NA",IF(OR(EG434/DY434&gt;2,EG434/DY434&lt;0.5),"NM",EG434/DY434*100-100))</f>
        <v>22.54901960784315</v>
      </c>
      <c r="EI434" s="74">
        <f>167+59</f>
        <v>226</v>
      </c>
      <c r="EJ434" s="72">
        <f>IF(ISERROR(EI434/EA434),"NA",IF(OR(EI434/EA434&gt;2,EI434/EA434&lt;0.5),"NM",EI434/EA434*100-100))</f>
        <v>5.1162790697674438</v>
      </c>
      <c r="EK434" s="74">
        <f>230+92</f>
        <v>322</v>
      </c>
      <c r="EL434" s="72">
        <f>IF(ISERROR(EK434/EC434),"NA",IF(OR(EK434/EC434&gt;2,EK434/EC434&lt;0.5),"NM",EK434/EC434*100-100))</f>
        <v>17.948717948717956</v>
      </c>
      <c r="EM434" s="74">
        <f>180+49</f>
        <v>229</v>
      </c>
      <c r="EN434" s="72">
        <f>IF(ISERROR(EM434/EE434),"NA",IF(OR(EM434/EE434&gt;2,EM434/EE434&lt;0.5),"NM",EM434/EE434*100-100))</f>
        <v>-15.808823529411768</v>
      </c>
      <c r="EO434" s="74">
        <f>163+46</f>
        <v>209</v>
      </c>
      <c r="EP434" s="72">
        <f>IF(ISERROR(EO434/EG434),"NA",IF(OR(EO434/EG434&gt;2,EO434/EG434&lt;0.5),"NM",EO434/EG434*100-100))</f>
        <v>-16.400000000000006</v>
      </c>
      <c r="EQ434" s="74">
        <f t="shared" ref="EQ434" si="2310">EI434*1.06</f>
        <v>239.56</v>
      </c>
      <c r="ER434" s="72">
        <f t="shared" ref="ER434:ER436" si="2311">IF(ISERROR(EQ434/EI434),"NA",IF(OR(EQ434/EI434&gt;2,EQ434/EI434&lt;0.5),"NM",EQ434/EI434*100-100))</f>
        <v>6</v>
      </c>
      <c r="ES434" s="74">
        <f t="shared" ref="ES434" si="2312">EK434*1.06</f>
        <v>341.32</v>
      </c>
      <c r="ET434" s="72">
        <f t="shared" ref="ET434:ET436" si="2313">IF(ISERROR(ES434/EK434),"NA",IF(OR(ES434/EK434&gt;2,ES434/EK434&lt;0.5),"NM",ES434/EK434*100-100))</f>
        <v>6</v>
      </c>
      <c r="EU434" s="74">
        <f t="shared" ref="EU434" si="2314">EM434*1.06</f>
        <v>242.74</v>
      </c>
      <c r="EV434" s="72">
        <f t="shared" ref="EV434:EV436" si="2315">IF(ISERROR(EU434/EM434),"NA",IF(OR(EU434/EM434&gt;2,EU434/EM434&lt;0.5),"NM",EU434/EM434*100-100))</f>
        <v>6</v>
      </c>
      <c r="EW434" s="74">
        <f t="shared" ref="EW434" si="2316">EO434*1.06</f>
        <v>221.54000000000002</v>
      </c>
      <c r="EX434" s="72">
        <f t="shared" ref="EX434:EX436" si="2317">IF(ISERROR(EW434/EO434),"NA",IF(OR(EW434/EO434&gt;2,EW434/EO434&lt;0.5),"NM",EW434/EO434*100-100))</f>
        <v>6</v>
      </c>
      <c r="EY434" s="72"/>
      <c r="EZ434" s="323"/>
      <c r="FA434" s="72"/>
      <c r="FB434" s="74"/>
      <c r="FC434" s="72"/>
      <c r="FD434" s="74"/>
      <c r="FE434" s="72" t="str">
        <f>IF(ISERROR(FD434/FB434),"NA",IF(OR(FD434/FB434&gt;2,FD434/FB434&lt;0.5),"NM",FD434/FB434*100-100))</f>
        <v>NA</v>
      </c>
      <c r="FF434" s="74"/>
      <c r="FG434" s="72" t="str">
        <f>IF(ISERROR(FF434/FD434),"NA",IF(OR(FF434/FD434&gt;2,FF434/FD434&lt;0.5),"NM",FF434/FD434*100-100))</f>
        <v>NA</v>
      </c>
      <c r="FH434" s="75">
        <f>K434+M434+O434+Q434</f>
        <v>110</v>
      </c>
      <c r="FI434" s="72" t="str">
        <f>IF(ISERROR(FH434/FF434),"NA",IF(OR(FH434/FF434&gt;2,FH434/FF434&lt;0.5),"NM",FH434/FF434*100-100))</f>
        <v>NA</v>
      </c>
      <c r="FJ434" s="75">
        <f>S434+U434+W434+Y434</f>
        <v>233</v>
      </c>
      <c r="FK434" s="72" t="str">
        <f>IF(ISERROR(FJ434/FH434),"NA",IF(OR(FJ434/FH434&gt;2,FJ434/FH434&lt;0.5),"NM",FJ434/FH434*100-100))</f>
        <v>NM</v>
      </c>
      <c r="FL434" s="75">
        <f>+AA434+AC434+AE434+AG434</f>
        <v>296</v>
      </c>
      <c r="FM434" s="72">
        <f>IF(ISERROR(FL434/FJ434),"NA",IF(OR(FL434/FJ434&gt;2,FL434/FJ434&lt;0.5),"NM",FL434/FJ434*100-100))</f>
        <v>27.038626609442048</v>
      </c>
      <c r="FN434" s="75">
        <f>+AI434+AK434+AM434+AO434</f>
        <v>277</v>
      </c>
      <c r="FO434" s="72">
        <f>IF(ISERROR(FN434/FL434),"NA",IF(OR(FN434/FL434&gt;2,FN434/FL434&lt;0.5),"NM",FN434/FL434*100-100))</f>
        <v>-6.4189189189189193</v>
      </c>
      <c r="FP434" s="75">
        <f>AQ434+AS434+AU434+AW434</f>
        <v>323</v>
      </c>
      <c r="FQ434" s="72">
        <f>IF(ISERROR(FP434/FN434),"NA",IF(OR(FP434/FN434&gt;2,FP434/FN434&lt;0.5),"NM",FP434/FN434*100-100))</f>
        <v>16.606498194945843</v>
      </c>
      <c r="FR434" s="75">
        <f>AY434+BA434+BC434+BE434</f>
        <v>327</v>
      </c>
      <c r="FS434" s="72">
        <f>IF(ISERROR(FR434/FP434),"NA",IF(OR(FR434/FP434&gt;2,FR434/FP434&lt;0.5),"NM",FR434/FP434*100-100))</f>
        <v>1.2383900928792428</v>
      </c>
      <c r="FT434" s="75">
        <f>BG434+BI434+BK434+BM434</f>
        <v>320</v>
      </c>
      <c r="FU434" s="72">
        <f>IF(ISERROR(FT434/FR434),"NA",IF(OR(FT434/FR434&gt;2,FT434/FR434&lt;0.5),"NM",FT434/FR434*100-100))</f>
        <v>-2.140672782874617</v>
      </c>
      <c r="FV434" s="75">
        <f>BO434+BQ434+BS434+BU434</f>
        <v>400</v>
      </c>
      <c r="FW434" s="72">
        <f>IF(ISERROR(FV434/FT434),"NA",IF(OR(FV434/FT434&gt;2,FV434/FT434&lt;0.5),"NM",FV434/FT434*100-100))</f>
        <v>25</v>
      </c>
      <c r="FX434" s="75">
        <f>BW434+BY434+CA434+CC434</f>
        <v>436</v>
      </c>
      <c r="FY434" s="72">
        <f>IF(ISERROR(FX434/FV434),"NA",IF(OR(FX434/FV434&gt;2,FX434/FV434&lt;0.5),"NM",FX434/FV434*100-100))</f>
        <v>9.0000000000000142</v>
      </c>
      <c r="FZ434" s="75">
        <f>CE434+CG434+CI434+CK434</f>
        <v>542</v>
      </c>
      <c r="GA434" s="72">
        <f>IF(ISERROR(FZ434/FX434),"NA",IF(OR(FZ434/FX434&gt;2,FZ434/FX434&lt;0.5),"NM",FZ434/FX434*100-100))</f>
        <v>24.311926605504581</v>
      </c>
      <c r="GB434" s="75">
        <f>CM434+CO434+CQ434+CS434</f>
        <v>1429</v>
      </c>
      <c r="GC434" s="72" t="str">
        <f>IF(ISERROR(GB434/FZ434),"NA",IF(OR(GB434/FZ434&gt;2,GB434/FZ434&lt;0.5),"NM",GB434/FZ434*100-100))</f>
        <v>NM</v>
      </c>
      <c r="GD434" s="75">
        <f>CU434+CW434+CY434+DA434</f>
        <v>1290</v>
      </c>
      <c r="GE434" s="72">
        <f>IF(ISERROR(GD434/GB434),"NA",IF(OR(GD434/GB434&gt;2,GD434/GB434&lt;0.5),"NM",GD434/GB434*100-100))</f>
        <v>-9.7270818754373778</v>
      </c>
      <c r="GF434" s="75">
        <f>DC434+DE434+DG434+DI434</f>
        <v>999</v>
      </c>
      <c r="GG434" s="72">
        <f>IF(ISERROR(GF434/GD434),"NA",IF(OR(GF434/GD434&gt;2,GF434/GD434&lt;0.5),"NM",GF434/GD434*100-100))</f>
        <v>-22.558139534883722</v>
      </c>
      <c r="GH434" s="75">
        <f>DK434+DM434+DO434+DQ434</f>
        <v>958</v>
      </c>
      <c r="GI434" s="72">
        <f t="shared" ref="GI434:GU436" si="2318">IF(ISERROR(GH434/GF434),"NA",IF(OR(GH434/GF434&gt;2,GH434/GF434&lt;0.5),"NM",GH434/GF434*100-100))</f>
        <v>-4.1041041041040955</v>
      </c>
      <c r="GJ434" s="75">
        <f>DS434+DU434+DW434+DY434</f>
        <v>869</v>
      </c>
      <c r="GK434" s="72">
        <f t="shared" si="2318"/>
        <v>-9.2901878914405103</v>
      </c>
      <c r="GL434" s="75">
        <f>EA434+EC434+EE434+EG434</f>
        <v>1010</v>
      </c>
      <c r="GM434" s="72">
        <f t="shared" si="2318"/>
        <v>16.225546605293445</v>
      </c>
      <c r="GN434" s="75">
        <f>EI434+EK434+EM434+EO434</f>
        <v>986</v>
      </c>
      <c r="GO434" s="72">
        <f t="shared" si="2318"/>
        <v>-2.3762376237623783</v>
      </c>
      <c r="GP434" s="75">
        <f>EQ434+ES434+EU434+EW434</f>
        <v>1045.1600000000001</v>
      </c>
      <c r="GQ434" s="72">
        <f t="shared" si="2318"/>
        <v>6</v>
      </c>
      <c r="GR434" s="74">
        <f>GP434*1.06</f>
        <v>1107.8696000000002</v>
      </c>
      <c r="GS434" s="72">
        <f t="shared" si="2318"/>
        <v>6</v>
      </c>
      <c r="GT434" s="74">
        <f>GR434*1.06</f>
        <v>1174.3417760000002</v>
      </c>
      <c r="GU434" s="72">
        <f t="shared" si="2318"/>
        <v>6</v>
      </c>
      <c r="GV434" s="74">
        <f>GT434*1.06</f>
        <v>1244.8022825600003</v>
      </c>
      <c r="GW434" s="72">
        <f>IF(ISERROR(GV434/GT434),"NA",IF(OR(GV434/GT434&gt;2,GV434/GT434&lt;0.5),"NM",GV434/GT434*100-100))</f>
        <v>6</v>
      </c>
      <c r="GX434" s="74">
        <f>GV434*1.06</f>
        <v>1319.4904195136005</v>
      </c>
      <c r="GY434" s="72">
        <f>IF(ISERROR(GX434/GV434),"NA",IF(OR(GX434/GV434&gt;2,GX434/GV434&lt;0.5),"NM",GX434/GV434*100-100))</f>
        <v>6</v>
      </c>
      <c r="GZ434" s="72">
        <f>IF(ISERROR(((GX434/GN434)^0.2-1)*100),"NA",IF((((GX434/GN434)^0.2-1)*100)&gt;100,"NM",IF((((GX434/GN434)^0.2-1)*100)&lt;-50,"NM",((GX434/GN434)^0.2-1)*100)))</f>
        <v>6.0000000000000053</v>
      </c>
      <c r="HA434" s="72"/>
      <c r="HB434" s="72"/>
      <c r="HC434"/>
      <c r="HD434"/>
      <c r="HE434"/>
      <c r="HF434"/>
      <c r="HG434"/>
      <c r="HH434"/>
      <c r="HI434" s="2"/>
    </row>
    <row r="435" spans="1:217" s="3" customFormat="1" ht="12.75" customHeight="1" x14ac:dyDescent="0.2">
      <c r="B435" s="77" t="s">
        <v>552</v>
      </c>
      <c r="C435" s="74"/>
      <c r="D435" s="72"/>
      <c r="E435" s="74"/>
      <c r="F435" s="72"/>
      <c r="G435" s="74"/>
      <c r="H435" s="72"/>
      <c r="I435" s="74"/>
      <c r="J435" s="72"/>
      <c r="K435" s="74"/>
      <c r="L435" s="72"/>
      <c r="M435" s="74"/>
      <c r="N435" s="72"/>
      <c r="O435" s="74"/>
      <c r="P435" s="72"/>
      <c r="Q435" s="74"/>
      <c r="R435" s="72"/>
      <c r="S435" s="74"/>
      <c r="T435" s="72"/>
      <c r="U435" s="74"/>
      <c r="V435" s="72"/>
      <c r="W435" s="74"/>
      <c r="X435" s="72"/>
      <c r="Y435" s="74"/>
      <c r="Z435" s="72"/>
      <c r="AA435" s="74"/>
      <c r="AB435" s="72"/>
      <c r="AC435" s="74"/>
      <c r="AD435" s="72"/>
      <c r="AE435" s="74"/>
      <c r="AF435" s="72"/>
      <c r="AG435" s="74"/>
      <c r="AH435" s="72"/>
      <c r="AI435" s="74"/>
      <c r="AJ435" s="72"/>
      <c r="AK435" s="74"/>
      <c r="AL435" s="72"/>
      <c r="AM435" s="74"/>
      <c r="AN435" s="72"/>
      <c r="AO435" s="74"/>
      <c r="AP435" s="72"/>
      <c r="AQ435" s="74"/>
      <c r="AR435" s="72"/>
      <c r="AS435" s="74"/>
      <c r="AT435" s="72"/>
      <c r="AU435" s="74"/>
      <c r="AV435" s="72"/>
      <c r="AW435" s="74"/>
      <c r="AX435" s="72"/>
      <c r="AY435" s="74"/>
      <c r="AZ435" s="72"/>
      <c r="BA435" s="74">
        <v>19</v>
      </c>
      <c r="BB435" s="72"/>
      <c r="BC435" s="74">
        <v>20</v>
      </c>
      <c r="BD435" s="72"/>
      <c r="BE435" s="74">
        <v>10</v>
      </c>
      <c r="BF435" s="72"/>
      <c r="BG435" s="74">
        <v>6</v>
      </c>
      <c r="BH435" s="72"/>
      <c r="BI435" s="74">
        <v>5</v>
      </c>
      <c r="BJ435" s="72"/>
      <c r="BK435" s="74">
        <v>4</v>
      </c>
      <c r="BL435" s="72"/>
      <c r="BM435" s="74">
        <v>7</v>
      </c>
      <c r="BN435" s="72">
        <f>IF(ISERROR(BM435/BE435),"NA",IF(OR(BM435/BE435&gt;2,BM435/BE435&lt;0.5),"NM",BM435/BE435*100-100))</f>
        <v>-30</v>
      </c>
      <c r="BO435" s="74">
        <v>6</v>
      </c>
      <c r="BP435" s="72"/>
      <c r="BQ435" s="74">
        <v>21</v>
      </c>
      <c r="BR435" s="72"/>
      <c r="BS435" s="74">
        <v>15</v>
      </c>
      <c r="BT435" s="72"/>
      <c r="BU435" s="74">
        <v>12</v>
      </c>
      <c r="BV435" s="72"/>
      <c r="BW435" s="74">
        <v>21</v>
      </c>
      <c r="BX435" s="72" t="str">
        <f>IF(ISERROR(BW435/BO435),"NA",IF(OR(BW435/BO435&gt;2,BW435/BO435&lt;0.5),"NM",BW435/BO435*100-100))</f>
        <v>NM</v>
      </c>
      <c r="BY435" s="74">
        <v>25</v>
      </c>
      <c r="BZ435" s="72">
        <f>IF(ISERROR(BY435/BQ435),"NA",IF(OR(BY435/BQ435&gt;2,BY435/BQ435&lt;0.5),"NM",BY435/BQ435*100-100))</f>
        <v>19.047619047619051</v>
      </c>
      <c r="CA435" s="74">
        <v>38</v>
      </c>
      <c r="CB435" s="72" t="str">
        <f>IF(ISERROR(CA435/BS435),"NA",IF(OR(CA435/BS435&gt;2,CA435/BS435&lt;0.5),"NM",CA435/BS435*100-100))</f>
        <v>NM</v>
      </c>
      <c r="CC435" s="74">
        <v>48</v>
      </c>
      <c r="CD435" s="72" t="str">
        <f>IF(ISERROR(CC435/BU435),"NA",IF(OR(CC435/BU435&gt;2,CC435/BU435&lt;0.5),"NM",CC435/BU435*100-100))</f>
        <v>NM</v>
      </c>
      <c r="CE435" s="74">
        <v>56</v>
      </c>
      <c r="CF435" s="72" t="str">
        <f>IF(ISERROR(CE435/BW435),"NA",IF(OR(CE435/BW435&gt;2,CE435/BW435&lt;0.5),"NM",CE435/BW435*100-100))</f>
        <v>NM</v>
      </c>
      <c r="CG435" s="74">
        <v>78</v>
      </c>
      <c r="CH435" s="72" t="str">
        <f>IF(ISERROR(CG435/BY435),"NA",IF(OR(CG435/BY435&gt;2,CG435/BY435&lt;0.5),"NM",CG435/BY435*100-100))</f>
        <v>NM</v>
      </c>
      <c r="CI435" s="74">
        <v>92</v>
      </c>
      <c r="CJ435" s="72" t="str">
        <f>IF(ISERROR(CI435/CA435),"NA",IF(OR(CI435/CA435&gt;2,CI435/CA435&lt;0.5),"NM",CI435/CA435*100-100))</f>
        <v>NM</v>
      </c>
      <c r="CK435" s="74">
        <v>106</v>
      </c>
      <c r="CL435" s="72" t="str">
        <f>IF(ISERROR(CK435/CC435),"NA",IF(OR(CK435/CC435&gt;2,CK435/CC435&lt;0.5),"NM",CK435/CC435*100-100))</f>
        <v>NM</v>
      </c>
      <c r="CM435" s="74">
        <v>135</v>
      </c>
      <c r="CN435" s="72" t="str">
        <f>IF(ISERROR(CM435/CE435),"NA",IF(OR(CM435/CE435&gt;2,CM435/CE435&lt;0.5),"NM",CM435/CE435*100-100))</f>
        <v>NM</v>
      </c>
      <c r="CO435" s="74">
        <v>143</v>
      </c>
      <c r="CP435" s="72">
        <f>IF(ISERROR(CO435/CG435),"NA",IF(OR(CO435/CG435&gt;2,CO435/CG435&lt;0.5),"NM",CO435/CG435*100-100))</f>
        <v>83.333333333333314</v>
      </c>
      <c r="CQ435" s="74">
        <v>173</v>
      </c>
      <c r="CR435" s="72">
        <f>IF(ISERROR(CQ435/CI435),"NA",IF(OR(CQ435/CI435&gt;2,CQ435/CI435&lt;0.5),"NM",CQ435/CI435*100-100))</f>
        <v>88.043478260869563</v>
      </c>
      <c r="CS435" s="74">
        <v>149</v>
      </c>
      <c r="CT435" s="72">
        <f>IF(ISERROR(CS435/CK435),"NA",IF(OR(CS435/CK435&gt;2,CS435/CK435&lt;0.5),"NM",CS435/CK435*100-100))</f>
        <v>40.566037735849051</v>
      </c>
      <c r="CU435" s="74">
        <v>193</v>
      </c>
      <c r="CV435" s="72">
        <f>IF(ISERROR(CU435/CM435),"NA",IF(OR(CU435/CM435&gt;2,CU435/CM435&lt;0.5),"NM",CU435/CM435*100-100))</f>
        <v>42.962962962962962</v>
      </c>
      <c r="CW435" s="74">
        <v>261</v>
      </c>
      <c r="CX435" s="72">
        <f>IF(ISERROR(CW435/CO435),"NA",IF(OR(CW435/CO435&gt;2,CW435/CO435&lt;0.5),"NM",CW435/CO435*100-100))</f>
        <v>82.517482517482534</v>
      </c>
      <c r="CY435" s="74">
        <v>433</v>
      </c>
      <c r="CZ435" s="72" t="str">
        <f>IF(ISERROR(CY435/CQ435),"NA",IF(OR(CY435/CQ435&gt;2,CY435/CQ435&lt;0.5),"NM",CY435/CQ435*100-100))</f>
        <v>NM</v>
      </c>
      <c r="DA435" s="74">
        <v>547</v>
      </c>
      <c r="DB435" s="72" t="str">
        <f>IF(ISERROR(DA435/CS435),"NA",IF(OR(DA435/CS435&gt;2,DA435/CS435&lt;0.5),"NM",DA435/CS435*100-100))</f>
        <v>NM</v>
      </c>
      <c r="DC435" s="74">
        <v>209</v>
      </c>
      <c r="DD435" s="72">
        <f>IF(ISERROR(DC435/CU435),"NA",IF(OR(DC435/CU435&gt;2,DC435/CU435&lt;0.5),"NM",DC435/CU435*100-100))</f>
        <v>8.2901554404145088</v>
      </c>
      <c r="DE435" s="74">
        <v>197</v>
      </c>
      <c r="DF435" s="72">
        <f>IF(ISERROR(DE435/CW435),"NA",IF(OR(DE435/CW435&gt;2,DE435/CW435&lt;0.5),"NM",DE435/CW435*100-100))</f>
        <v>-24.52107279693486</v>
      </c>
      <c r="DG435" s="74">
        <v>182</v>
      </c>
      <c r="DH435" s="72" t="str">
        <f>IF(ISERROR(DG435/CY435),"NA",IF(OR(DG435/CY435&gt;2,DG435/CY435&lt;0.5),"NM",DG435/CY435*100-100))</f>
        <v>NM</v>
      </c>
      <c r="DI435" s="74">
        <v>169</v>
      </c>
      <c r="DJ435" s="72" t="str">
        <f>IF(ISERROR(DI435/DA435),"NA",IF(OR(DI435/DA435&gt;2,DI435/DA435&lt;0.5),"NM",DI435/DA435*100-100))</f>
        <v>NM</v>
      </c>
      <c r="DK435" s="74">
        <v>144</v>
      </c>
      <c r="DL435" s="72">
        <f>IF(ISERROR(DK435/DC435),"NA",IF(OR(DK435/DC435&gt;2,DK435/DC435&lt;0.5),"NM",DK435/DC435*100-100))</f>
        <v>-31.100478468899524</v>
      </c>
      <c r="DM435" s="74">
        <v>156</v>
      </c>
      <c r="DN435" s="72">
        <f t="shared" si="2309"/>
        <v>-20.812182741116743</v>
      </c>
      <c r="DO435" s="74">
        <v>170</v>
      </c>
      <c r="DP435" s="72">
        <f t="shared" si="2309"/>
        <v>-6.5934065934065984</v>
      </c>
      <c r="DQ435" s="74">
        <v>156</v>
      </c>
      <c r="DR435" s="72">
        <f t="shared" si="2309"/>
        <v>-7.6923076923076934</v>
      </c>
      <c r="DS435" s="74">
        <v>153</v>
      </c>
      <c r="DT435" s="72">
        <f t="shared" si="2309"/>
        <v>6.25</v>
      </c>
      <c r="DU435" s="74">
        <v>174</v>
      </c>
      <c r="DV435" s="72">
        <f t="shared" si="2309"/>
        <v>11.538461538461547</v>
      </c>
      <c r="DW435" s="74">
        <v>186</v>
      </c>
      <c r="DX435" s="72">
        <f t="shared" si="2309"/>
        <v>9.4117647058823621</v>
      </c>
      <c r="DY435" s="74">
        <v>166</v>
      </c>
      <c r="DZ435" s="72">
        <f t="shared" si="2309"/>
        <v>6.4102564102564088</v>
      </c>
      <c r="EA435" s="74">
        <v>194</v>
      </c>
      <c r="EB435" s="72">
        <f>IF(ISERROR(EA435/DS435),"NA",IF(OR(EA435/DS435&gt;2,EA435/DS435&lt;0.5),"NM",EA435/DS435*100-100))</f>
        <v>26.797385620915023</v>
      </c>
      <c r="EC435" s="74">
        <v>176</v>
      </c>
      <c r="ED435" s="72">
        <f>IF(ISERROR(EC435/DU435),"NA",IF(OR(EC435/DU435&gt;2,EC435/DU435&lt;0.5),"NM",EC435/DU435*100-100))</f>
        <v>1.1494252873563369</v>
      </c>
      <c r="EE435" s="74">
        <v>188</v>
      </c>
      <c r="EF435" s="72">
        <f>IF(ISERROR(EE435/DW435),"NA",IF(OR(EE435/DW435&gt;2,EE435/DW435&lt;0.5),"NM",EE435/DW435*100-100))</f>
        <v>1.0752688172043037</v>
      </c>
      <c r="EG435" s="74">
        <v>158</v>
      </c>
      <c r="EH435" s="72">
        <f>IF(ISERROR(EG435/DY435),"NA",IF(OR(EG435/DY435&gt;2,EG435/DY435&lt;0.5),"NM",EG435/DY435*100-100))</f>
        <v>-4.819277108433738</v>
      </c>
      <c r="EI435" s="74">
        <v>132</v>
      </c>
      <c r="EJ435" s="72">
        <f>IF(ISERROR(EI435/EA435),"NA",IF(OR(EI435/EA435&gt;2,EI435/EA435&lt;0.5),"NM",EI435/EA435*100-100))</f>
        <v>-31.958762886597938</v>
      </c>
      <c r="EK435" s="74">
        <v>161</v>
      </c>
      <c r="EL435" s="72">
        <f>IF(ISERROR(EK435/EC435),"NA",IF(OR(EK435/EC435&gt;2,EK435/EC435&lt;0.5),"NM",EK435/EC435*100-100))</f>
        <v>-8.5227272727272663</v>
      </c>
      <c r="EM435" s="74">
        <v>171</v>
      </c>
      <c r="EN435" s="72">
        <f>IF(ISERROR(EM435/EE435),"NA",IF(OR(EM435/EE435&gt;2,EM435/EE435&lt;0.5),"NM",EM435/EE435*100-100))</f>
        <v>-9.0425531914893611</v>
      </c>
      <c r="EO435" s="74">
        <v>148</v>
      </c>
      <c r="EP435" s="72">
        <f>IF(ISERROR(EO435/EG435),"NA",IF(OR(EO435/EG435&gt;2,EO435/EG435&lt;0.5),"NM",EO435/EG435*100-100))</f>
        <v>-6.3291139240506311</v>
      </c>
      <c r="EQ435" s="74">
        <f t="shared" ref="EQ435" si="2319">EI435*1.08</f>
        <v>142.56</v>
      </c>
      <c r="ER435" s="72">
        <f t="shared" si="2311"/>
        <v>8</v>
      </c>
      <c r="ES435" s="74">
        <f t="shared" ref="ES435" si="2320">EK435*1.08</f>
        <v>173.88000000000002</v>
      </c>
      <c r="ET435" s="72">
        <f t="shared" si="2313"/>
        <v>8</v>
      </c>
      <c r="EU435" s="74">
        <f t="shared" ref="EU435" si="2321">EM435*1.08</f>
        <v>184.68</v>
      </c>
      <c r="EV435" s="72">
        <f t="shared" si="2315"/>
        <v>8</v>
      </c>
      <c r="EW435" s="74">
        <f t="shared" ref="EW435" si="2322">EO435*1.08</f>
        <v>159.84</v>
      </c>
      <c r="EX435" s="72">
        <f t="shared" si="2317"/>
        <v>8</v>
      </c>
      <c r="EY435" s="72"/>
      <c r="EZ435" s="322"/>
      <c r="FA435" s="72"/>
      <c r="FB435" s="86"/>
      <c r="FC435" s="82"/>
      <c r="FD435" s="86"/>
      <c r="FE435" s="72"/>
      <c r="FF435" s="86"/>
      <c r="FG435" s="72"/>
      <c r="FH435" s="81"/>
      <c r="FI435" s="72"/>
      <c r="FJ435" s="81"/>
      <c r="FK435" s="72"/>
      <c r="FL435" s="81"/>
      <c r="FM435" s="72"/>
      <c r="FN435" s="81"/>
      <c r="FO435" s="72"/>
      <c r="FP435" s="81"/>
      <c r="FQ435" s="72"/>
      <c r="FR435" s="75">
        <f>AY435+BA435+BC435+BE435</f>
        <v>49</v>
      </c>
      <c r="FS435" s="72" t="str">
        <f>IF(ISERROR(FR435/FP435),"NA",IF(OR(FR435/FP435&gt;2,FR435/FP435&lt;0.5),"NM",FR435/FP435*100-100))</f>
        <v>NA</v>
      </c>
      <c r="FT435" s="75">
        <f>BG435+BI435+BK435+BM435</f>
        <v>22</v>
      </c>
      <c r="FU435" s="72" t="str">
        <f>IF(ISERROR(FT435/FR435),"NA",IF(OR(FT435/FR435&gt;2,FT435/FR435&lt;0.5),"NM",FT435/FR435*100-100))</f>
        <v>NM</v>
      </c>
      <c r="FV435" s="75">
        <f>BO435+BQ435+BS435+BU435</f>
        <v>54</v>
      </c>
      <c r="FW435" s="72" t="str">
        <f>IF(ISERROR(FV435/FT435),"NA",IF(OR(FV435/FT435&gt;2,FV435/FT435&lt;0.5),"NM",FV435/FT435*100-100))</f>
        <v>NM</v>
      </c>
      <c r="FX435" s="75">
        <f>BW435+BY435+CA435+CC435</f>
        <v>132</v>
      </c>
      <c r="FY435" s="72" t="str">
        <f>IF(ISERROR(FX435/FV435),"NA",IF(OR(FX435/FV435&gt;2,FX435/FV435&lt;0.5),"NM",FX435/FV435*100-100))</f>
        <v>NM</v>
      </c>
      <c r="FZ435" s="75">
        <f>CE435+CG435+CI435+CK435</f>
        <v>332</v>
      </c>
      <c r="GA435" s="72" t="str">
        <f>IF(ISERROR(FZ435/FX435),"NA",IF(OR(FZ435/FX435&gt;2,FZ435/FX435&lt;0.5),"NM",FZ435/FX435*100-100))</f>
        <v>NM</v>
      </c>
      <c r="GB435" s="75">
        <f>CM435+CO435+CQ435+CS435</f>
        <v>600</v>
      </c>
      <c r="GC435" s="72">
        <f>IF(ISERROR(GB435/FZ435),"NA",IF(OR(GB435/FZ435&gt;2,GB435/FZ435&lt;0.5),"NM",GB435/FZ435*100-100))</f>
        <v>80.722891566265076</v>
      </c>
      <c r="GD435" s="75">
        <f>CU435+CW435+CY435+DA435</f>
        <v>1434</v>
      </c>
      <c r="GE435" s="72" t="str">
        <f>IF(ISERROR(GD435/GB435),"NA",IF(OR(GD435/GB435&gt;2,GD435/GB435&lt;0.5),"NM",GD435/GB435*100-100))</f>
        <v>NM</v>
      </c>
      <c r="GF435" s="75">
        <f>DC435+DE435+DG435+DI435</f>
        <v>757</v>
      </c>
      <c r="GG435" s="72">
        <f>IF(ISERROR(GF435/GD435),"NA",IF(OR(GF435/GD435&gt;2,GF435/GD435&lt;0.5),"NM",GF435/GD435*100-100))</f>
        <v>-47.210599721059978</v>
      </c>
      <c r="GH435" s="75">
        <f>DK435+DM435+DO435+DQ435</f>
        <v>626</v>
      </c>
      <c r="GI435" s="72">
        <f t="shared" si="2318"/>
        <v>-17.305151915455738</v>
      </c>
      <c r="GJ435" s="75">
        <f>DS435+DU435+DW435+DY435</f>
        <v>679</v>
      </c>
      <c r="GK435" s="72">
        <f t="shared" si="2318"/>
        <v>8.4664536741213965</v>
      </c>
      <c r="GL435" s="75">
        <f>EA435+EC435+EE435+EG435</f>
        <v>716</v>
      </c>
      <c r="GM435" s="72">
        <f t="shared" si="2318"/>
        <v>5.4491899852724686</v>
      </c>
      <c r="GN435" s="75">
        <f>EI435+EK435+EM435+EO435</f>
        <v>612</v>
      </c>
      <c r="GO435" s="72">
        <f t="shared" si="2318"/>
        <v>-14.52513966480447</v>
      </c>
      <c r="GP435" s="75">
        <f>EQ435+ES435+EU435+EW435</f>
        <v>660.96</v>
      </c>
      <c r="GQ435" s="72">
        <f t="shared" si="2318"/>
        <v>8</v>
      </c>
      <c r="GR435" s="74">
        <f>GP435*1.08</f>
        <v>713.83680000000004</v>
      </c>
      <c r="GS435" s="72">
        <f t="shared" si="2318"/>
        <v>8</v>
      </c>
      <c r="GT435" s="74">
        <f>GR435*1.08</f>
        <v>770.94374400000004</v>
      </c>
      <c r="GU435" s="72">
        <f t="shared" si="2318"/>
        <v>8</v>
      </c>
      <c r="GV435" s="74">
        <f>GT435*1.08</f>
        <v>832.61924352000005</v>
      </c>
      <c r="GW435" s="72">
        <f>IF(ISERROR(GV435/GT435),"NA",IF(OR(GV435/GT435&gt;2,GV435/GT435&lt;0.5),"NM",GV435/GT435*100-100))</f>
        <v>8</v>
      </c>
      <c r="GX435" s="74">
        <f>GV435*1.08</f>
        <v>899.22878300160016</v>
      </c>
      <c r="GY435" s="72">
        <f>IF(ISERROR(GX435/GV435),"NA",IF(OR(GX435/GV435&gt;2,GX435/GV435&lt;0.5),"NM",GX435/GV435*100-100))</f>
        <v>8</v>
      </c>
      <c r="GZ435" s="72">
        <f>IF(ISERROR(((GX435/GN435)^0.2-1)*100),"NA",IF((((GX435/GN435)^0.2-1)*100)&gt;100,"NM",IF((((GX435/GN435)^0.2-1)*100)&lt;-50,"NM",((GX435/GN435)^0.2-1)*100)))</f>
        <v>8.0000000000000071</v>
      </c>
      <c r="HA435" s="72"/>
      <c r="HB435" s="72"/>
      <c r="HC435"/>
      <c r="HD435"/>
      <c r="HE435"/>
      <c r="HF435"/>
      <c r="HG435"/>
      <c r="HH435"/>
      <c r="HI435" s="2"/>
    </row>
    <row r="436" spans="1:217" s="3" customFormat="1" ht="12.75" customHeight="1" x14ac:dyDescent="0.2">
      <c r="A436" s="3" t="s">
        <v>356</v>
      </c>
      <c r="B436" s="77" t="s">
        <v>420</v>
      </c>
      <c r="C436" s="75"/>
      <c r="D436" s="72"/>
      <c r="E436" s="75"/>
      <c r="F436" s="72"/>
      <c r="G436" s="75"/>
      <c r="H436" s="72"/>
      <c r="I436" s="75"/>
      <c r="J436" s="72"/>
      <c r="K436" s="75">
        <f>+K434+K393</f>
        <v>162</v>
      </c>
      <c r="L436" s="72" t="str">
        <f>IF(ISERROR(K436/C436),"NA",IF(OR(K436/C436&gt;2,K436/C436&lt;0.5),"NM",K436/C436*100-100))</f>
        <v>NA</v>
      </c>
      <c r="M436" s="75">
        <f>+M434+M393</f>
        <v>162</v>
      </c>
      <c r="N436" s="72" t="str">
        <f>IF(ISERROR(M436/E436),"NA",IF(OR(M436/E436&gt;2,M436/E436&lt;0.5),"NM",M436/E436*100-100))</f>
        <v>NA</v>
      </c>
      <c r="O436" s="75">
        <f>+O434+O393</f>
        <v>172</v>
      </c>
      <c r="P436" s="72" t="str">
        <f>IF(ISERROR(O436/G436),"NA",IF(OR(O436/G436&gt;2,O436/G436&lt;0.5),"NM",O436/G436*100-100))</f>
        <v>NA</v>
      </c>
      <c r="Q436" s="75">
        <f>+Q434+Q393</f>
        <v>196</v>
      </c>
      <c r="R436" s="72" t="str">
        <f>IF(ISERROR(Q436/I436),"NA",IF(OR(Q436/I436&gt;2,Q436/I436&lt;0.5),"NM",Q436/I436*100-100))</f>
        <v>NA</v>
      </c>
      <c r="S436" s="75">
        <f>+S434+S393</f>
        <v>179</v>
      </c>
      <c r="T436" s="72">
        <f>IF(ISERROR(S436/K436),"NA",IF(OR(S436/K436&gt;2,S436/K436&lt;0.5),"NM",S436/K436*100-100))</f>
        <v>10.493827160493822</v>
      </c>
      <c r="U436" s="75">
        <f>+U434+U393</f>
        <v>177</v>
      </c>
      <c r="V436" s="72">
        <f>IF(ISERROR(U436/M436),"NA",IF(OR(U436/M436&gt;2,U436/M436&lt;0.5),"NM",U436/M436*100-100))</f>
        <v>9.2592592592592524</v>
      </c>
      <c r="W436" s="75">
        <f>+W434+W393</f>
        <v>185</v>
      </c>
      <c r="X436" s="72">
        <f>IF(ISERROR(W436/O436),"NA",IF(OR(W436/O436&gt;2,W436/O436&lt;0.5),"NM",W436/O436*100-100))</f>
        <v>7.5581395348837077</v>
      </c>
      <c r="Y436" s="75">
        <f>+Y434+Y393</f>
        <v>202</v>
      </c>
      <c r="Z436" s="72">
        <f>IF(ISERROR(Y436/Q436),"NA",IF(OR(Y436/Q436&gt;2,Y436/Q436&lt;0.5),"NM",Y436/Q436*100-100))</f>
        <v>3.0612244897959044</v>
      </c>
      <c r="AA436" s="75">
        <f>+AA434+AA393</f>
        <v>220</v>
      </c>
      <c r="AB436" s="72">
        <f>IF(ISERROR(AA436/S436),"NA",IF(OR(AA436/S436&gt;2,AA436/S436&lt;0.5),"NM",AA436/S436*100-100))</f>
        <v>22.905027932960891</v>
      </c>
      <c r="AC436" s="75">
        <f>+AC434+AC393</f>
        <v>220</v>
      </c>
      <c r="AD436" s="72">
        <f>IF(ISERROR(AC436/U436),"NA",IF(OR(AC436/U436&gt;2,AC436/U436&lt;0.5),"NM",AC436/U436*100-100))</f>
        <v>24.293785310734478</v>
      </c>
      <c r="AE436" s="75">
        <f>+AE434+AE393</f>
        <v>223</v>
      </c>
      <c r="AF436" s="72">
        <f>IF(ISERROR(AE436/W436),"NA",IF(OR(AE436/W436&gt;2,AE436/W436&lt;0.5),"NM",AE436/W436*100-100))</f>
        <v>20.540540540540533</v>
      </c>
      <c r="AG436" s="75">
        <f>+AG434+AG393</f>
        <v>241</v>
      </c>
      <c r="AH436" s="72">
        <f>IF(ISERROR(AG436/Y436),"NA",IF(OR(AG436/Y436&gt;2,AG436/Y436&lt;0.5),"NM",AG436/Y436*100-100))</f>
        <v>19.306930693069305</v>
      </c>
      <c r="AI436" s="75">
        <f>+AI434+AI393</f>
        <v>240</v>
      </c>
      <c r="AJ436" s="72">
        <f>IF(ISERROR(AI436/AA436),"NA",IF(OR(AI436/AA436&gt;2,AI436/AA436&lt;0.5),"NM",AI436/AA436*100-100))</f>
        <v>9.0909090909090793</v>
      </c>
      <c r="AK436" s="75">
        <f>+AK434+AK393</f>
        <v>224</v>
      </c>
      <c r="AL436" s="72">
        <f>IF(ISERROR(AK436/AC436),"NA",IF(OR(AK436/AC436&gt;2,AK436/AC436&lt;0.5),"NM",AK436/AC436*100-100))</f>
        <v>1.818181818181813</v>
      </c>
      <c r="AM436" s="75">
        <f>+AM434+AM393</f>
        <v>221</v>
      </c>
      <c r="AN436" s="72">
        <f>IF(ISERROR(AM436/AE436),"NA",IF(OR(AM436/AE436&gt;2,AM436/AE436&lt;0.5),"NM",AM436/AE436*100-100))</f>
        <v>-0.89686098654708246</v>
      </c>
      <c r="AO436" s="75">
        <f>+AO434+AO393</f>
        <v>260</v>
      </c>
      <c r="AP436" s="72">
        <f>IF(ISERROR(AO436/AG436),"NA",IF(OR(AO436/AG436&gt;2,AO436/AG436&lt;0.5),"NM",AO436/AG436*100-100))</f>
        <v>7.8838174273858925</v>
      </c>
      <c r="AQ436" s="75">
        <f>+AQ434+AQ393</f>
        <v>308</v>
      </c>
      <c r="AR436" s="72">
        <f>IF(ISERROR(AQ436/AI436),"NA",IF(OR(AQ436/AI436&gt;2,AQ436/AI436&lt;0.5),"NM",AQ436/AI436*100-100))</f>
        <v>28.333333333333343</v>
      </c>
      <c r="AS436" s="75">
        <f>+AS434+AS393</f>
        <v>343</v>
      </c>
      <c r="AT436" s="72">
        <f>IF(ISERROR(AS436/AK436),"NA",IF(OR(AS436/AK436&gt;2,AS436/AK436&lt;0.5),"NM",AS436/AK436*100-100))</f>
        <v>53.125</v>
      </c>
      <c r="AU436" s="75">
        <f>+AU434+AU393</f>
        <v>263</v>
      </c>
      <c r="AV436" s="72">
        <f>IF(ISERROR(AU436/AM436),"NA",IF(OR(AU436/AM436&gt;2,AU436/AM436&lt;0.5),"NM",AU436/AM436*100-100))</f>
        <v>19.004524886877832</v>
      </c>
      <c r="AW436" s="75">
        <f>+AW434+AW393</f>
        <v>265</v>
      </c>
      <c r="AX436" s="72">
        <f>IF(ISERROR(AW436/AO436),"NA",IF(OR(AW436/AO436&gt;2,AW436/AO436&lt;0.5),"NM",AW436/AO436*100-100))</f>
        <v>1.9230769230769198</v>
      </c>
      <c r="AY436" s="75">
        <f>+AY434+AY393</f>
        <v>289</v>
      </c>
      <c r="AZ436" s="72">
        <f>IF(ISERROR(AY436/AQ436),"NA",IF(OR(AY436/AQ436&gt;2,AY436/AQ436&lt;0.5),"NM",AY436/AQ436*100-100))</f>
        <v>-6.1688311688311614</v>
      </c>
      <c r="BA436" s="75">
        <f>+BA434+BA393+BA435</f>
        <v>319</v>
      </c>
      <c r="BB436" s="72">
        <f>IF(ISERROR(BA436/AS436),"NA",IF(OR(BA436/AS436&gt;2,BA436/AS436&lt;0.5),"NM",BA436/AS436*100-100))</f>
        <v>-6.9970845481049651</v>
      </c>
      <c r="BC436" s="75">
        <f>+BC434+BC393+BC435</f>
        <v>265</v>
      </c>
      <c r="BD436" s="72">
        <f>IF(ISERROR(BC436/AU436),"NA",IF(OR(BC436/AU436&gt;2,BC436/AU436&lt;0.5),"NM",BC436/AU436*100-100))</f>
        <v>0.76045627376426239</v>
      </c>
      <c r="BE436" s="75">
        <f>+BE434+BE393+BE435</f>
        <v>270</v>
      </c>
      <c r="BF436" s="72">
        <f>IF(ISERROR(BE436/AW436),"NA",IF(OR(BE436/AW436&gt;2,BE436/AW436&lt;0.5),"NM",BE436/AW436*100-100))</f>
        <v>1.8867924528301927</v>
      </c>
      <c r="BG436" s="75">
        <f>+BG434+BG393+BG435</f>
        <v>296</v>
      </c>
      <c r="BH436" s="72">
        <f>IF(ISERROR(BG436/AY436),"NA",IF(OR(BG436/AY436&gt;2,BG436/AY436&lt;0.5),"NM",BG436/AY436*100-100))</f>
        <v>2.4221453287197221</v>
      </c>
      <c r="BI436" s="75">
        <f>+BI434+BI393+BI435</f>
        <v>268</v>
      </c>
      <c r="BJ436" s="72">
        <f>IF(ISERROR(BI436/BA436),"NA",IF(OR(BI436/BA436&gt;2,BI436/BA436&lt;0.5),"NM",BI436/BA436*100-100))</f>
        <v>-15.987460815047015</v>
      </c>
      <c r="BK436" s="75">
        <f>+BK434+BK393+BK435</f>
        <v>264</v>
      </c>
      <c r="BL436" s="72">
        <f>IF(ISERROR(BK436/BC436),"NA",IF(OR(BK436/BC436&gt;2,BK436/BC436&lt;0.5),"NM",BK436/BC436*100-100))</f>
        <v>-0.37735849056603854</v>
      </c>
      <c r="BM436" s="75">
        <f>+BM434+BM393+BM435</f>
        <v>302</v>
      </c>
      <c r="BN436" s="72">
        <f>IF(ISERROR(BM436/BE436),"NA",IF(OR(BM436/BE436&gt;2,BM436/BE436&lt;0.5),"NM",BM436/BE436*100-100))</f>
        <v>11.851851851851848</v>
      </c>
      <c r="BO436" s="75">
        <f>+BO434+BO393+BO435</f>
        <v>329</v>
      </c>
      <c r="BP436" s="72">
        <f>IF(ISERROR(BO436/BG436),"NA",IF(OR(BO436/BG436&gt;2,BO436/BG436&lt;0.5),"NM",BO436/BG436*100-100))</f>
        <v>11.148648648648646</v>
      </c>
      <c r="BQ436" s="75">
        <f>+BQ434+BQ393+BQ435</f>
        <v>336</v>
      </c>
      <c r="BR436" s="72">
        <f>IF(ISERROR(BQ436/BI436),"NA",IF(OR(BQ436/BI436&gt;2,BQ436/BI436&lt;0.5),"NM",BQ436/BI436*100-100))</f>
        <v>25.373134328358219</v>
      </c>
      <c r="BS436" s="75">
        <f>+BS434+BS393+BS435</f>
        <v>286</v>
      </c>
      <c r="BT436" s="72">
        <f>IF(ISERROR(BS436/BK436),"NA",IF(OR(BS436/BK436&gt;2,BS436/BK436&lt;0.5),"NM",BS436/BK436*100-100))</f>
        <v>8.3333333333333286</v>
      </c>
      <c r="BU436" s="75">
        <f>+BU434+BU393+BU435</f>
        <v>278</v>
      </c>
      <c r="BV436" s="72">
        <f>IF(ISERROR(BU436/BM436),"NA",IF(OR(BU436/BM436&gt;2,BU436/BM436&lt;0.5),"NM",BU436/BM436*100-100))</f>
        <v>-7.9470198675496704</v>
      </c>
      <c r="BW436" s="75">
        <f>+BW434+BW393+BW435</f>
        <v>333</v>
      </c>
      <c r="BX436" s="72">
        <f>IF(ISERROR(BW436/BO436),"NA",IF(OR(BW436/BO436&gt;2,BW436/BO436&lt;0.5),"NM",BW436/BO436*100-100))</f>
        <v>1.2158054711246109</v>
      </c>
      <c r="BY436" s="75">
        <f>+BY434+BY393+BY435</f>
        <v>328</v>
      </c>
      <c r="BZ436" s="72">
        <f>IF(ISERROR(BY436/BQ436),"NA",IF(OR(BY436/BQ436&gt;2,BY436/BQ436&lt;0.5),"NM",BY436/BQ436*100-100))</f>
        <v>-2.3809523809523796</v>
      </c>
      <c r="CA436" s="75">
        <f>+CA434+CA393+CA435</f>
        <v>354</v>
      </c>
      <c r="CB436" s="72">
        <f>IF(ISERROR(CA436/BS436),"NA",IF(OR(CA436/BS436&gt;2,CA436/BS436&lt;0.5),"NM",CA436/BS436*100-100))</f>
        <v>23.776223776223773</v>
      </c>
      <c r="CC436" s="75">
        <f>+CC434+CC393+CC435</f>
        <v>386</v>
      </c>
      <c r="CD436" s="72">
        <f>IF(ISERROR(CC436/BU436),"NA",IF(OR(CC436/BU436&gt;2,CC436/BU436&lt;0.5),"NM",CC436/BU436*100-100))</f>
        <v>38.84892086330936</v>
      </c>
      <c r="CE436" s="75">
        <f>+CE434+CE393+CE435</f>
        <v>411</v>
      </c>
      <c r="CF436" s="72">
        <f>IF(ISERROR(CE436/BW436),"NA",IF(OR(CE436/BW436&gt;2,CE436/BW436&lt;0.5),"NM",CE436/BW436*100-100))</f>
        <v>23.423423423423429</v>
      </c>
      <c r="CG436" s="75">
        <f>+CG434+CG393+CG435</f>
        <v>419</v>
      </c>
      <c r="CH436" s="72">
        <f>IF(ISERROR(CG436/BY436),"NA",IF(OR(CG436/BY436&gt;2,CG436/BY436&lt;0.5),"NM",CG436/BY436*100-100))</f>
        <v>27.743902439024382</v>
      </c>
      <c r="CI436" s="75">
        <f>+CI434+CI393+CI435</f>
        <v>476</v>
      </c>
      <c r="CJ436" s="72">
        <f>IF(ISERROR(CI436/CA436),"NA",IF(OR(CI436/CA436&gt;2,CI436/CA436&lt;0.5),"NM",CI436/CA436*100-100))</f>
        <v>34.463276836158201</v>
      </c>
      <c r="CK436" s="75">
        <f>+CK434+CK393+CK435</f>
        <v>532</v>
      </c>
      <c r="CL436" s="72">
        <f>IF(ISERROR(CK436/CC436),"NA",IF(OR(CK436/CC436&gt;2,CK436/CC436&lt;0.5),"NM",CK436/CC436*100-100))</f>
        <v>37.823834196891198</v>
      </c>
      <c r="CM436" s="75">
        <f>+CM434+CM393+CM435</f>
        <v>680</v>
      </c>
      <c r="CN436" s="72">
        <f>IF(ISERROR(CM436/CE436),"NA",IF(OR(CM436/CE436&gt;2,CM436/CE436&lt;0.5),"NM",CM436/CE436*100-100))</f>
        <v>65.450121654501203</v>
      </c>
      <c r="CO436" s="75">
        <f>+CO434+CO393+CO435</f>
        <v>802</v>
      </c>
      <c r="CP436" s="72">
        <f>IF(ISERROR(CO436/CG436),"NA",IF(OR(CO436/CG436&gt;2,CO436/CG436&lt;0.5),"NM",CO436/CG436*100-100))</f>
        <v>91.408114558472562</v>
      </c>
      <c r="CQ436" s="75">
        <f>+CQ434+CQ393+CQ435</f>
        <v>861</v>
      </c>
      <c r="CR436" s="72">
        <f>IF(ISERROR(CQ436/CI436),"NA",IF(OR(CQ436/CI436&gt;2,CQ436/CI436&lt;0.5),"NM",CQ436/CI436*100-100))</f>
        <v>80.882352941176464</v>
      </c>
      <c r="CS436" s="75">
        <f>+CS434+CS393+CS435</f>
        <v>836</v>
      </c>
      <c r="CT436" s="72">
        <f>IF(ISERROR(CS436/CK436),"NA",IF(OR(CS436/CK436&gt;2,CS436/CK436&lt;0.5),"NM",CS436/CK436*100-100))</f>
        <v>57.142857142857139</v>
      </c>
      <c r="CU436" s="75">
        <f>+CU434+CU393+CU435</f>
        <v>863</v>
      </c>
      <c r="CV436" s="72">
        <f>IF(ISERROR(CU436/CM436),"NA",IF(OR(CU436/CM436&gt;2,CU436/CM436&lt;0.5),"NM",CU436/CM436*100-100))</f>
        <v>26.911764705882348</v>
      </c>
      <c r="CW436" s="75">
        <f>+CW434+CW393+CW435</f>
        <v>1164</v>
      </c>
      <c r="CX436" s="72">
        <f>IF(ISERROR(CW436/CO436),"NA",IF(OR(CW436/CO436&gt;2,CW436/CO436&lt;0.5),"NM",CW436/CO436*100-100))</f>
        <v>45.137157107231928</v>
      </c>
      <c r="CY436" s="75">
        <f>+CY434+CY393+CY435</f>
        <v>954</v>
      </c>
      <c r="CZ436" s="72">
        <f>IF(ISERROR(CY436/CQ436),"NA",IF(OR(CY436/CQ436&gt;2,CY436/CQ436&lt;0.5),"NM",CY436/CQ436*100-100))</f>
        <v>10.80139372822299</v>
      </c>
      <c r="DA436" s="75">
        <f>+DA434+DA393+DA435</f>
        <v>1097</v>
      </c>
      <c r="DB436" s="72">
        <f>IF(ISERROR(DA436/CS436),"NA",IF(OR(DA436/CS436&gt;2,DA436/CS436&lt;0.5),"NM",DA436/CS436*100-100))</f>
        <v>31.220095693779911</v>
      </c>
      <c r="DC436" s="75">
        <f>+DC434+DC393+DC435</f>
        <v>804</v>
      </c>
      <c r="DD436" s="72">
        <f>IF(ISERROR(DC436/CU436),"NA",IF(OR(DC436/CU436&gt;2,DC436/CU436&lt;0.5),"NM",DC436/CU436*100-100))</f>
        <v>-6.8366164542294285</v>
      </c>
      <c r="DE436" s="75">
        <f>+DE434+DE393+DE435</f>
        <v>753</v>
      </c>
      <c r="DF436" s="72">
        <f>IF(ISERROR(DE436/CW436),"NA",IF(OR(DE436/CW436&gt;2,DE436/CW436&lt;0.5),"NM",DE436/CW436*100-100))</f>
        <v>-35.309278350515456</v>
      </c>
      <c r="DG436" s="75">
        <f>+DG434+DG393+DG435</f>
        <v>644</v>
      </c>
      <c r="DH436" s="72">
        <f>IF(ISERROR(DG436/CY436),"NA",IF(OR(DG436/CY436&gt;2,DG436/CY436&lt;0.5),"NM",DG436/CY436*100-100))</f>
        <v>-32.494758909853246</v>
      </c>
      <c r="DI436" s="75">
        <f>+DI434+DI393+DI435</f>
        <v>683</v>
      </c>
      <c r="DJ436" s="72">
        <f>IF(ISERROR(DI436/DA436),"NA",IF(OR(DI436/DA436&gt;2,DI436/DA436&lt;0.5),"NM",DI436/DA436*100-100))</f>
        <v>-37.739288969917965</v>
      </c>
      <c r="DK436" s="75">
        <f>+DK434+DK393+DK435</f>
        <v>692</v>
      </c>
      <c r="DL436" s="72">
        <f>IF(ISERROR(DK436/DC436),"NA",IF(OR(DK436/DC436&gt;2,DK436/DC436&lt;0.5),"NM",DK436/DC436*100-100))</f>
        <v>-13.930348258706474</v>
      </c>
      <c r="DM436" s="75">
        <f>+DM434+DM393+DM435</f>
        <v>709</v>
      </c>
      <c r="DN436" s="72">
        <f t="shared" si="2309"/>
        <v>-5.8432934926958779</v>
      </c>
      <c r="DO436" s="75">
        <f>+DO434+DO393+DO435</f>
        <v>683</v>
      </c>
      <c r="DP436" s="72">
        <f t="shared" si="2309"/>
        <v>6.0559006211179991</v>
      </c>
      <c r="DQ436" s="75">
        <f>+DQ434+DQ393+DQ435</f>
        <v>661</v>
      </c>
      <c r="DR436" s="72">
        <f t="shared" si="2309"/>
        <v>-3.2210834553440577</v>
      </c>
      <c r="DS436" s="75">
        <f>+DS434+DS393+DS435</f>
        <v>673</v>
      </c>
      <c r="DT436" s="72">
        <f t="shared" si="2309"/>
        <v>-2.7456647398843899</v>
      </c>
      <c r="DU436" s="75">
        <f>+DU434+DU393+DU435</f>
        <v>671</v>
      </c>
      <c r="DV436" s="72">
        <f t="shared" si="2309"/>
        <v>-5.3596614950634773</v>
      </c>
      <c r="DW436" s="75">
        <f>+DW434+DW393+DW435</f>
        <v>671</v>
      </c>
      <c r="DX436" s="72">
        <f t="shared" si="2309"/>
        <v>-1.7569546120058561</v>
      </c>
      <c r="DY436" s="75">
        <f>+DY434+DY393+DY435</f>
        <v>650</v>
      </c>
      <c r="DZ436" s="72">
        <f t="shared" si="2309"/>
        <v>-1.6641452344931906</v>
      </c>
      <c r="EA436" s="75">
        <f>+EA434+EA393+EA435</f>
        <v>744</v>
      </c>
      <c r="EB436" s="72">
        <f>IF(ISERROR(EA436/DS436),"NA",IF(OR(EA436/DS436&gt;2,EA436/DS436&lt;0.5),"NM",EA436/DS436*100-100))</f>
        <v>10.549777117384849</v>
      </c>
      <c r="EC436" s="75">
        <f>+EC434+EC393+EC435</f>
        <v>738</v>
      </c>
      <c r="ED436" s="72">
        <f>IF(ISERROR(EC436/DU436),"NA",IF(OR(EC436/DU436&gt;2,EC436/DU436&lt;0.5),"NM",EC436/DU436*100-100))</f>
        <v>9.9850968703427725</v>
      </c>
      <c r="EE436" s="75">
        <f>+EE434+EE393+EE435</f>
        <v>783</v>
      </c>
      <c r="EF436" s="72">
        <f>IF(ISERROR(EE436/DW436),"NA",IF(OR(EE436/DW436&gt;2,EE436/DW436&lt;0.5),"NM",EE436/DW436*100-100))</f>
        <v>16.691505216095365</v>
      </c>
      <c r="EG436" s="75">
        <f>+EG434+EG393+EG435</f>
        <v>737</v>
      </c>
      <c r="EH436" s="72">
        <f>IF(ISERROR(EG436/DY436),"NA",IF(OR(EG436/DY436&gt;2,EG436/DY436&lt;0.5),"NM",EG436/DY436*100-100))</f>
        <v>13.384615384615401</v>
      </c>
      <c r="EI436" s="75">
        <f>+EI434+EI393+EI435</f>
        <v>822</v>
      </c>
      <c r="EJ436" s="72">
        <f>IF(ISERROR(EI436/EA436),"NA",IF(OR(EI436/EA436&gt;2,EI436/EA436&lt;0.5),"NM",EI436/EA436*100-100))</f>
        <v>10.483870967741922</v>
      </c>
      <c r="EK436" s="75">
        <f>+EK434+EK393+EK435</f>
        <v>840</v>
      </c>
      <c r="EL436" s="72">
        <f>IF(ISERROR(EK436/EC436),"NA",IF(OR(EK436/EC436&gt;2,EK436/EC436&lt;0.5),"NM",EK436/EC436*100-100))</f>
        <v>13.821138211382106</v>
      </c>
      <c r="EM436" s="75">
        <f>+EM434+EM393+EM435</f>
        <v>677</v>
      </c>
      <c r="EN436" s="72">
        <f>IF(ISERROR(EM436/EE436),"NA",IF(OR(EM436/EE436&gt;2,EM436/EE436&lt;0.5),"NM",EM436/EE436*100-100))</f>
        <v>-13.537675606641116</v>
      </c>
      <c r="EO436" s="75">
        <f>+EO434+EO393+EO435</f>
        <v>650</v>
      </c>
      <c r="EP436" s="72">
        <f>IF(ISERROR(EO436/EG436),"NA",IF(OR(EO436/EG436&gt;2,EO436/EG436&lt;0.5),"NM",EO436/EG436*100-100))</f>
        <v>-11.80461329715061</v>
      </c>
      <c r="EQ436" s="75">
        <f t="shared" ref="EQ436" si="2323">+EQ434+EQ393+EQ435</f>
        <v>869.31999999999994</v>
      </c>
      <c r="ER436" s="72">
        <f t="shared" si="2311"/>
        <v>5.7566909975669063</v>
      </c>
      <c r="ES436" s="75">
        <f t="shared" ref="ES436" si="2324">+ES434+ES393+ES435</f>
        <v>890.05000000000007</v>
      </c>
      <c r="ET436" s="72">
        <f t="shared" si="2313"/>
        <v>5.9583333333333286</v>
      </c>
      <c r="EU436" s="75">
        <f t="shared" ref="EU436" si="2325">+EU434+EU393+EU435</f>
        <v>718.27</v>
      </c>
      <c r="EV436" s="72">
        <f t="shared" si="2315"/>
        <v>6.0960118168389812</v>
      </c>
      <c r="EW436" s="75">
        <f t="shared" ref="EW436" si="2326">+EW434+EW393+EW435</f>
        <v>689.03000000000009</v>
      </c>
      <c r="EX436" s="72">
        <f t="shared" si="2317"/>
        <v>6.0046153846154056</v>
      </c>
      <c r="EY436" s="72"/>
      <c r="EZ436" s="323"/>
      <c r="FA436" s="72"/>
      <c r="FB436" s="74"/>
      <c r="FC436" s="72"/>
      <c r="FD436" s="74"/>
      <c r="FE436" s="72" t="str">
        <f>IF(ISERROR(FD436/FB436),"NA",IF(OR(FD436/FB436&gt;2,FD436/FB436&lt;0.5),"NM",FD436/FB436*100-100))</f>
        <v>NA</v>
      </c>
      <c r="FF436" s="75"/>
      <c r="FG436" s="72" t="str">
        <f>IF(ISERROR(FF436/FD436),"NA",IF(OR(FF436/FD436&gt;2,FF436/FD436&lt;0.5),"NM",FF436/FD436*100-100))</f>
        <v>NA</v>
      </c>
      <c r="FH436" s="75">
        <f>+FH434+FH393</f>
        <v>692</v>
      </c>
      <c r="FI436" s="72" t="str">
        <f>IF(ISERROR(FH436/FF436),"NA",IF(OR(FH436/FF436&gt;2,FH436/FF436&lt;0.5),"NM",FH436/FF436*100-100))</f>
        <v>NA</v>
      </c>
      <c r="FJ436" s="75">
        <f>+FJ434+FJ393</f>
        <v>743</v>
      </c>
      <c r="FK436" s="72">
        <f>IF(ISERROR(FJ436/FH436),"NA",IF(OR(FJ436/FH436&gt;2,FJ436/FH436&lt;0.5),"NM",FJ436/FH436*100-100))</f>
        <v>7.3699421965317953</v>
      </c>
      <c r="FL436" s="75">
        <f>+FL434+FL393</f>
        <v>904</v>
      </c>
      <c r="FM436" s="72">
        <f>IF(ISERROR(FL436/FJ436),"NA",IF(OR(FL436/FJ436&gt;2,FL436/FJ436&lt;0.5),"NM",FL436/FJ436*100-100))</f>
        <v>21.668909825033637</v>
      </c>
      <c r="FN436" s="75">
        <f>+FN434+FN393</f>
        <v>945</v>
      </c>
      <c r="FO436" s="72">
        <f>IF(ISERROR(FN436/FL436),"NA",IF(OR(FN436/FL436&gt;2,FN436/FL436&lt;0.5),"NM",FN436/FL436*100-100))</f>
        <v>4.5353982300885036</v>
      </c>
      <c r="FP436" s="75">
        <f>+FP434+FP393</f>
        <v>1179</v>
      </c>
      <c r="FQ436" s="72">
        <f>IF(ISERROR(FP436/FN436),"NA",IF(OR(FP436/FN436&gt;2,FP436/FN436&lt;0.5),"NM",FP436/FN436*100-100))</f>
        <v>24.761904761904759</v>
      </c>
      <c r="FR436" s="75">
        <f>+FR434+FR393+FR435</f>
        <v>1143</v>
      </c>
      <c r="FS436" s="72">
        <f>IF(ISERROR(FR436/FP436),"NA",IF(OR(FR436/FP436&gt;2,FR436/FP436&lt;0.5),"NM",FR436/FP436*100-100))</f>
        <v>-3.0534351145038272</v>
      </c>
      <c r="FT436" s="75">
        <f>+FT434+FT393+FT435</f>
        <v>1130</v>
      </c>
      <c r="FU436" s="72">
        <f>IF(ISERROR(FT436/FR436),"NA",IF(OR(FT436/FR436&gt;2,FT436/FR436&lt;0.5),"NM",FT436/FR436*100-100))</f>
        <v>-1.1373578302712133</v>
      </c>
      <c r="FV436" s="75">
        <f>+FV434+FV393+FV435</f>
        <v>1229</v>
      </c>
      <c r="FW436" s="72">
        <f>IF(ISERROR(FV436/FT436),"NA",IF(OR(FV436/FT436&gt;2,FV436/FT436&lt;0.5),"NM",FV436/FT436*100-100))</f>
        <v>8.7610619469026432</v>
      </c>
      <c r="FX436" s="75">
        <f>+FX434+FX393+FX435</f>
        <v>1401</v>
      </c>
      <c r="FY436" s="72">
        <f>IF(ISERROR(FX436/FV436),"NA",IF(OR(FX436/FV436&gt;2,FX436/FV436&lt;0.5),"NM",FX436/FV436*100-100))</f>
        <v>13.995117982099273</v>
      </c>
      <c r="FZ436" s="75">
        <f>+FZ434+FZ393+FZ435</f>
        <v>1838</v>
      </c>
      <c r="GA436" s="72">
        <f>IF(ISERROR(FZ436/FX436),"NA",IF(OR(FZ436/FX436&gt;2,FZ436/FX436&lt;0.5),"NM",FZ436/FX436*100-100))</f>
        <v>31.192005710206985</v>
      </c>
      <c r="GB436" s="75">
        <f>+GB434+GB393+GB435</f>
        <v>3179</v>
      </c>
      <c r="GC436" s="72">
        <f>IF(ISERROR(GB436/FZ436),"NA",IF(OR(GB436/FZ436&gt;2,GB436/FZ436&lt;0.5),"NM",GB436/FZ436*100-100))</f>
        <v>72.95973884657235</v>
      </c>
      <c r="GD436" s="75">
        <f>+GD434+GD393+GD435</f>
        <v>4078</v>
      </c>
      <c r="GE436" s="72">
        <f>IF(ISERROR(GD436/GB436),"NA",IF(OR(GD436/GB436&gt;2,GD436/GB436&lt;0.5),"NM",GD436/GB436*100-100))</f>
        <v>28.279333123623786</v>
      </c>
      <c r="GF436" s="75">
        <f>+GF434+GF393+GF435</f>
        <v>2884</v>
      </c>
      <c r="GG436" s="72">
        <f>IF(ISERROR(GF436/GD436),"NA",IF(OR(GF436/GD436&gt;2,GF436/GD436&lt;0.5),"NM",GF436/GD436*100-100))</f>
        <v>-29.27905836194212</v>
      </c>
      <c r="GH436" s="75">
        <f>+GH434+GH393+GH435</f>
        <v>2745</v>
      </c>
      <c r="GI436" s="72">
        <f t="shared" si="2318"/>
        <v>-4.8196948682385568</v>
      </c>
      <c r="GJ436" s="75">
        <f>+GJ434+GJ393+GJ435</f>
        <v>2665</v>
      </c>
      <c r="GK436" s="72">
        <f t="shared" si="2318"/>
        <v>-2.9143897996356998</v>
      </c>
      <c r="GL436" s="75">
        <f>+GL434+GL393+GL435</f>
        <v>3002</v>
      </c>
      <c r="GM436" s="72">
        <f t="shared" si="2318"/>
        <v>12.645403377110682</v>
      </c>
      <c r="GN436" s="75">
        <f>+GN434+GN393+GN435</f>
        <v>2989</v>
      </c>
      <c r="GO436" s="72">
        <f t="shared" si="2318"/>
        <v>-0.43304463690873263</v>
      </c>
      <c r="GP436" s="75">
        <f>+GP434+GP393+GP435</f>
        <v>3166.67</v>
      </c>
      <c r="GQ436" s="72">
        <f t="shared" si="2318"/>
        <v>5.9441284710605657</v>
      </c>
      <c r="GR436" s="75">
        <f>+GR434+GR393+GR435</f>
        <v>3355.2839000000004</v>
      </c>
      <c r="GS436" s="72">
        <f t="shared" si="2318"/>
        <v>5.9562221513451021</v>
      </c>
      <c r="GT436" s="75">
        <f>+GT434+GT393+GT435</f>
        <v>3555.5418950000007</v>
      </c>
      <c r="GU436" s="72">
        <f t="shared" si="2318"/>
        <v>5.9684366798290966</v>
      </c>
      <c r="GV436" s="75">
        <f>+GV434+GV393+GV435</f>
        <v>3768.1907198300009</v>
      </c>
      <c r="GW436" s="72">
        <f>IF(ISERROR(GV436/GT436),"NA",IF(OR(GV436/GT436&gt;2,GV436/GT436&lt;0.5),"NM",GV436/GT436*100-100))</f>
        <v>5.9807711766535192</v>
      </c>
      <c r="GX436" s="75">
        <f>+GX434+GX393+GX435</f>
        <v>3994.0268559527012</v>
      </c>
      <c r="GY436" s="72">
        <f>IF(ISERROR(GX436/GV436),"NA",IF(OR(GX436/GV436&gt;2,GX436/GV436&lt;0.5),"NM",GX436/GV436*100-100))</f>
        <v>5.9932246776747178</v>
      </c>
      <c r="GZ436" s="72">
        <f>IF(ISERROR(((GX436/GN436)^0.2-1)*100),"NA",IF((((GX436/GN436)^0.2-1)*100)&gt;100,"NM",IF((((GX436/GN436)^0.2-1)*100)&lt;-50,"NM",((GX436/GN436)^0.2-1)*100)))</f>
        <v>5.96855520957571</v>
      </c>
      <c r="HA436" s="72"/>
      <c r="HB436" s="72"/>
      <c r="HC436"/>
      <c r="HD436"/>
      <c r="HE436"/>
      <c r="HF436"/>
      <c r="HG436"/>
      <c r="HH436"/>
      <c r="HI436" s="2"/>
    </row>
    <row r="437" spans="1:217" s="3" customFormat="1" ht="12.75" customHeight="1" x14ac:dyDescent="0.2">
      <c r="B437" s="77"/>
      <c r="C437" s="75"/>
      <c r="D437" s="72"/>
      <c r="E437" s="75"/>
      <c r="F437" s="72"/>
      <c r="G437" s="75"/>
      <c r="H437" s="72"/>
      <c r="I437" s="75"/>
      <c r="J437" s="72"/>
      <c r="K437" s="75"/>
      <c r="L437" s="72"/>
      <c r="M437" s="75"/>
      <c r="N437" s="72"/>
      <c r="O437" s="75"/>
      <c r="P437" s="72"/>
      <c r="Q437" s="75"/>
      <c r="R437" s="72"/>
      <c r="S437" s="75"/>
      <c r="T437" s="72"/>
      <c r="U437" s="75"/>
      <c r="V437" s="72"/>
      <c r="W437" s="75"/>
      <c r="X437" s="72"/>
      <c r="Y437" s="75"/>
      <c r="Z437" s="72"/>
      <c r="AA437" s="75"/>
      <c r="AB437" s="72"/>
      <c r="AC437" s="75"/>
      <c r="AD437" s="72"/>
      <c r="AE437" s="75"/>
      <c r="AF437" s="72"/>
      <c r="AG437" s="75"/>
      <c r="AH437" s="72"/>
      <c r="AI437" s="75"/>
      <c r="AJ437" s="72"/>
      <c r="AK437" s="75"/>
      <c r="AL437" s="72"/>
      <c r="AM437" s="75"/>
      <c r="AN437" s="72"/>
      <c r="AO437" s="75"/>
      <c r="AP437" s="72"/>
      <c r="AQ437" s="75"/>
      <c r="AR437" s="72"/>
      <c r="AS437" s="75"/>
      <c r="AT437" s="72"/>
      <c r="AU437" s="75"/>
      <c r="AV437" s="72"/>
      <c r="AW437" s="75"/>
      <c r="AX437" s="72"/>
      <c r="AY437" s="75"/>
      <c r="AZ437" s="72"/>
      <c r="BA437" s="75"/>
      <c r="BB437" s="72"/>
      <c r="BC437" s="75"/>
      <c r="BD437" s="72"/>
      <c r="BE437" s="75"/>
      <c r="BF437" s="72"/>
      <c r="BG437" s="75"/>
      <c r="BH437" s="72"/>
      <c r="BI437" s="75"/>
      <c r="BJ437" s="72"/>
      <c r="BK437" s="75"/>
      <c r="BL437" s="72"/>
      <c r="BM437" s="75"/>
      <c r="BN437" s="72"/>
      <c r="BO437" s="75"/>
      <c r="BP437" s="72"/>
      <c r="BQ437" s="75"/>
      <c r="BR437" s="72"/>
      <c r="BS437" s="75"/>
      <c r="BT437" s="72"/>
      <c r="BU437" s="75"/>
      <c r="BV437" s="72"/>
      <c r="BW437" s="75"/>
      <c r="BX437" s="72"/>
      <c r="BY437" s="75"/>
      <c r="BZ437" s="72"/>
      <c r="CA437" s="75"/>
      <c r="CB437" s="72"/>
      <c r="CC437" s="75"/>
      <c r="CD437" s="72"/>
      <c r="CE437" s="75"/>
      <c r="CF437" s="72"/>
      <c r="CG437" s="75"/>
      <c r="CH437" s="72"/>
      <c r="CI437" s="75"/>
      <c r="CJ437" s="72"/>
      <c r="CK437" s="75"/>
      <c r="CL437" s="72"/>
      <c r="CM437" s="75"/>
      <c r="CN437" s="75"/>
      <c r="CO437" s="75"/>
      <c r="CP437" s="75"/>
      <c r="CQ437" s="75"/>
      <c r="CR437" s="75"/>
      <c r="CS437" s="75"/>
      <c r="CT437" s="72"/>
      <c r="CU437" s="75"/>
      <c r="CV437" s="72"/>
      <c r="CW437" s="75"/>
      <c r="CX437" s="72"/>
      <c r="CY437" s="73"/>
      <c r="CZ437" s="72"/>
      <c r="DA437" s="73"/>
      <c r="DB437" s="72"/>
      <c r="DC437" s="73"/>
      <c r="DD437" s="72"/>
      <c r="DE437" s="73"/>
      <c r="DF437" s="72"/>
      <c r="DG437" s="73"/>
      <c r="DH437" s="72"/>
      <c r="DI437" s="73"/>
      <c r="DJ437" s="72"/>
      <c r="DK437" s="73"/>
      <c r="DL437" s="72"/>
      <c r="DM437" s="73"/>
      <c r="DN437" s="72"/>
      <c r="DO437" s="73"/>
      <c r="DP437" s="72"/>
      <c r="DQ437" s="73"/>
      <c r="DR437" s="72"/>
      <c r="DS437" s="73"/>
      <c r="DT437" s="72"/>
      <c r="DU437" s="73"/>
      <c r="DV437" s="72"/>
      <c r="DW437" s="75"/>
      <c r="DX437" s="72"/>
      <c r="DY437" s="75"/>
      <c r="DZ437" s="72"/>
      <c r="EA437" s="75"/>
      <c r="EB437" s="72"/>
      <c r="EC437" s="75"/>
      <c r="ED437" s="72"/>
      <c r="EE437" s="75"/>
      <c r="EF437" s="72"/>
      <c r="EG437" s="75"/>
      <c r="EH437" s="72"/>
      <c r="EI437" s="75"/>
      <c r="EJ437" s="72"/>
      <c r="EK437" s="75"/>
      <c r="EL437" s="72"/>
      <c r="EM437" s="75"/>
      <c r="EN437" s="72"/>
      <c r="EO437" s="75"/>
      <c r="EP437" s="72"/>
      <c r="EQ437" s="75"/>
      <c r="ER437" s="72"/>
      <c r="ES437" s="75"/>
      <c r="ET437" s="72"/>
      <c r="EU437" s="75"/>
      <c r="EV437" s="72"/>
      <c r="EW437" s="75"/>
      <c r="EX437" s="72"/>
      <c r="EY437" s="72"/>
      <c r="EZ437" s="323"/>
      <c r="FA437" s="72"/>
      <c r="FB437" s="74"/>
      <c r="FC437" s="72"/>
      <c r="FD437" s="74"/>
      <c r="FE437" s="72"/>
      <c r="FF437" s="75"/>
      <c r="FG437" s="72"/>
      <c r="FH437" s="75"/>
      <c r="FI437" s="72"/>
      <c r="FJ437" s="75"/>
      <c r="FK437" s="72"/>
      <c r="FL437" s="75"/>
      <c r="FM437" s="72"/>
      <c r="FN437" s="75"/>
      <c r="FO437" s="72"/>
      <c r="FP437" s="75"/>
      <c r="FQ437" s="72"/>
      <c r="FR437" s="75"/>
      <c r="FS437" s="72"/>
      <c r="FT437" s="75"/>
      <c r="FU437" s="72"/>
      <c r="FV437" s="75"/>
      <c r="FW437" s="72"/>
      <c r="FX437" s="75"/>
      <c r="FY437" s="72"/>
      <c r="FZ437" s="75"/>
      <c r="GA437" s="72"/>
      <c r="GB437" s="75"/>
      <c r="GC437" s="72"/>
      <c r="GD437" s="75"/>
      <c r="GE437" s="72"/>
      <c r="GF437" s="75"/>
      <c r="GG437" s="72"/>
      <c r="GH437" s="75"/>
      <c r="GI437" s="72"/>
      <c r="GJ437" s="75"/>
      <c r="GK437" s="72"/>
      <c r="GL437" s="75"/>
      <c r="GM437" s="72"/>
      <c r="GN437" s="75"/>
      <c r="GO437" s="72"/>
      <c r="GP437" s="75"/>
      <c r="GQ437" s="72"/>
      <c r="GR437" s="75"/>
      <c r="GS437" s="72"/>
      <c r="GT437" s="75"/>
      <c r="GU437" s="72"/>
      <c r="GV437" s="75"/>
      <c r="GW437" s="72"/>
      <c r="GX437" s="75"/>
      <c r="GY437" s="72"/>
      <c r="GZ437" s="72"/>
      <c r="HA437" s="72"/>
      <c r="HB437" s="72"/>
      <c r="HC437"/>
      <c r="HD437"/>
      <c r="HE437"/>
      <c r="HF437"/>
      <c r="HG437"/>
      <c r="HH437"/>
      <c r="HI437" s="2"/>
    </row>
    <row r="438" spans="1:217" s="253" customFormat="1" ht="12.75" hidden="1" customHeight="1" outlineLevel="1" x14ac:dyDescent="0.2">
      <c r="B438" s="254" t="s">
        <v>323</v>
      </c>
      <c r="C438" s="255"/>
      <c r="D438" s="256"/>
      <c r="E438" s="255"/>
      <c r="F438" s="256"/>
      <c r="G438" s="255"/>
      <c r="H438" s="256"/>
      <c r="I438" s="255"/>
      <c r="J438" s="256"/>
      <c r="K438" s="255"/>
      <c r="L438" s="256"/>
      <c r="M438" s="255"/>
      <c r="N438" s="256"/>
      <c r="O438" s="255"/>
      <c r="P438" s="256"/>
      <c r="Q438" s="255"/>
      <c r="R438" s="256"/>
      <c r="S438" s="255"/>
      <c r="T438" s="256"/>
      <c r="U438" s="255"/>
      <c r="V438" s="256"/>
      <c r="W438" s="255"/>
      <c r="X438" s="256"/>
      <c r="Y438" s="255"/>
      <c r="Z438" s="256"/>
      <c r="AA438" s="255"/>
      <c r="AB438" s="256"/>
      <c r="AC438" s="255"/>
      <c r="AD438" s="256"/>
      <c r="AE438" s="255"/>
      <c r="AF438" s="256"/>
      <c r="AG438" s="255"/>
      <c r="AH438" s="256"/>
      <c r="AI438" s="255"/>
      <c r="AJ438" s="256"/>
      <c r="AK438" s="255"/>
      <c r="AL438" s="256"/>
      <c r="AM438" s="255"/>
      <c r="AN438" s="256"/>
      <c r="AO438" s="255"/>
      <c r="AP438" s="256"/>
      <c r="AQ438" s="255"/>
      <c r="AR438" s="256"/>
      <c r="AS438" s="255"/>
      <c r="AT438" s="256"/>
      <c r="AU438" s="255"/>
      <c r="AV438" s="256"/>
      <c r="AW438" s="255"/>
      <c r="AX438" s="256"/>
      <c r="AY438" s="255"/>
      <c r="AZ438" s="256"/>
      <c r="BA438" s="255"/>
      <c r="BB438" s="256"/>
      <c r="BC438" s="255"/>
      <c r="BD438" s="256"/>
      <c r="BE438" s="255"/>
      <c r="BF438" s="256"/>
      <c r="BG438" s="255"/>
      <c r="BH438" s="256"/>
      <c r="BI438" s="255"/>
      <c r="BJ438" s="256"/>
      <c r="BK438" s="255"/>
      <c r="BL438" s="256"/>
      <c r="BM438" s="255"/>
      <c r="BN438" s="256"/>
      <c r="BO438" s="255"/>
      <c r="BP438" s="256"/>
      <c r="BQ438" s="255"/>
      <c r="BR438" s="255"/>
      <c r="BS438" s="255"/>
      <c r="BT438" s="256"/>
      <c r="BU438" s="255"/>
      <c r="BV438" s="256"/>
      <c r="BW438" s="255"/>
      <c r="BX438" s="256"/>
      <c r="BY438" s="255"/>
      <c r="BZ438" s="256"/>
      <c r="CA438" s="255"/>
      <c r="CB438" s="256"/>
      <c r="CC438" s="255"/>
      <c r="CD438" s="256"/>
      <c r="CE438" s="255"/>
      <c r="CF438" s="256"/>
      <c r="CG438" s="255"/>
      <c r="CH438" s="256"/>
      <c r="CI438" s="255"/>
      <c r="CJ438" s="256"/>
      <c r="CK438" s="255"/>
      <c r="CL438" s="256"/>
      <c r="CM438" s="255"/>
      <c r="CN438" s="256"/>
      <c r="CO438" s="255"/>
      <c r="CP438" s="256"/>
      <c r="CQ438" s="255"/>
      <c r="CR438" s="256"/>
      <c r="CS438" s="255"/>
      <c r="CT438" s="256"/>
      <c r="CU438" s="255"/>
      <c r="CV438" s="256"/>
      <c r="CW438" s="255"/>
      <c r="CX438" s="256"/>
      <c r="CY438" s="255"/>
      <c r="CZ438" s="256"/>
      <c r="DA438" s="255"/>
      <c r="DB438" s="256"/>
      <c r="DC438" s="255"/>
      <c r="DD438" s="256"/>
      <c r="DE438" s="255"/>
      <c r="DF438" s="256"/>
      <c r="DG438" s="255"/>
      <c r="DH438" s="256"/>
      <c r="DI438" s="255"/>
      <c r="DJ438" s="256"/>
      <c r="DK438" s="255"/>
      <c r="DL438" s="256"/>
      <c r="DM438" s="255"/>
      <c r="DN438" s="256"/>
      <c r="DO438" s="255"/>
      <c r="DP438" s="256"/>
      <c r="DQ438" s="255"/>
      <c r="DR438" s="256"/>
      <c r="DS438" s="255"/>
      <c r="DT438" s="256"/>
      <c r="DU438" s="255"/>
      <c r="DV438" s="256"/>
      <c r="DW438" s="257"/>
      <c r="DX438" s="256"/>
      <c r="DY438" s="257"/>
      <c r="DZ438" s="256"/>
      <c r="EA438" s="257"/>
      <c r="EB438" s="256"/>
      <c r="EC438" s="257"/>
      <c r="ED438" s="256"/>
      <c r="EE438" s="257"/>
      <c r="EF438" s="256"/>
      <c r="EG438" s="257"/>
      <c r="EH438" s="256"/>
      <c r="EI438" s="257"/>
      <c r="EJ438" s="256"/>
      <c r="EK438" s="257"/>
      <c r="EL438" s="256"/>
      <c r="EM438" s="257"/>
      <c r="EN438" s="256"/>
      <c r="EO438" s="257"/>
      <c r="EP438" s="256"/>
      <c r="EQ438" s="257"/>
      <c r="ER438" s="256"/>
      <c r="ES438" s="257"/>
      <c r="ET438" s="256"/>
      <c r="EU438" s="257"/>
      <c r="EV438" s="256"/>
      <c r="EW438" s="257"/>
      <c r="EX438" s="256"/>
      <c r="EY438" s="256"/>
      <c r="EZ438" s="316"/>
      <c r="FA438" s="256"/>
      <c r="FB438" s="255"/>
      <c r="FC438" s="256"/>
      <c r="FD438" s="255"/>
      <c r="FE438" s="256"/>
      <c r="FF438" s="255"/>
      <c r="FG438" s="256"/>
      <c r="FH438" s="255"/>
      <c r="FI438" s="256"/>
      <c r="FJ438" s="255"/>
      <c r="FK438" s="256"/>
      <c r="FL438" s="255"/>
      <c r="FM438" s="256"/>
      <c r="FN438" s="255"/>
      <c r="FO438" s="256"/>
      <c r="FP438" s="255"/>
      <c r="FQ438" s="256"/>
      <c r="FR438" s="257"/>
      <c r="FS438" s="256"/>
      <c r="FT438" s="257"/>
      <c r="FU438" s="256"/>
      <c r="FV438" s="257"/>
      <c r="FW438" s="256"/>
      <c r="FX438" s="257"/>
      <c r="FY438" s="256"/>
      <c r="FZ438" s="257"/>
      <c r="GA438" s="256"/>
      <c r="GB438" s="257"/>
      <c r="GC438" s="256"/>
      <c r="GD438" s="257"/>
      <c r="GE438" s="256"/>
      <c r="GF438" s="257"/>
      <c r="GG438" s="788"/>
      <c r="GH438" s="257"/>
      <c r="GI438" s="788"/>
      <c r="GJ438" s="257"/>
      <c r="GK438" s="788"/>
      <c r="GL438" s="257"/>
      <c r="GM438" s="788"/>
      <c r="GN438" s="257"/>
      <c r="GO438" s="788"/>
      <c r="GP438" s="257"/>
      <c r="GQ438" s="788"/>
      <c r="GR438" s="257"/>
      <c r="GS438" s="788"/>
      <c r="GT438" s="257"/>
      <c r="GU438" s="788"/>
      <c r="GV438" s="257"/>
      <c r="GW438" s="788"/>
      <c r="GX438" s="257"/>
      <c r="GY438" s="788"/>
      <c r="GZ438" s="256"/>
      <c r="HA438" s="256"/>
      <c r="HB438" s="256"/>
      <c r="HC438"/>
      <c r="HD438"/>
      <c r="HE438"/>
      <c r="HF438"/>
      <c r="HG438"/>
      <c r="HH438"/>
    </row>
    <row r="439" spans="1:217" s="3" customFormat="1" ht="12.75" hidden="1" customHeight="1" outlineLevel="1" x14ac:dyDescent="0.2">
      <c r="B439" s="10"/>
      <c r="C439" s="145"/>
      <c r="D439" s="72"/>
      <c r="E439" s="145"/>
      <c r="F439" s="72"/>
      <c r="G439" s="145"/>
      <c r="H439" s="72"/>
      <c r="I439" s="145"/>
      <c r="J439" s="72"/>
      <c r="K439" s="145"/>
      <c r="L439" s="72"/>
      <c r="M439" s="145"/>
      <c r="N439" s="72"/>
      <c r="O439" s="145"/>
      <c r="P439" s="72"/>
      <c r="Q439" s="145"/>
      <c r="R439" s="72"/>
      <c r="S439" s="145"/>
      <c r="T439" s="72"/>
      <c r="U439" s="145"/>
      <c r="V439" s="72"/>
      <c r="W439" s="145"/>
      <c r="X439" s="72"/>
      <c r="Y439" s="145"/>
      <c r="Z439" s="72"/>
      <c r="AA439" s="145"/>
      <c r="AB439" s="72"/>
      <c r="AC439" s="145"/>
      <c r="AD439" s="72"/>
      <c r="AE439" s="145"/>
      <c r="AF439" s="72"/>
      <c r="AG439" s="145"/>
      <c r="AH439" s="72"/>
      <c r="AI439" s="145"/>
      <c r="AJ439" s="72"/>
      <c r="AK439" s="145"/>
      <c r="AL439" s="72"/>
      <c r="AM439" s="145"/>
      <c r="AN439" s="72"/>
      <c r="AO439" s="145"/>
      <c r="AP439" s="72"/>
      <c r="AQ439" s="145"/>
      <c r="AR439" s="72"/>
      <c r="AS439" s="145"/>
      <c r="AT439" s="72"/>
      <c r="AU439" s="145"/>
      <c r="AV439" s="72"/>
      <c r="AW439" s="145"/>
      <c r="AX439" s="72"/>
      <c r="AY439" s="145"/>
      <c r="AZ439" s="72"/>
      <c r="BA439" s="145"/>
      <c r="BB439" s="72"/>
      <c r="BC439" s="145"/>
      <c r="BD439" s="72"/>
      <c r="BE439" s="145"/>
      <c r="BF439" s="72"/>
      <c r="BG439" s="145"/>
      <c r="BH439" s="72"/>
      <c r="BI439" s="145"/>
      <c r="BJ439" s="72"/>
      <c r="BK439" s="145"/>
      <c r="BL439" s="72"/>
      <c r="BM439" s="145"/>
      <c r="BN439" s="72"/>
      <c r="BO439" s="145"/>
      <c r="BP439" s="72"/>
      <c r="BQ439" s="145"/>
      <c r="BR439" s="72"/>
      <c r="BS439" s="145"/>
      <c r="BT439" s="72"/>
      <c r="BU439" s="145"/>
      <c r="BV439" s="72"/>
      <c r="BW439" s="145"/>
      <c r="BX439" s="72"/>
      <c r="BY439" s="145"/>
      <c r="BZ439" s="72"/>
      <c r="CA439" s="145"/>
      <c r="CB439" s="72"/>
      <c r="CC439" s="145"/>
      <c r="CD439" s="72"/>
      <c r="CE439" s="145"/>
      <c r="CF439" s="72"/>
      <c r="CG439" s="145"/>
      <c r="CH439" s="72"/>
      <c r="CI439" s="145"/>
      <c r="CJ439" s="72"/>
      <c r="CK439" s="145"/>
      <c r="CL439" s="72"/>
      <c r="CM439" s="145"/>
      <c r="CN439" s="72"/>
      <c r="CO439" s="145"/>
      <c r="CP439" s="72"/>
      <c r="CQ439" s="145"/>
      <c r="CR439" s="72"/>
      <c r="CS439" s="145"/>
      <c r="CT439" s="72"/>
      <c r="CU439" s="145"/>
      <c r="CV439" s="72"/>
      <c r="CW439" s="145"/>
      <c r="CX439" s="72"/>
      <c r="CY439" s="145"/>
      <c r="CZ439" s="72"/>
      <c r="DA439" s="145"/>
      <c r="DB439" s="72"/>
      <c r="DC439" s="145"/>
      <c r="DD439" s="72"/>
      <c r="DE439" s="145"/>
      <c r="DF439" s="72"/>
      <c r="DG439" s="145"/>
      <c r="DH439" s="72"/>
      <c r="DI439" s="145"/>
      <c r="DJ439" s="72"/>
      <c r="DK439" s="145"/>
      <c r="DL439" s="72"/>
      <c r="DM439" s="145"/>
      <c r="DN439" s="72"/>
      <c r="DO439" s="145"/>
      <c r="DP439" s="72"/>
      <c r="DQ439" s="145"/>
      <c r="DR439" s="72"/>
      <c r="DS439" s="145"/>
      <c r="DT439" s="72"/>
      <c r="DU439" s="145"/>
      <c r="DV439" s="72"/>
      <c r="DW439" s="144"/>
      <c r="DX439" s="72"/>
      <c r="DY439" s="144"/>
      <c r="DZ439" s="72"/>
      <c r="EA439" s="144"/>
      <c r="EB439" s="72"/>
      <c r="EC439" s="144"/>
      <c r="ED439" s="72"/>
      <c r="EE439" s="144"/>
      <c r="EF439" s="72"/>
      <c r="EG439" s="144"/>
      <c r="EH439" s="72"/>
      <c r="EI439" s="144"/>
      <c r="EJ439" s="72"/>
      <c r="EK439" s="144"/>
      <c r="EL439" s="72"/>
      <c r="EM439" s="144"/>
      <c r="EN439" s="72"/>
      <c r="EO439" s="144"/>
      <c r="EP439" s="72"/>
      <c r="EQ439" s="144"/>
      <c r="ER439" s="72"/>
      <c r="ES439" s="144"/>
      <c r="ET439" s="72"/>
      <c r="EU439" s="144"/>
      <c r="EV439" s="72"/>
      <c r="EW439" s="144"/>
      <c r="EX439" s="72"/>
      <c r="EY439" s="72"/>
      <c r="EZ439" s="325"/>
      <c r="FA439" s="72"/>
      <c r="FB439" s="150"/>
      <c r="FC439" s="72"/>
      <c r="FD439" s="150"/>
      <c r="FE439" s="72"/>
      <c r="FF439" s="144"/>
      <c r="FG439" s="72"/>
      <c r="FH439" s="144"/>
      <c r="FI439" s="72"/>
      <c r="FJ439" s="144"/>
      <c r="FK439" s="72"/>
      <c r="FL439" s="144"/>
      <c r="FM439" s="72"/>
      <c r="FN439" s="144"/>
      <c r="FO439" s="72"/>
      <c r="FP439" s="145"/>
      <c r="FQ439" s="72"/>
      <c r="FR439" s="144"/>
      <c r="FS439" s="72"/>
      <c r="FT439" s="144"/>
      <c r="FU439" s="72"/>
      <c r="FV439" s="144"/>
      <c r="FW439" s="72"/>
      <c r="FX439" s="144"/>
      <c r="FY439" s="72"/>
      <c r="FZ439" s="144"/>
      <c r="GA439" s="72"/>
      <c r="GB439" s="144"/>
      <c r="GC439" s="72"/>
      <c r="GD439" s="144"/>
      <c r="GE439" s="72"/>
      <c r="GF439" s="144"/>
      <c r="GG439" s="72"/>
      <c r="GH439" s="144"/>
      <c r="GI439" s="72"/>
      <c r="GJ439" s="144"/>
      <c r="GK439" s="72"/>
      <c r="GL439" s="144"/>
      <c r="GM439" s="72"/>
      <c r="GN439" s="144"/>
      <c r="GO439" s="72"/>
      <c r="GP439" s="144"/>
      <c r="GQ439" s="72"/>
      <c r="GR439" s="144"/>
      <c r="GS439" s="72"/>
      <c r="GT439" s="144"/>
      <c r="GU439" s="72"/>
      <c r="GV439" s="144"/>
      <c r="GW439" s="72"/>
      <c r="GX439" s="144"/>
      <c r="GY439" s="72"/>
      <c r="GZ439" s="72"/>
      <c r="HA439" s="72"/>
      <c r="HB439" s="72"/>
      <c r="HC439"/>
      <c r="HD439"/>
      <c r="HE439"/>
      <c r="HF439"/>
      <c r="HG439"/>
      <c r="HH439"/>
      <c r="HI439" s="2"/>
    </row>
    <row r="440" spans="1:217" s="69" customFormat="1" ht="12.75" hidden="1" customHeight="1" outlineLevel="1" x14ac:dyDescent="0.2">
      <c r="B440" s="89" t="s">
        <v>489</v>
      </c>
      <c r="C440" s="151"/>
      <c r="D440" s="72"/>
      <c r="E440" s="151"/>
      <c r="F440" s="72"/>
      <c r="G440" s="151"/>
      <c r="H440" s="72"/>
      <c r="I440" s="151"/>
      <c r="J440" s="72"/>
      <c r="K440" s="151"/>
      <c r="L440" s="72"/>
      <c r="M440" s="151"/>
      <c r="N440" s="72"/>
      <c r="O440" s="151"/>
      <c r="P440" s="72"/>
      <c r="Q440" s="151"/>
      <c r="R440" s="72"/>
      <c r="S440" s="151"/>
      <c r="T440" s="72"/>
      <c r="U440" s="151"/>
      <c r="V440" s="72"/>
      <c r="W440" s="151"/>
      <c r="X440" s="72"/>
      <c r="Y440" s="151"/>
      <c r="Z440" s="72"/>
      <c r="AA440" s="151"/>
      <c r="AB440" s="72"/>
      <c r="AC440" s="151"/>
      <c r="AD440" s="72"/>
      <c r="AE440" s="151"/>
      <c r="AF440" s="72"/>
      <c r="AG440" s="151"/>
      <c r="AH440" s="72"/>
      <c r="AI440" s="151"/>
      <c r="AJ440" s="72"/>
      <c r="AK440" s="151"/>
      <c r="AL440" s="72"/>
      <c r="AM440" s="151"/>
      <c r="AN440" s="72"/>
      <c r="AO440" s="151"/>
      <c r="AP440" s="72"/>
      <c r="AQ440" s="151"/>
      <c r="AR440" s="72"/>
      <c r="AS440" s="151"/>
      <c r="AT440" s="72"/>
      <c r="AU440" s="151"/>
      <c r="AV440" s="72"/>
      <c r="AW440" s="151"/>
      <c r="AX440" s="72"/>
      <c r="AY440" s="151"/>
      <c r="AZ440" s="72"/>
      <c r="BA440" s="151"/>
      <c r="BB440" s="72"/>
      <c r="BC440" s="151"/>
      <c r="BD440" s="72"/>
      <c r="BE440" s="151"/>
      <c r="BF440" s="72"/>
      <c r="BG440" s="151"/>
      <c r="BH440" s="72"/>
      <c r="BI440" s="151"/>
      <c r="BJ440" s="72"/>
      <c r="BK440" s="151"/>
      <c r="BL440" s="72"/>
      <c r="BM440" s="151"/>
      <c r="BN440" s="72"/>
      <c r="BO440" s="151"/>
      <c r="BP440" s="72"/>
      <c r="BQ440" s="151"/>
      <c r="BR440" s="72"/>
      <c r="BS440" s="151"/>
      <c r="BT440" s="72"/>
      <c r="BU440" s="151"/>
      <c r="BV440" s="72"/>
      <c r="BW440" s="151"/>
      <c r="BX440" s="72"/>
      <c r="BY440" s="151"/>
      <c r="BZ440" s="72"/>
      <c r="CA440" s="151"/>
      <c r="CB440" s="72"/>
      <c r="CC440" s="151"/>
      <c r="CD440" s="72"/>
      <c r="CE440" s="151"/>
      <c r="CF440" s="72"/>
      <c r="CG440" s="151"/>
      <c r="CH440" s="72"/>
      <c r="CI440" s="151"/>
      <c r="CJ440" s="72"/>
      <c r="CK440" s="151"/>
      <c r="CL440" s="72"/>
      <c r="CM440" s="151"/>
      <c r="CN440" s="72"/>
      <c r="CO440" s="151"/>
      <c r="CP440" s="72"/>
      <c r="CQ440" s="151"/>
      <c r="CR440" s="72"/>
      <c r="CS440" s="151"/>
      <c r="CT440" s="72"/>
      <c r="CU440" s="151"/>
      <c r="CV440" s="72"/>
      <c r="CW440" s="151"/>
      <c r="CX440" s="72"/>
      <c r="CY440" s="151"/>
      <c r="CZ440" s="72"/>
      <c r="DA440" s="151"/>
      <c r="DB440" s="72"/>
      <c r="DC440" s="151"/>
      <c r="DD440" s="72"/>
      <c r="DE440" s="151"/>
      <c r="DF440" s="72"/>
      <c r="DG440" s="151"/>
      <c r="DH440" s="72"/>
      <c r="DI440" s="151"/>
      <c r="DJ440" s="72"/>
      <c r="DK440" s="151"/>
      <c r="DL440" s="72"/>
      <c r="DM440" s="151"/>
      <c r="DN440" s="72"/>
      <c r="DO440" s="151"/>
      <c r="DP440" s="72"/>
      <c r="DQ440" s="151"/>
      <c r="DR440" s="72"/>
      <c r="DS440" s="151"/>
      <c r="DT440" s="72"/>
      <c r="DU440" s="151"/>
      <c r="DV440" s="72"/>
      <c r="DW440" s="152"/>
      <c r="DX440" s="72"/>
      <c r="DY440" s="152"/>
      <c r="DZ440" s="72"/>
      <c r="EA440" s="152"/>
      <c r="EB440" s="72"/>
      <c r="EC440" s="152"/>
      <c r="ED440" s="72"/>
      <c r="EE440" s="152"/>
      <c r="EF440" s="72"/>
      <c r="EG440" s="152"/>
      <c r="EH440" s="72"/>
      <c r="EI440" s="152"/>
      <c r="EJ440" s="72"/>
      <c r="EK440" s="152"/>
      <c r="EL440" s="72"/>
      <c r="EM440" s="152"/>
      <c r="EN440" s="72"/>
      <c r="EO440" s="152"/>
      <c r="EP440" s="72"/>
      <c r="EQ440" s="152"/>
      <c r="ER440" s="72"/>
      <c r="ES440" s="152"/>
      <c r="ET440" s="72"/>
      <c r="EU440" s="152"/>
      <c r="EV440" s="72"/>
      <c r="EW440" s="152"/>
      <c r="EX440" s="72"/>
      <c r="EY440" s="72"/>
      <c r="EZ440" s="325"/>
      <c r="FA440" s="72"/>
      <c r="FB440" s="150"/>
      <c r="FC440" s="72"/>
      <c r="FD440" s="150"/>
      <c r="FE440" s="72"/>
      <c r="FF440" s="144"/>
      <c r="FG440" s="72"/>
      <c r="FH440" s="144"/>
      <c r="FI440" s="72"/>
      <c r="FJ440" s="144"/>
      <c r="FK440" s="72"/>
      <c r="FL440" s="144"/>
      <c r="FM440" s="72"/>
      <c r="FN440" s="144"/>
      <c r="FO440" s="72"/>
      <c r="FP440" s="150"/>
      <c r="FQ440" s="72"/>
      <c r="FR440" s="152"/>
      <c r="FS440" s="72"/>
      <c r="FT440" s="152"/>
      <c r="FU440" s="72"/>
      <c r="FV440" s="152"/>
      <c r="FW440" s="72"/>
      <c r="FX440" s="152"/>
      <c r="FY440" s="72"/>
      <c r="FZ440" s="152"/>
      <c r="GA440" s="72"/>
      <c r="GB440" s="152"/>
      <c r="GC440" s="72"/>
      <c r="GD440" s="152"/>
      <c r="GE440" s="72"/>
      <c r="GF440" s="152"/>
      <c r="GG440" s="72"/>
      <c r="GH440" s="152"/>
      <c r="GI440" s="72"/>
      <c r="GJ440" s="152"/>
      <c r="GK440" s="72"/>
      <c r="GL440" s="152"/>
      <c r="GM440" s="72"/>
      <c r="GN440" s="152"/>
      <c r="GO440" s="72"/>
      <c r="GP440" s="152"/>
      <c r="GQ440" s="72"/>
      <c r="GR440" s="152"/>
      <c r="GS440" s="72"/>
      <c r="GT440" s="152"/>
      <c r="GU440" s="72"/>
      <c r="GV440" s="152"/>
      <c r="GW440" s="72"/>
      <c r="GX440" s="152"/>
      <c r="GY440" s="72"/>
      <c r="GZ440" s="72"/>
      <c r="HA440" s="72"/>
      <c r="HB440" s="72"/>
      <c r="HC440"/>
      <c r="HD440"/>
      <c r="HE440"/>
      <c r="HF440"/>
      <c r="HG440"/>
      <c r="HH440"/>
      <c r="HI440" s="2"/>
    </row>
    <row r="441" spans="1:217" s="3" customFormat="1" ht="12.75" hidden="1" customHeight="1" outlineLevel="1" x14ac:dyDescent="0.2">
      <c r="B441" s="10" t="s">
        <v>667</v>
      </c>
      <c r="C441" s="151">
        <f>FF441-I441-G441-E441</f>
        <v>16</v>
      </c>
      <c r="D441" s="72"/>
      <c r="E441" s="151">
        <v>16</v>
      </c>
      <c r="F441" s="72"/>
      <c r="G441" s="151">
        <v>14</v>
      </c>
      <c r="H441" s="72"/>
      <c r="I441" s="151">
        <v>20</v>
      </c>
      <c r="J441" s="72"/>
      <c r="K441" s="151">
        <v>8</v>
      </c>
      <c r="L441" s="72">
        <f>IF(ISERROR(K441/C441),"NA",IF(OR(K441/C441&gt;2,K441/C441&lt;0.5),"NM",K441/C441*100-100))</f>
        <v>-50</v>
      </c>
      <c r="M441" s="151">
        <v>8</v>
      </c>
      <c r="N441" s="72">
        <f>IF(ISERROR(M441/E441),"NA",IF(OR(M441/E441&gt;2,M441/E441&lt;0.5),"NM",M441/E441*100-100))</f>
        <v>-50</v>
      </c>
      <c r="O441" s="151">
        <v>9</v>
      </c>
      <c r="P441" s="72">
        <f>IF(ISERROR(O441/G441),"NA",IF(OR(O441/G441&gt;2,O441/G441&lt;0.5),"NM",O441/G441*100-100))</f>
        <v>-35.714285714285708</v>
      </c>
      <c r="Q441" s="151">
        <v>8</v>
      </c>
      <c r="R441" s="72" t="str">
        <f>IF(ISERROR(Q441/I441),"NA",IF(OR(Q441/I441&gt;2,Q441/I441&lt;0.5),"NM",Q441/I441*100-100))</f>
        <v>NM</v>
      </c>
      <c r="S441" s="151">
        <v>8</v>
      </c>
      <c r="T441" s="72">
        <f>IF(ISERROR(S441/K441),"NA",IF(OR(S441/K441&gt;2,S441/K441&lt;0.5),"NM",S441/K441*100-100))</f>
        <v>0</v>
      </c>
      <c r="U441" s="151">
        <v>10</v>
      </c>
      <c r="V441" s="72">
        <f>IF(ISERROR(U441/M441),"NA",IF(OR(U441/M441&gt;2,U441/M441&lt;0.5),"NM",U441/M441*100-100))</f>
        <v>25</v>
      </c>
      <c r="W441" s="151">
        <v>9</v>
      </c>
      <c r="X441" s="72">
        <f>IF(ISERROR(W441/O441),"NA",IF(OR(W441/O441&gt;2,W441/O441&lt;0.5),"NM",W441/O441*100-100))</f>
        <v>0</v>
      </c>
      <c r="Y441" s="151">
        <v>10</v>
      </c>
      <c r="Z441" s="72">
        <f>IF(ISERROR(Y441/Q441),"NA",IF(OR(Y441/Q441&gt;2,Y441/Q441&lt;0.5),"NM",Y441/Q441*100-100))</f>
        <v>25</v>
      </c>
      <c r="AA441" s="151">
        <v>10</v>
      </c>
      <c r="AB441" s="72">
        <f>IF(ISERROR(AA441/S441),"NA",IF(OR(AA441/S441&gt;2,AA441/S441&lt;0.5),"NM",AA441/S441*100-100))</f>
        <v>25</v>
      </c>
      <c r="AC441" s="151">
        <v>10</v>
      </c>
      <c r="AD441" s="72">
        <f>IF(ISERROR(AC441/U441),"NA",IF(OR(AC441/U441&gt;2,AC441/U441&lt;0.5),"NM",AC441/U441*100-100))</f>
        <v>0</v>
      </c>
      <c r="AE441" s="151">
        <v>6</v>
      </c>
      <c r="AF441" s="72">
        <f>IF(ISERROR(AE441/W441),"NA",IF(OR(AE441/W441&gt;2,AE441/W441&lt;0.5),"NM",AE441/W441*100-100))</f>
        <v>-33.333333333333343</v>
      </c>
      <c r="AG441" s="151">
        <v>-23</v>
      </c>
      <c r="AH441" s="72" t="str">
        <f>IF(ISERROR(AG441/Y441),"NA",IF(OR(AG441/Y441&gt;2,AG441/Y441&lt;0.5),"NM",AG441/Y441*100-100))</f>
        <v>NM</v>
      </c>
      <c r="AI441" s="151">
        <v>3</v>
      </c>
      <c r="AJ441" s="72" t="str">
        <f>IF(ISERROR(AI441/AA441),"NA",IF(OR(AI441/AA441&gt;2,AI441/AA441&lt;0.5),"NM",AI441/AA441*100-100))</f>
        <v>NM</v>
      </c>
      <c r="AK441" s="151">
        <v>4</v>
      </c>
      <c r="AL441" s="72" t="str">
        <f>IF(ISERROR(AK441/AC441),"NA",IF(OR(AK441/AC441&gt;2,AK441/AC441&lt;0.5),"NM",AK441/AC441*100-100))</f>
        <v>NM</v>
      </c>
      <c r="AM441" s="151">
        <v>4</v>
      </c>
      <c r="AN441" s="72">
        <f>IF(ISERROR(AM441/AE441),"NA",IF(OR(AM441/AE441&gt;2,AM441/AE441&lt;0.5),"NM",AM441/AE441*100-100))</f>
        <v>-33.333333333333343</v>
      </c>
      <c r="AO441" s="151">
        <v>3</v>
      </c>
      <c r="AP441" s="72" t="str">
        <f>IF(ISERROR(AO441/AG441),"NA",IF(OR(AO441/AG441&gt;2,AO441/AG441&lt;0.5),"NM",AO441/AG441*100-100))</f>
        <v>NM</v>
      </c>
      <c r="AQ441" s="151">
        <v>5</v>
      </c>
      <c r="AR441" s="72">
        <f>IF(ISERROR(AQ441/AI441),"NA",IF(OR(AQ441/AI441&gt;2,AQ441/AI441&lt;0.5),"NM",AQ441/AI441*100-100))</f>
        <v>66.666666666666686</v>
      </c>
      <c r="AS441" s="151">
        <v>5</v>
      </c>
      <c r="AT441" s="72">
        <f>IF(ISERROR(AS441/AK441),"NA",IF(OR(AS441/AK441&gt;2,AS441/AK441&lt;0.5),"NM",AS441/AK441*100-100))</f>
        <v>25</v>
      </c>
      <c r="AU441" s="151">
        <v>8</v>
      </c>
      <c r="AV441" s="72">
        <f>IF(ISERROR(AU441/AM441),"NA",IF(OR(AU441/AM441&gt;2,AU441/AM441&lt;0.5),"NM",AU441/AM441*100-100))</f>
        <v>100</v>
      </c>
      <c r="AW441" s="151">
        <v>7</v>
      </c>
      <c r="AX441" s="72" t="str">
        <f>IF(ISERROR(AW441/AO441),"NA",IF(OR(AW441/AO441&gt;2,AW441/AO441&lt;0.5),"NM",AW441/AO441*100-100))</f>
        <v>NM</v>
      </c>
      <c r="AY441" s="151">
        <v>7</v>
      </c>
      <c r="AZ441" s="72">
        <f>IF(ISERROR(AY441/AQ441),"NA",IF(OR(AY441/AQ441&gt;2,AY441/AQ441&lt;0.5),"NM",AY441/AQ441*100-100))</f>
        <v>40</v>
      </c>
      <c r="BA441" s="151">
        <v>6</v>
      </c>
      <c r="BB441" s="72">
        <f>IF(ISERROR(BA441/AS441),"NA",IF(OR(BA441/AS441&gt;2,BA441/AS441&lt;0.5),"NM",BA441/AS441*100-100))</f>
        <v>20</v>
      </c>
      <c r="BC441" s="151">
        <v>7</v>
      </c>
      <c r="BD441" s="72">
        <f>IF(ISERROR(BC441/AU441),"NA",IF(OR(BC441/AU441&gt;2,BC441/AU441&lt;0.5),"NM",BC441/AU441*100-100))</f>
        <v>-12.5</v>
      </c>
      <c r="BE441" s="151">
        <v>11</v>
      </c>
      <c r="BF441" s="72">
        <f>IF(ISERROR(BE441/AW441),"NA",IF(OR(BE441/AW441&gt;2,BE441/AW441&lt;0.5),"NM",BE441/AW441*100-100))</f>
        <v>57.142857142857139</v>
      </c>
      <c r="BG441" s="151">
        <v>8</v>
      </c>
      <c r="BH441" s="72">
        <f>IF(ISERROR(BG441/AY441),"NA",IF(OR(BG441/AY441&gt;2,BG441/AY441&lt;0.5),"NM",BG441/AY441*100-100))</f>
        <v>14.285714285714278</v>
      </c>
      <c r="BI441" s="151">
        <v>9</v>
      </c>
      <c r="BJ441" s="72">
        <f>IF(ISERROR(BI441/BA441),"NA",IF(OR(BI441/BA441&gt;2,BI441/BA441&lt;0.5),"NM",BI441/BA441*100-100))</f>
        <v>50</v>
      </c>
      <c r="BK441" s="151">
        <v>11</v>
      </c>
      <c r="BL441" s="72">
        <f>IF(ISERROR(BK441/BC441),"NA",IF(OR(BK441/BC441&gt;2,BK441/BC441&lt;0.5),"NM",BK441/BC441*100-100))</f>
        <v>57.142857142857139</v>
      </c>
      <c r="BM441" s="151">
        <v>8</v>
      </c>
      <c r="BN441" s="72">
        <f>IF(ISERROR(BM441/BE441),"NA",IF(OR(BM441/BE441&gt;2,BM441/BE441&lt;0.5),"NM",BM441/BE441*100-100))</f>
        <v>-27.272727272727266</v>
      </c>
      <c r="BO441" s="151">
        <v>6</v>
      </c>
      <c r="BP441" s="72">
        <f>IF(ISERROR(BO441/BG441),"NA",IF(OR(BO441/BG441&gt;2,BO441/BG441&lt;0.5),"NM",BO441/BG441*100-100))</f>
        <v>-25</v>
      </c>
      <c r="BQ441" s="151">
        <v>8</v>
      </c>
      <c r="BR441" s="72">
        <f>IF(ISERROR(BQ441/BI441),"NA",IF(OR(BQ441/BI441&gt;2,BQ441/BI441&lt;0.5),"NM",BQ441/BI441*100-100))</f>
        <v>-11.111111111111114</v>
      </c>
      <c r="BS441" s="151">
        <v>7</v>
      </c>
      <c r="BT441" s="72">
        <f>IF(ISERROR(BS441/BK441),"NA",IF(OR(BS441/BK441&gt;2,BS441/BK441&lt;0.5),"NM",BS441/BK441*100-100))</f>
        <v>-36.363636363636367</v>
      </c>
      <c r="BU441" s="151">
        <v>8</v>
      </c>
      <c r="BV441" s="72">
        <f>IF(ISERROR(BU441/BM441),"NA",IF(OR(BU441/BM441&gt;2,BU441/BM441&lt;0.5),"NM",BU441/BM441*100-100))</f>
        <v>0</v>
      </c>
      <c r="BW441" s="151"/>
      <c r="BX441" s="72"/>
      <c r="BY441" s="151"/>
      <c r="BZ441" s="72"/>
      <c r="CA441" s="151"/>
      <c r="CB441" s="72"/>
      <c r="CC441" s="151"/>
      <c r="CD441" s="72"/>
      <c r="CE441" s="151"/>
      <c r="CF441" s="72"/>
      <c r="CG441" s="151"/>
      <c r="CH441" s="72"/>
      <c r="CI441" s="151"/>
      <c r="CJ441" s="72"/>
      <c r="CK441" s="151"/>
      <c r="CL441" s="72"/>
      <c r="CM441" s="151"/>
      <c r="CN441" s="72"/>
      <c r="CO441" s="151"/>
      <c r="CP441" s="72"/>
      <c r="CQ441" s="151"/>
      <c r="CR441" s="72"/>
      <c r="CS441" s="151"/>
      <c r="CT441" s="72"/>
      <c r="CU441" s="151"/>
      <c r="CV441" s="72"/>
      <c r="CW441" s="151"/>
      <c r="CX441" s="72"/>
      <c r="CY441" s="151"/>
      <c r="CZ441" s="72"/>
      <c r="DA441" s="151"/>
      <c r="DB441" s="72"/>
      <c r="DC441" s="151"/>
      <c r="DD441" s="72"/>
      <c r="DE441" s="151"/>
      <c r="DF441" s="72"/>
      <c r="DG441" s="151"/>
      <c r="DH441" s="72"/>
      <c r="DI441" s="151"/>
      <c r="DJ441" s="72"/>
      <c r="DK441" s="151"/>
      <c r="DL441" s="72"/>
      <c r="DM441" s="151"/>
      <c r="DN441" s="72"/>
      <c r="DO441" s="151"/>
      <c r="DP441" s="72"/>
      <c r="DQ441" s="151"/>
      <c r="DR441" s="72"/>
      <c r="DS441" s="151"/>
      <c r="DT441" s="72"/>
      <c r="DU441" s="151"/>
      <c r="DV441" s="72"/>
      <c r="DW441" s="151"/>
      <c r="DX441" s="72"/>
      <c r="DY441" s="151"/>
      <c r="DZ441" s="72"/>
      <c r="EA441" s="151"/>
      <c r="EB441" s="72"/>
      <c r="EC441" s="151"/>
      <c r="ED441" s="72"/>
      <c r="EE441" s="151"/>
      <c r="EF441" s="72"/>
      <c r="EG441" s="151"/>
      <c r="EH441" s="72"/>
      <c r="EI441" s="151"/>
      <c r="EJ441" s="72"/>
      <c r="EK441" s="151"/>
      <c r="EL441" s="72"/>
      <c r="EM441" s="151"/>
      <c r="EN441" s="72"/>
      <c r="EO441" s="151"/>
      <c r="EP441" s="72"/>
      <c r="EQ441" s="151"/>
      <c r="ER441" s="72"/>
      <c r="ES441" s="151"/>
      <c r="ET441" s="72"/>
      <c r="EU441" s="151"/>
      <c r="EV441" s="72"/>
      <c r="EW441" s="151"/>
      <c r="EX441" s="72"/>
      <c r="EY441" s="72"/>
      <c r="EZ441" s="328"/>
      <c r="FA441" s="72"/>
      <c r="FB441" s="151">
        <v>55</v>
      </c>
      <c r="FC441" s="72"/>
      <c r="FD441" s="151">
        <v>54</v>
      </c>
      <c r="FE441" s="72">
        <f>IF(ISERROR(FD441/FB441),"NA",IF(OR(FD441/FB441&gt;2,FD441/FB441&lt;0.5),"NM",FD441/FB441*100-100))</f>
        <v>-1.818181818181813</v>
      </c>
      <c r="FF441" s="151">
        <v>66</v>
      </c>
      <c r="FG441" s="72">
        <f>IF(ISERROR(FF441/FD441),"NA",IF(OR(FF441/FD441&gt;2,FF441/FD441&lt;0.5),"NM",FF441/FD441*100-100))</f>
        <v>22.222222222222229</v>
      </c>
      <c r="FH441" s="75">
        <f>K441+M441+O441+Q441</f>
        <v>33</v>
      </c>
      <c r="FI441" s="72">
        <f>IF(ISERROR(FH441/FF441),"NA",IF(OR(FH441/FF441&gt;2,FH441/FF441&lt;0.5),"NM",FH441/FF441*100-100))</f>
        <v>-50</v>
      </c>
      <c r="FJ441" s="75">
        <f>S441+U441+W441+Y441</f>
        <v>37</v>
      </c>
      <c r="FK441" s="72">
        <f>IF(ISERROR(FJ441/FH441),"NA",IF(OR(FJ441/FH441&gt;2,FJ441/FH441&lt;0.5),"NM",FJ441/FH441*100-100))</f>
        <v>12.12121212121211</v>
      </c>
      <c r="FL441" s="75">
        <f>+AA441+AC441+AE441+AG441</f>
        <v>3</v>
      </c>
      <c r="FM441" s="72" t="str">
        <f>IF(ISERROR(FL441/FJ441),"NA",IF(OR(FL441/FJ441&gt;2,FL441/FJ441&lt;0.5),"NM",FL441/FJ441*100-100))</f>
        <v>NM</v>
      </c>
      <c r="FN441" s="75">
        <f>+AI441+AK441+AM441+AO441</f>
        <v>14</v>
      </c>
      <c r="FO441" s="72" t="str">
        <f>IF(ISERROR(FN441/FL441),"NA",IF(OR(FN441/FL441&gt;2,FN441/FL441&lt;0.5),"NM",FN441/FL441*100-100))</f>
        <v>NM</v>
      </c>
      <c r="FP441" s="75">
        <f>AQ441+AS441+AU441+AW441</f>
        <v>25</v>
      </c>
      <c r="FQ441" s="72">
        <f>IF(ISERROR(FP441/FN441),"NA",IF(OR(FP441/FN441&gt;2,FP441/FN441&lt;0.5),"NM",FP441/FN441*100-100))</f>
        <v>78.571428571428584</v>
      </c>
      <c r="FR441" s="152">
        <f>AY441+BA441+BC441+BE441</f>
        <v>31</v>
      </c>
      <c r="FS441" s="72">
        <f>IF(ISERROR(FR441/FP441),"NA",IF(OR(FR441/FP441&gt;2,FR441/FP441&lt;0.5),"NM",FR441/FP441*100-100))</f>
        <v>24</v>
      </c>
      <c r="FT441" s="152">
        <f>BG441+BI441+BK441+BM441</f>
        <v>36</v>
      </c>
      <c r="FU441" s="72">
        <f>IF(ISERROR(FT441/FR441),"NA",IF(OR(FT441/FR441&gt;2,FT441/FR441&lt;0.5),"NM",FT441/FR441*100-100))</f>
        <v>16.129032258064527</v>
      </c>
      <c r="FV441" s="152">
        <f>BO441+BQ441+BS441+BU441</f>
        <v>29</v>
      </c>
      <c r="FW441" s="72">
        <f>IF(ISERROR(FV441/FT441),"NA",IF(OR(FV441/FT441&gt;2,FV441/FT441&lt;0.5),"NM",FV441/FT441*100-100))</f>
        <v>-19.444444444444443</v>
      </c>
      <c r="FX441" s="75"/>
      <c r="FY441" s="72"/>
      <c r="FZ441" s="75"/>
      <c r="GA441" s="72"/>
      <c r="GB441" s="75"/>
      <c r="GC441" s="72"/>
      <c r="GD441" s="75"/>
      <c r="GE441" s="72"/>
      <c r="GF441" s="75"/>
      <c r="GG441" s="72"/>
      <c r="GH441" s="75"/>
      <c r="GI441" s="72"/>
      <c r="GJ441" s="75"/>
      <c r="GK441" s="72"/>
      <c r="GL441" s="75"/>
      <c r="GM441" s="72"/>
      <c r="GN441" s="75"/>
      <c r="GO441" s="72"/>
      <c r="GP441" s="75"/>
      <c r="GQ441" s="72"/>
      <c r="GR441" s="151"/>
      <c r="GS441" s="72"/>
      <c r="GT441" s="151"/>
      <c r="GU441" s="72"/>
      <c r="GV441" s="151"/>
      <c r="GW441" s="72"/>
      <c r="GX441" s="151"/>
      <c r="GY441" s="72"/>
      <c r="GZ441" s="72"/>
      <c r="HA441" s="72"/>
      <c r="HB441" s="72"/>
      <c r="HC441"/>
      <c r="HD441"/>
      <c r="HE441"/>
      <c r="HF441"/>
      <c r="HG441"/>
      <c r="HH441"/>
      <c r="HI441" s="2"/>
    </row>
    <row r="442" spans="1:217" s="3" customFormat="1" ht="12.75" hidden="1" customHeight="1" outlineLevel="1" x14ac:dyDescent="0.2">
      <c r="B442" s="77" t="s">
        <v>293</v>
      </c>
      <c r="C442" s="151">
        <f>FF442-I442-G442-E442</f>
        <v>187</v>
      </c>
      <c r="D442" s="72"/>
      <c r="E442" s="151">
        <v>156</v>
      </c>
      <c r="F442" s="72"/>
      <c r="G442" s="151">
        <v>156</v>
      </c>
      <c r="H442" s="72"/>
      <c r="I442" s="151">
        <v>139</v>
      </c>
      <c r="J442" s="72"/>
      <c r="K442" s="151">
        <v>73</v>
      </c>
      <c r="L442" s="72" t="str">
        <f>IF(ISERROR(K442/C442),"NA",IF(OR(K442/C442&gt;2,K442/C442&lt;0.5),"NM",K442/C442*100-100))</f>
        <v>NM</v>
      </c>
      <c r="M442" s="151">
        <v>67</v>
      </c>
      <c r="N442" s="72" t="str">
        <f>IF(ISERROR(M442/E442),"NA",IF(OR(M442/E442&gt;2,M442/E442&lt;0.5),"NM",M442/E442*100-100))</f>
        <v>NM</v>
      </c>
      <c r="O442" s="151">
        <v>62</v>
      </c>
      <c r="P442" s="72" t="str">
        <f>IF(ISERROR(O442/G442),"NA",IF(OR(O442/G442&gt;2,O442/G442&lt;0.5),"NM",O442/G442*100-100))</f>
        <v>NM</v>
      </c>
      <c r="Q442" s="151">
        <v>68</v>
      </c>
      <c r="R442" s="72" t="str">
        <f>IF(ISERROR(Q442/I442),"NA",IF(OR(Q442/I442&gt;2,Q442/I442&lt;0.5),"NM",Q442/I442*100-100))</f>
        <v>NM</v>
      </c>
      <c r="S442" s="151">
        <v>72</v>
      </c>
      <c r="T442" s="72">
        <f>IF(ISERROR(S442/K442),"NA",IF(OR(S442/K442&gt;2,S442/K442&lt;0.5),"NM",S442/K442*100-100))</f>
        <v>-1.3698630136986338</v>
      </c>
      <c r="U442" s="151">
        <v>71</v>
      </c>
      <c r="V442" s="72">
        <f>IF(ISERROR(U442/M442),"NA",IF(OR(U442/M442&gt;2,U442/M442&lt;0.5),"NM",U442/M442*100-100))</f>
        <v>5.9701492537313356</v>
      </c>
      <c r="W442" s="151">
        <v>74</v>
      </c>
      <c r="X442" s="72">
        <f>IF(ISERROR(W442/O442),"NA",IF(OR(W442/O442&gt;2,W442/O442&lt;0.5),"NM",W442/O442*100-100))</f>
        <v>19.354838709677423</v>
      </c>
      <c r="Y442" s="151">
        <v>71</v>
      </c>
      <c r="Z442" s="72">
        <f>IF(ISERROR(Y442/Q442),"NA",IF(OR(Y442/Q442&gt;2,Y442/Q442&lt;0.5),"NM",Y442/Q442*100-100))</f>
        <v>4.4117647058823621</v>
      </c>
      <c r="AA442" s="151">
        <v>55</v>
      </c>
      <c r="AB442" s="72">
        <f>IF(ISERROR(AA442/S442),"NA",IF(OR(AA442/S442&gt;2,AA442/S442&lt;0.5),"NM",AA442/S442*100-100))</f>
        <v>-23.611111111111114</v>
      </c>
      <c r="AC442" s="151">
        <v>59</v>
      </c>
      <c r="AD442" s="72">
        <f>IF(ISERROR(AC442/U442),"NA",IF(OR(AC442/U442&gt;2,AC442/U442&lt;0.5),"NM",AC442/U442*100-100))</f>
        <v>-16.901408450704224</v>
      </c>
      <c r="AE442" s="151">
        <v>62</v>
      </c>
      <c r="AF442" s="72">
        <f>IF(ISERROR(AE442/W442),"NA",IF(OR(AE442/W442&gt;2,AE442/W442&lt;0.5),"NM",AE442/W442*100-100))</f>
        <v>-16.21621621621621</v>
      </c>
      <c r="AG442" s="151">
        <v>59</v>
      </c>
      <c r="AH442" s="72">
        <f>IF(ISERROR(AG442/Y442),"NA",IF(OR(AG442/Y442&gt;2,AG442/Y442&lt;0.5),"NM",AG442/Y442*100-100))</f>
        <v>-16.901408450704224</v>
      </c>
      <c r="AI442" s="151">
        <v>84</v>
      </c>
      <c r="AJ442" s="72">
        <f>IF(ISERROR(AI442/AA442),"NA",IF(OR(AI442/AA442&gt;2,AI442/AA442&lt;0.5),"NM",AI442/AA442*100-100))</f>
        <v>52.727272727272748</v>
      </c>
      <c r="AK442" s="151">
        <v>110</v>
      </c>
      <c r="AL442" s="72">
        <f>IF(ISERROR(AK442/AC442),"NA",IF(OR(AK442/AC442&gt;2,AK442/AC442&lt;0.5),"NM",AK442/AC442*100-100))</f>
        <v>86.440677966101674</v>
      </c>
      <c r="AM442" s="151">
        <v>114</v>
      </c>
      <c r="AN442" s="72">
        <f>IF(ISERROR(AM442/AE442),"NA",IF(OR(AM442/AE442&gt;2,AM442/AE442&lt;0.5),"NM",AM442/AE442*100-100))</f>
        <v>83.870967741935488</v>
      </c>
      <c r="AO442" s="151">
        <v>124</v>
      </c>
      <c r="AP442" s="72" t="str">
        <f>IF(ISERROR(AO442/AG442),"NA",IF(OR(AO442/AG442&gt;2,AO442/AG442&lt;0.5),"NM",AO442/AG442*100-100))</f>
        <v>NM</v>
      </c>
      <c r="AQ442" s="151">
        <v>123</v>
      </c>
      <c r="AR442" s="72">
        <f>IF(ISERROR(AQ442/AI442),"NA",IF(OR(AQ442/AI442&gt;2,AQ442/AI442&lt;0.5),"NM",AQ442/AI442*100-100))</f>
        <v>46.428571428571416</v>
      </c>
      <c r="AS442" s="151">
        <v>101</v>
      </c>
      <c r="AT442" s="72">
        <f>IF(ISERROR(AS442/AK442),"NA",IF(OR(AS442/AK442&gt;2,AS442/AK442&lt;0.5),"NM",AS442/AK442*100-100))</f>
        <v>-8.1818181818181728</v>
      </c>
      <c r="AU442" s="151">
        <v>114</v>
      </c>
      <c r="AV442" s="72">
        <f>IF(ISERROR(AU442/AM442),"NA",IF(OR(AU442/AM442&gt;2,AU442/AM442&lt;0.5),"NM",AU442/AM442*100-100))</f>
        <v>0</v>
      </c>
      <c r="AW442" s="151">
        <v>124</v>
      </c>
      <c r="AX442" s="72">
        <f>IF(ISERROR(AW442/AO442),"NA",IF(OR(AW442/AO442&gt;2,AW442/AO442&lt;0.5),"NM",AW442/AO442*100-100))</f>
        <v>0</v>
      </c>
      <c r="AY442" s="151">
        <v>143</v>
      </c>
      <c r="AZ442" s="72">
        <f>IF(ISERROR(AY442/AQ442),"NA",IF(OR(AY442/AQ442&gt;2,AY442/AQ442&lt;0.5),"NM",AY442/AQ442*100-100))</f>
        <v>16.260162601626021</v>
      </c>
      <c r="BA442" s="151">
        <v>140</v>
      </c>
      <c r="BB442" s="72">
        <f>IF(ISERROR(BA442/AS442),"NA",IF(OR(BA442/AS442&gt;2,BA442/AS442&lt;0.5),"NM",BA442/AS442*100-100))</f>
        <v>38.613861386138609</v>
      </c>
      <c r="BC442" s="151">
        <v>125</v>
      </c>
      <c r="BD442" s="72">
        <f>IF(ISERROR(BC442/AU442),"NA",IF(OR(BC442/AU442&gt;2,BC442/AU442&lt;0.5),"NM",BC442/AU442*100-100))</f>
        <v>9.6491228070175481</v>
      </c>
      <c r="BE442" s="151">
        <v>151</v>
      </c>
      <c r="BF442" s="72">
        <f>IF(ISERROR(BE442/AW442),"NA",IF(OR(BE442/AW442&gt;2,BE442/AW442&lt;0.5),"NM",BE442/AW442*100-100))</f>
        <v>21.774193548387103</v>
      </c>
      <c r="BG442" s="151">
        <v>169</v>
      </c>
      <c r="BH442" s="72">
        <f>IF(ISERROR(BG442/AY442),"NA",IF(OR(BG442/AY442&gt;2,BG442/AY442&lt;0.5),"NM",BG442/AY442*100-100))</f>
        <v>18.181818181818187</v>
      </c>
      <c r="BI442" s="151">
        <v>160</v>
      </c>
      <c r="BJ442" s="72">
        <f>IF(ISERROR(BI442/BA442),"NA",IF(OR(BI442/BA442&gt;2,BI442/BA442&lt;0.5),"NM",BI442/BA442*100-100))</f>
        <v>14.285714285714278</v>
      </c>
      <c r="BK442" s="151">
        <v>240</v>
      </c>
      <c r="BL442" s="72">
        <f>IF(ISERROR(BK442/BC442),"NA",IF(OR(BK442/BC442&gt;2,BK442/BC442&lt;0.5),"NM",BK442/BC442*100-100))</f>
        <v>92</v>
      </c>
      <c r="BM442" s="151">
        <v>164</v>
      </c>
      <c r="BN442" s="72">
        <f>IF(ISERROR(BM442/BE442),"NA",IF(OR(BM442/BE442&gt;2,BM442/BE442&lt;0.5),"NM",BM442/BE442*100-100))</f>
        <v>8.6092715231788048</v>
      </c>
      <c r="BO442" s="151">
        <v>110</v>
      </c>
      <c r="BP442" s="72">
        <f>IF(ISERROR(BO442/BG442),"NA",IF(OR(BO442/BG442&gt;2,BO442/BG442&lt;0.5),"NM",BO442/BG442*100-100))</f>
        <v>-34.911242603550292</v>
      </c>
      <c r="BQ442" s="151">
        <v>92</v>
      </c>
      <c r="BR442" s="72">
        <f>IF(ISERROR(BQ442/BI442),"NA",IF(OR(BQ442/BI442&gt;2,BQ442/BI442&lt;0.5),"NM",BQ442/BI442*100-100))</f>
        <v>-42.500000000000007</v>
      </c>
      <c r="BS442" s="151">
        <v>101</v>
      </c>
      <c r="BT442" s="72" t="str">
        <f>IF(ISERROR(BS442/BK442),"NA",IF(OR(BS442/BK442&gt;2,BS442/BK442&lt;0.5),"NM",BS442/BK442*100-100))</f>
        <v>NM</v>
      </c>
      <c r="BU442" s="151">
        <v>-239</v>
      </c>
      <c r="BV442" s="72" t="str">
        <f>IF(ISERROR(BU442/BM442),"NA",IF(OR(BU442/BM442&gt;2,BU442/BM442&lt;0.5),"NM",BU442/BM442*100-100))</f>
        <v>NM</v>
      </c>
      <c r="BW442" s="151"/>
      <c r="BX442" s="72"/>
      <c r="BY442" s="151"/>
      <c r="BZ442" s="72"/>
      <c r="CA442" s="151"/>
      <c r="CB442" s="72"/>
      <c r="CC442" s="151"/>
      <c r="CD442" s="72"/>
      <c r="CE442" s="151"/>
      <c r="CF442" s="72"/>
      <c r="CG442" s="151"/>
      <c r="CH442" s="72"/>
      <c r="CI442" s="151"/>
      <c r="CJ442" s="72"/>
      <c r="CK442" s="151"/>
      <c r="CL442" s="72"/>
      <c r="CM442" s="151"/>
      <c r="CN442" s="72"/>
      <c r="CO442" s="151"/>
      <c r="CP442" s="72"/>
      <c r="CQ442" s="151"/>
      <c r="CR442" s="72"/>
      <c r="CS442" s="151"/>
      <c r="CT442" s="72"/>
      <c r="CU442" s="151"/>
      <c r="CV442" s="72"/>
      <c r="CW442" s="151"/>
      <c r="CX442" s="72"/>
      <c r="CY442" s="151"/>
      <c r="CZ442" s="72"/>
      <c r="DA442" s="151"/>
      <c r="DB442" s="72"/>
      <c r="DC442" s="151"/>
      <c r="DD442" s="72"/>
      <c r="DE442" s="151"/>
      <c r="DF442" s="72"/>
      <c r="DG442" s="151"/>
      <c r="DH442" s="72"/>
      <c r="DI442" s="151"/>
      <c r="DJ442" s="72"/>
      <c r="DK442" s="151"/>
      <c r="DL442" s="72"/>
      <c r="DM442" s="151"/>
      <c r="DN442" s="72"/>
      <c r="DO442" s="151"/>
      <c r="DP442" s="72"/>
      <c r="DQ442" s="151"/>
      <c r="DR442" s="72"/>
      <c r="DS442" s="151"/>
      <c r="DT442" s="72"/>
      <c r="DU442" s="151"/>
      <c r="DV442" s="72"/>
      <c r="DW442" s="151"/>
      <c r="DX442" s="72"/>
      <c r="DY442" s="151"/>
      <c r="DZ442" s="72"/>
      <c r="EA442" s="151"/>
      <c r="EB442" s="72"/>
      <c r="EC442" s="151"/>
      <c r="ED442" s="72"/>
      <c r="EE442" s="151"/>
      <c r="EF442" s="72"/>
      <c r="EG442" s="151"/>
      <c r="EH442" s="72"/>
      <c r="EI442" s="151"/>
      <c r="EJ442" s="72"/>
      <c r="EK442" s="151"/>
      <c r="EL442" s="72"/>
      <c r="EM442" s="151"/>
      <c r="EN442" s="72"/>
      <c r="EO442" s="151"/>
      <c r="EP442" s="72"/>
      <c r="EQ442" s="151"/>
      <c r="ER442" s="72"/>
      <c r="ES442" s="151"/>
      <c r="ET442" s="72"/>
      <c r="EU442" s="151"/>
      <c r="EV442" s="72"/>
      <c r="EW442" s="151"/>
      <c r="EX442" s="72"/>
      <c r="EY442" s="72"/>
      <c r="EZ442" s="325"/>
      <c r="FA442" s="72"/>
      <c r="FB442" s="151">
        <v>477</v>
      </c>
      <c r="FC442" s="72"/>
      <c r="FD442" s="151">
        <v>526</v>
      </c>
      <c r="FE442" s="72">
        <f>IF(ISERROR(FD442/FB442),"NA",IF(OR(FD442/FB442&gt;2,FD442/FB442&lt;0.5),"NM",FD442/FB442*100-100))</f>
        <v>10.272536687631018</v>
      </c>
      <c r="FF442" s="151">
        <v>638</v>
      </c>
      <c r="FG442" s="72">
        <f>IF(ISERROR(FF442/FD442),"NA",IF(OR(FF442/FD442&gt;2,FF442/FD442&lt;0.5),"NM",FF442/FD442*100-100))</f>
        <v>21.292775665399247</v>
      </c>
      <c r="FH442" s="75">
        <f>K442+M442+O442+Q442</f>
        <v>270</v>
      </c>
      <c r="FI442" s="72" t="str">
        <f>IF(ISERROR(FH442/FF442),"NA",IF(OR(FH442/FF442&gt;2,FH442/FF442&lt;0.5),"NM",FH442/FF442*100-100))</f>
        <v>NM</v>
      </c>
      <c r="FJ442" s="75">
        <f>S442+U442+W442+Y442</f>
        <v>288</v>
      </c>
      <c r="FK442" s="72">
        <f>IF(ISERROR(FJ442/FH442),"NA",IF(OR(FJ442/FH442&gt;2,FJ442/FH442&lt;0.5),"NM",FJ442/FH442*100-100))</f>
        <v>6.6666666666666714</v>
      </c>
      <c r="FL442" s="75">
        <f>+AA442+AC442+AE442+AG442</f>
        <v>235</v>
      </c>
      <c r="FM442" s="72">
        <f>IF(ISERROR(FL442/FJ442),"NA",IF(OR(FL442/FJ442&gt;2,FL442/FJ442&lt;0.5),"NM",FL442/FJ442*100-100))</f>
        <v>-18.402777777777786</v>
      </c>
      <c r="FN442" s="75">
        <f>+AI442+AK442+AM442+AO442</f>
        <v>432</v>
      </c>
      <c r="FO442" s="72">
        <f>IF(ISERROR(FN442/FL442),"NA",IF(OR(FN442/FL442&gt;2,FN442/FL442&lt;0.5),"NM",FN442/FL442*100-100))</f>
        <v>83.829787234042556</v>
      </c>
      <c r="FP442" s="75">
        <f>AQ442+AS442+AU442+AW442</f>
        <v>462</v>
      </c>
      <c r="FQ442" s="72">
        <f>IF(ISERROR(FP442/FN442),"NA",IF(OR(FP442/FN442&gt;2,FP442/FN442&lt;0.5),"NM",FP442/FN442*100-100))</f>
        <v>6.9444444444444429</v>
      </c>
      <c r="FR442" s="152">
        <f>AY442+BA442+BC442+BE442</f>
        <v>559</v>
      </c>
      <c r="FS442" s="72">
        <f>IF(ISERROR(FR442/FP442),"NA",IF(OR(FR442/FP442&gt;2,FR442/FP442&lt;0.5),"NM",FR442/FP442*100-100))</f>
        <v>20.995670995670991</v>
      </c>
      <c r="FT442" s="152">
        <f>BG442+BI442+BK442+BM442</f>
        <v>733</v>
      </c>
      <c r="FU442" s="72">
        <f>IF(ISERROR(FT442/FR442),"NA",IF(OR(FT442/FR442&gt;2,FT442/FR442&lt;0.5),"NM",FT442/FR442*100-100))</f>
        <v>31.127012522361355</v>
      </c>
      <c r="FV442" s="152">
        <f>BO442+BQ442+BS442+BU442</f>
        <v>64</v>
      </c>
      <c r="FW442" s="72" t="str">
        <f>IF(ISERROR(FV442/FT442),"NA",IF(OR(FV442/FT442&gt;2,FV442/FT442&lt;0.5),"NM",FV442/FT442*100-100))</f>
        <v>NM</v>
      </c>
      <c r="FX442" s="75"/>
      <c r="FY442" s="72"/>
      <c r="FZ442" s="75"/>
      <c r="GA442" s="72"/>
      <c r="GB442" s="75"/>
      <c r="GC442" s="72"/>
      <c r="GD442" s="75"/>
      <c r="GE442" s="72"/>
      <c r="GF442" s="75"/>
      <c r="GG442" s="72"/>
      <c r="GH442" s="75"/>
      <c r="GI442" s="72"/>
      <c r="GJ442" s="75"/>
      <c r="GK442" s="72"/>
      <c r="GL442" s="75"/>
      <c r="GM442" s="72"/>
      <c r="GN442" s="75"/>
      <c r="GO442" s="72"/>
      <c r="GP442" s="75"/>
      <c r="GQ442" s="72"/>
      <c r="GR442" s="151"/>
      <c r="GS442" s="72"/>
      <c r="GT442" s="151"/>
      <c r="GU442" s="72"/>
      <c r="GV442" s="151"/>
      <c r="GW442" s="72"/>
      <c r="GX442" s="151"/>
      <c r="GY442" s="72"/>
      <c r="GZ442" s="72"/>
      <c r="HA442" s="72"/>
      <c r="HB442" s="72"/>
      <c r="HC442"/>
      <c r="HD442"/>
      <c r="HE442"/>
      <c r="HF442"/>
      <c r="HG442"/>
      <c r="HH442"/>
      <c r="HI442" s="2"/>
    </row>
    <row r="443" spans="1:217" s="133" customFormat="1" ht="12.75" hidden="1" customHeight="1" outlineLevel="1" x14ac:dyDescent="0.2">
      <c r="A443" s="133" t="s">
        <v>88</v>
      </c>
      <c r="B443" s="93" t="s">
        <v>212</v>
      </c>
      <c r="C443" s="91">
        <f>C442+C441</f>
        <v>203</v>
      </c>
      <c r="D443" s="80"/>
      <c r="E443" s="91">
        <f>E442+E441</f>
        <v>172</v>
      </c>
      <c r="F443" s="80"/>
      <c r="G443" s="91">
        <f>G442+G441</f>
        <v>170</v>
      </c>
      <c r="H443" s="80"/>
      <c r="I443" s="91">
        <f>I442+I441</f>
        <v>159</v>
      </c>
      <c r="J443" s="80"/>
      <c r="K443" s="91">
        <f>K442+K441</f>
        <v>81</v>
      </c>
      <c r="L443" s="72" t="str">
        <f>IF(ISERROR(K443/C443),"NA",IF(OR(K443/C443&gt;2,K443/C443&lt;0.5),"NM",K443/C443*100-100))</f>
        <v>NM</v>
      </c>
      <c r="M443" s="91">
        <f>M442+M441</f>
        <v>75</v>
      </c>
      <c r="N443" s="72" t="str">
        <f>IF(ISERROR(M443/E443),"NA",IF(OR(M443/E443&gt;2,M443/E443&lt;0.5),"NM",M443/E443*100-100))</f>
        <v>NM</v>
      </c>
      <c r="O443" s="91">
        <f>O442+O441</f>
        <v>71</v>
      </c>
      <c r="P443" s="72" t="str">
        <f>IF(ISERROR(O443/G443),"NA",IF(OR(O443/G443&gt;2,O443/G443&lt;0.5),"NM",O443/G443*100-100))</f>
        <v>NM</v>
      </c>
      <c r="Q443" s="91">
        <f>Q442+Q441</f>
        <v>76</v>
      </c>
      <c r="R443" s="72" t="str">
        <f>IF(ISERROR(Q443/I443),"NA",IF(OR(Q443/I443&gt;2,Q443/I443&lt;0.5),"NM",Q443/I443*100-100))</f>
        <v>NM</v>
      </c>
      <c r="S443" s="91">
        <f>S442+S441</f>
        <v>80</v>
      </c>
      <c r="T443" s="72">
        <f>IF(ISERROR(S443/K443),"NA",IF(OR(S443/K443&gt;2,S443/K443&lt;0.5),"NM",S443/K443*100-100))</f>
        <v>-1.2345679012345698</v>
      </c>
      <c r="U443" s="91">
        <f>U442+U441</f>
        <v>81</v>
      </c>
      <c r="V443" s="72">
        <f>IF(ISERROR(U443/M443),"NA",IF(OR(U443/M443&gt;2,U443/M443&lt;0.5),"NM",U443/M443*100-100))</f>
        <v>8</v>
      </c>
      <c r="W443" s="91">
        <f>W442+W441</f>
        <v>83</v>
      </c>
      <c r="X443" s="72">
        <f>IF(ISERROR(W443/O443),"NA",IF(OR(W443/O443&gt;2,W443/O443&lt;0.5),"NM",W443/O443*100-100))</f>
        <v>16.901408450704224</v>
      </c>
      <c r="Y443" s="91">
        <f>Y442+Y441</f>
        <v>81</v>
      </c>
      <c r="Z443" s="72">
        <f>IF(ISERROR(Y443/Q443),"NA",IF(OR(Y443/Q443&gt;2,Y443/Q443&lt;0.5),"NM",Y443/Q443*100-100))</f>
        <v>6.5789473684210691</v>
      </c>
      <c r="AA443" s="91">
        <f>AA442+AA441</f>
        <v>65</v>
      </c>
      <c r="AB443" s="72">
        <f>IF(ISERROR(AA443/S443),"NA",IF(OR(AA443/S443&gt;2,AA443/S443&lt;0.5),"NM",AA443/S443*100-100))</f>
        <v>-18.75</v>
      </c>
      <c r="AC443" s="91">
        <f>AC442+AC441</f>
        <v>69</v>
      </c>
      <c r="AD443" s="72">
        <f>IF(ISERROR(AC443/U443),"NA",IF(OR(AC443/U443&gt;2,AC443/U443&lt;0.5),"NM",AC443/U443*100-100))</f>
        <v>-14.81481481481481</v>
      </c>
      <c r="AE443" s="91">
        <f>AE442+AE441</f>
        <v>68</v>
      </c>
      <c r="AF443" s="72">
        <f>IF(ISERROR(AE443/W443),"NA",IF(OR(AE443/W443&gt;2,AE443/W443&lt;0.5),"NM",AE443/W443*100-100))</f>
        <v>-18.07228915662651</v>
      </c>
      <c r="AG443" s="91">
        <f>AG442+AG441</f>
        <v>36</v>
      </c>
      <c r="AH443" s="72" t="str">
        <f>IF(ISERROR(AG443/Y443),"NA",IF(OR(AG443/Y443&gt;2,AG443/Y443&lt;0.5),"NM",AG443/Y443*100-100))</f>
        <v>NM</v>
      </c>
      <c r="AI443" s="91">
        <f>AI442+AI441</f>
        <v>87</v>
      </c>
      <c r="AJ443" s="72">
        <f>IF(ISERROR(AI443/AA443),"NA",IF(OR(AI443/AA443&gt;2,AI443/AA443&lt;0.5),"NM",AI443/AA443*100-100))</f>
        <v>33.84615384615384</v>
      </c>
      <c r="AK443" s="91">
        <f>AK442+AK441</f>
        <v>114</v>
      </c>
      <c r="AL443" s="72">
        <f>IF(ISERROR(AK443/AC443),"NA",IF(OR(AK443/AC443&gt;2,AK443/AC443&lt;0.5),"NM",AK443/AC443*100-100))</f>
        <v>65.217391304347814</v>
      </c>
      <c r="AM443" s="91">
        <f>AM442+AM441</f>
        <v>118</v>
      </c>
      <c r="AN443" s="72">
        <f>IF(ISERROR(AM443/AE443),"NA",IF(OR(AM443/AE443&gt;2,AM443/AE443&lt;0.5),"NM",AM443/AE443*100-100))</f>
        <v>73.529411764705884</v>
      </c>
      <c r="AO443" s="91">
        <f>AO442+AO441</f>
        <v>127</v>
      </c>
      <c r="AP443" s="72" t="str">
        <f>IF(ISERROR(AO443/AG443),"NA",IF(OR(AO443/AG443&gt;2,AO443/AG443&lt;0.5),"NM",AO443/AG443*100-100))</f>
        <v>NM</v>
      </c>
      <c r="AQ443" s="91">
        <f>AQ442+AQ441</f>
        <v>128</v>
      </c>
      <c r="AR443" s="72">
        <f>IF(ISERROR(AQ443/AI443),"NA",IF(OR(AQ443/AI443&gt;2,AQ443/AI443&lt;0.5),"NM",AQ443/AI443*100-100))</f>
        <v>47.126436781609186</v>
      </c>
      <c r="AS443" s="91">
        <f>AS442+AS441</f>
        <v>106</v>
      </c>
      <c r="AT443" s="72">
        <f>IF(ISERROR(AS443/AK443),"NA",IF(OR(AS443/AK443&gt;2,AS443/AK443&lt;0.5),"NM",AS443/AK443*100-100))</f>
        <v>-7.0175438596491233</v>
      </c>
      <c r="AU443" s="91">
        <f>AU442+AU441</f>
        <v>122</v>
      </c>
      <c r="AV443" s="72">
        <f>IF(ISERROR(AU443/AM443),"NA",IF(OR(AU443/AM443&gt;2,AU443/AM443&lt;0.5),"NM",AU443/AM443*100-100))</f>
        <v>3.3898305084745743</v>
      </c>
      <c r="AW443" s="91">
        <f>AW442+AW441</f>
        <v>131</v>
      </c>
      <c r="AX443" s="72">
        <f>IF(ISERROR(AW443/AO443),"NA",IF(OR(AW443/AO443&gt;2,AW443/AO443&lt;0.5),"NM",AW443/AO443*100-100))</f>
        <v>3.1496062992125928</v>
      </c>
      <c r="AY443" s="91">
        <f>AY442+AY441</f>
        <v>150</v>
      </c>
      <c r="AZ443" s="72">
        <f>IF(ISERROR(AY443/AQ443),"NA",IF(OR(AY443/AQ443&gt;2,AY443/AQ443&lt;0.5),"NM",AY443/AQ443*100-100))</f>
        <v>17.1875</v>
      </c>
      <c r="BA443" s="91">
        <f>BA442+BA441</f>
        <v>146</v>
      </c>
      <c r="BB443" s="72">
        <f>IF(ISERROR(BA443/AS443),"NA",IF(OR(BA443/AS443&gt;2,BA443/AS443&lt;0.5),"NM",BA443/AS443*100-100))</f>
        <v>37.735849056603769</v>
      </c>
      <c r="BC443" s="91">
        <f>BC442+BC441</f>
        <v>132</v>
      </c>
      <c r="BD443" s="72">
        <f>IF(ISERROR(BC443/AU443),"NA",IF(OR(BC443/AU443&gt;2,BC443/AU443&lt;0.5),"NM",BC443/AU443*100-100))</f>
        <v>8.1967213114754145</v>
      </c>
      <c r="BE443" s="91">
        <f>BE442+BE441</f>
        <v>162</v>
      </c>
      <c r="BF443" s="72">
        <f>IF(ISERROR(BE443/AW443),"NA",IF(OR(BE443/AW443&gt;2,BE443/AW443&lt;0.5),"NM",BE443/AW443*100-100))</f>
        <v>23.66412213740459</v>
      </c>
      <c r="BG443" s="91">
        <f>BG442+BG441</f>
        <v>177</v>
      </c>
      <c r="BH443" s="72">
        <f>IF(ISERROR(BG443/AY443),"NA",IF(OR(BG443/AY443&gt;2,BG443/AY443&lt;0.5),"NM",BG443/AY443*100-100))</f>
        <v>18</v>
      </c>
      <c r="BI443" s="91">
        <f>BI442+BI441</f>
        <v>169</v>
      </c>
      <c r="BJ443" s="72">
        <f>IF(ISERROR(BI443/BA443),"NA",IF(OR(BI443/BA443&gt;2,BI443/BA443&lt;0.5),"NM",BI443/BA443*100-100))</f>
        <v>15.753424657534239</v>
      </c>
      <c r="BK443" s="91">
        <f>BK442+BK441</f>
        <v>251</v>
      </c>
      <c r="BL443" s="72">
        <f>IF(ISERROR(BK443/BC443),"NA",IF(OR(BK443/BC443&gt;2,BK443/BC443&lt;0.5),"NM",BK443/BC443*100-100))</f>
        <v>90.151515151515156</v>
      </c>
      <c r="BM443" s="91">
        <f>BM442+BM441</f>
        <v>172</v>
      </c>
      <c r="BN443" s="72">
        <f>IF(ISERROR(BM443/BE443),"NA",IF(OR(BM443/BE443&gt;2,BM443/BE443&lt;0.5),"NM",BM443/BE443*100-100))</f>
        <v>6.1728395061728492</v>
      </c>
      <c r="BO443" s="91">
        <f>BO442+BO441</f>
        <v>116</v>
      </c>
      <c r="BP443" s="72">
        <f>IF(ISERROR(BO443/BG443),"NA",IF(OR(BO443/BG443&gt;2,BO443/BG443&lt;0.5),"NM",BO443/BG443*100-100))</f>
        <v>-34.463276836158201</v>
      </c>
      <c r="BQ443" s="91">
        <f>BQ442+BQ441</f>
        <v>100</v>
      </c>
      <c r="BR443" s="72">
        <f>IF(ISERROR(BQ443/BI443),"NA",IF(OR(BQ443/BI443&gt;2,BQ443/BI443&lt;0.5),"NM",BQ443/BI443*100-100))</f>
        <v>-40.828402366863905</v>
      </c>
      <c r="BS443" s="91">
        <f>BS442+BS441</f>
        <v>108</v>
      </c>
      <c r="BT443" s="72" t="str">
        <f>IF(ISERROR(BS443/BK443),"NA",IF(OR(BS443/BK443&gt;2,BS443/BK443&lt;0.5),"NM",BS443/BK443*100-100))</f>
        <v>NM</v>
      </c>
      <c r="BU443" s="91">
        <f>BU442+BU441</f>
        <v>-231</v>
      </c>
      <c r="BV443" s="72" t="str">
        <f>IF(ISERROR(BU443/BM443),"NA",IF(OR(BU443/BM443&gt;2,BU443/BM443&lt;0.5),"NM",BU443/BM443*100-100))</f>
        <v>NM</v>
      </c>
      <c r="BW443" s="91"/>
      <c r="BX443" s="72"/>
      <c r="BY443" s="91"/>
      <c r="BZ443" s="72"/>
      <c r="CA443" s="91"/>
      <c r="CB443" s="72"/>
      <c r="CC443" s="91"/>
      <c r="CD443" s="72"/>
      <c r="CE443" s="91"/>
      <c r="CF443" s="72"/>
      <c r="CG443" s="91"/>
      <c r="CH443" s="72"/>
      <c r="CI443" s="91"/>
      <c r="CJ443" s="72"/>
      <c r="CK443" s="91"/>
      <c r="CL443" s="72"/>
      <c r="CM443" s="91"/>
      <c r="CN443" s="72"/>
      <c r="CO443" s="91"/>
      <c r="CP443" s="72"/>
      <c r="CQ443" s="91"/>
      <c r="CR443" s="72"/>
      <c r="CS443" s="91"/>
      <c r="CT443" s="72"/>
      <c r="CU443" s="91"/>
      <c r="CV443" s="72"/>
      <c r="CW443" s="91"/>
      <c r="CX443" s="72"/>
      <c r="CY443" s="91"/>
      <c r="CZ443" s="72"/>
      <c r="DA443" s="91"/>
      <c r="DB443" s="72"/>
      <c r="DC443" s="91"/>
      <c r="DD443" s="72"/>
      <c r="DE443" s="91"/>
      <c r="DF443" s="72"/>
      <c r="DG443" s="91"/>
      <c r="DH443" s="72"/>
      <c r="DI443" s="91"/>
      <c r="DJ443" s="72"/>
      <c r="DK443" s="91"/>
      <c r="DL443" s="72"/>
      <c r="DM443" s="91"/>
      <c r="DN443" s="72"/>
      <c r="DO443" s="91"/>
      <c r="DP443" s="72"/>
      <c r="DQ443" s="91"/>
      <c r="DR443" s="72"/>
      <c r="DS443" s="91"/>
      <c r="DT443" s="72"/>
      <c r="DU443" s="91"/>
      <c r="DV443" s="72"/>
      <c r="DW443" s="91"/>
      <c r="DX443" s="72"/>
      <c r="DY443" s="91"/>
      <c r="DZ443" s="72"/>
      <c r="EA443" s="91"/>
      <c r="EB443" s="72"/>
      <c r="EC443" s="91"/>
      <c r="ED443" s="72"/>
      <c r="EE443" s="91"/>
      <c r="EF443" s="72"/>
      <c r="EG443" s="91"/>
      <c r="EH443" s="72"/>
      <c r="EI443" s="91"/>
      <c r="EJ443" s="72"/>
      <c r="EK443" s="91"/>
      <c r="EL443" s="72"/>
      <c r="EM443" s="91"/>
      <c r="EN443" s="72"/>
      <c r="EO443" s="91"/>
      <c r="EP443" s="72"/>
      <c r="EQ443" s="91"/>
      <c r="ER443" s="72"/>
      <c r="ES443" s="91"/>
      <c r="ET443" s="72"/>
      <c r="EU443" s="91"/>
      <c r="EV443" s="72"/>
      <c r="EW443" s="91"/>
      <c r="EX443" s="72"/>
      <c r="EY443" s="72"/>
      <c r="EZ443" s="310"/>
      <c r="FA443" s="72"/>
      <c r="FB443" s="91">
        <f>FB442+FB441</f>
        <v>532</v>
      </c>
      <c r="FC443" s="80"/>
      <c r="FD443" s="91">
        <f>FD442+FD441</f>
        <v>580</v>
      </c>
      <c r="FE443" s="72">
        <f>IF(ISERROR(FD443/FB443),"NA",IF(OR(FD443/FB443&gt;2,FD443/FB443&lt;0.5),"NM",FD443/FB443*100-100))</f>
        <v>9.0225563909774422</v>
      </c>
      <c r="FF443" s="91">
        <f>FF442+FF441</f>
        <v>704</v>
      </c>
      <c r="FG443" s="72">
        <f>IF(ISERROR(FF443/FD443),"NA",IF(OR(FF443/FD443&gt;2,FF443/FD443&lt;0.5),"NM",FF443/FD443*100-100))</f>
        <v>21.379310344827587</v>
      </c>
      <c r="FH443" s="91">
        <f>FH442+FH441</f>
        <v>303</v>
      </c>
      <c r="FI443" s="72" t="str">
        <f>IF(ISERROR(FH443/FF443),"NA",IF(OR(FH443/FF443&gt;2,FH443/FF443&lt;0.5),"NM",FH443/FF443*100-100))</f>
        <v>NM</v>
      </c>
      <c r="FJ443" s="91">
        <f>FJ442+FJ441</f>
        <v>325</v>
      </c>
      <c r="FK443" s="72">
        <f>IF(ISERROR(FJ443/FH443),"NA",IF(OR(FJ443/FH443&gt;2,FJ443/FH443&lt;0.5),"NM",FJ443/FH443*100-100))</f>
        <v>7.2607260726072553</v>
      </c>
      <c r="FL443" s="91">
        <f>FL442+FL441</f>
        <v>238</v>
      </c>
      <c r="FM443" s="72">
        <f>IF(ISERROR(FL443/FJ443),"NA",IF(OR(FL443/FJ443&gt;2,FL443/FJ443&lt;0.5),"NM",FL443/FJ443*100-100))</f>
        <v>-26.769230769230774</v>
      </c>
      <c r="FN443" s="91">
        <f>FN442+FN441</f>
        <v>446</v>
      </c>
      <c r="FO443" s="72">
        <f>IF(ISERROR(FN443/FL443),"NA",IF(OR(FN443/FL443&gt;2,FN443/FL443&lt;0.5),"NM",FN443/FL443*100-100))</f>
        <v>87.394957983193279</v>
      </c>
      <c r="FP443" s="91">
        <f>FP442+FP441</f>
        <v>487</v>
      </c>
      <c r="FQ443" s="72">
        <f>IF(ISERROR(FP443/FN443),"NA",IF(OR(FP443/FN443&gt;2,FP443/FN443&lt;0.5),"NM",FP443/FN443*100-100))</f>
        <v>9.192825112107613</v>
      </c>
      <c r="FR443" s="91">
        <f>FR442+FR441</f>
        <v>590</v>
      </c>
      <c r="FS443" s="72">
        <f>IF(ISERROR(FR443/FP443),"NA",IF(OR(FR443/FP443&gt;2,FR443/FP443&lt;0.5),"NM",FR443/FP443*100-100))</f>
        <v>21.149897330595493</v>
      </c>
      <c r="FT443" s="91">
        <f>FT442+FT441</f>
        <v>769</v>
      </c>
      <c r="FU443" s="72">
        <f>IF(ISERROR(FT443/FR443),"NA",IF(OR(FT443/FR443&gt;2,FT443/FR443&lt;0.5),"NM",FT443/FR443*100-100))</f>
        <v>30.338983050847446</v>
      </c>
      <c r="FV443" s="91">
        <f>FV442+FV441</f>
        <v>93</v>
      </c>
      <c r="FW443" s="72" t="str">
        <f>IF(ISERROR(FV443/FT443),"NA",IF(OR(FV443/FT443&gt;2,FV443/FT443&lt;0.5),"NM",FV443/FT443*100-100))</f>
        <v>NM</v>
      </c>
      <c r="FX443" s="91"/>
      <c r="FY443" s="72"/>
      <c r="FZ443" s="91"/>
      <c r="GA443" s="72"/>
      <c r="GB443" s="91"/>
      <c r="GC443" s="72"/>
      <c r="GD443" s="91"/>
      <c r="GE443" s="72"/>
      <c r="GF443" s="91"/>
      <c r="GG443" s="72"/>
      <c r="GH443" s="91"/>
      <c r="GI443" s="72"/>
      <c r="GJ443" s="91"/>
      <c r="GK443" s="72"/>
      <c r="GL443" s="91"/>
      <c r="GM443" s="72"/>
      <c r="GN443" s="91"/>
      <c r="GO443" s="72"/>
      <c r="GP443" s="91"/>
      <c r="GQ443" s="72"/>
      <c r="GR443" s="91"/>
      <c r="GS443" s="72"/>
      <c r="GT443" s="91"/>
      <c r="GU443" s="72"/>
      <c r="GV443" s="91"/>
      <c r="GW443" s="72"/>
      <c r="GX443" s="91"/>
      <c r="GY443" s="72"/>
      <c r="GZ443" s="72"/>
      <c r="HA443" s="72"/>
      <c r="HB443" s="72"/>
      <c r="HC443"/>
      <c r="HD443"/>
      <c r="HE443"/>
      <c r="HF443"/>
      <c r="HG443"/>
      <c r="HH443"/>
      <c r="HI443" s="2"/>
    </row>
    <row r="444" spans="1:217" s="69" customFormat="1" ht="12.75" hidden="1" customHeight="1" outlineLevel="1" x14ac:dyDescent="0.2">
      <c r="B444" s="10"/>
      <c r="C444" s="144"/>
      <c r="D444" s="72"/>
      <c r="E444" s="144"/>
      <c r="F444" s="72"/>
      <c r="G444" s="144"/>
      <c r="H444" s="72"/>
      <c r="I444" s="144"/>
      <c r="J444" s="72"/>
      <c r="K444" s="144"/>
      <c r="L444" s="72"/>
      <c r="M444" s="144"/>
      <c r="N444" s="72"/>
      <c r="O444" s="144"/>
      <c r="P444" s="72"/>
      <c r="Q444" s="144"/>
      <c r="R444" s="72"/>
      <c r="S444" s="144"/>
      <c r="T444" s="72"/>
      <c r="U444" s="144"/>
      <c r="V444" s="72"/>
      <c r="W444" s="144"/>
      <c r="X444" s="72"/>
      <c r="Y444" s="144"/>
      <c r="Z444" s="72"/>
      <c r="AA444" s="144"/>
      <c r="AB444" s="72"/>
      <c r="AC444" s="144"/>
      <c r="AD444" s="72"/>
      <c r="AE444" s="144"/>
      <c r="AF444" s="72"/>
      <c r="AG444" s="144"/>
      <c r="AH444" s="72"/>
      <c r="AI444" s="144"/>
      <c r="AJ444" s="72"/>
      <c r="AK444" s="144"/>
      <c r="AL444" s="72"/>
      <c r="AM444" s="144"/>
      <c r="AN444" s="72"/>
      <c r="AO444" s="144"/>
      <c r="AP444" s="72"/>
      <c r="AQ444" s="144"/>
      <c r="AR444" s="72"/>
      <c r="AS444" s="144"/>
      <c r="AT444" s="72"/>
      <c r="AU444" s="144"/>
      <c r="AV444" s="72"/>
      <c r="AW444" s="144"/>
      <c r="AX444" s="72"/>
      <c r="AY444" s="144"/>
      <c r="AZ444" s="72"/>
      <c r="BA444" s="144"/>
      <c r="BB444" s="72"/>
      <c r="BC444" s="144"/>
      <c r="BD444" s="72"/>
      <c r="BE444" s="144"/>
      <c r="BF444" s="72"/>
      <c r="BG444" s="144"/>
      <c r="BH444" s="72"/>
      <c r="BI444" s="144"/>
      <c r="BJ444" s="72"/>
      <c r="BK444" s="144"/>
      <c r="BL444" s="72"/>
      <c r="BM444" s="144"/>
      <c r="BN444" s="72"/>
      <c r="BO444" s="144"/>
      <c r="BP444" s="72"/>
      <c r="BQ444" s="144"/>
      <c r="BR444" s="72"/>
      <c r="BS444" s="144"/>
      <c r="BT444" s="72"/>
      <c r="BU444" s="144"/>
      <c r="BV444" s="72"/>
      <c r="BW444" s="144"/>
      <c r="BX444" s="72"/>
      <c r="BY444" s="144"/>
      <c r="BZ444" s="72"/>
      <c r="CA444" s="144"/>
      <c r="CB444" s="72"/>
      <c r="CC444" s="144"/>
      <c r="CD444" s="72"/>
      <c r="CE444" s="144"/>
      <c r="CF444" s="72"/>
      <c r="CG444" s="144"/>
      <c r="CH444" s="72"/>
      <c r="CI444" s="144"/>
      <c r="CJ444" s="72"/>
      <c r="CK444" s="144"/>
      <c r="CL444" s="72"/>
      <c r="CM444" s="144"/>
      <c r="CN444" s="72"/>
      <c r="CO444" s="144"/>
      <c r="CP444" s="72"/>
      <c r="CQ444" s="144"/>
      <c r="CR444" s="72"/>
      <c r="CS444" s="144"/>
      <c r="CT444" s="72"/>
      <c r="CU444" s="144"/>
      <c r="CV444" s="72"/>
      <c r="CW444" s="144"/>
      <c r="CX444" s="72"/>
      <c r="CY444" s="144"/>
      <c r="CZ444" s="72"/>
      <c r="DA444" s="144"/>
      <c r="DB444" s="72"/>
      <c r="DC444" s="144"/>
      <c r="DD444" s="72"/>
      <c r="DE444" s="144"/>
      <c r="DF444" s="72"/>
      <c r="DG444" s="144"/>
      <c r="DH444" s="72"/>
      <c r="DI444" s="144"/>
      <c r="DJ444" s="72"/>
      <c r="DK444" s="144"/>
      <c r="DL444" s="72"/>
      <c r="DM444" s="144"/>
      <c r="DN444" s="72"/>
      <c r="DO444" s="144"/>
      <c r="DP444" s="72"/>
      <c r="DQ444" s="144"/>
      <c r="DR444" s="72"/>
      <c r="DS444" s="144"/>
      <c r="DT444" s="72"/>
      <c r="DU444" s="144"/>
      <c r="DV444" s="72"/>
      <c r="DW444" s="144"/>
      <c r="DX444" s="72"/>
      <c r="DY444" s="144"/>
      <c r="DZ444" s="72"/>
      <c r="EA444" s="144"/>
      <c r="EB444" s="72"/>
      <c r="EC444" s="144"/>
      <c r="ED444" s="72"/>
      <c r="EE444" s="144"/>
      <c r="EF444" s="72"/>
      <c r="EG444" s="144"/>
      <c r="EH444" s="72"/>
      <c r="EI444" s="144"/>
      <c r="EJ444" s="72"/>
      <c r="EK444" s="144"/>
      <c r="EL444" s="72"/>
      <c r="EM444" s="144"/>
      <c r="EN444" s="72"/>
      <c r="EO444" s="144"/>
      <c r="EP444" s="72"/>
      <c r="EQ444" s="144"/>
      <c r="ER444" s="72"/>
      <c r="ES444" s="144"/>
      <c r="ET444" s="72"/>
      <c r="EU444" s="144"/>
      <c r="EV444" s="72"/>
      <c r="EW444" s="144"/>
      <c r="EX444" s="72"/>
      <c r="EY444" s="72"/>
      <c r="EZ444" s="325"/>
      <c r="FA444" s="72"/>
      <c r="FB444" s="144"/>
      <c r="FC444" s="72"/>
      <c r="FD444" s="144"/>
      <c r="FE444" s="72"/>
      <c r="FF444" s="144"/>
      <c r="FG444" s="72"/>
      <c r="FH444" s="144"/>
      <c r="FI444" s="72"/>
      <c r="FJ444" s="144"/>
      <c r="FK444" s="72"/>
      <c r="FL444" s="144"/>
      <c r="FM444" s="72"/>
      <c r="FN444" s="144"/>
      <c r="FO444" s="72"/>
      <c r="FP444" s="144"/>
      <c r="FQ444" s="72"/>
      <c r="FR444" s="144"/>
      <c r="FS444" s="72"/>
      <c r="FT444" s="144"/>
      <c r="FU444" s="72"/>
      <c r="FV444" s="144"/>
      <c r="FW444" s="72"/>
      <c r="FX444" s="144"/>
      <c r="FY444" s="72"/>
      <c r="FZ444" s="144"/>
      <c r="GA444" s="72"/>
      <c r="GB444" s="144"/>
      <c r="GC444" s="72"/>
      <c r="GD444" s="144"/>
      <c r="GE444" s="72"/>
      <c r="GF444" s="144"/>
      <c r="GG444" s="72"/>
      <c r="GH444" s="144"/>
      <c r="GI444" s="72"/>
      <c r="GJ444" s="144"/>
      <c r="GK444" s="72"/>
      <c r="GL444" s="144"/>
      <c r="GM444" s="72"/>
      <c r="GN444" s="144"/>
      <c r="GO444" s="72"/>
      <c r="GP444" s="144"/>
      <c r="GQ444" s="72"/>
      <c r="GR444" s="144"/>
      <c r="GS444" s="72"/>
      <c r="GT444" s="144"/>
      <c r="GU444" s="72"/>
      <c r="GV444" s="144"/>
      <c r="GW444" s="72"/>
      <c r="GX444" s="144"/>
      <c r="GY444" s="72"/>
      <c r="GZ444" s="72"/>
      <c r="HA444" s="72"/>
      <c r="HB444" s="72"/>
      <c r="HC444"/>
      <c r="HD444"/>
      <c r="HE444"/>
      <c r="HF444"/>
      <c r="HG444"/>
      <c r="HH444"/>
      <c r="HI444" s="2"/>
    </row>
    <row r="445" spans="1:217" s="3" customFormat="1" ht="12.75" hidden="1" customHeight="1" outlineLevel="1" x14ac:dyDescent="0.2">
      <c r="B445" s="70" t="s">
        <v>669</v>
      </c>
      <c r="C445" s="153"/>
      <c r="D445" s="72"/>
      <c r="E445" s="153"/>
      <c r="F445" s="72"/>
      <c r="G445" s="153"/>
      <c r="H445" s="72"/>
      <c r="I445" s="153"/>
      <c r="J445" s="72"/>
      <c r="K445" s="153"/>
      <c r="L445" s="72"/>
      <c r="M445" s="153"/>
      <c r="N445" s="72"/>
      <c r="O445" s="153"/>
      <c r="P445" s="72"/>
      <c r="Q445" s="153"/>
      <c r="R445" s="72"/>
      <c r="S445" s="153"/>
      <c r="T445" s="72"/>
      <c r="U445" s="153"/>
      <c r="V445" s="72"/>
      <c r="W445" s="153"/>
      <c r="X445" s="72"/>
      <c r="Y445" s="153"/>
      <c r="Z445" s="72"/>
      <c r="AA445" s="153"/>
      <c r="AB445" s="72"/>
      <c r="AC445" s="153"/>
      <c r="AD445" s="72"/>
      <c r="AE445" s="153"/>
      <c r="AF445" s="72"/>
      <c r="AG445" s="153"/>
      <c r="AH445" s="72"/>
      <c r="AI445" s="153"/>
      <c r="AJ445" s="72"/>
      <c r="AK445" s="153"/>
      <c r="AL445" s="72"/>
      <c r="AM445" s="153"/>
      <c r="AN445" s="72"/>
      <c r="AO445" s="153"/>
      <c r="AP445" s="72"/>
      <c r="AQ445" s="153"/>
      <c r="AR445" s="72"/>
      <c r="AS445" s="153"/>
      <c r="AT445" s="72"/>
      <c r="AU445" s="153"/>
      <c r="AV445" s="72"/>
      <c r="AW445" s="153"/>
      <c r="AX445" s="72"/>
      <c r="AY445" s="153"/>
      <c r="AZ445" s="72"/>
      <c r="BA445" s="153"/>
      <c r="BB445" s="72"/>
      <c r="BC445" s="153"/>
      <c r="BD445" s="72"/>
      <c r="BE445" s="153"/>
      <c r="BF445" s="72"/>
      <c r="BG445" s="153"/>
      <c r="BH445" s="72"/>
      <c r="BI445" s="153"/>
      <c r="BJ445" s="72"/>
      <c r="BK445" s="153"/>
      <c r="BL445" s="72"/>
      <c r="BM445" s="153"/>
      <c r="BN445" s="72"/>
      <c r="BO445" s="153"/>
      <c r="BP445" s="72"/>
      <c r="BQ445" s="153"/>
      <c r="BR445" s="72"/>
      <c r="BS445" s="153"/>
      <c r="BT445" s="72"/>
      <c r="BU445" s="153"/>
      <c r="BV445" s="72"/>
      <c r="BW445" s="153"/>
      <c r="BX445" s="72"/>
      <c r="BY445" s="153"/>
      <c r="BZ445" s="72"/>
      <c r="CA445" s="153"/>
      <c r="CB445" s="72"/>
      <c r="CC445" s="153"/>
      <c r="CD445" s="72"/>
      <c r="CE445" s="153"/>
      <c r="CF445" s="72"/>
      <c r="CG445" s="153"/>
      <c r="CH445" s="72"/>
      <c r="CI445" s="153"/>
      <c r="CJ445" s="72"/>
      <c r="CK445" s="153"/>
      <c r="CL445" s="72"/>
      <c r="CM445" s="153"/>
      <c r="CN445" s="72"/>
      <c r="CO445" s="153"/>
      <c r="CP445" s="72"/>
      <c r="CQ445" s="153"/>
      <c r="CR445" s="72"/>
      <c r="CS445" s="153"/>
      <c r="CT445" s="72"/>
      <c r="CU445" s="153"/>
      <c r="CV445" s="72"/>
      <c r="CW445" s="153"/>
      <c r="CX445" s="72"/>
      <c r="CY445" s="153"/>
      <c r="CZ445" s="72"/>
      <c r="DA445" s="153"/>
      <c r="DB445" s="72"/>
      <c r="DC445" s="153"/>
      <c r="DD445" s="72"/>
      <c r="DE445" s="153"/>
      <c r="DF445" s="72"/>
      <c r="DG445" s="153"/>
      <c r="DH445" s="72"/>
      <c r="DI445" s="153"/>
      <c r="DJ445" s="72"/>
      <c r="DK445" s="153"/>
      <c r="DL445" s="72"/>
      <c r="DM445" s="153"/>
      <c r="DN445" s="72"/>
      <c r="DO445" s="153"/>
      <c r="DP445" s="72"/>
      <c r="DQ445" s="153"/>
      <c r="DR445" s="72"/>
      <c r="DS445" s="153"/>
      <c r="DT445" s="72"/>
      <c r="DU445" s="153"/>
      <c r="DV445" s="72"/>
      <c r="DW445" s="152"/>
      <c r="DX445" s="72"/>
      <c r="DY445" s="152"/>
      <c r="DZ445" s="72"/>
      <c r="EA445" s="152"/>
      <c r="EB445" s="72"/>
      <c r="EC445" s="152"/>
      <c r="ED445" s="72"/>
      <c r="EE445" s="152"/>
      <c r="EF445" s="72"/>
      <c r="EG445" s="152"/>
      <c r="EH445" s="72"/>
      <c r="EI445" s="152"/>
      <c r="EJ445" s="72"/>
      <c r="EK445" s="152"/>
      <c r="EL445" s="72"/>
      <c r="EM445" s="152"/>
      <c r="EN445" s="72"/>
      <c r="EO445" s="152"/>
      <c r="EP445" s="72"/>
      <c r="EQ445" s="152"/>
      <c r="ER445" s="72"/>
      <c r="ES445" s="152"/>
      <c r="ET445" s="72"/>
      <c r="EU445" s="152"/>
      <c r="EV445" s="72"/>
      <c r="EW445" s="152"/>
      <c r="EX445" s="72"/>
      <c r="EY445" s="72"/>
      <c r="EZ445" s="325"/>
      <c r="FA445" s="72"/>
      <c r="FB445" s="153"/>
      <c r="FC445" s="72"/>
      <c r="FD445" s="153"/>
      <c r="FE445" s="72"/>
      <c r="FF445" s="153"/>
      <c r="FG445" s="72"/>
      <c r="FH445" s="153"/>
      <c r="FI445" s="72"/>
      <c r="FJ445" s="153"/>
      <c r="FK445" s="72"/>
      <c r="FL445" s="153"/>
      <c r="FM445" s="72"/>
      <c r="FN445" s="153"/>
      <c r="FO445" s="72"/>
      <c r="FP445" s="153"/>
      <c r="FQ445" s="72"/>
      <c r="FR445" s="152"/>
      <c r="FS445" s="72"/>
      <c r="FT445" s="152"/>
      <c r="FU445" s="72"/>
      <c r="FV445" s="152"/>
      <c r="FW445" s="72"/>
      <c r="FX445" s="152"/>
      <c r="FY445" s="72"/>
      <c r="FZ445" s="152"/>
      <c r="GA445" s="72"/>
      <c r="GB445" s="152"/>
      <c r="GC445" s="72"/>
      <c r="GD445" s="152"/>
      <c r="GE445" s="72"/>
      <c r="GF445" s="152"/>
      <c r="GG445" s="72"/>
      <c r="GH445" s="152"/>
      <c r="GI445" s="72"/>
      <c r="GJ445" s="152"/>
      <c r="GK445" s="72"/>
      <c r="GL445" s="152"/>
      <c r="GM445" s="72"/>
      <c r="GN445" s="152"/>
      <c r="GO445" s="72"/>
      <c r="GP445" s="152"/>
      <c r="GQ445" s="72"/>
      <c r="GR445" s="152"/>
      <c r="GS445" s="72"/>
      <c r="GT445" s="152"/>
      <c r="GU445" s="72"/>
      <c r="GV445" s="152"/>
      <c r="GW445" s="72"/>
      <c r="GX445" s="152"/>
      <c r="GY445" s="72"/>
      <c r="GZ445" s="72"/>
      <c r="HA445" s="72"/>
      <c r="HB445" s="72"/>
      <c r="HC445"/>
      <c r="HD445"/>
      <c r="HE445"/>
      <c r="HF445"/>
      <c r="HG445"/>
      <c r="HH445"/>
      <c r="HI445" s="2"/>
    </row>
    <row r="446" spans="1:217" s="69" customFormat="1" ht="12.75" hidden="1" customHeight="1" outlineLevel="1" x14ac:dyDescent="0.2">
      <c r="B446" s="77" t="s">
        <v>505</v>
      </c>
      <c r="C446" s="151">
        <f>FF446-I446-G446-E446</f>
        <v>162</v>
      </c>
      <c r="D446" s="72"/>
      <c r="E446" s="151">
        <v>137</v>
      </c>
      <c r="F446" s="72"/>
      <c r="G446" s="151">
        <v>140</v>
      </c>
      <c r="H446" s="72"/>
      <c r="I446" s="151">
        <v>147</v>
      </c>
      <c r="J446" s="72"/>
      <c r="K446" s="151">
        <v>0</v>
      </c>
      <c r="L446" s="72"/>
      <c r="M446" s="151">
        <v>0</v>
      </c>
      <c r="N446" s="72"/>
      <c r="O446" s="151">
        <v>0</v>
      </c>
      <c r="P446" s="72"/>
      <c r="Q446" s="151">
        <v>0</v>
      </c>
      <c r="R446" s="72"/>
      <c r="S446" s="151">
        <v>0</v>
      </c>
      <c r="T446" s="72"/>
      <c r="U446" s="151">
        <v>0</v>
      </c>
      <c r="V446" s="72"/>
      <c r="W446" s="151">
        <v>0</v>
      </c>
      <c r="X446" s="72"/>
      <c r="Y446" s="151">
        <v>0</v>
      </c>
      <c r="Z446" s="72"/>
      <c r="AA446" s="151"/>
      <c r="AB446" s="72"/>
      <c r="AC446" s="151"/>
      <c r="AD446" s="72"/>
      <c r="AE446" s="151"/>
      <c r="AF446" s="72"/>
      <c r="AG446" s="151"/>
      <c r="AH446" s="72"/>
      <c r="AI446" s="151"/>
      <c r="AJ446" s="72"/>
      <c r="AK446" s="151"/>
      <c r="AL446" s="72"/>
      <c r="AM446" s="151"/>
      <c r="AN446" s="72"/>
      <c r="AO446" s="151"/>
      <c r="AP446" s="72"/>
      <c r="AQ446" s="151"/>
      <c r="AR446" s="72"/>
      <c r="AS446" s="151"/>
      <c r="AT446" s="72"/>
      <c r="AU446" s="151"/>
      <c r="AV446" s="72"/>
      <c r="AW446" s="151"/>
      <c r="AX446" s="72"/>
      <c r="AY446" s="151"/>
      <c r="AZ446" s="72"/>
      <c r="BA446" s="151"/>
      <c r="BB446" s="72"/>
      <c r="BC446" s="151"/>
      <c r="BD446" s="72"/>
      <c r="BE446" s="151"/>
      <c r="BF446" s="72"/>
      <c r="BG446" s="151"/>
      <c r="BH446" s="72"/>
      <c r="BI446" s="151"/>
      <c r="BJ446" s="72"/>
      <c r="BK446" s="151"/>
      <c r="BL446" s="72"/>
      <c r="BM446" s="151"/>
      <c r="BN446" s="72"/>
      <c r="BO446" s="151"/>
      <c r="BP446" s="72"/>
      <c r="BQ446" s="151"/>
      <c r="BR446" s="72"/>
      <c r="BS446" s="151"/>
      <c r="BT446" s="72"/>
      <c r="BU446" s="151"/>
      <c r="BV446" s="72"/>
      <c r="BW446" s="151"/>
      <c r="BX446" s="72"/>
      <c r="BY446" s="151"/>
      <c r="BZ446" s="72"/>
      <c r="CA446" s="151"/>
      <c r="CB446" s="72"/>
      <c r="CC446" s="151"/>
      <c r="CD446" s="72"/>
      <c r="CE446" s="151"/>
      <c r="CF446" s="72"/>
      <c r="CG446" s="151"/>
      <c r="CH446" s="72"/>
      <c r="CI446" s="151"/>
      <c r="CJ446" s="72"/>
      <c r="CK446" s="151"/>
      <c r="CL446" s="72"/>
      <c r="CM446" s="151"/>
      <c r="CN446" s="72"/>
      <c r="CO446" s="151"/>
      <c r="CP446" s="72"/>
      <c r="CQ446" s="151"/>
      <c r="CR446" s="72"/>
      <c r="CS446" s="151"/>
      <c r="CT446" s="72"/>
      <c r="CU446" s="151"/>
      <c r="CV446" s="72"/>
      <c r="CW446" s="151"/>
      <c r="CX446" s="72"/>
      <c r="CY446" s="151"/>
      <c r="CZ446" s="72"/>
      <c r="DA446" s="151"/>
      <c r="DB446" s="72"/>
      <c r="DC446" s="151"/>
      <c r="DD446" s="72"/>
      <c r="DE446" s="151"/>
      <c r="DF446" s="72"/>
      <c r="DG446" s="151"/>
      <c r="DH446" s="72"/>
      <c r="DI446" s="151"/>
      <c r="DJ446" s="72"/>
      <c r="DK446" s="151"/>
      <c r="DL446" s="72"/>
      <c r="DM446" s="151"/>
      <c r="DN446" s="72"/>
      <c r="DO446" s="151"/>
      <c r="DP446" s="72"/>
      <c r="DQ446" s="151"/>
      <c r="DR446" s="72"/>
      <c r="DS446" s="151"/>
      <c r="DT446" s="72"/>
      <c r="DU446" s="151"/>
      <c r="DV446" s="72"/>
      <c r="DW446" s="152"/>
      <c r="DX446" s="72"/>
      <c r="DY446" s="152"/>
      <c r="DZ446" s="72"/>
      <c r="EA446" s="152"/>
      <c r="EB446" s="72"/>
      <c r="EC446" s="152"/>
      <c r="ED446" s="72"/>
      <c r="EE446" s="152"/>
      <c r="EF446" s="72"/>
      <c r="EG446" s="152"/>
      <c r="EH446" s="72"/>
      <c r="EI446" s="152"/>
      <c r="EJ446" s="72"/>
      <c r="EK446" s="152"/>
      <c r="EL446" s="72"/>
      <c r="EM446" s="152"/>
      <c r="EN446" s="72"/>
      <c r="EO446" s="152"/>
      <c r="EP446" s="72"/>
      <c r="EQ446" s="152"/>
      <c r="ER446" s="72"/>
      <c r="ES446" s="152"/>
      <c r="ET446" s="72"/>
      <c r="EU446" s="152"/>
      <c r="EV446" s="72"/>
      <c r="EW446" s="152"/>
      <c r="EX446" s="72"/>
      <c r="EY446" s="72"/>
      <c r="EZ446" s="325"/>
      <c r="FA446" s="72"/>
      <c r="FB446" s="151">
        <v>493</v>
      </c>
      <c r="FC446" s="72"/>
      <c r="FD446" s="151">
        <v>510</v>
      </c>
      <c r="FE446" s="72"/>
      <c r="FF446" s="151">
        <v>586</v>
      </c>
      <c r="FG446" s="72"/>
      <c r="FH446" s="75">
        <f>K446+M446+O446+Q446</f>
        <v>0</v>
      </c>
      <c r="FI446" s="72"/>
      <c r="FJ446" s="75">
        <f>S446+U446+W446+Y446</f>
        <v>0</v>
      </c>
      <c r="FK446" s="72"/>
      <c r="FL446" s="75"/>
      <c r="FM446" s="72"/>
      <c r="FN446" s="75"/>
      <c r="FO446" s="72"/>
      <c r="FP446" s="152"/>
      <c r="FQ446" s="72"/>
      <c r="FR446" s="152"/>
      <c r="FS446" s="72"/>
      <c r="FT446" s="152"/>
      <c r="FU446" s="72"/>
      <c r="FV446" s="152"/>
      <c r="FW446" s="72"/>
      <c r="FX446" s="152"/>
      <c r="FY446" s="72"/>
      <c r="FZ446" s="152"/>
      <c r="GA446" s="72"/>
      <c r="GB446" s="152"/>
      <c r="GC446" s="72"/>
      <c r="GD446" s="152"/>
      <c r="GE446" s="72"/>
      <c r="GF446" s="152"/>
      <c r="GG446" s="72"/>
      <c r="GH446" s="152"/>
      <c r="GI446" s="72"/>
      <c r="GJ446" s="152"/>
      <c r="GK446" s="72"/>
      <c r="GL446" s="152"/>
      <c r="GM446" s="72"/>
      <c r="GN446" s="152"/>
      <c r="GO446" s="72"/>
      <c r="GP446" s="152"/>
      <c r="GQ446" s="72"/>
      <c r="GR446" s="152"/>
      <c r="GS446" s="72"/>
      <c r="GT446" s="152"/>
      <c r="GU446" s="72"/>
      <c r="GV446" s="152"/>
      <c r="GW446" s="72"/>
      <c r="GX446" s="152"/>
      <c r="GY446" s="72"/>
      <c r="GZ446" s="72"/>
      <c r="HA446" s="72"/>
      <c r="HB446" s="72"/>
      <c r="HC446"/>
      <c r="HD446"/>
      <c r="HE446"/>
      <c r="HF446"/>
      <c r="HG446"/>
      <c r="HH446"/>
      <c r="HI446" s="2"/>
    </row>
    <row r="447" spans="1:217" s="69" customFormat="1" ht="12.75" hidden="1" customHeight="1" outlineLevel="1" x14ac:dyDescent="0.2">
      <c r="B447" s="77" t="s">
        <v>404</v>
      </c>
      <c r="C447" s="151">
        <f>FF447-I447-G447-E447</f>
        <v>14</v>
      </c>
      <c r="D447" s="72"/>
      <c r="E447" s="151">
        <v>21</v>
      </c>
      <c r="F447" s="72"/>
      <c r="G447" s="151">
        <v>20</v>
      </c>
      <c r="H447" s="72"/>
      <c r="I447" s="151">
        <v>37</v>
      </c>
      <c r="J447" s="72"/>
      <c r="K447" s="151">
        <v>79</v>
      </c>
      <c r="L447" s="72" t="str">
        <f>IF(ISERROR(K447/C447),"NA",IF(OR(K447/C447&gt;2,K447/C447&lt;0.5),"NM",K447/C447*100-100))</f>
        <v>NM</v>
      </c>
      <c r="M447" s="151">
        <v>88</v>
      </c>
      <c r="N447" s="72" t="str">
        <f>IF(ISERROR(M447/E447),"NA",IF(OR(M447/E447&gt;2,M447/E447&lt;0.5),"NM",M447/E447*100-100))</f>
        <v>NM</v>
      </c>
      <c r="O447" s="151">
        <v>81</v>
      </c>
      <c r="P447" s="72" t="str">
        <f>IF(ISERROR(O447/G447),"NA",IF(OR(O447/G447&gt;2,O447/G447&lt;0.5),"NM",O447/G447*100-100))</f>
        <v>NM</v>
      </c>
      <c r="Q447" s="151">
        <v>95</v>
      </c>
      <c r="R447" s="72" t="str">
        <f>IF(ISERROR(Q447/I447),"NA",IF(OR(Q447/I447&gt;2,Q447/I447&lt;0.5),"NM",Q447/I447*100-100))</f>
        <v>NM</v>
      </c>
      <c r="S447" s="151">
        <v>80</v>
      </c>
      <c r="T447" s="72">
        <f>IF(ISERROR(S447/K447),"NA",IF(OR(S447/K447&gt;2,S447/K447&lt;0.5),"NM",S447/K447*100-100))</f>
        <v>1.2658227848101262</v>
      </c>
      <c r="U447" s="151">
        <v>85</v>
      </c>
      <c r="V447" s="72">
        <f>IF(ISERROR(U447/M447),"NA",IF(OR(U447/M447&gt;2,U447/M447&lt;0.5),"NM",U447/M447*100-100))</f>
        <v>-3.4090909090909065</v>
      </c>
      <c r="W447" s="151">
        <v>80</v>
      </c>
      <c r="X447" s="72">
        <f>IF(ISERROR(W447/O447),"NA",IF(OR(W447/O447&gt;2,W447/O447&lt;0.5),"NM",W447/O447*100-100))</f>
        <v>-1.2345679012345698</v>
      </c>
      <c r="Y447" s="151">
        <v>85</v>
      </c>
      <c r="Z447" s="72">
        <f>IF(ISERROR(Y447/Q447),"NA",IF(OR(Y447/Q447&gt;2,Y447/Q447&lt;0.5),"NM",Y447/Q447*100-100))</f>
        <v>-10.526315789473685</v>
      </c>
      <c r="AA447" s="151">
        <v>63</v>
      </c>
      <c r="AB447" s="72">
        <f>IF(ISERROR(AA447/S447),"NA",IF(OR(AA447/S447&gt;2,AA447/S447&lt;0.5),"NM",AA447/S447*100-100))</f>
        <v>-21.25</v>
      </c>
      <c r="AC447" s="151">
        <v>60</v>
      </c>
      <c r="AD447" s="72">
        <f>IF(ISERROR(AC447/U447),"NA",IF(OR(AC447/U447&gt;2,AC447/U447&lt;0.5),"NM",AC447/U447*100-100))</f>
        <v>-29.411764705882348</v>
      </c>
      <c r="AE447" s="151">
        <v>60</v>
      </c>
      <c r="AF447" s="72">
        <f>IF(ISERROR(AE447/W447),"NA",IF(OR(AE447/W447&gt;2,AE447/W447&lt;0.5),"NM",AE447/W447*100-100))</f>
        <v>-25</v>
      </c>
      <c r="AG447" s="151">
        <v>67</v>
      </c>
      <c r="AH447" s="72">
        <f>IF(ISERROR(AG447/Y447),"NA",IF(OR(AG447/Y447&gt;2,AG447/Y447&lt;0.5),"NM",AG447/Y447*100-100))</f>
        <v>-21.17647058823529</v>
      </c>
      <c r="AI447" s="151">
        <f>81+1</f>
        <v>82</v>
      </c>
      <c r="AJ447" s="72">
        <f>IF(ISERROR(AI447/AA447),"NA",IF(OR(AI447/AA447&gt;2,AI447/AA447&lt;0.5),"NM",AI447/AA447*100-100))</f>
        <v>30.158730158730151</v>
      </c>
      <c r="AK447" s="151">
        <v>94</v>
      </c>
      <c r="AL447" s="72">
        <f>IF(ISERROR(AK447/AC447),"NA",IF(OR(AK447/AC447&gt;2,AK447/AC447&lt;0.5),"NM",AK447/AC447*100-100))</f>
        <v>56.666666666666657</v>
      </c>
      <c r="AM447" s="151">
        <f>98+1</f>
        <v>99</v>
      </c>
      <c r="AN447" s="72">
        <f>IF(ISERROR(AM447/AE447),"NA",IF(OR(AM447/AE447&gt;2,AM447/AE447&lt;0.5),"NM",AM447/AE447*100-100))</f>
        <v>65</v>
      </c>
      <c r="AO447" s="151">
        <v>94</v>
      </c>
      <c r="AP447" s="72">
        <f>IF(ISERROR(AO447/AG447),"NA",IF(OR(AO447/AG447&gt;2,AO447/AG447&lt;0.5),"NM",AO447/AG447*100-100))</f>
        <v>40.298507462686587</v>
      </c>
      <c r="AQ447" s="151">
        <f>102+1</f>
        <v>103</v>
      </c>
      <c r="AR447" s="72">
        <f>IF(ISERROR(AQ447/AI447),"NA",IF(OR(AQ447/AI447&gt;2,AQ447/AI447&lt;0.5),"NM",AQ447/AI447*100-100))</f>
        <v>25.609756097560975</v>
      </c>
      <c r="AS447" s="151">
        <f>86+1</f>
        <v>87</v>
      </c>
      <c r="AT447" s="72">
        <f>IF(ISERROR(AS447/AK447),"NA",IF(OR(AS447/AK447&gt;2,AS447/AK447&lt;0.5),"NM",AS447/AK447*100-100))</f>
        <v>-7.4468085106383057</v>
      </c>
      <c r="AU447" s="151">
        <f>96+1</f>
        <v>97</v>
      </c>
      <c r="AV447" s="72">
        <f>IF(ISERROR(AU447/AM447),"NA",IF(OR(AU447/AM447&gt;2,AU447/AM447&lt;0.5),"NM",AU447/AM447*100-100))</f>
        <v>-2.0202020202020208</v>
      </c>
      <c r="AW447" s="151">
        <f>95-1</f>
        <v>94</v>
      </c>
      <c r="AX447" s="72">
        <f>IF(ISERROR(AW447/AO447),"NA",IF(OR(AW447/AO447&gt;2,AW447/AO447&lt;0.5),"NM",AW447/AO447*100-100))</f>
        <v>0</v>
      </c>
      <c r="AY447" s="151">
        <v>106</v>
      </c>
      <c r="AZ447" s="72">
        <f>IF(ISERROR(AY447/AQ447),"NA",IF(OR(AY447/AQ447&gt;2,AY447/AQ447&lt;0.5),"NM",AY447/AQ447*100-100))</f>
        <v>2.9126213592232943</v>
      </c>
      <c r="BA447" s="151">
        <f>111+1</f>
        <v>112</v>
      </c>
      <c r="BB447" s="72">
        <f>IF(ISERROR(BA447/AS447),"NA",IF(OR(BA447/AS447&gt;2,BA447/AS447&lt;0.5),"NM",BA447/AS447*100-100))</f>
        <v>28.735632183908052</v>
      </c>
      <c r="BC447" s="151">
        <v>101</v>
      </c>
      <c r="BD447" s="72">
        <f>IF(ISERROR(BC447/AU447),"NA",IF(OR(BC447/AU447&gt;2,BC447/AU447&lt;0.5),"NM",BC447/AU447*100-100))</f>
        <v>4.1237113402061993</v>
      </c>
      <c r="BE447" s="151">
        <v>128</v>
      </c>
      <c r="BF447" s="72">
        <f>IF(ISERROR(BE447/AW447),"NA",IF(OR(BE447/AW447&gt;2,BE447/AW447&lt;0.5),"NM",BE447/AW447*100-100))</f>
        <v>36.170212765957444</v>
      </c>
      <c r="BG447" s="151">
        <f>114+1</f>
        <v>115</v>
      </c>
      <c r="BH447" s="72">
        <f>IF(ISERROR(BG447/AY447),"NA",IF(OR(BG447/AY447&gt;2,BG447/AY447&lt;0.5),"NM",BG447/AY447*100-100))</f>
        <v>8.49056603773586</v>
      </c>
      <c r="BI447" s="151">
        <f>124+2</f>
        <v>126</v>
      </c>
      <c r="BJ447" s="72">
        <f>IF(ISERROR(BI447/BA447),"NA",IF(OR(BI447/BA447&gt;2,BI447/BA447&lt;0.5),"NM",BI447/BA447*100-100))</f>
        <v>12.5</v>
      </c>
      <c r="BK447" s="151">
        <f>135+2</f>
        <v>137</v>
      </c>
      <c r="BL447" s="72">
        <f>IF(ISERROR(BK447/BC447),"NA",IF(OR(BK447/BC447&gt;2,BK447/BC447&lt;0.5),"NM",BK447/BC447*100-100))</f>
        <v>35.643564356435661</v>
      </c>
      <c r="BM447" s="151">
        <v>132</v>
      </c>
      <c r="BN447" s="72">
        <f>IF(ISERROR(BM447/BE447),"NA",IF(OR(BM447/BE447&gt;2,BM447/BE447&lt;0.5),"NM",BM447/BE447*100-100))</f>
        <v>3.125</v>
      </c>
      <c r="BO447" s="151">
        <v>109</v>
      </c>
      <c r="BP447" s="72">
        <f>IF(ISERROR(BO447/BG447),"NA",IF(OR(BO447/BG447&gt;2,BO447/BG447&lt;0.5),"NM",BO447/BG447*100-100))</f>
        <v>-5.2173913043478279</v>
      </c>
      <c r="BQ447" s="151">
        <v>87</v>
      </c>
      <c r="BR447" s="72">
        <f>IF(ISERROR(BQ447/BI447),"NA",IF(OR(BQ447/BI447&gt;2,BQ447/BI447&lt;0.5),"NM",BQ447/BI447*100-100))</f>
        <v>-30.952380952380949</v>
      </c>
      <c r="BS447" s="151">
        <v>81</v>
      </c>
      <c r="BT447" s="72">
        <f>IF(ISERROR(BS447/BK447),"NA",IF(OR(BS447/BK447&gt;2,BS447/BK447&lt;0.5),"NM",BS447/BK447*100-100))</f>
        <v>-40.87591240875912</v>
      </c>
      <c r="BU447" s="151">
        <v>176</v>
      </c>
      <c r="BV447" s="72">
        <f>IF(ISERROR(BU447/BM447),"NA",IF(OR(BU447/BM447&gt;2,BU447/BM447&lt;0.5),"NM",BU447/BM447*100-100))</f>
        <v>33.333333333333314</v>
      </c>
      <c r="BW447" s="151"/>
      <c r="BX447" s="72"/>
      <c r="BY447" s="151"/>
      <c r="BZ447" s="72"/>
      <c r="CA447" s="151"/>
      <c r="CB447" s="72"/>
      <c r="CC447" s="151"/>
      <c r="CD447" s="72"/>
      <c r="CE447" s="151"/>
      <c r="CF447" s="72"/>
      <c r="CG447" s="151"/>
      <c r="CH447" s="72"/>
      <c r="CI447" s="151"/>
      <c r="CJ447" s="72"/>
      <c r="CK447" s="151"/>
      <c r="CL447" s="72"/>
      <c r="CM447" s="151"/>
      <c r="CN447" s="72"/>
      <c r="CO447" s="151"/>
      <c r="CP447" s="72"/>
      <c r="CQ447" s="151"/>
      <c r="CR447" s="72"/>
      <c r="CS447" s="151"/>
      <c r="CT447" s="72"/>
      <c r="CU447" s="151"/>
      <c r="CV447" s="72"/>
      <c r="CW447" s="151"/>
      <c r="CX447" s="72"/>
      <c r="CY447" s="151"/>
      <c r="CZ447" s="72"/>
      <c r="DA447" s="151"/>
      <c r="DB447" s="72"/>
      <c r="DC447" s="151"/>
      <c r="DD447" s="72"/>
      <c r="DE447" s="151"/>
      <c r="DF447" s="72"/>
      <c r="DG447" s="151"/>
      <c r="DH447" s="72"/>
      <c r="DI447" s="151"/>
      <c r="DJ447" s="72"/>
      <c r="DK447" s="151"/>
      <c r="DL447" s="72"/>
      <c r="DM447" s="151"/>
      <c r="DN447" s="72"/>
      <c r="DO447" s="151"/>
      <c r="DP447" s="72"/>
      <c r="DQ447" s="151"/>
      <c r="DR447" s="72"/>
      <c r="DS447" s="151"/>
      <c r="DT447" s="72"/>
      <c r="DU447" s="151"/>
      <c r="DV447" s="72"/>
      <c r="DW447" s="152"/>
      <c r="DX447" s="72"/>
      <c r="DY447" s="152"/>
      <c r="DZ447" s="72"/>
      <c r="EA447" s="152"/>
      <c r="EB447" s="72"/>
      <c r="EC447" s="152"/>
      <c r="ED447" s="72"/>
      <c r="EE447" s="152"/>
      <c r="EF447" s="72"/>
      <c r="EG447" s="152"/>
      <c r="EH447" s="72"/>
      <c r="EI447" s="152"/>
      <c r="EJ447" s="72"/>
      <c r="EK447" s="152"/>
      <c r="EL447" s="72"/>
      <c r="EM447" s="152"/>
      <c r="EN447" s="72"/>
      <c r="EO447" s="152"/>
      <c r="EP447" s="72"/>
      <c r="EQ447" s="152"/>
      <c r="ER447" s="72"/>
      <c r="ES447" s="152"/>
      <c r="ET447" s="72"/>
      <c r="EU447" s="152"/>
      <c r="EV447" s="72"/>
      <c r="EW447" s="152"/>
      <c r="EX447" s="72"/>
      <c r="EY447" s="72"/>
      <c r="EZ447" s="325"/>
      <c r="FA447" s="72"/>
      <c r="FB447" s="151">
        <v>27</v>
      </c>
      <c r="FC447" s="72"/>
      <c r="FD447" s="151">
        <v>55</v>
      </c>
      <c r="FE447" s="72" t="str">
        <f>IF(ISERROR(FD447/FB447),"NA",IF(OR(FD447/FB447&gt;2,FD447/FB447&lt;0.5),"NM",FD447/FB447*100-100))</f>
        <v>NM</v>
      </c>
      <c r="FF447" s="151">
        <v>92</v>
      </c>
      <c r="FG447" s="72">
        <f>IF(ISERROR(FF447/FD447),"NA",IF(OR(FF447/FD447&gt;2,FF447/FD447&lt;0.5),"NM",FF447/FD447*100-100))</f>
        <v>67.272727272727252</v>
      </c>
      <c r="FH447" s="75">
        <f>K447+M447+O447+Q447</f>
        <v>343</v>
      </c>
      <c r="FI447" s="72" t="str">
        <f>IF(ISERROR(FH447/FF447),"NA",IF(OR(FH447/FF447&gt;2,FH447/FF447&lt;0.5),"NM",FH447/FF447*100-100))</f>
        <v>NM</v>
      </c>
      <c r="FJ447" s="75">
        <f>S447+U447+W447+Y447</f>
        <v>330</v>
      </c>
      <c r="FK447" s="72">
        <f>IF(ISERROR(FJ447/FH447),"NA",IF(OR(FJ447/FH447&gt;2,FJ447/FH447&lt;0.5),"NM",FJ447/FH447*100-100))</f>
        <v>-3.7900874635568442</v>
      </c>
      <c r="FL447" s="75">
        <f>+AA447+AC447+AE447+AG447</f>
        <v>250</v>
      </c>
      <c r="FM447" s="72">
        <f>IF(ISERROR(FL447/FJ447),"NA",IF(OR(FL447/FJ447&gt;2,FL447/FJ447&lt;0.5),"NM",FL447/FJ447*100-100))</f>
        <v>-24.242424242424249</v>
      </c>
      <c r="FN447" s="75">
        <f>+AI447+AK447+AM447+AO447</f>
        <v>369</v>
      </c>
      <c r="FO447" s="72">
        <f>IF(ISERROR(FN447/FL447),"NA",IF(OR(FN447/FL447&gt;2,FN447/FL447&lt;0.5),"NM",FN447/FL447*100-100))</f>
        <v>47.599999999999994</v>
      </c>
      <c r="FP447" s="75">
        <f>AQ447+AS447+AU447+AW447</f>
        <v>381</v>
      </c>
      <c r="FQ447" s="72">
        <f>IF(ISERROR(FP447/FN447),"NA",IF(OR(FP447/FN447&gt;2,FP447/FN447&lt;0.5),"NM",FP447/FN447*100-100))</f>
        <v>3.2520325203252014</v>
      </c>
      <c r="FR447" s="152">
        <f>AY447+BA447+BC447+BE447</f>
        <v>447</v>
      </c>
      <c r="FS447" s="72">
        <f>IF(ISERROR(FR447/FP447),"NA",IF(OR(FR447/FP447&gt;2,FR447/FP447&lt;0.5),"NM",FR447/FP447*100-100))</f>
        <v>17.322834645669289</v>
      </c>
      <c r="FT447" s="152">
        <f>BG447+BI447+BK447+BM447</f>
        <v>510</v>
      </c>
      <c r="FU447" s="72">
        <f>IF(ISERROR(FT447/FR447),"NA",IF(OR(FT447/FR447&gt;2,FT447/FR447&lt;0.5),"NM",FT447/FR447*100-100))</f>
        <v>14.09395973154362</v>
      </c>
      <c r="FV447" s="152">
        <f>BO447+BQ447+BS447+BU447</f>
        <v>453</v>
      </c>
      <c r="FW447" s="72">
        <f>IF(ISERROR(FV447/FT447),"NA",IF(OR(FV447/FT447&gt;2,FV447/FT447&lt;0.5),"NM",FV447/FT447*100-100))</f>
        <v>-11.176470588235304</v>
      </c>
      <c r="FX447" s="75"/>
      <c r="FY447" s="72"/>
      <c r="FZ447" s="75"/>
      <c r="GA447" s="72"/>
      <c r="GB447" s="75"/>
      <c r="GC447" s="72"/>
      <c r="GD447" s="75"/>
      <c r="GE447" s="72"/>
      <c r="GF447" s="75"/>
      <c r="GG447" s="72"/>
      <c r="GH447" s="75"/>
      <c r="GI447" s="72"/>
      <c r="GJ447" s="75"/>
      <c r="GK447" s="72"/>
      <c r="GL447" s="75"/>
      <c r="GM447" s="72"/>
      <c r="GN447" s="75"/>
      <c r="GO447" s="72"/>
      <c r="GP447" s="75"/>
      <c r="GQ447" s="72"/>
      <c r="GR447" s="152"/>
      <c r="GS447" s="72"/>
      <c r="GT447" s="152"/>
      <c r="GU447" s="72"/>
      <c r="GV447" s="152"/>
      <c r="GW447" s="72"/>
      <c r="GX447" s="152"/>
      <c r="GY447" s="72"/>
      <c r="GZ447" s="72"/>
      <c r="HA447" s="72"/>
      <c r="HB447" s="72"/>
      <c r="HC447"/>
      <c r="HD447"/>
      <c r="HE447"/>
      <c r="HF447"/>
      <c r="HG447"/>
      <c r="HH447"/>
      <c r="HI447" s="2"/>
    </row>
    <row r="448" spans="1:217" s="3" customFormat="1" ht="12.75" hidden="1" customHeight="1" outlineLevel="1" x14ac:dyDescent="0.2">
      <c r="B448" s="3" t="s">
        <v>625</v>
      </c>
      <c r="C448" s="150">
        <v>0</v>
      </c>
      <c r="D448" s="72"/>
      <c r="E448" s="150">
        <v>0</v>
      </c>
      <c r="F448" s="72"/>
      <c r="G448" s="150">
        <v>0</v>
      </c>
      <c r="H448" s="92"/>
      <c r="I448" s="150">
        <v>0</v>
      </c>
      <c r="J448" s="92"/>
      <c r="K448" s="150">
        <v>0</v>
      </c>
      <c r="L448" s="72" t="str">
        <f>IF(ISERROR(K448/C448),"NA",IF(OR(K448/C448&gt;2,K448/C448&lt;0.5),"NM",K448/C448*100-100))</f>
        <v>NA</v>
      </c>
      <c r="M448" s="150">
        <v>0</v>
      </c>
      <c r="N448" s="72" t="str">
        <f>IF(ISERROR(M448/E448),"NA",IF(OR(M448/E448&gt;2,M448/E448&lt;0.5),"NM",M448/E448*100-100))</f>
        <v>NA</v>
      </c>
      <c r="O448" s="150">
        <v>1</v>
      </c>
      <c r="P448" s="72" t="str">
        <f>IF(ISERROR(O448/G448),"NA",IF(OR(O448/G448&gt;2,O448/G448&lt;0.5),"NM",O448/G448*100-100))</f>
        <v>NA</v>
      </c>
      <c r="Q448" s="150">
        <v>0</v>
      </c>
      <c r="R448" s="72" t="str">
        <f>IF(ISERROR(Q448/I448),"NA",IF(OR(Q448/I448&gt;2,Q448/I448&lt;0.5),"NM",Q448/I448*100-100))</f>
        <v>NA</v>
      </c>
      <c r="S448" s="150">
        <v>0</v>
      </c>
      <c r="T448" s="72" t="str">
        <f>IF(ISERROR(S448/K448),"NA",IF(OR(S448/K448&gt;2,S448/K448&lt;0.5),"NM",S448/K448*100-100))</f>
        <v>NA</v>
      </c>
      <c r="U448" s="150">
        <v>0</v>
      </c>
      <c r="V448" s="72" t="str">
        <f>IF(ISERROR(U448/M448),"NA",IF(OR(U448/M448&gt;2,U448/M448&lt;0.5),"NM",U448/M448*100-100))</f>
        <v>NA</v>
      </c>
      <c r="W448" s="150">
        <v>1</v>
      </c>
      <c r="X448" s="72">
        <f>IF(ISERROR(W448/O448),"NA",IF(OR(W448/O448&gt;2,W448/O448&lt;0.5),"NM",W448/O448*100-100))</f>
        <v>0</v>
      </c>
      <c r="Y448" s="150">
        <v>0</v>
      </c>
      <c r="Z448" s="72" t="str">
        <f>IF(ISERROR(Y448/Q448),"NA",IF(OR(Y448/Q448&gt;2,Y448/Q448&lt;0.5),"NM",Y448/Q448*100-100))</f>
        <v>NA</v>
      </c>
      <c r="AA448" s="150">
        <v>0</v>
      </c>
      <c r="AB448" s="72" t="str">
        <f>IF(ISERROR(AA448/S448),"NA",IF(OR(AA448/S448&gt;2,AA448/S448&lt;0.5),"NM",AA448/S448*100-100))</f>
        <v>NA</v>
      </c>
      <c r="AC448" s="150">
        <v>0</v>
      </c>
      <c r="AD448" s="72" t="str">
        <f>IF(ISERROR(AC448/U448),"NA",IF(OR(AC448/U448&gt;2,AC448/U448&lt;0.5),"NM",AC448/U448*100-100))</f>
        <v>NA</v>
      </c>
      <c r="AE448" s="150">
        <v>0</v>
      </c>
      <c r="AF448" s="72" t="str">
        <f>IF(ISERROR(AE448/W448),"NA",IF(OR(AE448/W448&gt;2,AE448/W448&lt;0.5),"NM",AE448/W448*100-100))</f>
        <v>NM</v>
      </c>
      <c r="AG448" s="150">
        <v>0</v>
      </c>
      <c r="AH448" s="72" t="str">
        <f>IF(ISERROR(AG448/Y448),"NA",IF(OR(AG448/Y448&gt;2,AG448/Y448&lt;0.5),"NM",AG448/Y448*100-100))</f>
        <v>NA</v>
      </c>
      <c r="AI448" s="150">
        <v>0</v>
      </c>
      <c r="AJ448" s="72" t="str">
        <f>IF(ISERROR(AI448/AA448),"NA",IF(OR(AI448/AA448&gt;2,AI448/AA448&lt;0.5),"NM",AI448/AA448*100-100))</f>
        <v>NA</v>
      </c>
      <c r="AK448" s="150">
        <v>0</v>
      </c>
      <c r="AL448" s="72" t="str">
        <f>IF(ISERROR(AK448/AC448),"NA",IF(OR(AK448/AC448&gt;2,AK448/AC448&lt;0.5),"NM",AK448/AC448*100-100))</f>
        <v>NA</v>
      </c>
      <c r="AM448" s="150">
        <v>0</v>
      </c>
      <c r="AN448" s="72" t="str">
        <f>IF(ISERROR(AM448/AE448),"NA",IF(OR(AM448/AE448&gt;2,AM448/AE448&lt;0.5),"NM",AM448/AE448*100-100))</f>
        <v>NA</v>
      </c>
      <c r="AO448" s="150">
        <v>0</v>
      </c>
      <c r="AP448" s="72" t="str">
        <f>IF(ISERROR(AO448/AG448),"NA",IF(OR(AO448/AG448&gt;2,AO448/AG448&lt;0.5),"NM",AO448/AG448*100-100))</f>
        <v>NA</v>
      </c>
      <c r="AQ448" s="150">
        <v>0</v>
      </c>
      <c r="AR448" s="72" t="str">
        <f>IF(ISERROR(AQ448/AI448),"NA",IF(OR(AQ448/AI448&gt;2,AQ448/AI448&lt;0.5),"NM",AQ448/AI448*100-100))</f>
        <v>NA</v>
      </c>
      <c r="AS448" s="150">
        <v>0</v>
      </c>
      <c r="AT448" s="72" t="str">
        <f>IF(ISERROR(AS448/AK448),"NA",IF(OR(AS448/AK448&gt;2,AS448/AK448&lt;0.5),"NM",AS448/AK448*100-100))</f>
        <v>NA</v>
      </c>
      <c r="AU448" s="150">
        <v>0</v>
      </c>
      <c r="AV448" s="72" t="str">
        <f>IF(ISERROR(AU448/AM448),"NA",IF(OR(AU448/AM448&gt;2,AU448/AM448&lt;0.5),"NM",AU448/AM448*100-100))</f>
        <v>NA</v>
      </c>
      <c r="AW448" s="150">
        <v>0</v>
      </c>
      <c r="AX448" s="72" t="str">
        <f>IF(ISERROR(AW448/AO448),"NA",IF(OR(AW448/AO448&gt;2,AW448/AO448&lt;0.5),"NM",AW448/AO448*100-100))</f>
        <v>NA</v>
      </c>
      <c r="AY448" s="150">
        <v>0</v>
      </c>
      <c r="AZ448" s="72" t="str">
        <f>IF(ISERROR(AY448/AQ448),"NA",IF(OR(AY448/AQ448&gt;2,AY448/AQ448&lt;0.5),"NM",AY448/AQ448*100-100))</f>
        <v>NA</v>
      </c>
      <c r="BA448" s="150">
        <v>0</v>
      </c>
      <c r="BB448" s="72" t="str">
        <f>IF(ISERROR(BA448/AS448),"NA",IF(OR(BA448/AS448&gt;2,BA448/AS448&lt;0.5),"NM",BA448/AS448*100-100))</f>
        <v>NA</v>
      </c>
      <c r="BC448" s="150">
        <v>0</v>
      </c>
      <c r="BD448" s="72" t="str">
        <f>IF(ISERROR(BC448/AU448),"NA",IF(OR(BC448/AU448&gt;2,BC448/AU448&lt;0.5),"NM",BC448/AU448*100-100))</f>
        <v>NA</v>
      </c>
      <c r="BE448" s="150">
        <v>0</v>
      </c>
      <c r="BF448" s="72" t="str">
        <f>IF(ISERROR(BE448/AW448),"NA",IF(OR(BE448/AW448&gt;2,BE448/AW448&lt;0.5),"NM",BE448/AW448*100-100))</f>
        <v>NA</v>
      </c>
      <c r="BG448" s="150">
        <v>0</v>
      </c>
      <c r="BH448" s="72" t="str">
        <f>IF(ISERROR(BG448/AY448),"NA",IF(OR(BG448/AY448&gt;2,BG448/AY448&lt;0.5),"NM",BG448/AY448*100-100))</f>
        <v>NA</v>
      </c>
      <c r="BI448" s="150">
        <v>0</v>
      </c>
      <c r="BJ448" s="72" t="str">
        <f>IF(ISERROR(BI448/BA448),"NA",IF(OR(BI448/BA448&gt;2,BI448/BA448&lt;0.5),"NM",BI448/BA448*100-100))</f>
        <v>NA</v>
      </c>
      <c r="BK448" s="150">
        <v>0</v>
      </c>
      <c r="BL448" s="72" t="str">
        <f>IF(ISERROR(BK448/BC448),"NA",IF(OR(BK448/BC448&gt;2,BK448/BC448&lt;0.5),"NM",BK448/BC448*100-100))</f>
        <v>NA</v>
      </c>
      <c r="BM448" s="150">
        <v>0</v>
      </c>
      <c r="BN448" s="72" t="str">
        <f>IF(ISERROR(BM448/BE448),"NA",IF(OR(BM448/BE448&gt;2,BM448/BE448&lt;0.5),"NM",BM448/BE448*100-100))</f>
        <v>NA</v>
      </c>
      <c r="BO448" s="150">
        <v>0</v>
      </c>
      <c r="BP448" s="72" t="str">
        <f>IF(ISERROR(BO448/BG448),"NA",IF(OR(BO448/BG448&gt;2,BO448/BG448&lt;0.5),"NM",BO448/BG448*100-100))</f>
        <v>NA</v>
      </c>
      <c r="BQ448" s="150">
        <v>0</v>
      </c>
      <c r="BR448" s="72" t="str">
        <f>IF(ISERROR(BQ448/BI448),"NA",IF(OR(BQ448/BI448&gt;2,BQ448/BI448&lt;0.5),"NM",BQ448/BI448*100-100))</f>
        <v>NA</v>
      </c>
      <c r="BS448" s="150">
        <v>0</v>
      </c>
      <c r="BT448" s="72" t="str">
        <f>IF(ISERROR(BS448/BK448),"NA",IF(OR(BS448/BK448&gt;2,BS448/BK448&lt;0.5),"NM",BS448/BK448*100-100))</f>
        <v>NA</v>
      </c>
      <c r="BU448" s="150">
        <v>0</v>
      </c>
      <c r="BV448" s="72" t="str">
        <f>IF(ISERROR(BU448/BM448),"NA",IF(OR(BU448/BM448&gt;2,BU448/BM448&lt;0.5),"NM",BU448/BM448*100-100))</f>
        <v>NA</v>
      </c>
      <c r="BW448" s="150"/>
      <c r="BX448" s="72"/>
      <c r="BY448" s="150"/>
      <c r="BZ448" s="72"/>
      <c r="CA448" s="150"/>
      <c r="CB448" s="72"/>
      <c r="CC448" s="150"/>
      <c r="CD448" s="72"/>
      <c r="CE448" s="150"/>
      <c r="CF448" s="72"/>
      <c r="CG448" s="150"/>
      <c r="CH448" s="72"/>
      <c r="CI448" s="150"/>
      <c r="CJ448" s="72"/>
      <c r="CK448" s="150"/>
      <c r="CL448" s="72"/>
      <c r="CM448" s="150"/>
      <c r="CN448" s="72"/>
      <c r="CO448" s="150"/>
      <c r="CP448" s="72"/>
      <c r="CQ448" s="150"/>
      <c r="CR448" s="72"/>
      <c r="CS448" s="150"/>
      <c r="CT448" s="72"/>
      <c r="CU448" s="150"/>
      <c r="CV448" s="72"/>
      <c r="CW448" s="150"/>
      <c r="CX448" s="72"/>
      <c r="CY448" s="150"/>
      <c r="CZ448" s="72"/>
      <c r="DA448" s="150"/>
      <c r="DB448" s="72"/>
      <c r="DC448" s="150"/>
      <c r="DD448" s="72"/>
      <c r="DE448" s="150"/>
      <c r="DF448" s="72"/>
      <c r="DG448" s="150"/>
      <c r="DH448" s="72"/>
      <c r="DI448" s="150"/>
      <c r="DJ448" s="72"/>
      <c r="DK448" s="150"/>
      <c r="DL448" s="72"/>
      <c r="DM448" s="150"/>
      <c r="DN448" s="72"/>
      <c r="DO448" s="150"/>
      <c r="DP448" s="72"/>
      <c r="DQ448" s="150"/>
      <c r="DR448" s="72"/>
      <c r="DS448" s="150"/>
      <c r="DT448" s="72"/>
      <c r="DU448" s="150"/>
      <c r="DV448" s="72"/>
      <c r="DW448" s="150"/>
      <c r="DX448" s="72"/>
      <c r="DY448" s="150"/>
      <c r="DZ448" s="72"/>
      <c r="EA448" s="150"/>
      <c r="EB448" s="72"/>
      <c r="EC448" s="150"/>
      <c r="ED448" s="72"/>
      <c r="EE448" s="150"/>
      <c r="EF448" s="72"/>
      <c r="EG448" s="150"/>
      <c r="EH448" s="72"/>
      <c r="EI448" s="150"/>
      <c r="EJ448" s="72"/>
      <c r="EK448" s="150"/>
      <c r="EL448" s="72"/>
      <c r="EM448" s="150"/>
      <c r="EN448" s="72"/>
      <c r="EO448" s="150"/>
      <c r="EP448" s="72"/>
      <c r="EQ448" s="150"/>
      <c r="ER448" s="72"/>
      <c r="ES448" s="150"/>
      <c r="ET448" s="72"/>
      <c r="EU448" s="150"/>
      <c r="EV448" s="72"/>
      <c r="EW448" s="150"/>
      <c r="EX448" s="72"/>
      <c r="EY448" s="72"/>
      <c r="EZ448" s="325"/>
      <c r="FA448" s="72"/>
      <c r="FB448" s="144">
        <v>-1</v>
      </c>
      <c r="FC448" s="87"/>
      <c r="FD448" s="144">
        <v>0</v>
      </c>
      <c r="FE448" s="72" t="str">
        <f>IF(ISERROR(FD448/FB448),"NA",IF(OR(FD448/FB448&gt;2,FD448/FB448&lt;0.5),"NM",FD448/FB448*100-100))</f>
        <v>NM</v>
      </c>
      <c r="FF448" s="144">
        <v>0</v>
      </c>
      <c r="FG448" s="72" t="str">
        <f>IF(ISERROR(FF448/FD448),"NA",IF(OR(FF448/FD448&gt;2,FF448/FD448&lt;0.5),"NM",FF448/FD448*100-100))</f>
        <v>NA</v>
      </c>
      <c r="FH448" s="144">
        <v>1</v>
      </c>
      <c r="FI448" s="72" t="str">
        <f>IF(ISERROR(FH448/FF448),"NA",IF(OR(FH448/FF448&gt;2,FH448/FF448&lt;0.5),"NM",FH448/FF448*100-100))</f>
        <v>NA</v>
      </c>
      <c r="FJ448" s="144">
        <v>1</v>
      </c>
      <c r="FK448" s="72">
        <f>IF(ISERROR(FJ448/FH448),"NA",IF(OR(FJ448/FH448&gt;2,FJ448/FH448&lt;0.5),"NM",FJ448/FH448*100-100))</f>
        <v>0</v>
      </c>
      <c r="FL448" s="144">
        <v>0</v>
      </c>
      <c r="FM448" s="72" t="str">
        <f>IF(ISERROR(FL448/FJ448),"NA",IF(OR(FL448/FJ448&gt;2,FL448/FJ448&lt;0.5),"NM",FL448/FJ448*100-100))</f>
        <v>NM</v>
      </c>
      <c r="FN448" s="150">
        <v>0</v>
      </c>
      <c r="FO448" s="72" t="str">
        <f>IF(ISERROR(FN448/FL448),"NA",IF(OR(FN448/FL448&gt;2,FN448/FL448&lt;0.5),"NM",FN448/FL448*100-100))</f>
        <v>NA</v>
      </c>
      <c r="FP448" s="150">
        <v>0</v>
      </c>
      <c r="FQ448" s="72" t="str">
        <f>IF(ISERROR(FP448/FN448),"NA",IF(OR(FP448/FN448&gt;2,FP448/FN448&lt;0.5),"NM",FP448/FN448*100-100))</f>
        <v>NA</v>
      </c>
      <c r="FR448" s="144">
        <f>AY448+BA448+BC448+BE448</f>
        <v>0</v>
      </c>
      <c r="FS448" s="72" t="str">
        <f>IF(ISERROR(FR448/FP448),"NA",IF(OR(FR448/FP448&gt;2,FR448/FP448&lt;0.5),"NM",FR448/FP448*100-100))</f>
        <v>NA</v>
      </c>
      <c r="FT448" s="144">
        <f>BG448+BI448+BK448+BM448</f>
        <v>0</v>
      </c>
      <c r="FU448" s="72" t="str">
        <f>IF(ISERROR(FT448/FR448),"NA",IF(OR(FT448/FR448&gt;2,FT448/FR448&lt;0.5),"NM",FT448/FR448*100-100))</f>
        <v>NA</v>
      </c>
      <c r="FV448" s="144">
        <f>BO448+BQ448+BS448+BU448</f>
        <v>0</v>
      </c>
      <c r="FW448" s="72" t="str">
        <f>IF(ISERROR(FV448/FT448),"NA",IF(OR(FV448/FT448&gt;2,FV448/FT448&lt;0.5),"NM",FV448/FT448*100-100))</f>
        <v>NA</v>
      </c>
      <c r="FX448" s="75"/>
      <c r="FY448" s="72"/>
      <c r="FZ448" s="75"/>
      <c r="GA448" s="72"/>
      <c r="GB448" s="75"/>
      <c r="GC448" s="72"/>
      <c r="GD448" s="75"/>
      <c r="GE448" s="72"/>
      <c r="GF448" s="75"/>
      <c r="GG448" s="72"/>
      <c r="GH448" s="75"/>
      <c r="GI448" s="72"/>
      <c r="GJ448" s="75"/>
      <c r="GK448" s="72"/>
      <c r="GL448" s="75"/>
      <c r="GM448" s="72"/>
      <c r="GN448" s="75"/>
      <c r="GO448" s="72"/>
      <c r="GP448" s="75"/>
      <c r="GQ448" s="72"/>
      <c r="GR448" s="150"/>
      <c r="GS448" s="72"/>
      <c r="GT448" s="150"/>
      <c r="GU448" s="72"/>
      <c r="GV448" s="150"/>
      <c r="GW448" s="72"/>
      <c r="GX448" s="150"/>
      <c r="GY448" s="72"/>
      <c r="GZ448" s="72"/>
      <c r="HA448" s="72"/>
      <c r="HB448" s="72"/>
      <c r="HC448"/>
      <c r="HD448"/>
      <c r="HE448"/>
      <c r="HF448"/>
      <c r="HG448"/>
      <c r="HH448"/>
      <c r="HI448" s="2"/>
    </row>
    <row r="449" spans="1:217" s="133" customFormat="1" ht="12.75" hidden="1" customHeight="1" outlineLevel="1" x14ac:dyDescent="0.2">
      <c r="B449" s="93" t="s">
        <v>156</v>
      </c>
      <c r="C449" s="91">
        <f>SUM(C446:C448)</f>
        <v>176</v>
      </c>
      <c r="D449" s="80"/>
      <c r="E449" s="91">
        <f>SUM(E446:E448)</f>
        <v>158</v>
      </c>
      <c r="F449" s="80"/>
      <c r="G449" s="91">
        <f>SUM(G446:G448)</f>
        <v>160</v>
      </c>
      <c r="H449" s="80"/>
      <c r="I449" s="91">
        <f>SUM(I446:I448)</f>
        <v>184</v>
      </c>
      <c r="J449" s="80"/>
      <c r="K449" s="91">
        <f>SUM(K446:K448)</f>
        <v>79</v>
      </c>
      <c r="L449" s="72" t="str">
        <f>IF(ISERROR(K449/C449),"NA",IF(OR(K449/C449&gt;2,K449/C449&lt;0.5),"NM",K449/C449*100-100))</f>
        <v>NM</v>
      </c>
      <c r="M449" s="91">
        <f>SUM(M446:M448)</f>
        <v>88</v>
      </c>
      <c r="N449" s="72">
        <f>IF(ISERROR(M449/E449),"NA",IF(OR(M449/E449&gt;2,M449/E449&lt;0.5),"NM",M449/E449*100-100))</f>
        <v>-44.303797468354432</v>
      </c>
      <c r="O449" s="91">
        <f>SUM(O446:O448)</f>
        <v>82</v>
      </c>
      <c r="P449" s="72">
        <f>IF(ISERROR(O449/G449),"NA",IF(OR(O449/G449&gt;2,O449/G449&lt;0.5),"NM",O449/G449*100-100))</f>
        <v>-48.750000000000007</v>
      </c>
      <c r="Q449" s="91">
        <f>SUM(Q446:Q448)</f>
        <v>95</v>
      </c>
      <c r="R449" s="72">
        <f>IF(ISERROR(Q449/I449),"NA",IF(OR(Q449/I449&gt;2,Q449/I449&lt;0.5),"NM",Q449/I449*100-100))</f>
        <v>-48.369565217391312</v>
      </c>
      <c r="S449" s="91">
        <f>SUM(S446:S448)</f>
        <v>80</v>
      </c>
      <c r="T449" s="72">
        <f>IF(ISERROR(S449/K449),"NA",IF(OR(S449/K449&gt;2,S449/K449&lt;0.5),"NM",S449/K449*100-100))</f>
        <v>1.2658227848101262</v>
      </c>
      <c r="U449" s="91">
        <f>SUM(U446:U448)</f>
        <v>85</v>
      </c>
      <c r="V449" s="72">
        <f>IF(ISERROR(U449/M449),"NA",IF(OR(U449/M449&gt;2,U449/M449&lt;0.5),"NM",U449/M449*100-100))</f>
        <v>-3.4090909090909065</v>
      </c>
      <c r="W449" s="91">
        <f>SUM(W446:W448)</f>
        <v>81</v>
      </c>
      <c r="X449" s="72">
        <f>IF(ISERROR(W449/O449),"NA",IF(OR(W449/O449&gt;2,W449/O449&lt;0.5),"NM",W449/O449*100-100))</f>
        <v>-1.2195121951219505</v>
      </c>
      <c r="Y449" s="91">
        <f>SUM(Y446:Y448)</f>
        <v>85</v>
      </c>
      <c r="Z449" s="72">
        <f>IF(ISERROR(Y449/Q449),"NA",IF(OR(Y449/Q449&gt;2,Y449/Q449&lt;0.5),"NM",Y449/Q449*100-100))</f>
        <v>-10.526315789473685</v>
      </c>
      <c r="AA449" s="91">
        <f>SUM(AA447:AA448)</f>
        <v>63</v>
      </c>
      <c r="AB449" s="72">
        <f>IF(ISERROR(AA449/S449),"NA",IF(OR(AA449/S449&gt;2,AA449/S449&lt;0.5),"NM",AA449/S449*100-100))</f>
        <v>-21.25</v>
      </c>
      <c r="AC449" s="91">
        <f>SUM(AC447:AC448)</f>
        <v>60</v>
      </c>
      <c r="AD449" s="72">
        <f>IF(ISERROR(AC449/U449),"NA",IF(OR(AC449/U449&gt;2,AC449/U449&lt;0.5),"NM",AC449/U449*100-100))</f>
        <v>-29.411764705882348</v>
      </c>
      <c r="AE449" s="91">
        <f>SUM(AE447:AE448)</f>
        <v>60</v>
      </c>
      <c r="AF449" s="72">
        <f>IF(ISERROR(AE449/W449),"NA",IF(OR(AE449/W449&gt;2,AE449/W449&lt;0.5),"NM",AE449/W449*100-100))</f>
        <v>-25.925925925925924</v>
      </c>
      <c r="AG449" s="91">
        <f>SUM(AG447:AG448)</f>
        <v>67</v>
      </c>
      <c r="AH449" s="72">
        <f>IF(ISERROR(AG449/Y449),"NA",IF(OR(AG449/Y449&gt;2,AG449/Y449&lt;0.5),"NM",AG449/Y449*100-100))</f>
        <v>-21.17647058823529</v>
      </c>
      <c r="AI449" s="91">
        <f>SUM(AI447:AI448)</f>
        <v>82</v>
      </c>
      <c r="AJ449" s="72">
        <f>IF(ISERROR(AI449/AA449),"NA",IF(OR(AI449/AA449&gt;2,AI449/AA449&lt;0.5),"NM",AI449/AA449*100-100))</f>
        <v>30.158730158730151</v>
      </c>
      <c r="AK449" s="91">
        <f>SUM(AK447:AK448)</f>
        <v>94</v>
      </c>
      <c r="AL449" s="72">
        <f>IF(ISERROR(AK449/AC449),"NA",IF(OR(AK449/AC449&gt;2,AK449/AC449&lt;0.5),"NM",AK449/AC449*100-100))</f>
        <v>56.666666666666657</v>
      </c>
      <c r="AM449" s="91">
        <f>SUM(AM447:AM448)</f>
        <v>99</v>
      </c>
      <c r="AN449" s="72">
        <f>IF(ISERROR(AM449/AE449),"NA",IF(OR(AM449/AE449&gt;2,AM449/AE449&lt;0.5),"NM",AM449/AE449*100-100))</f>
        <v>65</v>
      </c>
      <c r="AO449" s="91">
        <f>SUM(AO447:AO448)</f>
        <v>94</v>
      </c>
      <c r="AP449" s="72">
        <f>IF(ISERROR(AO449/AG449),"NA",IF(OR(AO449/AG449&gt;2,AO449/AG449&lt;0.5),"NM",AO449/AG449*100-100))</f>
        <v>40.298507462686587</v>
      </c>
      <c r="AQ449" s="91">
        <f>SUM(AQ447:AQ448)</f>
        <v>103</v>
      </c>
      <c r="AR449" s="72">
        <f>IF(ISERROR(AQ449/AI449),"NA",IF(OR(AQ449/AI449&gt;2,AQ449/AI449&lt;0.5),"NM",AQ449/AI449*100-100))</f>
        <v>25.609756097560975</v>
      </c>
      <c r="AS449" s="91">
        <f>SUM(AS447:AS448)</f>
        <v>87</v>
      </c>
      <c r="AT449" s="72">
        <f>IF(ISERROR(AS449/AK449),"NA",IF(OR(AS449/AK449&gt;2,AS449/AK449&lt;0.5),"NM",AS449/AK449*100-100))</f>
        <v>-7.4468085106383057</v>
      </c>
      <c r="AU449" s="91">
        <f>SUM(AU447:AU448)</f>
        <v>97</v>
      </c>
      <c r="AV449" s="72">
        <f>IF(ISERROR(AU449/AM449),"NA",IF(OR(AU449/AM449&gt;2,AU449/AM449&lt;0.5),"NM",AU449/AM449*100-100))</f>
        <v>-2.0202020202020208</v>
      </c>
      <c r="AW449" s="91">
        <f>SUM(AW447:AW448)</f>
        <v>94</v>
      </c>
      <c r="AX449" s="72">
        <f>IF(ISERROR(AW449/AO449),"NA",IF(OR(AW449/AO449&gt;2,AW449/AO449&lt;0.5),"NM",AW449/AO449*100-100))</f>
        <v>0</v>
      </c>
      <c r="AY449" s="91">
        <f>SUM(AY447:AY448)</f>
        <v>106</v>
      </c>
      <c r="AZ449" s="72">
        <f>IF(ISERROR(AY449/AQ449),"NA",IF(OR(AY449/AQ449&gt;2,AY449/AQ449&lt;0.5),"NM",AY449/AQ449*100-100))</f>
        <v>2.9126213592232943</v>
      </c>
      <c r="BA449" s="91">
        <f>SUM(BA447:BA448)</f>
        <v>112</v>
      </c>
      <c r="BB449" s="72">
        <f>IF(ISERROR(BA449/AS449),"NA",IF(OR(BA449/AS449&gt;2,BA449/AS449&lt;0.5),"NM",BA449/AS449*100-100))</f>
        <v>28.735632183908052</v>
      </c>
      <c r="BC449" s="91">
        <f>SUM(BC447:BC448)</f>
        <v>101</v>
      </c>
      <c r="BD449" s="72">
        <f>IF(ISERROR(BC449/AU449),"NA",IF(OR(BC449/AU449&gt;2,BC449/AU449&lt;0.5),"NM",BC449/AU449*100-100))</f>
        <v>4.1237113402061993</v>
      </c>
      <c r="BE449" s="91">
        <f>SUM(BE447:BE448)</f>
        <v>128</v>
      </c>
      <c r="BF449" s="72">
        <f>IF(ISERROR(BE449/AW449),"NA",IF(OR(BE449/AW449&gt;2,BE449/AW449&lt;0.5),"NM",BE449/AW449*100-100))</f>
        <v>36.170212765957444</v>
      </c>
      <c r="BG449" s="91">
        <f>SUM(BG447:BG448)</f>
        <v>115</v>
      </c>
      <c r="BH449" s="72">
        <f>IF(ISERROR(BG449/AY449),"NA",IF(OR(BG449/AY449&gt;2,BG449/AY449&lt;0.5),"NM",BG449/AY449*100-100))</f>
        <v>8.49056603773586</v>
      </c>
      <c r="BI449" s="91">
        <f>SUM(BI447:BI448)</f>
        <v>126</v>
      </c>
      <c r="BJ449" s="72">
        <f>IF(ISERROR(BI449/BA449),"NA",IF(OR(BI449/BA449&gt;2,BI449/BA449&lt;0.5),"NM",BI449/BA449*100-100))</f>
        <v>12.5</v>
      </c>
      <c r="BK449" s="91">
        <f>SUM(BK447:BK448)</f>
        <v>137</v>
      </c>
      <c r="BL449" s="72">
        <f>IF(ISERROR(BK449/BC449),"NA",IF(OR(BK449/BC449&gt;2,BK449/BC449&lt;0.5),"NM",BK449/BC449*100-100))</f>
        <v>35.643564356435661</v>
      </c>
      <c r="BM449" s="91">
        <f>SUM(BM447:BM448)</f>
        <v>132</v>
      </c>
      <c r="BN449" s="72">
        <f>IF(ISERROR(BM449/BE449),"NA",IF(OR(BM449/BE449&gt;2,BM449/BE449&lt;0.5),"NM",BM449/BE449*100-100))</f>
        <v>3.125</v>
      </c>
      <c r="BO449" s="91">
        <f>SUM(BO447:BO448)</f>
        <v>109</v>
      </c>
      <c r="BP449" s="72">
        <f>IF(ISERROR(BO449/BG449),"NA",IF(OR(BO449/BG449&gt;2,BO449/BG449&lt;0.5),"NM",BO449/BG449*100-100))</f>
        <v>-5.2173913043478279</v>
      </c>
      <c r="BQ449" s="91">
        <f>SUM(BQ447:BQ448)</f>
        <v>87</v>
      </c>
      <c r="BR449" s="72">
        <f>IF(ISERROR(BQ449/BI449),"NA",IF(OR(BQ449/BI449&gt;2,BQ449/BI449&lt;0.5),"NM",BQ449/BI449*100-100))</f>
        <v>-30.952380952380949</v>
      </c>
      <c r="BS449" s="91">
        <f>SUM(BS447:BS448)</f>
        <v>81</v>
      </c>
      <c r="BT449" s="72">
        <f>IF(ISERROR(BS449/BK449),"NA",IF(OR(BS449/BK449&gt;2,BS449/BK449&lt;0.5),"NM",BS449/BK449*100-100))</f>
        <v>-40.87591240875912</v>
      </c>
      <c r="BU449" s="91">
        <f>SUM(BU447:BU448)</f>
        <v>176</v>
      </c>
      <c r="BV449" s="72">
        <f>IF(ISERROR(BU449/BM449),"NA",IF(OR(BU449/BM449&gt;2,BU449/BM449&lt;0.5),"NM",BU449/BM449*100-100))</f>
        <v>33.333333333333314</v>
      </c>
      <c r="BW449" s="91"/>
      <c r="BX449" s="72"/>
      <c r="BY449" s="91"/>
      <c r="BZ449" s="72"/>
      <c r="CA449" s="91"/>
      <c r="CB449" s="72"/>
      <c r="CC449" s="91"/>
      <c r="CD449" s="72"/>
      <c r="CE449" s="91"/>
      <c r="CF449" s="72"/>
      <c r="CG449" s="91"/>
      <c r="CH449" s="72"/>
      <c r="CI449" s="91"/>
      <c r="CJ449" s="72"/>
      <c r="CK449" s="91"/>
      <c r="CL449" s="72"/>
      <c r="CM449" s="91"/>
      <c r="CN449" s="72"/>
      <c r="CO449" s="91"/>
      <c r="CP449" s="72"/>
      <c r="CQ449" s="91"/>
      <c r="CR449" s="72"/>
      <c r="CS449" s="91"/>
      <c r="CT449" s="72"/>
      <c r="CU449" s="91"/>
      <c r="CV449" s="72"/>
      <c r="CW449" s="91"/>
      <c r="CX449" s="72"/>
      <c r="CY449" s="91"/>
      <c r="CZ449" s="72"/>
      <c r="DA449" s="91"/>
      <c r="DB449" s="72"/>
      <c r="DC449" s="91"/>
      <c r="DD449" s="72"/>
      <c r="DE449" s="91"/>
      <c r="DF449" s="72"/>
      <c r="DG449" s="91"/>
      <c r="DH449" s="72"/>
      <c r="DI449" s="91"/>
      <c r="DJ449" s="72"/>
      <c r="DK449" s="91"/>
      <c r="DL449" s="72"/>
      <c r="DM449" s="91"/>
      <c r="DN449" s="72"/>
      <c r="DO449" s="91"/>
      <c r="DP449" s="72"/>
      <c r="DQ449" s="91"/>
      <c r="DR449" s="72"/>
      <c r="DS449" s="91"/>
      <c r="DT449" s="72"/>
      <c r="DU449" s="91"/>
      <c r="DV449" s="72"/>
      <c r="DW449" s="91"/>
      <c r="DX449" s="72"/>
      <c r="DY449" s="91"/>
      <c r="DZ449" s="72"/>
      <c r="EA449" s="91"/>
      <c r="EB449" s="72"/>
      <c r="EC449" s="91"/>
      <c r="ED449" s="72"/>
      <c r="EE449" s="91"/>
      <c r="EF449" s="72"/>
      <c r="EG449" s="91"/>
      <c r="EH449" s="72"/>
      <c r="EI449" s="91"/>
      <c r="EJ449" s="72"/>
      <c r="EK449" s="91"/>
      <c r="EL449" s="72"/>
      <c r="EM449" s="91"/>
      <c r="EN449" s="72"/>
      <c r="EO449" s="91"/>
      <c r="EP449" s="72"/>
      <c r="EQ449" s="91"/>
      <c r="ER449" s="72"/>
      <c r="ES449" s="91"/>
      <c r="ET449" s="72"/>
      <c r="EU449" s="91"/>
      <c r="EV449" s="72"/>
      <c r="EW449" s="91"/>
      <c r="EX449" s="72"/>
      <c r="EY449" s="72"/>
      <c r="EZ449" s="310"/>
      <c r="FA449" s="72"/>
      <c r="FB449" s="91">
        <f>SUM(FB446:FB448)</f>
        <v>519</v>
      </c>
      <c r="FC449" s="80"/>
      <c r="FD449" s="91">
        <f>SUM(FD446:FD448)</f>
        <v>565</v>
      </c>
      <c r="FE449" s="72">
        <f>IF(ISERROR(FD449/FB449),"NA",IF(OR(FD449/FB449&gt;2,FD449/FB449&lt;0.5),"NM",FD449/FB449*100-100))</f>
        <v>8.8631984585741748</v>
      </c>
      <c r="FF449" s="91">
        <f>SUM(FF446:FF448)</f>
        <v>678</v>
      </c>
      <c r="FG449" s="72">
        <f>IF(ISERROR(FF449/FD449),"NA",IF(OR(FF449/FD449&gt;2,FF449/FD449&lt;0.5),"NM",FF449/FD449*100-100))</f>
        <v>20</v>
      </c>
      <c r="FH449" s="91">
        <f>SUM(FH446:FH448)</f>
        <v>344</v>
      </c>
      <c r="FI449" s="72">
        <f>IF(ISERROR(FH449/FF449),"NA",IF(OR(FH449/FF449&gt;2,FH449/FF449&lt;0.5),"NM",FH449/FF449*100-100))</f>
        <v>-49.262536873156336</v>
      </c>
      <c r="FJ449" s="91">
        <f>SUM(FJ446:FJ448)</f>
        <v>331</v>
      </c>
      <c r="FK449" s="72">
        <f>IF(ISERROR(FJ449/FH449),"NA",IF(OR(FJ449/FH449&gt;2,FJ449/FH449&lt;0.5),"NM",FJ449/FH449*100-100))</f>
        <v>-3.7790697674418539</v>
      </c>
      <c r="FL449" s="91">
        <f>SUM(FL447:FL448)</f>
        <v>250</v>
      </c>
      <c r="FM449" s="72">
        <f>IF(ISERROR(FL449/FJ449),"NA",IF(OR(FL449/FJ449&gt;2,FL449/FJ449&lt;0.5),"NM",FL449/FJ449*100-100))</f>
        <v>-24.471299093655588</v>
      </c>
      <c r="FN449" s="91">
        <f>SUM(FN447:FN448)</f>
        <v>369</v>
      </c>
      <c r="FO449" s="72">
        <f>IF(ISERROR(FN449/FL449),"NA",IF(OR(FN449/FL449&gt;2,FN449/FL449&lt;0.5),"NM",FN449/FL449*100-100))</f>
        <v>47.599999999999994</v>
      </c>
      <c r="FP449" s="91">
        <f>SUM(FP447:FP448)</f>
        <v>381</v>
      </c>
      <c r="FQ449" s="72">
        <f>IF(ISERROR(FP449/FN449),"NA",IF(OR(FP449/FN449&gt;2,FP449/FN449&lt;0.5),"NM",FP449/FN449*100-100))</f>
        <v>3.2520325203252014</v>
      </c>
      <c r="FR449" s="91">
        <f>SUM(FR447:FR448)</f>
        <v>447</v>
      </c>
      <c r="FS449" s="72">
        <f>IF(ISERROR(FR449/FP449),"NA",IF(OR(FR449/FP449&gt;2,FR449/FP449&lt;0.5),"NM",FR449/FP449*100-100))</f>
        <v>17.322834645669289</v>
      </c>
      <c r="FT449" s="91">
        <f>SUM(FT447:FT448)</f>
        <v>510</v>
      </c>
      <c r="FU449" s="72">
        <f>IF(ISERROR(FT449/FR449),"NA",IF(OR(FT449/FR449&gt;2,FT449/FR449&lt;0.5),"NM",FT449/FR449*100-100))</f>
        <v>14.09395973154362</v>
      </c>
      <c r="FV449" s="91">
        <f>SUM(FV447:FV448)</f>
        <v>453</v>
      </c>
      <c r="FW449" s="72">
        <f>IF(ISERROR(FV449/FT449),"NA",IF(OR(FV449/FT449&gt;2,FV449/FT449&lt;0.5),"NM",FV449/FT449*100-100))</f>
        <v>-11.176470588235304</v>
      </c>
      <c r="FX449" s="91"/>
      <c r="FY449" s="72"/>
      <c r="FZ449" s="91"/>
      <c r="GA449" s="72"/>
      <c r="GB449" s="91"/>
      <c r="GC449" s="72"/>
      <c r="GD449" s="91"/>
      <c r="GE449" s="72"/>
      <c r="GF449" s="91"/>
      <c r="GG449" s="72"/>
      <c r="GH449" s="91"/>
      <c r="GI449" s="72"/>
      <c r="GJ449" s="91"/>
      <c r="GK449" s="72"/>
      <c r="GL449" s="91"/>
      <c r="GM449" s="72"/>
      <c r="GN449" s="91"/>
      <c r="GO449" s="72"/>
      <c r="GP449" s="91"/>
      <c r="GQ449" s="72"/>
      <c r="GR449" s="91"/>
      <c r="GS449" s="72"/>
      <c r="GT449" s="91"/>
      <c r="GU449" s="72"/>
      <c r="GV449" s="91"/>
      <c r="GW449" s="72"/>
      <c r="GX449" s="91"/>
      <c r="GY449" s="72"/>
      <c r="GZ449" s="72"/>
      <c r="HA449" s="72"/>
      <c r="HB449" s="72"/>
      <c r="HC449"/>
      <c r="HD449"/>
      <c r="HE449"/>
      <c r="HF449"/>
      <c r="HG449"/>
      <c r="HH449"/>
      <c r="HI449" s="2"/>
    </row>
    <row r="450" spans="1:217" s="3" customFormat="1" ht="12.75" hidden="1" customHeight="1" outlineLevel="1" x14ac:dyDescent="0.2">
      <c r="B450" s="147"/>
      <c r="C450" s="144"/>
      <c r="D450" s="72"/>
      <c r="E450" s="144"/>
      <c r="F450" s="72"/>
      <c r="G450" s="144"/>
      <c r="H450" s="72"/>
      <c r="I450" s="144"/>
      <c r="J450" s="72"/>
      <c r="K450" s="144"/>
      <c r="L450" s="72"/>
      <c r="M450" s="144"/>
      <c r="N450" s="72"/>
      <c r="O450" s="144"/>
      <c r="P450" s="72"/>
      <c r="Q450" s="144"/>
      <c r="R450" s="72"/>
      <c r="S450" s="144"/>
      <c r="T450" s="72"/>
      <c r="U450" s="144"/>
      <c r="V450" s="72"/>
      <c r="W450" s="144"/>
      <c r="X450" s="72"/>
      <c r="Y450" s="144"/>
      <c r="Z450" s="72"/>
      <c r="AA450" s="144"/>
      <c r="AB450" s="72"/>
      <c r="AC450" s="144"/>
      <c r="AD450" s="72"/>
      <c r="AE450" s="144"/>
      <c r="AF450" s="72"/>
      <c r="AG450" s="144"/>
      <c r="AH450" s="72"/>
      <c r="AI450" s="144"/>
      <c r="AJ450" s="72"/>
      <c r="AK450" s="144"/>
      <c r="AL450" s="72"/>
      <c r="AM450" s="144"/>
      <c r="AN450" s="72"/>
      <c r="AO450" s="144"/>
      <c r="AP450" s="72"/>
      <c r="AQ450" s="144"/>
      <c r="AR450" s="72"/>
      <c r="AS450" s="144"/>
      <c r="AT450" s="72"/>
      <c r="AU450" s="144"/>
      <c r="AV450" s="72"/>
      <c r="AW450" s="144"/>
      <c r="AX450" s="72"/>
      <c r="AY450" s="144"/>
      <c r="AZ450" s="72"/>
      <c r="BA450" s="144"/>
      <c r="BB450" s="72"/>
      <c r="BC450" s="144"/>
      <c r="BD450" s="72"/>
      <c r="BE450" s="144"/>
      <c r="BF450" s="72"/>
      <c r="BG450" s="144"/>
      <c r="BH450" s="72"/>
      <c r="BI450" s="144"/>
      <c r="BJ450" s="72"/>
      <c r="BK450" s="144"/>
      <c r="BL450" s="72"/>
      <c r="BM450" s="144"/>
      <c r="BN450" s="72"/>
      <c r="BO450" s="144"/>
      <c r="BP450" s="72"/>
      <c r="BQ450" s="144"/>
      <c r="BR450" s="72"/>
      <c r="BS450" s="144"/>
      <c r="BT450" s="72"/>
      <c r="BU450" s="144"/>
      <c r="BV450" s="72"/>
      <c r="BW450" s="144"/>
      <c r="BX450" s="72"/>
      <c r="BY450" s="144"/>
      <c r="BZ450" s="72"/>
      <c r="CA450" s="144"/>
      <c r="CB450" s="72"/>
      <c r="CC450" s="144"/>
      <c r="CD450" s="72"/>
      <c r="CE450" s="144"/>
      <c r="CF450" s="72"/>
      <c r="CG450" s="144"/>
      <c r="CH450" s="72"/>
      <c r="CI450" s="144"/>
      <c r="CJ450" s="72"/>
      <c r="CK450" s="144"/>
      <c r="CL450" s="72"/>
      <c r="CM450" s="144"/>
      <c r="CN450" s="72"/>
      <c r="CO450" s="144"/>
      <c r="CP450" s="72"/>
      <c r="CQ450" s="144"/>
      <c r="CR450" s="72"/>
      <c r="CS450" s="144"/>
      <c r="CT450" s="72"/>
      <c r="CU450" s="144"/>
      <c r="CV450" s="72"/>
      <c r="CW450" s="144"/>
      <c r="CX450" s="72"/>
      <c r="CY450" s="144"/>
      <c r="CZ450" s="72"/>
      <c r="DA450" s="144"/>
      <c r="DB450" s="72"/>
      <c r="DC450" s="144"/>
      <c r="DD450" s="72"/>
      <c r="DE450" s="144"/>
      <c r="DF450" s="72"/>
      <c r="DG450" s="144"/>
      <c r="DH450" s="72"/>
      <c r="DI450" s="144"/>
      <c r="DJ450" s="72"/>
      <c r="DK450" s="144"/>
      <c r="DL450" s="72"/>
      <c r="DM450" s="144"/>
      <c r="DN450" s="72"/>
      <c r="DO450" s="144"/>
      <c r="DP450" s="72"/>
      <c r="DQ450" s="144"/>
      <c r="DR450" s="72"/>
      <c r="DS450" s="144"/>
      <c r="DT450" s="72"/>
      <c r="DU450" s="144"/>
      <c r="DV450" s="72"/>
      <c r="DW450" s="144"/>
      <c r="DX450" s="72"/>
      <c r="DY450" s="144"/>
      <c r="DZ450" s="72"/>
      <c r="EA450" s="144"/>
      <c r="EB450" s="72"/>
      <c r="EC450" s="144"/>
      <c r="ED450" s="72"/>
      <c r="EE450" s="144"/>
      <c r="EF450" s="72"/>
      <c r="EG450" s="144"/>
      <c r="EH450" s="72"/>
      <c r="EI450" s="144"/>
      <c r="EJ450" s="72"/>
      <c r="EK450" s="144"/>
      <c r="EL450" s="72"/>
      <c r="EM450" s="144"/>
      <c r="EN450" s="72"/>
      <c r="EO450" s="144"/>
      <c r="EP450" s="72"/>
      <c r="EQ450" s="144"/>
      <c r="ER450" s="72"/>
      <c r="ES450" s="144"/>
      <c r="ET450" s="72"/>
      <c r="EU450" s="144"/>
      <c r="EV450" s="72"/>
      <c r="EW450" s="144"/>
      <c r="EX450" s="72"/>
      <c r="EY450" s="72"/>
      <c r="EZ450" s="328"/>
      <c r="FA450" s="72"/>
      <c r="FB450" s="144"/>
      <c r="FC450" s="72"/>
      <c r="FD450" s="144"/>
      <c r="FE450" s="72"/>
      <c r="FF450" s="144"/>
      <c r="FG450" s="72"/>
      <c r="FH450" s="144"/>
      <c r="FI450" s="72"/>
      <c r="FJ450" s="144"/>
      <c r="FK450" s="72"/>
      <c r="FL450" s="144"/>
      <c r="FM450" s="72"/>
      <c r="FN450" s="144"/>
      <c r="FO450" s="72"/>
      <c r="FP450" s="144"/>
      <c r="FQ450" s="72"/>
      <c r="FR450" s="144"/>
      <c r="FS450" s="72"/>
      <c r="FT450" s="144"/>
      <c r="FU450" s="72"/>
      <c r="FV450" s="144"/>
      <c r="FW450" s="72"/>
      <c r="FX450" s="144"/>
      <c r="FY450" s="72"/>
      <c r="FZ450" s="144"/>
      <c r="GA450" s="72"/>
      <c r="GB450" s="144"/>
      <c r="GC450" s="72"/>
      <c r="GD450" s="144"/>
      <c r="GE450" s="72"/>
      <c r="GF450" s="144"/>
      <c r="GG450" s="72"/>
      <c r="GH450" s="144"/>
      <c r="GI450" s="72"/>
      <c r="GJ450" s="144"/>
      <c r="GK450" s="72"/>
      <c r="GL450" s="144"/>
      <c r="GM450" s="72"/>
      <c r="GN450" s="144"/>
      <c r="GO450" s="72"/>
      <c r="GP450" s="144"/>
      <c r="GQ450" s="72"/>
      <c r="GR450" s="144"/>
      <c r="GS450" s="72"/>
      <c r="GT450" s="144"/>
      <c r="GU450" s="72"/>
      <c r="GV450" s="144"/>
      <c r="GW450" s="72"/>
      <c r="GX450" s="144"/>
      <c r="GY450" s="72"/>
      <c r="GZ450" s="72"/>
      <c r="HA450" s="72"/>
      <c r="HB450" s="72"/>
      <c r="HC450"/>
      <c r="HD450"/>
      <c r="HE450"/>
      <c r="HF450"/>
      <c r="HG450"/>
      <c r="HH450"/>
      <c r="HI450" s="2"/>
    </row>
    <row r="451" spans="1:217" s="3" customFormat="1" ht="12.75" hidden="1" customHeight="1" outlineLevel="1" x14ac:dyDescent="0.2">
      <c r="B451" s="76" t="s">
        <v>428</v>
      </c>
      <c r="C451" s="105">
        <f>C447/C443*100</f>
        <v>6.8965517241379306</v>
      </c>
      <c r="D451" s="72"/>
      <c r="E451" s="105">
        <f>E447/E443*100</f>
        <v>12.209302325581394</v>
      </c>
      <c r="F451" s="72"/>
      <c r="G451" s="105">
        <f>G447/G443*100</f>
        <v>11.76470588235294</v>
      </c>
      <c r="H451" s="72"/>
      <c r="I451" s="105">
        <f>I447/I443*100</f>
        <v>23.270440251572328</v>
      </c>
      <c r="J451" s="72"/>
      <c r="K451" s="105">
        <f>K447/K443*100</f>
        <v>97.53086419753086</v>
      </c>
      <c r="L451" s="72" t="str">
        <f>IF(ISERROR(K451/C451),"NA",IF(OR(K451/C451&gt;2,K451/C451&lt;0.5),"NM",K451/C451*100-100))</f>
        <v>NM</v>
      </c>
      <c r="M451" s="105">
        <f>M447/M443*100</f>
        <v>117.33333333333333</v>
      </c>
      <c r="N451" s="72" t="str">
        <f>IF(ISERROR(M451/E451),"NA",IF(OR(M451/E451&gt;2,M451/E451&lt;0.5),"NM",M451/E451*100-100))</f>
        <v>NM</v>
      </c>
      <c r="O451" s="105">
        <f>O447/O443*100</f>
        <v>114.08450704225352</v>
      </c>
      <c r="P451" s="72" t="str">
        <f>IF(ISERROR(O451/G451),"NA",IF(OR(O451/G451&gt;2,O451/G451&lt;0.5),"NM",O451/G451*100-100))</f>
        <v>NM</v>
      </c>
      <c r="Q451" s="105">
        <f>Q447/Q443*100</f>
        <v>125</v>
      </c>
      <c r="R451" s="72" t="str">
        <f>IF(ISERROR(Q451/I451),"NA",IF(OR(Q451/I451&gt;2,Q451/I451&lt;0.5),"NM",Q451/I451*100-100))</f>
        <v>NM</v>
      </c>
      <c r="S451" s="105">
        <f>S447/S443*100</f>
        <v>100</v>
      </c>
      <c r="T451" s="72">
        <f>IF(ISERROR(S451/K451),"NA",IF(OR(S451/K451&gt;2,S451/K451&lt;0.5),"NM",S451/K451*100-100))</f>
        <v>2.5316455696202667</v>
      </c>
      <c r="U451" s="105">
        <f>U447/U443*100</f>
        <v>104.93827160493827</v>
      </c>
      <c r="V451" s="72">
        <f>IF(ISERROR(U451/M451),"NA",IF(OR(U451/M451&gt;2,U451/M451&lt;0.5),"NM",U451/M451*100-100))</f>
        <v>-10.563973063973066</v>
      </c>
      <c r="W451" s="105">
        <f>W447/W443*100</f>
        <v>96.385542168674704</v>
      </c>
      <c r="X451" s="72">
        <f>IF(ISERROR(W451/O451),"NA",IF(OR(W451/O451&gt;2,W451/O451&lt;0.5),"NM",W451/O451*100-100))</f>
        <v>-15.513907481778972</v>
      </c>
      <c r="Y451" s="105">
        <f>Y447/Y443*100</f>
        <v>104.93827160493827</v>
      </c>
      <c r="Z451" s="72">
        <f>IF(ISERROR(Y451/Q451),"NA",IF(OR(Y451/Q451&gt;2,Y451/Q451&lt;0.5),"NM",Y451/Q451*100-100))</f>
        <v>-16.049382716049394</v>
      </c>
      <c r="AA451" s="105">
        <f>AA447/AA443*100</f>
        <v>96.92307692307692</v>
      </c>
      <c r="AB451" s="72">
        <f>IF(ISERROR(AA451/S451),"NA",IF(OR(AA451/S451&gt;2,AA451/S451&lt;0.5),"NM",AA451/S451*100-100))</f>
        <v>-3.0769230769230802</v>
      </c>
      <c r="AC451" s="105">
        <f>AC447/AC443*100</f>
        <v>86.956521739130437</v>
      </c>
      <c r="AD451" s="72">
        <f>IF(ISERROR(AC451/U451),"NA",IF(OR(AC451/U451&gt;2,AC451/U451&lt;0.5),"NM",AC451/U451*100-100))</f>
        <v>-17.135549872122752</v>
      </c>
      <c r="AE451" s="105">
        <f>AE447/AE443*100</f>
        <v>88.235294117647058</v>
      </c>
      <c r="AF451" s="72">
        <f>IF(ISERROR(AE451/W451),"NA",IF(OR(AE451/W451&gt;2,AE451/W451&lt;0.5),"NM",AE451/W451*100-100))</f>
        <v>-8.455882352941174</v>
      </c>
      <c r="AG451" s="105">
        <f>AG447/AG443*100</f>
        <v>186.11111111111111</v>
      </c>
      <c r="AH451" s="72">
        <f>IF(ISERROR(AG451/Y451),"NA",IF(OR(AG451/Y451&gt;2,AG451/Y451&lt;0.5),"NM",AG451/Y451*100-100))</f>
        <v>77.352941176470608</v>
      </c>
      <c r="AI451" s="105">
        <f>AI447/AI443*100</f>
        <v>94.252873563218387</v>
      </c>
      <c r="AJ451" s="72">
        <f>IF(ISERROR(AI451/AA451),"NA",IF(OR(AI451/AA451&gt;2,AI451/AA451&lt;0.5),"NM",AI451/AA451*100-100))</f>
        <v>-2.7549717204889674</v>
      </c>
      <c r="AK451" s="105">
        <f>AK447/AK443*100</f>
        <v>82.456140350877192</v>
      </c>
      <c r="AL451" s="72">
        <f>IF(ISERROR(AK451/AC451),"NA",IF(OR(AK451/AC451&gt;2,AK451/AC451&lt;0.5),"NM",AK451/AC451*100-100))</f>
        <v>-5.1754385964912331</v>
      </c>
      <c r="AM451" s="105">
        <f>AM447/AM443*100</f>
        <v>83.898305084745758</v>
      </c>
      <c r="AN451" s="72">
        <f>IF(ISERROR(AM451/AE451),"NA",IF(OR(AM451/AE451&gt;2,AM451/AE451&lt;0.5),"NM",AM451/AE451*100-100))</f>
        <v>-4.9152542372881385</v>
      </c>
      <c r="AO451" s="105">
        <f>AO447/AO443*100</f>
        <v>74.015748031496059</v>
      </c>
      <c r="AP451" s="72" t="str">
        <f>IF(ISERROR(AO451/AG451),"NA",IF(OR(AO451/AG451&gt;2,AO451/AG451&lt;0.5),"NM",AO451/AG451*100-100))</f>
        <v>NM</v>
      </c>
      <c r="AQ451" s="105">
        <f>AQ447/AQ443*100</f>
        <v>80.46875</v>
      </c>
      <c r="AR451" s="72">
        <f>IF(ISERROR(AQ451/AI451),"NA",IF(OR(AQ451/AI451&gt;2,AQ451/AI451&lt;0.5),"NM",AQ451/AI451*100-100))</f>
        <v>-14.624618902439025</v>
      </c>
      <c r="AS451" s="105">
        <f>AS447/AS443*100</f>
        <v>82.075471698113205</v>
      </c>
      <c r="AT451" s="72">
        <f>IF(ISERROR(AS451/AK451),"NA",IF(OR(AS451/AK451&gt;2,AS451/AK451&lt;0.5),"NM",AS451/AK451*100-100))</f>
        <v>-0.46166198313930806</v>
      </c>
      <c r="AU451" s="105">
        <f>AU447/AU443*100</f>
        <v>79.508196721311478</v>
      </c>
      <c r="AV451" s="72">
        <f>IF(ISERROR(AU451/AM451),"NA",IF(OR(AU451/AM451&gt;2,AU451/AM451&lt;0.5),"NM",AU451/AM451*100-100))</f>
        <v>-5.2326544129822707</v>
      </c>
      <c r="AW451" s="105">
        <f>AW447/AW443*100</f>
        <v>71.755725190839698</v>
      </c>
      <c r="AX451" s="72">
        <f>IF(ISERROR(AW451/AO451),"NA",IF(OR(AW451/AO451&gt;2,AW451/AO451&lt;0.5),"NM",AW451/AO451*100-100))</f>
        <v>-3.053435114503813</v>
      </c>
      <c r="AY451" s="105">
        <f>AY447/AY443*100</f>
        <v>70.666666666666671</v>
      </c>
      <c r="AZ451" s="72">
        <f>IF(ISERROR(AY451/AQ451),"NA",IF(OR(AY451/AQ451&gt;2,AY451/AQ451&lt;0.5),"NM",AY451/AQ451*100-100))</f>
        <v>-12.181229773462775</v>
      </c>
      <c r="BA451" s="105">
        <f>BA447/BA443*100</f>
        <v>76.712328767123282</v>
      </c>
      <c r="BB451" s="72">
        <f>IF(ISERROR(BA451/AS451),"NA",IF(OR(BA451/AS451&gt;2,BA451/AS451&lt;0.5),"NM",BA451/AS451*100-100))</f>
        <v>-6.5344040308612819</v>
      </c>
      <c r="BC451" s="105">
        <f>BC447/BC443*100</f>
        <v>76.515151515151516</v>
      </c>
      <c r="BD451" s="72">
        <f>IF(ISERROR(BC451/AU451),"NA",IF(OR(BC451/AU451&gt;2,BC451/AU451&lt;0.5),"NM",BC451/AU451*100-100))</f>
        <v>-3.7644486098094347</v>
      </c>
      <c r="BE451" s="105">
        <f>BE447/BE443*100</f>
        <v>79.012345679012341</v>
      </c>
      <c r="BF451" s="72">
        <f>IF(ISERROR(BE451/AW451),"NA",IF(OR(BE451/AW451&gt;2,BE451/AW451&lt;0.5),"NM",BE451/AW451*100-100))</f>
        <v>10.112949829261879</v>
      </c>
      <c r="BG451" s="105">
        <f>BG447/BG443*100</f>
        <v>64.971751412429384</v>
      </c>
      <c r="BH451" s="72">
        <f>IF(ISERROR(BG451/AY451),"NA",IF(OR(BG451/AY451&gt;2,BG451/AY451&lt;0.5),"NM",BG451/AY451*100-100))</f>
        <v>-8.0588423409018191</v>
      </c>
      <c r="BI451" s="105">
        <f>BI447/BI443*100</f>
        <v>74.556213017751489</v>
      </c>
      <c r="BJ451" s="72">
        <f>IF(ISERROR(BI451/BA451),"NA",IF(OR(BI451/BA451&gt;2,BI451/BA451&lt;0.5),"NM",BI451/BA451*100-100))</f>
        <v>-2.8106508875739422</v>
      </c>
      <c r="BK451" s="105">
        <f>BK447/BK443*100</f>
        <v>54.581673306772906</v>
      </c>
      <c r="BL451" s="72">
        <f>IF(ISERROR(BK451/BC451),"NA",IF(OR(BK451/BC451&gt;2,BK451/BC451&lt;0.5),"NM",BK451/BC451*100-100))</f>
        <v>-28.665535876296801</v>
      </c>
      <c r="BM451" s="105">
        <f>BM447/BM443*100</f>
        <v>76.744186046511629</v>
      </c>
      <c r="BN451" s="72">
        <f>IF(ISERROR(BM451/BE451),"NA",IF(OR(BM451/BE451&gt;2,BM451/BE451&lt;0.5),"NM",BM451/BE451*100-100))</f>
        <v>-2.8706395348837077</v>
      </c>
      <c r="BO451" s="105">
        <f>BO447/BO443*100</f>
        <v>93.965517241379317</v>
      </c>
      <c r="BP451" s="72">
        <f>IF(ISERROR(BO451/BG451),"NA",IF(OR(BO451/BG451&gt;2,BO451/BG451&lt;0.5),"NM",BO451/BG451*100-100))</f>
        <v>44.625187406296845</v>
      </c>
      <c r="BQ451" s="105">
        <f>BQ447/BQ443*100</f>
        <v>87</v>
      </c>
      <c r="BR451" s="72">
        <f>IF(ISERROR(BQ451/BI451),"NA",IF(OR(BQ451/BI451&gt;2,BQ451/BI451&lt;0.5),"NM",BQ451/BI451*100-100))</f>
        <v>16.690476190476161</v>
      </c>
      <c r="BS451" s="105">
        <f>BS447/BS443*100</f>
        <v>75</v>
      </c>
      <c r="BT451" s="72">
        <f>IF(ISERROR(BS451/BK451),"NA",IF(OR(BS451/BK451&gt;2,BS451/BK451&lt;0.5),"NM",BS451/BK451*100-100))</f>
        <v>37.408759124087595</v>
      </c>
      <c r="BU451" s="105">
        <f>BU447/BU443*100</f>
        <v>-76.19047619047619</v>
      </c>
      <c r="BV451" s="72" t="str">
        <f>IF(ISERROR(BU451/BM451),"NA",IF(OR(BU451/BM451&gt;2,BU451/BM451&lt;0.5),"NM",BU451/BM451*100-100))</f>
        <v>NM</v>
      </c>
      <c r="BW451" s="105"/>
      <c r="BX451" s="72"/>
      <c r="BY451" s="105"/>
      <c r="BZ451" s="72"/>
      <c r="CA451" s="105"/>
      <c r="CB451" s="72"/>
      <c r="CC451" s="105"/>
      <c r="CD451" s="72"/>
      <c r="CE451" s="105"/>
      <c r="CF451" s="72"/>
      <c r="CG451" s="105"/>
      <c r="CH451" s="72"/>
      <c r="CI451" s="105"/>
      <c r="CJ451" s="72"/>
      <c r="CK451" s="105"/>
      <c r="CL451" s="72"/>
      <c r="CM451" s="105"/>
      <c r="CN451" s="72"/>
      <c r="CO451" s="105"/>
      <c r="CP451" s="72"/>
      <c r="CQ451" s="105"/>
      <c r="CR451" s="72"/>
      <c r="CS451" s="105"/>
      <c r="CT451" s="72"/>
      <c r="CU451" s="105"/>
      <c r="CV451" s="72"/>
      <c r="CW451" s="105"/>
      <c r="CX451" s="72"/>
      <c r="CY451" s="105"/>
      <c r="CZ451" s="72"/>
      <c r="DA451" s="105"/>
      <c r="DB451" s="72"/>
      <c r="DC451" s="105"/>
      <c r="DD451" s="72"/>
      <c r="DE451" s="105"/>
      <c r="DF451" s="72"/>
      <c r="DG451" s="105"/>
      <c r="DH451" s="72"/>
      <c r="DI451" s="105"/>
      <c r="DJ451" s="72"/>
      <c r="DK451" s="105"/>
      <c r="DL451" s="72"/>
      <c r="DM451" s="105"/>
      <c r="DN451" s="72"/>
      <c r="DO451" s="105"/>
      <c r="DP451" s="72"/>
      <c r="DQ451" s="105"/>
      <c r="DR451" s="72"/>
      <c r="DS451" s="105"/>
      <c r="DT451" s="72"/>
      <c r="DU451" s="105"/>
      <c r="DV451" s="72"/>
      <c r="DW451" s="104"/>
      <c r="DX451" s="72"/>
      <c r="DY451" s="104"/>
      <c r="DZ451" s="72"/>
      <c r="EA451" s="104"/>
      <c r="EB451" s="72"/>
      <c r="EC451" s="104"/>
      <c r="ED451" s="72"/>
      <c r="EE451" s="104"/>
      <c r="EF451" s="72"/>
      <c r="EG451" s="104"/>
      <c r="EH451" s="72"/>
      <c r="EI451" s="104"/>
      <c r="EJ451" s="72"/>
      <c r="EK451" s="104"/>
      <c r="EL451" s="72"/>
      <c r="EM451" s="104"/>
      <c r="EN451" s="72"/>
      <c r="EO451" s="104"/>
      <c r="EP451" s="72"/>
      <c r="EQ451" s="104"/>
      <c r="ER451" s="72"/>
      <c r="ES451" s="104"/>
      <c r="ET451" s="72"/>
      <c r="EU451" s="104"/>
      <c r="EV451" s="72"/>
      <c r="EW451" s="104"/>
      <c r="EX451" s="72"/>
      <c r="EY451" s="72"/>
      <c r="EZ451" s="325"/>
      <c r="FA451" s="72"/>
      <c r="FB451" s="106">
        <f>FB447/FB443*100</f>
        <v>5.0751879699248121</v>
      </c>
      <c r="FC451" s="72"/>
      <c r="FD451" s="106">
        <f>FD447/FD443*100</f>
        <v>9.4827586206896548</v>
      </c>
      <c r="FE451" s="72">
        <f>IF(ISERROR(FD451/FB451),"NA",IF(OR(FD451/FB451&gt;2,FD451/FB451&lt;0.5),"NM",FD451/FB451*100-100))</f>
        <v>86.845466155810982</v>
      </c>
      <c r="FF451" s="106">
        <f>FF447/FF443*100</f>
        <v>13.068181818181818</v>
      </c>
      <c r="FG451" s="72">
        <f>IF(ISERROR(FF451/FD451),"NA",IF(OR(FF451/FD451&gt;2,FF451/FD451&lt;0.5),"NM",FF451/FD451*100-100))</f>
        <v>37.809917355371908</v>
      </c>
      <c r="FH451" s="106">
        <f>FH447/FH443*100</f>
        <v>113.20132013201321</v>
      </c>
      <c r="FI451" s="72" t="str">
        <f>IF(ISERROR(FH451/FF451),"NA",IF(OR(FH451/FF451&gt;2,FH451/FF451&lt;0.5),"NM",FH451/FF451*100-100))</f>
        <v>NM</v>
      </c>
      <c r="FJ451" s="106">
        <f>FJ447/FJ443*100</f>
        <v>101.53846153846153</v>
      </c>
      <c r="FK451" s="72">
        <f>IF(ISERROR(FJ451/FH451),"NA",IF(OR(FJ451/FH451&gt;2,FJ451/FH451&lt;0.5),"NM",FJ451/FH451*100-100))</f>
        <v>-10.302758466023789</v>
      </c>
      <c r="FL451" s="105">
        <f>FL447/FL443*100</f>
        <v>105.0420168067227</v>
      </c>
      <c r="FM451" s="72">
        <f>IF(ISERROR(FL451/FJ451),"NA",IF(OR(FL451/FJ451&gt;2,FL451/FJ451&lt;0.5),"NM",FL451/FJ451*100-100))</f>
        <v>3.4504710975299417</v>
      </c>
      <c r="FN451" s="105">
        <f>FN447/FN443*100</f>
        <v>82.735426008968602</v>
      </c>
      <c r="FO451" s="72">
        <f>IF(ISERROR(FN451/FL451),"NA",IF(OR(FN451/FL451&gt;2,FN451/FL451&lt;0.5),"NM",FN451/FL451*100-100))</f>
        <v>-21.235874439461895</v>
      </c>
      <c r="FP451" s="105">
        <f>FP447/FP443*100</f>
        <v>78.234086242299796</v>
      </c>
      <c r="FQ451" s="72">
        <f>IF(ISERROR(FP451/FN451),"NA",IF(OR(FP451/FN451&gt;2,FP451/FN451&lt;0.5),"NM",FP451/FN451*100-100))</f>
        <v>-5.4406437288192109</v>
      </c>
      <c r="FR451" s="105">
        <f>FR447/FR443*100</f>
        <v>75.762711864406782</v>
      </c>
      <c r="FS451" s="72">
        <f>IF(ISERROR(FR451/FP451),"NA",IF(OR(FR451/FP451&gt;2,FR451/FP451&lt;0.5),"NM",FR451/FP451*100-100))</f>
        <v>-3.1589483517950043</v>
      </c>
      <c r="FT451" s="105">
        <f>FT447/FT443*100</f>
        <v>66.319895968790632</v>
      </c>
      <c r="FU451" s="72">
        <f>IF(ISERROR(FT451/FR451),"NA",IF(OR(FT451/FR451&gt;2,FT451/FR451&lt;0.5),"NM",FT451/FR451*100-100))</f>
        <v>-12.463671987502295</v>
      </c>
      <c r="FV451" s="105">
        <f>FV447/FV443*100</f>
        <v>487.09677419354841</v>
      </c>
      <c r="FW451" s="72" t="str">
        <f>IF(ISERROR(FV451/FT451),"NA",IF(OR(FV451/FT451&gt;2,FV451/FT451&lt;0.5),"NM",FV451/FT451*100-100))</f>
        <v>NM</v>
      </c>
      <c r="FX451" s="105"/>
      <c r="FY451" s="72"/>
      <c r="FZ451" s="105"/>
      <c r="GA451" s="72"/>
      <c r="GB451" s="105"/>
      <c r="GC451" s="72"/>
      <c r="GD451" s="105"/>
      <c r="GE451" s="72"/>
      <c r="GF451" s="105"/>
      <c r="GG451" s="72"/>
      <c r="GH451" s="105"/>
      <c r="GI451" s="72"/>
      <c r="GJ451" s="105"/>
      <c r="GK451" s="72"/>
      <c r="GL451" s="105"/>
      <c r="GM451" s="72"/>
      <c r="GN451" s="105"/>
      <c r="GO451" s="72"/>
      <c r="GP451" s="105"/>
      <c r="GQ451" s="72"/>
      <c r="GR451" s="104"/>
      <c r="GS451" s="72"/>
      <c r="GT451" s="104"/>
      <c r="GU451" s="72"/>
      <c r="GV451" s="104"/>
      <c r="GW451" s="72"/>
      <c r="GX451" s="104"/>
      <c r="GY451" s="72"/>
      <c r="GZ451" s="72"/>
      <c r="HA451" s="72"/>
      <c r="HB451" s="72"/>
      <c r="HC451"/>
      <c r="HD451"/>
      <c r="HE451"/>
      <c r="HF451"/>
      <c r="HG451"/>
      <c r="HH451"/>
      <c r="HI451" s="2"/>
    </row>
    <row r="452" spans="1:217" s="3" customFormat="1" ht="12.75" hidden="1" customHeight="1" outlineLevel="1" x14ac:dyDescent="0.2">
      <c r="B452" s="10"/>
      <c r="C452" s="100"/>
      <c r="D452" s="72"/>
      <c r="E452" s="100"/>
      <c r="F452" s="72"/>
      <c r="G452" s="100"/>
      <c r="H452" s="72"/>
      <c r="I452" s="100"/>
      <c r="J452" s="72"/>
      <c r="K452" s="100"/>
      <c r="L452" s="72"/>
      <c r="M452" s="100"/>
      <c r="N452" s="72"/>
      <c r="O452" s="100"/>
      <c r="P452" s="72"/>
      <c r="Q452" s="100"/>
      <c r="R452" s="72"/>
      <c r="S452" s="100"/>
      <c r="T452" s="72"/>
      <c r="U452" s="100"/>
      <c r="V452" s="72"/>
      <c r="W452" s="100"/>
      <c r="X452" s="72"/>
      <c r="Y452" s="100"/>
      <c r="Z452" s="72"/>
      <c r="AA452" s="100"/>
      <c r="AB452" s="72"/>
      <c r="AC452" s="100"/>
      <c r="AD452" s="72"/>
      <c r="AE452" s="100"/>
      <c r="AF452" s="72"/>
      <c r="AG452" s="100"/>
      <c r="AH452" s="72"/>
      <c r="AI452" s="100"/>
      <c r="AJ452" s="72"/>
      <c r="AK452" s="100"/>
      <c r="AL452" s="72"/>
      <c r="AM452" s="100"/>
      <c r="AN452" s="72"/>
      <c r="AO452" s="100"/>
      <c r="AP452" s="72"/>
      <c r="AQ452" s="100"/>
      <c r="AR452" s="72"/>
      <c r="AS452" s="100"/>
      <c r="AT452" s="72"/>
      <c r="AU452" s="100"/>
      <c r="AV452" s="72"/>
      <c r="AW452" s="100"/>
      <c r="AX452" s="72"/>
      <c r="AY452" s="100"/>
      <c r="AZ452" s="72"/>
      <c r="BA452" s="100"/>
      <c r="BB452" s="72"/>
      <c r="BC452" s="100"/>
      <c r="BD452" s="72"/>
      <c r="BE452" s="100"/>
      <c r="BF452" s="72"/>
      <c r="BG452" s="100"/>
      <c r="BH452" s="72"/>
      <c r="BI452" s="100"/>
      <c r="BJ452" s="72"/>
      <c r="BK452" s="100"/>
      <c r="BL452" s="72"/>
      <c r="BM452" s="100"/>
      <c r="BN452" s="72"/>
      <c r="BO452" s="100"/>
      <c r="BP452" s="72"/>
      <c r="BQ452" s="100"/>
      <c r="BR452" s="72"/>
      <c r="BS452" s="100"/>
      <c r="BT452" s="72"/>
      <c r="BU452" s="100"/>
      <c r="BV452" s="72"/>
      <c r="BW452" s="100"/>
      <c r="BX452" s="72"/>
      <c r="BY452" s="100"/>
      <c r="BZ452" s="72"/>
      <c r="CA452" s="100"/>
      <c r="CB452" s="72"/>
      <c r="CC452" s="100"/>
      <c r="CD452" s="72"/>
      <c r="CE452" s="100"/>
      <c r="CF452" s="72"/>
      <c r="CG452" s="100"/>
      <c r="CH452" s="72"/>
      <c r="CI452" s="100"/>
      <c r="CJ452" s="72"/>
      <c r="CK452" s="100"/>
      <c r="CL452" s="72"/>
      <c r="CM452" s="100"/>
      <c r="CN452" s="72"/>
      <c r="CO452" s="100"/>
      <c r="CP452" s="72"/>
      <c r="CQ452" s="100"/>
      <c r="CR452" s="72"/>
      <c r="CS452" s="100"/>
      <c r="CT452" s="72"/>
      <c r="CU452" s="100"/>
      <c r="CV452" s="72"/>
      <c r="CW452" s="100"/>
      <c r="CX452" s="72"/>
      <c r="CY452" s="100"/>
      <c r="CZ452" s="72"/>
      <c r="DA452" s="100"/>
      <c r="DB452" s="72"/>
      <c r="DC452" s="100"/>
      <c r="DD452" s="72"/>
      <c r="DE452" s="100"/>
      <c r="DF452" s="72"/>
      <c r="DG452" s="100"/>
      <c r="DH452" s="72"/>
      <c r="DI452" s="100"/>
      <c r="DJ452" s="72"/>
      <c r="DK452" s="100"/>
      <c r="DL452" s="72"/>
      <c r="DM452" s="100"/>
      <c r="DN452" s="72"/>
      <c r="DO452" s="100"/>
      <c r="DP452" s="72"/>
      <c r="DQ452" s="100"/>
      <c r="DR452" s="72"/>
      <c r="DS452" s="100"/>
      <c r="DT452" s="72"/>
      <c r="DU452" s="100"/>
      <c r="DV452" s="72"/>
      <c r="DW452" s="100"/>
      <c r="DX452" s="72"/>
      <c r="DY452" s="100"/>
      <c r="DZ452" s="72"/>
      <c r="EA452" s="100"/>
      <c r="EB452" s="72"/>
      <c r="EC452" s="100"/>
      <c r="ED452" s="72"/>
      <c r="EE452" s="100"/>
      <c r="EF452" s="72"/>
      <c r="EG452" s="100"/>
      <c r="EH452" s="72"/>
      <c r="EI452" s="100"/>
      <c r="EJ452" s="72"/>
      <c r="EK452" s="100"/>
      <c r="EL452" s="72"/>
      <c r="EM452" s="100"/>
      <c r="EN452" s="72"/>
      <c r="EO452" s="100"/>
      <c r="EP452" s="72"/>
      <c r="EQ452" s="100"/>
      <c r="ER452" s="72"/>
      <c r="ES452" s="100"/>
      <c r="ET452" s="72"/>
      <c r="EU452" s="100"/>
      <c r="EV452" s="72"/>
      <c r="EW452" s="100"/>
      <c r="EX452" s="72"/>
      <c r="EY452" s="72"/>
      <c r="EZ452" s="328"/>
      <c r="FA452" s="72"/>
      <c r="FB452" s="100"/>
      <c r="FC452" s="72"/>
      <c r="FD452" s="100"/>
      <c r="FE452" s="72"/>
      <c r="FF452" s="100"/>
      <c r="FG452" s="72"/>
      <c r="FH452" s="100"/>
      <c r="FI452" s="72"/>
      <c r="FJ452" s="100"/>
      <c r="FK452" s="72"/>
      <c r="FL452" s="100"/>
      <c r="FM452" s="72"/>
      <c r="FN452" s="100"/>
      <c r="FO452" s="72"/>
      <c r="FP452" s="100"/>
      <c r="FQ452" s="72"/>
      <c r="FR452" s="100"/>
      <c r="FS452" s="72"/>
      <c r="FT452" s="100"/>
      <c r="FU452" s="72"/>
      <c r="FV452" s="100"/>
      <c r="FW452" s="72"/>
      <c r="FX452" s="100"/>
      <c r="FY452" s="72"/>
      <c r="FZ452" s="100"/>
      <c r="GA452" s="72"/>
      <c r="GB452" s="100"/>
      <c r="GC452" s="72"/>
      <c r="GD452" s="100"/>
      <c r="GE452" s="72"/>
      <c r="GF452" s="100"/>
      <c r="GG452" s="72"/>
      <c r="GH452" s="100"/>
      <c r="GI452" s="72"/>
      <c r="GJ452" s="100"/>
      <c r="GK452" s="72"/>
      <c r="GL452" s="100"/>
      <c r="GM452" s="72"/>
      <c r="GN452" s="100"/>
      <c r="GO452" s="72"/>
      <c r="GP452" s="100"/>
      <c r="GQ452" s="72"/>
      <c r="GR452" s="100"/>
      <c r="GS452" s="72"/>
      <c r="GT452" s="100"/>
      <c r="GU452" s="72"/>
      <c r="GV452" s="100"/>
      <c r="GW452" s="72"/>
      <c r="GX452" s="100"/>
      <c r="GY452" s="72"/>
      <c r="GZ452" s="72"/>
      <c r="HA452" s="72"/>
      <c r="HB452" s="72"/>
      <c r="HC452"/>
      <c r="HD452"/>
      <c r="HE452"/>
      <c r="HF452"/>
      <c r="HG452"/>
      <c r="HH452"/>
      <c r="HI452" s="2"/>
    </row>
    <row r="453" spans="1:217" s="133" customFormat="1" ht="12.75" hidden="1" customHeight="1" outlineLevel="1" x14ac:dyDescent="0.2">
      <c r="A453" s="3" t="s">
        <v>547</v>
      </c>
      <c r="B453" s="70" t="s">
        <v>27</v>
      </c>
      <c r="C453" s="91">
        <f>C443-C449</f>
        <v>27</v>
      </c>
      <c r="D453" s="80"/>
      <c r="E453" s="91">
        <f>E443-E449</f>
        <v>14</v>
      </c>
      <c r="F453" s="80"/>
      <c r="G453" s="91">
        <f>G443-G449</f>
        <v>10</v>
      </c>
      <c r="H453" s="80"/>
      <c r="I453" s="91">
        <f>I443-I449</f>
        <v>-25</v>
      </c>
      <c r="J453" s="80"/>
      <c r="K453" s="91">
        <f>K443-K449</f>
        <v>2</v>
      </c>
      <c r="L453" s="72" t="str">
        <f>IF(ISERROR(K453/C453),"NA",IF(OR(K453/C453&gt;2,K453/C453&lt;0.5),"NM",K453/C453*100-100))</f>
        <v>NM</v>
      </c>
      <c r="M453" s="91">
        <f>M443-M449</f>
        <v>-13</v>
      </c>
      <c r="N453" s="72" t="str">
        <f>IF(ISERROR(M453/E453),"NA",IF(OR(M453/E453&gt;2,M453/E453&lt;0.5),"NM",M453/E453*100-100))</f>
        <v>NM</v>
      </c>
      <c r="O453" s="91">
        <f>O443-O449</f>
        <v>-11</v>
      </c>
      <c r="P453" s="72" t="str">
        <f>IF(ISERROR(O453/G453),"NA",IF(OR(O453/G453&gt;2,O453/G453&lt;0.5),"NM",O453/G453*100-100))</f>
        <v>NM</v>
      </c>
      <c r="Q453" s="91">
        <f>Q443-Q449</f>
        <v>-19</v>
      </c>
      <c r="R453" s="72">
        <f>IF(ISERROR(Q453/I453),"NA",IF(OR(Q453/I453&gt;2,Q453/I453&lt;0.5),"NM",Q453/I453*100-100))</f>
        <v>-24</v>
      </c>
      <c r="S453" s="91">
        <f>S443-S449</f>
        <v>0</v>
      </c>
      <c r="T453" s="72" t="str">
        <f>IF(ISERROR(S453/K453),"NA",IF(OR(S453/K453&gt;2,S453/K453&lt;0.5),"NM",S453/K453*100-100))</f>
        <v>NM</v>
      </c>
      <c r="U453" s="91">
        <f>U443-U449</f>
        <v>-4</v>
      </c>
      <c r="V453" s="72" t="str">
        <f>IF(ISERROR(U453/M453),"NA",IF(OR(U453/M453&gt;2,U453/M453&lt;0.5),"NM",U453/M453*100-100))</f>
        <v>NM</v>
      </c>
      <c r="W453" s="91">
        <f>W443-W449</f>
        <v>2</v>
      </c>
      <c r="X453" s="72" t="str">
        <f>IF(ISERROR(W453/O453),"NA",IF(OR(W453/O453&gt;2,W453/O453&lt;0.5),"NM",W453/O453*100-100))</f>
        <v>NM</v>
      </c>
      <c r="Y453" s="91">
        <f>Y443-Y449</f>
        <v>-4</v>
      </c>
      <c r="Z453" s="72" t="str">
        <f>IF(ISERROR(Y453/Q453),"NA",IF(OR(Y453/Q453&gt;2,Y453/Q453&lt;0.5),"NM",Y453/Q453*100-100))</f>
        <v>NM</v>
      </c>
      <c r="AA453" s="91">
        <f>AA443-AA449</f>
        <v>2</v>
      </c>
      <c r="AB453" s="72" t="str">
        <f>IF(ISERROR(AA453/S453),"NA",IF(OR(AA453/S453&gt;2,AA453/S453&lt;0.5),"NM",AA453/S453*100-100))</f>
        <v>NA</v>
      </c>
      <c r="AC453" s="91">
        <f>AC443-AC449</f>
        <v>9</v>
      </c>
      <c r="AD453" s="72" t="str">
        <f>IF(ISERROR(AC453/U453),"NA",IF(OR(AC453/U453&gt;2,AC453/U453&lt;0.5),"NM",AC453/U453*100-100))</f>
        <v>NM</v>
      </c>
      <c r="AE453" s="91">
        <f>AE443-AE449</f>
        <v>8</v>
      </c>
      <c r="AF453" s="72" t="str">
        <f>IF(ISERROR(AE453/W453),"NA",IF(OR(AE453/W453&gt;2,AE453/W453&lt;0.5),"NM",AE453/W453*100-100))</f>
        <v>NM</v>
      </c>
      <c r="AG453" s="91">
        <f>AG443-AG449</f>
        <v>-31</v>
      </c>
      <c r="AH453" s="72" t="str">
        <f>IF(ISERROR(AG453/Y453),"NA",IF(OR(AG453/Y453&gt;2,AG453/Y453&lt;0.5),"NM",AG453/Y453*100-100))</f>
        <v>NM</v>
      </c>
      <c r="AI453" s="91">
        <f>AI443-AI449</f>
        <v>5</v>
      </c>
      <c r="AJ453" s="72" t="str">
        <f>IF(ISERROR(AI453/AA453),"NA",IF(OR(AI453/AA453&gt;2,AI453/AA453&lt;0.5),"NM",AI453/AA453*100-100))</f>
        <v>NM</v>
      </c>
      <c r="AK453" s="91">
        <f>AK443-AK449</f>
        <v>20</v>
      </c>
      <c r="AL453" s="72" t="str">
        <f>IF(ISERROR(AK453/AC453),"NA",IF(OR(AK453/AC453&gt;2,AK453/AC453&lt;0.5),"NM",AK453/AC453*100-100))</f>
        <v>NM</v>
      </c>
      <c r="AM453" s="91">
        <f>AM443-AM449</f>
        <v>19</v>
      </c>
      <c r="AN453" s="72" t="str">
        <f>IF(ISERROR(AM453/AE453),"NA",IF(OR(AM453/AE453&gt;2,AM453/AE453&lt;0.5),"NM",AM453/AE453*100-100))</f>
        <v>NM</v>
      </c>
      <c r="AO453" s="91">
        <f>AO443-AO449</f>
        <v>33</v>
      </c>
      <c r="AP453" s="72" t="str">
        <f>IF(ISERROR(AO453/AG453),"NA",IF(OR(AO453/AG453&gt;2,AO453/AG453&lt;0.5),"NM",AO453/AG453*100-100))</f>
        <v>NM</v>
      </c>
      <c r="AQ453" s="91">
        <f>AQ443-AQ449</f>
        <v>25</v>
      </c>
      <c r="AR453" s="72" t="str">
        <f>IF(ISERROR(AQ453/AI453),"NA",IF(OR(AQ453/AI453&gt;2,AQ453/AI453&lt;0.5),"NM",AQ453/AI453*100-100))</f>
        <v>NM</v>
      </c>
      <c r="AS453" s="91">
        <f>AS443-AS449</f>
        <v>19</v>
      </c>
      <c r="AT453" s="72">
        <f>IF(ISERROR(AS453/AK453),"NA",IF(OR(AS453/AK453&gt;2,AS453/AK453&lt;0.5),"NM",AS453/AK453*100-100))</f>
        <v>-5</v>
      </c>
      <c r="AU453" s="91">
        <f>AU443-AU449</f>
        <v>25</v>
      </c>
      <c r="AV453" s="72">
        <f>IF(ISERROR(AU453/AM453),"NA",IF(OR(AU453/AM453&gt;2,AU453/AM453&lt;0.5),"NM",AU453/AM453*100-100))</f>
        <v>31.578947368421069</v>
      </c>
      <c r="AW453" s="91">
        <f>AW443-AW449</f>
        <v>37</v>
      </c>
      <c r="AX453" s="72">
        <f>IF(ISERROR(AW453/AO453),"NA",IF(OR(AW453/AO453&gt;2,AW453/AO453&lt;0.5),"NM",AW453/AO453*100-100))</f>
        <v>12.12121212121211</v>
      </c>
      <c r="AY453" s="91">
        <f>AY443-AY449</f>
        <v>44</v>
      </c>
      <c r="AZ453" s="72">
        <f>IF(ISERROR(AY453/AQ453),"NA",IF(OR(AY453/AQ453&gt;2,AY453/AQ453&lt;0.5),"NM",AY453/AQ453*100-100))</f>
        <v>76</v>
      </c>
      <c r="BA453" s="91">
        <f>BA443-BA449</f>
        <v>34</v>
      </c>
      <c r="BB453" s="72">
        <f>IF(ISERROR(BA453/AS453),"NA",IF(OR(BA453/AS453&gt;2,BA453/AS453&lt;0.5),"NM",BA453/AS453*100-100))</f>
        <v>78.94736842105263</v>
      </c>
      <c r="BC453" s="91">
        <f>BC443-BC449</f>
        <v>31</v>
      </c>
      <c r="BD453" s="72">
        <f>IF(ISERROR(BC453/AU453),"NA",IF(OR(BC453/AU453&gt;2,BC453/AU453&lt;0.5),"NM",BC453/AU453*100-100))</f>
        <v>24</v>
      </c>
      <c r="BE453" s="91">
        <f>BE443-BE449</f>
        <v>34</v>
      </c>
      <c r="BF453" s="72">
        <f>IF(ISERROR(BE453/AW453),"NA",IF(OR(BE453/AW453&gt;2,BE453/AW453&lt;0.5),"NM",BE453/AW453*100-100))</f>
        <v>-8.1081081081080981</v>
      </c>
      <c r="BG453" s="91">
        <f>BG443-BG449</f>
        <v>62</v>
      </c>
      <c r="BH453" s="72">
        <f>IF(ISERROR(BG453/AY453),"NA",IF(OR(BG453/AY453&gt;2,BG453/AY453&lt;0.5),"NM",BG453/AY453*100-100))</f>
        <v>40.909090909090907</v>
      </c>
      <c r="BI453" s="91">
        <f>BI443-BI449</f>
        <v>43</v>
      </c>
      <c r="BJ453" s="72">
        <f>IF(ISERROR(BI453/BA453),"NA",IF(OR(BI453/BA453&gt;2,BI453/BA453&lt;0.5),"NM",BI453/BA453*100-100))</f>
        <v>26.470588235294116</v>
      </c>
      <c r="BK453" s="91">
        <f>BK443-BK449</f>
        <v>114</v>
      </c>
      <c r="BL453" s="72" t="str">
        <f>IF(ISERROR(BK453/BC453),"NA",IF(OR(BK453/BC453&gt;2,BK453/BC453&lt;0.5),"NM",BK453/BC453*100-100))</f>
        <v>NM</v>
      </c>
      <c r="BM453" s="91">
        <f>BM443-BM449</f>
        <v>40</v>
      </c>
      <c r="BN453" s="72">
        <f>IF(ISERROR(BM453/BE453),"NA",IF(OR(BM453/BE453&gt;2,BM453/BE453&lt;0.5),"NM",BM453/BE453*100-100))</f>
        <v>17.64705882352942</v>
      </c>
      <c r="BO453" s="91">
        <f>BO443-BO449</f>
        <v>7</v>
      </c>
      <c r="BP453" s="72" t="str">
        <f>IF(ISERROR(BO453/BG453),"NA",IF(OR(BO453/BG453&gt;2,BO453/BG453&lt;0.5),"NM",BO453/BG453*100-100))</f>
        <v>NM</v>
      </c>
      <c r="BQ453" s="91">
        <f>BQ443-BQ449</f>
        <v>13</v>
      </c>
      <c r="BR453" s="72" t="str">
        <f>IF(ISERROR(BQ453/BI453),"NA",IF(OR(BQ453/BI453&gt;2,BQ453/BI453&lt;0.5),"NM",BQ453/BI453*100-100))</f>
        <v>NM</v>
      </c>
      <c r="BS453" s="91">
        <f>BS443-BS449</f>
        <v>27</v>
      </c>
      <c r="BT453" s="72" t="str">
        <f>IF(ISERROR(BS453/BK453),"NA",IF(OR(BS453/BK453&gt;2,BS453/BK453&lt;0.5),"NM",BS453/BK453*100-100))</f>
        <v>NM</v>
      </c>
      <c r="BU453" s="91">
        <f>BU443-BU449</f>
        <v>-407</v>
      </c>
      <c r="BV453" s="72" t="str">
        <f>IF(ISERROR(BU453/BM453),"NA",IF(OR(BU453/BM453&gt;2,BU453/BM453&lt;0.5),"NM",BU453/BM453*100-100))</f>
        <v>NM</v>
      </c>
      <c r="BW453" s="91"/>
      <c r="BX453" s="72"/>
      <c r="BY453" s="91"/>
      <c r="BZ453" s="72"/>
      <c r="CA453" s="91"/>
      <c r="CB453" s="72"/>
      <c r="CC453" s="91"/>
      <c r="CD453" s="72"/>
      <c r="CE453" s="91"/>
      <c r="CF453" s="72"/>
      <c r="CG453" s="91"/>
      <c r="CH453" s="72"/>
      <c r="CI453" s="91"/>
      <c r="CJ453" s="72"/>
      <c r="CK453" s="91"/>
      <c r="CL453" s="72"/>
      <c r="CM453" s="91"/>
      <c r="CN453" s="72"/>
      <c r="CO453" s="91"/>
      <c r="CP453" s="72"/>
      <c r="CQ453" s="91"/>
      <c r="CR453" s="72"/>
      <c r="CS453" s="91"/>
      <c r="CT453" s="72"/>
      <c r="CU453" s="91"/>
      <c r="CV453" s="72"/>
      <c r="CW453" s="91"/>
      <c r="CX453" s="72"/>
      <c r="CY453" s="91"/>
      <c r="CZ453" s="72"/>
      <c r="DA453" s="91"/>
      <c r="DB453" s="72"/>
      <c r="DC453" s="91"/>
      <c r="DD453" s="72"/>
      <c r="DE453" s="91"/>
      <c r="DF453" s="72"/>
      <c r="DG453" s="91"/>
      <c r="DH453" s="72"/>
      <c r="DI453" s="91"/>
      <c r="DJ453" s="72"/>
      <c r="DK453" s="91"/>
      <c r="DL453" s="72"/>
      <c r="DM453" s="91"/>
      <c r="DN453" s="72"/>
      <c r="DO453" s="91"/>
      <c r="DP453" s="72"/>
      <c r="DQ453" s="91"/>
      <c r="DR453" s="72"/>
      <c r="DS453" s="91"/>
      <c r="DT453" s="72"/>
      <c r="DU453" s="91"/>
      <c r="DV453" s="72"/>
      <c r="DW453" s="91"/>
      <c r="DX453" s="72"/>
      <c r="DY453" s="91"/>
      <c r="DZ453" s="72"/>
      <c r="EA453" s="91"/>
      <c r="EB453" s="72"/>
      <c r="EC453" s="91"/>
      <c r="ED453" s="72"/>
      <c r="EE453" s="91"/>
      <c r="EF453" s="72"/>
      <c r="EG453" s="91"/>
      <c r="EH453" s="72"/>
      <c r="EI453" s="91"/>
      <c r="EJ453" s="72"/>
      <c r="EK453" s="91"/>
      <c r="EL453" s="72"/>
      <c r="EM453" s="91"/>
      <c r="EN453" s="72"/>
      <c r="EO453" s="91"/>
      <c r="EP453" s="72"/>
      <c r="EQ453" s="91"/>
      <c r="ER453" s="72"/>
      <c r="ES453" s="91"/>
      <c r="ET453" s="72"/>
      <c r="EU453" s="91"/>
      <c r="EV453" s="72"/>
      <c r="EW453" s="91"/>
      <c r="EX453" s="72"/>
      <c r="EY453" s="72"/>
      <c r="EZ453" s="310"/>
      <c r="FA453" s="72"/>
      <c r="FB453" s="91">
        <f>FB443-FB449</f>
        <v>13</v>
      </c>
      <c r="FC453" s="80"/>
      <c r="FD453" s="91">
        <f>FD443-FD449</f>
        <v>15</v>
      </c>
      <c r="FE453" s="72">
        <f>IF(ISERROR(FD453/FB453),"NA",IF(OR(FD453/FB453&gt;2,FD453/FB453&lt;0.5),"NM",FD453/FB453*100-100))</f>
        <v>15.384615384615373</v>
      </c>
      <c r="FF453" s="91">
        <f>FF443-FF449</f>
        <v>26</v>
      </c>
      <c r="FG453" s="72">
        <f>IF(ISERROR(FF453/FD453),"NA",IF(OR(FF453/FD453&gt;2,FF453/FD453&lt;0.5),"NM",FF453/FD453*100-100))</f>
        <v>73.333333333333343</v>
      </c>
      <c r="FH453" s="91">
        <f>FH443-FH449</f>
        <v>-41</v>
      </c>
      <c r="FI453" s="72" t="str">
        <f>IF(ISERROR(FH453/FF453),"NA",IF(OR(FH453/FF453&gt;2,FH453/FF453&lt;0.5),"NM",FH453/FF453*100-100))</f>
        <v>NM</v>
      </c>
      <c r="FJ453" s="91">
        <f>FJ443-FJ449</f>
        <v>-6</v>
      </c>
      <c r="FK453" s="72" t="str">
        <f>IF(ISERROR(FJ453/FH453),"NA",IF(OR(FJ453/FH453&gt;2,FJ453/FH453&lt;0.5),"NM",FJ453/FH453*100-100))</f>
        <v>NM</v>
      </c>
      <c r="FL453" s="91">
        <f>FL443-FL449</f>
        <v>-12</v>
      </c>
      <c r="FM453" s="72">
        <f>IF(ISERROR(FL453/FJ453),"NA",IF(OR(FL453/FJ453&gt;2,FL453/FJ453&lt;0.5),"NM",FL453/FJ453*100-100))</f>
        <v>100</v>
      </c>
      <c r="FN453" s="91">
        <f>FN443-FN449</f>
        <v>77</v>
      </c>
      <c r="FO453" s="72" t="str">
        <f>IF(ISERROR(FN453/FL453),"NA",IF(OR(FN453/FL453&gt;2,FN453/FL453&lt;0.5),"NM",FN453/FL453*100-100))</f>
        <v>NM</v>
      </c>
      <c r="FP453" s="91">
        <f>FP443-FP449</f>
        <v>106</v>
      </c>
      <c r="FQ453" s="72">
        <f>IF(ISERROR(FP453/FN453),"NA",IF(OR(FP453/FN453&gt;2,FP453/FN453&lt;0.5),"NM",FP453/FN453*100-100))</f>
        <v>37.662337662337677</v>
      </c>
      <c r="FR453" s="91">
        <f>FR443-FR449</f>
        <v>143</v>
      </c>
      <c r="FS453" s="72">
        <f>IF(ISERROR(FR453/FP453),"NA",IF(OR(FR453/FP453&gt;2,FR453/FP453&lt;0.5),"NM",FR453/FP453*100-100))</f>
        <v>34.905660377358487</v>
      </c>
      <c r="FT453" s="91">
        <f>FT443-FT449</f>
        <v>259</v>
      </c>
      <c r="FU453" s="72">
        <f>IF(ISERROR(FT453/FR453),"NA",IF(OR(FT453/FR453&gt;2,FT453/FR453&lt;0.5),"NM",FT453/FR453*100-100))</f>
        <v>81.11888111888112</v>
      </c>
      <c r="FV453" s="91">
        <f>FV443-FV449</f>
        <v>-360</v>
      </c>
      <c r="FW453" s="72" t="str">
        <f>IF(ISERROR(FV453/FT453),"NA",IF(OR(FV453/FT453&gt;2,FV453/FT453&lt;0.5),"NM",FV453/FT453*100-100))</f>
        <v>NM</v>
      </c>
      <c r="FX453" s="91"/>
      <c r="FY453" s="72"/>
      <c r="FZ453" s="91"/>
      <c r="GA453" s="72"/>
      <c r="GB453" s="91"/>
      <c r="GC453" s="72"/>
      <c r="GD453" s="91"/>
      <c r="GE453" s="72"/>
      <c r="GF453" s="91"/>
      <c r="GG453" s="72"/>
      <c r="GH453" s="91"/>
      <c r="GI453" s="72"/>
      <c r="GJ453" s="91"/>
      <c r="GK453" s="72"/>
      <c r="GL453" s="91"/>
      <c r="GM453" s="72"/>
      <c r="GN453" s="91"/>
      <c r="GO453" s="72"/>
      <c r="GP453" s="91"/>
      <c r="GQ453" s="72"/>
      <c r="GR453" s="91"/>
      <c r="GS453" s="72"/>
      <c r="GT453" s="91"/>
      <c r="GU453" s="72"/>
      <c r="GV453" s="91"/>
      <c r="GW453" s="72"/>
      <c r="GX453" s="91"/>
      <c r="GY453" s="72"/>
      <c r="GZ453" s="72"/>
      <c r="HA453" s="72"/>
      <c r="HB453" s="72"/>
      <c r="HC453"/>
      <c r="HD453"/>
      <c r="HE453"/>
      <c r="HF453"/>
      <c r="HG453"/>
      <c r="HH453"/>
      <c r="HI453" s="2"/>
    </row>
    <row r="454" spans="1:217" s="3" customFormat="1" ht="12.75" hidden="1" customHeight="1" outlineLevel="1" x14ac:dyDescent="0.2">
      <c r="B454" s="77" t="s">
        <v>436</v>
      </c>
      <c r="C454" s="105">
        <f>C453/C443*100</f>
        <v>13.300492610837439</v>
      </c>
      <c r="D454" s="72"/>
      <c r="E454" s="105">
        <f>E453/E443*100</f>
        <v>8.1395348837209305</v>
      </c>
      <c r="F454" s="72"/>
      <c r="G454" s="105">
        <f>G453/G443*100</f>
        <v>5.8823529411764701</v>
      </c>
      <c r="H454" s="72"/>
      <c r="I454" s="105">
        <f>I453/I443*100</f>
        <v>-15.723270440251572</v>
      </c>
      <c r="J454" s="72"/>
      <c r="K454" s="105">
        <f>K453/K443*100</f>
        <v>2.4691358024691357</v>
      </c>
      <c r="L454" s="72" t="str">
        <f>IF(ISERROR(K454/C454),"NA",IF(OR(K454/C454&gt;2,K454/C454&lt;0.5),"NM",K454/C454*100-100))</f>
        <v>NM</v>
      </c>
      <c r="M454" s="105">
        <f>M453/M443*100</f>
        <v>-17.333333333333336</v>
      </c>
      <c r="N454" s="72" t="str">
        <f>IF(ISERROR(M454/E454),"NA",IF(OR(M454/E454&gt;2,M454/E454&lt;0.5),"NM",M454/E454*100-100))</f>
        <v>NM</v>
      </c>
      <c r="O454" s="105">
        <f>O453/O443*100</f>
        <v>-15.492957746478872</v>
      </c>
      <c r="P454" s="72" t="str">
        <f>IF(ISERROR(O454/G454),"NA",IF(OR(O454/G454&gt;2,O454/G454&lt;0.5),"NM",O454/G454*100-100))</f>
        <v>NM</v>
      </c>
      <c r="Q454" s="105">
        <f>Q453/Q443*100</f>
        <v>-25</v>
      </c>
      <c r="R454" s="72">
        <f>IF(ISERROR(Q454/I454),"NA",IF(OR(Q454/I454&gt;2,Q454/I454&lt;0.5),"NM",Q454/I454*100-100))</f>
        <v>59</v>
      </c>
      <c r="S454" s="105">
        <f>S453/S443*100</f>
        <v>0</v>
      </c>
      <c r="T454" s="72" t="str">
        <f>IF(ISERROR(S454/K454),"NA",IF(OR(S454/K454&gt;2,S454/K454&lt;0.5),"NM",S454/K454*100-100))</f>
        <v>NM</v>
      </c>
      <c r="U454" s="105">
        <f>U453/U443*100</f>
        <v>-4.9382716049382713</v>
      </c>
      <c r="V454" s="72" t="str">
        <f>IF(ISERROR(U454/M454),"NA",IF(OR(U454/M454&gt;2,U454/M454&lt;0.5),"NM",U454/M454*100-100))</f>
        <v>NM</v>
      </c>
      <c r="W454" s="105">
        <f>W453/W443*100</f>
        <v>2.4096385542168677</v>
      </c>
      <c r="X454" s="72" t="str">
        <f>IF(ISERROR(W454/O454),"NA",IF(OR(W454/O454&gt;2,W454/O454&lt;0.5),"NM",W454/O454*100-100))</f>
        <v>NM</v>
      </c>
      <c r="Y454" s="105">
        <f>Y453/Y443*100</f>
        <v>-4.9382716049382713</v>
      </c>
      <c r="Z454" s="72" t="str">
        <f>IF(ISERROR(Y454/Q454),"NA",IF(OR(Y454/Q454&gt;2,Y454/Q454&lt;0.5),"NM",Y454/Q454*100-100))</f>
        <v>NM</v>
      </c>
      <c r="AA454" s="105">
        <f>AA453/AA443*100</f>
        <v>3.0769230769230771</v>
      </c>
      <c r="AB454" s="72" t="str">
        <f>IF(ISERROR(AA454/S454),"NA",IF(OR(AA454/S454&gt;2,AA454/S454&lt;0.5),"NM",AA454/S454*100-100))</f>
        <v>NA</v>
      </c>
      <c r="AC454" s="105">
        <f>AC453/AC443*100</f>
        <v>13.043478260869565</v>
      </c>
      <c r="AD454" s="72" t="str">
        <f>IF(ISERROR(AC454/U454),"NA",IF(OR(AC454/U454&gt;2,AC454/U454&lt;0.5),"NM",AC454/U454*100-100))</f>
        <v>NM</v>
      </c>
      <c r="AE454" s="105">
        <f>AE453/AE443*100</f>
        <v>11.76470588235294</v>
      </c>
      <c r="AF454" s="72" t="str">
        <f>IF(ISERROR(AE454/W454),"NA",IF(OR(AE454/W454&gt;2,AE454/W454&lt;0.5),"NM",AE454/W454*100-100))</f>
        <v>NM</v>
      </c>
      <c r="AG454" s="105">
        <f>AG453/AG443*100</f>
        <v>-86.111111111111114</v>
      </c>
      <c r="AH454" s="72" t="str">
        <f>IF(ISERROR(AG454/Y454),"NA",IF(OR(AG454/Y454&gt;2,AG454/Y454&lt;0.5),"NM",AG454/Y454*100-100))</f>
        <v>NM</v>
      </c>
      <c r="AI454" s="105">
        <f>AI453/AI443*100</f>
        <v>5.7471264367816088</v>
      </c>
      <c r="AJ454" s="72">
        <f>IF(ISERROR(AI454/AA454),"NA",IF(OR(AI454/AA454&gt;2,AI454/AA454&lt;0.5),"NM",AI454/AA454*100-100))</f>
        <v>86.781609195402268</v>
      </c>
      <c r="AK454" s="105">
        <f>AK453/AK443*100</f>
        <v>17.543859649122805</v>
      </c>
      <c r="AL454" s="72">
        <f>IF(ISERROR(AK454/AC454),"NA",IF(OR(AK454/AC454&gt;2,AK454/AC454&lt;0.5),"NM",AK454/AC454*100-100))</f>
        <v>34.502923976608173</v>
      </c>
      <c r="AM454" s="105">
        <f>AM453/AM443*100</f>
        <v>16.101694915254235</v>
      </c>
      <c r="AN454" s="72">
        <f>IF(ISERROR(AM454/AE454),"NA",IF(OR(AM454/AE454&gt;2,AM454/AE454&lt;0.5),"NM",AM454/AE454*100-100))</f>
        <v>36.86440677966101</v>
      </c>
      <c r="AO454" s="105">
        <f>AO453/AO443*100</f>
        <v>25.984251968503933</v>
      </c>
      <c r="AP454" s="72" t="str">
        <f>IF(ISERROR(AO454/AG454),"NA",IF(OR(AO454/AG454&gt;2,AO454/AG454&lt;0.5),"NM",AO454/AG454*100-100))</f>
        <v>NM</v>
      </c>
      <c r="AQ454" s="105">
        <f>AQ453/AQ443*100</f>
        <v>19.53125</v>
      </c>
      <c r="AR454" s="72" t="str">
        <f>IF(ISERROR(AQ454/AI454),"NA",IF(OR(AQ454/AI454&gt;2,AQ454/AI454&lt;0.5),"NM",AQ454/AI454*100-100))</f>
        <v>NM</v>
      </c>
      <c r="AS454" s="105">
        <f>AS453/AS443*100</f>
        <v>17.924528301886792</v>
      </c>
      <c r="AT454" s="72">
        <f>IF(ISERROR(AS454/AK454),"NA",IF(OR(AS454/AK454&gt;2,AS454/AK454&lt;0.5),"NM",AS454/AK454*100-100))</f>
        <v>2.1698113207547323</v>
      </c>
      <c r="AU454" s="105">
        <f>AU453/AU443*100</f>
        <v>20.491803278688526</v>
      </c>
      <c r="AV454" s="72">
        <f>IF(ISERROR(AU454/AM454),"NA",IF(OR(AU454/AM454&gt;2,AU454/AM454&lt;0.5),"NM",AU454/AM454*100-100))</f>
        <v>27.264883520276115</v>
      </c>
      <c r="AW454" s="105">
        <f>AW453/AW443*100</f>
        <v>28.244274809160309</v>
      </c>
      <c r="AX454" s="72">
        <f>IF(ISERROR(AW454/AO454),"NA",IF(OR(AW454/AO454&gt;2,AW454/AO454&lt;0.5),"NM",AW454/AO454*100-100))</f>
        <v>8.6976636594957597</v>
      </c>
      <c r="AY454" s="105">
        <f>AY453/AY443*100</f>
        <v>29.333333333333332</v>
      </c>
      <c r="AZ454" s="72">
        <f>IF(ISERROR(AY454/AQ454),"NA",IF(OR(AY454/AQ454&gt;2,AY454/AQ454&lt;0.5),"NM",AY454/AQ454*100-100))</f>
        <v>50.186666666666667</v>
      </c>
      <c r="BA454" s="105">
        <f>BA453/BA443*100</f>
        <v>23.287671232876711</v>
      </c>
      <c r="BB454" s="72">
        <f>IF(ISERROR(BA454/AS454),"NA",IF(OR(BA454/AS454&gt;2,BA454/AS454&lt;0.5),"NM",BA454/AS454*100-100))</f>
        <v>29.920692141312202</v>
      </c>
      <c r="BC454" s="105">
        <f>BC453/BC443*100</f>
        <v>23.484848484848484</v>
      </c>
      <c r="BD454" s="72">
        <f>IF(ISERROR(BC454/AU454),"NA",IF(OR(BC454/AU454&gt;2,BC454/AU454&lt;0.5),"NM",BC454/AU454*100-100))</f>
        <v>14.606060606060595</v>
      </c>
      <c r="BE454" s="105">
        <f>BE453/BE443*100</f>
        <v>20.987654320987652</v>
      </c>
      <c r="BF454" s="72">
        <f>IF(ISERROR(BE454/AW454),"NA",IF(OR(BE454/AW454&gt;2,BE454/AW454&lt;0.5),"NM",BE454/AW454*100-100))</f>
        <v>-25.692359025692383</v>
      </c>
      <c r="BG454" s="105">
        <f>BG453/BG443*100</f>
        <v>35.028248587570623</v>
      </c>
      <c r="BH454" s="72">
        <f>IF(ISERROR(BG454/AY454),"NA",IF(OR(BG454/AY454&gt;2,BG454/AY454&lt;0.5),"NM",BG454/AY454*100-100))</f>
        <v>19.414483821263502</v>
      </c>
      <c r="BI454" s="105">
        <f>BI453/BI443*100</f>
        <v>25.443786982248522</v>
      </c>
      <c r="BJ454" s="72">
        <f>IF(ISERROR(BI454/BA454),"NA",IF(OR(BI454/BA454&gt;2,BI454/BA454&lt;0.5),"NM",BI454/BA454*100-100))</f>
        <v>9.2586146884789571</v>
      </c>
      <c r="BK454" s="105">
        <f>BK453/BK443*100</f>
        <v>45.418326693227087</v>
      </c>
      <c r="BL454" s="72">
        <f>IF(ISERROR(BK454/BC454),"NA",IF(OR(BK454/BC454&gt;2,BK454/BC454&lt;0.5),"NM",BK454/BC454*100-100))</f>
        <v>93.394165274386296</v>
      </c>
      <c r="BM454" s="105">
        <f>BM453/BM443*100</f>
        <v>23.255813953488371</v>
      </c>
      <c r="BN454" s="72">
        <f>IF(ISERROR(BM454/BE454),"NA",IF(OR(BM454/BE454&gt;2,BM454/BE454&lt;0.5),"NM",BM454/BE454*100-100))</f>
        <v>10.807113543091674</v>
      </c>
      <c r="BO454" s="105">
        <f>BO453/BO443*100</f>
        <v>6.0344827586206895</v>
      </c>
      <c r="BP454" s="72" t="str">
        <f>IF(ISERROR(BO454/BG454),"NA",IF(OR(BO454/BG454&gt;2,BO454/BG454&lt;0.5),"NM",BO454/BG454*100-100))</f>
        <v>NM</v>
      </c>
      <c r="BQ454" s="105">
        <f>BQ453/BQ443*100</f>
        <v>13</v>
      </c>
      <c r="BR454" s="72">
        <f>IF(ISERROR(BQ454/BI454),"NA",IF(OR(BQ454/BI454&gt;2,BQ454/BI454&lt;0.5),"NM",BQ454/BI454*100-100))</f>
        <v>-48.906976744186046</v>
      </c>
      <c r="BS454" s="105">
        <f>BS453/BS443*100</f>
        <v>25</v>
      </c>
      <c r="BT454" s="72">
        <f>IF(ISERROR(BS454/BK454),"NA",IF(OR(BS454/BK454&gt;2,BS454/BK454&lt;0.5),"NM",BS454/BK454*100-100))</f>
        <v>-44.956140350877185</v>
      </c>
      <c r="BU454" s="100">
        <f>BU453/BU443*100</f>
        <v>176.19047619047618</v>
      </c>
      <c r="BV454" s="72" t="str">
        <f>IF(ISERROR(BU454/BM454),"NA",IF(OR(BU454/BM454&gt;2,BU454/BM454&lt;0.5),"NM",BU454/BM454*100-100))</f>
        <v>NM</v>
      </c>
      <c r="BW454" s="105"/>
      <c r="BX454" s="72"/>
      <c r="BY454" s="105"/>
      <c r="BZ454" s="72"/>
      <c r="CA454" s="105"/>
      <c r="CB454" s="72"/>
      <c r="CC454" s="105"/>
      <c r="CD454" s="72"/>
      <c r="CE454" s="105"/>
      <c r="CF454" s="72"/>
      <c r="CG454" s="105"/>
      <c r="CH454" s="72"/>
      <c r="CI454" s="105"/>
      <c r="CJ454" s="72"/>
      <c r="CK454" s="105"/>
      <c r="CL454" s="72"/>
      <c r="CM454" s="105"/>
      <c r="CN454" s="72"/>
      <c r="CO454" s="105"/>
      <c r="CP454" s="72"/>
      <c r="CQ454" s="105"/>
      <c r="CR454" s="72"/>
      <c r="CS454" s="105"/>
      <c r="CT454" s="72"/>
      <c r="CU454" s="105"/>
      <c r="CV454" s="72"/>
      <c r="CW454" s="105"/>
      <c r="CX454" s="72"/>
      <c r="CY454" s="105"/>
      <c r="CZ454" s="72"/>
      <c r="DA454" s="105"/>
      <c r="DB454" s="72"/>
      <c r="DC454" s="105"/>
      <c r="DD454" s="72"/>
      <c r="DE454" s="105"/>
      <c r="DF454" s="72"/>
      <c r="DG454" s="105"/>
      <c r="DH454" s="72"/>
      <c r="DI454" s="105"/>
      <c r="DJ454" s="72"/>
      <c r="DK454" s="105"/>
      <c r="DL454" s="72"/>
      <c r="DM454" s="105"/>
      <c r="DN454" s="72"/>
      <c r="DO454" s="105"/>
      <c r="DP454" s="72"/>
      <c r="DQ454" s="105"/>
      <c r="DR454" s="72"/>
      <c r="DS454" s="105"/>
      <c r="DT454" s="72"/>
      <c r="DU454" s="105"/>
      <c r="DV454" s="72"/>
      <c r="DW454" s="105"/>
      <c r="DX454" s="72"/>
      <c r="DY454" s="105"/>
      <c r="DZ454" s="72"/>
      <c r="EA454" s="105"/>
      <c r="EB454" s="72"/>
      <c r="EC454" s="105"/>
      <c r="ED454" s="72"/>
      <c r="EE454" s="105"/>
      <c r="EF454" s="72"/>
      <c r="EG454" s="105"/>
      <c r="EH454" s="72"/>
      <c r="EI454" s="105"/>
      <c r="EJ454" s="72"/>
      <c r="EK454" s="105"/>
      <c r="EL454" s="72"/>
      <c r="EM454" s="105"/>
      <c r="EN454" s="72"/>
      <c r="EO454" s="105"/>
      <c r="EP454" s="72"/>
      <c r="EQ454" s="105"/>
      <c r="ER454" s="72"/>
      <c r="ES454" s="105"/>
      <c r="ET454" s="72"/>
      <c r="EU454" s="105"/>
      <c r="EV454" s="72"/>
      <c r="EW454" s="105"/>
      <c r="EX454" s="72"/>
      <c r="EY454" s="72"/>
      <c r="EZ454" s="329"/>
      <c r="FA454" s="72"/>
      <c r="FB454" s="105">
        <f>FB453/FB443*100</f>
        <v>2.4436090225563909</v>
      </c>
      <c r="FC454" s="82"/>
      <c r="FD454" s="105">
        <f>FD453/FD443*100</f>
        <v>2.5862068965517242</v>
      </c>
      <c r="FE454" s="72">
        <f>IF(ISERROR(FD454/FB454),"NA",IF(OR(FD454/FB454&gt;2,FD454/FB454&lt;0.5),"NM",FD454/FB454*100-100))</f>
        <v>5.8355437665782688</v>
      </c>
      <c r="FF454" s="105">
        <f>FF453/FF443*100</f>
        <v>3.6931818181818183</v>
      </c>
      <c r="FG454" s="72">
        <f>IF(ISERROR(FF454/FD454),"NA",IF(OR(FF454/FD454&gt;2,FF454/FD454&lt;0.5),"NM",FF454/FD454*100-100))</f>
        <v>42.803030303030312</v>
      </c>
      <c r="FH454" s="105">
        <f>FH453/FH443*100</f>
        <v>-13.531353135313532</v>
      </c>
      <c r="FI454" s="72" t="str">
        <f>IF(ISERROR(FH454/FF454),"NA",IF(OR(FH454/FF454&gt;2,FH454/FF454&lt;0.5),"NM",FH454/FF454*100-100))</f>
        <v>NM</v>
      </c>
      <c r="FJ454" s="105">
        <f>FJ453/FJ443*100</f>
        <v>-1.8461538461538463</v>
      </c>
      <c r="FK454" s="72" t="str">
        <f>IF(ISERROR(FJ454/FH454),"NA",IF(OR(FJ454/FH454&gt;2,FJ454/FH454&lt;0.5),"NM",FJ454/FH454*100-100))</f>
        <v>NM</v>
      </c>
      <c r="FL454" s="105">
        <f>FL453/FL443*100</f>
        <v>-5.0420168067226889</v>
      </c>
      <c r="FM454" s="72" t="str">
        <f>IF(ISERROR(FL454/FJ454),"NA",IF(OR(FL454/FJ454&gt;2,FL454/FJ454&lt;0.5),"NM",FL454/FJ454*100-100))</f>
        <v>NM</v>
      </c>
      <c r="FN454" s="105">
        <f>FN453/FN443*100</f>
        <v>17.264573991031391</v>
      </c>
      <c r="FO454" s="72" t="str">
        <f>IF(ISERROR(FN454/FL454),"NA",IF(OR(FN454/FL454&gt;2,FN454/FL454&lt;0.5),"NM",FN454/FL454*100-100))</f>
        <v>NM</v>
      </c>
      <c r="FP454" s="105">
        <f>FP453/FP443*100</f>
        <v>21.765913757700204</v>
      </c>
      <c r="FQ454" s="72">
        <f>IF(ISERROR(FP454/FN454),"NA",IF(OR(FP454/FN454&gt;2,FP454/FN454&lt;0.5),"NM",FP454/FN454*100-100))</f>
        <v>26.072695271873897</v>
      </c>
      <c r="FR454" s="105">
        <f>FR453/FR443*100</f>
        <v>24.237288135593221</v>
      </c>
      <c r="FS454" s="72">
        <f>IF(ISERROR(FR454/FP454),"NA",IF(OR(FR454/FP454&gt;2,FR454/FP454&lt;0.5),"NM",FR454/FP454*100-100))</f>
        <v>11.354333226734894</v>
      </c>
      <c r="FT454" s="105">
        <f>FT453/FT443*100</f>
        <v>33.68010403120936</v>
      </c>
      <c r="FU454" s="72">
        <f>IF(ISERROR(FT454/FR454),"NA",IF(OR(FT454/FR454&gt;2,FT454/FR454&lt;0.5),"NM",FT454/FR454*100-100))</f>
        <v>38.959869779115536</v>
      </c>
      <c r="FV454" s="100">
        <f>FV453/FV443*100</f>
        <v>-387.09677419354841</v>
      </c>
      <c r="FW454" s="72" t="str">
        <f>IF(ISERROR(FV454/FT454),"NA",IF(OR(FV454/FT454&gt;2,FV454/FT454&lt;0.5),"NM",FV454/FT454*100-100))</f>
        <v>NM</v>
      </c>
      <c r="FX454" s="105"/>
      <c r="FY454" s="72"/>
      <c r="FZ454" s="105"/>
      <c r="GA454" s="72"/>
      <c r="GB454" s="105"/>
      <c r="GC454" s="72"/>
      <c r="GD454" s="105"/>
      <c r="GE454" s="72"/>
      <c r="GF454" s="105"/>
      <c r="GG454" s="72"/>
      <c r="GH454" s="105"/>
      <c r="GI454" s="72"/>
      <c r="GJ454" s="105"/>
      <c r="GK454" s="72"/>
      <c r="GL454" s="105"/>
      <c r="GM454" s="72"/>
      <c r="GN454" s="105"/>
      <c r="GO454" s="72"/>
      <c r="GP454" s="105"/>
      <c r="GQ454" s="72"/>
      <c r="GR454" s="105"/>
      <c r="GS454" s="72"/>
      <c r="GT454" s="105"/>
      <c r="GU454" s="72"/>
      <c r="GV454" s="105"/>
      <c r="GW454" s="72"/>
      <c r="GX454" s="105"/>
      <c r="GY454" s="72"/>
      <c r="GZ454" s="72"/>
      <c r="HA454" s="72"/>
      <c r="HB454" s="72"/>
      <c r="HC454"/>
      <c r="HD454"/>
      <c r="HE454"/>
      <c r="HF454"/>
      <c r="HG454"/>
      <c r="HH454"/>
      <c r="HI454" s="2"/>
    </row>
    <row r="455" spans="1:217" ht="12.75" hidden="1" customHeight="1" outlineLevel="1" x14ac:dyDescent="0.2">
      <c r="B455" s="77"/>
      <c r="C455" s="109"/>
      <c r="D455" s="72"/>
      <c r="E455" s="109"/>
      <c r="F455" s="72"/>
      <c r="G455" s="109"/>
      <c r="H455" s="72"/>
      <c r="I455" s="109"/>
      <c r="J455" s="72"/>
      <c r="K455" s="109"/>
      <c r="L455" s="72"/>
      <c r="M455" s="109"/>
      <c r="N455" s="72"/>
      <c r="O455" s="109"/>
      <c r="P455" s="72"/>
      <c r="Q455" s="109"/>
      <c r="R455" s="72"/>
      <c r="S455" s="109"/>
      <c r="T455" s="72"/>
      <c r="U455" s="109"/>
      <c r="V455" s="72"/>
      <c r="W455" s="109"/>
      <c r="X455" s="72"/>
      <c r="Y455" s="109"/>
      <c r="Z455" s="72"/>
      <c r="AA455" s="109"/>
      <c r="AB455" s="72"/>
      <c r="AC455" s="109"/>
      <c r="AD455" s="72"/>
      <c r="AE455" s="109"/>
      <c r="AF455" s="72"/>
      <c r="AG455" s="109"/>
      <c r="AH455" s="72"/>
      <c r="AI455" s="109"/>
      <c r="AJ455" s="72"/>
      <c r="AK455" s="109"/>
      <c r="AL455" s="72"/>
      <c r="AM455" s="109"/>
      <c r="AN455" s="72"/>
      <c r="AO455" s="109"/>
      <c r="AP455" s="72"/>
      <c r="AQ455" s="109"/>
      <c r="AR455" s="72"/>
      <c r="AS455" s="109"/>
      <c r="AT455" s="72"/>
      <c r="AU455" s="109"/>
      <c r="AV455" s="72"/>
      <c r="AW455" s="109"/>
      <c r="AX455" s="72"/>
      <c r="AY455" s="109"/>
      <c r="AZ455" s="72"/>
      <c r="BA455" s="109"/>
      <c r="BB455" s="72"/>
      <c r="BC455" s="109"/>
      <c r="BD455" s="72"/>
      <c r="BE455" s="109"/>
      <c r="BF455" s="72"/>
      <c r="BG455" s="109"/>
      <c r="BH455" s="72"/>
      <c r="BI455" s="109"/>
      <c r="BJ455" s="72"/>
      <c r="BK455" s="109"/>
      <c r="BL455" s="72"/>
      <c r="BM455" s="109"/>
      <c r="BN455" s="72"/>
      <c r="BO455" s="109"/>
      <c r="BP455" s="109"/>
      <c r="BQ455" s="109"/>
      <c r="BR455" s="109"/>
      <c r="BS455" s="109"/>
      <c r="BT455" s="109"/>
      <c r="BU455" s="109"/>
      <c r="BV455" s="109"/>
      <c r="BW455" s="109"/>
      <c r="BX455" s="72"/>
      <c r="BY455" s="109"/>
      <c r="BZ455" s="72"/>
      <c r="CA455" s="109"/>
      <c r="CB455" s="72"/>
      <c r="CC455" s="109"/>
      <c r="CD455" s="72"/>
      <c r="CE455" s="109"/>
      <c r="CF455" s="72"/>
      <c r="CG455" s="109"/>
      <c r="CH455" s="72"/>
      <c r="CI455" s="109"/>
      <c r="CJ455" s="72"/>
      <c r="CK455" s="109"/>
      <c r="CL455" s="72"/>
      <c r="CM455" s="109"/>
      <c r="CN455" s="72"/>
      <c r="CO455" s="109"/>
      <c r="CP455" s="72"/>
      <c r="CQ455" s="109"/>
      <c r="CR455" s="72"/>
      <c r="CS455" s="109"/>
      <c r="CT455" s="72"/>
      <c r="CU455" s="109"/>
      <c r="CV455" s="72"/>
      <c r="CW455" s="109"/>
      <c r="CX455" s="72"/>
      <c r="CY455" s="109"/>
      <c r="CZ455" s="72"/>
      <c r="DA455" s="109"/>
      <c r="DB455" s="72"/>
      <c r="DC455" s="109"/>
      <c r="DD455" s="72"/>
      <c r="DE455" s="109"/>
      <c r="DF455" s="72"/>
      <c r="DG455" s="109"/>
      <c r="DH455" s="72"/>
      <c r="DI455" s="109"/>
      <c r="DJ455" s="72"/>
      <c r="DK455" s="109"/>
      <c r="DL455" s="72"/>
      <c r="DM455" s="109"/>
      <c r="DN455" s="72"/>
      <c r="DO455" s="109"/>
      <c r="DP455" s="72"/>
      <c r="DQ455" s="109"/>
      <c r="DR455" s="72"/>
      <c r="DS455" s="109"/>
      <c r="DT455" s="72"/>
      <c r="DU455" s="109"/>
      <c r="DV455" s="72"/>
      <c r="DW455" s="109"/>
      <c r="DX455" s="72"/>
      <c r="DY455" s="109"/>
      <c r="DZ455" s="72"/>
      <c r="EA455" s="109"/>
      <c r="EB455" s="72"/>
      <c r="EC455" s="109"/>
      <c r="ED455" s="72"/>
      <c r="EE455" s="109"/>
      <c r="EF455" s="72"/>
      <c r="EG455" s="109"/>
      <c r="EH455" s="72"/>
      <c r="EI455" s="109"/>
      <c r="EJ455" s="72"/>
      <c r="EK455" s="109"/>
      <c r="EL455" s="72"/>
      <c r="EM455" s="109"/>
      <c r="EN455" s="72"/>
      <c r="EO455" s="109"/>
      <c r="EP455" s="72"/>
      <c r="EQ455" s="109"/>
      <c r="ER455" s="72"/>
      <c r="ES455" s="109"/>
      <c r="ET455" s="72"/>
      <c r="EU455" s="109"/>
      <c r="EV455" s="72"/>
      <c r="EW455" s="109"/>
      <c r="EX455" s="72"/>
      <c r="EY455" s="72"/>
      <c r="EZ455" s="306"/>
      <c r="FA455" s="72"/>
      <c r="FB455" s="109"/>
      <c r="FC455" s="72"/>
      <c r="FD455" s="109"/>
      <c r="FE455" s="72"/>
      <c r="FF455" s="109"/>
      <c r="FG455" s="72"/>
      <c r="FH455" s="109"/>
      <c r="FI455" s="72"/>
      <c r="FJ455" s="109"/>
      <c r="FK455" s="72"/>
      <c r="FL455" s="109"/>
      <c r="FM455" s="72"/>
      <c r="FN455" s="109"/>
      <c r="FO455" s="72"/>
      <c r="FP455" s="109"/>
      <c r="FQ455" s="72"/>
      <c r="FR455" s="109"/>
      <c r="FS455" s="72"/>
      <c r="FT455" s="109"/>
      <c r="FU455" s="72"/>
      <c r="FV455" s="109"/>
      <c r="FW455" s="72"/>
      <c r="FX455" s="109"/>
      <c r="FY455" s="72"/>
      <c r="FZ455" s="109"/>
      <c r="GA455" s="72"/>
      <c r="GB455" s="109"/>
      <c r="GC455" s="72"/>
      <c r="GD455" s="109"/>
      <c r="GE455" s="72"/>
      <c r="GF455" s="109"/>
      <c r="GG455" s="72"/>
      <c r="GH455" s="109"/>
      <c r="GI455" s="72"/>
      <c r="GJ455" s="109"/>
      <c r="GK455" s="72"/>
      <c r="GL455" s="109"/>
      <c r="GM455" s="72"/>
      <c r="GN455" s="109"/>
      <c r="GO455" s="72"/>
      <c r="GP455" s="109"/>
      <c r="GQ455" s="72"/>
      <c r="GR455" s="109"/>
      <c r="GS455" s="72"/>
      <c r="GT455" s="109"/>
      <c r="GU455" s="72"/>
      <c r="GV455" s="109"/>
      <c r="GW455" s="72"/>
      <c r="GX455" s="109"/>
      <c r="GY455" s="72"/>
      <c r="GZ455" s="72"/>
      <c r="HA455" s="72"/>
      <c r="HB455" s="72"/>
    </row>
    <row r="456" spans="1:217" s="3" customFormat="1" ht="12.75" hidden="1" customHeight="1" outlineLevel="1" x14ac:dyDescent="0.2">
      <c r="B456" s="77" t="s">
        <v>537</v>
      </c>
      <c r="C456" s="74">
        <v>0</v>
      </c>
      <c r="D456" s="92"/>
      <c r="E456" s="74">
        <v>0</v>
      </c>
      <c r="F456" s="92"/>
      <c r="G456" s="74">
        <v>0</v>
      </c>
      <c r="H456" s="92"/>
      <c r="I456" s="74">
        <v>0</v>
      </c>
      <c r="J456" s="92"/>
      <c r="K456" s="74">
        <v>0</v>
      </c>
      <c r="L456" s="72" t="str">
        <f>IF(ISERROR(K456/C456),"NA",IF(OR(K456/C456&gt;2,K456/C456&lt;0.5),"NM",K456/C456*100-100))</f>
        <v>NA</v>
      </c>
      <c r="M456" s="74">
        <v>0</v>
      </c>
      <c r="N456" s="72" t="str">
        <f>IF(ISERROR(M456/E456),"NA",IF(OR(M456/E456&gt;2,M456/E456&lt;0.5),"NM",M456/E456*100-100))</f>
        <v>NA</v>
      </c>
      <c r="O456" s="74">
        <v>0</v>
      </c>
      <c r="P456" s="72" t="str">
        <f>IF(ISERROR(O456/G456),"NA",IF(OR(O456/G456&gt;2,O456/G456&lt;0.5),"NM",O456/G456*100-100))</f>
        <v>NA</v>
      </c>
      <c r="Q456" s="74">
        <v>0</v>
      </c>
      <c r="R456" s="72" t="str">
        <f>IF(ISERROR(Q456/I456),"NA",IF(OR(Q456/I456&gt;2,Q456/I456&lt;0.5),"NM",Q456/I456*100-100))</f>
        <v>NA</v>
      </c>
      <c r="S456" s="74">
        <v>0</v>
      </c>
      <c r="T456" s="72" t="str">
        <f>IF(ISERROR(S456/K456),"NA",IF(OR(S456/K456&gt;2,S456/K456&lt;0.5),"NM",S456/K456*100-100))</f>
        <v>NA</v>
      </c>
      <c r="U456" s="74">
        <v>0</v>
      </c>
      <c r="V456" s="72" t="str">
        <f>IF(ISERROR(U456/M456),"NA",IF(OR(U456/M456&gt;2,U456/M456&lt;0.5),"NM",U456/M456*100-100))</f>
        <v>NA</v>
      </c>
      <c r="W456" s="74">
        <v>0</v>
      </c>
      <c r="X456" s="72" t="str">
        <f>IF(ISERROR(W456/O456),"NA",IF(OR(W456/O456&gt;2,W456/O456&lt;0.5),"NM",W456/O456*100-100))</f>
        <v>NA</v>
      </c>
      <c r="Y456" s="74">
        <v>0</v>
      </c>
      <c r="Z456" s="72" t="str">
        <f>IF(ISERROR(Y456/Q456),"NA",IF(OR(Y456/Q456&gt;2,Y456/Q456&lt;0.5),"NM",Y456/Q456*100-100))</f>
        <v>NA</v>
      </c>
      <c r="AA456" s="74">
        <v>0</v>
      </c>
      <c r="AB456" s="72" t="str">
        <f>IF(ISERROR(AA456/S456),"NA",IF(OR(AA456/S456&gt;2,AA456/S456&lt;0.5),"NM",AA456/S456*100-100))</f>
        <v>NA</v>
      </c>
      <c r="AC456" s="74">
        <v>0</v>
      </c>
      <c r="AD456" s="72" t="str">
        <f>IF(ISERROR(AC456/U456),"NA",IF(OR(AC456/U456&gt;2,AC456/U456&lt;0.5),"NM",AC456/U456*100-100))</f>
        <v>NA</v>
      </c>
      <c r="AE456" s="74">
        <v>0</v>
      </c>
      <c r="AF456" s="72" t="str">
        <f>IF(ISERROR(AE456/W456),"NA",IF(OR(AE456/W456&gt;2,AE456/W456&lt;0.5),"NM",AE456/W456*100-100))</f>
        <v>NA</v>
      </c>
      <c r="AG456" s="74">
        <v>0</v>
      </c>
      <c r="AH456" s="72" t="str">
        <f>IF(ISERROR(AG456/Y456),"NA",IF(OR(AG456/Y456&gt;2,AG456/Y456&lt;0.5),"NM",AG456/Y456*100-100))</f>
        <v>NA</v>
      </c>
      <c r="AI456" s="74">
        <v>0</v>
      </c>
      <c r="AJ456" s="72" t="str">
        <f>IF(ISERROR(AI456/AA456),"NA",IF(OR(AI456/AA456&gt;2,AI456/AA456&lt;0.5),"NM",AI456/AA456*100-100))</f>
        <v>NA</v>
      </c>
      <c r="AK456" s="74">
        <v>0</v>
      </c>
      <c r="AL456" s="72" t="str">
        <f>IF(ISERROR(AK456/AC456),"NA",IF(OR(AK456/AC456&gt;2,AK456/AC456&lt;0.5),"NM",AK456/AC456*100-100))</f>
        <v>NA</v>
      </c>
      <c r="AM456" s="74">
        <v>0</v>
      </c>
      <c r="AN456" s="72" t="str">
        <f>IF(ISERROR(AM456/AE456),"NA",IF(OR(AM456/AE456&gt;2,AM456/AE456&lt;0.5),"NM",AM456/AE456*100-100))</f>
        <v>NA</v>
      </c>
      <c r="AO456" s="74">
        <v>0</v>
      </c>
      <c r="AP456" s="72" t="str">
        <f>IF(ISERROR(AO456/AG456),"NA",IF(OR(AO456/AG456&gt;2,AO456/AG456&lt;0.5),"NM",AO456/AG456*100-100))</f>
        <v>NA</v>
      </c>
      <c r="AQ456" s="74">
        <v>0</v>
      </c>
      <c r="AR456" s="72" t="str">
        <f>IF(ISERROR(AQ456/AI456),"NA",IF(OR(AQ456/AI456&gt;2,AQ456/AI456&lt;0.5),"NM",AQ456/AI456*100-100))</f>
        <v>NA</v>
      </c>
      <c r="AS456" s="74">
        <v>0</v>
      </c>
      <c r="AT456" s="72" t="str">
        <f>IF(ISERROR(AS456/AK456),"NA",IF(OR(AS456/AK456&gt;2,AS456/AK456&lt;0.5),"NM",AS456/AK456*100-100))</f>
        <v>NA</v>
      </c>
      <c r="AU456" s="74">
        <v>0</v>
      </c>
      <c r="AV456" s="72" t="str">
        <f>IF(ISERROR(AU456/AM456),"NA",IF(OR(AU456/AM456&gt;2,AU456/AM456&lt;0.5),"NM",AU456/AM456*100-100))</f>
        <v>NA</v>
      </c>
      <c r="AW456" s="74">
        <v>0</v>
      </c>
      <c r="AX456" s="72" t="str">
        <f>IF(ISERROR(AW456/AO456),"NA",IF(OR(AW456/AO456&gt;2,AW456/AO456&lt;0.5),"NM",AW456/AO456*100-100))</f>
        <v>NA</v>
      </c>
      <c r="AY456" s="74">
        <v>15</v>
      </c>
      <c r="AZ456" s="72" t="str">
        <f>IF(ISERROR(AY456/AQ456),"NA",IF(OR(AY456/AQ456&gt;2,AY456/AQ456&lt;0.5),"NM",AY456/AQ456*100-100))</f>
        <v>NA</v>
      </c>
      <c r="BA456" s="74">
        <v>0</v>
      </c>
      <c r="BB456" s="72" t="str">
        <f>IF(ISERROR(BA456/AS456),"NA",IF(OR(BA456/AS456&gt;2,BA456/AS456&lt;0.5),"NM",BA456/AS456*100-100))</f>
        <v>NA</v>
      </c>
      <c r="BC456" s="74">
        <v>0</v>
      </c>
      <c r="BD456" s="72" t="str">
        <f>IF(ISERROR(BC456/AU456),"NA",IF(OR(BC456/AU456&gt;2,BC456/AU456&lt;0.5),"NM",BC456/AU456*100-100))</f>
        <v>NA</v>
      </c>
      <c r="BE456" s="74">
        <v>0</v>
      </c>
      <c r="BF456" s="72" t="str">
        <f>IF(ISERROR(BE456/AW456),"NA",IF(OR(BE456/AW456&gt;2,BE456/AW456&lt;0.5),"NM",BE456/AW456*100-100))</f>
        <v>NA</v>
      </c>
      <c r="BG456" s="74">
        <f>11+17</f>
        <v>28</v>
      </c>
      <c r="BH456" s="72">
        <f>IF(ISERROR(BG456/AY456),"NA",IF(OR(BG456/AY456&gt;2,BG456/AY456&lt;0.5),"NM",BG456/AY456*100-100))</f>
        <v>86.666666666666657</v>
      </c>
      <c r="BI456" s="74">
        <v>0</v>
      </c>
      <c r="BJ456" s="72" t="str">
        <f>IF(ISERROR(BI456/BA456),"NA",IF(OR(BI456/BA456&gt;2,BI456/BA456&lt;0.5),"NM",BI456/BA456*100-100))</f>
        <v>NA</v>
      </c>
      <c r="BK456" s="74">
        <f>37+22+17</f>
        <v>76</v>
      </c>
      <c r="BL456" s="72" t="str">
        <f>IF(ISERROR(BK456/BC456),"NA",IF(OR(BK456/BC456&gt;2,BK456/BC456&lt;0.5),"NM",BK456/BC456*100-100))</f>
        <v>NA</v>
      </c>
      <c r="BM456" s="74">
        <v>0</v>
      </c>
      <c r="BN456" s="72" t="str">
        <f>IF(ISERROR(BM456/BE456),"NA",IF(OR(BM456/BE456&gt;2,BM456/BE456&lt;0.5),"NM",BM456/BE456*100-100))</f>
        <v>NA</v>
      </c>
      <c r="BO456" s="74">
        <v>-19</v>
      </c>
      <c r="BP456" s="72" t="str">
        <f>IF(ISERROR(BO456/BG456),"NA",IF(OR(BO456/BG456&gt;2,BO456/BG456&lt;0.5),"NM",BO456/BG456*100-100))</f>
        <v>NM</v>
      </c>
      <c r="BQ456" s="74">
        <v>0</v>
      </c>
      <c r="BR456" s="72" t="str">
        <f>IF(ISERROR(BQ456/BI456),"NA",IF(OR(BQ456/BI456&gt;2,BQ456/BI456&lt;0.5),"NM",BQ456/BI456*100-100))</f>
        <v>NA</v>
      </c>
      <c r="BS456" s="74">
        <v>14</v>
      </c>
      <c r="BT456" s="72" t="str">
        <f>IF(ISERROR(BS456/BK456),"NA",IF(OR(BS456/BK456&gt;2,BS456/BK456&lt;0.5),"NM",BS456/BK456*100-100))</f>
        <v>NM</v>
      </c>
      <c r="BU456" s="74">
        <f>-123-316</f>
        <v>-439</v>
      </c>
      <c r="BV456" s="72" t="str">
        <f>IF(ISERROR(BU456/BM456),"NA",IF(OR(BU456/BM456&gt;2,BU456/BM456&lt;0.5),"NM",BU456/BM456*100-100))</f>
        <v>NA</v>
      </c>
      <c r="BW456" s="74"/>
      <c r="BX456" s="72"/>
      <c r="BY456" s="74"/>
      <c r="BZ456" s="72"/>
      <c r="CA456" s="74"/>
      <c r="CB456" s="72"/>
      <c r="CC456" s="74"/>
      <c r="CD456" s="72"/>
      <c r="CE456" s="74"/>
      <c r="CF456" s="72"/>
      <c r="CG456" s="74"/>
      <c r="CH456" s="72"/>
      <c r="CI456" s="74"/>
      <c r="CJ456" s="72"/>
      <c r="CK456" s="74"/>
      <c r="CL456" s="72"/>
      <c r="CM456" s="74"/>
      <c r="CN456" s="72"/>
      <c r="CO456" s="74"/>
      <c r="CP456" s="72"/>
      <c r="CQ456" s="74"/>
      <c r="CR456" s="72"/>
      <c r="CS456" s="74"/>
      <c r="CT456" s="72"/>
      <c r="CU456" s="74"/>
      <c r="CV456" s="72"/>
      <c r="CW456" s="74"/>
      <c r="CX456" s="72"/>
      <c r="CY456" s="74"/>
      <c r="CZ456" s="72"/>
      <c r="DA456" s="74"/>
      <c r="DB456" s="72"/>
      <c r="DC456" s="74"/>
      <c r="DD456" s="72"/>
      <c r="DE456" s="354"/>
      <c r="DF456" s="72"/>
      <c r="DG456" s="354"/>
      <c r="DH456" s="72"/>
      <c r="DI456" s="354"/>
      <c r="DJ456" s="72"/>
      <c r="DK456" s="354"/>
      <c r="DL456" s="72"/>
      <c r="DM456" s="354"/>
      <c r="DN456" s="72"/>
      <c r="DO456" s="354"/>
      <c r="DP456" s="72"/>
      <c r="DQ456" s="354"/>
      <c r="DR456" s="72"/>
      <c r="DS456" s="354"/>
      <c r="DT456" s="72"/>
      <c r="DU456" s="354"/>
      <c r="DV456" s="72"/>
      <c r="DW456" s="74"/>
      <c r="DX456" s="72"/>
      <c r="DY456" s="74"/>
      <c r="DZ456" s="72"/>
      <c r="EA456" s="74"/>
      <c r="EB456" s="72"/>
      <c r="EC456" s="74"/>
      <c r="ED456" s="72"/>
      <c r="EE456" s="74"/>
      <c r="EF456" s="72"/>
      <c r="EG456" s="74"/>
      <c r="EH456" s="72"/>
      <c r="EI456" s="74"/>
      <c r="EJ456" s="72"/>
      <c r="EK456" s="74"/>
      <c r="EL456" s="72"/>
      <c r="EM456" s="74"/>
      <c r="EN456" s="72"/>
      <c r="EO456" s="74"/>
      <c r="EP456" s="72"/>
      <c r="EQ456" s="74"/>
      <c r="ER456" s="72"/>
      <c r="ES456" s="74"/>
      <c r="ET456" s="72"/>
      <c r="EU456" s="74"/>
      <c r="EV456" s="72"/>
      <c r="EW456" s="74"/>
      <c r="EX456" s="72"/>
      <c r="EY456" s="72"/>
      <c r="EZ456" s="307"/>
      <c r="FA456" s="72"/>
      <c r="FB456" s="75">
        <v>0</v>
      </c>
      <c r="FC456" s="87"/>
      <c r="FD456" s="75">
        <v>0</v>
      </c>
      <c r="FE456" s="72" t="str">
        <f>IF(ISERROR(FD456/FB456),"NA",IF(OR(FD456/FB456&gt;2,FD456/FB456&lt;0.5),"NM",FD456/FB456*100-100))</f>
        <v>NA</v>
      </c>
      <c r="FF456" s="75">
        <v>0</v>
      </c>
      <c r="FG456" s="72" t="str">
        <f>IF(ISERROR(FF456/FD456),"NA",IF(OR(FF456/FD456&gt;2,FF456/FD456&lt;0.5),"NM",FF456/FD456*100-100))</f>
        <v>NA</v>
      </c>
      <c r="FH456" s="75">
        <v>0</v>
      </c>
      <c r="FI456" s="72" t="str">
        <f>IF(ISERROR(FH456/FF456),"NA",IF(OR(FH456/FF456&gt;2,FH456/FF456&lt;0.5),"NM",FH456/FF456*100-100))</f>
        <v>NA</v>
      </c>
      <c r="FJ456" s="75">
        <v>0</v>
      </c>
      <c r="FK456" s="72" t="str">
        <f>IF(ISERROR(FJ456/FH456),"NA",IF(OR(FJ456/FH456&gt;2,FJ456/FH456&lt;0.5),"NM",FJ456/FH456*100-100))</f>
        <v>NA</v>
      </c>
      <c r="FL456" s="75">
        <v>0</v>
      </c>
      <c r="FM456" s="72" t="str">
        <f>IF(ISERROR(FL456/FJ456),"NA",IF(OR(FL456/FJ456&gt;2,FL456/FJ456&lt;0.5),"NM",FL456/FJ456*100-100))</f>
        <v>NA</v>
      </c>
      <c r="FN456" s="75">
        <f>AI456+AK456+AM456+AO456</f>
        <v>0</v>
      </c>
      <c r="FO456" s="72" t="str">
        <f>IF(ISERROR(FN456/FF456),"NA",IF(OR(FN456/FF456&gt;2,FN456/FF456&lt;0.5),"NM",FN456/FF456*100-100))</f>
        <v>NA</v>
      </c>
      <c r="FP456" s="75">
        <f>AQ456+AS456+AU456+AW456</f>
        <v>0</v>
      </c>
      <c r="FQ456" s="72" t="str">
        <f>IF(ISERROR(FP456/FN456),"NA",IF(OR(FP456/FN456&gt;2,FP456/FN456&lt;0.5),"NM",FP456/FN456*100-100))</f>
        <v>NA</v>
      </c>
      <c r="FR456" s="75">
        <f>SUM(AY456,BA456,BC456,BE456)</f>
        <v>15</v>
      </c>
      <c r="FS456" s="72" t="str">
        <f>IF(ISERROR(FR456/FP456),"NA",IF(OR(FR456/FP456&gt;2,FR456/FP456&lt;0.5),"NM",FR456/FP456*100-100))</f>
        <v>NA</v>
      </c>
      <c r="FT456" s="75">
        <f>SUM(BG456,BI456,BK456,BM456)</f>
        <v>104</v>
      </c>
      <c r="FU456" s="72" t="str">
        <f>IF(ISERROR(FT456/FR456),"NA",IF(OR(FT456/FR456&gt;2,FT456/FR456&lt;0.5),"NM",FT456/FR456*100-100))</f>
        <v>NM</v>
      </c>
      <c r="FV456" s="75">
        <f>BO456+BQ456+BS456+BU456</f>
        <v>-444</v>
      </c>
      <c r="FW456" s="72" t="str">
        <f>IF(ISERROR(FV456/FT456),"NA",IF(OR(FV456/FT456&gt;2,FV456/FT456&lt;0.5),"NM",FV456/FT456*100-100))</f>
        <v>NM</v>
      </c>
      <c r="FX456" s="75"/>
      <c r="FY456" s="72"/>
      <c r="FZ456" s="75"/>
      <c r="GA456" s="72"/>
      <c r="GB456" s="75"/>
      <c r="GC456" s="72"/>
      <c r="GD456" s="75"/>
      <c r="GE456" s="72"/>
      <c r="GF456" s="75"/>
      <c r="GG456" s="72"/>
      <c r="GH456" s="75"/>
      <c r="GI456" s="72"/>
      <c r="GJ456" s="75"/>
      <c r="GK456" s="72"/>
      <c r="GL456" s="75"/>
      <c r="GM456" s="72"/>
      <c r="GN456" s="75"/>
      <c r="GO456" s="72"/>
      <c r="GP456" s="75"/>
      <c r="GQ456" s="72"/>
      <c r="GR456" s="74"/>
      <c r="GS456" s="72"/>
      <c r="GT456" s="74"/>
      <c r="GU456" s="72"/>
      <c r="GV456" s="74"/>
      <c r="GW456" s="72"/>
      <c r="GX456" s="74"/>
      <c r="GY456" s="72"/>
      <c r="GZ456" s="72"/>
      <c r="HA456" s="72"/>
      <c r="HB456" s="72"/>
      <c r="HC456"/>
      <c r="HD456"/>
      <c r="HE456"/>
      <c r="HF456"/>
      <c r="HG456"/>
      <c r="HH456"/>
      <c r="HI456" s="2"/>
    </row>
    <row r="457" spans="1:217" s="78" customFormat="1" ht="12.75" hidden="1" customHeight="1" outlineLevel="1" x14ac:dyDescent="0.2">
      <c r="B457" s="70" t="s">
        <v>539</v>
      </c>
      <c r="C457" s="91">
        <f>C453-C456</f>
        <v>27</v>
      </c>
      <c r="D457" s="80"/>
      <c r="E457" s="91">
        <f>E453-E456</f>
        <v>14</v>
      </c>
      <c r="F457" s="80"/>
      <c r="G457" s="91">
        <f>G453-G456</f>
        <v>10</v>
      </c>
      <c r="H457" s="80"/>
      <c r="I457" s="91">
        <f>I453-I456</f>
        <v>-25</v>
      </c>
      <c r="J457" s="80"/>
      <c r="K457" s="91">
        <f>K453-K456</f>
        <v>2</v>
      </c>
      <c r="L457" s="72" t="str">
        <f>IF(ISERROR(K457/C457),"NA",IF(OR(K457/C457&gt;2,K457/C457&lt;0.5),"NM",K457/C457*100-100))</f>
        <v>NM</v>
      </c>
      <c r="M457" s="91">
        <f>M453-M456</f>
        <v>-13</v>
      </c>
      <c r="N457" s="72" t="str">
        <f>IF(ISERROR(M457/E457),"NA",IF(OR(M457/E457&gt;2,M457/E457&lt;0.5),"NM",M457/E457*100-100))</f>
        <v>NM</v>
      </c>
      <c r="O457" s="91">
        <f>O453-O456</f>
        <v>-11</v>
      </c>
      <c r="P457" s="72" t="str">
        <f>IF(ISERROR(O457/G457),"NA",IF(OR(O457/G457&gt;2,O457/G457&lt;0.5),"NM",O457/G457*100-100))</f>
        <v>NM</v>
      </c>
      <c r="Q457" s="91">
        <f>Q453-Q456</f>
        <v>-19</v>
      </c>
      <c r="R457" s="72">
        <f>IF(ISERROR(Q457/I457),"NA",IF(OR(Q457/I457&gt;2,Q457/I457&lt;0.5),"NM",Q457/I457*100-100))</f>
        <v>-24</v>
      </c>
      <c r="S457" s="91">
        <f>S453-S456</f>
        <v>0</v>
      </c>
      <c r="T457" s="72" t="str">
        <f>IF(ISERROR(S457/K457),"NA",IF(OR(S457/K457&gt;2,S457/K457&lt;0.5),"NM",S457/K457*100-100))</f>
        <v>NM</v>
      </c>
      <c r="U457" s="91">
        <f>U453-U456</f>
        <v>-4</v>
      </c>
      <c r="V457" s="72" t="str">
        <f>IF(ISERROR(U457/M457),"NA",IF(OR(U457/M457&gt;2,U457/M457&lt;0.5),"NM",U457/M457*100-100))</f>
        <v>NM</v>
      </c>
      <c r="W457" s="91">
        <f>W453-W456</f>
        <v>2</v>
      </c>
      <c r="X457" s="72" t="str">
        <f>IF(ISERROR(W457/O457),"NA",IF(OR(W457/O457&gt;2,W457/O457&lt;0.5),"NM",W457/O457*100-100))</f>
        <v>NM</v>
      </c>
      <c r="Y457" s="91">
        <f>Y453-Y456</f>
        <v>-4</v>
      </c>
      <c r="Z457" s="72" t="str">
        <f>IF(ISERROR(Y457/Q457),"NA",IF(OR(Y457/Q457&gt;2,Y457/Q457&lt;0.5),"NM",Y457/Q457*100-100))</f>
        <v>NM</v>
      </c>
      <c r="AA457" s="91">
        <f>AA453-AA456</f>
        <v>2</v>
      </c>
      <c r="AB457" s="72" t="str">
        <f>IF(ISERROR(AA457/S457),"NA",IF(OR(AA457/S457&gt;2,AA457/S457&lt;0.5),"NM",AA457/S457*100-100))</f>
        <v>NA</v>
      </c>
      <c r="AC457" s="91">
        <f>AC453-AC456</f>
        <v>9</v>
      </c>
      <c r="AD457" s="72" t="str">
        <f>IF(ISERROR(AC457/U457),"NA",IF(OR(AC457/U457&gt;2,AC457/U457&lt;0.5),"NM",AC457/U457*100-100))</f>
        <v>NM</v>
      </c>
      <c r="AE457" s="91">
        <f>AE453-AE456</f>
        <v>8</v>
      </c>
      <c r="AF457" s="72" t="str">
        <f>IF(ISERROR(AE457/W457),"NA",IF(OR(AE457/W457&gt;2,AE457/W457&lt;0.5),"NM",AE457/W457*100-100))</f>
        <v>NM</v>
      </c>
      <c r="AG457" s="91">
        <f>AG453-AG456</f>
        <v>-31</v>
      </c>
      <c r="AH457" s="72" t="str">
        <f>IF(ISERROR(AG457/Y457),"NA",IF(OR(AG457/Y457&gt;2,AG457/Y457&lt;0.5),"NM",AG457/Y457*100-100))</f>
        <v>NM</v>
      </c>
      <c r="AI457" s="91">
        <f>AI453-AI456</f>
        <v>5</v>
      </c>
      <c r="AJ457" s="72" t="str">
        <f>IF(ISERROR(AI457/AA457),"NA",IF(OR(AI457/AA457&gt;2,AI457/AA457&lt;0.5),"NM",AI457/AA457*100-100))</f>
        <v>NM</v>
      </c>
      <c r="AK457" s="91">
        <f>AK453-AK456</f>
        <v>20</v>
      </c>
      <c r="AL457" s="72" t="str">
        <f>IF(ISERROR(AK457/AC457),"NA",IF(OR(AK457/AC457&gt;2,AK457/AC457&lt;0.5),"NM",AK457/AC457*100-100))</f>
        <v>NM</v>
      </c>
      <c r="AM457" s="91">
        <f>AM453-AM456</f>
        <v>19</v>
      </c>
      <c r="AN457" s="72" t="str">
        <f>IF(ISERROR(AM457/AE457),"NA",IF(OR(AM457/AE457&gt;2,AM457/AE457&lt;0.5),"NM",AM457/AE457*100-100))</f>
        <v>NM</v>
      </c>
      <c r="AO457" s="91">
        <f>AO453-AO456</f>
        <v>33</v>
      </c>
      <c r="AP457" s="72" t="str">
        <f>IF(ISERROR(AO457/AG457),"NA",IF(OR(AO457/AG457&gt;2,AO457/AG457&lt;0.5),"NM",AO457/AG457*100-100))</f>
        <v>NM</v>
      </c>
      <c r="AQ457" s="91">
        <f>AQ453-AQ456</f>
        <v>25</v>
      </c>
      <c r="AR457" s="72" t="str">
        <f>IF(ISERROR(AQ457/AI457),"NA",IF(OR(AQ457/AI457&gt;2,AQ457/AI457&lt;0.5),"NM",AQ457/AI457*100-100))</f>
        <v>NM</v>
      </c>
      <c r="AS457" s="91">
        <f>AS453-AS456</f>
        <v>19</v>
      </c>
      <c r="AT457" s="72">
        <f>IF(ISERROR(AS457/AK457),"NA",IF(OR(AS457/AK457&gt;2,AS457/AK457&lt;0.5),"NM",AS457/AK457*100-100))</f>
        <v>-5</v>
      </c>
      <c r="AU457" s="91">
        <f>AU453-AU456</f>
        <v>25</v>
      </c>
      <c r="AV457" s="72">
        <f>IF(ISERROR(AU457/AM457),"NA",IF(OR(AU457/AM457&gt;2,AU457/AM457&lt;0.5),"NM",AU457/AM457*100-100))</f>
        <v>31.578947368421069</v>
      </c>
      <c r="AW457" s="91">
        <f>AW453-AW456</f>
        <v>37</v>
      </c>
      <c r="AX457" s="72">
        <f>IF(ISERROR(AW457/AO457),"NA",IF(OR(AW457/AO457&gt;2,AW457/AO457&lt;0.5),"NM",AW457/AO457*100-100))</f>
        <v>12.12121212121211</v>
      </c>
      <c r="AY457" s="91">
        <f>AY453-AY456</f>
        <v>29</v>
      </c>
      <c r="AZ457" s="72">
        <f>IF(ISERROR(AY457/AQ457),"NA",IF(OR(AY457/AQ457&gt;2,AY457/AQ457&lt;0.5),"NM",AY457/AQ457*100-100))</f>
        <v>15.999999999999986</v>
      </c>
      <c r="BA457" s="91">
        <f>BA453-BA456</f>
        <v>34</v>
      </c>
      <c r="BB457" s="72">
        <f>IF(ISERROR(BA457/AS457),"NA",IF(OR(BA457/AS457&gt;2,BA457/AS457&lt;0.5),"NM",BA457/AS457*100-100))</f>
        <v>78.94736842105263</v>
      </c>
      <c r="BC457" s="91">
        <f>BC453-BC456</f>
        <v>31</v>
      </c>
      <c r="BD457" s="72">
        <f>IF(ISERROR(BC457/AU457),"NA",IF(OR(BC457/AU457&gt;2,BC457/AU457&lt;0.5),"NM",BC457/AU457*100-100))</f>
        <v>24</v>
      </c>
      <c r="BE457" s="91">
        <f>BE453-BE456</f>
        <v>34</v>
      </c>
      <c r="BF457" s="72">
        <f>IF(ISERROR(BE457/AW457),"NA",IF(OR(BE457/AW457&gt;2,BE457/AW457&lt;0.5),"NM",BE457/AW457*100-100))</f>
        <v>-8.1081081081080981</v>
      </c>
      <c r="BG457" s="91">
        <f>BG453-BG456</f>
        <v>34</v>
      </c>
      <c r="BH457" s="72">
        <f>IF(ISERROR(BG457/AY457),"NA",IF(OR(BG457/AY457&gt;2,BG457/AY457&lt;0.5),"NM",BG457/AY457*100-100))</f>
        <v>17.241379310344811</v>
      </c>
      <c r="BI457" s="91">
        <f>BI453-BI456</f>
        <v>43</v>
      </c>
      <c r="BJ457" s="72">
        <f>IF(ISERROR(BI457/BA457),"NA",IF(OR(BI457/BA457&gt;2,BI457/BA457&lt;0.5),"NM",BI457/BA457*100-100))</f>
        <v>26.470588235294116</v>
      </c>
      <c r="BK457" s="91">
        <f>BK453-BK456</f>
        <v>38</v>
      </c>
      <c r="BL457" s="72">
        <f>IF(ISERROR(BK457/BC457),"NA",IF(OR(BK457/BC457&gt;2,BK457/BC457&lt;0.5),"NM",BK457/BC457*100-100))</f>
        <v>22.58064516129032</v>
      </c>
      <c r="BM457" s="91">
        <f>BM453-BM456</f>
        <v>40</v>
      </c>
      <c r="BN457" s="72">
        <f>IF(ISERROR(BM457/BE457),"NA",IF(OR(BM457/BE457&gt;2,BM457/BE457&lt;0.5),"NM",BM457/BE457*100-100))</f>
        <v>17.64705882352942</v>
      </c>
      <c r="BO457" s="91">
        <f>BO453-BO456</f>
        <v>26</v>
      </c>
      <c r="BP457" s="72">
        <f>IF(ISERROR(BO457/BG457),"NA",IF(OR(BO457/BG457&gt;2,BO457/BG457&lt;0.5),"NM",BO457/BG457*100-100))</f>
        <v>-23.529411764705884</v>
      </c>
      <c r="BQ457" s="91">
        <f>BQ453-BQ456</f>
        <v>13</v>
      </c>
      <c r="BR457" s="72" t="str">
        <f>IF(ISERROR(BQ457/BI457),"NA",IF(OR(BQ457/BI457&gt;2,BQ457/BI457&lt;0.5),"NM",BQ457/BI457*100-100))</f>
        <v>NM</v>
      </c>
      <c r="BS457" s="91">
        <f>BS453-BS456</f>
        <v>13</v>
      </c>
      <c r="BT457" s="72" t="str">
        <f>IF(ISERROR(BS457/BK457),"NA",IF(OR(BS457/BK457&gt;2,BS457/BK457&lt;0.5),"NM",BS457/BK457*100-100))</f>
        <v>NM</v>
      </c>
      <c r="BU457" s="91">
        <f>BU453-BU456</f>
        <v>32</v>
      </c>
      <c r="BV457" s="72">
        <f>IF(ISERROR(BU457/BM457),"NA",IF(OR(BU457/BM457&gt;2,BU457/BM457&lt;0.5),"NM",BU457/BM457*100-100))</f>
        <v>-20</v>
      </c>
      <c r="BW457" s="91"/>
      <c r="BX457" s="72"/>
      <c r="BY457" s="91"/>
      <c r="BZ457" s="72"/>
      <c r="CA457" s="91"/>
      <c r="CB457" s="72"/>
      <c r="CC457" s="91"/>
      <c r="CD457" s="72"/>
      <c r="CE457" s="91"/>
      <c r="CF457" s="72"/>
      <c r="CG457" s="91"/>
      <c r="CH457" s="72"/>
      <c r="CI457" s="91"/>
      <c r="CJ457" s="72"/>
      <c r="CK457" s="91"/>
      <c r="CL457" s="72"/>
      <c r="CM457" s="91"/>
      <c r="CN457" s="72"/>
      <c r="CO457" s="91"/>
      <c r="CP457" s="72"/>
      <c r="CQ457" s="91"/>
      <c r="CR457" s="72"/>
      <c r="CS457" s="91"/>
      <c r="CT457" s="72"/>
      <c r="CU457" s="91"/>
      <c r="CV457" s="72"/>
      <c r="CW457" s="91"/>
      <c r="CX457" s="72"/>
      <c r="CY457" s="91"/>
      <c r="CZ457" s="72"/>
      <c r="DA457" s="91"/>
      <c r="DB457" s="72"/>
      <c r="DC457" s="91"/>
      <c r="DD457" s="72"/>
      <c r="DE457" s="91"/>
      <c r="DF457" s="72"/>
      <c r="DG457" s="91"/>
      <c r="DH457" s="72"/>
      <c r="DI457" s="91"/>
      <c r="DJ457" s="72"/>
      <c r="DK457" s="91"/>
      <c r="DL457" s="72"/>
      <c r="DM457" s="91"/>
      <c r="DN457" s="72"/>
      <c r="DO457" s="91"/>
      <c r="DP457" s="72"/>
      <c r="DQ457" s="91"/>
      <c r="DR457" s="72"/>
      <c r="DS457" s="91"/>
      <c r="DT457" s="72"/>
      <c r="DU457" s="91"/>
      <c r="DV457" s="72"/>
      <c r="DW457" s="91"/>
      <c r="DX457" s="72"/>
      <c r="DY457" s="91"/>
      <c r="DZ457" s="72"/>
      <c r="EA457" s="91"/>
      <c r="EB457" s="72"/>
      <c r="EC457" s="91"/>
      <c r="ED457" s="72"/>
      <c r="EE457" s="91"/>
      <c r="EF457" s="72"/>
      <c r="EG457" s="91"/>
      <c r="EH457" s="72"/>
      <c r="EI457" s="91"/>
      <c r="EJ457" s="72"/>
      <c r="EK457" s="91"/>
      <c r="EL457" s="72"/>
      <c r="EM457" s="91"/>
      <c r="EN457" s="72"/>
      <c r="EO457" s="91"/>
      <c r="EP457" s="72"/>
      <c r="EQ457" s="91"/>
      <c r="ER457" s="72"/>
      <c r="ES457" s="91"/>
      <c r="ET457" s="72"/>
      <c r="EU457" s="91"/>
      <c r="EV457" s="72"/>
      <c r="EW457" s="91"/>
      <c r="EX457" s="72"/>
      <c r="EY457" s="72"/>
      <c r="EZ457" s="314"/>
      <c r="FA457" s="72"/>
      <c r="FB457" s="91">
        <f>FB453-FB456</f>
        <v>13</v>
      </c>
      <c r="FC457" s="80"/>
      <c r="FD457" s="91">
        <f>FD453-FD456</f>
        <v>15</v>
      </c>
      <c r="FE457" s="72">
        <f>IF(ISERROR(FD457/FB457),"NA",IF(OR(FD457/FB457&gt;2,FD457/FB457&lt;0.5),"NM",FD457/FB457*100-100))</f>
        <v>15.384615384615373</v>
      </c>
      <c r="FF457" s="91">
        <f>FF453-FF456</f>
        <v>26</v>
      </c>
      <c r="FG457" s="72">
        <f>IF(ISERROR(FF457/FD457),"NA",IF(OR(FF457/FD457&gt;2,FF457/FD457&lt;0.5),"NM",FF457/FD457*100-100))</f>
        <v>73.333333333333343</v>
      </c>
      <c r="FH457" s="91">
        <f>FH453-FH456</f>
        <v>-41</v>
      </c>
      <c r="FI457" s="72" t="str">
        <f>IF(ISERROR(FH457/FF457),"NA",IF(OR(FH457/FF457&gt;2,FH457/FF457&lt;0.5),"NM",FH457/FF457*100-100))</f>
        <v>NM</v>
      </c>
      <c r="FJ457" s="91">
        <f>FJ453-FJ456</f>
        <v>-6</v>
      </c>
      <c r="FK457" s="72" t="str">
        <f>IF(ISERROR(FJ457/FH457),"NA",IF(OR(FJ457/FH457&gt;2,FJ457/FH457&lt;0.5),"NM",FJ457/FH457*100-100))</f>
        <v>NM</v>
      </c>
      <c r="FL457" s="91">
        <f>FL453-FL456</f>
        <v>-12</v>
      </c>
      <c r="FM457" s="72">
        <f>IF(ISERROR(FL457/FJ457),"NA",IF(OR(FL457/FJ457&gt;2,FL457/FJ457&lt;0.5),"NM",FL457/FJ457*100-100))</f>
        <v>100</v>
      </c>
      <c r="FN457" s="75">
        <f>AI457+AK457+AM457+AO457</f>
        <v>77</v>
      </c>
      <c r="FO457" s="72" t="str">
        <f>IF(ISERROR(FN457/FF457),"NA",IF(OR(FN457/FF457&gt;2,FN457/FF457&lt;0.5),"NM",FN457/FF457*100-100))</f>
        <v>NM</v>
      </c>
      <c r="FP457" s="91">
        <f>AQ457+AS457+AU457+AW457</f>
        <v>106</v>
      </c>
      <c r="FQ457" s="72">
        <f>IF(ISERROR(FP457/FN457),"NA",IF(OR(FP457/FN457&gt;2,FP457/FN457&lt;0.5),"NM",FP457/FN457*100-100))</f>
        <v>37.662337662337677</v>
      </c>
      <c r="FR457" s="91">
        <f>FR453-FR456</f>
        <v>128</v>
      </c>
      <c r="FS457" s="72">
        <f>IF(ISERROR(FR457/FP457),"NA",IF(OR(FR457/FP457&gt;2,FR457/FP457&lt;0.5),"NM",FR457/FP457*100-100))</f>
        <v>20.754716981132077</v>
      </c>
      <c r="FT457" s="91">
        <f>FT453-FT456</f>
        <v>155</v>
      </c>
      <c r="FU457" s="72">
        <f>IF(ISERROR(FT457/FR457),"NA",IF(OR(FT457/FR457&gt;2,FT457/FR457&lt;0.5),"NM",FT457/FR457*100-100))</f>
        <v>21.09375</v>
      </c>
      <c r="FV457" s="91">
        <f>FV453-FV456</f>
        <v>84</v>
      </c>
      <c r="FW457" s="72">
        <f>IF(ISERROR(FV457/FT457),"NA",IF(OR(FV457/FT457&gt;2,FV457/FT457&lt;0.5),"NM",FV457/FT457*100-100))</f>
        <v>-45.806451612903217</v>
      </c>
      <c r="FX457" s="91"/>
      <c r="FY457" s="72"/>
      <c r="FZ457" s="91"/>
      <c r="GA457" s="72"/>
      <c r="GB457" s="91"/>
      <c r="GC457" s="72"/>
      <c r="GD457" s="91"/>
      <c r="GE457" s="72"/>
      <c r="GF457" s="91"/>
      <c r="GG457" s="72"/>
      <c r="GH457" s="91"/>
      <c r="GI457" s="72"/>
      <c r="GJ457" s="91"/>
      <c r="GK457" s="72"/>
      <c r="GL457" s="91"/>
      <c r="GM457" s="72"/>
      <c r="GN457" s="91"/>
      <c r="GO457" s="72"/>
      <c r="GP457" s="91"/>
      <c r="GQ457" s="72"/>
      <c r="GR457" s="91"/>
      <c r="GS457" s="72"/>
      <c r="GT457" s="91"/>
      <c r="GU457" s="72"/>
      <c r="GV457" s="91"/>
      <c r="GW457" s="72"/>
      <c r="GX457" s="91"/>
      <c r="GY457" s="72"/>
      <c r="GZ457" s="72"/>
      <c r="HA457" s="72"/>
      <c r="HB457" s="72"/>
      <c r="HC457"/>
      <c r="HD457"/>
      <c r="HE457"/>
      <c r="HF457"/>
      <c r="HG457"/>
      <c r="HH457"/>
      <c r="HI457" s="2"/>
    </row>
    <row r="458" spans="1:217" s="3" customFormat="1" ht="12.75" hidden="1" customHeight="1" outlineLevel="1" x14ac:dyDescent="0.2">
      <c r="B458" s="10"/>
      <c r="C458" s="145"/>
      <c r="D458" s="72"/>
      <c r="E458" s="145"/>
      <c r="F458" s="72"/>
      <c r="G458" s="145"/>
      <c r="H458" s="72"/>
      <c r="I458" s="145"/>
      <c r="J458" s="72"/>
      <c r="K458" s="145"/>
      <c r="L458" s="72"/>
      <c r="M458" s="145"/>
      <c r="N458" s="72"/>
      <c r="O458" s="145"/>
      <c r="P458" s="72"/>
      <c r="Q458" s="145"/>
      <c r="R458" s="72"/>
      <c r="S458" s="145"/>
      <c r="T458" s="72"/>
      <c r="U458" s="145"/>
      <c r="V458" s="72"/>
      <c r="W458" s="145"/>
      <c r="X458" s="72"/>
      <c r="Y458" s="145"/>
      <c r="Z458" s="72"/>
      <c r="AA458" s="145"/>
      <c r="AB458" s="72"/>
      <c r="AC458" s="145"/>
      <c r="AD458" s="72"/>
      <c r="AE458" s="145"/>
      <c r="AF458" s="72"/>
      <c r="AG458" s="145"/>
      <c r="AH458" s="72"/>
      <c r="AI458" s="145"/>
      <c r="AJ458" s="72"/>
      <c r="AK458" s="145"/>
      <c r="AL458" s="72"/>
      <c r="AM458" s="145"/>
      <c r="AN458" s="72"/>
      <c r="AO458" s="145"/>
      <c r="AP458" s="72"/>
      <c r="AQ458" s="145"/>
      <c r="AR458" s="72"/>
      <c r="AS458" s="145"/>
      <c r="AT458" s="72"/>
      <c r="AU458" s="145"/>
      <c r="AV458" s="72"/>
      <c r="AW458" s="145"/>
      <c r="AX458" s="72"/>
      <c r="AY458" s="145"/>
      <c r="AZ458" s="72"/>
      <c r="BA458" s="145"/>
      <c r="BB458" s="72"/>
      <c r="BC458" s="145"/>
      <c r="BD458" s="72"/>
      <c r="BE458" s="145"/>
      <c r="BF458" s="72"/>
      <c r="BG458" s="145"/>
      <c r="BH458" s="72"/>
      <c r="BI458" s="145"/>
      <c r="BJ458" s="72"/>
      <c r="BK458" s="145"/>
      <c r="BL458" s="72"/>
      <c r="BM458" s="145"/>
      <c r="BN458" s="72"/>
      <c r="BO458" s="145"/>
      <c r="BP458" s="72"/>
      <c r="BQ458" s="145"/>
      <c r="BR458" s="72"/>
      <c r="BS458" s="145"/>
      <c r="BT458" s="72"/>
      <c r="BU458" s="145"/>
      <c r="BV458" s="72"/>
      <c r="BW458" s="145"/>
      <c r="BX458" s="72"/>
      <c r="BY458" s="145"/>
      <c r="BZ458" s="72"/>
      <c r="CA458" s="145"/>
      <c r="CB458" s="72"/>
      <c r="CC458" s="145"/>
      <c r="CD458" s="72"/>
      <c r="CE458" s="145"/>
      <c r="CF458" s="72"/>
      <c r="CG458" s="145"/>
      <c r="CH458" s="72"/>
      <c r="CI458" s="145"/>
      <c r="CJ458" s="72"/>
      <c r="CK458" s="145"/>
      <c r="CL458" s="72"/>
      <c r="CM458" s="145"/>
      <c r="CN458" s="72"/>
      <c r="CO458" s="145"/>
      <c r="CP458" s="72"/>
      <c r="CQ458" s="145"/>
      <c r="CR458" s="72"/>
      <c r="CS458" s="145"/>
      <c r="CT458" s="72"/>
      <c r="CU458" s="145"/>
      <c r="CV458" s="72"/>
      <c r="CW458" s="145"/>
      <c r="CX458" s="72"/>
      <c r="CY458" s="145"/>
      <c r="CZ458" s="72"/>
      <c r="DA458" s="145"/>
      <c r="DB458" s="72"/>
      <c r="DC458" s="145"/>
      <c r="DD458" s="72"/>
      <c r="DE458" s="145"/>
      <c r="DF458" s="72"/>
      <c r="DG458" s="145"/>
      <c r="DH458" s="72"/>
      <c r="DI458" s="145"/>
      <c r="DJ458" s="72"/>
      <c r="DK458" s="145"/>
      <c r="DL458" s="72"/>
      <c r="DM458" s="145"/>
      <c r="DN458" s="72"/>
      <c r="DO458" s="145"/>
      <c r="DP458" s="72"/>
      <c r="DQ458" s="145"/>
      <c r="DR458" s="72"/>
      <c r="DS458" s="145"/>
      <c r="DT458" s="72"/>
      <c r="DU458" s="145"/>
      <c r="DV458" s="72"/>
      <c r="DW458" s="144"/>
      <c r="DX458" s="72"/>
      <c r="DY458" s="144"/>
      <c r="DZ458" s="72"/>
      <c r="EA458" s="144"/>
      <c r="EB458" s="72"/>
      <c r="EC458" s="144"/>
      <c r="ED458" s="72"/>
      <c r="EE458" s="144"/>
      <c r="EF458" s="72"/>
      <c r="EG458" s="144"/>
      <c r="EH458" s="72"/>
      <c r="EI458" s="144"/>
      <c r="EJ458" s="72"/>
      <c r="EK458" s="144"/>
      <c r="EL458" s="72"/>
      <c r="EM458" s="144"/>
      <c r="EN458" s="72"/>
      <c r="EO458" s="144"/>
      <c r="EP458" s="72"/>
      <c r="EQ458" s="144"/>
      <c r="ER458" s="72"/>
      <c r="ES458" s="144"/>
      <c r="ET458" s="72"/>
      <c r="EU458" s="144"/>
      <c r="EV458" s="72"/>
      <c r="EW458" s="144"/>
      <c r="EX458" s="72"/>
      <c r="EY458" s="72"/>
      <c r="EZ458" s="330"/>
      <c r="FA458" s="72"/>
      <c r="FB458" s="145"/>
      <c r="FC458" s="72"/>
      <c r="FD458" s="145"/>
      <c r="FE458" s="72"/>
      <c r="FF458" s="145"/>
      <c r="FG458" s="72"/>
      <c r="FH458" s="145"/>
      <c r="FI458" s="72"/>
      <c r="FJ458" s="145"/>
      <c r="FK458" s="72"/>
      <c r="FL458" s="145"/>
      <c r="FM458" s="72"/>
      <c r="FN458" s="145"/>
      <c r="FO458" s="72"/>
      <c r="FP458" s="145"/>
      <c r="FQ458" s="72"/>
      <c r="FR458" s="144"/>
      <c r="FS458" s="72"/>
      <c r="FT458" s="144"/>
      <c r="FU458" s="72"/>
      <c r="FV458" s="144"/>
      <c r="FW458" s="72"/>
      <c r="FX458" s="144"/>
      <c r="FY458" s="72"/>
      <c r="FZ458" s="144"/>
      <c r="GA458" s="72"/>
      <c r="GB458" s="144"/>
      <c r="GC458" s="72"/>
      <c r="GD458" s="144"/>
      <c r="GE458" s="72"/>
      <c r="GF458" s="144"/>
      <c r="GG458" s="72"/>
      <c r="GH458" s="144"/>
      <c r="GI458" s="72"/>
      <c r="GJ458" s="144"/>
      <c r="GK458" s="72"/>
      <c r="GL458" s="144"/>
      <c r="GM458" s="72"/>
      <c r="GN458" s="144"/>
      <c r="GO458" s="72"/>
      <c r="GP458" s="144"/>
      <c r="GQ458" s="72"/>
      <c r="GR458" s="144"/>
      <c r="GS458" s="72"/>
      <c r="GT458" s="144"/>
      <c r="GU458" s="72"/>
      <c r="GV458" s="144"/>
      <c r="GW458" s="72"/>
      <c r="GX458" s="144"/>
      <c r="GY458" s="72"/>
      <c r="GZ458" s="72"/>
      <c r="HA458" s="72"/>
      <c r="HB458" s="72"/>
      <c r="HC458"/>
      <c r="HD458"/>
      <c r="HE458"/>
      <c r="HF458"/>
      <c r="HG458"/>
      <c r="HH458"/>
      <c r="HI458" s="2"/>
    </row>
    <row r="459" spans="1:217" s="254" customFormat="1" ht="12.75" hidden="1" customHeight="1" outlineLevel="1" x14ac:dyDescent="0.2">
      <c r="B459" s="254" t="s">
        <v>525</v>
      </c>
      <c r="C459" s="255"/>
      <c r="D459" s="256"/>
      <c r="E459" s="255"/>
      <c r="F459" s="256"/>
      <c r="G459" s="255"/>
      <c r="H459" s="256"/>
      <c r="I459" s="255"/>
      <c r="J459" s="256"/>
      <c r="K459" s="255"/>
      <c r="L459" s="255"/>
      <c r="M459" s="255"/>
      <c r="N459" s="255"/>
      <c r="O459" s="255"/>
      <c r="P459" s="255"/>
      <c r="Q459" s="255"/>
      <c r="R459" s="255"/>
      <c r="S459" s="255"/>
      <c r="T459" s="255"/>
      <c r="U459" s="255"/>
      <c r="V459" s="255"/>
      <c r="W459" s="255"/>
      <c r="X459" s="255"/>
      <c r="Y459" s="255"/>
      <c r="Z459" s="255"/>
      <c r="AA459" s="255"/>
      <c r="AB459" s="255"/>
      <c r="AC459" s="255"/>
      <c r="AD459" s="255"/>
      <c r="AE459" s="255"/>
      <c r="AF459" s="255"/>
      <c r="AG459" s="255"/>
      <c r="AH459" s="255"/>
      <c r="AI459" s="255"/>
      <c r="AJ459" s="255"/>
      <c r="AK459" s="255"/>
      <c r="AL459" s="255"/>
      <c r="AM459" s="255"/>
      <c r="AN459" s="255"/>
      <c r="AO459" s="255"/>
      <c r="AP459" s="255"/>
      <c r="AQ459" s="255"/>
      <c r="AR459" s="255"/>
      <c r="AS459" s="255"/>
      <c r="AT459" s="255"/>
      <c r="AU459" s="255"/>
      <c r="AV459" s="255"/>
      <c r="AW459" s="255"/>
      <c r="AX459" s="255"/>
      <c r="AY459" s="255"/>
      <c r="AZ459" s="255"/>
      <c r="BA459" s="255"/>
      <c r="BB459" s="255"/>
      <c r="BC459" s="255"/>
      <c r="BD459" s="255"/>
      <c r="BE459" s="255"/>
      <c r="BF459" s="255"/>
      <c r="BG459" s="255"/>
      <c r="BH459" s="255"/>
      <c r="BI459" s="255"/>
      <c r="BJ459" s="255"/>
      <c r="BK459" s="255"/>
      <c r="BL459" s="255"/>
      <c r="BM459" s="255"/>
      <c r="BN459" s="255"/>
      <c r="BO459" s="255"/>
      <c r="BP459" s="255"/>
      <c r="BQ459" s="255"/>
      <c r="BR459" s="255"/>
      <c r="BS459" s="255"/>
      <c r="BT459" s="255"/>
      <c r="BU459" s="255"/>
      <c r="BV459" s="255"/>
      <c r="BW459" s="255"/>
      <c r="BX459" s="255"/>
      <c r="BY459" s="255"/>
      <c r="BZ459" s="255"/>
      <c r="CA459" s="255"/>
      <c r="CB459" s="255"/>
      <c r="CC459" s="255"/>
      <c r="CD459" s="255"/>
      <c r="CE459" s="255"/>
      <c r="CF459" s="255"/>
      <c r="CG459" s="255"/>
      <c r="CH459" s="255"/>
      <c r="CI459" s="255"/>
      <c r="CJ459" s="255"/>
      <c r="CK459" s="255"/>
      <c r="CL459" s="255"/>
      <c r="CM459" s="255"/>
      <c r="CN459" s="255"/>
      <c r="CO459" s="255"/>
      <c r="CP459" s="255"/>
      <c r="CQ459" s="255"/>
      <c r="CR459" s="255"/>
      <c r="CS459" s="255"/>
      <c r="CT459" s="255"/>
      <c r="CU459" s="255"/>
      <c r="CV459" s="255"/>
      <c r="CW459" s="255"/>
      <c r="CX459" s="255"/>
      <c r="CY459" s="255"/>
      <c r="CZ459" s="255"/>
      <c r="DA459" s="255"/>
      <c r="DB459" s="255"/>
      <c r="DC459" s="255"/>
      <c r="DD459" s="255"/>
      <c r="DE459" s="255"/>
      <c r="DF459" s="255"/>
      <c r="DG459" s="255"/>
      <c r="DH459" s="255"/>
      <c r="DI459" s="255"/>
      <c r="DJ459" s="255"/>
      <c r="DK459" s="255"/>
      <c r="DL459" s="255"/>
      <c r="DM459" s="255"/>
      <c r="DN459" s="255"/>
      <c r="DO459" s="255"/>
      <c r="DP459" s="255"/>
      <c r="DQ459" s="255"/>
      <c r="DR459" s="255"/>
      <c r="DS459" s="255"/>
      <c r="DT459" s="255"/>
      <c r="DU459" s="255"/>
      <c r="DV459" s="255"/>
      <c r="DW459" s="257"/>
      <c r="DX459" s="255"/>
      <c r="DY459" s="257"/>
      <c r="DZ459" s="255"/>
      <c r="EA459" s="257"/>
      <c r="EB459" s="255"/>
      <c r="EC459" s="257"/>
      <c r="ED459" s="255"/>
      <c r="EE459" s="257"/>
      <c r="EF459" s="255"/>
      <c r="EG459" s="257"/>
      <c r="EH459" s="255"/>
      <c r="EI459" s="257"/>
      <c r="EJ459" s="255"/>
      <c r="EK459" s="257"/>
      <c r="EL459" s="255"/>
      <c r="EM459" s="257"/>
      <c r="EN459" s="255"/>
      <c r="EO459" s="257"/>
      <c r="EP459" s="255"/>
      <c r="EQ459" s="257"/>
      <c r="ER459" s="255"/>
      <c r="ES459" s="257"/>
      <c r="ET459" s="255"/>
      <c r="EU459" s="257"/>
      <c r="EV459" s="255"/>
      <c r="EW459" s="257"/>
      <c r="EX459" s="255"/>
      <c r="EY459" s="255"/>
      <c r="EZ459" s="331"/>
      <c r="FA459" s="255"/>
      <c r="FB459" s="255"/>
      <c r="FC459" s="255"/>
      <c r="FD459" s="255"/>
      <c r="FE459" s="255"/>
      <c r="FF459" s="255"/>
      <c r="FG459" s="255"/>
      <c r="FH459" s="255"/>
      <c r="FI459" s="255"/>
      <c r="FJ459" s="255"/>
      <c r="FK459" s="255"/>
      <c r="FL459" s="255"/>
      <c r="FM459" s="255"/>
      <c r="FN459" s="255"/>
      <c r="FO459" s="255"/>
      <c r="FP459" s="255"/>
      <c r="FQ459" s="255"/>
      <c r="FR459" s="257"/>
      <c r="FS459" s="255"/>
      <c r="FT459" s="257"/>
      <c r="FU459" s="255"/>
      <c r="FV459" s="257"/>
      <c r="FW459" s="255"/>
      <c r="FX459" s="257"/>
      <c r="FY459" s="255"/>
      <c r="FZ459" s="257"/>
      <c r="GA459" s="255"/>
      <c r="GB459" s="257"/>
      <c r="GC459" s="255"/>
      <c r="GD459" s="257"/>
      <c r="GE459" s="255"/>
      <c r="GF459" s="257"/>
      <c r="GG459" s="789"/>
      <c r="GH459" s="257"/>
      <c r="GI459" s="789"/>
      <c r="GJ459" s="257"/>
      <c r="GK459" s="789"/>
      <c r="GL459" s="257"/>
      <c r="GM459" s="789"/>
      <c r="GN459" s="257"/>
      <c r="GO459" s="789"/>
      <c r="GP459" s="257"/>
      <c r="GQ459" s="789"/>
      <c r="GR459" s="257"/>
      <c r="GS459" s="789"/>
      <c r="GT459" s="257"/>
      <c r="GU459" s="789"/>
      <c r="GV459" s="257"/>
      <c r="GW459" s="789"/>
      <c r="GX459" s="257"/>
      <c r="GY459" s="789"/>
      <c r="GZ459" s="255"/>
      <c r="HA459" s="255"/>
      <c r="HB459" s="255"/>
      <c r="HC459"/>
      <c r="HD459"/>
      <c r="HE459"/>
      <c r="HF459"/>
      <c r="HG459"/>
      <c r="HH459"/>
      <c r="HI459" s="253"/>
    </row>
    <row r="460" spans="1:217" s="3" customFormat="1" ht="12.75" hidden="1" customHeight="1" outlineLevel="1" x14ac:dyDescent="0.2">
      <c r="B460" s="10"/>
      <c r="C460" s="71"/>
      <c r="D460" s="72"/>
      <c r="E460" s="71"/>
      <c r="F460" s="72"/>
      <c r="G460" s="71"/>
      <c r="H460" s="72"/>
      <c r="I460" s="71"/>
      <c r="J460" s="72"/>
      <c r="K460" s="71"/>
      <c r="L460" s="72"/>
      <c r="M460" s="71"/>
      <c r="N460" s="72"/>
      <c r="O460" s="71"/>
      <c r="P460" s="72"/>
      <c r="Q460" s="71"/>
      <c r="R460" s="72"/>
      <c r="S460" s="71"/>
      <c r="T460" s="72"/>
      <c r="U460" s="71"/>
      <c r="V460" s="72"/>
      <c r="W460" s="71"/>
      <c r="X460" s="72"/>
      <c r="Y460" s="71"/>
      <c r="Z460" s="72"/>
      <c r="AA460" s="71"/>
      <c r="AB460" s="72"/>
      <c r="AC460" s="71"/>
      <c r="AD460" s="72"/>
      <c r="AE460" s="71"/>
      <c r="AF460" s="72"/>
      <c r="AG460" s="71"/>
      <c r="AH460" s="72"/>
      <c r="AI460" s="71"/>
      <c r="AJ460" s="72"/>
      <c r="AK460" s="71"/>
      <c r="AL460" s="72"/>
      <c r="AM460" s="71"/>
      <c r="AN460" s="72"/>
      <c r="AO460" s="71"/>
      <c r="AP460" s="72"/>
      <c r="AQ460" s="71"/>
      <c r="AR460" s="72"/>
      <c r="AS460" s="71"/>
      <c r="AT460" s="72"/>
      <c r="AU460" s="71"/>
      <c r="AV460" s="72"/>
      <c r="AW460" s="71"/>
      <c r="AX460" s="72"/>
      <c r="AY460" s="71"/>
      <c r="AZ460" s="72"/>
      <c r="BA460" s="71"/>
      <c r="BB460" s="72"/>
      <c r="BC460" s="71"/>
      <c r="BD460" s="72"/>
      <c r="BE460" s="71"/>
      <c r="BF460" s="72"/>
      <c r="BG460" s="71"/>
      <c r="BH460" s="72"/>
      <c r="BI460" s="71"/>
      <c r="BJ460" s="72"/>
      <c r="BK460" s="71"/>
      <c r="BL460" s="72"/>
      <c r="BM460" s="71"/>
      <c r="BN460" s="72"/>
      <c r="BO460" s="71"/>
      <c r="BP460" s="72"/>
      <c r="BQ460" s="71"/>
      <c r="BR460" s="72"/>
      <c r="BS460" s="71"/>
      <c r="BT460" s="72"/>
      <c r="BU460" s="71"/>
      <c r="BV460" s="72"/>
      <c r="BW460" s="71"/>
      <c r="BX460" s="72"/>
      <c r="BY460" s="71"/>
      <c r="BZ460" s="72"/>
      <c r="CA460" s="71"/>
      <c r="CB460" s="72"/>
      <c r="CC460" s="71"/>
      <c r="CD460" s="72"/>
      <c r="CE460" s="71"/>
      <c r="CF460" s="72"/>
      <c r="CG460" s="71"/>
      <c r="CH460" s="72"/>
      <c r="CI460" s="71"/>
      <c r="CJ460" s="72"/>
      <c r="CK460" s="71"/>
      <c r="CL460" s="72"/>
      <c r="CM460" s="71"/>
      <c r="CN460" s="72"/>
      <c r="CO460" s="71"/>
      <c r="CP460" s="72"/>
      <c r="CQ460" s="71"/>
      <c r="CR460" s="72"/>
      <c r="CS460" s="71"/>
      <c r="CT460" s="72"/>
      <c r="CU460" s="71"/>
      <c r="CV460" s="72"/>
      <c r="CW460" s="71"/>
      <c r="CX460" s="72"/>
      <c r="CY460" s="71"/>
      <c r="CZ460" s="72"/>
      <c r="DA460" s="71"/>
      <c r="DB460" s="72"/>
      <c r="DC460" s="71"/>
      <c r="DD460" s="72"/>
      <c r="DE460" s="71"/>
      <c r="DF460" s="72"/>
      <c r="DG460" s="71"/>
      <c r="DH460" s="72"/>
      <c r="DI460" s="71"/>
      <c r="DJ460" s="72"/>
      <c r="DK460" s="71"/>
      <c r="DL460" s="72"/>
      <c r="DM460" s="71"/>
      <c r="DN460" s="72"/>
      <c r="DO460" s="71"/>
      <c r="DP460" s="72"/>
      <c r="DQ460" s="71"/>
      <c r="DR460" s="72"/>
      <c r="DS460" s="71"/>
      <c r="DT460" s="72"/>
      <c r="DU460" s="71"/>
      <c r="DV460" s="72"/>
      <c r="DW460" s="73"/>
      <c r="DX460" s="72"/>
      <c r="DY460" s="73"/>
      <c r="DZ460" s="72"/>
      <c r="EA460" s="73"/>
      <c r="EB460" s="72"/>
      <c r="EC460" s="73"/>
      <c r="ED460" s="72"/>
      <c r="EE460" s="73"/>
      <c r="EF460" s="72"/>
      <c r="EG460" s="73"/>
      <c r="EH460" s="72"/>
      <c r="EI460" s="73"/>
      <c r="EJ460" s="72"/>
      <c r="EK460" s="73"/>
      <c r="EL460" s="72"/>
      <c r="EM460" s="73"/>
      <c r="EN460" s="72"/>
      <c r="EO460" s="73"/>
      <c r="EP460" s="72"/>
      <c r="EQ460" s="73"/>
      <c r="ER460" s="72"/>
      <c r="ES460" s="73"/>
      <c r="ET460" s="72"/>
      <c r="EU460" s="73"/>
      <c r="EV460" s="72"/>
      <c r="EW460" s="73"/>
      <c r="EX460" s="72"/>
      <c r="EY460" s="72"/>
      <c r="EZ460" s="306"/>
      <c r="FA460" s="72"/>
      <c r="FB460" s="71"/>
      <c r="FC460" s="72"/>
      <c r="FD460" s="71"/>
      <c r="FE460" s="72"/>
      <c r="FF460" s="71"/>
      <c r="FG460" s="72"/>
      <c r="FH460" s="71"/>
      <c r="FI460" s="72"/>
      <c r="FJ460" s="71"/>
      <c r="FK460" s="72"/>
      <c r="FL460" s="71"/>
      <c r="FM460" s="72"/>
      <c r="FN460" s="71"/>
      <c r="FO460" s="72"/>
      <c r="FP460" s="71"/>
      <c r="FQ460" s="72"/>
      <c r="FR460" s="73"/>
      <c r="FS460" s="72"/>
      <c r="FT460" s="73"/>
      <c r="FU460" s="72"/>
      <c r="FV460" s="73"/>
      <c r="FW460" s="72"/>
      <c r="FX460" s="73"/>
      <c r="FY460" s="72"/>
      <c r="FZ460" s="73"/>
      <c r="GA460" s="72"/>
      <c r="GB460" s="73"/>
      <c r="GC460" s="72"/>
      <c r="GD460" s="73"/>
      <c r="GE460" s="72"/>
      <c r="GF460" s="73"/>
      <c r="GG460" s="72"/>
      <c r="GH460" s="73"/>
      <c r="GI460" s="72"/>
      <c r="GJ460" s="73"/>
      <c r="GK460" s="72"/>
      <c r="GL460" s="73"/>
      <c r="GM460" s="72"/>
      <c r="GN460" s="73"/>
      <c r="GO460" s="72"/>
      <c r="GP460" s="73"/>
      <c r="GQ460" s="72"/>
      <c r="GR460" s="73"/>
      <c r="GS460" s="72"/>
      <c r="GT460" s="73"/>
      <c r="GU460" s="72"/>
      <c r="GV460" s="73"/>
      <c r="GW460" s="72"/>
      <c r="GX460" s="73"/>
      <c r="GY460" s="72"/>
      <c r="GZ460" s="72"/>
      <c r="HA460" s="72"/>
      <c r="HB460" s="72"/>
      <c r="HC460"/>
      <c r="HD460"/>
      <c r="HE460"/>
      <c r="HF460"/>
      <c r="HG460"/>
      <c r="HH460"/>
      <c r="HI460" s="2"/>
    </row>
    <row r="461" spans="1:217" s="3" customFormat="1" ht="12.75" hidden="1" customHeight="1" outlineLevel="1" x14ac:dyDescent="0.2">
      <c r="B461" s="89" t="s">
        <v>489</v>
      </c>
      <c r="C461" s="9"/>
      <c r="D461" s="11"/>
      <c r="E461" s="9"/>
      <c r="F461" s="11"/>
      <c r="G461" s="9"/>
      <c r="H461" s="11"/>
      <c r="I461" s="9"/>
      <c r="J461" s="11"/>
      <c r="K461" s="9"/>
      <c r="L461" s="11"/>
      <c r="M461" s="9"/>
      <c r="N461" s="11"/>
      <c r="O461" s="9"/>
      <c r="P461" s="11"/>
      <c r="Q461" s="9"/>
      <c r="R461" s="11"/>
      <c r="S461" s="9"/>
      <c r="T461" s="11"/>
      <c r="U461" s="9"/>
      <c r="V461" s="11"/>
      <c r="W461" s="9"/>
      <c r="X461" s="11"/>
      <c r="Y461" s="9"/>
      <c r="Z461" s="11"/>
      <c r="AA461" s="9"/>
      <c r="AB461" s="11"/>
      <c r="AC461" s="9"/>
      <c r="AD461" s="11"/>
      <c r="AE461" s="9"/>
      <c r="AF461" s="11"/>
      <c r="AG461" s="9"/>
      <c r="AH461" s="11"/>
      <c r="AI461" s="9"/>
      <c r="AJ461" s="11"/>
      <c r="AK461" s="9"/>
      <c r="AL461" s="11"/>
      <c r="AM461" s="9"/>
      <c r="AN461" s="11"/>
      <c r="AO461" s="9"/>
      <c r="AP461" s="11"/>
      <c r="AQ461" s="9"/>
      <c r="AR461" s="11"/>
      <c r="AS461" s="9"/>
      <c r="AT461" s="11"/>
      <c r="AU461" s="9"/>
      <c r="AV461" s="11"/>
      <c r="AW461" s="9"/>
      <c r="AX461" s="11"/>
      <c r="AY461" s="9"/>
      <c r="AZ461" s="11"/>
      <c r="BA461" s="9"/>
      <c r="BB461" s="11"/>
      <c r="BC461" s="9"/>
      <c r="BD461" s="11"/>
      <c r="BE461" s="9"/>
      <c r="BF461" s="11"/>
      <c r="BG461" s="9"/>
      <c r="BH461" s="11"/>
      <c r="BI461" s="9"/>
      <c r="BJ461" s="11"/>
      <c r="BK461" s="9"/>
      <c r="BL461" s="11"/>
      <c r="BM461" s="9"/>
      <c r="BN461" s="11"/>
      <c r="BO461" s="9"/>
      <c r="BP461" s="11"/>
      <c r="BQ461" s="9"/>
      <c r="BR461" s="11"/>
      <c r="BS461" s="9"/>
      <c r="BT461" s="11"/>
      <c r="BU461" s="9"/>
      <c r="BV461" s="11"/>
      <c r="BW461" s="9"/>
      <c r="BX461" s="11"/>
      <c r="BY461" s="9"/>
      <c r="BZ461" s="11"/>
      <c r="CA461" s="9"/>
      <c r="CB461" s="11"/>
      <c r="CC461" s="9"/>
      <c r="CD461" s="11"/>
      <c r="CE461" s="9"/>
      <c r="CF461" s="11"/>
      <c r="CG461" s="9"/>
      <c r="CH461" s="11"/>
      <c r="CI461" s="9"/>
      <c r="CJ461" s="11"/>
      <c r="CK461" s="9"/>
      <c r="CL461" s="11"/>
      <c r="CM461" s="9"/>
      <c r="CN461" s="11"/>
      <c r="CO461" s="9"/>
      <c r="CP461" s="11"/>
      <c r="CQ461" s="9"/>
      <c r="CR461" s="11"/>
      <c r="CS461" s="9"/>
      <c r="CT461" s="11"/>
      <c r="CU461" s="9"/>
      <c r="CV461" s="11"/>
      <c r="CW461" s="9"/>
      <c r="CX461" s="11"/>
      <c r="CY461" s="9"/>
      <c r="CZ461" s="11"/>
      <c r="DA461" s="9"/>
      <c r="DB461" s="11"/>
      <c r="DC461" s="9"/>
      <c r="DD461" s="11"/>
      <c r="DE461" s="9"/>
      <c r="DF461" s="11"/>
      <c r="DG461" s="9"/>
      <c r="DH461" s="11"/>
      <c r="DI461" s="9"/>
      <c r="DJ461" s="11"/>
      <c r="DK461" s="9"/>
      <c r="DL461" s="11"/>
      <c r="DM461" s="9"/>
      <c r="DN461" s="11"/>
      <c r="DO461" s="9"/>
      <c r="DP461" s="11"/>
      <c r="DQ461" s="9"/>
      <c r="DR461" s="11"/>
      <c r="DS461" s="9"/>
      <c r="DT461" s="11"/>
      <c r="DU461" s="9"/>
      <c r="DV461" s="11"/>
      <c r="DW461" s="9"/>
      <c r="DX461" s="11"/>
      <c r="DY461" s="9"/>
      <c r="DZ461" s="11"/>
      <c r="EA461" s="9"/>
      <c r="EB461" s="11"/>
      <c r="EC461" s="9"/>
      <c r="ED461" s="11"/>
      <c r="EE461" s="9"/>
      <c r="EF461" s="11"/>
      <c r="EG461" s="9"/>
      <c r="EH461" s="11"/>
      <c r="EI461" s="9"/>
      <c r="EJ461" s="11"/>
      <c r="EK461" s="9"/>
      <c r="EL461" s="11"/>
      <c r="EM461" s="9"/>
      <c r="EN461" s="11"/>
      <c r="EO461" s="9"/>
      <c r="EP461" s="11"/>
      <c r="EQ461" s="9"/>
      <c r="ER461" s="11"/>
      <c r="ES461" s="9"/>
      <c r="ET461" s="11"/>
      <c r="EU461" s="9"/>
      <c r="EV461" s="11"/>
      <c r="EW461" s="9"/>
      <c r="EX461" s="11"/>
      <c r="EY461" s="11"/>
      <c r="EZ461" s="296"/>
      <c r="FA461" s="11"/>
      <c r="FB461" s="9"/>
      <c r="FC461" s="11"/>
      <c r="FD461" s="9"/>
      <c r="FE461" s="11"/>
      <c r="FF461" s="16"/>
      <c r="FG461" s="11"/>
      <c r="FH461" s="16"/>
      <c r="FI461" s="11"/>
      <c r="FJ461" s="16"/>
      <c r="FK461" s="11"/>
      <c r="FL461" s="16"/>
      <c r="FM461" s="11"/>
      <c r="FN461" s="16"/>
      <c r="FO461" s="11"/>
      <c r="FP461" s="9"/>
      <c r="FQ461" s="11"/>
      <c r="FR461" s="9"/>
      <c r="FS461" s="11"/>
      <c r="FT461" s="9"/>
      <c r="FU461" s="11"/>
      <c r="FV461" s="9"/>
      <c r="FW461" s="11"/>
      <c r="FX461" s="9"/>
      <c r="FY461" s="11"/>
      <c r="FZ461" s="9"/>
      <c r="GA461" s="11"/>
      <c r="GB461" s="9"/>
      <c r="GC461" s="11"/>
      <c r="GD461" s="9"/>
      <c r="GE461" s="11"/>
      <c r="GF461" s="9"/>
      <c r="GG461" s="11"/>
      <c r="GH461" s="9"/>
      <c r="GI461" s="11"/>
      <c r="GJ461" s="9"/>
      <c r="GK461" s="11"/>
      <c r="GL461" s="9"/>
      <c r="GM461" s="11"/>
      <c r="GN461" s="9"/>
      <c r="GO461" s="11"/>
      <c r="GP461" s="9"/>
      <c r="GQ461" s="11"/>
      <c r="GR461" s="9"/>
      <c r="GS461" s="11"/>
      <c r="GT461" s="9"/>
      <c r="GU461" s="11"/>
      <c r="GV461" s="9"/>
      <c r="GW461" s="11"/>
      <c r="GX461" s="9"/>
      <c r="GY461" s="11"/>
      <c r="GZ461" s="11"/>
      <c r="HA461" s="11"/>
      <c r="HB461" s="11"/>
      <c r="HC461"/>
      <c r="HD461"/>
      <c r="HE461"/>
      <c r="HF461"/>
      <c r="HG461"/>
      <c r="HH461"/>
      <c r="HI461" s="2"/>
    </row>
    <row r="462" spans="1:217" s="3" customFormat="1" ht="12.75" hidden="1" customHeight="1" outlineLevel="1" x14ac:dyDescent="0.2">
      <c r="B462" s="10" t="s">
        <v>334</v>
      </c>
      <c r="C462" s="74">
        <f>FF462-I462-G462-E462</f>
        <v>409</v>
      </c>
      <c r="D462" s="72"/>
      <c r="E462" s="74">
        <v>411</v>
      </c>
      <c r="F462" s="72"/>
      <c r="G462" s="74">
        <v>423</v>
      </c>
      <c r="H462" s="72"/>
      <c r="I462" s="74">
        <v>396</v>
      </c>
      <c r="J462" s="72"/>
      <c r="K462" s="74">
        <v>383</v>
      </c>
      <c r="L462" s="72">
        <f t="shared" ref="L462:R465" si="2327">IF(ISERROR(K462/C462),"NA",IF(OR(K462/C462&gt;2,K462/C462&lt;0.5),"NM",K462/C462*100-100))</f>
        <v>-6.3569682151589149</v>
      </c>
      <c r="M462" s="74">
        <v>400</v>
      </c>
      <c r="N462" s="72">
        <f t="shared" si="2327"/>
        <v>-2.6763990267639883</v>
      </c>
      <c r="O462" s="74">
        <v>413</v>
      </c>
      <c r="P462" s="72">
        <f t="shared" si="2327"/>
        <v>-2.3640661938534322</v>
      </c>
      <c r="Q462" s="74">
        <v>431</v>
      </c>
      <c r="R462" s="72">
        <f t="shared" si="2327"/>
        <v>8.838383838383848</v>
      </c>
      <c r="S462" s="74"/>
      <c r="T462" s="72"/>
      <c r="U462" s="74"/>
      <c r="V462" s="72"/>
      <c r="W462" s="74"/>
      <c r="X462" s="72"/>
      <c r="Y462" s="74"/>
      <c r="Z462" s="72"/>
      <c r="AA462" s="74"/>
      <c r="AB462" s="72"/>
      <c r="AC462" s="74"/>
      <c r="AD462" s="72"/>
      <c r="AE462" s="74"/>
      <c r="AF462" s="72"/>
      <c r="AG462" s="74"/>
      <c r="AH462" s="72"/>
      <c r="AI462" s="74"/>
      <c r="AJ462" s="72"/>
      <c r="AK462" s="74"/>
      <c r="AL462" s="72"/>
      <c r="AM462" s="74"/>
      <c r="AN462" s="72"/>
      <c r="AO462" s="74"/>
      <c r="AP462" s="72"/>
      <c r="AQ462" s="74"/>
      <c r="AR462" s="72"/>
      <c r="AS462" s="74"/>
      <c r="AT462" s="72"/>
      <c r="AU462" s="74"/>
      <c r="AV462" s="72"/>
      <c r="AW462" s="74"/>
      <c r="AX462" s="72"/>
      <c r="AY462" s="74"/>
      <c r="AZ462" s="72"/>
      <c r="BA462" s="74"/>
      <c r="BB462" s="72"/>
      <c r="BC462" s="74"/>
      <c r="BD462" s="72"/>
      <c r="BE462" s="74"/>
      <c r="BF462" s="72"/>
      <c r="BG462" s="74"/>
      <c r="BH462" s="72"/>
      <c r="BI462" s="74"/>
      <c r="BJ462" s="72"/>
      <c r="BK462" s="74"/>
      <c r="BL462" s="72"/>
      <c r="BM462" s="74"/>
      <c r="BN462" s="72"/>
      <c r="BO462" s="74"/>
      <c r="BP462" s="72"/>
      <c r="BQ462" s="74"/>
      <c r="BR462" s="72"/>
      <c r="BS462" s="74"/>
      <c r="BT462" s="72"/>
      <c r="BU462" s="74"/>
      <c r="BV462" s="72"/>
      <c r="BW462" s="74"/>
      <c r="BX462" s="72"/>
      <c r="BY462" s="74"/>
      <c r="BZ462" s="72"/>
      <c r="CA462" s="74"/>
      <c r="CB462" s="72"/>
      <c r="CC462" s="74"/>
      <c r="CD462" s="72"/>
      <c r="CE462" s="74"/>
      <c r="CF462" s="72"/>
      <c r="CG462" s="74"/>
      <c r="CH462" s="72"/>
      <c r="CI462" s="74"/>
      <c r="CJ462" s="72"/>
      <c r="CK462" s="74"/>
      <c r="CL462" s="72"/>
      <c r="CM462" s="74"/>
      <c r="CN462" s="72"/>
      <c r="CO462" s="74"/>
      <c r="CP462" s="72"/>
      <c r="CQ462" s="74"/>
      <c r="CR462" s="72"/>
      <c r="CS462" s="74"/>
      <c r="CT462" s="72"/>
      <c r="CU462" s="74"/>
      <c r="CV462" s="72"/>
      <c r="CW462" s="74"/>
      <c r="CX462" s="72"/>
      <c r="CY462" s="74"/>
      <c r="CZ462" s="72"/>
      <c r="DA462" s="74"/>
      <c r="DB462" s="72"/>
      <c r="DC462" s="74"/>
      <c r="DD462" s="72"/>
      <c r="DE462" s="74"/>
      <c r="DF462" s="72"/>
      <c r="DG462" s="74"/>
      <c r="DH462" s="72"/>
      <c r="DI462" s="74"/>
      <c r="DJ462" s="72"/>
      <c r="DK462" s="74"/>
      <c r="DL462" s="72"/>
      <c r="DM462" s="74"/>
      <c r="DN462" s="72"/>
      <c r="DO462" s="74"/>
      <c r="DP462" s="72"/>
      <c r="DQ462" s="74"/>
      <c r="DR462" s="72"/>
      <c r="DS462" s="74"/>
      <c r="DT462" s="72"/>
      <c r="DU462" s="74"/>
      <c r="DV462" s="72"/>
      <c r="DW462" s="75"/>
      <c r="DX462" s="72"/>
      <c r="DY462" s="75"/>
      <c r="DZ462" s="72"/>
      <c r="EA462" s="75"/>
      <c r="EB462" s="72"/>
      <c r="EC462" s="75"/>
      <c r="ED462" s="72"/>
      <c r="EE462" s="75"/>
      <c r="EF462" s="72"/>
      <c r="EG462" s="75"/>
      <c r="EH462" s="72"/>
      <c r="EI462" s="75"/>
      <c r="EJ462" s="72"/>
      <c r="EK462" s="75"/>
      <c r="EL462" s="72"/>
      <c r="EM462" s="75"/>
      <c r="EN462" s="72"/>
      <c r="EO462" s="75"/>
      <c r="EP462" s="72"/>
      <c r="EQ462" s="75"/>
      <c r="ER462" s="72"/>
      <c r="ES462" s="75"/>
      <c r="ET462" s="72"/>
      <c r="EU462" s="75"/>
      <c r="EV462" s="72"/>
      <c r="EW462" s="75"/>
      <c r="EX462" s="72"/>
      <c r="EY462" s="72"/>
      <c r="EZ462" s="306"/>
      <c r="FA462" s="72"/>
      <c r="FB462" s="74">
        <v>1581</v>
      </c>
      <c r="FC462" s="72"/>
      <c r="FD462" s="74">
        <v>1548</v>
      </c>
      <c r="FE462" s="72"/>
      <c r="FF462" s="74">
        <v>1639</v>
      </c>
      <c r="FG462" s="72"/>
      <c r="FH462" s="154">
        <f>K462+M462+O462+Q462</f>
        <v>1627</v>
      </c>
      <c r="FI462" s="72"/>
      <c r="FJ462" s="75"/>
      <c r="FK462" s="72"/>
      <c r="FL462" s="75"/>
      <c r="FM462" s="72"/>
      <c r="FN462" s="75"/>
      <c r="FO462" s="72"/>
      <c r="FP462" s="74"/>
      <c r="FQ462" s="72"/>
      <c r="FR462" s="75"/>
      <c r="FS462" s="72"/>
      <c r="FT462" s="75"/>
      <c r="FU462" s="72"/>
      <c r="FV462" s="75"/>
      <c r="FW462" s="72"/>
      <c r="FX462" s="75"/>
      <c r="FY462" s="72"/>
      <c r="FZ462" s="75"/>
      <c r="GA462" s="72"/>
      <c r="GB462" s="75"/>
      <c r="GC462" s="72"/>
      <c r="GD462" s="75"/>
      <c r="GE462" s="72"/>
      <c r="GF462" s="75"/>
      <c r="GG462" s="72"/>
      <c r="GH462" s="75"/>
      <c r="GI462" s="72"/>
      <c r="GJ462" s="75"/>
      <c r="GK462" s="72"/>
      <c r="GL462" s="75"/>
      <c r="GM462" s="72"/>
      <c r="GN462" s="75"/>
      <c r="GO462" s="72"/>
      <c r="GP462" s="75"/>
      <c r="GQ462" s="72"/>
      <c r="GR462" s="75"/>
      <c r="GS462" s="72"/>
      <c r="GT462" s="75"/>
      <c r="GU462" s="72"/>
      <c r="GV462" s="75"/>
      <c r="GW462" s="72"/>
      <c r="GX462" s="75"/>
      <c r="GY462" s="72"/>
      <c r="GZ462" s="72"/>
      <c r="HA462" s="72"/>
      <c r="HB462" s="72"/>
      <c r="HC462"/>
      <c r="HD462"/>
      <c r="HE462"/>
      <c r="HF462"/>
      <c r="HG462"/>
      <c r="HH462"/>
      <c r="HI462" s="2"/>
    </row>
    <row r="463" spans="1:217" s="3" customFormat="1" ht="12.75" hidden="1" customHeight="1" outlineLevel="1" x14ac:dyDescent="0.2">
      <c r="A463" s="3" t="s">
        <v>47</v>
      </c>
      <c r="B463" s="10" t="s">
        <v>270</v>
      </c>
      <c r="C463" s="74">
        <f>FF463-I463-G463-E463</f>
        <v>48</v>
      </c>
      <c r="D463" s="155"/>
      <c r="E463" s="74">
        <v>48</v>
      </c>
      <c r="F463" s="155"/>
      <c r="G463" s="74">
        <v>47</v>
      </c>
      <c r="H463" s="155"/>
      <c r="I463" s="74">
        <v>50</v>
      </c>
      <c r="J463" s="155"/>
      <c r="K463" s="74">
        <v>39</v>
      </c>
      <c r="L463" s="72">
        <f t="shared" si="2327"/>
        <v>-18.75</v>
      </c>
      <c r="M463" s="74">
        <v>35</v>
      </c>
      <c r="N463" s="72">
        <f t="shared" si="2327"/>
        <v>-27.083333333333343</v>
      </c>
      <c r="O463" s="74">
        <v>35</v>
      </c>
      <c r="P463" s="72">
        <f t="shared" si="2327"/>
        <v>-25.531914893617028</v>
      </c>
      <c r="Q463" s="74">
        <v>32</v>
      </c>
      <c r="R463" s="72">
        <f t="shared" si="2327"/>
        <v>-36</v>
      </c>
      <c r="S463" s="74"/>
      <c r="T463" s="72"/>
      <c r="U463" s="74"/>
      <c r="V463" s="72"/>
      <c r="W463" s="74"/>
      <c r="X463" s="72"/>
      <c r="Y463" s="74"/>
      <c r="Z463" s="72"/>
      <c r="AA463" s="74"/>
      <c r="AB463" s="72"/>
      <c r="AC463" s="74"/>
      <c r="AD463" s="72"/>
      <c r="AE463" s="74"/>
      <c r="AF463" s="72"/>
      <c r="AG463" s="74"/>
      <c r="AH463" s="72"/>
      <c r="AI463" s="74"/>
      <c r="AJ463" s="72"/>
      <c r="AK463" s="74"/>
      <c r="AL463" s="72"/>
      <c r="AM463" s="74"/>
      <c r="AN463" s="72"/>
      <c r="AO463" s="74"/>
      <c r="AP463" s="72"/>
      <c r="AQ463" s="74"/>
      <c r="AR463" s="72"/>
      <c r="AS463" s="74"/>
      <c r="AT463" s="72"/>
      <c r="AU463" s="74"/>
      <c r="AV463" s="72"/>
      <c r="AW463" s="74"/>
      <c r="AX463" s="72"/>
      <c r="AY463" s="74"/>
      <c r="AZ463" s="72"/>
      <c r="BA463" s="74"/>
      <c r="BB463" s="72"/>
      <c r="BC463" s="74"/>
      <c r="BD463" s="72"/>
      <c r="BE463" s="74"/>
      <c r="BF463" s="72"/>
      <c r="BG463" s="74"/>
      <c r="BH463" s="72"/>
      <c r="BI463" s="74"/>
      <c r="BJ463" s="72"/>
      <c r="BK463" s="74"/>
      <c r="BL463" s="72"/>
      <c r="BM463" s="74"/>
      <c r="BN463" s="72"/>
      <c r="BO463" s="74"/>
      <c r="BP463" s="72"/>
      <c r="BQ463" s="74"/>
      <c r="BR463" s="72"/>
      <c r="BS463" s="74"/>
      <c r="BT463" s="72"/>
      <c r="BU463" s="74"/>
      <c r="BV463" s="72"/>
      <c r="BW463" s="74"/>
      <c r="BX463" s="72"/>
      <c r="BY463" s="74"/>
      <c r="BZ463" s="72"/>
      <c r="CA463" s="74"/>
      <c r="CB463" s="72"/>
      <c r="CC463" s="74"/>
      <c r="CD463" s="72"/>
      <c r="CE463" s="74"/>
      <c r="CF463" s="72"/>
      <c r="CG463" s="74"/>
      <c r="CH463" s="72"/>
      <c r="CI463" s="74"/>
      <c r="CJ463" s="72"/>
      <c r="CK463" s="74"/>
      <c r="CL463" s="72"/>
      <c r="CM463" s="74"/>
      <c r="CN463" s="72"/>
      <c r="CO463" s="74"/>
      <c r="CP463" s="72"/>
      <c r="CQ463" s="74"/>
      <c r="CR463" s="72"/>
      <c r="CS463" s="74"/>
      <c r="CT463" s="72"/>
      <c r="CU463" s="74"/>
      <c r="CV463" s="72"/>
      <c r="CW463" s="74"/>
      <c r="CX463" s="72"/>
      <c r="CY463" s="74"/>
      <c r="CZ463" s="72"/>
      <c r="DA463" s="74"/>
      <c r="DB463" s="72"/>
      <c r="DC463" s="74"/>
      <c r="DD463" s="72"/>
      <c r="DE463" s="74"/>
      <c r="DF463" s="72"/>
      <c r="DG463" s="74"/>
      <c r="DH463" s="72"/>
      <c r="DI463" s="74"/>
      <c r="DJ463" s="72"/>
      <c r="DK463" s="74"/>
      <c r="DL463" s="72"/>
      <c r="DM463" s="74"/>
      <c r="DN463" s="72"/>
      <c r="DO463" s="74"/>
      <c r="DP463" s="72"/>
      <c r="DQ463" s="74"/>
      <c r="DR463" s="72"/>
      <c r="DS463" s="74"/>
      <c r="DT463" s="72"/>
      <c r="DU463" s="74"/>
      <c r="DV463" s="72"/>
      <c r="DW463" s="75"/>
      <c r="DX463" s="72"/>
      <c r="DY463" s="75"/>
      <c r="DZ463" s="72"/>
      <c r="EA463" s="75"/>
      <c r="EB463" s="72"/>
      <c r="EC463" s="75"/>
      <c r="ED463" s="72"/>
      <c r="EE463" s="75"/>
      <c r="EF463" s="72"/>
      <c r="EG463" s="75"/>
      <c r="EH463" s="72"/>
      <c r="EI463" s="75"/>
      <c r="EJ463" s="72"/>
      <c r="EK463" s="75"/>
      <c r="EL463" s="72"/>
      <c r="EM463" s="75"/>
      <c r="EN463" s="72"/>
      <c r="EO463" s="75"/>
      <c r="EP463" s="72"/>
      <c r="EQ463" s="75"/>
      <c r="ER463" s="72"/>
      <c r="ES463" s="75"/>
      <c r="ET463" s="72"/>
      <c r="EU463" s="75"/>
      <c r="EV463" s="72"/>
      <c r="EW463" s="75"/>
      <c r="EX463" s="72"/>
      <c r="EY463" s="72"/>
      <c r="EZ463" s="307"/>
      <c r="FA463" s="72"/>
      <c r="FB463" s="74">
        <v>223</v>
      </c>
      <c r="FC463" s="155"/>
      <c r="FD463" s="74">
        <v>197</v>
      </c>
      <c r="FE463" s="72"/>
      <c r="FF463" s="74">
        <v>193</v>
      </c>
      <c r="FG463" s="72"/>
      <c r="FH463" s="154">
        <f>K463+M463+O463+Q463</f>
        <v>141</v>
      </c>
      <c r="FI463" s="72"/>
      <c r="FJ463" s="75"/>
      <c r="FK463" s="72"/>
      <c r="FL463" s="75"/>
      <c r="FM463" s="72"/>
      <c r="FN463" s="75"/>
      <c r="FO463" s="72"/>
      <c r="FP463" s="74"/>
      <c r="FQ463" s="72"/>
      <c r="FR463" s="75"/>
      <c r="FS463" s="72"/>
      <c r="FT463" s="75"/>
      <c r="FU463" s="72"/>
      <c r="FV463" s="75"/>
      <c r="FW463" s="72"/>
      <c r="FX463" s="75"/>
      <c r="FY463" s="72"/>
      <c r="FZ463" s="75"/>
      <c r="GA463" s="72"/>
      <c r="GB463" s="75"/>
      <c r="GC463" s="72"/>
      <c r="GD463" s="75"/>
      <c r="GE463" s="72"/>
      <c r="GF463" s="75"/>
      <c r="GG463" s="72"/>
      <c r="GH463" s="75"/>
      <c r="GI463" s="72"/>
      <c r="GJ463" s="75"/>
      <c r="GK463" s="72"/>
      <c r="GL463" s="75"/>
      <c r="GM463" s="72"/>
      <c r="GN463" s="75"/>
      <c r="GO463" s="72"/>
      <c r="GP463" s="75"/>
      <c r="GQ463" s="72"/>
      <c r="GR463" s="75"/>
      <c r="GS463" s="72"/>
      <c r="GT463" s="75"/>
      <c r="GU463" s="72"/>
      <c r="GV463" s="75"/>
      <c r="GW463" s="72"/>
      <c r="GX463" s="75"/>
      <c r="GY463" s="72"/>
      <c r="GZ463" s="72"/>
      <c r="HA463" s="72"/>
      <c r="HB463" s="72"/>
      <c r="HC463"/>
      <c r="HD463"/>
      <c r="HE463"/>
      <c r="HF463"/>
      <c r="HG463"/>
      <c r="HH463"/>
      <c r="HI463" s="2"/>
    </row>
    <row r="464" spans="1:217" s="3" customFormat="1" ht="12.75" hidden="1" customHeight="1" outlineLevel="1" x14ac:dyDescent="0.2">
      <c r="B464" s="10" t="s">
        <v>35</v>
      </c>
      <c r="C464" s="74">
        <f>FF464-I464-G464-E464</f>
        <v>2</v>
      </c>
      <c r="D464" s="72"/>
      <c r="E464" s="74">
        <v>5</v>
      </c>
      <c r="F464" s="72"/>
      <c r="G464" s="74">
        <v>0</v>
      </c>
      <c r="H464" s="72"/>
      <c r="I464" s="74">
        <v>1</v>
      </c>
      <c r="J464" s="72"/>
      <c r="K464" s="74">
        <v>2</v>
      </c>
      <c r="L464" s="72">
        <f t="shared" si="2327"/>
        <v>0</v>
      </c>
      <c r="M464" s="74">
        <v>2</v>
      </c>
      <c r="N464" s="72" t="str">
        <f t="shared" si="2327"/>
        <v>NM</v>
      </c>
      <c r="O464" s="74">
        <v>6</v>
      </c>
      <c r="P464" s="72" t="str">
        <f t="shared" si="2327"/>
        <v>NA</v>
      </c>
      <c r="Q464" s="74">
        <v>-1</v>
      </c>
      <c r="R464" s="72" t="str">
        <f t="shared" si="2327"/>
        <v>NM</v>
      </c>
      <c r="S464" s="74"/>
      <c r="T464" s="72"/>
      <c r="U464" s="74"/>
      <c r="V464" s="72"/>
      <c r="W464" s="74"/>
      <c r="X464" s="72"/>
      <c r="Y464" s="74"/>
      <c r="Z464" s="72"/>
      <c r="AA464" s="74"/>
      <c r="AB464" s="72"/>
      <c r="AC464" s="74"/>
      <c r="AD464" s="72"/>
      <c r="AE464" s="74"/>
      <c r="AF464" s="72"/>
      <c r="AG464" s="74"/>
      <c r="AH464" s="72"/>
      <c r="AI464" s="74"/>
      <c r="AJ464" s="72"/>
      <c r="AK464" s="74"/>
      <c r="AL464" s="72"/>
      <c r="AM464" s="74"/>
      <c r="AN464" s="72"/>
      <c r="AO464" s="74"/>
      <c r="AP464" s="72"/>
      <c r="AQ464" s="74"/>
      <c r="AR464" s="72"/>
      <c r="AS464" s="74"/>
      <c r="AT464" s="72"/>
      <c r="AU464" s="74"/>
      <c r="AV464" s="72"/>
      <c r="AW464" s="74"/>
      <c r="AX464" s="72"/>
      <c r="AY464" s="74"/>
      <c r="AZ464" s="72"/>
      <c r="BA464" s="74"/>
      <c r="BB464" s="72"/>
      <c r="BC464" s="74"/>
      <c r="BD464" s="72"/>
      <c r="BE464" s="74"/>
      <c r="BF464" s="72"/>
      <c r="BG464" s="74"/>
      <c r="BH464" s="72"/>
      <c r="BI464" s="74"/>
      <c r="BJ464" s="72"/>
      <c r="BK464" s="74"/>
      <c r="BL464" s="72"/>
      <c r="BM464" s="74"/>
      <c r="BN464" s="72"/>
      <c r="BO464" s="74"/>
      <c r="BP464" s="72"/>
      <c r="BQ464" s="74"/>
      <c r="BR464" s="72"/>
      <c r="BS464" s="74"/>
      <c r="BT464" s="72"/>
      <c r="BU464" s="74"/>
      <c r="BV464" s="72"/>
      <c r="BW464" s="74"/>
      <c r="BX464" s="72"/>
      <c r="BY464" s="74"/>
      <c r="BZ464" s="72"/>
      <c r="CA464" s="74"/>
      <c r="CB464" s="72"/>
      <c r="CC464" s="74"/>
      <c r="CD464" s="72"/>
      <c r="CE464" s="74"/>
      <c r="CF464" s="72"/>
      <c r="CG464" s="74"/>
      <c r="CH464" s="72"/>
      <c r="CI464" s="74"/>
      <c r="CJ464" s="72"/>
      <c r="CK464" s="74"/>
      <c r="CL464" s="72"/>
      <c r="CM464" s="74"/>
      <c r="CN464" s="72"/>
      <c r="CO464" s="74"/>
      <c r="CP464" s="72"/>
      <c r="CQ464" s="74"/>
      <c r="CR464" s="72"/>
      <c r="CS464" s="74"/>
      <c r="CT464" s="72"/>
      <c r="CU464" s="74"/>
      <c r="CV464" s="72"/>
      <c r="CW464" s="74"/>
      <c r="CX464" s="72"/>
      <c r="CY464" s="74"/>
      <c r="CZ464" s="72"/>
      <c r="DA464" s="74"/>
      <c r="DB464" s="72"/>
      <c r="DC464" s="74"/>
      <c r="DD464" s="72"/>
      <c r="DE464" s="74"/>
      <c r="DF464" s="72"/>
      <c r="DG464" s="74"/>
      <c r="DH464" s="72"/>
      <c r="DI464" s="74"/>
      <c r="DJ464" s="72"/>
      <c r="DK464" s="74"/>
      <c r="DL464" s="72"/>
      <c r="DM464" s="74"/>
      <c r="DN464" s="72"/>
      <c r="DO464" s="74"/>
      <c r="DP464" s="72"/>
      <c r="DQ464" s="74"/>
      <c r="DR464" s="72"/>
      <c r="DS464" s="74"/>
      <c r="DT464" s="72"/>
      <c r="DU464" s="74"/>
      <c r="DV464" s="72"/>
      <c r="DW464" s="75"/>
      <c r="DX464" s="72"/>
      <c r="DY464" s="75"/>
      <c r="DZ464" s="72"/>
      <c r="EA464" s="75"/>
      <c r="EB464" s="72"/>
      <c r="EC464" s="75"/>
      <c r="ED464" s="72"/>
      <c r="EE464" s="75"/>
      <c r="EF464" s="72"/>
      <c r="EG464" s="75"/>
      <c r="EH464" s="72"/>
      <c r="EI464" s="75"/>
      <c r="EJ464" s="72"/>
      <c r="EK464" s="75"/>
      <c r="EL464" s="72"/>
      <c r="EM464" s="75"/>
      <c r="EN464" s="72"/>
      <c r="EO464" s="75"/>
      <c r="EP464" s="72"/>
      <c r="EQ464" s="75"/>
      <c r="ER464" s="72"/>
      <c r="ES464" s="75"/>
      <c r="ET464" s="72"/>
      <c r="EU464" s="75"/>
      <c r="EV464" s="72"/>
      <c r="EW464" s="75"/>
      <c r="EX464" s="72"/>
      <c r="EY464" s="72"/>
      <c r="EZ464" s="307"/>
      <c r="FA464" s="72"/>
      <c r="FB464" s="74">
        <v>8</v>
      </c>
      <c r="FC464" s="72"/>
      <c r="FD464" s="74">
        <v>2</v>
      </c>
      <c r="FE464" s="72"/>
      <c r="FF464" s="74">
        <v>8</v>
      </c>
      <c r="FG464" s="72"/>
      <c r="FH464" s="154">
        <f>K464+M464+O464+Q464</f>
        <v>9</v>
      </c>
      <c r="FI464" s="72"/>
      <c r="FJ464" s="75"/>
      <c r="FK464" s="72"/>
      <c r="FL464" s="75"/>
      <c r="FM464" s="72"/>
      <c r="FN464" s="75"/>
      <c r="FO464" s="72"/>
      <c r="FP464" s="74"/>
      <c r="FQ464" s="72"/>
      <c r="FR464" s="75"/>
      <c r="FS464" s="72"/>
      <c r="FT464" s="75"/>
      <c r="FU464" s="72"/>
      <c r="FV464" s="75"/>
      <c r="FW464" s="72"/>
      <c r="FX464" s="75"/>
      <c r="FY464" s="72"/>
      <c r="FZ464" s="75"/>
      <c r="GA464" s="72"/>
      <c r="GB464" s="75"/>
      <c r="GC464" s="72"/>
      <c r="GD464" s="75"/>
      <c r="GE464" s="72"/>
      <c r="GF464" s="75"/>
      <c r="GG464" s="72"/>
      <c r="GH464" s="75"/>
      <c r="GI464" s="72"/>
      <c r="GJ464" s="75"/>
      <c r="GK464" s="72"/>
      <c r="GL464" s="75"/>
      <c r="GM464" s="72"/>
      <c r="GN464" s="75"/>
      <c r="GO464" s="72"/>
      <c r="GP464" s="75"/>
      <c r="GQ464" s="72"/>
      <c r="GR464" s="75"/>
      <c r="GS464" s="72"/>
      <c r="GT464" s="75"/>
      <c r="GU464" s="72"/>
      <c r="GV464" s="75"/>
      <c r="GW464" s="72"/>
      <c r="GX464" s="75"/>
      <c r="GY464" s="72"/>
      <c r="GZ464" s="72"/>
      <c r="HA464" s="72"/>
      <c r="HB464" s="72"/>
      <c r="HC464"/>
      <c r="HD464"/>
      <c r="HE464"/>
      <c r="HF464"/>
      <c r="HG464"/>
      <c r="HH464"/>
      <c r="HI464" s="2"/>
    </row>
    <row r="465" spans="1:217" s="78" customFormat="1" ht="12.75" hidden="1" customHeight="1" outlineLevel="1" x14ac:dyDescent="0.2">
      <c r="B465" s="70" t="s">
        <v>536</v>
      </c>
      <c r="C465" s="156">
        <f>SUM(C462:C464)</f>
        <v>459</v>
      </c>
      <c r="D465" s="80"/>
      <c r="E465" s="156">
        <f>SUM(E462:E464)</f>
        <v>464</v>
      </c>
      <c r="F465" s="80"/>
      <c r="G465" s="156">
        <f>SUM(G462:G464)</f>
        <v>470</v>
      </c>
      <c r="H465" s="80"/>
      <c r="I465" s="156">
        <f>SUM(I462:I464)</f>
        <v>447</v>
      </c>
      <c r="J465" s="80"/>
      <c r="K465" s="156">
        <f>SUM(K462:K464)</f>
        <v>424</v>
      </c>
      <c r="L465" s="72">
        <f t="shared" si="2327"/>
        <v>-7.6252723311546902</v>
      </c>
      <c r="M465" s="156">
        <f>SUM(M462:M464)</f>
        <v>437</v>
      </c>
      <c r="N465" s="72">
        <f t="shared" si="2327"/>
        <v>-5.8189655172413808</v>
      </c>
      <c r="O465" s="156">
        <f>SUM(O462:O464)</f>
        <v>454</v>
      </c>
      <c r="P465" s="72">
        <f t="shared" si="2327"/>
        <v>-3.4042553191489446</v>
      </c>
      <c r="Q465" s="156">
        <f>SUM(Q462:Q464)</f>
        <v>462</v>
      </c>
      <c r="R465" s="72">
        <f t="shared" si="2327"/>
        <v>3.3557046979865817</v>
      </c>
      <c r="S465" s="156"/>
      <c r="T465" s="72"/>
      <c r="U465" s="156"/>
      <c r="V465" s="72"/>
      <c r="W465" s="156"/>
      <c r="X465" s="72"/>
      <c r="Y465" s="156"/>
      <c r="Z465" s="72"/>
      <c r="AA465" s="156"/>
      <c r="AB465" s="72"/>
      <c r="AC465" s="156"/>
      <c r="AD465" s="72"/>
      <c r="AE465" s="156"/>
      <c r="AF465" s="72"/>
      <c r="AG465" s="156"/>
      <c r="AH465" s="72"/>
      <c r="AI465" s="156"/>
      <c r="AJ465" s="72"/>
      <c r="AK465" s="156"/>
      <c r="AL465" s="72"/>
      <c r="AM465" s="156"/>
      <c r="AN465" s="72"/>
      <c r="AO465" s="156"/>
      <c r="AP465" s="72"/>
      <c r="AQ465" s="156"/>
      <c r="AR465" s="72"/>
      <c r="AS465" s="156"/>
      <c r="AT465" s="72"/>
      <c r="AU465" s="156"/>
      <c r="AV465" s="72"/>
      <c r="AW465" s="156"/>
      <c r="AX465" s="72"/>
      <c r="AY465" s="156"/>
      <c r="AZ465" s="72"/>
      <c r="BA465" s="156"/>
      <c r="BB465" s="72"/>
      <c r="BC465" s="156"/>
      <c r="BD465" s="72"/>
      <c r="BE465" s="156"/>
      <c r="BF465" s="72"/>
      <c r="BG465" s="156"/>
      <c r="BH465" s="72"/>
      <c r="BI465" s="156"/>
      <c r="BJ465" s="72"/>
      <c r="BK465" s="156"/>
      <c r="BL465" s="72"/>
      <c r="BM465" s="156"/>
      <c r="BN465" s="72"/>
      <c r="BO465" s="156"/>
      <c r="BP465" s="72"/>
      <c r="BQ465" s="156"/>
      <c r="BR465" s="72"/>
      <c r="BS465" s="156"/>
      <c r="BT465" s="72"/>
      <c r="BU465" s="156"/>
      <c r="BV465" s="72"/>
      <c r="BW465" s="156"/>
      <c r="BX465" s="72"/>
      <c r="BY465" s="156"/>
      <c r="BZ465" s="72"/>
      <c r="CA465" s="156"/>
      <c r="CB465" s="72"/>
      <c r="CC465" s="156"/>
      <c r="CD465" s="72"/>
      <c r="CE465" s="156"/>
      <c r="CF465" s="72"/>
      <c r="CG465" s="156"/>
      <c r="CH465" s="72"/>
      <c r="CI465" s="156"/>
      <c r="CJ465" s="72"/>
      <c r="CK465" s="156"/>
      <c r="CL465" s="72"/>
      <c r="CM465" s="156"/>
      <c r="CN465" s="72"/>
      <c r="CO465" s="156"/>
      <c r="CP465" s="72"/>
      <c r="CQ465" s="156"/>
      <c r="CR465" s="72"/>
      <c r="CS465" s="156"/>
      <c r="CT465" s="72"/>
      <c r="CU465" s="156"/>
      <c r="CV465" s="72"/>
      <c r="CW465" s="156"/>
      <c r="CX465" s="72"/>
      <c r="CY465" s="156"/>
      <c r="CZ465" s="72"/>
      <c r="DA465" s="156"/>
      <c r="DB465" s="72"/>
      <c r="DC465" s="156"/>
      <c r="DD465" s="72"/>
      <c r="DE465" s="156"/>
      <c r="DF465" s="72"/>
      <c r="DG465" s="156"/>
      <c r="DH465" s="72"/>
      <c r="DI465" s="156"/>
      <c r="DJ465" s="72"/>
      <c r="DK465" s="156"/>
      <c r="DL465" s="72"/>
      <c r="DM465" s="156"/>
      <c r="DN465" s="72"/>
      <c r="DO465" s="156"/>
      <c r="DP465" s="72"/>
      <c r="DQ465" s="156"/>
      <c r="DR465" s="72"/>
      <c r="DS465" s="156"/>
      <c r="DT465" s="72"/>
      <c r="DU465" s="156"/>
      <c r="DV465" s="72"/>
      <c r="DW465" s="91"/>
      <c r="DX465" s="72"/>
      <c r="DY465" s="91"/>
      <c r="DZ465" s="72"/>
      <c r="EA465" s="91"/>
      <c r="EB465" s="72"/>
      <c r="EC465" s="91"/>
      <c r="ED465" s="72"/>
      <c r="EE465" s="91"/>
      <c r="EF465" s="72"/>
      <c r="EG465" s="91"/>
      <c r="EH465" s="72"/>
      <c r="EI465" s="91"/>
      <c r="EJ465" s="72"/>
      <c r="EK465" s="91"/>
      <c r="EL465" s="72"/>
      <c r="EM465" s="91"/>
      <c r="EN465" s="72"/>
      <c r="EO465" s="91"/>
      <c r="EP465" s="72"/>
      <c r="EQ465" s="91"/>
      <c r="ER465" s="72"/>
      <c r="ES465" s="91"/>
      <c r="ET465" s="72"/>
      <c r="EU465" s="91"/>
      <c r="EV465" s="72"/>
      <c r="EW465" s="91"/>
      <c r="EX465" s="72"/>
      <c r="EY465" s="72"/>
      <c r="EZ465" s="314"/>
      <c r="FA465" s="72"/>
      <c r="FB465" s="157">
        <f>SUM(FB462:FB464)</f>
        <v>1812</v>
      </c>
      <c r="FC465" s="80"/>
      <c r="FD465" s="157">
        <f>SUM(FD462:FD464)</f>
        <v>1747</v>
      </c>
      <c r="FE465" s="72"/>
      <c r="FF465" s="157">
        <f>SUM(FF462:FF464)</f>
        <v>1840</v>
      </c>
      <c r="FG465" s="72"/>
      <c r="FH465" s="157">
        <f>SUM(FH462:FH464)</f>
        <v>1777</v>
      </c>
      <c r="FI465" s="72"/>
      <c r="FJ465" s="156"/>
      <c r="FK465" s="72"/>
      <c r="FL465" s="156"/>
      <c r="FM465" s="72"/>
      <c r="FN465" s="156"/>
      <c r="FO465" s="72"/>
      <c r="FP465" s="156"/>
      <c r="FQ465" s="72"/>
      <c r="FR465" s="91"/>
      <c r="FS465" s="72"/>
      <c r="FT465" s="91"/>
      <c r="FU465" s="72"/>
      <c r="FV465" s="91"/>
      <c r="FW465" s="72"/>
      <c r="FX465" s="91"/>
      <c r="FY465" s="72"/>
      <c r="FZ465" s="91"/>
      <c r="GA465" s="72"/>
      <c r="GB465" s="91"/>
      <c r="GC465" s="72"/>
      <c r="GD465" s="91"/>
      <c r="GE465" s="72"/>
      <c r="GF465" s="91"/>
      <c r="GG465" s="72"/>
      <c r="GH465" s="91"/>
      <c r="GI465" s="72"/>
      <c r="GJ465" s="91"/>
      <c r="GK465" s="72"/>
      <c r="GL465" s="91"/>
      <c r="GM465" s="72"/>
      <c r="GN465" s="91"/>
      <c r="GO465" s="72"/>
      <c r="GP465" s="91"/>
      <c r="GQ465" s="72"/>
      <c r="GR465" s="91"/>
      <c r="GS465" s="72"/>
      <c r="GT465" s="91"/>
      <c r="GU465" s="72"/>
      <c r="GV465" s="91"/>
      <c r="GW465" s="72"/>
      <c r="GX465" s="91"/>
      <c r="GY465" s="72"/>
      <c r="GZ465" s="72"/>
      <c r="HA465" s="72"/>
      <c r="HB465" s="72"/>
      <c r="HC465"/>
      <c r="HD465"/>
      <c r="HE465"/>
      <c r="HF465"/>
      <c r="HG465"/>
      <c r="HH465"/>
      <c r="HI465" s="2"/>
    </row>
    <row r="466" spans="1:217" s="3" customFormat="1" ht="12.75" hidden="1" customHeight="1" outlineLevel="1" x14ac:dyDescent="0.2">
      <c r="B466" s="77"/>
      <c r="C466" s="75"/>
      <c r="D466" s="72"/>
      <c r="E466" s="75"/>
      <c r="F466" s="72"/>
      <c r="G466" s="75"/>
      <c r="H466" s="72"/>
      <c r="I466" s="75"/>
      <c r="J466" s="72"/>
      <c r="K466" s="75"/>
      <c r="L466" s="72"/>
      <c r="M466" s="75"/>
      <c r="N466" s="72"/>
      <c r="O466" s="75"/>
      <c r="P466" s="72"/>
      <c r="Q466" s="75"/>
      <c r="R466" s="72"/>
      <c r="S466" s="75"/>
      <c r="T466" s="72"/>
      <c r="U466" s="75"/>
      <c r="V466" s="72"/>
      <c r="W466" s="75"/>
      <c r="X466" s="72"/>
      <c r="Y466" s="75"/>
      <c r="Z466" s="72"/>
      <c r="AA466" s="75"/>
      <c r="AB466" s="72"/>
      <c r="AC466" s="75"/>
      <c r="AD466" s="72"/>
      <c r="AE466" s="75"/>
      <c r="AF466" s="72"/>
      <c r="AG466" s="75"/>
      <c r="AH466" s="72"/>
      <c r="AI466" s="75"/>
      <c r="AJ466" s="72"/>
      <c r="AK466" s="75"/>
      <c r="AL466" s="72"/>
      <c r="AM466" s="75"/>
      <c r="AN466" s="72"/>
      <c r="AO466" s="75"/>
      <c r="AP466" s="72"/>
      <c r="AQ466" s="75"/>
      <c r="AR466" s="72"/>
      <c r="AS466" s="75"/>
      <c r="AT466" s="72"/>
      <c r="AU466" s="75"/>
      <c r="AV466" s="72"/>
      <c r="AW466" s="75"/>
      <c r="AX466" s="72"/>
      <c r="AY466" s="75"/>
      <c r="AZ466" s="72"/>
      <c r="BA466" s="75"/>
      <c r="BB466" s="72"/>
      <c r="BC466" s="75"/>
      <c r="BD466" s="72"/>
      <c r="BE466" s="75"/>
      <c r="BF466" s="72"/>
      <c r="BG466" s="75"/>
      <c r="BH466" s="72"/>
      <c r="BI466" s="75"/>
      <c r="BJ466" s="72"/>
      <c r="BK466" s="75"/>
      <c r="BL466" s="72"/>
      <c r="BM466" s="75"/>
      <c r="BN466" s="72"/>
      <c r="BO466" s="75"/>
      <c r="BP466" s="72"/>
      <c r="BQ466" s="75"/>
      <c r="BR466" s="72"/>
      <c r="BS466" s="75"/>
      <c r="BT466" s="72"/>
      <c r="BU466" s="75"/>
      <c r="BV466" s="72"/>
      <c r="BW466" s="75"/>
      <c r="BX466" s="72"/>
      <c r="BY466" s="75"/>
      <c r="BZ466" s="72"/>
      <c r="CA466" s="75"/>
      <c r="CB466" s="72"/>
      <c r="CC466" s="75"/>
      <c r="CD466" s="72"/>
      <c r="CE466" s="75"/>
      <c r="CF466" s="72"/>
      <c r="CG466" s="75"/>
      <c r="CH466" s="72"/>
      <c r="CI466" s="75"/>
      <c r="CJ466" s="72"/>
      <c r="CK466" s="75"/>
      <c r="CL466" s="72"/>
      <c r="CM466" s="75"/>
      <c r="CN466" s="72"/>
      <c r="CO466" s="75"/>
      <c r="CP466" s="72"/>
      <c r="CQ466" s="75"/>
      <c r="CR466" s="72"/>
      <c r="CS466" s="75"/>
      <c r="CT466" s="72"/>
      <c r="CU466" s="75"/>
      <c r="CV466" s="72"/>
      <c r="CW466" s="75"/>
      <c r="CX466" s="72"/>
      <c r="CY466" s="75"/>
      <c r="CZ466" s="72"/>
      <c r="DA466" s="75"/>
      <c r="DB466" s="72"/>
      <c r="DC466" s="75"/>
      <c r="DD466" s="72"/>
      <c r="DE466" s="75"/>
      <c r="DF466" s="72"/>
      <c r="DG466" s="75"/>
      <c r="DH466" s="72"/>
      <c r="DI466" s="75"/>
      <c r="DJ466" s="72"/>
      <c r="DK466" s="75"/>
      <c r="DL466" s="72"/>
      <c r="DM466" s="75"/>
      <c r="DN466" s="72"/>
      <c r="DO466" s="75"/>
      <c r="DP466" s="72"/>
      <c r="DQ466" s="75"/>
      <c r="DR466" s="72"/>
      <c r="DS466" s="75"/>
      <c r="DT466" s="72"/>
      <c r="DU466" s="75"/>
      <c r="DV466" s="72"/>
      <c r="DW466" s="75"/>
      <c r="DX466" s="72"/>
      <c r="DY466" s="75"/>
      <c r="DZ466" s="72"/>
      <c r="EA466" s="75"/>
      <c r="EB466" s="72"/>
      <c r="EC466" s="75"/>
      <c r="ED466" s="72"/>
      <c r="EE466" s="75"/>
      <c r="EF466" s="72"/>
      <c r="EG466" s="75"/>
      <c r="EH466" s="72"/>
      <c r="EI466" s="75"/>
      <c r="EJ466" s="72"/>
      <c r="EK466" s="75"/>
      <c r="EL466" s="72"/>
      <c r="EM466" s="75"/>
      <c r="EN466" s="72"/>
      <c r="EO466" s="75"/>
      <c r="EP466" s="72"/>
      <c r="EQ466" s="75"/>
      <c r="ER466" s="72"/>
      <c r="ES466" s="75"/>
      <c r="ET466" s="72"/>
      <c r="EU466" s="75"/>
      <c r="EV466" s="72"/>
      <c r="EW466" s="75"/>
      <c r="EX466" s="72"/>
      <c r="EY466" s="72"/>
      <c r="EZ466" s="307"/>
      <c r="FA466" s="72"/>
      <c r="FB466" s="75"/>
      <c r="FC466" s="72"/>
      <c r="FD466" s="75"/>
      <c r="FE466" s="72"/>
      <c r="FF466" s="75"/>
      <c r="FG466" s="72"/>
      <c r="FH466" s="75"/>
      <c r="FI466" s="72"/>
      <c r="FJ466" s="75"/>
      <c r="FK466" s="72"/>
      <c r="FL466" s="75"/>
      <c r="FM466" s="72"/>
      <c r="FN466" s="75"/>
      <c r="FO466" s="72"/>
      <c r="FP466" s="75"/>
      <c r="FQ466" s="72"/>
      <c r="FR466" s="75"/>
      <c r="FS466" s="72"/>
      <c r="FT466" s="75"/>
      <c r="FU466" s="72"/>
      <c r="FV466" s="75"/>
      <c r="FW466" s="72"/>
      <c r="FX466" s="75"/>
      <c r="FY466" s="72"/>
      <c r="FZ466" s="75"/>
      <c r="GA466" s="72"/>
      <c r="GB466" s="75"/>
      <c r="GC466" s="72"/>
      <c r="GD466" s="75"/>
      <c r="GE466" s="72"/>
      <c r="GF466" s="75"/>
      <c r="GG466" s="72"/>
      <c r="GH466" s="75"/>
      <c r="GI466" s="72"/>
      <c r="GJ466" s="75"/>
      <c r="GK466" s="72"/>
      <c r="GL466" s="75"/>
      <c r="GM466" s="72"/>
      <c r="GN466" s="75"/>
      <c r="GO466" s="72"/>
      <c r="GP466" s="75"/>
      <c r="GQ466" s="72"/>
      <c r="GR466" s="75"/>
      <c r="GS466" s="72"/>
      <c r="GT466" s="75"/>
      <c r="GU466" s="72"/>
      <c r="GV466" s="75"/>
      <c r="GW466" s="72"/>
      <c r="GX466" s="75"/>
      <c r="GY466" s="72"/>
      <c r="GZ466" s="72"/>
      <c r="HA466" s="72"/>
      <c r="HB466" s="72"/>
      <c r="HC466"/>
      <c r="HD466"/>
      <c r="HE466"/>
      <c r="HF466"/>
      <c r="HG466"/>
      <c r="HH466"/>
      <c r="HI466" s="2"/>
    </row>
    <row r="467" spans="1:217" s="3" customFormat="1" ht="12.75" hidden="1" customHeight="1" outlineLevel="1" x14ac:dyDescent="0.2">
      <c r="B467" s="70" t="s">
        <v>669</v>
      </c>
      <c r="C467" s="75"/>
      <c r="D467" s="72"/>
      <c r="E467" s="75"/>
      <c r="F467" s="72"/>
      <c r="G467" s="75"/>
      <c r="H467" s="72"/>
      <c r="I467" s="75"/>
      <c r="J467" s="72"/>
      <c r="K467" s="75"/>
      <c r="L467" s="72"/>
      <c r="M467" s="75"/>
      <c r="N467" s="72"/>
      <c r="O467" s="75"/>
      <c r="P467" s="72"/>
      <c r="Q467" s="75"/>
      <c r="R467" s="72"/>
      <c r="S467" s="75"/>
      <c r="T467" s="72"/>
      <c r="U467" s="75"/>
      <c r="V467" s="72"/>
      <c r="W467" s="75"/>
      <c r="X467" s="72"/>
      <c r="Y467" s="75"/>
      <c r="Z467" s="72"/>
      <c r="AA467" s="75"/>
      <c r="AB467" s="72"/>
      <c r="AC467" s="75"/>
      <c r="AD467" s="72"/>
      <c r="AE467" s="75"/>
      <c r="AF467" s="72"/>
      <c r="AG467" s="75"/>
      <c r="AH467" s="72"/>
      <c r="AI467" s="75"/>
      <c r="AJ467" s="72"/>
      <c r="AK467" s="75"/>
      <c r="AL467" s="72"/>
      <c r="AM467" s="75"/>
      <c r="AN467" s="72"/>
      <c r="AO467" s="75"/>
      <c r="AP467" s="72"/>
      <c r="AQ467" s="75"/>
      <c r="AR467" s="72"/>
      <c r="AS467" s="75"/>
      <c r="AT467" s="72"/>
      <c r="AU467" s="75"/>
      <c r="AV467" s="72"/>
      <c r="AW467" s="75"/>
      <c r="AX467" s="72"/>
      <c r="AY467" s="75"/>
      <c r="AZ467" s="72"/>
      <c r="BA467" s="75"/>
      <c r="BB467" s="72"/>
      <c r="BC467" s="75"/>
      <c r="BD467" s="72"/>
      <c r="BE467" s="75"/>
      <c r="BF467" s="72"/>
      <c r="BG467" s="75"/>
      <c r="BH467" s="72"/>
      <c r="BI467" s="75"/>
      <c r="BJ467" s="72"/>
      <c r="BK467" s="75"/>
      <c r="BL467" s="72"/>
      <c r="BM467" s="75"/>
      <c r="BN467" s="72"/>
      <c r="BO467" s="75"/>
      <c r="BP467" s="72"/>
      <c r="BQ467" s="75"/>
      <c r="BR467" s="72"/>
      <c r="BS467" s="75"/>
      <c r="BT467" s="72"/>
      <c r="BU467" s="75"/>
      <c r="BV467" s="72"/>
      <c r="BW467" s="75"/>
      <c r="BX467" s="72"/>
      <c r="BY467" s="75"/>
      <c r="BZ467" s="72"/>
      <c r="CA467" s="75"/>
      <c r="CB467" s="72"/>
      <c r="CC467" s="75"/>
      <c r="CD467" s="72"/>
      <c r="CE467" s="75"/>
      <c r="CF467" s="72"/>
      <c r="CG467" s="75"/>
      <c r="CH467" s="72"/>
      <c r="CI467" s="75"/>
      <c r="CJ467" s="72"/>
      <c r="CK467" s="75"/>
      <c r="CL467" s="72"/>
      <c r="CM467" s="75"/>
      <c r="CN467" s="72"/>
      <c r="CO467" s="75"/>
      <c r="CP467" s="72"/>
      <c r="CQ467" s="75"/>
      <c r="CR467" s="72"/>
      <c r="CS467" s="75"/>
      <c r="CT467" s="72"/>
      <c r="CU467" s="75"/>
      <c r="CV467" s="72"/>
      <c r="CW467" s="75"/>
      <c r="CX467" s="72"/>
      <c r="CY467" s="75"/>
      <c r="CZ467" s="72"/>
      <c r="DA467" s="75"/>
      <c r="DB467" s="72"/>
      <c r="DC467" s="75"/>
      <c r="DD467" s="72"/>
      <c r="DE467" s="75"/>
      <c r="DF467" s="72"/>
      <c r="DG467" s="75"/>
      <c r="DH467" s="72"/>
      <c r="DI467" s="75"/>
      <c r="DJ467" s="72"/>
      <c r="DK467" s="75"/>
      <c r="DL467" s="72"/>
      <c r="DM467" s="75"/>
      <c r="DN467" s="72"/>
      <c r="DO467" s="75"/>
      <c r="DP467" s="72"/>
      <c r="DQ467" s="75"/>
      <c r="DR467" s="72"/>
      <c r="DS467" s="75"/>
      <c r="DT467" s="72"/>
      <c r="DU467" s="75"/>
      <c r="DV467" s="72"/>
      <c r="DW467" s="75"/>
      <c r="DX467" s="72"/>
      <c r="DY467" s="75"/>
      <c r="DZ467" s="72"/>
      <c r="EA467" s="75"/>
      <c r="EB467" s="72"/>
      <c r="EC467" s="75"/>
      <c r="ED467" s="72"/>
      <c r="EE467" s="75"/>
      <c r="EF467" s="72"/>
      <c r="EG467" s="75"/>
      <c r="EH467" s="72"/>
      <c r="EI467" s="75"/>
      <c r="EJ467" s="72"/>
      <c r="EK467" s="75"/>
      <c r="EL467" s="72"/>
      <c r="EM467" s="75"/>
      <c r="EN467" s="72"/>
      <c r="EO467" s="75"/>
      <c r="EP467" s="72"/>
      <c r="EQ467" s="75"/>
      <c r="ER467" s="72"/>
      <c r="ES467" s="75"/>
      <c r="ET467" s="72"/>
      <c r="EU467" s="75"/>
      <c r="EV467" s="72"/>
      <c r="EW467" s="75"/>
      <c r="EX467" s="72"/>
      <c r="EY467" s="72"/>
      <c r="EZ467" s="307"/>
      <c r="FA467" s="72"/>
      <c r="FB467" s="75"/>
      <c r="FC467" s="72"/>
      <c r="FD467" s="75"/>
      <c r="FE467" s="72"/>
      <c r="FF467" s="75"/>
      <c r="FG467" s="72"/>
      <c r="FH467" s="75"/>
      <c r="FI467" s="72"/>
      <c r="FJ467" s="75"/>
      <c r="FK467" s="72"/>
      <c r="FL467" s="75"/>
      <c r="FM467" s="72"/>
      <c r="FN467" s="75"/>
      <c r="FO467" s="72"/>
      <c r="FP467" s="75"/>
      <c r="FQ467" s="72"/>
      <c r="FR467" s="75"/>
      <c r="FS467" s="72"/>
      <c r="FT467" s="75"/>
      <c r="FU467" s="72"/>
      <c r="FV467" s="75"/>
      <c r="FW467" s="72"/>
      <c r="FX467" s="75"/>
      <c r="FY467" s="72"/>
      <c r="FZ467" s="75"/>
      <c r="GA467" s="72"/>
      <c r="GB467" s="75"/>
      <c r="GC467" s="72"/>
      <c r="GD467" s="75"/>
      <c r="GE467" s="72"/>
      <c r="GF467" s="75"/>
      <c r="GG467" s="72"/>
      <c r="GH467" s="75"/>
      <c r="GI467" s="72"/>
      <c r="GJ467" s="75"/>
      <c r="GK467" s="72"/>
      <c r="GL467" s="75"/>
      <c r="GM467" s="72"/>
      <c r="GN467" s="75"/>
      <c r="GO467" s="72"/>
      <c r="GP467" s="75"/>
      <c r="GQ467" s="72"/>
      <c r="GR467" s="75"/>
      <c r="GS467" s="72"/>
      <c r="GT467" s="75"/>
      <c r="GU467" s="72"/>
      <c r="GV467" s="75"/>
      <c r="GW467" s="72"/>
      <c r="GX467" s="75"/>
      <c r="GY467" s="72"/>
      <c r="GZ467" s="72"/>
      <c r="HA467" s="72"/>
      <c r="HB467" s="72"/>
      <c r="HC467"/>
      <c r="HD467"/>
      <c r="HE467"/>
      <c r="HF467"/>
      <c r="HG467"/>
      <c r="HH467"/>
      <c r="HI467" s="2"/>
    </row>
    <row r="468" spans="1:217" s="3" customFormat="1" ht="12.75" hidden="1" customHeight="1" outlineLevel="1" x14ac:dyDescent="0.2">
      <c r="B468" s="77" t="s">
        <v>177</v>
      </c>
      <c r="C468" s="115">
        <f>C470-C469</f>
        <v>234.7</v>
      </c>
      <c r="D468" s="72"/>
      <c r="E468" s="115">
        <f>E470-E469</f>
        <v>239.7</v>
      </c>
      <c r="F468" s="72"/>
      <c r="G468" s="115">
        <f>G470-G469</f>
        <v>253.6</v>
      </c>
      <c r="H468" s="72"/>
      <c r="I468" s="115">
        <f>I470-I469</f>
        <v>272</v>
      </c>
      <c r="J468" s="72"/>
      <c r="K468" s="115">
        <f>K470-K469</f>
        <v>223.7</v>
      </c>
      <c r="L468" s="72">
        <f t="shared" ref="L468:R473" si="2328">IF(ISERROR(K468/C468),"NA",IF(OR(K468/C468&gt;2,K468/C468&lt;0.5),"NM",K468/C468*100-100))</f>
        <v>-4.6868342564976473</v>
      </c>
      <c r="M468" s="115">
        <f>M470-M469</f>
        <v>254.4</v>
      </c>
      <c r="N468" s="72">
        <f t="shared" si="2328"/>
        <v>6.1326658322903711</v>
      </c>
      <c r="O468" s="115">
        <f>O470-O469</f>
        <v>296.8</v>
      </c>
      <c r="P468" s="72">
        <f t="shared" si="2328"/>
        <v>17.034700315457414</v>
      </c>
      <c r="Q468" s="115">
        <f>Q470-Q469</f>
        <v>321</v>
      </c>
      <c r="R468" s="72">
        <f t="shared" si="2328"/>
        <v>18.014705882352942</v>
      </c>
      <c r="S468" s="115"/>
      <c r="T468" s="72"/>
      <c r="U468" s="115"/>
      <c r="V468" s="72"/>
      <c r="W468" s="115"/>
      <c r="X468" s="72"/>
      <c r="Y468" s="115"/>
      <c r="Z468" s="72"/>
      <c r="AA468" s="115"/>
      <c r="AB468" s="72"/>
      <c r="AC468" s="115"/>
      <c r="AD468" s="72"/>
      <c r="AE468" s="115"/>
      <c r="AF468" s="72"/>
      <c r="AG468" s="115"/>
      <c r="AH468" s="72"/>
      <c r="AI468" s="115"/>
      <c r="AJ468" s="72"/>
      <c r="AK468" s="115"/>
      <c r="AL468" s="72"/>
      <c r="AM468" s="115"/>
      <c r="AN468" s="72"/>
      <c r="AO468" s="115"/>
      <c r="AP468" s="72"/>
      <c r="AQ468" s="115"/>
      <c r="AR468" s="72"/>
      <c r="AS468" s="115"/>
      <c r="AT468" s="72"/>
      <c r="AU468" s="115"/>
      <c r="AV468" s="72"/>
      <c r="AW468" s="115"/>
      <c r="AX468" s="72"/>
      <c r="AY468" s="115"/>
      <c r="AZ468" s="72"/>
      <c r="BA468" s="115"/>
      <c r="BB468" s="72"/>
      <c r="BC468" s="115"/>
      <c r="BD468" s="72"/>
      <c r="BE468" s="115"/>
      <c r="BF468" s="72"/>
      <c r="BG468" s="115"/>
      <c r="BH468" s="72"/>
      <c r="BI468" s="115"/>
      <c r="BJ468" s="72"/>
      <c r="BK468" s="115"/>
      <c r="BL468" s="72"/>
      <c r="BM468" s="115"/>
      <c r="BN468" s="72"/>
      <c r="BO468" s="115"/>
      <c r="BP468" s="72"/>
      <c r="BQ468" s="115"/>
      <c r="BR468" s="72"/>
      <c r="BS468" s="115"/>
      <c r="BT468" s="72"/>
      <c r="BU468" s="115"/>
      <c r="BV468" s="72"/>
      <c r="BW468" s="115"/>
      <c r="BX468" s="72"/>
      <c r="BY468" s="115"/>
      <c r="BZ468" s="72"/>
      <c r="CA468" s="115"/>
      <c r="CB468" s="72"/>
      <c r="CC468" s="115"/>
      <c r="CD468" s="72"/>
      <c r="CE468" s="115"/>
      <c r="CF468" s="72"/>
      <c r="CG468" s="115"/>
      <c r="CH468" s="72"/>
      <c r="CI468" s="115"/>
      <c r="CJ468" s="72"/>
      <c r="CK468" s="115"/>
      <c r="CL468" s="72"/>
      <c r="CM468" s="115"/>
      <c r="CN468" s="72"/>
      <c r="CO468" s="115"/>
      <c r="CP468" s="72"/>
      <c r="CQ468" s="115"/>
      <c r="CR468" s="72"/>
      <c r="CS468" s="115"/>
      <c r="CT468" s="72"/>
      <c r="CU468" s="115"/>
      <c r="CV468" s="72"/>
      <c r="CW468" s="115"/>
      <c r="CX468" s="72"/>
      <c r="CY468" s="115"/>
      <c r="CZ468" s="72"/>
      <c r="DA468" s="115"/>
      <c r="DB468" s="72"/>
      <c r="DC468" s="115"/>
      <c r="DD468" s="72"/>
      <c r="DE468" s="115"/>
      <c r="DF468" s="72"/>
      <c r="DG468" s="115"/>
      <c r="DH468" s="72"/>
      <c r="DI468" s="115"/>
      <c r="DJ468" s="72"/>
      <c r="DK468" s="115"/>
      <c r="DL468" s="72"/>
      <c r="DM468" s="115"/>
      <c r="DN468" s="72"/>
      <c r="DO468" s="115"/>
      <c r="DP468" s="72"/>
      <c r="DQ468" s="115"/>
      <c r="DR468" s="72"/>
      <c r="DS468" s="115"/>
      <c r="DT468" s="72"/>
      <c r="DU468" s="115"/>
      <c r="DV468" s="72"/>
      <c r="DW468" s="75"/>
      <c r="DX468" s="72"/>
      <c r="DY468" s="75"/>
      <c r="DZ468" s="72"/>
      <c r="EA468" s="75"/>
      <c r="EB468" s="72"/>
      <c r="EC468" s="75"/>
      <c r="ED468" s="72"/>
      <c r="EE468" s="75"/>
      <c r="EF468" s="72"/>
      <c r="EG468" s="75"/>
      <c r="EH468" s="72"/>
      <c r="EI468" s="75"/>
      <c r="EJ468" s="72"/>
      <c r="EK468" s="75"/>
      <c r="EL468" s="72"/>
      <c r="EM468" s="75"/>
      <c r="EN468" s="72"/>
      <c r="EO468" s="75"/>
      <c r="EP468" s="72"/>
      <c r="EQ468" s="75"/>
      <c r="ER468" s="72"/>
      <c r="ES468" s="75"/>
      <c r="ET468" s="72"/>
      <c r="EU468" s="75"/>
      <c r="EV468" s="72"/>
      <c r="EW468" s="75"/>
      <c r="EX468" s="72"/>
      <c r="EY468" s="72"/>
      <c r="EZ468" s="307"/>
      <c r="FA468" s="72"/>
      <c r="FB468" s="158">
        <f>FB470-FB469</f>
        <v>1008</v>
      </c>
      <c r="FC468" s="72"/>
      <c r="FD468" s="158">
        <f>FD470-FD469</f>
        <v>1049</v>
      </c>
      <c r="FE468" s="72"/>
      <c r="FF468" s="158">
        <f>FF470-FF469</f>
        <v>1000</v>
      </c>
      <c r="FG468" s="72"/>
      <c r="FH468" s="158">
        <f>FH470-FH469</f>
        <v>1095.9000000000001</v>
      </c>
      <c r="FI468" s="72"/>
      <c r="FJ468" s="115"/>
      <c r="FK468" s="72"/>
      <c r="FL468" s="115"/>
      <c r="FM468" s="72"/>
      <c r="FN468" s="115"/>
      <c r="FO468" s="72"/>
      <c r="FP468" s="115"/>
      <c r="FQ468" s="72"/>
      <c r="FR468" s="75"/>
      <c r="FS468" s="72"/>
      <c r="FT468" s="75"/>
      <c r="FU468" s="72"/>
      <c r="FV468" s="75"/>
      <c r="FW468" s="72"/>
      <c r="FX468" s="75"/>
      <c r="FY468" s="72"/>
      <c r="FZ468" s="75"/>
      <c r="GA468" s="72"/>
      <c r="GB468" s="75"/>
      <c r="GC468" s="72"/>
      <c r="GD468" s="75"/>
      <c r="GE468" s="72"/>
      <c r="GF468" s="75"/>
      <c r="GG468" s="72"/>
      <c r="GH468" s="75"/>
      <c r="GI468" s="72"/>
      <c r="GJ468" s="75"/>
      <c r="GK468" s="72"/>
      <c r="GL468" s="75"/>
      <c r="GM468" s="72"/>
      <c r="GN468" s="75"/>
      <c r="GO468" s="72"/>
      <c r="GP468" s="75"/>
      <c r="GQ468" s="72"/>
      <c r="GR468" s="75"/>
      <c r="GS468" s="72"/>
      <c r="GT468" s="75"/>
      <c r="GU468" s="72"/>
      <c r="GV468" s="75"/>
      <c r="GW468" s="72"/>
      <c r="GX468" s="75"/>
      <c r="GY468" s="72"/>
      <c r="GZ468" s="72"/>
      <c r="HA468" s="72"/>
      <c r="HB468" s="72"/>
      <c r="HC468"/>
      <c r="HD468"/>
      <c r="HE468"/>
      <c r="HF468"/>
      <c r="HG468"/>
      <c r="HH468"/>
      <c r="HI468" s="2"/>
    </row>
    <row r="469" spans="1:217" s="3" customFormat="1" ht="12.75" hidden="1" customHeight="1" outlineLevel="1" x14ac:dyDescent="0.2">
      <c r="B469" s="77" t="s">
        <v>178</v>
      </c>
      <c r="C469" s="74">
        <f>FF469-I469-G469-E469</f>
        <v>7.3000000000000007</v>
      </c>
      <c r="D469" s="72"/>
      <c r="E469" s="74">
        <v>20.3</v>
      </c>
      <c r="F469" s="72"/>
      <c r="G469" s="74">
        <v>7.4</v>
      </c>
      <c r="H469" s="72"/>
      <c r="I469" s="74">
        <v>10</v>
      </c>
      <c r="J469" s="72"/>
      <c r="K469" s="74">
        <v>3.3</v>
      </c>
      <c r="L469" s="72" t="str">
        <f t="shared" si="2328"/>
        <v>NM</v>
      </c>
      <c r="M469" s="74">
        <v>26.6</v>
      </c>
      <c r="N469" s="72">
        <f t="shared" si="2328"/>
        <v>31.034482758620697</v>
      </c>
      <c r="O469" s="74">
        <v>14.2</v>
      </c>
      <c r="P469" s="72">
        <f t="shared" si="2328"/>
        <v>91.891891891891873</v>
      </c>
      <c r="Q469" s="74">
        <v>-2</v>
      </c>
      <c r="R469" s="72" t="str">
        <f t="shared" si="2328"/>
        <v>NM</v>
      </c>
      <c r="S469" s="74"/>
      <c r="T469" s="72"/>
      <c r="U469" s="74"/>
      <c r="V469" s="72"/>
      <c r="W469" s="74"/>
      <c r="X469" s="72"/>
      <c r="Y469" s="74"/>
      <c r="Z469" s="72"/>
      <c r="AA469" s="74"/>
      <c r="AB469" s="72"/>
      <c r="AC469" s="74"/>
      <c r="AD469" s="72"/>
      <c r="AE469" s="74"/>
      <c r="AF469" s="72"/>
      <c r="AG469" s="74"/>
      <c r="AH469" s="72"/>
      <c r="AI469" s="74"/>
      <c r="AJ469" s="72"/>
      <c r="AK469" s="74"/>
      <c r="AL469" s="72"/>
      <c r="AM469" s="74"/>
      <c r="AN469" s="72"/>
      <c r="AO469" s="74"/>
      <c r="AP469" s="72"/>
      <c r="AQ469" s="74"/>
      <c r="AR469" s="72"/>
      <c r="AS469" s="74"/>
      <c r="AT469" s="72"/>
      <c r="AU469" s="74"/>
      <c r="AV469" s="72"/>
      <c r="AW469" s="74"/>
      <c r="AX469" s="72"/>
      <c r="AY469" s="74"/>
      <c r="AZ469" s="72"/>
      <c r="BA469" s="74"/>
      <c r="BB469" s="72"/>
      <c r="BC469" s="74"/>
      <c r="BD469" s="72"/>
      <c r="BE469" s="74"/>
      <c r="BF469" s="72"/>
      <c r="BG469" s="74"/>
      <c r="BH469" s="72"/>
      <c r="BI469" s="74"/>
      <c r="BJ469" s="72"/>
      <c r="BK469" s="74"/>
      <c r="BL469" s="72"/>
      <c r="BM469" s="74"/>
      <c r="BN469" s="72"/>
      <c r="BO469" s="74"/>
      <c r="BP469" s="72"/>
      <c r="BQ469" s="74"/>
      <c r="BR469" s="72"/>
      <c r="BS469" s="74"/>
      <c r="BT469" s="72"/>
      <c r="BU469" s="74"/>
      <c r="BV469" s="72"/>
      <c r="BW469" s="74"/>
      <c r="BX469" s="72"/>
      <c r="BY469" s="74"/>
      <c r="BZ469" s="72"/>
      <c r="CA469" s="74"/>
      <c r="CB469" s="72"/>
      <c r="CC469" s="74"/>
      <c r="CD469" s="72"/>
      <c r="CE469" s="74"/>
      <c r="CF469" s="72"/>
      <c r="CG469" s="74"/>
      <c r="CH469" s="72"/>
      <c r="CI469" s="74"/>
      <c r="CJ469" s="72"/>
      <c r="CK469" s="74"/>
      <c r="CL469" s="72"/>
      <c r="CM469" s="74"/>
      <c r="CN469" s="72"/>
      <c r="CO469" s="74"/>
      <c r="CP469" s="72"/>
      <c r="CQ469" s="74"/>
      <c r="CR469" s="72"/>
      <c r="CS469" s="74"/>
      <c r="CT469" s="72"/>
      <c r="CU469" s="74"/>
      <c r="CV469" s="72"/>
      <c r="CW469" s="74"/>
      <c r="CX469" s="72"/>
      <c r="CY469" s="74"/>
      <c r="CZ469" s="72"/>
      <c r="DA469" s="74"/>
      <c r="DB469" s="72"/>
      <c r="DC469" s="74"/>
      <c r="DD469" s="72"/>
      <c r="DE469" s="74"/>
      <c r="DF469" s="72"/>
      <c r="DG469" s="74"/>
      <c r="DH469" s="72"/>
      <c r="DI469" s="74"/>
      <c r="DJ469" s="72"/>
      <c r="DK469" s="74"/>
      <c r="DL469" s="72"/>
      <c r="DM469" s="74"/>
      <c r="DN469" s="72"/>
      <c r="DO469" s="74"/>
      <c r="DP469" s="72"/>
      <c r="DQ469" s="74"/>
      <c r="DR469" s="72"/>
      <c r="DS469" s="74"/>
      <c r="DT469" s="72"/>
      <c r="DU469" s="74"/>
      <c r="DV469" s="72"/>
      <c r="DW469" s="75"/>
      <c r="DX469" s="72"/>
      <c r="DY469" s="75"/>
      <c r="DZ469" s="72"/>
      <c r="EA469" s="75"/>
      <c r="EB469" s="72"/>
      <c r="EC469" s="75"/>
      <c r="ED469" s="72"/>
      <c r="EE469" s="75"/>
      <c r="EF469" s="72"/>
      <c r="EG469" s="75"/>
      <c r="EH469" s="72"/>
      <c r="EI469" s="75"/>
      <c r="EJ469" s="72"/>
      <c r="EK469" s="75"/>
      <c r="EL469" s="72"/>
      <c r="EM469" s="75"/>
      <c r="EN469" s="72"/>
      <c r="EO469" s="75"/>
      <c r="EP469" s="72"/>
      <c r="EQ469" s="75"/>
      <c r="ER469" s="72"/>
      <c r="ES469" s="75"/>
      <c r="ET469" s="72"/>
      <c r="EU469" s="75"/>
      <c r="EV469" s="72"/>
      <c r="EW469" s="75"/>
      <c r="EX469" s="72"/>
      <c r="EY469" s="72"/>
      <c r="EZ469" s="307"/>
      <c r="FA469" s="72"/>
      <c r="FB469" s="74">
        <v>62</v>
      </c>
      <c r="FC469" s="72"/>
      <c r="FD469" s="74">
        <v>51</v>
      </c>
      <c r="FE469" s="72"/>
      <c r="FF469" s="74">
        <v>45</v>
      </c>
      <c r="FG469" s="72"/>
      <c r="FH469" s="154">
        <f>K469+M469+O469+Q469</f>
        <v>42.1</v>
      </c>
      <c r="FI469" s="72"/>
      <c r="FJ469" s="75"/>
      <c r="FK469" s="72"/>
      <c r="FL469" s="75"/>
      <c r="FM469" s="72"/>
      <c r="FN469" s="75"/>
      <c r="FO469" s="72"/>
      <c r="FP469" s="75"/>
      <c r="FQ469" s="72"/>
      <c r="FR469" s="75"/>
      <c r="FS469" s="72"/>
      <c r="FT469" s="75"/>
      <c r="FU469" s="72"/>
      <c r="FV469" s="75"/>
      <c r="FW469" s="72"/>
      <c r="FX469" s="75"/>
      <c r="FY469" s="72"/>
      <c r="FZ469" s="75"/>
      <c r="GA469" s="72"/>
      <c r="GB469" s="75"/>
      <c r="GC469" s="72"/>
      <c r="GD469" s="75"/>
      <c r="GE469" s="72"/>
      <c r="GF469" s="75"/>
      <c r="GG469" s="72"/>
      <c r="GH469" s="75"/>
      <c r="GI469" s="72"/>
      <c r="GJ469" s="75"/>
      <c r="GK469" s="72"/>
      <c r="GL469" s="75"/>
      <c r="GM469" s="72"/>
      <c r="GN469" s="75"/>
      <c r="GO469" s="72"/>
      <c r="GP469" s="75"/>
      <c r="GQ469" s="72"/>
      <c r="GR469" s="75"/>
      <c r="GS469" s="72"/>
      <c r="GT469" s="75"/>
      <c r="GU469" s="72"/>
      <c r="GV469" s="75"/>
      <c r="GW469" s="72"/>
      <c r="GX469" s="75"/>
      <c r="GY469" s="72"/>
      <c r="GZ469" s="72"/>
      <c r="HA469" s="72"/>
      <c r="HB469" s="72"/>
      <c r="HC469"/>
      <c r="HD469"/>
      <c r="HE469"/>
      <c r="HF469"/>
      <c r="HG469"/>
      <c r="HH469"/>
      <c r="HI469" s="2"/>
    </row>
    <row r="470" spans="1:217" s="3" customFormat="1" ht="12.75" hidden="1" customHeight="1" outlineLevel="1" x14ac:dyDescent="0.2">
      <c r="B470" s="77" t="s">
        <v>179</v>
      </c>
      <c r="C470" s="74">
        <f>FF470-I470-G470-E470</f>
        <v>242</v>
      </c>
      <c r="D470" s="72"/>
      <c r="E470" s="74">
        <v>260</v>
      </c>
      <c r="F470" s="72"/>
      <c r="G470" s="74">
        <v>261</v>
      </c>
      <c r="H470" s="72"/>
      <c r="I470" s="74">
        <v>282</v>
      </c>
      <c r="J470" s="72"/>
      <c r="K470" s="74">
        <v>227</v>
      </c>
      <c r="L470" s="72">
        <f t="shared" si="2328"/>
        <v>-6.1983471074380248</v>
      </c>
      <c r="M470" s="74">
        <v>281</v>
      </c>
      <c r="N470" s="72">
        <f t="shared" si="2328"/>
        <v>8.076923076923066</v>
      </c>
      <c r="O470" s="74">
        <v>311</v>
      </c>
      <c r="P470" s="72">
        <f t="shared" si="2328"/>
        <v>19.157088122605373</v>
      </c>
      <c r="Q470" s="74">
        <v>319</v>
      </c>
      <c r="R470" s="72">
        <f t="shared" si="2328"/>
        <v>13.120567375886509</v>
      </c>
      <c r="S470" s="74"/>
      <c r="T470" s="72"/>
      <c r="U470" s="74"/>
      <c r="V470" s="72"/>
      <c r="W470" s="74"/>
      <c r="X470" s="72"/>
      <c r="Y470" s="74"/>
      <c r="Z470" s="72"/>
      <c r="AA470" s="74"/>
      <c r="AB470" s="72"/>
      <c r="AC470" s="74"/>
      <c r="AD470" s="72"/>
      <c r="AE470" s="74"/>
      <c r="AF470" s="72"/>
      <c r="AG470" s="74"/>
      <c r="AH470" s="72"/>
      <c r="AI470" s="74"/>
      <c r="AJ470" s="72"/>
      <c r="AK470" s="74"/>
      <c r="AL470" s="72"/>
      <c r="AM470" s="74"/>
      <c r="AN470" s="72"/>
      <c r="AO470" s="74"/>
      <c r="AP470" s="72"/>
      <c r="AQ470" s="74"/>
      <c r="AR470" s="72"/>
      <c r="AS470" s="74"/>
      <c r="AT470" s="72"/>
      <c r="AU470" s="74"/>
      <c r="AV470" s="72"/>
      <c r="AW470" s="74"/>
      <c r="AX470" s="72"/>
      <c r="AY470" s="74"/>
      <c r="AZ470" s="72"/>
      <c r="BA470" s="74"/>
      <c r="BB470" s="72"/>
      <c r="BC470" s="74"/>
      <c r="BD470" s="72"/>
      <c r="BE470" s="74"/>
      <c r="BF470" s="72"/>
      <c r="BG470" s="74"/>
      <c r="BH470" s="72"/>
      <c r="BI470" s="74"/>
      <c r="BJ470" s="72"/>
      <c r="BK470" s="74"/>
      <c r="BL470" s="72"/>
      <c r="BM470" s="74"/>
      <c r="BN470" s="72"/>
      <c r="BO470" s="74"/>
      <c r="BP470" s="72"/>
      <c r="BQ470" s="74"/>
      <c r="BR470" s="72"/>
      <c r="BS470" s="74"/>
      <c r="BT470" s="72"/>
      <c r="BU470" s="74"/>
      <c r="BV470" s="72"/>
      <c r="BW470" s="74"/>
      <c r="BX470" s="72"/>
      <c r="BY470" s="74"/>
      <c r="BZ470" s="72"/>
      <c r="CA470" s="74"/>
      <c r="CB470" s="72"/>
      <c r="CC470" s="74"/>
      <c r="CD470" s="72"/>
      <c r="CE470" s="74"/>
      <c r="CF470" s="72"/>
      <c r="CG470" s="74"/>
      <c r="CH470" s="72"/>
      <c r="CI470" s="74"/>
      <c r="CJ470" s="72"/>
      <c r="CK470" s="74"/>
      <c r="CL470" s="72"/>
      <c r="CM470" s="74"/>
      <c r="CN470" s="72"/>
      <c r="CO470" s="74"/>
      <c r="CP470" s="72"/>
      <c r="CQ470" s="74"/>
      <c r="CR470" s="72"/>
      <c r="CS470" s="74"/>
      <c r="CT470" s="72"/>
      <c r="CU470" s="74"/>
      <c r="CV470" s="72"/>
      <c r="CW470" s="74"/>
      <c r="CX470" s="72"/>
      <c r="CY470" s="74"/>
      <c r="CZ470" s="72"/>
      <c r="DA470" s="74"/>
      <c r="DB470" s="72"/>
      <c r="DC470" s="74"/>
      <c r="DD470" s="72"/>
      <c r="DE470" s="74"/>
      <c r="DF470" s="72"/>
      <c r="DG470" s="74"/>
      <c r="DH470" s="72"/>
      <c r="DI470" s="74"/>
      <c r="DJ470" s="72"/>
      <c r="DK470" s="74"/>
      <c r="DL470" s="72"/>
      <c r="DM470" s="74"/>
      <c r="DN470" s="72"/>
      <c r="DO470" s="74"/>
      <c r="DP470" s="72"/>
      <c r="DQ470" s="74"/>
      <c r="DR470" s="72"/>
      <c r="DS470" s="74"/>
      <c r="DT470" s="72"/>
      <c r="DU470" s="74"/>
      <c r="DV470" s="72"/>
      <c r="DW470" s="75"/>
      <c r="DX470" s="72"/>
      <c r="DY470" s="75"/>
      <c r="DZ470" s="72"/>
      <c r="EA470" s="75"/>
      <c r="EB470" s="72"/>
      <c r="EC470" s="75"/>
      <c r="ED470" s="72"/>
      <c r="EE470" s="75"/>
      <c r="EF470" s="72"/>
      <c r="EG470" s="75"/>
      <c r="EH470" s="72"/>
      <c r="EI470" s="75"/>
      <c r="EJ470" s="72"/>
      <c r="EK470" s="75"/>
      <c r="EL470" s="72"/>
      <c r="EM470" s="75"/>
      <c r="EN470" s="72"/>
      <c r="EO470" s="75"/>
      <c r="EP470" s="72"/>
      <c r="EQ470" s="75"/>
      <c r="ER470" s="72"/>
      <c r="ES470" s="75"/>
      <c r="ET470" s="72"/>
      <c r="EU470" s="75"/>
      <c r="EV470" s="72"/>
      <c r="EW470" s="75"/>
      <c r="EX470" s="72"/>
      <c r="EY470" s="72"/>
      <c r="EZ470" s="307"/>
      <c r="FA470" s="72"/>
      <c r="FB470" s="74">
        <v>1070</v>
      </c>
      <c r="FC470" s="72"/>
      <c r="FD470" s="74">
        <v>1100</v>
      </c>
      <c r="FE470" s="72"/>
      <c r="FF470" s="74">
        <v>1045</v>
      </c>
      <c r="FG470" s="72"/>
      <c r="FH470" s="154">
        <f>K470+M470+O470+Q470</f>
        <v>1138</v>
      </c>
      <c r="FI470" s="72"/>
      <c r="FJ470" s="75"/>
      <c r="FK470" s="72"/>
      <c r="FL470" s="75"/>
      <c r="FM470" s="72"/>
      <c r="FN470" s="75"/>
      <c r="FO470" s="72"/>
      <c r="FP470" s="75"/>
      <c r="FQ470" s="72"/>
      <c r="FR470" s="75"/>
      <c r="FS470" s="72"/>
      <c r="FT470" s="75"/>
      <c r="FU470" s="72"/>
      <c r="FV470" s="75"/>
      <c r="FW470" s="72"/>
      <c r="FX470" s="75"/>
      <c r="FY470" s="72"/>
      <c r="FZ470" s="75"/>
      <c r="GA470" s="72"/>
      <c r="GB470" s="75"/>
      <c r="GC470" s="72"/>
      <c r="GD470" s="75"/>
      <c r="GE470" s="72"/>
      <c r="GF470" s="75"/>
      <c r="GG470" s="72"/>
      <c r="GH470" s="75"/>
      <c r="GI470" s="72"/>
      <c r="GJ470" s="75"/>
      <c r="GK470" s="72"/>
      <c r="GL470" s="75"/>
      <c r="GM470" s="72"/>
      <c r="GN470" s="75"/>
      <c r="GO470" s="72"/>
      <c r="GP470" s="75"/>
      <c r="GQ470" s="72"/>
      <c r="GR470" s="75"/>
      <c r="GS470" s="72"/>
      <c r="GT470" s="75"/>
      <c r="GU470" s="72"/>
      <c r="GV470" s="75"/>
      <c r="GW470" s="72"/>
      <c r="GX470" s="75"/>
      <c r="GY470" s="72"/>
      <c r="GZ470" s="72"/>
      <c r="HA470" s="72"/>
      <c r="HB470" s="72"/>
      <c r="HC470"/>
      <c r="HD470"/>
      <c r="HE470"/>
      <c r="HF470"/>
      <c r="HG470"/>
      <c r="HH470"/>
      <c r="HI470" s="2"/>
    </row>
    <row r="471" spans="1:217" s="3" customFormat="1" ht="12.75" hidden="1" customHeight="1" outlineLevel="1" x14ac:dyDescent="0.2">
      <c r="B471" s="77" t="s">
        <v>306</v>
      </c>
      <c r="C471" s="74">
        <f>FF471-I471-G471-E471</f>
        <v>166</v>
      </c>
      <c r="D471" s="72"/>
      <c r="E471" s="74">
        <v>158</v>
      </c>
      <c r="F471" s="72"/>
      <c r="G471" s="74">
        <v>153</v>
      </c>
      <c r="H471" s="72"/>
      <c r="I471" s="74">
        <v>174</v>
      </c>
      <c r="J471" s="72"/>
      <c r="K471" s="74">
        <v>134</v>
      </c>
      <c r="L471" s="72">
        <f t="shared" si="2328"/>
        <v>-19.277108433734938</v>
      </c>
      <c r="M471" s="74">
        <v>133</v>
      </c>
      <c r="N471" s="72">
        <f t="shared" si="2328"/>
        <v>-15.822784810126578</v>
      </c>
      <c r="O471" s="74">
        <v>134</v>
      </c>
      <c r="P471" s="72">
        <f t="shared" si="2328"/>
        <v>-12.41830065359477</v>
      </c>
      <c r="Q471" s="74">
        <v>144</v>
      </c>
      <c r="R471" s="72">
        <f t="shared" si="2328"/>
        <v>-17.241379310344826</v>
      </c>
      <c r="S471" s="74"/>
      <c r="T471" s="72"/>
      <c r="U471" s="74"/>
      <c r="V471" s="72"/>
      <c r="W471" s="74"/>
      <c r="X471" s="72"/>
      <c r="Y471" s="74"/>
      <c r="Z471" s="72"/>
      <c r="AA471" s="74"/>
      <c r="AB471" s="72"/>
      <c r="AC471" s="74"/>
      <c r="AD471" s="72"/>
      <c r="AE471" s="74"/>
      <c r="AF471" s="72"/>
      <c r="AG471" s="74"/>
      <c r="AH471" s="72"/>
      <c r="AI471" s="74"/>
      <c r="AJ471" s="72"/>
      <c r="AK471" s="74"/>
      <c r="AL471" s="72"/>
      <c r="AM471" s="74"/>
      <c r="AN471" s="72"/>
      <c r="AO471" s="74"/>
      <c r="AP471" s="72"/>
      <c r="AQ471" s="74"/>
      <c r="AR471" s="72"/>
      <c r="AS471" s="74"/>
      <c r="AT471" s="72"/>
      <c r="AU471" s="74"/>
      <c r="AV471" s="72"/>
      <c r="AW471" s="74"/>
      <c r="AX471" s="72"/>
      <c r="AY471" s="74"/>
      <c r="AZ471" s="72"/>
      <c r="BA471" s="74"/>
      <c r="BB471" s="72"/>
      <c r="BC471" s="74"/>
      <c r="BD471" s="72"/>
      <c r="BE471" s="74"/>
      <c r="BF471" s="72"/>
      <c r="BG471" s="74"/>
      <c r="BH471" s="72"/>
      <c r="BI471" s="74"/>
      <c r="BJ471" s="72"/>
      <c r="BK471" s="74"/>
      <c r="BL471" s="72"/>
      <c r="BM471" s="74"/>
      <c r="BN471" s="72"/>
      <c r="BO471" s="74"/>
      <c r="BP471" s="72"/>
      <c r="BQ471" s="74"/>
      <c r="BR471" s="72"/>
      <c r="BS471" s="74"/>
      <c r="BT471" s="72"/>
      <c r="BU471" s="74"/>
      <c r="BV471" s="72"/>
      <c r="BW471" s="74"/>
      <c r="BX471" s="72"/>
      <c r="BY471" s="74"/>
      <c r="BZ471" s="72"/>
      <c r="CA471" s="74"/>
      <c r="CB471" s="72"/>
      <c r="CC471" s="74"/>
      <c r="CD471" s="72"/>
      <c r="CE471" s="74"/>
      <c r="CF471" s="72"/>
      <c r="CG471" s="74"/>
      <c r="CH471" s="72"/>
      <c r="CI471" s="74"/>
      <c r="CJ471" s="72"/>
      <c r="CK471" s="74"/>
      <c r="CL471" s="72"/>
      <c r="CM471" s="74"/>
      <c r="CN471" s="72"/>
      <c r="CO471" s="74"/>
      <c r="CP471" s="72"/>
      <c r="CQ471" s="74"/>
      <c r="CR471" s="72"/>
      <c r="CS471" s="74"/>
      <c r="CT471" s="72"/>
      <c r="CU471" s="74"/>
      <c r="CV471" s="72"/>
      <c r="CW471" s="74"/>
      <c r="CX471" s="72"/>
      <c r="CY471" s="74"/>
      <c r="CZ471" s="72"/>
      <c r="DA471" s="74"/>
      <c r="DB471" s="72"/>
      <c r="DC471" s="74"/>
      <c r="DD471" s="72"/>
      <c r="DE471" s="74"/>
      <c r="DF471" s="72"/>
      <c r="DG471" s="74"/>
      <c r="DH471" s="72"/>
      <c r="DI471" s="74"/>
      <c r="DJ471" s="72"/>
      <c r="DK471" s="74"/>
      <c r="DL471" s="72"/>
      <c r="DM471" s="74"/>
      <c r="DN471" s="72"/>
      <c r="DO471" s="74"/>
      <c r="DP471" s="72"/>
      <c r="DQ471" s="74"/>
      <c r="DR471" s="72"/>
      <c r="DS471" s="74"/>
      <c r="DT471" s="72"/>
      <c r="DU471" s="74"/>
      <c r="DV471" s="72"/>
      <c r="DW471" s="75"/>
      <c r="DX471" s="72"/>
      <c r="DY471" s="75"/>
      <c r="DZ471" s="72"/>
      <c r="EA471" s="75"/>
      <c r="EB471" s="72"/>
      <c r="EC471" s="75"/>
      <c r="ED471" s="72"/>
      <c r="EE471" s="75"/>
      <c r="EF471" s="72"/>
      <c r="EG471" s="75"/>
      <c r="EH471" s="72"/>
      <c r="EI471" s="75"/>
      <c r="EJ471" s="72"/>
      <c r="EK471" s="75"/>
      <c r="EL471" s="72"/>
      <c r="EM471" s="75"/>
      <c r="EN471" s="72"/>
      <c r="EO471" s="75"/>
      <c r="EP471" s="72"/>
      <c r="EQ471" s="75"/>
      <c r="ER471" s="72"/>
      <c r="ES471" s="75"/>
      <c r="ET471" s="72"/>
      <c r="EU471" s="75"/>
      <c r="EV471" s="72"/>
      <c r="EW471" s="75"/>
      <c r="EX471" s="72"/>
      <c r="EY471" s="72"/>
      <c r="EZ471" s="306"/>
      <c r="FA471" s="72"/>
      <c r="FB471" s="74">
        <v>436</v>
      </c>
      <c r="FC471" s="72"/>
      <c r="FD471" s="74">
        <v>498</v>
      </c>
      <c r="FE471" s="72"/>
      <c r="FF471" s="74">
        <v>651</v>
      </c>
      <c r="FG471" s="72"/>
      <c r="FH471" s="154">
        <f>K471+M471+O471+Q471</f>
        <v>545</v>
      </c>
      <c r="FI471" s="72"/>
      <c r="FJ471" s="75"/>
      <c r="FK471" s="72"/>
      <c r="FL471" s="75"/>
      <c r="FM471" s="72"/>
      <c r="FN471" s="75"/>
      <c r="FO471" s="72"/>
      <c r="FP471" s="75"/>
      <c r="FQ471" s="72"/>
      <c r="FR471" s="75"/>
      <c r="FS471" s="72"/>
      <c r="FT471" s="75"/>
      <c r="FU471" s="72"/>
      <c r="FV471" s="75"/>
      <c r="FW471" s="72"/>
      <c r="FX471" s="75"/>
      <c r="FY471" s="72"/>
      <c r="FZ471" s="75"/>
      <c r="GA471" s="72"/>
      <c r="GB471" s="75"/>
      <c r="GC471" s="72"/>
      <c r="GD471" s="75"/>
      <c r="GE471" s="72"/>
      <c r="GF471" s="75"/>
      <c r="GG471" s="72"/>
      <c r="GH471" s="75"/>
      <c r="GI471" s="72"/>
      <c r="GJ471" s="75"/>
      <c r="GK471" s="72"/>
      <c r="GL471" s="75"/>
      <c r="GM471" s="72"/>
      <c r="GN471" s="75"/>
      <c r="GO471" s="72"/>
      <c r="GP471" s="75"/>
      <c r="GQ471" s="72"/>
      <c r="GR471" s="75"/>
      <c r="GS471" s="72"/>
      <c r="GT471" s="75"/>
      <c r="GU471" s="72"/>
      <c r="GV471" s="75"/>
      <c r="GW471" s="72"/>
      <c r="GX471" s="75"/>
      <c r="GY471" s="72"/>
      <c r="GZ471" s="72"/>
      <c r="HA471" s="72"/>
      <c r="HB471" s="72"/>
      <c r="HC471"/>
      <c r="HD471"/>
      <c r="HE471"/>
      <c r="HF471"/>
      <c r="HG471"/>
      <c r="HH471"/>
      <c r="HI471" s="2"/>
    </row>
    <row r="472" spans="1:217" s="69" customFormat="1" ht="12.75" hidden="1" customHeight="1" outlineLevel="1" x14ac:dyDescent="0.2">
      <c r="B472" s="69" t="s">
        <v>708</v>
      </c>
      <c r="C472" s="74">
        <v>0</v>
      </c>
      <c r="D472" s="92"/>
      <c r="E472" s="74">
        <v>-3</v>
      </c>
      <c r="F472" s="92"/>
      <c r="G472" s="74">
        <v>-9</v>
      </c>
      <c r="H472" s="92"/>
      <c r="I472" s="74">
        <v>6</v>
      </c>
      <c r="J472" s="92"/>
      <c r="K472" s="74">
        <v>4</v>
      </c>
      <c r="L472" s="72" t="str">
        <f t="shared" si="2328"/>
        <v>NA</v>
      </c>
      <c r="M472" s="74">
        <v>-5</v>
      </c>
      <c r="N472" s="72">
        <f t="shared" si="2328"/>
        <v>66.666666666666686</v>
      </c>
      <c r="O472" s="74">
        <v>5</v>
      </c>
      <c r="P472" s="72" t="str">
        <f t="shared" si="2328"/>
        <v>NM</v>
      </c>
      <c r="Q472" s="74">
        <v>3</v>
      </c>
      <c r="R472" s="72">
        <f t="shared" si="2328"/>
        <v>-50</v>
      </c>
      <c r="S472" s="74"/>
      <c r="T472" s="92"/>
      <c r="U472" s="74"/>
      <c r="V472" s="92"/>
      <c r="W472" s="74"/>
      <c r="X472" s="92"/>
      <c r="Y472" s="74"/>
      <c r="Z472" s="92"/>
      <c r="AA472" s="74"/>
      <c r="AB472" s="92"/>
      <c r="AC472" s="74"/>
      <c r="AD472" s="92"/>
      <c r="AE472" s="74"/>
      <c r="AF472" s="92"/>
      <c r="AG472" s="74"/>
      <c r="AH472" s="92"/>
      <c r="AI472" s="74"/>
      <c r="AJ472" s="92"/>
      <c r="AK472" s="74"/>
      <c r="AL472" s="92"/>
      <c r="AM472" s="74"/>
      <c r="AN472" s="92"/>
      <c r="AO472" s="74"/>
      <c r="AP472" s="92"/>
      <c r="AQ472" s="74"/>
      <c r="AR472" s="92"/>
      <c r="AS472" s="74"/>
      <c r="AT472" s="92"/>
      <c r="AU472" s="74"/>
      <c r="AV472" s="92"/>
      <c r="AW472" s="74"/>
      <c r="AX472" s="92"/>
      <c r="AY472" s="74"/>
      <c r="AZ472" s="92"/>
      <c r="BA472" s="74"/>
      <c r="BB472" s="92"/>
      <c r="BC472" s="74"/>
      <c r="BD472" s="92"/>
      <c r="BE472" s="74"/>
      <c r="BF472" s="92"/>
      <c r="BG472" s="74"/>
      <c r="BH472" s="92"/>
      <c r="BI472" s="74"/>
      <c r="BJ472" s="92"/>
      <c r="BK472" s="74"/>
      <c r="BL472" s="92"/>
      <c r="BM472" s="74"/>
      <c r="BN472" s="92"/>
      <c r="BO472" s="74"/>
      <c r="BP472" s="92"/>
      <c r="BQ472" s="74"/>
      <c r="BR472" s="92"/>
      <c r="BS472" s="74"/>
      <c r="BT472" s="92"/>
      <c r="BU472" s="74"/>
      <c r="BV472" s="92"/>
      <c r="BW472" s="74"/>
      <c r="BX472" s="92"/>
      <c r="BY472" s="74"/>
      <c r="BZ472" s="92"/>
      <c r="CA472" s="74"/>
      <c r="CB472" s="92"/>
      <c r="CC472" s="74"/>
      <c r="CD472" s="92"/>
      <c r="CE472" s="74"/>
      <c r="CF472" s="92"/>
      <c r="CG472" s="74"/>
      <c r="CH472" s="92"/>
      <c r="CI472" s="74"/>
      <c r="CJ472" s="92"/>
      <c r="CK472" s="74"/>
      <c r="CL472" s="92"/>
      <c r="CM472" s="74"/>
      <c r="CN472" s="92"/>
      <c r="CO472" s="74"/>
      <c r="CP472" s="92"/>
      <c r="CQ472" s="74"/>
      <c r="CR472" s="92"/>
      <c r="CS472" s="74"/>
      <c r="CT472" s="92"/>
      <c r="CU472" s="74"/>
      <c r="CV472" s="92"/>
      <c r="CW472" s="74"/>
      <c r="CX472" s="92"/>
      <c r="CY472" s="74"/>
      <c r="CZ472" s="92"/>
      <c r="DA472" s="74"/>
      <c r="DB472" s="92"/>
      <c r="DC472" s="74"/>
      <c r="DD472" s="92"/>
      <c r="DE472" s="74"/>
      <c r="DF472" s="92"/>
      <c r="DG472" s="74"/>
      <c r="DH472" s="92"/>
      <c r="DI472" s="74"/>
      <c r="DJ472" s="92"/>
      <c r="DK472" s="74"/>
      <c r="DL472" s="92"/>
      <c r="DM472" s="74"/>
      <c r="DN472" s="92"/>
      <c r="DO472" s="74"/>
      <c r="DP472" s="92"/>
      <c r="DQ472" s="74"/>
      <c r="DR472" s="92"/>
      <c r="DS472" s="74"/>
      <c r="DT472" s="92"/>
      <c r="DU472" s="74"/>
      <c r="DV472" s="92"/>
      <c r="DW472" s="75"/>
      <c r="DX472" s="92"/>
      <c r="DY472" s="75"/>
      <c r="DZ472" s="92"/>
      <c r="EA472" s="75"/>
      <c r="EB472" s="92"/>
      <c r="EC472" s="75"/>
      <c r="ED472" s="92"/>
      <c r="EE472" s="75"/>
      <c r="EF472" s="92"/>
      <c r="EG472" s="75"/>
      <c r="EH472" s="92"/>
      <c r="EI472" s="75"/>
      <c r="EJ472" s="92"/>
      <c r="EK472" s="75"/>
      <c r="EL472" s="92"/>
      <c r="EM472" s="75"/>
      <c r="EN472" s="92"/>
      <c r="EO472" s="75"/>
      <c r="EP472" s="92"/>
      <c r="EQ472" s="75"/>
      <c r="ER472" s="92"/>
      <c r="ES472" s="75"/>
      <c r="ET472" s="92"/>
      <c r="EU472" s="75"/>
      <c r="EV472" s="92"/>
      <c r="EW472" s="75"/>
      <c r="EX472" s="92"/>
      <c r="EY472" s="92"/>
      <c r="EZ472" s="306"/>
      <c r="FA472" s="92"/>
      <c r="FB472" s="74">
        <v>-5</v>
      </c>
      <c r="FC472" s="92"/>
      <c r="FD472" s="74">
        <v>-3</v>
      </c>
      <c r="FE472" s="92"/>
      <c r="FF472" s="74">
        <v>-6</v>
      </c>
      <c r="FG472" s="92"/>
      <c r="FH472" s="74">
        <v>7</v>
      </c>
      <c r="FI472" s="92"/>
      <c r="FJ472" s="74"/>
      <c r="FK472" s="92"/>
      <c r="FL472" s="74"/>
      <c r="FM472" s="92"/>
      <c r="FN472" s="74"/>
      <c r="FO472" s="92"/>
      <c r="FP472" s="74"/>
      <c r="FQ472" s="92"/>
      <c r="FR472" s="75"/>
      <c r="FS472" s="92"/>
      <c r="FT472" s="75"/>
      <c r="FU472" s="92"/>
      <c r="FV472" s="75"/>
      <c r="FW472" s="92"/>
      <c r="FX472" s="75"/>
      <c r="FY472" s="92"/>
      <c r="FZ472" s="75"/>
      <c r="GA472" s="92"/>
      <c r="GB472" s="75"/>
      <c r="GC472" s="92"/>
      <c r="GD472" s="75"/>
      <c r="GE472" s="92"/>
      <c r="GF472" s="75"/>
      <c r="GG472" s="92"/>
      <c r="GH472" s="75"/>
      <c r="GI472" s="92"/>
      <c r="GJ472" s="75"/>
      <c r="GK472" s="92"/>
      <c r="GL472" s="75"/>
      <c r="GM472" s="92"/>
      <c r="GN472" s="75"/>
      <c r="GO472" s="92"/>
      <c r="GP472" s="75"/>
      <c r="GQ472" s="92"/>
      <c r="GR472" s="75"/>
      <c r="GS472" s="92"/>
      <c r="GT472" s="75"/>
      <c r="GU472" s="92"/>
      <c r="GV472" s="75"/>
      <c r="GW472" s="92"/>
      <c r="GX472" s="75"/>
      <c r="GY472" s="92"/>
      <c r="GZ472" s="92"/>
      <c r="HA472" s="92"/>
      <c r="HB472" s="92"/>
      <c r="HC472"/>
      <c r="HD472"/>
      <c r="HE472"/>
      <c r="HF472"/>
      <c r="HG472"/>
      <c r="HH472"/>
      <c r="HI472" s="2"/>
    </row>
    <row r="473" spans="1:217" s="78" customFormat="1" ht="12.75" hidden="1" customHeight="1" outlineLevel="1" x14ac:dyDescent="0.2">
      <c r="B473" s="70" t="s">
        <v>156</v>
      </c>
      <c r="C473" s="156">
        <f>SUM(C470:C472)</f>
        <v>408</v>
      </c>
      <c r="D473" s="80"/>
      <c r="E473" s="156">
        <f>SUM(E470:E472)</f>
        <v>415</v>
      </c>
      <c r="F473" s="80"/>
      <c r="G473" s="156">
        <f>SUM(G470:G472)</f>
        <v>405</v>
      </c>
      <c r="H473" s="80"/>
      <c r="I473" s="156">
        <f>SUM(I470:I472)</f>
        <v>462</v>
      </c>
      <c r="J473" s="80"/>
      <c r="K473" s="156">
        <f>SUM(K470:K472)</f>
        <v>365</v>
      </c>
      <c r="L473" s="72">
        <f t="shared" si="2328"/>
        <v>-10.539215686274503</v>
      </c>
      <c r="M473" s="156">
        <f>SUM(M470:M472)</f>
        <v>409</v>
      </c>
      <c r="N473" s="72">
        <f t="shared" si="2328"/>
        <v>-1.4457831325301242</v>
      </c>
      <c r="O473" s="156">
        <f>SUM(O470:O472)</f>
        <v>450</v>
      </c>
      <c r="P473" s="72">
        <f t="shared" si="2328"/>
        <v>11.111111111111114</v>
      </c>
      <c r="Q473" s="156">
        <f>SUM(Q470:Q472)</f>
        <v>466</v>
      </c>
      <c r="R473" s="72">
        <f t="shared" si="2328"/>
        <v>0.86580086580086402</v>
      </c>
      <c r="S473" s="156"/>
      <c r="T473" s="72"/>
      <c r="U473" s="156"/>
      <c r="V473" s="72"/>
      <c r="W473" s="156"/>
      <c r="X473" s="72"/>
      <c r="Y473" s="156"/>
      <c r="Z473" s="72"/>
      <c r="AA473" s="156"/>
      <c r="AB473" s="72"/>
      <c r="AC473" s="156"/>
      <c r="AD473" s="72"/>
      <c r="AE473" s="156"/>
      <c r="AF473" s="72"/>
      <c r="AG473" s="156"/>
      <c r="AH473" s="72"/>
      <c r="AI473" s="156"/>
      <c r="AJ473" s="72"/>
      <c r="AK473" s="156"/>
      <c r="AL473" s="72"/>
      <c r="AM473" s="156"/>
      <c r="AN473" s="72"/>
      <c r="AO473" s="156"/>
      <c r="AP473" s="72"/>
      <c r="AQ473" s="156"/>
      <c r="AR473" s="72"/>
      <c r="AS473" s="156"/>
      <c r="AT473" s="72"/>
      <c r="AU473" s="156"/>
      <c r="AV473" s="72"/>
      <c r="AW473" s="156"/>
      <c r="AX473" s="72"/>
      <c r="AY473" s="156"/>
      <c r="AZ473" s="72"/>
      <c r="BA473" s="156"/>
      <c r="BB473" s="72"/>
      <c r="BC473" s="156"/>
      <c r="BD473" s="72"/>
      <c r="BE473" s="156"/>
      <c r="BF473" s="72"/>
      <c r="BG473" s="156"/>
      <c r="BH473" s="72"/>
      <c r="BI473" s="156"/>
      <c r="BJ473" s="72"/>
      <c r="BK473" s="156"/>
      <c r="BL473" s="72"/>
      <c r="BM473" s="156"/>
      <c r="BN473" s="72"/>
      <c r="BO473" s="156"/>
      <c r="BP473" s="72"/>
      <c r="BQ473" s="156"/>
      <c r="BR473" s="72"/>
      <c r="BS473" s="156"/>
      <c r="BT473" s="72"/>
      <c r="BU473" s="156"/>
      <c r="BV473" s="72"/>
      <c r="BW473" s="156"/>
      <c r="BX473" s="72"/>
      <c r="BY473" s="156"/>
      <c r="BZ473" s="72"/>
      <c r="CA473" s="156"/>
      <c r="CB473" s="72"/>
      <c r="CC473" s="156"/>
      <c r="CD473" s="72"/>
      <c r="CE473" s="156"/>
      <c r="CF473" s="72"/>
      <c r="CG473" s="156"/>
      <c r="CH473" s="72"/>
      <c r="CI473" s="156"/>
      <c r="CJ473" s="72"/>
      <c r="CK473" s="156"/>
      <c r="CL473" s="72"/>
      <c r="CM473" s="156"/>
      <c r="CN473" s="72"/>
      <c r="CO473" s="156"/>
      <c r="CP473" s="72"/>
      <c r="CQ473" s="156"/>
      <c r="CR473" s="72"/>
      <c r="CS473" s="156"/>
      <c r="CT473" s="72"/>
      <c r="CU473" s="156"/>
      <c r="CV473" s="72"/>
      <c r="CW473" s="156"/>
      <c r="CX473" s="72"/>
      <c r="CY473" s="156"/>
      <c r="CZ473" s="72"/>
      <c r="DA473" s="156"/>
      <c r="DB473" s="72"/>
      <c r="DC473" s="156"/>
      <c r="DD473" s="72"/>
      <c r="DE473" s="156"/>
      <c r="DF473" s="72"/>
      <c r="DG473" s="156"/>
      <c r="DH473" s="72"/>
      <c r="DI473" s="156"/>
      <c r="DJ473" s="72"/>
      <c r="DK473" s="156"/>
      <c r="DL473" s="72"/>
      <c r="DM473" s="156"/>
      <c r="DN473" s="72"/>
      <c r="DO473" s="156"/>
      <c r="DP473" s="72"/>
      <c r="DQ473" s="156"/>
      <c r="DR473" s="72"/>
      <c r="DS473" s="156"/>
      <c r="DT473" s="72"/>
      <c r="DU473" s="156"/>
      <c r="DV473" s="72"/>
      <c r="DW473" s="91"/>
      <c r="DX473" s="72"/>
      <c r="DY473" s="91"/>
      <c r="DZ473" s="72"/>
      <c r="EA473" s="91"/>
      <c r="EB473" s="72"/>
      <c r="EC473" s="91"/>
      <c r="ED473" s="72"/>
      <c r="EE473" s="91"/>
      <c r="EF473" s="72"/>
      <c r="EG473" s="91"/>
      <c r="EH473" s="72"/>
      <c r="EI473" s="91"/>
      <c r="EJ473" s="72"/>
      <c r="EK473" s="91"/>
      <c r="EL473" s="72"/>
      <c r="EM473" s="91"/>
      <c r="EN473" s="72"/>
      <c r="EO473" s="91"/>
      <c r="EP473" s="72"/>
      <c r="EQ473" s="91"/>
      <c r="ER473" s="72"/>
      <c r="ES473" s="91"/>
      <c r="ET473" s="72"/>
      <c r="EU473" s="91"/>
      <c r="EV473" s="72"/>
      <c r="EW473" s="91"/>
      <c r="EX473" s="72"/>
      <c r="EY473" s="72"/>
      <c r="EZ473" s="314"/>
      <c r="FA473" s="72"/>
      <c r="FB473" s="157">
        <f>SUM(FB470:FB472)</f>
        <v>1501</v>
      </c>
      <c r="FC473" s="80"/>
      <c r="FD473" s="157">
        <f>SUM(FD470:FD472)</f>
        <v>1595</v>
      </c>
      <c r="FE473" s="72"/>
      <c r="FF473" s="157">
        <f>SUM(FF470:FF472)</f>
        <v>1690</v>
      </c>
      <c r="FG473" s="72"/>
      <c r="FH473" s="157">
        <f>SUM(FH470:FH472)</f>
        <v>1690</v>
      </c>
      <c r="FI473" s="72"/>
      <c r="FJ473" s="156"/>
      <c r="FK473" s="72"/>
      <c r="FL473" s="156"/>
      <c r="FM473" s="72"/>
      <c r="FN473" s="156"/>
      <c r="FO473" s="72"/>
      <c r="FP473" s="156"/>
      <c r="FQ473" s="72"/>
      <c r="FR473" s="91"/>
      <c r="FS473" s="72"/>
      <c r="FT473" s="91"/>
      <c r="FU473" s="72"/>
      <c r="FV473" s="91"/>
      <c r="FW473" s="72"/>
      <c r="FX473" s="91"/>
      <c r="FY473" s="72"/>
      <c r="FZ473" s="91"/>
      <c r="GA473" s="72"/>
      <c r="GB473" s="91"/>
      <c r="GC473" s="72"/>
      <c r="GD473" s="91"/>
      <c r="GE473" s="72"/>
      <c r="GF473" s="91"/>
      <c r="GG473" s="72"/>
      <c r="GH473" s="91"/>
      <c r="GI473" s="72"/>
      <c r="GJ473" s="91"/>
      <c r="GK473" s="72"/>
      <c r="GL473" s="91"/>
      <c r="GM473" s="72"/>
      <c r="GN473" s="91"/>
      <c r="GO473" s="72"/>
      <c r="GP473" s="91"/>
      <c r="GQ473" s="72"/>
      <c r="GR473" s="91"/>
      <c r="GS473" s="72"/>
      <c r="GT473" s="91"/>
      <c r="GU473" s="72"/>
      <c r="GV473" s="91"/>
      <c r="GW473" s="72"/>
      <c r="GX473" s="91"/>
      <c r="GY473" s="72"/>
      <c r="GZ473" s="72"/>
      <c r="HA473" s="72"/>
      <c r="HB473" s="72"/>
      <c r="HC473"/>
      <c r="HD473"/>
      <c r="HE473"/>
      <c r="HF473"/>
      <c r="HG473"/>
      <c r="HH473"/>
      <c r="HI473" s="2"/>
    </row>
    <row r="474" spans="1:217" s="3" customFormat="1" ht="12.75" hidden="1" customHeight="1" outlineLevel="1" x14ac:dyDescent="0.2">
      <c r="B474" s="77"/>
      <c r="C474" s="75"/>
      <c r="D474" s="72"/>
      <c r="E474" s="75"/>
      <c r="F474" s="72"/>
      <c r="G474" s="75"/>
      <c r="H474" s="72"/>
      <c r="I474" s="75"/>
      <c r="J474" s="72"/>
      <c r="K474" s="75"/>
      <c r="L474" s="72"/>
      <c r="M474" s="75"/>
      <c r="N474" s="72"/>
      <c r="O474" s="75"/>
      <c r="P474" s="72"/>
      <c r="Q474" s="75"/>
      <c r="R474" s="72"/>
      <c r="S474" s="75"/>
      <c r="T474" s="72"/>
      <c r="U474" s="75"/>
      <c r="V474" s="72"/>
      <c r="W474" s="75"/>
      <c r="X474" s="72"/>
      <c r="Y474" s="75"/>
      <c r="Z474" s="72"/>
      <c r="AA474" s="75"/>
      <c r="AB474" s="72"/>
      <c r="AC474" s="75"/>
      <c r="AD474" s="72"/>
      <c r="AE474" s="75"/>
      <c r="AF474" s="72"/>
      <c r="AG474" s="75"/>
      <c r="AH474" s="72"/>
      <c r="AI474" s="75"/>
      <c r="AJ474" s="72"/>
      <c r="AK474" s="75"/>
      <c r="AL474" s="72"/>
      <c r="AM474" s="75"/>
      <c r="AN474" s="72"/>
      <c r="AO474" s="75"/>
      <c r="AP474" s="72"/>
      <c r="AQ474" s="75"/>
      <c r="AR474" s="72"/>
      <c r="AS474" s="75"/>
      <c r="AT474" s="72"/>
      <c r="AU474" s="75"/>
      <c r="AV474" s="72"/>
      <c r="AW474" s="75"/>
      <c r="AX474" s="72"/>
      <c r="AY474" s="75"/>
      <c r="AZ474" s="72"/>
      <c r="BA474" s="75"/>
      <c r="BB474" s="72"/>
      <c r="BC474" s="75"/>
      <c r="BD474" s="72"/>
      <c r="BE474" s="75"/>
      <c r="BF474" s="72"/>
      <c r="BG474" s="75"/>
      <c r="BH474" s="72"/>
      <c r="BI474" s="75"/>
      <c r="BJ474" s="72"/>
      <c r="BK474" s="75"/>
      <c r="BL474" s="72"/>
      <c r="BM474" s="75"/>
      <c r="BN474" s="72"/>
      <c r="BO474" s="75"/>
      <c r="BP474" s="72"/>
      <c r="BQ474" s="75"/>
      <c r="BR474" s="72"/>
      <c r="BS474" s="75"/>
      <c r="BT474" s="72"/>
      <c r="BU474" s="75"/>
      <c r="BV474" s="72"/>
      <c r="BW474" s="75"/>
      <c r="BX474" s="72"/>
      <c r="BY474" s="75"/>
      <c r="BZ474" s="72"/>
      <c r="CA474" s="75"/>
      <c r="CB474" s="72"/>
      <c r="CC474" s="75"/>
      <c r="CD474" s="72"/>
      <c r="CE474" s="75"/>
      <c r="CF474" s="72"/>
      <c r="CG474" s="75"/>
      <c r="CH474" s="72"/>
      <c r="CI474" s="75"/>
      <c r="CJ474" s="72"/>
      <c r="CK474" s="75"/>
      <c r="CL474" s="72"/>
      <c r="CM474" s="75"/>
      <c r="CN474" s="72"/>
      <c r="CO474" s="75"/>
      <c r="CP474" s="72"/>
      <c r="CQ474" s="75"/>
      <c r="CR474" s="72"/>
      <c r="CS474" s="75"/>
      <c r="CT474" s="72"/>
      <c r="CU474" s="75"/>
      <c r="CV474" s="72"/>
      <c r="CW474" s="75"/>
      <c r="CX474" s="72"/>
      <c r="CY474" s="75"/>
      <c r="CZ474" s="72"/>
      <c r="DA474" s="75"/>
      <c r="DB474" s="72"/>
      <c r="DC474" s="75"/>
      <c r="DD474" s="72"/>
      <c r="DE474" s="75"/>
      <c r="DF474" s="72"/>
      <c r="DG474" s="75"/>
      <c r="DH474" s="72"/>
      <c r="DI474" s="75"/>
      <c r="DJ474" s="72"/>
      <c r="DK474" s="75"/>
      <c r="DL474" s="72"/>
      <c r="DM474" s="75"/>
      <c r="DN474" s="72"/>
      <c r="DO474" s="75"/>
      <c r="DP474" s="72"/>
      <c r="DQ474" s="75"/>
      <c r="DR474" s="72"/>
      <c r="DS474" s="75"/>
      <c r="DT474" s="72"/>
      <c r="DU474" s="75"/>
      <c r="DV474" s="72"/>
      <c r="DW474" s="75"/>
      <c r="DX474" s="72"/>
      <c r="DY474" s="75"/>
      <c r="DZ474" s="72"/>
      <c r="EA474" s="75"/>
      <c r="EB474" s="72"/>
      <c r="EC474" s="75"/>
      <c r="ED474" s="72"/>
      <c r="EE474" s="75"/>
      <c r="EF474" s="72"/>
      <c r="EG474" s="75"/>
      <c r="EH474" s="72"/>
      <c r="EI474" s="75"/>
      <c r="EJ474" s="72"/>
      <c r="EK474" s="75"/>
      <c r="EL474" s="72"/>
      <c r="EM474" s="75"/>
      <c r="EN474" s="72"/>
      <c r="EO474" s="75"/>
      <c r="EP474" s="72"/>
      <c r="EQ474" s="75"/>
      <c r="ER474" s="72"/>
      <c r="ES474" s="75"/>
      <c r="ET474" s="72"/>
      <c r="EU474" s="75"/>
      <c r="EV474" s="72"/>
      <c r="EW474" s="75"/>
      <c r="EX474" s="72"/>
      <c r="EY474" s="72"/>
      <c r="EZ474" s="307"/>
      <c r="FA474" s="72"/>
      <c r="FB474" s="75"/>
      <c r="FC474" s="72"/>
      <c r="FD474" s="75"/>
      <c r="FE474" s="72"/>
      <c r="FF474" s="75"/>
      <c r="FG474" s="72"/>
      <c r="FH474" s="75"/>
      <c r="FI474" s="72"/>
      <c r="FJ474" s="75"/>
      <c r="FK474" s="72"/>
      <c r="FL474" s="75"/>
      <c r="FM474" s="72"/>
      <c r="FN474" s="75"/>
      <c r="FO474" s="72"/>
      <c r="FP474" s="75"/>
      <c r="FQ474" s="72"/>
      <c r="FR474" s="75"/>
      <c r="FS474" s="72"/>
      <c r="FT474" s="75"/>
      <c r="FU474" s="72"/>
      <c r="FV474" s="75"/>
      <c r="FW474" s="72"/>
      <c r="FX474" s="75"/>
      <c r="FY474" s="72"/>
      <c r="FZ474" s="75"/>
      <c r="GA474" s="72"/>
      <c r="GB474" s="75"/>
      <c r="GC474" s="72"/>
      <c r="GD474" s="75"/>
      <c r="GE474" s="72"/>
      <c r="GF474" s="75"/>
      <c r="GG474" s="72"/>
      <c r="GH474" s="75"/>
      <c r="GI474" s="72"/>
      <c r="GJ474" s="75"/>
      <c r="GK474" s="72"/>
      <c r="GL474" s="75"/>
      <c r="GM474" s="72"/>
      <c r="GN474" s="75"/>
      <c r="GO474" s="72"/>
      <c r="GP474" s="75"/>
      <c r="GQ474" s="72"/>
      <c r="GR474" s="75"/>
      <c r="GS474" s="72"/>
      <c r="GT474" s="75"/>
      <c r="GU474" s="72"/>
      <c r="GV474" s="75"/>
      <c r="GW474" s="72"/>
      <c r="GX474" s="75"/>
      <c r="GY474" s="72"/>
      <c r="GZ474" s="72"/>
      <c r="HA474" s="72"/>
      <c r="HB474" s="72"/>
      <c r="HC474"/>
      <c r="HD474"/>
      <c r="HE474"/>
      <c r="HF474"/>
      <c r="HG474"/>
      <c r="HH474"/>
      <c r="HI474" s="2"/>
    </row>
    <row r="475" spans="1:217" s="78" customFormat="1" ht="12.75" hidden="1" customHeight="1" outlineLevel="1" x14ac:dyDescent="0.2">
      <c r="B475" s="70" t="s">
        <v>27</v>
      </c>
      <c r="C475" s="156">
        <f>C465-C473</f>
        <v>51</v>
      </c>
      <c r="D475" s="80"/>
      <c r="E475" s="156">
        <f>E465-E473</f>
        <v>49</v>
      </c>
      <c r="F475" s="80"/>
      <c r="G475" s="156">
        <f>G465-G473</f>
        <v>65</v>
      </c>
      <c r="H475" s="80"/>
      <c r="I475" s="156">
        <f>I465-I473</f>
        <v>-15</v>
      </c>
      <c r="J475" s="80"/>
      <c r="K475" s="156">
        <f>K465-K473</f>
        <v>59</v>
      </c>
      <c r="L475" s="72">
        <f t="shared" ref="L475:R476" si="2329">IF(ISERROR(K475/C475),"NA",IF(OR(K475/C475&gt;2,K475/C475&lt;0.5),"NM",K475/C475*100-100))</f>
        <v>15.686274509803937</v>
      </c>
      <c r="M475" s="156">
        <f>M465-M473</f>
        <v>28</v>
      </c>
      <c r="N475" s="72">
        <f t="shared" si="2329"/>
        <v>-42.857142857142861</v>
      </c>
      <c r="O475" s="156">
        <f>O465-O473</f>
        <v>4</v>
      </c>
      <c r="P475" s="72" t="str">
        <f t="shared" si="2329"/>
        <v>NM</v>
      </c>
      <c r="Q475" s="156">
        <f>Q465-Q473</f>
        <v>-4</v>
      </c>
      <c r="R475" s="72" t="str">
        <f t="shared" si="2329"/>
        <v>NM</v>
      </c>
      <c r="S475" s="156"/>
      <c r="T475" s="72"/>
      <c r="U475" s="156"/>
      <c r="V475" s="72"/>
      <c r="W475" s="156"/>
      <c r="X475" s="72"/>
      <c r="Y475" s="156"/>
      <c r="Z475" s="72"/>
      <c r="AA475" s="156"/>
      <c r="AB475" s="72"/>
      <c r="AC475" s="156"/>
      <c r="AD475" s="72"/>
      <c r="AE475" s="156"/>
      <c r="AF475" s="72"/>
      <c r="AG475" s="156"/>
      <c r="AH475" s="72"/>
      <c r="AI475" s="156"/>
      <c r="AJ475" s="72"/>
      <c r="AK475" s="156"/>
      <c r="AL475" s="72"/>
      <c r="AM475" s="156"/>
      <c r="AN475" s="72"/>
      <c r="AO475" s="156"/>
      <c r="AP475" s="72"/>
      <c r="AQ475" s="156"/>
      <c r="AR475" s="72"/>
      <c r="AS475" s="156"/>
      <c r="AT475" s="72"/>
      <c r="AU475" s="156"/>
      <c r="AV475" s="72"/>
      <c r="AW475" s="156"/>
      <c r="AX475" s="72"/>
      <c r="AY475" s="156"/>
      <c r="AZ475" s="72"/>
      <c r="BA475" s="156"/>
      <c r="BB475" s="72"/>
      <c r="BC475" s="156"/>
      <c r="BD475" s="72"/>
      <c r="BE475" s="156"/>
      <c r="BF475" s="72"/>
      <c r="BG475" s="156"/>
      <c r="BH475" s="72"/>
      <c r="BI475" s="156"/>
      <c r="BJ475" s="72"/>
      <c r="BK475" s="156"/>
      <c r="BL475" s="72"/>
      <c r="BM475" s="156"/>
      <c r="BN475" s="72"/>
      <c r="BO475" s="156"/>
      <c r="BP475" s="72"/>
      <c r="BQ475" s="156"/>
      <c r="BR475" s="72"/>
      <c r="BS475" s="156"/>
      <c r="BT475" s="72"/>
      <c r="BU475" s="156"/>
      <c r="BV475" s="72"/>
      <c r="BW475" s="156"/>
      <c r="BX475" s="72"/>
      <c r="BY475" s="156"/>
      <c r="BZ475" s="72"/>
      <c r="CA475" s="156"/>
      <c r="CB475" s="72"/>
      <c r="CC475" s="156"/>
      <c r="CD475" s="72"/>
      <c r="CE475" s="156"/>
      <c r="CF475" s="72"/>
      <c r="CG475" s="156"/>
      <c r="CH475" s="72"/>
      <c r="CI475" s="156"/>
      <c r="CJ475" s="72"/>
      <c r="CK475" s="156"/>
      <c r="CL475" s="72"/>
      <c r="CM475" s="156"/>
      <c r="CN475" s="72"/>
      <c r="CO475" s="156"/>
      <c r="CP475" s="72"/>
      <c r="CQ475" s="156"/>
      <c r="CR475" s="72"/>
      <c r="CS475" s="156"/>
      <c r="CT475" s="72"/>
      <c r="CU475" s="156"/>
      <c r="CV475" s="72"/>
      <c r="CW475" s="156"/>
      <c r="CX475" s="72"/>
      <c r="CY475" s="156"/>
      <c r="CZ475" s="72"/>
      <c r="DA475" s="156"/>
      <c r="DB475" s="72"/>
      <c r="DC475" s="156"/>
      <c r="DD475" s="72"/>
      <c r="DE475" s="156"/>
      <c r="DF475" s="72"/>
      <c r="DG475" s="156"/>
      <c r="DH475" s="72"/>
      <c r="DI475" s="156"/>
      <c r="DJ475" s="72"/>
      <c r="DK475" s="156"/>
      <c r="DL475" s="72"/>
      <c r="DM475" s="156"/>
      <c r="DN475" s="72"/>
      <c r="DO475" s="156"/>
      <c r="DP475" s="72"/>
      <c r="DQ475" s="156"/>
      <c r="DR475" s="72"/>
      <c r="DS475" s="156"/>
      <c r="DT475" s="72"/>
      <c r="DU475" s="156"/>
      <c r="DV475" s="72"/>
      <c r="DW475" s="91"/>
      <c r="DX475" s="72"/>
      <c r="DY475" s="91"/>
      <c r="DZ475" s="72"/>
      <c r="EA475" s="91"/>
      <c r="EB475" s="72"/>
      <c r="EC475" s="91"/>
      <c r="ED475" s="72"/>
      <c r="EE475" s="91"/>
      <c r="EF475" s="72"/>
      <c r="EG475" s="91"/>
      <c r="EH475" s="72"/>
      <c r="EI475" s="91"/>
      <c r="EJ475" s="72"/>
      <c r="EK475" s="91"/>
      <c r="EL475" s="72"/>
      <c r="EM475" s="91"/>
      <c r="EN475" s="72"/>
      <c r="EO475" s="91"/>
      <c r="EP475" s="72"/>
      <c r="EQ475" s="91"/>
      <c r="ER475" s="72"/>
      <c r="ES475" s="91"/>
      <c r="ET475" s="72"/>
      <c r="EU475" s="91"/>
      <c r="EV475" s="72"/>
      <c r="EW475" s="91"/>
      <c r="EX475" s="72"/>
      <c r="EY475" s="72"/>
      <c r="EZ475" s="314"/>
      <c r="FA475" s="72"/>
      <c r="FB475" s="157">
        <f>FB465-FB473</f>
        <v>311</v>
      </c>
      <c r="FC475" s="80"/>
      <c r="FD475" s="157">
        <f>FD465-FD473</f>
        <v>152</v>
      </c>
      <c r="FE475" s="72"/>
      <c r="FF475" s="157">
        <f>FF465-FF473</f>
        <v>150</v>
      </c>
      <c r="FG475" s="72"/>
      <c r="FH475" s="157">
        <f>FH465-FH473</f>
        <v>87</v>
      </c>
      <c r="FI475" s="72"/>
      <c r="FJ475" s="156"/>
      <c r="FK475" s="72"/>
      <c r="FL475" s="156"/>
      <c r="FM475" s="72"/>
      <c r="FN475" s="156"/>
      <c r="FO475" s="72"/>
      <c r="FP475" s="156"/>
      <c r="FQ475" s="72"/>
      <c r="FR475" s="91"/>
      <c r="FS475" s="72"/>
      <c r="FT475" s="91"/>
      <c r="FU475" s="72"/>
      <c r="FV475" s="91"/>
      <c r="FW475" s="72"/>
      <c r="FX475" s="91"/>
      <c r="FY475" s="72"/>
      <c r="FZ475" s="91"/>
      <c r="GA475" s="72"/>
      <c r="GB475" s="91"/>
      <c r="GC475" s="72"/>
      <c r="GD475" s="91"/>
      <c r="GE475" s="72"/>
      <c r="GF475" s="91"/>
      <c r="GG475" s="72"/>
      <c r="GH475" s="91"/>
      <c r="GI475" s="72"/>
      <c r="GJ475" s="91"/>
      <c r="GK475" s="72"/>
      <c r="GL475" s="91"/>
      <c r="GM475" s="72"/>
      <c r="GN475" s="91"/>
      <c r="GO475" s="72"/>
      <c r="GP475" s="91"/>
      <c r="GQ475" s="72"/>
      <c r="GR475" s="91"/>
      <c r="GS475" s="72"/>
      <c r="GT475" s="91"/>
      <c r="GU475" s="72"/>
      <c r="GV475" s="91"/>
      <c r="GW475" s="72"/>
      <c r="GX475" s="91"/>
      <c r="GY475" s="72"/>
      <c r="GZ475" s="72"/>
      <c r="HA475" s="72"/>
      <c r="HB475" s="72"/>
      <c r="HC475"/>
      <c r="HD475"/>
      <c r="HE475"/>
      <c r="HF475"/>
      <c r="HG475"/>
      <c r="HH475"/>
      <c r="HI475" s="2"/>
    </row>
    <row r="476" spans="1:217" s="3" customFormat="1" ht="12.75" hidden="1" customHeight="1" outlineLevel="1" x14ac:dyDescent="0.2">
      <c r="B476" s="77" t="s">
        <v>436</v>
      </c>
      <c r="C476" s="73">
        <f>C475/C465*100</f>
        <v>11.111111111111111</v>
      </c>
      <c r="D476" s="72"/>
      <c r="E476" s="73">
        <f>E475/E465*100</f>
        <v>10.560344827586206</v>
      </c>
      <c r="F476" s="72"/>
      <c r="G476" s="73">
        <f>G475/G465*100</f>
        <v>13.829787234042554</v>
      </c>
      <c r="H476" s="72"/>
      <c r="I476" s="73">
        <f>I475/I465*100</f>
        <v>-3.3557046979865772</v>
      </c>
      <c r="J476" s="72"/>
      <c r="K476" s="73">
        <f>K475/K465*100</f>
        <v>13.915094339622641</v>
      </c>
      <c r="L476" s="72">
        <f t="shared" si="2329"/>
        <v>25.235849056603769</v>
      </c>
      <c r="M476" s="73">
        <f>M475/M465*100</f>
        <v>6.4073226544622424</v>
      </c>
      <c r="N476" s="72">
        <f t="shared" si="2329"/>
        <v>-39.326577312847334</v>
      </c>
      <c r="O476" s="73">
        <f>O475/O465*100</f>
        <v>0.88105726872246704</v>
      </c>
      <c r="P476" s="72" t="str">
        <f t="shared" si="2329"/>
        <v>NM</v>
      </c>
      <c r="Q476" s="73">
        <f>Q475/Q465*100</f>
        <v>-0.86580086580086579</v>
      </c>
      <c r="R476" s="72" t="str">
        <f t="shared" si="2329"/>
        <v>NM</v>
      </c>
      <c r="S476" s="73"/>
      <c r="T476" s="72"/>
      <c r="U476" s="73"/>
      <c r="V476" s="72"/>
      <c r="W476" s="73"/>
      <c r="X476" s="72"/>
      <c r="Y476" s="73"/>
      <c r="Z476" s="72"/>
      <c r="AA476" s="73"/>
      <c r="AB476" s="72"/>
      <c r="AC476" s="73"/>
      <c r="AD476" s="72"/>
      <c r="AE476" s="73"/>
      <c r="AF476" s="72"/>
      <c r="AG476" s="73"/>
      <c r="AH476" s="72"/>
      <c r="AI476" s="73"/>
      <c r="AJ476" s="72"/>
      <c r="AK476" s="73"/>
      <c r="AL476" s="72"/>
      <c r="AM476" s="73"/>
      <c r="AN476" s="72"/>
      <c r="AO476" s="73"/>
      <c r="AP476" s="72"/>
      <c r="AQ476" s="73"/>
      <c r="AR476" s="72"/>
      <c r="AS476" s="73"/>
      <c r="AT476" s="72"/>
      <c r="AU476" s="73"/>
      <c r="AV476" s="72"/>
      <c r="AW476" s="73"/>
      <c r="AX476" s="72"/>
      <c r="AY476" s="73"/>
      <c r="AZ476" s="72"/>
      <c r="BA476" s="73"/>
      <c r="BB476" s="72"/>
      <c r="BC476" s="73"/>
      <c r="BD476" s="72"/>
      <c r="BE476" s="73"/>
      <c r="BF476" s="72"/>
      <c r="BG476" s="73"/>
      <c r="BH476" s="72"/>
      <c r="BI476" s="73"/>
      <c r="BJ476" s="72"/>
      <c r="BK476" s="73"/>
      <c r="BL476" s="72"/>
      <c r="BM476" s="73"/>
      <c r="BN476" s="72"/>
      <c r="BO476" s="73"/>
      <c r="BP476" s="72"/>
      <c r="BQ476" s="73"/>
      <c r="BR476" s="72"/>
      <c r="BS476" s="73"/>
      <c r="BT476" s="72"/>
      <c r="BU476" s="73"/>
      <c r="BV476" s="72"/>
      <c r="BW476" s="73"/>
      <c r="BX476" s="72"/>
      <c r="BY476" s="73"/>
      <c r="BZ476" s="72"/>
      <c r="CA476" s="73"/>
      <c r="CB476" s="72"/>
      <c r="CC476" s="73"/>
      <c r="CD476" s="72"/>
      <c r="CE476" s="73"/>
      <c r="CF476" s="72"/>
      <c r="CG476" s="73"/>
      <c r="CH476" s="72"/>
      <c r="CI476" s="73"/>
      <c r="CJ476" s="72"/>
      <c r="CK476" s="73"/>
      <c r="CL476" s="72"/>
      <c r="CM476" s="73"/>
      <c r="CN476" s="72"/>
      <c r="CO476" s="73"/>
      <c r="CP476" s="72"/>
      <c r="CQ476" s="73"/>
      <c r="CR476" s="72"/>
      <c r="CS476" s="73"/>
      <c r="CT476" s="72"/>
      <c r="CU476" s="73"/>
      <c r="CV476" s="72"/>
      <c r="CW476" s="73"/>
      <c r="CX476" s="72"/>
      <c r="CY476" s="73"/>
      <c r="CZ476" s="72"/>
      <c r="DA476" s="73"/>
      <c r="DB476" s="72"/>
      <c r="DC476" s="73"/>
      <c r="DD476" s="72"/>
      <c r="DE476" s="73"/>
      <c r="DF476" s="72"/>
      <c r="DG476" s="73"/>
      <c r="DH476" s="72"/>
      <c r="DI476" s="73"/>
      <c r="DJ476" s="72"/>
      <c r="DK476" s="73"/>
      <c r="DL476" s="72"/>
      <c r="DM476" s="73"/>
      <c r="DN476" s="72"/>
      <c r="DO476" s="73"/>
      <c r="DP476" s="72"/>
      <c r="DQ476" s="73"/>
      <c r="DR476" s="72"/>
      <c r="DS476" s="73"/>
      <c r="DT476" s="72"/>
      <c r="DU476" s="73"/>
      <c r="DV476" s="72"/>
      <c r="DW476" s="73"/>
      <c r="DX476" s="72"/>
      <c r="DY476" s="73"/>
      <c r="DZ476" s="72"/>
      <c r="EA476" s="73"/>
      <c r="EB476" s="72"/>
      <c r="EC476" s="73"/>
      <c r="ED476" s="72"/>
      <c r="EE476" s="73"/>
      <c r="EF476" s="72"/>
      <c r="EG476" s="73"/>
      <c r="EH476" s="72"/>
      <c r="EI476" s="73"/>
      <c r="EJ476" s="72"/>
      <c r="EK476" s="73"/>
      <c r="EL476" s="72"/>
      <c r="EM476" s="73"/>
      <c r="EN476" s="72"/>
      <c r="EO476" s="73"/>
      <c r="EP476" s="72"/>
      <c r="EQ476" s="73"/>
      <c r="ER476" s="72"/>
      <c r="ES476" s="73"/>
      <c r="ET476" s="72"/>
      <c r="EU476" s="73"/>
      <c r="EV476" s="72"/>
      <c r="EW476" s="73"/>
      <c r="EX476" s="72"/>
      <c r="EY476" s="72"/>
      <c r="EZ476" s="306"/>
      <c r="FA476" s="72"/>
      <c r="FB476" s="159">
        <f>FB475/FB465*100</f>
        <v>17.163355408388519</v>
      </c>
      <c r="FC476" s="72"/>
      <c r="FD476" s="159">
        <f>FD475/FD465*100</f>
        <v>8.7006296508299936</v>
      </c>
      <c r="FE476" s="72"/>
      <c r="FF476" s="159">
        <f>FF475/FF465*100</f>
        <v>8.1521739130434785</v>
      </c>
      <c r="FG476" s="72"/>
      <c r="FH476" s="159">
        <f>FH475/FH465*100</f>
        <v>4.8958919527293192</v>
      </c>
      <c r="FI476" s="72"/>
      <c r="FJ476" s="73"/>
      <c r="FK476" s="72"/>
      <c r="FL476" s="73"/>
      <c r="FM476" s="72"/>
      <c r="FN476" s="73"/>
      <c r="FO476" s="72"/>
      <c r="FP476" s="73"/>
      <c r="FQ476" s="72"/>
      <c r="FR476" s="73"/>
      <c r="FS476" s="72"/>
      <c r="FT476" s="73"/>
      <c r="FU476" s="72"/>
      <c r="FV476" s="73"/>
      <c r="FW476" s="72"/>
      <c r="FX476" s="73"/>
      <c r="FY476" s="72"/>
      <c r="FZ476" s="73"/>
      <c r="GA476" s="72"/>
      <c r="GB476" s="73"/>
      <c r="GC476" s="72"/>
      <c r="GD476" s="73"/>
      <c r="GE476" s="72"/>
      <c r="GF476" s="73"/>
      <c r="GG476" s="72"/>
      <c r="GH476" s="73"/>
      <c r="GI476" s="72"/>
      <c r="GJ476" s="73"/>
      <c r="GK476" s="72"/>
      <c r="GL476" s="73"/>
      <c r="GM476" s="72"/>
      <c r="GN476" s="73"/>
      <c r="GO476" s="72"/>
      <c r="GP476" s="73"/>
      <c r="GQ476" s="72"/>
      <c r="GR476" s="73"/>
      <c r="GS476" s="72"/>
      <c r="GT476" s="73"/>
      <c r="GU476" s="72"/>
      <c r="GV476" s="73"/>
      <c r="GW476" s="72"/>
      <c r="GX476" s="73"/>
      <c r="GY476" s="72"/>
      <c r="GZ476" s="72"/>
      <c r="HA476" s="72"/>
      <c r="HB476" s="72"/>
      <c r="HC476"/>
      <c r="HD476"/>
      <c r="HE476"/>
      <c r="HF476"/>
      <c r="HG476"/>
      <c r="HH476"/>
      <c r="HI476" s="2"/>
    </row>
    <row r="477" spans="1:217" s="3" customFormat="1" ht="12.75" hidden="1" customHeight="1" outlineLevel="1" x14ac:dyDescent="0.2">
      <c r="B477" s="77"/>
      <c r="C477" s="73"/>
      <c r="D477" s="72"/>
      <c r="E477" s="73"/>
      <c r="F477" s="72"/>
      <c r="G477" s="73"/>
      <c r="H477" s="72"/>
      <c r="I477" s="73"/>
      <c r="J477" s="72"/>
      <c r="K477" s="73"/>
      <c r="L477" s="72"/>
      <c r="M477" s="73"/>
      <c r="N477" s="72"/>
      <c r="O477" s="73"/>
      <c r="P477" s="72"/>
      <c r="Q477" s="73"/>
      <c r="R477" s="72"/>
      <c r="S477" s="73"/>
      <c r="T477" s="72"/>
      <c r="U477" s="73"/>
      <c r="V477" s="72"/>
      <c r="W477" s="73"/>
      <c r="X477" s="72"/>
      <c r="Y477" s="73"/>
      <c r="Z477" s="72"/>
      <c r="AA477" s="73"/>
      <c r="AB477" s="72"/>
      <c r="AC477" s="73"/>
      <c r="AD477" s="72"/>
      <c r="AE477" s="73"/>
      <c r="AF477" s="72"/>
      <c r="AG477" s="73"/>
      <c r="AH477" s="72"/>
      <c r="AI477" s="73"/>
      <c r="AJ477" s="72"/>
      <c r="AK477" s="73"/>
      <c r="AL477" s="72"/>
      <c r="AM477" s="73"/>
      <c r="AN477" s="72"/>
      <c r="AO477" s="73"/>
      <c r="AP477" s="72"/>
      <c r="AQ477" s="73"/>
      <c r="AR477" s="72"/>
      <c r="AS477" s="73"/>
      <c r="AT477" s="72"/>
      <c r="AU477" s="73"/>
      <c r="AV477" s="72"/>
      <c r="AW477" s="73"/>
      <c r="AX477" s="72"/>
      <c r="AY477" s="73"/>
      <c r="AZ477" s="72"/>
      <c r="BA477" s="73"/>
      <c r="BB477" s="72"/>
      <c r="BC477" s="73"/>
      <c r="BD477" s="72"/>
      <c r="BE477" s="73"/>
      <c r="BF477" s="72"/>
      <c r="BG477" s="73"/>
      <c r="BH477" s="72"/>
      <c r="BI477" s="73"/>
      <c r="BJ477" s="72"/>
      <c r="BK477" s="73"/>
      <c r="BL477" s="72"/>
      <c r="BM477" s="73"/>
      <c r="BN477" s="72"/>
      <c r="BO477" s="73"/>
      <c r="BP477" s="72"/>
      <c r="BQ477" s="73"/>
      <c r="BR477" s="72"/>
      <c r="BS477" s="73"/>
      <c r="BT477" s="72"/>
      <c r="BU477" s="73"/>
      <c r="BV477" s="72"/>
      <c r="BW477" s="73"/>
      <c r="BX477" s="72"/>
      <c r="BY477" s="73"/>
      <c r="BZ477" s="72"/>
      <c r="CA477" s="73"/>
      <c r="CB477" s="72"/>
      <c r="CC477" s="73"/>
      <c r="CD477" s="72"/>
      <c r="CE477" s="73"/>
      <c r="CF477" s="72"/>
      <c r="CG477" s="73"/>
      <c r="CH477" s="72"/>
      <c r="CI477" s="73"/>
      <c r="CJ477" s="72"/>
      <c r="CK477" s="73"/>
      <c r="CL477" s="72"/>
      <c r="CM477" s="73"/>
      <c r="CN477" s="72"/>
      <c r="CO477" s="73"/>
      <c r="CP477" s="72"/>
      <c r="CQ477" s="73"/>
      <c r="CR477" s="72"/>
      <c r="CS477" s="73"/>
      <c r="CT477" s="72"/>
      <c r="CU477" s="73"/>
      <c r="CV477" s="72"/>
      <c r="CW477" s="73"/>
      <c r="CX477" s="72"/>
      <c r="CY477" s="73"/>
      <c r="CZ477" s="72"/>
      <c r="DA477" s="73"/>
      <c r="DB477" s="72"/>
      <c r="DC477" s="73"/>
      <c r="DD477" s="72"/>
      <c r="DE477" s="73"/>
      <c r="DF477" s="72"/>
      <c r="DG477" s="73"/>
      <c r="DH477" s="72"/>
      <c r="DI477" s="73"/>
      <c r="DJ477" s="72"/>
      <c r="DK477" s="73"/>
      <c r="DL477" s="72"/>
      <c r="DM477" s="73"/>
      <c r="DN477" s="72"/>
      <c r="DO477" s="73"/>
      <c r="DP477" s="72"/>
      <c r="DQ477" s="73"/>
      <c r="DR477" s="72"/>
      <c r="DS477" s="73"/>
      <c r="DT477" s="72"/>
      <c r="DU477" s="73"/>
      <c r="DV477" s="72"/>
      <c r="DW477" s="73"/>
      <c r="DX477" s="72"/>
      <c r="DY477" s="73"/>
      <c r="DZ477" s="72"/>
      <c r="EA477" s="73"/>
      <c r="EB477" s="72"/>
      <c r="EC477" s="73"/>
      <c r="ED477" s="72"/>
      <c r="EE477" s="73"/>
      <c r="EF477" s="72"/>
      <c r="EG477" s="73"/>
      <c r="EH477" s="72"/>
      <c r="EI477" s="73"/>
      <c r="EJ477" s="72"/>
      <c r="EK477" s="73"/>
      <c r="EL477" s="72"/>
      <c r="EM477" s="73"/>
      <c r="EN477" s="72"/>
      <c r="EO477" s="73"/>
      <c r="EP477" s="72"/>
      <c r="EQ477" s="73"/>
      <c r="ER477" s="72"/>
      <c r="ES477" s="73"/>
      <c r="ET477" s="72"/>
      <c r="EU477" s="73"/>
      <c r="EV477" s="72"/>
      <c r="EW477" s="73"/>
      <c r="EX477" s="72"/>
      <c r="EY477" s="72"/>
      <c r="EZ477" s="306"/>
      <c r="FA477" s="72"/>
      <c r="FB477" s="73"/>
      <c r="FC477" s="72"/>
      <c r="FD477" s="73"/>
      <c r="FE477" s="72"/>
      <c r="FF477" s="73"/>
      <c r="FG477" s="72"/>
      <c r="FH477" s="73"/>
      <c r="FI477" s="72"/>
      <c r="FJ477" s="73"/>
      <c r="FK477" s="72"/>
      <c r="FL477" s="73"/>
      <c r="FM477" s="72"/>
      <c r="FN477" s="73"/>
      <c r="FO477" s="72"/>
      <c r="FP477" s="73"/>
      <c r="FQ477" s="72"/>
      <c r="FR477" s="73"/>
      <c r="FS477" s="72"/>
      <c r="FT477" s="73"/>
      <c r="FU477" s="72"/>
      <c r="FV477" s="73"/>
      <c r="FW477" s="72"/>
      <c r="FX477" s="73"/>
      <c r="FY477" s="72"/>
      <c r="FZ477" s="73"/>
      <c r="GA477" s="72"/>
      <c r="GB477" s="73"/>
      <c r="GC477" s="72"/>
      <c r="GD477" s="73"/>
      <c r="GE477" s="72"/>
      <c r="GF477" s="73"/>
      <c r="GG477" s="72"/>
      <c r="GH477" s="73"/>
      <c r="GI477" s="72"/>
      <c r="GJ477" s="73"/>
      <c r="GK477" s="72"/>
      <c r="GL477" s="73"/>
      <c r="GM477" s="72"/>
      <c r="GN477" s="73"/>
      <c r="GO477" s="72"/>
      <c r="GP477" s="73"/>
      <c r="GQ477" s="72"/>
      <c r="GR477" s="73"/>
      <c r="GS477" s="72"/>
      <c r="GT477" s="73"/>
      <c r="GU477" s="72"/>
      <c r="GV477" s="73"/>
      <c r="GW477" s="72"/>
      <c r="GX477" s="73"/>
      <c r="GY477" s="72"/>
      <c r="GZ477" s="72"/>
      <c r="HA477" s="72"/>
      <c r="HB477" s="72"/>
      <c r="HC477"/>
      <c r="HD477"/>
      <c r="HE477"/>
      <c r="HF477"/>
      <c r="HG477"/>
      <c r="HH477"/>
      <c r="HI477" s="2"/>
    </row>
    <row r="478" spans="1:217" s="295" customFormat="1" ht="12.75" customHeight="1" collapsed="1" x14ac:dyDescent="0.2">
      <c r="B478" s="291" t="s">
        <v>816</v>
      </c>
      <c r="C478" s="292"/>
      <c r="D478" s="293"/>
      <c r="E478" s="292"/>
      <c r="F478" s="293"/>
      <c r="G478" s="292"/>
      <c r="H478" s="293"/>
      <c r="I478" s="292"/>
      <c r="J478" s="293"/>
      <c r="K478" s="292"/>
      <c r="L478" s="293"/>
      <c r="M478" s="292"/>
      <c r="N478" s="293"/>
      <c r="O478" s="292"/>
      <c r="P478" s="293"/>
      <c r="Q478" s="292"/>
      <c r="R478" s="293"/>
      <c r="S478" s="292"/>
      <c r="T478" s="293"/>
      <c r="U478" s="292"/>
      <c r="V478" s="293"/>
      <c r="W478" s="292"/>
      <c r="X478" s="293"/>
      <c r="Y478" s="292"/>
      <c r="Z478" s="293"/>
      <c r="AA478" s="292"/>
      <c r="AB478" s="293"/>
      <c r="AC478" s="292"/>
      <c r="AD478" s="293"/>
      <c r="AE478" s="292"/>
      <c r="AF478" s="293"/>
      <c r="AG478" s="292"/>
      <c r="AH478" s="293"/>
      <c r="AI478" s="292"/>
      <c r="AJ478" s="293"/>
      <c r="AK478" s="292"/>
      <c r="AL478" s="293"/>
      <c r="AM478" s="292"/>
      <c r="AN478" s="293"/>
      <c r="AO478" s="292"/>
      <c r="AP478" s="293"/>
      <c r="AQ478" s="292"/>
      <c r="AR478" s="293"/>
      <c r="AS478" s="292"/>
      <c r="AT478" s="293"/>
      <c r="AU478" s="292"/>
      <c r="AV478" s="293"/>
      <c r="AW478" s="292"/>
      <c r="AX478" s="293"/>
      <c r="AY478" s="292"/>
      <c r="AZ478" s="293"/>
      <c r="BA478" s="292"/>
      <c r="BB478" s="293"/>
      <c r="BC478" s="292"/>
      <c r="BD478" s="293"/>
      <c r="BE478" s="292"/>
      <c r="BF478" s="293"/>
      <c r="BG478" s="292"/>
      <c r="BH478" s="293"/>
      <c r="BI478" s="292"/>
      <c r="BJ478" s="293"/>
      <c r="BK478" s="292"/>
      <c r="BL478" s="293"/>
      <c r="BM478" s="292"/>
      <c r="BN478" s="293"/>
      <c r="BO478" s="292"/>
      <c r="BP478" s="293"/>
      <c r="BQ478" s="294"/>
      <c r="BR478" s="294"/>
      <c r="BS478" s="294"/>
      <c r="BT478" s="293"/>
      <c r="BU478" s="294"/>
      <c r="BV478" s="293"/>
      <c r="BW478" s="294"/>
      <c r="BX478" s="293"/>
      <c r="BY478" s="294"/>
      <c r="BZ478" s="293"/>
      <c r="CA478" s="294"/>
      <c r="CB478" s="293"/>
      <c r="CC478" s="294"/>
      <c r="CD478" s="293"/>
      <c r="CE478" s="294"/>
      <c r="CF478" s="293"/>
      <c r="CG478" s="294"/>
      <c r="CH478" s="293"/>
      <c r="CI478" s="294"/>
      <c r="CJ478" s="293"/>
      <c r="CK478" s="294"/>
      <c r="CL478" s="293"/>
      <c r="CM478" s="294"/>
      <c r="CN478" s="293"/>
      <c r="CO478" s="294"/>
      <c r="CP478" s="293"/>
      <c r="CQ478" s="294"/>
      <c r="CR478" s="293"/>
      <c r="CS478" s="294"/>
      <c r="CT478" s="293"/>
      <c r="CU478" s="294"/>
      <c r="CV478" s="293"/>
      <c r="CW478" s="294"/>
      <c r="CX478" s="293"/>
      <c r="CY478" s="294"/>
      <c r="CZ478" s="293"/>
      <c r="DA478" s="294"/>
      <c r="DB478" s="293"/>
      <c r="DC478" s="294"/>
      <c r="DD478" s="293"/>
      <c r="DE478" s="294"/>
      <c r="DF478" s="293"/>
      <c r="DG478" s="294"/>
      <c r="DH478" s="293"/>
      <c r="DI478" s="294"/>
      <c r="DJ478" s="293"/>
      <c r="DK478" s="294"/>
      <c r="DL478" s="293"/>
      <c r="DM478" s="294"/>
      <c r="DN478" s="293"/>
      <c r="DO478" s="294"/>
      <c r="DP478" s="293"/>
      <c r="DQ478" s="294"/>
      <c r="DR478" s="293"/>
      <c r="DS478" s="294"/>
      <c r="DT478" s="293"/>
      <c r="DU478" s="294"/>
      <c r="DV478" s="293"/>
      <c r="DW478" s="292"/>
      <c r="DX478" s="293"/>
      <c r="DY478" s="292"/>
      <c r="DZ478" s="293"/>
      <c r="EA478" s="292"/>
      <c r="EB478" s="293"/>
      <c r="EC478" s="292"/>
      <c r="ED478" s="293"/>
      <c r="EE478" s="292"/>
      <c r="EF478" s="293"/>
      <c r="EG478" s="292"/>
      <c r="EH478" s="293"/>
      <c r="EI478" s="292"/>
      <c r="EJ478" s="293"/>
      <c r="EK478" s="292"/>
      <c r="EL478" s="293"/>
      <c r="EM478" s="292"/>
      <c r="EN478" s="293"/>
      <c r="EO478" s="292"/>
      <c r="EP478" s="293"/>
      <c r="EQ478" s="292"/>
      <c r="ER478" s="293"/>
      <c r="ES478" s="292"/>
      <c r="ET478" s="293"/>
      <c r="EU478" s="292"/>
      <c r="EV478" s="293"/>
      <c r="EW478" s="292"/>
      <c r="EX478" s="293"/>
      <c r="EY478" s="293"/>
      <c r="EZ478" s="299"/>
      <c r="FA478" s="293"/>
      <c r="FB478" s="292"/>
      <c r="FC478" s="293"/>
      <c r="FD478" s="292"/>
      <c r="FE478" s="293"/>
      <c r="FF478" s="292"/>
      <c r="FG478" s="293"/>
      <c r="FH478" s="292"/>
      <c r="FI478" s="293"/>
      <c r="FJ478" s="292"/>
      <c r="FK478" s="293"/>
      <c r="FL478" s="292"/>
      <c r="FM478" s="293"/>
      <c r="FN478" s="292"/>
      <c r="FO478" s="293"/>
      <c r="FP478" s="292"/>
      <c r="FQ478" s="293"/>
      <c r="FR478" s="294"/>
      <c r="FS478" s="293"/>
      <c r="FT478" s="294"/>
      <c r="FU478" s="293"/>
      <c r="FV478" s="294"/>
      <c r="FW478" s="293"/>
      <c r="FX478" s="294"/>
      <c r="FY478" s="293"/>
      <c r="FZ478" s="294"/>
      <c r="GA478" s="293"/>
      <c r="GB478" s="294"/>
      <c r="GC478" s="293"/>
      <c r="GD478" s="294"/>
      <c r="GE478" s="293"/>
      <c r="GF478" s="294"/>
      <c r="GG478" s="293"/>
      <c r="GH478" s="294"/>
      <c r="GI478" s="293"/>
      <c r="GJ478" s="294"/>
      <c r="GK478" s="293"/>
      <c r="GL478" s="294"/>
      <c r="GM478" s="293"/>
      <c r="GN478" s="294"/>
      <c r="GO478" s="293"/>
      <c r="GP478" s="294"/>
      <c r="GQ478" s="293"/>
      <c r="GR478" s="292"/>
      <c r="GS478" s="293"/>
      <c r="GT478" s="292"/>
      <c r="GU478" s="293"/>
      <c r="GV478" s="292"/>
      <c r="GW478" s="293"/>
      <c r="GX478" s="292"/>
      <c r="GY478" s="293"/>
      <c r="GZ478" s="293"/>
      <c r="HA478" s="293"/>
      <c r="HB478" s="293"/>
      <c r="HC478"/>
      <c r="HD478"/>
      <c r="HE478"/>
      <c r="HF478"/>
      <c r="HG478"/>
      <c r="HH478"/>
      <c r="HI478" s="290"/>
    </row>
    <row r="479" spans="1:217" s="3" customFormat="1" ht="12.75" customHeight="1" x14ac:dyDescent="0.2">
      <c r="B479" s="10"/>
      <c r="C479" s="150"/>
      <c r="D479" s="72"/>
      <c r="E479" s="150"/>
      <c r="F479" s="72"/>
      <c r="G479" s="150"/>
      <c r="H479" s="72"/>
      <c r="I479" s="150"/>
      <c r="J479" s="72"/>
      <c r="K479" s="150"/>
      <c r="L479" s="72"/>
      <c r="M479" s="150"/>
      <c r="N479" s="72"/>
      <c r="O479" s="150"/>
      <c r="P479" s="72"/>
      <c r="Q479" s="150"/>
      <c r="R479" s="72"/>
      <c r="S479" s="150"/>
      <c r="T479" s="72"/>
      <c r="U479" s="150"/>
      <c r="V479" s="72"/>
      <c r="W479" s="150"/>
      <c r="X479" s="72"/>
      <c r="Y479" s="150"/>
      <c r="Z479" s="72"/>
      <c r="AA479" s="150"/>
      <c r="AB479" s="72"/>
      <c r="AC479" s="150"/>
      <c r="AD479" s="72"/>
      <c r="AE479" s="150"/>
      <c r="AF479" s="72"/>
      <c r="AG479" s="150"/>
      <c r="AH479" s="72"/>
      <c r="AI479" s="150"/>
      <c r="AJ479" s="72"/>
      <c r="AK479" s="150"/>
      <c r="AL479" s="72"/>
      <c r="AM479" s="150"/>
      <c r="AN479" s="72"/>
      <c r="AO479" s="150"/>
      <c r="AP479" s="72"/>
      <c r="AQ479" s="150"/>
      <c r="AR479" s="72"/>
      <c r="AS479" s="150"/>
      <c r="AT479" s="72"/>
      <c r="AU479" s="150"/>
      <c r="AV479" s="72"/>
      <c r="AW479" s="150"/>
      <c r="AX479" s="72"/>
      <c r="AY479" s="150"/>
      <c r="AZ479" s="72"/>
      <c r="BA479" s="150"/>
      <c r="BB479" s="72"/>
      <c r="BC479" s="150"/>
      <c r="BD479" s="72"/>
      <c r="BE479" s="150"/>
      <c r="BF479" s="72"/>
      <c r="BG479" s="150"/>
      <c r="BH479" s="72"/>
      <c r="BI479" s="150"/>
      <c r="BJ479" s="72"/>
      <c r="BK479" s="150"/>
      <c r="BL479" s="72"/>
      <c r="BM479" s="150"/>
      <c r="BN479" s="72"/>
      <c r="BO479" s="150"/>
      <c r="BP479" s="72"/>
      <c r="BQ479" s="150"/>
      <c r="BR479" s="72"/>
      <c r="BS479" s="150"/>
      <c r="BT479" s="72"/>
      <c r="BU479" s="150"/>
      <c r="BV479" s="72"/>
      <c r="BW479" s="150"/>
      <c r="BX479" s="72"/>
      <c r="BY479" s="150"/>
      <c r="BZ479" s="72"/>
      <c r="CA479" s="150"/>
      <c r="CB479" s="72"/>
      <c r="CC479" s="150"/>
      <c r="CD479" s="72"/>
      <c r="CE479" s="150"/>
      <c r="CF479" s="72"/>
      <c r="CG479" s="150"/>
      <c r="CH479" s="72"/>
      <c r="CI479" s="150"/>
      <c r="CJ479" s="72"/>
      <c r="CK479" s="150"/>
      <c r="CL479" s="72"/>
      <c r="CM479" s="150"/>
      <c r="CN479" s="72"/>
      <c r="CO479" s="150"/>
      <c r="CP479" s="72"/>
      <c r="CQ479" s="150"/>
      <c r="CR479" s="72"/>
      <c r="CS479" s="150"/>
      <c r="CT479" s="72"/>
      <c r="CU479" s="150"/>
      <c r="CV479" s="72"/>
      <c r="CW479" s="150"/>
      <c r="CX479" s="72"/>
      <c r="CY479" s="150"/>
      <c r="CZ479" s="72"/>
      <c r="DA479" s="150"/>
      <c r="DB479" s="72"/>
      <c r="DC479" s="150"/>
      <c r="DD479" s="72"/>
      <c r="DE479" s="150"/>
      <c r="DF479" s="72"/>
      <c r="DG479" s="150"/>
      <c r="DH479" s="72"/>
      <c r="DI479" s="150"/>
      <c r="DJ479" s="72"/>
      <c r="DK479" s="150"/>
      <c r="DL479" s="72"/>
      <c r="DM479" s="150"/>
      <c r="DN479" s="72"/>
      <c r="DO479" s="150"/>
      <c r="DP479" s="72"/>
      <c r="DQ479" s="150"/>
      <c r="DR479" s="72"/>
      <c r="DS479" s="150"/>
      <c r="DT479" s="72"/>
      <c r="DU479" s="150"/>
      <c r="DV479" s="72"/>
      <c r="DW479" s="144"/>
      <c r="DX479" s="72"/>
      <c r="DY479" s="144"/>
      <c r="DZ479" s="72"/>
      <c r="EA479" s="144"/>
      <c r="EB479" s="72"/>
      <c r="EC479" s="144"/>
      <c r="ED479" s="72"/>
      <c r="EE479" s="144"/>
      <c r="EF479" s="72"/>
      <c r="EG479" s="144"/>
      <c r="EH479" s="72"/>
      <c r="EI479" s="144"/>
      <c r="EJ479" s="72"/>
      <c r="EK479" s="144"/>
      <c r="EL479" s="72"/>
      <c r="EM479" s="144"/>
      <c r="EN479" s="72"/>
      <c r="EO479" s="144"/>
      <c r="EP479" s="72"/>
      <c r="EQ479" s="144"/>
      <c r="ER479" s="72"/>
      <c r="ES479" s="144"/>
      <c r="ET479" s="72"/>
      <c r="EU479" s="144"/>
      <c r="EV479" s="72"/>
      <c r="EW479" s="144"/>
      <c r="EX479" s="72"/>
      <c r="EY479" s="72"/>
      <c r="EZ479" s="325"/>
      <c r="FA479" s="72"/>
      <c r="FB479" s="150"/>
      <c r="FC479" s="72"/>
      <c r="FD479" s="150"/>
      <c r="FE479" s="72"/>
      <c r="FF479" s="150"/>
      <c r="FG479" s="72"/>
      <c r="FH479" s="150"/>
      <c r="FI479" s="72"/>
      <c r="FJ479" s="150"/>
      <c r="FK479" s="72"/>
      <c r="FL479" s="150"/>
      <c r="FM479" s="72"/>
      <c r="FN479" s="150"/>
      <c r="FO479" s="72"/>
      <c r="FP479" s="150"/>
      <c r="FQ479" s="72"/>
      <c r="FR479" s="144"/>
      <c r="FS479" s="72"/>
      <c r="FT479" s="144"/>
      <c r="FU479" s="72"/>
      <c r="FV479" s="144"/>
      <c r="FW479" s="72"/>
      <c r="FX479" s="144"/>
      <c r="FY479" s="72"/>
      <c r="FZ479" s="144"/>
      <c r="GA479" s="72"/>
      <c r="GB479" s="144"/>
      <c r="GC479" s="72"/>
      <c r="GD479" s="144"/>
      <c r="GE479" s="72"/>
      <c r="GF479" s="144"/>
      <c r="GG479" s="72"/>
      <c r="GH479" s="144"/>
      <c r="GI479" s="72"/>
      <c r="GJ479" s="144"/>
      <c r="GK479" s="72"/>
      <c r="GL479" s="144"/>
      <c r="GM479" s="72"/>
      <c r="GN479" s="144"/>
      <c r="GO479" s="72"/>
      <c r="GP479" s="144"/>
      <c r="GQ479" s="72"/>
      <c r="GR479" s="144"/>
      <c r="GS479" s="72"/>
      <c r="GT479" s="144"/>
      <c r="GU479" s="72"/>
      <c r="GV479" s="144"/>
      <c r="GW479" s="72"/>
      <c r="GX479" s="144"/>
      <c r="GY479" s="72"/>
      <c r="GZ479" s="72"/>
      <c r="HA479" s="72"/>
      <c r="HB479" s="72"/>
      <c r="HC479"/>
      <c r="HD479"/>
      <c r="HE479"/>
      <c r="HF479"/>
      <c r="HG479"/>
      <c r="HH479"/>
      <c r="HI479" s="2"/>
    </row>
    <row r="480" spans="1:217" s="3" customFormat="1" ht="12.75" customHeight="1" x14ac:dyDescent="0.2">
      <c r="A480" s="3" t="s">
        <v>89</v>
      </c>
      <c r="B480" s="10" t="s">
        <v>128</v>
      </c>
      <c r="C480" s="150"/>
      <c r="D480" s="11"/>
      <c r="E480" s="150"/>
      <c r="F480" s="11"/>
      <c r="G480" s="150"/>
      <c r="H480" s="11"/>
      <c r="I480" s="150"/>
      <c r="J480" s="72"/>
      <c r="K480" s="150">
        <v>71</v>
      </c>
      <c r="L480" s="72" t="str">
        <f>IF(ISERROR(K480/C480),"NA",IF(OR(K480/C480&gt;2,K480/C480&lt;0.5),"NM",K480/C480*100-100))</f>
        <v>NA</v>
      </c>
      <c r="M480" s="150">
        <v>216</v>
      </c>
      <c r="N480" s="72" t="str">
        <f>IF(ISERROR(M480/E480),"NA",IF(OR(M480/E480&gt;2,M480/E480&lt;0.5),"NM",M480/E480*100-100))</f>
        <v>NA</v>
      </c>
      <c r="O480" s="150">
        <v>26</v>
      </c>
      <c r="P480" s="72" t="str">
        <f>IF(ISERROR(O480/G480),"NA",IF(OR(O480/G480&gt;2,O480/G480&lt;0.5),"NM",O480/G480*100-100))</f>
        <v>NA</v>
      </c>
      <c r="Q480" s="150">
        <v>131</v>
      </c>
      <c r="R480" s="72" t="str">
        <f>IF(ISERROR(Q480/I480),"NA",IF(OR(Q480/I480&gt;2,Q480/I480&lt;0.5),"NM",Q480/I480*100-100))</f>
        <v>NA</v>
      </c>
      <c r="S480" s="150">
        <v>94</v>
      </c>
      <c r="T480" s="72">
        <f>IF(ISERROR(S480/K480),"NA",IF(OR(S480/K480&gt;2,S480/K480&lt;0.5),"NM",S480/K480*100-100))</f>
        <v>32.394366197183103</v>
      </c>
      <c r="U480" s="150">
        <v>93</v>
      </c>
      <c r="V480" s="72" t="str">
        <f>IF(ISERROR(U480/M480),"NA",IF(OR(U480/M480&gt;2,U480/M480&lt;0.5),"NM",U480/M480*100-100))</f>
        <v>NM</v>
      </c>
      <c r="W480" s="150">
        <v>127</v>
      </c>
      <c r="X480" s="72" t="str">
        <f>IF(ISERROR(W480/O480),"NA",IF(OR(W480/O480&gt;2,W480/O480&lt;0.5),"NM",W480/O480*100-100))</f>
        <v>NM</v>
      </c>
      <c r="Y480" s="150">
        <v>103</v>
      </c>
      <c r="Z480" s="72">
        <f>IF(ISERROR(Y480/Q480),"NA",IF(OR(Y480/Q480&gt;2,Y480/Q480&lt;0.5),"NM",Y480/Q480*100-100))</f>
        <v>-21.374045801526719</v>
      </c>
      <c r="AA480" s="150">
        <v>87</v>
      </c>
      <c r="AB480" s="72">
        <f>IF(ISERROR(AA480/S480),"NA",IF(OR(AA480/S480&gt;2,AA480/S480&lt;0.5),"NM",AA480/S480*100-100))</f>
        <v>-7.4468085106383057</v>
      </c>
      <c r="AC480" s="150">
        <v>101</v>
      </c>
      <c r="AD480" s="72">
        <f>IF(ISERROR(AC480/U480),"NA",IF(OR(AC480/U480&gt;2,AC480/U480&lt;0.5),"NM",AC480/U480*100-100))</f>
        <v>8.602150537634401</v>
      </c>
      <c r="AE480" s="150">
        <v>156</v>
      </c>
      <c r="AF480" s="72">
        <f>IF(ISERROR(AE480/W480),"NA",IF(OR(AE480/W480&gt;2,AE480/W480&lt;0.5),"NM",AE480/W480*100-100))</f>
        <v>22.834645669291348</v>
      </c>
      <c r="AG480" s="150">
        <v>150</v>
      </c>
      <c r="AH480" s="72">
        <f>IF(ISERROR(AG480/Y480),"NA",IF(OR(AG480/Y480&gt;2,AG480/Y480&lt;0.5),"NM",AG480/Y480*100-100))</f>
        <v>45.631067961165058</v>
      </c>
      <c r="AI480" s="150">
        <v>102</v>
      </c>
      <c r="AJ480" s="72">
        <f>IF(ISERROR(AI480/AA480),"NA",IF(OR(AI480/AA480&gt;2,AI480/AA480&lt;0.5),"NM",AI480/AA480*100-100))</f>
        <v>17.241379310344811</v>
      </c>
      <c r="AK480" s="150">
        <v>154</v>
      </c>
      <c r="AL480" s="72">
        <f>IF(ISERROR(AK480/AC480),"NA",IF(OR(AK480/AC480&gt;2,AK480/AC480&lt;0.5),"NM",AK480/AC480*100-100))</f>
        <v>52.47524752475249</v>
      </c>
      <c r="AM480" s="150">
        <v>134</v>
      </c>
      <c r="AN480" s="72">
        <f>IF(ISERROR(AM480/AE480),"NA",IF(OR(AM480/AE480&gt;2,AM480/AE480&lt;0.5),"NM",AM480/AE480*100-100))</f>
        <v>-14.102564102564102</v>
      </c>
      <c r="AO480" s="150">
        <v>120</v>
      </c>
      <c r="AP480" s="72">
        <f>IF(ISERROR(AO480/AG480),"NA",IF(OR(AO480/AG480&gt;2,AO480/AG480&lt;0.5),"NM",AO480/AG480*100-100))</f>
        <v>-20</v>
      </c>
      <c r="AQ480" s="150">
        <v>84</v>
      </c>
      <c r="AR480" s="72">
        <f>IF(ISERROR(AQ480/AI480),"NA",IF(OR(AQ480/AI480&gt;2,AQ480/AI480&lt;0.5),"NM",AQ480/AI480*100-100))</f>
        <v>-17.64705882352942</v>
      </c>
      <c r="AS480" s="150">
        <v>142</v>
      </c>
      <c r="AT480" s="72">
        <f>IF(ISERROR(AS480/AK480),"NA",IF(OR(AS480/AK480&gt;2,AS480/AK480&lt;0.5),"NM",AS480/AK480*100-100))</f>
        <v>-7.7922077922077904</v>
      </c>
      <c r="AU480" s="150">
        <v>166</v>
      </c>
      <c r="AV480" s="72">
        <f>IF(ISERROR(AU480/AM480),"NA",IF(OR(AU480/AM480&gt;2,AU480/AM480&lt;0.5),"NM",AU480/AM480*100-100))</f>
        <v>23.880597014925371</v>
      </c>
      <c r="AW480" s="150">
        <v>172</v>
      </c>
      <c r="AX480" s="72">
        <f>IF(ISERROR(AW480/AO480),"NA",IF(OR(AW480/AO480&gt;2,AW480/AO480&lt;0.5),"NM",AW480/AO480*100-100))</f>
        <v>43.333333333333343</v>
      </c>
      <c r="AY480" s="150">
        <v>172</v>
      </c>
      <c r="AZ480" s="72" t="str">
        <f>IF(ISERROR(AY480/AQ480),"NA",IF(OR(AY480/AQ480&gt;2,AY480/AQ480&lt;0.5),"NM",AY480/AQ480*100-100))</f>
        <v>NM</v>
      </c>
      <c r="BA480" s="150">
        <v>159</v>
      </c>
      <c r="BB480" s="72">
        <f>IF(ISERROR(BA480/AS480),"NA",IF(OR(BA480/AS480&gt;2,BA480/AS480&lt;0.5),"NM",BA480/AS480*100-100))</f>
        <v>11.971830985915503</v>
      </c>
      <c r="BC480" s="150">
        <v>170</v>
      </c>
      <c r="BD480" s="72">
        <f>IF(ISERROR(BC480/AU480),"NA",IF(OR(BC480/AU480&gt;2,BC480/AU480&lt;0.5),"NM",BC480/AU480*100-100))</f>
        <v>2.409638554216869</v>
      </c>
      <c r="BE480" s="150">
        <v>127</v>
      </c>
      <c r="BF480" s="72">
        <f>IF(ISERROR(BE480/AW480),"NA",IF(OR(BE480/AW480&gt;2,BE480/AW480&lt;0.5),"NM",BE480/AW480*100-100))</f>
        <v>-26.162790697674424</v>
      </c>
      <c r="BG480" s="150">
        <v>157</v>
      </c>
      <c r="BH480" s="72">
        <f>IF(ISERROR(BG480/AY480),"NA",IF(OR(BG480/AY480&gt;2,BG480/AY480&lt;0.5),"NM",BG480/AY480*100-100))</f>
        <v>-8.7209302325581461</v>
      </c>
      <c r="BI480" s="150">
        <v>142</v>
      </c>
      <c r="BJ480" s="72">
        <f>IF(ISERROR(BI480/BA480),"NA",IF(OR(BI480/BA480&gt;2,BI480/BA480&lt;0.5),"NM",BI480/BA480*100-100))</f>
        <v>-10.691823899371073</v>
      </c>
      <c r="BK480" s="150">
        <v>121</v>
      </c>
      <c r="BL480" s="72">
        <f>IF(ISERROR(BK480/BC480),"NA",IF(OR(BK480/BC480&gt;2,BK480/BC480&lt;0.5),"NM",BK480/BC480*100-100))</f>
        <v>-28.82352941176471</v>
      </c>
      <c r="BM480" s="150">
        <v>110</v>
      </c>
      <c r="BN480" s="72">
        <f>IF(ISERROR(BM480/BE480),"NA",IF(OR(BM480/BE480&gt;2,BM480/BE480&lt;0.5),"NM",BM480/BE480*100-100))</f>
        <v>-13.385826771653541</v>
      </c>
      <c r="BO480" s="150">
        <v>95</v>
      </c>
      <c r="BP480" s="72">
        <f>IF(ISERROR(BO480/BG480),"NA",IF(OR(BO480/BG480&gt;2,BO480/BG480&lt;0.5),"NM",BO480/BG480*100-100))</f>
        <v>-39.490445859872615</v>
      </c>
      <c r="BQ480" s="150">
        <v>85</v>
      </c>
      <c r="BR480" s="72">
        <f>IF(ISERROR(BQ480/BI480),"NA",IF(OR(BQ480/BI480&gt;2,BQ480/BI480&lt;0.5),"NM",BQ480/BI480*100-100))</f>
        <v>-40.140845070422536</v>
      </c>
      <c r="BS480" s="150">
        <v>64</v>
      </c>
      <c r="BT480" s="72">
        <f>IF(ISERROR(BS480/BK480),"NA",IF(OR(BS480/BK480&gt;2,BS480/BK480&lt;0.5),"NM",BS480/BK480*100-100))</f>
        <v>-47.107438016528924</v>
      </c>
      <c r="BU480" s="150">
        <v>40</v>
      </c>
      <c r="BV480" s="72" t="str">
        <f>IF(ISERROR(BU480/BM480),"NA",IF(OR(BU480/BM480&gt;2,BU480/BM480&lt;0.5),"NM",BU480/BM480*100-100))</f>
        <v>NM</v>
      </c>
      <c r="BW480" s="150">
        <v>-55</v>
      </c>
      <c r="BX480" s="72" t="str">
        <f>IF(ISERROR(BW480/BO480),"NA",IF(OR(BW480/BO480&gt;2,BW480/BO480&lt;0.5),"NM",BW480/BO480*100-100))</f>
        <v>NM</v>
      </c>
      <c r="BY480" s="150">
        <v>5</v>
      </c>
      <c r="BZ480" s="72" t="str">
        <f>IF(ISERROR(BY480/BQ480),"NA",IF(OR(BY480/BQ480&gt;2,BY480/BQ480&lt;0.5),"NM",BY480/BQ480*100-100))</f>
        <v>NM</v>
      </c>
      <c r="CA480" s="150">
        <v>-4</v>
      </c>
      <c r="CB480" s="72" t="str">
        <f>IF(ISERROR(CA480/BS480),"NA",IF(OR(CA480/BS480&gt;2,CA480/BS480&lt;0.5),"NM",CA480/BS480*100-100))</f>
        <v>NM</v>
      </c>
      <c r="CC480" s="150">
        <v>-25</v>
      </c>
      <c r="CD480" s="72" t="str">
        <f>IF(ISERROR(CC480/BU480),"NA",IF(OR(CC480/BU480&gt;2,CC480/BU480&lt;0.5),"NM",CC480/BU480*100-100))</f>
        <v>NM</v>
      </c>
      <c r="CE480" s="150">
        <v>-68</v>
      </c>
      <c r="CF480" s="72">
        <f>IF(ISERROR(CE480/BW480),"NA",IF(OR(CE480/BW480&gt;2,CE480/BW480&lt;0.5),"NM",CE480/BW480*100-100))</f>
        <v>23.636363636363626</v>
      </c>
      <c r="CG480" s="150">
        <v>-44</v>
      </c>
      <c r="CH480" s="72" t="str">
        <f>IF(ISERROR(CG480/BY480),"NA",IF(OR(CG480/BY480&gt;2,CG480/BY480&lt;0.5),"NM",CG480/BY480*100-100))</f>
        <v>NM</v>
      </c>
      <c r="CI480" s="150">
        <v>-69</v>
      </c>
      <c r="CJ480" s="72" t="str">
        <f>IF(ISERROR(CI480/CA480),"NA",IF(OR(CI480/CA480&gt;2,CI480/CA480&lt;0.5),"NM",CI480/CA480*100-100))</f>
        <v>NM</v>
      </c>
      <c r="CK480" s="150">
        <v>-54</v>
      </c>
      <c r="CL480" s="72" t="str">
        <f>IF(ISERROR(CK480/CC480),"NA",IF(OR(CK480/CC480&gt;2,CK480/CC480&lt;0.5),"NM",CK480/CC480*100-100))</f>
        <v>NM</v>
      </c>
      <c r="CM480" s="150">
        <v>-57</v>
      </c>
      <c r="CN480" s="72">
        <f>IF(ISERROR(CM480/CE480),"NA",IF(OR(CM480/CE480&gt;2,CM480/CE480&lt;0.5),"NM",CM480/CE480*100-100))</f>
        <v>-16.17647058823529</v>
      </c>
      <c r="CO480" s="150">
        <v>-35</v>
      </c>
      <c r="CP480" s="72">
        <f>IF(ISERROR(CO480/CG480),"NA",IF(OR(CO480/CG480&gt;2,CO480/CG480&lt;0.5),"NM",CO480/CG480*100-100))</f>
        <v>-20.454545454545453</v>
      </c>
      <c r="CQ480" s="150">
        <v>-38</v>
      </c>
      <c r="CR480" s="72">
        <f>IF(ISERROR(CQ480/CI480),"NA",IF(OR(CQ480/CI480&gt;2,CQ480/CI480&lt;0.5),"NM",CQ480/CI480*100-100))</f>
        <v>-44.927536231884055</v>
      </c>
      <c r="CS480" s="150">
        <v>-57</v>
      </c>
      <c r="CT480" s="72">
        <f>IF(ISERROR(CS480/CK480),"NA",IF(OR(CS480/CK480&gt;2,CS480/CK480&lt;0.5),"NM",CS480/CK480*100-100))</f>
        <v>5.5555555555555571</v>
      </c>
      <c r="CU480" s="150">
        <v>-121</v>
      </c>
      <c r="CV480" s="72" t="str">
        <f>IF(ISERROR(CU480/CM480),"NA",IF(OR(CU480/CM480&gt;2,CU480/CM480&lt;0.5),"NM",CU480/CM480*100-100))</f>
        <v>NM</v>
      </c>
      <c r="CW480" s="150">
        <v>-72</v>
      </c>
      <c r="CX480" s="72" t="str">
        <f>IF(ISERROR(CW480/CO480),"NA",IF(OR(CW480/CO480&gt;2,CW480/CO480&lt;0.5),"NM",CW480/CO480*100-100))</f>
        <v>NM</v>
      </c>
      <c r="CY480" s="150">
        <v>-106</v>
      </c>
      <c r="CZ480" s="72" t="str">
        <f>IF(ISERROR(CY480/CQ480),"NA",IF(OR(CY480/CQ480&gt;2,CY480/CQ480&lt;0.5),"NM",CY480/CQ480*100-100))</f>
        <v>NM</v>
      </c>
      <c r="DA480" s="150">
        <v>-104</v>
      </c>
      <c r="DB480" s="72">
        <f>IF(ISERROR(DA480/CS480),"NA",IF(OR(DA480/CS480&gt;2,DA480/CS480&lt;0.5),"NM",DA480/CS480*100-100))</f>
        <v>82.456140350877178</v>
      </c>
      <c r="DC480" s="150">
        <v>-153</v>
      </c>
      <c r="DD480" s="72">
        <f>IF(ISERROR(DC480/CU480),"NA",IF(OR(DC480/CU480&gt;2,DC480/CU480&lt;0.5),"NM",DC480/CU480*100-100))</f>
        <v>26.446280991735534</v>
      </c>
      <c r="DE480" s="150">
        <v>-133</v>
      </c>
      <c r="DF480" s="72">
        <f>IF(ISERROR(DE480/CW480),"NA",IF(OR(DE480/CW480&gt;2,DE480/CW480&lt;0.5),"NM",DE480/CW480*100-100))</f>
        <v>84.722222222222229</v>
      </c>
      <c r="DG480" s="150">
        <v>-153</v>
      </c>
      <c r="DH480" s="72">
        <f>IF(ISERROR(DG480/CY480),"NA",IF(OR(DG480/CY480&gt;2,DG480/CY480&lt;0.5),"NM",DG480/CY480*100-100))</f>
        <v>44.339622641509436</v>
      </c>
      <c r="DI480" s="150">
        <v>-129</v>
      </c>
      <c r="DJ480" s="72">
        <f>IF(ISERROR(DI480/DA480),"NA",IF(OR(DI480/DA480&gt;2,DI480/DA480&lt;0.5),"NM",DI480/DA480*100-100))</f>
        <v>24.038461538461547</v>
      </c>
      <c r="DK480" s="150">
        <v>-152</v>
      </c>
      <c r="DL480" s="72">
        <f>IF(ISERROR(DK480/DC480),"NA",IF(OR(DK480/DC480&gt;2,DK480/DC480&lt;0.5),"NM",DK480/DC480*100-100))</f>
        <v>-0.65359477124182774</v>
      </c>
      <c r="DM480" s="150">
        <v>-152</v>
      </c>
      <c r="DN480" s="72">
        <f>IF(ISERROR(DM480/DE480),"NA",IF(OR(DM480/DE480&gt;2,DM480/DE480&lt;0.5),"NM",DM480/DE480*100-100))</f>
        <v>14.285714285714278</v>
      </c>
      <c r="DO480" s="150">
        <v>-175</v>
      </c>
      <c r="DP480" s="72">
        <f>IF(ISERROR(DO480/DG480),"NA",IF(OR(DO480/DG480&gt;2,DO480/DG480&lt;0.5),"NM",DO480/DG480*100-100))</f>
        <v>14.379084967320253</v>
      </c>
      <c r="DQ480" s="150">
        <v>-153</v>
      </c>
      <c r="DR480" s="72">
        <f>IF(ISERROR(DQ480/DI480),"NA",IF(OR(DQ480/DI480&gt;2,DQ480/DI480&lt;0.5),"NM",DQ480/DI480*100-100))</f>
        <v>18.604651162790702</v>
      </c>
      <c r="DS480" s="150">
        <v>-125</v>
      </c>
      <c r="DT480" s="72">
        <f>IF(ISERROR(DS480/DK480),"NA",IF(OR(DS480/DK480&gt;2,DS480/DK480&lt;0.5),"NM",DS480/DK480*100-100))</f>
        <v>-17.76315789473685</v>
      </c>
      <c r="DU480" s="150">
        <v>-144</v>
      </c>
      <c r="DV480" s="72">
        <f>IF(ISERROR(DU480/DM480),"NA",IF(OR(DU480/DM480&gt;2,DU480/DM480&lt;0.5),"NM",DU480/DM480*100-100))</f>
        <v>-5.2631578947368496</v>
      </c>
      <c r="DW480" s="150">
        <v>-149</v>
      </c>
      <c r="DX480" s="72">
        <f>IF(ISERROR(DW480/DO480),"NA",IF(OR(DW480/DO480&gt;2,DW480/DO480&lt;0.5),"NM",DW480/DO480*100-100))</f>
        <v>-14.857142857142861</v>
      </c>
      <c r="DY480" s="150">
        <v>-152</v>
      </c>
      <c r="DZ480" s="72">
        <f>IF(ISERROR(DY480/DQ480),"NA",IF(OR(DY480/DQ480&gt;2,DY480/DQ480&lt;0.5),"NM",DY480/DQ480*100-100))</f>
        <v>-0.65359477124182774</v>
      </c>
      <c r="EA480" s="150">
        <v>-146</v>
      </c>
      <c r="EB480" s="727">
        <f>IF(ISERROR(EA480/DS480),"NA",IF(OR(EA480/DS480&gt;2,EA480/DS480&lt;0.5),"NM",EA480/DS480*100-100))</f>
        <v>16.799999999999997</v>
      </c>
      <c r="EC480" s="150">
        <v>-166</v>
      </c>
      <c r="ED480" s="727">
        <f>IF(ISERROR(EC480/DU480),"NA",IF(OR(EC480/DU480&gt;2,EC480/DU480&lt;0.5),"NM",EC480/DU480*100-100))</f>
        <v>15.277777777777771</v>
      </c>
      <c r="EE480" s="150">
        <v>-182</v>
      </c>
      <c r="EF480" s="727">
        <f>IF(ISERROR(EE480/DW480),"NA",IF(OR(EE480/DW480&gt;2,EE480/DW480&lt;0.5),"NM",EE480/DW480*100-100))</f>
        <v>22.147651006711413</v>
      </c>
      <c r="EG480" s="150">
        <v>-142</v>
      </c>
      <c r="EH480" s="72">
        <f>IF(ISERROR(EG480/DY480),"NA",IF(OR(EG480/DY480&gt;2,EG480/DY480&lt;0.5),"NM",EG480/DY480*100-100))</f>
        <v>-6.5789473684210549</v>
      </c>
      <c r="EI480" s="150">
        <v>-138</v>
      </c>
      <c r="EJ480" s="72">
        <f>IF(ISERROR(EI480/EA480),"NA",IF(OR(EI480/EA480&gt;2,EI480/EA480&lt;0.5),"NM",EI480/EA480*100-100))</f>
        <v>-5.4794520547945211</v>
      </c>
      <c r="EK480" s="150">
        <v>-171</v>
      </c>
      <c r="EL480" s="72">
        <f>IF(ISERROR(EK480/EC480),"NA",IF(OR(EK480/EC480&gt;2,EK480/EC480&lt;0.5),"NM",EK480/EC480*100-100))</f>
        <v>3.0120481927710756</v>
      </c>
      <c r="EM480" s="150">
        <v>-179</v>
      </c>
      <c r="EN480" s="72">
        <f>IF(ISERROR(EM480/EE480),"NA",IF(OR(EM480/EE480&gt;2,EM480/EE480&lt;0.5),"NM",EM480/EE480*100-100))</f>
        <v>-1.6483516483516496</v>
      </c>
      <c r="EO480" s="150">
        <v>-179</v>
      </c>
      <c r="EP480" s="72">
        <f>IF(ISERROR(EO480/EG480),"NA",IF(OR(EO480/EG480&gt;2,EO480/EG480&lt;0.5),"NM",EO480/EG480*100-100))</f>
        <v>26.056338028169023</v>
      </c>
      <c r="EQ480" s="150">
        <f t="shared" ref="EQ480" si="2330">EI480*1.04</f>
        <v>-143.52000000000001</v>
      </c>
      <c r="ER480" s="72">
        <f t="shared" ref="ER480" si="2331">IF(ISERROR(EQ480/EI480),"NA",IF(OR(EQ480/EI480&gt;2,EQ480/EI480&lt;0.5),"NM",EQ480/EI480*100-100))</f>
        <v>4</v>
      </c>
      <c r="ES480" s="150">
        <f t="shared" ref="ES480" si="2332">EK480*1.04</f>
        <v>-177.84</v>
      </c>
      <c r="ET480" s="72">
        <f t="shared" ref="ET480" si="2333">IF(ISERROR(ES480/EK480),"NA",IF(OR(ES480/EK480&gt;2,ES480/EK480&lt;0.5),"NM",ES480/EK480*100-100))</f>
        <v>4</v>
      </c>
      <c r="EU480" s="150">
        <f t="shared" ref="EU480" si="2334">EM480*1.04</f>
        <v>-186.16</v>
      </c>
      <c r="EV480" s="72">
        <f t="shared" ref="EV480" si="2335">IF(ISERROR(EU480/EM480),"NA",IF(OR(EU480/EM480&gt;2,EU480/EM480&lt;0.5),"NM",EU480/EM480*100-100))</f>
        <v>4</v>
      </c>
      <c r="EW480" s="150">
        <f t="shared" ref="EW480" si="2336">EO480*1.04</f>
        <v>-186.16</v>
      </c>
      <c r="EX480" s="72">
        <f t="shared" ref="EX480" si="2337">IF(ISERROR(EW480/EO480),"NA",IF(OR(EW480/EO480&gt;2,EW480/EO480&lt;0.5),"NM",EW480/EO480*100-100))</f>
        <v>4</v>
      </c>
      <c r="EY480" s="72"/>
      <c r="EZ480" s="296"/>
      <c r="FA480" s="72"/>
      <c r="FB480" s="150"/>
      <c r="FC480" s="11"/>
      <c r="FD480" s="150">
        <v>817</v>
      </c>
      <c r="FE480" s="72" t="str">
        <f>IF(ISERROR(FD480/FB480),"NA",IF(OR(FD480/FB480&gt;2,FD480/FB480&lt;0.5),"NM",FD480/FB480*100-100))</f>
        <v>NA</v>
      </c>
      <c r="FF480" s="150">
        <v>529</v>
      </c>
      <c r="FG480" s="72">
        <f>IF(ISERROR(FF480/FD480),"NA",IF(OR(FF480/FD480&gt;2,FF480/FD480&lt;0.5),"NM",FF480/FD480*100-100))</f>
        <v>-35.250917992656056</v>
      </c>
      <c r="FH480" s="75">
        <f>K480+M480+O480+Q480</f>
        <v>444</v>
      </c>
      <c r="FI480" s="72">
        <f>IF(ISERROR(FH480/FF480),"NA",IF(OR(FH480/FF480&gt;2,FH480/FF480&lt;0.5),"NM",FH480/FF480*100-100))</f>
        <v>-16.068052930056709</v>
      </c>
      <c r="FJ480" s="75">
        <f>S480+U480+W480+Y480</f>
        <v>417</v>
      </c>
      <c r="FK480" s="72">
        <f>IF(ISERROR(FJ480/FH480),"NA",IF(OR(FJ480/FH480&gt;2,FJ480/FH480&lt;0.5),"NM",FJ480/FH480*100-100))</f>
        <v>-6.0810810810810807</v>
      </c>
      <c r="FL480" s="75">
        <f>+AA480+AC480+AE480+AG480</f>
        <v>494</v>
      </c>
      <c r="FM480" s="72">
        <f>IF(ISERROR(FL480/FJ480),"NA",IF(OR(FL480/FJ480&gt;2,FL480/FJ480&lt;0.5),"NM",FL480/FJ480*100-100))</f>
        <v>18.465227817745799</v>
      </c>
      <c r="FN480" s="75">
        <f>+AI480+AK480+AM480+AO480</f>
        <v>510</v>
      </c>
      <c r="FO480" s="72">
        <f>IF(ISERROR(FN480/FL480),"NA",IF(OR(FN480/FL480&gt;2,FN480/FL480&lt;0.5),"NM",FN480/FL480*100-100))</f>
        <v>3.2388663967611393</v>
      </c>
      <c r="FP480" s="75">
        <f>AQ480+AS480+AU480+AW480</f>
        <v>564</v>
      </c>
      <c r="FQ480" s="72">
        <f>IF(ISERROR(FP480/FN480),"NA",IF(OR(FP480/FN480&gt;2,FP480/FN480&lt;0.5),"NM",FP480/FN480*100-100))</f>
        <v>10.588235294117652</v>
      </c>
      <c r="FR480" s="144">
        <f>AY480+BA480+BC480+BE480</f>
        <v>628</v>
      </c>
      <c r="FS480" s="72">
        <f>IF(ISERROR(FR480/FP480),"NA",IF(OR(FR480/FP480&gt;2,FR480/FP480&lt;0.5),"NM",FR480/FP480*100-100))</f>
        <v>11.347517730496449</v>
      </c>
      <c r="FT480" s="144">
        <f>BG480+BI480+BK480+BM480</f>
        <v>530</v>
      </c>
      <c r="FU480" s="72">
        <f>IF(ISERROR(FT480/FR480),"NA",IF(OR(FT480/FR480&gt;2,FT480/FR480&lt;0.5),"NM",FT480/FR480*100-100))</f>
        <v>-15.605095541401269</v>
      </c>
      <c r="FV480" s="150">
        <v>85</v>
      </c>
      <c r="FW480" s="72" t="str">
        <f>IF(ISERROR(FV480/FT480),"NA",IF(OR(FV480/FT480&gt;2,FV480/FT480&lt;0.5),"NM",FV480/FT480*100-100))</f>
        <v>NM</v>
      </c>
      <c r="FX480" s="74">
        <v>-249</v>
      </c>
      <c r="FY480" s="72" t="str">
        <f>IF(ISERROR(FX480/FV480),"NA",IF(OR(FX480/FV480&gt;2,FX480/FV480&lt;0.5),"NM",FX480/FV480*100-100))</f>
        <v>NM</v>
      </c>
      <c r="FZ480" s="75">
        <f>CE480+CG480+CI480+CK480</f>
        <v>-235</v>
      </c>
      <c r="GA480" s="72">
        <f>IF(ISERROR(FZ480/FX480),"NA",IF(OR(FZ480/FX480&gt;2,FZ480/FX480&lt;0.5),"NM",FZ480/FX480*100-100))</f>
        <v>-5.6224899598393563</v>
      </c>
      <c r="GB480" s="144">
        <f>CM480+CO480+CQ480+CS480</f>
        <v>-187</v>
      </c>
      <c r="GC480" s="72">
        <f>IF(ISERROR(GB480/FZ480),"NA",IF(OR(GB480/FZ480&gt;2,GB480/FZ480&lt;0.5),"NM",GB480/FZ480*100-100))</f>
        <v>-20.425531914893611</v>
      </c>
      <c r="GD480" s="144">
        <f>CU480+CW480+CY480+DA480</f>
        <v>-403</v>
      </c>
      <c r="GE480" s="72" t="str">
        <f>IF(ISERROR(GD480/GB480),"NA",IF(OR(GD480/GB480&gt;2,GD480/GB480&lt;0.5),"NM",GD480/GB480*100-100))</f>
        <v>NM</v>
      </c>
      <c r="GF480" s="144">
        <f>DC480+DE480+DG480+DI480</f>
        <v>-568</v>
      </c>
      <c r="GG480" s="72">
        <f>IF(ISERROR(GF480/GD480),"NA",IF(OR(GF480/GD480&gt;2,GF480/GD480&lt;0.5),"NM",GF480/GD480*100-100))</f>
        <v>40.942928039702224</v>
      </c>
      <c r="GH480" s="144">
        <f>DK480+DM480+DO480+DQ480</f>
        <v>-632</v>
      </c>
      <c r="GI480" s="72">
        <f t="shared" ref="GI480:GU480" si="2338">IF(ISERROR(GH480/GF480),"NA",IF(OR(GH480/GF480&gt;2,GH480/GF480&lt;0.5),"NM",GH480/GF480*100-100))</f>
        <v>11.26760563380283</v>
      </c>
      <c r="GJ480" s="144">
        <f>DS480+DU480+DW480+DY480</f>
        <v>-570</v>
      </c>
      <c r="GK480" s="72">
        <f t="shared" si="2338"/>
        <v>-9.8101265822784711</v>
      </c>
      <c r="GL480" s="144">
        <f>EA480+EC480+EE480+EG480</f>
        <v>-636</v>
      </c>
      <c r="GM480" s="72">
        <f t="shared" si="2338"/>
        <v>11.578947368421041</v>
      </c>
      <c r="GN480" s="144">
        <f>EI480+EK480+EM480+EO480</f>
        <v>-667</v>
      </c>
      <c r="GO480" s="72">
        <f t="shared" si="2338"/>
        <v>4.8742138364779919</v>
      </c>
      <c r="GP480" s="144">
        <f>EQ480+ES480+EU480+EW480</f>
        <v>-693.68</v>
      </c>
      <c r="GQ480" s="72">
        <f t="shared" si="2338"/>
        <v>4</v>
      </c>
      <c r="GR480" s="150">
        <f>GP480*1.045</f>
        <v>-724.89559999999994</v>
      </c>
      <c r="GS480" s="72">
        <f t="shared" si="2338"/>
        <v>4.5</v>
      </c>
      <c r="GT480" s="150">
        <f>GR480*1.045</f>
        <v>-757.51590199999987</v>
      </c>
      <c r="GU480" s="72">
        <f t="shared" si="2338"/>
        <v>4.5</v>
      </c>
      <c r="GV480" s="150">
        <f>GT480*1.045</f>
        <v>-791.60411758999976</v>
      </c>
      <c r="GW480" s="72">
        <f>IF(ISERROR(GV480/GT480),"NA",IF(OR(GV480/GT480&gt;2,GV480/GT480&lt;0.5),"NM",GV480/GT480*100-100))</f>
        <v>4.5</v>
      </c>
      <c r="GX480" s="150">
        <f>GV480*1.045</f>
        <v>-827.22630288154971</v>
      </c>
      <c r="GY480" s="72">
        <f>IF(ISERROR(GX480/GV480),"NA",IF(OR(GX480/GV480&gt;2,GX480/GV480&lt;0.5),"NM",GX480/GV480*100-100))</f>
        <v>4.5</v>
      </c>
      <c r="GZ480" s="72">
        <f>IF(ISERROR(((GX480/GN480)^0.2-1)*100),"NA",IF((((GX480/GN480)^0.2-1)*100)&gt;100,"NM",IF((((GX480/GN480)^0.2-1)*100)&lt;-50,"NM",((GX480/GN480)^0.2-1)*100)))</f>
        <v>4.3998080611552748</v>
      </c>
      <c r="HA480" s="72"/>
      <c r="HB480" s="72"/>
      <c r="HC480"/>
      <c r="HD480"/>
      <c r="HE480"/>
      <c r="HF480"/>
      <c r="HG480"/>
      <c r="HH480"/>
      <c r="HI480" s="2"/>
    </row>
    <row r="481" spans="1:217" s="3" customFormat="1" ht="12.75" customHeight="1" x14ac:dyDescent="0.2">
      <c r="B481" s="10"/>
      <c r="C481" s="150"/>
      <c r="D481" s="11"/>
      <c r="E481" s="150"/>
      <c r="F481" s="11"/>
      <c r="G481" s="150"/>
      <c r="H481" s="11"/>
      <c r="I481" s="150"/>
      <c r="J481" s="72"/>
      <c r="K481" s="150"/>
      <c r="L481" s="72"/>
      <c r="M481" s="150"/>
      <c r="N481" s="72"/>
      <c r="O481" s="150"/>
      <c r="P481" s="72"/>
      <c r="Q481" s="150"/>
      <c r="R481" s="72"/>
      <c r="S481" s="150"/>
      <c r="T481" s="72"/>
      <c r="U481" s="150"/>
      <c r="V481" s="72"/>
      <c r="W481" s="150"/>
      <c r="X481" s="72"/>
      <c r="Y481" s="150"/>
      <c r="Z481" s="72"/>
      <c r="AA481" s="150"/>
      <c r="AB481" s="72"/>
      <c r="AC481" s="150"/>
      <c r="AD481" s="72"/>
      <c r="AE481" s="150"/>
      <c r="AF481" s="72"/>
      <c r="AG481" s="150"/>
      <c r="AH481" s="72"/>
      <c r="AI481" s="150"/>
      <c r="AJ481" s="72"/>
      <c r="AK481" s="150"/>
      <c r="AL481" s="72"/>
      <c r="AM481" s="150"/>
      <c r="AN481" s="72"/>
      <c r="AO481" s="150"/>
      <c r="AP481" s="72"/>
      <c r="AQ481" s="150"/>
      <c r="AR481" s="72"/>
      <c r="AS481" s="150"/>
      <c r="AT481" s="72"/>
      <c r="AU481" s="150"/>
      <c r="AV481" s="72"/>
      <c r="AW481" s="150"/>
      <c r="AX481" s="72"/>
      <c r="AY481" s="150"/>
      <c r="AZ481" s="72"/>
      <c r="BA481" s="150"/>
      <c r="BB481" s="72"/>
      <c r="BC481" s="150"/>
      <c r="BD481" s="72"/>
      <c r="BE481" s="150"/>
      <c r="BF481" s="72"/>
      <c r="BG481" s="150"/>
      <c r="BH481" s="72"/>
      <c r="BI481" s="150"/>
      <c r="BJ481" s="72"/>
      <c r="BK481" s="150"/>
      <c r="BL481" s="72"/>
      <c r="BM481" s="150"/>
      <c r="BN481" s="72"/>
      <c r="BO481" s="150"/>
      <c r="BP481" s="72"/>
      <c r="BQ481" s="150"/>
      <c r="BR481" s="72"/>
      <c r="BS481" s="150"/>
      <c r="BT481" s="72"/>
      <c r="BU481" s="150"/>
      <c r="BV481" s="72"/>
      <c r="BW481" s="150"/>
      <c r="BX481" s="72"/>
      <c r="BY481" s="150"/>
      <c r="BZ481" s="72"/>
      <c r="CA481" s="150"/>
      <c r="CB481" s="72"/>
      <c r="CC481" s="150"/>
      <c r="CD481" s="72"/>
      <c r="CE481" s="150"/>
      <c r="CF481" s="72"/>
      <c r="CG481" s="150"/>
      <c r="CH481" s="72"/>
      <c r="CI481" s="150"/>
      <c r="CJ481" s="72"/>
      <c r="CK481" s="150"/>
      <c r="CL481" s="72"/>
      <c r="CM481" s="150"/>
      <c r="CN481" s="72"/>
      <c r="CO481" s="150"/>
      <c r="CP481" s="72"/>
      <c r="CQ481" s="150"/>
      <c r="CR481" s="72"/>
      <c r="CS481" s="150"/>
      <c r="CT481" s="72"/>
      <c r="CU481" s="150"/>
      <c r="CV481" s="72"/>
      <c r="CW481" s="150"/>
      <c r="CX481" s="72"/>
      <c r="CY481" s="150"/>
      <c r="CZ481" s="72"/>
      <c r="DA481" s="150"/>
      <c r="DB481" s="72"/>
      <c r="DC481" s="150"/>
      <c r="DD481" s="72"/>
      <c r="DE481" s="150"/>
      <c r="DF481" s="72"/>
      <c r="DG481" s="150"/>
      <c r="DH481" s="72"/>
      <c r="DI481" s="150"/>
      <c r="DJ481" s="72"/>
      <c r="DK481" s="150"/>
      <c r="DL481" s="72"/>
      <c r="DM481" s="150"/>
      <c r="DN481" s="72"/>
      <c r="DO481" s="150"/>
      <c r="DP481" s="72"/>
      <c r="DQ481" s="150"/>
      <c r="DR481" s="72"/>
      <c r="DS481" s="150"/>
      <c r="DT481" s="72"/>
      <c r="DU481" s="150"/>
      <c r="DV481" s="72"/>
      <c r="DW481" s="144"/>
      <c r="DX481" s="72"/>
      <c r="DY481" s="144"/>
      <c r="DZ481" s="72"/>
      <c r="EA481" s="144"/>
      <c r="EB481" s="72"/>
      <c r="EC481" s="144"/>
      <c r="ED481" s="72"/>
      <c r="EE481" s="144"/>
      <c r="EF481" s="72"/>
      <c r="EG481" s="144"/>
      <c r="EH481" s="72"/>
      <c r="EI481" s="144"/>
      <c r="EJ481" s="72"/>
      <c r="EK481" s="144"/>
      <c r="EL481" s="72"/>
      <c r="EM481" s="144"/>
      <c r="EN481" s="72"/>
      <c r="EO481" s="144"/>
      <c r="EP481" s="72"/>
      <c r="EQ481" s="144"/>
      <c r="ER481" s="72"/>
      <c r="ES481" s="144"/>
      <c r="ET481" s="72"/>
      <c r="EU481" s="144"/>
      <c r="EV481" s="72"/>
      <c r="EW481" s="144"/>
      <c r="EX481" s="72"/>
      <c r="EY481" s="72"/>
      <c r="EZ481" s="296"/>
      <c r="FA481" s="72"/>
      <c r="FB481" s="150"/>
      <c r="FC481" s="11"/>
      <c r="FD481" s="150"/>
      <c r="FE481" s="72"/>
      <c r="FF481" s="150"/>
      <c r="FG481" s="72"/>
      <c r="FH481" s="75"/>
      <c r="FI481" s="72"/>
      <c r="FJ481" s="75"/>
      <c r="FK481" s="72"/>
      <c r="FL481" s="75"/>
      <c r="FM481" s="72"/>
      <c r="FN481" s="75"/>
      <c r="FO481" s="72"/>
      <c r="FP481" s="75"/>
      <c r="FQ481" s="72"/>
      <c r="FR481" s="144"/>
      <c r="FS481" s="72"/>
      <c r="FT481" s="144"/>
      <c r="FU481" s="72"/>
      <c r="FV481" s="144"/>
      <c r="FW481" s="72"/>
      <c r="FX481" s="144"/>
      <c r="FY481" s="72"/>
      <c r="FZ481" s="144"/>
      <c r="GA481" s="72"/>
      <c r="GB481" s="144"/>
      <c r="GC481" s="72"/>
      <c r="GD481" s="144"/>
      <c r="GE481" s="72"/>
      <c r="GF481" s="144"/>
      <c r="GG481" s="72"/>
      <c r="GH481" s="144"/>
      <c r="GI481" s="72"/>
      <c r="GJ481" s="144"/>
      <c r="GK481" s="72"/>
      <c r="GL481" s="144"/>
      <c r="GM481" s="72"/>
      <c r="GN481" s="144"/>
      <c r="GO481" s="72"/>
      <c r="GP481" s="144"/>
      <c r="GQ481" s="72"/>
      <c r="GR481" s="144"/>
      <c r="GS481" s="72"/>
      <c r="GT481" s="144"/>
      <c r="GU481" s="72"/>
      <c r="GV481" s="144"/>
      <c r="GW481" s="72"/>
      <c r="GX481" s="144"/>
      <c r="GY481" s="72"/>
      <c r="GZ481" s="72"/>
      <c r="HA481" s="72"/>
      <c r="HB481" s="72"/>
      <c r="HC481"/>
      <c r="HD481"/>
      <c r="HE481"/>
      <c r="HF481"/>
      <c r="HG481"/>
      <c r="HH481"/>
      <c r="HI481" s="2"/>
    </row>
    <row r="482" spans="1:217" s="3" customFormat="1" ht="12.75" hidden="1" customHeight="1" outlineLevel="1" x14ac:dyDescent="0.2">
      <c r="B482" s="10" t="s">
        <v>479</v>
      </c>
      <c r="C482" s="150"/>
      <c r="D482" s="11"/>
      <c r="E482" s="150"/>
      <c r="F482" s="11"/>
      <c r="G482" s="150"/>
      <c r="H482" s="11"/>
      <c r="I482" s="150"/>
      <c r="J482" s="72"/>
      <c r="K482" s="150"/>
      <c r="L482" s="72"/>
      <c r="M482" s="150"/>
      <c r="N482" s="72"/>
      <c r="O482" s="150"/>
      <c r="P482" s="72"/>
      <c r="Q482" s="150"/>
      <c r="R482" s="72"/>
      <c r="S482" s="150"/>
      <c r="T482" s="72"/>
      <c r="U482" s="150"/>
      <c r="V482" s="72"/>
      <c r="W482" s="150"/>
      <c r="X482" s="72"/>
      <c r="Y482" s="150"/>
      <c r="Z482" s="72"/>
      <c r="AA482" s="150"/>
      <c r="AB482" s="72"/>
      <c r="AC482" s="150"/>
      <c r="AD482" s="72"/>
      <c r="AE482" s="150"/>
      <c r="AF482" s="72"/>
      <c r="AG482" s="150"/>
      <c r="AH482" s="72"/>
      <c r="AI482" s="150"/>
      <c r="AJ482" s="72"/>
      <c r="AK482" s="150"/>
      <c r="AL482" s="72"/>
      <c r="AM482" s="150"/>
      <c r="AN482" s="72"/>
      <c r="AO482" s="150"/>
      <c r="AP482" s="72"/>
      <c r="AQ482" s="150"/>
      <c r="AR482" s="72"/>
      <c r="AS482" s="150"/>
      <c r="AT482" s="72"/>
      <c r="AU482" s="150"/>
      <c r="AV482" s="72"/>
      <c r="AW482" s="150"/>
      <c r="AX482" s="72"/>
      <c r="AY482" s="150"/>
      <c r="AZ482" s="72"/>
      <c r="BA482" s="150"/>
      <c r="BB482" s="72"/>
      <c r="BC482" s="150"/>
      <c r="BD482" s="72"/>
      <c r="BE482" s="150"/>
      <c r="BF482" s="72"/>
      <c r="BG482" s="150"/>
      <c r="BH482" s="72"/>
      <c r="BI482" s="150"/>
      <c r="BJ482" s="72"/>
      <c r="BK482" s="150"/>
      <c r="BL482" s="72"/>
      <c r="BM482" s="150"/>
      <c r="BN482" s="72"/>
      <c r="BO482" s="150"/>
      <c r="BP482" s="72"/>
      <c r="BQ482" s="150"/>
      <c r="BR482" s="72"/>
      <c r="BS482" s="150"/>
      <c r="BT482" s="72"/>
      <c r="BU482" s="150"/>
      <c r="BV482" s="72"/>
      <c r="BW482" s="150"/>
      <c r="BX482" s="72"/>
      <c r="BY482" s="150"/>
      <c r="BZ482" s="72"/>
      <c r="CA482" s="150"/>
      <c r="CB482" s="72"/>
      <c r="CC482" s="150"/>
      <c r="CD482" s="72"/>
      <c r="CE482" s="150"/>
      <c r="CF482" s="72"/>
      <c r="CG482" s="150"/>
      <c r="CH482" s="72"/>
      <c r="CI482" s="150"/>
      <c r="CJ482" s="72"/>
      <c r="CK482" s="150"/>
      <c r="CL482" s="72"/>
      <c r="CM482" s="150"/>
      <c r="CN482" s="72"/>
      <c r="CO482" s="150"/>
      <c r="CP482" s="72"/>
      <c r="CQ482" s="150"/>
      <c r="CR482" s="72"/>
      <c r="CS482" s="150"/>
      <c r="CT482" s="72"/>
      <c r="CU482" s="150"/>
      <c r="CV482" s="72"/>
      <c r="CW482" s="150"/>
      <c r="CX482" s="72"/>
      <c r="CY482" s="150"/>
      <c r="CZ482" s="72"/>
      <c r="DA482" s="150"/>
      <c r="DB482" s="72"/>
      <c r="DC482" s="150"/>
      <c r="DD482" s="72"/>
      <c r="DE482" s="150"/>
      <c r="DF482" s="72"/>
      <c r="DG482" s="150"/>
      <c r="DH482" s="72"/>
      <c r="DI482" s="150"/>
      <c r="DJ482" s="72"/>
      <c r="DK482" s="150"/>
      <c r="DL482" s="72"/>
      <c r="DM482" s="150"/>
      <c r="DN482" s="72"/>
      <c r="DO482" s="150"/>
      <c r="DP482" s="72"/>
      <c r="DQ482" s="150"/>
      <c r="DR482" s="72"/>
      <c r="DS482" s="150"/>
      <c r="DT482" s="72"/>
      <c r="DU482" s="150"/>
      <c r="DV482" s="72"/>
      <c r="DW482" s="144"/>
      <c r="DX482" s="72"/>
      <c r="DY482" s="144"/>
      <c r="DZ482" s="72"/>
      <c r="EA482" s="144"/>
      <c r="EB482" s="72"/>
      <c r="EC482" s="144"/>
      <c r="ED482" s="72"/>
      <c r="EE482" s="144"/>
      <c r="EF482" s="72"/>
      <c r="EG482" s="144"/>
      <c r="EH482" s="72"/>
      <c r="EI482" s="144"/>
      <c r="EJ482" s="72"/>
      <c r="EK482" s="144"/>
      <c r="EL482" s="72"/>
      <c r="EM482" s="144"/>
      <c r="EN482" s="72"/>
      <c r="EO482" s="144"/>
      <c r="EP482" s="72"/>
      <c r="EQ482" s="144"/>
      <c r="ER482" s="72"/>
      <c r="ES482" s="144"/>
      <c r="ET482" s="72"/>
      <c r="EU482" s="144"/>
      <c r="EV482" s="72"/>
      <c r="EW482" s="144"/>
      <c r="EX482" s="72"/>
      <c r="EY482" s="72"/>
      <c r="EZ482" s="296"/>
      <c r="FA482" s="72"/>
      <c r="FB482" s="150"/>
      <c r="FC482" s="11"/>
      <c r="FD482" s="150"/>
      <c r="FE482" s="72"/>
      <c r="FF482" s="150"/>
      <c r="FG482" s="72"/>
      <c r="FH482" s="75"/>
      <c r="FI482" s="72"/>
      <c r="FJ482" s="75"/>
      <c r="FK482" s="72"/>
      <c r="FL482" s="75"/>
      <c r="FM482" s="72"/>
      <c r="FN482" s="75"/>
      <c r="FO482" s="72"/>
      <c r="FP482" s="75"/>
      <c r="FQ482" s="72"/>
      <c r="FR482" s="144"/>
      <c r="FS482" s="72"/>
      <c r="FT482" s="144"/>
      <c r="FU482" s="72"/>
      <c r="FV482" s="144"/>
      <c r="FW482" s="72"/>
      <c r="FX482" s="144"/>
      <c r="FY482" s="72"/>
      <c r="FZ482" s="144"/>
      <c r="GA482" s="72"/>
      <c r="GB482" s="144"/>
      <c r="GC482" s="72"/>
      <c r="GD482" s="144"/>
      <c r="GE482" s="72"/>
      <c r="GF482" s="144"/>
      <c r="GG482" s="72"/>
      <c r="GH482" s="144"/>
      <c r="GI482" s="72"/>
      <c r="GJ482" s="144"/>
      <c r="GK482" s="72"/>
      <c r="GL482" s="144"/>
      <c r="GM482" s="72"/>
      <c r="GN482" s="144"/>
      <c r="GO482" s="72"/>
      <c r="GP482" s="144"/>
      <c r="GQ482" s="72"/>
      <c r="GR482" s="144"/>
      <c r="GS482" s="72"/>
      <c r="GT482" s="144"/>
      <c r="GU482" s="72"/>
      <c r="GV482" s="144"/>
      <c r="GW482" s="72"/>
      <c r="GX482" s="144"/>
      <c r="GY482" s="72"/>
      <c r="GZ482" s="72"/>
      <c r="HA482" s="72"/>
      <c r="HB482" s="72"/>
      <c r="HC482"/>
      <c r="HD482"/>
      <c r="HE482"/>
      <c r="HF482"/>
      <c r="HG482"/>
      <c r="HH482"/>
      <c r="HI482" s="2"/>
    </row>
    <row r="483" spans="1:217" s="3" customFormat="1" ht="12.75" hidden="1" customHeight="1" outlineLevel="1" x14ac:dyDescent="0.2">
      <c r="B483" s="10" t="s">
        <v>271</v>
      </c>
      <c r="C483" s="150"/>
      <c r="D483" s="11"/>
      <c r="E483" s="150"/>
      <c r="F483" s="11"/>
      <c r="G483" s="150"/>
      <c r="H483" s="11"/>
      <c r="I483" s="150"/>
      <c r="J483" s="72"/>
      <c r="K483" s="150"/>
      <c r="L483" s="72"/>
      <c r="M483" s="150"/>
      <c r="N483" s="72"/>
      <c r="O483" s="150"/>
      <c r="P483" s="72"/>
      <c r="Q483" s="150"/>
      <c r="R483" s="72"/>
      <c r="S483" s="150"/>
      <c r="T483" s="72"/>
      <c r="U483" s="150"/>
      <c r="V483" s="72"/>
      <c r="W483" s="150"/>
      <c r="X483" s="72"/>
      <c r="Y483" s="150"/>
      <c r="Z483" s="72"/>
      <c r="AA483" s="150"/>
      <c r="AB483" s="72"/>
      <c r="AC483" s="150"/>
      <c r="AD483" s="72"/>
      <c r="AE483" s="150"/>
      <c r="AF483" s="72"/>
      <c r="AG483" s="150"/>
      <c r="AH483" s="72"/>
      <c r="AI483" s="150"/>
      <c r="AJ483" s="72"/>
      <c r="AK483" s="150"/>
      <c r="AL483" s="72"/>
      <c r="AM483" s="150"/>
      <c r="AN483" s="72"/>
      <c r="AO483" s="150"/>
      <c r="AP483" s="72"/>
      <c r="AQ483" s="150"/>
      <c r="AR483" s="72"/>
      <c r="AS483" s="150"/>
      <c r="AT483" s="72"/>
      <c r="AU483" s="150"/>
      <c r="AV483" s="72"/>
      <c r="AW483" s="150"/>
      <c r="AX483" s="72"/>
      <c r="AY483" s="150"/>
      <c r="AZ483" s="72"/>
      <c r="BA483" s="150"/>
      <c r="BB483" s="72"/>
      <c r="BC483" s="150"/>
      <c r="BD483" s="72"/>
      <c r="BE483" s="150"/>
      <c r="BF483" s="72"/>
      <c r="BG483" s="150"/>
      <c r="BH483" s="72"/>
      <c r="BI483" s="150"/>
      <c r="BJ483" s="72"/>
      <c r="BK483" s="150"/>
      <c r="BL483" s="72"/>
      <c r="BM483" s="150"/>
      <c r="BN483" s="72"/>
      <c r="BO483" s="150"/>
      <c r="BP483" s="72"/>
      <c r="BQ483" s="150"/>
      <c r="BR483" s="72"/>
      <c r="BS483" s="150"/>
      <c r="BT483" s="72"/>
      <c r="BU483" s="150"/>
      <c r="BV483" s="72"/>
      <c r="BW483" s="150"/>
      <c r="BX483" s="72"/>
      <c r="BY483" s="150"/>
      <c r="BZ483" s="72"/>
      <c r="CA483" s="150"/>
      <c r="CB483" s="72"/>
      <c r="CC483" s="150"/>
      <c r="CD483" s="72"/>
      <c r="CE483" s="150"/>
      <c r="CF483" s="72"/>
      <c r="CG483" s="150"/>
      <c r="CH483" s="72"/>
      <c r="CI483" s="150"/>
      <c r="CJ483" s="72"/>
      <c r="CK483" s="150"/>
      <c r="CL483" s="72"/>
      <c r="CM483" s="150"/>
      <c r="CN483" s="72"/>
      <c r="CO483" s="150"/>
      <c r="CP483" s="72"/>
      <c r="CQ483" s="150"/>
      <c r="CR483" s="72"/>
      <c r="CS483" s="150"/>
      <c r="CT483" s="72"/>
      <c r="CU483" s="150"/>
      <c r="CV483" s="72"/>
      <c r="CW483" s="150"/>
      <c r="CX483" s="72"/>
      <c r="CY483" s="150"/>
      <c r="CZ483" s="72"/>
      <c r="DA483" s="150"/>
      <c r="DB483" s="72"/>
      <c r="DC483" s="150"/>
      <c r="DD483" s="72"/>
      <c r="DE483" s="150"/>
      <c r="DF483" s="72"/>
      <c r="DG483" s="150"/>
      <c r="DH483" s="72"/>
      <c r="DI483" s="150"/>
      <c r="DJ483" s="72"/>
      <c r="DK483" s="150"/>
      <c r="DL483" s="72"/>
      <c r="DM483" s="150"/>
      <c r="DN483" s="72"/>
      <c r="DO483" s="150"/>
      <c r="DP483" s="72"/>
      <c r="DQ483" s="150"/>
      <c r="DR483" s="72"/>
      <c r="DS483" s="150"/>
      <c r="DT483" s="72"/>
      <c r="DU483" s="150"/>
      <c r="DV483" s="72"/>
      <c r="DW483" s="144"/>
      <c r="DX483" s="72"/>
      <c r="DY483" s="144"/>
      <c r="DZ483" s="72"/>
      <c r="EA483" s="144"/>
      <c r="EB483" s="72"/>
      <c r="EC483" s="144"/>
      <c r="ED483" s="72"/>
      <c r="EE483" s="144"/>
      <c r="EF483" s="72"/>
      <c r="EG483" s="144"/>
      <c r="EH483" s="72"/>
      <c r="EI483" s="144"/>
      <c r="EJ483" s="72"/>
      <c r="EK483" s="144"/>
      <c r="EL483" s="72"/>
      <c r="EM483" s="144"/>
      <c r="EN483" s="72"/>
      <c r="EO483" s="144"/>
      <c r="EP483" s="72"/>
      <c r="EQ483" s="144"/>
      <c r="ER483" s="72"/>
      <c r="ES483" s="144"/>
      <c r="ET483" s="72"/>
      <c r="EU483" s="144"/>
      <c r="EV483" s="72"/>
      <c r="EW483" s="144"/>
      <c r="EX483" s="72"/>
      <c r="EY483" s="72"/>
      <c r="EZ483" s="296"/>
      <c r="FA483" s="72"/>
      <c r="FB483" s="150"/>
      <c r="FC483" s="11"/>
      <c r="FD483" s="150"/>
      <c r="FE483" s="72"/>
      <c r="FF483" s="150"/>
      <c r="FG483" s="72"/>
      <c r="FH483" s="75"/>
      <c r="FI483" s="72"/>
      <c r="FJ483" s="75"/>
      <c r="FK483" s="72"/>
      <c r="FL483" s="75"/>
      <c r="FM483" s="72"/>
      <c r="FN483" s="75"/>
      <c r="FO483" s="72"/>
      <c r="FP483" s="75"/>
      <c r="FQ483" s="72"/>
      <c r="FR483" s="144"/>
      <c r="FS483" s="72"/>
      <c r="FT483" s="144"/>
      <c r="FU483" s="72"/>
      <c r="FV483" s="144"/>
      <c r="FW483" s="72"/>
      <c r="FX483" s="144"/>
      <c r="FY483" s="72"/>
      <c r="FZ483" s="144"/>
      <c r="GA483" s="72"/>
      <c r="GB483" s="144"/>
      <c r="GC483" s="72"/>
      <c r="GD483" s="144"/>
      <c r="GE483" s="72"/>
      <c r="GF483" s="144"/>
      <c r="GG483" s="72"/>
      <c r="GH483" s="144"/>
      <c r="GI483" s="72"/>
      <c r="GJ483" s="144"/>
      <c r="GK483" s="72"/>
      <c r="GL483" s="144"/>
      <c r="GM483" s="72"/>
      <c r="GN483" s="144"/>
      <c r="GO483" s="72"/>
      <c r="GP483" s="144"/>
      <c r="GQ483" s="72"/>
      <c r="GR483" s="144"/>
      <c r="GS483" s="72"/>
      <c r="GT483" s="144"/>
      <c r="GU483" s="72"/>
      <c r="GV483" s="144"/>
      <c r="GW483" s="72"/>
      <c r="GX483" s="144"/>
      <c r="GY483" s="72"/>
      <c r="GZ483" s="72"/>
      <c r="HA483" s="72"/>
      <c r="HB483" s="72"/>
      <c r="HC483"/>
      <c r="HD483"/>
      <c r="HE483"/>
      <c r="HF483"/>
      <c r="HG483"/>
      <c r="HH483"/>
      <c r="HI483" s="2"/>
    </row>
    <row r="484" spans="1:217" s="3" customFormat="1" ht="12.75" hidden="1" customHeight="1" outlineLevel="1" x14ac:dyDescent="0.2">
      <c r="B484" s="10" t="s">
        <v>480</v>
      </c>
      <c r="C484" s="150"/>
      <c r="D484" s="11"/>
      <c r="E484" s="150"/>
      <c r="F484" s="11"/>
      <c r="G484" s="150"/>
      <c r="H484" s="11"/>
      <c r="I484" s="150"/>
      <c r="J484" s="72"/>
      <c r="K484" s="150"/>
      <c r="L484" s="72"/>
      <c r="M484" s="150"/>
      <c r="N484" s="72"/>
      <c r="O484" s="150"/>
      <c r="P484" s="72"/>
      <c r="Q484" s="150"/>
      <c r="R484" s="72"/>
      <c r="S484" s="150"/>
      <c r="T484" s="72"/>
      <c r="U484" s="150"/>
      <c r="V484" s="72"/>
      <c r="W484" s="150"/>
      <c r="X484" s="72"/>
      <c r="Y484" s="150"/>
      <c r="Z484" s="72"/>
      <c r="AA484" s="150"/>
      <c r="AB484" s="72"/>
      <c r="AC484" s="150"/>
      <c r="AD484" s="72"/>
      <c r="AE484" s="150"/>
      <c r="AF484" s="72"/>
      <c r="AG484" s="150"/>
      <c r="AH484" s="72"/>
      <c r="AI484" s="150"/>
      <c r="AJ484" s="72"/>
      <c r="AK484" s="150"/>
      <c r="AL484" s="72"/>
      <c r="AM484" s="150"/>
      <c r="AN484" s="72"/>
      <c r="AO484" s="150"/>
      <c r="AP484" s="72"/>
      <c r="AQ484" s="150"/>
      <c r="AR484" s="72"/>
      <c r="AS484" s="150"/>
      <c r="AT484" s="72"/>
      <c r="AU484" s="150"/>
      <c r="AV484" s="72"/>
      <c r="AW484" s="150"/>
      <c r="AX484" s="72"/>
      <c r="AY484" s="150"/>
      <c r="AZ484" s="72"/>
      <c r="BA484" s="150"/>
      <c r="BB484" s="72"/>
      <c r="BC484" s="150"/>
      <c r="BD484" s="72"/>
      <c r="BE484" s="150"/>
      <c r="BF484" s="72"/>
      <c r="BG484" s="150"/>
      <c r="BH484" s="72"/>
      <c r="BI484" s="150"/>
      <c r="BJ484" s="72"/>
      <c r="BK484" s="150"/>
      <c r="BL484" s="72"/>
      <c r="BM484" s="150"/>
      <c r="BN484" s="72"/>
      <c r="BO484" s="150"/>
      <c r="BP484" s="72"/>
      <c r="BQ484" s="150"/>
      <c r="BR484" s="72"/>
      <c r="BS484" s="150"/>
      <c r="BT484" s="72"/>
      <c r="BU484" s="150"/>
      <c r="BV484" s="72"/>
      <c r="BW484" s="150"/>
      <c r="BX484" s="72"/>
      <c r="BY484" s="150"/>
      <c r="BZ484" s="72"/>
      <c r="CA484" s="150"/>
      <c r="CB484" s="72"/>
      <c r="CC484" s="150"/>
      <c r="CD484" s="72"/>
      <c r="CE484" s="150"/>
      <c r="CF484" s="72"/>
      <c r="CG484" s="150"/>
      <c r="CH484" s="72"/>
      <c r="CI484" s="150"/>
      <c r="CJ484" s="72"/>
      <c r="CK484" s="150"/>
      <c r="CL484" s="72"/>
      <c r="CM484" s="150"/>
      <c r="CN484" s="72"/>
      <c r="CO484" s="150"/>
      <c r="CP484" s="72"/>
      <c r="CQ484" s="150"/>
      <c r="CR484" s="72"/>
      <c r="CS484" s="150"/>
      <c r="CT484" s="72"/>
      <c r="CU484" s="150"/>
      <c r="CV484" s="72"/>
      <c r="CW484" s="150"/>
      <c r="CX484" s="72"/>
      <c r="CY484" s="150"/>
      <c r="CZ484" s="72"/>
      <c r="DA484" s="150"/>
      <c r="DB484" s="72"/>
      <c r="DC484" s="150"/>
      <c r="DD484" s="72"/>
      <c r="DE484" s="150"/>
      <c r="DF484" s="72"/>
      <c r="DG484" s="150"/>
      <c r="DH484" s="72"/>
      <c r="DI484" s="150"/>
      <c r="DJ484" s="72"/>
      <c r="DK484" s="150"/>
      <c r="DL484" s="72"/>
      <c r="DM484" s="150"/>
      <c r="DN484" s="72"/>
      <c r="DO484" s="150"/>
      <c r="DP484" s="72"/>
      <c r="DQ484" s="150"/>
      <c r="DR484" s="72"/>
      <c r="DS484" s="150"/>
      <c r="DT484" s="72"/>
      <c r="DU484" s="150"/>
      <c r="DV484" s="72"/>
      <c r="DW484" s="144"/>
      <c r="DX484" s="72"/>
      <c r="DY484" s="144"/>
      <c r="DZ484" s="72"/>
      <c r="EA484" s="144"/>
      <c r="EB484" s="72"/>
      <c r="EC484" s="144"/>
      <c r="ED484" s="72"/>
      <c r="EE484" s="144"/>
      <c r="EF484" s="72"/>
      <c r="EG484" s="144"/>
      <c r="EH484" s="72"/>
      <c r="EI484" s="144"/>
      <c r="EJ484" s="72"/>
      <c r="EK484" s="144"/>
      <c r="EL484" s="72"/>
      <c r="EM484" s="144"/>
      <c r="EN484" s="72"/>
      <c r="EO484" s="144"/>
      <c r="EP484" s="72"/>
      <c r="EQ484" s="144"/>
      <c r="ER484" s="72"/>
      <c r="ES484" s="144"/>
      <c r="ET484" s="72"/>
      <c r="EU484" s="144"/>
      <c r="EV484" s="72"/>
      <c r="EW484" s="144"/>
      <c r="EX484" s="72"/>
      <c r="EY484" s="72"/>
      <c r="EZ484" s="296"/>
      <c r="FA484" s="72"/>
      <c r="FB484" s="150"/>
      <c r="FC484" s="11"/>
      <c r="FD484" s="150"/>
      <c r="FE484" s="72"/>
      <c r="FF484" s="150"/>
      <c r="FG484" s="72"/>
      <c r="FH484" s="75"/>
      <c r="FI484" s="72"/>
      <c r="FJ484" s="75"/>
      <c r="FK484" s="72"/>
      <c r="FL484" s="75"/>
      <c r="FM484" s="72"/>
      <c r="FN484" s="75"/>
      <c r="FO484" s="72"/>
      <c r="FP484" s="75"/>
      <c r="FQ484" s="72"/>
      <c r="FR484" s="144">
        <f>FR485-FR483</f>
        <v>581</v>
      </c>
      <c r="FS484" s="72" t="str">
        <f>IF(ISERROR(FR484/FP484),"NA",IF(OR(FR484/FP484&gt;2,FR484/FP484&lt;0.5),"NM",FR484/FP484*100-100))</f>
        <v>NA</v>
      </c>
      <c r="FT484" s="144">
        <f>FT485-FT483</f>
        <v>662.4</v>
      </c>
      <c r="FU484" s="72">
        <f>IF(ISERROR(FT484/FR484),"NA",IF(OR(FT484/FR484&gt;2,FT484/FR484&lt;0.5),"NM",FT484/FR484*100-100))</f>
        <v>14.010327022375208</v>
      </c>
      <c r="FV484" s="144">
        <f>FV485-FV483</f>
        <v>343</v>
      </c>
      <c r="FW484" s="72">
        <f t="shared" ref="FW484:GU487" si="2339">IF(ISERROR(FV484/FT484),"NA",IF(OR(FV484/FT484&gt;2,FV484/FT484&lt;0.5),"NM",FV484/FT484*100-100))</f>
        <v>-48.218599033816425</v>
      </c>
      <c r="FX484" s="144">
        <f>FX485-FX483</f>
        <v>539</v>
      </c>
      <c r="FY484" s="72">
        <f t="shared" si="2339"/>
        <v>57.142857142857139</v>
      </c>
      <c r="FZ484" s="144">
        <f>FZ485-FZ483</f>
        <v>714</v>
      </c>
      <c r="GA484" s="72">
        <f t="shared" si="2339"/>
        <v>32.467532467532465</v>
      </c>
      <c r="GB484" s="144">
        <f>GB485-GB483</f>
        <v>953</v>
      </c>
      <c r="GC484" s="72">
        <f t="shared" si="2339"/>
        <v>33.473389355742285</v>
      </c>
      <c r="GD484" s="144">
        <f>GD485-GD483</f>
        <v>934</v>
      </c>
      <c r="GE484" s="72">
        <f t="shared" si="2339"/>
        <v>-1.993704092339982</v>
      </c>
      <c r="GF484" s="144">
        <f>GF485-GF483</f>
        <v>802</v>
      </c>
      <c r="GG484" s="72">
        <f t="shared" si="2339"/>
        <v>-14.13276231263383</v>
      </c>
      <c r="GH484" s="144">
        <f>GH485-GH483</f>
        <v>716</v>
      </c>
      <c r="GI484" s="72">
        <f t="shared" si="2339"/>
        <v>-10.723192019950119</v>
      </c>
      <c r="GJ484" s="144">
        <f>GJ485-GJ483</f>
        <v>743</v>
      </c>
      <c r="GK484" s="72">
        <f t="shared" si="2339"/>
        <v>3.7709497206703873</v>
      </c>
      <c r="GL484" s="144">
        <f>GL485-GL483</f>
        <v>945</v>
      </c>
      <c r="GM484" s="72">
        <f t="shared" si="2339"/>
        <v>27.187079407806181</v>
      </c>
      <c r="GN484" s="144">
        <f>GN485-GN483</f>
        <v>770</v>
      </c>
      <c r="GO484" s="72">
        <f t="shared" si="2339"/>
        <v>-18.518518518518519</v>
      </c>
      <c r="GP484" s="144">
        <f>GP485-GP483</f>
        <v>756.32</v>
      </c>
      <c r="GQ484" s="72">
        <f t="shared" si="2339"/>
        <v>-1.7766233766233626</v>
      </c>
      <c r="GR484" s="144">
        <f>GR485-GR483</f>
        <v>775.85439999999983</v>
      </c>
      <c r="GS484" s="72">
        <f t="shared" si="2339"/>
        <v>2.5828220858895321</v>
      </c>
      <c r="GT484" s="144">
        <f>GT485-GT483</f>
        <v>788.25659799999994</v>
      </c>
      <c r="GU484" s="72">
        <f t="shared" si="2339"/>
        <v>1.5985213204952089</v>
      </c>
      <c r="GV484" s="144">
        <f>GV485-GV483</f>
        <v>800.54155741</v>
      </c>
      <c r="GW484" s="72">
        <f>IF(ISERROR(GV484/GT484),"NA",IF(OR(GV484/GT484&gt;2,GV484/GT484&lt;0.5),"NM",GV484/GT484*100-100))</f>
        <v>1.5584975046412524</v>
      </c>
      <c r="GX484" s="144">
        <f>GX485-GX483</f>
        <v>814.27588804344998</v>
      </c>
      <c r="GY484" s="72">
        <f>IF(ISERROR(GX484/GV484),"NA",IF(OR(GX484/GV484&gt;2,GX484/GV484&lt;0.5),"NM",GX484/GV484*100-100))</f>
        <v>1.7156299390483696</v>
      </c>
      <c r="GZ484" s="72">
        <f>IF(ISERROR(((GX484/GN484)^0.2-1)*100),"NA",IF((((GX484/GN484)^0.2-1)*100)&gt;100,"NM",IF((((GX484/GN484)^0.2-1)*100)&lt;-50,"NM",((GX484/GN484)^0.2-1)*100)))</f>
        <v>1.1244493875823602</v>
      </c>
      <c r="HA484" s="72"/>
      <c r="HB484" s="72"/>
      <c r="HC484"/>
      <c r="HD484"/>
      <c r="HE484"/>
      <c r="HF484"/>
      <c r="HG484"/>
      <c r="HH484"/>
      <c r="HI484" s="2"/>
    </row>
    <row r="485" spans="1:217" s="3" customFormat="1" ht="12.75" customHeight="1" collapsed="1" x14ac:dyDescent="0.2">
      <c r="B485" s="10" t="s">
        <v>156</v>
      </c>
      <c r="C485" s="150"/>
      <c r="D485" s="11"/>
      <c r="E485" s="150"/>
      <c r="F485" s="11"/>
      <c r="G485" s="150"/>
      <c r="H485" s="11"/>
      <c r="I485" s="150"/>
      <c r="J485" s="72"/>
      <c r="K485" s="150">
        <v>72</v>
      </c>
      <c r="L485" s="72" t="str">
        <f>IF(ISERROR(K485/C485),"NA",IF(OR(K485/C485&gt;2,K485/C485&lt;0.5),"NM",K485/C485*100-100))</f>
        <v>NA</v>
      </c>
      <c r="M485" s="150">
        <v>140</v>
      </c>
      <c r="N485" s="72" t="str">
        <f>IF(ISERROR(M485/E485),"NA",IF(OR(M485/E485&gt;2,M485/E485&lt;0.5),"NM",M485/E485*100-100))</f>
        <v>NA</v>
      </c>
      <c r="O485" s="150">
        <v>27</v>
      </c>
      <c r="P485" s="72" t="str">
        <f>IF(ISERROR(O485/G485),"NA",IF(OR(O485/G485&gt;2,O485/G485&lt;0.5),"NM",O485/G485*100-100))</f>
        <v>NA</v>
      </c>
      <c r="Q485" s="150">
        <v>143</v>
      </c>
      <c r="R485" s="72" t="str">
        <f>IF(ISERROR(Q485/I485),"NA",IF(OR(Q485/I485&gt;2,Q485/I485&lt;0.5),"NM",Q485/I485*100-100))</f>
        <v>NA</v>
      </c>
      <c r="S485" s="150">
        <v>84</v>
      </c>
      <c r="T485" s="72">
        <f>IF(ISERROR(S485/K485),"NA",IF(OR(S485/K485&gt;2,S485/K485&lt;0.5),"NM",S485/K485*100-100))</f>
        <v>16.666666666666671</v>
      </c>
      <c r="U485" s="150">
        <v>54</v>
      </c>
      <c r="V485" s="72" t="str">
        <f>IF(ISERROR(U485/M485),"NA",IF(OR(U485/M485&gt;2,U485/M485&lt;0.5),"NM",U485/M485*100-100))</f>
        <v>NM</v>
      </c>
      <c r="W485" s="150">
        <v>15</v>
      </c>
      <c r="X485" s="72">
        <f>IF(ISERROR(W485/O485),"NA",IF(OR(W485/O485&gt;2,W485/O485&lt;0.5),"NM",W485/O485*100-100))</f>
        <v>-44.444444444444443</v>
      </c>
      <c r="Y485" s="150">
        <v>104</v>
      </c>
      <c r="Z485" s="72">
        <f>IF(ISERROR(Y485/Q485),"NA",IF(OR(Y485/Q485&gt;2,Y485/Q485&lt;0.5),"NM",Y485/Q485*100-100))</f>
        <v>-27.272727272727266</v>
      </c>
      <c r="AA485" s="150">
        <v>69</v>
      </c>
      <c r="AB485" s="72">
        <f>IF(ISERROR(AA485/S485),"NA",IF(OR(AA485/S485&gt;2,AA485/S485&lt;0.5),"NM",AA485/S485*100-100))</f>
        <v>-17.857142857142861</v>
      </c>
      <c r="AC485" s="150">
        <v>102</v>
      </c>
      <c r="AD485" s="72">
        <f>IF(ISERROR(AC485/U485),"NA",IF(OR(AC485/U485&gt;2,AC485/U485&lt;0.5),"NM",AC485/U485*100-100))</f>
        <v>88.888888888888886</v>
      </c>
      <c r="AE485" s="150">
        <v>124</v>
      </c>
      <c r="AF485" s="72" t="str">
        <f>IF(ISERROR(AE485/W485),"NA",IF(OR(AE485/W485&gt;2,AE485/W485&lt;0.5),"NM",AE485/W485*100-100))</f>
        <v>NM</v>
      </c>
      <c r="AG485" s="150">
        <v>108</v>
      </c>
      <c r="AH485" s="72">
        <f>IF(ISERROR(AG485/Y485),"NA",IF(OR(AG485/Y485&gt;2,AG485/Y485&lt;0.5),"NM",AG485/Y485*100-100))</f>
        <v>3.8461538461538538</v>
      </c>
      <c r="AI485" s="150">
        <v>79</v>
      </c>
      <c r="AJ485" s="72">
        <f>IF(ISERROR(AI485/AA485),"NA",IF(OR(AI485/AA485&gt;2,AI485/AA485&lt;0.5),"NM",AI485/AA485*100-100))</f>
        <v>14.492753623188406</v>
      </c>
      <c r="AK485" s="150">
        <v>85</v>
      </c>
      <c r="AL485" s="72">
        <f>IF(ISERROR(AK485/AC485),"NA",IF(OR(AK485/AC485&gt;2,AK485/AC485&lt;0.5),"NM",AK485/AC485*100-100))</f>
        <v>-16.666666666666657</v>
      </c>
      <c r="AM485" s="150">
        <v>77</v>
      </c>
      <c r="AN485" s="72">
        <f>IF(ISERROR(AM485/AE485),"NA",IF(OR(AM485/AE485&gt;2,AM485/AE485&lt;0.5),"NM",AM485/AE485*100-100))</f>
        <v>-37.903225806451616</v>
      </c>
      <c r="AO485" s="150">
        <v>93</v>
      </c>
      <c r="AP485" s="72">
        <f>IF(ISERROR(AO485/AG485),"NA",IF(OR(AO485/AG485&gt;2,AO485/AG485&lt;0.5),"NM",AO485/AG485*100-100))</f>
        <v>-13.888888888888886</v>
      </c>
      <c r="AQ485" s="150">
        <v>67</v>
      </c>
      <c r="AR485" s="72">
        <f>IF(ISERROR(AQ485/AI485),"NA",IF(OR(AQ485/AI485&gt;2,AQ485/AI485&lt;0.5),"NM",AQ485/AI485*100-100))</f>
        <v>-15.189873417721529</v>
      </c>
      <c r="AS485" s="150">
        <v>83</v>
      </c>
      <c r="AT485" s="72">
        <f>IF(ISERROR(AS485/AK485),"NA",IF(OR(AS485/AK485&gt;2,AS485/AK485&lt;0.5),"NM",AS485/AK485*100-100))</f>
        <v>-2.3529411764705941</v>
      </c>
      <c r="AU485" s="150">
        <v>116</v>
      </c>
      <c r="AV485" s="72">
        <f>IF(ISERROR(AU485/AM485),"NA",IF(OR(AU485/AM485&gt;2,AU485/AM485&lt;0.5),"NM",AU485/AM485*100-100))</f>
        <v>50.649350649350652</v>
      </c>
      <c r="AW485" s="150">
        <v>96</v>
      </c>
      <c r="AX485" s="72">
        <f>IF(ISERROR(AW485/AO485),"NA",IF(OR(AW485/AO485&gt;2,AW485/AO485&lt;0.5),"NM",AW485/AO485*100-100))</f>
        <v>3.2258064516128968</v>
      </c>
      <c r="AY485" s="150">
        <v>156</v>
      </c>
      <c r="AZ485" s="72" t="str">
        <f>IF(ISERROR(AY485/AQ485),"NA",IF(OR(AY485/AQ485&gt;2,AY485/AQ485&lt;0.5),"NM",AY485/AQ485*100-100))</f>
        <v>NM</v>
      </c>
      <c r="BA485" s="150">
        <v>119</v>
      </c>
      <c r="BB485" s="72">
        <f>IF(ISERROR(BA485/AS485),"NA",IF(OR(BA485/AS485&gt;2,BA485/AS485&lt;0.5),"NM",BA485/AS485*100-100))</f>
        <v>43.373493975903614</v>
      </c>
      <c r="BC485" s="150">
        <v>166</v>
      </c>
      <c r="BD485" s="72">
        <f>IF(ISERROR(BC485/AU485),"NA",IF(OR(BC485/AU485&gt;2,BC485/AU485&lt;0.5),"NM",BC485/AU485*100-100))</f>
        <v>43.103448275862064</v>
      </c>
      <c r="BE485" s="150">
        <v>140</v>
      </c>
      <c r="BF485" s="72">
        <f>IF(ISERROR(BE485/AW485),"NA",IF(OR(BE485/AW485&gt;2,BE485/AW485&lt;0.5),"NM",BE485/AW485*100-100))</f>
        <v>45.833333333333314</v>
      </c>
      <c r="BG485" s="150">
        <v>174.4</v>
      </c>
      <c r="BH485" s="72">
        <f>IF(ISERROR(BG485/AY485),"NA",IF(OR(BG485/AY485&gt;2,BG485/AY485&lt;0.5),"NM",BG485/AY485*100-100))</f>
        <v>11.794871794871796</v>
      </c>
      <c r="BI485" s="150">
        <v>169</v>
      </c>
      <c r="BJ485" s="72">
        <f>IF(ISERROR(BI485/BA485),"NA",IF(OR(BI485/BA485&gt;2,BI485/BA485&lt;0.5),"NM",BI485/BA485*100-100))</f>
        <v>42.016806722689068</v>
      </c>
      <c r="BK485" s="150">
        <v>145</v>
      </c>
      <c r="BL485" s="72">
        <f>IF(ISERROR(BK485/BC485),"NA",IF(OR(BK485/BC485&gt;2,BK485/BC485&lt;0.5),"NM",BK485/BC485*100-100))</f>
        <v>-12.650602409638552</v>
      </c>
      <c r="BM485" s="150">
        <v>174</v>
      </c>
      <c r="BN485" s="72">
        <f>IF(ISERROR(BM485/BE485),"NA",IF(OR(BM485/BE485&gt;2,BM485/BE485&lt;0.5),"NM",BM485/BE485*100-100))</f>
        <v>24.285714285714292</v>
      </c>
      <c r="BO485" s="150">
        <v>146</v>
      </c>
      <c r="BP485" s="72">
        <f>IF(ISERROR(BO485/BG485),"NA",IF(OR(BO485/BG485&gt;2,BO485/BG485&lt;0.5),"NM",BO485/BG485*100-100))</f>
        <v>-16.284403669724782</v>
      </c>
      <c r="BQ485" s="150">
        <v>105</v>
      </c>
      <c r="BR485" s="72">
        <f>IF(ISERROR(BQ485/BI485),"NA",IF(OR(BQ485/BI485&gt;2,BQ485/BI485&lt;0.5),"NM",BQ485/BI485*100-100))</f>
        <v>-37.869822485207102</v>
      </c>
      <c r="BS485" s="150">
        <v>104</v>
      </c>
      <c r="BT485" s="72">
        <f>IF(ISERROR(BS485/BK485),"NA",IF(OR(BS485/BK485&gt;2,BS485/BK485&lt;0.5),"NM",BS485/BK485*100-100))</f>
        <v>-28.275862068965523</v>
      </c>
      <c r="BU485" s="150">
        <v>339</v>
      </c>
      <c r="BV485" s="72">
        <f>IF(ISERROR(BU485/BM485),"NA",IF(OR(BU485/BM485&gt;2,BU485/BM485&lt;0.5),"NM",BU485/BM485*100-100))</f>
        <v>94.827586206896541</v>
      </c>
      <c r="BW485" s="150">
        <v>158</v>
      </c>
      <c r="BX485" s="72">
        <f>IF(ISERROR(BW485/BO485),"NA",IF(OR(BW485/BO485&gt;2,BW485/BO485&lt;0.5),"NM",BW485/BO485*100-100))</f>
        <v>8.2191780821917888</v>
      </c>
      <c r="BY485" s="150">
        <v>181</v>
      </c>
      <c r="BZ485" s="72">
        <f>IF(ISERROR(BY485/BQ485),"NA",IF(OR(BY485/BQ485&gt;2,BY485/BQ485&lt;0.5),"NM",BY485/BQ485*100-100))</f>
        <v>72.38095238095238</v>
      </c>
      <c r="CA485" s="150">
        <v>205</v>
      </c>
      <c r="CB485" s="72">
        <f>IF(ISERROR(CA485/BS485),"NA",IF(OR(CA485/BS485&gt;2,CA485/BS485&lt;0.5),"NM",CA485/BS485*100-100))</f>
        <v>97.115384615384613</v>
      </c>
      <c r="CC485" s="150">
        <v>201</v>
      </c>
      <c r="CD485" s="72">
        <f>IF(ISERROR(CC485/BU485),"NA",IF(OR(CC485/BU485&gt;2,CC485/BU485&lt;0.5),"NM",CC485/BU485*100-100))</f>
        <v>-40.707964601769909</v>
      </c>
      <c r="CE485" s="150">
        <v>143</v>
      </c>
      <c r="CF485" s="72">
        <f>IF(ISERROR(CE485/BW485),"NA",IF(OR(CE485/BW485&gt;2,CE485/BW485&lt;0.5),"NM",CE485/BW485*100-100))</f>
        <v>-9.4936708860759467</v>
      </c>
      <c r="CG485" s="150">
        <v>147</v>
      </c>
      <c r="CH485" s="72">
        <f>IF(ISERROR(CG485/BY485),"NA",IF(OR(CG485/BY485&gt;2,CG485/BY485&lt;0.5),"NM",CG485/BY485*100-100))</f>
        <v>-18.784530386740329</v>
      </c>
      <c r="CI485" s="150">
        <v>229</v>
      </c>
      <c r="CJ485" s="72">
        <f>IF(ISERROR(CI485/CA485),"NA",IF(OR(CI485/CA485&gt;2,CI485/CA485&lt;0.5),"NM",CI485/CA485*100-100))</f>
        <v>11.707317073170742</v>
      </c>
      <c r="CK485" s="150">
        <v>195</v>
      </c>
      <c r="CL485" s="72">
        <f>IF(ISERROR(CK485/CC485),"NA",IF(OR(CK485/CC485&gt;2,CK485/CC485&lt;0.5),"NM",CK485/CC485*100-100))</f>
        <v>-2.9850746268656678</v>
      </c>
      <c r="CM485" s="150">
        <v>212</v>
      </c>
      <c r="CN485" s="72">
        <f>IF(ISERROR(CM485/CE485),"NA",IF(OR(CM485/CE485&gt;2,CM485/CE485&lt;0.5),"NM",CM485/CE485*100-100))</f>
        <v>48.251748251748239</v>
      </c>
      <c r="CO485" s="150">
        <v>202</v>
      </c>
      <c r="CP485" s="72">
        <f>IF(ISERROR(CO485/CG485),"NA",IF(OR(CO485/CG485&gt;2,CO485/CG485&lt;0.5),"NM",CO485/CG485*100-100))</f>
        <v>37.414965986394549</v>
      </c>
      <c r="CQ485" s="150">
        <v>311</v>
      </c>
      <c r="CR485" s="72">
        <f>IF(ISERROR(CQ485/CI485),"NA",IF(OR(CQ485/CI485&gt;2,CQ485/CI485&lt;0.5),"NM",CQ485/CI485*100-100))</f>
        <v>35.807860262008717</v>
      </c>
      <c r="CS485" s="150">
        <v>228</v>
      </c>
      <c r="CT485" s="72">
        <f>IF(ISERROR(CS485/CK485),"NA",IF(OR(CS485/CK485&gt;2,CS485/CK485&lt;0.5),"NM",CS485/CK485*100-100))</f>
        <v>16.923076923076934</v>
      </c>
      <c r="CU485" s="150">
        <v>205</v>
      </c>
      <c r="CV485" s="72">
        <f>IF(ISERROR(CU485/CM485),"NA",IF(OR(CU485/CM485&gt;2,CU485/CM485&lt;0.5),"NM",CU485/CM485*100-100))</f>
        <v>-3.3018867924528337</v>
      </c>
      <c r="CW485" s="150">
        <v>153</v>
      </c>
      <c r="CX485" s="72">
        <f>IF(ISERROR(CW485/CO485),"NA",IF(OR(CW485/CO485&gt;2,CW485/CO485&lt;0.5),"NM",CW485/CO485*100-100))</f>
        <v>-24.257425742574256</v>
      </c>
      <c r="CY485" s="150">
        <v>308</v>
      </c>
      <c r="CZ485" s="72">
        <f>IF(ISERROR(CY485/CQ485),"NA",IF(OR(CY485/CQ485&gt;2,CY485/CQ485&lt;0.5),"NM",CY485/CQ485*100-100))</f>
        <v>-0.96463022508038421</v>
      </c>
      <c r="DA485" s="150">
        <v>268</v>
      </c>
      <c r="DB485" s="72">
        <f>IF(ISERROR(DA485/CS485),"NA",IF(OR(DA485/CS485&gt;2,DA485/CS485&lt;0.5),"NM",DA485/CS485*100-100))</f>
        <v>17.543859649122822</v>
      </c>
      <c r="DC485" s="150">
        <v>161</v>
      </c>
      <c r="DD485" s="72">
        <f>IF(ISERROR(DC485/CU485),"NA",IF(OR(DC485/CU485&gt;2,DC485/CU485&lt;0.5),"NM",DC485/CU485*100-100))</f>
        <v>-21.463414634146332</v>
      </c>
      <c r="DE485" s="150">
        <v>214</v>
      </c>
      <c r="DF485" s="72">
        <f>IF(ISERROR(DE485/CW485),"NA",IF(OR(DE485/CW485&gt;2,DE485/CW485&lt;0.5),"NM",DE485/CW485*100-100))</f>
        <v>39.86928104575162</v>
      </c>
      <c r="DG485" s="150">
        <v>159</v>
      </c>
      <c r="DH485" s="72">
        <f>IF(ISERROR(DG485/CY485),"NA",IF(OR(DG485/CY485&gt;2,DG485/CY485&lt;0.5),"NM",DG485/CY485*100-100))</f>
        <v>-48.376623376623371</v>
      </c>
      <c r="DI485" s="150">
        <v>268</v>
      </c>
      <c r="DJ485" s="72">
        <f>IF(ISERROR(DI485/DA485),"NA",IF(OR(DI485/DA485&gt;2,DI485/DA485&lt;0.5),"NM",DI485/DA485*100-100))</f>
        <v>0</v>
      </c>
      <c r="DK485" s="150">
        <v>190</v>
      </c>
      <c r="DL485" s="72">
        <f>IF(ISERROR(DK485/DC485),"NA",IF(OR(DK485/DC485&gt;2,DK485/DC485&lt;0.5),"NM",DK485/DC485*100-100))</f>
        <v>18.012422360248451</v>
      </c>
      <c r="DM485" s="150">
        <v>189</v>
      </c>
      <c r="DN485" s="72">
        <f t="shared" ref="DN485:DZ486" si="2340">IF(ISERROR(DM485/DE485),"NA",IF(OR(DM485/DE485&gt;2,DM485/DE485&lt;0.5),"NM",DM485/DE485*100-100))</f>
        <v>-11.682242990654203</v>
      </c>
      <c r="DO485" s="150">
        <v>164</v>
      </c>
      <c r="DP485" s="72">
        <f t="shared" si="2340"/>
        <v>3.1446540880503164</v>
      </c>
      <c r="DQ485" s="150">
        <v>173</v>
      </c>
      <c r="DR485" s="72">
        <f t="shared" si="2340"/>
        <v>-35.447761194029852</v>
      </c>
      <c r="DS485" s="150">
        <v>128</v>
      </c>
      <c r="DT485" s="72">
        <f t="shared" si="2340"/>
        <v>-32.631578947368425</v>
      </c>
      <c r="DU485" s="150">
        <v>150</v>
      </c>
      <c r="DV485" s="72">
        <f t="shared" si="2340"/>
        <v>-20.634920634920633</v>
      </c>
      <c r="DW485" s="150">
        <v>159</v>
      </c>
      <c r="DX485" s="72">
        <f t="shared" si="2340"/>
        <v>-3.0487804878048763</v>
      </c>
      <c r="DY485" s="150">
        <v>306</v>
      </c>
      <c r="DZ485" s="72">
        <f t="shared" si="2340"/>
        <v>76.878612716763001</v>
      </c>
      <c r="EA485" s="150">
        <v>166</v>
      </c>
      <c r="EB485" s="72">
        <f>IF(ISERROR(EA485/DS485),"NA",IF(OR(EA485/DS485&gt;2,EA485/DS485&lt;0.5),"NM",EA485/DS485*100-100))</f>
        <v>29.6875</v>
      </c>
      <c r="EC485" s="150">
        <v>249</v>
      </c>
      <c r="ED485" s="72">
        <f>IF(ISERROR(EC485/DU485),"NA",IF(OR(EC485/DU485&gt;2,EC485/DU485&lt;0.5),"NM",EC485/DU485*100-100))</f>
        <v>66</v>
      </c>
      <c r="EE485" s="150">
        <v>231</v>
      </c>
      <c r="EF485" s="72">
        <f>IF(ISERROR(EE485/DW485),"NA",IF(OR(EE485/DW485&gt;2,EE485/DW485&lt;0.5),"NM",EE485/DW485*100-100))</f>
        <v>45.283018867924511</v>
      </c>
      <c r="EG485" s="150">
        <v>299</v>
      </c>
      <c r="EH485" s="72">
        <f>IF(ISERROR(EG485/DY485),"NA",IF(OR(EG485/DY485&gt;2,EG485/DY485&lt;0.5),"NM",EG485/DY485*100-100))</f>
        <v>-2.2875816993464042</v>
      </c>
      <c r="EI485" s="150">
        <v>214</v>
      </c>
      <c r="EJ485" s="72">
        <f>IF(ISERROR(EI485/EA485),"NA",IF(OR(EI485/EA485&gt;2,EI485/EA485&lt;0.5),"NM",EI485/EA485*100-100))</f>
        <v>28.915662650602428</v>
      </c>
      <c r="EK485" s="150">
        <v>141</v>
      </c>
      <c r="EL485" s="72">
        <f>IF(ISERROR(EK485/EC485),"NA",IF(OR(EK485/EC485&gt;2,EK485/EC485&lt;0.5),"NM",EK485/EC485*100-100))</f>
        <v>-43.373493975903607</v>
      </c>
      <c r="EM485" s="150">
        <v>131</v>
      </c>
      <c r="EN485" s="72">
        <f>IF(ISERROR(EM485/EE485),"NA",IF(OR(EM485/EE485&gt;2,EM485/EE485&lt;0.5),"NM",EM485/EE485*100-100))</f>
        <v>-43.290043290043286</v>
      </c>
      <c r="EO485" s="150">
        <v>284</v>
      </c>
      <c r="EP485" s="72">
        <f>IF(ISERROR(EO485/EG485),"NA",IF(OR(EO485/EG485&gt;2,EO485/EG485&lt;0.5),"NM",EO485/EG485*100-100))</f>
        <v>-5.0167224080267516</v>
      </c>
      <c r="EQ485" s="144">
        <f t="shared" ref="EQ485" si="2341">EQ480-EQ490</f>
        <v>216.48</v>
      </c>
      <c r="ER485" s="72">
        <f t="shared" ref="ER485:ER487" si="2342">IF(ISERROR(EQ485/EI485),"NA",IF(OR(EQ485/EI485&gt;2,EQ485/EI485&lt;0.5),"NM",EQ485/EI485*100-100))</f>
        <v>1.1588785046728844</v>
      </c>
      <c r="ES485" s="144">
        <f t="shared" ref="ES485" si="2343">ES480-ES490</f>
        <v>162.16</v>
      </c>
      <c r="ET485" s="72">
        <f t="shared" ref="ET485:ET487" si="2344">IF(ISERROR(ES485/EK485),"NA",IF(OR(ES485/EK485&gt;2,ES485/EK485&lt;0.5),"NM",ES485/EK485*100-100))</f>
        <v>15.00709219858156</v>
      </c>
      <c r="EU485" s="144">
        <f t="shared" ref="EU485" si="2345">EU480-EU490</f>
        <v>133.84</v>
      </c>
      <c r="EV485" s="72">
        <f t="shared" ref="EV485:EV487" si="2346">IF(ISERROR(EU485/EM485),"NA",IF(OR(EU485/EM485&gt;2,EU485/EM485&lt;0.5),"NM",EU485/EM485*100-100))</f>
        <v>2.1679389312977264</v>
      </c>
      <c r="EW485" s="144">
        <f t="shared" ref="EW485" si="2347">EW480-EW490</f>
        <v>243.84</v>
      </c>
      <c r="EX485" s="72">
        <f t="shared" ref="EX485:EX487" si="2348">IF(ISERROR(EW485/EO485),"NA",IF(OR(EW485/EO485&gt;2,EW485/EO485&lt;0.5),"NM",EW485/EO485*100-100))</f>
        <v>-14.140845070422543</v>
      </c>
      <c r="EY485" s="72"/>
      <c r="EZ485" s="296"/>
      <c r="FA485" s="72"/>
      <c r="FB485" s="150"/>
      <c r="FC485" s="11"/>
      <c r="FD485" s="150">
        <v>632</v>
      </c>
      <c r="FE485" s="72" t="str">
        <f>IF(ISERROR(FD485/FB485),"NA",IF(OR(FD485/FB485&gt;2,FD485/FB485&lt;0.5),"NM",FD485/FB485*100-100))</f>
        <v>NA</v>
      </c>
      <c r="FF485" s="150">
        <v>491</v>
      </c>
      <c r="FG485" s="72">
        <f>IF(ISERROR(FF485/FD485),"NA",IF(OR(FF485/FD485&gt;2,FF485/FD485&lt;0.5),"NM",FF485/FD485*100-100))</f>
        <v>-22.310126582278471</v>
      </c>
      <c r="FH485" s="75">
        <f>K485+M485+O485+Q485</f>
        <v>382</v>
      </c>
      <c r="FI485" s="72">
        <f>IF(ISERROR(FH485/FF485),"NA",IF(OR(FH485/FF485&gt;2,FH485/FF485&lt;0.5),"NM",FH485/FF485*100-100))</f>
        <v>-22.199592668024437</v>
      </c>
      <c r="FJ485" s="75">
        <f>S485+U485+W485+Y485</f>
        <v>257</v>
      </c>
      <c r="FK485" s="72">
        <f>IF(ISERROR(FJ485/FH485),"NA",IF(OR(FJ485/FH485&gt;2,FJ485/FH485&lt;0.5),"NM",FJ485/FH485*100-100))</f>
        <v>-32.722513089005233</v>
      </c>
      <c r="FL485" s="75">
        <f>+AA485+AC485+AE485+AG485</f>
        <v>403</v>
      </c>
      <c r="FM485" s="72">
        <f>IF(ISERROR(FL485/FJ485),"NA",IF(OR(FL485/FJ485&gt;2,FL485/FJ485&lt;0.5),"NM",FL485/FJ485*100-100))</f>
        <v>56.809338521400775</v>
      </c>
      <c r="FN485" s="75">
        <f>+AI485+AK485+AM485+AO485</f>
        <v>334</v>
      </c>
      <c r="FO485" s="72">
        <f>IF(ISERROR(FN485/FL485),"NA",IF(OR(FN485/FL485&gt;2,FN485/FL485&lt;0.5),"NM",FN485/FL485*100-100))</f>
        <v>-17.121588089330018</v>
      </c>
      <c r="FP485" s="75">
        <f>AQ485+AS485+AU485+AW485</f>
        <v>362</v>
      </c>
      <c r="FQ485" s="72">
        <f>IF(ISERROR(FP485/FN485),"NA",IF(OR(FP485/FN485&gt;2,FP485/FN485&lt;0.5),"NM",FP485/FN485*100-100))</f>
        <v>8.3832335329341277</v>
      </c>
      <c r="FR485" s="144">
        <f>AY485+BA485+BC485+BE485</f>
        <v>581</v>
      </c>
      <c r="FS485" s="72">
        <f>IF(ISERROR(FR485/FP485),"NA",IF(OR(FR485/FP485&gt;2,FR485/FP485&lt;0.5),"NM",FR485/FP485*100-100))</f>
        <v>60.497237569060786</v>
      </c>
      <c r="FT485" s="144">
        <f>BG485+BI485+BK485+BM485</f>
        <v>662.4</v>
      </c>
      <c r="FU485" s="72">
        <f>IF(ISERROR(FT485/FR485),"NA",IF(OR(FT485/FR485&gt;2,FT485/FR485&lt;0.5),"NM",FT485/FR485*100-100))</f>
        <v>14.010327022375208</v>
      </c>
      <c r="FV485" s="150">
        <v>343</v>
      </c>
      <c r="FW485" s="72">
        <f t="shared" si="2339"/>
        <v>-48.218599033816425</v>
      </c>
      <c r="FX485" s="74">
        <v>539</v>
      </c>
      <c r="FY485" s="72">
        <f t="shared" si="2339"/>
        <v>57.142857142857139</v>
      </c>
      <c r="FZ485" s="75">
        <f>CE485+CG485+CI485+CK485</f>
        <v>714</v>
      </c>
      <c r="GA485" s="72">
        <f t="shared" si="2339"/>
        <v>32.467532467532465</v>
      </c>
      <c r="GB485" s="144">
        <f>CM485+CO485+CQ485+CS485</f>
        <v>953</v>
      </c>
      <c r="GC485" s="72">
        <f t="shared" si="2339"/>
        <v>33.473389355742285</v>
      </c>
      <c r="GD485" s="144">
        <f>CU485+CW485+CY485+DA485</f>
        <v>934</v>
      </c>
      <c r="GE485" s="72">
        <f t="shared" si="2339"/>
        <v>-1.993704092339982</v>
      </c>
      <c r="GF485" s="144">
        <f>DC485+DE485+DG485+DI485</f>
        <v>802</v>
      </c>
      <c r="GG485" s="72">
        <f t="shared" si="2339"/>
        <v>-14.13276231263383</v>
      </c>
      <c r="GH485" s="144">
        <f>DK485+DM485+DO485+DQ485</f>
        <v>716</v>
      </c>
      <c r="GI485" s="72">
        <f t="shared" si="2339"/>
        <v>-10.723192019950119</v>
      </c>
      <c r="GJ485" s="144">
        <f>DS485+DU485+DW485+DY485</f>
        <v>743</v>
      </c>
      <c r="GK485" s="72">
        <f t="shared" si="2339"/>
        <v>3.7709497206703873</v>
      </c>
      <c r="GL485" s="144">
        <f>EA485+EC485+EE485+EG485</f>
        <v>945</v>
      </c>
      <c r="GM485" s="72">
        <f t="shared" si="2339"/>
        <v>27.187079407806181</v>
      </c>
      <c r="GN485" s="144">
        <f>EI485+EK485+EM485+EO485</f>
        <v>770</v>
      </c>
      <c r="GO485" s="72">
        <f t="shared" si="2339"/>
        <v>-18.518518518518519</v>
      </c>
      <c r="GP485" s="144">
        <f>EQ485+ES485+EU485+EW485</f>
        <v>756.32</v>
      </c>
      <c r="GQ485" s="72">
        <f t="shared" si="2339"/>
        <v>-1.7766233766233626</v>
      </c>
      <c r="GR485" s="144">
        <f>GR480-GR490</f>
        <v>775.85439999999983</v>
      </c>
      <c r="GS485" s="72">
        <f t="shared" si="2339"/>
        <v>2.5828220858895321</v>
      </c>
      <c r="GT485" s="144">
        <f>GT480-GT490</f>
        <v>788.25659799999994</v>
      </c>
      <c r="GU485" s="72">
        <f t="shared" si="2339"/>
        <v>1.5985213204952089</v>
      </c>
      <c r="GV485" s="144">
        <f>GV480-GV490</f>
        <v>800.54155741</v>
      </c>
      <c r="GW485" s="72">
        <f>IF(ISERROR(GV485/GT485),"NA",IF(OR(GV485/GT485&gt;2,GV485/GT485&lt;0.5),"NM",GV485/GT485*100-100))</f>
        <v>1.5584975046412524</v>
      </c>
      <c r="GX485" s="144">
        <f>GX480-GX490</f>
        <v>814.27588804344998</v>
      </c>
      <c r="GY485" s="72">
        <f>IF(ISERROR(GX485/GV485),"NA",IF(OR(GX485/GV485&gt;2,GX485/GV485&lt;0.5),"NM",GX485/GV485*100-100))</f>
        <v>1.7156299390483696</v>
      </c>
      <c r="GZ485" s="72">
        <f>IF(ISERROR(((GX485/GN485)^0.2-1)*100),"NA",IF((((GX485/GN485)^0.2-1)*100)&gt;100,"NM",IF((((GX485/GN485)^0.2-1)*100)&lt;-50,"NM",((GX485/GN485)^0.2-1)*100)))</f>
        <v>1.1244493875823602</v>
      </c>
      <c r="HA485" s="72"/>
      <c r="HB485" s="72"/>
      <c r="HC485"/>
      <c r="HD485"/>
      <c r="HE485"/>
      <c r="HF485"/>
      <c r="HG485"/>
      <c r="HH485"/>
      <c r="HI485" s="2"/>
    </row>
    <row r="486" spans="1:217" s="78" customFormat="1" ht="12.75" customHeight="1" x14ac:dyDescent="0.2">
      <c r="A486" s="78" t="s">
        <v>569</v>
      </c>
      <c r="B486" s="89" t="s">
        <v>488</v>
      </c>
      <c r="C486" s="160"/>
      <c r="D486" s="161"/>
      <c r="E486" s="160"/>
      <c r="F486" s="161"/>
      <c r="G486" s="160"/>
      <c r="H486" s="161"/>
      <c r="I486" s="160"/>
      <c r="J486" s="80"/>
      <c r="K486" s="160">
        <f>K480-K485</f>
        <v>-1</v>
      </c>
      <c r="L486" s="80" t="str">
        <f>IF(ISERROR(K486/C486),"NA",IF(OR(K486/C486&gt;2,K486/C486&lt;0.5),"NM",K486/C486*100-100))</f>
        <v>NA</v>
      </c>
      <c r="M486" s="160">
        <f>M480-M485</f>
        <v>76</v>
      </c>
      <c r="N486" s="80" t="str">
        <f>IF(ISERROR(M486/E486),"NA",IF(OR(M486/E486&gt;2,M486/E486&lt;0.5),"NM",M486/E486*100-100))</f>
        <v>NA</v>
      </c>
      <c r="O486" s="160">
        <f>O480-O485</f>
        <v>-1</v>
      </c>
      <c r="P486" s="80" t="str">
        <f>IF(ISERROR(O486/G486),"NA",IF(OR(O486/G486&gt;2,O486/G486&lt;0.5),"NM",O486/G486*100-100))</f>
        <v>NA</v>
      </c>
      <c r="Q486" s="160">
        <f>Q480-Q485</f>
        <v>-12</v>
      </c>
      <c r="R486" s="80" t="str">
        <f>IF(ISERROR(Q486/I486),"NA",IF(OR(Q486/I486&gt;2,Q486/I486&lt;0.5),"NM",Q486/I486*100-100))</f>
        <v>NA</v>
      </c>
      <c r="S486" s="160">
        <f>S480-S485</f>
        <v>10</v>
      </c>
      <c r="T486" s="80" t="str">
        <f>IF(ISERROR(S486/K486),"NA",IF(OR(S486/K486&gt;2,S486/K486&lt;0.5),"NM",S486/K486*100-100))</f>
        <v>NM</v>
      </c>
      <c r="U486" s="160">
        <f>U480-U485</f>
        <v>39</v>
      </c>
      <c r="V486" s="80">
        <f>IF(ISERROR(U486/M486),"NA",IF(OR(U486/M486&gt;2,U486/M486&lt;0.5),"NM",U486/M486*100-100))</f>
        <v>-48.684210526315788</v>
      </c>
      <c r="W486" s="160">
        <f>W480-W485</f>
        <v>112</v>
      </c>
      <c r="X486" s="80" t="str">
        <f>IF(ISERROR(W486/O486),"NA",IF(OR(W486/O486&gt;2,W486/O486&lt;0.5),"NM",W486/O486*100-100))</f>
        <v>NM</v>
      </c>
      <c r="Y486" s="160">
        <f>Y480-Y485</f>
        <v>-1</v>
      </c>
      <c r="Z486" s="80" t="str">
        <f>IF(ISERROR(Y486/Q486),"NA",IF(OR(Y486/Q486&gt;2,Y486/Q486&lt;0.5),"NM",Y486/Q486*100-100))</f>
        <v>NM</v>
      </c>
      <c r="AA486" s="160">
        <f>AA480-AA485</f>
        <v>18</v>
      </c>
      <c r="AB486" s="80">
        <f>IF(ISERROR(AA486/S486),"NA",IF(OR(AA486/S486&gt;2,AA486/S486&lt;0.5),"NM",AA486/S486*100-100))</f>
        <v>80</v>
      </c>
      <c r="AC486" s="160">
        <f>AC480-AC485</f>
        <v>-1</v>
      </c>
      <c r="AD486" s="80" t="str">
        <f>IF(ISERROR(AC486/U486),"NA",IF(OR(AC486/U486&gt;2,AC486/U486&lt;0.5),"NM",AC486/U486*100-100))</f>
        <v>NM</v>
      </c>
      <c r="AE486" s="160">
        <f>AE480-AE485</f>
        <v>32</v>
      </c>
      <c r="AF486" s="80" t="str">
        <f>IF(ISERROR(AE486/W486),"NA",IF(OR(AE486/W486&gt;2,AE486/W486&lt;0.5),"NM",AE486/W486*100-100))</f>
        <v>NM</v>
      </c>
      <c r="AG486" s="160">
        <f>AG480-AG485</f>
        <v>42</v>
      </c>
      <c r="AH486" s="80" t="str">
        <f>IF(ISERROR(AG486/Y486),"NA",IF(OR(AG486/Y486&gt;2,AG486/Y486&lt;0.5),"NM",AG486/Y486*100-100))</f>
        <v>NM</v>
      </c>
      <c r="AI486" s="160">
        <f>AI480-AI485</f>
        <v>23</v>
      </c>
      <c r="AJ486" s="80">
        <f>IF(ISERROR(AI486/AA486),"NA",IF(OR(AI486/AA486&gt;2,AI486/AA486&lt;0.5),"NM",AI486/AA486*100-100))</f>
        <v>27.777777777777771</v>
      </c>
      <c r="AK486" s="160">
        <f>AK480-AK485</f>
        <v>69</v>
      </c>
      <c r="AL486" s="80" t="str">
        <f>IF(ISERROR(AK486/AC486),"NA",IF(OR(AK486/AC486&gt;2,AK486/AC486&lt;0.5),"NM",AK486/AC486*100-100))</f>
        <v>NM</v>
      </c>
      <c r="AM486" s="160">
        <f>AM480-AM485</f>
        <v>57</v>
      </c>
      <c r="AN486" s="80">
        <f>IF(ISERROR(AM486/AE486),"NA",IF(OR(AM486/AE486&gt;2,AM486/AE486&lt;0.5),"NM",AM486/AE486*100-100))</f>
        <v>78.125</v>
      </c>
      <c r="AO486" s="160">
        <f>AO480-AO485</f>
        <v>27</v>
      </c>
      <c r="AP486" s="80">
        <f>IF(ISERROR(AO486/AG486),"NA",IF(OR(AO486/AG486&gt;2,AO486/AG486&lt;0.5),"NM",AO486/AG486*100-100))</f>
        <v>-35.714285714285708</v>
      </c>
      <c r="AQ486" s="160">
        <f>AQ480-AQ485</f>
        <v>17</v>
      </c>
      <c r="AR486" s="80">
        <f>IF(ISERROR(AQ486/AI486),"NA",IF(OR(AQ486/AI486&gt;2,AQ486/AI486&lt;0.5),"NM",AQ486/AI486*100-100))</f>
        <v>-26.08695652173914</v>
      </c>
      <c r="AS486" s="160">
        <f>AS480-AS485</f>
        <v>59</v>
      </c>
      <c r="AT486" s="80">
        <f>IF(ISERROR(AS486/AK486),"NA",IF(OR(AS486/AK486&gt;2,AS486/AK486&lt;0.5),"NM",AS486/AK486*100-100))</f>
        <v>-14.492753623188406</v>
      </c>
      <c r="AU486" s="160">
        <f>AU480-AU485</f>
        <v>50</v>
      </c>
      <c r="AV486" s="80">
        <f>IF(ISERROR(AU486/AM486),"NA",IF(OR(AU486/AM486&gt;2,AU486/AM486&lt;0.5),"NM",AU486/AM486*100-100))</f>
        <v>-12.280701754385973</v>
      </c>
      <c r="AW486" s="160">
        <f>AW480-AW485</f>
        <v>76</v>
      </c>
      <c r="AX486" s="80" t="str">
        <f>IF(ISERROR(AW486/AO486),"NA",IF(OR(AW486/AO486&gt;2,AW486/AO486&lt;0.5),"NM",AW486/AO486*100-100))</f>
        <v>NM</v>
      </c>
      <c r="AY486" s="160">
        <f>AY480-AY485</f>
        <v>16</v>
      </c>
      <c r="AZ486" s="80">
        <f>IF(ISERROR(AY486/AQ486),"NA",IF(OR(AY486/AQ486&gt;2,AY486/AQ486&lt;0.5),"NM",AY486/AQ486*100-100))</f>
        <v>-5.8823529411764781</v>
      </c>
      <c r="BA486" s="160">
        <f>BA480-BA485</f>
        <v>40</v>
      </c>
      <c r="BB486" s="80">
        <f>IF(ISERROR(BA486/AS486),"NA",IF(OR(BA486/AS486&gt;2,BA486/AS486&lt;0.5),"NM",BA486/AS486*100-100))</f>
        <v>-32.203389830508485</v>
      </c>
      <c r="BC486" s="160">
        <f>BC480-BC485</f>
        <v>4</v>
      </c>
      <c r="BD486" s="80" t="str">
        <f>IF(ISERROR(BC486/AU486),"NA",IF(OR(BC486/AU486&gt;2,BC486/AU486&lt;0.5),"NM",BC486/AU486*100-100))</f>
        <v>NM</v>
      </c>
      <c r="BE486" s="160">
        <f>BE480-BE485</f>
        <v>-13</v>
      </c>
      <c r="BF486" s="80" t="str">
        <f>IF(ISERROR(BE486/AW486),"NA",IF(OR(BE486/AW486&gt;2,BE486/AW486&lt;0.5),"NM",BE486/AW486*100-100))</f>
        <v>NM</v>
      </c>
      <c r="BG486" s="160">
        <f>BG480-BG485</f>
        <v>-17.400000000000006</v>
      </c>
      <c r="BH486" s="80" t="str">
        <f>IF(ISERROR(BG486/AY486),"NA",IF(OR(BG486/AY486&gt;2,BG486/AY486&lt;0.5),"NM",BG486/AY486*100-100))</f>
        <v>NM</v>
      </c>
      <c r="BI486" s="160">
        <f>BI480-BI485</f>
        <v>-27</v>
      </c>
      <c r="BJ486" s="80" t="str">
        <f>IF(ISERROR(BI486/BA486),"NA",IF(OR(BI486/BA486&gt;2,BI486/BA486&lt;0.5),"NM",BI486/BA486*100-100))</f>
        <v>NM</v>
      </c>
      <c r="BK486" s="160">
        <f>BK480-BK485</f>
        <v>-24</v>
      </c>
      <c r="BL486" s="80" t="str">
        <f>IF(ISERROR(BK486/BC486),"NA",IF(OR(BK486/BC486&gt;2,BK486/BC486&lt;0.5),"NM",BK486/BC486*100-100))</f>
        <v>NM</v>
      </c>
      <c r="BM486" s="160">
        <f>BM480-BM485</f>
        <v>-64</v>
      </c>
      <c r="BN486" s="80" t="str">
        <f>IF(ISERROR(BM486/BE486),"NA",IF(OR(BM486/BE486&gt;2,BM486/BE486&lt;0.5),"NM",BM486/BE486*100-100))</f>
        <v>NM</v>
      </c>
      <c r="BO486" s="160">
        <f>BO480-BO485</f>
        <v>-51</v>
      </c>
      <c r="BP486" s="80" t="str">
        <f>IF(ISERROR(BO486/BG486),"NA",IF(OR(BO486/BG486&gt;2,BO486/BG486&lt;0.5),"NM",BO486/BG486*100-100))</f>
        <v>NM</v>
      </c>
      <c r="BQ486" s="160">
        <f>BQ480-BQ485</f>
        <v>-20</v>
      </c>
      <c r="BR486" s="80">
        <f>IF(ISERROR(BQ486/BI486),"NA",IF(OR(BQ486/BI486&gt;2,BQ486/BI486&lt;0.5),"NM",BQ486/BI486*100-100))</f>
        <v>-25.925925925925924</v>
      </c>
      <c r="BS486" s="160">
        <f>BS480-BS485</f>
        <v>-40</v>
      </c>
      <c r="BT486" s="80">
        <f>IF(ISERROR(BS486/BK486),"NA",IF(OR(BS486/BK486&gt;2,BS486/BK486&lt;0.5),"NM",BS486/BK486*100-100))</f>
        <v>66.666666666666686</v>
      </c>
      <c r="BU486" s="160">
        <f>BU480-BU485</f>
        <v>-299</v>
      </c>
      <c r="BV486" s="80" t="str">
        <f>IF(ISERROR(BU486/BM486),"NA",IF(OR(BU486/BM486&gt;2,BU486/BM486&lt;0.5),"NM",BU486/BM486*100-100))</f>
        <v>NM</v>
      </c>
      <c r="BW486" s="160">
        <f>BW480-BW485</f>
        <v>-213</v>
      </c>
      <c r="BX486" s="80" t="str">
        <f>IF(ISERROR(BW486/BO486),"NA",IF(OR(BW486/BO486&gt;2,BW486/BO486&lt;0.5),"NM",BW486/BO486*100-100))</f>
        <v>NM</v>
      </c>
      <c r="BY486" s="160">
        <f>BY480-BY485</f>
        <v>-176</v>
      </c>
      <c r="BZ486" s="80" t="str">
        <f>IF(ISERROR(BY486/BQ486),"NA",IF(OR(BY486/BQ486&gt;2,BY486/BQ486&lt;0.5),"NM",BY486/BQ486*100-100))</f>
        <v>NM</v>
      </c>
      <c r="CA486" s="160">
        <f>CA480-CA485</f>
        <v>-209</v>
      </c>
      <c r="CB486" s="80" t="str">
        <f>IF(ISERROR(CA486/BS486),"NA",IF(OR(CA486/BS486&gt;2,CA486/BS486&lt;0.5),"NM",CA486/BS486*100-100))</f>
        <v>NM</v>
      </c>
      <c r="CC486" s="160">
        <f>CC480-CC485</f>
        <v>-226</v>
      </c>
      <c r="CD486" s="80">
        <f>IF(ISERROR(CC486/BU486),"NA",IF(OR(CC486/BU486&gt;2,CC486/BU486&lt;0.5),"NM",CC486/BU486*100-100))</f>
        <v>-24.414715719063537</v>
      </c>
      <c r="CE486" s="160">
        <f>CE480-CE485</f>
        <v>-211</v>
      </c>
      <c r="CF486" s="80">
        <f>IF(ISERROR(CE486/BW486),"NA",IF(OR(CE486/BW486&gt;2,CE486/BW486&lt;0.5),"NM",CE486/BW486*100-100))</f>
        <v>-0.93896713615023941</v>
      </c>
      <c r="CG486" s="160">
        <f>CG480-CG485</f>
        <v>-191</v>
      </c>
      <c r="CH486" s="80">
        <f>IF(ISERROR(CG486/BY486),"NA",IF(OR(CG486/BY486&gt;2,CG486/BY486&lt;0.5),"NM",CG486/BY486*100-100))</f>
        <v>8.5227272727272663</v>
      </c>
      <c r="CI486" s="160">
        <f>CI480-CI485</f>
        <v>-298</v>
      </c>
      <c r="CJ486" s="80">
        <f>IF(ISERROR(CI486/CA486),"NA",IF(OR(CI486/CA486&gt;2,CI486/CA486&lt;0.5),"NM",CI486/CA486*100-100))</f>
        <v>42.583732057416256</v>
      </c>
      <c r="CK486" s="160">
        <f>CK480-CK485</f>
        <v>-249</v>
      </c>
      <c r="CL486" s="80">
        <f>IF(ISERROR(CK486/CC486),"NA",IF(OR(CK486/CC486&gt;2,CK486/CC486&lt;0.5),"NM",CK486/CC486*100-100))</f>
        <v>10.17699115044249</v>
      </c>
      <c r="CM486" s="160">
        <f>CM480-CM485</f>
        <v>-269</v>
      </c>
      <c r="CN486" s="80">
        <f>IF(ISERROR(CM486/CE486),"NA",IF(OR(CM486/CE486&gt;2,CM486/CE486&lt;0.5),"NM",CM486/CE486*100-100))</f>
        <v>27.488151658767762</v>
      </c>
      <c r="CO486" s="160">
        <f>CO480-CO485</f>
        <v>-237</v>
      </c>
      <c r="CP486" s="80">
        <f>IF(ISERROR(CO486/CG486),"NA",IF(OR(CO486/CG486&gt;2,CO486/CG486&lt;0.5),"NM",CO486/CG486*100-100))</f>
        <v>24.083769633507842</v>
      </c>
      <c r="CQ486" s="160">
        <f>CQ480-CQ485</f>
        <v>-349</v>
      </c>
      <c r="CR486" s="80">
        <f>IF(ISERROR(CQ486/CI486),"NA",IF(OR(CQ486/CI486&gt;2,CQ486/CI486&lt;0.5),"NM",CQ486/CI486*100-100))</f>
        <v>17.114093959731534</v>
      </c>
      <c r="CS486" s="160">
        <f>CS480-CS485</f>
        <v>-285</v>
      </c>
      <c r="CT486" s="80">
        <f>IF(ISERROR(CS486/CK486),"NA",IF(OR(CS486/CK486&gt;2,CS486/CK486&lt;0.5),"NM",CS486/CK486*100-100))</f>
        <v>14.457831325301214</v>
      </c>
      <c r="CU486" s="160">
        <f>CU480-CU485</f>
        <v>-326</v>
      </c>
      <c r="CV486" s="80">
        <f>IF(ISERROR(CU486/CM486),"NA",IF(OR(CU486/CM486&gt;2,CU486/CM486&lt;0.5),"NM",CU486/CM486*100-100))</f>
        <v>21.189591078066911</v>
      </c>
      <c r="CW486" s="160">
        <f>CW480-CW485</f>
        <v>-225</v>
      </c>
      <c r="CX486" s="80">
        <f>IF(ISERROR(CW486/CO486),"NA",IF(OR(CW486/CO486&gt;2,CW486/CO486&lt;0.5),"NM",CW486/CO486*100-100))</f>
        <v>-5.0632911392405049</v>
      </c>
      <c r="CY486" s="160">
        <f>CY480-CY485</f>
        <v>-414</v>
      </c>
      <c r="CZ486" s="80">
        <f>IF(ISERROR(CY486/CQ486),"NA",IF(OR(CY486/CQ486&gt;2,CY486/CQ486&lt;0.5),"NM",CY486/CQ486*100-100))</f>
        <v>18.624641833810898</v>
      </c>
      <c r="DA486" s="160">
        <f>DA480-DA485</f>
        <v>-372</v>
      </c>
      <c r="DB486" s="80">
        <f>IF(ISERROR(DA486/CS486),"NA",IF(OR(DA486/CS486&gt;2,DA486/CS486&lt;0.5),"NM",DA486/CS486*100-100))</f>
        <v>30.526315789473699</v>
      </c>
      <c r="DC486" s="160">
        <f>DC480-DC485</f>
        <v>-314</v>
      </c>
      <c r="DD486" s="80">
        <f>IF(ISERROR(DC486/CU486),"NA",IF(OR(DC486/CU486&gt;2,DC486/CU486&lt;0.5),"NM",DC486/CU486*100-100))</f>
        <v>-3.6809815950920211</v>
      </c>
      <c r="DE486" s="160">
        <f>DE480-DE485</f>
        <v>-347</v>
      </c>
      <c r="DF486" s="80">
        <f>IF(ISERROR(DE486/CW486),"NA",IF(OR(DE486/CW486&gt;2,DE486/CW486&lt;0.5),"NM",DE486/CW486*100-100))</f>
        <v>54.222222222222229</v>
      </c>
      <c r="DG486" s="160">
        <f>DG480-DG485</f>
        <v>-312</v>
      </c>
      <c r="DH486" s="80">
        <f>IF(ISERROR(DG486/CY486),"NA",IF(OR(DG486/CY486&gt;2,DG486/CY486&lt;0.5),"NM",DG486/CY486*100-100))</f>
        <v>-24.637681159420282</v>
      </c>
      <c r="DI486" s="160">
        <f>DI480-DI485</f>
        <v>-397</v>
      </c>
      <c r="DJ486" s="80">
        <f>IF(ISERROR(DI486/DA486),"NA",IF(OR(DI486/DA486&gt;2,DI486/DA486&lt;0.5),"NM",DI486/DA486*100-100))</f>
        <v>6.7204301075268802</v>
      </c>
      <c r="DK486" s="160">
        <f>DK480-DK485</f>
        <v>-342</v>
      </c>
      <c r="DL486" s="80">
        <f>IF(ISERROR(DK486/DC486),"NA",IF(OR(DK486/DC486&gt;2,DK486/DC486&lt;0.5),"NM",DK486/DC486*100-100))</f>
        <v>8.9171974522293027</v>
      </c>
      <c r="DM486" s="160">
        <f>DM480-DM485</f>
        <v>-341</v>
      </c>
      <c r="DN486" s="72">
        <f t="shared" si="2340"/>
        <v>-1.7291066282420786</v>
      </c>
      <c r="DO486" s="160">
        <f>DO480-DO485</f>
        <v>-339</v>
      </c>
      <c r="DP486" s="72">
        <f t="shared" si="2340"/>
        <v>8.6538461538461462</v>
      </c>
      <c r="DQ486" s="160">
        <f>DQ480-DQ485</f>
        <v>-326</v>
      </c>
      <c r="DR486" s="72">
        <f t="shared" si="2340"/>
        <v>-17.884130982367765</v>
      </c>
      <c r="DS486" s="160">
        <f>DS480-DS485</f>
        <v>-253</v>
      </c>
      <c r="DT486" s="72">
        <f t="shared" si="2340"/>
        <v>-26.023391812865498</v>
      </c>
      <c r="DU486" s="160">
        <f>DU480-DU485</f>
        <v>-294</v>
      </c>
      <c r="DV486" s="72">
        <f t="shared" si="2340"/>
        <v>-13.782991202346039</v>
      </c>
      <c r="DW486" s="160">
        <f>DW480-DW485</f>
        <v>-308</v>
      </c>
      <c r="DX486" s="72">
        <f t="shared" si="2340"/>
        <v>-9.1445427728613566</v>
      </c>
      <c r="DY486" s="160">
        <f>DY480-DY485</f>
        <v>-458</v>
      </c>
      <c r="DZ486" s="72">
        <f t="shared" si="2340"/>
        <v>40.490797546012288</v>
      </c>
      <c r="EA486" s="160">
        <f>EA480-EA485</f>
        <v>-312</v>
      </c>
      <c r="EB486" s="72">
        <f>IF(ISERROR(EA486/DS486),"NA",IF(OR(EA486/DS486&gt;2,EA486/DS486&lt;0.5),"NM",EA486/DS486*100-100))</f>
        <v>23.320158102766797</v>
      </c>
      <c r="EC486" s="160">
        <f>EC480-EC485</f>
        <v>-415</v>
      </c>
      <c r="ED486" s="72">
        <f>IF(ISERROR(EC486/DU486),"NA",IF(OR(EC486/DU486&gt;2,EC486/DU486&lt;0.5),"NM",EC486/DU486*100-100))</f>
        <v>41.156462585034006</v>
      </c>
      <c r="EE486" s="160">
        <f>EE480-EE485</f>
        <v>-413</v>
      </c>
      <c r="EF486" s="72">
        <f>IF(ISERROR(EE486/DW486),"NA",IF(OR(EE486/DW486&gt;2,EE486/DW486&lt;0.5),"NM",EE486/DW486*100-100))</f>
        <v>34.090909090909093</v>
      </c>
      <c r="EG486" s="160">
        <f>EG480-EG485</f>
        <v>-441</v>
      </c>
      <c r="EH486" s="72">
        <f>IF(ISERROR(EG486/DY486),"NA",IF(OR(EG486/DY486&gt;2,EG486/DY486&lt;0.5),"NM",EG486/DY486*100-100))</f>
        <v>-3.7117903930131035</v>
      </c>
      <c r="EI486" s="160">
        <f>EI480-EI485</f>
        <v>-352</v>
      </c>
      <c r="EJ486" s="72">
        <f>IF(ISERROR(EI486/EA486),"NA",IF(OR(EI486/EA486&gt;2,EI486/EA486&lt;0.5),"NM",EI486/EA486*100-100))</f>
        <v>12.820512820512818</v>
      </c>
      <c r="EK486" s="162">
        <f>EK480-EK485</f>
        <v>-312</v>
      </c>
      <c r="EL486" s="72">
        <f>IF(ISERROR(EK486/EC486),"NA",IF(OR(EK486/EC486&gt;2,EK486/EC486&lt;0.5),"NM",EK486/EC486*100-100))</f>
        <v>-24.819277108433738</v>
      </c>
      <c r="EM486" s="162">
        <f>EM480-EM485</f>
        <v>-310</v>
      </c>
      <c r="EN486" s="72">
        <f>IF(ISERROR(EM486/EE486),"NA",IF(OR(EM486/EE486&gt;2,EM486/EE486&lt;0.5),"NM",EM486/EE486*100-100))</f>
        <v>-24.939467312348668</v>
      </c>
      <c r="EO486" s="162">
        <f>EO480-EO485</f>
        <v>-463</v>
      </c>
      <c r="EP486" s="72">
        <f>IF(ISERROR(EO486/EG486),"NA",IF(OR(EO486/EG486&gt;2,EO486/EG486&lt;0.5),"NM",EO486/EG486*100-100))</f>
        <v>4.988662131519277</v>
      </c>
      <c r="EQ486" s="162">
        <f t="shared" ref="EQ486" si="2349">EQ480-EQ485</f>
        <v>-360</v>
      </c>
      <c r="ER486" s="72">
        <f t="shared" si="2342"/>
        <v>2.2727272727272663</v>
      </c>
      <c r="ES486" s="162">
        <f t="shared" ref="ES486" si="2350">ES480-ES485</f>
        <v>-340</v>
      </c>
      <c r="ET486" s="72">
        <f t="shared" si="2344"/>
        <v>8.9743589743589638</v>
      </c>
      <c r="EU486" s="162">
        <f t="shared" ref="EU486" si="2351">EU480-EU485</f>
        <v>-320</v>
      </c>
      <c r="EV486" s="72">
        <f t="shared" si="2346"/>
        <v>3.2258064516128968</v>
      </c>
      <c r="EW486" s="162">
        <f t="shared" ref="EW486" si="2352">EW480-EW485</f>
        <v>-430</v>
      </c>
      <c r="EX486" s="72">
        <f t="shared" si="2348"/>
        <v>-7.1274298056155487</v>
      </c>
      <c r="EY486" s="80"/>
      <c r="EZ486" s="332"/>
      <c r="FA486" s="80"/>
      <c r="FB486" s="160"/>
      <c r="FC486" s="161"/>
      <c r="FD486" s="160">
        <f>FD480-FD485</f>
        <v>185</v>
      </c>
      <c r="FE486" s="80" t="str">
        <f>IF(ISERROR(FD486/FB486),"NA",IF(OR(FD486/FB486&gt;2,FD486/FB486&lt;0.5),"NM",FD486/FB486*100-100))</f>
        <v>NA</v>
      </c>
      <c r="FF486" s="160">
        <f>FF480-FF485</f>
        <v>38</v>
      </c>
      <c r="FG486" s="80" t="str">
        <f>IF(ISERROR(FF486/FD486),"NA",IF(OR(FF486/FD486&gt;2,FF486/FD486&lt;0.5),"NM",FF486/FD486*100-100))</f>
        <v>NM</v>
      </c>
      <c r="FH486" s="160">
        <f>FH480-FH485</f>
        <v>62</v>
      </c>
      <c r="FI486" s="80">
        <f>IF(ISERROR(FH486/FF486),"NA",IF(OR(FH486/FF486&gt;2,FH486/FF486&lt;0.5),"NM",FH486/FF486*100-100))</f>
        <v>63.15789473684211</v>
      </c>
      <c r="FJ486" s="160">
        <f>FJ480-FJ485</f>
        <v>160</v>
      </c>
      <c r="FK486" s="80" t="str">
        <f>IF(ISERROR(FJ486/FH486),"NA",IF(OR(FJ486/FH486&gt;2,FJ486/FH486&lt;0.5),"NM",FJ486/FH486*100-100))</f>
        <v>NM</v>
      </c>
      <c r="FL486" s="160">
        <f>FL480-FL485</f>
        <v>91</v>
      </c>
      <c r="FM486" s="80">
        <f>IF(ISERROR(FL486/FJ486),"NA",IF(OR(FL486/FJ486&gt;2,FL486/FJ486&lt;0.5),"NM",FL486/FJ486*100-100))</f>
        <v>-43.125</v>
      </c>
      <c r="FN486" s="160">
        <f>FN480-FN485</f>
        <v>176</v>
      </c>
      <c r="FO486" s="80">
        <f>IF(ISERROR(FN486/FL486),"NA",IF(OR(FN486/FL486&gt;2,FN486/FL486&lt;0.5),"NM",FN486/FL486*100-100))</f>
        <v>93.406593406593402</v>
      </c>
      <c r="FP486" s="160">
        <f>FP480-FP485</f>
        <v>202</v>
      </c>
      <c r="FQ486" s="80">
        <f>IF(ISERROR(FP486/FN486),"NA",IF(OR(FP486/FN486&gt;2,FP486/FN486&lt;0.5),"NM",FP486/FN486*100-100))</f>
        <v>14.772727272727266</v>
      </c>
      <c r="FR486" s="162">
        <f>FR480-FR485</f>
        <v>47</v>
      </c>
      <c r="FS486" s="80" t="str">
        <f>IF(ISERROR(FR486/FP486),"NA",IF(OR(FR486/FP486&gt;2,FR486/FP486&lt;0.5),"NM",FR486/FP486*100-100))</f>
        <v>NM</v>
      </c>
      <c r="FT486" s="162">
        <f>FT480-FT485</f>
        <v>-132.39999999999998</v>
      </c>
      <c r="FU486" s="80" t="str">
        <f>IF(ISERROR(FT486/FR486),"NA",IF(OR(FT486/FR486&gt;2,FT486/FR486&lt;0.5),"NM",FT486/FR486*100-100))</f>
        <v>NM</v>
      </c>
      <c r="FV486" s="162">
        <f>FV480-FV485</f>
        <v>-258</v>
      </c>
      <c r="FW486" s="80">
        <f t="shared" si="2339"/>
        <v>94.864048338368605</v>
      </c>
      <c r="FX486" s="162">
        <f>FX480-FX485</f>
        <v>-788</v>
      </c>
      <c r="FY486" s="80" t="str">
        <f t="shared" si="2339"/>
        <v>NM</v>
      </c>
      <c r="FZ486" s="162">
        <f>FZ480-FZ485</f>
        <v>-949</v>
      </c>
      <c r="GA486" s="80">
        <f t="shared" si="2339"/>
        <v>20.431472081218274</v>
      </c>
      <c r="GB486" s="162">
        <f>GB480-GB485</f>
        <v>-1140</v>
      </c>
      <c r="GC486" s="80">
        <f t="shared" si="2339"/>
        <v>20.126448893572174</v>
      </c>
      <c r="GD486" s="162">
        <f>GD480-GD485</f>
        <v>-1337</v>
      </c>
      <c r="GE486" s="80">
        <f t="shared" si="2339"/>
        <v>17.280701754385959</v>
      </c>
      <c r="GF486" s="162">
        <f>GF480-GF485</f>
        <v>-1370</v>
      </c>
      <c r="GG486" s="80">
        <f t="shared" si="2339"/>
        <v>2.4682124158563994</v>
      </c>
      <c r="GH486" s="162">
        <f>GH480-GH485</f>
        <v>-1348</v>
      </c>
      <c r="GI486" s="72">
        <f t="shared" si="2339"/>
        <v>-1.6058394160584015</v>
      </c>
      <c r="GJ486" s="162">
        <f>GJ480-GJ485</f>
        <v>-1313</v>
      </c>
      <c r="GK486" s="72">
        <f t="shared" si="2339"/>
        <v>-2.5964391691394582</v>
      </c>
      <c r="GL486" s="162">
        <f>GL480-GL485</f>
        <v>-1581</v>
      </c>
      <c r="GM486" s="72">
        <f t="shared" si="2339"/>
        <v>20.411271896420402</v>
      </c>
      <c r="GN486" s="162">
        <f>GN480-GN485</f>
        <v>-1437</v>
      </c>
      <c r="GO486" s="72">
        <f t="shared" si="2339"/>
        <v>-9.1081593927893749</v>
      </c>
      <c r="GP486" s="162">
        <f>GP480-GP485</f>
        <v>-1450</v>
      </c>
      <c r="GQ486" s="72">
        <f t="shared" si="2339"/>
        <v>0.90466249130132326</v>
      </c>
      <c r="GR486" s="162">
        <f>GR480-GR485</f>
        <v>-1500.7499999999998</v>
      </c>
      <c r="GS486" s="72">
        <f t="shared" si="2339"/>
        <v>3.4999999999999858</v>
      </c>
      <c r="GT486" s="162">
        <f>GT480-GT485</f>
        <v>-1545.7724999999998</v>
      </c>
      <c r="GU486" s="72">
        <f t="shared" si="2339"/>
        <v>3</v>
      </c>
      <c r="GV486" s="162">
        <f>GV480-GV485</f>
        <v>-1592.1456749999998</v>
      </c>
      <c r="GW486" s="72">
        <f>IF(ISERROR(GV486/GT486),"NA",IF(OR(GV486/GT486&gt;2,GV486/GT486&lt;0.5),"NM",GV486/GT486*100-100))</f>
        <v>3</v>
      </c>
      <c r="GX486" s="162">
        <f>GX480-GX485</f>
        <v>-1641.5021909249997</v>
      </c>
      <c r="GY486" s="72">
        <f>IF(ISERROR(GX486/GV486),"NA",IF(OR(GX486/GV486&gt;2,GX486/GV486&lt;0.5),"NM",GX486/GV486*100-100))</f>
        <v>3.0999999999999943</v>
      </c>
      <c r="GZ486" s="80">
        <f>IF(ISERROR(((GX486/GN486)^0.2-1)*100),"NA",IF((((GX486/GN486)^0.2-1)*100)&gt;100,"NM",IF((((GX486/GN486)^0.2-1)*100)&lt;-50,"NM",((GX486/GN486)^0.2-1)*100)))</f>
        <v>2.6968067130735962</v>
      </c>
      <c r="HA486" s="80"/>
      <c r="HB486" s="80"/>
      <c r="HC486"/>
      <c r="HD486"/>
      <c r="HE486"/>
      <c r="HF486"/>
      <c r="HG486"/>
      <c r="HH486"/>
      <c r="HI486" s="2"/>
    </row>
    <row r="487" spans="1:217" s="3" customFormat="1" ht="12.75" hidden="1" customHeight="1" outlineLevel="1" x14ac:dyDescent="0.2">
      <c r="B487" s="10" t="s">
        <v>397</v>
      </c>
      <c r="C487" s="81"/>
      <c r="D487" s="11"/>
      <c r="E487" s="81"/>
      <c r="F487" s="11"/>
      <c r="G487" s="81"/>
      <c r="H487" s="11"/>
      <c r="I487" s="81"/>
      <c r="J487" s="72"/>
      <c r="K487" s="81">
        <f>K486/K480*100</f>
        <v>-1.4084507042253522</v>
      </c>
      <c r="L487" s="72" t="str">
        <f>IF(ISERROR(K487/C487),"NA",IF(OR(K487/C487&gt;2,K487/C487&lt;0.5),"NM",K487/C487*100-100))</f>
        <v>NA</v>
      </c>
      <c r="M487" s="81">
        <f>M486/M480*100</f>
        <v>35.185185185185183</v>
      </c>
      <c r="N487" s="72" t="str">
        <f>IF(ISERROR(M487/E487),"NA",IF(OR(M487/E487&gt;2,M487/E487&lt;0.5),"NM",M487/E487*100-100))</f>
        <v>NA</v>
      </c>
      <c r="O487" s="81">
        <f>O486/O480*100</f>
        <v>-3.8461538461538463</v>
      </c>
      <c r="P487" s="72" t="str">
        <f>IF(ISERROR(O487/G487),"NA",IF(OR(O487/G487&gt;2,O487/G487&lt;0.5),"NM",O487/G487*100-100))</f>
        <v>NA</v>
      </c>
      <c r="Q487" s="81">
        <f>Q486/Q480*100</f>
        <v>-9.1603053435114496</v>
      </c>
      <c r="R487" s="72" t="str">
        <f>IF(ISERROR(Q487/I487),"NA",IF(OR(Q487/I487&gt;2,Q487/I487&lt;0.5),"NM",Q487/I487*100-100))</f>
        <v>NA</v>
      </c>
      <c r="S487" s="81">
        <f>S486/S480*100</f>
        <v>10.638297872340425</v>
      </c>
      <c r="T487" s="72" t="str">
        <f>IF(ISERROR(S487/K487),"NA",IF(OR(S487/K487&gt;2,S487/K487&lt;0.5),"NM",S487/K487*100-100))</f>
        <v>NM</v>
      </c>
      <c r="U487" s="81">
        <f>U486/U480*100</f>
        <v>41.935483870967744</v>
      </c>
      <c r="V487" s="72">
        <f>IF(ISERROR(U487/M487),"NA",IF(OR(U487/M487&gt;2,U487/M487&lt;0.5),"NM",U487/M487*100-100))</f>
        <v>19.185059422750442</v>
      </c>
      <c r="W487" s="81">
        <f>W486/W480*100</f>
        <v>88.188976377952756</v>
      </c>
      <c r="X487" s="72" t="str">
        <f>IF(ISERROR(W487/O487),"NA",IF(OR(W487/O487&gt;2,W487/O487&lt;0.5),"NM",W487/O487*100-100))</f>
        <v>NM</v>
      </c>
      <c r="Y487" s="81">
        <f>Y486/Y480*100</f>
        <v>-0.97087378640776689</v>
      </c>
      <c r="Z487" s="72" t="str">
        <f>IF(ISERROR(Y487/Q487),"NA",IF(OR(Y487/Q487&gt;2,Y487/Q487&lt;0.5),"NM",Y487/Q487*100-100))</f>
        <v>NM</v>
      </c>
      <c r="AA487" s="81">
        <f>AA486/AA480*100</f>
        <v>20.689655172413794</v>
      </c>
      <c r="AB487" s="72">
        <f>IF(ISERROR(AA487/S487),"NA",IF(OR(AA487/S487&gt;2,AA487/S487&lt;0.5),"NM",AA487/S487*100-100))</f>
        <v>94.48275862068968</v>
      </c>
      <c r="AC487" s="81">
        <f>AC486/AC480*100</f>
        <v>-0.99009900990099009</v>
      </c>
      <c r="AD487" s="72" t="str">
        <f>IF(ISERROR(AC487/U487),"NA",IF(OR(AC487/U487&gt;2,AC487/U487&lt;0.5),"NM",AC487/U487*100-100))</f>
        <v>NM</v>
      </c>
      <c r="AE487" s="81">
        <f>AE486/AE480*100</f>
        <v>20.512820512820511</v>
      </c>
      <c r="AF487" s="72" t="str">
        <f>IF(ISERROR(AE487/W487),"NA",IF(OR(AE487/W487&gt;2,AE487/W487&lt;0.5),"NM",AE487/W487*100-100))</f>
        <v>NM</v>
      </c>
      <c r="AG487" s="81">
        <f>AG486/AG480*100</f>
        <v>28.000000000000004</v>
      </c>
      <c r="AH487" s="72" t="str">
        <f>IF(ISERROR(AG487/Y487),"NA",IF(OR(AG487/Y487&gt;2,AG487/Y487&lt;0.5),"NM",AG487/Y487*100-100))</f>
        <v>NM</v>
      </c>
      <c r="AI487" s="81">
        <f>AI486/AI480*100</f>
        <v>22.549019607843139</v>
      </c>
      <c r="AJ487" s="72">
        <f>IF(ISERROR(AI487/AA487),"NA",IF(OR(AI487/AA487&gt;2,AI487/AA487&lt;0.5),"NM",AI487/AA487*100-100))</f>
        <v>8.9869281045751706</v>
      </c>
      <c r="AK487" s="81">
        <f>AK486/AK480*100</f>
        <v>44.805194805194802</v>
      </c>
      <c r="AL487" s="72" t="str">
        <f>IF(ISERROR(AK487/AC487),"NA",IF(OR(AK487/AC487&gt;2,AK487/AC487&lt;0.5),"NM",AK487/AC487*100-100))</f>
        <v>NM</v>
      </c>
      <c r="AM487" s="81">
        <f>AM486/AM480*100</f>
        <v>42.537313432835823</v>
      </c>
      <c r="AN487" s="72" t="str">
        <f>IF(ISERROR(AM487/AE487),"NA",IF(OR(AM487/AE487&gt;2,AM487/AE487&lt;0.5),"NM",AM487/AE487*100-100))</f>
        <v>NM</v>
      </c>
      <c r="AO487" s="81">
        <f>AO486/AO480*100</f>
        <v>22.5</v>
      </c>
      <c r="AP487" s="72">
        <f>IF(ISERROR(AO487/AG487),"NA",IF(OR(AO487/AG487&gt;2,AO487/AG487&lt;0.5),"NM",AO487/AG487*100-100))</f>
        <v>-19.642857142857153</v>
      </c>
      <c r="AQ487" s="81">
        <f>AQ486/AQ480*100</f>
        <v>20.238095238095237</v>
      </c>
      <c r="AR487" s="72">
        <f>IF(ISERROR(AQ487/AI487),"NA",IF(OR(AQ487/AI487&gt;2,AQ487/AI487&lt;0.5),"NM",AQ487/AI487*100-100))</f>
        <v>-10.248447204968954</v>
      </c>
      <c r="AS487" s="81">
        <f>AS486/AS480*100</f>
        <v>41.549295774647888</v>
      </c>
      <c r="AT487" s="72">
        <f>IF(ISERROR(AS487/AK487),"NA",IF(OR(AS487/AK487&gt;2,AS487/AK487&lt;0.5),"NM",AS487/AK487*100-100))</f>
        <v>-7.2667891406409382</v>
      </c>
      <c r="AU487" s="81">
        <f>AU486/AU480*100</f>
        <v>30.120481927710845</v>
      </c>
      <c r="AV487" s="72">
        <f>IF(ISERROR(AU487/AM487),"NA",IF(OR(AU487/AM487&gt;2,AU487/AM487&lt;0.5),"NM",AU487/AM487*100-100))</f>
        <v>-29.19044599450433</v>
      </c>
      <c r="AW487" s="81">
        <f>AW486/AW480*100</f>
        <v>44.186046511627907</v>
      </c>
      <c r="AX487" s="72">
        <f>IF(ISERROR(AW487/AO487),"NA",IF(OR(AW487/AO487&gt;2,AW487/AO487&lt;0.5),"NM",AW487/AO487*100-100))</f>
        <v>96.382428940568474</v>
      </c>
      <c r="AY487" s="81">
        <f>AY486/AY480*100</f>
        <v>9.3023255813953494</v>
      </c>
      <c r="AZ487" s="72" t="str">
        <f>IF(ISERROR(AY487/AQ487),"NA",IF(OR(AY487/AQ487&gt;2,AY487/AQ487&lt;0.5),"NM",AY487/AQ487*100-100))</f>
        <v>NM</v>
      </c>
      <c r="BA487" s="81">
        <f>BA486/BA480*100</f>
        <v>25.157232704402517</v>
      </c>
      <c r="BB487" s="72">
        <f>IF(ISERROR(BA487/AS487),"NA",IF(OR(BA487/AS487&gt;2,BA487/AS487&lt;0.5),"NM",BA487/AS487*100-100))</f>
        <v>-39.452083999573603</v>
      </c>
      <c r="BC487" s="81">
        <f>BC486/BC480*100</f>
        <v>2.3529411764705883</v>
      </c>
      <c r="BD487" s="72" t="str">
        <f>IF(ISERROR(BC487/AU487),"NA",IF(OR(BC487/AU487&gt;2,BC487/AU487&lt;0.5),"NM",BC487/AU487*100-100))</f>
        <v>NM</v>
      </c>
      <c r="BE487" s="81">
        <f>BE486/BE480*100</f>
        <v>-10.236220472440944</v>
      </c>
      <c r="BF487" s="72" t="str">
        <f>IF(ISERROR(BE487/AW487),"NA",IF(OR(BE487/AW487&gt;2,BE487/AW487&lt;0.5),"NM",BE487/AW487*100-100))</f>
        <v>NM</v>
      </c>
      <c r="BG487" s="81">
        <f>BG486/BG480*100</f>
        <v>-11.082802547770704</v>
      </c>
      <c r="BH487" s="72" t="str">
        <f>IF(ISERROR(BG487/AY487),"NA",IF(OR(BG487/AY487&gt;2,BG487/AY487&lt;0.5),"NM",BG487/AY487*100-100))</f>
        <v>NM</v>
      </c>
      <c r="BI487" s="81">
        <f>BI486/BI480*100</f>
        <v>-19.014084507042252</v>
      </c>
      <c r="BJ487" s="72" t="str">
        <f>IF(ISERROR(BI487/BA487),"NA",IF(OR(BI487/BA487&gt;2,BI487/BA487&lt;0.5),"NM",BI487/BA487*100-100))</f>
        <v>NM</v>
      </c>
      <c r="BK487" s="81">
        <f>BK486/BK480*100</f>
        <v>-19.834710743801654</v>
      </c>
      <c r="BL487" s="72" t="str">
        <f>IF(ISERROR(BK487/BC487),"NA",IF(OR(BK487/BC487&gt;2,BK487/BC487&lt;0.5),"NM",BK487/BC487*100-100))</f>
        <v>NM</v>
      </c>
      <c r="BM487" s="81">
        <f>BM486/BM480*100</f>
        <v>-58.18181818181818</v>
      </c>
      <c r="BN487" s="72" t="str">
        <f>IF(ISERROR(BM487/BE487),"NA",IF(OR(BM487/BE487&gt;2,BM487/BE487&lt;0.5),"NM",BM487/BE487*100-100))</f>
        <v>NM</v>
      </c>
      <c r="BO487" s="81">
        <f>BO486/BO480*100</f>
        <v>-53.684210526315788</v>
      </c>
      <c r="BP487" s="72" t="str">
        <f>IF(ISERROR(BO487/BG487),"NA",IF(OR(BO487/BG487&gt;2,BO487/BG487&lt;0.5),"NM",BO487/BG487*100-100))</f>
        <v>NM</v>
      </c>
      <c r="BQ487" s="75">
        <f>BQ486/BQ480*100</f>
        <v>-23.52941176470588</v>
      </c>
      <c r="BR487" s="87">
        <f>IF(ISERROR(BQ487/BI487),"NA",IF(OR(BQ487/BI487&gt;2,BQ487/BI487&lt;0.5),"NM",BQ487/BI487*100-100))</f>
        <v>23.747276688453155</v>
      </c>
      <c r="BS487" s="75">
        <f>BS486/BS480*100</f>
        <v>-62.5</v>
      </c>
      <c r="BT487" s="87" t="str">
        <f>IF(ISERROR(BS487/BK487),"NA",IF(OR(BS487/BK487&gt;2,BS487/BK487&lt;0.5),"NM",BS487/BK487*100-100))</f>
        <v>NM</v>
      </c>
      <c r="BU487" s="75">
        <f>BU486/BU480*100</f>
        <v>-747.5</v>
      </c>
      <c r="BV487" s="87" t="str">
        <f>IF(ISERROR(BU487/BM487),"NA",IF(OR(BU487/BM487&gt;2,BU487/BM487&lt;0.5),"NM",BU487/BM487*100-100))</f>
        <v>NM</v>
      </c>
      <c r="BW487" s="75">
        <f>BW486/BW480*100</f>
        <v>387.27272727272725</v>
      </c>
      <c r="BX487" s="72" t="str">
        <f>IF(ISERROR(BW487/BO487),"NA",IF(OR(BW487/BO487&gt;2,BW487/BO487&lt;0.5),"NM",BW487/BO487*100-100))</f>
        <v>NM</v>
      </c>
      <c r="BY487" s="75">
        <f>BY486/BY480*100</f>
        <v>-3520.0000000000005</v>
      </c>
      <c r="BZ487" s="72" t="str">
        <f>IF(ISERROR(BY487/BQ487),"NA",IF(OR(BY487/BQ487&gt;2,BY487/BQ487&lt;0.5),"NM",BY487/BQ487*100-100))</f>
        <v>NM</v>
      </c>
      <c r="CA487" s="75">
        <f>CA486/CA480*100</f>
        <v>5225</v>
      </c>
      <c r="CB487" s="72" t="str">
        <f>IF(ISERROR(CA487/BS487),"NA",IF(OR(CA487/BS487&gt;2,CA487/BS487&lt;0.5),"NM",CA487/BS487*100-100))</f>
        <v>NM</v>
      </c>
      <c r="CC487" s="75">
        <f>CC486/CC480*100</f>
        <v>903.99999999999989</v>
      </c>
      <c r="CD487" s="72" t="str">
        <f>IF(ISERROR(CC487/BU487),"NA",IF(OR(CC487/BU487&gt;2,CC487/BU487&lt;0.5),"NM",CC487/BU487*100-100))</f>
        <v>NM</v>
      </c>
      <c r="CE487" s="75">
        <f>CE486/CE480*100</f>
        <v>310.29411764705884</v>
      </c>
      <c r="CF487" s="72">
        <f>IF(ISERROR(CE487/BW487),"NA",IF(OR(CE487/BW487&gt;2,CE487/BW487&lt;0.5),"NM",CE487/BW487*100-100))</f>
        <v>-19.877105771886207</v>
      </c>
      <c r="CG487" s="75">
        <f>CG486/CG480*100</f>
        <v>434.09090909090907</v>
      </c>
      <c r="CH487" s="72" t="str">
        <f>IF(ISERROR(CG487/BY487),"NA",IF(OR(CG487/BY487&gt;2,CG487/BY487&lt;0.5),"NM",CG487/BY487*100-100))</f>
        <v>NM</v>
      </c>
      <c r="CI487" s="75">
        <f>CI486/CI480*100</f>
        <v>431.88405797101444</v>
      </c>
      <c r="CJ487" s="72" t="str">
        <f>IF(ISERROR(CI487/CA487),"NA",IF(OR(CI487/CA487&gt;2,CI487/CA487&lt;0.5),"NM",CI487/CA487*100-100))</f>
        <v>NM</v>
      </c>
      <c r="CK487" s="75">
        <f>CK486/CK480*100</f>
        <v>461.11111111111109</v>
      </c>
      <c r="CL487" s="72">
        <f>IF(ISERROR(CK487/CC487),"NA",IF(OR(CK487/CC487&gt;2,CK487/CC487&lt;0.5),"NM",CK487/CC487*100-100))</f>
        <v>-48.992133726647005</v>
      </c>
      <c r="CM487" s="75">
        <f>CM486/CM480*100</f>
        <v>471.92982456140351</v>
      </c>
      <c r="CN487" s="72">
        <f>IF(ISERROR(CM487/CE487),"NA",IF(OR(CM487/CE487&gt;2,CM487/CE487&lt;0.5),"NM",CM487/CE487*100-100))</f>
        <v>52.091128294670312</v>
      </c>
      <c r="CO487" s="75">
        <f>CO486/CO480*100</f>
        <v>677.14285714285711</v>
      </c>
      <c r="CP487" s="72">
        <f>IF(ISERROR(CO487/CG487),"NA",IF(OR(CO487/CG487&gt;2,CO487/CG487&lt;0.5),"NM",CO487/CG487*100-100))</f>
        <v>55.991024682124163</v>
      </c>
      <c r="CQ487" s="75">
        <f>CQ486/CQ480*100</f>
        <v>918.42105263157896</v>
      </c>
      <c r="CR487" s="72" t="str">
        <f>IF(ISERROR(CQ487/CI487),"NA",IF(OR(CQ487/CI487&gt;2,CQ487/CI487&lt;0.5),"NM",CQ487/CI487*100-100))</f>
        <v>NM</v>
      </c>
      <c r="CS487" s="75">
        <f>CS486/CS480*100</f>
        <v>500</v>
      </c>
      <c r="CT487" s="72">
        <f>IF(ISERROR(CS487/CK487),"NA",IF(OR(CS487/CK487&gt;2,CS487/CK487&lt;0.5),"NM",CS487/CK487*100-100))</f>
        <v>8.4337349397590486</v>
      </c>
      <c r="CU487" s="75">
        <f>CU486/CU480*100</f>
        <v>269.42148760330576</v>
      </c>
      <c r="CV487" s="72">
        <f>IF(ISERROR(CU487/CM487),"NA",IF(OR(CU487/CM487&gt;2,CU487/CM487&lt;0.5),"NM",CU487/CM487*100-100))</f>
        <v>-42.910688500414764</v>
      </c>
      <c r="CW487" s="75">
        <f>CW486/CW480*100</f>
        <v>312.5</v>
      </c>
      <c r="CX487" s="72" t="str">
        <f>IF(ISERROR(CW487/CO487),"NA",IF(OR(CW487/CO487&gt;2,CW487/CO487&lt;0.5),"NM",CW487/CO487*100-100))</f>
        <v>NM</v>
      </c>
      <c r="CY487" s="75">
        <f>CY486/CY480*100</f>
        <v>390.56603773584902</v>
      </c>
      <c r="CZ487" s="72" t="str">
        <f>IF(ISERROR(CY487/CQ487),"NA",IF(OR(CY487/CQ487&gt;2,CY487/CQ487&lt;0.5),"NM",CY487/CQ487*100-100))</f>
        <v>NM</v>
      </c>
      <c r="DA487" s="75">
        <f>DA486/DA480*100</f>
        <v>357.69230769230774</v>
      </c>
      <c r="DB487" s="72">
        <f>IF(ISERROR(DA487/CS487),"NA",IF(OR(DA487/CS487&gt;2,DA487/CS487&lt;0.5),"NM",DA487/CS487*100-100))</f>
        <v>-28.461538461538453</v>
      </c>
      <c r="DC487" s="75">
        <f>DC486/DC480*100</f>
        <v>205.22875816993462</v>
      </c>
      <c r="DD487" s="72">
        <f>IF(ISERROR(DC487/CU487),"NA",IF(OR(DC487/CU487&gt;2,DC487/CU487&lt;0.5),"NM",DC487/CU487*100-100))</f>
        <v>-23.826135771281926</v>
      </c>
      <c r="DE487" s="75">
        <f>DE486/DE480*100</f>
        <v>260.90225563909775</v>
      </c>
      <c r="DF487" s="72">
        <f>IF(ISERROR(DE487/CW487),"NA",IF(OR(DE487/CW487&gt;2,DE487/CW487&lt;0.5),"NM",DE487/CW487*100-100))</f>
        <v>-16.511278195488728</v>
      </c>
      <c r="DG487" s="75">
        <f>DG486/DG480*100</f>
        <v>203.92156862745097</v>
      </c>
      <c r="DH487" s="72">
        <f>IF(ISERROR(DG487/CY487),"NA",IF(OR(DG487/CY487&gt;2,DG487/CY487&lt;0.5),"NM",DG487/CY487*100-100))</f>
        <v>-47.788197404565693</v>
      </c>
      <c r="DI487" s="75">
        <f>DI486/DI480*100</f>
        <v>307.75193798449612</v>
      </c>
      <c r="DJ487" s="72">
        <f>IF(ISERROR(DI487/DA487),"NA",IF(OR(DI487/DA487&gt;2,DI487/DA487&lt;0.5),"NM",DI487/DA487*100-100))</f>
        <v>-13.961823789280672</v>
      </c>
      <c r="DK487" s="75">
        <f>DK486/DK480*100</f>
        <v>225</v>
      </c>
      <c r="DL487" s="72">
        <f>IF(ISERROR(DK487/DC487),"NA",IF(OR(DK487/DC487&gt;2,DK487/DC487&lt;0.5),"NM",DK487/DC487*100-100))</f>
        <v>9.633757961783445</v>
      </c>
      <c r="DM487" s="75">
        <f>DM486/DM480*100</f>
        <v>224.34210526315786</v>
      </c>
      <c r="DN487" s="72">
        <f>IF(ISERROR(DM487/DE487),"NA",IF(OR(DM487/DE487&gt;2,DM487/DE487&lt;0.5),"NM",DM487/DE487*100-100))</f>
        <v>-14.012968299711829</v>
      </c>
      <c r="DO487" s="75">
        <f>DO486/DO480*100</f>
        <v>193.71428571428569</v>
      </c>
      <c r="DP487" s="72">
        <f>IF(ISERROR(DO487/DG487),"NA",IF(OR(DO487/DG487&gt;2,DO487/DG487&lt;0.5),"NM",DO487/DG487*100-100))</f>
        <v>-5.0054945054945108</v>
      </c>
      <c r="DQ487" s="75">
        <f>DQ486/DQ480*100</f>
        <v>213.07189542483661</v>
      </c>
      <c r="DR487" s="72">
        <f>IF(ISERROR(DQ487/DI487),"NA",IF(OR(DQ487/DI487&gt;2,DQ487/DI487&lt;0.5),"NM",DQ487/DI487*100-100))</f>
        <v>-30.765051612584585</v>
      </c>
      <c r="DS487" s="75">
        <f>DS486/DS480*100</f>
        <v>202.4</v>
      </c>
      <c r="DT487" s="72">
        <f>IF(ISERROR(DS487/DK487),"NA",IF(OR(DS487/DK487&gt;2,DS487/DK487&lt;0.5),"NM",DS487/DK487*100-100))</f>
        <v>-10.044444444444451</v>
      </c>
      <c r="DU487" s="75">
        <f>DU486/DU480*100</f>
        <v>204.16666666666666</v>
      </c>
      <c r="DV487" s="72">
        <f>IF(ISERROR(DU487/DM487),"NA",IF(OR(DU487/DM487&gt;2,DU487/DM487&lt;0.5),"NM",DU487/DM487*100-100))</f>
        <v>-8.9931573802541465</v>
      </c>
      <c r="DW487" s="75">
        <f>DW486/DW480*100</f>
        <v>206.71140939597316</v>
      </c>
      <c r="DX487" s="72">
        <f>IF(ISERROR(DW487/DO487),"NA",IF(OR(DW487/DO487&gt;2,DW487/DO487&lt;0.5),"NM",DW487/DO487*100-100))</f>
        <v>6.7094296291896995</v>
      </c>
      <c r="DY487" s="75">
        <f>DY486/DY480*100</f>
        <v>301.31578947368422</v>
      </c>
      <c r="DZ487" s="72">
        <f>IF(ISERROR(DY487/DQ487),"NA",IF(OR(DY487/DQ487&gt;2,DY487/DQ487&lt;0.5),"NM",DY487/DQ487*100-100))</f>
        <v>41.415079108814979</v>
      </c>
      <c r="EA487" s="75">
        <f>EA486/EA480*100</f>
        <v>213.69863013698631</v>
      </c>
      <c r="EB487" s="72">
        <f>IF(ISERROR(EA487/DS487),"NA",IF(OR(EA487/DS487&gt;2,EA487/DS487&lt;0.5),"NM",EA487/DS487*100-100))</f>
        <v>5.5823271427798034</v>
      </c>
      <c r="EC487" s="75">
        <f>EC486/EC480*100</f>
        <v>250</v>
      </c>
      <c r="ED487" s="72">
        <f>IF(ISERROR(EC487/DU487),"NA",IF(OR(EC487/DU487&gt;2,EC487/DU487&lt;0.5),"NM",EC487/DU487*100-100))</f>
        <v>22.448979591836732</v>
      </c>
      <c r="EE487" s="75">
        <f>EE486/EE480*100</f>
        <v>226.92307692307691</v>
      </c>
      <c r="EF487" s="72">
        <f>IF(ISERROR(EE487/DW487),"NA",IF(OR(EE487/DW487&gt;2,EE487/DW487&lt;0.5),"NM",EE487/DW487*100-100))</f>
        <v>9.7777222777222619</v>
      </c>
      <c r="EG487" s="75">
        <f>EG486/EG480*100</f>
        <v>310.56338028169017</v>
      </c>
      <c r="EH487" s="72">
        <f>IF(ISERROR(EG487/DY487),"NA",IF(OR(EG487/DY487&gt;2,EG487/DY487&lt;0.5),"NM",EG487/DY487*100-100))</f>
        <v>3.0690694384648509</v>
      </c>
      <c r="EI487" s="75">
        <f>EI486/EI480*100</f>
        <v>255.07246376811591</v>
      </c>
      <c r="EJ487" s="72">
        <f>IF(ISERROR(EI487/EA487),"NA",IF(OR(EI487/EA487&gt;2,EI487/EA487&lt;0.5),"NM",EI487/EA487*100-100))</f>
        <v>19.360832404310628</v>
      </c>
      <c r="EK487" s="75">
        <f>EK486/EK480*100</f>
        <v>182.45614035087718</v>
      </c>
      <c r="EL487" s="72">
        <f>IF(ISERROR(EK487/EC487),"NA",IF(OR(EK487/EC487&gt;2,EK487/EC487&lt;0.5),"NM",EK487/EC487*100-100))</f>
        <v>-27.017543859649123</v>
      </c>
      <c r="EM487" s="75">
        <f>EM486/EM480*100</f>
        <v>173.18435754189946</v>
      </c>
      <c r="EN487" s="72">
        <f>IF(ISERROR(EM487/EE487),"NA",IF(OR(EM487/EE487&gt;2,EM487/EE487&lt;0.5),"NM",EM487/EE487*100-100))</f>
        <v>-23.681469557807006</v>
      </c>
      <c r="EO487" s="75">
        <f>EO486/EO480*100</f>
        <v>258.65921787709499</v>
      </c>
      <c r="EP487" s="72">
        <f>IF(ISERROR(EO487/EG487),"NA",IF(OR(EO487/EG487&gt;2,EO487/EG487&lt;0.5),"NM",EO487/EG487*100-100))</f>
        <v>-16.71290490125287</v>
      </c>
      <c r="EQ487" s="75">
        <f t="shared" ref="EQ487" si="2353">EQ486/EQ480*100</f>
        <v>250.83612040133775</v>
      </c>
      <c r="ER487" s="72">
        <f t="shared" si="2342"/>
        <v>-1.6608391608391742</v>
      </c>
      <c r="ES487" s="75">
        <f t="shared" ref="ES487" si="2354">ES486/ES480*100</f>
        <v>191.18308591992803</v>
      </c>
      <c r="ET487" s="72">
        <f t="shared" si="2344"/>
        <v>4.7830374753451821</v>
      </c>
      <c r="EU487" s="75">
        <f t="shared" ref="EU487" si="2355">EU486/EU480*100</f>
        <v>171.89514396218306</v>
      </c>
      <c r="EV487" s="72">
        <f t="shared" si="2346"/>
        <v>-0.74441687344915408</v>
      </c>
      <c r="EW487" s="75">
        <f t="shared" ref="EW487" si="2356">EW486/EW480*100</f>
        <v>230.98409969918353</v>
      </c>
      <c r="EX487" s="72">
        <f t="shared" si="2348"/>
        <v>-10.699451736168797</v>
      </c>
      <c r="EY487" s="72"/>
      <c r="EZ487" s="296"/>
      <c r="FA487" s="72"/>
      <c r="FB487" s="73"/>
      <c r="FC487" s="11"/>
      <c r="FD487" s="73">
        <f>FD486/FD480*100</f>
        <v>22.643818849449204</v>
      </c>
      <c r="FE487" s="72" t="str">
        <f>IF(ISERROR(FD487/FB487),"NA",IF(OR(FD487/FB487&gt;2,FD487/FB487&lt;0.5),"NM",FD487/FB487*100-100))</f>
        <v>NA</v>
      </c>
      <c r="FF487" s="73">
        <f>FF486/FF480*100</f>
        <v>7.1833648393194709</v>
      </c>
      <c r="FG487" s="72" t="str">
        <f>IF(ISERROR(FF487/FD487),"NA",IF(OR(FF487/FD487&gt;2,FF487/FD487&lt;0.5),"NM",FF487/FD487*100-100))</f>
        <v>NM</v>
      </c>
      <c r="FH487" s="81">
        <f>FH486/FH480*100</f>
        <v>13.963963963963963</v>
      </c>
      <c r="FI487" s="72">
        <f>IF(ISERROR(FH487/FF487),"NA",IF(OR(FH487/FF487&gt;2,FH487/FF487&lt;0.5),"NM",FH487/FF487*100-100))</f>
        <v>94.393077287814094</v>
      </c>
      <c r="FJ487" s="81">
        <f>FJ486/FJ480*100</f>
        <v>38.369304556354919</v>
      </c>
      <c r="FK487" s="72" t="str">
        <f>IF(ISERROR(FJ487/FH487),"NA",IF(OR(FJ487/FH487&gt;2,FJ487/FH487&lt;0.5),"NM",FJ487/FH487*100-100))</f>
        <v>NM</v>
      </c>
      <c r="FL487" s="81">
        <f>FL486/FL480*100</f>
        <v>18.421052631578945</v>
      </c>
      <c r="FM487" s="72" t="str">
        <f>IF(ISERROR(FL487/FJ487),"NA",IF(OR(FL487/FJ487&gt;2,FL487/FJ487&lt;0.5),"NM",FL487/FJ487*100-100))</f>
        <v>NM</v>
      </c>
      <c r="FN487" s="81">
        <f>FN486/FN480*100</f>
        <v>34.509803921568626</v>
      </c>
      <c r="FO487" s="72">
        <f>IF(ISERROR(FN487/FL487),"NA",IF(OR(FN487/FL487&gt;2,FN487/FL487&lt;0.5),"NM",FN487/FL487*100-100))</f>
        <v>87.338935574229708</v>
      </c>
      <c r="FP487" s="81">
        <f>FP486/FP480*100</f>
        <v>35.815602836879435</v>
      </c>
      <c r="FQ487" s="72">
        <f>IF(ISERROR(FP487/FN487),"NA",IF(OR(FP487/FN487&gt;2,FP487/FN487&lt;0.5),"NM",FP487/FN487*100-100))</f>
        <v>3.7838491295938184</v>
      </c>
      <c r="FR487" s="81">
        <f>FR486/FR480*100</f>
        <v>7.484076433121019</v>
      </c>
      <c r="FS487" s="72" t="str">
        <f>IF(ISERROR(FR487/FP487),"NA",IF(OR(FR487/FP487&gt;2,FR487/FP487&lt;0.5),"NM",FR487/FP487*100-100))</f>
        <v>NM</v>
      </c>
      <c r="FT487" s="81">
        <f>FT486/FT480*100</f>
        <v>-24.981132075471692</v>
      </c>
      <c r="FU487" s="72" t="str">
        <f>IF(ISERROR(FT487/FR487),"NA",IF(OR(FT487/FR487&gt;2,FT487/FR487&lt;0.5),"NM",FT487/FR487*100-100))</f>
        <v>NM</v>
      </c>
      <c r="FV487" s="81">
        <f>FV486/FV480*100</f>
        <v>-303.52941176470586</v>
      </c>
      <c r="FW487" s="72" t="str">
        <f t="shared" si="2339"/>
        <v>NM</v>
      </c>
      <c r="FX487" s="81">
        <f>FX486/FX480*100</f>
        <v>316.46586345381525</v>
      </c>
      <c r="FY487" s="72" t="str">
        <f t="shared" si="2339"/>
        <v>NM</v>
      </c>
      <c r="FZ487" s="81">
        <f>FZ486/FZ480*100</f>
        <v>403.82978723404256</v>
      </c>
      <c r="GA487" s="72">
        <f t="shared" si="2339"/>
        <v>27.606112971163199</v>
      </c>
      <c r="GB487" s="81">
        <f>GB486/GB480*100</f>
        <v>609.62566844919786</v>
      </c>
      <c r="GC487" s="72">
        <f t="shared" si="2339"/>
        <v>50.961045401013166</v>
      </c>
      <c r="GD487" s="81">
        <f>GD486/GD480*100</f>
        <v>331.76178660049629</v>
      </c>
      <c r="GE487" s="72">
        <f t="shared" si="2339"/>
        <v>-45.579426233076482</v>
      </c>
      <c r="GF487" s="81">
        <f>GF486/GF480*100</f>
        <v>241.19718309859155</v>
      </c>
      <c r="GG487" s="72">
        <f t="shared" si="2339"/>
        <v>-27.2980816838202</v>
      </c>
      <c r="GH487" s="81">
        <f>GH486/GH480*100</f>
        <v>213.29113924050631</v>
      </c>
      <c r="GI487" s="72">
        <f t="shared" si="2339"/>
        <v>-11.569805044811986</v>
      </c>
      <c r="GJ487" s="81">
        <f>GJ486/GJ480*100</f>
        <v>230.35087719298244</v>
      </c>
      <c r="GK487" s="72">
        <f t="shared" si="2339"/>
        <v>7.9983341142172861</v>
      </c>
      <c r="GL487" s="81">
        <f>GL486/GL480*100</f>
        <v>248.58490566037736</v>
      </c>
      <c r="GM487" s="72">
        <f t="shared" si="2339"/>
        <v>7.9157625486786714</v>
      </c>
      <c r="GN487" s="81">
        <f>GN486/GN480*100</f>
        <v>215.4422788605697</v>
      </c>
      <c r="GO487" s="72">
        <f t="shared" si="2339"/>
        <v>-13.33251780182016</v>
      </c>
      <c r="GP487" s="81">
        <f>GP486/GP480*100</f>
        <v>209.03010033444818</v>
      </c>
      <c r="GQ487" s="72">
        <f t="shared" si="2339"/>
        <v>-2.9762860660564172</v>
      </c>
      <c r="GR487" s="81">
        <f>GR486/GR480*100</f>
        <v>207.02981229297018</v>
      </c>
      <c r="GS487" s="72">
        <f t="shared" si="2339"/>
        <v>-0.95693779904307519</v>
      </c>
      <c r="GT487" s="81">
        <f>GT486/GT480*100</f>
        <v>204.05809249929118</v>
      </c>
      <c r="GU487" s="72">
        <f t="shared" si="2339"/>
        <v>-1.4354066985645915</v>
      </c>
      <c r="GV487" s="81">
        <f>GV486/GV480*100</f>
        <v>201.12902897059328</v>
      </c>
      <c r="GW487" s="72">
        <f>IF(ISERROR(GV487/GT487),"NA",IF(OR(GV487/GT487&gt;2,GV487/GT487&lt;0.5),"NM",GV487/GT487*100-100))</f>
        <v>-1.435406698564563</v>
      </c>
      <c r="GX487" s="81">
        <f>GX486/GX480*100</f>
        <v>198.43447738629823</v>
      </c>
      <c r="GY487" s="72">
        <f>IF(ISERROR(GX487/GV487),"NA",IF(OR(GX487/GV487&gt;2,GX487/GV487&lt;0.5),"NM",GX487/GV487*100-100))</f>
        <v>-1.3397129186602967</v>
      </c>
      <c r="GZ487" s="72">
        <f>IF(ISERROR(((GX487/GN487)^0.2-1)*100),"NA",IF((((GX487/GN487)^0.2-1)*100)&gt;100,"NM",IF((((GX487/GN487)^0.2-1)*100)&lt;-50,"NM",((GX487/GN487)^0.2-1)*100)))</f>
        <v>-1.6312303439141251</v>
      </c>
      <c r="HA487" s="72"/>
      <c r="HB487" s="72"/>
      <c r="HC487"/>
      <c r="HD487"/>
      <c r="HE487"/>
      <c r="HF487"/>
      <c r="HG487"/>
      <c r="HH487"/>
      <c r="HI487" s="2"/>
    </row>
    <row r="488" spans="1:217" ht="12.75" customHeight="1" collapsed="1" x14ac:dyDescent="0.2">
      <c r="B488" s="77"/>
      <c r="C488" s="109"/>
      <c r="D488" s="72"/>
      <c r="E488" s="109"/>
      <c r="F488" s="72"/>
      <c r="G488" s="109"/>
      <c r="H488" s="72"/>
      <c r="I488" s="109"/>
      <c r="J488" s="72"/>
      <c r="K488" s="109"/>
      <c r="L488" s="72"/>
      <c r="M488" s="109"/>
      <c r="N488" s="72"/>
      <c r="O488" s="109"/>
      <c r="P488" s="72"/>
      <c r="Q488" s="109"/>
      <c r="R488" s="72"/>
      <c r="S488" s="109"/>
      <c r="T488" s="72"/>
      <c r="U488" s="109"/>
      <c r="V488" s="72"/>
      <c r="W488" s="109"/>
      <c r="X488" s="72"/>
      <c r="Y488" s="109"/>
      <c r="Z488" s="72"/>
      <c r="AA488" s="109"/>
      <c r="AB488" s="72"/>
      <c r="AC488" s="109"/>
      <c r="AD488" s="72"/>
      <c r="AE488" s="109"/>
      <c r="AF488" s="72"/>
      <c r="AG488" s="109"/>
      <c r="AH488" s="72"/>
      <c r="AI488" s="109"/>
      <c r="AJ488" s="72"/>
      <c r="AK488" s="109"/>
      <c r="AL488" s="72"/>
      <c r="AM488" s="109"/>
      <c r="AN488" s="72"/>
      <c r="AO488" s="109"/>
      <c r="AP488" s="72"/>
      <c r="AQ488" s="109"/>
      <c r="AR488" s="72"/>
      <c r="AS488" s="109"/>
      <c r="AT488" s="72"/>
      <c r="AU488" s="109"/>
      <c r="AV488" s="72"/>
      <c r="AW488" s="109"/>
      <c r="AX488" s="72"/>
      <c r="AY488" s="109"/>
      <c r="AZ488" s="72"/>
      <c r="BA488" s="109"/>
      <c r="BB488" s="72"/>
      <c r="BC488" s="109"/>
      <c r="BD488" s="72"/>
      <c r="BE488" s="109"/>
      <c r="BF488" s="72"/>
      <c r="BG488" s="109"/>
      <c r="BH488" s="72"/>
      <c r="BI488" s="109"/>
      <c r="BJ488" s="72"/>
      <c r="BK488" s="109"/>
      <c r="BL488" s="72"/>
      <c r="BM488" s="109"/>
      <c r="BN488" s="72"/>
      <c r="BO488" s="109"/>
      <c r="BP488" s="72"/>
      <c r="BQ488" s="109"/>
      <c r="BR488" s="72"/>
      <c r="BS488" s="109"/>
      <c r="BT488" s="72"/>
      <c r="BU488" s="109"/>
      <c r="BV488" s="72"/>
      <c r="BW488" s="109"/>
      <c r="BX488" s="72"/>
      <c r="BY488" s="109"/>
      <c r="BZ488" s="72"/>
      <c r="CA488" s="109"/>
      <c r="CB488" s="72"/>
      <c r="CC488" s="109"/>
      <c r="CD488" s="72"/>
      <c r="CE488" s="109"/>
      <c r="CF488" s="72"/>
      <c r="CG488" s="109"/>
      <c r="CH488" s="72"/>
      <c r="CI488" s="109"/>
      <c r="CJ488" s="72"/>
      <c r="CK488" s="109"/>
      <c r="CL488" s="72"/>
      <c r="CM488" s="109"/>
      <c r="CN488" s="72"/>
      <c r="CO488" s="109"/>
      <c r="CP488" s="72"/>
      <c r="CQ488" s="109"/>
      <c r="CR488" s="72"/>
      <c r="CS488" s="109"/>
      <c r="CT488" s="72"/>
      <c r="CU488" s="109"/>
      <c r="CV488" s="72"/>
      <c r="CW488" s="109"/>
      <c r="CX488" s="72"/>
      <c r="CY488" s="109"/>
      <c r="CZ488" s="72"/>
      <c r="DA488" s="109"/>
      <c r="DB488" s="72"/>
      <c r="DC488" s="109"/>
      <c r="DD488" s="72"/>
      <c r="DE488" s="109"/>
      <c r="DF488" s="72"/>
      <c r="DG488" s="109"/>
      <c r="DH488" s="72"/>
      <c r="DI488" s="109"/>
      <c r="DJ488" s="72"/>
      <c r="DK488" s="109"/>
      <c r="DL488" s="72"/>
      <c r="DM488" s="109"/>
      <c r="DN488" s="72"/>
      <c r="DO488" s="109"/>
      <c r="DP488" s="72"/>
      <c r="DQ488" s="109"/>
      <c r="DR488" s="72"/>
      <c r="DS488" s="109"/>
      <c r="DT488" s="72"/>
      <c r="DU488" s="74"/>
      <c r="DV488" s="72"/>
      <c r="DW488" s="109"/>
      <c r="DX488" s="72"/>
      <c r="DY488" s="109"/>
      <c r="DZ488" s="72"/>
      <c r="EA488" s="109"/>
      <c r="EB488" s="72"/>
      <c r="EC488" s="109"/>
      <c r="ED488" s="72"/>
      <c r="EE488" s="109"/>
      <c r="EF488" s="72"/>
      <c r="EG488" s="109"/>
      <c r="EH488" s="72"/>
      <c r="EI488" s="109"/>
      <c r="EJ488" s="72"/>
      <c r="EK488" s="109"/>
      <c r="EL488" s="72"/>
      <c r="EM488" s="109"/>
      <c r="EN488" s="72"/>
      <c r="EO488" s="109"/>
      <c r="EP488" s="72"/>
      <c r="EQ488" s="109"/>
      <c r="ER488" s="72"/>
      <c r="ES488" s="109"/>
      <c r="ET488" s="72"/>
      <c r="EU488" s="109"/>
      <c r="EV488" s="72"/>
      <c r="EW488" s="109"/>
      <c r="EX488" s="72"/>
      <c r="EY488" s="72"/>
      <c r="EZ488" s="306"/>
      <c r="FA488" s="72"/>
      <c r="FB488" s="109"/>
      <c r="FC488" s="72"/>
      <c r="FD488" s="109"/>
      <c r="FE488" s="72"/>
      <c r="FF488" s="109"/>
      <c r="FG488" s="72"/>
      <c r="FH488" s="109"/>
      <c r="FI488" s="72"/>
      <c r="FJ488" s="109"/>
      <c r="FK488" s="72"/>
      <c r="FL488" s="109"/>
      <c r="FM488" s="72"/>
      <c r="FN488" s="109"/>
      <c r="FO488" s="72"/>
      <c r="FP488" s="109"/>
      <c r="FQ488" s="72"/>
      <c r="FR488" s="109"/>
      <c r="FS488" s="72"/>
      <c r="FT488" s="109"/>
      <c r="FU488" s="72"/>
      <c r="FV488" s="109"/>
      <c r="FW488" s="72"/>
      <c r="FX488" s="109"/>
      <c r="FY488" s="72"/>
      <c r="FZ488" s="109"/>
      <c r="GA488" s="72"/>
      <c r="GB488" s="109"/>
      <c r="GC488" s="72"/>
      <c r="GD488" s="109"/>
      <c r="GE488" s="72"/>
      <c r="GF488" s="109"/>
      <c r="GG488" s="72"/>
      <c r="GH488" s="109"/>
      <c r="GI488" s="72"/>
      <c r="GJ488" s="109"/>
      <c r="GK488" s="72"/>
      <c r="GL488" s="109"/>
      <c r="GM488" s="72"/>
      <c r="GN488" s="109"/>
      <c r="GO488" s="72"/>
      <c r="GP488" s="109"/>
      <c r="GQ488" s="72"/>
      <c r="GR488" s="109"/>
      <c r="GS488" s="72"/>
      <c r="GT488" s="109"/>
      <c r="GU488" s="72"/>
      <c r="GV488" s="109"/>
      <c r="GW488" s="72"/>
      <c r="GX488" s="109"/>
      <c r="GY488" s="72"/>
      <c r="GZ488" s="72"/>
      <c r="HA488" s="72"/>
      <c r="HB488" s="72"/>
    </row>
    <row r="489" spans="1:217" s="3" customFormat="1" ht="12.75" customHeight="1" x14ac:dyDescent="0.2">
      <c r="B489" s="77" t="s">
        <v>537</v>
      </c>
      <c r="C489" s="74"/>
      <c r="D489" s="92"/>
      <c r="E489" s="74"/>
      <c r="F489" s="92"/>
      <c r="G489" s="74"/>
      <c r="H489" s="92"/>
      <c r="I489" s="74"/>
      <c r="J489" s="92"/>
      <c r="K489" s="74">
        <v>0</v>
      </c>
      <c r="L489" s="72" t="str">
        <f>IF(ISERROR(K489/C489),"NA",IF(OR(K489/C489&gt;2,K489/C489&lt;0.5),"NM",K489/C489*100-100))</f>
        <v>NA</v>
      </c>
      <c r="M489" s="74">
        <v>0</v>
      </c>
      <c r="N489" s="72" t="str">
        <f>IF(ISERROR(M489/E489),"NA",IF(OR(M489/E489&gt;2,M489/E489&lt;0.5),"NM",M489/E489*100-100))</f>
        <v>NA</v>
      </c>
      <c r="O489" s="74">
        <v>0</v>
      </c>
      <c r="P489" s="72" t="str">
        <f>IF(ISERROR(O489/G489),"NA",IF(OR(O489/G489&gt;2,O489/G489&lt;0.5),"NM",O489/G489*100-100))</f>
        <v>NA</v>
      </c>
      <c r="Q489" s="74">
        <v>0</v>
      </c>
      <c r="R489" s="72" t="str">
        <f>IF(ISERROR(Q489/I489),"NA",IF(OR(Q489/I489&gt;2,Q489/I489&lt;0.5),"NM",Q489/I489*100-100))</f>
        <v>NA</v>
      </c>
      <c r="S489" s="74">
        <v>0</v>
      </c>
      <c r="T489" s="72" t="str">
        <f>IF(ISERROR(S489/K489),"NA",IF(OR(S489/K489&gt;2,S489/K489&lt;0.5),"NM",S489/K489*100-100))</f>
        <v>NA</v>
      </c>
      <c r="U489" s="74">
        <v>0</v>
      </c>
      <c r="V489" s="72" t="str">
        <f>IF(ISERROR(U489/M489),"NA",IF(OR(U489/M489&gt;2,U489/M489&lt;0.5),"NM",U489/M489*100-100))</f>
        <v>NA</v>
      </c>
      <c r="W489" s="74">
        <v>0</v>
      </c>
      <c r="X489" s="72" t="str">
        <f>IF(ISERROR(W489/O489),"NA",IF(OR(W489/O489&gt;2,W489/O489&lt;0.5),"NM",W489/O489*100-100))</f>
        <v>NA</v>
      </c>
      <c r="Y489" s="74">
        <v>0</v>
      </c>
      <c r="Z489" s="72" t="str">
        <f>IF(ISERROR(Y489/Q489),"NA",IF(OR(Y489/Q489&gt;2,Y489/Q489&lt;0.5),"NM",Y489/Q489*100-100))</f>
        <v>NA</v>
      </c>
      <c r="AA489" s="74">
        <v>0</v>
      </c>
      <c r="AB489" s="72" t="str">
        <f>IF(ISERROR(AA489/S489),"NA",IF(OR(AA489/S489&gt;2,AA489/S489&lt;0.5),"NM",AA489/S489*100-100))</f>
        <v>NA</v>
      </c>
      <c r="AC489" s="74">
        <v>0</v>
      </c>
      <c r="AD489" s="72" t="str">
        <f>IF(ISERROR(AC489/U489),"NA",IF(OR(AC489/U489&gt;2,AC489/U489&lt;0.5),"NM",AC489/U489*100-100))</f>
        <v>NA</v>
      </c>
      <c r="AE489" s="74">
        <v>0</v>
      </c>
      <c r="AF489" s="72" t="str">
        <f>IF(ISERROR(AE489/W489),"NA",IF(OR(AE489/W489&gt;2,AE489/W489&lt;0.5),"NM",AE489/W489*100-100))</f>
        <v>NA</v>
      </c>
      <c r="AG489" s="74">
        <v>0</v>
      </c>
      <c r="AH489" s="72" t="str">
        <f>IF(ISERROR(AG489/Y489),"NA",IF(OR(AG489/Y489&gt;2,AG489/Y489&lt;0.5),"NM",AG489/Y489*100-100))</f>
        <v>NA</v>
      </c>
      <c r="AI489" s="74">
        <v>0</v>
      </c>
      <c r="AJ489" s="72" t="str">
        <f>IF(ISERROR(AI489/AA489),"NA",IF(OR(AI489/AA489&gt;2,AI489/AA489&lt;0.5),"NM",AI489/AA489*100-100))</f>
        <v>NA</v>
      </c>
      <c r="AK489" s="74">
        <v>0</v>
      </c>
      <c r="AL489" s="72" t="str">
        <f>IF(ISERROR(AK489/AC489),"NA",IF(OR(AK489/AC489&gt;2,AK489/AC489&lt;0.5),"NM",AK489/AC489*100-100))</f>
        <v>NA</v>
      </c>
      <c r="AM489" s="74">
        <v>0</v>
      </c>
      <c r="AN489" s="72" t="str">
        <f>IF(ISERROR(AM489/AE489),"NA",IF(OR(AM489/AE489&gt;2,AM489/AE489&lt;0.5),"NM",AM489/AE489*100-100))</f>
        <v>NA</v>
      </c>
      <c r="AO489" s="74">
        <v>-18</v>
      </c>
      <c r="AP489" s="72" t="str">
        <f>IF(ISERROR(AO489/AG489),"NA",IF(OR(AO489/AG489&gt;2,AO489/AG489&lt;0.5),"NM",AO489/AG489*100-100))</f>
        <v>NA</v>
      </c>
      <c r="AQ489" s="74">
        <v>0</v>
      </c>
      <c r="AR489" s="72" t="str">
        <f>IF(ISERROR(AQ489/AI489),"NA",IF(OR(AQ489/AI489&gt;2,AQ489/AI489&lt;0.5),"NM",AQ489/AI489*100-100))</f>
        <v>NA</v>
      </c>
      <c r="AS489" s="74">
        <v>0</v>
      </c>
      <c r="AT489" s="72" t="str">
        <f>IF(ISERROR(AS489/AK489),"NA",IF(OR(AS489/AK489&gt;2,AS489/AK489&lt;0.5),"NM",AS489/AK489*100-100))</f>
        <v>NA</v>
      </c>
      <c r="AU489" s="74">
        <v>0</v>
      </c>
      <c r="AV489" s="72" t="str">
        <f>IF(ISERROR(AU489/AM489),"NA",IF(OR(AU489/AM489&gt;2,AU489/AM489&lt;0.5),"NM",AU489/AM489*100-100))</f>
        <v>NA</v>
      </c>
      <c r="AW489" s="74">
        <v>30</v>
      </c>
      <c r="AX489" s="72" t="str">
        <f>IF(ISERROR(AW489/AO489),"NA",IF(OR(AW489/AO489&gt;2,AW489/AO489&lt;0.5),"NM",AW489/AO489*100-100))</f>
        <v>NM</v>
      </c>
      <c r="AY489" s="74">
        <v>0</v>
      </c>
      <c r="AZ489" s="72" t="str">
        <f>IF(ISERROR(AY489/AQ489),"NA",IF(OR(AY489/AQ489&gt;2,AY489/AQ489&lt;0.5),"NM",AY489/AQ489*100-100))</f>
        <v>NA</v>
      </c>
      <c r="BA489" s="74">
        <v>0</v>
      </c>
      <c r="BB489" s="72" t="str">
        <f>IF(ISERROR(BA489/AS489),"NA",IF(OR(BA489/AS489&gt;2,BA489/AS489&lt;0.5),"NM",BA489/AS489*100-100))</f>
        <v>NA</v>
      </c>
      <c r="BC489" s="74">
        <v>0</v>
      </c>
      <c r="BD489" s="72" t="str">
        <f>IF(ISERROR(BC489/AU489),"NA",IF(OR(BC489/AU489&gt;2,BC489/AU489&lt;0.5),"NM",BC489/AU489*100-100))</f>
        <v>NA</v>
      </c>
      <c r="BE489" s="74">
        <v>19</v>
      </c>
      <c r="BF489" s="72">
        <f>IF(ISERROR(BE489/AW489),"NA",IF(OR(BE489/AW489&gt;2,BE489/AW489&lt;0.5),"NM",BE489/AW489*100-100))</f>
        <v>-36.666666666666671</v>
      </c>
      <c r="BG489" s="74">
        <v>0</v>
      </c>
      <c r="BH489" s="72" t="str">
        <f>IF(ISERROR(BG489/AY489),"NA",IF(OR(BG489/AY489&gt;2,BG489/AY489&lt;0.5),"NM",BG489/AY489*100-100))</f>
        <v>NA</v>
      </c>
      <c r="BI489" s="74">
        <v>0</v>
      </c>
      <c r="BJ489" s="72" t="str">
        <f>IF(ISERROR(BI489/BA489),"NA",IF(OR(BI489/BA489&gt;2,BI489/BA489&lt;0.5),"NM",BI489/BA489*100-100))</f>
        <v>NA</v>
      </c>
      <c r="BK489" s="74">
        <v>0</v>
      </c>
      <c r="BL489" s="72" t="str">
        <f>IF(ISERROR(BK489/BC489),"NA",IF(OR(BK489/BC489&gt;2,BK489/BC489&lt;0.5),"NM",BK489/BC489*100-100))</f>
        <v>NA</v>
      </c>
      <c r="BM489" s="74">
        <v>-18</v>
      </c>
      <c r="BN489" s="72" t="str">
        <f>IF(ISERROR(BM489/BE489),"NA",IF(OR(BM489/BE489&gt;2,BM489/BE489&lt;0.5),"NM",BM489/BE489*100-100))</f>
        <v>NM</v>
      </c>
      <c r="BO489" s="74">
        <v>0</v>
      </c>
      <c r="BP489" s="72" t="str">
        <f>IF(ISERROR(BO489/BG489),"NA",IF(OR(BO489/BG489&gt;2,BO489/BG489&lt;0.5),"NM",BO489/BG489*100-100))</f>
        <v>NA</v>
      </c>
      <c r="BQ489" s="74">
        <v>0</v>
      </c>
      <c r="BR489" s="72" t="str">
        <f>IF(ISERROR(BQ489/BI489),"NA",IF(OR(BQ489/BI489&gt;2,BQ489/BI489&lt;0.5),"NM",BQ489/BI489*100-100))</f>
        <v>NA</v>
      </c>
      <c r="BS489" s="74">
        <v>0</v>
      </c>
      <c r="BT489" s="72" t="str">
        <f>IF(ISERROR(BS489/BK489),"NA",IF(OR(BS489/BK489&gt;2,BS489/BK489&lt;0.5),"NM",BS489/BK489*100-100))</f>
        <v>NA</v>
      </c>
      <c r="BU489" s="74">
        <f>-117+41</f>
        <v>-76</v>
      </c>
      <c r="BV489" s="72" t="str">
        <f>IF(ISERROR(BU489/BM489),"NA",IF(OR(BU489/BM489&gt;2,BU489/BM489&lt;0.5),"NM",BU489/BM489*100-100))</f>
        <v>NM</v>
      </c>
      <c r="BW489" s="74">
        <v>0</v>
      </c>
      <c r="BX489" s="72" t="str">
        <f>IF(ISERROR(BW489/BO489),"NA",IF(OR(BW489/BO489&gt;2,BW489/BO489&lt;0.5),"NM",BW489/BO489*100-100))</f>
        <v>NA</v>
      </c>
      <c r="BY489" s="74">
        <v>0</v>
      </c>
      <c r="BZ489" s="72" t="str">
        <f>IF(ISERROR(BY489/BQ489),"NA",IF(OR(BY489/BQ489&gt;2,BY489/BQ489&lt;0.5),"NM",BY489/BQ489*100-100))</f>
        <v>NA</v>
      </c>
      <c r="CA489" s="74">
        <v>0</v>
      </c>
      <c r="CB489" s="72" t="str">
        <f>IF(ISERROR(CA489/BS489),"NA",IF(OR(CA489/BS489&gt;2,CA489/BS489&lt;0.5),"NM",CA489/BS489*100-100))</f>
        <v>NA</v>
      </c>
      <c r="CC489" s="74">
        <v>0</v>
      </c>
      <c r="CD489" s="72" t="str">
        <f>IF(ISERROR(CC489/BU489),"NA",IF(OR(CC489/BU489&gt;2,CC489/BU489&lt;0.5),"NM",CC489/BU489*100-100))</f>
        <v>NM</v>
      </c>
      <c r="CE489" s="74">
        <v>0</v>
      </c>
      <c r="CF489" s="72" t="str">
        <f>IF(ISERROR(CE489/BW489),"NA",IF(OR(CE489/BW489&gt;2,CE489/BW489&lt;0.5),"NM",CE489/BW489*100-100))</f>
        <v>NA</v>
      </c>
      <c r="CG489" s="74">
        <v>0</v>
      </c>
      <c r="CH489" s="72" t="str">
        <f>IF(ISERROR(CG489/BY489),"NA",IF(OR(CG489/BY489&gt;2,CG489/BY489&lt;0.5),"NM",CG489/BY489*100-100))</f>
        <v>NA</v>
      </c>
      <c r="CI489" s="74">
        <v>0</v>
      </c>
      <c r="CJ489" s="72" t="str">
        <f>IF(ISERROR(CI489/CA489),"NA",IF(OR(CI489/CA489&gt;2,CI489/CA489&lt;0.5),"NM",CI489/CA489*100-100))</f>
        <v>NA</v>
      </c>
      <c r="CK489" s="74">
        <v>0</v>
      </c>
      <c r="CL489" s="72" t="str">
        <f>IF(ISERROR(CK489/CC489),"NA",IF(OR(CK489/CC489&gt;2,CK489/CC489&lt;0.5),"NM",CK489/CC489*100-100))</f>
        <v>NA</v>
      </c>
      <c r="CM489" s="74">
        <v>0</v>
      </c>
      <c r="CN489" s="72" t="str">
        <f>IF(ISERROR(CM489/CE489),"NA",IF(OR(CM489/CE489&gt;2,CM489/CE489&lt;0.5),"NM",CM489/CE489*100-100))</f>
        <v>NA</v>
      </c>
      <c r="CO489" s="74">
        <v>0</v>
      </c>
      <c r="CP489" s="72" t="str">
        <f>IF(ISERROR(CO489/CG489),"NA",IF(OR(CO489/CG489&gt;2,CO489/CG489&lt;0.5),"NM",CO489/CG489*100-100))</f>
        <v>NA</v>
      </c>
      <c r="CQ489" s="74">
        <f>-99-20</f>
        <v>-119</v>
      </c>
      <c r="CR489" s="72" t="str">
        <f>IF(ISERROR(CQ489/CI489),"NA",IF(OR(CQ489/CI489&gt;2,CQ489/CI489&lt;0.5),"NM",CQ489/CI489*100-100))</f>
        <v>NA</v>
      </c>
      <c r="CS489" s="74">
        <v>0</v>
      </c>
      <c r="CT489" s="72" t="str">
        <f>IF(ISERROR(CS489/CK489),"NA",IF(OR(CS489/CK489&gt;2,CS489/CK489&lt;0.5),"NM",CS489/CK489*100-100))</f>
        <v>NA</v>
      </c>
      <c r="CU489" s="74">
        <v>0</v>
      </c>
      <c r="CV489" s="72" t="str">
        <f>IF(ISERROR(CU489/CM489),"NA",IF(OR(CU489/CM489&gt;2,CU489/CM489&lt;0.5),"NM",CU489/CM489*100-100))</f>
        <v>NA</v>
      </c>
      <c r="CW489" s="74">
        <v>0</v>
      </c>
      <c r="CX489" s="72" t="str">
        <f>IF(ISERROR(CW489/CO489),"NA",IF(OR(CW489/CO489&gt;2,CW489/CO489&lt;0.5),"NM",CW489/CO489*100-100))</f>
        <v>NA</v>
      </c>
      <c r="CY489" s="74">
        <f>-78-16</f>
        <v>-94</v>
      </c>
      <c r="CZ489" s="72">
        <f>IF(ISERROR(CY489/CQ489),"NA",IF(OR(CY489/CQ489&gt;2,CY489/CQ489&lt;0.5),"NM",CY489/CQ489*100-100))</f>
        <v>-21.008403361344534</v>
      </c>
      <c r="DA489" s="74">
        <f>-54-15</f>
        <v>-69</v>
      </c>
      <c r="DB489" s="72" t="str">
        <f>IF(ISERROR(DA489/CS489),"NA",IF(OR(DA489/CS489&gt;2,DA489/CS489&lt;0.5),"NM",DA489/CS489*100-100))</f>
        <v>NA</v>
      </c>
      <c r="DC489" s="74">
        <v>-11</v>
      </c>
      <c r="DD489" s="72" t="str">
        <f>IF(ISERROR(DC489/CU489),"NA",IF(OR(DC489/CU489&gt;2,DC489/CU489&lt;0.5),"NM",DC489/CU489*100-100))</f>
        <v>NA</v>
      </c>
      <c r="DE489" s="74">
        <v>-16</v>
      </c>
      <c r="DF489" s="72" t="str">
        <f>IF(ISERROR(DE489/CW489),"NA",IF(OR(DE489/CW489&gt;2,DE489/CW489&lt;0.5),"NM",DE489/CW489*100-100))</f>
        <v>NA</v>
      </c>
      <c r="DG489" s="74">
        <v>0</v>
      </c>
      <c r="DH489" s="72" t="str">
        <f>IF(ISERROR(DG489/CY489),"NA",IF(OR(DG489/CY489&gt;2,DG489/CY489&lt;0.5),"NM",DG489/CY489*100-100))</f>
        <v>NM</v>
      </c>
      <c r="DI489" s="74">
        <v>0</v>
      </c>
      <c r="DJ489" s="72" t="str">
        <f>IF(ISERROR(DI489/DA489),"NA",IF(OR(DI489/DA489&gt;2,DI489/DA489&lt;0.5),"NM",DI489/DA489*100-100))</f>
        <v>NM</v>
      </c>
      <c r="DK489" s="74">
        <v>0</v>
      </c>
      <c r="DL489" s="72" t="str">
        <f>IF(ISERROR(DK489/DC489),"NA",IF(OR(DK489/DC489&gt;2,DK489/DC489&lt;0.5),"NM",DK489/DC489*100-100))</f>
        <v>NM</v>
      </c>
      <c r="DM489" s="74">
        <v>0</v>
      </c>
      <c r="DN489" s="72" t="str">
        <f t="shared" ref="DN489:DZ490" si="2357">IF(ISERROR(DM489/DE489),"NA",IF(OR(DM489/DE489&gt;2,DM489/DE489&lt;0.5),"NM",DM489/DE489*100-100))</f>
        <v>NM</v>
      </c>
      <c r="DO489" s="74">
        <v>-19</v>
      </c>
      <c r="DP489" s="72" t="str">
        <f t="shared" si="2357"/>
        <v>NA</v>
      </c>
      <c r="DQ489" s="74">
        <v>0</v>
      </c>
      <c r="DR489" s="72" t="str">
        <f t="shared" si="2357"/>
        <v>NA</v>
      </c>
      <c r="DS489" s="74">
        <v>0</v>
      </c>
      <c r="DT489" s="72" t="str">
        <f t="shared" si="2357"/>
        <v>NA</v>
      </c>
      <c r="DU489" s="74">
        <v>11</v>
      </c>
      <c r="DV489" s="72" t="str">
        <f t="shared" si="2357"/>
        <v>NA</v>
      </c>
      <c r="DW489" s="74">
        <v>0</v>
      </c>
      <c r="DX489" s="72" t="str">
        <f t="shared" si="2357"/>
        <v>NM</v>
      </c>
      <c r="DY489" s="74">
        <v>-79.5</v>
      </c>
      <c r="DZ489" s="72" t="str">
        <f t="shared" si="2357"/>
        <v>NA</v>
      </c>
      <c r="EA489" s="74">
        <v>0</v>
      </c>
      <c r="EB489" s="72" t="str">
        <f>IF(ISERROR(EA489/DS489),"NA",IF(OR(EA489/DS489&gt;2,EA489/DS489&lt;0.5),"NM",EA489/DS489*100-100))</f>
        <v>NA</v>
      </c>
      <c r="EC489" s="74">
        <v>-39</v>
      </c>
      <c r="ED489" s="72" t="str">
        <f>IF(ISERROR(EC489/DU489),"NA",IF(OR(EC489/DU489&gt;2,EC489/DU489&lt;0.5),"NM",EC489/DU489*100-100))</f>
        <v>NM</v>
      </c>
      <c r="EE489" s="74">
        <v>0</v>
      </c>
      <c r="EF489" s="72" t="str">
        <f>IF(ISERROR(EE489/DW489),"NA",IF(OR(EE489/DW489&gt;2,EE489/DW489&lt;0.5),"NM",EE489/DW489*100-100))</f>
        <v>NA</v>
      </c>
      <c r="EG489" s="74">
        <v>0</v>
      </c>
      <c r="EH489" s="72" t="str">
        <f>IF(ISERROR(EG489/DY489),"NA",IF(OR(EG489/DY489&gt;2,EG489/DY489&lt;0.5),"NM",EG489/DY489*100-100))</f>
        <v>NM</v>
      </c>
      <c r="EI489" s="74">
        <v>0</v>
      </c>
      <c r="EJ489" s="72" t="str">
        <f>IF(ISERROR(EI489/EA489),"NA",IF(OR(EI489/EA489&gt;2,EI489/EA489&lt;0.5),"NM",EI489/EA489*100-100))</f>
        <v>NA</v>
      </c>
      <c r="EK489" s="74">
        <v>-4</v>
      </c>
      <c r="EL489" s="72" t="str">
        <f>IF(ISERROR(EK489/EC489),"NA",IF(OR(EK489/EC489&gt;2,EK489/EC489&lt;0.5),"NM",EK489/EC489*100-100))</f>
        <v>NM</v>
      </c>
      <c r="EM489" s="74">
        <v>0</v>
      </c>
      <c r="EN489" s="72" t="str">
        <f>IF(ISERROR(EM489/EE489),"NA",IF(OR(EM489/EE489&gt;2,EM489/EE489&lt;0.5),"NM",EM489/EE489*100-100))</f>
        <v>NA</v>
      </c>
      <c r="EO489" s="74">
        <v>-12</v>
      </c>
      <c r="EP489" s="72" t="str">
        <f>IF(ISERROR(EO489/EG489),"NA",IF(OR(EO489/EG489&gt;2,EO489/EG489&lt;0.5),"NM",EO489/EG489*100-100))</f>
        <v>NA</v>
      </c>
      <c r="EQ489" s="74">
        <v>0</v>
      </c>
      <c r="ER489" s="72" t="str">
        <f t="shared" ref="ER489:ER490" si="2358">IF(ISERROR(EQ489/EI489),"NA",IF(OR(EQ489/EI489&gt;2,EQ489/EI489&lt;0.5),"NM",EQ489/EI489*100-100))</f>
        <v>NA</v>
      </c>
      <c r="ES489" s="74">
        <v>0</v>
      </c>
      <c r="ET489" s="72" t="str">
        <f t="shared" ref="ET489:ET490" si="2359">IF(ISERROR(ES489/EK489),"NA",IF(OR(ES489/EK489&gt;2,ES489/EK489&lt;0.5),"NM",ES489/EK489*100-100))</f>
        <v>NM</v>
      </c>
      <c r="EU489" s="74">
        <v>0</v>
      </c>
      <c r="EV489" s="72" t="str">
        <f t="shared" ref="EV489:EV490" si="2360">IF(ISERROR(EU489/EM489),"NA",IF(OR(EU489/EM489&gt;2,EU489/EM489&lt;0.5),"NM",EU489/EM489*100-100))</f>
        <v>NA</v>
      </c>
      <c r="EW489" s="74">
        <v>0</v>
      </c>
      <c r="EX489" s="72" t="str">
        <f t="shared" ref="EX489:EX490" si="2361">IF(ISERROR(EW489/EO489),"NA",IF(OR(EW489/EO489&gt;2,EW489/EO489&lt;0.5),"NM",EW489/EO489*100-100))</f>
        <v>NM</v>
      </c>
      <c r="EY489" s="72"/>
      <c r="EZ489" s="307"/>
      <c r="FA489" s="72"/>
      <c r="FB489" s="75">
        <v>0</v>
      </c>
      <c r="FC489" s="87"/>
      <c r="FD489" s="75">
        <v>0</v>
      </c>
      <c r="FE489" s="72" t="str">
        <f>IF(ISERROR(FD489/FB489),"NA",IF(OR(FD489/FB489&gt;2,FD489/FB489&lt;0.5),"NM",FD489/FB489*100-100))</f>
        <v>NA</v>
      </c>
      <c r="FF489" s="75">
        <v>0</v>
      </c>
      <c r="FG489" s="72" t="str">
        <f>IF(ISERROR(FF489/FD489),"NA",IF(OR(FF489/FD489&gt;2,FF489/FD489&lt;0.5),"NM",FF489/FD489*100-100))</f>
        <v>NA</v>
      </c>
      <c r="FH489" s="75">
        <v>0</v>
      </c>
      <c r="FI489" s="72" t="str">
        <f>IF(ISERROR(FH489/FF489),"NA",IF(OR(FH489/FF489&gt;2,FH489/FF489&lt;0.5),"NM",FH489/FF489*100-100))</f>
        <v>NA</v>
      </c>
      <c r="FJ489" s="75">
        <v>0</v>
      </c>
      <c r="FK489" s="72" t="str">
        <f>IF(ISERROR(FJ489/FH489),"NA",IF(OR(FJ489/FH489&gt;2,FJ489/FH489&lt;0.5),"NM",FJ489/FH489*100-100))</f>
        <v>NA</v>
      </c>
      <c r="FL489" s="75">
        <v>0</v>
      </c>
      <c r="FM489" s="72" t="str">
        <f>IF(ISERROR(FL489/FJ489),"NA",IF(OR(FL489/FJ489&gt;2,FL489/FJ489&lt;0.5),"NM",FL489/FJ489*100-100))</f>
        <v>NA</v>
      </c>
      <c r="FN489" s="75">
        <f>AI489+AK489+AM489+AO489</f>
        <v>-18</v>
      </c>
      <c r="FO489" s="72" t="str">
        <f>IF(ISERROR(FN489/FF489),"NA",IF(OR(FN489/FF489&gt;2,FN489/FF489&lt;0.5),"NM",FN489/FF489*100-100))</f>
        <v>NA</v>
      </c>
      <c r="FP489" s="75">
        <f>AQ489+AS489+AU489+AW489</f>
        <v>30</v>
      </c>
      <c r="FQ489" s="72" t="str">
        <f>IF(ISERROR(FP489/FN489),"NA",IF(OR(FP489/FN489&gt;2,FP489/FN489&lt;0.5),"NM",FP489/FN489*100-100))</f>
        <v>NM</v>
      </c>
      <c r="FR489" s="75">
        <f>SUM(AY489,BA489,BC489,BE489)</f>
        <v>19</v>
      </c>
      <c r="FS489" s="72">
        <f>IF(ISERROR(FR489/FP489),"NA",IF(OR(FR489/FP489&gt;2,FR489/FP489&lt;0.5),"NM",FR489/FP489*100-100))</f>
        <v>-36.666666666666671</v>
      </c>
      <c r="FT489" s="75">
        <f>SUM(BG489,BI489,BK489,BM489)</f>
        <v>-18</v>
      </c>
      <c r="FU489" s="72" t="str">
        <f>IF(ISERROR(FT489/FR489),"NA",IF(OR(FT489/FR489&gt;2,FT489/FR489&lt;0.5),"NM",FT489/FR489*100-100))</f>
        <v>NM</v>
      </c>
      <c r="FV489" s="75">
        <f>BO489+BQ489+BS489+BU489</f>
        <v>-76</v>
      </c>
      <c r="FW489" s="72" t="str">
        <f>IF(ISERROR(FV489/FT489),"NA",IF(OR(FV489/FT489&gt;2,FV489/FT489&lt;0.5),"NM",FV489/FT489*100-100))</f>
        <v>NM</v>
      </c>
      <c r="FX489" s="75">
        <f>BW489+BY489+CA489+CC489</f>
        <v>0</v>
      </c>
      <c r="FY489" s="72" t="str">
        <f>IF(ISERROR(FX489/FV489),"NA",IF(OR(FX489/FV489&gt;2,FX489/FV489&lt;0.5),"NM",FX489/FV489*100-100))</f>
        <v>NM</v>
      </c>
      <c r="FZ489" s="75">
        <f>CE489+CG489+CI489+CK489</f>
        <v>0</v>
      </c>
      <c r="GA489" s="72" t="str">
        <f>IF(ISERROR(FZ489/FX489),"NA",IF(OR(FZ489/FX489&gt;2,FZ489/FX489&lt;0.5),"NM",FZ489/FX489*100-100))</f>
        <v>NA</v>
      </c>
      <c r="GB489" s="75">
        <f>CM489+CO489+CQ489+CS489</f>
        <v>-119</v>
      </c>
      <c r="GC489" s="72" t="str">
        <f>IF(ISERROR(GB489/FZ489),"NA",IF(OR(GB489/FZ489&gt;2,GB489/FZ489&lt;0.5),"NM",GB489/FZ489*100-100))</f>
        <v>NA</v>
      </c>
      <c r="GD489" s="75">
        <f>CU489+CW489+CY489+DA489</f>
        <v>-163</v>
      </c>
      <c r="GE489" s="72">
        <f>IF(ISERROR(GD489/GB489),"NA",IF(OR(GD489/GB489&gt;2,GD489/GB489&lt;0.5),"NM",GD489/GB489*100-100))</f>
        <v>36.974789915966397</v>
      </c>
      <c r="GF489" s="75">
        <f>DC489+DE489+DG489+DI489</f>
        <v>-27</v>
      </c>
      <c r="GG489" s="72" t="str">
        <f>IF(ISERROR(GF489/GD489),"NA",IF(OR(GF489/GD489&gt;2,GF489/GD489&lt;0.5),"NM",GF489/GD489*100-100))</f>
        <v>NM</v>
      </c>
      <c r="GH489" s="75">
        <f>DK489+DM489+DO489+DQ489</f>
        <v>-19</v>
      </c>
      <c r="GI489" s="72">
        <f t="shared" ref="GI489:GU490" si="2362">IF(ISERROR(GH489/GF489),"NA",IF(OR(GH489/GF489&gt;2,GH489/GF489&lt;0.5),"NM",GH489/GF489*100-100))</f>
        <v>-29.629629629629633</v>
      </c>
      <c r="GJ489" s="75">
        <f>DS489+DU489+DW489+DY489</f>
        <v>-68.5</v>
      </c>
      <c r="GK489" s="72" t="str">
        <f t="shared" si="2362"/>
        <v>NM</v>
      </c>
      <c r="GL489" s="75">
        <f>EA489+EC489+EE489+EG489</f>
        <v>-39</v>
      </c>
      <c r="GM489" s="72">
        <f t="shared" si="2362"/>
        <v>-43.065693430656935</v>
      </c>
      <c r="GN489" s="75">
        <f>EI489+EK489+EM489+EO489</f>
        <v>-16</v>
      </c>
      <c r="GO489" s="72" t="str">
        <f t="shared" si="2362"/>
        <v>NM</v>
      </c>
      <c r="GP489" s="75">
        <f>EQ489+ES489+EU489+EW489</f>
        <v>0</v>
      </c>
      <c r="GQ489" s="72" t="str">
        <f t="shared" si="2362"/>
        <v>NM</v>
      </c>
      <c r="GR489" s="74">
        <v>0</v>
      </c>
      <c r="GS489" s="72" t="str">
        <f t="shared" si="2362"/>
        <v>NA</v>
      </c>
      <c r="GT489" s="74">
        <v>0</v>
      </c>
      <c r="GU489" s="72" t="str">
        <f t="shared" si="2362"/>
        <v>NA</v>
      </c>
      <c r="GV489" s="74">
        <v>0</v>
      </c>
      <c r="GW489" s="72" t="str">
        <f>IF(ISERROR(GV489/GT489),"NA",IF(OR(GV489/GT489&gt;2,GV489/GT489&lt;0.5),"NM",GV489/GT489*100-100))</f>
        <v>NA</v>
      </c>
      <c r="GX489" s="74">
        <v>0</v>
      </c>
      <c r="GY489" s="72" t="str">
        <f>IF(ISERROR(GX489/GV489),"NA",IF(OR(GX489/GV489&gt;2,GX489/GV489&lt;0.5),"NM",GX489/GV489*100-100))</f>
        <v>NA</v>
      </c>
      <c r="GZ489" s="72" t="str">
        <f>IF(ISERROR(((GX489/GN489)^0.2-1)*100),"NA",IF((((GX489/GN489)^0.2-1)*100)&gt;100,"NM",IF((((GX489/GN489)^0.2-1)*100)&lt;-50,"NM",((GX489/GN489)^0.2-1)*100)))</f>
        <v>NM</v>
      </c>
      <c r="HA489" s="72"/>
      <c r="HB489" s="72"/>
      <c r="HC489"/>
      <c r="HD489"/>
      <c r="HE489"/>
      <c r="HF489"/>
      <c r="HG489"/>
      <c r="HH489"/>
      <c r="HI489" s="2"/>
    </row>
    <row r="490" spans="1:217" s="78" customFormat="1" ht="12.75" customHeight="1" x14ac:dyDescent="0.2">
      <c r="B490" s="70" t="s">
        <v>539</v>
      </c>
      <c r="C490" s="91"/>
      <c r="D490" s="80"/>
      <c r="E490" s="91"/>
      <c r="F490" s="80"/>
      <c r="G490" s="91"/>
      <c r="H490" s="80"/>
      <c r="I490" s="91"/>
      <c r="J490" s="80"/>
      <c r="K490" s="91">
        <f>K486-K489</f>
        <v>-1</v>
      </c>
      <c r="L490" s="72" t="str">
        <f>IF(ISERROR(K490/C490),"NA",IF(OR(K490/C490&gt;2,K490/C490&lt;0.5),"NM",K490/C490*100-100))</f>
        <v>NA</v>
      </c>
      <c r="M490" s="91">
        <f>M486-M489</f>
        <v>76</v>
      </c>
      <c r="N490" s="72" t="str">
        <f>IF(ISERROR(M490/E490),"NA",IF(OR(M490/E490&gt;2,M490/E490&lt;0.5),"NM",M490/E490*100-100))</f>
        <v>NA</v>
      </c>
      <c r="O490" s="91">
        <f>O486-O489</f>
        <v>-1</v>
      </c>
      <c r="P490" s="72" t="str">
        <f>IF(ISERROR(O490/G490),"NA",IF(OR(O490/G490&gt;2,O490/G490&lt;0.5),"NM",O490/G490*100-100))</f>
        <v>NA</v>
      </c>
      <c r="Q490" s="91">
        <f>Q486-Q489</f>
        <v>-12</v>
      </c>
      <c r="R490" s="72" t="str">
        <f>IF(ISERROR(Q490/I490),"NA",IF(OR(Q490/I490&gt;2,Q490/I490&lt;0.5),"NM",Q490/I490*100-100))</f>
        <v>NA</v>
      </c>
      <c r="S490" s="91">
        <f>S486-S489</f>
        <v>10</v>
      </c>
      <c r="T490" s="72" t="str">
        <f>IF(ISERROR(S490/K490),"NA",IF(OR(S490/K490&gt;2,S490/K490&lt;0.5),"NM",S490/K490*100-100))</f>
        <v>NM</v>
      </c>
      <c r="U490" s="91">
        <f>U486-U489</f>
        <v>39</v>
      </c>
      <c r="V490" s="72">
        <f>IF(ISERROR(U490/M490),"NA",IF(OR(U490/M490&gt;2,U490/M490&lt;0.5),"NM",U490/M490*100-100))</f>
        <v>-48.684210526315788</v>
      </c>
      <c r="W490" s="91">
        <f>W486-W489</f>
        <v>112</v>
      </c>
      <c r="X490" s="72" t="str">
        <f>IF(ISERROR(W490/O490),"NA",IF(OR(W490/O490&gt;2,W490/O490&lt;0.5),"NM",W490/O490*100-100))</f>
        <v>NM</v>
      </c>
      <c r="Y490" s="91">
        <f>Y486-Y489</f>
        <v>-1</v>
      </c>
      <c r="Z490" s="72" t="str">
        <f>IF(ISERROR(Y490/Q490),"NA",IF(OR(Y490/Q490&gt;2,Y490/Q490&lt;0.5),"NM",Y490/Q490*100-100))</f>
        <v>NM</v>
      </c>
      <c r="AA490" s="91">
        <f>AA486-AA489</f>
        <v>18</v>
      </c>
      <c r="AB490" s="72">
        <f>IF(ISERROR(AA490/S490),"NA",IF(OR(AA490/S490&gt;2,AA490/S490&lt;0.5),"NM",AA490/S490*100-100))</f>
        <v>80</v>
      </c>
      <c r="AC490" s="91">
        <f>AC486-AC489</f>
        <v>-1</v>
      </c>
      <c r="AD490" s="72" t="str">
        <f>IF(ISERROR(AC490/U490),"NA",IF(OR(AC490/U490&gt;2,AC490/U490&lt;0.5),"NM",AC490/U490*100-100))</f>
        <v>NM</v>
      </c>
      <c r="AE490" s="91">
        <f>AE486-AE489</f>
        <v>32</v>
      </c>
      <c r="AF490" s="72" t="str">
        <f>IF(ISERROR(AE490/W490),"NA",IF(OR(AE490/W490&gt;2,AE490/W490&lt;0.5),"NM",AE490/W490*100-100))</f>
        <v>NM</v>
      </c>
      <c r="AG490" s="91">
        <f>AG486-AG489</f>
        <v>42</v>
      </c>
      <c r="AH490" s="72" t="str">
        <f>IF(ISERROR(AG490/Y490),"NA",IF(OR(AG490/Y490&gt;2,AG490/Y490&lt;0.5),"NM",AG490/Y490*100-100))</f>
        <v>NM</v>
      </c>
      <c r="AI490" s="91">
        <f>AI486-AI489</f>
        <v>23</v>
      </c>
      <c r="AJ490" s="72">
        <f>IF(ISERROR(AI490/AA490),"NA",IF(OR(AI490/AA490&gt;2,AI490/AA490&lt;0.5),"NM",AI490/AA490*100-100))</f>
        <v>27.777777777777771</v>
      </c>
      <c r="AK490" s="91">
        <f>AK486-AK489</f>
        <v>69</v>
      </c>
      <c r="AL490" s="72" t="str">
        <f>IF(ISERROR(AK490/AC490),"NA",IF(OR(AK490/AC490&gt;2,AK490/AC490&lt;0.5),"NM",AK490/AC490*100-100))</f>
        <v>NM</v>
      </c>
      <c r="AM490" s="91">
        <f>AM486-AM489</f>
        <v>57</v>
      </c>
      <c r="AN490" s="72">
        <f>IF(ISERROR(AM490/AE490),"NA",IF(OR(AM490/AE490&gt;2,AM490/AE490&lt;0.5),"NM",AM490/AE490*100-100))</f>
        <v>78.125</v>
      </c>
      <c r="AO490" s="91">
        <f>AO486-AO489</f>
        <v>45</v>
      </c>
      <c r="AP490" s="72">
        <f>IF(ISERROR(AO490/AG490),"NA",IF(OR(AO490/AG490&gt;2,AO490/AG490&lt;0.5),"NM",AO490/AG490*100-100))</f>
        <v>7.1428571428571388</v>
      </c>
      <c r="AQ490" s="91">
        <f>AQ486-AQ489</f>
        <v>17</v>
      </c>
      <c r="AR490" s="72">
        <f>IF(ISERROR(AQ490/AI490),"NA",IF(OR(AQ490/AI490&gt;2,AQ490/AI490&lt;0.5),"NM",AQ490/AI490*100-100))</f>
        <v>-26.08695652173914</v>
      </c>
      <c r="AS490" s="91">
        <f>AS486-AS489</f>
        <v>59</v>
      </c>
      <c r="AT490" s="72">
        <f>IF(ISERROR(AS490/AK490),"NA",IF(OR(AS490/AK490&gt;2,AS490/AK490&lt;0.5),"NM",AS490/AK490*100-100))</f>
        <v>-14.492753623188406</v>
      </c>
      <c r="AU490" s="91">
        <f>AU486-AU489</f>
        <v>50</v>
      </c>
      <c r="AV490" s="72">
        <f>IF(ISERROR(AU490/AM490),"NA",IF(OR(AU490/AM490&gt;2,AU490/AM490&lt;0.5),"NM",AU490/AM490*100-100))</f>
        <v>-12.280701754385973</v>
      </c>
      <c r="AW490" s="91">
        <f>AW486-AW489</f>
        <v>46</v>
      </c>
      <c r="AX490" s="72">
        <f>IF(ISERROR(AW490/AO490),"NA",IF(OR(AW490/AO490&gt;2,AW490/AO490&lt;0.5),"NM",AW490/AO490*100-100))</f>
        <v>2.2222222222222143</v>
      </c>
      <c r="AY490" s="91">
        <f>AY486-AY489</f>
        <v>16</v>
      </c>
      <c r="AZ490" s="72">
        <f>IF(ISERROR(AY490/AQ490),"NA",IF(OR(AY490/AQ490&gt;2,AY490/AQ490&lt;0.5),"NM",AY490/AQ490*100-100))</f>
        <v>-5.8823529411764781</v>
      </c>
      <c r="BA490" s="91">
        <f>BA486-BA489</f>
        <v>40</v>
      </c>
      <c r="BB490" s="72">
        <f>IF(ISERROR(BA490/AS490),"NA",IF(OR(BA490/AS490&gt;2,BA490/AS490&lt;0.5),"NM",BA490/AS490*100-100))</f>
        <v>-32.203389830508485</v>
      </c>
      <c r="BC490" s="91">
        <f>BC486-BC489</f>
        <v>4</v>
      </c>
      <c r="BD490" s="72" t="str">
        <f>IF(ISERROR(BC490/AU490),"NA",IF(OR(BC490/AU490&gt;2,BC490/AU490&lt;0.5),"NM",BC490/AU490*100-100))</f>
        <v>NM</v>
      </c>
      <c r="BE490" s="91">
        <f>BE486-BE489</f>
        <v>-32</v>
      </c>
      <c r="BF490" s="72" t="str">
        <f>IF(ISERROR(BE490/AW490),"NA",IF(OR(BE490/AW490&gt;2,BE490/AW490&lt;0.5),"NM",BE490/AW490*100-100))</f>
        <v>NM</v>
      </c>
      <c r="BG490" s="91">
        <f>BG486-BG489</f>
        <v>-17.400000000000006</v>
      </c>
      <c r="BH490" s="72" t="str">
        <f>IF(ISERROR(BG490/AY490),"NA",IF(OR(BG490/AY490&gt;2,BG490/AY490&lt;0.5),"NM",BG490/AY490*100-100))</f>
        <v>NM</v>
      </c>
      <c r="BI490" s="91">
        <f>BI486-BI489</f>
        <v>-27</v>
      </c>
      <c r="BJ490" s="72" t="str">
        <f>IF(ISERROR(BI490/BA490),"NA",IF(OR(BI490/BA490&gt;2,BI490/BA490&lt;0.5),"NM",BI490/BA490*100-100))</f>
        <v>NM</v>
      </c>
      <c r="BK490" s="91">
        <f>BK486-BK489</f>
        <v>-24</v>
      </c>
      <c r="BL490" s="72" t="str">
        <f>IF(ISERROR(BK490/BC490),"NA",IF(OR(BK490/BC490&gt;2,BK490/BC490&lt;0.5),"NM",BK490/BC490*100-100))</f>
        <v>NM</v>
      </c>
      <c r="BM490" s="91">
        <f>BM486-BM489</f>
        <v>-46</v>
      </c>
      <c r="BN490" s="72">
        <f>IF(ISERROR(BM490/BE490),"NA",IF(OR(BM490/BE490&gt;2,BM490/BE490&lt;0.5),"NM",BM490/BE490*100-100))</f>
        <v>43.75</v>
      </c>
      <c r="BO490" s="91">
        <f>BO486-BO489</f>
        <v>-51</v>
      </c>
      <c r="BP490" s="72" t="str">
        <f>IF(ISERROR(BO490/BG490),"NA",IF(OR(BO490/BG490&gt;2,BO490/BG490&lt;0.5),"NM",BO490/BG490*100-100))</f>
        <v>NM</v>
      </c>
      <c r="BQ490" s="91">
        <f>BQ486-BQ489</f>
        <v>-20</v>
      </c>
      <c r="BR490" s="72">
        <f>IF(ISERROR(BQ490/BI490),"NA",IF(OR(BQ490/BI490&gt;2,BQ490/BI490&lt;0.5),"NM",BQ490/BI490*100-100))</f>
        <v>-25.925925925925924</v>
      </c>
      <c r="BS490" s="91">
        <f>BS486-BS489</f>
        <v>-40</v>
      </c>
      <c r="BT490" s="72">
        <f>IF(ISERROR(BS490/BK490),"NA",IF(OR(BS490/BK490&gt;2,BS490/BK490&lt;0.5),"NM",BS490/BK490*100-100))</f>
        <v>66.666666666666686</v>
      </c>
      <c r="BU490" s="91">
        <f>BU486-BU489</f>
        <v>-223</v>
      </c>
      <c r="BV490" s="72" t="str">
        <f>IF(ISERROR(BU490/BM490),"NA",IF(OR(BU490/BM490&gt;2,BU490/BM490&lt;0.5),"NM",BU490/BM490*100-100))</f>
        <v>NM</v>
      </c>
      <c r="BW490" s="91">
        <f>BW486-BW489</f>
        <v>-213</v>
      </c>
      <c r="BX490" s="72" t="str">
        <f>IF(ISERROR(BW490/BO490),"NA",IF(OR(BW490/BO490&gt;2,BW490/BO490&lt;0.5),"NM",BW490/BO490*100-100))</f>
        <v>NM</v>
      </c>
      <c r="BY490" s="91">
        <f>BY486-BY489</f>
        <v>-176</v>
      </c>
      <c r="BZ490" s="72" t="str">
        <f>IF(ISERROR(BY490/BQ490),"NA",IF(OR(BY490/BQ490&gt;2,BY490/BQ490&lt;0.5),"NM",BY490/BQ490*100-100))</f>
        <v>NM</v>
      </c>
      <c r="CA490" s="91">
        <f>CA486-CA489</f>
        <v>-209</v>
      </c>
      <c r="CB490" s="72" t="str">
        <f>IF(ISERROR(CA490/BS490),"NA",IF(OR(CA490/BS490&gt;2,CA490/BS490&lt;0.5),"NM",CA490/BS490*100-100))</f>
        <v>NM</v>
      </c>
      <c r="CC490" s="91">
        <f>CC486-CC489</f>
        <v>-226</v>
      </c>
      <c r="CD490" s="72">
        <f>IF(ISERROR(CC490/BU490),"NA",IF(OR(CC490/BU490&gt;2,CC490/BU490&lt;0.5),"NM",CC490/BU490*100-100))</f>
        <v>1.3452914798206308</v>
      </c>
      <c r="CE490" s="91">
        <f>CE486-CE489</f>
        <v>-211</v>
      </c>
      <c r="CF490" s="72">
        <f>IF(ISERROR(CE490/BW490),"NA",IF(OR(CE490/BW490&gt;2,CE490/BW490&lt;0.5),"NM",CE490/BW490*100-100))</f>
        <v>-0.93896713615023941</v>
      </c>
      <c r="CG490" s="91">
        <f>CG486-CG489</f>
        <v>-191</v>
      </c>
      <c r="CH490" s="72">
        <f>IF(ISERROR(CG490/BY490),"NA",IF(OR(CG490/BY490&gt;2,CG490/BY490&lt;0.5),"NM",CG490/BY490*100-100))</f>
        <v>8.5227272727272663</v>
      </c>
      <c r="CI490" s="91">
        <f>CI486-CI489</f>
        <v>-298</v>
      </c>
      <c r="CJ490" s="72">
        <f>IF(ISERROR(CI490/CA490),"NA",IF(OR(CI490/CA490&gt;2,CI490/CA490&lt;0.5),"NM",CI490/CA490*100-100))</f>
        <v>42.583732057416256</v>
      </c>
      <c r="CK490" s="91">
        <f>CK486-CK489</f>
        <v>-249</v>
      </c>
      <c r="CL490" s="72">
        <f>IF(ISERROR(CK490/CC490),"NA",IF(OR(CK490/CC490&gt;2,CK490/CC490&lt;0.5),"NM",CK490/CC490*100-100))</f>
        <v>10.17699115044249</v>
      </c>
      <c r="CM490" s="91">
        <f>CM486-CM489</f>
        <v>-269</v>
      </c>
      <c r="CN490" s="72">
        <f>IF(ISERROR(CM490/CE490),"NA",IF(OR(CM490/CE490&gt;2,CM490/CE490&lt;0.5),"NM",CM490/CE490*100-100))</f>
        <v>27.488151658767762</v>
      </c>
      <c r="CO490" s="91">
        <f>CO486-CO489</f>
        <v>-237</v>
      </c>
      <c r="CP490" s="72">
        <f>IF(ISERROR(CO490/CG490),"NA",IF(OR(CO490/CG490&gt;2,CO490/CG490&lt;0.5),"NM",CO490/CG490*100-100))</f>
        <v>24.083769633507842</v>
      </c>
      <c r="CQ490" s="91">
        <f>CQ486-CQ489</f>
        <v>-230</v>
      </c>
      <c r="CR490" s="72">
        <f>IF(ISERROR(CQ490/CI490),"NA",IF(OR(CQ490/CI490&gt;2,CQ490/CI490&lt;0.5),"NM",CQ490/CI490*100-100))</f>
        <v>-22.818791946308721</v>
      </c>
      <c r="CS490" s="91">
        <f>CS486-CS489</f>
        <v>-285</v>
      </c>
      <c r="CT490" s="72">
        <f>IF(ISERROR(CS490/CK490),"NA",IF(OR(CS490/CK490&gt;2,CS490/CK490&lt;0.5),"NM",CS490/CK490*100-100))</f>
        <v>14.457831325301214</v>
      </c>
      <c r="CU490" s="91">
        <f>CU486-CU489</f>
        <v>-326</v>
      </c>
      <c r="CV490" s="72">
        <f>IF(ISERROR(CU490/CM490),"NA",IF(OR(CU490/CM490&gt;2,CU490/CM490&lt;0.5),"NM",CU490/CM490*100-100))</f>
        <v>21.189591078066911</v>
      </c>
      <c r="CW490" s="91">
        <f>CW486-CW489</f>
        <v>-225</v>
      </c>
      <c r="CX490" s="72">
        <f>IF(ISERROR(CW490/CO490),"NA",IF(OR(CW490/CO490&gt;2,CW490/CO490&lt;0.5),"NM",CW490/CO490*100-100))</f>
        <v>-5.0632911392405049</v>
      </c>
      <c r="CY490" s="91">
        <f>CY486-CY489</f>
        <v>-320</v>
      </c>
      <c r="CZ490" s="72">
        <f>IF(ISERROR(CY490/CQ490),"NA",IF(OR(CY490/CQ490&gt;2,CY490/CQ490&lt;0.5),"NM",CY490/CQ490*100-100))</f>
        <v>39.130434782608688</v>
      </c>
      <c r="DA490" s="91">
        <f>DA486-DA489</f>
        <v>-303</v>
      </c>
      <c r="DB490" s="72">
        <f>IF(ISERROR(DA490/CS490),"NA",IF(OR(DA490/CS490&gt;2,DA490/CS490&lt;0.5),"NM",DA490/CS490*100-100))</f>
        <v>6.3157894736842053</v>
      </c>
      <c r="DC490" s="91">
        <f>DC486-DC489</f>
        <v>-303</v>
      </c>
      <c r="DD490" s="72">
        <f>IF(ISERROR(DC490/CU490),"NA",IF(OR(DC490/CU490&gt;2,DC490/CU490&lt;0.5),"NM",DC490/CU490*100-100))</f>
        <v>-7.0552147239263832</v>
      </c>
      <c r="DE490" s="91">
        <f>DE486-DE489</f>
        <v>-331</v>
      </c>
      <c r="DF490" s="72">
        <f>IF(ISERROR(DE490/CW490),"NA",IF(OR(DE490/CW490&gt;2,DE490/CW490&lt;0.5),"NM",DE490/CW490*100-100))</f>
        <v>47.111111111111114</v>
      </c>
      <c r="DG490" s="91">
        <f>DG486-DG489</f>
        <v>-312</v>
      </c>
      <c r="DH490" s="72">
        <f>IF(ISERROR(DG490/CY490),"NA",IF(OR(DG490/CY490&gt;2,DG490/CY490&lt;0.5),"NM",DG490/CY490*100-100))</f>
        <v>-2.5</v>
      </c>
      <c r="DI490" s="91">
        <f>DI486-DI489</f>
        <v>-397</v>
      </c>
      <c r="DJ490" s="72">
        <f>IF(ISERROR(DI490/DA490),"NA",IF(OR(DI490/DA490&gt;2,DI490/DA490&lt;0.5),"NM",DI490/DA490*100-100))</f>
        <v>31.023102310231025</v>
      </c>
      <c r="DK490" s="91">
        <f>DK486-DK489</f>
        <v>-342</v>
      </c>
      <c r="DL490" s="72">
        <f>IF(ISERROR(DK490/DC490),"NA",IF(OR(DK490/DC490&gt;2,DK490/DC490&lt;0.5),"NM",DK490/DC490*100-100))</f>
        <v>12.871287128712865</v>
      </c>
      <c r="DM490" s="91">
        <f>DM486-DM489</f>
        <v>-341</v>
      </c>
      <c r="DN490" s="72">
        <f t="shared" si="2357"/>
        <v>3.021148036253777</v>
      </c>
      <c r="DO490" s="91">
        <f>DO486-DO489</f>
        <v>-320</v>
      </c>
      <c r="DP490" s="72">
        <f t="shared" si="2357"/>
        <v>2.564102564102555</v>
      </c>
      <c r="DQ490" s="91">
        <f>DQ486-DQ489</f>
        <v>-326</v>
      </c>
      <c r="DR490" s="72">
        <f t="shared" si="2357"/>
        <v>-17.884130982367765</v>
      </c>
      <c r="DS490" s="91">
        <f>DS486-DS489</f>
        <v>-253</v>
      </c>
      <c r="DT490" s="72">
        <f t="shared" si="2357"/>
        <v>-26.023391812865498</v>
      </c>
      <c r="DU490" s="91">
        <f>DU486-DU489</f>
        <v>-305</v>
      </c>
      <c r="DV490" s="72">
        <f t="shared" si="2357"/>
        <v>-10.557184750733143</v>
      </c>
      <c r="DW490" s="91">
        <f>DW486-DW489</f>
        <v>-308</v>
      </c>
      <c r="DX490" s="72">
        <f t="shared" si="2357"/>
        <v>-3.75</v>
      </c>
      <c r="DY490" s="91">
        <f>DY486-DY489</f>
        <v>-378.5</v>
      </c>
      <c r="DZ490" s="72">
        <f t="shared" si="2357"/>
        <v>16.104294478527621</v>
      </c>
      <c r="EA490" s="91">
        <f>EA486-EA489</f>
        <v>-312</v>
      </c>
      <c r="EB490" s="72">
        <f>IF(ISERROR(EA490/DS490),"NA",IF(OR(EA490/DS490&gt;2,EA490/DS490&lt;0.5),"NM",EA490/DS490*100-100))</f>
        <v>23.320158102766797</v>
      </c>
      <c r="EC490" s="91">
        <f>EC486-EC489</f>
        <v>-376</v>
      </c>
      <c r="ED490" s="72">
        <f>IF(ISERROR(EC490/DU490),"NA",IF(OR(EC490/DU490&gt;2,EC490/DU490&lt;0.5),"NM",EC490/DU490*100-100))</f>
        <v>23.278688524590166</v>
      </c>
      <c r="EE490" s="91">
        <f>EE486-EE489</f>
        <v>-413</v>
      </c>
      <c r="EF490" s="72">
        <f>IF(ISERROR(EE490/DW490),"NA",IF(OR(EE490/DW490&gt;2,EE490/DW490&lt;0.5),"NM",EE490/DW490*100-100))</f>
        <v>34.090909090909093</v>
      </c>
      <c r="EG490" s="91">
        <f>EG486-EG489</f>
        <v>-441</v>
      </c>
      <c r="EH490" s="72">
        <f>IF(ISERROR(EG490/DY490),"NA",IF(OR(EG490/DY490&gt;2,EG490/DY490&lt;0.5),"NM",EG490/DY490*100-100))</f>
        <v>16.512549537648596</v>
      </c>
      <c r="EI490" s="91">
        <f>EI486-EI489</f>
        <v>-352</v>
      </c>
      <c r="EJ490" s="72">
        <f>IF(ISERROR(EI490/EA490),"NA",IF(OR(EI490/EA490&gt;2,EI490/EA490&lt;0.5),"NM",EI490/EA490*100-100))</f>
        <v>12.820512820512818</v>
      </c>
      <c r="EK490" s="91">
        <f>EK486-EK489</f>
        <v>-308</v>
      </c>
      <c r="EL490" s="72">
        <f>IF(ISERROR(EK490/EC490),"NA",IF(OR(EK490/EC490&gt;2,EK490/EC490&lt;0.5),"NM",EK490/EC490*100-100))</f>
        <v>-18.085106382978722</v>
      </c>
      <c r="EM490" s="91">
        <f>EM486-EM489</f>
        <v>-310</v>
      </c>
      <c r="EN490" s="72">
        <f>IF(ISERROR(EM490/EE490),"NA",IF(OR(EM490/EE490&gt;2,EM490/EE490&lt;0.5),"NM",EM490/EE490*100-100))</f>
        <v>-24.939467312348668</v>
      </c>
      <c r="EO490" s="91">
        <f>EO486-EO489</f>
        <v>-451</v>
      </c>
      <c r="EP490" s="72">
        <f>IF(ISERROR(EO490/EG490),"NA",IF(OR(EO490/EG490&gt;2,EO490/EG490&lt;0.5),"NM",EO490/EG490*100-100))</f>
        <v>2.2675736961451207</v>
      </c>
      <c r="EQ490" s="122">
        <v>-360</v>
      </c>
      <c r="ER490" s="72">
        <f t="shared" si="2358"/>
        <v>2.2727272727272663</v>
      </c>
      <c r="ES490" s="122">
        <v>-340</v>
      </c>
      <c r="ET490" s="72">
        <f t="shared" si="2359"/>
        <v>10.389610389610397</v>
      </c>
      <c r="EU490" s="122">
        <v>-320</v>
      </c>
      <c r="EV490" s="72">
        <f t="shared" si="2360"/>
        <v>3.2258064516128968</v>
      </c>
      <c r="EW490" s="122">
        <v>-430</v>
      </c>
      <c r="EX490" s="72">
        <f t="shared" si="2361"/>
        <v>-4.6563192904656319</v>
      </c>
      <c r="EY490" s="72"/>
      <c r="EZ490" s="314"/>
      <c r="FA490" s="72"/>
      <c r="FB490" s="91">
        <f>FB486-FB489</f>
        <v>0</v>
      </c>
      <c r="FC490" s="80"/>
      <c r="FD490" s="91">
        <f>FD486-FD489</f>
        <v>185</v>
      </c>
      <c r="FE490" s="72" t="str">
        <f>IF(ISERROR(FD490/FB490),"NA",IF(OR(FD490/FB490&gt;2,FD490/FB490&lt;0.5),"NM",FD490/FB490*100-100))</f>
        <v>NA</v>
      </c>
      <c r="FF490" s="91">
        <f>FF486-FF489</f>
        <v>38</v>
      </c>
      <c r="FG490" s="72" t="str">
        <f>IF(ISERROR(FF490/FD490),"NA",IF(OR(FF490/FD490&gt;2,FF490/FD490&lt;0.5),"NM",FF490/FD490*100-100))</f>
        <v>NM</v>
      </c>
      <c r="FH490" s="91">
        <f>FH486-FH489</f>
        <v>62</v>
      </c>
      <c r="FI490" s="72">
        <f>IF(ISERROR(FH490/FF490),"NA",IF(OR(FH490/FF490&gt;2,FH490/FF490&lt;0.5),"NM",FH490/FF490*100-100))</f>
        <v>63.15789473684211</v>
      </c>
      <c r="FJ490" s="91">
        <f>FJ486-FJ489</f>
        <v>160</v>
      </c>
      <c r="FK490" s="72" t="str">
        <f>IF(ISERROR(FJ490/FH490),"NA",IF(OR(FJ490/FH490&gt;2,FJ490/FH490&lt;0.5),"NM",FJ490/FH490*100-100))</f>
        <v>NM</v>
      </c>
      <c r="FL490" s="91">
        <f>FL486-FL489</f>
        <v>91</v>
      </c>
      <c r="FM490" s="72">
        <f>IF(ISERROR(FL490/FJ490),"NA",IF(OR(FL490/FJ490&gt;2,FL490/FJ490&lt;0.5),"NM",FL490/FJ490*100-100))</f>
        <v>-43.125</v>
      </c>
      <c r="FN490" s="75">
        <f>AI490+AK490+AM490+AO490</f>
        <v>194</v>
      </c>
      <c r="FO490" s="72" t="str">
        <f>IF(ISERROR(FN490/FF490),"NA",IF(OR(FN490/FF490&gt;2,FN490/FF490&lt;0.5),"NM",FN490/FF490*100-100))</f>
        <v>NM</v>
      </c>
      <c r="FP490" s="75">
        <f>AQ490+AS490+AU490+AW490</f>
        <v>172</v>
      </c>
      <c r="FQ490" s="72">
        <f>IF(ISERROR(FP490/FN490),"NA",IF(OR(FP490/FN490&gt;2,FP490/FN490&lt;0.5),"NM",FP490/FN490*100-100))</f>
        <v>-11.340206185567013</v>
      </c>
      <c r="FR490" s="91">
        <f>FR486-FR489</f>
        <v>28</v>
      </c>
      <c r="FS490" s="72" t="str">
        <f>IF(ISERROR(FR490/FP490),"NA",IF(OR(FR490/FP490&gt;2,FR490/FP490&lt;0.5),"NM",FR490/FP490*100-100))</f>
        <v>NM</v>
      </c>
      <c r="FT490" s="91">
        <f>FT486-FT489</f>
        <v>-114.39999999999998</v>
      </c>
      <c r="FU490" s="72" t="str">
        <f>IF(ISERROR(FT490/FR490),"NA",IF(OR(FT490/FR490&gt;2,FT490/FR490&lt;0.5),"NM",FT490/FR490*100-100))</f>
        <v>NM</v>
      </c>
      <c r="FV490" s="91">
        <f>FV486-FV489</f>
        <v>-182</v>
      </c>
      <c r="FW490" s="72">
        <f>IF(ISERROR(FV490/FT490),"NA",IF(OR(FV490/FT490&gt;2,FV490/FT490&lt;0.5),"NM",FV490/FT490*100-100))</f>
        <v>59.090909090909122</v>
      </c>
      <c r="FX490" s="91">
        <f>FX486-FX489</f>
        <v>-788</v>
      </c>
      <c r="FY490" s="72" t="str">
        <f>IF(ISERROR(FX490/FV490),"NA",IF(OR(FX490/FV490&gt;2,FX490/FV490&lt;0.5),"NM",FX490/FV490*100-100))</f>
        <v>NM</v>
      </c>
      <c r="FZ490" s="91">
        <f>FZ486-FZ489</f>
        <v>-949</v>
      </c>
      <c r="GA490" s="72">
        <f>IF(ISERROR(FZ490/FX490),"NA",IF(OR(FZ490/FX490&gt;2,FZ490/FX490&lt;0.5),"NM",FZ490/FX490*100-100))</f>
        <v>20.431472081218274</v>
      </c>
      <c r="GB490" s="91">
        <f>GB486-GB489</f>
        <v>-1021</v>
      </c>
      <c r="GC490" s="72">
        <f>IF(ISERROR(GB490/FZ490),"NA",IF(OR(GB490/FZ490&gt;2,GB490/FZ490&lt;0.5),"NM",GB490/FZ490*100-100))</f>
        <v>7.5869336143308743</v>
      </c>
      <c r="GD490" s="91">
        <f>GD486-GD489</f>
        <v>-1174</v>
      </c>
      <c r="GE490" s="72">
        <f>IF(ISERROR(GD490/GB490),"NA",IF(OR(GD490/GB490&gt;2,GD490/GB490&lt;0.5),"NM",GD490/GB490*100-100))</f>
        <v>14.985308521057789</v>
      </c>
      <c r="GF490" s="91">
        <f>GF486-GF489</f>
        <v>-1343</v>
      </c>
      <c r="GG490" s="72">
        <f>IF(ISERROR(GF490/GD490),"NA",IF(OR(GF490/GD490&gt;2,GF490/GD490&lt;0.5),"NM",GF490/GD490*100-100))</f>
        <v>14.395229982964224</v>
      </c>
      <c r="GH490" s="91">
        <f>GH486-GH489</f>
        <v>-1329</v>
      </c>
      <c r="GI490" s="72">
        <f t="shared" si="2362"/>
        <v>-1.0424422933730426</v>
      </c>
      <c r="GJ490" s="91">
        <f>GJ486-GJ489</f>
        <v>-1244.5</v>
      </c>
      <c r="GK490" s="72">
        <f t="shared" si="2362"/>
        <v>-6.3581640331075988</v>
      </c>
      <c r="GL490" s="91">
        <f>GL486-GL489</f>
        <v>-1542</v>
      </c>
      <c r="GM490" s="72">
        <f t="shared" si="2362"/>
        <v>23.905182804339091</v>
      </c>
      <c r="GN490" s="91">
        <f>GN486-GN489</f>
        <v>-1421</v>
      </c>
      <c r="GO490" s="72">
        <f t="shared" si="2362"/>
        <v>-7.8469520103761425</v>
      </c>
      <c r="GP490" s="91">
        <f>GP486-GP489</f>
        <v>-1450</v>
      </c>
      <c r="GQ490" s="72">
        <f t="shared" si="2362"/>
        <v>2.0408163265306172</v>
      </c>
      <c r="GR490" s="122">
        <f>+GP490*1.035</f>
        <v>-1500.7499999999998</v>
      </c>
      <c r="GS490" s="72">
        <f t="shared" si="2362"/>
        <v>3.4999999999999858</v>
      </c>
      <c r="GT490" s="122">
        <f>+GR490*1.03</f>
        <v>-1545.7724999999998</v>
      </c>
      <c r="GU490" s="72">
        <f t="shared" si="2362"/>
        <v>3</v>
      </c>
      <c r="GV490" s="122">
        <f>+GT490*1.03</f>
        <v>-1592.1456749999998</v>
      </c>
      <c r="GW490" s="72">
        <f>IF(ISERROR(GV490/GT490),"NA",IF(OR(GV490/GT490&gt;2,GV490/GT490&lt;0.5),"NM",GV490/GT490*100-100))</f>
        <v>3</v>
      </c>
      <c r="GX490" s="122">
        <f>+GV490*1.031</f>
        <v>-1641.5021909249997</v>
      </c>
      <c r="GY490" s="72">
        <f>IF(ISERROR(GX490/GV490),"NA",IF(OR(GX490/GV490&gt;2,GX490/GV490&lt;0.5),"NM",GX490/GV490*100-100))</f>
        <v>3.0999999999999943</v>
      </c>
      <c r="GZ490" s="72">
        <f>IF(ISERROR(((GX490/GN490)^0.2-1)*100),"NA",IF((((GX490/GN490)^0.2-1)*100)&gt;100,"NM",IF((((GX490/GN490)^0.2-1)*100)&lt;-50,"NM",((GX490/GN490)^0.2-1)*100)))</f>
        <v>2.9270386600572351</v>
      </c>
      <c r="HA490" s="72"/>
      <c r="HB490" s="72"/>
      <c r="HC490"/>
      <c r="HD490"/>
      <c r="HE490"/>
      <c r="HF490"/>
      <c r="HG490"/>
      <c r="HH490"/>
      <c r="HI490" s="2"/>
    </row>
    <row r="491" spans="1:217" s="3" customFormat="1" ht="12.75" customHeight="1" x14ac:dyDescent="0.2">
      <c r="B491" s="10"/>
      <c r="C491" s="9"/>
      <c r="D491" s="11"/>
      <c r="E491" s="9"/>
      <c r="F491" s="11"/>
      <c r="G491" s="9"/>
      <c r="H491" s="11"/>
      <c r="I491" s="9"/>
      <c r="J491" s="11"/>
      <c r="K491" s="9"/>
      <c r="L491" s="72"/>
      <c r="M491" s="9"/>
      <c r="N491" s="72"/>
      <c r="O491" s="9"/>
      <c r="P491" s="72"/>
      <c r="Q491" s="9"/>
      <c r="R491" s="72"/>
      <c r="S491" s="9"/>
      <c r="T491" s="72"/>
      <c r="U491" s="9"/>
      <c r="V491" s="72"/>
      <c r="W491" s="9"/>
      <c r="X491" s="72"/>
      <c r="Y491" s="9"/>
      <c r="Z491" s="72"/>
      <c r="AA491" s="9"/>
      <c r="AB491" s="72"/>
      <c r="AC491" s="9"/>
      <c r="AD491" s="72"/>
      <c r="AE491" s="9"/>
      <c r="AF491" s="72"/>
      <c r="AG491" s="9"/>
      <c r="AH491" s="72"/>
      <c r="AI491" s="9"/>
      <c r="AJ491" s="72"/>
      <c r="AK491" s="9"/>
      <c r="AL491" s="72"/>
      <c r="AM491" s="9"/>
      <c r="AN491" s="72"/>
      <c r="AO491" s="9"/>
      <c r="AP491" s="72"/>
      <c r="AQ491" s="9"/>
      <c r="AR491" s="72"/>
      <c r="AS491" s="9"/>
      <c r="AT491" s="72"/>
      <c r="AU491" s="9"/>
      <c r="AV491" s="72"/>
      <c r="AW491" s="9"/>
      <c r="AX491" s="72"/>
      <c r="AY491" s="9"/>
      <c r="AZ491" s="72"/>
      <c r="BA491" s="9"/>
      <c r="BB491" s="72"/>
      <c r="BC491" s="9"/>
      <c r="BD491" s="72"/>
      <c r="BE491" s="9"/>
      <c r="BF491" s="72"/>
      <c r="BG491" s="9"/>
      <c r="BH491" s="72"/>
      <c r="BI491" s="9"/>
      <c r="BJ491" s="72"/>
      <c r="BK491" s="9"/>
      <c r="BL491" s="72"/>
      <c r="BM491" s="9"/>
      <c r="BN491" s="72"/>
      <c r="BO491" s="9"/>
      <c r="BP491" s="72"/>
      <c r="BQ491" s="9"/>
      <c r="BR491" s="72"/>
      <c r="BS491" s="9"/>
      <c r="BT491" s="72"/>
      <c r="BU491" s="9"/>
      <c r="BV491" s="72"/>
      <c r="BW491" s="9"/>
      <c r="BX491" s="72"/>
      <c r="BY491" s="9"/>
      <c r="BZ491" s="72"/>
      <c r="CA491" s="9"/>
      <c r="CB491" s="72"/>
      <c r="CC491" s="9"/>
      <c r="CD491" s="72"/>
      <c r="CE491" s="9"/>
      <c r="CF491" s="72"/>
      <c r="CG491" s="9"/>
      <c r="CH491" s="72"/>
      <c r="CI491" s="9"/>
      <c r="CJ491" s="72"/>
      <c r="CK491" s="9"/>
      <c r="CL491" s="72"/>
      <c r="CM491" s="9"/>
      <c r="CN491" s="72"/>
      <c r="CO491" s="9"/>
      <c r="CP491" s="72"/>
      <c r="CQ491" s="9"/>
      <c r="CR491" s="72"/>
      <c r="CS491" s="9"/>
      <c r="CT491" s="72"/>
      <c r="CU491" s="9"/>
      <c r="CV491" s="72"/>
      <c r="CW491" s="144"/>
      <c r="CX491" s="72"/>
      <c r="CY491" s="144"/>
      <c r="CZ491" s="72"/>
      <c r="DA491" s="144"/>
      <c r="DB491" s="72"/>
      <c r="DC491" s="144"/>
      <c r="DD491" s="72"/>
      <c r="DE491" s="144"/>
      <c r="DF491" s="72"/>
      <c r="DG491" s="144"/>
      <c r="DH491" s="72"/>
      <c r="DI491" s="144"/>
      <c r="DJ491" s="72"/>
      <c r="DK491" s="144"/>
      <c r="DL491" s="72"/>
      <c r="DM491" s="144"/>
      <c r="DN491" s="72"/>
      <c r="DO491" s="144"/>
      <c r="DP491" s="72"/>
      <c r="DQ491" s="144"/>
      <c r="DR491" s="72"/>
      <c r="DS491" s="144"/>
      <c r="DT491" s="72"/>
      <c r="DU491" s="144"/>
      <c r="DV491" s="72"/>
      <c r="DW491" s="9"/>
      <c r="DX491" s="72"/>
      <c r="DY491" s="9"/>
      <c r="DZ491" s="72"/>
      <c r="EA491" s="9"/>
      <c r="EB491" s="72"/>
      <c r="EC491" s="9"/>
      <c r="ED491" s="72"/>
      <c r="EE491" s="9"/>
      <c r="EF491" s="72"/>
      <c r="EG491" s="9"/>
      <c r="EH491" s="72"/>
      <c r="EI491" s="9"/>
      <c r="EJ491" s="72"/>
      <c r="EK491" s="9"/>
      <c r="EL491" s="72"/>
      <c r="EM491" s="9"/>
      <c r="EN491" s="72"/>
      <c r="EO491" s="9"/>
      <c r="EP491" s="72"/>
      <c r="EQ491" s="9"/>
      <c r="ER491" s="72"/>
      <c r="ES491" s="9"/>
      <c r="ET491" s="72"/>
      <c r="EU491" s="9"/>
      <c r="EV491" s="72"/>
      <c r="EW491" s="9"/>
      <c r="EX491" s="72"/>
      <c r="EY491" s="72"/>
      <c r="EZ491" s="296"/>
      <c r="FA491" s="72"/>
      <c r="FB491" s="9"/>
      <c r="FC491" s="11"/>
      <c r="FD491" s="9"/>
      <c r="FE491" s="72"/>
      <c r="FF491" s="16"/>
      <c r="FG491" s="72"/>
      <c r="FH491" s="16"/>
      <c r="FI491" s="72"/>
      <c r="FJ491" s="16"/>
      <c r="FK491" s="72"/>
      <c r="FL491" s="16"/>
      <c r="FM491" s="72"/>
      <c r="FN491" s="16"/>
      <c r="FO491" s="72"/>
      <c r="FP491" s="9"/>
      <c r="FQ491" s="72"/>
      <c r="FR491" s="9"/>
      <c r="FS491" s="72"/>
      <c r="FT491" s="9"/>
      <c r="FU491" s="72"/>
      <c r="FV491" s="9"/>
      <c r="FW491" s="72"/>
      <c r="FX491" s="9"/>
      <c r="FY491" s="72"/>
      <c r="FZ491" s="9"/>
      <c r="GA491" s="72"/>
      <c r="GB491" s="9"/>
      <c r="GC491" s="72"/>
      <c r="GD491" s="9"/>
      <c r="GE491" s="72"/>
      <c r="GF491" s="9"/>
      <c r="GG491" s="72"/>
      <c r="GH491" s="9"/>
      <c r="GI491" s="72"/>
      <c r="GJ491" s="9"/>
      <c r="GK491" s="72"/>
      <c r="GL491" s="9"/>
      <c r="GM491" s="72"/>
      <c r="GN491" s="9"/>
      <c r="GO491" s="72"/>
      <c r="GP491" s="9"/>
      <c r="GQ491" s="72"/>
      <c r="GR491" s="9"/>
      <c r="GS491" s="72"/>
      <c r="GT491" s="9"/>
      <c r="GU491" s="72"/>
      <c r="GV491" s="9"/>
      <c r="GW491" s="72"/>
      <c r="GX491" s="9"/>
      <c r="GY491" s="72"/>
      <c r="GZ491" s="72"/>
      <c r="HA491" s="72"/>
      <c r="HB491" s="72"/>
      <c r="HC491"/>
      <c r="HD491"/>
      <c r="HE491"/>
      <c r="HF491"/>
      <c r="HG491"/>
      <c r="HH491"/>
      <c r="HI491" s="2"/>
    </row>
    <row r="492" spans="1:217" s="3" customFormat="1" ht="12.75" customHeight="1" x14ac:dyDescent="0.2">
      <c r="B492" s="10" t="s">
        <v>472</v>
      </c>
      <c r="C492" s="145"/>
      <c r="D492" s="11"/>
      <c r="E492" s="145"/>
      <c r="F492" s="11"/>
      <c r="G492" s="145"/>
      <c r="H492" s="11"/>
      <c r="I492" s="145"/>
      <c r="J492" s="11"/>
      <c r="K492" s="145"/>
      <c r="L492" s="72"/>
      <c r="M492" s="145"/>
      <c r="N492" s="72"/>
      <c r="O492" s="145"/>
      <c r="P492" s="72"/>
      <c r="Q492" s="145"/>
      <c r="R492" s="72"/>
      <c r="S492" s="145"/>
      <c r="T492" s="72"/>
      <c r="U492" s="145"/>
      <c r="V492" s="72"/>
      <c r="W492" s="145"/>
      <c r="X492" s="72"/>
      <c r="Y492" s="145"/>
      <c r="Z492" s="72"/>
      <c r="AA492" s="145"/>
      <c r="AB492" s="72"/>
      <c r="AC492" s="145"/>
      <c r="AD492" s="72"/>
      <c r="AE492" s="145"/>
      <c r="AF492" s="72"/>
      <c r="AG492" s="145"/>
      <c r="AH492" s="72"/>
      <c r="AI492" s="145"/>
      <c r="AJ492" s="72"/>
      <c r="AK492" s="145"/>
      <c r="AL492" s="72"/>
      <c r="AM492" s="145"/>
      <c r="AN492" s="72"/>
      <c r="AO492" s="145"/>
      <c r="AP492" s="72"/>
      <c r="AQ492" s="145"/>
      <c r="AR492" s="72"/>
      <c r="AS492" s="145"/>
      <c r="AT492" s="72"/>
      <c r="AU492" s="145"/>
      <c r="AV492" s="72"/>
      <c r="AW492" s="145"/>
      <c r="AX492" s="72"/>
      <c r="AY492" s="145"/>
      <c r="AZ492" s="72"/>
      <c r="BA492" s="145"/>
      <c r="BB492" s="72"/>
      <c r="BC492" s="145"/>
      <c r="BD492" s="72"/>
      <c r="BE492" s="145"/>
      <c r="BF492" s="72"/>
      <c r="BG492" s="145"/>
      <c r="BH492" s="72"/>
      <c r="BI492" s="145"/>
      <c r="BJ492" s="72"/>
      <c r="BK492" s="145"/>
      <c r="BL492" s="72"/>
      <c r="BM492" s="145"/>
      <c r="BN492" s="72"/>
      <c r="BO492" s="145"/>
      <c r="BP492" s="72"/>
      <c r="BQ492" s="145"/>
      <c r="BR492" s="72"/>
      <c r="BS492" s="145"/>
      <c r="BT492" s="72"/>
      <c r="BU492" s="145"/>
      <c r="BV492" s="72"/>
      <c r="BW492" s="145"/>
      <c r="BX492" s="72"/>
      <c r="BY492" s="145"/>
      <c r="BZ492" s="72"/>
      <c r="CA492" s="145"/>
      <c r="CB492" s="72"/>
      <c r="CC492" s="145"/>
      <c r="CD492" s="72"/>
      <c r="CE492" s="145"/>
      <c r="CF492" s="72"/>
      <c r="CG492" s="145"/>
      <c r="CH492" s="72"/>
      <c r="CI492" s="145"/>
      <c r="CJ492" s="72"/>
      <c r="CK492" s="145"/>
      <c r="CL492" s="72"/>
      <c r="CM492" s="145"/>
      <c r="CN492" s="72"/>
      <c r="CO492" s="145"/>
      <c r="CP492" s="72"/>
      <c r="CQ492" s="145"/>
      <c r="CR492" s="72"/>
      <c r="CS492" s="145"/>
      <c r="CT492" s="72"/>
      <c r="CU492" s="145"/>
      <c r="CV492" s="72"/>
      <c r="CW492" s="145"/>
      <c r="CX492" s="72"/>
      <c r="CY492" s="145"/>
      <c r="CZ492" s="72"/>
      <c r="DA492" s="145"/>
      <c r="DB492" s="72"/>
      <c r="DC492" s="145"/>
      <c r="DD492" s="72"/>
      <c r="DE492" s="145"/>
      <c r="DF492" s="72"/>
      <c r="DG492" s="150">
        <v>0</v>
      </c>
      <c r="DH492" s="72"/>
      <c r="DI492" s="150">
        <v>-60</v>
      </c>
      <c r="DJ492" s="72"/>
      <c r="DK492" s="150">
        <v>0</v>
      </c>
      <c r="DL492" s="72"/>
      <c r="DM492" s="150">
        <v>0</v>
      </c>
      <c r="DN492" s="72" t="str">
        <f t="shared" ref="DN492:DZ493" si="2363">IF(ISERROR(DM492/DE492),"NA",IF(OR(DM492/DE492&gt;2,DM492/DE492&lt;0.5),"NM",DM492/DE492*100-100))</f>
        <v>NA</v>
      </c>
      <c r="DO492" s="150">
        <v>0</v>
      </c>
      <c r="DP492" s="72" t="str">
        <f t="shared" si="2363"/>
        <v>NA</v>
      </c>
      <c r="DQ492" s="150">
        <v>0</v>
      </c>
      <c r="DR492" s="72" t="str">
        <f t="shared" si="2363"/>
        <v>NM</v>
      </c>
      <c r="DS492" s="150">
        <f>30+20</f>
        <v>50</v>
      </c>
      <c r="DT492" s="72" t="str">
        <f t="shared" si="2363"/>
        <v>NA</v>
      </c>
      <c r="DU492" s="150">
        <v>0</v>
      </c>
      <c r="DV492" s="72" t="str">
        <f t="shared" si="2363"/>
        <v>NA</v>
      </c>
      <c r="DW492" s="150">
        <v>0</v>
      </c>
      <c r="DX492" s="72" t="str">
        <f t="shared" si="2363"/>
        <v>NA</v>
      </c>
      <c r="DY492" s="150">
        <v>-75</v>
      </c>
      <c r="DZ492" s="72" t="str">
        <f t="shared" si="2363"/>
        <v>NA</v>
      </c>
      <c r="EA492" s="150">
        <v>-21</v>
      </c>
      <c r="EB492" s="72" t="str">
        <f>IF(ISERROR(EA492/DS492),"NA",IF(OR(EA492/DS492&gt;2,EA492/DS492&lt;0.5),"NM",EA492/DS492*100-100))</f>
        <v>NM</v>
      </c>
      <c r="EC492" s="150">
        <v>-40</v>
      </c>
      <c r="ED492" s="72" t="str">
        <f>IF(ISERROR(EC492/DU492),"NA",IF(OR(EC492/DU492&gt;2,EC492/DU492&lt;0.5),"NM",EC492/DU492*100-100))</f>
        <v>NA</v>
      </c>
      <c r="EE492" s="150">
        <v>0</v>
      </c>
      <c r="EF492" s="72" t="str">
        <f>IF(ISERROR(EE492/DW492),"NA",IF(OR(EE492/DW492&gt;2,EE492/DW492&lt;0.5),"NM",EE492/DW492*100-100))</f>
        <v>NA</v>
      </c>
      <c r="EG492" s="150"/>
      <c r="EH492" s="72" t="str">
        <f>IF(ISERROR(EG492/DY492),"NA",IF(OR(EG492/DY492&gt;2,EG492/DY492&lt;0.5),"NM",EG492/DY492*100-100))</f>
        <v>NM</v>
      </c>
      <c r="EI492" s="150">
        <v>-25</v>
      </c>
      <c r="EJ492" s="72">
        <f>IF(ISERROR(EI492/EA492),"NA",IF(OR(EI492/EA492&gt;2,EI492/EA492&lt;0.5),"NM",EI492/EA492*100-100))</f>
        <v>19.047619047619051</v>
      </c>
      <c r="EK492" s="144"/>
      <c r="EL492" s="72" t="str">
        <f>IF(ISERROR(EK492/EC492),"NA",IF(OR(EK492/EC492&gt;2,EK492/EC492&lt;0.5),"NM",EK492/EC492*100-100))</f>
        <v>NM</v>
      </c>
      <c r="EM492" s="144">
        <v>0</v>
      </c>
      <c r="EN492" s="72" t="str">
        <f>IF(ISERROR(EM492/EE492),"NA",IF(OR(EM492/EE492&gt;2,EM492/EE492&lt;0.5),"NM",EM492/EE492*100-100))</f>
        <v>NA</v>
      </c>
      <c r="EO492" s="144">
        <v>0</v>
      </c>
      <c r="EP492" s="72" t="str">
        <f>IF(ISERROR(EO492/EG492),"NA",IF(OR(EO492/EG492&gt;2,EO492/EG492&lt;0.5),"NM",EO492/EG492*100-100))</f>
        <v>NA</v>
      </c>
      <c r="EQ492" s="144"/>
      <c r="ER492" s="72" t="str">
        <f t="shared" ref="ER492:ER493" si="2364">IF(ISERROR(EQ492/EI492),"NA",IF(OR(EQ492/EI492&gt;2,EQ492/EI492&lt;0.5),"NM",EQ492/EI492*100-100))</f>
        <v>NM</v>
      </c>
      <c r="ES492" s="144"/>
      <c r="ET492" s="72" t="str">
        <f t="shared" ref="ET492:ET493" si="2365">IF(ISERROR(ES492/EK492),"NA",IF(OR(ES492/EK492&gt;2,ES492/EK492&lt;0.5),"NM",ES492/EK492*100-100))</f>
        <v>NA</v>
      </c>
      <c r="EU492" s="144"/>
      <c r="EV492" s="72" t="str">
        <f t="shared" ref="EV492:EV493" si="2366">IF(ISERROR(EU492/EM492),"NA",IF(OR(EU492/EM492&gt;2,EU492/EM492&lt;0.5),"NM",EU492/EM492*100-100))</f>
        <v>NA</v>
      </c>
      <c r="EW492" s="144"/>
      <c r="EX492" s="72" t="str">
        <f t="shared" ref="EX492:EX493" si="2367">IF(ISERROR(EW492/EO492),"NA",IF(OR(EW492/EO492&gt;2,EW492/EO492&lt;0.5),"NM",EW492/EO492*100-100))</f>
        <v>NA</v>
      </c>
      <c r="EY492" s="72"/>
      <c r="EZ492" s="296"/>
      <c r="FA492" s="72"/>
      <c r="FB492" s="145"/>
      <c r="FC492" s="11"/>
      <c r="FD492" s="145"/>
      <c r="FE492" s="72"/>
      <c r="FF492" s="145"/>
      <c r="FG492" s="72"/>
      <c r="FH492" s="145"/>
      <c r="FI492" s="72"/>
      <c r="FJ492" s="145"/>
      <c r="FK492" s="72"/>
      <c r="FL492" s="145"/>
      <c r="FM492" s="72"/>
      <c r="FN492" s="145"/>
      <c r="FO492" s="72"/>
      <c r="FP492" s="145"/>
      <c r="FQ492" s="72"/>
      <c r="FR492" s="144"/>
      <c r="FS492" s="72"/>
      <c r="FT492" s="144"/>
      <c r="FU492" s="72"/>
      <c r="FV492" s="144"/>
      <c r="FW492" s="72"/>
      <c r="FX492" s="144"/>
      <c r="FY492" s="72"/>
      <c r="FZ492" s="144"/>
      <c r="GA492" s="72"/>
      <c r="GB492" s="144"/>
      <c r="GC492" s="72"/>
      <c r="GD492" s="144"/>
      <c r="GE492" s="72"/>
      <c r="GF492" s="144">
        <f>DC492+DE492+DG492+DI492</f>
        <v>-60</v>
      </c>
      <c r="GG492" s="72"/>
      <c r="GH492" s="144"/>
      <c r="GI492" s="72"/>
      <c r="GJ492" s="144"/>
      <c r="GK492" s="72"/>
      <c r="GL492" s="144"/>
      <c r="GM492" s="72"/>
      <c r="GN492" s="144"/>
      <c r="GO492" s="72"/>
      <c r="GP492" s="144"/>
      <c r="GQ492" s="72"/>
      <c r="GR492" s="144"/>
      <c r="GS492" s="72"/>
      <c r="GT492" s="144"/>
      <c r="GU492" s="72"/>
      <c r="GV492" s="144"/>
      <c r="GW492" s="72"/>
      <c r="GX492" s="144"/>
      <c r="GY492" s="72"/>
      <c r="GZ492" s="72"/>
      <c r="HA492" s="72"/>
      <c r="HB492" s="72"/>
      <c r="HC492"/>
      <c r="HD492"/>
      <c r="HE492"/>
      <c r="HF492"/>
      <c r="HG492"/>
      <c r="HH492"/>
      <c r="HI492" s="2"/>
    </row>
    <row r="493" spans="1:217" s="78" customFormat="1" ht="12.75" customHeight="1" x14ac:dyDescent="0.2">
      <c r="A493" s="3"/>
      <c r="B493" s="70" t="s">
        <v>423</v>
      </c>
      <c r="C493" s="91"/>
      <c r="D493" s="80"/>
      <c r="E493" s="91"/>
      <c r="F493" s="80"/>
      <c r="G493" s="91"/>
      <c r="H493" s="80"/>
      <c r="I493" s="91"/>
      <c r="J493" s="80"/>
      <c r="K493" s="91"/>
      <c r="L493" s="72"/>
      <c r="M493" s="91"/>
      <c r="N493" s="72"/>
      <c r="O493" s="91"/>
      <c r="P493" s="72"/>
      <c r="Q493" s="91"/>
      <c r="R493" s="72"/>
      <c r="S493" s="91"/>
      <c r="T493" s="72"/>
      <c r="U493" s="91"/>
      <c r="V493" s="72"/>
      <c r="W493" s="91"/>
      <c r="X493" s="72"/>
      <c r="Y493" s="91"/>
      <c r="Z493" s="72"/>
      <c r="AA493" s="91"/>
      <c r="AB493" s="72"/>
      <c r="AC493" s="91"/>
      <c r="AD493" s="72"/>
      <c r="AE493" s="91"/>
      <c r="AF493" s="72"/>
      <c r="AG493" s="91"/>
      <c r="AH493" s="72"/>
      <c r="AI493" s="91"/>
      <c r="AJ493" s="72"/>
      <c r="AK493" s="91"/>
      <c r="AL493" s="72"/>
      <c r="AM493" s="91"/>
      <c r="AN493" s="72"/>
      <c r="AO493" s="91"/>
      <c r="AP493" s="72"/>
      <c r="AQ493" s="91"/>
      <c r="AR493" s="72"/>
      <c r="AS493" s="91"/>
      <c r="AT493" s="72"/>
      <c r="AU493" s="91"/>
      <c r="AV493" s="72"/>
      <c r="AW493" s="91"/>
      <c r="AX493" s="72"/>
      <c r="AY493" s="91"/>
      <c r="AZ493" s="72"/>
      <c r="BA493" s="91"/>
      <c r="BB493" s="72"/>
      <c r="BC493" s="91"/>
      <c r="BD493" s="72"/>
      <c r="BE493" s="91"/>
      <c r="BF493" s="72"/>
      <c r="BG493" s="91"/>
      <c r="BH493" s="72"/>
      <c r="BI493" s="91"/>
      <c r="BJ493" s="72"/>
      <c r="BK493" s="91"/>
      <c r="BL493" s="72"/>
      <c r="BM493" s="91"/>
      <c r="BN493" s="72"/>
      <c r="BO493" s="91"/>
      <c r="BP493" s="72"/>
      <c r="BQ493" s="91"/>
      <c r="BR493" s="72"/>
      <c r="BS493" s="91"/>
      <c r="BT493" s="72"/>
      <c r="BU493" s="91"/>
      <c r="BV493" s="72"/>
      <c r="BW493" s="91"/>
      <c r="BX493" s="72"/>
      <c r="BY493" s="91"/>
      <c r="BZ493" s="72"/>
      <c r="CA493" s="91"/>
      <c r="CB493" s="72"/>
      <c r="CC493" s="91"/>
      <c r="CD493" s="72"/>
      <c r="CE493" s="91"/>
      <c r="CF493" s="72"/>
      <c r="CG493" s="91"/>
      <c r="CH493" s="72"/>
      <c r="CI493" s="91"/>
      <c r="CJ493" s="72"/>
      <c r="CK493" s="91"/>
      <c r="CL493" s="72"/>
      <c r="CM493" s="91"/>
      <c r="CN493" s="72"/>
      <c r="CO493" s="91"/>
      <c r="CP493" s="72"/>
      <c r="CQ493" s="91"/>
      <c r="CR493" s="72"/>
      <c r="CS493" s="91"/>
      <c r="CT493" s="72"/>
      <c r="CU493" s="91"/>
      <c r="CV493" s="72"/>
      <c r="CW493" s="91"/>
      <c r="CX493" s="72"/>
      <c r="CY493" s="91"/>
      <c r="CZ493" s="72"/>
      <c r="DA493" s="91"/>
      <c r="DB493" s="72"/>
      <c r="DC493" s="91"/>
      <c r="DD493" s="72"/>
      <c r="DE493" s="91"/>
      <c r="DF493" s="72"/>
      <c r="DG493" s="91">
        <f>DG490-DG492</f>
        <v>-312</v>
      </c>
      <c r="DH493" s="72"/>
      <c r="DI493" s="91">
        <f>DI490-DI492</f>
        <v>-337</v>
      </c>
      <c r="DJ493" s="72"/>
      <c r="DK493" s="91">
        <f>DK490-DK492</f>
        <v>-342</v>
      </c>
      <c r="DL493" s="72"/>
      <c r="DM493" s="91">
        <f>DM490-DM492</f>
        <v>-341</v>
      </c>
      <c r="DN493" s="72" t="str">
        <f t="shared" si="2363"/>
        <v>NA</v>
      </c>
      <c r="DO493" s="91">
        <f>DO490-DO492</f>
        <v>-320</v>
      </c>
      <c r="DP493" s="72">
        <f t="shared" si="2363"/>
        <v>2.564102564102555</v>
      </c>
      <c r="DQ493" s="91">
        <f>DQ490-DQ492</f>
        <v>-326</v>
      </c>
      <c r="DR493" s="72">
        <f t="shared" si="2363"/>
        <v>-3.264094955489611</v>
      </c>
      <c r="DS493" s="91">
        <f>DS490-DS492</f>
        <v>-303</v>
      </c>
      <c r="DT493" s="72">
        <f t="shared" si="2363"/>
        <v>-11.403508771929822</v>
      </c>
      <c r="DU493" s="91">
        <f>DU490-DU492</f>
        <v>-305</v>
      </c>
      <c r="DV493" s="72">
        <f t="shared" si="2363"/>
        <v>-10.557184750733143</v>
      </c>
      <c r="DW493" s="91">
        <f>DW490-DW492</f>
        <v>-308</v>
      </c>
      <c r="DX493" s="72">
        <f t="shared" si="2363"/>
        <v>-3.75</v>
      </c>
      <c r="DY493" s="91">
        <f>DY490-DY492</f>
        <v>-303.5</v>
      </c>
      <c r="DZ493" s="72">
        <f t="shared" si="2363"/>
        <v>-6.9018404907975537</v>
      </c>
      <c r="EA493" s="91">
        <f>EA490-EA492</f>
        <v>-291</v>
      </c>
      <c r="EB493" s="72">
        <f>IF(ISERROR(EA493/DS493),"NA",IF(OR(EA493/DS493&gt;2,EA493/DS493&lt;0.5),"NM",EA493/DS493*100-100))</f>
        <v>-3.9603960396039639</v>
      </c>
      <c r="EC493" s="91">
        <f>EC490-EC492</f>
        <v>-336</v>
      </c>
      <c r="ED493" s="72">
        <f>IF(ISERROR(EC493/DU493),"NA",IF(OR(EC493/DU493&gt;2,EC493/DU493&lt;0.5),"NM",EC493/DU493*100-100))</f>
        <v>10.163934426229517</v>
      </c>
      <c r="EE493" s="91">
        <f>EE490-EE492</f>
        <v>-413</v>
      </c>
      <c r="EF493" s="72">
        <f>IF(ISERROR(EE493/DW493),"NA",IF(OR(EE493/DW493&gt;2,EE493/DW493&lt;0.5),"NM",EE493/DW493*100-100))</f>
        <v>34.090909090909093</v>
      </c>
      <c r="EG493" s="91">
        <f>EG490-EG492</f>
        <v>-441</v>
      </c>
      <c r="EH493" s="72">
        <f>IF(ISERROR(EG493/DY493),"NA",IF(OR(EG493/DY493&gt;2,EG493/DY493&lt;0.5),"NM",EG493/DY493*100-100))</f>
        <v>45.304777594728165</v>
      </c>
      <c r="EI493" s="91">
        <f>EI490-EI492</f>
        <v>-327</v>
      </c>
      <c r="EJ493" s="72">
        <f>IF(ISERROR(EI493/EA493),"NA",IF(OR(EI493/EA493&gt;2,EI493/EA493&lt;0.5),"NM",EI493/EA493*100-100))</f>
        <v>12.371134020618555</v>
      </c>
      <c r="EK493" s="91">
        <f>EK490-EK492</f>
        <v>-308</v>
      </c>
      <c r="EL493" s="72">
        <f>IF(ISERROR(EK493/EC493),"NA",IF(OR(EK493/EC493&gt;2,EK493/EC493&lt;0.5),"NM",EK493/EC493*100-100))</f>
        <v>-8.3333333333333428</v>
      </c>
      <c r="EM493" s="91">
        <f>EM490-EM492</f>
        <v>-310</v>
      </c>
      <c r="EN493" s="72">
        <f>IF(ISERROR(EM493/EE493),"NA",IF(OR(EM493/EE493&gt;2,EM493/EE493&lt;0.5),"NM",EM493/EE493*100-100))</f>
        <v>-24.939467312348668</v>
      </c>
      <c r="EO493" s="91">
        <f>EO490-EO492</f>
        <v>-451</v>
      </c>
      <c r="EP493" s="72">
        <f>IF(ISERROR(EO493/EG493),"NA",IF(OR(EO493/EG493&gt;2,EO493/EG493&lt;0.5),"NM",EO493/EG493*100-100))</f>
        <v>2.2675736961451207</v>
      </c>
      <c r="EQ493" s="91"/>
      <c r="ER493" s="72" t="str">
        <f t="shared" si="2364"/>
        <v>NM</v>
      </c>
      <c r="ES493" s="91"/>
      <c r="ET493" s="72" t="str">
        <f t="shared" si="2365"/>
        <v>NM</v>
      </c>
      <c r="EU493" s="91"/>
      <c r="EV493" s="72" t="str">
        <f t="shared" si="2366"/>
        <v>NM</v>
      </c>
      <c r="EW493" s="91"/>
      <c r="EX493" s="72" t="str">
        <f t="shared" si="2367"/>
        <v>NM</v>
      </c>
      <c r="EY493" s="72"/>
      <c r="EZ493" s="314"/>
      <c r="FA493" s="72"/>
      <c r="FB493" s="91"/>
      <c r="FC493" s="80"/>
      <c r="FD493" s="91"/>
      <c r="FE493" s="72"/>
      <c r="FF493" s="91"/>
      <c r="FG493" s="72"/>
      <c r="FH493" s="91"/>
      <c r="FI493" s="72"/>
      <c r="FJ493" s="91"/>
      <c r="FK493" s="72"/>
      <c r="FL493" s="91"/>
      <c r="FM493" s="72"/>
      <c r="FN493" s="75"/>
      <c r="FO493" s="72"/>
      <c r="FP493" s="91"/>
      <c r="FQ493" s="72"/>
      <c r="FR493" s="91"/>
      <c r="FS493" s="72"/>
      <c r="FT493" s="91"/>
      <c r="FU493" s="72"/>
      <c r="FV493" s="91"/>
      <c r="FW493" s="72"/>
      <c r="FX493" s="91"/>
      <c r="FY493" s="72"/>
      <c r="FZ493" s="91"/>
      <c r="GA493" s="72"/>
      <c r="GB493" s="91"/>
      <c r="GC493" s="72"/>
      <c r="GD493" s="91"/>
      <c r="GE493" s="72"/>
      <c r="GF493" s="91">
        <f>GF490-GF492</f>
        <v>-1283</v>
      </c>
      <c r="GG493" s="72"/>
      <c r="GH493" s="91"/>
      <c r="GI493" s="72"/>
      <c r="GJ493" s="91"/>
      <c r="GK493" s="72"/>
      <c r="GL493" s="91"/>
      <c r="GM493" s="72"/>
      <c r="GN493" s="91"/>
      <c r="GO493" s="72"/>
      <c r="GP493" s="91"/>
      <c r="GQ493" s="72"/>
      <c r="GR493" s="91"/>
      <c r="GS493" s="72"/>
      <c r="GT493" s="91"/>
      <c r="GU493" s="72"/>
      <c r="GV493" s="91"/>
      <c r="GW493" s="72"/>
      <c r="GX493" s="91"/>
      <c r="GY493" s="72"/>
      <c r="GZ493" s="72"/>
      <c r="HA493" s="72"/>
      <c r="HB493" s="72"/>
      <c r="HC493"/>
      <c r="HD493"/>
      <c r="HE493"/>
      <c r="HF493"/>
      <c r="HG493"/>
      <c r="HH493"/>
      <c r="HI493" s="2"/>
    </row>
    <row r="494" spans="1:217" s="3" customFormat="1" ht="12.75" customHeight="1" x14ac:dyDescent="0.2">
      <c r="B494" s="77"/>
      <c r="C494" s="149"/>
      <c r="D494" s="72"/>
      <c r="E494" s="149"/>
      <c r="F494" s="72"/>
      <c r="G494" s="149"/>
      <c r="H494" s="72"/>
      <c r="I494" s="149"/>
      <c r="J494" s="72"/>
      <c r="K494" s="149"/>
      <c r="L494" s="72"/>
      <c r="M494" s="149"/>
      <c r="N494" s="72"/>
      <c r="O494" s="149"/>
      <c r="P494" s="72"/>
      <c r="Q494" s="149"/>
      <c r="R494" s="72"/>
      <c r="S494" s="149"/>
      <c r="T494" s="72"/>
      <c r="U494" s="149"/>
      <c r="V494" s="72"/>
      <c r="W494" s="149"/>
      <c r="X494" s="72"/>
      <c r="Y494" s="149"/>
      <c r="Z494" s="72"/>
      <c r="AA494" s="149"/>
      <c r="AB494" s="72"/>
      <c r="AC494" s="149"/>
      <c r="AD494" s="72"/>
      <c r="AE494" s="149"/>
      <c r="AF494" s="72"/>
      <c r="AG494" s="149"/>
      <c r="AH494" s="72"/>
      <c r="AI494" s="149"/>
      <c r="AJ494" s="72"/>
      <c r="AK494" s="149"/>
      <c r="AL494" s="72"/>
      <c r="AM494" s="149"/>
      <c r="AN494" s="72"/>
      <c r="AO494" s="149"/>
      <c r="AP494" s="72"/>
      <c r="AQ494" s="149"/>
      <c r="AR494" s="72"/>
      <c r="AS494" s="149"/>
      <c r="AT494" s="72"/>
      <c r="AU494" s="149"/>
      <c r="AV494" s="72"/>
      <c r="AW494" s="149"/>
      <c r="AX494" s="72"/>
      <c r="AY494" s="149"/>
      <c r="AZ494" s="72"/>
      <c r="BA494" s="149"/>
      <c r="BB494" s="72"/>
      <c r="BC494" s="149"/>
      <c r="BD494" s="72"/>
      <c r="BE494" s="149"/>
      <c r="BF494" s="72"/>
      <c r="BG494" s="149"/>
      <c r="BH494" s="72"/>
      <c r="BI494" s="149"/>
      <c r="BJ494" s="72"/>
      <c r="BK494" s="149"/>
      <c r="BL494" s="72"/>
      <c r="BM494" s="149"/>
      <c r="BN494" s="72"/>
      <c r="BO494" s="149"/>
      <c r="BP494" s="72"/>
      <c r="BQ494" s="149"/>
      <c r="BR494" s="72"/>
      <c r="BS494" s="149"/>
      <c r="BT494" s="72"/>
      <c r="BU494" s="149"/>
      <c r="BV494" s="72"/>
      <c r="BW494" s="149"/>
      <c r="BX494" s="72"/>
      <c r="BY494" s="149"/>
      <c r="BZ494" s="72"/>
      <c r="CA494" s="149"/>
      <c r="CB494" s="72"/>
      <c r="CC494" s="149"/>
      <c r="CD494" s="72"/>
      <c r="CE494" s="149"/>
      <c r="CF494" s="72"/>
      <c r="CG494" s="149"/>
      <c r="CH494" s="72"/>
      <c r="CI494" s="149"/>
      <c r="CJ494" s="72"/>
      <c r="CK494" s="149"/>
      <c r="CL494" s="72"/>
      <c r="CM494" s="149"/>
      <c r="CN494" s="72"/>
      <c r="CO494" s="149"/>
      <c r="CP494" s="72"/>
      <c r="CQ494" s="149"/>
      <c r="CR494" s="72"/>
      <c r="CS494" s="149"/>
      <c r="CT494" s="72"/>
      <c r="CU494" s="149"/>
      <c r="CV494" s="72"/>
      <c r="CW494" s="149"/>
      <c r="CX494" s="72"/>
      <c r="CY494" s="149"/>
      <c r="CZ494" s="72"/>
      <c r="DA494" s="149"/>
      <c r="DB494" s="72"/>
      <c r="DC494" s="149"/>
      <c r="DD494" s="72"/>
      <c r="DE494" s="149"/>
      <c r="DF494" s="72"/>
      <c r="DG494" s="149"/>
      <c r="DH494" s="72"/>
      <c r="DI494" s="149"/>
      <c r="DJ494" s="72"/>
      <c r="DK494" s="149"/>
      <c r="DL494" s="72"/>
      <c r="DM494" s="149"/>
      <c r="DN494" s="72"/>
      <c r="DO494" s="149"/>
      <c r="DP494" s="72"/>
      <c r="DQ494" s="149"/>
      <c r="DR494" s="72"/>
      <c r="DS494" s="149"/>
      <c r="DT494" s="72"/>
      <c r="DU494" s="149"/>
      <c r="DV494" s="72"/>
      <c r="DW494" s="149"/>
      <c r="DX494" s="72"/>
      <c r="DY494" s="149"/>
      <c r="DZ494" s="72"/>
      <c r="EA494" s="149"/>
      <c r="EB494" s="72"/>
      <c r="EC494" s="149"/>
      <c r="ED494" s="72"/>
      <c r="EE494" s="149"/>
      <c r="EF494" s="72"/>
      <c r="EG494" s="149"/>
      <c r="EH494" s="72"/>
      <c r="EI494" s="149"/>
      <c r="EJ494" s="72"/>
      <c r="EK494" s="149"/>
      <c r="EL494" s="72"/>
      <c r="EM494" s="149"/>
      <c r="EN494" s="72"/>
      <c r="EO494" s="149"/>
      <c r="EP494" s="72"/>
      <c r="EQ494" s="149"/>
      <c r="ER494" s="72"/>
      <c r="ES494" s="149"/>
      <c r="ET494" s="72"/>
      <c r="EU494" s="149"/>
      <c r="EV494" s="72"/>
      <c r="EW494" s="149"/>
      <c r="EX494" s="72"/>
      <c r="EY494" s="72"/>
      <c r="EZ494" s="325"/>
      <c r="FA494" s="72"/>
      <c r="FB494" s="149"/>
      <c r="FC494" s="72"/>
      <c r="FD494" s="149"/>
      <c r="FE494" s="72"/>
      <c r="FF494" s="149"/>
      <c r="FG494" s="72"/>
      <c r="FH494" s="149"/>
      <c r="FI494" s="72"/>
      <c r="FJ494" s="149"/>
      <c r="FK494" s="72"/>
      <c r="FL494" s="149"/>
      <c r="FM494" s="72"/>
      <c r="FN494" s="149"/>
      <c r="FO494" s="72"/>
      <c r="FP494" s="109"/>
      <c r="FQ494" s="72"/>
      <c r="FR494" s="149"/>
      <c r="FS494" s="72"/>
      <c r="FT494" s="149"/>
      <c r="FU494" s="72"/>
      <c r="FV494" s="149"/>
      <c r="FW494" s="72"/>
      <c r="FX494" s="149"/>
      <c r="FY494" s="72"/>
      <c r="FZ494" s="149"/>
      <c r="GA494" s="72"/>
      <c r="GB494" s="149"/>
      <c r="GC494" s="72"/>
      <c r="GD494" s="149"/>
      <c r="GE494" s="72"/>
      <c r="GF494" s="149"/>
      <c r="GG494" s="72"/>
      <c r="GH494" s="149"/>
      <c r="GI494" s="72"/>
      <c r="GJ494" s="149"/>
      <c r="GK494" s="72"/>
      <c r="GL494" s="149"/>
      <c r="GM494" s="72"/>
      <c r="GN494" s="149"/>
      <c r="GO494" s="72"/>
      <c r="GP494" s="149"/>
      <c r="GQ494" s="72"/>
      <c r="GR494" s="149"/>
      <c r="GS494" s="72"/>
      <c r="GT494" s="149"/>
      <c r="GU494" s="72"/>
      <c r="GV494" s="149"/>
      <c r="GW494" s="72"/>
      <c r="GX494" s="149"/>
      <c r="GY494" s="72"/>
      <c r="GZ494" s="72"/>
      <c r="HA494" s="72"/>
      <c r="HB494" s="72"/>
      <c r="HC494"/>
      <c r="HD494"/>
      <c r="HE494"/>
      <c r="HF494"/>
      <c r="HG494"/>
      <c r="HH494"/>
      <c r="HI494" s="2"/>
    </row>
    <row r="495" spans="1:217" s="295" customFormat="1" ht="12.75" customHeight="1" collapsed="1" x14ac:dyDescent="0.2">
      <c r="B495" s="291" t="s">
        <v>817</v>
      </c>
      <c r="C495" s="292"/>
      <c r="D495" s="293"/>
      <c r="E495" s="292"/>
      <c r="F495" s="293"/>
      <c r="G495" s="292"/>
      <c r="H495" s="293"/>
      <c r="I495" s="292"/>
      <c r="J495" s="293"/>
      <c r="K495" s="292"/>
      <c r="L495" s="293"/>
      <c r="M495" s="292"/>
      <c r="N495" s="293"/>
      <c r="O495" s="292"/>
      <c r="P495" s="293"/>
      <c r="Q495" s="292"/>
      <c r="R495" s="293"/>
      <c r="S495" s="292"/>
      <c r="T495" s="293"/>
      <c r="U495" s="292"/>
      <c r="V495" s="293"/>
      <c r="W495" s="292"/>
      <c r="X495" s="293"/>
      <c r="Y495" s="292"/>
      <c r="Z495" s="293"/>
      <c r="AA495" s="292"/>
      <c r="AB495" s="293"/>
      <c r="AC495" s="292"/>
      <c r="AD495" s="293"/>
      <c r="AE495" s="292"/>
      <c r="AF495" s="293"/>
      <c r="AG495" s="292"/>
      <c r="AH495" s="293"/>
      <c r="AI495" s="292"/>
      <c r="AJ495" s="293"/>
      <c r="AK495" s="292"/>
      <c r="AL495" s="293"/>
      <c r="AM495" s="292"/>
      <c r="AN495" s="293"/>
      <c r="AO495" s="292"/>
      <c r="AP495" s="293"/>
      <c r="AQ495" s="292"/>
      <c r="AR495" s="293"/>
      <c r="AS495" s="292"/>
      <c r="AT495" s="293"/>
      <c r="AU495" s="292"/>
      <c r="AV495" s="293"/>
      <c r="AW495" s="292"/>
      <c r="AX495" s="293"/>
      <c r="AY495" s="292"/>
      <c r="AZ495" s="293"/>
      <c r="BA495" s="292"/>
      <c r="BB495" s="293"/>
      <c r="BC495" s="292"/>
      <c r="BD495" s="293"/>
      <c r="BE495" s="292"/>
      <c r="BF495" s="293"/>
      <c r="BG495" s="292"/>
      <c r="BH495" s="293"/>
      <c r="BI495" s="292"/>
      <c r="BJ495" s="293"/>
      <c r="BK495" s="292"/>
      <c r="BL495" s="293"/>
      <c r="BM495" s="292"/>
      <c r="BN495" s="293"/>
      <c r="BO495" s="292"/>
      <c r="BP495" s="293"/>
      <c r="BQ495" s="294"/>
      <c r="BR495" s="294"/>
      <c r="BS495" s="294"/>
      <c r="BT495" s="293"/>
      <c r="BU495" s="294"/>
      <c r="BV495" s="293"/>
      <c r="BW495" s="294"/>
      <c r="BX495" s="293"/>
      <c r="BY495" s="294"/>
      <c r="BZ495" s="293"/>
      <c r="CA495" s="294"/>
      <c r="CB495" s="293"/>
      <c r="CC495" s="294"/>
      <c r="CD495" s="293"/>
      <c r="CE495" s="294"/>
      <c r="CF495" s="293"/>
      <c r="CG495" s="294"/>
      <c r="CH495" s="293"/>
      <c r="CI495" s="294"/>
      <c r="CJ495" s="293"/>
      <c r="CK495" s="294"/>
      <c r="CL495" s="293"/>
      <c r="CM495" s="294"/>
      <c r="CN495" s="293"/>
      <c r="CO495" s="294"/>
      <c r="CP495" s="293"/>
      <c r="CQ495" s="294"/>
      <c r="CR495" s="293"/>
      <c r="CS495" s="294"/>
      <c r="CT495" s="293"/>
      <c r="CU495" s="294"/>
      <c r="CV495" s="293"/>
      <c r="CW495" s="294"/>
      <c r="CX495" s="293"/>
      <c r="CY495" s="294"/>
      <c r="CZ495" s="293"/>
      <c r="DA495" s="294"/>
      <c r="DB495" s="293"/>
      <c r="DC495" s="294"/>
      <c r="DD495" s="293"/>
      <c r="DE495" s="294"/>
      <c r="DF495" s="293"/>
      <c r="DG495" s="294"/>
      <c r="DH495" s="293"/>
      <c r="DI495" s="294"/>
      <c r="DJ495" s="293"/>
      <c r="DK495" s="294"/>
      <c r="DL495" s="293"/>
      <c r="DM495" s="294"/>
      <c r="DN495" s="293"/>
      <c r="DO495" s="294"/>
      <c r="DP495" s="293"/>
      <c r="DQ495" s="294"/>
      <c r="DR495" s="293"/>
      <c r="DS495" s="294"/>
      <c r="DT495" s="293"/>
      <c r="DU495" s="294"/>
      <c r="DV495" s="293"/>
      <c r="DW495" s="292"/>
      <c r="DX495" s="293"/>
      <c r="DY495" s="292"/>
      <c r="DZ495" s="293"/>
      <c r="EA495" s="292"/>
      <c r="EB495" s="293"/>
      <c r="EC495" s="292"/>
      <c r="ED495" s="293"/>
      <c r="EE495" s="292"/>
      <c r="EF495" s="293"/>
      <c r="EG495" s="292"/>
      <c r="EH495" s="293"/>
      <c r="EI495" s="292"/>
      <c r="EJ495" s="293"/>
      <c r="EK495" s="292"/>
      <c r="EL495" s="293"/>
      <c r="EM495" s="292"/>
      <c r="EN495" s="293"/>
      <c r="EO495" s="292"/>
      <c r="EP495" s="293"/>
      <c r="EQ495" s="292"/>
      <c r="ER495" s="293"/>
      <c r="ES495" s="292"/>
      <c r="ET495" s="293"/>
      <c r="EU495" s="292"/>
      <c r="EV495" s="293"/>
      <c r="EW495" s="292"/>
      <c r="EX495" s="293"/>
      <c r="EY495" s="293"/>
      <c r="EZ495" s="299"/>
      <c r="FA495" s="293"/>
      <c r="FB495" s="292"/>
      <c r="FC495" s="293"/>
      <c r="FD495" s="292"/>
      <c r="FE495" s="293"/>
      <c r="FF495" s="292"/>
      <c r="FG495" s="293"/>
      <c r="FH495" s="292"/>
      <c r="FI495" s="293"/>
      <c r="FJ495" s="292"/>
      <c r="FK495" s="293"/>
      <c r="FL495" s="292"/>
      <c r="FM495" s="293"/>
      <c r="FN495" s="292"/>
      <c r="FO495" s="293"/>
      <c r="FP495" s="292"/>
      <c r="FQ495" s="293"/>
      <c r="FR495" s="294"/>
      <c r="FS495" s="293"/>
      <c r="FT495" s="294"/>
      <c r="FU495" s="293"/>
      <c r="FV495" s="294"/>
      <c r="FW495" s="293"/>
      <c r="FX495" s="294"/>
      <c r="FY495" s="293"/>
      <c r="FZ495" s="294"/>
      <c r="GA495" s="293"/>
      <c r="GB495" s="294"/>
      <c r="GC495" s="293"/>
      <c r="GD495" s="294"/>
      <c r="GE495" s="293"/>
      <c r="GF495" s="294"/>
      <c r="GG495" s="293"/>
      <c r="GH495" s="294"/>
      <c r="GI495" s="293"/>
      <c r="GJ495" s="294"/>
      <c r="GK495" s="293"/>
      <c r="GL495" s="294"/>
      <c r="GM495" s="293"/>
      <c r="GN495" s="294"/>
      <c r="GO495" s="293"/>
      <c r="GP495" s="294"/>
      <c r="GQ495" s="293"/>
      <c r="GR495" s="292"/>
      <c r="GS495" s="293"/>
      <c r="GT495" s="292"/>
      <c r="GU495" s="293"/>
      <c r="GV495" s="292"/>
      <c r="GW495" s="293"/>
      <c r="GX495" s="292"/>
      <c r="GY495" s="293"/>
      <c r="GZ495" s="293"/>
      <c r="HA495" s="293"/>
      <c r="HB495" s="293"/>
      <c r="HC495"/>
      <c r="HD495"/>
      <c r="HE495"/>
      <c r="HF495"/>
      <c r="HG495"/>
      <c r="HH495"/>
      <c r="HI495" s="290"/>
    </row>
    <row r="496" spans="1:217" s="3" customFormat="1" ht="12.75" customHeight="1" x14ac:dyDescent="0.2">
      <c r="B496" s="10"/>
      <c r="C496" s="9"/>
      <c r="D496" s="11"/>
      <c r="E496" s="9"/>
      <c r="F496" s="11"/>
      <c r="G496" s="9"/>
      <c r="H496" s="11"/>
      <c r="I496" s="9"/>
      <c r="J496" s="11"/>
      <c r="K496" s="9"/>
      <c r="L496" s="11"/>
      <c r="M496" s="9"/>
      <c r="N496" s="11"/>
      <c r="O496" s="9"/>
      <c r="P496" s="11"/>
      <c r="Q496" s="9"/>
      <c r="R496" s="11"/>
      <c r="S496" s="9"/>
      <c r="T496" s="11"/>
      <c r="U496" s="9"/>
      <c r="V496" s="11"/>
      <c r="W496" s="9"/>
      <c r="X496" s="11"/>
      <c r="Y496" s="9"/>
      <c r="Z496" s="11"/>
      <c r="AA496" s="9"/>
      <c r="AB496" s="11"/>
      <c r="AC496" s="9"/>
      <c r="AD496" s="11"/>
      <c r="AE496" s="9"/>
      <c r="AF496" s="11"/>
      <c r="AG496" s="9"/>
      <c r="AH496" s="11"/>
      <c r="AI496" s="9"/>
      <c r="AJ496" s="11"/>
      <c r="AK496" s="9"/>
      <c r="AL496" s="11"/>
      <c r="AM496" s="9"/>
      <c r="AN496" s="11"/>
      <c r="AO496" s="9"/>
      <c r="AP496" s="11"/>
      <c r="AQ496" s="9"/>
      <c r="AR496" s="11"/>
      <c r="AS496" s="9"/>
      <c r="AT496" s="11"/>
      <c r="AU496" s="9"/>
      <c r="AV496" s="11"/>
      <c r="AW496" s="9"/>
      <c r="AX496" s="11"/>
      <c r="AY496" s="9"/>
      <c r="AZ496" s="11"/>
      <c r="BA496" s="9"/>
      <c r="BB496" s="11"/>
      <c r="BC496" s="9"/>
      <c r="BD496" s="11"/>
      <c r="BE496" s="9"/>
      <c r="BF496" s="11"/>
      <c r="BG496" s="9"/>
      <c r="BH496" s="11"/>
      <c r="BI496" s="9"/>
      <c r="BJ496" s="11"/>
      <c r="BK496" s="9"/>
      <c r="BL496" s="11"/>
      <c r="BM496" s="9"/>
      <c r="BN496" s="11"/>
      <c r="BO496" s="9"/>
      <c r="BP496" s="11"/>
      <c r="BQ496" s="9"/>
      <c r="BR496" s="11"/>
      <c r="BS496" s="9"/>
      <c r="BT496" s="11"/>
      <c r="BU496" s="9"/>
      <c r="BV496" s="11"/>
      <c r="BW496" s="9"/>
      <c r="BX496" s="11"/>
      <c r="BY496" s="9"/>
      <c r="BZ496" s="11"/>
      <c r="CA496" s="9"/>
      <c r="CB496" s="11"/>
      <c r="CC496" s="9"/>
      <c r="CD496" s="11"/>
      <c r="CE496" s="9"/>
      <c r="CF496" s="11"/>
      <c r="CG496" s="9"/>
      <c r="CH496" s="11"/>
      <c r="CI496" s="9"/>
      <c r="CJ496" s="11"/>
      <c r="CK496" s="9"/>
      <c r="CL496" s="11"/>
      <c r="CM496" s="9"/>
      <c r="CN496" s="11"/>
      <c r="CO496" s="9"/>
      <c r="CP496" s="11"/>
      <c r="CQ496" s="9"/>
      <c r="CR496" s="11"/>
      <c r="CS496" s="9"/>
      <c r="CT496" s="11"/>
      <c r="CU496" s="9"/>
      <c r="CV496" s="11"/>
      <c r="CW496" s="9"/>
      <c r="CX496" s="11"/>
      <c r="CY496" s="9"/>
      <c r="CZ496" s="11"/>
      <c r="DA496" s="9"/>
      <c r="DB496" s="11"/>
      <c r="DC496" s="9"/>
      <c r="DD496" s="11"/>
      <c r="DE496" s="9"/>
      <c r="DF496" s="11"/>
      <c r="DG496" s="9"/>
      <c r="DH496" s="11"/>
      <c r="DI496" s="9"/>
      <c r="DJ496" s="11"/>
      <c r="DK496" s="9"/>
      <c r="DL496" s="11"/>
      <c r="DM496" s="9"/>
      <c r="DN496" s="11"/>
      <c r="DO496" s="9"/>
      <c r="DP496" s="11"/>
      <c r="DQ496" s="9"/>
      <c r="DR496" s="11"/>
      <c r="DS496" s="9"/>
      <c r="DT496" s="11"/>
      <c r="DU496" s="9"/>
      <c r="DV496" s="11"/>
      <c r="DW496" s="9"/>
      <c r="DX496" s="11"/>
      <c r="DY496" s="9"/>
      <c r="DZ496" s="11"/>
      <c r="EA496" s="9"/>
      <c r="EB496" s="11"/>
      <c r="EC496" s="9"/>
      <c r="ED496" s="11"/>
      <c r="EE496" s="9"/>
      <c r="EF496" s="11"/>
      <c r="EG496" s="9"/>
      <c r="EH496" s="11"/>
      <c r="EI496" s="9"/>
      <c r="EJ496" s="11"/>
      <c r="EK496" s="9"/>
      <c r="EL496" s="11"/>
      <c r="EM496" s="9"/>
      <c r="EN496" s="11"/>
      <c r="EO496" s="9"/>
      <c r="EP496" s="11"/>
      <c r="EQ496" s="9"/>
      <c r="ER496" s="11"/>
      <c r="ES496" s="9"/>
      <c r="ET496" s="11"/>
      <c r="EU496" s="9"/>
      <c r="EV496" s="11"/>
      <c r="EW496" s="9"/>
      <c r="EX496" s="11"/>
      <c r="EY496" s="11"/>
      <c r="EZ496" s="296"/>
      <c r="FA496" s="11"/>
      <c r="FB496" s="9"/>
      <c r="FC496" s="11"/>
      <c r="FD496" s="9"/>
      <c r="FE496" s="11"/>
      <c r="FF496" s="16"/>
      <c r="FG496" s="11"/>
      <c r="FH496" s="16"/>
      <c r="FI496" s="11"/>
      <c r="FJ496" s="16"/>
      <c r="FK496" s="11"/>
      <c r="FL496" s="16"/>
      <c r="FM496" s="11"/>
      <c r="FN496" s="16"/>
      <c r="FO496" s="11"/>
      <c r="FP496" s="9"/>
      <c r="FQ496" s="11"/>
      <c r="FR496" s="9"/>
      <c r="FS496" s="11"/>
      <c r="FT496" s="9"/>
      <c r="FU496" s="11"/>
      <c r="FV496" s="9"/>
      <c r="FW496" s="11"/>
      <c r="FX496" s="9"/>
      <c r="FY496" s="11"/>
      <c r="FZ496" s="9"/>
      <c r="GA496" s="11"/>
      <c r="GB496" s="9"/>
      <c r="GC496" s="11"/>
      <c r="GD496" s="9"/>
      <c r="GE496" s="11"/>
      <c r="GF496" s="9"/>
      <c r="GG496" s="11"/>
      <c r="GH496" s="9"/>
      <c r="GI496" s="11"/>
      <c r="GJ496" s="9"/>
      <c r="GK496" s="11"/>
      <c r="GL496" s="9"/>
      <c r="GM496" s="11"/>
      <c r="GN496" s="9"/>
      <c r="GO496" s="11"/>
      <c r="GP496" s="9"/>
      <c r="GQ496" s="11"/>
      <c r="GR496" s="9"/>
      <c r="GS496" s="11"/>
      <c r="GT496" s="9"/>
      <c r="GU496" s="11"/>
      <c r="GV496" s="9"/>
      <c r="GW496" s="11"/>
      <c r="GX496" s="9"/>
      <c r="GY496" s="11"/>
      <c r="GZ496" s="11"/>
      <c r="HA496" s="11"/>
      <c r="HB496" s="11"/>
      <c r="HC496"/>
      <c r="HD496"/>
      <c r="HE496"/>
      <c r="HF496"/>
      <c r="HG496"/>
      <c r="HH496"/>
      <c r="HI496" s="2"/>
    </row>
    <row r="497" spans="1:217" s="3" customFormat="1" ht="12.75" customHeight="1" x14ac:dyDescent="0.2">
      <c r="B497" s="89" t="s">
        <v>128</v>
      </c>
      <c r="C497" s="9"/>
      <c r="D497" s="11"/>
      <c r="E497" s="9"/>
      <c r="F497" s="11"/>
      <c r="G497" s="9"/>
      <c r="H497" s="11"/>
      <c r="I497" s="9"/>
      <c r="J497" s="11"/>
      <c r="K497" s="9"/>
      <c r="L497" s="11"/>
      <c r="M497" s="9"/>
      <c r="N497" s="11"/>
      <c r="O497" s="9"/>
      <c r="P497" s="11"/>
      <c r="Q497" s="9"/>
      <c r="R497" s="11"/>
      <c r="S497" s="9"/>
      <c r="T497" s="11"/>
      <c r="U497" s="9"/>
      <c r="V497" s="11"/>
      <c r="W497" s="9"/>
      <c r="X497" s="11"/>
      <c r="Y497" s="9"/>
      <c r="Z497" s="11"/>
      <c r="AA497" s="9"/>
      <c r="AB497" s="11"/>
      <c r="AC497" s="9"/>
      <c r="AD497" s="11"/>
      <c r="AE497" s="9"/>
      <c r="AF497" s="11"/>
      <c r="AG497" s="9"/>
      <c r="AH497" s="11"/>
      <c r="AI497" s="9"/>
      <c r="AJ497" s="11"/>
      <c r="AK497" s="9"/>
      <c r="AL497" s="11"/>
      <c r="AM497" s="9"/>
      <c r="AN497" s="11"/>
      <c r="AO497" s="9"/>
      <c r="AP497" s="11"/>
      <c r="AQ497" s="9"/>
      <c r="AR497" s="11"/>
      <c r="AS497" s="9"/>
      <c r="AT497" s="11"/>
      <c r="AU497" s="9"/>
      <c r="AV497" s="11"/>
      <c r="AW497" s="9"/>
      <c r="AX497" s="11"/>
      <c r="AY497" s="9"/>
      <c r="AZ497" s="11"/>
      <c r="BA497" s="9"/>
      <c r="BB497" s="11"/>
      <c r="BC497" s="9"/>
      <c r="BD497" s="11"/>
      <c r="BE497" s="9"/>
      <c r="BF497" s="11"/>
      <c r="BG497" s="9"/>
      <c r="BH497" s="11"/>
      <c r="BI497" s="9"/>
      <c r="BJ497" s="11"/>
      <c r="BK497" s="9"/>
      <c r="BL497" s="11"/>
      <c r="BM497" s="9"/>
      <c r="BN497" s="11"/>
      <c r="BO497" s="9"/>
      <c r="BP497" s="11"/>
      <c r="BQ497" s="9"/>
      <c r="BR497" s="11"/>
      <c r="BS497" s="9"/>
      <c r="BT497" s="11"/>
      <c r="BU497" s="9"/>
      <c r="BV497" s="11"/>
      <c r="BW497" s="9"/>
      <c r="BX497" s="11"/>
      <c r="BY497" s="9"/>
      <c r="BZ497" s="11"/>
      <c r="CA497" s="9"/>
      <c r="CB497" s="11"/>
      <c r="CC497" s="9"/>
      <c r="CD497" s="11"/>
      <c r="CE497" s="9"/>
      <c r="CF497" s="11"/>
      <c r="CG497" s="9"/>
      <c r="CH497" s="11"/>
      <c r="CI497" s="9"/>
      <c r="CJ497" s="11"/>
      <c r="CK497" s="9"/>
      <c r="CL497" s="11"/>
      <c r="CM497" s="9"/>
      <c r="CN497" s="11"/>
      <c r="CO497" s="9"/>
      <c r="CP497" s="11"/>
      <c r="CQ497" s="9"/>
      <c r="CR497" s="11"/>
      <c r="CS497" s="9"/>
      <c r="CT497" s="11"/>
      <c r="CU497" s="9"/>
      <c r="CV497" s="11"/>
      <c r="CW497" s="9"/>
      <c r="CX497" s="11"/>
      <c r="CY497" s="9"/>
      <c r="CZ497" s="11"/>
      <c r="DA497" s="9"/>
      <c r="DB497" s="11"/>
      <c r="DC497" s="9"/>
      <c r="DD497" s="11"/>
      <c r="DE497" s="9"/>
      <c r="DF497" s="11"/>
      <c r="DG497" s="9"/>
      <c r="DH497" s="11"/>
      <c r="DI497" s="9"/>
      <c r="DJ497" s="11"/>
      <c r="DK497" s="9"/>
      <c r="DL497" s="11"/>
      <c r="DM497" s="9"/>
      <c r="DN497" s="11"/>
      <c r="DO497" s="9"/>
      <c r="DP497" s="11"/>
      <c r="DQ497" s="9"/>
      <c r="DR497" s="11"/>
      <c r="DS497" s="9"/>
      <c r="DT497" s="11"/>
      <c r="DU497" s="9"/>
      <c r="DV497" s="11"/>
      <c r="DW497" s="9"/>
      <c r="DX497" s="11"/>
      <c r="DY497" s="9"/>
      <c r="DZ497" s="11"/>
      <c r="EA497" s="9"/>
      <c r="EB497" s="11"/>
      <c r="EC497" s="9"/>
      <c r="ED497" s="11"/>
      <c r="EE497" s="9"/>
      <c r="EF497" s="11"/>
      <c r="EG497" s="9"/>
      <c r="EH497" s="11"/>
      <c r="EI497" s="9"/>
      <c r="EJ497" s="11"/>
      <c r="EK497" s="9"/>
      <c r="EL497" s="11"/>
      <c r="EM497" s="9"/>
      <c r="EN497" s="11"/>
      <c r="EO497" s="9"/>
      <c r="EP497" s="11"/>
      <c r="EQ497" s="9"/>
      <c r="ER497" s="11"/>
      <c r="ES497" s="9"/>
      <c r="ET497" s="11"/>
      <c r="EU497" s="9"/>
      <c r="EV497" s="11"/>
      <c r="EW497" s="9"/>
      <c r="EX497" s="11"/>
      <c r="EY497" s="11"/>
      <c r="EZ497" s="296"/>
      <c r="FA497" s="11"/>
      <c r="FB497" s="9"/>
      <c r="FC497" s="11"/>
      <c r="FD497" s="9"/>
      <c r="FE497" s="11"/>
      <c r="FF497" s="16"/>
      <c r="FG497" s="11"/>
      <c r="FH497" s="16"/>
      <c r="FI497" s="11"/>
      <c r="FJ497" s="16"/>
      <c r="FK497" s="11"/>
      <c r="FL497" s="16"/>
      <c r="FM497" s="11"/>
      <c r="FN497" s="16"/>
      <c r="FO497" s="11"/>
      <c r="FP497" s="9"/>
      <c r="FQ497" s="11"/>
      <c r="FR497" s="9"/>
      <c r="FS497" s="11"/>
      <c r="FT497" s="9"/>
      <c r="FU497" s="11"/>
      <c r="FV497" s="9"/>
      <c r="FW497" s="11"/>
      <c r="FX497" s="9"/>
      <c r="FY497" s="11"/>
      <c r="FZ497" s="9"/>
      <c r="GA497" s="11"/>
      <c r="GB497" s="9"/>
      <c r="GC497" s="11"/>
      <c r="GD497" s="9"/>
      <c r="GE497" s="11"/>
      <c r="GF497" s="9"/>
      <c r="GG497" s="11"/>
      <c r="GH497" s="9"/>
      <c r="GI497" s="11"/>
      <c r="GJ497" s="9"/>
      <c r="GK497" s="11"/>
      <c r="GL497" s="9"/>
      <c r="GM497" s="11"/>
      <c r="GN497" s="9"/>
      <c r="GO497" s="11"/>
      <c r="GP497" s="9"/>
      <c r="GQ497" s="11"/>
      <c r="GR497" s="9"/>
      <c r="GS497" s="11"/>
      <c r="GT497" s="9"/>
      <c r="GU497" s="11"/>
      <c r="GV497" s="9"/>
      <c r="GW497" s="11"/>
      <c r="GX497" s="9"/>
      <c r="GY497" s="11"/>
      <c r="GZ497" s="11"/>
      <c r="HA497" s="11"/>
      <c r="HB497" s="11"/>
      <c r="HC497"/>
      <c r="HD497"/>
      <c r="HE497"/>
      <c r="HF497"/>
      <c r="HG497"/>
      <c r="HH497"/>
      <c r="HI497" s="2"/>
    </row>
    <row r="498" spans="1:217" s="3" customFormat="1" ht="12.75" customHeight="1" x14ac:dyDescent="0.2">
      <c r="B498" s="77" t="s">
        <v>334</v>
      </c>
      <c r="C498" s="145"/>
      <c r="D498" s="11"/>
      <c r="E498" s="145"/>
      <c r="F498" s="11"/>
      <c r="G498" s="145"/>
      <c r="H498" s="11"/>
      <c r="I498" s="145"/>
      <c r="J498" s="11"/>
      <c r="K498" s="145"/>
      <c r="L498" s="72"/>
      <c r="M498" s="145"/>
      <c r="N498" s="72"/>
      <c r="O498" s="145"/>
      <c r="P498" s="72"/>
      <c r="Q498" s="145"/>
      <c r="R498" s="72"/>
      <c r="S498" s="145">
        <v>2212</v>
      </c>
      <c r="T498" s="72" t="str">
        <f>IF(ISERROR(S498/K498),"NA",IF(OR(S498/K498&gt;2,S498/K498&lt;0.5),"NM",S498/K498*100-100))</f>
        <v>NA</v>
      </c>
      <c r="U498" s="145">
        <v>1815</v>
      </c>
      <c r="V498" s="72" t="str">
        <f>IF(ISERROR(U498/M498),"NA",IF(OR(U498/M498&gt;2,U498/M498&lt;0.5),"NM",U498/M498*100-100))</f>
        <v>NA</v>
      </c>
      <c r="W498" s="145">
        <v>1870</v>
      </c>
      <c r="X498" s="72" t="str">
        <f>IF(ISERROR(W498/O498),"NA",IF(OR(W498/O498&gt;2,W498/O498&lt;0.5),"NM",W498/O498*100-100))</f>
        <v>NA</v>
      </c>
      <c r="Y498" s="145">
        <v>1961</v>
      </c>
      <c r="Z498" s="72" t="str">
        <f>IF(ISERROR(Y498/Q498),"NA",IF(OR(Y498/Q498&gt;2,Y498/Q498&lt;0.5),"NM",Y498/Q498*100-100))</f>
        <v>NA</v>
      </c>
      <c r="AA498" s="145">
        <f>AA107+AA227+AA187+AA364+AA402</f>
        <v>2002</v>
      </c>
      <c r="AB498" s="72">
        <f>IF(ISERROR(AA498/S498),"NA",IF(OR(AA498/S498&gt;2,AA498/S498&lt;0.5),"NM",AA498/S498*100-100))</f>
        <v>-9.4936708860759467</v>
      </c>
      <c r="AC498" s="145">
        <f>AC107+AC227+AC187+AC364+AC402</f>
        <v>1974</v>
      </c>
      <c r="AD498" s="72">
        <f>IF(ISERROR(AC498/U498),"NA",IF(OR(AC498/U498&gt;2,AC498/U498&lt;0.5),"NM",AC498/U498*100-100))</f>
        <v>8.760330578512395</v>
      </c>
      <c r="AE498" s="145">
        <f>AE107+AE227+AE187+AE364+AE402</f>
        <v>1967</v>
      </c>
      <c r="AF498" s="72">
        <f>IF(ISERROR(AE498/W498),"NA",IF(OR(AE498/W498&gt;2,AE498/W498&lt;0.5),"NM",AE498/W498*100-100))</f>
        <v>5.1871657754010556</v>
      </c>
      <c r="AG498" s="145">
        <f>AG107+AG227+AG187+AG364+AG402</f>
        <v>2026</v>
      </c>
      <c r="AH498" s="72">
        <f>IF(ISERROR(AG498/Y498),"NA",IF(OR(AG498/Y498&gt;2,AG498/Y498&lt;0.5),"NM",AG498/Y498*100-100))</f>
        <v>3.3146353901070853</v>
      </c>
      <c r="AI498" s="145">
        <f>AI107+AI227+AI187+AI364+AI402</f>
        <v>2154</v>
      </c>
      <c r="AJ498" s="72">
        <f>IF(ISERROR(AI498/AA498),"NA",IF(OR(AI498/AA498&gt;2,AI498/AA498&lt;0.5),"NM",AI498/AA498*100-100))</f>
        <v>7.5924075924075964</v>
      </c>
      <c r="AK498" s="145">
        <f>AK107+AK227+AK187+AK364+AK402</f>
        <v>2154</v>
      </c>
      <c r="AL498" s="72">
        <f>IF(ISERROR(AK498/AC498),"NA",IF(OR(AK498/AC498&gt;2,AK498/AC498&lt;0.5),"NM",AK498/AC498*100-100))</f>
        <v>9.1185410334346528</v>
      </c>
      <c r="AM498" s="145">
        <f>AM107+AM227+AM187+AM364+AM402</f>
        <v>2136</v>
      </c>
      <c r="AN498" s="72">
        <f>IF(ISERROR(AM498/AE498),"NA",IF(OR(AM498/AE498&gt;2,AM498/AE498&lt;0.5),"NM",AM498/AE498*100-100))</f>
        <v>8.5917641077783315</v>
      </c>
      <c r="AO498" s="145">
        <f>AO107+AO227+AO187+AO364+AO402</f>
        <v>2170</v>
      </c>
      <c r="AP498" s="72">
        <f>IF(ISERROR(AO498/AG498),"NA",IF(OR(AO498/AG498&gt;2,AO498/AG498&lt;0.5),"NM",AO498/AG498*100-100))</f>
        <v>7.1076011846001848</v>
      </c>
      <c r="AQ498" s="145">
        <f>AQ107+AQ227+AQ187+AQ364+AQ402</f>
        <v>2483</v>
      </c>
      <c r="AR498" s="72">
        <f>IF(ISERROR(AQ498/AI498),"NA",IF(OR(AQ498/AI498&gt;2,AQ498/AI498&lt;0.5),"NM",AQ498/AI498*100-100))</f>
        <v>15.273909006499537</v>
      </c>
      <c r="AS498" s="145">
        <f>AS107+AS227+AS187+AS364+AS402</f>
        <v>2555</v>
      </c>
      <c r="AT498" s="72">
        <f>IF(ISERROR(AS498/AK498),"NA",IF(OR(AS498/AK498&gt;2,AS498/AK498&lt;0.5),"NM",AS498/AK498*100-100))</f>
        <v>18.616527390900643</v>
      </c>
      <c r="AU498" s="145">
        <f>AU107+AU227+AU187+AU364+AU402</f>
        <v>2551</v>
      </c>
      <c r="AV498" s="72">
        <f>IF(ISERROR(AU498/AM498),"NA",IF(OR(AU498/AM498&gt;2,AU498/AM498&lt;0.5),"NM",AU498/AM498*100-100))</f>
        <v>19.428838951310865</v>
      </c>
      <c r="AW498" s="145">
        <f>AW107+AW227+AW187+AW364+AW402</f>
        <v>2414</v>
      </c>
      <c r="AX498" s="72">
        <f>IF(ISERROR(AW498/AO498),"NA",IF(OR(AW498/AO498&gt;2,AW498/AO498&lt;0.5),"NM",AW498/AO498*100-100))</f>
        <v>11.244239631336399</v>
      </c>
      <c r="AY498" s="145">
        <f>AY107+AY227+AY187+AY364+AY402</f>
        <v>2592</v>
      </c>
      <c r="AZ498" s="72">
        <f>IF(ISERROR(AY498/AQ498),"NA",IF(OR(AY498/AQ498&gt;2,AY498/AQ498&lt;0.5),"NM",AY498/AQ498*100-100))</f>
        <v>4.3898509867096323</v>
      </c>
      <c r="BA498" s="145">
        <f>BA107+BA227+BA187+BA364+BA402</f>
        <v>2536</v>
      </c>
      <c r="BB498" s="72">
        <f>IF(ISERROR(BA498/AS498),"NA",IF(OR(BA498/AS498&gt;2,BA498/AS498&lt;0.5),"NM",BA498/AS498*100-100))</f>
        <v>-0.74363992172212079</v>
      </c>
      <c r="BC498" s="145">
        <f>BC107+BC227+BC187+BC364+BC402</f>
        <v>2523</v>
      </c>
      <c r="BD498" s="72">
        <f>IF(ISERROR(BC498/AU498),"NA",IF(OR(BC498/AU498&gt;2,BC498/AU498&lt;0.5),"NM",BC498/AU498*100-100))</f>
        <v>-1.0976087808702459</v>
      </c>
      <c r="BE498" s="145">
        <f>BE107+BE227+BE187+BE364+BE402</f>
        <v>2574</v>
      </c>
      <c r="BF498" s="72">
        <f>IF(ISERROR(BE498/AW498),"NA",IF(OR(BE498/AW498&gt;2,BE498/AW498&lt;0.5),"NM",BE498/AW498*100-100))</f>
        <v>6.6280033140016599</v>
      </c>
      <c r="BG498" s="145">
        <f>BG107+BG227+BG187+BG364+BG402</f>
        <v>2701</v>
      </c>
      <c r="BH498" s="72">
        <f>IF(ISERROR(BG498/AY498),"NA",IF(OR(BG498/AY498&gt;2,BG498/AY498&lt;0.5),"NM",BG498/AY498*100-100))</f>
        <v>4.2052469135802397</v>
      </c>
      <c r="BI498" s="145">
        <f>BI107+BI227+BI187+BI364+BI402</f>
        <v>2666</v>
      </c>
      <c r="BJ498" s="72">
        <f>IF(ISERROR(BI498/BA498),"NA",IF(OR(BI498/BA498&gt;2,BI498/BA498&lt;0.5),"NM",BI498/BA498*100-100))</f>
        <v>5.1261829652996767</v>
      </c>
      <c r="BK498" s="145">
        <f>BK107+BK227+BK187+BK364+BK402</f>
        <v>2666</v>
      </c>
      <c r="BL498" s="72">
        <f>IF(ISERROR(BK498/BC498),"NA",IF(OR(BK498/BC498&gt;2,BK498/BC498&lt;0.5),"NM",BK498/BC498*100-100))</f>
        <v>5.667855727308762</v>
      </c>
      <c r="BM498" s="145">
        <f>BM107+BM227+BM187+BM364+BM402</f>
        <v>2700</v>
      </c>
      <c r="BN498" s="72">
        <f>IF(ISERROR(BM498/BE498),"NA",IF(OR(BM498/BE498&gt;2,BM498/BE498&lt;0.5),"NM",BM498/BE498*100-100))</f>
        <v>4.8951048951048932</v>
      </c>
      <c r="BO498" s="145">
        <f>BO107+BO227+BO187+BO364+BO402</f>
        <v>3087</v>
      </c>
      <c r="BP498" s="72">
        <f>IF(ISERROR(BO498/BG498),"NA",IF(OR(BO498/BG498&gt;2,BO498/BG498&lt;0.5),"NM",BO498/BG498*100-100))</f>
        <v>14.291003332099223</v>
      </c>
      <c r="BQ498" s="145">
        <f>BQ107+BQ227+BQ187+BQ364+BQ402</f>
        <v>2950</v>
      </c>
      <c r="BR498" s="72">
        <f>IF(ISERROR(BQ498/BI498),"NA",IF(OR(BQ498/BI498&gt;2,BQ498/BI498&lt;0.5),"NM",BQ498/BI498*100-100))</f>
        <v>10.652663165791452</v>
      </c>
      <c r="BS498" s="145">
        <f>BS107+BS227+BS187+BS364+BS402</f>
        <v>2783</v>
      </c>
      <c r="BT498" s="72">
        <f>IF(ISERROR(BS498/BK498),"NA",IF(OR(BS498/BK498&gt;2,BS498/BK498&lt;0.5),"NM",BS498/BK498*100-100))</f>
        <v>4.388597149287321</v>
      </c>
      <c r="BU498" s="145">
        <f>BU107+BU227+BU187+BU364+BU402</f>
        <v>2984</v>
      </c>
      <c r="BV498" s="72">
        <f>IF(ISERROR(BU498/BM498),"NA",IF(OR(BU498/BM498&gt;2,BU498/BM498&lt;0.5),"NM",BU498/BM498*100-100))</f>
        <v>10.518518518518533</v>
      </c>
      <c r="BW498" s="145">
        <f>BW107+BW227+BW187+BW364+BW402</f>
        <v>3247</v>
      </c>
      <c r="BX498" s="72">
        <f>IF(ISERROR(BW498/BO498),"NA",IF(OR(BW498/BO498&gt;2,BW498/BO498&lt;0.5),"NM",BW498/BO498*100-100))</f>
        <v>5.1830255911888656</v>
      </c>
      <c r="BY498" s="145">
        <f>BY107+BY227+BY187+BY364+BY402</f>
        <v>3312</v>
      </c>
      <c r="BZ498" s="72">
        <f>IF(ISERROR(BY498/BQ498),"NA",IF(OR(BY498/BQ498&gt;2,BY498/BQ498&lt;0.5),"NM",BY498/BQ498*100-100))</f>
        <v>12.27118644067798</v>
      </c>
      <c r="CA498" s="145">
        <f>CA107+CA227+CA187+CA364+CA402</f>
        <v>3331</v>
      </c>
      <c r="CB498" s="72">
        <f>IF(ISERROR(CA498/BS498),"NA",IF(OR(CA498/BS498&gt;2,CA498/BS498&lt;0.5),"NM",CA498/BS498*100-100))</f>
        <v>19.690980955803084</v>
      </c>
      <c r="CC498" s="145">
        <f>CC107+CC227+CC187+CC364+CC402</f>
        <v>3327</v>
      </c>
      <c r="CD498" s="72">
        <f>IF(ISERROR(CC498/BU498),"NA",IF(OR(CC498/BU498&gt;2,CC498/BU498&lt;0.5),"NM",CC498/BU498*100-100))</f>
        <v>11.494638069705104</v>
      </c>
      <c r="CE498" s="145">
        <f>CE107+CE227+CE187+CE364+CE402</f>
        <v>3492</v>
      </c>
      <c r="CF498" s="72">
        <f>IF(ISERROR(CE498/BW498),"NA",IF(OR(CE498/BW498&gt;2,CE498/BW498&lt;0.5),"NM",CE498/BW498*100-100))</f>
        <v>7.5454265475823945</v>
      </c>
      <c r="CG498" s="145">
        <f>CG107+CG227+CG187+CG364+CG402</f>
        <v>3765</v>
      </c>
      <c r="CH498" s="72">
        <f>IF(ISERROR(CG498/BY498),"NA",IF(OR(CG498/BY498&gt;2,CG498/BY498&lt;0.5),"NM",CG498/BY498*100-100))</f>
        <v>13.677536231884062</v>
      </c>
      <c r="CI498" s="145">
        <f>CI107+CI227+CI187+CI364+CI402</f>
        <v>3919</v>
      </c>
      <c r="CJ498" s="72">
        <f>IF(ISERROR(CI498/CA498),"NA",IF(OR(CI498/CA498&gt;2,CI498/CA498&lt;0.5),"NM",CI498/CA498*100-100))</f>
        <v>17.652356649654763</v>
      </c>
      <c r="CK498" s="145">
        <f>CK107+CK227+CK187+CK364+CK402</f>
        <v>3905</v>
      </c>
      <c r="CL498" s="72">
        <f>IF(ISERROR(CK498/CC498),"NA",IF(OR(CK498/CC498&gt;2,CK498/CC498&lt;0.5),"NM",CK498/CC498*100-100))</f>
        <v>17.373008716561472</v>
      </c>
      <c r="CM498" s="145">
        <f>CM107+CM227+CM187+CM364+CM402</f>
        <v>4788</v>
      </c>
      <c r="CN498" s="72">
        <f>IF(ISERROR(CM498/CE498),"NA",IF(OR(CM498/CE498&gt;2,CM498/CE498&lt;0.5),"NM",CM498/CE498*100-100))</f>
        <v>37.11340206185568</v>
      </c>
      <c r="CO498" s="145">
        <f>CO107+CO227+CO187+CO364+CO402</f>
        <v>5477</v>
      </c>
      <c r="CP498" s="72">
        <f>IF(ISERROR(CO498/CG498),"NA",IF(OR(CO498/CG498&gt;2,CO498/CG498&lt;0.5),"NM",CO498/CG498*100-100))</f>
        <v>45.471447543160679</v>
      </c>
      <c r="CQ498" s="145">
        <f>CQ107+CQ227+CQ187+CQ364+CQ402</f>
        <v>5301</v>
      </c>
      <c r="CR498" s="72">
        <f>IF(ISERROR(CQ498/CI498),"NA",IF(OR(CQ498/CI498&gt;2,CQ498/CI498&lt;0.5),"NM",CQ498/CI498*100-100))</f>
        <v>35.264097984179642</v>
      </c>
      <c r="CS498" s="145">
        <f>CS107+CS227+CS187+CS364+CS402</f>
        <v>5527</v>
      </c>
      <c r="CT498" s="72">
        <f>IF(ISERROR(CS498/CK498),"NA",IF(OR(CS498/CK498&gt;2,CS498/CK498&lt;0.5),"NM",CS498/CK498*100-100))</f>
        <v>41.536491677336755</v>
      </c>
      <c r="CU498" s="145">
        <f>CU107+CU227+CU187+CU364+CU402</f>
        <v>5963</v>
      </c>
      <c r="CV498" s="72">
        <f>IF(ISERROR(CU498/CM498),"NA",IF(OR(CU498/CM498&gt;2,CU498/CM498&lt;0.5),"NM",CU498/CM498*100-100))</f>
        <v>24.5405179615706</v>
      </c>
      <c r="CW498" s="145">
        <f>CW107+CW227+CW187+CW364+CW402</f>
        <v>6675</v>
      </c>
      <c r="CX498" s="72">
        <f>IF(ISERROR(CW498/CO498),"NA",IF(OR(CW498/CO498&gt;2,CW498/CO498&lt;0.5),"NM",CW498/CO498*100-100))</f>
        <v>21.873288296512698</v>
      </c>
      <c r="CY498" s="145">
        <f>CY107+CY227+CY187+CY364+CY402</f>
        <v>8246</v>
      </c>
      <c r="CZ498" s="72">
        <f>IF(ISERROR(CY498/CQ498),"NA",IF(OR(CY498/CQ498&gt;2,CY498/CQ498&lt;0.5),"NM",CY498/CQ498*100-100))</f>
        <v>55.555555555555571</v>
      </c>
      <c r="DA498" s="145">
        <f>DA107+DA227+DA187+DA364+DA402</f>
        <v>41130</v>
      </c>
      <c r="DB498" s="72" t="str">
        <f>IF(ISERROR(DA498/CS498),"NA",IF(OR(DA498/CS498&gt;2,DA498/CS498&lt;0.5),"NM",DA498/CS498*100-100))</f>
        <v>NM</v>
      </c>
      <c r="DC498" s="145">
        <f>DC107+DC227+DC187+DC364+DC402</f>
        <v>6314</v>
      </c>
      <c r="DD498" s="72">
        <f>IF(ISERROR(DC498/CU498),"NA",IF(OR(DC498/CU498&gt;2,DC498/CU498&lt;0.5),"NM",DC498/CU498*100-100))</f>
        <v>5.8862988428643348</v>
      </c>
      <c r="DE498" s="145">
        <f>DE107+DE227+DE187+DE364+DE402</f>
        <v>6091</v>
      </c>
      <c r="DF498" s="72">
        <f>IF(ISERROR(DE498/CW498),"NA",IF(OR(DE498/CW498&gt;2,DE498/CW498&lt;0.5),"NM",DE498/CW498*100-100))</f>
        <v>-8.7490636704119851</v>
      </c>
      <c r="DG498" s="145">
        <f>DG107+DG227+DG187+DG364+DG402</f>
        <v>5395</v>
      </c>
      <c r="DH498" s="72">
        <f>IF(ISERROR(DG498/CY498),"NA",IF(OR(DG498/CY498&gt;2,DG498/CY498&lt;0.5),"NM",DG498/CY498*100-100))</f>
        <v>-34.574339073490179</v>
      </c>
      <c r="DI498" s="145">
        <f>DI107+DI227+DI187+DI364+DI402</f>
        <v>5235</v>
      </c>
      <c r="DJ498" s="72" t="str">
        <f>IF(ISERROR(DI498/DA498),"NA",IF(OR(DI498/DA498&gt;2,DI498/DA498&lt;0.5),"NM",DI498/DA498*100-100))</f>
        <v>NM</v>
      </c>
      <c r="DK498" s="145">
        <f>DK107+DK227+DK187+DK364+DK402</f>
        <v>5104</v>
      </c>
      <c r="DL498" s="72">
        <f>IF(ISERROR(DK498/DC498),"NA",IF(OR(DK498/DC498&gt;2,DK498/DC498&lt;0.5),"NM",DK498/DC498*100-100))</f>
        <v>-19.163763066202094</v>
      </c>
      <c r="DM498" s="145">
        <f>DM107+DM227+DM187+DM364+DM402</f>
        <v>5236</v>
      </c>
      <c r="DN498" s="72">
        <f t="shared" ref="DN498:DZ502" si="2368">IF(ISERROR(DM498/DE498),"NA",IF(OR(DM498/DE498&gt;2,DM498/DE498&lt;0.5),"NM",DM498/DE498*100-100))</f>
        <v>-14.037103923822031</v>
      </c>
      <c r="DO498" s="145">
        <f>DO107+DO227+DO187+DO364+DO402</f>
        <v>5921</v>
      </c>
      <c r="DP498" s="72">
        <f t="shared" si="2368"/>
        <v>9.7497683039851779</v>
      </c>
      <c r="DQ498" s="145">
        <f>DQ107+DQ227+DQ187+DQ364+DQ402</f>
        <v>9866</v>
      </c>
      <c r="DR498" s="72">
        <f t="shared" si="2368"/>
        <v>88.462273161413549</v>
      </c>
      <c r="DS498" s="145">
        <f>DS107+DS227+DS187+DS364+DS402</f>
        <v>5891</v>
      </c>
      <c r="DT498" s="72">
        <f t="shared" si="2368"/>
        <v>15.419278996865188</v>
      </c>
      <c r="DU498" s="145">
        <f>DU107+DU227+DU187+DU364+DU402</f>
        <v>6741</v>
      </c>
      <c r="DV498" s="72">
        <f t="shared" si="2368"/>
        <v>28.743315508021396</v>
      </c>
      <c r="DW498" s="145">
        <f>DW107+DW227+DW187+DW364+DW402</f>
        <v>5248</v>
      </c>
      <c r="DX498" s="72">
        <f t="shared" si="2368"/>
        <v>-11.366323256206726</v>
      </c>
      <c r="DY498" s="145">
        <f>DY107+DY227+DY187+DY364+DY402</f>
        <v>7473</v>
      </c>
      <c r="DZ498" s="72">
        <f t="shared" si="2368"/>
        <v>-24.255017230893984</v>
      </c>
      <c r="EA498" s="145">
        <f>EA107+EA227+EA187+EA364+EA402</f>
        <v>5554</v>
      </c>
      <c r="EB498" s="72">
        <f>IF(ISERROR(EA498/DS498),"NA",IF(OR(EA498/DS498&gt;2,EA498/DS498&lt;0.5),"NM",EA498/DS498*100-100))</f>
        <v>-5.7205907316245117</v>
      </c>
      <c r="EC498" s="145">
        <f>EC107+EC227+EC187+EC364+EC402</f>
        <v>6107</v>
      </c>
      <c r="ED498" s="72">
        <f>IF(ISERROR(EC498/DU498),"NA",IF(OR(EC498/DU498&gt;2,EC498/DU498&lt;0.5),"NM",EC498/DU498*100-100))</f>
        <v>-9.4051327696187457</v>
      </c>
      <c r="EE498" s="145">
        <f>EE107+EE227+EE187+EE364+EE402</f>
        <v>8901</v>
      </c>
      <c r="EF498" s="72">
        <f>IF(ISERROR(EE498/DW498),"NA",IF(OR(EE498/DW498&gt;2,EE498/DW498&lt;0.5),"NM",EE498/DW498*100-100))</f>
        <v>69.607469512195109</v>
      </c>
      <c r="EG498" s="145">
        <f>EG107+EG227+EG187+EG364+EG402</f>
        <v>7259</v>
      </c>
      <c r="EH498" s="72">
        <f>IF(ISERROR(EG498/DY498),"NA",IF(OR(EG498/DY498&gt;2,EG498/DY498&lt;0.5),"NM",EG498/DY498*100-100))</f>
        <v>-2.863642446139437</v>
      </c>
      <c r="EI498" s="145">
        <f>EI107+EI227+EI187+EI364+EI402</f>
        <v>5742</v>
      </c>
      <c r="EJ498" s="72">
        <f>IF(ISERROR(EI498/EA498),"NA",IF(OR(EI498/EA498&gt;2,EI498/EA498&lt;0.5),"NM",EI498/EA498*100-100))</f>
        <v>3.384947785379893</v>
      </c>
      <c r="EK498" s="145">
        <f>EK107+EK227+EK187+EK364+EK402</f>
        <v>7521</v>
      </c>
      <c r="EL498" s="72">
        <f>IF(ISERROR(EK498/EC498),"NA",IF(OR(EK498/EC498&gt;2,EK498/EC498&lt;0.5),"NM",EK498/EC498*100-100))</f>
        <v>23.153757982642873</v>
      </c>
      <c r="EM498" s="145">
        <f>EM107+EM227+EM187+EM364+EM402</f>
        <v>7076</v>
      </c>
      <c r="EN498" s="72">
        <f>IF(ISERROR(EM498/EE498),"NA",IF(OR(EM498/EE498&gt;2,EM498/EE498&lt;0.5),"NM",EM498/EE498*100-100))</f>
        <v>-20.503314234355685</v>
      </c>
      <c r="EO498" s="145">
        <f>EO107+EO227+EO187+EO364+EO402</f>
        <v>8699</v>
      </c>
      <c r="EP498" s="72">
        <f>IF(ISERROR(EO498/EG498),"NA",IF(OR(EO498/EG498&gt;2,EO498/EG498&lt;0.5),"NM",EO498/EG498*100-100))</f>
        <v>19.837443173990891</v>
      </c>
      <c r="EQ498" s="144">
        <f>EQ107+EQ227+EQ187+EQ364+EQ402</f>
        <v>7318.6868468468474</v>
      </c>
      <c r="ER498" s="72">
        <f t="shared" ref="ER498:ER502" si="2369">IF(ISERROR(EQ498/EI498),"NA",IF(OR(EQ498/EI498&gt;2,EQ498/EI498&lt;0.5),"NM",EQ498/EI498*100-100))</f>
        <v>27.458844424361686</v>
      </c>
      <c r="ES498" s="144">
        <f>ES107+ES227+ES187+ES364+ES402</f>
        <v>7429.1199621621618</v>
      </c>
      <c r="ET498" s="72">
        <f t="shared" ref="ET498:ET502" si="2370">IF(ISERROR(ES498/EK498),"NA",IF(OR(ES498/EK498&gt;2,ES498/EK498&lt;0.5),"NM",ES498/EK498*100-100))</f>
        <v>-1.2216465608009344</v>
      </c>
      <c r="EU498" s="144">
        <f>EU107+EU227+EU187+EU364+EU402</f>
        <v>7309.1733050270268</v>
      </c>
      <c r="EV498" s="72">
        <f t="shared" ref="EV498:EV502" si="2371">IF(ISERROR(EU498/EM498),"NA",IF(OR(EU498/EM498&gt;2,EU498/EM498&lt;0.5),"NM",EU498/EM498*100-100))</f>
        <v>3.2952699975554935</v>
      </c>
      <c r="EW498" s="144">
        <f>EW107+EW227+EW187+EW364+EW402</f>
        <v>7273.8646569962166</v>
      </c>
      <c r="EX498" s="72">
        <f t="shared" ref="EX498:EX502" si="2372">IF(ISERROR(EW498/EO498),"NA",IF(OR(EW498/EO498&gt;2,EW498/EO498&lt;0.5),"NM",EW498/EO498*100-100))</f>
        <v>-16.382749086145338</v>
      </c>
      <c r="EY498" s="72"/>
      <c r="EZ498" s="296"/>
      <c r="FA498" s="72"/>
      <c r="FB498" s="9"/>
      <c r="FC498" s="11"/>
      <c r="FD498" s="9"/>
      <c r="FE498" s="72"/>
      <c r="FF498" s="16"/>
      <c r="FG498" s="72"/>
      <c r="FH498" s="144"/>
      <c r="FI498" s="72"/>
      <c r="FJ498" s="144">
        <f>FJ107+FJ227+FJ187+FJ364+FJ402</f>
        <v>7405</v>
      </c>
      <c r="FK498" s="72" t="str">
        <f>IF(ISERROR(FJ498/FH498),"NA",IF(OR(FJ498/FH498&gt;2,FJ498/FH498&lt;0.5),"NM",FJ498/FH498*100-100))</f>
        <v>NA</v>
      </c>
      <c r="FL498" s="144">
        <f>FL107+FL227+FL187+FL364+FL402</f>
        <v>7969</v>
      </c>
      <c r="FM498" s="72">
        <f>IF(ISERROR(FL498/FJ498),"NA",IF(OR(FL498/FJ498&gt;2,FL498/FJ498&lt;0.5),"NM",FL498/FJ498*100-100))</f>
        <v>7.6164753544902197</v>
      </c>
      <c r="FN498" s="144">
        <f>FN107+FN227+FN187+FN364+FN402</f>
        <v>8614</v>
      </c>
      <c r="FO498" s="72">
        <f>IF(ISERROR(FN498/FL498),"NA",IF(OR(FN498/FL498&gt;2,FN498/FL498&lt;0.5),"NM",FN498/FL498*100-100))</f>
        <v>8.0938637219224461</v>
      </c>
      <c r="FP498" s="144">
        <f>FP107+FP227+FP187+FP364+FP402</f>
        <v>10003</v>
      </c>
      <c r="FQ498" s="72">
        <f>IF(ISERROR(FP498/FN498),"NA",IF(OR(FP498/FN498&gt;2,FP498/FN498&lt;0.5),"NM",FP498/FN498*100-100))</f>
        <v>16.124912932435564</v>
      </c>
      <c r="FR498" s="144">
        <f>FR107+FR227+FR187+FR364+FR402</f>
        <v>10225</v>
      </c>
      <c r="FS498" s="72">
        <f>IF(ISERROR(FR498/FP498),"NA",IF(OR(FR498/FP498&gt;2,FR498/FP498&lt;0.5),"NM",FR498/FP498*100-100))</f>
        <v>2.2193341997400751</v>
      </c>
      <c r="FT498" s="144">
        <f>FT107+FT227+FT187+FT364+FT402</f>
        <v>10733</v>
      </c>
      <c r="FU498" s="72">
        <f>IF(ISERROR(FT498/FR498),"NA",IF(OR(FT498/FR498&gt;2,FT498/FR498&lt;0.5),"NM",FT498/FR498*100-100))</f>
        <v>4.9682151589242096</v>
      </c>
      <c r="FV498" s="144">
        <f>FV107+FV227+FV187+FV364+FV402</f>
        <v>11795</v>
      </c>
      <c r="FW498" s="72">
        <f>IF(ISERROR(FV498/FT498),"NA",IF(OR(FV498/FT498&gt;2,FV498/FT498&lt;0.5),"NM",FV498/FT498*100-100))</f>
        <v>9.8947172272430919</v>
      </c>
      <c r="FX498" s="144">
        <f>FX107+FX227+FX187+FX364+FX402</f>
        <v>13174</v>
      </c>
      <c r="FY498" s="72">
        <f>IF(ISERROR(FX498/FV498),"NA",IF(OR(FX498/FV498&gt;2,FX498/FV498&lt;0.5),"NM",FX498/FV498*100-100))</f>
        <v>11.691394658753708</v>
      </c>
      <c r="FZ498" s="144">
        <f>FZ107+FZ227+FZ187+FZ364+FZ402</f>
        <v>15081</v>
      </c>
      <c r="GA498" s="72">
        <f>IF(ISERROR(FZ498/FX498),"NA",IF(OR(FZ498/FX498&gt;2,FZ498/FX498&lt;0.5),"NM",FZ498/FX498*100-100))</f>
        <v>14.475482010019732</v>
      </c>
      <c r="GB498" s="144">
        <f>GB107+GB227+GB187+GB364+GB402</f>
        <v>21093</v>
      </c>
      <c r="GC498" s="72">
        <f>IF(ISERROR(GB498/FZ498),"NA",IF(OR(GB498/FZ498&gt;2,GB498/FZ498&lt;0.5),"NM",GB498/FZ498*100-100))</f>
        <v>39.864730455540098</v>
      </c>
      <c r="GD498" s="144">
        <f>GD107+GD227+GD187+GD364+GD402</f>
        <v>62014</v>
      </c>
      <c r="GE498" s="72" t="str">
        <f>IF(ISERROR(GD498/GB498),"NA",IF(OR(GD498/GB498&gt;2,GD498/GB498&lt;0.5),"NM",GD498/GB498*100-100))</f>
        <v>NM</v>
      </c>
      <c r="GF498" s="144">
        <f>GF107+GF227+GF187+GF364+GF402</f>
        <v>23035</v>
      </c>
      <c r="GG498" s="72" t="str">
        <f>IF(ISERROR(GF498/GD498),"NA",IF(OR(GF498/GD498&gt;2,GF498/GD498&lt;0.5),"NM",GF498/GD498*100-100))</f>
        <v>NM</v>
      </c>
      <c r="GH498" s="144">
        <f>GH107+GH227+GH187+GH364+GH402</f>
        <v>26127</v>
      </c>
      <c r="GI498" s="72">
        <f t="shared" ref="GI498:GU502" si="2373">IF(ISERROR(GH498/GF498),"NA",IF(OR(GH498/GF498&gt;2,GH498/GF498&lt;0.5),"NM",GH498/GF498*100-100))</f>
        <v>13.423051877577592</v>
      </c>
      <c r="GJ498" s="144">
        <f>GJ107+GJ227+GJ187+GJ364+GJ402</f>
        <v>25353</v>
      </c>
      <c r="GK498" s="72">
        <f t="shared" si="2373"/>
        <v>-2.9624526352049543</v>
      </c>
      <c r="GL498" s="144">
        <f>GL107+GL227+GL187+GL364+GL402</f>
        <v>27821</v>
      </c>
      <c r="GM498" s="72">
        <f t="shared" si="2373"/>
        <v>9.7345481797026139</v>
      </c>
      <c r="GN498" s="144">
        <f>GN107+GN227+GN187+GN364+GN402</f>
        <v>29038</v>
      </c>
      <c r="GO498" s="72">
        <f t="shared" si="2373"/>
        <v>4.3743934438014378</v>
      </c>
      <c r="GP498" s="144">
        <f>GP107+GP227+GP187+GP364+GP402</f>
        <v>29330.844771032251</v>
      </c>
      <c r="GQ498" s="72">
        <f t="shared" si="2373"/>
        <v>1.008488088133646</v>
      </c>
      <c r="GR498" s="144">
        <f>GR107+GR227+GR187+GR364+GR402</f>
        <v>30366.577417219709</v>
      </c>
      <c r="GS498" s="72">
        <f t="shared" si="2373"/>
        <v>3.5312063265575233</v>
      </c>
      <c r="GT498" s="144">
        <f>GT107+GT227+GT187+GT364+GT402</f>
        <v>31446.493813535479</v>
      </c>
      <c r="GU498" s="72">
        <f t="shared" si="2373"/>
        <v>3.5562664223837999</v>
      </c>
      <c r="GV498" s="144">
        <f>GV107+GV227+GV187+GV364+GV402</f>
        <v>32572.604814213882</v>
      </c>
      <c r="GW498" s="72">
        <f>IF(ISERROR(GV498/GT498),"NA",IF(OR(GV498/GT498&gt;2,GV498/GT498&lt;0.5),"NM",GV498/GT498*100-100))</f>
        <v>3.5810383420033247</v>
      </c>
      <c r="GX498" s="144">
        <f>GX107+GX227+GX187+GX364+GX402</f>
        <v>33747.015509910205</v>
      </c>
      <c r="GY498" s="72">
        <f>IF(ISERROR(GX498/GV498),"NA",IF(OR(GX498/GV498&gt;2,GX498/GV498&lt;0.5),"NM",GX498/GV498*100-100))</f>
        <v>3.6055166677484607</v>
      </c>
      <c r="GZ498" s="72">
        <f>IF(ISERROR(((GX498/GN498)^0.2-1)*100),"NA",IF((((GX498/GN498)^0.2-1)*100)&gt;100,"NM",IF((((GX498/GN498)^0.2-1)*100)&lt;-50,"NM",((GX498/GN498)^0.2-1)*100)))</f>
        <v>3.0513615111395165</v>
      </c>
      <c r="HA498" s="72"/>
      <c r="HB498" s="72"/>
      <c r="HC498"/>
      <c r="HD498"/>
      <c r="HE498"/>
      <c r="HF498"/>
      <c r="HG498"/>
      <c r="HH498"/>
      <c r="HI498" s="2"/>
    </row>
    <row r="499" spans="1:217" s="3" customFormat="1" ht="12.75" customHeight="1" x14ac:dyDescent="0.2">
      <c r="B499" s="77" t="s">
        <v>437</v>
      </c>
      <c r="C499" s="145"/>
      <c r="D499" s="11"/>
      <c r="E499" s="145"/>
      <c r="F499" s="11"/>
      <c r="G499" s="145"/>
      <c r="H499" s="11"/>
      <c r="I499" s="145"/>
      <c r="J499" s="11"/>
      <c r="K499" s="145"/>
      <c r="L499" s="72"/>
      <c r="M499" s="145"/>
      <c r="N499" s="72"/>
      <c r="O499" s="145"/>
      <c r="P499" s="72"/>
      <c r="Q499" s="145"/>
      <c r="R499" s="72"/>
      <c r="S499" s="145">
        <v>434</v>
      </c>
      <c r="T499" s="72" t="str">
        <f>IF(ISERROR(S499/K499),"NA",IF(OR(S499/K499&gt;2,S499/K499&lt;0.5),"NM",S499/K499*100-100))</f>
        <v>NA</v>
      </c>
      <c r="U499" s="145">
        <v>412</v>
      </c>
      <c r="V499" s="72" t="str">
        <f>IF(ISERROR(U499/M499),"NA",IF(OR(U499/M499&gt;2,U499/M499&lt;0.5),"NM",U499/M499*100-100))</f>
        <v>NA</v>
      </c>
      <c r="W499" s="145">
        <v>400</v>
      </c>
      <c r="X499" s="72" t="str">
        <f>IF(ISERROR(W499/O499),"NA",IF(OR(W499/O499&gt;2,W499/O499&lt;0.5),"NM",W499/O499*100-100))</f>
        <v>NA</v>
      </c>
      <c r="Y499" s="145">
        <v>437</v>
      </c>
      <c r="Z499" s="72" t="str">
        <f>IF(ISERROR(Y499/Q499),"NA",IF(OR(Y499/Q499&gt;2,Y499/Q499&lt;0.5),"NM",Y499/Q499*100-100))</f>
        <v>NA</v>
      </c>
      <c r="AA499" s="145">
        <f>AA108+AA228+AA188+AA366+AA404+AA67</f>
        <v>438</v>
      </c>
      <c r="AB499" s="72">
        <f>IF(ISERROR(AA499/S499),"NA",IF(OR(AA499/S499&gt;2,AA499/S499&lt;0.5),"NM",AA499/S499*100-100))</f>
        <v>0.92165898617511743</v>
      </c>
      <c r="AC499" s="145">
        <f>AC108+AC228+AC188+AC366+AC404+AC67</f>
        <v>470</v>
      </c>
      <c r="AD499" s="72">
        <f>IF(ISERROR(AC499/U499),"NA",IF(OR(AC499/U499&gt;2,AC499/U499&lt;0.5),"NM",AC499/U499*100-100))</f>
        <v>14.077669902912618</v>
      </c>
      <c r="AE499" s="145">
        <f>AE108+AE228+AE188+AE366+AE404+AE67</f>
        <v>495</v>
      </c>
      <c r="AF499" s="72">
        <f>IF(ISERROR(AE499/W499),"NA",IF(OR(AE499/W499&gt;2,AE499/W499&lt;0.5),"NM",AE499/W499*100-100))</f>
        <v>23.75</v>
      </c>
      <c r="AG499" s="145">
        <f>AG108+AG228+AG188+AG366+AG404+AG67</f>
        <v>570</v>
      </c>
      <c r="AH499" s="72">
        <f>IF(ISERROR(AG499/Y499),"NA",IF(OR(AG499/Y499&gt;2,AG499/Y499&lt;0.5),"NM",AG499/Y499*100-100))</f>
        <v>30.434782608695656</v>
      </c>
      <c r="AI499" s="145">
        <f>AI108+AI228+AI188+AI366+AI404+AI67</f>
        <v>577</v>
      </c>
      <c r="AJ499" s="72">
        <f>IF(ISERROR(AI499/AA499),"NA",IF(OR(AI499/AA499&gt;2,AI499/AA499&lt;0.5),"NM",AI499/AA499*100-100))</f>
        <v>31.735159817351587</v>
      </c>
      <c r="AK499" s="145">
        <f>AK108+AK228+AK188+AK366+AK404+AK67</f>
        <v>611</v>
      </c>
      <c r="AL499" s="72">
        <f>IF(ISERROR(AK499/AC499),"NA",IF(OR(AK499/AC499&gt;2,AK499/AC499&lt;0.5),"NM",AK499/AC499*100-100))</f>
        <v>30</v>
      </c>
      <c r="AM499" s="145">
        <f>AM108+AM228+AM188+AM366+AM404+AM67</f>
        <v>628</v>
      </c>
      <c r="AN499" s="72">
        <f>IF(ISERROR(AM499/AE499),"NA",IF(OR(AM499/AE499&gt;2,AM499/AE499&lt;0.5),"NM",AM499/AE499*100-100))</f>
        <v>26.868686868686865</v>
      </c>
      <c r="AO499" s="145">
        <f>AO108+AO228+AO188+AO366+AO404+AO67</f>
        <v>647</v>
      </c>
      <c r="AP499" s="72">
        <f>IF(ISERROR(AO499/AG499),"NA",IF(OR(AO499/AG499&gt;2,AO499/AG499&lt;0.5),"NM",AO499/AG499*100-100))</f>
        <v>13.508771929824562</v>
      </c>
      <c r="AQ499" s="145">
        <f>AQ108+AQ228+AQ188+AQ366+AQ404+AQ67</f>
        <v>646</v>
      </c>
      <c r="AR499" s="72">
        <f>IF(ISERROR(AQ499/AI499),"NA",IF(OR(AQ499/AI499&gt;2,AQ499/AI499&lt;0.5),"NM",AQ499/AI499*100-100))</f>
        <v>11.958405545927221</v>
      </c>
      <c r="AS499" s="145">
        <f>AS108+AS228+AS188+AS366+AS404+AS67</f>
        <v>632</v>
      </c>
      <c r="AT499" s="72">
        <f>IF(ISERROR(AS499/AK499),"NA",IF(OR(AS499/AK499&gt;2,AS499/AK499&lt;0.5),"NM",AS499/AK499*100-100))</f>
        <v>3.4369885433715268</v>
      </c>
      <c r="AU499" s="145">
        <f>AU108+AU228+AU188+AU366+AU404+AU67</f>
        <v>685</v>
      </c>
      <c r="AV499" s="72">
        <f>IF(ISERROR(AU499/AM499),"NA",IF(OR(AU499/AM499&gt;2,AU499/AM499&lt;0.5),"NM",AU499/AM499*100-100))</f>
        <v>9.0764331210191074</v>
      </c>
      <c r="AW499" s="145">
        <f>AW108+AW228+AW188+AW366+AW404+AW67</f>
        <v>655</v>
      </c>
      <c r="AX499" s="72">
        <f>IF(ISERROR(AW499/AO499),"NA",IF(OR(AW499/AO499&gt;2,AW499/AO499&lt;0.5),"NM",AW499/AO499*100-100))</f>
        <v>1.2364760432766531</v>
      </c>
      <c r="AY499" s="145">
        <f>AY108+AY228+AY188+AY366+AY404+AY67</f>
        <v>682</v>
      </c>
      <c r="AZ499" s="72">
        <f>IF(ISERROR(AY499/AQ499),"NA",IF(OR(AY499/AQ499&gt;2,AY499/AQ499&lt;0.5),"NM",AY499/AQ499*100-100))</f>
        <v>5.5727554179566567</v>
      </c>
      <c r="BA499" s="145">
        <f>BA108+BA228+BA188+BA366+BA404+BA67</f>
        <v>688</v>
      </c>
      <c r="BB499" s="72">
        <f>IF(ISERROR(BA499/AS499),"NA",IF(OR(BA499/AS499&gt;2,BA499/AS499&lt;0.5),"NM",BA499/AS499*100-100))</f>
        <v>8.8607594936708836</v>
      </c>
      <c r="BC499" s="145">
        <f>BC108+BC228+BC188+BC366+BC404+BC67</f>
        <v>615</v>
      </c>
      <c r="BD499" s="72">
        <f>IF(ISERROR(BC499/AU499),"NA",IF(OR(BC499/AU499&gt;2,BC499/AU499&lt;0.5),"NM",BC499/AU499*100-100))</f>
        <v>-10.21897810218978</v>
      </c>
      <c r="BE499" s="145">
        <f>BE108+BE228+BE188+BE366+BE404+BE67</f>
        <v>774</v>
      </c>
      <c r="BF499" s="72">
        <f>IF(ISERROR(BE499/AW499),"NA",IF(OR(BE499/AW499&gt;2,BE499/AW499&lt;0.5),"NM",BE499/AW499*100-100))</f>
        <v>18.167938931297712</v>
      </c>
      <c r="BG499" s="145">
        <f>BG108+BG228+BG188+BG366+BG404+BG67</f>
        <v>804</v>
      </c>
      <c r="BH499" s="72">
        <f>IF(ISERROR(BG499/AY499),"NA",IF(OR(BG499/AY499&gt;2,BG499/AY499&lt;0.5),"NM",BG499/AY499*100-100))</f>
        <v>17.888563049853374</v>
      </c>
      <c r="BI499" s="145">
        <f>BI108+BI228+BI188+BI366+BI404+BI67</f>
        <v>808</v>
      </c>
      <c r="BJ499" s="72">
        <f>IF(ISERROR(BI499/BA499),"NA",IF(OR(BI499/BA499&gt;2,BI499/BA499&lt;0.5),"NM",BI499/BA499*100-100))</f>
        <v>17.441860465116292</v>
      </c>
      <c r="BK499" s="145">
        <f>BK108+BK228+BK188+BK366+BK404+BK67</f>
        <v>757</v>
      </c>
      <c r="BL499" s="72">
        <f>IF(ISERROR(BK499/BC499),"NA",IF(OR(BK499/BC499&gt;2,BK499/BC499&lt;0.5),"NM",BK499/BC499*100-100))</f>
        <v>23.089430894308947</v>
      </c>
      <c r="BM499" s="145">
        <f>BM108+BM228+BM188+BM366+BM404+BM67</f>
        <v>852</v>
      </c>
      <c r="BN499" s="72">
        <f>IF(ISERROR(BM499/BE499),"NA",IF(OR(BM499/BE499&gt;2,BM499/BE499&lt;0.5),"NM",BM499/BE499*100-100))</f>
        <v>10.077519379844958</v>
      </c>
      <c r="BO499" s="145">
        <f>BO108+BO228+BO188+BO366+BO404+BO67</f>
        <v>844</v>
      </c>
      <c r="BP499" s="72">
        <f>IF(ISERROR(BO499/BG499),"NA",IF(OR(BO499/BG499&gt;2,BO499/BG499&lt;0.5),"NM",BO499/BG499*100-100))</f>
        <v>4.9751243781094558</v>
      </c>
      <c r="BQ499" s="145">
        <f>BQ108+BQ228+BQ188+BQ366+BQ404+BQ67</f>
        <v>828</v>
      </c>
      <c r="BR499" s="72">
        <f>IF(ISERROR(BQ499/BI499),"NA",IF(OR(BQ499/BI499&gt;2,BQ499/BI499&lt;0.5),"NM",BQ499/BI499*100-100))</f>
        <v>2.4752475247524757</v>
      </c>
      <c r="BS499" s="145">
        <f>BS108+BS228+BS188+BS366+BS404+BS67</f>
        <v>745</v>
      </c>
      <c r="BT499" s="72">
        <f>IF(ISERROR(BS499/BK499),"NA",IF(OR(BS499/BK499&gt;2,BS499/BK499&lt;0.5),"NM",BS499/BK499*100-100))</f>
        <v>-1.5852047556142708</v>
      </c>
      <c r="BU499" s="145">
        <f>BU108+BU228+BU188+BU366+BU404+BU67</f>
        <v>801</v>
      </c>
      <c r="BV499" s="72">
        <f>IF(ISERROR(BU499/BM499),"NA",IF(OR(BU499/BM499&gt;2,BU499/BM499&lt;0.5),"NM",BU499/BM499*100-100))</f>
        <v>-5.9859154929577443</v>
      </c>
      <c r="BW499" s="145">
        <f>BW108+BW228+BW188+BW366+BW404+BW67</f>
        <v>758</v>
      </c>
      <c r="BX499" s="72">
        <f>IF(ISERROR(BW499/BO499),"NA",IF(OR(BW499/BO499&gt;2,BW499/BO499&lt;0.5),"NM",BW499/BO499*100-100))</f>
        <v>-10.189573459715646</v>
      </c>
      <c r="BY499" s="145">
        <f>BY108+BY228+BY188+BY366+BY404+BY67</f>
        <v>788</v>
      </c>
      <c r="BZ499" s="72">
        <f>IF(ISERROR(BY499/BQ499),"NA",IF(OR(BY499/BQ499&gt;2,BY499/BQ499&lt;0.5),"NM",BY499/BQ499*100-100))</f>
        <v>-4.8309178743961354</v>
      </c>
      <c r="CA499" s="145">
        <f>CA108+CA228+CA188+CA366+CA404+CA67</f>
        <v>728</v>
      </c>
      <c r="CB499" s="72">
        <f>IF(ISERROR(CA499/BS499),"NA",IF(OR(CA499/BS499&gt;2,CA499/BS499&lt;0.5),"NM",CA499/BS499*100-100))</f>
        <v>-2.281879194630875</v>
      </c>
      <c r="CC499" s="145">
        <f>CC108+CC228+CC188+CC366+CC404+CC67</f>
        <v>886</v>
      </c>
      <c r="CD499" s="72">
        <f>IF(ISERROR(CC499/BU499),"NA",IF(OR(CC499/BU499&gt;2,CC499/BU499&lt;0.5),"NM",CC499/BU499*100-100))</f>
        <v>10.611735330836453</v>
      </c>
      <c r="CE499" s="145">
        <f>CE108+CE228+CE188+CE366+CE404+CE67</f>
        <v>905</v>
      </c>
      <c r="CF499" s="72">
        <f>IF(ISERROR(CE499/BW499),"NA",IF(OR(CE499/BW499&gt;2,CE499/BW499&lt;0.5),"NM",CE499/BW499*100-100))</f>
        <v>19.393139841688651</v>
      </c>
      <c r="CG499" s="145">
        <f>CG108+CG228+CG188+CG366+CG404+CG67</f>
        <v>938</v>
      </c>
      <c r="CH499" s="72">
        <f>IF(ISERROR(CG499/BY499),"NA",IF(OR(CG499/BY499&gt;2,CG499/BY499&lt;0.5),"NM",CG499/BY499*100-100))</f>
        <v>19.035532994923869</v>
      </c>
      <c r="CI499" s="145">
        <f>CI108+CI228+CI188+CI366+CI404+CI67</f>
        <v>873</v>
      </c>
      <c r="CJ499" s="72">
        <f>IF(ISERROR(CI499/CA499),"NA",IF(OR(CI499/CA499&gt;2,CI499/CA499&lt;0.5),"NM",CI499/CA499*100-100))</f>
        <v>19.917582417582409</v>
      </c>
      <c r="CK499" s="145">
        <f>CK108+CK228+CK188+CK366+CK404+CK67</f>
        <v>974</v>
      </c>
      <c r="CL499" s="72">
        <f>IF(ISERROR(CK499/CC499),"NA",IF(OR(CK499/CC499&gt;2,CK499/CC499&lt;0.5),"NM",CK499/CC499*100-100))</f>
        <v>9.9322799097065513</v>
      </c>
      <c r="CM499" s="145">
        <f>CM108+CM228+CM188+CM366+CM404+CM67</f>
        <v>1029</v>
      </c>
      <c r="CN499" s="72">
        <f>IF(ISERROR(CM499/CE499),"NA",IF(OR(CM499/CE499&gt;2,CM499/CE499&lt;0.5),"NM",CM499/CE499*100-100))</f>
        <v>13.701657458563531</v>
      </c>
      <c r="CO499" s="145">
        <f>CO108+CO228+CO188+CO366+CO404+CO67</f>
        <v>1078</v>
      </c>
      <c r="CP499" s="72">
        <f>IF(ISERROR(CO499/CG499),"NA",IF(OR(CO499/CG499&gt;2,CO499/CG499&lt;0.5),"NM",CO499/CG499*100-100))</f>
        <v>14.925373134328353</v>
      </c>
      <c r="CQ499" s="145">
        <f>CQ108+CQ228+CQ188+CQ366+CQ404+CQ67</f>
        <v>1015</v>
      </c>
      <c r="CR499" s="72">
        <f>IF(ISERROR(CQ499/CI499),"NA",IF(OR(CQ499/CI499&gt;2,CQ499/CI499&lt;0.5),"NM",CQ499/CI499*100-100))</f>
        <v>16.265750286368856</v>
      </c>
      <c r="CS499" s="145">
        <f>CS108+CS228+CS188+CS366+CS404+CS67</f>
        <v>1066</v>
      </c>
      <c r="CT499" s="72">
        <f>IF(ISERROR(CS499/CK499),"NA",IF(OR(CS499/CK499&gt;2,CS499/CK499&lt;0.5),"NM",CS499/CK499*100-100))</f>
        <v>9.445585215605746</v>
      </c>
      <c r="CU499" s="145">
        <f>CU108+CU228+CU188+CU366+CU404+CU67</f>
        <v>1114</v>
      </c>
      <c r="CV499" s="72">
        <f>IF(ISERROR(CU499/CM499),"NA",IF(OR(CU499/CM499&gt;2,CU499/CM499&lt;0.5),"NM",CU499/CM499*100-100))</f>
        <v>8.2604470359572275</v>
      </c>
      <c r="CW499" s="145">
        <f>CW108+CW228+CW188+CW366+CW404+CW67</f>
        <v>1122</v>
      </c>
      <c r="CX499" s="72">
        <f>IF(ISERROR(CW499/CO499),"NA",IF(OR(CW499/CO499&gt;2,CW499/CO499&lt;0.5),"NM",CW499/CO499*100-100))</f>
        <v>4.0816326530612344</v>
      </c>
      <c r="CY499" s="145">
        <f>CY108+CY228+CY188+CY366+CY404+CY67</f>
        <v>1284</v>
      </c>
      <c r="CZ499" s="72">
        <f>IF(ISERROR(CY499/CQ499),"NA",IF(OR(CY499/CQ499&gt;2,CY499/CQ499&lt;0.5),"NM",CY499/CQ499*100-100))</f>
        <v>26.502463054187203</v>
      </c>
      <c r="DA499" s="145">
        <f>DA108+DA228+DA188+DA366+DA404+DA67</f>
        <v>1217</v>
      </c>
      <c r="DB499" s="72">
        <f>IF(ISERROR(DA499/CS499),"NA",IF(OR(DA499/CS499&gt;2,DA499/CS499&lt;0.5),"NM",DA499/CS499*100-100))</f>
        <v>14.16510318949345</v>
      </c>
      <c r="DC499" s="145">
        <f>DC108+DC228+DC188+DC366+DC404+DC67</f>
        <v>1459</v>
      </c>
      <c r="DD499" s="72">
        <f>IF(ISERROR(DC499/CU499),"NA",IF(OR(DC499/CU499&gt;2,DC499/CU499&lt;0.5),"NM",DC499/CU499*100-100))</f>
        <v>30.969479353680441</v>
      </c>
      <c r="DE499" s="145">
        <f>DE108+DE228+DE188+DE366+DE404+DE67</f>
        <v>1499</v>
      </c>
      <c r="DF499" s="72">
        <f>IF(ISERROR(DE499/CW499),"NA",IF(OR(DE499/CW499&gt;2,DE499/CW499&lt;0.5),"NM",DE499/CW499*100-100))</f>
        <v>33.600713012477712</v>
      </c>
      <c r="DG499" s="145">
        <f>DG108+DG228+DG188+DG366+DG404+DG67</f>
        <v>1320</v>
      </c>
      <c r="DH499" s="72">
        <f>IF(ISERROR(DG499/CY499),"NA",IF(OR(DG499/CY499&gt;2,DG499/CY499&lt;0.5),"NM",DG499/CY499*100-100))</f>
        <v>2.803738317756995</v>
      </c>
      <c r="DI499" s="145">
        <f>DI108+DI228+DI188+DI366+DI404+DI67</f>
        <v>1489</v>
      </c>
      <c r="DJ499" s="72">
        <f>IF(ISERROR(DI499/DA499),"NA",IF(OR(DI499/DA499&gt;2,DI499/DA499&lt;0.5),"NM",DI499/DA499*100-100))</f>
        <v>22.350041084634341</v>
      </c>
      <c r="DK499" s="145">
        <f>DK108+DK228+DK188+DK366+DK404+DK67</f>
        <v>1550</v>
      </c>
      <c r="DL499" s="72">
        <f>IF(ISERROR(DK499/DC499),"NA",IF(OR(DK499/DC499&gt;2,DK499/DC499&lt;0.5),"NM",DK499/DC499*100-100))</f>
        <v>6.2371487320082224</v>
      </c>
      <c r="DM499" s="145">
        <f>DM108+DM228+DM188+DM366+DM404+DM67</f>
        <v>1562</v>
      </c>
      <c r="DN499" s="72">
        <f t="shared" si="2368"/>
        <v>4.2028018679119299</v>
      </c>
      <c r="DO499" s="145">
        <f>DO108+DO228+DO188+DO366+DO404+DO67</f>
        <v>1542</v>
      </c>
      <c r="DP499" s="72">
        <f t="shared" si="2368"/>
        <v>16.818181818181827</v>
      </c>
      <c r="DQ499" s="145">
        <f>DQ108+DQ228+DQ188+DQ366+DQ404+DQ67</f>
        <v>1623</v>
      </c>
      <c r="DR499" s="72">
        <f t="shared" si="2368"/>
        <v>8.9993284083277274</v>
      </c>
      <c r="DS499" s="145">
        <f>DS108+DS228+DS188+DS366+DS404+DS67</f>
        <v>1594</v>
      </c>
      <c r="DT499" s="72">
        <f t="shared" si="2368"/>
        <v>2.8387096774193452</v>
      </c>
      <c r="DU499" s="145">
        <f>DU108+DU228+DU188+DU366+DU404+DU67</f>
        <v>1426</v>
      </c>
      <c r="DV499" s="72">
        <f t="shared" si="2368"/>
        <v>-8.7067861715749046</v>
      </c>
      <c r="DW499" s="145">
        <f>DW108+DW228+DW188+DW366+DW404+DW67</f>
        <v>1592</v>
      </c>
      <c r="DX499" s="72">
        <f t="shared" si="2368"/>
        <v>3.2425421530480065</v>
      </c>
      <c r="DY499" s="145">
        <f>DY108+DY228+DY188+DY366+DY404+DY67</f>
        <v>1557</v>
      </c>
      <c r="DZ499" s="72">
        <f t="shared" si="2368"/>
        <v>-4.0665434380776304</v>
      </c>
      <c r="EA499" s="145">
        <f>EA108+EA228+EA188+EA366+EA404+EA67</f>
        <v>1556</v>
      </c>
      <c r="EB499" s="72">
        <f>IF(ISERROR(EA499/DS499),"NA",IF(OR(EA499/DS499&gt;2,EA499/DS499&lt;0.5),"NM",EA499/DS499*100-100))</f>
        <v>-2.3839397741530775</v>
      </c>
      <c r="EC499" s="145">
        <f>EC108+EC228+EC188+EC366+EC404+EC67</f>
        <v>1342</v>
      </c>
      <c r="ED499" s="72">
        <f>IF(ISERROR(EC499/DU499),"NA",IF(OR(EC499/DU499&gt;2,EC499/DU499&lt;0.5),"NM",EC499/DU499*100-100))</f>
        <v>-5.8906030855540052</v>
      </c>
      <c r="EE499" s="145">
        <f>EE108+EE228+EE188+EE366+EE404+EE67</f>
        <v>1609</v>
      </c>
      <c r="EF499" s="72">
        <f>IF(ISERROR(EE499/DW499),"NA",IF(OR(EE499/DW499&gt;2,EE499/DW499&lt;0.5),"NM",EE499/DW499*100-100))</f>
        <v>1.0678391959799001</v>
      </c>
      <c r="EG499" s="145">
        <f>EG108+EG228+EG188+EG366+EG404+EG67</f>
        <v>1584</v>
      </c>
      <c r="EH499" s="72">
        <f>IF(ISERROR(EG499/DY499),"NA",IF(OR(EG499/DY499&gt;2,EG499/DY499&lt;0.5),"NM",EG499/DY499*100-100))</f>
        <v>1.7341040462427628</v>
      </c>
      <c r="EI499" s="145">
        <f>EI108+EI228+EI188+EI366+EI404+EI67</f>
        <v>1607</v>
      </c>
      <c r="EJ499" s="72">
        <f>IF(ISERROR(EI499/EA499),"NA",IF(OR(EI499/EA499&gt;2,EI499/EA499&lt;0.5),"NM",EI499/EA499*100-100))</f>
        <v>3.2776349614395741</v>
      </c>
      <c r="EK499" s="145">
        <f>EK108+EK228+EK188+EK366+EK404+EK67</f>
        <v>848</v>
      </c>
      <c r="EL499" s="72">
        <f>IF(ISERROR(EK499/EC499),"NA",IF(OR(EK499/EC499&gt;2,EK499/EC499&lt;0.5),"NM",EK499/EC499*100-100))</f>
        <v>-36.810730253353206</v>
      </c>
      <c r="EM499" s="145">
        <f>EM108+EM228+EM188+EM366+EM404+EM67</f>
        <v>1618</v>
      </c>
      <c r="EN499" s="72">
        <f>IF(ISERROR(EM499/EE499),"NA",IF(OR(EM499/EE499&gt;2,EM499/EE499&lt;0.5),"NM",EM499/EE499*100-100))</f>
        <v>0.55935363579864372</v>
      </c>
      <c r="EO499" s="145">
        <f>EO108+EO228+EO188+EO366+EO404+EO67</f>
        <v>1641</v>
      </c>
      <c r="EP499" s="72">
        <f>IF(ISERROR(EO499/EG499),"NA",IF(OR(EO499/EG499&gt;2,EO499/EG499&lt;0.5),"NM",EO499/EG499*100-100))</f>
        <v>3.5984848484848442</v>
      </c>
      <c r="EQ499" s="144">
        <f>EQ108+EQ228+EQ188+EQ366+EQ404+EQ67</f>
        <v>1682.239505959498</v>
      </c>
      <c r="ER499" s="72">
        <f t="shared" si="2369"/>
        <v>4.6819854361853146</v>
      </c>
      <c r="ES499" s="144">
        <f>ES108+ES228+ES188+ES366+ES404+ES67</f>
        <v>1446.4174649567617</v>
      </c>
      <c r="ET499" s="72">
        <f t="shared" si="2370"/>
        <v>70.568097282637012</v>
      </c>
      <c r="EU499" s="144">
        <f>EU108+EU228+EU188+EU366+EU404+EU67</f>
        <v>1610.7181509222919</v>
      </c>
      <c r="EV499" s="72">
        <f t="shared" si="2371"/>
        <v>-0.45005247699062068</v>
      </c>
      <c r="EW499" s="144">
        <f>EW108+EW228+EW188+EW366+EW404+EW67</f>
        <v>1643.3344387389957</v>
      </c>
      <c r="EX499" s="72">
        <f t="shared" si="2372"/>
        <v>0.14225708342448229</v>
      </c>
      <c r="EY499" s="72"/>
      <c r="EZ499" s="296"/>
      <c r="FA499" s="72"/>
      <c r="FB499" s="9"/>
      <c r="FC499" s="11"/>
      <c r="FD499" s="9"/>
      <c r="FE499" s="72"/>
      <c r="FF499" s="16"/>
      <c r="FG499" s="72"/>
      <c r="FH499" s="144"/>
      <c r="FI499" s="72"/>
      <c r="FJ499" s="144">
        <f>FJ108+FJ228+FJ188+FJ366+FJ404+FJ67</f>
        <v>1731</v>
      </c>
      <c r="FK499" s="72" t="str">
        <f>IF(ISERROR(FJ499/FH499),"NA",IF(OR(FJ499/FH499&gt;2,FJ499/FH499&lt;0.5),"NM",FJ499/FH499*100-100))</f>
        <v>NA</v>
      </c>
      <c r="FL499" s="144">
        <f>FL108+FL228+FL188+FL366+FL404+FL67</f>
        <v>1973</v>
      </c>
      <c r="FM499" s="72">
        <f>IF(ISERROR(FL499/FJ499),"NA",IF(OR(FL499/FJ499&gt;2,FL499/FJ499&lt;0.5),"NM",FL499/FJ499*100-100))</f>
        <v>13.980358174465636</v>
      </c>
      <c r="FN499" s="144">
        <f>FN108+FN228+FN188+FN366+FN404+FN67</f>
        <v>2463</v>
      </c>
      <c r="FO499" s="72">
        <f>IF(ISERROR(FN499/FL499),"NA",IF(OR(FN499/FL499&gt;2,FN499/FL499&lt;0.5),"NM",FN499/FL499*100-100))</f>
        <v>24.835276229092756</v>
      </c>
      <c r="FP499" s="144">
        <f>FP108+FP228+FP188+FP366+FP404+FP67</f>
        <v>2618</v>
      </c>
      <c r="FQ499" s="72">
        <f>IF(ISERROR(FP499/FN499),"NA",IF(OR(FP499/FN499&gt;2,FP499/FN499&lt;0.5),"NM",FP499/FN499*100-100))</f>
        <v>6.2931384490458839</v>
      </c>
      <c r="FR499" s="144">
        <f>FR108+FR228+FR188+FR366+FR404+FR67</f>
        <v>2759</v>
      </c>
      <c r="FS499" s="72">
        <f>IF(ISERROR(FR499/FP499),"NA",IF(OR(FR499/FP499&gt;2,FR499/FP499&lt;0.5),"NM",FR499/FP499*100-100))</f>
        <v>5.3857906799083253</v>
      </c>
      <c r="FT499" s="144">
        <f>FT108+FT228+FT188+FT366+FT404+FT67</f>
        <v>3221</v>
      </c>
      <c r="FU499" s="72">
        <f>IF(ISERROR(FT499/FR499),"NA",IF(OR(FT499/FR499&gt;2,FT499/FR499&lt;0.5),"NM",FT499/FR499*100-100))</f>
        <v>16.745197535338889</v>
      </c>
      <c r="FV499" s="144">
        <f>FV108+FV228+FV188+FV366+FV404+FV67</f>
        <v>3218</v>
      </c>
      <c r="FW499" s="72">
        <f>IF(ISERROR(FV499/FT499),"NA",IF(OR(FV499/FT499&gt;2,FV499/FT499&lt;0.5),"NM",FV499/FT499*100-100))</f>
        <v>-9.3138776777408339E-2</v>
      </c>
      <c r="FX499" s="144">
        <f>FX108+FX228+FX188+FX366+FX404+FX67</f>
        <v>3159</v>
      </c>
      <c r="FY499" s="72">
        <f>IF(ISERROR(FX499/FV499),"NA",IF(OR(FX499/FV499&gt;2,FX499/FV499&lt;0.5),"NM",FX499/FV499*100-100))</f>
        <v>-1.8334369173399523</v>
      </c>
      <c r="FZ499" s="144">
        <f>FZ108+FZ228+FZ188+FZ366+FZ404+FZ67</f>
        <v>3690</v>
      </c>
      <c r="GA499" s="72">
        <f>IF(ISERROR(FZ499/FX499),"NA",IF(OR(FZ499/FX499&gt;2,FZ499/FX499&lt;0.5),"NM",FZ499/FX499*100-100))</f>
        <v>16.809116809116802</v>
      </c>
      <c r="GB499" s="144">
        <f>GB108+GB228+GB188+GB366+GB404+GB67</f>
        <v>4188</v>
      </c>
      <c r="GC499" s="72">
        <f>IF(ISERROR(GB499/FZ499),"NA",IF(OR(GB499/FZ499&gt;2,GB499/FZ499&lt;0.5),"NM",GB499/FZ499*100-100))</f>
        <v>13.495934959349597</v>
      </c>
      <c r="GD499" s="144">
        <f>GD108+GD228+GD188+GD366+GD404+GD67</f>
        <v>4737</v>
      </c>
      <c r="GE499" s="72">
        <f>IF(ISERROR(GD499/GB499),"NA",IF(OR(GD499/GB499&gt;2,GD499/GB499&lt;0.5),"NM",GD499/GB499*100-100))</f>
        <v>13.10888252148996</v>
      </c>
      <c r="GF499" s="144">
        <f>GF108+GF228+GF188+GF366+GF404+GF67</f>
        <v>5767</v>
      </c>
      <c r="GG499" s="72">
        <f>IF(ISERROR(GF499/GD499),"NA",IF(OR(GF499/GD499&gt;2,GF499/GD499&lt;0.5),"NM",GF499/GD499*100-100))</f>
        <v>21.743719653789313</v>
      </c>
      <c r="GH499" s="144">
        <f>GH108+GH228+GH188+GH366+GH404+GH67</f>
        <v>6277</v>
      </c>
      <c r="GI499" s="72">
        <f t="shared" si="2373"/>
        <v>8.8434194555228061</v>
      </c>
      <c r="GJ499" s="144">
        <f>GJ108+GJ228+GJ188+GJ366+GJ404+GJ67</f>
        <v>6169</v>
      </c>
      <c r="GK499" s="72">
        <f t="shared" si="2373"/>
        <v>-1.7205671499123838</v>
      </c>
      <c r="GL499" s="144">
        <f>GL108+GL228+GL188+GL366+GL404+GL67</f>
        <v>6091</v>
      </c>
      <c r="GM499" s="72">
        <f t="shared" si="2373"/>
        <v>-1.2643864483708853</v>
      </c>
      <c r="GN499" s="144">
        <f>GN108+GN228+GN188+GN366+GN404+GN67</f>
        <v>5714</v>
      </c>
      <c r="GO499" s="72">
        <f t="shared" si="2373"/>
        <v>-6.1894598588080783</v>
      </c>
      <c r="GP499" s="144">
        <f>GP108+GP228+GP188+GP366+GP404+GP67</f>
        <v>6382.7095605775476</v>
      </c>
      <c r="GQ499" s="72">
        <f t="shared" si="2373"/>
        <v>11.703002460230081</v>
      </c>
      <c r="GR499" s="144">
        <f>GR108+GR228+GR188+GR366+GR404+GR67</f>
        <v>6526.0766004053476</v>
      </c>
      <c r="GS499" s="72">
        <f t="shared" si="2373"/>
        <v>2.2461783427104081</v>
      </c>
      <c r="GT499" s="144">
        <f>GT108+GT228+GT188+GT366+GT404+GT67</f>
        <v>6700.1351496553198</v>
      </c>
      <c r="GU499" s="72">
        <f t="shared" si="2373"/>
        <v>2.6671239077880529</v>
      </c>
      <c r="GV499" s="144">
        <f>GV108+GV228+GV188+GV366+GV404+GV67</f>
        <v>6894.1813982782633</v>
      </c>
      <c r="GW499" s="72">
        <f>IF(ISERROR(GV499/GT499),"NA",IF(OR(GV499/GT499&gt;2,GV499/GT499&lt;0.5),"NM",GV499/GT499*100-100))</f>
        <v>2.8961542459770442</v>
      </c>
      <c r="GX499" s="144">
        <f>GX108+GX228+GX188+GX366+GX404+GX67</f>
        <v>7109.4709068014399</v>
      </c>
      <c r="GY499" s="72">
        <f>IF(ISERROR(GX499/GV499),"NA",IF(OR(GX499/GV499&gt;2,GX499/GV499&lt;0.5),"NM",GX499/GV499*100-100))</f>
        <v>3.1227711614455416</v>
      </c>
      <c r="GZ499" s="72">
        <f>IF(ISERROR(((GX499/GN499)^0.2-1)*100),"NA",IF((((GX499/GN499)^0.2-1)*100)&gt;100,"NM",IF((((GX499/GN499)^0.2-1)*100)&lt;-50,"NM",((GX499/GN499)^0.2-1)*100)))</f>
        <v>4.4670687711436452</v>
      </c>
      <c r="HA499" s="72"/>
      <c r="HB499" s="72"/>
      <c r="HC499"/>
      <c r="HD499"/>
      <c r="HE499"/>
      <c r="HF499"/>
      <c r="HG499"/>
      <c r="HH499"/>
      <c r="HI499" s="2"/>
    </row>
    <row r="500" spans="1:217" s="3" customFormat="1" ht="12.75" customHeight="1" x14ac:dyDescent="0.2">
      <c r="A500" s="3" t="s">
        <v>66</v>
      </c>
      <c r="B500" s="10" t="s">
        <v>667</v>
      </c>
      <c r="C500" s="145"/>
      <c r="D500" s="11"/>
      <c r="E500" s="145"/>
      <c r="F500" s="11"/>
      <c r="G500" s="145"/>
      <c r="H500" s="11"/>
      <c r="I500" s="145"/>
      <c r="J500" s="11"/>
      <c r="K500" s="145"/>
      <c r="L500" s="72"/>
      <c r="M500" s="145"/>
      <c r="N500" s="72"/>
      <c r="O500" s="145"/>
      <c r="P500" s="72"/>
      <c r="Q500" s="145"/>
      <c r="R500" s="72"/>
      <c r="S500" s="145">
        <v>1236</v>
      </c>
      <c r="T500" s="72" t="str">
        <f>IF(ISERROR(S500/K500),"NA",IF(OR(S500/K500&gt;2,S500/K500&lt;0.5),"NM",S500/K500*100-100))</f>
        <v>NA</v>
      </c>
      <c r="U500" s="145">
        <v>1313</v>
      </c>
      <c r="V500" s="72" t="str">
        <f>IF(ISERROR(U500/M500),"NA",IF(OR(U500/M500&gt;2,U500/M500&lt;0.5),"NM",U500/M500*100-100))</f>
        <v>NA</v>
      </c>
      <c r="W500" s="145">
        <v>1273</v>
      </c>
      <c r="X500" s="72" t="str">
        <f>IF(ISERROR(W500/O500),"NA",IF(OR(W500/O500&gt;2,W500/O500&lt;0.5),"NM",W500/O500*100-100))</f>
        <v>NA</v>
      </c>
      <c r="Y500" s="145">
        <v>1258</v>
      </c>
      <c r="Z500" s="72" t="str">
        <f>IF(ISERROR(Y500/Q500),"NA",IF(OR(Y500/Q500&gt;2,Y500/Q500&lt;0.5),"NM",Y500/Q500*100-100))</f>
        <v>NA</v>
      </c>
      <c r="AA500" s="145">
        <f>AA110+AA68+AA230+AA301+AA189+AA368+AA406+AA441</f>
        <v>1079</v>
      </c>
      <c r="AB500" s="72">
        <f>IF(ISERROR(AA500/S500),"NA",IF(OR(AA500/S500&gt;2,AA500/S500&lt;0.5),"NM",AA500/S500*100-100))</f>
        <v>-12.702265372168284</v>
      </c>
      <c r="AC500" s="145">
        <f>AC110+AC68+AC230+AC301+AC189+AC368+AC406+AC441</f>
        <v>1097</v>
      </c>
      <c r="AD500" s="72">
        <f>IF(ISERROR(AC500/U500),"NA",IF(OR(AC500/U500&gt;2,AC500/U500&lt;0.5),"NM",AC500/U500*100-100))</f>
        <v>-16.450875856816452</v>
      </c>
      <c r="AE500" s="145">
        <f>AE110+AE68+AE230+AE301+AE189+AE368+AE406+AE441</f>
        <v>1072</v>
      </c>
      <c r="AF500" s="72">
        <f>IF(ISERROR(AE500/W500),"NA",IF(OR(AE500/W500&gt;2,AE500/W500&lt;0.5),"NM",AE500/W500*100-100))</f>
        <v>-15.789473684210535</v>
      </c>
      <c r="AG500" s="145">
        <f>AG110+AG68+AG230+AG301+AG189+AG368+AG406+AG441</f>
        <v>1083</v>
      </c>
      <c r="AH500" s="72">
        <f>IF(ISERROR(AG500/Y500),"NA",IF(OR(AG500/Y500&gt;2,AG500/Y500&lt;0.5),"NM",AG500/Y500*100-100))</f>
        <v>-13.910969793322735</v>
      </c>
      <c r="AI500" s="145">
        <f>AI110+AI68+AI230+AI301+AI189+AI368+AI406+AI441</f>
        <v>1125</v>
      </c>
      <c r="AJ500" s="72">
        <f>IF(ISERROR(AI500/AA500),"NA",IF(OR(AI500/AA500&gt;2,AI500/AA500&lt;0.5),"NM",AI500/AA500*100-100))</f>
        <v>4.2632066728452287</v>
      </c>
      <c r="AK500" s="145">
        <f>AK110+AK68+AK230+AK301+AK189+AK368+AK406+AK441</f>
        <v>1317</v>
      </c>
      <c r="AL500" s="72">
        <f>IF(ISERROR(AK500/AC500),"NA",IF(OR(AK500/AC500&gt;2,AK500/AC500&lt;0.5),"NM",AK500/AC500*100-100))</f>
        <v>20.054694621695532</v>
      </c>
      <c r="AM500" s="145">
        <f>AM110+AM68+AM230+AM301+AM189+AM368+AM406+AM441</f>
        <v>1356</v>
      </c>
      <c r="AN500" s="72">
        <f>IF(ISERROR(AM500/AE500),"NA",IF(OR(AM500/AE500&gt;2,AM500/AE500&lt;0.5),"NM",AM500/AE500*100-100))</f>
        <v>26.492537313432834</v>
      </c>
      <c r="AO500" s="145">
        <f>AO110+AO68+AO230+AO301+AO189+AO368+AO406+AO441</f>
        <v>1406</v>
      </c>
      <c r="AP500" s="72">
        <f>IF(ISERROR(AO500/AG500),"NA",IF(OR(AO500/AG500&gt;2,AO500/AG500&lt;0.5),"NM",AO500/AG500*100-100))</f>
        <v>29.824561403508767</v>
      </c>
      <c r="AQ500" s="145">
        <f>AQ110+AQ68+AQ230+AQ301+AQ189+AQ368+AQ406+AQ441</f>
        <v>1507</v>
      </c>
      <c r="AR500" s="72">
        <f>IF(ISERROR(AQ500/AI500),"NA",IF(OR(AQ500/AI500&gt;2,AQ500/AI500&lt;0.5),"NM",AQ500/AI500*100-100))</f>
        <v>33.955555555555549</v>
      </c>
      <c r="AS500" s="145">
        <f>AS110+AS68+AS230+AS301+AS189+AS368+AS406+AS441</f>
        <v>1497</v>
      </c>
      <c r="AT500" s="72">
        <f>IF(ISERROR(AS500/AK500),"NA",IF(OR(AS500/AK500&gt;2,AS500/AK500&lt;0.5),"NM",AS500/AK500*100-100))</f>
        <v>13.667425968109342</v>
      </c>
      <c r="AU500" s="145">
        <f>AU110+AU68+AU230+AU301+AU189+AU368+AU406+AU441</f>
        <v>1569</v>
      </c>
      <c r="AV500" s="72">
        <f>IF(ISERROR(AU500/AM500),"NA",IF(OR(AU500/AM500&gt;2,AU500/AM500&lt;0.5),"NM",AU500/AM500*100-100))</f>
        <v>15.707964601769902</v>
      </c>
      <c r="AW500" s="145">
        <f>AW110+AW68+AW230+AW301+AW189+AW368+AW406+AW441</f>
        <v>1616</v>
      </c>
      <c r="AX500" s="72">
        <f>IF(ISERROR(AW500/AO500),"NA",IF(OR(AW500/AO500&gt;2,AW500/AO500&lt;0.5),"NM",AW500/AO500*100-100))</f>
        <v>14.93598862019914</v>
      </c>
      <c r="AY500" s="145">
        <f>AY110+AY68+AY230+AY301+AY189+AY368+AY406+AY441</f>
        <v>1585</v>
      </c>
      <c r="AZ500" s="72">
        <f>IF(ISERROR(AY500/AQ500),"NA",IF(OR(AY500/AQ500&gt;2,AY500/AQ500&lt;0.5),"NM",AY500/AQ500*100-100))</f>
        <v>5.1758460517584695</v>
      </c>
      <c r="BA500" s="145">
        <f>BA110+BA68+BA230+BA301+BA189+BA368+BA406+BA441</f>
        <v>1675</v>
      </c>
      <c r="BB500" s="72">
        <f>IF(ISERROR(BA500/AS500),"NA",IF(OR(BA500/AS500&gt;2,BA500/AS500&lt;0.5),"NM",BA500/AS500*100-100))</f>
        <v>11.890447561790253</v>
      </c>
      <c r="BC500" s="145">
        <f>BC110+BC68+BC230+BC301+BC189+BC368+BC406+BC441</f>
        <v>1753</v>
      </c>
      <c r="BD500" s="72">
        <f>IF(ISERROR(BC500/AU500),"NA",IF(OR(BC500/AU500&gt;2,BC500/AU500&lt;0.5),"NM",BC500/AU500*100-100))</f>
        <v>11.727214786488219</v>
      </c>
      <c r="BE500" s="145">
        <f>BE110+BE68+BE230+BE301+BE189+BE368+BE406+BE441</f>
        <v>1794</v>
      </c>
      <c r="BF500" s="72">
        <f>IF(ISERROR(BE500/AW500),"NA",IF(OR(BE500/AW500&gt;2,BE500/AW500&lt;0.5),"NM",BE500/AW500*100-100))</f>
        <v>11.014851485148512</v>
      </c>
      <c r="BG500" s="145">
        <f>BG110+BG68+BG230+BG301+BG189+BG368+BG406+BG441</f>
        <v>1790</v>
      </c>
      <c r="BH500" s="72">
        <f>IF(ISERROR(BG500/AY500),"NA",IF(OR(BG500/AY500&gt;2,BG500/AY500&lt;0.5),"NM",BG500/AY500*100-100))</f>
        <v>12.933753943217681</v>
      </c>
      <c r="BI500" s="145">
        <f>BI110+BI68+BI230+BI301+BI189+BI368+BI406+BI441</f>
        <v>1851</v>
      </c>
      <c r="BJ500" s="72">
        <f>IF(ISERROR(BI500/BA500),"NA",IF(OR(BI500/BA500&gt;2,BI500/BA500&lt;0.5),"NM",BI500/BA500*100-100))</f>
        <v>10.507462686567166</v>
      </c>
      <c r="BK500" s="145">
        <f>BK110+BK68+BK230+BK301+BK189+BK368+BK406+BK441</f>
        <v>1876</v>
      </c>
      <c r="BL500" s="72">
        <f>IF(ISERROR(BK500/BC500),"NA",IF(OR(BK500/BC500&gt;2,BK500/BC500&lt;0.5),"NM",BK500/BC500*100-100))</f>
        <v>7.0165430690245216</v>
      </c>
      <c r="BM500" s="145">
        <f>BM110+BM68+BM230+BM301+BM189+BM368+BM406+BM441</f>
        <v>1926</v>
      </c>
      <c r="BN500" s="72">
        <f>IF(ISERROR(BM500/BE500),"NA",IF(OR(BM500/BE500&gt;2,BM500/BE500&lt;0.5),"NM",BM500/BE500*100-100))</f>
        <v>7.3578595317725757</v>
      </c>
      <c r="BO500" s="145">
        <f>BO110+BO68+BO230+BO301+BO189+BO368+BO406+BO441</f>
        <v>1922</v>
      </c>
      <c r="BP500" s="72">
        <f>IF(ISERROR(BO500/BG500),"NA",IF(OR(BO500/BG500&gt;2,BO500/BG500&lt;0.5),"NM",BO500/BG500*100-100))</f>
        <v>7.3743016759776623</v>
      </c>
      <c r="BQ500" s="145">
        <f>BQ110+BQ68+BQ230+BQ301+BQ189+BQ368+BQ406+BQ441</f>
        <v>1998</v>
      </c>
      <c r="BR500" s="72">
        <f>IF(ISERROR(BQ500/BI500),"NA",IF(OR(BQ500/BI500&gt;2,BQ500/BI500&lt;0.5),"NM",BQ500/BI500*100-100))</f>
        <v>7.9416531604538108</v>
      </c>
      <c r="BS500" s="145">
        <f>BS110+BS68+BS230+BS301+BS189+BS368+BS406+BS441</f>
        <v>1930</v>
      </c>
      <c r="BT500" s="72">
        <f>IF(ISERROR(BS500/BK500),"NA",IF(OR(BS500/BK500&gt;2,BS500/BK500&lt;0.5),"NM",BS500/BK500*100-100))</f>
        <v>2.8784648187633195</v>
      </c>
      <c r="BU500" s="145">
        <f>BU110+BU68+BU230+BU301+BU189+BU368+BU406+BU441</f>
        <v>1981</v>
      </c>
      <c r="BV500" s="72">
        <f>IF(ISERROR(BU500/BM500),"NA",IF(OR(BU500/BM500&gt;2,BU500/BM500&lt;0.5),"NM",BU500/BM500*100-100))</f>
        <v>2.8556593977154847</v>
      </c>
      <c r="BW500" s="145">
        <f>BW110+BW68+BW230+BW301+BW189+BW368+BW406+BW441</f>
        <v>2030</v>
      </c>
      <c r="BX500" s="72">
        <f>IF(ISERROR(BW500/BO500),"NA",IF(OR(BW500/BO500&gt;2,BW500/BO500&lt;0.5),"NM",BW500/BO500*100-100))</f>
        <v>5.619146722164416</v>
      </c>
      <c r="BY500" s="145">
        <f>BY110+BY68+BY230+BY301+BY189+BY368+BY406+BY441</f>
        <v>1973</v>
      </c>
      <c r="BZ500" s="72">
        <f>IF(ISERROR(BY500/BQ500),"NA",IF(OR(BY500/BQ500&gt;2,BY500/BQ500&lt;0.5),"NM",BY500/BQ500*100-100))</f>
        <v>-1.2512512512512473</v>
      </c>
      <c r="CA500" s="145">
        <f>CA110+CA68+CA230+CA301+CA189+CA368+CA406+CA441</f>
        <v>1990</v>
      </c>
      <c r="CB500" s="72">
        <f>IF(ISERROR(CA500/BS500),"NA",IF(OR(CA500/BS500&gt;2,CA500/BS500&lt;0.5),"NM",CA500/BS500*100-100))</f>
        <v>3.1088082901554515</v>
      </c>
      <c r="CC500" s="145">
        <f>CC110+CC68+CC230+CC301+CC189+CC368+CC406+CC441</f>
        <v>1989</v>
      </c>
      <c r="CD500" s="72">
        <f>IF(ISERROR(CC500/BU500),"NA",IF(OR(CC500/BU500&gt;2,CC500/BU500&lt;0.5),"NM",CC500/BU500*100-100))</f>
        <v>0.40383644623926784</v>
      </c>
      <c r="CE500" s="145">
        <f>CE110+CE68+CE230+CE301+CE189+CE368+CE406+CE441</f>
        <v>2005</v>
      </c>
      <c r="CF500" s="72">
        <f>IF(ISERROR(CE500/BW500),"NA",IF(OR(CE500/BW500&gt;2,CE500/BW500&lt;0.5),"NM",CE500/BW500*100-100))</f>
        <v>-1.2315270935960569</v>
      </c>
      <c r="CG500" s="145">
        <f>CG110+CG68+CG230+CG301+CG189+CG368+CG406+CG441</f>
        <v>2019</v>
      </c>
      <c r="CH500" s="72">
        <f>IF(ISERROR(CG500/BY500),"NA",IF(OR(CG500/BY500&gt;2,CG500/BY500&lt;0.5),"NM",CG500/BY500*100-100))</f>
        <v>2.3314749113025925</v>
      </c>
      <c r="CI500" s="145">
        <f>CI110+CI68+CI230+CI301+CI189+CI368+CI406+CI441</f>
        <v>2107</v>
      </c>
      <c r="CJ500" s="72">
        <f>IF(ISERROR(CI500/CA500),"NA",IF(OR(CI500/CA500&gt;2,CI500/CA500&lt;0.5),"NM",CI500/CA500*100-100))</f>
        <v>5.8793969849246395</v>
      </c>
      <c r="CK500" s="145">
        <f>CK110+CK68+CK230+CK301+CK189+CK368+CK406+CK441</f>
        <v>2146</v>
      </c>
      <c r="CL500" s="72">
        <f>IF(ISERROR(CK500/CC500),"NA",IF(OR(CK500/CC500&gt;2,CK500/CC500&lt;0.5),"NM",CK500/CC500*100-100))</f>
        <v>7.8934137757667173</v>
      </c>
      <c r="CM500" s="145">
        <f>CM110+CM68+CM230+CM301+CM189+CM368+CM406+CM441</f>
        <v>2216</v>
      </c>
      <c r="CN500" s="72">
        <f>IF(ISERROR(CM500/CE500),"NA",IF(OR(CM500/CE500&gt;2,CM500/CE500&lt;0.5),"NM",CM500/CE500*100-100))</f>
        <v>10.523690773067344</v>
      </c>
      <c r="CO500" s="145">
        <f>CO110+CO68+CO230+CO301+CO189+CO368+CO406+CO441</f>
        <v>2413</v>
      </c>
      <c r="CP500" s="72">
        <f>IF(ISERROR(CO500/CG500),"NA",IF(OR(CO500/CG500&gt;2,CO500/CG500&lt;0.5),"NM",CO500/CG500*100-100))</f>
        <v>19.51461119366023</v>
      </c>
      <c r="CQ500" s="145">
        <f>CQ110+CQ68+CQ230+CQ301+CQ189+CQ368+CQ406+CQ441</f>
        <v>2418</v>
      </c>
      <c r="CR500" s="72">
        <f>IF(ISERROR(CQ500/CI500),"NA",IF(OR(CQ500/CI500&gt;2,CQ500/CI500&lt;0.5),"NM",CQ500/CI500*100-100))</f>
        <v>14.760322733744658</v>
      </c>
      <c r="CS500" s="145">
        <f>CS110+CS68+CS230+CS301+CS189+CS368+CS406+CS441</f>
        <v>2418</v>
      </c>
      <c r="CT500" s="72">
        <f>IF(ISERROR(CS500/CK500),"NA",IF(OR(CS500/CK500&gt;2,CS500/CK500&lt;0.5),"NM",CS500/CK500*100-100))</f>
        <v>12.674743709226476</v>
      </c>
      <c r="CU500" s="145">
        <f>CU110+CU68+CU230+CU301+CU189+CU368+CU406+CU441</f>
        <v>2413</v>
      </c>
      <c r="CV500" s="72">
        <f>IF(ISERROR(CU500/CM500),"NA",IF(OR(CU500/CM500&gt;2,CU500/CM500&lt;0.5),"NM",CU500/CM500*100-100))</f>
        <v>8.8898916967508939</v>
      </c>
      <c r="CW500" s="145">
        <f>CW110+CW68+CW230+CW301+CW189+CW368+CW406+CW441</f>
        <v>2415</v>
      </c>
      <c r="CX500" s="72">
        <f>IF(ISERROR(CW500/CO500),"NA",IF(OR(CW500/CO500&gt;2,CW500/CO500&lt;0.5),"NM",CW500/CO500*100-100))</f>
        <v>8.2884376295069728E-2</v>
      </c>
      <c r="CY500" s="145">
        <f>CY110+CY68+CY230+CY301+CY189+CY368+CY406+CY441</f>
        <v>2530</v>
      </c>
      <c r="CZ500" s="72">
        <f>IF(ISERROR(CY500/CQ500),"NA",IF(OR(CY500/CQ500&gt;2,CY500/CQ500&lt;0.5),"NM",CY500/CQ500*100-100))</f>
        <v>4.6319272125723785</v>
      </c>
      <c r="DA500" s="145">
        <f>DA110+DA68+DA230+DA301+DA189+DA368+DA406+DA441</f>
        <v>2609</v>
      </c>
      <c r="DB500" s="72">
        <f>IF(ISERROR(DA500/CS500),"NA",IF(OR(DA500/CS500&gt;2,DA500/CS500&lt;0.5),"NM",DA500/CS500*100-100))</f>
        <v>7.8990901571546601</v>
      </c>
      <c r="DC500" s="145">
        <f>DC110+DC68+DC230+DC301+DC189+DC368+DC406+DC441</f>
        <v>2726</v>
      </c>
      <c r="DD500" s="72">
        <f>IF(ISERROR(DC500/CU500),"NA",IF(OR(DC500/CU500&gt;2,DC500/CU500&lt;0.5),"NM",DC500/CU500*100-100))</f>
        <v>12.971404890178206</v>
      </c>
      <c r="DE500" s="145">
        <f>DE110+DE68+DE230+DE301+DE189+DE368+DE406+DE441</f>
        <v>2807</v>
      </c>
      <c r="DF500" s="72">
        <f>IF(ISERROR(DE500/CW500),"NA",IF(OR(DE500/CW500&gt;2,DE500/CW500&lt;0.5),"NM",DE500/CW500*100-100))</f>
        <v>16.23188405797103</v>
      </c>
      <c r="DG500" s="145">
        <f>DG110+DG68+DG230+DG301+DG189+DG368+DG406+DG441</f>
        <v>2779</v>
      </c>
      <c r="DH500" s="72">
        <f>IF(ISERROR(DG500/CY500),"NA",IF(OR(DG500/CY500&gt;2,DG500/CY500&lt;0.5),"NM",DG500/CY500*100-100))</f>
        <v>9.8418972332015926</v>
      </c>
      <c r="DI500" s="145">
        <f>DI110+DI68+DI230+DI301+DI189+DI368+DI406+DI441</f>
        <v>2832</v>
      </c>
      <c r="DJ500" s="72">
        <f>IF(ISERROR(DI500/DA500),"NA",IF(OR(DI500/DA500&gt;2,DI500/DA500&lt;0.5),"NM",DI500/DA500*100-100))</f>
        <v>8.5473361441165139</v>
      </c>
      <c r="DK500" s="145">
        <f>DK110+DK68+DK230+DK301+DK189+DK368+DK406+DK441</f>
        <v>2918</v>
      </c>
      <c r="DL500" s="72">
        <f>IF(ISERROR(DK500/DC500),"NA",IF(OR(DK500/DC500&gt;2,DK500/DC500&lt;0.5),"NM",DK500/DC500*100-100))</f>
        <v>7.0432868672046993</v>
      </c>
      <c r="DM500" s="145">
        <f>DM110+DM68+DM230+DM301+DM189+DM368+DM406+DM441</f>
        <v>2861</v>
      </c>
      <c r="DN500" s="72">
        <f t="shared" si="2368"/>
        <v>1.9237620235126514</v>
      </c>
      <c r="DO500" s="145">
        <f>DO110+DO68+DO230+DO301+DO189+DO368+DO406+DO441</f>
        <v>2937</v>
      </c>
      <c r="DP500" s="72">
        <f t="shared" si="2368"/>
        <v>5.6854983807124881</v>
      </c>
      <c r="DQ500" s="145">
        <f>DQ110+DQ68+DQ230+DQ301+DQ189+DQ368+DQ406+DQ441</f>
        <v>2910</v>
      </c>
      <c r="DR500" s="72">
        <f t="shared" si="2368"/>
        <v>2.7542372881355988</v>
      </c>
      <c r="DS500" s="145">
        <f>DS110+DS68+DS230+DS301+DS189+DS368+DS406+DS441</f>
        <v>2865</v>
      </c>
      <c r="DT500" s="72">
        <f t="shared" si="2368"/>
        <v>-1.816312542837565</v>
      </c>
      <c r="DU500" s="145">
        <f>DU110+DU68+DU230+DU301+DU189+DU368+DU406+DU441</f>
        <v>2836</v>
      </c>
      <c r="DV500" s="72">
        <f t="shared" si="2368"/>
        <v>-0.87382034253758434</v>
      </c>
      <c r="DW500" s="145">
        <f>DW110+DW68+DW230+DW301+DW189+DW368+DW406+DW441</f>
        <v>2879</v>
      </c>
      <c r="DX500" s="72">
        <f t="shared" si="2368"/>
        <v>-1.9748042219952282</v>
      </c>
      <c r="DY500" s="145">
        <f>DY110+DY68+DY230+DY301+DY189+DY368+DY406+DY441</f>
        <v>2828</v>
      </c>
      <c r="DZ500" s="72">
        <f t="shared" si="2368"/>
        <v>-2.8178694158075643</v>
      </c>
      <c r="EA500" s="145">
        <f>EA110+EA68+EA230+EA301+EA189+EA368+EA406+EA441</f>
        <v>2900</v>
      </c>
      <c r="EB500" s="72">
        <f>IF(ISERROR(EA500/DS500),"NA",IF(OR(EA500/DS500&gt;2,EA500/DS500&lt;0.5),"NM",EA500/DS500*100-100))</f>
        <v>1.221640488656206</v>
      </c>
      <c r="EC500" s="145">
        <f>EC110+EC68+EC230+EC301+EC189+EC368+EC406+EC441</f>
        <v>2991</v>
      </c>
      <c r="ED500" s="72">
        <f>IF(ISERROR(EC500/DU500),"NA",IF(OR(EC500/DU500&gt;2,EC500/DU500&lt;0.5),"NM",EC500/DU500*100-100))</f>
        <v>5.4654442877291984</v>
      </c>
      <c r="EE500" s="145">
        <f>EE110+EE68+EE230+EE301+EE189+EE368+EE406+EE441</f>
        <v>3179</v>
      </c>
      <c r="EF500" s="72">
        <f>IF(ISERROR(EE500/DW500),"NA",IF(OR(EE500/DW500&gt;2,EE500/DW500&lt;0.5),"NM",EE500/DW500*100-100))</f>
        <v>10.420284821118457</v>
      </c>
      <c r="EG500" s="145">
        <f>EG110+EG68+EG230+EG301+EG189+EG368+EG406+EG441</f>
        <v>3160</v>
      </c>
      <c r="EH500" s="72">
        <f>IF(ISERROR(EG500/DY500),"NA",IF(OR(EG500/DY500&gt;2,EG500/DY500&lt;0.5),"NM",EG500/DY500*100-100))</f>
        <v>11.739745403111741</v>
      </c>
      <c r="EI500" s="145">
        <f>EI110+EI68+EI230+EI301+EI189+EI368+EI406+EI441</f>
        <v>3222</v>
      </c>
      <c r="EJ500" s="72">
        <f>IF(ISERROR(EI500/EA500),"NA",IF(OR(EI500/EA500&gt;2,EI500/EA500&lt;0.5),"NM",EI500/EA500*100-100))</f>
        <v>11.103448275862064</v>
      </c>
      <c r="EK500" s="145">
        <f>EK110+EK68+EK230+EK301+EK189+EK368+EK406+EK441</f>
        <v>3221</v>
      </c>
      <c r="EL500" s="72">
        <f>IF(ISERROR(EK500/EC500),"NA",IF(OR(EK500/EC500&gt;2,EK500/EC500&lt;0.5),"NM",EK500/EC500*100-100))</f>
        <v>7.6897358742895392</v>
      </c>
      <c r="EM500" s="145">
        <f>EM110+EM68+EM230+EM301+EM189+EM368+EM406+EM441</f>
        <v>3225</v>
      </c>
      <c r="EN500" s="72">
        <f>IF(ISERROR(EM500/EE500),"NA",IF(OR(EM500/EE500&gt;2,EM500/EE500&lt;0.5),"NM",EM500/EE500*100-100))</f>
        <v>1.4469959106637305</v>
      </c>
      <c r="EO500" s="145">
        <f>EO110+EO68+EO230+EO301+EO189+EO368+EO406+EO441</f>
        <v>3338</v>
      </c>
      <c r="EP500" s="72">
        <f>IF(ISERROR(EO500/EG500),"NA",IF(OR(EO500/EG500&gt;2,EO500/EG500&lt;0.5),"NM",EO500/EG500*100-100))</f>
        <v>5.6329113924050773</v>
      </c>
      <c r="EQ500" s="144">
        <f>EQ110+EQ68+EQ230+EQ301+EQ189+EQ368+EQ406+EQ441</f>
        <v>3242.9784272266988</v>
      </c>
      <c r="ER500" s="72">
        <f t="shared" si="2369"/>
        <v>0.65109954148661586</v>
      </c>
      <c r="ES500" s="144">
        <f>ES110+ES68+ES230+ES301+ES189+ES368+ES406+ES441</f>
        <v>3264.406037382053</v>
      </c>
      <c r="ET500" s="72">
        <f t="shared" si="2370"/>
        <v>1.347595075506149</v>
      </c>
      <c r="EU500" s="144">
        <f>EU110+EU68+EU230+EU301+EU189+EU368+EU406+EU441</f>
        <v>3305.8341886623948</v>
      </c>
      <c r="EV500" s="72">
        <f t="shared" si="2371"/>
        <v>2.5064864701517706</v>
      </c>
      <c r="EW500" s="144">
        <f>EW110+EW68+EW230+EW301+EW189+EW368+EW406+EW441</f>
        <v>3337.0055228214142</v>
      </c>
      <c r="EX500" s="72">
        <f t="shared" si="2372"/>
        <v>-2.979260570957365E-2</v>
      </c>
      <c r="EY500" s="72"/>
      <c r="EZ500" s="296"/>
      <c r="FA500" s="72"/>
      <c r="FB500" s="9"/>
      <c r="FC500" s="11"/>
      <c r="FD500" s="9"/>
      <c r="FE500" s="72"/>
      <c r="FF500" s="16"/>
      <c r="FG500" s="72"/>
      <c r="FH500" s="144"/>
      <c r="FI500" s="72"/>
      <c r="FJ500" s="144">
        <f>FJ110+FJ68+FJ230+FJ301+FJ189+FJ368+FJ406+FJ441</f>
        <v>4264</v>
      </c>
      <c r="FK500" s="72" t="str">
        <f>IF(ISERROR(FJ500/FH500),"NA",IF(OR(FJ500/FH500&gt;2,FJ500/FH500&lt;0.5),"NM",FJ500/FH500*100-100))</f>
        <v>NA</v>
      </c>
      <c r="FL500" s="144">
        <f>FL110+FL68+FL230+FL301+FL189+FL368+FL406+FL441</f>
        <v>4331</v>
      </c>
      <c r="FM500" s="72">
        <f>IF(ISERROR(FL500/FJ500),"NA",IF(OR(FL500/FJ500&gt;2,FL500/FJ500&lt;0.5),"NM",FL500/FJ500*100-100))</f>
        <v>1.5712945590994281</v>
      </c>
      <c r="FN500" s="144">
        <f>FN110+FN68+FN230+FN301+FN189+FN368+FN406+FN441</f>
        <v>5204</v>
      </c>
      <c r="FO500" s="72">
        <f>IF(ISERROR(FN500/FL500),"NA",IF(OR(FN500/FL500&gt;2,FN500/FL500&lt;0.5),"NM",FN500/FL500*100-100))</f>
        <v>20.157007619487416</v>
      </c>
      <c r="FP500" s="144">
        <f>FP110+FP68+FP230+FP301+FP189+FP368+FP406+FP441</f>
        <v>6189</v>
      </c>
      <c r="FQ500" s="72">
        <f>IF(ISERROR(FP500/FN500),"NA",IF(OR(FP500/FN500&gt;2,FP500/FN500&lt;0.5),"NM",FP500/FN500*100-100))</f>
        <v>18.927747886241349</v>
      </c>
      <c r="FR500" s="144">
        <f>FR110+FR68+FR230+FR301+FR189+FR368+FR406+FR441</f>
        <v>6807</v>
      </c>
      <c r="FS500" s="72">
        <f>IF(ISERROR(FR500/FP500),"NA",IF(OR(FR500/FP500&gt;2,FR500/FP500&lt;0.5),"NM",FR500/FP500*100-100))</f>
        <v>9.9854580707707186</v>
      </c>
      <c r="FT500" s="144">
        <f>FT110+FT68+FT230+FT301+FT189+FT368+FT406+FT441</f>
        <v>7443</v>
      </c>
      <c r="FU500" s="72">
        <f>IF(ISERROR(FT500/FR500),"NA",IF(OR(FT500/FR500&gt;2,FT500/FR500&lt;0.5),"NM",FT500/FR500*100-100))</f>
        <v>9.3433230498016826</v>
      </c>
      <c r="FV500" s="144">
        <f>FV110+FV68+FV230+FV301+FV189+FV368+FV406+FV441</f>
        <v>7843</v>
      </c>
      <c r="FW500" s="72">
        <f>IF(ISERROR(FV500/FT500),"NA",IF(OR(FV500/FT500&gt;2,FV500/FT500&lt;0.5),"NM",FV500/FT500*100-100))</f>
        <v>5.3741770791347676</v>
      </c>
      <c r="FX500" s="144">
        <f>FX110+FX68+FX230+FX301+FX189+FX368+FX406+FX441</f>
        <v>7982</v>
      </c>
      <c r="FY500" s="72">
        <f>IF(ISERROR(FX500/FV500),"NA",IF(OR(FX500/FV500&gt;2,FX500/FV500&lt;0.5),"NM",FX500/FV500*100-100))</f>
        <v>1.7722810149177519</v>
      </c>
      <c r="FZ500" s="144">
        <f>FZ110+FZ68+FZ230+FZ301+FZ189+FZ368+FZ406+FZ441</f>
        <v>8277</v>
      </c>
      <c r="GA500" s="72">
        <f>IF(ISERROR(FZ500/FX500),"NA",IF(OR(FZ500/FX500&gt;2,FZ500/FX500&lt;0.5),"NM",FZ500/FX500*100-100))</f>
        <v>3.6958155850663985</v>
      </c>
      <c r="GB500" s="144">
        <f>GB110+GB68+GB230+GB301+GB189+GB368+GB406+GB441</f>
        <v>9465</v>
      </c>
      <c r="GC500" s="72">
        <f>IF(ISERROR(GB500/FZ500),"NA",IF(OR(GB500/FZ500&gt;2,GB500/FZ500&lt;0.5),"NM",GB500/FZ500*100-100))</f>
        <v>14.353026458861919</v>
      </c>
      <c r="GD500" s="144">
        <f>GD110+GD68+GD230+GD301+GD189+GD368+GD406+GD441</f>
        <v>9967</v>
      </c>
      <c r="GE500" s="72">
        <f>IF(ISERROR(GD500/GB500),"NA",IF(OR(GD500/GB500&gt;2,GD500/GB500&lt;0.5),"NM",GD500/GB500*100-100))</f>
        <v>5.3037506603275375</v>
      </c>
      <c r="GF500" s="144">
        <f>GF110+GF68+GF230+GF301+GF189+GF368+GF406+GF441</f>
        <v>11144</v>
      </c>
      <c r="GG500" s="72">
        <f>IF(ISERROR(GF500/GD500),"NA",IF(OR(GF500/GD500&gt;2,GF500/GD500&lt;0.5),"NM",GF500/GD500*100-100))</f>
        <v>11.808969599678946</v>
      </c>
      <c r="GH500" s="144">
        <f>GH110+GH68+GH230+GH301+GH189+GH368+GH406+GH441</f>
        <v>11626</v>
      </c>
      <c r="GI500" s="72">
        <f t="shared" si="2373"/>
        <v>4.3251974156496686</v>
      </c>
      <c r="GJ500" s="144">
        <f>GJ110+GJ68+GJ230+GJ301+GJ189+GJ368+GJ406+GJ441</f>
        <v>11408</v>
      </c>
      <c r="GK500" s="72">
        <f t="shared" si="2373"/>
        <v>-1.875107517632884</v>
      </c>
      <c r="GL500" s="144">
        <f>GL110+GL68+GL230+GL301+GL189+GL368+GL406+GL441</f>
        <v>12230</v>
      </c>
      <c r="GM500" s="72">
        <f t="shared" si="2373"/>
        <v>7.2054698457223054</v>
      </c>
      <c r="GN500" s="144">
        <f>GN110+GN68+GN230+GN301+GN189+GN368+GN406+GN441</f>
        <v>13006</v>
      </c>
      <c r="GO500" s="72">
        <f t="shared" si="2373"/>
        <v>6.3450531479967367</v>
      </c>
      <c r="GP500" s="144">
        <f>GP110+GP68+GP230+GP301+GP189+GP368+GP406+GP441</f>
        <v>13150.224176092561</v>
      </c>
      <c r="GQ500" s="72">
        <f t="shared" si="2373"/>
        <v>1.108904936894973</v>
      </c>
      <c r="GR500" s="144">
        <f>GR110+GR68+GR230+GR301+GR189+GR368+GR406+GR441</f>
        <v>13514.672565439952</v>
      </c>
      <c r="GS500" s="72">
        <f t="shared" si="2373"/>
        <v>2.7714233952754057</v>
      </c>
      <c r="GT500" s="144">
        <f>GT110+GT68+GT230+GT301+GT189+GT368+GT406+GT441</f>
        <v>13887.845483147896</v>
      </c>
      <c r="GU500" s="72">
        <f t="shared" si="2373"/>
        <v>2.7612427596820197</v>
      </c>
      <c r="GV500" s="144">
        <f>GV110+GV68+GV230+GV301+GV189+GV368+GV406+GV441</f>
        <v>14276.039210039637</v>
      </c>
      <c r="GW500" s="72">
        <f>IF(ISERROR(GV500/GT500),"NA",IF(OR(GV500/GT500&gt;2,GV500/GT500&lt;0.5),"NM",GV500/GT500*100-100))</f>
        <v>2.7952048239793044</v>
      </c>
      <c r="GX500" s="144">
        <f>GX110+GX68+GX230+GX301+GX189+GX368+GX406+GX441</f>
        <v>14679.860530966362</v>
      </c>
      <c r="GY500" s="72">
        <f>IF(ISERROR(GX500/GV500),"NA",IF(OR(GX500/GV500&gt;2,GX500/GV500&lt;0.5),"NM",GX500/GV500*100-100))</f>
        <v>2.8286649748253438</v>
      </c>
      <c r="GZ500" s="72">
        <f>IF(ISERROR(((GX500/GN500)^0.2-1)*100),"NA",IF((((GX500/GN500)^0.2-1)*100)&gt;100,"NM",IF((((GX500/GN500)^0.2-1)*100)&lt;-50,"NM",((GX500/GN500)^0.2-1)*100)))</f>
        <v>2.4508665174623356</v>
      </c>
      <c r="HA500" s="72"/>
      <c r="HB500" s="72"/>
      <c r="HC500"/>
      <c r="HD500"/>
      <c r="HE500"/>
      <c r="HF500"/>
      <c r="HG500"/>
      <c r="HH500"/>
      <c r="HI500" s="2"/>
    </row>
    <row r="501" spans="1:217" s="3" customFormat="1" ht="12.75" customHeight="1" x14ac:dyDescent="0.2">
      <c r="B501" s="77" t="s">
        <v>293</v>
      </c>
      <c r="C501" s="145"/>
      <c r="D501" s="11"/>
      <c r="E501" s="145"/>
      <c r="F501" s="11"/>
      <c r="G501" s="145"/>
      <c r="H501" s="11"/>
      <c r="I501" s="145"/>
      <c r="J501" s="11"/>
      <c r="K501" s="145"/>
      <c r="L501" s="72"/>
      <c r="M501" s="145"/>
      <c r="N501" s="72"/>
      <c r="O501" s="145"/>
      <c r="P501" s="72"/>
      <c r="Q501" s="145"/>
      <c r="R501" s="72"/>
      <c r="S501" s="145">
        <v>1075</v>
      </c>
      <c r="T501" s="72" t="str">
        <f>IF(ISERROR(S501/K501),"NA",IF(OR(S501/K501&gt;2,S501/K501&lt;0.5),"NM",S501/K501*100-100))</f>
        <v>NA</v>
      </c>
      <c r="U501" s="145">
        <v>1031</v>
      </c>
      <c r="V501" s="72" t="str">
        <f>IF(ISERROR(U501/M501),"NA",IF(OR(U501/M501&gt;2,U501/M501&lt;0.5),"NM",U501/M501*100-100))</f>
        <v>NA</v>
      </c>
      <c r="W501" s="145">
        <v>993</v>
      </c>
      <c r="X501" s="72" t="str">
        <f>IF(ISERROR(W501/O501),"NA",IF(OR(W501/O501&gt;2,W501/O501&lt;0.5),"NM",W501/O501*100-100))</f>
        <v>NA</v>
      </c>
      <c r="Y501" s="145">
        <v>968</v>
      </c>
      <c r="Z501" s="72" t="str">
        <f>IF(ISERROR(Y501/Q501),"NA",IF(OR(Y501/Q501&gt;2,Y501/Q501&lt;0.5),"NM",Y501/Q501*100-100))</f>
        <v>NA</v>
      </c>
      <c r="AA501" s="145">
        <f>AA111+AA71+AA231+AA302+AA346+AA190+AA369+AA407+AA442+AA486</f>
        <v>425</v>
      </c>
      <c r="AB501" s="72" t="str">
        <f>IF(ISERROR(AA501/S501),"NA",IF(OR(AA501/S501&gt;2,AA501/S501&lt;0.5),"NM",AA501/S501*100-100))</f>
        <v>NM</v>
      </c>
      <c r="AC501" s="145">
        <f>AC111+AC71+AC231+AC302+AC346+AC190+AC369+AC407+AC442+AC486</f>
        <v>474</v>
      </c>
      <c r="AD501" s="72" t="str">
        <f>IF(ISERROR(AC501/U501),"NA",IF(OR(AC501/U501&gt;2,AC501/U501&lt;0.5),"NM",AC501/U501*100-100))</f>
        <v>NM</v>
      </c>
      <c r="AE501" s="145">
        <f>AE111+AE71+AE231+AE302+AE346+AE190+AE369+AE407+AE442+AE486</f>
        <v>558</v>
      </c>
      <c r="AF501" s="72">
        <f>IF(ISERROR(AE501/W501),"NA",IF(OR(AE501/W501&gt;2,AE501/W501&lt;0.5),"NM",AE501/W501*100-100))</f>
        <v>-43.80664652567976</v>
      </c>
      <c r="AG501" s="145">
        <f>AG111+AG71+AG231+AG302+AG346+AG190+AG369+AG407+AG442+AG486</f>
        <v>561</v>
      </c>
      <c r="AH501" s="72">
        <f>IF(ISERROR(AG501/Y501),"NA",IF(OR(AG501/Y501&gt;2,AG501/Y501&lt;0.5),"NM",AG501/Y501*100-100))</f>
        <v>-42.04545454545454</v>
      </c>
      <c r="AI501" s="145">
        <f>AI111+AI71+AI231+AI302+AI346+AI190+AI369+AI407+AI442+AI486</f>
        <v>589</v>
      </c>
      <c r="AJ501" s="72">
        <f>IF(ISERROR(AI501/AA501),"NA",IF(OR(AI501/AA501&gt;2,AI501/AA501&lt;0.5),"NM",AI501/AA501*100-100))</f>
        <v>38.588235294117652</v>
      </c>
      <c r="AK501" s="145">
        <f>AK111+AK71+AK231+AK302+AK346+AK190+AK369+AK407+AK442+AK486</f>
        <v>689.6</v>
      </c>
      <c r="AL501" s="72">
        <f>IF(ISERROR(AK501/AC501),"NA",IF(OR(AK501/AC501&gt;2,AK501/AC501&lt;0.5),"NM",AK501/AC501*100-100))</f>
        <v>45.485232067510566</v>
      </c>
      <c r="AM501" s="145">
        <f>AM111+AM71+AM231+AM302+AM346+AM190+AM369+AM407+AM442+AM486</f>
        <v>675</v>
      </c>
      <c r="AN501" s="72">
        <f>IF(ISERROR(AM501/AE501),"NA",IF(OR(AM501/AE501&gt;2,AM501/AE501&lt;0.5),"NM",AM501/AE501*100-100))</f>
        <v>20.967741935483872</v>
      </c>
      <c r="AO501" s="145">
        <f>AO111+AO71+AO231+AO302+AO346+AO190+AO369+AO407+AO442+AO486</f>
        <v>716</v>
      </c>
      <c r="AP501" s="72">
        <f>IF(ISERROR(AO501/AG501),"NA",IF(OR(AO501/AG501&gt;2,AO501/AG501&lt;0.5),"NM",AO501/AG501*100-100))</f>
        <v>27.629233511586463</v>
      </c>
      <c r="AQ501" s="145">
        <f>AQ111+AQ71+AQ231+AQ302+AQ346+AQ190+AQ369+AQ407+AQ442+AQ486</f>
        <v>793</v>
      </c>
      <c r="AR501" s="72">
        <f>IF(ISERROR(AQ501/AI501),"NA",IF(OR(AQ501/AI501&gt;2,AQ501/AI501&lt;0.5),"NM",AQ501/AI501*100-100))</f>
        <v>34.634974533106941</v>
      </c>
      <c r="AS501" s="145">
        <f>AS111+AS71+AS231+AS302+AS346+AS190+AS369+AS407+AS442+AS486</f>
        <v>713</v>
      </c>
      <c r="AT501" s="72">
        <f>IF(ISERROR(AS501/AK501),"NA",IF(OR(AS501/AK501&gt;2,AS501/AK501&lt;0.5),"NM",AS501/AK501*100-100))</f>
        <v>3.3932714617169353</v>
      </c>
      <c r="AU501" s="145">
        <f>AU111+AU71+AU231+AU302+AU346+AU190+AU369+AU407+AU442+AU486</f>
        <v>905</v>
      </c>
      <c r="AV501" s="72">
        <f>IF(ISERROR(AU501/AM501),"NA",IF(OR(AU501/AM501&gt;2,AU501/AM501&lt;0.5),"NM",AU501/AM501*100-100))</f>
        <v>34.074074074074076</v>
      </c>
      <c r="AW501" s="145">
        <f>AW111+AW71+AW231+AW302+AW346+AW190+AW369+AW407+AW442+AW486</f>
        <v>708</v>
      </c>
      <c r="AX501" s="72">
        <f>IF(ISERROR(AW501/AO501),"NA",IF(OR(AW501/AO501&gt;2,AW501/AO501&lt;0.5),"NM",AW501/AO501*100-100))</f>
        <v>-1.1173184357541857</v>
      </c>
      <c r="AY501" s="145">
        <f>AY111+AY71+AY231+AY302+AY346+AY190+AY369+AY407+AY442+AY486</f>
        <v>809</v>
      </c>
      <c r="AZ501" s="72">
        <f>IF(ISERROR(AY501/AQ501),"NA",IF(OR(AY501/AQ501&gt;2,AY501/AQ501&lt;0.5),"NM",AY501/AQ501*100-100))</f>
        <v>2.017654476670856</v>
      </c>
      <c r="BA501" s="145">
        <f>BA111+BA71+BA231+BA302+BA346+BA190+BA369+BA407+BA442+BA486</f>
        <v>934</v>
      </c>
      <c r="BB501" s="72">
        <f>IF(ISERROR(BA501/AS501),"NA",IF(OR(BA501/AS501&gt;2,BA501/AS501&lt;0.5),"NM",BA501/AS501*100-100))</f>
        <v>30.995792426367444</v>
      </c>
      <c r="BC501" s="145">
        <f>BC111+BC71+BC231+BC302+BC346+BC190+BC369+BC407+BC442+BC486</f>
        <v>976</v>
      </c>
      <c r="BD501" s="72">
        <f>IF(ISERROR(BC501/AU501),"NA",IF(OR(BC501/AU501&gt;2,BC501/AU501&lt;0.5),"NM",BC501/AU501*100-100))</f>
        <v>7.8453038674033166</v>
      </c>
      <c r="BE501" s="145">
        <f>BE111+BE71+BE231+BE302+BE346+BE190+BE369+BE407+BE442+BE486</f>
        <v>1132</v>
      </c>
      <c r="BF501" s="72">
        <f>IF(ISERROR(BE501/AW501),"NA",IF(OR(BE501/AW501&gt;2,BE501/AW501&lt;0.5),"NM",BE501/AW501*100-100))</f>
        <v>59.887005649717509</v>
      </c>
      <c r="BG501" s="145">
        <f>BG111+BG71+BG231+BG302+BG347+BG190+BG369+BG407+BG442+BG480</f>
        <v>1240</v>
      </c>
      <c r="BH501" s="72">
        <f>IF(ISERROR(BG501/AY501),"NA",IF(OR(BG501/AY501&gt;2,BG501/AY501&lt;0.5),"NM",BG501/AY501*100-100))</f>
        <v>53.275648949320157</v>
      </c>
      <c r="BI501" s="145">
        <f>BI111+BI71+BI231+BI302+BI347+BI190+BI369+BI407+BI442+BI480</f>
        <v>1253</v>
      </c>
      <c r="BJ501" s="72">
        <f>IF(ISERROR(BI501/BA501),"NA",IF(OR(BI501/BA501&gt;2,BI501/BA501&lt;0.5),"NM",BI501/BA501*100-100))</f>
        <v>34.154175588865087</v>
      </c>
      <c r="BK501" s="145">
        <f>BK111+BK71+BK231+BK302+BK347+BK190+BK369+BK407+BK442+BK480</f>
        <v>1374</v>
      </c>
      <c r="BL501" s="72">
        <f>IF(ISERROR(BK501/BC501),"NA",IF(OR(BK501/BC501&gt;2,BK501/BC501&lt;0.5),"NM",BK501/BC501*100-100))</f>
        <v>40.778688524590166</v>
      </c>
      <c r="BM501" s="145">
        <f>BM111+BM71+BM231+BM302+BM347+BM190+BM369+BM407+BM442+BM480</f>
        <v>1224</v>
      </c>
      <c r="BN501" s="72">
        <f>IF(ISERROR(BM501/BE501),"NA",IF(OR(BM501/BE501&gt;2,BM501/BE501&lt;0.5),"NM",BM501/BE501*100-100))</f>
        <v>8.1272084805653577</v>
      </c>
      <c r="BO501" s="145">
        <f>BO111+BO71+BO231+BO302+BO347+BO190+BO369+BO407+BO442+BO480</f>
        <v>1008</v>
      </c>
      <c r="BP501" s="72">
        <f>IF(ISERROR(BO501/BG501),"NA",IF(OR(BO501/BG501&gt;2,BO501/BG501&lt;0.5),"NM",BO501/BG501*100-100))</f>
        <v>-18.709677419354847</v>
      </c>
      <c r="BQ501" s="145">
        <f>BQ111+BQ71+BQ231+BQ302+BQ347+BQ190+BQ369+BQ407+BQ442+BQ480</f>
        <v>1025</v>
      </c>
      <c r="BR501" s="72">
        <f>IF(ISERROR(BQ501/BI501),"NA",IF(OR(BQ501/BI501&gt;2,BQ501/BI501&lt;0.5),"NM",BQ501/BI501*100-100))</f>
        <v>-18.196328810853942</v>
      </c>
      <c r="BS501" s="145">
        <f>BS111+BS71+BS231+BS302+BS347+BS190+BS369+BS407+BS442+BS480</f>
        <v>845</v>
      </c>
      <c r="BT501" s="72">
        <f>IF(ISERROR(BS501/BK501),"NA",IF(OR(BS501/BK501&gt;2,BS501/BK501&lt;0.5),"NM",BS501/BK501*100-100))</f>
        <v>-38.500727802037851</v>
      </c>
      <c r="BU501" s="145">
        <f>BU111+BU71+BU231+BU302+BU346+BU190+BU369+BU407+BU442+BU480</f>
        <v>74</v>
      </c>
      <c r="BV501" s="72" t="str">
        <f>IF(ISERROR(BU501/BM501),"NA",IF(OR(BU501/BM501&gt;2,BU501/BM501&lt;0.5),"NM",BU501/BM501*100-100))</f>
        <v>NM</v>
      </c>
      <c r="BW501" s="145">
        <f>BW111+BW71+BW231+BW302+BW346+BW190+BW369+BW407+BW442+BW480</f>
        <v>511</v>
      </c>
      <c r="BX501" s="72">
        <f>IF(ISERROR(BW501/BO501),"NA",IF(OR(BW501/BO501&gt;2,BW501/BO501&lt;0.5),"NM",BW501/BO501*100-100))</f>
        <v>-49.305555555555557</v>
      </c>
      <c r="BY501" s="145">
        <f>BY111+BY71+BY231+BY302+BY346+BY190+BY369+BY407+BY442+BY480</f>
        <v>677</v>
      </c>
      <c r="BZ501" s="72">
        <f>IF(ISERROR(BY501/BQ501),"NA",IF(OR(BY501/BQ501&gt;2,BY501/BQ501&lt;0.5),"NM",BY501/BQ501*100-100))</f>
        <v>-33.951219512195124</v>
      </c>
      <c r="CA501" s="145">
        <f>CA111+CA71+CA231+CA302+CA346+CA190+CA369+CA407+CA442+CA480</f>
        <v>703</v>
      </c>
      <c r="CB501" s="72">
        <f>IF(ISERROR(CA501/BS501),"NA",IF(OR(CA501/BS501&gt;2,CA501/BS501&lt;0.5),"NM",CA501/BS501*100-100))</f>
        <v>-16.804733727810657</v>
      </c>
      <c r="CC501" s="145">
        <f>CC111+CC71+CC231+CC302+CC346+CC190+CC369+CC407+CC442+CC480</f>
        <v>747</v>
      </c>
      <c r="CD501" s="72" t="str">
        <f>IF(ISERROR(CC501/BU501),"NA",IF(OR(CC501/BU501&gt;2,CC501/BU501&lt;0.5),"NM",CC501/BU501*100-100))</f>
        <v>NM</v>
      </c>
      <c r="CE501" s="145">
        <f>CE111+CE71+CE231+CE302+CE346+CE190+CE369+CE407+CE442+CE480</f>
        <v>736</v>
      </c>
      <c r="CF501" s="72">
        <f>IF(ISERROR(CE501/BW501),"NA",IF(OR(CE501/BW501&gt;2,CE501/BW501&lt;0.5),"NM",CE501/BW501*100-100))</f>
        <v>44.031311154598825</v>
      </c>
      <c r="CG501" s="145">
        <f>CG111+CG71+CG231+CG302+CG346+CG190+CG369+CG407+CG442+CG480</f>
        <v>884</v>
      </c>
      <c r="CH501" s="72">
        <f>IF(ISERROR(CG501/BY501),"NA",IF(OR(CG501/BY501&gt;2,CG501/BY501&lt;0.5),"NM",CG501/BY501*100-100))</f>
        <v>30.576070901033972</v>
      </c>
      <c r="CI501" s="145">
        <f>CI111+CI71+CI231+CI302+CI346+CI190+CI369+CI407+CI442+CI480</f>
        <v>854</v>
      </c>
      <c r="CJ501" s="72">
        <f>IF(ISERROR(CI501/CA501),"NA",IF(OR(CI501/CA501&gt;2,CI501/CA501&lt;0.5),"NM",CI501/CA501*100-100))</f>
        <v>21.47937411095306</v>
      </c>
      <c r="CK501" s="145">
        <f>CK111+CK71+CK231+CK302+CK346+CK190+CK369+CK407+CK442+CK480</f>
        <v>986</v>
      </c>
      <c r="CL501" s="72">
        <f>IF(ISERROR(CK501/CC501),"NA",IF(OR(CK501/CC501&gt;2,CK501/CC501&lt;0.5),"NM",CK501/CC501*100-100))</f>
        <v>31.994645247657303</v>
      </c>
      <c r="CM501" s="145">
        <f>CM111+CM71+CM231+CM302+CM346+CM190+CM369+CM407+CM442+CM480</f>
        <v>1114</v>
      </c>
      <c r="CN501" s="72">
        <f>IF(ISERROR(CM501/CE501),"NA",IF(OR(CM501/CE501&gt;2,CM501/CE501&lt;0.5),"NM",CM501/CE501*100-100))</f>
        <v>51.358695652173907</v>
      </c>
      <c r="CO501" s="145">
        <f>CO111+CO71+CO231+CO302+CO346+CO190+CO369+CO407+CO442+CO480</f>
        <v>1131</v>
      </c>
      <c r="CP501" s="72">
        <f>IF(ISERROR(CO501/CG501),"NA",IF(OR(CO501/CG501&gt;2,CO501/CG501&lt;0.5),"NM",CO501/CG501*100-100))</f>
        <v>27.941176470588232</v>
      </c>
      <c r="CQ501" s="145">
        <f>CQ111+CQ71+CQ231+CQ302+CQ346+CQ190+CQ369+CQ407+CQ442+CQ480</f>
        <v>1037</v>
      </c>
      <c r="CR501" s="72">
        <f>IF(ISERROR(CQ501/CI501),"NA",IF(OR(CQ501/CI501&gt;2,CQ501/CI501&lt;0.5),"NM",CQ501/CI501*100-100))</f>
        <v>21.428571428571416</v>
      </c>
      <c r="CS501" s="145">
        <f>CS111+CS71+CS231+CS302+CS346+CS190+CS369+CS407+CS442+CS480</f>
        <v>1124</v>
      </c>
      <c r="CT501" s="72">
        <f>IF(ISERROR(CS501/CK501),"NA",IF(OR(CS501/CK501&gt;2,CS501/CK501&lt;0.5),"NM",CS501/CK501*100-100))</f>
        <v>13.995943204868141</v>
      </c>
      <c r="CU501" s="145">
        <f>CU111+CU71+CU231+CU302+CU346+CU190+CU369+CU407+CU442+CU480</f>
        <v>1001</v>
      </c>
      <c r="CV501" s="72">
        <f>IF(ISERROR(CU501/CM501),"NA",IF(OR(CU501/CM501&gt;2,CU501/CM501&lt;0.5),"NM",CU501/CM501*100-100))</f>
        <v>-10.143626570915615</v>
      </c>
      <c r="CW501" s="145">
        <f>CW111+CW71+CW231+CW302+CW346+CW190+CW369+CW407+CW442+CW480</f>
        <v>1023</v>
      </c>
      <c r="CX501" s="72">
        <f>IF(ISERROR(CW501/CO501),"NA",IF(OR(CW501/CO501&gt;2,CW501/CO501&lt;0.5),"NM",CW501/CO501*100-100))</f>
        <v>-9.5490716180371322</v>
      </c>
      <c r="CY501" s="145">
        <f>CY111+CY71+CY231+CY302+CY346+CY190+CY369+CY407+CY442+CY480</f>
        <v>1168</v>
      </c>
      <c r="CZ501" s="72">
        <f>IF(ISERROR(CY501/CQ501),"NA",IF(OR(CY501/CQ501&gt;2,CY501/CQ501&lt;0.5),"NM",CY501/CQ501*100-100))</f>
        <v>12.632594021215041</v>
      </c>
      <c r="DA501" s="145">
        <f>DA111+DA71+DA231+DA302+DA346+DA190+DA369+DA407+DA442+DA480</f>
        <v>1195</v>
      </c>
      <c r="DB501" s="72">
        <f>IF(ISERROR(DA501/CS501),"NA",IF(OR(DA501/CS501&gt;2,DA501/CS501&lt;0.5),"NM",DA501/CS501*100-100))</f>
        <v>6.3167259786476961</v>
      </c>
      <c r="DC501" s="145">
        <f>DC111+DC71+DC231+DC302+DC346+DC190+DC369+DC407+DC442+DC480</f>
        <v>1301</v>
      </c>
      <c r="DD501" s="72">
        <f>IF(ISERROR(DC501/CU501),"NA",IF(OR(DC501/CU501&gt;2,DC501/CU501&lt;0.5),"NM",DC501/CU501*100-100))</f>
        <v>29.970029970029969</v>
      </c>
      <c r="DE501" s="145">
        <f>DE111+DE71+DE231+DE302+DE346+DE190+DE369+DE407+DE442+DE480</f>
        <v>1323</v>
      </c>
      <c r="DF501" s="72">
        <f>IF(ISERROR(DE501/CW501),"NA",IF(OR(DE501/CW501&gt;2,DE501/CW501&lt;0.5),"NM",DE501/CW501*100-100))</f>
        <v>29.325513196480927</v>
      </c>
      <c r="DG501" s="145">
        <f>DG111+DG71+DG231+DG302+DG346+DG190+DG369+DG407+DG442+DG480</f>
        <v>1289</v>
      </c>
      <c r="DH501" s="72">
        <f>IF(ISERROR(DG501/CY501),"NA",IF(OR(DG501/CY501&gt;2,DG501/CY501&lt;0.5),"NM",DG501/CY501*100-100))</f>
        <v>10.359589041095887</v>
      </c>
      <c r="DI501" s="145">
        <f>DI111+DI71+DI231+DI302+DI346+DI190+DI369+DI407+DI442+DI480</f>
        <v>1422</v>
      </c>
      <c r="DJ501" s="72">
        <f>IF(ISERROR(DI501/DA501),"NA",IF(OR(DI501/DA501&gt;2,DI501/DA501&lt;0.5),"NM",DI501/DA501*100-100))</f>
        <v>18.995815899581586</v>
      </c>
      <c r="DK501" s="145">
        <f>DK111+DK71+DK231+DK302+DK346+DK190+DK369+DK407+DK442+DK480</f>
        <v>1364</v>
      </c>
      <c r="DL501" s="72">
        <f>IF(ISERROR(DK501/DC501),"NA",IF(OR(DK501/DC501&gt;2,DK501/DC501&lt;0.5),"NM",DK501/DC501*100-100))</f>
        <v>4.8424289008454906</v>
      </c>
      <c r="DM501" s="145">
        <f>DM111+DM71+DM231+DM302+DM346+DM190+DM369+DM407+DM442+DM480</f>
        <v>1454</v>
      </c>
      <c r="DN501" s="72">
        <f t="shared" si="2368"/>
        <v>9.9017384731670433</v>
      </c>
      <c r="DO501" s="145">
        <f>DO111+DO71+DO231+DO302+DO346+DO190+DO369+DO407+DO442+DO480</f>
        <v>1366</v>
      </c>
      <c r="DP501" s="72">
        <f t="shared" si="2368"/>
        <v>5.9736229635376219</v>
      </c>
      <c r="DQ501" s="145">
        <f>DQ111+DQ71+DQ231+DQ302+DQ346+DQ190+DQ369+DQ407+DQ442+DQ480</f>
        <v>1430</v>
      </c>
      <c r="DR501" s="72">
        <f t="shared" si="2368"/>
        <v>0.56258790436005768</v>
      </c>
      <c r="DS501" s="145">
        <f>DS111+DS71+DS231+DS302+DS346+DS190+DS369+DS407+DS442+DS480</f>
        <v>1457</v>
      </c>
      <c r="DT501" s="72">
        <f t="shared" si="2368"/>
        <v>6.818181818181813</v>
      </c>
      <c r="DU501" s="145">
        <f>DU111+DU71+DU231+DU302+DU346+DU190+DU369+DU407+DU442+DU480</f>
        <v>1497</v>
      </c>
      <c r="DV501" s="72">
        <f t="shared" si="2368"/>
        <v>2.9573590096286182</v>
      </c>
      <c r="DW501" s="145">
        <f>DW111+DW71+DW231+DW302+DW346+DW190+DW369+DW407+DW442+DW480</f>
        <v>1359</v>
      </c>
      <c r="DX501" s="72">
        <f t="shared" si="2368"/>
        <v>-0.51244509516837411</v>
      </c>
      <c r="DY501" s="145">
        <f>DY111+DY71+DY231+DY302+DY346+DY190+DY369+DY407+DY442+DY480</f>
        <v>1387</v>
      </c>
      <c r="DZ501" s="72">
        <f t="shared" si="2368"/>
        <v>-3.0069930069930138</v>
      </c>
      <c r="EA501" s="145">
        <f>EA111+EA71+EA231+EA302+EA346+EA190+EA369+EA407+EA442+EA480</f>
        <v>1282</v>
      </c>
      <c r="EB501" s="72">
        <f>IF(ISERROR(EA501/DS501),"NA",IF(OR(EA501/DS501&gt;2,EA501/DS501&lt;0.5),"NM",EA501/DS501*100-100))</f>
        <v>-12.010981468771448</v>
      </c>
      <c r="EC501" s="145">
        <f>EC111+EC71+EC231+EC302+EC346+EC190+EC369+EC407+EC442+EC480</f>
        <v>1372</v>
      </c>
      <c r="ED501" s="72">
        <f>IF(ISERROR(EC501/DU501),"NA",IF(OR(EC501/DU501&gt;2,EC501/DU501&lt;0.5),"NM",EC501/DU501*100-100))</f>
        <v>-8.3500334001336114</v>
      </c>
      <c r="EE501" s="145">
        <f>EE111+EE71+EE231+EE302+EE346+EE190+EE369+EE407+EE442+EE480</f>
        <v>1361</v>
      </c>
      <c r="EF501" s="72">
        <f>IF(ISERROR(EE501/DW501),"NA",IF(OR(EE501/DW501&gt;2,EE501/DW501&lt;0.5),"NM",EE501/DW501*100-100))</f>
        <v>0.14716703458425684</v>
      </c>
      <c r="EG501" s="145">
        <f>EG111+EG71+EG231+EG302+EG346+EG190+EG369+EG407+EG442+EG480</f>
        <v>1417</v>
      </c>
      <c r="EH501" s="72">
        <f>IF(ISERROR(EG501/DY501),"NA",IF(OR(EG501/DY501&gt;2,EG501/DY501&lt;0.5),"NM",EG501/DY501*100-100))</f>
        <v>2.1629416005768007</v>
      </c>
      <c r="EI501" s="145">
        <f>EI111+EI71+EI231+EI302+EI346+EI190+EI369+EI407+EI442+EI480</f>
        <v>1436</v>
      </c>
      <c r="EJ501" s="72">
        <f>IF(ISERROR(EI501/EA501),"NA",IF(OR(EI501/EA501&gt;2,EI501/EA501&lt;0.5),"NM",EI501/EA501*100-100))</f>
        <v>12.012480499219976</v>
      </c>
      <c r="EK501" s="145">
        <f>EK111+EK71+EK231+EK302+EK346+EK190+EK369+EK407+EK442+EK480</f>
        <v>1438</v>
      </c>
      <c r="EL501" s="72">
        <f>IF(ISERROR(EK501/EC501),"NA",IF(OR(EK501/EC501&gt;2,EK501/EC501&lt;0.5),"NM",EK501/EC501*100-100))</f>
        <v>4.8104956268221599</v>
      </c>
      <c r="EM501" s="145">
        <f>EM111+EM71+EM231+EM302+EM346+EM190+EM369+EM407+EM442+EM480</f>
        <v>1442</v>
      </c>
      <c r="EN501" s="72">
        <f>IF(ISERROR(EM501/EE501),"NA",IF(OR(EM501/EE501&gt;2,EM501/EE501&lt;0.5),"NM",EM501/EE501*100-100))</f>
        <v>5.9515062454077849</v>
      </c>
      <c r="EO501" s="145">
        <f>EO111+EO71+EO231+EO302+EO346+EO190+EO369+EO407+EO442+EO480</f>
        <v>1572</v>
      </c>
      <c r="EP501" s="72">
        <f>IF(ISERROR(EO501/EG501),"NA",IF(OR(EO501/EG501&gt;2,EO501/EG501&lt;0.5),"NM",EO501/EG501*100-100))</f>
        <v>10.93860268172196</v>
      </c>
      <c r="EQ501" s="145">
        <f>EQ111+EQ71+EQ231+EQ302+EQ346+EQ190+EQ369+EQ407+EQ442+EQ480</f>
        <v>1574.9611397515037</v>
      </c>
      <c r="ER501" s="72">
        <f t="shared" si="2369"/>
        <v>9.6769595927230938</v>
      </c>
      <c r="ES501" s="145">
        <f>ES111+ES71+ES231+ES302+ES346+ES190+ES369+ES407+ES442+ES480</f>
        <v>1515.8692195734031</v>
      </c>
      <c r="ET501" s="72">
        <f t="shared" si="2370"/>
        <v>5.4151056726984024</v>
      </c>
      <c r="EU501" s="145">
        <f>EU111+EU71+EU231+EU302+EU346+EU190+EU369+EU407+EU442+EU480</f>
        <v>1528.7490698103607</v>
      </c>
      <c r="EV501" s="72">
        <f t="shared" si="2371"/>
        <v>6.0158855624383278</v>
      </c>
      <c r="EW501" s="145">
        <f>EW111+EW71+EW231+EW302+EW346+EW190+EW369+EW407+EW442+EW480</f>
        <v>1528.0784841736561</v>
      </c>
      <c r="EX501" s="72">
        <f t="shared" si="2372"/>
        <v>-2.7939895563832096</v>
      </c>
      <c r="EY501" s="72"/>
      <c r="EZ501" s="296"/>
      <c r="FA501" s="72"/>
      <c r="FB501" s="9"/>
      <c r="FC501" s="11"/>
      <c r="FD501" s="9"/>
      <c r="FE501" s="72"/>
      <c r="FF501" s="16"/>
      <c r="FG501" s="72"/>
      <c r="FH501" s="144"/>
      <c r="FI501" s="72"/>
      <c r="FJ501" s="145">
        <f>FJ111+FJ71+FJ231+FJ302+FJ346+FJ190+FJ369+FJ407+FJ442+FJ480</f>
        <v>2342</v>
      </c>
      <c r="FK501" s="72" t="str">
        <f>IF(ISERROR(FJ501/FH501),"NA",IF(OR(FJ501/FH501&gt;2,FJ501/FH501&lt;0.5),"NM",FJ501/FH501*100-100))</f>
        <v>NA</v>
      </c>
      <c r="FL501" s="145">
        <f>FL111+FL71+FL231+FL302+FL346+FL190+FL369+FL407+FL442+FL480</f>
        <v>2421</v>
      </c>
      <c r="FM501" s="72">
        <f>IF(ISERROR(FL501/FJ501),"NA",IF(OR(FL501/FJ501&gt;2,FL501/FJ501&lt;0.5),"NM",FL501/FJ501*100-100))</f>
        <v>3.3731853116994159</v>
      </c>
      <c r="FN501" s="145">
        <f>FN111+FN71+FN231+FN302+FN346+FN190+FN369+FN407+FN442+FN480</f>
        <v>3003.6</v>
      </c>
      <c r="FO501" s="72">
        <f>IF(ISERROR(FN501/FL501),"NA",IF(OR(FN501/FL501&gt;2,FN501/FL501&lt;0.5),"NM",FN501/FL501*100-100))</f>
        <v>24.064436183395287</v>
      </c>
      <c r="FP501" s="145">
        <f>FP111+FP71+FP231+FP302+FP346+FP190+FP369+FP407+FP442+FP480</f>
        <v>3481</v>
      </c>
      <c r="FQ501" s="72">
        <f>IF(ISERROR(FP501/FN501),"NA",IF(OR(FP501/FN501&gt;2,FP501/FN501&lt;0.5),"NM",FP501/FN501*100-100))</f>
        <v>15.894260221068052</v>
      </c>
      <c r="FR501" s="145">
        <f>FR111+FR71+FR231+FR302+FR346+FR190+FR369+FR407+FR442+FR480</f>
        <v>4432</v>
      </c>
      <c r="FS501" s="72">
        <f>IF(ISERROR(FR501/FP501),"NA",IF(OR(FR501/FP501&gt;2,FR501/FP501&lt;0.5),"NM",FR501/FP501*100-100))</f>
        <v>27.319735708129841</v>
      </c>
      <c r="FT501" s="145">
        <f>FT111+FT71+FT231+FT302+FT346+FT190+FT369+FT407+FT442+FT480</f>
        <v>5248</v>
      </c>
      <c r="FU501" s="72">
        <f>IF(ISERROR(FT501/FR501),"NA",IF(OR(FT501/FR501&gt;2,FT501/FR501&lt;0.5),"NM",FT501/FR501*100-100))</f>
        <v>18.411552346570389</v>
      </c>
      <c r="FV501" s="145">
        <f>FV111+FV71+FV231+FV302+FV346+FV190+FV369+FV407+FV442+FV480</f>
        <v>2996</v>
      </c>
      <c r="FW501" s="72">
        <f>IF(ISERROR(FV501/FT501),"NA",IF(OR(FV501/FT501&gt;2,FV501/FT501&lt;0.5),"NM",FV501/FT501*100-100))</f>
        <v>-42.911585365853654</v>
      </c>
      <c r="FX501" s="145">
        <f>FX111+FX71+FX231+FX302+FX346+FX190+FX369+FX407+FX442+FX480</f>
        <v>2461</v>
      </c>
      <c r="FY501" s="72">
        <f>IF(ISERROR(FX501/FV501),"NA",IF(OR(FX501/FV501&gt;2,FX501/FV501&lt;0.5),"NM",FX501/FV501*100-100))</f>
        <v>-17.857142857142861</v>
      </c>
      <c r="FZ501" s="145">
        <f>FZ111+FZ71+FZ231+FZ302+FZ346+FZ190+FZ369+FZ407+FZ442+FZ480</f>
        <v>3460</v>
      </c>
      <c r="GA501" s="72">
        <f>IF(ISERROR(FZ501/FX501),"NA",IF(OR(FZ501/FX501&gt;2,FZ501/FX501&lt;0.5),"NM",FZ501/FX501*100-100))</f>
        <v>40.59325477448192</v>
      </c>
      <c r="GB501" s="145">
        <f>GB111+GB71+GB231+GB302+GB346+GB190+GB369+GB407+GB442+GB480</f>
        <v>4406</v>
      </c>
      <c r="GC501" s="72">
        <f>IF(ISERROR(GB501/FZ501),"NA",IF(OR(GB501/FZ501&gt;2,GB501/FZ501&lt;0.5),"NM",GB501/FZ501*100-100))</f>
        <v>27.341040462427742</v>
      </c>
      <c r="GD501" s="145">
        <f>GD111+GD71+GD231+GD302+GD346+GD190+GD369+GD407+GD442+GD480</f>
        <v>4387</v>
      </c>
      <c r="GE501" s="72">
        <f>IF(ISERROR(GD501/GB501),"NA",IF(OR(GD501/GB501&gt;2,GD501/GB501&lt;0.5),"NM",GD501/GB501*100-100))</f>
        <v>-0.43123014071720434</v>
      </c>
      <c r="GF501" s="145">
        <f>GF111+GF71+GF231+GF302+GF346+GF190+GF369+GF407+GF442+GF480</f>
        <v>5335</v>
      </c>
      <c r="GG501" s="72">
        <f>IF(ISERROR(GF501/GD501),"NA",IF(OR(GF501/GD501&gt;2,GF501/GD501&lt;0.5),"NM",GF501/GD501*100-100))</f>
        <v>21.609300205151598</v>
      </c>
      <c r="GH501" s="145">
        <f>GH111+GH71+GH231+GH302+GH346+GH190+GH369+GH407+GH442+GH480</f>
        <v>5614</v>
      </c>
      <c r="GI501" s="72">
        <f t="shared" si="2373"/>
        <v>5.2296157450796557</v>
      </c>
      <c r="GJ501" s="145">
        <f>GJ111+GJ71+GJ231+GJ302+GJ346+GJ190+GJ369+GJ407+GJ442+GJ480</f>
        <v>5700</v>
      </c>
      <c r="GK501" s="72">
        <f t="shared" si="2373"/>
        <v>1.5318845742785925</v>
      </c>
      <c r="GL501" s="145">
        <f>GL111+GL71+GL231+GL302+GL346+GL190+GL369+GL407+GL442+GL480</f>
        <v>5432</v>
      </c>
      <c r="GM501" s="72">
        <f t="shared" si="2373"/>
        <v>-4.7017543859649038</v>
      </c>
      <c r="GN501" s="145">
        <f>GN111+GN71+GN231+GN302+GN346+GN190+GN369+GN407+GN442+GN480</f>
        <v>5888</v>
      </c>
      <c r="GO501" s="72">
        <f t="shared" si="2373"/>
        <v>8.3946980854197335</v>
      </c>
      <c r="GP501" s="145">
        <f>GP111+GP71+GP231+GP302+GP346+GP190+GP369+GP407+GP442+GP480</f>
        <v>6147.6579133089226</v>
      </c>
      <c r="GQ501" s="72">
        <f t="shared" si="2373"/>
        <v>4.4099509733172937</v>
      </c>
      <c r="GR501" s="145">
        <f>GR111+GR71+GR231+GR302+GR346+GR190+GR369+GR407+GR442+GR480</f>
        <v>6364.6015458727143</v>
      </c>
      <c r="GS501" s="72">
        <f t="shared" si="2373"/>
        <v>3.528882635029774</v>
      </c>
      <c r="GT501" s="145">
        <f>GT111+GT71+GT231+GT302+GT346+GT190+GT369+GT407+GT442+GT480</f>
        <v>6554.5172904646624</v>
      </c>
      <c r="GU501" s="72">
        <f t="shared" si="2373"/>
        <v>2.9839376938703026</v>
      </c>
      <c r="GV501" s="145">
        <f>GV111+GV71+GV231+GV302+GV346+GV190+GV369+GV407+GV442+GV480</f>
        <v>6741.3942459588552</v>
      </c>
      <c r="GW501" s="72">
        <f>IF(ISERROR(GV501/GT501),"NA",IF(OR(GV501/GT501&gt;2,GV501/GT501&lt;0.5),"NM",GV501/GT501*100-100))</f>
        <v>2.8511169810484347</v>
      </c>
      <c r="GX501" s="145">
        <f>GX111+GX71+GX231+GX302+GX346+GX190+GX369+GX407+GX442+GX480</f>
        <v>6880.3312767755497</v>
      </c>
      <c r="GY501" s="72">
        <f>IF(ISERROR(GX501/GV501),"NA",IF(OR(GX501/GV501&gt;2,GX501/GV501&lt;0.5),"NM",GX501/GV501*100-100))</f>
        <v>2.0609539473230001</v>
      </c>
      <c r="GZ501" s="72">
        <f>IF(ISERROR(((GX501/GN501)^0.2-1)*100),"NA",IF((((GX501/GN501)^0.2-1)*100)&gt;100,"NM",IF((((GX501/GN501)^0.2-1)*100)&lt;-50,"NM",((GX501/GN501)^0.2-1)*100)))</f>
        <v>3.1640324985738655</v>
      </c>
      <c r="HA501" s="72"/>
      <c r="HB501" s="72"/>
      <c r="HC501"/>
      <c r="HD501"/>
      <c r="HE501"/>
      <c r="HF501"/>
      <c r="HG501"/>
      <c r="HH501"/>
      <c r="HI501" s="2"/>
    </row>
    <row r="502" spans="1:217" s="78" customFormat="1" ht="12.75" customHeight="1" x14ac:dyDescent="0.2">
      <c r="A502" s="3" t="s">
        <v>542</v>
      </c>
      <c r="B502" s="70" t="s">
        <v>128</v>
      </c>
      <c r="C502" s="160"/>
      <c r="D502" s="161"/>
      <c r="E502" s="160"/>
      <c r="F502" s="161"/>
      <c r="G502" s="160"/>
      <c r="H502" s="161"/>
      <c r="I502" s="160"/>
      <c r="J502" s="161"/>
      <c r="K502" s="160"/>
      <c r="L502" s="72"/>
      <c r="M502" s="160"/>
      <c r="N502" s="72"/>
      <c r="O502" s="160"/>
      <c r="P502" s="72"/>
      <c r="Q502" s="160"/>
      <c r="R502" s="72"/>
      <c r="S502" s="160">
        <f>SUM(S498:S501)</f>
        <v>4957</v>
      </c>
      <c r="T502" s="72" t="str">
        <f>IF(ISERROR(S502/K502),"NA",IF(OR(S502/K502&gt;2,S502/K502&lt;0.5),"NM",S502/K502*100-100))</f>
        <v>NA</v>
      </c>
      <c r="U502" s="160">
        <f>SUM(U498:U501)</f>
        <v>4571</v>
      </c>
      <c r="V502" s="72" t="str">
        <f>IF(ISERROR(U502/M502),"NA",IF(OR(U502/M502&gt;2,U502/M502&lt;0.5),"NM",U502/M502*100-100))</f>
        <v>NA</v>
      </c>
      <c r="W502" s="160">
        <f>SUM(W498:W501)</f>
        <v>4536</v>
      </c>
      <c r="X502" s="72" t="str">
        <f>IF(ISERROR(W502/O502),"NA",IF(OR(W502/O502&gt;2,W502/O502&lt;0.5),"NM",W502/O502*100-100))</f>
        <v>NA</v>
      </c>
      <c r="Y502" s="160">
        <f>SUM(Y498:Y501)</f>
        <v>4624</v>
      </c>
      <c r="Z502" s="72" t="str">
        <f>IF(ISERROR(Y502/Q502),"NA",IF(OR(Y502/Q502&gt;2,Y502/Q502&lt;0.5),"NM",Y502/Q502*100-100))</f>
        <v>NA</v>
      </c>
      <c r="AA502" s="160">
        <f>SUM(AA498:AA501)</f>
        <v>3944</v>
      </c>
      <c r="AB502" s="72">
        <f>IF(ISERROR(AA502/S502),"NA",IF(OR(AA502/S502&gt;2,AA502/S502&lt;0.5),"NM",AA502/S502*100-100))</f>
        <v>-20.435747427879775</v>
      </c>
      <c r="AC502" s="160">
        <f>SUM(AC498:AC501)</f>
        <v>4015</v>
      </c>
      <c r="AD502" s="72">
        <f>IF(ISERROR(AC502/U502),"NA",IF(OR(AC502/U502&gt;2,AC502/U502&lt;0.5),"NM",AC502/U502*100-100))</f>
        <v>-12.163640341282004</v>
      </c>
      <c r="AE502" s="160">
        <f>SUM(AE498:AE501)</f>
        <v>4092</v>
      </c>
      <c r="AF502" s="72">
        <f>IF(ISERROR(AE502/W502),"NA",IF(OR(AE502/W502&gt;2,AE502/W502&lt;0.5),"NM",AE502/W502*100-100))</f>
        <v>-9.7883597883597844</v>
      </c>
      <c r="AG502" s="160">
        <f>SUM(AG498:AG501)</f>
        <v>4240</v>
      </c>
      <c r="AH502" s="72">
        <f>IF(ISERROR(AG502/Y502),"NA",IF(OR(AG502/Y502&gt;2,AG502/Y502&lt;0.5),"NM",AG502/Y502*100-100))</f>
        <v>-8.3044982698962002</v>
      </c>
      <c r="AI502" s="160">
        <f>SUM(AI498:AI501)</f>
        <v>4445</v>
      </c>
      <c r="AJ502" s="72">
        <f>IF(ISERROR(AI502/AA502),"NA",IF(OR(AI502/AA502&gt;2,AI502/AA502&lt;0.5),"NM",AI502/AA502*100-100))</f>
        <v>12.702839756592297</v>
      </c>
      <c r="AK502" s="160">
        <f>SUM(AK498:AK501)</f>
        <v>4771.6000000000004</v>
      </c>
      <c r="AL502" s="72">
        <f>IF(ISERROR(AK502/AC502),"NA",IF(OR(AK502/AC502&gt;2,AK502/AC502&lt;0.5),"NM",AK502/AC502*100-100))</f>
        <v>18.844333748443347</v>
      </c>
      <c r="AM502" s="160">
        <f>SUM(AM498:AM501)</f>
        <v>4795</v>
      </c>
      <c r="AN502" s="72">
        <f>IF(ISERROR(AM502/AE502),"NA",IF(OR(AM502/AE502&gt;2,AM502/AE502&lt;0.5),"NM",AM502/AE502*100-100))</f>
        <v>17.17986314760509</v>
      </c>
      <c r="AO502" s="160">
        <f>SUM(AO498:AO501)</f>
        <v>4939</v>
      </c>
      <c r="AP502" s="72">
        <f>IF(ISERROR(AO502/AG502),"NA",IF(OR(AO502/AG502&gt;2,AO502/AG502&lt;0.5),"NM",AO502/AG502*100-100))</f>
        <v>16.485849056603769</v>
      </c>
      <c r="AQ502" s="160">
        <f>SUM(AQ498:AQ501)</f>
        <v>5429</v>
      </c>
      <c r="AR502" s="72">
        <f>IF(ISERROR(AQ502/AI502),"NA",IF(OR(AQ502/AI502&gt;2,AQ502/AI502&lt;0.5),"NM",AQ502/AI502*100-100))</f>
        <v>22.13723284589426</v>
      </c>
      <c r="AS502" s="160">
        <f>SUM(AS498:AS501)</f>
        <v>5397</v>
      </c>
      <c r="AT502" s="72">
        <f>IF(ISERROR(AS502/AK502),"NA",IF(OR(AS502/AK502&gt;2,AS502/AK502&lt;0.5),"NM",AS502/AK502*100-100))</f>
        <v>13.106714728812136</v>
      </c>
      <c r="AU502" s="160">
        <f>SUM(AU498:AU501)</f>
        <v>5710</v>
      </c>
      <c r="AV502" s="72">
        <f>IF(ISERROR(AU502/AM502),"NA",IF(OR(AU502/AM502&gt;2,AU502/AM502&lt;0.5),"NM",AU502/AM502*100-100))</f>
        <v>19.08237747653807</v>
      </c>
      <c r="AW502" s="160">
        <f>SUM(AW498:AW501)</f>
        <v>5393</v>
      </c>
      <c r="AX502" s="72">
        <f>IF(ISERROR(AW502/AO502),"NA",IF(OR(AW502/AO502&gt;2,AW502/AO502&lt;0.5),"NM",AW502/AO502*100-100))</f>
        <v>9.1921441587365962</v>
      </c>
      <c r="AY502" s="160">
        <f>SUM(AY498:AY501)</f>
        <v>5668</v>
      </c>
      <c r="AZ502" s="72">
        <f>IF(ISERROR(AY502/AQ502),"NA",IF(OR(AY502/AQ502&gt;2,AY502/AQ502&lt;0.5),"NM",AY502/AQ502*100-100))</f>
        <v>4.4022840302081505</v>
      </c>
      <c r="BA502" s="160">
        <f>SUM(BA498:BA501)</f>
        <v>5833</v>
      </c>
      <c r="BB502" s="72">
        <f>IF(ISERROR(BA502/AS502),"NA",IF(OR(BA502/AS502&gt;2,BA502/AS502&lt;0.5),"NM",BA502/AS502*100-100))</f>
        <v>8.0785621641652767</v>
      </c>
      <c r="BC502" s="160">
        <f>SUM(BC498:BC501)</f>
        <v>5867</v>
      </c>
      <c r="BD502" s="72">
        <f>IF(ISERROR(BC502/AU502),"NA",IF(OR(BC502/AU502&gt;2,BC502/AU502&lt;0.5),"NM",BC502/AU502*100-100))</f>
        <v>2.7495621716287104</v>
      </c>
      <c r="BE502" s="160">
        <f>SUM(BE498:BE501)</f>
        <v>6274</v>
      </c>
      <c r="BF502" s="72">
        <f>IF(ISERROR(BE502/AW502),"NA",IF(OR(BE502/AW502&gt;2,BE502/AW502&lt;0.5),"NM",BE502/AW502*100-100))</f>
        <v>16.335991099573505</v>
      </c>
      <c r="BG502" s="160">
        <f>SUM(BG498:BG501)</f>
        <v>6535</v>
      </c>
      <c r="BH502" s="72">
        <f>IF(ISERROR(BG502/AY502),"NA",IF(OR(BG502/AY502&gt;2,BG502/AY502&lt;0.5),"NM",BG502/AY502*100-100))</f>
        <v>15.296400846859569</v>
      </c>
      <c r="BI502" s="160">
        <f>SUM(BI498:BI501)</f>
        <v>6578</v>
      </c>
      <c r="BJ502" s="72">
        <f>IF(ISERROR(BI502/BA502),"NA",IF(OR(BI502/BA502&gt;2,BI502/BA502&lt;0.5),"NM",BI502/BA502*100-100))</f>
        <v>12.772158409051954</v>
      </c>
      <c r="BK502" s="160">
        <f>SUM(BK498:BK501)</f>
        <v>6673</v>
      </c>
      <c r="BL502" s="72">
        <f>IF(ISERROR(BK502/BC502),"NA",IF(OR(BK502/BC502&gt;2,BK502/BC502&lt;0.5),"NM",BK502/BC502*100-100))</f>
        <v>13.73785580364752</v>
      </c>
      <c r="BM502" s="160">
        <f>SUM(BM498:BM501)</f>
        <v>6702</v>
      </c>
      <c r="BN502" s="72">
        <f>IF(ISERROR(BM502/BE502),"NA",IF(OR(BM502/BE502&gt;2,BM502/BE502&lt;0.5),"NM",BM502/BE502*100-100))</f>
        <v>6.8218042715970597</v>
      </c>
      <c r="BO502" s="160">
        <f>SUM(BO498:BO501)</f>
        <v>6861</v>
      </c>
      <c r="BP502" s="72">
        <f>IF(ISERROR(BO502/BG502),"NA",IF(OR(BO502/BG502&gt;2,BO502/BG502&lt;0.5),"NM",BO502/BG502*100-100))</f>
        <v>4.9885233358837127</v>
      </c>
      <c r="BQ502" s="160">
        <f>SUM(BQ498:BQ501)</f>
        <v>6801</v>
      </c>
      <c r="BR502" s="72">
        <f>IF(ISERROR(BQ502/BI502),"NA",IF(OR(BQ502/BI502&gt;2,BQ502/BI502&lt;0.5),"NM",BQ502/BI502*100-100))</f>
        <v>3.3900881726968635</v>
      </c>
      <c r="BS502" s="160">
        <f>SUM(BS498:BS501)</f>
        <v>6303</v>
      </c>
      <c r="BT502" s="72">
        <f>IF(ISERROR(BS502/BK502),"NA",IF(OR(BS502/BK502&gt;2,BS502/BK502&lt;0.5),"NM",BS502/BK502*100-100))</f>
        <v>-5.544732504121086</v>
      </c>
      <c r="BU502" s="160">
        <f>SUM(BU498:BU501)</f>
        <v>5840</v>
      </c>
      <c r="BV502" s="72">
        <f>IF(ISERROR(BU502/BM502),"NA",IF(OR(BU502/BM502&gt;2,BU502/BM502&lt;0.5),"NM",BU502/BM502*100-100))</f>
        <v>-12.861832288868996</v>
      </c>
      <c r="BW502" s="160">
        <f>SUM(BW498:BW501)</f>
        <v>6546</v>
      </c>
      <c r="BX502" s="72">
        <f>IF(ISERROR(BW502/BO502),"NA",IF(OR(BW502/BO502&gt;2,BW502/BO502&lt;0.5),"NM",BW502/BO502*100-100))</f>
        <v>-4.5911674682990906</v>
      </c>
      <c r="BY502" s="160">
        <f>SUM(BY498:BY501)</f>
        <v>6750</v>
      </c>
      <c r="BZ502" s="72">
        <f>IF(ISERROR(BY502/BQ502),"NA",IF(OR(BY502/BQ502&gt;2,BY502/BQ502&lt;0.5),"NM",BY502/BQ502*100-100))</f>
        <v>-0.74988972209969518</v>
      </c>
      <c r="CA502" s="160">
        <f>SUM(CA498:CA501)</f>
        <v>6752</v>
      </c>
      <c r="CB502" s="72">
        <f>IF(ISERROR(CA502/BS502),"NA",IF(OR(CA502/BS502&gt;2,CA502/BS502&lt;0.5),"NM",CA502/BS502*100-100))</f>
        <v>7.123591940345861</v>
      </c>
      <c r="CC502" s="160">
        <f>SUM(CC498:CC501)</f>
        <v>6949</v>
      </c>
      <c r="CD502" s="72">
        <f>IF(ISERROR(CC502/BU502),"NA",IF(OR(CC502/BU502&gt;2,CC502/BU502&lt;0.5),"NM",CC502/BU502*100-100))</f>
        <v>18.989726027397253</v>
      </c>
      <c r="CE502" s="160">
        <f>SUM(CE498:CE501)</f>
        <v>7138</v>
      </c>
      <c r="CF502" s="72">
        <f>IF(ISERROR(CE502/BW502),"NA",IF(OR(CE502/BW502&gt;2,CE502/BW502&lt;0.5),"NM",CE502/BW502*100-100))</f>
        <v>9.0436908035441519</v>
      </c>
      <c r="CG502" s="160">
        <f>SUM(CG498:CG501)</f>
        <v>7606</v>
      </c>
      <c r="CH502" s="72">
        <f>IF(ISERROR(CG502/BY502),"NA",IF(OR(CG502/BY502&gt;2,CG502/BY502&lt;0.5),"NM",CG502/BY502*100-100))</f>
        <v>12.68148148148147</v>
      </c>
      <c r="CI502" s="160">
        <f>SUM(CI498:CI501)</f>
        <v>7753</v>
      </c>
      <c r="CJ502" s="72">
        <f>IF(ISERROR(CI502/CA502),"NA",IF(OR(CI502/CA502&gt;2,CI502/CA502&lt;0.5),"NM",CI502/CA502*100-100))</f>
        <v>14.825236966824647</v>
      </c>
      <c r="CK502" s="160">
        <f>SUM(CK498:CK501)</f>
        <v>8011</v>
      </c>
      <c r="CL502" s="72">
        <f>IF(ISERROR(CK502/CC502),"NA",IF(OR(CK502/CC502&gt;2,CK502/CC502&lt;0.5),"NM",CK502/CC502*100-100))</f>
        <v>15.282774499928053</v>
      </c>
      <c r="CM502" s="160">
        <f>SUM(CM498:CM501)</f>
        <v>9147</v>
      </c>
      <c r="CN502" s="72">
        <f>IF(ISERROR(CM502/CE502),"NA",IF(OR(CM502/CE502&gt;2,CM502/CE502&lt;0.5),"NM",CM502/CE502*100-100))</f>
        <v>28.145138694312124</v>
      </c>
      <c r="CO502" s="160">
        <f>SUM(CO498:CO501)</f>
        <v>10099</v>
      </c>
      <c r="CP502" s="72">
        <f>IF(ISERROR(CO502/CG502),"NA",IF(OR(CO502/CG502&gt;2,CO502/CG502&lt;0.5),"NM",CO502/CG502*100-100))</f>
        <v>32.776755193268485</v>
      </c>
      <c r="CQ502" s="160">
        <f>SUM(CQ498:CQ501)</f>
        <v>9771</v>
      </c>
      <c r="CR502" s="72">
        <f>IF(ISERROR(CQ502/CI502),"NA",IF(OR(CQ502/CI502&gt;2,CQ502/CI502&lt;0.5),"NM",CQ502/CI502*100-100))</f>
        <v>26.028634077131429</v>
      </c>
      <c r="CS502" s="160">
        <f>SUM(CS498:CS501)</f>
        <v>10135</v>
      </c>
      <c r="CT502" s="72">
        <f>IF(ISERROR(CS502/CK502),"NA",IF(OR(CS502/CK502&gt;2,CS502/CK502&lt;0.5),"NM",CS502/CK502*100-100))</f>
        <v>26.513543877168885</v>
      </c>
      <c r="CU502" s="160">
        <f>SUM(CU498:CU501)</f>
        <v>10491</v>
      </c>
      <c r="CV502" s="72">
        <f>IF(ISERROR(CU502/CM502),"NA",IF(OR(CU502/CM502&gt;2,CU502/CM502&lt;0.5),"NM",CU502/CM502*100-100))</f>
        <v>14.693342079370268</v>
      </c>
      <c r="CW502" s="160">
        <f>SUM(CW498:CW501)</f>
        <v>11235</v>
      </c>
      <c r="CX502" s="72">
        <f>IF(ISERROR(CW502/CO502),"NA",IF(OR(CW502/CO502&gt;2,CW502/CO502&lt;0.5),"NM",CW502/CO502*100-100))</f>
        <v>11.24863847905732</v>
      </c>
      <c r="CY502" s="160">
        <f>SUM(CY498:CY501)</f>
        <v>13228</v>
      </c>
      <c r="CZ502" s="72">
        <f>IF(ISERROR(CY502/CQ502),"NA",IF(OR(CY502/CQ502&gt;2,CY502/CQ502&lt;0.5),"NM",CY502/CQ502*100-100))</f>
        <v>35.380206734213488</v>
      </c>
      <c r="DA502" s="160">
        <f>SUM(DA498:DA501)</f>
        <v>46151</v>
      </c>
      <c r="DB502" s="72" t="str">
        <f>IF(ISERROR(DA502/CS502),"NA",IF(OR(DA502/CS502&gt;2,DA502/CS502&lt;0.5),"NM",DA502/CS502*100-100))</f>
        <v>NM</v>
      </c>
      <c r="DC502" s="160">
        <f>SUM(DC498:DC501)</f>
        <v>11800</v>
      </c>
      <c r="DD502" s="72">
        <f>IF(ISERROR(DC502/CU502),"NA",IF(OR(DC502/CU502&gt;2,DC502/CU502&lt;0.5),"NM",DC502/CU502*100-100))</f>
        <v>12.477361547993524</v>
      </c>
      <c r="DE502" s="160">
        <f>SUM(DE498:DE501)</f>
        <v>11720</v>
      </c>
      <c r="DF502" s="72">
        <f>IF(ISERROR(DE502/CW502),"NA",IF(OR(DE502/CW502&gt;2,DE502/CW502&lt;0.5),"NM",DE502/CW502*100-100))</f>
        <v>4.3168669336893544</v>
      </c>
      <c r="DG502" s="160">
        <f>SUM(DG498:DG501)</f>
        <v>10783</v>
      </c>
      <c r="DH502" s="72">
        <f>IF(ISERROR(DG502/CY502),"NA",IF(OR(DG502/CY502&gt;2,DG502/CY502&lt;0.5),"NM",DG502/CY502*100-100))</f>
        <v>-18.483519806471122</v>
      </c>
      <c r="DI502" s="160">
        <f>SUM(DI498:DI501)</f>
        <v>10978</v>
      </c>
      <c r="DJ502" s="72" t="str">
        <f>IF(ISERROR(DI502/DA502),"NA",IF(OR(DI502/DA502&gt;2,DI502/DA502&lt;0.5),"NM",DI502/DA502*100-100))</f>
        <v>NM</v>
      </c>
      <c r="DK502" s="160">
        <f>SUM(DK498:DK501)</f>
        <v>10936</v>
      </c>
      <c r="DL502" s="72">
        <f>IF(ISERROR(DK502/DC502),"NA",IF(OR(DK502/DC502&gt;2,DK502/DC502&lt;0.5),"NM",DK502/DC502*100-100))</f>
        <v>-7.3220338983050794</v>
      </c>
      <c r="DM502" s="160">
        <f>SUM(DM498:DM501)</f>
        <v>11113</v>
      </c>
      <c r="DN502" s="72">
        <f t="shared" si="2368"/>
        <v>-5.1791808873720129</v>
      </c>
      <c r="DO502" s="160">
        <f>SUM(DO498:DO501)</f>
        <v>11766</v>
      </c>
      <c r="DP502" s="72">
        <f t="shared" si="2368"/>
        <v>9.11620142817398</v>
      </c>
      <c r="DQ502" s="160">
        <f>SUM(DQ498:DQ501)</f>
        <v>15829</v>
      </c>
      <c r="DR502" s="72">
        <f t="shared" si="2368"/>
        <v>44.188376753507015</v>
      </c>
      <c r="DS502" s="160">
        <f>SUM(DS498:DS501)</f>
        <v>11807</v>
      </c>
      <c r="DT502" s="72">
        <f t="shared" si="2368"/>
        <v>7.9645208485735139</v>
      </c>
      <c r="DU502" s="160">
        <f>SUM(DU498:DU501)</f>
        <v>12500</v>
      </c>
      <c r="DV502" s="72">
        <f t="shared" si="2368"/>
        <v>12.480878250697387</v>
      </c>
      <c r="DW502" s="160">
        <f>SUM(DW498:DW501)</f>
        <v>11078</v>
      </c>
      <c r="DX502" s="72">
        <f t="shared" si="2368"/>
        <v>-5.8473567907530253</v>
      </c>
      <c r="DY502" s="160">
        <f>SUM(DY498:DY501)</f>
        <v>13245</v>
      </c>
      <c r="DZ502" s="72">
        <f t="shared" si="2368"/>
        <v>-16.324467749068162</v>
      </c>
      <c r="EA502" s="160">
        <f>SUM(EA498:EA501)</f>
        <v>11292</v>
      </c>
      <c r="EB502" s="72">
        <f>IF(ISERROR(EA502/DS502),"NA",IF(OR(EA502/DS502&gt;2,EA502/DS502&lt;0.5),"NM",EA502/DS502*100-100))</f>
        <v>-4.3618192597611625</v>
      </c>
      <c r="EC502" s="160">
        <f>SUM(EC498:EC501)</f>
        <v>11812</v>
      </c>
      <c r="ED502" s="72">
        <f>IF(ISERROR(EC502/DU502),"NA",IF(OR(EC502/DU502&gt;2,EC502/DU502&lt;0.5),"NM",EC502/DU502*100-100))</f>
        <v>-5.5039999999999907</v>
      </c>
      <c r="EE502" s="160">
        <f>SUM(EE498:EE501)</f>
        <v>15050</v>
      </c>
      <c r="EF502" s="72">
        <f>IF(ISERROR(EE502/DW502),"NA",IF(OR(EE502/DW502&gt;2,EE502/DW502&lt;0.5),"NM",EE502/DW502*100-100))</f>
        <v>35.854847445387236</v>
      </c>
      <c r="EG502" s="160">
        <f>SUM(EG498:EG501)</f>
        <v>13420</v>
      </c>
      <c r="EH502" s="72">
        <f>IF(ISERROR(EG502/DY502),"NA",IF(OR(EG502/DY502&gt;2,EG502/DY502&lt;0.5),"NM",EG502/DY502*100-100))</f>
        <v>1.3212533031332612</v>
      </c>
      <c r="EI502" s="160">
        <f>SUM(EI498:EI501)</f>
        <v>12007</v>
      </c>
      <c r="EJ502" s="72">
        <f>IF(ISERROR(EI502/EA502),"NA",IF(OR(EI502/EA502&gt;2,EI502/EA502&lt;0.5),"NM",EI502/EA502*100-100))</f>
        <v>6.3319164009918438</v>
      </c>
      <c r="EK502" s="160">
        <f>SUM(EK498:EK501)</f>
        <v>13028</v>
      </c>
      <c r="EL502" s="72">
        <f>IF(ISERROR(EK502/EC502),"NA",IF(OR(EK502/EC502&gt;2,EK502/EC502&lt;0.5),"NM",EK502/EC502*100-100))</f>
        <v>10.294615645106674</v>
      </c>
      <c r="EM502" s="160">
        <f>SUM(EM498:EM501)</f>
        <v>13361</v>
      </c>
      <c r="EN502" s="72">
        <f>IF(ISERROR(EM502/EE502),"NA",IF(OR(EM502/EE502&gt;2,EM502/EE502&lt;0.5),"NM",EM502/EE502*100-100))</f>
        <v>-11.222591362126238</v>
      </c>
      <c r="EO502" s="160">
        <f>SUM(EO498:EO501)</f>
        <v>15250</v>
      </c>
      <c r="EP502" s="72">
        <f>IF(ISERROR(EO502/EG502),"NA",IF(OR(EO502/EG502&gt;2,EO502/EG502&lt;0.5),"NM",EO502/EG502*100-100))</f>
        <v>13.63636363636364</v>
      </c>
      <c r="EQ502" s="162">
        <f t="shared" ref="EQ502" si="2374">SUM(EQ498:EQ501)</f>
        <v>13818.865919784548</v>
      </c>
      <c r="ER502" s="72">
        <f t="shared" si="2369"/>
        <v>15.09008011813566</v>
      </c>
      <c r="ES502" s="162">
        <f t="shared" ref="ES502" si="2375">SUM(ES498:ES501)</f>
        <v>13655.812684074379</v>
      </c>
      <c r="ET502" s="72">
        <f t="shared" si="2370"/>
        <v>4.8189490641263433</v>
      </c>
      <c r="EU502" s="162">
        <f t="shared" ref="EU502" si="2376">SUM(EU498:EU501)</f>
        <v>13754.474714422075</v>
      </c>
      <c r="EV502" s="72">
        <f t="shared" si="2371"/>
        <v>2.9449495877709353</v>
      </c>
      <c r="EW502" s="162">
        <f t="shared" ref="EW502" si="2377">SUM(EW498:EW501)</f>
        <v>13782.283102730282</v>
      </c>
      <c r="EX502" s="72">
        <f t="shared" si="2372"/>
        <v>-9.6243730968506185</v>
      </c>
      <c r="EY502" s="72"/>
      <c r="EZ502" s="332"/>
      <c r="FA502" s="72"/>
      <c r="FB502" s="160"/>
      <c r="FC502" s="161"/>
      <c r="FD502" s="160"/>
      <c r="FE502" s="72"/>
      <c r="FF502" s="160"/>
      <c r="FG502" s="72"/>
      <c r="FH502" s="160"/>
      <c r="FI502" s="72"/>
      <c r="FJ502" s="162">
        <f>SUM(FJ498:FJ501)</f>
        <v>15742</v>
      </c>
      <c r="FK502" s="72" t="str">
        <f>IF(ISERROR(FJ502/FH502),"NA",IF(OR(FJ502/FH502&gt;2,FJ502/FH502&lt;0.5),"NM",FJ502/FH502*100-100))</f>
        <v>NA</v>
      </c>
      <c r="FL502" s="162">
        <f>SUM(FL498:FL501)</f>
        <v>16694</v>
      </c>
      <c r="FM502" s="72">
        <f>IF(ISERROR(FL502/FJ502),"NA",IF(OR(FL502/FJ502&gt;2,FL502/FJ502&lt;0.5),"NM",FL502/FJ502*100-100))</f>
        <v>6.047516198704102</v>
      </c>
      <c r="FN502" s="162">
        <f>SUM(FN498:FN501)</f>
        <v>19284.599999999999</v>
      </c>
      <c r="FO502" s="72">
        <f>IF(ISERROR(FN502/FL502),"NA",IF(OR(FN502/FL502&gt;2,FN502/FL502&lt;0.5),"NM",FN502/FL502*100-100))</f>
        <v>15.518150233616865</v>
      </c>
      <c r="FP502" s="162">
        <f>SUM(FP498:FP501)</f>
        <v>22291</v>
      </c>
      <c r="FQ502" s="72">
        <f>IF(ISERROR(FP502/FN502),"NA",IF(OR(FP502/FN502&gt;2,FP502/FN502&lt;0.5),"NM",FP502/FN502*100-100))</f>
        <v>15.589641475581544</v>
      </c>
      <c r="FR502" s="162">
        <f>SUM(FR498:FR501)</f>
        <v>24223</v>
      </c>
      <c r="FS502" s="72">
        <f>IF(ISERROR(FR502/FP502),"NA",IF(OR(FR502/FP502&gt;2,FR502/FP502&lt;0.5),"NM",FR502/FP502*100-100))</f>
        <v>8.6671750930868967</v>
      </c>
      <c r="FT502" s="162">
        <f>SUM(FT498:FT501)</f>
        <v>26645</v>
      </c>
      <c r="FU502" s="72">
        <f>IF(ISERROR(FT502/FR502),"NA",IF(OR(FT502/FR502&gt;2,FT502/FR502&lt;0.5),"NM",FT502/FR502*100-100))</f>
        <v>9.998761507658017</v>
      </c>
      <c r="FV502" s="162">
        <f>SUM(FV498:FV501)</f>
        <v>25852</v>
      </c>
      <c r="FW502" s="72">
        <f>IF(ISERROR(FV502/FT502),"NA",IF(OR(FV502/FT502&gt;2,FV502/FT502&lt;0.5),"NM",FV502/FT502*100-100))</f>
        <v>-2.9761681366110082</v>
      </c>
      <c r="FX502" s="162">
        <f>SUM(FX498:FX501)</f>
        <v>26776</v>
      </c>
      <c r="FY502" s="72">
        <f>IF(ISERROR(FX502/FV502),"NA",IF(OR(FX502/FV502&gt;2,FX502/FV502&lt;0.5),"NM",FX502/FV502*100-100))</f>
        <v>3.5741915519108716</v>
      </c>
      <c r="FZ502" s="162">
        <f>SUM(FZ498:FZ501)</f>
        <v>30508</v>
      </c>
      <c r="GA502" s="72">
        <f>IF(ISERROR(FZ502/FX502),"NA",IF(OR(FZ502/FX502&gt;2,FZ502/FX502&lt;0.5),"NM",FZ502/FX502*100-100))</f>
        <v>13.937854795339106</v>
      </c>
      <c r="GB502" s="162">
        <f>SUM(GB498:GB501)</f>
        <v>39152</v>
      </c>
      <c r="GC502" s="72">
        <f>IF(ISERROR(GB502/FZ502),"NA",IF(OR(GB502/FZ502&gt;2,GB502/FZ502&lt;0.5),"NM",GB502/FZ502*100-100))</f>
        <v>28.333551855251073</v>
      </c>
      <c r="GD502" s="162">
        <f>SUM(GD498:GD501)</f>
        <v>81105</v>
      </c>
      <c r="GE502" s="72" t="str">
        <f>IF(ISERROR(GD502/GB502),"NA",IF(OR(GD502/GB502&gt;2,GD502/GB502&lt;0.5),"NM",GD502/GB502*100-100))</f>
        <v>NM</v>
      </c>
      <c r="GF502" s="162">
        <f>SUM(GF498:GF501)</f>
        <v>45281</v>
      </c>
      <c r="GG502" s="72">
        <f>IF(ISERROR(GF502/GD502),"NA",IF(OR(GF502/GD502&gt;2,GF502/GD502&lt;0.5),"NM",GF502/GD502*100-100))</f>
        <v>-44.169903211885831</v>
      </c>
      <c r="GH502" s="162">
        <f>SUM(GH498:GH501)</f>
        <v>49644</v>
      </c>
      <c r="GI502" s="72">
        <f t="shared" si="2373"/>
        <v>9.6353879110443756</v>
      </c>
      <c r="GJ502" s="162">
        <f>SUM(GJ498:GJ501)</f>
        <v>48630</v>
      </c>
      <c r="GK502" s="72">
        <f t="shared" si="2373"/>
        <v>-2.0425429054870676</v>
      </c>
      <c r="GL502" s="162">
        <f>SUM(GL498:GL501)</f>
        <v>51574</v>
      </c>
      <c r="GM502" s="72">
        <f t="shared" si="2373"/>
        <v>6.053876208102011</v>
      </c>
      <c r="GN502" s="162">
        <f>SUM(GN498:GN501)</f>
        <v>53646</v>
      </c>
      <c r="GO502" s="72">
        <f t="shared" si="2373"/>
        <v>4.0175282118897258</v>
      </c>
      <c r="GP502" s="162">
        <f>SUM(GP498:GP501)</f>
        <v>55011.436421011284</v>
      </c>
      <c r="GQ502" s="72">
        <f t="shared" si="2373"/>
        <v>2.5452716344392456</v>
      </c>
      <c r="GR502" s="162">
        <f>SUM(GR498:GR501)</f>
        <v>56771.928128937718</v>
      </c>
      <c r="GS502" s="72">
        <f t="shared" si="2373"/>
        <v>3.2002285751150197</v>
      </c>
      <c r="GT502" s="162">
        <f>SUM(GT498:GT501)</f>
        <v>58588.991736803357</v>
      </c>
      <c r="GU502" s="72">
        <f t="shared" si="2373"/>
        <v>3.2006374765690708</v>
      </c>
      <c r="GV502" s="162">
        <f>SUM(GV498:GV501)</f>
        <v>60484.219668490638</v>
      </c>
      <c r="GW502" s="72">
        <f>IF(ISERROR(GV502/GT502),"NA",IF(OR(GV502/GT502&gt;2,GV502/GT502&lt;0.5),"NM",GV502/GT502*100-100))</f>
        <v>3.2347850261720339</v>
      </c>
      <c r="GX502" s="162">
        <f>SUM(GX498:GX501)</f>
        <v>62416.678224453557</v>
      </c>
      <c r="GY502" s="72">
        <f>IF(ISERROR(GX502/GV502),"NA",IF(OR(GX502/GV502&gt;2,GX502/GV502&lt;0.5),"NM",GX502/GV502*100-100))</f>
        <v>3.1949797262072366</v>
      </c>
      <c r="GZ502" s="72">
        <f>IF(ISERROR(((GX502/GN502)^0.2-1)*100),"NA",IF((((GX502/GN502)^0.2-1)*100)&gt;100,"NM",IF((((GX502/GN502)^0.2-1)*100)&lt;-50,"NM",((GX502/GN502)^0.2-1)*100)))</f>
        <v>3.0748381083694154</v>
      </c>
      <c r="HA502" s="72"/>
      <c r="HB502" s="72"/>
      <c r="HC502"/>
      <c r="HD502"/>
      <c r="HE502"/>
      <c r="HF502"/>
      <c r="HG502"/>
      <c r="HH502"/>
      <c r="HI502" s="2"/>
    </row>
    <row r="503" spans="1:217" s="3" customFormat="1" ht="12.75" customHeight="1" x14ac:dyDescent="0.2">
      <c r="B503" s="77"/>
      <c r="C503" s="145"/>
      <c r="D503" s="11"/>
      <c r="E503" s="145"/>
      <c r="F503" s="11"/>
      <c r="G503" s="145"/>
      <c r="H503" s="11"/>
      <c r="I503" s="145"/>
      <c r="J503" s="11"/>
      <c r="K503" s="145"/>
      <c r="L503" s="72"/>
      <c r="M503" s="145"/>
      <c r="N503" s="72"/>
      <c r="O503" s="145"/>
      <c r="P503" s="72"/>
      <c r="Q503" s="145"/>
      <c r="R503" s="72"/>
      <c r="S503" s="145"/>
      <c r="T503" s="72"/>
      <c r="U503" s="145"/>
      <c r="V503" s="72"/>
      <c r="W503" s="145"/>
      <c r="X503" s="72"/>
      <c r="Y503" s="145"/>
      <c r="Z503" s="72"/>
      <c r="AA503" s="145"/>
      <c r="AB503" s="72"/>
      <c r="AC503" s="145"/>
      <c r="AD503" s="72"/>
      <c r="AE503" s="145"/>
      <c r="AF503" s="72"/>
      <c r="AG503" s="145"/>
      <c r="AH503" s="72"/>
      <c r="AI503" s="145"/>
      <c r="AJ503" s="72"/>
      <c r="AK503" s="145"/>
      <c r="AL503" s="72"/>
      <c r="AM503" s="145"/>
      <c r="AN503" s="72"/>
      <c r="AO503" s="145"/>
      <c r="AP503" s="72"/>
      <c r="AQ503" s="145"/>
      <c r="AR503" s="72"/>
      <c r="AS503" s="145"/>
      <c r="AT503" s="72"/>
      <c r="AU503" s="145"/>
      <c r="AV503" s="72"/>
      <c r="AW503" s="145"/>
      <c r="AX503" s="72"/>
      <c r="AY503" s="145"/>
      <c r="AZ503" s="72"/>
      <c r="BA503" s="145"/>
      <c r="BB503" s="72"/>
      <c r="BC503" s="145"/>
      <c r="BD503" s="72"/>
      <c r="BE503" s="145"/>
      <c r="BF503" s="72"/>
      <c r="BG503" s="145"/>
      <c r="BH503" s="72"/>
      <c r="BI503" s="145"/>
      <c r="BJ503" s="72"/>
      <c r="BK503" s="145"/>
      <c r="BL503" s="72"/>
      <c r="BM503" s="145"/>
      <c r="BN503" s="72"/>
      <c r="BO503" s="145"/>
      <c r="BP503" s="72"/>
      <c r="BQ503" s="145"/>
      <c r="BR503" s="72"/>
      <c r="BS503" s="145"/>
      <c r="BT503" s="72"/>
      <c r="BU503" s="145"/>
      <c r="BV503" s="72"/>
      <c r="BW503" s="145"/>
      <c r="BX503" s="72"/>
      <c r="BY503" s="145"/>
      <c r="BZ503" s="72"/>
      <c r="CA503" s="145"/>
      <c r="CB503" s="72"/>
      <c r="CC503" s="145"/>
      <c r="CD503" s="72"/>
      <c r="CE503" s="145"/>
      <c r="CF503" s="72"/>
      <c r="CG503" s="145"/>
      <c r="CH503" s="72"/>
      <c r="CI503" s="145"/>
      <c r="CJ503" s="72"/>
      <c r="CK503" s="145"/>
      <c r="CL503" s="72"/>
      <c r="CM503" s="145"/>
      <c r="CN503" s="72"/>
      <c r="CO503" s="145"/>
      <c r="CP503" s="72"/>
      <c r="CQ503" s="145"/>
      <c r="CR503" s="72"/>
      <c r="CS503" s="145"/>
      <c r="CT503" s="72"/>
      <c r="CU503" s="145"/>
      <c r="CV503" s="72"/>
      <c r="CW503" s="145"/>
      <c r="CX503" s="72"/>
      <c r="CY503" s="145"/>
      <c r="CZ503" s="72"/>
      <c r="DA503" s="145"/>
      <c r="DB503" s="72"/>
      <c r="DC503" s="145"/>
      <c r="DD503" s="72"/>
      <c r="DE503" s="145"/>
      <c r="DF503" s="72"/>
      <c r="DG503" s="145"/>
      <c r="DH503" s="72"/>
      <c r="DI503" s="145"/>
      <c r="DJ503" s="72"/>
      <c r="DK503" s="145"/>
      <c r="DL503" s="72"/>
      <c r="DM503" s="145"/>
      <c r="DN503" s="72"/>
      <c r="DO503" s="145"/>
      <c r="DP503" s="72"/>
      <c r="DQ503" s="145"/>
      <c r="DR503" s="72"/>
      <c r="DS503" s="145"/>
      <c r="DT503" s="72"/>
      <c r="DU503" s="145"/>
      <c r="DV503" s="72"/>
      <c r="DW503" s="145"/>
      <c r="DX503" s="72"/>
      <c r="DY503" s="145"/>
      <c r="DZ503" s="72"/>
      <c r="EA503" s="145"/>
      <c r="EB503" s="72"/>
      <c r="EC503" s="145"/>
      <c r="ED503" s="72"/>
      <c r="EE503" s="145"/>
      <c r="EF503" s="72"/>
      <c r="EG503" s="145"/>
      <c r="EH503" s="72"/>
      <c r="EI503" s="145"/>
      <c r="EJ503" s="72"/>
      <c r="EK503" s="145"/>
      <c r="EL503" s="72"/>
      <c r="EM503" s="145"/>
      <c r="EN503" s="72"/>
      <c r="EO503" s="145"/>
      <c r="EP503" s="72"/>
      <c r="EQ503" s="144"/>
      <c r="ER503" s="72"/>
      <c r="ES503" s="144"/>
      <c r="ET503" s="72"/>
      <c r="EU503" s="144"/>
      <c r="EV503" s="72"/>
      <c r="EW503" s="144"/>
      <c r="EX503" s="72"/>
      <c r="EY503" s="72"/>
      <c r="EZ503" s="296"/>
      <c r="FA503" s="72"/>
      <c r="FB503" s="145"/>
      <c r="FC503" s="11"/>
      <c r="FD503" s="145"/>
      <c r="FE503" s="72"/>
      <c r="FF503" s="145"/>
      <c r="FG503" s="72"/>
      <c r="FH503" s="145"/>
      <c r="FI503" s="72"/>
      <c r="FJ503" s="144"/>
      <c r="FK503" s="72"/>
      <c r="FL503" s="144"/>
      <c r="FM503" s="72"/>
      <c r="FN503" s="144"/>
      <c r="FO503" s="72"/>
      <c r="FP503" s="144"/>
      <c r="FQ503" s="72"/>
      <c r="FR503" s="144"/>
      <c r="FS503" s="72"/>
      <c r="FT503" s="144"/>
      <c r="FU503" s="72"/>
      <c r="FV503" s="144"/>
      <c r="FW503" s="72"/>
      <c r="FX503" s="144"/>
      <c r="FY503" s="72"/>
      <c r="FZ503" s="144"/>
      <c r="GA503" s="72"/>
      <c r="GB503" s="144"/>
      <c r="GC503" s="72"/>
      <c r="GD503" s="144"/>
      <c r="GE503" s="72"/>
      <c r="GF503" s="144"/>
      <c r="GG503" s="72"/>
      <c r="GH503" s="144"/>
      <c r="GI503" s="72"/>
      <c r="GJ503" s="144"/>
      <c r="GK503" s="72"/>
      <c r="GL503" s="144"/>
      <c r="GM503" s="72"/>
      <c r="GN503" s="144"/>
      <c r="GO503" s="72"/>
      <c r="GP503" s="144"/>
      <c r="GQ503" s="72"/>
      <c r="GR503" s="144"/>
      <c r="GS503" s="72"/>
      <c r="GT503" s="144"/>
      <c r="GU503" s="72"/>
      <c r="GV503" s="144"/>
      <c r="GW503" s="72"/>
      <c r="GX503" s="144"/>
      <c r="GY503" s="72"/>
      <c r="GZ503" s="72"/>
      <c r="HA503" s="72"/>
      <c r="HB503" s="72"/>
      <c r="HC503"/>
      <c r="HD503"/>
      <c r="HE503"/>
      <c r="HF503"/>
      <c r="HG503"/>
      <c r="HH503"/>
      <c r="HI503" s="2"/>
    </row>
    <row r="504" spans="1:217" s="3" customFormat="1" ht="12.75" customHeight="1" x14ac:dyDescent="0.2">
      <c r="B504" s="89" t="s">
        <v>129</v>
      </c>
      <c r="C504" s="145"/>
      <c r="D504" s="11"/>
      <c r="E504" s="145"/>
      <c r="F504" s="11"/>
      <c r="G504" s="145"/>
      <c r="H504" s="11"/>
      <c r="I504" s="145"/>
      <c r="J504" s="11"/>
      <c r="K504" s="145"/>
      <c r="L504" s="72"/>
      <c r="M504" s="145"/>
      <c r="N504" s="72"/>
      <c r="O504" s="145"/>
      <c r="P504" s="72"/>
      <c r="Q504" s="145"/>
      <c r="R504" s="72"/>
      <c r="S504" s="145"/>
      <c r="T504" s="72"/>
      <c r="U504" s="145"/>
      <c r="V504" s="72"/>
      <c r="W504" s="145"/>
      <c r="X504" s="72"/>
      <c r="Y504" s="145"/>
      <c r="Z504" s="72"/>
      <c r="AA504" s="145"/>
      <c r="AB504" s="72"/>
      <c r="AC504" s="145"/>
      <c r="AD504" s="72"/>
      <c r="AE504" s="145"/>
      <c r="AF504" s="72"/>
      <c r="AG504" s="145"/>
      <c r="AH504" s="72"/>
      <c r="AI504" s="145"/>
      <c r="AJ504" s="72"/>
      <c r="AK504" s="145"/>
      <c r="AL504" s="72"/>
      <c r="AM504" s="145"/>
      <c r="AN504" s="72"/>
      <c r="AO504" s="145"/>
      <c r="AP504" s="72"/>
      <c r="AQ504" s="145"/>
      <c r="AR504" s="72"/>
      <c r="AS504" s="145"/>
      <c r="AT504" s="72"/>
      <c r="AU504" s="145"/>
      <c r="AV504" s="72"/>
      <c r="AW504" s="145"/>
      <c r="AX504" s="72"/>
      <c r="AY504" s="145"/>
      <c r="AZ504" s="72"/>
      <c r="BA504" s="145"/>
      <c r="BB504" s="72"/>
      <c r="BC504" s="145"/>
      <c r="BD504" s="72"/>
      <c r="BE504" s="145"/>
      <c r="BF504" s="72"/>
      <c r="BG504" s="145"/>
      <c r="BH504" s="72"/>
      <c r="BI504" s="145"/>
      <c r="BJ504" s="72"/>
      <c r="BK504" s="145"/>
      <c r="BL504" s="72"/>
      <c r="BM504" s="145"/>
      <c r="BN504" s="72"/>
      <c r="BO504" s="145"/>
      <c r="BP504" s="72"/>
      <c r="BQ504" s="145"/>
      <c r="BR504" s="72"/>
      <c r="BS504" s="145"/>
      <c r="BT504" s="72"/>
      <c r="BU504" s="145"/>
      <c r="BV504" s="72"/>
      <c r="BW504" s="145"/>
      <c r="BX504" s="72"/>
      <c r="BY504" s="145"/>
      <c r="BZ504" s="72"/>
      <c r="CA504" s="145"/>
      <c r="CB504" s="72"/>
      <c r="CC504" s="145"/>
      <c r="CD504" s="72"/>
      <c r="CE504" s="145"/>
      <c r="CF504" s="72"/>
      <c r="CG504" s="145"/>
      <c r="CH504" s="72"/>
      <c r="CI504" s="145"/>
      <c r="CJ504" s="72"/>
      <c r="CK504" s="145"/>
      <c r="CL504" s="72"/>
      <c r="CM504" s="145"/>
      <c r="CN504" s="72"/>
      <c r="CO504" s="145"/>
      <c r="CP504" s="72"/>
      <c r="CQ504" s="145"/>
      <c r="CR504" s="72"/>
      <c r="CS504" s="145"/>
      <c r="CT504" s="72"/>
      <c r="CU504" s="145"/>
      <c r="CV504" s="72"/>
      <c r="CW504" s="145"/>
      <c r="CX504" s="72"/>
      <c r="CY504" s="145"/>
      <c r="CZ504" s="72"/>
      <c r="DA504" s="145"/>
      <c r="DB504" s="72"/>
      <c r="DC504" s="145"/>
      <c r="DD504" s="72"/>
      <c r="DE504" s="145"/>
      <c r="DF504" s="72"/>
      <c r="DG504" s="145"/>
      <c r="DH504" s="72"/>
      <c r="DI504" s="145"/>
      <c r="DJ504" s="72"/>
      <c r="DK504" s="145"/>
      <c r="DL504" s="72"/>
      <c r="DM504" s="145"/>
      <c r="DN504" s="72"/>
      <c r="DO504" s="145"/>
      <c r="DP504" s="72"/>
      <c r="DQ504" s="145"/>
      <c r="DR504" s="72"/>
      <c r="DS504" s="145"/>
      <c r="DT504" s="72"/>
      <c r="DU504" s="145"/>
      <c r="DV504" s="72"/>
      <c r="DW504" s="145"/>
      <c r="DX504" s="72"/>
      <c r="DY504" s="145"/>
      <c r="DZ504" s="72"/>
      <c r="EA504" s="145"/>
      <c r="EB504" s="72"/>
      <c r="EC504" s="145"/>
      <c r="ED504" s="72"/>
      <c r="EE504" s="145"/>
      <c r="EF504" s="72"/>
      <c r="EG504" s="145"/>
      <c r="EH504" s="72"/>
      <c r="EI504" s="145"/>
      <c r="EJ504" s="72"/>
      <c r="EK504" s="145"/>
      <c r="EL504" s="72"/>
      <c r="EM504" s="145"/>
      <c r="EN504" s="72"/>
      <c r="EO504" s="145"/>
      <c r="EP504" s="72"/>
      <c r="EQ504" s="144"/>
      <c r="ER504" s="72"/>
      <c r="ES504" s="144"/>
      <c r="ET504" s="72"/>
      <c r="EU504" s="144"/>
      <c r="EV504" s="72"/>
      <c r="EW504" s="144"/>
      <c r="EX504" s="72"/>
      <c r="EY504" s="72"/>
      <c r="EZ504" s="296"/>
      <c r="FA504" s="72"/>
      <c r="FB504" s="145"/>
      <c r="FC504" s="11"/>
      <c r="FD504" s="145"/>
      <c r="FE504" s="72"/>
      <c r="FF504" s="145"/>
      <c r="FG504" s="72"/>
      <c r="FH504" s="145"/>
      <c r="FI504" s="72"/>
      <c r="FJ504" s="144"/>
      <c r="FK504" s="72"/>
      <c r="FL504" s="144"/>
      <c r="FM504" s="72"/>
      <c r="FN504" s="144"/>
      <c r="FO504" s="72"/>
      <c r="FP504" s="144"/>
      <c r="FQ504" s="72"/>
      <c r="FR504" s="144"/>
      <c r="FS504" s="72"/>
      <c r="FT504" s="144"/>
      <c r="FU504" s="72"/>
      <c r="FV504" s="144"/>
      <c r="FW504" s="72"/>
      <c r="FX504" s="144"/>
      <c r="FY504" s="72"/>
      <c r="FZ504" s="144"/>
      <c r="GA504" s="72"/>
      <c r="GB504" s="144"/>
      <c r="GC504" s="72"/>
      <c r="GD504" s="144"/>
      <c r="GE504" s="72"/>
      <c r="GF504" s="144"/>
      <c r="GG504" s="72"/>
      <c r="GH504" s="144"/>
      <c r="GI504" s="72"/>
      <c r="GJ504" s="144"/>
      <c r="GK504" s="72"/>
      <c r="GL504" s="144"/>
      <c r="GM504" s="72"/>
      <c r="GN504" s="144"/>
      <c r="GO504" s="72"/>
      <c r="GP504" s="144"/>
      <c r="GQ504" s="72"/>
      <c r="GR504" s="144"/>
      <c r="GS504" s="72"/>
      <c r="GT504" s="144"/>
      <c r="GU504" s="72"/>
      <c r="GV504" s="144"/>
      <c r="GW504" s="72"/>
      <c r="GX504" s="144"/>
      <c r="GY504" s="72"/>
      <c r="GZ504" s="72"/>
      <c r="HA504" s="72"/>
      <c r="HB504" s="72"/>
      <c r="HC504"/>
      <c r="HD504"/>
      <c r="HE504"/>
      <c r="HF504"/>
      <c r="HG504"/>
      <c r="HH504"/>
      <c r="HI504" s="2"/>
    </row>
    <row r="505" spans="1:217" s="3" customFormat="1" ht="12.75" customHeight="1" x14ac:dyDescent="0.2">
      <c r="B505" s="77" t="s">
        <v>213</v>
      </c>
      <c r="C505" s="145"/>
      <c r="D505" s="11"/>
      <c r="E505" s="145"/>
      <c r="F505" s="11"/>
      <c r="G505" s="145"/>
      <c r="H505" s="11"/>
      <c r="I505" s="145"/>
      <c r="J505" s="11"/>
      <c r="K505" s="145"/>
      <c r="L505" s="72"/>
      <c r="M505" s="145"/>
      <c r="N505" s="72"/>
      <c r="O505" s="145"/>
      <c r="P505" s="72"/>
      <c r="Q505" s="145"/>
      <c r="R505" s="72"/>
      <c r="S505" s="145">
        <v>2156</v>
      </c>
      <c r="T505" s="72" t="str">
        <f>IF(ISERROR(S505/K505),"NA",IF(OR(S505/K505&gt;2,S505/K505&lt;0.5),"NM",S505/K505*100-100))</f>
        <v>NA</v>
      </c>
      <c r="U505" s="145">
        <v>1912</v>
      </c>
      <c r="V505" s="72" t="str">
        <f>IF(ISERROR(U505/M505),"NA",IF(OR(U505/M505&gt;2,U505/M505&lt;0.5),"NM",U505/M505*100-100))</f>
        <v>NA</v>
      </c>
      <c r="W505" s="145">
        <v>1913</v>
      </c>
      <c r="X505" s="72" t="str">
        <f>IF(ISERROR(W505/O505),"NA",IF(OR(W505/O505&gt;2,W505/O505&lt;0.5),"NM",W505/O505*100-100))</f>
        <v>NA</v>
      </c>
      <c r="Y505" s="145">
        <v>2130</v>
      </c>
      <c r="Z505" s="72" t="str">
        <f>IF(ISERROR(Y505/Q505),"NA",IF(OR(Y505/Q505&gt;2,Y505/Q505&lt;0.5),"NM",Y505/Q505*100-100))</f>
        <v>NA</v>
      </c>
      <c r="AA505" s="145">
        <f>AA115+AA80+AA235+AA200+AA373+AA411</f>
        <v>2072</v>
      </c>
      <c r="AB505" s="72">
        <f>IF(ISERROR(AA505/S505),"NA",IF(OR(AA505/S505&gt;2,AA505/S505&lt;0.5),"NM",AA505/S505*100-100))</f>
        <v>-3.8961038961038952</v>
      </c>
      <c r="AC505" s="145">
        <f>AC115+AC80+AC235+AC200+AC373+AC411</f>
        <v>1960</v>
      </c>
      <c r="AD505" s="72">
        <f>IF(ISERROR(AC505/U505),"NA",IF(OR(AC505/U505&gt;2,AC505/U505&lt;0.5),"NM",AC505/U505*100-100))</f>
        <v>2.5104602510460268</v>
      </c>
      <c r="AE505" s="145">
        <f>AE115+AE80+AE235+AE200+AE373+AE411</f>
        <v>1999</v>
      </c>
      <c r="AF505" s="72">
        <f>IF(ISERROR(AE505/W505),"NA",IF(OR(AE505/W505&gt;2,AE505/W505&lt;0.5),"NM",AE505/W505*100-100))</f>
        <v>4.4955567171981272</v>
      </c>
      <c r="AG505" s="145">
        <f>AG115+AG80+AG235+AG200+AG373+AG411</f>
        <v>2172</v>
      </c>
      <c r="AH505" s="72">
        <f>IF(ISERROR(AG505/Y505),"NA",IF(OR(AG505/Y505&gt;2,AG505/Y505&lt;0.5),"NM",AG505/Y505*100-100))</f>
        <v>1.9718309859154886</v>
      </c>
      <c r="AI505" s="145">
        <f>AI115+AI80+AI235+AI200+AI373+AI411</f>
        <v>2232</v>
      </c>
      <c r="AJ505" s="72">
        <f>IF(ISERROR(AI505/AA505),"NA",IF(OR(AI505/AA505&gt;2,AI505/AA505&lt;0.5),"NM",AI505/AA505*100-100))</f>
        <v>7.7220077220077314</v>
      </c>
      <c r="AK505" s="145">
        <f>AK115+AK80+AK235+AK200+AK373+AK411</f>
        <v>2174</v>
      </c>
      <c r="AL505" s="72">
        <f>IF(ISERROR(AK505/AC505),"NA",IF(OR(AK505/AC505&gt;2,AK505/AC505&lt;0.5),"NM",AK505/AC505*100-100))</f>
        <v>10.91836734693878</v>
      </c>
      <c r="AM505" s="145">
        <f>AM115+AM80+AM235+AM200+AM373+AM411</f>
        <v>2177</v>
      </c>
      <c r="AN505" s="72">
        <f>IF(ISERROR(AM505/AE505),"NA",IF(OR(AM505/AE505&gt;2,AM505/AE505&lt;0.5),"NM",AM505/AE505*100-100))</f>
        <v>8.904452226113051</v>
      </c>
      <c r="AO505" s="145">
        <f>AO115+AO80+AO235+AO200+AO373+AO411</f>
        <v>2163</v>
      </c>
      <c r="AP505" s="72">
        <f>IF(ISERROR(AO505/AG505),"NA",IF(OR(AO505/AG505&gt;2,AO505/AG505&lt;0.5),"NM",AO505/AG505*100-100))</f>
        <v>-0.41436464088397429</v>
      </c>
      <c r="AQ505" s="145">
        <f>AQ115+AQ80+AQ235+AQ200+AQ373+AQ411</f>
        <v>2504</v>
      </c>
      <c r="AR505" s="72">
        <f t="shared" ref="AR505:AR511" si="2378">IF(ISERROR(AQ505/AI505),"NA",IF(OR(AQ505/AI505&gt;2,AQ505/AI505&lt;0.5),"NM",AQ505/AI505*100-100))</f>
        <v>12.186379928315418</v>
      </c>
      <c r="AS505" s="145">
        <f>AS115+AS80+AS235+AS200+AS373+AS411</f>
        <v>2477</v>
      </c>
      <c r="AT505" s="72">
        <f t="shared" ref="AT505:AT511" si="2379">IF(ISERROR(AS505/AK505),"NA",IF(OR(AS505/AK505&gt;2,AS505/AK505&lt;0.5),"NM",AS505/AK505*100-100))</f>
        <v>13.937442502299916</v>
      </c>
      <c r="AU505" s="145">
        <f>AU115+AU80+AU235+AU200+AU373+AU411</f>
        <v>2468</v>
      </c>
      <c r="AV505" s="72">
        <f t="shared" ref="AV505:AV511" si="2380">IF(ISERROR(AU505/AM505),"NA",IF(OR(AU505/AM505&gt;2,AU505/AM505&lt;0.5),"NM",AU505/AM505*100-100))</f>
        <v>13.367018833256765</v>
      </c>
      <c r="AW505" s="145">
        <f>AW115+AW80+AW235+AW200+AW373+AW411</f>
        <v>2402</v>
      </c>
      <c r="AX505" s="72">
        <f t="shared" ref="AX505:AX511" si="2381">IF(ISERROR(AW505/AO505),"NA",IF(OR(AW505/AO505&gt;2,AW505/AO505&lt;0.5),"NM",AW505/AO505*100-100))</f>
        <v>11.049468331021743</v>
      </c>
      <c r="AY505" s="145">
        <f>AY115+AY80+AY235+AY200+AY373+AY411</f>
        <v>2563</v>
      </c>
      <c r="AZ505" s="72">
        <f t="shared" ref="AZ505:AZ511" si="2382">IF(ISERROR(AY505/AQ505),"NA",IF(OR(AY505/AQ505&gt;2,AY505/AQ505&lt;0.5),"NM",AY505/AQ505*100-100))</f>
        <v>2.3562300319488969</v>
      </c>
      <c r="BA505" s="145">
        <f>BA115+BA80+BA235+BA200+BA373+BA411</f>
        <v>2582</v>
      </c>
      <c r="BB505" s="72">
        <f t="shared" ref="BB505:BB511" si="2383">IF(ISERROR(BA505/AS505),"NA",IF(OR(BA505/AS505&gt;2,BA505/AS505&lt;0.5),"NM",BA505/AS505*100-100))</f>
        <v>4.2389987888575007</v>
      </c>
      <c r="BC505" s="145">
        <f>BC115+BC80+BC235+BC200+BC373+BC411</f>
        <v>2635</v>
      </c>
      <c r="BD505" s="72">
        <f t="shared" ref="BD505:BD511" si="2384">IF(ISERROR(BC505/AU505),"NA",IF(OR(BC505/AU505&gt;2,BC505/AU505&lt;0.5),"NM",BC505/AU505*100-100))</f>
        <v>6.766612641815243</v>
      </c>
      <c r="BE505" s="145">
        <f>BE115+BE80+BE235+BE200+BE373+BE411</f>
        <v>2600</v>
      </c>
      <c r="BF505" s="72">
        <f t="shared" ref="BF505:BF511" si="2385">IF(ISERROR(BE505/AW505),"NA",IF(OR(BE505/AW505&gt;2,BE505/AW505&lt;0.5),"NM",BE505/AW505*100-100))</f>
        <v>8.2431307243963374</v>
      </c>
      <c r="BG505" s="145">
        <f>BG115+BG80+BG235+BG200+BG373+BG411</f>
        <v>2751</v>
      </c>
      <c r="BH505" s="72">
        <f t="shared" ref="BH505:BH511" si="2386">IF(ISERROR(BG505/AY505),"NA",IF(OR(BG505/AY505&gt;2,BG505/AY505&lt;0.5),"NM",BG505/AY505*100-100))</f>
        <v>7.3351541162699903</v>
      </c>
      <c r="BI505" s="145">
        <f>BI115+BI80+BI235+BI200+BI373+BI411</f>
        <v>2677</v>
      </c>
      <c r="BJ505" s="72">
        <f t="shared" ref="BJ505:BJ511" si="2387">IF(ISERROR(BI505/BA505),"NA",IF(OR(BI505/BA505&gt;2,BI505/BA505&lt;0.5),"NM",BI505/BA505*100-100))</f>
        <v>3.6793183578621296</v>
      </c>
      <c r="BK505" s="145">
        <f>BK115+BK80+BK235+BK200+BK373+BK411</f>
        <v>2645</v>
      </c>
      <c r="BL505" s="72">
        <f t="shared" ref="BL505:BL511" si="2388">IF(ISERROR(BK505/BC505),"NA",IF(OR(BK505/BC505&gt;2,BK505/BC505&lt;0.5),"NM",BK505/BC505*100-100))</f>
        <v>0.37950664136623402</v>
      </c>
      <c r="BM505" s="145">
        <f>BM115+BM80+BM235+BM200+BM373+BM411</f>
        <v>2717</v>
      </c>
      <c r="BN505" s="72">
        <f t="shared" ref="BN505:BN511" si="2389">IF(ISERROR(BM505/BE505),"NA",IF(OR(BM505/BE505&gt;2,BM505/BE505&lt;0.5),"NM",BM505/BE505*100-100))</f>
        <v>4.5</v>
      </c>
      <c r="BO505" s="145">
        <f>BO115+BO80+BO235+BO200+BO373+BO411</f>
        <v>3060</v>
      </c>
      <c r="BP505" s="72">
        <f t="shared" ref="BP505:BP511" si="2390">IF(ISERROR(BO505/BG505),"NA",IF(OR(BO505/BG505&gt;2,BO505/BG505&lt;0.5),"NM",BO505/BG505*100-100))</f>
        <v>11.232279171210479</v>
      </c>
      <c r="BQ505" s="145">
        <f>BQ115+BQ80+BQ235+BQ200+BQ373+BQ411</f>
        <v>2926</v>
      </c>
      <c r="BR505" s="72">
        <f t="shared" ref="BR505:BR511" si="2391">IF(ISERROR(BQ505/BI505),"NA",IF(OR(BQ505/BI505&gt;2,BQ505/BI505&lt;0.5),"NM",BQ505/BI505*100-100))</f>
        <v>9.3014568546880838</v>
      </c>
      <c r="BS505" s="145">
        <f>BS115+BS80+BS235+BS200+BS373+BS411</f>
        <v>3008</v>
      </c>
      <c r="BT505" s="72">
        <f t="shared" ref="BT505:BT511" si="2392">IF(ISERROR(BS505/BK505),"NA",IF(OR(BS505/BK505&gt;2,BS505/BK505&lt;0.5),"NM",BS505/BK505*100-100))</f>
        <v>13.724007561436679</v>
      </c>
      <c r="BU505" s="145">
        <f>BU115+BU80+BU235+BU200+BU373+BU411</f>
        <v>3349</v>
      </c>
      <c r="BV505" s="72">
        <f t="shared" ref="BV505:BV511" si="2393">IF(ISERROR(BU505/BM505),"NA",IF(OR(BU505/BM505&gt;2,BU505/BM505&lt;0.5),"NM",BU505/BM505*100-100))</f>
        <v>23.260949576739051</v>
      </c>
      <c r="BW505" s="145">
        <f>BW115+BW80+BW235+BW200+BW373+BW411</f>
        <v>3419</v>
      </c>
      <c r="BX505" s="72">
        <f>IF(ISERROR(BW505/BO505),"NA",IF(OR(BW505/BO505&gt;2,BW505/BO505&lt;0.5),"NM",BW505/BO505*100-100))</f>
        <v>11.732026143790847</v>
      </c>
      <c r="BY505" s="145">
        <f>BY115+BY80+BY235+BY200+BY373+BY411</f>
        <v>2944</v>
      </c>
      <c r="BZ505" s="72">
        <f>IF(ISERROR(BY505/BQ505),"NA",IF(OR(BY505/BQ505&gt;2,BY505/BQ505&lt;0.5),"NM",BY505/BQ505*100-100))</f>
        <v>0.61517429938481882</v>
      </c>
      <c r="CA505" s="145">
        <f>CA115+CA80+CA235+CA200+CA373+CA411</f>
        <v>3108</v>
      </c>
      <c r="CB505" s="72">
        <f>IF(ISERROR(CA505/BS505),"NA",IF(OR(CA505/BS505&gt;2,CA505/BS505&lt;0.5),"NM",CA505/BS505*100-100))</f>
        <v>3.3244680851063748</v>
      </c>
      <c r="CC505" s="145">
        <f>CC115+CC80+CC235+CC200+CC373+CC411</f>
        <v>3195</v>
      </c>
      <c r="CD505" s="72">
        <f>IF(ISERROR(CC505/BU505),"NA",IF(OR(CC505/BU505&gt;2,CC505/BU505&lt;0.5),"NM",CC505/BU505*100-100))</f>
        <v>-4.5983875783816046</v>
      </c>
      <c r="CE505" s="145">
        <f>CE115+CE80+CE235+CE200+CE373+CE411</f>
        <v>3428</v>
      </c>
      <c r="CF505" s="72">
        <f>IF(ISERROR(CE505/BW505),"NA",IF(OR(CE505/BW505&gt;2,CE505/BW505&lt;0.5),"NM",CE505/BW505*100-100))</f>
        <v>0.26323486399530793</v>
      </c>
      <c r="CG505" s="145">
        <f>CG115+CG80+CG235+CG200+CG373+CG411</f>
        <v>3962</v>
      </c>
      <c r="CH505" s="72">
        <f>IF(ISERROR(CG505/BY505),"NA",IF(OR(CG505/BY505&gt;2,CG505/BY505&lt;0.5),"NM",CG505/BY505*100-100))</f>
        <v>34.578804347826093</v>
      </c>
      <c r="CI505" s="145">
        <f>CI115+CI80+CI235+CI200+CI373+CI411</f>
        <v>3736</v>
      </c>
      <c r="CJ505" s="72">
        <f>IF(ISERROR(CI505/CA505),"NA",IF(OR(CI505/CA505&gt;2,CI505/CA505&lt;0.5),"NM",CI505/CA505*100-100))</f>
        <v>20.205920205920208</v>
      </c>
      <c r="CK505" s="145">
        <f>CK115+CK80+CK235+CK200+CK373+CK411</f>
        <v>3706</v>
      </c>
      <c r="CL505" s="72">
        <f>IF(ISERROR(CK505/CC505),"NA",IF(OR(CK505/CC505&gt;2,CK505/CC505&lt;0.5),"NM",CK505/CC505*100-100))</f>
        <v>15.993740219092317</v>
      </c>
      <c r="CM505" s="145">
        <f>CM115+CM80+CM235+CM200+CM373+CM411</f>
        <v>4642</v>
      </c>
      <c r="CN505" s="72">
        <f>IF(ISERROR(CM505/CE505),"NA",IF(OR(CM505/CE505&gt;2,CM505/CE505&lt;0.5),"NM",CM505/CE505*100-100))</f>
        <v>35.414235705951</v>
      </c>
      <c r="CO505" s="145">
        <f>CO115+CO80+CO235+CO200+CO373+CO411</f>
        <v>5153</v>
      </c>
      <c r="CP505" s="72">
        <f>IF(ISERROR(CO505/CG505),"NA",IF(OR(CO505/CG505&gt;2,CO505/CG505&lt;0.5),"NM",CO505/CG505*100-100))</f>
        <v>30.060575466935916</v>
      </c>
      <c r="CQ505" s="145">
        <f>CQ115+CQ80+CQ235+CQ200+CQ373+CQ411</f>
        <v>5191</v>
      </c>
      <c r="CR505" s="72">
        <f>IF(ISERROR(CQ505/CI505),"NA",IF(OR(CQ505/CI505&gt;2,CQ505/CI505&lt;0.5),"NM",CQ505/CI505*100-100))</f>
        <v>38.945396145610289</v>
      </c>
      <c r="CS505" s="145">
        <f>CS115+CS80+CS235+CS200+CS373+CS411</f>
        <v>4958</v>
      </c>
      <c r="CT505" s="72">
        <f>IF(ISERROR(CS505/CK505),"NA",IF(OR(CS505/CK505&gt;2,CS505/CK505&lt;0.5),"NM",CS505/CK505*100-100))</f>
        <v>33.783054506206156</v>
      </c>
      <c r="CU505" s="145">
        <f>CU115+CU80+CU235+CU200+CU373+CU411</f>
        <v>5476</v>
      </c>
      <c r="CV505" s="72">
        <f>IF(ISERROR(CU505/CM505),"NA",IF(OR(CU505/CM505&gt;2,CU505/CM505&lt;0.5),"NM",CU505/CM505*100-100))</f>
        <v>17.966393795777691</v>
      </c>
      <c r="CW505" s="145">
        <f>CW115+CW80+CW235+CW200+CW373+CW411</f>
        <v>6366</v>
      </c>
      <c r="CX505" s="72">
        <f>IF(ISERROR(CW505/CO505),"NA",IF(OR(CW505/CO505&gt;2,CW505/CO505&lt;0.5),"NM",CW505/CO505*100-100))</f>
        <v>23.539685620027171</v>
      </c>
      <c r="CY505" s="145">
        <f>CY115+CY80+CY235+CY200+CY373+CY411</f>
        <v>8151</v>
      </c>
      <c r="CZ505" s="72">
        <f>IF(ISERROR(CY505/CQ505),"NA",IF(OR(CY505/CQ505&gt;2,CY505/CQ505&lt;0.5),"NM",CY505/CQ505*100-100))</f>
        <v>57.021768445386243</v>
      </c>
      <c r="DA505" s="145">
        <f>DA115+DA80+DA235+DA200+DA373+DA411</f>
        <v>40771</v>
      </c>
      <c r="DB505" s="72" t="str">
        <f>IF(ISERROR(DA505/CS505),"NA",IF(OR(DA505/CS505&gt;2,DA505/CS505&lt;0.5),"NM",DA505/CS505*100-100))</f>
        <v>NM</v>
      </c>
      <c r="DC505" s="145">
        <f>DC115+DC80+DC235+DC200+DC373+DC411</f>
        <v>6332</v>
      </c>
      <c r="DD505" s="72">
        <f>IF(ISERROR(DC505/CU505),"NA",IF(OR(DC505/CU505&gt;2,DC505/CU505&lt;0.5),"NM",DC505/CU505*100-100))</f>
        <v>15.631848064280504</v>
      </c>
      <c r="DE505" s="145">
        <f>DE115+DE80+DE235+DE200+DE373+DE411</f>
        <v>6165</v>
      </c>
      <c r="DF505" s="72">
        <f>IF(ISERROR(DE505/CW505),"NA",IF(OR(DE505/CW505&gt;2,DE505/CW505&lt;0.5),"NM",DE505/CW505*100-100))</f>
        <v>-3.157398680490104</v>
      </c>
      <c r="DG505" s="145">
        <f>DG115+DG80+DG235+DG200+DG373+DG411</f>
        <v>5443</v>
      </c>
      <c r="DH505" s="72">
        <f>IF(ISERROR(DG505/CY505),"NA",IF(OR(DG505/CY505&gt;2,DG505/CY505&lt;0.5),"NM",DG505/CY505*100-100))</f>
        <v>-33.22291743344374</v>
      </c>
      <c r="DI505" s="145">
        <f>DI115+DI80+DI235+DI200+DI373+DI411</f>
        <v>5405</v>
      </c>
      <c r="DJ505" s="72" t="str">
        <f>IF(ISERROR(DI505/DA505),"NA",IF(OR(DI505/DA505&gt;2,DI505/DA505&lt;0.5),"NM",DI505/DA505*100-100))</f>
        <v>NM</v>
      </c>
      <c r="DK505" s="145">
        <f>DK115+DK80+DK235+DK200+DK373+DK411</f>
        <v>5394</v>
      </c>
      <c r="DL505" s="72">
        <f>IF(ISERROR(DK505/DC505),"NA",IF(OR(DK505/DC505&gt;2,DK505/DC505&lt;0.5),"NM",DK505/DC505*100-100))</f>
        <v>-14.813644977890078</v>
      </c>
      <c r="DM505" s="145">
        <f>DM115+DM80+DM235+DM200+DM373+DM411</f>
        <v>5418</v>
      </c>
      <c r="DN505" s="72">
        <f t="shared" ref="DN505:DZ511" si="2394">IF(ISERROR(DM505/DE505),"NA",IF(OR(DM505/DE505&gt;2,DM505/DE505&lt;0.5),"NM",DM505/DE505*100-100))</f>
        <v>-12.116788321167888</v>
      </c>
      <c r="DO505" s="145">
        <f>DO115+DO80+DO235+DO200+DO373+DO411</f>
        <v>6380</v>
      </c>
      <c r="DP505" s="72">
        <f t="shared" si="2394"/>
        <v>17.214771265846053</v>
      </c>
      <c r="DQ505" s="145">
        <f>DQ115+DQ80+DQ235+DQ200+DQ373+DQ411</f>
        <v>10264</v>
      </c>
      <c r="DR505" s="72">
        <f t="shared" si="2394"/>
        <v>89.898242368177591</v>
      </c>
      <c r="DS505" s="145">
        <f>DS115+DS80+DS235+DS200+DS373+DS411</f>
        <v>6216</v>
      </c>
      <c r="DT505" s="72">
        <f t="shared" si="2394"/>
        <v>15.239154616240256</v>
      </c>
      <c r="DU505" s="145">
        <f>DU115+DU80+DU235+DU200+DU373+DU411</f>
        <v>6934</v>
      </c>
      <c r="DV505" s="72">
        <f t="shared" si="2394"/>
        <v>27.980804724990776</v>
      </c>
      <c r="DW505" s="145">
        <f>DW115+DW80+DW235+DW200+DW373+DW411</f>
        <v>5627</v>
      </c>
      <c r="DX505" s="72">
        <f t="shared" si="2394"/>
        <v>-11.8025078369906</v>
      </c>
      <c r="DY505" s="145">
        <f>DY115+DY80+DY235+DY200+DY373+DY411</f>
        <v>7905</v>
      </c>
      <c r="DZ505" s="72">
        <f t="shared" si="2394"/>
        <v>-22.983242400623539</v>
      </c>
      <c r="EA505" s="145">
        <f>EA115+EA80+EA235+EA200+EA373+EA411</f>
        <v>5978</v>
      </c>
      <c r="EB505" s="72">
        <f t="shared" ref="EB505:EB511" si="2395">IF(ISERROR(EA505/DS505),"NA",IF(OR(EA505/DS505&gt;2,EA505/DS505&lt;0.5),"NM",EA505/DS505*100-100))</f>
        <v>-3.8288288288288328</v>
      </c>
      <c r="EC505" s="145">
        <f>EC115+EC80+EC235+EC200+EC373+EC411</f>
        <v>6807</v>
      </c>
      <c r="ED505" s="72">
        <f t="shared" ref="ED505:ED511" si="2396">IF(ISERROR(EC505/DU505),"NA",IF(OR(EC505/DU505&gt;2,EC505/DU505&lt;0.5),"NM",EC505/DU505*100-100))</f>
        <v>-1.8315546582059454</v>
      </c>
      <c r="EE505" s="145">
        <f>EE115+EE80+EE235+EE200+EE373+EE411</f>
        <v>9247</v>
      </c>
      <c r="EF505" s="72">
        <f t="shared" ref="EF505:EF511" si="2397">IF(ISERROR(EE505/DW505),"NA",IF(OR(EE505/DW505&gt;2,EE505/DW505&lt;0.5),"NM",EE505/DW505*100-100))</f>
        <v>64.332681713168654</v>
      </c>
      <c r="EG505" s="145">
        <f>EG115+EG80+EG235+EG200+EG373+EG411</f>
        <v>7651</v>
      </c>
      <c r="EH505" s="72">
        <f t="shared" ref="EH505:EH511" si="2398">IF(ISERROR(EG505/DY505),"NA",IF(OR(EG505/DY505&gt;2,EG505/DY505&lt;0.5),"NM",EG505/DY505*100-100))</f>
        <v>-3.21315623023402</v>
      </c>
      <c r="EI505" s="145">
        <f>EI115+EI80+EI235+EI200+EI373+EI411</f>
        <v>6145</v>
      </c>
      <c r="EJ505" s="72">
        <f t="shared" ref="EJ505:EJ511" si="2399">IF(ISERROR(EI505/EA505),"NA",IF(OR(EI505/EA505&gt;2,EI505/EA505&lt;0.5),"NM",EI505/EA505*100-100))</f>
        <v>2.7935764469722244</v>
      </c>
      <c r="EK505" s="145">
        <f>EK115+EK80+EK235+EK200+EK373+EK411</f>
        <v>7383</v>
      </c>
      <c r="EL505" s="72">
        <f t="shared" ref="EL505:EL511" si="2400">IF(ISERROR(EK505/EC505),"NA",IF(OR(EK505/EC505&gt;2,EK505/EC505&lt;0.5),"NM",EK505/EC505*100-100))</f>
        <v>8.461877479065663</v>
      </c>
      <c r="EM505" s="145">
        <f>EM115+EM80+EM235+EM200+EM373+EM411</f>
        <v>7375</v>
      </c>
      <c r="EN505" s="72">
        <f t="shared" ref="EN505:EN511" si="2401">IF(ISERROR(EM505/EE505),"NA",IF(OR(EM505/EE505&gt;2,EM505/EE505&lt;0.5),"NM",EM505/EE505*100-100))</f>
        <v>-20.244403590353627</v>
      </c>
      <c r="EO505" s="145">
        <f>EO115+EO80+EO235+EO200+EO373+EO411</f>
        <v>9147</v>
      </c>
      <c r="EP505" s="72">
        <f t="shared" ref="EP505:EP511" si="2402">IF(ISERROR(EO505/EG505),"NA",IF(OR(EO505/EG505&gt;2,EO505/EG505&lt;0.5),"NM",EO505/EG505*100-100))</f>
        <v>19.552999607894378</v>
      </c>
      <c r="EQ505" s="145">
        <f>EQ115+EQ80+EQ235+EQ200+EQ373+EQ411</f>
        <v>7724.5364671365305</v>
      </c>
      <c r="ER505" s="72">
        <f t="shared" ref="ER505:ER511" si="2403">IF(ISERROR(EQ505/EI505),"NA",IF(OR(EQ505/EI505&gt;2,EQ505/EI505&lt;0.5),"NM",EQ505/EI505*100-100))</f>
        <v>25.70441769140001</v>
      </c>
      <c r="ES505" s="145">
        <f>ES115+ES80+ES235+ES200+ES373+ES411</f>
        <v>7593.6463999394018</v>
      </c>
      <c r="ET505" s="72">
        <f t="shared" ref="ET505:ET511" si="2404">IF(ISERROR(ES505/EK505),"NA",IF(OR(ES505/EK505&gt;2,ES505/EK505&lt;0.5),"NM",ES505/EK505*100-100))</f>
        <v>2.8531274541433191</v>
      </c>
      <c r="EU505" s="145">
        <f>EU115+EU80+EU235+EU200+EU373+EU411</f>
        <v>7673.4686756348774</v>
      </c>
      <c r="EV505" s="72">
        <f t="shared" ref="EV505:EV511" si="2405">IF(ISERROR(EU505/EM505),"NA",IF(OR(EU505/EM505&gt;2,EU505/EM505&lt;0.5),"NM",EU505/EM505*100-100))</f>
        <v>4.0470328899644414</v>
      </c>
      <c r="EW505" s="145">
        <f>EW115+EW80+EW235+EW200+EW373+EW411</f>
        <v>7676.1717201581896</v>
      </c>
      <c r="EX505" s="72">
        <f t="shared" ref="EX505:EX511" si="2406">IF(ISERROR(EW505/EO505),"NA",IF(OR(EW505/EO505&gt;2,EW505/EO505&lt;0.5),"NM",EW505/EO505*100-100))</f>
        <v>-16.079898106940092</v>
      </c>
      <c r="EY505" s="72"/>
      <c r="EZ505" s="296"/>
      <c r="FA505" s="72"/>
      <c r="FB505" s="145"/>
      <c r="FC505" s="11"/>
      <c r="FD505" s="145"/>
      <c r="FE505" s="72"/>
      <c r="FF505" s="145"/>
      <c r="FG505" s="72"/>
      <c r="FH505" s="145"/>
      <c r="FI505" s="72"/>
      <c r="FJ505" s="145">
        <f>FJ115+FJ80+FJ235+FJ200+FJ373+FJ411</f>
        <v>7692</v>
      </c>
      <c r="FK505" s="72" t="str">
        <f t="shared" ref="FK505:FK511" si="2407">IF(ISERROR(FJ505/FH505),"NA",IF(OR(FJ505/FH505&gt;2,FJ505/FH505&lt;0.5),"NM",FJ505/FH505*100-100))</f>
        <v>NA</v>
      </c>
      <c r="FL505" s="145">
        <f>FL115+FL80+FL235+FL200+FL373+FL411</f>
        <v>8203</v>
      </c>
      <c r="FM505" s="72">
        <f t="shared" ref="FM505:FM513" si="2408">IF(ISERROR(FL505/FJ505),"NA",IF(OR(FL505/FJ505&gt;2,FL505/FJ505&lt;0.5),"NM",FL505/FJ505*100-100))</f>
        <v>6.6432657306292384</v>
      </c>
      <c r="FN505" s="145">
        <f>FN115+FN80+FN235+FN200+FN373+FN411</f>
        <v>8746</v>
      </c>
      <c r="FO505" s="72">
        <f t="shared" ref="FO505:FO513" si="2409">IF(ISERROR(FN505/FL505),"NA",IF(OR(FN505/FL505&gt;2,FN505/FL505&lt;0.5),"NM",FN505/FL505*100-100))</f>
        <v>6.6195294404486162</v>
      </c>
      <c r="FP505" s="145">
        <f>FP115+FP80+FP235+FP200+FP373+FP411</f>
        <v>9851</v>
      </c>
      <c r="FQ505" s="72">
        <f t="shared" ref="FQ505:FQ513" si="2410">IF(ISERROR(FP505/FN505),"NA",IF(OR(FP505/FN505&gt;2,FP505/FN505&lt;0.5),"NM",FP505/FN505*100-100))</f>
        <v>12.634347130116623</v>
      </c>
      <c r="FR505" s="145">
        <f>FR115+FR80+FR235+FR200+FR373+FR411</f>
        <v>10380</v>
      </c>
      <c r="FS505" s="72">
        <f t="shared" ref="FS505:FS511" si="2411">IF(ISERROR(FR505/FP505),"NA",IF(OR(FR505/FP505&gt;2,FR505/FP505&lt;0.5),"NM",FR505/FP505*100-100))</f>
        <v>5.3700131966297704</v>
      </c>
      <c r="FT505" s="145">
        <f>FT115+FT80+FT235+FT200+FT373+FT411</f>
        <v>10790</v>
      </c>
      <c r="FU505" s="72">
        <f t="shared" ref="FU505:FU511" si="2412">IF(ISERROR(FT505/FR505),"NA",IF(OR(FT505/FR505&gt;2,FT505/FR505&lt;0.5),"NM",FT505/FR505*100-100))</f>
        <v>3.9499036608863207</v>
      </c>
      <c r="FV505" s="145">
        <f>FV115+FV80+FV235+FV200+FV373+FV411</f>
        <v>12343</v>
      </c>
      <c r="FW505" s="72">
        <f>IF(ISERROR(FV505/FT505),"NA",IF(OR(FV505/FT505&gt;2,FV505/FT505&lt;0.5),"NM",FV505/FT505*100-100))</f>
        <v>14.392956441149224</v>
      </c>
      <c r="FX505" s="145">
        <f>FX115+FX80+FX235+FX200+FX373+FX411</f>
        <v>12666</v>
      </c>
      <c r="FY505" s="72">
        <f>IF(ISERROR(FX505/FV505),"NA",IF(OR(FX505/FV505&gt;2,FX505/FV505&lt;0.5),"NM",FX505/FV505*100-100))</f>
        <v>2.6168678603256836</v>
      </c>
      <c r="FZ505" s="145">
        <f>FZ115+FZ80+FZ235+FZ200+FZ373+FZ411</f>
        <v>14832</v>
      </c>
      <c r="GA505" s="72">
        <f>IF(ISERROR(FZ505/FX505),"NA",IF(OR(FZ505/FX505&gt;2,FZ505/FX505&lt;0.5),"NM",FZ505/FX505*100-100))</f>
        <v>17.100900047370899</v>
      </c>
      <c r="GB505" s="145">
        <f>GB115+GB80+GB235+GB200+GB373+GB411</f>
        <v>19944</v>
      </c>
      <c r="GC505" s="72">
        <f>IF(ISERROR(GB505/FZ505),"NA",IF(OR(GB505/FZ505&gt;2,GB505/FZ505&lt;0.5),"NM",GB505/FZ505*100-100))</f>
        <v>34.466019417475735</v>
      </c>
      <c r="GD505" s="145">
        <f>GD115+GD80+GD235+GD200+GD373+GD411</f>
        <v>60764</v>
      </c>
      <c r="GE505" s="72" t="str">
        <f>IF(ISERROR(GD505/GB505),"NA",IF(OR(GD505/GB505&gt;2,GD505/GB505&lt;0.5),"NM",GD505/GB505*100-100))</f>
        <v>NM</v>
      </c>
      <c r="GF505" s="145">
        <f>GF115+GF80+GF235+GF200+GF373+GF411</f>
        <v>23345</v>
      </c>
      <c r="GG505" s="72" t="str">
        <f>IF(ISERROR(GF505/GD505),"NA",IF(OR(GF505/GD505&gt;2,GF505/GD505&lt;0.5),"NM",GF505/GD505*100-100))</f>
        <v>NM</v>
      </c>
      <c r="GH505" s="145">
        <f>GH115+GH80+GH235+GH200+GH373+GH411</f>
        <v>27456</v>
      </c>
      <c r="GI505" s="72">
        <f t="shared" ref="GI505:GU511" si="2413">IF(ISERROR(GH505/GF505),"NA",IF(OR(GH505/GF505&gt;2,GH505/GF505&lt;0.5),"NM",GH505/GF505*100-100))</f>
        <v>17.609766545298783</v>
      </c>
      <c r="GJ505" s="145">
        <f>GJ115+GJ80+GJ235+GJ200+GJ373+GJ411</f>
        <v>26682</v>
      </c>
      <c r="GK505" s="72">
        <f t="shared" si="2413"/>
        <v>-2.8190559440559468</v>
      </c>
      <c r="GL505" s="145">
        <f>GL115+GL80+GL235+GL200+GL373+GL411</f>
        <v>29683</v>
      </c>
      <c r="GM505" s="72">
        <f t="shared" si="2413"/>
        <v>11.247282812382878</v>
      </c>
      <c r="GN505" s="145">
        <f>GN115+GN80+GN235+GN200+GN373+GN411</f>
        <v>30050</v>
      </c>
      <c r="GO505" s="72">
        <f t="shared" si="2413"/>
        <v>1.2363979382137984</v>
      </c>
      <c r="GP505" s="145">
        <f>GP115+GP80+GP235+GP200+GP373+GP411</f>
        <v>30667.823262868998</v>
      </c>
      <c r="GQ505" s="72">
        <f t="shared" si="2413"/>
        <v>2.0559842358369309</v>
      </c>
      <c r="GR505" s="145">
        <f>GR115+GR80+GR235+GR200+GR373+GR411</f>
        <v>31724.365132069423</v>
      </c>
      <c r="GS505" s="72">
        <f t="shared" si="2413"/>
        <v>3.4451152928079694</v>
      </c>
      <c r="GT505" s="145">
        <f>GT115+GT80+GT235+GT200+GT373+GT411</f>
        <v>32831.647030119362</v>
      </c>
      <c r="GU505" s="72">
        <f t="shared" si="2413"/>
        <v>3.4903201165422644</v>
      </c>
      <c r="GV505" s="145">
        <f>GV115+GV80+GV235+GV200+GV373+GV411</f>
        <v>33988.713232647475</v>
      </c>
      <c r="GW505" s="72">
        <f t="shared" ref="GW505:GW511" si="2414">IF(ISERROR(GV505/GT505),"NA",IF(OR(GV505/GT505&gt;2,GV505/GT505&lt;0.5),"NM",GV505/GT505*100-100))</f>
        <v>3.5242405032761042</v>
      </c>
      <c r="GX505" s="145">
        <f>GX115+GX80+GX235+GX200+GX373+GX411</f>
        <v>35195.230105393697</v>
      </c>
      <c r="GY505" s="72">
        <f t="shared" ref="GY505:GY511" si="2415">IF(ISERROR(GX505/GV505),"NA",IF(OR(GX505/GV505&gt;2,GX505/GV505&lt;0.5),"NM",GX505/GV505*100-100))</f>
        <v>3.5497574282609605</v>
      </c>
      <c r="GZ505" s="72">
        <f t="shared" ref="GZ505:GZ511" si="2416">IF(ISERROR(((GX505/GN505)^0.2-1)*100),"NA",IF((((GX505/GN505)^0.2-1)*100)&gt;100,"NM",IF((((GX505/GN505)^0.2-1)*100)&lt;-50,"NM",((GX505/GN505)^0.2-1)*100)))</f>
        <v>3.2114469343029972</v>
      </c>
      <c r="HA505" s="72"/>
      <c r="HB505" s="72"/>
      <c r="HC505"/>
      <c r="HD505"/>
      <c r="HE505"/>
      <c r="HF505"/>
      <c r="HG505"/>
      <c r="HH505"/>
      <c r="HI505" s="2"/>
    </row>
    <row r="506" spans="1:217" s="3" customFormat="1" ht="12.75" customHeight="1" x14ac:dyDescent="0.2">
      <c r="B506" s="77" t="s">
        <v>668</v>
      </c>
      <c r="C506" s="145"/>
      <c r="D506" s="11"/>
      <c r="E506" s="145"/>
      <c r="F506" s="11"/>
      <c r="G506" s="145"/>
      <c r="H506" s="11"/>
      <c r="I506" s="145"/>
      <c r="J506" s="11"/>
      <c r="K506" s="145"/>
      <c r="L506" s="72"/>
      <c r="M506" s="145"/>
      <c r="N506" s="72"/>
      <c r="O506" s="145"/>
      <c r="P506" s="72"/>
      <c r="Q506" s="145"/>
      <c r="R506" s="72"/>
      <c r="S506" s="145">
        <v>414</v>
      </c>
      <c r="T506" s="72" t="str">
        <f>IF(ISERROR(S506/K506),"NA",IF(OR(S506/K506&gt;2,S506/K506&lt;0.5),"NM",S506/K506*100-100))</f>
        <v>NA</v>
      </c>
      <c r="U506" s="145">
        <v>415</v>
      </c>
      <c r="V506" s="72" t="str">
        <f>IF(ISERROR(U506/M506),"NA",IF(OR(U506/M506&gt;2,U506/M506&lt;0.5),"NM",U506/M506*100-100))</f>
        <v>NA</v>
      </c>
      <c r="W506" s="145">
        <v>434</v>
      </c>
      <c r="X506" s="72" t="str">
        <f>IF(ISERROR(W506/O506),"NA",IF(OR(W506/O506&gt;2,W506/O506&lt;0.5),"NM",W506/O506*100-100))</f>
        <v>NA</v>
      </c>
      <c r="Y506" s="145">
        <v>444</v>
      </c>
      <c r="Z506" s="72" t="str">
        <f>IF(ISERROR(Y506/Q506),"NA",IF(OR(Y506/Q506&gt;2,Y506/Q506&lt;0.5),"NM",Y506/Q506*100-100))</f>
        <v>NA</v>
      </c>
      <c r="AA506" s="145">
        <f>AA116+AA81+AA236+AA201+AA374+AA412</f>
        <v>418</v>
      </c>
      <c r="AB506" s="72">
        <f>IF(ISERROR(AA506/S506),"NA",IF(OR(AA506/S506&gt;2,AA506/S506&lt;0.5),"NM",AA506/S506*100-100))</f>
        <v>0.96618357487923845</v>
      </c>
      <c r="AC506" s="145">
        <f>AC116+AC81+AC236+AC201+AC374+AC412</f>
        <v>421</v>
      </c>
      <c r="AD506" s="72">
        <f>IF(ISERROR(AC506/U506),"NA",IF(OR(AC506/U506&gt;2,AC506/U506&lt;0.5),"NM",AC506/U506*100-100))</f>
        <v>1.4457831325301242</v>
      </c>
      <c r="AE506" s="145">
        <f>AE116+AE81+AE236+AE201+AE374+AE412</f>
        <v>424</v>
      </c>
      <c r="AF506" s="72">
        <f>IF(ISERROR(AE506/W506),"NA",IF(OR(AE506/W506&gt;2,AE506/W506&lt;0.5),"NM",AE506/W506*100-100))</f>
        <v>-2.3041474654377936</v>
      </c>
      <c r="AG506" s="145">
        <f>AG116+AG81+AG236+AG201+AG374+AG412</f>
        <v>428</v>
      </c>
      <c r="AH506" s="72">
        <f>IF(ISERROR(AG506/Y506),"NA",IF(OR(AG506/Y506&gt;2,AG506/Y506&lt;0.5),"NM",AG506/Y506*100-100))</f>
        <v>-3.6036036036036023</v>
      </c>
      <c r="AI506" s="145">
        <f>AI116+AI81+AI236+AI201+AI374+AI412</f>
        <v>434</v>
      </c>
      <c r="AJ506" s="72">
        <f>IF(ISERROR(AI506/AA506),"NA",IF(OR(AI506/AA506&gt;2,AI506/AA506&lt;0.5),"NM",AI506/AA506*100-100))</f>
        <v>3.8277511961722439</v>
      </c>
      <c r="AK506" s="145">
        <f>AK116+AK81+AK236+AK201+AK374+AK412</f>
        <v>593</v>
      </c>
      <c r="AL506" s="72">
        <f>IF(ISERROR(AK506/AC506),"NA",IF(OR(AK506/AC506&gt;2,AK506/AC506&lt;0.5),"NM",AK506/AC506*100-100))</f>
        <v>40.855106888361036</v>
      </c>
      <c r="AM506" s="145">
        <f>AM116+AM81+AM236+AM201+AM374+AM412</f>
        <v>589</v>
      </c>
      <c r="AN506" s="72">
        <f>IF(ISERROR(AM506/AE506),"NA",IF(OR(AM506/AE506&gt;2,AM506/AE506&lt;0.5),"NM",AM506/AE506*100-100))</f>
        <v>38.915094339622641</v>
      </c>
      <c r="AO506" s="145">
        <f>AO116+AO81+AO236+AO201+AO374+AO412</f>
        <v>608</v>
      </c>
      <c r="AP506" s="72">
        <f>IF(ISERROR(AO506/AG506),"NA",IF(OR(AO506/AG506&gt;2,AO506/AG506&lt;0.5),"NM",AO506/AG506*100-100))</f>
        <v>42.056074766355124</v>
      </c>
      <c r="AQ506" s="145">
        <f>AQ116+AQ81+AQ236+AQ201+AQ374+AQ412</f>
        <v>609</v>
      </c>
      <c r="AR506" s="72">
        <f t="shared" si="2378"/>
        <v>40.32258064516131</v>
      </c>
      <c r="AS506" s="145">
        <f>AS116+AS81+AS236+AS201+AS374+AS412</f>
        <v>635</v>
      </c>
      <c r="AT506" s="72">
        <f t="shared" si="2379"/>
        <v>7.0826306913996717</v>
      </c>
      <c r="AU506" s="145">
        <f>AU116+AU81+AU236+AU201+AU374+AU412</f>
        <v>665</v>
      </c>
      <c r="AV506" s="72">
        <f t="shared" si="2380"/>
        <v>12.90322580645163</v>
      </c>
      <c r="AW506" s="145">
        <f>AW116+AW81+AW236+AW201+AW374+AW412</f>
        <v>646</v>
      </c>
      <c r="AX506" s="72">
        <f t="shared" si="2381"/>
        <v>6.25</v>
      </c>
      <c r="AY506" s="145">
        <f>AY116+AY81+AY236+AY201+AY374+AY412</f>
        <v>666</v>
      </c>
      <c r="AZ506" s="72">
        <f t="shared" si="2382"/>
        <v>9.3596059113300498</v>
      </c>
      <c r="BA506" s="145">
        <f>BA116+BA81+BA236+BA201+BA374+BA412</f>
        <v>694</v>
      </c>
      <c r="BB506" s="72">
        <f t="shared" si="2383"/>
        <v>9.2913385826771702</v>
      </c>
      <c r="BC506" s="145">
        <f>BC116+BC81+BC236+BC201+BC374+BC412</f>
        <v>737</v>
      </c>
      <c r="BD506" s="72">
        <f t="shared" si="2384"/>
        <v>10.827067669172948</v>
      </c>
      <c r="BE506" s="145">
        <f>BE116+BE81+BE236+BE201+BE374+BE412</f>
        <v>770</v>
      </c>
      <c r="BF506" s="72">
        <f t="shared" si="2385"/>
        <v>19.195046439628484</v>
      </c>
      <c r="BG506" s="145">
        <f>BG116+BG81+BG236+BG201+BG374+BG412</f>
        <v>771</v>
      </c>
      <c r="BH506" s="72">
        <f t="shared" si="2386"/>
        <v>15.765765765765764</v>
      </c>
      <c r="BI506" s="145">
        <f>BI116+BI81+BI236+BI201+BI374+BI412</f>
        <v>792</v>
      </c>
      <c r="BJ506" s="72">
        <f t="shared" si="2387"/>
        <v>14.121037463976947</v>
      </c>
      <c r="BK506" s="145">
        <f>BK116+BK81+BK236+BK201+BK374+BK412</f>
        <v>813</v>
      </c>
      <c r="BL506" s="72">
        <f t="shared" si="2388"/>
        <v>10.312075983717776</v>
      </c>
      <c r="BM506" s="145">
        <f>BM116+BM81+BM236+BM201+BM374+BM412</f>
        <v>844</v>
      </c>
      <c r="BN506" s="72">
        <f t="shared" si="2389"/>
        <v>9.6103896103896034</v>
      </c>
      <c r="BO506" s="145">
        <f>BO116+BO81+BO236+BO201+BO374+BO412</f>
        <v>849</v>
      </c>
      <c r="BP506" s="72">
        <f t="shared" si="2390"/>
        <v>10.116731517509734</v>
      </c>
      <c r="BQ506" s="145">
        <f>BQ116+BQ81+BQ236+BQ201+BQ374+BQ412</f>
        <v>849</v>
      </c>
      <c r="BR506" s="72">
        <f t="shared" si="2391"/>
        <v>7.1969696969697026</v>
      </c>
      <c r="BS506" s="145">
        <f>BS116+BS81+BS236+BS201+BS374+BS412</f>
        <v>904</v>
      </c>
      <c r="BT506" s="72">
        <f t="shared" si="2392"/>
        <v>11.193111931119319</v>
      </c>
      <c r="BU506" s="145">
        <f>BU116+BU81+BU236+BU201+BU374+BU412</f>
        <v>933</v>
      </c>
      <c r="BV506" s="72">
        <f t="shared" si="2393"/>
        <v>10.545023696682463</v>
      </c>
      <c r="BW506" s="145">
        <f>BW116+BW81+BW236+BW201+BW374+BW412</f>
        <v>900</v>
      </c>
      <c r="BX506" s="72">
        <f>IF(ISERROR(BW506/BO506),"NA",IF(OR(BW506/BO506&gt;2,BW506/BO506&lt;0.5),"NM",BW506/BO506*100-100))</f>
        <v>6.0070671378091873</v>
      </c>
      <c r="BY506" s="145">
        <f>BY116+BY81+BY236+BY201+BY374+BY412</f>
        <v>851</v>
      </c>
      <c r="BZ506" s="72">
        <f>IF(ISERROR(BY506/BQ506),"NA",IF(OR(BY506/BQ506&gt;2,BY506/BQ506&lt;0.5),"NM",BY506/BQ506*100-100))</f>
        <v>0.23557126030624431</v>
      </c>
      <c r="CA506" s="145">
        <f>CA116+CA81+CA236+CA201+CA374+CA412</f>
        <v>872</v>
      </c>
      <c r="CB506" s="72">
        <f>IF(ISERROR(CA506/BS506),"NA",IF(OR(CA506/BS506&gt;2,CA506/BS506&lt;0.5),"NM",CA506/BS506*100-100))</f>
        <v>-3.5398230088495666</v>
      </c>
      <c r="CC506" s="145">
        <f>CC116+CC81+CC236+CC201+CC374+CC412</f>
        <v>874</v>
      </c>
      <c r="CD506" s="72">
        <f>IF(ISERROR(CC506/BU506),"NA",IF(OR(CC506/BU506&gt;2,CC506/BU506&lt;0.5),"NM",CC506/BU506*100-100))</f>
        <v>-6.3236870310825282</v>
      </c>
      <c r="CE506" s="145">
        <f>CE116+CE81+CE236+CE201+CE374+CE412</f>
        <v>868</v>
      </c>
      <c r="CF506" s="72">
        <f>IF(ISERROR(CE506/BW506),"NA",IF(OR(CE506/BW506&gt;2,CE506/BW506&lt;0.5),"NM",CE506/BW506*100-100))</f>
        <v>-3.5555555555555571</v>
      </c>
      <c r="CG506" s="145">
        <f>CG116+CG81+CG236+CG201+CG374+CG412</f>
        <v>894</v>
      </c>
      <c r="CH506" s="72">
        <f>IF(ISERROR(CG506/BY506),"NA",IF(OR(CG506/BY506&gt;2,CG506/BY506&lt;0.5),"NM",CG506/BY506*100-100))</f>
        <v>5.0528789659224316</v>
      </c>
      <c r="CI506" s="145">
        <f>CI116+CI81+CI236+CI201+CI374+CI412</f>
        <v>836</v>
      </c>
      <c r="CJ506" s="72">
        <f>IF(ISERROR(CI506/CA506),"NA",IF(OR(CI506/CA506&gt;2,CI506/CA506&lt;0.5),"NM",CI506/CA506*100-100))</f>
        <v>-4.1284403669724696</v>
      </c>
      <c r="CK506" s="145">
        <f>CK116+CK81+CK236+CK201+CK374+CK412</f>
        <v>890</v>
      </c>
      <c r="CL506" s="72">
        <f>IF(ISERROR(CK506/CC506),"NA",IF(OR(CK506/CC506&gt;2,CK506/CC506&lt;0.5),"NM",CK506/CC506*100-100))</f>
        <v>1.8306636155606384</v>
      </c>
      <c r="CM506" s="145">
        <f>CM116+CM81+CM236+CM201+CM374+CM412</f>
        <v>839</v>
      </c>
      <c r="CN506" s="72">
        <f>IF(ISERROR(CM506/CE506),"NA",IF(OR(CM506/CE506&gt;2,CM506/CE506&lt;0.5),"NM",CM506/CE506*100-100))</f>
        <v>-3.3410138248847971</v>
      </c>
      <c r="CO506" s="145">
        <f>CO116+CO81+CO236+CO201+CO374+CO412</f>
        <v>942</v>
      </c>
      <c r="CP506" s="72">
        <f>IF(ISERROR(CO506/CG506),"NA",IF(OR(CO506/CG506&gt;2,CO506/CG506&lt;0.5),"NM",CO506/CG506*100-100))</f>
        <v>5.3691275167785193</v>
      </c>
      <c r="CQ506" s="145">
        <f>CQ116+CQ81+CQ236+CQ201+CQ374+CQ412</f>
        <v>1049</v>
      </c>
      <c r="CR506" s="72">
        <f>IF(ISERROR(CQ506/CI506),"NA",IF(OR(CQ506/CI506&gt;2,CQ506/CI506&lt;0.5),"NM",CQ506/CI506*100-100))</f>
        <v>25.478468899521516</v>
      </c>
      <c r="CS506" s="145">
        <f>CS116+CS81+CS236+CS201+CS374+CS412</f>
        <v>960</v>
      </c>
      <c r="CT506" s="72">
        <f>IF(ISERROR(CS506/CK506),"NA",IF(OR(CS506/CK506&gt;2,CS506/CK506&lt;0.5),"NM",CS506/CK506*100-100))</f>
        <v>7.8651685393258362</v>
      </c>
      <c r="CU506" s="145">
        <f>CU116+CU81+CU236+CU201+CU374+CU412</f>
        <v>955</v>
      </c>
      <c r="CV506" s="72">
        <f>IF(ISERROR(CU506/CM506),"NA",IF(OR(CU506/CM506&gt;2,CU506/CM506&lt;0.5),"NM",CU506/CM506*100-100))</f>
        <v>13.825983313468399</v>
      </c>
      <c r="CW506" s="145">
        <f>CW116+CW81+CW236+CW201+CW374+CW412</f>
        <v>977</v>
      </c>
      <c r="CX506" s="72">
        <f>IF(ISERROR(CW506/CO506),"NA",IF(OR(CW506/CO506&gt;2,CW506/CO506&lt;0.5),"NM",CW506/CO506*100-100))</f>
        <v>3.7154989384288797</v>
      </c>
      <c r="CY506" s="145">
        <f>CY116+CY81+CY236+CY201+CY374+CY412</f>
        <v>946</v>
      </c>
      <c r="CZ506" s="72">
        <f>IF(ISERROR(CY506/CQ506),"NA",IF(OR(CY506/CQ506&gt;2,CY506/CQ506&lt;0.5),"NM",CY506/CQ506*100-100))</f>
        <v>-9.8188751191611061</v>
      </c>
      <c r="DA506" s="145">
        <f>DA116+DA81+DA236+DA201+DA374+DA412</f>
        <v>948</v>
      </c>
      <c r="DB506" s="72">
        <f>IF(ISERROR(DA506/CS506),"NA",IF(OR(DA506/CS506&gt;2,DA506/CS506&lt;0.5),"NM",DA506/CS506*100-100))</f>
        <v>-1.25</v>
      </c>
      <c r="DC506" s="145">
        <f>DC116+DC81+DC236+DC201+DC374+DC412</f>
        <v>966</v>
      </c>
      <c r="DD506" s="72">
        <f>IF(ISERROR(DC506/CU506),"NA",IF(OR(DC506/CU506&gt;2,DC506/CU506&lt;0.5),"NM",DC506/CU506*100-100))</f>
        <v>1.151832460732976</v>
      </c>
      <c r="DE506" s="145">
        <f>DE116+DE81+DE236+DE201+DE374+DE412</f>
        <v>929</v>
      </c>
      <c r="DF506" s="72">
        <f>IF(ISERROR(DE506/CW506),"NA",IF(OR(DE506/CW506&gt;2,DE506/CW506&lt;0.5),"NM",DE506/CW506*100-100))</f>
        <v>-4.9129989764585531</v>
      </c>
      <c r="DG506" s="145">
        <f>DG116+DG81+DG236+DG201+DG374+DG412</f>
        <v>886</v>
      </c>
      <c r="DH506" s="72">
        <f>IF(ISERROR(DG506/CY506),"NA",IF(OR(DG506/CY506&gt;2,DG506/CY506&lt;0.5),"NM",DG506/CY506*100-100))</f>
        <v>-6.3424947145877439</v>
      </c>
      <c r="DI506" s="145">
        <f>DI116+DI81+DI236+DI201+DI374+DI412</f>
        <v>921</v>
      </c>
      <c r="DJ506" s="72">
        <f>IF(ISERROR(DI506/DA506),"NA",IF(OR(DI506/DA506&gt;2,DI506/DA506&lt;0.5),"NM",DI506/DA506*100-100))</f>
        <v>-2.8481012658227911</v>
      </c>
      <c r="DK506" s="145">
        <f>DK116+DK81+DK236+DK201+DK374+DK412</f>
        <v>925</v>
      </c>
      <c r="DL506" s="72">
        <f>IF(ISERROR(DK506/DC506),"NA",IF(OR(DK506/DC506&gt;2,DK506/DC506&lt;0.5),"NM",DK506/DC506*100-100))</f>
        <v>-4.2443064182194519</v>
      </c>
      <c r="DM506" s="145">
        <f>DM116+DM81+DM236+DM201+DM374+DM412</f>
        <v>934</v>
      </c>
      <c r="DN506" s="72">
        <f t="shared" si="2394"/>
        <v>0.53821313240042912</v>
      </c>
      <c r="DO506" s="145">
        <f>DO116+DO81+DO236+DO201+DO374+DO412</f>
        <v>942</v>
      </c>
      <c r="DP506" s="72">
        <f t="shared" si="2394"/>
        <v>6.3205417607223353</v>
      </c>
      <c r="DQ506" s="145">
        <f>DQ116+DQ81+DQ236+DQ201+DQ374+DQ412</f>
        <v>919</v>
      </c>
      <c r="DR506" s="72">
        <f t="shared" si="2394"/>
        <v>-0.21715526601519741</v>
      </c>
      <c r="DS506" s="145">
        <f>DS116+DS81+DS236+DS201+DS374+DS412</f>
        <v>884</v>
      </c>
      <c r="DT506" s="72">
        <f t="shared" si="2394"/>
        <v>-4.4324324324324351</v>
      </c>
      <c r="DU506" s="145">
        <f>DU116+DU81+DU236+DU201+DU374+DU412</f>
        <v>907</v>
      </c>
      <c r="DV506" s="72">
        <f t="shared" si="2394"/>
        <v>-2.8907922912205493</v>
      </c>
      <c r="DW506" s="145">
        <f>DW116+DW81+DW236+DW201+DW374+DW412</f>
        <v>915</v>
      </c>
      <c r="DX506" s="72">
        <f t="shared" si="2394"/>
        <v>-2.866242038216555</v>
      </c>
      <c r="DY506" s="145">
        <f>DY116+DY81+DY236+DY201+DY374+DY412</f>
        <v>879</v>
      </c>
      <c r="DZ506" s="72">
        <f t="shared" si="2394"/>
        <v>-4.3525571273122949</v>
      </c>
      <c r="EA506" s="145">
        <f>EA116+EA81+EA236+EA201+EA374+EA412</f>
        <v>907</v>
      </c>
      <c r="EB506" s="72">
        <f t="shared" si="2395"/>
        <v>2.6018099547511184</v>
      </c>
      <c r="EC506" s="145">
        <f>EC116+EC81+EC236+EC201+EC374+EC412</f>
        <v>914</v>
      </c>
      <c r="ED506" s="72">
        <f t="shared" si="2396"/>
        <v>0.77177508269019768</v>
      </c>
      <c r="EE506" s="145">
        <f>EE116+EE81+EE236+EE201+EE374+EE412</f>
        <v>932</v>
      </c>
      <c r="EF506" s="72">
        <f t="shared" si="2397"/>
        <v>1.8579234972677625</v>
      </c>
      <c r="EG506" s="145">
        <f>EG116+EG81+EG236+EG201+EG374+EG412</f>
        <v>945</v>
      </c>
      <c r="EH506" s="72">
        <f t="shared" si="2398"/>
        <v>7.5085324232081945</v>
      </c>
      <c r="EI506" s="145">
        <f>EI116+EI81+EI236+EI201+EI374+EI412</f>
        <v>920</v>
      </c>
      <c r="EJ506" s="72">
        <f t="shared" si="2399"/>
        <v>1.4332965821389081</v>
      </c>
      <c r="EK506" s="145">
        <f>EK116+EK81+EK236+EK201+EK374+EK412</f>
        <v>953</v>
      </c>
      <c r="EL506" s="72">
        <f t="shared" si="2400"/>
        <v>4.2669584245076635</v>
      </c>
      <c r="EM506" s="145">
        <f>EM116+EM81+EM236+EM201+EM374+EM412</f>
        <v>927</v>
      </c>
      <c r="EN506" s="72">
        <f t="shared" si="2401"/>
        <v>-0.5364806866952847</v>
      </c>
      <c r="EO506" s="145">
        <f>EO116+EO81+EO236+EO201+EO374+EO412</f>
        <v>929</v>
      </c>
      <c r="EP506" s="72">
        <f t="shared" si="2402"/>
        <v>-1.6931216931216966</v>
      </c>
      <c r="EQ506" s="145">
        <f>EQ116+EQ81+EQ236+EQ201+EQ374+EQ412</f>
        <v>950.72700720643184</v>
      </c>
      <c r="ER506" s="72">
        <f t="shared" si="2403"/>
        <v>3.3398920876556417</v>
      </c>
      <c r="ES506" s="145">
        <f>ES116+ES81+ES236+ES201+ES374+ES412</f>
        <v>952.73718868243463</v>
      </c>
      <c r="ET506" s="72">
        <f t="shared" si="2404"/>
        <v>-2.7577263123333751E-2</v>
      </c>
      <c r="EU506" s="145">
        <f>EU116+EU81+EU236+EU201+EU374+EU412</f>
        <v>966.9516749242465</v>
      </c>
      <c r="EV506" s="72">
        <f t="shared" si="2405"/>
        <v>4.3097815452261727</v>
      </c>
      <c r="EW506" s="145">
        <f>EW116+EW81+EW236+EW201+EW374+EW412</f>
        <v>964.52624410977569</v>
      </c>
      <c r="EX506" s="72">
        <f t="shared" si="2406"/>
        <v>3.8241382249489391</v>
      </c>
      <c r="EY506" s="72"/>
      <c r="EZ506" s="296"/>
      <c r="FA506" s="72"/>
      <c r="FB506" s="145"/>
      <c r="FC506" s="11"/>
      <c r="FD506" s="145"/>
      <c r="FE506" s="72"/>
      <c r="FF506" s="145"/>
      <c r="FG506" s="72"/>
      <c r="FH506" s="145"/>
      <c r="FI506" s="72"/>
      <c r="FJ506" s="145">
        <f>FJ116+FJ81+FJ236+FJ201+FJ374+FJ412</f>
        <v>1707</v>
      </c>
      <c r="FK506" s="72" t="str">
        <f t="shared" si="2407"/>
        <v>NA</v>
      </c>
      <c r="FL506" s="145">
        <f>FL116+FL81+FL236+FL201+FL374+FL412</f>
        <v>1691</v>
      </c>
      <c r="FM506" s="72">
        <f t="shared" si="2408"/>
        <v>-0.93731693028705365</v>
      </c>
      <c r="FN506" s="145">
        <f>FN116+FN81+FN236+FN201+FN374+FN412</f>
        <v>2224</v>
      </c>
      <c r="FO506" s="72">
        <f t="shared" si="2409"/>
        <v>31.519810762862221</v>
      </c>
      <c r="FP506" s="145">
        <f>FP116+FP81+FP236+FP201+FP374+FP412</f>
        <v>2555</v>
      </c>
      <c r="FQ506" s="72">
        <f t="shared" si="2410"/>
        <v>14.883093525179845</v>
      </c>
      <c r="FR506" s="145">
        <f>FR116+FR81+FR236+FR201+FR374+FR412</f>
        <v>2867</v>
      </c>
      <c r="FS506" s="72">
        <f t="shared" si="2411"/>
        <v>12.211350293542083</v>
      </c>
      <c r="FT506" s="145">
        <f>FT116+FT81+FT236+FT201+FT374+FT412</f>
        <v>3220</v>
      </c>
      <c r="FU506" s="72">
        <f t="shared" si="2412"/>
        <v>12.312521799790716</v>
      </c>
      <c r="FV506" s="145">
        <f>FV116+FV81+FV236+FV201+FV374+FV412</f>
        <v>3591</v>
      </c>
      <c r="FW506" s="72">
        <f>IF(ISERROR(FV506/FT506),"NA",IF(OR(FV506/FT506&gt;2,FV506/FT506&lt;0.5),"NM",FV506/FT506*100-100))</f>
        <v>11.521739130434767</v>
      </c>
      <c r="FX506" s="145">
        <f>FX116+FX81+FX236+FX201+FX374+FX412</f>
        <v>3497</v>
      </c>
      <c r="FY506" s="72">
        <f>IF(ISERROR(FX506/FV506),"NA",IF(OR(FX506/FV506&gt;2,FX506/FV506&lt;0.5),"NM",FX506/FV506*100-100))</f>
        <v>-2.6176552492341898</v>
      </c>
      <c r="FZ506" s="145">
        <f>FZ116+FZ81+FZ236+FZ201+FZ374+FZ412</f>
        <v>3488</v>
      </c>
      <c r="GA506" s="72">
        <f>IF(ISERROR(FZ506/FX506),"NA",IF(OR(FZ506/FX506&gt;2,FZ506/FX506&lt;0.5),"NM",FZ506/FX506*100-100))</f>
        <v>-0.25736345438947694</v>
      </c>
      <c r="GB506" s="145">
        <f>GB116+GB81+GB236+GB201+GB374+GB412</f>
        <v>3790</v>
      </c>
      <c r="GC506" s="72">
        <f>IF(ISERROR(GB506/FZ506),"NA",IF(OR(GB506/FZ506&gt;2,GB506/FZ506&lt;0.5),"NM",GB506/FZ506*100-100))</f>
        <v>8.6582568807339442</v>
      </c>
      <c r="GD506" s="145">
        <f>GD116+GD81+GD236+GD201+GD374+GD412</f>
        <v>3826</v>
      </c>
      <c r="GE506" s="72">
        <f>IF(ISERROR(GD506/GB506),"NA",IF(OR(GD506/GB506&gt;2,GD506/GB506&lt;0.5),"NM",GD506/GB506*100-100))</f>
        <v>0.94986807387861916</v>
      </c>
      <c r="GF506" s="145">
        <f>GF116+GF81+GF236+GF201+GF374+GF412</f>
        <v>3702</v>
      </c>
      <c r="GG506" s="72">
        <f>IF(ISERROR(GF506/GD506),"NA",IF(OR(GF506/GD506&gt;2,GF506/GD506&lt;0.5),"NM",GF506/GD506*100-100))</f>
        <v>-3.2409827496079515</v>
      </c>
      <c r="GH506" s="145">
        <f>GH116+GH81+GH236+GH201+GH374+GH412</f>
        <v>3720</v>
      </c>
      <c r="GI506" s="72">
        <f t="shared" si="2413"/>
        <v>0.48622366288493879</v>
      </c>
      <c r="GJ506" s="145">
        <f>GJ116+GJ81+GJ236+GJ201+GJ374+GJ412</f>
        <v>3585</v>
      </c>
      <c r="GK506" s="72">
        <f t="shared" si="2413"/>
        <v>-3.6290322580645125</v>
      </c>
      <c r="GL506" s="145">
        <f>GL116+GL81+GL236+GL201+GL374+GL412</f>
        <v>3698</v>
      </c>
      <c r="GM506" s="72">
        <f t="shared" si="2413"/>
        <v>3.1520223152022453</v>
      </c>
      <c r="GN506" s="145">
        <f>GN116+GN81+GN236+GN201+GN374+GN412</f>
        <v>3729</v>
      </c>
      <c r="GO506" s="72">
        <f t="shared" si="2413"/>
        <v>0.83829096809084547</v>
      </c>
      <c r="GP506" s="145">
        <f>GP116+GP81+GP236+GP201+GP374+GP412</f>
        <v>3834.9421149228883</v>
      </c>
      <c r="GQ506" s="72">
        <f t="shared" si="2413"/>
        <v>2.8410328485622927</v>
      </c>
      <c r="GR506" s="145">
        <f>GR116+GR81+GR236+GR201+GR374+GR412</f>
        <v>3999.9664165284621</v>
      </c>
      <c r="GS506" s="72">
        <f t="shared" si="2413"/>
        <v>4.3031758149207917</v>
      </c>
      <c r="GT506" s="145">
        <f>GT116+GT81+GT236+GT201+GT374+GT412</f>
        <v>4180.7361025543205</v>
      </c>
      <c r="GU506" s="72">
        <f t="shared" si="2413"/>
        <v>4.5192800939250617</v>
      </c>
      <c r="GV506" s="145">
        <f>GV116+GV81+GV236+GV201+GV374+GV412</f>
        <v>4362.7942911314112</v>
      </c>
      <c r="GW506" s="72">
        <f t="shared" si="2414"/>
        <v>4.3546921908287288</v>
      </c>
      <c r="GX506" s="145">
        <f>GX116+GX81+GX236+GX201+GX374+GX412</f>
        <v>4552.9332977478143</v>
      </c>
      <c r="GY506" s="72">
        <f t="shared" si="2415"/>
        <v>4.358193257080984</v>
      </c>
      <c r="GZ506" s="72">
        <f t="shared" si="2416"/>
        <v>4.0734091093809877</v>
      </c>
      <c r="HA506" s="72"/>
      <c r="HB506" s="72"/>
      <c r="HC506"/>
      <c r="HD506"/>
      <c r="HE506"/>
      <c r="HF506"/>
      <c r="HG506"/>
      <c r="HH506"/>
      <c r="HI506" s="2"/>
    </row>
    <row r="507" spans="1:217" s="3" customFormat="1" ht="12.75" customHeight="1" x14ac:dyDescent="0.2">
      <c r="B507" s="77" t="s">
        <v>271</v>
      </c>
      <c r="C507" s="145"/>
      <c r="D507" s="11"/>
      <c r="E507" s="145"/>
      <c r="F507" s="11"/>
      <c r="G507" s="145"/>
      <c r="H507" s="11"/>
      <c r="I507" s="145"/>
      <c r="J507" s="11"/>
      <c r="K507" s="145"/>
      <c r="L507" s="72"/>
      <c r="M507" s="145"/>
      <c r="N507" s="72"/>
      <c r="O507" s="145"/>
      <c r="P507" s="72"/>
      <c r="Q507" s="145"/>
      <c r="R507" s="72"/>
      <c r="S507" s="145">
        <v>48</v>
      </c>
      <c r="T507" s="72" t="str">
        <f>IF(ISERROR(S507/K507),"NA",IF(OR(S507/K507&gt;2,S507/K507&lt;0.5),"NM",S507/K507*100-100))</f>
        <v>NA</v>
      </c>
      <c r="U507" s="145">
        <v>43</v>
      </c>
      <c r="V507" s="72" t="str">
        <f>IF(ISERROR(U507/M507),"NA",IF(OR(U507/M507&gt;2,U507/M507&lt;0.5),"NM",U507/M507*100-100))</f>
        <v>NA</v>
      </c>
      <c r="W507" s="145">
        <v>43</v>
      </c>
      <c r="X507" s="72" t="str">
        <f>IF(ISERROR(W507/O507),"NA",IF(OR(W507/O507&gt;2,W507/O507&lt;0.5),"NM",W507/O507*100-100))</f>
        <v>NA</v>
      </c>
      <c r="Y507" s="145">
        <v>45</v>
      </c>
      <c r="Z507" s="72" t="str">
        <f>IF(ISERROR(Y507/Q507),"NA",IF(OR(Y507/Q507&gt;2,Y507/Q507&lt;0.5),"NM",Y507/Q507*100-100))</f>
        <v>NA</v>
      </c>
      <c r="AA507" s="145">
        <f>AA117+AA82+AA237+AA308+AA202+AA375+AA413</f>
        <v>7</v>
      </c>
      <c r="AB507" s="72" t="str">
        <f>IF(ISERROR(AA507/S507),"NA",IF(OR(AA507/S507&gt;2,AA507/S507&lt;0.5),"NM",AA507/S507*100-100))</f>
        <v>NM</v>
      </c>
      <c r="AC507" s="145">
        <f>AC117+AC82+AC237+AC308+AC202+AC375+AC413</f>
        <v>8</v>
      </c>
      <c r="AD507" s="72" t="str">
        <f>IF(ISERROR(AC507/U507),"NA",IF(OR(AC507/U507&gt;2,AC507/U507&lt;0.5),"NM",AC507/U507*100-100))</f>
        <v>NM</v>
      </c>
      <c r="AE507" s="145">
        <f>AE117+AE82+AE237+AE308+AE202+AE375+AE413</f>
        <v>9</v>
      </c>
      <c r="AF507" s="72" t="str">
        <f>IF(ISERROR(AE507/W507),"NA",IF(OR(AE507/W507&gt;2,AE507/W507&lt;0.5),"NM",AE507/W507*100-100))</f>
        <v>NM</v>
      </c>
      <c r="AG507" s="145">
        <f>AG117+AG82+AG237+AG308+AG202+AG375+AG413</f>
        <v>8</v>
      </c>
      <c r="AH507" s="72" t="str">
        <f>IF(ISERROR(AG507/Y507),"NA",IF(OR(AG507/Y507&gt;2,AG507/Y507&lt;0.5),"NM",AG507/Y507*100-100))</f>
        <v>NM</v>
      </c>
      <c r="AI507" s="145">
        <f>AI117+AI82+AI237+AI308+AI202+AI375+AI413</f>
        <v>6</v>
      </c>
      <c r="AJ507" s="72">
        <f>IF(ISERROR(AI507/AA507),"NA",IF(OR(AI507/AA507&gt;2,AI507/AA507&lt;0.5),"NM",AI507/AA507*100-100))</f>
        <v>-14.285714285714292</v>
      </c>
      <c r="AK507" s="145">
        <f>AK117+AK82+AK237+AK308+AK202+AK375+AK413</f>
        <v>9</v>
      </c>
      <c r="AL507" s="72">
        <f>IF(ISERROR(AK507/AC507),"NA",IF(OR(AK507/AC507&gt;2,AK507/AC507&lt;0.5),"NM",AK507/AC507*100-100))</f>
        <v>12.5</v>
      </c>
      <c r="AM507" s="145">
        <f>AM117+AM82+AM237+AM308+AM202+AM375+AM413</f>
        <v>27</v>
      </c>
      <c r="AN507" s="72" t="str">
        <f>IF(ISERROR(AM507/AE507),"NA",IF(OR(AM507/AE507&gt;2,AM507/AE507&lt;0.5),"NM",AM507/AE507*100-100))</f>
        <v>NM</v>
      </c>
      <c r="AO507" s="145">
        <f>AO117+AO82+AO237+AO308+AO202+AO375+AO413</f>
        <v>43</v>
      </c>
      <c r="AP507" s="72" t="str">
        <f>IF(ISERROR(AO507/AG507),"NA",IF(OR(AO507/AG507&gt;2,AO507/AG507&lt;0.5),"NM",AO507/AG507*100-100))</f>
        <v>NM</v>
      </c>
      <c r="AQ507" s="145">
        <f>AQ117+AQ82+AQ237+AQ308+AQ202+AQ375+AQ413</f>
        <v>52</v>
      </c>
      <c r="AR507" s="72" t="str">
        <f t="shared" si="2378"/>
        <v>NM</v>
      </c>
      <c r="AS507" s="145">
        <f>AS117+AS82+AS237+AS308+AS202+AS375+AS413</f>
        <v>55</v>
      </c>
      <c r="AT507" s="72" t="str">
        <f t="shared" si="2379"/>
        <v>NM</v>
      </c>
      <c r="AU507" s="145">
        <f>AU117+AU82+AU237+AU308+AU202+AU375+AU413</f>
        <v>60</v>
      </c>
      <c r="AV507" s="72" t="str">
        <f t="shared" si="2380"/>
        <v>NM</v>
      </c>
      <c r="AW507" s="145">
        <f>AW117+AW82+AW237+AW308+AW202+AW375+AW413</f>
        <v>79</v>
      </c>
      <c r="AX507" s="72">
        <f t="shared" si="2381"/>
        <v>83.720930232558146</v>
      </c>
      <c r="AY507" s="145">
        <f>AY117+AY82+AY237+AY308+AY202+AY375+AY413</f>
        <v>79</v>
      </c>
      <c r="AZ507" s="72">
        <f t="shared" si="2382"/>
        <v>51.923076923076906</v>
      </c>
      <c r="BA507" s="145">
        <f>BA117+BA82+BA237+BA308+BA202+BA375+BA413</f>
        <v>93</v>
      </c>
      <c r="BB507" s="72">
        <f t="shared" si="2383"/>
        <v>69.090909090909093</v>
      </c>
      <c r="BC507" s="145">
        <f>BC117+BC82+BC237+BC308+BC202+BC375+BC413</f>
        <v>103</v>
      </c>
      <c r="BD507" s="72">
        <f t="shared" si="2384"/>
        <v>71.666666666666657</v>
      </c>
      <c r="BE507" s="145">
        <f>BE117+BE82+BE237+BE308+BE202+BE375+BE413</f>
        <v>111</v>
      </c>
      <c r="BF507" s="72">
        <f t="shared" si="2385"/>
        <v>40.506329113924039</v>
      </c>
      <c r="BG507" s="145">
        <f>BG117+BG82+BG237+BG308+BG202+BG375+BG413</f>
        <v>113</v>
      </c>
      <c r="BH507" s="72">
        <f t="shared" si="2386"/>
        <v>43.03797468354432</v>
      </c>
      <c r="BI507" s="145">
        <f>BI117+BI82+BI237+BI308+BI202+BI375+BI413</f>
        <v>118</v>
      </c>
      <c r="BJ507" s="72">
        <f t="shared" si="2387"/>
        <v>26.881720430107521</v>
      </c>
      <c r="BK507" s="145">
        <f>BK117+BK82+BK237+BK308+BK202+BK375+BK413</f>
        <v>141</v>
      </c>
      <c r="BL507" s="72">
        <f t="shared" si="2388"/>
        <v>36.893203883495147</v>
      </c>
      <c r="BM507" s="145">
        <f>BM117+BM82+BM237+BM308+BM202+BM375+BM413</f>
        <v>147</v>
      </c>
      <c r="BN507" s="72">
        <f t="shared" si="2389"/>
        <v>32.432432432432421</v>
      </c>
      <c r="BO507" s="145">
        <f>BO117+BO82+BO237+BO308+BO202+BO375+BO413</f>
        <v>119</v>
      </c>
      <c r="BP507" s="72">
        <f t="shared" si="2390"/>
        <v>5.3097345132743499</v>
      </c>
      <c r="BQ507" s="145">
        <f>BQ117+BQ82+BQ237+BQ308+BQ202+BQ375+BQ413</f>
        <v>103</v>
      </c>
      <c r="BR507" s="72">
        <f t="shared" si="2391"/>
        <v>-12.711864406779654</v>
      </c>
      <c r="BS507" s="145">
        <f>BS117+BS82+BS237+BS308+BS202+BS375+BS413</f>
        <v>105</v>
      </c>
      <c r="BT507" s="72">
        <f t="shared" si="2392"/>
        <v>-25.531914893617028</v>
      </c>
      <c r="BU507" s="145">
        <f>BU117+BU82+BU237+BU308+BU202+BU375+BU413</f>
        <v>118</v>
      </c>
      <c r="BV507" s="72">
        <f t="shared" si="2393"/>
        <v>-19.72789115646259</v>
      </c>
      <c r="BW507" s="145">
        <f>BW117+BW82+BW237+BW308+BW202+BW375+BW413</f>
        <v>77</v>
      </c>
      <c r="BX507" s="72">
        <f>IF(ISERROR(BW507/BO507),"NA",IF(OR(BW507/BO507&gt;2,BW507/BO507&lt;0.5),"NM",BW507/BO507*100-100))</f>
        <v>-35.294117647058826</v>
      </c>
      <c r="BY507" s="145">
        <f>BY117+BY82+BY237+BY308+BY202+BY375+BY413</f>
        <v>64</v>
      </c>
      <c r="BZ507" s="72">
        <f>IF(ISERROR(BY507/BQ507),"NA",IF(OR(BY507/BQ507&gt;2,BY507/BQ507&lt;0.5),"NM",BY507/BQ507*100-100))</f>
        <v>-37.864077669902919</v>
      </c>
      <c r="CA507" s="145">
        <f>CA117+CA82+CA237+CA308+CA202+CA375+CA413</f>
        <v>57</v>
      </c>
      <c r="CB507" s="72">
        <f>IF(ISERROR(CA507/BS507),"NA",IF(OR(CA507/BS507&gt;2,CA507/BS507&lt;0.5),"NM",CA507/BS507*100-100))</f>
        <v>-45.714285714285715</v>
      </c>
      <c r="CC507" s="145">
        <f>CC117+CC82+CC237+CC308+CC202+CC375+CC413</f>
        <v>55</v>
      </c>
      <c r="CD507" s="72" t="str">
        <f>IF(ISERROR(CC507/BU507),"NA",IF(OR(CC507/BU507&gt;2,CC507/BU507&lt;0.5),"NM",CC507/BU507*100-100))</f>
        <v>NM</v>
      </c>
      <c r="CE507" s="145">
        <f>CE117+CE82+CE237+CE308+CE202+CE375+CE413</f>
        <v>58</v>
      </c>
      <c r="CF507" s="72">
        <f>IF(ISERROR(CE507/BW507),"NA",IF(OR(CE507/BW507&gt;2,CE507/BW507&lt;0.5),"NM",CE507/BW507*100-100))</f>
        <v>-24.675324675324674</v>
      </c>
      <c r="CG507" s="145">
        <f>CG117+CG82+CG237+CG308+CG202+CG375+CG413</f>
        <v>60</v>
      </c>
      <c r="CH507" s="72">
        <f>IF(ISERROR(CG507/BY507),"NA",IF(OR(CG507/BY507&gt;2,CG507/BY507&lt;0.5),"NM",CG507/BY507*100-100))</f>
        <v>-6.25</v>
      </c>
      <c r="CI507" s="145">
        <f>CI117+CI82+CI237+CI308+CI202+CI375+CI413</f>
        <v>70</v>
      </c>
      <c r="CJ507" s="72">
        <f>IF(ISERROR(CI507/CA507),"NA",IF(OR(CI507/CA507&gt;2,CI507/CA507&lt;0.5),"NM",CI507/CA507*100-100))</f>
        <v>22.807017543859658</v>
      </c>
      <c r="CK507" s="145">
        <f>CK117+CK82+CK237+CK308+CK202+CK375+CK413</f>
        <v>73</v>
      </c>
      <c r="CL507" s="72">
        <f>IF(ISERROR(CK507/CC507),"NA",IF(OR(CK507/CC507&gt;2,CK507/CC507&lt;0.5),"NM",CK507/CC507*100-100))</f>
        <v>32.727272727272748</v>
      </c>
      <c r="CM507" s="145">
        <f>CM117+CM82+CM237+CM308+CM202+CM375+CM413</f>
        <v>79</v>
      </c>
      <c r="CN507" s="72">
        <f>IF(ISERROR(CM507/CE507),"NA",IF(OR(CM507/CE507&gt;2,CM507/CE507&lt;0.5),"NM",CM507/CE507*100-100))</f>
        <v>36.206896551724128</v>
      </c>
      <c r="CO507" s="145">
        <f>CO117+CO82+CO237+CO308+CO202+CO375+CO413</f>
        <v>84</v>
      </c>
      <c r="CP507" s="72">
        <f>IF(ISERROR(CO507/CG507),"NA",IF(OR(CO507/CG507&gt;2,CO507/CG507&lt;0.5),"NM",CO507/CG507*100-100))</f>
        <v>40</v>
      </c>
      <c r="CQ507" s="145">
        <f>CQ117+CQ82+CQ237+CQ308+CQ202+CQ375+CQ413</f>
        <v>83</v>
      </c>
      <c r="CR507" s="72">
        <f>IF(ISERROR(CQ507/CI507),"NA",IF(OR(CQ507/CI507&gt;2,CQ507/CI507&lt;0.5),"NM",CQ507/CI507*100-100))</f>
        <v>18.571428571428569</v>
      </c>
      <c r="CS507" s="145">
        <f>CS117+CS82+CS237+CS308+CS202+CS375+CS413</f>
        <v>108</v>
      </c>
      <c r="CT507" s="72">
        <f>IF(ISERROR(CS507/CK507),"NA",IF(OR(CS507/CK507&gt;2,CS507/CK507&lt;0.5),"NM",CS507/CK507*100-100))</f>
        <v>47.945205479452056</v>
      </c>
      <c r="CU507" s="145">
        <f>CU117+CU82+CU237+CU308+CU202+CU375+CU413</f>
        <v>113</v>
      </c>
      <c r="CV507" s="72">
        <f>IF(ISERROR(CU507/CM507),"NA",IF(OR(CU507/CM507&gt;2,CU507/CM507&lt;0.5),"NM",CU507/CM507*100-100))</f>
        <v>43.03797468354432</v>
      </c>
      <c r="CW507" s="145">
        <f>CW117+CW82+CW237+CW308+CW202+CW375+CW413</f>
        <v>118</v>
      </c>
      <c r="CX507" s="72">
        <f>IF(ISERROR(CW507/CO507),"NA",IF(OR(CW507/CO507&gt;2,CW507/CO507&lt;0.5),"NM",CW507/CO507*100-100))</f>
        <v>40.476190476190453</v>
      </c>
      <c r="CY507" s="145">
        <f>CY117+CY82+CY237+CY308+CY202+CY375+CY413</f>
        <v>121</v>
      </c>
      <c r="CZ507" s="72">
        <f>IF(ISERROR(CY507/CQ507),"NA",IF(OR(CY507/CQ507&gt;2,CY507/CQ507&lt;0.5),"NM",CY507/CQ507*100-100))</f>
        <v>45.783132530120469</v>
      </c>
      <c r="DA507" s="145">
        <f>DA117+DA82+DA237+DA308+DA202+DA375+DA413</f>
        <v>118</v>
      </c>
      <c r="DB507" s="72">
        <f>IF(ISERROR(DA507/CS507),"NA",IF(OR(DA507/CS507&gt;2,DA507/CS507&lt;0.5),"NM",DA507/CS507*100-100))</f>
        <v>9.2592592592592524</v>
      </c>
      <c r="DC507" s="145">
        <f>DC117+DC82+DC237+DC308+DC202+DC375+DC413</f>
        <v>130</v>
      </c>
      <c r="DD507" s="72">
        <f>IF(ISERROR(DC507/CU507),"NA",IF(OR(DC507/CU507&gt;2,DC507/CU507&lt;0.5),"NM",DC507/CU507*100-100))</f>
        <v>15.044247787610615</v>
      </c>
      <c r="DE507" s="145">
        <f>DE117+DE82+DE237+DE308+DE202+DE375+DE413</f>
        <v>129</v>
      </c>
      <c r="DF507" s="72">
        <f>IF(ISERROR(DE507/CW507),"NA",IF(OR(DE507/CW507&gt;2,DE507/CW507&lt;0.5),"NM",DE507/CW507*100-100))</f>
        <v>9.3220338983050794</v>
      </c>
      <c r="DG507" s="145">
        <f>DG117+DG82+DG237+DG308+DG202+DG375+DG413</f>
        <v>139</v>
      </c>
      <c r="DH507" s="72">
        <f>IF(ISERROR(DG507/CY507),"NA",IF(OR(DG507/CY507&gt;2,DG507/CY507&lt;0.5),"NM",DG507/CY507*100-100))</f>
        <v>14.876033057851231</v>
      </c>
      <c r="DI507" s="145">
        <f>DI117+DI82+DI237+DI308+DI202+DI375+DI413</f>
        <v>147</v>
      </c>
      <c r="DJ507" s="72">
        <f>IF(ISERROR(DI507/DA507),"NA",IF(OR(DI507/DA507&gt;2,DI507/DA507&lt;0.5),"NM",DI507/DA507*100-100))</f>
        <v>24.576271186440678</v>
      </c>
      <c r="DK507" s="145">
        <f>DK117+DK82+DK237+DK308+DK202+DK375+DK413</f>
        <v>160</v>
      </c>
      <c r="DL507" s="72">
        <f>IF(ISERROR(DK507/DC507),"NA",IF(OR(DK507/DC507&gt;2,DK507/DC507&lt;0.5),"NM",DK507/DC507*100-100))</f>
        <v>23.07692307692308</v>
      </c>
      <c r="DM507" s="145">
        <f>DM117+DM82+DM237+DM308+DM202+DM375+DM413</f>
        <v>166</v>
      </c>
      <c r="DN507" s="72">
        <f t="shared" si="2394"/>
        <v>28.682170542635674</v>
      </c>
      <c r="DO507" s="145">
        <f>DO117+DO82+DO237+DO308+DO202+DO375+DO413</f>
        <v>186</v>
      </c>
      <c r="DP507" s="72">
        <f t="shared" si="2394"/>
        <v>33.812949640287769</v>
      </c>
      <c r="DQ507" s="145">
        <f>DQ117+DQ82+DQ237+DQ308+DQ202+DQ375+DQ413</f>
        <v>176</v>
      </c>
      <c r="DR507" s="72">
        <f t="shared" si="2394"/>
        <v>19.72789115646259</v>
      </c>
      <c r="DS507" s="145">
        <f>DS117+DS82+DS237+DS308+DS202+DS375+DS413</f>
        <v>171</v>
      </c>
      <c r="DT507" s="72">
        <f t="shared" si="2394"/>
        <v>6.8750000000000142</v>
      </c>
      <c r="DU507" s="145">
        <f>DU117+DU82+DU237+DU308+DU202+DU375+DU413</f>
        <v>165</v>
      </c>
      <c r="DV507" s="72">
        <f t="shared" si="2394"/>
        <v>-0.60240963855420659</v>
      </c>
      <c r="DW507" s="145">
        <f>DW117+DW82+DW237+DW308+DW202+DW375+DW413</f>
        <v>169</v>
      </c>
      <c r="DX507" s="72">
        <f t="shared" si="2394"/>
        <v>-9.1397849462365599</v>
      </c>
      <c r="DY507" s="145">
        <f>DY117+DY82+DY237+DY308+DY202+DY375+DY413</f>
        <v>162</v>
      </c>
      <c r="DZ507" s="72">
        <f t="shared" si="2394"/>
        <v>-7.9545454545454533</v>
      </c>
      <c r="EA507" s="145">
        <f>EA117+EA82+EA237+EA308+EA202+EA375+EA413</f>
        <v>169</v>
      </c>
      <c r="EB507" s="72">
        <f t="shared" si="2395"/>
        <v>-1.1695906432748586</v>
      </c>
      <c r="EC507" s="145">
        <f>EC117+EC82+EC237+EC308+EC202+EC375+EC413</f>
        <v>175</v>
      </c>
      <c r="ED507" s="72">
        <f t="shared" si="2396"/>
        <v>6.0606060606060623</v>
      </c>
      <c r="EE507" s="145">
        <f>EE117+EE82+EE237+EE308+EE202+EE375+EE413</f>
        <v>178</v>
      </c>
      <c r="EF507" s="72">
        <f t="shared" si="2397"/>
        <v>5.3254437869822482</v>
      </c>
      <c r="EG507" s="145">
        <f>EG117+EG82+EG237+EG308+EG202+EG375+EG413</f>
        <v>179</v>
      </c>
      <c r="EH507" s="72">
        <f t="shared" si="2398"/>
        <v>10.493827160493822</v>
      </c>
      <c r="EI507" s="145">
        <f>EI117+EI82+EI237+EI308+EI202+EI375+EI413</f>
        <v>185</v>
      </c>
      <c r="EJ507" s="72">
        <f t="shared" si="2399"/>
        <v>9.4674556213017809</v>
      </c>
      <c r="EK507" s="145">
        <f>EK117+EK82+EK237+EK308+EK202+EK375+EK413</f>
        <v>197</v>
      </c>
      <c r="EL507" s="72">
        <f t="shared" si="2400"/>
        <v>12.571428571428569</v>
      </c>
      <c r="EM507" s="145">
        <f>EM117+EM82+EM237+EM308+EM202+EM375+EM413</f>
        <v>201</v>
      </c>
      <c r="EN507" s="72">
        <f t="shared" si="2401"/>
        <v>12.921348314606746</v>
      </c>
      <c r="EO507" s="145">
        <f>EO117+EO82+EO237+EO308+EO202+EO375+EO413</f>
        <v>206</v>
      </c>
      <c r="EP507" s="72">
        <f t="shared" si="2402"/>
        <v>15.083798882681563</v>
      </c>
      <c r="EQ507" s="145">
        <f>EQ117+EQ82+EQ237+EQ308+EQ202+EQ375+EQ413</f>
        <v>201.65000000000003</v>
      </c>
      <c r="ER507" s="72">
        <f t="shared" si="2403"/>
        <v>9.0000000000000142</v>
      </c>
      <c r="ES507" s="145">
        <f>ES117+ES82+ES237+ES308+ES202+ES375+ES413</f>
        <v>208.2227</v>
      </c>
      <c r="ET507" s="72">
        <f t="shared" si="2404"/>
        <v>5.6968020304568654</v>
      </c>
      <c r="EU507" s="145">
        <f>EU117+EU82+EU237+EU308+EU202+EU375+EU413</f>
        <v>209.54812700000002</v>
      </c>
      <c r="EV507" s="72">
        <f t="shared" si="2405"/>
        <v>4.2527995024875764</v>
      </c>
      <c r="EW507" s="145">
        <f>EW117+EW82+EW237+EW308+EW202+EW375+EW413</f>
        <v>216.14630826999999</v>
      </c>
      <c r="EX507" s="72">
        <f t="shared" si="2406"/>
        <v>4.9253923640776804</v>
      </c>
      <c r="EY507" s="72"/>
      <c r="EZ507" s="296"/>
      <c r="FA507" s="72"/>
      <c r="FB507" s="145"/>
      <c r="FC507" s="11"/>
      <c r="FD507" s="145"/>
      <c r="FE507" s="72"/>
      <c r="FF507" s="145"/>
      <c r="FG507" s="72"/>
      <c r="FH507" s="145"/>
      <c r="FI507" s="72"/>
      <c r="FJ507" s="145">
        <f>FJ117+FJ82+FJ237+FJ308+FJ202+FJ375+FJ413</f>
        <v>10</v>
      </c>
      <c r="FK507" s="72" t="str">
        <f t="shared" si="2407"/>
        <v>NA</v>
      </c>
      <c r="FL507" s="145">
        <f>FL117+FL82+FL237+FL308+FL202+FL375+FL413</f>
        <v>32</v>
      </c>
      <c r="FM507" s="72" t="str">
        <f t="shared" si="2408"/>
        <v>NM</v>
      </c>
      <c r="FN507" s="145">
        <f>FN117+FN82+FN237+FN308+FN202+FN375+FN413</f>
        <v>85</v>
      </c>
      <c r="FO507" s="72" t="str">
        <f t="shared" si="2409"/>
        <v>NM</v>
      </c>
      <c r="FP507" s="145">
        <f>FP117+FP82+FP237+FP308+FP202+FP375+FP413</f>
        <v>246</v>
      </c>
      <c r="FQ507" s="72" t="str">
        <f t="shared" si="2410"/>
        <v>NM</v>
      </c>
      <c r="FR507" s="145">
        <f>FR117+FR82+FR237+FR308+FR202+FR375+FR413</f>
        <v>386</v>
      </c>
      <c r="FS507" s="72">
        <f t="shared" si="2411"/>
        <v>56.910569105691053</v>
      </c>
      <c r="FT507" s="145">
        <f>FT117+FT82+FT237+FT308+FT202+FT375+FT413</f>
        <v>519</v>
      </c>
      <c r="FU507" s="72">
        <f t="shared" si="2412"/>
        <v>34.4559585492228</v>
      </c>
      <c r="FV507" s="145">
        <f>FV117+FV82+FV237+FV308+FV202+FV375+FV413</f>
        <v>448</v>
      </c>
      <c r="FW507" s="72">
        <f>IF(ISERROR(FV507/FT507),"NA",IF(OR(FV507/FT507&gt;2,FV507/FT507&lt;0.5),"NM",FV507/FT507*100-100))</f>
        <v>-13.680154142581884</v>
      </c>
      <c r="FX507" s="145">
        <f>FX117+FX82+FX237+FX308+FX202+FX375+FX413</f>
        <v>253</v>
      </c>
      <c r="FY507" s="72">
        <f>IF(ISERROR(FX507/FV507),"NA",IF(OR(FX507/FV507&gt;2,FX507/FV507&lt;0.5),"NM",FX507/FV507*100-100))</f>
        <v>-43.526785714285708</v>
      </c>
      <c r="FZ507" s="145">
        <f>FZ117+FZ82+FZ237+FZ308+FZ202+FZ375+FZ413</f>
        <v>261</v>
      </c>
      <c r="GA507" s="72">
        <f>IF(ISERROR(FZ507/FX507),"NA",IF(OR(FZ507/FX507&gt;2,FZ507/FX507&lt;0.5),"NM",FZ507/FX507*100-100))</f>
        <v>3.1620553359683896</v>
      </c>
      <c r="GB507" s="145">
        <f>GB117+GB82+GB237+GB308+GB202+GB375+GB413</f>
        <v>354</v>
      </c>
      <c r="GC507" s="72">
        <f>IF(ISERROR(GB507/FZ507),"NA",IF(OR(GB507/FZ507&gt;2,GB507/FZ507&lt;0.5),"NM",GB507/FZ507*100-100))</f>
        <v>35.63218390804596</v>
      </c>
      <c r="GD507" s="145">
        <f>GD117+GD82+GD237+GD308+GD202+GD375+GD413</f>
        <v>470</v>
      </c>
      <c r="GE507" s="72">
        <f>IF(ISERROR(GD507/GB507),"NA",IF(OR(GD507/GB507&gt;2,GD507/GB507&lt;0.5),"NM",GD507/GB507*100-100))</f>
        <v>32.768361581920914</v>
      </c>
      <c r="GF507" s="145">
        <f>GF117+GF82+GF237+GF308+GF202+GF375+GF413</f>
        <v>545</v>
      </c>
      <c r="GG507" s="72">
        <f>IF(ISERROR(GF507/GD507),"NA",IF(OR(GF507/GD507&gt;2,GF507/GD507&lt;0.5),"NM",GF507/GD507*100-100))</f>
        <v>15.957446808510639</v>
      </c>
      <c r="GH507" s="145">
        <f>GH117+GH82+GH237+GH308+GH202+GH375+GH413</f>
        <v>688</v>
      </c>
      <c r="GI507" s="72">
        <f t="shared" si="2413"/>
        <v>26.238532110091754</v>
      </c>
      <c r="GJ507" s="145">
        <f>GJ117+GJ82+GJ237+GJ308+GJ202+GJ375+GJ413</f>
        <v>667</v>
      </c>
      <c r="GK507" s="72">
        <f t="shared" si="2413"/>
        <v>-3.0523255813953512</v>
      </c>
      <c r="GL507" s="145">
        <f>GL117+GL82+GL237+GL308+GL202+GL375+GL413</f>
        <v>701</v>
      </c>
      <c r="GM507" s="72">
        <f t="shared" si="2413"/>
        <v>5.0974512743628111</v>
      </c>
      <c r="GN507" s="145">
        <f>GN117+GN82+GN237+GN308+GN202+GN375+GN413</f>
        <v>789</v>
      </c>
      <c r="GO507" s="72">
        <f t="shared" si="2413"/>
        <v>12.553495007132682</v>
      </c>
      <c r="GP507" s="145">
        <f>GP117+GP82+GP237+GP308+GP202+GP375+GP413</f>
        <v>835.56713526999999</v>
      </c>
      <c r="GQ507" s="72">
        <f t="shared" si="2413"/>
        <v>5.9020450278834033</v>
      </c>
      <c r="GR507" s="145">
        <f>GR117+GR82+GR237+GR308+GR202+GR375+GR413</f>
        <v>881.40378649240006</v>
      </c>
      <c r="GS507" s="72">
        <f t="shared" si="2413"/>
        <v>5.4856934036292273</v>
      </c>
      <c r="GT507" s="145">
        <f>GT117+GT82+GT237+GT308+GT202+GT375+GT413</f>
        <v>929.91252904866394</v>
      </c>
      <c r="GU507" s="72">
        <f t="shared" si="2413"/>
        <v>5.5035777358419864</v>
      </c>
      <c r="GV507" s="145">
        <f>GV117+GV82+GV237+GV308+GV202+GV375+GV413</f>
        <v>981.25999681674773</v>
      </c>
      <c r="GW507" s="72">
        <f t="shared" si="2414"/>
        <v>5.5217524405886138</v>
      </c>
      <c r="GX507" s="145">
        <f>GX117+GX82+GX237+GX308+GX202+GX375+GX413</f>
        <v>1035.6240775746551</v>
      </c>
      <c r="GY507" s="72">
        <f t="shared" si="2415"/>
        <v>5.5402320418917412</v>
      </c>
      <c r="GZ507" s="72">
        <f t="shared" si="2416"/>
        <v>5.5905439480440577</v>
      </c>
      <c r="HA507" s="72"/>
      <c r="HB507" s="72"/>
      <c r="HC507"/>
      <c r="HD507"/>
      <c r="HE507"/>
      <c r="HF507"/>
      <c r="HG507"/>
      <c r="HH507"/>
      <c r="HI507" s="2"/>
    </row>
    <row r="508" spans="1:217" s="3" customFormat="1" ht="12.75" customHeight="1" x14ac:dyDescent="0.2">
      <c r="B508" s="77" t="s">
        <v>404</v>
      </c>
      <c r="C508" s="145"/>
      <c r="D508" s="11"/>
      <c r="E508" s="145"/>
      <c r="F508" s="11"/>
      <c r="G508" s="145"/>
      <c r="H508" s="11"/>
      <c r="I508" s="145"/>
      <c r="J508" s="11"/>
      <c r="K508" s="145"/>
      <c r="L508" s="72"/>
      <c r="M508" s="145"/>
      <c r="N508" s="72"/>
      <c r="O508" s="145"/>
      <c r="P508" s="72"/>
      <c r="Q508" s="145"/>
      <c r="R508" s="72"/>
      <c r="S508" s="145">
        <f>1267+640</f>
        <v>1907</v>
      </c>
      <c r="T508" s="72" t="str">
        <f>IF(ISERROR(S508/K508),"NA",IF(OR(S508/K508&gt;2,S508/K508&lt;0.5),"NM",S508/K508*100-100))</f>
        <v>NA</v>
      </c>
      <c r="U508" s="145">
        <v>1820</v>
      </c>
      <c r="V508" s="72" t="str">
        <f>IF(ISERROR(U508/M508),"NA",IF(OR(U508/M508&gt;2,U508/M508&lt;0.5),"NM",U508/M508*100-100))</f>
        <v>NA</v>
      </c>
      <c r="W508" s="145">
        <v>1731</v>
      </c>
      <c r="X508" s="72" t="str">
        <f>IF(ISERROR(W508/O508),"NA",IF(OR(W508/O508&gt;2,W508/O508&lt;0.5),"NM",W508/O508*100-100))</f>
        <v>NA</v>
      </c>
      <c r="Y508" s="145">
        <v>1784</v>
      </c>
      <c r="Z508" s="72" t="str">
        <f>IF(ISERROR(Y508/Q508),"NA",IF(OR(Y508/Q508&gt;2,Y508/Q508&lt;0.5),"NM",Y508/Q508*100-100))</f>
        <v>NA</v>
      </c>
      <c r="AA508" s="145">
        <f>AA118+AA83+AA238+AA309+AA203+AA376+AA414+AA447</f>
        <v>1134</v>
      </c>
      <c r="AB508" s="72">
        <f>IF(ISERROR(AA508/S508),"NA",IF(OR(AA508/S508&gt;2,AA508/S508&lt;0.5),"NM",AA508/S508*100-100))</f>
        <v>-40.534871525957008</v>
      </c>
      <c r="AC508" s="145">
        <f>AC118+AC83+AC238+AC309+AC203+AC376+AC414+AC447</f>
        <v>1272</v>
      </c>
      <c r="AD508" s="72">
        <f>IF(ISERROR(AC508/U508),"NA",IF(OR(AC508/U508&gt;2,AC508/U508&lt;0.5),"NM",AC508/U508*100-100))</f>
        <v>-30.109890109890117</v>
      </c>
      <c r="AE508" s="145">
        <f>AE118+AE83+AE238+AE309+AE203+AE376+AE414+AE447</f>
        <v>1299</v>
      </c>
      <c r="AF508" s="72">
        <f>IF(ISERROR(AE508/W508),"NA",IF(OR(AE508/W508&gt;2,AE508/W508&lt;0.5),"NM",AE508/W508*100-100))</f>
        <v>-24.956672443674179</v>
      </c>
      <c r="AG508" s="145">
        <f>AG118+AG83+AG238+AG309+AG203+AG376+AG414+AG447</f>
        <v>1408</v>
      </c>
      <c r="AH508" s="72">
        <f>IF(ISERROR(AG508/Y508),"NA",IF(OR(AG508/Y508&gt;2,AG508/Y508&lt;0.5),"NM",AG508/Y508*100-100))</f>
        <v>-21.076233183856502</v>
      </c>
      <c r="AI508" s="145">
        <f>AI118+AI83+AI238+AI309+AI203+AI376+AI414+AI447</f>
        <v>1420</v>
      </c>
      <c r="AJ508" s="72">
        <f>IF(ISERROR(AI508/AA508),"NA",IF(OR(AI508/AA508&gt;2,AI508/AA508&lt;0.5),"NM",AI508/AA508*100-100))</f>
        <v>25.220458553791886</v>
      </c>
      <c r="AK508" s="145">
        <f>AK118+AK83+AK238+AK309+AK203+AK376+AK414+AK447</f>
        <v>1538</v>
      </c>
      <c r="AL508" s="72">
        <f>IF(ISERROR(AK508/AC508),"NA",IF(OR(AK508/AC508&gt;2,AK508/AC508&lt;0.5),"NM",AK508/AC508*100-100))</f>
        <v>20.91194968553458</v>
      </c>
      <c r="AM508" s="145">
        <f>AM118+AM83+AM238+AM309+AM203+AM376+AM414+AM447</f>
        <v>1516</v>
      </c>
      <c r="AN508" s="72">
        <f>IF(ISERROR(AM508/AE508),"NA",IF(OR(AM508/AE508&gt;2,AM508/AE508&lt;0.5),"NM",AM508/AE508*100-100))</f>
        <v>16.705157813702854</v>
      </c>
      <c r="AO508" s="145">
        <f>AO118+AO83+AO238+AO309+AO203+AO376+AO414+AO447</f>
        <v>1676</v>
      </c>
      <c r="AP508" s="72">
        <f>IF(ISERROR(AO508/AG508),"NA",IF(OR(AO508/AG508&gt;2,AO508/AG508&lt;0.5),"NM",AO508/AG508*100-100))</f>
        <v>19.034090909090921</v>
      </c>
      <c r="AQ508" s="145">
        <f>AQ118+AQ83+AQ238+AQ309+AQ203+AQ376+AQ414+AQ447</f>
        <v>1569</v>
      </c>
      <c r="AR508" s="72">
        <f t="shared" si="2378"/>
        <v>10.492957746478865</v>
      </c>
      <c r="AS508" s="145">
        <f>AS118+AS83+AS238+AS309+AS203+AS376+AS414+AS447</f>
        <v>1676</v>
      </c>
      <c r="AT508" s="72">
        <f t="shared" si="2379"/>
        <v>8.9726918075422475</v>
      </c>
      <c r="AU508" s="145">
        <f>AU118+AU83+AU238+AU309+AU203+AU376+AU414+AU447</f>
        <v>1661</v>
      </c>
      <c r="AV508" s="72">
        <f t="shared" si="2380"/>
        <v>9.5646437994723073</v>
      </c>
      <c r="AW508" s="145">
        <f>AW118+AW83+AW238+AW309+AW203+AW376+AW414+AW447</f>
        <v>1691</v>
      </c>
      <c r="AX508" s="72">
        <f t="shared" si="2381"/>
        <v>0.89498806682577481</v>
      </c>
      <c r="AY508" s="145">
        <f>AY118+AY83+AY238+AY309+AY203+AY376+AY414+AY447</f>
        <v>1753</v>
      </c>
      <c r="AZ508" s="72">
        <f t="shared" si="2382"/>
        <v>11.727214786488219</v>
      </c>
      <c r="BA508" s="145">
        <f>BA118+BA83+BA238+BA309+BA203+BA376+BA414+BA447</f>
        <v>1745</v>
      </c>
      <c r="BB508" s="72">
        <f t="shared" si="2383"/>
        <v>4.1169451073985783</v>
      </c>
      <c r="BC508" s="145">
        <f>BC118+BC83+BC238+BC309+BC203+BC376+BC414+BC447</f>
        <v>1805</v>
      </c>
      <c r="BD508" s="72">
        <f t="shared" si="2384"/>
        <v>8.669476219145082</v>
      </c>
      <c r="BE508" s="145">
        <f>BE118+BE83+BE238+BE309+BE203+BE376+BE414+BE447</f>
        <v>2030</v>
      </c>
      <c r="BF508" s="72">
        <f t="shared" si="2385"/>
        <v>20.047309284447067</v>
      </c>
      <c r="BG508" s="145">
        <f>BG118+BG83+BG238+BG309+BG203+BG376+BG414+BG447</f>
        <v>1888</v>
      </c>
      <c r="BH508" s="72">
        <f t="shared" si="2386"/>
        <v>7.7010838562464414</v>
      </c>
      <c r="BI508" s="145">
        <f>BI118+BI83+BI238+BI309+BI203+BI376+BI414+BI447</f>
        <v>1995</v>
      </c>
      <c r="BJ508" s="72">
        <f t="shared" si="2387"/>
        <v>14.326647564469909</v>
      </c>
      <c r="BK508" s="145">
        <f>BK118+BK83+BK238+BK309+BK203+BK376+BK414+BK447</f>
        <v>2081</v>
      </c>
      <c r="BL508" s="72">
        <f t="shared" si="2388"/>
        <v>15.290858725761765</v>
      </c>
      <c r="BM508" s="145">
        <f>BM118+BM83+BM238+BM309+BM203+BM376+BM414+BM447</f>
        <v>2112</v>
      </c>
      <c r="BN508" s="72">
        <f t="shared" si="2389"/>
        <v>4.0394088669950747</v>
      </c>
      <c r="BO508" s="145">
        <f>BO118+BO83+BO238+BO309+BO203+BO376+BO414+BO447</f>
        <v>2029</v>
      </c>
      <c r="BP508" s="72">
        <f t="shared" si="2390"/>
        <v>7.4682203389830448</v>
      </c>
      <c r="BQ508" s="145">
        <f>BQ118+BQ83+BQ238+BQ309+BQ203+BQ376+BQ414+BQ447</f>
        <v>1985</v>
      </c>
      <c r="BR508" s="72">
        <f t="shared" si="2391"/>
        <v>-0.50125313283207618</v>
      </c>
      <c r="BS508" s="145">
        <f>BS118+BS83+BS238+BS309+BS203+BS376+BS414+BS447</f>
        <v>1899</v>
      </c>
      <c r="BT508" s="72">
        <f t="shared" si="2392"/>
        <v>-8.74579529072561</v>
      </c>
      <c r="BU508" s="145">
        <f>BU118+BU83+BU238+BU309+BU203+BU376+BU414+BU447</f>
        <v>2326</v>
      </c>
      <c r="BV508" s="72">
        <f t="shared" si="2393"/>
        <v>10.132575757575751</v>
      </c>
      <c r="BW508" s="145">
        <f>BW118+BW83+BW238+BW309+BW203+BW376+BW414+BW447</f>
        <v>1879</v>
      </c>
      <c r="BX508" s="72">
        <f>IF(ISERROR(BW508/BO508),"NA",IF(OR(BW508/BO508&gt;2,BW508/BO508&lt;0.5),"NM",BW508/BO508*100-100))</f>
        <v>-7.3928043371118832</v>
      </c>
      <c r="BY508" s="145">
        <f>BY118+BY83+BY238+BY309+BY203+BY376+BY414+BY447</f>
        <v>1928</v>
      </c>
      <c r="BZ508" s="72">
        <f>IF(ISERROR(BY508/BQ508),"NA",IF(OR(BY508/BQ508&gt;2,BY508/BQ508&lt;0.5),"NM",BY508/BQ508*100-100))</f>
        <v>-2.8715365239294783</v>
      </c>
      <c r="CA508" s="145">
        <f>CA118+CA83+CA238+CA309+CA203+CA376+CA414+CA447</f>
        <v>2073</v>
      </c>
      <c r="CB508" s="72">
        <f>IF(ISERROR(CA508/BS508),"NA",IF(OR(CA508/BS508&gt;2,CA508/BS508&lt;0.5),"NM",CA508/BS508*100-100))</f>
        <v>9.1627172195892541</v>
      </c>
      <c r="CC508" s="145">
        <f>CC118+CC83+CC238+CC309+CC203+CC376+CC414+CC447</f>
        <v>2230</v>
      </c>
      <c r="CD508" s="72">
        <f>IF(ISERROR(CC508/BU508),"NA",IF(OR(CC508/BU508&gt;2,CC508/BU508&lt;0.5),"NM",CC508/BU508*100-100))</f>
        <v>-4.1272570937231308</v>
      </c>
      <c r="CE508" s="145">
        <f>CE118+CE83+CE238+CE309+CE203+CE376+CE414+CE447</f>
        <v>2093</v>
      </c>
      <c r="CF508" s="72">
        <f>IF(ISERROR(CE508/BW508),"NA",IF(OR(CE508/BW508&gt;2,CE508/BW508&lt;0.5),"NM",CE508/BW508*100-100))</f>
        <v>11.389036721660446</v>
      </c>
      <c r="CG508" s="145">
        <f>CG118+CG83+CG238+CG309+CG203+CG376+CG414+CG447</f>
        <v>2229</v>
      </c>
      <c r="CH508" s="72">
        <f>IF(ISERROR(CG508/BY508),"NA",IF(OR(CG508/BY508&gt;2,CG508/BY508&lt;0.5),"NM",CG508/BY508*100-100))</f>
        <v>15.612033195020729</v>
      </c>
      <c r="CI508" s="144">
        <f>CI118+CI83+CI238+CI309+CI203+CI376+CI414+CI447+CI425</f>
        <v>2224</v>
      </c>
      <c r="CJ508" s="72">
        <f>IF(ISERROR(CI508/CA508),"NA",IF(OR(CI508/CA508&gt;2,CI508/CA508&lt;0.5),"NM",CI508/CA508*100-100))</f>
        <v>7.2841292812349252</v>
      </c>
      <c r="CK508" s="144">
        <f>CK118+CK83+CK238+CK309+CK203+CK376+CK414+CK447+CK425</f>
        <v>2458</v>
      </c>
      <c r="CL508" s="72">
        <f>IF(ISERROR(CK508/CC508),"NA",IF(OR(CK508/CC508&gt;2,CK508/CC508&lt;0.5),"NM",CK508/CC508*100-100))</f>
        <v>10.224215246636774</v>
      </c>
      <c r="CM508" s="144">
        <f>CM118+CM83+CM238+CM309+CM203+CM376+CM414+CM447+CM425</f>
        <v>2664</v>
      </c>
      <c r="CN508" s="72">
        <f>IF(ISERROR(CM508/CE508),"NA",IF(OR(CM508/CE508&gt;2,CM508/CE508&lt;0.5),"NM",CM508/CE508*100-100))</f>
        <v>27.281414237935977</v>
      </c>
      <c r="CO508" s="144">
        <f>CO118+CO83+CO238+CO309+CO203+CO376+CO414+CO447+CO425</f>
        <v>2982</v>
      </c>
      <c r="CP508" s="72">
        <f>IF(ISERROR(CO508/CG508),"NA",IF(OR(CO508/CG508&gt;2,CO508/CG508&lt;0.5),"NM",CO508/CG508*100-100))</f>
        <v>33.781965006729479</v>
      </c>
      <c r="CQ508" s="144">
        <f>CQ118+CQ83+CQ238+CQ309+CQ203+CQ376+CQ414+CQ447+CQ425</f>
        <v>2947</v>
      </c>
      <c r="CR508" s="72">
        <f>IF(ISERROR(CQ508/CI508),"NA",IF(OR(CQ508/CI508&gt;2,CQ508/CI508&lt;0.5),"NM",CQ508/CI508*100-100))</f>
        <v>32.508992805755383</v>
      </c>
      <c r="CS508" s="144">
        <f>CS118+CS83+CS238+CS309+CS203+CS376+CS414+CS447+CS425</f>
        <v>3009</v>
      </c>
      <c r="CT508" s="72">
        <f>IF(ISERROR(CS508/CK508),"NA",IF(OR(CS508/CK508&gt;2,CS508/CK508&lt;0.5),"NM",CS508/CK508*100-100))</f>
        <v>22.416598860862493</v>
      </c>
      <c r="CU508" s="144">
        <f>CU118+CU83+CU238+CU309+CU203+CU376+CU414+CU447+CU425</f>
        <v>3028</v>
      </c>
      <c r="CV508" s="72">
        <f>IF(ISERROR(CU508/CM508),"NA",IF(OR(CU508/CM508&gt;2,CU508/CM508&lt;0.5),"NM",CU508/CM508*100-100))</f>
        <v>13.663663663663669</v>
      </c>
      <c r="CW508" s="144">
        <f>CW118+CW83+CW238+CW309+CW203+CW376+CW414+CW447+CW425</f>
        <v>3128</v>
      </c>
      <c r="CX508" s="72">
        <f>IF(ISERROR(CW508/CO508),"NA",IF(OR(CW508/CO508&gt;2,CW508/CO508&lt;0.5),"NM",CW508/CO508*100-100))</f>
        <v>4.8960429242119261</v>
      </c>
      <c r="CY508" s="144">
        <f>CY118+CY83+CY238+CY309+CY203+CY376+CY414+CY447+CY425</f>
        <v>3072</v>
      </c>
      <c r="CZ508" s="72">
        <f>IF(ISERROR(CY508/CQ508),"NA",IF(OR(CY508/CQ508&gt;2,CY508/CQ508&lt;0.5),"NM",CY508/CQ508*100-100))</f>
        <v>4.2416016287750296</v>
      </c>
      <c r="DA508" s="144">
        <f>DA118+DA83+DA238+DA309+DA203+DA376+DA414+DA447+DA425</f>
        <v>3314</v>
      </c>
      <c r="DB508" s="72">
        <f>IF(ISERROR(DA508/CS508),"NA",IF(OR(DA508/CS508&gt;2,DA508/CS508&lt;0.5),"NM",DA508/CS508*100-100))</f>
        <v>10.136257892987715</v>
      </c>
      <c r="DC508" s="144">
        <f>DC118+DC83+DC238+DC309+DC203+DC376+DC414+DC447+DC425</f>
        <v>3124</v>
      </c>
      <c r="DD508" s="72">
        <f>IF(ISERROR(DC508/CU508),"NA",IF(OR(DC508/CU508&gt;2,DC508/CU508&lt;0.5),"NM",DC508/CU508*100-100))</f>
        <v>3.1704095112285273</v>
      </c>
      <c r="DE508" s="144">
        <f>DE118+DE83+DE238+DE309+DE203+DE376+DE414+DE447+DE425</f>
        <v>2970</v>
      </c>
      <c r="DF508" s="72">
        <f>IF(ISERROR(DE508/CW508),"NA",IF(OR(DE508/CW508&gt;2,DE508/CW508&lt;0.5),"NM",DE508/CW508*100-100))</f>
        <v>-5.0511508951406654</v>
      </c>
      <c r="DG508" s="144">
        <f>DG118+DG83+DG238+DG309+DG203+DG376+DG414+DG447+DG425</f>
        <v>2864</v>
      </c>
      <c r="DH508" s="72">
        <f>IF(ISERROR(DG508/CY508),"NA",IF(OR(DG508/CY508&gt;2,DG508/CY508&lt;0.5),"NM",DG508/CY508*100-100))</f>
        <v>-6.7708333333333428</v>
      </c>
      <c r="DI508" s="144">
        <f>DI118+DI83+DI238+DI309+DI203+DI376+DI414+DI447+DI425</f>
        <v>3068</v>
      </c>
      <c r="DJ508" s="72">
        <f>IF(ISERROR(DI508/DA508),"NA",IF(OR(DI508/DA508&gt;2,DI508/DA508&lt;0.5),"NM",DI508/DA508*100-100))</f>
        <v>-7.4230537115268476</v>
      </c>
      <c r="DK508" s="144">
        <f>DK118+DK83+DK238+DK309+DK203+DK376+DK414+DK447+DK425</f>
        <v>2898</v>
      </c>
      <c r="DL508" s="72">
        <f>IF(ISERROR(DK508/DC508),"NA",IF(OR(DK508/DC508&gt;2,DK508/DC508&lt;0.5),"NM",DK508/DC508*100-100))</f>
        <v>-7.2343149807938545</v>
      </c>
      <c r="DM508" s="144">
        <f>DM118+DM83+DM238+DM309+DM203+DM376+DM414+DM447+DM425</f>
        <v>2985</v>
      </c>
      <c r="DN508" s="72">
        <f t="shared" si="2394"/>
        <v>0.50505050505049098</v>
      </c>
      <c r="DO508" s="144">
        <f>DO118+DO83+DO238+DO309+DO203+DO376+DO414+DO447+DO425</f>
        <v>3037</v>
      </c>
      <c r="DP508" s="72">
        <f t="shared" si="2394"/>
        <v>6.0405027932960849</v>
      </c>
      <c r="DQ508" s="144">
        <f>DQ118+DQ83+DQ238+DQ309+DQ203+DQ376+DQ414+DQ447+DQ425</f>
        <v>3098</v>
      </c>
      <c r="DR508" s="72">
        <f t="shared" si="2394"/>
        <v>0.97783572359844584</v>
      </c>
      <c r="DS508" s="144">
        <f>DS118+DS83+DS238+DS309+DS203+DS376+DS414+DS447+DS425</f>
        <v>2884</v>
      </c>
      <c r="DT508" s="72">
        <f t="shared" si="2394"/>
        <v>-0.48309178743961922</v>
      </c>
      <c r="DU508" s="144">
        <f>DU118+DU83+DU238+DU309+DU203+DU376+DU414+DU447+DU425</f>
        <v>2923</v>
      </c>
      <c r="DV508" s="72">
        <f t="shared" si="2394"/>
        <v>-2.0770519262981537</v>
      </c>
      <c r="DW508" s="144">
        <f>DW118+DW83+DW238+DW309+DW203+DW376+DW414+DW447+DW425</f>
        <v>2884</v>
      </c>
      <c r="DX508" s="72">
        <f t="shared" si="2394"/>
        <v>-5.0378663154428693</v>
      </c>
      <c r="DY508" s="144">
        <f>DY118+DY83+DY238+DY309+DY203+DY376+DY414+DY447+DY425</f>
        <v>3065</v>
      </c>
      <c r="DZ508" s="72">
        <f t="shared" si="2394"/>
        <v>-1.0652033570045205</v>
      </c>
      <c r="EA508" s="144">
        <f>EA118+EA83+EA238+EA309+EA203+EA376+EA414+EA447+EA425</f>
        <v>2952</v>
      </c>
      <c r="EB508" s="72">
        <f t="shared" si="2395"/>
        <v>2.3578363384188634</v>
      </c>
      <c r="EC508" s="144">
        <f>EC118+EC83+EC238+EC309+EC203+EC376+EC414+EC447+EC425</f>
        <v>3053</v>
      </c>
      <c r="ED508" s="72">
        <f t="shared" si="2396"/>
        <v>4.4474854601436817</v>
      </c>
      <c r="EE508" s="144">
        <f>EE118+EE83+EE238+EE309+EE203+EE376+EE414+EE447+EE425</f>
        <v>3197</v>
      </c>
      <c r="EF508" s="72">
        <f t="shared" si="2397"/>
        <v>10.852981969486834</v>
      </c>
      <c r="EG508" s="144">
        <f>EG118+EG83+EG238+EG309+EG203+EG376+EG414+EG447+EG425</f>
        <v>3130</v>
      </c>
      <c r="EH508" s="72">
        <f t="shared" si="2398"/>
        <v>2.1207177814029308</v>
      </c>
      <c r="EI508" s="144">
        <f>EI118+EI83+EI238+EI309+EI203+EI376+EI414+EI447+EI425</f>
        <v>3126</v>
      </c>
      <c r="EJ508" s="72">
        <f t="shared" si="2399"/>
        <v>5.8943089430894275</v>
      </c>
      <c r="EK508" s="144">
        <f>EK118+EK83+EK238+EK309+EK203+EK376+EK414+EK447+EK425</f>
        <v>3217</v>
      </c>
      <c r="EL508" s="72">
        <f t="shared" si="2400"/>
        <v>5.371765476580407</v>
      </c>
      <c r="EM508" s="144">
        <f>EM118+EM83+EM238+EM309+EM203+EM376+EM414+EM447+EM425</f>
        <v>3122</v>
      </c>
      <c r="EN508" s="72">
        <f t="shared" si="2401"/>
        <v>-2.3459493274945231</v>
      </c>
      <c r="EO508" s="144">
        <f>EO118+EO83+EO238+EO309+EO203+EO376+EO414+EO447+EO425</f>
        <v>3317</v>
      </c>
      <c r="EP508" s="72">
        <f t="shared" si="2402"/>
        <v>5.9744408945686871</v>
      </c>
      <c r="EQ508" s="144">
        <f>EQ118+EQ83+EQ238+EQ309+EQ203+EQ376+EQ414+EQ447+EQ425</f>
        <v>3257.3035974106806</v>
      </c>
      <c r="ER508" s="72">
        <f t="shared" si="2403"/>
        <v>4.2003709984222724</v>
      </c>
      <c r="ES508" s="144">
        <f>ES118+ES83+ES238+ES309+ES203+ES376+ES414+ES447+ES425</f>
        <v>3227.7670354029756</v>
      </c>
      <c r="ET508" s="72">
        <f t="shared" si="2404"/>
        <v>0.33469180612296157</v>
      </c>
      <c r="EU508" s="144">
        <f>EU118+EU83+EU238+EU309+EU203+EU376+EU414+EU447+EU425</f>
        <v>3253.8508826626953</v>
      </c>
      <c r="EV508" s="72">
        <f t="shared" si="2405"/>
        <v>4.2232825964988905</v>
      </c>
      <c r="EW508" s="144">
        <f>EW118+EW83+EW238+EW309+EW203+EW376+EW414+EW447+EW425</f>
        <v>3343.2651550838709</v>
      </c>
      <c r="EX508" s="72">
        <f t="shared" si="2406"/>
        <v>0.79183464226322542</v>
      </c>
      <c r="EY508" s="72"/>
      <c r="EZ508" s="296"/>
      <c r="FA508" s="72"/>
      <c r="FB508" s="145"/>
      <c r="FC508" s="11"/>
      <c r="FD508" s="145"/>
      <c r="FE508" s="72"/>
      <c r="FF508" s="145"/>
      <c r="FG508" s="72"/>
      <c r="FH508" s="145"/>
      <c r="FI508" s="72"/>
      <c r="FJ508" s="144">
        <f>FJ118+FJ83+FJ238+FJ309+FJ203+FJ376+FJ414+FJ447+FJ425</f>
        <v>4640</v>
      </c>
      <c r="FK508" s="72" t="str">
        <f t="shared" si="2407"/>
        <v>NA</v>
      </c>
      <c r="FL508" s="144">
        <f>FL118+FL83+FL238+FL309+FL203+FL376+FL414+FL447+FL425</f>
        <v>5113</v>
      </c>
      <c r="FM508" s="72">
        <f t="shared" si="2408"/>
        <v>10.193965517241395</v>
      </c>
      <c r="FN508" s="144">
        <f>FN118+FN83+FN238+FN309+FN203+FN376+FN414+FN447+FN425</f>
        <v>6150</v>
      </c>
      <c r="FO508" s="72">
        <f t="shared" si="2409"/>
        <v>20.281635047917064</v>
      </c>
      <c r="FP508" s="144">
        <f>FP118+FP83+FP238+FP309+FP203+FP376+FP414+FP447+FP425</f>
        <v>6597</v>
      </c>
      <c r="FQ508" s="72">
        <f t="shared" si="2410"/>
        <v>7.2682926829268411</v>
      </c>
      <c r="FR508" s="144">
        <f>FR118+FR83+FR238+FR309+FR203+FR376+FR414+FR447+FR425</f>
        <v>7333</v>
      </c>
      <c r="FS508" s="72">
        <f t="shared" si="2411"/>
        <v>11.156586327118376</v>
      </c>
      <c r="FT508" s="144">
        <f>FT118+FT83+FT238+FT309+FT203+FT376+FT414+FT447+FT425</f>
        <v>8076</v>
      </c>
      <c r="FU508" s="72">
        <f t="shared" si="2412"/>
        <v>10.132278739942734</v>
      </c>
      <c r="FV508" s="144">
        <f>FV118+FV83+FV238+FV309+FV203+FV376+FV414+FV447+FV425</f>
        <v>8492</v>
      </c>
      <c r="FW508" s="72">
        <f>IF(ISERROR(FV508/FT508),"NA",IF(OR(FV508/FT508&gt;2,FV508/FT508&lt;0.5),"NM",FV508/FT508*100-100))</f>
        <v>5.1510648836057555</v>
      </c>
      <c r="FX508" s="144">
        <f>FX118+FX83+FX238+FX309+FX203+FX376+FX414+FX447+FX425</f>
        <v>8110</v>
      </c>
      <c r="FY508" s="72">
        <f>IF(ISERROR(FX508/FV508),"NA",IF(OR(FX508/FV508&gt;2,FX508/FV508&lt;0.5),"NM",FX508/FV508*100-100))</f>
        <v>-4.4983513895431031</v>
      </c>
      <c r="FZ508" s="144">
        <f>FZ118+FZ83+FZ238+FZ309+FZ203+FZ376+FZ414+FZ447+FZ425</f>
        <v>9004</v>
      </c>
      <c r="GA508" s="72">
        <f>IF(ISERROR(FZ508/FX508),"NA",IF(OR(FZ508/FX508&gt;2,FZ508/FX508&lt;0.5),"NM",FZ508/FX508*100-100))</f>
        <v>11.023427866831085</v>
      </c>
      <c r="GB508" s="144">
        <f>GB118+GB83+GB238+GB309+GB203+GB376+GB414+GB447+GB425</f>
        <v>11602</v>
      </c>
      <c r="GC508" s="72">
        <f>IF(ISERROR(GB508/FZ508),"NA",IF(OR(GB508/FZ508&gt;2,GB508/FZ508&lt;0.5),"NM",GB508/FZ508*100-100))</f>
        <v>28.853842736561518</v>
      </c>
      <c r="GD508" s="144">
        <f>GD118+GD83+GD238+GD309+GD203+GD376+GD414+GD447+GD425</f>
        <v>12542</v>
      </c>
      <c r="GE508" s="72">
        <f>IF(ISERROR(GD508/GB508),"NA",IF(OR(GD508/GB508&gt;2,GD508/GB508&lt;0.5),"NM",GD508/GB508*100-100))</f>
        <v>8.102051370453367</v>
      </c>
      <c r="GF508" s="144">
        <f>GF118+GF83+GF238+GF309+GF203+GF376+GF414+GF447+GF425</f>
        <v>12026</v>
      </c>
      <c r="GG508" s="72">
        <f>IF(ISERROR(GF508/GD508),"NA",IF(OR(GF508/GD508&gt;2,GF508/GD508&lt;0.5),"NM",GF508/GD508*100-100))</f>
        <v>-4.1141763674055198</v>
      </c>
      <c r="GH508" s="144">
        <f>GH118+GH83+GH238+GH309+GH203+GH376+GH414+GH447+GH425</f>
        <v>12018</v>
      </c>
      <c r="GI508" s="72">
        <f t="shared" si="2413"/>
        <v>-6.652253450856449E-2</v>
      </c>
      <c r="GJ508" s="144">
        <f>GJ118+GJ83+GJ238+GJ309+GJ203+GJ376+GJ414+GJ447+GJ425</f>
        <v>11756</v>
      </c>
      <c r="GK508" s="72">
        <f t="shared" si="2413"/>
        <v>-2.1800632384756113</v>
      </c>
      <c r="GL508" s="144">
        <f>GL118+GL83+GL238+GL309+GL203+GL376+GL414+GL447+GL425</f>
        <v>12332</v>
      </c>
      <c r="GM508" s="72">
        <f t="shared" si="2413"/>
        <v>4.8996257230350437</v>
      </c>
      <c r="GN508" s="144">
        <f>GN118+GN83+GN238+GN309+GN203+GN376+GN414+GN447+GN425</f>
        <v>12782</v>
      </c>
      <c r="GO508" s="72">
        <f t="shared" si="2413"/>
        <v>3.6490431397989056</v>
      </c>
      <c r="GP508" s="144">
        <f>GP118+GP83+GP238+GP309+GP203+GP376+GP414+GP447+GP425</f>
        <v>13082.186670560222</v>
      </c>
      <c r="GQ508" s="72">
        <f t="shared" si="2413"/>
        <v>2.3485109572854128</v>
      </c>
      <c r="GR508" s="144">
        <f>GR118+GR83+GR238+GR309+GR203+GR376+GR414+GR447+GR425</f>
        <v>13512.039614424781</v>
      </c>
      <c r="GS508" s="72">
        <f t="shared" si="2413"/>
        <v>3.2857881842634669</v>
      </c>
      <c r="GT508" s="144">
        <f>GT118+GT83+GT238+GT309+GT203+GT376+GT414+GT447+GT425</f>
        <v>13948.525773823629</v>
      </c>
      <c r="GU508" s="72">
        <f t="shared" si="2413"/>
        <v>3.2303499090757413</v>
      </c>
      <c r="GV508" s="144">
        <f>GV118+GV83+GV238+GV309+GV203+GV376+GV414+GV447+GV425</f>
        <v>14402.685945152825</v>
      </c>
      <c r="GW508" s="72">
        <f t="shared" si="2414"/>
        <v>3.2559725571966283</v>
      </c>
      <c r="GX508" s="144">
        <f>GX118+GX83+GX238+GX309+GX203+GX376+GX414+GX447+GX425</f>
        <v>14843.727252030629</v>
      </c>
      <c r="GY508" s="72">
        <f t="shared" si="2415"/>
        <v>3.0622156766962831</v>
      </c>
      <c r="GZ508" s="72">
        <f t="shared" si="2416"/>
        <v>3.0359620583919611</v>
      </c>
      <c r="HA508" s="72"/>
      <c r="HB508" s="72"/>
      <c r="HC508"/>
      <c r="HD508"/>
      <c r="HE508"/>
      <c r="HF508"/>
      <c r="HG508"/>
      <c r="HH508"/>
      <c r="HI508" s="2"/>
    </row>
    <row r="509" spans="1:217" s="3" customFormat="1" ht="12.75" customHeight="1" x14ac:dyDescent="0.2">
      <c r="B509" s="3" t="s">
        <v>625</v>
      </c>
      <c r="C509" s="145"/>
      <c r="D509" s="11"/>
      <c r="E509" s="145"/>
      <c r="F509" s="11"/>
      <c r="G509" s="145"/>
      <c r="H509" s="11"/>
      <c r="I509" s="145"/>
      <c r="J509" s="11"/>
      <c r="K509" s="145"/>
      <c r="L509" s="72"/>
      <c r="M509" s="145"/>
      <c r="N509" s="72"/>
      <c r="O509" s="145"/>
      <c r="P509" s="72"/>
      <c r="Q509" s="145"/>
      <c r="R509" s="72"/>
      <c r="S509" s="145">
        <f>-321+224</f>
        <v>-97</v>
      </c>
      <c r="T509" s="72" t="str">
        <f>IF(ISERROR(S509/K509),"NA",IF(OR(S509/K509&gt;2,S509/K509&lt;0.5),"NM",S509/K509*100-100))</f>
        <v>NA</v>
      </c>
      <c r="U509" s="145">
        <v>-84</v>
      </c>
      <c r="V509" s="72" t="str">
        <f>IF(ISERROR(U509/M509),"NA",IF(OR(U509/M509&gt;2,U509/M509&lt;0.5),"NM",U509/M509*100-100))</f>
        <v>NA</v>
      </c>
      <c r="W509" s="145">
        <v>-12</v>
      </c>
      <c r="X509" s="72" t="str">
        <f>IF(ISERROR(W509/O509),"NA",IF(OR(W509/O509&gt;2,W509/O509&lt;0.5),"NM",W509/O509*100-100))</f>
        <v>NA</v>
      </c>
      <c r="Y509" s="145">
        <v>-126</v>
      </c>
      <c r="Z509" s="72" t="str">
        <f>IF(ISERROR(Y509/Q509),"NA",IF(OR(Y509/Q509&gt;2,Y509/Q509&lt;0.5),"NM",Y509/Q509*100-100))</f>
        <v>NA</v>
      </c>
      <c r="AA509" s="145">
        <f>AA119+AA84+AA239+AA310+AA204+AA377+AA415+AA448</f>
        <v>-118</v>
      </c>
      <c r="AB509" s="72">
        <f>IF(ISERROR(AA509/S509),"NA",IF(OR(AA509/S509&gt;2,AA509/S509&lt;0.5),"NM",AA509/S509*100-100))</f>
        <v>21.649484536082468</v>
      </c>
      <c r="AC509" s="145">
        <f>AC119+AC84+AC239+AC310+AC204+AC377+AC415+AC448</f>
        <v>-175</v>
      </c>
      <c r="AD509" s="72" t="str">
        <f>IF(ISERROR(AC509/U509),"NA",IF(OR(AC509/U509&gt;2,AC509/U509&lt;0.5),"NM",AC509/U509*100-100))</f>
        <v>NM</v>
      </c>
      <c r="AE509" s="145">
        <f>AE119+AE84+AE239+AE310+AE204+AE377+AE415+AE448</f>
        <v>-160</v>
      </c>
      <c r="AF509" s="72" t="str">
        <f>IF(ISERROR(AE509/W509),"NA",IF(OR(AE509/W509&gt;2,AE509/W509&lt;0.5),"NM",AE509/W509*100-100))</f>
        <v>NM</v>
      </c>
      <c r="AG509" s="145">
        <f>AG119+AG84+AG239+AG310+AG204+AG377+AG415+AG448</f>
        <v>-271</v>
      </c>
      <c r="AH509" s="72" t="str">
        <f>IF(ISERROR(AG509/Y509),"NA",IF(OR(AG509/Y509&gt;2,AG509/Y509&lt;0.5),"NM",AG509/Y509*100-100))</f>
        <v>NM</v>
      </c>
      <c r="AI509" s="145">
        <f>AI119+AI84+AI239+AI310+AI204+AI377+AI415+AI448</f>
        <v>-197</v>
      </c>
      <c r="AJ509" s="72">
        <f>IF(ISERROR(AI509/AA509),"NA",IF(OR(AI509/AA509&gt;2,AI509/AA509&lt;0.5),"NM",AI509/AA509*100-100))</f>
        <v>66.949152542372872</v>
      </c>
      <c r="AK509" s="145">
        <f>AK119+AK84+AK239+AK310+AK204+AK377+AK415+AK448</f>
        <v>-185</v>
      </c>
      <c r="AL509" s="72">
        <f>IF(ISERROR(AK509/AC509),"NA",IF(OR(AK509/AC509&gt;2,AK509/AC509&lt;0.5),"NM",AK509/AC509*100-100))</f>
        <v>5.7142857142857224</v>
      </c>
      <c r="AM509" s="145">
        <f>AM119+AM84+AM239+AM310+AM204+AM377+AM415+AM448</f>
        <v>-150</v>
      </c>
      <c r="AN509" s="72">
        <f>IF(ISERROR(AM509/AE509),"NA",IF(OR(AM509/AE509&gt;2,AM509/AE509&lt;0.5),"NM",AM509/AE509*100-100))</f>
        <v>-6.25</v>
      </c>
      <c r="AO509" s="145">
        <f>AO119+AO84+AO239+AO310+AO204+AO377+AO415+AO448</f>
        <v>-238</v>
      </c>
      <c r="AP509" s="72">
        <f>IF(ISERROR(AO509/AG509),"NA",IF(OR(AO509/AG509&gt;2,AO509/AG509&lt;0.5),"NM",AO509/AG509*100-100))</f>
        <v>-12.177121771217713</v>
      </c>
      <c r="AQ509" s="145">
        <f>AQ119+AQ84+AQ239+AQ310+AQ204+AQ377+AQ415+AQ448</f>
        <v>-191</v>
      </c>
      <c r="AR509" s="72">
        <f t="shared" si="2378"/>
        <v>-3.0456852791878219</v>
      </c>
      <c r="AS509" s="145">
        <f>AS119+AS84+AS239+AS310+AS204+AS377+AS415+AS448</f>
        <v>-267</v>
      </c>
      <c r="AT509" s="72">
        <f t="shared" si="2379"/>
        <v>44.324324324324323</v>
      </c>
      <c r="AU509" s="145">
        <f>AU119+AU84+AU239+AU310+AU204+AU377+AU415+AU448</f>
        <v>-175</v>
      </c>
      <c r="AV509" s="72">
        <f t="shared" si="2380"/>
        <v>16.666666666666671</v>
      </c>
      <c r="AW509" s="145">
        <f>AW119+AW84+AW239+AW310+AW204+AW377+AW415+AW448</f>
        <v>-239</v>
      </c>
      <c r="AX509" s="72">
        <f t="shared" si="2381"/>
        <v>0.42016806722688216</v>
      </c>
      <c r="AY509" s="145">
        <f>AY119+AY84+AY239+AY310+AY204+AY377+AY415+AY448</f>
        <v>-274</v>
      </c>
      <c r="AZ509" s="72">
        <f t="shared" si="2382"/>
        <v>43.455497382198956</v>
      </c>
      <c r="BA509" s="145">
        <f>BA119+BA84+BA239+BA310+BA204+BA377+BA415+BA448</f>
        <v>-233</v>
      </c>
      <c r="BB509" s="72">
        <f t="shared" si="2383"/>
        <v>-12.734082397003746</v>
      </c>
      <c r="BC509" s="145">
        <f>BC119+BC84+BC239+BC310+BC204+BC377+BC415+BC448</f>
        <v>-570</v>
      </c>
      <c r="BD509" s="72" t="str">
        <f t="shared" si="2384"/>
        <v>NM</v>
      </c>
      <c r="BE509" s="145">
        <f>BE119+BE84+BE239+BE310+BE204+BE377+BE415+BE448</f>
        <v>-311</v>
      </c>
      <c r="BF509" s="72">
        <f t="shared" si="2385"/>
        <v>30.125523012552293</v>
      </c>
      <c r="BG509" s="145">
        <f>BG119+BG84+BG239+BG310+BG204+BG377+BG415+BG448</f>
        <v>-260</v>
      </c>
      <c r="BH509" s="72">
        <f t="shared" si="2386"/>
        <v>-5.1094890510948971</v>
      </c>
      <c r="BI509" s="145">
        <f>BI119+BI84+BI239+BI310+BI204+BI377+BI415+BI448</f>
        <v>-294</v>
      </c>
      <c r="BJ509" s="72">
        <f t="shared" si="2387"/>
        <v>26.180257510729604</v>
      </c>
      <c r="BK509" s="145">
        <f>BK119+BK84+BK239+BK310+BK204+BK377+BK415+BK448</f>
        <v>-447</v>
      </c>
      <c r="BL509" s="72">
        <f t="shared" si="2388"/>
        <v>-21.578947368421055</v>
      </c>
      <c r="BM509" s="145">
        <f>BM119+BM84+BM239+BM310+BM204+BM377+BM415+BM448</f>
        <v>-316</v>
      </c>
      <c r="BN509" s="72">
        <f t="shared" si="2389"/>
        <v>1.6077170418006546</v>
      </c>
      <c r="BO509" s="145">
        <f>BO119+BO84+BO239+BO310+BO204+BO377+BO415+BO448</f>
        <v>-255</v>
      </c>
      <c r="BP509" s="72">
        <f t="shared" si="2390"/>
        <v>-1.923076923076934</v>
      </c>
      <c r="BQ509" s="145">
        <f>BQ119+BQ84+BQ239+BQ310+BQ204+BQ377+BQ415+BQ448</f>
        <v>-281</v>
      </c>
      <c r="BR509" s="72">
        <f t="shared" si="2391"/>
        <v>-4.4217687074829968</v>
      </c>
      <c r="BS509" s="145">
        <f>BS119+BS84+BS239+BS310+BS204+BS377+BS415+BS448</f>
        <v>-321</v>
      </c>
      <c r="BT509" s="72">
        <f t="shared" si="2392"/>
        <v>-28.187919463087255</v>
      </c>
      <c r="BU509" s="145">
        <f>BU119+BU84+BU239+BU310+BU204+BU377+BU415+BU448</f>
        <v>-43</v>
      </c>
      <c r="BV509" s="72" t="str">
        <f t="shared" si="2393"/>
        <v>NM</v>
      </c>
      <c r="BW509" s="145">
        <f>BW119+BW84+BW239+BW310+BW204+BW377+BW415+BW448</f>
        <v>-132</v>
      </c>
      <c r="BX509" s="72">
        <f>IF(ISERROR(BW509/BO509),"NA",IF(OR(BW509/BO509&gt;2,BW509/BO509&lt;0.5),"NM",BW509/BO509*100-100))</f>
        <v>-48.235294117647051</v>
      </c>
      <c r="BY509" s="145">
        <f>BY119+BY84+BY239+BY310+BY204+BY377+BY415+BY448</f>
        <v>-385</v>
      </c>
      <c r="BZ509" s="72">
        <f>IF(ISERROR(BY509/BQ509),"NA",IF(OR(BY509/BQ509&gt;2,BY509/BQ509&lt;0.5),"NM",BY509/BQ509*100-100))</f>
        <v>37.010676156583628</v>
      </c>
      <c r="CA509" s="145">
        <f>CA119+CA84+CA239+CA310+CA204+CA377+CA415+CA448</f>
        <v>-629</v>
      </c>
      <c r="CB509" s="72">
        <f>IF(ISERROR(CA509/BS509),"NA",IF(OR(CA509/BS509&gt;2,CA509/BS509&lt;0.5),"NM",CA509/BS509*100-100))</f>
        <v>95.950155763239877</v>
      </c>
      <c r="CC509" s="145">
        <f>CC119+CC84+CC239+CC310+CC204+CC377+CC415+CC448</f>
        <v>-371</v>
      </c>
      <c r="CD509" s="72" t="str">
        <f>IF(ISERROR(CC509/BU509),"NA",IF(OR(CC509/BU509&gt;2,CC509/BU509&lt;0.5),"NM",CC509/BU509*100-100))</f>
        <v>NM</v>
      </c>
      <c r="CE509" s="145">
        <f>CE119+CE84+CE239+CE310+CE204+CE377+CE415+CE448</f>
        <v>-308</v>
      </c>
      <c r="CF509" s="72" t="str">
        <f>IF(ISERROR(CE509/BW509),"NA",IF(OR(CE509/BW509&gt;2,CE509/BW509&lt;0.5),"NM",CE509/BW509*100-100))</f>
        <v>NM</v>
      </c>
      <c r="CG509" s="145">
        <f>CG119+CG84+CG239+CG310+CG204+CG377+CG415+CG448</f>
        <v>-176</v>
      </c>
      <c r="CH509" s="72" t="str">
        <f>IF(ISERROR(CG509/BY509),"NA",IF(OR(CG509/BY509&gt;2,CG509/BY509&lt;0.5),"NM",CG509/BY509*100-100))</f>
        <v>NM</v>
      </c>
      <c r="CI509" s="145">
        <f>CI119+CI84+CI239+CI310+CI204+CI377+CI415+CI448</f>
        <v>-574</v>
      </c>
      <c r="CJ509" s="72">
        <f>IF(ISERROR(CI509/CA509),"NA",IF(OR(CI509/CA509&gt;2,CI509/CA509&lt;0.5),"NM",CI509/CA509*100-100))</f>
        <v>-8.7440381558028548</v>
      </c>
      <c r="CK509" s="145">
        <f>CK119+CK84+CK239+CK310+CK204+CK377+CK415+CK448</f>
        <v>-395</v>
      </c>
      <c r="CL509" s="72">
        <f>IF(ISERROR(CK509/CC509),"NA",IF(OR(CK509/CC509&gt;2,CK509/CC509&lt;0.5),"NM",CK509/CC509*100-100))</f>
        <v>6.4690026954177853</v>
      </c>
      <c r="CM509" s="145">
        <f>CM119+CM84+CM239+CM310+CM204+CM377+CM415+CM448</f>
        <v>-393</v>
      </c>
      <c r="CN509" s="72">
        <f>IF(ISERROR(CM509/CE509),"NA",IF(OR(CM509/CE509&gt;2,CM509/CE509&lt;0.5),"NM",CM509/CE509*100-100))</f>
        <v>27.597402597402592</v>
      </c>
      <c r="CO509" s="145">
        <f>CO119+CO84+CO239+CO310+CO204+CO377+CO415+CO448</f>
        <v>-345</v>
      </c>
      <c r="CP509" s="72">
        <f>IF(ISERROR(CO509/CG509),"NA",IF(OR(CO509/CG509&gt;2,CO509/CG509&lt;0.5),"NM",CO509/CG509*100-100))</f>
        <v>96.02272727272728</v>
      </c>
      <c r="CQ509" s="145">
        <f>CQ119+CQ84+CQ239+CQ310+CQ204+CQ377+CQ415+CQ448</f>
        <v>-362</v>
      </c>
      <c r="CR509" s="72">
        <f>IF(ISERROR(CQ509/CI509),"NA",IF(OR(CQ509/CI509&gt;2,CQ509/CI509&lt;0.5),"NM",CQ509/CI509*100-100))</f>
        <v>-36.933797909407659</v>
      </c>
      <c r="CS509" s="145">
        <f>CS119+CS84+CS239+CS310+CS204+CS377+CS415+CS448</f>
        <v>-388</v>
      </c>
      <c r="CT509" s="72">
        <f>IF(ISERROR(CS509/CK509),"NA",IF(OR(CS509/CK509&gt;2,CS509/CK509&lt;0.5),"NM",CS509/CK509*100-100))</f>
        <v>-1.7721518987341796</v>
      </c>
      <c r="CU509" s="145">
        <f>CU119+CU84+CU239+CU310+CU204+CU377+CU415+CU448</f>
        <v>-410</v>
      </c>
      <c r="CV509" s="72">
        <f>IF(ISERROR(CU509/CM509),"NA",IF(OR(CU509/CM509&gt;2,CU509/CM509&lt;0.5),"NM",CU509/CM509*100-100))</f>
        <v>4.3256997455470838</v>
      </c>
      <c r="CW509" s="145">
        <f>CW119+CW84+CW239+CW310+CW204+CW377+CW415+CW448</f>
        <v>-401</v>
      </c>
      <c r="CX509" s="72">
        <f>IF(ISERROR(CW509/CO509),"NA",IF(OR(CW509/CO509&gt;2,CW509/CO509&lt;0.5),"NM",CW509/CO509*100-100))</f>
        <v>16.23188405797103</v>
      </c>
      <c r="CY509" s="145">
        <f>CY119+CY84+CY239+CY310+CY204+CY377+CY415+CY448</f>
        <v>-433</v>
      </c>
      <c r="CZ509" s="72">
        <f>IF(ISERROR(CY509/CQ509),"NA",IF(OR(CY509/CQ509&gt;2,CY509/CQ509&lt;0.5),"NM",CY509/CQ509*100-100))</f>
        <v>19.613259668508292</v>
      </c>
      <c r="DA509" s="145">
        <f>DA119+DA84+DA239+DA310+DA204+DA377+DA415+DA448</f>
        <v>-354</v>
      </c>
      <c r="DB509" s="72">
        <f>IF(ISERROR(DA509/CS509),"NA",IF(OR(DA509/CS509&gt;2,DA509/CS509&lt;0.5),"NM",DA509/CS509*100-100))</f>
        <v>-8.7628865979381487</v>
      </c>
      <c r="DC509" s="145">
        <f>DC119+DC84+DC239+DC310+DC204+DC377+DC415+DC448</f>
        <v>-394</v>
      </c>
      <c r="DD509" s="72">
        <f>IF(ISERROR(DC509/CU509),"NA",IF(OR(DC509/CU509&gt;2,DC509/CU509&lt;0.5),"NM",DC509/CU509*100-100))</f>
        <v>-3.9024390243902474</v>
      </c>
      <c r="DE509" s="145">
        <f>DE119+DE84+DE239+DE310+DE204+DE377+DE415+DE448</f>
        <v>-210</v>
      </c>
      <c r="DF509" s="72">
        <f>IF(ISERROR(DE509/CW509),"NA",IF(OR(DE509/CW509&gt;2,DE509/CW509&lt;0.5),"NM",DE509/CW509*100-100))</f>
        <v>-47.630922693266832</v>
      </c>
      <c r="DG509" s="145">
        <f>DG119+DG84+DG239+DG310+DG204+DG377+DG415+DG448</f>
        <v>-629</v>
      </c>
      <c r="DH509" s="72">
        <f>IF(ISERROR(DG509/CY509),"NA",IF(OR(DG509/CY509&gt;2,DG509/CY509&lt;0.5),"NM",DG509/CY509*100-100))</f>
        <v>45.265588914549653</v>
      </c>
      <c r="DI509" s="145">
        <f>DI119+DI84+DI239+DI310+DI204+DI377+DI415+DI448</f>
        <v>-303</v>
      </c>
      <c r="DJ509" s="72">
        <f>IF(ISERROR(DI509/DA509),"NA",IF(OR(DI509/DA509&gt;2,DI509/DA509&lt;0.5),"NM",DI509/DA509*100-100))</f>
        <v>-14.406779661016941</v>
      </c>
      <c r="DK509" s="145">
        <f>DK119+DK84+DK239+DK310+DK204+DK377+DK415+DK448</f>
        <v>-202</v>
      </c>
      <c r="DL509" s="72">
        <f>IF(ISERROR(DK509/DC509),"NA",IF(OR(DK509/DC509&gt;2,DK509/DC509&lt;0.5),"NM",DK509/DC509*100-100))</f>
        <v>-48.73096446700508</v>
      </c>
      <c r="DM509" s="145">
        <f>DM119+DM84+DM239+DM310+DM204+DM377+DM415+DM448</f>
        <v>-202</v>
      </c>
      <c r="DN509" s="72">
        <f t="shared" si="2394"/>
        <v>-3.8095238095238102</v>
      </c>
      <c r="DO509" s="145">
        <f>DO119+DO84+DO239+DO310+DO204+DO377+DO415+DO448</f>
        <v>-296</v>
      </c>
      <c r="DP509" s="72" t="str">
        <f t="shared" si="2394"/>
        <v>NM</v>
      </c>
      <c r="DQ509" s="145">
        <f>DQ119+DQ84+DQ239+DQ310+DQ204+DQ377+DQ415+DQ448</f>
        <v>-146</v>
      </c>
      <c r="DR509" s="72" t="str">
        <f t="shared" si="2394"/>
        <v>NM</v>
      </c>
      <c r="DS509" s="145">
        <f>DS119+DS84+DS239+DS310+DS204+DS377+DS415+DS448</f>
        <v>-221</v>
      </c>
      <c r="DT509" s="72">
        <f t="shared" si="2394"/>
        <v>9.4059405940594161</v>
      </c>
      <c r="DU509" s="145">
        <f>DU119+DU84+DU239+DU310+DU204+DU377+DU415+DU448</f>
        <v>-420</v>
      </c>
      <c r="DV509" s="72" t="str">
        <f t="shared" si="2394"/>
        <v>NM</v>
      </c>
      <c r="DW509" s="145">
        <f>DW119+DW84+DW239+DW310+DW204+DW377+DW415+DW448</f>
        <v>-139</v>
      </c>
      <c r="DX509" s="72" t="str">
        <f t="shared" si="2394"/>
        <v>NM</v>
      </c>
      <c r="DY509" s="145">
        <f>DY119+DY84+DY239+DY310+DY204+DY377+DY415+DY448</f>
        <v>-254</v>
      </c>
      <c r="DZ509" s="72">
        <f t="shared" si="2394"/>
        <v>73.972602739726028</v>
      </c>
      <c r="EA509" s="145">
        <f>EA119+EA84+EA239+EA310+EA204+EA377+EA415+EA448</f>
        <v>-205</v>
      </c>
      <c r="EB509" s="72">
        <f t="shared" si="2395"/>
        <v>-7.2398190045248896</v>
      </c>
      <c r="EC509" s="145">
        <f>EC119+EC84+EC239+EC310+EC204+EC377+EC415+EC448</f>
        <v>-443</v>
      </c>
      <c r="ED509" s="72">
        <f t="shared" si="2396"/>
        <v>5.4761904761904816</v>
      </c>
      <c r="EE509" s="145">
        <f>EE119+EE84+EE239+EE310+EE204+EE377+EE415+EE448</f>
        <v>-293</v>
      </c>
      <c r="EF509" s="72" t="str">
        <f t="shared" si="2397"/>
        <v>NM</v>
      </c>
      <c r="EG509" s="145">
        <f>EG119+EG84+EG239+EG310+EG204+EG377+EG415+EG448</f>
        <v>-243</v>
      </c>
      <c r="EH509" s="72">
        <f t="shared" si="2398"/>
        <v>-4.3307086614173329</v>
      </c>
      <c r="EI509" s="145">
        <f>EI119+EI84+EI239+EI310+EI204+EI377+EI415+EI448</f>
        <v>-243</v>
      </c>
      <c r="EJ509" s="72">
        <f t="shared" si="2399"/>
        <v>18.536585365853654</v>
      </c>
      <c r="EK509" s="145">
        <f>EK119+EK84+EK239+EK310+EK204+EK377+EK415+EK448</f>
        <v>-91</v>
      </c>
      <c r="EL509" s="72" t="str">
        <f t="shared" si="2400"/>
        <v>NM</v>
      </c>
      <c r="EM509" s="145">
        <f>EM119+EM84+EM239+EM310+EM204+EM377+EM415+EM448</f>
        <v>-179</v>
      </c>
      <c r="EN509" s="72">
        <f t="shared" si="2401"/>
        <v>-38.907849829351534</v>
      </c>
      <c r="EO509" s="145">
        <f>EO119+EO84+EO239+EO310+EO204+EO377+EO415+EO448</f>
        <v>-205</v>
      </c>
      <c r="EP509" s="72">
        <f t="shared" si="2402"/>
        <v>-15.637860082304528</v>
      </c>
      <c r="EQ509" s="145">
        <f>EQ119+EQ84+EQ239+EQ310+EQ204+EQ377+EQ415+EQ448</f>
        <v>-246.77217168706554</v>
      </c>
      <c r="ER509" s="72">
        <f t="shared" si="2403"/>
        <v>1.5523340275989739</v>
      </c>
      <c r="ES509" s="145">
        <f>ES119+ES84+ES239+ES310+ES204+ES377+ES415+ES448</f>
        <v>-213.02642925755254</v>
      </c>
      <c r="ET509" s="72" t="str">
        <f t="shared" si="2404"/>
        <v>NM</v>
      </c>
      <c r="EU509" s="145">
        <f>EU119+EU84+EU239+EU310+EU204+EU377+EU415+EU448</f>
        <v>-188.10729127207827</v>
      </c>
      <c r="EV509" s="72">
        <f t="shared" si="2405"/>
        <v>5.0878722190381467</v>
      </c>
      <c r="EW509" s="145">
        <f>EW119+EW84+EW239+EW310+EW204+EW377+EW415+EW448</f>
        <v>-199.60678167333404</v>
      </c>
      <c r="EX509" s="72">
        <f t="shared" si="2406"/>
        <v>-2.630838208129731</v>
      </c>
      <c r="EY509" s="72"/>
      <c r="EZ509" s="296"/>
      <c r="FA509" s="72"/>
      <c r="FB509" s="145"/>
      <c r="FC509" s="11"/>
      <c r="FD509" s="145"/>
      <c r="FE509" s="72"/>
      <c r="FF509" s="145"/>
      <c r="FG509" s="72"/>
      <c r="FH509" s="145"/>
      <c r="FI509" s="72"/>
      <c r="FJ509" s="145">
        <f>FJ119+FJ84+FJ239+FJ310+FJ204+FJ377+FJ415+FJ448</f>
        <v>-302</v>
      </c>
      <c r="FK509" s="72" t="str">
        <f t="shared" si="2407"/>
        <v>NA</v>
      </c>
      <c r="FL509" s="145">
        <f>FL119+FL84+FL239+FL310+FL204+FL377+FL415+FL448</f>
        <v>-724</v>
      </c>
      <c r="FM509" s="72" t="str">
        <f t="shared" si="2408"/>
        <v>NM</v>
      </c>
      <c r="FN509" s="145">
        <f>FN119+FN84+FN239+FN310+FN204+FN377+FN415+FN448</f>
        <v>-770</v>
      </c>
      <c r="FO509" s="72">
        <f t="shared" si="2409"/>
        <v>6.3535911602209865</v>
      </c>
      <c r="FP509" s="145">
        <f>FP119+FP84+FP239+FP310+FP204+FP377+FP415+FP448</f>
        <v>-872</v>
      </c>
      <c r="FQ509" s="72">
        <f t="shared" si="2410"/>
        <v>13.246753246753244</v>
      </c>
      <c r="FR509" s="145">
        <f>FR119+FR84+FR239+FR310+FR204+FR377+FR415+FR448</f>
        <v>-1388</v>
      </c>
      <c r="FS509" s="72">
        <f t="shared" si="2411"/>
        <v>59.174311926605498</v>
      </c>
      <c r="FT509" s="145">
        <f>FT119+FT84+FT239+FT310+FT204+FT377+FT415+FT448</f>
        <v>-1317</v>
      </c>
      <c r="FU509" s="72">
        <f t="shared" si="2412"/>
        <v>-5.1152737752161386</v>
      </c>
      <c r="FV509" s="145">
        <f>FV119+FV84+FV239+FV310+FV204+FV377+FV415+FV448</f>
        <v>-527</v>
      </c>
      <c r="FW509" s="72" t="str">
        <f>IF(ISERROR(FV509/FT509),"NA",IF(OR(FV509/FT509&gt;2,FV509/FT509&lt;0.5),"NM",FV509/FT509*100-100))</f>
        <v>NM</v>
      </c>
      <c r="FX509" s="145">
        <f>FX119+FX84+FX239+FX310+FX204+FX377+FX415+FX448</f>
        <v>-1239</v>
      </c>
      <c r="FY509" s="72" t="str">
        <f>IF(ISERROR(FX509/FV509),"NA",IF(OR(FX509/FV509&gt;2,FX509/FV509&lt;0.5),"NM",FX509/FV509*100-100))</f>
        <v>NM</v>
      </c>
      <c r="FZ509" s="145">
        <f>FZ119+FZ84+FZ239+FZ310+FZ204+FZ377+FZ415+FZ448</f>
        <v>-1453</v>
      </c>
      <c r="GA509" s="72">
        <f>IF(ISERROR(FZ509/FX509),"NA",IF(OR(FZ509/FX509&gt;2,FZ509/FX509&lt;0.5),"NM",FZ509/FX509*100-100))</f>
        <v>17.271993543179988</v>
      </c>
      <c r="GB509" s="145">
        <f>GB119+GB84+GB239+GB310+GB204+GB377+GB415+GB448</f>
        <v>-1488</v>
      </c>
      <c r="GC509" s="72">
        <f>IF(ISERROR(GB509/FZ509),"NA",IF(OR(GB509/FZ509&gt;2,GB509/FZ509&lt;0.5),"NM",GB509/FZ509*100-100))</f>
        <v>2.4088093599449394</v>
      </c>
      <c r="GD509" s="145">
        <f>GD119+GD84+GD239+GD310+GD204+GD377+GD415+GD448</f>
        <v>-1598</v>
      </c>
      <c r="GE509" s="72">
        <f>IF(ISERROR(GD509/GB509),"NA",IF(OR(GD509/GB509&gt;2,GD509/GB509&lt;0.5),"NM",GD509/GB509*100-100))</f>
        <v>7.3924731182795682</v>
      </c>
      <c r="GF509" s="145">
        <f>GF119+GF84+GF239+GF310+GF204+GF377+GF415+GF448</f>
        <v>-1536</v>
      </c>
      <c r="GG509" s="72">
        <f>IF(ISERROR(GF509/GD509),"NA",IF(OR(GF509/GD509&gt;2,GF509/GD509&lt;0.5),"NM",GF509/GD509*100-100))</f>
        <v>-3.8798498122653342</v>
      </c>
      <c r="GH509" s="145">
        <f>GH119+GH84+GH239+GH310+GH204+GH377+GH415+GH448</f>
        <v>-846</v>
      </c>
      <c r="GI509" s="72">
        <f t="shared" si="2413"/>
        <v>-44.921875</v>
      </c>
      <c r="GJ509" s="145">
        <f>GJ119+GJ84+GJ239+GJ310+GJ204+GJ377+GJ415+GJ448</f>
        <v>-1034</v>
      </c>
      <c r="GK509" s="72">
        <f t="shared" si="2413"/>
        <v>22.222222222222229</v>
      </c>
      <c r="GL509" s="145">
        <f>GL119+GL84+GL239+GL310+GL204+GL377+GL415+GL448</f>
        <v>-1184</v>
      </c>
      <c r="GM509" s="72">
        <f t="shared" si="2413"/>
        <v>14.506769825918767</v>
      </c>
      <c r="GN509" s="145">
        <f>GN119+GN84+GN239+GN310+GN204+GN377+GN415+GN448</f>
        <v>-718</v>
      </c>
      <c r="GO509" s="72">
        <f t="shared" si="2413"/>
        <v>-39.358108108108105</v>
      </c>
      <c r="GP509" s="145">
        <f>GP119+GP84+GP239+GP310+GP204+GP377+GP415+GP448</f>
        <v>-847.51267389003033</v>
      </c>
      <c r="GQ509" s="72">
        <f t="shared" si="2413"/>
        <v>18.037976864906739</v>
      </c>
      <c r="GR509" s="145">
        <f>GR119+GR84+GR239+GR310+GR204+GR377+GR415+GR448</f>
        <v>-885.01671052832398</v>
      </c>
      <c r="GS509" s="72">
        <f t="shared" si="2413"/>
        <v>4.425188884332826</v>
      </c>
      <c r="GT509" s="145">
        <f>GT119+GT84+GT239+GT310+GT204+GT377+GT415+GT448</f>
        <v>-923.64686766652517</v>
      </c>
      <c r="GU509" s="72">
        <f t="shared" si="2413"/>
        <v>4.3649070891712825</v>
      </c>
      <c r="GV509" s="145">
        <f>GV119+GV84+GV239+GV310+GV204+GV377+GV415+GV448</f>
        <v>-963.57944196547737</v>
      </c>
      <c r="GW509" s="72">
        <f t="shared" si="2414"/>
        <v>4.323359467437669</v>
      </c>
      <c r="GX509" s="145">
        <f>GX119+GX84+GX239+GX310+GX204+GX377+GX415+GX448</f>
        <v>-1004.9606265512588</v>
      </c>
      <c r="GY509" s="72">
        <f t="shared" si="2415"/>
        <v>4.2945275483849485</v>
      </c>
      <c r="GZ509" s="72">
        <f t="shared" si="2416"/>
        <v>6.9559428507315113</v>
      </c>
      <c r="HA509" s="72"/>
      <c r="HB509" s="72"/>
      <c r="HC509"/>
      <c r="HD509"/>
      <c r="HE509"/>
      <c r="HF509"/>
      <c r="HG509"/>
      <c r="HH509"/>
      <c r="HI509" s="2"/>
    </row>
    <row r="510" spans="1:217" s="3" customFormat="1" ht="12.75" customHeight="1" x14ac:dyDescent="0.2">
      <c r="B510" s="3" t="s">
        <v>480</v>
      </c>
      <c r="C510" s="145"/>
      <c r="D510" s="11"/>
      <c r="E510" s="145"/>
      <c r="F510" s="11"/>
      <c r="G510" s="145"/>
      <c r="H510" s="11"/>
      <c r="I510" s="145"/>
      <c r="J510" s="11"/>
      <c r="K510" s="145"/>
      <c r="L510" s="72"/>
      <c r="M510" s="145"/>
      <c r="N510" s="72"/>
      <c r="O510" s="145"/>
      <c r="P510" s="72"/>
      <c r="Q510" s="145"/>
      <c r="R510" s="72"/>
      <c r="S510" s="145"/>
      <c r="T510" s="72"/>
      <c r="U510" s="145"/>
      <c r="V510" s="72"/>
      <c r="W510" s="145"/>
      <c r="X510" s="72"/>
      <c r="Y510" s="145"/>
      <c r="Z510" s="72"/>
      <c r="AA510" s="145"/>
      <c r="AB510" s="72"/>
      <c r="AC510" s="145"/>
      <c r="AD510" s="72"/>
      <c r="AE510" s="145"/>
      <c r="AF510" s="72"/>
      <c r="AG510" s="145"/>
      <c r="AH510" s="72"/>
      <c r="AI510" s="145"/>
      <c r="AJ510" s="72"/>
      <c r="AK510" s="145"/>
      <c r="AL510" s="72"/>
      <c r="AM510" s="145"/>
      <c r="AN510" s="72"/>
      <c r="AO510" s="145"/>
      <c r="AP510" s="72"/>
      <c r="AQ510" s="145"/>
      <c r="AR510" s="72"/>
      <c r="AS510" s="145"/>
      <c r="AT510" s="72"/>
      <c r="AU510" s="145"/>
      <c r="AV510" s="72"/>
      <c r="AW510" s="145"/>
      <c r="AX510" s="72"/>
      <c r="AY510" s="229">
        <f>AY511-AY505-AY506-AY507-AY508-AY509</f>
        <v>27</v>
      </c>
      <c r="AZ510" s="232"/>
      <c r="BA510" s="229">
        <f>BA511-BA505-BA506-BA507-BA508-BA509</f>
        <v>30</v>
      </c>
      <c r="BB510" s="232"/>
      <c r="BC510" s="229">
        <f>BC511-BC505-BC506-BC507-BC508-BC509</f>
        <v>51</v>
      </c>
      <c r="BD510" s="232"/>
      <c r="BE510" s="229">
        <f>BE511-BE505-BE506-BE507-BE508-BE509</f>
        <v>53</v>
      </c>
      <c r="BF510" s="72"/>
      <c r="BG510" s="145">
        <f>BG485</f>
        <v>174.4</v>
      </c>
      <c r="BH510" s="72"/>
      <c r="BI510" s="145">
        <f>BI485</f>
        <v>169</v>
      </c>
      <c r="BJ510" s="72"/>
      <c r="BK510" s="145">
        <f>BK485</f>
        <v>145</v>
      </c>
      <c r="BL510" s="72"/>
      <c r="BM510" s="145">
        <f>BM485</f>
        <v>174</v>
      </c>
      <c r="BN510" s="72"/>
      <c r="BO510" s="145">
        <f>BO485</f>
        <v>146</v>
      </c>
      <c r="BP510" s="72"/>
      <c r="BQ510" s="145">
        <f>BQ485</f>
        <v>105</v>
      </c>
      <c r="BR510" s="72"/>
      <c r="BS510" s="145">
        <f>BS485</f>
        <v>104</v>
      </c>
      <c r="BT510" s="72"/>
      <c r="BU510" s="145">
        <f>BU485</f>
        <v>339</v>
      </c>
      <c r="BV510" s="72"/>
      <c r="BW510" s="145">
        <f>BW485</f>
        <v>158</v>
      </c>
      <c r="BX510" s="72"/>
      <c r="BY510" s="145">
        <f>BY485</f>
        <v>181</v>
      </c>
      <c r="BZ510" s="72"/>
      <c r="CA510" s="145">
        <f>CA485</f>
        <v>205</v>
      </c>
      <c r="CB510" s="72"/>
      <c r="CC510" s="145">
        <f>CC485</f>
        <v>201</v>
      </c>
      <c r="CD510" s="72"/>
      <c r="CE510" s="145">
        <f>CE485</f>
        <v>143</v>
      </c>
      <c r="CF510" s="72"/>
      <c r="CG510" s="145">
        <f>CG485</f>
        <v>147</v>
      </c>
      <c r="CH510" s="72"/>
      <c r="CI510" s="145">
        <f>CI485</f>
        <v>229</v>
      </c>
      <c r="CJ510" s="72"/>
      <c r="CK510" s="145">
        <f>CK485</f>
        <v>195</v>
      </c>
      <c r="CL510" s="72"/>
      <c r="CM510" s="145">
        <f>+(CM502-CM513)-CM509-CM508-CM507-CM506-CM505</f>
        <v>220</v>
      </c>
      <c r="CN510" s="72"/>
      <c r="CO510" s="145">
        <f>+(CO502-CO513)-CO509-CO508-CO507-CO506-CO505</f>
        <v>231</v>
      </c>
      <c r="CP510" s="72"/>
      <c r="CQ510" s="145">
        <f>+(CQ502-CQ513)-CQ509-CQ508-CQ507-CQ506-CQ505</f>
        <v>354</v>
      </c>
      <c r="CR510" s="72"/>
      <c r="CS510" s="145">
        <f>+(CS502-CS513)-CS509-CS508-CS507-CS506-CS505</f>
        <v>322</v>
      </c>
      <c r="CT510" s="72"/>
      <c r="CU510" s="145">
        <f>+(CU502-CU513)-CU509-CU508-CU507-CU506-CU505</f>
        <v>262</v>
      </c>
      <c r="CV510" s="72"/>
      <c r="CW510" s="145">
        <f>+(CW502-CW513)-CW509-CW508-CW507-CW506-CW505</f>
        <v>191</v>
      </c>
      <c r="CX510" s="72"/>
      <c r="CY510" s="145">
        <f>+(CY502-CY513)-CY509-CY508-CY507-CY506-CY505</f>
        <v>342</v>
      </c>
      <c r="CZ510" s="72"/>
      <c r="DA510" s="145">
        <f>+(DA502-DA513)-DA509-DA508-DA507-DA506-DA505</f>
        <v>278</v>
      </c>
      <c r="DB510" s="72"/>
      <c r="DC510" s="145">
        <f>+(DC502-DC513)-DC509-DC508-DC507-DC506-DC505</f>
        <v>164</v>
      </c>
      <c r="DD510" s="72"/>
      <c r="DE510" s="145">
        <f>+(DE502-DE513)-DE509-DE508-DE507-DE506-DE505</f>
        <v>220</v>
      </c>
      <c r="DF510" s="72"/>
      <c r="DG510" s="145">
        <f>+(DG502-DG513)-DG509-DG508-DG507-DG506-DG505</f>
        <v>167</v>
      </c>
      <c r="DH510" s="72"/>
      <c r="DI510" s="145">
        <f>+(DI502-DI513)-DI509-DI508-DI507-DI506-DI505</f>
        <v>279</v>
      </c>
      <c r="DJ510" s="72"/>
      <c r="DK510" s="145">
        <f>+(DK502-DK513)-DK509-DK508-DK507-DK506-DK505</f>
        <v>190</v>
      </c>
      <c r="DL510" s="72"/>
      <c r="DM510" s="145">
        <f>+(DM502-DM513)-DM509-DM508-DM507-DM506-DM505</f>
        <v>189</v>
      </c>
      <c r="DN510" s="72">
        <f t="shared" si="2394"/>
        <v>-14.090909090909093</v>
      </c>
      <c r="DO510" s="145">
        <f>+(DO502-DO513)-DO509-DO508-DO507-DO506-DO505</f>
        <v>164</v>
      </c>
      <c r="DP510" s="72">
        <f t="shared" si="2394"/>
        <v>-1.7964071856287518</v>
      </c>
      <c r="DQ510" s="145">
        <f>+(DQ502-DQ513)-DQ509-DQ508-DQ507-DQ506-DQ505</f>
        <v>173</v>
      </c>
      <c r="DR510" s="72">
        <f t="shared" si="2394"/>
        <v>-37.992831541218642</v>
      </c>
      <c r="DS510" s="145">
        <f>+(DS502-DS513)-DS509-DS508-DS507-DS506-DS505</f>
        <v>128</v>
      </c>
      <c r="DT510" s="72">
        <f t="shared" si="2394"/>
        <v>-32.631578947368425</v>
      </c>
      <c r="DU510" s="145">
        <f>+(DU502-DU513)-DU509-DU508-DU507-DU506-DU505</f>
        <v>150</v>
      </c>
      <c r="DV510" s="72">
        <f t="shared" si="2394"/>
        <v>-20.634920634920633</v>
      </c>
      <c r="DW510" s="145">
        <f>+(DW502-DW513)-DW509-DW508-DW507-DW506-DW505</f>
        <v>159</v>
      </c>
      <c r="DX510" s="72">
        <f t="shared" si="2394"/>
        <v>-3.0487804878048763</v>
      </c>
      <c r="DY510" s="145">
        <f>+(DY502-DY513)-DY509-DY508-DY507-DY506-DY505</f>
        <v>306</v>
      </c>
      <c r="DZ510" s="72">
        <f t="shared" si="2394"/>
        <v>76.878612716763001</v>
      </c>
      <c r="EA510" s="145">
        <f>+(EA502-EA513)-EA509-EA508-EA507-EA506-EA505</f>
        <v>166</v>
      </c>
      <c r="EB510" s="72">
        <f t="shared" si="2395"/>
        <v>29.6875</v>
      </c>
      <c r="EC510" s="145">
        <f>+(EC502-EC513)-EC509-EC508-EC507-EC506-EC505</f>
        <v>249</v>
      </c>
      <c r="ED510" s="72">
        <f t="shared" si="2396"/>
        <v>66</v>
      </c>
      <c r="EE510" s="145">
        <f>+(EE502-EE513)-EE509-EE508-EE507-EE506-EE505</f>
        <v>231</v>
      </c>
      <c r="EF510" s="72">
        <f t="shared" si="2397"/>
        <v>45.283018867924511</v>
      </c>
      <c r="EG510" s="145">
        <f>+(EG502-EG513)-EG509-EG508-EG507-EG506-EG505</f>
        <v>299</v>
      </c>
      <c r="EH510" s="72">
        <f t="shared" si="2398"/>
        <v>-2.2875816993464042</v>
      </c>
      <c r="EI510" s="145">
        <f>+(EI502-EI513)-EI509-EI508-EI507-EI506-EI505</f>
        <v>214</v>
      </c>
      <c r="EJ510" s="72">
        <f t="shared" si="2399"/>
        <v>28.915662650602428</v>
      </c>
      <c r="EK510" s="145">
        <f>+(EK502-EK513)-EK509-EK508-EK507-EK506-EK505</f>
        <v>141</v>
      </c>
      <c r="EL510" s="72">
        <f t="shared" si="2400"/>
        <v>-43.373493975903607</v>
      </c>
      <c r="EM510" s="145">
        <f>+(EM502-EM513)-EM509-EM508-EM507-EM506-EM505</f>
        <v>131</v>
      </c>
      <c r="EN510" s="72">
        <f t="shared" si="2401"/>
        <v>-43.290043290043286</v>
      </c>
      <c r="EO510" s="145">
        <f>+(EO502-EO513)-EO509-EO508-EO507-EO506-EO505</f>
        <v>284</v>
      </c>
      <c r="EP510" s="72">
        <f t="shared" si="2402"/>
        <v>-5.0167224080267516</v>
      </c>
      <c r="EQ510" s="145">
        <f t="shared" ref="EQ510" si="2417">+(EQ502-EQ513)-EQ509-EQ508-EQ507-EQ506-EQ505</f>
        <v>216.48000000000138</v>
      </c>
      <c r="ER510" s="72">
        <f t="shared" si="2403"/>
        <v>1.1588785046735381</v>
      </c>
      <c r="ES510" s="145">
        <f t="shared" ref="ES510" si="2418">+(ES502-ES513)-ES509-ES508-ES507-ES506-ES505</f>
        <v>162.15999999999804</v>
      </c>
      <c r="ET510" s="72">
        <f t="shared" si="2404"/>
        <v>15.007092198580168</v>
      </c>
      <c r="EU510" s="145">
        <f t="shared" ref="EU510" si="2419">+(EU502-EU513)-EU509-EU508-EU507-EU506-EU505</f>
        <v>133.83999999999924</v>
      </c>
      <c r="EV510" s="72">
        <f t="shared" si="2405"/>
        <v>2.1679389312971153</v>
      </c>
      <c r="EW510" s="145">
        <f t="shared" ref="EW510" si="2420">+(EW502-EW513)-EW509-EW508-EW507-EW506-EW505</f>
        <v>243.84000000000015</v>
      </c>
      <c r="EX510" s="72">
        <f t="shared" si="2406"/>
        <v>-14.140845070422486</v>
      </c>
      <c r="EY510" s="72"/>
      <c r="EZ510" s="296"/>
      <c r="FA510" s="72"/>
      <c r="FB510" s="145"/>
      <c r="FC510" s="11"/>
      <c r="FD510" s="145"/>
      <c r="FE510" s="72"/>
      <c r="FF510" s="145"/>
      <c r="FG510" s="72"/>
      <c r="FH510" s="145"/>
      <c r="FI510" s="72"/>
      <c r="FJ510" s="145">
        <f>+(FJ502-FJ513)-FJ509-FJ508-FJ507-FJ506-FJ505</f>
        <v>206</v>
      </c>
      <c r="FK510" s="72"/>
      <c r="FL510" s="145">
        <f>+(FL502-FL513)-FL509-FL508-FL507-FL506-FL505</f>
        <v>292</v>
      </c>
      <c r="FM510" s="72"/>
      <c r="FN510" s="145">
        <f>+(FN502-FN513)-FN509-FN508-FN507-FN506-FN505</f>
        <v>88.599999999998545</v>
      </c>
      <c r="FO510" s="72"/>
      <c r="FP510" s="145">
        <f>+(FP502-FP513)-FP509-FP508-FP507-FP506-FP505</f>
        <v>483</v>
      </c>
      <c r="FQ510" s="72"/>
      <c r="FR510" s="145">
        <f>+(FR502-FR513)-FR509-FR508-FR507-FR506-FR505</f>
        <v>742</v>
      </c>
      <c r="FS510" s="72"/>
      <c r="FT510" s="145">
        <f>+(FT502-FT513)-FT509-FT508-FT507-FT506-FT505</f>
        <v>819.40000000000146</v>
      </c>
      <c r="FU510" s="72"/>
      <c r="FV510" s="145">
        <f>+(FV502-FV513)-FV509-FV508-FV507-FV506-FV505</f>
        <v>343</v>
      </c>
      <c r="FW510" s="72"/>
      <c r="FX510" s="145">
        <f>+(FX502-FX513)-FX509-FX508-FX507-FX506-FX505</f>
        <v>539</v>
      </c>
      <c r="FY510" s="72"/>
      <c r="FZ510" s="145">
        <f>+(FZ502-FZ513)-FZ509-FZ508-FZ507-FZ506-FZ505</f>
        <v>714</v>
      </c>
      <c r="GA510" s="72"/>
      <c r="GB510" s="145">
        <f>+(GB502-GB513)-GB509-GB508-GB507-GB506-GB505</f>
        <v>1127</v>
      </c>
      <c r="GC510" s="72"/>
      <c r="GD510" s="145">
        <f>+(GD502-GD513)-GD509-GD508-GD507-GD506-GD505</f>
        <v>1073</v>
      </c>
      <c r="GE510" s="72"/>
      <c r="GF510" s="145">
        <f>+(GF502-GF513)-GF509-GF508-GF507-GF506-GF505</f>
        <v>830</v>
      </c>
      <c r="GG510" s="72"/>
      <c r="GH510" s="145">
        <f>+(GH502-GH513)-GH509-GH508-GH507-GH506-GH505</f>
        <v>716</v>
      </c>
      <c r="GI510" s="72">
        <f t="shared" si="2413"/>
        <v>-13.734939759036152</v>
      </c>
      <c r="GJ510" s="145">
        <f>+(GJ502-GJ513)-GJ509-GJ508-GJ507-GJ506-GJ505</f>
        <v>743</v>
      </c>
      <c r="GK510" s="72">
        <f t="shared" si="2413"/>
        <v>3.7709497206703873</v>
      </c>
      <c r="GL510" s="145">
        <f>+(GL502-GL513)-GL509-GL508-GL507-GL506-GL505</f>
        <v>945</v>
      </c>
      <c r="GM510" s="72">
        <f t="shared" si="2413"/>
        <v>27.187079407806181</v>
      </c>
      <c r="GN510" s="145">
        <f>+(GN502-GN513)-GN509-GN508-GN507-GN506-GN505</f>
        <v>770</v>
      </c>
      <c r="GO510" s="72">
        <f t="shared" si="2413"/>
        <v>-18.518518518518519</v>
      </c>
      <c r="GP510" s="145">
        <f>+(GP502-GP513)-GP509-GP508-GP507-GP506-GP505</f>
        <v>756.31999999999607</v>
      </c>
      <c r="GQ510" s="72">
        <f t="shared" si="2413"/>
        <v>-1.7766233766238884</v>
      </c>
      <c r="GR510" s="145">
        <f>+(GR502-GR513)-GR509-GR508-GR507-GR506-GR505</f>
        <v>775.85440000000017</v>
      </c>
      <c r="GS510" s="72">
        <f t="shared" si="2413"/>
        <v>2.582822085890129</v>
      </c>
      <c r="GT510" s="145">
        <f>+(GT502-GT513)-GT509-GT508-GT507-GT506-GT505</f>
        <v>788.25659799999994</v>
      </c>
      <c r="GU510" s="72">
        <f t="shared" si="2413"/>
        <v>1.5985213204951663</v>
      </c>
      <c r="GV510" s="145">
        <f>+(GV502-GV513)-GV509-GV508-GV507-GV506-GV505</f>
        <v>800.54155741000432</v>
      </c>
      <c r="GW510" s="72">
        <f t="shared" si="2414"/>
        <v>1.5584975046418066</v>
      </c>
      <c r="GX510" s="145">
        <f>+(GX502-GX513)-GX509-GX508-GX507-GX506-GX505</f>
        <v>814.2758880434485</v>
      </c>
      <c r="GY510" s="72">
        <f t="shared" si="2415"/>
        <v>1.7156299390476306</v>
      </c>
      <c r="GZ510" s="72">
        <f t="shared" si="2416"/>
        <v>1.1244493875823158</v>
      </c>
      <c r="HA510" s="72"/>
      <c r="HB510" s="72"/>
      <c r="HC510"/>
      <c r="HD510"/>
      <c r="HE510"/>
      <c r="HF510"/>
      <c r="HG510"/>
      <c r="HH510"/>
      <c r="HI510" s="2"/>
    </row>
    <row r="511" spans="1:217" s="78" customFormat="1" ht="12.75" customHeight="1" x14ac:dyDescent="0.2">
      <c r="B511" s="70" t="s">
        <v>129</v>
      </c>
      <c r="C511" s="160"/>
      <c r="D511" s="161"/>
      <c r="E511" s="160"/>
      <c r="F511" s="161"/>
      <c r="G511" s="160"/>
      <c r="H511" s="161"/>
      <c r="I511" s="160"/>
      <c r="J511" s="161"/>
      <c r="K511" s="160"/>
      <c r="L511" s="72"/>
      <c r="M511" s="160"/>
      <c r="N511" s="72"/>
      <c r="O511" s="160"/>
      <c r="P511" s="72"/>
      <c r="Q511" s="160"/>
      <c r="R511" s="72"/>
      <c r="S511" s="160">
        <f>SUM(S505:S509)</f>
        <v>4428</v>
      </c>
      <c r="T511" s="72" t="str">
        <f>IF(ISERROR(S511/K511),"NA",IF(OR(S511/K511&gt;2,S511/K511&lt;0.5),"NM",S511/K511*100-100))</f>
        <v>NA</v>
      </c>
      <c r="U511" s="160">
        <f>SUM(U505:U509)</f>
        <v>4106</v>
      </c>
      <c r="V511" s="72" t="str">
        <f>IF(ISERROR(U511/M511),"NA",IF(OR(U511/M511&gt;2,U511/M511&lt;0.5),"NM",U511/M511*100-100))</f>
        <v>NA</v>
      </c>
      <c r="W511" s="160">
        <f>SUM(W505:W509)</f>
        <v>4109</v>
      </c>
      <c r="X511" s="72" t="str">
        <f>IF(ISERROR(W511/O511),"NA",IF(OR(W511/O511&gt;2,W511/O511&lt;0.5),"NM",W511/O511*100-100))</f>
        <v>NA</v>
      </c>
      <c r="Y511" s="160">
        <f>SUM(Y505:Y509)</f>
        <v>4277</v>
      </c>
      <c r="Z511" s="72" t="str">
        <f>IF(ISERROR(Y511/Q511),"NA",IF(OR(Y511/Q511&gt;2,Y511/Q511&lt;0.5),"NM",Y511/Q511*100-100))</f>
        <v>NA</v>
      </c>
      <c r="AA511" s="160">
        <f>SUM(AA505:AA509)</f>
        <v>3513</v>
      </c>
      <c r="AB511" s="72">
        <f>IF(ISERROR(AA511/S511),"NA",IF(OR(AA511/S511&gt;2,AA511/S511&lt;0.5),"NM",AA511/S511*100-100))</f>
        <v>-20.663956639566393</v>
      </c>
      <c r="AC511" s="160">
        <f>SUM(AC505:AC509)</f>
        <v>3486</v>
      </c>
      <c r="AD511" s="72">
        <f>IF(ISERROR(AC511/U511),"NA",IF(OR(AC511/U511&gt;2,AC511/U511&lt;0.5),"NM",AC511/U511*100-100))</f>
        <v>-15.099853872381885</v>
      </c>
      <c r="AE511" s="160">
        <f>SUM(AE505:AE509)</f>
        <v>3571</v>
      </c>
      <c r="AF511" s="72">
        <f>IF(ISERROR(AE511/W511),"NA",IF(OR(AE511/W511&gt;2,AE511/W511&lt;0.5),"NM",AE511/W511*100-100))</f>
        <v>-13.093210026770507</v>
      </c>
      <c r="AG511" s="160">
        <f>SUM(AG505:AG509)</f>
        <v>3745</v>
      </c>
      <c r="AH511" s="72">
        <f>IF(ISERROR(AG511/Y511),"NA",IF(OR(AG511/Y511&gt;2,AG511/Y511&lt;0.5),"NM",AG511/Y511*100-100))</f>
        <v>-12.43862520458265</v>
      </c>
      <c r="AI511" s="160">
        <f>SUM(AI505:AI509)</f>
        <v>3895</v>
      </c>
      <c r="AJ511" s="72">
        <f>IF(ISERROR(AI511/AA511),"NA",IF(OR(AI511/AA511&gt;2,AI511/AA511&lt;0.5),"NM",AI511/AA511*100-100))</f>
        <v>10.87389695417022</v>
      </c>
      <c r="AK511" s="160">
        <f>SUM(AK505:AK509)</f>
        <v>4129</v>
      </c>
      <c r="AL511" s="72">
        <f>IF(ISERROR(AK511/AC511),"NA",IF(OR(AK511/AC511&gt;2,AK511/AC511&lt;0.5),"NM",AK511/AC511*100-100))</f>
        <v>18.445209409064816</v>
      </c>
      <c r="AM511" s="160">
        <f>SUM(AM505:AM509)</f>
        <v>4159</v>
      </c>
      <c r="AN511" s="72">
        <f>IF(ISERROR(AM511/AE511),"NA",IF(OR(AM511/AE511&gt;2,AM511/AE511&lt;0.5),"NM",AM511/AE511*100-100))</f>
        <v>16.465975917110057</v>
      </c>
      <c r="AO511" s="160">
        <f>SUM(AO505:AO509)</f>
        <v>4252</v>
      </c>
      <c r="AP511" s="72">
        <f>IF(ISERROR(AO511/AG511),"NA",IF(OR(AO511/AG511&gt;2,AO511/AG511&lt;0.5),"NM",AO511/AG511*100-100))</f>
        <v>13.538050734312421</v>
      </c>
      <c r="AQ511" s="160">
        <f>SUM(AQ505:AQ509)</f>
        <v>4543</v>
      </c>
      <c r="AR511" s="72">
        <f t="shared" si="2378"/>
        <v>16.636713735558416</v>
      </c>
      <c r="AS511" s="160">
        <f>SUM(AS505:AS509)</f>
        <v>4576</v>
      </c>
      <c r="AT511" s="72">
        <f t="shared" si="2379"/>
        <v>10.825865827076768</v>
      </c>
      <c r="AU511" s="160">
        <f>SUM(AU505:AU509)</f>
        <v>4679</v>
      </c>
      <c r="AV511" s="72">
        <f t="shared" si="2380"/>
        <v>12.503005530175514</v>
      </c>
      <c r="AW511" s="160">
        <f>SUM(AW505:AW509)</f>
        <v>4579</v>
      </c>
      <c r="AX511" s="72">
        <f t="shared" si="2381"/>
        <v>7.6904985888993451</v>
      </c>
      <c r="AY511" s="230">
        <f>AY502-AY513</f>
        <v>4814</v>
      </c>
      <c r="AZ511" s="232">
        <f t="shared" si="2382"/>
        <v>5.965221219458499</v>
      </c>
      <c r="BA511" s="230">
        <f>BA502-BA513</f>
        <v>4911</v>
      </c>
      <c r="BB511" s="232">
        <f t="shared" si="2383"/>
        <v>7.3208041958041861</v>
      </c>
      <c r="BC511" s="230">
        <f>BC502-BC513</f>
        <v>4761</v>
      </c>
      <c r="BD511" s="232">
        <f t="shared" si="2384"/>
        <v>1.7525112203462356</v>
      </c>
      <c r="BE511" s="230">
        <f>BE502-BE513</f>
        <v>5253</v>
      </c>
      <c r="BF511" s="72">
        <f t="shared" si="2385"/>
        <v>14.719371041712165</v>
      </c>
      <c r="BG511" s="160">
        <f>SUM(BG505:BG510)</f>
        <v>5437.4</v>
      </c>
      <c r="BH511" s="72">
        <f t="shared" si="2386"/>
        <v>12.949729954299954</v>
      </c>
      <c r="BI511" s="160">
        <f>SUM(BI505:BI510)</f>
        <v>5457</v>
      </c>
      <c r="BJ511" s="72">
        <f t="shared" si="2387"/>
        <v>11.117898594990834</v>
      </c>
      <c r="BK511" s="160">
        <f>SUM(BK505:BK510)</f>
        <v>5378</v>
      </c>
      <c r="BL511" s="72">
        <f t="shared" si="2388"/>
        <v>12.959462297836595</v>
      </c>
      <c r="BM511" s="160">
        <f>SUM(BM505:BM510)</f>
        <v>5678</v>
      </c>
      <c r="BN511" s="72">
        <f t="shared" si="2389"/>
        <v>8.0906148867314016</v>
      </c>
      <c r="BO511" s="160">
        <f>SUM(BO505:BO510)</f>
        <v>5948</v>
      </c>
      <c r="BP511" s="72">
        <f t="shared" si="2390"/>
        <v>9.3905175267591261</v>
      </c>
      <c r="BQ511" s="160">
        <f>SUM(BQ505:BQ510)</f>
        <v>5687</v>
      </c>
      <c r="BR511" s="72">
        <f t="shared" si="2391"/>
        <v>4.2147700201576015</v>
      </c>
      <c r="BS511" s="160">
        <f>SUM(BS505:BS510)</f>
        <v>5699</v>
      </c>
      <c r="BT511" s="72">
        <f t="shared" si="2392"/>
        <v>5.9687616214205974</v>
      </c>
      <c r="BU511" s="160">
        <f>SUM(BU505:BU510)</f>
        <v>7022</v>
      </c>
      <c r="BV511" s="72">
        <f t="shared" si="2393"/>
        <v>23.670306445931672</v>
      </c>
      <c r="BW511" s="160">
        <f>SUM(BW505:BW510)</f>
        <v>6301</v>
      </c>
      <c r="BX511" s="72">
        <f>IF(ISERROR(BW511/BO511),"NA",IF(OR(BW511/BO511&gt;2,BW511/BO511&lt;0.5),"NM",BW511/BO511*100-100))</f>
        <v>5.9347679892400862</v>
      </c>
      <c r="BY511" s="160">
        <f>SUM(BY505:BY510)</f>
        <v>5583</v>
      </c>
      <c r="BZ511" s="72">
        <f>IF(ISERROR(BY511/BQ511),"NA",IF(OR(BY511/BQ511&gt;2,BY511/BQ511&lt;0.5),"NM",BY511/BQ511*100-100))</f>
        <v>-1.8287321962370413</v>
      </c>
      <c r="CA511" s="160">
        <f>SUM(CA505:CA510)</f>
        <v>5686</v>
      </c>
      <c r="CB511" s="72">
        <f>IF(ISERROR(CA511/BS511),"NA",IF(OR(CA511/BS511&gt;2,CA511/BS511&lt;0.5),"NM",CA511/BS511*100-100))</f>
        <v>-0.22811019477101979</v>
      </c>
      <c r="CC511" s="160">
        <f>SUM(CC505:CC510)</f>
        <v>6184</v>
      </c>
      <c r="CD511" s="72">
        <f>IF(ISERROR(CC511/BU511),"NA",IF(OR(CC511/BU511&gt;2,CC511/BU511&lt;0.5),"NM",CC511/BU511*100-100))</f>
        <v>-11.933921959555676</v>
      </c>
      <c r="CE511" s="160">
        <f>SUM(CE505:CE510)</f>
        <v>6282</v>
      </c>
      <c r="CF511" s="72">
        <f>IF(ISERROR(CE511/BW511),"NA",IF(OR(CE511/BW511&gt;2,CE511/BW511&lt;0.5),"NM",CE511/BW511*100-100))</f>
        <v>-0.30153943818442031</v>
      </c>
      <c r="CG511" s="160">
        <f>SUM(CG505:CG510)</f>
        <v>7116</v>
      </c>
      <c r="CH511" s="72">
        <f>IF(ISERROR(CG511/BY511),"NA",IF(OR(CG511/BY511&gt;2,CG511/BY511&lt;0.5),"NM",CG511/BY511*100-100))</f>
        <v>27.458355722729721</v>
      </c>
      <c r="CI511" s="160">
        <f>SUM(CI505:CI510)</f>
        <v>6521</v>
      </c>
      <c r="CJ511" s="72">
        <f>IF(ISERROR(CI511/CA511),"NA",IF(OR(CI511/CA511&gt;2,CI511/CA511&lt;0.5),"NM",CI511/CA511*100-100))</f>
        <v>14.685191698909605</v>
      </c>
      <c r="CK511" s="160">
        <f>SUM(CK505:CK510)</f>
        <v>6927</v>
      </c>
      <c r="CL511" s="72">
        <f>IF(ISERROR(CK511/CC511),"NA",IF(OR(CK511/CC511&gt;2,CK511/CC511&lt;0.5),"NM",CK511/CC511*100-100))</f>
        <v>12.014877102199222</v>
      </c>
      <c r="CM511" s="160">
        <f>SUM(CM505:CM510)</f>
        <v>8051</v>
      </c>
      <c r="CN511" s="72">
        <f>IF(ISERROR(CM511/CE511),"NA",IF(OR(CM511/CE511&gt;2,CM511/CE511&lt;0.5),"NM",CM511/CE511*100-100))</f>
        <v>28.159821712830308</v>
      </c>
      <c r="CO511" s="160">
        <f>SUM(CO505:CO510)</f>
        <v>9047</v>
      </c>
      <c r="CP511" s="72">
        <f>IF(ISERROR(CO511/CG511),"NA",IF(OR(CO511/CG511&gt;2,CO511/CG511&lt;0.5),"NM",CO511/CG511*100-100))</f>
        <v>27.136031478358632</v>
      </c>
      <c r="CQ511" s="160">
        <f>SUM(CQ505:CQ510)</f>
        <v>9262</v>
      </c>
      <c r="CR511" s="72">
        <f>IF(ISERROR(CQ511/CI511),"NA",IF(OR(CQ511/CI511&gt;2,CQ511/CI511&lt;0.5),"NM",CQ511/CI511*100-100))</f>
        <v>42.033430455451622</v>
      </c>
      <c r="CS511" s="160">
        <f>SUM(CS505:CS510)</f>
        <v>8969</v>
      </c>
      <c r="CT511" s="72">
        <f>IF(ISERROR(CS511/CK511),"NA",IF(OR(CS511/CK511&gt;2,CS511/CK511&lt;0.5),"NM",CS511/CK511*100-100))</f>
        <v>29.478850873393981</v>
      </c>
      <c r="CU511" s="160">
        <f>SUM(CU505:CU510)</f>
        <v>9424</v>
      </c>
      <c r="CV511" s="72">
        <f>IF(ISERROR(CU511/CM511),"NA",IF(OR(CU511/CM511&gt;2,CU511/CM511&lt;0.5),"NM",CU511/CM511*100-100))</f>
        <v>17.053782138864747</v>
      </c>
      <c r="CW511" s="160">
        <f>SUM(CW505:CW510)</f>
        <v>10379</v>
      </c>
      <c r="CX511" s="72">
        <f>IF(ISERROR(CW511/CO511),"NA",IF(OR(CW511/CO511&gt;2,CW511/CO511&lt;0.5),"NM",CW511/CO511*100-100))</f>
        <v>14.723112634022328</v>
      </c>
      <c r="CY511" s="160">
        <f>SUM(CY505:CY510)</f>
        <v>12199</v>
      </c>
      <c r="CZ511" s="72">
        <f>IF(ISERROR(CY511/CQ511),"NA",IF(OR(CY511/CQ511&gt;2,CY511/CQ511&lt;0.5),"NM",CY511/CQ511*100-100))</f>
        <v>31.7102137767221</v>
      </c>
      <c r="DA511" s="160">
        <f>SUM(DA505:DA510)</f>
        <v>45075</v>
      </c>
      <c r="DB511" s="72" t="str">
        <f>IF(ISERROR(DA511/CS511),"NA",IF(OR(DA511/CS511&gt;2,DA511/CS511&lt;0.5),"NM",DA511/CS511*100-100))</f>
        <v>NM</v>
      </c>
      <c r="DC511" s="160">
        <f>SUM(DC505:DC510)</f>
        <v>10322</v>
      </c>
      <c r="DD511" s="72">
        <f>IF(ISERROR(DC511/CU511),"NA",IF(OR(DC511/CU511&gt;2,DC511/CU511&lt;0.5),"NM",DC511/CU511*100-100))</f>
        <v>9.5288624787775973</v>
      </c>
      <c r="DE511" s="160">
        <f>SUM(DE505:DE510)</f>
        <v>10203</v>
      </c>
      <c r="DF511" s="72">
        <f>IF(ISERROR(DE511/CW511),"NA",IF(OR(DE511/CW511&gt;2,DE511/CW511&lt;0.5),"NM",DE511/CW511*100-100))</f>
        <v>-1.6957317660661033</v>
      </c>
      <c r="DG511" s="160">
        <f>SUM(DG505:DG510)</f>
        <v>8870</v>
      </c>
      <c r="DH511" s="72">
        <f>IF(ISERROR(DG511/CY511),"NA",IF(OR(DG511/CY511&gt;2,DG511/CY511&lt;0.5),"NM",DG511/CY511*100-100))</f>
        <v>-27.289122059185175</v>
      </c>
      <c r="DI511" s="160">
        <f>SUM(DI505:DI510)</f>
        <v>9517</v>
      </c>
      <c r="DJ511" s="72" t="str">
        <f>IF(ISERROR(DI511/DA511),"NA",IF(OR(DI511/DA511&gt;2,DI511/DA511&lt;0.5),"NM",DI511/DA511*100-100))</f>
        <v>NM</v>
      </c>
      <c r="DK511" s="160">
        <f>SUM(DK505:DK510)</f>
        <v>9365</v>
      </c>
      <c r="DL511" s="72">
        <f>IF(ISERROR(DK511/DC511),"NA",IF(OR(DK511/DC511&gt;2,DK511/DC511&lt;0.5),"NM",DK511/DC511*100-100))</f>
        <v>-9.2714590195698463</v>
      </c>
      <c r="DM511" s="160">
        <f>SUM(DM505:DM510)</f>
        <v>9490</v>
      </c>
      <c r="DN511" s="72">
        <f t="shared" si="2394"/>
        <v>-6.9881407429187448</v>
      </c>
      <c r="DO511" s="160">
        <f>SUM(DO505:DO510)</f>
        <v>10413</v>
      </c>
      <c r="DP511" s="72">
        <f t="shared" si="2394"/>
        <v>17.395715896279597</v>
      </c>
      <c r="DQ511" s="160">
        <f>SUM(DQ505:DQ510)</f>
        <v>14484</v>
      </c>
      <c r="DR511" s="72">
        <f t="shared" si="2394"/>
        <v>52.190816433750143</v>
      </c>
      <c r="DS511" s="160">
        <f>SUM(DS505:DS510)</f>
        <v>10062</v>
      </c>
      <c r="DT511" s="72">
        <f t="shared" si="2394"/>
        <v>7.4426054458088515</v>
      </c>
      <c r="DU511" s="160">
        <f>SUM(DU505:DU510)</f>
        <v>10659</v>
      </c>
      <c r="DV511" s="72">
        <f t="shared" si="2394"/>
        <v>12.318229715489991</v>
      </c>
      <c r="DW511" s="160">
        <f>SUM(DW505:DW510)</f>
        <v>9615</v>
      </c>
      <c r="DX511" s="72">
        <f t="shared" si="2394"/>
        <v>-7.6634975511379935</v>
      </c>
      <c r="DY511" s="160">
        <f>SUM(DY505:DY510)</f>
        <v>12063</v>
      </c>
      <c r="DZ511" s="72">
        <f t="shared" si="2394"/>
        <v>-16.714995857497925</v>
      </c>
      <c r="EA511" s="160">
        <f>SUM(EA505:EA510)</f>
        <v>9967</v>
      </c>
      <c r="EB511" s="72">
        <f t="shared" si="2395"/>
        <v>-0.94414629298350405</v>
      </c>
      <c r="EC511" s="160">
        <f>SUM(EC505:EC510)</f>
        <v>10755</v>
      </c>
      <c r="ED511" s="72">
        <f t="shared" si="2396"/>
        <v>0.90064734027581039</v>
      </c>
      <c r="EE511" s="160">
        <f>SUM(EE505:EE510)</f>
        <v>13492</v>
      </c>
      <c r="EF511" s="72">
        <f t="shared" si="2397"/>
        <v>40.322412896515857</v>
      </c>
      <c r="EG511" s="160">
        <f>SUM(EG505:EG510)</f>
        <v>11961</v>
      </c>
      <c r="EH511" s="72">
        <f t="shared" si="2398"/>
        <v>-0.84556080576970771</v>
      </c>
      <c r="EI511" s="160">
        <f>SUM(EI505:EI510)</f>
        <v>10347</v>
      </c>
      <c r="EJ511" s="72">
        <f t="shared" si="2399"/>
        <v>3.8125815190127383</v>
      </c>
      <c r="EK511" s="160">
        <f>SUM(EK505:EK510)</f>
        <v>11800</v>
      </c>
      <c r="EL511" s="72">
        <f t="shared" si="2400"/>
        <v>9.716410971641082</v>
      </c>
      <c r="EM511" s="160">
        <f>SUM(EM505:EM510)</f>
        <v>11577</v>
      </c>
      <c r="EN511" s="72">
        <f t="shared" si="2401"/>
        <v>-14.193596205158613</v>
      </c>
      <c r="EO511" s="160">
        <f>SUM(EO505:EO510)</f>
        <v>13678</v>
      </c>
      <c r="EP511" s="72">
        <f t="shared" si="2402"/>
        <v>14.354987041217299</v>
      </c>
      <c r="EQ511" s="162">
        <f t="shared" ref="EQ511" si="2421">SUM(EQ505:EQ510)</f>
        <v>12103.924900066579</v>
      </c>
      <c r="ER511" s="72">
        <f t="shared" si="2403"/>
        <v>16.980041558582954</v>
      </c>
      <c r="ES511" s="162">
        <f t="shared" ref="ES511" si="2422">SUM(ES505:ES510)</f>
        <v>11931.506894767259</v>
      </c>
      <c r="ET511" s="72">
        <f t="shared" si="2404"/>
        <v>1.1144652098920176</v>
      </c>
      <c r="EU511" s="162">
        <f t="shared" ref="EU511" si="2423">SUM(EU505:EU510)</f>
        <v>12049.552068949739</v>
      </c>
      <c r="EV511" s="72">
        <f t="shared" si="2405"/>
        <v>4.0818179921373314</v>
      </c>
      <c r="EW511" s="162">
        <f t="shared" ref="EW511" si="2424">SUM(EW505:EW510)</f>
        <v>12244.342645948502</v>
      </c>
      <c r="EX511" s="72">
        <f t="shared" si="2406"/>
        <v>-10.481483799177497</v>
      </c>
      <c r="EY511" s="72"/>
      <c r="EZ511" s="332"/>
      <c r="FA511" s="72"/>
      <c r="FB511" s="160"/>
      <c r="FC511" s="161"/>
      <c r="FD511" s="160"/>
      <c r="FE511" s="72"/>
      <c r="FF511" s="160"/>
      <c r="FG511" s="72"/>
      <c r="FH511" s="160"/>
      <c r="FI511" s="72"/>
      <c r="FJ511" s="162">
        <f>SUM(FJ505:FJ510)</f>
        <v>13953</v>
      </c>
      <c r="FK511" s="72" t="str">
        <f t="shared" si="2407"/>
        <v>NA</v>
      </c>
      <c r="FL511" s="162">
        <f>SUM(FL505:FL510)</f>
        <v>14607</v>
      </c>
      <c r="FM511" s="72">
        <f t="shared" si="2408"/>
        <v>4.6871640507417709</v>
      </c>
      <c r="FN511" s="162">
        <f>SUM(FN505:FN510)</f>
        <v>16523.599999999999</v>
      </c>
      <c r="FO511" s="72">
        <f t="shared" si="2409"/>
        <v>13.121106318888181</v>
      </c>
      <c r="FP511" s="162">
        <f>SUM(FP505:FP510)</f>
        <v>18860</v>
      </c>
      <c r="FQ511" s="72">
        <f t="shared" si="2410"/>
        <v>14.139775835774302</v>
      </c>
      <c r="FR511" s="162">
        <f>SUM(FR505:FR510)</f>
        <v>20320</v>
      </c>
      <c r="FS511" s="72">
        <f t="shared" si="2411"/>
        <v>7.7412513255567461</v>
      </c>
      <c r="FT511" s="162">
        <f>SUM(FT505:FT510)</f>
        <v>22107.4</v>
      </c>
      <c r="FU511" s="72">
        <f t="shared" si="2412"/>
        <v>8.7962598425196887</v>
      </c>
      <c r="FV511" s="162">
        <f>SUM(FV505:FV510)</f>
        <v>24690</v>
      </c>
      <c r="FW511" s="72">
        <f>IF(ISERROR(FV511/FT511),"NA",IF(OR(FV511/FT511&gt;2,FV511/FT511&lt;0.5),"NM",FV511/FT511*100-100))</f>
        <v>11.682061210273488</v>
      </c>
      <c r="FX511" s="162">
        <f>SUM(FX505:FX510)</f>
        <v>23826</v>
      </c>
      <c r="FY511" s="72">
        <f>IF(ISERROR(FX511/FV511),"NA",IF(OR(FX511/FV511&gt;2,FX511/FV511&lt;0.5),"NM",FX511/FV511*100-100))</f>
        <v>-3.4993924665856611</v>
      </c>
      <c r="FZ511" s="162">
        <f>SUM(FZ505:FZ510)</f>
        <v>26846</v>
      </c>
      <c r="GA511" s="72">
        <f>IF(ISERROR(FZ511/FX511),"NA",IF(OR(FZ511/FX511&gt;2,FZ511/FX511&lt;0.5),"NM",FZ511/FX511*100-100))</f>
        <v>12.67522874171074</v>
      </c>
      <c r="GB511" s="162">
        <f>SUM(GB505:GB510)</f>
        <v>35329</v>
      </c>
      <c r="GC511" s="72">
        <f>IF(ISERROR(GB511/FZ511),"NA",IF(OR(GB511/FZ511&gt;2,GB511/FZ511&lt;0.5),"NM",GB511/FZ511*100-100))</f>
        <v>31.59874841689637</v>
      </c>
      <c r="GD511" s="162">
        <f>SUM(GD505:GD510)</f>
        <v>77077</v>
      </c>
      <c r="GE511" s="72" t="str">
        <f>IF(ISERROR(GD511/GB511),"NA",IF(OR(GD511/GB511&gt;2,GD511/GB511&lt;0.5),"NM",GD511/GB511*100-100))</f>
        <v>NM</v>
      </c>
      <c r="GF511" s="162">
        <f>SUM(GF505:GF510)</f>
        <v>38912</v>
      </c>
      <c r="GG511" s="72">
        <f>IF(ISERROR(GF511/GD511),"NA",IF(OR(GF511/GD511&gt;2,GF511/GD511&lt;0.5),"NM",GF511/GD511*100-100))</f>
        <v>-49.515419645289768</v>
      </c>
      <c r="GH511" s="162">
        <f>SUM(GH505:GH510)</f>
        <v>43752</v>
      </c>
      <c r="GI511" s="72">
        <f t="shared" si="2413"/>
        <v>12.438322368421069</v>
      </c>
      <c r="GJ511" s="162">
        <f>SUM(GJ505:GJ510)</f>
        <v>42399</v>
      </c>
      <c r="GK511" s="72">
        <f t="shared" si="2413"/>
        <v>-3.0924300603401065</v>
      </c>
      <c r="GL511" s="162">
        <f>SUM(GL505:GL510)</f>
        <v>46175</v>
      </c>
      <c r="GM511" s="72">
        <f t="shared" si="2413"/>
        <v>8.9058704214722013</v>
      </c>
      <c r="GN511" s="162">
        <f>SUM(GN505:GN510)</f>
        <v>47402</v>
      </c>
      <c r="GO511" s="72">
        <f t="shared" si="2413"/>
        <v>2.6572820790470928</v>
      </c>
      <c r="GP511" s="162">
        <f>SUM(GP505:GP510)</f>
        <v>48329.326509732084</v>
      </c>
      <c r="GQ511" s="72">
        <f t="shared" si="2413"/>
        <v>1.9563024972196956</v>
      </c>
      <c r="GR511" s="162">
        <f>SUM(GR505:GR510)</f>
        <v>50008.612638986742</v>
      </c>
      <c r="GS511" s="72">
        <f t="shared" si="2413"/>
        <v>3.4746731447137051</v>
      </c>
      <c r="GT511" s="162">
        <f>SUM(GT505:GT510)</f>
        <v>51755.431165879454</v>
      </c>
      <c r="GU511" s="72">
        <f t="shared" si="2413"/>
        <v>3.4930353687334446</v>
      </c>
      <c r="GV511" s="162">
        <f>SUM(GV505:GV510)</f>
        <v>53572.415581192989</v>
      </c>
      <c r="GW511" s="72">
        <f t="shared" si="2414"/>
        <v>3.5107125462639601</v>
      </c>
      <c r="GX511" s="162">
        <f>SUM(GX505:GX510)</f>
        <v>55436.829994238986</v>
      </c>
      <c r="GY511" s="72">
        <f t="shared" si="2415"/>
        <v>3.480176118286721</v>
      </c>
      <c r="GZ511" s="72">
        <f t="shared" si="2416"/>
        <v>3.1811453696700243</v>
      </c>
      <c r="HA511" s="72"/>
      <c r="HB511" s="72"/>
      <c r="HC511"/>
      <c r="HD511"/>
      <c r="HE511"/>
      <c r="HF511"/>
      <c r="HG511"/>
      <c r="HH511"/>
      <c r="HI511" s="2"/>
    </row>
    <row r="512" spans="1:217" s="3" customFormat="1" ht="12.75" customHeight="1" x14ac:dyDescent="0.2">
      <c r="B512" s="77"/>
      <c r="C512" s="145"/>
      <c r="D512" s="11"/>
      <c r="E512" s="145"/>
      <c r="F512" s="11"/>
      <c r="G512" s="145"/>
      <c r="H512" s="11"/>
      <c r="I512" s="145"/>
      <c r="J512" s="11"/>
      <c r="K512" s="145"/>
      <c r="L512" s="72"/>
      <c r="M512" s="145"/>
      <c r="N512" s="72"/>
      <c r="O512" s="145"/>
      <c r="P512" s="72"/>
      <c r="Q512" s="145"/>
      <c r="R512" s="72"/>
      <c r="S512" s="145"/>
      <c r="T512" s="72"/>
      <c r="U512" s="145"/>
      <c r="V512" s="72"/>
      <c r="W512" s="145"/>
      <c r="X512" s="72"/>
      <c r="Y512" s="145"/>
      <c r="Z512" s="72"/>
      <c r="AA512" s="145"/>
      <c r="AB512" s="72"/>
      <c r="AC512" s="145"/>
      <c r="AD512" s="72"/>
      <c r="AE512" s="145"/>
      <c r="AF512" s="72"/>
      <c r="AG512" s="145"/>
      <c r="AH512" s="72"/>
      <c r="AI512" s="145"/>
      <c r="AJ512" s="72"/>
      <c r="AK512" s="145"/>
      <c r="AL512" s="72"/>
      <c r="AM512" s="145"/>
      <c r="AN512" s="72"/>
      <c r="AO512" s="145"/>
      <c r="AP512" s="72"/>
      <c r="AQ512" s="145"/>
      <c r="AR512" s="72"/>
      <c r="AS512" s="145"/>
      <c r="AT512" s="72"/>
      <c r="AU512" s="145"/>
      <c r="AV512" s="72"/>
      <c r="AW512" s="145"/>
      <c r="AX512" s="72"/>
      <c r="AY512" s="231" t="s">
        <v>691</v>
      </c>
      <c r="AZ512" s="232"/>
      <c r="BA512" s="229"/>
      <c r="BB512" s="232"/>
      <c r="BC512" s="229"/>
      <c r="BD512" s="232"/>
      <c r="BE512" s="229"/>
      <c r="BF512" s="72"/>
      <c r="BG512" s="145"/>
      <c r="BH512" s="72"/>
      <c r="BI512" s="145"/>
      <c r="BJ512" s="72"/>
      <c r="BK512" s="145"/>
      <c r="BL512" s="72"/>
      <c r="BM512" s="145"/>
      <c r="BN512" s="72"/>
      <c r="BO512" s="145"/>
      <c r="BP512" s="72"/>
      <c r="BQ512" s="145"/>
      <c r="BR512" s="72"/>
      <c r="BS512" s="145"/>
      <c r="BT512" s="72"/>
      <c r="BU512" s="145"/>
      <c r="BV512" s="72"/>
      <c r="BW512" s="145"/>
      <c r="BX512" s="72"/>
      <c r="BY512" s="145"/>
      <c r="BZ512" s="72"/>
      <c r="CA512" s="145"/>
      <c r="CB512" s="72"/>
      <c r="CC512" s="145"/>
      <c r="CD512" s="72"/>
      <c r="CE512" s="145"/>
      <c r="CF512" s="72"/>
      <c r="CG512" s="145"/>
      <c r="CH512" s="72"/>
      <c r="CI512" s="145"/>
      <c r="CJ512" s="72"/>
      <c r="CK512" s="145"/>
      <c r="CL512" s="72"/>
      <c r="CM512" s="145"/>
      <c r="CN512" s="72"/>
      <c r="CO512" s="145"/>
      <c r="CP512" s="72"/>
      <c r="CQ512" s="145"/>
      <c r="CR512" s="72"/>
      <c r="CS512" s="145"/>
      <c r="CT512" s="72"/>
      <c r="CU512" s="145"/>
      <c r="CV512" s="72"/>
      <c r="CW512" s="145"/>
      <c r="CX512" s="72"/>
      <c r="CY512" s="145"/>
      <c r="CZ512" s="72"/>
      <c r="DA512" s="145"/>
      <c r="DB512" s="72"/>
      <c r="DC512" s="145"/>
      <c r="DD512" s="72"/>
      <c r="DE512" s="145"/>
      <c r="DF512" s="72"/>
      <c r="DG512" s="145"/>
      <c r="DH512" s="72"/>
      <c r="DI512" s="145"/>
      <c r="DJ512" s="72"/>
      <c r="DK512" s="145"/>
      <c r="DL512" s="72"/>
      <c r="DM512" s="145"/>
      <c r="DN512" s="72"/>
      <c r="DO512" s="145"/>
      <c r="DP512" s="72"/>
      <c r="DQ512" s="145"/>
      <c r="DR512" s="72"/>
      <c r="DS512" s="145"/>
      <c r="DT512" s="72"/>
      <c r="DU512" s="145"/>
      <c r="DV512" s="72"/>
      <c r="DW512" s="145"/>
      <c r="DX512" s="72"/>
      <c r="DY512" s="145"/>
      <c r="DZ512" s="72"/>
      <c r="EA512" s="145"/>
      <c r="EB512" s="72"/>
      <c r="EC512" s="145"/>
      <c r="ED512" s="72"/>
      <c r="EE512" s="145"/>
      <c r="EF512" s="72"/>
      <c r="EG512" s="145"/>
      <c r="EH512" s="72"/>
      <c r="EI512" s="145"/>
      <c r="EJ512" s="72"/>
      <c r="EK512" s="145"/>
      <c r="EL512" s="72"/>
      <c r="EM512" s="145"/>
      <c r="EN512" s="72"/>
      <c r="EO512" s="145"/>
      <c r="EP512" s="72"/>
      <c r="EQ512" s="144"/>
      <c r="ER512" s="72"/>
      <c r="ES512" s="144"/>
      <c r="ET512" s="72"/>
      <c r="EU512" s="144"/>
      <c r="EV512" s="72"/>
      <c r="EW512" s="144"/>
      <c r="EX512" s="72"/>
      <c r="EY512" s="72"/>
      <c r="EZ512" s="296"/>
      <c r="FA512" s="72"/>
      <c r="FB512" s="145"/>
      <c r="FC512" s="11"/>
      <c r="FD512" s="145"/>
      <c r="FE512" s="72"/>
      <c r="FF512" s="145"/>
      <c r="FG512" s="72"/>
      <c r="FH512" s="145"/>
      <c r="FI512" s="72"/>
      <c r="FJ512" s="144"/>
      <c r="FK512" s="72"/>
      <c r="FL512" s="144"/>
      <c r="FM512" s="72"/>
      <c r="FN512" s="144"/>
      <c r="FO512" s="72"/>
      <c r="FP512" s="144"/>
      <c r="FQ512" s="72"/>
      <c r="FR512" s="144"/>
      <c r="FS512" s="72"/>
      <c r="FT512" s="144"/>
      <c r="FU512" s="72"/>
      <c r="FV512" s="144"/>
      <c r="FW512" s="72"/>
      <c r="FX512" s="144"/>
      <c r="FY512" s="72"/>
      <c r="FZ512" s="144"/>
      <c r="GA512" s="72"/>
      <c r="GB512" s="144"/>
      <c r="GC512" s="72"/>
      <c r="GD512" s="144"/>
      <c r="GE512" s="72"/>
      <c r="GF512" s="144"/>
      <c r="GG512" s="72"/>
      <c r="GH512" s="144"/>
      <c r="GI512" s="72"/>
      <c r="GJ512" s="144"/>
      <c r="GK512" s="72"/>
      <c r="GL512" s="144"/>
      <c r="GM512" s="72"/>
      <c r="GN512" s="144"/>
      <c r="GO512" s="72"/>
      <c r="GP512" s="144"/>
      <c r="GQ512" s="72"/>
      <c r="GR512" s="144"/>
      <c r="GS512" s="72"/>
      <c r="GT512" s="144"/>
      <c r="GU512" s="72"/>
      <c r="GV512" s="144"/>
      <c r="GW512" s="72"/>
      <c r="GX512" s="144"/>
      <c r="GY512" s="72"/>
      <c r="GZ512" s="72"/>
      <c r="HA512" s="72"/>
      <c r="HB512" s="72"/>
      <c r="HC512"/>
      <c r="HD512"/>
      <c r="HE512"/>
      <c r="HF512"/>
      <c r="HG512"/>
      <c r="HH512"/>
      <c r="HI512" s="2"/>
    </row>
    <row r="513" spans="1:217" s="78" customFormat="1" ht="12.75" customHeight="1" x14ac:dyDescent="0.2">
      <c r="B513" s="70" t="s">
        <v>398</v>
      </c>
      <c r="C513" s="162"/>
      <c r="D513" s="161"/>
      <c r="E513" s="162"/>
      <c r="F513" s="161"/>
      <c r="G513" s="162"/>
      <c r="H513" s="161"/>
      <c r="I513" s="162"/>
      <c r="J513" s="161"/>
      <c r="K513" s="162"/>
      <c r="L513" s="72"/>
      <c r="M513" s="162"/>
      <c r="N513" s="72"/>
      <c r="O513" s="162"/>
      <c r="P513" s="72"/>
      <c r="Q513" s="162"/>
      <c r="R513" s="72"/>
      <c r="S513" s="162">
        <f>S536</f>
        <v>494</v>
      </c>
      <c r="T513" s="72" t="str">
        <f>IF(ISERROR(S513/K513),"NA",IF(OR(S513/K513&gt;2,S513/K513&lt;0.5),"NM",S513/K513*100-100))</f>
        <v>NA</v>
      </c>
      <c r="U513" s="162">
        <f>U536</f>
        <v>469</v>
      </c>
      <c r="V513" s="72" t="str">
        <f>IF(ISERROR(U513/M513),"NA",IF(OR(U513/M513&gt;2,U513/M513&lt;0.5),"NM",U513/M513*100-100))</f>
        <v>NA</v>
      </c>
      <c r="W513" s="162">
        <f>W536</f>
        <v>442</v>
      </c>
      <c r="X513" s="72" t="str">
        <f>IF(ISERROR(W513/O513),"NA",IF(OR(W513/O513&gt;2,W513/O513&lt;0.5),"NM",W513/O513*100-100))</f>
        <v>NA</v>
      </c>
      <c r="Y513" s="162">
        <f>Y536</f>
        <v>376</v>
      </c>
      <c r="Z513" s="72" t="str">
        <f>IF(ISERROR(Y513/Q513),"NA",IF(OR(Y513/Q513&gt;2,Y513/Q513&lt;0.5),"NM",Y513/Q513*100-100))</f>
        <v>NA</v>
      </c>
      <c r="AA513" s="162">
        <f>AA536</f>
        <v>456</v>
      </c>
      <c r="AB513" s="72">
        <f>IF(ISERROR(AA513/S513),"NA",IF(OR(AA513/S513&gt;2,AA513/S513&lt;0.5),"NM",AA513/S513*100-100))</f>
        <v>-7.6923076923076934</v>
      </c>
      <c r="AC513" s="162">
        <f>AC536</f>
        <v>550</v>
      </c>
      <c r="AD513" s="72">
        <f>IF(ISERROR(AC513/U513),"NA",IF(OR(AC513/U513&gt;2,AC513/U513&lt;0.5),"NM",AC513/U513*100-100))</f>
        <v>17.27078891257996</v>
      </c>
      <c r="AE513" s="162">
        <f>AE536</f>
        <v>519</v>
      </c>
      <c r="AF513" s="72">
        <f>IF(ISERROR(AE513/W513),"NA",IF(OR(AE513/W513&gt;2,AE513/W513&lt;0.5),"NM",AE513/W513*100-100))</f>
        <v>17.420814479638011</v>
      </c>
      <c r="AG513" s="162">
        <f>AG536</f>
        <v>562</v>
      </c>
      <c r="AH513" s="72">
        <f>IF(ISERROR(AG513/Y513),"NA",IF(OR(AG513/Y513&gt;2,AG513/Y513&lt;0.5),"NM",AG513/Y513*100-100))</f>
        <v>49.468085106383</v>
      </c>
      <c r="AI513" s="162">
        <f>AI536</f>
        <v>564</v>
      </c>
      <c r="AJ513" s="72">
        <f>IF(ISERROR(AI513/AA513),"NA",IF(OR(AI513/AA513&gt;2,AI513/AA513&lt;0.5),"NM",AI513/AA513*100-100))</f>
        <v>23.684210526315795</v>
      </c>
      <c r="AK513" s="162">
        <f>AK536</f>
        <v>723</v>
      </c>
      <c r="AL513" s="72">
        <f>IF(ISERROR(AK513/AC513),"NA",IF(OR(AK513/AC513&gt;2,AK513/AC513&lt;0.5),"NM",AK513/AC513*100-100))</f>
        <v>31.454545454545439</v>
      </c>
      <c r="AM513" s="162">
        <f>AM536</f>
        <v>712</v>
      </c>
      <c r="AN513" s="72">
        <f>IF(ISERROR(AM513/AE513),"NA",IF(OR(AM513/AE513&gt;2,AM513/AE513&lt;0.5),"NM",AM513/AE513*100-100))</f>
        <v>37.186897880539505</v>
      </c>
      <c r="AO513" s="162">
        <f>AO536</f>
        <v>762</v>
      </c>
      <c r="AP513" s="72">
        <f>IF(ISERROR(AO513/AG513),"NA",IF(OR(AO513/AG513&gt;2,AO513/AG513&lt;0.5),"NM",AO513/AG513*100-100))</f>
        <v>35.587188612099652</v>
      </c>
      <c r="AQ513" s="162">
        <f>AQ536</f>
        <v>871</v>
      </c>
      <c r="AR513" s="72">
        <f>IF(ISERROR(AQ513/AI513),"NA",IF(OR(AQ513/AI513&gt;2,AQ513/AI513&lt;0.5),"NM",AQ513/AI513*100-100))</f>
        <v>54.432624113475185</v>
      </c>
      <c r="AS513" s="162">
        <f>AS536</f>
        <v>809</v>
      </c>
      <c r="AT513" s="72">
        <f>IF(ISERROR(AS513/AK513),"NA",IF(OR(AS513/AK513&gt;2,AS513/AK513&lt;0.5),"NM",AS513/AK513*100-100))</f>
        <v>11.894882434301522</v>
      </c>
      <c r="AU513" s="162">
        <f>AU536</f>
        <v>1000</v>
      </c>
      <c r="AV513" s="72">
        <f>IF(ISERROR(AU513/AM513),"NA",IF(OR(AU513/AM513&gt;2,AU513/AM513&lt;0.5),"NM",AU513/AM513*100-100))</f>
        <v>40.449438202247194</v>
      </c>
      <c r="AW513" s="162">
        <f>AW536</f>
        <v>751</v>
      </c>
      <c r="AX513" s="72">
        <f>IF(ISERROR(AW513/AO513),"NA",IF(OR(AW513/AO513&gt;2,AW513/AO513&lt;0.5),"NM",AW513/AO513*100-100))</f>
        <v>-1.4435695538057729</v>
      </c>
      <c r="AY513" s="162">
        <f>AY549</f>
        <v>854</v>
      </c>
      <c r="AZ513" s="72">
        <f>IF(ISERROR(AY513/AQ513),"NA",IF(OR(AY513/AQ513&gt;2,AY513/AQ513&lt;0.5),"NM",AY513/AQ513*100-100))</f>
        <v>-1.9517795637198532</v>
      </c>
      <c r="BA513" s="162">
        <f>BA549</f>
        <v>922</v>
      </c>
      <c r="BB513" s="72">
        <f>IF(ISERROR(BA513/AS513),"NA",IF(OR(BA513/AS513&gt;2,BA513/AS513&lt;0.5),"NM",BA513/AS513*100-100))</f>
        <v>13.967861557478372</v>
      </c>
      <c r="BC513" s="162">
        <f>BC549</f>
        <v>1106</v>
      </c>
      <c r="BD513" s="72">
        <f>IF(ISERROR(BC513/AU513),"NA",IF(OR(BC513/AU513&gt;2,BC513/AU513&lt;0.5),"NM",BC513/AU513*100-100))</f>
        <v>10.600000000000009</v>
      </c>
      <c r="BE513" s="162">
        <f>BE549</f>
        <v>1021</v>
      </c>
      <c r="BF513" s="72">
        <f>IF(ISERROR(BE513/AW513),"NA",IF(OR(BE513/AW513&gt;2,BE513/AW513&lt;0.5),"NM",BE513/AW513*100-100))</f>
        <v>35.952063914780297</v>
      </c>
      <c r="BG513" s="162">
        <f>BG549</f>
        <v>1097.5999999999999</v>
      </c>
      <c r="BH513" s="72">
        <f>IF(ISERROR(BG513/AY513),"NA",IF(OR(BG513/AY513&gt;2,BG513/AY513&lt;0.5),"NM",BG513/AY513*100-100))</f>
        <v>28.524590163934391</v>
      </c>
      <c r="BI513" s="162">
        <f>BI549</f>
        <v>1121</v>
      </c>
      <c r="BJ513" s="72">
        <f>IF(ISERROR(BI513/BA513),"NA",IF(OR(BI513/BA513&gt;2,BI513/BA513&lt;0.5),"NM",BI513/BA513*100-100))</f>
        <v>21.583514099783073</v>
      </c>
      <c r="BK513" s="162">
        <f>BK549</f>
        <v>1295</v>
      </c>
      <c r="BL513" s="72">
        <f>IF(ISERROR(BK513/BC513),"NA",IF(OR(BK513/BC513&gt;2,BK513/BC513&lt;0.5),"NM",BK513/BC513*100-100))</f>
        <v>17.088607594936718</v>
      </c>
      <c r="BM513" s="162">
        <f>BM549</f>
        <v>1024</v>
      </c>
      <c r="BN513" s="72">
        <f>IF(ISERROR(BM513/BE513),"NA",IF(OR(BM513/BE513&gt;2,BM513/BE513&lt;0.5),"NM",BM513/BE513*100-100))</f>
        <v>0.2938295788442673</v>
      </c>
      <c r="BO513" s="162">
        <f>BO549</f>
        <v>913</v>
      </c>
      <c r="BP513" s="72">
        <f>IF(ISERROR(BO513/BG513),"NA",IF(OR(BO513/BG513&gt;2,BO513/BG513&lt;0.5),"NM",BO513/BG513*100-100))</f>
        <v>-16.81851311953352</v>
      </c>
      <c r="BQ513" s="162">
        <f>BQ549</f>
        <v>1114</v>
      </c>
      <c r="BR513" s="72">
        <f>IF(ISERROR(BQ513/BI513),"NA",IF(OR(BQ513/BI513&gt;2,BQ513/BI513&lt;0.5),"NM",BQ513/BI513*100-100))</f>
        <v>-0.62444246208742982</v>
      </c>
      <c r="BS513" s="162">
        <f>BS549</f>
        <v>604</v>
      </c>
      <c r="BT513" s="72" t="str">
        <f>IF(ISERROR(BS513/BK513),"NA",IF(OR(BS513/BK513&gt;2,BS513/BK513&lt;0.5),"NM",BS513/BK513*100-100))</f>
        <v>NM</v>
      </c>
      <c r="BU513" s="162">
        <f>BU549</f>
        <v>-1182</v>
      </c>
      <c r="BV513" s="72" t="str">
        <f>IF(ISERROR(BU513/BM513),"NA",IF(OR(BU513/BM513&gt;2,BU513/BM513&lt;0.5),"NM",BU513/BM513*100-100))</f>
        <v>NM</v>
      </c>
      <c r="BW513" s="162">
        <f>BW549</f>
        <v>245</v>
      </c>
      <c r="BX513" s="72" t="str">
        <f>IF(ISERROR(BW513/BO513),"NA",IF(OR(BW513/BO513&gt;2,BW513/BO513&lt;0.5),"NM",BW513/BO513*100-100))</f>
        <v>NM</v>
      </c>
      <c r="BY513" s="162">
        <f>BY549</f>
        <v>1167</v>
      </c>
      <c r="BZ513" s="72">
        <f>IF(ISERROR(BY513/BQ513),"NA",IF(OR(BY513/BQ513&gt;2,BY513/BQ513&lt;0.5),"NM",BY513/BQ513*100-100))</f>
        <v>4.7576301615798826</v>
      </c>
      <c r="CA513" s="162">
        <f>CA549</f>
        <v>1066</v>
      </c>
      <c r="CB513" s="72">
        <f>IF(ISERROR(CA513/BS513),"NA",IF(OR(CA513/BS513&gt;2,CA513/BS513&lt;0.5),"NM",CA513/BS513*100-100))</f>
        <v>76.490066225165577</v>
      </c>
      <c r="CC513" s="162">
        <f>CC549</f>
        <v>765</v>
      </c>
      <c r="CD513" s="72" t="str">
        <f>IF(ISERROR(CC513/BU513),"NA",IF(OR(CC513/BU513&gt;2,CC513/BU513&lt;0.5),"NM",CC513/BU513*100-100))</f>
        <v>NM</v>
      </c>
      <c r="CE513" s="162">
        <f>CE549</f>
        <v>856</v>
      </c>
      <c r="CF513" s="72" t="str">
        <f>IF(ISERROR(CE513/BW513),"NA",IF(OR(CE513/BW513&gt;2,CE513/BW513&lt;0.5),"NM",CE513/BW513*100-100))</f>
        <v>NM</v>
      </c>
      <c r="CG513" s="162">
        <f>CG549</f>
        <v>490</v>
      </c>
      <c r="CH513" s="72" t="str">
        <f>IF(ISERROR(CG513/BY513),"NA",IF(OR(CG513/BY513&gt;2,CG513/BY513&lt;0.5),"NM",CG513/BY513*100-100))</f>
        <v>NM</v>
      </c>
      <c r="CI513" s="162">
        <f>CI549</f>
        <v>1232</v>
      </c>
      <c r="CJ513" s="72">
        <f>IF(ISERROR(CI513/CA513),"NA",IF(OR(CI513/CA513&gt;2,CI513/CA513&lt;0.5),"NM",CI513/CA513*100-100))</f>
        <v>15.572232645403375</v>
      </c>
      <c r="CK513" s="162">
        <f>CK549</f>
        <v>1084</v>
      </c>
      <c r="CL513" s="72">
        <f>IF(ISERROR(CK513/CC513),"NA",IF(OR(CK513/CC513&gt;2,CK513/CC513&lt;0.5),"NM",CK513/CC513*100-100))</f>
        <v>41.699346405228766</v>
      </c>
      <c r="CM513" s="162">
        <f>CM549</f>
        <v>1096</v>
      </c>
      <c r="CN513" s="72">
        <f>IF(ISERROR(CM513/CE513),"NA",IF(OR(CM513/CE513&gt;2,CM513/CE513&lt;0.5),"NM",CM513/CE513*100-100))</f>
        <v>28.037383177570092</v>
      </c>
      <c r="CO513" s="162">
        <f>CO549</f>
        <v>1052</v>
      </c>
      <c r="CP513" s="72" t="str">
        <f>IF(ISERROR(CO513/CG513),"NA",IF(OR(CO513/CG513&gt;2,CO513/CG513&lt;0.5),"NM",CO513/CG513*100-100))</f>
        <v>NM</v>
      </c>
      <c r="CQ513" s="162">
        <f>CQ549</f>
        <v>509</v>
      </c>
      <c r="CR513" s="72" t="str">
        <f>IF(ISERROR(CQ513/CI513),"NA",IF(OR(CQ513/CI513&gt;2,CQ513/CI513&lt;0.5),"NM",CQ513/CI513*100-100))</f>
        <v>NM</v>
      </c>
      <c r="CS513" s="162">
        <f>CS549</f>
        <v>1166</v>
      </c>
      <c r="CT513" s="72">
        <f>IF(ISERROR(CS513/CK513),"NA",IF(OR(CS513/CK513&gt;2,CS513/CK513&lt;0.5),"NM",CS513/CK513*100-100))</f>
        <v>7.5645756457564488</v>
      </c>
      <c r="CU513" s="162">
        <f>CU549</f>
        <v>1067</v>
      </c>
      <c r="CV513" s="72">
        <f>IF(ISERROR(CU513/CM513),"NA",IF(OR(CU513/CM513&gt;2,CU513/CM513&lt;0.5),"NM",CU513/CM513*100-100))</f>
        <v>-2.6459854014598534</v>
      </c>
      <c r="CW513" s="162">
        <f>CW549</f>
        <v>856</v>
      </c>
      <c r="CX513" s="72">
        <f>IF(ISERROR(CW513/CO513),"NA",IF(OR(CW513/CO513&gt;2,CW513/CO513&lt;0.5),"NM",CW513/CO513*100-100))</f>
        <v>-18.631178707224336</v>
      </c>
      <c r="CY513" s="162">
        <f>CY549</f>
        <v>1029</v>
      </c>
      <c r="CZ513" s="72" t="str">
        <f>IF(ISERROR(CY513/CQ513),"NA",IF(OR(CY513/CQ513&gt;2,CY513/CQ513&lt;0.5),"NM",CY513/CQ513*100-100))</f>
        <v>NM</v>
      </c>
      <c r="DA513" s="162">
        <f>DA549</f>
        <v>1076</v>
      </c>
      <c r="DB513" s="72">
        <f>IF(ISERROR(DA513/CS513),"NA",IF(OR(DA513/CS513&gt;2,DA513/CS513&lt;0.5),"NM",DA513/CS513*100-100))</f>
        <v>-7.7186963979416845</v>
      </c>
      <c r="DC513" s="162">
        <f>DC549</f>
        <v>1478</v>
      </c>
      <c r="DD513" s="72">
        <f>IF(ISERROR(DC513/CU513),"NA",IF(OR(DC513/CU513&gt;2,DC513/CU513&lt;0.5),"NM",DC513/CU513*100-100))</f>
        <v>38.519212746016876</v>
      </c>
      <c r="DE513" s="162">
        <f>DE549</f>
        <v>1517</v>
      </c>
      <c r="DF513" s="72">
        <f>IF(ISERROR(DE513/CW513),"NA",IF(OR(DE513/CW513&gt;2,DE513/CW513&lt;0.5),"NM",DE513/CW513*100-100))</f>
        <v>77.219626168224295</v>
      </c>
      <c r="DG513" s="162">
        <f>DG549</f>
        <v>1913</v>
      </c>
      <c r="DH513" s="72">
        <f>IF(ISERROR(DG513/CY513),"NA",IF(OR(DG513/CY513&gt;2,DG513/CY513&lt;0.5),"NM",DG513/CY513*100-100))</f>
        <v>85.908649173955297</v>
      </c>
      <c r="DI513" s="162">
        <f>DI549</f>
        <v>1461</v>
      </c>
      <c r="DJ513" s="72">
        <f>IF(ISERROR(DI513/DA513),"NA",IF(OR(DI513/DA513&gt;2,DI513/DA513&lt;0.5),"NM",DI513/DA513*100-100))</f>
        <v>35.780669144981402</v>
      </c>
      <c r="DK513" s="162">
        <f>DK549</f>
        <v>1571</v>
      </c>
      <c r="DL513" s="72">
        <f>IF(ISERROR(DK513/DC513),"NA",IF(OR(DK513/DC513&gt;2,DK513/DC513&lt;0.5),"NM",DK513/DC513*100-100))</f>
        <v>6.2922868741542572</v>
      </c>
      <c r="DM513" s="162">
        <f>DM549</f>
        <v>1623</v>
      </c>
      <c r="DN513" s="72">
        <f>IF(ISERROR(DM513/DE513),"NA",IF(OR(DM513/DE513&gt;2,DM513/DE513&lt;0.5),"NM",DM513/DE513*100-100))</f>
        <v>6.9874752801582218</v>
      </c>
      <c r="DO513" s="162">
        <f>DO549</f>
        <v>1353</v>
      </c>
      <c r="DP513" s="72">
        <f>IF(ISERROR(DO513/DG513),"NA",IF(OR(DO513/DG513&gt;2,DO513/DG513&lt;0.5),"NM",DO513/DG513*100-100))</f>
        <v>-29.273392577104033</v>
      </c>
      <c r="DQ513" s="162">
        <f>DQ549</f>
        <v>1345</v>
      </c>
      <c r="DR513" s="72">
        <f>IF(ISERROR(DQ513/DI513),"NA",IF(OR(DQ513/DI513&gt;2,DQ513/DI513&lt;0.5),"NM",DQ513/DI513*100-100))</f>
        <v>-7.9397672826830927</v>
      </c>
      <c r="DS513" s="162">
        <f>DS549</f>
        <v>1745</v>
      </c>
      <c r="DT513" s="72">
        <f>IF(ISERROR(DS513/DK513),"NA",IF(OR(DS513/DK513&gt;2,DS513/DK513&lt;0.5),"NM",DS513/DK513*100-100))</f>
        <v>11.075747931253986</v>
      </c>
      <c r="DU513" s="162">
        <f>DU549</f>
        <v>1841</v>
      </c>
      <c r="DV513" s="72">
        <f>IF(ISERROR(DU513/DM513),"NA",IF(OR(DU513/DM513&gt;2,DU513/DM513&lt;0.5),"NM",DU513/DM513*100-100))</f>
        <v>13.431916204559457</v>
      </c>
      <c r="DW513" s="162">
        <f>DW549</f>
        <v>1463</v>
      </c>
      <c r="DX513" s="72">
        <f>IF(ISERROR(DW513/DO513),"NA",IF(OR(DW513/DO513&gt;2,DW513/DO513&lt;0.5),"NM",DW513/DO513*100-100))</f>
        <v>8.1300813008130035</v>
      </c>
      <c r="DY513" s="162">
        <f>DY549</f>
        <v>1182</v>
      </c>
      <c r="DZ513" s="72">
        <f>IF(ISERROR(DY513/DQ513),"NA",IF(OR(DY513/DQ513&gt;2,DY513/DQ513&lt;0.5),"NM",DY513/DQ513*100-100))</f>
        <v>-12.118959107806688</v>
      </c>
      <c r="EA513" s="162">
        <f>EA549</f>
        <v>1325</v>
      </c>
      <c r="EB513" s="72">
        <f>IF(ISERROR(EA513/DS513),"NA",IF(OR(EA513/DS513&gt;2,EA513/DS513&lt;0.5),"NM",EA513/DS513*100-100))</f>
        <v>-24.068767908309454</v>
      </c>
      <c r="EC513" s="162">
        <f>EC549</f>
        <v>1057</v>
      </c>
      <c r="ED513" s="72">
        <f>IF(ISERROR(EC513/DU513),"NA",IF(OR(EC513/DU513&gt;2,EC513/DU513&lt;0.5),"NM",EC513/DU513*100-100))</f>
        <v>-42.585551330798474</v>
      </c>
      <c r="EE513" s="162">
        <f>EE549</f>
        <v>1558</v>
      </c>
      <c r="EF513" s="72">
        <f>IF(ISERROR(EE513/DW513),"NA",IF(OR(EE513/DW513&gt;2,EE513/DW513&lt;0.5),"NM",EE513/DW513*100-100))</f>
        <v>6.4935064935064872</v>
      </c>
      <c r="EG513" s="162">
        <f>EG549</f>
        <v>1459</v>
      </c>
      <c r="EH513" s="72">
        <f>IF(ISERROR(EG513/DY513),"NA",IF(OR(EG513/DY513&gt;2,EG513/DY513&lt;0.5),"NM",EG513/DY513*100-100))</f>
        <v>23.434856175972925</v>
      </c>
      <c r="EI513" s="162">
        <f>EI549</f>
        <v>1660</v>
      </c>
      <c r="EJ513" s="72">
        <f>IF(ISERROR(EI513/EA513),"NA",IF(OR(EI513/EA513&gt;2,EI513/EA513&lt;0.5),"NM",EI513/EA513*100-100))</f>
        <v>25.283018867924525</v>
      </c>
      <c r="EK513" s="162">
        <f>EK549</f>
        <v>1228</v>
      </c>
      <c r="EL513" s="72">
        <f>IF(ISERROR(EK513/EC513),"NA",IF(OR(EK513/EC513&gt;2,EK513/EC513&lt;0.5),"NM",EK513/EC513*100-100))</f>
        <v>16.177861873226121</v>
      </c>
      <c r="EM513" s="162">
        <f>EM549</f>
        <v>1784</v>
      </c>
      <c r="EN513" s="72">
        <f>IF(ISERROR(EM513/EE513),"NA",IF(OR(EM513/EE513&gt;2,EM513/EE513&lt;0.5),"NM",EM513/EE513*100-100))</f>
        <v>14.505776636713733</v>
      </c>
      <c r="EO513" s="162">
        <f>EO549</f>
        <v>1572</v>
      </c>
      <c r="EP513" s="72">
        <f>IF(ISERROR(EO513/EG513),"NA",IF(OR(EO513/EG513&gt;2,EO513/EG513&lt;0.5),"NM",EO513/EG513*100-100))</f>
        <v>7.7450308430431818</v>
      </c>
      <c r="EQ513" s="162">
        <f t="shared" ref="EQ513" si="2425">EQ549</f>
        <v>1714.94101971797</v>
      </c>
      <c r="ER513" s="72">
        <f t="shared" ref="ER513" si="2426">IF(ISERROR(EQ513/EI513),"NA",IF(OR(EQ513/EI513&gt;2,EQ513/EI513&lt;0.5),"NM",EQ513/EI513*100-100))</f>
        <v>3.3096999830102476</v>
      </c>
      <c r="ES513" s="162">
        <f t="shared" ref="ES513" si="2427">ES549</f>
        <v>1724.30578930712</v>
      </c>
      <c r="ET513" s="72">
        <f t="shared" ref="ET513" si="2428">IF(ISERROR(ES513/EK513),"NA",IF(OR(ES513/EK513&gt;2,ES513/EK513&lt;0.5),"NM",ES513/EK513*100-100))</f>
        <v>40.415780888201937</v>
      </c>
      <c r="EU513" s="162">
        <f t="shared" ref="EU513" si="2429">EU549</f>
        <v>1704.9226454723339</v>
      </c>
      <c r="EV513" s="72">
        <f t="shared" ref="EV513" si="2430">IF(ISERROR(EU513/EM513),"NA",IF(OR(EU513/EM513&gt;2,EU513/EM513&lt;0.5),"NM",EU513/EM513*100-100))</f>
        <v>-4.4325871372010113</v>
      </c>
      <c r="EW513" s="162">
        <f t="shared" ref="EW513" si="2431">EW549</f>
        <v>1537.9404567817808</v>
      </c>
      <c r="EX513" s="72">
        <f t="shared" ref="EX513" si="2432">IF(ISERROR(EW513/EO513),"NA",IF(OR(EW513/EO513&gt;2,EW513/EO513&lt;0.5),"NM",EW513/EO513*100-100))</f>
        <v>-2.1666376093014748</v>
      </c>
      <c r="EY513" s="72"/>
      <c r="EZ513" s="332"/>
      <c r="FA513" s="72"/>
      <c r="FB513" s="160"/>
      <c r="FC513" s="161"/>
      <c r="FD513" s="162"/>
      <c r="FE513" s="72"/>
      <c r="FF513" s="162"/>
      <c r="FG513" s="72"/>
      <c r="FH513" s="162"/>
      <c r="FI513" s="72"/>
      <c r="FJ513" s="162">
        <f>FJ549</f>
        <v>1789</v>
      </c>
      <c r="FK513" s="72" t="str">
        <f>IF(ISERROR(FJ513/FH513),"NA",IF(OR(FJ513/FH513&gt;2,FJ513/FH513&lt;0.5),"NM",FJ513/FH513*100-100))</f>
        <v>NA</v>
      </c>
      <c r="FL513" s="162">
        <f>FL549</f>
        <v>2087</v>
      </c>
      <c r="FM513" s="72">
        <f t="shared" si="2408"/>
        <v>16.657350475125781</v>
      </c>
      <c r="FN513" s="162">
        <f>FN549</f>
        <v>2761</v>
      </c>
      <c r="FO513" s="72">
        <f t="shared" si="2409"/>
        <v>32.295160517489222</v>
      </c>
      <c r="FP513" s="162">
        <f>FP549</f>
        <v>3431</v>
      </c>
      <c r="FQ513" s="72">
        <f t="shared" si="2410"/>
        <v>24.266570083303151</v>
      </c>
      <c r="FR513" s="162">
        <f>FR549</f>
        <v>3903</v>
      </c>
      <c r="FS513" s="72" t="str">
        <f>IF(ISERROR(FR513/FJ513),"NA",IF(OR(FR513/FJ513&gt;2,FR513/FJ513&lt;0.5),"NM",FR513/FJ513*100-100))</f>
        <v>NM</v>
      </c>
      <c r="FT513" s="162">
        <f>FT549</f>
        <v>4537.6000000000004</v>
      </c>
      <c r="FU513" s="72" t="str">
        <f>IF(ISERROR(FT513/FL513),"NA",IF(OR(FT513/FL513&gt;2,FT513/FL513&lt;0.5),"NM",FT513/FL513*100-100))</f>
        <v>NM</v>
      </c>
      <c r="FV513" s="162">
        <f>FV549</f>
        <v>1162</v>
      </c>
      <c r="FW513" s="72" t="str">
        <f>IF(ISERROR(FV513/FN513),"NA",IF(OR(FV513/FN513&gt;2,FV513/FN513&lt;0.5),"NM",FV513/FN513*100-100))</f>
        <v>NM</v>
      </c>
      <c r="FX513" s="162">
        <f>FX549</f>
        <v>2950</v>
      </c>
      <c r="FY513" s="72">
        <f>IF(ISERROR(FX513/FP513),"NA",IF(OR(FX513/FP513&gt;2,FX513/FP513&lt;0.5),"NM",FX513/FP513*100-100))</f>
        <v>-14.019236374234922</v>
      </c>
      <c r="FZ513" s="162">
        <f>FZ549</f>
        <v>3662</v>
      </c>
      <c r="GA513" s="72">
        <f>IF(ISERROR(FZ513/FR513),"NA",IF(OR(FZ513/FR513&gt;2,FZ513/FR513&lt;0.5),"NM",FZ513/FR513*100-100))</f>
        <v>-6.1747373815014015</v>
      </c>
      <c r="GB513" s="162">
        <f>GB549</f>
        <v>3823</v>
      </c>
      <c r="GC513" s="72">
        <f>IF(ISERROR(GB513/FT513),"NA",IF(OR(GB513/FT513&gt;2,GB513/FT513&lt;0.5),"NM",GB513/FT513*100-100))</f>
        <v>-15.74841325811002</v>
      </c>
      <c r="GD513" s="162">
        <f>GD549</f>
        <v>4028</v>
      </c>
      <c r="GE513" s="72" t="str">
        <f>IF(ISERROR(GD513/FV513),"NA",IF(OR(GD513/FV513&gt;2,GD513/FV513&lt;0.5),"NM",GD513/FV513*100-100))</f>
        <v>NM</v>
      </c>
      <c r="GF513" s="162">
        <f>GF549</f>
        <v>6369</v>
      </c>
      <c r="GG513" s="72" t="str">
        <f>IF(ISERROR(GF513/FX513),"NA",IF(OR(GF513/FX513&gt;2,GF513/FX513&lt;0.5),"NM",GF513/FX513*100-100))</f>
        <v>NM</v>
      </c>
      <c r="GH513" s="162">
        <f>GH549</f>
        <v>5892</v>
      </c>
      <c r="GI513" s="72">
        <f t="shared" ref="GI513:GU513" si="2433">IF(ISERROR(GH513/GF513),"NA",IF(OR(GH513/GF513&gt;2,GH513/GF513&lt;0.5),"NM",GH513/GF513*100-100))</f>
        <v>-7.4894017899199241</v>
      </c>
      <c r="GJ513" s="162">
        <f>GJ549</f>
        <v>6231</v>
      </c>
      <c r="GK513" s="72">
        <f t="shared" si="2433"/>
        <v>5.7535641547861616</v>
      </c>
      <c r="GL513" s="162">
        <f>GL549</f>
        <v>5399</v>
      </c>
      <c r="GM513" s="72">
        <f t="shared" si="2433"/>
        <v>-13.35259187931311</v>
      </c>
      <c r="GN513" s="162">
        <f>GN549</f>
        <v>6244</v>
      </c>
      <c r="GO513" s="72">
        <f t="shared" si="2433"/>
        <v>15.651046490090749</v>
      </c>
      <c r="GP513" s="162">
        <f>GP549</f>
        <v>6682.1099112792044</v>
      </c>
      <c r="GQ513" s="72">
        <f t="shared" si="2433"/>
        <v>7.0164944151057682</v>
      </c>
      <c r="GR513" s="162">
        <f>GR549</f>
        <v>6763.3154899509773</v>
      </c>
      <c r="GS513" s="72">
        <f t="shared" si="2433"/>
        <v>1.215268526707419</v>
      </c>
      <c r="GT513" s="162">
        <f>GT549</f>
        <v>6833.5605709238998</v>
      </c>
      <c r="GU513" s="72">
        <f t="shared" si="2433"/>
        <v>1.0386190186942201</v>
      </c>
      <c r="GV513" s="162">
        <f>GV549</f>
        <v>6911.8040872976526</v>
      </c>
      <c r="GW513" s="72">
        <f>IF(ISERROR(GV513/GT513),"NA",IF(OR(GV513/GT513&gt;2,GV513/GT513&lt;0.5),"NM",GV513/GT513*100-100))</f>
        <v>1.1449889930978543</v>
      </c>
      <c r="GX513" s="162">
        <f>GX549</f>
        <v>6979.8482302145721</v>
      </c>
      <c r="GY513" s="72">
        <f>IF(ISERROR(GX513/GV513),"NA",IF(OR(GX513/GV513&gt;2,GX513/GV513&lt;0.5),"NM",GX513/GV513*100-100))</f>
        <v>0.98446284150284669</v>
      </c>
      <c r="GZ513" s="72">
        <f>IF(ISERROR(((GX513/GN513)^0.2-1)*100),"NA",IF((((GX513/GN513)^0.2-1)*100)&gt;100,"NM",IF((((GX513/GN513)^0.2-1)*100)&lt;-50,"NM",((GX513/GN513)^0.2-1)*100)))</f>
        <v>2.2531314682770365</v>
      </c>
      <c r="HA513" s="72"/>
      <c r="HB513" s="72"/>
      <c r="HC513"/>
      <c r="HD513"/>
      <c r="HE513"/>
      <c r="HF513"/>
      <c r="HG513"/>
      <c r="HH513"/>
      <c r="HI513" s="2"/>
    </row>
    <row r="514" spans="1:217" s="77" customFormat="1" ht="12.75" customHeight="1" x14ac:dyDescent="0.2">
      <c r="B514" s="225"/>
      <c r="C514" s="225"/>
      <c r="D514" s="226"/>
      <c r="E514" s="225"/>
      <c r="F514" s="226"/>
      <c r="G514" s="225"/>
      <c r="H514" s="226"/>
      <c r="I514" s="225"/>
      <c r="J514" s="226"/>
      <c r="K514" s="225"/>
      <c r="L514" s="226"/>
      <c r="M514" s="225"/>
      <c r="N514" s="226"/>
      <c r="O514" s="225"/>
      <c r="P514" s="226"/>
      <c r="Q514" s="225"/>
      <c r="R514" s="226"/>
      <c r="S514" s="225"/>
      <c r="T514" s="226"/>
      <c r="U514" s="225"/>
      <c r="V514" s="226"/>
      <c r="W514" s="225"/>
      <c r="X514" s="226"/>
      <c r="Y514" s="225"/>
      <c r="Z514" s="226"/>
      <c r="AA514" s="225"/>
      <c r="AB514" s="226"/>
      <c r="AC514" s="225"/>
      <c r="AD514" s="226"/>
      <c r="AE514" s="225"/>
      <c r="AF514" s="226"/>
      <c r="AG514" s="225"/>
      <c r="AH514" s="226"/>
      <c r="AI514" s="225"/>
      <c r="AJ514" s="226"/>
      <c r="AK514" s="225"/>
      <c r="AL514" s="226"/>
      <c r="AM514" s="225"/>
      <c r="AN514" s="226"/>
      <c r="AO514" s="225"/>
      <c r="AP514" s="226"/>
      <c r="AQ514" s="225"/>
      <c r="AR514" s="226"/>
      <c r="AS514" s="225"/>
      <c r="AT514" s="226"/>
      <c r="AU514" s="225"/>
      <c r="AV514" s="226"/>
      <c r="AW514" s="225"/>
      <c r="AX514" s="226"/>
      <c r="AY514" s="228"/>
      <c r="AZ514" s="226"/>
      <c r="BA514" s="228"/>
      <c r="BB514" s="226"/>
      <c r="BC514" s="228"/>
      <c r="BD514" s="225"/>
      <c r="BE514" s="228"/>
      <c r="BF514" s="225"/>
      <c r="BG514" s="227"/>
      <c r="BH514" s="225"/>
      <c r="BI514" s="227"/>
      <c r="BJ514" s="225"/>
      <c r="BK514" s="227"/>
      <c r="BL514" s="225"/>
      <c r="BM514" s="227"/>
      <c r="BN514" s="225"/>
      <c r="BO514" s="225"/>
      <c r="BP514" s="225"/>
      <c r="BQ514" s="225"/>
      <c r="BR514" s="225"/>
      <c r="BS514" s="225"/>
      <c r="BT514" s="225"/>
      <c r="BU514" s="225"/>
      <c r="BV514" s="225"/>
      <c r="BW514" s="225"/>
      <c r="BX514" s="226"/>
      <c r="BY514" s="225"/>
      <c r="BZ514" s="226"/>
      <c r="CA514" s="225"/>
      <c r="CB514" s="226"/>
      <c r="CC514" s="225"/>
      <c r="CD514" s="226"/>
      <c r="CE514" s="225"/>
      <c r="CF514" s="226"/>
      <c r="CG514" s="225"/>
      <c r="CH514" s="226"/>
      <c r="CI514" s="225"/>
      <c r="CJ514" s="226"/>
      <c r="CK514" s="225"/>
      <c r="CL514" s="226"/>
      <c r="CM514" s="225"/>
      <c r="CN514" s="226"/>
      <c r="CO514" s="225"/>
      <c r="CP514" s="226"/>
      <c r="CQ514" s="225"/>
      <c r="CR514" s="226"/>
      <c r="CS514" s="225"/>
      <c r="CT514" s="226"/>
      <c r="CU514" s="225"/>
      <c r="CV514" s="226"/>
      <c r="CW514" s="225"/>
      <c r="CX514" s="226"/>
      <c r="CY514" s="225"/>
      <c r="CZ514" s="226"/>
      <c r="DA514" s="225"/>
      <c r="DB514" s="226"/>
      <c r="DC514" s="225"/>
      <c r="DD514" s="226"/>
      <c r="DE514" s="225"/>
      <c r="DF514" s="226"/>
      <c r="DG514" s="225"/>
      <c r="DH514" s="226"/>
      <c r="DI514" s="225"/>
      <c r="DJ514" s="226"/>
      <c r="DK514" s="225"/>
      <c r="DL514" s="226"/>
      <c r="DM514" s="225"/>
      <c r="DN514" s="226"/>
      <c r="DO514" s="225"/>
      <c r="DP514" s="226"/>
      <c r="DQ514" s="225"/>
      <c r="DR514" s="226"/>
      <c r="DS514" s="225"/>
      <c r="DT514" s="226"/>
      <c r="DU514" s="225"/>
      <c r="DV514" s="226"/>
      <c r="DW514" s="225"/>
      <c r="DX514" s="226"/>
      <c r="DY514" s="225"/>
      <c r="DZ514" s="226"/>
      <c r="EA514" s="225"/>
      <c r="EB514" s="226"/>
      <c r="EC514" s="225"/>
      <c r="ED514" s="226"/>
      <c r="EE514" s="225"/>
      <c r="EF514" s="226"/>
      <c r="EG514" s="225"/>
      <c r="EH514" s="226"/>
      <c r="EI514" s="225"/>
      <c r="EJ514" s="226"/>
      <c r="EK514" s="225"/>
      <c r="EL514" s="226"/>
      <c r="EM514" s="225"/>
      <c r="EN514" s="226"/>
      <c r="EO514" s="225"/>
      <c r="EP514" s="226"/>
      <c r="EQ514" s="225"/>
      <c r="ER514" s="226"/>
      <c r="ES514" s="225"/>
      <c r="ET514" s="226"/>
      <c r="EU514" s="225"/>
      <c r="EV514" s="226"/>
      <c r="EW514" s="225"/>
      <c r="EX514" s="226"/>
      <c r="EY514" s="226"/>
      <c r="EZ514" s="333"/>
      <c r="FA514" s="226"/>
      <c r="FB514" s="225"/>
      <c r="FC514" s="226"/>
      <c r="FD514" s="225"/>
      <c r="FE514" s="226"/>
      <c r="FF514" s="225"/>
      <c r="FG514" s="226"/>
      <c r="FH514" s="225"/>
      <c r="FI514" s="226"/>
      <c r="FJ514" s="225"/>
      <c r="FK514" s="226"/>
      <c r="FL514" s="225"/>
      <c r="FM514" s="226"/>
      <c r="FN514" s="225"/>
      <c r="FO514" s="226"/>
      <c r="FP514" s="225"/>
      <c r="FQ514" s="226"/>
      <c r="FR514" s="225"/>
      <c r="FS514" s="226"/>
      <c r="FT514" s="227"/>
      <c r="FU514" s="226"/>
      <c r="FV514" s="225"/>
      <c r="FW514" s="226"/>
      <c r="FX514" s="225"/>
      <c r="FY514" s="226"/>
      <c r="FZ514" s="225"/>
      <c r="GA514" s="226"/>
      <c r="GB514" s="225"/>
      <c r="GC514" s="226"/>
      <c r="GD514" s="225"/>
      <c r="GE514" s="226"/>
      <c r="GF514" s="225"/>
      <c r="GG514" s="226"/>
      <c r="GH514" s="225"/>
      <c r="GI514" s="226"/>
      <c r="GJ514" s="225"/>
      <c r="GK514" s="226"/>
      <c r="GL514" s="225"/>
      <c r="GM514" s="226"/>
      <c r="GN514" s="225"/>
      <c r="GO514" s="226"/>
      <c r="GP514" s="225"/>
      <c r="GQ514" s="226"/>
      <c r="GR514" s="225"/>
      <c r="GS514" s="226"/>
      <c r="GT514" s="225"/>
      <c r="GU514" s="226"/>
      <c r="GV514" s="225"/>
      <c r="GW514" s="226"/>
      <c r="GX514" s="225"/>
      <c r="GY514" s="226"/>
      <c r="GZ514" s="226"/>
      <c r="HA514" s="226"/>
      <c r="HB514" s="226"/>
      <c r="HC514"/>
      <c r="HD514"/>
      <c r="HE514"/>
      <c r="HF514"/>
      <c r="HG514"/>
      <c r="HH514"/>
      <c r="HI514" s="246"/>
    </row>
    <row r="515" spans="1:217" s="295" customFormat="1" ht="12.75" customHeight="1" collapsed="1" x14ac:dyDescent="0.2">
      <c r="B515" s="291" t="s">
        <v>818</v>
      </c>
      <c r="C515" s="292"/>
      <c r="D515" s="293"/>
      <c r="E515" s="292"/>
      <c r="F515" s="293"/>
      <c r="G515" s="292"/>
      <c r="H515" s="293"/>
      <c r="I515" s="292"/>
      <c r="J515" s="293"/>
      <c r="K515" s="292"/>
      <c r="L515" s="293"/>
      <c r="M515" s="292"/>
      <c r="N515" s="293"/>
      <c r="O515" s="292"/>
      <c r="P515" s="293"/>
      <c r="Q515" s="292"/>
      <c r="R515" s="293"/>
      <c r="S515" s="292"/>
      <c r="T515" s="293"/>
      <c r="U515" s="292"/>
      <c r="V515" s="293"/>
      <c r="W515" s="292"/>
      <c r="X515" s="293"/>
      <c r="Y515" s="292"/>
      <c r="Z515" s="293"/>
      <c r="AA515" s="292"/>
      <c r="AB515" s="293"/>
      <c r="AC515" s="292"/>
      <c r="AD515" s="293"/>
      <c r="AE515" s="292"/>
      <c r="AF515" s="293"/>
      <c r="AG515" s="292"/>
      <c r="AH515" s="293"/>
      <c r="AI515" s="292"/>
      <c r="AJ515" s="293"/>
      <c r="AK515" s="292"/>
      <c r="AL515" s="293"/>
      <c r="AM515" s="292"/>
      <c r="AN515" s="293"/>
      <c r="AO515" s="292"/>
      <c r="AP515" s="293"/>
      <c r="AQ515" s="292"/>
      <c r="AR515" s="293"/>
      <c r="AS515" s="292"/>
      <c r="AT515" s="293"/>
      <c r="AU515" s="292"/>
      <c r="AV515" s="293"/>
      <c r="AW515" s="292"/>
      <c r="AX515" s="293"/>
      <c r="AY515" s="292"/>
      <c r="AZ515" s="293"/>
      <c r="BA515" s="292"/>
      <c r="BB515" s="293"/>
      <c r="BC515" s="292"/>
      <c r="BD515" s="293"/>
      <c r="BE515" s="292"/>
      <c r="BF515" s="293"/>
      <c r="BG515" s="292"/>
      <c r="BH515" s="293"/>
      <c r="BI515" s="292"/>
      <c r="BJ515" s="293"/>
      <c r="BK515" s="292"/>
      <c r="BL515" s="293"/>
      <c r="BM515" s="292"/>
      <c r="BN515" s="293"/>
      <c r="BO515" s="292"/>
      <c r="BP515" s="293"/>
      <c r="BQ515" s="294"/>
      <c r="BR515" s="294"/>
      <c r="BS515" s="294"/>
      <c r="BT515" s="293"/>
      <c r="BU515" s="294"/>
      <c r="BV515" s="293"/>
      <c r="BW515" s="294"/>
      <c r="BX515" s="293"/>
      <c r="BY515" s="294"/>
      <c r="BZ515" s="293"/>
      <c r="CA515" s="294"/>
      <c r="CB515" s="293"/>
      <c r="CC515" s="294"/>
      <c r="CD515" s="293"/>
      <c r="CE515" s="294"/>
      <c r="CF515" s="293"/>
      <c r="CG515" s="294"/>
      <c r="CH515" s="293"/>
      <c r="CI515" s="294"/>
      <c r="CJ515" s="293"/>
      <c r="CK515" s="294"/>
      <c r="CL515" s="293"/>
      <c r="CM515" s="294"/>
      <c r="CN515" s="293"/>
      <c r="CO515" s="294"/>
      <c r="CP515" s="293"/>
      <c r="CQ515" s="294"/>
      <c r="CR515" s="293"/>
      <c r="CS515" s="294"/>
      <c r="CT515" s="293"/>
      <c r="CU515" s="294"/>
      <c r="CV515" s="293"/>
      <c r="CW515" s="294"/>
      <c r="CX515" s="293"/>
      <c r="CY515" s="294"/>
      <c r="CZ515" s="293"/>
      <c r="DA515" s="294"/>
      <c r="DB515" s="293"/>
      <c r="DC515" s="294"/>
      <c r="DD515" s="293"/>
      <c r="DE515" s="294"/>
      <c r="DF515" s="293"/>
      <c r="DG515" s="294"/>
      <c r="DH515" s="293"/>
      <c r="DI515" s="294"/>
      <c r="DJ515" s="293"/>
      <c r="DK515" s="294"/>
      <c r="DL515" s="293"/>
      <c r="DM515" s="294"/>
      <c r="DN515" s="293"/>
      <c r="DO515" s="294"/>
      <c r="DP515" s="293"/>
      <c r="DQ515" s="294"/>
      <c r="DR515" s="293"/>
      <c r="DS515" s="294"/>
      <c r="DT515" s="293"/>
      <c r="DU515" s="294"/>
      <c r="DV515" s="293"/>
      <c r="DW515" s="292"/>
      <c r="DX515" s="293"/>
      <c r="DY515" s="292"/>
      <c r="DZ515" s="293"/>
      <c r="EA515" s="292"/>
      <c r="EB515" s="293"/>
      <c r="EC515" s="292"/>
      <c r="ED515" s="293"/>
      <c r="EE515" s="292"/>
      <c r="EF515" s="293"/>
      <c r="EG515" s="292"/>
      <c r="EH515" s="293"/>
      <c r="EI515" s="292"/>
      <c r="EJ515" s="293"/>
      <c r="EK515" s="292"/>
      <c r="EL515" s="293"/>
      <c r="EM515" s="292"/>
      <c r="EN515" s="293"/>
      <c r="EO515" s="292"/>
      <c r="EP515" s="293"/>
      <c r="EQ515" s="292"/>
      <c r="ER515" s="293"/>
      <c r="ES515" s="292"/>
      <c r="ET515" s="293"/>
      <c r="EU515" s="292"/>
      <c r="EV515" s="293"/>
      <c r="EW515" s="292"/>
      <c r="EX515" s="293"/>
      <c r="EY515" s="293"/>
      <c r="EZ515" s="299"/>
      <c r="FA515" s="293"/>
      <c r="FB515" s="292"/>
      <c r="FC515" s="293"/>
      <c r="FD515" s="292"/>
      <c r="FE515" s="293"/>
      <c r="FF515" s="292"/>
      <c r="FG515" s="293"/>
      <c r="FH515" s="292"/>
      <c r="FI515" s="293"/>
      <c r="FJ515" s="292"/>
      <c r="FK515" s="293"/>
      <c r="FL515" s="292"/>
      <c r="FM515" s="293"/>
      <c r="FN515" s="292"/>
      <c r="FO515" s="293"/>
      <c r="FP515" s="292"/>
      <c r="FQ515" s="293"/>
      <c r="FR515" s="294"/>
      <c r="FS515" s="293"/>
      <c r="FT515" s="294"/>
      <c r="FU515" s="293"/>
      <c r="FV515" s="294"/>
      <c r="FW515" s="293"/>
      <c r="FX515" s="294"/>
      <c r="FY515" s="293"/>
      <c r="FZ515" s="294"/>
      <c r="GA515" s="293"/>
      <c r="GB515" s="294"/>
      <c r="GC515" s="293"/>
      <c r="GD515" s="294"/>
      <c r="GE515" s="293"/>
      <c r="GF515" s="294"/>
      <c r="GG515" s="293"/>
      <c r="GH515" s="294"/>
      <c r="GI515" s="293"/>
      <c r="GJ515" s="294"/>
      <c r="GK515" s="293"/>
      <c r="GL515" s="294"/>
      <c r="GM515" s="293"/>
      <c r="GN515" s="294"/>
      <c r="GO515" s="293"/>
      <c r="GP515" s="294"/>
      <c r="GQ515" s="293"/>
      <c r="GR515" s="292"/>
      <c r="GS515" s="293"/>
      <c r="GT515" s="292"/>
      <c r="GU515" s="293"/>
      <c r="GV515" s="292"/>
      <c r="GW515" s="293"/>
      <c r="GX515" s="292"/>
      <c r="GY515" s="293"/>
      <c r="GZ515" s="293"/>
      <c r="HA515" s="293"/>
      <c r="HB515" s="293"/>
      <c r="HC515"/>
      <c r="HD515"/>
      <c r="HE515"/>
      <c r="HF515"/>
      <c r="HG515"/>
      <c r="HH515"/>
      <c r="HI515" s="290"/>
    </row>
    <row r="516" spans="1:217" s="3" customFormat="1" ht="12.75" customHeight="1" x14ac:dyDescent="0.2">
      <c r="B516" s="164"/>
      <c r="C516" s="12"/>
      <c r="D516" s="165"/>
      <c r="E516" s="12"/>
      <c r="F516" s="165"/>
      <c r="G516" s="12"/>
      <c r="H516" s="165"/>
      <c r="I516" s="12"/>
      <c r="J516" s="165"/>
      <c r="K516" s="12"/>
      <c r="L516" s="165"/>
      <c r="M516" s="12"/>
      <c r="N516" s="165"/>
      <c r="O516" s="12"/>
      <c r="P516" s="165"/>
      <c r="Q516" s="12"/>
      <c r="R516" s="165"/>
      <c r="S516" s="12"/>
      <c r="T516" s="165"/>
      <c r="U516" s="12"/>
      <c r="V516" s="165"/>
      <c r="W516" s="12"/>
      <c r="X516" s="165"/>
      <c r="Y516" s="12"/>
      <c r="Z516" s="165"/>
      <c r="AA516" s="12"/>
      <c r="AB516" s="165"/>
      <c r="AC516" s="12"/>
      <c r="AD516" s="165"/>
      <c r="AE516" s="12"/>
      <c r="AF516" s="165"/>
      <c r="AG516" s="12"/>
      <c r="AH516" s="165"/>
      <c r="AI516" s="12"/>
      <c r="AJ516" s="165"/>
      <c r="AK516" s="12"/>
      <c r="AL516" s="165"/>
      <c r="AM516" s="12"/>
      <c r="AN516" s="165"/>
      <c r="AO516" s="12"/>
      <c r="AP516" s="165"/>
      <c r="AQ516" s="12"/>
      <c r="AR516" s="165"/>
      <c r="AS516" s="12"/>
      <c r="AT516" s="165"/>
      <c r="AU516" s="12"/>
      <c r="AV516" s="165"/>
      <c r="AW516" s="12"/>
      <c r="AX516" s="165"/>
      <c r="AY516" s="12"/>
      <c r="AZ516" s="165"/>
      <c r="BA516" s="12"/>
      <c r="BB516" s="165"/>
      <c r="BC516" s="12"/>
      <c r="BD516" s="165"/>
      <c r="BE516" s="12"/>
      <c r="BF516" s="165"/>
      <c r="BG516" s="12"/>
      <c r="BH516" s="165"/>
      <c r="BI516" s="12"/>
      <c r="BJ516" s="165"/>
      <c r="BK516" s="12"/>
      <c r="BL516" s="165"/>
      <c r="BM516" s="12"/>
      <c r="BN516" s="165"/>
      <c r="BO516" s="12"/>
      <c r="BP516" s="165"/>
      <c r="BQ516" s="12"/>
      <c r="BR516" s="165"/>
      <c r="BS516" s="12"/>
      <c r="BT516" s="165"/>
      <c r="BU516" s="12"/>
      <c r="BV516" s="165"/>
      <c r="BW516" s="12"/>
      <c r="BX516" s="165"/>
      <c r="BY516" s="12"/>
      <c r="BZ516" s="165"/>
      <c r="CA516" s="12"/>
      <c r="CB516" s="165"/>
      <c r="CC516" s="12"/>
      <c r="CD516" s="165"/>
      <c r="CE516" s="12"/>
      <c r="CF516" s="165"/>
      <c r="CG516" s="12"/>
      <c r="CH516" s="165"/>
      <c r="CI516" s="12"/>
      <c r="CJ516" s="165"/>
      <c r="CK516" s="12"/>
      <c r="CL516" s="165"/>
      <c r="CM516" s="12"/>
      <c r="CN516" s="165"/>
      <c r="CO516" s="12"/>
      <c r="CP516" s="165"/>
      <c r="CQ516" s="12"/>
      <c r="CR516" s="165"/>
      <c r="CS516" s="12"/>
      <c r="CT516" s="165"/>
      <c r="CU516" s="12"/>
      <c r="CV516" s="165"/>
      <c r="CW516" s="12"/>
      <c r="CX516" s="165"/>
      <c r="CY516" s="12"/>
      <c r="CZ516" s="165"/>
      <c r="DA516" s="12"/>
      <c r="DB516" s="165"/>
      <c r="DC516" s="12"/>
      <c r="DD516" s="165"/>
      <c r="DE516" s="12"/>
      <c r="DF516" s="165"/>
      <c r="DG516" s="12"/>
      <c r="DH516" s="165"/>
      <c r="DI516" s="12"/>
      <c r="DJ516" s="165"/>
      <c r="DK516" s="12"/>
      <c r="DL516" s="165"/>
      <c r="DM516" s="12"/>
      <c r="DN516" s="165"/>
      <c r="DO516" s="12"/>
      <c r="DP516" s="165"/>
      <c r="DQ516" s="12"/>
      <c r="DR516" s="165"/>
      <c r="DS516" s="12"/>
      <c r="DT516" s="165"/>
      <c r="DU516" s="12"/>
      <c r="DV516" s="165"/>
      <c r="DW516" s="13"/>
      <c r="DX516" s="165"/>
      <c r="DY516" s="13"/>
      <c r="DZ516" s="165"/>
      <c r="EA516" s="13"/>
      <c r="EB516" s="165"/>
      <c r="EC516" s="13"/>
      <c r="ED516" s="165"/>
      <c r="EE516" s="13"/>
      <c r="EF516" s="165"/>
      <c r="EG516" s="13"/>
      <c r="EH516" s="165"/>
      <c r="EI516" s="13"/>
      <c r="EJ516" s="165"/>
      <c r="EK516" s="13"/>
      <c r="EL516" s="165"/>
      <c r="EM516" s="13"/>
      <c r="EN516" s="165"/>
      <c r="EO516" s="13"/>
      <c r="EP516" s="165"/>
      <c r="EQ516" s="13"/>
      <c r="ER516" s="165"/>
      <c r="ES516" s="13"/>
      <c r="ET516" s="165"/>
      <c r="EU516" s="13"/>
      <c r="EV516" s="165"/>
      <c r="EW516" s="13"/>
      <c r="EX516" s="165"/>
      <c r="EY516" s="165"/>
      <c r="EZ516" s="321"/>
      <c r="FA516" s="165"/>
      <c r="FB516" s="12"/>
      <c r="FC516" s="165"/>
      <c r="FD516" s="12"/>
      <c r="FE516" s="165"/>
      <c r="FF516" s="12"/>
      <c r="FG516" s="165"/>
      <c r="FH516" s="12"/>
      <c r="FI516" s="165"/>
      <c r="FJ516" s="12"/>
      <c r="FK516" s="165"/>
      <c r="FL516" s="12"/>
      <c r="FM516" s="165"/>
      <c r="FN516" s="12"/>
      <c r="FO516" s="165"/>
      <c r="FP516" s="12"/>
      <c r="FQ516" s="165"/>
      <c r="FR516" s="13"/>
      <c r="FS516" s="165"/>
      <c r="FT516" s="13"/>
      <c r="FU516" s="165"/>
      <c r="FV516" s="13"/>
      <c r="FW516" s="165"/>
      <c r="FX516" s="13"/>
      <c r="FY516" s="165"/>
      <c r="FZ516" s="13"/>
      <c r="GA516" s="165"/>
      <c r="GB516" s="13"/>
      <c r="GC516" s="165"/>
      <c r="GD516" s="13"/>
      <c r="GE516" s="165"/>
      <c r="GF516" s="13"/>
      <c r="GG516" s="92"/>
      <c r="GH516" s="13"/>
      <c r="GI516" s="92"/>
      <c r="GJ516" s="13"/>
      <c r="GK516" s="92"/>
      <c r="GL516" s="13"/>
      <c r="GM516" s="92"/>
      <c r="GN516" s="13"/>
      <c r="GO516" s="92"/>
      <c r="GP516" s="13"/>
      <c r="GQ516" s="92"/>
      <c r="GR516" s="13"/>
      <c r="GS516" s="92"/>
      <c r="GT516" s="13"/>
      <c r="GU516" s="92"/>
      <c r="GV516" s="13"/>
      <c r="GW516" s="92"/>
      <c r="GX516" s="13"/>
      <c r="GY516" s="92"/>
      <c r="GZ516" s="165"/>
      <c r="HA516" s="165"/>
      <c r="HB516" s="165"/>
      <c r="HC516"/>
      <c r="HD516"/>
      <c r="HE516"/>
      <c r="HF516"/>
      <c r="HG516"/>
      <c r="HH516"/>
      <c r="HI516" s="2"/>
    </row>
    <row r="517" spans="1:217" s="3" customFormat="1" ht="12.75" customHeight="1" x14ac:dyDescent="0.2">
      <c r="B517" s="89" t="s">
        <v>544</v>
      </c>
      <c r="C517" s="9"/>
      <c r="D517" s="11"/>
      <c r="E517" s="9"/>
      <c r="F517" s="11"/>
      <c r="G517" s="9"/>
      <c r="H517" s="11"/>
      <c r="I517" s="9"/>
      <c r="J517" s="11"/>
      <c r="K517" s="9"/>
      <c r="L517" s="72"/>
      <c r="M517" s="9"/>
      <c r="N517" s="72"/>
      <c r="O517" s="9"/>
      <c r="P517" s="72"/>
      <c r="Q517" s="9"/>
      <c r="R517" s="72"/>
      <c r="S517" s="9"/>
      <c r="T517" s="72"/>
      <c r="U517" s="9"/>
      <c r="V517" s="72"/>
      <c r="W517" s="9"/>
      <c r="X517" s="72"/>
      <c r="Y517" s="9"/>
      <c r="Z517" s="72"/>
      <c r="AA517" s="9"/>
      <c r="AB517" s="72"/>
      <c r="AC517" s="9"/>
      <c r="AD517" s="72"/>
      <c r="AE517" s="9"/>
      <c r="AF517" s="72"/>
      <c r="AG517" s="9"/>
      <c r="AH517" s="72"/>
      <c r="AI517" s="9"/>
      <c r="AJ517" s="72"/>
      <c r="AK517" s="9"/>
      <c r="AL517" s="72"/>
      <c r="AM517" s="9"/>
      <c r="AN517" s="72"/>
      <c r="AO517" s="9"/>
      <c r="AP517" s="72"/>
      <c r="AQ517" s="9"/>
      <c r="AR517" s="72"/>
      <c r="AS517" s="9"/>
      <c r="AT517" s="72"/>
      <c r="AU517" s="9"/>
      <c r="AV517" s="72"/>
      <c r="AW517" s="9"/>
      <c r="AX517" s="72"/>
      <c r="AY517" s="9"/>
      <c r="AZ517" s="72"/>
      <c r="BA517" s="9"/>
      <c r="BB517" s="72"/>
      <c r="BC517" s="9"/>
      <c r="BD517" s="72"/>
      <c r="BE517" s="9"/>
      <c r="BF517" s="72"/>
      <c r="BG517" s="9"/>
      <c r="BH517" s="72"/>
      <c r="BI517" s="9"/>
      <c r="BJ517" s="72"/>
      <c r="BK517" s="9"/>
      <c r="BL517" s="72"/>
      <c r="BM517" s="9"/>
      <c r="BN517" s="72"/>
      <c r="BO517" s="9"/>
      <c r="BP517" s="72"/>
      <c r="BQ517" s="9"/>
      <c r="BR517" s="72"/>
      <c r="BS517" s="9"/>
      <c r="BT517" s="72"/>
      <c r="BU517" s="9"/>
      <c r="BV517" s="72"/>
      <c r="BW517" s="9"/>
      <c r="BX517" s="72"/>
      <c r="BY517" s="9"/>
      <c r="BZ517" s="72"/>
      <c r="CA517" s="9"/>
      <c r="CB517" s="72"/>
      <c r="CC517" s="9"/>
      <c r="CD517" s="72"/>
      <c r="CE517" s="9"/>
      <c r="CF517" s="72"/>
      <c r="CG517" s="9"/>
      <c r="CH517" s="72"/>
      <c r="CI517" s="9"/>
      <c r="CJ517" s="72"/>
      <c r="CK517" s="9"/>
      <c r="CL517" s="72"/>
      <c r="CM517" s="9"/>
      <c r="CN517" s="72"/>
      <c r="CO517" s="144"/>
      <c r="CP517" s="72"/>
      <c r="CQ517" s="144"/>
      <c r="CR517" s="72"/>
      <c r="CS517" s="144"/>
      <c r="CT517" s="72"/>
      <c r="CU517" s="144"/>
      <c r="CV517" s="72"/>
      <c r="CW517" s="144"/>
      <c r="CX517" s="72"/>
      <c r="CY517" s="144"/>
      <c r="CZ517" s="72"/>
      <c r="DA517" s="144"/>
      <c r="DB517" s="72"/>
      <c r="DC517" s="144"/>
      <c r="DD517" s="72"/>
      <c r="DE517" s="144"/>
      <c r="DF517" s="72"/>
      <c r="DG517" s="144"/>
      <c r="DH517" s="72"/>
      <c r="DI517" s="144"/>
      <c r="DJ517" s="72"/>
      <c r="DK517" s="144"/>
      <c r="DL517" s="72"/>
      <c r="DM517" s="144"/>
      <c r="DN517" s="72"/>
      <c r="DO517" s="144"/>
      <c r="DP517" s="72"/>
      <c r="DQ517" s="144"/>
      <c r="DR517" s="72"/>
      <c r="DS517" s="144"/>
      <c r="DT517" s="72"/>
      <c r="DU517" s="144"/>
      <c r="DV517" s="72"/>
      <c r="DW517" s="9"/>
      <c r="DX517" s="72"/>
      <c r="DY517" s="9"/>
      <c r="DZ517" s="72"/>
      <c r="EA517" s="9"/>
      <c r="EB517" s="72"/>
      <c r="EC517" s="9"/>
      <c r="ED517" s="72"/>
      <c r="EE517" s="9"/>
      <c r="EF517" s="72"/>
      <c r="EG517" s="9"/>
      <c r="EH517" s="72"/>
      <c r="EI517" s="9"/>
      <c r="EJ517" s="72"/>
      <c r="EK517" s="9"/>
      <c r="EL517" s="72"/>
      <c r="EM517" s="9"/>
      <c r="EN517" s="72"/>
      <c r="EO517" s="9"/>
      <c r="EP517" s="72"/>
      <c r="EQ517" s="9"/>
      <c r="ER517" s="72"/>
      <c r="ES517" s="9"/>
      <c r="ET517" s="72"/>
      <c r="EU517" s="9"/>
      <c r="EV517" s="72"/>
      <c r="EW517" s="9"/>
      <c r="EX517" s="72"/>
      <c r="EY517" s="72"/>
      <c r="EZ517" s="296"/>
      <c r="FA517" s="72"/>
      <c r="FB517" s="9"/>
      <c r="FC517" s="11"/>
      <c r="FD517" s="9"/>
      <c r="FE517" s="72"/>
      <c r="FF517" s="9"/>
      <c r="FG517" s="72"/>
      <c r="FH517" s="16"/>
      <c r="FI517" s="72"/>
      <c r="FJ517" s="16"/>
      <c r="FK517" s="72"/>
      <c r="FL517" s="16"/>
      <c r="FM517" s="72"/>
      <c r="FN517" s="16"/>
      <c r="FO517" s="72"/>
      <c r="FP517" s="9"/>
      <c r="FQ517" s="72"/>
      <c r="FR517" s="9"/>
      <c r="FS517" s="72"/>
      <c r="FT517" s="9"/>
      <c r="FU517" s="72"/>
      <c r="FV517" s="9"/>
      <c r="FW517" s="72"/>
      <c r="FX517" s="9"/>
      <c r="FY517" s="72"/>
      <c r="FZ517" s="9"/>
      <c r="GA517" s="72"/>
      <c r="GB517" s="9"/>
      <c r="GC517" s="72"/>
      <c r="GD517" s="9"/>
      <c r="GE517" s="72"/>
      <c r="GF517" s="9"/>
      <c r="GG517" s="72"/>
      <c r="GH517" s="9"/>
      <c r="GI517" s="72"/>
      <c r="GJ517" s="9"/>
      <c r="GK517" s="72"/>
      <c r="GL517" s="9"/>
      <c r="GM517" s="72"/>
      <c r="GN517" s="9"/>
      <c r="GO517" s="72"/>
      <c r="GP517" s="9"/>
      <c r="GQ517" s="72"/>
      <c r="GR517" s="9"/>
      <c r="GS517" s="72"/>
      <c r="GT517" s="9"/>
      <c r="GU517" s="72"/>
      <c r="GV517" s="9"/>
      <c r="GW517" s="72"/>
      <c r="GX517" s="9"/>
      <c r="GY517" s="72"/>
      <c r="GZ517" s="72"/>
      <c r="HA517" s="72"/>
      <c r="HB517" s="72"/>
      <c r="HC517"/>
      <c r="HD517"/>
      <c r="HE517"/>
      <c r="HF517"/>
      <c r="HG517"/>
      <c r="HH517"/>
      <c r="HI517" s="2"/>
    </row>
    <row r="518" spans="1:217" s="3" customFormat="1" ht="12.75" customHeight="1" x14ac:dyDescent="0.2">
      <c r="A518" s="3" t="s">
        <v>531</v>
      </c>
      <c r="B518" s="10" t="s">
        <v>102</v>
      </c>
      <c r="C518" s="145">
        <f>+C97</f>
        <v>71</v>
      </c>
      <c r="D518" s="11"/>
      <c r="E518" s="145">
        <f>+E97</f>
        <v>32</v>
      </c>
      <c r="F518" s="11"/>
      <c r="G518" s="145">
        <f>+G97</f>
        <v>36</v>
      </c>
      <c r="H518" s="11"/>
      <c r="I518" s="145">
        <f>+I97</f>
        <v>8</v>
      </c>
      <c r="J518" s="11"/>
      <c r="K518" s="145">
        <f>+K97</f>
        <v>35</v>
      </c>
      <c r="L518" s="72" t="str">
        <f t="shared" ref="L518:L531" si="2434">IF(ISERROR(K518/C518),"NA",IF(OR(K518/C518&gt;2,K518/C518&lt;0.5),"NM",K518/C518*100-100))</f>
        <v>NM</v>
      </c>
      <c r="M518" s="145">
        <f>+M97</f>
        <v>42</v>
      </c>
      <c r="N518" s="72">
        <f t="shared" ref="N518:N531" si="2435">IF(ISERROR(M518/E518),"NA",IF(OR(M518/E518&gt;2,M518/E518&lt;0.5),"NM",M518/E518*100-100))</f>
        <v>31.25</v>
      </c>
      <c r="O518" s="145">
        <f>+O97</f>
        <v>8</v>
      </c>
      <c r="P518" s="72" t="str">
        <f t="shared" ref="P518:P531" si="2436">IF(ISERROR(O518/G518),"NA",IF(OR(O518/G518&gt;2,O518/G518&lt;0.5),"NM",O518/G518*100-100))</f>
        <v>NM</v>
      </c>
      <c r="Q518" s="145">
        <f>+Q97</f>
        <v>22</v>
      </c>
      <c r="R518" s="72" t="str">
        <f t="shared" ref="R518:R531" si="2437">IF(ISERROR(Q518/I518),"NA",IF(OR(Q518/I518&gt;2,Q518/I518&lt;0.5),"NM",Q518/I518*100-100))</f>
        <v>NM</v>
      </c>
      <c r="S518" s="145">
        <f>+S97</f>
        <v>29</v>
      </c>
      <c r="T518" s="72">
        <f t="shared" ref="T518:T531" si="2438">IF(ISERROR(S518/K518),"NA",IF(OR(S518/K518&gt;2,S518/K518&lt;0.5),"NM",S518/K518*100-100))</f>
        <v>-17.142857142857139</v>
      </c>
      <c r="U518" s="145">
        <f>+U97</f>
        <v>-17</v>
      </c>
      <c r="V518" s="72" t="str">
        <f t="shared" ref="V518:V531" si="2439">IF(ISERROR(U518/M518),"NA",IF(OR(U518/M518&gt;2,U518/M518&lt;0.5),"NM",U518/M518*100-100))</f>
        <v>NM</v>
      </c>
      <c r="W518" s="145">
        <f>+W97</f>
        <v>-69</v>
      </c>
      <c r="X518" s="72" t="str">
        <f t="shared" ref="X518:X531" si="2440">IF(ISERROR(W518/O518),"NA",IF(OR(W518/O518&gt;2,W518/O518&lt;0.5),"NM",W518/O518*100-100))</f>
        <v>NM</v>
      </c>
      <c r="Y518" s="145">
        <f>+Y97</f>
        <v>15</v>
      </c>
      <c r="Z518" s="72">
        <f t="shared" ref="Z518:Z531" si="2441">IF(ISERROR(Y518/Q518),"NA",IF(OR(Y518/Q518&gt;2,Y518/Q518&lt;0.5),"NM",Y518/Q518*100-100))</f>
        <v>-31.818181818181827</v>
      </c>
      <c r="AA518" s="145">
        <f>+AA97</f>
        <v>23</v>
      </c>
      <c r="AB518" s="72">
        <f t="shared" ref="AB518:AB531" si="2442">IF(ISERROR(AA518/S518),"NA",IF(OR(AA518/S518&gt;2,AA518/S518&lt;0.5),"NM",AA518/S518*100-100))</f>
        <v>-20.689655172413794</v>
      </c>
      <c r="AC518" s="145">
        <f>+AC97</f>
        <v>65</v>
      </c>
      <c r="AD518" s="72" t="str">
        <f t="shared" ref="AD518:AD531" si="2443">IF(ISERROR(AC518/U518),"NA",IF(OR(AC518/U518&gt;2,AC518/U518&lt;0.5),"NM",AC518/U518*100-100))</f>
        <v>NM</v>
      </c>
      <c r="AE518" s="145">
        <f>+AE97</f>
        <v>78</v>
      </c>
      <c r="AF518" s="72" t="str">
        <f t="shared" ref="AF518:AF531" si="2444">IF(ISERROR(AE518/W518),"NA",IF(OR(AE518/W518&gt;2,AE518/W518&lt;0.5),"NM",AE518/W518*100-100))</f>
        <v>NM</v>
      </c>
      <c r="AG518" s="145">
        <f>+AG97</f>
        <v>96</v>
      </c>
      <c r="AH518" s="72" t="str">
        <f t="shared" ref="AH518:AH531" si="2445">IF(ISERROR(AG518/Y518),"NA",IF(OR(AG518/Y518&gt;2,AG518/Y518&lt;0.5),"NM",AG518/Y518*100-100))</f>
        <v>NM</v>
      </c>
      <c r="AI518" s="145">
        <f>+AI97</f>
        <v>98</v>
      </c>
      <c r="AJ518" s="72" t="str">
        <f t="shared" ref="AJ518:AJ531" si="2446">IF(ISERROR(AI518/AA518),"NA",IF(OR(AI518/AA518&gt;2,AI518/AA518&lt;0.5),"NM",AI518/AA518*100-100))</f>
        <v>NM</v>
      </c>
      <c r="AK518" s="145">
        <f>+AK97</f>
        <v>94</v>
      </c>
      <c r="AL518" s="72">
        <f t="shared" ref="AL518:AL531" si="2447">IF(ISERROR(AK518/AC518),"NA",IF(OR(AK518/AC518&gt;2,AK518/AC518&lt;0.5),"NM",AK518/AC518*100-100))</f>
        <v>44.615384615384613</v>
      </c>
      <c r="AM518" s="145">
        <f>+AM97</f>
        <v>96</v>
      </c>
      <c r="AN518" s="72">
        <f t="shared" ref="AN518:AN531" si="2448">IF(ISERROR(AM518/AE518),"NA",IF(OR(AM518/AE518&gt;2,AM518/AE518&lt;0.5),"NM",AM518/AE518*100-100))</f>
        <v>23.07692307692308</v>
      </c>
      <c r="AO518" s="145">
        <f>+AO97</f>
        <v>101</v>
      </c>
      <c r="AP518" s="72">
        <f t="shared" ref="AP518:AP531" si="2449">IF(ISERROR(AO518/AG518),"NA",IF(OR(AO518/AG518&gt;2,AO518/AG518&lt;0.5),"NM",AO518/AG518*100-100))</f>
        <v>5.2083333333333286</v>
      </c>
      <c r="AQ518" s="145">
        <f>+AQ97</f>
        <v>91</v>
      </c>
      <c r="AR518" s="72">
        <f t="shared" ref="AR518:AR531" si="2450">IF(ISERROR(AQ518/AI518),"NA",IF(OR(AQ518/AI518&gt;2,AQ518/AI518&lt;0.5),"NM",AQ518/AI518*100-100))</f>
        <v>-7.1428571428571388</v>
      </c>
      <c r="AS518" s="145">
        <f>+AS97</f>
        <v>95</v>
      </c>
      <c r="AT518" s="72">
        <f t="shared" ref="AT518:AT531" si="2451">IF(ISERROR(AS518/AK518),"NA",IF(OR(AS518/AK518&gt;2,AS518/AK518&lt;0.5),"NM",AS518/AK518*100-100))</f>
        <v>1.0638297872340559</v>
      </c>
      <c r="AU518" s="145">
        <f>+AU97</f>
        <v>104</v>
      </c>
      <c r="AV518" s="72">
        <f t="shared" ref="AV518:AV531" si="2452">IF(ISERROR(AU518/AM518),"NA",IF(OR(AU518/AM518&gt;2,AU518/AM518&lt;0.5),"NM",AU518/AM518*100-100))</f>
        <v>8.3333333333333286</v>
      </c>
      <c r="AW518" s="145">
        <f>+AW97</f>
        <v>113</v>
      </c>
      <c r="AX518" s="72">
        <f t="shared" ref="AX518:AX531" si="2453">IF(ISERROR(AW518/AO518),"NA",IF(OR(AW518/AO518&gt;2,AW518/AO518&lt;0.5),"NM",AW518/AO518*100-100))</f>
        <v>11.881188118811892</v>
      </c>
      <c r="AY518" s="145">
        <f>+AY97</f>
        <v>118</v>
      </c>
      <c r="AZ518" s="72">
        <f>IF(ISERROR(AY518/AQ518),"NA",IF(OR(AY518/AQ518&gt;2,AY518/AQ518&lt;0.5),"NM",AY518/AQ518*100-100))</f>
        <v>29.670329670329664</v>
      </c>
      <c r="BA518" s="145">
        <f>+BA97</f>
        <v>122</v>
      </c>
      <c r="BB518" s="72">
        <f>IF(ISERROR(BA518/AS518),"NA",IF(OR(BA518/AS518&gt;2,BA518/AS518&lt;0.5),"NM",BA518/AS518*100-100))</f>
        <v>28.421052631578959</v>
      </c>
      <c r="BC518" s="145">
        <f>+BC97</f>
        <v>155</v>
      </c>
      <c r="BD518" s="72">
        <f>IF(ISERROR(BC518/AU518),"NA",IF(OR(BC518/AU518&gt;2,BC518/AU518&lt;0.5),"NM",BC518/AU518*100-100))</f>
        <v>49.038461538461547</v>
      </c>
      <c r="BE518" s="145">
        <f>+BE97</f>
        <v>154</v>
      </c>
      <c r="BF518" s="72">
        <f t="shared" ref="BF518:BF531" si="2454">IF(ISERROR(BE518/AW518),"NA",IF(OR(BE518/AW518&gt;2,BE518/AW518&lt;0.5),"NM",BE518/AW518*100-100))</f>
        <v>36.283185840707944</v>
      </c>
      <c r="BG518" s="145">
        <f>+BG97</f>
        <v>166</v>
      </c>
      <c r="BH518" s="72">
        <f>IF(ISERROR(BG518/AY518),"NA",IF(OR(BG518/AY518&gt;2,BG518/AY518&lt;0.5),"NM",BG518/AY518*100-100))</f>
        <v>40.677966101694921</v>
      </c>
      <c r="BI518" s="145">
        <f>+BI97</f>
        <v>180</v>
      </c>
      <c r="BJ518" s="72">
        <f>IF(ISERROR(BI518/BA518),"NA",IF(OR(BI518/BA518&gt;2,BI518/BA518&lt;0.5),"NM",BI518/BA518*100-100))</f>
        <v>47.540983606557376</v>
      </c>
      <c r="BK518" s="145">
        <f>+BK97</f>
        <v>178</v>
      </c>
      <c r="BL518" s="72">
        <f>IF(ISERROR(BK518/BC518),"NA",IF(OR(BK518/BC518&gt;2,BK518/BC518&lt;0.5),"NM",BK518/BC518*100-100))</f>
        <v>14.838709677419359</v>
      </c>
      <c r="BM518" s="145">
        <f>+BM97</f>
        <v>175</v>
      </c>
      <c r="BN518" s="72">
        <f>IF(ISERROR(BM518/BE518),"NA",IF(OR(BM518/BE518&gt;2,BM518/BE518&lt;0.5),"NM",BM518/BE518*100-100))</f>
        <v>13.63636363636364</v>
      </c>
      <c r="BO518" s="145">
        <f>+BO97</f>
        <v>115</v>
      </c>
      <c r="BP518" s="72">
        <f>IF(ISERROR(BO518/BG518),"NA",IF(OR(BO518/BG518&gt;2,BO518/BG518&lt;0.5),"NM",BO518/BG518*100-100))</f>
        <v>-30.722891566265062</v>
      </c>
      <c r="BQ518" s="145">
        <f>+BQ97</f>
        <v>154</v>
      </c>
      <c r="BR518" s="72">
        <f>IF(ISERROR(BQ518/BI518),"NA",IF(OR(BQ518/BI518&gt;2,BQ518/BI518&lt;0.5),"NM",BQ518/BI518*100-100))</f>
        <v>-14.444444444444443</v>
      </c>
      <c r="BS518" s="145">
        <f>+BS97</f>
        <v>110</v>
      </c>
      <c r="BT518" s="72">
        <f>IF(ISERROR(BS518/BK518),"NA",IF(OR(BS518/BK518&gt;2,BS518/BK518&lt;0.5),"NM",BS518/BK518*100-100))</f>
        <v>-38.202247191011239</v>
      </c>
      <c r="BU518" s="145">
        <f>+BU97</f>
        <v>95</v>
      </c>
      <c r="BV518" s="72">
        <f>IF(ISERROR(BU518/BM518),"NA",IF(OR(BU518/BM518&gt;2,BU518/BM518&lt;0.5),"NM",BU518/BM518*100-100))</f>
        <v>-45.714285714285715</v>
      </c>
      <c r="BW518" s="145">
        <f>+BW97</f>
        <v>83</v>
      </c>
      <c r="BX518" s="72">
        <f t="shared" ref="BX518:BX531" si="2455">IF(ISERROR(BW518/BO518),"NA",IF(OR(BW518/BO518&gt;2,BW518/BO518&lt;0.5),"NM",BW518/BO518*100-100))</f>
        <v>-27.826086956521735</v>
      </c>
      <c r="BY518" s="145">
        <f>+BY97</f>
        <v>73</v>
      </c>
      <c r="BZ518" s="72" t="str">
        <f t="shared" ref="BZ518:BZ531" si="2456">IF(ISERROR(BY518/BQ518),"NA",IF(OR(BY518/BQ518&gt;2,BY518/BQ518&lt;0.5),"NM",BY518/BQ518*100-100))</f>
        <v>NM</v>
      </c>
      <c r="CA518" s="145">
        <f>+CA97</f>
        <v>235</v>
      </c>
      <c r="CB518" s="72" t="str">
        <f t="shared" ref="CB518:CB531" si="2457">IF(ISERROR(CA518/BS518),"NA",IF(OR(CA518/BS518&gt;2,CA518/BS518&lt;0.5),"NM",CA518/BS518*100-100))</f>
        <v>NM</v>
      </c>
      <c r="CC518" s="145">
        <f>+CC97</f>
        <v>118</v>
      </c>
      <c r="CD518" s="72">
        <f t="shared" ref="CD518:CD531" si="2458">IF(ISERROR(CC518/BU518),"NA",IF(OR(CC518/BU518&gt;2,CC518/BU518&lt;0.5),"NM",CC518/BU518*100-100))</f>
        <v>24.21052631578948</v>
      </c>
      <c r="CE518" s="145">
        <f>+CE97</f>
        <v>126</v>
      </c>
      <c r="CF518" s="72">
        <f t="shared" ref="CF518:CF531" si="2459">IF(ISERROR(CE518/BW518),"NA",IF(OR(CE518/BW518&gt;2,CE518/BW518&lt;0.5),"NM",CE518/BW518*100-100))</f>
        <v>51.807228915662648</v>
      </c>
      <c r="CG518" s="145">
        <f>+CG97</f>
        <v>140</v>
      </c>
      <c r="CH518" s="72">
        <f t="shared" ref="CH518:CH531" si="2460">IF(ISERROR(CG518/BY518),"NA",IF(OR(CG518/BY518&gt;2,CG518/BY518&lt;0.5),"NM",CG518/BY518*100-100))</f>
        <v>91.780821917808197</v>
      </c>
      <c r="CI518" s="145">
        <f>+CI97</f>
        <v>140</v>
      </c>
      <c r="CJ518" s="72">
        <f t="shared" ref="CJ518:CJ531" si="2461">IF(ISERROR(CI518/CA518),"NA",IF(OR(CI518/CA518&gt;2,CI518/CA518&lt;0.5),"NM",CI518/CA518*100-100))</f>
        <v>-40.425531914893618</v>
      </c>
      <c r="CK518" s="145">
        <f>+CK97</f>
        <v>171</v>
      </c>
      <c r="CL518" s="72">
        <f t="shared" ref="CL518:CL531" si="2462">IF(ISERROR(CK518/CC518),"NA",IF(OR(CK518/CC518&gt;2,CK518/CC518&lt;0.5),"NM",CK518/CC518*100-100))</f>
        <v>44.915254237288138</v>
      </c>
      <c r="CM518" s="145">
        <f>+CM97</f>
        <v>215.6</v>
      </c>
      <c r="CN518" s="72">
        <f t="shared" ref="CN518:CN531" si="2463">IF(ISERROR(CM518/CE518),"NA",IF(OR(CM518/CE518&gt;2,CM518/CE518&lt;0.5),"NM",CM518/CE518*100-100))</f>
        <v>71.111111111111114</v>
      </c>
      <c r="CO518" s="145">
        <f>+CO97</f>
        <v>242</v>
      </c>
      <c r="CP518" s="72">
        <f t="shared" ref="CP518:CP531" si="2464">IF(ISERROR(CO518/CG518),"NA",IF(OR(CO518/CG518&gt;2,CO518/CG518&lt;0.5),"NM",CO518/CG518*100-100))</f>
        <v>72.857142857142861</v>
      </c>
      <c r="CQ518" s="145">
        <f>+CQ97</f>
        <v>229</v>
      </c>
      <c r="CR518" s="72">
        <f t="shared" ref="CR518:CR531" si="2465">IF(ISERROR(CQ518/CI518),"NA",IF(OR(CQ518/CI518&gt;2,CQ518/CI518&lt;0.5),"NM",CQ518/CI518*100-100))</f>
        <v>63.571428571428555</v>
      </c>
      <c r="CS518" s="145">
        <f>+CS97</f>
        <v>197</v>
      </c>
      <c r="CT518" s="72">
        <f t="shared" ref="CT518:CT531" si="2466">IF(ISERROR(CS518/CK518),"NA",IF(OR(CS518/CK518&gt;2,CS518/CK518&lt;0.5),"NM",CS518/CK518*100-100))</f>
        <v>15.204678362573105</v>
      </c>
      <c r="CU518" s="145">
        <f>+CU97</f>
        <v>225</v>
      </c>
      <c r="CV518" s="72">
        <f t="shared" ref="CV518:CV531" si="2467">IF(ISERROR(CU518/CM518),"NA",IF(OR(CU518/CM518&gt;2,CU518/CM518&lt;0.5),"NM",CU518/CM518*100-100))</f>
        <v>4.3599257884972218</v>
      </c>
      <c r="CW518" s="145">
        <f>+CW97</f>
        <v>231</v>
      </c>
      <c r="CX518" s="72">
        <f t="shared" ref="CX518:CX531" si="2468">IF(ISERROR(CW518/CO518),"NA",IF(OR(CW518/CO518&gt;2,CW518/CO518&lt;0.5),"NM",CW518/CO518*100-100))</f>
        <v>-4.5454545454545467</v>
      </c>
      <c r="CY518" s="145">
        <f>+CY97</f>
        <v>255</v>
      </c>
      <c r="CZ518" s="72">
        <f t="shared" ref="CZ518:CZ531" si="2469">IF(ISERROR(CY518/CQ518),"NA",IF(OR(CY518/CQ518&gt;2,CY518/CQ518&lt;0.5),"NM",CY518/CQ518*100-100))</f>
        <v>11.353711790393021</v>
      </c>
      <c r="DA518" s="145">
        <f>+DA97</f>
        <v>273</v>
      </c>
      <c r="DB518" s="72">
        <f t="shared" ref="DB518:DB531" si="2470">IF(ISERROR(DA518/CS518),"NA",IF(OR(DA518/CS518&gt;2,DA518/CS518&lt;0.5),"NM",DA518/CS518*100-100))</f>
        <v>38.578680203045678</v>
      </c>
      <c r="DC518" s="145">
        <f>+DC97</f>
        <v>310</v>
      </c>
      <c r="DD518" s="72">
        <f t="shared" ref="DD518:DD531" si="2471">IF(ISERROR(DC518/CU518),"NA",IF(OR(DC518/CU518&gt;2,DC518/CU518&lt;0.5),"NM",DC518/CU518*100-100))</f>
        <v>37.777777777777771</v>
      </c>
      <c r="DE518" s="145">
        <f>+DE97</f>
        <v>325</v>
      </c>
      <c r="DF518" s="72">
        <f t="shared" ref="DF518:DF531" si="2472">IF(ISERROR(DE518/CW518),"NA",IF(OR(DE518/CW518&gt;2,DE518/CW518&lt;0.5),"NM",DE518/CW518*100-100))</f>
        <v>40.69264069264068</v>
      </c>
      <c r="DG518" s="145">
        <f>+DG97</f>
        <v>370</v>
      </c>
      <c r="DH518" s="72">
        <f t="shared" ref="DH518:DH531" si="2473">IF(ISERROR(DG518/CY518),"NA",IF(OR(DG518/CY518&gt;2,DG518/CY518&lt;0.5),"NM",DG518/CY518*100-100))</f>
        <v>45.098039215686271</v>
      </c>
      <c r="DI518" s="145">
        <f>+DI97</f>
        <v>384</v>
      </c>
      <c r="DJ518" s="72">
        <f t="shared" ref="DJ518:DJ531" si="2474">IF(ISERROR(DI518/DA518),"NA",IF(OR(DI518/DA518&gt;2,DI518/DA518&lt;0.5),"NM",DI518/DA518*100-100))</f>
        <v>40.659340659340671</v>
      </c>
      <c r="DK518" s="145">
        <f>+DK97</f>
        <v>409</v>
      </c>
      <c r="DL518" s="72">
        <f t="shared" ref="DL518:DL531" si="2475">IF(ISERROR(DK518/DC518),"NA",IF(OR(DK518/DC518&gt;2,DK518/DC518&lt;0.5),"NM",DK518/DC518*100-100))</f>
        <v>31.935483870967744</v>
      </c>
      <c r="DM518" s="145">
        <f>+DM97</f>
        <v>394</v>
      </c>
      <c r="DN518" s="72">
        <f t="shared" ref="DN518:DZ531" si="2476">IF(ISERROR(DM518/DE518),"NA",IF(OR(DM518/DE518&gt;2,DM518/DE518&lt;0.5),"NM",DM518/DE518*100-100))</f>
        <v>21.230769230769226</v>
      </c>
      <c r="DO518" s="145">
        <f>+DO97</f>
        <v>403</v>
      </c>
      <c r="DP518" s="72">
        <f t="shared" si="2476"/>
        <v>8.9189189189189193</v>
      </c>
      <c r="DQ518" s="145">
        <f>+DQ97</f>
        <v>390</v>
      </c>
      <c r="DR518" s="72">
        <f t="shared" si="2476"/>
        <v>1.5625</v>
      </c>
      <c r="DS518" s="145">
        <f>+DS97</f>
        <v>423</v>
      </c>
      <c r="DT518" s="72">
        <f t="shared" si="2476"/>
        <v>3.4229828850855739</v>
      </c>
      <c r="DU518" s="145">
        <f>+DU97</f>
        <v>423</v>
      </c>
      <c r="DV518" s="72">
        <f t="shared" si="2476"/>
        <v>7.3604060913705638</v>
      </c>
      <c r="DW518" s="145">
        <f>+DW97</f>
        <v>414</v>
      </c>
      <c r="DX518" s="72">
        <f t="shared" si="2476"/>
        <v>2.7295285359801369</v>
      </c>
      <c r="DY518" s="145">
        <f>+DY97</f>
        <v>403</v>
      </c>
      <c r="DZ518" s="72">
        <f t="shared" si="2476"/>
        <v>3.3333333333333428</v>
      </c>
      <c r="EA518" s="145">
        <f>+EA97</f>
        <v>381</v>
      </c>
      <c r="EB518" s="72">
        <f t="shared" ref="EB518:EB531" si="2477">IF(ISERROR(EA518/DS518),"NA",IF(OR(EA518/DS518&gt;2,EA518/DS518&lt;0.5),"NM",EA518/DS518*100-100))</f>
        <v>-9.9290780141843982</v>
      </c>
      <c r="EC518" s="145">
        <f>+EC97</f>
        <v>375</v>
      </c>
      <c r="ED518" s="72">
        <f t="shared" ref="ED518:ED531" si="2478">IF(ISERROR(EC518/DU518),"NA",IF(OR(EC518/DU518&gt;2,EC518/DU518&lt;0.5),"NM",EC518/DU518*100-100))</f>
        <v>-11.347517730496463</v>
      </c>
      <c r="EE518" s="145">
        <f>+EE97</f>
        <v>449</v>
      </c>
      <c r="EF518" s="72">
        <f t="shared" ref="EF518:EF531" si="2479">IF(ISERROR(EE518/DW518),"NA",IF(OR(EE518/DW518&gt;2,EE518/DW518&lt;0.5),"NM",EE518/DW518*100-100))</f>
        <v>8.4541062801932298</v>
      </c>
      <c r="EG518" s="145">
        <f>+EG97</f>
        <v>422</v>
      </c>
      <c r="EH518" s="72">
        <f t="shared" ref="EH518:EH531" si="2480">IF(ISERROR(EG518/DY518),"NA",IF(OR(EG518/DY518&gt;2,EG518/DY518&lt;0.5),"NM",EG518/DY518*100-100))</f>
        <v>4.7146401985111481</v>
      </c>
      <c r="EI518" s="145">
        <f>+EI97</f>
        <v>448.1</v>
      </c>
      <c r="EJ518" s="72">
        <f t="shared" ref="EJ518:EJ531" si="2481">IF(ISERROR(EI518/EA518),"NA",IF(OR(EI518/EA518&gt;2,EI518/EA518&lt;0.5),"NM",EI518/EA518*100-100))</f>
        <v>17.611548556430449</v>
      </c>
      <c r="EK518" s="145">
        <f>+EK97</f>
        <v>512</v>
      </c>
      <c r="EL518" s="72">
        <f t="shared" ref="EL518:EL531" si="2482">IF(ISERROR(EK518/EC518),"NA",IF(OR(EK518/EC518&gt;2,EK518/EC518&lt;0.5),"NM",EK518/EC518*100-100))</f>
        <v>36.533333333333331</v>
      </c>
      <c r="EM518" s="145">
        <f>+EM97</f>
        <v>529</v>
      </c>
      <c r="EN518" s="72">
        <f t="shared" ref="EN518:EN531" si="2483">IF(ISERROR(EM518/EE518),"NA",IF(OR(EM518/EE518&gt;2,EM518/EE518&lt;0.5),"NM",EM518/EE518*100-100))</f>
        <v>17.817371937639194</v>
      </c>
      <c r="EO518" s="145">
        <f>+EO97</f>
        <v>525</v>
      </c>
      <c r="EP518" s="72">
        <f t="shared" ref="EP518:EP531" si="2484">IF(ISERROR(EO518/EG518),"NA",IF(OR(EO518/EG518&gt;2,EO518/EG518&lt;0.5),"NM",EO518/EG518*100-100))</f>
        <v>24.407582938388629</v>
      </c>
      <c r="EQ518" s="144">
        <f>+EQ97</f>
        <v>527.21518307284816</v>
      </c>
      <c r="ER518" s="72">
        <f t="shared" ref="ER518:ER531" si="2485">IF(ISERROR(EQ518/EI518),"NA",IF(OR(EQ518/EI518&gt;2,EQ518/EI518&lt;0.5),"NM",EQ518/EI518*100-100))</f>
        <v>17.655698074726203</v>
      </c>
      <c r="ES518" s="144">
        <f>+ES97</f>
        <v>523.69219613527025</v>
      </c>
      <c r="ET518" s="72">
        <f t="shared" ref="ET518:ET531" si="2486">IF(ISERROR(ES518/EK518),"NA",IF(OR(ES518/EK518&gt;2,ES518/EK518&lt;0.5),"NM",ES518/EK518*100-100))</f>
        <v>2.2836320576699762</v>
      </c>
      <c r="EU518" s="144">
        <f>+EU97</f>
        <v>524.33437578534028</v>
      </c>
      <c r="EV518" s="72">
        <f t="shared" ref="EV518:EV531" si="2487">IF(ISERROR(EU518/EM518),"NA",IF(OR(EU518/EM518&gt;2,EU518/EM518&lt;0.5),"NM",EU518/EM518*100-100))</f>
        <v>-0.88197055097538168</v>
      </c>
      <c r="EW518" s="144">
        <f>+EW97</f>
        <v>504.2175605180164</v>
      </c>
      <c r="EX518" s="72">
        <f t="shared" ref="EX518:EX531" si="2488">IF(ISERROR(EW518/EO518),"NA",IF(OR(EW518/EO518&gt;2,EW518/EO518&lt;0.5),"NM",EW518/EO518*100-100))</f>
        <v>-3.9585599013302044</v>
      </c>
      <c r="EY518" s="72"/>
      <c r="EZ518" s="296"/>
      <c r="FA518" s="72"/>
      <c r="FB518" s="145"/>
      <c r="FC518" s="11"/>
      <c r="FD518" s="144">
        <f>+FD97</f>
        <v>100</v>
      </c>
      <c r="FE518" s="72" t="str">
        <f t="shared" ref="FE518:FE531" si="2489">IF(ISERROR(FD518/FB518),"NA",IF(OR(FD518/FB518&gt;2,FD518/FB518&lt;0.5),"NM",FD518/FB518*100-100))</f>
        <v>NA</v>
      </c>
      <c r="FF518" s="144">
        <f>+FF97</f>
        <v>147</v>
      </c>
      <c r="FG518" s="72">
        <f t="shared" ref="FG518:FG531" si="2490">IF(ISERROR(FF518/FD518),"NA",IF(OR(FF518/FD518&gt;2,FF518/FD518&lt;0.5),"NM",FF518/FD518*100-100))</f>
        <v>47</v>
      </c>
      <c r="FH518" s="144">
        <f>+FH97</f>
        <v>107</v>
      </c>
      <c r="FI518" s="72">
        <f t="shared" ref="FI518:FI531" si="2491">IF(ISERROR(FH518/FF518),"NA",IF(OR(FH518/FF518&gt;2,FH518/FF518&lt;0.5),"NM",FH518/FF518*100-100))</f>
        <v>-27.210884353741491</v>
      </c>
      <c r="FJ518" s="144">
        <f>+FJ97</f>
        <v>-42</v>
      </c>
      <c r="FK518" s="72" t="str">
        <f t="shared" ref="FK518:FK531" si="2492">IF(ISERROR(FJ518/FH518),"NA",IF(OR(FJ518/FH518&gt;2,FJ518/FH518&lt;0.5),"NM",FJ518/FH518*100-100))</f>
        <v>NM</v>
      </c>
      <c r="FL518" s="144">
        <f>+FL97</f>
        <v>262</v>
      </c>
      <c r="FM518" s="72" t="str">
        <f t="shared" ref="FM518:FM531" si="2493">IF(ISERROR(FL518/FJ518),"NA",IF(OR(FL518/FJ518&gt;2,FL518/FJ518&lt;0.5),"NM",FL518/FJ518*100-100))</f>
        <v>NM</v>
      </c>
      <c r="FN518" s="144">
        <f>+FN97</f>
        <v>389</v>
      </c>
      <c r="FO518" s="72">
        <f>IF(ISERROR(FN518/FL518),"NA",IF(OR(FN518/FL518&gt;2,FN518/FL518&lt;0.5),"NM",FN518/FL518*100-100))</f>
        <v>48.473282442748086</v>
      </c>
      <c r="FP518" s="144">
        <f>+FP97</f>
        <v>403</v>
      </c>
      <c r="FQ518" s="72">
        <f>IF(ISERROR(FP518/FN518),"NA",IF(OR(FP518/FN518&gt;2,FP518/FN518&lt;0.5),"NM",FP518/FN518*100-100))</f>
        <v>3.5989717223650359</v>
      </c>
      <c r="FR518" s="144">
        <f>+FR97</f>
        <v>549</v>
      </c>
      <c r="FS518" s="72">
        <f>IF(ISERROR(FR518/FP518),"NA",IF(OR(FR518/FP518&gt;2,FR518/FP518&lt;0.5),"NM",FR518/FP518*100-100))</f>
        <v>36.228287841191076</v>
      </c>
      <c r="FT518" s="144">
        <f>+FT97</f>
        <v>699</v>
      </c>
      <c r="FU518" s="72">
        <f>IF(ISERROR(FT518/FR518),"NA",IF(OR(FT518/FR518&gt;2,FT518/FR518&lt;0.5),"NM",FT518/FR518*100-100))</f>
        <v>27.32240437158471</v>
      </c>
      <c r="FV518" s="144">
        <f>+FV97</f>
        <v>596</v>
      </c>
      <c r="FW518" s="72">
        <f>IF(ISERROR(FV518/FT518),"NA",IF(OR(FV518/FT518&gt;2,FV518/FT518&lt;0.5),"NM",FV518/FT518*100-100))</f>
        <v>-14.735336194563658</v>
      </c>
      <c r="FX518" s="144">
        <f>+FX97</f>
        <v>424</v>
      </c>
      <c r="FY518" s="72">
        <f>IF(ISERROR(FX518/FV518),"NA",IF(OR(FX518/FV518&gt;2,FX518/FV518&lt;0.5),"NM",FX518/FV518*100-100))</f>
        <v>-28.859060402684563</v>
      </c>
      <c r="FZ518" s="144">
        <f>+FZ97</f>
        <v>577</v>
      </c>
      <c r="GA518" s="72">
        <f>IF(ISERROR(FZ518/FX518),"NA",IF(OR(FZ518/FX518&gt;2,FZ518/FX518&lt;0.5),"NM",FZ518/FX518*100-100))</f>
        <v>36.084905660377359</v>
      </c>
      <c r="GB518" s="144">
        <f>+GB97</f>
        <v>883.6</v>
      </c>
      <c r="GC518" s="72">
        <f t="shared" ref="GC518:GC531" si="2494">IF(ISERROR(GB518/FZ518),"NA",IF(OR(GB518/FZ518&gt;2,GB518/FZ518&lt;0.5),"NM",GB518/FZ518*100-100))</f>
        <v>53.136915077989613</v>
      </c>
      <c r="GD518" s="144">
        <f>+GD97</f>
        <v>984</v>
      </c>
      <c r="GE518" s="72">
        <f t="shared" ref="GE518:GG531" si="2495">IF(ISERROR(GD518/GB518),"NA",IF(OR(GD518/GB518&gt;2,GD518/GB518&lt;0.5),"NM",GD518/GB518*100-100))</f>
        <v>11.362607514712536</v>
      </c>
      <c r="GF518" s="144">
        <f>+GF97</f>
        <v>1389</v>
      </c>
      <c r="GG518" s="72">
        <f t="shared" si="2495"/>
        <v>41.158536585365852</v>
      </c>
      <c r="GH518" s="144">
        <f>+GH97</f>
        <v>1596</v>
      </c>
      <c r="GI518" s="72">
        <f t="shared" ref="GI518:GU531" si="2496">IF(ISERROR(GH518/GF518),"NA",IF(OR(GH518/GF518&gt;2,GH518/GF518&lt;0.5),"NM",GH518/GF518*100-100))</f>
        <v>14.90280777537798</v>
      </c>
      <c r="GJ518" s="144">
        <f>+GJ97</f>
        <v>1663</v>
      </c>
      <c r="GK518" s="72">
        <f t="shared" si="2496"/>
        <v>4.1979949874686611</v>
      </c>
      <c r="GL518" s="144">
        <f>+GL97</f>
        <v>1627</v>
      </c>
      <c r="GM518" s="72">
        <f t="shared" si="2496"/>
        <v>-2.1647624774503811</v>
      </c>
      <c r="GN518" s="144">
        <f>+GN97</f>
        <v>2014.1</v>
      </c>
      <c r="GO518" s="72">
        <f t="shared" si="2496"/>
        <v>23.79225568531038</v>
      </c>
      <c r="GP518" s="144">
        <f>+GP97</f>
        <v>2079.4593155114753</v>
      </c>
      <c r="GQ518" s="72">
        <f t="shared" si="2496"/>
        <v>3.2450879058376216</v>
      </c>
      <c r="GR518" s="144">
        <f>+GR97</f>
        <v>2045.8808109448855</v>
      </c>
      <c r="GS518" s="72">
        <f t="shared" si="2496"/>
        <v>-1.6147709318530588</v>
      </c>
      <c r="GT518" s="144">
        <f>+GT97</f>
        <v>2016.1961540738039</v>
      </c>
      <c r="GU518" s="72">
        <f t="shared" si="2496"/>
        <v>-1.4509475191456573</v>
      </c>
      <c r="GV518" s="144">
        <f>+GV97</f>
        <v>1990.0737062204503</v>
      </c>
      <c r="GW518" s="72">
        <f t="shared" ref="GW518:GW531" si="2497">IF(ISERROR(GV518/GT518),"NA",IF(OR(GV518/GT518&gt;2,GV518/GT518&lt;0.5),"NM",GV518/GT518*100-100))</f>
        <v>-1.2956302788581411</v>
      </c>
      <c r="GX518" s="144">
        <f>+GX97</f>
        <v>1967.4739029153461</v>
      </c>
      <c r="GY518" s="72">
        <f t="shared" ref="GY518:GY531" si="2498">IF(ISERROR(GX518/GV518),"NA",IF(OR(GX518/GV518&gt;2,GX518/GV518&lt;0.5),"NM",GX518/GV518*100-100))</f>
        <v>-1.135626446119204</v>
      </c>
      <c r="GZ518" s="72">
        <f t="shared" ref="GZ518:GZ531" si="2499">IF(ISERROR(((GX518/GN518)^0.2-1)*100),"NA",IF((((GX518/GN518)^0.2-1)*100)&gt;100,"NM",IF((((GX518/GN518)^0.2-1)*100)&lt;-50,"NM",((GX518/GN518)^0.2-1)*100)))</f>
        <v>-0.46734469743515694</v>
      </c>
      <c r="HA518" s="72"/>
      <c r="HB518" s="72"/>
      <c r="HC518"/>
      <c r="HD518"/>
      <c r="HE518"/>
      <c r="HF518"/>
      <c r="HG518"/>
      <c r="HH518"/>
      <c r="HI518" s="2"/>
    </row>
    <row r="519" spans="1:217" s="3" customFormat="1" ht="12.75" customHeight="1" x14ac:dyDescent="0.2">
      <c r="A519" s="3" t="s">
        <v>530</v>
      </c>
      <c r="B519" s="10" t="s">
        <v>75</v>
      </c>
      <c r="C519" s="145">
        <f>+C132</f>
        <v>53</v>
      </c>
      <c r="D519" s="11"/>
      <c r="E519" s="145">
        <f>+E132</f>
        <v>81</v>
      </c>
      <c r="F519" s="11"/>
      <c r="G519" s="145">
        <f>+G132</f>
        <v>11</v>
      </c>
      <c r="H519" s="167"/>
      <c r="I519" s="145">
        <f>+I132</f>
        <v>-31</v>
      </c>
      <c r="J519" s="11"/>
      <c r="K519" s="145">
        <f>+K132</f>
        <v>79</v>
      </c>
      <c r="L519" s="72">
        <f>IF(ISERROR(K519/C519),"NA",IF(OR(K519/C519&gt;2,K519/C519&lt;0.5),"NM",K519/C519*100-100))</f>
        <v>49.056603773584897</v>
      </c>
      <c r="M519" s="145">
        <f>+M132</f>
        <v>87</v>
      </c>
      <c r="N519" s="72">
        <f>IF(ISERROR(M519/E519),"NA",IF(OR(M519/E519&gt;2,M519/E519&lt;0.5),"NM",M519/E519*100-100))</f>
        <v>7.407407407407419</v>
      </c>
      <c r="O519" s="145">
        <f>+O132</f>
        <v>76</v>
      </c>
      <c r="P519" s="72" t="str">
        <f>IF(ISERROR(O519/G519),"NA",IF(OR(O519/G519&gt;2,O519/G519&lt;0.5),"NM",O519/G519*100-100))</f>
        <v>NM</v>
      </c>
      <c r="Q519" s="145">
        <f>+Q132</f>
        <v>31</v>
      </c>
      <c r="R519" s="72" t="str">
        <f>IF(ISERROR(Q519/I519),"NA",IF(OR(Q519/I519&gt;2,Q519/I519&lt;0.5),"NM",Q519/I519*100-100))</f>
        <v>NM</v>
      </c>
      <c r="S519" s="145">
        <f>+S132</f>
        <v>117</v>
      </c>
      <c r="T519" s="72">
        <f>IF(ISERROR(S519/K519),"NA",IF(OR(S519/K519&gt;2,S519/K519&lt;0.5),"NM",S519/K519*100-100))</f>
        <v>48.101265822784796</v>
      </c>
      <c r="U519" s="145">
        <f>+U132</f>
        <v>130</v>
      </c>
      <c r="V519" s="72">
        <f>IF(ISERROR(U519/M519),"NA",IF(OR(U519/M519&gt;2,U519/M519&lt;0.5),"NM",U519/M519*100-100))</f>
        <v>49.425287356321832</v>
      </c>
      <c r="W519" s="145">
        <f>+W132</f>
        <v>115</v>
      </c>
      <c r="X519" s="72">
        <f>IF(ISERROR(W519/O519),"NA",IF(OR(W519/O519&gt;2,W519/O519&lt;0.5),"NM",W519/O519*100-100))</f>
        <v>51.315789473684191</v>
      </c>
      <c r="Y519" s="145">
        <f>+Y132</f>
        <v>70</v>
      </c>
      <c r="Z519" s="72" t="str">
        <f>IF(ISERROR(Y519/Q519),"NA",IF(OR(Y519/Q519&gt;2,Y519/Q519&lt;0.5),"NM",Y519/Q519*100-100))</f>
        <v>NM</v>
      </c>
      <c r="AA519" s="145">
        <f>+AA132</f>
        <v>106</v>
      </c>
      <c r="AB519" s="72">
        <f>IF(ISERROR(AA519/S519),"NA",IF(OR(AA519/S519&gt;2,AA519/S519&lt;0.5),"NM",AA519/S519*100-100))</f>
        <v>-9.4017094017093967</v>
      </c>
      <c r="AC519" s="145">
        <f>+AC132</f>
        <v>113</v>
      </c>
      <c r="AD519" s="72">
        <f>IF(ISERROR(AC519/U519),"NA",IF(OR(AC519/U519&gt;2,AC519/U519&lt;0.5),"NM",AC519/U519*100-100))</f>
        <v>-13.07692307692308</v>
      </c>
      <c r="AE519" s="145">
        <f>+AE132</f>
        <v>75</v>
      </c>
      <c r="AF519" s="72">
        <f>IF(ISERROR(AE519/W519),"NA",IF(OR(AE519/W519&gt;2,AE519/W519&lt;0.5),"NM",AE519/W519*100-100))</f>
        <v>-34.782608695652172</v>
      </c>
      <c r="AG519" s="145">
        <f>+AG132</f>
        <v>63</v>
      </c>
      <c r="AH519" s="72">
        <f>IF(ISERROR(AG519/Y519),"NA",IF(OR(AG519/Y519&gt;2,AG519/Y519&lt;0.5),"NM",AG519/Y519*100-100))</f>
        <v>-10</v>
      </c>
      <c r="AI519" s="145">
        <f>+AI132</f>
        <v>87</v>
      </c>
      <c r="AJ519" s="72">
        <f>IF(ISERROR(AI519/AA519),"NA",IF(OR(AI519/AA519&gt;2,AI519/AA519&lt;0.5),"NM",AI519/AA519*100-100))</f>
        <v>-17.924528301886795</v>
      </c>
      <c r="AK519" s="145">
        <f>+AK132</f>
        <v>98</v>
      </c>
      <c r="AL519" s="72">
        <f>IF(ISERROR(AK519/AC519),"NA",IF(OR(AK519/AC519&gt;2,AK519/AC519&lt;0.5),"NM",AK519/AC519*100-100))</f>
        <v>-13.274336283185846</v>
      </c>
      <c r="AM519" s="145">
        <f>+AM132</f>
        <v>101</v>
      </c>
      <c r="AN519" s="72">
        <f>IF(ISERROR(AM519/AE519),"NA",IF(OR(AM519/AE519&gt;2,AM519/AE519&lt;0.5),"NM",AM519/AE519*100-100))</f>
        <v>34.666666666666657</v>
      </c>
      <c r="AO519" s="145">
        <f>+AO132</f>
        <v>91</v>
      </c>
      <c r="AP519" s="72">
        <f>IF(ISERROR(AO519/AG519),"NA",IF(OR(AO519/AG519&gt;2,AO519/AG519&lt;0.5),"NM",AO519/AG519*100-100))</f>
        <v>44.444444444444429</v>
      </c>
      <c r="AQ519" s="145">
        <f>+AQ132</f>
        <v>90</v>
      </c>
      <c r="AR519" s="72">
        <f>IF(ISERROR(AQ519/AI519),"NA",IF(OR(AQ519/AI519&gt;2,AQ519/AI519&lt;0.5),"NM",AQ519/AI519*100-100))</f>
        <v>3.448275862068968</v>
      </c>
      <c r="AS519" s="145">
        <f>+AS132</f>
        <v>103</v>
      </c>
      <c r="AT519" s="72">
        <f>IF(ISERROR(AS519/AK519),"NA",IF(OR(AS519/AK519&gt;2,AS519/AK519&lt;0.5),"NM",AS519/AK519*100-100))</f>
        <v>5.1020408163265216</v>
      </c>
      <c r="AU519" s="145">
        <f>+AU132</f>
        <v>107</v>
      </c>
      <c r="AV519" s="72">
        <f>IF(ISERROR(AU519/AM519),"NA",IF(OR(AU519/AM519&gt;2,AU519/AM519&lt;0.5),"NM",AU519/AM519*100-100))</f>
        <v>5.940594059405953</v>
      </c>
      <c r="AW519" s="145">
        <f>+AW132</f>
        <v>142</v>
      </c>
      <c r="AX519" s="72">
        <f>IF(ISERROR(AW519/AO519),"NA",IF(OR(AW519/AO519&gt;2,AW519/AO519&lt;0.5),"NM",AW519/AO519*100-100))</f>
        <v>56.043956043956058</v>
      </c>
      <c r="AY519" s="145">
        <f>+AY132</f>
        <v>117</v>
      </c>
      <c r="AZ519" s="72">
        <f>IF(ISERROR(AY519/AQ519),"NA",IF(OR(AY519/AQ519&gt;2,AY519/AQ519&lt;0.5),"NM",AY519/AQ519*100-100))</f>
        <v>30</v>
      </c>
      <c r="BA519" s="145">
        <f>+BA132</f>
        <v>102</v>
      </c>
      <c r="BB519" s="72">
        <f>IF(ISERROR(BA519/AS519),"NA",IF(OR(BA519/AS519&gt;2,BA519/AS519&lt;0.5),"NM",BA519/AS519*100-100))</f>
        <v>-0.97087378640776478</v>
      </c>
      <c r="BC519" s="145">
        <f>+BC132</f>
        <v>112</v>
      </c>
      <c r="BD519" s="72">
        <f>IF(ISERROR(BC519/AU519),"NA",IF(OR(BC519/AU519&gt;2,BC519/AU519&lt;0.5),"NM",BC519/AU519*100-100))</f>
        <v>4.6728971962616725</v>
      </c>
      <c r="BE519" s="145">
        <f>+BE132</f>
        <v>132</v>
      </c>
      <c r="BF519" s="72">
        <f>IF(ISERROR(BE519/AW519),"NA",IF(OR(BE519/AW519&gt;2,BE519/AW519&lt;0.5),"NM",BE519/AW519*100-100))</f>
        <v>-7.0422535211267672</v>
      </c>
      <c r="BG519" s="145">
        <f>+BG132</f>
        <v>101</v>
      </c>
      <c r="BH519" s="72">
        <f>IF(ISERROR(BG519/AY519),"NA",IF(OR(BG519/AY519&gt;2,BG519/AY519&lt;0.5),"NM",BG519/AY519*100-100))</f>
        <v>-13.675213675213669</v>
      </c>
      <c r="BI519" s="145">
        <f>+BI132</f>
        <v>141</v>
      </c>
      <c r="BJ519" s="72">
        <f>IF(ISERROR(BI519/BA519),"NA",IF(OR(BI519/BA519&gt;2,BI519/BA519&lt;0.5),"NM",BI519/BA519*100-100))</f>
        <v>38.235294117647044</v>
      </c>
      <c r="BK519" s="145">
        <f>+BK132</f>
        <v>176</v>
      </c>
      <c r="BL519" s="72">
        <f>IF(ISERROR(BK519/BC519),"NA",IF(OR(BK519/BC519&gt;2,BK519/BC519&lt;0.5),"NM",BK519/BC519*100-100))</f>
        <v>57.142857142857139</v>
      </c>
      <c r="BM519" s="145">
        <f>+BM132</f>
        <v>133</v>
      </c>
      <c r="BN519" s="72">
        <f>IF(ISERROR(BM519/BE519),"NA",IF(OR(BM519/BE519&gt;2,BM519/BE519&lt;0.5),"NM",BM519/BE519*100-100))</f>
        <v>0.75757575757575069</v>
      </c>
      <c r="BO519" s="145">
        <f>+BO132</f>
        <v>96</v>
      </c>
      <c r="BP519" s="72">
        <f>IF(ISERROR(BO519/BG519),"NA",IF(OR(BO519/BG519&gt;2,BO519/BG519&lt;0.5),"NM",BO519/BG519*100-100))</f>
        <v>-4.9504950495049513</v>
      </c>
      <c r="BQ519" s="145">
        <f>+BQ132</f>
        <v>103</v>
      </c>
      <c r="BR519" s="72">
        <f>IF(ISERROR(BQ519/BI519),"NA",IF(OR(BQ519/BI519&gt;2,BQ519/BI519&lt;0.5),"NM",BQ519/BI519*100-100))</f>
        <v>-26.950354609929079</v>
      </c>
      <c r="BS519" s="145">
        <f>+BS132</f>
        <v>106</v>
      </c>
      <c r="BT519" s="72">
        <f>IF(ISERROR(BS519/BK519),"NA",IF(OR(BS519/BK519&gt;2,BS519/BK519&lt;0.5),"NM",BS519/BK519*100-100))</f>
        <v>-39.772727272727273</v>
      </c>
      <c r="BU519" s="145">
        <f>+BU132</f>
        <v>9</v>
      </c>
      <c r="BV519" s="72" t="str">
        <f>IF(ISERROR(BU519/BM519),"NA",IF(OR(BU519/BM519&gt;2,BU519/BM519&lt;0.5),"NM",BU519/BM519*100-100))</f>
        <v>NM</v>
      </c>
      <c r="BW519" s="145">
        <f>+BW132</f>
        <v>72</v>
      </c>
      <c r="BX519" s="72">
        <f>IF(ISERROR(BW519/BO519),"NA",IF(OR(BW519/BO519&gt;2,BW519/BO519&lt;0.5),"NM",BW519/BO519*100-100))</f>
        <v>-25</v>
      </c>
      <c r="BY519" s="145">
        <f>+BY132</f>
        <v>115</v>
      </c>
      <c r="BZ519" s="72">
        <f>IF(ISERROR(BY519/BQ519),"NA",IF(OR(BY519/BQ519&gt;2,BY519/BQ519&lt;0.5),"NM",BY519/BQ519*100-100))</f>
        <v>11.650485436893206</v>
      </c>
      <c r="CA519" s="145">
        <f>+CA132</f>
        <v>107</v>
      </c>
      <c r="CB519" s="72">
        <f>IF(ISERROR(CA519/BS519),"NA",IF(OR(CA519/BS519&gt;2,CA519/BS519&lt;0.5),"NM",CA519/BS519*100-100))</f>
        <v>0.94339622641510346</v>
      </c>
      <c r="CC519" s="145">
        <f>+CC132</f>
        <v>141</v>
      </c>
      <c r="CD519" s="72" t="str">
        <f>IF(ISERROR(CC519/BU519),"NA",IF(OR(CC519/BU519&gt;2,CC519/BU519&lt;0.5),"NM",CC519/BU519*100-100))</f>
        <v>NM</v>
      </c>
      <c r="CE519" s="145">
        <f>+CE132</f>
        <v>86</v>
      </c>
      <c r="CF519" s="72">
        <f>IF(ISERROR(CE519/BW519),"NA",IF(OR(CE519/BW519&gt;2,CE519/BW519&lt;0.5),"NM",CE519/BW519*100-100))</f>
        <v>19.444444444444443</v>
      </c>
      <c r="CG519" s="145">
        <f>+CG132</f>
        <v>137</v>
      </c>
      <c r="CH519" s="72">
        <f>IF(ISERROR(CG519/BY519),"NA",IF(OR(CG519/BY519&gt;2,CG519/BY519&lt;0.5),"NM",CG519/BY519*100-100))</f>
        <v>19.130434782608702</v>
      </c>
      <c r="CI519" s="145">
        <f>+CI132</f>
        <v>105</v>
      </c>
      <c r="CJ519" s="72">
        <f>IF(ISERROR(CI519/CA519),"NA",IF(OR(CI519/CA519&gt;2,CI519/CA519&lt;0.5),"NM",CI519/CA519*100-100))</f>
        <v>-1.8691588785046775</v>
      </c>
      <c r="CK519" s="145">
        <f>+CK132</f>
        <v>132</v>
      </c>
      <c r="CL519" s="72">
        <f>IF(ISERROR(CK519/CC519),"NA",IF(OR(CK519/CC519&gt;2,CK519/CC519&lt;0.5),"NM",CK519/CC519*100-100))</f>
        <v>-6.3829787234042499</v>
      </c>
      <c r="CM519" s="145">
        <f>+CM132</f>
        <v>98</v>
      </c>
      <c r="CN519" s="72">
        <f>IF(ISERROR(CM519/CE519),"NA",IF(OR(CM519/CE519&gt;2,CM519/CE519&lt;0.5),"NM",CM519/CE519*100-100))</f>
        <v>13.95348837209302</v>
      </c>
      <c r="CO519" s="145">
        <f>+CO132</f>
        <v>135</v>
      </c>
      <c r="CP519" s="72">
        <f>IF(ISERROR(CO519/CG519),"NA",IF(OR(CO519/CG519&gt;2,CO519/CG519&lt;0.5),"NM",CO519/CG519*100-100))</f>
        <v>-1.4598540145985339</v>
      </c>
      <c r="CQ519" s="145">
        <f>+CQ132</f>
        <v>84</v>
      </c>
      <c r="CR519" s="72">
        <f>IF(ISERROR(CQ519/CI519),"NA",IF(OR(CQ519/CI519&gt;2,CQ519/CI519&lt;0.5),"NM",CQ519/CI519*100-100))</f>
        <v>-20</v>
      </c>
      <c r="CS519" s="145">
        <f>+CS132</f>
        <v>128</v>
      </c>
      <c r="CT519" s="72">
        <f>IF(ISERROR(CS519/CK519),"NA",IF(OR(CS519/CK519&gt;2,CS519/CK519&lt;0.5),"NM",CS519/CK519*100-100))</f>
        <v>-3.0303030303030312</v>
      </c>
      <c r="CU519" s="145">
        <f>+CU132</f>
        <v>112</v>
      </c>
      <c r="CV519" s="72">
        <f>IF(ISERROR(CU519/CM519),"NA",IF(OR(CU519/CM519&gt;2,CU519/CM519&lt;0.5),"NM",CU519/CM519*100-100))</f>
        <v>14.285714285714278</v>
      </c>
      <c r="CW519" s="145">
        <f>+CW132</f>
        <v>61</v>
      </c>
      <c r="CX519" s="72" t="str">
        <f>IF(ISERROR(CW519/CO519),"NA",IF(OR(CW519/CO519&gt;2,CW519/CO519&lt;0.5),"NM",CW519/CO519*100-100))</f>
        <v>NM</v>
      </c>
      <c r="CY519" s="145">
        <f>+CY132</f>
        <v>139</v>
      </c>
      <c r="CZ519" s="72">
        <f>IF(ISERROR(CY519/CQ519),"NA",IF(OR(CY519/CQ519&gt;2,CY519/CQ519&lt;0.5),"NM",CY519/CQ519*100-100))</f>
        <v>65.476190476190453</v>
      </c>
      <c r="DA519" s="145">
        <f>+DA132</f>
        <v>114</v>
      </c>
      <c r="DB519" s="72">
        <f>IF(ISERROR(DA519/CS519),"NA",IF(OR(DA519/CS519&gt;2,DA519/CS519&lt;0.5),"NM",DA519/CS519*100-100))</f>
        <v>-10.9375</v>
      </c>
      <c r="DC519" s="145">
        <f>+DC132</f>
        <v>145</v>
      </c>
      <c r="DD519" s="72">
        <f>IF(ISERROR(DC519/CU519),"NA",IF(OR(DC519/CU519&gt;2,DC519/CU519&lt;0.5),"NM",DC519/CU519*100-100))</f>
        <v>29.464285714285722</v>
      </c>
      <c r="DE519" s="145">
        <f>+DE132</f>
        <v>152</v>
      </c>
      <c r="DF519" s="72" t="str">
        <f>IF(ISERROR(DE519/CW519),"NA",IF(OR(DE519/CW519&gt;2,DE519/CW519&lt;0.5),"NM",DE519/CW519*100-100))</f>
        <v>NM</v>
      </c>
      <c r="DG519" s="145">
        <f>+DG132</f>
        <v>145</v>
      </c>
      <c r="DH519" s="72">
        <f>IF(ISERROR(DG519/CY519),"NA",IF(OR(DG519/CY519&gt;2,DG519/CY519&lt;0.5),"NM",DG519/CY519*100-100))</f>
        <v>4.3165467625899225</v>
      </c>
      <c r="DI519" s="145">
        <f>+DI132</f>
        <v>165</v>
      </c>
      <c r="DJ519" s="72">
        <f>IF(ISERROR(DI519/DA519),"NA",IF(OR(DI519/DA519&gt;2,DI519/DA519&lt;0.5),"NM",DI519/DA519*100-100))</f>
        <v>44.73684210526315</v>
      </c>
      <c r="DK519" s="145">
        <f>+DK132</f>
        <v>133</v>
      </c>
      <c r="DL519" s="72">
        <f>IF(ISERROR(DK519/DC519),"NA",IF(OR(DK519/DC519&gt;2,DK519/DC519&lt;0.5),"NM",DK519/DC519*100-100))</f>
        <v>-8.2758620689655231</v>
      </c>
      <c r="DM519" s="145">
        <f>+DM132</f>
        <v>166</v>
      </c>
      <c r="DN519" s="72">
        <f>IF(ISERROR(DM519/DE519),"NA",IF(OR(DM519/DE519&gt;2,DM519/DE519&lt;0.5),"NM",DM519/DE519*100-100))</f>
        <v>9.2105263157894655</v>
      </c>
      <c r="DO519" s="145">
        <f>+DO132</f>
        <v>168</v>
      </c>
      <c r="DP519" s="72">
        <f>IF(ISERROR(DO519/DG519),"NA",IF(OR(DO519/DG519&gt;2,DO519/DG519&lt;0.5),"NM",DO519/DG519*100-100))</f>
        <v>15.862068965517253</v>
      </c>
      <c r="DQ519" s="145">
        <f>+DQ132</f>
        <v>135</v>
      </c>
      <c r="DR519" s="72">
        <f>IF(ISERROR(DQ519/DI519),"NA",IF(OR(DQ519/DI519&gt;2,DQ519/DI519&lt;0.5),"NM",DQ519/DI519*100-100))</f>
        <v>-18.181818181818173</v>
      </c>
      <c r="DS519" s="145">
        <f>+DS132</f>
        <v>125</v>
      </c>
      <c r="DT519" s="72">
        <f>IF(ISERROR(DS519/DK519),"NA",IF(OR(DS519/DK519&gt;2,DS519/DK519&lt;0.5),"NM",DS519/DK519*100-100))</f>
        <v>-6.0150375939849567</v>
      </c>
      <c r="DU519" s="145">
        <f>+DU132</f>
        <v>177</v>
      </c>
      <c r="DV519" s="72">
        <f>IF(ISERROR(DU519/DM519),"NA",IF(OR(DU519/DM519&gt;2,DU519/DM519&lt;0.5),"NM",DU519/DM519*100-100))</f>
        <v>6.6265060240963862</v>
      </c>
      <c r="DW519" s="145">
        <f>+DW132</f>
        <v>183</v>
      </c>
      <c r="DX519" s="72">
        <f>IF(ISERROR(DW519/DO519),"NA",IF(OR(DW519/DO519&gt;2,DW519/DO519&lt;0.5),"NM",DW519/DO519*100-100))</f>
        <v>8.9285714285714164</v>
      </c>
      <c r="DY519" s="145">
        <f>+DY132</f>
        <v>119</v>
      </c>
      <c r="DZ519" s="72">
        <f>IF(ISERROR(DY519/DQ519),"NA",IF(OR(DY519/DQ519&gt;2,DY519/DQ519&lt;0.5),"NM",DY519/DQ519*100-100))</f>
        <v>-11.851851851851848</v>
      </c>
      <c r="EA519" s="145">
        <f>+EA132</f>
        <v>165</v>
      </c>
      <c r="EB519" s="72">
        <f>IF(ISERROR(EA519/DS519),"NA",IF(OR(EA519/DS519&gt;2,EA519/DS519&lt;0.5),"NM",EA519/DS519*100-100))</f>
        <v>32</v>
      </c>
      <c r="EC519" s="145">
        <f>+EC132</f>
        <v>130</v>
      </c>
      <c r="ED519" s="72">
        <f>IF(ISERROR(EC519/DU519),"NA",IF(OR(EC519/DU519&gt;2,EC519/DU519&lt;0.5),"NM",EC519/DU519*100-100))</f>
        <v>-26.55367231638418</v>
      </c>
      <c r="EE519" s="145">
        <f>+EE132</f>
        <v>111</v>
      </c>
      <c r="EF519" s="72">
        <f>IF(ISERROR(EE519/DW519),"NA",IF(OR(EE519/DW519&gt;2,EE519/DW519&lt;0.5),"NM",EE519/DW519*100-100))</f>
        <v>-39.344262295081968</v>
      </c>
      <c r="EG519" s="145">
        <f>+EG132</f>
        <v>138</v>
      </c>
      <c r="EH519" s="72">
        <f>IF(ISERROR(EG519/DY519),"NA",IF(OR(EG519/DY519&gt;2,EG519/DY519&lt;0.5),"NM",EG519/DY519*100-100))</f>
        <v>15.966386554621863</v>
      </c>
      <c r="EI519" s="145">
        <f>+EI132</f>
        <v>118</v>
      </c>
      <c r="EJ519" s="72">
        <f>IF(ISERROR(EI519/EA519),"NA",IF(OR(EI519/EA519&gt;2,EI519/EA519&lt;0.5),"NM",EI519/EA519*100-100))</f>
        <v>-28.484848484848484</v>
      </c>
      <c r="EK519" s="145">
        <f>+EK132</f>
        <v>96</v>
      </c>
      <c r="EL519" s="72">
        <f>IF(ISERROR(EK519/EC519),"NA",IF(OR(EK519/EC519&gt;2,EK519/EC519&lt;0.5),"NM",EK519/EC519*100-100))</f>
        <v>-26.153846153846146</v>
      </c>
      <c r="EM519" s="145">
        <f>+EM132</f>
        <v>150</v>
      </c>
      <c r="EN519" s="72">
        <f>IF(ISERROR(EM519/EE519),"NA",IF(OR(EM519/EE519&gt;2,EM519/EE519&lt;0.5),"NM",EM519/EE519*100-100))</f>
        <v>35.13513513513513</v>
      </c>
      <c r="EO519" s="145">
        <f>+EO132</f>
        <v>98</v>
      </c>
      <c r="EP519" s="72">
        <f>IF(ISERROR(EO519/EG519),"NA",IF(OR(EO519/EG519&gt;2,EO519/EG519&lt;0.5),"NM",EO519/EG519*100-100))</f>
        <v>-28.985507246376812</v>
      </c>
      <c r="EQ519" s="144">
        <f>+EQ132</f>
        <v>95.528326875000175</v>
      </c>
      <c r="ER519" s="72">
        <f>IF(ISERROR(EQ519/EI519),"NA",IF(OR(EQ519/EI519&gt;2,EQ519/EI519&lt;0.5),"NM",EQ519/EI519*100-100))</f>
        <v>-19.043790783898146</v>
      </c>
      <c r="ES519" s="144">
        <f>+ES132</f>
        <v>113.75430471982759</v>
      </c>
      <c r="ET519" s="72">
        <f>IF(ISERROR(ES519/EK519),"NA",IF(OR(ES519/EK519&gt;2,ES519/EK519&lt;0.5),"NM",ES519/EK519*100-100))</f>
        <v>18.49406741648707</v>
      </c>
      <c r="EU519" s="144">
        <f>+EU132</f>
        <v>113.87967676271569</v>
      </c>
      <c r="EV519" s="72">
        <f>IF(ISERROR(EU519/EM519),"NA",IF(OR(EU519/EM519&gt;2,EU519/EM519&lt;0.5),"NM",EU519/EM519*100-100))</f>
        <v>-24.080215491522878</v>
      </c>
      <c r="EW519" s="144">
        <f>+EW132</f>
        <v>112.9107367140482</v>
      </c>
      <c r="EX519" s="72">
        <f>IF(ISERROR(EW519/EO519),"NA",IF(OR(EW519/EO519&gt;2,EW519/EO519&lt;0.5),"NM",EW519/EO519*100-100))</f>
        <v>15.215037463314502</v>
      </c>
      <c r="EY519" s="72"/>
      <c r="EZ519" s="296"/>
      <c r="FA519" s="72"/>
      <c r="FB519" s="145"/>
      <c r="FC519" s="11"/>
      <c r="FD519" s="144">
        <f>+FD132</f>
        <v>117</v>
      </c>
      <c r="FE519" s="72" t="str">
        <f>IF(ISERROR(FD519/FB519),"NA",IF(OR(FD519/FB519&gt;2,FD519/FB519&lt;0.5),"NM",FD519/FB519*100-100))</f>
        <v>NA</v>
      </c>
      <c r="FF519" s="144">
        <f>+FF132</f>
        <v>114</v>
      </c>
      <c r="FG519" s="72">
        <f>IF(ISERROR(FF519/FD519),"NA",IF(OR(FF519/FD519&gt;2,FF519/FD519&lt;0.5),"NM",FF519/FD519*100-100))</f>
        <v>-2.5641025641025692</v>
      </c>
      <c r="FH519" s="144">
        <f>+FH132</f>
        <v>273</v>
      </c>
      <c r="FI519" s="72" t="str">
        <f>IF(ISERROR(FH519/FF519),"NA",IF(OR(FH519/FF519&gt;2,FH519/FF519&lt;0.5),"NM",FH519/FF519*100-100))</f>
        <v>NM</v>
      </c>
      <c r="FJ519" s="144">
        <f>+FJ132</f>
        <v>432</v>
      </c>
      <c r="FK519" s="72">
        <f>IF(ISERROR(FJ519/FH519),"NA",IF(OR(FJ519/FH519&gt;2,FJ519/FH519&lt;0.5),"NM",FJ519/FH519*100-100))</f>
        <v>58.241758241758248</v>
      </c>
      <c r="FL519" s="144">
        <f>+FL132</f>
        <v>357</v>
      </c>
      <c r="FM519" s="72">
        <f>IF(ISERROR(FL519/FJ519),"NA",IF(OR(FL519/FJ519&gt;2,FL519/FJ519&lt;0.5),"NM",FL519/FJ519*100-100))</f>
        <v>-17.361111111111114</v>
      </c>
      <c r="FN519" s="144">
        <f>+FN132</f>
        <v>377</v>
      </c>
      <c r="FO519" s="72">
        <f>IF(ISERROR(FN519/FL519),"NA",IF(OR(FN519/FL519&gt;2,FN519/FL519&lt;0.5),"NM",FN519/FL519*100-100))</f>
        <v>5.6022408963585519</v>
      </c>
      <c r="FP519" s="144">
        <f>+FP132</f>
        <v>442</v>
      </c>
      <c r="FQ519" s="72">
        <f>IF(ISERROR(FP519/FN519),"NA",IF(OR(FP519/FN519&gt;2,FP519/FN519&lt;0.5),"NM",FP519/FN519*100-100))</f>
        <v>17.241379310344811</v>
      </c>
      <c r="FR519" s="144">
        <f>+FR132</f>
        <v>463</v>
      </c>
      <c r="FS519" s="72">
        <f>IF(ISERROR(FR519/FP519),"NA",IF(OR(FR519/FP519&gt;2,FR519/FP519&lt;0.5),"NM",FR519/FP519*100-100))</f>
        <v>4.7511312217194615</v>
      </c>
      <c r="FT519" s="144">
        <f>+FT132</f>
        <v>551</v>
      </c>
      <c r="FU519" s="72">
        <f>IF(ISERROR(FT519/FR519),"NA",IF(OR(FT519/FR519&gt;2,FT519/FR519&lt;0.5),"NM",FT519/FR519*100-100))</f>
        <v>19.006479481641463</v>
      </c>
      <c r="FV519" s="144">
        <f>+FV132</f>
        <v>331</v>
      </c>
      <c r="FW519" s="72">
        <f>IF(ISERROR(FV519/FT519),"NA",IF(OR(FV519/FT519&gt;2,FV519/FT519&lt;0.5),"NM",FV519/FT519*100-100))</f>
        <v>-39.927404718693282</v>
      </c>
      <c r="FX519" s="144">
        <f>+FX132</f>
        <v>387</v>
      </c>
      <c r="FY519" s="72">
        <f>IF(ISERROR(FX519/FV519),"NA",IF(OR(FX519/FV519&gt;2,FX519/FV519&lt;0.5),"NM",FX519/FV519*100-100))</f>
        <v>16.918429003021146</v>
      </c>
      <c r="FZ519" s="144">
        <f>+FZ132</f>
        <v>460</v>
      </c>
      <c r="GA519" s="72">
        <f>IF(ISERROR(FZ519/FX519),"NA",IF(OR(FZ519/FX519&gt;2,FZ519/FX519&lt;0.5),"NM",FZ519/FX519*100-100))</f>
        <v>18.863049095607238</v>
      </c>
      <c r="GB519" s="144">
        <f>+GB132</f>
        <v>445</v>
      </c>
      <c r="GC519" s="72">
        <f>IF(ISERROR(GB519/FZ519),"NA",IF(OR(GB519/FZ519&gt;2,GB519/FZ519&lt;0.5),"NM",GB519/FZ519*100-100))</f>
        <v>-3.2608695652173907</v>
      </c>
      <c r="GD519" s="144">
        <f>+GD132</f>
        <v>426</v>
      </c>
      <c r="GE519" s="72">
        <f>IF(ISERROR(GD519/GB519),"NA",IF(OR(GD519/GB519&gt;2,GD519/GB519&lt;0.5),"NM",GD519/GB519*100-100))</f>
        <v>-4.2696629213483135</v>
      </c>
      <c r="GF519" s="144">
        <f>+GF132</f>
        <v>607</v>
      </c>
      <c r="GG519" s="72">
        <f>IF(ISERROR(GF519/GD519),"NA",IF(OR(GF519/GD519&gt;2,GF519/GD519&lt;0.5),"NM",GF519/GD519*100-100))</f>
        <v>42.488262910798113</v>
      </c>
      <c r="GH519" s="144">
        <f>+GH132</f>
        <v>602</v>
      </c>
      <c r="GI519" s="72">
        <f>IF(ISERROR(GH519/GF519),"NA",IF(OR(GH519/GF519&gt;2,GH519/GF519&lt;0.5),"NM",GH519/GF519*100-100))</f>
        <v>-0.82372322899504979</v>
      </c>
      <c r="GJ519" s="144">
        <f>+GJ132</f>
        <v>604</v>
      </c>
      <c r="GK519" s="72">
        <f>IF(ISERROR(GJ519/GH519),"NA",IF(OR(GJ519/GH519&gt;2,GJ519/GH519&lt;0.5),"NM",GJ519/GH519*100-100))</f>
        <v>0.33222591362125797</v>
      </c>
      <c r="GL519" s="144">
        <f>+GL132</f>
        <v>544</v>
      </c>
      <c r="GM519" s="72">
        <f>IF(ISERROR(GL519/GJ519),"NA",IF(OR(GL519/GJ519&gt;2,GL519/GJ519&lt;0.5),"NM",GL519/GJ519*100-100))</f>
        <v>-9.933774834437088</v>
      </c>
      <c r="GN519" s="144">
        <f>+GN132</f>
        <v>462</v>
      </c>
      <c r="GO519" s="72">
        <f>IF(ISERROR(GN519/GL519),"NA",IF(OR(GN519/GL519&gt;2,GN519/GL519&lt;0.5),"NM",GN519/GL519*100-100))</f>
        <v>-15.07352941176471</v>
      </c>
      <c r="GP519" s="144">
        <f>+GP132</f>
        <v>436.07304507159097</v>
      </c>
      <c r="GQ519" s="72">
        <f>IF(ISERROR(GP519/GN519),"NA",IF(OR(GP519/GN519&gt;2,GP519/GN519&lt;0.5),"NM",GP519/GN519*100-100))</f>
        <v>-5.6118950061491404</v>
      </c>
      <c r="GR519" s="144">
        <f>+GR132</f>
        <v>432.33203523491011</v>
      </c>
      <c r="GS519" s="72">
        <f>IF(ISERROR(GR519/GP519),"NA",IF(OR(GR519/GP519&gt;2,GR519/GP519&lt;0.5),"NM",GR519/GP519*100-100))</f>
        <v>-0.85788605348598423</v>
      </c>
      <c r="GT519" s="144">
        <f>+GT132</f>
        <v>427.44700049098174</v>
      </c>
      <c r="GU519" s="72">
        <f>IF(ISERROR(GT519/GR519),"NA",IF(OR(GT519/GR519&gt;2,GT519/GR519&lt;0.5),"NM",GT519/GR519*100-100))</f>
        <v>-1.1299266179232035</v>
      </c>
      <c r="GV519" s="144">
        <f>+GV132</f>
        <v>428.09328543534866</v>
      </c>
      <c r="GW519" s="72">
        <f>IF(ISERROR(GV519/GT519),"NA",IF(OR(GV519/GT519&gt;2,GV519/GT519&lt;0.5),"NM",GV519/GT519*100-100))</f>
        <v>0.15119650942094154</v>
      </c>
      <c r="GX519" s="144">
        <f>+GX132</f>
        <v>427.94359380240439</v>
      </c>
      <c r="GY519" s="72">
        <f>IF(ISERROR(GX519/GV519),"NA",IF(OR(GX519/GV519&gt;2,GX519/GV519&lt;0.5),"NM",GX519/GV519*100-100))</f>
        <v>-3.4967059292227987E-2</v>
      </c>
      <c r="GZ519" s="72">
        <f>IF(ISERROR(((GX519/GN519)^0.2-1)*100),"NA",IF((((GX519/GN519)^0.2-1)*100)&gt;100,"NM",IF((((GX519/GN519)^0.2-1)*100)&lt;-50,"NM",((GX519/GN519)^0.2-1)*100)))</f>
        <v>-1.5198025239019808</v>
      </c>
      <c r="HA519" s="72"/>
      <c r="HB519" s="72"/>
      <c r="HC519"/>
      <c r="HD519"/>
      <c r="HE519"/>
      <c r="HF519"/>
      <c r="HG519"/>
      <c r="HH519"/>
      <c r="HI519" s="2"/>
    </row>
    <row r="520" spans="1:217" s="3" customFormat="1" ht="12.75" customHeight="1" x14ac:dyDescent="0.2">
      <c r="B520" s="89" t="s">
        <v>827</v>
      </c>
      <c r="C520" s="160">
        <f>C518+C519</f>
        <v>124</v>
      </c>
      <c r="D520" s="11"/>
      <c r="E520" s="160">
        <f>E518+E519</f>
        <v>113</v>
      </c>
      <c r="F520" s="11"/>
      <c r="G520" s="160">
        <f>G518+G519</f>
        <v>47</v>
      </c>
      <c r="H520" s="167"/>
      <c r="I520" s="160">
        <f>I518+I519</f>
        <v>-23</v>
      </c>
      <c r="J520" s="11"/>
      <c r="K520" s="160">
        <f>K518+K519</f>
        <v>114</v>
      </c>
      <c r="L520" s="72"/>
      <c r="M520" s="160">
        <f>M518+M519</f>
        <v>129</v>
      </c>
      <c r="N520" s="72"/>
      <c r="O520" s="160">
        <f>O518+O519</f>
        <v>84</v>
      </c>
      <c r="P520" s="72"/>
      <c r="Q520" s="160">
        <f>Q518+Q519</f>
        <v>53</v>
      </c>
      <c r="R520" s="72"/>
      <c r="S520" s="160">
        <f>S518+S519</f>
        <v>146</v>
      </c>
      <c r="T520" s="72"/>
      <c r="U520" s="160">
        <f>U518+U519</f>
        <v>113</v>
      </c>
      <c r="V520" s="72"/>
      <c r="W520" s="160">
        <f>W518+W519</f>
        <v>46</v>
      </c>
      <c r="X520" s="72"/>
      <c r="Y520" s="160">
        <f>Y518+Y519</f>
        <v>85</v>
      </c>
      <c r="Z520" s="72"/>
      <c r="AA520" s="160">
        <f>AA518+AA519</f>
        <v>129</v>
      </c>
      <c r="AB520" s="72"/>
      <c r="AC520" s="160">
        <f>AC518+AC519</f>
        <v>178</v>
      </c>
      <c r="AD520" s="72"/>
      <c r="AE520" s="160">
        <f>AE518+AE519</f>
        <v>153</v>
      </c>
      <c r="AF520" s="72"/>
      <c r="AG520" s="160">
        <f>AG518+AG519</f>
        <v>159</v>
      </c>
      <c r="AH520" s="72"/>
      <c r="AI520" s="160">
        <f>AI518+AI519</f>
        <v>185</v>
      </c>
      <c r="AJ520" s="72"/>
      <c r="AK520" s="160">
        <f>AK518+AK519</f>
        <v>192</v>
      </c>
      <c r="AL520" s="72"/>
      <c r="AM520" s="160">
        <f>AM518+AM519</f>
        <v>197</v>
      </c>
      <c r="AN520" s="72"/>
      <c r="AO520" s="160">
        <f>AO518+AO519</f>
        <v>192</v>
      </c>
      <c r="AP520" s="72"/>
      <c r="AQ520" s="160">
        <f>AQ518+AQ519</f>
        <v>181</v>
      </c>
      <c r="AR520" s="72"/>
      <c r="AS520" s="160">
        <f>AS518+AS519</f>
        <v>198</v>
      </c>
      <c r="AT520" s="72"/>
      <c r="AU520" s="160">
        <f>AU518+AU519</f>
        <v>211</v>
      </c>
      <c r="AV520" s="72"/>
      <c r="AW520" s="160">
        <f>AW518+AW519</f>
        <v>255</v>
      </c>
      <c r="AX520" s="72"/>
      <c r="AY520" s="160">
        <f>AY518+AY519</f>
        <v>235</v>
      </c>
      <c r="AZ520" s="72"/>
      <c r="BA520" s="160">
        <f>BA518+BA519</f>
        <v>224</v>
      </c>
      <c r="BB520" s="72"/>
      <c r="BC520" s="160">
        <f>BC518+BC519</f>
        <v>267</v>
      </c>
      <c r="BD520" s="72"/>
      <c r="BE520" s="160">
        <f>BE518+BE519</f>
        <v>286</v>
      </c>
      <c r="BF520" s="72"/>
      <c r="BG520" s="160">
        <f>BG518+BG519</f>
        <v>267</v>
      </c>
      <c r="BH520" s="72"/>
      <c r="BI520" s="160">
        <f>BI518+BI519</f>
        <v>321</v>
      </c>
      <c r="BJ520" s="72"/>
      <c r="BK520" s="160">
        <f>BK518+BK519</f>
        <v>354</v>
      </c>
      <c r="BL520" s="72"/>
      <c r="BM520" s="160">
        <f>BM518+BM519</f>
        <v>308</v>
      </c>
      <c r="BN520" s="72"/>
      <c r="BO520" s="160">
        <f>BO518+BO519</f>
        <v>211</v>
      </c>
      <c r="BP520" s="72"/>
      <c r="BQ520" s="160">
        <f>BQ518+BQ519</f>
        <v>257</v>
      </c>
      <c r="BR520" s="72"/>
      <c r="BS520" s="160">
        <f>BS518+BS519</f>
        <v>216</v>
      </c>
      <c r="BT520" s="72"/>
      <c r="BU520" s="160">
        <f>BU518+BU519</f>
        <v>104</v>
      </c>
      <c r="BV520" s="72"/>
      <c r="BW520" s="160">
        <f>BW518+BW519</f>
        <v>155</v>
      </c>
      <c r="BX520" s="72"/>
      <c r="BY520" s="160">
        <f>BY518+BY519</f>
        <v>188</v>
      </c>
      <c r="BZ520" s="72"/>
      <c r="CA520" s="160">
        <f>CA518+CA519</f>
        <v>342</v>
      </c>
      <c r="CB520" s="72"/>
      <c r="CC520" s="160">
        <f>CC518+CC519</f>
        <v>259</v>
      </c>
      <c r="CD520" s="72"/>
      <c r="CE520" s="160">
        <f>CE518+CE519</f>
        <v>212</v>
      </c>
      <c r="CF520" s="72"/>
      <c r="CG520" s="160">
        <f>CG518+CG519</f>
        <v>277</v>
      </c>
      <c r="CH520" s="72"/>
      <c r="CI520" s="160">
        <f>CI518+CI519</f>
        <v>245</v>
      </c>
      <c r="CJ520" s="72"/>
      <c r="CK520" s="160">
        <f>CK518+CK519</f>
        <v>303</v>
      </c>
      <c r="CL520" s="72"/>
      <c r="CM520" s="160">
        <f>CM518+CM519</f>
        <v>313.60000000000002</v>
      </c>
      <c r="CN520" s="72"/>
      <c r="CO520" s="160">
        <f>CO518+CO519</f>
        <v>377</v>
      </c>
      <c r="CP520" s="72"/>
      <c r="CQ520" s="160">
        <f>CQ518+CQ519</f>
        <v>313</v>
      </c>
      <c r="CR520" s="72"/>
      <c r="CS520" s="160">
        <f>CS518+CS519</f>
        <v>325</v>
      </c>
      <c r="CT520" s="72"/>
      <c r="CU520" s="160">
        <f>CU518+CU519</f>
        <v>337</v>
      </c>
      <c r="CV520" s="72"/>
      <c r="CW520" s="160">
        <f>CW518+CW519</f>
        <v>292</v>
      </c>
      <c r="CX520" s="72"/>
      <c r="CY520" s="160">
        <f>CY518+CY519</f>
        <v>394</v>
      </c>
      <c r="CZ520" s="72"/>
      <c r="DA520" s="160">
        <f>DA518+DA519</f>
        <v>387</v>
      </c>
      <c r="DB520" s="72"/>
      <c r="DC520" s="160">
        <f>DC518+DC519</f>
        <v>455</v>
      </c>
      <c r="DD520" s="72"/>
      <c r="DE520" s="160">
        <f>DE518+DE519</f>
        <v>477</v>
      </c>
      <c r="DF520" s="72"/>
      <c r="DG520" s="160">
        <f>DG518+DG519</f>
        <v>515</v>
      </c>
      <c r="DH520" s="72"/>
      <c r="DI520" s="160">
        <f>DI518+DI519</f>
        <v>549</v>
      </c>
      <c r="DJ520" s="72"/>
      <c r="DK520" s="160">
        <f>DK518+DK519</f>
        <v>542</v>
      </c>
      <c r="DL520" s="72"/>
      <c r="DM520" s="160">
        <f>DM518+DM519</f>
        <v>560</v>
      </c>
      <c r="DN520" s="72"/>
      <c r="DO520" s="160">
        <f>DO518+DO519</f>
        <v>571</v>
      </c>
      <c r="DP520" s="72"/>
      <c r="DQ520" s="160">
        <f>DQ518+DQ519</f>
        <v>525</v>
      </c>
      <c r="DR520" s="72"/>
      <c r="DS520" s="160">
        <f>DS518+DS519</f>
        <v>548</v>
      </c>
      <c r="DT520" s="72"/>
      <c r="DU520" s="160">
        <f>DU518+DU519</f>
        <v>600</v>
      </c>
      <c r="DV520" s="72"/>
      <c r="DW520" s="160">
        <f>DW518+DW519</f>
        <v>597</v>
      </c>
      <c r="DX520" s="72"/>
      <c r="DY520" s="160">
        <f>DY518+DY519</f>
        <v>522</v>
      </c>
      <c r="DZ520" s="72"/>
      <c r="EA520" s="160">
        <f>EA518+EA519</f>
        <v>546</v>
      </c>
      <c r="EB520" s="72"/>
      <c r="EC520" s="160">
        <f>EC518+EC519</f>
        <v>505</v>
      </c>
      <c r="ED520" s="72"/>
      <c r="EE520" s="160">
        <f>EE518+EE519</f>
        <v>560</v>
      </c>
      <c r="EF520" s="72"/>
      <c r="EG520" s="160">
        <f>EG518+EG519</f>
        <v>560</v>
      </c>
      <c r="EH520" s="72"/>
      <c r="EI520" s="160">
        <f>EI518+EI519</f>
        <v>566.1</v>
      </c>
      <c r="EJ520" s="72"/>
      <c r="EK520" s="160">
        <f>EK518+EK519</f>
        <v>608</v>
      </c>
      <c r="EL520" s="72"/>
      <c r="EM520" s="160">
        <f>EM518+EM519</f>
        <v>679</v>
      </c>
      <c r="EN520" s="72"/>
      <c r="EO520" s="160">
        <f>EO518+EO519</f>
        <v>623</v>
      </c>
      <c r="EP520" s="72"/>
      <c r="EQ520" s="160">
        <f>EQ518+EQ519</f>
        <v>622.74350994784834</v>
      </c>
      <c r="ER520" s="72"/>
      <c r="ES520" s="160">
        <f>ES518+ES519</f>
        <v>637.44650085509784</v>
      </c>
      <c r="ET520" s="72"/>
      <c r="EU520" s="160">
        <f>EU518+EU519</f>
        <v>638.21405254805597</v>
      </c>
      <c r="EV520" s="72"/>
      <c r="EW520" s="160">
        <f>EW518+EW519</f>
        <v>617.1282972320646</v>
      </c>
      <c r="EX520" s="72"/>
      <c r="EY520" s="72"/>
      <c r="EZ520" s="296"/>
      <c r="FA520" s="72"/>
      <c r="FB520" s="145"/>
      <c r="FC520" s="11"/>
      <c r="FD520" s="160">
        <f>FD518+FD519</f>
        <v>217</v>
      </c>
      <c r="FE520" s="72"/>
      <c r="FF520" s="160">
        <f>FF518+FF519</f>
        <v>261</v>
      </c>
      <c r="FG520" s="72"/>
      <c r="FH520" s="160">
        <f>FH518+FH519</f>
        <v>380</v>
      </c>
      <c r="FI520" s="72"/>
      <c r="FJ520" s="160">
        <f>FJ518+FJ519</f>
        <v>390</v>
      </c>
      <c r="FK520" s="72"/>
      <c r="FL520" s="160">
        <f>FL518+FL519</f>
        <v>619</v>
      </c>
      <c r="FM520" s="72"/>
      <c r="FN520" s="160">
        <f>FN518+FN519</f>
        <v>766</v>
      </c>
      <c r="FO520" s="72"/>
      <c r="FP520" s="160">
        <f>FP518+FP519</f>
        <v>845</v>
      </c>
      <c r="FQ520" s="72"/>
      <c r="FR520" s="160">
        <f>FR518+FR519</f>
        <v>1012</v>
      </c>
      <c r="FS520" s="72"/>
      <c r="FT520" s="160">
        <f>FT518+FT519</f>
        <v>1250</v>
      </c>
      <c r="FU520" s="72"/>
      <c r="FV520" s="160">
        <f>FV518+FV519</f>
        <v>927</v>
      </c>
      <c r="FW520" s="72"/>
      <c r="FX520" s="160">
        <f>FX518+FX519</f>
        <v>811</v>
      </c>
      <c r="FY520" s="72"/>
      <c r="FZ520" s="160">
        <f>FZ518+FZ519</f>
        <v>1037</v>
      </c>
      <c r="GA520" s="72"/>
      <c r="GB520" s="160">
        <f>GB518+GB519</f>
        <v>1328.6</v>
      </c>
      <c r="GC520" s="72"/>
      <c r="GD520" s="160">
        <f>GD518+GD519</f>
        <v>1410</v>
      </c>
      <c r="GE520" s="72"/>
      <c r="GF520" s="160">
        <f>GF518+GF519</f>
        <v>1996</v>
      </c>
      <c r="GG520" s="72"/>
      <c r="GH520" s="160">
        <f>GH518+GH519</f>
        <v>2198</v>
      </c>
      <c r="GI520" s="72"/>
      <c r="GJ520" s="160">
        <f>GJ518+GJ519</f>
        <v>2267</v>
      </c>
      <c r="GK520" s="72"/>
      <c r="GL520" s="160">
        <f>GL518+GL519</f>
        <v>2171</v>
      </c>
      <c r="GM520" s="72"/>
      <c r="GN520" s="160">
        <f>GN518+GN519</f>
        <v>2476.1</v>
      </c>
      <c r="GO520" s="72"/>
      <c r="GP520" s="160">
        <f>GP518+GP519</f>
        <v>2515.5323605830663</v>
      </c>
      <c r="GQ520" s="72"/>
      <c r="GR520" s="160">
        <f>GR518+GR519</f>
        <v>2478.2128461797956</v>
      </c>
      <c r="GS520" s="72"/>
      <c r="GT520" s="160">
        <f>GT518+GT519</f>
        <v>2443.6431545647856</v>
      </c>
      <c r="GU520" s="72"/>
      <c r="GV520" s="160">
        <f>GV518+GV519</f>
        <v>2418.1669916557989</v>
      </c>
      <c r="GW520" s="72"/>
      <c r="GX520" s="160">
        <f>GX518+GX519</f>
        <v>2395.4174967177505</v>
      </c>
      <c r="GY520" s="72"/>
      <c r="GZ520" s="72">
        <f>IF(ISERROR(((GX520/GN520)^0.2-1)*100),"NA",IF((((GX520/GN520)^0.2-1)*100)&gt;100,"NM",IF((((GX520/GN520)^0.2-1)*100)&lt;-50,"NM",((GX520/GN520)^0.2-1)*100)))</f>
        <v>-0.66035413416896116</v>
      </c>
      <c r="HA520" s="72"/>
      <c r="HB520" s="72"/>
      <c r="HC520"/>
      <c r="HD520"/>
      <c r="HE520"/>
      <c r="HF520"/>
      <c r="HG520"/>
      <c r="HH520"/>
      <c r="HI520" s="2"/>
    </row>
    <row r="521" spans="1:217" s="3" customFormat="1" ht="12.75" customHeight="1" x14ac:dyDescent="0.2">
      <c r="A521" s="3" t="s">
        <v>692</v>
      </c>
      <c r="B521" s="10" t="s">
        <v>117</v>
      </c>
      <c r="C521" s="145">
        <f>+C217</f>
        <v>0</v>
      </c>
      <c r="D521" s="11"/>
      <c r="E521" s="145">
        <f>+E217</f>
        <v>0</v>
      </c>
      <c r="F521" s="11"/>
      <c r="G521" s="145">
        <f>+G217</f>
        <v>0</v>
      </c>
      <c r="H521" s="11"/>
      <c r="I521" s="145">
        <f>+I217</f>
        <v>0</v>
      </c>
      <c r="J521" s="11"/>
      <c r="K521" s="145">
        <f>+K217</f>
        <v>62</v>
      </c>
      <c r="L521" s="72" t="str">
        <f t="shared" si="2434"/>
        <v>NA</v>
      </c>
      <c r="M521" s="145">
        <f>+M217</f>
        <v>47</v>
      </c>
      <c r="N521" s="72" t="str">
        <f t="shared" si="2435"/>
        <v>NA</v>
      </c>
      <c r="O521" s="145">
        <f>+O217</f>
        <v>-4</v>
      </c>
      <c r="P521" s="72" t="str">
        <f t="shared" si="2436"/>
        <v>NA</v>
      </c>
      <c r="Q521" s="145">
        <f>+Q217</f>
        <v>5</v>
      </c>
      <c r="R521" s="72" t="str">
        <f t="shared" si="2437"/>
        <v>NA</v>
      </c>
      <c r="S521" s="145">
        <f>+S217</f>
        <v>34</v>
      </c>
      <c r="T521" s="72">
        <f t="shared" si="2438"/>
        <v>-45.161290322580648</v>
      </c>
      <c r="U521" s="145">
        <f>+U217</f>
        <v>50</v>
      </c>
      <c r="V521" s="72">
        <f t="shared" si="2439"/>
        <v>6.3829787234042499</v>
      </c>
      <c r="W521" s="145">
        <f>+W217</f>
        <v>24</v>
      </c>
      <c r="X521" s="72" t="str">
        <f t="shared" si="2440"/>
        <v>NM</v>
      </c>
      <c r="Y521" s="145">
        <f>+Y217</f>
        <v>33</v>
      </c>
      <c r="Z521" s="72" t="str">
        <f t="shared" si="2441"/>
        <v>NM</v>
      </c>
      <c r="AA521" s="145">
        <f>+AA217</f>
        <v>53</v>
      </c>
      <c r="AB521" s="72">
        <f t="shared" si="2442"/>
        <v>55.882352941176464</v>
      </c>
      <c r="AC521" s="145">
        <f>+AC217</f>
        <v>45</v>
      </c>
      <c r="AD521" s="72">
        <f t="shared" si="2443"/>
        <v>-10</v>
      </c>
      <c r="AE521" s="145">
        <f>+AE217</f>
        <v>39</v>
      </c>
      <c r="AF521" s="72">
        <f t="shared" si="2444"/>
        <v>62.5</v>
      </c>
      <c r="AG521" s="145">
        <f>+AG217</f>
        <v>55</v>
      </c>
      <c r="AH521" s="72">
        <f t="shared" si="2445"/>
        <v>66.666666666666686</v>
      </c>
      <c r="AI521" s="145">
        <f>+AI217</f>
        <v>52</v>
      </c>
      <c r="AJ521" s="72">
        <f t="shared" si="2446"/>
        <v>-1.8867924528301927</v>
      </c>
      <c r="AK521" s="145">
        <f>+AK217</f>
        <v>92</v>
      </c>
      <c r="AL521" s="72" t="str">
        <f t="shared" si="2447"/>
        <v>NM</v>
      </c>
      <c r="AM521" s="145">
        <f>+AM217</f>
        <v>94</v>
      </c>
      <c r="AN521" s="72" t="str">
        <f t="shared" si="2448"/>
        <v>NM</v>
      </c>
      <c r="AO521" s="145">
        <f>+AO217</f>
        <v>96</v>
      </c>
      <c r="AP521" s="72">
        <f t="shared" si="2449"/>
        <v>74.545454545454533</v>
      </c>
      <c r="AQ521" s="145">
        <f>+AQ217</f>
        <v>127</v>
      </c>
      <c r="AR521" s="72" t="str">
        <f t="shared" si="2450"/>
        <v>NM</v>
      </c>
      <c r="AS521" s="145">
        <f>+AS217</f>
        <v>107</v>
      </c>
      <c r="AT521" s="72">
        <f t="shared" si="2451"/>
        <v>16.304347826086968</v>
      </c>
      <c r="AU521" s="145">
        <f>+AU217</f>
        <v>95</v>
      </c>
      <c r="AV521" s="72">
        <f t="shared" si="2452"/>
        <v>1.0638297872340559</v>
      </c>
      <c r="AW521" s="145">
        <f>+AW217</f>
        <v>82</v>
      </c>
      <c r="AX521" s="72">
        <f t="shared" si="2453"/>
        <v>-14.583333333333343</v>
      </c>
      <c r="AY521" s="145">
        <f>+AY217</f>
        <v>137</v>
      </c>
      <c r="AZ521" s="72">
        <f>IF(ISERROR(AY521/AQ521),"NA",IF(OR(AY521/AQ521&gt;2,AY521/AQ521&lt;0.5),"NM",AY521/AQ521*100-100))</f>
        <v>7.8740157480315105</v>
      </c>
      <c r="BA521" s="145">
        <f>+BA217</f>
        <v>124</v>
      </c>
      <c r="BB521" s="72">
        <f>IF(ISERROR(BA521/AS521),"NA",IF(OR(BA521/AS521&gt;2,BA521/AS521&lt;0.5),"NM",BA521/AS521*100-100))</f>
        <v>15.887850467289709</v>
      </c>
      <c r="BC521" s="145">
        <f>+BC217</f>
        <v>109</v>
      </c>
      <c r="BD521" s="72">
        <f>IF(ISERROR(BC521/AU521),"NA",IF(OR(BC521/AU521&gt;2,BC521/AU521&lt;0.5),"NM",BC521/AU521*100-100))</f>
        <v>14.736842105263165</v>
      </c>
      <c r="BE521" s="145">
        <f>+BE217</f>
        <v>121</v>
      </c>
      <c r="BF521" s="72">
        <f t="shared" si="2454"/>
        <v>47.560975609756099</v>
      </c>
      <c r="BG521" s="145">
        <f>+BG217</f>
        <v>148</v>
      </c>
      <c r="BH521" s="72">
        <f>IF(ISERROR(BG521/AY521),"NA",IF(OR(BG521/AY521&gt;2,BG521/AY521&lt;0.5),"NM",BG521/AY521*100-100))</f>
        <v>8.029197080291965</v>
      </c>
      <c r="BI521" s="145">
        <f>+BI217</f>
        <v>138</v>
      </c>
      <c r="BJ521" s="72">
        <f>IF(ISERROR(BI521/BA521),"NA",IF(OR(BI521/BA521&gt;2,BI521/BA521&lt;0.5),"NM",BI521/BA521*100-100))</f>
        <v>11.290322580645153</v>
      </c>
      <c r="BK521" s="145">
        <f>+BK217</f>
        <v>158</v>
      </c>
      <c r="BL521" s="72">
        <f>IF(ISERROR(BK521/BC521),"NA",IF(OR(BK521/BC521&gt;2,BK521/BC521&lt;0.5),"NM",BK521/BC521*100-100))</f>
        <v>44.954128440366958</v>
      </c>
      <c r="BM521" s="145">
        <f>+BM217</f>
        <v>145</v>
      </c>
      <c r="BN521" s="72">
        <f>IF(ISERROR(BM521/BE521),"NA",IF(OR(BM521/BE521&gt;2,BM521/BE521&lt;0.5),"NM",BM521/BE521*100-100))</f>
        <v>19.834710743801651</v>
      </c>
      <c r="BO521" s="145">
        <f>+BO217</f>
        <v>124</v>
      </c>
      <c r="BP521" s="72">
        <f>IF(ISERROR(BO521/BG521),"NA",IF(OR(BO521/BG521&gt;2,BO521/BG521&lt;0.5),"NM",BO521/BG521*100-100))</f>
        <v>-16.21621621621621</v>
      </c>
      <c r="BQ521" s="145">
        <f>+BQ217</f>
        <v>141</v>
      </c>
      <c r="BR521" s="72">
        <f>IF(ISERROR(BQ521/BI521),"NA",IF(OR(BQ521/BI521&gt;2,BQ521/BI521&lt;0.5),"NM",BQ521/BI521*100-100))</f>
        <v>2.1739130434782652</v>
      </c>
      <c r="BS521" s="145">
        <f>+BS217</f>
        <v>121</v>
      </c>
      <c r="BT521" s="72">
        <f>IF(ISERROR(BS521/BK521),"NA",IF(OR(BS521/BK521&gt;2,BS521/BK521&lt;0.5),"NM",BS521/BK521*100-100))</f>
        <v>-23.417721518987349</v>
      </c>
      <c r="BU521" s="145">
        <f>+BU217</f>
        <v>100</v>
      </c>
      <c r="BV521" s="72">
        <f>IF(ISERROR(BU521/BM521),"NA",IF(OR(BU521/BM521&gt;2,BU521/BM521&lt;0.5),"NM",BU521/BM521*100-100))</f>
        <v>-31.034482758620683</v>
      </c>
      <c r="BW521" s="145">
        <f>+BW217</f>
        <v>140</v>
      </c>
      <c r="BX521" s="72">
        <f t="shared" si="2455"/>
        <v>12.90322580645163</v>
      </c>
      <c r="BY521" s="145">
        <f>+BY217</f>
        <v>105</v>
      </c>
      <c r="BZ521" s="72">
        <f t="shared" si="2456"/>
        <v>-25.531914893617028</v>
      </c>
      <c r="CA521" s="145">
        <f>+CA217</f>
        <v>117</v>
      </c>
      <c r="CB521" s="72">
        <f t="shared" si="2457"/>
        <v>-3.3057851239669418</v>
      </c>
      <c r="CC521" s="145">
        <f>+CC217</f>
        <v>132</v>
      </c>
      <c r="CD521" s="72">
        <f t="shared" si="2458"/>
        <v>32</v>
      </c>
      <c r="CE521" s="145">
        <f>+CE217</f>
        <v>167</v>
      </c>
      <c r="CF521" s="72">
        <f t="shared" si="2459"/>
        <v>19.285714285714278</v>
      </c>
      <c r="CG521" s="145">
        <f>+CG217</f>
        <v>134</v>
      </c>
      <c r="CH521" s="72">
        <f t="shared" si="2460"/>
        <v>27.619047619047606</v>
      </c>
      <c r="CI521" s="145">
        <f>+CI217</f>
        <v>133</v>
      </c>
      <c r="CJ521" s="72">
        <f t="shared" si="2461"/>
        <v>13.675213675213669</v>
      </c>
      <c r="CK521" s="145">
        <f>+CK217</f>
        <v>146</v>
      </c>
      <c r="CL521" s="72">
        <f t="shared" si="2462"/>
        <v>10.606060606060595</v>
      </c>
      <c r="CM521" s="145">
        <f>+CM217</f>
        <v>172</v>
      </c>
      <c r="CN521" s="72">
        <f t="shared" si="2463"/>
        <v>2.9940119760479007</v>
      </c>
      <c r="CO521" s="145">
        <f>+CO217</f>
        <v>171</v>
      </c>
      <c r="CP521" s="72">
        <f t="shared" si="2464"/>
        <v>27.611940298507463</v>
      </c>
      <c r="CQ521" s="145">
        <f>+CQ217</f>
        <v>135</v>
      </c>
      <c r="CR521" s="72">
        <f t="shared" si="2465"/>
        <v>1.5037593984962569</v>
      </c>
      <c r="CS521" s="145">
        <f>+CS217</f>
        <v>140</v>
      </c>
      <c r="CT521" s="72">
        <f t="shared" si="2466"/>
        <v>-4.1095890410959015</v>
      </c>
      <c r="CU521" s="145">
        <f>+CU217</f>
        <v>156</v>
      </c>
      <c r="CV521" s="72">
        <f t="shared" si="2467"/>
        <v>-9.3023255813953512</v>
      </c>
      <c r="CW521" s="145">
        <f>+CW217</f>
        <v>156</v>
      </c>
      <c r="CX521" s="72">
        <f t="shared" si="2468"/>
        <v>-8.7719298245614112</v>
      </c>
      <c r="CY521" s="145">
        <f>+CY217</f>
        <v>152</v>
      </c>
      <c r="CZ521" s="72">
        <f t="shared" si="2469"/>
        <v>12.592592592592595</v>
      </c>
      <c r="DA521" s="145">
        <f>+DA217</f>
        <v>163</v>
      </c>
      <c r="DB521" s="72">
        <f t="shared" si="2470"/>
        <v>16.428571428571431</v>
      </c>
      <c r="DC521" s="145">
        <f>+DC217</f>
        <v>228</v>
      </c>
      <c r="DD521" s="72">
        <f t="shared" si="2471"/>
        <v>46.153846153846132</v>
      </c>
      <c r="DE521" s="145">
        <f>+DE217</f>
        <v>232</v>
      </c>
      <c r="DF521" s="72">
        <f t="shared" si="2472"/>
        <v>48.71794871794873</v>
      </c>
      <c r="DG521" s="145">
        <f>+DG217</f>
        <v>241</v>
      </c>
      <c r="DH521" s="72">
        <f t="shared" si="2473"/>
        <v>58.55263157894737</v>
      </c>
      <c r="DI521" s="145">
        <f>+DI217</f>
        <v>295</v>
      </c>
      <c r="DJ521" s="72">
        <f t="shared" si="2474"/>
        <v>80.981595092024548</v>
      </c>
      <c r="DK521" s="145">
        <f>+DK217</f>
        <v>364</v>
      </c>
      <c r="DL521" s="72">
        <f t="shared" si="2475"/>
        <v>59.649122807017562</v>
      </c>
      <c r="DM521" s="145">
        <f>+DM217</f>
        <v>286</v>
      </c>
      <c r="DN521" s="72">
        <f t="shared" si="2476"/>
        <v>23.275862068965523</v>
      </c>
      <c r="DO521" s="145">
        <f>+DO217</f>
        <v>269</v>
      </c>
      <c r="DP521" s="72">
        <f t="shared" si="2476"/>
        <v>11.61825726141079</v>
      </c>
      <c r="DQ521" s="145">
        <f>+DQ217</f>
        <v>294</v>
      </c>
      <c r="DR521" s="72">
        <f t="shared" si="2476"/>
        <v>-0.33898305084744607</v>
      </c>
      <c r="DS521" s="145">
        <f>+DS217</f>
        <v>284</v>
      </c>
      <c r="DT521" s="72">
        <f t="shared" si="2476"/>
        <v>-21.978021978021971</v>
      </c>
      <c r="DU521" s="145">
        <f>+DU217</f>
        <v>237</v>
      </c>
      <c r="DV521" s="72">
        <f t="shared" si="2476"/>
        <v>-17.132867132867133</v>
      </c>
      <c r="DW521" s="145">
        <f>+DW217</f>
        <v>222</v>
      </c>
      <c r="DX521" s="72">
        <f t="shared" si="2476"/>
        <v>-17.472118959107803</v>
      </c>
      <c r="DY521" s="145">
        <f>+DY217</f>
        <v>168</v>
      </c>
      <c r="DZ521" s="72">
        <f t="shared" si="2476"/>
        <v>-42.857142857142861</v>
      </c>
      <c r="EA521" s="145">
        <f>+EA217</f>
        <v>219</v>
      </c>
      <c r="EB521" s="72">
        <f t="shared" si="2477"/>
        <v>-22.887323943661968</v>
      </c>
      <c r="EC521" s="145">
        <f>+EC217</f>
        <v>230</v>
      </c>
      <c r="ED521" s="72">
        <f t="shared" si="2478"/>
        <v>-2.9535864978902993</v>
      </c>
      <c r="EE521" s="145">
        <f>+EE217</f>
        <v>273</v>
      </c>
      <c r="EF521" s="72">
        <f t="shared" si="2479"/>
        <v>22.972972972972983</v>
      </c>
      <c r="EG521" s="145">
        <f>+EG217</f>
        <v>298</v>
      </c>
      <c r="EH521" s="72">
        <f t="shared" si="2480"/>
        <v>77.38095238095238</v>
      </c>
      <c r="EI521" s="145">
        <f>+EI217</f>
        <v>397</v>
      </c>
      <c r="EJ521" s="72">
        <f t="shared" si="2481"/>
        <v>81.278538812785399</v>
      </c>
      <c r="EK521" s="145">
        <f>+EK217</f>
        <v>328</v>
      </c>
      <c r="EL521" s="72">
        <f t="shared" si="2482"/>
        <v>42.608695652173907</v>
      </c>
      <c r="EM521" s="145">
        <f>+EM217</f>
        <v>248</v>
      </c>
      <c r="EN521" s="72">
        <f t="shared" si="2483"/>
        <v>-9.1575091575091534</v>
      </c>
      <c r="EO521" s="145">
        <f>+EO217</f>
        <v>291</v>
      </c>
      <c r="EP521" s="72">
        <f t="shared" si="2484"/>
        <v>-2.3489932885906057</v>
      </c>
      <c r="EQ521" s="144">
        <f>+EQ217</f>
        <v>307.55725752286753</v>
      </c>
      <c r="ER521" s="72">
        <f t="shared" si="2485"/>
        <v>-22.529658054693314</v>
      </c>
      <c r="ES521" s="144">
        <f>+ES217</f>
        <v>285.4264931648413</v>
      </c>
      <c r="ET521" s="72">
        <f t="shared" si="2486"/>
        <v>-12.979727693645941</v>
      </c>
      <c r="EU521" s="144">
        <f>+EU217</f>
        <v>264.82675395724391</v>
      </c>
      <c r="EV521" s="72">
        <f t="shared" si="2487"/>
        <v>6.7849814343725399</v>
      </c>
      <c r="EW521" s="144">
        <f>+EW217</f>
        <v>252.00711319519451</v>
      </c>
      <c r="EX521" s="72">
        <f t="shared" si="2488"/>
        <v>-13.399617458696042</v>
      </c>
      <c r="EY521" s="72"/>
      <c r="EZ521" s="296"/>
      <c r="FA521" s="72"/>
      <c r="FB521" s="145"/>
      <c r="FC521" s="11"/>
      <c r="FD521" s="144">
        <f>+FD217</f>
        <v>215</v>
      </c>
      <c r="FE521" s="72" t="str">
        <f t="shared" si="2489"/>
        <v>NA</v>
      </c>
      <c r="FF521" s="144">
        <f>+FF217</f>
        <v>194</v>
      </c>
      <c r="FG521" s="72">
        <f t="shared" si="2490"/>
        <v>-9.7674418604651265</v>
      </c>
      <c r="FH521" s="144">
        <f>+FH217</f>
        <v>108</v>
      </c>
      <c r="FI521" s="72">
        <f t="shared" si="2491"/>
        <v>-44.329896907216494</v>
      </c>
      <c r="FJ521" s="144">
        <f>+FJ217</f>
        <v>149</v>
      </c>
      <c r="FK521" s="72">
        <f t="shared" si="2492"/>
        <v>37.962962962962962</v>
      </c>
      <c r="FL521" s="144">
        <f>+FL217</f>
        <v>192</v>
      </c>
      <c r="FM521" s="72">
        <f t="shared" si="2493"/>
        <v>28.859060402684548</v>
      </c>
      <c r="FN521" s="144">
        <f>+FN217</f>
        <v>334</v>
      </c>
      <c r="FO521" s="72">
        <f t="shared" ref="FO521:FW524" si="2500">IF(ISERROR(FN521/FL521),"NA",IF(OR(FN521/FL521&gt;2,FN521/FL521&lt;0.5),"NM",FN521/FL521*100-100))</f>
        <v>73.958333333333314</v>
      </c>
      <c r="FP521" s="144">
        <f>+FP217</f>
        <v>411</v>
      </c>
      <c r="FQ521" s="72">
        <f t="shared" si="2500"/>
        <v>23.053892215568865</v>
      </c>
      <c r="FR521" s="144">
        <f>+FR217</f>
        <v>491</v>
      </c>
      <c r="FS521" s="72">
        <f t="shared" si="2500"/>
        <v>19.464720194647199</v>
      </c>
      <c r="FT521" s="144">
        <f>+FT217</f>
        <v>589</v>
      </c>
      <c r="FU521" s="72">
        <f t="shared" si="2500"/>
        <v>19.959266802443992</v>
      </c>
      <c r="FV521" s="144">
        <f>+FV217</f>
        <v>490</v>
      </c>
      <c r="FW521" s="72">
        <f t="shared" si="2500"/>
        <v>-16.808149405772497</v>
      </c>
      <c r="FX521" s="144">
        <f>+FX217</f>
        <v>491</v>
      </c>
      <c r="FY521" s="72">
        <f>IF(ISERROR(FX521/FV521),"NA",IF(OR(FX521/FV521&gt;2,FX521/FV521&lt;0.5),"NM",FX521/FV521*100-100))</f>
        <v>0.20408163265305745</v>
      </c>
      <c r="FZ521" s="144">
        <f>+FZ217</f>
        <v>580</v>
      </c>
      <c r="GA521" s="72">
        <f>IF(ISERROR(FZ521/FX521),"NA",IF(OR(FZ521/FX521&gt;2,FZ521/FX521&lt;0.5),"NM",FZ521/FX521*100-100))</f>
        <v>18.12627291242363</v>
      </c>
      <c r="GB521" s="144">
        <f>+GB217</f>
        <v>618</v>
      </c>
      <c r="GC521" s="72">
        <f t="shared" si="2494"/>
        <v>6.551724137931032</v>
      </c>
      <c r="GD521" s="144">
        <f>+GD217</f>
        <v>627</v>
      </c>
      <c r="GE521" s="72">
        <f t="shared" si="2495"/>
        <v>1.4563106796116472</v>
      </c>
      <c r="GF521" s="144">
        <f>+GF217</f>
        <v>996</v>
      </c>
      <c r="GG521" s="72">
        <f t="shared" si="2495"/>
        <v>58.851674641148321</v>
      </c>
      <c r="GH521" s="144">
        <f>+GH217</f>
        <v>1213</v>
      </c>
      <c r="GI521" s="72">
        <f t="shared" si="2496"/>
        <v>21.787148594377513</v>
      </c>
      <c r="GJ521" s="144">
        <f>+GJ217</f>
        <v>911</v>
      </c>
      <c r="GK521" s="72">
        <f t="shared" si="2496"/>
        <v>-24.8969497114592</v>
      </c>
      <c r="GL521" s="144">
        <f>+GL217</f>
        <v>1020</v>
      </c>
      <c r="GM521" s="72">
        <f t="shared" si="2496"/>
        <v>11.964873765093301</v>
      </c>
      <c r="GN521" s="144">
        <f>+GN217</f>
        <v>1264</v>
      </c>
      <c r="GO521" s="72">
        <f t="shared" si="2496"/>
        <v>23.921568627450981</v>
      </c>
      <c r="GP521" s="144">
        <f>+GP217</f>
        <v>1109.8176178401463</v>
      </c>
      <c r="GQ521" s="72">
        <f t="shared" si="2496"/>
        <v>-12.197973272140317</v>
      </c>
      <c r="GR521" s="144">
        <f>+GR217</f>
        <v>1138.8525066855709</v>
      </c>
      <c r="GS521" s="72">
        <f t="shared" si="2496"/>
        <v>2.6161856127253031</v>
      </c>
      <c r="GT521" s="144">
        <f>+GT217</f>
        <v>1162.3174196138971</v>
      </c>
      <c r="GU521" s="72">
        <f t="shared" si="2496"/>
        <v>2.0603996382829735</v>
      </c>
      <c r="GV521" s="144">
        <f>+GV217</f>
        <v>1186.1877959747781</v>
      </c>
      <c r="GW521" s="72">
        <f t="shared" si="2497"/>
        <v>2.0536882574478028</v>
      </c>
      <c r="GX521" s="144">
        <f>+GX217</f>
        <v>1210.4694135748559</v>
      </c>
      <c r="GY521" s="72">
        <f t="shared" si="2498"/>
        <v>2.0470297943104185</v>
      </c>
      <c r="GZ521" s="72">
        <f t="shared" si="2499"/>
        <v>-0.86172698919942947</v>
      </c>
      <c r="HA521" s="72"/>
      <c r="HB521" s="72"/>
      <c r="HC521"/>
      <c r="HD521"/>
      <c r="HE521"/>
      <c r="HF521"/>
      <c r="HG521"/>
      <c r="HH521"/>
      <c r="HI521" s="2"/>
    </row>
    <row r="522" spans="1:217" s="3" customFormat="1" ht="12.75" customHeight="1" x14ac:dyDescent="0.2">
      <c r="A522" s="3" t="s">
        <v>532</v>
      </c>
      <c r="B522" s="10" t="s">
        <v>342</v>
      </c>
      <c r="C522" s="145">
        <f>+C252</f>
        <v>2</v>
      </c>
      <c r="D522" s="11"/>
      <c r="E522" s="145">
        <f>+E252</f>
        <v>31</v>
      </c>
      <c r="F522" s="11"/>
      <c r="G522" s="145">
        <f>+G252</f>
        <v>57</v>
      </c>
      <c r="H522" s="11"/>
      <c r="I522" s="145">
        <f>+I252</f>
        <v>68</v>
      </c>
      <c r="J522" s="11"/>
      <c r="K522" s="145">
        <f>+K252</f>
        <v>47</v>
      </c>
      <c r="L522" s="72" t="str">
        <f>IF(ISERROR(K522/C522),"NA",IF(OR(K522/C522&gt;2,K522/C522&lt;0.5),"NM",K522/C522*100-100))</f>
        <v>NM</v>
      </c>
      <c r="M522" s="145">
        <f>+M252</f>
        <v>9</v>
      </c>
      <c r="N522" s="72" t="str">
        <f>IF(ISERROR(M522/E522),"NA",IF(OR(M522/E522&gt;2,M522/E522&lt;0.5),"NM",M522/E522*100-100))</f>
        <v>NM</v>
      </c>
      <c r="O522" s="145">
        <f>+O252</f>
        <v>-7</v>
      </c>
      <c r="P522" s="72" t="str">
        <f>IF(ISERROR(O522/G522),"NA",IF(OR(O522/G522&gt;2,O522/G522&lt;0.5),"NM",O522/G522*100-100))</f>
        <v>NM</v>
      </c>
      <c r="Q522" s="145">
        <f>+Q252</f>
        <v>21</v>
      </c>
      <c r="R522" s="72" t="str">
        <f>IF(ISERROR(Q522/I522),"NA",IF(OR(Q522/I522&gt;2,Q522/I522&lt;0.5),"NM",Q522/I522*100-100))</f>
        <v>NM</v>
      </c>
      <c r="S522" s="145">
        <f>+S252</f>
        <v>37</v>
      </c>
      <c r="T522" s="72">
        <f>IF(ISERROR(S522/K522),"NA",IF(OR(S522/K522&gt;2,S522/K522&lt;0.5),"NM",S522/K522*100-100))</f>
        <v>-21.276595744680847</v>
      </c>
      <c r="U522" s="145">
        <f>+U252</f>
        <v>36</v>
      </c>
      <c r="V522" s="72" t="str">
        <f>IF(ISERROR(U522/M522),"NA",IF(OR(U522/M522&gt;2,U522/M522&lt;0.5),"NM",U522/M522*100-100))</f>
        <v>NM</v>
      </c>
      <c r="W522" s="145">
        <f>+W252</f>
        <v>30</v>
      </c>
      <c r="X522" s="72" t="str">
        <f>IF(ISERROR(W522/O522),"NA",IF(OR(W522/O522&gt;2,W522/O522&lt;0.5),"NM",W522/O522*100-100))</f>
        <v>NM</v>
      </c>
      <c r="Y522" s="145">
        <f>+Y252</f>
        <v>52</v>
      </c>
      <c r="Z522" s="72" t="str">
        <f>IF(ISERROR(Y522/Q522),"NA",IF(OR(Y522/Q522&gt;2,Y522/Q522&lt;0.5),"NM",Y522/Q522*100-100))</f>
        <v>NM</v>
      </c>
      <c r="AA522" s="145">
        <f>+AA252</f>
        <v>34</v>
      </c>
      <c r="AB522" s="72">
        <f>IF(ISERROR(AA522/S522),"NA",IF(OR(AA522/S522&gt;2,AA522/S522&lt;0.5),"NM",AA522/S522*100-100))</f>
        <v>-8.1081081081080981</v>
      </c>
      <c r="AC522" s="145">
        <f>+AC252</f>
        <v>58</v>
      </c>
      <c r="AD522" s="72">
        <f>IF(ISERROR(AC522/U522),"NA",IF(OR(AC522/U522&gt;2,AC522/U522&lt;0.5),"NM",AC522/U522*100-100))</f>
        <v>61.111111111111114</v>
      </c>
      <c r="AE522" s="145">
        <f>+AE252</f>
        <v>30</v>
      </c>
      <c r="AF522" s="72">
        <f>IF(ISERROR(AE522/W522),"NA",IF(OR(AE522/W522&gt;2,AE522/W522&lt;0.5),"NM",AE522/W522*100-100))</f>
        <v>0</v>
      </c>
      <c r="AG522" s="145">
        <f>+AG252</f>
        <v>47</v>
      </c>
      <c r="AH522" s="72">
        <f>IF(ISERROR(AG522/Y522),"NA",IF(OR(AG522/Y522&gt;2,AG522/Y522&lt;0.5),"NM",AG522/Y522*100-100))</f>
        <v>-9.6153846153846132</v>
      </c>
      <c r="AI522" s="145">
        <f>+AI252</f>
        <v>26</v>
      </c>
      <c r="AJ522" s="72">
        <f>IF(ISERROR(AI522/AA522),"NA",IF(OR(AI522/AA522&gt;2,AI522/AA522&lt;0.5),"NM",AI522/AA522*100-100))</f>
        <v>-23.529411764705884</v>
      </c>
      <c r="AK522" s="145">
        <f>+AK252</f>
        <v>46</v>
      </c>
      <c r="AL522" s="72">
        <f>IF(ISERROR(AK522/AC522),"NA",IF(OR(AK522/AC522&gt;2,AK522/AC522&lt;0.5),"NM",AK522/AC522*100-100))</f>
        <v>-20.689655172413794</v>
      </c>
      <c r="AM522" s="145">
        <f>+AM252</f>
        <v>48</v>
      </c>
      <c r="AN522" s="72">
        <f>IF(ISERROR(AM522/AE522),"NA",IF(OR(AM522/AE522&gt;2,AM522/AE522&lt;0.5),"NM",AM522/AE522*100-100))</f>
        <v>60</v>
      </c>
      <c r="AO522" s="145">
        <f>+AO252</f>
        <v>27</v>
      </c>
      <c r="AP522" s="72">
        <f>IF(ISERROR(AO522/AG522),"NA",IF(OR(AO522/AG522&gt;2,AO522/AG522&lt;0.5),"NM",AO522/AG522*100-100))</f>
        <v>-42.553191489361694</v>
      </c>
      <c r="AQ522" s="145">
        <f>+AQ252</f>
        <v>34</v>
      </c>
      <c r="AR522" s="72">
        <f>IF(ISERROR(AQ522/AI522),"NA",IF(OR(AQ522/AI522&gt;2,AQ522/AI522&lt;0.5),"NM",AQ522/AI522*100-100))</f>
        <v>30.769230769230774</v>
      </c>
      <c r="AS522" s="145">
        <f>+AS252</f>
        <v>46</v>
      </c>
      <c r="AT522" s="72">
        <f>IF(ISERROR(AS522/AK522),"NA",IF(OR(AS522/AK522&gt;2,AS522/AK522&lt;0.5),"NM",AS522/AK522*100-100))</f>
        <v>0</v>
      </c>
      <c r="AU522" s="145">
        <f>+AU252</f>
        <v>60</v>
      </c>
      <c r="AV522" s="72">
        <f>IF(ISERROR(AU522/AM522),"NA",IF(OR(AU522/AM522&gt;2,AU522/AM522&lt;0.5),"NM",AU522/AM522*100-100))</f>
        <v>25</v>
      </c>
      <c r="AW522" s="145">
        <f>+AW252</f>
        <v>80</v>
      </c>
      <c r="AX522" s="72" t="str">
        <f>IF(ISERROR(AW522/AO522),"NA",IF(OR(AW522/AO522&gt;2,AW522/AO522&lt;0.5),"NM",AW522/AO522*100-100))</f>
        <v>NM</v>
      </c>
      <c r="AY522" s="145">
        <f>+AY252</f>
        <v>47</v>
      </c>
      <c r="AZ522" s="72">
        <f>IF(ISERROR(AY522/AQ522),"NA",IF(OR(AY522/AQ522&gt;2,AY522/AQ522&lt;0.5),"NM",AY522/AQ522*100-100))</f>
        <v>38.235294117647044</v>
      </c>
      <c r="BA522" s="145">
        <f>+BA252</f>
        <v>58</v>
      </c>
      <c r="BB522" s="72">
        <f>IF(ISERROR(BA522/AS522),"NA",IF(OR(BA522/AS522&gt;2,BA522/AS522&lt;0.5),"NM",BA522/AS522*100-100))</f>
        <v>26.08695652173914</v>
      </c>
      <c r="BC522" s="145">
        <f>+BC252</f>
        <v>58</v>
      </c>
      <c r="BD522" s="72">
        <f>IF(ISERROR(BC522/AU522),"NA",IF(OR(BC522/AU522&gt;2,BC522/AU522&lt;0.5),"NM",BC522/AU522*100-100))</f>
        <v>-3.3333333333333286</v>
      </c>
      <c r="BE522" s="145">
        <f>+BE252</f>
        <v>77</v>
      </c>
      <c r="BF522" s="72">
        <f>IF(ISERROR(BE522/AW522),"NA",IF(OR(BE522/AW522&gt;2,BE522/AW522&lt;0.5),"NM",BE522/AW522*100-100))</f>
        <v>-3.75</v>
      </c>
      <c r="BG522" s="145">
        <f>+BG252</f>
        <v>51</v>
      </c>
      <c r="BH522" s="72">
        <f>IF(ISERROR(BG522/AY522),"NA",IF(OR(BG522/AY522&gt;2,BG522/AY522&lt;0.5),"NM",BG522/AY522*100-100))</f>
        <v>8.5106382978723332</v>
      </c>
      <c r="BI522" s="145">
        <f>+BI252</f>
        <v>69</v>
      </c>
      <c r="BJ522" s="72">
        <f>IF(ISERROR(BI522/BA522),"NA",IF(OR(BI522/BA522&gt;2,BI522/BA522&lt;0.5),"NM",BI522/BA522*100-100))</f>
        <v>18.965517241379317</v>
      </c>
      <c r="BK522" s="145">
        <f>+BK252</f>
        <v>91</v>
      </c>
      <c r="BL522" s="72">
        <f>IF(ISERROR(BK522/BC522),"NA",IF(OR(BK522/BC522&gt;2,BK522/BC522&lt;0.5),"NM",BK522/BC522*100-100))</f>
        <v>56.896551724137936</v>
      </c>
      <c r="BM522" s="145">
        <f>+BM252</f>
        <v>70</v>
      </c>
      <c r="BN522" s="72">
        <f>IF(ISERROR(BM522/BE522),"NA",IF(OR(BM522/BE522&gt;2,BM522/BE522&lt;0.5),"NM",BM522/BE522*100-100))</f>
        <v>-9.0909090909090935</v>
      </c>
      <c r="BO522" s="145">
        <f>+BO252</f>
        <v>70</v>
      </c>
      <c r="BP522" s="72">
        <f>IF(ISERROR(BO522/BG522),"NA",IF(OR(BO522/BG522&gt;2,BO522/BG522&lt;0.5),"NM",BO522/BG522*100-100))</f>
        <v>37.254901960784309</v>
      </c>
      <c r="BQ522" s="145">
        <f>+BQ252</f>
        <v>80</v>
      </c>
      <c r="BR522" s="72">
        <f>IF(ISERROR(BQ522/BI522),"NA",IF(OR(BQ522/BI522&gt;2,BQ522/BI522&lt;0.5),"NM",BQ522/BI522*100-100))</f>
        <v>15.94202898550725</v>
      </c>
      <c r="BS522" s="145">
        <f>+BS252</f>
        <v>88</v>
      </c>
      <c r="BT522" s="72">
        <f>IF(ISERROR(BS522/BK522),"NA",IF(OR(BS522/BK522&gt;2,BS522/BK522&lt;0.5),"NM",BS522/BK522*100-100))</f>
        <v>-3.2967032967032992</v>
      </c>
      <c r="BU522" s="145">
        <f>+BU252</f>
        <v>69</v>
      </c>
      <c r="BV522" s="72">
        <f>IF(ISERROR(BU522/BM522),"NA",IF(OR(BU522/BM522&gt;2,BU522/BM522&lt;0.5),"NM",BU522/BM522*100-100))</f>
        <v>-1.4285714285714164</v>
      </c>
      <c r="BW522" s="145">
        <f>+BW252</f>
        <v>93</v>
      </c>
      <c r="BX522" s="72">
        <f>IF(ISERROR(BW522/BO522),"NA",IF(OR(BW522/BO522&gt;2,BW522/BO522&lt;0.5),"NM",BW522/BO522*100-100))</f>
        <v>32.857142857142861</v>
      </c>
      <c r="BY522" s="145">
        <f>+BY252</f>
        <v>105</v>
      </c>
      <c r="BZ522" s="72">
        <f>IF(ISERROR(BY522/BQ522),"NA",IF(OR(BY522/BQ522&gt;2,BY522/BQ522&lt;0.5),"NM",BY522/BQ522*100-100))</f>
        <v>31.25</v>
      </c>
      <c r="CA522" s="145">
        <f>+CA252</f>
        <v>64</v>
      </c>
      <c r="CB522" s="72">
        <f>IF(ISERROR(CA522/BS522),"NA",IF(OR(CA522/BS522&gt;2,CA522/BS522&lt;0.5),"NM",CA522/BS522*100-100))</f>
        <v>-27.272727272727266</v>
      </c>
      <c r="CC522" s="145">
        <f>+CC252</f>
        <v>69</v>
      </c>
      <c r="CD522" s="72">
        <f>IF(ISERROR(CC522/BU522),"NA",IF(OR(CC522/BU522&gt;2,CC522/BU522&lt;0.5),"NM",CC522/BU522*100-100))</f>
        <v>0</v>
      </c>
      <c r="CE522" s="145">
        <f>+CE252</f>
        <v>52</v>
      </c>
      <c r="CF522" s="72">
        <f>IF(ISERROR(CE522/BW522),"NA",IF(OR(CE522/BW522&gt;2,CE522/BW522&lt;0.5),"NM",CE522/BW522*100-100))</f>
        <v>-44.086021505376351</v>
      </c>
      <c r="CG522" s="145">
        <f>+CG252</f>
        <v>39</v>
      </c>
      <c r="CH522" s="72" t="str">
        <f>IF(ISERROR(CG522/BY522),"NA",IF(OR(CG522/BY522&gt;2,CG522/BY522&lt;0.5),"NM",CG522/BY522*100-100))</f>
        <v>NM</v>
      </c>
      <c r="CI522" s="145">
        <f>+CI252</f>
        <v>32</v>
      </c>
      <c r="CJ522" s="72">
        <f>IF(ISERROR(CI522/CA522),"NA",IF(OR(CI522/CA522&gt;2,CI522/CA522&lt;0.5),"NM",CI522/CA522*100-100))</f>
        <v>-50</v>
      </c>
      <c r="CK522" s="145">
        <f>+CK252</f>
        <v>68</v>
      </c>
      <c r="CL522" s="72">
        <f>IF(ISERROR(CK522/CC522),"NA",IF(OR(CK522/CC522&gt;2,CK522/CC522&lt;0.5),"NM",CK522/CC522*100-100))</f>
        <v>-1.4492753623188293</v>
      </c>
      <c r="CM522" s="145">
        <f>+CM252</f>
        <v>39</v>
      </c>
      <c r="CN522" s="72">
        <f>IF(ISERROR(CM522/CE522),"NA",IF(OR(CM522/CE522&gt;2,CM522/CE522&lt;0.5),"NM",CM522/CE522*100-100))</f>
        <v>-25</v>
      </c>
      <c r="CO522" s="145">
        <f>+CO252</f>
        <v>49</v>
      </c>
      <c r="CP522" s="72">
        <f>IF(ISERROR(CO522/CG522),"NA",IF(OR(CO522/CG522&gt;2,CO522/CG522&lt;0.5),"NM",CO522/CG522*100-100))</f>
        <v>25.641025641025635</v>
      </c>
      <c r="CQ522" s="145">
        <f>+CQ252</f>
        <v>23</v>
      </c>
      <c r="CR522" s="72">
        <f>IF(ISERROR(CQ522/CI522),"NA",IF(OR(CQ522/CI522&gt;2,CQ522/CI522&lt;0.5),"NM",CQ522/CI522*100-100))</f>
        <v>-28.125</v>
      </c>
      <c r="CS522" s="145">
        <f>+CS252</f>
        <v>42</v>
      </c>
      <c r="CT522" s="72">
        <f>IF(ISERROR(CS522/CK522),"NA",IF(OR(CS522/CK522&gt;2,CS522/CK522&lt;0.5),"NM",CS522/CK522*100-100))</f>
        <v>-38.235294117647058</v>
      </c>
      <c r="CU522" s="145">
        <f>+CU252</f>
        <v>-40</v>
      </c>
      <c r="CV522" s="72" t="str">
        <f>IF(ISERROR(CU522/CM522),"NA",IF(OR(CU522/CM522&gt;2,CU522/CM522&lt;0.5),"NM",CU522/CM522*100-100))</f>
        <v>NM</v>
      </c>
      <c r="CW522" s="145">
        <f>+CW252</f>
        <v>33</v>
      </c>
      <c r="CX522" s="72">
        <f>IF(ISERROR(CW522/CO522),"NA",IF(OR(CW522/CO522&gt;2,CW522/CO522&lt;0.5),"NM",CW522/CO522*100-100))</f>
        <v>-32.653061224489804</v>
      </c>
      <c r="CY522" s="145">
        <f>+CY252</f>
        <v>28</v>
      </c>
      <c r="CZ522" s="72">
        <f>IF(ISERROR(CY522/CQ522),"NA",IF(OR(CY522/CQ522&gt;2,CY522/CQ522&lt;0.5),"NM",CY522/CQ522*100-100))</f>
        <v>21.739130434782624</v>
      </c>
      <c r="DA522" s="145">
        <f>+DA252</f>
        <v>26</v>
      </c>
      <c r="DB522" s="72">
        <f>IF(ISERROR(DA522/CS522),"NA",IF(OR(DA522/CS522&gt;2,DA522/CS522&lt;0.5),"NM",DA522/CS522*100-100))</f>
        <v>-38.095238095238095</v>
      </c>
      <c r="DC522" s="145">
        <f>+DC252</f>
        <v>9</v>
      </c>
      <c r="DD522" s="72" t="str">
        <f>IF(ISERROR(DC522/CU522),"NA",IF(OR(DC522/CU522&gt;2,DC522/CU522&lt;0.5),"NM",DC522/CU522*100-100))</f>
        <v>NM</v>
      </c>
      <c r="DE522" s="145">
        <f>+DE252</f>
        <v>22</v>
      </c>
      <c r="DF522" s="72">
        <f>IF(ISERROR(DE522/CW522),"NA",IF(OR(DE522/CW522&gt;2,DE522/CW522&lt;0.5),"NM",DE522/CW522*100-100))</f>
        <v>-33.333333333333343</v>
      </c>
      <c r="DG522" s="145">
        <f>+DG252</f>
        <v>23</v>
      </c>
      <c r="DH522" s="72">
        <f>IF(ISERROR(DG522/CY522),"NA",IF(OR(DG522/CY522&gt;2,DG522/CY522&lt;0.5),"NM",DG522/CY522*100-100))</f>
        <v>-17.857142857142861</v>
      </c>
      <c r="DI522" s="145">
        <f>+DI252</f>
        <v>58</v>
      </c>
      <c r="DJ522" s="72" t="str">
        <f>IF(ISERROR(DI522/DA522),"NA",IF(OR(DI522/DA522&gt;2,DI522/DA522&lt;0.5),"NM",DI522/DA522*100-100))</f>
        <v>NM</v>
      </c>
      <c r="DK522" s="145">
        <f>+DK252</f>
        <v>6</v>
      </c>
      <c r="DL522" s="72">
        <f>IF(ISERROR(DK522/DC522),"NA",IF(OR(DK522/DC522&gt;2,DK522/DC522&lt;0.5),"NM",DK522/DC522*100-100))</f>
        <v>-33.333333333333343</v>
      </c>
      <c r="DM522" s="145">
        <f>+DM252</f>
        <v>46</v>
      </c>
      <c r="DN522" s="72" t="str">
        <f>IF(ISERROR(DM522/DE522),"NA",IF(OR(DM522/DE522&gt;2,DM522/DE522&lt;0.5),"NM",DM522/DE522*100-100))</f>
        <v>NM</v>
      </c>
      <c r="DO522" s="145">
        <f>+DO252</f>
        <v>34</v>
      </c>
      <c r="DP522" s="72">
        <f>IF(ISERROR(DO522/DG522),"NA",IF(OR(DO522/DG522&gt;2,DO522/DG522&lt;0.5),"NM",DO522/DG522*100-100))</f>
        <v>47.826086956521721</v>
      </c>
      <c r="DQ522" s="145">
        <f>+DQ252</f>
        <v>44</v>
      </c>
      <c r="DR522" s="72">
        <f>IF(ISERROR(DQ522/DI522),"NA",IF(OR(DQ522/DI522&gt;2,DQ522/DI522&lt;0.5),"NM",DQ522/DI522*100-100))</f>
        <v>-24.137931034482762</v>
      </c>
      <c r="DS522" s="145">
        <f>+DS252</f>
        <v>30</v>
      </c>
      <c r="DT522" s="72" t="str">
        <f>IF(ISERROR(DS522/DK522),"NA",IF(OR(DS522/DK522&gt;2,DS522/DK522&lt;0.5),"NM",DS522/DK522*100-100))</f>
        <v>NM</v>
      </c>
      <c r="DU522" s="145">
        <f>+DU252</f>
        <v>47</v>
      </c>
      <c r="DV522" s="72">
        <f>IF(ISERROR(DU522/DM522),"NA",IF(OR(DU522/DM522&gt;2,DU522/DM522&lt;0.5),"NM",DU522/DM522*100-100))</f>
        <v>2.1739130434782652</v>
      </c>
      <c r="DW522" s="145">
        <f>+DW252</f>
        <v>44</v>
      </c>
      <c r="DX522" s="72">
        <f>IF(ISERROR(DW522/DO522),"NA",IF(OR(DW522/DO522&gt;2,DW522/DO522&lt;0.5),"NM",DW522/DO522*100-100))</f>
        <v>29.411764705882348</v>
      </c>
      <c r="DY522" s="145">
        <f>+DY252</f>
        <v>27</v>
      </c>
      <c r="DZ522" s="72">
        <f>IF(ISERROR(DY522/DQ522),"NA",IF(OR(DY522/DQ522&gt;2,DY522/DQ522&lt;0.5),"NM",DY522/DQ522*100-100))</f>
        <v>-38.636363636363633</v>
      </c>
      <c r="EA522" s="145">
        <f>+EA252</f>
        <v>26</v>
      </c>
      <c r="EB522" s="72">
        <f>IF(ISERROR(EA522/DS522),"NA",IF(OR(EA522/DS522&gt;2,EA522/DS522&lt;0.5),"NM",EA522/DS522*100-100))</f>
        <v>-13.333333333333329</v>
      </c>
      <c r="EC522" s="145">
        <f>+EC252</f>
        <v>89</v>
      </c>
      <c r="ED522" s="72">
        <f>IF(ISERROR(EC522/DU522),"NA",IF(OR(EC522/DU522&gt;2,EC522/DU522&lt;0.5),"NM",EC522/DU522*100-100))</f>
        <v>89.361702127659584</v>
      </c>
      <c r="EE522" s="145">
        <f>+EE252</f>
        <v>62</v>
      </c>
      <c r="EF522" s="72">
        <f>IF(ISERROR(EE522/DW522),"NA",IF(OR(EE522/DW522&gt;2,EE522/DW522&lt;0.5),"NM",EE522/DW522*100-100))</f>
        <v>40.909090909090907</v>
      </c>
      <c r="EG522" s="145">
        <f>+EG252</f>
        <v>43</v>
      </c>
      <c r="EH522" s="72">
        <f>IF(ISERROR(EG522/DY522),"NA",IF(OR(EG522/DY522&gt;2,EG522/DY522&lt;0.5),"NM",EG522/DY522*100-100))</f>
        <v>59.259259259259267</v>
      </c>
      <c r="EI522" s="145">
        <f>+EI252</f>
        <v>34</v>
      </c>
      <c r="EJ522" s="72">
        <f>IF(ISERROR(EI522/EA522),"NA",IF(OR(EI522/EA522&gt;2,EI522/EA522&lt;0.5),"NM",EI522/EA522*100-100))</f>
        <v>30.769230769230774</v>
      </c>
      <c r="EK522" s="145">
        <f>+EK252</f>
        <v>81</v>
      </c>
      <c r="EL522" s="72">
        <f>IF(ISERROR(EK522/EC522),"NA",IF(OR(EK522/EC522&gt;2,EK522/EC522&lt;0.5),"NM",EK522/EC522*100-100))</f>
        <v>-8.9887640449438209</v>
      </c>
      <c r="EM522" s="145">
        <f>+EM252</f>
        <v>61</v>
      </c>
      <c r="EN522" s="72">
        <f>IF(ISERROR(EM522/EE522),"NA",IF(OR(EM522/EE522&gt;2,EM522/EE522&lt;0.5),"NM",EM522/EE522*100-100))</f>
        <v>-1.6129032258064484</v>
      </c>
      <c r="EO522" s="145">
        <f>+EO252</f>
        <v>22</v>
      </c>
      <c r="EP522" s="72">
        <f>IF(ISERROR(EO522/EG522),"NA",IF(OR(EO522/EG522&gt;2,EO522/EG522&lt;0.5),"NM",EO522/EG522*100-100))</f>
        <v>-48.837209302325576</v>
      </c>
      <c r="EQ522" s="144">
        <f>+EQ252</f>
        <v>43.17832414999998</v>
      </c>
      <c r="ER522" s="72">
        <f>IF(ISERROR(EQ522/EI522),"NA",IF(OR(EQ522/EI522&gt;2,EQ522/EI522&lt;0.5),"NM",EQ522/EI522*100-100))</f>
        <v>26.995071029411704</v>
      </c>
      <c r="ES522" s="144">
        <f>+ES252</f>
        <v>49.623395891499513</v>
      </c>
      <c r="ET522" s="72">
        <f>IF(ISERROR(ES522/EK522),"NA",IF(OR(ES522/EK522&gt;2,ES522/EK522&lt;0.5),"NM",ES522/EK522*100-100))</f>
        <v>-38.736548282099371</v>
      </c>
      <c r="EU522" s="144">
        <f>+EU252</f>
        <v>56.192951235414739</v>
      </c>
      <c r="EV522" s="72">
        <f>IF(ISERROR(EU522/EM522),"NA",IF(OR(EU522/EM522&gt;2,EU522/EM522&lt;0.5),"NM",EU522/EM522*100-100))</f>
        <v>-7.8804078107955036</v>
      </c>
      <c r="EW522" s="144">
        <f>+EW252</f>
        <v>47.053032785860069</v>
      </c>
      <c r="EX522" s="72" t="str">
        <f>IF(ISERROR(EW522/EO522),"NA",IF(OR(EW522/EO522&gt;2,EW522/EO522&lt;0.5),"NM",EW522/EO522*100-100))</f>
        <v>NM</v>
      </c>
      <c r="EY522" s="72"/>
      <c r="EZ522" s="296"/>
      <c r="FA522" s="72"/>
      <c r="FB522" s="145"/>
      <c r="FC522" s="11"/>
      <c r="FD522" s="144">
        <f>+FD252</f>
        <v>128</v>
      </c>
      <c r="FE522" s="72" t="str">
        <f>IF(ISERROR(FD522/FB522),"NA",IF(OR(FD522/FB522&gt;2,FD522/FB522&lt;0.5),"NM",FD522/FB522*100-100))</f>
        <v>NA</v>
      </c>
      <c r="FF522" s="144">
        <f>+FF252</f>
        <v>158</v>
      </c>
      <c r="FG522" s="72">
        <f>IF(ISERROR(FF522/FD522),"NA",IF(OR(FF522/FD522&gt;2,FF522/FD522&lt;0.5),"NM",FF522/FD522*100-100))</f>
        <v>23.4375</v>
      </c>
      <c r="FH522" s="144">
        <f>+FH252</f>
        <v>70</v>
      </c>
      <c r="FI522" s="72" t="str">
        <f>IF(ISERROR(FH522/FF522),"NA",IF(OR(FH522/FF522&gt;2,FH522/FF522&lt;0.5),"NM",FH522/FF522*100-100))</f>
        <v>NM</v>
      </c>
      <c r="FJ522" s="144">
        <f>+FJ252</f>
        <v>155</v>
      </c>
      <c r="FK522" s="72" t="str">
        <f>IF(ISERROR(FJ522/FH522),"NA",IF(OR(FJ522/FH522&gt;2,FJ522/FH522&lt;0.5),"NM",FJ522/FH522*100-100))</f>
        <v>NM</v>
      </c>
      <c r="FL522" s="144">
        <f>+FL252</f>
        <v>169</v>
      </c>
      <c r="FM522" s="72">
        <f>IF(ISERROR(FL522/FJ522),"NA",IF(OR(FL522/FJ522&gt;2,FL522/FJ522&lt;0.5),"NM",FL522/FJ522*100-100))</f>
        <v>9.0322580645161281</v>
      </c>
      <c r="FN522" s="144">
        <f>+FN252</f>
        <v>147</v>
      </c>
      <c r="FO522" s="72">
        <f>IF(ISERROR(FN522/FL522),"NA",IF(OR(FN522/FL522&gt;2,FN522/FL522&lt;0.5),"NM",FN522/FL522*100-100))</f>
        <v>-13.017751479289942</v>
      </c>
      <c r="FP522" s="144">
        <f>+FP252</f>
        <v>220</v>
      </c>
      <c r="FQ522" s="72">
        <f>IF(ISERROR(FP522/FN522),"NA",IF(OR(FP522/FN522&gt;2,FP522/FN522&lt;0.5),"NM",FP522/FN522*100-100))</f>
        <v>49.659863945578252</v>
      </c>
      <c r="FR522" s="144">
        <f>+FR252</f>
        <v>240</v>
      </c>
      <c r="FS522" s="72">
        <f>IF(ISERROR(FR522/FP522),"NA",IF(OR(FR522/FP522&gt;2,FR522/FP522&lt;0.5),"NM",FR522/FP522*100-100))</f>
        <v>9.0909090909090793</v>
      </c>
      <c r="FT522" s="144">
        <f>+FT252</f>
        <v>281</v>
      </c>
      <c r="FU522" s="72">
        <f>IF(ISERROR(FT522/FR522),"NA",IF(OR(FT522/FR522&gt;2,FT522/FR522&lt;0.5),"NM",FT522/FR522*100-100))</f>
        <v>17.083333333333343</v>
      </c>
      <c r="FV522" s="144">
        <f>+FV252</f>
        <v>303</v>
      </c>
      <c r="FW522" s="72">
        <f>IF(ISERROR(FV522/FT522),"NA",IF(OR(FV522/FT522&gt;2,FV522/FT522&lt;0.5),"NM",FV522/FT522*100-100))</f>
        <v>7.829181494661924</v>
      </c>
      <c r="FX522" s="144">
        <f>+FX252</f>
        <v>329</v>
      </c>
      <c r="FY522" s="72">
        <f>IF(ISERROR(FX522/FV522),"NA",IF(OR(FX522/FV522&gt;2,FX522/FV522&lt;0.5),"NM",FX522/FV522*100-100))</f>
        <v>8.5808580858085719</v>
      </c>
      <c r="FZ522" s="144">
        <f>+FZ252</f>
        <v>191</v>
      </c>
      <c r="GA522" s="72">
        <f>IF(ISERROR(FZ522/FX522),"NA",IF(OR(FZ522/FX522&gt;2,FZ522/FX522&lt;0.5),"NM",FZ522/FX522*100-100))</f>
        <v>-41.945288753799389</v>
      </c>
      <c r="GB522" s="144">
        <f>+GB252</f>
        <v>153</v>
      </c>
      <c r="GC522" s="72">
        <f>IF(ISERROR(GB522/FZ522),"NA",IF(OR(GB522/FZ522&gt;2,GB522/FZ522&lt;0.5),"NM",GB522/FZ522*100-100))</f>
        <v>-19.895287958115176</v>
      </c>
      <c r="GD522" s="144">
        <f>+GD252</f>
        <v>47</v>
      </c>
      <c r="GE522" s="72" t="str">
        <f>IF(ISERROR(GD522/GB522),"NA",IF(OR(GD522/GB522&gt;2,GD522/GB522&lt;0.5),"NM",GD522/GB522*100-100))</f>
        <v>NM</v>
      </c>
      <c r="GF522" s="144">
        <f>+GF252</f>
        <v>112</v>
      </c>
      <c r="GG522" s="72" t="str">
        <f>IF(ISERROR(GF522/GD522),"NA",IF(OR(GF522/GD522&gt;2,GF522/GD522&lt;0.5),"NM",GF522/GD522*100-100))</f>
        <v>NM</v>
      </c>
      <c r="GH522" s="144">
        <f>+GH252</f>
        <v>130</v>
      </c>
      <c r="GI522" s="72">
        <f>IF(ISERROR(GH522/GF522),"NA",IF(OR(GH522/GF522&gt;2,GH522/GF522&lt;0.5),"NM",GH522/GF522*100-100))</f>
        <v>16.071428571428584</v>
      </c>
      <c r="GJ522" s="144">
        <f>+GJ252</f>
        <v>148</v>
      </c>
      <c r="GK522" s="72">
        <f>IF(ISERROR(GJ522/GH522),"NA",IF(OR(GJ522/GH522&gt;2,GJ522/GH522&lt;0.5),"NM",GJ522/GH522*100-100))</f>
        <v>13.84615384615384</v>
      </c>
      <c r="GL522" s="144">
        <f>+GL252</f>
        <v>220</v>
      </c>
      <c r="GM522" s="72">
        <f>IF(ISERROR(GL522/GJ522),"NA",IF(OR(GL522/GJ522&gt;2,GL522/GJ522&lt;0.5),"NM",GL522/GJ522*100-100))</f>
        <v>48.648648648648646</v>
      </c>
      <c r="GN522" s="144">
        <f>+GN252</f>
        <v>198</v>
      </c>
      <c r="GO522" s="72">
        <f>IF(ISERROR(GN522/GL522),"NA",IF(OR(GN522/GL522&gt;2,GN522/GL522&lt;0.5),"NM",GN522/GL522*100-100))</f>
        <v>-10</v>
      </c>
      <c r="GP522" s="144">
        <f>+GP252</f>
        <v>196.04770406277567</v>
      </c>
      <c r="GQ522" s="72">
        <f>IF(ISERROR(GP522/GN522),"NA",IF(OR(GP522/GN522&gt;2,GP522/GN522&lt;0.5),"NM",GP522/GN522*100-100))</f>
        <v>-0.98600804910320505</v>
      </c>
      <c r="GR522" s="144">
        <f>+GR252</f>
        <v>203.70113715293792</v>
      </c>
      <c r="GS522" s="72">
        <f>IF(ISERROR(GR522/GP522),"NA",IF(OR(GR522/GP522&gt;2,GR522/GP522&lt;0.5),"NM",GR522/GP522*100-100))</f>
        <v>3.9038626474868607</v>
      </c>
      <c r="GT522" s="144">
        <f>+GT252</f>
        <v>214.2621481665592</v>
      </c>
      <c r="GU522" s="72">
        <f>IF(ISERROR(GT522/GR522),"NA",IF(OR(GT522/GR522&gt;2,GT522/GR522&lt;0.5),"NM",GT522/GR522*100-100))</f>
        <v>5.1845616383045154</v>
      </c>
      <c r="GV522" s="144">
        <f>+GV252</f>
        <v>222.60749246795876</v>
      </c>
      <c r="GW522" s="72">
        <f>IF(ISERROR(GV522/GT522),"NA",IF(OR(GV522/GT522&gt;2,GV522/GT522&lt;0.5),"NM",GV522/GT522*100-100))</f>
        <v>3.894922352272971</v>
      </c>
      <c r="GX522" s="144">
        <f>+GX252</f>
        <v>231.26354204389736</v>
      </c>
      <c r="GY522" s="72">
        <f>IF(ISERROR(GX522/GV522),"NA",IF(OR(GX522/GV522&gt;2,GX522/GV522&lt;0.5),"NM",GX522/GV522*100-100))</f>
        <v>3.8884807874040916</v>
      </c>
      <c r="GZ522" s="72">
        <f>IF(ISERROR(((GX522/GN522)^0.2-1)*100),"NA",IF((((GX522/GN522)^0.2-1)*100)&gt;100,"NM",IF((((GX522/GN522)^0.2-1)*100)&lt;-50,"NM",((GX522/GN522)^0.2-1)*100)))</f>
        <v>3.1545518319895161</v>
      </c>
      <c r="HA522" s="72"/>
      <c r="HB522" s="72"/>
      <c r="HC522"/>
      <c r="HD522"/>
      <c r="HE522"/>
      <c r="HF522"/>
      <c r="HG522"/>
      <c r="HH522"/>
      <c r="HI522" s="2"/>
    </row>
    <row r="523" spans="1:217" s="3" customFormat="1" ht="12.75" customHeight="1" x14ac:dyDescent="0.2">
      <c r="B523" s="89" t="s">
        <v>828</v>
      </c>
      <c r="C523" s="160">
        <f>C521+C522</f>
        <v>2</v>
      </c>
      <c r="D523" s="11"/>
      <c r="E523" s="160">
        <f>E521+E522</f>
        <v>31</v>
      </c>
      <c r="F523" s="11"/>
      <c r="G523" s="160">
        <f>G521+G522</f>
        <v>57</v>
      </c>
      <c r="H523" s="167"/>
      <c r="I523" s="160">
        <f>I521+I522</f>
        <v>68</v>
      </c>
      <c r="J523" s="11"/>
      <c r="K523" s="160">
        <f>K521+K522</f>
        <v>109</v>
      </c>
      <c r="L523" s="72"/>
      <c r="M523" s="160">
        <f>M521+M522</f>
        <v>56</v>
      </c>
      <c r="N523" s="72"/>
      <c r="O523" s="160">
        <f>O521+O522</f>
        <v>-11</v>
      </c>
      <c r="P523" s="72"/>
      <c r="Q523" s="160">
        <f>Q521+Q522</f>
        <v>26</v>
      </c>
      <c r="R523" s="72"/>
      <c r="S523" s="160">
        <f>S521+S522</f>
        <v>71</v>
      </c>
      <c r="T523" s="72"/>
      <c r="U523" s="160">
        <f>U521+U522</f>
        <v>86</v>
      </c>
      <c r="V523" s="72"/>
      <c r="W523" s="160">
        <f>W521+W522</f>
        <v>54</v>
      </c>
      <c r="X523" s="72"/>
      <c r="Y523" s="160">
        <f>Y521+Y522</f>
        <v>85</v>
      </c>
      <c r="Z523" s="72"/>
      <c r="AA523" s="160">
        <f>AA521+AA522</f>
        <v>87</v>
      </c>
      <c r="AB523" s="72"/>
      <c r="AC523" s="160">
        <f>AC521+AC522</f>
        <v>103</v>
      </c>
      <c r="AD523" s="72"/>
      <c r="AE523" s="160">
        <f>AE521+AE522</f>
        <v>69</v>
      </c>
      <c r="AF523" s="72"/>
      <c r="AG523" s="160">
        <f>AG521+AG522</f>
        <v>102</v>
      </c>
      <c r="AH523" s="72"/>
      <c r="AI523" s="160">
        <f>AI521+AI522</f>
        <v>78</v>
      </c>
      <c r="AJ523" s="72"/>
      <c r="AK523" s="160">
        <f>AK521+AK522</f>
        <v>138</v>
      </c>
      <c r="AL523" s="72"/>
      <c r="AM523" s="160">
        <f>AM521+AM522</f>
        <v>142</v>
      </c>
      <c r="AN523" s="72"/>
      <c r="AO523" s="160">
        <f>AO521+AO522</f>
        <v>123</v>
      </c>
      <c r="AP523" s="72"/>
      <c r="AQ523" s="160">
        <f>AQ521+AQ522</f>
        <v>161</v>
      </c>
      <c r="AR523" s="72"/>
      <c r="AS523" s="160">
        <f>AS521+AS522</f>
        <v>153</v>
      </c>
      <c r="AT523" s="72"/>
      <c r="AU523" s="160">
        <f>AU521+AU522</f>
        <v>155</v>
      </c>
      <c r="AV523" s="72"/>
      <c r="AW523" s="160">
        <f>AW521+AW522</f>
        <v>162</v>
      </c>
      <c r="AX523" s="72"/>
      <c r="AY523" s="160">
        <f>AY521+AY522</f>
        <v>184</v>
      </c>
      <c r="AZ523" s="72"/>
      <c r="BA523" s="160">
        <f>BA521+BA522</f>
        <v>182</v>
      </c>
      <c r="BB523" s="72"/>
      <c r="BC523" s="160">
        <f>BC521+BC522</f>
        <v>167</v>
      </c>
      <c r="BD523" s="72"/>
      <c r="BE523" s="160">
        <f>BE521+BE522</f>
        <v>198</v>
      </c>
      <c r="BF523" s="72"/>
      <c r="BG523" s="160">
        <f>BG521+BG522</f>
        <v>199</v>
      </c>
      <c r="BH523" s="72"/>
      <c r="BI523" s="160">
        <f>BI521+BI522</f>
        <v>207</v>
      </c>
      <c r="BJ523" s="72"/>
      <c r="BK523" s="160">
        <f>BK521+BK522</f>
        <v>249</v>
      </c>
      <c r="BL523" s="72"/>
      <c r="BM523" s="160">
        <f>BM521+BM522</f>
        <v>215</v>
      </c>
      <c r="BN523" s="72"/>
      <c r="BO523" s="160">
        <f>BO521+BO522</f>
        <v>194</v>
      </c>
      <c r="BP523" s="72"/>
      <c r="BQ523" s="160">
        <f>BQ521+BQ522</f>
        <v>221</v>
      </c>
      <c r="BR523" s="72"/>
      <c r="BS523" s="160">
        <f>BS521+BS522</f>
        <v>209</v>
      </c>
      <c r="BT523" s="72"/>
      <c r="BU523" s="160">
        <f>BU521+BU522</f>
        <v>169</v>
      </c>
      <c r="BV523" s="72"/>
      <c r="BW523" s="160">
        <f>BW521+BW522</f>
        <v>233</v>
      </c>
      <c r="BX523" s="72"/>
      <c r="BY523" s="160">
        <f>BY521+BY522</f>
        <v>210</v>
      </c>
      <c r="BZ523" s="72"/>
      <c r="CA523" s="160">
        <f>CA521+CA522</f>
        <v>181</v>
      </c>
      <c r="CB523" s="72"/>
      <c r="CC523" s="160">
        <f>CC521+CC522</f>
        <v>201</v>
      </c>
      <c r="CD523" s="72"/>
      <c r="CE523" s="160">
        <f>CE521+CE522</f>
        <v>219</v>
      </c>
      <c r="CF523" s="72"/>
      <c r="CG523" s="160">
        <f>CG521+CG522</f>
        <v>173</v>
      </c>
      <c r="CH523" s="72"/>
      <c r="CI523" s="160">
        <f>CI521+CI522</f>
        <v>165</v>
      </c>
      <c r="CJ523" s="72"/>
      <c r="CK523" s="160">
        <f>CK521+CK522</f>
        <v>214</v>
      </c>
      <c r="CL523" s="72"/>
      <c r="CM523" s="160">
        <f>CM521+CM522</f>
        <v>211</v>
      </c>
      <c r="CN523" s="72"/>
      <c r="CO523" s="160">
        <f>CO521+CO522</f>
        <v>220</v>
      </c>
      <c r="CP523" s="72"/>
      <c r="CQ523" s="160">
        <f>CQ521+CQ522</f>
        <v>158</v>
      </c>
      <c r="CR523" s="72"/>
      <c r="CS523" s="160">
        <f>CS521+CS522</f>
        <v>182</v>
      </c>
      <c r="CT523" s="72"/>
      <c r="CU523" s="160">
        <f>CU521+CU522</f>
        <v>116</v>
      </c>
      <c r="CV523" s="72"/>
      <c r="CW523" s="160">
        <f>CW521+CW522</f>
        <v>189</v>
      </c>
      <c r="CX523" s="72"/>
      <c r="CY523" s="160">
        <f>CY521+CY522</f>
        <v>180</v>
      </c>
      <c r="CZ523" s="72"/>
      <c r="DA523" s="160">
        <f>DA521+DA522</f>
        <v>189</v>
      </c>
      <c r="DB523" s="72"/>
      <c r="DC523" s="160">
        <f>DC521+DC522</f>
        <v>237</v>
      </c>
      <c r="DD523" s="72"/>
      <c r="DE523" s="160">
        <f>DE521+DE522</f>
        <v>254</v>
      </c>
      <c r="DF523" s="72"/>
      <c r="DG523" s="160">
        <f>DG521+DG522</f>
        <v>264</v>
      </c>
      <c r="DH523" s="72"/>
      <c r="DI523" s="160">
        <f>DI521+DI522</f>
        <v>353</v>
      </c>
      <c r="DJ523" s="72"/>
      <c r="DK523" s="160">
        <f>DK521+DK522</f>
        <v>370</v>
      </c>
      <c r="DL523" s="72"/>
      <c r="DM523" s="160">
        <f>DM521+DM522</f>
        <v>332</v>
      </c>
      <c r="DN523" s="72"/>
      <c r="DO523" s="160">
        <f>DO521+DO522</f>
        <v>303</v>
      </c>
      <c r="DP523" s="72"/>
      <c r="DQ523" s="160">
        <f>DQ521+DQ522</f>
        <v>338</v>
      </c>
      <c r="DR523" s="72"/>
      <c r="DS523" s="160">
        <f>DS521+DS522</f>
        <v>314</v>
      </c>
      <c r="DT523" s="72"/>
      <c r="DU523" s="160">
        <f>DU521+DU522</f>
        <v>284</v>
      </c>
      <c r="DV523" s="72"/>
      <c r="DW523" s="160">
        <f>DW521+DW522</f>
        <v>266</v>
      </c>
      <c r="DX523" s="72"/>
      <c r="DY523" s="160">
        <f>DY521+DY522</f>
        <v>195</v>
      </c>
      <c r="DZ523" s="72"/>
      <c r="EA523" s="160">
        <f>EA521+EA522</f>
        <v>245</v>
      </c>
      <c r="EB523" s="72"/>
      <c r="EC523" s="160">
        <f>EC521+EC522</f>
        <v>319</v>
      </c>
      <c r="ED523" s="72"/>
      <c r="EE523" s="160">
        <f>EE521+EE522</f>
        <v>335</v>
      </c>
      <c r="EF523" s="72"/>
      <c r="EG523" s="160">
        <f>EG521+EG522</f>
        <v>341</v>
      </c>
      <c r="EH523" s="72"/>
      <c r="EI523" s="160">
        <f>EI521+EI522</f>
        <v>431</v>
      </c>
      <c r="EJ523" s="72"/>
      <c r="EK523" s="160">
        <f>EK521+EK522</f>
        <v>409</v>
      </c>
      <c r="EL523" s="72"/>
      <c r="EM523" s="160">
        <f>EM521+EM522</f>
        <v>309</v>
      </c>
      <c r="EN523" s="72"/>
      <c r="EO523" s="160">
        <f>EO521+EO522</f>
        <v>313</v>
      </c>
      <c r="EP523" s="72"/>
      <c r="EQ523" s="160">
        <f>EQ521+EQ522</f>
        <v>350.73558167286751</v>
      </c>
      <c r="ER523" s="72"/>
      <c r="ES523" s="160">
        <f>ES521+ES522</f>
        <v>335.04988905634082</v>
      </c>
      <c r="ET523" s="72"/>
      <c r="EU523" s="160">
        <f>EU521+EU522</f>
        <v>321.01970519265865</v>
      </c>
      <c r="EV523" s="72"/>
      <c r="EW523" s="160">
        <f>EW521+EW522</f>
        <v>299.06014598105457</v>
      </c>
      <c r="EX523" s="72"/>
      <c r="EY523" s="72"/>
      <c r="EZ523" s="296"/>
      <c r="FA523" s="72"/>
      <c r="FB523" s="145"/>
      <c r="FC523" s="11"/>
      <c r="FD523" s="160">
        <f>FD521+FD522</f>
        <v>343</v>
      </c>
      <c r="FE523" s="72"/>
      <c r="FF523" s="160">
        <f>FF521+FF522</f>
        <v>352</v>
      </c>
      <c r="FG523" s="72"/>
      <c r="FH523" s="160">
        <f>FH521+FH522</f>
        <v>178</v>
      </c>
      <c r="FI523" s="72"/>
      <c r="FJ523" s="160">
        <f>FJ521+FJ522</f>
        <v>304</v>
      </c>
      <c r="FK523" s="72"/>
      <c r="FL523" s="160">
        <f>FL521+FL522</f>
        <v>361</v>
      </c>
      <c r="FM523" s="72"/>
      <c r="FN523" s="160">
        <f>FN521+FN522</f>
        <v>481</v>
      </c>
      <c r="FO523" s="72"/>
      <c r="FP523" s="160">
        <f>FP521+FP522</f>
        <v>631</v>
      </c>
      <c r="FQ523" s="72"/>
      <c r="FR523" s="160">
        <f>FR521+FR522</f>
        <v>731</v>
      </c>
      <c r="FS523" s="72"/>
      <c r="FT523" s="160">
        <f>FT521+FT522</f>
        <v>870</v>
      </c>
      <c r="FU523" s="72"/>
      <c r="FV523" s="160">
        <f>FV521+FV522</f>
        <v>793</v>
      </c>
      <c r="FW523" s="72"/>
      <c r="FX523" s="160">
        <f>FX521+FX522</f>
        <v>820</v>
      </c>
      <c r="FY523" s="72"/>
      <c r="FZ523" s="160">
        <f>FZ521+FZ522</f>
        <v>771</v>
      </c>
      <c r="GA523" s="72"/>
      <c r="GB523" s="160">
        <f>GB521+GB522</f>
        <v>771</v>
      </c>
      <c r="GC523" s="72"/>
      <c r="GD523" s="160">
        <f>GD521+GD522</f>
        <v>674</v>
      </c>
      <c r="GE523" s="72"/>
      <c r="GF523" s="160">
        <f>GF521+GF522</f>
        <v>1108</v>
      </c>
      <c r="GG523" s="72"/>
      <c r="GH523" s="160">
        <f>GH521+GH522</f>
        <v>1343</v>
      </c>
      <c r="GI523" s="72"/>
      <c r="GJ523" s="160">
        <f>GJ521+GJ522</f>
        <v>1059</v>
      </c>
      <c r="GK523" s="72"/>
      <c r="GL523" s="160">
        <f>GL521+GL522</f>
        <v>1240</v>
      </c>
      <c r="GM523" s="72"/>
      <c r="GN523" s="160">
        <f>GN521+GN522</f>
        <v>1462</v>
      </c>
      <c r="GO523" s="72"/>
      <c r="GP523" s="160">
        <f>GP521+GP522</f>
        <v>1305.865321902922</v>
      </c>
      <c r="GQ523" s="72"/>
      <c r="GR523" s="160">
        <f>GR521+GR522</f>
        <v>1342.5536438385088</v>
      </c>
      <c r="GS523" s="72"/>
      <c r="GT523" s="160">
        <f>GT521+GT522</f>
        <v>1376.5795677804563</v>
      </c>
      <c r="GU523" s="72"/>
      <c r="GV523" s="160">
        <f>GV521+GV522</f>
        <v>1408.7952884427368</v>
      </c>
      <c r="GW523" s="72"/>
      <c r="GX523" s="160">
        <f>GX521+GX522</f>
        <v>1441.7329556187533</v>
      </c>
      <c r="GY523" s="72"/>
      <c r="GZ523" s="72">
        <f>IF(ISERROR(((GX523/GN523)^0.2-1)*100),"NA",IF((((GX523/GN523)^0.2-1)*100)&gt;100,"NM",IF((((GX523/GN523)^0.2-1)*100)&lt;-50,"NM",((GX523/GN523)^0.2-1)*100)))</f>
        <v>-0.27880122335876001</v>
      </c>
      <c r="HA523" s="72"/>
      <c r="HB523" s="72"/>
      <c r="HC523"/>
      <c r="HD523"/>
      <c r="HE523"/>
      <c r="HF523"/>
      <c r="HG523"/>
      <c r="HH523"/>
      <c r="HI523" s="2"/>
    </row>
    <row r="524" spans="1:217" s="3" customFormat="1" ht="12.75" hidden="1" customHeight="1" outlineLevel="1" x14ac:dyDescent="0.2">
      <c r="A524" s="3" t="s">
        <v>253</v>
      </c>
      <c r="B524" s="10" t="s">
        <v>568</v>
      </c>
      <c r="C524" s="145"/>
      <c r="D524" s="11"/>
      <c r="E524" s="145"/>
      <c r="F524" s="11"/>
      <c r="G524" s="145"/>
      <c r="H524" s="11"/>
      <c r="I524" s="145"/>
      <c r="J524" s="11"/>
      <c r="K524" s="145"/>
      <c r="L524" s="72" t="str">
        <f t="shared" si="2434"/>
        <v>NA</v>
      </c>
      <c r="M524" s="145"/>
      <c r="N524" s="72" t="str">
        <f t="shared" si="2435"/>
        <v>NA</v>
      </c>
      <c r="O524" s="145"/>
      <c r="P524" s="72" t="str">
        <f t="shared" si="2436"/>
        <v>NA</v>
      </c>
      <c r="Q524" s="145"/>
      <c r="R524" s="72" t="str">
        <f t="shared" si="2437"/>
        <v>NA</v>
      </c>
      <c r="S524" s="145"/>
      <c r="T524" s="72" t="str">
        <f t="shared" si="2438"/>
        <v>NA</v>
      </c>
      <c r="U524" s="145"/>
      <c r="V524" s="72" t="str">
        <f t="shared" si="2439"/>
        <v>NA</v>
      </c>
      <c r="W524" s="145"/>
      <c r="X524" s="72" t="str">
        <f t="shared" si="2440"/>
        <v>NA</v>
      </c>
      <c r="Y524" s="145"/>
      <c r="Z524" s="72" t="str">
        <f t="shared" si="2441"/>
        <v>NA</v>
      </c>
      <c r="AA524" s="145"/>
      <c r="AB524" s="72" t="str">
        <f t="shared" si="2442"/>
        <v>NA</v>
      </c>
      <c r="AC524" s="145"/>
      <c r="AD524" s="72" t="str">
        <f t="shared" si="2443"/>
        <v>NA</v>
      </c>
      <c r="AE524" s="145"/>
      <c r="AF524" s="72" t="str">
        <f t="shared" si="2444"/>
        <v>NA</v>
      </c>
      <c r="AG524" s="145"/>
      <c r="AH524" s="72" t="str">
        <f t="shared" si="2445"/>
        <v>NA</v>
      </c>
      <c r="AI524" s="145"/>
      <c r="AJ524" s="72" t="str">
        <f t="shared" si="2446"/>
        <v>NA</v>
      </c>
      <c r="AK524" s="145"/>
      <c r="AL524" s="72" t="str">
        <f t="shared" si="2447"/>
        <v>NA</v>
      </c>
      <c r="AM524" s="145"/>
      <c r="AN524" s="72" t="str">
        <f t="shared" si="2448"/>
        <v>NA</v>
      </c>
      <c r="AO524" s="145"/>
      <c r="AP524" s="72" t="str">
        <f t="shared" si="2449"/>
        <v>NA</v>
      </c>
      <c r="AQ524" s="145"/>
      <c r="AR524" s="72" t="str">
        <f t="shared" si="2450"/>
        <v>NA</v>
      </c>
      <c r="AS524" s="145"/>
      <c r="AT524" s="72" t="str">
        <f t="shared" si="2451"/>
        <v>NA</v>
      </c>
      <c r="AU524" s="145"/>
      <c r="AV524" s="72" t="str">
        <f t="shared" si="2452"/>
        <v>NA</v>
      </c>
      <c r="AW524" s="145"/>
      <c r="AX524" s="72" t="str">
        <f t="shared" si="2453"/>
        <v>NA</v>
      </c>
      <c r="AY524" s="145"/>
      <c r="AZ524" s="72" t="str">
        <f>IF(ISERROR(AY524/AQ524),"NA",IF(OR(AY524/AQ524&gt;2,AY524/AQ524&lt;0.5),"NM",AY524/AQ524*100-100))</f>
        <v>NA</v>
      </c>
      <c r="BA524" s="145"/>
      <c r="BB524" s="72" t="str">
        <f>IF(ISERROR(BA524/AS524),"NA",IF(OR(BA524/AS524&gt;2,BA524/AS524&lt;0.5),"NM",BA524/AS524*100-100))</f>
        <v>NA</v>
      </c>
      <c r="BC524" s="145"/>
      <c r="BD524" s="72" t="str">
        <f>IF(ISERROR(BC524/AU524),"NA",IF(OR(BC524/AU524&gt;2,BC524/AU524&lt;0.5),"NM",BC524/AU524*100-100))</f>
        <v>NA</v>
      </c>
      <c r="BE524" s="145"/>
      <c r="BF524" s="72" t="str">
        <f t="shared" si="2454"/>
        <v>NA</v>
      </c>
      <c r="BG524" s="145"/>
      <c r="BH524" s="223"/>
      <c r="BI524" s="145"/>
      <c r="BJ524" s="223"/>
      <c r="BK524" s="145"/>
      <c r="BL524" s="223"/>
      <c r="BM524" s="145"/>
      <c r="BN524" s="223"/>
      <c r="BO524" s="145"/>
      <c r="BP524" s="223"/>
      <c r="BQ524" s="145"/>
      <c r="BR524" s="223"/>
      <c r="BS524" s="145"/>
      <c r="BT524" s="223"/>
      <c r="BU524" s="145"/>
      <c r="BV524" s="223"/>
      <c r="BW524" s="145"/>
      <c r="BX524" s="223"/>
      <c r="BY524" s="145"/>
      <c r="BZ524" s="223"/>
      <c r="CA524" s="145"/>
      <c r="CB524" s="223"/>
      <c r="CC524" s="145"/>
      <c r="CD524" s="223"/>
      <c r="CE524" s="145"/>
      <c r="CF524" s="223"/>
      <c r="CG524" s="145"/>
      <c r="CH524" s="223"/>
      <c r="CI524" s="145"/>
      <c r="CJ524" s="223"/>
      <c r="CK524" s="145"/>
      <c r="CL524" s="223"/>
      <c r="CM524" s="145"/>
      <c r="CN524" s="223"/>
      <c r="CO524" s="145"/>
      <c r="CP524" s="223"/>
      <c r="CQ524" s="145"/>
      <c r="CR524" s="223"/>
      <c r="CS524" s="145"/>
      <c r="CT524" s="223"/>
      <c r="CU524" s="145"/>
      <c r="CV524" s="223"/>
      <c r="CW524" s="145"/>
      <c r="CX524" s="223"/>
      <c r="CY524" s="145"/>
      <c r="CZ524" s="223"/>
      <c r="DA524" s="145"/>
      <c r="DB524" s="72" t="str">
        <f t="shared" si="2470"/>
        <v>NA</v>
      </c>
      <c r="DC524" s="145"/>
      <c r="DD524" s="72" t="str">
        <f t="shared" si="2471"/>
        <v>NA</v>
      </c>
      <c r="DE524" s="145"/>
      <c r="DF524" s="72" t="str">
        <f t="shared" si="2472"/>
        <v>NA</v>
      </c>
      <c r="DG524" s="145"/>
      <c r="DH524" s="72" t="str">
        <f t="shared" si="2473"/>
        <v>NA</v>
      </c>
      <c r="DI524" s="145"/>
      <c r="DJ524" s="72" t="str">
        <f t="shared" si="2474"/>
        <v>NA</v>
      </c>
      <c r="DK524" s="145"/>
      <c r="DL524" s="72" t="str">
        <f t="shared" si="2475"/>
        <v>NA</v>
      </c>
      <c r="DM524" s="145"/>
      <c r="DN524" s="72" t="str">
        <f t="shared" si="2476"/>
        <v>NA</v>
      </c>
      <c r="DO524" s="145"/>
      <c r="DP524" s="72" t="str">
        <f t="shared" si="2476"/>
        <v>NA</v>
      </c>
      <c r="DQ524" s="145"/>
      <c r="DR524" s="72" t="str">
        <f t="shared" si="2476"/>
        <v>NA</v>
      </c>
      <c r="DS524" s="145"/>
      <c r="DT524" s="72" t="str">
        <f t="shared" si="2476"/>
        <v>NA</v>
      </c>
      <c r="DU524" s="145"/>
      <c r="DV524" s="72" t="str">
        <f t="shared" si="2476"/>
        <v>NA</v>
      </c>
      <c r="DW524" s="145"/>
      <c r="DX524" s="72" t="str">
        <f t="shared" si="2476"/>
        <v>NA</v>
      </c>
      <c r="DY524" s="145"/>
      <c r="DZ524" s="72" t="str">
        <f t="shared" si="2476"/>
        <v>NA</v>
      </c>
      <c r="EA524" s="145"/>
      <c r="EB524" s="72" t="str">
        <f t="shared" si="2477"/>
        <v>NA</v>
      </c>
      <c r="EC524" s="145"/>
      <c r="ED524" s="72" t="str">
        <f t="shared" si="2478"/>
        <v>NA</v>
      </c>
      <c r="EE524" s="145"/>
      <c r="EF524" s="72" t="str">
        <f t="shared" si="2479"/>
        <v>NA</v>
      </c>
      <c r="EG524" s="145"/>
      <c r="EH524" s="72" t="str">
        <f t="shared" si="2480"/>
        <v>NA</v>
      </c>
      <c r="EI524" s="145"/>
      <c r="EJ524" s="72" t="str">
        <f t="shared" si="2481"/>
        <v>NA</v>
      </c>
      <c r="EK524" s="145"/>
      <c r="EL524" s="72" t="str">
        <f t="shared" si="2482"/>
        <v>NA</v>
      </c>
      <c r="EM524" s="145"/>
      <c r="EN524" s="72" t="str">
        <f t="shared" si="2483"/>
        <v>NA</v>
      </c>
      <c r="EO524" s="145"/>
      <c r="EP524" s="72" t="str">
        <f t="shared" si="2484"/>
        <v>NA</v>
      </c>
      <c r="EQ524" s="224"/>
      <c r="ER524" s="72" t="str">
        <f t="shared" si="2485"/>
        <v>NA</v>
      </c>
      <c r="ES524" s="224"/>
      <c r="ET524" s="72" t="str">
        <f t="shared" si="2486"/>
        <v>NA</v>
      </c>
      <c r="EU524" s="224"/>
      <c r="EV524" s="72" t="str">
        <f t="shared" si="2487"/>
        <v>NA</v>
      </c>
      <c r="EW524" s="224"/>
      <c r="EX524" s="72" t="str">
        <f t="shared" si="2488"/>
        <v>NA</v>
      </c>
      <c r="EY524" s="72"/>
      <c r="EZ524" s="296"/>
      <c r="FA524" s="72"/>
      <c r="FB524" s="145"/>
      <c r="FC524" s="11"/>
      <c r="FD524" s="144">
        <f>+FD349</f>
        <v>319</v>
      </c>
      <c r="FE524" s="72" t="str">
        <f t="shared" si="2489"/>
        <v>NA</v>
      </c>
      <c r="FF524" s="144">
        <f>+FF349</f>
        <v>358</v>
      </c>
      <c r="FG524" s="72">
        <f t="shared" si="2490"/>
        <v>12.225705329153612</v>
      </c>
      <c r="FH524" s="144">
        <f>+FH349</f>
        <v>-136</v>
      </c>
      <c r="FI524" s="72" t="str">
        <f t="shared" si="2491"/>
        <v>NM</v>
      </c>
      <c r="FJ524" s="144">
        <f>+FJ349</f>
        <v>-43</v>
      </c>
      <c r="FK524" s="72" t="str">
        <f t="shared" si="2492"/>
        <v>NM</v>
      </c>
      <c r="FL524" s="144">
        <f>+FL349</f>
        <v>-111</v>
      </c>
      <c r="FM524" s="72" t="str">
        <f t="shared" si="2493"/>
        <v>NM</v>
      </c>
      <c r="FN524" s="144">
        <f>+FN349</f>
        <v>-245.4</v>
      </c>
      <c r="FO524" s="72" t="str">
        <f t="shared" ref="FO524:FO531" si="2501">IF(ISERROR(FN524/FL524),"NA",IF(OR(FN524/FL524&gt;2,FN524/FL524&lt;0.5),"NM",FN524/FL524*100-100))</f>
        <v>NM</v>
      </c>
      <c r="FP524" s="144">
        <f>+FP349</f>
        <v>121</v>
      </c>
      <c r="FQ524" s="72" t="str">
        <f t="shared" si="2500"/>
        <v>NM</v>
      </c>
      <c r="FR524" s="144">
        <f>+FR349</f>
        <v>161</v>
      </c>
      <c r="FS524" s="72">
        <f t="shared" si="2500"/>
        <v>33.057851239669418</v>
      </c>
      <c r="FT524" s="224"/>
      <c r="FU524" s="223"/>
      <c r="FV524" s="224"/>
      <c r="FW524" s="223"/>
      <c r="FX524" s="224"/>
      <c r="FY524" s="223"/>
      <c r="FZ524" s="224"/>
      <c r="GA524" s="223"/>
      <c r="GB524" s="224"/>
      <c r="GC524" s="223"/>
      <c r="GD524" s="224"/>
      <c r="GE524" s="223"/>
      <c r="GF524" s="224"/>
      <c r="GG524" s="223"/>
      <c r="GH524" s="224"/>
      <c r="GI524" s="72" t="str">
        <f t="shared" si="2496"/>
        <v>NA</v>
      </c>
      <c r="GJ524" s="224"/>
      <c r="GK524" s="72" t="str">
        <f t="shared" si="2496"/>
        <v>NA</v>
      </c>
      <c r="GL524" s="224"/>
      <c r="GM524" s="72" t="str">
        <f t="shared" si="2496"/>
        <v>NA</v>
      </c>
      <c r="GN524" s="224"/>
      <c r="GO524" s="72" t="str">
        <f t="shared" si="2496"/>
        <v>NA</v>
      </c>
      <c r="GP524" s="224"/>
      <c r="GQ524" s="72" t="str">
        <f t="shared" si="2496"/>
        <v>NA</v>
      </c>
      <c r="GR524" s="224"/>
      <c r="GS524" s="72" t="str">
        <f t="shared" si="2496"/>
        <v>NA</v>
      </c>
      <c r="GT524" s="224"/>
      <c r="GU524" s="72" t="str">
        <f t="shared" si="2496"/>
        <v>NA</v>
      </c>
      <c r="GV524" s="224"/>
      <c r="GW524" s="72" t="str">
        <f t="shared" si="2497"/>
        <v>NA</v>
      </c>
      <c r="GX524" s="224"/>
      <c r="GY524" s="72" t="str">
        <f t="shared" si="2498"/>
        <v>NA</v>
      </c>
      <c r="GZ524" s="72" t="str">
        <f t="shared" si="2499"/>
        <v>NA</v>
      </c>
      <c r="HA524" s="72"/>
      <c r="HB524" s="72"/>
      <c r="HC524"/>
      <c r="HD524"/>
      <c r="HE524"/>
      <c r="HF524"/>
      <c r="HG524"/>
      <c r="HH524"/>
      <c r="HI524" s="2"/>
    </row>
    <row r="525" spans="1:217" s="3" customFormat="1" ht="12.75" customHeight="1" collapsed="1" x14ac:dyDescent="0.2">
      <c r="A525" s="3" t="s">
        <v>252</v>
      </c>
      <c r="B525" s="10" t="s">
        <v>292</v>
      </c>
      <c r="C525" s="145">
        <f>+C324</f>
        <v>0</v>
      </c>
      <c r="D525" s="11"/>
      <c r="E525" s="145">
        <f>+E324</f>
        <v>0</v>
      </c>
      <c r="F525" s="11"/>
      <c r="G525" s="145">
        <f>+G324</f>
        <v>0</v>
      </c>
      <c r="H525" s="11"/>
      <c r="I525" s="145">
        <f>+I324</f>
        <v>0</v>
      </c>
      <c r="J525" s="11"/>
      <c r="K525" s="145">
        <f>+K324</f>
        <v>67</v>
      </c>
      <c r="L525" s="72" t="str">
        <f>IF(ISERROR(K525/C525),"NA",IF(OR(K525/C525&gt;2,K525/C525&lt;0.5),"NM",K525/C525*100-100))</f>
        <v>NA</v>
      </c>
      <c r="M525" s="145">
        <f>+M324</f>
        <v>40</v>
      </c>
      <c r="N525" s="72" t="str">
        <f>IF(ISERROR(M525/E525),"NA",IF(OR(M525/E525&gt;2,M525/E525&lt;0.5),"NM",M525/E525*100-100))</f>
        <v>NA</v>
      </c>
      <c r="O525" s="145">
        <f>+O324</f>
        <v>51</v>
      </c>
      <c r="P525" s="72" t="str">
        <f>IF(ISERROR(O525/G525),"NA",IF(OR(O525/G525&gt;2,O525/G525&lt;0.5),"NM",O525/G525*100-100))</f>
        <v>NA</v>
      </c>
      <c r="Q525" s="145">
        <f>+Q324</f>
        <v>38</v>
      </c>
      <c r="R525" s="72" t="str">
        <f>IF(ISERROR(Q525/I525),"NA",IF(OR(Q525/I525&gt;2,Q525/I525&lt;0.5),"NM",Q525/I525*100-100))</f>
        <v>NA</v>
      </c>
      <c r="S525" s="145">
        <f>+S324</f>
        <v>63</v>
      </c>
      <c r="T525" s="72">
        <f>IF(ISERROR(S525/K525),"NA",IF(OR(S525/K525&gt;2,S525/K525&lt;0.5),"NM",S525/K525*100-100))</f>
        <v>-5.9701492537313356</v>
      </c>
      <c r="U525" s="145">
        <f>+U324</f>
        <v>48</v>
      </c>
      <c r="V525" s="72">
        <f>IF(ISERROR(U525/M525),"NA",IF(OR(U525/M525&gt;2,U525/M525&lt;0.5),"NM",U525/M525*100-100))</f>
        <v>20</v>
      </c>
      <c r="W525" s="145">
        <f>+W324</f>
        <v>42</v>
      </c>
      <c r="X525" s="72">
        <f>IF(ISERROR(W525/O525),"NA",IF(OR(W525/O525&gt;2,W525/O525&lt;0.5),"NM",W525/O525*100-100))</f>
        <v>-17.64705882352942</v>
      </c>
      <c r="Y525" s="145">
        <f>+Y324</f>
        <v>31</v>
      </c>
      <c r="Z525" s="72">
        <f>IF(ISERROR(Y525/Q525),"NA",IF(OR(Y525/Q525&gt;2,Y525/Q525&lt;0.5),"NM",Y525/Q525*100-100))</f>
        <v>-18.421052631578945</v>
      </c>
      <c r="AA525" s="145">
        <f>+AA324</f>
        <v>45</v>
      </c>
      <c r="AB525" s="72">
        <f>IF(ISERROR(AA525/S525),"NA",IF(OR(AA525/S525&gt;2,AA525/S525&lt;0.5),"NM",AA525/S525*100-100))</f>
        <v>-28.571428571428569</v>
      </c>
      <c r="AC525" s="145">
        <f>+AC324</f>
        <v>54</v>
      </c>
      <c r="AD525" s="72">
        <f>IF(ISERROR(AC525/U525),"NA",IF(OR(AC525/U525&gt;2,AC525/U525&lt;0.5),"NM",AC525/U525*100-100))</f>
        <v>12.5</v>
      </c>
      <c r="AE525" s="145">
        <f>+AE324</f>
        <v>42</v>
      </c>
      <c r="AF525" s="72">
        <f>IF(ISERROR(AE525/W525),"NA",IF(OR(AE525/W525&gt;2,AE525/W525&lt;0.5),"NM",AE525/W525*100-100))</f>
        <v>0</v>
      </c>
      <c r="AG525" s="145">
        <f>+AG324</f>
        <v>68</v>
      </c>
      <c r="AH525" s="72" t="str">
        <f>IF(ISERROR(AG525/Y525),"NA",IF(OR(AG525/Y525&gt;2,AG525/Y525&lt;0.5),"NM",AG525/Y525*100-100))</f>
        <v>NM</v>
      </c>
      <c r="AI525" s="145">
        <f>+AI324</f>
        <v>58</v>
      </c>
      <c r="AJ525" s="72">
        <f>IF(ISERROR(AI525/AA525),"NA",IF(OR(AI525/AA525&gt;2,AI525/AA525&lt;0.5),"NM",AI525/AA525*100-100))</f>
        <v>28.888888888888886</v>
      </c>
      <c r="AK525" s="145">
        <f>+AK324</f>
        <v>60</v>
      </c>
      <c r="AL525" s="72">
        <f>IF(ISERROR(AK525/AC525),"NA",IF(OR(AK525/AC525&gt;2,AK525/AC525&lt;0.5),"NM",AK525/AC525*100-100))</f>
        <v>11.111111111111114</v>
      </c>
      <c r="AM525" s="145">
        <f>+AM324</f>
        <v>58</v>
      </c>
      <c r="AN525" s="72">
        <f>IF(ISERROR(AM525/AE525),"NA",IF(OR(AM525/AE525&gt;2,AM525/AE525&lt;0.5),"NM",AM525/AE525*100-100))</f>
        <v>38.095238095238102</v>
      </c>
      <c r="AO525" s="145">
        <f>+AO324</f>
        <v>70</v>
      </c>
      <c r="AP525" s="72">
        <f>IF(ISERROR(AO525/AG525),"NA",IF(OR(AO525/AG525&gt;2,AO525/AG525&lt;0.5),"NM",AO525/AG525*100-100))</f>
        <v>2.941176470588232</v>
      </c>
      <c r="AQ525" s="145">
        <f>+AQ324</f>
        <v>99</v>
      </c>
      <c r="AR525" s="72">
        <f>IF(ISERROR(AQ525/AI525),"NA",IF(OR(AQ525/AI525&gt;2,AQ525/AI525&lt;0.5),"NM",AQ525/AI525*100-100))</f>
        <v>70.689655172413779</v>
      </c>
      <c r="AS525" s="145">
        <f>+AS324</f>
        <v>82</v>
      </c>
      <c r="AT525" s="72">
        <f>IF(ISERROR(AS525/AK525),"NA",IF(OR(AS525/AK525&gt;2,AS525/AK525&lt;0.5),"NM",AS525/AK525*100-100))</f>
        <v>36.666666666666657</v>
      </c>
      <c r="AU525" s="145">
        <f>+AU324</f>
        <v>97</v>
      </c>
      <c r="AV525" s="72">
        <f>IF(ISERROR(AU525/AM525),"NA",IF(OR(AU525/AM525&gt;2,AU525/AM525&lt;0.5),"NM",AU525/AM525*100-100))</f>
        <v>67.241379310344826</v>
      </c>
      <c r="AW525" s="145">
        <f>+AW324</f>
        <v>109</v>
      </c>
      <c r="AX525" s="72">
        <f>IF(ISERROR(AW525/AO525),"NA",IF(OR(AW525/AO525&gt;2,AW525/AO525&lt;0.5),"NM",AW525/AO525*100-100))</f>
        <v>55.714285714285722</v>
      </c>
      <c r="AY525" s="145">
        <f>+AY324</f>
        <v>154</v>
      </c>
      <c r="AZ525" s="72">
        <f>IF(ISERROR(AY525/AQ525),"NA",IF(OR(AY525/AQ525&gt;2,AY525/AQ525&lt;0.5),"NM",AY525/AQ525*100-100))</f>
        <v>55.555555555555571</v>
      </c>
      <c r="BA525" s="145">
        <f>+BA324</f>
        <v>104</v>
      </c>
      <c r="BB525" s="72">
        <f>IF(ISERROR(BA525/AS525),"NA",IF(OR(BA525/AS525&gt;2,BA525/AS525&lt;0.5),"NM",BA525/AS525*100-100))</f>
        <v>26.829268292682926</v>
      </c>
      <c r="BC525" s="145">
        <f>+BC324</f>
        <v>102</v>
      </c>
      <c r="BD525" s="72">
        <f>IF(ISERROR(BC525/AU525),"NA",IF(OR(BC525/AU525&gt;2,BC525/AU525&lt;0.5),"NM",BC525/AU525*100-100))</f>
        <v>5.1546391752577421</v>
      </c>
      <c r="BE525" s="145">
        <f>+BE324</f>
        <v>123</v>
      </c>
      <c r="BF525" s="72">
        <f>IF(ISERROR(BE525/AW525),"NA",IF(OR(BE525/AW525&gt;2,BE525/AW525&lt;0.5),"NM",BE525/AW525*100-100))</f>
        <v>12.844036697247702</v>
      </c>
      <c r="BG525" s="145">
        <f>+BG324</f>
        <v>155</v>
      </c>
      <c r="BH525" s="72">
        <f>IF(ISERROR(BG525/AY525),"NA",IF(OR(BG525/AY525&gt;2,BG525/AY525&lt;0.5),"NM",BG525/AY525*100-100))</f>
        <v>0.64935064935065157</v>
      </c>
      <c r="BI525" s="145">
        <f>+BI324</f>
        <v>153</v>
      </c>
      <c r="BJ525" s="72">
        <f>IF(ISERROR(BI525/BA525),"NA",IF(OR(BI525/BA525&gt;2,BI525/BA525&lt;0.5),"NM",BI525/BA525*100-100))</f>
        <v>47.115384615384613</v>
      </c>
      <c r="BK525" s="145">
        <f>+BK324</f>
        <v>214</v>
      </c>
      <c r="BL525" s="72" t="str">
        <f>IF(ISERROR(BK525/BC525),"NA",IF(OR(BK525/BC525&gt;2,BK525/BC525&lt;0.5),"NM",BK525/BC525*100-100))</f>
        <v>NM</v>
      </c>
      <c r="BM525" s="145">
        <f>+BM324</f>
        <v>247</v>
      </c>
      <c r="BN525" s="72" t="str">
        <f>IF(ISERROR(BM525/BE525),"NA",IF(OR(BM525/BE525&gt;2,BM525/BE525&lt;0.5),"NM",BM525/BE525*100-100))</f>
        <v>NM</v>
      </c>
      <c r="BO525" s="145">
        <f>+BO324</f>
        <v>149</v>
      </c>
      <c r="BP525" s="72">
        <f>IF(ISERROR(BO525/BG525),"NA",IF(OR(BO525/BG525&gt;2,BO525/BG525&lt;0.5),"NM",BO525/BG525*100-100))</f>
        <v>-3.8709677419354875</v>
      </c>
      <c r="BQ525" s="145">
        <f>+BQ324</f>
        <v>150</v>
      </c>
      <c r="BR525" s="72">
        <f>IF(ISERROR(BQ525/BI525),"NA",IF(OR(BQ525/BI525&gt;2,BQ525/BI525&lt;0.5),"NM",BQ525/BI525*100-100))</f>
        <v>-1.9607843137254974</v>
      </c>
      <c r="BS525" s="145">
        <f>+BS324</f>
        <v>102</v>
      </c>
      <c r="BT525" s="72" t="str">
        <f>IF(ISERROR(BS525/BK525),"NA",IF(OR(BS525/BK525&gt;2,BS525/BK525&lt;0.5),"NM",BS525/BK525*100-100))</f>
        <v>NM</v>
      </c>
      <c r="BU525" s="145">
        <f>+BU324</f>
        <v>81</v>
      </c>
      <c r="BV525" s="72" t="str">
        <f>IF(ISERROR(BU525/BM525),"NA",IF(OR(BU525/BM525&gt;2,BU525/BM525&lt;0.5),"NM",BU525/BM525*100-100))</f>
        <v>NM</v>
      </c>
      <c r="BW525" s="145">
        <f>+BW324</f>
        <v>-1</v>
      </c>
      <c r="BX525" s="72" t="str">
        <f>IF(ISERROR(BW525/BO525),"NA",IF(OR(BW525/BO525&gt;2,BW525/BO525&lt;0.5),"NM",BW525/BO525*100-100))</f>
        <v>NM</v>
      </c>
      <c r="BY525" s="145">
        <f>+BY324</f>
        <v>33</v>
      </c>
      <c r="BZ525" s="72" t="str">
        <f>IF(ISERROR(BY525/BQ525),"NA",IF(OR(BY525/BQ525&gt;2,BY525/BQ525&lt;0.5),"NM",BY525/BQ525*100-100))</f>
        <v>NM</v>
      </c>
      <c r="CA525" s="145">
        <f>+CA324</f>
        <v>29</v>
      </c>
      <c r="CB525" s="72" t="str">
        <f>IF(ISERROR(CA525/BS525),"NA",IF(OR(CA525/BS525&gt;2,CA525/BS525&lt;0.5),"NM",CA525/BS525*100-100))</f>
        <v>NM</v>
      </c>
      <c r="CC525" s="145">
        <f>+CC324</f>
        <v>-6</v>
      </c>
      <c r="CD525" s="72" t="str">
        <f>IF(ISERROR(CC525/BU525),"NA",IF(OR(CC525/BU525&gt;2,CC525/BU525&lt;0.5),"NM",CC525/BU525*100-100))</f>
        <v>NM</v>
      </c>
      <c r="CE525" s="145">
        <f>+CE324</f>
        <v>83</v>
      </c>
      <c r="CF525" s="72" t="str">
        <f>IF(ISERROR(CE525/BW525),"NA",IF(OR(CE525/BW525&gt;2,CE525/BW525&lt;0.5),"NM",CE525/BW525*100-100))</f>
        <v>NM</v>
      </c>
      <c r="CG525" s="145">
        <f>+CG324</f>
        <v>124</v>
      </c>
      <c r="CH525" s="72" t="str">
        <f>IF(ISERROR(CG525/BY525),"NA",IF(OR(CG525/BY525&gt;2,CG525/BY525&lt;0.5),"NM",CG525/BY525*100-100))</f>
        <v>NM</v>
      </c>
      <c r="CI525" s="145">
        <f>+CI324</f>
        <v>148</v>
      </c>
      <c r="CJ525" s="72" t="str">
        <f>IF(ISERROR(CI525/CA525),"NA",IF(OR(CI525/CA525&gt;2,CI525/CA525&lt;0.5),"NM",CI525/CA525*100-100))</f>
        <v>NM</v>
      </c>
      <c r="CK525" s="145">
        <f>+CK324</f>
        <v>132</v>
      </c>
      <c r="CL525" s="72" t="str">
        <f>IF(ISERROR(CK525/CC525),"NA",IF(OR(CK525/CC525&gt;2,CK525/CC525&lt;0.5),"NM",CK525/CC525*100-100))</f>
        <v>NM</v>
      </c>
      <c r="CM525" s="145">
        <f>+CM324</f>
        <v>154</v>
      </c>
      <c r="CN525" s="72">
        <f>IF(ISERROR(CM525/CE525),"NA",IF(OR(CM525/CE525&gt;2,CM525/CE525&lt;0.5),"NM",CM525/CE525*100-100))</f>
        <v>85.542168674698786</v>
      </c>
      <c r="CO525" s="145">
        <f>+CO324</f>
        <v>166</v>
      </c>
      <c r="CP525" s="72">
        <f>IF(ISERROR(CO525/CG525),"NA",IF(OR(CO525/CG525&gt;2,CO525/CG525&lt;0.5),"NM",CO525/CG525*100-100))</f>
        <v>33.870967741935488</v>
      </c>
      <c r="CQ525" s="145">
        <f>+CQ324</f>
        <v>123</v>
      </c>
      <c r="CR525" s="72">
        <f>IF(ISERROR(CQ525/CI525),"NA",IF(OR(CQ525/CI525&gt;2,CQ525/CI525&lt;0.5),"NM",CQ525/CI525*100-100))</f>
        <v>-16.891891891891902</v>
      </c>
      <c r="CS525" s="145">
        <f>+CS324</f>
        <v>160</v>
      </c>
      <c r="CT525" s="72">
        <f>IF(ISERROR(CS525/CK525),"NA",IF(OR(CS525/CK525&gt;2,CS525/CK525&lt;0.5),"NM",CS525/CK525*100-100))</f>
        <v>21.212121212121218</v>
      </c>
      <c r="CU525" s="145">
        <f>+CU324</f>
        <v>147</v>
      </c>
      <c r="CV525" s="72">
        <f>IF(ISERROR(CU525/CM525),"NA",IF(OR(CU525/CM525&gt;2,CU525/CM525&lt;0.5),"NM",CU525/CM525*100-100))</f>
        <v>-4.5454545454545467</v>
      </c>
      <c r="CW525" s="145">
        <f>+CW324</f>
        <v>130</v>
      </c>
      <c r="CX525" s="72">
        <f>IF(ISERROR(CW525/CO525),"NA",IF(OR(CW525/CO525&gt;2,CW525/CO525&lt;0.5),"NM",CW525/CO525*100-100))</f>
        <v>-21.686746987951807</v>
      </c>
      <c r="CY525" s="145">
        <f>+CY324</f>
        <v>197</v>
      </c>
      <c r="CZ525" s="72">
        <f>IF(ISERROR(CY525/CQ525),"NA",IF(OR(CY525/CQ525&gt;2,CY525/CQ525&lt;0.5),"NM",CY525/CQ525*100-100))</f>
        <v>60.162601626016254</v>
      </c>
      <c r="DA525" s="145">
        <f>+DA324</f>
        <v>202</v>
      </c>
      <c r="DB525" s="72">
        <f>IF(ISERROR(DA525/CS525),"NA",IF(OR(DA525/CS525&gt;2,DA525/CS525&lt;0.5),"NM",DA525/CS525*100-100))</f>
        <v>26.25</v>
      </c>
      <c r="DC525" s="145">
        <f>+DC324</f>
        <v>169</v>
      </c>
      <c r="DD525" s="72">
        <f>IF(ISERROR(DC525/CU525),"NA",IF(OR(DC525/CU525&gt;2,DC525/CU525&lt;0.5),"NM",DC525/CU525*100-100))</f>
        <v>14.965986394557817</v>
      </c>
      <c r="DE525" s="145">
        <f>+DE324</f>
        <v>172</v>
      </c>
      <c r="DF525" s="72">
        <f>IF(ISERROR(DE525/CW525),"NA",IF(OR(DE525/CW525&gt;2,DE525/CW525&lt;0.5),"NM",DE525/CW525*100-100))</f>
        <v>32.307692307692292</v>
      </c>
      <c r="DG525" s="145">
        <f>+DG324</f>
        <v>173</v>
      </c>
      <c r="DH525" s="72">
        <f>IF(ISERROR(DG525/CY525),"NA",IF(OR(DG525/CY525&gt;2,DG525/CY525&lt;0.5),"NM",DG525/CY525*100-100))</f>
        <v>-12.182741116751274</v>
      </c>
      <c r="DI525" s="145">
        <f>+DI324</f>
        <v>209</v>
      </c>
      <c r="DJ525" s="72">
        <f>IF(ISERROR(DI525/DA525),"NA",IF(OR(DI525/DA525&gt;2,DI525/DA525&lt;0.5),"NM",DI525/DA525*100-100))</f>
        <v>3.4653465346534631</v>
      </c>
      <c r="DK525" s="145">
        <f>+DK324</f>
        <v>193</v>
      </c>
      <c r="DL525" s="72">
        <f>IF(ISERROR(DK525/DC525),"NA",IF(OR(DK525/DC525&gt;2,DK525/DC525&lt;0.5),"NM",DK525/DC525*100-100))</f>
        <v>14.201183431952671</v>
      </c>
      <c r="DM525" s="145">
        <f>+DM324</f>
        <v>200</v>
      </c>
      <c r="DN525" s="72">
        <f>IF(ISERROR(DM525/DE525),"NA",IF(OR(DM525/DE525&gt;2,DM525/DE525&lt;0.5),"NM",DM525/DE525*100-100))</f>
        <v>16.279069767441868</v>
      </c>
      <c r="DO525" s="145">
        <f>+DO324</f>
        <v>200</v>
      </c>
      <c r="DP525" s="72">
        <f>IF(ISERROR(DO525/DG525),"NA",IF(OR(DO525/DG525&gt;2,DO525/DG525&lt;0.5),"NM",DO525/DG525*100-100))</f>
        <v>15.606936416184979</v>
      </c>
      <c r="DQ525" s="145">
        <f>+DQ324</f>
        <v>192</v>
      </c>
      <c r="DR525" s="72">
        <f>IF(ISERROR(DQ525/DI525),"NA",IF(OR(DQ525/DI525&gt;2,DQ525/DI525&lt;0.5),"NM",DQ525/DI525*100-100))</f>
        <v>-8.1339712918660325</v>
      </c>
      <c r="DS525" s="145">
        <f>+DS324</f>
        <v>205</v>
      </c>
      <c r="DT525" s="72">
        <f>IF(ISERROR(DS525/DK525),"NA",IF(OR(DS525/DK525&gt;2,DS525/DK525&lt;0.5),"NM",DS525/DK525*100-100))</f>
        <v>6.2176165803108745</v>
      </c>
      <c r="DU525" s="145">
        <f>+DU324</f>
        <v>196</v>
      </c>
      <c r="DV525" s="72">
        <f>IF(ISERROR(DU525/DM525),"NA",IF(OR(DU525/DM525&gt;2,DU525/DM525&lt;0.5),"NM",DU525/DM525*100-100))</f>
        <v>-2</v>
      </c>
      <c r="DW525" s="145">
        <f>+DW324</f>
        <v>180</v>
      </c>
      <c r="DX525" s="72">
        <f>IF(ISERROR(DW525/DO525),"NA",IF(OR(DW525/DO525&gt;2,DW525/DO525&lt;0.5),"NM",DW525/DO525*100-100))</f>
        <v>-10</v>
      </c>
      <c r="DY525" s="145">
        <f>+DY324</f>
        <v>198</v>
      </c>
      <c r="DZ525" s="72">
        <f>IF(ISERROR(DY525/DQ525),"NA",IF(OR(DY525/DQ525&gt;2,DY525/DQ525&lt;0.5),"NM",DY525/DQ525*100-100))</f>
        <v>3.125</v>
      </c>
      <c r="EA525" s="145">
        <f>+EA324</f>
        <v>165</v>
      </c>
      <c r="EB525" s="72">
        <f>IF(ISERROR(EA525/DS525),"NA",IF(OR(EA525/DS525&gt;2,EA525/DS525&lt;0.5),"NM",EA525/DS525*100-100))</f>
        <v>-19.512195121951208</v>
      </c>
      <c r="EC525" s="145">
        <f>+EC324</f>
        <v>207</v>
      </c>
      <c r="ED525" s="72">
        <f>IF(ISERROR(EC525/DU525),"NA",IF(OR(EC525/DU525&gt;2,EC525/DU525&lt;0.5),"NM",EC525/DU525*100-100))</f>
        <v>5.6122448979591724</v>
      </c>
      <c r="EE525" s="145">
        <f>+EE324</f>
        <v>191</v>
      </c>
      <c r="EF525" s="72">
        <f>IF(ISERROR(EE525/DW525),"NA",IF(OR(EE525/DW525&gt;2,EE525/DW525&lt;0.5),"NM",EE525/DW525*100-100))</f>
        <v>6.1111111111111143</v>
      </c>
      <c r="EG525" s="145">
        <f>+EG324</f>
        <v>224</v>
      </c>
      <c r="EH525" s="72">
        <f>IF(ISERROR(EG525/DY525),"NA",IF(OR(EG525/DY525&gt;2,EG525/DY525&lt;0.5),"NM",EG525/DY525*100-100))</f>
        <v>13.131313131313121</v>
      </c>
      <c r="EI525" s="145">
        <f>+EI324</f>
        <v>196</v>
      </c>
      <c r="EJ525" s="72">
        <f>IF(ISERROR(EI525/EA525),"NA",IF(OR(EI525/EA525&gt;2,EI525/EA525&lt;0.5),"NM",EI525/EA525*100-100))</f>
        <v>18.787878787878796</v>
      </c>
      <c r="EK525" s="145">
        <f>+EK324</f>
        <v>218</v>
      </c>
      <c r="EL525" s="72">
        <f>IF(ISERROR(EK525/EC525),"NA",IF(OR(EK525/EC525&gt;2,EK525/EC525&lt;0.5),"NM",EK525/EC525*100-100))</f>
        <v>5.3140096618357546</v>
      </c>
      <c r="EM525" s="145">
        <f>+EM324</f>
        <v>259</v>
      </c>
      <c r="EN525" s="72">
        <f>IF(ISERROR(EM525/EE525),"NA",IF(OR(EM525/EE525&gt;2,EM525/EE525&lt;0.5),"NM",EM525/EE525*100-100))</f>
        <v>35.602094240837687</v>
      </c>
      <c r="EO525" s="145">
        <f>+EO324</f>
        <v>306</v>
      </c>
      <c r="EP525" s="72">
        <f>IF(ISERROR(EO525/EG525),"NA",IF(OR(EO525/EG525&gt;2,EO525/EG525&lt;0.5),"NM",EO525/EG525*100-100))</f>
        <v>36.607142857142861</v>
      </c>
      <c r="EQ525" s="144">
        <f>+EQ324</f>
        <v>248.7617701489836</v>
      </c>
      <c r="ER525" s="72">
        <f>IF(ISERROR(EQ525/EI525),"NA",IF(OR(EQ525/EI525&gt;2,EQ525/EI525&lt;0.5),"NM",EQ525/EI525*100-100))</f>
        <v>26.9192704841753</v>
      </c>
      <c r="ES525" s="144">
        <f>+ES324</f>
        <v>248.08063873696301</v>
      </c>
      <c r="ET525" s="72">
        <f>IF(ISERROR(ES525/EK525),"NA",IF(OR(ES525/EK525&gt;2,ES525/EK525&lt;0.5),"NM",ES525/EK525*100-100))</f>
        <v>13.798458136221555</v>
      </c>
      <c r="EU525" s="144">
        <f>+EU324</f>
        <v>251.77587255214337</v>
      </c>
      <c r="EV525" s="72">
        <f>IF(ISERROR(EU525/EM525),"NA",IF(OR(EU525/EM525&gt;2,EU525/EM525&lt;0.5),"NM",EU525/EM525*100-100))</f>
        <v>-2.7892383968558363</v>
      </c>
      <c r="EW525" s="144">
        <f>+EW324</f>
        <v>251.08787798307571</v>
      </c>
      <c r="EX525" s="72">
        <f>IF(ISERROR(EW525/EO525),"NA",IF(OR(EW525/EO525&gt;2,EW525/EO525&lt;0.5),"NM",EW525/EO525*100-100))</f>
        <v>-17.945137914027541</v>
      </c>
      <c r="EY525" s="72"/>
      <c r="EZ525" s="296"/>
      <c r="FA525" s="72"/>
      <c r="FB525" s="145"/>
      <c r="FC525" s="11"/>
      <c r="FD525" s="144">
        <f>+FD324</f>
        <v>231</v>
      </c>
      <c r="FE525" s="72" t="str">
        <f>IF(ISERROR(FD525/FB525),"NA",IF(OR(FD525/FB525&gt;2,FD525/FB525&lt;0.5),"NM",FD525/FB525*100-100))</f>
        <v>NA</v>
      </c>
      <c r="FF525" s="144">
        <f>+FF324</f>
        <v>247</v>
      </c>
      <c r="FG525" s="72">
        <f>IF(ISERROR(FF525/FD525),"NA",IF(OR(FF525/FD525&gt;2,FF525/FD525&lt;0.5),"NM",FF525/FD525*100-100))</f>
        <v>6.9264069264069406</v>
      </c>
      <c r="FH525" s="144">
        <f>+FH324</f>
        <v>196</v>
      </c>
      <c r="FI525" s="72">
        <f>IF(ISERROR(FH525/FF525),"NA",IF(OR(FH525/FF525&gt;2,FH525/FF525&lt;0.5),"NM",FH525/FF525*100-100))</f>
        <v>-20.647773279352222</v>
      </c>
      <c r="FJ525" s="144">
        <f>+FJ324</f>
        <v>184</v>
      </c>
      <c r="FK525" s="72">
        <f>IF(ISERROR(FJ525/FH525),"NA",IF(OR(FJ525/FH525&gt;2,FJ525/FH525&lt;0.5),"NM",FJ525/FH525*100-100))</f>
        <v>-6.1224489795918373</v>
      </c>
      <c r="FL525" s="144">
        <f>+FL324</f>
        <v>209</v>
      </c>
      <c r="FM525" s="72">
        <f>IF(ISERROR(FL525/FJ525),"NA",IF(OR(FL525/FJ525&gt;2,FL525/FJ525&lt;0.5),"NM",FL525/FJ525*100-100))</f>
        <v>13.58695652173914</v>
      </c>
      <c r="FN525" s="144">
        <f>+FN324</f>
        <v>246</v>
      </c>
      <c r="FO525" s="72">
        <f>IF(ISERROR(FN525/FL525),"NA",IF(OR(FN525/FL525&gt;2,FN525/FL525&lt;0.5),"NM",FN525/FL525*100-100))</f>
        <v>17.703349282296642</v>
      </c>
      <c r="FP525" s="144">
        <f>+FP324</f>
        <v>387</v>
      </c>
      <c r="FQ525" s="72">
        <f>IF(ISERROR(FP525/FN525),"NA",IF(OR(FP525/FN525&gt;2,FP525/FN525&lt;0.5),"NM",FP525/FN525*100-100))</f>
        <v>57.317073170731703</v>
      </c>
      <c r="FR525" s="144">
        <f>+FR324</f>
        <v>483</v>
      </c>
      <c r="FS525" s="72">
        <f>IF(ISERROR(FR525/FP525),"NA",IF(OR(FR525/FP525&gt;2,FR525/FP525&lt;0.5),"NM",FR525/FP525*100-100))</f>
        <v>24.806201550387598</v>
      </c>
      <c r="FT525" s="144">
        <f>+FT324</f>
        <v>769</v>
      </c>
      <c r="FU525" s="72">
        <f>IF(ISERROR(FT525/FR525),"NA",IF(OR(FT525/FR525&gt;2,FT525/FR525&lt;0.5),"NM",FT525/FR525*100-100))</f>
        <v>59.21325051759834</v>
      </c>
      <c r="FV525" s="144">
        <f>+FV324</f>
        <v>482</v>
      </c>
      <c r="FW525" s="72">
        <f>IF(ISERROR(FV525/FT525),"NA",IF(OR(FV525/FT525&gt;2,FV525/FT525&lt;0.5),"NM",FV525/FT525*100-100))</f>
        <v>-37.32119635890767</v>
      </c>
      <c r="FX525" s="144">
        <f>+FX324</f>
        <v>55</v>
      </c>
      <c r="FY525" s="72" t="str">
        <f>IF(ISERROR(FX525/FV525),"NA",IF(OR(FX525/FV525&gt;2,FX525/FV525&lt;0.5),"NM",FX525/FV525*100-100))</f>
        <v>NM</v>
      </c>
      <c r="FZ525" s="144">
        <f>+FZ324</f>
        <v>487</v>
      </c>
      <c r="GA525" s="72" t="str">
        <f>IF(ISERROR(FZ525/FX525),"NA",IF(OR(FZ525/FX525&gt;2,FZ525/FX525&lt;0.5),"NM",FZ525/FX525*100-100))</f>
        <v>NM</v>
      </c>
      <c r="GB525" s="144">
        <f>+GB324</f>
        <v>603</v>
      </c>
      <c r="GC525" s="72">
        <f>IF(ISERROR(GB525/FZ525),"NA",IF(OR(GB525/FZ525&gt;2,GB525/FZ525&lt;0.5),"NM",GB525/FZ525*100-100))</f>
        <v>23.819301848049278</v>
      </c>
      <c r="GD525" s="144">
        <f>+GD324</f>
        <v>676</v>
      </c>
      <c r="GE525" s="72">
        <f>IF(ISERROR(GD525/GB525),"NA",IF(OR(GD525/GB525&gt;2,GD525/GB525&lt;0.5),"NM",GD525/GB525*100-100))</f>
        <v>12.106135986733008</v>
      </c>
      <c r="GF525" s="144">
        <f>+GF324</f>
        <v>723</v>
      </c>
      <c r="GG525" s="72">
        <f>IF(ISERROR(GF525/GD525),"NA",IF(OR(GF525/GD525&gt;2,GF525/GD525&lt;0.5),"NM",GF525/GD525*100-100))</f>
        <v>6.9526627218935033</v>
      </c>
      <c r="GH525" s="144">
        <f>+GH324</f>
        <v>785</v>
      </c>
      <c r="GI525" s="72">
        <f>IF(ISERROR(GH525/GF525),"NA",IF(OR(GH525/GF525&gt;2,GH525/GF525&lt;0.5),"NM",GH525/GF525*100-100))</f>
        <v>8.5753803596127227</v>
      </c>
      <c r="GJ525" s="144">
        <f>+GJ324</f>
        <v>779</v>
      </c>
      <c r="GK525" s="72">
        <f>IF(ISERROR(GJ525/GH525),"NA",IF(OR(GJ525/GH525&gt;2,GJ525/GH525&lt;0.5),"NM",GJ525/GH525*100-100))</f>
        <v>-0.76433121019108796</v>
      </c>
      <c r="GL525" s="144">
        <f>+GL324</f>
        <v>787</v>
      </c>
      <c r="GM525" s="72">
        <f>IF(ISERROR(GL525/GJ525),"NA",IF(OR(GL525/GJ525&gt;2,GL525/GJ525&lt;0.5),"NM",GL525/GJ525*100-100))</f>
        <v>1.0269576379974268</v>
      </c>
      <c r="GN525" s="144">
        <f>+GN324</f>
        <v>979</v>
      </c>
      <c r="GO525" s="72">
        <f>IF(ISERROR(GN525/GL525),"NA",IF(OR(GN525/GL525&gt;2,GN525/GL525&lt;0.5),"NM",GN525/GL525*100-100))</f>
        <v>24.396442185514616</v>
      </c>
      <c r="GP525" s="144">
        <f>+GP324</f>
        <v>999.70615942116592</v>
      </c>
      <c r="GQ525" s="72">
        <f>IF(ISERROR(GP525/GN525),"NA",IF(OR(GP525/GN525&gt;2,GP525/GN525&lt;0.5),"NM",GP525/GN525*100-100))</f>
        <v>2.1150316058392065</v>
      </c>
      <c r="GR525" s="144">
        <f>+GR324</f>
        <v>1054.0497274759146</v>
      </c>
      <c r="GS525" s="72">
        <f>IF(ISERROR(GR525/GP525),"NA",IF(OR(GR525/GP525&gt;2,GR525/GP525&lt;0.5),"NM",GR525/GP525*100-100))</f>
        <v>5.4359541093768655</v>
      </c>
      <c r="GT525" s="144">
        <f>+GT324</f>
        <v>1100.2812256602492</v>
      </c>
      <c r="GU525" s="72">
        <f>IF(ISERROR(GT525/GR525),"NA",IF(OR(GT525/GR525&gt;2,GT525/GR525&lt;0.5),"NM",GT525/GR525*100-100))</f>
        <v>4.3860832159259928</v>
      </c>
      <c r="GV525" s="144">
        <f>+GV324</f>
        <v>1146.0943113049616</v>
      </c>
      <c r="GW525" s="72">
        <f>IF(ISERROR(GV525/GT525),"NA",IF(OR(GV525/GT525&gt;2,GV525/GT525&lt;0.5),"NM",GV525/GT525*100-100))</f>
        <v>4.1637614617318519</v>
      </c>
      <c r="GX525" s="144">
        <f>+GX324</f>
        <v>1178.6654491965437</v>
      </c>
      <c r="GY525" s="72">
        <f>IF(ISERROR(GX525/GV525),"NA",IF(OR(GX525/GV525&gt;2,GX525/GV525&lt;0.5),"NM",GX525/GV525*100-100))</f>
        <v>2.8419247500230682</v>
      </c>
      <c r="GZ525" s="72">
        <f>IF(ISERROR(((GX525/GN525)^0.2-1)*100),"NA",IF((((GX525/GN525)^0.2-1)*100)&gt;100,"NM",IF((((GX525/GN525)^0.2-1)*100)&lt;-50,"NM",((GX525/GN525)^0.2-1)*100)))</f>
        <v>3.7818892258121739</v>
      </c>
      <c r="HA525" s="72"/>
      <c r="HB525" s="72"/>
      <c r="HC525"/>
      <c r="HD525"/>
      <c r="HE525"/>
      <c r="HF525"/>
      <c r="HG525"/>
      <c r="HH525"/>
      <c r="HI525" s="2"/>
    </row>
    <row r="526" spans="1:217" s="78" customFormat="1" ht="12.75" customHeight="1" x14ac:dyDescent="0.2">
      <c r="B526" s="89" t="s">
        <v>829</v>
      </c>
      <c r="C526" s="160">
        <f>C525</f>
        <v>0</v>
      </c>
      <c r="D526" s="166"/>
      <c r="E526" s="160">
        <f>E525</f>
        <v>0</v>
      </c>
      <c r="F526" s="166"/>
      <c r="G526" s="160">
        <f>G525</f>
        <v>0</v>
      </c>
      <c r="H526" s="166"/>
      <c r="I526" s="160">
        <f>I525</f>
        <v>0</v>
      </c>
      <c r="J526" s="166"/>
      <c r="K526" s="160">
        <f>K525</f>
        <v>67</v>
      </c>
      <c r="L526" s="72" t="str">
        <f t="shared" si="2434"/>
        <v>NA</v>
      </c>
      <c r="M526" s="160">
        <f>M525</f>
        <v>40</v>
      </c>
      <c r="N526" s="72" t="str">
        <f t="shared" si="2435"/>
        <v>NA</v>
      </c>
      <c r="O526" s="160">
        <f>O525</f>
        <v>51</v>
      </c>
      <c r="P526" s="72" t="str">
        <f t="shared" si="2436"/>
        <v>NA</v>
      </c>
      <c r="Q526" s="160">
        <f>Q525</f>
        <v>38</v>
      </c>
      <c r="R526" s="72" t="str">
        <f t="shared" si="2437"/>
        <v>NA</v>
      </c>
      <c r="S526" s="160">
        <f>S525</f>
        <v>63</v>
      </c>
      <c r="T526" s="72">
        <f t="shared" si="2438"/>
        <v>-5.9701492537313356</v>
      </c>
      <c r="U526" s="160">
        <f>U525</f>
        <v>48</v>
      </c>
      <c r="V526" s="72">
        <f t="shared" si="2439"/>
        <v>20</v>
      </c>
      <c r="W526" s="160">
        <f>W525</f>
        <v>42</v>
      </c>
      <c r="X526" s="72">
        <f t="shared" si="2440"/>
        <v>-17.64705882352942</v>
      </c>
      <c r="Y526" s="160">
        <f>Y525</f>
        <v>31</v>
      </c>
      <c r="Z526" s="72">
        <f t="shared" si="2441"/>
        <v>-18.421052631578945</v>
      </c>
      <c r="AA526" s="160">
        <f>AA525</f>
        <v>45</v>
      </c>
      <c r="AB526" s="72">
        <f t="shared" si="2442"/>
        <v>-28.571428571428569</v>
      </c>
      <c r="AC526" s="160">
        <f>AC525</f>
        <v>54</v>
      </c>
      <c r="AD526" s="72">
        <f t="shared" si="2443"/>
        <v>12.5</v>
      </c>
      <c r="AE526" s="160">
        <f>AE525</f>
        <v>42</v>
      </c>
      <c r="AF526" s="72">
        <f t="shared" si="2444"/>
        <v>0</v>
      </c>
      <c r="AG526" s="160">
        <f>AG525</f>
        <v>68</v>
      </c>
      <c r="AH526" s="72" t="str">
        <f t="shared" si="2445"/>
        <v>NM</v>
      </c>
      <c r="AI526" s="160">
        <f>AI525</f>
        <v>58</v>
      </c>
      <c r="AJ526" s="72">
        <f t="shared" si="2446"/>
        <v>28.888888888888886</v>
      </c>
      <c r="AK526" s="160">
        <f>AK525</f>
        <v>60</v>
      </c>
      <c r="AL526" s="72">
        <f t="shared" si="2447"/>
        <v>11.111111111111114</v>
      </c>
      <c r="AM526" s="160">
        <f>AM525</f>
        <v>58</v>
      </c>
      <c r="AN526" s="72">
        <f t="shared" si="2448"/>
        <v>38.095238095238102</v>
      </c>
      <c r="AO526" s="160">
        <f>AO525</f>
        <v>70</v>
      </c>
      <c r="AP526" s="72">
        <f t="shared" si="2449"/>
        <v>2.941176470588232</v>
      </c>
      <c r="AQ526" s="160">
        <f>AQ525</f>
        <v>99</v>
      </c>
      <c r="AR526" s="72">
        <f t="shared" si="2450"/>
        <v>70.689655172413779</v>
      </c>
      <c r="AS526" s="160">
        <f>AS525</f>
        <v>82</v>
      </c>
      <c r="AT526" s="72">
        <f t="shared" si="2451"/>
        <v>36.666666666666657</v>
      </c>
      <c r="AU526" s="160">
        <f>AU525</f>
        <v>97</v>
      </c>
      <c r="AV526" s="72">
        <f t="shared" si="2452"/>
        <v>67.241379310344826</v>
      </c>
      <c r="AW526" s="160">
        <f>AW525</f>
        <v>109</v>
      </c>
      <c r="AX526" s="72">
        <f t="shared" si="2453"/>
        <v>55.714285714285722</v>
      </c>
      <c r="AY526" s="160">
        <f>AY525</f>
        <v>154</v>
      </c>
      <c r="AZ526" s="72">
        <f t="shared" ref="AZ526:AZ531" si="2502">IF(ISERROR(AY526/AQ526),"NA",IF(OR(AY526/AQ526&gt;2,AY526/AQ526&lt;0.5),"NM",AY526/AQ526*100-100))</f>
        <v>55.555555555555571</v>
      </c>
      <c r="BA526" s="160">
        <f>BA525</f>
        <v>104</v>
      </c>
      <c r="BB526" s="72">
        <f t="shared" ref="BB526:BB531" si="2503">IF(ISERROR(BA526/AS526),"NA",IF(OR(BA526/AS526&gt;2,BA526/AS526&lt;0.5),"NM",BA526/AS526*100-100))</f>
        <v>26.829268292682926</v>
      </c>
      <c r="BC526" s="160">
        <f>BC525</f>
        <v>102</v>
      </c>
      <c r="BD526" s="72">
        <f t="shared" ref="BD526:BD531" si="2504">IF(ISERROR(BC526/AU526),"NA",IF(OR(BC526/AU526&gt;2,BC526/AU526&lt;0.5),"NM",BC526/AU526*100-100))</f>
        <v>5.1546391752577421</v>
      </c>
      <c r="BE526" s="160">
        <f>BE525</f>
        <v>123</v>
      </c>
      <c r="BF526" s="72">
        <f t="shared" si="2454"/>
        <v>12.844036697247702</v>
      </c>
      <c r="BG526" s="160">
        <f>BG525</f>
        <v>155</v>
      </c>
      <c r="BH526" s="72">
        <f t="shared" ref="BH526:BH531" si="2505">IF(ISERROR(BG526/AY526),"NA",IF(OR(BG526/AY526&gt;2,BG526/AY526&lt;0.5),"NM",BG526/AY526*100-100))</f>
        <v>0.64935064935065157</v>
      </c>
      <c r="BI526" s="160">
        <f>BI525</f>
        <v>153</v>
      </c>
      <c r="BJ526" s="72">
        <f t="shared" ref="BJ526:BJ531" si="2506">IF(ISERROR(BI526/BA526),"NA",IF(OR(BI526/BA526&gt;2,BI526/BA526&lt;0.5),"NM",BI526/BA526*100-100))</f>
        <v>47.115384615384613</v>
      </c>
      <c r="BK526" s="160">
        <f>BK525</f>
        <v>214</v>
      </c>
      <c r="BL526" s="72" t="str">
        <f t="shared" ref="BL526:BL531" si="2507">IF(ISERROR(BK526/BC526),"NA",IF(OR(BK526/BC526&gt;2,BK526/BC526&lt;0.5),"NM",BK526/BC526*100-100))</f>
        <v>NM</v>
      </c>
      <c r="BM526" s="160">
        <f>BM525</f>
        <v>247</v>
      </c>
      <c r="BN526" s="72" t="str">
        <f t="shared" ref="BN526:BN531" si="2508">IF(ISERROR(BM526/BE526),"NA",IF(OR(BM526/BE526&gt;2,BM526/BE526&lt;0.5),"NM",BM526/BE526*100-100))</f>
        <v>NM</v>
      </c>
      <c r="BO526" s="160">
        <f>BO525</f>
        <v>149</v>
      </c>
      <c r="BP526" s="72">
        <f t="shared" ref="BP526:BP531" si="2509">IF(ISERROR(BO526/BG526),"NA",IF(OR(BO526/BG526&gt;2,BO526/BG526&lt;0.5),"NM",BO526/BG526*100-100))</f>
        <v>-3.8709677419354875</v>
      </c>
      <c r="BQ526" s="160">
        <f>BQ525</f>
        <v>150</v>
      </c>
      <c r="BR526" s="72">
        <f t="shared" ref="BR526:BR531" si="2510">IF(ISERROR(BQ526/BI526),"NA",IF(OR(BQ526/BI526&gt;2,BQ526/BI526&lt;0.5),"NM",BQ526/BI526*100-100))</f>
        <v>-1.9607843137254974</v>
      </c>
      <c r="BS526" s="160">
        <f>BS525</f>
        <v>102</v>
      </c>
      <c r="BT526" s="72" t="str">
        <f t="shared" ref="BT526:BT531" si="2511">IF(ISERROR(BS526/BK526),"NA",IF(OR(BS526/BK526&gt;2,BS526/BK526&lt;0.5),"NM",BS526/BK526*100-100))</f>
        <v>NM</v>
      </c>
      <c r="BU526" s="160">
        <f>BU525</f>
        <v>81</v>
      </c>
      <c r="BV526" s="72" t="str">
        <f t="shared" ref="BV526:BV531" si="2512">IF(ISERROR(BU526/BM526),"NA",IF(OR(BU526/BM526&gt;2,BU526/BM526&lt;0.5),"NM",BU526/BM526*100-100))</f>
        <v>NM</v>
      </c>
      <c r="BW526" s="160">
        <f>BW525</f>
        <v>-1</v>
      </c>
      <c r="BX526" s="72" t="str">
        <f t="shared" si="2455"/>
        <v>NM</v>
      </c>
      <c r="BY526" s="160">
        <f>BY525</f>
        <v>33</v>
      </c>
      <c r="BZ526" s="72" t="str">
        <f t="shared" si="2456"/>
        <v>NM</v>
      </c>
      <c r="CA526" s="160">
        <f>CA525</f>
        <v>29</v>
      </c>
      <c r="CB526" s="72" t="str">
        <f t="shared" si="2457"/>
        <v>NM</v>
      </c>
      <c r="CC526" s="160">
        <f>CC525</f>
        <v>-6</v>
      </c>
      <c r="CD526" s="72" t="str">
        <f t="shared" si="2458"/>
        <v>NM</v>
      </c>
      <c r="CE526" s="160">
        <f>CE525</f>
        <v>83</v>
      </c>
      <c r="CF526" s="72" t="str">
        <f t="shared" si="2459"/>
        <v>NM</v>
      </c>
      <c r="CG526" s="160">
        <f>CG525</f>
        <v>124</v>
      </c>
      <c r="CH526" s="72" t="str">
        <f t="shared" si="2460"/>
        <v>NM</v>
      </c>
      <c r="CI526" s="160">
        <f>CI525</f>
        <v>148</v>
      </c>
      <c r="CJ526" s="72" t="str">
        <f t="shared" si="2461"/>
        <v>NM</v>
      </c>
      <c r="CK526" s="160">
        <f>CK525</f>
        <v>132</v>
      </c>
      <c r="CL526" s="72" t="str">
        <f t="shared" si="2462"/>
        <v>NM</v>
      </c>
      <c r="CM526" s="160">
        <f>CM525</f>
        <v>154</v>
      </c>
      <c r="CN526" s="72">
        <f t="shared" si="2463"/>
        <v>85.542168674698786</v>
      </c>
      <c r="CO526" s="160">
        <f>CO525</f>
        <v>166</v>
      </c>
      <c r="CP526" s="72">
        <f t="shared" si="2464"/>
        <v>33.870967741935488</v>
      </c>
      <c r="CQ526" s="160">
        <f>CQ525</f>
        <v>123</v>
      </c>
      <c r="CR526" s="72">
        <f t="shared" si="2465"/>
        <v>-16.891891891891902</v>
      </c>
      <c r="CS526" s="160">
        <f>CS525</f>
        <v>160</v>
      </c>
      <c r="CT526" s="72">
        <f t="shared" si="2466"/>
        <v>21.212121212121218</v>
      </c>
      <c r="CU526" s="160">
        <f>CU525</f>
        <v>147</v>
      </c>
      <c r="CV526" s="72">
        <f t="shared" si="2467"/>
        <v>-4.5454545454545467</v>
      </c>
      <c r="CW526" s="160">
        <f>CW525</f>
        <v>130</v>
      </c>
      <c r="CX526" s="72">
        <f t="shared" si="2468"/>
        <v>-21.686746987951807</v>
      </c>
      <c r="CY526" s="160">
        <f>CY525</f>
        <v>197</v>
      </c>
      <c r="CZ526" s="72">
        <f t="shared" si="2469"/>
        <v>60.162601626016254</v>
      </c>
      <c r="DA526" s="160">
        <f>DA525</f>
        <v>202</v>
      </c>
      <c r="DB526" s="72">
        <f t="shared" si="2470"/>
        <v>26.25</v>
      </c>
      <c r="DC526" s="160">
        <f>DC525</f>
        <v>169</v>
      </c>
      <c r="DD526" s="72">
        <f t="shared" si="2471"/>
        <v>14.965986394557817</v>
      </c>
      <c r="DE526" s="160">
        <f>DE525</f>
        <v>172</v>
      </c>
      <c r="DF526" s="72">
        <f t="shared" si="2472"/>
        <v>32.307692307692292</v>
      </c>
      <c r="DG526" s="160">
        <f>DG525</f>
        <v>173</v>
      </c>
      <c r="DH526" s="72">
        <f t="shared" si="2473"/>
        <v>-12.182741116751274</v>
      </c>
      <c r="DI526" s="160">
        <f>DI525</f>
        <v>209</v>
      </c>
      <c r="DJ526" s="72">
        <f t="shared" si="2474"/>
        <v>3.4653465346534631</v>
      </c>
      <c r="DK526" s="160">
        <f>DK525</f>
        <v>193</v>
      </c>
      <c r="DL526" s="72">
        <f t="shared" si="2475"/>
        <v>14.201183431952671</v>
      </c>
      <c r="DM526" s="160">
        <f>DM525</f>
        <v>200</v>
      </c>
      <c r="DN526" s="72">
        <f t="shared" si="2476"/>
        <v>16.279069767441868</v>
      </c>
      <c r="DO526" s="160">
        <f>DO525</f>
        <v>200</v>
      </c>
      <c r="DP526" s="72">
        <f t="shared" si="2476"/>
        <v>15.606936416184979</v>
      </c>
      <c r="DQ526" s="160">
        <f>DQ525</f>
        <v>192</v>
      </c>
      <c r="DR526" s="72">
        <f t="shared" si="2476"/>
        <v>-8.1339712918660325</v>
      </c>
      <c r="DS526" s="160">
        <f>DS525</f>
        <v>205</v>
      </c>
      <c r="DT526" s="72">
        <f t="shared" si="2476"/>
        <v>6.2176165803108745</v>
      </c>
      <c r="DU526" s="160">
        <f>DU525</f>
        <v>196</v>
      </c>
      <c r="DV526" s="72">
        <f t="shared" si="2476"/>
        <v>-2</v>
      </c>
      <c r="DW526" s="160">
        <f>DW525</f>
        <v>180</v>
      </c>
      <c r="DX526" s="72">
        <f t="shared" si="2476"/>
        <v>-10</v>
      </c>
      <c r="DY526" s="160">
        <f>DY525</f>
        <v>198</v>
      </c>
      <c r="DZ526" s="72">
        <f t="shared" si="2476"/>
        <v>3.125</v>
      </c>
      <c r="EA526" s="160">
        <f>EA525</f>
        <v>165</v>
      </c>
      <c r="EB526" s="72">
        <f t="shared" si="2477"/>
        <v>-19.512195121951208</v>
      </c>
      <c r="EC526" s="160">
        <f>EC525</f>
        <v>207</v>
      </c>
      <c r="ED526" s="72">
        <f t="shared" si="2478"/>
        <v>5.6122448979591724</v>
      </c>
      <c r="EE526" s="160">
        <f>EE525</f>
        <v>191</v>
      </c>
      <c r="EF526" s="72">
        <f t="shared" si="2479"/>
        <v>6.1111111111111143</v>
      </c>
      <c r="EG526" s="160">
        <f>EG525</f>
        <v>224</v>
      </c>
      <c r="EH526" s="72">
        <f t="shared" si="2480"/>
        <v>13.131313131313121</v>
      </c>
      <c r="EI526" s="160">
        <f>EI525</f>
        <v>196</v>
      </c>
      <c r="EJ526" s="72">
        <f t="shared" si="2481"/>
        <v>18.787878787878796</v>
      </c>
      <c r="EK526" s="160">
        <f>EK525</f>
        <v>218</v>
      </c>
      <c r="EL526" s="72">
        <f t="shared" si="2482"/>
        <v>5.3140096618357546</v>
      </c>
      <c r="EM526" s="160">
        <f>EM525</f>
        <v>259</v>
      </c>
      <c r="EN526" s="72">
        <f t="shared" si="2483"/>
        <v>35.602094240837687</v>
      </c>
      <c r="EO526" s="160">
        <f>EO525</f>
        <v>306</v>
      </c>
      <c r="EP526" s="72">
        <f t="shared" si="2484"/>
        <v>36.607142857142861</v>
      </c>
      <c r="EQ526" s="160">
        <f>EQ525</f>
        <v>248.7617701489836</v>
      </c>
      <c r="ER526" s="72">
        <f t="shared" si="2485"/>
        <v>26.9192704841753</v>
      </c>
      <c r="ES526" s="160">
        <f>ES525</f>
        <v>248.08063873696301</v>
      </c>
      <c r="ET526" s="72">
        <f t="shared" si="2486"/>
        <v>13.798458136221555</v>
      </c>
      <c r="EU526" s="160">
        <f>EU525</f>
        <v>251.77587255214337</v>
      </c>
      <c r="EV526" s="72">
        <f t="shared" si="2487"/>
        <v>-2.7892383968558363</v>
      </c>
      <c r="EW526" s="160">
        <f>EW525</f>
        <v>251.08787798307571</v>
      </c>
      <c r="EX526" s="72">
        <f t="shared" si="2488"/>
        <v>-17.945137914027541</v>
      </c>
      <c r="EY526" s="72"/>
      <c r="EZ526" s="332"/>
      <c r="FA526" s="72"/>
      <c r="FB526" s="160"/>
      <c r="FC526" s="166"/>
      <c r="FD526" s="160">
        <f>FD525</f>
        <v>231</v>
      </c>
      <c r="FE526" s="72" t="str">
        <f t="shared" si="2489"/>
        <v>NA</v>
      </c>
      <c r="FF526" s="160">
        <f>FF525</f>
        <v>247</v>
      </c>
      <c r="FG526" s="72">
        <f t="shared" si="2490"/>
        <v>6.9264069264069406</v>
      </c>
      <c r="FH526" s="160">
        <f>FH525</f>
        <v>196</v>
      </c>
      <c r="FI526" s="72">
        <f t="shared" si="2491"/>
        <v>-20.647773279352222</v>
      </c>
      <c r="FJ526" s="160">
        <f>FJ525</f>
        <v>184</v>
      </c>
      <c r="FK526" s="72">
        <f t="shared" si="2492"/>
        <v>-6.1224489795918373</v>
      </c>
      <c r="FL526" s="160">
        <f>FL525</f>
        <v>209</v>
      </c>
      <c r="FM526" s="72">
        <f t="shared" si="2493"/>
        <v>13.58695652173914</v>
      </c>
      <c r="FN526" s="160">
        <f>FN525</f>
        <v>246</v>
      </c>
      <c r="FO526" s="72">
        <f t="shared" si="2501"/>
        <v>17.703349282296642</v>
      </c>
      <c r="FP526" s="160">
        <f>FP525</f>
        <v>387</v>
      </c>
      <c r="FQ526" s="72">
        <f t="shared" ref="FQ526:FQ531" si="2513">IF(ISERROR(FP526/FN526),"NA",IF(OR(FP526/FN526&gt;2,FP526/FN526&lt;0.5),"NM",FP526/FN526*100-100))</f>
        <v>57.317073170731703</v>
      </c>
      <c r="FR526" s="160">
        <f>FR525</f>
        <v>483</v>
      </c>
      <c r="FS526" s="72">
        <f t="shared" ref="FS526:FS531" si="2514">IF(ISERROR(FR526/FP526),"NA",IF(OR(FR526/FP526&gt;2,FR526/FP526&lt;0.5),"NM",FR526/FP526*100-100))</f>
        <v>24.806201550387598</v>
      </c>
      <c r="FT526" s="160">
        <f>FT525</f>
        <v>769</v>
      </c>
      <c r="FU526" s="72">
        <f t="shared" ref="FU526:FU531" si="2515">IF(ISERROR(FT526/FR526),"NA",IF(OR(FT526/FR526&gt;2,FT526/FR526&lt;0.5),"NM",FT526/FR526*100-100))</f>
        <v>59.21325051759834</v>
      </c>
      <c r="FV526" s="160">
        <f>FV525</f>
        <v>482</v>
      </c>
      <c r="FW526" s="72">
        <f t="shared" ref="FW526:FW531" si="2516">IF(ISERROR(FV526/FT526),"NA",IF(OR(FV526/FT526&gt;2,FV526/FT526&lt;0.5),"NM",FV526/FT526*100-100))</f>
        <v>-37.32119635890767</v>
      </c>
      <c r="FX526" s="160">
        <f>FX525</f>
        <v>55</v>
      </c>
      <c r="FY526" s="72" t="str">
        <f t="shared" ref="FY526:FY531" si="2517">IF(ISERROR(FX526/FV526),"NA",IF(OR(FX526/FV526&gt;2,FX526/FV526&lt;0.5),"NM",FX526/FV526*100-100))</f>
        <v>NM</v>
      </c>
      <c r="FZ526" s="160">
        <f>FZ525</f>
        <v>487</v>
      </c>
      <c r="GA526" s="72" t="str">
        <f t="shared" ref="GA526:GA531" si="2518">IF(ISERROR(FZ526/FX526),"NA",IF(OR(FZ526/FX526&gt;2,FZ526/FX526&lt;0.5),"NM",FZ526/FX526*100-100))</f>
        <v>NM</v>
      </c>
      <c r="GB526" s="160">
        <f>GB525</f>
        <v>603</v>
      </c>
      <c r="GC526" s="72">
        <f t="shared" si="2494"/>
        <v>23.819301848049278</v>
      </c>
      <c r="GD526" s="160">
        <f>GD525</f>
        <v>676</v>
      </c>
      <c r="GE526" s="72">
        <f t="shared" si="2495"/>
        <v>12.106135986733008</v>
      </c>
      <c r="GF526" s="160">
        <f>GF525</f>
        <v>723</v>
      </c>
      <c r="GG526" s="72">
        <f t="shared" si="2495"/>
        <v>6.9526627218935033</v>
      </c>
      <c r="GH526" s="160">
        <f>GH525</f>
        <v>785</v>
      </c>
      <c r="GI526" s="72">
        <f t="shared" si="2496"/>
        <v>8.5753803596127227</v>
      </c>
      <c r="GJ526" s="160">
        <f>GJ525</f>
        <v>779</v>
      </c>
      <c r="GK526" s="72">
        <f t="shared" si="2496"/>
        <v>-0.76433121019108796</v>
      </c>
      <c r="GL526" s="160">
        <f>GL525</f>
        <v>787</v>
      </c>
      <c r="GM526" s="72">
        <f t="shared" si="2496"/>
        <v>1.0269576379974268</v>
      </c>
      <c r="GN526" s="160">
        <f>GN525</f>
        <v>979</v>
      </c>
      <c r="GO526" s="72">
        <f t="shared" si="2496"/>
        <v>24.396442185514616</v>
      </c>
      <c r="GP526" s="160">
        <f>GP525</f>
        <v>999.70615942116592</v>
      </c>
      <c r="GQ526" s="72">
        <f t="shared" si="2496"/>
        <v>2.1150316058392065</v>
      </c>
      <c r="GR526" s="160">
        <f>GR525</f>
        <v>1054.0497274759146</v>
      </c>
      <c r="GS526" s="72">
        <f t="shared" si="2496"/>
        <v>5.4359541093768655</v>
      </c>
      <c r="GT526" s="160">
        <f>GT525</f>
        <v>1100.2812256602492</v>
      </c>
      <c r="GU526" s="72">
        <f t="shared" si="2496"/>
        <v>4.3860832159259928</v>
      </c>
      <c r="GV526" s="160">
        <f>GV525</f>
        <v>1146.0943113049616</v>
      </c>
      <c r="GW526" s="72">
        <f t="shared" si="2497"/>
        <v>4.1637614617318519</v>
      </c>
      <c r="GX526" s="160">
        <f>GX525</f>
        <v>1178.6654491965437</v>
      </c>
      <c r="GY526" s="72">
        <f t="shared" si="2498"/>
        <v>2.8419247500230682</v>
      </c>
      <c r="GZ526" s="72">
        <f t="shared" si="2499"/>
        <v>3.7818892258121739</v>
      </c>
      <c r="HA526" s="72"/>
      <c r="HB526" s="72"/>
      <c r="HC526"/>
      <c r="HD526"/>
      <c r="HE526"/>
      <c r="HF526"/>
      <c r="HG526"/>
      <c r="HH526"/>
      <c r="HI526" s="2"/>
    </row>
    <row r="527" spans="1:217" s="3" customFormat="1" ht="12.75" customHeight="1" x14ac:dyDescent="0.2">
      <c r="A527" s="3" t="s">
        <v>693</v>
      </c>
      <c r="B527" s="10" t="s">
        <v>59</v>
      </c>
      <c r="C527" s="145">
        <f>C387</f>
        <v>70</v>
      </c>
      <c r="D527" s="11"/>
      <c r="E527" s="145">
        <f>E387</f>
        <v>75</v>
      </c>
      <c r="F527" s="11"/>
      <c r="G527" s="145">
        <f>G387</f>
        <v>66</v>
      </c>
      <c r="H527" s="11"/>
      <c r="I527" s="145">
        <f>I387</f>
        <v>85</v>
      </c>
      <c r="J527" s="11"/>
      <c r="K527" s="145">
        <f>K387</f>
        <v>95</v>
      </c>
      <c r="L527" s="72">
        <f t="shared" si="2434"/>
        <v>35.714285714285722</v>
      </c>
      <c r="M527" s="145">
        <f>M387</f>
        <v>83</v>
      </c>
      <c r="N527" s="72">
        <f t="shared" si="2435"/>
        <v>10.666666666666671</v>
      </c>
      <c r="O527" s="145">
        <f>O387</f>
        <v>76</v>
      </c>
      <c r="P527" s="72">
        <f t="shared" si="2436"/>
        <v>15.151515151515156</v>
      </c>
      <c r="Q527" s="145">
        <f>Q387</f>
        <v>95</v>
      </c>
      <c r="R527" s="72">
        <f t="shared" si="2437"/>
        <v>11.764705882352942</v>
      </c>
      <c r="S527" s="145">
        <f>S387</f>
        <v>100</v>
      </c>
      <c r="T527" s="72">
        <f t="shared" si="2438"/>
        <v>5.2631578947368354</v>
      </c>
      <c r="U527" s="145">
        <f>U387</f>
        <v>86</v>
      </c>
      <c r="V527" s="72">
        <f t="shared" si="2439"/>
        <v>3.6144578313252964</v>
      </c>
      <c r="W527" s="145">
        <f>W387</f>
        <v>84</v>
      </c>
      <c r="X527" s="72">
        <f t="shared" si="2440"/>
        <v>10.526315789473699</v>
      </c>
      <c r="Y527" s="145">
        <f>Y387</f>
        <v>109</v>
      </c>
      <c r="Z527" s="72">
        <f t="shared" si="2441"/>
        <v>14.736842105263165</v>
      </c>
      <c r="AA527" s="145">
        <f>AA387</f>
        <v>100</v>
      </c>
      <c r="AB527" s="72">
        <f t="shared" si="2442"/>
        <v>0</v>
      </c>
      <c r="AC527" s="145">
        <f>AC387</f>
        <v>109</v>
      </c>
      <c r="AD527" s="72">
        <f t="shared" si="2443"/>
        <v>26.744186046511629</v>
      </c>
      <c r="AE527" s="145">
        <f>AE387</f>
        <v>111</v>
      </c>
      <c r="AF527" s="72">
        <f t="shared" si="2444"/>
        <v>32.142857142857139</v>
      </c>
      <c r="AG527" s="145">
        <f>AG387</f>
        <v>129</v>
      </c>
      <c r="AH527" s="72">
        <f t="shared" si="2445"/>
        <v>18.348623853211009</v>
      </c>
      <c r="AI527" s="145">
        <f>AI387</f>
        <v>121</v>
      </c>
      <c r="AJ527" s="72">
        <f t="shared" si="2446"/>
        <v>21</v>
      </c>
      <c r="AK527" s="145">
        <f>AK387</f>
        <v>129</v>
      </c>
      <c r="AL527" s="72">
        <f t="shared" si="2447"/>
        <v>18.348623853211009</v>
      </c>
      <c r="AM527" s="145">
        <f>AM387</f>
        <v>139</v>
      </c>
      <c r="AN527" s="72">
        <f t="shared" si="2448"/>
        <v>25.22522522522523</v>
      </c>
      <c r="AO527" s="145">
        <f>AO387</f>
        <v>137</v>
      </c>
      <c r="AP527" s="72">
        <f t="shared" si="2449"/>
        <v>6.2015503875969102</v>
      </c>
      <c r="AQ527" s="145">
        <f>AQ387</f>
        <v>172</v>
      </c>
      <c r="AR527" s="72">
        <f t="shared" si="2450"/>
        <v>42.148760330578511</v>
      </c>
      <c r="AS527" s="145">
        <f>AS387</f>
        <v>183</v>
      </c>
      <c r="AT527" s="72">
        <f t="shared" si="2451"/>
        <v>41.860465116279073</v>
      </c>
      <c r="AU527" s="145">
        <f>AU387</f>
        <v>207</v>
      </c>
      <c r="AV527" s="72">
        <f t="shared" si="2452"/>
        <v>48.920863309352512</v>
      </c>
      <c r="AW527" s="145">
        <f>AW387</f>
        <v>205</v>
      </c>
      <c r="AX527" s="72">
        <f t="shared" si="2453"/>
        <v>49.635036496350381</v>
      </c>
      <c r="AY527" s="145">
        <f>AY387</f>
        <v>230</v>
      </c>
      <c r="AZ527" s="72">
        <f t="shared" si="2502"/>
        <v>33.720930232558146</v>
      </c>
      <c r="BA527" s="145">
        <f>BA387</f>
        <v>228</v>
      </c>
      <c r="BB527" s="72">
        <f t="shared" si="2503"/>
        <v>24.590163934426229</v>
      </c>
      <c r="BC527" s="145">
        <f>BC387</f>
        <v>237</v>
      </c>
      <c r="BD527" s="72">
        <f t="shared" si="2504"/>
        <v>14.492753623188406</v>
      </c>
      <c r="BE527" s="145">
        <f>BE387</f>
        <v>232</v>
      </c>
      <c r="BF527" s="72">
        <f t="shared" si="2454"/>
        <v>13.17073170731706</v>
      </c>
      <c r="BG527" s="145">
        <f>BG387</f>
        <v>269</v>
      </c>
      <c r="BH527" s="72">
        <f t="shared" si="2505"/>
        <v>16.956521739130423</v>
      </c>
      <c r="BI527" s="145">
        <f>BI387</f>
        <v>253</v>
      </c>
      <c r="BJ527" s="72">
        <f t="shared" si="2506"/>
        <v>10.964912280701753</v>
      </c>
      <c r="BK527" s="145">
        <f>BK387</f>
        <v>319</v>
      </c>
      <c r="BL527" s="72">
        <f t="shared" si="2507"/>
        <v>34.599156118143469</v>
      </c>
      <c r="BM527" s="145">
        <f>BM387</f>
        <v>281</v>
      </c>
      <c r="BN527" s="72">
        <f t="shared" si="2508"/>
        <v>21.120689655172413</v>
      </c>
      <c r="BO527" s="145">
        <f>BO387</f>
        <v>285</v>
      </c>
      <c r="BP527" s="72">
        <f t="shared" si="2509"/>
        <v>5.9479553903345703</v>
      </c>
      <c r="BQ527" s="145">
        <f>BQ387</f>
        <v>286</v>
      </c>
      <c r="BR527" s="72">
        <f t="shared" si="2510"/>
        <v>13.043478260869563</v>
      </c>
      <c r="BS527" s="145">
        <f>BS387</f>
        <v>293</v>
      </c>
      <c r="BT527" s="72">
        <f t="shared" si="2511"/>
        <v>-8.1504702194357321</v>
      </c>
      <c r="BU527" s="145">
        <f>BU387</f>
        <v>261</v>
      </c>
      <c r="BV527" s="72">
        <f t="shared" si="2512"/>
        <v>-7.1174377224199219</v>
      </c>
      <c r="BW527" s="145">
        <f>BW387</f>
        <v>298</v>
      </c>
      <c r="BX527" s="72">
        <f t="shared" si="2455"/>
        <v>4.5614035087719174</v>
      </c>
      <c r="BY527" s="145">
        <f>BY387</f>
        <v>322</v>
      </c>
      <c r="BZ527" s="72">
        <f t="shared" si="2456"/>
        <v>12.587412587412587</v>
      </c>
      <c r="CA527" s="145">
        <f>CA387</f>
        <v>295</v>
      </c>
      <c r="CB527" s="72">
        <f t="shared" si="2457"/>
        <v>0.68259385665530203</v>
      </c>
      <c r="CC527" s="145">
        <f>CC387</f>
        <v>302</v>
      </c>
      <c r="CD527" s="72">
        <f t="shared" si="2458"/>
        <v>15.708812260536405</v>
      </c>
      <c r="CE527" s="145">
        <f>CE387</f>
        <v>298</v>
      </c>
      <c r="CF527" s="72">
        <f t="shared" si="2459"/>
        <v>0</v>
      </c>
      <c r="CG527" s="145">
        <f>CG387</f>
        <v>265</v>
      </c>
      <c r="CH527" s="72">
        <f t="shared" si="2460"/>
        <v>-17.701863354037258</v>
      </c>
      <c r="CI527" s="145">
        <f>CI387</f>
        <v>296</v>
      </c>
      <c r="CJ527" s="72">
        <f t="shared" si="2461"/>
        <v>0.33898305084744607</v>
      </c>
      <c r="CK527" s="145">
        <f>CK387</f>
        <v>290</v>
      </c>
      <c r="CL527" s="72">
        <f t="shared" si="2462"/>
        <v>-3.9735099337748352</v>
      </c>
      <c r="CM527" s="145">
        <f>CM387</f>
        <v>318.5</v>
      </c>
      <c r="CN527" s="72">
        <f t="shared" si="2463"/>
        <v>6.8791946308724761</v>
      </c>
      <c r="CO527" s="145">
        <f>CO387</f>
        <v>309</v>
      </c>
      <c r="CP527" s="72">
        <f t="shared" si="2464"/>
        <v>16.603773584905653</v>
      </c>
      <c r="CQ527" s="145">
        <f>CQ387</f>
        <v>331</v>
      </c>
      <c r="CR527" s="72">
        <f t="shared" si="2465"/>
        <v>11.824324324324323</v>
      </c>
      <c r="CS527" s="145">
        <f>CS387</f>
        <v>300</v>
      </c>
      <c r="CT527" s="72">
        <f t="shared" si="2466"/>
        <v>3.448275862068968</v>
      </c>
      <c r="CU527" s="145">
        <f>CU387</f>
        <v>382</v>
      </c>
      <c r="CV527" s="72">
        <f t="shared" si="2467"/>
        <v>19.937205651491368</v>
      </c>
      <c r="CW527" s="145">
        <f>CW387</f>
        <v>374</v>
      </c>
      <c r="CX527" s="72">
        <f t="shared" si="2468"/>
        <v>21.035598705501627</v>
      </c>
      <c r="CY527" s="145">
        <f>CY387</f>
        <v>373</v>
      </c>
      <c r="CZ527" s="72">
        <f t="shared" si="2469"/>
        <v>12.688821752265866</v>
      </c>
      <c r="DA527" s="145">
        <f>DA387</f>
        <v>332</v>
      </c>
      <c r="DB527" s="72">
        <f t="shared" si="2470"/>
        <v>10.666666666666671</v>
      </c>
      <c r="DC527" s="145">
        <f>DC387</f>
        <v>422</v>
      </c>
      <c r="DD527" s="72">
        <f t="shared" si="2471"/>
        <v>10.471204188481693</v>
      </c>
      <c r="DE527" s="145">
        <f>DE387</f>
        <v>368</v>
      </c>
      <c r="DF527" s="72">
        <f t="shared" si="2472"/>
        <v>-1.6042780748663006</v>
      </c>
      <c r="DG527" s="145">
        <f>DG387</f>
        <v>405</v>
      </c>
      <c r="DH527" s="72">
        <f t="shared" si="2473"/>
        <v>8.5790884718498717</v>
      </c>
      <c r="DI527" s="145">
        <f>DI387</f>
        <v>381</v>
      </c>
      <c r="DJ527" s="72">
        <f t="shared" si="2474"/>
        <v>14.759036144578317</v>
      </c>
      <c r="DK527" s="145">
        <f>DK387</f>
        <v>435</v>
      </c>
      <c r="DL527" s="72">
        <f t="shared" si="2475"/>
        <v>3.0805687203791337</v>
      </c>
      <c r="DM527" s="145">
        <f>DM387</f>
        <v>382</v>
      </c>
      <c r="DN527" s="72">
        <f t="shared" si="2476"/>
        <v>3.8043478260869676</v>
      </c>
      <c r="DO527" s="145">
        <f>DO387</f>
        <v>397</v>
      </c>
      <c r="DP527" s="72">
        <f t="shared" si="2476"/>
        <v>-1.9753086419753032</v>
      </c>
      <c r="DQ527" s="145">
        <f>DQ387</f>
        <v>382</v>
      </c>
      <c r="DR527" s="72">
        <f t="shared" si="2476"/>
        <v>0.26246719160106124</v>
      </c>
      <c r="DS527" s="145">
        <f>DS387</f>
        <v>439</v>
      </c>
      <c r="DT527" s="72">
        <f t="shared" si="2476"/>
        <v>0.91954022988505812</v>
      </c>
      <c r="DU527" s="145">
        <f>DU387</f>
        <v>392</v>
      </c>
      <c r="DV527" s="72">
        <f t="shared" si="2476"/>
        <v>2.6178010471204232</v>
      </c>
      <c r="DW527" s="145">
        <f>DW387</f>
        <v>398</v>
      </c>
      <c r="DX527" s="72">
        <f t="shared" si="2476"/>
        <v>0.25188916876575718</v>
      </c>
      <c r="DY527" s="145">
        <f>DY387</f>
        <v>367</v>
      </c>
      <c r="DZ527" s="72">
        <f t="shared" si="2476"/>
        <v>-3.9267015706806205</v>
      </c>
      <c r="EA527" s="145">
        <f>EA387</f>
        <v>410</v>
      </c>
      <c r="EB527" s="72">
        <f t="shared" si="2477"/>
        <v>-6.6059225512528457</v>
      </c>
      <c r="EC527" s="145">
        <f>EC387</f>
        <v>343</v>
      </c>
      <c r="ED527" s="72">
        <f t="shared" si="2478"/>
        <v>-12.5</v>
      </c>
      <c r="EE527" s="145">
        <f>EE387</f>
        <v>391</v>
      </c>
      <c r="EF527" s="72">
        <f t="shared" si="2479"/>
        <v>-1.7587939698492505</v>
      </c>
      <c r="EG527" s="145">
        <f>EG387</f>
        <v>395</v>
      </c>
      <c r="EH527" s="72">
        <f t="shared" si="2480"/>
        <v>7.6294277929155356</v>
      </c>
      <c r="EI527" s="145">
        <f>EI387</f>
        <v>408</v>
      </c>
      <c r="EJ527" s="72">
        <f t="shared" si="2481"/>
        <v>-0.48780487804877737</v>
      </c>
      <c r="EK527" s="145">
        <f>EK387</f>
        <v>396</v>
      </c>
      <c r="EL527" s="72">
        <f t="shared" si="2482"/>
        <v>15.451895043731795</v>
      </c>
      <c r="EM527" s="145">
        <f>EM387</f>
        <v>373</v>
      </c>
      <c r="EN527" s="72">
        <f t="shared" si="2483"/>
        <v>-4.6035805626598432</v>
      </c>
      <c r="EO527" s="145">
        <f>EO387</f>
        <v>383</v>
      </c>
      <c r="EP527" s="72">
        <f t="shared" si="2484"/>
        <v>-3.0379746835443058</v>
      </c>
      <c r="EQ527" s="144">
        <f>EQ387</f>
        <v>434.29932252252229</v>
      </c>
      <c r="ER527" s="72">
        <f t="shared" si="2485"/>
        <v>6.4459123829711444</v>
      </c>
      <c r="ES527" s="144">
        <f>ES387</f>
        <v>403.28380576576592</v>
      </c>
      <c r="ET527" s="72">
        <f t="shared" si="2486"/>
        <v>1.8393448903449183</v>
      </c>
      <c r="EU527" s="144">
        <f>EU387</f>
        <v>390.32150486486489</v>
      </c>
      <c r="EV527" s="72">
        <f t="shared" si="2487"/>
        <v>4.643835084414178</v>
      </c>
      <c r="EW527" s="144">
        <f>EW387</f>
        <v>398.35792252252259</v>
      </c>
      <c r="EX527" s="72">
        <f t="shared" si="2488"/>
        <v>4.0099014419119072</v>
      </c>
      <c r="EY527" s="72"/>
      <c r="EZ527" s="296"/>
      <c r="FA527" s="72"/>
      <c r="FB527" s="145"/>
      <c r="FC527" s="11"/>
      <c r="FD527" s="144">
        <f>FD387</f>
        <v>218</v>
      </c>
      <c r="FE527" s="72" t="str">
        <f t="shared" si="2489"/>
        <v>NA</v>
      </c>
      <c r="FF527" s="144">
        <f>FF387</f>
        <v>296</v>
      </c>
      <c r="FG527" s="72">
        <f t="shared" si="2490"/>
        <v>35.779816513761489</v>
      </c>
      <c r="FH527" s="144">
        <f>FH387</f>
        <v>349</v>
      </c>
      <c r="FI527" s="72">
        <f t="shared" si="2491"/>
        <v>17.905405405405389</v>
      </c>
      <c r="FJ527" s="144">
        <f>FJ387</f>
        <v>379</v>
      </c>
      <c r="FK527" s="72">
        <f t="shared" si="2492"/>
        <v>8.5959885386819508</v>
      </c>
      <c r="FL527" s="144">
        <f>FL387</f>
        <v>449</v>
      </c>
      <c r="FM527" s="72">
        <f t="shared" si="2493"/>
        <v>18.469656992084424</v>
      </c>
      <c r="FN527" s="144">
        <f>FN387</f>
        <v>526</v>
      </c>
      <c r="FO527" s="72">
        <f t="shared" si="2501"/>
        <v>17.149220489977736</v>
      </c>
      <c r="FP527" s="144">
        <f>FP387</f>
        <v>767</v>
      </c>
      <c r="FQ527" s="72">
        <f t="shared" si="2513"/>
        <v>45.817490494296578</v>
      </c>
      <c r="FR527" s="144">
        <f>FR387</f>
        <v>927</v>
      </c>
      <c r="FS527" s="72">
        <f t="shared" si="2514"/>
        <v>20.860495436766627</v>
      </c>
      <c r="FT527" s="144">
        <f>FT387</f>
        <v>1122</v>
      </c>
      <c r="FU527" s="72">
        <f t="shared" si="2515"/>
        <v>21.035598705501627</v>
      </c>
      <c r="FV527" s="144">
        <f>FV387</f>
        <v>998</v>
      </c>
      <c r="FW527" s="72">
        <f t="shared" si="2516"/>
        <v>-11.051693404634577</v>
      </c>
      <c r="FX527" s="144">
        <f>FX387</f>
        <v>1055</v>
      </c>
      <c r="FY527" s="72">
        <f t="shared" si="2517"/>
        <v>5.7114228456913736</v>
      </c>
      <c r="FZ527" s="144">
        <f>FZ387</f>
        <v>1149</v>
      </c>
      <c r="GA527" s="72">
        <f t="shared" si="2518"/>
        <v>8.9099526066350734</v>
      </c>
      <c r="GB527" s="144">
        <f>GB387</f>
        <v>1258.5</v>
      </c>
      <c r="GC527" s="72">
        <f t="shared" si="2494"/>
        <v>9.5300261096605823</v>
      </c>
      <c r="GD527" s="144">
        <f>GD387</f>
        <v>1461</v>
      </c>
      <c r="GE527" s="72">
        <f t="shared" si="2495"/>
        <v>16.090584028605477</v>
      </c>
      <c r="GF527" s="144">
        <f>GF387</f>
        <v>1576</v>
      </c>
      <c r="GG527" s="72">
        <f t="shared" si="2495"/>
        <v>7.8713210130047884</v>
      </c>
      <c r="GH527" s="144">
        <f>GH387</f>
        <v>1596</v>
      </c>
      <c r="GI527" s="72">
        <f t="shared" si="2496"/>
        <v>1.2690355329949341</v>
      </c>
      <c r="GJ527" s="144">
        <f>GJ387</f>
        <v>1596</v>
      </c>
      <c r="GK527" s="72">
        <f t="shared" si="2496"/>
        <v>0</v>
      </c>
      <c r="GL527" s="144">
        <f>GL387</f>
        <v>1539</v>
      </c>
      <c r="GM527" s="72">
        <f t="shared" si="2496"/>
        <v>-3.5714285714285694</v>
      </c>
      <c r="GN527" s="144">
        <f>GN387</f>
        <v>1560</v>
      </c>
      <c r="GO527" s="72">
        <f t="shared" si="2496"/>
        <v>1.3645224171539923</v>
      </c>
      <c r="GP527" s="144">
        <f>GP387</f>
        <v>1626.2625556756757</v>
      </c>
      <c r="GQ527" s="72">
        <f t="shared" si="2496"/>
        <v>4.247599722799734</v>
      </c>
      <c r="GR527" s="144">
        <f>GR387</f>
        <v>1690.6914579027016</v>
      </c>
      <c r="GS527" s="72">
        <f t="shared" si="2496"/>
        <v>3.9617773896452491</v>
      </c>
      <c r="GT527" s="144">
        <f>GT387</f>
        <v>1757.6291402188108</v>
      </c>
      <c r="GU527" s="72">
        <f t="shared" si="2496"/>
        <v>3.9591897151444471</v>
      </c>
      <c r="GV527" s="144">
        <f>GV387</f>
        <v>1827.1684324675607</v>
      </c>
      <c r="GW527" s="72">
        <f t="shared" si="2497"/>
        <v>3.95642577023348</v>
      </c>
      <c r="GX527" s="144">
        <f>GX387</f>
        <v>1899.4050503366652</v>
      </c>
      <c r="GY527" s="72">
        <f t="shared" si="2498"/>
        <v>3.9534733955287322</v>
      </c>
      <c r="GZ527" s="72">
        <f t="shared" si="2499"/>
        <v>4.0156286032805966</v>
      </c>
      <c r="HA527" s="72"/>
      <c r="HB527" s="72"/>
      <c r="HC527"/>
      <c r="HD527"/>
      <c r="HE527"/>
      <c r="HF527"/>
      <c r="HG527"/>
      <c r="HH527"/>
      <c r="HI527" s="2"/>
    </row>
    <row r="528" spans="1:217" s="3" customFormat="1" ht="12.75" customHeight="1" x14ac:dyDescent="0.2">
      <c r="A528" s="3" t="s">
        <v>694</v>
      </c>
      <c r="B528" s="10" t="s">
        <v>322</v>
      </c>
      <c r="C528" s="145">
        <f>C428</f>
        <v>0</v>
      </c>
      <c r="D528" s="11"/>
      <c r="E528" s="145">
        <f>E428</f>
        <v>0</v>
      </c>
      <c r="F528" s="11"/>
      <c r="G528" s="145">
        <f>G428</f>
        <v>0</v>
      </c>
      <c r="H528" s="11"/>
      <c r="I528" s="145">
        <f>I428</f>
        <v>0</v>
      </c>
      <c r="J528" s="11"/>
      <c r="K528" s="145">
        <f>K428</f>
        <v>81</v>
      </c>
      <c r="L528" s="72" t="str">
        <f t="shared" si="2434"/>
        <v>NA</v>
      </c>
      <c r="M528" s="145">
        <f>M428</f>
        <v>59</v>
      </c>
      <c r="N528" s="72" t="str">
        <f t="shared" si="2435"/>
        <v>NA</v>
      </c>
      <c r="O528" s="145">
        <f>O428</f>
        <v>126</v>
      </c>
      <c r="P528" s="72" t="str">
        <f t="shared" si="2436"/>
        <v>NA</v>
      </c>
      <c r="Q528" s="145">
        <f>Q428</f>
        <v>77</v>
      </c>
      <c r="R528" s="72" t="str">
        <f t="shared" si="2437"/>
        <v>NA</v>
      </c>
      <c r="S528" s="145">
        <f>S428</f>
        <v>104</v>
      </c>
      <c r="T528" s="72">
        <f t="shared" si="2438"/>
        <v>28.395061728395063</v>
      </c>
      <c r="U528" s="145">
        <f>U428</f>
        <v>101</v>
      </c>
      <c r="V528" s="72">
        <f t="shared" si="2439"/>
        <v>71.186440677966118</v>
      </c>
      <c r="W528" s="145">
        <f>W428</f>
        <v>102</v>
      </c>
      <c r="X528" s="72">
        <f t="shared" si="2440"/>
        <v>-19.047619047619051</v>
      </c>
      <c r="Y528" s="145">
        <f>Y428</f>
        <v>71</v>
      </c>
      <c r="Z528" s="72">
        <f t="shared" si="2441"/>
        <v>-7.7922077922077904</v>
      </c>
      <c r="AA528" s="145">
        <f>AA428</f>
        <v>75</v>
      </c>
      <c r="AB528" s="72">
        <f t="shared" si="2442"/>
        <v>-27.884615384615387</v>
      </c>
      <c r="AC528" s="145">
        <f>AC428</f>
        <v>98</v>
      </c>
      <c r="AD528" s="72">
        <f t="shared" si="2443"/>
        <v>-2.9702970297029765</v>
      </c>
      <c r="AE528" s="145">
        <f>AE428</f>
        <v>104</v>
      </c>
      <c r="AF528" s="72">
        <f t="shared" si="2444"/>
        <v>1.9607843137254832</v>
      </c>
      <c r="AG528" s="145">
        <f>AG428</f>
        <v>93</v>
      </c>
      <c r="AH528" s="72">
        <f t="shared" si="2445"/>
        <v>30.985915492957758</v>
      </c>
      <c r="AI528" s="145">
        <f>AI428</f>
        <v>94</v>
      </c>
      <c r="AJ528" s="72">
        <f t="shared" si="2446"/>
        <v>25.333333333333343</v>
      </c>
      <c r="AK528" s="145">
        <f>AK428</f>
        <v>115</v>
      </c>
      <c r="AL528" s="72">
        <f t="shared" si="2447"/>
        <v>17.34693877551021</v>
      </c>
      <c r="AM528" s="145">
        <f>AM428</f>
        <v>100</v>
      </c>
      <c r="AN528" s="72">
        <f t="shared" si="2448"/>
        <v>-3.8461538461538396</v>
      </c>
      <c r="AO528" s="145">
        <f>AO428</f>
        <v>97</v>
      </c>
      <c r="AP528" s="72">
        <f t="shared" si="2449"/>
        <v>4.3010752688172005</v>
      </c>
      <c r="AQ528" s="145">
        <f>AQ428</f>
        <v>106</v>
      </c>
      <c r="AR528" s="72">
        <f t="shared" si="2450"/>
        <v>12.7659574468085</v>
      </c>
      <c r="AS528" s="145">
        <f>AS428</f>
        <v>112</v>
      </c>
      <c r="AT528" s="72">
        <f t="shared" si="2451"/>
        <v>-2.6086956521739069</v>
      </c>
      <c r="AU528" s="145">
        <f>AU428</f>
        <v>131</v>
      </c>
      <c r="AV528" s="72">
        <f t="shared" si="2452"/>
        <v>31</v>
      </c>
      <c r="AW528" s="145">
        <f>AW428</f>
        <v>126</v>
      </c>
      <c r="AX528" s="72">
        <f t="shared" si="2453"/>
        <v>29.896907216494839</v>
      </c>
      <c r="AY528" s="145">
        <f>AY428</f>
        <v>109</v>
      </c>
      <c r="AZ528" s="72">
        <f t="shared" si="2502"/>
        <v>2.8301886792452962</v>
      </c>
      <c r="BA528" s="145">
        <f>BA428</f>
        <v>129</v>
      </c>
      <c r="BB528" s="72">
        <f t="shared" si="2503"/>
        <v>15.178571428571416</v>
      </c>
      <c r="BC528" s="145">
        <f>BC428</f>
        <v>135</v>
      </c>
      <c r="BD528" s="72">
        <f t="shared" si="2504"/>
        <v>3.0534351145038272</v>
      </c>
      <c r="BE528" s="145">
        <f>BE428</f>
        <v>131</v>
      </c>
      <c r="BF528" s="72">
        <f t="shared" si="2454"/>
        <v>3.9682539682539755</v>
      </c>
      <c r="BG528" s="145">
        <f>BG428</f>
        <v>143</v>
      </c>
      <c r="BH528" s="72">
        <f t="shared" si="2505"/>
        <v>31.192660550458697</v>
      </c>
      <c r="BI528" s="145">
        <f>BI428</f>
        <v>146</v>
      </c>
      <c r="BJ528" s="72">
        <f t="shared" si="2506"/>
        <v>13.178294573643413</v>
      </c>
      <c r="BK528" s="145">
        <f>BK428</f>
        <v>160</v>
      </c>
      <c r="BL528" s="72">
        <f t="shared" si="2507"/>
        <v>18.518518518518505</v>
      </c>
      <c r="BM528" s="145">
        <f>BM428</f>
        <v>129</v>
      </c>
      <c r="BN528" s="72">
        <f t="shared" si="2508"/>
        <v>-1.5267175572519136</v>
      </c>
      <c r="BO528" s="145">
        <f>BO428</f>
        <v>128</v>
      </c>
      <c r="BP528" s="72">
        <f t="shared" si="2509"/>
        <v>-10.489510489510494</v>
      </c>
      <c r="BQ528" s="145">
        <f>BQ428</f>
        <v>167</v>
      </c>
      <c r="BR528" s="72">
        <f t="shared" si="2510"/>
        <v>14.383561643835606</v>
      </c>
      <c r="BS528" s="145">
        <f>BS428</f>
        <v>167</v>
      </c>
      <c r="BT528" s="72">
        <f t="shared" si="2511"/>
        <v>4.375</v>
      </c>
      <c r="BU528" s="145">
        <f>BU428</f>
        <v>151</v>
      </c>
      <c r="BV528" s="72">
        <f t="shared" si="2512"/>
        <v>17.054263565891475</v>
      </c>
      <c r="BW528" s="145">
        <f>BW428</f>
        <v>141</v>
      </c>
      <c r="BX528" s="72">
        <f t="shared" si="2455"/>
        <v>10.15625</v>
      </c>
      <c r="BY528" s="145">
        <f>BY428</f>
        <v>137</v>
      </c>
      <c r="BZ528" s="72">
        <f t="shared" si="2456"/>
        <v>-17.964071856287418</v>
      </c>
      <c r="CA528" s="145">
        <f>CA428</f>
        <v>197</v>
      </c>
      <c r="CB528" s="72">
        <f t="shared" si="2457"/>
        <v>17.964071856287433</v>
      </c>
      <c r="CC528" s="145">
        <f>CC428</f>
        <v>156</v>
      </c>
      <c r="CD528" s="72">
        <f t="shared" si="2458"/>
        <v>3.3112582781456865</v>
      </c>
      <c r="CE528" s="145">
        <f>CE428</f>
        <v>156</v>
      </c>
      <c r="CF528" s="72">
        <f t="shared" si="2459"/>
        <v>10.638297872340431</v>
      </c>
      <c r="CG528" s="145">
        <f>CG428</f>
        <v>163</v>
      </c>
      <c r="CH528" s="72">
        <f t="shared" si="2460"/>
        <v>18.978102189781026</v>
      </c>
      <c r="CI528" s="145">
        <f>CI428</f>
        <v>199</v>
      </c>
      <c r="CJ528" s="72">
        <f t="shared" si="2461"/>
        <v>1.0152284263959359</v>
      </c>
      <c r="CK528" s="145">
        <f>CK428</f>
        <v>182</v>
      </c>
      <c r="CL528" s="72">
        <f t="shared" si="2462"/>
        <v>16.666666666666671</v>
      </c>
      <c r="CM528" s="145">
        <f>CM428</f>
        <v>221.6</v>
      </c>
      <c r="CN528" s="72">
        <f t="shared" si="2463"/>
        <v>42.051282051282044</v>
      </c>
      <c r="CO528" s="145">
        <f>CO428</f>
        <v>270</v>
      </c>
      <c r="CP528" s="72">
        <f t="shared" si="2464"/>
        <v>65.644171779141089</v>
      </c>
      <c r="CQ528" s="145">
        <f>CQ428</f>
        <v>288</v>
      </c>
      <c r="CR528" s="72">
        <f t="shared" si="2465"/>
        <v>44.723618090452277</v>
      </c>
      <c r="CS528" s="145">
        <f>CS428</f>
        <v>296</v>
      </c>
      <c r="CT528" s="72">
        <f t="shared" si="2466"/>
        <v>62.637362637362628</v>
      </c>
      <c r="CU528" s="145">
        <f>CU428</f>
        <v>272</v>
      </c>
      <c r="CV528" s="72">
        <f t="shared" si="2467"/>
        <v>22.743682310469325</v>
      </c>
      <c r="CW528" s="145">
        <f>CW428</f>
        <v>342</v>
      </c>
      <c r="CX528" s="72">
        <f t="shared" si="2468"/>
        <v>26.666666666666657</v>
      </c>
      <c r="CY528" s="145">
        <f>CY428</f>
        <v>363</v>
      </c>
      <c r="CZ528" s="72">
        <f t="shared" si="2469"/>
        <v>26.041666666666671</v>
      </c>
      <c r="DA528" s="145">
        <f>DA428</f>
        <v>325</v>
      </c>
      <c r="DB528" s="72">
        <f t="shared" si="2470"/>
        <v>9.7972972972973054</v>
      </c>
      <c r="DC528" s="145">
        <f>DC428</f>
        <v>392</v>
      </c>
      <c r="DD528" s="72">
        <f t="shared" si="2471"/>
        <v>44.117647058823536</v>
      </c>
      <c r="DE528" s="145">
        <f>DE428</f>
        <v>431</v>
      </c>
      <c r="DF528" s="72">
        <f t="shared" si="2472"/>
        <v>26.023391812865498</v>
      </c>
      <c r="DG528" s="145">
        <f>DG428</f>
        <v>470</v>
      </c>
      <c r="DH528" s="72">
        <f t="shared" si="2473"/>
        <v>29.476584022038566</v>
      </c>
      <c r="DI528" s="145">
        <f>DI428</f>
        <v>378</v>
      </c>
      <c r="DJ528" s="72">
        <f t="shared" si="2474"/>
        <v>16.307692307692307</v>
      </c>
      <c r="DK528" s="145">
        <f>DK428</f>
        <v>418</v>
      </c>
      <c r="DL528" s="72">
        <f t="shared" si="2475"/>
        <v>6.6326530612244881</v>
      </c>
      <c r="DM528" s="145">
        <f>DM428</f>
        <v>502</v>
      </c>
      <c r="DN528" s="72">
        <f t="shared" si="2476"/>
        <v>16.473317865429223</v>
      </c>
      <c r="DO528" s="145">
        <f>DO428</f>
        <v>446</v>
      </c>
      <c r="DP528" s="72">
        <f t="shared" si="2476"/>
        <v>-5.1063829787234027</v>
      </c>
      <c r="DQ528" s="145">
        <f>DQ428</f>
        <v>385</v>
      </c>
      <c r="DR528" s="72">
        <f t="shared" si="2476"/>
        <v>1.8518518518518619</v>
      </c>
      <c r="DS528" s="145">
        <f>DS428</f>
        <v>395</v>
      </c>
      <c r="DT528" s="72">
        <f t="shared" si="2476"/>
        <v>-5.5023923444976077</v>
      </c>
      <c r="DU528" s="145">
        <f>DU428</f>
        <v>471</v>
      </c>
      <c r="DV528" s="72">
        <f t="shared" si="2476"/>
        <v>-6.1752988047808657</v>
      </c>
      <c r="DW528" s="145">
        <f>DW428</f>
        <v>414</v>
      </c>
      <c r="DX528" s="72">
        <f t="shared" si="2476"/>
        <v>-7.1748878923766739</v>
      </c>
      <c r="DY528" s="145">
        <f>DY428</f>
        <v>371</v>
      </c>
      <c r="DZ528" s="72">
        <f t="shared" si="2476"/>
        <v>-3.6363636363636402</v>
      </c>
      <c r="EA528" s="145">
        <f>EA428</f>
        <v>369</v>
      </c>
      <c r="EB528" s="72">
        <f t="shared" si="2477"/>
        <v>-6.5822784810126649</v>
      </c>
      <c r="EC528" s="145">
        <f>EC428</f>
        <v>494</v>
      </c>
      <c r="ED528" s="72">
        <f t="shared" si="2478"/>
        <v>4.8832271762207995</v>
      </c>
      <c r="EE528" s="145">
        <f>EE428</f>
        <v>389</v>
      </c>
      <c r="EF528" s="72">
        <f t="shared" si="2479"/>
        <v>-6.0386473429951764</v>
      </c>
      <c r="EG528" s="145">
        <f>EG428</f>
        <v>360</v>
      </c>
      <c r="EH528" s="72">
        <f t="shared" si="2480"/>
        <v>-2.9649595687331498</v>
      </c>
      <c r="EI528" s="145">
        <f>EI428</f>
        <v>391</v>
      </c>
      <c r="EJ528" s="72">
        <f t="shared" si="2481"/>
        <v>5.9620596205962215</v>
      </c>
      <c r="EK528" s="145">
        <f>EK428</f>
        <v>473</v>
      </c>
      <c r="EL528" s="72">
        <f t="shared" si="2482"/>
        <v>-4.2510121457489873</v>
      </c>
      <c r="EM528" s="145">
        <f>EM428</f>
        <v>426</v>
      </c>
      <c r="EN528" s="72">
        <f t="shared" si="2483"/>
        <v>9.5115681233933174</v>
      </c>
      <c r="EO528" s="145">
        <f>EO428</f>
        <v>394</v>
      </c>
      <c r="EP528" s="72">
        <f t="shared" si="2484"/>
        <v>9.4444444444444571</v>
      </c>
      <c r="EQ528" s="145">
        <f>EQ428</f>
        <v>418.40083542574803</v>
      </c>
      <c r="ER528" s="72">
        <f t="shared" si="2485"/>
        <v>7.0078862981452801</v>
      </c>
      <c r="ES528" s="145">
        <f>ES428</f>
        <v>440.44495489295241</v>
      </c>
      <c r="ET528" s="72">
        <f t="shared" si="2486"/>
        <v>-6.8826733841538328</v>
      </c>
      <c r="EU528" s="145">
        <f>EU428</f>
        <v>423.59151031461124</v>
      </c>
      <c r="EV528" s="72">
        <f t="shared" si="2487"/>
        <v>-0.56537316558421935</v>
      </c>
      <c r="EW528" s="145">
        <f>EW428</f>
        <v>402.3062130630633</v>
      </c>
      <c r="EX528" s="72">
        <f t="shared" si="2488"/>
        <v>2.1081759043307926</v>
      </c>
      <c r="EY528" s="72"/>
      <c r="EZ528" s="296"/>
      <c r="FA528" s="72"/>
      <c r="FB528" s="145"/>
      <c r="FC528" s="11"/>
      <c r="FD528" s="145">
        <f>FD428</f>
        <v>0</v>
      </c>
      <c r="FE528" s="72" t="str">
        <f t="shared" si="2489"/>
        <v>NA</v>
      </c>
      <c r="FF528" s="145">
        <f>FF428</f>
        <v>0</v>
      </c>
      <c r="FG528" s="72" t="str">
        <f t="shared" si="2490"/>
        <v>NA</v>
      </c>
      <c r="FH528" s="145">
        <f>FH428</f>
        <v>343</v>
      </c>
      <c r="FI528" s="72" t="str">
        <f t="shared" si="2491"/>
        <v>NA</v>
      </c>
      <c r="FJ528" s="145">
        <f>FJ428</f>
        <v>378</v>
      </c>
      <c r="FK528" s="72">
        <f t="shared" si="2492"/>
        <v>10.204081632653043</v>
      </c>
      <c r="FL528" s="145">
        <f>FL428</f>
        <v>381</v>
      </c>
      <c r="FM528" s="72">
        <f t="shared" si="2493"/>
        <v>0.79365079365078373</v>
      </c>
      <c r="FN528" s="145">
        <f>FN428</f>
        <v>410</v>
      </c>
      <c r="FO528" s="72">
        <f t="shared" si="2501"/>
        <v>7.6115485564304493</v>
      </c>
      <c r="FP528" s="145">
        <f>FP428</f>
        <v>493</v>
      </c>
      <c r="FQ528" s="72">
        <f t="shared" si="2513"/>
        <v>20.243902439024382</v>
      </c>
      <c r="FR528" s="145">
        <f>FR428</f>
        <v>486</v>
      </c>
      <c r="FS528" s="72">
        <f t="shared" si="2514"/>
        <v>-1.4198782961460523</v>
      </c>
      <c r="FT528" s="145">
        <f>FT428</f>
        <v>553</v>
      </c>
      <c r="FU528" s="72">
        <f t="shared" si="2515"/>
        <v>13.78600823045268</v>
      </c>
      <c r="FV528" s="145">
        <f>FV428</f>
        <v>146</v>
      </c>
      <c r="FW528" s="72" t="str">
        <f t="shared" si="2516"/>
        <v>NM</v>
      </c>
      <c r="FX528" s="145">
        <f>FX428</f>
        <v>602</v>
      </c>
      <c r="FY528" s="72" t="str">
        <f t="shared" si="2517"/>
        <v>NM</v>
      </c>
      <c r="FZ528" s="145">
        <f>FZ428</f>
        <v>700</v>
      </c>
      <c r="GA528" s="72">
        <f t="shared" si="2518"/>
        <v>16.279069767441868</v>
      </c>
      <c r="GB528" s="145">
        <f>GB428</f>
        <v>1075.5999999999999</v>
      </c>
      <c r="GC528" s="72">
        <f t="shared" si="2494"/>
        <v>53.657142857142844</v>
      </c>
      <c r="GD528" s="145">
        <f>GD428</f>
        <v>1302</v>
      </c>
      <c r="GE528" s="72">
        <f t="shared" si="2495"/>
        <v>21.048716995165506</v>
      </c>
      <c r="GF528" s="145">
        <f>GF428</f>
        <v>1671</v>
      </c>
      <c r="GG528" s="72">
        <f t="shared" si="2495"/>
        <v>28.341013824884783</v>
      </c>
      <c r="GH528" s="145">
        <f>GH428</f>
        <v>1751</v>
      </c>
      <c r="GI528" s="72">
        <f t="shared" si="2496"/>
        <v>4.7875523638539761</v>
      </c>
      <c r="GJ528" s="145">
        <f>GJ428</f>
        <v>1651</v>
      </c>
      <c r="GK528" s="72">
        <f t="shared" si="2496"/>
        <v>-5.7110222729868667</v>
      </c>
      <c r="GL528" s="145">
        <f>GL428</f>
        <v>1612</v>
      </c>
      <c r="GM528" s="72">
        <f t="shared" si="2496"/>
        <v>-2.3622047244094517</v>
      </c>
      <c r="GN528" s="145">
        <f>GN428</f>
        <v>1684</v>
      </c>
      <c r="GO528" s="72">
        <f t="shared" si="2496"/>
        <v>4.4665012406947824</v>
      </c>
      <c r="GP528" s="145">
        <f>GP428</f>
        <v>1684.7435136963741</v>
      </c>
      <c r="GQ528" s="72">
        <f t="shared" si="2496"/>
        <v>4.4151644677796753E-2</v>
      </c>
      <c r="GR528" s="145">
        <f>GR428</f>
        <v>1698.5578145540567</v>
      </c>
      <c r="GS528" s="72">
        <f t="shared" si="2496"/>
        <v>0.8199646263883551</v>
      </c>
      <c r="GT528" s="145">
        <f>GT428</f>
        <v>1701.199982699598</v>
      </c>
      <c r="GU528" s="72">
        <f t="shared" si="2496"/>
        <v>0.1555536186582458</v>
      </c>
      <c r="GV528" s="145">
        <f>GV428</f>
        <v>1703.7247384265938</v>
      </c>
      <c r="GW528" s="72">
        <f t="shared" si="2497"/>
        <v>0.14841028407425938</v>
      </c>
      <c r="GX528" s="145">
        <f>GX428</f>
        <v>1706.1294692698593</v>
      </c>
      <c r="GY528" s="72">
        <f t="shared" si="2498"/>
        <v>0.14114550249979629</v>
      </c>
      <c r="GZ528" s="72">
        <f t="shared" si="2499"/>
        <v>0.26144960321734523</v>
      </c>
      <c r="HA528" s="72"/>
      <c r="HB528" s="72"/>
      <c r="HC528"/>
      <c r="HD528"/>
      <c r="HE528"/>
      <c r="HF528"/>
      <c r="HG528"/>
      <c r="HH528"/>
      <c r="HI528" s="2"/>
    </row>
    <row r="529" spans="1:217" s="3" customFormat="1" ht="12.75" hidden="1" customHeight="1" outlineLevel="1" x14ac:dyDescent="0.2">
      <c r="A529" s="3" t="s">
        <v>546</v>
      </c>
      <c r="B529" s="10" t="s">
        <v>323</v>
      </c>
      <c r="C529" s="145">
        <f>C457</f>
        <v>27</v>
      </c>
      <c r="D529" s="11"/>
      <c r="E529" s="145">
        <f>E457</f>
        <v>14</v>
      </c>
      <c r="F529" s="11"/>
      <c r="G529" s="145">
        <f>G457</f>
        <v>10</v>
      </c>
      <c r="H529" s="11"/>
      <c r="I529" s="145">
        <f>I457</f>
        <v>-25</v>
      </c>
      <c r="J529" s="11"/>
      <c r="K529" s="145">
        <f>K457</f>
        <v>2</v>
      </c>
      <c r="L529" s="72" t="str">
        <f t="shared" si="2434"/>
        <v>NM</v>
      </c>
      <c r="M529" s="145">
        <f>M457</f>
        <v>-13</v>
      </c>
      <c r="N529" s="72" t="str">
        <f t="shared" si="2435"/>
        <v>NM</v>
      </c>
      <c r="O529" s="145">
        <f>O457</f>
        <v>-11</v>
      </c>
      <c r="P529" s="72" t="str">
        <f t="shared" si="2436"/>
        <v>NM</v>
      </c>
      <c r="Q529" s="145">
        <f>Q457</f>
        <v>-19</v>
      </c>
      <c r="R529" s="72">
        <f t="shared" si="2437"/>
        <v>-24</v>
      </c>
      <c r="S529" s="145">
        <f>S457</f>
        <v>0</v>
      </c>
      <c r="T529" s="72" t="str">
        <f t="shared" si="2438"/>
        <v>NM</v>
      </c>
      <c r="U529" s="145">
        <f>U457</f>
        <v>-4</v>
      </c>
      <c r="V529" s="72" t="str">
        <f t="shared" si="2439"/>
        <v>NM</v>
      </c>
      <c r="W529" s="145">
        <f>W457</f>
        <v>2</v>
      </c>
      <c r="X529" s="72" t="str">
        <f t="shared" si="2440"/>
        <v>NM</v>
      </c>
      <c r="Y529" s="145">
        <f>Y457</f>
        <v>-4</v>
      </c>
      <c r="Z529" s="72" t="str">
        <f t="shared" si="2441"/>
        <v>NM</v>
      </c>
      <c r="AA529" s="145">
        <f>AA457</f>
        <v>2</v>
      </c>
      <c r="AB529" s="72" t="str">
        <f t="shared" si="2442"/>
        <v>NA</v>
      </c>
      <c r="AC529" s="145">
        <f>AC457</f>
        <v>9</v>
      </c>
      <c r="AD529" s="72" t="str">
        <f t="shared" si="2443"/>
        <v>NM</v>
      </c>
      <c r="AE529" s="145">
        <f>AE457</f>
        <v>8</v>
      </c>
      <c r="AF529" s="72" t="str">
        <f t="shared" si="2444"/>
        <v>NM</v>
      </c>
      <c r="AG529" s="145">
        <f>AG457</f>
        <v>-31</v>
      </c>
      <c r="AH529" s="72" t="str">
        <f t="shared" si="2445"/>
        <v>NM</v>
      </c>
      <c r="AI529" s="145">
        <f>AI457</f>
        <v>5</v>
      </c>
      <c r="AJ529" s="72" t="str">
        <f t="shared" si="2446"/>
        <v>NM</v>
      </c>
      <c r="AK529" s="145">
        <f>AK457</f>
        <v>20</v>
      </c>
      <c r="AL529" s="72" t="str">
        <f t="shared" si="2447"/>
        <v>NM</v>
      </c>
      <c r="AM529" s="145">
        <f>AM457</f>
        <v>19</v>
      </c>
      <c r="AN529" s="72" t="str">
        <f t="shared" si="2448"/>
        <v>NM</v>
      </c>
      <c r="AO529" s="145">
        <f>AO457</f>
        <v>33</v>
      </c>
      <c r="AP529" s="72" t="str">
        <f t="shared" si="2449"/>
        <v>NM</v>
      </c>
      <c r="AQ529" s="145">
        <f>AQ457</f>
        <v>25</v>
      </c>
      <c r="AR529" s="72" t="str">
        <f t="shared" si="2450"/>
        <v>NM</v>
      </c>
      <c r="AS529" s="145">
        <f>AS457</f>
        <v>19</v>
      </c>
      <c r="AT529" s="72">
        <f t="shared" si="2451"/>
        <v>-5</v>
      </c>
      <c r="AU529" s="145">
        <f>AU457</f>
        <v>25</v>
      </c>
      <c r="AV529" s="72">
        <f t="shared" si="2452"/>
        <v>31.578947368421069</v>
      </c>
      <c r="AW529" s="145">
        <f>AW457</f>
        <v>37</v>
      </c>
      <c r="AX529" s="72">
        <f t="shared" si="2453"/>
        <v>12.12121212121211</v>
      </c>
      <c r="AY529" s="145">
        <f>AY457</f>
        <v>29</v>
      </c>
      <c r="AZ529" s="72">
        <f t="shared" si="2502"/>
        <v>15.999999999999986</v>
      </c>
      <c r="BA529" s="145">
        <f>BA457</f>
        <v>34</v>
      </c>
      <c r="BB529" s="72">
        <f t="shared" si="2503"/>
        <v>78.94736842105263</v>
      </c>
      <c r="BC529" s="145">
        <f>BC457</f>
        <v>31</v>
      </c>
      <c r="BD529" s="72">
        <f t="shared" si="2504"/>
        <v>24</v>
      </c>
      <c r="BE529" s="145">
        <f>BE457</f>
        <v>34</v>
      </c>
      <c r="BF529" s="72">
        <f t="shared" si="2454"/>
        <v>-8.1081081081080981</v>
      </c>
      <c r="BG529" s="145">
        <f>BG457</f>
        <v>34</v>
      </c>
      <c r="BH529" s="72">
        <f t="shared" si="2505"/>
        <v>17.241379310344811</v>
      </c>
      <c r="BI529" s="145">
        <f>BI457</f>
        <v>43</v>
      </c>
      <c r="BJ529" s="72">
        <f t="shared" si="2506"/>
        <v>26.470588235294116</v>
      </c>
      <c r="BK529" s="145">
        <f>BK457</f>
        <v>38</v>
      </c>
      <c r="BL529" s="72">
        <f t="shared" si="2507"/>
        <v>22.58064516129032</v>
      </c>
      <c r="BM529" s="145">
        <f>BM457</f>
        <v>40</v>
      </c>
      <c r="BN529" s="72">
        <f t="shared" si="2508"/>
        <v>17.64705882352942</v>
      </c>
      <c r="BO529" s="145">
        <f>BO457</f>
        <v>26</v>
      </c>
      <c r="BP529" s="72">
        <f t="shared" si="2509"/>
        <v>-23.529411764705884</v>
      </c>
      <c r="BQ529" s="145">
        <f>BQ457</f>
        <v>13</v>
      </c>
      <c r="BR529" s="72" t="str">
        <f t="shared" si="2510"/>
        <v>NM</v>
      </c>
      <c r="BS529" s="145">
        <f>BS457</f>
        <v>13</v>
      </c>
      <c r="BT529" s="72" t="str">
        <f t="shared" si="2511"/>
        <v>NM</v>
      </c>
      <c r="BU529" s="145">
        <f>BU457</f>
        <v>32</v>
      </c>
      <c r="BV529" s="72">
        <f t="shared" si="2512"/>
        <v>-20</v>
      </c>
      <c r="BW529" s="145">
        <f>BW457</f>
        <v>0</v>
      </c>
      <c r="BX529" s="72" t="str">
        <f t="shared" si="2455"/>
        <v>NM</v>
      </c>
      <c r="BY529" s="145">
        <f>BY457</f>
        <v>0</v>
      </c>
      <c r="BZ529" s="72" t="str">
        <f t="shared" si="2456"/>
        <v>NM</v>
      </c>
      <c r="CA529" s="145">
        <f>CA457</f>
        <v>0</v>
      </c>
      <c r="CB529" s="72" t="str">
        <f t="shared" si="2457"/>
        <v>NM</v>
      </c>
      <c r="CC529" s="145">
        <f>CC457</f>
        <v>0</v>
      </c>
      <c r="CD529" s="72" t="str">
        <f t="shared" si="2458"/>
        <v>NM</v>
      </c>
      <c r="CE529" s="145">
        <f>CE457</f>
        <v>0</v>
      </c>
      <c r="CF529" s="72" t="str">
        <f t="shared" si="2459"/>
        <v>NA</v>
      </c>
      <c r="CG529" s="145">
        <f>CG457</f>
        <v>0</v>
      </c>
      <c r="CH529" s="72" t="str">
        <f t="shared" si="2460"/>
        <v>NA</v>
      </c>
      <c r="CI529" s="145">
        <f>CI457</f>
        <v>0</v>
      </c>
      <c r="CJ529" s="72" t="str">
        <f t="shared" si="2461"/>
        <v>NA</v>
      </c>
      <c r="CK529" s="145">
        <f>CK457</f>
        <v>0</v>
      </c>
      <c r="CL529" s="72" t="str">
        <f t="shared" si="2462"/>
        <v>NA</v>
      </c>
      <c r="CM529" s="145">
        <f>CM457</f>
        <v>0</v>
      </c>
      <c r="CN529" s="72" t="str">
        <f t="shared" si="2463"/>
        <v>NA</v>
      </c>
      <c r="CO529" s="145">
        <f>CO457</f>
        <v>0</v>
      </c>
      <c r="CP529" s="72" t="str">
        <f t="shared" si="2464"/>
        <v>NA</v>
      </c>
      <c r="CQ529" s="145">
        <f>CQ457</f>
        <v>0</v>
      </c>
      <c r="CR529" s="72" t="str">
        <f t="shared" si="2465"/>
        <v>NA</v>
      </c>
      <c r="CS529" s="145">
        <f>CS457</f>
        <v>0</v>
      </c>
      <c r="CT529" s="72" t="str">
        <f t="shared" si="2466"/>
        <v>NA</v>
      </c>
      <c r="CU529" s="145">
        <f>CU457</f>
        <v>0</v>
      </c>
      <c r="CV529" s="72" t="str">
        <f t="shared" si="2467"/>
        <v>NA</v>
      </c>
      <c r="CW529" s="145">
        <f>CW457</f>
        <v>0</v>
      </c>
      <c r="CX529" s="72" t="str">
        <f t="shared" si="2468"/>
        <v>NA</v>
      </c>
      <c r="CY529" s="145">
        <f>CY457</f>
        <v>0</v>
      </c>
      <c r="CZ529" s="72" t="str">
        <f t="shared" si="2469"/>
        <v>NA</v>
      </c>
      <c r="DA529" s="145">
        <f>DA457</f>
        <v>0</v>
      </c>
      <c r="DB529" s="72" t="str">
        <f t="shared" si="2470"/>
        <v>NA</v>
      </c>
      <c r="DC529" s="145">
        <f>DC457</f>
        <v>0</v>
      </c>
      <c r="DD529" s="72" t="str">
        <f t="shared" si="2471"/>
        <v>NA</v>
      </c>
      <c r="DE529" s="145">
        <f>DE457</f>
        <v>0</v>
      </c>
      <c r="DF529" s="72" t="str">
        <f t="shared" si="2472"/>
        <v>NA</v>
      </c>
      <c r="DG529" s="145">
        <f>DG457</f>
        <v>0</v>
      </c>
      <c r="DH529" s="72" t="str">
        <f t="shared" si="2473"/>
        <v>NA</v>
      </c>
      <c r="DI529" s="145">
        <f>DI457</f>
        <v>0</v>
      </c>
      <c r="DJ529" s="72" t="str">
        <f t="shared" si="2474"/>
        <v>NA</v>
      </c>
      <c r="DK529" s="145">
        <f>DK457</f>
        <v>0</v>
      </c>
      <c r="DL529" s="72" t="str">
        <f t="shared" si="2475"/>
        <v>NA</v>
      </c>
      <c r="DM529" s="145">
        <f>DM457</f>
        <v>0</v>
      </c>
      <c r="DN529" s="72" t="str">
        <f t="shared" si="2476"/>
        <v>NA</v>
      </c>
      <c r="DO529" s="145">
        <f>DO457</f>
        <v>0</v>
      </c>
      <c r="DP529" s="72" t="str">
        <f t="shared" si="2476"/>
        <v>NA</v>
      </c>
      <c r="DQ529" s="145">
        <f>DQ457</f>
        <v>0</v>
      </c>
      <c r="DR529" s="72" t="str">
        <f t="shared" si="2476"/>
        <v>NA</v>
      </c>
      <c r="DS529" s="145">
        <f>DS457</f>
        <v>0</v>
      </c>
      <c r="DT529" s="72" t="str">
        <f t="shared" si="2476"/>
        <v>NA</v>
      </c>
      <c r="DU529" s="145">
        <f>DU457</f>
        <v>0</v>
      </c>
      <c r="DV529" s="72" t="str">
        <f t="shared" si="2476"/>
        <v>NA</v>
      </c>
      <c r="DW529" s="145">
        <f>DW457</f>
        <v>0</v>
      </c>
      <c r="DX529" s="72" t="str">
        <f t="shared" si="2476"/>
        <v>NA</v>
      </c>
      <c r="DY529" s="145">
        <f>DY457</f>
        <v>0</v>
      </c>
      <c r="DZ529" s="72" t="str">
        <f t="shared" si="2476"/>
        <v>NA</v>
      </c>
      <c r="EA529" s="145">
        <f>EA457</f>
        <v>0</v>
      </c>
      <c r="EB529" s="72" t="str">
        <f t="shared" si="2477"/>
        <v>NA</v>
      </c>
      <c r="EC529" s="145">
        <f>EC457</f>
        <v>0</v>
      </c>
      <c r="ED529" s="72" t="str">
        <f t="shared" si="2478"/>
        <v>NA</v>
      </c>
      <c r="EE529" s="145">
        <f>EE457</f>
        <v>0</v>
      </c>
      <c r="EF529" s="72" t="str">
        <f t="shared" si="2479"/>
        <v>NA</v>
      </c>
      <c r="EG529" s="145">
        <f>EG457</f>
        <v>0</v>
      </c>
      <c r="EH529" s="72" t="str">
        <f t="shared" si="2480"/>
        <v>NA</v>
      </c>
      <c r="EI529" s="145">
        <f>EI457</f>
        <v>0</v>
      </c>
      <c r="EJ529" s="72" t="str">
        <f t="shared" si="2481"/>
        <v>NA</v>
      </c>
      <c r="EK529" s="145">
        <f>EK457</f>
        <v>0</v>
      </c>
      <c r="EL529" s="72" t="str">
        <f t="shared" si="2482"/>
        <v>NA</v>
      </c>
      <c r="EM529" s="145">
        <f>EM457</f>
        <v>0</v>
      </c>
      <c r="EN529" s="72" t="str">
        <f t="shared" si="2483"/>
        <v>NA</v>
      </c>
      <c r="EO529" s="145">
        <f>EO457</f>
        <v>0</v>
      </c>
      <c r="EP529" s="72" t="str">
        <f t="shared" si="2484"/>
        <v>NA</v>
      </c>
      <c r="EQ529" s="144">
        <f>EQ457</f>
        <v>0</v>
      </c>
      <c r="ER529" s="72" t="str">
        <f t="shared" si="2485"/>
        <v>NA</v>
      </c>
      <c r="ES529" s="144">
        <f>ES457</f>
        <v>0</v>
      </c>
      <c r="ET529" s="72" t="str">
        <f t="shared" si="2486"/>
        <v>NA</v>
      </c>
      <c r="EU529" s="144">
        <f>EU457</f>
        <v>0</v>
      </c>
      <c r="EV529" s="72" t="str">
        <f t="shared" si="2487"/>
        <v>NA</v>
      </c>
      <c r="EW529" s="144">
        <f>EW457</f>
        <v>0</v>
      </c>
      <c r="EX529" s="72" t="str">
        <f t="shared" si="2488"/>
        <v>NA</v>
      </c>
      <c r="EY529" s="72"/>
      <c r="EZ529" s="296"/>
      <c r="FA529" s="72"/>
      <c r="FB529" s="145"/>
      <c r="FC529" s="11"/>
      <c r="FD529" s="144">
        <f>FD457</f>
        <v>15</v>
      </c>
      <c r="FE529" s="72" t="str">
        <f t="shared" si="2489"/>
        <v>NA</v>
      </c>
      <c r="FF529" s="144">
        <f>FF457</f>
        <v>26</v>
      </c>
      <c r="FG529" s="72">
        <f t="shared" si="2490"/>
        <v>73.333333333333343</v>
      </c>
      <c r="FH529" s="144">
        <f>FH457</f>
        <v>-41</v>
      </c>
      <c r="FI529" s="72" t="str">
        <f t="shared" si="2491"/>
        <v>NM</v>
      </c>
      <c r="FJ529" s="144">
        <f>FJ457</f>
        <v>-6</v>
      </c>
      <c r="FK529" s="72" t="str">
        <f t="shared" si="2492"/>
        <v>NM</v>
      </c>
      <c r="FL529" s="144">
        <f>FL457</f>
        <v>-12</v>
      </c>
      <c r="FM529" s="72">
        <f t="shared" si="2493"/>
        <v>100</v>
      </c>
      <c r="FN529" s="144">
        <f>FN457</f>
        <v>77</v>
      </c>
      <c r="FO529" s="72" t="str">
        <f t="shared" si="2501"/>
        <v>NM</v>
      </c>
      <c r="FP529" s="144">
        <f>FP457</f>
        <v>106</v>
      </c>
      <c r="FQ529" s="72">
        <f t="shared" si="2513"/>
        <v>37.662337662337677</v>
      </c>
      <c r="FR529" s="144">
        <f>FR457</f>
        <v>128</v>
      </c>
      <c r="FS529" s="72">
        <f t="shared" si="2514"/>
        <v>20.754716981132077</v>
      </c>
      <c r="FT529" s="144">
        <f>FT457</f>
        <v>155</v>
      </c>
      <c r="FU529" s="72">
        <f t="shared" si="2515"/>
        <v>21.09375</v>
      </c>
      <c r="FV529" s="144">
        <f>FV457</f>
        <v>84</v>
      </c>
      <c r="FW529" s="72">
        <f t="shared" si="2516"/>
        <v>-45.806451612903217</v>
      </c>
      <c r="FX529" s="144">
        <f>FX457</f>
        <v>0</v>
      </c>
      <c r="FY529" s="72" t="str">
        <f t="shared" si="2517"/>
        <v>NM</v>
      </c>
      <c r="FZ529" s="144">
        <f>FZ457</f>
        <v>0</v>
      </c>
      <c r="GA529" s="72" t="str">
        <f t="shared" si="2518"/>
        <v>NA</v>
      </c>
      <c r="GB529" s="144">
        <f>GB457</f>
        <v>0</v>
      </c>
      <c r="GC529" s="72" t="str">
        <f t="shared" si="2494"/>
        <v>NA</v>
      </c>
      <c r="GD529" s="144">
        <f>GD457</f>
        <v>0</v>
      </c>
      <c r="GE529" s="72" t="str">
        <f t="shared" si="2495"/>
        <v>NA</v>
      </c>
      <c r="GF529" s="144">
        <f>GF457</f>
        <v>0</v>
      </c>
      <c r="GG529" s="72" t="str">
        <f t="shared" si="2495"/>
        <v>NA</v>
      </c>
      <c r="GH529" s="144">
        <f>GH457</f>
        <v>0</v>
      </c>
      <c r="GI529" s="72" t="str">
        <f t="shared" si="2496"/>
        <v>NA</v>
      </c>
      <c r="GJ529" s="144">
        <f>GJ457</f>
        <v>0</v>
      </c>
      <c r="GK529" s="72" t="str">
        <f t="shared" si="2496"/>
        <v>NA</v>
      </c>
      <c r="GL529" s="144">
        <f>GL457</f>
        <v>0</v>
      </c>
      <c r="GM529" s="72" t="str">
        <f t="shared" si="2496"/>
        <v>NA</v>
      </c>
      <c r="GN529" s="144">
        <f>GN457</f>
        <v>0</v>
      </c>
      <c r="GO529" s="72" t="str">
        <f t="shared" si="2496"/>
        <v>NA</v>
      </c>
      <c r="GP529" s="144">
        <f>GP457</f>
        <v>0</v>
      </c>
      <c r="GQ529" s="72" t="str">
        <f t="shared" si="2496"/>
        <v>NA</v>
      </c>
      <c r="GR529" s="144">
        <f>GR457</f>
        <v>0</v>
      </c>
      <c r="GS529" s="72" t="str">
        <f t="shared" si="2496"/>
        <v>NA</v>
      </c>
      <c r="GT529" s="144">
        <f>GT457</f>
        <v>0</v>
      </c>
      <c r="GU529" s="72" t="str">
        <f t="shared" si="2496"/>
        <v>NA</v>
      </c>
      <c r="GV529" s="144">
        <f>GV457</f>
        <v>0</v>
      </c>
      <c r="GW529" s="72" t="str">
        <f t="shared" si="2497"/>
        <v>NA</v>
      </c>
      <c r="GX529" s="144">
        <f>GX457</f>
        <v>0</v>
      </c>
      <c r="GY529" s="72" t="str">
        <f t="shared" si="2498"/>
        <v>NA</v>
      </c>
      <c r="GZ529" s="72" t="str">
        <f t="shared" si="2499"/>
        <v>NA</v>
      </c>
      <c r="HA529" s="72"/>
      <c r="HB529" s="72"/>
      <c r="HC529"/>
      <c r="HD529"/>
      <c r="HE529"/>
      <c r="HF529"/>
      <c r="HG529"/>
      <c r="HH529"/>
      <c r="HI529" s="2"/>
    </row>
    <row r="530" spans="1:217" s="78" customFormat="1" ht="12.75" customHeight="1" collapsed="1" x14ac:dyDescent="0.2">
      <c r="A530" s="78" t="s">
        <v>695</v>
      </c>
      <c r="B530" s="89" t="s">
        <v>376</v>
      </c>
      <c r="C530" s="160">
        <f>SUM(C527:C529)</f>
        <v>97</v>
      </c>
      <c r="D530" s="166"/>
      <c r="E530" s="160">
        <f>SUM(E527:E529)</f>
        <v>89</v>
      </c>
      <c r="F530" s="166"/>
      <c r="G530" s="160">
        <f>SUM(G527:G529)</f>
        <v>76</v>
      </c>
      <c r="H530" s="166"/>
      <c r="I530" s="160">
        <f>SUM(I527:I529)</f>
        <v>60</v>
      </c>
      <c r="J530" s="166"/>
      <c r="K530" s="160">
        <f>SUM(K527:K529)</f>
        <v>178</v>
      </c>
      <c r="L530" s="72">
        <f t="shared" si="2434"/>
        <v>83.505154639175259</v>
      </c>
      <c r="M530" s="160">
        <f>SUM(M527:M529)</f>
        <v>129</v>
      </c>
      <c r="N530" s="72">
        <f t="shared" si="2435"/>
        <v>44.943820224719104</v>
      </c>
      <c r="O530" s="160">
        <f>SUM(O527:O529)</f>
        <v>191</v>
      </c>
      <c r="P530" s="72" t="str">
        <f t="shared" si="2436"/>
        <v>NM</v>
      </c>
      <c r="Q530" s="160">
        <f>SUM(Q527:Q529)</f>
        <v>153</v>
      </c>
      <c r="R530" s="72" t="str">
        <f t="shared" si="2437"/>
        <v>NM</v>
      </c>
      <c r="S530" s="160">
        <f>SUM(S527:S529)</f>
        <v>204</v>
      </c>
      <c r="T530" s="72">
        <f t="shared" si="2438"/>
        <v>14.606741573033702</v>
      </c>
      <c r="U530" s="160">
        <f>SUM(U527:U529)</f>
        <v>183</v>
      </c>
      <c r="V530" s="72">
        <f t="shared" si="2439"/>
        <v>41.860465116279073</v>
      </c>
      <c r="W530" s="160">
        <f>SUM(W527:W529)</f>
        <v>188</v>
      </c>
      <c r="X530" s="72">
        <f t="shared" si="2440"/>
        <v>-1.5706806282722425</v>
      </c>
      <c r="Y530" s="160">
        <f>SUM(Y527:Y529)</f>
        <v>176</v>
      </c>
      <c r="Z530" s="72">
        <f t="shared" si="2441"/>
        <v>15.032679738562081</v>
      </c>
      <c r="AA530" s="160">
        <f>SUM(AA527:AA529)</f>
        <v>177</v>
      </c>
      <c r="AB530" s="72">
        <f t="shared" si="2442"/>
        <v>-13.235294117647058</v>
      </c>
      <c r="AC530" s="160">
        <f>SUM(AC527:AC529)</f>
        <v>216</v>
      </c>
      <c r="AD530" s="72">
        <f t="shared" si="2443"/>
        <v>18.032786885245898</v>
      </c>
      <c r="AE530" s="160">
        <f>SUM(AE527:AE529)</f>
        <v>223</v>
      </c>
      <c r="AF530" s="72">
        <f t="shared" si="2444"/>
        <v>18.61702127659575</v>
      </c>
      <c r="AG530" s="160">
        <f>SUM(AG527:AG529)</f>
        <v>191</v>
      </c>
      <c r="AH530" s="72">
        <f t="shared" si="2445"/>
        <v>8.5227272727272663</v>
      </c>
      <c r="AI530" s="160">
        <f>SUM(AI527:AI529)</f>
        <v>220</v>
      </c>
      <c r="AJ530" s="72">
        <f t="shared" si="2446"/>
        <v>24.293785310734478</v>
      </c>
      <c r="AK530" s="160">
        <f>SUM(AK527:AK529)</f>
        <v>264</v>
      </c>
      <c r="AL530" s="72">
        <f t="shared" si="2447"/>
        <v>22.222222222222229</v>
      </c>
      <c r="AM530" s="160">
        <f>SUM(AM527:AM529)</f>
        <v>258</v>
      </c>
      <c r="AN530" s="72">
        <f t="shared" si="2448"/>
        <v>15.695067264573993</v>
      </c>
      <c r="AO530" s="160">
        <f>SUM(AO527:AO529)</f>
        <v>267</v>
      </c>
      <c r="AP530" s="72">
        <f t="shared" si="2449"/>
        <v>39.790575916230353</v>
      </c>
      <c r="AQ530" s="160">
        <f>SUM(AQ527:AQ529)</f>
        <v>303</v>
      </c>
      <c r="AR530" s="72">
        <f t="shared" si="2450"/>
        <v>37.72727272727272</v>
      </c>
      <c r="AS530" s="160">
        <f>SUM(AS527:AS529)</f>
        <v>314</v>
      </c>
      <c r="AT530" s="72">
        <f t="shared" si="2451"/>
        <v>18.939393939393938</v>
      </c>
      <c r="AU530" s="160">
        <f>SUM(AU527:AU529)</f>
        <v>363</v>
      </c>
      <c r="AV530" s="72">
        <f t="shared" si="2452"/>
        <v>40.697674418604663</v>
      </c>
      <c r="AW530" s="160">
        <f>SUM(AW527:AW529)</f>
        <v>368</v>
      </c>
      <c r="AX530" s="72">
        <f t="shared" si="2453"/>
        <v>37.827715355805253</v>
      </c>
      <c r="AY530" s="160">
        <f>SUM(AY527:AY529)</f>
        <v>368</v>
      </c>
      <c r="AZ530" s="72">
        <f t="shared" si="2502"/>
        <v>21.452145214521451</v>
      </c>
      <c r="BA530" s="160">
        <f>SUM(BA527:BA529)</f>
        <v>391</v>
      </c>
      <c r="BB530" s="72">
        <f t="shared" si="2503"/>
        <v>24.522292993630572</v>
      </c>
      <c r="BC530" s="160">
        <f>SUM(BC527:BC529)</f>
        <v>403</v>
      </c>
      <c r="BD530" s="72">
        <f t="shared" si="2504"/>
        <v>11.019283746556468</v>
      </c>
      <c r="BE530" s="160">
        <f>SUM(BE527:BE529)</f>
        <v>397</v>
      </c>
      <c r="BF530" s="72">
        <f t="shared" si="2454"/>
        <v>7.8804347826086882</v>
      </c>
      <c r="BG530" s="160">
        <f>SUM(BG527:BG529)</f>
        <v>446</v>
      </c>
      <c r="BH530" s="72">
        <f t="shared" si="2505"/>
        <v>21.195652173913032</v>
      </c>
      <c r="BI530" s="160">
        <f>SUM(BI527:BI529)</f>
        <v>442</v>
      </c>
      <c r="BJ530" s="72">
        <f t="shared" si="2506"/>
        <v>13.043478260869563</v>
      </c>
      <c r="BK530" s="160">
        <f>SUM(BK527:BK529)</f>
        <v>517</v>
      </c>
      <c r="BL530" s="72">
        <f t="shared" si="2507"/>
        <v>28.287841191067002</v>
      </c>
      <c r="BM530" s="160">
        <f>SUM(BM527:BM529)</f>
        <v>450</v>
      </c>
      <c r="BN530" s="72">
        <f t="shared" si="2508"/>
        <v>13.350125944584377</v>
      </c>
      <c r="BO530" s="160">
        <f>SUM(BO527:BO529)</f>
        <v>439</v>
      </c>
      <c r="BP530" s="72">
        <f t="shared" si="2509"/>
        <v>-1.569506726457405</v>
      </c>
      <c r="BQ530" s="160">
        <f>SUM(BQ527:BQ529)</f>
        <v>466</v>
      </c>
      <c r="BR530" s="72">
        <f t="shared" si="2510"/>
        <v>5.4298642533936743</v>
      </c>
      <c r="BS530" s="160">
        <f>SUM(BS527:BS529)</f>
        <v>473</v>
      </c>
      <c r="BT530" s="72">
        <f t="shared" si="2511"/>
        <v>-8.5106382978723474</v>
      </c>
      <c r="BU530" s="160">
        <f>SUM(BU527:BU529)</f>
        <v>444</v>
      </c>
      <c r="BV530" s="72">
        <f t="shared" si="2512"/>
        <v>-1.3333333333333286</v>
      </c>
      <c r="BW530" s="160">
        <f>SUM(BW527:BW529)</f>
        <v>439</v>
      </c>
      <c r="BX530" s="72">
        <f t="shared" si="2455"/>
        <v>0</v>
      </c>
      <c r="BY530" s="160">
        <f>SUM(BY527:BY529)</f>
        <v>459</v>
      </c>
      <c r="BZ530" s="72">
        <f t="shared" si="2456"/>
        <v>-1.5021459227467773</v>
      </c>
      <c r="CA530" s="160">
        <f>SUM(CA527:CA529)</f>
        <v>492</v>
      </c>
      <c r="CB530" s="72">
        <f t="shared" si="2457"/>
        <v>4.0169133192388955</v>
      </c>
      <c r="CC530" s="160">
        <f>SUM(CC527:CC529)</f>
        <v>458</v>
      </c>
      <c r="CD530" s="72">
        <f t="shared" si="2458"/>
        <v>3.1531531531531414</v>
      </c>
      <c r="CE530" s="160">
        <f>SUM(CE527:CE529)</f>
        <v>454</v>
      </c>
      <c r="CF530" s="72">
        <f t="shared" si="2459"/>
        <v>3.4168564920273354</v>
      </c>
      <c r="CG530" s="160">
        <f>SUM(CG527:CG529)</f>
        <v>428</v>
      </c>
      <c r="CH530" s="72">
        <f t="shared" si="2460"/>
        <v>-6.753812636165577</v>
      </c>
      <c r="CI530" s="160">
        <f>SUM(CI527:CI529)</f>
        <v>495</v>
      </c>
      <c r="CJ530" s="72">
        <f t="shared" si="2461"/>
        <v>0.60975609756097526</v>
      </c>
      <c r="CK530" s="160">
        <f>SUM(CK527:CK529)</f>
        <v>472</v>
      </c>
      <c r="CL530" s="72">
        <f t="shared" si="2462"/>
        <v>3.0567685589519584</v>
      </c>
      <c r="CM530" s="160">
        <f>SUM(CM527:CM529)</f>
        <v>540.1</v>
      </c>
      <c r="CN530" s="72">
        <f t="shared" si="2463"/>
        <v>18.964757709251103</v>
      </c>
      <c r="CO530" s="160">
        <f>SUM(CO527:CO529)</f>
        <v>579</v>
      </c>
      <c r="CP530" s="72">
        <f t="shared" si="2464"/>
        <v>35.280373831775705</v>
      </c>
      <c r="CQ530" s="160">
        <f>SUM(CQ527:CQ529)</f>
        <v>619</v>
      </c>
      <c r="CR530" s="72">
        <f t="shared" si="2465"/>
        <v>25.050505050505052</v>
      </c>
      <c r="CS530" s="160">
        <f>SUM(CS527:CS529)</f>
        <v>596</v>
      </c>
      <c r="CT530" s="72">
        <f t="shared" si="2466"/>
        <v>26.271186440677965</v>
      </c>
      <c r="CU530" s="160">
        <f>SUM(CU527:CU529)</f>
        <v>654</v>
      </c>
      <c r="CV530" s="72">
        <f t="shared" si="2467"/>
        <v>21.088687280133314</v>
      </c>
      <c r="CW530" s="160">
        <f>SUM(CW527:CW529)</f>
        <v>716</v>
      </c>
      <c r="CX530" s="72">
        <f t="shared" si="2468"/>
        <v>23.661485319516416</v>
      </c>
      <c r="CY530" s="160">
        <f>SUM(CY527:CY529)</f>
        <v>736</v>
      </c>
      <c r="CZ530" s="72">
        <f t="shared" si="2469"/>
        <v>18.901453957996765</v>
      </c>
      <c r="DA530" s="160">
        <f>SUM(DA527:DA529)</f>
        <v>657</v>
      </c>
      <c r="DB530" s="72">
        <f t="shared" si="2470"/>
        <v>10.234899328859058</v>
      </c>
      <c r="DC530" s="160">
        <f>SUM(DC527:DC529)</f>
        <v>814</v>
      </c>
      <c r="DD530" s="72">
        <f t="shared" si="2471"/>
        <v>24.464831804281346</v>
      </c>
      <c r="DE530" s="160">
        <f>SUM(DE527:DE529)</f>
        <v>799</v>
      </c>
      <c r="DF530" s="72">
        <f t="shared" si="2472"/>
        <v>11.592178770949715</v>
      </c>
      <c r="DG530" s="160">
        <f>SUM(DG527:DG529)</f>
        <v>875</v>
      </c>
      <c r="DH530" s="72">
        <f t="shared" si="2473"/>
        <v>18.885869565217376</v>
      </c>
      <c r="DI530" s="160">
        <f>SUM(DI527:DI529)</f>
        <v>759</v>
      </c>
      <c r="DJ530" s="72">
        <f t="shared" si="2474"/>
        <v>15.525114155251146</v>
      </c>
      <c r="DK530" s="160">
        <f>SUM(DK527:DK529)</f>
        <v>853</v>
      </c>
      <c r="DL530" s="72">
        <f t="shared" si="2475"/>
        <v>4.7911547911547956</v>
      </c>
      <c r="DM530" s="160">
        <f>SUM(DM527:DM529)</f>
        <v>884</v>
      </c>
      <c r="DN530" s="72">
        <f t="shared" si="2476"/>
        <v>10.638297872340431</v>
      </c>
      <c r="DO530" s="160">
        <f>SUM(DO527:DO529)</f>
        <v>843</v>
      </c>
      <c r="DP530" s="72">
        <f t="shared" si="2476"/>
        <v>-3.6571428571428584</v>
      </c>
      <c r="DQ530" s="160">
        <f>SUM(DQ527:DQ529)</f>
        <v>767</v>
      </c>
      <c r="DR530" s="72">
        <f t="shared" si="2476"/>
        <v>1.0540184453227965</v>
      </c>
      <c r="DS530" s="160">
        <f>SUM(DS527:DS529)</f>
        <v>834</v>
      </c>
      <c r="DT530" s="72">
        <f t="shared" si="2476"/>
        <v>-2.2274325908557984</v>
      </c>
      <c r="DU530" s="160">
        <f>SUM(DU527:DU529)</f>
        <v>863</v>
      </c>
      <c r="DV530" s="72">
        <f t="shared" si="2476"/>
        <v>-2.3755656108597378</v>
      </c>
      <c r="DW530" s="160">
        <f>SUM(DW527:DW529)</f>
        <v>812</v>
      </c>
      <c r="DX530" s="72">
        <f t="shared" si="2476"/>
        <v>-3.6773428232502994</v>
      </c>
      <c r="DY530" s="160">
        <f>SUM(DY527:DY529)</f>
        <v>738</v>
      </c>
      <c r="DZ530" s="72">
        <f t="shared" si="2476"/>
        <v>-3.7809647979139527</v>
      </c>
      <c r="EA530" s="160">
        <f>SUM(EA527:EA529)</f>
        <v>779</v>
      </c>
      <c r="EB530" s="72">
        <f t="shared" si="2477"/>
        <v>-6.5947242206235046</v>
      </c>
      <c r="EC530" s="160">
        <f>SUM(EC527:EC529)</f>
        <v>837</v>
      </c>
      <c r="ED530" s="72">
        <f t="shared" si="2478"/>
        <v>-3.0127462340672082</v>
      </c>
      <c r="EE530" s="160">
        <f>SUM(EE527:EE529)</f>
        <v>780</v>
      </c>
      <c r="EF530" s="72">
        <f t="shared" si="2479"/>
        <v>-3.9408866995073879</v>
      </c>
      <c r="EG530" s="160">
        <f>SUM(EG527:EG529)</f>
        <v>755</v>
      </c>
      <c r="EH530" s="72">
        <f t="shared" si="2480"/>
        <v>2.3035230352303557</v>
      </c>
      <c r="EI530" s="160">
        <f>SUM(EI527:EI529)</f>
        <v>799</v>
      </c>
      <c r="EJ530" s="72">
        <f t="shared" si="2481"/>
        <v>2.5673940949935741</v>
      </c>
      <c r="EK530" s="160">
        <f>SUM(EK527:EK529)</f>
        <v>869</v>
      </c>
      <c r="EL530" s="72">
        <f t="shared" si="2482"/>
        <v>3.823178016726402</v>
      </c>
      <c r="EM530" s="160">
        <f>SUM(EM527:EM529)</f>
        <v>799</v>
      </c>
      <c r="EN530" s="72">
        <f t="shared" si="2483"/>
        <v>2.4358974358974308</v>
      </c>
      <c r="EO530" s="160">
        <f>SUM(EO527:EO529)</f>
        <v>777</v>
      </c>
      <c r="EP530" s="72">
        <f t="shared" si="2484"/>
        <v>2.9139072847682144</v>
      </c>
      <c r="EQ530" s="162">
        <f t="shared" ref="EQ530" si="2519">SUM(EQ527:EQ529)</f>
        <v>852.70015794827032</v>
      </c>
      <c r="ER530" s="72">
        <f t="shared" si="2485"/>
        <v>6.7209208946521102</v>
      </c>
      <c r="ES530" s="162">
        <f t="shared" ref="ES530" si="2520">SUM(ES527:ES529)</f>
        <v>843.72876065871833</v>
      </c>
      <c r="ET530" s="72">
        <f t="shared" si="2486"/>
        <v>-2.908082778053128</v>
      </c>
      <c r="EU530" s="162">
        <f t="shared" ref="EU530" si="2521">SUM(EU527:EU529)</f>
        <v>813.91301517947613</v>
      </c>
      <c r="EV530" s="72">
        <f t="shared" si="2487"/>
        <v>1.8664599724000226</v>
      </c>
      <c r="EW530" s="162">
        <f t="shared" ref="EW530" si="2522">SUM(EW527:EW529)</f>
        <v>800.66413558558588</v>
      </c>
      <c r="EX530" s="72">
        <f t="shared" si="2488"/>
        <v>3.045577295442186</v>
      </c>
      <c r="EY530" s="72"/>
      <c r="EZ530" s="332"/>
      <c r="FA530" s="72"/>
      <c r="FB530" s="160"/>
      <c r="FC530" s="166"/>
      <c r="FD530" s="162">
        <f>SUM(FD527:FD529)</f>
        <v>233</v>
      </c>
      <c r="FE530" s="72" t="str">
        <f t="shared" si="2489"/>
        <v>NA</v>
      </c>
      <c r="FF530" s="162">
        <f>SUM(FF527:FF529)</f>
        <v>322</v>
      </c>
      <c r="FG530" s="72">
        <f t="shared" si="2490"/>
        <v>38.19742489270385</v>
      </c>
      <c r="FH530" s="162">
        <f>SUM(FH527:FH529)</f>
        <v>651</v>
      </c>
      <c r="FI530" s="72" t="str">
        <f t="shared" si="2491"/>
        <v>NM</v>
      </c>
      <c r="FJ530" s="162">
        <f>SUM(FJ527:FJ529)</f>
        <v>751</v>
      </c>
      <c r="FK530" s="72">
        <f t="shared" si="2492"/>
        <v>15.360983102918581</v>
      </c>
      <c r="FL530" s="162">
        <f>SUM(FL527:FL529)</f>
        <v>818</v>
      </c>
      <c r="FM530" s="72">
        <f t="shared" si="2493"/>
        <v>8.9214380825565911</v>
      </c>
      <c r="FN530" s="162">
        <f>SUM(FN527:FN529)</f>
        <v>1013</v>
      </c>
      <c r="FO530" s="72">
        <f t="shared" si="2501"/>
        <v>23.838630806845956</v>
      </c>
      <c r="FP530" s="162">
        <f>SUM(FP527:FP529)</f>
        <v>1366</v>
      </c>
      <c r="FQ530" s="72">
        <f t="shared" si="2513"/>
        <v>34.846989141164869</v>
      </c>
      <c r="FR530" s="162">
        <f>SUM(FR527:FR529)</f>
        <v>1541</v>
      </c>
      <c r="FS530" s="72">
        <f t="shared" si="2514"/>
        <v>12.811127379209381</v>
      </c>
      <c r="FT530" s="162">
        <f>SUM(FT527:FT529)</f>
        <v>1830</v>
      </c>
      <c r="FU530" s="72">
        <f t="shared" si="2515"/>
        <v>18.754055807916941</v>
      </c>
      <c r="FV530" s="162">
        <f>SUM(FV527:FV529)</f>
        <v>1228</v>
      </c>
      <c r="FW530" s="72">
        <f t="shared" si="2516"/>
        <v>-32.896174863387984</v>
      </c>
      <c r="FX530" s="162">
        <f>SUM(FX527:FX529)</f>
        <v>1657</v>
      </c>
      <c r="FY530" s="72">
        <f t="shared" si="2517"/>
        <v>34.934853420195452</v>
      </c>
      <c r="FZ530" s="162">
        <f>SUM(FZ527:FZ529)</f>
        <v>1849</v>
      </c>
      <c r="GA530" s="72">
        <f t="shared" si="2518"/>
        <v>11.587205793602905</v>
      </c>
      <c r="GB530" s="162">
        <f>SUM(GB527:GB529)</f>
        <v>2334.1</v>
      </c>
      <c r="GC530" s="72">
        <f t="shared" si="2494"/>
        <v>26.235803136830711</v>
      </c>
      <c r="GD530" s="162">
        <f>SUM(GD527:GD529)</f>
        <v>2763</v>
      </c>
      <c r="GE530" s="72">
        <f t="shared" si="2495"/>
        <v>18.375390942975883</v>
      </c>
      <c r="GF530" s="162">
        <f>SUM(GF527:GF529)</f>
        <v>3247</v>
      </c>
      <c r="GG530" s="72">
        <f t="shared" si="2495"/>
        <v>17.517191458559552</v>
      </c>
      <c r="GH530" s="162">
        <f>SUM(GH527:GH529)</f>
        <v>3347</v>
      </c>
      <c r="GI530" s="72">
        <f t="shared" si="2496"/>
        <v>3.0797659377887356</v>
      </c>
      <c r="GJ530" s="162">
        <f>SUM(GJ527:GJ529)</f>
        <v>3247</v>
      </c>
      <c r="GK530" s="72">
        <f t="shared" si="2496"/>
        <v>-2.9877502240812674</v>
      </c>
      <c r="GL530" s="162">
        <f>SUM(GL527:GL529)</f>
        <v>3151</v>
      </c>
      <c r="GM530" s="72">
        <f t="shared" si="2496"/>
        <v>-2.95657530027718</v>
      </c>
      <c r="GN530" s="162">
        <f>SUM(GN527:GN529)</f>
        <v>3244</v>
      </c>
      <c r="GO530" s="72">
        <f t="shared" si="2496"/>
        <v>2.9514439860361676</v>
      </c>
      <c r="GP530" s="162">
        <f>SUM(GP527:GP529)</f>
        <v>3311.0060693720498</v>
      </c>
      <c r="GQ530" s="72">
        <f t="shared" si="2496"/>
        <v>2.0655385133184296</v>
      </c>
      <c r="GR530" s="162">
        <f>SUM(GR527:GR529)</f>
        <v>3389.2492724567583</v>
      </c>
      <c r="GS530" s="72">
        <f t="shared" si="2496"/>
        <v>2.3631247253964602</v>
      </c>
      <c r="GT530" s="162">
        <f>SUM(GT527:GT529)</f>
        <v>3458.8291229184088</v>
      </c>
      <c r="GU530" s="72">
        <f t="shared" si="2496"/>
        <v>2.0529575982239265</v>
      </c>
      <c r="GV530" s="162">
        <f>SUM(GV527:GV529)</f>
        <v>3530.8931708941545</v>
      </c>
      <c r="GW530" s="72">
        <f t="shared" si="2497"/>
        <v>2.0834810109075619</v>
      </c>
      <c r="GX530" s="162">
        <f>SUM(GX527:GX529)</f>
        <v>3605.5345196065246</v>
      </c>
      <c r="GY530" s="72">
        <f t="shared" si="2498"/>
        <v>2.1139509211905079</v>
      </c>
      <c r="GZ530" s="72">
        <f t="shared" si="2499"/>
        <v>2.135745325800964</v>
      </c>
      <c r="HA530" s="72"/>
      <c r="HB530" s="72"/>
      <c r="HC530"/>
      <c r="HD530"/>
      <c r="HE530"/>
      <c r="HF530"/>
      <c r="HG530"/>
      <c r="HH530"/>
      <c r="HI530" s="2"/>
    </row>
    <row r="531" spans="1:217" s="3" customFormat="1" ht="12.75" customHeight="1" x14ac:dyDescent="0.2">
      <c r="A531" s="3" t="s">
        <v>122</v>
      </c>
      <c r="B531" s="10" t="s">
        <v>112</v>
      </c>
      <c r="C531" s="145">
        <f>C490</f>
        <v>0</v>
      </c>
      <c r="D531" s="367"/>
      <c r="E531" s="145">
        <f>E490</f>
        <v>0</v>
      </c>
      <c r="F531" s="367"/>
      <c r="G531" s="145">
        <f>G490</f>
        <v>0</v>
      </c>
      <c r="H531" s="367"/>
      <c r="I531" s="145">
        <f>I490</f>
        <v>0</v>
      </c>
      <c r="J531" s="367"/>
      <c r="K531" s="145">
        <f>K490</f>
        <v>-1</v>
      </c>
      <c r="L531" s="72" t="str">
        <f t="shared" si="2434"/>
        <v>NA</v>
      </c>
      <c r="M531" s="145">
        <f>M490</f>
        <v>76</v>
      </c>
      <c r="N531" s="72" t="str">
        <f t="shared" si="2435"/>
        <v>NA</v>
      </c>
      <c r="O531" s="145">
        <f>O490</f>
        <v>-1</v>
      </c>
      <c r="P531" s="72" t="str">
        <f t="shared" si="2436"/>
        <v>NA</v>
      </c>
      <c r="Q531" s="145">
        <f>Q490</f>
        <v>-12</v>
      </c>
      <c r="R531" s="72" t="str">
        <f t="shared" si="2437"/>
        <v>NA</v>
      </c>
      <c r="S531" s="145">
        <f>S490</f>
        <v>10</v>
      </c>
      <c r="T531" s="72" t="str">
        <f t="shared" si="2438"/>
        <v>NM</v>
      </c>
      <c r="U531" s="145">
        <f>U490</f>
        <v>39</v>
      </c>
      <c r="V531" s="72">
        <f t="shared" si="2439"/>
        <v>-48.684210526315788</v>
      </c>
      <c r="W531" s="145">
        <f>W490</f>
        <v>112</v>
      </c>
      <c r="X531" s="72" t="str">
        <f t="shared" si="2440"/>
        <v>NM</v>
      </c>
      <c r="Y531" s="145">
        <f>Y490</f>
        <v>-1</v>
      </c>
      <c r="Z531" s="72" t="str">
        <f t="shared" si="2441"/>
        <v>NM</v>
      </c>
      <c r="AA531" s="145">
        <f>AA490</f>
        <v>18</v>
      </c>
      <c r="AB531" s="72">
        <f t="shared" si="2442"/>
        <v>80</v>
      </c>
      <c r="AC531" s="145">
        <f>AC490</f>
        <v>-1</v>
      </c>
      <c r="AD531" s="72" t="str">
        <f t="shared" si="2443"/>
        <v>NM</v>
      </c>
      <c r="AE531" s="145">
        <f>AE490</f>
        <v>32</v>
      </c>
      <c r="AF531" s="72" t="str">
        <f t="shared" si="2444"/>
        <v>NM</v>
      </c>
      <c r="AG531" s="145">
        <f>AG490</f>
        <v>42</v>
      </c>
      <c r="AH531" s="72" t="str">
        <f t="shared" si="2445"/>
        <v>NM</v>
      </c>
      <c r="AI531" s="145">
        <f>AI490</f>
        <v>23</v>
      </c>
      <c r="AJ531" s="72">
        <f t="shared" si="2446"/>
        <v>27.777777777777771</v>
      </c>
      <c r="AK531" s="145">
        <f>AK490</f>
        <v>69</v>
      </c>
      <c r="AL531" s="72" t="str">
        <f t="shared" si="2447"/>
        <v>NM</v>
      </c>
      <c r="AM531" s="145">
        <f>AM490</f>
        <v>57</v>
      </c>
      <c r="AN531" s="72">
        <f t="shared" si="2448"/>
        <v>78.125</v>
      </c>
      <c r="AO531" s="145">
        <f>AO490</f>
        <v>45</v>
      </c>
      <c r="AP531" s="72">
        <f t="shared" si="2449"/>
        <v>7.1428571428571388</v>
      </c>
      <c r="AQ531" s="145">
        <f>AQ490</f>
        <v>17</v>
      </c>
      <c r="AR531" s="72">
        <f t="shared" si="2450"/>
        <v>-26.08695652173914</v>
      </c>
      <c r="AS531" s="145">
        <f>AS490</f>
        <v>59</v>
      </c>
      <c r="AT531" s="72">
        <f t="shared" si="2451"/>
        <v>-14.492753623188406</v>
      </c>
      <c r="AU531" s="145">
        <f>AU490</f>
        <v>50</v>
      </c>
      <c r="AV531" s="72">
        <f t="shared" si="2452"/>
        <v>-12.280701754385973</v>
      </c>
      <c r="AW531" s="145">
        <f>AW490</f>
        <v>46</v>
      </c>
      <c r="AX531" s="72">
        <f t="shared" si="2453"/>
        <v>2.2222222222222143</v>
      </c>
      <c r="AY531" s="145">
        <f>AY490</f>
        <v>16</v>
      </c>
      <c r="AZ531" s="72">
        <f t="shared" si="2502"/>
        <v>-5.8823529411764781</v>
      </c>
      <c r="BA531" s="145">
        <f>BA490</f>
        <v>40</v>
      </c>
      <c r="BB531" s="72">
        <f t="shared" si="2503"/>
        <v>-32.203389830508485</v>
      </c>
      <c r="BC531" s="145">
        <f>BC490</f>
        <v>4</v>
      </c>
      <c r="BD531" s="72" t="str">
        <f t="shared" si="2504"/>
        <v>NM</v>
      </c>
      <c r="BE531" s="145">
        <f>BE490</f>
        <v>-32</v>
      </c>
      <c r="BF531" s="72" t="str">
        <f t="shared" si="2454"/>
        <v>NM</v>
      </c>
      <c r="BG531" s="145">
        <f>BG490</f>
        <v>-17.400000000000006</v>
      </c>
      <c r="BH531" s="72" t="str">
        <f t="shared" si="2505"/>
        <v>NM</v>
      </c>
      <c r="BI531" s="145">
        <f>BI490</f>
        <v>-27</v>
      </c>
      <c r="BJ531" s="72" t="str">
        <f t="shared" si="2506"/>
        <v>NM</v>
      </c>
      <c r="BK531" s="145">
        <f>BK490</f>
        <v>-24</v>
      </c>
      <c r="BL531" s="72" t="str">
        <f t="shared" si="2507"/>
        <v>NM</v>
      </c>
      <c r="BM531" s="145">
        <f>BM490</f>
        <v>-46</v>
      </c>
      <c r="BN531" s="72">
        <f t="shared" si="2508"/>
        <v>43.75</v>
      </c>
      <c r="BO531" s="145">
        <f>BO490</f>
        <v>-51</v>
      </c>
      <c r="BP531" s="72" t="str">
        <f t="shared" si="2509"/>
        <v>NM</v>
      </c>
      <c r="BQ531" s="145">
        <f>BQ490</f>
        <v>-20</v>
      </c>
      <c r="BR531" s="72">
        <f t="shared" si="2510"/>
        <v>-25.925925925925924</v>
      </c>
      <c r="BS531" s="145">
        <f>BS490</f>
        <v>-40</v>
      </c>
      <c r="BT531" s="72">
        <f t="shared" si="2511"/>
        <v>66.666666666666686</v>
      </c>
      <c r="BU531" s="145">
        <f>BU490</f>
        <v>-223</v>
      </c>
      <c r="BV531" s="72" t="str">
        <f t="shared" si="2512"/>
        <v>NM</v>
      </c>
      <c r="BW531" s="145">
        <f>BW490</f>
        <v>-213</v>
      </c>
      <c r="BX531" s="72" t="str">
        <f t="shared" si="2455"/>
        <v>NM</v>
      </c>
      <c r="BY531" s="145">
        <f>BY490</f>
        <v>-176</v>
      </c>
      <c r="BZ531" s="72" t="str">
        <f t="shared" si="2456"/>
        <v>NM</v>
      </c>
      <c r="CA531" s="145">
        <f>CA490</f>
        <v>-209</v>
      </c>
      <c r="CB531" s="72" t="str">
        <f t="shared" si="2457"/>
        <v>NM</v>
      </c>
      <c r="CC531" s="145">
        <f>CC490</f>
        <v>-226</v>
      </c>
      <c r="CD531" s="72">
        <f t="shared" si="2458"/>
        <v>1.3452914798206308</v>
      </c>
      <c r="CE531" s="145">
        <f>CE490</f>
        <v>-211</v>
      </c>
      <c r="CF531" s="72">
        <f t="shared" si="2459"/>
        <v>-0.93896713615023941</v>
      </c>
      <c r="CG531" s="145">
        <f>CG490</f>
        <v>-191</v>
      </c>
      <c r="CH531" s="72">
        <f t="shared" si="2460"/>
        <v>8.5227272727272663</v>
      </c>
      <c r="CI531" s="145">
        <f>CI490</f>
        <v>-298</v>
      </c>
      <c r="CJ531" s="72">
        <f t="shared" si="2461"/>
        <v>42.583732057416256</v>
      </c>
      <c r="CK531" s="145">
        <f>CK490</f>
        <v>-249</v>
      </c>
      <c r="CL531" s="72">
        <f t="shared" si="2462"/>
        <v>10.17699115044249</v>
      </c>
      <c r="CM531" s="145">
        <f>CM490</f>
        <v>-269</v>
      </c>
      <c r="CN531" s="72">
        <f t="shared" si="2463"/>
        <v>27.488151658767762</v>
      </c>
      <c r="CO531" s="145">
        <f>CO490</f>
        <v>-237</v>
      </c>
      <c r="CP531" s="72">
        <f t="shared" si="2464"/>
        <v>24.083769633507842</v>
      </c>
      <c r="CQ531" s="145">
        <f>CQ490</f>
        <v>-230</v>
      </c>
      <c r="CR531" s="72">
        <f t="shared" si="2465"/>
        <v>-22.818791946308721</v>
      </c>
      <c r="CS531" s="145">
        <f>CS490</f>
        <v>-285</v>
      </c>
      <c r="CT531" s="72">
        <f t="shared" si="2466"/>
        <v>14.457831325301214</v>
      </c>
      <c r="CU531" s="145">
        <f>CU490</f>
        <v>-326</v>
      </c>
      <c r="CV531" s="72">
        <f t="shared" si="2467"/>
        <v>21.189591078066911</v>
      </c>
      <c r="CW531" s="145">
        <f>CW490</f>
        <v>-225</v>
      </c>
      <c r="CX531" s="72">
        <f t="shared" si="2468"/>
        <v>-5.0632911392405049</v>
      </c>
      <c r="CY531" s="145">
        <f>CY490</f>
        <v>-320</v>
      </c>
      <c r="CZ531" s="72">
        <f t="shared" si="2469"/>
        <v>39.130434782608688</v>
      </c>
      <c r="DA531" s="145">
        <f>DA490</f>
        <v>-303</v>
      </c>
      <c r="DB531" s="72">
        <f t="shared" si="2470"/>
        <v>6.3157894736842053</v>
      </c>
      <c r="DC531" s="145">
        <f>DC490</f>
        <v>-303</v>
      </c>
      <c r="DD531" s="72">
        <f t="shared" si="2471"/>
        <v>-7.0552147239263832</v>
      </c>
      <c r="DE531" s="145">
        <f>DE490</f>
        <v>-331</v>
      </c>
      <c r="DF531" s="72">
        <f t="shared" si="2472"/>
        <v>47.111111111111114</v>
      </c>
      <c r="DG531" s="145">
        <f>DG490</f>
        <v>-312</v>
      </c>
      <c r="DH531" s="72">
        <f t="shared" si="2473"/>
        <v>-2.5</v>
      </c>
      <c r="DI531" s="145">
        <f>DI490</f>
        <v>-397</v>
      </c>
      <c r="DJ531" s="72">
        <f t="shared" si="2474"/>
        <v>31.023102310231025</v>
      </c>
      <c r="DK531" s="145">
        <f>DK490</f>
        <v>-342</v>
      </c>
      <c r="DL531" s="72">
        <f t="shared" si="2475"/>
        <v>12.871287128712865</v>
      </c>
      <c r="DM531" s="145">
        <f>DM490</f>
        <v>-341</v>
      </c>
      <c r="DN531" s="72">
        <f t="shared" si="2476"/>
        <v>3.021148036253777</v>
      </c>
      <c r="DO531" s="145">
        <f>DO490</f>
        <v>-320</v>
      </c>
      <c r="DP531" s="72">
        <f t="shared" si="2476"/>
        <v>2.564102564102555</v>
      </c>
      <c r="DQ531" s="145">
        <f>DQ490</f>
        <v>-326</v>
      </c>
      <c r="DR531" s="72">
        <f t="shared" si="2476"/>
        <v>-17.884130982367765</v>
      </c>
      <c r="DS531" s="145">
        <f>DS490</f>
        <v>-253</v>
      </c>
      <c r="DT531" s="72">
        <f t="shared" si="2476"/>
        <v>-26.023391812865498</v>
      </c>
      <c r="DU531" s="145">
        <f>DU490</f>
        <v>-305</v>
      </c>
      <c r="DV531" s="72">
        <f t="shared" si="2476"/>
        <v>-10.557184750733143</v>
      </c>
      <c r="DW531" s="145">
        <f>DW490</f>
        <v>-308</v>
      </c>
      <c r="DX531" s="72">
        <f t="shared" si="2476"/>
        <v>-3.75</v>
      </c>
      <c r="DY531" s="145">
        <f>DY490</f>
        <v>-378.5</v>
      </c>
      <c r="DZ531" s="72">
        <f t="shared" si="2476"/>
        <v>16.104294478527621</v>
      </c>
      <c r="EA531" s="145">
        <f>EA490</f>
        <v>-312</v>
      </c>
      <c r="EB531" s="72">
        <f t="shared" si="2477"/>
        <v>23.320158102766797</v>
      </c>
      <c r="EC531" s="145">
        <f>EC490</f>
        <v>-376</v>
      </c>
      <c r="ED531" s="72">
        <f t="shared" si="2478"/>
        <v>23.278688524590166</v>
      </c>
      <c r="EE531" s="145">
        <f>EE490</f>
        <v>-413</v>
      </c>
      <c r="EF531" s="72">
        <f t="shared" si="2479"/>
        <v>34.090909090909093</v>
      </c>
      <c r="EG531" s="145">
        <f>EG490</f>
        <v>-441</v>
      </c>
      <c r="EH531" s="72">
        <f t="shared" si="2480"/>
        <v>16.512549537648596</v>
      </c>
      <c r="EI531" s="145">
        <f>EI490</f>
        <v>-352</v>
      </c>
      <c r="EJ531" s="72">
        <f t="shared" si="2481"/>
        <v>12.820512820512818</v>
      </c>
      <c r="EK531" s="145">
        <f>EK490</f>
        <v>-308</v>
      </c>
      <c r="EL531" s="72">
        <f t="shared" si="2482"/>
        <v>-18.085106382978722</v>
      </c>
      <c r="EM531" s="145">
        <f>EM490</f>
        <v>-310</v>
      </c>
      <c r="EN531" s="72">
        <f t="shared" si="2483"/>
        <v>-24.939467312348668</v>
      </c>
      <c r="EO531" s="145">
        <f>EO490</f>
        <v>-451</v>
      </c>
      <c r="EP531" s="72">
        <f t="shared" si="2484"/>
        <v>2.2675736961451207</v>
      </c>
      <c r="EQ531" s="144">
        <f>EQ490</f>
        <v>-360</v>
      </c>
      <c r="ER531" s="72">
        <f t="shared" si="2485"/>
        <v>2.2727272727272663</v>
      </c>
      <c r="ES531" s="144">
        <f>ES490</f>
        <v>-340</v>
      </c>
      <c r="ET531" s="72">
        <f t="shared" si="2486"/>
        <v>10.389610389610397</v>
      </c>
      <c r="EU531" s="144">
        <f>EU490</f>
        <v>-320</v>
      </c>
      <c r="EV531" s="72">
        <f t="shared" si="2487"/>
        <v>3.2258064516128968</v>
      </c>
      <c r="EW531" s="144">
        <f>EW490</f>
        <v>-430</v>
      </c>
      <c r="EX531" s="72">
        <f t="shared" si="2488"/>
        <v>-4.6563192904656319</v>
      </c>
      <c r="EY531" s="72"/>
      <c r="EZ531" s="296"/>
      <c r="FA531" s="72"/>
      <c r="FB531" s="145"/>
      <c r="FC531" s="367"/>
      <c r="FD531" s="144">
        <f>FD490</f>
        <v>185</v>
      </c>
      <c r="FE531" s="72" t="str">
        <f t="shared" si="2489"/>
        <v>NA</v>
      </c>
      <c r="FF531" s="144">
        <f>FF490</f>
        <v>38</v>
      </c>
      <c r="FG531" s="72" t="str">
        <f t="shared" si="2490"/>
        <v>NM</v>
      </c>
      <c r="FH531" s="144">
        <f>FH490</f>
        <v>62</v>
      </c>
      <c r="FI531" s="72">
        <f t="shared" si="2491"/>
        <v>63.15789473684211</v>
      </c>
      <c r="FJ531" s="144">
        <f>FJ490</f>
        <v>160</v>
      </c>
      <c r="FK531" s="72" t="str">
        <f t="shared" si="2492"/>
        <v>NM</v>
      </c>
      <c r="FL531" s="144">
        <f>FL490</f>
        <v>91</v>
      </c>
      <c r="FM531" s="72">
        <f t="shared" si="2493"/>
        <v>-43.125</v>
      </c>
      <c r="FN531" s="144">
        <f>FN490</f>
        <v>194</v>
      </c>
      <c r="FO531" s="72" t="str">
        <f t="shared" si="2501"/>
        <v>NM</v>
      </c>
      <c r="FP531" s="144">
        <f>FP490</f>
        <v>172</v>
      </c>
      <c r="FQ531" s="72">
        <f t="shared" si="2513"/>
        <v>-11.340206185567013</v>
      </c>
      <c r="FR531" s="144">
        <f>FR490</f>
        <v>28</v>
      </c>
      <c r="FS531" s="72" t="str">
        <f t="shared" si="2514"/>
        <v>NM</v>
      </c>
      <c r="FT531" s="144">
        <f>FT490</f>
        <v>-114.39999999999998</v>
      </c>
      <c r="FU531" s="72" t="str">
        <f t="shared" si="2515"/>
        <v>NM</v>
      </c>
      <c r="FV531" s="144">
        <f>FV490</f>
        <v>-182</v>
      </c>
      <c r="FW531" s="72">
        <f t="shared" si="2516"/>
        <v>59.090909090909122</v>
      </c>
      <c r="FX531" s="144">
        <f>FX490</f>
        <v>-788</v>
      </c>
      <c r="FY531" s="72" t="str">
        <f t="shared" si="2517"/>
        <v>NM</v>
      </c>
      <c r="FZ531" s="144">
        <f>FZ490</f>
        <v>-949</v>
      </c>
      <c r="GA531" s="72">
        <f t="shared" si="2518"/>
        <v>20.431472081218274</v>
      </c>
      <c r="GB531" s="144">
        <f>GB490</f>
        <v>-1021</v>
      </c>
      <c r="GC531" s="72">
        <f t="shared" si="2494"/>
        <v>7.5869336143308743</v>
      </c>
      <c r="GD531" s="144">
        <f>GD490</f>
        <v>-1174</v>
      </c>
      <c r="GE531" s="72">
        <f t="shared" si="2495"/>
        <v>14.985308521057789</v>
      </c>
      <c r="GF531" s="144">
        <f>GF490</f>
        <v>-1343</v>
      </c>
      <c r="GG531" s="72">
        <f t="shared" si="2495"/>
        <v>14.395229982964224</v>
      </c>
      <c r="GH531" s="144">
        <f>GH490</f>
        <v>-1329</v>
      </c>
      <c r="GI531" s="72">
        <f t="shared" si="2496"/>
        <v>-1.0424422933730426</v>
      </c>
      <c r="GJ531" s="144">
        <f>GJ490</f>
        <v>-1244.5</v>
      </c>
      <c r="GK531" s="72">
        <f t="shared" si="2496"/>
        <v>-6.3581640331075988</v>
      </c>
      <c r="GL531" s="144">
        <f>GL490</f>
        <v>-1542</v>
      </c>
      <c r="GM531" s="72">
        <f t="shared" si="2496"/>
        <v>23.905182804339091</v>
      </c>
      <c r="GN531" s="144">
        <f>GN490</f>
        <v>-1421</v>
      </c>
      <c r="GO531" s="72">
        <f t="shared" si="2496"/>
        <v>-7.8469520103761425</v>
      </c>
      <c r="GP531" s="144">
        <f>GP490</f>
        <v>-1450</v>
      </c>
      <c r="GQ531" s="72">
        <f t="shared" si="2496"/>
        <v>2.0408163265306172</v>
      </c>
      <c r="GR531" s="144">
        <f>GR490</f>
        <v>-1500.7499999999998</v>
      </c>
      <c r="GS531" s="72">
        <f t="shared" si="2496"/>
        <v>3.4999999999999858</v>
      </c>
      <c r="GT531" s="144">
        <f>GT490</f>
        <v>-1545.7724999999998</v>
      </c>
      <c r="GU531" s="72">
        <f t="shared" si="2496"/>
        <v>3</v>
      </c>
      <c r="GV531" s="144">
        <f>GV490</f>
        <v>-1592.1456749999998</v>
      </c>
      <c r="GW531" s="72">
        <f t="shared" si="2497"/>
        <v>3</v>
      </c>
      <c r="GX531" s="144">
        <f>GX490</f>
        <v>-1641.5021909249997</v>
      </c>
      <c r="GY531" s="72">
        <f t="shared" si="2498"/>
        <v>3.0999999999999943</v>
      </c>
      <c r="GZ531" s="72">
        <f t="shared" si="2499"/>
        <v>2.9270386600572351</v>
      </c>
      <c r="HA531" s="72"/>
      <c r="HB531" s="72"/>
      <c r="HC531"/>
      <c r="HD531"/>
      <c r="HE531"/>
      <c r="HF531"/>
      <c r="HG531"/>
      <c r="HH531"/>
      <c r="HI531" s="2"/>
    </row>
    <row r="532" spans="1:217" s="3" customFormat="1" ht="12.75" customHeight="1" x14ac:dyDescent="0.2">
      <c r="B532" s="10"/>
      <c r="C532" s="145"/>
      <c r="D532" s="367"/>
      <c r="E532" s="145"/>
      <c r="F532" s="367"/>
      <c r="G532" s="145"/>
      <c r="H532" s="367"/>
      <c r="I532" s="145"/>
      <c r="J532" s="367"/>
      <c r="K532" s="145"/>
      <c r="L532" s="72"/>
      <c r="M532" s="145"/>
      <c r="N532" s="72"/>
      <c r="O532" s="145"/>
      <c r="P532" s="72"/>
      <c r="Q532" s="145"/>
      <c r="R532" s="72"/>
      <c r="S532" s="145"/>
      <c r="T532" s="72"/>
      <c r="U532" s="145"/>
      <c r="V532" s="72"/>
      <c r="W532" s="145"/>
      <c r="X532" s="72"/>
      <c r="Y532" s="145"/>
      <c r="Z532" s="72"/>
      <c r="AA532" s="145"/>
      <c r="AB532" s="72"/>
      <c r="AC532" s="145"/>
      <c r="AD532" s="72"/>
      <c r="AE532" s="145"/>
      <c r="AF532" s="72"/>
      <c r="AG532" s="145"/>
      <c r="AH532" s="72"/>
      <c r="AI532" s="145"/>
      <c r="AJ532" s="72"/>
      <c r="AK532" s="145"/>
      <c r="AL532" s="72"/>
      <c r="AM532" s="145"/>
      <c r="AN532" s="72"/>
      <c r="AO532" s="145"/>
      <c r="AP532" s="72"/>
      <c r="AQ532" s="145"/>
      <c r="AR532" s="72"/>
      <c r="AS532" s="145"/>
      <c r="AT532" s="72"/>
      <c r="AU532" s="145"/>
      <c r="AV532" s="72"/>
      <c r="AW532" s="145"/>
      <c r="AX532" s="72"/>
      <c r="AY532" s="145"/>
      <c r="AZ532" s="72"/>
      <c r="BA532" s="145"/>
      <c r="BB532" s="72"/>
      <c r="BC532" s="145"/>
      <c r="BD532" s="72"/>
      <c r="BE532" s="145"/>
      <c r="BF532" s="72"/>
      <c r="BG532" s="145"/>
      <c r="BH532" s="72"/>
      <c r="BI532" s="145"/>
      <c r="BJ532" s="72"/>
      <c r="BK532" s="145"/>
      <c r="BL532" s="72"/>
      <c r="BM532" s="145"/>
      <c r="BN532" s="72"/>
      <c r="BO532" s="145"/>
      <c r="BP532" s="72"/>
      <c r="BQ532" s="145"/>
      <c r="BR532" s="72"/>
      <c r="BS532" s="145"/>
      <c r="BT532" s="72"/>
      <c r="BU532" s="145"/>
      <c r="BV532" s="72"/>
      <c r="BW532" s="145"/>
      <c r="BX532" s="72"/>
      <c r="BY532" s="145"/>
      <c r="BZ532" s="72"/>
      <c r="CA532" s="145"/>
      <c r="CB532" s="72"/>
      <c r="CC532" s="145"/>
      <c r="CD532" s="72"/>
      <c r="CE532" s="145"/>
      <c r="CF532" s="72"/>
      <c r="CG532" s="145"/>
      <c r="CH532" s="72"/>
      <c r="CI532" s="145"/>
      <c r="CJ532" s="72"/>
      <c r="CK532" s="145"/>
      <c r="CL532" s="72"/>
      <c r="CM532" s="145"/>
      <c r="CN532" s="72"/>
      <c r="CO532" s="145"/>
      <c r="CP532" s="72"/>
      <c r="CQ532" s="145"/>
      <c r="CR532" s="72"/>
      <c r="CS532" s="145"/>
      <c r="CT532" s="72"/>
      <c r="CU532" s="145"/>
      <c r="CV532" s="72"/>
      <c r="CW532" s="145"/>
      <c r="CX532" s="72"/>
      <c r="CY532" s="145"/>
      <c r="CZ532" s="72"/>
      <c r="DA532" s="145"/>
      <c r="DB532" s="72"/>
      <c r="DC532" s="145"/>
      <c r="DD532" s="72"/>
      <c r="DE532" s="145"/>
      <c r="DF532" s="72"/>
      <c r="DG532" s="145"/>
      <c r="DH532" s="72"/>
      <c r="DI532" s="145"/>
      <c r="DJ532" s="72"/>
      <c r="DK532" s="145"/>
      <c r="DL532" s="72"/>
      <c r="DM532" s="145"/>
      <c r="DN532" s="72"/>
      <c r="DO532" s="145"/>
      <c r="DP532" s="72"/>
      <c r="DQ532" s="145"/>
      <c r="DR532" s="72"/>
      <c r="DS532" s="145"/>
      <c r="DT532" s="72"/>
      <c r="DU532" s="145"/>
      <c r="DV532" s="72"/>
      <c r="DW532" s="144"/>
      <c r="DX532" s="72"/>
      <c r="DY532" s="144"/>
      <c r="DZ532" s="72"/>
      <c r="EA532" s="144"/>
      <c r="EB532" s="72"/>
      <c r="EC532" s="144"/>
      <c r="ED532" s="72"/>
      <c r="EE532" s="144"/>
      <c r="EF532" s="72"/>
      <c r="EG532" s="144"/>
      <c r="EH532" s="72"/>
      <c r="EI532" s="144"/>
      <c r="EJ532" s="72"/>
      <c r="EK532" s="144"/>
      <c r="EL532" s="72"/>
      <c r="EM532" s="144"/>
      <c r="EN532" s="72"/>
      <c r="EO532" s="144"/>
      <c r="EP532" s="72"/>
      <c r="EQ532" s="144"/>
      <c r="ER532" s="72"/>
      <c r="ES532" s="144"/>
      <c r="ET532" s="72"/>
      <c r="EU532" s="144"/>
      <c r="EV532" s="72"/>
      <c r="EW532" s="144"/>
      <c r="EX532" s="72"/>
      <c r="EY532" s="72"/>
      <c r="EZ532" s="296"/>
      <c r="FA532" s="72"/>
      <c r="FB532" s="145"/>
      <c r="FC532" s="367"/>
      <c r="FD532" s="144"/>
      <c r="FE532" s="72"/>
      <c r="FF532" s="144"/>
      <c r="FG532" s="72"/>
      <c r="FH532" s="144"/>
      <c r="FI532" s="72"/>
      <c r="FJ532" s="144"/>
      <c r="FK532" s="72"/>
      <c r="FL532" s="144"/>
      <c r="FM532" s="72"/>
      <c r="FN532" s="144"/>
      <c r="FO532" s="72"/>
      <c r="FP532" s="144"/>
      <c r="FQ532" s="72"/>
      <c r="FR532" s="144"/>
      <c r="FS532" s="72"/>
      <c r="FT532" s="144"/>
      <c r="FU532" s="72"/>
      <c r="FV532" s="144"/>
      <c r="FW532" s="72"/>
      <c r="FX532" s="144"/>
      <c r="FY532" s="72"/>
      <c r="FZ532" s="144"/>
      <c r="GA532" s="72"/>
      <c r="GB532" s="144"/>
      <c r="GC532" s="72"/>
      <c r="GD532" s="144"/>
      <c r="GE532" s="72"/>
      <c r="GF532" s="144"/>
      <c r="GG532" s="72"/>
      <c r="GH532" s="144"/>
      <c r="GI532" s="72"/>
      <c r="GJ532" s="144"/>
      <c r="GK532" s="72"/>
      <c r="GL532" s="144"/>
      <c r="GM532" s="72"/>
      <c r="GN532" s="144"/>
      <c r="GO532" s="72"/>
      <c r="GP532" s="144"/>
      <c r="GQ532" s="72"/>
      <c r="GR532" s="144"/>
      <c r="GS532" s="72"/>
      <c r="GT532" s="144"/>
      <c r="GU532" s="72"/>
      <c r="GV532" s="144"/>
      <c r="GW532" s="72"/>
      <c r="GX532" s="144"/>
      <c r="GY532" s="72"/>
      <c r="GZ532" s="72"/>
      <c r="HA532" s="72"/>
      <c r="HB532" s="72"/>
      <c r="HC532"/>
      <c r="HD532"/>
      <c r="HE532"/>
      <c r="HF532"/>
      <c r="HG532"/>
      <c r="HH532"/>
      <c r="HI532" s="2"/>
    </row>
    <row r="533" spans="1:217" s="78" customFormat="1" ht="12.75" customHeight="1" x14ac:dyDescent="0.2">
      <c r="A533" s="3" t="s">
        <v>123</v>
      </c>
      <c r="B533" s="89" t="s">
        <v>539</v>
      </c>
      <c r="C533" s="156">
        <f>C531+C530+C526+C523+C520</f>
        <v>223</v>
      </c>
      <c r="D533" s="166"/>
      <c r="E533" s="156">
        <f>E531+E530+E526+E523+E520</f>
        <v>233</v>
      </c>
      <c r="F533" s="166"/>
      <c r="G533" s="156">
        <f>G531+G530+G526+G523+G520</f>
        <v>180</v>
      </c>
      <c r="H533" s="166"/>
      <c r="I533" s="156">
        <f>I531+I530+I526+I523+I520</f>
        <v>105</v>
      </c>
      <c r="J533" s="166"/>
      <c r="K533" s="156">
        <f>K531+K530+K526+K523+K520</f>
        <v>467</v>
      </c>
      <c r="L533" s="72" t="str">
        <f t="shared" ref="L533:L539" si="2523">IF(ISERROR(K533/C533),"NA",IF(OR(K533/C533&gt;2,K533/C533&lt;0.5),"NM",K533/C533*100-100))</f>
        <v>NM</v>
      </c>
      <c r="M533" s="156">
        <f>M531+M530+M526+M523+M520</f>
        <v>430</v>
      </c>
      <c r="N533" s="72">
        <f t="shared" ref="N533:N539" si="2524">IF(ISERROR(M533/E533),"NA",IF(OR(M533/E533&gt;2,M533/E533&lt;0.5),"NM",M533/E533*100-100))</f>
        <v>84.549356223175977</v>
      </c>
      <c r="O533" s="156">
        <f>O531+O530+O526+O523+O520</f>
        <v>314</v>
      </c>
      <c r="P533" s="72">
        <f t="shared" ref="P533:P539" si="2525">IF(ISERROR(O533/G533),"NA",IF(OR(O533/G533&gt;2,O533/G533&lt;0.5),"NM",O533/G533*100-100))</f>
        <v>74.444444444444457</v>
      </c>
      <c r="Q533" s="156">
        <f>Q531+Q530+Q526+Q523+Q520</f>
        <v>258</v>
      </c>
      <c r="R533" s="72" t="str">
        <f t="shared" ref="R533:R539" si="2526">IF(ISERROR(Q533/I533),"NA",IF(OR(Q533/I533&gt;2,Q533/I533&lt;0.5),"NM",Q533/I533*100-100))</f>
        <v>NM</v>
      </c>
      <c r="S533" s="156">
        <f>S531+S530+S526+S523+S520</f>
        <v>494</v>
      </c>
      <c r="T533" s="72">
        <f t="shared" ref="T533:T539" si="2527">IF(ISERROR(S533/K533),"NA",IF(OR(S533/K533&gt;2,S533/K533&lt;0.5),"NM",S533/K533*100-100))</f>
        <v>5.7815845824411127</v>
      </c>
      <c r="U533" s="156">
        <f>U531+U530+U526+U523+U520</f>
        <v>469</v>
      </c>
      <c r="V533" s="72">
        <f t="shared" ref="V533:V539" si="2528">IF(ISERROR(U533/M533),"NA",IF(OR(U533/M533&gt;2,U533/M533&lt;0.5),"NM",U533/M533*100-100))</f>
        <v>9.0697674418604493</v>
      </c>
      <c r="W533" s="156">
        <f>W531+W530+W526+W523+W520</f>
        <v>442</v>
      </c>
      <c r="X533" s="72">
        <f t="shared" ref="X533:X539" si="2529">IF(ISERROR(W533/O533),"NA",IF(OR(W533/O533&gt;2,W533/O533&lt;0.5),"NM",W533/O533*100-100))</f>
        <v>40.764331210191074</v>
      </c>
      <c r="Y533" s="156">
        <f>Y531+Y530+Y526+Y523+Y520</f>
        <v>376</v>
      </c>
      <c r="Z533" s="72">
        <f t="shared" ref="Z533:Z539" si="2530">IF(ISERROR(Y533/Q533),"NA",IF(OR(Y533/Q533&gt;2,Y533/Q533&lt;0.5),"NM",Y533/Q533*100-100))</f>
        <v>45.736434108527135</v>
      </c>
      <c r="AA533" s="156">
        <f>AA531+AA530+AA526+AA523+AA520</f>
        <v>456</v>
      </c>
      <c r="AB533" s="72">
        <f t="shared" ref="AB533:AB539" si="2531">IF(ISERROR(AA533/S533),"NA",IF(OR(AA533/S533&gt;2,AA533/S533&lt;0.5),"NM",AA533/S533*100-100))</f>
        <v>-7.6923076923076934</v>
      </c>
      <c r="AC533" s="156">
        <f>AC531+AC530+AC526+AC523+AC520</f>
        <v>550</v>
      </c>
      <c r="AD533" s="72">
        <f t="shared" ref="AD533:AD539" si="2532">IF(ISERROR(AC533/U533),"NA",IF(OR(AC533/U533&gt;2,AC533/U533&lt;0.5),"NM",AC533/U533*100-100))</f>
        <v>17.27078891257996</v>
      </c>
      <c r="AE533" s="156">
        <f>AE531+AE530+AE526+AE523+AE520</f>
        <v>519</v>
      </c>
      <c r="AF533" s="72">
        <f t="shared" ref="AF533:AF539" si="2533">IF(ISERROR(AE533/W533),"NA",IF(OR(AE533/W533&gt;2,AE533/W533&lt;0.5),"NM",AE533/W533*100-100))</f>
        <v>17.420814479638011</v>
      </c>
      <c r="AG533" s="156">
        <f>AG531+AG530+AG526+AG523+AG520</f>
        <v>562</v>
      </c>
      <c r="AH533" s="72">
        <f t="shared" ref="AH533:AH539" si="2534">IF(ISERROR(AG533/Y533),"NA",IF(OR(AG533/Y533&gt;2,AG533/Y533&lt;0.5),"NM",AG533/Y533*100-100))</f>
        <v>49.468085106383</v>
      </c>
      <c r="AI533" s="156">
        <f>AI531+AI530+AI526+AI523+AI520</f>
        <v>564</v>
      </c>
      <c r="AJ533" s="72">
        <f t="shared" ref="AJ533:AJ539" si="2535">IF(ISERROR(AI533/AA533),"NA",IF(OR(AI533/AA533&gt;2,AI533/AA533&lt;0.5),"NM",AI533/AA533*100-100))</f>
        <v>23.684210526315795</v>
      </c>
      <c r="AK533" s="156">
        <f>AK531+AK530+AK526+AK523+AK520</f>
        <v>723</v>
      </c>
      <c r="AL533" s="72">
        <f t="shared" ref="AL533:AL539" si="2536">IF(ISERROR(AK533/AC533),"NA",IF(OR(AK533/AC533&gt;2,AK533/AC533&lt;0.5),"NM",AK533/AC533*100-100))</f>
        <v>31.454545454545439</v>
      </c>
      <c r="AM533" s="156">
        <f>AM531+AM530+AM526+AM523+AM520</f>
        <v>712</v>
      </c>
      <c r="AN533" s="72">
        <f t="shared" ref="AN533:AN539" si="2537">IF(ISERROR(AM533/AE533),"NA",IF(OR(AM533/AE533&gt;2,AM533/AE533&lt;0.5),"NM",AM533/AE533*100-100))</f>
        <v>37.186897880539505</v>
      </c>
      <c r="AO533" s="156">
        <f>AO531+AO530+AO526+AO523+AO520</f>
        <v>697</v>
      </c>
      <c r="AP533" s="72">
        <f t="shared" ref="AP533:AP539" si="2538">IF(ISERROR(AO533/AG533),"NA",IF(OR(AO533/AG533&gt;2,AO533/AG533&lt;0.5),"NM",AO533/AG533*100-100))</f>
        <v>24.02135231316727</v>
      </c>
      <c r="AQ533" s="156">
        <f>AQ531+AQ530+AQ526+AQ523+AQ520</f>
        <v>761</v>
      </c>
      <c r="AR533" s="72">
        <f t="shared" ref="AR533:AR539" si="2539">IF(ISERROR(AQ533/AI533),"NA",IF(OR(AQ533/AI533&gt;2,AQ533/AI533&lt;0.5),"NM",AQ533/AI533*100-100))</f>
        <v>34.929078014184398</v>
      </c>
      <c r="AS533" s="156">
        <f>AS531+AS530+AS526+AS523+AS520</f>
        <v>806</v>
      </c>
      <c r="AT533" s="72">
        <f t="shared" ref="AT533:AT539" si="2540">IF(ISERROR(AS533/AK533),"NA",IF(OR(AS533/AK533&gt;2,AS533/AK533&lt;0.5),"NM",AS533/AK533*100-100))</f>
        <v>11.479944674965424</v>
      </c>
      <c r="AU533" s="156">
        <f>AU531+AU530+AU526+AU523+AU520</f>
        <v>876</v>
      </c>
      <c r="AV533" s="72">
        <f t="shared" ref="AV533:AV539" si="2541">IF(ISERROR(AU533/AM533),"NA",IF(OR(AU533/AM533&gt;2,AU533/AM533&lt;0.5),"NM",AU533/AM533*100-100))</f>
        <v>23.033707865168537</v>
      </c>
      <c r="AW533" s="156">
        <f>AW531+AW530+AW526+AW523+AW520</f>
        <v>940</v>
      </c>
      <c r="AX533" s="72">
        <f t="shared" ref="AX533:AX539" si="2542">IF(ISERROR(AW533/AO533),"NA",IF(OR(AW533/AO533&gt;2,AW533/AO533&lt;0.5),"NM",AW533/AO533*100-100))</f>
        <v>34.863701578192263</v>
      </c>
      <c r="AY533" s="156">
        <f>AY531+AY530+AY526+AY523+AY520</f>
        <v>957</v>
      </c>
      <c r="AZ533" s="72">
        <f t="shared" ref="AZ533:AZ539" si="2543">IF(ISERROR(AY533/AQ533),"NA",IF(OR(AY533/AQ533&gt;2,AY533/AQ533&lt;0.5),"NM",AY533/AQ533*100-100))</f>
        <v>25.755584756898813</v>
      </c>
      <c r="BA533" s="156">
        <f>BA531+BA530+BA526+BA523+BA520</f>
        <v>941</v>
      </c>
      <c r="BB533" s="72">
        <f t="shared" ref="BB533:BB539" si="2544">IF(ISERROR(BA533/AS533),"NA",IF(OR(BA533/AS533&gt;2,BA533/AS533&lt;0.5),"NM",BA533/AS533*100-100))</f>
        <v>16.749379652605455</v>
      </c>
      <c r="BC533" s="156">
        <f>BC531+BC530+BC526+BC523+BC520</f>
        <v>943</v>
      </c>
      <c r="BD533" s="72">
        <f t="shared" ref="BD533:BD539" si="2545">IF(ISERROR(BC533/AU533),"NA",IF(OR(BC533/AU533&gt;2,BC533/AU533&lt;0.5),"NM",BC533/AU533*100-100))</f>
        <v>7.6484018264840046</v>
      </c>
      <c r="BE533" s="156">
        <f>BE531+BE530+BE526+BE523+BE520</f>
        <v>972</v>
      </c>
      <c r="BF533" s="72">
        <f t="shared" ref="BF533:BF539" si="2546">IF(ISERROR(BE533/AW533),"NA",IF(OR(BE533/AW533&gt;2,BE533/AW533&lt;0.5),"NM",BE533/AW533*100-100))</f>
        <v>3.4042553191489446</v>
      </c>
      <c r="BG533" s="156">
        <f>BG531+BG530+BG526+BG523+BG520</f>
        <v>1049.5999999999999</v>
      </c>
      <c r="BH533" s="72">
        <f t="shared" ref="BH533:BH539" si="2547">IF(ISERROR(BG533/AY533),"NA",IF(OR(BG533/AY533&gt;2,BG533/AY533&lt;0.5),"NM",BG533/AY533*100-100))</f>
        <v>9.6760710553813993</v>
      </c>
      <c r="BI533" s="156">
        <f>BI531+BI530+BI526+BI523+BI520</f>
        <v>1096</v>
      </c>
      <c r="BJ533" s="72">
        <f t="shared" ref="BJ533:BJ539" si="2548">IF(ISERROR(BI533/BA533),"NA",IF(OR(BI533/BA533&gt;2,BI533/BA533&lt;0.5),"NM",BI533/BA533*100-100))</f>
        <v>16.471838469713077</v>
      </c>
      <c r="BK533" s="156">
        <f>BK531+BK530+BK526+BK523+BK520</f>
        <v>1310</v>
      </c>
      <c r="BL533" s="72">
        <f t="shared" ref="BL533:BL539" si="2549">IF(ISERROR(BK533/BC533),"NA",IF(OR(BK533/BC533&gt;2,BK533/BC533&lt;0.5),"NM",BK533/BC533*100-100))</f>
        <v>38.918345705196202</v>
      </c>
      <c r="BM533" s="156">
        <f>BM531+BM530+BM526+BM523+BM520</f>
        <v>1174</v>
      </c>
      <c r="BN533" s="72">
        <f t="shared" ref="BN533:BN539" si="2550">IF(ISERROR(BM533/BE533),"NA",IF(OR(BM533/BE533&gt;2,BM533/BE533&lt;0.5),"NM",BM533/BE533*100-100))</f>
        <v>20.781893004115233</v>
      </c>
      <c r="BO533" s="156">
        <f>BO531+BO530+BO526+BO523+BO520</f>
        <v>942</v>
      </c>
      <c r="BP533" s="72">
        <f t="shared" ref="BP533:BP539" si="2551">IF(ISERROR(BO533/BG533),"NA",IF(OR(BO533/BG533&gt;2,BO533/BG533&lt;0.5),"NM",BO533/BG533*100-100))</f>
        <v>-10.251524390243887</v>
      </c>
      <c r="BQ533" s="156">
        <f>BQ531+BQ530+BQ526+BQ523+BQ520</f>
        <v>1074</v>
      </c>
      <c r="BR533" s="72">
        <f t="shared" ref="BR533:BR539" si="2552">IF(ISERROR(BQ533/BI533),"NA",IF(OR(BQ533/BI533&gt;2,BQ533/BI533&lt;0.5),"NM",BQ533/BI533*100-100))</f>
        <v>-2.0072992700729912</v>
      </c>
      <c r="BS533" s="156">
        <f>BS531+BS530+BS526+BS523+BS520</f>
        <v>960</v>
      </c>
      <c r="BT533" s="72">
        <f t="shared" ref="BT533:BT539" si="2553">IF(ISERROR(BS533/BK533),"NA",IF(OR(BS533/BK533&gt;2,BS533/BK533&lt;0.5),"NM",BS533/BK533*100-100))</f>
        <v>-26.717557251908403</v>
      </c>
      <c r="BU533" s="156">
        <f>BU531+BU530+BU526+BU523+BU520</f>
        <v>575</v>
      </c>
      <c r="BV533" s="72" t="str">
        <f t="shared" ref="BV533:BV539" si="2554">IF(ISERROR(BU533/BM533),"NA",IF(OR(BU533/BM533&gt;2,BU533/BM533&lt;0.5),"NM",BU533/BM533*100-100))</f>
        <v>NM</v>
      </c>
      <c r="BW533" s="156">
        <f>BW531+BW530+BW526+BW523+BW520</f>
        <v>613</v>
      </c>
      <c r="BX533" s="72">
        <f t="shared" ref="BX533:BX539" si="2555">IF(ISERROR(BW533/BO533),"NA",IF(OR(BW533/BO533&gt;2,BW533/BO533&lt;0.5),"NM",BW533/BO533*100-100))</f>
        <v>-34.925690021231432</v>
      </c>
      <c r="BY533" s="156">
        <f>BY531+BY530+BY526+BY523+BY520</f>
        <v>714</v>
      </c>
      <c r="BZ533" s="72">
        <f t="shared" ref="BZ533:BZ539" si="2556">IF(ISERROR(BY533/BQ533),"NA",IF(OR(BY533/BQ533&gt;2,BY533/BQ533&lt;0.5),"NM",BY533/BQ533*100-100))</f>
        <v>-33.519553072625698</v>
      </c>
      <c r="CA533" s="156">
        <f>CA531+CA530+CA526+CA523+CA520</f>
        <v>835</v>
      </c>
      <c r="CB533" s="72">
        <f t="shared" ref="CB533:CB539" si="2557">IF(ISERROR(CA533/BS533),"NA",IF(OR(CA533/BS533&gt;2,CA533/BS533&lt;0.5),"NM",CA533/BS533*100-100))</f>
        <v>-13.020833333333343</v>
      </c>
      <c r="CC533" s="156">
        <f>CC531+CC530+CC526+CC523+CC520</f>
        <v>686</v>
      </c>
      <c r="CD533" s="72">
        <f t="shared" ref="CD533:CD539" si="2558">IF(ISERROR(CC533/BU533),"NA",IF(OR(CC533/BU533&gt;2,CC533/BU533&lt;0.5),"NM",CC533/BU533*100-100))</f>
        <v>19.304347826086968</v>
      </c>
      <c r="CE533" s="156">
        <f>CE531+CE530+CE526+CE523+CE520</f>
        <v>757</v>
      </c>
      <c r="CF533" s="72">
        <f t="shared" ref="CF533:CF539" si="2559">IF(ISERROR(CE533/BW533),"NA",IF(OR(CE533/BW533&gt;2,CE533/BW533&lt;0.5),"NM",CE533/BW533*100-100))</f>
        <v>23.491027732463294</v>
      </c>
      <c r="CG533" s="156">
        <f>CG531+CG530+CG526+CG523+CG520</f>
        <v>811</v>
      </c>
      <c r="CH533" s="72">
        <f t="shared" ref="CH533:CH539" si="2560">IF(ISERROR(CG533/BY533),"NA",IF(OR(CG533/BY533&gt;2,CG533/BY533&lt;0.5),"NM",CG533/BY533*100-100))</f>
        <v>13.585434173669469</v>
      </c>
      <c r="CI533" s="156">
        <f>CI531+CI530+CI526+CI523+CI520</f>
        <v>755</v>
      </c>
      <c r="CJ533" s="72">
        <f>IF(ISERROR(CI533/CA533),"NA",IF(OR(CI533/CA533&gt;2,CI533/CA533&lt;0.5),"NM",CI533/CA533*100-100))</f>
        <v>-9.5808383233532908</v>
      </c>
      <c r="CK533" s="156">
        <f>CK531+CK530+CK526+CK523+CK520</f>
        <v>872</v>
      </c>
      <c r="CL533" s="72">
        <f>IF(ISERROR(CK533/CC533),"NA",IF(OR(CK533/CC533&gt;2,CK533/CC533&lt;0.5),"NM",CK533/CC533*100-100))</f>
        <v>27.113702623906704</v>
      </c>
      <c r="CM533" s="156">
        <f>CM531+CM530+CM526+CM523+CM520</f>
        <v>949.7</v>
      </c>
      <c r="CN533" s="72">
        <f>IF(ISERROR(CM533/CE533),"NA",IF(OR(CM533/CE533&gt;2,CM533/CE533&lt;0.5),"NM",CM533/CE533*100-100))</f>
        <v>25.455746367239101</v>
      </c>
      <c r="CO533" s="156">
        <f>CO531+CO530+CO526+CO523+CO520</f>
        <v>1105</v>
      </c>
      <c r="CP533" s="72">
        <f>IF(ISERROR(CO533/CG533),"NA",IF(OR(CO533/CG533&gt;2,CO533/CG533&lt;0.5),"NM",CO533/CG533*100-100))</f>
        <v>36.251541307028361</v>
      </c>
      <c r="CQ533" s="156">
        <f>CQ531+CQ530+CQ526+CQ523+CQ520</f>
        <v>983</v>
      </c>
      <c r="CR533" s="72">
        <f>IF(ISERROR(CQ533/CI533),"NA",IF(OR(CQ533/CI533&gt;2,CQ533/CI533&lt;0.5),"NM",CQ533/CI533*100-100))</f>
        <v>30.198675496688736</v>
      </c>
      <c r="CS533" s="156">
        <f>CS531+CS530+CS526+CS523+CS520</f>
        <v>978</v>
      </c>
      <c r="CT533" s="72">
        <f>IF(ISERROR(CS533/CK533),"NA",IF(OR(CS533/CK533&gt;2,CS533/CK533&lt;0.5),"NM",CS533/CK533*100-100))</f>
        <v>12.155963302752298</v>
      </c>
      <c r="CU533" s="156">
        <f>CU531+CU530+CU526+CU523+CU520</f>
        <v>928</v>
      </c>
      <c r="CV533" s="72">
        <f t="shared" ref="CV533:CV539" si="2561">IF(ISERROR(CU533/CM533),"NA",IF(OR(CU533/CM533&gt;2,CU533/CM533&lt;0.5),"NM",CU533/CM533*100-100))</f>
        <v>-2.2849320838159457</v>
      </c>
      <c r="CW533" s="156">
        <f>CW531+CW530+CW526+CW523+CW520</f>
        <v>1102</v>
      </c>
      <c r="CX533" s="72">
        <f t="shared" ref="CX533:CX539" si="2562">IF(ISERROR(CW533/CO533),"NA",IF(OR(CW533/CO533&gt;2,CW533/CO533&lt;0.5),"NM",CW533/CO533*100-100))</f>
        <v>-0.27149321266968229</v>
      </c>
      <c r="CY533" s="156">
        <f>CY531+CY530+CY526+CY523+CY520</f>
        <v>1187</v>
      </c>
      <c r="CZ533" s="72">
        <f t="shared" ref="CZ533:CZ539" si="2563">IF(ISERROR(CY533/CQ533),"NA",IF(OR(CY533/CQ533&gt;2,CY533/CQ533&lt;0.5),"NM",CY533/CQ533*100-100))</f>
        <v>20.752797558494393</v>
      </c>
      <c r="DA533" s="156">
        <f>DA531+DA530+DA526+DA523+DA520</f>
        <v>1132</v>
      </c>
      <c r="DB533" s="72">
        <f t="shared" ref="DB533:DB539" si="2564">IF(ISERROR(DA533/CS533),"NA",IF(OR(DA533/CS533&gt;2,DA533/CS533&lt;0.5),"NM",DA533/CS533*100-100))</f>
        <v>15.746421267893652</v>
      </c>
      <c r="DC533" s="156">
        <f>DC531+DC530+DC526+DC523+DC520</f>
        <v>1372</v>
      </c>
      <c r="DD533" s="72">
        <f t="shared" ref="DD533:DD539" si="2565">IF(ISERROR(DC533/CU533),"NA",IF(OR(DC533/CU533&gt;2,DC533/CU533&lt;0.5),"NM",DC533/CU533*100-100))</f>
        <v>47.84482758620689</v>
      </c>
      <c r="DE533" s="156">
        <f>DE531+DE530+DE526+DE523+DE520</f>
        <v>1371</v>
      </c>
      <c r="DF533" s="72">
        <f t="shared" ref="DF533:DF539" si="2566">IF(ISERROR(DE533/CW533),"NA",IF(OR(DE533/CW533&gt;2,DE533/CW533&lt;0.5),"NM",DE533/CW533*100-100))</f>
        <v>24.410163339382947</v>
      </c>
      <c r="DG533" s="156">
        <f>DG531+DG530+DG526+DG523+DG520</f>
        <v>1515</v>
      </c>
      <c r="DH533" s="72">
        <f t="shared" ref="DH533:DH539" si="2567">IF(ISERROR(DG533/CY533),"NA",IF(OR(DG533/CY533&gt;2,DG533/CY533&lt;0.5),"NM",DG533/CY533*100-100))</f>
        <v>27.632687447346257</v>
      </c>
      <c r="DI533" s="156">
        <f>DI531+DI530+DI526+DI523+DI520</f>
        <v>1473</v>
      </c>
      <c r="DJ533" s="72">
        <f t="shared" ref="DJ533:DJ539" si="2568">IF(ISERROR(DI533/DA533),"NA",IF(OR(DI533/DA533&gt;2,DI533/DA533&lt;0.5),"NM",DI533/DA533*100-100))</f>
        <v>30.123674911660771</v>
      </c>
      <c r="DK533" s="156">
        <f>DK531+DK530+DK526+DK523+DK520</f>
        <v>1616</v>
      </c>
      <c r="DL533" s="72">
        <f>IF(ISERROR(DK533/DC533),"NA",IF(OR(DK533/DC533&gt;2,DK533/DC533&lt;0.5),"NM",DK533/DC533*100-100))</f>
        <v>17.78425655976676</v>
      </c>
      <c r="DM533" s="156">
        <f>DM531+DM530+DM526+DM523+DM520</f>
        <v>1635</v>
      </c>
      <c r="DN533" s="72">
        <f t="shared" ref="DN533:DZ534" si="2569">IF(ISERROR(DM533/DE533),"NA",IF(OR(DM533/DE533&gt;2,DM533/DE533&lt;0.5),"NM",DM533/DE533*100-100))</f>
        <v>19.256017505470453</v>
      </c>
      <c r="DO533" s="156">
        <f>DO531+DO530+DO526+DO523+DO520</f>
        <v>1597</v>
      </c>
      <c r="DP533" s="72">
        <f t="shared" si="2569"/>
        <v>5.4125412541254008</v>
      </c>
      <c r="DQ533" s="156">
        <f>DQ531+DQ530+DQ526+DQ523+DQ520</f>
        <v>1496</v>
      </c>
      <c r="DR533" s="72">
        <f t="shared" si="2569"/>
        <v>1.5614392396469725</v>
      </c>
      <c r="DS533" s="156">
        <f>DS531+DS530+DS526+DS523+DS520</f>
        <v>1648</v>
      </c>
      <c r="DT533" s="72">
        <f t="shared" si="2569"/>
        <v>1.9801980198019749</v>
      </c>
      <c r="DU533" s="156">
        <f>DU531+DU530+DU526+DU523+DU520</f>
        <v>1638</v>
      </c>
      <c r="DV533" s="72">
        <f t="shared" si="2569"/>
        <v>0.18348623853211166</v>
      </c>
      <c r="DW533" s="156">
        <f>DW531+DW530+DW526+DW523+DW520</f>
        <v>1547</v>
      </c>
      <c r="DX533" s="72">
        <f t="shared" si="2569"/>
        <v>-3.1308703819661901</v>
      </c>
      <c r="DY533" s="156">
        <f>DY531+DY530+DY526+DY523+DY520</f>
        <v>1274.5</v>
      </c>
      <c r="DZ533" s="72">
        <f t="shared" si="2569"/>
        <v>-14.806149732620327</v>
      </c>
      <c r="EA533" s="156">
        <f>EA531+EA530+EA526+EA523+EA520</f>
        <v>1423</v>
      </c>
      <c r="EB533" s="72">
        <f>IF(ISERROR(EA533/DS533),"NA",IF(OR(EA533/DS533&gt;2,EA533/DS533&lt;0.5),"NM",EA533/DS533*100-100))</f>
        <v>-13.652912621359221</v>
      </c>
      <c r="EC533" s="156">
        <f>EC531+EC530+EC526+EC523+EC520</f>
        <v>1492</v>
      </c>
      <c r="ED533" s="72">
        <f>IF(ISERROR(EC533/DU533),"NA",IF(OR(EC533/DU533&gt;2,EC533/DU533&lt;0.5),"NM",EC533/DU533*100-100))</f>
        <v>-8.9133089133089101</v>
      </c>
      <c r="EE533" s="156">
        <f>EE531+EE530+EE526+EE523+EE520</f>
        <v>1453</v>
      </c>
      <c r="EF533" s="72">
        <f>IF(ISERROR(EE533/DW533),"NA",IF(OR(EE533/DW533&gt;2,EE533/DW533&lt;0.5),"NM",EE533/DW533*100-100))</f>
        <v>-6.0762766645119655</v>
      </c>
      <c r="EG533" s="156">
        <f>EG531+EG530+EG526+EG523+EG520</f>
        <v>1439</v>
      </c>
      <c r="EH533" s="72">
        <f>IF(ISERROR(EG533/DY533),"NA",IF(OR(EG533/DY533&gt;2,EG533/DY533&lt;0.5),"NM",EG533/DY533*100-100))</f>
        <v>12.907022361710489</v>
      </c>
      <c r="EI533" s="156">
        <f>EI531+EI530+EI526+EI523+EI520</f>
        <v>1640.1</v>
      </c>
      <c r="EJ533" s="72">
        <f>IF(ISERROR(EI533/EA533),"NA",IF(OR(EI533/EA533&gt;2,EI533/EA533&lt;0.5),"NM",EI533/EA533*100-100))</f>
        <v>15.256500351370335</v>
      </c>
      <c r="EK533" s="156">
        <f>EK531+EK530+EK526+EK523+EK520</f>
        <v>1796</v>
      </c>
      <c r="EL533" s="72">
        <f>IF(ISERROR(EK533/EC533),"NA",IF(OR(EK533/EC533&gt;2,EK533/EC533&lt;0.5),"NM",EK533/EC533*100-100))</f>
        <v>20.375335120643427</v>
      </c>
      <c r="EM533" s="156">
        <f>EM531+EM530+EM526+EM523+EM520</f>
        <v>1736</v>
      </c>
      <c r="EN533" s="72">
        <f>IF(ISERROR(EM533/EE533),"NA",IF(OR(EM533/EE533&gt;2,EM533/EE533&lt;0.5),"NM",EM533/EE533*100-100))</f>
        <v>19.476944253269096</v>
      </c>
      <c r="EO533" s="156">
        <f>EO531+EO530+EO526+EO523+EO520</f>
        <v>1568</v>
      </c>
      <c r="EP533" s="72">
        <f>IF(ISERROR(EO533/EG533),"NA",IF(OR(EO533/EG533&gt;2,EO533/EG533&lt;0.5),"NM",EO533/EG533*100-100))</f>
        <v>8.9645587213342566</v>
      </c>
      <c r="EQ533" s="156">
        <f>EQ531+EQ530+EQ526+EQ523+EQ520</f>
        <v>1714.94101971797</v>
      </c>
      <c r="ER533" s="72">
        <f t="shared" ref="ER533:ER534" si="2570">IF(ISERROR(EQ533/EI533),"NA",IF(OR(EQ533/EI533&gt;2,EQ533/EI533&lt;0.5),"NM",EQ533/EI533*100-100))</f>
        <v>4.5631985682561975</v>
      </c>
      <c r="ES533" s="156">
        <f>ES531+ES530+ES526+ES523+ES520</f>
        <v>1724.30578930712</v>
      </c>
      <c r="ET533" s="72">
        <f t="shared" ref="ET533:ET534" si="2571">IF(ISERROR(ES533/EK533),"NA",IF(OR(ES533/EK533&gt;2,ES533/EK533&lt;0.5),"NM",ES533/EK533*100-100))</f>
        <v>-3.9918825552828565</v>
      </c>
      <c r="EU533" s="156">
        <f>EU531+EU530+EU526+EU523+EU520</f>
        <v>1704.9226454723339</v>
      </c>
      <c r="EV533" s="72">
        <f t="shared" ref="EV533:EV534" si="2572">IF(ISERROR(EU533/EM533),"NA",IF(OR(EU533/EM533&gt;2,EU533/EM533&lt;0.5),"NM",EU533/EM533*100-100))</f>
        <v>-1.7901701916858315</v>
      </c>
      <c r="EW533" s="156">
        <f>EW531+EW530+EW526+EW523+EW520</f>
        <v>1537.9404567817808</v>
      </c>
      <c r="EX533" s="72">
        <f t="shared" ref="EX533:EX534" si="2573">IF(ISERROR(EW533/EO533),"NA",IF(OR(EW533/EO533&gt;2,EW533/EO533&lt;0.5),"NM",EW533/EO533*100-100))</f>
        <v>-1.9170627052435805</v>
      </c>
      <c r="EY533" s="72"/>
      <c r="EZ533" s="334"/>
      <c r="FA533" s="72"/>
      <c r="FB533" s="162" t="e">
        <f>FB531+FB530+#REF!+FB526</f>
        <v>#REF!</v>
      </c>
      <c r="FC533" s="162"/>
      <c r="FD533" s="156">
        <f>FD531+FD530+FD526+FD523+FD520</f>
        <v>1209</v>
      </c>
      <c r="FE533" s="72" t="str">
        <f t="shared" ref="FE533:FE539" si="2574">IF(ISERROR(FD533/FB533),"NA",IF(OR(FD533/FB533&gt;2,FD533/FB533&lt;0.5),"NM",FD533/FB533*100-100))</f>
        <v>NA</v>
      </c>
      <c r="FF533" s="156">
        <f>FF531+FF530+FF526+FF523+FF520</f>
        <v>1220</v>
      </c>
      <c r="FG533" s="72">
        <f t="shared" ref="FG533:FG539" si="2575">IF(ISERROR(FF533/FD533),"NA",IF(OR(FF533/FD533&gt;2,FF533/FD533&lt;0.5),"NM",FF533/FD533*100-100))</f>
        <v>0.90984284532670756</v>
      </c>
      <c r="FH533" s="156">
        <f>FH531+FH530+FH526+FH523+FH520</f>
        <v>1467</v>
      </c>
      <c r="FI533" s="72">
        <f t="shared" ref="FI533:FI539" si="2576">IF(ISERROR(FH533/FF533),"NA",IF(OR(FH533/FF533&gt;2,FH533/FF533&lt;0.5),"NM",FH533/FF533*100-100))</f>
        <v>20.245901639344254</v>
      </c>
      <c r="FJ533" s="156">
        <f>FJ531+FJ530+FJ526+FJ523+FJ520</f>
        <v>1789</v>
      </c>
      <c r="FK533" s="72">
        <f t="shared" ref="FK533:FK539" si="2577">IF(ISERROR(FJ533/FH533),"NA",IF(OR(FJ533/FH533&gt;2,FJ533/FH533&lt;0.5),"NM",FJ533/FH533*100-100))</f>
        <v>21.949556918882081</v>
      </c>
      <c r="FL533" s="156">
        <f>FL531+FL530+FL526+FL523+FL520</f>
        <v>2098</v>
      </c>
      <c r="FM533" s="72">
        <f t="shared" ref="FM533:FM539" si="2578">IF(ISERROR(FL533/FJ533),"NA",IF(OR(FL533/FJ533&gt;2,FL533/FJ533&lt;0.5),"NM",FL533/FJ533*100-100))</f>
        <v>17.272219116825042</v>
      </c>
      <c r="FN533" s="156">
        <f>FN531+FN530+FN526+FN523+FN520</f>
        <v>2700</v>
      </c>
      <c r="FO533" s="72">
        <f t="shared" ref="FO533:FO539" si="2579">IF(ISERROR(FN533/FL533),"NA",IF(OR(FN533/FL533&gt;2,FN533/FL533&lt;0.5),"NM",FN533/FL533*100-100))</f>
        <v>28.693994280266907</v>
      </c>
      <c r="FP533" s="156">
        <f>FP531+FP530+FP526+FP523+FP520</f>
        <v>3401</v>
      </c>
      <c r="FQ533" s="72">
        <f>IF(ISERROR(FP533/FN533),"NA",IF(OR(FP533/FN533&gt;2,FP533/FN533&lt;0.5),"NM",FP533/FN533*100-100))</f>
        <v>25.962962962962962</v>
      </c>
      <c r="FR533" s="156">
        <f>FR531+FR530+FR526+FR523+FR520</f>
        <v>3795</v>
      </c>
      <c r="FS533" s="72">
        <f>IF(ISERROR(FR533/FP533),"NA",IF(OR(FR533/FP533&gt;2,FR533/FP533&lt;0.5),"NM",FR533/FP533*100-100))</f>
        <v>11.584827991767128</v>
      </c>
      <c r="FT533" s="156">
        <f>FT531+FT530+FT526+FT523+FT520</f>
        <v>4604.6000000000004</v>
      </c>
      <c r="FU533" s="72">
        <f>IF(ISERROR(FT533/FR533),"NA",IF(OR(FT533/FR533&gt;2,FT533/FR533&lt;0.5),"NM",FT533/FR533*100-100))</f>
        <v>21.333333333333343</v>
      </c>
      <c r="FV533" s="156">
        <f>FV531+FV530+FV526+FV523+FV520</f>
        <v>3248</v>
      </c>
      <c r="FW533" s="72">
        <f>IF(ISERROR(FV533/FT533),"NA",IF(OR(FV533/FT533&gt;2,FV533/FT533&lt;0.5),"NM",FV533/FT533*100-100))</f>
        <v>-29.461842505320774</v>
      </c>
      <c r="FX533" s="156">
        <f>FX531+FX530+FX526+FX523+FX520</f>
        <v>2555</v>
      </c>
      <c r="FY533" s="72">
        <f t="shared" ref="FY533:FY539" si="2580">IF(ISERROR(FX533/FV533),"NA",IF(OR(FX533/FV533&gt;2,FX533/FV533&lt;0.5),"NM",FX533/FV533*100-100))</f>
        <v>-21.33620689655173</v>
      </c>
      <c r="FZ533" s="156">
        <f>FZ531+FZ530+FZ526+FZ523+FZ520</f>
        <v>3195</v>
      </c>
      <c r="GA533" s="72">
        <f t="shared" ref="GA533:GA539" si="2581">IF(ISERROR(FZ533/FX533),"NA",IF(OR(FZ533/FX533&gt;2,FZ533/FX533&lt;0.5),"NM",FZ533/FX533*100-100))</f>
        <v>25.048923679060664</v>
      </c>
      <c r="GB533" s="156">
        <f>GB531+GB530+GB526+GB523+GB520</f>
        <v>4015.7</v>
      </c>
      <c r="GC533" s="72">
        <f>IF(ISERROR(GB533/FZ533),"NA",IF(OR(GB533/FZ533&gt;2,GB533/FZ533&lt;0.5),"NM",GB533/FZ533*100-100))</f>
        <v>25.687010954616582</v>
      </c>
      <c r="GD533" s="156">
        <f>GD531+GD530+GD526+GD523+GD520</f>
        <v>4349</v>
      </c>
      <c r="GE533" s="72">
        <f>IF(ISERROR(GD533/GB533),"NA",IF(OR(GD533/GB533&gt;2,GD533/GB533&lt;0.5),"NM",GD533/GB533*100-100))</f>
        <v>8.2999228029982248</v>
      </c>
      <c r="GF533" s="156">
        <f>GF531+GF530+GF526+GF523+GF520</f>
        <v>5731</v>
      </c>
      <c r="GG533" s="72">
        <f>IF(ISERROR(GF533/GD533),"NA",IF(OR(GF533/GD533&gt;2,GF533/GD533&lt;0.5),"NM",GF533/GD533*100-100))</f>
        <v>31.777420096573906</v>
      </c>
      <c r="GH533" s="156">
        <f>GH531+GH530+GH526+GH523+GH520</f>
        <v>6344</v>
      </c>
      <c r="GI533" s="72">
        <f t="shared" ref="GI533:GU534" si="2582">IF(ISERROR(GH533/GF533),"NA",IF(OR(GH533/GF533&gt;2,GH533/GF533&lt;0.5),"NM",GH533/GF533*100-100))</f>
        <v>10.696213575292262</v>
      </c>
      <c r="GJ533" s="156">
        <f>GJ531+GJ530+GJ526+GJ523+GJ520</f>
        <v>6107.5</v>
      </c>
      <c r="GK533" s="72">
        <f t="shared" si="2582"/>
        <v>-3.7279319041614087</v>
      </c>
      <c r="GL533" s="156">
        <f>GL531+GL530+GL526+GL523+GL520</f>
        <v>5807</v>
      </c>
      <c r="GM533" s="72">
        <f t="shared" si="2582"/>
        <v>-4.920180106426514</v>
      </c>
      <c r="GN533" s="156">
        <f>GN531+GN530+GN526+GN523+GN520</f>
        <v>6740.1</v>
      </c>
      <c r="GO533" s="72">
        <f t="shared" si="2582"/>
        <v>16.068537971413804</v>
      </c>
      <c r="GP533" s="156">
        <f>GP531+GP530+GP526+GP523+GP520</f>
        <v>6682.1099112792044</v>
      </c>
      <c r="GQ533" s="72">
        <f t="shared" si="2582"/>
        <v>-0.8603743078113979</v>
      </c>
      <c r="GR533" s="156">
        <f>GR531+GR530+GR526+GR523+GR520</f>
        <v>6763.3154899509773</v>
      </c>
      <c r="GS533" s="72">
        <f t="shared" si="2582"/>
        <v>1.215268526707419</v>
      </c>
      <c r="GT533" s="156">
        <f>GT531+GT530+GT526+GT523+GT520</f>
        <v>6833.5605709238998</v>
      </c>
      <c r="GU533" s="72">
        <f t="shared" si="2582"/>
        <v>1.0386190186942201</v>
      </c>
      <c r="GV533" s="156">
        <f>GV531+GV530+GV526+GV523+GV520</f>
        <v>6911.8040872976526</v>
      </c>
      <c r="GW533" s="72">
        <f>IF(ISERROR(GV533/GT533),"NA",IF(OR(GV533/GT533&gt;2,GV533/GT533&lt;0.5),"NM",GV533/GT533*100-100))</f>
        <v>1.1449889930978543</v>
      </c>
      <c r="GX533" s="156">
        <f>GX531+GX530+GX526+GX523+GX520</f>
        <v>6979.8482302145721</v>
      </c>
      <c r="GY533" s="72">
        <f>IF(ISERROR(GX533/GV533),"NA",IF(OR(GX533/GV533&gt;2,GX533/GV533&lt;0.5),"NM",GX533/GV533*100-100))</f>
        <v>0.98446284150284669</v>
      </c>
      <c r="GZ533" s="72">
        <f>IF(ISERROR(((GX533/GN533)^0.2-1)*100),"NA",IF((((GX533/GN533)^0.2-1)*100)&gt;100,"NM",IF((((GX533/GN533)^0.2-1)*100)&lt;-50,"NM",((GX533/GN533)^0.2-1)*100)))</f>
        <v>0.70149727359427594</v>
      </c>
      <c r="HA533" s="72"/>
      <c r="HB533" s="72"/>
      <c r="HC533"/>
      <c r="HD533"/>
      <c r="HE533"/>
      <c r="HF533"/>
      <c r="HG533"/>
      <c r="HH533"/>
      <c r="HI533" s="2"/>
    </row>
    <row r="534" spans="1:217" s="3" customFormat="1" ht="12.75" customHeight="1" x14ac:dyDescent="0.2">
      <c r="B534" s="356" t="s">
        <v>548</v>
      </c>
      <c r="C534" s="115">
        <f>C131+C96+C251+C323+C348+C216+C386+C427+C456+C489</f>
        <v>0</v>
      </c>
      <c r="D534" s="11"/>
      <c r="E534" s="115">
        <f>E131+E96+E251+E323+E348+E216+E386+E427+E456+E489</f>
        <v>0</v>
      </c>
      <c r="F534" s="11"/>
      <c r="G534" s="115">
        <f>G131+G96+G251+G323+G348+G216+G386+G427+G456+G489</f>
        <v>0</v>
      </c>
      <c r="H534" s="11"/>
      <c r="I534" s="115">
        <f>I131+I96+I251+I323+I348+I216+I386+I427+I456+I489</f>
        <v>0</v>
      </c>
      <c r="J534" s="11"/>
      <c r="K534" s="115">
        <f>K131+K96+K251+K323+K348+K216+K386+K427+K456+K489</f>
        <v>0</v>
      </c>
      <c r="L534" s="72" t="str">
        <f t="shared" si="2523"/>
        <v>NA</v>
      </c>
      <c r="M534" s="115">
        <f>M131+M96+M251+M323+M348+M216+M386+M427+M456+M489</f>
        <v>0</v>
      </c>
      <c r="N534" s="72" t="str">
        <f t="shared" si="2524"/>
        <v>NA</v>
      </c>
      <c r="O534" s="115">
        <f>O131+O96+O251+O323+O348+O216+O386+O427+O456+O489</f>
        <v>0</v>
      </c>
      <c r="P534" s="72" t="str">
        <f t="shared" si="2525"/>
        <v>NA</v>
      </c>
      <c r="Q534" s="115">
        <f>Q131+Q96+Q251+Q323+Q348+Q216+Q386+Q427+Q456+Q489</f>
        <v>0</v>
      </c>
      <c r="R534" s="72" t="str">
        <f t="shared" si="2526"/>
        <v>NA</v>
      </c>
      <c r="S534" s="115">
        <f>S131+S96+S251+S323+S348+S216+S386+S427+S456+S489</f>
        <v>0</v>
      </c>
      <c r="T534" s="72" t="str">
        <f t="shared" si="2527"/>
        <v>NA</v>
      </c>
      <c r="U534" s="115">
        <f>U131+U96+U251+U323+U348+U216+U386+U427+U456+U489</f>
        <v>0</v>
      </c>
      <c r="V534" s="72" t="str">
        <f t="shared" si="2528"/>
        <v>NA</v>
      </c>
      <c r="W534" s="115">
        <f>W131+W96+W251+W323+W348+W216+W386+W427+W456+W489</f>
        <v>0</v>
      </c>
      <c r="X534" s="72" t="str">
        <f t="shared" si="2529"/>
        <v>NA</v>
      </c>
      <c r="Y534" s="115">
        <f>Y131+Y96+Y251+Y323+Y348+Y216+Y386+Y427+Y456+Y489</f>
        <v>0</v>
      </c>
      <c r="Z534" s="72" t="str">
        <f t="shared" si="2530"/>
        <v>NA</v>
      </c>
      <c r="AA534" s="115">
        <f>AA131+AA96+AA251+AA323+AA348+AA216+AA386+AA427+AA456+AA489</f>
        <v>0</v>
      </c>
      <c r="AB534" s="72" t="str">
        <f t="shared" si="2531"/>
        <v>NA</v>
      </c>
      <c r="AC534" s="115">
        <f>AC131+AC96+AC251+AC323+AC348+AC216+AC386+AC427+AC456+AC489</f>
        <v>0</v>
      </c>
      <c r="AD534" s="72" t="str">
        <f t="shared" si="2532"/>
        <v>NA</v>
      </c>
      <c r="AE534" s="115">
        <f>AE131+AE96+AE251+AE323+AE348+AE216+AE386+AE427+AE456+AE489</f>
        <v>0</v>
      </c>
      <c r="AF534" s="72" t="str">
        <f t="shared" si="2533"/>
        <v>NA</v>
      </c>
      <c r="AG534" s="115">
        <f>AG131+AG96+AG251+AG323+AG348+AG216+AG386+AG427+AG456+AG489</f>
        <v>0</v>
      </c>
      <c r="AH534" s="72" t="str">
        <f t="shared" si="2534"/>
        <v>NA</v>
      </c>
      <c r="AI534" s="115">
        <f>AI131+AI96+AI251+AI323+AI348+AI216+AI386+AI427+AI456+AI489</f>
        <v>0</v>
      </c>
      <c r="AJ534" s="72" t="str">
        <f t="shared" si="2535"/>
        <v>NA</v>
      </c>
      <c r="AK534" s="115">
        <f>AK131+AK96+AK251+AK323+AK348+AK216+AK386+AK427+AK456+AK489</f>
        <v>0</v>
      </c>
      <c r="AL534" s="72" t="str">
        <f t="shared" si="2536"/>
        <v>NA</v>
      </c>
      <c r="AM534" s="115">
        <f>AM131+AM96+AM251+AM323+AM348+AM216+AM386+AM427+AM456+AM489</f>
        <v>0</v>
      </c>
      <c r="AN534" s="72" t="str">
        <f t="shared" si="2537"/>
        <v>NA</v>
      </c>
      <c r="AO534" s="115">
        <f>AO131+AO96+AO251+AO323+AO348+AO216+AO386+AO427+AO456+AO489</f>
        <v>65</v>
      </c>
      <c r="AP534" s="72" t="str">
        <f t="shared" si="2538"/>
        <v>NA</v>
      </c>
      <c r="AQ534" s="115">
        <f>AQ131+AQ96+AQ251+AQ323+AQ348+AQ216+AQ386+AQ427+AQ456+AQ489</f>
        <v>110</v>
      </c>
      <c r="AR534" s="72" t="str">
        <f t="shared" si="2539"/>
        <v>NA</v>
      </c>
      <c r="AS534" s="115">
        <f>AS131+AS96+AS251+AS323+AS348+AS216+AS386+AS427+AS456+AS489</f>
        <v>3</v>
      </c>
      <c r="AT534" s="72" t="str">
        <f t="shared" si="2540"/>
        <v>NA</v>
      </c>
      <c r="AU534" s="115">
        <f>AU131+AU96+AU251+AU323+AU348+AU216+AU386+AU427+AU456+AU489</f>
        <v>124</v>
      </c>
      <c r="AV534" s="72" t="str">
        <f t="shared" si="2541"/>
        <v>NA</v>
      </c>
      <c r="AW534" s="115">
        <f>AW131+AW96+AW251+AW323+AW348+AW216+AW386+AW427+AW456+AW489</f>
        <v>-189</v>
      </c>
      <c r="AX534" s="72" t="str">
        <f t="shared" si="2542"/>
        <v>NM</v>
      </c>
      <c r="AY534" s="115">
        <f>AY131+AY96+AY251+AY323+AY348+AY216+AY386+AY427+AY456+AY489</f>
        <v>-103</v>
      </c>
      <c r="AZ534" s="72" t="str">
        <f t="shared" si="2543"/>
        <v>NM</v>
      </c>
      <c r="BA534" s="115">
        <f>BA131+BA96+BA251+BA323+BA348+BA216+BA386+BA427+BA456+BA489</f>
        <v>-19</v>
      </c>
      <c r="BB534" s="72" t="str">
        <f t="shared" si="2544"/>
        <v>NM</v>
      </c>
      <c r="BC534" s="115">
        <f>BC131+BC96+BC251+BC323+BC348+BC216+BC386+BC427+BC456+BC489</f>
        <v>163</v>
      </c>
      <c r="BD534" s="72">
        <f t="shared" si="2545"/>
        <v>31.451612903225794</v>
      </c>
      <c r="BE534" s="115">
        <f>BE131+BE96+BE251+BE323+BE348+BE216+BE386+BE427+BE456+BE489</f>
        <v>49</v>
      </c>
      <c r="BF534" s="72" t="str">
        <f t="shared" si="2546"/>
        <v>NM</v>
      </c>
      <c r="BG534" s="115">
        <f>BG131+BG96+BG251+BG323+BG348+BG216+BG386+BG427+BG456+BG489</f>
        <v>48</v>
      </c>
      <c r="BH534" s="72" t="str">
        <f t="shared" si="2547"/>
        <v>NM</v>
      </c>
      <c r="BI534" s="115">
        <f>BI131+BI96+BI251+BI323+BI348+BI216+BI386+BI427+BI456+BI489</f>
        <v>25</v>
      </c>
      <c r="BJ534" s="72" t="str">
        <f t="shared" si="2548"/>
        <v>NM</v>
      </c>
      <c r="BK534" s="115">
        <f>BK131+BK96+BK251+BK323+BK348+BK216+BK386+BK427+BK456+BK489</f>
        <v>-15</v>
      </c>
      <c r="BL534" s="72" t="str">
        <f t="shared" si="2549"/>
        <v>NM</v>
      </c>
      <c r="BM534" s="115">
        <f>BM131+BM96+BM251+BM323+BM348+BM216+BM386+BM427+BM456+BM489</f>
        <v>-150</v>
      </c>
      <c r="BN534" s="72" t="str">
        <f t="shared" si="2550"/>
        <v>NM</v>
      </c>
      <c r="BO534" s="115">
        <f>BO131+BO96+BO251+BO323+BO348+BO216+BO386+BO427+BO456+BO489</f>
        <v>-29</v>
      </c>
      <c r="BP534" s="72" t="str">
        <f t="shared" si="2551"/>
        <v>NM</v>
      </c>
      <c r="BQ534" s="115">
        <f>BQ131+BQ96+BQ251+BQ323+BQ348+BQ216+BQ386+BQ427+BQ456+BQ489</f>
        <v>40</v>
      </c>
      <c r="BR534" s="72">
        <f t="shared" si="2552"/>
        <v>60</v>
      </c>
      <c r="BS534" s="115">
        <f>BS131+BS96+BS251+BS323+BS348+BS216+BS386+BS427+BS456+BS489</f>
        <v>-356</v>
      </c>
      <c r="BT534" s="72" t="str">
        <f t="shared" si="2553"/>
        <v>NM</v>
      </c>
      <c r="BU534" s="115">
        <f>BU131+BU96+BU251+BU323+BU348+BU216+BU386+BU427+BU456+BU489</f>
        <v>-1757</v>
      </c>
      <c r="BV534" s="72" t="str">
        <f t="shared" si="2554"/>
        <v>NM</v>
      </c>
      <c r="BW534" s="115">
        <f>BW131+BW96+BW251+BW323+BW348+BW216+BW386+BW427+BW456+BW489</f>
        <v>-368</v>
      </c>
      <c r="BX534" s="72" t="str">
        <f t="shared" si="2555"/>
        <v>NM</v>
      </c>
      <c r="BY534" s="115">
        <f>BY131+BY96+BY251+BY323+BY348+BY216+BY386+BY427+BY456+BY489</f>
        <v>453</v>
      </c>
      <c r="BZ534" s="72" t="str">
        <f t="shared" si="2556"/>
        <v>NM</v>
      </c>
      <c r="CA534" s="115">
        <f>CA131+CA96+CA251+CA323+CA348+CA216+CA386+CA427+CA456+CA489</f>
        <v>231</v>
      </c>
      <c r="CB534" s="72" t="str">
        <f t="shared" si="2557"/>
        <v>NM</v>
      </c>
      <c r="CC534" s="115">
        <f>CC131+CC96+CC251+CC323+CC348+CC216+CC386+CC427+CC456+CC489</f>
        <v>79</v>
      </c>
      <c r="CD534" s="72" t="str">
        <f t="shared" si="2558"/>
        <v>NM</v>
      </c>
      <c r="CE534" s="115">
        <f>CE131+CE96+CE251+CE323+CE348+CE216+CE386+CE427+CE456+CE489</f>
        <v>99</v>
      </c>
      <c r="CF534" s="72" t="str">
        <f t="shared" si="2559"/>
        <v>NM</v>
      </c>
      <c r="CG534" s="115">
        <f>CG131+CG96+CG251+CG323+CG348+CG216+CG386+CG427+CG456+CG489</f>
        <v>-321</v>
      </c>
      <c r="CH534" s="72" t="str">
        <f t="shared" si="2560"/>
        <v>NM</v>
      </c>
      <c r="CI534" s="115">
        <f>CI131+CI96+CI251+CI323+CI348+CI216+CI386+CI427+CI456+CI489</f>
        <v>477</v>
      </c>
      <c r="CJ534" s="72" t="str">
        <f>IF(ISERROR(CI534/CA534),"NA",IF(OR(CI534/CA534&gt;2,CI534/CA534&lt;0.5),"NM",CI534/CA534*100-100))</f>
        <v>NM</v>
      </c>
      <c r="CK534" s="115">
        <f>CK131+CK96+CK251+CK323+CK348+CK216+CK386+CK427+CK456+CK489</f>
        <v>212</v>
      </c>
      <c r="CL534" s="72" t="str">
        <f>IF(ISERROR(CK534/CC534),"NA",IF(OR(CK534/CC534&gt;2,CK534/CC534&lt;0.5),"NM",CK534/CC534*100-100))</f>
        <v>NM</v>
      </c>
      <c r="CM534" s="115">
        <f>CM131+CM96+CM251+CM323+CM348+CM216+CM386+CM427+CM456+CM489</f>
        <v>154.30000000000001</v>
      </c>
      <c r="CN534" s="72">
        <f>IF(ISERROR(CM534/CE534),"NA",IF(OR(CM534/CE534&gt;2,CM534/CE534&lt;0.5),"NM",CM534/CE534*100-100))</f>
        <v>55.858585858585883</v>
      </c>
      <c r="CO534" s="115">
        <f>CO131+CO96+CO251+CO323+CO348+CO216+CO386+CO427+CO456+CO489</f>
        <v>-24</v>
      </c>
      <c r="CP534" s="72" t="str">
        <f>IF(ISERROR(CO534/CG534),"NA",IF(OR(CO534/CG534&gt;2,CO534/CG534&lt;0.5),"NM",CO534/CG534*100-100))</f>
        <v>NM</v>
      </c>
      <c r="CQ534" s="115">
        <f>CQ131+CQ96+CQ251+CQ323+CQ348+CQ216+CQ386+CQ427+CQ456+CQ489</f>
        <v>-431</v>
      </c>
      <c r="CR534" s="72" t="str">
        <f>IF(ISERROR(CQ534/CI534),"NA",IF(OR(CQ534/CI534&gt;2,CQ534/CI534&lt;0.5),"NM",CQ534/CI534*100-100))</f>
        <v>NM</v>
      </c>
      <c r="CS534" s="115">
        <f>CS131+CS96+CS251+CS323+CS348+CS216+CS386+CS427+CS456+CS489</f>
        <v>282</v>
      </c>
      <c r="CT534" s="72">
        <f>IF(ISERROR(CS534/CK534),"NA",IF(OR(CS534/CK534&gt;2,CS534/CK534&lt;0.5),"NM",CS534/CK534*100-100))</f>
        <v>33.018867924528308</v>
      </c>
      <c r="CU534" s="115">
        <f>CU131+CU96+CU251+CU323+CU348+CU216+CU386+CU427+CU456+CU489</f>
        <v>196</v>
      </c>
      <c r="CV534" s="72">
        <f t="shared" si="2561"/>
        <v>27.025275437459499</v>
      </c>
      <c r="CW534" s="115">
        <f>CW131+CW96+CW251+CW323+CW348+CW216+CW386+CW427+CW456+CW489</f>
        <v>-208</v>
      </c>
      <c r="CX534" s="72" t="str">
        <f t="shared" si="2562"/>
        <v>NM</v>
      </c>
      <c r="CY534" s="115">
        <f>CY131+CY96+CY251+CY323+CY348+CY216+CY386+CY427+CY456+CY489</f>
        <v>-124</v>
      </c>
      <c r="CZ534" s="72" t="str">
        <f t="shared" si="2563"/>
        <v>NM</v>
      </c>
      <c r="DA534" s="115">
        <f>DA131+DA96+DA251+DA323+DA348+DA216+DA386+DA427+DA456+DA489</f>
        <v>-46</v>
      </c>
      <c r="DB534" s="72" t="str">
        <f t="shared" si="2564"/>
        <v>NM</v>
      </c>
      <c r="DC534" s="115">
        <f>DC131+DC96+DC251+DC323+DC348+DC216+DC386+DC427+DC456+DC489</f>
        <v>109</v>
      </c>
      <c r="DD534" s="72">
        <f t="shared" si="2565"/>
        <v>-44.387755102040813</v>
      </c>
      <c r="DE534" s="115">
        <f>DE131+DE96+DE251+DE323+DE348+DE216+DE386+DE427+DE456+DE489</f>
        <v>152</v>
      </c>
      <c r="DF534" s="72" t="str">
        <f t="shared" si="2566"/>
        <v>NM</v>
      </c>
      <c r="DG534" s="115">
        <f>DG131+DG96+DG251+DG323+DG348+DG216+DG386+DG427+DG456+DG489</f>
        <v>406</v>
      </c>
      <c r="DH534" s="72" t="str">
        <f t="shared" si="2567"/>
        <v>NM</v>
      </c>
      <c r="DI534" s="115">
        <f>DI131+DI96+DI251+DI323+DI348+DI216+DI386+DI427+DI456+DI489</f>
        <v>-1</v>
      </c>
      <c r="DJ534" s="72" t="str">
        <f t="shared" si="2568"/>
        <v>NM</v>
      </c>
      <c r="DK534" s="115">
        <f>DK131+DK96+DK251+DK323+DK348+DK216+DK386+DK427+DK456+DK489</f>
        <v>-45</v>
      </c>
      <c r="DL534" s="72" t="str">
        <f>IF(ISERROR(DK534/DC534),"NA",IF(OR(DK534/DC534&gt;2,DK534/DC534&lt;0.5),"NM",DK534/DC534*100-100))</f>
        <v>NM</v>
      </c>
      <c r="DM534" s="115">
        <f>DM131+DM96+DM251+DM323+DM348+DM216+DM386+DM427+DM456+DM489</f>
        <v>-12</v>
      </c>
      <c r="DN534" s="72" t="str">
        <f t="shared" si="2569"/>
        <v>NM</v>
      </c>
      <c r="DO534" s="115">
        <f>DO131+DO96+DO251+DO323+DO348+DO216+DO386+DO427+DO456+DO489</f>
        <v>-244</v>
      </c>
      <c r="DP534" s="72" t="str">
        <f t="shared" si="2569"/>
        <v>NM</v>
      </c>
      <c r="DQ534" s="115">
        <f>DQ131+DQ96+DQ251+DQ323+DQ348+DQ216+DQ386+DQ427+DQ456+DQ489</f>
        <v>-151</v>
      </c>
      <c r="DR534" s="72" t="str">
        <f t="shared" si="2569"/>
        <v>NM</v>
      </c>
      <c r="DS534" s="115">
        <f>DS131+DS96+DS251+DS323+DS348+DS216+DS386+DS427+DS456+DS489</f>
        <v>97</v>
      </c>
      <c r="DT534" s="72" t="str">
        <f t="shared" si="2569"/>
        <v>NM</v>
      </c>
      <c r="DU534" s="115">
        <f>DU131+DU96+DU251+DU323+DU348+DU216+DU386+DU427+DU456+DU489</f>
        <v>203</v>
      </c>
      <c r="DV534" s="72" t="str">
        <f t="shared" si="2569"/>
        <v>NM</v>
      </c>
      <c r="DW534" s="115">
        <f>DW131+DW96+DW251+DW323+DW348+DW216+DW386+DW427+DW456+DW489</f>
        <v>-84</v>
      </c>
      <c r="DX534" s="72" t="str">
        <f t="shared" si="2569"/>
        <v>NM</v>
      </c>
      <c r="DY534" s="115">
        <f>DY131+DY96+DY251+DY323+DY348+DY216+DY386+DY427+DY456+DY489</f>
        <v>-92.5</v>
      </c>
      <c r="DZ534" s="72">
        <f t="shared" si="2569"/>
        <v>-38.741721854304636</v>
      </c>
      <c r="EA534" s="115">
        <f>EA131+EA96+EA251+EA323+EA348+EA216+EA386+EA427+EA456+EA489</f>
        <v>-98</v>
      </c>
      <c r="EB534" s="72" t="str">
        <f>IF(ISERROR(EA534/DS534),"NA",IF(OR(EA534/DS534&gt;2,EA534/DS534&lt;0.5),"NM",EA534/DS534*100-100))</f>
        <v>NM</v>
      </c>
      <c r="EC534" s="115">
        <f>EC131+EC96+EC251+EC323+EC348+EC216+EC386+EC427+EC456+EC489</f>
        <v>-435</v>
      </c>
      <c r="ED534" s="72" t="str">
        <f>IF(ISERROR(EC534/DU534),"NA",IF(OR(EC534/DU534&gt;2,EC534/DU534&lt;0.5),"NM",EC534/DU534*100-100))</f>
        <v>NM</v>
      </c>
      <c r="EE534" s="115">
        <f>EE131+EE96+EE251+EE323+EE348+EE216+EE386+EE427+EE456+EE489</f>
        <v>105</v>
      </c>
      <c r="EF534" s="72" t="str">
        <f>IF(ISERROR(EE534/DW534),"NA",IF(OR(EE534/DW534&gt;2,EE534/DW534&lt;0.5),"NM",EE534/DW534*100-100))</f>
        <v>NM</v>
      </c>
      <c r="EG534" s="115">
        <f>EG131+EG96+EG251+EG323+EG348+EG216+EG386+EG427+EG456+EG489</f>
        <v>20</v>
      </c>
      <c r="EH534" s="72" t="str">
        <f>IF(ISERROR(EG534/DY534),"NA",IF(OR(EG534/DY534&gt;2,EG534/DY534&lt;0.5),"NM",EG534/DY534*100-100))</f>
        <v>NM</v>
      </c>
      <c r="EI534" s="115">
        <f>EI131+EI96+EI251+EI323+EI348+EI216+EI386+EI427+EI456+EI489</f>
        <v>19.899999999999999</v>
      </c>
      <c r="EJ534" s="72" t="str">
        <f>IF(ISERROR(EI534/EA534),"NA",IF(OR(EI534/EA534&gt;2,EI534/EA534&lt;0.5),"NM",EI534/EA534*100-100))</f>
        <v>NM</v>
      </c>
      <c r="EK534" s="115">
        <f>EK131+EK96+EK251+EK323+EK348+EK216+EK386+EK427+EK456+EK489</f>
        <v>-568</v>
      </c>
      <c r="EL534" s="72">
        <f>IF(ISERROR(EK534/EC534),"NA",IF(OR(EK534/EC534&gt;2,EK534/EC534&lt;0.5),"NM",EK534/EC534*100-100))</f>
        <v>30.574712643678168</v>
      </c>
      <c r="EM534" s="115">
        <f>EM131+EM96+EM251+EM323+EM348+EM216+EM386+EM427+EM456+EM489</f>
        <v>48</v>
      </c>
      <c r="EN534" s="72" t="str">
        <f>IF(ISERROR(EM534/EE534),"NA",IF(OR(EM534/EE534&gt;2,EM534/EE534&lt;0.5),"NM",EM534/EE534*100-100))</f>
        <v>NM</v>
      </c>
      <c r="EO534" s="115">
        <f>EO131+EO96+EO251+EO323+EO348+EO216+EO386+EO427+EO456+EO489</f>
        <v>4</v>
      </c>
      <c r="EP534" s="72" t="str">
        <f>IF(ISERROR(EO534/EG534),"NA",IF(OR(EO534/EG534&gt;2,EO534/EG534&lt;0.5),"NM",EO534/EG534*100-100))</f>
        <v>NM</v>
      </c>
      <c r="EQ534" s="145">
        <f>EQ131+EQ96+EQ251+EQ323+EQ348+EQ216+EQ386+EQ427+EQ456+EQ489</f>
        <v>0</v>
      </c>
      <c r="ER534" s="72" t="str">
        <f t="shared" si="2570"/>
        <v>NM</v>
      </c>
      <c r="ES534" s="145">
        <f>ES131+ES96+ES251+ES323+ES348+ES216+ES386+ES427+ES456+ES489</f>
        <v>0</v>
      </c>
      <c r="ET534" s="72" t="str">
        <f t="shared" si="2571"/>
        <v>NM</v>
      </c>
      <c r="EU534" s="145">
        <f>EU131+EU96+EU251+EU323+EU348+EU216+EU386+EU427+EU456+EU489</f>
        <v>0</v>
      </c>
      <c r="EV534" s="72" t="str">
        <f t="shared" si="2572"/>
        <v>NM</v>
      </c>
      <c r="EW534" s="145">
        <f>EW131+EW96+EW251+EW323+EW348+EW216+EW386+EW427+EW456+EW489</f>
        <v>0</v>
      </c>
      <c r="EX534" s="72" t="str">
        <f t="shared" si="2573"/>
        <v>NM</v>
      </c>
      <c r="EY534" s="72"/>
      <c r="EZ534" s="296"/>
      <c r="FA534" s="72"/>
      <c r="FB534" s="16"/>
      <c r="FC534" s="11"/>
      <c r="FD534" s="115">
        <f>FD131+FD96+FD251+FD323+FD348+FD216+FD386+FD427+FD456+FD489</f>
        <v>0</v>
      </c>
      <c r="FE534" s="72" t="str">
        <f t="shared" si="2574"/>
        <v>NA</v>
      </c>
      <c r="FF534" s="115">
        <f>FF131+FF96+FF251+FF323+FF348+FF216+FF386+FF427+FF456+FF489</f>
        <v>0</v>
      </c>
      <c r="FG534" s="72" t="str">
        <f t="shared" si="2575"/>
        <v>NA</v>
      </c>
      <c r="FH534" s="115">
        <f>FH131+FH96+FH251+FH323+FH348+FH216+FH386+FH427+FH456+FH489</f>
        <v>0</v>
      </c>
      <c r="FI534" s="72" t="str">
        <f t="shared" si="2576"/>
        <v>NA</v>
      </c>
      <c r="FJ534" s="115">
        <f>FJ131+FJ96+FJ251+FJ323+FJ348+FJ216+FJ386+FJ427+FJ456+FJ489</f>
        <v>0</v>
      </c>
      <c r="FK534" s="72" t="str">
        <f t="shared" si="2577"/>
        <v>NA</v>
      </c>
      <c r="FL534" s="115">
        <f>FL131+FL96+FL251+FL323+FL348+FL216+FL386+FL427+FL456+FL489</f>
        <v>-11</v>
      </c>
      <c r="FM534" s="72" t="str">
        <f t="shared" si="2578"/>
        <v>NA</v>
      </c>
      <c r="FN534" s="115">
        <f>FN131+FN96+FN251+FN323+FN348+FN216+FN386+FN427+FN456+FN489</f>
        <v>61</v>
      </c>
      <c r="FO534" s="72" t="str">
        <f t="shared" si="2579"/>
        <v>NM</v>
      </c>
      <c r="FP534" s="115">
        <f>FP131+FP96+FP251+FP323+FP348+FP216+FP386+FP427+FP456+FP489</f>
        <v>30</v>
      </c>
      <c r="FQ534" s="72" t="str">
        <f>IF(ISERROR(FP534/FN534),"NA",IF(OR(FP534/FN534&gt;2,FP534/FN534&lt;0.5),"NM",FP534/FN534*100-100))</f>
        <v>NM</v>
      </c>
      <c r="FR534" s="115">
        <f>FR131+FR96+FR251+FR323+FR348+FR216+FR386+FR427+FR456+FR489</f>
        <v>108</v>
      </c>
      <c r="FS534" s="72" t="str">
        <f>IF(ISERROR(FR534/FP534),"NA",IF(OR(FR534/FP534&gt;2,FR534/FP534&lt;0.5),"NM",FR534/FP534*100-100))</f>
        <v>NM</v>
      </c>
      <c r="FT534" s="115">
        <f>FT131+FT96+FT251+FT323+FT348+FT216+FT386+FT427+FT456+FT489</f>
        <v>-67</v>
      </c>
      <c r="FU534" s="72" t="str">
        <f>IF(ISERROR(FT534/FR534),"NA",IF(OR(FT534/FR534&gt;2,FT534/FR534&lt;0.5),"NM",FT534/FR534*100-100))</f>
        <v>NM</v>
      </c>
      <c r="FV534" s="115">
        <f>FV131+FV96+FV251+FV323+FV348+FV216+FV386+FV427+FV456+FV489</f>
        <v>-2086</v>
      </c>
      <c r="FW534" s="72" t="str">
        <f>IF(ISERROR(FV534/FT534),"NA",IF(OR(FV534/FT534&gt;2,FV534/FT534&lt;0.5),"NM",FV534/FT534*100-100))</f>
        <v>NM</v>
      </c>
      <c r="FX534" s="115">
        <f>FX131+FX96+FX251+FX323+FX348+FX216+FX386+FX427+FX456+FX489</f>
        <v>395</v>
      </c>
      <c r="FY534" s="72" t="str">
        <f t="shared" si="2580"/>
        <v>NM</v>
      </c>
      <c r="FZ534" s="115">
        <f>FZ131+FZ96+FZ251+FZ323+FZ348+FZ216+FZ386+FZ427+FZ456+FZ489</f>
        <v>467</v>
      </c>
      <c r="GA534" s="72">
        <f t="shared" si="2581"/>
        <v>18.227848101265835</v>
      </c>
      <c r="GB534" s="115">
        <f>GB131+GB96+GB251+GB323+GB348+GB216+GB386+GB427+GB456+GB489</f>
        <v>-18.700000000000017</v>
      </c>
      <c r="GC534" s="72" t="str">
        <f>IF(ISERROR(GB534/FZ534),"NA",IF(OR(GB534/FZ534&gt;2,GB534/FZ534&lt;0.5),"NM",GB534/FZ534*100-100))</f>
        <v>NM</v>
      </c>
      <c r="GD534" s="115">
        <f>GD131+GD96+GD251+GD323+GD348+GD216+GD386+GD427+GD456+GD489</f>
        <v>-182</v>
      </c>
      <c r="GE534" s="72" t="str">
        <f>IF(ISERROR(GD534/GB534),"NA",IF(OR(GD534/GB534&gt;2,GD534/GB534&lt;0.5),"NM",GD534/GB534*100-100))</f>
        <v>NM</v>
      </c>
      <c r="GF534" s="115">
        <f>GF131+GF96+GF251+GF323+GF348+GF216+GF386+GF427+GF456+GF489</f>
        <v>666</v>
      </c>
      <c r="GG534" s="72" t="str">
        <f>IF(ISERROR(GF534/GD534),"NA",IF(OR(GF534/GD534&gt;2,GF534/GD534&lt;0.5),"NM",GF534/GD534*100-100))</f>
        <v>NM</v>
      </c>
      <c r="GH534" s="115">
        <f>GH131+GH96+GH251+GH323+GH348+GH216+GH386+GH427+GH456+GH489</f>
        <v>-452</v>
      </c>
      <c r="GI534" s="72" t="str">
        <f t="shared" si="2582"/>
        <v>NM</v>
      </c>
      <c r="GJ534" s="115">
        <f>GJ131+GJ96+GJ251+GJ323+GJ348+GJ216+GJ386+GJ427+GJ456+GJ489</f>
        <v>123.5</v>
      </c>
      <c r="GK534" s="72" t="str">
        <f t="shared" si="2582"/>
        <v>NM</v>
      </c>
      <c r="GL534" s="115">
        <f>GL131+GL96+GL251+GL323+GL348+GL216+GL386+GL427+GL456+GL489</f>
        <v>-408</v>
      </c>
      <c r="GM534" s="72" t="str">
        <f t="shared" si="2582"/>
        <v>NM</v>
      </c>
      <c r="GN534" s="115">
        <f>GN131+GN96+GN251+GN323+GN348+GN216+GN386+GN427+GN456+GN489</f>
        <v>-496.1</v>
      </c>
      <c r="GO534" s="72">
        <f t="shared" si="2582"/>
        <v>21.593137254901976</v>
      </c>
      <c r="GP534" s="115">
        <f>GP131+GP96+GP251+GP323+GP348+GP216+GP386+GP427+GP456+GP489</f>
        <v>0</v>
      </c>
      <c r="GQ534" s="72" t="str">
        <f t="shared" si="2582"/>
        <v>NM</v>
      </c>
      <c r="GR534" s="115">
        <f>GR131+GR96+GR251+GR323+GR348+GR216+GR386+GR427+GR456+GR489</f>
        <v>0</v>
      </c>
      <c r="GS534" s="72" t="str">
        <f t="shared" si="2582"/>
        <v>NA</v>
      </c>
      <c r="GT534" s="115">
        <f>GT131+GT96+GT251+GT323+GT348+GT216+GT386+GT427+GT456+GT489</f>
        <v>0</v>
      </c>
      <c r="GU534" s="72" t="str">
        <f t="shared" si="2582"/>
        <v>NA</v>
      </c>
      <c r="GV534" s="115">
        <f>GV131+GV96+GV251+GV323+GV348+GV216+GV386+GV427+GV456+GV489</f>
        <v>0</v>
      </c>
      <c r="GW534" s="72" t="str">
        <f>IF(ISERROR(GV534/GT534),"NA",IF(OR(GV534/GT534&gt;2,GV534/GT534&lt;0.5),"NM",GV534/GT534*100-100))</f>
        <v>NA</v>
      </c>
      <c r="GX534" s="115">
        <f>GX131+GX96+GX251+GX323+GX348+GX216+GX386+GX427+GX456+GX489</f>
        <v>0</v>
      </c>
      <c r="GY534" s="72" t="str">
        <f>IF(ISERROR(GX534/GV534),"NA",IF(OR(GX534/GV534&gt;2,GX534/GV534&lt;0.5),"NM",GX534/GV534*100-100))</f>
        <v>NA</v>
      </c>
      <c r="GZ534" s="72" t="str">
        <f>IF(ISERROR(((GX534/GN534)^0.2-1)*100),"NA",IF((((GX534/GN534)^0.2-1)*100)&gt;100,"NM",IF((((GX534/GN534)^0.2-1)*100)&lt;-50,"NM",((GX534/GN534)^0.2-1)*100)))</f>
        <v>NM</v>
      </c>
      <c r="HA534" s="72"/>
      <c r="HB534" s="72"/>
      <c r="HC534"/>
      <c r="HD534"/>
      <c r="HE534"/>
      <c r="HF534"/>
      <c r="HG534"/>
      <c r="HH534"/>
      <c r="HI534" s="2"/>
    </row>
    <row r="535" spans="1:217" s="3" customFormat="1" ht="12.75" customHeight="1" x14ac:dyDescent="0.2">
      <c r="B535" s="10"/>
      <c r="C535" s="115"/>
      <c r="D535" s="145"/>
      <c r="E535" s="115"/>
      <c r="F535" s="11"/>
      <c r="G535" s="115"/>
      <c r="H535" s="11"/>
      <c r="I535" s="115"/>
      <c r="J535" s="11"/>
      <c r="K535" s="115"/>
      <c r="L535" s="72"/>
      <c r="M535" s="115"/>
      <c r="N535" s="72"/>
      <c r="O535" s="115"/>
      <c r="P535" s="72"/>
      <c r="Q535" s="115"/>
      <c r="R535" s="72"/>
      <c r="S535" s="115"/>
      <c r="T535" s="72"/>
      <c r="U535" s="115"/>
      <c r="V535" s="72"/>
      <c r="W535" s="115"/>
      <c r="X535" s="72"/>
      <c r="Y535" s="115"/>
      <c r="Z535" s="72"/>
      <c r="AA535" s="115"/>
      <c r="AB535" s="72"/>
      <c r="AC535" s="115"/>
      <c r="AD535" s="72"/>
      <c r="AE535" s="115"/>
      <c r="AF535" s="72"/>
      <c r="AG535" s="115"/>
      <c r="AH535" s="72"/>
      <c r="AI535" s="115"/>
      <c r="AJ535" s="72"/>
      <c r="AK535" s="115"/>
      <c r="AL535" s="72"/>
      <c r="AM535" s="115"/>
      <c r="AN535" s="72"/>
      <c r="AO535" s="115"/>
      <c r="AP535" s="72"/>
      <c r="AQ535" s="115"/>
      <c r="AR535" s="72"/>
      <c r="AS535" s="115"/>
      <c r="AT535" s="72"/>
      <c r="AU535" s="115"/>
      <c r="AV535" s="72"/>
      <c r="AW535" s="115"/>
      <c r="AX535" s="72"/>
      <c r="AY535" s="115"/>
      <c r="AZ535" s="72"/>
      <c r="BA535" s="115"/>
      <c r="BB535" s="72"/>
      <c r="BC535" s="115"/>
      <c r="BD535" s="72"/>
      <c r="BE535" s="115"/>
      <c r="BF535" s="72"/>
      <c r="BG535" s="115"/>
      <c r="BH535" s="72"/>
      <c r="BI535" s="115"/>
      <c r="BJ535" s="72"/>
      <c r="BK535" s="115"/>
      <c r="BL535" s="72"/>
      <c r="BM535" s="115"/>
      <c r="BN535" s="72"/>
      <c r="BO535" s="115"/>
      <c r="BP535" s="72"/>
      <c r="BQ535" s="115"/>
      <c r="BR535" s="72"/>
      <c r="BS535" s="115"/>
      <c r="BT535" s="72"/>
      <c r="BU535" s="115"/>
      <c r="BV535" s="72"/>
      <c r="BW535" s="115"/>
      <c r="BX535" s="72"/>
      <c r="BY535" s="115"/>
      <c r="BZ535" s="72"/>
      <c r="CA535" s="115"/>
      <c r="CB535" s="72"/>
      <c r="CC535" s="115"/>
      <c r="CD535" s="72"/>
      <c r="CE535" s="115"/>
      <c r="CF535" s="72"/>
      <c r="CG535" s="115"/>
      <c r="CH535" s="72"/>
      <c r="CI535" s="115"/>
      <c r="CJ535" s="72"/>
      <c r="CK535" s="115"/>
      <c r="CL535" s="72"/>
      <c r="CM535" s="115"/>
      <c r="CN535" s="72"/>
      <c r="CO535" s="115"/>
      <c r="CP535" s="72"/>
      <c r="CQ535" s="115"/>
      <c r="CR535" s="72"/>
      <c r="CS535" s="115"/>
      <c r="CT535" s="72"/>
      <c r="CU535" s="115"/>
      <c r="CV535" s="72"/>
      <c r="CW535" s="115"/>
      <c r="CX535" s="72"/>
      <c r="CY535" s="115"/>
      <c r="CZ535" s="72"/>
      <c r="DA535" s="115"/>
      <c r="DB535" s="72"/>
      <c r="DC535" s="115"/>
      <c r="DD535" s="72"/>
      <c r="DE535" s="115"/>
      <c r="DF535" s="72"/>
      <c r="DG535" s="115"/>
      <c r="DH535" s="72"/>
      <c r="DI535" s="115"/>
      <c r="DJ535" s="72"/>
      <c r="DK535" s="115"/>
      <c r="DL535" s="72"/>
      <c r="DM535" s="115"/>
      <c r="DN535" s="72"/>
      <c r="DO535" s="115"/>
      <c r="DP535" s="72"/>
      <c r="DQ535" s="115"/>
      <c r="DR535" s="72"/>
      <c r="DS535" s="115"/>
      <c r="DT535" s="72"/>
      <c r="DU535" s="115"/>
      <c r="DV535" s="72"/>
      <c r="DW535" s="115"/>
      <c r="DX535" s="72"/>
      <c r="DY535" s="115"/>
      <c r="DZ535" s="72"/>
      <c r="EA535" s="115"/>
      <c r="EB535" s="72"/>
      <c r="EC535" s="115"/>
      <c r="ED535" s="72"/>
      <c r="EE535" s="115"/>
      <c r="EF535" s="72"/>
      <c r="EG535" s="115"/>
      <c r="EH535" s="72"/>
      <c r="EI535" s="115"/>
      <c r="EJ535" s="72"/>
      <c r="EK535" s="115"/>
      <c r="EL535" s="72"/>
      <c r="EM535" s="115"/>
      <c r="EN535" s="72"/>
      <c r="EO535" s="115"/>
      <c r="EP535" s="72"/>
      <c r="EQ535" s="145"/>
      <c r="ER535" s="72"/>
      <c r="ES535" s="145"/>
      <c r="ET535" s="72"/>
      <c r="EU535" s="145"/>
      <c r="EV535" s="72"/>
      <c r="EW535" s="145"/>
      <c r="EX535" s="72"/>
      <c r="EY535" s="72"/>
      <c r="EZ535" s="296"/>
      <c r="FA535" s="72"/>
      <c r="FB535" s="16"/>
      <c r="FC535" s="11"/>
      <c r="FD535" s="145"/>
      <c r="FE535" s="72"/>
      <c r="FF535" s="145"/>
      <c r="FG535" s="72"/>
      <c r="FH535" s="145"/>
      <c r="FI535" s="72"/>
      <c r="FJ535" s="145"/>
      <c r="FK535" s="72"/>
      <c r="FL535" s="145"/>
      <c r="FM535" s="72"/>
      <c r="FN535" s="145"/>
      <c r="FO535" s="72"/>
      <c r="FP535" s="145"/>
      <c r="FQ535" s="72"/>
      <c r="FR535" s="145"/>
      <c r="FS535" s="72"/>
      <c r="FT535" s="145"/>
      <c r="FU535" s="72"/>
      <c r="FV535" s="145"/>
      <c r="FW535" s="72"/>
      <c r="FX535" s="145"/>
      <c r="FY535" s="72"/>
      <c r="FZ535" s="145"/>
      <c r="GA535" s="72"/>
      <c r="GB535" s="145"/>
      <c r="GC535" s="72"/>
      <c r="GD535" s="145"/>
      <c r="GE535" s="72"/>
      <c r="GF535" s="145"/>
      <c r="GG535" s="72"/>
      <c r="GH535" s="145"/>
      <c r="GI535" s="72"/>
      <c r="GJ535" s="145"/>
      <c r="GK535" s="72"/>
      <c r="GL535" s="145"/>
      <c r="GM535" s="72"/>
      <c r="GN535" s="145"/>
      <c r="GO535" s="72"/>
      <c r="GP535" s="145"/>
      <c r="GQ535" s="72"/>
      <c r="GR535" s="145"/>
      <c r="GS535" s="72"/>
      <c r="GT535" s="145"/>
      <c r="GU535" s="72"/>
      <c r="GV535" s="145"/>
      <c r="GW535" s="72"/>
      <c r="GX535" s="145"/>
      <c r="GY535" s="72"/>
      <c r="GZ535" s="72"/>
      <c r="HA535" s="72"/>
      <c r="HB535" s="72"/>
      <c r="HC535"/>
      <c r="HD535"/>
      <c r="HE535"/>
      <c r="HF535"/>
      <c r="HG535"/>
      <c r="HH535"/>
      <c r="HI535" s="111"/>
    </row>
    <row r="536" spans="1:217" s="78" customFormat="1" ht="12.75" customHeight="1" x14ac:dyDescent="0.2">
      <c r="A536" s="3" t="s">
        <v>231</v>
      </c>
      <c r="B536" s="89" t="s">
        <v>634</v>
      </c>
      <c r="C536" s="156">
        <f>C533+C534</f>
        <v>223</v>
      </c>
      <c r="D536" s="161"/>
      <c r="E536" s="156">
        <f>E533+E534</f>
        <v>233</v>
      </c>
      <c r="F536" s="161"/>
      <c r="G536" s="156">
        <f>G533+G534</f>
        <v>180</v>
      </c>
      <c r="H536" s="161"/>
      <c r="I536" s="156">
        <f>I533+I534</f>
        <v>105</v>
      </c>
      <c r="J536" s="161"/>
      <c r="K536" s="156">
        <f>K533+K534</f>
        <v>467</v>
      </c>
      <c r="L536" s="72" t="str">
        <f t="shared" si="2523"/>
        <v>NM</v>
      </c>
      <c r="M536" s="156">
        <f>M533+M534</f>
        <v>430</v>
      </c>
      <c r="N536" s="72">
        <f t="shared" si="2524"/>
        <v>84.549356223175977</v>
      </c>
      <c r="O536" s="156">
        <f>O533+O534</f>
        <v>314</v>
      </c>
      <c r="P536" s="72">
        <f t="shared" si="2525"/>
        <v>74.444444444444457</v>
      </c>
      <c r="Q536" s="156">
        <f>Q533+Q534</f>
        <v>258</v>
      </c>
      <c r="R536" s="72" t="str">
        <f t="shared" si="2526"/>
        <v>NM</v>
      </c>
      <c r="S536" s="156">
        <f>S533+S534</f>
        <v>494</v>
      </c>
      <c r="T536" s="72">
        <f t="shared" si="2527"/>
        <v>5.7815845824411127</v>
      </c>
      <c r="U536" s="156">
        <f>U533+U534</f>
        <v>469</v>
      </c>
      <c r="V536" s="72">
        <f t="shared" si="2528"/>
        <v>9.0697674418604493</v>
      </c>
      <c r="W536" s="156">
        <f>W533+W534</f>
        <v>442</v>
      </c>
      <c r="X536" s="72">
        <f t="shared" si="2529"/>
        <v>40.764331210191074</v>
      </c>
      <c r="Y536" s="156">
        <f>Y533+Y534</f>
        <v>376</v>
      </c>
      <c r="Z536" s="72">
        <f t="shared" si="2530"/>
        <v>45.736434108527135</v>
      </c>
      <c r="AA536" s="156">
        <f>AA533+AA534</f>
        <v>456</v>
      </c>
      <c r="AB536" s="72">
        <f t="shared" si="2531"/>
        <v>-7.6923076923076934</v>
      </c>
      <c r="AC536" s="156">
        <f>AC533+AC534</f>
        <v>550</v>
      </c>
      <c r="AD536" s="72">
        <f t="shared" si="2532"/>
        <v>17.27078891257996</v>
      </c>
      <c r="AE536" s="156">
        <f>AE533+AE534</f>
        <v>519</v>
      </c>
      <c r="AF536" s="72">
        <f t="shared" si="2533"/>
        <v>17.420814479638011</v>
      </c>
      <c r="AG536" s="156">
        <f>AG533+AG534</f>
        <v>562</v>
      </c>
      <c r="AH536" s="72">
        <f t="shared" si="2534"/>
        <v>49.468085106383</v>
      </c>
      <c r="AI536" s="156">
        <f>AI533+AI534</f>
        <v>564</v>
      </c>
      <c r="AJ536" s="72">
        <f t="shared" si="2535"/>
        <v>23.684210526315795</v>
      </c>
      <c r="AK536" s="156">
        <f>AK533+AK534</f>
        <v>723</v>
      </c>
      <c r="AL536" s="72">
        <f t="shared" si="2536"/>
        <v>31.454545454545439</v>
      </c>
      <c r="AM536" s="156">
        <f>AM533+AM534</f>
        <v>712</v>
      </c>
      <c r="AN536" s="72">
        <f t="shared" si="2537"/>
        <v>37.186897880539505</v>
      </c>
      <c r="AO536" s="156">
        <f>AO533+AO534</f>
        <v>762</v>
      </c>
      <c r="AP536" s="72">
        <f t="shared" si="2538"/>
        <v>35.587188612099652</v>
      </c>
      <c r="AQ536" s="156">
        <f>AQ533+AQ534</f>
        <v>871</v>
      </c>
      <c r="AR536" s="72">
        <f t="shared" si="2539"/>
        <v>54.432624113475185</v>
      </c>
      <c r="AS536" s="156">
        <f>AS533+AS534</f>
        <v>809</v>
      </c>
      <c r="AT536" s="72">
        <f t="shared" si="2540"/>
        <v>11.894882434301522</v>
      </c>
      <c r="AU536" s="156">
        <f>AU533+AU534</f>
        <v>1000</v>
      </c>
      <c r="AV536" s="72">
        <f t="shared" si="2541"/>
        <v>40.449438202247194</v>
      </c>
      <c r="AW536" s="156">
        <f>AW533+AW534</f>
        <v>751</v>
      </c>
      <c r="AX536" s="72">
        <f t="shared" si="2542"/>
        <v>-1.4435695538057729</v>
      </c>
      <c r="AY536" s="156">
        <f>AY533+AY534</f>
        <v>854</v>
      </c>
      <c r="AZ536" s="72">
        <f t="shared" si="2543"/>
        <v>-1.9517795637198532</v>
      </c>
      <c r="BA536" s="156">
        <f>BA533+BA534</f>
        <v>922</v>
      </c>
      <c r="BB536" s="72">
        <f t="shared" si="2544"/>
        <v>13.967861557478372</v>
      </c>
      <c r="BC536" s="156">
        <f>BC533+BC534</f>
        <v>1106</v>
      </c>
      <c r="BD536" s="72">
        <f t="shared" si="2545"/>
        <v>10.600000000000009</v>
      </c>
      <c r="BE536" s="156">
        <f>BE533+BE534</f>
        <v>1021</v>
      </c>
      <c r="BF536" s="72">
        <f t="shared" si="2546"/>
        <v>35.952063914780297</v>
      </c>
      <c r="BG536" s="156">
        <f>BG533+BG534</f>
        <v>1097.5999999999999</v>
      </c>
      <c r="BH536" s="72">
        <f t="shared" si="2547"/>
        <v>28.524590163934391</v>
      </c>
      <c r="BI536" s="156">
        <f>BI533+BI534</f>
        <v>1121</v>
      </c>
      <c r="BJ536" s="72">
        <f t="shared" si="2548"/>
        <v>21.583514099783073</v>
      </c>
      <c r="BK536" s="156">
        <f>BK533+BK534</f>
        <v>1295</v>
      </c>
      <c r="BL536" s="72">
        <f t="shared" si="2549"/>
        <v>17.088607594936718</v>
      </c>
      <c r="BM536" s="156">
        <f>BM533+BM534</f>
        <v>1024</v>
      </c>
      <c r="BN536" s="72">
        <f t="shared" si="2550"/>
        <v>0.2938295788442673</v>
      </c>
      <c r="BO536" s="156">
        <f>BO533+BO534</f>
        <v>913</v>
      </c>
      <c r="BP536" s="72">
        <f t="shared" si="2551"/>
        <v>-16.81851311953352</v>
      </c>
      <c r="BQ536" s="156">
        <f>BQ533+BQ534</f>
        <v>1114</v>
      </c>
      <c r="BR536" s="72">
        <f t="shared" si="2552"/>
        <v>-0.62444246208742982</v>
      </c>
      <c r="BS536" s="156">
        <f>BS533+BS534</f>
        <v>604</v>
      </c>
      <c r="BT536" s="72" t="str">
        <f t="shared" si="2553"/>
        <v>NM</v>
      </c>
      <c r="BU536" s="156">
        <f>BU533+BU534</f>
        <v>-1182</v>
      </c>
      <c r="BV536" s="72" t="str">
        <f t="shared" si="2554"/>
        <v>NM</v>
      </c>
      <c r="BW536" s="156">
        <f>BW533+BW534</f>
        <v>245</v>
      </c>
      <c r="BX536" s="72" t="str">
        <f t="shared" si="2555"/>
        <v>NM</v>
      </c>
      <c r="BY536" s="156">
        <f>BY533+BY534</f>
        <v>1167</v>
      </c>
      <c r="BZ536" s="72">
        <f t="shared" si="2556"/>
        <v>4.7576301615798826</v>
      </c>
      <c r="CA536" s="156">
        <f>CA533+CA534</f>
        <v>1066</v>
      </c>
      <c r="CB536" s="72">
        <f t="shared" si="2557"/>
        <v>76.490066225165577</v>
      </c>
      <c r="CC536" s="156">
        <f>CC533+CC534</f>
        <v>765</v>
      </c>
      <c r="CD536" s="72" t="str">
        <f t="shared" si="2558"/>
        <v>NM</v>
      </c>
      <c r="CE536" s="156">
        <f>CE533+CE534</f>
        <v>856</v>
      </c>
      <c r="CF536" s="72" t="str">
        <f t="shared" si="2559"/>
        <v>NM</v>
      </c>
      <c r="CG536" s="156">
        <f>CG533+CG534</f>
        <v>490</v>
      </c>
      <c r="CH536" s="72" t="str">
        <f t="shared" si="2560"/>
        <v>NM</v>
      </c>
      <c r="CI536" s="156">
        <f>CI533+CI534</f>
        <v>1232</v>
      </c>
      <c r="CJ536" s="72">
        <f>IF(ISERROR(CI536/CA536),"NA",IF(OR(CI536/CA536&gt;2,CI536/CA536&lt;0.5),"NM",CI536/CA536*100-100))</f>
        <v>15.572232645403375</v>
      </c>
      <c r="CK536" s="156">
        <f>CK533+CK534</f>
        <v>1084</v>
      </c>
      <c r="CL536" s="72">
        <f>IF(ISERROR(CK536/CC536),"NA",IF(OR(CK536/CC536&gt;2,CK536/CC536&lt;0.5),"NM",CK536/CC536*100-100))</f>
        <v>41.699346405228766</v>
      </c>
      <c r="CM536" s="156">
        <f>CM533+CM534</f>
        <v>1104</v>
      </c>
      <c r="CN536" s="72">
        <f>IF(ISERROR(CM536/CE536),"NA",IF(OR(CM536/CE536&gt;2,CM536/CE536&lt;0.5),"NM",CM536/CE536*100-100))</f>
        <v>28.971962616822424</v>
      </c>
      <c r="CO536" s="156">
        <f>CO533+CO534</f>
        <v>1081</v>
      </c>
      <c r="CP536" s="72" t="str">
        <f>IF(ISERROR(CO536/CG536),"NA",IF(OR(CO536/CG536&gt;2,CO536/CG536&lt;0.5),"NM",CO536/CG536*100-100))</f>
        <v>NM</v>
      </c>
      <c r="CQ536" s="156">
        <f>CQ533+CQ534</f>
        <v>552</v>
      </c>
      <c r="CR536" s="72" t="str">
        <f>IF(ISERROR(CQ536/CI536),"NA",IF(OR(CQ536/CI536&gt;2,CQ536/CI536&lt;0.5),"NM",CQ536/CI536*100-100))</f>
        <v>NM</v>
      </c>
      <c r="CS536" s="156">
        <f>CS533+CS534</f>
        <v>1260</v>
      </c>
      <c r="CT536" s="72">
        <f>IF(ISERROR(CS536/CK536),"NA",IF(OR(CS536/CK536&gt;2,CS536/CK536&lt;0.5),"NM",CS536/CK536*100-100))</f>
        <v>16.236162361623613</v>
      </c>
      <c r="CU536" s="156">
        <f>CU533+CU534</f>
        <v>1124</v>
      </c>
      <c r="CV536" s="72">
        <f t="shared" si="2561"/>
        <v>1.8115942028985614</v>
      </c>
      <c r="CW536" s="156">
        <f>CW533+CW534</f>
        <v>894</v>
      </c>
      <c r="CX536" s="72">
        <f t="shared" si="2562"/>
        <v>-17.298797409805729</v>
      </c>
      <c r="CY536" s="156">
        <f>CY533+CY534</f>
        <v>1063</v>
      </c>
      <c r="CZ536" s="72">
        <f t="shared" si="2563"/>
        <v>92.572463768115938</v>
      </c>
      <c r="DA536" s="156">
        <f>DA533+DA534</f>
        <v>1086</v>
      </c>
      <c r="DB536" s="72">
        <f t="shared" si="2564"/>
        <v>-13.80952380952381</v>
      </c>
      <c r="DC536" s="156">
        <f>DC533+DC534</f>
        <v>1481</v>
      </c>
      <c r="DD536" s="72">
        <f t="shared" si="2565"/>
        <v>31.761565836298928</v>
      </c>
      <c r="DE536" s="156">
        <f>DE533+DE534</f>
        <v>1523</v>
      </c>
      <c r="DF536" s="72">
        <f t="shared" si="2566"/>
        <v>70.357941834451907</v>
      </c>
      <c r="DG536" s="156">
        <f>DG533+DG534</f>
        <v>1921</v>
      </c>
      <c r="DH536" s="72">
        <f t="shared" si="2567"/>
        <v>80.71495766698024</v>
      </c>
      <c r="DI536" s="156">
        <f>DI533+DI534</f>
        <v>1472</v>
      </c>
      <c r="DJ536" s="72">
        <f t="shared" si="2568"/>
        <v>35.543278084714558</v>
      </c>
      <c r="DK536" s="156">
        <f>DK533+DK534</f>
        <v>1571</v>
      </c>
      <c r="DL536" s="72">
        <f>IF(ISERROR(DK536/DC536),"NA",IF(OR(DK536/DC536&gt;2,DK536/DC536&lt;0.5),"NM",DK536/DC536*100-100))</f>
        <v>6.0769750168804961</v>
      </c>
      <c r="DM536" s="156">
        <f>DM533+DM534</f>
        <v>1623</v>
      </c>
      <c r="DN536" s="72">
        <f t="shared" ref="DN536:DZ539" si="2583">IF(ISERROR(DM536/DE536),"NA",IF(OR(DM536/DE536&gt;2,DM536/DE536&lt;0.5),"NM",DM536/DE536*100-100))</f>
        <v>6.5659881812212717</v>
      </c>
      <c r="DO536" s="156">
        <f>DO533+DO534</f>
        <v>1353</v>
      </c>
      <c r="DP536" s="72">
        <f t="shared" si="2583"/>
        <v>-29.567933368037487</v>
      </c>
      <c r="DQ536" s="156">
        <f>DQ533+DQ534</f>
        <v>1345</v>
      </c>
      <c r="DR536" s="72">
        <f t="shared" si="2583"/>
        <v>-8.6277173913043441</v>
      </c>
      <c r="DS536" s="156">
        <f>DS533+DS534</f>
        <v>1745</v>
      </c>
      <c r="DT536" s="72">
        <f t="shared" si="2583"/>
        <v>11.075747931253986</v>
      </c>
      <c r="DU536" s="156">
        <f>DU533+DU534</f>
        <v>1841</v>
      </c>
      <c r="DV536" s="72">
        <f t="shared" si="2583"/>
        <v>13.431916204559457</v>
      </c>
      <c r="DW536" s="156">
        <f>DW533+DW534</f>
        <v>1463</v>
      </c>
      <c r="DX536" s="72">
        <f t="shared" si="2583"/>
        <v>8.1300813008130035</v>
      </c>
      <c r="DY536" s="156">
        <f>DY533+DY534</f>
        <v>1182</v>
      </c>
      <c r="DZ536" s="72">
        <f t="shared" si="2583"/>
        <v>-12.118959107806688</v>
      </c>
      <c r="EA536" s="156">
        <f>EA533+EA534</f>
        <v>1325</v>
      </c>
      <c r="EB536" s="72">
        <f>IF(ISERROR(EA536/DS536),"NA",IF(OR(EA536/DS536&gt;2,EA536/DS536&lt;0.5),"NM",EA536/DS536*100-100))</f>
        <v>-24.068767908309454</v>
      </c>
      <c r="EC536" s="156">
        <f>EC533+EC534</f>
        <v>1057</v>
      </c>
      <c r="ED536" s="72">
        <f>IF(ISERROR(EC536/DU536),"NA",IF(OR(EC536/DU536&gt;2,EC536/DU536&lt;0.5),"NM",EC536/DU536*100-100))</f>
        <v>-42.585551330798474</v>
      </c>
      <c r="EE536" s="156">
        <f>EE533+EE534</f>
        <v>1558</v>
      </c>
      <c r="EF536" s="72">
        <f>IF(ISERROR(EE536/DW536),"NA",IF(OR(EE536/DW536&gt;2,EE536/DW536&lt;0.5),"NM",EE536/DW536*100-100))</f>
        <v>6.4935064935064872</v>
      </c>
      <c r="EG536" s="156">
        <f>EG533+EG534</f>
        <v>1459</v>
      </c>
      <c r="EH536" s="72">
        <f>IF(ISERROR(EG536/DY536),"NA",IF(OR(EG536/DY536&gt;2,EG536/DY536&lt;0.5),"NM",EG536/DY536*100-100))</f>
        <v>23.434856175972925</v>
      </c>
      <c r="EI536" s="156">
        <f>EI533+EI534</f>
        <v>1660</v>
      </c>
      <c r="EJ536" s="72">
        <f>IF(ISERROR(EI536/EA536),"NA",IF(OR(EI536/EA536&gt;2,EI536/EA536&lt;0.5),"NM",EI536/EA536*100-100))</f>
        <v>25.283018867924525</v>
      </c>
      <c r="EK536" s="156">
        <f>EK533+EK534</f>
        <v>1228</v>
      </c>
      <c r="EL536" s="72">
        <f>IF(ISERROR(EK536/EC536),"NA",IF(OR(EK536/EC536&gt;2,EK536/EC536&lt;0.5),"NM",EK536/EC536*100-100))</f>
        <v>16.177861873226121</v>
      </c>
      <c r="EM536" s="156">
        <f>EM533+EM534</f>
        <v>1784</v>
      </c>
      <c r="EN536" s="72">
        <f>IF(ISERROR(EM536/EE536),"NA",IF(OR(EM536/EE536&gt;2,EM536/EE536&lt;0.5),"NM",EM536/EE536*100-100))</f>
        <v>14.505776636713733</v>
      </c>
      <c r="EO536" s="156">
        <f>EO533+EO534</f>
        <v>1572</v>
      </c>
      <c r="EP536" s="72">
        <f>IF(ISERROR(EO536/EG536),"NA",IF(OR(EO536/EG536&gt;2,EO536/EG536&lt;0.5),"NM",EO536/EG536*100-100))</f>
        <v>7.7450308430431818</v>
      </c>
      <c r="EQ536" s="162">
        <f t="shared" ref="EQ536" si="2584">EQ533+EQ534</f>
        <v>1714.94101971797</v>
      </c>
      <c r="ER536" s="72">
        <f t="shared" ref="ER536:ER539" si="2585">IF(ISERROR(EQ536/EI536),"NA",IF(OR(EQ536/EI536&gt;2,EQ536/EI536&lt;0.5),"NM",EQ536/EI536*100-100))</f>
        <v>3.3096999830102476</v>
      </c>
      <c r="ES536" s="162">
        <f t="shared" ref="ES536" si="2586">ES533+ES534</f>
        <v>1724.30578930712</v>
      </c>
      <c r="ET536" s="72">
        <f t="shared" ref="ET536:ET539" si="2587">IF(ISERROR(ES536/EK536),"NA",IF(OR(ES536/EK536&gt;2,ES536/EK536&lt;0.5),"NM",ES536/EK536*100-100))</f>
        <v>40.415780888201937</v>
      </c>
      <c r="EU536" s="162">
        <f t="shared" ref="EU536" si="2588">EU533+EU534</f>
        <v>1704.9226454723339</v>
      </c>
      <c r="EV536" s="72">
        <f t="shared" ref="EV536:EV539" si="2589">IF(ISERROR(EU536/EM536),"NA",IF(OR(EU536/EM536&gt;2,EU536/EM536&lt;0.5),"NM",EU536/EM536*100-100))</f>
        <v>-4.4325871372010113</v>
      </c>
      <c r="EW536" s="162">
        <f t="shared" ref="EW536" si="2590">EW533+EW534</f>
        <v>1537.9404567817808</v>
      </c>
      <c r="EX536" s="72">
        <f t="shared" ref="EX536:EX539" si="2591">IF(ISERROR(EW536/EO536),"NA",IF(OR(EW536/EO536&gt;2,EW536/EO536&lt;0.5),"NM",EW536/EO536*100-100))</f>
        <v>-2.1666376093014748</v>
      </c>
      <c r="EY536" s="72"/>
      <c r="EZ536" s="332"/>
      <c r="FA536" s="72"/>
      <c r="FB536" s="160"/>
      <c r="FC536" s="161"/>
      <c r="FD536" s="162">
        <f>FD533+FD534</f>
        <v>1209</v>
      </c>
      <c r="FE536" s="72" t="str">
        <f t="shared" si="2574"/>
        <v>NA</v>
      </c>
      <c r="FF536" s="162">
        <f>FF533+FF534</f>
        <v>1220</v>
      </c>
      <c r="FG536" s="72">
        <f t="shared" si="2575"/>
        <v>0.90984284532670756</v>
      </c>
      <c r="FH536" s="162">
        <f>FH533+FH534</f>
        <v>1467</v>
      </c>
      <c r="FI536" s="72">
        <f t="shared" si="2576"/>
        <v>20.245901639344254</v>
      </c>
      <c r="FJ536" s="162">
        <f>FJ533+FJ534</f>
        <v>1789</v>
      </c>
      <c r="FK536" s="72">
        <f t="shared" si="2577"/>
        <v>21.949556918882081</v>
      </c>
      <c r="FL536" s="162">
        <f>FL533+FL534</f>
        <v>2087</v>
      </c>
      <c r="FM536" s="72">
        <f t="shared" si="2578"/>
        <v>16.657350475125781</v>
      </c>
      <c r="FN536" s="162">
        <f>FN533+FN534</f>
        <v>2761</v>
      </c>
      <c r="FO536" s="72">
        <f t="shared" si="2579"/>
        <v>32.295160517489222</v>
      </c>
      <c r="FP536" s="162">
        <f>FP533+FP534</f>
        <v>3431</v>
      </c>
      <c r="FQ536" s="72">
        <f>IF(ISERROR(FP536/FN536),"NA",IF(OR(FP536/FN536&gt;2,FP536/FN536&lt;0.5),"NM",FP536/FN536*100-100))</f>
        <v>24.266570083303151</v>
      </c>
      <c r="FR536" s="162">
        <f>FR533+FR534</f>
        <v>3903</v>
      </c>
      <c r="FS536" s="72">
        <f>IF(ISERROR(FR536/FP536),"NA",IF(OR(FR536/FP536&gt;2,FR536/FP536&lt;0.5),"NM",FR536/FP536*100-100))</f>
        <v>13.756922180122416</v>
      </c>
      <c r="FT536" s="162">
        <f>FT533+FT534</f>
        <v>4537.6000000000004</v>
      </c>
      <c r="FU536" s="72">
        <f>IF(ISERROR(FT536/FR536),"NA",IF(OR(FT536/FR536&gt;2,FT536/FR536&lt;0.5),"NM",FT536/FR536*100-100))</f>
        <v>16.259287727389207</v>
      </c>
      <c r="FV536" s="162">
        <f>FV533+FV534</f>
        <v>1162</v>
      </c>
      <c r="FW536" s="72" t="str">
        <f>IF(ISERROR(FV536/FT536),"NA",IF(OR(FV536/FT536&gt;2,FV536/FT536&lt;0.5),"NM",FV536/FT536*100-100))</f>
        <v>NM</v>
      </c>
      <c r="FX536" s="162">
        <f>FX533+FX534</f>
        <v>2950</v>
      </c>
      <c r="FY536" s="72" t="str">
        <f t="shared" si="2580"/>
        <v>NM</v>
      </c>
      <c r="FZ536" s="162">
        <f>FZ533+FZ534</f>
        <v>3662</v>
      </c>
      <c r="GA536" s="72">
        <f t="shared" si="2581"/>
        <v>24.135593220338976</v>
      </c>
      <c r="GB536" s="162">
        <f>GB533+GB534</f>
        <v>3997</v>
      </c>
      <c r="GC536" s="72">
        <f>IF(ISERROR(GB536/FZ536),"NA",IF(OR(GB536/FZ536&gt;2,GB536/FZ536&lt;0.5),"NM",GB536/FZ536*100-100))</f>
        <v>9.1480065537957529</v>
      </c>
      <c r="GD536" s="162">
        <f>GD533+GD534</f>
        <v>4167</v>
      </c>
      <c r="GE536" s="72">
        <f>IF(ISERROR(GD536/GB536),"NA",IF(OR(GD536/GB536&gt;2,GD536/GB536&lt;0.5),"NM",GD536/GB536*100-100))</f>
        <v>4.2531898924193143</v>
      </c>
      <c r="GF536" s="162">
        <f>GF533+GF534</f>
        <v>6397</v>
      </c>
      <c r="GG536" s="72">
        <f>IF(ISERROR(GF536/GD536),"NA",IF(OR(GF536/GD536&gt;2,GF536/GD536&lt;0.5),"NM",GF536/GD536*100-100))</f>
        <v>53.51571874250061</v>
      </c>
      <c r="GH536" s="162">
        <f>GH533+GH534</f>
        <v>5892</v>
      </c>
      <c r="GI536" s="72">
        <f t="shared" ref="GI536:GU539" si="2592">IF(ISERROR(GH536/GF536),"NA",IF(OR(GH536/GF536&gt;2,GH536/GF536&lt;0.5),"NM",GH536/GF536*100-100))</f>
        <v>-7.8943254650617405</v>
      </c>
      <c r="GJ536" s="162">
        <f>GJ533+GJ534</f>
        <v>6231</v>
      </c>
      <c r="GK536" s="72">
        <f t="shared" si="2592"/>
        <v>5.7535641547861616</v>
      </c>
      <c r="GL536" s="162">
        <f>GL533+GL534</f>
        <v>5399</v>
      </c>
      <c r="GM536" s="72">
        <f t="shared" si="2592"/>
        <v>-13.35259187931311</v>
      </c>
      <c r="GN536" s="162">
        <f>GN533+GN534</f>
        <v>6244</v>
      </c>
      <c r="GO536" s="72">
        <f t="shared" si="2592"/>
        <v>15.651046490090749</v>
      </c>
      <c r="GP536" s="162">
        <f>GP533+GP534</f>
        <v>6682.1099112792044</v>
      </c>
      <c r="GQ536" s="72">
        <f t="shared" si="2592"/>
        <v>7.0164944151057682</v>
      </c>
      <c r="GR536" s="162">
        <f>GR533+GR534</f>
        <v>6763.3154899509773</v>
      </c>
      <c r="GS536" s="72">
        <f t="shared" si="2592"/>
        <v>1.215268526707419</v>
      </c>
      <c r="GT536" s="162">
        <f>GT533+GT534</f>
        <v>6833.5605709238998</v>
      </c>
      <c r="GU536" s="72">
        <f t="shared" si="2592"/>
        <v>1.0386190186942201</v>
      </c>
      <c r="GV536" s="162">
        <f>GV533+GV534</f>
        <v>6911.8040872976526</v>
      </c>
      <c r="GW536" s="72">
        <f>IF(ISERROR(GV536/GT536),"NA",IF(OR(GV536/GT536&gt;2,GV536/GT536&lt;0.5),"NM",GV536/GT536*100-100))</f>
        <v>1.1449889930978543</v>
      </c>
      <c r="GX536" s="162">
        <f>GX533+GX534</f>
        <v>6979.8482302145721</v>
      </c>
      <c r="GY536" s="72">
        <f>IF(ISERROR(GX536/GV536),"NA",IF(OR(GX536/GV536&gt;2,GX536/GV536&lt;0.5),"NM",GX536/GV536*100-100))</f>
        <v>0.98446284150284669</v>
      </c>
      <c r="GZ536" s="72">
        <f>IF(ISERROR(((GX536/GN536)^0.2-1)*100),"NA",IF((((GX536/GN536)^0.2-1)*100)&gt;100,"NM",IF((((GX536/GN536)^0.2-1)*100)&lt;-50,"NM",((GX536/GN536)^0.2-1)*100)))</f>
        <v>2.2531314682770365</v>
      </c>
      <c r="HA536" s="72"/>
      <c r="HB536" s="72"/>
      <c r="HC536"/>
      <c r="HD536"/>
      <c r="HE536"/>
      <c r="HF536"/>
      <c r="HG536"/>
      <c r="HH536"/>
      <c r="HI536" s="2"/>
    </row>
    <row r="537" spans="1:217" s="3" customFormat="1" ht="12.75" customHeight="1" x14ac:dyDescent="0.2">
      <c r="A537" s="3" t="s">
        <v>260</v>
      </c>
      <c r="B537" s="10" t="s">
        <v>324</v>
      </c>
      <c r="C537" s="144">
        <f>C550-(C425*0.35)</f>
        <v>0</v>
      </c>
      <c r="D537" s="11"/>
      <c r="E537" s="144">
        <f>E550-(E425*0.35)</f>
        <v>0</v>
      </c>
      <c r="F537" s="11"/>
      <c r="G537" s="144">
        <f>G550-(G425*0.35)</f>
        <v>0</v>
      </c>
      <c r="H537" s="11"/>
      <c r="I537" s="144">
        <f>I550-(I425*0.35)</f>
        <v>0</v>
      </c>
      <c r="J537" s="11"/>
      <c r="K537" s="144">
        <f>K550-(K425*0.35)</f>
        <v>0</v>
      </c>
      <c r="L537" s="72" t="str">
        <f t="shared" si="2523"/>
        <v>NA</v>
      </c>
      <c r="M537" s="144">
        <f>M550-(M425*0.35)</f>
        <v>0</v>
      </c>
      <c r="N537" s="72" t="str">
        <f t="shared" si="2524"/>
        <v>NA</v>
      </c>
      <c r="O537" s="144">
        <f>O550-(O425*0.35)</f>
        <v>0</v>
      </c>
      <c r="P537" s="72" t="str">
        <f t="shared" si="2525"/>
        <v>NA</v>
      </c>
      <c r="Q537" s="144">
        <f>Q550-(Q425*0.35)</f>
        <v>0</v>
      </c>
      <c r="R537" s="72" t="str">
        <f t="shared" si="2526"/>
        <v>NA</v>
      </c>
      <c r="S537" s="144">
        <f>S550-(S425*0.35)</f>
        <v>0</v>
      </c>
      <c r="T537" s="72" t="str">
        <f t="shared" si="2527"/>
        <v>NA</v>
      </c>
      <c r="U537" s="144">
        <f>U550-(U425*0.35)</f>
        <v>0</v>
      </c>
      <c r="V537" s="72" t="str">
        <f t="shared" si="2528"/>
        <v>NA</v>
      </c>
      <c r="W537" s="144">
        <f>W550-(W425*0.35)</f>
        <v>0</v>
      </c>
      <c r="X537" s="72" t="str">
        <f t="shared" si="2529"/>
        <v>NA</v>
      </c>
      <c r="Y537" s="144">
        <f>Y550-(Y425*0.35)</f>
        <v>0</v>
      </c>
      <c r="Z537" s="72" t="str">
        <f t="shared" si="2530"/>
        <v>NA</v>
      </c>
      <c r="AA537" s="144">
        <f>AA550-(AA425*0.35)</f>
        <v>0</v>
      </c>
      <c r="AB537" s="72" t="str">
        <f t="shared" si="2531"/>
        <v>NA</v>
      </c>
      <c r="AC537" s="144">
        <f>AC550-(AC425*0.35)</f>
        <v>0</v>
      </c>
      <c r="AD537" s="72" t="str">
        <f t="shared" si="2532"/>
        <v>NA</v>
      </c>
      <c r="AE537" s="144">
        <f>AE550-(AE425*0.35)</f>
        <v>0</v>
      </c>
      <c r="AF537" s="72" t="str">
        <f t="shared" si="2533"/>
        <v>NA</v>
      </c>
      <c r="AG537" s="144">
        <f>AG550-(AG425*0.35)</f>
        <v>0</v>
      </c>
      <c r="AH537" s="72" t="str">
        <f t="shared" si="2534"/>
        <v>NA</v>
      </c>
      <c r="AI537" s="144">
        <f>AI550-(AI425*0.35)</f>
        <v>0</v>
      </c>
      <c r="AJ537" s="72" t="str">
        <f t="shared" si="2535"/>
        <v>NA</v>
      </c>
      <c r="AK537" s="144">
        <f>AK550-(AK425*0.35)</f>
        <v>0</v>
      </c>
      <c r="AL537" s="72" t="str">
        <f t="shared" si="2536"/>
        <v>NA</v>
      </c>
      <c r="AM537" s="144">
        <f>AM550-(AM425*0.35)</f>
        <v>0</v>
      </c>
      <c r="AN537" s="72" t="str">
        <f t="shared" si="2537"/>
        <v>NA</v>
      </c>
      <c r="AO537" s="144">
        <f>AO550-(AO425*0.35)</f>
        <v>0</v>
      </c>
      <c r="AP537" s="72" t="str">
        <f t="shared" si="2538"/>
        <v>NA</v>
      </c>
      <c r="AQ537" s="144">
        <f>AQ550-(AQ425*0.35)</f>
        <v>0</v>
      </c>
      <c r="AR537" s="72" t="str">
        <f t="shared" si="2539"/>
        <v>NA</v>
      </c>
      <c r="AS537" s="144">
        <f>AS550-(AS425*0.35)</f>
        <v>0</v>
      </c>
      <c r="AT537" s="72" t="str">
        <f t="shared" si="2540"/>
        <v>NA</v>
      </c>
      <c r="AU537" s="144">
        <f>AU550-(AU425*0.35)</f>
        <v>0</v>
      </c>
      <c r="AV537" s="72" t="str">
        <f t="shared" si="2541"/>
        <v>NA</v>
      </c>
      <c r="AW537" s="144">
        <f>AW550-(AW425*0.35)</f>
        <v>0</v>
      </c>
      <c r="AX537" s="72" t="str">
        <f t="shared" si="2542"/>
        <v>NA</v>
      </c>
      <c r="AY537" s="144">
        <f>AY550-(AY425*0.35)</f>
        <v>252</v>
      </c>
      <c r="AZ537" s="72" t="str">
        <f t="shared" si="2543"/>
        <v>NA</v>
      </c>
      <c r="BA537" s="144">
        <f>BA550-(BA425*0.35)</f>
        <v>274</v>
      </c>
      <c r="BB537" s="72" t="str">
        <f t="shared" si="2544"/>
        <v>NA</v>
      </c>
      <c r="BC537" s="144">
        <f>BC550-(BC425*0.35)</f>
        <v>330</v>
      </c>
      <c r="BD537" s="72" t="str">
        <f t="shared" si="2545"/>
        <v>NA</v>
      </c>
      <c r="BE537" s="144">
        <f>BE550-(BE425*0.35)</f>
        <v>304</v>
      </c>
      <c r="BF537" s="72" t="str">
        <f t="shared" si="2546"/>
        <v>NA</v>
      </c>
      <c r="BG537" s="144">
        <f>BG550-(BG425*0.35)</f>
        <v>314</v>
      </c>
      <c r="BH537" s="72">
        <f t="shared" si="2547"/>
        <v>24.603174603174608</v>
      </c>
      <c r="BI537" s="144">
        <f>BI550-(BI425*0.35)</f>
        <v>321</v>
      </c>
      <c r="BJ537" s="72">
        <f t="shared" si="2548"/>
        <v>17.153284671532859</v>
      </c>
      <c r="BK537" s="144">
        <f>BK550-(BK425*0.35)</f>
        <v>379</v>
      </c>
      <c r="BL537" s="72">
        <f t="shared" si="2549"/>
        <v>14.848484848484844</v>
      </c>
      <c r="BM537" s="144">
        <f>BM550-(BM425*0.35)</f>
        <v>244</v>
      </c>
      <c r="BN537" s="72">
        <f t="shared" si="2550"/>
        <v>-19.73684210526315</v>
      </c>
      <c r="BO537" s="144">
        <f>BO550-(BO425*0.35)</f>
        <v>240</v>
      </c>
      <c r="BP537" s="72">
        <f t="shared" si="2551"/>
        <v>-23.566878980891715</v>
      </c>
      <c r="BQ537" s="144">
        <f>BQ550-(BQ425*0.35)</f>
        <v>282</v>
      </c>
      <c r="BR537" s="72">
        <f t="shared" si="2552"/>
        <v>-12.149532710280369</v>
      </c>
      <c r="BS537" s="144">
        <f>BS550-(BS425*0.35)</f>
        <v>186</v>
      </c>
      <c r="BT537" s="72" t="str">
        <f t="shared" si="2553"/>
        <v>NM</v>
      </c>
      <c r="BU537" s="144">
        <f>BU550-(BU425*0.35)</f>
        <v>-304</v>
      </c>
      <c r="BV537" s="72" t="str">
        <f t="shared" si="2554"/>
        <v>NM</v>
      </c>
      <c r="BW537" s="144">
        <f>BW550-(BW425*0.35)</f>
        <v>56</v>
      </c>
      <c r="BX537" s="72" t="str">
        <f t="shared" si="2555"/>
        <v>NM</v>
      </c>
      <c r="BY537" s="144">
        <f>BY550-(BY425*0.35)</f>
        <v>306</v>
      </c>
      <c r="BZ537" s="72">
        <f t="shared" si="2556"/>
        <v>8.5106382978723332</v>
      </c>
      <c r="CA537" s="144">
        <f>CA550-(CA425*0.35)</f>
        <v>246</v>
      </c>
      <c r="CB537" s="72">
        <f t="shared" si="2557"/>
        <v>32.258064516129025</v>
      </c>
      <c r="CC537" s="144">
        <f>CC550-(CC425*0.35)</f>
        <v>211</v>
      </c>
      <c r="CD537" s="72" t="str">
        <f t="shared" si="2558"/>
        <v>NM</v>
      </c>
      <c r="CE537" s="144">
        <f>CE550-(CE425*0.35)</f>
        <v>222</v>
      </c>
      <c r="CF537" s="72" t="str">
        <f t="shared" si="2559"/>
        <v>NM</v>
      </c>
      <c r="CG537" s="144">
        <f>CG550-(CG425*0.35)</f>
        <v>111</v>
      </c>
      <c r="CH537" s="72" t="str">
        <f t="shared" si="2560"/>
        <v>NM</v>
      </c>
      <c r="CI537" s="144">
        <f>CI550-(CI425*0.35)</f>
        <v>330</v>
      </c>
      <c r="CJ537" s="72">
        <f>IF(ISERROR(CI537/CA537),"NA",IF(OR(CI537/CA537&gt;2,CI537/CA537&lt;0.5),"NM",CI537/CA537*100-100))</f>
        <v>34.146341463414643</v>
      </c>
      <c r="CK537" s="144">
        <f>CK550-(CK425*0.35)</f>
        <v>298</v>
      </c>
      <c r="CL537" s="72">
        <f>IF(ISERROR(CK537/CC537),"NA",IF(OR(CK537/CC537&gt;2,CK537/CC537&lt;0.5),"NM",CK537/CC537*100-100))</f>
        <v>41.232227488151665</v>
      </c>
      <c r="CM537" s="144">
        <f>CM550-(CM425*0.35)</f>
        <v>298.8</v>
      </c>
      <c r="CN537" s="72">
        <f>IF(ISERROR(CM537/CE537),"NA",IF(OR(CM537/CE537&gt;2,CM537/CE537&lt;0.5),"NM",CM537/CE537*100-100))</f>
        <v>34.594594594594582</v>
      </c>
      <c r="CO537" s="144">
        <f>CO550-(CO425*0.35)</f>
        <v>289.14999999999998</v>
      </c>
      <c r="CP537" s="72" t="str">
        <f>IF(ISERROR(CO537/CG537),"NA",IF(OR(CO537/CG537&gt;2,CO537/CG537&lt;0.5),"NM",CO537/CG537*100-100))</f>
        <v>NM</v>
      </c>
      <c r="CQ537" s="144">
        <f>CQ550-(CQ425*0.35)</f>
        <v>118.05</v>
      </c>
      <c r="CR537" s="72" t="str">
        <f>IF(ISERROR(CQ537/CI537),"NA",IF(OR(CQ537/CI537&gt;2,CQ537/CI537&lt;0.5),"NM",CQ537/CI537*100-100))</f>
        <v>NM</v>
      </c>
      <c r="CS537" s="144">
        <f>CS550-(CS425*0.35)</f>
        <v>343.9</v>
      </c>
      <c r="CT537" s="72">
        <f>IF(ISERROR(CS537/CK537),"NA",IF(OR(CS537/CK537&gt;2,CS537/CK537&lt;0.5),"NM",CS537/CK537*100-100))</f>
        <v>15.40268456375837</v>
      </c>
      <c r="CU537" s="144">
        <f>CU550-(CU425*0.35)</f>
        <v>302.95</v>
      </c>
      <c r="CV537" s="72">
        <f t="shared" si="2561"/>
        <v>1.3888888888888857</v>
      </c>
      <c r="CW537" s="144">
        <f>CW550-(CW425*0.35)</f>
        <v>218.3</v>
      </c>
      <c r="CX537" s="72">
        <f t="shared" si="2562"/>
        <v>-24.502853190385594</v>
      </c>
      <c r="CY537" s="144">
        <f>CY550-(CY425*0.35)</f>
        <v>281.89999999999998</v>
      </c>
      <c r="CZ537" s="72" t="str">
        <f t="shared" si="2563"/>
        <v>NM</v>
      </c>
      <c r="DA537" s="144">
        <f>DA550-(DA425*0.35)</f>
        <v>248.5</v>
      </c>
      <c r="DB537" s="72">
        <f t="shared" si="2564"/>
        <v>-27.740622273916827</v>
      </c>
      <c r="DC537" s="144">
        <f>DC550-(DC425*0.35)</f>
        <v>407.05</v>
      </c>
      <c r="DD537" s="72">
        <f t="shared" si="2565"/>
        <v>34.362105958078899</v>
      </c>
      <c r="DE537" s="144">
        <f>DE550-(DE425*0.35)</f>
        <v>426.1</v>
      </c>
      <c r="DF537" s="72">
        <f t="shared" si="2566"/>
        <v>95.190105359596885</v>
      </c>
      <c r="DG537" s="144">
        <f>DG550-(DG425*0.35)</f>
        <v>542.79999999999995</v>
      </c>
      <c r="DH537" s="72">
        <f t="shared" si="2567"/>
        <v>92.550549840368916</v>
      </c>
      <c r="DI537" s="144">
        <f>DI550-(DI425*0.35)</f>
        <v>416.85</v>
      </c>
      <c r="DJ537" s="72">
        <f t="shared" si="2568"/>
        <v>67.746478873239425</v>
      </c>
      <c r="DK537" s="144">
        <f>DK550-(DK425*0.35)</f>
        <v>434</v>
      </c>
      <c r="DL537" s="72">
        <f>IF(ISERROR(DK537/DC537),"NA",IF(OR(DK537/DC537&gt;2,DK537/DC537&lt;0.5),"NM",DK537/DC537*100-100))</f>
        <v>6.6208082545141878</v>
      </c>
      <c r="DM537" s="144">
        <f>DM550-(DM425*0.35)</f>
        <v>447</v>
      </c>
      <c r="DN537" s="72">
        <f t="shared" si="2583"/>
        <v>4.9049518892278883</v>
      </c>
      <c r="DO537" s="144">
        <f>DO550-(DO425*0.35)</f>
        <v>319</v>
      </c>
      <c r="DP537" s="72">
        <f t="shared" si="2583"/>
        <v>-41.230655858511426</v>
      </c>
      <c r="DQ537" s="144">
        <f>DQ550-(DQ425*0.35)</f>
        <v>337</v>
      </c>
      <c r="DR537" s="72">
        <f t="shared" si="2583"/>
        <v>-19.155571548518651</v>
      </c>
      <c r="DS537" s="144">
        <f>DS550-(DS425*0.35)</f>
        <v>447</v>
      </c>
      <c r="DT537" s="72">
        <f t="shared" si="2583"/>
        <v>2.9953917050691246</v>
      </c>
      <c r="DU537" s="144">
        <f>DU550-(DU425*0.35)</f>
        <v>491</v>
      </c>
      <c r="DV537" s="72">
        <f t="shared" si="2583"/>
        <v>9.8434004474272854</v>
      </c>
      <c r="DW537" s="144">
        <f>DW550-(DW425*0.35)</f>
        <v>353</v>
      </c>
      <c r="DX537" s="72">
        <f t="shared" si="2583"/>
        <v>10.658307210031339</v>
      </c>
      <c r="DY537" s="144">
        <f>DY550-(DY425*0.35)</f>
        <v>291</v>
      </c>
      <c r="DZ537" s="72">
        <f t="shared" si="2583"/>
        <v>-13.649851632047486</v>
      </c>
      <c r="EA537" s="144">
        <f>EA550-(EA425*0.35)</f>
        <v>328</v>
      </c>
      <c r="EB537" s="72">
        <f>IF(ISERROR(EA537/DS537),"NA",IF(OR(EA537/DS537&gt;2,EA537/DS537&lt;0.5),"NM",EA537/DS537*100-100))</f>
        <v>-26.621923937360179</v>
      </c>
      <c r="EC537" s="144">
        <f>EC550-(EC425*0.35)</f>
        <v>228</v>
      </c>
      <c r="ED537" s="72" t="str">
        <f>IF(ISERROR(EC537/DU537),"NA",IF(OR(EC537/DU537&gt;2,EC537/DU537&lt;0.5),"NM",EC537/DU537*100-100))</f>
        <v>NM</v>
      </c>
      <c r="EE537" s="144">
        <f>EE550-(EE425*0.35)</f>
        <v>367</v>
      </c>
      <c r="EF537" s="72">
        <f>IF(ISERROR(EE537/DW537),"NA",IF(OR(EE537/DW537&gt;2,EE537/DW537&lt;0.5),"NM",EE537/DW537*100-100))</f>
        <v>3.9660056657223777</v>
      </c>
      <c r="EG537" s="144">
        <f>EG550-(EG425*0.35)</f>
        <v>369</v>
      </c>
      <c r="EH537" s="72">
        <f>IF(ISERROR(EG537/DY537),"NA",IF(OR(EG537/DY537&gt;2,EG537/DY537&lt;0.5),"NM",EG537/DY537*100-100))</f>
        <v>26.804123711340196</v>
      </c>
      <c r="EI537" s="144">
        <f>EI550-(EI425*0.35)</f>
        <v>423</v>
      </c>
      <c r="EJ537" s="72">
        <f>IF(ISERROR(EI537/EA537),"NA",IF(OR(EI537/EA537&gt;2,EI537/EA537&lt;0.5),"NM",EI537/EA537*100-100))</f>
        <v>28.963414634146346</v>
      </c>
      <c r="EK537" s="144">
        <f>EK550-(EK425*0.35)</f>
        <v>309</v>
      </c>
      <c r="EL537" s="72">
        <f>IF(ISERROR(EK537/EC537),"NA",IF(OR(EK537/EC537&gt;2,EK537/EC537&lt;0.5),"NM",EK537/EC537*100-100))</f>
        <v>35.526315789473699</v>
      </c>
      <c r="EM537" s="144">
        <f>EM550-(EM425*0.35)</f>
        <v>461</v>
      </c>
      <c r="EN537" s="72">
        <f>IF(ISERROR(EM537/EE537),"NA",IF(OR(EM537/EE537&gt;2,EM537/EE537&lt;0.5),"NM",EM537/EE537*100-100))</f>
        <v>25.613079019073567</v>
      </c>
      <c r="EO537" s="144">
        <f>EO550-(EO425*0.35)</f>
        <v>399</v>
      </c>
      <c r="EP537" s="72">
        <f>IF(ISERROR(EO537/EG537),"NA",IF(OR(EO537/EG537&gt;2,EO537/EG537&lt;0.5),"NM",EO537/EG537*100-100))</f>
        <v>8.1300813008130035</v>
      </c>
      <c r="EQ537" s="144">
        <f t="shared" ref="EQ537" si="2593">EQ536*EQ538/100</f>
        <v>377.28702433795343</v>
      </c>
      <c r="ER537" s="72">
        <f t="shared" si="2585"/>
        <v>-10.80685003830888</v>
      </c>
      <c r="ES537" s="144">
        <f t="shared" ref="ES537" si="2594">ES536*ES538/100</f>
        <v>379.3472736475664</v>
      </c>
      <c r="ET537" s="72">
        <f t="shared" si="2587"/>
        <v>22.766107976558715</v>
      </c>
      <c r="EU537" s="144">
        <f t="shared" ref="EU537" si="2595">EU536*EU538/100</f>
        <v>375.08298200391351</v>
      </c>
      <c r="EV537" s="72">
        <f t="shared" si="2589"/>
        <v>-18.637097179194456</v>
      </c>
      <c r="EW537" s="144">
        <f t="shared" ref="EW537" si="2596">EW536*EW538/100</f>
        <v>338.34690049199179</v>
      </c>
      <c r="EX537" s="72">
        <f t="shared" si="2591"/>
        <v>-15.201278072182518</v>
      </c>
      <c r="EY537" s="72"/>
      <c r="EZ537" s="296"/>
      <c r="FA537" s="72"/>
      <c r="FB537" s="150"/>
      <c r="FC537" s="11"/>
      <c r="FD537" s="144">
        <f>+CM537+CO537+CS537+CQ537</f>
        <v>1049.9000000000001</v>
      </c>
      <c r="FE537" s="72" t="str">
        <f t="shared" si="2574"/>
        <v>NA</v>
      </c>
      <c r="FF537" s="144">
        <f>+CO537+CQ537+CU537+CS537</f>
        <v>1054.05</v>
      </c>
      <c r="FG537" s="72">
        <f t="shared" si="2575"/>
        <v>0.39527574054669401</v>
      </c>
      <c r="FH537" s="144">
        <f>+CQ537+CS537+CW537+CU537</f>
        <v>983.2</v>
      </c>
      <c r="FI537" s="72">
        <f t="shared" si="2576"/>
        <v>-6.7216925193301904</v>
      </c>
      <c r="FJ537" s="144">
        <f>+CS537+CU537+CY537+CW537</f>
        <v>1147.05</v>
      </c>
      <c r="FK537" s="72">
        <f>IF(ISERROR(FJ537/FH537),"NA",IF(OR(FJ537/FH537&gt;2,FJ537/FH537&lt;0.5),"NM",FJ537/FH537*100-100))</f>
        <v>16.664971521562236</v>
      </c>
      <c r="FL537" s="144">
        <f>+CU537+CW537+DA537+CY537</f>
        <v>1051.6500000000001</v>
      </c>
      <c r="FM537" s="72">
        <f>IF(ISERROR(FL537/FJ537),"NA",IF(OR(FL537/FJ537&gt;2,FL537/FJ537&lt;0.5),"NM",FL537/FJ537*100-100))</f>
        <v>-8.3169870537465584</v>
      </c>
      <c r="FN537" s="144">
        <f>+CW537+CY537+DC537+DA537</f>
        <v>1155.75</v>
      </c>
      <c r="FO537" s="72">
        <f>IF(ISERROR(FN537/FL537),"NA",IF(OR(FN537/FL537&gt;2,FN537/FL537&lt;0.5),"NM",FN537/FL537*100-100))</f>
        <v>9.8987305662530076</v>
      </c>
      <c r="FP537" s="144">
        <f>+CY537+DA537+DE537+DC537</f>
        <v>1363.55</v>
      </c>
      <c r="FQ537" s="72">
        <f>IF(ISERROR(FP537/FN537),"NA",IF(OR(FP537/FN537&gt;2,FP537/FN537&lt;0.5),"NM",FP537/FN537*100-100))</f>
        <v>17.979666882976403</v>
      </c>
      <c r="FR537" s="144">
        <f>+DA537+DC537+DG537+DE537</f>
        <v>1624.4499999999998</v>
      </c>
      <c r="FS537" s="72">
        <f>IF(ISERROR(FR537/FP537),"NA",IF(OR(FR537/FP537&gt;2,FR537/FP537&lt;0.5),"NM",FR537/FP537*100-100))</f>
        <v>19.133878478970317</v>
      </c>
      <c r="FT537" s="144">
        <f>+DC537+DE537+DI537+DG537</f>
        <v>1792.8</v>
      </c>
      <c r="FU537" s="72">
        <f>IF(ISERROR(FT537/FR537),"NA",IF(OR(FT537/FR537&gt;2,FT537/FR537&lt;0.5),"NM",FT537/FR537*100-100))</f>
        <v>10.363507648742655</v>
      </c>
      <c r="FV537" s="144">
        <f>+DE537+DG537+DK537+DI537</f>
        <v>1819.75</v>
      </c>
      <c r="FW537" s="72">
        <f>IF(ISERROR(FV537/FT537),"NA",IF(OR(FV537/FT537&gt;2,FV537/FT537&lt;0.5),"NM",FV537/FT537*100-100))</f>
        <v>1.5032351628737217</v>
      </c>
      <c r="FX537" s="144">
        <f>+DG537+DI537+DM537+DK537</f>
        <v>1840.65</v>
      </c>
      <c r="FY537" s="72">
        <f t="shared" si="2580"/>
        <v>1.1485094106333378</v>
      </c>
      <c r="FZ537" s="144">
        <f>+DI537+DK537+DO537+DM537</f>
        <v>1616.85</v>
      </c>
      <c r="GA537" s="72">
        <f t="shared" si="2581"/>
        <v>-12.158748268274806</v>
      </c>
      <c r="GB537" s="144">
        <f>+DK537+DM537+DQ537+DO537</f>
        <v>1537</v>
      </c>
      <c r="GC537" s="72">
        <f>IF(ISERROR(GB537/FZ537),"NA",IF(OR(GB537/FZ537&gt;2,GB537/FZ537&lt;0.5),"NM",GB537/FZ537*100-100))</f>
        <v>-4.9386152085845794</v>
      </c>
      <c r="GD537" s="144">
        <f>+DM537+DO537+DS537+DQ537</f>
        <v>1550</v>
      </c>
      <c r="GE537" s="72">
        <f>IF(ISERROR(GD537/GB537),"NA",IF(OR(GD537/GB537&gt;2,GD537/GB537&lt;0.5),"NM",GD537/GB537*100-100))</f>
        <v>0.84580351333767112</v>
      </c>
      <c r="GF537" s="144">
        <f>+DO537+DQ537+DU537+DS537</f>
        <v>1594</v>
      </c>
      <c r="GG537" s="72">
        <f>IF(ISERROR(GF537/GD537),"NA",IF(OR(GF537/GD537&gt;2,GF537/GD537&lt;0.5),"NM",GF537/GD537*100-100))</f>
        <v>2.8387096774193452</v>
      </c>
      <c r="GH537" s="144">
        <f>+DQ537+DS537+DW537+DU537</f>
        <v>1628</v>
      </c>
      <c r="GI537" s="72">
        <f t="shared" si="2592"/>
        <v>2.1329987452948416</v>
      </c>
      <c r="GJ537" s="144">
        <f>+DS537+DU537+DY537+DW537</f>
        <v>1582</v>
      </c>
      <c r="GK537" s="72">
        <f t="shared" si="2592"/>
        <v>-2.8255528255528191</v>
      </c>
      <c r="GL537" s="144">
        <f>EA537+EC537+EE537+EG537</f>
        <v>1292</v>
      </c>
      <c r="GM537" s="72">
        <f t="shared" si="2592"/>
        <v>-18.33122629582806</v>
      </c>
      <c r="GN537" s="144">
        <f>EI537+EK537+EM537+EO537</f>
        <v>1592</v>
      </c>
      <c r="GO537" s="72">
        <f t="shared" si="2592"/>
        <v>23.219814241486063</v>
      </c>
      <c r="GP537" s="144">
        <f>EQ537+ES537+EU537+EW537</f>
        <v>1470.0641804814252</v>
      </c>
      <c r="GQ537" s="72">
        <f t="shared" si="2592"/>
        <v>-7.6592851456391173</v>
      </c>
      <c r="GR537" s="144">
        <f>GR536*GR538/100</f>
        <v>1487.9294077892152</v>
      </c>
      <c r="GS537" s="72">
        <f t="shared" si="2592"/>
        <v>1.215268526707419</v>
      </c>
      <c r="GT537" s="144">
        <f>GT536*GT538/100</f>
        <v>1503.3833256032583</v>
      </c>
      <c r="GU537" s="72">
        <f t="shared" si="2592"/>
        <v>1.0386190186942201</v>
      </c>
      <c r="GV537" s="144">
        <f>GV536*GV538/100</f>
        <v>1520.5968992054839</v>
      </c>
      <c r="GW537" s="72">
        <f>IF(ISERROR(GV537/GT537),"NA",IF(OR(GV537/GT537&gt;2,GV537/GT537&lt;0.5),"NM",GV537/GT537*100-100))</f>
        <v>1.1449889930978259</v>
      </c>
      <c r="GX537" s="144">
        <f>GX536*GX538/100</f>
        <v>1535.5666106472063</v>
      </c>
      <c r="GY537" s="72">
        <f>IF(ISERROR(GX537/GV537),"NA",IF(OR(GX537/GV537&gt;2,GX537/GV537&lt;0.5),"NM",GX537/GV537*100-100))</f>
        <v>0.98446284150284669</v>
      </c>
      <c r="GZ537" s="72">
        <f>IF(ISERROR(((GX537/GN537)^0.2-1)*100),"NA",IF((((GX537/GN537)^0.2-1)*100)&gt;100,"NM",IF((((GX537/GN537)^0.2-1)*100)&lt;-50,"NM",((GX537/GN537)^0.2-1)*100)))</f>
        <v>-0.71923398389063253</v>
      </c>
      <c r="HA537" s="72"/>
      <c r="HB537" s="72"/>
      <c r="HC537"/>
      <c r="HD537"/>
      <c r="HE537"/>
      <c r="HF537"/>
      <c r="HG537"/>
      <c r="HH537"/>
      <c r="HI537" s="2"/>
    </row>
    <row r="538" spans="1:217" s="3" customFormat="1" ht="12.75" customHeight="1" x14ac:dyDescent="0.2">
      <c r="A538" s="3" t="s">
        <v>318</v>
      </c>
      <c r="B538" s="10" t="s">
        <v>327</v>
      </c>
      <c r="C538" s="116">
        <f>C537/C536*100</f>
        <v>0</v>
      </c>
      <c r="D538" s="11"/>
      <c r="E538" s="116">
        <f>E537/E536*100</f>
        <v>0</v>
      </c>
      <c r="F538" s="11"/>
      <c r="G538" s="116">
        <f>G537/G536*100</f>
        <v>0</v>
      </c>
      <c r="H538" s="11"/>
      <c r="I538" s="116">
        <f>I537/I536*100</f>
        <v>0</v>
      </c>
      <c r="J538" s="11"/>
      <c r="K538" s="116">
        <f>K537/K536*100</f>
        <v>0</v>
      </c>
      <c r="L538" s="72" t="str">
        <f t="shared" si="2523"/>
        <v>NA</v>
      </c>
      <c r="M538" s="116">
        <f>M537/M536*100</f>
        <v>0</v>
      </c>
      <c r="N538" s="72" t="str">
        <f t="shared" si="2524"/>
        <v>NA</v>
      </c>
      <c r="O538" s="116">
        <f>O537/O536*100</f>
        <v>0</v>
      </c>
      <c r="P538" s="72" t="str">
        <f t="shared" si="2525"/>
        <v>NA</v>
      </c>
      <c r="Q538" s="116">
        <f>Q537/Q536*100</f>
        <v>0</v>
      </c>
      <c r="R538" s="72" t="str">
        <f t="shared" si="2526"/>
        <v>NA</v>
      </c>
      <c r="S538" s="116">
        <f>S537/S536*100</f>
        <v>0</v>
      </c>
      <c r="T538" s="72" t="str">
        <f t="shared" si="2527"/>
        <v>NA</v>
      </c>
      <c r="U538" s="116">
        <f>U537/U536*100</f>
        <v>0</v>
      </c>
      <c r="V538" s="72" t="str">
        <f t="shared" si="2528"/>
        <v>NA</v>
      </c>
      <c r="W538" s="116">
        <f>W537/W536*100</f>
        <v>0</v>
      </c>
      <c r="X538" s="72" t="str">
        <f t="shared" si="2529"/>
        <v>NA</v>
      </c>
      <c r="Y538" s="116">
        <f>Y537/Y536*100</f>
        <v>0</v>
      </c>
      <c r="Z538" s="72" t="str">
        <f t="shared" si="2530"/>
        <v>NA</v>
      </c>
      <c r="AA538" s="116">
        <f>AA537/AA536*100</f>
        <v>0</v>
      </c>
      <c r="AB538" s="72" t="str">
        <f t="shared" si="2531"/>
        <v>NA</v>
      </c>
      <c r="AC538" s="116">
        <f>AC537/AC536*100</f>
        <v>0</v>
      </c>
      <c r="AD538" s="72" t="str">
        <f t="shared" si="2532"/>
        <v>NA</v>
      </c>
      <c r="AE538" s="116">
        <f>AE537/AE536*100</f>
        <v>0</v>
      </c>
      <c r="AF538" s="72" t="str">
        <f t="shared" si="2533"/>
        <v>NA</v>
      </c>
      <c r="AG538" s="116">
        <f>AG537/AG536*100</f>
        <v>0</v>
      </c>
      <c r="AH538" s="72" t="str">
        <f t="shared" si="2534"/>
        <v>NA</v>
      </c>
      <c r="AI538" s="116">
        <f>AI537/AI536*100</f>
        <v>0</v>
      </c>
      <c r="AJ538" s="72" t="str">
        <f t="shared" si="2535"/>
        <v>NA</v>
      </c>
      <c r="AK538" s="116">
        <f>AK537/AK536*100</f>
        <v>0</v>
      </c>
      <c r="AL538" s="72" t="str">
        <f t="shared" si="2536"/>
        <v>NA</v>
      </c>
      <c r="AM538" s="116">
        <f>AM537/AM536*100</f>
        <v>0</v>
      </c>
      <c r="AN538" s="72" t="str">
        <f t="shared" si="2537"/>
        <v>NA</v>
      </c>
      <c r="AO538" s="116">
        <f>AO537/AO536*100</f>
        <v>0</v>
      </c>
      <c r="AP538" s="72" t="str">
        <f t="shared" si="2538"/>
        <v>NA</v>
      </c>
      <c r="AQ538" s="116">
        <f>AQ537/AQ536*100</f>
        <v>0</v>
      </c>
      <c r="AR538" s="72" t="str">
        <f t="shared" si="2539"/>
        <v>NA</v>
      </c>
      <c r="AS538" s="116">
        <f>AS537/AS536*100</f>
        <v>0</v>
      </c>
      <c r="AT538" s="72" t="str">
        <f t="shared" si="2540"/>
        <v>NA</v>
      </c>
      <c r="AU538" s="116">
        <f>AU537/AU536*100</f>
        <v>0</v>
      </c>
      <c r="AV538" s="72" t="str">
        <f t="shared" si="2541"/>
        <v>NA</v>
      </c>
      <c r="AW538" s="116">
        <f>AW537/AW536*100</f>
        <v>0</v>
      </c>
      <c r="AX538" s="72" t="str">
        <f t="shared" si="2542"/>
        <v>NA</v>
      </c>
      <c r="AY538" s="116">
        <f>AY537/AY536*100</f>
        <v>29.508196721311474</v>
      </c>
      <c r="AZ538" s="72" t="str">
        <f t="shared" si="2543"/>
        <v>NA</v>
      </c>
      <c r="BA538" s="116">
        <f>BA537/BA536*100</f>
        <v>29.718004338394792</v>
      </c>
      <c r="BB538" s="72" t="str">
        <f t="shared" si="2544"/>
        <v>NA</v>
      </c>
      <c r="BC538" s="116">
        <f>BC537/BC536*100</f>
        <v>29.837251356238699</v>
      </c>
      <c r="BD538" s="72" t="str">
        <f t="shared" si="2545"/>
        <v>NA</v>
      </c>
      <c r="BE538" s="116">
        <f>BE537/BE536*100</f>
        <v>29.774730656219393</v>
      </c>
      <c r="BF538" s="72" t="str">
        <f t="shared" si="2546"/>
        <v>NA</v>
      </c>
      <c r="BG538" s="116">
        <f>BG537/BG536*100</f>
        <v>28.607871720116616</v>
      </c>
      <c r="BH538" s="72">
        <f t="shared" si="2547"/>
        <v>-3.0511013929381221</v>
      </c>
      <c r="BI538" s="116">
        <f>BI537/BI536*100</f>
        <v>28.635147190008919</v>
      </c>
      <c r="BJ538" s="72">
        <f t="shared" si="2548"/>
        <v>-3.6437747839845827</v>
      </c>
      <c r="BK538" s="116">
        <f>BK537/BK536*100</f>
        <v>29.266409266409266</v>
      </c>
      <c r="BL538" s="72">
        <f t="shared" si="2549"/>
        <v>-1.9131859131859272</v>
      </c>
      <c r="BM538" s="116">
        <f>BM537/BM536*100</f>
        <v>23.828125</v>
      </c>
      <c r="BN538" s="72">
        <f t="shared" si="2550"/>
        <v>-19.971988075657904</v>
      </c>
      <c r="BO538" s="116">
        <f>BO537/BO536*100</f>
        <v>26.286966046002192</v>
      </c>
      <c r="BP538" s="72">
        <f t="shared" si="2551"/>
        <v>-8.1128218723184489</v>
      </c>
      <c r="BQ538" s="116">
        <f>BQ537/BQ536*100</f>
        <v>25.314183123877914</v>
      </c>
      <c r="BR538" s="72">
        <f t="shared" si="2552"/>
        <v>-11.597510025335993</v>
      </c>
      <c r="BS538" s="116">
        <f>BS537/BS536*100</f>
        <v>30.794701986754969</v>
      </c>
      <c r="BT538" s="72">
        <f t="shared" si="2553"/>
        <v>5.2220028307326913</v>
      </c>
      <c r="BU538" s="116">
        <f>BU537/BU536*100</f>
        <v>25.719120135363788</v>
      </c>
      <c r="BV538" s="72">
        <f t="shared" si="2554"/>
        <v>7.9359795844775363</v>
      </c>
      <c r="BW538" s="116">
        <f>BW537/BW536*100</f>
        <v>22.857142857142858</v>
      </c>
      <c r="BX538" s="72">
        <f t="shared" si="2555"/>
        <v>-13.047619047619051</v>
      </c>
      <c r="BY538" s="116">
        <f>BY537/BY536*100</f>
        <v>26.221079691516707</v>
      </c>
      <c r="BZ538" s="72">
        <f t="shared" si="2556"/>
        <v>3.5825630367007761</v>
      </c>
      <c r="CA538" s="116">
        <f>CA537/CA536*100</f>
        <v>23.076923076923077</v>
      </c>
      <c r="CB538" s="72">
        <f t="shared" si="2557"/>
        <v>-25.062034739454091</v>
      </c>
      <c r="CC538" s="116">
        <f>CC537/CC536*100</f>
        <v>27.58169934640523</v>
      </c>
      <c r="CD538" s="72">
        <f t="shared" si="2558"/>
        <v>7.2420020639835059</v>
      </c>
      <c r="CE538" s="116">
        <f>CE537/CE536*100</f>
        <v>25.934579439252335</v>
      </c>
      <c r="CF538" s="72">
        <f t="shared" si="2559"/>
        <v>13.463785046728958</v>
      </c>
      <c r="CG538" s="116">
        <f>CG537/CG536*100</f>
        <v>22.653061224489797</v>
      </c>
      <c r="CH538" s="72">
        <f t="shared" si="2560"/>
        <v>-13.607442977190871</v>
      </c>
      <c r="CI538" s="116">
        <f>CI537/CI536*100</f>
        <v>26.785714285714285</v>
      </c>
      <c r="CJ538" s="72">
        <f>IF(ISERROR(CI538/CA538),"NA",IF(OR(CI538/CA538&gt;2,CI538/CA538&lt;0.5),"NM",CI538/CA538*100-100))</f>
        <v>16.071428571428555</v>
      </c>
      <c r="CK538" s="116">
        <f>CK537/CK536*100</f>
        <v>27.490774907749078</v>
      </c>
      <c r="CL538" s="72">
        <f>IF(ISERROR(CK538/CC538),"NA",IF(OR(CK538/CC538&gt;2,CK538/CC538&lt;0.5),"NM",CK538/CC538*100-100))</f>
        <v>-0.32965495531732358</v>
      </c>
      <c r="CM538" s="116">
        <f>CM537/CM536*100</f>
        <v>27.065217391304348</v>
      </c>
      <c r="CN538" s="72">
        <f>IF(ISERROR(CM538/CE538),"NA",IF(OR(CM538/CE538&gt;2,CM538/CE538&lt;0.5),"NM",CM538/CE538*100-100))</f>
        <v>4.35957696827262</v>
      </c>
      <c r="CO538" s="116">
        <f>CO537/CO536*100</f>
        <v>26.74838112858464</v>
      </c>
      <c r="CP538" s="72">
        <f>IF(ISERROR(CO538/CG538),"NA",IF(OR(CO538/CG538&gt;2,CO538/CG538&lt;0.5),"NM",CO538/CG538*100-100))</f>
        <v>18.078439216274518</v>
      </c>
      <c r="CQ538" s="116">
        <f>CQ537/CQ536*100</f>
        <v>21.385869565217391</v>
      </c>
      <c r="CR538" s="72">
        <f>IF(ISERROR(CQ538/CI538),"NA",IF(OR(CQ538/CI538&gt;2,CQ538/CI538&lt;0.5),"NM",CQ538/CI538*100-100))</f>
        <v>-20.159420289855063</v>
      </c>
      <c r="CS538" s="116">
        <f>CS537/CS536*100</f>
        <v>27.293650793650791</v>
      </c>
      <c r="CT538" s="72">
        <f>IF(ISERROR(CS538/CK538),"NA",IF(OR(CS538/CK538&gt;2,CS538/CK538&lt;0.5),"NM",CS538/CK538*100-100))</f>
        <v>-0.71705550229040682</v>
      </c>
      <c r="CU538" s="116">
        <f>CU537/CU536*100</f>
        <v>26.952846975088967</v>
      </c>
      <c r="CV538" s="72">
        <f t="shared" si="2561"/>
        <v>-0.41518386714116673</v>
      </c>
      <c r="CW538" s="116">
        <f>CW537/CW536*100</f>
        <v>24.418344519015662</v>
      </c>
      <c r="CX538" s="72">
        <f t="shared" si="2562"/>
        <v>-8.7109444058241934</v>
      </c>
      <c r="CY538" s="116">
        <f>CY537/CY536*100</f>
        <v>26.519285042333017</v>
      </c>
      <c r="CZ538" s="72">
        <f t="shared" si="2563"/>
        <v>24.003772497821487</v>
      </c>
      <c r="DA538" s="116">
        <f>DA537/DA536*100</f>
        <v>22.882136279926335</v>
      </c>
      <c r="DB538" s="72">
        <f t="shared" si="2564"/>
        <v>-16.163152914489146</v>
      </c>
      <c r="DC538" s="116">
        <f>DC537/DC536*100</f>
        <v>27.484807562457796</v>
      </c>
      <c r="DD538" s="72">
        <f t="shared" si="2565"/>
        <v>1.9736712335453461</v>
      </c>
      <c r="DE538" s="116">
        <f>DE537/DE536*100</f>
        <v>27.977675640183847</v>
      </c>
      <c r="DF538" s="72">
        <f t="shared" si="2566"/>
        <v>14.576463684490875</v>
      </c>
      <c r="DG538" s="116">
        <f>DG537/DG536*100</f>
        <v>28.256116605934405</v>
      </c>
      <c r="DH538" s="72">
        <f t="shared" si="2567"/>
        <v>6.5493151901677038</v>
      </c>
      <c r="DI538" s="116">
        <f>DI537/DI536*100</f>
        <v>28.318614130434781</v>
      </c>
      <c r="DJ538" s="72">
        <f t="shared" si="2568"/>
        <v>23.758611451316597</v>
      </c>
      <c r="DK538" s="116">
        <f>DK537/DK536*100</f>
        <v>27.625716104392104</v>
      </c>
      <c r="DL538" s="72">
        <f>IF(ISERROR(DK538/DC538),"NA",IF(OR(DK538/DC538&gt;2,DK538/DC538&lt;0.5),"NM",DK538/DC538*100-100))</f>
        <v>0.51267792803024292</v>
      </c>
      <c r="DM538" s="116">
        <f>DM537/DM536*100</f>
        <v>27.541589648798521</v>
      </c>
      <c r="DN538" s="72">
        <f t="shared" si="2583"/>
        <v>-1.5586927126961996</v>
      </c>
      <c r="DO538" s="116">
        <f>DO537/DO536*100</f>
        <v>23.577235772357724</v>
      </c>
      <c r="DP538" s="72">
        <f t="shared" si="2583"/>
        <v>-16.558824762897572</v>
      </c>
      <c r="DQ538" s="116">
        <f>DQ537/DQ536*100</f>
        <v>25.055762081784387</v>
      </c>
      <c r="DR538" s="72">
        <f t="shared" si="2583"/>
        <v>-11.521934066482871</v>
      </c>
      <c r="DS538" s="116">
        <f>DS537/DS536*100</f>
        <v>25.616045845272208</v>
      </c>
      <c r="DT538" s="72">
        <f t="shared" si="2583"/>
        <v>-7.2746358918833209</v>
      </c>
      <c r="DU538" s="116">
        <f>DU537/DU536*100</f>
        <v>26.670287887017924</v>
      </c>
      <c r="DV538" s="72">
        <f t="shared" si="2583"/>
        <v>-3.1635855914315556</v>
      </c>
      <c r="DW538" s="116">
        <f>DW537/DW536*100</f>
        <v>24.128503075871496</v>
      </c>
      <c r="DX538" s="72">
        <f t="shared" si="2583"/>
        <v>2.3381337355928906</v>
      </c>
      <c r="DY538" s="116">
        <f>DY537/DY536*100</f>
        <v>24.61928934010152</v>
      </c>
      <c r="DZ538" s="72">
        <f t="shared" si="2583"/>
        <v>-1.7420054527105435</v>
      </c>
      <c r="EA538" s="116">
        <f>EA537/EA536*100</f>
        <v>24.754716981132074</v>
      </c>
      <c r="EB538" s="72">
        <f>IF(ISERROR(EA538/DS538),"NA",IF(OR(EA538/DS538&gt;2,EA538/DS538&lt;0.5),"NM",EA538/DS538*100-100))</f>
        <v>-3.3624583175045473</v>
      </c>
      <c r="EC538" s="116">
        <f>EC537/EC536*100</f>
        <v>21.570482497634817</v>
      </c>
      <c r="ED538" s="72">
        <f>IF(ISERROR(EC538/DU538),"NA",IF(OR(EC538/DU538&gt;2,EC538/DU538&lt;0.5),"NM",EC538/DU538*100-100))</f>
        <v>-19.121673567931367</v>
      </c>
      <c r="EE538" s="116">
        <f>EE537/EE536*100</f>
        <v>23.555840821566111</v>
      </c>
      <c r="EF538" s="72">
        <f>IF(ISERROR(EE538/DW538),"NA",IF(OR(EE538/DW538&gt;2,EE538/DW538&lt;0.5),"NM",EE538/DW538*100-100))</f>
        <v>-2.3733849236509315</v>
      </c>
      <c r="EG538" s="116">
        <f>EG537/EG536*100</f>
        <v>25.291295407813568</v>
      </c>
      <c r="EH538" s="72">
        <f>IF(ISERROR(EG538/DY538),"NA",IF(OR(EG538/DY538&gt;2,EG538/DY538&lt;0.5),"NM",EG538/DY538*100-100))</f>
        <v>2.7295916564798546</v>
      </c>
      <c r="EI538" s="116">
        <f>EI537/EI536*100</f>
        <v>25.481927710843372</v>
      </c>
      <c r="EJ538" s="72">
        <f>IF(ISERROR(EI538/EA538),"NA",IF(OR(EI538/EA538&gt;2,EI538/EA538&lt;0.5),"NM",EI538/EA538*100-100))</f>
        <v>2.9376652953276619</v>
      </c>
      <c r="EK538" s="116">
        <f>EK537/EK536*100</f>
        <v>25.162866449511402</v>
      </c>
      <c r="EL538" s="72">
        <f>IF(ISERROR(EK538/EC538),"NA",IF(OR(EK538/EC538&gt;2,EK538/EC538&lt;0.5),"NM",EK538/EC538*100-100))</f>
        <v>16.654165952340122</v>
      </c>
      <c r="EM538" s="116">
        <f>EM537/EM536*100</f>
        <v>25.840807174887892</v>
      </c>
      <c r="EN538" s="72">
        <f>IF(ISERROR(EM538/EE538),"NA",IF(OR(EM538/EE538&gt;2,EM538/EE538&lt;0.5),"NM",EM538/EE538*100-100))</f>
        <v>9.7002113854913716</v>
      </c>
      <c r="EO538" s="116">
        <f>EO537/EO536*100</f>
        <v>25.381679389312978</v>
      </c>
      <c r="EP538" s="72">
        <f>IF(ISERROR(EO538/EG538),"NA",IF(OR(EO538/EG538&gt;2,EO538/EG538&lt;0.5),"NM",EO538/EG538*100-100))</f>
        <v>0.35737189432964556</v>
      </c>
      <c r="EQ538" s="170">
        <v>22</v>
      </c>
      <c r="ER538" s="72">
        <f t="shared" si="2585"/>
        <v>-13.664302600472809</v>
      </c>
      <c r="ES538" s="170">
        <f t="shared" ref="ES538" si="2597">EQ538</f>
        <v>22</v>
      </c>
      <c r="ET538" s="72">
        <f t="shared" si="2587"/>
        <v>-12.569579288025892</v>
      </c>
      <c r="EU538" s="170">
        <f t="shared" ref="EU538" si="2598">ES538</f>
        <v>22</v>
      </c>
      <c r="EV538" s="72">
        <f t="shared" si="2589"/>
        <v>-14.863340563991329</v>
      </c>
      <c r="EW538" s="170">
        <f t="shared" ref="EW538" si="2599">EU538</f>
        <v>22</v>
      </c>
      <c r="EX538" s="72">
        <f t="shared" si="2591"/>
        <v>-13.323308270676691</v>
      </c>
      <c r="EY538" s="72"/>
      <c r="EZ538" s="296"/>
      <c r="FA538" s="72"/>
      <c r="FB538" s="169"/>
      <c r="FC538" s="11"/>
      <c r="FD538" s="171">
        <f>FD537/FD536*100</f>
        <v>86.840363937138136</v>
      </c>
      <c r="FE538" s="72" t="str">
        <f t="shared" si="2574"/>
        <v>NA</v>
      </c>
      <c r="FF538" s="171">
        <f>FF537/FF536*100</f>
        <v>86.397540983606561</v>
      </c>
      <c r="FG538" s="72">
        <f t="shared" si="2575"/>
        <v>-0.50992756531067585</v>
      </c>
      <c r="FH538" s="171">
        <f>FH537/FH536*100</f>
        <v>67.021131561008858</v>
      </c>
      <c r="FI538" s="72">
        <f t="shared" si="2576"/>
        <v>-22.427038086968537</v>
      </c>
      <c r="FJ538" s="171">
        <f>FJ537/FJ536*100</f>
        <v>64.116825041922866</v>
      </c>
      <c r="FK538" s="72">
        <f t="shared" si="2577"/>
        <v>-4.3334191044539665</v>
      </c>
      <c r="FL538" s="171">
        <f>FL537/FL536*100</f>
        <v>50.390512697652134</v>
      </c>
      <c r="FM538" s="72">
        <f t="shared" si="2578"/>
        <v>-21.408284541999336</v>
      </c>
      <c r="FN538" s="171">
        <f>FN537/FN536*100</f>
        <v>41.85983339369794</v>
      </c>
      <c r="FO538" s="72">
        <f t="shared" si="2579"/>
        <v>-16.929137742930067</v>
      </c>
      <c r="FP538" s="171">
        <f>FP537/FP536*100</f>
        <v>39.742057709122705</v>
      </c>
      <c r="FQ538" s="72">
        <f>IF(ISERROR(FP538/FN538),"NA",IF(OR(FP538/FN538&gt;2,FP538/FN538&lt;0.5),"NM",FP538/FN538*100-100))</f>
        <v>-5.0592071512976133</v>
      </c>
      <c r="FR538" s="171">
        <f>FR537/FR536*100</f>
        <v>41.62054829618242</v>
      </c>
      <c r="FS538" s="72">
        <f>IF(ISERROR(FR538/FP538),"NA",IF(OR(FR538/FP538&gt;2,FR538/FP538&lt;0.5),"NM",FR538/FP538*100-100))</f>
        <v>4.7267069078522184</v>
      </c>
      <c r="FT538" s="171">
        <f>FT537/FT536*100</f>
        <v>39.5098730606488</v>
      </c>
      <c r="FU538" s="72">
        <f>IF(ISERROR(FT538/FR538),"NA",IF(OR(FT538/FR538&gt;2,FT538/FR538&lt;0.5),"NM",FT538/FR538*100-100))</f>
        <v>-5.0712336140156538</v>
      </c>
      <c r="FV538" s="171">
        <f>FV537/FV536*100</f>
        <v>156.60499139414804</v>
      </c>
      <c r="FW538" s="72" t="str">
        <f>IF(ISERROR(FV538/FT538),"NA",IF(OR(FV538/FT538&gt;2,FV538/FT538&lt;0.5),"NM",FV538/FT538*100-100))</f>
        <v>NM</v>
      </c>
      <c r="FX538" s="171">
        <f>FX537/FX536*100</f>
        <v>62.39491525423729</v>
      </c>
      <c r="FY538" s="72" t="str">
        <f t="shared" si="2580"/>
        <v>NM</v>
      </c>
      <c r="FZ538" s="171">
        <f>FZ537/FZ536*100</f>
        <v>44.152102676133261</v>
      </c>
      <c r="GA538" s="72">
        <f t="shared" si="2581"/>
        <v>-29.237659036431083</v>
      </c>
      <c r="GB538" s="171">
        <f>GB537/GB536*100</f>
        <v>38.453840380285214</v>
      </c>
      <c r="GC538" s="72">
        <f>IF(ISERROR(GB538/FZ538),"NA",IF(OR(GB538/FZ538&gt;2,GB538/FZ538&lt;0.5),"NM",GB538/FZ538*100-100))</f>
        <v>-12.905981709741496</v>
      </c>
      <c r="GD538" s="171">
        <f>GD537/GD536*100</f>
        <v>37.197024238060955</v>
      </c>
      <c r="GE538" s="72">
        <f>IF(ISERROR(GD538/GB538),"NA",IF(OR(GD538/GB538&gt;2,GD538/GB538&lt;0.5),"NM",GD538/GB538*100-100))</f>
        <v>-3.2683761356345826</v>
      </c>
      <c r="GF538" s="171">
        <f>GF537/GF536*100</f>
        <v>24.917930279818666</v>
      </c>
      <c r="GG538" s="72">
        <f>IF(ISERROR(GF538/GD538),"NA",IF(OR(GF538/GD538&gt;2,GF538/GD538&lt;0.5),"NM",GF538/GD538*100-100))</f>
        <v>-33.01095775741652</v>
      </c>
      <c r="GH538" s="171">
        <f>GH537/GH536*100</f>
        <v>27.630685675492195</v>
      </c>
      <c r="GI538" s="72">
        <f t="shared" si="2592"/>
        <v>10.886760518270734</v>
      </c>
      <c r="GJ538" s="171">
        <f>GJ537/GJ536*100</f>
        <v>25.38918311667469</v>
      </c>
      <c r="GK538" s="72">
        <f t="shared" si="2592"/>
        <v>-8.1123667546392824</v>
      </c>
      <c r="GL538" s="171">
        <f>GL537/GL536*100</f>
        <v>23.930357473606222</v>
      </c>
      <c r="GM538" s="72">
        <f t="shared" si="2592"/>
        <v>-5.7458549822753611</v>
      </c>
      <c r="GN538" s="171">
        <f>GN537/GN536*100</f>
        <v>25.496476617552847</v>
      </c>
      <c r="GO538" s="72">
        <f t="shared" si="2592"/>
        <v>6.5444870419255636</v>
      </c>
      <c r="GP538" s="171">
        <f>GP537/GP536*100</f>
        <v>22.000000000000004</v>
      </c>
      <c r="GQ538" s="72">
        <f t="shared" si="2592"/>
        <v>-13.713567839195946</v>
      </c>
      <c r="GR538" s="170">
        <f>GP538</f>
        <v>22.000000000000004</v>
      </c>
      <c r="GS538" s="72">
        <f t="shared" si="2592"/>
        <v>0</v>
      </c>
      <c r="GT538" s="170">
        <f>GR538</f>
        <v>22.000000000000004</v>
      </c>
      <c r="GU538" s="72">
        <f t="shared" si="2592"/>
        <v>0</v>
      </c>
      <c r="GV538" s="170">
        <f>GT538</f>
        <v>22.000000000000004</v>
      </c>
      <c r="GW538" s="72">
        <f>IF(ISERROR(GV538/GT538),"NA",IF(OR(GV538/GT538&gt;2,GV538/GT538&lt;0.5),"NM",GV538/GT538*100-100))</f>
        <v>0</v>
      </c>
      <c r="GX538" s="170">
        <f>GV538</f>
        <v>22.000000000000004</v>
      </c>
      <c r="GY538" s="72">
        <f>IF(ISERROR(GX538/GV538),"NA",IF(OR(GX538/GV538&gt;2,GX538/GV538&lt;0.5),"NM",GX538/GV538*100-100))</f>
        <v>0</v>
      </c>
      <c r="GZ538" s="72">
        <f>IF(ISERROR(((GX538/GN538)^0.2-1)*100),"NA",IF((((GX538/GN538)^0.2-1)*100)&gt;100,"NM",IF((((GX538/GN538)^0.2-1)*100)&lt;-50,"NM",((GX538/GN538)^0.2-1)*100)))</f>
        <v>-2.9068698527729753</v>
      </c>
      <c r="HA538" s="72"/>
      <c r="HB538" s="72"/>
      <c r="HC538"/>
      <c r="HD538"/>
      <c r="HE538"/>
      <c r="HF538"/>
      <c r="HG538"/>
      <c r="HH538"/>
      <c r="HI538" s="2"/>
    </row>
    <row r="539" spans="1:217" s="78" customFormat="1" ht="12.75" customHeight="1" x14ac:dyDescent="0.2">
      <c r="B539" s="89" t="s">
        <v>636</v>
      </c>
      <c r="C539" s="156">
        <f>C536-C537</f>
        <v>223</v>
      </c>
      <c r="D539" s="161"/>
      <c r="E539" s="156">
        <f>E536-E537</f>
        <v>233</v>
      </c>
      <c r="F539" s="161"/>
      <c r="G539" s="156">
        <f>G536-G537</f>
        <v>180</v>
      </c>
      <c r="H539" s="172"/>
      <c r="I539" s="156">
        <f>I536-I537</f>
        <v>105</v>
      </c>
      <c r="J539" s="161"/>
      <c r="K539" s="156">
        <f>K536-K537</f>
        <v>467</v>
      </c>
      <c r="L539" s="72" t="str">
        <f t="shared" si="2523"/>
        <v>NM</v>
      </c>
      <c r="M539" s="156">
        <f>M536-M537</f>
        <v>430</v>
      </c>
      <c r="N539" s="72">
        <f t="shared" si="2524"/>
        <v>84.549356223175977</v>
      </c>
      <c r="O539" s="156">
        <f>O536-O537</f>
        <v>314</v>
      </c>
      <c r="P539" s="72">
        <f t="shared" si="2525"/>
        <v>74.444444444444457</v>
      </c>
      <c r="Q539" s="156">
        <f>Q536-Q537</f>
        <v>258</v>
      </c>
      <c r="R539" s="72" t="str">
        <f t="shared" si="2526"/>
        <v>NM</v>
      </c>
      <c r="S539" s="156">
        <f>S536-S537</f>
        <v>494</v>
      </c>
      <c r="T539" s="72">
        <f t="shared" si="2527"/>
        <v>5.7815845824411127</v>
      </c>
      <c r="U539" s="156">
        <f>U536-U537</f>
        <v>469</v>
      </c>
      <c r="V539" s="72">
        <f t="shared" si="2528"/>
        <v>9.0697674418604493</v>
      </c>
      <c r="W539" s="156">
        <f>W536-W537</f>
        <v>442</v>
      </c>
      <c r="X539" s="72">
        <f t="shared" si="2529"/>
        <v>40.764331210191074</v>
      </c>
      <c r="Y539" s="156">
        <f>Y536-Y537</f>
        <v>376</v>
      </c>
      <c r="Z539" s="72">
        <f t="shared" si="2530"/>
        <v>45.736434108527135</v>
      </c>
      <c r="AA539" s="156">
        <f>AA536-AA537</f>
        <v>456</v>
      </c>
      <c r="AB539" s="72">
        <f t="shared" si="2531"/>
        <v>-7.6923076923076934</v>
      </c>
      <c r="AC539" s="156">
        <f>AC536-AC537</f>
        <v>550</v>
      </c>
      <c r="AD539" s="72">
        <f t="shared" si="2532"/>
        <v>17.27078891257996</v>
      </c>
      <c r="AE539" s="156">
        <f>AE536-AE537</f>
        <v>519</v>
      </c>
      <c r="AF539" s="72">
        <f t="shared" si="2533"/>
        <v>17.420814479638011</v>
      </c>
      <c r="AG539" s="156">
        <f>AG536-AG537</f>
        <v>562</v>
      </c>
      <c r="AH539" s="72">
        <f t="shared" si="2534"/>
        <v>49.468085106383</v>
      </c>
      <c r="AI539" s="156">
        <f>AI536-AI537</f>
        <v>564</v>
      </c>
      <c r="AJ539" s="72">
        <f t="shared" si="2535"/>
        <v>23.684210526315795</v>
      </c>
      <c r="AK539" s="156">
        <f>AK536-AK537</f>
        <v>723</v>
      </c>
      <c r="AL539" s="72">
        <f t="shared" si="2536"/>
        <v>31.454545454545439</v>
      </c>
      <c r="AM539" s="156">
        <f>AM536-AM537</f>
        <v>712</v>
      </c>
      <c r="AN539" s="72">
        <f t="shared" si="2537"/>
        <v>37.186897880539505</v>
      </c>
      <c r="AO539" s="156">
        <f>AO536-AO537</f>
        <v>762</v>
      </c>
      <c r="AP539" s="72">
        <f t="shared" si="2538"/>
        <v>35.587188612099652</v>
      </c>
      <c r="AQ539" s="156">
        <f>AQ536-AQ537</f>
        <v>871</v>
      </c>
      <c r="AR539" s="72">
        <f t="shared" si="2539"/>
        <v>54.432624113475185</v>
      </c>
      <c r="AS539" s="156">
        <f>AS536-AS537</f>
        <v>809</v>
      </c>
      <c r="AT539" s="72">
        <f t="shared" si="2540"/>
        <v>11.894882434301522</v>
      </c>
      <c r="AU539" s="156">
        <f>AU536-AU537</f>
        <v>1000</v>
      </c>
      <c r="AV539" s="72">
        <f t="shared" si="2541"/>
        <v>40.449438202247194</v>
      </c>
      <c r="AW539" s="156">
        <f>AW536-AW537</f>
        <v>751</v>
      </c>
      <c r="AX539" s="72">
        <f t="shared" si="2542"/>
        <v>-1.4435695538057729</v>
      </c>
      <c r="AY539" s="156">
        <f>AY536-AY537</f>
        <v>602</v>
      </c>
      <c r="AZ539" s="72">
        <f t="shared" si="2543"/>
        <v>-30.884041331802521</v>
      </c>
      <c r="BA539" s="156">
        <f>BA536-BA537</f>
        <v>648</v>
      </c>
      <c r="BB539" s="72">
        <f t="shared" si="2544"/>
        <v>-19.901112484548818</v>
      </c>
      <c r="BC539" s="156">
        <f>BC536-BC537</f>
        <v>776</v>
      </c>
      <c r="BD539" s="72">
        <f t="shared" si="2545"/>
        <v>-22.399999999999991</v>
      </c>
      <c r="BE539" s="156">
        <f>BE536-BE537</f>
        <v>717</v>
      </c>
      <c r="BF539" s="72">
        <f t="shared" si="2546"/>
        <v>-4.5272969374167786</v>
      </c>
      <c r="BG539" s="156">
        <f>BG536-BG537</f>
        <v>783.59999999999991</v>
      </c>
      <c r="BH539" s="72">
        <f t="shared" si="2547"/>
        <v>30.166112956810622</v>
      </c>
      <c r="BI539" s="156">
        <f>BI536-BI537</f>
        <v>800</v>
      </c>
      <c r="BJ539" s="72">
        <f t="shared" si="2548"/>
        <v>23.456790123456784</v>
      </c>
      <c r="BK539" s="156">
        <f>BK536-BK537</f>
        <v>916</v>
      </c>
      <c r="BL539" s="72">
        <f t="shared" si="2549"/>
        <v>18.041237113402062</v>
      </c>
      <c r="BM539" s="156">
        <f>BM536-BM537</f>
        <v>780</v>
      </c>
      <c r="BN539" s="72">
        <f t="shared" si="2550"/>
        <v>8.7866108786610795</v>
      </c>
      <c r="BO539" s="156">
        <f>BO536-BO537</f>
        <v>673</v>
      </c>
      <c r="BP539" s="72">
        <f t="shared" si="2551"/>
        <v>-14.114344053088303</v>
      </c>
      <c r="BQ539" s="156">
        <f>BQ536-BQ537</f>
        <v>832</v>
      </c>
      <c r="BR539" s="72">
        <f t="shared" si="2552"/>
        <v>4</v>
      </c>
      <c r="BS539" s="156">
        <f>BS536-BS537</f>
        <v>418</v>
      </c>
      <c r="BT539" s="72" t="str">
        <f t="shared" si="2553"/>
        <v>NM</v>
      </c>
      <c r="BU539" s="156">
        <f>BU536-BU537</f>
        <v>-878</v>
      </c>
      <c r="BV539" s="72" t="str">
        <f t="shared" si="2554"/>
        <v>NM</v>
      </c>
      <c r="BW539" s="156">
        <f>BW536-BW537</f>
        <v>189</v>
      </c>
      <c r="BX539" s="72" t="str">
        <f t="shared" si="2555"/>
        <v>NM</v>
      </c>
      <c r="BY539" s="156">
        <f>BY536-BY537</f>
        <v>861</v>
      </c>
      <c r="BZ539" s="72">
        <f t="shared" si="2556"/>
        <v>3.4855769230769198</v>
      </c>
      <c r="CA539" s="156">
        <f>CA536-CA537</f>
        <v>820</v>
      </c>
      <c r="CB539" s="72">
        <f t="shared" si="2557"/>
        <v>96.172248803827756</v>
      </c>
      <c r="CC539" s="156">
        <f>CC536-CC537</f>
        <v>554</v>
      </c>
      <c r="CD539" s="72" t="str">
        <f t="shared" si="2558"/>
        <v>NM</v>
      </c>
      <c r="CE539" s="156">
        <f>CE536-CE537</f>
        <v>634</v>
      </c>
      <c r="CF539" s="72" t="str">
        <f t="shared" si="2559"/>
        <v>NM</v>
      </c>
      <c r="CG539" s="156">
        <f>CG536-CG537</f>
        <v>379</v>
      </c>
      <c r="CH539" s="72" t="str">
        <f t="shared" si="2560"/>
        <v>NM</v>
      </c>
      <c r="CI539" s="156">
        <f>CI536-CI537</f>
        <v>902</v>
      </c>
      <c r="CJ539" s="72">
        <f>IF(ISERROR(CI539/CA539),"NA",IF(OR(CI539/CA539&gt;2,CI539/CA539&lt;0.5),"NM",CI539/CA539*100-100))</f>
        <v>10.000000000000014</v>
      </c>
      <c r="CK539" s="156">
        <f>CK536-CK537</f>
        <v>786</v>
      </c>
      <c r="CL539" s="72">
        <f>IF(ISERROR(CK539/CC539),"NA",IF(OR(CK539/CC539&gt;2,CK539/CC539&lt;0.5),"NM",CK539/CC539*100-100))</f>
        <v>41.877256317689529</v>
      </c>
      <c r="CM539" s="156">
        <f>CM536-CM537</f>
        <v>805.2</v>
      </c>
      <c r="CN539" s="72">
        <f>IF(ISERROR(CM539/CE539),"NA",IF(OR(CM539/CE539&gt;2,CM539/CE539&lt;0.5),"NM",CM539/CE539*100-100))</f>
        <v>27.003154574132495</v>
      </c>
      <c r="CO539" s="156">
        <f>CO536-CO537</f>
        <v>791.85</v>
      </c>
      <c r="CP539" s="72" t="str">
        <f>IF(ISERROR(CO539/CG539),"NA",IF(OR(CO539/CG539&gt;2,CO539/CG539&lt;0.5),"NM",CO539/CG539*100-100))</f>
        <v>NM</v>
      </c>
      <c r="CQ539" s="156">
        <f>CQ536-CQ537</f>
        <v>433.95</v>
      </c>
      <c r="CR539" s="72" t="str">
        <f>IF(ISERROR(CQ539/CI539),"NA",IF(OR(CQ539/CI539&gt;2,CQ539/CI539&lt;0.5),"NM",CQ539/CI539*100-100))</f>
        <v>NM</v>
      </c>
      <c r="CS539" s="156">
        <f>CS536-CS537</f>
        <v>916.1</v>
      </c>
      <c r="CT539" s="72">
        <f>IF(ISERROR(CS539/CK539),"NA",IF(OR(CS539/CK539&gt;2,CS539/CK539&lt;0.5),"NM",CS539/CK539*100-100))</f>
        <v>16.552162849872772</v>
      </c>
      <c r="CU539" s="156">
        <f>CU536-CU537</f>
        <v>821.05</v>
      </c>
      <c r="CV539" s="72">
        <f t="shared" si="2561"/>
        <v>1.9684550422255143</v>
      </c>
      <c r="CW539" s="156">
        <f>CW536-CW537</f>
        <v>675.7</v>
      </c>
      <c r="CX539" s="72">
        <f t="shared" si="2562"/>
        <v>-14.668182105196692</v>
      </c>
      <c r="CY539" s="156">
        <f>CY536-CY537</f>
        <v>781.1</v>
      </c>
      <c r="CZ539" s="72">
        <f t="shared" si="2563"/>
        <v>79.997695587049208</v>
      </c>
      <c r="DA539" s="156">
        <f>DA536-DA537</f>
        <v>837.5</v>
      </c>
      <c r="DB539" s="72">
        <f t="shared" si="2564"/>
        <v>-8.5798493614234275</v>
      </c>
      <c r="DC539" s="156">
        <f>DC536-DC537</f>
        <v>1073.95</v>
      </c>
      <c r="DD539" s="72">
        <f t="shared" si="2565"/>
        <v>30.802021801351941</v>
      </c>
      <c r="DE539" s="156">
        <f>DE536-DE537</f>
        <v>1096.9000000000001</v>
      </c>
      <c r="DF539" s="72">
        <f t="shared" si="2566"/>
        <v>62.335355927186612</v>
      </c>
      <c r="DG539" s="156">
        <f>DG536-DG537</f>
        <v>1378.2</v>
      </c>
      <c r="DH539" s="72">
        <f t="shared" si="2567"/>
        <v>76.443477147612356</v>
      </c>
      <c r="DI539" s="156">
        <f>DI536-DI537</f>
        <v>1055.1500000000001</v>
      </c>
      <c r="DJ539" s="72">
        <f t="shared" si="2568"/>
        <v>25.988059701492546</v>
      </c>
      <c r="DK539" s="156">
        <f>DK536-DK537</f>
        <v>1137</v>
      </c>
      <c r="DL539" s="72">
        <f>IF(ISERROR(DK539/DC539),"NA",IF(OR(DK539/DC539&gt;2,DK539/DC539&lt;0.5),"NM",DK539/DC539*100-100))</f>
        <v>5.8708505982587553</v>
      </c>
      <c r="DM539" s="156">
        <f>DM536-DM537</f>
        <v>1176</v>
      </c>
      <c r="DN539" s="72">
        <f t="shared" si="2583"/>
        <v>7.2112316528398139</v>
      </c>
      <c r="DO539" s="156">
        <f>DO536-DO537</f>
        <v>1034</v>
      </c>
      <c r="DP539" s="72">
        <f t="shared" si="2583"/>
        <v>-24.974604556668126</v>
      </c>
      <c r="DQ539" s="156">
        <f>DQ536-DQ537</f>
        <v>1008</v>
      </c>
      <c r="DR539" s="72">
        <f t="shared" si="2583"/>
        <v>-4.4685589726579167</v>
      </c>
      <c r="DS539" s="156">
        <f>DS536-DS537</f>
        <v>1298</v>
      </c>
      <c r="DT539" s="72">
        <f t="shared" si="2583"/>
        <v>14.16007036059807</v>
      </c>
      <c r="DU539" s="156">
        <f>DU536-DU537</f>
        <v>1350</v>
      </c>
      <c r="DV539" s="72">
        <f t="shared" si="2583"/>
        <v>14.795918367346957</v>
      </c>
      <c r="DW539" s="156">
        <f>DW536-DW537</f>
        <v>1110</v>
      </c>
      <c r="DX539" s="72">
        <f t="shared" si="2583"/>
        <v>7.3500967117988409</v>
      </c>
      <c r="DY539" s="156">
        <f>DY536-DY537</f>
        <v>891</v>
      </c>
      <c r="DZ539" s="72">
        <f t="shared" si="2583"/>
        <v>-11.607142857142861</v>
      </c>
      <c r="EA539" s="156">
        <f>EA536-EA537</f>
        <v>997</v>
      </c>
      <c r="EB539" s="72">
        <f>IF(ISERROR(EA539/DS539),"NA",IF(OR(EA539/DS539&gt;2,EA539/DS539&lt;0.5),"NM",EA539/DS539*100-100))</f>
        <v>-23.18952234206472</v>
      </c>
      <c r="EC539" s="156">
        <f>EC536-EC537</f>
        <v>829</v>
      </c>
      <c r="ED539" s="72">
        <f>IF(ISERROR(EC539/DU539),"NA",IF(OR(EC539/DU539&gt;2,EC539/DU539&lt;0.5),"NM",EC539/DU539*100-100))</f>
        <v>-38.592592592592588</v>
      </c>
      <c r="EE539" s="156">
        <f>EE536-EE537</f>
        <v>1191</v>
      </c>
      <c r="EF539" s="72">
        <f>IF(ISERROR(EE539/DW539),"NA",IF(OR(EE539/DW539&gt;2,EE539/DW539&lt;0.5),"NM",EE539/DW539*100-100))</f>
        <v>7.2972972972972912</v>
      </c>
      <c r="EG539" s="156">
        <f>EG536-EG537</f>
        <v>1090</v>
      </c>
      <c r="EH539" s="72">
        <f>IF(ISERROR(EG539/DY539),"NA",IF(OR(EG539/DY539&gt;2,EG539/DY539&lt;0.5),"NM",EG539/DY539*100-100))</f>
        <v>22.334455667789001</v>
      </c>
      <c r="EI539" s="156">
        <f>EI536-EI537</f>
        <v>1237</v>
      </c>
      <c r="EJ539" s="72">
        <f>IF(ISERROR(EI539/EA539),"NA",IF(OR(EI539/EA539&gt;2,EI539/EA539&lt;0.5),"NM",EI539/EA539*100-100))</f>
        <v>24.072216649949851</v>
      </c>
      <c r="EK539" s="156">
        <f>EK536-EK537</f>
        <v>919</v>
      </c>
      <c r="EL539" s="72">
        <f>IF(ISERROR(EK539/EC539),"NA",IF(OR(EK539/EC539&gt;2,EK539/EC539&lt;0.5),"NM",EK539/EC539*100-100))</f>
        <v>10.856453558504214</v>
      </c>
      <c r="EM539" s="156">
        <f>EM536-EM537</f>
        <v>1323</v>
      </c>
      <c r="EN539" s="72">
        <f>IF(ISERROR(EM539/EE539),"NA",IF(OR(EM539/EE539&gt;2,EM539/EE539&lt;0.5),"NM",EM539/EE539*100-100))</f>
        <v>11.08312342569269</v>
      </c>
      <c r="EO539" s="156">
        <f>EO536-EO537</f>
        <v>1173</v>
      </c>
      <c r="EP539" s="72">
        <f>IF(ISERROR(EO539/EG539),"NA",IF(OR(EO539/EG539&gt;2,EO539/EG539&lt;0.5),"NM",EO539/EG539*100-100))</f>
        <v>7.6146788990825627</v>
      </c>
      <c r="EQ539" s="162">
        <f t="shared" ref="EQ539" si="2600">EQ536-EQ537</f>
        <v>1337.6539953800166</v>
      </c>
      <c r="ER539" s="72">
        <f t="shared" si="2585"/>
        <v>8.1369438464039376</v>
      </c>
      <c r="ES539" s="162">
        <f t="shared" ref="ES539" si="2601">ES536-ES537</f>
        <v>1344.9585156595535</v>
      </c>
      <c r="ET539" s="72">
        <f t="shared" si="2587"/>
        <v>46.350219331833898</v>
      </c>
      <c r="EU539" s="162">
        <f t="shared" ref="EU539" si="2602">EU536-EU537</f>
        <v>1329.8396634684204</v>
      </c>
      <c r="EV539" s="72">
        <f t="shared" si="2589"/>
        <v>0.51698136571583575</v>
      </c>
      <c r="EW539" s="162">
        <f t="shared" ref="EW539" si="2603">EW536-EW537</f>
        <v>1199.5935562897889</v>
      </c>
      <c r="EX539" s="72">
        <f t="shared" si="2591"/>
        <v>2.2671403486606039</v>
      </c>
      <c r="EY539" s="72"/>
      <c r="EZ539" s="332"/>
      <c r="FA539" s="72"/>
      <c r="FB539" s="160"/>
      <c r="FC539" s="161"/>
      <c r="FD539" s="162">
        <f>FD536-FD537</f>
        <v>159.09999999999991</v>
      </c>
      <c r="FE539" s="72" t="str">
        <f t="shared" si="2574"/>
        <v>NA</v>
      </c>
      <c r="FF539" s="162">
        <f>FF536-FF537</f>
        <v>165.95000000000005</v>
      </c>
      <c r="FG539" s="72">
        <f t="shared" si="2575"/>
        <v>4.3054682589567221</v>
      </c>
      <c r="FH539" s="162">
        <f>FH536-FH537</f>
        <v>483.79999999999995</v>
      </c>
      <c r="FI539" s="72" t="str">
        <f t="shared" si="2576"/>
        <v>NM</v>
      </c>
      <c r="FJ539" s="162">
        <f>FJ536-FJ537</f>
        <v>641.95000000000005</v>
      </c>
      <c r="FK539" s="72">
        <f t="shared" si="2577"/>
        <v>32.689127738735039</v>
      </c>
      <c r="FL539" s="162">
        <f>FL536-FL537</f>
        <v>1035.3499999999999</v>
      </c>
      <c r="FM539" s="72">
        <f t="shared" si="2578"/>
        <v>61.282031310849732</v>
      </c>
      <c r="FN539" s="162">
        <f>FN536-FN537</f>
        <v>1605.25</v>
      </c>
      <c r="FO539" s="72">
        <f t="shared" si="2579"/>
        <v>55.044187955763761</v>
      </c>
      <c r="FP539" s="162">
        <f>FP536-FP537</f>
        <v>2067.4499999999998</v>
      </c>
      <c r="FQ539" s="72">
        <f>IF(ISERROR(FP539/FN539),"NA",IF(OR(FP539/FN539&gt;2,FP539/FN539&lt;0.5),"NM",FP539/FN539*100-100))</f>
        <v>28.793022893630251</v>
      </c>
      <c r="FR539" s="162">
        <f>FR536-FR537</f>
        <v>2278.5500000000002</v>
      </c>
      <c r="FS539" s="72">
        <f>IF(ISERROR(FR539/FP539),"NA",IF(OR(FR539/FP539&gt;2,FR539/FP539&lt;0.5),"NM",FR539/FP539*100-100))</f>
        <v>10.210645964835919</v>
      </c>
      <c r="FT539" s="162">
        <f>FT536-FT537</f>
        <v>2744.8</v>
      </c>
      <c r="FU539" s="72">
        <f>IF(ISERROR(FT539/FR539),"NA",IF(OR(FT539/FR539&gt;2,FT539/FR539&lt;0.5),"NM",FT539/FR539*100-100))</f>
        <v>20.462574883149372</v>
      </c>
      <c r="FV539" s="162">
        <f>FV536-FV537</f>
        <v>-657.75</v>
      </c>
      <c r="FW539" s="72" t="str">
        <f>IF(ISERROR(FV539/FT539),"NA",IF(OR(FV539/FT539&gt;2,FV539/FT539&lt;0.5),"NM",FV539/FT539*100-100))</f>
        <v>NM</v>
      </c>
      <c r="FX539" s="162">
        <f>FX536-FX537</f>
        <v>1109.3499999999999</v>
      </c>
      <c r="FY539" s="72" t="str">
        <f t="shared" si="2580"/>
        <v>NM</v>
      </c>
      <c r="FZ539" s="162">
        <f>FZ536-FZ537</f>
        <v>2045.15</v>
      </c>
      <c r="GA539" s="72">
        <f t="shared" si="2581"/>
        <v>84.355703790507988</v>
      </c>
      <c r="GB539" s="162">
        <f>GB536-GB537</f>
        <v>2460</v>
      </c>
      <c r="GC539" s="72">
        <f>IF(ISERROR(GB539/FZ539),"NA",IF(OR(GB539/FZ539&gt;2,GB539/FZ539&lt;0.5),"NM",GB539/FZ539*100-100))</f>
        <v>20.28457570349363</v>
      </c>
      <c r="GD539" s="162">
        <f>GD536-GD537</f>
        <v>2617</v>
      </c>
      <c r="GE539" s="72">
        <f>IF(ISERROR(GD539/GB539),"NA",IF(OR(GD539/GB539&gt;2,GD539/GB539&lt;0.5),"NM",GD539/GB539*100-100))</f>
        <v>6.3821138211382049</v>
      </c>
      <c r="GF539" s="162">
        <f>GF536-GF537</f>
        <v>4803</v>
      </c>
      <c r="GG539" s="72">
        <f>IF(ISERROR(GF539/GD539),"NA",IF(OR(GF539/GD539&gt;2,GF539/GD539&lt;0.5),"NM",GF539/GD539*100-100))</f>
        <v>83.530760412686277</v>
      </c>
      <c r="GH539" s="162">
        <f>GH536-GH537</f>
        <v>4264</v>
      </c>
      <c r="GI539" s="72">
        <f t="shared" si="2592"/>
        <v>-11.222152821153443</v>
      </c>
      <c r="GJ539" s="162">
        <f>GJ536-GJ537</f>
        <v>4649</v>
      </c>
      <c r="GK539" s="72">
        <f t="shared" si="2592"/>
        <v>9.0290806754221364</v>
      </c>
      <c r="GL539" s="162">
        <f>GL536-GL537</f>
        <v>4107</v>
      </c>
      <c r="GM539" s="72">
        <f t="shared" si="2592"/>
        <v>-11.658421165842114</v>
      </c>
      <c r="GN539" s="162">
        <f>GN536-GN537</f>
        <v>4652</v>
      </c>
      <c r="GO539" s="72">
        <f t="shared" si="2592"/>
        <v>13.270026783540303</v>
      </c>
      <c r="GP539" s="162">
        <f>GP536-GP537</f>
        <v>5212.0457307977795</v>
      </c>
      <c r="GQ539" s="72">
        <f t="shared" si="2592"/>
        <v>12.038816225231713</v>
      </c>
      <c r="GR539" s="162">
        <f>GR536-GR537</f>
        <v>5275.3860821617618</v>
      </c>
      <c r="GS539" s="72">
        <f t="shared" si="2592"/>
        <v>1.215268526707419</v>
      </c>
      <c r="GT539" s="162">
        <f>GT536-GT537</f>
        <v>5330.1772453206413</v>
      </c>
      <c r="GU539" s="72">
        <f t="shared" si="2592"/>
        <v>1.0386190186942201</v>
      </c>
      <c r="GV539" s="162">
        <f>GV536-GV537</f>
        <v>5391.2071880921685</v>
      </c>
      <c r="GW539" s="72">
        <f>IF(ISERROR(GV539/GT539),"NA",IF(OR(GV539/GT539&gt;2,GV539/GT539&lt;0.5),"NM",GV539/GT539*100-100))</f>
        <v>1.1449889930978543</v>
      </c>
      <c r="GX539" s="162">
        <f>GX536-GX537</f>
        <v>5444.2816195673659</v>
      </c>
      <c r="GY539" s="72">
        <f>IF(ISERROR(GX539/GV539),"NA",IF(OR(GX539/GV539&gt;2,GX539/GV539&lt;0.5),"NM",GX539/GV539*100-100))</f>
        <v>0.98446284150284669</v>
      </c>
      <c r="GZ539" s="72">
        <f>IF(ISERROR(((GX539/GN539)^0.2-1)*100),"NA",IF((((GX539/GN539)^0.2-1)*100)&gt;100,"NM",IF((((GX539/GN539)^0.2-1)*100)&lt;-50,"NM",((GX539/GN539)^0.2-1)*100)))</f>
        <v>3.1953611355479472</v>
      </c>
      <c r="HA539" s="72"/>
      <c r="HB539" s="72"/>
      <c r="HC539"/>
      <c r="HD539"/>
      <c r="HE539"/>
      <c r="HF539"/>
      <c r="HG539"/>
      <c r="HH539"/>
      <c r="HI539" s="2"/>
    </row>
    <row r="540" spans="1:217" s="78" customFormat="1" ht="12.75" customHeight="1" x14ac:dyDescent="0.2">
      <c r="A540" s="3"/>
      <c r="B540" s="89"/>
      <c r="C540" s="173"/>
      <c r="D540" s="161"/>
      <c r="E540" s="173"/>
      <c r="F540" s="161"/>
      <c r="G540" s="173"/>
      <c r="H540" s="172"/>
      <c r="I540" s="173"/>
      <c r="J540" s="161"/>
      <c r="K540" s="173"/>
      <c r="L540" s="72"/>
      <c r="M540" s="173"/>
      <c r="N540" s="72"/>
      <c r="O540" s="173"/>
      <c r="P540" s="72"/>
      <c r="Q540" s="173"/>
      <c r="R540" s="72"/>
      <c r="S540" s="173"/>
      <c r="T540" s="72"/>
      <c r="U540" s="173"/>
      <c r="V540" s="72"/>
      <c r="W540" s="173"/>
      <c r="X540" s="72"/>
      <c r="Y540" s="173"/>
      <c r="Z540" s="72"/>
      <c r="AA540" s="173"/>
      <c r="AB540" s="72"/>
      <c r="AC540" s="173"/>
      <c r="AD540" s="72"/>
      <c r="AE540" s="173"/>
      <c r="AF540" s="72"/>
      <c r="AG540" s="173"/>
      <c r="AH540" s="72"/>
      <c r="AI540" s="173"/>
      <c r="AJ540" s="72"/>
      <c r="AK540" s="173"/>
      <c r="AL540" s="72"/>
      <c r="AM540" s="173"/>
      <c r="AN540" s="72"/>
      <c r="AO540" s="173"/>
      <c r="AP540" s="72"/>
      <c r="AQ540" s="173"/>
      <c r="AR540" s="72"/>
      <c r="AS540" s="173"/>
      <c r="AT540" s="72"/>
      <c r="AU540" s="173"/>
      <c r="AV540" s="72"/>
      <c r="AW540" s="173"/>
      <c r="AX540" s="72"/>
      <c r="AY540" s="173"/>
      <c r="AZ540" s="72"/>
      <c r="BA540" s="173"/>
      <c r="BB540" s="72"/>
      <c r="BC540" s="173"/>
      <c r="BD540" s="72"/>
      <c r="BE540" s="173"/>
      <c r="BF540" s="72"/>
      <c r="BG540" s="173"/>
      <c r="BH540" s="72"/>
      <c r="BI540" s="173"/>
      <c r="BJ540" s="72"/>
      <c r="BK540" s="173"/>
      <c r="BL540" s="72"/>
      <c r="BM540" s="173"/>
      <c r="BN540" s="72"/>
      <c r="BO540" s="173"/>
      <c r="BP540" s="72"/>
      <c r="BQ540" s="173"/>
      <c r="BR540" s="72"/>
      <c r="BS540" s="173"/>
      <c r="BT540" s="72"/>
      <c r="BU540" s="173"/>
      <c r="BV540" s="72"/>
      <c r="BW540" s="173"/>
      <c r="BX540" s="72"/>
      <c r="BY540" s="173"/>
      <c r="BZ540" s="72"/>
      <c r="CA540" s="173"/>
      <c r="CB540" s="72"/>
      <c r="CC540" s="173"/>
      <c r="CD540" s="72"/>
      <c r="CE540" s="173"/>
      <c r="CF540" s="72"/>
      <c r="CG540" s="173"/>
      <c r="CH540" s="72"/>
      <c r="CI540" s="173"/>
      <c r="CJ540" s="72"/>
      <c r="CK540" s="173"/>
      <c r="CL540" s="72"/>
      <c r="CM540" s="173"/>
      <c r="CN540" s="72"/>
      <c r="CO540" s="173"/>
      <c r="CP540" s="72"/>
      <c r="CQ540" s="173"/>
      <c r="CR540" s="72"/>
      <c r="CS540" s="173"/>
      <c r="CT540" s="72"/>
      <c r="CU540" s="173"/>
      <c r="CV540" s="72"/>
      <c r="CW540" s="173"/>
      <c r="CX540" s="72"/>
      <c r="CY540" s="173"/>
      <c r="CZ540" s="72"/>
      <c r="DA540" s="173"/>
      <c r="DB540" s="72"/>
      <c r="DC540" s="173"/>
      <c r="DD540" s="72"/>
      <c r="DE540" s="173"/>
      <c r="DF540" s="72"/>
      <c r="DG540" s="173"/>
      <c r="DH540" s="72"/>
      <c r="DI540" s="173"/>
      <c r="DJ540" s="72"/>
      <c r="DK540" s="173"/>
      <c r="DL540" s="72"/>
      <c r="DM540" s="173"/>
      <c r="DN540" s="72"/>
      <c r="DO540" s="173"/>
      <c r="DP540" s="72"/>
      <c r="DQ540" s="173"/>
      <c r="DR540" s="72"/>
      <c r="DS540" s="173"/>
      <c r="DT540" s="72"/>
      <c r="DU540" s="173"/>
      <c r="DV540" s="72"/>
      <c r="DW540" s="173"/>
      <c r="DX540" s="72"/>
      <c r="DY540" s="173"/>
      <c r="DZ540" s="72"/>
      <c r="EA540" s="173"/>
      <c r="EB540" s="72"/>
      <c r="EC540" s="173"/>
      <c r="ED540" s="72"/>
      <c r="EE540" s="173"/>
      <c r="EF540" s="72"/>
      <c r="EG540" s="173"/>
      <c r="EH540" s="72"/>
      <c r="EI540" s="173"/>
      <c r="EJ540" s="72"/>
      <c r="EK540" s="162"/>
      <c r="EL540" s="72"/>
      <c r="EM540" s="162"/>
      <c r="EN540" s="72"/>
      <c r="EO540" s="162"/>
      <c r="EP540" s="72"/>
      <c r="EQ540" s="162"/>
      <c r="ER540" s="72"/>
      <c r="ES540" s="162"/>
      <c r="ET540" s="72"/>
      <c r="EU540" s="162"/>
      <c r="EV540" s="72"/>
      <c r="EW540" s="162"/>
      <c r="EX540" s="72"/>
      <c r="EY540" s="72"/>
      <c r="EZ540" s="332"/>
      <c r="FA540" s="72"/>
      <c r="FB540" s="160"/>
      <c r="FC540" s="161"/>
      <c r="FD540" s="162"/>
      <c r="FE540" s="72"/>
      <c r="FF540" s="162"/>
      <c r="FG540" s="72"/>
      <c r="FH540" s="162"/>
      <c r="FI540" s="72"/>
      <c r="FJ540" s="162"/>
      <c r="FK540" s="72"/>
      <c r="FL540" s="162"/>
      <c r="FM540" s="72"/>
      <c r="FN540" s="162"/>
      <c r="FO540" s="72"/>
      <c r="FP540" s="162"/>
      <c r="FQ540" s="72"/>
      <c r="FR540" s="162"/>
      <c r="FS540" s="72"/>
      <c r="FT540" s="162"/>
      <c r="FU540" s="72"/>
      <c r="FV540" s="162"/>
      <c r="FW540" s="72"/>
      <c r="FX540" s="162"/>
      <c r="FY540" s="72"/>
      <c r="FZ540" s="162"/>
      <c r="GA540" s="72"/>
      <c r="GB540" s="162"/>
      <c r="GC540" s="72"/>
      <c r="GD540" s="162"/>
      <c r="GE540" s="72"/>
      <c r="GF540" s="162"/>
      <c r="GG540" s="72"/>
      <c r="GH540" s="162"/>
      <c r="GI540" s="72"/>
      <c r="GJ540" s="162"/>
      <c r="GK540" s="72"/>
      <c r="GL540" s="162"/>
      <c r="GM540" s="72"/>
      <c r="GN540" s="162"/>
      <c r="GO540" s="72"/>
      <c r="GP540" s="162"/>
      <c r="GQ540" s="72"/>
      <c r="GR540" s="162"/>
      <c r="GS540" s="72"/>
      <c r="GT540" s="162"/>
      <c r="GU540" s="72"/>
      <c r="GV540" s="162"/>
      <c r="GW540" s="72"/>
      <c r="GX540" s="162"/>
      <c r="GY540" s="72"/>
      <c r="GZ540" s="72"/>
      <c r="HA540" s="72"/>
      <c r="HB540" s="72"/>
      <c r="HC540"/>
      <c r="HD540"/>
      <c r="HE540"/>
      <c r="HF540"/>
      <c r="HG540"/>
      <c r="HH540"/>
      <c r="HI540" s="2"/>
    </row>
    <row r="541" spans="1:217" s="3" customFormat="1" ht="12.75" hidden="1" customHeight="1" outlineLevel="1" x14ac:dyDescent="0.2">
      <c r="B541" s="10" t="s">
        <v>540</v>
      </c>
      <c r="C541" s="145">
        <f>C534*(C538/100)</f>
        <v>0</v>
      </c>
      <c r="D541" s="11"/>
      <c r="E541" s="145">
        <f>E534*(E538/100)</f>
        <v>0</v>
      </c>
      <c r="F541" s="11"/>
      <c r="G541" s="145">
        <f>G534*(G538/100)</f>
        <v>0</v>
      </c>
      <c r="H541" s="167"/>
      <c r="I541" s="145">
        <f>I534*(I538/100)</f>
        <v>0</v>
      </c>
      <c r="J541" s="11"/>
      <c r="K541" s="145">
        <f>K534*(K538/100)</f>
        <v>0</v>
      </c>
      <c r="L541" s="72"/>
      <c r="M541" s="145">
        <f>M534*(M538/100)</f>
        <v>0</v>
      </c>
      <c r="N541" s="72"/>
      <c r="O541" s="145">
        <f>O534*(O538/100)</f>
        <v>0</v>
      </c>
      <c r="P541" s="72"/>
      <c r="Q541" s="145">
        <f>Q534*(Q538/100)</f>
        <v>0</v>
      </c>
      <c r="R541" s="72"/>
      <c r="S541" s="145">
        <f>S534*(S538/100)</f>
        <v>0</v>
      </c>
      <c r="T541" s="72"/>
      <c r="U541" s="145">
        <f>U534*(U538/100)</f>
        <v>0</v>
      </c>
      <c r="V541" s="72"/>
      <c r="W541" s="145">
        <f>W534*(W538/100)</f>
        <v>0</v>
      </c>
      <c r="X541" s="72"/>
      <c r="Y541" s="145">
        <f>Y534*(Y538/100)</f>
        <v>0</v>
      </c>
      <c r="Z541" s="72"/>
      <c r="AA541" s="145">
        <f>AA534*(AA538/100)</f>
        <v>0</v>
      </c>
      <c r="AB541" s="72"/>
      <c r="AC541" s="145">
        <f>AC534*(AC538/100)</f>
        <v>0</v>
      </c>
      <c r="AD541" s="72"/>
      <c r="AE541" s="145">
        <f>AE534*(AE538/100)</f>
        <v>0</v>
      </c>
      <c r="AF541" s="72"/>
      <c r="AG541" s="145">
        <f>AG534*(AG538/100)</f>
        <v>0</v>
      </c>
      <c r="AH541" s="72"/>
      <c r="AI541" s="145">
        <f>AI534*(AI538/100)</f>
        <v>0</v>
      </c>
      <c r="AJ541" s="72" t="str">
        <f>IF(ISERROR(AI541/AA541),"NA",IF(OR(AI541/AA541&gt;2,AI541/AA541&lt;0.5),"NM",AI541/AA541*100-100))</f>
        <v>NA</v>
      </c>
      <c r="AK541" s="145">
        <f>AK534*(AK538/100)</f>
        <v>0</v>
      </c>
      <c r="AL541" s="72" t="str">
        <f>IF(ISERROR(AK541/AC541),"NA",IF(OR(AK541/AC541&gt;2,AK541/AC541&lt;0.5),"NM",AK541/AC541*100-100))</f>
        <v>NA</v>
      </c>
      <c r="AM541" s="145">
        <f>AM534*(AM538/100)</f>
        <v>0</v>
      </c>
      <c r="AN541" s="72" t="str">
        <f>IF(ISERROR(AM541/AE541),"NA",IF(OR(AM541/AE541&gt;2,AM541/AE541&lt;0.5),"NM",AM541/AE541*100-100))</f>
        <v>NA</v>
      </c>
      <c r="AO541" s="145">
        <f>AO534*(AO538/100)</f>
        <v>0</v>
      </c>
      <c r="AP541" s="72" t="str">
        <f>IF(ISERROR(AO541/AG541),"NA",IF(OR(AO541/AG541&gt;2,AO541/AG541&lt;0.5),"NM",AO541/AG541*100-100))</f>
        <v>NA</v>
      </c>
      <c r="AQ541" s="145">
        <f>AQ534*(AQ538/100)</f>
        <v>0</v>
      </c>
      <c r="AR541" s="72" t="str">
        <f>IF(ISERROR(AQ541/AI541),"NA",IF(OR(AQ541/AI541&gt;2,AQ541/AI541&lt;0.5),"NM",AQ541/AI541*100-100))</f>
        <v>NA</v>
      </c>
      <c r="AS541" s="145">
        <f>AS534*(AS538/100)</f>
        <v>0</v>
      </c>
      <c r="AT541" s="72" t="str">
        <f>IF(ISERROR(AS541/AK541),"NA",IF(OR(AS541/AK541&gt;2,AS541/AK541&lt;0.5),"NM",AS541/AK541*100-100))</f>
        <v>NA</v>
      </c>
      <c r="AU541" s="145">
        <f>AU534*(AU538/100)</f>
        <v>0</v>
      </c>
      <c r="AV541" s="72" t="str">
        <f>IF(ISERROR(AU541/AM541),"NA",IF(OR(AU541/AM541&gt;2,AU541/AM541&lt;0.5),"NM",AU541/AM541*100-100))</f>
        <v>NA</v>
      </c>
      <c r="AW541" s="145">
        <f>AW534*(AW538/100)</f>
        <v>0</v>
      </c>
      <c r="AX541" s="72" t="str">
        <f>IF(ISERROR(AW541/AO541),"NA",IF(OR(AW541/AO541&gt;2,AW541/AO541&lt;0.5),"NM",AW541/AO541*100-100))</f>
        <v>NA</v>
      </c>
      <c r="AY541" s="145">
        <f>AY534*(AY538/100)</f>
        <v>-30.393442622950818</v>
      </c>
      <c r="AZ541" s="72" t="str">
        <f>IF(ISERROR(AY541/AQ541),"NA",IF(OR(AY541/AQ541&gt;2,AY541/AQ541&lt;0.5),"NM",AY541/AQ541*100-100))</f>
        <v>NA</v>
      </c>
      <c r="BA541" s="145">
        <f>BA534*(BA538/100)</f>
        <v>-5.6464208242950109</v>
      </c>
      <c r="BB541" s="72" t="str">
        <f>IF(ISERROR(BA541/AS541),"NA",IF(OR(BA541/AS541&gt;2,BA541/AS541&lt;0.5),"NM",BA541/AS541*100-100))</f>
        <v>NA</v>
      </c>
      <c r="BC541" s="145">
        <f>BC534*(BC538/100)</f>
        <v>48.634719710669074</v>
      </c>
      <c r="BD541" s="72" t="str">
        <f>IF(ISERROR(BC541/AU541),"NA",IF(OR(BC541/AU541&gt;2,BC541/AU541&lt;0.5),"NM",BC541/AU541*100-100))</f>
        <v>NA</v>
      </c>
      <c r="BE541" s="145">
        <f>BE534*(BE538/100)</f>
        <v>14.589618021547503</v>
      </c>
      <c r="BF541" s="72" t="str">
        <f>IF(ISERROR(BE541/AW541),"NA",IF(OR(BE541/AW541&gt;2,BE541/AW541&lt;0.5),"NM",BE541/AW541*100-100))</f>
        <v>NA</v>
      </c>
      <c r="BG541" s="145">
        <f>BG534*(BG538/100)</f>
        <v>13.731778425655977</v>
      </c>
      <c r="BH541" s="72" t="str">
        <f>IF(ISERROR(BG541/AY541),"NA",IF(OR(BG541/AY541&gt;2,BG541/AY541&lt;0.5),"NM",BG541/AY541*100-100))</f>
        <v>NM</v>
      </c>
      <c r="BI541" s="145">
        <f>BI534*(BI538/100)</f>
        <v>7.1587867975022297</v>
      </c>
      <c r="BJ541" s="72" t="str">
        <f>IF(ISERROR(BI541/BA541),"NA",IF(OR(BI541/BA541&gt;2,BI541/BA541&lt;0.5),"NM",BI541/BA541*100-100))</f>
        <v>NM</v>
      </c>
      <c r="BK541" s="145">
        <f>BK534*(BK538/100)</f>
        <v>-4.3899613899613898</v>
      </c>
      <c r="BL541" s="72" t="str">
        <f>IF(ISERROR(BK541/BC541),"NA",IF(OR(BK541/BC541&gt;2,BK541/BC541&lt;0.5),"NM",BK541/BC541*100-100))</f>
        <v>NM</v>
      </c>
      <c r="BM541" s="145">
        <f>BM534*(BM538/100)</f>
        <v>-35.7421875</v>
      </c>
      <c r="BN541" s="72" t="str">
        <f>IF(ISERROR(BM541/BE541),"NA",IF(OR(BM541/BE541&gt;2,BM541/BE541&lt;0.5),"NM",BM541/BE541*100-100))</f>
        <v>NM</v>
      </c>
      <c r="BO541" s="145">
        <f>BO534*(BO538/100)</f>
        <v>-7.6232201533406352</v>
      </c>
      <c r="BP541" s="72" t="str">
        <f>IF(ISERROR(BO541/BG541),"NA",IF(OR(BO541/BG541&gt;2,BO541/BG541&lt;0.5),"NM",BO541/BG541*100-100))</f>
        <v>NM</v>
      </c>
      <c r="BQ541" s="145">
        <f>BQ534*(BQ538/100)</f>
        <v>10.125673249551166</v>
      </c>
      <c r="BR541" s="72">
        <f>IF(ISERROR(BQ541/BI541),"NA",IF(OR(BQ541/BI541&gt;2,BQ541/BI541&lt;0.5),"NM",BQ541/BI541*100-100))</f>
        <v>41.4439839594624</v>
      </c>
      <c r="BS541" s="145">
        <f>BS534*(BS538/100)</f>
        <v>-109.62913907284769</v>
      </c>
      <c r="BT541" s="72" t="str">
        <f>IF(ISERROR(BS541/BK541),"NA",IF(OR(BS541/BK541&gt;2,BS541/BK541&lt;0.5),"NM",BS541/BK541*100-100))</f>
        <v>NM</v>
      </c>
      <c r="BU541" s="145">
        <f>BU534*(BU538/100)</f>
        <v>-451.88494077834173</v>
      </c>
      <c r="BV541" s="72" t="str">
        <f>IF(ISERROR(BU541/BM541),"NA",IF(OR(BU541/BM541&gt;2,BU541/BM541&lt;0.5),"NM",BU541/BM541*100-100))</f>
        <v>NM</v>
      </c>
      <c r="BW541" s="145">
        <f>BW534*(BW538/100)</f>
        <v>-84.114285714285714</v>
      </c>
      <c r="BX541" s="72" t="str">
        <f>IF(ISERROR(BW541/BO541),"NA",IF(OR(BW541/BO541&gt;2,BW541/BO541&lt;0.5),"NM",BW541/BO541*100-100))</f>
        <v>NM</v>
      </c>
      <c r="BY541" s="145">
        <f>BY534*(BY538/100)</f>
        <v>118.78149100257069</v>
      </c>
      <c r="BZ541" s="72" t="str">
        <f>IF(ISERROR(BY541/BQ541),"NA",IF(OR(BY541/BQ541&gt;2,BY541/BQ541&lt;0.5),"NM",BY541/BQ541*100-100))</f>
        <v>NM</v>
      </c>
      <c r="CA541" s="145">
        <f>CA534*(CA538/100)</f>
        <v>53.307692307692307</v>
      </c>
      <c r="CB541" s="72" t="str">
        <f>IF(ISERROR(CA541/BS541),"NA",IF(OR(CA541/BS541&gt;2,CA541/BS541&lt;0.5),"NM",CA541/BS541*100-100))</f>
        <v>NM</v>
      </c>
      <c r="CC541" s="145">
        <f>CC534*(CC538/100)</f>
        <v>21.789542483660131</v>
      </c>
      <c r="CD541" s="72" t="str">
        <f>IF(ISERROR(CC541/BU541),"NA",IF(OR(CC541/BU541&gt;2,CC541/BU541&lt;0.5),"NM",CC541/BU541*100-100))</f>
        <v>NM</v>
      </c>
      <c r="CE541" s="145">
        <f>CE534*(CE538/100)</f>
        <v>25.675233644859812</v>
      </c>
      <c r="CF541" s="72" t="str">
        <f>IF(ISERROR(CE541/BW541),"NA",IF(OR(CE541/BW541&gt;2,CE541/BW541&lt;0.5),"NM",CE541/BW541*100-100))</f>
        <v>NM</v>
      </c>
      <c r="CG541" s="145">
        <f>CG534*(CG538/100)</f>
        <v>-72.71632653061225</v>
      </c>
      <c r="CH541" s="72" t="str">
        <f>IF(ISERROR(CG541/BY541),"NA",IF(OR(CG541/BY541&gt;2,CG541/BY541&lt;0.5),"NM",CG541/BY541*100-100))</f>
        <v>NM</v>
      </c>
      <c r="CI541" s="145">
        <f>CI534*(CI538/100)</f>
        <v>127.76785714285714</v>
      </c>
      <c r="CJ541" s="72" t="str">
        <f>IF(ISERROR(CI541/CA541),"NA",IF(OR(CI541/CA541&gt;2,CI541/CA541&lt;0.5),"NM",CI541/CA541*100-100))</f>
        <v>NM</v>
      </c>
      <c r="CK541" s="145">
        <f>CK534*(CK538/100)</f>
        <v>58.280442804428041</v>
      </c>
      <c r="CL541" s="72" t="str">
        <f>IF(ISERROR(CK541/CC541),"NA",IF(OR(CK541/CC541&gt;2,CK541/CC541&lt;0.5),"NM",CK541/CC541*100-100))</f>
        <v>NM</v>
      </c>
      <c r="CM541" s="145">
        <f>CM534*(CM538/100)</f>
        <v>41.76163043478261</v>
      </c>
      <c r="CN541" s="72">
        <f>IF(ISERROR(CM541/CE541),"NA",IF(OR(CM541/CE541&gt;2,CM541/CE541&lt;0.5),"NM",CM541/CE541*100-100))</f>
        <v>62.653360870752181</v>
      </c>
      <c r="CO541" s="145">
        <f>CO534*(CO538/100)</f>
        <v>-6.419611470860314</v>
      </c>
      <c r="CP541" s="72" t="str">
        <f>IF(ISERROR(CO541/CG541),"NA",IF(OR(CO541/CG541&gt;2,CO541/CG541&lt;0.5),"NM",CO541/CG541*100-100))</f>
        <v>NM</v>
      </c>
      <c r="CQ541" s="145">
        <f>CQ534*(CQ538/100)</f>
        <v>-92.173097826086959</v>
      </c>
      <c r="CR541" s="72" t="str">
        <f>IF(ISERROR(CQ541/CI541),"NA",IF(OR(CQ541/CI541&gt;2,CQ541/CI541&lt;0.5),"NM",CQ541/CI541*100-100))</f>
        <v>NM</v>
      </c>
      <c r="CS541" s="145">
        <f>CS534*(CS538/100)</f>
        <v>76.968095238095231</v>
      </c>
      <c r="CT541" s="72">
        <f>IF(ISERROR(CS541/CK541),"NA",IF(OR(CS541/CK541&gt;2,CS541/CK541&lt;0.5),"NM",CS541/CK541*100-100))</f>
        <v>32.065048812991051</v>
      </c>
      <c r="CU541" s="145">
        <f>CU534*(CU538/100)</f>
        <v>52.827580071174374</v>
      </c>
      <c r="CV541" s="72">
        <f>IF(ISERROR(CU541/CM541),"NA",IF(OR(CU541/CM541&gt;2,CU541/CM541&lt;0.5),"NM",CU541/CM541*100-100))</f>
        <v>26.497886986651523</v>
      </c>
      <c r="CW541" s="145">
        <f>CW534*(CW538/100)</f>
        <v>-50.790156599552574</v>
      </c>
      <c r="CX541" s="72" t="str">
        <f>IF(ISERROR(CW541/CO541),"NA",IF(OR(CW541/CO541&gt;2,CW541/CO541&lt;0.5),"NM",CW541/CO541*100-100))</f>
        <v>NM</v>
      </c>
      <c r="CY541" s="145">
        <f>CY534*(CY538/100)</f>
        <v>-32.883913452492941</v>
      </c>
      <c r="CZ541" s="72" t="str">
        <f>IF(ISERROR(CY541/CQ541),"NA",IF(OR(CY541/CQ541&gt;2,CY541/CQ541&lt;0.5),"NM",CY541/CQ541*100-100))</f>
        <v>NM</v>
      </c>
      <c r="DA541" s="145">
        <f>DA534*(DA538/100)</f>
        <v>-10.525782688766114</v>
      </c>
      <c r="DB541" s="72" t="str">
        <f>IF(ISERROR(DA541/CS541),"NA",IF(OR(DA541/CS541&gt;2,DA541/CS541&lt;0.5),"NM",DA541/CS541*100-100))</f>
        <v>NM</v>
      </c>
      <c r="DC541" s="145">
        <f>DC534*(DC538/100)</f>
        <v>29.958440243079</v>
      </c>
      <c r="DD541" s="72">
        <f>IF(ISERROR(DC541/CU541),"NA",IF(OR(DC541/CU541&gt;2,DC541/CU541&lt;0.5),"NM",DC541/CU541*100-100))</f>
        <v>-43.290152222160991</v>
      </c>
      <c r="DE541" s="145">
        <f>DE534*(DE538/100)</f>
        <v>42.526066973079445</v>
      </c>
      <c r="DF541" s="72" t="str">
        <f>IF(ISERROR(DE541/CW541),"NA",IF(OR(DE541/CW541&gt;2,DE541/CW541&lt;0.5),"NM",DE541/CW541*100-100))</f>
        <v>NM</v>
      </c>
      <c r="DG541" s="145">
        <f>DG534*(DG538/100)</f>
        <v>114.71983342009369</v>
      </c>
      <c r="DH541" s="72" t="str">
        <f>IF(ISERROR(DG541/CY541),"NA",IF(OR(DG541/CY541&gt;2,DG541/CY541&lt;0.5),"NM",DG541/CY541*100-100))</f>
        <v>NM</v>
      </c>
      <c r="DI541" s="145">
        <f>DI534*(DI538/100)</f>
        <v>-0.28318614130434783</v>
      </c>
      <c r="DJ541" s="72" t="str">
        <f>IF(ISERROR(DI541/DA541),"NA",IF(OR(DI541/DA541&gt;2,DI541/DA541&lt;0.5),"NM",DI541/DA541*100-100))</f>
        <v>NM</v>
      </c>
      <c r="DK541" s="145">
        <f>DK534*(DK538/100)</f>
        <v>-12.431572246976447</v>
      </c>
      <c r="DL541" s="72" t="str">
        <f>IF(ISERROR(DK541/DC541),"NA",IF(OR(DK541/DC541&gt;2,DK541/DC541&lt;0.5),"NM",DK541/DC541*100-100))</f>
        <v>NM</v>
      </c>
      <c r="DM541" s="145">
        <f>DM534*(DM538/100)</f>
        <v>-3.3049907578558226</v>
      </c>
      <c r="DN541" s="72" t="str">
        <f>IF(ISERROR(DM541/DE541),"NA",IF(OR(DM541/DE541&gt;2,DM541/DE541&lt;0.5),"NM",DM541/DE541*100-100))</f>
        <v>NM</v>
      </c>
      <c r="DO541" s="145">
        <f>DO534*(DO538/100)</f>
        <v>-57.528455284552848</v>
      </c>
      <c r="DP541" s="72" t="str">
        <f>IF(ISERROR(DO541/DG541),"NA",IF(OR(DO541/DG541&gt;2,DO541/DG541&lt;0.5),"NM",DO541/DG541*100-100))</f>
        <v>NM</v>
      </c>
      <c r="DQ541" s="145">
        <f>DQ534*(DQ538/100)</f>
        <v>-37.834200743494428</v>
      </c>
      <c r="DR541" s="72" t="str">
        <f>IF(ISERROR(DQ541/DI541),"NA",IF(OR(DQ541/DI541&gt;2,DQ541/DI541&lt;0.5),"NM",DQ541/DI541*100-100))</f>
        <v>NM</v>
      </c>
      <c r="DS541" s="145">
        <f>DS534*(DS538/100)</f>
        <v>24.84756446991404</v>
      </c>
      <c r="DT541" s="72" t="str">
        <f>IF(ISERROR(DS541/DK541),"NA",IF(OR(DS541/DK541&gt;2,DS541/DK541&lt;0.5),"NM",DS541/DK541*100-100))</f>
        <v>NM</v>
      </c>
      <c r="DU541" s="145">
        <f>DU534*(DU538/100)</f>
        <v>54.140684410646386</v>
      </c>
      <c r="DV541" s="72" t="str">
        <f>IF(ISERROR(DU541/DM541),"NA",IF(OR(DU541/DM541&gt;2,DU541/DM541&lt;0.5),"NM",DU541/DM541*100-100))</f>
        <v>NM</v>
      </c>
      <c r="DW541" s="145">
        <f>DW534*(DW538/100)</f>
        <v>-20.267942583732058</v>
      </c>
      <c r="DX541" s="72" t="str">
        <f>IF(ISERROR(DW541/DO541),"NA",IF(OR(DW541/DO541&gt;2,DW541/DO541&lt;0.5),"NM",DW541/DO541*100-100))</f>
        <v>NM</v>
      </c>
      <c r="DY541" s="145">
        <f>DY534*(DY538/100)</f>
        <v>-22.772842639593907</v>
      </c>
      <c r="DZ541" s="72">
        <f>IF(ISERROR(DY541/DQ541),"NA",IF(OR(DY541/DQ541&gt;2,DY541/DQ541&lt;0.5),"NM",DY541/DQ541*100-100))</f>
        <v>-39.808844399839252</v>
      </c>
      <c r="EA541" s="145">
        <f>EA534*(EA538/100)</f>
        <v>-24.259622641509434</v>
      </c>
      <c r="EB541" s="72" t="str">
        <f>IF(ISERROR(EA541/DS541),"NA",IF(OR(EA541/DS541&gt;2,EA541/DS541&lt;0.5),"NM",EA541/DS541*100-100))</f>
        <v>NM</v>
      </c>
      <c r="EC541" s="145">
        <f>EC534*(EC538/100)</f>
        <v>-93.831598864711452</v>
      </c>
      <c r="ED541" s="72" t="str">
        <f>IF(ISERROR(EC541/DU541),"NA",IF(OR(EC541/DU541&gt;2,EC541/DU541&lt;0.5),"NM",EC541/DU541*100-100))</f>
        <v>NM</v>
      </c>
      <c r="EE541" s="145">
        <f>EE534*(EE538/100)</f>
        <v>24.733632862644416</v>
      </c>
      <c r="EF541" s="72" t="str">
        <f>IF(ISERROR(EE541/DW541),"NA",IF(OR(EE541/DW541&gt;2,EE541/DW541&lt;0.5),"NM",EE541/DW541*100-100))</f>
        <v>NM</v>
      </c>
      <c r="EG541" s="145">
        <v>0</v>
      </c>
      <c r="EH541" s="72" t="str">
        <f>IF(ISERROR(EG541/DY541),"NA",IF(OR(EG541/DY541&gt;2,EG541/DY541&lt;0.5),"NM",EG541/DY541*100-100))</f>
        <v>NM</v>
      </c>
      <c r="EI541" s="145">
        <v>0</v>
      </c>
      <c r="EJ541" s="72" t="str">
        <f>IF(ISERROR(EI541/EA541),"NA",IF(OR(EI541/EA541&gt;2,EI541/EA541&lt;0.5),"NM",EI541/EA541*100-100))</f>
        <v>NM</v>
      </c>
      <c r="EK541" s="144">
        <v>0</v>
      </c>
      <c r="EL541" s="72" t="str">
        <f>IF(ISERROR(EK541/EC541),"NA",IF(OR(EK541/EC541&gt;2,EK541/EC541&lt;0.5),"NM",EK541/EC541*100-100))</f>
        <v>NM</v>
      </c>
      <c r="EM541" s="144">
        <v>0</v>
      </c>
      <c r="EN541" s="72" t="str">
        <f>IF(ISERROR(EM541/EE541),"NA",IF(OR(EM541/EE541&gt;2,EM541/EE541&lt;0.5),"NM",EM541/EE541*100-100))</f>
        <v>NM</v>
      </c>
      <c r="EO541" s="144">
        <v>0</v>
      </c>
      <c r="EP541" s="72" t="str">
        <f>IF(ISERROR(EO541/EG541),"NA",IF(OR(EO541/EG541&gt;2,EO541/EG541&lt;0.5),"NM",EO541/EG541*100-100))</f>
        <v>NA</v>
      </c>
      <c r="EQ541" s="144">
        <v>0</v>
      </c>
      <c r="ER541" s="72" t="str">
        <f t="shared" ref="ER541:ER543" si="2604">IF(ISERROR(EQ541/EI541),"NA",IF(OR(EQ541/EI541&gt;2,EQ541/EI541&lt;0.5),"NM",EQ541/EI541*100-100))</f>
        <v>NA</v>
      </c>
      <c r="ES541" s="144">
        <v>0</v>
      </c>
      <c r="ET541" s="72" t="str">
        <f t="shared" ref="ET541:ET543" si="2605">IF(ISERROR(ES541/EK541),"NA",IF(OR(ES541/EK541&gt;2,ES541/EK541&lt;0.5),"NM",ES541/EK541*100-100))</f>
        <v>NA</v>
      </c>
      <c r="EU541" s="144">
        <v>0</v>
      </c>
      <c r="EV541" s="72" t="str">
        <f t="shared" ref="EV541:EV543" si="2606">IF(ISERROR(EU541/EM541),"NA",IF(OR(EU541/EM541&gt;2,EU541/EM541&lt;0.5),"NM",EU541/EM541*100-100))</f>
        <v>NA</v>
      </c>
      <c r="EW541" s="144">
        <v>0</v>
      </c>
      <c r="EX541" s="72" t="str">
        <f t="shared" ref="EX541:EX543" si="2607">IF(ISERROR(EW541/EO541),"NA",IF(OR(EW541/EO541&gt;2,EW541/EO541&lt;0.5),"NM",EW541/EO541*100-100))</f>
        <v>NA</v>
      </c>
      <c r="EY541" s="72"/>
      <c r="EZ541" s="296"/>
      <c r="FA541" s="72"/>
      <c r="FB541" s="145"/>
      <c r="FC541" s="11"/>
      <c r="FD541" s="144">
        <v>0</v>
      </c>
      <c r="FE541" s="72"/>
      <c r="FF541" s="144">
        <v>0</v>
      </c>
      <c r="FG541" s="72"/>
      <c r="FH541" s="144">
        <v>0</v>
      </c>
      <c r="FI541" s="72"/>
      <c r="FJ541" s="144">
        <v>0</v>
      </c>
      <c r="FK541" s="72"/>
      <c r="FL541" s="144">
        <v>0</v>
      </c>
      <c r="FM541" s="72"/>
      <c r="FN541" s="144">
        <v>0</v>
      </c>
      <c r="FO541" s="72"/>
      <c r="FP541" s="144">
        <v>0</v>
      </c>
      <c r="FQ541" s="72"/>
      <c r="FR541" s="144">
        <v>0</v>
      </c>
      <c r="FS541" s="72"/>
      <c r="FT541" s="144">
        <v>0</v>
      </c>
      <c r="FU541" s="72"/>
      <c r="FV541" s="144">
        <v>0</v>
      </c>
      <c r="FW541" s="72"/>
      <c r="FX541" s="144">
        <v>0</v>
      </c>
      <c r="FY541" s="72"/>
      <c r="FZ541" s="144">
        <v>0</v>
      </c>
      <c r="GA541" s="72"/>
      <c r="GB541" s="144">
        <v>0</v>
      </c>
      <c r="GC541" s="72"/>
      <c r="GD541" s="144">
        <v>0</v>
      </c>
      <c r="GE541" s="72"/>
      <c r="GF541" s="144">
        <v>0</v>
      </c>
      <c r="GG541" s="72"/>
      <c r="GH541" s="144">
        <v>0</v>
      </c>
      <c r="GI541" s="72"/>
      <c r="GJ541" s="144">
        <v>0</v>
      </c>
      <c r="GK541" s="72"/>
      <c r="GL541" s="144">
        <v>0</v>
      </c>
      <c r="GM541" s="72"/>
      <c r="GN541" s="144">
        <v>0</v>
      </c>
      <c r="GO541" s="72"/>
      <c r="GP541" s="144">
        <v>0</v>
      </c>
      <c r="GQ541" s="72"/>
      <c r="GR541" s="144"/>
      <c r="GS541" s="72"/>
      <c r="GT541" s="144"/>
      <c r="GU541" s="72"/>
      <c r="GV541" s="144"/>
      <c r="GW541" s="72"/>
      <c r="GX541" s="144"/>
      <c r="GY541" s="72"/>
      <c r="GZ541" s="72"/>
      <c r="HA541" s="72"/>
      <c r="HB541" s="72"/>
      <c r="HC541"/>
      <c r="HD541"/>
      <c r="HE541"/>
      <c r="HF541"/>
      <c r="HG541"/>
      <c r="HH541"/>
      <c r="HI541" s="2"/>
    </row>
    <row r="542" spans="1:217" s="78" customFormat="1" ht="12.75" hidden="1" customHeight="1" outlineLevel="1" x14ac:dyDescent="0.2">
      <c r="A542" s="3"/>
      <c r="B542" s="89" t="s">
        <v>541</v>
      </c>
      <c r="C542" s="160">
        <f>C537-C541</f>
        <v>0</v>
      </c>
      <c r="D542" s="161"/>
      <c r="E542" s="160">
        <f>E537-E541</f>
        <v>0</v>
      </c>
      <c r="F542" s="161"/>
      <c r="G542" s="160">
        <f>G537-G541</f>
        <v>0</v>
      </c>
      <c r="H542" s="172"/>
      <c r="I542" s="160">
        <f>I537-I541</f>
        <v>0</v>
      </c>
      <c r="J542" s="161"/>
      <c r="K542" s="160">
        <f>K537-K541</f>
        <v>0</v>
      </c>
      <c r="L542" s="72"/>
      <c r="M542" s="160">
        <f>M537-M541</f>
        <v>0</v>
      </c>
      <c r="N542" s="72"/>
      <c r="O542" s="160">
        <f>O537-O541</f>
        <v>0</v>
      </c>
      <c r="P542" s="72"/>
      <c r="Q542" s="160">
        <f>Q537-Q541</f>
        <v>0</v>
      </c>
      <c r="R542" s="72"/>
      <c r="S542" s="160">
        <f>S537-S541</f>
        <v>0</v>
      </c>
      <c r="T542" s="72"/>
      <c r="U542" s="160">
        <f>U537-U541</f>
        <v>0</v>
      </c>
      <c r="V542" s="72"/>
      <c r="W542" s="160">
        <f>W537-W541</f>
        <v>0</v>
      </c>
      <c r="X542" s="72"/>
      <c r="Y542" s="160">
        <f>Y537-Y541</f>
        <v>0</v>
      </c>
      <c r="Z542" s="72"/>
      <c r="AA542" s="160">
        <f>AA537-AA541</f>
        <v>0</v>
      </c>
      <c r="AB542" s="72"/>
      <c r="AC542" s="160">
        <f>AC537-AC541</f>
        <v>0</v>
      </c>
      <c r="AD542" s="72"/>
      <c r="AE542" s="160">
        <f>AE537-AE541</f>
        <v>0</v>
      </c>
      <c r="AF542" s="72"/>
      <c r="AG542" s="160">
        <f>AG537-AG541</f>
        <v>0</v>
      </c>
      <c r="AH542" s="72"/>
      <c r="AI542" s="160">
        <f>AI537-AI541</f>
        <v>0</v>
      </c>
      <c r="AJ542" s="72" t="str">
        <f>IF(ISERROR(AI542/AA542),"NA",IF(OR(AI542/AA542&gt;2,AI542/AA542&lt;0.5),"NM",AI542/AA542*100-100))</f>
        <v>NA</v>
      </c>
      <c r="AK542" s="160">
        <f>AK537-AK541</f>
        <v>0</v>
      </c>
      <c r="AL542" s="72" t="str">
        <f>IF(ISERROR(AK542/AC542),"NA",IF(OR(AK542/AC542&gt;2,AK542/AC542&lt;0.5),"NM",AK542/AC542*100-100))</f>
        <v>NA</v>
      </c>
      <c r="AM542" s="160">
        <f>AM537-AM541</f>
        <v>0</v>
      </c>
      <c r="AN542" s="72" t="str">
        <f>IF(ISERROR(AM542/AE542),"NA",IF(OR(AM542/AE542&gt;2,AM542/AE542&lt;0.5),"NM",AM542/AE542*100-100))</f>
        <v>NA</v>
      </c>
      <c r="AO542" s="160">
        <f>AO537-AO541</f>
        <v>0</v>
      </c>
      <c r="AP542" s="72" t="str">
        <f>IF(ISERROR(AO542/AG542),"NA",IF(OR(AO542/AG542&gt;2,AO542/AG542&lt;0.5),"NM",AO542/AG542*100-100))</f>
        <v>NA</v>
      </c>
      <c r="AQ542" s="160">
        <f>AQ537-AQ541</f>
        <v>0</v>
      </c>
      <c r="AR542" s="72" t="str">
        <f>IF(ISERROR(AQ542/AI542),"NA",IF(OR(AQ542/AI542&gt;2,AQ542/AI542&lt;0.5),"NM",AQ542/AI542*100-100))</f>
        <v>NA</v>
      </c>
      <c r="AS542" s="160">
        <f>AS537-AS541</f>
        <v>0</v>
      </c>
      <c r="AT542" s="72" t="str">
        <f>IF(ISERROR(AS542/AK542),"NA",IF(OR(AS542/AK542&gt;2,AS542/AK542&lt;0.5),"NM",AS542/AK542*100-100))</f>
        <v>NA</v>
      </c>
      <c r="AU542" s="160">
        <f>AU537-AU541</f>
        <v>0</v>
      </c>
      <c r="AV542" s="72" t="str">
        <f>IF(ISERROR(AU542/AM542),"NA",IF(OR(AU542/AM542&gt;2,AU542/AM542&lt;0.5),"NM",AU542/AM542*100-100))</f>
        <v>NA</v>
      </c>
      <c r="AW542" s="160">
        <f>AW537-AW541</f>
        <v>0</v>
      </c>
      <c r="AX542" s="72" t="str">
        <f>IF(ISERROR(AW542/AO542),"NA",IF(OR(AW542/AO542&gt;2,AW542/AO542&lt;0.5),"NM",AW542/AO542*100-100))</f>
        <v>NA</v>
      </c>
      <c r="AY542" s="160">
        <f>AY537-AY541</f>
        <v>282.39344262295083</v>
      </c>
      <c r="AZ542" s="72" t="str">
        <f>IF(ISERROR(AY542/AQ542),"NA",IF(OR(AY542/AQ542&gt;2,AY542/AQ542&lt;0.5),"NM",AY542/AQ542*100-100))</f>
        <v>NA</v>
      </c>
      <c r="BA542" s="160">
        <f>BA537-BA541</f>
        <v>279.64642082429503</v>
      </c>
      <c r="BB542" s="72" t="str">
        <f>IF(ISERROR(BA542/AS542),"NA",IF(OR(BA542/AS542&gt;2,BA542/AS542&lt;0.5),"NM",BA542/AS542*100-100))</f>
        <v>NA</v>
      </c>
      <c r="BC542" s="160">
        <f>BC537-BC541</f>
        <v>281.36528028933094</v>
      </c>
      <c r="BD542" s="72" t="str">
        <f>IF(ISERROR(BC542/AU542),"NA",IF(OR(BC542/AU542&gt;2,BC542/AU542&lt;0.5),"NM",BC542/AU542*100-100))</f>
        <v>NA</v>
      </c>
      <c r="BE542" s="160">
        <f>BE537-BE541</f>
        <v>289.41038197845251</v>
      </c>
      <c r="BF542" s="72" t="str">
        <f>IF(ISERROR(BE542/AW542),"NA",IF(OR(BE542/AW542&gt;2,BE542/AW542&lt;0.5),"NM",BE542/AW542*100-100))</f>
        <v>NA</v>
      </c>
      <c r="BG542" s="160">
        <f>BG537-BG541</f>
        <v>300.26822157434401</v>
      </c>
      <c r="BH542" s="72">
        <f>IF(ISERROR(BG542/AY542),"NA",IF(OR(BG542/AY542&gt;2,BG542/AY542&lt;0.5),"NM",BG542/AY542*100-100))</f>
        <v>6.3297429236908442</v>
      </c>
      <c r="BI542" s="160">
        <f>BI537-BI541</f>
        <v>313.84121320249778</v>
      </c>
      <c r="BJ542" s="72">
        <f>IF(ISERROR(BI542/BA542),"NA",IF(OR(BI542/BA542&gt;2,BI542/BA542&lt;0.5),"NM",BI542/BA542*100-100))</f>
        <v>12.227866989110396</v>
      </c>
      <c r="BK542" s="160">
        <f>BK537-BK541</f>
        <v>383.3899613899614</v>
      </c>
      <c r="BL542" s="72">
        <f>IF(ISERROR(BK542/BC542),"NA",IF(OR(BK542/BC542&gt;2,BK542/BC542&lt;0.5),"NM",BK542/BC542*100-100))</f>
        <v>36.260579484333448</v>
      </c>
      <c r="BM542" s="160">
        <f>BM537-BM541</f>
        <v>279.7421875</v>
      </c>
      <c r="BN542" s="72">
        <f>IF(ISERROR(BM542/BE542),"NA",IF(OR(BM542/BE542&gt;2,BM542/BE542&lt;0.5),"NM",BM542/BE542*100-100))</f>
        <v>-3.3406522642205516</v>
      </c>
      <c r="BO542" s="160">
        <f>BO537-BO541</f>
        <v>247.62322015334064</v>
      </c>
      <c r="BP542" s="72">
        <f>IF(ISERROR(BO542/BG542),"NA",IF(OR(BO542/BG542&gt;2,BO542/BG542&lt;0.5),"NM",BO542/BG542*100-100))</f>
        <v>-17.53265834958458</v>
      </c>
      <c r="BQ542" s="160">
        <f>BQ537-BQ541</f>
        <v>271.87432675044886</v>
      </c>
      <c r="BR542" s="72">
        <f>IF(ISERROR(BQ542/BI542),"NA",IF(OR(BQ542/BI542&gt;2,BQ542/BI542&lt;0.5),"NM",BQ542/BI542*100-100))</f>
        <v>-13.372012561323771</v>
      </c>
      <c r="BS542" s="160">
        <f>BS537-BS541</f>
        <v>295.62913907284769</v>
      </c>
      <c r="BT542" s="72">
        <f>IF(ISERROR(BS542/BK542),"NA",IF(OR(BS542/BK542&gt;2,BS542/BK542&lt;0.5),"NM",BS542/BK542*100-100))</f>
        <v>-22.890746017173001</v>
      </c>
      <c r="BU542" s="160">
        <f>BU537-BU541</f>
        <v>147.88494077834173</v>
      </c>
      <c r="BV542" s="72">
        <f>IF(ISERROR(BU542/BM542),"NA",IF(OR(BU542/BM542&gt;2,BU542/BM542&lt;0.5),"NM",BU542/BM542*100-100))</f>
        <v>-47.135274053599183</v>
      </c>
      <c r="BW542" s="160">
        <f>BW537-BW541</f>
        <v>140.1142857142857</v>
      </c>
      <c r="BX542" s="72">
        <f>IF(ISERROR(BW542/BO542),"NA",IF(OR(BW542/BO542&gt;2,BW542/BO542&lt;0.5),"NM",BW542/BO542*100-100))</f>
        <v>-43.416338085127904</v>
      </c>
      <c r="BY542" s="160">
        <f>BY537-BY541</f>
        <v>187.2185089974293</v>
      </c>
      <c r="BZ542" s="72">
        <f>IF(ISERROR(BY542/BQ542),"NA",IF(OR(BY542/BQ542&gt;2,BY542/BQ542&lt;0.5),"NM",BY542/BQ542*100-100))</f>
        <v>-31.137849154372134</v>
      </c>
      <c r="CA542" s="160">
        <f>CA537-CA541</f>
        <v>192.69230769230768</v>
      </c>
      <c r="CB542" s="72">
        <f>IF(ISERROR(CA542/BS542),"NA",IF(OR(CA542/BS542&gt;2,CA542/BS542&lt;0.5),"NM",CA542/BS542*100-100))</f>
        <v>-34.819582299421015</v>
      </c>
      <c r="CC542" s="160">
        <f>CC537-CC541</f>
        <v>189.21045751633986</v>
      </c>
      <c r="CD542" s="72">
        <f>IF(ISERROR(CC542/BU542),"NA",IF(OR(CC542/BU542&gt;2,CC542/BU542&lt;0.5),"NM",CC542/BU542*100-100))</f>
        <v>27.944371158074262</v>
      </c>
      <c r="CE542" s="160">
        <f>CE537-CE541</f>
        <v>196.32476635514018</v>
      </c>
      <c r="CF542" s="72">
        <f>IF(ISERROR(CE542/BW542),"NA",IF(OR(CE542/BW542&gt;2,CE542/BW542&lt;0.5),"NM",CE542/BW542*100-100))</f>
        <v>40.117594258358622</v>
      </c>
      <c r="CG542" s="160">
        <f>CG537-CG541</f>
        <v>183.71632653061226</v>
      </c>
      <c r="CH542" s="72">
        <f>IF(ISERROR(CG542/BY542),"NA",IF(OR(CG542/BY542&gt;2,CG542/BY542&lt;0.5),"NM",CG542/BY542*100-100))</f>
        <v>-1.8706390119072722</v>
      </c>
      <c r="CI542" s="160">
        <f>CI537-CI541</f>
        <v>202.23214285714286</v>
      </c>
      <c r="CJ542" s="72">
        <f>IF(ISERROR(CI542/CA542),"NA",IF(OR(CI542/CA542&gt;2,CI542/CA542&lt;0.5),"NM",CI542/CA542*100-100))</f>
        <v>4.9508126603934954</v>
      </c>
      <c r="CK542" s="160">
        <f>CK537-CK541</f>
        <v>239.71955719557195</v>
      </c>
      <c r="CL542" s="72">
        <f>IF(ISERROR(CK542/CC542),"NA",IF(OR(CK542/CC542&gt;2,CK542/CC542&lt;0.5),"NM",CK542/CC542*100-100))</f>
        <v>26.694666004319672</v>
      </c>
      <c r="CM542" s="160">
        <f>CM537-CM541</f>
        <v>257.03836956521741</v>
      </c>
      <c r="CN542" s="72">
        <f>IF(ISERROR(CM542/CE542),"NA",IF(OR(CM542/CE542&gt;2,CM542/CE542&lt;0.5),"NM",CM542/CE542*100-100))</f>
        <v>30.925086191239785</v>
      </c>
      <c r="CO542" s="160">
        <f>CO537-CO541</f>
        <v>295.56961147086031</v>
      </c>
      <c r="CP542" s="72">
        <f>IF(ISERROR(CO542/CG542),"NA",IF(OR(CO542/CG542&gt;2,CO542/CG542&lt;0.5),"NM",CO542/CG542*100-100))</f>
        <v>60.883693383456659</v>
      </c>
      <c r="CQ542" s="160">
        <f>CQ537-CQ541</f>
        <v>210.22309782608696</v>
      </c>
      <c r="CR542" s="72">
        <f>IF(ISERROR(CQ542/CI542),"NA",IF(OR(CQ542/CI542&gt;2,CQ542/CI542&lt;0.5),"NM",CQ542/CI542*100-100))</f>
        <v>3.9513772914867076</v>
      </c>
      <c r="CS542" s="160">
        <f>CS537-CS541</f>
        <v>266.93190476190478</v>
      </c>
      <c r="CT542" s="72">
        <f>IF(ISERROR(CS542/CK542),"NA",IF(OR(CS542/CK542&gt;2,CS542/CK542&lt;0.5),"NM",CS542/CK542*100-100))</f>
        <v>11.35174279674311</v>
      </c>
      <c r="CU542" s="160">
        <f>CU537-CU541</f>
        <v>250.12241992882562</v>
      </c>
      <c r="CV542" s="72">
        <f>IF(ISERROR(CU542/CM542),"NA",IF(OR(CU542/CM542&gt;2,CU542/CM542&lt;0.5),"NM",CU542/CM542*100-100))</f>
        <v>-2.6906292815699828</v>
      </c>
      <c r="CW542" s="160">
        <f>CW537-CW541</f>
        <v>269.09015659955259</v>
      </c>
      <c r="CX542" s="72">
        <f>IF(ISERROR(CW542/CO542),"NA",IF(OR(CW542/CO542&gt;2,CW542/CO542&lt;0.5),"NM",CW542/CO542*100-100))</f>
        <v>-8.958787995672651</v>
      </c>
      <c r="CY542" s="160">
        <f>CY537-CY541</f>
        <v>314.78391345249292</v>
      </c>
      <c r="CZ542" s="72">
        <f>IF(ISERROR(CY542/CQ542),"NA",IF(OR(CY542/CQ542&gt;2,CY542/CQ542&lt;0.5),"NM",CY542/CQ542*100-100))</f>
        <v>49.738024369190327</v>
      </c>
      <c r="DA542" s="160">
        <f>DA537-DA541</f>
        <v>259.02578268876613</v>
      </c>
      <c r="DB542" s="72">
        <f>IF(ISERROR(DA542/CS542),"NA",IF(OR(DA542/CS542&gt;2,DA542/CS542&lt;0.5),"NM",DA542/CS542*100-100))</f>
        <v>-2.961849794684781</v>
      </c>
      <c r="DC542" s="160">
        <f>DC537-DC541</f>
        <v>377.09155975692101</v>
      </c>
      <c r="DD542" s="72">
        <f>IF(ISERROR(DC542/CU542),"NA",IF(OR(DC542/CU542&gt;2,DC542/CU542&lt;0.5),"NM",DC542/CU542*100-100))</f>
        <v>50.762798418560607</v>
      </c>
      <c r="DE542" s="160">
        <f>DE537-DE541</f>
        <v>383.5739330269206</v>
      </c>
      <c r="DF542" s="72">
        <f>IF(ISERROR(DE542/CW542),"NA",IF(OR(DE542/CW542&gt;2,DE542/CW542&lt;0.5),"NM",DE542/CW542*100-100))</f>
        <v>42.544765618363897</v>
      </c>
      <c r="DG542" s="160">
        <f>DG537-DG541</f>
        <v>428.08016657990629</v>
      </c>
      <c r="DH542" s="72">
        <f>IF(ISERROR(DG542/CY542),"NA",IF(OR(DG542/CY542&gt;2,DG542/CY542&lt;0.5),"NM",DG542/CY542*100-100))</f>
        <v>35.991754433954583</v>
      </c>
      <c r="DI542" s="160">
        <f>DI537-DI541</f>
        <v>417.13318614130435</v>
      </c>
      <c r="DJ542" s="72">
        <f>IF(ISERROR(DI542/DA542),"NA",IF(OR(DI542/DA542&gt;2,DI542/DA542&lt;0.5),"NM",DI542/DA542*100-100))</f>
        <v>61.039253240096571</v>
      </c>
      <c r="DK542" s="160">
        <f>DK537-DK541</f>
        <v>446.43157224697643</v>
      </c>
      <c r="DL542" s="72">
        <f>IF(ISERROR(DK542/DC542),"NA",IF(OR(DK542/DC542&gt;2,DK542/DC542&lt;0.5),"NM",DK542/DC542*100-100))</f>
        <v>18.388110445843182</v>
      </c>
      <c r="DM542" s="160">
        <f>DM537-DM541</f>
        <v>450.30499075785582</v>
      </c>
      <c r="DN542" s="72">
        <f>IF(ISERROR(DM542/DE542),"NA",IF(OR(DM542/DE542&gt;2,DM542/DE542&lt;0.5),"NM",DM542/DE542*100-100))</f>
        <v>17.397182651160975</v>
      </c>
      <c r="DO542" s="160">
        <f>DO537-DO541</f>
        <v>376.52845528455282</v>
      </c>
      <c r="DP542" s="72">
        <f>IF(ISERROR(DO542/DG542),"NA",IF(OR(DO542/DG542&gt;2,DO542/DG542&lt;0.5),"NM",DO542/DG542*100-100))</f>
        <v>-12.042536730262356</v>
      </c>
      <c r="DQ542" s="160">
        <f>DQ537-DQ541</f>
        <v>374.83420074349442</v>
      </c>
      <c r="DR542" s="72">
        <f>IF(ISERROR(DQ542/DI542),"NA",IF(OR(DQ542/DI542&gt;2,DQ542/DI542&lt;0.5),"NM",DQ542/DI542*100-100))</f>
        <v>-10.140402826516208</v>
      </c>
      <c r="DS542" s="160">
        <f>DS537-DS541</f>
        <v>422.15243553008594</v>
      </c>
      <c r="DT542" s="72">
        <f>IF(ISERROR(DS542/DK542),"NA",IF(OR(DS542/DK542&gt;2,DS542/DK542&lt;0.5),"NM",DS542/DK542*100-100))</f>
        <v>-5.4384900679602168</v>
      </c>
      <c r="DU542" s="160">
        <f>DU537-DU541</f>
        <v>436.85931558935363</v>
      </c>
      <c r="DV542" s="72">
        <f>IF(ISERROR(DU542/DM542),"NA",IF(OR(DU542/DM542&gt;2,DU542/DM542&lt;0.5),"NM",DU542/DM542*100-100))</f>
        <v>-2.9859040971039121</v>
      </c>
      <c r="DW542" s="160">
        <f>DW537-DW541</f>
        <v>373.26794258373207</v>
      </c>
      <c r="DX542" s="72">
        <f>IF(ISERROR(DW542/DO542),"NA",IF(OR(DW542/DO542&gt;2,DW542/DO542&lt;0.5),"NM",DW542/DO542*100-100))</f>
        <v>-0.86594058299172616</v>
      </c>
      <c r="DY542" s="160">
        <f>DY537-DY541</f>
        <v>313.77284263959393</v>
      </c>
      <c r="DZ542" s="72">
        <f>IF(ISERROR(DY542/DQ542),"NA",IF(OR(DY542/DQ542&gt;2,DY542/DQ542&lt;0.5),"NM",DY542/DQ542*100-100))</f>
        <v>-16.290231249652123</v>
      </c>
      <c r="EA542" s="160">
        <f>EA537-EA541</f>
        <v>352.25962264150945</v>
      </c>
      <c r="EB542" s="72">
        <f>IF(ISERROR(EA542/DS542),"NA",IF(OR(EA542/DS542&gt;2,EA542/DS542&lt;0.5),"NM",EA542/DS542*100-100))</f>
        <v>-16.556297442845235</v>
      </c>
      <c r="EC542" s="160">
        <f>EC537-EC541</f>
        <v>321.83159886471145</v>
      </c>
      <c r="ED542" s="72">
        <f>IF(ISERROR(EC542/DU542),"NA",IF(OR(EC542/DU542&gt;2,EC542/DU542&lt;0.5),"NM",EC542/DU542*100-100))</f>
        <v>-26.330608646736025</v>
      </c>
      <c r="EE542" s="160">
        <f>EE537-EE541</f>
        <v>342.26636713735559</v>
      </c>
      <c r="EF542" s="72">
        <f>IF(ISERROR(EE542/DW542),"NA",IF(OR(EE542/DW542&gt;2,EE542/DW542&lt;0.5),"NM",EE542/DW542*100-100))</f>
        <v>-8.3054481538880509</v>
      </c>
      <c r="EG542" s="160">
        <f>EG537-EG541</f>
        <v>369</v>
      </c>
      <c r="EH542" s="72">
        <f>IF(ISERROR(EG542/DY542),"NA",IF(OR(EG542/DY542&gt;2,EG542/DY542&lt;0.5),"NM",EG542/DY542*100-100))</f>
        <v>17.600999785644646</v>
      </c>
      <c r="EI542" s="160">
        <f>EI537-EI541</f>
        <v>423</v>
      </c>
      <c r="EJ542" s="72">
        <f>IF(ISERROR(EI542/EA542),"NA",IF(OR(EI542/EA542&gt;2,EI542/EA542&lt;0.5),"NM",EI542/EA542*100-100))</f>
        <v>20.081886430248687</v>
      </c>
      <c r="EK542" s="162">
        <f>EK537-EK541</f>
        <v>309</v>
      </c>
      <c r="EL542" s="72">
        <f>IF(ISERROR(EK542/EC542),"NA",IF(OR(EK542/EC542&gt;2,EK542/EC542&lt;0.5),"NM",EK542/EC542*100-100))</f>
        <v>-3.9870537604063827</v>
      </c>
      <c r="EM542" s="162">
        <f>EM537-EM541</f>
        <v>461</v>
      </c>
      <c r="EN542" s="72">
        <f>IF(ISERROR(EM542/EE542),"NA",IF(OR(EM542/EE542&gt;2,EM542/EE542&lt;0.5),"NM",EM542/EE542*100-100))</f>
        <v>34.690417833253008</v>
      </c>
      <c r="EO542" s="162">
        <f>EO537-EO541</f>
        <v>399</v>
      </c>
      <c r="EP542" s="72">
        <f>IF(ISERROR(EO542/EG542),"NA",IF(OR(EO542/EG542&gt;2,EO542/EG542&lt;0.5),"NM",EO542/EG542*100-100))</f>
        <v>8.1300813008130035</v>
      </c>
      <c r="EQ542" s="162">
        <f t="shared" ref="EQ542" si="2608">EQ537-EQ541</f>
        <v>377.28702433795343</v>
      </c>
      <c r="ER542" s="72">
        <f t="shared" si="2604"/>
        <v>-10.80685003830888</v>
      </c>
      <c r="ES542" s="162">
        <f t="shared" ref="ES542" si="2609">ES537-ES541</f>
        <v>379.3472736475664</v>
      </c>
      <c r="ET542" s="72">
        <f t="shared" si="2605"/>
        <v>22.766107976558715</v>
      </c>
      <c r="EU542" s="162">
        <f t="shared" ref="EU542" si="2610">EU537-EU541</f>
        <v>375.08298200391351</v>
      </c>
      <c r="EV542" s="72">
        <f t="shared" si="2606"/>
        <v>-18.637097179194456</v>
      </c>
      <c r="EW542" s="162">
        <f t="shared" ref="EW542" si="2611">EW537-EW541</f>
        <v>338.34690049199179</v>
      </c>
      <c r="EX542" s="72">
        <f t="shared" si="2607"/>
        <v>-15.201278072182518</v>
      </c>
      <c r="EY542" s="72"/>
      <c r="EZ542" s="332"/>
      <c r="FA542" s="72"/>
      <c r="FB542" s="160"/>
      <c r="FC542" s="161"/>
      <c r="FD542" s="162">
        <f>FD537-FD541</f>
        <v>1049.9000000000001</v>
      </c>
      <c r="FE542" s="72"/>
      <c r="FF542" s="162">
        <f>FF537-FF541</f>
        <v>1054.05</v>
      </c>
      <c r="FG542" s="72"/>
      <c r="FH542" s="162">
        <f>FH537-FH541</f>
        <v>983.2</v>
      </c>
      <c r="FI542" s="72"/>
      <c r="FJ542" s="162">
        <f>FJ537-FJ541</f>
        <v>1147.05</v>
      </c>
      <c r="FK542" s="72"/>
      <c r="FL542" s="162">
        <f>FL537-FL541</f>
        <v>1051.6500000000001</v>
      </c>
      <c r="FM542" s="72"/>
      <c r="FN542" s="162">
        <f>FN537-FN541</f>
        <v>1155.75</v>
      </c>
      <c r="FO542" s="72"/>
      <c r="FP542" s="162">
        <f>FP537-FP541</f>
        <v>1363.55</v>
      </c>
      <c r="FQ542" s="72"/>
      <c r="FR542" s="162">
        <f>FR537-FR541</f>
        <v>1624.4499999999998</v>
      </c>
      <c r="FS542" s="72"/>
      <c r="FT542" s="162">
        <f>FT537-FT541</f>
        <v>1792.8</v>
      </c>
      <c r="FU542" s="72"/>
      <c r="FV542" s="162">
        <f>FV537-FV541</f>
        <v>1819.75</v>
      </c>
      <c r="FW542" s="72"/>
      <c r="FX542" s="162">
        <f>FX537-FX541</f>
        <v>1840.65</v>
      </c>
      <c r="FY542" s="72"/>
      <c r="FZ542" s="162">
        <f>FZ537-FZ541</f>
        <v>1616.85</v>
      </c>
      <c r="GA542" s="72"/>
      <c r="GB542" s="162">
        <f>GB537-GB541</f>
        <v>1537</v>
      </c>
      <c r="GC542" s="72"/>
      <c r="GD542" s="162">
        <f>GD537-GD541</f>
        <v>1550</v>
      </c>
      <c r="GE542" s="72"/>
      <c r="GF542" s="162">
        <f>GF537-GF541</f>
        <v>1594</v>
      </c>
      <c r="GG542" s="72"/>
      <c r="GH542" s="162">
        <f>GH537-GH541</f>
        <v>1628</v>
      </c>
      <c r="GI542" s="72"/>
      <c r="GJ542" s="162">
        <f>GJ537-GJ541</f>
        <v>1582</v>
      </c>
      <c r="GK542" s="72"/>
      <c r="GL542" s="162">
        <f>GL537-GL541</f>
        <v>1292</v>
      </c>
      <c r="GM542" s="72"/>
      <c r="GN542" s="162">
        <f>GN537-GN541</f>
        <v>1592</v>
      </c>
      <c r="GO542" s="72"/>
      <c r="GP542" s="162">
        <f>GP537-GP541</f>
        <v>1470.0641804814252</v>
      </c>
      <c r="GQ542" s="72"/>
      <c r="GR542" s="162"/>
      <c r="GS542" s="72"/>
      <c r="GT542" s="162"/>
      <c r="GU542" s="72"/>
      <c r="GV542" s="162"/>
      <c r="GW542" s="72"/>
      <c r="GX542" s="162"/>
      <c r="GY542" s="72"/>
      <c r="GZ542" s="72"/>
      <c r="HA542" s="72"/>
      <c r="HB542" s="72"/>
      <c r="HC542"/>
      <c r="HD542"/>
      <c r="HE542"/>
      <c r="HF542"/>
      <c r="HG542"/>
      <c r="HH542"/>
      <c r="HI542" s="2"/>
    </row>
    <row r="543" spans="1:217" s="3" customFormat="1" ht="12.75" hidden="1" customHeight="1" outlineLevel="1" x14ac:dyDescent="0.2">
      <c r="B543" s="10" t="s">
        <v>239</v>
      </c>
      <c r="C543" s="174">
        <f>C542/C536*100</f>
        <v>0</v>
      </c>
      <c r="D543" s="11"/>
      <c r="E543" s="174">
        <f>E542/E536*100</f>
        <v>0</v>
      </c>
      <c r="F543" s="11"/>
      <c r="G543" s="174">
        <f>G542/G536*100</f>
        <v>0</v>
      </c>
      <c r="H543" s="167"/>
      <c r="I543" s="174">
        <f>I542/I536*100</f>
        <v>0</v>
      </c>
      <c r="J543" s="11"/>
      <c r="K543" s="174">
        <f>K542/K536*100</f>
        <v>0</v>
      </c>
      <c r="L543" s="72"/>
      <c r="M543" s="174">
        <f>M542/M536*100</f>
        <v>0</v>
      </c>
      <c r="N543" s="72"/>
      <c r="O543" s="174">
        <f>O542/O536*100</f>
        <v>0</v>
      </c>
      <c r="P543" s="72"/>
      <c r="Q543" s="174">
        <f>Q542/Q536*100</f>
        <v>0</v>
      </c>
      <c r="R543" s="72"/>
      <c r="S543" s="174">
        <f>S542/S536*100</f>
        <v>0</v>
      </c>
      <c r="T543" s="72"/>
      <c r="U543" s="174">
        <f>U542/U536*100</f>
        <v>0</v>
      </c>
      <c r="V543" s="72"/>
      <c r="W543" s="174">
        <f>W542/W536*100</f>
        <v>0</v>
      </c>
      <c r="X543" s="72"/>
      <c r="Y543" s="174">
        <f>Y542/Y536*100</f>
        <v>0</v>
      </c>
      <c r="Z543" s="72"/>
      <c r="AA543" s="174">
        <f>AA542/AA536*100</f>
        <v>0</v>
      </c>
      <c r="AB543" s="72"/>
      <c r="AC543" s="174">
        <f>AC542/AC536*100</f>
        <v>0</v>
      </c>
      <c r="AD543" s="72"/>
      <c r="AE543" s="174">
        <f>AE542/AE536*100</f>
        <v>0</v>
      </c>
      <c r="AF543" s="72"/>
      <c r="AG543" s="174">
        <f>AG542/AG536*100</f>
        <v>0</v>
      </c>
      <c r="AH543" s="72"/>
      <c r="AI543" s="174">
        <f>AI542/AI536*100</f>
        <v>0</v>
      </c>
      <c r="AJ543" s="72" t="str">
        <f>IF(ISERROR(AI543/AA543),"NA",IF(OR(AI543/AA543&gt;2,AI543/AA543&lt;0.5),"NM",AI543/AA543*100-100))</f>
        <v>NA</v>
      </c>
      <c r="AK543" s="174">
        <f>AK542/AK536*100</f>
        <v>0</v>
      </c>
      <c r="AL543" s="72" t="str">
        <f>IF(ISERROR(AK543/AC543),"NA",IF(OR(AK543/AC543&gt;2,AK543/AC543&lt;0.5),"NM",AK543/AC543*100-100))</f>
        <v>NA</v>
      </c>
      <c r="AM543" s="174">
        <f>AM542/AM536*100</f>
        <v>0</v>
      </c>
      <c r="AN543" s="72" t="str">
        <f>IF(ISERROR(AM543/AE543),"NA",IF(OR(AM543/AE543&gt;2,AM543/AE543&lt;0.5),"NM",AM543/AE543*100-100))</f>
        <v>NA</v>
      </c>
      <c r="AO543" s="174">
        <f>AO542/AO536*100</f>
        <v>0</v>
      </c>
      <c r="AP543" s="72" t="str">
        <f>IF(ISERROR(AO543/AG543),"NA",IF(OR(AO543/AG543&gt;2,AO543/AG543&lt;0.5),"NM",AO543/AG543*100-100))</f>
        <v>NA</v>
      </c>
      <c r="AQ543" s="174">
        <f>AQ542/AQ536*100</f>
        <v>0</v>
      </c>
      <c r="AR543" s="72" t="str">
        <f>IF(ISERROR(AQ543/AI543),"NA",IF(OR(AQ543/AI543&gt;2,AQ543/AI543&lt;0.5),"NM",AQ543/AI543*100-100))</f>
        <v>NA</v>
      </c>
      <c r="AS543" s="174">
        <f>AS542/AS536*100</f>
        <v>0</v>
      </c>
      <c r="AT543" s="72" t="str">
        <f>IF(ISERROR(AS543/AK543),"NA",IF(OR(AS543/AK543&gt;2,AS543/AK543&lt;0.5),"NM",AS543/AK543*100-100))</f>
        <v>NA</v>
      </c>
      <c r="AU543" s="174">
        <f>AU542/AU536*100</f>
        <v>0</v>
      </c>
      <c r="AV543" s="72" t="str">
        <f>IF(ISERROR(AU543/AM543),"NA",IF(OR(AU543/AM543&gt;2,AU543/AM543&lt;0.5),"NM",AU543/AM543*100-100))</f>
        <v>NA</v>
      </c>
      <c r="AW543" s="174">
        <f>AW542/AW536*100</f>
        <v>0</v>
      </c>
      <c r="AX543" s="72" t="str">
        <f>IF(ISERROR(AW543/AO543),"NA",IF(OR(AW543/AO543&gt;2,AW543/AO543&lt;0.5),"NM",AW543/AO543*100-100))</f>
        <v>NA</v>
      </c>
      <c r="AY543" s="174">
        <f>AY542/AY536*100</f>
        <v>33.067147848120705</v>
      </c>
      <c r="AZ543" s="72" t="str">
        <f>IF(ISERROR(AY543/AQ543),"NA",IF(OR(AY543/AQ543&gt;2,AY543/AQ543&lt;0.5),"NM",AY543/AQ543*100-100))</f>
        <v>NA</v>
      </c>
      <c r="BA543" s="174">
        <f>BA542/BA536*100</f>
        <v>30.330414406105753</v>
      </c>
      <c r="BB543" s="72" t="str">
        <f>IF(ISERROR(BA543/AS543),"NA",IF(OR(BA543/AS543&gt;2,BA543/AS543&lt;0.5),"NM",BA543/AS543*100-100))</f>
        <v>NA</v>
      </c>
      <c r="BC543" s="174">
        <f>BC542/BC536*100</f>
        <v>25.439898760337336</v>
      </c>
      <c r="BD543" s="72" t="str">
        <f>IF(ISERROR(BC543/AU543),"NA",IF(OR(BC543/AU543&gt;2,BC543/AU543&lt;0.5),"NM",BC543/AU543*100-100))</f>
        <v>NA</v>
      </c>
      <c r="BE543" s="174">
        <f>BE542/BE536*100</f>
        <v>28.345776883296036</v>
      </c>
      <c r="BF543" s="72" t="str">
        <f>IF(ISERROR(BE543/AW543),"NA",IF(OR(BE543/AW543&gt;2,BE543/AW543&lt;0.5),"NM",BE543/AW543*100-100))</f>
        <v>NA</v>
      </c>
      <c r="BG543" s="174">
        <f>BG542/BG536*100</f>
        <v>27.356798612822892</v>
      </c>
      <c r="BH543" s="72">
        <f>IF(ISERROR(BG543/AY543),"NA",IF(OR(BG543/AY543&gt;2,BG543/AY543&lt;0.5),"NM",BG543/AY543*100-100))</f>
        <v>-17.268950021107869</v>
      </c>
      <c r="BI543" s="174">
        <f>BI542/BI536*100</f>
        <v>27.996539982381602</v>
      </c>
      <c r="BJ543" s="72">
        <f>IF(ISERROR(BI543/BA543),"NA",IF(OR(BI543/BA543&gt;2,BI543/BA543&lt;0.5),"NM",BI543/BA543*100-100))</f>
        <v>-7.6948319679216866</v>
      </c>
      <c r="BK543" s="174">
        <f>BK542/BK536*100</f>
        <v>29.605402423935246</v>
      </c>
      <c r="BL543" s="72">
        <f>IF(ISERROR(BK543/BC543),"NA",IF(OR(BK543/BC543&gt;2,BK543/BC543&lt;0.5),"NM",BK543/BC543*100-100))</f>
        <v>16.373900316349662</v>
      </c>
      <c r="BM543" s="174">
        <f>BM542/BM536*100</f>
        <v>27.318572998046875</v>
      </c>
      <c r="BN543" s="72">
        <f>IF(ISERROR(BM543/BE543),"NA",IF(OR(BM543/BE543&gt;2,BM543/BE543&lt;0.5),"NM",BM543/BE543*100-100))</f>
        <v>-3.6238339470402252</v>
      </c>
      <c r="BO543" s="174">
        <f>BO542/BO536*100</f>
        <v>27.121929918219127</v>
      </c>
      <c r="BP543" s="72">
        <f>IF(ISERROR(BO543/BG543),"NA",IF(OR(BO543/BG543&gt;2,BO543/BG543&lt;0.5),"NM",BO543/BG543*100-100))</f>
        <v>-0.85853866867914519</v>
      </c>
      <c r="BQ543" s="174">
        <f>BQ542/BQ536*100</f>
        <v>24.405235794474763</v>
      </c>
      <c r="BR543" s="72">
        <f>IF(ISERROR(BQ543/BI543),"NA",IF(OR(BQ543/BI543&gt;2,BQ543/BI543&lt;0.5),"NM",BQ543/BI543*100-100))</f>
        <v>-12.827671527148965</v>
      </c>
      <c r="BS543" s="174">
        <f>BS542/BS536*100</f>
        <v>48.945221700802598</v>
      </c>
      <c r="BT543" s="72">
        <f>IF(ISERROR(BS543/BK543),"NA",IF(OR(BS543/BK543&gt;2,BS543/BK543&lt;0.5),"NM",BS543/BK543*100-100))</f>
        <v>65.325304483047944</v>
      </c>
      <c r="BU543" s="174">
        <f>BU542/BU536*100</f>
        <v>-12.511416309504375</v>
      </c>
      <c r="BV543" s="72" t="str">
        <f>IF(ISERROR(BU543/BM543),"NA",IF(OR(BU543/BM543&gt;2,BU543/BM543&lt;0.5),"NM",BU543/BM543*100-100))</f>
        <v>NM</v>
      </c>
      <c r="BW543" s="174">
        <f>BW542/BW536*100</f>
        <v>57.189504373177833</v>
      </c>
      <c r="BX543" s="72" t="str">
        <f>IF(ISERROR(BW543/BO543),"NA",IF(OR(BW543/BO543&gt;2,BW543/BO543&lt;0.5),"NM",BW543/BO543*100-100))</f>
        <v>NM</v>
      </c>
      <c r="BY543" s="174">
        <f>BY542/BY536*100</f>
        <v>16.042717137740301</v>
      </c>
      <c r="BZ543" s="72">
        <f>IF(ISERROR(BY543/BQ543),"NA",IF(OR(BY543/BQ543&gt;2,BY543/BQ543&lt;0.5),"NM",BY543/BQ543*100-100))</f>
        <v>-34.265264745476046</v>
      </c>
      <c r="CA543" s="174">
        <f>CA542/CA536*100</f>
        <v>18.07620147207389</v>
      </c>
      <c r="CB543" s="72" t="str">
        <f>IF(ISERROR(CA543/BS543),"NA",IF(OR(CA543/BS543&gt;2,CA543/BS543&lt;0.5),"NM",CA543/BS543*100-100))</f>
        <v>NM</v>
      </c>
      <c r="CC543" s="174">
        <f>CC542/CC536*100</f>
        <v>24.733393139390831</v>
      </c>
      <c r="CD543" s="72" t="str">
        <f>IF(ISERROR(CC543/BU543),"NA",IF(OR(CC543/BU543&gt;2,CC543/BU543&lt;0.5),"NM",CC543/BU543*100-100))</f>
        <v>NM</v>
      </c>
      <c r="CE543" s="174">
        <f>CE542/CE536*100</f>
        <v>22.935136256441609</v>
      </c>
      <c r="CF543" s="72" t="str">
        <f>IF(ISERROR(CE543/BW543),"NA",IF(OR(CE543/BW543&gt;2,CE543/BW543&lt;0.5),"NM",CE543/BW543*100-100))</f>
        <v>NM</v>
      </c>
      <c r="CG543" s="174">
        <f>CG542/CG536*100</f>
        <v>37.493127863390256</v>
      </c>
      <c r="CH543" s="72" t="str">
        <f>IF(ISERROR(CG543/BY543),"NA",IF(OR(CG543/BY543&gt;2,CG543/BY543&lt;0.5),"NM",CG543/BY543*100-100))</f>
        <v>NM</v>
      </c>
      <c r="CI543" s="174">
        <f>CI542/CI536*100</f>
        <v>16.414946660482375</v>
      </c>
      <c r="CJ543" s="72">
        <f>IF(ISERROR(CI543/CA543),"NA",IF(OR(CI543/CA543&gt;2,CI543/CA543&lt;0.5),"NM",CI543/CA543*100-100))</f>
        <v>-9.1902870974192439</v>
      </c>
      <c r="CK543" s="174">
        <f>CK542/CK536*100</f>
        <v>22.114350294794459</v>
      </c>
      <c r="CL543" s="72">
        <f>IF(ISERROR(CK543/CC543),"NA",IF(OR(CK543/CC543&gt;2,CK543/CC543&lt;0.5),"NM",CK543/CC543*100-100))</f>
        <v>-10.589096408390645</v>
      </c>
      <c r="CM543" s="174">
        <f>CM542/CM536*100</f>
        <v>23.282461011342157</v>
      </c>
      <c r="CN543" s="72">
        <f>IF(ISERROR(CM543/CE543),"NA",IF(OR(CM543/CE543&gt;2,CM543/CE543&lt;0.5),"NM",CM543/CE543*100-100))</f>
        <v>1.5143784236424409</v>
      </c>
      <c r="CO543" s="174">
        <f>CO542/CO536*100</f>
        <v>27.342239729034258</v>
      </c>
      <c r="CP543" s="72">
        <f>IF(ISERROR(CO543/CG543),"NA",IF(OR(CO543/CG543&gt;2,CO543/CG543&lt;0.5),"NM",CO543/CG543*100-100))</f>
        <v>-27.073996523687526</v>
      </c>
      <c r="CQ543" s="174">
        <f>CQ542/CQ536*100</f>
        <v>38.083894533711401</v>
      </c>
      <c r="CR543" s="72" t="str">
        <f>IF(ISERROR(CQ543/CI543),"NA",IF(OR(CQ543/CI543&gt;2,CQ543/CI543&lt;0.5),"NM",CQ543/CI543*100-100))</f>
        <v>NM</v>
      </c>
      <c r="CS543" s="174">
        <f>CS542/CS536*100</f>
        <v>21.185071806500382</v>
      </c>
      <c r="CT543" s="72">
        <f>IF(ISERROR(CS543/CK543),"NA",IF(OR(CS543/CK543&gt;2,CS543/CK543&lt;0.5),"NM",CS543/CK543*100-100))</f>
        <v>-4.2021514351828841</v>
      </c>
      <c r="CU543" s="174">
        <f>CU542/CU536*100</f>
        <v>22.252884335304771</v>
      </c>
      <c r="CV543" s="72">
        <f>IF(ISERROR(CU543/CM543),"NA",IF(OR(CU543/CM543&gt;2,CU543/CM543&lt;0.5),"NM",CU543/CM543*100-100))</f>
        <v>-4.4221127463107308</v>
      </c>
      <c r="CW543" s="174">
        <f>CW542/CW536*100</f>
        <v>30.099570089435414</v>
      </c>
      <c r="CX543" s="72">
        <f>IF(ISERROR(CW543/CO543),"NA",IF(OR(CW543/CO543&gt;2,CW543/CO543&lt;0.5),"NM",CW543/CO543*100-100))</f>
        <v>10.084508027603874</v>
      </c>
      <c r="CY543" s="174">
        <f>CY542/CY536*100</f>
        <v>29.612785837487575</v>
      </c>
      <c r="CZ543" s="72">
        <f>IF(ISERROR(CY543/CQ543),"NA",IF(OR(CY543/CQ543&gt;2,CY543/CQ543&lt;0.5),"NM",CY543/CQ543*100-100))</f>
        <v>-22.243283676582251</v>
      </c>
      <c r="DA543" s="174">
        <f>DA542/DA536*100</f>
        <v>23.851361205227086</v>
      </c>
      <c r="DB543" s="72">
        <f>IF(ISERROR(DA543/CS543),"NA",IF(OR(DA543/CS543&gt;2,DA543/CS543&lt;0.5),"NM",DA543/CS543*100-100))</f>
        <v>12.585699133238663</v>
      </c>
      <c r="DC543" s="174">
        <f>DC542/DC536*100</f>
        <v>25.461955419103376</v>
      </c>
      <c r="DD543" s="72">
        <f>IF(ISERROR(DC543/CU543),"NA",IF(OR(DC543/CU543&gt;2,DC543/CU543&lt;0.5),"NM",DC543/CU543*100-100))</f>
        <v>14.420921959798847</v>
      </c>
      <c r="DE543" s="174">
        <f>DE542/DE536*100</f>
        <v>25.185419108793212</v>
      </c>
      <c r="DF543" s="72">
        <f>IF(ISERROR(DE543/CW543),"NA",IF(OR(DE543/CW543&gt;2,DE543/CW543&lt;0.5),"NM",DE543/CW543*100-100))</f>
        <v>-16.326316176745024</v>
      </c>
      <c r="DG543" s="174">
        <f>DG542/DG536*100</f>
        <v>22.284235636642702</v>
      </c>
      <c r="DH543" s="72">
        <f>IF(ISERROR(DG543/CY543),"NA",IF(OR(DG543/CY543&gt;2,DG543/CY543&lt;0.5),"NM",DG543/CY543*100-100))</f>
        <v>-24.74792557871227</v>
      </c>
      <c r="DI543" s="174">
        <f>DI542/DI536*100</f>
        <v>28.33785231938209</v>
      </c>
      <c r="DJ543" s="72">
        <f>IF(ISERROR(DI543/DA543),"NA",IF(OR(DI543/DA543&gt;2,DI543/DA543&lt;0.5),"NM",DI543/DA543*100-100))</f>
        <v>18.810209931212569</v>
      </c>
      <c r="DK543" s="174">
        <f>DK542/DK536*100</f>
        <v>28.417031969890289</v>
      </c>
      <c r="DL543" s="72">
        <f>IF(ISERROR(DK543/DC543),"NA",IF(OR(DK543/DC543&gt;2,DK543/DC543&lt;0.5),"NM",DK543/DC543*100-100))</f>
        <v>11.605850776762438</v>
      </c>
      <c r="DM543" s="174">
        <f>DM542/DM536*100</f>
        <v>27.745224322726791</v>
      </c>
      <c r="DN543" s="72">
        <f>IF(ISERROR(DM543/DE543),"NA",IF(OR(DM543/DE543&gt;2,DM543/DE543&lt;0.5),"NM",DM543/DE543*100-100))</f>
        <v>10.163838063905189</v>
      </c>
      <c r="DO543" s="174">
        <f>DO542/DO536*100</f>
        <v>27.829154123026818</v>
      </c>
      <c r="DP543" s="72">
        <f>IF(ISERROR(DO543/DG543),"NA",IF(OR(DO543/DG543&gt;2,DO543/DG543&lt;0.5),"NM",DO543/DG543*100-100))</f>
        <v>24.882695448016293</v>
      </c>
      <c r="DQ543" s="174">
        <f>DQ542/DQ536*100</f>
        <v>27.868713809925239</v>
      </c>
      <c r="DR543" s="72">
        <f>IF(ISERROR(DQ543/DI543),"NA",IF(OR(DQ543/DI543&gt;2,DQ543/DI543&lt;0.5),"NM",DQ543/DI543*100-100))</f>
        <v>-1.6555189298377968</v>
      </c>
      <c r="DS543" s="174">
        <f>DS542/DS536*100</f>
        <v>24.192116649288593</v>
      </c>
      <c r="DT543" s="72">
        <f>IF(ISERROR(DS543/DK543),"NA",IF(OR(DS543/DK543&gt;2,DS543/DK543&lt;0.5),"NM",DS543/DK543*100-100))</f>
        <v>-14.867546072644984</v>
      </c>
      <c r="DU543" s="174">
        <f>DU542/DU536*100</f>
        <v>23.729457663734578</v>
      </c>
      <c r="DV543" s="72">
        <f>IF(ISERROR(DU543/DM543),"NA",IF(OR(DU543/DM543&gt;2,DU543/DM543&lt;0.5),"NM",DU543/DM543*100-100))</f>
        <v>-14.47372208017363</v>
      </c>
      <c r="DW543" s="174">
        <f>DW542/DW536*100</f>
        <v>25.513871673529191</v>
      </c>
      <c r="DX543" s="72">
        <f>IF(ISERROR(DW543/DO543),"NA",IF(OR(DW543/DO543&gt;2,DW543/DO543&lt;0.5),"NM",DW543/DO543*100-100))</f>
        <v>-8.3196292609622731</v>
      </c>
      <c r="DY543" s="174">
        <f>DY542/DY536*100</f>
        <v>26.5459257732313</v>
      </c>
      <c r="DZ543" s="72">
        <f>IF(ISERROR(DY543/DQ543),"NA",IF(OR(DY543/DQ543&gt;2,DY543/DQ543&lt;0.5),"NM",DY543/DQ543*100-100))</f>
        <v>-4.7464983339950066</v>
      </c>
      <c r="EA543" s="174">
        <f>EA542/EA536*100</f>
        <v>26.58563189747241</v>
      </c>
      <c r="EB543" s="72">
        <f>IF(ISERROR(EA543/DS543),"NA",IF(OR(EA543/DS543&gt;2,EA543/DS543&lt;0.5),"NM",EA543/DS543*100-100))</f>
        <v>9.8937818582906232</v>
      </c>
      <c r="EC543" s="174">
        <f>EC542/EC536*100</f>
        <v>30.447644168846871</v>
      </c>
      <c r="ED543" s="72">
        <f>IF(ISERROR(EC543/DU543),"NA",IF(OR(EC543/DU543&gt;2,EC543/DU543&lt;0.5),"NM",EC543/DU543*100-100))</f>
        <v>28.311588913300824</v>
      </c>
      <c r="EE543" s="174">
        <f>EE542/EE536*100</f>
        <v>21.9683162475838</v>
      </c>
      <c r="EF543" s="72">
        <f>IF(ISERROR(EE543/DW543),"NA",IF(OR(EE543/DW543&gt;2,EE543/DW543&lt;0.5),"NM",EE543/DW543*100-100))</f>
        <v>-13.89657936401683</v>
      </c>
      <c r="EG543" s="174">
        <f>EG542/EG536*100</f>
        <v>25.291295407813568</v>
      </c>
      <c r="EH543" s="72">
        <f>IF(ISERROR(EG543/DY543),"NA",IF(OR(EG543/DY543&gt;2,EG543/DY543&lt;0.5),"NM",EG543/DY543*100-100))</f>
        <v>-4.7262633676271832</v>
      </c>
      <c r="EI543" s="174">
        <f>EI542/EI536*100</f>
        <v>25.481927710843372</v>
      </c>
      <c r="EJ543" s="72">
        <f>IF(ISERROR(EI543/EA543),"NA",IF(OR(EI543/EA543&gt;2,EI543/EA543&lt;0.5),"NM",EI543/EA543*100-100))</f>
        <v>-4.1515063132051182</v>
      </c>
      <c r="EK543" s="175">
        <f>EK542/EK536*100</f>
        <v>25.162866449511402</v>
      </c>
      <c r="EL543" s="72">
        <f>IF(ISERROR(EK543/EC543),"NA",IF(OR(EK543/EC543&gt;2,EK543/EC543&lt;0.5),"NM",EK543/EC543*100-100))</f>
        <v>-17.356934710708089</v>
      </c>
      <c r="EM543" s="175">
        <f>EM542/EM536*100</f>
        <v>25.840807174887892</v>
      </c>
      <c r="EN543" s="72">
        <f>IF(ISERROR(EM543/EE543),"NA",IF(OR(EM543/EE543&gt;2,EM543/EE543&lt;0.5),"NM",EM543/EE543*100-100))</f>
        <v>17.627618264690682</v>
      </c>
      <c r="EO543" s="175">
        <f>EO542/EO536*100</f>
        <v>25.381679389312978</v>
      </c>
      <c r="EP543" s="72">
        <f>IF(ISERROR(EO543/EG543),"NA",IF(OR(EO543/EG543&gt;2,EO543/EG543&lt;0.5),"NM",EO543/EG543*100-100))</f>
        <v>0.35737189432964556</v>
      </c>
      <c r="EQ543" s="175">
        <f t="shared" ref="EQ543" si="2612">EQ542/EQ536*100</f>
        <v>22.000000000000004</v>
      </c>
      <c r="ER543" s="72">
        <f t="shared" si="2604"/>
        <v>-13.664302600472794</v>
      </c>
      <c r="ES543" s="175">
        <f t="shared" ref="ES543" si="2613">ES542/ES536*100</f>
        <v>22</v>
      </c>
      <c r="ET543" s="72">
        <f t="shared" si="2605"/>
        <v>-12.569579288025892</v>
      </c>
      <c r="EU543" s="175">
        <f t="shared" ref="EU543" si="2614">EU542/EU536*100</f>
        <v>22.000000000000004</v>
      </c>
      <c r="EV543" s="72">
        <f t="shared" si="2606"/>
        <v>-14.863340563991315</v>
      </c>
      <c r="EW543" s="175">
        <f t="shared" ref="EW543" si="2615">EW542/EW536*100</f>
        <v>22</v>
      </c>
      <c r="EX543" s="72">
        <f t="shared" si="2607"/>
        <v>-13.323308270676691</v>
      </c>
      <c r="EY543" s="72"/>
      <c r="EZ543" s="296"/>
      <c r="FA543" s="72"/>
      <c r="FB543" s="145"/>
      <c r="FC543" s="11"/>
      <c r="FD543" s="175">
        <f>+FD538</f>
        <v>86.840363937138136</v>
      </c>
      <c r="FE543" s="72"/>
      <c r="FF543" s="175">
        <f>+FF538</f>
        <v>86.397540983606561</v>
      </c>
      <c r="FG543" s="72"/>
      <c r="FH543" s="175">
        <f>+FH538</f>
        <v>67.021131561008858</v>
      </c>
      <c r="FI543" s="72"/>
      <c r="FJ543" s="175">
        <f>+FJ538</f>
        <v>64.116825041922866</v>
      </c>
      <c r="FK543" s="72"/>
      <c r="FL543" s="175">
        <f>+FL538</f>
        <v>50.390512697652134</v>
      </c>
      <c r="FM543" s="72"/>
      <c r="FN543" s="175">
        <f>+FN538</f>
        <v>41.85983339369794</v>
      </c>
      <c r="FO543" s="72"/>
      <c r="FP543" s="175">
        <f>+FP538</f>
        <v>39.742057709122705</v>
      </c>
      <c r="FQ543" s="72"/>
      <c r="FR543" s="175">
        <f>+FR538</f>
        <v>41.62054829618242</v>
      </c>
      <c r="FS543" s="72"/>
      <c r="FT543" s="175">
        <f>+FT538</f>
        <v>39.5098730606488</v>
      </c>
      <c r="FU543" s="72"/>
      <c r="FV543" s="175">
        <f>+FV538</f>
        <v>156.60499139414804</v>
      </c>
      <c r="FW543" s="72"/>
      <c r="FX543" s="175">
        <f>+FX538</f>
        <v>62.39491525423729</v>
      </c>
      <c r="FY543" s="72"/>
      <c r="FZ543" s="175">
        <f>+FZ538</f>
        <v>44.152102676133261</v>
      </c>
      <c r="GA543" s="72"/>
      <c r="GB543" s="175">
        <f>+GB538</f>
        <v>38.453840380285214</v>
      </c>
      <c r="GC543" s="72"/>
      <c r="GD543" s="175">
        <f>+GD538</f>
        <v>37.197024238060955</v>
      </c>
      <c r="GE543" s="72"/>
      <c r="GF543" s="175">
        <f>+GF538</f>
        <v>24.917930279818666</v>
      </c>
      <c r="GG543" s="72"/>
      <c r="GH543" s="175">
        <f>+GH538</f>
        <v>27.630685675492195</v>
      </c>
      <c r="GI543" s="72"/>
      <c r="GJ543" s="175">
        <f>+GJ538</f>
        <v>25.38918311667469</v>
      </c>
      <c r="GK543" s="72"/>
      <c r="GL543" s="175">
        <f>+GL538</f>
        <v>23.930357473606222</v>
      </c>
      <c r="GM543" s="72"/>
      <c r="GN543" s="175">
        <f>+GN538</f>
        <v>25.496476617552847</v>
      </c>
      <c r="GO543" s="72"/>
      <c r="GP543" s="175">
        <f>+GP538</f>
        <v>22.000000000000004</v>
      </c>
      <c r="GQ543" s="72"/>
      <c r="GR543" s="175">
        <f>+GR538</f>
        <v>22.000000000000004</v>
      </c>
      <c r="GS543" s="72"/>
      <c r="GT543" s="175">
        <f>+GT538</f>
        <v>22.000000000000004</v>
      </c>
      <c r="GU543" s="72"/>
      <c r="GV543" s="175">
        <f>+GV538</f>
        <v>22.000000000000004</v>
      </c>
      <c r="GW543" s="72"/>
      <c r="GX543" s="175">
        <f>+GX538</f>
        <v>22.000000000000004</v>
      </c>
      <c r="GY543" s="72"/>
      <c r="GZ543" s="72">
        <f>IF(ISERROR(((GX543/GN543)^0.2-1)*100),"NA",IF((((GX543/GN543)^0.2-1)*100)&gt;100,"NM",IF((((GX543/GN543)^0.2-1)*100)&lt;-50,"NM",((GX543/GN543)^0.2-1)*100)))</f>
        <v>-2.9068698527729753</v>
      </c>
      <c r="HA543" s="72"/>
      <c r="HB543" s="72"/>
      <c r="HC543"/>
      <c r="HD543"/>
      <c r="HE543"/>
      <c r="HF543"/>
      <c r="HG543"/>
      <c r="HH543"/>
      <c r="HI543" s="2"/>
    </row>
    <row r="544" spans="1:217" s="78" customFormat="1" ht="12.75" hidden="1" customHeight="1" outlineLevel="1" x14ac:dyDescent="0.2">
      <c r="A544" s="3"/>
      <c r="B544" s="89"/>
      <c r="C544" s="160"/>
      <c r="D544" s="161"/>
      <c r="E544" s="160"/>
      <c r="F544" s="161"/>
      <c r="G544" s="160"/>
      <c r="H544" s="172"/>
      <c r="I544" s="160"/>
      <c r="J544" s="161"/>
      <c r="K544" s="160"/>
      <c r="L544" s="72"/>
      <c r="M544" s="160"/>
      <c r="N544" s="72"/>
      <c r="O544" s="160"/>
      <c r="P544" s="72"/>
      <c r="Q544" s="160"/>
      <c r="R544" s="72"/>
      <c r="S544" s="160"/>
      <c r="T544" s="72"/>
      <c r="U544" s="160"/>
      <c r="V544" s="72"/>
      <c r="W544" s="160"/>
      <c r="X544" s="72"/>
      <c r="Y544" s="160"/>
      <c r="Z544" s="72"/>
      <c r="AA544" s="160"/>
      <c r="AB544" s="72"/>
      <c r="AC544" s="160"/>
      <c r="AD544" s="72"/>
      <c r="AE544" s="160"/>
      <c r="AF544" s="72"/>
      <c r="AG544" s="160"/>
      <c r="AH544" s="72"/>
      <c r="AI544" s="160"/>
      <c r="AJ544" s="72"/>
      <c r="AK544" s="160"/>
      <c r="AL544" s="72"/>
      <c r="AM544" s="160"/>
      <c r="AN544" s="72"/>
      <c r="AO544" s="160"/>
      <c r="AP544" s="72"/>
      <c r="AQ544" s="160"/>
      <c r="AR544" s="72"/>
      <c r="AS544" s="160"/>
      <c r="AT544" s="72"/>
      <c r="AU544" s="160"/>
      <c r="AV544" s="72"/>
      <c r="AW544" s="160"/>
      <c r="AX544" s="72"/>
      <c r="AY544" s="160"/>
      <c r="AZ544" s="72"/>
      <c r="BA544" s="160"/>
      <c r="BB544" s="72"/>
      <c r="BC544" s="160"/>
      <c r="BD544" s="72"/>
      <c r="BE544" s="160"/>
      <c r="BF544" s="72"/>
      <c r="BG544" s="160"/>
      <c r="BH544" s="72"/>
      <c r="BI544" s="160"/>
      <c r="BJ544" s="72"/>
      <c r="BK544" s="160"/>
      <c r="BL544" s="72"/>
      <c r="BM544" s="160"/>
      <c r="BN544" s="72"/>
      <c r="BO544" s="160"/>
      <c r="BP544" s="72"/>
      <c r="BQ544" s="160"/>
      <c r="BR544" s="72"/>
      <c r="BS544" s="160"/>
      <c r="BT544" s="72"/>
      <c r="BU544" s="160"/>
      <c r="BV544" s="72"/>
      <c r="BW544" s="160"/>
      <c r="BX544" s="72"/>
      <c r="BY544" s="160"/>
      <c r="BZ544" s="72"/>
      <c r="CA544" s="160"/>
      <c r="CB544" s="72"/>
      <c r="CC544" s="160"/>
      <c r="CD544" s="72"/>
      <c r="CE544" s="160"/>
      <c r="CF544" s="72"/>
      <c r="CG544" s="160"/>
      <c r="CH544" s="72"/>
      <c r="CI544" s="160"/>
      <c r="CJ544" s="72"/>
      <c r="CK544" s="160"/>
      <c r="CL544" s="72"/>
      <c r="CM544" s="160"/>
      <c r="CN544" s="72"/>
      <c r="CO544" s="160"/>
      <c r="CP544" s="72"/>
      <c r="CQ544" s="160"/>
      <c r="CR544" s="72"/>
      <c r="CS544" s="160"/>
      <c r="CT544" s="72"/>
      <c r="CU544" s="160"/>
      <c r="CV544" s="72"/>
      <c r="CW544" s="160"/>
      <c r="CX544" s="72"/>
      <c r="CY544" s="160"/>
      <c r="CZ544" s="72"/>
      <c r="DA544" s="160"/>
      <c r="DB544" s="72"/>
      <c r="DC544" s="160"/>
      <c r="DD544" s="72"/>
      <c r="DE544" s="160"/>
      <c r="DF544" s="72"/>
      <c r="DG544" s="160"/>
      <c r="DH544" s="72"/>
      <c r="DI544" s="160"/>
      <c r="DJ544" s="72"/>
      <c r="DK544" s="160"/>
      <c r="DL544" s="72"/>
      <c r="DM544" s="160"/>
      <c r="DN544" s="72"/>
      <c r="DO544" s="160"/>
      <c r="DP544" s="72"/>
      <c r="DQ544" s="160"/>
      <c r="DR544" s="72"/>
      <c r="DS544" s="160"/>
      <c r="DT544" s="72"/>
      <c r="DU544" s="160"/>
      <c r="DV544" s="72"/>
      <c r="DW544" s="160"/>
      <c r="DX544" s="72"/>
      <c r="DY544" s="160"/>
      <c r="DZ544" s="72"/>
      <c r="EA544" s="160"/>
      <c r="EB544" s="72"/>
      <c r="EC544" s="160"/>
      <c r="ED544" s="72"/>
      <c r="EE544" s="160"/>
      <c r="EF544" s="72"/>
      <c r="EG544" s="160"/>
      <c r="EH544" s="72"/>
      <c r="EI544" s="160"/>
      <c r="EJ544" s="72"/>
      <c r="EK544" s="162"/>
      <c r="EL544" s="72"/>
      <c r="EM544" s="162"/>
      <c r="EN544" s="72"/>
      <c r="EO544" s="162"/>
      <c r="EP544" s="72"/>
      <c r="EQ544" s="162"/>
      <c r="ER544" s="72"/>
      <c r="ES544" s="162"/>
      <c r="ET544" s="72"/>
      <c r="EU544" s="162"/>
      <c r="EV544" s="72"/>
      <c r="EW544" s="162"/>
      <c r="EX544" s="72"/>
      <c r="EY544" s="72"/>
      <c r="EZ544" s="332"/>
      <c r="FA544" s="72"/>
      <c r="FB544" s="160"/>
      <c r="FC544" s="161"/>
      <c r="FD544" s="162"/>
      <c r="FE544" s="72"/>
      <c r="FF544" s="162"/>
      <c r="FG544" s="72"/>
      <c r="FH544" s="162"/>
      <c r="FI544" s="72"/>
      <c r="FJ544" s="162"/>
      <c r="FK544" s="72"/>
      <c r="FL544" s="162"/>
      <c r="FM544" s="72"/>
      <c r="FN544" s="162"/>
      <c r="FO544" s="72"/>
      <c r="FP544" s="162"/>
      <c r="FQ544" s="72"/>
      <c r="FR544" s="162"/>
      <c r="FS544" s="72"/>
      <c r="FT544" s="162"/>
      <c r="FU544" s="72"/>
      <c r="FV544" s="162"/>
      <c r="FW544" s="72"/>
      <c r="FX544" s="162"/>
      <c r="FY544" s="72"/>
      <c r="FZ544" s="162"/>
      <c r="GA544" s="72"/>
      <c r="GB544" s="162"/>
      <c r="GC544" s="72"/>
      <c r="GD544" s="162"/>
      <c r="GE544" s="72"/>
      <c r="GF544" s="162"/>
      <c r="GG544" s="72"/>
      <c r="GH544" s="162"/>
      <c r="GI544" s="72"/>
      <c r="GJ544" s="162"/>
      <c r="GK544" s="72"/>
      <c r="GL544" s="162"/>
      <c r="GM544" s="72"/>
      <c r="GN544" s="162"/>
      <c r="GO544" s="72"/>
      <c r="GP544" s="162"/>
      <c r="GQ544" s="72"/>
      <c r="GR544" s="162"/>
      <c r="GS544" s="72"/>
      <c r="GT544" s="162"/>
      <c r="GU544" s="72"/>
      <c r="GV544" s="162"/>
      <c r="GW544" s="72"/>
      <c r="GX544" s="162"/>
      <c r="GY544" s="72"/>
      <c r="GZ544" s="72"/>
      <c r="HA544" s="72"/>
      <c r="HB544" s="72"/>
      <c r="HC544"/>
      <c r="HD544"/>
      <c r="HE544"/>
      <c r="HF544"/>
      <c r="HG544"/>
      <c r="HH544"/>
      <c r="HI544" s="2"/>
    </row>
    <row r="545" spans="1:217" s="78" customFormat="1" ht="12.75" customHeight="1" collapsed="1" x14ac:dyDescent="0.2">
      <c r="A545" s="3"/>
      <c r="B545" s="10" t="s">
        <v>26</v>
      </c>
      <c r="C545" s="150"/>
      <c r="D545" s="161"/>
      <c r="E545" s="150"/>
      <c r="F545" s="161"/>
      <c r="G545" s="150"/>
      <c r="H545" s="172"/>
      <c r="I545" s="150"/>
      <c r="J545" s="161"/>
      <c r="K545" s="150"/>
      <c r="L545" s="72" t="str">
        <f>IF(ISERROR(K545/C545),"NA",IF(OR(K545/C545&gt;2,K545/C545&lt;0.5),"NM",K545/C545*100-100))</f>
        <v>NA</v>
      </c>
      <c r="M545" s="150"/>
      <c r="N545" s="72" t="str">
        <f>IF(ISERROR(M545/E545),"NA",IF(OR(M545/E545&gt;2,M545/E545&lt;0.5),"NM",M545/E545*100-100))</f>
        <v>NA</v>
      </c>
      <c r="O545" s="150"/>
      <c r="P545" s="72" t="str">
        <f>IF(ISERROR(O545/G545),"NA",IF(OR(O545/G545&gt;2,O545/G545&lt;0.5),"NM",O545/G545*100-100))</f>
        <v>NA</v>
      </c>
      <c r="Q545" s="150"/>
      <c r="R545" s="72" t="str">
        <f>IF(ISERROR(Q545/I545),"NA",IF(OR(Q545/I545&gt;2,Q545/I545&lt;0.5),"NM",Q545/I545*100-100))</f>
        <v>NA</v>
      </c>
      <c r="S545" s="150">
        <v>7</v>
      </c>
      <c r="T545" s="72" t="str">
        <f>IF(ISERROR(S545/K545),"NA",IF(OR(S545/K545&gt;2,S545/K545&lt;0.5),"NM",S545/K545*100-100))</f>
        <v>NA</v>
      </c>
      <c r="U545" s="150">
        <v>14</v>
      </c>
      <c r="V545" s="72" t="str">
        <f>IF(ISERROR(U545/M545),"NA",IF(OR(U545/M545&gt;2,U545/M545&lt;0.5),"NM",U545/M545*100-100))</f>
        <v>NA</v>
      </c>
      <c r="W545" s="150">
        <v>9</v>
      </c>
      <c r="X545" s="72" t="str">
        <f>IF(ISERROR(W545/O545),"NA",IF(OR(W545/O545&gt;2,W545/O545&lt;0.5),"NM",W545/O545*100-100))</f>
        <v>NA</v>
      </c>
      <c r="Y545" s="150">
        <v>13</v>
      </c>
      <c r="Z545" s="72" t="str">
        <f>IF(ISERROR(Y545/Q545),"NA",IF(OR(Y545/Q545&gt;2,Y545/Q545&lt;0.5),"NM",Y545/Q545*100-100))</f>
        <v>NA</v>
      </c>
      <c r="AA545" s="150">
        <v>18</v>
      </c>
      <c r="AB545" s="72" t="str">
        <f>IF(ISERROR(AA545/S545),"NA",IF(OR(AA545/S545&gt;2,AA545/S545&lt;0.5),"NM",AA545/S545*100-100))</f>
        <v>NM</v>
      </c>
      <c r="AC545" s="150">
        <v>8</v>
      </c>
      <c r="AD545" s="72">
        <f>IF(ISERROR(AC545/U545),"NA",IF(OR(AC545/U545&gt;2,AC545/U545&lt;0.5),"NM",AC545/U545*100-100))</f>
        <v>-42.857142857142861</v>
      </c>
      <c r="AE545" s="150">
        <v>19</v>
      </c>
      <c r="AF545" s="72" t="str">
        <f>IF(ISERROR(AE545/W545),"NA",IF(OR(AE545/W545&gt;2,AE545/W545&lt;0.5),"NM",AE545/W545*100-100))</f>
        <v>NM</v>
      </c>
      <c r="AG545" s="150">
        <v>15</v>
      </c>
      <c r="AH545" s="72">
        <f>IF(ISERROR(AG545/Y545),"NA",IF(OR(AG545/Y545&gt;2,AG545/Y545&lt;0.5),"NM",AG545/Y545*100-100))</f>
        <v>15.384615384615373</v>
      </c>
      <c r="AI545" s="150">
        <v>19</v>
      </c>
      <c r="AJ545" s="72">
        <f>IF(ISERROR(AI545/AA545),"NA",IF(OR(AI545/AA545&gt;2,AI545/AA545&lt;0.5),"NM",AI545/AA545*100-100))</f>
        <v>5.5555555555555571</v>
      </c>
      <c r="AK545" s="150">
        <v>23</v>
      </c>
      <c r="AL545" s="72" t="str">
        <f>IF(ISERROR(AK545/AC545),"NA",IF(OR(AK545/AC545&gt;2,AK545/AC545&lt;0.5),"NM",AK545/AC545*100-100))</f>
        <v>NM</v>
      </c>
      <c r="AM545" s="150">
        <v>22</v>
      </c>
      <c r="AN545" s="72">
        <f>IF(ISERROR(AM545/AE545),"NA",IF(OR(AM545/AE545&gt;2,AM545/AE545&lt;0.5),"NM",AM545/AE545*100-100))</f>
        <v>15.789473684210535</v>
      </c>
      <c r="AO545" s="150">
        <v>20</v>
      </c>
      <c r="AP545" s="72">
        <f>IF(ISERROR(AO545/AG545),"NA",IF(OR(AO545/AG545&gt;2,AO545/AG545&lt;0.5),"NM",AO545/AG545*100-100))</f>
        <v>33.333333333333314</v>
      </c>
      <c r="AQ545" s="150">
        <v>22</v>
      </c>
      <c r="AR545" s="72">
        <f>IF(ISERROR(AQ545/AI545),"NA",IF(OR(AQ545/AI545&gt;2,AQ545/AI545&lt;0.5),"NM",AQ545/AI545*100-100))</f>
        <v>15.789473684210535</v>
      </c>
      <c r="AS545" s="150">
        <v>22</v>
      </c>
      <c r="AT545" s="72">
        <f>IF(ISERROR(AS545/AK545),"NA",IF(OR(AS545/AK545&gt;2,AS545/AK545&lt;0.5),"NM",AS545/AK545*100-100))</f>
        <v>-4.3478260869565162</v>
      </c>
      <c r="AU545" s="150">
        <v>19</v>
      </c>
      <c r="AV545" s="72">
        <f>IF(ISERROR(AU545/AM545),"NA",IF(OR(AU545/AM545&gt;2,AU545/AM545&lt;0.5),"NM",AU545/AM545*100-100))</f>
        <v>-13.63636363636364</v>
      </c>
      <c r="AW545" s="150">
        <v>19</v>
      </c>
      <c r="AX545" s="72">
        <f>IF(ISERROR(AW545/AO545),"NA",IF(OR(AW545/AO545&gt;2,AW545/AO545&lt;0.5),"NM",AW545/AO545*100-100))</f>
        <v>-5</v>
      </c>
      <c r="AY545" s="150">
        <v>19</v>
      </c>
      <c r="AZ545" s="72">
        <f>IF(ISERROR(AY545/AQ545),"NA",IF(OR(AY545/AQ545&gt;2,AY545/AQ545&lt;0.5),"NM",AY545/AQ545*100-100))</f>
        <v>-13.63636363636364</v>
      </c>
      <c r="BA545" s="150">
        <v>16</v>
      </c>
      <c r="BB545" s="72">
        <f>IF(ISERROR(BA545/AS545),"NA",IF(OR(BA545/AS545&gt;2,BA545/AS545&lt;0.5),"NM",BA545/AS545*100-100))</f>
        <v>-27.272727272727266</v>
      </c>
      <c r="BC545" s="150">
        <v>16</v>
      </c>
      <c r="BD545" s="72">
        <f>IF(ISERROR(BC545/AU545),"NA",IF(OR(BC545/AU545&gt;2,BC545/AU545&lt;0.5),"NM",BC545/AU545*100-100))</f>
        <v>-15.789473684210535</v>
      </c>
      <c r="BE545" s="150">
        <v>17</v>
      </c>
      <c r="BF545" s="72">
        <f>IF(ISERROR(BE545/AW545),"NA",IF(OR(BE545/AW545&gt;2,BE545/AW545&lt;0.5),"NM",BE545/AW545*100-100))</f>
        <v>-10.526315789473685</v>
      </c>
      <c r="BG545" s="150">
        <v>14.6</v>
      </c>
      <c r="BH545" s="72">
        <f>IF(ISERROR(BG545/AY545),"NA",IF(OR(BG545/AY545&gt;2,BG545/AY545&lt;0.5),"NM",BG545/AY545*100-100))</f>
        <v>-23.15789473684211</v>
      </c>
      <c r="BI545" s="150">
        <v>14</v>
      </c>
      <c r="BJ545" s="72">
        <f>IF(ISERROR(BI545/BA545),"NA",IF(OR(BI545/BA545&gt;2,BI545/BA545&lt;0.5),"NM",BI545/BA545*100-100))</f>
        <v>-12.5</v>
      </c>
      <c r="BK545" s="150">
        <v>13</v>
      </c>
      <c r="BL545" s="72">
        <f>IF(ISERROR(BK545/BC545),"NA",IF(OR(BK545/BC545&gt;2,BK545/BC545&lt;0.5),"NM",BK545/BC545*100-100))</f>
        <v>-18.75</v>
      </c>
      <c r="BM545" s="150">
        <v>11</v>
      </c>
      <c r="BN545" s="72">
        <f>IF(ISERROR(BM545/BE545),"NA",IF(OR(BM545/BE545&gt;2,BM545/BE545&lt;0.5),"NM",BM545/BE545*100-100))</f>
        <v>-35.294117647058826</v>
      </c>
      <c r="BO545" s="150">
        <v>12</v>
      </c>
      <c r="BP545" s="72">
        <f>IF(ISERROR(BO545/BG545),"NA",IF(OR(BO545/BG545&gt;2,BO545/BG545&lt;0.5),"NM",BO545/BG545*100-100))</f>
        <v>-17.808219178082183</v>
      </c>
      <c r="BQ545" s="150">
        <v>14</v>
      </c>
      <c r="BR545" s="72">
        <f>IF(ISERROR(BQ545/BI545),"NA",IF(OR(BQ545/BI545&gt;2,BQ545/BI545&lt;0.5),"NM",BQ545/BI545*100-100))</f>
        <v>0</v>
      </c>
      <c r="BS545" s="150">
        <v>10</v>
      </c>
      <c r="BT545" s="72">
        <f>IF(ISERROR(BS545/BK545),"NA",IF(OR(BS545/BK545&gt;2,BS545/BK545&lt;0.5),"NM",BS545/BK545*100-100))</f>
        <v>-23.076923076923066</v>
      </c>
      <c r="BU545" s="150">
        <v>19</v>
      </c>
      <c r="BV545" s="72">
        <f>IF(ISERROR(BU545/BM545),"NA",IF(OR(BU545/BM545&gt;2,BU545/BM545&lt;0.5),"NM",BU545/BM545*100-100))</f>
        <v>72.72727272727272</v>
      </c>
      <c r="BW545" s="150">
        <v>11</v>
      </c>
      <c r="BX545" s="72">
        <f>IF(ISERROR(BW545/BO545),"NA",IF(OR(BW545/BO545&gt;2,BW545/BO545&lt;0.5),"NM",BW545/BO545*100-100))</f>
        <v>-8.3333333333333428</v>
      </c>
      <c r="BY545" s="150">
        <v>0</v>
      </c>
      <c r="BZ545" s="72" t="str">
        <f>IF(ISERROR(BY545/BQ545),"NA",IF(OR(BY545/BQ545&gt;2,BY545/BQ545&lt;0.5),"NM",BY545/BQ545*100-100))</f>
        <v>NM</v>
      </c>
      <c r="CA545" s="150">
        <v>0</v>
      </c>
      <c r="CB545" s="72" t="str">
        <f>IF(ISERROR(CA545/BS545),"NA",IF(OR(CA545/BS545&gt;2,CA545/BS545&lt;0.5),"NM",CA545/BS545*100-100))</f>
        <v>NM</v>
      </c>
      <c r="CC545" s="150">
        <v>5</v>
      </c>
      <c r="CD545" s="72" t="str">
        <f>IF(ISERROR(CC545/BU545),"NA",IF(OR(CC545/BU545&gt;2,CC545/BU545&lt;0.5),"NM",CC545/BU545*100-100))</f>
        <v>NM</v>
      </c>
      <c r="CE545" s="150">
        <f>10+4-8</f>
        <v>6</v>
      </c>
      <c r="CF545" s="72">
        <f>IF(ISERROR(CE545/BW545),"NA",IF(OR(CE545/BW545&gt;2,CE545/BW545&lt;0.5),"NM",CE545/BW545*100-100))</f>
        <v>-45.45454545454546</v>
      </c>
      <c r="CG545" s="150">
        <f>10+5-5</f>
        <v>10</v>
      </c>
      <c r="CH545" s="72" t="str">
        <f>IF(ISERROR(CG545/BY545),"NA",IF(OR(CG545/BY545&gt;2,CG545/BY545&lt;0.5),"NM",CG545/BY545*100-100))</f>
        <v>NA</v>
      </c>
      <c r="CI545" s="150">
        <f>9+4-12</f>
        <v>1</v>
      </c>
      <c r="CJ545" s="72" t="str">
        <f>IF(ISERROR(CI545/CA545),"NA",IF(OR(CI545/CA545&gt;2,CI545/CA545&lt;0.5),"NM",CI545/CA545*100-100))</f>
        <v>NA</v>
      </c>
      <c r="CK545" s="150">
        <f>7+4-10</f>
        <v>1</v>
      </c>
      <c r="CL545" s="72" t="str">
        <f>IF(ISERROR(CK545/CC545),"NA",IF(OR(CK545/CC545&gt;2,CK545/CC545&lt;0.5),"NM",CK545/CC545*100-100))</f>
        <v>NM</v>
      </c>
      <c r="CM545" s="150">
        <v>0</v>
      </c>
      <c r="CN545" s="72" t="str">
        <f>IF(ISERROR(CM545/CE545),"NA",IF(OR(CM545/CE545&gt;2,CM545/CE545&lt;0.5),"NM",CM545/CE545*100-100))</f>
        <v>NM</v>
      </c>
      <c r="CO545" s="150">
        <v>2</v>
      </c>
      <c r="CP545" s="72" t="str">
        <f>IF(ISERROR(CO545/CG545),"NA",IF(OR(CO545/CG545&gt;2,CO545/CG545&lt;0.5),"NM",CO545/CG545*100-100))</f>
        <v>NM</v>
      </c>
      <c r="CQ545" s="150">
        <v>4</v>
      </c>
      <c r="CR545" s="72" t="str">
        <f>IF(ISERROR(CQ545/CI545),"NA",IF(OR(CQ545/CI545&gt;2,CQ545/CI545&lt;0.5),"NM",CQ545/CI545*100-100))</f>
        <v>NM</v>
      </c>
      <c r="CS545" s="150">
        <f>-1-3</f>
        <v>-4</v>
      </c>
      <c r="CT545" s="72" t="str">
        <f>IF(ISERROR(CS545/CK545),"NA",IF(OR(CS545/CK545&gt;2,CS545/CK545&lt;0.5),"NM",CS545/CK545*100-100))</f>
        <v>NM</v>
      </c>
      <c r="CU545" s="150">
        <f>8-2</f>
        <v>6</v>
      </c>
      <c r="CV545" s="72" t="str">
        <f>IF(ISERROR(CU545/CM545),"NA",IF(OR(CU545/CM545&gt;2,CU545/CM545&lt;0.5),"NM",CU545/CM545*100-100))</f>
        <v>NA</v>
      </c>
      <c r="CW545" s="150">
        <f>8-2</f>
        <v>6</v>
      </c>
      <c r="CX545" s="72" t="str">
        <f>IF(ISERROR(CW545/CO545),"NA",IF(OR(CW545/CO545&gt;2,CW545/CO545&lt;0.5),"NM",CW545/CO545*100-100))</f>
        <v>NM</v>
      </c>
      <c r="CY545" s="150">
        <v>-3</v>
      </c>
      <c r="CZ545" s="72" t="str">
        <f>IF(ISERROR(CY545/CQ545),"NA",IF(OR(CY545/CQ545&gt;2,CY545/CQ545&lt;0.5),"NM",CY545/CQ545*100-100))</f>
        <v>NM</v>
      </c>
      <c r="DA545" s="150">
        <f>0-3</f>
        <v>-3</v>
      </c>
      <c r="DB545" s="72">
        <f>IF(ISERROR(DA545/CS545),"NA",IF(OR(DA545/CS545&gt;2,DA545/CS545&lt;0.5),"NM",DA545/CS545*100-100))</f>
        <v>-25</v>
      </c>
      <c r="DC545" s="150">
        <v>-3</v>
      </c>
      <c r="DD545" s="72" t="str">
        <f>IF(ISERROR(DC545/CU545),"NA",IF(OR(DC545/CU545&gt;2,DC545/CU545&lt;0.5),"NM",DC545/CU545*100-100))</f>
        <v>NM</v>
      </c>
      <c r="DE545" s="150">
        <v>-5</v>
      </c>
      <c r="DF545" s="72" t="str">
        <f>IF(ISERROR(DE545/CW545),"NA",IF(OR(DE545/CW545&gt;2,DE545/CW545&lt;0.5),"NM",DE545/CW545*100-100))</f>
        <v>NM</v>
      </c>
      <c r="DG545" s="150">
        <v>-7</v>
      </c>
      <c r="DH545" s="72" t="str">
        <f>IF(ISERROR(DG545/CY545),"NA",IF(OR(DG545/CY545&gt;2,DG545/CY545&lt;0.5),"NM",DG545/CY545*100-100))</f>
        <v>NM</v>
      </c>
      <c r="DI545" s="150">
        <v>-10</v>
      </c>
      <c r="DJ545" s="72" t="str">
        <f>IF(ISERROR(DI545/DA545),"NA",IF(OR(DI545/DA545&gt;2,DI545/DA545&lt;0.5),"NM",DI545/DA545*100-100))</f>
        <v>NM</v>
      </c>
      <c r="DK545" s="150">
        <v>-2</v>
      </c>
      <c r="DL545" s="72">
        <f>IF(ISERROR(DK545/DC545),"NA",IF(OR(DK545/DC545&gt;2,DK545/DC545&lt;0.5),"NM",DK545/DC545*100-100))</f>
        <v>-33.333333333333343</v>
      </c>
      <c r="DM545" s="150">
        <v>-3</v>
      </c>
      <c r="DN545" s="72">
        <f t="shared" ref="DN545:DZ546" si="2616">IF(ISERROR(DM545/DE545),"NA",IF(OR(DM545/DE545&gt;2,DM545/DE545&lt;0.5),"NM",DM545/DE545*100-100))</f>
        <v>-40</v>
      </c>
      <c r="DO545" s="150">
        <v>-3</v>
      </c>
      <c r="DP545" s="72" t="str">
        <f t="shared" si="2616"/>
        <v>NM</v>
      </c>
      <c r="DQ545" s="150">
        <v>-19</v>
      </c>
      <c r="DR545" s="72">
        <f t="shared" si="2616"/>
        <v>90</v>
      </c>
      <c r="DS545" s="150">
        <v>0</v>
      </c>
      <c r="DT545" s="72" t="str">
        <f t="shared" si="2616"/>
        <v>NM</v>
      </c>
      <c r="DU545" s="150">
        <v>0</v>
      </c>
      <c r="DV545" s="72" t="str">
        <f t="shared" si="2616"/>
        <v>NM</v>
      </c>
      <c r="DW545" s="150">
        <v>0</v>
      </c>
      <c r="DX545" s="72" t="str">
        <f t="shared" si="2616"/>
        <v>NM</v>
      </c>
      <c r="DY545" s="150">
        <v>0</v>
      </c>
      <c r="DZ545" s="72" t="str">
        <f t="shared" si="2616"/>
        <v>NM</v>
      </c>
      <c r="EA545" s="150">
        <v>0</v>
      </c>
      <c r="EB545" s="72" t="str">
        <f>IF(ISERROR(EA545/DS545),"NA",IF(OR(EA545/DS545&gt;2,EA545/DS545&lt;0.5),"NM",EA545/DS545*100-100))</f>
        <v>NA</v>
      </c>
      <c r="EC545" s="150">
        <v>0</v>
      </c>
      <c r="ED545" s="72" t="str">
        <f>IF(ISERROR(EC545/DU545),"NA",IF(OR(EC545/DU545&gt;2,EC545/DU545&lt;0.5),"NM",EC545/DU545*100-100))</f>
        <v>NA</v>
      </c>
      <c r="EE545" s="730">
        <v>-9.5</v>
      </c>
      <c r="EF545" s="72" t="str">
        <f>IF(ISERROR(EE545/DW545),"NA",IF(OR(EE545/DW545&gt;2,EE545/DW545&lt;0.5),"NM",EE545/DW545*100-100))</f>
        <v>NA</v>
      </c>
      <c r="EG545" s="730">
        <v>-9</v>
      </c>
      <c r="EH545" s="72" t="str">
        <f>IF(ISERROR(EG545/DY545),"NA",IF(OR(EG545/DY545&gt;2,EG545/DY545&lt;0.5),"NM",EG545/DY545*100-100))</f>
        <v>NA</v>
      </c>
      <c r="EI545" s="730">
        <v>-10</v>
      </c>
      <c r="EJ545" s="72" t="str">
        <f>IF(ISERROR(EI545/EA545),"NA",IF(OR(EI545/EA545&gt;2,EI545/EA545&lt;0.5),"NM",EI545/EA545*100-100))</f>
        <v>NA</v>
      </c>
      <c r="EK545" s="150">
        <v>-5</v>
      </c>
      <c r="EL545" s="72" t="str">
        <f>IF(ISERROR(EK545/EC545),"NA",IF(OR(EK545/EC545&gt;2,EK545/EC545&lt;0.5),"NM",EK545/EC545*100-100))</f>
        <v>NA</v>
      </c>
      <c r="EM545" s="150">
        <v>-12</v>
      </c>
      <c r="EN545" s="72">
        <f>IF(ISERROR(EM545/EE545),"NA",IF(OR(EM545/EE545&gt;2,EM545/EE545&lt;0.5),"NM",EM545/EE545*100-100))</f>
        <v>26.315789473684205</v>
      </c>
      <c r="EO545" s="150">
        <v>-11</v>
      </c>
      <c r="EP545" s="72">
        <f>IF(ISERROR(EO545/EG545),"NA",IF(OR(EO545/EG545&gt;2,EO545/EG545&lt;0.5),"NM",EO545/EG545*100-100))</f>
        <v>22.222222222222229</v>
      </c>
      <c r="EQ545" s="150">
        <f t="shared" ref="EQ545" si="2617">EO545</f>
        <v>-11</v>
      </c>
      <c r="ER545" s="72">
        <f t="shared" ref="ER545:ER546" si="2618">IF(ISERROR(EQ545/EI545),"NA",IF(OR(EQ545/EI545&gt;2,EQ545/EI545&lt;0.5),"NM",EQ545/EI545*100-100))</f>
        <v>10.000000000000014</v>
      </c>
      <c r="ES545" s="150">
        <f t="shared" ref="ES545" si="2619">EQ545</f>
        <v>-11</v>
      </c>
      <c r="ET545" s="72" t="str">
        <f t="shared" ref="ET545:ET546" si="2620">IF(ISERROR(ES545/EK545),"NA",IF(OR(ES545/EK545&gt;2,ES545/EK545&lt;0.5),"NM",ES545/EK545*100-100))</f>
        <v>NM</v>
      </c>
      <c r="EU545" s="150">
        <f t="shared" ref="EU545" si="2621">ES545</f>
        <v>-11</v>
      </c>
      <c r="EV545" s="72">
        <f t="shared" ref="EV545:EV546" si="2622">IF(ISERROR(EU545/EM545),"NA",IF(OR(EU545/EM545&gt;2,EU545/EM545&lt;0.5),"NM",EU545/EM545*100-100))</f>
        <v>-8.3333333333333428</v>
      </c>
      <c r="EW545" s="150">
        <f t="shared" ref="EW545" si="2623">EU545</f>
        <v>-11</v>
      </c>
      <c r="EX545" s="72">
        <f t="shared" ref="EX545:EX546" si="2624">IF(ISERROR(EW545/EO545),"NA",IF(OR(EW545/EO545&gt;2,EW545/EO545&lt;0.5),"NM",EW545/EO545*100-100))</f>
        <v>0</v>
      </c>
      <c r="EY545" s="72"/>
      <c r="EZ545" s="332"/>
      <c r="FA545" s="72"/>
      <c r="FB545" s="160"/>
      <c r="FC545" s="161"/>
      <c r="FD545" s="144">
        <f>CM545+CO545+CQ545+CS545</f>
        <v>2</v>
      </c>
      <c r="FE545" s="72" t="str">
        <f>IF(ISERROR(FD545/FB545),"NA",IF(OR(FD545/FB545&gt;2,FD545/FB545&lt;0.5),"NM",FD545/FB545*100-100))</f>
        <v>NA</v>
      </c>
      <c r="FF545" s="144">
        <f>CO545+CQ545+CS545+CU545</f>
        <v>8</v>
      </c>
      <c r="FG545" s="72" t="str">
        <f>IF(ISERROR(FF545/FD545),"NA",IF(OR(FF545/FD545&gt;2,FF545/FD545&lt;0.5),"NM",FF545/FD545*100-100))</f>
        <v>NM</v>
      </c>
      <c r="FH545" s="144">
        <f>CQ545+CS545+CU545+CW545</f>
        <v>12</v>
      </c>
      <c r="FI545" s="72">
        <f>IF(ISERROR(FH545/FF545),"NA",IF(OR(FH545/FF545&gt;2,FH545/FF545&lt;0.5),"NM",FH545/FF545*100-100))</f>
        <v>50</v>
      </c>
      <c r="FJ545" s="144">
        <f>CS545+CU545+CW545+CY545</f>
        <v>5</v>
      </c>
      <c r="FK545" s="72" t="str">
        <f>IF(ISERROR(FJ545/FH545),"NA",IF(OR(FJ545/FH545&gt;2,FJ545/FH545&lt;0.5),"NM",FJ545/FH545*100-100))</f>
        <v>NM</v>
      </c>
      <c r="FL545" s="144">
        <f>CU545+CW545+CY545+DA545</f>
        <v>6</v>
      </c>
      <c r="FM545" s="72">
        <f>IF(ISERROR(FL545/FJ545),"NA",IF(OR(FL545/FJ545&gt;2,FL545/FJ545&lt;0.5),"NM",FL545/FJ545*100-100))</f>
        <v>20</v>
      </c>
      <c r="FN545" s="144">
        <f>CW545+CY545+DA545+DC545</f>
        <v>-3</v>
      </c>
      <c r="FO545" s="72" t="str">
        <f>IF(ISERROR(FN545/FL545),"NA",IF(OR(FN545/FL545&gt;2,FN545/FL545&lt;0.5),"NM",FN545/FL545*100-100))</f>
        <v>NM</v>
      </c>
      <c r="FP545" s="144">
        <f>CY545+DA545+DC545+DE545</f>
        <v>-14</v>
      </c>
      <c r="FQ545" s="72" t="str">
        <f>IF(ISERROR(FP545/FN545),"NA",IF(OR(FP545/FN545&gt;2,FP545/FN545&lt;0.5),"NM",FP545/FN545*100-100))</f>
        <v>NM</v>
      </c>
      <c r="FR545" s="144">
        <f>DA545+DC545+DE545+DG545</f>
        <v>-18</v>
      </c>
      <c r="FS545" s="72">
        <f>IF(ISERROR(FR545/FP545),"NA",IF(OR(FR545/FP545&gt;2,FR545/FP545&lt;0.5),"NM",FR545/FP545*100-100))</f>
        <v>28.571428571428584</v>
      </c>
      <c r="FT545" s="144">
        <f>DC545+DE545+DG545+DI545</f>
        <v>-25</v>
      </c>
      <c r="FU545" s="72">
        <f>IF(ISERROR(FT545/FR545),"NA",IF(OR(FT545/FR545&gt;2,FT545/FR545&lt;0.5),"NM",FT545/FR545*100-100))</f>
        <v>38.888888888888886</v>
      </c>
      <c r="FV545" s="144">
        <f>DE545+DG545+DI545+DK545</f>
        <v>-24</v>
      </c>
      <c r="FW545" s="72">
        <f>IF(ISERROR(FV545/FT545),"NA",IF(OR(FV545/FT545&gt;2,FV545/FT545&lt;0.5),"NM",FV545/FT545*100-100))</f>
        <v>-4</v>
      </c>
      <c r="FX545" s="144">
        <f>DG545+DI545+DK545+DM545</f>
        <v>-22</v>
      </c>
      <c r="FY545" s="72">
        <f>IF(ISERROR(FX545/FV545),"NA",IF(OR(FX545/FV545&gt;2,FX545/FV545&lt;0.5),"NM",FX545/FV545*100-100))</f>
        <v>-8.3333333333333428</v>
      </c>
      <c r="FZ545" s="144">
        <f>DI545+DK545+DM545+DO545</f>
        <v>-18</v>
      </c>
      <c r="GA545" s="72">
        <f>IF(ISERROR(FZ545/FX545),"NA",IF(OR(FZ545/FX545&gt;2,FZ545/FX545&lt;0.5),"NM",FZ545/FX545*100-100))</f>
        <v>-18.181818181818173</v>
      </c>
      <c r="GB545" s="144">
        <f>DK545+DM545+DO545+DQ545</f>
        <v>-27</v>
      </c>
      <c r="GC545" s="72">
        <f>IF(ISERROR(GB545/FZ545),"NA",IF(OR(GB545/FZ545&gt;2,GB545/FZ545&lt;0.5),"NM",GB545/FZ545*100-100))</f>
        <v>50</v>
      </c>
      <c r="GD545" s="144">
        <f>DM545+DO545+DQ545+DS545</f>
        <v>-25</v>
      </c>
      <c r="GE545" s="72">
        <f>IF(ISERROR(GD545/GB545),"NA",IF(OR(GD545/GB545&gt;2,GD545/GB545&lt;0.5),"NM",GD545/GB545*100-100))</f>
        <v>-7.4074074074074048</v>
      </c>
      <c r="GF545" s="144">
        <f>DO545+DQ545+DS545+DU545</f>
        <v>-22</v>
      </c>
      <c r="GG545" s="72">
        <f>IF(ISERROR(GF545/GD545),"NA",IF(OR(GF545/GD545&gt;2,GF545/GD545&lt;0.5),"NM",GF545/GD545*100-100))</f>
        <v>-12</v>
      </c>
      <c r="GH545" s="144">
        <f>DQ545+DS545+DU545+DW545</f>
        <v>-19</v>
      </c>
      <c r="GI545" s="72">
        <f t="shared" ref="GI545:GU546" si="2625">IF(ISERROR(GH545/GF545),"NA",IF(OR(GH545/GF545&gt;2,GH545/GF545&lt;0.5),"NM",GH545/GF545*100-100))</f>
        <v>-13.63636363636364</v>
      </c>
      <c r="GJ545" s="144">
        <f>DS545+DU545+DW545+DY545</f>
        <v>0</v>
      </c>
      <c r="GK545" s="72" t="str">
        <f t="shared" si="2625"/>
        <v>NM</v>
      </c>
      <c r="GL545" s="144">
        <f>EA545+EC545+EE545+EG545</f>
        <v>-18.5</v>
      </c>
      <c r="GM545" s="72" t="str">
        <f t="shared" si="2625"/>
        <v>NA</v>
      </c>
      <c r="GN545" s="144">
        <f>EI545+EK545+EM545+EO545</f>
        <v>-38</v>
      </c>
      <c r="GO545" s="72" t="str">
        <f t="shared" si="2625"/>
        <v>NM</v>
      </c>
      <c r="GP545" s="144">
        <f>EQ545+ES545+EU545+EW545</f>
        <v>-44</v>
      </c>
      <c r="GQ545" s="72">
        <f t="shared" si="2625"/>
        <v>15.789473684210535</v>
      </c>
      <c r="GR545" s="150">
        <f>GP545</f>
        <v>-44</v>
      </c>
      <c r="GS545" s="72">
        <f t="shared" si="2625"/>
        <v>0</v>
      </c>
      <c r="GT545" s="150">
        <f>GR545</f>
        <v>-44</v>
      </c>
      <c r="GU545" s="72">
        <f t="shared" si="2625"/>
        <v>0</v>
      </c>
      <c r="GV545" s="150">
        <f>GT545</f>
        <v>-44</v>
      </c>
      <c r="GW545" s="72">
        <f>IF(ISERROR(GV545/GT545),"NA",IF(OR(GV545/GT545&gt;2,GV545/GT545&lt;0.5),"NM",GV545/GT545*100-100))</f>
        <v>0</v>
      </c>
      <c r="GX545" s="150">
        <f>GV545</f>
        <v>-44</v>
      </c>
      <c r="GY545" s="72">
        <f>IF(ISERROR(GX545/GV545),"NA",IF(OR(GX545/GV545&gt;2,GX545/GV545&lt;0.5),"NM",GX545/GV545*100-100))</f>
        <v>0</v>
      </c>
      <c r="GZ545" s="72">
        <f>IF(ISERROR(((GX545/GN545)^0.2-1)*100),"NA",IF((((GX545/GN545)^0.2-1)*100)&gt;100,"NM",IF((((GX545/GN545)^0.2-1)*100)&lt;-50,"NM",((GX545/GN545)^0.2-1)*100)))</f>
        <v>2.9754778570413087</v>
      </c>
      <c r="HA545" s="72"/>
      <c r="HB545" s="72"/>
      <c r="HC545"/>
      <c r="HD545"/>
      <c r="HE545"/>
      <c r="HF545"/>
      <c r="HG545"/>
      <c r="HH545"/>
      <c r="HI545" s="2"/>
    </row>
    <row r="546" spans="1:217" s="78" customFormat="1" ht="12.75" customHeight="1" x14ac:dyDescent="0.2">
      <c r="A546" s="3" t="s">
        <v>230</v>
      </c>
      <c r="B546" s="89" t="s">
        <v>631</v>
      </c>
      <c r="C546" s="160"/>
      <c r="D546" s="161"/>
      <c r="E546" s="160"/>
      <c r="F546" s="161"/>
      <c r="G546" s="160"/>
      <c r="H546" s="172"/>
      <c r="I546" s="160"/>
      <c r="J546" s="161"/>
      <c r="K546" s="160"/>
      <c r="L546" s="72" t="str">
        <f>IF(ISERROR(K546/C546),"NA",IF(OR(K546/C546&gt;2,K546/C546&lt;0.5),"NM",K546/C546*100-100))</f>
        <v>NA</v>
      </c>
      <c r="M546" s="160"/>
      <c r="N546" s="72" t="str">
        <f>IF(ISERROR(M546/E546),"NA",IF(OR(M546/E546&gt;2,M546/E546&lt;0.5),"NM",M546/E546*100-100))</f>
        <v>NA</v>
      </c>
      <c r="O546" s="160"/>
      <c r="P546" s="72" t="str">
        <f>IF(ISERROR(O546/G546),"NA",IF(OR(O546/G546&gt;2,O546/G546&lt;0.5),"NM",O546/G546*100-100))</f>
        <v>NA</v>
      </c>
      <c r="Q546" s="160"/>
      <c r="R546" s="72" t="str">
        <f>IF(ISERROR(Q546/I546),"NA",IF(OR(Q546/I546&gt;2,Q546/I546&lt;0.5),"NM",Q546/I546*100-100))</f>
        <v>NA</v>
      </c>
      <c r="S546" s="160">
        <f>+S539+S545</f>
        <v>501</v>
      </c>
      <c r="T546" s="72" t="str">
        <f>IF(ISERROR(S546/K546),"NA",IF(OR(S546/K546&gt;2,S546/K546&lt;0.5),"NM",S546/K546*100-100))</f>
        <v>NA</v>
      </c>
      <c r="U546" s="160">
        <f>+U539+U545</f>
        <v>483</v>
      </c>
      <c r="V546" s="72" t="str">
        <f>IF(ISERROR(U546/M546),"NA",IF(OR(U546/M546&gt;2,U546/M546&lt;0.5),"NM",U546/M546*100-100))</f>
        <v>NA</v>
      </c>
      <c r="W546" s="160">
        <f>+W539+W545</f>
        <v>451</v>
      </c>
      <c r="X546" s="72" t="str">
        <f>IF(ISERROR(W546/O546),"NA",IF(OR(W546/O546&gt;2,W546/O546&lt;0.5),"NM",W546/O546*100-100))</f>
        <v>NA</v>
      </c>
      <c r="Y546" s="160">
        <f>+Y539+Y545</f>
        <v>389</v>
      </c>
      <c r="Z546" s="72" t="str">
        <f>IF(ISERROR(Y546/Q546),"NA",IF(OR(Y546/Q546&gt;2,Y546/Q546&lt;0.5),"NM",Y546/Q546*100-100))</f>
        <v>NA</v>
      </c>
      <c r="AA546" s="160">
        <f>+AA539+AA545</f>
        <v>474</v>
      </c>
      <c r="AB546" s="72">
        <f>IF(ISERROR(AA546/S546),"NA",IF(OR(AA546/S546&gt;2,AA546/S546&lt;0.5),"NM",AA546/S546*100-100))</f>
        <v>-5.3892215568862269</v>
      </c>
      <c r="AC546" s="160">
        <f>+AC539+AC545</f>
        <v>558</v>
      </c>
      <c r="AD546" s="72">
        <f>IF(ISERROR(AC546/U546),"NA",IF(OR(AC546/U546&gt;2,AC546/U546&lt;0.5),"NM",AC546/U546*100-100))</f>
        <v>15.527950310559007</v>
      </c>
      <c r="AE546" s="160">
        <f>+AE539+AE545</f>
        <v>538</v>
      </c>
      <c r="AF546" s="72">
        <f>IF(ISERROR(AE546/W546),"NA",IF(OR(AE546/W546&gt;2,AE546/W546&lt;0.5),"NM",AE546/W546*100-100))</f>
        <v>19.290465631929038</v>
      </c>
      <c r="AG546" s="160">
        <f>+AG539+AG545</f>
        <v>577</v>
      </c>
      <c r="AH546" s="72">
        <f>IF(ISERROR(AG546/Y546),"NA",IF(OR(AG546/Y546&gt;2,AG546/Y546&lt;0.5),"NM",AG546/Y546*100-100))</f>
        <v>48.32904884318765</v>
      </c>
      <c r="AI546" s="160">
        <f>+AI539+AI545</f>
        <v>583</v>
      </c>
      <c r="AJ546" s="72">
        <f>IF(ISERROR(AI546/AA546),"NA",IF(OR(AI546/AA546&gt;2,AI546/AA546&lt;0.5),"NM",AI546/AA546*100-100))</f>
        <v>22.995780590717303</v>
      </c>
      <c r="AK546" s="160">
        <f>+AK539+AK545</f>
        <v>746</v>
      </c>
      <c r="AL546" s="72">
        <f>IF(ISERROR(AK546/AC546),"NA",IF(OR(AK546/AC546&gt;2,AK546/AC546&lt;0.5),"NM",AK546/AC546*100-100))</f>
        <v>33.691756272401449</v>
      </c>
      <c r="AM546" s="160">
        <f>+AM539+AM545</f>
        <v>734</v>
      </c>
      <c r="AN546" s="72">
        <f>IF(ISERROR(AM546/AE546),"NA",IF(OR(AM546/AE546&gt;2,AM546/AE546&lt;0.5),"NM",AM546/AE546*100-100))</f>
        <v>36.431226765799266</v>
      </c>
      <c r="AO546" s="160">
        <f>+AO539+AO545</f>
        <v>782</v>
      </c>
      <c r="AP546" s="72">
        <f>IF(ISERROR(AO546/AG546),"NA",IF(OR(AO546/AG546&gt;2,AO546/AG546&lt;0.5),"NM",AO546/AG546*100-100))</f>
        <v>35.528596187175054</v>
      </c>
      <c r="AQ546" s="160">
        <f>+AQ539+AQ545</f>
        <v>893</v>
      </c>
      <c r="AR546" s="72">
        <f>IF(ISERROR(AQ546/AI546),"NA",IF(OR(AQ546/AI546&gt;2,AQ546/AI546&lt;0.5),"NM",AQ546/AI546*100-100))</f>
        <v>53.173241852487138</v>
      </c>
      <c r="AS546" s="160">
        <f>+AS539+AS545</f>
        <v>831</v>
      </c>
      <c r="AT546" s="72">
        <f>IF(ISERROR(AS546/AK546),"NA",IF(OR(AS546/AK546&gt;2,AS546/AK546&lt;0.5),"NM",AS546/AK546*100-100))</f>
        <v>11.394101876675606</v>
      </c>
      <c r="AU546" s="160">
        <f>+AU539+AU545</f>
        <v>1019</v>
      </c>
      <c r="AV546" s="72">
        <f>IF(ISERROR(AU546/AM546),"NA",IF(OR(AU546/AM546&gt;2,AU546/AM546&lt;0.5),"NM",AU546/AM546*100-100))</f>
        <v>38.828337874659411</v>
      </c>
      <c r="AW546" s="160">
        <f>+AW539+AW545</f>
        <v>770</v>
      </c>
      <c r="AX546" s="72">
        <f>IF(ISERROR(AW546/AO546),"NA",IF(OR(AW546/AO546&gt;2,AW546/AO546&lt;0.5),"NM",AW546/AO546*100-100))</f>
        <v>-1.5345268542199477</v>
      </c>
      <c r="AY546" s="160">
        <f>+AY539+AY545</f>
        <v>621</v>
      </c>
      <c r="AZ546" s="72">
        <f>IF(ISERROR(AY546/AQ546),"NA",IF(OR(AY546/AQ546&gt;2,AY546/AQ546&lt;0.5),"NM",AY546/AQ546*100-100))</f>
        <v>-30.45912653975364</v>
      </c>
      <c r="BA546" s="160">
        <f>+BA539+BA545</f>
        <v>664</v>
      </c>
      <c r="BB546" s="72">
        <f>IF(ISERROR(BA546/AS546),"NA",IF(OR(BA546/AS546&gt;2,BA546/AS546&lt;0.5),"NM",BA546/AS546*100-100))</f>
        <v>-20.096269554753306</v>
      </c>
      <c r="BC546" s="160">
        <f>+BC539+BC545</f>
        <v>792</v>
      </c>
      <c r="BD546" s="72">
        <f>IF(ISERROR(BC546/AU546),"NA",IF(OR(BC546/AU546&gt;2,BC546/AU546&lt;0.5),"NM",BC546/AU546*100-100))</f>
        <v>-22.276741903827286</v>
      </c>
      <c r="BE546" s="160">
        <f>+BE539+BE545</f>
        <v>734</v>
      </c>
      <c r="BF546" s="72">
        <f>IF(ISERROR(BE546/AW546),"NA",IF(OR(BE546/AW546&gt;2,BE546/AW546&lt;0.5),"NM",BE546/AW546*100-100))</f>
        <v>-4.6753246753246742</v>
      </c>
      <c r="BG546" s="160">
        <f>+BG539+BG545</f>
        <v>798.19999999999993</v>
      </c>
      <c r="BH546" s="72">
        <f>IF(ISERROR(BG546/AY546),"NA",IF(OR(BG546/AY546&gt;2,BG546/AY546&lt;0.5),"NM",BG546/AY546*100-100))</f>
        <v>28.534621578099831</v>
      </c>
      <c r="BI546" s="160">
        <f>+BI539+BI545</f>
        <v>814</v>
      </c>
      <c r="BJ546" s="72">
        <f>IF(ISERROR(BI546/BA546),"NA",IF(OR(BI546/BA546&gt;2,BI546/BA546&lt;0.5),"NM",BI546/BA546*100-100))</f>
        <v>22.590361445783131</v>
      </c>
      <c r="BK546" s="160">
        <f>+BK539+BK545</f>
        <v>929</v>
      </c>
      <c r="BL546" s="72">
        <f>IF(ISERROR(BK546/BC546),"NA",IF(OR(BK546/BC546&gt;2,BK546/BC546&lt;0.5),"NM",BK546/BC546*100-100))</f>
        <v>17.297979797979806</v>
      </c>
      <c r="BM546" s="160">
        <f>+BM539+BM545</f>
        <v>791</v>
      </c>
      <c r="BN546" s="72">
        <f>IF(ISERROR(BM546/BE546),"NA",IF(OR(BM546/BE546&gt;2,BM546/BE546&lt;0.5),"NM",BM546/BE546*100-100))</f>
        <v>7.7656675749318822</v>
      </c>
      <c r="BO546" s="160">
        <f>+BO539+BO545</f>
        <v>685</v>
      </c>
      <c r="BP546" s="72">
        <f>IF(ISERROR(BO546/BG546),"NA",IF(OR(BO546/BG546&gt;2,BO546/BG546&lt;0.5),"NM",BO546/BG546*100-100))</f>
        <v>-14.181909295915801</v>
      </c>
      <c r="BQ546" s="160">
        <f>+BQ539+BQ545</f>
        <v>846</v>
      </c>
      <c r="BR546" s="72">
        <f>IF(ISERROR(BQ546/BI546),"NA",IF(OR(BQ546/BI546&gt;2,BQ546/BI546&lt;0.5),"NM",BQ546/BI546*100-100))</f>
        <v>3.9312039312039389</v>
      </c>
      <c r="BS546" s="160">
        <f>+BS539+BS545</f>
        <v>428</v>
      </c>
      <c r="BT546" s="72" t="str">
        <f>IF(ISERROR(BS546/BK546),"NA",IF(OR(BS546/BK546&gt;2,BS546/BK546&lt;0.5),"NM",BS546/BK546*100-100))</f>
        <v>NM</v>
      </c>
      <c r="BU546" s="160">
        <f>+BU539+BU545</f>
        <v>-859</v>
      </c>
      <c r="BV546" s="72" t="str">
        <f>IF(ISERROR(BU546/BM546),"NA",IF(OR(BU546/BM546&gt;2,BU546/BM546&lt;0.5),"NM",BU546/BM546*100-100))</f>
        <v>NM</v>
      </c>
      <c r="BW546" s="160">
        <f>+BW539+BW545</f>
        <v>200</v>
      </c>
      <c r="BX546" s="72" t="str">
        <f>IF(ISERROR(BW546/BO546),"NA",IF(OR(BW546/BO546&gt;2,BW546/BO546&lt;0.5),"NM",BW546/BO546*100-100))</f>
        <v>NM</v>
      </c>
      <c r="BY546" s="160">
        <f>+BY539+BY545</f>
        <v>861</v>
      </c>
      <c r="BZ546" s="72">
        <f>IF(ISERROR(BY546/BQ546),"NA",IF(OR(BY546/BQ546&gt;2,BY546/BQ546&lt;0.5),"NM",BY546/BQ546*100-100))</f>
        <v>1.7730496453900741</v>
      </c>
      <c r="CA546" s="160">
        <f>+CA539+CA545</f>
        <v>820</v>
      </c>
      <c r="CB546" s="72">
        <f>IF(ISERROR(CA546/BS546),"NA",IF(OR(CA546/BS546&gt;2,CA546/BS546&lt;0.5),"NM",CA546/BS546*100-100))</f>
        <v>91.588785046728987</v>
      </c>
      <c r="CC546" s="160">
        <f>+CC539+CC545</f>
        <v>559</v>
      </c>
      <c r="CD546" s="72" t="str">
        <f>IF(ISERROR(CC546/BU546),"NA",IF(OR(CC546/BU546&gt;2,CC546/BU546&lt;0.5),"NM",CC546/BU546*100-100))</f>
        <v>NM</v>
      </c>
      <c r="CE546" s="160">
        <f>+CE539+CE545</f>
        <v>640</v>
      </c>
      <c r="CF546" s="72" t="str">
        <f>IF(ISERROR(CE546/BW546),"NA",IF(OR(CE546/BW546&gt;2,CE546/BW546&lt;0.5),"NM",CE546/BW546*100-100))</f>
        <v>NM</v>
      </c>
      <c r="CG546" s="160">
        <f>+CG539+CG545</f>
        <v>389</v>
      </c>
      <c r="CH546" s="72" t="str">
        <f>IF(ISERROR(CG546/BY546),"NA",IF(OR(CG546/BY546&gt;2,CG546/BY546&lt;0.5),"NM",CG546/BY546*100-100))</f>
        <v>NM</v>
      </c>
      <c r="CI546" s="160">
        <f>+CI539+CI545</f>
        <v>903</v>
      </c>
      <c r="CJ546" s="72">
        <f>IF(ISERROR(CI546/CA546),"NA",IF(OR(CI546/CA546&gt;2,CI546/CA546&lt;0.5),"NM",CI546/CA546*100-100))</f>
        <v>10.121951219512198</v>
      </c>
      <c r="CK546" s="160">
        <f>+CK539+CK545</f>
        <v>787</v>
      </c>
      <c r="CL546" s="72">
        <f>IF(ISERROR(CK546/CC546),"NA",IF(OR(CK546/CC546&gt;2,CK546/CC546&lt;0.5),"NM",CK546/CC546*100-100))</f>
        <v>40.787119856887301</v>
      </c>
      <c r="CM546" s="160">
        <f>+CM539+CM545</f>
        <v>805.2</v>
      </c>
      <c r="CN546" s="72">
        <f>IF(ISERROR(CM546/CE546),"NA",IF(OR(CM546/CE546&gt;2,CM546/CE546&lt;0.5),"NM",CM546/CE546*100-100))</f>
        <v>25.812500000000014</v>
      </c>
      <c r="CO546" s="160">
        <f>+CO539+CO545</f>
        <v>793.85</v>
      </c>
      <c r="CP546" s="72" t="str">
        <f>IF(ISERROR(CO546/CG546),"NA",IF(OR(CO546/CG546&gt;2,CO546/CG546&lt;0.5),"NM",CO546/CG546*100-100))</f>
        <v>NM</v>
      </c>
      <c r="CQ546" s="160">
        <f>+CQ539+CQ545</f>
        <v>437.95</v>
      </c>
      <c r="CR546" s="72" t="str">
        <f>IF(ISERROR(CQ546/CI546),"NA",IF(OR(CQ546/CI546&gt;2,CQ546/CI546&lt;0.5),"NM",CQ546/CI546*100-100))</f>
        <v>NM</v>
      </c>
      <c r="CS546" s="160">
        <f>+CS539+CS545</f>
        <v>912.1</v>
      </c>
      <c r="CT546" s="72">
        <f>IF(ISERROR(CS546/CK546),"NA",IF(OR(CS546/CK546&gt;2,CS546/CK546&lt;0.5),"NM",CS546/CK546*100-100))</f>
        <v>15.895806861499366</v>
      </c>
      <c r="CU546" s="160">
        <f>+CU539+CU545</f>
        <v>827.05</v>
      </c>
      <c r="CV546" s="72">
        <f>IF(ISERROR(CU546/CM546),"NA",IF(OR(CU546/CM546&gt;2,CU546/CM546&lt;0.5),"NM",CU546/CM546*100-100))</f>
        <v>2.7136115250869324</v>
      </c>
      <c r="CW546" s="160">
        <f>+CW539+CW545</f>
        <v>681.7</v>
      </c>
      <c r="CX546" s="72">
        <f>IF(ISERROR(CW546/CO546),"NA",IF(OR(CW546/CO546&gt;2,CW546/CO546&lt;0.5),"NM",CW546/CO546*100-100))</f>
        <v>-14.127354034137426</v>
      </c>
      <c r="CY546" s="160">
        <f>+CY539+CY545</f>
        <v>778.1</v>
      </c>
      <c r="CZ546" s="72">
        <f>IF(ISERROR(CY546/CQ546),"NA",IF(OR(CY546/CQ546&gt;2,CY546/CQ546&lt;0.5),"NM",CY546/CQ546*100-100))</f>
        <v>77.6686836396849</v>
      </c>
      <c r="DA546" s="160">
        <f>+DA539+DA545</f>
        <v>834.5</v>
      </c>
      <c r="DB546" s="72">
        <f>IF(ISERROR(DA546/CS546),"NA",IF(OR(DA546/CS546&gt;2,DA546/CS546&lt;0.5),"NM",DA546/CS546*100-100))</f>
        <v>-8.5078390527354486</v>
      </c>
      <c r="DC546" s="160">
        <f>+DC539+DC545</f>
        <v>1070.95</v>
      </c>
      <c r="DD546" s="72">
        <f>IF(ISERROR(DC546/CU546),"NA",IF(OR(DC546/CU546&gt;2,DC546/CU546&lt;0.5),"NM",DC546/CU546*100-100))</f>
        <v>29.490357293996738</v>
      </c>
      <c r="DE546" s="160">
        <f>+DE539+DE545</f>
        <v>1091.9000000000001</v>
      </c>
      <c r="DF546" s="72">
        <f>IF(ISERROR(DE546/CW546),"NA",IF(OR(DE546/CW546&gt;2,DE546/CW546&lt;0.5),"NM",DE546/CW546*100-100))</f>
        <v>60.173096670089478</v>
      </c>
      <c r="DG546" s="160">
        <f>+DG539+DG545</f>
        <v>1371.2</v>
      </c>
      <c r="DH546" s="72">
        <f>IF(ISERROR(DG546/CY546),"NA",IF(OR(DG546/CY546&gt;2,DG546/CY546&lt;0.5),"NM",DG546/CY546*100-100))</f>
        <v>76.224135715203687</v>
      </c>
      <c r="DI546" s="160">
        <f>+DI539+DI545</f>
        <v>1045.1500000000001</v>
      </c>
      <c r="DJ546" s="72">
        <f>IF(ISERROR(DI546/DA546),"NA",IF(OR(DI546/DA546&gt;2,DI546/DA546&lt;0.5),"NM",DI546/DA546*100-100))</f>
        <v>25.242660275614142</v>
      </c>
      <c r="DK546" s="160">
        <f>+DK539+DK545</f>
        <v>1135</v>
      </c>
      <c r="DL546" s="72">
        <f>IF(ISERROR(DK546/DC546),"NA",IF(OR(DK546/DC546&gt;2,DK546/DC546&lt;0.5),"NM",DK546/DC546*100-100))</f>
        <v>5.9806713665437172</v>
      </c>
      <c r="DM546" s="160">
        <f>+DM539+DM545</f>
        <v>1173</v>
      </c>
      <c r="DN546" s="72">
        <f t="shared" si="2616"/>
        <v>7.4274200934151509</v>
      </c>
      <c r="DO546" s="160">
        <f>+DO539+DO545</f>
        <v>1031</v>
      </c>
      <c r="DP546" s="72">
        <f t="shared" si="2616"/>
        <v>-24.810385064177368</v>
      </c>
      <c r="DQ546" s="160">
        <f>+DQ539+DQ545</f>
        <v>989</v>
      </c>
      <c r="DR546" s="72">
        <f t="shared" si="2616"/>
        <v>-5.3724345787686048</v>
      </c>
      <c r="DS546" s="160">
        <f>+DS539+DS545</f>
        <v>1298</v>
      </c>
      <c r="DT546" s="72">
        <f t="shared" si="2616"/>
        <v>14.36123348017621</v>
      </c>
      <c r="DU546" s="160">
        <f>+DU539+DU545</f>
        <v>1350</v>
      </c>
      <c r="DV546" s="72">
        <f t="shared" si="2616"/>
        <v>15.089514066496164</v>
      </c>
      <c r="DW546" s="160">
        <f>+DW539+DW545</f>
        <v>1110</v>
      </c>
      <c r="DX546" s="72">
        <f t="shared" si="2616"/>
        <v>7.6624636275460745</v>
      </c>
      <c r="DY546" s="160">
        <f>+DY539+DY545</f>
        <v>891</v>
      </c>
      <c r="DZ546" s="72">
        <f t="shared" si="2616"/>
        <v>-9.9089989888776557</v>
      </c>
      <c r="EA546" s="160">
        <f>+EA539+EA545</f>
        <v>997</v>
      </c>
      <c r="EB546" s="72">
        <f>IF(ISERROR(EA546/DS546),"NA",IF(OR(EA546/DS546&gt;2,EA546/DS546&lt;0.5),"NM",EA546/DS546*100-100))</f>
        <v>-23.18952234206472</v>
      </c>
      <c r="EC546" s="160">
        <f>+EC539+EC545</f>
        <v>829</v>
      </c>
      <c r="ED546" s="72">
        <f>IF(ISERROR(EC546/DU546),"NA",IF(OR(EC546/DU546&gt;2,EC546/DU546&lt;0.5),"NM",EC546/DU546*100-100))</f>
        <v>-38.592592592592588</v>
      </c>
      <c r="EE546" s="160">
        <f>+EE539+EE545</f>
        <v>1181.5</v>
      </c>
      <c r="EF546" s="72">
        <f>IF(ISERROR(EE546/DW546),"NA",IF(OR(EE546/DW546&gt;2,EE546/DW546&lt;0.5),"NM",EE546/DW546*100-100))</f>
        <v>6.4414414414414267</v>
      </c>
      <c r="EG546" s="160">
        <f>+EG539+EG545</f>
        <v>1081</v>
      </c>
      <c r="EH546" s="72">
        <f>IF(ISERROR(EG546/DY546),"NA",IF(OR(EG546/DY546&gt;2,EG546/DY546&lt;0.5),"NM",EG546/DY546*100-100))</f>
        <v>21.324354657687977</v>
      </c>
      <c r="EI546" s="160">
        <f>+EI539+EI545</f>
        <v>1227</v>
      </c>
      <c r="EJ546" s="72">
        <f>IF(ISERROR(EI546/EA546),"NA",IF(OR(EI546/EA546&gt;2,EI546/EA546&lt;0.5),"NM",EI546/EA546*100-100))</f>
        <v>23.069207622868618</v>
      </c>
      <c r="EK546" s="160">
        <f>+EK539+EK545</f>
        <v>914</v>
      </c>
      <c r="EL546" s="72">
        <f>IF(ISERROR(EK546/EC546),"NA",IF(OR(EK546/EC546&gt;2,EK546/EC546&lt;0.5),"NM",EK546/EC546*100-100))</f>
        <v>10.253317249698426</v>
      </c>
      <c r="EM546" s="160">
        <f>+EM539+EM545</f>
        <v>1311</v>
      </c>
      <c r="EN546" s="72">
        <f>IF(ISERROR(EM546/EE546),"NA",IF(OR(EM546/EE546&gt;2,EM546/EE546&lt;0.5),"NM",EM546/EE546*100-100))</f>
        <v>10.96064325010579</v>
      </c>
      <c r="EO546" s="160">
        <f>+EO539+EO545</f>
        <v>1162</v>
      </c>
      <c r="EP546" s="72">
        <f>IF(ISERROR(EO546/EG546),"NA",IF(OR(EO546/EG546&gt;2,EO546/EG546&lt;0.5),"NM",EO546/EG546*100-100))</f>
        <v>7.4930619796484734</v>
      </c>
      <c r="EQ546" s="160">
        <f t="shared" ref="EQ546" si="2626">+EQ539+EQ545</f>
        <v>1326.6539953800166</v>
      </c>
      <c r="ER546" s="72">
        <f t="shared" si="2618"/>
        <v>8.1217600146712812</v>
      </c>
      <c r="ES546" s="160">
        <f t="shared" ref="ES546" si="2627">+ES539+ES545</f>
        <v>1333.9585156595535</v>
      </c>
      <c r="ET546" s="72">
        <f t="shared" si="2620"/>
        <v>45.947321188134964</v>
      </c>
      <c r="EU546" s="160">
        <f t="shared" ref="EU546" si="2628">+EU539+EU545</f>
        <v>1318.8396634684204</v>
      </c>
      <c r="EV546" s="72">
        <f t="shared" si="2622"/>
        <v>0.59799111124488036</v>
      </c>
      <c r="EW546" s="160">
        <f t="shared" ref="EW546" si="2629">+EW539+EW545</f>
        <v>1188.5935562897889</v>
      </c>
      <c r="EX546" s="72">
        <f t="shared" si="2624"/>
        <v>2.2886020903432751</v>
      </c>
      <c r="EY546" s="72"/>
      <c r="EZ546" s="332"/>
      <c r="FA546" s="72"/>
      <c r="FB546" s="160"/>
      <c r="FC546" s="161"/>
      <c r="FD546" s="160">
        <f>+FD539+FD545</f>
        <v>161.09999999999991</v>
      </c>
      <c r="FE546" s="72" t="str">
        <f>IF(ISERROR(FD546/FB546),"NA",IF(OR(FD546/FB546&gt;2,FD546/FB546&lt;0.5),"NM",FD546/FB546*100-100))</f>
        <v>NA</v>
      </c>
      <c r="FF546" s="160">
        <f>+FF539+FF545</f>
        <v>173.95000000000005</v>
      </c>
      <c r="FG546" s="72">
        <f>IF(ISERROR(FF546/FD546),"NA",IF(OR(FF546/FD546&gt;2,FF546/FD546&lt;0.5),"NM",FF546/FD546*100-100))</f>
        <v>7.9764121663563827</v>
      </c>
      <c r="FH546" s="160">
        <f>+FH539+FH545</f>
        <v>495.79999999999995</v>
      </c>
      <c r="FI546" s="72" t="str">
        <f>IF(ISERROR(FH546/FF546),"NA",IF(OR(FH546/FF546&gt;2,FH546/FF546&lt;0.5),"NM",FH546/FF546*100-100))</f>
        <v>NM</v>
      </c>
      <c r="FJ546" s="160">
        <f>+FJ539+FJ545</f>
        <v>646.95000000000005</v>
      </c>
      <c r="FK546" s="72">
        <f>IF(ISERROR(FJ546/FH546),"NA",IF(OR(FJ546/FH546&gt;2,FJ546/FH546&lt;0.5),"NM",FJ546/FH546*100-100))</f>
        <v>30.486083098023414</v>
      </c>
      <c r="FL546" s="160">
        <f>+FL539+FL545</f>
        <v>1041.3499999999999</v>
      </c>
      <c r="FM546" s="72">
        <f>IF(ISERROR(FL546/FJ546),"NA",IF(OR(FL546/FJ546&gt;2,FL546/FJ546&lt;0.5),"NM",FL546/FJ546*100-100))</f>
        <v>60.962980137568564</v>
      </c>
      <c r="FN546" s="160">
        <f>+FN539+FN545</f>
        <v>1602.25</v>
      </c>
      <c r="FO546" s="72">
        <f>IF(ISERROR(FN546/FL546),"NA",IF(OR(FN546/FL546&gt;2,FN546/FL546&lt;0.5),"NM",FN546/FL546*100-100))</f>
        <v>53.862774283382151</v>
      </c>
      <c r="FP546" s="160">
        <f>+FP539+FP545</f>
        <v>2053.4499999999998</v>
      </c>
      <c r="FQ546" s="72">
        <f>IF(ISERROR(FP546/FN546),"NA",IF(OR(FP546/FN546&gt;2,FP546/FN546&lt;0.5),"NM",FP546/FN546*100-100))</f>
        <v>28.160399438289886</v>
      </c>
      <c r="FR546" s="160">
        <f>+FR539+FR545</f>
        <v>2260.5500000000002</v>
      </c>
      <c r="FS546" s="72">
        <f>IF(ISERROR(FR546/FP546),"NA",IF(OR(FR546/FP546&gt;2,FR546/FP546&lt;0.5),"NM",FR546/FP546*100-100))</f>
        <v>10.085465923202435</v>
      </c>
      <c r="FT546" s="160">
        <f>+FT539+FT545</f>
        <v>2719.8</v>
      </c>
      <c r="FU546" s="72">
        <f>IF(ISERROR(FT546/FR546),"NA",IF(OR(FT546/FR546&gt;2,FT546/FR546&lt;0.5),"NM",FT546/FR546*100-100))</f>
        <v>20.315852336820697</v>
      </c>
      <c r="FV546" s="160">
        <f>+FV539+FV545</f>
        <v>-681.75</v>
      </c>
      <c r="FW546" s="72" t="str">
        <f>IF(ISERROR(FV546/FT546),"NA",IF(OR(FV546/FT546&gt;2,FV546/FT546&lt;0.5),"NM",FV546/FT546*100-100))</f>
        <v>NM</v>
      </c>
      <c r="FX546" s="160">
        <f>+FX539+FX545</f>
        <v>1087.3499999999999</v>
      </c>
      <c r="FY546" s="72" t="str">
        <f>IF(ISERROR(FX546/FV546),"NA",IF(OR(FX546/FV546&gt;2,FX546/FV546&lt;0.5),"NM",FX546/FV546*100-100))</f>
        <v>NM</v>
      </c>
      <c r="FZ546" s="160">
        <f>+FZ539+FZ545</f>
        <v>2027.15</v>
      </c>
      <c r="GA546" s="72">
        <f>IF(ISERROR(FZ546/FX546),"NA",IF(OR(FZ546/FX546&gt;2,FZ546/FX546&lt;0.5),"NM",FZ546/FX546*100-100))</f>
        <v>86.430312226973854</v>
      </c>
      <c r="GB546" s="160">
        <f>+GB539+GB545</f>
        <v>2433</v>
      </c>
      <c r="GC546" s="72">
        <f>IF(ISERROR(GB546/FZ546),"NA",IF(OR(GB546/FZ546&gt;2,GB546/FZ546&lt;0.5),"NM",GB546/FZ546*100-100))</f>
        <v>20.020718743062929</v>
      </c>
      <c r="GD546" s="160">
        <f>+GD539+GD545</f>
        <v>2592</v>
      </c>
      <c r="GE546" s="72">
        <f>IF(ISERROR(GD546/GB546),"NA",IF(OR(GD546/GB546&gt;2,GD546/GB546&lt;0.5),"NM",GD546/GB546*100-100))</f>
        <v>6.5351418002466062</v>
      </c>
      <c r="GF546" s="160">
        <f>+GF539+GF545</f>
        <v>4781</v>
      </c>
      <c r="GG546" s="72">
        <f>IF(ISERROR(GF546/GD546),"NA",IF(OR(GF546/GD546&gt;2,GF546/GD546&lt;0.5),"NM",GF546/GD546*100-100))</f>
        <v>84.452160493827165</v>
      </c>
      <c r="GH546" s="160">
        <f>+GH539+GH545</f>
        <v>4245</v>
      </c>
      <c r="GI546" s="72">
        <f t="shared" si="2625"/>
        <v>-11.211043714704033</v>
      </c>
      <c r="GJ546" s="160">
        <f>+GJ539+GJ545</f>
        <v>4649</v>
      </c>
      <c r="GK546" s="72">
        <f t="shared" si="2625"/>
        <v>9.5170789163722134</v>
      </c>
      <c r="GL546" s="160">
        <f>+GL539+GL545</f>
        <v>4088.5</v>
      </c>
      <c r="GM546" s="72">
        <f t="shared" si="2625"/>
        <v>-12.056356205635623</v>
      </c>
      <c r="GN546" s="160">
        <f>+GN539+GN545</f>
        <v>4614</v>
      </c>
      <c r="GO546" s="72">
        <f t="shared" si="2625"/>
        <v>12.853124617830503</v>
      </c>
      <c r="GP546" s="160">
        <f>+GP539+GP545</f>
        <v>5168.0457307977795</v>
      </c>
      <c r="GQ546" s="72">
        <f t="shared" si="2625"/>
        <v>12.007926545248807</v>
      </c>
      <c r="GR546" s="160">
        <f>+GR539+GR545</f>
        <v>5231.3860821617618</v>
      </c>
      <c r="GS546" s="72">
        <f t="shared" si="2625"/>
        <v>1.2256151486144944</v>
      </c>
      <c r="GT546" s="160">
        <f>+GT539+GT545</f>
        <v>5286.1772453206413</v>
      </c>
      <c r="GU546" s="72">
        <f t="shared" si="2625"/>
        <v>1.0473546073326361</v>
      </c>
      <c r="GV546" s="160">
        <f>+GV539+GV545</f>
        <v>5347.2071880921685</v>
      </c>
      <c r="GW546" s="72">
        <f>IF(ISERROR(GV546/GT546),"NA",IF(OR(GV546/GT546&gt;2,GV546/GT546&lt;0.5),"NM",GV546/GT546*100-100))</f>
        <v>1.1545194180832823</v>
      </c>
      <c r="GX546" s="160">
        <f>+GX539+GX545</f>
        <v>5400.2816195673659</v>
      </c>
      <c r="GY546" s="72">
        <f>IF(ISERROR(GX546/GV546),"NA",IF(OR(GX546/GV546&gt;2,GX546/GV546&lt;0.5),"NM",GX546/GV546*100-100))</f>
        <v>0.99256358708879588</v>
      </c>
      <c r="GZ546" s="72">
        <f>IF(ISERROR(((GX546/GN546)^0.2-1)*100),"NA",IF((((GX546/GN546)^0.2-1)*100)&gt;100,"NM",IF((((GX546/GN546)^0.2-1)*100)&lt;-50,"NM",((GX546/GN546)^0.2-1)*100)))</f>
        <v>3.1971642873517059</v>
      </c>
      <c r="HA546" s="72"/>
      <c r="HB546" s="72"/>
      <c r="HC546"/>
      <c r="HD546"/>
      <c r="HE546"/>
      <c r="HF546"/>
      <c r="HG546"/>
      <c r="HH546"/>
      <c r="HI546" s="2"/>
    </row>
    <row r="547" spans="1:217" s="78" customFormat="1" ht="12.75" customHeight="1" x14ac:dyDescent="0.2">
      <c r="A547" s="3"/>
      <c r="B547" s="89"/>
      <c r="C547" s="160"/>
      <c r="D547" s="161"/>
      <c r="E547" s="160"/>
      <c r="F547" s="161"/>
      <c r="G547" s="160"/>
      <c r="H547" s="172"/>
      <c r="I547" s="160"/>
      <c r="J547" s="161"/>
      <c r="K547" s="160"/>
      <c r="L547" s="72"/>
      <c r="M547" s="160"/>
      <c r="N547" s="72"/>
      <c r="O547" s="160"/>
      <c r="P547" s="72"/>
      <c r="Q547" s="160"/>
      <c r="R547" s="72"/>
      <c r="S547" s="160"/>
      <c r="T547" s="72"/>
      <c r="U547" s="160"/>
      <c r="V547" s="72"/>
      <c r="W547" s="160"/>
      <c r="X547" s="72"/>
      <c r="Y547" s="160"/>
      <c r="Z547" s="72"/>
      <c r="AA547" s="160"/>
      <c r="AB547" s="72"/>
      <c r="AC547" s="160"/>
      <c r="AD547" s="72"/>
      <c r="AE547" s="160"/>
      <c r="AF547" s="72"/>
      <c r="AG547" s="160"/>
      <c r="AH547" s="72"/>
      <c r="AI547" s="160"/>
      <c r="AJ547" s="72"/>
      <c r="AK547" s="160"/>
      <c r="AL547" s="72"/>
      <c r="AM547" s="160"/>
      <c r="AN547" s="72"/>
      <c r="AO547" s="160"/>
      <c r="AP547" s="72"/>
      <c r="AQ547" s="160"/>
      <c r="AR547" s="72"/>
      <c r="AS547" s="160"/>
      <c r="AT547" s="72"/>
      <c r="AU547" s="160"/>
      <c r="AV547" s="72"/>
      <c r="AW547" s="160"/>
      <c r="AX547" s="72"/>
      <c r="AY547" s="160"/>
      <c r="AZ547" s="72"/>
      <c r="BA547" s="160"/>
      <c r="BB547" s="72"/>
      <c r="BC547" s="160"/>
      <c r="BD547" s="72"/>
      <c r="BE547" s="160"/>
      <c r="BF547" s="72"/>
      <c r="BG547" s="160"/>
      <c r="BH547" s="72"/>
      <c r="BI547" s="160"/>
      <c r="BJ547" s="72"/>
      <c r="BK547" s="160"/>
      <c r="BL547" s="72"/>
      <c r="BM547" s="160"/>
      <c r="BN547" s="72"/>
      <c r="BO547" s="160"/>
      <c r="BP547" s="72"/>
      <c r="BQ547" s="160"/>
      <c r="BR547" s="72"/>
      <c r="BS547" s="160"/>
      <c r="BT547" s="72"/>
      <c r="BU547" s="160"/>
      <c r="BV547" s="72"/>
      <c r="BW547" s="160"/>
      <c r="BX547" s="72"/>
      <c r="BY547" s="160"/>
      <c r="BZ547" s="72"/>
      <c r="CA547" s="160"/>
      <c r="CB547" s="72"/>
      <c r="CC547" s="160"/>
      <c r="CD547" s="72"/>
      <c r="CE547" s="160"/>
      <c r="CF547" s="72"/>
      <c r="CG547" s="160"/>
      <c r="CH547" s="72"/>
      <c r="CI547" s="160"/>
      <c r="CJ547" s="72"/>
      <c r="CK547" s="160"/>
      <c r="CL547" s="72"/>
      <c r="CM547" s="160"/>
      <c r="CN547" s="72"/>
      <c r="CO547" s="160"/>
      <c r="CP547" s="72"/>
      <c r="CQ547" s="160"/>
      <c r="CR547" s="72"/>
      <c r="CS547" s="160"/>
      <c r="CT547" s="72"/>
      <c r="CU547" s="160"/>
      <c r="CV547" s="72"/>
      <c r="CW547" s="160"/>
      <c r="CX547" s="72"/>
      <c r="CY547" s="160"/>
      <c r="CZ547" s="72"/>
      <c r="DA547" s="160"/>
      <c r="DB547" s="72"/>
      <c r="DC547" s="160"/>
      <c r="DD547" s="72"/>
      <c r="DE547" s="160"/>
      <c r="DF547" s="72"/>
      <c r="DG547" s="160"/>
      <c r="DH547" s="72"/>
      <c r="DI547" s="160"/>
      <c r="DJ547" s="72"/>
      <c r="DK547" s="160"/>
      <c r="DL547" s="72"/>
      <c r="DM547" s="160"/>
      <c r="DN547" s="72"/>
      <c r="DO547" s="160"/>
      <c r="DP547" s="72"/>
      <c r="DQ547" s="160"/>
      <c r="DR547" s="72"/>
      <c r="DS547" s="160"/>
      <c r="DT547" s="72"/>
      <c r="DU547" s="160"/>
      <c r="DV547" s="72"/>
      <c r="DW547" s="160"/>
      <c r="DX547" s="72"/>
      <c r="DY547" s="160"/>
      <c r="DZ547" s="72"/>
      <c r="EA547" s="160"/>
      <c r="EB547" s="72"/>
      <c r="EC547" s="160"/>
      <c r="ED547" s="72"/>
      <c r="EE547" s="160"/>
      <c r="EF547" s="72"/>
      <c r="EG547" s="160"/>
      <c r="EH547" s="72"/>
      <c r="EI547" s="160"/>
      <c r="EJ547" s="72"/>
      <c r="EK547" s="160"/>
      <c r="EL547" s="72"/>
      <c r="EM547" s="160"/>
      <c r="EN547" s="72"/>
      <c r="EO547" s="160"/>
      <c r="EP547" s="72"/>
      <c r="EQ547" s="160"/>
      <c r="ER547" s="72"/>
      <c r="ES547" s="160"/>
      <c r="ET547" s="72"/>
      <c r="EU547" s="160"/>
      <c r="EV547" s="72"/>
      <c r="EW547" s="160"/>
      <c r="EX547" s="72"/>
      <c r="EY547" s="72"/>
      <c r="EZ547" s="332"/>
      <c r="FA547" s="72"/>
      <c r="FB547" s="160"/>
      <c r="FC547" s="161"/>
      <c r="FD547" s="160"/>
      <c r="FE547" s="72"/>
      <c r="FF547" s="160"/>
      <c r="FG547" s="72"/>
      <c r="FH547" s="160"/>
      <c r="FI547" s="72"/>
      <c r="FJ547" s="160"/>
      <c r="FK547" s="72"/>
      <c r="FL547" s="160"/>
      <c r="FM547" s="72"/>
      <c r="FN547" s="160"/>
      <c r="FO547" s="72"/>
      <c r="FP547" s="160"/>
      <c r="FQ547" s="72"/>
      <c r="FR547" s="160"/>
      <c r="FS547" s="72"/>
      <c r="FT547" s="160"/>
      <c r="FU547" s="72"/>
      <c r="FV547" s="160"/>
      <c r="FW547" s="72"/>
      <c r="FX547" s="160"/>
      <c r="FY547" s="72"/>
      <c r="FZ547" s="160"/>
      <c r="GA547" s="72"/>
      <c r="GB547" s="160"/>
      <c r="GC547" s="72"/>
      <c r="GD547" s="160"/>
      <c r="GE547" s="72"/>
      <c r="GF547" s="160"/>
      <c r="GG547" s="72"/>
      <c r="GH547" s="160"/>
      <c r="GI547" s="72"/>
      <c r="GJ547" s="160"/>
      <c r="GK547" s="72"/>
      <c r="GL547" s="160"/>
      <c r="GM547" s="72"/>
      <c r="GN547" s="160"/>
      <c r="GO547" s="72"/>
      <c r="GP547" s="160"/>
      <c r="GQ547" s="72"/>
      <c r="GR547" s="160"/>
      <c r="GS547" s="72"/>
      <c r="GT547" s="160"/>
      <c r="GU547" s="72"/>
      <c r="GV547" s="160"/>
      <c r="GW547" s="72"/>
      <c r="GX547" s="160"/>
      <c r="GY547" s="72"/>
      <c r="GZ547" s="72"/>
      <c r="HA547" s="72"/>
      <c r="HB547" s="72"/>
      <c r="HC547"/>
      <c r="HD547"/>
      <c r="HE547"/>
      <c r="HF547"/>
      <c r="HG547"/>
      <c r="HH547"/>
      <c r="HI547" s="2"/>
    </row>
    <row r="548" spans="1:217" s="78" customFormat="1" ht="12.75" customHeight="1" x14ac:dyDescent="0.2">
      <c r="A548" s="3"/>
      <c r="B548" s="368" t="s">
        <v>632</v>
      </c>
      <c r="C548" s="160"/>
      <c r="D548" s="161"/>
      <c r="E548" s="160"/>
      <c r="F548" s="161"/>
      <c r="G548" s="160"/>
      <c r="H548" s="172"/>
      <c r="I548" s="160"/>
      <c r="J548" s="161"/>
      <c r="K548" s="160"/>
      <c r="L548" s="72"/>
      <c r="M548" s="160"/>
      <c r="N548" s="72"/>
      <c r="O548" s="160"/>
      <c r="P548" s="72"/>
      <c r="Q548" s="160"/>
      <c r="R548" s="72"/>
      <c r="S548" s="160"/>
      <c r="T548" s="72"/>
      <c r="U548" s="160"/>
      <c r="V548" s="72"/>
      <c r="W548" s="160"/>
      <c r="X548" s="72"/>
      <c r="Y548" s="160"/>
      <c r="Z548" s="72"/>
      <c r="AA548" s="160"/>
      <c r="AB548" s="72"/>
      <c r="AC548" s="160"/>
      <c r="AD548" s="72"/>
      <c r="AE548" s="160"/>
      <c r="AF548" s="72"/>
      <c r="AG548" s="160"/>
      <c r="AH548" s="72"/>
      <c r="AI548" s="160"/>
      <c r="AJ548" s="72"/>
      <c r="AK548" s="160"/>
      <c r="AL548" s="72"/>
      <c r="AM548" s="160"/>
      <c r="AN548" s="72"/>
      <c r="AO548" s="160"/>
      <c r="AP548" s="72"/>
      <c r="AQ548" s="160"/>
      <c r="AR548" s="72"/>
      <c r="AS548" s="160"/>
      <c r="AT548" s="72"/>
      <c r="AU548" s="160"/>
      <c r="AV548" s="72"/>
      <c r="AW548" s="160"/>
      <c r="AX548" s="72"/>
      <c r="AY548" s="160"/>
      <c r="AZ548" s="72"/>
      <c r="BA548" s="160"/>
      <c r="BB548" s="72"/>
      <c r="BC548" s="160"/>
      <c r="BD548" s="72"/>
      <c r="BE548" s="160"/>
      <c r="BF548" s="72"/>
      <c r="BG548" s="160"/>
      <c r="BH548" s="72"/>
      <c r="BI548" s="160"/>
      <c r="BJ548" s="72"/>
      <c r="BK548" s="160"/>
      <c r="BL548" s="72"/>
      <c r="BM548" s="160"/>
      <c r="BN548" s="72"/>
      <c r="BO548" s="160"/>
      <c r="BP548" s="72"/>
      <c r="BQ548" s="160"/>
      <c r="BR548" s="72"/>
      <c r="BS548" s="160"/>
      <c r="BT548" s="72"/>
      <c r="BU548" s="160"/>
      <c r="BV548" s="72"/>
      <c r="BW548" s="160"/>
      <c r="BX548" s="72"/>
      <c r="BY548" s="160"/>
      <c r="BZ548" s="72"/>
      <c r="CA548" s="160"/>
      <c r="CB548" s="72"/>
      <c r="CC548" s="160"/>
      <c r="CD548" s="72"/>
      <c r="CE548" s="160"/>
      <c r="CF548" s="72"/>
      <c r="CG548" s="160"/>
      <c r="CH548" s="72"/>
      <c r="CI548" s="160"/>
      <c r="CJ548" s="72"/>
      <c r="CK548" s="160"/>
      <c r="CL548" s="72"/>
      <c r="CM548" s="160"/>
      <c r="CN548" s="72"/>
      <c r="CO548" s="160"/>
      <c r="CP548" s="72"/>
      <c r="CQ548" s="160"/>
      <c r="CR548" s="72"/>
      <c r="CS548" s="160"/>
      <c r="CT548" s="72"/>
      <c r="CU548" s="160"/>
      <c r="CV548" s="72"/>
      <c r="CW548" s="160"/>
      <c r="CX548" s="72"/>
      <c r="CY548" s="160"/>
      <c r="CZ548" s="72"/>
      <c r="DA548" s="160"/>
      <c r="DB548" s="72"/>
      <c r="DC548" s="160"/>
      <c r="DD548" s="72"/>
      <c r="DE548" s="160"/>
      <c r="DF548" s="72"/>
      <c r="DG548" s="160"/>
      <c r="DH548" s="72"/>
      <c r="DI548" s="160"/>
      <c r="DJ548" s="72"/>
      <c r="DK548" s="160"/>
      <c r="DL548" s="72"/>
      <c r="DM548" s="160"/>
      <c r="DN548" s="72"/>
      <c r="DO548" s="160"/>
      <c r="DP548" s="72"/>
      <c r="DQ548" s="160"/>
      <c r="DR548" s="72"/>
      <c r="DS548" s="160"/>
      <c r="DT548" s="72"/>
      <c r="DU548" s="160"/>
      <c r="DV548" s="72"/>
      <c r="DW548" s="160"/>
      <c r="DX548" s="72"/>
      <c r="DY548" s="160"/>
      <c r="DZ548" s="72"/>
      <c r="EA548" s="160"/>
      <c r="EB548" s="72"/>
      <c r="EC548" s="160"/>
      <c r="ED548" s="72"/>
      <c r="EE548" s="160"/>
      <c r="EF548" s="72"/>
      <c r="EG548" s="160"/>
      <c r="EH548" s="72"/>
      <c r="EI548" s="160"/>
      <c r="EJ548" s="72"/>
      <c r="EK548" s="160"/>
      <c r="EL548" s="72"/>
      <c r="EM548" s="160"/>
      <c r="EN548" s="72"/>
      <c r="EO548" s="160"/>
      <c r="EP548" s="72"/>
      <c r="EQ548" s="160"/>
      <c r="ER548" s="72"/>
      <c r="ES548" s="160"/>
      <c r="ET548" s="72"/>
      <c r="EU548" s="160"/>
      <c r="EV548" s="72"/>
      <c r="EW548" s="160"/>
      <c r="EX548" s="72"/>
      <c r="EY548" s="72"/>
      <c r="EZ548" s="332"/>
      <c r="FA548" s="72"/>
      <c r="FB548" s="160"/>
      <c r="FC548" s="161"/>
      <c r="FD548" s="160"/>
      <c r="FE548" s="72"/>
      <c r="FF548" s="160"/>
      <c r="FG548" s="72"/>
      <c r="FH548" s="160"/>
      <c r="FI548" s="72"/>
      <c r="FJ548" s="160"/>
      <c r="FK548" s="72"/>
      <c r="FL548" s="160"/>
      <c r="FM548" s="72"/>
      <c r="FN548" s="160"/>
      <c r="FO548" s="72"/>
      <c r="FP548" s="160"/>
      <c r="FQ548" s="72"/>
      <c r="FR548" s="160"/>
      <c r="FS548" s="72"/>
      <c r="FT548" s="160"/>
      <c r="FU548" s="72"/>
      <c r="FV548" s="160"/>
      <c r="FW548" s="72"/>
      <c r="FX548" s="160"/>
      <c r="FY548" s="72"/>
      <c r="FZ548" s="160"/>
      <c r="GA548" s="72"/>
      <c r="GB548" s="160"/>
      <c r="GC548" s="72"/>
      <c r="GD548" s="160"/>
      <c r="GE548" s="72"/>
      <c r="GF548" s="160"/>
      <c r="GG548" s="72"/>
      <c r="GH548" s="160"/>
      <c r="GI548" s="72"/>
      <c r="GJ548" s="160"/>
      <c r="GK548" s="72"/>
      <c r="GL548" s="160"/>
      <c r="GM548" s="72"/>
      <c r="GN548" s="160"/>
      <c r="GO548" s="72"/>
      <c r="GP548" s="160"/>
      <c r="GQ548" s="72"/>
      <c r="GR548" s="160"/>
      <c r="GS548" s="72"/>
      <c r="GT548" s="160"/>
      <c r="GU548" s="72"/>
      <c r="GV548" s="160"/>
      <c r="GW548" s="72"/>
      <c r="GX548" s="160"/>
      <c r="GY548" s="72"/>
      <c r="GZ548" s="72"/>
      <c r="HA548" s="72"/>
      <c r="HB548" s="72"/>
      <c r="HC548"/>
      <c r="HD548"/>
      <c r="HE548"/>
      <c r="HF548"/>
      <c r="HG548"/>
      <c r="HH548"/>
      <c r="HI548" s="2"/>
    </row>
    <row r="549" spans="1:217" s="78" customFormat="1" ht="12.75" customHeight="1" x14ac:dyDescent="0.2">
      <c r="A549" s="3"/>
      <c r="B549" s="89" t="s">
        <v>545</v>
      </c>
      <c r="C549" s="160"/>
      <c r="D549" s="161"/>
      <c r="E549" s="160"/>
      <c r="F549" s="161"/>
      <c r="G549" s="160"/>
      <c r="H549" s="172"/>
      <c r="I549" s="160"/>
      <c r="J549" s="161"/>
      <c r="K549" s="160"/>
      <c r="L549" s="72"/>
      <c r="M549" s="160"/>
      <c r="N549" s="72"/>
      <c r="O549" s="160"/>
      <c r="P549" s="72"/>
      <c r="Q549" s="160"/>
      <c r="R549" s="72"/>
      <c r="S549" s="160"/>
      <c r="T549" s="72"/>
      <c r="U549" s="160"/>
      <c r="V549" s="72"/>
      <c r="W549" s="160"/>
      <c r="X549" s="72"/>
      <c r="Y549" s="160"/>
      <c r="Z549" s="72"/>
      <c r="AA549" s="160"/>
      <c r="AB549" s="72"/>
      <c r="AC549" s="160"/>
      <c r="AD549" s="72"/>
      <c r="AE549" s="160"/>
      <c r="AF549" s="72"/>
      <c r="AG549" s="160"/>
      <c r="AH549" s="72"/>
      <c r="AI549" s="160"/>
      <c r="AJ549" s="72"/>
      <c r="AK549" s="160"/>
      <c r="AL549" s="72"/>
      <c r="AM549" s="160"/>
      <c r="AN549" s="72"/>
      <c r="AO549" s="160"/>
      <c r="AP549" s="72"/>
      <c r="AQ549" s="160"/>
      <c r="AR549" s="72"/>
      <c r="AS549" s="160"/>
      <c r="AT549" s="72"/>
      <c r="AU549" s="160"/>
      <c r="AV549" s="72"/>
      <c r="AW549" s="160"/>
      <c r="AX549" s="72"/>
      <c r="AY549" s="160">
        <f>AY533+AY534+AY425</f>
        <v>854</v>
      </c>
      <c r="AZ549" s="72" t="str">
        <f>IF(ISERROR(AY549/AQ549),"NA",IF(OR(AY549/AQ549&gt;2,AY549/AQ549&lt;0.5),"NM",AY549/AQ549*100-100))</f>
        <v>NA</v>
      </c>
      <c r="BA549" s="160">
        <f>BA533+BA534+BA425</f>
        <v>922</v>
      </c>
      <c r="BB549" s="72" t="str">
        <f>IF(ISERROR(BA549/AS549),"NA",IF(OR(BA549/AS549&gt;2,BA549/AS549&lt;0.5),"NM",BA549/AS549*100-100))</f>
        <v>NA</v>
      </c>
      <c r="BC549" s="160">
        <f>BC533+BC534+BC425</f>
        <v>1106</v>
      </c>
      <c r="BD549" s="72" t="str">
        <f>IF(ISERROR(BC549/AU549),"NA",IF(OR(BC549/AU549&gt;2,BC549/AU549&lt;0.5),"NM",BC549/AU549*100-100))</f>
        <v>NA</v>
      </c>
      <c r="BE549" s="160">
        <f>BE533+BE534+BE425</f>
        <v>1021</v>
      </c>
      <c r="BF549" s="72" t="str">
        <f>IF(ISERROR(BE549/AW549),"NA",IF(OR(BE549/AW549&gt;2,BE549/AW549&lt;0.5),"NM",BE549/AW549*100-100))</f>
        <v>NA</v>
      </c>
      <c r="BG549" s="160">
        <f>BG533+BG534+BG425</f>
        <v>1097.5999999999999</v>
      </c>
      <c r="BH549" s="72">
        <f>IF(ISERROR(BG549/AY549),"NA",IF(OR(BG549/AY549&gt;2,BG549/AY549&lt;0.5),"NM",BG549/AY549*100-100))</f>
        <v>28.524590163934391</v>
      </c>
      <c r="BI549" s="160">
        <f>BI533+BI534+BI425</f>
        <v>1121</v>
      </c>
      <c r="BJ549" s="72">
        <f>IF(ISERROR(BI549/BA549),"NA",IF(OR(BI549/BA549&gt;2,BI549/BA549&lt;0.5),"NM",BI549/BA549*100-100))</f>
        <v>21.583514099783073</v>
      </c>
      <c r="BK549" s="160">
        <f>BK533+BK534+BK425</f>
        <v>1295</v>
      </c>
      <c r="BL549" s="72">
        <f>IF(ISERROR(BK549/BC549),"NA",IF(OR(BK549/BC549&gt;2,BK549/BC549&lt;0.5),"NM",BK549/BC549*100-100))</f>
        <v>17.088607594936718</v>
      </c>
      <c r="BM549" s="160">
        <f>BM533+BM534+BM425</f>
        <v>1024</v>
      </c>
      <c r="BN549" s="72">
        <f>IF(ISERROR(BM549/BE549),"NA",IF(OR(BM549/BE549&gt;2,BM549/BE549&lt;0.5),"NM",BM549/BE549*100-100))</f>
        <v>0.2938295788442673</v>
      </c>
      <c r="BO549" s="160">
        <f>BO533+BO534+BO425</f>
        <v>913</v>
      </c>
      <c r="BP549" s="72">
        <f>IF(ISERROR(BO549/BG549),"NA",IF(OR(BO549/BG549&gt;2,BO549/BG549&lt;0.5),"NM",BO549/BG549*100-100))</f>
        <v>-16.81851311953352</v>
      </c>
      <c r="BQ549" s="160">
        <f>BQ533+BQ534+BQ425</f>
        <v>1114</v>
      </c>
      <c r="BR549" s="72">
        <f>IF(ISERROR(BQ549/BI549),"NA",IF(OR(BQ549/BI549&gt;2,BQ549/BI549&lt;0.5),"NM",BQ549/BI549*100-100))</f>
        <v>-0.62444246208742982</v>
      </c>
      <c r="BS549" s="160">
        <f>BS533+BS534+BS425</f>
        <v>604</v>
      </c>
      <c r="BT549" s="72" t="str">
        <f>IF(ISERROR(BS549/BK549),"NA",IF(OR(BS549/BK549&gt;2,BS549/BK549&lt;0.5),"NM",BS549/BK549*100-100))</f>
        <v>NM</v>
      </c>
      <c r="BU549" s="160">
        <f>BU533+BU534+BU425</f>
        <v>-1182</v>
      </c>
      <c r="BV549" s="72" t="str">
        <f>IF(ISERROR(BU549/BM549),"NA",IF(OR(BU549/BM549&gt;2,BU549/BM549&lt;0.5),"NM",BU549/BM549*100-100))</f>
        <v>NM</v>
      </c>
      <c r="BW549" s="160">
        <f>BW533+BW534+BW425</f>
        <v>245</v>
      </c>
      <c r="BX549" s="72" t="str">
        <f>IF(ISERROR(BW549/BO549),"NA",IF(OR(BW549/BO549&gt;2,BW549/BO549&lt;0.5),"NM",BW549/BO549*100-100))</f>
        <v>NM</v>
      </c>
      <c r="BY549" s="160">
        <f>BY533+BY534+BY425</f>
        <v>1167</v>
      </c>
      <c r="BZ549" s="72">
        <f>IF(ISERROR(BY549/BQ549),"NA",IF(OR(BY549/BQ549&gt;2,BY549/BQ549&lt;0.5),"NM",BY549/BQ549*100-100))</f>
        <v>4.7576301615798826</v>
      </c>
      <c r="CA549" s="160">
        <f>CA533+CA534+CA425</f>
        <v>1066</v>
      </c>
      <c r="CB549" s="72">
        <f>IF(ISERROR(CA549/BS549),"NA",IF(OR(CA549/BS549&gt;2,CA549/BS549&lt;0.5),"NM",CA549/BS549*100-100))</f>
        <v>76.490066225165577</v>
      </c>
      <c r="CC549" s="160">
        <f>CC533+CC534+CC425</f>
        <v>765</v>
      </c>
      <c r="CD549" s="72" t="str">
        <f>IF(ISERROR(CC549/BU549),"NA",IF(OR(CC549/BU549&gt;2,CC549/BU549&lt;0.5),"NM",CC549/BU549*100-100))</f>
        <v>NM</v>
      </c>
      <c r="CE549" s="160">
        <f>CE533+CE534+CE425</f>
        <v>856</v>
      </c>
      <c r="CF549" s="72" t="str">
        <f>IF(ISERROR(CE549/BW549),"NA",IF(OR(CE549/BW549&gt;2,CE549/BW549&lt;0.5),"NM",CE549/BW549*100-100))</f>
        <v>NM</v>
      </c>
      <c r="CG549" s="160">
        <f>CG533+CG534+CG425</f>
        <v>490</v>
      </c>
      <c r="CH549" s="72" t="str">
        <f>IF(ISERROR(CG549/BY549),"NA",IF(OR(CG549/BY549&gt;2,CG549/BY549&lt;0.5),"NM",CG549/BY549*100-100))</f>
        <v>NM</v>
      </c>
      <c r="CI549" s="160">
        <f>CI533+CI534+CI425</f>
        <v>1232</v>
      </c>
      <c r="CJ549" s="72">
        <f>IF(ISERROR(CI549/CA549),"NA",IF(OR(CI549/CA549&gt;2,CI549/CA549&lt;0.5),"NM",CI549/CA549*100-100))</f>
        <v>15.572232645403375</v>
      </c>
      <c r="CK549" s="160">
        <f>CK533+CK534+CK425</f>
        <v>1084</v>
      </c>
      <c r="CL549" s="72">
        <f>IF(ISERROR(CK549/CC549),"NA",IF(OR(CK549/CC549&gt;2,CK549/CC549&lt;0.5),"NM",CK549/CC549*100-100))</f>
        <v>41.699346405228766</v>
      </c>
      <c r="CM549" s="160">
        <f>CM533+CM534+CM425</f>
        <v>1096</v>
      </c>
      <c r="CN549" s="72">
        <f>IF(ISERROR(CM549/CE549),"NA",IF(OR(CM549/CE549&gt;2,CM549/CE549&lt;0.5),"NM",CM549/CE549*100-100))</f>
        <v>28.037383177570092</v>
      </c>
      <c r="CO549" s="160">
        <f>CO533+CO534+CO425</f>
        <v>1052</v>
      </c>
      <c r="CP549" s="72" t="str">
        <f>IF(ISERROR(CO549/CG549),"NA",IF(OR(CO549/CG549&gt;2,CO549/CG549&lt;0.5),"NM",CO549/CG549*100-100))</f>
        <v>NM</v>
      </c>
      <c r="CQ549" s="160">
        <f>CQ533+CQ534+CQ425</f>
        <v>509</v>
      </c>
      <c r="CR549" s="72" t="str">
        <f>IF(ISERROR(CQ549/CI549),"NA",IF(OR(CQ549/CI549&gt;2,CQ549/CI549&lt;0.5),"NM",CQ549/CI549*100-100))</f>
        <v>NM</v>
      </c>
      <c r="CS549" s="160">
        <f>CS533+CS534+CS425</f>
        <v>1166</v>
      </c>
      <c r="CT549" s="72">
        <f>IF(ISERROR(CS549/CK549),"NA",IF(OR(CS549/CK549&gt;2,CS549/CK549&lt;0.5),"NM",CS549/CK549*100-100))</f>
        <v>7.5645756457564488</v>
      </c>
      <c r="CU549" s="160">
        <f>CU533+CU534+CU425</f>
        <v>1067</v>
      </c>
      <c r="CV549" s="72">
        <f>IF(ISERROR(CU549/CM549),"NA",IF(OR(CU549/CM549&gt;2,CU549/CM549&lt;0.5),"NM",CU549/CM549*100-100))</f>
        <v>-2.6459854014598534</v>
      </c>
      <c r="CW549" s="160">
        <f>CW533+CW534+CW425</f>
        <v>856</v>
      </c>
      <c r="CX549" s="72">
        <f>IF(ISERROR(CW549/CO549),"NA",IF(OR(CW549/CO549&gt;2,CW549/CO549&lt;0.5),"NM",CW549/CO549*100-100))</f>
        <v>-18.631178707224336</v>
      </c>
      <c r="CY549" s="160">
        <f>CY533+CY534+CY425</f>
        <v>1029</v>
      </c>
      <c r="CZ549" s="72" t="str">
        <f>IF(ISERROR(CY549/CQ549),"NA",IF(OR(CY549/CQ549&gt;2,CY549/CQ549&lt;0.5),"NM",CY549/CQ549*100-100))</f>
        <v>NM</v>
      </c>
      <c r="DA549" s="160">
        <f>DA533+DA534+DA425</f>
        <v>1076</v>
      </c>
      <c r="DB549" s="72">
        <f>IF(ISERROR(DA549/CS549),"NA",IF(OR(DA549/CS549&gt;2,DA549/CS549&lt;0.5),"NM",DA549/CS549*100-100))</f>
        <v>-7.7186963979416845</v>
      </c>
      <c r="DC549" s="160">
        <f>DC533+DC534+DC425</f>
        <v>1478</v>
      </c>
      <c r="DD549" s="72">
        <f>IF(ISERROR(DC549/CU549),"NA",IF(OR(DC549/CU549&gt;2,DC549/CU549&lt;0.5),"NM",DC549/CU549*100-100))</f>
        <v>38.519212746016876</v>
      </c>
      <c r="DE549" s="160">
        <f>DE533+DE534+DE425</f>
        <v>1517</v>
      </c>
      <c r="DF549" s="72">
        <f>IF(ISERROR(DE549/CW549),"NA",IF(OR(DE549/CW549&gt;2,DE549/CW549&lt;0.5),"NM",DE549/CW549*100-100))</f>
        <v>77.219626168224295</v>
      </c>
      <c r="DG549" s="160">
        <f>DG533+DG534+DG425</f>
        <v>1913</v>
      </c>
      <c r="DH549" s="72">
        <f>IF(ISERROR(DG549/CY549),"NA",IF(OR(DG549/CY549&gt;2,DG549/CY549&lt;0.5),"NM",DG549/CY549*100-100))</f>
        <v>85.908649173955297</v>
      </c>
      <c r="DI549" s="160">
        <f>DI533+DI534+DI425</f>
        <v>1461</v>
      </c>
      <c r="DJ549" s="72">
        <f>IF(ISERROR(DI549/DA549),"NA",IF(OR(DI549/DA549&gt;2,DI549/DA549&lt;0.5),"NM",DI549/DA549*100-100))</f>
        <v>35.780669144981402</v>
      </c>
      <c r="DK549" s="160">
        <f>DK533+DK534+DK425</f>
        <v>1571</v>
      </c>
      <c r="DL549" s="72">
        <f>IF(ISERROR(DK549/DC549),"NA",IF(OR(DK549/DC549&gt;2,DK549/DC549&lt;0.5),"NM",DK549/DC549*100-100))</f>
        <v>6.2922868741542572</v>
      </c>
      <c r="DM549" s="160">
        <f>DM533+DM534+DM425</f>
        <v>1623</v>
      </c>
      <c r="DN549" s="72">
        <f t="shared" ref="DN549:DZ552" si="2630">IF(ISERROR(DM549/DE549),"NA",IF(OR(DM549/DE549&gt;2,DM549/DE549&lt;0.5),"NM",DM549/DE549*100-100))</f>
        <v>6.9874752801582218</v>
      </c>
      <c r="DO549" s="160">
        <f>DO533+DO534+DO425</f>
        <v>1353</v>
      </c>
      <c r="DP549" s="72">
        <f t="shared" si="2630"/>
        <v>-29.273392577104033</v>
      </c>
      <c r="DQ549" s="160">
        <f>DQ533+DQ534+DQ425</f>
        <v>1345</v>
      </c>
      <c r="DR549" s="72">
        <f t="shared" si="2630"/>
        <v>-7.9397672826830927</v>
      </c>
      <c r="DS549" s="160">
        <f>DS533+DS534+DS425</f>
        <v>1745</v>
      </c>
      <c r="DT549" s="72">
        <f t="shared" si="2630"/>
        <v>11.075747931253986</v>
      </c>
      <c r="DU549" s="160">
        <f>DU533+DU534+DU425</f>
        <v>1841</v>
      </c>
      <c r="DV549" s="72">
        <f t="shared" si="2630"/>
        <v>13.431916204559457</v>
      </c>
      <c r="DW549" s="160">
        <f>DW533+DW534+DW425</f>
        <v>1463</v>
      </c>
      <c r="DX549" s="72">
        <f t="shared" si="2630"/>
        <v>8.1300813008130035</v>
      </c>
      <c r="DY549" s="160">
        <f>DY533+DY534+DY425</f>
        <v>1182</v>
      </c>
      <c r="DZ549" s="72">
        <f t="shared" si="2630"/>
        <v>-12.118959107806688</v>
      </c>
      <c r="EA549" s="160">
        <f>EA533+EA534+EA425</f>
        <v>1325</v>
      </c>
      <c r="EB549" s="72">
        <f>IF(ISERROR(EA549/DS549),"NA",IF(OR(EA549/DS549&gt;2,EA549/DS549&lt;0.5),"NM",EA549/DS549*100-100))</f>
        <v>-24.068767908309454</v>
      </c>
      <c r="EC549" s="160">
        <f>EC533+EC534+EC425</f>
        <v>1057</v>
      </c>
      <c r="ED549" s="72">
        <f>IF(ISERROR(EC549/DU549),"NA",IF(OR(EC549/DU549&gt;2,EC549/DU549&lt;0.5),"NM",EC549/DU549*100-100))</f>
        <v>-42.585551330798474</v>
      </c>
      <c r="EE549" s="160">
        <f>EE533+EE534+EE425</f>
        <v>1558</v>
      </c>
      <c r="EF549" s="72">
        <f>IF(ISERROR(EE549/DW549),"NA",IF(OR(EE549/DW549&gt;2,EE549/DW549&lt;0.5),"NM",EE549/DW549*100-100))</f>
        <v>6.4935064935064872</v>
      </c>
      <c r="EG549" s="160">
        <f>EG533+EG534+EG425</f>
        <v>1459</v>
      </c>
      <c r="EH549" s="72">
        <f>IF(ISERROR(EG549/DY549),"NA",IF(OR(EG549/DY549&gt;2,EG549/DY549&lt;0.5),"NM",EG549/DY549*100-100))</f>
        <v>23.434856175972925</v>
      </c>
      <c r="EI549" s="160">
        <f>EI533+EI534+EI425</f>
        <v>1660</v>
      </c>
      <c r="EJ549" s="72">
        <f>IF(ISERROR(EI549/EA549),"NA",IF(OR(EI549/EA549&gt;2,EI549/EA549&lt;0.5),"NM",EI549/EA549*100-100))</f>
        <v>25.283018867924525</v>
      </c>
      <c r="EK549" s="160">
        <f>EK533+EK534+EK425</f>
        <v>1228</v>
      </c>
      <c r="EL549" s="72">
        <f>IF(ISERROR(EK549/EC549),"NA",IF(OR(EK549/EC549&gt;2,EK549/EC549&lt;0.5),"NM",EK549/EC549*100-100))</f>
        <v>16.177861873226121</v>
      </c>
      <c r="EM549" s="160">
        <f>EM533+EM534+EM425</f>
        <v>1784</v>
      </c>
      <c r="EN549" s="72">
        <f>IF(ISERROR(EM549/EE549),"NA",IF(OR(EM549/EE549&gt;2,EM549/EE549&lt;0.5),"NM",EM549/EE549*100-100))</f>
        <v>14.505776636713733</v>
      </c>
      <c r="EO549" s="160">
        <f>EO533+EO534+EO425</f>
        <v>1572</v>
      </c>
      <c r="EP549" s="72">
        <f>IF(ISERROR(EO549/EG549),"NA",IF(OR(EO549/EG549&gt;2,EO549/EG549&lt;0.5),"NM",EO549/EG549*100-100))</f>
        <v>7.7450308430431818</v>
      </c>
      <c r="EQ549" s="160">
        <f>EQ533+EQ534+EQ425</f>
        <v>1714.94101971797</v>
      </c>
      <c r="ER549" s="72">
        <f t="shared" ref="ER549:ER552" si="2631">IF(ISERROR(EQ549/EI549),"NA",IF(OR(EQ549/EI549&gt;2,EQ549/EI549&lt;0.5),"NM",EQ549/EI549*100-100))</f>
        <v>3.3096999830102476</v>
      </c>
      <c r="ES549" s="160">
        <f>ES533+ES534+ES425</f>
        <v>1724.30578930712</v>
      </c>
      <c r="ET549" s="72">
        <f t="shared" ref="ET549:ET552" si="2632">IF(ISERROR(ES549/EK549),"NA",IF(OR(ES549/EK549&gt;2,ES549/EK549&lt;0.5),"NM",ES549/EK549*100-100))</f>
        <v>40.415780888201937</v>
      </c>
      <c r="EU549" s="160">
        <f>EU533+EU534+EU425</f>
        <v>1704.9226454723339</v>
      </c>
      <c r="EV549" s="72">
        <f t="shared" ref="EV549:EV552" si="2633">IF(ISERROR(EU549/EM549),"NA",IF(OR(EU549/EM549&gt;2,EU549/EM549&lt;0.5),"NM",EU549/EM549*100-100))</f>
        <v>-4.4325871372010113</v>
      </c>
      <c r="EW549" s="160">
        <f>EW533+EW534+EW425</f>
        <v>1537.9404567817808</v>
      </c>
      <c r="EX549" s="72">
        <f t="shared" ref="EX549:EX552" si="2634">IF(ISERROR(EW549/EO549),"NA",IF(OR(EW549/EO549&gt;2,EW549/EO549&lt;0.5),"NM",EW549/EO549*100-100))</f>
        <v>-2.1666376093014748</v>
      </c>
      <c r="EY549" s="72"/>
      <c r="EZ549" s="332"/>
      <c r="FA549" s="72"/>
      <c r="FB549" s="160"/>
      <c r="FC549" s="161"/>
      <c r="FD549" s="737">
        <f>FD533+FD534+FD425</f>
        <v>1209</v>
      </c>
      <c r="FE549" s="72"/>
      <c r="FF549" s="737">
        <f>FF533+FF534+FF425</f>
        <v>1220</v>
      </c>
      <c r="FG549" s="72"/>
      <c r="FH549" s="737">
        <f>FH533+FH534+FH425</f>
        <v>1467</v>
      </c>
      <c r="FI549" s="72"/>
      <c r="FJ549" s="737">
        <f>FJ533+FJ534+FJ425</f>
        <v>1789</v>
      </c>
      <c r="FK549" s="72"/>
      <c r="FL549" s="737">
        <f>FL533+FL534+FL425</f>
        <v>2087</v>
      </c>
      <c r="FM549" s="72"/>
      <c r="FN549" s="737">
        <f>FN533+FN534+FN425</f>
        <v>2761</v>
      </c>
      <c r="FO549" s="72"/>
      <c r="FP549" s="737">
        <f>FP533+FP534+FP425</f>
        <v>3431</v>
      </c>
      <c r="FQ549" s="72"/>
      <c r="FR549" s="737">
        <f>FR533+FR534+FR425</f>
        <v>3903</v>
      </c>
      <c r="FS549" s="72">
        <f t="shared" ref="FS549:GG552" si="2635">IF(ISERROR(FR549/FP549),"NA",IF(OR(FR549/FP549&gt;2,FR549/FP549&lt;0.5),"NM",FR549/FP549*100-100))</f>
        <v>13.756922180122416</v>
      </c>
      <c r="FT549" s="737">
        <f>FT533+FT534+FT425</f>
        <v>4537.6000000000004</v>
      </c>
      <c r="FU549" s="72">
        <f t="shared" si="2635"/>
        <v>16.259287727389207</v>
      </c>
      <c r="FV549" s="737">
        <f>FV533+FV534+FV425</f>
        <v>1162</v>
      </c>
      <c r="FW549" s="72" t="str">
        <f t="shared" si="2635"/>
        <v>NM</v>
      </c>
      <c r="FX549" s="737">
        <f>FX533+FX534+FX425</f>
        <v>2950</v>
      </c>
      <c r="FY549" s="72" t="str">
        <f t="shared" si="2635"/>
        <v>NM</v>
      </c>
      <c r="FZ549" s="737">
        <f>FZ533+FZ534+FZ425</f>
        <v>3662</v>
      </c>
      <c r="GA549" s="72">
        <f t="shared" si="2635"/>
        <v>24.135593220338976</v>
      </c>
      <c r="GB549" s="737">
        <f>GB533+GB534+GB425</f>
        <v>3823</v>
      </c>
      <c r="GC549" s="72">
        <f t="shared" si="2635"/>
        <v>4.3965046422719922</v>
      </c>
      <c r="GD549" s="737">
        <f>GD533+GD534+GD425</f>
        <v>4028</v>
      </c>
      <c r="GE549" s="72">
        <f t="shared" si="2635"/>
        <v>5.3622809312058592</v>
      </c>
      <c r="GF549" s="737">
        <f>GF533+GF534+GF425</f>
        <v>6369</v>
      </c>
      <c r="GG549" s="72">
        <f t="shared" si="2635"/>
        <v>58.11817279046673</v>
      </c>
      <c r="GH549" s="737">
        <f>GH533+GH534+GH425</f>
        <v>5892</v>
      </c>
      <c r="GI549" s="72">
        <f t="shared" ref="GI549:GU552" si="2636">IF(ISERROR(GH549/GF549),"NA",IF(OR(GH549/GF549&gt;2,GH549/GF549&lt;0.5),"NM",GH549/GF549*100-100))</f>
        <v>-7.4894017899199241</v>
      </c>
      <c r="GJ549" s="737">
        <f>GJ533+GJ534+GJ425</f>
        <v>6231</v>
      </c>
      <c r="GK549" s="532">
        <f t="shared" si="2636"/>
        <v>5.7535641547861616</v>
      </c>
      <c r="GL549" s="737">
        <f>GL533+GL534+GL425</f>
        <v>5399</v>
      </c>
      <c r="GM549" s="532">
        <f t="shared" si="2636"/>
        <v>-13.35259187931311</v>
      </c>
      <c r="GN549" s="737">
        <f>GN533+GN534+GN425</f>
        <v>6244</v>
      </c>
      <c r="GO549" s="532">
        <f t="shared" si="2636"/>
        <v>15.651046490090749</v>
      </c>
      <c r="GP549" s="737">
        <f>GP533+GP534+GP425</f>
        <v>6682.1099112792044</v>
      </c>
      <c r="GQ549" s="532">
        <f t="shared" si="2636"/>
        <v>7.0164944151057682</v>
      </c>
      <c r="GR549" s="160">
        <f>GR533+GR534+GR425</f>
        <v>6763.3154899509773</v>
      </c>
      <c r="GS549" s="532">
        <f t="shared" si="2636"/>
        <v>1.215268526707419</v>
      </c>
      <c r="GT549" s="160">
        <f>GT533+GT534+GT425</f>
        <v>6833.5605709238998</v>
      </c>
      <c r="GU549" s="72">
        <f t="shared" si="2636"/>
        <v>1.0386190186942201</v>
      </c>
      <c r="GV549" s="160">
        <f>GV533+GV534+GV425</f>
        <v>6911.8040872976526</v>
      </c>
      <c r="GW549" s="72">
        <f>IF(ISERROR(GV549/GT549),"NA",IF(OR(GV549/GT549&gt;2,GV549/GT549&lt;0.5),"NM",GV549/GT549*100-100))</f>
        <v>1.1449889930978543</v>
      </c>
      <c r="GX549" s="160">
        <f>GX533+GX534+GX425</f>
        <v>6979.8482302145721</v>
      </c>
      <c r="GY549" s="72">
        <f>IF(ISERROR(GX549/GV549),"NA",IF(OR(GX549/GV549&gt;2,GX549/GV549&lt;0.5),"NM",GX549/GV549*100-100))</f>
        <v>0.98446284150284669</v>
      </c>
      <c r="GZ549" s="72">
        <f>IF(ISERROR(((GX549/GN549)^0.2-1)*100),"NA",IF((((GX549/GN549)^0.2-1)*100)&gt;100,"NM",IF((((GX549/GN549)^0.2-1)*100)&lt;-50,"NM",((GX549/GN549)^0.2-1)*100)))</f>
        <v>2.2531314682770365</v>
      </c>
      <c r="HA549" s="72"/>
      <c r="HB549" s="72"/>
      <c r="HC549"/>
      <c r="HD549"/>
      <c r="HE549"/>
      <c r="HF549"/>
      <c r="HG549"/>
      <c r="HH549"/>
      <c r="HI549" s="2"/>
    </row>
    <row r="550" spans="1:217" s="78" customFormat="1" ht="12.75" customHeight="1" x14ac:dyDescent="0.2">
      <c r="A550" s="3"/>
      <c r="B550" s="10" t="s">
        <v>324</v>
      </c>
      <c r="C550" s="160"/>
      <c r="D550" s="161"/>
      <c r="E550" s="160"/>
      <c r="F550" s="161"/>
      <c r="G550" s="160"/>
      <c r="H550" s="172"/>
      <c r="I550" s="160"/>
      <c r="J550" s="161"/>
      <c r="K550" s="160"/>
      <c r="L550" s="72"/>
      <c r="M550" s="160"/>
      <c r="N550" s="72"/>
      <c r="O550" s="160"/>
      <c r="P550" s="72"/>
      <c r="Q550" s="160"/>
      <c r="R550" s="72"/>
      <c r="S550" s="160"/>
      <c r="T550" s="72"/>
      <c r="U550" s="160"/>
      <c r="V550" s="72"/>
      <c r="W550" s="160"/>
      <c r="X550" s="72"/>
      <c r="Y550" s="160"/>
      <c r="Z550" s="72"/>
      <c r="AA550" s="160"/>
      <c r="AB550" s="72"/>
      <c r="AC550" s="160"/>
      <c r="AD550" s="72"/>
      <c r="AE550" s="160"/>
      <c r="AF550" s="72"/>
      <c r="AG550" s="160"/>
      <c r="AH550" s="72"/>
      <c r="AI550" s="160"/>
      <c r="AJ550" s="72"/>
      <c r="AK550" s="160"/>
      <c r="AL550" s="72"/>
      <c r="AM550" s="160"/>
      <c r="AN550" s="72"/>
      <c r="AO550" s="160"/>
      <c r="AP550" s="72"/>
      <c r="AQ550" s="160"/>
      <c r="AR550" s="72"/>
      <c r="AS550" s="160"/>
      <c r="AT550" s="72"/>
      <c r="AU550" s="160"/>
      <c r="AV550" s="72"/>
      <c r="AW550" s="160"/>
      <c r="AX550" s="72"/>
      <c r="AY550" s="150">
        <v>252</v>
      </c>
      <c r="AZ550" s="72" t="str">
        <f>IF(ISERROR(AY550/AQ550),"NA",IF(OR(AY550/AQ550&gt;2,AY550/AQ550&lt;0.5),"NM",AY550/AQ550*100-100))</f>
        <v>NA</v>
      </c>
      <c r="BA550" s="150">
        <v>274</v>
      </c>
      <c r="BB550" s="72" t="str">
        <f>IF(ISERROR(BA550/AS550),"NA",IF(OR(BA550/AS550&gt;2,BA550/AS550&lt;0.5),"NM",BA550/AS550*100-100))</f>
        <v>NA</v>
      </c>
      <c r="BC550" s="150">
        <v>330</v>
      </c>
      <c r="BD550" s="72" t="str">
        <f>IF(ISERROR(BC550/AU550),"NA",IF(OR(BC550/AU550&gt;2,BC550/AU550&lt;0.5),"NM",BC550/AU550*100-100))</f>
        <v>NA</v>
      </c>
      <c r="BE550" s="150">
        <v>304</v>
      </c>
      <c r="BF550" s="72" t="str">
        <f>IF(ISERROR(BE550/AW550),"NA",IF(OR(BE550/AW550&gt;2,BE550/AW550&lt;0.5),"NM",BE550/AW550*100-100))</f>
        <v>NA</v>
      </c>
      <c r="BG550" s="150">
        <v>314</v>
      </c>
      <c r="BH550" s="72">
        <f>IF(ISERROR(BG550/AY550),"NA",IF(OR(BG550/AY550&gt;2,BG550/AY550&lt;0.5),"NM",BG550/AY550*100-100))</f>
        <v>24.603174603174608</v>
      </c>
      <c r="BI550" s="150">
        <v>321</v>
      </c>
      <c r="BJ550" s="72">
        <f>IF(ISERROR(BI550/BA550),"NA",IF(OR(BI550/BA550&gt;2,BI550/BA550&lt;0.5),"NM",BI550/BA550*100-100))</f>
        <v>17.153284671532859</v>
      </c>
      <c r="BK550" s="150">
        <v>379</v>
      </c>
      <c r="BL550" s="72">
        <f>IF(ISERROR(BK550/BC550),"NA",IF(OR(BK550/BC550&gt;2,BK550/BC550&lt;0.5),"NM",BK550/BC550*100-100))</f>
        <v>14.848484848484844</v>
      </c>
      <c r="BM550" s="150">
        <v>244</v>
      </c>
      <c r="BN550" s="72">
        <f>IF(ISERROR(BM550/BE550),"NA",IF(OR(BM550/BE550&gt;2,BM550/BE550&lt;0.5),"NM",BM550/BE550*100-100))</f>
        <v>-19.73684210526315</v>
      </c>
      <c r="BO550" s="150">
        <v>240</v>
      </c>
      <c r="BP550" s="72">
        <f>IF(ISERROR(BO550/BG550),"NA",IF(OR(BO550/BG550&gt;2,BO550/BG550&lt;0.5),"NM",BO550/BG550*100-100))</f>
        <v>-23.566878980891715</v>
      </c>
      <c r="BQ550" s="150">
        <v>282</v>
      </c>
      <c r="BR550" s="72">
        <f>IF(ISERROR(BQ550/BI550),"NA",IF(OR(BQ550/BI550&gt;2,BQ550/BI550&lt;0.5),"NM",BQ550/BI550*100-100))</f>
        <v>-12.149532710280369</v>
      </c>
      <c r="BS550" s="150">
        <v>186</v>
      </c>
      <c r="BT550" s="72" t="str">
        <f>IF(ISERROR(BS550/BK550),"NA",IF(OR(BS550/BK550&gt;2,BS550/BK550&lt;0.5),"NM",BS550/BK550*100-100))</f>
        <v>NM</v>
      </c>
      <c r="BU550" s="150">
        <v>-304</v>
      </c>
      <c r="BV550" s="72" t="str">
        <f>IF(ISERROR(BU550/BM550),"NA",IF(OR(BU550/BM550&gt;2,BU550/BM550&lt;0.5),"NM",BU550/BM550*100-100))</f>
        <v>NM</v>
      </c>
      <c r="BW550" s="150">
        <v>56</v>
      </c>
      <c r="BX550" s="72" t="str">
        <f>IF(ISERROR(BW550/BO550),"NA",IF(OR(BW550/BO550&gt;2,BW550/BO550&lt;0.5),"NM",BW550/BO550*100-100))</f>
        <v>NM</v>
      </c>
      <c r="BY550" s="150">
        <v>306</v>
      </c>
      <c r="BZ550" s="72">
        <f>IF(ISERROR(BY550/BQ550),"NA",IF(OR(BY550/BQ550&gt;2,BY550/BQ550&lt;0.5),"NM",BY550/BQ550*100-100))</f>
        <v>8.5106382978723332</v>
      </c>
      <c r="CA550" s="150">
        <v>246</v>
      </c>
      <c r="CB550" s="72">
        <f>IF(ISERROR(CA550/BS550),"NA",IF(OR(CA550/BS550&gt;2,CA550/BS550&lt;0.5),"NM",CA550/BS550*100-100))</f>
        <v>32.258064516129025</v>
      </c>
      <c r="CC550" s="150">
        <v>211</v>
      </c>
      <c r="CD550" s="72" t="str">
        <f>IF(ISERROR(CC550/BU550),"NA",IF(OR(CC550/BU550&gt;2,CC550/BU550&lt;0.5),"NM",CC550/BU550*100-100))</f>
        <v>NM</v>
      </c>
      <c r="CE550" s="150">
        <f>222</f>
        <v>222</v>
      </c>
      <c r="CF550" s="72" t="str">
        <f>IF(ISERROR(CE550/BW550),"NA",IF(OR(CE550/BW550&gt;2,CE550/BW550&lt;0.5),"NM",CE550/BW550*100-100))</f>
        <v>NM</v>
      </c>
      <c r="CG550" s="150">
        <f>111</f>
        <v>111</v>
      </c>
      <c r="CH550" s="72" t="str">
        <f>IF(ISERROR(CG550/BY550),"NA",IF(OR(CG550/BY550&gt;2,CG550/BY550&lt;0.5),"NM",CG550/BY550*100-100))</f>
        <v>NM</v>
      </c>
      <c r="CI550" s="150">
        <f>330</f>
        <v>330</v>
      </c>
      <c r="CJ550" s="72">
        <f>IF(ISERROR(CI550/CA550),"NA",IF(OR(CI550/CA550&gt;2,CI550/CA550&lt;0.5),"NM",CI550/CA550*100-100))</f>
        <v>34.146341463414643</v>
      </c>
      <c r="CK550" s="150">
        <f>298</f>
        <v>298</v>
      </c>
      <c r="CL550" s="72">
        <f>IF(ISERROR(CK550/CC550),"NA",IF(OR(CK550/CC550&gt;2,CK550/CC550&lt;0.5),"NM",CK550/CC550*100-100))</f>
        <v>41.232227488151665</v>
      </c>
      <c r="CM550" s="150">
        <v>296</v>
      </c>
      <c r="CN550" s="72">
        <f>IF(ISERROR(CM550/CE550),"NA",IF(OR(CM550/CE550&gt;2,CM550/CE550&lt;0.5),"NM",CM550/CE550*100-100))</f>
        <v>33.333333333333314</v>
      </c>
      <c r="CO550" s="150">
        <v>279</v>
      </c>
      <c r="CP550" s="72" t="str">
        <f>IF(ISERROR(CO550/CG550),"NA",IF(OR(CO550/CG550&gt;2,CO550/CG550&lt;0.5),"NM",CO550/CG550*100-100))</f>
        <v>NM</v>
      </c>
      <c r="CQ550" s="150">
        <v>103</v>
      </c>
      <c r="CR550" s="72" t="str">
        <f>IF(ISERROR(CQ550/CI550),"NA",IF(OR(CQ550/CI550&gt;2,CQ550/CI550&lt;0.5),"NM",CQ550/CI550*100-100))</f>
        <v>NM</v>
      </c>
      <c r="CS550" s="150">
        <v>311</v>
      </c>
      <c r="CT550" s="72">
        <f>IF(ISERROR(CS550/CK550),"NA",IF(OR(CS550/CK550&gt;2,CS550/CK550&lt;0.5),"NM",CS550/CK550*100-100))</f>
        <v>4.3624161073825434</v>
      </c>
      <c r="CU550" s="373">
        <v>283</v>
      </c>
      <c r="CV550" s="374">
        <f>IF(ISERROR(CU550/CM550),"NA",IF(OR(CU550/CM550&gt;2,CU550/CM550&lt;0.5),"NM",CU550/CM550*100-100))</f>
        <v>-4.3918918918919019</v>
      </c>
      <c r="CW550" s="373">
        <v>205</v>
      </c>
      <c r="CX550" s="374">
        <f>IF(ISERROR(CW550/CO550),"NA",IF(OR(CW550/CO550&gt;2,CW550/CO550&lt;0.5),"NM",CW550/CO550*100-100))</f>
        <v>-26.523297491039415</v>
      </c>
      <c r="CY550" s="373">
        <v>270</v>
      </c>
      <c r="CZ550" s="72" t="str">
        <f>IF(ISERROR(CY550/CQ550),"NA",IF(OR(CY550/CQ550&gt;2,CY550/CQ550&lt;0.5),"NM",CY550/CQ550*100-100))</f>
        <v>NM</v>
      </c>
      <c r="DA550" s="150">
        <v>245</v>
      </c>
      <c r="DB550" s="72">
        <f>IF(ISERROR(DA550/CS550),"NA",IF(OR(DA550/CS550&gt;2,DA550/CS550&lt;0.5),"NM",DA550/CS550*100-100))</f>
        <v>-21.221864951768481</v>
      </c>
      <c r="DC550" s="150">
        <v>406</v>
      </c>
      <c r="DD550" s="72">
        <f>IF(ISERROR(DC550/CU550),"NA",IF(OR(DC550/CU550&gt;2,DC550/CU550&lt;0.5),"NM",DC550/CU550*100-100))</f>
        <v>43.462897526501763</v>
      </c>
      <c r="DE550" s="150">
        <v>424</v>
      </c>
      <c r="DF550" s="72" t="str">
        <f>IF(ISERROR(DE550/CW550),"NA",IF(OR(DE550/CW550&gt;2,DE550/CW550&lt;0.5),"NM",DE550/CW550*100-100))</f>
        <v>NM</v>
      </c>
      <c r="DG550" s="150">
        <v>540</v>
      </c>
      <c r="DH550" s="72">
        <f>IF(ISERROR(DG550/CY550),"NA",IF(OR(DG550/CY550&gt;2,DG550/CY550&lt;0.5),"NM",DG550/CY550*100-100))</f>
        <v>100</v>
      </c>
      <c r="DI550" s="150">
        <v>413</v>
      </c>
      <c r="DJ550" s="72">
        <f>IF(ISERROR(DI550/DA550),"NA",IF(OR(DI550/DA550&gt;2,DI550/DA550&lt;0.5),"NM",DI550/DA550*100-100))</f>
        <v>68.571428571428584</v>
      </c>
      <c r="DK550" s="150">
        <v>434</v>
      </c>
      <c r="DL550" s="72">
        <f>IF(ISERROR(DK550/DC550),"NA",IF(OR(DK550/DC550&gt;2,DK550/DC550&lt;0.5),"NM",DK550/DC550*100-100))</f>
        <v>6.8965517241379217</v>
      </c>
      <c r="DM550" s="150">
        <v>447</v>
      </c>
      <c r="DN550" s="72">
        <f t="shared" si="2630"/>
        <v>5.4245283018867951</v>
      </c>
      <c r="DO550" s="150">
        <v>319</v>
      </c>
      <c r="DP550" s="72">
        <f t="shared" si="2630"/>
        <v>-40.925925925925924</v>
      </c>
      <c r="DQ550" s="150">
        <v>337</v>
      </c>
      <c r="DR550" s="72">
        <f t="shared" si="2630"/>
        <v>-18.401937046004846</v>
      </c>
      <c r="DS550" s="150">
        <v>447</v>
      </c>
      <c r="DT550" s="72">
        <f t="shared" si="2630"/>
        <v>2.9953917050691246</v>
      </c>
      <c r="DU550" s="150">
        <v>491</v>
      </c>
      <c r="DV550" s="72">
        <f t="shared" si="2630"/>
        <v>9.8434004474272854</v>
      </c>
      <c r="DW550" s="150">
        <v>353</v>
      </c>
      <c r="DX550" s="72">
        <f t="shared" si="2630"/>
        <v>10.658307210031339</v>
      </c>
      <c r="DY550" s="150">
        <v>291</v>
      </c>
      <c r="DZ550" s="72">
        <f t="shared" si="2630"/>
        <v>-13.649851632047486</v>
      </c>
      <c r="EA550" s="150">
        <v>328</v>
      </c>
      <c r="EB550" s="72">
        <f>IF(ISERROR(EA550/DS550),"NA",IF(OR(EA550/DS550&gt;2,EA550/DS550&lt;0.5),"NM",EA550/DS550*100-100))</f>
        <v>-26.621923937360179</v>
      </c>
      <c r="EC550" s="150">
        <v>228</v>
      </c>
      <c r="ED550" s="72" t="str">
        <f>IF(ISERROR(EC550/DU550),"NA",IF(OR(EC550/DU550&gt;2,EC550/DU550&lt;0.5),"NM",EC550/DU550*100-100))</f>
        <v>NM</v>
      </c>
      <c r="EE550" s="150">
        <v>367</v>
      </c>
      <c r="EF550" s="72">
        <f>IF(ISERROR(EE550/DW550),"NA",IF(OR(EE550/DW550&gt;2,EE550/DW550&lt;0.5),"NM",EE550/DW550*100-100))</f>
        <v>3.9660056657223777</v>
      </c>
      <c r="EG550" s="150">
        <v>369</v>
      </c>
      <c r="EH550" s="72">
        <f>IF(ISERROR(EG550/DY550),"NA",IF(OR(EG550/DY550&gt;2,EG550/DY550&lt;0.5),"NM",EG550/DY550*100-100))</f>
        <v>26.804123711340196</v>
      </c>
      <c r="EI550" s="150">
        <v>423</v>
      </c>
      <c r="EJ550" s="72">
        <f>IF(ISERROR(EI550/EA550),"NA",IF(OR(EI550/EA550&gt;2,EI550/EA550&lt;0.5),"NM",EI550/EA550*100-100))</f>
        <v>28.963414634146346</v>
      </c>
      <c r="EK550" s="150">
        <v>309</v>
      </c>
      <c r="EL550" s="72">
        <f>IF(ISERROR(EK550/EC550),"NA",IF(OR(EK550/EC550&gt;2,EK550/EC550&lt;0.5),"NM",EK550/EC550*100-100))</f>
        <v>35.526315789473699</v>
      </c>
      <c r="EM550" s="150">
        <v>461</v>
      </c>
      <c r="EN550" s="72">
        <f>IF(ISERROR(EM550/EE550),"NA",IF(OR(EM550/EE550&gt;2,EM550/EE550&lt;0.5),"NM",EM550/EE550*100-100))</f>
        <v>25.613079019073567</v>
      </c>
      <c r="EO550" s="150">
        <v>399</v>
      </c>
      <c r="EP550" s="72">
        <f>IF(ISERROR(EO550/EG550),"NA",IF(OR(EO550/EG550&gt;2,EO550/EG550&lt;0.5),"NM",EO550/EG550*100-100))</f>
        <v>8.1300813008130035</v>
      </c>
      <c r="EQ550" s="144">
        <f t="shared" ref="EQ550" si="2637">EQ549*EQ551/100</f>
        <v>377.28702433795343</v>
      </c>
      <c r="ER550" s="72">
        <f t="shared" si="2631"/>
        <v>-10.80685003830888</v>
      </c>
      <c r="ES550" s="144">
        <f t="shared" ref="ES550" si="2638">ES549*ES551/100</f>
        <v>379.3472736475664</v>
      </c>
      <c r="ET550" s="72">
        <f t="shared" si="2632"/>
        <v>22.766107976558715</v>
      </c>
      <c r="EU550" s="144">
        <f t="shared" ref="EU550" si="2639">EU549*EU551/100</f>
        <v>375.08298200391351</v>
      </c>
      <c r="EV550" s="72">
        <f t="shared" si="2633"/>
        <v>-18.637097179194456</v>
      </c>
      <c r="EW550" s="144">
        <f t="shared" ref="EW550" si="2640">EW549*EW551/100</f>
        <v>338.34690049199179</v>
      </c>
      <c r="EX550" s="72">
        <f t="shared" si="2634"/>
        <v>-15.201278072182518</v>
      </c>
      <c r="EY550" s="72"/>
      <c r="EZ550" s="332"/>
      <c r="FA550" s="72"/>
      <c r="FB550" s="160"/>
      <c r="FC550" s="161"/>
      <c r="FD550" s="545">
        <f>+CM550+CO550+CS550+CQ550</f>
        <v>989</v>
      </c>
      <c r="FE550" s="72"/>
      <c r="FF550" s="545">
        <f>+CO550+CQ550+CU550+CS550</f>
        <v>976</v>
      </c>
      <c r="FG550" s="72"/>
      <c r="FH550" s="545">
        <f>+CQ550+CS550+CW550+CU550</f>
        <v>902</v>
      </c>
      <c r="FI550" s="72"/>
      <c r="FJ550" s="545">
        <f>+CS550+CU550+CY550+CW550</f>
        <v>1069</v>
      </c>
      <c r="FK550" s="72"/>
      <c r="FL550" s="545">
        <f>+CU550+CW550+DA550+CY550</f>
        <v>1003</v>
      </c>
      <c r="FM550" s="72"/>
      <c r="FN550" s="545">
        <f>+CW550+CY550+DC550+DA550</f>
        <v>1126</v>
      </c>
      <c r="FO550" s="72"/>
      <c r="FP550" s="545">
        <f>+CY550+DA550+DE550+DC550</f>
        <v>1345</v>
      </c>
      <c r="FQ550" s="72"/>
      <c r="FR550" s="545">
        <f>+DA550+DC550+DG550+DE550</f>
        <v>1615</v>
      </c>
      <c r="FS550" s="72">
        <f t="shared" si="2635"/>
        <v>20.074349442379173</v>
      </c>
      <c r="FT550" s="545">
        <f>+DC550+DE550+DI550+DG550</f>
        <v>1783</v>
      </c>
      <c r="FU550" s="72">
        <f t="shared" si="2635"/>
        <v>10.402476780185751</v>
      </c>
      <c r="FV550" s="545">
        <f>+DE550+DG550+DK550+DI550</f>
        <v>1811</v>
      </c>
      <c r="FW550" s="72">
        <f t="shared" si="2635"/>
        <v>1.5703869882220971</v>
      </c>
      <c r="FX550" s="545">
        <f>+DG550+DI550+DM550+DK550</f>
        <v>1834</v>
      </c>
      <c r="FY550" s="72">
        <f t="shared" si="2635"/>
        <v>1.2700165654334654</v>
      </c>
      <c r="FZ550" s="545">
        <f>+DI550+DK550+DO550+DM550</f>
        <v>1613</v>
      </c>
      <c r="GA550" s="72">
        <f t="shared" si="2635"/>
        <v>-12.050163576881133</v>
      </c>
      <c r="GB550" s="545">
        <f>+DK550+DM550+DQ550+DO550</f>
        <v>1537</v>
      </c>
      <c r="GC550" s="72">
        <f t="shared" si="2635"/>
        <v>-4.7117172969621777</v>
      </c>
      <c r="GD550" s="545">
        <f>+DM550+DO550+DS550+DQ550</f>
        <v>1550</v>
      </c>
      <c r="GE550" s="72">
        <f t="shared" si="2635"/>
        <v>0.84580351333767112</v>
      </c>
      <c r="GF550" s="545">
        <f>+DO550+DQ550+DU550+DS550</f>
        <v>1594</v>
      </c>
      <c r="GG550" s="72">
        <f t="shared" si="2635"/>
        <v>2.8387096774193452</v>
      </c>
      <c r="GH550" s="545">
        <f>+DQ550+DS550+DW550+DU550</f>
        <v>1628</v>
      </c>
      <c r="GI550" s="72">
        <f t="shared" si="2636"/>
        <v>2.1329987452948416</v>
      </c>
      <c r="GJ550" s="545">
        <f>+DS550+DU550+DY550+DW550</f>
        <v>1582</v>
      </c>
      <c r="GK550" s="532">
        <f t="shared" si="2636"/>
        <v>-2.8255528255528191</v>
      </c>
      <c r="GL550" s="545">
        <f>EA550+EC550+EE550+EG550</f>
        <v>1292</v>
      </c>
      <c r="GM550" s="532">
        <f t="shared" si="2636"/>
        <v>-18.33122629582806</v>
      </c>
      <c r="GN550" s="545">
        <f>EI550+EK550+EM550+EO550</f>
        <v>1592</v>
      </c>
      <c r="GO550" s="532">
        <f t="shared" si="2636"/>
        <v>23.219814241486063</v>
      </c>
      <c r="GP550" s="545">
        <f>EQ550+ES550+EU550+EW550</f>
        <v>1470.0641804814252</v>
      </c>
      <c r="GQ550" s="532">
        <f t="shared" si="2636"/>
        <v>-7.6592851456391173</v>
      </c>
      <c r="GR550" s="144">
        <f>GR549*GR551/100</f>
        <v>1487.9294077892152</v>
      </c>
      <c r="GS550" s="532">
        <f t="shared" si="2636"/>
        <v>1.215268526707419</v>
      </c>
      <c r="GT550" s="144">
        <f>GT549*GT551/100</f>
        <v>1503.3833256032583</v>
      </c>
      <c r="GU550" s="72">
        <f t="shared" si="2636"/>
        <v>1.0386190186942201</v>
      </c>
      <c r="GV550" s="144">
        <f>GV549*GV551/100</f>
        <v>1520.5968992054839</v>
      </c>
      <c r="GW550" s="72">
        <f>IF(ISERROR(GV550/GT550),"NA",IF(OR(GV550/GT550&gt;2,GV550/GT550&lt;0.5),"NM",GV550/GT550*100-100))</f>
        <v>1.1449889930978259</v>
      </c>
      <c r="GX550" s="144">
        <f>GX549*GX551/100</f>
        <v>1535.5666106472063</v>
      </c>
      <c r="GY550" s="72">
        <f>IF(ISERROR(GX550/GV550),"NA",IF(OR(GX550/GV550&gt;2,GX550/GV550&lt;0.5),"NM",GX550/GV550*100-100))</f>
        <v>0.98446284150284669</v>
      </c>
      <c r="GZ550" s="72">
        <f>IF(ISERROR(((GX550/GN550)^0.2-1)*100),"NA",IF((((GX550/GN550)^0.2-1)*100)&gt;100,"NM",IF((((GX550/GN550)^0.2-1)*100)&lt;-50,"NM",((GX550/GN550)^0.2-1)*100)))</f>
        <v>-0.71923398389063253</v>
      </c>
      <c r="HA550" s="72"/>
      <c r="HB550" s="72"/>
      <c r="HC550"/>
      <c r="HD550"/>
      <c r="HE550"/>
      <c r="HF550"/>
      <c r="HG550"/>
      <c r="HH550"/>
      <c r="HI550" s="2"/>
    </row>
    <row r="551" spans="1:217" s="78" customFormat="1" ht="12.75" customHeight="1" x14ac:dyDescent="0.2">
      <c r="A551" s="3"/>
      <c r="B551" s="10" t="s">
        <v>327</v>
      </c>
      <c r="C551" s="160"/>
      <c r="D551" s="161"/>
      <c r="E551" s="160"/>
      <c r="F551" s="161"/>
      <c r="G551" s="160"/>
      <c r="H551" s="172"/>
      <c r="I551" s="160"/>
      <c r="J551" s="161"/>
      <c r="K551" s="160"/>
      <c r="L551" s="72"/>
      <c r="M551" s="160"/>
      <c r="N551" s="72"/>
      <c r="O551" s="160"/>
      <c r="P551" s="72"/>
      <c r="Q551" s="160"/>
      <c r="R551" s="72"/>
      <c r="S551" s="160"/>
      <c r="T551" s="72"/>
      <c r="U551" s="160"/>
      <c r="V551" s="72"/>
      <c r="W551" s="160"/>
      <c r="X551" s="72"/>
      <c r="Y551" s="160"/>
      <c r="Z551" s="72"/>
      <c r="AA551" s="160"/>
      <c r="AB551" s="72"/>
      <c r="AC551" s="160"/>
      <c r="AD551" s="72"/>
      <c r="AE551" s="160"/>
      <c r="AF551" s="72"/>
      <c r="AG551" s="160"/>
      <c r="AH551" s="72"/>
      <c r="AI551" s="160"/>
      <c r="AJ551" s="72"/>
      <c r="AK551" s="160"/>
      <c r="AL551" s="72"/>
      <c r="AM551" s="160"/>
      <c r="AN551" s="72"/>
      <c r="AO551" s="160"/>
      <c r="AP551" s="72"/>
      <c r="AQ551" s="160"/>
      <c r="AR551" s="72"/>
      <c r="AS551" s="160"/>
      <c r="AT551" s="72"/>
      <c r="AU551" s="160"/>
      <c r="AV551" s="72"/>
      <c r="AW551" s="160"/>
      <c r="AX551" s="72"/>
      <c r="AY551" s="169">
        <f>AY550/AY549*100</f>
        <v>29.508196721311474</v>
      </c>
      <c r="AZ551" s="72" t="str">
        <f>IF(ISERROR(AY551/AQ551),"NA",IF(OR(AY551/AQ551&gt;2,AY551/AQ551&lt;0.5),"NM",AY551/AQ551*100-100))</f>
        <v>NA</v>
      </c>
      <c r="BA551" s="169">
        <f>BA550/BA549*100</f>
        <v>29.718004338394792</v>
      </c>
      <c r="BB551" s="72" t="str">
        <f>IF(ISERROR(BA551/AS551),"NA",IF(OR(BA551/AS551&gt;2,BA551/AS551&lt;0.5),"NM",BA551/AS551*100-100))</f>
        <v>NA</v>
      </c>
      <c r="BC551" s="169">
        <f>BC550/BC549*100</f>
        <v>29.837251356238699</v>
      </c>
      <c r="BD551" s="72" t="str">
        <f>IF(ISERROR(BC551/AU551),"NA",IF(OR(BC551/AU551&gt;2,BC551/AU551&lt;0.5),"NM",BC551/AU551*100-100))</f>
        <v>NA</v>
      </c>
      <c r="BE551" s="169">
        <f>BE550/BE549*100</f>
        <v>29.774730656219393</v>
      </c>
      <c r="BF551" s="72" t="str">
        <f>IF(ISERROR(BE551/AW551),"NA",IF(OR(BE551/AW551&gt;2,BE551/AW551&lt;0.5),"NM",BE551/AW551*100-100))</f>
        <v>NA</v>
      </c>
      <c r="BG551" s="169">
        <f>BG550/BG549*100</f>
        <v>28.607871720116616</v>
      </c>
      <c r="BH551" s="72">
        <f>IF(ISERROR(BG551/AY551),"NA",IF(OR(BG551/AY551&gt;2,BG551/AY551&lt;0.5),"NM",BG551/AY551*100-100))</f>
        <v>-3.0511013929381221</v>
      </c>
      <c r="BI551" s="169">
        <f>BI550/BI549*100</f>
        <v>28.635147190008919</v>
      </c>
      <c r="BJ551" s="72">
        <f>IF(ISERROR(BI551/BA551),"NA",IF(OR(BI551/BA551&gt;2,BI551/BA551&lt;0.5),"NM",BI551/BA551*100-100))</f>
        <v>-3.6437747839845827</v>
      </c>
      <c r="BK551" s="169">
        <f>BK550/BK549*100</f>
        <v>29.266409266409266</v>
      </c>
      <c r="BL551" s="72">
        <f>IF(ISERROR(BK551/BC551),"NA",IF(OR(BK551/BC551&gt;2,BK551/BC551&lt;0.5),"NM",BK551/BC551*100-100))</f>
        <v>-1.9131859131859272</v>
      </c>
      <c r="BM551" s="169">
        <f>BM550/BM549*100</f>
        <v>23.828125</v>
      </c>
      <c r="BN551" s="72">
        <f>IF(ISERROR(BM551/BE551),"NA",IF(OR(BM551/BE551&gt;2,BM551/BE551&lt;0.5),"NM",BM551/BE551*100-100))</f>
        <v>-19.971988075657904</v>
      </c>
      <c r="BO551" s="169">
        <f>BO550/BO549*100</f>
        <v>26.286966046002192</v>
      </c>
      <c r="BP551" s="72">
        <f>IF(ISERROR(BO551/BG551),"NA",IF(OR(BO551/BG551&gt;2,BO551/BG551&lt;0.5),"NM",BO551/BG551*100-100))</f>
        <v>-8.1128218723184489</v>
      </c>
      <c r="BQ551" s="169">
        <f>BQ550/BQ549*100</f>
        <v>25.314183123877914</v>
      </c>
      <c r="BR551" s="72">
        <f>IF(ISERROR(BQ551/BI551),"NA",IF(OR(BQ551/BI551&gt;2,BQ551/BI551&lt;0.5),"NM",BQ551/BI551*100-100))</f>
        <v>-11.597510025335993</v>
      </c>
      <c r="BS551" s="169">
        <f>BS550/BS549*100</f>
        <v>30.794701986754969</v>
      </c>
      <c r="BT551" s="72">
        <f>IF(ISERROR(BS551/BK551),"NA",IF(OR(BS551/BK551&gt;2,BS551/BK551&lt;0.5),"NM",BS551/BK551*100-100))</f>
        <v>5.2220028307326913</v>
      </c>
      <c r="BU551" s="169">
        <f>BU550/BU549*100</f>
        <v>25.719120135363788</v>
      </c>
      <c r="BV551" s="72">
        <f>IF(ISERROR(BU551/BM551),"NA",IF(OR(BU551/BM551&gt;2,BU551/BM551&lt;0.5),"NM",BU551/BM551*100-100))</f>
        <v>7.9359795844775363</v>
      </c>
      <c r="BW551" s="169">
        <f>BW550/BW549*100</f>
        <v>22.857142857142858</v>
      </c>
      <c r="BX551" s="72">
        <f>IF(ISERROR(BW551/BO551),"NA",IF(OR(BW551/BO551&gt;2,BW551/BO551&lt;0.5),"NM",BW551/BO551*100-100))</f>
        <v>-13.047619047619051</v>
      </c>
      <c r="BY551" s="169">
        <f>BY550/BY549*100</f>
        <v>26.221079691516707</v>
      </c>
      <c r="BZ551" s="72">
        <f>IF(ISERROR(BY551/BQ551),"NA",IF(OR(BY551/BQ551&gt;2,BY551/BQ551&lt;0.5),"NM",BY551/BQ551*100-100))</f>
        <v>3.5825630367007761</v>
      </c>
      <c r="CA551" s="169">
        <f>CA550/CA549*100</f>
        <v>23.076923076923077</v>
      </c>
      <c r="CB551" s="72">
        <f>IF(ISERROR(CA551/BS551),"NA",IF(OR(CA551/BS551&gt;2,CA551/BS551&lt;0.5),"NM",CA551/BS551*100-100))</f>
        <v>-25.062034739454091</v>
      </c>
      <c r="CC551" s="169">
        <f>CC550/CC549*100</f>
        <v>27.58169934640523</v>
      </c>
      <c r="CD551" s="72">
        <f>IF(ISERROR(CC551/BU551),"NA",IF(OR(CC551/BU551&gt;2,CC551/BU551&lt;0.5),"NM",CC551/BU551*100-100))</f>
        <v>7.2420020639835059</v>
      </c>
      <c r="CE551" s="169">
        <f>CE550/CE549*100</f>
        <v>25.934579439252335</v>
      </c>
      <c r="CF551" s="72">
        <f>IF(ISERROR(CE551/BW551),"NA",IF(OR(CE551/BW551&gt;2,CE551/BW551&lt;0.5),"NM",CE551/BW551*100-100))</f>
        <v>13.463785046728958</v>
      </c>
      <c r="CG551" s="169">
        <f>CG550/CG549*100</f>
        <v>22.653061224489797</v>
      </c>
      <c r="CH551" s="72">
        <f>IF(ISERROR(CG551/BY551),"NA",IF(OR(CG551/BY551&gt;2,CG551/BY551&lt;0.5),"NM",CG551/BY551*100-100))</f>
        <v>-13.607442977190871</v>
      </c>
      <c r="CI551" s="169">
        <f>CI550/CI549*100</f>
        <v>26.785714285714285</v>
      </c>
      <c r="CJ551" s="72">
        <f>IF(ISERROR(CI551/CA551),"NA",IF(OR(CI551/CA551&gt;2,CI551/CA551&lt;0.5),"NM",CI551/CA551*100-100))</f>
        <v>16.071428571428555</v>
      </c>
      <c r="CK551" s="169">
        <f>CK550/CK549*100</f>
        <v>27.490774907749078</v>
      </c>
      <c r="CL551" s="72">
        <f>IF(ISERROR(CK551/CC551),"NA",IF(OR(CK551/CC551&gt;2,CK551/CC551&lt;0.5),"NM",CK551/CC551*100-100))</f>
        <v>-0.32965495531732358</v>
      </c>
      <c r="CM551" s="169">
        <f>CM550/CM549*100</f>
        <v>27.007299270072991</v>
      </c>
      <c r="CN551" s="72">
        <f>IF(ISERROR(CM551/CE551),"NA",IF(OR(CM551/CE551&gt;2,CM551/CE551&lt;0.5),"NM",CM551/CE551*100-100))</f>
        <v>4.1362530413625365</v>
      </c>
      <c r="CO551" s="169">
        <f>CO550/CO549*100</f>
        <v>26.520912547528518</v>
      </c>
      <c r="CP551" s="72">
        <f>IF(ISERROR(CO551/CG551),"NA",IF(OR(CO551/CG551&gt;2,CO551/CG551&lt;0.5),"NM",CO551/CG551*100-100))</f>
        <v>17.074298633233994</v>
      </c>
      <c r="CQ551" s="169">
        <f>CQ550/CQ549*100</f>
        <v>20.235756385068761</v>
      </c>
      <c r="CR551" s="72">
        <f>IF(ISERROR(CQ551/CI551),"NA",IF(OR(CQ551/CI551&gt;2,CQ551/CI551&lt;0.5),"NM",CQ551/CI551*100-100))</f>
        <v>-24.453176162409946</v>
      </c>
      <c r="CS551" s="169">
        <f>CS550/CS549*100</f>
        <v>26.672384219554029</v>
      </c>
      <c r="CT551" s="72">
        <f>IF(ISERROR(CS551/CK551),"NA",IF(OR(CS551/CK551&gt;2,CS551/CK551&lt;0.5),"NM",CS551/CK551*100-100))</f>
        <v>-2.9769647852464232</v>
      </c>
      <c r="CU551" s="169">
        <f>CU550/CU549*100</f>
        <v>26.522961574507963</v>
      </c>
      <c r="CV551" s="72">
        <f>IF(ISERROR(CU551/CM551),"NA",IF(OR(CU551/CM551&gt;2,CU551/CM551&lt;0.5),"NM",CU551/CM551*100-100))</f>
        <v>-1.7933584943894232</v>
      </c>
      <c r="CW551" s="169">
        <f>CW550/CW549*100</f>
        <v>23.948598130841123</v>
      </c>
      <c r="CX551" s="72">
        <f>IF(ISERROR(CW551/CO551),"NA",IF(OR(CW551/CO551&gt;2,CW551/CO551&lt;0.5),"NM",CW551/CO551*100-100))</f>
        <v>-9.699192710950328</v>
      </c>
      <c r="CY551" s="169">
        <f>CY550/CY549*100</f>
        <v>26.239067055393583</v>
      </c>
      <c r="CZ551" s="72">
        <f>IF(ISERROR(CY551/CQ551),"NA",IF(OR(CY551/CQ551&gt;2,CY551/CQ551&lt;0.5),"NM",CY551/CQ551*100-100))</f>
        <v>29.666845933935292</v>
      </c>
      <c r="DA551" s="169">
        <f>DA550/DA549*100</f>
        <v>22.769516728624538</v>
      </c>
      <c r="DB551" s="72">
        <f>IF(ISERROR(DA551/CS551),"NA",IF(OR(DA551/CS551&gt;2,DA551/CS551&lt;0.5),"NM",DA551/CS551*100-100))</f>
        <v>-14.632615737697066</v>
      </c>
      <c r="DC551" s="169">
        <f>DC550/DC549*100</f>
        <v>27.469553450608931</v>
      </c>
      <c r="DD551" s="72">
        <f>IF(ISERROR(DC551/CU551),"NA",IF(OR(DC551/CU551&gt;2,DC551/CU551&lt;0.5),"NM",DC551/CU551*100-100))</f>
        <v>3.5689524091863376</v>
      </c>
      <c r="DE551" s="169">
        <f>DE550/DE549*100</f>
        <v>27.94990112063283</v>
      </c>
      <c r="DF551" s="72">
        <f>IF(ISERROR(DE551/CW551),"NA",IF(OR(DE551/CW551&gt;2,DE551/CW551&lt;0.5),"NM",DE551/CW551*100-100))</f>
        <v>16.70787980127659</v>
      </c>
      <c r="DG551" s="169">
        <f>DG550/DG549*100</f>
        <v>28.227914270778882</v>
      </c>
      <c r="DH551" s="72">
        <f>IF(ISERROR(DG551/CY551),"NA",IF(OR(DG551/CY551&gt;2,DG551/CY551&lt;0.5),"NM",DG551/CY551*100-100))</f>
        <v>7.5797177208573032</v>
      </c>
      <c r="DI551" s="169">
        <f>DI550/DI549*100</f>
        <v>28.268309377138944</v>
      </c>
      <c r="DJ551" s="72">
        <f>IF(ISERROR(DI551/DA551),"NA",IF(OR(DI551/DA551&gt;2,DI551/DA551&lt;0.5),"NM",DI551/DA551*100-100))</f>
        <v>24.149799550210219</v>
      </c>
      <c r="DK551" s="169">
        <f>DK550/DK549*100</f>
        <v>27.625716104392104</v>
      </c>
      <c r="DL551" s="72">
        <f>IF(ISERROR(DK551/DC551),"NA",IF(OR(DK551/DC551&gt;2,DK551/DC551&lt;0.5),"NM",DK551/DC551*100-100))</f>
        <v>0.56849360170328112</v>
      </c>
      <c r="DM551" s="169">
        <f>DM550/DM549*100</f>
        <v>27.541589648798521</v>
      </c>
      <c r="DN551" s="72">
        <f t="shared" si="2630"/>
        <v>-1.4608691103128422</v>
      </c>
      <c r="DO551" s="169">
        <f>DO550/DO549*100</f>
        <v>23.577235772357724</v>
      </c>
      <c r="DP551" s="72">
        <f t="shared" si="2630"/>
        <v>-16.475459199036436</v>
      </c>
      <c r="DQ551" s="169">
        <f>DQ550/DQ549*100</f>
        <v>25.055762081784387</v>
      </c>
      <c r="DR551" s="72">
        <f t="shared" si="2630"/>
        <v>-11.364483289377745</v>
      </c>
      <c r="DS551" s="169">
        <f>DS550/DS549*100</f>
        <v>25.616045845272208</v>
      </c>
      <c r="DT551" s="72">
        <f t="shared" si="2630"/>
        <v>-7.2746358918833209</v>
      </c>
      <c r="DU551" s="169">
        <f>DU550/DU549*100</f>
        <v>26.670287887017924</v>
      </c>
      <c r="DV551" s="72">
        <f t="shared" si="2630"/>
        <v>-3.1635855914315556</v>
      </c>
      <c r="DW551" s="169">
        <f>DW550/DW549*100</f>
        <v>24.128503075871496</v>
      </c>
      <c r="DX551" s="72">
        <f t="shared" si="2630"/>
        <v>2.3381337355928906</v>
      </c>
      <c r="DY551" s="169">
        <f>DY550/DY549*100</f>
        <v>24.61928934010152</v>
      </c>
      <c r="DZ551" s="72">
        <f t="shared" si="2630"/>
        <v>-1.7420054527105435</v>
      </c>
      <c r="EA551" s="169">
        <f>EA550/EA549*100</f>
        <v>24.754716981132074</v>
      </c>
      <c r="EB551" s="72">
        <f>IF(ISERROR(EA551/DS551),"NA",IF(OR(EA551/DS551&gt;2,EA551/DS551&lt;0.5),"NM",EA551/DS551*100-100))</f>
        <v>-3.3624583175045473</v>
      </c>
      <c r="EC551" s="169">
        <f>EC550/EC549*100</f>
        <v>21.570482497634817</v>
      </c>
      <c r="ED551" s="72">
        <f>IF(ISERROR(EC551/DU551),"NA",IF(OR(EC551/DU551&gt;2,EC551/DU551&lt;0.5),"NM",EC551/DU551*100-100))</f>
        <v>-19.121673567931367</v>
      </c>
      <c r="EE551" s="169">
        <f>EE550/EE549*100</f>
        <v>23.555840821566111</v>
      </c>
      <c r="EF551" s="72">
        <f>IF(ISERROR(EE551/DW551),"NA",IF(OR(EE551/DW551&gt;2,EE551/DW551&lt;0.5),"NM",EE551/DW551*100-100))</f>
        <v>-2.3733849236509315</v>
      </c>
      <c r="EG551" s="169">
        <f>EG550/EG549*100</f>
        <v>25.291295407813568</v>
      </c>
      <c r="EH551" s="72">
        <f>IF(ISERROR(EG551/DY551),"NA",IF(OR(EG551/DY551&gt;2,EG551/DY551&lt;0.5),"NM",EG551/DY551*100-100))</f>
        <v>2.7295916564798546</v>
      </c>
      <c r="EI551" s="169">
        <f>EI550/EI549*100</f>
        <v>25.481927710843372</v>
      </c>
      <c r="EJ551" s="72">
        <f>IF(ISERROR(EI551/EA551),"NA",IF(OR(EI551/EA551&gt;2,EI551/EA551&lt;0.5),"NM",EI551/EA551*100-100))</f>
        <v>2.9376652953276619</v>
      </c>
      <c r="EK551" s="169">
        <f>EK550/EK549*100</f>
        <v>25.162866449511402</v>
      </c>
      <c r="EL551" s="72">
        <f>IF(ISERROR(EK551/EC551),"NA",IF(OR(EK551/EC551&gt;2,EK551/EC551&lt;0.5),"NM",EK551/EC551*100-100))</f>
        <v>16.654165952340122</v>
      </c>
      <c r="EM551" s="169">
        <f>EM550/EM549*100</f>
        <v>25.840807174887892</v>
      </c>
      <c r="EN551" s="72">
        <f>IF(ISERROR(EM551/EE551),"NA",IF(OR(EM551/EE551&gt;2,EM551/EE551&lt;0.5),"NM",EM551/EE551*100-100))</f>
        <v>9.7002113854913716</v>
      </c>
      <c r="EO551" s="169">
        <f>EO550/EO549*100</f>
        <v>25.381679389312978</v>
      </c>
      <c r="EP551" s="72">
        <f>IF(ISERROR(EO551/EG551),"NA",IF(OR(EO551/EG551&gt;2,EO551/EG551&lt;0.5),"NM",EO551/EG551*100-100))</f>
        <v>0.35737189432964556</v>
      </c>
      <c r="EQ551" s="169">
        <f t="shared" ref="EQ551" si="2641">EQ538</f>
        <v>22</v>
      </c>
      <c r="ER551" s="72">
        <f t="shared" si="2631"/>
        <v>-13.664302600472809</v>
      </c>
      <c r="ES551" s="169">
        <f t="shared" ref="ES551" si="2642">ES538</f>
        <v>22</v>
      </c>
      <c r="ET551" s="72">
        <f t="shared" si="2632"/>
        <v>-12.569579288025892</v>
      </c>
      <c r="EU551" s="169">
        <f t="shared" ref="EU551" si="2643">EU538</f>
        <v>22</v>
      </c>
      <c r="EV551" s="72">
        <f t="shared" si="2633"/>
        <v>-14.863340563991329</v>
      </c>
      <c r="EW551" s="169">
        <f t="shared" ref="EW551" si="2644">EW538</f>
        <v>22</v>
      </c>
      <c r="EX551" s="72">
        <f t="shared" si="2634"/>
        <v>-13.323308270676691</v>
      </c>
      <c r="EY551" s="72"/>
      <c r="EZ551" s="332"/>
      <c r="FA551" s="72"/>
      <c r="FB551" s="160"/>
      <c r="FC551" s="161"/>
      <c r="FD551" s="738">
        <f>FD550/FD549*100</f>
        <v>81.803143093465664</v>
      </c>
      <c r="FE551" s="72"/>
      <c r="FF551" s="738">
        <f>FF550/FF549*100</f>
        <v>80</v>
      </c>
      <c r="FG551" s="72"/>
      <c r="FH551" s="738">
        <f>FH550/FH549*100</f>
        <v>61.486025903203824</v>
      </c>
      <c r="FI551" s="72"/>
      <c r="FJ551" s="738">
        <f>FJ550/FJ549*100</f>
        <v>59.754052543320292</v>
      </c>
      <c r="FK551" s="72"/>
      <c r="FL551" s="738">
        <f>FL550/FL549*100</f>
        <v>48.059415428845234</v>
      </c>
      <c r="FM551" s="72"/>
      <c r="FN551" s="738">
        <f>FN550/FN549*100</f>
        <v>40.782325244476638</v>
      </c>
      <c r="FO551" s="72"/>
      <c r="FP551" s="738">
        <f>FP550/FP549*100</f>
        <v>39.201399009035264</v>
      </c>
      <c r="FQ551" s="72"/>
      <c r="FR551" s="738">
        <f>FR550/FR549*100</f>
        <v>41.378426851140148</v>
      </c>
      <c r="FS551" s="72">
        <f t="shared" si="2635"/>
        <v>5.5534442574437577</v>
      </c>
      <c r="FT551" s="738">
        <f>FT550/FT549*100</f>
        <v>39.293899858956273</v>
      </c>
      <c r="FU551" s="72">
        <f t="shared" si="2635"/>
        <v>-5.0377144585100098</v>
      </c>
      <c r="FV551" s="738">
        <f>FV550/FV549*100</f>
        <v>155.85197934595524</v>
      </c>
      <c r="FW551" s="72" t="str">
        <f t="shared" si="2635"/>
        <v>NM</v>
      </c>
      <c r="FX551" s="738">
        <f>FX550/FX549*100</f>
        <v>62.169491525423723</v>
      </c>
      <c r="FY551" s="72" t="str">
        <f t="shared" si="2635"/>
        <v>NM</v>
      </c>
      <c r="FZ551" s="738">
        <f>FZ550/FZ549*100</f>
        <v>44.046968869470234</v>
      </c>
      <c r="GA551" s="72">
        <f t="shared" si="2635"/>
        <v>-29.150186387711457</v>
      </c>
      <c r="GB551" s="738">
        <f>GB550/GB549*100</f>
        <v>40.204028250065392</v>
      </c>
      <c r="GC551" s="72">
        <f t="shared" si="2635"/>
        <v>-8.7246426213642536</v>
      </c>
      <c r="GD551" s="738">
        <f>GD550/GD549*100</f>
        <v>38.480635551142008</v>
      </c>
      <c r="GE551" s="72">
        <f t="shared" si="2635"/>
        <v>-4.2866169733143096</v>
      </c>
      <c r="GF551" s="738">
        <f>GF550/GF549*100</f>
        <v>25.027476840948342</v>
      </c>
      <c r="GG551" s="72">
        <f t="shared" si="2635"/>
        <v>-34.960853732038771</v>
      </c>
      <c r="GH551" s="738">
        <f>GH550/GH549*100</f>
        <v>27.630685675492195</v>
      </c>
      <c r="GI551" s="72">
        <f t="shared" si="2636"/>
        <v>10.401403429868125</v>
      </c>
      <c r="GJ551" s="738">
        <f>GJ550/GJ549*100</f>
        <v>25.38918311667469</v>
      </c>
      <c r="GK551" s="532">
        <f t="shared" si="2636"/>
        <v>-8.1123667546392824</v>
      </c>
      <c r="GL551" s="738">
        <f>GL550/GL549*100</f>
        <v>23.930357473606222</v>
      </c>
      <c r="GM551" s="532">
        <f t="shared" si="2636"/>
        <v>-5.7458549822753611</v>
      </c>
      <c r="GN551" s="738">
        <f>GN550/GN549*100</f>
        <v>25.496476617552847</v>
      </c>
      <c r="GO551" s="532">
        <f t="shared" si="2636"/>
        <v>6.5444870419255636</v>
      </c>
      <c r="GP551" s="738">
        <f>GP550/GP549*100</f>
        <v>22.000000000000004</v>
      </c>
      <c r="GQ551" s="532">
        <f t="shared" si="2636"/>
        <v>-13.713567839195946</v>
      </c>
      <c r="GR551" s="169">
        <f>GR538</f>
        <v>22.000000000000004</v>
      </c>
      <c r="GS551" s="532">
        <f t="shared" si="2636"/>
        <v>0</v>
      </c>
      <c r="GT551" s="169">
        <f>GT538</f>
        <v>22.000000000000004</v>
      </c>
      <c r="GU551" s="72">
        <f t="shared" si="2636"/>
        <v>0</v>
      </c>
      <c r="GV551" s="169">
        <f>GV538</f>
        <v>22.000000000000004</v>
      </c>
      <c r="GW551" s="72">
        <f>IF(ISERROR(GV551/GT551),"NA",IF(OR(GV551/GT551&gt;2,GV551/GT551&lt;0.5),"NM",GV551/GT551*100-100))</f>
        <v>0</v>
      </c>
      <c r="GX551" s="169">
        <f>GX538</f>
        <v>22.000000000000004</v>
      </c>
      <c r="GY551" s="72">
        <f>IF(ISERROR(GX551/GV551),"NA",IF(OR(GX551/GV551&gt;2,GX551/GV551&lt;0.5),"NM",GX551/GV551*100-100))</f>
        <v>0</v>
      </c>
      <c r="GZ551" s="72">
        <f>IF(ISERROR(((GX551/GN551)^0.2-1)*100),"NA",IF((((GX551/GN551)^0.2-1)*100)&gt;100,"NM",IF((((GX551/GN551)^0.2-1)*100)&lt;-50,"NM",((GX551/GN551)^0.2-1)*100)))</f>
        <v>-2.9068698527729753</v>
      </c>
      <c r="HA551" s="72"/>
      <c r="HB551" s="72"/>
      <c r="HC551"/>
      <c r="HD551"/>
      <c r="HE551"/>
      <c r="HF551"/>
      <c r="HG551"/>
      <c r="HH551"/>
      <c r="HI551" s="2"/>
    </row>
    <row r="552" spans="1:217" s="78" customFormat="1" ht="12.75" customHeight="1" x14ac:dyDescent="0.2">
      <c r="A552" s="3"/>
      <c r="B552" s="89" t="s">
        <v>637</v>
      </c>
      <c r="C552" s="160"/>
      <c r="D552" s="161"/>
      <c r="E552" s="160"/>
      <c r="F552" s="161"/>
      <c r="G552" s="160"/>
      <c r="H552" s="172"/>
      <c r="I552" s="160"/>
      <c r="J552" s="161"/>
      <c r="K552" s="160"/>
      <c r="L552" s="72"/>
      <c r="M552" s="160"/>
      <c r="N552" s="72"/>
      <c r="O552" s="160"/>
      <c r="P552" s="72"/>
      <c r="Q552" s="160"/>
      <c r="R552" s="72"/>
      <c r="S552" s="160"/>
      <c r="T552" s="72"/>
      <c r="U552" s="160"/>
      <c r="V552" s="72"/>
      <c r="W552" s="160"/>
      <c r="X552" s="72"/>
      <c r="Y552" s="160"/>
      <c r="Z552" s="72"/>
      <c r="AA552" s="160"/>
      <c r="AB552" s="72"/>
      <c r="AC552" s="160"/>
      <c r="AD552" s="72"/>
      <c r="AE552" s="160"/>
      <c r="AF552" s="72"/>
      <c r="AG552" s="160"/>
      <c r="AH552" s="72"/>
      <c r="AI552" s="160"/>
      <c r="AJ552" s="72"/>
      <c r="AK552" s="160"/>
      <c r="AL552" s="72"/>
      <c r="AM552" s="160"/>
      <c r="AN552" s="72"/>
      <c r="AO552" s="160"/>
      <c r="AP552" s="72"/>
      <c r="AQ552" s="160"/>
      <c r="AR552" s="72"/>
      <c r="AS552" s="160"/>
      <c r="AT552" s="72"/>
      <c r="AU552" s="160"/>
      <c r="AV552" s="72"/>
      <c r="AW552" s="160"/>
      <c r="AX552" s="72"/>
      <c r="AY552" s="160">
        <f>AY549-AY550</f>
        <v>602</v>
      </c>
      <c r="AZ552" s="72" t="str">
        <f>IF(ISERROR(AY552/AQ552),"NA",IF(OR(AY552/AQ552&gt;2,AY552/AQ552&lt;0.5),"NM",AY552/AQ552*100-100))</f>
        <v>NA</v>
      </c>
      <c r="BA552" s="160">
        <f>BA549-BA550</f>
        <v>648</v>
      </c>
      <c r="BB552" s="72" t="str">
        <f>IF(ISERROR(BA552/AS552),"NA",IF(OR(BA552/AS552&gt;2,BA552/AS552&lt;0.5),"NM",BA552/AS552*100-100))</f>
        <v>NA</v>
      </c>
      <c r="BC552" s="160">
        <f>BC549-BC550</f>
        <v>776</v>
      </c>
      <c r="BD552" s="72" t="str">
        <f>IF(ISERROR(BC552/AU552),"NA",IF(OR(BC552/AU552&gt;2,BC552/AU552&lt;0.5),"NM",BC552/AU552*100-100))</f>
        <v>NA</v>
      </c>
      <c r="BE552" s="160">
        <f>BE549-BE550</f>
        <v>717</v>
      </c>
      <c r="BF552" s="72" t="str">
        <f>IF(ISERROR(BE552/AW552),"NA",IF(OR(BE552/AW552&gt;2,BE552/AW552&lt;0.5),"NM",BE552/AW552*100-100))</f>
        <v>NA</v>
      </c>
      <c r="BG552" s="160">
        <f>BG549-BG550</f>
        <v>783.59999999999991</v>
      </c>
      <c r="BH552" s="72">
        <f>IF(ISERROR(BG552/AY552),"NA",IF(OR(BG552/AY552&gt;2,BG552/AY552&lt;0.5),"NM",BG552/AY552*100-100))</f>
        <v>30.166112956810622</v>
      </c>
      <c r="BI552" s="160">
        <f>BI549-BI550</f>
        <v>800</v>
      </c>
      <c r="BJ552" s="72">
        <f>IF(ISERROR(BI552/BA552),"NA",IF(OR(BI552/BA552&gt;2,BI552/BA552&lt;0.5),"NM",BI552/BA552*100-100))</f>
        <v>23.456790123456784</v>
      </c>
      <c r="BK552" s="160">
        <f>BK549-BK550</f>
        <v>916</v>
      </c>
      <c r="BL552" s="72">
        <f>IF(ISERROR(BK552/BC552),"NA",IF(OR(BK552/BC552&gt;2,BK552/BC552&lt;0.5),"NM",BK552/BC552*100-100))</f>
        <v>18.041237113402062</v>
      </c>
      <c r="BM552" s="160">
        <f>BM549-BM550</f>
        <v>780</v>
      </c>
      <c r="BN552" s="72">
        <f>IF(ISERROR(BM552/BE552),"NA",IF(OR(BM552/BE552&gt;2,BM552/BE552&lt;0.5),"NM",BM552/BE552*100-100))</f>
        <v>8.7866108786610795</v>
      </c>
      <c r="BO552" s="160">
        <f>BO549-BO550</f>
        <v>673</v>
      </c>
      <c r="BP552" s="72">
        <f>IF(ISERROR(BO552/BG552),"NA",IF(OR(BO552/BG552&gt;2,BO552/BG552&lt;0.5),"NM",BO552/BG552*100-100))</f>
        <v>-14.114344053088303</v>
      </c>
      <c r="BQ552" s="160">
        <f>BQ549-BQ550</f>
        <v>832</v>
      </c>
      <c r="BR552" s="72">
        <f>IF(ISERROR(BQ552/BI552),"NA",IF(OR(BQ552/BI552&gt;2,BQ552/BI552&lt;0.5),"NM",BQ552/BI552*100-100))</f>
        <v>4</v>
      </c>
      <c r="BS552" s="160">
        <f>BS549-BS550</f>
        <v>418</v>
      </c>
      <c r="BT552" s="72" t="str">
        <f>IF(ISERROR(BS552/BK552),"NA",IF(OR(BS552/BK552&gt;2,BS552/BK552&lt;0.5),"NM",BS552/BK552*100-100))</f>
        <v>NM</v>
      </c>
      <c r="BU552" s="160">
        <f>BU549-BU550</f>
        <v>-878</v>
      </c>
      <c r="BV552" s="72" t="str">
        <f>IF(ISERROR(BU552/BM552),"NA",IF(OR(BU552/BM552&gt;2,BU552/BM552&lt;0.5),"NM",BU552/BM552*100-100))</f>
        <v>NM</v>
      </c>
      <c r="BW552" s="160">
        <f>BW549-BW550</f>
        <v>189</v>
      </c>
      <c r="BX552" s="72" t="str">
        <f>IF(ISERROR(BW552/BO552),"NA",IF(OR(BW552/BO552&gt;2,BW552/BO552&lt;0.5),"NM",BW552/BO552*100-100))</f>
        <v>NM</v>
      </c>
      <c r="BY552" s="160">
        <f>BY549-BY550</f>
        <v>861</v>
      </c>
      <c r="BZ552" s="72">
        <f>IF(ISERROR(BY552/BQ552),"NA",IF(OR(BY552/BQ552&gt;2,BY552/BQ552&lt;0.5),"NM",BY552/BQ552*100-100))</f>
        <v>3.4855769230769198</v>
      </c>
      <c r="CA552" s="160">
        <f>CA549-CA550</f>
        <v>820</v>
      </c>
      <c r="CB552" s="72">
        <f>IF(ISERROR(CA552/BS552),"NA",IF(OR(CA552/BS552&gt;2,CA552/BS552&lt;0.5),"NM",CA552/BS552*100-100))</f>
        <v>96.172248803827756</v>
      </c>
      <c r="CC552" s="160">
        <f>CC549-CC550</f>
        <v>554</v>
      </c>
      <c r="CD552" s="72" t="str">
        <f>IF(ISERROR(CC552/BU552),"NA",IF(OR(CC552/BU552&gt;2,CC552/BU552&lt;0.5),"NM",CC552/BU552*100-100))</f>
        <v>NM</v>
      </c>
      <c r="CE552" s="160">
        <f>CE549-CE550</f>
        <v>634</v>
      </c>
      <c r="CF552" s="72" t="str">
        <f>IF(ISERROR(CE552/BW552),"NA",IF(OR(CE552/BW552&gt;2,CE552/BW552&lt;0.5),"NM",CE552/BW552*100-100))</f>
        <v>NM</v>
      </c>
      <c r="CG552" s="160">
        <f>CG549-CG550</f>
        <v>379</v>
      </c>
      <c r="CH552" s="72" t="str">
        <f>IF(ISERROR(CG552/BY552),"NA",IF(OR(CG552/BY552&gt;2,CG552/BY552&lt;0.5),"NM",CG552/BY552*100-100))</f>
        <v>NM</v>
      </c>
      <c r="CI552" s="160">
        <f>CI549-CI550</f>
        <v>902</v>
      </c>
      <c r="CJ552" s="72">
        <f>IF(ISERROR(CI552/CA552),"NA",IF(OR(CI552/CA552&gt;2,CI552/CA552&lt;0.5),"NM",CI552/CA552*100-100))</f>
        <v>10.000000000000014</v>
      </c>
      <c r="CK552" s="160">
        <f>CK549-CK550</f>
        <v>786</v>
      </c>
      <c r="CL552" s="72">
        <f>IF(ISERROR(CK552/CC552),"NA",IF(OR(CK552/CC552&gt;2,CK552/CC552&lt;0.5),"NM",CK552/CC552*100-100))</f>
        <v>41.877256317689529</v>
      </c>
      <c r="CM552" s="160">
        <f>CM549-CM550</f>
        <v>800</v>
      </c>
      <c r="CN552" s="72">
        <f>IF(ISERROR(CM552/CE552),"NA",IF(OR(CM552/CE552&gt;2,CM552/CE552&lt;0.5),"NM",CM552/CE552*100-100))</f>
        <v>26.18296529968454</v>
      </c>
      <c r="CO552" s="160">
        <f>CO549-CO550</f>
        <v>773</v>
      </c>
      <c r="CP552" s="72" t="str">
        <f>IF(ISERROR(CO552/CG552),"NA",IF(OR(CO552/CG552&gt;2,CO552/CG552&lt;0.5),"NM",CO552/CG552*100-100))</f>
        <v>NM</v>
      </c>
      <c r="CQ552" s="160">
        <f>CQ549-CQ550</f>
        <v>406</v>
      </c>
      <c r="CR552" s="72" t="str">
        <f>IF(ISERROR(CQ552/CI552),"NA",IF(OR(CQ552/CI552&gt;2,CQ552/CI552&lt;0.5),"NM",CQ552/CI552*100-100))</f>
        <v>NM</v>
      </c>
      <c r="CS552" s="160">
        <f>CS549-CS550</f>
        <v>855</v>
      </c>
      <c r="CT552" s="72">
        <f>IF(ISERROR(CS552/CK552),"NA",IF(OR(CS552/CK552&gt;2,CS552/CK552&lt;0.5),"NM",CS552/CK552*100-100))</f>
        <v>8.7786259541984748</v>
      </c>
      <c r="CU552" s="160">
        <f>CU549-CU550</f>
        <v>784</v>
      </c>
      <c r="CV552" s="72">
        <f>IF(ISERROR(CU552/CM552),"NA",IF(OR(CU552/CM552&gt;2,CU552/CM552&lt;0.5),"NM",CU552/CM552*100-100))</f>
        <v>-2</v>
      </c>
      <c r="CW552" s="160">
        <f>CW549-CW550</f>
        <v>651</v>
      </c>
      <c r="CX552" s="72">
        <f>IF(ISERROR(CW552/CO552),"NA",IF(OR(CW552/CO552&gt;2,CW552/CO552&lt;0.5),"NM",CW552/CO552*100-100))</f>
        <v>-15.782664941785256</v>
      </c>
      <c r="CY552" s="160">
        <f>CY549-CY550</f>
        <v>759</v>
      </c>
      <c r="CZ552" s="72">
        <f>IF(ISERROR(CY552/CQ552),"NA",IF(OR(CY552/CQ552&gt;2,CY552/CQ552&lt;0.5),"NM",CY552/CQ552*100-100))</f>
        <v>86.945812807881794</v>
      </c>
      <c r="DA552" s="160">
        <f>DA549-DA550</f>
        <v>831</v>
      </c>
      <c r="DB552" s="72">
        <f>IF(ISERROR(DA552/CS552),"NA",IF(OR(DA552/CS552&gt;2,DA552/CS552&lt;0.5),"NM",DA552/CS552*100-100))</f>
        <v>-2.8070175438596436</v>
      </c>
      <c r="DC552" s="160">
        <f>DC549-DC550</f>
        <v>1072</v>
      </c>
      <c r="DD552" s="72">
        <f>IF(ISERROR(DC552/CU552),"NA",IF(OR(DC552/CU552&gt;2,DC552/CU552&lt;0.5),"NM",DC552/CU552*100-100))</f>
        <v>36.734693877551024</v>
      </c>
      <c r="DE552" s="160">
        <f>DE549-DE550</f>
        <v>1093</v>
      </c>
      <c r="DF552" s="72">
        <f>IF(ISERROR(DE552/CW552),"NA",IF(OR(DE552/CW552&gt;2,DE552/CW552&lt;0.5),"NM",DE552/CW552*100-100))</f>
        <v>67.895545314900176</v>
      </c>
      <c r="DG552" s="160">
        <f>DG549-DG550</f>
        <v>1373</v>
      </c>
      <c r="DH552" s="72">
        <f>IF(ISERROR(DG552/CY552),"NA",IF(OR(DG552/CY552&gt;2,DG552/CY552&lt;0.5),"NM",DG552/CY552*100-100))</f>
        <v>80.895915678524375</v>
      </c>
      <c r="DI552" s="160">
        <f>DI549-DI550</f>
        <v>1048</v>
      </c>
      <c r="DJ552" s="72">
        <f>IF(ISERROR(DI552/DA552),"NA",IF(OR(DI552/DA552&gt;2,DI552/DA552&lt;0.5),"NM",DI552/DA552*100-100))</f>
        <v>26.113116726835145</v>
      </c>
      <c r="DK552" s="160">
        <f>DK549-DK550</f>
        <v>1137</v>
      </c>
      <c r="DL552" s="72">
        <f>IF(ISERROR(DK552/DC552),"NA",IF(OR(DK552/DC552&gt;2,DK552/DC552&lt;0.5),"NM",DK552/DC552*100-100))</f>
        <v>6.0634328358208904</v>
      </c>
      <c r="DM552" s="160">
        <f>DM549-DM550</f>
        <v>1176</v>
      </c>
      <c r="DN552" s="72">
        <f t="shared" si="2630"/>
        <v>7.5937785910338533</v>
      </c>
      <c r="DO552" s="160">
        <f>DO549-DO550</f>
        <v>1034</v>
      </c>
      <c r="DP552" s="72">
        <f t="shared" si="2630"/>
        <v>-24.690458849235256</v>
      </c>
      <c r="DQ552" s="160">
        <f>DQ549-DQ550</f>
        <v>1008</v>
      </c>
      <c r="DR552" s="72">
        <f t="shared" si="2630"/>
        <v>-3.8167938931297698</v>
      </c>
      <c r="DS552" s="160">
        <f>DS549-DS550</f>
        <v>1298</v>
      </c>
      <c r="DT552" s="72">
        <f t="shared" si="2630"/>
        <v>14.16007036059807</v>
      </c>
      <c r="DU552" s="160">
        <f>DU549-DU550</f>
        <v>1350</v>
      </c>
      <c r="DV552" s="72">
        <f t="shared" si="2630"/>
        <v>14.795918367346957</v>
      </c>
      <c r="DW552" s="160">
        <f>DW549-DW550</f>
        <v>1110</v>
      </c>
      <c r="DX552" s="72">
        <f t="shared" si="2630"/>
        <v>7.3500967117988409</v>
      </c>
      <c r="DY552" s="160">
        <f>DY549-DY550</f>
        <v>891</v>
      </c>
      <c r="DZ552" s="72">
        <f t="shared" si="2630"/>
        <v>-11.607142857142861</v>
      </c>
      <c r="EA552" s="160">
        <f>EA549-EA550</f>
        <v>997</v>
      </c>
      <c r="EB552" s="72">
        <f>IF(ISERROR(EA552/DS552),"NA",IF(OR(EA552/DS552&gt;2,EA552/DS552&lt;0.5),"NM",EA552/DS552*100-100))</f>
        <v>-23.18952234206472</v>
      </c>
      <c r="EC552" s="160">
        <f>EC549-EC550</f>
        <v>829</v>
      </c>
      <c r="ED552" s="72">
        <f>IF(ISERROR(EC552/DU552),"NA",IF(OR(EC552/DU552&gt;2,EC552/DU552&lt;0.5),"NM",EC552/DU552*100-100))</f>
        <v>-38.592592592592588</v>
      </c>
      <c r="EE552" s="160">
        <f>EE549-EE550</f>
        <v>1191</v>
      </c>
      <c r="EF552" s="72">
        <f>IF(ISERROR(EE552/DW552),"NA",IF(OR(EE552/DW552&gt;2,EE552/DW552&lt;0.5),"NM",EE552/DW552*100-100))</f>
        <v>7.2972972972972912</v>
      </c>
      <c r="EG552" s="160">
        <f>EG549-EG550</f>
        <v>1090</v>
      </c>
      <c r="EH552" s="72">
        <f>IF(ISERROR(EG552/DY552),"NA",IF(OR(EG552/DY552&gt;2,EG552/DY552&lt;0.5),"NM",EG552/DY552*100-100))</f>
        <v>22.334455667789001</v>
      </c>
      <c r="EI552" s="160">
        <f>EI549-EI550</f>
        <v>1237</v>
      </c>
      <c r="EJ552" s="72">
        <f>IF(ISERROR(EI552/EA552),"NA",IF(OR(EI552/EA552&gt;2,EI552/EA552&lt;0.5),"NM",EI552/EA552*100-100))</f>
        <v>24.072216649949851</v>
      </c>
      <c r="EK552" s="160">
        <f>EK549-EK550</f>
        <v>919</v>
      </c>
      <c r="EL552" s="72">
        <f>IF(ISERROR(EK552/EC552),"NA",IF(OR(EK552/EC552&gt;2,EK552/EC552&lt;0.5),"NM",EK552/EC552*100-100))</f>
        <v>10.856453558504214</v>
      </c>
      <c r="EM552" s="160">
        <f>EM549-EM550</f>
        <v>1323</v>
      </c>
      <c r="EN552" s="72">
        <f>IF(ISERROR(EM552/EE552),"NA",IF(OR(EM552/EE552&gt;2,EM552/EE552&lt;0.5),"NM",EM552/EE552*100-100))</f>
        <v>11.08312342569269</v>
      </c>
      <c r="EO552" s="160">
        <f>EO549-EO550</f>
        <v>1173</v>
      </c>
      <c r="EP552" s="72">
        <f>IF(ISERROR(EO552/EG552),"NA",IF(OR(EO552/EG552&gt;2,EO552/EG552&lt;0.5),"NM",EO552/EG552*100-100))</f>
        <v>7.6146788990825627</v>
      </c>
      <c r="EQ552" s="160">
        <f t="shared" ref="EQ552" si="2645">EQ549-EQ550</f>
        <v>1337.6539953800166</v>
      </c>
      <c r="ER552" s="72">
        <f t="shared" si="2631"/>
        <v>8.1369438464039376</v>
      </c>
      <c r="ES552" s="160">
        <f t="shared" ref="ES552" si="2646">ES549-ES550</f>
        <v>1344.9585156595535</v>
      </c>
      <c r="ET552" s="72">
        <f t="shared" si="2632"/>
        <v>46.350219331833898</v>
      </c>
      <c r="EU552" s="160">
        <f t="shared" ref="EU552" si="2647">EU549-EU550</f>
        <v>1329.8396634684204</v>
      </c>
      <c r="EV552" s="72">
        <f t="shared" si="2633"/>
        <v>0.51698136571583575</v>
      </c>
      <c r="EW552" s="160">
        <f t="shared" ref="EW552" si="2648">EW549-EW550</f>
        <v>1199.5935562897889</v>
      </c>
      <c r="EX552" s="72">
        <f t="shared" si="2634"/>
        <v>2.2671403486606039</v>
      </c>
      <c r="EY552" s="72"/>
      <c r="EZ552" s="332"/>
      <c r="FA552" s="72"/>
      <c r="FB552" s="160"/>
      <c r="FC552" s="161"/>
      <c r="FD552" s="737">
        <f>FD549-FD550</f>
        <v>220</v>
      </c>
      <c r="FE552" s="72"/>
      <c r="FF552" s="737">
        <f>FF549-FF550</f>
        <v>244</v>
      </c>
      <c r="FG552" s="72"/>
      <c r="FH552" s="737">
        <f>FH549-FH550</f>
        <v>565</v>
      </c>
      <c r="FI552" s="72"/>
      <c r="FJ552" s="737">
        <f>FJ549-FJ550</f>
        <v>720</v>
      </c>
      <c r="FK552" s="72"/>
      <c r="FL552" s="737">
        <f>FL549-FL550</f>
        <v>1084</v>
      </c>
      <c r="FM552" s="72"/>
      <c r="FN552" s="737">
        <f>FN549-FN550</f>
        <v>1635</v>
      </c>
      <c r="FO552" s="72"/>
      <c r="FP552" s="737">
        <f>FP549-FP550</f>
        <v>2086</v>
      </c>
      <c r="FQ552" s="72"/>
      <c r="FR552" s="737">
        <f>FR549-FR550</f>
        <v>2288</v>
      </c>
      <c r="FS552" s="72">
        <f t="shared" si="2635"/>
        <v>9.6836049856184019</v>
      </c>
      <c r="FT552" s="737">
        <f>FT549-FT550</f>
        <v>2754.6000000000004</v>
      </c>
      <c r="FU552" s="72">
        <f t="shared" si="2635"/>
        <v>20.393356643356668</v>
      </c>
      <c r="FV552" s="737">
        <f>FV549-FV550</f>
        <v>-649</v>
      </c>
      <c r="FW552" s="72" t="str">
        <f t="shared" si="2635"/>
        <v>NM</v>
      </c>
      <c r="FX552" s="737">
        <f>FX549-FX550</f>
        <v>1116</v>
      </c>
      <c r="FY552" s="72" t="str">
        <f t="shared" si="2635"/>
        <v>NM</v>
      </c>
      <c r="FZ552" s="737">
        <f>FZ549-FZ550</f>
        <v>2049</v>
      </c>
      <c r="GA552" s="72">
        <f t="shared" si="2635"/>
        <v>83.602150537634401</v>
      </c>
      <c r="GB552" s="737">
        <f>GB549-GB550</f>
        <v>2286</v>
      </c>
      <c r="GC552" s="72">
        <f t="shared" si="2635"/>
        <v>11.566617862371899</v>
      </c>
      <c r="GD552" s="737">
        <f>GD549-GD550</f>
        <v>2478</v>
      </c>
      <c r="GE552" s="72">
        <f t="shared" si="2635"/>
        <v>8.3989501312335904</v>
      </c>
      <c r="GF552" s="737">
        <f>GF549-GF550</f>
        <v>4775</v>
      </c>
      <c r="GG552" s="72">
        <f t="shared" si="2635"/>
        <v>92.69572235673931</v>
      </c>
      <c r="GH552" s="737">
        <f>GH549-GH550</f>
        <v>4264</v>
      </c>
      <c r="GI552" s="72">
        <f t="shared" si="2636"/>
        <v>-10.701570680628265</v>
      </c>
      <c r="GJ552" s="737">
        <f>GJ549-GJ550</f>
        <v>4649</v>
      </c>
      <c r="GK552" s="532">
        <f t="shared" si="2636"/>
        <v>9.0290806754221364</v>
      </c>
      <c r="GL552" s="737">
        <f>GL549-GL550</f>
        <v>4107</v>
      </c>
      <c r="GM552" s="532">
        <f t="shared" si="2636"/>
        <v>-11.658421165842114</v>
      </c>
      <c r="GN552" s="737">
        <f>GN549-GN550</f>
        <v>4652</v>
      </c>
      <c r="GO552" s="532">
        <f t="shared" si="2636"/>
        <v>13.270026783540303</v>
      </c>
      <c r="GP552" s="737">
        <f>GP549-GP550</f>
        <v>5212.0457307977795</v>
      </c>
      <c r="GQ552" s="532">
        <f t="shared" si="2636"/>
        <v>12.038816225231713</v>
      </c>
      <c r="GR552" s="160">
        <f>GR549-GR550</f>
        <v>5275.3860821617618</v>
      </c>
      <c r="GS552" s="532">
        <f t="shared" si="2636"/>
        <v>1.215268526707419</v>
      </c>
      <c r="GT552" s="160">
        <f>GT549-GT550</f>
        <v>5330.1772453206413</v>
      </c>
      <c r="GU552" s="72">
        <f t="shared" si="2636"/>
        <v>1.0386190186942201</v>
      </c>
      <c r="GV552" s="160">
        <f>GV549-GV550</f>
        <v>5391.2071880921685</v>
      </c>
      <c r="GW552" s="72">
        <f>IF(ISERROR(GV552/GT552),"NA",IF(OR(GV552/GT552&gt;2,GV552/GT552&lt;0.5),"NM",GV552/GT552*100-100))</f>
        <v>1.1449889930978543</v>
      </c>
      <c r="GX552" s="160">
        <f>GX549-GX550</f>
        <v>5444.2816195673659</v>
      </c>
      <c r="GY552" s="72">
        <f>IF(ISERROR(GX552/GV552),"NA",IF(OR(GX552/GV552&gt;2,GX552/GV552&lt;0.5),"NM",GX552/GV552*100-100))</f>
        <v>0.98446284150284669</v>
      </c>
      <c r="GZ552" s="72">
        <f>IF(ISERROR(((GX552/GN552)^0.2-1)*100),"NA",IF((((GX552/GN552)^0.2-1)*100)&gt;100,"NM",IF((((GX552/GN552)^0.2-1)*100)&lt;-50,"NM",((GX552/GN552)^0.2-1)*100)))</f>
        <v>3.1953611355479472</v>
      </c>
      <c r="HA552" s="72"/>
      <c r="HB552" s="72"/>
      <c r="HC552"/>
      <c r="HD552"/>
      <c r="HE552"/>
      <c r="HF552"/>
      <c r="HG552"/>
      <c r="HH552"/>
      <c r="HI552" s="2"/>
    </row>
    <row r="553" spans="1:217" s="78" customFormat="1" ht="12.75" customHeight="1" x14ac:dyDescent="0.2">
      <c r="A553" s="3"/>
      <c r="B553" s="89"/>
      <c r="C553" s="160"/>
      <c r="D553" s="161"/>
      <c r="E553" s="160"/>
      <c r="F553" s="161"/>
      <c r="G553" s="160"/>
      <c r="H553" s="172"/>
      <c r="I553" s="160"/>
      <c r="J553" s="161"/>
      <c r="K553" s="160"/>
      <c r="L553" s="72"/>
      <c r="M553" s="160"/>
      <c r="N553" s="72"/>
      <c r="O553" s="160"/>
      <c r="P553" s="72"/>
      <c r="Q553" s="160"/>
      <c r="R553" s="72"/>
      <c r="S553" s="160"/>
      <c r="T553" s="72"/>
      <c r="U553" s="160"/>
      <c r="V553" s="72"/>
      <c r="W553" s="160"/>
      <c r="X553" s="72"/>
      <c r="Y553" s="160"/>
      <c r="Z553" s="72"/>
      <c r="AA553" s="160"/>
      <c r="AB553" s="72"/>
      <c r="AC553" s="160"/>
      <c r="AD553" s="72"/>
      <c r="AE553" s="160"/>
      <c r="AF553" s="72"/>
      <c r="AG553" s="160"/>
      <c r="AH553" s="72"/>
      <c r="AI553" s="160"/>
      <c r="AJ553" s="72"/>
      <c r="AK553" s="160"/>
      <c r="AL553" s="72"/>
      <c r="AM553" s="160"/>
      <c r="AN553" s="72"/>
      <c r="AO553" s="160"/>
      <c r="AP553" s="72"/>
      <c r="AQ553" s="160"/>
      <c r="AR553" s="72"/>
      <c r="AS553" s="160"/>
      <c r="AT553" s="72"/>
      <c r="AU553" s="160"/>
      <c r="AV553" s="72"/>
      <c r="AW553" s="160"/>
      <c r="AX553" s="72"/>
      <c r="AY553" s="160"/>
      <c r="AZ553" s="72"/>
      <c r="BA553" s="160"/>
      <c r="BB553" s="72"/>
      <c r="BC553" s="160"/>
      <c r="BD553" s="72"/>
      <c r="BE553" s="160"/>
      <c r="BF553" s="72"/>
      <c r="BG553" s="160"/>
      <c r="BH553" s="72"/>
      <c r="BI553" s="160"/>
      <c r="BJ553" s="72"/>
      <c r="BK553" s="160"/>
      <c r="BL553" s="72"/>
      <c r="BM553" s="160"/>
      <c r="BN553" s="72"/>
      <c r="BO553" s="160"/>
      <c r="BP553" s="72"/>
      <c r="BQ553" s="160"/>
      <c r="BR553" s="72"/>
      <c r="BS553" s="160"/>
      <c r="BT553" s="72"/>
      <c r="BU553" s="160"/>
      <c r="BV553" s="72"/>
      <c r="BW553" s="160"/>
      <c r="BX553" s="72"/>
      <c r="BY553" s="160"/>
      <c r="BZ553" s="72"/>
      <c r="CA553" s="160"/>
      <c r="CB553" s="72"/>
      <c r="CC553" s="160"/>
      <c r="CD553" s="72"/>
      <c r="CE553" s="160"/>
      <c r="CF553" s="72"/>
      <c r="CG553" s="160"/>
      <c r="CH553" s="72"/>
      <c r="CI553" s="160"/>
      <c r="CJ553" s="72"/>
      <c r="CK553" s="160"/>
      <c r="CL553" s="72"/>
      <c r="CM553" s="160"/>
      <c r="CN553" s="72"/>
      <c r="CO553" s="160"/>
      <c r="CP553" s="72"/>
      <c r="CQ553" s="160"/>
      <c r="CR553" s="72"/>
      <c r="CS553" s="160"/>
      <c r="CT553" s="72"/>
      <c r="CU553" s="160"/>
      <c r="CV553" s="72"/>
      <c r="CW553" s="160"/>
      <c r="CX553" s="72"/>
      <c r="CY553" s="160"/>
      <c r="CZ553" s="72"/>
      <c r="DA553" s="160"/>
      <c r="DB553" s="72"/>
      <c r="DC553" s="160"/>
      <c r="DD553" s="72"/>
      <c r="DE553" s="160"/>
      <c r="DF553" s="72"/>
      <c r="DG553" s="160"/>
      <c r="DH553" s="72"/>
      <c r="DI553" s="160"/>
      <c r="DJ553" s="72"/>
      <c r="DK553" s="160"/>
      <c r="DL553" s="72"/>
      <c r="DM553" s="160"/>
      <c r="DN553" s="72"/>
      <c r="DO553" s="160"/>
      <c r="DP553" s="72"/>
      <c r="DQ553" s="160"/>
      <c r="DR553" s="72"/>
      <c r="DS553" s="160"/>
      <c r="DT553" s="72"/>
      <c r="DU553" s="160"/>
      <c r="DV553" s="72"/>
      <c r="DW553" s="160"/>
      <c r="DX553" s="72"/>
      <c r="DY553" s="160"/>
      <c r="DZ553" s="72"/>
      <c r="EA553" s="160"/>
      <c r="EB553" s="72"/>
      <c r="EC553" s="160"/>
      <c r="ED553" s="72"/>
      <c r="EE553" s="160"/>
      <c r="EF553" s="72"/>
      <c r="EG553" s="160"/>
      <c r="EH553" s="72"/>
      <c r="EI553" s="160"/>
      <c r="EJ553" s="72"/>
      <c r="EK553" s="160"/>
      <c r="EL553" s="72"/>
      <c r="EM553" s="160"/>
      <c r="EN553" s="72"/>
      <c r="EO553" s="160"/>
      <c r="EP553" s="72"/>
      <c r="EQ553" s="160"/>
      <c r="ER553" s="72"/>
      <c r="ES553" s="160"/>
      <c r="ET553" s="72"/>
      <c r="EU553" s="160"/>
      <c r="EV553" s="72"/>
      <c r="EW553" s="160"/>
      <c r="EX553" s="72"/>
      <c r="EY553" s="72"/>
      <c r="EZ553" s="332"/>
      <c r="FA553" s="72"/>
      <c r="FB553" s="160"/>
      <c r="FC553" s="161"/>
      <c r="FD553" s="737"/>
      <c r="FE553" s="72"/>
      <c r="FF553" s="737"/>
      <c r="FG553" s="72"/>
      <c r="FH553" s="737"/>
      <c r="FI553" s="72"/>
      <c r="FJ553" s="737"/>
      <c r="FK553" s="72"/>
      <c r="FL553" s="737"/>
      <c r="FM553" s="72"/>
      <c r="FN553" s="737"/>
      <c r="FO553" s="72"/>
      <c r="FP553" s="737"/>
      <c r="FQ553" s="72"/>
      <c r="FR553" s="737"/>
      <c r="FS553" s="72"/>
      <c r="FT553" s="737"/>
      <c r="FU553" s="72"/>
      <c r="FV553" s="737"/>
      <c r="FW553" s="72"/>
      <c r="FX553" s="737"/>
      <c r="FY553" s="72"/>
      <c r="FZ553" s="737"/>
      <c r="GA553" s="72"/>
      <c r="GB553" s="737"/>
      <c r="GC553" s="72"/>
      <c r="GD553" s="737"/>
      <c r="GE553" s="72"/>
      <c r="GF553" s="737"/>
      <c r="GG553" s="72"/>
      <c r="GH553" s="737"/>
      <c r="GI553" s="72"/>
      <c r="GJ553" s="737"/>
      <c r="GK553" s="532"/>
      <c r="GL553" s="737"/>
      <c r="GM553" s="532"/>
      <c r="GN553" s="737"/>
      <c r="GO553" s="532"/>
      <c r="GP553" s="737"/>
      <c r="GQ553" s="532"/>
      <c r="GR553" s="160"/>
      <c r="GS553" s="532"/>
      <c r="GT553" s="160"/>
      <c r="GU553" s="72"/>
      <c r="GV553" s="160"/>
      <c r="GW553" s="72"/>
      <c r="GX553" s="160"/>
      <c r="GY553" s="72"/>
      <c r="GZ553" s="72"/>
      <c r="HA553" s="72"/>
      <c r="HB553" s="72"/>
      <c r="HC553"/>
      <c r="HD553"/>
      <c r="HE553"/>
      <c r="HF553"/>
      <c r="HG553"/>
      <c r="HH553"/>
      <c r="HI553" s="2"/>
    </row>
    <row r="554" spans="1:217" s="78" customFormat="1" ht="12.75" customHeight="1" x14ac:dyDescent="0.2">
      <c r="A554" s="3"/>
      <c r="B554" s="89" t="s">
        <v>633</v>
      </c>
      <c r="C554" s="160"/>
      <c r="D554" s="161"/>
      <c r="E554" s="160"/>
      <c r="F554" s="161"/>
      <c r="G554" s="160"/>
      <c r="H554" s="172"/>
      <c r="I554" s="160"/>
      <c r="J554" s="161"/>
      <c r="K554" s="160"/>
      <c r="L554" s="72"/>
      <c r="M554" s="160"/>
      <c r="N554" s="72"/>
      <c r="O554" s="160"/>
      <c r="P554" s="72"/>
      <c r="Q554" s="160"/>
      <c r="R554" s="72"/>
      <c r="S554" s="160"/>
      <c r="T554" s="72"/>
      <c r="U554" s="160"/>
      <c r="V554" s="72"/>
      <c r="W554" s="160"/>
      <c r="X554" s="72"/>
      <c r="Y554" s="160"/>
      <c r="Z554" s="72"/>
      <c r="AA554" s="160"/>
      <c r="AB554" s="72"/>
      <c r="AC554" s="160"/>
      <c r="AD554" s="72"/>
      <c r="AE554" s="160"/>
      <c r="AF554" s="72"/>
      <c r="AG554" s="160"/>
      <c r="AH554" s="72"/>
      <c r="AI554" s="160"/>
      <c r="AJ554" s="72"/>
      <c r="AK554" s="160"/>
      <c r="AL554" s="72"/>
      <c r="AM554" s="160"/>
      <c r="AN554" s="72"/>
      <c r="AO554" s="160"/>
      <c r="AP554" s="72"/>
      <c r="AQ554" s="160"/>
      <c r="AR554" s="72"/>
      <c r="AS554" s="160"/>
      <c r="AT554" s="72"/>
      <c r="AU554" s="160"/>
      <c r="AV554" s="72"/>
      <c r="AW554" s="160"/>
      <c r="AX554" s="72"/>
      <c r="AY554" s="160">
        <f>AY552+AY545</f>
        <v>621</v>
      </c>
      <c r="AZ554" s="72" t="str">
        <f>IF(ISERROR(AY554/AQ554),"NA",IF(OR(AY554/AQ554&gt;2,AY554/AQ554&lt;0.5),"NM",AY554/AQ554*100-100))</f>
        <v>NA</v>
      </c>
      <c r="BA554" s="160">
        <f>BA552+BA545</f>
        <v>664</v>
      </c>
      <c r="BB554" s="72" t="str">
        <f>IF(ISERROR(BA554/AS554),"NA",IF(OR(BA554/AS554&gt;2,BA554/AS554&lt;0.5),"NM",BA554/AS554*100-100))</f>
        <v>NA</v>
      </c>
      <c r="BC554" s="160">
        <f>BC552+BC545</f>
        <v>792</v>
      </c>
      <c r="BD554" s="72" t="str">
        <f>IF(ISERROR(BC554/AU554),"NA",IF(OR(BC554/AU554&gt;2,BC554/AU554&lt;0.5),"NM",BC554/AU554*100-100))</f>
        <v>NA</v>
      </c>
      <c r="BE554" s="160">
        <f>BE552+BE545</f>
        <v>734</v>
      </c>
      <c r="BF554" s="72" t="str">
        <f>IF(ISERROR(BE554/AW554),"NA",IF(OR(BE554/AW554&gt;2,BE554/AW554&lt;0.5),"NM",BE554/AW554*100-100))</f>
        <v>NA</v>
      </c>
      <c r="BG554" s="160">
        <f>BG552+BG545</f>
        <v>798.19999999999993</v>
      </c>
      <c r="BH554" s="72">
        <f>IF(ISERROR(BG554/AY554),"NA",IF(OR(BG554/AY554&gt;2,BG554/AY554&lt;0.5),"NM",BG554/AY554*100-100))</f>
        <v>28.534621578099831</v>
      </c>
      <c r="BI554" s="160">
        <f>BI552+BI545</f>
        <v>814</v>
      </c>
      <c r="BJ554" s="72">
        <f>IF(ISERROR(BI554/BA554),"NA",IF(OR(BI554/BA554&gt;2,BI554/BA554&lt;0.5),"NM",BI554/BA554*100-100))</f>
        <v>22.590361445783131</v>
      </c>
      <c r="BK554" s="160">
        <f>BK552+BK545</f>
        <v>929</v>
      </c>
      <c r="BL554" s="72">
        <f>IF(ISERROR(BK554/BC554),"NA",IF(OR(BK554/BC554&gt;2,BK554/BC554&lt;0.5),"NM",BK554/BC554*100-100))</f>
        <v>17.297979797979806</v>
      </c>
      <c r="BM554" s="160">
        <f>BM552+BM545</f>
        <v>791</v>
      </c>
      <c r="BN554" s="72">
        <f>IF(ISERROR(BM554/BE554),"NA",IF(OR(BM554/BE554&gt;2,BM554/BE554&lt;0.5),"NM",BM554/BE554*100-100))</f>
        <v>7.7656675749318822</v>
      </c>
      <c r="BO554" s="160">
        <f>BO552+BO545</f>
        <v>685</v>
      </c>
      <c r="BP554" s="72">
        <f>IF(ISERROR(BO554/BG554),"NA",IF(OR(BO554/BG554&gt;2,BO554/BG554&lt;0.5),"NM",BO554/BG554*100-100))</f>
        <v>-14.181909295915801</v>
      </c>
      <c r="BQ554" s="160">
        <f>BQ552+BQ545</f>
        <v>846</v>
      </c>
      <c r="BR554" s="72">
        <f>IF(ISERROR(BQ554/BI554),"NA",IF(OR(BQ554/BI554&gt;2,BQ554/BI554&lt;0.5),"NM",BQ554/BI554*100-100))</f>
        <v>3.9312039312039389</v>
      </c>
      <c r="BS554" s="160">
        <f>BS552+BS545</f>
        <v>428</v>
      </c>
      <c r="BT554" s="72" t="str">
        <f>IF(ISERROR(BS554/BK554),"NA",IF(OR(BS554/BK554&gt;2,BS554/BK554&lt;0.5),"NM",BS554/BK554*100-100))</f>
        <v>NM</v>
      </c>
      <c r="BU554" s="160">
        <f>BU552+BU545</f>
        <v>-859</v>
      </c>
      <c r="BV554" s="72" t="str">
        <f>IF(ISERROR(BU554/BM554),"NA",IF(OR(BU554/BM554&gt;2,BU554/BM554&lt;0.5),"NM",BU554/BM554*100-100))</f>
        <v>NM</v>
      </c>
      <c r="BW554" s="160">
        <f>BW552+BW545</f>
        <v>200</v>
      </c>
      <c r="BX554" s="72" t="str">
        <f>IF(ISERROR(BW554/BO554),"NA",IF(OR(BW554/BO554&gt;2,BW554/BO554&lt;0.5),"NM",BW554/BO554*100-100))</f>
        <v>NM</v>
      </c>
      <c r="BY554" s="160">
        <f>BY552+BY545</f>
        <v>861</v>
      </c>
      <c r="BZ554" s="72">
        <f>IF(ISERROR(BY554/BQ554),"NA",IF(OR(BY554/BQ554&gt;2,BY554/BQ554&lt;0.5),"NM",BY554/BQ554*100-100))</f>
        <v>1.7730496453900741</v>
      </c>
      <c r="CA554" s="160">
        <f>CA552+CA545</f>
        <v>820</v>
      </c>
      <c r="CB554" s="72">
        <f>IF(ISERROR(CA554/BS554),"NA",IF(OR(CA554/BS554&gt;2,CA554/BS554&lt;0.5),"NM",CA554/BS554*100-100))</f>
        <v>91.588785046728987</v>
      </c>
      <c r="CC554" s="160">
        <f>CC552+CC545</f>
        <v>559</v>
      </c>
      <c r="CD554" s="72" t="str">
        <f>IF(ISERROR(CC554/BU554),"NA",IF(OR(CC554/BU554&gt;2,CC554/BU554&lt;0.5),"NM",CC554/BU554*100-100))</f>
        <v>NM</v>
      </c>
      <c r="CE554" s="160">
        <f>CE552+CE545</f>
        <v>640</v>
      </c>
      <c r="CF554" s="72" t="str">
        <f>IF(ISERROR(CE554/BW554),"NA",IF(OR(CE554/BW554&gt;2,CE554/BW554&lt;0.5),"NM",CE554/BW554*100-100))</f>
        <v>NM</v>
      </c>
      <c r="CG554" s="160">
        <f>CG552+CG545</f>
        <v>389</v>
      </c>
      <c r="CH554" s="72" t="str">
        <f>IF(ISERROR(CG554/BY554),"NA",IF(OR(CG554/BY554&gt;2,CG554/BY554&lt;0.5),"NM",CG554/BY554*100-100))</f>
        <v>NM</v>
      </c>
      <c r="CI554" s="160">
        <f>CI552+CI545</f>
        <v>903</v>
      </c>
      <c r="CJ554" s="72">
        <f>IF(ISERROR(CI554/CA554),"NA",IF(OR(CI554/CA554&gt;2,CI554/CA554&lt;0.5),"NM",CI554/CA554*100-100))</f>
        <v>10.121951219512198</v>
      </c>
      <c r="CK554" s="160">
        <f>CK552+CK545</f>
        <v>787</v>
      </c>
      <c r="CL554" s="72">
        <f>IF(ISERROR(CK554/CC554),"NA",IF(OR(CK554/CC554&gt;2,CK554/CC554&lt;0.5),"NM",CK554/CC554*100-100))</f>
        <v>40.787119856887301</v>
      </c>
      <c r="CM554" s="160">
        <f>CM552+CM545</f>
        <v>800</v>
      </c>
      <c r="CN554" s="72">
        <f>IF(ISERROR(CM554/CE554),"NA",IF(OR(CM554/CE554&gt;2,CM554/CE554&lt;0.5),"NM",CM554/CE554*100-100))</f>
        <v>25</v>
      </c>
      <c r="CO554" s="160">
        <f>CO552+CO545</f>
        <v>775</v>
      </c>
      <c r="CP554" s="72">
        <f>IF(ISERROR(CO554/CG554),"NA",IF(OR(CO554/CG554&gt;2,CO554/CG554&lt;0.5),"NM",CO554/CG554*100-100))</f>
        <v>99.228791773778937</v>
      </c>
      <c r="CQ554" s="160">
        <f>CQ552+CQ545</f>
        <v>410</v>
      </c>
      <c r="CR554" s="72" t="str">
        <f>IF(ISERROR(CQ554/CI554),"NA",IF(OR(CQ554/CI554&gt;2,CQ554/CI554&lt;0.5),"NM",CQ554/CI554*100-100))</f>
        <v>NM</v>
      </c>
      <c r="CS554" s="160">
        <f>CS552+CS545</f>
        <v>851</v>
      </c>
      <c r="CT554" s="72">
        <f>IF(ISERROR(CS554/CK554),"NA",IF(OR(CS554/CK554&gt;2,CS554/CK554&lt;0.5),"NM",CS554/CK554*100-100))</f>
        <v>8.1321473951715433</v>
      </c>
      <c r="CU554" s="160">
        <f>CU552+CU545</f>
        <v>790</v>
      </c>
      <c r="CV554" s="72">
        <f>IF(ISERROR(CU554/CM554),"NA",IF(OR(CU554/CM554&gt;2,CU554/CM554&lt;0.5),"NM",CU554/CM554*100-100))</f>
        <v>-1.25</v>
      </c>
      <c r="CW554" s="160">
        <f>CW552+CW545</f>
        <v>657</v>
      </c>
      <c r="CX554" s="72">
        <f>IF(ISERROR(CW554/CO554),"NA",IF(OR(CW554/CO554&gt;2,CW554/CO554&lt;0.5),"NM",CW554/CO554*100-100))</f>
        <v>-15.225806451612897</v>
      </c>
      <c r="CY554" s="160">
        <f>CY552+CY545</f>
        <v>756</v>
      </c>
      <c r="CZ554" s="72">
        <f>IF(ISERROR(CY554/CQ554),"NA",IF(OR(CY554/CQ554&gt;2,CY554/CQ554&lt;0.5),"NM",CY554/CQ554*100-100))</f>
        <v>84.390243902439039</v>
      </c>
      <c r="DA554" s="160">
        <f>DA552+DA545</f>
        <v>828</v>
      </c>
      <c r="DB554" s="72">
        <f>IF(ISERROR(DA554/CS554),"NA",IF(OR(DA554/CS554&gt;2,DA554/CS554&lt;0.5),"NM",DA554/CS554*100-100))</f>
        <v>-2.7027027027026946</v>
      </c>
      <c r="DC554" s="160">
        <f>DC552+DC545</f>
        <v>1069</v>
      </c>
      <c r="DD554" s="72">
        <f>IF(ISERROR(DC554/CU554),"NA",IF(OR(DC554/CU554&gt;2,DC554/CU554&lt;0.5),"NM",DC554/CU554*100-100))</f>
        <v>35.316455696202553</v>
      </c>
      <c r="DE554" s="160">
        <f>DE552+DE545</f>
        <v>1088</v>
      </c>
      <c r="DF554" s="72">
        <f>IF(ISERROR(DE554/CW554),"NA",IF(OR(DE554/CW554&gt;2,DE554/CW554&lt;0.5),"NM",DE554/CW554*100-100))</f>
        <v>65.601217656012182</v>
      </c>
      <c r="DG554" s="160">
        <f>DG552+DG545</f>
        <v>1366</v>
      </c>
      <c r="DH554" s="72">
        <f>IF(ISERROR(DG554/CY554),"NA",IF(OR(DG554/CY554&gt;2,DG554/CY554&lt;0.5),"NM",DG554/CY554*100-100))</f>
        <v>80.687830687830683</v>
      </c>
      <c r="DI554" s="160">
        <f>DI552+DI545</f>
        <v>1038</v>
      </c>
      <c r="DJ554" s="72">
        <f>IF(ISERROR(DI554/DA554),"NA",IF(OR(DI554/DA554&gt;2,DI554/DA554&lt;0.5),"NM",DI554/DA554*100-100))</f>
        <v>25.362318840579718</v>
      </c>
      <c r="DK554" s="160">
        <f>DK552+DK545</f>
        <v>1135</v>
      </c>
      <c r="DL554" s="72">
        <f>IF(ISERROR(DK554/DC554),"NA",IF(OR(DK554/DC554&gt;2,DK554/DC554&lt;0.5),"NM",DK554/DC554*100-100))</f>
        <v>6.173994387277844</v>
      </c>
      <c r="DM554" s="160">
        <f>DM552+DM545</f>
        <v>1173</v>
      </c>
      <c r="DN554" s="72">
        <f>IF(ISERROR(DM554/DE554),"NA",IF(OR(DM554/DE554&gt;2,DM554/DE554&lt;0.5),"NM",DM554/DE554*100-100))</f>
        <v>7.8125</v>
      </c>
      <c r="DO554" s="160">
        <f>DO552+DO545</f>
        <v>1031</v>
      </c>
      <c r="DP554" s="72">
        <f>IF(ISERROR(DO554/DG554),"NA",IF(OR(DO554/DG554&gt;2,DO554/DG554&lt;0.5),"NM",DO554/DG554*100-100))</f>
        <v>-24.524158125915079</v>
      </c>
      <c r="DQ554" s="160">
        <f>DQ552+DQ545</f>
        <v>989</v>
      </c>
      <c r="DR554" s="72">
        <f>IF(ISERROR(DQ554/DI554),"NA",IF(OR(DQ554/DI554&gt;2,DQ554/DI554&lt;0.5),"NM",DQ554/DI554*100-100))</f>
        <v>-4.7206165703275502</v>
      </c>
      <c r="DS554" s="160">
        <f>DS552+DS545</f>
        <v>1298</v>
      </c>
      <c r="DT554" s="72">
        <f>IF(ISERROR(DS554/DK554),"NA",IF(OR(DS554/DK554&gt;2,DS554/DK554&lt;0.5),"NM",DS554/DK554*100-100))</f>
        <v>14.36123348017621</v>
      </c>
      <c r="DU554" s="160">
        <f>DU552+DU545</f>
        <v>1350</v>
      </c>
      <c r="DV554" s="72">
        <f>IF(ISERROR(DU554/DM554),"NA",IF(OR(DU554/DM554&gt;2,DU554/DM554&lt;0.5),"NM",DU554/DM554*100-100))</f>
        <v>15.089514066496164</v>
      </c>
      <c r="DW554" s="160">
        <f>DW552+DW545</f>
        <v>1110</v>
      </c>
      <c r="DX554" s="72">
        <f>IF(ISERROR(DW554/DO554),"NA",IF(OR(DW554/DO554&gt;2,DW554/DO554&lt;0.5),"NM",DW554/DO554*100-100))</f>
        <v>7.6624636275460745</v>
      </c>
      <c r="DY554" s="160">
        <f>DY552+DY545</f>
        <v>891</v>
      </c>
      <c r="DZ554" s="72">
        <f>IF(ISERROR(DY554/DQ554),"NA",IF(OR(DY554/DQ554&gt;2,DY554/DQ554&lt;0.5),"NM",DY554/DQ554*100-100))</f>
        <v>-9.9089989888776557</v>
      </c>
      <c r="EA554" s="160">
        <f>EA552+EA545</f>
        <v>997</v>
      </c>
      <c r="EB554" s="72">
        <f>IF(ISERROR(EA554/DS554),"NA",IF(OR(EA554/DS554&gt;2,EA554/DS554&lt;0.5),"NM",EA554/DS554*100-100))</f>
        <v>-23.18952234206472</v>
      </c>
      <c r="EC554" s="160">
        <f>EC552+EC545</f>
        <v>829</v>
      </c>
      <c r="ED554" s="72">
        <f>IF(ISERROR(EC554/DU554),"NA",IF(OR(EC554/DU554&gt;2,EC554/DU554&lt;0.5),"NM",EC554/DU554*100-100))</f>
        <v>-38.592592592592588</v>
      </c>
      <c r="EE554" s="160">
        <f>EE552+EE545</f>
        <v>1181.5</v>
      </c>
      <c r="EF554" s="72">
        <f>IF(ISERROR(EE554/DW554),"NA",IF(OR(EE554/DW554&gt;2,EE554/DW554&lt;0.5),"NM",EE554/DW554*100-100))</f>
        <v>6.4414414414414267</v>
      </c>
      <c r="EG554" s="160">
        <f>EG552+EG545</f>
        <v>1081</v>
      </c>
      <c r="EH554" s="72">
        <f>IF(ISERROR(EG554/DY554),"NA",IF(OR(EG554/DY554&gt;2,EG554/DY554&lt;0.5),"NM",EG554/DY554*100-100))</f>
        <v>21.324354657687977</v>
      </c>
      <c r="EI554" s="160">
        <f>EI552+EI545</f>
        <v>1227</v>
      </c>
      <c r="EJ554" s="72">
        <f>IF(ISERROR(EI554/EA554),"NA",IF(OR(EI554/EA554&gt;2,EI554/EA554&lt;0.5),"NM",EI554/EA554*100-100))</f>
        <v>23.069207622868618</v>
      </c>
      <c r="EK554" s="160">
        <f>EK552+EK545</f>
        <v>914</v>
      </c>
      <c r="EL554" s="72">
        <f>IF(ISERROR(EK554/EC554),"NA",IF(OR(EK554/EC554&gt;2,EK554/EC554&lt;0.5),"NM",EK554/EC554*100-100))</f>
        <v>10.253317249698426</v>
      </c>
      <c r="EM554" s="160">
        <f>EM552+EM545</f>
        <v>1311</v>
      </c>
      <c r="EN554" s="72">
        <f>IF(ISERROR(EM554/EE554),"NA",IF(OR(EM554/EE554&gt;2,EM554/EE554&lt;0.5),"NM",EM554/EE554*100-100))</f>
        <v>10.96064325010579</v>
      </c>
      <c r="EO554" s="160">
        <f>EO552+EO545</f>
        <v>1162</v>
      </c>
      <c r="EP554" s="72">
        <f>IF(ISERROR(EO554/EG554),"NA",IF(OR(EO554/EG554&gt;2,EO554/EG554&lt;0.5),"NM",EO554/EG554*100-100))</f>
        <v>7.4930619796484734</v>
      </c>
      <c r="EQ554" s="160">
        <f t="shared" ref="EQ554" si="2649">EQ552+EQ545</f>
        <v>1326.6539953800166</v>
      </c>
      <c r="ER554" s="72">
        <f t="shared" ref="ER554" si="2650">IF(ISERROR(EQ554/EI554),"NA",IF(OR(EQ554/EI554&gt;2,EQ554/EI554&lt;0.5),"NM",EQ554/EI554*100-100))</f>
        <v>8.1217600146712812</v>
      </c>
      <c r="ES554" s="160">
        <f t="shared" ref="ES554" si="2651">ES552+ES545</f>
        <v>1333.9585156595535</v>
      </c>
      <c r="ET554" s="72">
        <f t="shared" ref="ET554" si="2652">IF(ISERROR(ES554/EK554),"NA",IF(OR(ES554/EK554&gt;2,ES554/EK554&lt;0.5),"NM",ES554/EK554*100-100))</f>
        <v>45.947321188134964</v>
      </c>
      <c r="EU554" s="160">
        <f t="shared" ref="EU554" si="2653">EU552+EU545</f>
        <v>1318.8396634684204</v>
      </c>
      <c r="EV554" s="72">
        <f t="shared" ref="EV554" si="2654">IF(ISERROR(EU554/EM554),"NA",IF(OR(EU554/EM554&gt;2,EU554/EM554&lt;0.5),"NM",EU554/EM554*100-100))</f>
        <v>0.59799111124488036</v>
      </c>
      <c r="EW554" s="160">
        <f t="shared" ref="EW554" si="2655">EW552+EW545</f>
        <v>1188.5935562897889</v>
      </c>
      <c r="EX554" s="72">
        <f t="shared" ref="EX554" si="2656">IF(ISERROR(EW554/EO554),"NA",IF(OR(EW554/EO554&gt;2,EW554/EO554&lt;0.5),"NM",EW554/EO554*100-100))</f>
        <v>2.2886020903432751</v>
      </c>
      <c r="EY554" s="72"/>
      <c r="EZ554" s="332"/>
      <c r="FA554" s="72"/>
      <c r="FB554" s="160"/>
      <c r="FC554" s="161"/>
      <c r="FD554" s="160">
        <f>FD552+FD545</f>
        <v>222</v>
      </c>
      <c r="FE554" s="72"/>
      <c r="FF554" s="160">
        <f>FF552+FF545</f>
        <v>252</v>
      </c>
      <c r="FG554" s="72"/>
      <c r="FH554" s="160">
        <f>FH552+FH545</f>
        <v>577</v>
      </c>
      <c r="FI554" s="72"/>
      <c r="FJ554" s="160">
        <f>FJ552+FJ545</f>
        <v>725</v>
      </c>
      <c r="FK554" s="72"/>
      <c r="FL554" s="160">
        <f>FL552+FL545</f>
        <v>1090</v>
      </c>
      <c r="FM554" s="72"/>
      <c r="FN554" s="160">
        <f>FN552+FN545</f>
        <v>1632</v>
      </c>
      <c r="FO554" s="72"/>
      <c r="FP554" s="160">
        <f>FP552+FP545</f>
        <v>2072</v>
      </c>
      <c r="FQ554" s="72"/>
      <c r="FR554" s="160">
        <f>FR552+FR545</f>
        <v>2270</v>
      </c>
      <c r="FS554" s="72">
        <f>IF(ISERROR(FR554/FP554),"NA",IF(OR(FR554/FP554&gt;2,FR554/FP554&lt;0.5),"NM",FR554/FP554*100-100))</f>
        <v>9.5559845559845655</v>
      </c>
      <c r="FT554" s="160">
        <f>FT552+FT545</f>
        <v>2729.6000000000004</v>
      </c>
      <c r="FU554" s="72">
        <f>IF(ISERROR(FT554/FR554),"NA",IF(OR(FT554/FR554&gt;2,FT554/FR554&lt;0.5),"NM",FT554/FR554*100-100))</f>
        <v>20.246696035242323</v>
      </c>
      <c r="FV554" s="160">
        <f>FV552+FV545</f>
        <v>-673</v>
      </c>
      <c r="FW554" s="72" t="str">
        <f>IF(ISERROR(FV554/FT554),"NA",IF(OR(FV554/FT554&gt;2,FV554/FT554&lt;0.5),"NM",FV554/FT554*100-100))</f>
        <v>NM</v>
      </c>
      <c r="FX554" s="160">
        <f>FX552+FX545</f>
        <v>1094</v>
      </c>
      <c r="FY554" s="72" t="str">
        <f>IF(ISERROR(FX554/FV554),"NA",IF(OR(FX554/FV554&gt;2,FX554/FV554&lt;0.5),"NM",FX554/FV554*100-100))</f>
        <v>NM</v>
      </c>
      <c r="FZ554" s="160">
        <f>FZ552+FZ545</f>
        <v>2031</v>
      </c>
      <c r="GA554" s="72">
        <f>IF(ISERROR(FZ554/FX554),"NA",IF(OR(FZ554/FX554&gt;2,FZ554/FX554&lt;0.5),"NM",FZ554/FX554*100-100))</f>
        <v>85.6489945155393</v>
      </c>
      <c r="GB554" s="160">
        <f>GB552+GB545</f>
        <v>2259</v>
      </c>
      <c r="GC554" s="72">
        <f>IF(ISERROR(GB554/FZ554),"NA",IF(OR(GB554/FZ554&gt;2,GB554/FZ554&lt;0.5),"NM",GB554/FZ554*100-100))</f>
        <v>11.225997045790265</v>
      </c>
      <c r="GD554" s="160">
        <f>GD552+GD545</f>
        <v>2453</v>
      </c>
      <c r="GE554" s="72">
        <f>IF(ISERROR(GD554/GB554),"NA",IF(OR(GD554/GB554&gt;2,GD554/GB554&lt;0.5),"NM",GD554/GB554*100-100))</f>
        <v>8.5878707392651705</v>
      </c>
      <c r="GF554" s="160">
        <f>GF552+GF545</f>
        <v>4753</v>
      </c>
      <c r="GG554" s="72">
        <f>IF(ISERROR(GF554/GD554),"NA",IF(OR(GF554/GD554&gt;2,GF554/GD554&lt;0.5),"NM",GF554/GD554*100-100))</f>
        <v>93.762739502649822</v>
      </c>
      <c r="GH554" s="160">
        <f>GH552+GH545</f>
        <v>4245</v>
      </c>
      <c r="GI554" s="72">
        <f t="shared" ref="GI554:GU554" si="2657">IF(ISERROR(GH554/GF554),"NA",IF(OR(GH554/GF554&gt;2,GH554/GF554&lt;0.5),"NM",GH554/GF554*100-100))</f>
        <v>-10.687986534820112</v>
      </c>
      <c r="GJ554" s="160">
        <f>GJ552+GJ545</f>
        <v>4649</v>
      </c>
      <c r="GK554" s="72">
        <f t="shared" si="2657"/>
        <v>9.5170789163722134</v>
      </c>
      <c r="GL554" s="160">
        <f>GL552+GL545</f>
        <v>4088.5</v>
      </c>
      <c r="GM554" s="160">
        <f t="shared" si="2657"/>
        <v>-12.056356205635623</v>
      </c>
      <c r="GN554" s="160">
        <f>GN552+GN545</f>
        <v>4614</v>
      </c>
      <c r="GO554" s="72">
        <f t="shared" si="2657"/>
        <v>12.853124617830503</v>
      </c>
      <c r="GP554" s="160">
        <f>GP552+GP545</f>
        <v>5168.0457307977795</v>
      </c>
      <c r="GQ554" s="72">
        <f t="shared" si="2657"/>
        <v>12.007926545248807</v>
      </c>
      <c r="GR554" s="160">
        <f>GR552+GR545</f>
        <v>5231.3860821617618</v>
      </c>
      <c r="GS554" s="72">
        <f t="shared" si="2657"/>
        <v>1.2256151486144944</v>
      </c>
      <c r="GT554" s="160">
        <f>GT552+GT545</f>
        <v>5286.1772453206413</v>
      </c>
      <c r="GU554" s="72">
        <f t="shared" si="2657"/>
        <v>1.0473546073326361</v>
      </c>
      <c r="GV554" s="160">
        <f>GV552+GV545</f>
        <v>5347.2071880921685</v>
      </c>
      <c r="GW554" s="72">
        <f>IF(ISERROR(GV554/GT554),"NA",IF(OR(GV554/GT554&gt;2,GV554/GT554&lt;0.5),"NM",GV554/GT554*100-100))</f>
        <v>1.1545194180832823</v>
      </c>
      <c r="GX554" s="160">
        <f>GX552+GX545</f>
        <v>5400.2816195673659</v>
      </c>
      <c r="GY554" s="72">
        <f>IF(ISERROR(GX554/GV554),"NA",IF(OR(GX554/GV554&gt;2,GX554/GV554&lt;0.5),"NM",GX554/GV554*100-100))</f>
        <v>0.99256358708879588</v>
      </c>
      <c r="GZ554" s="72">
        <f>IF(ISERROR(((GX554/GN554)^0.2-1)*100),"NA",IF((((GX554/GN554)^0.2-1)*100)&gt;100,"NM",IF((((GX554/GN554)^0.2-1)*100)&lt;-50,"NM",((GX554/GN554)^0.2-1)*100)))</f>
        <v>3.1971642873517059</v>
      </c>
      <c r="HA554" s="72"/>
      <c r="HB554" s="72"/>
      <c r="HC554"/>
      <c r="HD554"/>
      <c r="HE554"/>
      <c r="HF554"/>
      <c r="HG554"/>
      <c r="HH554"/>
      <c r="HI554" s="2"/>
    </row>
    <row r="555" spans="1:217" s="3" customFormat="1" ht="12.75" customHeight="1" x14ac:dyDescent="0.2">
      <c r="B555" s="10"/>
      <c r="C555" s="145"/>
      <c r="D555" s="11"/>
      <c r="E555" s="145"/>
      <c r="F555" s="11"/>
      <c r="G555" s="145"/>
      <c r="H555" s="167"/>
      <c r="I555" s="145"/>
      <c r="J555" s="11"/>
      <c r="K555" s="145"/>
      <c r="L555" s="72"/>
      <c r="M555" s="145"/>
      <c r="N555" s="72"/>
      <c r="O555" s="145"/>
      <c r="P555" s="72"/>
      <c r="Q555" s="145"/>
      <c r="R555" s="72"/>
      <c r="S555" s="145"/>
      <c r="T555" s="72"/>
      <c r="U555" s="145"/>
      <c r="V555" s="72"/>
      <c r="W555" s="145"/>
      <c r="X555" s="72"/>
      <c r="Y555" s="145"/>
      <c r="Z555" s="72"/>
      <c r="AA555" s="145"/>
      <c r="AB555" s="72"/>
      <c r="AC555" s="145"/>
      <c r="AD555" s="72"/>
      <c r="AE555" s="145"/>
      <c r="AF555" s="72"/>
      <c r="AG555" s="145"/>
      <c r="AH555" s="72"/>
      <c r="AI555" s="145"/>
      <c r="AJ555" s="72"/>
      <c r="AK555" s="145"/>
      <c r="AL555" s="72"/>
      <c r="AM555" s="145"/>
      <c r="AN555" s="72"/>
      <c r="AO555" s="145"/>
      <c r="AP555" s="72"/>
      <c r="AQ555" s="145"/>
      <c r="AR555" s="72"/>
      <c r="AS555" s="145"/>
      <c r="AT555" s="72"/>
      <c r="AU555" s="145"/>
      <c r="AV555" s="72"/>
      <c r="AW555" s="145"/>
      <c r="AX555" s="72"/>
      <c r="AY555" s="145"/>
      <c r="AZ555" s="72"/>
      <c r="BA555" s="145"/>
      <c r="BB555" s="72"/>
      <c r="BC555" s="145"/>
      <c r="BD555" s="72"/>
      <c r="BE555" s="145"/>
      <c r="BF555" s="72"/>
      <c r="BG555" s="145"/>
      <c r="BH555" s="72"/>
      <c r="BI555" s="145"/>
      <c r="BJ555" s="72"/>
      <c r="BK555" s="145"/>
      <c r="BL555" s="72"/>
      <c r="BM555" s="145"/>
      <c r="BN555" s="72"/>
      <c r="BO555" s="145"/>
      <c r="BP555" s="72"/>
      <c r="BQ555" s="145"/>
      <c r="BR555" s="72"/>
      <c r="BS555" s="145"/>
      <c r="BT555" s="72"/>
      <c r="BU555" s="145"/>
      <c r="BV555" s="72"/>
      <c r="BW555" s="145"/>
      <c r="BX555" s="72"/>
      <c r="BY555" s="145"/>
      <c r="BZ555" s="72"/>
      <c r="CA555" s="145"/>
      <c r="CB555" s="72"/>
      <c r="CC555" s="145"/>
      <c r="CD555" s="72"/>
      <c r="CE555" s="145"/>
      <c r="CF555" s="72"/>
      <c r="CG555" s="145"/>
      <c r="CH555" s="72"/>
      <c r="CI555" s="145"/>
      <c r="CJ555" s="72"/>
      <c r="CK555" s="145"/>
      <c r="CL555" s="72"/>
      <c r="CM555" s="145"/>
      <c r="CN555" s="72"/>
      <c r="CO555" s="145"/>
      <c r="CP555" s="72"/>
      <c r="CQ555" s="145"/>
      <c r="CR555" s="72"/>
      <c r="CS555" s="145"/>
      <c r="CT555" s="72"/>
      <c r="CU555" s="145"/>
      <c r="CV555" s="72"/>
      <c r="CW555" s="145"/>
      <c r="CX555" s="72"/>
      <c r="CY555" s="145"/>
      <c r="CZ555" s="72"/>
      <c r="DA555" s="145"/>
      <c r="DB555" s="72"/>
      <c r="DC555" s="145"/>
      <c r="DD555" s="72"/>
      <c r="DE555" s="145"/>
      <c r="DF555" s="72"/>
      <c r="DG555" s="145"/>
      <c r="DH555" s="72"/>
      <c r="DI555" s="145"/>
      <c r="DJ555" s="72"/>
      <c r="DK555" s="145"/>
      <c r="DL555" s="72"/>
      <c r="DM555" s="145"/>
      <c r="DN555" s="72"/>
      <c r="DO555" s="145"/>
      <c r="DP555" s="72"/>
      <c r="DQ555" s="145"/>
      <c r="DR555" s="72"/>
      <c r="DS555" s="145"/>
      <c r="DT555" s="72"/>
      <c r="DU555" s="145"/>
      <c r="DV555" s="72"/>
      <c r="DW555" s="145"/>
      <c r="DX555" s="72"/>
      <c r="DY555" s="145"/>
      <c r="DZ555" s="72"/>
      <c r="EA555" s="145"/>
      <c r="EB555" s="72"/>
      <c r="EC555" s="145"/>
      <c r="ED555" s="72"/>
      <c r="EE555" s="145"/>
      <c r="EF555" s="72"/>
      <c r="EG555" s="145"/>
      <c r="EH555" s="72"/>
      <c r="EI555" s="145"/>
      <c r="EJ555" s="72"/>
      <c r="EK555" s="145"/>
      <c r="EL555" s="72"/>
      <c r="EM555" s="145"/>
      <c r="EN555" s="72"/>
      <c r="EO555" s="145"/>
      <c r="EP555" s="72"/>
      <c r="EQ555" s="145"/>
      <c r="ER555" s="72"/>
      <c r="ES555" s="145"/>
      <c r="ET555" s="72"/>
      <c r="EU555" s="145"/>
      <c r="EV555" s="72"/>
      <c r="EW555" s="145"/>
      <c r="EX555" s="72"/>
      <c r="EY555" s="72"/>
      <c r="EZ555" s="296"/>
      <c r="FA555" s="72"/>
      <c r="FB555" s="145"/>
      <c r="FC555" s="11"/>
      <c r="FD555" s="145"/>
      <c r="FE555" s="72"/>
      <c r="FF555" s="145"/>
      <c r="FG555" s="72"/>
      <c r="FH555" s="145"/>
      <c r="FI555" s="72"/>
      <c r="FJ555" s="145"/>
      <c r="FK555" s="72"/>
      <c r="FL555" s="145"/>
      <c r="FM555" s="72"/>
      <c r="FN555" s="145"/>
      <c r="FO555" s="72"/>
      <c r="FP555" s="145"/>
      <c r="FQ555" s="72"/>
      <c r="FR555" s="145"/>
      <c r="FS555" s="72"/>
      <c r="FT555" s="145"/>
      <c r="FU555" s="72"/>
      <c r="FV555" s="145"/>
      <c r="FW555" s="72"/>
      <c r="FX555" s="145"/>
      <c r="FY555" s="72"/>
      <c r="FZ555" s="145"/>
      <c r="GA555" s="72"/>
      <c r="GB555" s="145"/>
      <c r="GC555" s="72"/>
      <c r="GD555" s="145"/>
      <c r="GE555" s="72"/>
      <c r="GF555" s="145"/>
      <c r="GG555" s="72"/>
      <c r="GH555" s="145"/>
      <c r="GI555" s="72"/>
      <c r="GJ555" s="145"/>
      <c r="GK555" s="72"/>
      <c r="GL555" s="145"/>
      <c r="GM555" s="72"/>
      <c r="GN555" s="145"/>
      <c r="GO555" s="72"/>
      <c r="GP555" s="145"/>
      <c r="GQ555" s="72"/>
      <c r="GR555" s="145"/>
      <c r="GS555" s="72"/>
      <c r="GT555" s="145"/>
      <c r="GU555" s="72"/>
      <c r="GV555" s="145"/>
      <c r="GW555" s="72"/>
      <c r="GX555" s="145"/>
      <c r="GY555" s="72"/>
      <c r="GZ555" s="72"/>
      <c r="HA555" s="72"/>
      <c r="HB555" s="72"/>
      <c r="HC555"/>
      <c r="HD555"/>
      <c r="HE555"/>
      <c r="HF555"/>
      <c r="HG555"/>
      <c r="HH555"/>
      <c r="HI555" s="2"/>
    </row>
    <row r="556" spans="1:217" s="3" customFormat="1" ht="12.75" customHeight="1" x14ac:dyDescent="0.2">
      <c r="B556" s="368" t="s">
        <v>473</v>
      </c>
      <c r="C556" s="145"/>
      <c r="D556" s="11"/>
      <c r="E556" s="145"/>
      <c r="F556" s="11"/>
      <c r="G556" s="145"/>
      <c r="H556" s="167"/>
      <c r="I556" s="145"/>
      <c r="J556" s="11"/>
      <c r="K556" s="145"/>
      <c r="L556" s="72"/>
      <c r="M556" s="145"/>
      <c r="N556" s="72"/>
      <c r="O556" s="145"/>
      <c r="P556" s="72"/>
      <c r="Q556" s="145"/>
      <c r="R556" s="72"/>
      <c r="S556" s="145"/>
      <c r="T556" s="72"/>
      <c r="U556" s="145"/>
      <c r="V556" s="72"/>
      <c r="W556" s="145"/>
      <c r="X556" s="72"/>
      <c r="Y556" s="145"/>
      <c r="Z556" s="72"/>
      <c r="AA556" s="145"/>
      <c r="AB556" s="72"/>
      <c r="AC556" s="145"/>
      <c r="AD556" s="72"/>
      <c r="AE556" s="145"/>
      <c r="AF556" s="72"/>
      <c r="AG556" s="145"/>
      <c r="AH556" s="72"/>
      <c r="AI556" s="145"/>
      <c r="AJ556" s="72"/>
      <c r="AK556" s="145"/>
      <c r="AL556" s="72"/>
      <c r="AM556" s="145"/>
      <c r="AN556" s="72"/>
      <c r="AO556" s="145"/>
      <c r="AP556" s="72"/>
      <c r="AQ556" s="145"/>
      <c r="AR556" s="72"/>
      <c r="AS556" s="145"/>
      <c r="AT556" s="72"/>
      <c r="AU556" s="145"/>
      <c r="AV556" s="72"/>
      <c r="AW556" s="145"/>
      <c r="AX556" s="72"/>
      <c r="AY556" s="145"/>
      <c r="AZ556" s="72"/>
      <c r="BA556" s="145"/>
      <c r="BB556" s="72"/>
      <c r="BC556" s="145"/>
      <c r="BD556" s="72"/>
      <c r="BE556" s="145"/>
      <c r="BF556" s="72"/>
      <c r="BG556" s="145"/>
      <c r="BH556" s="72"/>
      <c r="BI556" s="145"/>
      <c r="BJ556" s="72"/>
      <c r="BK556" s="145"/>
      <c r="BL556" s="72"/>
      <c r="BM556" s="145"/>
      <c r="BN556" s="72"/>
      <c r="BO556" s="145"/>
      <c r="BP556" s="72"/>
      <c r="BQ556" s="145"/>
      <c r="BR556" s="72"/>
      <c r="BS556" s="145"/>
      <c r="BT556" s="72"/>
      <c r="BU556" s="145"/>
      <c r="BV556" s="72"/>
      <c r="BW556" s="145"/>
      <c r="BX556" s="72"/>
      <c r="BY556" s="145"/>
      <c r="BZ556" s="72"/>
      <c r="CA556" s="145"/>
      <c r="CB556" s="72"/>
      <c r="CC556" s="145"/>
      <c r="CD556" s="72"/>
      <c r="CE556" s="145"/>
      <c r="CF556" s="72"/>
      <c r="CG556" s="145"/>
      <c r="CH556" s="72"/>
      <c r="CI556" s="145"/>
      <c r="CJ556" s="72"/>
      <c r="CK556" s="145"/>
      <c r="CL556" s="72"/>
      <c r="CM556" s="145"/>
      <c r="CN556" s="72"/>
      <c r="CO556" s="145"/>
      <c r="CP556" s="72"/>
      <c r="CQ556" s="145"/>
      <c r="CR556" s="72"/>
      <c r="CS556" s="145"/>
      <c r="CT556" s="72"/>
      <c r="CU556" s="145"/>
      <c r="CV556" s="72"/>
      <c r="CW556" s="145"/>
      <c r="CX556" s="72"/>
      <c r="CY556" s="145"/>
      <c r="CZ556" s="72"/>
      <c r="DA556" s="145"/>
      <c r="DB556" s="72"/>
      <c r="DC556" s="145"/>
      <c r="DD556" s="72"/>
      <c r="DE556" s="145"/>
      <c r="DF556" s="72"/>
      <c r="DG556" s="145"/>
      <c r="DH556" s="72"/>
      <c r="DI556" s="145"/>
      <c r="DJ556" s="72"/>
      <c r="DK556" s="145"/>
      <c r="DL556" s="72"/>
      <c r="DM556" s="145"/>
      <c r="DN556" s="72"/>
      <c r="DO556" s="145"/>
      <c r="DP556" s="72"/>
      <c r="DQ556" s="145"/>
      <c r="DR556" s="72"/>
      <c r="DS556" s="145"/>
      <c r="DT556" s="72"/>
      <c r="DU556" s="145"/>
      <c r="DV556" s="72"/>
      <c r="DW556" s="145"/>
      <c r="DX556" s="72"/>
      <c r="DY556" s="145"/>
      <c r="DZ556" s="72"/>
      <c r="EA556" s="145"/>
      <c r="EB556" s="72"/>
      <c r="EC556" s="145"/>
      <c r="ED556" s="72"/>
      <c r="EE556" s="145"/>
      <c r="EF556" s="72"/>
      <c r="EG556" s="145"/>
      <c r="EH556" s="72"/>
      <c r="EI556" s="145"/>
      <c r="EJ556" s="72"/>
      <c r="EK556" s="145"/>
      <c r="EL556" s="72"/>
      <c r="EM556" s="145"/>
      <c r="EN556" s="72"/>
      <c r="EO556" s="145"/>
      <c r="EP556" s="72"/>
      <c r="EQ556" s="145"/>
      <c r="ER556" s="72"/>
      <c r="ES556" s="145"/>
      <c r="ET556" s="72"/>
      <c r="EU556" s="145"/>
      <c r="EV556" s="72"/>
      <c r="EW556" s="145"/>
      <c r="EX556" s="72"/>
      <c r="EY556" s="72"/>
      <c r="EZ556" s="296"/>
      <c r="FA556" s="72"/>
      <c r="FB556" s="145"/>
      <c r="FC556" s="11"/>
      <c r="FD556" s="145"/>
      <c r="FE556" s="72"/>
      <c r="FF556" s="145"/>
      <c r="FG556" s="72"/>
      <c r="FH556" s="145"/>
      <c r="FI556" s="72"/>
      <c r="FJ556" s="145"/>
      <c r="FK556" s="72"/>
      <c r="FL556" s="145"/>
      <c r="FM556" s="72"/>
      <c r="FN556" s="145"/>
      <c r="FO556" s="72"/>
      <c r="FP556" s="145"/>
      <c r="FQ556" s="72"/>
      <c r="FR556" s="145"/>
      <c r="FS556" s="72"/>
      <c r="FT556" s="145"/>
      <c r="FU556" s="72"/>
      <c r="FV556" s="145"/>
      <c r="FW556" s="72"/>
      <c r="FX556" s="145"/>
      <c r="FY556" s="72"/>
      <c r="FZ556" s="145"/>
      <c r="GA556" s="72"/>
      <c r="GB556" s="145"/>
      <c r="GC556" s="72"/>
      <c r="GD556" s="145"/>
      <c r="GE556" s="72"/>
      <c r="GF556" s="145"/>
      <c r="GG556" s="72"/>
      <c r="GH556" s="145"/>
      <c r="GI556" s="72"/>
      <c r="GJ556" s="145"/>
      <c r="GK556" s="72"/>
      <c r="GL556" s="145"/>
      <c r="GM556" s="72"/>
      <c r="GN556" s="145"/>
      <c r="GO556" s="72"/>
      <c r="GP556" s="145"/>
      <c r="GQ556" s="72"/>
      <c r="GR556" s="145"/>
      <c r="GS556" s="72"/>
      <c r="GT556" s="145"/>
      <c r="GU556" s="72"/>
      <c r="GV556" s="145"/>
      <c r="GW556" s="72"/>
      <c r="GX556" s="145"/>
      <c r="GY556" s="72"/>
      <c r="GZ556" s="72"/>
      <c r="HA556" s="72"/>
      <c r="HB556" s="72"/>
      <c r="HC556"/>
      <c r="HD556"/>
      <c r="HE556"/>
      <c r="HF556"/>
      <c r="HG556"/>
      <c r="HH556"/>
      <c r="HI556" s="2"/>
    </row>
    <row r="557" spans="1:217" s="78" customFormat="1" ht="12.75" customHeight="1" x14ac:dyDescent="0.2">
      <c r="A557" s="3"/>
      <c r="B557" s="89" t="s">
        <v>474</v>
      </c>
      <c r="C557" s="160"/>
      <c r="D557" s="161"/>
      <c r="E557" s="160"/>
      <c r="F557" s="161"/>
      <c r="G557" s="160"/>
      <c r="H557" s="172"/>
      <c r="I557" s="160"/>
      <c r="J557" s="161"/>
      <c r="K557" s="160"/>
      <c r="L557" s="72"/>
      <c r="M557" s="160"/>
      <c r="N557" s="72"/>
      <c r="O557" s="160"/>
      <c r="P557" s="72"/>
      <c r="Q557" s="160"/>
      <c r="R557" s="72"/>
      <c r="S557" s="160"/>
      <c r="T557" s="72"/>
      <c r="U557" s="160"/>
      <c r="V557" s="72"/>
      <c r="W557" s="160"/>
      <c r="X557" s="72"/>
      <c r="Y557" s="160"/>
      <c r="Z557" s="72"/>
      <c r="AA557" s="160"/>
      <c r="AB557" s="72"/>
      <c r="AC557" s="160"/>
      <c r="AD557" s="72"/>
      <c r="AE557" s="160"/>
      <c r="AF557" s="72"/>
      <c r="AG557" s="160"/>
      <c r="AH557" s="72"/>
      <c r="AI557" s="160"/>
      <c r="AJ557" s="72"/>
      <c r="AK557" s="160"/>
      <c r="AL557" s="72"/>
      <c r="AM557" s="160"/>
      <c r="AN557" s="72"/>
      <c r="AO557" s="160"/>
      <c r="AP557" s="72"/>
      <c r="AQ557" s="160"/>
      <c r="AR557" s="72"/>
      <c r="AS557" s="160"/>
      <c r="AT557" s="72"/>
      <c r="AU557" s="160"/>
      <c r="AV557" s="72"/>
      <c r="AW557" s="160"/>
      <c r="AX557" s="72"/>
      <c r="AY557" s="160">
        <f>AY533</f>
        <v>957</v>
      </c>
      <c r="AZ557" s="72"/>
      <c r="BA557" s="160">
        <f>BA533</f>
        <v>941</v>
      </c>
      <c r="BB557" s="72"/>
      <c r="BC557" s="160">
        <f>BC533</f>
        <v>943</v>
      </c>
      <c r="BD557" s="72"/>
      <c r="BE557" s="160">
        <f>BE533</f>
        <v>972</v>
      </c>
      <c r="BF557" s="72"/>
      <c r="BG557" s="160">
        <f>BG533</f>
        <v>1049.5999999999999</v>
      </c>
      <c r="BH557" s="72"/>
      <c r="BI557" s="160">
        <f>BI533</f>
        <v>1096</v>
      </c>
      <c r="BJ557" s="72"/>
      <c r="BK557" s="160">
        <f>BK533</f>
        <v>1310</v>
      </c>
      <c r="BL557" s="72"/>
      <c r="BM557" s="160">
        <f>BM533</f>
        <v>1174</v>
      </c>
      <c r="BN557" s="72"/>
      <c r="BO557" s="160">
        <f>BO533</f>
        <v>942</v>
      </c>
      <c r="BP557" s="72"/>
      <c r="BQ557" s="160">
        <f>BQ533</f>
        <v>1074</v>
      </c>
      <c r="BR557" s="72"/>
      <c r="BS557" s="160">
        <f>BS533</f>
        <v>960</v>
      </c>
      <c r="BT557" s="72"/>
      <c r="BU557" s="160">
        <f>BU533</f>
        <v>575</v>
      </c>
      <c r="BV557" s="72"/>
      <c r="BW557" s="160">
        <f>BW533</f>
        <v>613</v>
      </c>
      <c r="BX557" s="72"/>
      <c r="BY557" s="160">
        <f>BY533</f>
        <v>714</v>
      </c>
      <c r="BZ557" s="72"/>
      <c r="CA557" s="160">
        <f>CA533</f>
        <v>835</v>
      </c>
      <c r="CB557" s="72"/>
      <c r="CC557" s="160">
        <f>CC533</f>
        <v>686</v>
      </c>
      <c r="CD557" s="72"/>
      <c r="CE557" s="160">
        <f>CE533</f>
        <v>757</v>
      </c>
      <c r="CF557" s="72"/>
      <c r="CG557" s="160">
        <f>CG533</f>
        <v>811</v>
      </c>
      <c r="CH557" s="72"/>
      <c r="CI557" s="160">
        <f>CI533</f>
        <v>755</v>
      </c>
      <c r="CJ557" s="72"/>
      <c r="CK557" s="160">
        <f>CK533</f>
        <v>872</v>
      </c>
      <c r="CL557" s="72"/>
      <c r="CM557" s="160">
        <f>CM533</f>
        <v>949.7</v>
      </c>
      <c r="CN557" s="72"/>
      <c r="CO557" s="160">
        <f>CO533</f>
        <v>1105</v>
      </c>
      <c r="CP557" s="72"/>
      <c r="CQ557" s="160">
        <f>CQ533</f>
        <v>983</v>
      </c>
      <c r="CR557" s="72"/>
      <c r="CS557" s="160">
        <f>CS533</f>
        <v>978</v>
      </c>
      <c r="CT557" s="72"/>
      <c r="CU557" s="160">
        <f>CU533</f>
        <v>928</v>
      </c>
      <c r="CV557" s="72"/>
      <c r="CW557" s="160">
        <f>CW533</f>
        <v>1102</v>
      </c>
      <c r="CX557" s="72"/>
      <c r="CY557" s="160">
        <f>CY533</f>
        <v>1187</v>
      </c>
      <c r="CZ557" s="72"/>
      <c r="DA557" s="160">
        <f>DA533</f>
        <v>1132</v>
      </c>
      <c r="DB557" s="72"/>
      <c r="DC557" s="160">
        <f>DC533</f>
        <v>1372</v>
      </c>
      <c r="DD557" s="72"/>
      <c r="DE557" s="160">
        <f>DE533</f>
        <v>1371</v>
      </c>
      <c r="DF557" s="72"/>
      <c r="DG557" s="160">
        <f>DG533</f>
        <v>1515</v>
      </c>
      <c r="DH557" s="72"/>
      <c r="DI557" s="160">
        <f>DI533</f>
        <v>1473</v>
      </c>
      <c r="DJ557" s="72"/>
      <c r="DK557" s="160">
        <f>DK533</f>
        <v>1616</v>
      </c>
      <c r="DL557" s="72"/>
      <c r="DM557" s="160">
        <f>DM533</f>
        <v>1635</v>
      </c>
      <c r="DN557" s="72">
        <f t="shared" ref="DN557:DZ561" si="2658">IF(ISERROR(DM557/DE557),"NA",IF(OR(DM557/DE557&gt;2,DM557/DE557&lt;0.5),"NM",DM557/DE557*100-100))</f>
        <v>19.256017505470453</v>
      </c>
      <c r="DO557" s="160">
        <f>DO533</f>
        <v>1597</v>
      </c>
      <c r="DP557" s="72">
        <f t="shared" si="2658"/>
        <v>5.4125412541254008</v>
      </c>
      <c r="DQ557" s="160">
        <f>DQ533</f>
        <v>1496</v>
      </c>
      <c r="DR557" s="72">
        <f t="shared" si="2658"/>
        <v>1.5614392396469725</v>
      </c>
      <c r="DS557" s="160">
        <f>DS533</f>
        <v>1648</v>
      </c>
      <c r="DT557" s="72">
        <f t="shared" si="2658"/>
        <v>1.9801980198019749</v>
      </c>
      <c r="DU557" s="160">
        <f>DU533</f>
        <v>1638</v>
      </c>
      <c r="DV557" s="72">
        <f t="shared" si="2658"/>
        <v>0.18348623853211166</v>
      </c>
      <c r="DW557" s="160">
        <f>DW533</f>
        <v>1547</v>
      </c>
      <c r="DX557" s="72">
        <f t="shared" si="2658"/>
        <v>-3.1308703819661901</v>
      </c>
      <c r="DY557" s="160">
        <f>DY533</f>
        <v>1274.5</v>
      </c>
      <c r="DZ557" s="72">
        <f t="shared" si="2658"/>
        <v>-14.806149732620327</v>
      </c>
      <c r="EA557" s="160">
        <f>EA533</f>
        <v>1423</v>
      </c>
      <c r="EB557" s="72">
        <f>IF(ISERROR(EA557/DS557),"NA",IF(OR(EA557/DS557&gt;2,EA557/DS557&lt;0.5),"NM",EA557/DS557*100-100))</f>
        <v>-13.652912621359221</v>
      </c>
      <c r="EC557" s="160">
        <f>EC533</f>
        <v>1492</v>
      </c>
      <c r="ED557" s="72">
        <f>IF(ISERROR(EC557/DU557),"NA",IF(OR(EC557/DU557&gt;2,EC557/DU557&lt;0.5),"NM",EC557/DU557*100-100))</f>
        <v>-8.9133089133089101</v>
      </c>
      <c r="EE557" s="160">
        <f>EE533</f>
        <v>1453</v>
      </c>
      <c r="EF557" s="72">
        <f>IF(ISERROR(EE557/DW557),"NA",IF(OR(EE557/DW557&gt;2,EE557/DW557&lt;0.5),"NM",EE557/DW557*100-100))</f>
        <v>-6.0762766645119655</v>
      </c>
      <c r="EG557" s="160">
        <f>EG533</f>
        <v>1439</v>
      </c>
      <c r="EH557" s="72">
        <f>IF(ISERROR(EG557/DY557),"NA",IF(OR(EG557/DY557&gt;2,EG557/DY557&lt;0.5),"NM",EG557/DY557*100-100))</f>
        <v>12.907022361710489</v>
      </c>
      <c r="EI557" s="160">
        <f>EI533</f>
        <v>1640.1</v>
      </c>
      <c r="EJ557" s="72">
        <f>IF(ISERROR(EI557/EA557),"NA",IF(OR(EI557/EA557&gt;2,EI557/EA557&lt;0.5),"NM",EI557/EA557*100-100))</f>
        <v>15.256500351370335</v>
      </c>
      <c r="EK557" s="160">
        <f>EK533</f>
        <v>1796</v>
      </c>
      <c r="EL557" s="72">
        <f>IF(ISERROR(EK557/EC557),"NA",IF(OR(EK557/EC557&gt;2,EK557/EC557&lt;0.5),"NM",EK557/EC557*100-100))</f>
        <v>20.375335120643427</v>
      </c>
      <c r="EM557" s="160">
        <f>EM533</f>
        <v>1736</v>
      </c>
      <c r="EN557" s="72">
        <f>IF(ISERROR(EM557/EE557),"NA",IF(OR(EM557/EE557&gt;2,EM557/EE557&lt;0.5),"NM",EM557/EE557*100-100))</f>
        <v>19.476944253269096</v>
      </c>
      <c r="EO557" s="160">
        <f>EO533</f>
        <v>1568</v>
      </c>
      <c r="EP557" s="72">
        <f>IF(ISERROR(EO557/EG557),"NA",IF(OR(EO557/EG557&gt;2,EO557/EG557&lt;0.5),"NM",EO557/EG557*100-100))</f>
        <v>8.9645587213342566</v>
      </c>
      <c r="EQ557" s="160">
        <f t="shared" ref="EQ557" si="2659">EQ533</f>
        <v>1714.94101971797</v>
      </c>
      <c r="ER557" s="72">
        <f t="shared" ref="ER557:ER561" si="2660">IF(ISERROR(EQ557/EI557),"NA",IF(OR(EQ557/EI557&gt;2,EQ557/EI557&lt;0.5),"NM",EQ557/EI557*100-100))</f>
        <v>4.5631985682561975</v>
      </c>
      <c r="ES557" s="160">
        <f t="shared" ref="ES557" si="2661">ES533</f>
        <v>1724.30578930712</v>
      </c>
      <c r="ET557" s="72">
        <f t="shared" ref="ET557:ET561" si="2662">IF(ISERROR(ES557/EK557),"NA",IF(OR(ES557/EK557&gt;2,ES557/EK557&lt;0.5),"NM",ES557/EK557*100-100))</f>
        <v>-3.9918825552828565</v>
      </c>
      <c r="EU557" s="160">
        <f t="shared" ref="EU557" si="2663">EU533</f>
        <v>1704.9226454723339</v>
      </c>
      <c r="EV557" s="72">
        <f t="shared" ref="EV557:EV561" si="2664">IF(ISERROR(EU557/EM557),"NA",IF(OR(EU557/EM557&gt;2,EU557/EM557&lt;0.5),"NM",EU557/EM557*100-100))</f>
        <v>-1.7901701916858315</v>
      </c>
      <c r="EW557" s="160">
        <f t="shared" ref="EW557" si="2665">EW533</f>
        <v>1537.9404567817808</v>
      </c>
      <c r="EX557" s="72">
        <f t="shared" ref="EX557:EX561" si="2666">IF(ISERROR(EW557/EO557),"NA",IF(OR(EW557/EO557&gt;2,EW557/EO557&lt;0.5),"NM",EW557/EO557*100-100))</f>
        <v>-1.9170627052435805</v>
      </c>
      <c r="EY557" s="72"/>
      <c r="EZ557" s="332"/>
      <c r="FA557" s="72"/>
      <c r="FB557" s="160"/>
      <c r="FC557" s="161"/>
      <c r="FD557" s="160">
        <f>FD533</f>
        <v>1209</v>
      </c>
      <c r="FE557" s="72"/>
      <c r="FF557" s="160">
        <f>FF533</f>
        <v>1220</v>
      </c>
      <c r="FG557" s="72"/>
      <c r="FH557" s="160">
        <f>FH533</f>
        <v>1467</v>
      </c>
      <c r="FI557" s="72"/>
      <c r="FJ557" s="160">
        <f>FJ533</f>
        <v>1789</v>
      </c>
      <c r="FK557" s="72"/>
      <c r="FL557" s="160">
        <f>FL533</f>
        <v>2098</v>
      </c>
      <c r="FM557" s="72"/>
      <c r="FN557" s="160">
        <f>FN533</f>
        <v>2700</v>
      </c>
      <c r="FO557" s="72"/>
      <c r="FP557" s="160">
        <f>FP533</f>
        <v>3401</v>
      </c>
      <c r="FQ557" s="72"/>
      <c r="FR557" s="160">
        <f>FR533</f>
        <v>3795</v>
      </c>
      <c r="FS557" s="72"/>
      <c r="FT557" s="160">
        <f>FT533</f>
        <v>4604.6000000000004</v>
      </c>
      <c r="FU557" s="72"/>
      <c r="FV557" s="160">
        <f>FV533</f>
        <v>3248</v>
      </c>
      <c r="FW557" s="72"/>
      <c r="FX557" s="160">
        <f>FX533</f>
        <v>2555</v>
      </c>
      <c r="FY557" s="72"/>
      <c r="FZ557" s="160">
        <f>FZ533</f>
        <v>3195</v>
      </c>
      <c r="GA557" s="72"/>
      <c r="GB557" s="160">
        <f>GB533</f>
        <v>4015.7</v>
      </c>
      <c r="GC557" s="72"/>
      <c r="GD557" s="160">
        <f>GD533</f>
        <v>4349</v>
      </c>
      <c r="GE557" s="72"/>
      <c r="GF557" s="160">
        <f>GF533</f>
        <v>5731</v>
      </c>
      <c r="GG557" s="72"/>
      <c r="GH557" s="160">
        <f>GH533</f>
        <v>6344</v>
      </c>
      <c r="GI557" s="72">
        <f t="shared" ref="GI557:GU561" si="2667">IF(ISERROR(GH557/GF557),"NA",IF(OR(GH557/GF557&gt;2,GH557/GF557&lt;0.5),"NM",GH557/GF557*100-100))</f>
        <v>10.696213575292262</v>
      </c>
      <c r="GJ557" s="160">
        <f>GJ533</f>
        <v>6107.5</v>
      </c>
      <c r="GK557" s="72">
        <f t="shared" si="2667"/>
        <v>-3.7279319041614087</v>
      </c>
      <c r="GL557" s="160">
        <f>GL533</f>
        <v>5807</v>
      </c>
      <c r="GM557" s="72">
        <f t="shared" si="2667"/>
        <v>-4.920180106426514</v>
      </c>
      <c r="GN557" s="160">
        <f>GN533</f>
        <v>6740.1</v>
      </c>
      <c r="GO557" s="72">
        <f t="shared" si="2667"/>
        <v>16.068537971413804</v>
      </c>
      <c r="GP557" s="160">
        <f>GP533</f>
        <v>6682.1099112792044</v>
      </c>
      <c r="GQ557" s="72">
        <f t="shared" si="2667"/>
        <v>-0.8603743078113979</v>
      </c>
      <c r="GR557" s="160">
        <f>GR533</f>
        <v>6763.3154899509773</v>
      </c>
      <c r="GS557" s="72">
        <f t="shared" si="2667"/>
        <v>1.215268526707419</v>
      </c>
      <c r="GT557" s="160">
        <f>GT533</f>
        <v>6833.5605709238998</v>
      </c>
      <c r="GU557" s="72">
        <f t="shared" si="2667"/>
        <v>1.0386190186942201</v>
      </c>
      <c r="GV557" s="160">
        <f>GV533</f>
        <v>6911.8040872976526</v>
      </c>
      <c r="GW557" s="72">
        <f>IF(ISERROR(GV557/GT557),"NA",IF(OR(GV557/GT557&gt;2,GV557/GT557&lt;0.5),"NM",GV557/GT557*100-100))</f>
        <v>1.1449889930978543</v>
      </c>
      <c r="GX557" s="160">
        <f>GX533</f>
        <v>6979.8482302145721</v>
      </c>
      <c r="GY557" s="72">
        <f>IF(ISERROR(GX557/GV557),"NA",IF(OR(GX557/GV557&gt;2,GX557/GV557&lt;0.5),"NM",GX557/GV557*100-100))</f>
        <v>0.98446284150284669</v>
      </c>
      <c r="GZ557" s="72"/>
      <c r="HA557" s="72"/>
      <c r="HB557" s="72"/>
      <c r="HC557"/>
      <c r="HD557"/>
      <c r="HE557"/>
      <c r="HF557"/>
      <c r="HG557"/>
      <c r="HH557"/>
      <c r="HI557" s="2"/>
    </row>
    <row r="558" spans="1:217" s="3" customFormat="1" ht="12.75" customHeight="1" x14ac:dyDescent="0.2">
      <c r="B558" s="10" t="s">
        <v>260</v>
      </c>
      <c r="C558" s="145"/>
      <c r="D558" s="11"/>
      <c r="E558" s="145"/>
      <c r="F558" s="11"/>
      <c r="G558" s="145"/>
      <c r="H558" s="167"/>
      <c r="I558" s="145"/>
      <c r="J558" s="11"/>
      <c r="K558" s="145"/>
      <c r="L558" s="72"/>
      <c r="M558" s="145"/>
      <c r="N558" s="72"/>
      <c r="O558" s="145"/>
      <c r="P558" s="72"/>
      <c r="Q558" s="145"/>
      <c r="R558" s="72"/>
      <c r="S558" s="145"/>
      <c r="T558" s="72"/>
      <c r="U558" s="145"/>
      <c r="V558" s="72"/>
      <c r="W558" s="145"/>
      <c r="X558" s="72"/>
      <c r="Y558" s="145"/>
      <c r="Z558" s="72"/>
      <c r="AA558" s="145"/>
      <c r="AB558" s="72"/>
      <c r="AC558" s="145"/>
      <c r="AD558" s="72"/>
      <c r="AE558" s="145"/>
      <c r="AF558" s="72"/>
      <c r="AG558" s="145"/>
      <c r="AH558" s="72"/>
      <c r="AI558" s="145"/>
      <c r="AJ558" s="72"/>
      <c r="AK558" s="145"/>
      <c r="AL558" s="72"/>
      <c r="AM558" s="145"/>
      <c r="AN558" s="72"/>
      <c r="AO558" s="145"/>
      <c r="AP558" s="72"/>
      <c r="AQ558" s="145"/>
      <c r="AR558" s="72"/>
      <c r="AS558" s="145"/>
      <c r="AT558" s="72"/>
      <c r="AU558" s="145"/>
      <c r="AV558" s="72"/>
      <c r="AW558" s="145"/>
      <c r="AX558" s="72"/>
      <c r="AY558" s="145">
        <f>AY557-AY560</f>
        <v>288.04999999999995</v>
      </c>
      <c r="AZ558" s="72"/>
      <c r="BA558" s="145">
        <f>BA557-BA560</f>
        <v>280.64999999999998</v>
      </c>
      <c r="BB558" s="72"/>
      <c r="BC558" s="145">
        <f>BC557-BC560</f>
        <v>272.95000000000005</v>
      </c>
      <c r="BD558" s="72"/>
      <c r="BE558" s="145">
        <f>BE557-BE560</f>
        <v>286.85000000000002</v>
      </c>
      <c r="BF558" s="72"/>
      <c r="BG558" s="145">
        <f>BG557-BG560</f>
        <v>297.20000000000005</v>
      </c>
      <c r="BH558" s="72"/>
      <c r="BI558" s="145">
        <f>BI557-BI560</f>
        <v>312.25</v>
      </c>
      <c r="BJ558" s="72"/>
      <c r="BK558" s="145">
        <f>BK557-BK560</f>
        <v>384.25</v>
      </c>
      <c r="BL558" s="72"/>
      <c r="BM558" s="145">
        <f>BM557-BM560</f>
        <v>296.5</v>
      </c>
      <c r="BN558" s="72"/>
      <c r="BO558" s="145">
        <f>BO557-BO560</f>
        <v>250.14999999999998</v>
      </c>
      <c r="BP558" s="72"/>
      <c r="BQ558" s="145">
        <f>BQ557-BQ560</f>
        <v>268</v>
      </c>
      <c r="BR558" s="72"/>
      <c r="BS558" s="145">
        <f>BS557-BS560</f>
        <v>310.60000000000002</v>
      </c>
      <c r="BT558" s="72"/>
      <c r="BU558" s="145">
        <f>BU557-BU560</f>
        <v>310.95000000000005</v>
      </c>
      <c r="BV558" s="72"/>
      <c r="BW558" s="145">
        <f>BW557-BW560</f>
        <v>184.79999999999995</v>
      </c>
      <c r="BX558" s="72"/>
      <c r="BY558" s="145">
        <f>BY557-BY560</f>
        <v>147.45000000000005</v>
      </c>
      <c r="BZ558" s="72"/>
      <c r="CA558" s="145">
        <f>CA557-CA560</f>
        <v>165.14999999999998</v>
      </c>
      <c r="CB558" s="72"/>
      <c r="CC558" s="145">
        <f>CC557-CC560</f>
        <v>183.35000000000002</v>
      </c>
      <c r="CD558" s="72"/>
      <c r="CE558" s="145">
        <f>CE557-CE560</f>
        <v>187.35000000000002</v>
      </c>
      <c r="CF558" s="72"/>
      <c r="CG558" s="145">
        <f>CG557-CG560</f>
        <v>223.35000000000002</v>
      </c>
      <c r="CH558" s="72"/>
      <c r="CI558" s="145">
        <f>CI557-CI560</f>
        <v>163.04999999999995</v>
      </c>
      <c r="CJ558" s="72"/>
      <c r="CK558" s="145">
        <f>CK557-CK560</f>
        <v>223.79999999999995</v>
      </c>
      <c r="CL558" s="72"/>
      <c r="CM558" s="145">
        <f>CM557-CM560</f>
        <v>244.79500000000007</v>
      </c>
      <c r="CN558" s="72"/>
      <c r="CO558" s="145">
        <f>CO557-CO560</f>
        <v>297.54999999999995</v>
      </c>
      <c r="CP558" s="72"/>
      <c r="CQ558" s="145">
        <f>CQ557-CQ560</f>
        <v>268.89999999999998</v>
      </c>
      <c r="CR558" s="72"/>
      <c r="CS558" s="145">
        <f>CS557-CS560</f>
        <v>245.20000000000005</v>
      </c>
      <c r="CT558" s="72"/>
      <c r="CU558" s="145">
        <f>CU557-CU560</f>
        <v>234.35000000000002</v>
      </c>
      <c r="CV558" s="72"/>
      <c r="CW558" s="145">
        <f>CW557-CW560</f>
        <v>291.10000000000002</v>
      </c>
      <c r="CX558" s="72"/>
      <c r="CY558" s="145">
        <f>CY557-CY560</f>
        <v>325.29999999999995</v>
      </c>
      <c r="CZ558" s="72"/>
      <c r="DA558" s="145">
        <f>DA557-DA560</f>
        <v>264.60000000000002</v>
      </c>
      <c r="DB558" s="72"/>
      <c r="DC558" s="145">
        <f>DC557-DC560</f>
        <v>368.9</v>
      </c>
      <c r="DD558" s="72"/>
      <c r="DE558" s="145">
        <f>DE557-DE560</f>
        <v>372.9</v>
      </c>
      <c r="DF558" s="72"/>
      <c r="DG558" s="145">
        <f>DG557-DG560</f>
        <v>400.70000000000005</v>
      </c>
      <c r="DH558" s="72"/>
      <c r="DI558" s="145">
        <f>DI557-DI560</f>
        <v>417.20000000000005</v>
      </c>
      <c r="DJ558" s="72"/>
      <c r="DK558" s="145">
        <f>DK557-DK560</f>
        <v>449.75</v>
      </c>
      <c r="DL558" s="72"/>
      <c r="DM558" s="145">
        <f>DM557-DM560</f>
        <v>451.20000000000005</v>
      </c>
      <c r="DN558" s="72">
        <f t="shared" si="2658"/>
        <v>20.997586484312166</v>
      </c>
      <c r="DO558" s="145">
        <f>DO557-DO560</f>
        <v>441.80000000000018</v>
      </c>
      <c r="DP558" s="72">
        <f t="shared" si="2658"/>
        <v>10.25705016221616</v>
      </c>
      <c r="DQ558" s="145">
        <f>DQ557-DQ560</f>
        <v>389.84999999999991</v>
      </c>
      <c r="DR558" s="72">
        <f t="shared" si="2658"/>
        <v>-6.5556088207095229</v>
      </c>
      <c r="DS558" s="145">
        <f>DS557-DS560</f>
        <v>413.04999999999995</v>
      </c>
      <c r="DT558" s="72">
        <f t="shared" si="2658"/>
        <v>-8.1600889382990687</v>
      </c>
      <c r="DU558" s="145">
        <f>DU557-DU560</f>
        <v>419.95000000000005</v>
      </c>
      <c r="DV558" s="72">
        <f t="shared" si="2658"/>
        <v>-6.9259751773049629</v>
      </c>
      <c r="DW558" s="145">
        <f>DW557-DW560</f>
        <v>382.40000000000009</v>
      </c>
      <c r="DX558" s="72">
        <f t="shared" si="2658"/>
        <v>-13.444997736532386</v>
      </c>
      <c r="DY558" s="145">
        <f>DY557-DY560</f>
        <v>323.375</v>
      </c>
      <c r="DZ558" s="72">
        <f t="shared" si="2658"/>
        <v>-17.051430037193768</v>
      </c>
      <c r="EA558" s="145">
        <f>EA557-EA560</f>
        <v>362.29999999999995</v>
      </c>
      <c r="EB558" s="72">
        <f>IF(ISERROR(EA558/DS558),"NA",IF(OR(EA558/DS558&gt;2,EA558/DS558&lt;0.5),"NM",EA558/DS558*100-100))</f>
        <v>-12.286648105556225</v>
      </c>
      <c r="EC558" s="145">
        <f>EC557-EC560</f>
        <v>380.25</v>
      </c>
      <c r="ED558" s="72">
        <f>IF(ISERROR(EC558/DU558),"NA",IF(OR(EC558/DU558&gt;2,EC558/DU558&lt;0.5),"NM",EC558/DU558*100-100))</f>
        <v>-9.4535063698059361</v>
      </c>
      <c r="EE558" s="145">
        <f>EE557-EE560</f>
        <v>330.25</v>
      </c>
      <c r="EF558" s="72">
        <f>IF(ISERROR(EE558/DW558),"NA",IF(OR(EE558/DW558&gt;2,EE558/DW558&lt;0.5),"NM",EE558/DW558*100-100))</f>
        <v>-13.637552301255255</v>
      </c>
      <c r="EG558" s="145">
        <f>EG557-EG560</f>
        <v>362</v>
      </c>
      <c r="EH558" s="72">
        <f>IF(ISERROR(EG558/DY558),"NA",IF(OR(EG558/DY558&gt;2,EG558/DY558&lt;0.5),"NM",EG558/DY558*100-100))</f>
        <v>11.944337069965201</v>
      </c>
      <c r="EI558" s="145">
        <f>EI557-EI560</f>
        <v>416.03499999999985</v>
      </c>
      <c r="EJ558" s="72">
        <f>IF(ISERROR(EI558/EA558),"NA",IF(OR(EI558/EA558&gt;2,EI558/EA558&lt;0.5),"NM",EI558/EA558*100-100))</f>
        <v>14.831631244824692</v>
      </c>
      <c r="EK558" s="145">
        <f>EK557-EK560</f>
        <v>507.79999999999995</v>
      </c>
      <c r="EL558" s="72">
        <f>IF(ISERROR(EK558/EC558),"NA",IF(OR(EK558/EC558&gt;2,EK558/EC558&lt;0.5),"NM",EK558/EC558*100-100))</f>
        <v>33.543721236028915</v>
      </c>
      <c r="EM558" s="145">
        <f>EM557-EM560</f>
        <v>444.20000000000005</v>
      </c>
      <c r="EN558" s="72">
        <f>IF(ISERROR(EM558/EE558),"NA",IF(OR(EM558/EE558&gt;2,EM558/EE558&lt;0.5),"NM",EM558/EE558*100-100))</f>
        <v>34.50416351249055</v>
      </c>
      <c r="EO558" s="145">
        <f>EO557-EO560</f>
        <v>397.59999999999991</v>
      </c>
      <c r="EP558" s="72">
        <f>IF(ISERROR(EO558/EG558),"NA",IF(OR(EO558/EG558&gt;2,EO558/EG558&lt;0.5),"NM",EO558/EG558*100-100))</f>
        <v>9.8342541436463762</v>
      </c>
      <c r="EQ558" s="145">
        <f t="shared" ref="EQ558" si="2668">EQ557-EQ560</f>
        <v>377.28702433795343</v>
      </c>
      <c r="ER558" s="72">
        <f t="shared" si="2660"/>
        <v>-9.3136336274703808</v>
      </c>
      <c r="ES558" s="145">
        <f t="shared" ref="ES558" si="2669">ES557-ES560</f>
        <v>379.34727364756645</v>
      </c>
      <c r="ET558" s="72">
        <f t="shared" si="2662"/>
        <v>-25.295928781495363</v>
      </c>
      <c r="EU558" s="145">
        <f t="shared" ref="EU558" si="2670">EU557-EU560</f>
        <v>375.08298200391346</v>
      </c>
      <c r="EV558" s="72">
        <f t="shared" si="2664"/>
        <v>-15.559886986962312</v>
      </c>
      <c r="EW558" s="145">
        <f t="shared" ref="EW558" si="2671">EW557-EW560</f>
        <v>338.34690049199185</v>
      </c>
      <c r="EX558" s="72">
        <f t="shared" si="2666"/>
        <v>-14.902691023140875</v>
      </c>
      <c r="EY558" s="72"/>
      <c r="EZ558" s="296"/>
      <c r="FA558" s="72"/>
      <c r="FB558" s="145"/>
      <c r="FC558" s="11"/>
      <c r="FD558" s="145">
        <f>FD557-FD560</f>
        <v>989</v>
      </c>
      <c r="FE558" s="72"/>
      <c r="FF558" s="145">
        <f>FF557-FF560</f>
        <v>976</v>
      </c>
      <c r="FG558" s="72"/>
      <c r="FH558" s="145">
        <f>FH557-FH560</f>
        <v>902</v>
      </c>
      <c r="FI558" s="72"/>
      <c r="FJ558" s="145">
        <f>FJ557-FJ560</f>
        <v>1069</v>
      </c>
      <c r="FK558" s="72"/>
      <c r="FL558" s="145">
        <f>FL557-FL560</f>
        <v>1006.8499999999999</v>
      </c>
      <c r="FM558" s="72"/>
      <c r="FN558" s="145">
        <f>FN557-FN560</f>
        <v>1104.6500000000001</v>
      </c>
      <c r="FO558" s="72"/>
      <c r="FP558" s="145">
        <f>FP557-FP560</f>
        <v>1334.5</v>
      </c>
      <c r="FQ558" s="72"/>
      <c r="FR558" s="145">
        <f>FR557-FR560</f>
        <v>1577.1999999999998</v>
      </c>
      <c r="FS558" s="72"/>
      <c r="FT558" s="145">
        <f>FT557-FT560</f>
        <v>1806.4499999999998</v>
      </c>
      <c r="FU558" s="72"/>
      <c r="FV558" s="145">
        <f>FV557-FV560</f>
        <v>2541.1</v>
      </c>
      <c r="FW558" s="72"/>
      <c r="FX558" s="145">
        <f>FX557-FX560</f>
        <v>1695.75</v>
      </c>
      <c r="FY558" s="72"/>
      <c r="FZ558" s="145">
        <f>FZ557-FZ560</f>
        <v>1449.55</v>
      </c>
      <c r="GA558" s="72"/>
      <c r="GB558" s="145">
        <f>GB557-GB560</f>
        <v>1604.4449999999997</v>
      </c>
      <c r="GC558" s="72"/>
      <c r="GD558" s="145">
        <f>GD557-GD560</f>
        <v>1662.35</v>
      </c>
      <c r="GE558" s="72"/>
      <c r="GF558" s="145">
        <f>GF557-GF560</f>
        <v>1370.6999999999998</v>
      </c>
      <c r="GG558" s="72"/>
      <c r="GH558" s="145">
        <f>GH557-GH560</f>
        <v>1786.1999999999998</v>
      </c>
      <c r="GI558" s="72">
        <f t="shared" si="2667"/>
        <v>30.312978769971551</v>
      </c>
      <c r="GJ558" s="145">
        <f>GJ557-GJ560</f>
        <v>1538.7749999999996</v>
      </c>
      <c r="GK558" s="72">
        <f t="shared" si="2667"/>
        <v>-13.852032247228763</v>
      </c>
      <c r="GL558" s="145">
        <f>GL557-GL560</f>
        <v>1434.8000000000002</v>
      </c>
      <c r="GM558" s="72">
        <f t="shared" si="2667"/>
        <v>-6.7569982616041671</v>
      </c>
      <c r="GN558" s="145">
        <f>GN557-GN560</f>
        <v>1765.6350000000002</v>
      </c>
      <c r="GO558" s="72">
        <f t="shared" si="2667"/>
        <v>23.057917479788117</v>
      </c>
      <c r="GP558" s="145">
        <f>GP557-GP560</f>
        <v>1470.064180481425</v>
      </c>
      <c r="GQ558" s="72">
        <f t="shared" si="2667"/>
        <v>-16.74019939107319</v>
      </c>
      <c r="GR558" s="145">
        <f>GR557-GR560</f>
        <v>1487.9294077892155</v>
      </c>
      <c r="GS558" s="72">
        <f t="shared" si="2667"/>
        <v>1.2152685267074617</v>
      </c>
      <c r="GT558" s="145">
        <f>GT557-GT560</f>
        <v>1503.3833256032585</v>
      </c>
      <c r="GU558" s="72">
        <f t="shared" si="2667"/>
        <v>1.0386190186942201</v>
      </c>
      <c r="GV558" s="145">
        <f>GV557-GV560</f>
        <v>1520.5968992054841</v>
      </c>
      <c r="GW558" s="72">
        <f>IF(ISERROR(GV558/GT558),"NA",IF(OR(GV558/GT558&gt;2,GV558/GT558&lt;0.5),"NM",GV558/GT558*100-100))</f>
        <v>1.1449889930978259</v>
      </c>
      <c r="GX558" s="145">
        <f>GX557-GX560</f>
        <v>1535.5666106472063</v>
      </c>
      <c r="GY558" s="72">
        <f>IF(ISERROR(GX558/GV558),"NA",IF(OR(GX558/GV558&gt;2,GX558/GV558&lt;0.5),"NM",GX558/GV558*100-100))</f>
        <v>0.98446284150281826</v>
      </c>
      <c r="GZ558" s="72"/>
      <c r="HA558" s="72"/>
      <c r="HB558" s="72"/>
      <c r="HC558"/>
      <c r="HD558"/>
      <c r="HE558"/>
      <c r="HF558"/>
      <c r="HG558"/>
      <c r="HH558"/>
      <c r="HI558" s="2"/>
    </row>
    <row r="559" spans="1:217" s="3" customFormat="1" ht="12.75" customHeight="1" x14ac:dyDescent="0.2">
      <c r="B559" s="10" t="s">
        <v>573</v>
      </c>
      <c r="C559" s="145"/>
      <c r="D559" s="11"/>
      <c r="E559" s="145"/>
      <c r="F559" s="11"/>
      <c r="G559" s="145"/>
      <c r="H559" s="167"/>
      <c r="I559" s="145"/>
      <c r="J559" s="11"/>
      <c r="K559" s="145"/>
      <c r="L559" s="72"/>
      <c r="M559" s="145"/>
      <c r="N559" s="72"/>
      <c r="O559" s="145"/>
      <c r="P559" s="72"/>
      <c r="Q559" s="145"/>
      <c r="R559" s="72"/>
      <c r="S559" s="145"/>
      <c r="T559" s="72"/>
      <c r="U559" s="145"/>
      <c r="V559" s="72"/>
      <c r="W559" s="145"/>
      <c r="X559" s="72"/>
      <c r="Y559" s="145"/>
      <c r="Z559" s="72"/>
      <c r="AA559" s="145"/>
      <c r="AB559" s="72"/>
      <c r="AC559" s="145"/>
      <c r="AD559" s="72"/>
      <c r="AE559" s="145"/>
      <c r="AF559" s="72"/>
      <c r="AG559" s="145"/>
      <c r="AH559" s="72"/>
      <c r="AI559" s="145"/>
      <c r="AJ559" s="72"/>
      <c r="AK559" s="145"/>
      <c r="AL559" s="72"/>
      <c r="AM559" s="145"/>
      <c r="AN559" s="72"/>
      <c r="AO559" s="145"/>
      <c r="AP559" s="72"/>
      <c r="AQ559" s="145"/>
      <c r="AR559" s="72"/>
      <c r="AS559" s="145"/>
      <c r="AT559" s="72"/>
      <c r="AU559" s="145"/>
      <c r="AV559" s="72"/>
      <c r="AW559" s="145"/>
      <c r="AX559" s="72"/>
      <c r="AY559" s="169">
        <f>AY558/AY557*100</f>
        <v>30.099268547544405</v>
      </c>
      <c r="AZ559" s="72"/>
      <c r="BA559" s="169">
        <f>BA558/BA557*100</f>
        <v>29.824654622741765</v>
      </c>
      <c r="BB559" s="72"/>
      <c r="BC559" s="169">
        <f>BC558/BC557*100</f>
        <v>28.944856839872752</v>
      </c>
      <c r="BD559" s="72"/>
      <c r="BE559" s="169">
        <f>BE558/BE557*100</f>
        <v>29.511316872427983</v>
      </c>
      <c r="BF559" s="72"/>
      <c r="BG559" s="169">
        <f>BG558/BG557*100</f>
        <v>28.315548780487809</v>
      </c>
      <c r="BH559" s="72"/>
      <c r="BI559" s="169">
        <f>BI558/BI557*100</f>
        <v>28.489963503649633</v>
      </c>
      <c r="BJ559" s="72"/>
      <c r="BK559" s="169">
        <f>BK558/BK557*100</f>
        <v>29.332061068702291</v>
      </c>
      <c r="BL559" s="72"/>
      <c r="BM559" s="169">
        <f>BM558/BM557*100</f>
        <v>25.255536626916523</v>
      </c>
      <c r="BN559" s="72"/>
      <c r="BO559" s="169">
        <f>BO558/BO557*100</f>
        <v>26.555201698513798</v>
      </c>
      <c r="BP559" s="72"/>
      <c r="BQ559" s="169">
        <f>BQ558/BQ557*100</f>
        <v>24.953445065176908</v>
      </c>
      <c r="BR559" s="72"/>
      <c r="BS559" s="169">
        <f>BS558/BS557*100</f>
        <v>32.354166666666664</v>
      </c>
      <c r="BT559" s="72"/>
      <c r="BU559" s="169">
        <f>BU558/BU557*100</f>
        <v>54.07826086956522</v>
      </c>
      <c r="BV559" s="72"/>
      <c r="BW559" s="169">
        <f>BW558/BW557*100</f>
        <v>30.146818923327888</v>
      </c>
      <c r="BX559" s="72"/>
      <c r="BY559" s="169">
        <f>BY558/BY557*100</f>
        <v>20.651260504201687</v>
      </c>
      <c r="BZ559" s="72"/>
      <c r="CA559" s="169">
        <f>CA558/CA557*100</f>
        <v>19.778443113772454</v>
      </c>
      <c r="CB559" s="72"/>
      <c r="CC559" s="169">
        <f>CC558/CC557*100</f>
        <v>26.727405247813412</v>
      </c>
      <c r="CD559" s="72"/>
      <c r="CE559" s="169">
        <f>CE558/CE557*100</f>
        <v>24.749009247027747</v>
      </c>
      <c r="CF559" s="72"/>
      <c r="CG559" s="169">
        <f>CG558/CG557*100</f>
        <v>27.540073982737361</v>
      </c>
      <c r="CH559" s="72"/>
      <c r="CI559" s="169">
        <f>CI558/CI557*100</f>
        <v>21.596026490066219</v>
      </c>
      <c r="CJ559" s="72"/>
      <c r="CK559" s="169">
        <f>CK558/CK557*100</f>
        <v>25.665137614678894</v>
      </c>
      <c r="CL559" s="72"/>
      <c r="CM559" s="169">
        <f>CM558/CM557*100</f>
        <v>25.776034537222287</v>
      </c>
      <c r="CN559" s="72"/>
      <c r="CO559" s="169">
        <f>CO558/CO557*100</f>
        <v>26.927601809954748</v>
      </c>
      <c r="CP559" s="72"/>
      <c r="CQ559" s="169">
        <f>CQ558/CQ557*100</f>
        <v>27.355035605289928</v>
      </c>
      <c r="CR559" s="72"/>
      <c r="CS559" s="169">
        <f>CS558/CS557*100</f>
        <v>25.071574642126791</v>
      </c>
      <c r="CT559" s="72"/>
      <c r="CU559" s="169">
        <f>CU558/CU557*100</f>
        <v>25.25323275862069</v>
      </c>
      <c r="CV559" s="72"/>
      <c r="CW559" s="169">
        <f>CW558/CW557*100</f>
        <v>26.415607985480943</v>
      </c>
      <c r="CX559" s="72"/>
      <c r="CY559" s="169">
        <f>CY558/CY557*100</f>
        <v>27.405223251895531</v>
      </c>
      <c r="CZ559" s="72"/>
      <c r="DA559" s="169">
        <f>DA558/DA557*100</f>
        <v>23.374558303886928</v>
      </c>
      <c r="DB559" s="72"/>
      <c r="DC559" s="169">
        <f>DC558/DC557*100</f>
        <v>26.887755102040817</v>
      </c>
      <c r="DD559" s="72"/>
      <c r="DE559" s="169">
        <f>DE558/DE557*100</f>
        <v>27.19912472647702</v>
      </c>
      <c r="DF559" s="72"/>
      <c r="DG559" s="169">
        <f>DG558/DG557*100</f>
        <v>26.448844884488455</v>
      </c>
      <c r="DH559" s="72"/>
      <c r="DI559" s="169">
        <f>DI558/DI557*100</f>
        <v>28.323150033944334</v>
      </c>
      <c r="DJ559" s="72"/>
      <c r="DK559" s="169">
        <f>DK558/DK557*100</f>
        <v>27.831064356435643</v>
      </c>
      <c r="DL559" s="72"/>
      <c r="DM559" s="169">
        <f>DM558/DM557*100</f>
        <v>27.596330275229359</v>
      </c>
      <c r="DN559" s="72">
        <f t="shared" si="2658"/>
        <v>1.460361510698462</v>
      </c>
      <c r="DO559" s="169">
        <f>DO558/DO557*100</f>
        <v>27.664370695053236</v>
      </c>
      <c r="DP559" s="72">
        <f t="shared" si="2658"/>
        <v>4.5957614250203136</v>
      </c>
      <c r="DQ559" s="169">
        <f>DQ558/DQ557*100</f>
        <v>26.059491978609618</v>
      </c>
      <c r="DR559" s="72">
        <f t="shared" si="2658"/>
        <v>-7.9922538722627934</v>
      </c>
      <c r="DS559" s="169">
        <f>DS558/DS557*100</f>
        <v>25.063713592233007</v>
      </c>
      <c r="DT559" s="72">
        <f t="shared" si="2658"/>
        <v>-9.9433881822155854</v>
      </c>
      <c r="DU559" s="169">
        <f>DU558/DU557*100</f>
        <v>25.637973137973141</v>
      </c>
      <c r="DV559" s="72">
        <f t="shared" si="2658"/>
        <v>-7.0964404242329806</v>
      </c>
      <c r="DW559" s="169">
        <f>DW558/DW557*100</f>
        <v>24.71881060116355</v>
      </c>
      <c r="DX559" s="72">
        <f t="shared" si="2658"/>
        <v>-10.647486351158491</v>
      </c>
      <c r="DY559" s="169">
        <f>DY558/DY557*100</f>
        <v>25.372695174578265</v>
      </c>
      <c r="DZ559" s="72">
        <f t="shared" si="2658"/>
        <v>-2.6354957517786346</v>
      </c>
      <c r="EA559" s="169">
        <f>EA558/EA557*100</f>
        <v>25.460295151089245</v>
      </c>
      <c r="EB559" s="72">
        <f>IF(ISERROR(EA559/DS559),"NA",IF(OR(EA559/DS559&gt;2,EA559/DS559&lt;0.5),"NM",EA559/DS559*100-100))</f>
        <v>1.5822936908245424</v>
      </c>
      <c r="EC559" s="169">
        <f>EC558/EC557*100</f>
        <v>25.485924932975873</v>
      </c>
      <c r="ED559" s="72">
        <f>IF(ISERROR(EC559/DU559),"NA",IF(OR(EC559/DU559&gt;2,EC559/DU559&lt;0.5),"NM",EC559/DU559*100-100))</f>
        <v>-0.59305860170383085</v>
      </c>
      <c r="EE559" s="169">
        <f>EE558/EE557*100</f>
        <v>22.728836889194771</v>
      </c>
      <c r="EF559" s="72">
        <f>IF(ISERROR(EE559/DW559),"NA",IF(OR(EE559/DW559&gt;2,EE559/DW559&lt;0.5),"NM",EE559/DW559*100-100))</f>
        <v>-8.0504428148946232</v>
      </c>
      <c r="EG559" s="169">
        <f>EG558/EG557*100</f>
        <v>25.156358582348854</v>
      </c>
      <c r="EH559" s="72">
        <f>IF(ISERROR(EG559/DY559),"NA",IF(OR(EG559/DY559&gt;2,EG559/DY559&lt;0.5),"NM",EG559/DY559*100-100))</f>
        <v>-0.85263544428723037</v>
      </c>
      <c r="EI559" s="169">
        <f>EI558/EI557*100</f>
        <v>25.366441070666419</v>
      </c>
      <c r="EJ559" s="72">
        <f>IF(ISERROR(EI559/EA559),"NA",IF(OR(EI559/EA559&gt;2,EI559/EA559&lt;0.5),"NM",EI559/EA559*100-100))</f>
        <v>-0.36862919249705328</v>
      </c>
      <c r="EK559" s="169">
        <f>EK558/EK557*100</f>
        <v>28.273942093541198</v>
      </c>
      <c r="EL559" s="72">
        <f>IF(ISERROR(EK559/EC559),"NA",IF(OR(EK559/EC559&gt;2,EK559/EC559&lt;0.5),"NM",EK559/EC559*100-100))</f>
        <v>10.939438799640925</v>
      </c>
      <c r="EM559" s="169">
        <f>EM558/EM557*100</f>
        <v>25.587557603686641</v>
      </c>
      <c r="EN559" s="72">
        <f>IF(ISERROR(EM559/EE559),"NA",IF(OR(EM559/EE559&gt;2,EM559/EE559&lt;0.5),"NM",EM559/EE559*100-100))</f>
        <v>12.577505520534999</v>
      </c>
      <c r="EO559" s="169">
        <f>EO558/EO557*100</f>
        <v>25.357142857142851</v>
      </c>
      <c r="EP559" s="72">
        <f>IF(ISERROR(EO559/EG559),"NA",IF(OR(EO559/EG559&gt;2,EO559/EG559&lt;0.5),"NM",EO559/EG559*100-100))</f>
        <v>0.79814522494076812</v>
      </c>
      <c r="EQ559" s="169">
        <f t="shared" ref="EQ559" si="2672">EQ558/EQ557*100</f>
        <v>22.000000000000004</v>
      </c>
      <c r="ER559" s="72">
        <f t="shared" si="2660"/>
        <v>-13.271239198625082</v>
      </c>
      <c r="ES559" s="169">
        <f t="shared" ref="ES559" si="2673">ES558/ES557*100</f>
        <v>22.000000000000004</v>
      </c>
      <c r="ET559" s="72">
        <f t="shared" si="2662"/>
        <v>-22.189838519101983</v>
      </c>
      <c r="EU559" s="169">
        <f t="shared" ref="EU559" si="2674">EU558/EU557*100</f>
        <v>22</v>
      </c>
      <c r="EV559" s="72">
        <f t="shared" si="2664"/>
        <v>-14.020711391265209</v>
      </c>
      <c r="EW559" s="169">
        <f t="shared" ref="EW559" si="2675">EW558/EW557*100</f>
        <v>22.000000000000007</v>
      </c>
      <c r="EX559" s="72">
        <f t="shared" si="2666"/>
        <v>-13.239436619718262</v>
      </c>
      <c r="EY559" s="72"/>
      <c r="EZ559" s="296"/>
      <c r="FA559" s="72"/>
      <c r="FB559" s="145"/>
      <c r="FC559" s="11"/>
      <c r="FD559" s="169">
        <f>FD558/FD557*100</f>
        <v>81.803143093465664</v>
      </c>
      <c r="FE559" s="72"/>
      <c r="FF559" s="169">
        <f>FF558/FF557*100</f>
        <v>80</v>
      </c>
      <c r="FG559" s="72"/>
      <c r="FH559" s="169">
        <f>FH558/FH557*100</f>
        <v>61.486025903203824</v>
      </c>
      <c r="FI559" s="72"/>
      <c r="FJ559" s="169">
        <f>FJ558/FJ557*100</f>
        <v>59.754052543320292</v>
      </c>
      <c r="FK559" s="72"/>
      <c r="FL559" s="169">
        <f>FL558/FL557*100</f>
        <v>47.99094375595805</v>
      </c>
      <c r="FM559" s="72"/>
      <c r="FN559" s="169">
        <f>FN558/FN557*100</f>
        <v>40.912962962962965</v>
      </c>
      <c r="FO559" s="72"/>
      <c r="FP559" s="169">
        <f>FP558/FP557*100</f>
        <v>39.238459276683329</v>
      </c>
      <c r="FQ559" s="72"/>
      <c r="FR559" s="169">
        <f>FR558/FR557*100</f>
        <v>41.559947299077727</v>
      </c>
      <c r="FS559" s="72"/>
      <c r="FT559" s="169">
        <f>FT558/FT557*100</f>
        <v>39.231420753159881</v>
      </c>
      <c r="FU559" s="72"/>
      <c r="FV559" s="169">
        <f>FV558/FV557*100</f>
        <v>78.235837438423644</v>
      </c>
      <c r="FW559" s="72"/>
      <c r="FX559" s="169">
        <f>FX558/FX557*100</f>
        <v>66.36986301369862</v>
      </c>
      <c r="FY559" s="72"/>
      <c r="FZ559" s="169">
        <f>FZ558/FZ557*100</f>
        <v>45.369327073552427</v>
      </c>
      <c r="GA559" s="72"/>
      <c r="GB559" s="169">
        <f>GB558/GB557*100</f>
        <v>39.954304355405029</v>
      </c>
      <c r="GC559" s="72"/>
      <c r="GD559" s="169">
        <f>GD558/GD557*100</f>
        <v>38.223729593009885</v>
      </c>
      <c r="GE559" s="72"/>
      <c r="GF559" s="169">
        <f>GF558/GF557*100</f>
        <v>23.91729192113069</v>
      </c>
      <c r="GG559" s="72"/>
      <c r="GH559" s="169">
        <f>GH558/GH557*100</f>
        <v>28.155737704918032</v>
      </c>
      <c r="GI559" s="72">
        <f t="shared" si="2667"/>
        <v>17.721261243806268</v>
      </c>
      <c r="GJ559" s="169">
        <f>GJ558/GJ557*100</f>
        <v>25.194842406876784</v>
      </c>
      <c r="GK559" s="72">
        <f t="shared" si="2667"/>
        <v>-10.516134682999478</v>
      </c>
      <c r="GL559" s="169">
        <f>GL558/GL557*100</f>
        <v>24.708110900637166</v>
      </c>
      <c r="GM559" s="72">
        <f t="shared" si="2667"/>
        <v>-1.9318696198979524</v>
      </c>
      <c r="GN559" s="169">
        <f>GN558/GN557*100</f>
        <v>26.195976320826102</v>
      </c>
      <c r="GO559" s="72">
        <f t="shared" si="2667"/>
        <v>6.0217692326715451</v>
      </c>
      <c r="GP559" s="169">
        <f>GP558/GP557*100</f>
        <v>22</v>
      </c>
      <c r="GQ559" s="72">
        <f t="shared" si="2667"/>
        <v>-16.017636714269941</v>
      </c>
      <c r="GR559" s="169">
        <f>GR558/GR557*100</f>
        <v>22.000000000000007</v>
      </c>
      <c r="GS559" s="72">
        <f t="shared" si="2667"/>
        <v>2.8421709430404007E-14</v>
      </c>
      <c r="GT559" s="169">
        <f>GT558/GT557*100</f>
        <v>22.000000000000007</v>
      </c>
      <c r="GU559" s="72">
        <f t="shared" si="2667"/>
        <v>0</v>
      </c>
      <c r="GV559" s="169">
        <f>GV558/GV557*100</f>
        <v>22.000000000000007</v>
      </c>
      <c r="GW559" s="72">
        <f>IF(ISERROR(GV559/GT559),"NA",IF(OR(GV559/GT559&gt;2,GV559/GT559&lt;0.5),"NM",GV559/GT559*100-100))</f>
        <v>0</v>
      </c>
      <c r="GX559" s="169">
        <f>GX558/GX557*100</f>
        <v>22.000000000000007</v>
      </c>
      <c r="GY559" s="72">
        <f>IF(ISERROR(GX559/GV559),"NA",IF(OR(GX559/GV559&gt;2,GX559/GV559&lt;0.5),"NM",GX559/GV559*100-100))</f>
        <v>0</v>
      </c>
      <c r="GZ559" s="72"/>
      <c r="HA559" s="72"/>
      <c r="HB559" s="72"/>
      <c r="HC559"/>
      <c r="HD559"/>
      <c r="HE559"/>
      <c r="HF559"/>
      <c r="HG559"/>
      <c r="HH559"/>
      <c r="HI559" s="2"/>
    </row>
    <row r="560" spans="1:217" s="78" customFormat="1" ht="12.75" customHeight="1" x14ac:dyDescent="0.2">
      <c r="A560" s="3"/>
      <c r="B560" s="89" t="s">
        <v>475</v>
      </c>
      <c r="C560" s="160"/>
      <c r="D560" s="161"/>
      <c r="E560" s="160"/>
      <c r="F560" s="161"/>
      <c r="G560" s="160"/>
      <c r="H560" s="172"/>
      <c r="I560" s="160"/>
      <c r="J560" s="161"/>
      <c r="K560" s="160"/>
      <c r="L560" s="72"/>
      <c r="M560" s="160"/>
      <c r="N560" s="72"/>
      <c r="O560" s="160"/>
      <c r="P560" s="72"/>
      <c r="Q560" s="160"/>
      <c r="R560" s="72"/>
      <c r="S560" s="160"/>
      <c r="T560" s="72"/>
      <c r="U560" s="160"/>
      <c r="V560" s="72"/>
      <c r="W560" s="160"/>
      <c r="X560" s="72"/>
      <c r="Y560" s="160"/>
      <c r="Z560" s="72"/>
      <c r="AA560" s="160"/>
      <c r="AB560" s="72"/>
      <c r="AC560" s="160"/>
      <c r="AD560" s="72"/>
      <c r="AE560" s="160"/>
      <c r="AF560" s="72"/>
      <c r="AG560" s="160"/>
      <c r="AH560" s="72"/>
      <c r="AI560" s="160"/>
      <c r="AJ560" s="72"/>
      <c r="AK560" s="160"/>
      <c r="AL560" s="72"/>
      <c r="AM560" s="160"/>
      <c r="AN560" s="72"/>
      <c r="AO560" s="160"/>
      <c r="AP560" s="72"/>
      <c r="AQ560" s="160"/>
      <c r="AR560" s="72"/>
      <c r="AS560" s="160"/>
      <c r="AT560" s="72"/>
      <c r="AU560" s="160"/>
      <c r="AV560" s="72"/>
      <c r="AW560" s="160"/>
      <c r="AX560" s="72"/>
      <c r="AY560" s="160">
        <f>AY552-(AY534+AY425)*0.65</f>
        <v>668.95</v>
      </c>
      <c r="AZ560" s="72"/>
      <c r="BA560" s="160">
        <f>BA552-(BA534+BA425)*0.65</f>
        <v>660.35</v>
      </c>
      <c r="BB560" s="72"/>
      <c r="BC560" s="160">
        <f>BC552-(BC534+BC425)*0.65</f>
        <v>670.05</v>
      </c>
      <c r="BD560" s="72"/>
      <c r="BE560" s="160">
        <f>BE552-(BE534+BE425)*0.65</f>
        <v>685.15</v>
      </c>
      <c r="BF560" s="72"/>
      <c r="BG560" s="160">
        <f>BG552-(BG534+BG425)*0.65</f>
        <v>752.39999999999986</v>
      </c>
      <c r="BH560" s="72"/>
      <c r="BI560" s="160">
        <f>BI552-(BI534+BI425)*0.65</f>
        <v>783.75</v>
      </c>
      <c r="BJ560" s="72"/>
      <c r="BK560" s="160">
        <f>BK552-(BK534+BK425)*0.65</f>
        <v>925.75</v>
      </c>
      <c r="BL560" s="72"/>
      <c r="BM560" s="160">
        <f>BM552-(BM534+BM425)*0.65</f>
        <v>877.5</v>
      </c>
      <c r="BN560" s="72"/>
      <c r="BO560" s="160">
        <f>BO552-(BO534+BO425)*0.65</f>
        <v>691.85</v>
      </c>
      <c r="BP560" s="72"/>
      <c r="BQ560" s="160">
        <f>BQ552-(BQ534+BQ425)*0.65</f>
        <v>806</v>
      </c>
      <c r="BR560" s="72"/>
      <c r="BS560" s="160">
        <f>BS552-(BS534+BS425)*0.65</f>
        <v>649.4</v>
      </c>
      <c r="BT560" s="72"/>
      <c r="BU560" s="160">
        <f>BU552-(BU534+BU425)*0.65</f>
        <v>264.04999999999995</v>
      </c>
      <c r="BV560" s="72"/>
      <c r="BW560" s="160">
        <f>BW552-(BW534+BW425)*0.65</f>
        <v>428.20000000000005</v>
      </c>
      <c r="BX560" s="72"/>
      <c r="BY560" s="160">
        <f>BY552-(BY534+BY425)*0.65</f>
        <v>566.54999999999995</v>
      </c>
      <c r="BZ560" s="72"/>
      <c r="CA560" s="160">
        <f>CA552-(CA534+CA425)*0.65</f>
        <v>669.85</v>
      </c>
      <c r="CB560" s="72"/>
      <c r="CC560" s="160">
        <f>CC552-(CC534+CC425)*0.65</f>
        <v>502.65</v>
      </c>
      <c r="CD560" s="72"/>
      <c r="CE560" s="160">
        <f>CE552-(CE534+CE425)*0.65</f>
        <v>569.65</v>
      </c>
      <c r="CF560" s="72"/>
      <c r="CG560" s="160">
        <f>CG552-(CG534+CG425)*0.65</f>
        <v>587.65</v>
      </c>
      <c r="CH560" s="72"/>
      <c r="CI560" s="160">
        <f>CI552-(CI534+CI425)*0.65</f>
        <v>591.95000000000005</v>
      </c>
      <c r="CJ560" s="72"/>
      <c r="CK560" s="160">
        <f>CK552-(CK534+CK425)*0.65</f>
        <v>648.20000000000005</v>
      </c>
      <c r="CL560" s="72"/>
      <c r="CM560" s="160">
        <f>CM552-(CM534+CM425)*0.65</f>
        <v>704.90499999999997</v>
      </c>
      <c r="CN560" s="72"/>
      <c r="CO560" s="160">
        <f>CO552-(CO534+CO425)*0.65</f>
        <v>807.45</v>
      </c>
      <c r="CP560" s="72"/>
      <c r="CQ560" s="160">
        <f>CQ552-(CQ534+CQ425)*0.65</f>
        <v>714.1</v>
      </c>
      <c r="CR560" s="72"/>
      <c r="CS560" s="160">
        <f>CS552-(CS534+CS425)*0.65</f>
        <v>732.8</v>
      </c>
      <c r="CT560" s="72"/>
      <c r="CU560" s="160">
        <f>CU552-(CU534+CU425)*0.65</f>
        <v>693.65</v>
      </c>
      <c r="CV560" s="72"/>
      <c r="CW560" s="160">
        <f>CW552-(CW534+CW425)*0.65</f>
        <v>810.9</v>
      </c>
      <c r="CX560" s="72"/>
      <c r="CY560" s="160">
        <f>CY552-(CY534+CY425)*0.65</f>
        <v>861.7</v>
      </c>
      <c r="CZ560" s="72"/>
      <c r="DA560" s="160">
        <f>DA552-(DA534+DA425)*0.65</f>
        <v>867.4</v>
      </c>
      <c r="DB560" s="72"/>
      <c r="DC560" s="160">
        <f>DC552-(DC534+DC425)*0.65</f>
        <v>1003.1</v>
      </c>
      <c r="DD560" s="72"/>
      <c r="DE560" s="160">
        <f>DE552-(DE534+DE425)*0.65</f>
        <v>998.1</v>
      </c>
      <c r="DF560" s="72"/>
      <c r="DG560" s="160">
        <f>DG552-(DG534+DG425)*0.65</f>
        <v>1114.3</v>
      </c>
      <c r="DH560" s="72"/>
      <c r="DI560" s="160">
        <f>DI552-(DI534+DI425)*0.65</f>
        <v>1055.8</v>
      </c>
      <c r="DJ560" s="72"/>
      <c r="DK560" s="160">
        <f>DK552-(DK534+DK425)*0.65</f>
        <v>1166.25</v>
      </c>
      <c r="DL560" s="72"/>
      <c r="DM560" s="160">
        <f>DM552-(DM534+DM425)*0.65</f>
        <v>1183.8</v>
      </c>
      <c r="DN560" s="72">
        <f t="shared" si="2658"/>
        <v>18.605350165314078</v>
      </c>
      <c r="DO560" s="693">
        <f>DO552-(DO534+DO425)*0.65-37.4</f>
        <v>1155.1999999999998</v>
      </c>
      <c r="DP560" s="72">
        <f t="shared" si="2658"/>
        <v>3.6704657632594291</v>
      </c>
      <c r="DQ560" s="160">
        <f>DQ552-(DQ534+DQ425)*0.65</f>
        <v>1106.1500000000001</v>
      </c>
      <c r="DR560" s="72">
        <f t="shared" si="2658"/>
        <v>4.7688956241712646</v>
      </c>
      <c r="DS560" s="160">
        <f>DS552-(DS534+DS425)*0.65</f>
        <v>1234.95</v>
      </c>
      <c r="DT560" s="72">
        <f t="shared" si="2658"/>
        <v>5.8906752411575667</v>
      </c>
      <c r="DU560" s="160">
        <f>DU552-(DU534+DU425)*0.65</f>
        <v>1218.05</v>
      </c>
      <c r="DV560" s="72">
        <f t="shared" si="2658"/>
        <v>2.8932252069606221</v>
      </c>
      <c r="DW560" s="160">
        <f>DW552-(DW534+DW425)*0.65</f>
        <v>1164.5999999999999</v>
      </c>
      <c r="DX560" s="72">
        <f t="shared" si="2658"/>
        <v>0.81371191135734477</v>
      </c>
      <c r="DY560" s="160">
        <f>DY552-(DY534+DY425)*0.65</f>
        <v>951.125</v>
      </c>
      <c r="DZ560" s="72">
        <f t="shared" si="2658"/>
        <v>-14.014826198978454</v>
      </c>
      <c r="EA560" s="160">
        <f>EA552-(EA534+EA425)*0.65</f>
        <v>1060.7</v>
      </c>
      <c r="EB560" s="72">
        <f>IF(ISERROR(EA560/DS560),"NA",IF(OR(EA560/DS560&gt;2,EA560/DS560&lt;0.5),"NM",EA560/DS560*100-100))</f>
        <v>-14.109882991214221</v>
      </c>
      <c r="EC560" s="160">
        <f>EC552-(EC534+EC425)*0.65</f>
        <v>1111.75</v>
      </c>
      <c r="ED560" s="72">
        <f>IF(ISERROR(EC560/DU560),"NA",IF(OR(EC560/DU560&gt;2,EC560/DU560&lt;0.5),"NM",EC560/DU560*100-100))</f>
        <v>-8.7270637494355725</v>
      </c>
      <c r="EE560" s="160">
        <f>EE552-(EE534+EE425)*0.65</f>
        <v>1122.75</v>
      </c>
      <c r="EF560" s="72">
        <f>IF(ISERROR(EE560/DW560),"NA",IF(OR(EE560/DW560&gt;2,EE560/DW560&lt;0.5),"NM",EE560/DW560*100-100))</f>
        <v>-3.5935085007727849</v>
      </c>
      <c r="EG560" s="160">
        <f>EG552-(EG534+EG425)*0.65</f>
        <v>1077</v>
      </c>
      <c r="EH560" s="72">
        <f>IF(ISERROR(EG560/DY560),"NA",IF(OR(EG560/DY560&gt;2,EG560/DY560&lt;0.5),"NM",EG560/DY560*100-100))</f>
        <v>13.234327769746358</v>
      </c>
      <c r="EI560" s="160">
        <f>EI552-(EI534+EI425)*0.65</f>
        <v>1224.0650000000001</v>
      </c>
      <c r="EJ560" s="72">
        <f>IF(ISERROR(EI560/EA560),"NA",IF(OR(EI560/EA560&gt;2,EI560/EA560&lt;0.5),"NM",EI560/EA560*100-100))</f>
        <v>15.401621570660893</v>
      </c>
      <c r="EK560" s="160">
        <f>EK552-(EK534+EK425)*0.65</f>
        <v>1288.2</v>
      </c>
      <c r="EL560" s="72">
        <f>IF(ISERROR(EK560/EC560),"NA",IF(OR(EK560/EC560&gt;2,EK560/EC560&lt;0.5),"NM",EK560/EC560*100-100))</f>
        <v>15.871373959973027</v>
      </c>
      <c r="EM560" s="160">
        <f>EM552-(EM534+EM425)*0.65</f>
        <v>1291.8</v>
      </c>
      <c r="EN560" s="72">
        <f>IF(ISERROR(EM560/EE560),"NA",IF(OR(EM560/EE560&gt;2,EM560/EE560&lt;0.5),"NM",EM560/EE560*100-100))</f>
        <v>15.05678022712091</v>
      </c>
      <c r="EO560" s="160">
        <f>EO552-(EO534+EO425)*0.65</f>
        <v>1170.4000000000001</v>
      </c>
      <c r="EP560" s="72">
        <f>IF(ISERROR(EO560/EG560),"NA",IF(OR(EO560/EG560&gt;2,EO560/EG560&lt;0.5),"NM",EO560/EG560*100-100))</f>
        <v>8.6722376973073381</v>
      </c>
      <c r="EQ560" s="160">
        <f>EQ552-(EQ534+EQ425)*0.65</f>
        <v>1337.6539953800166</v>
      </c>
      <c r="ER560" s="72">
        <f t="shared" si="2660"/>
        <v>9.2796538892964406</v>
      </c>
      <c r="ES560" s="160">
        <f>ES552-(ES534+ES425)*0.65</f>
        <v>1344.9585156595535</v>
      </c>
      <c r="ET560" s="72">
        <f t="shared" si="2662"/>
        <v>4.406032887715682</v>
      </c>
      <c r="EU560" s="160">
        <f>EU552-(EU534+EU425)*0.65</f>
        <v>1329.8396634684204</v>
      </c>
      <c r="EV560" s="72">
        <f t="shared" si="2664"/>
        <v>2.944702234743815</v>
      </c>
      <c r="EW560" s="160">
        <f>EW552-(EW534+EW425)*0.65</f>
        <v>1199.5935562897889</v>
      </c>
      <c r="EX560" s="72">
        <f t="shared" si="2666"/>
        <v>2.4943229912669977</v>
      </c>
      <c r="EY560" s="72"/>
      <c r="EZ560" s="332"/>
      <c r="FA560" s="72"/>
      <c r="FB560" s="160"/>
      <c r="FC560" s="161"/>
      <c r="FD560" s="160">
        <f>FD552-(FD534+FD425)*0.65</f>
        <v>220</v>
      </c>
      <c r="FE560" s="72"/>
      <c r="FF560" s="160">
        <f>FF552-(FF534+FF425)*0.65</f>
        <v>244</v>
      </c>
      <c r="FG560" s="72"/>
      <c r="FH560" s="160">
        <f>FH552-(FH534+FH425)*0.65</f>
        <v>565</v>
      </c>
      <c r="FI560" s="72"/>
      <c r="FJ560" s="160">
        <f>FJ552-(FJ534+FJ425)*0.65</f>
        <v>720</v>
      </c>
      <c r="FK560" s="72"/>
      <c r="FL560" s="160">
        <f>FL552-(FL534+FL425)*0.65</f>
        <v>1091.1500000000001</v>
      </c>
      <c r="FM560" s="72"/>
      <c r="FN560" s="160">
        <f>FN552-(FN534+FN425)*0.65</f>
        <v>1595.35</v>
      </c>
      <c r="FO560" s="72"/>
      <c r="FP560" s="160">
        <f>FP552-(FP534+FP425)*0.65</f>
        <v>2066.5</v>
      </c>
      <c r="FQ560" s="72"/>
      <c r="FR560" s="160">
        <f>FR552-(FR534+FR425)*0.65</f>
        <v>2217.8000000000002</v>
      </c>
      <c r="FS560" s="72"/>
      <c r="FT560" s="160">
        <f>FT552-(FT534+FT425)*0.65</f>
        <v>2798.1500000000005</v>
      </c>
      <c r="FU560" s="72"/>
      <c r="FV560" s="160">
        <f>FV552-(FV534+FV425)*0.65</f>
        <v>706.90000000000009</v>
      </c>
      <c r="FW560" s="72"/>
      <c r="FX560" s="160">
        <f>FX552-(FX534+FX425)*0.65</f>
        <v>859.25</v>
      </c>
      <c r="FY560" s="72"/>
      <c r="FZ560" s="160">
        <f>FZ552-(FZ534+FZ425)*0.65</f>
        <v>1745.45</v>
      </c>
      <c r="GA560" s="72"/>
      <c r="GB560" s="160">
        <f>GB552-(GB534+GB425)*0.65</f>
        <v>2411.2550000000001</v>
      </c>
      <c r="GC560" s="72"/>
      <c r="GD560" s="160">
        <f>GD552-(GD534+GD425)*0.65</f>
        <v>2686.65</v>
      </c>
      <c r="GE560" s="72"/>
      <c r="GF560" s="160">
        <f>GF552-(GF534+GF425)*0.65</f>
        <v>4360.3</v>
      </c>
      <c r="GG560" s="72"/>
      <c r="GH560" s="160">
        <f>GH552-(GH534+GH425)*0.65</f>
        <v>4557.8</v>
      </c>
      <c r="GI560" s="72">
        <f t="shared" si="2667"/>
        <v>4.5295048505836775</v>
      </c>
      <c r="GJ560" s="160">
        <f>GJ552-(GJ534+GJ425)*0.65</f>
        <v>4568.7250000000004</v>
      </c>
      <c r="GK560" s="72">
        <f t="shared" si="2667"/>
        <v>0.23969897757689296</v>
      </c>
      <c r="GL560" s="160">
        <f>GL552-(GL534+GL425)*0.65</f>
        <v>4372.2</v>
      </c>
      <c r="GM560" s="72">
        <f t="shared" si="2667"/>
        <v>-4.301528325736399</v>
      </c>
      <c r="GN560" s="160">
        <f>GN552-(GN534+GN425)*0.65</f>
        <v>4974.4650000000001</v>
      </c>
      <c r="GO560" s="72">
        <f t="shared" si="2667"/>
        <v>13.774873061616574</v>
      </c>
      <c r="GP560" s="160">
        <f>GP552-(GP534+GP425)*0.65</f>
        <v>5212.0457307977795</v>
      </c>
      <c r="GQ560" s="72">
        <f t="shared" si="2667"/>
        <v>4.7760056769477615</v>
      </c>
      <c r="GR560" s="160">
        <f>GR552-(GR534+GR425)*0.65</f>
        <v>5275.3860821617618</v>
      </c>
      <c r="GS560" s="72">
        <f t="shared" si="2667"/>
        <v>1.215268526707419</v>
      </c>
      <c r="GT560" s="160">
        <f>GT552-(GT534+GT425)*0.65</f>
        <v>5330.1772453206413</v>
      </c>
      <c r="GU560" s="72">
        <f t="shared" si="2667"/>
        <v>1.0386190186942201</v>
      </c>
      <c r="GV560" s="160">
        <f>GV552-(GV534+GV425)*0.65</f>
        <v>5391.2071880921685</v>
      </c>
      <c r="GW560" s="72">
        <f>IF(ISERROR(GV560/GT560),"NA",IF(OR(GV560/GT560&gt;2,GV560/GT560&lt;0.5),"NM",GV560/GT560*100-100))</f>
        <v>1.1449889930978543</v>
      </c>
      <c r="GX560" s="160">
        <f>GX552-(GX534+GX425)*0.65</f>
        <v>5444.2816195673659</v>
      </c>
      <c r="GY560" s="72">
        <f>IF(ISERROR(GX560/GV560),"NA",IF(OR(GX560/GV560&gt;2,GX560/GV560&lt;0.5),"NM",GX560/GV560*100-100))</f>
        <v>0.98446284150284669</v>
      </c>
      <c r="GZ560" s="72"/>
      <c r="HA560" s="72"/>
      <c r="HB560" s="72"/>
      <c r="HC560"/>
      <c r="HD560"/>
      <c r="HE560"/>
      <c r="HF560"/>
      <c r="HG560"/>
      <c r="HH560"/>
      <c r="HI560" s="2"/>
    </row>
    <row r="561" spans="1:217" s="78" customFormat="1" ht="12.75" customHeight="1" x14ac:dyDescent="0.2">
      <c r="A561" s="3"/>
      <c r="B561" s="89" t="s">
        <v>635</v>
      </c>
      <c r="C561" s="160"/>
      <c r="D561" s="161"/>
      <c r="E561" s="160"/>
      <c r="F561" s="161"/>
      <c r="G561" s="160"/>
      <c r="H561" s="172"/>
      <c r="I561" s="160"/>
      <c r="J561" s="161"/>
      <c r="K561" s="160"/>
      <c r="L561" s="72"/>
      <c r="M561" s="160"/>
      <c r="N561" s="72"/>
      <c r="O561" s="160"/>
      <c r="P561" s="72"/>
      <c r="Q561" s="160"/>
      <c r="R561" s="72"/>
      <c r="S561" s="160"/>
      <c r="T561" s="72"/>
      <c r="U561" s="160"/>
      <c r="V561" s="72"/>
      <c r="W561" s="160"/>
      <c r="X561" s="72"/>
      <c r="Y561" s="160"/>
      <c r="Z561" s="72"/>
      <c r="AA561" s="160"/>
      <c r="AB561" s="72"/>
      <c r="AC561" s="160"/>
      <c r="AD561" s="72"/>
      <c r="AE561" s="160"/>
      <c r="AF561" s="72"/>
      <c r="AG561" s="160"/>
      <c r="AH561" s="72"/>
      <c r="AI561" s="160"/>
      <c r="AJ561" s="72"/>
      <c r="AK561" s="160"/>
      <c r="AL561" s="72"/>
      <c r="AM561" s="160"/>
      <c r="AN561" s="72"/>
      <c r="AO561" s="160"/>
      <c r="AP561" s="72"/>
      <c r="AQ561" s="160"/>
      <c r="AR561" s="72"/>
      <c r="AS561" s="160"/>
      <c r="AT561" s="72"/>
      <c r="AU561" s="160"/>
      <c r="AV561" s="72"/>
      <c r="AW561" s="160"/>
      <c r="AX561" s="72"/>
      <c r="AY561" s="160">
        <f>AY560+AY545</f>
        <v>687.95</v>
      </c>
      <c r="AZ561" s="72" t="str">
        <f>IF(ISERROR(AY561/AQ561),"NA",IF(OR(AY561/AQ561&gt;2,AY561/AQ561&lt;0.5),"NM",AY561/AQ561*100-100))</f>
        <v>NA</v>
      </c>
      <c r="BA561" s="160">
        <f>BA560+BA545</f>
        <v>676.35</v>
      </c>
      <c r="BB561" s="72" t="str">
        <f>IF(ISERROR(BA561/AS561),"NA",IF(OR(BA561/AS561&gt;2,BA561/AS561&lt;0.5),"NM",BA561/AS561*100-100))</f>
        <v>NA</v>
      </c>
      <c r="BC561" s="160">
        <f>BC560+BC545</f>
        <v>686.05</v>
      </c>
      <c r="BD561" s="72" t="str">
        <f>IF(ISERROR(BC561/AU561),"NA",IF(OR(BC561/AU561&gt;2,BC561/AU561&lt;0.5),"NM",BC561/AU561*100-100))</f>
        <v>NA</v>
      </c>
      <c r="BE561" s="160">
        <f>BE560+BE545</f>
        <v>702.15</v>
      </c>
      <c r="BF561" s="72" t="str">
        <f>IF(ISERROR(BE561/AW561),"NA",IF(OR(BE561/AW561&gt;2,BE561/AW561&lt;0.5),"NM",BE561/AW561*100-100))</f>
        <v>NA</v>
      </c>
      <c r="BG561" s="160">
        <f>BG560+BG545</f>
        <v>766.99999999999989</v>
      </c>
      <c r="BH561" s="72">
        <f>IF(ISERROR(BG561/AY561),"NA",IF(OR(BG561/AY561&gt;2,BG561/AY561&lt;0.5),"NM",BG561/AY561*100-100))</f>
        <v>11.490660658478063</v>
      </c>
      <c r="BI561" s="160">
        <f>BI560+BI545</f>
        <v>797.75</v>
      </c>
      <c r="BJ561" s="72">
        <f>IF(ISERROR(BI561/BA561),"NA",IF(OR(BI561/BA561&gt;2,BI561/BA561&lt;0.5),"NM",BI561/BA561*100-100))</f>
        <v>17.94928661196127</v>
      </c>
      <c r="BK561" s="160">
        <f>BK560+BK545</f>
        <v>938.75</v>
      </c>
      <c r="BL561" s="72">
        <f>IF(ISERROR(BK561/BC561),"NA",IF(OR(BK561/BC561&gt;2,BK561/BC561&lt;0.5),"NM",BK561/BC561*100-100))</f>
        <v>36.834049996355958</v>
      </c>
      <c r="BM561" s="160">
        <f>BM560+BM545</f>
        <v>888.5</v>
      </c>
      <c r="BN561" s="72">
        <f>IF(ISERROR(BM561/BE561),"NA",IF(OR(BM561/BE561&gt;2,BM561/BE561&lt;0.5),"NM",BM561/BE561*100-100))</f>
        <v>26.539913123976362</v>
      </c>
      <c r="BO561" s="160">
        <f>BO560+BO545</f>
        <v>703.85</v>
      </c>
      <c r="BP561" s="72">
        <f>IF(ISERROR(BO561/BG561),"NA",IF(OR(BO561/BG561&gt;2,BO561/BG561&lt;0.5),"NM",BO561/BG561*100-100))</f>
        <v>-8.233376792698806</v>
      </c>
      <c r="BQ561" s="160">
        <f>BQ560+BQ545</f>
        <v>820</v>
      </c>
      <c r="BR561" s="72">
        <f>IF(ISERROR(BQ561/BI561),"NA",IF(OR(BQ561/BI561&gt;2,BQ561/BI561&lt;0.5),"NM",BQ561/BI561*100-100))</f>
        <v>2.7890943277969313</v>
      </c>
      <c r="BS561" s="160">
        <f>BS560+BS545</f>
        <v>659.4</v>
      </c>
      <c r="BT561" s="72">
        <f>IF(ISERROR(BS561/BK561),"NA",IF(OR(BS561/BK561&gt;2,BS561/BK561&lt;0.5),"NM",BS561/BK561*100-100))</f>
        <v>-29.757656458055919</v>
      </c>
      <c r="BU561" s="160">
        <f>BU560+BU545</f>
        <v>283.04999999999995</v>
      </c>
      <c r="BV561" s="72" t="str">
        <f>IF(ISERROR(BU561/BM561),"NA",IF(OR(BU561/BM561&gt;2,BU561/BM561&lt;0.5),"NM",BU561/BM561*100-100))</f>
        <v>NM</v>
      </c>
      <c r="BW561" s="160">
        <f>BW560+BW545</f>
        <v>439.20000000000005</v>
      </c>
      <c r="BX561" s="72">
        <f>IF(ISERROR(BW561/BO561),"NA",IF(OR(BW561/BO561&gt;2,BW561/BO561&lt;0.5),"NM",BW561/BO561*100-100))</f>
        <v>-37.600340981743265</v>
      </c>
      <c r="BY561" s="160">
        <f>BY560+BY545</f>
        <v>566.54999999999995</v>
      </c>
      <c r="BZ561" s="72">
        <f>IF(ISERROR(BY561/BQ561),"NA",IF(OR(BY561/BQ561&gt;2,BY561/BQ561&lt;0.5),"NM",BY561/BQ561*100-100))</f>
        <v>-30.908536585365866</v>
      </c>
      <c r="CA561" s="160">
        <f>CA560+CA545</f>
        <v>669.85</v>
      </c>
      <c r="CB561" s="72">
        <f>IF(ISERROR(CA561/BS561),"NA",IF(OR(CA561/BS561&gt;2,CA561/BS561&lt;0.5),"NM",CA561/BS561*100-100))</f>
        <v>1.5847740370033421</v>
      </c>
      <c r="CC561" s="160">
        <f>CC560+CC545</f>
        <v>507.65</v>
      </c>
      <c r="CD561" s="72">
        <f>IF(ISERROR(CC561/BU561),"NA",IF(OR(CC561/BU561&gt;2,CC561/BU561&lt;0.5),"NM",CC561/BU561*100-100))</f>
        <v>79.349938173467592</v>
      </c>
      <c r="CE561" s="160">
        <f>CE560+CE545</f>
        <v>575.65</v>
      </c>
      <c r="CF561" s="72">
        <f>IF(ISERROR(CE561/BW561),"NA",IF(OR(CE561/BW561&gt;2,CE561/BW561&lt;0.5),"NM",CE561/BW561*100-100))</f>
        <v>31.067850637522753</v>
      </c>
      <c r="CG561" s="160">
        <f>CG560+CG545</f>
        <v>597.65</v>
      </c>
      <c r="CH561" s="72">
        <f>IF(ISERROR(CG561/BY561),"NA",IF(OR(CG561/BY561&gt;2,CG561/BY561&lt;0.5),"NM",CG561/BY561*100-100))</f>
        <v>5.4893654575942179</v>
      </c>
      <c r="CI561" s="160">
        <f>CI560+CI545</f>
        <v>592.95000000000005</v>
      </c>
      <c r="CJ561" s="72">
        <f>IF(ISERROR(CI561/CA561),"NA",IF(OR(CI561/CA561&gt;2,CI561/CA561&lt;0.5),"NM",CI561/CA561*100-100))</f>
        <v>-11.480182130327677</v>
      </c>
      <c r="CK561" s="160">
        <f>CK560+CK545</f>
        <v>649.20000000000005</v>
      </c>
      <c r="CL561" s="72">
        <f>IF(ISERROR(CK561/CC561),"NA",IF(OR(CK561/CC561&gt;2,CK561/CC561&lt;0.5),"NM",CK561/CC561*100-100))</f>
        <v>27.883384221412413</v>
      </c>
      <c r="CM561" s="160">
        <f>CM560+CM545</f>
        <v>704.90499999999997</v>
      </c>
      <c r="CN561" s="72">
        <f>IF(ISERROR(CM561/CE561),"NA",IF(OR(CM561/CE561&gt;2,CM561/CE561&lt;0.5),"NM",CM561/CE561*100-100))</f>
        <v>22.453747937114571</v>
      </c>
      <c r="CO561" s="160">
        <f>CO560+CO545</f>
        <v>809.45</v>
      </c>
      <c r="CP561" s="72">
        <f>IF(ISERROR(CO561/CG561),"NA",IF(OR(CO561/CG561&gt;2,CO561/CG561&lt;0.5),"NM",CO561/CG561*100-100))</f>
        <v>35.438801974399752</v>
      </c>
      <c r="CQ561" s="160">
        <f>CQ560+CQ545</f>
        <v>718.1</v>
      </c>
      <c r="CR561" s="72">
        <f>IF(ISERROR(CQ561/CI561),"NA",IF(OR(CQ561/CI561&gt;2,CQ561/CI561&lt;0.5),"NM",CQ561/CI561*100-100))</f>
        <v>21.106332743064328</v>
      </c>
      <c r="CS561" s="160">
        <f>CS560+CS545</f>
        <v>728.8</v>
      </c>
      <c r="CT561" s="72">
        <f>IF(ISERROR(CS561/CK561),"NA",IF(OR(CS561/CK561&gt;2,CS561/CK561&lt;0.5),"NM",CS561/CK561*100-100))</f>
        <v>12.261244608749223</v>
      </c>
      <c r="CU561" s="160">
        <f>CU560+CU545</f>
        <v>699.65</v>
      </c>
      <c r="CV561" s="72">
        <f>IF(ISERROR(CU561/CM561),"NA",IF(OR(CU561/CM561&gt;2,CU561/CM561&lt;0.5),"NM",CU561/CM561*100-100))</f>
        <v>-0.74549052709230068</v>
      </c>
      <c r="CW561" s="160">
        <f>CW560+CW545</f>
        <v>816.9</v>
      </c>
      <c r="CX561" s="72">
        <f>IF(ISERROR(CW561/CO561),"NA",IF(OR(CW561/CO561&gt;2,CW561/CO561&lt;0.5),"NM",CW561/CO561*100-100))</f>
        <v>0.92037803446784494</v>
      </c>
      <c r="CY561" s="160">
        <f>CY560+CY545</f>
        <v>858.7</v>
      </c>
      <c r="CZ561" s="72">
        <f>IF(ISERROR(CY561/CQ561),"NA",IF(OR(CY561/CQ561&gt;2,CY561/CQ561&lt;0.5),"NM",CY561/CQ561*100-100))</f>
        <v>19.579445759643505</v>
      </c>
      <c r="DA561" s="160">
        <f>DA560+DA545</f>
        <v>864.4</v>
      </c>
      <c r="DB561" s="72">
        <f>IF(ISERROR(DA561/CS561),"NA",IF(OR(DA561/CS561&gt;2,DA561/CS561&lt;0.5),"NM",DA561/CS561*100-100))</f>
        <v>18.6059275521405</v>
      </c>
      <c r="DC561" s="160">
        <f>DC560+DC545</f>
        <v>1000.1</v>
      </c>
      <c r="DD561" s="72">
        <f>IF(ISERROR(DC561/CU561),"NA",IF(OR(DC561/CU561&gt;2,DC561/CU561&lt;0.5),"NM",DC561/CU561*100-100))</f>
        <v>42.9429000214393</v>
      </c>
      <c r="DE561" s="160">
        <f>DE560+DE545</f>
        <v>993.1</v>
      </c>
      <c r="DF561" s="72">
        <f>IF(ISERROR(DE561/CW561),"NA",IF(OR(DE561/CW561&gt;2,DE561/CW561&lt;0.5),"NM",DE561/CW561*100-100))</f>
        <v>21.569347533357814</v>
      </c>
      <c r="DG561" s="160">
        <f>DG560+DG545</f>
        <v>1107.3</v>
      </c>
      <c r="DH561" s="72">
        <f>IF(ISERROR(DG561/CY561),"NA",IF(OR(DG561/CY561&gt;2,DG561/CY561&lt;0.5),"NM",DG561/CY561*100-100))</f>
        <v>28.950739489926605</v>
      </c>
      <c r="DI561" s="160">
        <f>DI560+DI545</f>
        <v>1045.8</v>
      </c>
      <c r="DJ561" s="72">
        <f>IF(ISERROR(DI561/DA561),"NA",IF(OR(DI561/DA561&gt;2,DI561/DA561&lt;0.5),"NM",DI561/DA561*100-100))</f>
        <v>20.985654789449342</v>
      </c>
      <c r="DK561" s="160">
        <f>DK560+DK545</f>
        <v>1164.25</v>
      </c>
      <c r="DL561" s="72">
        <f>IF(ISERROR(DK561/DC561),"NA",IF(OR(DK561/DC561&gt;2,DK561/DC561&lt;0.5),"NM",DK561/DC561*100-100))</f>
        <v>16.413358664133582</v>
      </c>
      <c r="DM561" s="160">
        <f>DM560+DM545</f>
        <v>1180.8</v>
      </c>
      <c r="DN561" s="72">
        <f t="shared" si="2658"/>
        <v>18.900412848655719</v>
      </c>
      <c r="DO561" s="160">
        <f>DO560+DO545</f>
        <v>1152.1999999999998</v>
      </c>
      <c r="DP561" s="72">
        <f t="shared" si="2658"/>
        <v>4.0549083355910511</v>
      </c>
      <c r="DQ561" s="160">
        <f>DQ560+DQ545</f>
        <v>1087.1500000000001</v>
      </c>
      <c r="DR561" s="72">
        <f t="shared" si="2658"/>
        <v>3.9539108816217379</v>
      </c>
      <c r="DS561" s="160">
        <f>DS560+DS545</f>
        <v>1234.95</v>
      </c>
      <c r="DT561" s="72">
        <f t="shared" si="2658"/>
        <v>6.0725789134636017</v>
      </c>
      <c r="DU561" s="160">
        <f>DU560+DU545</f>
        <v>1218.05</v>
      </c>
      <c r="DV561" s="72">
        <f t="shared" si="2658"/>
        <v>3.154640921409225</v>
      </c>
      <c r="DW561" s="160">
        <f>DW560+DW545</f>
        <v>1164.5999999999999</v>
      </c>
      <c r="DX561" s="72">
        <f t="shared" si="2658"/>
        <v>1.0762020482555101</v>
      </c>
      <c r="DY561" s="160">
        <f>DY560+DY545</f>
        <v>951.125</v>
      </c>
      <c r="DZ561" s="72">
        <f t="shared" si="2658"/>
        <v>-12.512072851032514</v>
      </c>
      <c r="EA561" s="160">
        <f>EA560+EA545</f>
        <v>1060.7</v>
      </c>
      <c r="EB561" s="72">
        <f>IF(ISERROR(EA561/DS561),"NA",IF(OR(EA561/DS561&gt;2,EA561/DS561&lt;0.5),"NM",EA561/DS561*100-100))</f>
        <v>-14.109882991214221</v>
      </c>
      <c r="EC561" s="160">
        <f>EC560+EC545</f>
        <v>1111.75</v>
      </c>
      <c r="ED561" s="72">
        <f>IF(ISERROR(EC561/DU561),"NA",IF(OR(EC561/DU561&gt;2,EC561/DU561&lt;0.5),"NM",EC561/DU561*100-100))</f>
        <v>-8.7270637494355725</v>
      </c>
      <c r="EE561" s="160">
        <f>EE560+EE545</f>
        <v>1113.25</v>
      </c>
      <c r="EF561" s="72">
        <f>IF(ISERROR(EE561/DW561),"NA",IF(OR(EE561/DW561&gt;2,EE561/DW561&lt;0.5),"NM",EE561/DW561*100-100))</f>
        <v>-4.4092392237678126</v>
      </c>
      <c r="EG561" s="160">
        <f>EG560+EG545</f>
        <v>1068</v>
      </c>
      <c r="EH561" s="72">
        <f>IF(ISERROR(EG561/DY561),"NA",IF(OR(EG561/DY561&gt;2,EG561/DY561&lt;0.5),"NM",EG561/DY561*100-100))</f>
        <v>12.288079905375213</v>
      </c>
      <c r="EI561" s="160">
        <f>EI560+EI545</f>
        <v>1214.0650000000001</v>
      </c>
      <c r="EJ561" s="72">
        <f>IF(ISERROR(EI561/EA561),"NA",IF(OR(EI561/EA561&gt;2,EI561/EA561&lt;0.5),"NM",EI561/EA561*100-100))</f>
        <v>14.458847930611853</v>
      </c>
      <c r="EK561" s="160">
        <f>EK560+EK545</f>
        <v>1283.2</v>
      </c>
      <c r="EL561" s="72">
        <f>IF(ISERROR(EK561/EC561),"NA",IF(OR(EK561/EC561&gt;2,EK561/EC561&lt;0.5),"NM",EK561/EC561*100-100))</f>
        <v>15.421632561277264</v>
      </c>
      <c r="EM561" s="160">
        <f>EM560+EM545</f>
        <v>1279.8</v>
      </c>
      <c r="EN561" s="72">
        <f>IF(ISERROR(EM561/EE561),"NA",IF(OR(EM561/EE561&gt;2,EM561/EE561&lt;0.5),"NM",EM561/EE561*100-100))</f>
        <v>14.960700651246356</v>
      </c>
      <c r="EO561" s="160">
        <f>EO560+EO545</f>
        <v>1159.4000000000001</v>
      </c>
      <c r="EP561" s="72">
        <f>IF(ISERROR(EO561/EG561),"NA",IF(OR(EO561/EG561&gt;2,EO561/EG561&lt;0.5),"NM",EO561/EG561*100-100))</f>
        <v>8.5580524344569255</v>
      </c>
      <c r="EQ561" s="160">
        <f t="shared" ref="EQ561" si="2676">EQ560+EQ545</f>
        <v>1326.6539953800166</v>
      </c>
      <c r="ER561" s="72">
        <f t="shared" si="2660"/>
        <v>9.2737205487363923</v>
      </c>
      <c r="ES561" s="160">
        <f t="shared" ref="ES561" si="2677">ES560+ES545</f>
        <v>1333.9585156595535</v>
      </c>
      <c r="ET561" s="72">
        <f t="shared" si="2662"/>
        <v>3.9556199859377585</v>
      </c>
      <c r="EU561" s="160">
        <f t="shared" ref="EU561" si="2678">EU560+EU545</f>
        <v>1318.8396634684204</v>
      </c>
      <c r="EV561" s="72">
        <f t="shared" si="2664"/>
        <v>3.0504503413361732</v>
      </c>
      <c r="EW561" s="160">
        <f t="shared" ref="EW561" si="2679">EW560+EW545</f>
        <v>1188.5935562897889</v>
      </c>
      <c r="EX561" s="72">
        <f t="shared" si="2666"/>
        <v>2.517988294789447</v>
      </c>
      <c r="EY561" s="72"/>
      <c r="EZ561" s="332"/>
      <c r="FA561" s="72"/>
      <c r="FB561" s="160"/>
      <c r="FC561" s="161"/>
      <c r="FD561" s="160">
        <f>FD560+FD545</f>
        <v>222</v>
      </c>
      <c r="FE561" s="72"/>
      <c r="FF561" s="160">
        <f>FF560+FF545</f>
        <v>252</v>
      </c>
      <c r="FG561" s="72"/>
      <c r="FH561" s="160">
        <f>FH560+FH545</f>
        <v>577</v>
      </c>
      <c r="FI561" s="72"/>
      <c r="FJ561" s="160">
        <f>FJ560+FJ545</f>
        <v>725</v>
      </c>
      <c r="FK561" s="72"/>
      <c r="FL561" s="160">
        <f>FL560+FL545</f>
        <v>1097.1500000000001</v>
      </c>
      <c r="FM561" s="72"/>
      <c r="FN561" s="160">
        <f>FN560+FN545</f>
        <v>1592.35</v>
      </c>
      <c r="FO561" s="72"/>
      <c r="FP561" s="160">
        <f>FP560+FP545</f>
        <v>2052.5</v>
      </c>
      <c r="FQ561" s="72"/>
      <c r="FR561" s="160">
        <f>FR560+FR545</f>
        <v>2199.8000000000002</v>
      </c>
      <c r="FS561" s="72" t="str">
        <f>IF(ISERROR(FR561/FJ561),"NA",IF(OR(FR561/FJ561&gt;2,FR561/FJ561&lt;0.5),"NM",FR561/FJ561*100-100))</f>
        <v>NM</v>
      </c>
      <c r="FT561" s="160">
        <f>FT560+FT545</f>
        <v>2773.1500000000005</v>
      </c>
      <c r="FU561" s="72" t="str">
        <f>IF(ISERROR(FT561/FL561),"NA",IF(OR(FT561/FL561&gt;2,FT561/FL561&lt;0.5),"NM",FT561/FL561*100-100))</f>
        <v>NM</v>
      </c>
      <c r="FV561" s="160">
        <f>FV560+FV545</f>
        <v>682.90000000000009</v>
      </c>
      <c r="FW561" s="72" t="str">
        <f>IF(ISERROR(FV561/FN561),"NA",IF(OR(FV561/FN561&gt;2,FV561/FN561&lt;0.5),"NM",FV561/FN561*100-100))</f>
        <v>NM</v>
      </c>
      <c r="FX561" s="160">
        <f>FX560+FX545</f>
        <v>837.25</v>
      </c>
      <c r="FY561" s="72">
        <f>IF(ISERROR(FX561/FV561),"NA",IF(OR(FX561/FV561&gt;2,FX561/FV561&lt;0.5),"NM",FX561/FV561*100-100))</f>
        <v>22.602137941133392</v>
      </c>
      <c r="FZ561" s="160">
        <f>FZ560+FZ545</f>
        <v>1727.45</v>
      </c>
      <c r="GA561" s="72">
        <f>IF(ISERROR(FZ561/FR561),"NA",IF(OR(FZ561/FR561&gt;2,FZ561/FR561&lt;0.5),"NM",FZ561/FR561*100-100))</f>
        <v>-21.472406582416596</v>
      </c>
      <c r="GB561" s="160">
        <f>GB560+GB545</f>
        <v>2384.2550000000001</v>
      </c>
      <c r="GC561" s="72">
        <f>IF(ISERROR(GB561/FT561),"NA",IF(OR(GB561/FT561&gt;2,GB561/FT561&lt;0.5),"NM",GB561/FT561*100-100))</f>
        <v>-14.023583289760751</v>
      </c>
      <c r="GD561" s="160">
        <f>GD560+GD545</f>
        <v>2661.65</v>
      </c>
      <c r="GE561" s="72" t="str">
        <f>IF(ISERROR(GD561/FV561),"NA",IF(OR(GD561/FV561&gt;2,GD561/FV561&lt;0.5),"NM",GD561/FV561*100-100))</f>
        <v>NM</v>
      </c>
      <c r="GF561" s="160">
        <f>GF560+GF545</f>
        <v>4338.3</v>
      </c>
      <c r="GG561" s="72">
        <f>IF(ISERROR(GF561/GD561),"NA",IF(OR(GF561/GD561&gt;2,GF561/GD561&lt;0.5),"NM",GF561/GD561*100-100))</f>
        <v>62.992880356170048</v>
      </c>
      <c r="GH561" s="160">
        <f>GH560+GH545</f>
        <v>4538.8</v>
      </c>
      <c r="GI561" s="72">
        <f t="shared" si="2667"/>
        <v>4.6216259825277177</v>
      </c>
      <c r="GJ561" s="160">
        <f>GJ560+GJ545</f>
        <v>4568.7250000000004</v>
      </c>
      <c r="GK561" s="72">
        <f t="shared" si="2667"/>
        <v>0.65931523750771248</v>
      </c>
      <c r="GL561" s="160">
        <f>GL560+GL545</f>
        <v>4353.7</v>
      </c>
      <c r="GM561" s="72">
        <f t="shared" si="2667"/>
        <v>-4.7064553020809967</v>
      </c>
      <c r="GN561" s="160">
        <f>GN560+GN545</f>
        <v>4936.4650000000001</v>
      </c>
      <c r="GO561" s="72">
        <f t="shared" si="2667"/>
        <v>13.385511174403391</v>
      </c>
      <c r="GP561" s="160">
        <f>GP560+GP545</f>
        <v>5168.0457307977795</v>
      </c>
      <c r="GQ561" s="72">
        <f t="shared" si="2667"/>
        <v>4.6912260250559825</v>
      </c>
      <c r="GR561" s="160">
        <f>GR560+GR545</f>
        <v>5231.3860821617618</v>
      </c>
      <c r="GS561" s="72">
        <f t="shared" si="2667"/>
        <v>1.2256151486144944</v>
      </c>
      <c r="GT561" s="160">
        <f>GT560+GT545</f>
        <v>5286.1772453206413</v>
      </c>
      <c r="GU561" s="72">
        <f t="shared" si="2667"/>
        <v>1.0473546073326361</v>
      </c>
      <c r="GV561" s="160">
        <f>GV560+GV545</f>
        <v>5347.2071880921685</v>
      </c>
      <c r="GW561" s="72">
        <f>IF(ISERROR(GV561/GT561),"NA",IF(OR(GV561/GT561&gt;2,GV561/GT561&lt;0.5),"NM",GV561/GT561*100-100))</f>
        <v>1.1545194180832823</v>
      </c>
      <c r="GX561" s="160">
        <f>GX560+GX545</f>
        <v>5400.2816195673659</v>
      </c>
      <c r="GY561" s="72">
        <f>IF(ISERROR(GX561/GV561),"NA",IF(OR(GX561/GV561&gt;2,GX561/GV561&lt;0.5),"NM",GX561/GV561*100-100))</f>
        <v>0.99256358708879588</v>
      </c>
      <c r="GZ561" s="72">
        <f>IF(ISERROR(((GX561/GN561)^0.2-1)*100),"NA",IF((((GX561/GN561)^0.2-1)*100)&gt;100,"NM",IF((((GX561/GN561)^0.2-1)*100)&lt;-50,"NM",((GX561/GN561)^0.2-1)*100)))</f>
        <v>1.8122579738640399</v>
      </c>
      <c r="HA561" s="72"/>
      <c r="HB561" s="72"/>
      <c r="HC561"/>
      <c r="HD561"/>
      <c r="HE561"/>
      <c r="HF561"/>
      <c r="HG561"/>
      <c r="HH561"/>
      <c r="HI561" s="2"/>
    </row>
    <row r="562" spans="1:217" s="78" customFormat="1" ht="12.75" customHeight="1" x14ac:dyDescent="0.2">
      <c r="A562" s="3"/>
      <c r="B562" s="89"/>
      <c r="C562" s="160"/>
      <c r="D562" s="161"/>
      <c r="E562" s="160"/>
      <c r="F562" s="161"/>
      <c r="G562" s="160"/>
      <c r="H562" s="172"/>
      <c r="I562" s="160"/>
      <c r="J562" s="161"/>
      <c r="K562" s="160"/>
      <c r="L562" s="72"/>
      <c r="M562" s="160"/>
      <c r="N562" s="72"/>
      <c r="O562" s="160"/>
      <c r="P562" s="72"/>
      <c r="Q562" s="160"/>
      <c r="R562" s="72"/>
      <c r="S562" s="160"/>
      <c r="T562" s="72"/>
      <c r="U562" s="160"/>
      <c r="V562" s="72"/>
      <c r="W562" s="160"/>
      <c r="X562" s="72"/>
      <c r="Y562" s="160"/>
      <c r="Z562" s="72"/>
      <c r="AA562" s="160"/>
      <c r="AB562" s="72"/>
      <c r="AC562" s="160"/>
      <c r="AD562" s="72"/>
      <c r="AE562" s="160"/>
      <c r="AF562" s="72"/>
      <c r="AG562" s="160"/>
      <c r="AH562" s="72"/>
      <c r="AI562" s="160"/>
      <c r="AJ562" s="72"/>
      <c r="AK562" s="160"/>
      <c r="AL562" s="72"/>
      <c r="AM562" s="160"/>
      <c r="AN562" s="72"/>
      <c r="AO562" s="160"/>
      <c r="AP562" s="72"/>
      <c r="AQ562" s="160"/>
      <c r="AR562" s="72"/>
      <c r="AS562" s="160"/>
      <c r="AT562" s="72"/>
      <c r="AU562" s="160"/>
      <c r="AV562" s="72"/>
      <c r="AW562" s="160"/>
      <c r="AX562" s="72"/>
      <c r="AY562" s="160"/>
      <c r="AZ562" s="72"/>
      <c r="BA562" s="160"/>
      <c r="BB562" s="72"/>
      <c r="BC562" s="160"/>
      <c r="BD562" s="72"/>
      <c r="BE562" s="160"/>
      <c r="BF562" s="72"/>
      <c r="BG562" s="160"/>
      <c r="BH562" s="72"/>
      <c r="BI562" s="160"/>
      <c r="BJ562" s="72"/>
      <c r="BK562" s="160"/>
      <c r="BL562" s="72"/>
      <c r="BM562" s="160"/>
      <c r="BN562" s="72"/>
      <c r="BO562" s="160"/>
      <c r="BP562" s="72"/>
      <c r="BQ562" s="160"/>
      <c r="BR562" s="72"/>
      <c r="BS562" s="160"/>
      <c r="BT562" s="72"/>
      <c r="BU562" s="160"/>
      <c r="BV562" s="72"/>
      <c r="BW562" s="160"/>
      <c r="BX562" s="72"/>
      <c r="BY562" s="160"/>
      <c r="BZ562" s="72"/>
      <c r="CA562" s="160"/>
      <c r="CB562" s="72"/>
      <c r="CC562" s="160"/>
      <c r="CD562" s="72"/>
      <c r="CE562" s="160"/>
      <c r="CF562" s="72"/>
      <c r="CG562" s="160"/>
      <c r="CH562" s="72"/>
      <c r="CI562" s="160"/>
      <c r="CJ562" s="72"/>
      <c r="CK562" s="160"/>
      <c r="CL562" s="72"/>
      <c r="CM562" s="160"/>
      <c r="CN562" s="72"/>
      <c r="CO562" s="160"/>
      <c r="CP562" s="72"/>
      <c r="CQ562" s="160"/>
      <c r="CR562" s="72"/>
      <c r="CS562" s="160"/>
      <c r="CT562" s="72"/>
      <c r="CU562" s="160"/>
      <c r="CV562" s="72"/>
      <c r="CW562" s="160"/>
      <c r="CX562" s="72"/>
      <c r="CY562" s="160"/>
      <c r="CZ562" s="72"/>
      <c r="DA562" s="160"/>
      <c r="DB562" s="72"/>
      <c r="DC562" s="160"/>
      <c r="DD562" s="72"/>
      <c r="DE562" s="160"/>
      <c r="DF562" s="72"/>
      <c r="DG562" s="160"/>
      <c r="DH562" s="72"/>
      <c r="DI562" s="160"/>
      <c r="DJ562" s="72"/>
      <c r="DK562" s="160"/>
      <c r="DL562" s="72"/>
      <c r="DM562" s="160"/>
      <c r="DN562" s="72"/>
      <c r="DO562" s="160"/>
      <c r="DP562" s="72"/>
      <c r="DQ562" s="160"/>
      <c r="DR562" s="72"/>
      <c r="DS562" s="160"/>
      <c r="DT562" s="72"/>
      <c r="DU562" s="160"/>
      <c r="DV562" s="72"/>
      <c r="DW562" s="160"/>
      <c r="DX562" s="72"/>
      <c r="DY562" s="160"/>
      <c r="DZ562" s="72"/>
      <c r="EA562" s="160"/>
      <c r="EB562" s="72"/>
      <c r="EC562" s="160"/>
      <c r="ED562" s="72"/>
      <c r="EE562" s="160"/>
      <c r="EF562" s="72"/>
      <c r="EG562" s="160"/>
      <c r="EH562" s="72"/>
      <c r="EI562" s="160"/>
      <c r="EJ562" s="72"/>
      <c r="EK562" s="160"/>
      <c r="EL562" s="72"/>
      <c r="EM562" s="160"/>
      <c r="EN562" s="72"/>
      <c r="EO562" s="160"/>
      <c r="EP562" s="72"/>
      <c r="EQ562" s="160"/>
      <c r="ER562" s="72"/>
      <c r="ES562" s="160"/>
      <c r="ET562" s="72"/>
      <c r="EU562" s="160"/>
      <c r="EV562" s="72"/>
      <c r="EW562" s="160"/>
      <c r="EX562" s="72"/>
      <c r="EY562" s="72"/>
      <c r="EZ562" s="332"/>
      <c r="FA562" s="72"/>
      <c r="FB562" s="160"/>
      <c r="FC562" s="161"/>
      <c r="FD562" s="160"/>
      <c r="FE562" s="72"/>
      <c r="FF562" s="160"/>
      <c r="FG562" s="72"/>
      <c r="FH562" s="160"/>
      <c r="FI562" s="72"/>
      <c r="FJ562" s="160"/>
      <c r="FK562" s="72"/>
      <c r="FL562" s="160"/>
      <c r="FM562" s="72"/>
      <c r="FN562" s="160"/>
      <c r="FO562" s="72"/>
      <c r="FP562" s="160"/>
      <c r="FQ562" s="72"/>
      <c r="FR562" s="160"/>
      <c r="FS562" s="72"/>
      <c r="FT562" s="160"/>
      <c r="FU562" s="72"/>
      <c r="FV562" s="160"/>
      <c r="FW562" s="72"/>
      <c r="FX562" s="160"/>
      <c r="FY562" s="72"/>
      <c r="FZ562" s="160"/>
      <c r="GA562" s="72"/>
      <c r="GB562" s="160"/>
      <c r="GC562" s="72"/>
      <c r="GD562" s="160"/>
      <c r="GE562" s="72"/>
      <c r="GF562" s="160"/>
      <c r="GG562" s="72"/>
      <c r="GH562" s="160"/>
      <c r="GI562" s="72"/>
      <c r="GJ562" s="160"/>
      <c r="GK562" s="72"/>
      <c r="GL562" s="160"/>
      <c r="GM562" s="72"/>
      <c r="GN562" s="160"/>
      <c r="GO562" s="72"/>
      <c r="GP562" s="160"/>
      <c r="GQ562" s="72"/>
      <c r="GR562" s="160"/>
      <c r="GS562" s="72"/>
      <c r="GT562" s="160"/>
      <c r="GU562" s="72"/>
      <c r="GV562" s="160"/>
      <c r="GW562" s="72"/>
      <c r="GX562" s="160"/>
      <c r="GY562" s="72"/>
      <c r="GZ562" s="72"/>
      <c r="HA562" s="72"/>
      <c r="HB562" s="72"/>
      <c r="HC562"/>
      <c r="HD562"/>
      <c r="HE562"/>
      <c r="HF562"/>
      <c r="HG562"/>
      <c r="HH562"/>
      <c r="HI562" s="2"/>
    </row>
    <row r="563" spans="1:217" s="3" customFormat="1" ht="12.75" customHeight="1" x14ac:dyDescent="0.2">
      <c r="B563" s="10" t="s">
        <v>472</v>
      </c>
      <c r="C563" s="145"/>
      <c r="D563" s="11"/>
      <c r="E563" s="145"/>
      <c r="F563" s="11"/>
      <c r="G563" s="145"/>
      <c r="H563" s="11"/>
      <c r="I563" s="145"/>
      <c r="J563" s="11"/>
      <c r="K563" s="145"/>
      <c r="L563" s="72"/>
      <c r="M563" s="145"/>
      <c r="N563" s="72"/>
      <c r="O563" s="145"/>
      <c r="P563" s="72"/>
      <c r="Q563" s="145"/>
      <c r="R563" s="72"/>
      <c r="S563" s="145"/>
      <c r="T563" s="72"/>
      <c r="U563" s="145"/>
      <c r="V563" s="72"/>
      <c r="W563" s="145"/>
      <c r="X563" s="72"/>
      <c r="Y563" s="145"/>
      <c r="Z563" s="72"/>
      <c r="AA563" s="145"/>
      <c r="AB563" s="72"/>
      <c r="AC563" s="145"/>
      <c r="AD563" s="72"/>
      <c r="AE563" s="145"/>
      <c r="AF563" s="72"/>
      <c r="AG563" s="145"/>
      <c r="AH563" s="72"/>
      <c r="AI563" s="145"/>
      <c r="AJ563" s="72"/>
      <c r="AK563" s="145"/>
      <c r="AL563" s="72"/>
      <c r="AM563" s="145"/>
      <c r="AN563" s="72"/>
      <c r="AO563" s="145"/>
      <c r="AP563" s="72"/>
      <c r="AQ563" s="145"/>
      <c r="AR563" s="72"/>
      <c r="AS563" s="145"/>
      <c r="AT563" s="72"/>
      <c r="AU563" s="145"/>
      <c r="AV563" s="72"/>
      <c r="AW563" s="145"/>
      <c r="AX563" s="72"/>
      <c r="AY563" s="145"/>
      <c r="AZ563" s="72"/>
      <c r="BA563" s="145"/>
      <c r="BB563" s="72"/>
      <c r="BC563" s="145"/>
      <c r="BD563" s="72"/>
      <c r="BE563" s="145"/>
      <c r="BF563" s="72"/>
      <c r="BG563" s="145"/>
      <c r="BH563" s="72"/>
      <c r="BI563" s="145"/>
      <c r="BJ563" s="72"/>
      <c r="BK563" s="145"/>
      <c r="BL563" s="72"/>
      <c r="BM563" s="145"/>
      <c r="BN563" s="72"/>
      <c r="BO563" s="145"/>
      <c r="BP563" s="72"/>
      <c r="BQ563" s="145"/>
      <c r="BR563" s="72"/>
      <c r="BS563" s="145"/>
      <c r="BT563" s="72"/>
      <c r="BU563" s="145"/>
      <c r="BV563" s="72"/>
      <c r="BW563" s="145"/>
      <c r="BX563" s="72"/>
      <c r="BY563" s="145"/>
      <c r="BZ563" s="72"/>
      <c r="CA563" s="145"/>
      <c r="CB563" s="72"/>
      <c r="CC563" s="145"/>
      <c r="CD563" s="72"/>
      <c r="CE563" s="145"/>
      <c r="CF563" s="72"/>
      <c r="CG563" s="145"/>
      <c r="CH563" s="72"/>
      <c r="CI563" s="145"/>
      <c r="CJ563" s="72"/>
      <c r="CK563" s="145"/>
      <c r="CL563" s="72"/>
      <c r="CM563" s="145"/>
      <c r="CN563" s="72"/>
      <c r="CO563" s="145"/>
      <c r="CP563" s="72"/>
      <c r="CQ563" s="145"/>
      <c r="CR563" s="72"/>
      <c r="CS563" s="145"/>
      <c r="CT563" s="72"/>
      <c r="CU563" s="145"/>
      <c r="CV563" s="72"/>
      <c r="CW563" s="145"/>
      <c r="CX563" s="72"/>
      <c r="CY563" s="145"/>
      <c r="CZ563" s="72"/>
      <c r="DA563" s="145"/>
      <c r="DB563" s="72"/>
      <c r="DC563" s="145"/>
      <c r="DD563" s="72"/>
      <c r="DE563" s="145"/>
      <c r="DF563" s="72"/>
      <c r="DG563" s="144">
        <f>(DG101+DG221+DG329+DG135+DG255+DG390+DG431+DG492)*0.65</f>
        <v>24.05</v>
      </c>
      <c r="DH563" s="72"/>
      <c r="DI563" s="144">
        <f>(DI101+DI221+DI329+DI135+DI255+DI390+DI431+DI492)*0.65</f>
        <v>16.25</v>
      </c>
      <c r="DJ563" s="72"/>
      <c r="DK563" s="144">
        <f>(DK101+DK221+DK329+DK135+DK255+DK390+DK431+DK492)*0.65</f>
        <v>58.5</v>
      </c>
      <c r="DL563" s="72"/>
      <c r="DM563" s="144">
        <f>(DM101+DM221+DM329+DM135+DM255+DM390+DM431+DM492)*0.65</f>
        <v>62.400000000000006</v>
      </c>
      <c r="DN563" s="72" t="str">
        <f t="shared" ref="DN563:DZ564" si="2680">IF(ISERROR(DM563/DE563),"NA",IF(OR(DM563/DE563&gt;2,DM563/DE563&lt;0.5),"NM",DM563/DE563*100-100))</f>
        <v>NA</v>
      </c>
      <c r="DO563" s="144">
        <f>(DO101+DO221+DO329+DO135+DO255+DO390+DO431+DO492)*0.65</f>
        <v>44.85</v>
      </c>
      <c r="DP563" s="72">
        <f t="shared" si="2680"/>
        <v>86.486486486486484</v>
      </c>
      <c r="DQ563" s="144">
        <f>(DQ101+DQ221+DQ329+DQ135+DQ255+DQ390+DQ431+DQ492)*0.65</f>
        <v>74.75</v>
      </c>
      <c r="DR563" s="72" t="str">
        <f t="shared" si="2680"/>
        <v>NM</v>
      </c>
      <c r="DS563" s="144">
        <f>(DS101+DS221+DS329+DS135+DS255+DS390+DS431+DS492)*0.65</f>
        <v>100.75</v>
      </c>
      <c r="DT563" s="72">
        <f t="shared" si="2680"/>
        <v>72.222222222222229</v>
      </c>
      <c r="DU563" s="144">
        <f>(DU101+DU221+DU329+DU135+DU255+DU390+DU431+DU492)*0.65</f>
        <v>42.25</v>
      </c>
      <c r="DV563" s="72">
        <f t="shared" si="2680"/>
        <v>-32.291666666666671</v>
      </c>
      <c r="DW563" s="144">
        <f>(DW101+DW221+DW329+DW135+DW255+DW390+DW431+DW492)*0.65</f>
        <v>9.75</v>
      </c>
      <c r="DX563" s="72" t="str">
        <f t="shared" si="2680"/>
        <v>NM</v>
      </c>
      <c r="DY563" s="144">
        <f>(DY101+DY221+DY329+DY135+DY255+DY390+DY431+DY492)*0.65</f>
        <v>-126.75</v>
      </c>
      <c r="DZ563" s="72" t="str">
        <f t="shared" si="2680"/>
        <v>NM</v>
      </c>
      <c r="EA563" s="144">
        <f>(EA101+EA221+EA329+EA135+EA255+EA390+EA431+EA492)*0.65</f>
        <v>-78.650000000000006</v>
      </c>
      <c r="EB563" s="72" t="str">
        <f>IF(ISERROR(EA563/DS563),"NA",IF(OR(EA563/DS563&gt;2,EA563/DS563&lt;0.5),"NM",EA563/DS563*100-100))</f>
        <v>NM</v>
      </c>
      <c r="EC563" s="144">
        <f>(EC101+EC221+EC329+EC135+EC255+EC390+EC431+EC492)*0.65</f>
        <v>8.4500000000000011</v>
      </c>
      <c r="ED563" s="72" t="str">
        <f>IF(ISERROR(EC563/DU563),"NA",IF(OR(EC563/DU563&gt;2,EC563/DU563&lt;0.5),"NM",EC563/DU563*100-100))</f>
        <v>NM</v>
      </c>
      <c r="EE563" s="144">
        <f>(EE101+EE221+EE329+EE135+EE255+EE390+EE431+EE492)*0.65</f>
        <v>22.75</v>
      </c>
      <c r="EF563" s="72" t="str">
        <f>IF(ISERROR(EE563/DW563),"NA",IF(OR(EE563/DW563&gt;2,EE563/DW563&lt;0.5),"NM",EE563/DW563*100-100))</f>
        <v>NM</v>
      </c>
      <c r="EG563" s="144">
        <f>(EG101+EG221+EG329+EG135+EG255+EG390+EG431+EG492)*0.65</f>
        <v>45.5</v>
      </c>
      <c r="EH563" s="72" t="str">
        <f>IF(ISERROR(EG563/DY563),"NA",IF(OR(EG563/DY563&gt;2,EG563/DY563&lt;0.5),"NM",EG563/DY563*100-100))</f>
        <v>NM</v>
      </c>
      <c r="EI563" s="144">
        <f>(EI101+EI221+EI329+EI135+EI255+EI390+EI431+EI492)*0.65</f>
        <v>17.225000000000001</v>
      </c>
      <c r="EJ563" s="72" t="str">
        <f>IF(ISERROR(EI563/EA563),"NA",IF(OR(EI563/EA563&gt;2,EI563/EA563&lt;0.5),"NM",EI563/EA563*100-100))</f>
        <v>NM</v>
      </c>
      <c r="EK563" s="144">
        <f>(EK101+EK221+EK329+EK135+EK255+EK390+EK431+EK492)*0.65</f>
        <v>71.5</v>
      </c>
      <c r="EL563" s="72" t="str">
        <f>IF(ISERROR(EK563/EC563),"NA",IF(OR(EK563/EC563&gt;2,EK563/EC563&lt;0.5),"NM",EK563/EC563*100-100))</f>
        <v>NM</v>
      </c>
      <c r="EM563" s="144">
        <f>(EM101+EM221+EM329+EM135+EM255+EM390+EM431+EM492)*0.65</f>
        <v>16.25</v>
      </c>
      <c r="EN563" s="72">
        <f>IF(ISERROR(EM563/EE563),"NA",IF(OR(EM563/EE563&gt;2,EM563/EE563&lt;0.5),"NM",EM563/EE563*100-100))</f>
        <v>-28.571428571428569</v>
      </c>
      <c r="EO563" s="144">
        <f>(EO101+EO221+EO329+EO135+EO255+EO390+EO431+EO492)*0.65</f>
        <v>29.25</v>
      </c>
      <c r="EP563" s="72">
        <f>IF(ISERROR(EO563/EG563),"NA",IF(OR(EO563/EG563&gt;2,EO563/EG563&lt;0.5),"NM",EO563/EG563*100-100))</f>
        <v>-35.714285714285708</v>
      </c>
      <c r="EQ563" s="144">
        <f>(EQ101+EQ221+EQ329+EQ135+EQ255+EQ390+EQ431+EQ492)*0.65</f>
        <v>0</v>
      </c>
      <c r="ER563" s="72" t="str">
        <f t="shared" ref="ER563:ER564" si="2681">IF(ISERROR(EQ563/EI563),"NA",IF(OR(EQ563/EI563&gt;2,EQ563/EI563&lt;0.5),"NM",EQ563/EI563*100-100))</f>
        <v>NM</v>
      </c>
      <c r="ES563" s="144">
        <f>(ES101+ES221+ES329+ES135+ES255+ES390+ES431+ES492)*0.65</f>
        <v>0</v>
      </c>
      <c r="ET563" s="72" t="str">
        <f t="shared" ref="ET563:ET564" si="2682">IF(ISERROR(ES563/EK563),"NA",IF(OR(ES563/EK563&gt;2,ES563/EK563&lt;0.5),"NM",ES563/EK563*100-100))</f>
        <v>NM</v>
      </c>
      <c r="EU563" s="144">
        <f>(EU101+EU221+EU329+EU135+EU255+EU390+EU431+EU492)*0.65</f>
        <v>0</v>
      </c>
      <c r="EV563" s="72" t="str">
        <f t="shared" ref="EV563:EV564" si="2683">IF(ISERROR(EU563/EM563),"NA",IF(OR(EU563/EM563&gt;2,EU563/EM563&lt;0.5),"NM",EU563/EM563*100-100))</f>
        <v>NM</v>
      </c>
      <c r="EW563" s="144">
        <f>(EW101+EW221+EW329+EW135+EW255+EW390+EW431+EW492)*0.65</f>
        <v>0</v>
      </c>
      <c r="EX563" s="72" t="str">
        <f t="shared" ref="EX563:EX564" si="2684">IF(ISERROR(EW563/EO563),"NA",IF(OR(EW563/EO563&gt;2,EW563/EO563&lt;0.5),"NM",EW563/EO563*100-100))</f>
        <v>NM</v>
      </c>
      <c r="EY563" s="72"/>
      <c r="EZ563" s="296"/>
      <c r="FA563" s="72"/>
      <c r="FB563" s="145"/>
      <c r="FC563" s="11"/>
      <c r="FD563" s="144">
        <f>CG563+CI563+CK563+CM563</f>
        <v>0</v>
      </c>
      <c r="FE563" s="72"/>
      <c r="FF563" s="144">
        <f>CI563+CK563+CM563+CO563</f>
        <v>0</v>
      </c>
      <c r="FG563" s="72"/>
      <c r="FH563" s="144">
        <f>CK563+CM563+CO563+CQ563</f>
        <v>0</v>
      </c>
      <c r="FI563" s="72"/>
      <c r="FJ563" s="144">
        <f>CM563+CO563+CQ563+CS563</f>
        <v>0</v>
      </c>
      <c r="FK563" s="72"/>
      <c r="FL563" s="144">
        <f>CO563+CQ563+CS563+CU563</f>
        <v>0</v>
      </c>
      <c r="FM563" s="72"/>
      <c r="FN563" s="144">
        <f>CQ563+CS563+CU563+CW563</f>
        <v>0</v>
      </c>
      <c r="FO563" s="72"/>
      <c r="FP563" s="144">
        <f>CS563+CU563+CW563+CY563</f>
        <v>0</v>
      </c>
      <c r="FQ563" s="72"/>
      <c r="FR563" s="144">
        <f>CU563+CW563+CY563+DA563</f>
        <v>0</v>
      </c>
      <c r="FS563" s="72"/>
      <c r="FT563" s="144">
        <f>CW563+CY563+DA563+DC563</f>
        <v>0</v>
      </c>
      <c r="FU563" s="72"/>
      <c r="FV563" s="144">
        <f>CY563+DA563+DC563+DE563</f>
        <v>0</v>
      </c>
      <c r="FW563" s="72"/>
      <c r="FX563" s="144">
        <f>DA563+DC563+DE563+DG563</f>
        <v>24.05</v>
      </c>
      <c r="FY563" s="72"/>
      <c r="FZ563" s="144">
        <f>DC563+DE563+DG563+DI563</f>
        <v>40.299999999999997</v>
      </c>
      <c r="GA563" s="72"/>
      <c r="GB563" s="144">
        <f>DE563+DG563+DI563+DK563</f>
        <v>98.8</v>
      </c>
      <c r="GC563" s="72"/>
      <c r="GD563" s="144">
        <f>DG563+DI563+DK563+DM563</f>
        <v>161.19999999999999</v>
      </c>
      <c r="GE563" s="72"/>
      <c r="GF563" s="144">
        <f>DI563+DK563+DM563+DO563</f>
        <v>182</v>
      </c>
      <c r="GG563" s="72"/>
      <c r="GH563" s="144">
        <f>DK563+DM563+DO563+DQ563</f>
        <v>240.5</v>
      </c>
      <c r="GI563" s="72"/>
      <c r="GJ563" s="144">
        <f>DM563+DO563+DQ563+DS563</f>
        <v>282.75</v>
      </c>
      <c r="GK563" s="72"/>
      <c r="GL563" s="144">
        <f>DO563+DQ563+DS563+DU563</f>
        <v>262.60000000000002</v>
      </c>
      <c r="GM563" s="72"/>
      <c r="GN563" s="144">
        <f>DW563+DY563+EA563+EC563</f>
        <v>-187.20000000000002</v>
      </c>
      <c r="GO563" s="72"/>
      <c r="GP563" s="144">
        <f>EE563+EG563+EI563+EK563</f>
        <v>156.97499999999999</v>
      </c>
      <c r="GQ563" s="72"/>
      <c r="GR563" s="144"/>
      <c r="GS563" s="72"/>
      <c r="GT563" s="144"/>
      <c r="GU563" s="72"/>
      <c r="GV563" s="144"/>
      <c r="GW563" s="72"/>
      <c r="GX563" s="144"/>
      <c r="GY563" s="72"/>
      <c r="GZ563" s="72"/>
      <c r="HA563" s="72"/>
      <c r="HB563" s="72"/>
      <c r="HC563"/>
      <c r="HD563"/>
      <c r="HE563"/>
      <c r="HF563"/>
      <c r="HG563"/>
      <c r="HH563"/>
      <c r="HI563" s="2"/>
    </row>
    <row r="564" spans="1:217" s="78" customFormat="1" ht="12.75" customHeight="1" x14ac:dyDescent="0.2">
      <c r="A564" s="3"/>
      <c r="B564" s="70" t="s">
        <v>423</v>
      </c>
      <c r="C564" s="91"/>
      <c r="D564" s="80"/>
      <c r="E564" s="91"/>
      <c r="F564" s="80"/>
      <c r="G564" s="91"/>
      <c r="H564" s="80"/>
      <c r="I564" s="91"/>
      <c r="J564" s="80"/>
      <c r="K564" s="91"/>
      <c r="L564" s="72"/>
      <c r="M564" s="91"/>
      <c r="N564" s="72"/>
      <c r="O564" s="91"/>
      <c r="P564" s="72"/>
      <c r="Q564" s="91"/>
      <c r="R564" s="72"/>
      <c r="S564" s="91"/>
      <c r="T564" s="72"/>
      <c r="U564" s="91"/>
      <c r="V564" s="72"/>
      <c r="W564" s="91"/>
      <c r="X564" s="72"/>
      <c r="Y564" s="91"/>
      <c r="Z564" s="72"/>
      <c r="AA564" s="91"/>
      <c r="AB564" s="72"/>
      <c r="AC564" s="91"/>
      <c r="AD564" s="72"/>
      <c r="AE564" s="91"/>
      <c r="AF564" s="72"/>
      <c r="AG564" s="91"/>
      <c r="AH564" s="72"/>
      <c r="AI564" s="91"/>
      <c r="AJ564" s="72"/>
      <c r="AK564" s="91"/>
      <c r="AL564" s="72"/>
      <c r="AM564" s="91"/>
      <c r="AN564" s="72"/>
      <c r="AO564" s="91"/>
      <c r="AP564" s="72"/>
      <c r="AQ564" s="91"/>
      <c r="AR564" s="72"/>
      <c r="AS564" s="91"/>
      <c r="AT564" s="72"/>
      <c r="AU564" s="91"/>
      <c r="AV564" s="72"/>
      <c r="AW564" s="91"/>
      <c r="AX564" s="72"/>
      <c r="AY564" s="91"/>
      <c r="AZ564" s="72"/>
      <c r="BA564" s="91"/>
      <c r="BB564" s="72"/>
      <c r="BC564" s="91"/>
      <c r="BD564" s="72"/>
      <c r="BE564" s="91"/>
      <c r="BF564" s="72"/>
      <c r="BG564" s="91"/>
      <c r="BH564" s="72"/>
      <c r="BI564" s="91"/>
      <c r="BJ564" s="72"/>
      <c r="BK564" s="91"/>
      <c r="BL564" s="72"/>
      <c r="BM564" s="91"/>
      <c r="BN564" s="72"/>
      <c r="BO564" s="91"/>
      <c r="BP564" s="72"/>
      <c r="BQ564" s="91"/>
      <c r="BR564" s="72"/>
      <c r="BS564" s="91"/>
      <c r="BT564" s="72"/>
      <c r="BU564" s="91"/>
      <c r="BV564" s="72"/>
      <c r="BW564" s="91"/>
      <c r="BX564" s="72"/>
      <c r="BY564" s="91"/>
      <c r="BZ564" s="72"/>
      <c r="CA564" s="91"/>
      <c r="CB564" s="72"/>
      <c r="CC564" s="91"/>
      <c r="CD564" s="72"/>
      <c r="CE564" s="91"/>
      <c r="CF564" s="72"/>
      <c r="CG564" s="91"/>
      <c r="CH564" s="72"/>
      <c r="CI564" s="91"/>
      <c r="CJ564" s="72"/>
      <c r="CK564" s="91"/>
      <c r="CL564" s="72"/>
      <c r="CM564" s="91"/>
      <c r="CN564" s="72"/>
      <c r="CO564" s="91"/>
      <c r="CP564" s="72"/>
      <c r="CQ564" s="91"/>
      <c r="CR564" s="72"/>
      <c r="CS564" s="91"/>
      <c r="CT564" s="72"/>
      <c r="CU564" s="91"/>
      <c r="CV564" s="72"/>
      <c r="CW564" s="91"/>
      <c r="CX564" s="72"/>
      <c r="CY564" s="91"/>
      <c r="CZ564" s="72"/>
      <c r="DA564" s="91"/>
      <c r="DB564" s="72"/>
      <c r="DC564" s="91"/>
      <c r="DD564" s="72"/>
      <c r="DE564" s="91"/>
      <c r="DF564" s="72"/>
      <c r="DG564" s="91">
        <f>DG561-DG563</f>
        <v>1083.25</v>
      </c>
      <c r="DH564" s="72"/>
      <c r="DI564" s="91">
        <f>DI561-DI563</f>
        <v>1029.55</v>
      </c>
      <c r="DJ564" s="72"/>
      <c r="DK564" s="91">
        <f>DK561-DK563</f>
        <v>1105.75</v>
      </c>
      <c r="DL564" s="72"/>
      <c r="DM564" s="91">
        <f>DM561-DM563</f>
        <v>1118.3999999999999</v>
      </c>
      <c r="DN564" s="72" t="str">
        <f t="shared" si="2680"/>
        <v>NA</v>
      </c>
      <c r="DO564" s="91">
        <f>DO561-DO563</f>
        <v>1107.3499999999999</v>
      </c>
      <c r="DP564" s="72">
        <f t="shared" si="2680"/>
        <v>2.2247865220401479</v>
      </c>
      <c r="DQ564" s="91">
        <f>DQ561-DQ563</f>
        <v>1012.4000000000001</v>
      </c>
      <c r="DR564" s="72">
        <f t="shared" si="2680"/>
        <v>-1.6657763100383534</v>
      </c>
      <c r="DS564" s="91">
        <f>DS561-DS563</f>
        <v>1134.2</v>
      </c>
      <c r="DT564" s="72">
        <f t="shared" si="2680"/>
        <v>2.572914311553248</v>
      </c>
      <c r="DU564" s="91">
        <f>DU561-DU563</f>
        <v>1175.8</v>
      </c>
      <c r="DV564" s="72">
        <f t="shared" si="2680"/>
        <v>5.1323319027181782</v>
      </c>
      <c r="DW564" s="91">
        <f>DW561-DW563</f>
        <v>1154.8499999999999</v>
      </c>
      <c r="DX564" s="72">
        <f t="shared" si="2680"/>
        <v>4.2895200252855972</v>
      </c>
      <c r="DY564" s="91">
        <f>DY561-DY563</f>
        <v>1077.875</v>
      </c>
      <c r="DZ564" s="72">
        <f t="shared" si="2680"/>
        <v>6.4673054128802789</v>
      </c>
      <c r="EA564" s="91">
        <f>EA561-EA563</f>
        <v>1139.3500000000001</v>
      </c>
      <c r="EB564" s="72">
        <f>IF(ISERROR(EA564/DS564),"NA",IF(OR(EA564/DS564&gt;2,EA564/DS564&lt;0.5),"NM",EA564/DS564*100-100))</f>
        <v>0.45406453888203657</v>
      </c>
      <c r="EC564" s="91">
        <f>EC561-EC563</f>
        <v>1103.3</v>
      </c>
      <c r="ED564" s="72">
        <f>IF(ISERROR(EC564/DU564),"NA",IF(OR(EC564/DU564&gt;2,EC564/DU564&lt;0.5),"NM",EC564/DU564*100-100))</f>
        <v>-6.1660146283381607</v>
      </c>
      <c r="EE564" s="91">
        <f>EE561-EE563</f>
        <v>1090.5</v>
      </c>
      <c r="EF564" s="72">
        <f>IF(ISERROR(EE564/DW564),"NA",IF(OR(EE564/DW564&gt;2,EE564/DW564&lt;0.5),"NM",EE564/DW564*100-100))</f>
        <v>-5.5721522275620146</v>
      </c>
      <c r="EG564" s="91">
        <f>EG561-EG563</f>
        <v>1022.5</v>
      </c>
      <c r="EH564" s="72">
        <f>IF(ISERROR(EG564/DY564),"NA",IF(OR(EG564/DY564&gt;2,EG564/DY564&lt;0.5),"NM",EG564/DY564*100-100))</f>
        <v>-5.1374231705902815</v>
      </c>
      <c r="EI564" s="91">
        <f>EI561-EI563</f>
        <v>1196.8400000000001</v>
      </c>
      <c r="EJ564" s="72">
        <f>IF(ISERROR(EI564/EA564),"NA",IF(OR(EI564/EA564&gt;2,EI564/EA564&lt;0.5),"NM",EI564/EA564*100-100))</f>
        <v>5.0458594812831734</v>
      </c>
      <c r="EK564" s="91">
        <f>EK561-EK563</f>
        <v>1211.7</v>
      </c>
      <c r="EL564" s="72">
        <f>IF(ISERROR(EK564/EC564),"NA",IF(OR(EK564/EC564&gt;2,EK564/EC564&lt;0.5),"NM",EK564/EC564*100-100))</f>
        <v>9.8250702438140252</v>
      </c>
      <c r="EM564" s="91">
        <f>EM561-EM563</f>
        <v>1263.55</v>
      </c>
      <c r="EN564" s="72">
        <f>IF(ISERROR(EM564/EE564),"NA",IF(OR(EM564/EE564&gt;2,EM564/EE564&lt;0.5),"NM",EM564/EE564*100-100))</f>
        <v>15.868867491976161</v>
      </c>
      <c r="EO564" s="91">
        <f>EO561-EO563</f>
        <v>1130.1500000000001</v>
      </c>
      <c r="EP564" s="72">
        <f>IF(ISERROR(EO564/EG564),"NA",IF(OR(EO564/EG564&gt;2,EO564/EG564&lt;0.5),"NM",EO564/EG564*100-100))</f>
        <v>10.528117359413216</v>
      </c>
      <c r="EQ564" s="91">
        <f t="shared" ref="EQ564" si="2685">EQ561-EQ563</f>
        <v>1326.6539953800166</v>
      </c>
      <c r="ER564" s="72">
        <f t="shared" si="2681"/>
        <v>10.846395122156366</v>
      </c>
      <c r="ES564" s="91">
        <f t="shared" ref="ES564" si="2686">ES561-ES563</f>
        <v>1333.9585156595535</v>
      </c>
      <c r="ET564" s="72">
        <f t="shared" si="2682"/>
        <v>10.089833759144469</v>
      </c>
      <c r="EU564" s="91">
        <f t="shared" ref="EU564" si="2687">EU561-EU563</f>
        <v>1318.8396634684204</v>
      </c>
      <c r="EV564" s="72">
        <f t="shared" si="2683"/>
        <v>4.3757400552744627</v>
      </c>
      <c r="EW564" s="91">
        <f t="shared" ref="EW564" si="2688">EW561-EW563</f>
        <v>1188.5935562897889</v>
      </c>
      <c r="EX564" s="72">
        <f t="shared" si="2684"/>
        <v>5.1713096748032399</v>
      </c>
      <c r="EY564" s="72"/>
      <c r="EZ564" s="314"/>
      <c r="FA564" s="72"/>
      <c r="FB564" s="91"/>
      <c r="FC564" s="80"/>
      <c r="FD564" s="91">
        <f>FD561-FD563</f>
        <v>222</v>
      </c>
      <c r="FE564" s="72"/>
      <c r="FF564" s="91">
        <f>FF561-FF563</f>
        <v>252</v>
      </c>
      <c r="FG564" s="72"/>
      <c r="FH564" s="91">
        <f>FH561-FH563</f>
        <v>577</v>
      </c>
      <c r="FI564" s="72"/>
      <c r="FJ564" s="91">
        <f>FJ561-FJ563</f>
        <v>725</v>
      </c>
      <c r="FK564" s="72"/>
      <c r="FL564" s="91">
        <f>FL561-FL563</f>
        <v>1097.1500000000001</v>
      </c>
      <c r="FM564" s="72"/>
      <c r="FN564" s="91">
        <f>FN561-FN563</f>
        <v>1592.35</v>
      </c>
      <c r="FO564" s="72"/>
      <c r="FP564" s="91">
        <f>FP561-FP563</f>
        <v>2052.5</v>
      </c>
      <c r="FQ564" s="72"/>
      <c r="FR564" s="91">
        <f>FR561-FR563</f>
        <v>2199.8000000000002</v>
      </c>
      <c r="FS564" s="72"/>
      <c r="FT564" s="91">
        <f>FT561-FT563</f>
        <v>2773.1500000000005</v>
      </c>
      <c r="FU564" s="72"/>
      <c r="FV564" s="91">
        <f>FV561-FV563</f>
        <v>682.90000000000009</v>
      </c>
      <c r="FW564" s="72"/>
      <c r="FX564" s="91">
        <f>FX561-FX563</f>
        <v>813.2</v>
      </c>
      <c r="FY564" s="72"/>
      <c r="FZ564" s="91">
        <f>FZ561-FZ563</f>
        <v>1687.15</v>
      </c>
      <c r="GA564" s="72"/>
      <c r="GB564" s="91">
        <f>GB561-GB563</f>
        <v>2285.4549999999999</v>
      </c>
      <c r="GC564" s="72"/>
      <c r="GD564" s="91">
        <f>GD561-GD563</f>
        <v>2500.4500000000003</v>
      </c>
      <c r="GE564" s="72"/>
      <c r="GF564" s="91">
        <f>GF561-GF563</f>
        <v>4156.3</v>
      </c>
      <c r="GG564" s="72"/>
      <c r="GH564" s="91">
        <f>GH561-GH563</f>
        <v>4298.3</v>
      </c>
      <c r="GI564" s="72"/>
      <c r="GJ564" s="91">
        <f>GJ561-GJ563</f>
        <v>4285.9750000000004</v>
      </c>
      <c r="GK564" s="72"/>
      <c r="GL564" s="91">
        <f>GL561-GL563</f>
        <v>4091.1</v>
      </c>
      <c r="GM564" s="72"/>
      <c r="GN564" s="91">
        <f>GN561-GN563</f>
        <v>5123.665</v>
      </c>
      <c r="GO564" s="72"/>
      <c r="GP564" s="91">
        <f>GP561-GP563</f>
        <v>5011.0707307977791</v>
      </c>
      <c r="GQ564" s="72"/>
      <c r="GR564" s="91"/>
      <c r="GS564" s="72"/>
      <c r="GT564" s="91"/>
      <c r="GU564" s="72"/>
      <c r="GV564" s="91"/>
      <c r="GW564" s="72"/>
      <c r="GX564" s="91"/>
      <c r="GY564" s="72"/>
      <c r="GZ564" s="72"/>
      <c r="HA564" s="72"/>
      <c r="HB564" s="72"/>
      <c r="HC564"/>
      <c r="HD564"/>
      <c r="HE564"/>
      <c r="HF564"/>
      <c r="HG564"/>
      <c r="HH564"/>
      <c r="HI564" s="2"/>
    </row>
    <row r="565" spans="1:217" s="3" customFormat="1" ht="12.75" customHeight="1" x14ac:dyDescent="0.2">
      <c r="B565" s="77"/>
      <c r="C565" s="149"/>
      <c r="D565" s="72"/>
      <c r="E565" s="149"/>
      <c r="F565" s="72"/>
      <c r="G565" s="149"/>
      <c r="H565" s="72"/>
      <c r="I565" s="149"/>
      <c r="J565" s="72"/>
      <c r="K565" s="149"/>
      <c r="L565" s="72"/>
      <c r="M565" s="149"/>
      <c r="N565" s="72"/>
      <c r="O565" s="149"/>
      <c r="P565" s="72"/>
      <c r="Q565" s="149"/>
      <c r="R565" s="72"/>
      <c r="S565" s="149"/>
      <c r="T565" s="72"/>
      <c r="U565" s="149"/>
      <c r="V565" s="72"/>
      <c r="W565" s="149"/>
      <c r="X565" s="72"/>
      <c r="Y565" s="149"/>
      <c r="Z565" s="72"/>
      <c r="AA565" s="149"/>
      <c r="AB565" s="72"/>
      <c r="AC565" s="149"/>
      <c r="AD565" s="72"/>
      <c r="AE565" s="149"/>
      <c r="AF565" s="72"/>
      <c r="AG565" s="149"/>
      <c r="AH565" s="72"/>
      <c r="AI565" s="149"/>
      <c r="AJ565" s="72"/>
      <c r="AK565" s="149"/>
      <c r="AL565" s="72"/>
      <c r="AM565" s="149"/>
      <c r="AN565" s="72"/>
      <c r="AO565" s="149"/>
      <c r="AP565" s="72"/>
      <c r="AQ565" s="149"/>
      <c r="AR565" s="72"/>
      <c r="AS565" s="149"/>
      <c r="AT565" s="72"/>
      <c r="AU565" s="149"/>
      <c r="AV565" s="72"/>
      <c r="AW565" s="149"/>
      <c r="AX565" s="72"/>
      <c r="AY565" s="149"/>
      <c r="AZ565" s="72"/>
      <c r="BA565" s="149"/>
      <c r="BB565" s="72"/>
      <c r="BC565" s="149"/>
      <c r="BD565" s="72"/>
      <c r="BE565" s="149"/>
      <c r="BF565" s="72"/>
      <c r="BG565" s="149"/>
      <c r="BH565" s="72"/>
      <c r="BI565" s="149"/>
      <c r="BJ565" s="72"/>
      <c r="BK565" s="149"/>
      <c r="BL565" s="72"/>
      <c r="BM565" s="149"/>
      <c r="BN565" s="72"/>
      <c r="BO565" s="149"/>
      <c r="BP565" s="72"/>
      <c r="BQ565" s="149"/>
      <c r="BR565" s="72"/>
      <c r="BS565" s="149"/>
      <c r="BT565" s="72"/>
      <c r="BU565" s="149"/>
      <c r="BV565" s="72"/>
      <c r="BW565" s="149"/>
      <c r="BX565" s="72"/>
      <c r="BY565" s="149"/>
      <c r="BZ565" s="72"/>
      <c r="CA565" s="149"/>
      <c r="CB565" s="72"/>
      <c r="CC565" s="149"/>
      <c r="CD565" s="72"/>
      <c r="CE565" s="149"/>
      <c r="CF565" s="72"/>
      <c r="CG565" s="149"/>
      <c r="CH565" s="72"/>
      <c r="CI565" s="149"/>
      <c r="CJ565" s="72"/>
      <c r="CK565" s="149"/>
      <c r="CL565" s="72"/>
      <c r="CM565" s="149"/>
      <c r="CN565" s="72"/>
      <c r="CO565" s="149"/>
      <c r="CP565" s="72"/>
      <c r="CQ565" s="149"/>
      <c r="CR565" s="72"/>
      <c r="CS565" s="149"/>
      <c r="CT565" s="72"/>
      <c r="CU565" s="149"/>
      <c r="CV565" s="72"/>
      <c r="CW565" s="149"/>
      <c r="CX565" s="72"/>
      <c r="CY565" s="149"/>
      <c r="CZ565" s="72"/>
      <c r="DA565" s="149"/>
      <c r="DB565" s="72"/>
      <c r="DC565" s="149"/>
      <c r="DD565" s="72"/>
      <c r="DE565" s="149"/>
      <c r="DF565" s="72"/>
      <c r="DG565" s="149"/>
      <c r="DH565" s="72"/>
      <c r="DI565" s="149"/>
      <c r="DJ565" s="72"/>
      <c r="DK565" s="149"/>
      <c r="DL565" s="72"/>
      <c r="DM565" s="149"/>
      <c r="DN565" s="72"/>
      <c r="DO565" s="149"/>
      <c r="DP565" s="72"/>
      <c r="DQ565" s="149"/>
      <c r="DR565" s="72"/>
      <c r="DS565" s="149"/>
      <c r="DT565" s="72"/>
      <c r="DU565" s="149"/>
      <c r="DV565" s="72"/>
      <c r="DW565" s="149"/>
      <c r="DX565" s="72"/>
      <c r="DY565" s="149"/>
      <c r="DZ565" s="72"/>
      <c r="EA565" s="149"/>
      <c r="EB565" s="72"/>
      <c r="EC565" s="149"/>
      <c r="ED565" s="72"/>
      <c r="EE565" s="149"/>
      <c r="EF565" s="72"/>
      <c r="EG565" s="149"/>
      <c r="EH565" s="72"/>
      <c r="EI565" s="149"/>
      <c r="EJ565" s="72"/>
      <c r="EK565" s="149"/>
      <c r="EL565" s="72"/>
      <c r="EM565" s="149"/>
      <c r="EN565" s="72"/>
      <c r="EO565" s="149"/>
      <c r="EP565" s="72"/>
      <c r="EQ565" s="149"/>
      <c r="ER565" s="72"/>
      <c r="ES565" s="149"/>
      <c r="ET565" s="72"/>
      <c r="EU565" s="149"/>
      <c r="EV565" s="72"/>
      <c r="EW565" s="149"/>
      <c r="EX565" s="72"/>
      <c r="EY565" s="72"/>
      <c r="EZ565" s="325"/>
      <c r="FA565" s="72"/>
      <c r="FB565" s="149"/>
      <c r="FC565" s="72"/>
      <c r="FD565" s="149"/>
      <c r="FE565" s="72"/>
      <c r="FF565" s="149"/>
      <c r="FG565" s="72"/>
      <c r="FH565" s="149"/>
      <c r="FI565" s="72"/>
      <c r="FJ565" s="149"/>
      <c r="FK565" s="72"/>
      <c r="FL565" s="149"/>
      <c r="FM565" s="72"/>
      <c r="FN565" s="149"/>
      <c r="FO565" s="72"/>
      <c r="FP565" s="149"/>
      <c r="FQ565" s="72"/>
      <c r="FR565" s="149"/>
      <c r="FS565" s="72"/>
      <c r="FT565" s="149"/>
      <c r="FU565" s="72"/>
      <c r="FV565" s="149"/>
      <c r="FW565" s="72"/>
      <c r="FX565" s="149"/>
      <c r="FY565" s="72"/>
      <c r="FZ565" s="149"/>
      <c r="GA565" s="72"/>
      <c r="GB565" s="149"/>
      <c r="GC565" s="72"/>
      <c r="GD565" s="149"/>
      <c r="GE565" s="72"/>
      <c r="GF565" s="149"/>
      <c r="GG565" s="72"/>
      <c r="GH565" s="149"/>
      <c r="GI565" s="72"/>
      <c r="GJ565" s="149"/>
      <c r="GK565" s="72"/>
      <c r="GL565" s="149"/>
      <c r="GM565" s="72"/>
      <c r="GN565" s="149"/>
      <c r="GO565" s="72"/>
      <c r="GP565" s="149"/>
      <c r="GQ565" s="72"/>
      <c r="GR565" s="149"/>
      <c r="GS565" s="72"/>
      <c r="GT565" s="149"/>
      <c r="GU565" s="72"/>
      <c r="GV565" s="149"/>
      <c r="GW565" s="72"/>
      <c r="GX565" s="149"/>
      <c r="GY565" s="72"/>
      <c r="GZ565" s="72"/>
      <c r="HA565" s="72"/>
      <c r="HB565" s="72"/>
      <c r="HC565"/>
      <c r="HD565"/>
      <c r="HE565"/>
      <c r="HF565"/>
      <c r="HG565"/>
      <c r="HH565"/>
      <c r="HI565" s="2"/>
    </row>
    <row r="566" spans="1:217" s="3" customFormat="1" ht="12.75" customHeight="1" x14ac:dyDescent="0.2">
      <c r="B566" s="10" t="s">
        <v>76</v>
      </c>
      <c r="C566" s="145"/>
      <c r="D566" s="11"/>
      <c r="E566" s="145"/>
      <c r="F566" s="11"/>
      <c r="G566" s="145"/>
      <c r="H566" s="167"/>
      <c r="I566" s="145"/>
      <c r="J566" s="11"/>
      <c r="K566" s="145"/>
      <c r="L566" s="72"/>
      <c r="M566" s="145"/>
      <c r="N566" s="72"/>
      <c r="O566" s="145"/>
      <c r="P566" s="72"/>
      <c r="Q566" s="145"/>
      <c r="R566" s="72"/>
      <c r="S566" s="145"/>
      <c r="T566" s="72"/>
      <c r="U566" s="145"/>
      <c r="V566" s="72"/>
      <c r="W566" s="145"/>
      <c r="X566" s="72"/>
      <c r="Y566" s="145"/>
      <c r="Z566" s="72"/>
      <c r="AA566" s="145"/>
      <c r="AB566" s="72"/>
      <c r="AC566" s="145"/>
      <c r="AD566" s="72"/>
      <c r="AE566" s="145"/>
      <c r="AF566" s="72"/>
      <c r="AG566" s="145"/>
      <c r="AH566" s="72"/>
      <c r="AI566" s="145"/>
      <c r="AJ566" s="72"/>
      <c r="AK566" s="145"/>
      <c r="AL566" s="72"/>
      <c r="AM566" s="145"/>
      <c r="AN566" s="72"/>
      <c r="AO566" s="145"/>
      <c r="AP566" s="72"/>
      <c r="AQ566" s="145"/>
      <c r="AR566" s="72"/>
      <c r="AS566" s="145"/>
      <c r="AT566" s="72"/>
      <c r="AU566" s="145"/>
      <c r="AV566" s="72"/>
      <c r="AW566" s="145"/>
      <c r="AX566" s="72"/>
      <c r="AY566" s="145">
        <f>(AY636*AY647)-AY554</f>
        <v>0</v>
      </c>
      <c r="AZ566" s="72" t="str">
        <f>IF(ISERROR(AY566/AQ566),"NA",IF(OR(AY566/AQ566&gt;2,AY566/AQ566&lt;0.5),"NM",AY566/AQ566*100-100))</f>
        <v>NA</v>
      </c>
      <c r="BA566" s="145">
        <f>(BA636*BA647)-BA554</f>
        <v>0</v>
      </c>
      <c r="BB566" s="72" t="str">
        <f>IF(ISERROR(BA566/AS566),"NA",IF(OR(BA566/AS566&gt;2,BA566/AS566&lt;0.5),"NM",BA566/AS566*100-100))</f>
        <v>NA</v>
      </c>
      <c r="BC566" s="145">
        <f>(BC636*BC647)-BC554</f>
        <v>0</v>
      </c>
      <c r="BD566" s="72" t="str">
        <f>IF(ISERROR(BC566/AU566),"NA",IF(OR(BC566/AU566&gt;2,BC566/AU566&lt;0.5),"NM",BC566/AU566*100-100))</f>
        <v>NA</v>
      </c>
      <c r="BE566" s="145">
        <f>(BE636*BE647)-BE554</f>
        <v>0</v>
      </c>
      <c r="BF566" s="72" t="str">
        <f>IF(ISERROR(BE566/AW566),"NA",IF(OR(BE566/AW566&gt;2,BE566/AW566&lt;0.5),"NM",BE566/AW566*100-100))</f>
        <v>NA</v>
      </c>
      <c r="BG566" s="145">
        <f>(BG636*BG647)-BG554</f>
        <v>0</v>
      </c>
      <c r="BH566" s="72" t="str">
        <f>IF(ISERROR(BG566/AY566),"NA",IF(OR(BG566/AY566&gt;2,BG566/AY566&lt;0.5),"NM",BG566/AY566*100-100))</f>
        <v>NA</v>
      </c>
      <c r="BI566" s="145">
        <f>(BI636*BI647)-BI554</f>
        <v>0</v>
      </c>
      <c r="BJ566" s="72" t="str">
        <f>IF(ISERROR(BI566/BA566),"NA",IF(OR(BI566/BA566&gt;2,BI566/BA566&lt;0.5),"NM",BI566/BA566*100-100))</f>
        <v>NA</v>
      </c>
      <c r="BK566" s="145">
        <f>(BK636*BK647)-BK554</f>
        <v>0</v>
      </c>
      <c r="BL566" s="72" t="str">
        <f>IF(ISERROR(BK566/BC566),"NA",IF(OR(BK566/BC566&gt;2,BK566/BC566&lt;0.5),"NM",BK566/BC566*100-100))</f>
        <v>NA</v>
      </c>
      <c r="BM566" s="145">
        <f>(BM636*BM647)-BM554</f>
        <v>0</v>
      </c>
      <c r="BN566" s="72" t="str">
        <f>IF(ISERROR(BM566/BE566),"NA",IF(OR(BM566/BE566&gt;2,BM566/BE566&lt;0.5),"NM",BM566/BE566*100-100))</f>
        <v>NA</v>
      </c>
      <c r="BO566" s="145">
        <f>(BO636*BO647)-BO554</f>
        <v>0</v>
      </c>
      <c r="BP566" s="72" t="str">
        <f>IF(ISERROR(BO566/BG566),"NA",IF(OR(BO566/BG566&gt;2,BO566/BG566&lt;0.5),"NM",BO566/BG566*100-100))</f>
        <v>NA</v>
      </c>
      <c r="BQ566" s="145">
        <f>(BQ636*BQ647)-BQ554</f>
        <v>0</v>
      </c>
      <c r="BR566" s="72" t="str">
        <f>IF(ISERROR(BQ566/BI566),"NA",IF(OR(BQ566/BI566&gt;2,BQ566/BI566&lt;0.5),"NM",BQ566/BI566*100-100))</f>
        <v>NA</v>
      </c>
      <c r="BS566" s="145">
        <f>(BS636*BS647)-BS554</f>
        <v>0</v>
      </c>
      <c r="BT566" s="72" t="str">
        <f>IF(ISERROR(BS566/BK566),"NA",IF(OR(BS566/BK566&gt;2,BS566/BK566&lt;0.5),"NM",BS566/BK566*100-100))</f>
        <v>NA</v>
      </c>
      <c r="BU566" s="145">
        <f>(BU636*BU647)-BU554</f>
        <v>1.6199905704856974</v>
      </c>
      <c r="BV566" s="72" t="str">
        <f>IF(ISERROR(BU566/BM566),"NA",IF(OR(BU566/BM566&gt;2,BU566/BM566&lt;0.5),"NM",BU566/BM566*100-100))</f>
        <v>NA</v>
      </c>
      <c r="BW566" s="145">
        <f>(BW636*BW647)-BW554</f>
        <v>0</v>
      </c>
      <c r="BX566" s="72" t="str">
        <f>IF(ISERROR(BW566/BO566),"NA",IF(OR(BW566/BO566&gt;2,BW566/BO566&lt;0.5),"NM",BW566/BO566*100-100))</f>
        <v>NA</v>
      </c>
      <c r="BY566" s="145">
        <f>(BY636*BY647)-BY554</f>
        <v>0</v>
      </c>
      <c r="BZ566" s="72" t="str">
        <f>IF(ISERROR(BY566/BQ566),"NA",IF(OR(BY566/BQ566&gt;2,BY566/BQ566&lt;0.5),"NM",BY566/BQ566*100-100))</f>
        <v>NA</v>
      </c>
      <c r="CA566" s="145">
        <f>(CA636*CA647)-CA554</f>
        <v>0</v>
      </c>
      <c r="CB566" s="72" t="str">
        <f>IF(ISERROR(CA566/BS566),"NA",IF(OR(CA566/BS566&gt;2,CA566/BS566&lt;0.5),"NM",CA566/BS566*100-100))</f>
        <v>NA</v>
      </c>
      <c r="CC566" s="145">
        <f>(CC636*CC647)-CC554</f>
        <v>0</v>
      </c>
      <c r="CD566" s="72" t="str">
        <f>IF(ISERROR(CC566/BU566),"NA",IF(OR(CC566/BU566&gt;2,CC566/BU566&lt;0.5),"NM",CC566/BU566*100-100))</f>
        <v>NM</v>
      </c>
      <c r="CE566" s="145">
        <f>(CE636*CE647)-CE554</f>
        <v>0</v>
      </c>
      <c r="CF566" s="72" t="str">
        <f>IF(ISERROR(CE566/BW566),"NA",IF(OR(CE566/BW566&gt;2,CE566/BW566&lt;0.5),"NM",CE566/BW566*100-100))</f>
        <v>NA</v>
      </c>
      <c r="CG566" s="145">
        <f>(CG636*CG647)-CG554</f>
        <v>0</v>
      </c>
      <c r="CH566" s="72" t="str">
        <f>IF(ISERROR(CG566/BY566),"NA",IF(OR(CG566/BY566&gt;2,CG566/BY566&lt;0.5),"NM",CG566/BY566*100-100))</f>
        <v>NA</v>
      </c>
      <c r="CI566" s="145">
        <f>(CI636*CI647)-CI554</f>
        <v>0</v>
      </c>
      <c r="CJ566" s="72" t="str">
        <f>IF(ISERROR(CI566/CA566),"NA",IF(OR(CI566/CA566&gt;2,CI566/CA566&lt;0.5),"NM",CI566/CA566*100-100))</f>
        <v>NA</v>
      </c>
      <c r="CK566" s="145">
        <f>(CK636*CK647)-CK554</f>
        <v>0</v>
      </c>
      <c r="CL566" s="72" t="str">
        <f>IF(ISERROR(CK566/CC566),"NA",IF(OR(CK566/CC566&gt;2,CK566/CC566&lt;0.5),"NM",CK566/CC566*100-100))</f>
        <v>NA</v>
      </c>
      <c r="CM566" s="145">
        <f>(CM636*CM647)-CM554</f>
        <v>0</v>
      </c>
      <c r="CN566" s="72" t="str">
        <f>IF(ISERROR(CM566/CE566),"NA",IF(OR(CM566/CE566&gt;2,CM566/CE566&lt;0.5),"NM",CM566/CE566*100-100))</f>
        <v>NA</v>
      </c>
      <c r="CO566" s="145">
        <f>(CO636*CO647)-CO554</f>
        <v>0</v>
      </c>
      <c r="CP566" s="72" t="str">
        <f>IF(ISERROR(CO566/CG566),"NA",IF(OR(CO566/CG566&gt;2,CO566/CG566&lt;0.5),"NM",CO566/CG566*100-100))</f>
        <v>NA</v>
      </c>
      <c r="CQ566" s="145">
        <f>(CQ636*CQ647)-CQ554</f>
        <v>0</v>
      </c>
      <c r="CR566" s="72" t="str">
        <f>IF(ISERROR(CQ566/CI566),"NA",IF(OR(CQ566/CI566&gt;2,CQ566/CI566&lt;0.5),"NM",CQ566/CI566*100-100))</f>
        <v>NA</v>
      </c>
      <c r="CS566" s="145">
        <f>(CS636*CS647)-CS554</f>
        <v>0</v>
      </c>
      <c r="CT566" s="72" t="str">
        <f>IF(ISERROR(CS566/CK566),"NA",IF(OR(CS566/CK566&gt;2,CS566/CK566&lt;0.5),"NM",CS566/CK566*100-100))</f>
        <v>NA</v>
      </c>
      <c r="CU566" s="145">
        <f>(CU636*CU647)-CU554</f>
        <v>0</v>
      </c>
      <c r="CV566" s="72" t="str">
        <f>IF(ISERROR(CU566/CM566),"NA",IF(OR(CU566/CM566&gt;2,CU566/CM566&lt;0.5),"NM",CU566/CM566*100-100))</f>
        <v>NA</v>
      </c>
      <c r="CW566" s="145">
        <f>(CW636*CW647)-CW554</f>
        <v>0</v>
      </c>
      <c r="CX566" s="72" t="str">
        <f>IF(ISERROR(CW566/CO566),"NA",IF(OR(CW566/CO566&gt;2,CW566/CO566&lt;0.5),"NM",CW566/CO566*100-100))</f>
        <v>NA</v>
      </c>
      <c r="CY566" s="145">
        <f>(CY636*CY647)-CY554</f>
        <v>0</v>
      </c>
      <c r="CZ566" s="72" t="str">
        <f>IF(ISERROR(CY566/CQ566),"NA",IF(OR(CY566/CQ566&gt;2,CY566/CQ566&lt;0.5),"NM",CY566/CQ566*100-100))</f>
        <v>NA</v>
      </c>
      <c r="DA566" s="145">
        <f>(DA636*DA647)-DA554</f>
        <v>0</v>
      </c>
      <c r="DB566" s="72" t="str">
        <f>IF(ISERROR(DA566/CS566),"NA",IF(OR(DA566/CS566&gt;2,DA566/CS566&lt;0.5),"NM",DA566/CS566*100-100))</f>
        <v>NA</v>
      </c>
      <c r="DC566" s="145">
        <f>(DC636*DC647)-DC554</f>
        <v>0</v>
      </c>
      <c r="DD566" s="72" t="str">
        <f>IF(ISERROR(DC566/CU566),"NA",IF(OR(DC566/CU566&gt;2,DC566/CU566&lt;0.5),"NM",DC566/CU566*100-100))</f>
        <v>NA</v>
      </c>
      <c r="DE566" s="145">
        <f>(DE636*DE647)-DE554</f>
        <v>0</v>
      </c>
      <c r="DF566" s="72" t="str">
        <f>IF(ISERROR(DE566/CW566),"NA",IF(OR(DE566/CW566&gt;2,DE566/CW566&lt;0.5),"NM",DE566/CW566*100-100))</f>
        <v>NA</v>
      </c>
      <c r="DG566" s="145">
        <f>(DG636*DG647)-DG554</f>
        <v>0</v>
      </c>
      <c r="DH566" s="72" t="str">
        <f>IF(ISERROR(DG566/CY566),"NA",IF(OR(DG566/CY566&gt;2,DG566/CY566&lt;0.5),"NM",DG566/CY566*100-100))</f>
        <v>NA</v>
      </c>
      <c r="DI566" s="145">
        <f>(DI636*DI647)-DI554</f>
        <v>0</v>
      </c>
      <c r="DJ566" s="72" t="str">
        <f>IF(ISERROR(DI566/DA566),"NA",IF(OR(DI566/DA566&gt;2,DI566/DA566&lt;0.5),"NM",DI566/DA566*100-100))</f>
        <v>NA</v>
      </c>
      <c r="DK566" s="145">
        <f>(DK636*DK647)-DK554</f>
        <v>0</v>
      </c>
      <c r="DL566" s="72" t="str">
        <f>IF(ISERROR(DK566/DC566),"NA",IF(OR(DK566/DC566&gt;2,DK566/DC566&lt;0.5),"NM",DK566/DC566*100-100))</f>
        <v>NA</v>
      </c>
      <c r="DM566" s="145">
        <f>(DM636*DM647)-DM554</f>
        <v>0</v>
      </c>
      <c r="DN566" s="72" t="str">
        <f t="shared" ref="DN566:DZ567" si="2689">IF(ISERROR(DM566/DE566),"NA",IF(OR(DM566/DE566&gt;2,DM566/DE566&lt;0.5),"NM",DM566/DE566*100-100))</f>
        <v>NA</v>
      </c>
      <c r="DO566" s="145">
        <f>(DO636*DO647)-DO554</f>
        <v>0</v>
      </c>
      <c r="DP566" s="72" t="str">
        <f t="shared" si="2689"/>
        <v>NA</v>
      </c>
      <c r="DQ566" s="145">
        <f>(DQ636*DQ647)-DQ554</f>
        <v>0</v>
      </c>
      <c r="DR566" s="72" t="str">
        <f t="shared" si="2689"/>
        <v>NA</v>
      </c>
      <c r="DS566" s="145">
        <f>(DS636*DS647)-DS554</f>
        <v>0</v>
      </c>
      <c r="DT566" s="72" t="str">
        <f t="shared" si="2689"/>
        <v>NA</v>
      </c>
      <c r="DU566" s="145">
        <f>(DU636*DU647)-DU554</f>
        <v>0</v>
      </c>
      <c r="DV566" s="72" t="str">
        <f t="shared" si="2689"/>
        <v>NA</v>
      </c>
      <c r="DW566" s="145">
        <f>(DW636*DW647)-DW554</f>
        <v>0</v>
      </c>
      <c r="DX566" s="72" t="str">
        <f t="shared" si="2689"/>
        <v>NA</v>
      </c>
      <c r="DY566" s="145">
        <f>(DY636*DY647)-DY554</f>
        <v>0</v>
      </c>
      <c r="DZ566" s="72" t="str">
        <f t="shared" si="2689"/>
        <v>NA</v>
      </c>
      <c r="EA566" s="145">
        <f>(EA636*EA647)-EA554</f>
        <v>0</v>
      </c>
      <c r="EB566" s="72" t="str">
        <f>IF(ISERROR(EA566/DS566),"NA",IF(OR(EA566/DS566&gt;2,EA566/DS566&lt;0.5),"NM",EA566/DS566*100-100))</f>
        <v>NA</v>
      </c>
      <c r="EC566" s="145">
        <f>(EC636*EC647)-EC554</f>
        <v>0</v>
      </c>
      <c r="ED566" s="72" t="str">
        <f>IF(ISERROR(EC566/DU566),"NA",IF(OR(EC566/DU566&gt;2,EC566/DU566&lt;0.5),"NM",EC566/DU566*100-100))</f>
        <v>NA</v>
      </c>
      <c r="EE566" s="145">
        <f>(EE636*EE647)-EE554</f>
        <v>0</v>
      </c>
      <c r="EF566" s="72" t="str">
        <f>IF(ISERROR(EE566/DW566),"NA",IF(OR(EE566/DW566&gt;2,EE566/DW566&lt;0.5),"NM",EE566/DW566*100-100))</f>
        <v>NA</v>
      </c>
      <c r="EG566" s="145">
        <f>(EG636*EG647)-EG554</f>
        <v>0</v>
      </c>
      <c r="EH566" s="72" t="str">
        <f>IF(ISERROR(EG566/DY566),"NA",IF(OR(EG566/DY566&gt;2,EG566/DY566&lt;0.5),"NM",EG566/DY566*100-100))</f>
        <v>NA</v>
      </c>
      <c r="EI566" s="145">
        <f>(EI636*EI647)-EI554</f>
        <v>0</v>
      </c>
      <c r="EJ566" s="72" t="str">
        <f>IF(ISERROR(EI566/EA566),"NA",IF(OR(EI566/EA566&gt;2,EI566/EA566&lt;0.5),"NM",EI566/EA566*100-100))</f>
        <v>NA</v>
      </c>
      <c r="EK566" s="145">
        <f>(EK636*EK647)-EK554</f>
        <v>0</v>
      </c>
      <c r="EL566" s="72" t="str">
        <f>IF(ISERROR(EK566/EC566),"NA",IF(OR(EK566/EC566&gt;2,EK566/EC566&lt;0.5),"NM",EK566/EC566*100-100))</f>
        <v>NA</v>
      </c>
      <c r="EM566" s="145">
        <f>(EM636*EM647)-EM554</f>
        <v>0</v>
      </c>
      <c r="EN566" s="72" t="str">
        <f>IF(ISERROR(EM566/EE566),"NA",IF(OR(EM566/EE566&gt;2,EM566/EE566&lt;0.5),"NM",EM566/EE566*100-100))</f>
        <v>NA</v>
      </c>
      <c r="EO566" s="145">
        <f>(EO636*EO647)-EO554</f>
        <v>0</v>
      </c>
      <c r="EP566" s="72" t="str">
        <f>IF(ISERROR(EO566/EG566),"NA",IF(OR(EO566/EG566&gt;2,EO566/EG566&lt;0.5),"NM",EO566/EG566*100-100))</f>
        <v>NA</v>
      </c>
      <c r="EQ566" s="145">
        <f>(EQ636*EQ647)-EQ554</f>
        <v>0</v>
      </c>
      <c r="ER566" s="72" t="str">
        <f t="shared" ref="ER566:ER567" si="2690">IF(ISERROR(EQ566/EI566),"NA",IF(OR(EQ566/EI566&gt;2,EQ566/EI566&lt;0.5),"NM",EQ566/EI566*100-100))</f>
        <v>NA</v>
      </c>
      <c r="ES566" s="145">
        <f>(ES636*ES647)-ES554</f>
        <v>0</v>
      </c>
      <c r="ET566" s="72" t="str">
        <f t="shared" ref="ET566:ET567" si="2691">IF(ISERROR(ES566/EK566),"NA",IF(OR(ES566/EK566&gt;2,ES566/EK566&lt;0.5),"NM",ES566/EK566*100-100))</f>
        <v>NA</v>
      </c>
      <c r="EU566" s="145">
        <f>(EU636*EU647)-EU554</f>
        <v>0</v>
      </c>
      <c r="EV566" s="72" t="str">
        <f t="shared" ref="EV566:EV567" si="2692">IF(ISERROR(EU566/EM566),"NA",IF(OR(EU566/EM566&gt;2,EU566/EM566&lt;0.5),"NM",EU566/EM566*100-100))</f>
        <v>NA</v>
      </c>
      <c r="EW566" s="145">
        <f>(EW636*EW647)-EW554</f>
        <v>0</v>
      </c>
      <c r="EX566" s="72" t="str">
        <f t="shared" ref="EX566:EX567" si="2693">IF(ISERROR(EW566/EO566),"NA",IF(OR(EW566/EO566&gt;2,EW566/EO566&lt;0.5),"NM",EW566/EO566*100-100))</f>
        <v>NA</v>
      </c>
      <c r="EY566" s="72"/>
      <c r="EZ566" s="296"/>
      <c r="FA566" s="72"/>
      <c r="FB566" s="145"/>
      <c r="FC566" s="11"/>
      <c r="FD566" s="145">
        <f>FD567-FD554</f>
        <v>2614</v>
      </c>
      <c r="FE566" s="72"/>
      <c r="FF566" s="145">
        <f>FF567-FF554</f>
        <v>2574</v>
      </c>
      <c r="FG566" s="72"/>
      <c r="FH566" s="145">
        <f>FH567-FH554</f>
        <v>2131</v>
      </c>
      <c r="FI566" s="72"/>
      <c r="FJ566" s="145">
        <f>FJ567-FJ554</f>
        <v>2329</v>
      </c>
      <c r="FK566" s="72"/>
      <c r="FL566" s="145">
        <f>FL567-FL554</f>
        <v>1941</v>
      </c>
      <c r="FM566" s="72"/>
      <c r="FN566" s="145">
        <f>FN567-FN554</f>
        <v>1678</v>
      </c>
      <c r="FO566" s="72"/>
      <c r="FP566" s="145">
        <f>FP567-FP554</f>
        <v>1669</v>
      </c>
      <c r="FQ566" s="72"/>
      <c r="FR566" s="145">
        <f>FR567-FR554</f>
        <v>2081</v>
      </c>
      <c r="FS566" s="72">
        <f t="shared" ref="FS566:GG567" si="2694">IF(ISERROR(FR566/FP566),"NA",IF(OR(FR566/FP566&gt;2,FR566/FP566&lt;0.5),"NM",FR566/FP566*100-100))</f>
        <v>24.685440383463146</v>
      </c>
      <c r="FT566" s="145">
        <f>FT567-FT554</f>
        <v>1831.3999999999996</v>
      </c>
      <c r="FU566" s="72">
        <f t="shared" si="2694"/>
        <v>-11.994233541566572</v>
      </c>
      <c r="FV566" s="145">
        <f>FV567-FV554</f>
        <v>5300</v>
      </c>
      <c r="FW566" s="72" t="str">
        <f t="shared" si="2694"/>
        <v>NM</v>
      </c>
      <c r="FX566" s="145">
        <f>FX567-FX554</f>
        <v>3618</v>
      </c>
      <c r="FY566" s="72">
        <f t="shared" si="2694"/>
        <v>-31.735849056603769</v>
      </c>
      <c r="FZ566" s="145">
        <f>FZ567-FZ554</f>
        <v>2346</v>
      </c>
      <c r="GA566" s="72">
        <f t="shared" si="2694"/>
        <v>-35.157545605306794</v>
      </c>
      <c r="GB566" s="145">
        <f>GB567-GB554</f>
        <v>2069</v>
      </c>
      <c r="GC566" s="72">
        <f t="shared" si="2694"/>
        <v>-11.807331628303501</v>
      </c>
      <c r="GD566" s="145">
        <f>GD567-GD554</f>
        <v>2038</v>
      </c>
      <c r="GE566" s="72">
        <f t="shared" si="2694"/>
        <v>-1.4983083615273074</v>
      </c>
      <c r="GF566" s="145">
        <f>GF567-GF554</f>
        <v>-85</v>
      </c>
      <c r="GG566" s="72" t="str">
        <f t="shared" si="2694"/>
        <v>NM</v>
      </c>
      <c r="GH566" s="145">
        <f>GH567-GH554</f>
        <v>502</v>
      </c>
      <c r="GI566" s="72" t="str">
        <f t="shared" ref="GI566:GU567" si="2695">IF(ISERROR(GH566/GF566),"NA",IF(OR(GH566/GF566&gt;2,GH566/GF566&lt;0.5),"NM",GH566/GF566*100-100))</f>
        <v>NM</v>
      </c>
      <c r="GJ566" s="145">
        <f>GJ567-GJ554</f>
        <v>0</v>
      </c>
      <c r="GK566" s="72" t="str">
        <f t="shared" si="2695"/>
        <v>NM</v>
      </c>
      <c r="GL566" s="145">
        <f>GL567-GL554</f>
        <v>0</v>
      </c>
      <c r="GM566" s="72" t="str">
        <f t="shared" si="2695"/>
        <v>NA</v>
      </c>
      <c r="GN566" s="145">
        <f>GN567-GN554</f>
        <v>0</v>
      </c>
      <c r="GO566" s="72" t="str">
        <f t="shared" si="2695"/>
        <v>NA</v>
      </c>
      <c r="GP566" s="145">
        <f>GP567-GP554</f>
        <v>0</v>
      </c>
      <c r="GQ566" s="72" t="str">
        <f t="shared" si="2695"/>
        <v>NA</v>
      </c>
      <c r="GR566" s="145">
        <f>(GR636*GR647)-GR554</f>
        <v>0</v>
      </c>
      <c r="GS566" s="72" t="str">
        <f t="shared" si="2695"/>
        <v>NA</v>
      </c>
      <c r="GT566" s="145">
        <f>(GT636*GT647)-GT554</f>
        <v>0</v>
      </c>
      <c r="GU566" s="72" t="str">
        <f t="shared" si="2695"/>
        <v>NA</v>
      </c>
      <c r="GV566" s="145">
        <f>(GV636*GV647)-GV554</f>
        <v>0</v>
      </c>
      <c r="GW566" s="72" t="str">
        <f>IF(ISERROR(GV566/GT566),"NA",IF(OR(GV566/GT566&gt;2,GV566/GT566&lt;0.5),"NM",GV566/GT566*100-100))</f>
        <v>NA</v>
      </c>
      <c r="GX566" s="145">
        <f>(GX636*GX647)-GX554</f>
        <v>0</v>
      </c>
      <c r="GY566" s="72" t="str">
        <f>IF(ISERROR(GX566/GV566),"NA",IF(OR(GX566/GV566&gt;2,GX566/GV566&lt;0.5),"NM",GX566/GV566*100-100))</f>
        <v>NA</v>
      </c>
      <c r="GZ566" s="72" t="str">
        <f>IF(ISERROR(((GX566/GN566)^0.2-1)*100),"NA",IF((((GX566/GN566)^0.2-1)*100)&gt;100,"NM",IF((((GX566/GN566)^0.2-1)*100)&lt;-50,"NM",((GX566/GN566)^0.2-1)*100)))</f>
        <v>NA</v>
      </c>
      <c r="HA566" s="72"/>
      <c r="HB566" s="72"/>
      <c r="HC566"/>
      <c r="HD566"/>
      <c r="HE566"/>
      <c r="HF566"/>
      <c r="HG566"/>
      <c r="HH566"/>
      <c r="HI566" s="2"/>
    </row>
    <row r="567" spans="1:217" s="3" customFormat="1" ht="12.75" customHeight="1" x14ac:dyDescent="0.2">
      <c r="B567" s="10" t="s">
        <v>77</v>
      </c>
      <c r="C567" s="144"/>
      <c r="D567" s="11"/>
      <c r="E567" s="144"/>
      <c r="F567" s="11"/>
      <c r="G567" s="144"/>
      <c r="H567" s="11"/>
      <c r="I567" s="144"/>
      <c r="J567" s="11"/>
      <c r="K567" s="144"/>
      <c r="L567" s="72"/>
      <c r="M567" s="144"/>
      <c r="N567" s="72"/>
      <c r="O567" s="144"/>
      <c r="P567" s="72"/>
      <c r="Q567" s="144"/>
      <c r="R567" s="72"/>
      <c r="S567" s="144"/>
      <c r="T567" s="72"/>
      <c r="U567" s="144"/>
      <c r="V567" s="72"/>
      <c r="W567" s="144"/>
      <c r="X567" s="72"/>
      <c r="Y567" s="144"/>
      <c r="Z567" s="72"/>
      <c r="AA567" s="144"/>
      <c r="AB567" s="72"/>
      <c r="AC567" s="144"/>
      <c r="AD567" s="72"/>
      <c r="AE567" s="144"/>
      <c r="AF567" s="72"/>
      <c r="AG567" s="144"/>
      <c r="AH567" s="72"/>
      <c r="AI567" s="144"/>
      <c r="AJ567" s="72"/>
      <c r="AK567" s="144"/>
      <c r="AL567" s="72"/>
      <c r="AM567" s="144"/>
      <c r="AN567" s="72"/>
      <c r="AO567" s="144"/>
      <c r="AP567" s="72"/>
      <c r="AQ567" s="144"/>
      <c r="AR567" s="72"/>
      <c r="AS567" s="144"/>
      <c r="AT567" s="72"/>
      <c r="AU567" s="144"/>
      <c r="AV567" s="72"/>
      <c r="AW567" s="144"/>
      <c r="AX567" s="72"/>
      <c r="AY567" s="144">
        <f>AY554+AY566</f>
        <v>621</v>
      </c>
      <c r="AZ567" s="72" t="str">
        <f>IF(ISERROR(AY567/AQ567),"NA",IF(OR(AY567/AQ567&gt;2,AY567/AQ567&lt;0.5),"NM",AY567/AQ567*100-100))</f>
        <v>NA</v>
      </c>
      <c r="BA567" s="144">
        <f>BA554+BA566</f>
        <v>664</v>
      </c>
      <c r="BB567" s="72" t="str">
        <f>IF(ISERROR(BA567/AS567),"NA",IF(OR(BA567/AS567&gt;2,BA567/AS567&lt;0.5),"NM",BA567/AS567*100-100))</f>
        <v>NA</v>
      </c>
      <c r="BC567" s="144">
        <f>BC554+BC566</f>
        <v>792</v>
      </c>
      <c r="BD567" s="72" t="str">
        <f>IF(ISERROR(BC567/AU567),"NA",IF(OR(BC567/AU567&gt;2,BC567/AU567&lt;0.5),"NM",BC567/AU567*100-100))</f>
        <v>NA</v>
      </c>
      <c r="BE567" s="144">
        <f>BE554+BE566</f>
        <v>734</v>
      </c>
      <c r="BF567" s="72" t="str">
        <f>IF(ISERROR(BE567/AW567),"NA",IF(OR(BE567/AW567&gt;2,BE567/AW567&lt;0.5),"NM",BE567/AW567*100-100))</f>
        <v>NA</v>
      </c>
      <c r="BG567" s="144">
        <f>BG554+BG566</f>
        <v>798.19999999999993</v>
      </c>
      <c r="BH567" s="72">
        <f>IF(ISERROR(BG567/AY567),"NA",IF(OR(BG567/AY567&gt;2,BG567/AY567&lt;0.5),"NM",BG567/AY567*100-100))</f>
        <v>28.534621578099831</v>
      </c>
      <c r="BI567" s="144">
        <f>BI554+BI566</f>
        <v>814</v>
      </c>
      <c r="BJ567" s="72">
        <f>IF(ISERROR(BI567/BA567),"NA",IF(OR(BI567/BA567&gt;2,BI567/BA567&lt;0.5),"NM",BI567/BA567*100-100))</f>
        <v>22.590361445783131</v>
      </c>
      <c r="BK567" s="144">
        <f>BK554+BK566</f>
        <v>929</v>
      </c>
      <c r="BL567" s="72">
        <f>IF(ISERROR(BK567/BC567),"NA",IF(OR(BK567/BC567&gt;2,BK567/BC567&lt;0.5),"NM",BK567/BC567*100-100))</f>
        <v>17.297979797979806</v>
      </c>
      <c r="BM567" s="144">
        <f>BM554+BM566</f>
        <v>791</v>
      </c>
      <c r="BN567" s="72">
        <f>IF(ISERROR(BM567/BE567),"NA",IF(OR(BM567/BE567&gt;2,BM567/BE567&lt;0.5),"NM",BM567/BE567*100-100))</f>
        <v>7.7656675749318822</v>
      </c>
      <c r="BO567" s="144">
        <f>BO554+BO566</f>
        <v>685</v>
      </c>
      <c r="BP567" s="72">
        <f>IF(ISERROR(BO567/BG567),"NA",IF(OR(BO567/BG567&gt;2,BO567/BG567&lt;0.5),"NM",BO567/BG567*100-100))</f>
        <v>-14.181909295915801</v>
      </c>
      <c r="BQ567" s="144">
        <f>BQ554+BQ566</f>
        <v>846</v>
      </c>
      <c r="BR567" s="72">
        <f>IF(ISERROR(BQ567/BI567),"NA",IF(OR(BQ567/BI567&gt;2,BQ567/BI567&lt;0.5),"NM",BQ567/BI567*100-100))</f>
        <v>3.9312039312039389</v>
      </c>
      <c r="BS567" s="144">
        <f>BS554+BS566</f>
        <v>428</v>
      </c>
      <c r="BT567" s="72" t="str">
        <f>IF(ISERROR(BS567/BK567),"NA",IF(OR(BS567/BK567&gt;2,BS567/BK567&lt;0.5),"NM",BS567/BK567*100-100))</f>
        <v>NM</v>
      </c>
      <c r="BU567" s="144">
        <f>BU554+BU566</f>
        <v>-857.3800094295143</v>
      </c>
      <c r="BV567" s="72" t="str">
        <f>IF(ISERROR(BU567/BM567),"NA",IF(OR(BU567/BM567&gt;2,BU567/BM567&lt;0.5),"NM",BU567/BM567*100-100))</f>
        <v>NM</v>
      </c>
      <c r="BW567" s="144">
        <f>BW554+BW566</f>
        <v>200</v>
      </c>
      <c r="BX567" s="72" t="str">
        <f>IF(ISERROR(BW567/BO567),"NA",IF(OR(BW567/BO567&gt;2,BW567/BO567&lt;0.5),"NM",BW567/BO567*100-100))</f>
        <v>NM</v>
      </c>
      <c r="BY567" s="144">
        <f>BY554+BY566</f>
        <v>861</v>
      </c>
      <c r="BZ567" s="72">
        <f>IF(ISERROR(BY567/BQ567),"NA",IF(OR(BY567/BQ567&gt;2,BY567/BQ567&lt;0.5),"NM",BY567/BQ567*100-100))</f>
        <v>1.7730496453900741</v>
      </c>
      <c r="CA567" s="144">
        <f>CA554+CA566</f>
        <v>820</v>
      </c>
      <c r="CB567" s="72">
        <f>IF(ISERROR(CA567/BS567),"NA",IF(OR(CA567/BS567&gt;2,CA567/BS567&lt;0.5),"NM",CA567/BS567*100-100))</f>
        <v>91.588785046728987</v>
      </c>
      <c r="CC567" s="144">
        <f>CC554+CC566</f>
        <v>559</v>
      </c>
      <c r="CD567" s="72" t="str">
        <f>IF(ISERROR(CC567/BU567),"NA",IF(OR(CC567/BU567&gt;2,CC567/BU567&lt;0.5),"NM",CC567/BU567*100-100))</f>
        <v>NM</v>
      </c>
      <c r="CE567" s="144">
        <f>CE554+CE566</f>
        <v>640</v>
      </c>
      <c r="CF567" s="72" t="str">
        <f>IF(ISERROR(CE567/BW567),"NA",IF(OR(CE567/BW567&gt;2,CE567/BW567&lt;0.5),"NM",CE567/BW567*100-100))</f>
        <v>NM</v>
      </c>
      <c r="CG567" s="144">
        <f>CG554+CG566</f>
        <v>389</v>
      </c>
      <c r="CH567" s="72" t="str">
        <f>IF(ISERROR(CG567/BY567),"NA",IF(OR(CG567/BY567&gt;2,CG567/BY567&lt;0.5),"NM",CG567/BY567*100-100))</f>
        <v>NM</v>
      </c>
      <c r="CI567" s="144">
        <f>CI554+CI566</f>
        <v>903</v>
      </c>
      <c r="CJ567" s="72">
        <f>IF(ISERROR(CI567/CA567),"NA",IF(OR(CI567/CA567&gt;2,CI567/CA567&lt;0.5),"NM",CI567/CA567*100-100))</f>
        <v>10.121951219512198</v>
      </c>
      <c r="CK567" s="144">
        <f>CK554+CK566</f>
        <v>787</v>
      </c>
      <c r="CL567" s="72">
        <f>IF(ISERROR(CK567/CC567),"NA",IF(OR(CK567/CC567&gt;2,CK567/CC567&lt;0.5),"NM",CK567/CC567*100-100))</f>
        <v>40.787119856887301</v>
      </c>
      <c r="CM567" s="144">
        <f>CM554+CM566</f>
        <v>800</v>
      </c>
      <c r="CN567" s="72">
        <f>IF(ISERROR(CM567/CE567),"NA",IF(OR(CM567/CE567&gt;2,CM567/CE567&lt;0.5),"NM",CM567/CE567*100-100))</f>
        <v>25</v>
      </c>
      <c r="CO567" s="144">
        <f>CO554+CO566</f>
        <v>775</v>
      </c>
      <c r="CP567" s="72">
        <f>IF(ISERROR(CO567/CG567),"NA",IF(OR(CO567/CG567&gt;2,CO567/CG567&lt;0.5),"NM",CO567/CG567*100-100))</f>
        <v>99.228791773778937</v>
      </c>
      <c r="CQ567" s="144">
        <f>CQ554+CQ566</f>
        <v>410</v>
      </c>
      <c r="CR567" s="72" t="str">
        <f>IF(ISERROR(CQ567/CI567),"NA",IF(OR(CQ567/CI567&gt;2,CQ567/CI567&lt;0.5),"NM",CQ567/CI567*100-100))</f>
        <v>NM</v>
      </c>
      <c r="CS567" s="144">
        <f>CS554+CS566</f>
        <v>851</v>
      </c>
      <c r="CT567" s="72">
        <f>IF(ISERROR(CS567/CK567),"NA",IF(OR(CS567/CK567&gt;2,CS567/CK567&lt;0.5),"NM",CS567/CK567*100-100))</f>
        <v>8.1321473951715433</v>
      </c>
      <c r="CU567" s="144">
        <f>CU554+CU566</f>
        <v>790</v>
      </c>
      <c r="CV567" s="72">
        <f>IF(ISERROR(CU567/CM567),"NA",IF(OR(CU567/CM567&gt;2,CU567/CM567&lt;0.5),"NM",CU567/CM567*100-100))</f>
        <v>-1.25</v>
      </c>
      <c r="CW567" s="144">
        <f>CW554+CW566</f>
        <v>657</v>
      </c>
      <c r="CX567" s="72">
        <f>IF(ISERROR(CW567/CO567),"NA",IF(OR(CW567/CO567&gt;2,CW567/CO567&lt;0.5),"NM",CW567/CO567*100-100))</f>
        <v>-15.225806451612897</v>
      </c>
      <c r="CY567" s="144">
        <f>CY554+CY566</f>
        <v>756</v>
      </c>
      <c r="CZ567" s="72">
        <f>IF(ISERROR(CY567/CQ567),"NA",IF(OR(CY567/CQ567&gt;2,CY567/CQ567&lt;0.5),"NM",CY567/CQ567*100-100))</f>
        <v>84.390243902439039</v>
      </c>
      <c r="DA567" s="144">
        <f>DA554+DA566</f>
        <v>828</v>
      </c>
      <c r="DB567" s="72">
        <f>IF(ISERROR(DA567/CS567),"NA",IF(OR(DA567/CS567&gt;2,DA567/CS567&lt;0.5),"NM",DA567/CS567*100-100))</f>
        <v>-2.7027027027026946</v>
      </c>
      <c r="DC567" s="144">
        <f>DC554+DC566</f>
        <v>1069</v>
      </c>
      <c r="DD567" s="72">
        <f>IF(ISERROR(DC567/CU567),"NA",IF(OR(DC567/CU567&gt;2,DC567/CU567&lt;0.5),"NM",DC567/CU567*100-100))</f>
        <v>35.316455696202553</v>
      </c>
      <c r="DE567" s="144">
        <f>DE554+DE566</f>
        <v>1088</v>
      </c>
      <c r="DF567" s="72">
        <f>IF(ISERROR(DE567/CW567),"NA",IF(OR(DE567/CW567&gt;2,DE567/CW567&lt;0.5),"NM",DE567/CW567*100-100))</f>
        <v>65.601217656012182</v>
      </c>
      <c r="DG567" s="144">
        <f>DG554+DG566</f>
        <v>1366</v>
      </c>
      <c r="DH567" s="72">
        <f>IF(ISERROR(DG567/CY567),"NA",IF(OR(DG567/CY567&gt;2,DG567/CY567&lt;0.5),"NM",DG567/CY567*100-100))</f>
        <v>80.687830687830683</v>
      </c>
      <c r="DI567" s="144">
        <f>DI554+DI566</f>
        <v>1038</v>
      </c>
      <c r="DJ567" s="72">
        <f>IF(ISERROR(DI567/DA567),"NA",IF(OR(DI567/DA567&gt;2,DI567/DA567&lt;0.5),"NM",DI567/DA567*100-100))</f>
        <v>25.362318840579718</v>
      </c>
      <c r="DK567" s="144">
        <f>DK554+DK566</f>
        <v>1135</v>
      </c>
      <c r="DL567" s="72">
        <f>IF(ISERROR(DK567/DC567),"NA",IF(OR(DK567/DC567&gt;2,DK567/DC567&lt;0.5),"NM",DK567/DC567*100-100))</f>
        <v>6.173994387277844</v>
      </c>
      <c r="DM567" s="144">
        <f>DM554+DM566</f>
        <v>1173</v>
      </c>
      <c r="DN567" s="72">
        <f t="shared" si="2689"/>
        <v>7.8125</v>
      </c>
      <c r="DO567" s="144">
        <f>DO554+DO566</f>
        <v>1031</v>
      </c>
      <c r="DP567" s="72">
        <f t="shared" si="2689"/>
        <v>-24.524158125915079</v>
      </c>
      <c r="DQ567" s="144">
        <f>DQ554+DQ566</f>
        <v>989</v>
      </c>
      <c r="DR567" s="72">
        <f t="shared" si="2689"/>
        <v>-4.7206165703275502</v>
      </c>
      <c r="DS567" s="144">
        <f>DS554+DS566</f>
        <v>1298</v>
      </c>
      <c r="DT567" s="72">
        <f t="shared" si="2689"/>
        <v>14.36123348017621</v>
      </c>
      <c r="DU567" s="144">
        <f>DU554+DU566</f>
        <v>1350</v>
      </c>
      <c r="DV567" s="72">
        <f t="shared" si="2689"/>
        <v>15.089514066496164</v>
      </c>
      <c r="DW567" s="144">
        <f>DW554+DW566</f>
        <v>1110</v>
      </c>
      <c r="DX567" s="72">
        <f t="shared" si="2689"/>
        <v>7.6624636275460745</v>
      </c>
      <c r="DY567" s="144">
        <f>DY554+DY566</f>
        <v>891</v>
      </c>
      <c r="DZ567" s="72">
        <f t="shared" si="2689"/>
        <v>-9.9089989888776557</v>
      </c>
      <c r="EA567" s="144">
        <f>EA554+EA566</f>
        <v>997</v>
      </c>
      <c r="EB567" s="72">
        <f>IF(ISERROR(EA567/DS567),"NA",IF(OR(EA567/DS567&gt;2,EA567/DS567&lt;0.5),"NM",EA567/DS567*100-100))</f>
        <v>-23.18952234206472</v>
      </c>
      <c r="EC567" s="144">
        <f>EC554+EC566</f>
        <v>829</v>
      </c>
      <c r="ED567" s="72">
        <f>IF(ISERROR(EC567/DU567),"NA",IF(OR(EC567/DU567&gt;2,EC567/DU567&lt;0.5),"NM",EC567/DU567*100-100))</f>
        <v>-38.592592592592588</v>
      </c>
      <c r="EE567" s="144">
        <f>EE554+EE566</f>
        <v>1181.5</v>
      </c>
      <c r="EF567" s="72">
        <f>IF(ISERROR(EE567/DW567),"NA",IF(OR(EE567/DW567&gt;2,EE567/DW567&lt;0.5),"NM",EE567/DW567*100-100))</f>
        <v>6.4414414414414267</v>
      </c>
      <c r="EG567" s="144">
        <f>EG554+EG566</f>
        <v>1081</v>
      </c>
      <c r="EH567" s="72">
        <f>IF(ISERROR(EG567/DY567),"NA",IF(OR(EG567/DY567&gt;2,EG567/DY567&lt;0.5),"NM",EG567/DY567*100-100))</f>
        <v>21.324354657687977</v>
      </c>
      <c r="EI567" s="144">
        <f>EI554+EI566</f>
        <v>1227</v>
      </c>
      <c r="EJ567" s="72">
        <f>IF(ISERROR(EI567/EA567),"NA",IF(OR(EI567/EA567&gt;2,EI567/EA567&lt;0.5),"NM",EI567/EA567*100-100))</f>
        <v>23.069207622868618</v>
      </c>
      <c r="EK567" s="144">
        <f>EK554+EK566</f>
        <v>914</v>
      </c>
      <c r="EL567" s="72">
        <f>IF(ISERROR(EK567/EC567),"NA",IF(OR(EK567/EC567&gt;2,EK567/EC567&lt;0.5),"NM",EK567/EC567*100-100))</f>
        <v>10.253317249698426</v>
      </c>
      <c r="EM567" s="144">
        <f>EM554+EM566</f>
        <v>1311</v>
      </c>
      <c r="EN567" s="72">
        <f>IF(ISERROR(EM567/EE567),"NA",IF(OR(EM567/EE567&gt;2,EM567/EE567&lt;0.5),"NM",EM567/EE567*100-100))</f>
        <v>10.96064325010579</v>
      </c>
      <c r="EO567" s="144">
        <f>EO554+EO566</f>
        <v>1162</v>
      </c>
      <c r="EP567" s="72">
        <f>IF(ISERROR(EO567/EG567),"NA",IF(OR(EO567/EG567&gt;2,EO567/EG567&lt;0.5),"NM",EO567/EG567*100-100))</f>
        <v>7.4930619796484734</v>
      </c>
      <c r="EQ567" s="144">
        <f t="shared" ref="EQ567" si="2696">EQ554+EQ566</f>
        <v>1326.6539953800166</v>
      </c>
      <c r="ER567" s="72">
        <f t="shared" si="2690"/>
        <v>8.1217600146712812</v>
      </c>
      <c r="ES567" s="144">
        <f t="shared" ref="ES567" si="2697">ES554+ES566</f>
        <v>1333.9585156595535</v>
      </c>
      <c r="ET567" s="72">
        <f t="shared" si="2691"/>
        <v>45.947321188134964</v>
      </c>
      <c r="EU567" s="144">
        <f t="shared" ref="EU567" si="2698">EU554+EU566</f>
        <v>1318.8396634684204</v>
      </c>
      <c r="EV567" s="72">
        <f t="shared" si="2692"/>
        <v>0.59799111124488036</v>
      </c>
      <c r="EW567" s="144">
        <f t="shared" ref="EW567" si="2699">EW554+EW566</f>
        <v>1188.5935562897889</v>
      </c>
      <c r="EX567" s="72">
        <f t="shared" si="2693"/>
        <v>2.2886020903432751</v>
      </c>
      <c r="EY567" s="72"/>
      <c r="EZ567" s="335"/>
      <c r="FA567" s="72"/>
      <c r="FB567" s="144"/>
      <c r="FC567" s="11"/>
      <c r="FD567" s="144">
        <f>CM567+CO567+CQ567+CS567</f>
        <v>2836</v>
      </c>
      <c r="FE567" s="72"/>
      <c r="FF567" s="144">
        <f>CO567+CQ567+CS567+CU567</f>
        <v>2826</v>
      </c>
      <c r="FG567" s="72"/>
      <c r="FH567" s="144">
        <f>CQ567+CS567+CU567+CW567</f>
        <v>2708</v>
      </c>
      <c r="FI567" s="72"/>
      <c r="FJ567" s="144">
        <f>CS567+CU567+CW567+CY567</f>
        <v>3054</v>
      </c>
      <c r="FK567" s="72"/>
      <c r="FL567" s="144">
        <f>CU567+CW567+CY567+DA567</f>
        <v>3031</v>
      </c>
      <c r="FM567" s="72"/>
      <c r="FN567" s="144">
        <f>CW567+CY567+DA567+DC567</f>
        <v>3310</v>
      </c>
      <c r="FO567" s="72"/>
      <c r="FP567" s="144">
        <f>CY567+DA567+DC567+DE567</f>
        <v>3741</v>
      </c>
      <c r="FQ567" s="72"/>
      <c r="FR567" s="144">
        <f>DA567+DC567+DE567+DG567</f>
        <v>4351</v>
      </c>
      <c r="FS567" s="72">
        <f t="shared" si="2694"/>
        <v>16.305800588078043</v>
      </c>
      <c r="FT567" s="144">
        <f>DC567+DE567+DG567+DI567</f>
        <v>4561</v>
      </c>
      <c r="FU567" s="72">
        <f t="shared" si="2694"/>
        <v>4.826476672029429</v>
      </c>
      <c r="FV567" s="144">
        <f>DE567+DG567+DI567+DK567</f>
        <v>4627</v>
      </c>
      <c r="FW567" s="72">
        <f t="shared" si="2694"/>
        <v>1.4470510852883081</v>
      </c>
      <c r="FX567" s="144">
        <f>DG567+DI567+DK567+DM567</f>
        <v>4712</v>
      </c>
      <c r="FY567" s="72">
        <f t="shared" si="2694"/>
        <v>1.8370434406743072</v>
      </c>
      <c r="FZ567" s="144">
        <f>DI567+DK567+DM567+DO567</f>
        <v>4377</v>
      </c>
      <c r="GA567" s="72">
        <f t="shared" si="2694"/>
        <v>-7.1095076400679176</v>
      </c>
      <c r="GB567" s="144">
        <f>DK567+DM567+DO567+DQ567</f>
        <v>4328</v>
      </c>
      <c r="GC567" s="72">
        <f t="shared" si="2694"/>
        <v>-1.119488233950193</v>
      </c>
      <c r="GD567" s="144">
        <f>DM567+DO567+DQ567+DS567</f>
        <v>4491</v>
      </c>
      <c r="GE567" s="72">
        <f t="shared" si="2694"/>
        <v>3.7661737523105359</v>
      </c>
      <c r="GF567" s="144">
        <f>DO567+DQ567+DS567+DU567</f>
        <v>4668</v>
      </c>
      <c r="GG567" s="72">
        <f t="shared" si="2694"/>
        <v>3.9412157648630597</v>
      </c>
      <c r="GH567" s="144">
        <f>DQ567+DS567+DU567+DW567</f>
        <v>4747</v>
      </c>
      <c r="GI567" s="72">
        <f t="shared" si="2695"/>
        <v>1.6923736075407021</v>
      </c>
      <c r="GJ567" s="144">
        <f>DS567+DU567+DW567+DY567</f>
        <v>4649</v>
      </c>
      <c r="GK567" s="72">
        <f t="shared" si="2695"/>
        <v>-2.0644617653254613</v>
      </c>
      <c r="GL567" s="144">
        <f>EA567+EC567+EE567+EG567</f>
        <v>4088.5</v>
      </c>
      <c r="GM567" s="144">
        <f t="shared" si="2695"/>
        <v>-12.056356205635623</v>
      </c>
      <c r="GN567" s="144">
        <f>EI567+EK567+EM567+EO567</f>
        <v>4614</v>
      </c>
      <c r="GO567" s="72">
        <f t="shared" si="2695"/>
        <v>12.853124617830503</v>
      </c>
      <c r="GP567" s="144">
        <f>EQ567+ES567+EU567+EW567</f>
        <v>5168.0457307977795</v>
      </c>
      <c r="GQ567" s="72">
        <f t="shared" si="2695"/>
        <v>12.007926545248807</v>
      </c>
      <c r="GR567" s="144">
        <f>GR554+GR566</f>
        <v>5231.3860821617618</v>
      </c>
      <c r="GS567" s="72">
        <f t="shared" si="2695"/>
        <v>1.2256151486144944</v>
      </c>
      <c r="GT567" s="144">
        <f>GT554+GT566</f>
        <v>5286.1772453206413</v>
      </c>
      <c r="GU567" s="72">
        <f t="shared" si="2695"/>
        <v>1.0473546073326361</v>
      </c>
      <c r="GV567" s="144">
        <f>GV554+GV566</f>
        <v>5347.2071880921685</v>
      </c>
      <c r="GW567" s="72">
        <f>IF(ISERROR(GV567/GT567),"NA",IF(OR(GV567/GT567&gt;2,GV567/GT567&lt;0.5),"NM",GV567/GT567*100-100))</f>
        <v>1.1545194180832823</v>
      </c>
      <c r="GX567" s="144">
        <f>GX554+GX566</f>
        <v>5400.2816195673659</v>
      </c>
      <c r="GY567" s="72">
        <f>IF(ISERROR(GX567/GV567),"NA",IF(OR(GX567/GV567&gt;2,GX567/GV567&lt;0.5),"NM",GX567/GV567*100-100))</f>
        <v>0.99256358708879588</v>
      </c>
      <c r="GZ567" s="72">
        <f>IF(ISERROR(((GX567/GN567)^0.2-1)*100),"NA",IF((((GX567/GN567)^0.2-1)*100)&gt;100,"NM",IF((((GX567/GN567)^0.2-1)*100)&lt;-50,"NM",((GX567/GN567)^0.2-1)*100)))</f>
        <v>3.1971642873517059</v>
      </c>
      <c r="HA567" s="72"/>
      <c r="HB567" s="72"/>
      <c r="HC567"/>
      <c r="HD567"/>
      <c r="HE567"/>
      <c r="HF567"/>
      <c r="HG567"/>
      <c r="HH567"/>
      <c r="HI567" s="2"/>
    </row>
    <row r="568" spans="1:217" s="3" customFormat="1" ht="12.75" customHeight="1" x14ac:dyDescent="0.2">
      <c r="B568" s="10"/>
      <c r="C568" s="144"/>
      <c r="D568" s="11"/>
      <c r="E568" s="144"/>
      <c r="F568" s="11"/>
      <c r="G568" s="144"/>
      <c r="H568" s="11"/>
      <c r="I568" s="144"/>
      <c r="J568" s="11"/>
      <c r="K568" s="144"/>
      <c r="L568" s="72"/>
      <c r="M568" s="144"/>
      <c r="N568" s="72"/>
      <c r="O568" s="144"/>
      <c r="P568" s="72"/>
      <c r="Q568" s="144"/>
      <c r="R568" s="72"/>
      <c r="S568" s="144"/>
      <c r="T568" s="72"/>
      <c r="U568" s="144"/>
      <c r="V568" s="72"/>
      <c r="W568" s="144"/>
      <c r="X568" s="72"/>
      <c r="Y568" s="144"/>
      <c r="Z568" s="72"/>
      <c r="AA568" s="144"/>
      <c r="AB568" s="72"/>
      <c r="AC568" s="144"/>
      <c r="AD568" s="72"/>
      <c r="AE568" s="144"/>
      <c r="AF568" s="72"/>
      <c r="AG568" s="144"/>
      <c r="AH568" s="72"/>
      <c r="AI568" s="144"/>
      <c r="AJ568" s="72"/>
      <c r="AK568" s="144"/>
      <c r="AL568" s="72"/>
      <c r="AM568" s="144"/>
      <c r="AN568" s="72"/>
      <c r="AO568" s="144"/>
      <c r="AP568" s="72"/>
      <c r="AQ568" s="144"/>
      <c r="AR568" s="72"/>
      <c r="AS568" s="144"/>
      <c r="AT568" s="72"/>
      <c r="AU568" s="144"/>
      <c r="AV568" s="72"/>
      <c r="AW568" s="144"/>
      <c r="AX568" s="72"/>
      <c r="AY568" s="144"/>
      <c r="AZ568" s="72"/>
      <c r="BA568" s="144"/>
      <c r="BB568" s="72"/>
      <c r="BC568" s="144"/>
      <c r="BD568" s="72"/>
      <c r="BE568" s="144"/>
      <c r="BF568" s="72"/>
      <c r="BG568" s="144"/>
      <c r="BH568" s="72"/>
      <c r="BI568" s="144"/>
      <c r="BJ568" s="72"/>
      <c r="BK568" s="144"/>
      <c r="BL568" s="72"/>
      <c r="BM568" s="144"/>
      <c r="BN568" s="72"/>
      <c r="BO568" s="144"/>
      <c r="BP568" s="72"/>
      <c r="BQ568" s="144"/>
      <c r="BR568" s="72"/>
      <c r="BS568" s="144"/>
      <c r="BT568" s="72"/>
      <c r="BU568" s="144"/>
      <c r="BV568" s="72"/>
      <c r="BW568" s="144"/>
      <c r="BX568" s="72"/>
      <c r="BY568" s="144"/>
      <c r="BZ568" s="72"/>
      <c r="CA568" s="144"/>
      <c r="CB568" s="72"/>
      <c r="CC568" s="144"/>
      <c r="CD568" s="72"/>
      <c r="CE568" s="144"/>
      <c r="CF568" s="72"/>
      <c r="CG568" s="144"/>
      <c r="CH568" s="72"/>
      <c r="CI568" s="144"/>
      <c r="CJ568" s="72"/>
      <c r="CK568" s="144"/>
      <c r="CL568" s="72"/>
      <c r="CM568" s="144"/>
      <c r="CN568" s="72"/>
      <c r="CO568" s="144"/>
      <c r="CP568" s="72"/>
      <c r="CQ568" s="144"/>
      <c r="CR568" s="72"/>
      <c r="CS568" s="144"/>
      <c r="CT568" s="72"/>
      <c r="CU568" s="144"/>
      <c r="CV568" s="72"/>
      <c r="CW568" s="144"/>
      <c r="CX568" s="72"/>
      <c r="CY568" s="144"/>
      <c r="CZ568" s="72"/>
      <c r="DA568" s="144"/>
      <c r="DB568" s="72"/>
      <c r="DC568" s="144"/>
      <c r="DD568" s="72"/>
      <c r="DE568" s="144"/>
      <c r="DF568" s="72"/>
      <c r="DG568" s="144"/>
      <c r="DH568" s="72"/>
      <c r="DI568" s="144"/>
      <c r="DJ568" s="72"/>
      <c r="DK568" s="144"/>
      <c r="DL568" s="72"/>
      <c r="DM568" s="144"/>
      <c r="DN568" s="72"/>
      <c r="DO568" s="144"/>
      <c r="DP568" s="72"/>
      <c r="DQ568" s="144"/>
      <c r="DR568" s="72"/>
      <c r="DS568" s="144"/>
      <c r="DT568" s="72"/>
      <c r="DU568" s="144"/>
      <c r="DV568" s="72"/>
      <c r="DW568" s="144"/>
      <c r="DX568" s="72"/>
      <c r="DY568" s="144"/>
      <c r="DZ568" s="72"/>
      <c r="EA568" s="144"/>
      <c r="EB568" s="72"/>
      <c r="EC568" s="144"/>
      <c r="ED568" s="72"/>
      <c r="EE568" s="144"/>
      <c r="EF568" s="72"/>
      <c r="EG568" s="144"/>
      <c r="EH568" s="72"/>
      <c r="EI568" s="144"/>
      <c r="EJ568" s="72"/>
      <c r="EK568" s="144"/>
      <c r="EL568" s="72"/>
      <c r="EM568" s="144"/>
      <c r="EN568" s="72"/>
      <c r="EO568" s="144"/>
      <c r="EP568" s="72"/>
      <c r="EQ568" s="144"/>
      <c r="ER568" s="72"/>
      <c r="ES568" s="144"/>
      <c r="ET568" s="72"/>
      <c r="EU568" s="144"/>
      <c r="EV568" s="72"/>
      <c r="EW568" s="144"/>
      <c r="EX568" s="72"/>
      <c r="EY568" s="72"/>
      <c r="EZ568" s="335"/>
      <c r="FA568" s="72"/>
      <c r="FB568" s="144"/>
      <c r="FC568" s="11"/>
      <c r="FD568" s="171"/>
      <c r="FE568" s="72"/>
      <c r="FF568" s="171"/>
      <c r="FG568" s="72"/>
      <c r="FH568" s="171"/>
      <c r="FI568" s="72"/>
      <c r="FJ568" s="171"/>
      <c r="FK568" s="72"/>
      <c r="FL568" s="171"/>
      <c r="FM568" s="72"/>
      <c r="FN568" s="171"/>
      <c r="FO568" s="72"/>
      <c r="FP568" s="171"/>
      <c r="FQ568" s="72"/>
      <c r="FR568" s="171"/>
      <c r="FS568" s="72"/>
      <c r="FT568" s="171"/>
      <c r="FU568" s="72"/>
      <c r="FV568" s="171"/>
      <c r="FW568" s="72"/>
      <c r="FX568" s="171"/>
      <c r="FY568" s="72"/>
      <c r="FZ568" s="171"/>
      <c r="GA568" s="72"/>
      <c r="GB568" s="171"/>
      <c r="GC568" s="72"/>
      <c r="GD568" s="171"/>
      <c r="GE568" s="72"/>
      <c r="GF568" s="171"/>
      <c r="GG568" s="72"/>
      <c r="GH568" s="171"/>
      <c r="GI568" s="72"/>
      <c r="GJ568" s="171"/>
      <c r="GK568" s="72"/>
      <c r="GL568" s="171"/>
      <c r="GM568" s="72"/>
      <c r="GN568" s="171"/>
      <c r="GO568" s="72"/>
      <c r="GP568" s="171"/>
      <c r="GQ568" s="72"/>
      <c r="GR568" s="144"/>
      <c r="GS568" s="72"/>
      <c r="GT568" s="144"/>
      <c r="GU568" s="72"/>
      <c r="GV568" s="144"/>
      <c r="GW568" s="72"/>
      <c r="GX568" s="144"/>
      <c r="GY568" s="72"/>
      <c r="GZ568" s="72"/>
      <c r="HA568" s="72"/>
      <c r="HB568" s="72"/>
      <c r="HC568"/>
      <c r="HD568"/>
      <c r="HE568"/>
      <c r="HF568"/>
      <c r="HG568"/>
      <c r="HH568"/>
      <c r="HI568" s="2"/>
    </row>
    <row r="569" spans="1:217" s="3" customFormat="1" ht="12.75" customHeight="1" x14ac:dyDescent="0.2">
      <c r="B569" s="89" t="s">
        <v>105</v>
      </c>
      <c r="C569" s="9"/>
      <c r="D569" s="11"/>
      <c r="E569" s="9"/>
      <c r="F569" s="11"/>
      <c r="G569" s="9"/>
      <c r="H569" s="11"/>
      <c r="I569" s="9"/>
      <c r="J569" s="11"/>
      <c r="K569" s="9"/>
      <c r="L569" s="72"/>
      <c r="M569" s="9"/>
      <c r="N569" s="72"/>
      <c r="O569" s="9"/>
      <c r="P569" s="72"/>
      <c r="Q569" s="9"/>
      <c r="R569" s="72"/>
      <c r="S569" s="9"/>
      <c r="T569" s="72"/>
      <c r="U569" s="9"/>
      <c r="V569" s="72"/>
      <c r="W569" s="9"/>
      <c r="X569" s="72"/>
      <c r="Y569" s="9"/>
      <c r="Z569" s="72"/>
      <c r="AA569" s="9"/>
      <c r="AB569" s="72"/>
      <c r="AC569" s="9"/>
      <c r="AD569" s="72"/>
      <c r="AE569" s="9"/>
      <c r="AF569" s="72"/>
      <c r="AG569" s="9"/>
      <c r="AH569" s="72"/>
      <c r="AI569" s="9"/>
      <c r="AJ569" s="72"/>
      <c r="AK569" s="9"/>
      <c r="AL569" s="72"/>
      <c r="AM569" s="9"/>
      <c r="AN569" s="72"/>
      <c r="AO569" s="9"/>
      <c r="AP569" s="72"/>
      <c r="AQ569" s="9"/>
      <c r="AR569" s="72"/>
      <c r="AS569" s="9"/>
      <c r="AT569" s="72"/>
      <c r="AU569" s="9"/>
      <c r="AV569" s="72"/>
      <c r="AW569" s="9"/>
      <c r="AX569" s="72"/>
      <c r="AY569" s="9"/>
      <c r="AZ569" s="72"/>
      <c r="BA569" s="9"/>
      <c r="BB569" s="72"/>
      <c r="BC569" s="9"/>
      <c r="BD569" s="72"/>
      <c r="BE569" s="9"/>
      <c r="BF569" s="72"/>
      <c r="BG569" s="9"/>
      <c r="BH569" s="72"/>
      <c r="BI569" s="9"/>
      <c r="BJ569" s="72"/>
      <c r="BK569" s="9"/>
      <c r="BL569" s="72"/>
      <c r="BM569" s="9"/>
      <c r="BN569" s="72"/>
      <c r="BO569" s="9"/>
      <c r="BP569" s="72"/>
      <c r="BQ569" s="9"/>
      <c r="BR569" s="72"/>
      <c r="BS569" s="9"/>
      <c r="BT569" s="72"/>
      <c r="BU569" s="9"/>
      <c r="BV569" s="72"/>
      <c r="BW569" s="9"/>
      <c r="BX569" s="72"/>
      <c r="BY569" s="9"/>
      <c r="BZ569" s="72"/>
      <c r="CA569" s="9"/>
      <c r="CB569" s="72"/>
      <c r="CC569" s="9"/>
      <c r="CD569" s="72"/>
      <c r="CE569" s="9"/>
      <c r="CF569" s="72"/>
      <c r="CG569" s="9"/>
      <c r="CH569" s="72"/>
      <c r="CI569" s="9"/>
      <c r="CJ569" s="72"/>
      <c r="CK569" s="9"/>
      <c r="CL569" s="72"/>
      <c r="CM569" s="9"/>
      <c r="CN569" s="72"/>
      <c r="CO569" s="9"/>
      <c r="CP569" s="72"/>
      <c r="CQ569" s="9"/>
      <c r="CR569" s="72"/>
      <c r="CS569" s="9"/>
      <c r="CT569" s="72"/>
      <c r="CU569" s="9"/>
      <c r="CV569" s="72"/>
      <c r="CW569" s="9"/>
      <c r="CX569" s="72"/>
      <c r="CY569" s="9"/>
      <c r="CZ569" s="72"/>
      <c r="DA569" s="9"/>
      <c r="DB569" s="72"/>
      <c r="DC569" s="9"/>
      <c r="DD569" s="72"/>
      <c r="DE569" s="9"/>
      <c r="DF569" s="72"/>
      <c r="DG569" s="9"/>
      <c r="DH569" s="72"/>
      <c r="DI569" s="9"/>
      <c r="DJ569" s="72"/>
      <c r="DK569" s="9"/>
      <c r="DL569" s="72"/>
      <c r="DM569" s="9"/>
      <c r="DN569" s="72"/>
      <c r="DO569" s="9"/>
      <c r="DP569" s="72"/>
      <c r="DQ569" s="9"/>
      <c r="DR569" s="72"/>
      <c r="DS569" s="9"/>
      <c r="DT569" s="72"/>
      <c r="DU569" s="9"/>
      <c r="DV569" s="72"/>
      <c r="DW569" s="9"/>
      <c r="DX569" s="72"/>
      <c r="DY569" s="9"/>
      <c r="DZ569" s="72"/>
      <c r="EA569" s="9"/>
      <c r="EB569" s="72"/>
      <c r="EC569" s="9"/>
      <c r="ED569" s="72"/>
      <c r="EE569" s="9"/>
      <c r="EF569" s="72"/>
      <c r="EG569" s="9"/>
      <c r="EH569" s="72"/>
      <c r="EI569" s="9"/>
      <c r="EJ569" s="72"/>
      <c r="EK569" s="9"/>
      <c r="EL569" s="72"/>
      <c r="EM569" s="9"/>
      <c r="EN569" s="72"/>
      <c r="EO569" s="9"/>
      <c r="EP569" s="72"/>
      <c r="EQ569" s="9"/>
      <c r="ER569" s="72"/>
      <c r="ES569" s="9"/>
      <c r="ET569" s="72"/>
      <c r="EU569" s="9"/>
      <c r="EV569" s="72"/>
      <c r="EW569" s="9"/>
      <c r="EX569" s="72"/>
      <c r="EY569" s="72"/>
      <c r="EZ569" s="296"/>
      <c r="FA569" s="72"/>
      <c r="FB569" s="9"/>
      <c r="FC569" s="11"/>
      <c r="FD569" s="9"/>
      <c r="FE569" s="72"/>
      <c r="FF569" s="9"/>
      <c r="FG569" s="72"/>
      <c r="FH569" s="9"/>
      <c r="FI569" s="72"/>
      <c r="FJ569" s="9"/>
      <c r="FK569" s="72"/>
      <c r="FL569" s="9"/>
      <c r="FM569" s="72"/>
      <c r="FN569" s="9"/>
      <c r="FO569" s="72"/>
      <c r="FP569" s="9"/>
      <c r="FQ569" s="72"/>
      <c r="FR569" s="9"/>
      <c r="FS569" s="72"/>
      <c r="FT569" s="9"/>
      <c r="FU569" s="72"/>
      <c r="FV569" s="9"/>
      <c r="FW569" s="72"/>
      <c r="FX569" s="9"/>
      <c r="FY569" s="72"/>
      <c r="FZ569" s="9"/>
      <c r="GA569" s="72"/>
      <c r="GB569" s="9"/>
      <c r="GC569" s="72"/>
      <c r="GD569" s="9"/>
      <c r="GE569" s="72"/>
      <c r="GF569" s="9"/>
      <c r="GG569" s="72"/>
      <c r="GH569" s="9"/>
      <c r="GI569" s="72"/>
      <c r="GJ569" s="9"/>
      <c r="GK569" s="72"/>
      <c r="GL569" s="9"/>
      <c r="GM569" s="72"/>
      <c r="GN569" s="9"/>
      <c r="GO569" s="72"/>
      <c r="GP569" s="9"/>
      <c r="GQ569" s="72"/>
      <c r="GR569" s="9"/>
      <c r="GS569" s="72"/>
      <c r="GT569" s="9"/>
      <c r="GU569" s="72"/>
      <c r="GV569" s="9"/>
      <c r="GW569" s="72"/>
      <c r="GX569" s="9"/>
      <c r="GY569" s="72"/>
      <c r="GZ569" s="72"/>
      <c r="HA569" s="72"/>
      <c r="HB569" s="72"/>
      <c r="HC569"/>
      <c r="HD569"/>
      <c r="HE569"/>
      <c r="HF569"/>
      <c r="HG569"/>
      <c r="HH569"/>
      <c r="HI569" s="2"/>
    </row>
    <row r="570" spans="1:217" s="3" customFormat="1" ht="12.75" customHeight="1" x14ac:dyDescent="0.2">
      <c r="A570" s="3" t="s">
        <v>233</v>
      </c>
      <c r="B570" s="10" t="s">
        <v>106</v>
      </c>
      <c r="C570" s="150">
        <f>FF570-I570-G570-E570</f>
        <v>266</v>
      </c>
      <c r="D570" s="11"/>
      <c r="E570" s="150">
        <v>12</v>
      </c>
      <c r="F570" s="11"/>
      <c r="G570" s="150">
        <v>-221</v>
      </c>
      <c r="H570" s="11"/>
      <c r="I570" s="150">
        <v>-199</v>
      </c>
      <c r="J570" s="11"/>
      <c r="K570" s="150">
        <v>242</v>
      </c>
      <c r="L570" s="72">
        <f t="shared" ref="L570:L577" si="2700">IF(ISERROR(K570/C570),"NA",IF(OR(K570/C570&gt;2,K570/C570&lt;0.5),"NM",K570/C570*100-100))</f>
        <v>-9.0225563909774422</v>
      </c>
      <c r="M570" s="150">
        <v>75</v>
      </c>
      <c r="N570" s="72" t="str">
        <f t="shared" ref="N570:N577" si="2701">IF(ISERROR(M570/E570),"NA",IF(OR(M570/E570&gt;2,M570/E570&lt;0.5),"NM",M570/E570*100-100))</f>
        <v>NM</v>
      </c>
      <c r="O570" s="150">
        <v>-323</v>
      </c>
      <c r="P570" s="72">
        <f t="shared" ref="P570:P577" si="2702">IF(ISERROR(O570/G570),"NA",IF(OR(O570/G570&gt;2,O570/G570&lt;0.5),"NM",O570/G570*100-100))</f>
        <v>46.153846153846132</v>
      </c>
      <c r="Q570" s="150">
        <v>-133</v>
      </c>
      <c r="R570" s="72">
        <f t="shared" ref="R570:R577" si="2703">IF(ISERROR(Q570/I570),"NA",IF(OR(Q570/I570&gt;2,Q570/I570&lt;0.5),"NM",Q570/I570*100-100))</f>
        <v>-33.165829145728637</v>
      </c>
      <c r="S570" s="150">
        <v>-95</v>
      </c>
      <c r="T570" s="72" t="str">
        <f t="shared" ref="T570:T577" si="2704">IF(ISERROR(S570/K570),"NA",IF(OR(S570/K570&gt;2,S570/K570&lt;0.5),"NM",S570/K570*100-100))</f>
        <v>NM</v>
      </c>
      <c r="U570" s="150">
        <v>-345</v>
      </c>
      <c r="V570" s="72" t="str">
        <f t="shared" ref="V570:V577" si="2705">IF(ISERROR(U570/M570),"NA",IF(OR(U570/M570&gt;2,U570/M570&lt;0.5),"NM",U570/M570*100-100))</f>
        <v>NM</v>
      </c>
      <c r="W570" s="150">
        <v>-143</v>
      </c>
      <c r="X570" s="72" t="str">
        <f t="shared" ref="X570:X577" si="2706">IF(ISERROR(W570/O570),"NA",IF(OR(W570/O570&gt;2,W570/O570&lt;0.5),"NM",W570/O570*100-100))</f>
        <v>NM</v>
      </c>
      <c r="Y570" s="150">
        <v>-283</v>
      </c>
      <c r="Z570" s="72" t="str">
        <f t="shared" ref="Z570:Z577" si="2707">IF(ISERROR(Y570/Q570),"NA",IF(OR(Y570/Q570&gt;2,Y570/Q570&lt;0.5),"NM",Y570/Q570*100-100))</f>
        <v>NM</v>
      </c>
      <c r="AA570" s="150">
        <v>-113</v>
      </c>
      <c r="AB570" s="72">
        <f t="shared" ref="AB570:AB577" si="2708">IF(ISERROR(AA570/S570),"NA",IF(OR(AA570/S570&gt;2,AA570/S570&lt;0.5),"NM",AA570/S570*100-100))</f>
        <v>18.94736842105263</v>
      </c>
      <c r="AC570" s="150">
        <v>-11</v>
      </c>
      <c r="AD570" s="72" t="str">
        <f t="shared" ref="AD570:AD577" si="2709">IF(ISERROR(AC570/U570),"NA",IF(OR(AC570/U570&gt;2,AC570/U570&lt;0.5),"NM",AC570/U570*100-100))</f>
        <v>NM</v>
      </c>
      <c r="AE570" s="150">
        <v>-46</v>
      </c>
      <c r="AF570" s="72" t="str">
        <f t="shared" ref="AF570:AF577" si="2710">IF(ISERROR(AE570/W570),"NA",IF(OR(AE570/W570&gt;2,AE570/W570&lt;0.5),"NM",AE570/W570*100-100))</f>
        <v>NM</v>
      </c>
      <c r="AG570" s="150">
        <v>-29</v>
      </c>
      <c r="AH570" s="72" t="str">
        <f t="shared" ref="AH570:AH577" si="2711">IF(ISERROR(AG570/Y570),"NA",IF(OR(AG570/Y570&gt;2,AG570/Y570&lt;0.5),"NM",AG570/Y570*100-100))</f>
        <v>NM</v>
      </c>
      <c r="AI570" s="150">
        <v>1</v>
      </c>
      <c r="AJ570" s="72" t="str">
        <f t="shared" ref="AJ570:AJ577" si="2712">IF(ISERROR(AI570/AA570),"NA",IF(OR(AI570/AA570&gt;2,AI570/AA570&lt;0.5),"NM",AI570/AA570*100-100))</f>
        <v>NM</v>
      </c>
      <c r="AK570" s="150">
        <f>143</f>
        <v>143</v>
      </c>
      <c r="AL570" s="72" t="str">
        <f t="shared" ref="AL570:AL577" si="2713">IF(ISERROR(AK570/AC570),"NA",IF(OR(AK570/AC570&gt;2,AK570/AC570&lt;0.5),"NM",AK570/AC570*100-100))</f>
        <v>NM</v>
      </c>
      <c r="AM570" s="150">
        <v>38</v>
      </c>
      <c r="AN570" s="72" t="str">
        <f t="shared" ref="AN570:AN577" si="2714">IF(ISERROR(AM570/AE570),"NA",IF(OR(AM570/AE570&gt;2,AM570/AE570&lt;0.5),"NM",AM570/AE570*100-100))</f>
        <v>NM</v>
      </c>
      <c r="AO570" s="150">
        <f>-158+16</f>
        <v>-142</v>
      </c>
      <c r="AP570" s="72" t="str">
        <f t="shared" ref="AP570:AP577" si="2715">IF(ISERROR(AO570/AG570),"NA",IF(OR(AO570/AG570&gt;2,AO570/AG570&lt;0.5),"NM",AO570/AG570*100-100))</f>
        <v>NM</v>
      </c>
      <c r="AQ570" s="150">
        <v>236</v>
      </c>
      <c r="AR570" s="72" t="str">
        <f t="shared" ref="AR570:AR577" si="2716">IF(ISERROR(AQ570/AI570),"NA",IF(OR(AQ570/AI570&gt;2,AQ570/AI570&lt;0.5),"NM",AQ570/AI570*100-100))</f>
        <v>NM</v>
      </c>
      <c r="AS570" s="150">
        <f>249+190</f>
        <v>439</v>
      </c>
      <c r="AT570" s="72" t="str">
        <f t="shared" ref="AT570:AT577" si="2717">IF(ISERROR(AS570/AK570),"NA",IF(OR(AS570/AK570&gt;2,AS570/AK570&lt;0.5),"NM",AS570/AK570*100-100))</f>
        <v>NM</v>
      </c>
      <c r="AU570" s="150">
        <f>80-99</f>
        <v>-19</v>
      </c>
      <c r="AV570" s="72" t="str">
        <f t="shared" ref="AV570:AV577" si="2718">IF(ISERROR(AU570/AM570),"NA",IF(OR(AU570/AM570&gt;2,AU570/AM570&lt;0.5),"NM",AU570/AM570*100-100))</f>
        <v>NM</v>
      </c>
      <c r="AW570" s="150">
        <f>8-1</f>
        <v>7</v>
      </c>
      <c r="AX570" s="72" t="str">
        <f t="shared" ref="AX570:AX577" si="2719">IF(ISERROR(AW570/AO570),"NA",IF(OR(AW570/AO570&gt;2,AW570/AO570&lt;0.5),"NM",AW570/AO570*100-100))</f>
        <v>NM</v>
      </c>
      <c r="AY570" s="150">
        <f>51-114</f>
        <v>-63</v>
      </c>
      <c r="AZ570" s="72" t="str">
        <f t="shared" ref="AZ570:AZ577" si="2720">IF(ISERROR(AY570/AQ570),"NA",IF(OR(AY570/AQ570&gt;2,AY570/AQ570&lt;0.5),"NM",AY570/AQ570*100-100))</f>
        <v>NM</v>
      </c>
      <c r="BA570" s="150">
        <f>-311-151</f>
        <v>-462</v>
      </c>
      <c r="BB570" s="72" t="str">
        <f t="shared" ref="BB570:BB577" si="2721">IF(ISERROR(BA570/AS570),"NA",IF(OR(BA570/AS570&gt;2,BA570/AS570&lt;0.5),"NM",BA570/AS570*100-100))</f>
        <v>NM</v>
      </c>
      <c r="BC570" s="150">
        <f>221+257</f>
        <v>478</v>
      </c>
      <c r="BD570" s="72" t="str">
        <f t="shared" ref="BD570:BD577" si="2722">IF(ISERROR(BC570/AU570),"NA",IF(OR(BC570/AU570&gt;2,BC570/AU570&lt;0.5),"NM",BC570/AU570*100-100))</f>
        <v>NM</v>
      </c>
      <c r="BE570" s="150">
        <f>130+43</f>
        <v>173</v>
      </c>
      <c r="BF570" s="72" t="str">
        <f t="shared" ref="BF570:BF577" si="2723">IF(ISERROR(BE570/AW570),"NA",IF(OR(BE570/AW570&gt;2,BE570/AW570&lt;0.5),"NM",BE570/AW570*100-100))</f>
        <v>NM</v>
      </c>
      <c r="BG570" s="150">
        <f>34-108</f>
        <v>-74</v>
      </c>
      <c r="BH570" s="72">
        <f t="shared" ref="BH570:BH577" si="2724">IF(ISERROR(BG570/AY570),"NA",IF(OR(BG570/AY570&gt;2,BG570/AY570&lt;0.5),"NM",BG570/AY570*100-100))</f>
        <v>17.460317460317469</v>
      </c>
      <c r="BI570" s="150">
        <f>-180+36</f>
        <v>-144</v>
      </c>
      <c r="BJ570" s="72" t="str">
        <f t="shared" ref="BJ570:BJ577" si="2725">IF(ISERROR(BI570/BA570),"NA",IF(OR(BI570/BA570&gt;2,BI570/BA570&lt;0.5),"NM",BI570/BA570*100-100))</f>
        <v>NM</v>
      </c>
      <c r="BK570" s="150">
        <f>-180+36</f>
        <v>-144</v>
      </c>
      <c r="BL570" s="72" t="str">
        <f t="shared" ref="BL570:BL577" si="2726">IF(ISERROR(BK570/BC570),"NA",IF(OR(BK570/BC570&gt;2,BK570/BC570&lt;0.5),"NM",BK570/BC570*100-100))</f>
        <v>NM</v>
      </c>
      <c r="BM570" s="150">
        <f>-91-10</f>
        <v>-101</v>
      </c>
      <c r="BN570" s="72" t="str">
        <f t="shared" ref="BN570:BN577" si="2727">IF(ISERROR(BM570/BE570),"NA",IF(OR(BM570/BE570&gt;2,BM570/BE570&lt;0.5),"NM",BM570/BE570*100-100))</f>
        <v>NM</v>
      </c>
      <c r="BO570" s="150">
        <f>-689-262</f>
        <v>-951</v>
      </c>
      <c r="BP570" s="72" t="str">
        <f t="shared" ref="BP570:BP577" si="2728">IF(ISERROR(BO570/BG570),"NA",IF(OR(BO570/BG570&gt;2,BO570/BG570&lt;0.5),"NM",BO570/BG570*100-100))</f>
        <v>NM</v>
      </c>
      <c r="BQ570" s="150">
        <f>-496-123</f>
        <v>-619</v>
      </c>
      <c r="BR570" s="72" t="str">
        <f t="shared" ref="BR570:BR577" si="2729">IF(ISERROR(BQ570/BI570),"NA",IF(OR(BQ570/BI570&gt;2,BQ570/BI570&lt;0.5),"NM",BQ570/BI570*100-100))</f>
        <v>NM</v>
      </c>
      <c r="BS570" s="150">
        <f>-567-534</f>
        <v>-1101</v>
      </c>
      <c r="BT570" s="72" t="str">
        <f t="shared" ref="BT570:BT577" si="2730">IF(ISERROR(BS570/BK570),"NA",IF(OR(BS570/BK570&gt;2,BS570/BK570&lt;0.5),"NM",BS570/BK570*100-100))</f>
        <v>NM</v>
      </c>
      <c r="BU570" s="150">
        <f>-516-815</f>
        <v>-1331</v>
      </c>
      <c r="BV570" s="72" t="str">
        <f t="shared" ref="BV570:BV577" si="2731">IF(ISERROR(BU570/BM570),"NA",IF(OR(BU570/BM570&gt;2,BU570/BM570&lt;0.5),"NM",BU570/BM570*100-100))</f>
        <v>NM</v>
      </c>
      <c r="BW570" s="150">
        <f>-355+145</f>
        <v>-210</v>
      </c>
      <c r="BX570" s="72" t="str">
        <f t="shared" ref="BX570:BX577" si="2732">IF(ISERROR(BW570/BO570),"NA",IF(OR(BW570/BO570&gt;2,BW570/BO570&lt;0.5),"NM",BW570/BO570*100-100))</f>
        <v>NM</v>
      </c>
      <c r="BY570" s="150">
        <f>-929+686</f>
        <v>-243</v>
      </c>
      <c r="BZ570" s="72" t="str">
        <f t="shared" ref="BZ570:BZ577" si="2733">IF(ISERROR(BY570/BQ570),"NA",IF(OR(BY570/BQ570&gt;2,BY570/BQ570&lt;0.5),"NM",BY570/BQ570*100-100))</f>
        <v>NM</v>
      </c>
      <c r="CA570" s="150">
        <f>-370+694</f>
        <v>324</v>
      </c>
      <c r="CB570" s="72" t="str">
        <f t="shared" ref="CB570:CB577" si="2734">IF(ISERROR(CA570/BS570),"NA",IF(OR(CA570/BS570&gt;2,CA570/BS570&lt;0.5),"NM",CA570/BS570*100-100))</f>
        <v>NM</v>
      </c>
      <c r="CC570" s="150">
        <f>-54+76</f>
        <v>22</v>
      </c>
      <c r="CD570" s="72" t="str">
        <f t="shared" ref="CD570:CD577" si="2735">IF(ISERROR(CC570/BU570),"NA",IF(OR(CC570/BU570&gt;2,CC570/BU570&lt;0.5),"NM",CC570/BU570*100-100))</f>
        <v>NM</v>
      </c>
      <c r="CE570" s="150">
        <f>-58+252</f>
        <v>194</v>
      </c>
      <c r="CF570" s="72" t="str">
        <f t="shared" ref="CF570:CF577" si="2736">IF(ISERROR(CE570/BW570),"NA",IF(OR(CE570/BW570&gt;2,CE570/BW570&lt;0.5),"NM",CE570/BW570*100-100))</f>
        <v>NM</v>
      </c>
      <c r="CG570" s="150">
        <f>701+79</f>
        <v>780</v>
      </c>
      <c r="CH570" s="72" t="str">
        <f t="shared" ref="CH570:CH577" si="2737">IF(ISERROR(CG570/BY570),"NA",IF(OR(CG570/BY570&gt;2,CG570/BY570&lt;0.5),"NM",CG570/BY570*100-100))</f>
        <v>NM</v>
      </c>
      <c r="CI570" s="150">
        <f>283+388</f>
        <v>671</v>
      </c>
      <c r="CJ570" s="72" t="str">
        <f t="shared" ref="CJ570:CT577" si="2738">IF(ISERROR(CI570/CA570),"NA",IF(OR(CI570/CA570&gt;2,CI570/CA570&lt;0.5),"NM",CI570/CA570*100-100))</f>
        <v>NM</v>
      </c>
      <c r="CK570" s="150">
        <f>-953-218</f>
        <v>-1171</v>
      </c>
      <c r="CL570" s="72" t="str">
        <f t="shared" si="2738"/>
        <v>NM</v>
      </c>
      <c r="CM570" s="150">
        <f>-375-17</f>
        <v>-392</v>
      </c>
      <c r="CN570" s="72" t="str">
        <f t="shared" si="2738"/>
        <v>NM</v>
      </c>
      <c r="CO570" s="150">
        <f>1+177</f>
        <v>178</v>
      </c>
      <c r="CP570" s="72" t="str">
        <f t="shared" si="2738"/>
        <v>NM</v>
      </c>
      <c r="CQ570" s="150">
        <f>1817+10</f>
        <v>1827</v>
      </c>
      <c r="CR570" s="72" t="str">
        <f t="shared" si="2738"/>
        <v>NM</v>
      </c>
      <c r="CS570" s="150">
        <f>-596+53</f>
        <v>-543</v>
      </c>
      <c r="CT570" s="72" t="str">
        <f t="shared" si="2738"/>
        <v>NM</v>
      </c>
      <c r="CU570" s="373">
        <f>-1838+234</f>
        <v>-1604</v>
      </c>
      <c r="CV570" s="374" t="str">
        <f t="shared" ref="CV570:CV577" si="2739">IF(ISERROR(CU570/CM570),"NA",IF(OR(CU570/CM570&gt;2,CU570/CM570&lt;0.5),"NM",CU570/CM570*100-100))</f>
        <v>NM</v>
      </c>
      <c r="CW570" s="373">
        <f>2030+4</f>
        <v>2034</v>
      </c>
      <c r="CX570" s="374" t="str">
        <f t="shared" ref="CX570:CX577" si="2740">IF(ISERROR(CW570/CO570),"NA",IF(OR(CW570/CO570&gt;2,CW570/CO570&lt;0.5),"NM",CW570/CO570*100-100))</f>
        <v>NM</v>
      </c>
      <c r="CY570" s="373">
        <f>-1303+264</f>
        <v>-1039</v>
      </c>
      <c r="CZ570" s="72" t="str">
        <f t="shared" ref="CZ570:CZ577" si="2741">IF(ISERROR(CY570/CQ570),"NA",IF(OR(CY570/CQ570&gt;2,CY570/CQ570&lt;0.5),"NM",CY570/CQ570*100-100))</f>
        <v>NM</v>
      </c>
      <c r="DA570" s="150">
        <f>-1698+108</f>
        <v>-1590</v>
      </c>
      <c r="DB570" s="72" t="str">
        <f t="shared" ref="DB570:DB577" si="2742">IF(ISERROR(DA570/CS570),"NA",IF(OR(DA570/CS570&gt;2,DA570/CS570&lt;0.5),"NM",DA570/CS570*100-100))</f>
        <v>NM</v>
      </c>
      <c r="DC570" s="150">
        <f>-3003+95</f>
        <v>-2908</v>
      </c>
      <c r="DD570" s="72">
        <f t="shared" ref="DD570:DD577" si="2743">IF(ISERROR(DC570/CU570),"NA",IF(OR(DC570/CU570&gt;2,DC570/CU570&lt;0.5),"NM",DC570/CU570*100-100))</f>
        <v>81.29675810473816</v>
      </c>
      <c r="DE570" s="150">
        <f>-2230-471</f>
        <v>-2701</v>
      </c>
      <c r="DF570" s="72" t="str">
        <f t="shared" ref="DF570:DF577" si="2744">IF(ISERROR(DE570/CW570),"NA",IF(OR(DE570/CW570&gt;2,DE570/CW570&lt;0.5),"NM",DE570/CW570*100-100))</f>
        <v>NM</v>
      </c>
      <c r="DG570" s="150">
        <f>-556+103</f>
        <v>-453</v>
      </c>
      <c r="DH570" s="72" t="str">
        <f t="shared" ref="DH570:DH577" si="2745">IF(ISERROR(DG570/CY570),"NA",IF(OR(DG570/CY570&gt;2,DG570/CY570&lt;0.5),"NM",DG570/CY570*100-100))</f>
        <v>NM</v>
      </c>
      <c r="DI570" s="150">
        <f>-2360+23</f>
        <v>-2337</v>
      </c>
      <c r="DJ570" s="72">
        <f t="shared" ref="DJ570:DJ577" si="2746">IF(ISERROR(DI570/DA570),"NA",IF(OR(DI570/DA570&gt;2,DI570/DA570&lt;0.5),"NM",DI570/DA570*100-100))</f>
        <v>46.981132075471692</v>
      </c>
      <c r="DK570" s="150">
        <f>-8+101</f>
        <v>93</v>
      </c>
      <c r="DL570" s="72" t="str">
        <f t="shared" ref="DL570:DL577" si="2747">IF(ISERROR(DK570/DC570),"NA",IF(OR(DK570/DC570&gt;2,DK570/DC570&lt;0.5),"NM",DK570/DC570*100-100))</f>
        <v>NM</v>
      </c>
      <c r="DM570" s="150">
        <f>-273+225</f>
        <v>-48</v>
      </c>
      <c r="DN570" s="72" t="str">
        <f t="shared" ref="DN570:DZ577" si="2748">IF(ISERROR(DM570/DE570),"NA",IF(OR(DM570/DE570&gt;2,DM570/DE570&lt;0.5),"NM",DM570/DE570*100-100))</f>
        <v>NM</v>
      </c>
      <c r="DO570" s="150">
        <f>-1132-131</f>
        <v>-1263</v>
      </c>
      <c r="DP570" s="72" t="str">
        <f t="shared" si="2748"/>
        <v>NM</v>
      </c>
      <c r="DQ570" s="150">
        <f>-2717+144</f>
        <v>-2573</v>
      </c>
      <c r="DR570" s="72">
        <f t="shared" si="2748"/>
        <v>10.098416773641432</v>
      </c>
      <c r="DS570" s="150">
        <f>1051+83</f>
        <v>1134</v>
      </c>
      <c r="DT570" s="72" t="str">
        <f t="shared" si="2748"/>
        <v>NM</v>
      </c>
      <c r="DU570" s="150">
        <f>286-220</f>
        <v>66</v>
      </c>
      <c r="DV570" s="72" t="str">
        <f t="shared" si="2748"/>
        <v>NM</v>
      </c>
      <c r="DW570" s="150">
        <f>438-228</f>
        <v>210</v>
      </c>
      <c r="DX570" s="72" t="str">
        <f t="shared" si="2748"/>
        <v>NM</v>
      </c>
      <c r="DY570" s="150">
        <f>-196-159</f>
        <v>-355</v>
      </c>
      <c r="DZ570" s="72" t="str">
        <f t="shared" si="2748"/>
        <v>NM</v>
      </c>
      <c r="EA570" s="150">
        <f>338+216</f>
        <v>554</v>
      </c>
      <c r="EB570" s="72" t="str">
        <f t="shared" ref="EB570:EB577" si="2749">IF(ISERROR(EA570/DS570),"NA",IF(OR(EA570/DS570&gt;2,EA570/DS570&lt;0.5),"NM",EA570/DS570*100-100))</f>
        <v>NM</v>
      </c>
      <c r="EC570" s="150">
        <f>360+108</f>
        <v>468</v>
      </c>
      <c r="ED570" s="72" t="str">
        <f t="shared" ref="ED570:ED577" si="2750">IF(ISERROR(EC570/DU570),"NA",IF(OR(EC570/DU570&gt;2,EC570/DU570&lt;0.5),"NM",EC570/DU570*100-100))</f>
        <v>NM</v>
      </c>
      <c r="EE570" s="150">
        <f>649+37</f>
        <v>686</v>
      </c>
      <c r="EF570" s="72" t="str">
        <f t="shared" ref="EF570:EF577" si="2751">IF(ISERROR(EE570/DW570),"NA",IF(OR(EE570/DW570&gt;2,EE570/DW570&lt;0.5),"NM",EE570/DW570*100-100))</f>
        <v>NM</v>
      </c>
      <c r="EG570" s="150">
        <f>-824-378</f>
        <v>-1202</v>
      </c>
      <c r="EH570" s="72" t="str">
        <f t="shared" ref="EH570:EH577" si="2752">IF(ISERROR(EG570/DY570),"NA",IF(OR(EG570/DY570&gt;2,EG570/DY570&lt;0.5),"NM",EG570/DY570*100-100))</f>
        <v>NM</v>
      </c>
      <c r="EI570" s="150">
        <f>38+44</f>
        <v>82</v>
      </c>
      <c r="EJ570" s="72" t="str">
        <f t="shared" ref="EJ570:EJ577" si="2753">IF(ISERROR(EI570/EA570),"NA",IF(OR(EI570/EA570&gt;2,EI570/EA570&lt;0.5),"NM",EI570/EA570*100-100))</f>
        <v>NM</v>
      </c>
      <c r="EK570" s="150">
        <f>-679+201</f>
        <v>-478</v>
      </c>
      <c r="EL570" s="72" t="str">
        <f t="shared" ref="EL570:EL577" si="2754">IF(ISERROR(EK570/EC570),"NA",IF(OR(EK570/EC570&gt;2,EK570/EC570&lt;0.5),"NM",EK570/EC570*100-100))</f>
        <v>NM</v>
      </c>
      <c r="EM570" s="150">
        <f>1164+85</f>
        <v>1249</v>
      </c>
      <c r="EN570" s="72">
        <f t="shared" ref="EN570:EN577" si="2755">IF(ISERROR(EM570/EE570),"NA",IF(OR(EM570/EE570&gt;2,EM570/EE570&lt;0.5),"NM",EM570/EE570*100-100))</f>
        <v>82.069970845481038</v>
      </c>
      <c r="EO570" s="150">
        <f>-581+6</f>
        <v>-575</v>
      </c>
      <c r="EP570" s="72" t="str">
        <f t="shared" ref="EP570:EP577" si="2756">IF(ISERROR(EO570/EG570),"NA",IF(OR(EO570/EG570&gt;2,EO570/EG570&lt;0.5),"NM",EO570/EG570*100-100))</f>
        <v>NM</v>
      </c>
      <c r="EQ570" s="144">
        <f>EQ586*EQ652/400</f>
        <v>930.58671096</v>
      </c>
      <c r="ER570" s="72" t="str">
        <f t="shared" ref="ER570:ER577" si="2757">IF(ISERROR(EQ570/EI570),"NA",IF(OR(EQ570/EI570&gt;2,EQ570/EI570&lt;0.5),"NM",EQ570/EI570*100-100))</f>
        <v>NM</v>
      </c>
      <c r="ES570" s="144">
        <f>ES586*ES652/400</f>
        <v>-628.00458071793412</v>
      </c>
      <c r="ET570" s="72">
        <f t="shared" ref="ET570:ET577" si="2758">IF(ISERROR(ES570/EK570),"NA",IF(OR(ES570/EK570&gt;2,ES570/EK570&lt;0.5),"NM",ES570/EK570*100-100))</f>
        <v>31.381711447266554</v>
      </c>
      <c r="EU570" s="144">
        <f>EU586*EU652/400</f>
        <v>-635.71145293250459</v>
      </c>
      <c r="EV570" s="72" t="str">
        <f t="shared" ref="EV570:EV577" si="2759">IF(ISERROR(EU570/EM570),"NA",IF(OR(EU570/EM570&gt;2,EU570/EM570&lt;0.5),"NM",EU570/EM570*100-100))</f>
        <v>NM</v>
      </c>
      <c r="EW570" s="144">
        <f>EW586*EW652/400</f>
        <v>-643.51290388289237</v>
      </c>
      <c r="EX570" s="72">
        <f t="shared" ref="EX570:EX577" si="2760">IF(ISERROR(EW570/EO570),"NA",IF(OR(EW570/EO570&gt;2,EW570/EO570&lt;0.5),"NM",EW570/EO570*100-100))</f>
        <v>11.91528763180736</v>
      </c>
      <c r="EY570" s="72"/>
      <c r="EZ570" s="296"/>
      <c r="FA570" s="72"/>
      <c r="FB570" s="150">
        <v>719</v>
      </c>
      <c r="FC570" s="11"/>
      <c r="FD570" s="144">
        <f>+CM570+CO570+CS570+CQ570</f>
        <v>1070</v>
      </c>
      <c r="FE570" s="72">
        <f t="shared" ref="FE570:FE577" si="2761">IF(ISERROR(FD570/FB570),"NA",IF(OR(FD570/FB570&gt;2,FD570/FB570&lt;0.5),"NM",FD570/FB570*100-100))</f>
        <v>48.817802503477054</v>
      </c>
      <c r="FF570" s="144">
        <f>+CO570+CQ570+CU570+CS570</f>
        <v>-142</v>
      </c>
      <c r="FG570" s="72" t="str">
        <f t="shared" ref="FG570:FG577" si="2762">IF(ISERROR(FF570/FD570),"NA",IF(OR(FF570/FD570&gt;2,FF570/FD570&lt;0.5),"NM",FF570/FD570*100-100))</f>
        <v>NM</v>
      </c>
      <c r="FH570" s="144">
        <f>+CQ570+CS570+CW570+CU570</f>
        <v>1714</v>
      </c>
      <c r="FI570" s="72" t="str">
        <f t="shared" ref="FI570:FI577" si="2763">IF(ISERROR(FH570/FF570),"NA",IF(OR(FH570/FF570&gt;2,FH570/FF570&lt;0.5),"NM",FH570/FF570*100-100))</f>
        <v>NM</v>
      </c>
      <c r="FJ570" s="144">
        <f>+CS570+CU570+CY570+CW570</f>
        <v>-1152</v>
      </c>
      <c r="FK570" s="72" t="str">
        <f t="shared" ref="FK570:FK577" si="2764">IF(ISERROR(FJ570/FH570),"NA",IF(OR(FJ570/FH570&gt;2,FJ570/FH570&lt;0.5),"NM",FJ570/FH570*100-100))</f>
        <v>NM</v>
      </c>
      <c r="FL570" s="144">
        <f>+CU570+CW570+DA570+CY570</f>
        <v>-2199</v>
      </c>
      <c r="FM570" s="72">
        <f t="shared" ref="FM570:FM577" si="2765">IF(ISERROR(FL570/FJ570),"NA",IF(OR(FL570/FJ570&gt;2,FL570/FJ570&lt;0.5),"NM",FL570/FJ570*100-100))</f>
        <v>90.885416666666686</v>
      </c>
      <c r="FN570" s="144">
        <f>+CW570+CY570+DC570+DA570</f>
        <v>-3503</v>
      </c>
      <c r="FO570" s="72">
        <f t="shared" ref="FO570:FO577" si="2766">IF(ISERROR(FN570/FL570),"NA",IF(OR(FN570/FL570&gt;2,FN570/FL570&lt;0.5),"NM",FN570/FL570*100-100))</f>
        <v>59.299681673487953</v>
      </c>
      <c r="FP570" s="144">
        <f>+CY570+DA570+DE570+DC570</f>
        <v>-8238</v>
      </c>
      <c r="FQ570" s="72" t="str">
        <f t="shared" ref="FQ570:FQ577" si="2767">IF(ISERROR(FP570/FN570),"NA",IF(OR(FP570/FN570&gt;2,FP570/FN570&lt;0.5),"NM",FP570/FN570*100-100))</f>
        <v>NM</v>
      </c>
      <c r="FR570" s="144">
        <f>+DA570+DC570+DG570+DE570</f>
        <v>-7652</v>
      </c>
      <c r="FS570" s="72">
        <f t="shared" ref="FS570:FS577" si="2768">IF(ISERROR(FR570/FP570),"NA",IF(OR(FR570/FP570&gt;2,FR570/FP570&lt;0.5),"NM",FR570/FP570*100-100))</f>
        <v>-7.1133770332605053</v>
      </c>
      <c r="FT570" s="144">
        <f>+DC570+DE570+DI570+DG570</f>
        <v>-8399</v>
      </c>
      <c r="FU570" s="72">
        <f t="shared" ref="FU570:FU577" si="2769">IF(ISERROR(FT570/FR570),"NA",IF(OR(FT570/FR570&gt;2,FT570/FR570&lt;0.5),"NM",FT570/FR570*100-100))</f>
        <v>9.7621536853110342</v>
      </c>
      <c r="FV570" s="144">
        <f>+DE570+DG570+DK570+DI570</f>
        <v>-5398</v>
      </c>
      <c r="FW570" s="72">
        <f t="shared" ref="FW570:FW577" si="2770">IF(ISERROR(FV570/FT570),"NA",IF(OR(FV570/FT570&gt;2,FV570/FT570&lt;0.5),"NM",FV570/FT570*100-100))</f>
        <v>-35.730444100488157</v>
      </c>
      <c r="FX570" s="144">
        <f>+DG570+DI570+DM570+DK570</f>
        <v>-2745</v>
      </c>
      <c r="FY570" s="72">
        <f t="shared" ref="FY570:FY577" si="2771">IF(ISERROR(FX570/FV570),"NA",IF(OR(FX570/FV570&gt;2,FX570/FV570&lt;0.5),"NM",FX570/FV570*100-100))</f>
        <v>-49.14783253056688</v>
      </c>
      <c r="FZ570" s="144">
        <f>+DI570+DK570+DO570+DM570</f>
        <v>-3555</v>
      </c>
      <c r="GA570" s="72">
        <f t="shared" ref="GA570:GA577" si="2772">IF(ISERROR(FZ570/FX570),"NA",IF(OR(FZ570/FX570&gt;2,FZ570/FX570&lt;0.5),"NM",FZ570/FX570*100-100))</f>
        <v>29.508196721311492</v>
      </c>
      <c r="GB570" s="144">
        <f>+DK570+DM570+DQ570+DO570</f>
        <v>-3791</v>
      </c>
      <c r="GC570" s="72">
        <f t="shared" ref="GC570:GG577" si="2773">IF(ISERROR(GB570/FZ570),"NA",IF(OR(GB570/FZ570&gt;2,GB570/FZ570&lt;0.5),"NM",GB570/FZ570*100-100))</f>
        <v>6.6385372714486692</v>
      </c>
      <c r="GD570" s="144">
        <f>+DM570+DO570+DS570+DQ570</f>
        <v>-2750</v>
      </c>
      <c r="GE570" s="72">
        <f t="shared" si="2773"/>
        <v>-27.459773146926935</v>
      </c>
      <c r="GF570" s="144">
        <f>+DO570+DQ570+DU570+DS570</f>
        <v>-2636</v>
      </c>
      <c r="GG570" s="72">
        <f t="shared" si="2773"/>
        <v>-4.1454545454545411</v>
      </c>
      <c r="GH570" s="144">
        <f>+DQ570+DS570+DW570+DU570</f>
        <v>-1163</v>
      </c>
      <c r="GI570" s="72" t="str">
        <f t="shared" ref="GI570:GU577" si="2774">IF(ISERROR(GH570/GF570),"NA",IF(OR(GH570/GF570&gt;2,GH570/GF570&lt;0.5),"NM",GH570/GF570*100-100))</f>
        <v>NM</v>
      </c>
      <c r="GJ570" s="144">
        <f>+DS570+DU570+DY570+DW570</f>
        <v>1055</v>
      </c>
      <c r="GK570" s="72" t="str">
        <f t="shared" si="2774"/>
        <v>NM</v>
      </c>
      <c r="GL570" s="144">
        <f>EA570+EC570+EE570+EG570</f>
        <v>506</v>
      </c>
      <c r="GM570" s="72" t="str">
        <f t="shared" si="2774"/>
        <v>NM</v>
      </c>
      <c r="GN570" s="144">
        <f>EI570+EK570+EM570+EO570</f>
        <v>278</v>
      </c>
      <c r="GO570" s="72">
        <f t="shared" si="2774"/>
        <v>-45.059288537549399</v>
      </c>
      <c r="GP570" s="144">
        <f>EQ570+ES570+EU570+EW570</f>
        <v>-976.64222657333107</v>
      </c>
      <c r="GQ570" s="72" t="str">
        <f t="shared" si="2774"/>
        <v>NM</v>
      </c>
      <c r="GR570" s="144">
        <f>GR586*GR652/100</f>
        <v>-1025.4743379019978</v>
      </c>
      <c r="GS570" s="72">
        <f t="shared" si="2774"/>
        <v>5.0000000000000284</v>
      </c>
      <c r="GT570" s="144">
        <f>GT586*GT652/100</f>
        <v>-1076.7480547970977</v>
      </c>
      <c r="GU570" s="72">
        <f t="shared" si="2774"/>
        <v>5</v>
      </c>
      <c r="GV570" s="144">
        <f>GV586*GV652/100</f>
        <v>-1130.5854575369526</v>
      </c>
      <c r="GW570" s="72">
        <f t="shared" ref="GW570:GW577" si="2775">IF(ISERROR(GV570/GT570),"NA",IF(OR(GV570/GT570&gt;2,GV570/GT570&lt;0.5),"NM",GV570/GT570*100-100))</f>
        <v>5</v>
      </c>
      <c r="GX570" s="144">
        <f>GX586*GX652/100</f>
        <v>-1187.1147304138003</v>
      </c>
      <c r="GY570" s="72">
        <f t="shared" ref="GY570:GY577" si="2776">IF(ISERROR(GX570/GV570),"NA",IF(OR(GX570/GV570&gt;2,GX570/GV570&lt;0.5),"NM",GX570/GV570*100-100))</f>
        <v>5</v>
      </c>
      <c r="GZ570" s="72" t="str">
        <f t="shared" ref="GZ570:GZ577" si="2777">IF(ISERROR(((GX570/GN570)^0.2-1)*100),"NA",IF((((GX570/GN570)^0.2-1)*100)&gt;100,"NM",IF((((GX570/GN570)^0.2-1)*100)&lt;-50,"NM",((GX570/GN570)^0.2-1)*100)))</f>
        <v>NM</v>
      </c>
      <c r="HA570" s="72"/>
      <c r="HB570" s="72"/>
      <c r="HC570"/>
      <c r="HD570"/>
      <c r="HE570"/>
      <c r="HF570"/>
      <c r="HG570"/>
      <c r="HH570"/>
      <c r="HI570" s="2"/>
    </row>
    <row r="571" spans="1:217" s="3" customFormat="1" ht="12.75" hidden="1" customHeight="1" outlineLevel="1" x14ac:dyDescent="0.2">
      <c r="B571" s="10" t="s">
        <v>107</v>
      </c>
      <c r="C571" s="150">
        <f>FF571-I571-G571-E571</f>
        <v>0</v>
      </c>
      <c r="D571" s="11"/>
      <c r="E571" s="150">
        <v>0</v>
      </c>
      <c r="F571" s="11"/>
      <c r="G571" s="150">
        <v>0</v>
      </c>
      <c r="H571" s="11"/>
      <c r="I571" s="150">
        <v>0</v>
      </c>
      <c r="J571" s="11"/>
      <c r="K571" s="150">
        <v>0</v>
      </c>
      <c r="L571" s="72" t="str">
        <f t="shared" si="2700"/>
        <v>NA</v>
      </c>
      <c r="M571" s="150">
        <v>0</v>
      </c>
      <c r="N571" s="72" t="str">
        <f t="shared" si="2701"/>
        <v>NA</v>
      </c>
      <c r="O571" s="150">
        <v>0</v>
      </c>
      <c r="P571" s="72" t="str">
        <f t="shared" si="2702"/>
        <v>NA</v>
      </c>
      <c r="Q571" s="150">
        <v>0</v>
      </c>
      <c r="R571" s="72" t="str">
        <f t="shared" si="2703"/>
        <v>NA</v>
      </c>
      <c r="S571" s="150">
        <v>0</v>
      </c>
      <c r="T571" s="72" t="str">
        <f t="shared" si="2704"/>
        <v>NA</v>
      </c>
      <c r="U571" s="150">
        <v>0</v>
      </c>
      <c r="V571" s="72" t="str">
        <f t="shared" si="2705"/>
        <v>NA</v>
      </c>
      <c r="W571" s="150">
        <v>0</v>
      </c>
      <c r="X571" s="72" t="str">
        <f t="shared" si="2706"/>
        <v>NA</v>
      </c>
      <c r="Y571" s="150">
        <v>-20</v>
      </c>
      <c r="Z571" s="72" t="str">
        <f t="shared" si="2707"/>
        <v>NA</v>
      </c>
      <c r="AA571" s="150">
        <v>0</v>
      </c>
      <c r="AB571" s="72" t="str">
        <f t="shared" si="2708"/>
        <v>NA</v>
      </c>
      <c r="AC571" s="150">
        <v>0</v>
      </c>
      <c r="AD571" s="72" t="str">
        <f t="shared" si="2709"/>
        <v>NA</v>
      </c>
      <c r="AE571" s="150">
        <v>0</v>
      </c>
      <c r="AF571" s="72" t="str">
        <f t="shared" si="2710"/>
        <v>NA</v>
      </c>
      <c r="AG571" s="150">
        <v>0</v>
      </c>
      <c r="AH571" s="72" t="str">
        <f t="shared" si="2711"/>
        <v>NM</v>
      </c>
      <c r="AI571" s="150">
        <v>0</v>
      </c>
      <c r="AJ571" s="72" t="str">
        <f t="shared" si="2712"/>
        <v>NA</v>
      </c>
      <c r="AK571" s="150">
        <v>0</v>
      </c>
      <c r="AL571" s="72" t="str">
        <f t="shared" si="2713"/>
        <v>NA</v>
      </c>
      <c r="AM571" s="150">
        <v>0</v>
      </c>
      <c r="AN571" s="72" t="str">
        <f t="shared" si="2714"/>
        <v>NA</v>
      </c>
      <c r="AO571" s="150">
        <v>0</v>
      </c>
      <c r="AP571" s="72" t="str">
        <f t="shared" si="2715"/>
        <v>NA</v>
      </c>
      <c r="AQ571" s="150">
        <v>0</v>
      </c>
      <c r="AR571" s="72" t="str">
        <f t="shared" si="2716"/>
        <v>NA</v>
      </c>
      <c r="AS571" s="150">
        <v>0</v>
      </c>
      <c r="AT571" s="72" t="str">
        <f t="shared" si="2717"/>
        <v>NA</v>
      </c>
      <c r="AU571" s="150">
        <v>0</v>
      </c>
      <c r="AV571" s="72" t="str">
        <f t="shared" si="2718"/>
        <v>NA</v>
      </c>
      <c r="AW571" s="150">
        <v>0</v>
      </c>
      <c r="AX571" s="72" t="str">
        <f t="shared" si="2719"/>
        <v>NA</v>
      </c>
      <c r="AY571" s="150">
        <v>0</v>
      </c>
      <c r="AZ571" s="72" t="str">
        <f t="shared" si="2720"/>
        <v>NA</v>
      </c>
      <c r="BA571" s="150">
        <v>0</v>
      </c>
      <c r="BB571" s="72" t="str">
        <f t="shared" si="2721"/>
        <v>NA</v>
      </c>
      <c r="BC571" s="150">
        <v>0</v>
      </c>
      <c r="BD571" s="72" t="str">
        <f t="shared" si="2722"/>
        <v>NA</v>
      </c>
      <c r="BE571" s="150">
        <v>0</v>
      </c>
      <c r="BF571" s="72" t="str">
        <f t="shared" si="2723"/>
        <v>NA</v>
      </c>
      <c r="BG571" s="150">
        <v>0</v>
      </c>
      <c r="BH571" s="72" t="str">
        <f t="shared" si="2724"/>
        <v>NA</v>
      </c>
      <c r="BI571" s="150">
        <v>0</v>
      </c>
      <c r="BJ571" s="72" t="str">
        <f t="shared" si="2725"/>
        <v>NA</v>
      </c>
      <c r="BK571" s="150">
        <v>0</v>
      </c>
      <c r="BL571" s="72" t="str">
        <f t="shared" si="2726"/>
        <v>NA</v>
      </c>
      <c r="BM571" s="150">
        <v>0</v>
      </c>
      <c r="BN571" s="72" t="str">
        <f t="shared" si="2727"/>
        <v>NA</v>
      </c>
      <c r="BO571" s="150">
        <v>0</v>
      </c>
      <c r="BP571" s="72" t="str">
        <f t="shared" si="2728"/>
        <v>NA</v>
      </c>
      <c r="BQ571" s="150">
        <v>0</v>
      </c>
      <c r="BR571" s="72" t="str">
        <f t="shared" si="2729"/>
        <v>NA</v>
      </c>
      <c r="BS571" s="150">
        <v>0</v>
      </c>
      <c r="BT571" s="72" t="str">
        <f t="shared" si="2730"/>
        <v>NA</v>
      </c>
      <c r="BU571" s="150">
        <v>0</v>
      </c>
      <c r="BV571" s="72" t="str">
        <f t="shared" si="2731"/>
        <v>NA</v>
      </c>
      <c r="BW571" s="150">
        <v>0</v>
      </c>
      <c r="BX571" s="72" t="str">
        <f t="shared" si="2732"/>
        <v>NA</v>
      </c>
      <c r="BY571" s="150">
        <v>0</v>
      </c>
      <c r="BZ571" s="72" t="str">
        <f t="shared" si="2733"/>
        <v>NA</v>
      </c>
      <c r="CA571" s="150">
        <v>0</v>
      </c>
      <c r="CB571" s="72" t="str">
        <f t="shared" si="2734"/>
        <v>NA</v>
      </c>
      <c r="CC571" s="150">
        <v>0</v>
      </c>
      <c r="CD571" s="72" t="str">
        <f t="shared" si="2735"/>
        <v>NA</v>
      </c>
      <c r="CE571" s="150">
        <v>0</v>
      </c>
      <c r="CF571" s="72" t="str">
        <f t="shared" si="2736"/>
        <v>NA</v>
      </c>
      <c r="CG571" s="150">
        <v>0</v>
      </c>
      <c r="CH571" s="72" t="str">
        <f t="shared" si="2737"/>
        <v>NA</v>
      </c>
      <c r="CI571" s="150">
        <v>0</v>
      </c>
      <c r="CJ571" s="72" t="str">
        <f t="shared" si="2738"/>
        <v>NA</v>
      </c>
      <c r="CK571" s="150">
        <v>0</v>
      </c>
      <c r="CL571" s="72" t="str">
        <f t="shared" si="2738"/>
        <v>NA</v>
      </c>
      <c r="CM571" s="150">
        <v>0</v>
      </c>
      <c r="CN571" s="72" t="str">
        <f t="shared" si="2738"/>
        <v>NA</v>
      </c>
      <c r="CO571" s="150">
        <v>0</v>
      </c>
      <c r="CP571" s="72" t="str">
        <f t="shared" si="2738"/>
        <v>NA</v>
      </c>
      <c r="CQ571" s="150">
        <v>0</v>
      </c>
      <c r="CR571" s="72" t="str">
        <f t="shared" si="2738"/>
        <v>NA</v>
      </c>
      <c r="CS571" s="150">
        <v>0</v>
      </c>
      <c r="CT571" s="72" t="str">
        <f t="shared" si="2738"/>
        <v>NA</v>
      </c>
      <c r="CU571" s="373">
        <v>0</v>
      </c>
      <c r="CV571" s="374" t="str">
        <f t="shared" si="2739"/>
        <v>NA</v>
      </c>
      <c r="CW571" s="373">
        <v>0</v>
      </c>
      <c r="CX571" s="374" t="str">
        <f t="shared" si="2740"/>
        <v>NA</v>
      </c>
      <c r="CY571" s="373">
        <v>0</v>
      </c>
      <c r="CZ571" s="72" t="str">
        <f t="shared" si="2741"/>
        <v>NA</v>
      </c>
      <c r="DA571" s="150">
        <v>0</v>
      </c>
      <c r="DB571" s="72" t="str">
        <f t="shared" si="2742"/>
        <v>NA</v>
      </c>
      <c r="DC571" s="150">
        <v>0</v>
      </c>
      <c r="DD571" s="72" t="str">
        <f t="shared" si="2743"/>
        <v>NA</v>
      </c>
      <c r="DE571" s="150">
        <v>0</v>
      </c>
      <c r="DF571" s="72" t="str">
        <f t="shared" si="2744"/>
        <v>NA</v>
      </c>
      <c r="DG571" s="150">
        <v>0</v>
      </c>
      <c r="DH571" s="72" t="str">
        <f t="shared" si="2745"/>
        <v>NA</v>
      </c>
      <c r="DI571" s="150">
        <v>0</v>
      </c>
      <c r="DJ571" s="72" t="str">
        <f t="shared" si="2746"/>
        <v>NA</v>
      </c>
      <c r="DK571" s="150">
        <v>0</v>
      </c>
      <c r="DL571" s="72" t="str">
        <f t="shared" si="2747"/>
        <v>NA</v>
      </c>
      <c r="DM571" s="150">
        <v>0</v>
      </c>
      <c r="DN571" s="72" t="str">
        <f t="shared" si="2748"/>
        <v>NA</v>
      </c>
      <c r="DO571" s="150">
        <v>0</v>
      </c>
      <c r="DP571" s="72" t="str">
        <f t="shared" si="2748"/>
        <v>NA</v>
      </c>
      <c r="DQ571" s="150">
        <v>0</v>
      </c>
      <c r="DR571" s="72" t="str">
        <f t="shared" si="2748"/>
        <v>NA</v>
      </c>
      <c r="DS571" s="150">
        <v>0</v>
      </c>
      <c r="DT571" s="72" t="str">
        <f t="shared" si="2748"/>
        <v>NA</v>
      </c>
      <c r="DU571" s="150">
        <v>0</v>
      </c>
      <c r="DV571" s="72" t="str">
        <f t="shared" si="2748"/>
        <v>NA</v>
      </c>
      <c r="DW571" s="150">
        <v>0</v>
      </c>
      <c r="DX571" s="72" t="str">
        <f t="shared" si="2748"/>
        <v>NA</v>
      </c>
      <c r="DY571" s="150">
        <v>0</v>
      </c>
      <c r="DZ571" s="72" t="str">
        <f t="shared" si="2748"/>
        <v>NA</v>
      </c>
      <c r="EA571" s="150">
        <v>0</v>
      </c>
      <c r="EB571" s="72" t="str">
        <f t="shared" si="2749"/>
        <v>NA</v>
      </c>
      <c r="EC571" s="150">
        <v>0</v>
      </c>
      <c r="ED571" s="72" t="str">
        <f t="shared" si="2750"/>
        <v>NA</v>
      </c>
      <c r="EE571" s="150">
        <v>0</v>
      </c>
      <c r="EF571" s="72" t="str">
        <f t="shared" si="2751"/>
        <v>NA</v>
      </c>
      <c r="EG571" s="150">
        <v>0</v>
      </c>
      <c r="EH571" s="72" t="str">
        <f t="shared" si="2752"/>
        <v>NA</v>
      </c>
      <c r="EI571" s="150"/>
      <c r="EJ571" s="72" t="str">
        <f t="shared" si="2753"/>
        <v>NA</v>
      </c>
      <c r="EK571" s="150">
        <v>0</v>
      </c>
      <c r="EL571" s="72" t="str">
        <f t="shared" si="2754"/>
        <v>NA</v>
      </c>
      <c r="EM571" s="150">
        <v>0</v>
      </c>
      <c r="EN571" s="72" t="str">
        <f t="shared" si="2755"/>
        <v>NA</v>
      </c>
      <c r="EO571" s="150"/>
      <c r="EP571" s="72" t="str">
        <f t="shared" si="2756"/>
        <v>NA</v>
      </c>
      <c r="EQ571" s="150">
        <v>0</v>
      </c>
      <c r="ER571" s="72" t="str">
        <f t="shared" si="2757"/>
        <v>NA</v>
      </c>
      <c r="ES571" s="150">
        <v>0</v>
      </c>
      <c r="ET571" s="72" t="str">
        <f t="shared" si="2758"/>
        <v>NA</v>
      </c>
      <c r="EU571" s="150">
        <v>0</v>
      </c>
      <c r="EV571" s="72" t="str">
        <f t="shared" si="2759"/>
        <v>NA</v>
      </c>
      <c r="EW571" s="150">
        <v>0</v>
      </c>
      <c r="EX571" s="72" t="str">
        <f t="shared" si="2760"/>
        <v>NA</v>
      </c>
      <c r="EY571" s="72"/>
      <c r="EZ571" s="336"/>
      <c r="FA571" s="72"/>
      <c r="FB571" s="150">
        <v>-1150</v>
      </c>
      <c r="FC571" s="87"/>
      <c r="FD571" s="144">
        <f>+CM571+CO571+CS571+CQ571</f>
        <v>0</v>
      </c>
      <c r="FE571" s="72" t="str">
        <f t="shared" si="2761"/>
        <v>NM</v>
      </c>
      <c r="FF571" s="144">
        <f>+CO571+CQ571+CU571+CS571</f>
        <v>0</v>
      </c>
      <c r="FG571" s="72" t="str">
        <f t="shared" si="2762"/>
        <v>NA</v>
      </c>
      <c r="FH571" s="144">
        <f>+CQ571+CS571+CW571+CU571</f>
        <v>0</v>
      </c>
      <c r="FI571" s="72" t="str">
        <f t="shared" si="2763"/>
        <v>NA</v>
      </c>
      <c r="FJ571" s="144">
        <f>+CS571+CU571+CY571+CW571</f>
        <v>0</v>
      </c>
      <c r="FK571" s="72" t="str">
        <f t="shared" si="2764"/>
        <v>NA</v>
      </c>
      <c r="FL571" s="144">
        <f>+CU571+CW571+DA571+CY571</f>
        <v>0</v>
      </c>
      <c r="FM571" s="72" t="str">
        <f t="shared" si="2765"/>
        <v>NA</v>
      </c>
      <c r="FN571" s="144">
        <f>+CW571+CY571+DC571+DA571</f>
        <v>0</v>
      </c>
      <c r="FO571" s="72" t="str">
        <f t="shared" si="2766"/>
        <v>NA</v>
      </c>
      <c r="FP571" s="144">
        <f>+CY571+DA571+DE571+DC571</f>
        <v>0</v>
      </c>
      <c r="FQ571" s="72" t="str">
        <f t="shared" si="2767"/>
        <v>NA</v>
      </c>
      <c r="FR571" s="144">
        <f>+DA571+DC571+DG571+DE571</f>
        <v>0</v>
      </c>
      <c r="FS571" s="72" t="str">
        <f t="shared" si="2768"/>
        <v>NA</v>
      </c>
      <c r="FT571" s="144">
        <f>+DC571+DE571+DI571+DG571</f>
        <v>0</v>
      </c>
      <c r="FU571" s="72" t="str">
        <f t="shared" si="2769"/>
        <v>NA</v>
      </c>
      <c r="FV571" s="144">
        <f>+DE571+DG571+DK571+DI571</f>
        <v>0</v>
      </c>
      <c r="FW571" s="72" t="str">
        <f t="shared" si="2770"/>
        <v>NA</v>
      </c>
      <c r="FX571" s="144">
        <f>+DG571+DI571+DM571+DK571</f>
        <v>0</v>
      </c>
      <c r="FY571" s="72" t="str">
        <f t="shared" si="2771"/>
        <v>NA</v>
      </c>
      <c r="FZ571" s="144">
        <f>+DI571+DK571+DO571+DM571</f>
        <v>0</v>
      </c>
      <c r="GA571" s="72" t="str">
        <f t="shared" si="2772"/>
        <v>NA</v>
      </c>
      <c r="GB571" s="144">
        <f>+DK571+DM571+DQ571+DO571</f>
        <v>0</v>
      </c>
      <c r="GC571" s="72" t="str">
        <f t="shared" si="2773"/>
        <v>NA</v>
      </c>
      <c r="GD571" s="144">
        <f>+DM571+DO571+DS571+DQ571</f>
        <v>0</v>
      </c>
      <c r="GE571" s="72" t="str">
        <f t="shared" si="2773"/>
        <v>NA</v>
      </c>
      <c r="GF571" s="144">
        <f>+DO571+DQ571+DU571+DS571</f>
        <v>0</v>
      </c>
      <c r="GG571" s="72" t="str">
        <f t="shared" si="2773"/>
        <v>NA</v>
      </c>
      <c r="GH571" s="144">
        <f>+DQ571+DS571+DW571+DU571</f>
        <v>0</v>
      </c>
      <c r="GI571" s="72" t="str">
        <f t="shared" si="2774"/>
        <v>NA</v>
      </c>
      <c r="GJ571" s="144">
        <f>+DS571+DU571+DY571+DW571</f>
        <v>0</v>
      </c>
      <c r="GK571" s="72" t="str">
        <f t="shared" si="2774"/>
        <v>NA</v>
      </c>
      <c r="GL571" s="144">
        <f>EA571+EC571+EE571+EG571</f>
        <v>0</v>
      </c>
      <c r="GM571" s="72" t="str">
        <f t="shared" si="2774"/>
        <v>NA</v>
      </c>
      <c r="GN571" s="144">
        <f>EI571+EK571+EM571+EO571</f>
        <v>0</v>
      </c>
      <c r="GO571" s="72" t="str">
        <f t="shared" si="2774"/>
        <v>NA</v>
      </c>
      <c r="GP571" s="144">
        <f>EQ571+ES571+EU571+EW571</f>
        <v>0</v>
      </c>
      <c r="GQ571" s="72" t="str">
        <f t="shared" si="2774"/>
        <v>NA</v>
      </c>
      <c r="GR571" s="150">
        <v>0</v>
      </c>
      <c r="GS571" s="72" t="str">
        <f t="shared" si="2774"/>
        <v>NA</v>
      </c>
      <c r="GT571" s="150">
        <v>0</v>
      </c>
      <c r="GU571" s="72" t="str">
        <f t="shared" si="2774"/>
        <v>NA</v>
      </c>
      <c r="GV571" s="150">
        <v>0</v>
      </c>
      <c r="GW571" s="72" t="str">
        <f t="shared" si="2775"/>
        <v>NA</v>
      </c>
      <c r="GX571" s="150">
        <v>0</v>
      </c>
      <c r="GY571" s="72" t="str">
        <f t="shared" si="2776"/>
        <v>NA</v>
      </c>
      <c r="GZ571" s="72" t="str">
        <f t="shared" si="2777"/>
        <v>NA</v>
      </c>
      <c r="HA571" s="72"/>
      <c r="HB571" s="72"/>
      <c r="HC571"/>
      <c r="HD571"/>
      <c r="HE571"/>
      <c r="HF571"/>
      <c r="HG571"/>
      <c r="HH571"/>
      <c r="HI571" s="2"/>
    </row>
    <row r="572" spans="1:217" s="3" customFormat="1" ht="12.75" customHeight="1" collapsed="1" x14ac:dyDescent="0.2">
      <c r="B572" s="10" t="s">
        <v>108</v>
      </c>
      <c r="C572" s="150">
        <f>FF572-I572-G572-E572</f>
        <v>706</v>
      </c>
      <c r="D572" s="11"/>
      <c r="E572" s="150">
        <v>-32</v>
      </c>
      <c r="F572" s="11"/>
      <c r="G572" s="150">
        <v>-8</v>
      </c>
      <c r="H572" s="11"/>
      <c r="I572" s="150">
        <v>-567</v>
      </c>
      <c r="J572" s="11"/>
      <c r="K572" s="150">
        <v>-22</v>
      </c>
      <c r="L572" s="72" t="str">
        <f t="shared" si="2700"/>
        <v>NM</v>
      </c>
      <c r="M572" s="150">
        <v>-60</v>
      </c>
      <c r="N572" s="72">
        <f t="shared" si="2701"/>
        <v>87.5</v>
      </c>
      <c r="O572" s="150">
        <f>-122-M572-K572</f>
        <v>-40</v>
      </c>
      <c r="P572" s="72" t="str">
        <f t="shared" si="2702"/>
        <v>NM</v>
      </c>
      <c r="Q572" s="150">
        <v>-25</v>
      </c>
      <c r="R572" s="72" t="str">
        <f t="shared" si="2703"/>
        <v>NM</v>
      </c>
      <c r="S572" s="150">
        <v>18</v>
      </c>
      <c r="T572" s="72" t="str">
        <f t="shared" si="2704"/>
        <v>NM</v>
      </c>
      <c r="U572" s="150">
        <v>31</v>
      </c>
      <c r="V572" s="72" t="str">
        <f t="shared" si="2705"/>
        <v>NM</v>
      </c>
      <c r="W572" s="150">
        <v>-13</v>
      </c>
      <c r="X572" s="72" t="str">
        <f t="shared" si="2706"/>
        <v>NM</v>
      </c>
      <c r="Y572" s="150">
        <v>-59</v>
      </c>
      <c r="Z572" s="72" t="str">
        <f t="shared" si="2707"/>
        <v>NM</v>
      </c>
      <c r="AA572" s="150">
        <v>-4</v>
      </c>
      <c r="AB572" s="72" t="str">
        <f t="shared" si="2708"/>
        <v>NM</v>
      </c>
      <c r="AC572" s="150">
        <v>-410</v>
      </c>
      <c r="AD572" s="72" t="str">
        <f t="shared" si="2709"/>
        <v>NM</v>
      </c>
      <c r="AE572" s="150">
        <v>-36</v>
      </c>
      <c r="AF572" s="72" t="str">
        <f t="shared" si="2710"/>
        <v>NM</v>
      </c>
      <c r="AG572" s="150">
        <v>265</v>
      </c>
      <c r="AH572" s="72" t="str">
        <f t="shared" si="2711"/>
        <v>NM</v>
      </c>
      <c r="AI572" s="150">
        <v>-21</v>
      </c>
      <c r="AJ572" s="72" t="str">
        <f t="shared" si="2712"/>
        <v>NM</v>
      </c>
      <c r="AK572" s="150">
        <v>-3</v>
      </c>
      <c r="AL572" s="72" t="str">
        <f t="shared" si="2713"/>
        <v>NM</v>
      </c>
      <c r="AM572" s="150">
        <v>-15</v>
      </c>
      <c r="AN572" s="72" t="str">
        <f t="shared" si="2714"/>
        <v>NM</v>
      </c>
      <c r="AO572" s="150">
        <v>2</v>
      </c>
      <c r="AP572" s="72" t="str">
        <f t="shared" si="2715"/>
        <v>NM</v>
      </c>
      <c r="AQ572" s="150">
        <v>-5</v>
      </c>
      <c r="AR572" s="72" t="str">
        <f t="shared" si="2716"/>
        <v>NM</v>
      </c>
      <c r="AS572" s="150">
        <v>3</v>
      </c>
      <c r="AT572" s="72" t="str">
        <f t="shared" si="2717"/>
        <v>NM</v>
      </c>
      <c r="AU572" s="150">
        <v>-3</v>
      </c>
      <c r="AV572" s="72" t="str">
        <f t="shared" si="2718"/>
        <v>NM</v>
      </c>
      <c r="AW572" s="150">
        <v>-45</v>
      </c>
      <c r="AX572" s="72" t="str">
        <f t="shared" si="2719"/>
        <v>NM</v>
      </c>
      <c r="AY572" s="150">
        <v>8</v>
      </c>
      <c r="AZ572" s="72" t="str">
        <f t="shared" si="2720"/>
        <v>NM</v>
      </c>
      <c r="BA572" s="150">
        <v>-6</v>
      </c>
      <c r="BB572" s="72" t="str">
        <f t="shared" si="2721"/>
        <v>NM</v>
      </c>
      <c r="BC572" s="150">
        <v>4</v>
      </c>
      <c r="BD572" s="72" t="str">
        <f t="shared" si="2722"/>
        <v>NM</v>
      </c>
      <c r="BE572" s="150">
        <v>-1</v>
      </c>
      <c r="BF572" s="72" t="str">
        <f t="shared" si="2723"/>
        <v>NM</v>
      </c>
      <c r="BG572" s="150">
        <v>18</v>
      </c>
      <c r="BH572" s="72" t="str">
        <f t="shared" si="2724"/>
        <v>NM</v>
      </c>
      <c r="BI572" s="150">
        <v>-27</v>
      </c>
      <c r="BJ572" s="72" t="str">
        <f t="shared" si="2725"/>
        <v>NM</v>
      </c>
      <c r="BK572" s="150">
        <v>-27</v>
      </c>
      <c r="BL572" s="72" t="str">
        <f t="shared" si="2726"/>
        <v>NM</v>
      </c>
      <c r="BM572" s="150">
        <v>-1</v>
      </c>
      <c r="BN572" s="72">
        <f t="shared" si="2727"/>
        <v>0</v>
      </c>
      <c r="BO572" s="150">
        <v>-67</v>
      </c>
      <c r="BP572" s="72" t="str">
        <f t="shared" si="2728"/>
        <v>NM</v>
      </c>
      <c r="BQ572" s="150">
        <v>10</v>
      </c>
      <c r="BR572" s="72" t="str">
        <f t="shared" si="2729"/>
        <v>NM</v>
      </c>
      <c r="BS572" s="150">
        <v>-219</v>
      </c>
      <c r="BT572" s="72" t="str">
        <f t="shared" si="2730"/>
        <v>NM</v>
      </c>
      <c r="BU572" s="150">
        <v>-230</v>
      </c>
      <c r="BV572" s="72" t="str">
        <f t="shared" si="2731"/>
        <v>NM</v>
      </c>
      <c r="BW572" s="150">
        <v>-32</v>
      </c>
      <c r="BX572" s="72" t="str">
        <f t="shared" si="2732"/>
        <v>NM</v>
      </c>
      <c r="BY572" s="150">
        <v>-24</v>
      </c>
      <c r="BZ572" s="72" t="str">
        <f t="shared" si="2733"/>
        <v>NM</v>
      </c>
      <c r="CA572" s="150">
        <v>25</v>
      </c>
      <c r="CB572" s="72" t="str">
        <f t="shared" si="2734"/>
        <v>NM</v>
      </c>
      <c r="CC572" s="150">
        <v>2162</v>
      </c>
      <c r="CD572" s="72" t="str">
        <f t="shared" si="2735"/>
        <v>NM</v>
      </c>
      <c r="CE572" s="150">
        <v>-10</v>
      </c>
      <c r="CF572" s="72" t="str">
        <f t="shared" si="2736"/>
        <v>NM</v>
      </c>
      <c r="CG572" s="150">
        <v>3</v>
      </c>
      <c r="CH572" s="72" t="str">
        <f t="shared" si="2737"/>
        <v>NM</v>
      </c>
      <c r="CI572" s="150">
        <v>-10</v>
      </c>
      <c r="CJ572" s="72" t="str">
        <f t="shared" si="2738"/>
        <v>NM</v>
      </c>
      <c r="CK572" s="150">
        <v>-8</v>
      </c>
      <c r="CL572" s="72" t="str">
        <f t="shared" si="2738"/>
        <v>NM</v>
      </c>
      <c r="CM572" s="150">
        <v>-9</v>
      </c>
      <c r="CN572" s="72">
        <f t="shared" si="2738"/>
        <v>-10</v>
      </c>
      <c r="CO572" s="150">
        <v>0</v>
      </c>
      <c r="CP572" s="72" t="str">
        <f t="shared" si="2738"/>
        <v>NM</v>
      </c>
      <c r="CQ572" s="150">
        <v>43</v>
      </c>
      <c r="CR572" s="72" t="str">
        <f t="shared" si="2738"/>
        <v>NM</v>
      </c>
      <c r="CS572" s="150">
        <v>52</v>
      </c>
      <c r="CT572" s="72" t="str">
        <f t="shared" si="2738"/>
        <v>NM</v>
      </c>
      <c r="CU572" s="373">
        <v>4</v>
      </c>
      <c r="CV572" s="374" t="str">
        <f t="shared" si="2739"/>
        <v>NM</v>
      </c>
      <c r="CW572" s="373">
        <v>22</v>
      </c>
      <c r="CX572" s="374" t="str">
        <f t="shared" si="2740"/>
        <v>NA</v>
      </c>
      <c r="CY572" s="373">
        <v>-687</v>
      </c>
      <c r="CZ572" s="72" t="str">
        <f t="shared" si="2741"/>
        <v>NM</v>
      </c>
      <c r="DA572" s="150">
        <v>49</v>
      </c>
      <c r="DB572" s="72">
        <f t="shared" si="2742"/>
        <v>-5.7692307692307736</v>
      </c>
      <c r="DC572" s="150">
        <v>29</v>
      </c>
      <c r="DD572" s="72" t="str">
        <f t="shared" si="2743"/>
        <v>NM</v>
      </c>
      <c r="DE572" s="150">
        <v>-84</v>
      </c>
      <c r="DF572" s="72" t="str">
        <f t="shared" si="2744"/>
        <v>NM</v>
      </c>
      <c r="DG572" s="150">
        <v>43</v>
      </c>
      <c r="DH572" s="72" t="str">
        <f t="shared" si="2745"/>
        <v>NM</v>
      </c>
      <c r="DI572" s="150">
        <v>41</v>
      </c>
      <c r="DJ572" s="72">
        <f t="shared" si="2746"/>
        <v>-16.326530612244895</v>
      </c>
      <c r="DK572" s="150">
        <v>73</v>
      </c>
      <c r="DL572" s="72" t="str">
        <f t="shared" si="2747"/>
        <v>NM</v>
      </c>
      <c r="DM572" s="150">
        <v>47</v>
      </c>
      <c r="DN572" s="72" t="str">
        <f t="shared" si="2748"/>
        <v>NM</v>
      </c>
      <c r="DO572" s="150">
        <v>-7</v>
      </c>
      <c r="DP572" s="72" t="str">
        <f t="shared" si="2748"/>
        <v>NM</v>
      </c>
      <c r="DQ572" s="150">
        <v>54</v>
      </c>
      <c r="DR572" s="72">
        <f t="shared" si="2748"/>
        <v>31.707317073170742</v>
      </c>
      <c r="DS572" s="150">
        <f>-22+75</f>
        <v>53</v>
      </c>
      <c r="DT572" s="72">
        <f t="shared" si="2748"/>
        <v>-27.397260273972606</v>
      </c>
      <c r="DU572" s="150">
        <f>52-109</f>
        <v>-57</v>
      </c>
      <c r="DV572" s="72" t="str">
        <f t="shared" si="2748"/>
        <v>NM</v>
      </c>
      <c r="DW572" s="150">
        <f>108+8</f>
        <v>116</v>
      </c>
      <c r="DX572" s="72" t="str">
        <f t="shared" si="2748"/>
        <v>NM</v>
      </c>
      <c r="DY572" s="150">
        <f>-80-40</f>
        <v>-120</v>
      </c>
      <c r="DZ572" s="72" t="str">
        <f t="shared" si="2748"/>
        <v>NM</v>
      </c>
      <c r="EA572" s="150">
        <f>-73+31</f>
        <v>-42</v>
      </c>
      <c r="EB572" s="72" t="str">
        <f t="shared" si="2749"/>
        <v>NM</v>
      </c>
      <c r="EC572" s="150">
        <f>-32-11</f>
        <v>-43</v>
      </c>
      <c r="ED572" s="72">
        <f t="shared" si="2750"/>
        <v>-24.561403508771932</v>
      </c>
      <c r="EE572" s="150">
        <f>31+56</f>
        <v>87</v>
      </c>
      <c r="EF572" s="72">
        <f t="shared" si="2751"/>
        <v>-25</v>
      </c>
      <c r="EG572" s="150">
        <f>-58-160</f>
        <v>-218</v>
      </c>
      <c r="EH572" s="72">
        <f t="shared" si="2752"/>
        <v>81.666666666666657</v>
      </c>
      <c r="EI572" s="150">
        <f>34+6</f>
        <v>40</v>
      </c>
      <c r="EJ572" s="72" t="str">
        <f t="shared" si="2753"/>
        <v>NM</v>
      </c>
      <c r="EK572" s="150">
        <f>-18+35</f>
        <v>17</v>
      </c>
      <c r="EL572" s="72" t="str">
        <f t="shared" si="2754"/>
        <v>NM</v>
      </c>
      <c r="EM572" s="150">
        <f>33+10</f>
        <v>43</v>
      </c>
      <c r="EN572" s="72" t="str">
        <f t="shared" si="2755"/>
        <v>NM</v>
      </c>
      <c r="EO572" s="150">
        <f>-4-13</f>
        <v>-17</v>
      </c>
      <c r="EP572" s="72" t="str">
        <f t="shared" si="2756"/>
        <v>NM</v>
      </c>
      <c r="EQ572" s="150">
        <v>0</v>
      </c>
      <c r="ER572" s="72" t="str">
        <f t="shared" si="2757"/>
        <v>NM</v>
      </c>
      <c r="ES572" s="150">
        <v>0</v>
      </c>
      <c r="ET572" s="72" t="str">
        <f t="shared" si="2758"/>
        <v>NM</v>
      </c>
      <c r="EU572" s="150">
        <v>0</v>
      </c>
      <c r="EV572" s="72" t="str">
        <f t="shared" si="2759"/>
        <v>NM</v>
      </c>
      <c r="EW572" s="150">
        <v>0</v>
      </c>
      <c r="EX572" s="72" t="str">
        <f t="shared" si="2760"/>
        <v>NM</v>
      </c>
      <c r="EY572" s="72"/>
      <c r="EZ572" s="336"/>
      <c r="FA572" s="72"/>
      <c r="FB572" s="150">
        <v>-196</v>
      </c>
      <c r="FC572" s="87"/>
      <c r="FD572" s="144">
        <f>+CM572+CO572+CS572+CQ572</f>
        <v>86</v>
      </c>
      <c r="FE572" s="72" t="str">
        <f t="shared" si="2761"/>
        <v>NM</v>
      </c>
      <c r="FF572" s="144">
        <f>+CO572+CQ572+CU572+CS572</f>
        <v>99</v>
      </c>
      <c r="FG572" s="72">
        <f t="shared" si="2762"/>
        <v>15.116279069767444</v>
      </c>
      <c r="FH572" s="144">
        <f>+CQ572+CS572+CW572+CU572</f>
        <v>121</v>
      </c>
      <c r="FI572" s="72">
        <f t="shared" si="2763"/>
        <v>22.222222222222229</v>
      </c>
      <c r="FJ572" s="144">
        <f>+CS572+CU572+CY572+CW572</f>
        <v>-609</v>
      </c>
      <c r="FK572" s="72" t="str">
        <f t="shared" si="2764"/>
        <v>NM</v>
      </c>
      <c r="FL572" s="144">
        <f>+CU572+CW572+DA572+CY572</f>
        <v>-612</v>
      </c>
      <c r="FM572" s="72">
        <f t="shared" si="2765"/>
        <v>0.49261083743843415</v>
      </c>
      <c r="FN572" s="144">
        <f>+CW572+CY572+DC572+DA572</f>
        <v>-587</v>
      </c>
      <c r="FO572" s="72">
        <f t="shared" si="2766"/>
        <v>-4.0849673202614412</v>
      </c>
      <c r="FP572" s="144">
        <f>+CY572+DA572+DE572+DC572</f>
        <v>-693</v>
      </c>
      <c r="FQ572" s="72">
        <f t="shared" si="2767"/>
        <v>18.057921635434411</v>
      </c>
      <c r="FR572" s="144">
        <f>+DA572+DC572+DG572+DE572</f>
        <v>37</v>
      </c>
      <c r="FS572" s="72" t="str">
        <f t="shared" si="2768"/>
        <v>NM</v>
      </c>
      <c r="FT572" s="144">
        <f>+DC572+DE572+DI572+DG572</f>
        <v>29</v>
      </c>
      <c r="FU572" s="72">
        <f t="shared" si="2769"/>
        <v>-21.621621621621628</v>
      </c>
      <c r="FV572" s="144">
        <f>+DE572+DG572+DK572+DI572</f>
        <v>73</v>
      </c>
      <c r="FW572" s="72" t="str">
        <f t="shared" si="2770"/>
        <v>NM</v>
      </c>
      <c r="FX572" s="144">
        <f>+DG572+DI572+DM572+DK572</f>
        <v>204</v>
      </c>
      <c r="FY572" s="72" t="str">
        <f t="shared" si="2771"/>
        <v>NM</v>
      </c>
      <c r="FZ572" s="144">
        <f>+DI572+DK572+DO572+DM572</f>
        <v>154</v>
      </c>
      <c r="GA572" s="72">
        <f t="shared" si="2772"/>
        <v>-24.509803921568633</v>
      </c>
      <c r="GB572" s="144">
        <f>+DK572+DM572+DQ572+DO572</f>
        <v>167</v>
      </c>
      <c r="GC572" s="72">
        <f t="shared" si="2773"/>
        <v>8.4415584415584561</v>
      </c>
      <c r="GD572" s="144">
        <f>+DM572+DO572+DS572+DQ572</f>
        <v>147</v>
      </c>
      <c r="GE572" s="72">
        <f t="shared" si="2773"/>
        <v>-11.976047904191617</v>
      </c>
      <c r="GF572" s="144">
        <f>+DO572+DQ572+DU572+DS572</f>
        <v>43</v>
      </c>
      <c r="GG572" s="72" t="str">
        <f t="shared" si="2773"/>
        <v>NM</v>
      </c>
      <c r="GH572" s="144">
        <f>+DQ572+DS572+DW572+DU572</f>
        <v>166</v>
      </c>
      <c r="GI572" s="72" t="str">
        <f t="shared" si="2774"/>
        <v>NM</v>
      </c>
      <c r="GJ572" s="144">
        <f>+DS572+DU572+DY572+DW572</f>
        <v>-8</v>
      </c>
      <c r="GK572" s="72" t="str">
        <f t="shared" si="2774"/>
        <v>NM</v>
      </c>
      <c r="GL572" s="144">
        <f>EA572+EC572+EE572+EG572</f>
        <v>-216</v>
      </c>
      <c r="GM572" s="72" t="str">
        <f t="shared" si="2774"/>
        <v>NM</v>
      </c>
      <c r="GN572" s="144">
        <f>EI572+EK572+EM572+EO572</f>
        <v>83</v>
      </c>
      <c r="GO572" s="72" t="str">
        <f t="shared" si="2774"/>
        <v>NM</v>
      </c>
      <c r="GP572" s="144">
        <f>EQ572+ES572+EU572+EW572</f>
        <v>0</v>
      </c>
      <c r="GQ572" s="72" t="str">
        <f t="shared" si="2774"/>
        <v>NM</v>
      </c>
      <c r="GR572" s="150">
        <v>0</v>
      </c>
      <c r="GS572" s="72" t="str">
        <f t="shared" si="2774"/>
        <v>NA</v>
      </c>
      <c r="GT572" s="150">
        <v>0</v>
      </c>
      <c r="GU572" s="72" t="str">
        <f t="shared" si="2774"/>
        <v>NA</v>
      </c>
      <c r="GV572" s="150">
        <v>0</v>
      </c>
      <c r="GW572" s="72" t="str">
        <f t="shared" si="2775"/>
        <v>NA</v>
      </c>
      <c r="GX572" s="150">
        <v>0</v>
      </c>
      <c r="GY572" s="72" t="str">
        <f t="shared" si="2776"/>
        <v>NA</v>
      </c>
      <c r="GZ572" s="72" t="str">
        <f t="shared" si="2777"/>
        <v>NM</v>
      </c>
      <c r="HA572" s="72"/>
      <c r="HB572" s="72"/>
      <c r="HC572"/>
      <c r="HD572"/>
      <c r="HE572"/>
      <c r="HF572"/>
      <c r="HG572"/>
      <c r="HH572"/>
      <c r="HI572" s="2"/>
    </row>
    <row r="573" spans="1:217" s="3" customFormat="1" ht="12.75" customHeight="1" x14ac:dyDescent="0.2">
      <c r="A573" s="3" t="s">
        <v>246</v>
      </c>
      <c r="B573" s="10" t="s">
        <v>535</v>
      </c>
      <c r="C573" s="150">
        <f>FF573-I573-G573-E573</f>
        <v>105</v>
      </c>
      <c r="D573" s="11"/>
      <c r="E573" s="150">
        <v>-39</v>
      </c>
      <c r="F573" s="11"/>
      <c r="G573" s="150">
        <v>-36</v>
      </c>
      <c r="H573" s="11"/>
      <c r="I573" s="150">
        <v>-30</v>
      </c>
      <c r="J573" s="11"/>
      <c r="K573" s="150">
        <v>-45</v>
      </c>
      <c r="L573" s="72" t="str">
        <f t="shared" si="2700"/>
        <v>NM</v>
      </c>
      <c r="M573" s="150">
        <v>-117</v>
      </c>
      <c r="N573" s="72" t="str">
        <f t="shared" si="2701"/>
        <v>NM</v>
      </c>
      <c r="O573" s="150">
        <f>-199-M573-K573</f>
        <v>-37</v>
      </c>
      <c r="P573" s="72">
        <f t="shared" si="2702"/>
        <v>2.7777777777777715</v>
      </c>
      <c r="Q573" s="150">
        <v>-389</v>
      </c>
      <c r="R573" s="72" t="str">
        <f t="shared" si="2703"/>
        <v>NM</v>
      </c>
      <c r="S573" s="150">
        <v>0</v>
      </c>
      <c r="T573" s="72" t="str">
        <f t="shared" si="2704"/>
        <v>NM</v>
      </c>
      <c r="U573" s="150">
        <v>0</v>
      </c>
      <c r="V573" s="72" t="str">
        <f t="shared" si="2705"/>
        <v>NM</v>
      </c>
      <c r="W573" s="150">
        <v>0</v>
      </c>
      <c r="X573" s="72" t="str">
        <f t="shared" si="2706"/>
        <v>NM</v>
      </c>
      <c r="Y573" s="150">
        <v>0</v>
      </c>
      <c r="Z573" s="72" t="str">
        <f t="shared" si="2707"/>
        <v>NM</v>
      </c>
      <c r="AA573" s="150">
        <v>0</v>
      </c>
      <c r="AB573" s="72" t="str">
        <f t="shared" si="2708"/>
        <v>NA</v>
      </c>
      <c r="AC573" s="150">
        <v>0</v>
      </c>
      <c r="AD573" s="72" t="str">
        <f t="shared" si="2709"/>
        <v>NA</v>
      </c>
      <c r="AE573" s="150">
        <v>0</v>
      </c>
      <c r="AF573" s="72" t="str">
        <f t="shared" si="2710"/>
        <v>NA</v>
      </c>
      <c r="AG573" s="150">
        <v>0</v>
      </c>
      <c r="AH573" s="72" t="str">
        <f t="shared" si="2711"/>
        <v>NA</v>
      </c>
      <c r="AI573" s="150">
        <v>0</v>
      </c>
      <c r="AJ573" s="72" t="str">
        <f t="shared" si="2712"/>
        <v>NA</v>
      </c>
      <c r="AK573" s="150">
        <v>0</v>
      </c>
      <c r="AL573" s="72" t="str">
        <f t="shared" si="2713"/>
        <v>NA</v>
      </c>
      <c r="AM573" s="150">
        <v>0</v>
      </c>
      <c r="AN573" s="72" t="str">
        <f t="shared" si="2714"/>
        <v>NA</v>
      </c>
      <c r="AO573" s="150">
        <v>0</v>
      </c>
      <c r="AP573" s="72" t="str">
        <f t="shared" si="2715"/>
        <v>NA</v>
      </c>
      <c r="AQ573" s="150">
        <v>0</v>
      </c>
      <c r="AR573" s="72" t="str">
        <f t="shared" si="2716"/>
        <v>NA</v>
      </c>
      <c r="AS573" s="150">
        <v>0</v>
      </c>
      <c r="AT573" s="72" t="str">
        <f t="shared" si="2717"/>
        <v>NA</v>
      </c>
      <c r="AU573" s="150">
        <v>0</v>
      </c>
      <c r="AV573" s="72" t="str">
        <f t="shared" si="2718"/>
        <v>NA</v>
      </c>
      <c r="AW573" s="150">
        <v>0</v>
      </c>
      <c r="AX573" s="72" t="str">
        <f t="shared" si="2719"/>
        <v>NA</v>
      </c>
      <c r="AY573" s="150">
        <v>0</v>
      </c>
      <c r="AZ573" s="72" t="str">
        <f t="shared" si="2720"/>
        <v>NA</v>
      </c>
      <c r="BA573" s="150">
        <v>0</v>
      </c>
      <c r="BB573" s="72" t="str">
        <f t="shared" si="2721"/>
        <v>NA</v>
      </c>
      <c r="BC573" s="150">
        <v>0</v>
      </c>
      <c r="BD573" s="72" t="str">
        <f t="shared" si="2722"/>
        <v>NA</v>
      </c>
      <c r="BE573" s="150">
        <v>0</v>
      </c>
      <c r="BF573" s="72" t="str">
        <f t="shared" si="2723"/>
        <v>NA</v>
      </c>
      <c r="BG573" s="150">
        <v>0</v>
      </c>
      <c r="BH573" s="72" t="str">
        <f t="shared" si="2724"/>
        <v>NA</v>
      </c>
      <c r="BI573" s="150">
        <v>0</v>
      </c>
      <c r="BJ573" s="72" t="str">
        <f t="shared" si="2725"/>
        <v>NA</v>
      </c>
      <c r="BK573" s="150">
        <v>0</v>
      </c>
      <c r="BL573" s="72" t="str">
        <f t="shared" si="2726"/>
        <v>NA</v>
      </c>
      <c r="BM573" s="150">
        <v>0</v>
      </c>
      <c r="BN573" s="72" t="str">
        <f t="shared" si="2727"/>
        <v>NA</v>
      </c>
      <c r="BO573" s="150">
        <v>0</v>
      </c>
      <c r="BP573" s="72" t="str">
        <f t="shared" si="2728"/>
        <v>NA</v>
      </c>
      <c r="BQ573" s="150">
        <v>0</v>
      </c>
      <c r="BR573" s="72" t="str">
        <f t="shared" si="2729"/>
        <v>NA</v>
      </c>
      <c r="BS573" s="150">
        <v>0</v>
      </c>
      <c r="BT573" s="72" t="str">
        <f t="shared" si="2730"/>
        <v>NA</v>
      </c>
      <c r="BU573" s="150">
        <v>0</v>
      </c>
      <c r="BV573" s="72" t="str">
        <f t="shared" si="2731"/>
        <v>NA</v>
      </c>
      <c r="BW573" s="150">
        <v>0</v>
      </c>
      <c r="BX573" s="72" t="str">
        <f t="shared" si="2732"/>
        <v>NA</v>
      </c>
      <c r="BY573" s="150">
        <v>0</v>
      </c>
      <c r="BZ573" s="72" t="str">
        <f t="shared" si="2733"/>
        <v>NA</v>
      </c>
      <c r="CA573" s="150">
        <v>0</v>
      </c>
      <c r="CB573" s="72" t="str">
        <f t="shared" si="2734"/>
        <v>NA</v>
      </c>
      <c r="CC573" s="150">
        <v>0</v>
      </c>
      <c r="CD573" s="72" t="str">
        <f t="shared" si="2735"/>
        <v>NA</v>
      </c>
      <c r="CE573" s="150">
        <v>0</v>
      </c>
      <c r="CF573" s="72" t="str">
        <f t="shared" si="2736"/>
        <v>NA</v>
      </c>
      <c r="CG573" s="150">
        <v>0</v>
      </c>
      <c r="CH573" s="72" t="str">
        <f t="shared" si="2737"/>
        <v>NA</v>
      </c>
      <c r="CI573" s="150">
        <v>0</v>
      </c>
      <c r="CJ573" s="72" t="str">
        <f t="shared" si="2738"/>
        <v>NA</v>
      </c>
      <c r="CK573" s="150">
        <v>0</v>
      </c>
      <c r="CL573" s="72" t="str">
        <f t="shared" si="2738"/>
        <v>NA</v>
      </c>
      <c r="CM573" s="150">
        <v>0</v>
      </c>
      <c r="CN573" s="72" t="str">
        <f t="shared" si="2738"/>
        <v>NA</v>
      </c>
      <c r="CO573" s="150">
        <v>0</v>
      </c>
      <c r="CP573" s="72" t="str">
        <f t="shared" si="2738"/>
        <v>NA</v>
      </c>
      <c r="CQ573" s="150">
        <v>0</v>
      </c>
      <c r="CR573" s="72" t="str">
        <f t="shared" si="2738"/>
        <v>NA</v>
      </c>
      <c r="CS573" s="150">
        <v>0</v>
      </c>
      <c r="CT573" s="72" t="str">
        <f t="shared" si="2738"/>
        <v>NA</v>
      </c>
      <c r="CU573" s="373">
        <v>0</v>
      </c>
      <c r="CV573" s="374" t="str">
        <f t="shared" si="2739"/>
        <v>NA</v>
      </c>
      <c r="CW573" s="373">
        <v>0</v>
      </c>
      <c r="CX573" s="374" t="str">
        <f t="shared" si="2740"/>
        <v>NA</v>
      </c>
      <c r="CY573" s="373">
        <v>0</v>
      </c>
      <c r="CZ573" s="72" t="str">
        <f t="shared" si="2741"/>
        <v>NA</v>
      </c>
      <c r="DA573" s="150">
        <v>0</v>
      </c>
      <c r="DB573" s="72" t="str">
        <f t="shared" si="2742"/>
        <v>NA</v>
      </c>
      <c r="DC573" s="150">
        <v>0</v>
      </c>
      <c r="DD573" s="72" t="str">
        <f t="shared" si="2743"/>
        <v>NA</v>
      </c>
      <c r="DE573" s="150">
        <v>0</v>
      </c>
      <c r="DF573" s="72" t="str">
        <f t="shared" si="2744"/>
        <v>NA</v>
      </c>
      <c r="DG573" s="150">
        <v>0</v>
      </c>
      <c r="DH573" s="72" t="str">
        <f t="shared" si="2745"/>
        <v>NA</v>
      </c>
      <c r="DI573" s="150">
        <v>0</v>
      </c>
      <c r="DJ573" s="72" t="str">
        <f t="shared" si="2746"/>
        <v>NA</v>
      </c>
      <c r="DK573" s="150">
        <v>0</v>
      </c>
      <c r="DL573" s="72" t="str">
        <f t="shared" si="2747"/>
        <v>NA</v>
      </c>
      <c r="DM573" s="150">
        <v>0</v>
      </c>
      <c r="DN573" s="72" t="str">
        <f t="shared" si="2748"/>
        <v>NA</v>
      </c>
      <c r="DO573" s="150">
        <v>0</v>
      </c>
      <c r="DP573" s="72" t="str">
        <f t="shared" si="2748"/>
        <v>NA</v>
      </c>
      <c r="DQ573" s="150">
        <v>0</v>
      </c>
      <c r="DR573" s="72" t="str">
        <f t="shared" si="2748"/>
        <v>NA</v>
      </c>
      <c r="DS573" s="150">
        <v>0</v>
      </c>
      <c r="DT573" s="72" t="str">
        <f t="shared" si="2748"/>
        <v>NA</v>
      </c>
      <c r="DU573" s="150">
        <v>0</v>
      </c>
      <c r="DV573" s="72" t="str">
        <f t="shared" si="2748"/>
        <v>NA</v>
      </c>
      <c r="DW573" s="150">
        <v>0</v>
      </c>
      <c r="DX573" s="72" t="str">
        <f t="shared" si="2748"/>
        <v>NA</v>
      </c>
      <c r="DY573" s="150">
        <v>0</v>
      </c>
      <c r="DZ573" s="72" t="str">
        <f t="shared" si="2748"/>
        <v>NA</v>
      </c>
      <c r="EA573" s="150">
        <v>0</v>
      </c>
      <c r="EB573" s="72" t="str">
        <f t="shared" si="2749"/>
        <v>NA</v>
      </c>
      <c r="EC573" s="150">
        <v>0</v>
      </c>
      <c r="ED573" s="72" t="str">
        <f t="shared" si="2750"/>
        <v>NA</v>
      </c>
      <c r="EE573" s="150">
        <v>0</v>
      </c>
      <c r="EF573" s="72" t="str">
        <f t="shared" si="2751"/>
        <v>NA</v>
      </c>
      <c r="EG573" s="150">
        <v>0</v>
      </c>
      <c r="EH573" s="72" t="str">
        <f t="shared" si="2752"/>
        <v>NA</v>
      </c>
      <c r="EI573" s="150">
        <v>0</v>
      </c>
      <c r="EJ573" s="72" t="str">
        <f t="shared" si="2753"/>
        <v>NA</v>
      </c>
      <c r="EK573" s="150">
        <v>0</v>
      </c>
      <c r="EL573" s="72" t="str">
        <f t="shared" si="2754"/>
        <v>NA</v>
      </c>
      <c r="EM573" s="150">
        <v>0</v>
      </c>
      <c r="EN573" s="72" t="str">
        <f t="shared" si="2755"/>
        <v>NA</v>
      </c>
      <c r="EO573" s="150">
        <v>0</v>
      </c>
      <c r="EP573" s="72" t="str">
        <f t="shared" si="2756"/>
        <v>NA</v>
      </c>
      <c r="EQ573" s="150">
        <v>0</v>
      </c>
      <c r="ER573" s="72" t="str">
        <f t="shared" si="2757"/>
        <v>NA</v>
      </c>
      <c r="ES573" s="150">
        <v>0</v>
      </c>
      <c r="ET573" s="72" t="str">
        <f t="shared" si="2758"/>
        <v>NA</v>
      </c>
      <c r="EU573" s="150">
        <v>0</v>
      </c>
      <c r="EV573" s="72" t="str">
        <f t="shared" si="2759"/>
        <v>NA</v>
      </c>
      <c r="EW573" s="150">
        <v>0</v>
      </c>
      <c r="EX573" s="72" t="str">
        <f t="shared" si="2760"/>
        <v>NA</v>
      </c>
      <c r="EY573" s="72"/>
      <c r="EZ573" s="336"/>
      <c r="FA573" s="72"/>
      <c r="FB573" s="150">
        <v>-24</v>
      </c>
      <c r="FC573" s="87"/>
      <c r="FD573" s="144">
        <f>+CM573+CO573+CS573+CQ573</f>
        <v>0</v>
      </c>
      <c r="FE573" s="72" t="str">
        <f t="shared" si="2761"/>
        <v>NM</v>
      </c>
      <c r="FF573" s="144">
        <f>+CO573+CQ573+CU573+CS573</f>
        <v>0</v>
      </c>
      <c r="FG573" s="72" t="str">
        <f t="shared" si="2762"/>
        <v>NA</v>
      </c>
      <c r="FH573" s="144">
        <f>+CQ573+CS573+CW573+CU573</f>
        <v>0</v>
      </c>
      <c r="FI573" s="72" t="str">
        <f t="shared" si="2763"/>
        <v>NA</v>
      </c>
      <c r="FJ573" s="144">
        <f>+CS573+CU573+CY573+CW573</f>
        <v>0</v>
      </c>
      <c r="FK573" s="72" t="str">
        <f t="shared" si="2764"/>
        <v>NA</v>
      </c>
      <c r="FL573" s="144">
        <f>+CU573+CW573+DA573+CY573</f>
        <v>0</v>
      </c>
      <c r="FM573" s="72" t="str">
        <f t="shared" si="2765"/>
        <v>NA</v>
      </c>
      <c r="FN573" s="144">
        <f>+CW573+CY573+DC573+DA573</f>
        <v>0</v>
      </c>
      <c r="FO573" s="72" t="str">
        <f t="shared" si="2766"/>
        <v>NA</v>
      </c>
      <c r="FP573" s="144">
        <f>+CY573+DA573+DE573+DC573</f>
        <v>0</v>
      </c>
      <c r="FQ573" s="72" t="str">
        <f t="shared" si="2767"/>
        <v>NA</v>
      </c>
      <c r="FR573" s="144">
        <f>+DA573+DC573+DG573+DE573</f>
        <v>0</v>
      </c>
      <c r="FS573" s="72" t="str">
        <f t="shared" si="2768"/>
        <v>NA</v>
      </c>
      <c r="FT573" s="144">
        <f>+DC573+DE573+DI573+DG573</f>
        <v>0</v>
      </c>
      <c r="FU573" s="72" t="str">
        <f t="shared" si="2769"/>
        <v>NA</v>
      </c>
      <c r="FV573" s="144">
        <f>+DE573+DG573+DK573+DI573</f>
        <v>0</v>
      </c>
      <c r="FW573" s="72" t="str">
        <f t="shared" si="2770"/>
        <v>NA</v>
      </c>
      <c r="FX573" s="144">
        <f>+DG573+DI573+DM573+DK573</f>
        <v>0</v>
      </c>
      <c r="FY573" s="72" t="str">
        <f t="shared" si="2771"/>
        <v>NA</v>
      </c>
      <c r="FZ573" s="144">
        <f>+DI573+DK573+DO573+DM573</f>
        <v>0</v>
      </c>
      <c r="GA573" s="72" t="str">
        <f t="shared" si="2772"/>
        <v>NA</v>
      </c>
      <c r="GB573" s="144">
        <f>+DK573+DM573+DQ573+DO573</f>
        <v>0</v>
      </c>
      <c r="GC573" s="72" t="str">
        <f t="shared" si="2773"/>
        <v>NA</v>
      </c>
      <c r="GD573" s="144">
        <f>+DM573+DO573+DS573+DQ573</f>
        <v>0</v>
      </c>
      <c r="GE573" s="72" t="str">
        <f t="shared" si="2773"/>
        <v>NA</v>
      </c>
      <c r="GF573" s="144">
        <f>+DO573+DQ573+DU573+DS573</f>
        <v>0</v>
      </c>
      <c r="GG573" s="72" t="str">
        <f t="shared" si="2773"/>
        <v>NA</v>
      </c>
      <c r="GH573" s="144">
        <f>+DQ573+DS573+DW573+DU573</f>
        <v>0</v>
      </c>
      <c r="GI573" s="72" t="str">
        <f t="shared" si="2774"/>
        <v>NA</v>
      </c>
      <c r="GJ573" s="144">
        <f>+DS573+DU573+DY573+DW573</f>
        <v>0</v>
      </c>
      <c r="GK573" s="72" t="str">
        <f t="shared" si="2774"/>
        <v>NA</v>
      </c>
      <c r="GL573" s="144">
        <f>EA573+EC573+EE573+EG573</f>
        <v>0</v>
      </c>
      <c r="GM573" s="72" t="str">
        <f t="shared" si="2774"/>
        <v>NA</v>
      </c>
      <c r="GN573" s="144">
        <f>EI573+EK573+EM573+EO573</f>
        <v>0</v>
      </c>
      <c r="GO573" s="72" t="str">
        <f t="shared" si="2774"/>
        <v>NA</v>
      </c>
      <c r="GP573" s="144">
        <f>EQ573+ES573+EU573+EW573</f>
        <v>0</v>
      </c>
      <c r="GQ573" s="72" t="str">
        <f t="shared" si="2774"/>
        <v>NA</v>
      </c>
      <c r="GR573" s="150">
        <v>0</v>
      </c>
      <c r="GS573" s="72" t="str">
        <f t="shared" si="2774"/>
        <v>NA</v>
      </c>
      <c r="GT573" s="150">
        <v>0</v>
      </c>
      <c r="GU573" s="72" t="str">
        <f t="shared" si="2774"/>
        <v>NA</v>
      </c>
      <c r="GV573" s="150">
        <v>0</v>
      </c>
      <c r="GW573" s="72" t="str">
        <f t="shared" si="2775"/>
        <v>NA</v>
      </c>
      <c r="GX573" s="150">
        <v>0</v>
      </c>
      <c r="GY573" s="72" t="str">
        <f t="shared" si="2776"/>
        <v>NA</v>
      </c>
      <c r="GZ573" s="72" t="str">
        <f t="shared" si="2777"/>
        <v>NA</v>
      </c>
      <c r="HA573" s="72"/>
      <c r="HB573" s="72"/>
      <c r="HC573"/>
      <c r="HD573"/>
      <c r="HE573"/>
      <c r="HF573"/>
      <c r="HG573"/>
      <c r="HH573"/>
      <c r="HI573" s="2"/>
    </row>
    <row r="574" spans="1:217" s="3" customFormat="1" ht="12.75" customHeight="1" x14ac:dyDescent="0.2">
      <c r="B574" s="10" t="s">
        <v>401</v>
      </c>
      <c r="C574" s="150"/>
      <c r="D574" s="11"/>
      <c r="E574" s="150"/>
      <c r="F574" s="11"/>
      <c r="G574" s="150"/>
      <c r="H574" s="11"/>
      <c r="I574" s="150"/>
      <c r="J574" s="11"/>
      <c r="K574" s="150">
        <v>0</v>
      </c>
      <c r="L574" s="72" t="str">
        <f>IF(ISERROR(K574/C574),"NA",IF(OR(K574/C574&gt;2,K574/C574&lt;0.5),"NM",K574/C574*100-100))</f>
        <v>NA</v>
      </c>
      <c r="M574" s="150">
        <v>0</v>
      </c>
      <c r="N574" s="72" t="str">
        <f>IF(ISERROR(M574/E574),"NA",IF(OR(M574/E574&gt;2,M574/E574&lt;0.5),"NM",M574/E574*100-100))</f>
        <v>NA</v>
      </c>
      <c r="O574" s="150">
        <v>0</v>
      </c>
      <c r="P574" s="72" t="str">
        <f>IF(ISERROR(O574/G574),"NA",IF(OR(O574/G574&gt;2,O574/G574&lt;0.5),"NM",O574/G574*100-100))</f>
        <v>NA</v>
      </c>
      <c r="Q574" s="150">
        <v>0</v>
      </c>
      <c r="R574" s="72" t="str">
        <f t="shared" si="2703"/>
        <v>NA</v>
      </c>
      <c r="S574" s="150">
        <v>0</v>
      </c>
      <c r="T574" s="72" t="str">
        <f t="shared" si="2704"/>
        <v>NA</v>
      </c>
      <c r="U574" s="150">
        <v>0</v>
      </c>
      <c r="V574" s="72" t="str">
        <f t="shared" si="2705"/>
        <v>NA</v>
      </c>
      <c r="W574" s="150">
        <v>0</v>
      </c>
      <c r="X574" s="72" t="str">
        <f t="shared" si="2706"/>
        <v>NA</v>
      </c>
      <c r="Y574" s="150">
        <v>0</v>
      </c>
      <c r="Z574" s="72" t="str">
        <f t="shared" si="2707"/>
        <v>NA</v>
      </c>
      <c r="AA574" s="150">
        <v>0</v>
      </c>
      <c r="AB574" s="72" t="str">
        <f t="shared" si="2708"/>
        <v>NA</v>
      </c>
      <c r="AC574" s="150">
        <v>0</v>
      </c>
      <c r="AD574" s="72" t="str">
        <f t="shared" si="2709"/>
        <v>NA</v>
      </c>
      <c r="AE574" s="150">
        <v>0</v>
      </c>
      <c r="AF574" s="72" t="str">
        <f t="shared" si="2710"/>
        <v>NA</v>
      </c>
      <c r="AG574" s="150">
        <v>0</v>
      </c>
      <c r="AH574" s="72" t="str">
        <f t="shared" si="2711"/>
        <v>NA</v>
      </c>
      <c r="AI574" s="150">
        <v>0</v>
      </c>
      <c r="AJ574" s="72" t="str">
        <f t="shared" si="2712"/>
        <v>NA</v>
      </c>
      <c r="AK574" s="150">
        <f>183-322</f>
        <v>-139</v>
      </c>
      <c r="AL574" s="72" t="str">
        <f t="shared" si="2713"/>
        <v>NA</v>
      </c>
      <c r="AM574" s="150">
        <f>-100+208</f>
        <v>108</v>
      </c>
      <c r="AN574" s="72" t="str">
        <f t="shared" si="2714"/>
        <v>NA</v>
      </c>
      <c r="AO574" s="150">
        <v>-39</v>
      </c>
      <c r="AP574" s="72" t="str">
        <f t="shared" si="2715"/>
        <v>NA</v>
      </c>
      <c r="AQ574" s="150">
        <f>86-130</f>
        <v>-44</v>
      </c>
      <c r="AR574" s="72" t="str">
        <f t="shared" si="2716"/>
        <v>NA</v>
      </c>
      <c r="AS574" s="150">
        <v>-145</v>
      </c>
      <c r="AT574" s="72">
        <f t="shared" si="2717"/>
        <v>4.3165467625899225</v>
      </c>
      <c r="AU574" s="150">
        <v>47</v>
      </c>
      <c r="AV574" s="72" t="str">
        <f t="shared" si="2718"/>
        <v>NM</v>
      </c>
      <c r="AW574" s="150">
        <v>-34</v>
      </c>
      <c r="AX574" s="72">
        <f t="shared" si="2719"/>
        <v>-12.820512820512818</v>
      </c>
      <c r="AY574" s="150">
        <v>66</v>
      </c>
      <c r="AZ574" s="72" t="str">
        <f t="shared" si="2720"/>
        <v>NM</v>
      </c>
      <c r="BA574" s="150">
        <v>130</v>
      </c>
      <c r="BB574" s="72" t="str">
        <f t="shared" si="2721"/>
        <v>NM</v>
      </c>
      <c r="BC574" s="150">
        <v>-168</v>
      </c>
      <c r="BD574" s="72" t="str">
        <f t="shared" si="2722"/>
        <v>NM</v>
      </c>
      <c r="BE574" s="150">
        <f>-17-99</f>
        <v>-116</v>
      </c>
      <c r="BF574" s="72" t="str">
        <f t="shared" si="2723"/>
        <v>NM</v>
      </c>
      <c r="BG574" s="150">
        <f>72-100</f>
        <v>-28</v>
      </c>
      <c r="BH574" s="72" t="str">
        <f t="shared" si="2724"/>
        <v>NM</v>
      </c>
      <c r="BI574" s="150">
        <f>-6-103</f>
        <v>-109</v>
      </c>
      <c r="BJ574" s="72" t="str">
        <f t="shared" si="2725"/>
        <v>NM</v>
      </c>
      <c r="BK574" s="150">
        <f>-6-103</f>
        <v>-109</v>
      </c>
      <c r="BL574" s="72">
        <f t="shared" si="2726"/>
        <v>-35.11904761904762</v>
      </c>
      <c r="BM574" s="150">
        <f>9-77</f>
        <v>-68</v>
      </c>
      <c r="BN574" s="72">
        <f t="shared" si="2727"/>
        <v>-41.379310344827594</v>
      </c>
      <c r="BO574" s="150">
        <f>200-36</f>
        <v>164</v>
      </c>
      <c r="BP574" s="72" t="str">
        <f t="shared" si="2728"/>
        <v>NM</v>
      </c>
      <c r="BQ574" s="150">
        <f>94-32</f>
        <v>62</v>
      </c>
      <c r="BR574" s="72" t="str">
        <f t="shared" si="2729"/>
        <v>NM</v>
      </c>
      <c r="BS574" s="150">
        <f>388+213</f>
        <v>601</v>
      </c>
      <c r="BT574" s="72" t="str">
        <f t="shared" si="2730"/>
        <v>NM</v>
      </c>
      <c r="BU574" s="150">
        <f>481+509</f>
        <v>990</v>
      </c>
      <c r="BV574" s="72" t="str">
        <f t="shared" si="2731"/>
        <v>NM</v>
      </c>
      <c r="BW574" s="150">
        <f>-45+3</f>
        <v>-42</v>
      </c>
      <c r="BX574" s="72" t="str">
        <f t="shared" si="2732"/>
        <v>NM</v>
      </c>
      <c r="BY574" s="150">
        <f>-347+14</f>
        <v>-333</v>
      </c>
      <c r="BZ574" s="72" t="str">
        <f t="shared" si="2733"/>
        <v>NM</v>
      </c>
      <c r="CA574" s="150">
        <f>-458-92</f>
        <v>-550</v>
      </c>
      <c r="CB574" s="72" t="str">
        <f t="shared" si="2734"/>
        <v>NM</v>
      </c>
      <c r="CC574" s="150">
        <f>-2289-49</f>
        <v>-2338</v>
      </c>
      <c r="CD574" s="72" t="str">
        <f t="shared" si="2735"/>
        <v>NM</v>
      </c>
      <c r="CE574" s="150">
        <f>-320-35</f>
        <v>-355</v>
      </c>
      <c r="CF574" s="72" t="str">
        <f t="shared" si="2736"/>
        <v>NM</v>
      </c>
      <c r="CG574" s="150">
        <f>-144+18</f>
        <v>-126</v>
      </c>
      <c r="CH574" s="72" t="str">
        <f t="shared" si="2737"/>
        <v>NM</v>
      </c>
      <c r="CI574" s="150">
        <f>-367-17</f>
        <v>-384</v>
      </c>
      <c r="CJ574" s="72">
        <f t="shared" si="2738"/>
        <v>-30.181818181818173</v>
      </c>
      <c r="CK574" s="150">
        <f>200-61</f>
        <v>139</v>
      </c>
      <c r="CL574" s="72" t="str">
        <f t="shared" si="2738"/>
        <v>NM</v>
      </c>
      <c r="CM574" s="150">
        <f>34-133</f>
        <v>-99</v>
      </c>
      <c r="CN574" s="72" t="str">
        <f t="shared" si="2738"/>
        <v>NM</v>
      </c>
      <c r="CO574" s="150">
        <f>-178+19</f>
        <v>-159</v>
      </c>
      <c r="CP574" s="72">
        <f t="shared" si="2738"/>
        <v>26.19047619047619</v>
      </c>
      <c r="CQ574" s="150">
        <f>68-87</f>
        <v>-19</v>
      </c>
      <c r="CR574" s="72" t="str">
        <f t="shared" si="2738"/>
        <v>NM</v>
      </c>
      <c r="CS574" s="150">
        <f>-47+12</f>
        <v>-35</v>
      </c>
      <c r="CT574" s="72" t="str">
        <f t="shared" si="2738"/>
        <v>NM</v>
      </c>
      <c r="CU574" s="373">
        <f>-246+5</f>
        <v>-241</v>
      </c>
      <c r="CV574" s="374" t="str">
        <f t="shared" si="2739"/>
        <v>NM</v>
      </c>
      <c r="CW574" s="373">
        <f>54+8</f>
        <v>62</v>
      </c>
      <c r="CX574" s="374" t="str">
        <f t="shared" si="2740"/>
        <v>NM</v>
      </c>
      <c r="CY574" s="373">
        <f>-254-40</f>
        <v>-294</v>
      </c>
      <c r="CZ574" s="72" t="str">
        <f t="shared" si="2741"/>
        <v>NM</v>
      </c>
      <c r="DA574" s="150">
        <f>-94+16</f>
        <v>-78</v>
      </c>
      <c r="DB574" s="72" t="str">
        <f t="shared" si="2742"/>
        <v>NM</v>
      </c>
      <c r="DC574" s="150">
        <f>-143-34</f>
        <v>-177</v>
      </c>
      <c r="DD574" s="72">
        <f t="shared" si="2743"/>
        <v>-26.556016597510364</v>
      </c>
      <c r="DE574" s="150">
        <f>471+24</f>
        <v>495</v>
      </c>
      <c r="DF574" s="72" t="str">
        <f t="shared" si="2744"/>
        <v>NM</v>
      </c>
      <c r="DG574" s="150">
        <f>-73+11</f>
        <v>-62</v>
      </c>
      <c r="DH574" s="72" t="str">
        <f t="shared" si="2745"/>
        <v>NM</v>
      </c>
      <c r="DI574" s="150">
        <f>-28+27</f>
        <v>-1</v>
      </c>
      <c r="DJ574" s="72" t="str">
        <f t="shared" si="2746"/>
        <v>NM</v>
      </c>
      <c r="DK574" s="150">
        <f>-43+11</f>
        <v>-32</v>
      </c>
      <c r="DL574" s="72" t="str">
        <f t="shared" si="2747"/>
        <v>NM</v>
      </c>
      <c r="DM574" s="150">
        <f>-189+18</f>
        <v>-171</v>
      </c>
      <c r="DN574" s="72" t="str">
        <f t="shared" si="2748"/>
        <v>NM</v>
      </c>
      <c r="DO574" s="150">
        <f>93+8</f>
        <v>101</v>
      </c>
      <c r="DP574" s="72" t="str">
        <f t="shared" si="2748"/>
        <v>NM</v>
      </c>
      <c r="DQ574" s="150">
        <f>-155+7</f>
        <v>-148</v>
      </c>
      <c r="DR574" s="72" t="str">
        <f t="shared" si="2748"/>
        <v>NM</v>
      </c>
      <c r="DS574" s="150">
        <f>-197+13</f>
        <v>-184</v>
      </c>
      <c r="DT574" s="72" t="str">
        <f t="shared" si="2748"/>
        <v>NM</v>
      </c>
      <c r="DU574" s="150">
        <f>234+45</f>
        <v>279</v>
      </c>
      <c r="DV574" s="72" t="str">
        <f t="shared" si="2748"/>
        <v>NM</v>
      </c>
      <c r="DW574" s="150">
        <f>258+2</f>
        <v>260</v>
      </c>
      <c r="DX574" s="72" t="str">
        <f t="shared" si="2748"/>
        <v>NM</v>
      </c>
      <c r="DY574" s="150">
        <f>138-2</f>
        <v>136</v>
      </c>
      <c r="DZ574" s="72" t="str">
        <f t="shared" si="2748"/>
        <v>NM</v>
      </c>
      <c r="EA574" s="150">
        <f>-130+25</f>
        <v>-105</v>
      </c>
      <c r="EB574" s="72">
        <f t="shared" si="2749"/>
        <v>-42.934782608695656</v>
      </c>
      <c r="EC574" s="150">
        <f>-133-8</f>
        <v>-141</v>
      </c>
      <c r="ED574" s="72" t="str">
        <f t="shared" si="2750"/>
        <v>NM</v>
      </c>
      <c r="EE574" s="150">
        <f>1-17</f>
        <v>-16</v>
      </c>
      <c r="EF574" s="72" t="str">
        <f t="shared" si="2751"/>
        <v>NM</v>
      </c>
      <c r="EG574" s="150">
        <f>283-5</f>
        <v>278</v>
      </c>
      <c r="EH574" s="72" t="str">
        <f t="shared" si="2752"/>
        <v>NM</v>
      </c>
      <c r="EI574" s="150">
        <f>-12-28</f>
        <v>-40</v>
      </c>
      <c r="EJ574" s="72" t="str">
        <f t="shared" si="2753"/>
        <v>NM</v>
      </c>
      <c r="EK574" s="150">
        <f>-145-14</f>
        <v>-159</v>
      </c>
      <c r="EL574" s="72">
        <f t="shared" si="2754"/>
        <v>12.7659574468085</v>
      </c>
      <c r="EM574" s="150">
        <f>-31-24</f>
        <v>-55</v>
      </c>
      <c r="EN574" s="72" t="str">
        <f t="shared" si="2755"/>
        <v>NM</v>
      </c>
      <c r="EO574" s="150">
        <f>37+99</f>
        <v>136</v>
      </c>
      <c r="EP574" s="72" t="str">
        <f t="shared" si="2756"/>
        <v>NM</v>
      </c>
      <c r="EQ574" s="150">
        <f t="shared" ref="EQ574" si="2778">EO574</f>
        <v>136</v>
      </c>
      <c r="ER574" s="72" t="str">
        <f t="shared" si="2757"/>
        <v>NM</v>
      </c>
      <c r="ES574" s="150">
        <f t="shared" ref="ES574" si="2779">EQ574</f>
        <v>136</v>
      </c>
      <c r="ET574" s="72" t="str">
        <f t="shared" si="2758"/>
        <v>NM</v>
      </c>
      <c r="EU574" s="150">
        <f t="shared" ref="EU574" si="2780">ES574</f>
        <v>136</v>
      </c>
      <c r="EV574" s="72" t="str">
        <f t="shared" si="2759"/>
        <v>NM</v>
      </c>
      <c r="EW574" s="150">
        <f t="shared" ref="EW574" si="2781">EU574</f>
        <v>136</v>
      </c>
      <c r="EX574" s="72">
        <f t="shared" si="2760"/>
        <v>0</v>
      </c>
      <c r="EY574" s="72"/>
      <c r="EZ574" s="296"/>
      <c r="FA574" s="72"/>
      <c r="FB574" s="150"/>
      <c r="FC574" s="11"/>
      <c r="FD574" s="144">
        <f>+CM574+CO574+CS574+CQ574</f>
        <v>-312</v>
      </c>
      <c r="FE574" s="72" t="str">
        <f t="shared" si="2761"/>
        <v>NA</v>
      </c>
      <c r="FF574" s="144">
        <f>+CO574+CQ574+CU574+CS574</f>
        <v>-454</v>
      </c>
      <c r="FG574" s="72">
        <f t="shared" si="2762"/>
        <v>45.512820512820497</v>
      </c>
      <c r="FH574" s="144">
        <f>+CQ574+CS574+CW574+CU574</f>
        <v>-233</v>
      </c>
      <c r="FI574" s="72">
        <f t="shared" si="2763"/>
        <v>-48.678414096916299</v>
      </c>
      <c r="FJ574" s="144">
        <f>+CS574+CU574+CY574+CW574</f>
        <v>-508</v>
      </c>
      <c r="FK574" s="72" t="str">
        <f t="shared" si="2764"/>
        <v>NM</v>
      </c>
      <c r="FL574" s="144">
        <f>+CU574+CW574+DA574+CY574</f>
        <v>-551</v>
      </c>
      <c r="FM574" s="72">
        <f t="shared" si="2765"/>
        <v>8.4645669291338663</v>
      </c>
      <c r="FN574" s="144">
        <f>+CW574+CY574+DC574+DA574</f>
        <v>-487</v>
      </c>
      <c r="FO574" s="72">
        <f t="shared" si="2766"/>
        <v>-11.615245009074414</v>
      </c>
      <c r="FP574" s="144">
        <f>+CY574+DA574+DE574+DC574</f>
        <v>-54</v>
      </c>
      <c r="FQ574" s="72" t="str">
        <f t="shared" si="2767"/>
        <v>NM</v>
      </c>
      <c r="FR574" s="144">
        <f>+DA574+DC574+DG574+DE574</f>
        <v>178</v>
      </c>
      <c r="FS574" s="72" t="str">
        <f t="shared" si="2768"/>
        <v>NM</v>
      </c>
      <c r="FT574" s="144">
        <f>+DC574+DE574+DI574+DG574</f>
        <v>255</v>
      </c>
      <c r="FU574" s="72">
        <f t="shared" si="2769"/>
        <v>43.258426966292149</v>
      </c>
      <c r="FV574" s="144">
        <f>+DE574+DG574+DK574+DI574</f>
        <v>400</v>
      </c>
      <c r="FW574" s="72">
        <f t="shared" si="2770"/>
        <v>56.862745098039227</v>
      </c>
      <c r="FX574" s="144">
        <f>+DG574+DI574+DM574+DK574</f>
        <v>-266</v>
      </c>
      <c r="FY574" s="72" t="str">
        <f t="shared" si="2771"/>
        <v>NM</v>
      </c>
      <c r="FZ574" s="144">
        <f>+DI574+DK574+DO574+DM574</f>
        <v>-103</v>
      </c>
      <c r="GA574" s="72" t="str">
        <f t="shared" si="2772"/>
        <v>NM</v>
      </c>
      <c r="GB574" s="144">
        <f>+DK574+DM574+DQ574+DO574</f>
        <v>-250</v>
      </c>
      <c r="GC574" s="72" t="str">
        <f t="shared" si="2773"/>
        <v>NM</v>
      </c>
      <c r="GD574" s="144">
        <f>+DM574+DO574+DS574+DQ574</f>
        <v>-402</v>
      </c>
      <c r="GE574" s="72">
        <f t="shared" si="2773"/>
        <v>60.800000000000011</v>
      </c>
      <c r="GF574" s="144">
        <f>+DO574+DQ574+DU574+DS574</f>
        <v>48</v>
      </c>
      <c r="GG574" s="72" t="str">
        <f t="shared" si="2773"/>
        <v>NM</v>
      </c>
      <c r="GH574" s="144">
        <f>+DQ574+DS574+DW574+DU574</f>
        <v>207</v>
      </c>
      <c r="GI574" s="72" t="str">
        <f t="shared" si="2774"/>
        <v>NM</v>
      </c>
      <c r="GJ574" s="144">
        <f>+DS574+DU574+DY574+DW574</f>
        <v>491</v>
      </c>
      <c r="GK574" s="72" t="str">
        <f t="shared" si="2774"/>
        <v>NM</v>
      </c>
      <c r="GL574" s="144">
        <f>EA574+EC574+EE574+EG574</f>
        <v>16</v>
      </c>
      <c r="GM574" s="72" t="str">
        <f t="shared" si="2774"/>
        <v>NM</v>
      </c>
      <c r="GN574" s="144">
        <f>EI574+EK574+EM574+EO574</f>
        <v>-118</v>
      </c>
      <c r="GO574" s="72" t="str">
        <f t="shared" si="2774"/>
        <v>NM</v>
      </c>
      <c r="GP574" s="144">
        <f>EQ574+ES574+EU574+EW574</f>
        <v>544</v>
      </c>
      <c r="GQ574" s="72" t="str">
        <f t="shared" si="2774"/>
        <v>NM</v>
      </c>
      <c r="GR574" s="150">
        <v>0</v>
      </c>
      <c r="GS574" s="72" t="str">
        <f t="shared" si="2774"/>
        <v>NM</v>
      </c>
      <c r="GT574" s="150">
        <v>0</v>
      </c>
      <c r="GU574" s="72" t="str">
        <f t="shared" si="2774"/>
        <v>NA</v>
      </c>
      <c r="GV574" s="150">
        <v>0</v>
      </c>
      <c r="GW574" s="72" t="str">
        <f t="shared" si="2775"/>
        <v>NA</v>
      </c>
      <c r="GX574" s="150">
        <v>0</v>
      </c>
      <c r="GY574" s="72" t="str">
        <f t="shared" si="2776"/>
        <v>NA</v>
      </c>
      <c r="GZ574" s="72" t="str">
        <f t="shared" si="2777"/>
        <v>NM</v>
      </c>
      <c r="HA574" s="72"/>
      <c r="HB574" s="72"/>
      <c r="HC574"/>
      <c r="HD574"/>
      <c r="HE574"/>
      <c r="HF574"/>
      <c r="HG574"/>
      <c r="HH574"/>
      <c r="HI574" s="2"/>
    </row>
    <row r="575" spans="1:217" s="3" customFormat="1" ht="12.75" customHeight="1" x14ac:dyDescent="0.2">
      <c r="B575" s="10" t="s">
        <v>591</v>
      </c>
      <c r="C575" s="145">
        <f>SUM(C570:D574)</f>
        <v>1077</v>
      </c>
      <c r="D575" s="11"/>
      <c r="E575" s="145">
        <f>SUM(E570:F574)</f>
        <v>-59</v>
      </c>
      <c r="F575" s="11"/>
      <c r="G575" s="145">
        <f>SUM(G570:H574)</f>
        <v>-265</v>
      </c>
      <c r="H575" s="11"/>
      <c r="I575" s="145">
        <f>SUM(I570:J574)</f>
        <v>-796</v>
      </c>
      <c r="J575" s="11"/>
      <c r="K575" s="145">
        <f>SUM(K570:L574)</f>
        <v>165.97744360902254</v>
      </c>
      <c r="L575" s="72" t="str">
        <f t="shared" si="2700"/>
        <v>NM</v>
      </c>
      <c r="M575" s="145">
        <f>SUM(M570:N574)</f>
        <v>-14.5</v>
      </c>
      <c r="N575" s="72" t="str">
        <f t="shared" si="2701"/>
        <v>NM</v>
      </c>
      <c r="O575" s="145">
        <f>SUM(O570:P574)</f>
        <v>-351.0683760683761</v>
      </c>
      <c r="P575" s="72">
        <f t="shared" si="2702"/>
        <v>32.478632478632505</v>
      </c>
      <c r="Q575" s="145">
        <f>SUM(Q570:R574)</f>
        <v>-580.16582914572859</v>
      </c>
      <c r="R575" s="72">
        <f t="shared" si="2703"/>
        <v>-27.114845584707453</v>
      </c>
      <c r="S575" s="145">
        <f>SUM(S570:T574)</f>
        <v>-77</v>
      </c>
      <c r="T575" s="72" t="str">
        <f t="shared" si="2704"/>
        <v>NM</v>
      </c>
      <c r="U575" s="145">
        <f>SUM(U570:V574)</f>
        <v>-314</v>
      </c>
      <c r="V575" s="72" t="str">
        <f t="shared" si="2705"/>
        <v>NM</v>
      </c>
      <c r="W575" s="145">
        <f>SUM(W570:X574)</f>
        <v>-156</v>
      </c>
      <c r="X575" s="72" t="str">
        <f t="shared" si="2706"/>
        <v>NM</v>
      </c>
      <c r="Y575" s="145">
        <f>SUM(Y570:Z574)</f>
        <v>-362</v>
      </c>
      <c r="Z575" s="72">
        <f t="shared" si="2707"/>
        <v>-37.604046668341226</v>
      </c>
      <c r="AA575" s="145">
        <f>SUM(AA570:AA574)</f>
        <v>-117</v>
      </c>
      <c r="AB575" s="72">
        <f t="shared" si="2708"/>
        <v>51.948051948051955</v>
      </c>
      <c r="AC575" s="145">
        <f>SUM(AC570:AC574)</f>
        <v>-421</v>
      </c>
      <c r="AD575" s="72">
        <f t="shared" si="2709"/>
        <v>34.076433121019107</v>
      </c>
      <c r="AE575" s="145">
        <f>SUM(AE570:AE574)</f>
        <v>-82</v>
      </c>
      <c r="AF575" s="72">
        <f t="shared" si="2710"/>
        <v>-47.435897435897431</v>
      </c>
      <c r="AG575" s="145">
        <f>SUM(AG570:AG574)</f>
        <v>236</v>
      </c>
      <c r="AH575" s="72" t="str">
        <f t="shared" si="2711"/>
        <v>NM</v>
      </c>
      <c r="AI575" s="145">
        <f>SUM(AI570:AI574)</f>
        <v>-20</v>
      </c>
      <c r="AJ575" s="72" t="str">
        <f t="shared" si="2712"/>
        <v>NM</v>
      </c>
      <c r="AK575" s="145">
        <f>SUM(AK570:AK574)</f>
        <v>1</v>
      </c>
      <c r="AL575" s="72" t="str">
        <f t="shared" si="2713"/>
        <v>NM</v>
      </c>
      <c r="AM575" s="145">
        <f>SUM(AM570:AM574)</f>
        <v>131</v>
      </c>
      <c r="AN575" s="72" t="str">
        <f t="shared" si="2714"/>
        <v>NM</v>
      </c>
      <c r="AO575" s="145">
        <f>SUM(AO570:AO574)</f>
        <v>-179</v>
      </c>
      <c r="AP575" s="72" t="str">
        <f t="shared" si="2715"/>
        <v>NM</v>
      </c>
      <c r="AQ575" s="145">
        <f>SUM(AQ570:AQ574)</f>
        <v>187</v>
      </c>
      <c r="AR575" s="72" t="str">
        <f t="shared" si="2716"/>
        <v>NM</v>
      </c>
      <c r="AS575" s="145">
        <f>SUM(AS570:AS574)</f>
        <v>297</v>
      </c>
      <c r="AT575" s="72" t="str">
        <f t="shared" si="2717"/>
        <v>NM</v>
      </c>
      <c r="AU575" s="145">
        <f>SUM(AU570:AU574)</f>
        <v>25</v>
      </c>
      <c r="AV575" s="72" t="str">
        <f t="shared" si="2718"/>
        <v>NM</v>
      </c>
      <c r="AW575" s="145">
        <f>SUM(AW570:AW574)</f>
        <v>-72</v>
      </c>
      <c r="AX575" s="72" t="str">
        <f t="shared" si="2719"/>
        <v>NM</v>
      </c>
      <c r="AY575" s="145">
        <f>SUM(AY570:AY574)</f>
        <v>11</v>
      </c>
      <c r="AZ575" s="72" t="str">
        <f t="shared" si="2720"/>
        <v>NM</v>
      </c>
      <c r="BA575" s="145">
        <f>SUM(BA570:BA574)</f>
        <v>-338</v>
      </c>
      <c r="BB575" s="72" t="str">
        <f t="shared" si="2721"/>
        <v>NM</v>
      </c>
      <c r="BC575" s="145">
        <f>SUM(BC570:BC574)</f>
        <v>314</v>
      </c>
      <c r="BD575" s="72" t="str">
        <f t="shared" si="2722"/>
        <v>NM</v>
      </c>
      <c r="BE575" s="145">
        <f>SUM(BE570:BE574)</f>
        <v>56</v>
      </c>
      <c r="BF575" s="72" t="str">
        <f t="shared" si="2723"/>
        <v>NM</v>
      </c>
      <c r="BG575" s="145">
        <f>SUM(BG570:BG574)</f>
        <v>-84</v>
      </c>
      <c r="BH575" s="72" t="str">
        <f t="shared" si="2724"/>
        <v>NM</v>
      </c>
      <c r="BI575" s="145">
        <f>SUM(BI570:BI574)</f>
        <v>-280</v>
      </c>
      <c r="BJ575" s="72">
        <f t="shared" si="2725"/>
        <v>-17.15976331360946</v>
      </c>
      <c r="BK575" s="145">
        <f>SUM(BK570:BK574)</f>
        <v>-280</v>
      </c>
      <c r="BL575" s="72" t="str">
        <f t="shared" si="2726"/>
        <v>NM</v>
      </c>
      <c r="BM575" s="145">
        <f>SUM(BM570:BM574)</f>
        <v>-170</v>
      </c>
      <c r="BN575" s="72" t="str">
        <f t="shared" si="2727"/>
        <v>NM</v>
      </c>
      <c r="BO575" s="145">
        <f>SUM(BO570:BO574)</f>
        <v>-854</v>
      </c>
      <c r="BP575" s="72" t="str">
        <f t="shared" si="2728"/>
        <v>NM</v>
      </c>
      <c r="BQ575" s="145">
        <f>SUM(BQ570:BQ574)</f>
        <v>-547</v>
      </c>
      <c r="BR575" s="72">
        <f t="shared" si="2729"/>
        <v>95.357142857142861</v>
      </c>
      <c r="BS575" s="145">
        <f>SUM(BS570:BS574)</f>
        <v>-719</v>
      </c>
      <c r="BT575" s="72" t="str">
        <f t="shared" si="2730"/>
        <v>NM</v>
      </c>
      <c r="BU575" s="145">
        <f>SUM(BU570:BU574)</f>
        <v>-571</v>
      </c>
      <c r="BV575" s="72" t="str">
        <f t="shared" si="2731"/>
        <v>NM</v>
      </c>
      <c r="BW575" s="145">
        <f>SUM(BW570:BW574)</f>
        <v>-284</v>
      </c>
      <c r="BX575" s="72" t="str">
        <f t="shared" si="2732"/>
        <v>NM</v>
      </c>
      <c r="BY575" s="145">
        <f>SUM(BY570:BY574)</f>
        <v>-600</v>
      </c>
      <c r="BZ575" s="72">
        <f t="shared" si="2733"/>
        <v>9.6892138939670929</v>
      </c>
      <c r="CA575" s="145">
        <f>SUM(CA570:CA574)</f>
        <v>-201</v>
      </c>
      <c r="CB575" s="72" t="str">
        <f t="shared" si="2734"/>
        <v>NM</v>
      </c>
      <c r="CC575" s="145">
        <f>SUM(CC570:CC574)</f>
        <v>-154</v>
      </c>
      <c r="CD575" s="72" t="str">
        <f t="shared" si="2735"/>
        <v>NM</v>
      </c>
      <c r="CE575" s="145">
        <f>SUM(CE570:CE574)</f>
        <v>-171</v>
      </c>
      <c r="CF575" s="72">
        <f t="shared" si="2736"/>
        <v>-39.7887323943662</v>
      </c>
      <c r="CG575" s="145">
        <f>SUM(CG570:CG574)</f>
        <v>657</v>
      </c>
      <c r="CH575" s="72" t="str">
        <f t="shared" si="2737"/>
        <v>NM</v>
      </c>
      <c r="CI575" s="145">
        <f>SUM(CI570:CI574)</f>
        <v>277</v>
      </c>
      <c r="CJ575" s="72" t="str">
        <f t="shared" si="2738"/>
        <v>NM</v>
      </c>
      <c r="CK575" s="145">
        <f>SUM(CK570:CK574)</f>
        <v>-1040</v>
      </c>
      <c r="CL575" s="72" t="str">
        <f t="shared" si="2738"/>
        <v>NM</v>
      </c>
      <c r="CM575" s="145">
        <f>SUM(CM570:CM574)</f>
        <v>-500</v>
      </c>
      <c r="CN575" s="72" t="str">
        <f t="shared" si="2738"/>
        <v>NM</v>
      </c>
      <c r="CO575" s="145">
        <f>SUM(CO570:CO574)</f>
        <v>19</v>
      </c>
      <c r="CP575" s="72" t="str">
        <f t="shared" si="2738"/>
        <v>NM</v>
      </c>
      <c r="CQ575" s="145">
        <f>SUM(CQ570:CQ574)</f>
        <v>1851</v>
      </c>
      <c r="CR575" s="72" t="str">
        <f t="shared" si="2738"/>
        <v>NM</v>
      </c>
      <c r="CS575" s="145">
        <f>SUM(CS570:CS574)</f>
        <v>-526</v>
      </c>
      <c r="CT575" s="72">
        <f t="shared" si="2738"/>
        <v>-49.423076923076927</v>
      </c>
      <c r="CU575" s="145">
        <f>SUM(CU570:CU574)</f>
        <v>-1841</v>
      </c>
      <c r="CV575" s="72" t="str">
        <f t="shared" si="2739"/>
        <v>NM</v>
      </c>
      <c r="CW575" s="145">
        <f>SUM(CW570:CW574)</f>
        <v>2118</v>
      </c>
      <c r="CX575" s="72" t="str">
        <f t="shared" si="2740"/>
        <v>NM</v>
      </c>
      <c r="CY575" s="145">
        <f>SUM(CY570:CY574)</f>
        <v>-2020</v>
      </c>
      <c r="CZ575" s="72" t="str">
        <f t="shared" si="2741"/>
        <v>NM</v>
      </c>
      <c r="DA575" s="145">
        <f>SUM(DA570:DA574)</f>
        <v>-1619</v>
      </c>
      <c r="DB575" s="72" t="str">
        <f t="shared" si="2742"/>
        <v>NM</v>
      </c>
      <c r="DC575" s="145">
        <f>SUM(DC570:DC574)</f>
        <v>-3056</v>
      </c>
      <c r="DD575" s="72">
        <f t="shared" si="2743"/>
        <v>65.996740901683864</v>
      </c>
      <c r="DE575" s="145">
        <f>SUM(DE570:DE574)</f>
        <v>-2290</v>
      </c>
      <c r="DF575" s="72" t="str">
        <f t="shared" si="2744"/>
        <v>NM</v>
      </c>
      <c r="DG575" s="145">
        <f>SUM(DG570:DG574)</f>
        <v>-472</v>
      </c>
      <c r="DH575" s="72" t="str">
        <f t="shared" si="2745"/>
        <v>NM</v>
      </c>
      <c r="DI575" s="145">
        <f>SUM(DI570:DI574)</f>
        <v>-2297</v>
      </c>
      <c r="DJ575" s="72">
        <f t="shared" si="2746"/>
        <v>41.877702285361352</v>
      </c>
      <c r="DK575" s="145">
        <f>SUM(DK570:DK574)</f>
        <v>134</v>
      </c>
      <c r="DL575" s="72" t="str">
        <f t="shared" si="2747"/>
        <v>NM</v>
      </c>
      <c r="DM575" s="145">
        <f>SUM(DM570:DM574)</f>
        <v>-172</v>
      </c>
      <c r="DN575" s="72" t="str">
        <f t="shared" si="2748"/>
        <v>NM</v>
      </c>
      <c r="DO575" s="145">
        <f>SUM(DO570:DO574)</f>
        <v>-1169</v>
      </c>
      <c r="DP575" s="72" t="str">
        <f t="shared" si="2748"/>
        <v>NM</v>
      </c>
      <c r="DQ575" s="145">
        <f>SUM(DQ570:DQ574)</f>
        <v>-2667</v>
      </c>
      <c r="DR575" s="72">
        <f t="shared" si="2748"/>
        <v>16.107966913365274</v>
      </c>
      <c r="DS575" s="145">
        <f>SUM(DS570:DS574)</f>
        <v>1003</v>
      </c>
      <c r="DT575" s="72" t="str">
        <f t="shared" si="2748"/>
        <v>NM</v>
      </c>
      <c r="DU575" s="145">
        <f>SUM(DU570:DU574)</f>
        <v>288</v>
      </c>
      <c r="DV575" s="72" t="str">
        <f t="shared" si="2748"/>
        <v>NM</v>
      </c>
      <c r="DW575" s="145">
        <f>SUM(DW570:DW574)</f>
        <v>586</v>
      </c>
      <c r="DX575" s="72" t="str">
        <f t="shared" si="2748"/>
        <v>NM</v>
      </c>
      <c r="DY575" s="145">
        <f>SUM(DY570:DY574)</f>
        <v>-339</v>
      </c>
      <c r="DZ575" s="72" t="str">
        <f t="shared" si="2748"/>
        <v>NM</v>
      </c>
      <c r="EA575" s="145">
        <f>SUM(EA570:EA574)</f>
        <v>407</v>
      </c>
      <c r="EB575" s="72" t="str">
        <f t="shared" si="2749"/>
        <v>NM</v>
      </c>
      <c r="EC575" s="145">
        <f>SUM(EC570:EC574)</f>
        <v>284</v>
      </c>
      <c r="ED575" s="72">
        <f t="shared" si="2750"/>
        <v>-1.3888888888888857</v>
      </c>
      <c r="EE575" s="145">
        <f>SUM(EE570:EE574)</f>
        <v>757</v>
      </c>
      <c r="EF575" s="72">
        <f t="shared" si="2751"/>
        <v>29.180887372013643</v>
      </c>
      <c r="EG575" s="145">
        <f>SUM(EG570:EG574)</f>
        <v>-1142</v>
      </c>
      <c r="EH575" s="72" t="str">
        <f t="shared" si="2752"/>
        <v>NM</v>
      </c>
      <c r="EI575" s="145">
        <f>SUM(EI570:EJ574)</f>
        <v>82</v>
      </c>
      <c r="EJ575" s="72" t="str">
        <f t="shared" si="2753"/>
        <v>NM</v>
      </c>
      <c r="EK575" s="144">
        <f>SUM(EK570:EK574)</f>
        <v>-620</v>
      </c>
      <c r="EL575" s="72" t="str">
        <f t="shared" si="2754"/>
        <v>NM</v>
      </c>
      <c r="EM575" s="144">
        <f>SUM(EM570:EM574)</f>
        <v>1237</v>
      </c>
      <c r="EN575" s="72">
        <f t="shared" si="2755"/>
        <v>63.40819022457066</v>
      </c>
      <c r="EO575" s="144">
        <f>SUM(EO570:EO574)</f>
        <v>-456</v>
      </c>
      <c r="EP575" s="72" t="str">
        <f t="shared" si="2756"/>
        <v>NM</v>
      </c>
      <c r="EQ575" s="144">
        <f t="shared" ref="EQ575" si="2782">SUM(EQ570:EQ574)</f>
        <v>1066.5867109599999</v>
      </c>
      <c r="ER575" s="72" t="str">
        <f t="shared" si="2757"/>
        <v>NM</v>
      </c>
      <c r="ES575" s="144">
        <f t="shared" ref="ES575" si="2783">SUM(ES570:ES574)</f>
        <v>-492.00458071793412</v>
      </c>
      <c r="ET575" s="72">
        <f t="shared" si="2758"/>
        <v>-20.644422464849328</v>
      </c>
      <c r="EU575" s="144">
        <f t="shared" ref="EU575" si="2784">SUM(EU570:EU574)</f>
        <v>-499.71145293250459</v>
      </c>
      <c r="EV575" s="72" t="str">
        <f t="shared" si="2759"/>
        <v>NM</v>
      </c>
      <c r="EW575" s="144">
        <f t="shared" ref="EW575" si="2785">SUM(EW570:EW574)</f>
        <v>-507.51290388289237</v>
      </c>
      <c r="EX575" s="72">
        <f t="shared" si="2760"/>
        <v>11.296689448002709</v>
      </c>
      <c r="EY575" s="72"/>
      <c r="EZ575" s="296"/>
      <c r="FA575" s="72"/>
      <c r="FB575" s="145">
        <f>SUM(FB570:FB573)</f>
        <v>-651</v>
      </c>
      <c r="FC575" s="11"/>
      <c r="FD575" s="144">
        <f>SUM(FD570:FD574)</f>
        <v>844</v>
      </c>
      <c r="FE575" s="72" t="str">
        <f t="shared" si="2761"/>
        <v>NM</v>
      </c>
      <c r="FF575" s="144">
        <f>SUM(FF570:FF574)</f>
        <v>-497</v>
      </c>
      <c r="FG575" s="72" t="str">
        <f t="shared" si="2762"/>
        <v>NM</v>
      </c>
      <c r="FH575" s="144">
        <f>SUM(FH570:FH574)</f>
        <v>1602</v>
      </c>
      <c r="FI575" s="72" t="str">
        <f t="shared" si="2763"/>
        <v>NM</v>
      </c>
      <c r="FJ575" s="144">
        <f>SUM(FJ570:FJ574)</f>
        <v>-2269</v>
      </c>
      <c r="FK575" s="72" t="str">
        <f t="shared" si="2764"/>
        <v>NM</v>
      </c>
      <c r="FL575" s="144">
        <f>SUM(FL570:FL574)</f>
        <v>-3362</v>
      </c>
      <c r="FM575" s="72">
        <f t="shared" si="2765"/>
        <v>48.171000440722764</v>
      </c>
      <c r="FN575" s="144">
        <f>SUM(FN570:FN574)</f>
        <v>-4577</v>
      </c>
      <c r="FO575" s="72">
        <f t="shared" si="2766"/>
        <v>36.139202855443187</v>
      </c>
      <c r="FP575" s="144">
        <f>SUM(FP570:FP574)</f>
        <v>-8985</v>
      </c>
      <c r="FQ575" s="72">
        <f t="shared" si="2767"/>
        <v>96.307625081931405</v>
      </c>
      <c r="FR575" s="144">
        <f>SUM(FR570:FR574)</f>
        <v>-7437</v>
      </c>
      <c r="FS575" s="72">
        <f t="shared" si="2768"/>
        <v>-17.228714524207007</v>
      </c>
      <c r="FT575" s="144">
        <f>SUM(FT570:FT574)</f>
        <v>-8115</v>
      </c>
      <c r="FU575" s="72">
        <f t="shared" si="2769"/>
        <v>9.1165792658329963</v>
      </c>
      <c r="FV575" s="144">
        <f>SUM(FV570:FV574)</f>
        <v>-4925</v>
      </c>
      <c r="FW575" s="72">
        <f t="shared" si="2770"/>
        <v>-39.309919901417132</v>
      </c>
      <c r="FX575" s="144">
        <f>SUM(FX570:FX574)</f>
        <v>-2807</v>
      </c>
      <c r="FY575" s="72">
        <f t="shared" si="2771"/>
        <v>-43.005076142131983</v>
      </c>
      <c r="FZ575" s="144">
        <f>SUM(FZ570:FZ574)</f>
        <v>-3504</v>
      </c>
      <c r="GA575" s="72">
        <f t="shared" si="2772"/>
        <v>24.83078019237621</v>
      </c>
      <c r="GB575" s="144">
        <f>SUM(GB570:GB574)</f>
        <v>-3874</v>
      </c>
      <c r="GC575" s="72">
        <f t="shared" si="2773"/>
        <v>10.559360730593596</v>
      </c>
      <c r="GD575" s="144">
        <f>SUM(GD570:GD574)</f>
        <v>-3005</v>
      </c>
      <c r="GE575" s="72">
        <f t="shared" si="2773"/>
        <v>-22.43159525038719</v>
      </c>
      <c r="GF575" s="144">
        <f>SUM(GF570:GF574)</f>
        <v>-2545</v>
      </c>
      <c r="GG575" s="72">
        <f t="shared" si="2773"/>
        <v>-15.307820299500833</v>
      </c>
      <c r="GH575" s="144">
        <f>SUM(GH570:GH574)</f>
        <v>-790</v>
      </c>
      <c r="GI575" s="72" t="str">
        <f t="shared" si="2774"/>
        <v>NM</v>
      </c>
      <c r="GJ575" s="144">
        <f>SUM(GJ570:GJ574)</f>
        <v>1538</v>
      </c>
      <c r="GK575" s="72" t="str">
        <f t="shared" si="2774"/>
        <v>NM</v>
      </c>
      <c r="GL575" s="144">
        <f>SUM(GL570:GL574)</f>
        <v>306</v>
      </c>
      <c r="GM575" s="72" t="str">
        <f t="shared" si="2774"/>
        <v>NM</v>
      </c>
      <c r="GN575" s="144">
        <f>SUM(GN570:GN574)</f>
        <v>243</v>
      </c>
      <c r="GO575" s="72">
        <f t="shared" si="2774"/>
        <v>-20.588235294117652</v>
      </c>
      <c r="GP575" s="144">
        <f>SUM(GP570:GP574)</f>
        <v>-432.64222657333107</v>
      </c>
      <c r="GQ575" s="72" t="str">
        <f t="shared" si="2774"/>
        <v>NM</v>
      </c>
      <c r="GR575" s="144">
        <f>SUM(GR570:GR574)</f>
        <v>-1025.4743379019978</v>
      </c>
      <c r="GS575" s="72" t="str">
        <f t="shared" si="2774"/>
        <v>NM</v>
      </c>
      <c r="GT575" s="144">
        <f>SUM(GT570:GT574)</f>
        <v>-1076.7480547970977</v>
      </c>
      <c r="GU575" s="72">
        <f t="shared" si="2774"/>
        <v>5</v>
      </c>
      <c r="GV575" s="144">
        <f>SUM(GV570:GV574)</f>
        <v>-1130.5854575369526</v>
      </c>
      <c r="GW575" s="72">
        <f t="shared" si="2775"/>
        <v>5</v>
      </c>
      <c r="GX575" s="144">
        <f>SUM(GX570:GX574)</f>
        <v>-1187.1147304138003</v>
      </c>
      <c r="GY575" s="72">
        <f t="shared" si="2776"/>
        <v>5</v>
      </c>
      <c r="GZ575" s="72" t="str">
        <f t="shared" si="2777"/>
        <v>NM</v>
      </c>
      <c r="HA575" s="72"/>
      <c r="HB575" s="72"/>
      <c r="HC575"/>
      <c r="HD575"/>
      <c r="HE575"/>
      <c r="HF575"/>
      <c r="HG575"/>
      <c r="HH575"/>
      <c r="HI575" s="2"/>
    </row>
    <row r="576" spans="1:217" s="3" customFormat="1" ht="12.75" customHeight="1" x14ac:dyDescent="0.2">
      <c r="B576" s="10" t="s">
        <v>3</v>
      </c>
      <c r="C576" s="150">
        <f>FF576-I576-G576-E576</f>
        <v>795</v>
      </c>
      <c r="D576" s="11"/>
      <c r="E576" s="150">
        <v>46</v>
      </c>
      <c r="F576" s="11"/>
      <c r="G576" s="150">
        <v>-40</v>
      </c>
      <c r="H576" s="11"/>
      <c r="I576" s="150">
        <v>-347</v>
      </c>
      <c r="J576" s="11"/>
      <c r="K576" s="150">
        <v>70</v>
      </c>
      <c r="L576" s="72" t="str">
        <f t="shared" si="2700"/>
        <v>NM</v>
      </c>
      <c r="M576" s="150">
        <v>-88</v>
      </c>
      <c r="N576" s="72" t="str">
        <f t="shared" si="2701"/>
        <v>NM</v>
      </c>
      <c r="O576" s="150">
        <v>-344</v>
      </c>
      <c r="P576" s="72" t="str">
        <f t="shared" si="2702"/>
        <v>NM</v>
      </c>
      <c r="Q576" s="150">
        <v>-24</v>
      </c>
      <c r="R576" s="72" t="str">
        <f t="shared" si="2703"/>
        <v>NM</v>
      </c>
      <c r="S576" s="150">
        <v>-28</v>
      </c>
      <c r="T576" s="72" t="str">
        <f t="shared" si="2704"/>
        <v>NM</v>
      </c>
      <c r="U576" s="150">
        <v>-124</v>
      </c>
      <c r="V576" s="72">
        <f t="shared" si="2705"/>
        <v>40.909090909090907</v>
      </c>
      <c r="W576" s="150">
        <v>-231</v>
      </c>
      <c r="X576" s="72">
        <f t="shared" si="2706"/>
        <v>-32.848837209302332</v>
      </c>
      <c r="Y576" s="150">
        <v>-120</v>
      </c>
      <c r="Z576" s="72" t="str">
        <f t="shared" si="2707"/>
        <v>NM</v>
      </c>
      <c r="AA576" s="150">
        <v>-38</v>
      </c>
      <c r="AB576" s="72">
        <f t="shared" si="2708"/>
        <v>35.714285714285722</v>
      </c>
      <c r="AC576" s="150">
        <v>-173</v>
      </c>
      <c r="AD576" s="72">
        <f t="shared" si="2709"/>
        <v>39.516129032258078</v>
      </c>
      <c r="AE576" s="150">
        <v>24</v>
      </c>
      <c r="AF576" s="72" t="str">
        <f t="shared" si="2710"/>
        <v>NM</v>
      </c>
      <c r="AG576" s="150">
        <v>65</v>
      </c>
      <c r="AH576" s="72" t="str">
        <f t="shared" si="2711"/>
        <v>NM</v>
      </c>
      <c r="AI576" s="150">
        <v>-13</v>
      </c>
      <c r="AJ576" s="72" t="str">
        <f t="shared" si="2712"/>
        <v>NM</v>
      </c>
      <c r="AK576" s="150">
        <v>-8</v>
      </c>
      <c r="AL576" s="72" t="str">
        <f t="shared" si="2713"/>
        <v>NM</v>
      </c>
      <c r="AM576" s="150">
        <v>36</v>
      </c>
      <c r="AN576" s="72">
        <f t="shared" si="2714"/>
        <v>50</v>
      </c>
      <c r="AO576" s="150">
        <v>-74</v>
      </c>
      <c r="AP576" s="72" t="str">
        <f t="shared" si="2715"/>
        <v>NM</v>
      </c>
      <c r="AQ576" s="150">
        <v>21</v>
      </c>
      <c r="AR576" s="72" t="str">
        <f t="shared" si="2716"/>
        <v>NM</v>
      </c>
      <c r="AS576" s="150">
        <v>67</v>
      </c>
      <c r="AT576" s="72" t="str">
        <f t="shared" si="2717"/>
        <v>NM</v>
      </c>
      <c r="AU576" s="150">
        <v>-572</v>
      </c>
      <c r="AV576" s="72" t="str">
        <f t="shared" si="2718"/>
        <v>NM</v>
      </c>
      <c r="AW576" s="150">
        <v>79</v>
      </c>
      <c r="AX576" s="72" t="str">
        <f t="shared" si="2719"/>
        <v>NM</v>
      </c>
      <c r="AY576" s="150">
        <v>3</v>
      </c>
      <c r="AZ576" s="72" t="str">
        <f t="shared" si="2720"/>
        <v>NM</v>
      </c>
      <c r="BA576" s="150">
        <v>-94</v>
      </c>
      <c r="BB576" s="72" t="str">
        <f t="shared" si="2721"/>
        <v>NM</v>
      </c>
      <c r="BC576" s="150">
        <v>60</v>
      </c>
      <c r="BD576" s="72" t="str">
        <f t="shared" si="2722"/>
        <v>NM</v>
      </c>
      <c r="BE576" s="150">
        <v>35</v>
      </c>
      <c r="BF576" s="72" t="str">
        <f t="shared" si="2723"/>
        <v>NM</v>
      </c>
      <c r="BG576" s="150">
        <v>-35</v>
      </c>
      <c r="BH576" s="72" t="str">
        <f t="shared" si="2724"/>
        <v>NM</v>
      </c>
      <c r="BI576" s="150">
        <v>-101</v>
      </c>
      <c r="BJ576" s="72">
        <f t="shared" si="2725"/>
        <v>7.4468085106383057</v>
      </c>
      <c r="BK576" s="150">
        <v>-101</v>
      </c>
      <c r="BL576" s="72" t="str">
        <f t="shared" si="2726"/>
        <v>NM</v>
      </c>
      <c r="BM576" s="150">
        <v>-118</v>
      </c>
      <c r="BN576" s="72" t="str">
        <f t="shared" si="2727"/>
        <v>NM</v>
      </c>
      <c r="BO576" s="150">
        <f>-181-20</f>
        <v>-201</v>
      </c>
      <c r="BP576" s="72" t="str">
        <f t="shared" si="2728"/>
        <v>NM</v>
      </c>
      <c r="BQ576" s="150">
        <f>-245-7</f>
        <v>-252</v>
      </c>
      <c r="BR576" s="72" t="str">
        <f t="shared" si="2729"/>
        <v>NM</v>
      </c>
      <c r="BS576" s="150">
        <v>-294</v>
      </c>
      <c r="BT576" s="72" t="str">
        <f t="shared" si="2730"/>
        <v>NM</v>
      </c>
      <c r="BU576" s="150">
        <f>-159-8</f>
        <v>-167</v>
      </c>
      <c r="BV576" s="72">
        <f t="shared" si="2731"/>
        <v>41.525423728813564</v>
      </c>
      <c r="BW576" s="150">
        <v>-77</v>
      </c>
      <c r="BX576" s="72" t="str">
        <f t="shared" si="2732"/>
        <v>NM</v>
      </c>
      <c r="BY576" s="150">
        <v>-260</v>
      </c>
      <c r="BZ576" s="72">
        <f t="shared" si="2733"/>
        <v>3.1746031746031917</v>
      </c>
      <c r="CA576" s="150">
        <v>-390</v>
      </c>
      <c r="CB576" s="72">
        <f t="shared" si="2734"/>
        <v>32.65306122448979</v>
      </c>
      <c r="CC576" s="150">
        <v>39</v>
      </c>
      <c r="CD576" s="72" t="str">
        <f t="shared" si="2735"/>
        <v>NM</v>
      </c>
      <c r="CE576" s="150">
        <v>15</v>
      </c>
      <c r="CF576" s="72" t="str">
        <f t="shared" si="2736"/>
        <v>NM</v>
      </c>
      <c r="CG576" s="150">
        <v>205</v>
      </c>
      <c r="CH576" s="72" t="str">
        <f t="shared" si="2737"/>
        <v>NM</v>
      </c>
      <c r="CI576" s="150">
        <v>120</v>
      </c>
      <c r="CJ576" s="72" t="str">
        <f t="shared" si="2738"/>
        <v>NM</v>
      </c>
      <c r="CK576" s="150">
        <v>-313</v>
      </c>
      <c r="CL576" s="72" t="str">
        <f t="shared" si="2738"/>
        <v>NM</v>
      </c>
      <c r="CM576" s="150">
        <v>-146</v>
      </c>
      <c r="CN576" s="72" t="str">
        <f t="shared" si="2738"/>
        <v>NM</v>
      </c>
      <c r="CO576" s="150">
        <v>10</v>
      </c>
      <c r="CP576" s="72" t="str">
        <f t="shared" si="2738"/>
        <v>NM</v>
      </c>
      <c r="CQ576" s="150">
        <v>743</v>
      </c>
      <c r="CR576" s="72" t="str">
        <f t="shared" si="2738"/>
        <v>NM</v>
      </c>
      <c r="CS576" s="150">
        <v>-186</v>
      </c>
      <c r="CT576" s="72">
        <f t="shared" si="2738"/>
        <v>-40.575079872204476</v>
      </c>
      <c r="CU576" s="373">
        <v>-113</v>
      </c>
      <c r="CV576" s="374">
        <f t="shared" si="2739"/>
        <v>-22.602739726027394</v>
      </c>
      <c r="CW576" s="373">
        <v>536</v>
      </c>
      <c r="CX576" s="374" t="str">
        <f t="shared" si="2740"/>
        <v>NM</v>
      </c>
      <c r="CY576" s="373">
        <v>-623</v>
      </c>
      <c r="CZ576" s="72" t="str">
        <f t="shared" si="2741"/>
        <v>NM</v>
      </c>
      <c r="DA576" s="150">
        <v>-614</v>
      </c>
      <c r="DB576" s="72" t="str">
        <f t="shared" si="2742"/>
        <v>NM</v>
      </c>
      <c r="DC576" s="150">
        <v>-1237</v>
      </c>
      <c r="DD576" s="72" t="str">
        <f t="shared" si="2743"/>
        <v>NM</v>
      </c>
      <c r="DE576" s="150">
        <v>-700</v>
      </c>
      <c r="DF576" s="72" t="str">
        <f t="shared" si="2744"/>
        <v>NM</v>
      </c>
      <c r="DG576" s="150">
        <v>-67</v>
      </c>
      <c r="DH576" s="72" t="str">
        <f t="shared" si="2745"/>
        <v>NM</v>
      </c>
      <c r="DI576" s="150">
        <v>-853</v>
      </c>
      <c r="DJ576" s="72">
        <f t="shared" si="2746"/>
        <v>38.925081433224761</v>
      </c>
      <c r="DK576" s="150">
        <v>39</v>
      </c>
      <c r="DL576" s="72" t="str">
        <f t="shared" si="2747"/>
        <v>NM</v>
      </c>
      <c r="DM576" s="150">
        <v>-58</v>
      </c>
      <c r="DN576" s="72" t="str">
        <f t="shared" si="2748"/>
        <v>NM</v>
      </c>
      <c r="DO576" s="150">
        <v>-606</v>
      </c>
      <c r="DP576" s="72" t="str">
        <f t="shared" si="2748"/>
        <v>NM</v>
      </c>
      <c r="DQ576" s="150">
        <v>-457</v>
      </c>
      <c r="DR576" s="72">
        <f t="shared" si="2748"/>
        <v>-46.424384525205156</v>
      </c>
      <c r="DS576" s="150">
        <v>252</v>
      </c>
      <c r="DT576" s="72" t="str">
        <f t="shared" si="2748"/>
        <v>NM</v>
      </c>
      <c r="DU576" s="150">
        <v>188</v>
      </c>
      <c r="DV576" s="72" t="str">
        <f t="shared" si="2748"/>
        <v>NM</v>
      </c>
      <c r="DW576" s="150">
        <v>231</v>
      </c>
      <c r="DX576" s="72" t="str">
        <f t="shared" si="2748"/>
        <v>NM</v>
      </c>
      <c r="DY576" s="150">
        <v>-181</v>
      </c>
      <c r="DZ576" s="72" t="str">
        <f t="shared" si="2748"/>
        <v>NM</v>
      </c>
      <c r="EA576" s="150">
        <v>40</v>
      </c>
      <c r="EB576" s="72" t="str">
        <f t="shared" si="2749"/>
        <v>NM</v>
      </c>
      <c r="EC576" s="150">
        <v>203</v>
      </c>
      <c r="ED576" s="72">
        <f t="shared" si="2750"/>
        <v>7.9787234042553195</v>
      </c>
      <c r="EE576" s="150">
        <v>134</v>
      </c>
      <c r="EF576" s="72">
        <f t="shared" si="2751"/>
        <v>-41.99134199134199</v>
      </c>
      <c r="EG576" s="150">
        <v>-334</v>
      </c>
      <c r="EH576" s="72">
        <f t="shared" si="2752"/>
        <v>84.530386740331494</v>
      </c>
      <c r="EI576" s="150">
        <v>-28</v>
      </c>
      <c r="EJ576" s="72" t="str">
        <f t="shared" si="2753"/>
        <v>NM</v>
      </c>
      <c r="EK576" s="150">
        <v>-184</v>
      </c>
      <c r="EL576" s="72" t="str">
        <f t="shared" si="2754"/>
        <v>NM</v>
      </c>
      <c r="EM576" s="150">
        <v>339</v>
      </c>
      <c r="EN576" s="72" t="str">
        <f t="shared" si="2755"/>
        <v>NM</v>
      </c>
      <c r="EO576" s="150">
        <v>-3157</v>
      </c>
      <c r="EP576" s="72" t="str">
        <f t="shared" si="2756"/>
        <v>NM</v>
      </c>
      <c r="EQ576" s="144">
        <f t="shared" ref="EQ576" si="2786">EQ575*EQ538/100</f>
        <v>234.64907641119996</v>
      </c>
      <c r="ER576" s="72" t="str">
        <f t="shared" si="2757"/>
        <v>NM</v>
      </c>
      <c r="ES576" s="144">
        <f t="shared" ref="ES576" si="2787">ES575*ES538/100</f>
        <v>-108.2410077579455</v>
      </c>
      <c r="ET576" s="72">
        <f t="shared" si="2758"/>
        <v>-41.173365348942667</v>
      </c>
      <c r="EU576" s="144">
        <f t="shared" ref="EU576" si="2788">EU575*EU538/100</f>
        <v>-109.93651964515101</v>
      </c>
      <c r="EV576" s="72" t="str">
        <f t="shared" si="2759"/>
        <v>NM</v>
      </c>
      <c r="EW576" s="144">
        <f t="shared" ref="EW576" si="2789">EW575*EW538/100</f>
        <v>-111.65283885423632</v>
      </c>
      <c r="EX576" s="72" t="str">
        <f t="shared" si="2760"/>
        <v>NM</v>
      </c>
      <c r="EY576" s="72"/>
      <c r="EZ576" s="296"/>
      <c r="FA576" s="72"/>
      <c r="FB576" s="150">
        <v>-192</v>
      </c>
      <c r="FC576" s="11"/>
      <c r="FD576" s="144">
        <f>+CM576+CO576+CS576+CQ576</f>
        <v>421</v>
      </c>
      <c r="FE576" s="72" t="str">
        <f t="shared" si="2761"/>
        <v>NM</v>
      </c>
      <c r="FF576" s="144">
        <f>+CO576+CQ576+CU576+CS576</f>
        <v>454</v>
      </c>
      <c r="FG576" s="72">
        <f t="shared" si="2762"/>
        <v>7.8384798099762492</v>
      </c>
      <c r="FH576" s="144">
        <f>+CQ576+CS576+CW576+CU576</f>
        <v>980</v>
      </c>
      <c r="FI576" s="72" t="str">
        <f t="shared" si="2763"/>
        <v>NM</v>
      </c>
      <c r="FJ576" s="144">
        <f>+CS576+CU576+CY576+CW576</f>
        <v>-386</v>
      </c>
      <c r="FK576" s="72" t="str">
        <f t="shared" si="2764"/>
        <v>NM</v>
      </c>
      <c r="FL576" s="144">
        <f>+CU576+CW576+DA576+CY576</f>
        <v>-814</v>
      </c>
      <c r="FM576" s="72" t="str">
        <f t="shared" si="2765"/>
        <v>NM</v>
      </c>
      <c r="FN576" s="144">
        <f>+CW576+CY576+DC576+DA576</f>
        <v>-1938</v>
      </c>
      <c r="FO576" s="72" t="str">
        <f t="shared" si="2766"/>
        <v>NM</v>
      </c>
      <c r="FP576" s="144">
        <f>+CY576+DA576+DE576+DC576</f>
        <v>-3174</v>
      </c>
      <c r="FQ576" s="72">
        <f t="shared" si="2767"/>
        <v>63.777089783281724</v>
      </c>
      <c r="FR576" s="144">
        <f>+DA576+DC576+DG576+DE576</f>
        <v>-2618</v>
      </c>
      <c r="FS576" s="72">
        <f t="shared" si="2768"/>
        <v>-17.517328292375552</v>
      </c>
      <c r="FT576" s="144">
        <f>+DC576+DE576+DI576+DG576</f>
        <v>-2857</v>
      </c>
      <c r="FU576" s="72">
        <f t="shared" si="2769"/>
        <v>9.1291061879297217</v>
      </c>
      <c r="FV576" s="144">
        <f>+DE576+DG576+DK576+DI576</f>
        <v>-1581</v>
      </c>
      <c r="FW576" s="72">
        <f t="shared" si="2770"/>
        <v>-44.662233111655581</v>
      </c>
      <c r="FX576" s="144">
        <f>+DG576+DI576+DM576+DK576</f>
        <v>-939</v>
      </c>
      <c r="FY576" s="72">
        <f t="shared" si="2771"/>
        <v>-40.60721062618596</v>
      </c>
      <c r="FZ576" s="144">
        <f>+DI576+DK576+DO576+DM576</f>
        <v>-1478</v>
      </c>
      <c r="GA576" s="72">
        <f t="shared" si="2772"/>
        <v>57.401490947816825</v>
      </c>
      <c r="GB576" s="144">
        <f>+DK576+DM576+DQ576+DO576</f>
        <v>-1082</v>
      </c>
      <c r="GC576" s="72">
        <f t="shared" si="2773"/>
        <v>-26.792963464140726</v>
      </c>
      <c r="GD576" s="144">
        <f>+DM576+DO576+DS576+DQ576</f>
        <v>-869</v>
      </c>
      <c r="GE576" s="72">
        <f t="shared" si="2773"/>
        <v>-19.685767097966732</v>
      </c>
      <c r="GF576" s="144">
        <f>+DO576+DQ576+DU576+DS576</f>
        <v>-623</v>
      </c>
      <c r="GG576" s="72">
        <f t="shared" si="2773"/>
        <v>-28.308400460299197</v>
      </c>
      <c r="GH576" s="144">
        <f>+DQ576+DS576+DW576+DU576</f>
        <v>214</v>
      </c>
      <c r="GI576" s="72" t="str">
        <f t="shared" si="2774"/>
        <v>NM</v>
      </c>
      <c r="GJ576" s="144">
        <f>+DS576+DU576+DY576+DW576</f>
        <v>490</v>
      </c>
      <c r="GK576" s="72" t="str">
        <f t="shared" si="2774"/>
        <v>NM</v>
      </c>
      <c r="GL576" s="144">
        <f>EA576+EC576+EE576+EG576</f>
        <v>43</v>
      </c>
      <c r="GM576" s="72" t="str">
        <f t="shared" si="2774"/>
        <v>NM</v>
      </c>
      <c r="GN576" s="144">
        <f>EI576+EK576+EM576+EO576</f>
        <v>-3030</v>
      </c>
      <c r="GO576" s="72" t="str">
        <f t="shared" si="2774"/>
        <v>NM</v>
      </c>
      <c r="GP576" s="144">
        <f>EQ576+ES576+EU576+EW576</f>
        <v>-95.18128984613287</v>
      </c>
      <c r="GQ576" s="72" t="str">
        <f t="shared" si="2774"/>
        <v>NM</v>
      </c>
      <c r="GR576" s="144">
        <f>GR575*GR538/100</f>
        <v>-225.60435433843955</v>
      </c>
      <c r="GS576" s="72" t="str">
        <f t="shared" si="2774"/>
        <v>NM</v>
      </c>
      <c r="GT576" s="144">
        <f>GT575*GT538/100</f>
        <v>-236.88457205536153</v>
      </c>
      <c r="GU576" s="72">
        <f t="shared" si="2774"/>
        <v>5</v>
      </c>
      <c r="GV576" s="144">
        <f>GV575*GV538/100</f>
        <v>-248.72880065812961</v>
      </c>
      <c r="GW576" s="72">
        <f t="shared" si="2775"/>
        <v>5</v>
      </c>
      <c r="GX576" s="144">
        <f>GX575*GX538/100</f>
        <v>-261.1652406910361</v>
      </c>
      <c r="GY576" s="72">
        <f t="shared" si="2776"/>
        <v>5</v>
      </c>
      <c r="GZ576" s="72">
        <f t="shared" si="2777"/>
        <v>-38.75162803515947</v>
      </c>
      <c r="HA576" s="72"/>
      <c r="HB576" s="72"/>
      <c r="HC576"/>
      <c r="HD576"/>
      <c r="HE576"/>
      <c r="HF576"/>
      <c r="HG576"/>
      <c r="HH576"/>
      <c r="HI576" s="2"/>
    </row>
    <row r="577" spans="1:217" s="78" customFormat="1" ht="12.75" customHeight="1" x14ac:dyDescent="0.2">
      <c r="A577" s="78" t="s">
        <v>142</v>
      </c>
      <c r="B577" s="89" t="s">
        <v>357</v>
      </c>
      <c r="C577" s="160">
        <f>C575-C576</f>
        <v>282</v>
      </c>
      <c r="D577" s="161"/>
      <c r="E577" s="160">
        <f>E575-E576</f>
        <v>-105</v>
      </c>
      <c r="F577" s="161"/>
      <c r="G577" s="160">
        <f>G575-G576</f>
        <v>-225</v>
      </c>
      <c r="H577" s="161"/>
      <c r="I577" s="160">
        <f>I575-I576</f>
        <v>-449</v>
      </c>
      <c r="J577" s="161"/>
      <c r="K577" s="160">
        <f>K575-K576</f>
        <v>95.977443609022544</v>
      </c>
      <c r="L577" s="80" t="str">
        <f t="shared" si="2700"/>
        <v>NM</v>
      </c>
      <c r="M577" s="160">
        <f>M575-M576</f>
        <v>73.5</v>
      </c>
      <c r="N577" s="80" t="str">
        <f t="shared" si="2701"/>
        <v>NM</v>
      </c>
      <c r="O577" s="160">
        <f>O575-O576</f>
        <v>-7.0683760683760966</v>
      </c>
      <c r="P577" s="80" t="str">
        <f t="shared" si="2702"/>
        <v>NM</v>
      </c>
      <c r="Q577" s="160">
        <f>Q575-Q576</f>
        <v>-556.16582914572859</v>
      </c>
      <c r="R577" s="80">
        <f t="shared" si="2703"/>
        <v>23.867667961186783</v>
      </c>
      <c r="S577" s="160">
        <f>S575-S576</f>
        <v>-49</v>
      </c>
      <c r="T577" s="80" t="str">
        <f t="shared" si="2704"/>
        <v>NM</v>
      </c>
      <c r="U577" s="160">
        <f>U575-U576</f>
        <v>-190</v>
      </c>
      <c r="V577" s="80" t="str">
        <f t="shared" si="2705"/>
        <v>NM</v>
      </c>
      <c r="W577" s="160">
        <f>W575-W576</f>
        <v>75</v>
      </c>
      <c r="X577" s="80" t="str">
        <f t="shared" si="2706"/>
        <v>NM</v>
      </c>
      <c r="Y577" s="160">
        <f>Y575-Y576</f>
        <v>-242</v>
      </c>
      <c r="Z577" s="80" t="str">
        <f t="shared" si="2707"/>
        <v>NM</v>
      </c>
      <c r="AA577" s="160">
        <f>AA575-AA576</f>
        <v>-79</v>
      </c>
      <c r="AB577" s="80">
        <f t="shared" si="2708"/>
        <v>61.224489795918373</v>
      </c>
      <c r="AC577" s="160">
        <f>AC575-AC576</f>
        <v>-248</v>
      </c>
      <c r="AD577" s="80">
        <f t="shared" si="2709"/>
        <v>30.526315789473699</v>
      </c>
      <c r="AE577" s="160">
        <f>AE575-AE576</f>
        <v>-106</v>
      </c>
      <c r="AF577" s="80" t="str">
        <f t="shared" si="2710"/>
        <v>NM</v>
      </c>
      <c r="AG577" s="160">
        <f>AG575-AG576</f>
        <v>171</v>
      </c>
      <c r="AH577" s="80" t="str">
        <f t="shared" si="2711"/>
        <v>NM</v>
      </c>
      <c r="AI577" s="160">
        <f>AI575-AI576</f>
        <v>-7</v>
      </c>
      <c r="AJ577" s="80" t="str">
        <f t="shared" si="2712"/>
        <v>NM</v>
      </c>
      <c r="AK577" s="160">
        <f>AK575-AK576</f>
        <v>9</v>
      </c>
      <c r="AL577" s="80" t="str">
        <f t="shared" si="2713"/>
        <v>NM</v>
      </c>
      <c r="AM577" s="160">
        <f>AM575-AM576</f>
        <v>95</v>
      </c>
      <c r="AN577" s="80" t="str">
        <f t="shared" si="2714"/>
        <v>NM</v>
      </c>
      <c r="AO577" s="160">
        <f>AO575-AO576</f>
        <v>-105</v>
      </c>
      <c r="AP577" s="80" t="str">
        <f t="shared" si="2715"/>
        <v>NM</v>
      </c>
      <c r="AQ577" s="160">
        <f>AQ575-AQ576</f>
        <v>166</v>
      </c>
      <c r="AR577" s="80" t="str">
        <f t="shared" si="2716"/>
        <v>NM</v>
      </c>
      <c r="AS577" s="160">
        <f>AS575-AS576</f>
        <v>230</v>
      </c>
      <c r="AT577" s="80" t="str">
        <f t="shared" si="2717"/>
        <v>NM</v>
      </c>
      <c r="AU577" s="160">
        <f>AU575-AU576</f>
        <v>597</v>
      </c>
      <c r="AV577" s="80" t="str">
        <f t="shared" si="2718"/>
        <v>NM</v>
      </c>
      <c r="AW577" s="160">
        <f>AW575-AW576</f>
        <v>-151</v>
      </c>
      <c r="AX577" s="80">
        <f t="shared" si="2719"/>
        <v>43.809523809523796</v>
      </c>
      <c r="AY577" s="160">
        <f>AY575-AY576</f>
        <v>8</v>
      </c>
      <c r="AZ577" s="80" t="str">
        <f t="shared" si="2720"/>
        <v>NM</v>
      </c>
      <c r="BA577" s="160">
        <f>BA575-BA576</f>
        <v>-244</v>
      </c>
      <c r="BB577" s="80" t="str">
        <f t="shared" si="2721"/>
        <v>NM</v>
      </c>
      <c r="BC577" s="160">
        <f>BC575-BC576</f>
        <v>254</v>
      </c>
      <c r="BD577" s="80" t="str">
        <f t="shared" si="2722"/>
        <v>NM</v>
      </c>
      <c r="BE577" s="160">
        <f>BE575-BE576</f>
        <v>21</v>
      </c>
      <c r="BF577" s="80" t="str">
        <f t="shared" si="2723"/>
        <v>NM</v>
      </c>
      <c r="BG577" s="160">
        <f>BG575-BG576</f>
        <v>-49</v>
      </c>
      <c r="BH577" s="80" t="str">
        <f t="shared" si="2724"/>
        <v>NM</v>
      </c>
      <c r="BI577" s="160">
        <f>BI575-BI576</f>
        <v>-179</v>
      </c>
      <c r="BJ577" s="80">
        <f t="shared" si="2725"/>
        <v>-26.639344262295083</v>
      </c>
      <c r="BK577" s="160">
        <f>BK575-BK576</f>
        <v>-179</v>
      </c>
      <c r="BL577" s="80" t="str">
        <f t="shared" si="2726"/>
        <v>NM</v>
      </c>
      <c r="BM577" s="160">
        <f>BM575-BM576</f>
        <v>-52</v>
      </c>
      <c r="BN577" s="80" t="str">
        <f t="shared" si="2727"/>
        <v>NM</v>
      </c>
      <c r="BO577" s="160">
        <f>BO575-BO576</f>
        <v>-653</v>
      </c>
      <c r="BP577" s="80" t="str">
        <f t="shared" si="2728"/>
        <v>NM</v>
      </c>
      <c r="BQ577" s="160">
        <f>BQ575-BQ576</f>
        <v>-295</v>
      </c>
      <c r="BR577" s="80">
        <f t="shared" si="2729"/>
        <v>64.804469273743024</v>
      </c>
      <c r="BS577" s="160">
        <f>BS575-BS576</f>
        <v>-425</v>
      </c>
      <c r="BT577" s="80" t="str">
        <f t="shared" si="2730"/>
        <v>NM</v>
      </c>
      <c r="BU577" s="160">
        <f>BU575-BU576</f>
        <v>-404</v>
      </c>
      <c r="BV577" s="80" t="str">
        <f t="shared" si="2731"/>
        <v>NM</v>
      </c>
      <c r="BW577" s="160">
        <f>BW575-BW576</f>
        <v>-207</v>
      </c>
      <c r="BX577" s="80" t="str">
        <f t="shared" si="2732"/>
        <v>NM</v>
      </c>
      <c r="BY577" s="160">
        <f>BY575-BY576</f>
        <v>-340</v>
      </c>
      <c r="BZ577" s="80">
        <f t="shared" si="2733"/>
        <v>15.254237288135599</v>
      </c>
      <c r="CA577" s="160">
        <f>CA575-CA576</f>
        <v>189</v>
      </c>
      <c r="CB577" s="80" t="str">
        <f t="shared" si="2734"/>
        <v>NM</v>
      </c>
      <c r="CC577" s="160">
        <f>CC575-CC576</f>
        <v>-193</v>
      </c>
      <c r="CD577" s="80" t="str">
        <f t="shared" si="2735"/>
        <v>NM</v>
      </c>
      <c r="CE577" s="160">
        <f>CE575-CE576</f>
        <v>-186</v>
      </c>
      <c r="CF577" s="80">
        <f t="shared" si="2736"/>
        <v>-10.14492753623189</v>
      </c>
      <c r="CG577" s="160">
        <f>CG575-CG576</f>
        <v>452</v>
      </c>
      <c r="CH577" s="80" t="str">
        <f t="shared" si="2737"/>
        <v>NM</v>
      </c>
      <c r="CI577" s="160">
        <f>CI575-CI576</f>
        <v>157</v>
      </c>
      <c r="CJ577" s="80">
        <f t="shared" si="2738"/>
        <v>-16.931216931216937</v>
      </c>
      <c r="CK577" s="160">
        <f>CK575-CK576</f>
        <v>-727</v>
      </c>
      <c r="CL577" s="80" t="str">
        <f t="shared" si="2738"/>
        <v>NM</v>
      </c>
      <c r="CM577" s="160">
        <f>CM575-CM576</f>
        <v>-354</v>
      </c>
      <c r="CN577" s="80">
        <f t="shared" si="2738"/>
        <v>90.32258064516131</v>
      </c>
      <c r="CO577" s="160">
        <f>CO575-CO576</f>
        <v>9</v>
      </c>
      <c r="CP577" s="80" t="str">
        <f t="shared" si="2738"/>
        <v>NM</v>
      </c>
      <c r="CQ577" s="160">
        <f>CQ575-CQ576</f>
        <v>1108</v>
      </c>
      <c r="CR577" s="80" t="str">
        <f t="shared" si="2738"/>
        <v>NM</v>
      </c>
      <c r="CS577" s="160">
        <f>CS575-CS576</f>
        <v>-340</v>
      </c>
      <c r="CT577" s="80" t="str">
        <f t="shared" si="2738"/>
        <v>NM</v>
      </c>
      <c r="CU577" s="160">
        <f>CU575-CU576</f>
        <v>-1728</v>
      </c>
      <c r="CV577" s="80" t="str">
        <f t="shared" si="2739"/>
        <v>NM</v>
      </c>
      <c r="CW577" s="160">
        <f>CW575-CW576</f>
        <v>1582</v>
      </c>
      <c r="CX577" s="80" t="str">
        <f t="shared" si="2740"/>
        <v>NM</v>
      </c>
      <c r="CY577" s="160">
        <f>CY575-CY576</f>
        <v>-1397</v>
      </c>
      <c r="CZ577" s="80" t="str">
        <f t="shared" si="2741"/>
        <v>NM</v>
      </c>
      <c r="DA577" s="160">
        <f>DA575-DA576</f>
        <v>-1005</v>
      </c>
      <c r="DB577" s="80" t="str">
        <f t="shared" si="2742"/>
        <v>NM</v>
      </c>
      <c r="DC577" s="160">
        <f>DC575-DC576</f>
        <v>-1819</v>
      </c>
      <c r="DD577" s="80">
        <f t="shared" si="2743"/>
        <v>5.2662037037036953</v>
      </c>
      <c r="DE577" s="160">
        <f>DE575-DE576</f>
        <v>-1590</v>
      </c>
      <c r="DF577" s="80" t="str">
        <f t="shared" si="2744"/>
        <v>NM</v>
      </c>
      <c r="DG577" s="160">
        <f>DG575-DG576</f>
        <v>-405</v>
      </c>
      <c r="DH577" s="80" t="str">
        <f t="shared" si="2745"/>
        <v>NM</v>
      </c>
      <c r="DI577" s="160">
        <f>DI575-DI576</f>
        <v>-1444</v>
      </c>
      <c r="DJ577" s="80">
        <f t="shared" si="2746"/>
        <v>43.681592039800989</v>
      </c>
      <c r="DK577" s="160">
        <f>DK575-DK576</f>
        <v>95</v>
      </c>
      <c r="DL577" s="80" t="str">
        <f t="shared" si="2747"/>
        <v>NM</v>
      </c>
      <c r="DM577" s="160">
        <f>DM575-DM576</f>
        <v>-114</v>
      </c>
      <c r="DN577" s="72" t="str">
        <f t="shared" si="2748"/>
        <v>NM</v>
      </c>
      <c r="DO577" s="160">
        <f>DO575-DO576</f>
        <v>-563</v>
      </c>
      <c r="DP577" s="72">
        <f t="shared" si="2748"/>
        <v>39.012345679012356</v>
      </c>
      <c r="DQ577" s="160">
        <f>DQ575-DQ576</f>
        <v>-2210</v>
      </c>
      <c r="DR577" s="72">
        <f t="shared" si="2748"/>
        <v>53.047091412742361</v>
      </c>
      <c r="DS577" s="160">
        <f>DS575-DS576</f>
        <v>751</v>
      </c>
      <c r="DT577" s="72" t="str">
        <f t="shared" si="2748"/>
        <v>NM</v>
      </c>
      <c r="DU577" s="160">
        <f>DU575-DU576</f>
        <v>100</v>
      </c>
      <c r="DV577" s="72" t="str">
        <f t="shared" si="2748"/>
        <v>NM</v>
      </c>
      <c r="DW577" s="160">
        <f>DW575-DW576</f>
        <v>355</v>
      </c>
      <c r="DX577" s="72" t="str">
        <f t="shared" si="2748"/>
        <v>NM</v>
      </c>
      <c r="DY577" s="160">
        <f>DY575-DY576</f>
        <v>-158</v>
      </c>
      <c r="DZ577" s="72" t="str">
        <f t="shared" si="2748"/>
        <v>NM</v>
      </c>
      <c r="EA577" s="160">
        <f>EA575-EA576</f>
        <v>367</v>
      </c>
      <c r="EB577" s="72" t="str">
        <f t="shared" si="2749"/>
        <v>NM</v>
      </c>
      <c r="EC577" s="160">
        <f>EC575-EC576</f>
        <v>81</v>
      </c>
      <c r="ED577" s="72">
        <f t="shared" si="2750"/>
        <v>-19</v>
      </c>
      <c r="EE577" s="160">
        <f>EE575-EE576</f>
        <v>623</v>
      </c>
      <c r="EF577" s="72">
        <f t="shared" si="2751"/>
        <v>75.492957746478879</v>
      </c>
      <c r="EG577" s="160">
        <f>EG575-EG576</f>
        <v>-808</v>
      </c>
      <c r="EH577" s="72" t="str">
        <f t="shared" si="2752"/>
        <v>NM</v>
      </c>
      <c r="EI577" s="160">
        <f>EI575-EI576</f>
        <v>110</v>
      </c>
      <c r="EJ577" s="72" t="str">
        <f t="shared" si="2753"/>
        <v>NM</v>
      </c>
      <c r="EK577" s="162">
        <f>EK575-EK576</f>
        <v>-436</v>
      </c>
      <c r="EL577" s="72" t="str">
        <f t="shared" si="2754"/>
        <v>NM</v>
      </c>
      <c r="EM577" s="162">
        <f>EM575-EM576</f>
        <v>898</v>
      </c>
      <c r="EN577" s="72">
        <f t="shared" si="2755"/>
        <v>44.14125200642053</v>
      </c>
      <c r="EO577" s="162">
        <f>EO575-EO576</f>
        <v>2701</v>
      </c>
      <c r="EP577" s="72" t="str">
        <f t="shared" si="2756"/>
        <v>NM</v>
      </c>
      <c r="EQ577" s="162">
        <f t="shared" ref="EQ577" si="2790">EQ575-EQ576</f>
        <v>831.93763454879991</v>
      </c>
      <c r="ER577" s="72" t="str">
        <f t="shared" si="2757"/>
        <v>NM</v>
      </c>
      <c r="ES577" s="162">
        <f t="shared" ref="ES577" si="2791">ES575-ES576</f>
        <v>-383.76357295998861</v>
      </c>
      <c r="ET577" s="72">
        <f t="shared" si="2758"/>
        <v>-11.980831889910874</v>
      </c>
      <c r="EU577" s="162">
        <f t="shared" ref="EU577" si="2792">EU575-EU576</f>
        <v>-389.77493328735358</v>
      </c>
      <c r="EV577" s="72" t="str">
        <f t="shared" si="2759"/>
        <v>NM</v>
      </c>
      <c r="EW577" s="162">
        <f t="shared" ref="EW577" si="2793">EW575-EW576</f>
        <v>-395.86006502865604</v>
      </c>
      <c r="EX577" s="72" t="str">
        <f t="shared" si="2760"/>
        <v>NM</v>
      </c>
      <c r="EY577" s="80"/>
      <c r="EZ577" s="332"/>
      <c r="FA577" s="80"/>
      <c r="FB577" s="160">
        <f>FB575-FB576</f>
        <v>-459</v>
      </c>
      <c r="FC577" s="161"/>
      <c r="FD577" s="162">
        <f>FD575-FD576</f>
        <v>423</v>
      </c>
      <c r="FE577" s="80" t="str">
        <f t="shared" si="2761"/>
        <v>NM</v>
      </c>
      <c r="FF577" s="162">
        <f>FF575-FF576</f>
        <v>-951</v>
      </c>
      <c r="FG577" s="80" t="str">
        <f t="shared" si="2762"/>
        <v>NM</v>
      </c>
      <c r="FH577" s="162">
        <f>FH575-FH576</f>
        <v>622</v>
      </c>
      <c r="FI577" s="80" t="str">
        <f t="shared" si="2763"/>
        <v>NM</v>
      </c>
      <c r="FJ577" s="162">
        <f>FJ575-FJ576</f>
        <v>-1883</v>
      </c>
      <c r="FK577" s="80" t="str">
        <f t="shared" si="2764"/>
        <v>NM</v>
      </c>
      <c r="FL577" s="162">
        <f>FL575-FL576</f>
        <v>-2548</v>
      </c>
      <c r="FM577" s="80">
        <f t="shared" si="2765"/>
        <v>35.315985130111528</v>
      </c>
      <c r="FN577" s="162">
        <f>FN575-FN576</f>
        <v>-2639</v>
      </c>
      <c r="FO577" s="80">
        <f t="shared" si="2766"/>
        <v>3.5714285714285836</v>
      </c>
      <c r="FP577" s="162">
        <f>FP575-FP576</f>
        <v>-5811</v>
      </c>
      <c r="FQ577" s="80" t="str">
        <f t="shared" si="2767"/>
        <v>NM</v>
      </c>
      <c r="FR577" s="162">
        <f>FR575-FR576</f>
        <v>-4819</v>
      </c>
      <c r="FS577" s="80">
        <f t="shared" si="2768"/>
        <v>-17.071072104629152</v>
      </c>
      <c r="FT577" s="162">
        <f>FT575-FT576</f>
        <v>-5258</v>
      </c>
      <c r="FU577" s="80">
        <f t="shared" si="2769"/>
        <v>9.109773811994188</v>
      </c>
      <c r="FV577" s="162">
        <f>FV575-FV576</f>
        <v>-3344</v>
      </c>
      <c r="FW577" s="80">
        <f t="shared" si="2770"/>
        <v>-36.401673640167367</v>
      </c>
      <c r="FX577" s="162">
        <f>FX575-FX576</f>
        <v>-1868</v>
      </c>
      <c r="FY577" s="80">
        <f t="shared" si="2771"/>
        <v>-44.138755980861241</v>
      </c>
      <c r="FZ577" s="162">
        <f>FZ575-FZ576</f>
        <v>-2026</v>
      </c>
      <c r="GA577" s="80">
        <f t="shared" si="2772"/>
        <v>8.4582441113490319</v>
      </c>
      <c r="GB577" s="162">
        <f>GB575-GB576</f>
        <v>-2792</v>
      </c>
      <c r="GC577" s="80">
        <f t="shared" si="2773"/>
        <v>37.80848963474827</v>
      </c>
      <c r="GD577" s="162">
        <f>GD575-GD576</f>
        <v>-2136</v>
      </c>
      <c r="GE577" s="80">
        <f t="shared" si="2773"/>
        <v>-23.495702005730664</v>
      </c>
      <c r="GF577" s="162">
        <f>GF575-GF576</f>
        <v>-1922</v>
      </c>
      <c r="GG577" s="80">
        <f t="shared" si="2773"/>
        <v>-10.018726591760299</v>
      </c>
      <c r="GH577" s="162">
        <f>GH575-GH576</f>
        <v>-1004</v>
      </c>
      <c r="GI577" s="72">
        <f t="shared" si="2774"/>
        <v>-47.762747138397501</v>
      </c>
      <c r="GJ577" s="162">
        <f>GJ575-GJ576</f>
        <v>1048</v>
      </c>
      <c r="GK577" s="72" t="str">
        <f t="shared" si="2774"/>
        <v>NM</v>
      </c>
      <c r="GL577" s="162">
        <f>GL575-GL576</f>
        <v>263</v>
      </c>
      <c r="GM577" s="72" t="str">
        <f t="shared" si="2774"/>
        <v>NM</v>
      </c>
      <c r="GN577" s="162">
        <f>GN575-GN576</f>
        <v>3273</v>
      </c>
      <c r="GO577" s="72" t="str">
        <f t="shared" si="2774"/>
        <v>NM</v>
      </c>
      <c r="GP577" s="162">
        <f>GP575-GP576</f>
        <v>-337.4609367271982</v>
      </c>
      <c r="GQ577" s="72" t="str">
        <f t="shared" si="2774"/>
        <v>NM</v>
      </c>
      <c r="GR577" s="162">
        <f>GR575-GR576</f>
        <v>-799.86998356355832</v>
      </c>
      <c r="GS577" s="72" t="str">
        <f t="shared" si="2774"/>
        <v>NM</v>
      </c>
      <c r="GT577" s="162">
        <f>GT575-GT576</f>
        <v>-839.86348274173611</v>
      </c>
      <c r="GU577" s="72">
        <f t="shared" si="2774"/>
        <v>4.9999999999999858</v>
      </c>
      <c r="GV577" s="162">
        <f>GV575-GV576</f>
        <v>-881.85665687882306</v>
      </c>
      <c r="GW577" s="72">
        <f t="shared" si="2775"/>
        <v>5.0000000000000284</v>
      </c>
      <c r="GX577" s="162">
        <f>GX575-GX576</f>
        <v>-925.94948972276416</v>
      </c>
      <c r="GY577" s="72">
        <f t="shared" si="2776"/>
        <v>5</v>
      </c>
      <c r="GZ577" s="80" t="str">
        <f t="shared" si="2777"/>
        <v>NM</v>
      </c>
      <c r="HA577" s="80"/>
      <c r="HB577" s="80"/>
      <c r="HC577"/>
      <c r="HD577"/>
      <c r="HE577"/>
      <c r="HF577"/>
      <c r="HG577"/>
      <c r="HH577"/>
      <c r="HI577" s="5"/>
    </row>
    <row r="578" spans="1:217" s="3" customFormat="1" ht="12.75" customHeight="1" x14ac:dyDescent="0.2">
      <c r="B578" s="10"/>
      <c r="C578" s="16"/>
      <c r="D578" s="11"/>
      <c r="E578" s="16"/>
      <c r="F578" s="11"/>
      <c r="G578" s="16"/>
      <c r="H578" s="11"/>
      <c r="I578" s="16"/>
      <c r="J578" s="11"/>
      <c r="K578" s="16"/>
      <c r="L578" s="72"/>
      <c r="M578" s="16"/>
      <c r="N578" s="72"/>
      <c r="O578" s="16"/>
      <c r="P578" s="72"/>
      <c r="Q578" s="16"/>
      <c r="R578" s="72"/>
      <c r="S578" s="16"/>
      <c r="T578" s="72"/>
      <c r="U578" s="16"/>
      <c r="V578" s="72"/>
      <c r="W578" s="16"/>
      <c r="X578" s="72"/>
      <c r="Y578" s="16"/>
      <c r="Z578" s="72"/>
      <c r="AA578" s="16"/>
      <c r="AB578" s="72"/>
      <c r="AC578" s="16"/>
      <c r="AD578" s="72"/>
      <c r="AE578" s="16"/>
      <c r="AF578" s="72"/>
      <c r="AG578" s="16"/>
      <c r="AH578" s="72"/>
      <c r="AI578" s="16"/>
      <c r="AJ578" s="72"/>
      <c r="AK578" s="16"/>
      <c r="AL578" s="72"/>
      <c r="AM578" s="16"/>
      <c r="AN578" s="72"/>
      <c r="AO578" s="16"/>
      <c r="AP578" s="72"/>
      <c r="AQ578" s="16"/>
      <c r="AR578" s="72"/>
      <c r="AS578" s="16"/>
      <c r="AT578" s="72"/>
      <c r="AU578" s="16"/>
      <c r="AV578" s="72"/>
      <c r="AW578" s="16"/>
      <c r="AX578" s="72"/>
      <c r="AY578" s="16"/>
      <c r="AZ578" s="72"/>
      <c r="BA578" s="16"/>
      <c r="BB578" s="72"/>
      <c r="BC578" s="16"/>
      <c r="BD578" s="72"/>
      <c r="BE578" s="16"/>
      <c r="BF578" s="72"/>
      <c r="BG578" s="16"/>
      <c r="BH578" s="72"/>
      <c r="BI578" s="16"/>
      <c r="BJ578" s="72"/>
      <c r="BK578" s="16"/>
      <c r="BL578" s="72"/>
      <c r="BM578" s="16"/>
      <c r="BN578" s="72"/>
      <c r="BO578" s="16"/>
      <c r="BP578" s="72"/>
      <c r="BQ578" s="16"/>
      <c r="BR578" s="72"/>
      <c r="BS578" s="16"/>
      <c r="BT578" s="72"/>
      <c r="BU578" s="16"/>
      <c r="BV578" s="72"/>
      <c r="BW578" s="16"/>
      <c r="BX578" s="72"/>
      <c r="BY578" s="16"/>
      <c r="BZ578" s="72"/>
      <c r="CA578" s="16"/>
      <c r="CB578" s="72"/>
      <c r="CC578" s="16"/>
      <c r="CD578" s="72"/>
      <c r="CE578" s="16"/>
      <c r="CF578" s="72"/>
      <c r="CG578" s="16"/>
      <c r="CH578" s="72"/>
      <c r="CI578" s="16"/>
      <c r="CJ578" s="72"/>
      <c r="CK578" s="16"/>
      <c r="CL578" s="72"/>
      <c r="CM578" s="16"/>
      <c r="CN578" s="72"/>
      <c r="CO578" s="16"/>
      <c r="CP578" s="72"/>
      <c r="CQ578" s="16"/>
      <c r="CR578" s="72"/>
      <c r="CS578" s="16"/>
      <c r="CT578" s="72"/>
      <c r="CU578" s="16"/>
      <c r="CV578" s="72"/>
      <c r="CW578" s="16"/>
      <c r="CX578" s="72"/>
      <c r="CY578" s="16"/>
      <c r="CZ578" s="72"/>
      <c r="DA578" s="16"/>
      <c r="DB578" s="72"/>
      <c r="DC578" s="16"/>
      <c r="DD578" s="72"/>
      <c r="DE578" s="16"/>
      <c r="DF578" s="72"/>
      <c r="DG578" s="16"/>
      <c r="DH578" s="72"/>
      <c r="DI578" s="16"/>
      <c r="DJ578" s="72"/>
      <c r="DK578" s="16"/>
      <c r="DL578" s="72"/>
      <c r="DM578" s="16"/>
      <c r="DN578" s="72"/>
      <c r="DO578" s="16"/>
      <c r="DP578" s="72"/>
      <c r="DQ578" s="16"/>
      <c r="DR578" s="72"/>
      <c r="DS578" s="16"/>
      <c r="DT578" s="72"/>
      <c r="DU578" s="16"/>
      <c r="DV578" s="72"/>
      <c r="DW578" s="9"/>
      <c r="DX578" s="72"/>
      <c r="DY578" s="9"/>
      <c r="DZ578" s="72"/>
      <c r="EA578" s="9"/>
      <c r="EB578" s="72"/>
      <c r="EC578" s="9"/>
      <c r="ED578" s="72"/>
      <c r="EE578" s="9"/>
      <c r="EF578" s="72"/>
      <c r="EG578" s="9"/>
      <c r="EH578" s="72"/>
      <c r="EI578" s="9"/>
      <c r="EJ578" s="72"/>
      <c r="EK578" s="9"/>
      <c r="EL578" s="72"/>
      <c r="EM578" s="9"/>
      <c r="EN578" s="72"/>
      <c r="EO578" s="9"/>
      <c r="EP578" s="72"/>
      <c r="EQ578" s="9"/>
      <c r="ER578" s="72"/>
      <c r="ES578" s="9"/>
      <c r="ET578" s="72"/>
      <c r="EU578" s="9"/>
      <c r="EV578" s="72"/>
      <c r="EW578" s="9"/>
      <c r="EX578" s="72"/>
      <c r="EY578" s="72"/>
      <c r="EZ578" s="296"/>
      <c r="FA578" s="72"/>
      <c r="FB578" s="16"/>
      <c r="FC578" s="11"/>
      <c r="FD578" s="9"/>
      <c r="FE578" s="72"/>
      <c r="FF578" s="9"/>
      <c r="FG578" s="72"/>
      <c r="FH578" s="9"/>
      <c r="FI578" s="72"/>
      <c r="FJ578" s="9"/>
      <c r="FK578" s="72"/>
      <c r="FL578" s="9"/>
      <c r="FM578" s="72"/>
      <c r="FN578" s="9"/>
      <c r="FO578" s="72"/>
      <c r="FP578" s="9"/>
      <c r="FQ578" s="72"/>
      <c r="FR578" s="9"/>
      <c r="FS578" s="72"/>
      <c r="FT578" s="9"/>
      <c r="FU578" s="72"/>
      <c r="FV578" s="9"/>
      <c r="FW578" s="72"/>
      <c r="FX578" s="9"/>
      <c r="FY578" s="72"/>
      <c r="FZ578" s="9"/>
      <c r="GA578" s="72"/>
      <c r="GB578" s="9"/>
      <c r="GC578" s="72"/>
      <c r="GD578" s="9"/>
      <c r="GE578" s="72"/>
      <c r="GF578" s="9"/>
      <c r="GG578" s="72"/>
      <c r="GH578" s="9"/>
      <c r="GI578" s="72"/>
      <c r="GJ578" s="9"/>
      <c r="GK578" s="72"/>
      <c r="GL578" s="9"/>
      <c r="GM578" s="72"/>
      <c r="GN578" s="9"/>
      <c r="GO578" s="72"/>
      <c r="GP578" s="9"/>
      <c r="GQ578" s="72"/>
      <c r="GR578" s="9"/>
      <c r="GS578" s="72"/>
      <c r="GT578" s="9"/>
      <c r="GU578" s="72"/>
      <c r="GV578" s="9"/>
      <c r="GW578" s="72"/>
      <c r="GX578" s="9"/>
      <c r="GY578" s="72"/>
      <c r="GZ578" s="72"/>
      <c r="HA578" s="72"/>
      <c r="HB578" s="72"/>
      <c r="HC578"/>
      <c r="HD578"/>
      <c r="HE578"/>
      <c r="HF578"/>
      <c r="HG578"/>
      <c r="HH578"/>
      <c r="HI578" s="2"/>
    </row>
    <row r="579" spans="1:217" s="3" customFormat="1" ht="12.75" customHeight="1" x14ac:dyDescent="0.2">
      <c r="B579" s="10" t="s">
        <v>224</v>
      </c>
      <c r="C579" s="145"/>
      <c r="D579" s="11"/>
      <c r="E579" s="145"/>
      <c r="F579" s="11"/>
      <c r="G579" s="145"/>
      <c r="H579" s="11"/>
      <c r="I579" s="145"/>
      <c r="J579" s="11"/>
      <c r="K579" s="145">
        <f>K539+K577</f>
        <v>562.97744360902254</v>
      </c>
      <c r="L579" s="72" t="str">
        <f>IF(ISERROR(K579/C579),"NA",IF(OR(K579/C579&gt;2,K579/C579&lt;0.5),"NM",K579/C579*100-100))</f>
        <v>NA</v>
      </c>
      <c r="M579" s="145">
        <f>M539+M577</f>
        <v>503.5</v>
      </c>
      <c r="N579" s="72" t="str">
        <f>IF(ISERROR(M579/E579),"NA",IF(OR(M579/E579&gt;2,M579/E579&lt;0.5),"NM",M579/E579*100-100))</f>
        <v>NA</v>
      </c>
      <c r="O579" s="145">
        <f>O539+O577</f>
        <v>306.9316239316239</v>
      </c>
      <c r="P579" s="72" t="str">
        <f>IF(ISERROR(O579/G579),"NA",IF(OR(O579/G579&gt;2,O579/G579&lt;0.5),"NM",O579/G579*100-100))</f>
        <v>NA</v>
      </c>
      <c r="Q579" s="145">
        <f>Q539+Q577</f>
        <v>-298.16582914572859</v>
      </c>
      <c r="R579" s="72" t="str">
        <f>IF(ISERROR(Q579/I579),"NA",IF(OR(Q579/I579&gt;2,Q579/I579&lt;0.5),"NM",Q579/I579*100-100))</f>
        <v>NA</v>
      </c>
      <c r="S579" s="145">
        <f>S539+S577</f>
        <v>445</v>
      </c>
      <c r="T579" s="72">
        <f>IF(ISERROR(S579/K579),"NA",IF(OR(S579/K579&gt;2,S579/K579&lt;0.5),"NM",S579/K579*100-100))</f>
        <v>-20.955980554516799</v>
      </c>
      <c r="U579" s="145">
        <f>U539+U577</f>
        <v>279</v>
      </c>
      <c r="V579" s="72">
        <f>IF(ISERROR(U579/M579),"NA",IF(OR(U579/M579&gt;2,U579/M579&lt;0.5),"NM",U579/M579*100-100))</f>
        <v>-44.587884806355518</v>
      </c>
      <c r="W579" s="145">
        <f>W539+W577</f>
        <v>517</v>
      </c>
      <c r="X579" s="72">
        <f>IF(ISERROR(W579/O579),"NA",IF(OR(W579/O579&gt;2,W579/O579&lt;0.5),"NM",W579/O579*100-100))</f>
        <v>68.441424633120789</v>
      </c>
      <c r="Y579" s="145">
        <f>Y539+Y577</f>
        <v>134</v>
      </c>
      <c r="Z579" s="72" t="str">
        <f>IF(ISERROR(Y579/Q579),"NA",IF(OR(Y579/Q579&gt;2,Y579/Q579&lt;0.5),"NM",Y579/Q579*100-100))</f>
        <v>NM</v>
      </c>
      <c r="AA579" s="145">
        <f>AA539+AA577</f>
        <v>377</v>
      </c>
      <c r="AB579" s="72">
        <f>IF(ISERROR(AA579/S579),"NA",IF(OR(AA579/S579&gt;2,AA579/S579&lt;0.5),"NM",AA579/S579*100-100))</f>
        <v>-15.280898876404493</v>
      </c>
      <c r="AC579" s="145">
        <f>AC539+AC577</f>
        <v>302</v>
      </c>
      <c r="AD579" s="72">
        <f>IF(ISERROR(AC579/U579),"NA",IF(OR(AC579/U579&gt;2,AC579/U579&lt;0.5),"NM",AC579/U579*100-100))</f>
        <v>8.2437275985663092</v>
      </c>
      <c r="AE579" s="145">
        <f>AE539+AE577</f>
        <v>413</v>
      </c>
      <c r="AF579" s="72">
        <f>IF(ISERROR(AE579/W579),"NA",IF(OR(AE579/W579&gt;2,AE579/W579&lt;0.5),"NM",AE579/W579*100-100))</f>
        <v>-20.116054158607355</v>
      </c>
      <c r="AG579" s="145">
        <f>AG539+AG577</f>
        <v>733</v>
      </c>
      <c r="AH579" s="72" t="str">
        <f>IF(ISERROR(AG579/Y579),"NA",IF(OR(AG579/Y579&gt;2,AG579/Y579&lt;0.5),"NM",AG579/Y579*100-100))</f>
        <v>NM</v>
      </c>
      <c r="AI579" s="145">
        <f>AI539+AI577</f>
        <v>557</v>
      </c>
      <c r="AJ579" s="72">
        <f>IF(ISERROR(AI579/AA579),"NA",IF(OR(AI579/AA579&gt;2,AI579/AA579&lt;0.5),"NM",AI579/AA579*100-100))</f>
        <v>47.745358090185675</v>
      </c>
      <c r="AK579" s="145">
        <f>AK539+AK577</f>
        <v>732</v>
      </c>
      <c r="AL579" s="72" t="str">
        <f>IF(ISERROR(AK579/AC579),"NA",IF(OR(AK579/AC579&gt;2,AK579/AC579&lt;0.5),"NM",AK579/AC579*100-100))</f>
        <v>NM</v>
      </c>
      <c r="AM579" s="145">
        <f>AM539+AM577</f>
        <v>807</v>
      </c>
      <c r="AN579" s="72">
        <f>IF(ISERROR(AM579/AE579),"NA",IF(OR(AM579/AE579&gt;2,AM579/AE579&lt;0.5),"NM",AM579/AE579*100-100))</f>
        <v>95.399515738498792</v>
      </c>
      <c r="AO579" s="145">
        <f>AO539+AO577</f>
        <v>657</v>
      </c>
      <c r="AP579" s="72">
        <f>IF(ISERROR(AO579/AG579),"NA",IF(OR(AO579/AG579&gt;2,AO579/AG579&lt;0.5),"NM",AO579/AG579*100-100))</f>
        <v>-10.368349249658934</v>
      </c>
      <c r="AQ579" s="145">
        <f>AQ539+AQ577</f>
        <v>1037</v>
      </c>
      <c r="AR579" s="72">
        <f>IF(ISERROR(AQ579/AI579),"NA",IF(OR(AQ579/AI579&gt;2,AQ579/AI579&lt;0.5),"NM",AQ579/AI579*100-100))</f>
        <v>86.175942549371655</v>
      </c>
      <c r="AS579" s="145">
        <f>AS539+AS577</f>
        <v>1039</v>
      </c>
      <c r="AT579" s="72">
        <f>IF(ISERROR(AS579/AK579),"NA",IF(OR(AS579/AK579&gt;2,AS579/AK579&lt;0.5),"NM",AS579/AK579*100-100))</f>
        <v>41.939890710382514</v>
      </c>
      <c r="AU579" s="145">
        <f>AU539+AU577</f>
        <v>1597</v>
      </c>
      <c r="AV579" s="72">
        <f>IF(ISERROR(AU579/AM579),"NA",IF(OR(AU579/AM579&gt;2,AU579/AM579&lt;0.5),"NM",AU579/AM579*100-100))</f>
        <v>97.893432465923183</v>
      </c>
      <c r="AW579" s="145">
        <f>AW539+AW577</f>
        <v>600</v>
      </c>
      <c r="AX579" s="72">
        <f>IF(ISERROR(AW579/AO579),"NA",IF(OR(AW579/AO579&gt;2,AW579/AO579&lt;0.5),"NM",AW579/AO579*100-100))</f>
        <v>-8.6757990867579906</v>
      </c>
      <c r="AY579" s="145">
        <f>AY552+AY577</f>
        <v>610</v>
      </c>
      <c r="AZ579" s="72">
        <f>IF(ISERROR(AY579/AQ579),"NA",IF(OR(AY579/AQ579&gt;2,AY579/AQ579&lt;0.5),"NM",AY579/AQ579*100-100))</f>
        <v>-41.17647058823529</v>
      </c>
      <c r="BA579" s="145">
        <f>BA552+BA577</f>
        <v>404</v>
      </c>
      <c r="BB579" s="72" t="str">
        <f>IF(ISERROR(BA579/AS579),"NA",IF(OR(BA579/AS579&gt;2,BA579/AS579&lt;0.5),"NM",BA579/AS579*100-100))</f>
        <v>NM</v>
      </c>
      <c r="BC579" s="145">
        <f>BC552+BC577</f>
        <v>1030</v>
      </c>
      <c r="BD579" s="72">
        <f>IF(ISERROR(BC579/AU579),"NA",IF(OR(BC579/AU579&gt;2,BC579/AU579&lt;0.5),"NM",BC579/AU579*100-100))</f>
        <v>-35.504070131496562</v>
      </c>
      <c r="BE579" s="145">
        <f>BE552+BE577</f>
        <v>738</v>
      </c>
      <c r="BF579" s="72">
        <f>IF(ISERROR(BE579/AW579),"NA",IF(OR(BE579/AW579&gt;2,BE579/AW579&lt;0.5),"NM",BE579/AW579*100-100))</f>
        <v>23</v>
      </c>
      <c r="BG579" s="145">
        <f>BG552+BG577</f>
        <v>734.59999999999991</v>
      </c>
      <c r="BH579" s="72">
        <f>IF(ISERROR(BG579/AY579),"NA",IF(OR(BG579/AY579&gt;2,BG579/AY579&lt;0.5),"NM",BG579/AY579*100-100))</f>
        <v>20.426229508196698</v>
      </c>
      <c r="BI579" s="145">
        <f>BI552+BI577</f>
        <v>621</v>
      </c>
      <c r="BJ579" s="72">
        <f>IF(ISERROR(BI579/BA579),"NA",IF(OR(BI579/BA579&gt;2,BI579/BA579&lt;0.5),"NM",BI579/BA579*100-100))</f>
        <v>53.712871287128706</v>
      </c>
      <c r="BK579" s="145">
        <f>BK552+BK577</f>
        <v>737</v>
      </c>
      <c r="BL579" s="72">
        <f>IF(ISERROR(BK579/BC579),"NA",IF(OR(BK579/BC579&gt;2,BK579/BC579&lt;0.5),"NM",BK579/BC579*100-100))</f>
        <v>-28.446601941747574</v>
      </c>
      <c r="BM579" s="145">
        <f>BM552+BM577</f>
        <v>728</v>
      </c>
      <c r="BN579" s="72">
        <f>IF(ISERROR(BM579/BE579),"NA",IF(OR(BM579/BE579&gt;2,BM579/BE579&lt;0.5),"NM",BM579/BE579*100-100))</f>
        <v>-1.3550135501354958</v>
      </c>
      <c r="BO579" s="145">
        <f>BO552+BO577</f>
        <v>20</v>
      </c>
      <c r="BP579" s="72" t="str">
        <f>IF(ISERROR(BO579/BG579),"NA",IF(OR(BO579/BG579&gt;2,BO579/BG579&lt;0.5),"NM",BO579/BG579*100-100))</f>
        <v>NM</v>
      </c>
      <c r="BQ579" s="145">
        <f>BQ552+BQ577</f>
        <v>537</v>
      </c>
      <c r="BR579" s="72">
        <f>IF(ISERROR(BQ579/BI579),"NA",IF(OR(BQ579/BI579&gt;2,BQ579/BI579&lt;0.5),"NM",BQ579/BI579*100-100))</f>
        <v>-13.526570048309182</v>
      </c>
      <c r="BS579" s="145">
        <f>BS552+BS577</f>
        <v>-7</v>
      </c>
      <c r="BT579" s="72" t="str">
        <f>IF(ISERROR(BS579/BK579),"NA",IF(OR(BS579/BK579&gt;2,BS579/BK579&lt;0.5),"NM",BS579/BK579*100-100))</f>
        <v>NM</v>
      </c>
      <c r="BU579" s="145">
        <f>BU552+BU577</f>
        <v>-1282</v>
      </c>
      <c r="BV579" s="72" t="str">
        <f>IF(ISERROR(BU579/BM579),"NA",IF(OR(BU579/BM579&gt;2,BU579/BM579&lt;0.5),"NM",BU579/BM579*100-100))</f>
        <v>NM</v>
      </c>
      <c r="BW579" s="145">
        <f>BW552+BW577</f>
        <v>-18</v>
      </c>
      <c r="BX579" s="72" t="str">
        <f>IF(ISERROR(BW579/BO579),"NA",IF(OR(BW579/BO579&gt;2,BW579/BO579&lt;0.5),"NM",BW579/BO579*100-100))</f>
        <v>NM</v>
      </c>
      <c r="BY579" s="145">
        <f>BY552+BY577</f>
        <v>521</v>
      </c>
      <c r="BZ579" s="72">
        <f>IF(ISERROR(BY579/BQ579),"NA",IF(OR(BY579/BQ579&gt;2,BY579/BQ579&lt;0.5),"NM",BY579/BQ579*100-100))</f>
        <v>-2.9795158286778332</v>
      </c>
      <c r="CA579" s="145">
        <f>CA552+CA577</f>
        <v>1009</v>
      </c>
      <c r="CB579" s="72" t="str">
        <f>IF(ISERROR(CA579/BS579),"NA",IF(OR(CA579/BS579&gt;2,CA579/BS579&lt;0.5),"NM",CA579/BS579*100-100))</f>
        <v>NM</v>
      </c>
      <c r="CC579" s="145">
        <f>CC552+CC577</f>
        <v>361</v>
      </c>
      <c r="CD579" s="72" t="str">
        <f>IF(ISERROR(CC579/BU579),"NA",IF(OR(CC579/BU579&gt;2,CC579/BU579&lt;0.5),"NM",CC579/BU579*100-100))</f>
        <v>NM</v>
      </c>
      <c r="CE579" s="145">
        <f>CE552+CE577</f>
        <v>448</v>
      </c>
      <c r="CF579" s="72" t="str">
        <f>IF(ISERROR(CE579/BW579),"NA",IF(OR(CE579/BW579&gt;2,CE579/BW579&lt;0.5),"NM",CE579/BW579*100-100))</f>
        <v>NM</v>
      </c>
      <c r="CG579" s="145">
        <f>CG552+CG577</f>
        <v>831</v>
      </c>
      <c r="CH579" s="72">
        <f>IF(ISERROR(CG579/BY579),"NA",IF(OR(CG579/BY579&gt;2,CG579/BY579&lt;0.5),"NM",CG579/BY579*100-100))</f>
        <v>59.500959692898277</v>
      </c>
      <c r="CI579" s="145">
        <f>CI552+CI577</f>
        <v>1059</v>
      </c>
      <c r="CJ579" s="72">
        <f>IF(ISERROR(CI579/CA579),"NA",IF(OR(CI579/CA579&gt;2,CI579/CA579&lt;0.5),"NM",CI579/CA579*100-100))</f>
        <v>4.9554013875123815</v>
      </c>
      <c r="CK579" s="145">
        <f>CK552+CK577</f>
        <v>59</v>
      </c>
      <c r="CL579" s="72" t="str">
        <f>IF(ISERROR(CK579/CC579),"NA",IF(OR(CK579/CC579&gt;2,CK579/CC579&lt;0.5),"NM",CK579/CC579*100-100))</f>
        <v>NM</v>
      </c>
      <c r="CM579" s="145">
        <f>CM552+CM577</f>
        <v>446</v>
      </c>
      <c r="CN579" s="72">
        <f>IF(ISERROR(CM579/CE579),"NA",IF(OR(CM579/CE579&gt;2,CM579/CE579&lt;0.5),"NM",CM579/CE579*100-100))</f>
        <v>-0.4464285714285694</v>
      </c>
      <c r="CO579" s="145">
        <f>CO552+CO577</f>
        <v>782</v>
      </c>
      <c r="CP579" s="72">
        <f>IF(ISERROR(CO579/CG579),"NA",IF(OR(CO579/CG579&gt;2,CO579/CG579&lt;0.5),"NM",CO579/CG579*100-100))</f>
        <v>-5.8965102286401958</v>
      </c>
      <c r="CQ579" s="145">
        <f>CQ552+CQ577</f>
        <v>1514</v>
      </c>
      <c r="CR579" s="72">
        <f>IF(ISERROR(CQ579/CI579),"NA",IF(OR(CQ579/CI579&gt;2,CQ579/CI579&lt;0.5),"NM",CQ579/CI579*100-100))</f>
        <v>42.965061378659129</v>
      </c>
      <c r="CS579" s="145">
        <f>CS552+CS577</f>
        <v>515</v>
      </c>
      <c r="CT579" s="72" t="str">
        <f>IF(ISERROR(CS579/CK579),"NA",IF(OR(CS579/CK579&gt;2,CS579/CK579&lt;0.5),"NM",CS579/CK579*100-100))</f>
        <v>NM</v>
      </c>
      <c r="CU579" s="145">
        <f>CU552+CU577</f>
        <v>-944</v>
      </c>
      <c r="CV579" s="72" t="str">
        <f>IF(ISERROR(CU579/CM579),"NA",IF(OR(CU579/CM579&gt;2,CU579/CM579&lt;0.5),"NM",CU579/CM579*100-100))</f>
        <v>NM</v>
      </c>
      <c r="CW579" s="145">
        <f>CW552+CW577</f>
        <v>2233</v>
      </c>
      <c r="CX579" s="72" t="str">
        <f>IF(ISERROR(CW579/CO579),"NA",IF(OR(CW579/CO579&gt;2,CW579/CO579&lt;0.5),"NM",CW579/CO579*100-100))</f>
        <v>NM</v>
      </c>
      <c r="CY579" s="145">
        <f>CY552+CY577</f>
        <v>-638</v>
      </c>
      <c r="CZ579" s="72" t="str">
        <f>IF(ISERROR(CY579/CQ579),"NA",IF(OR(CY579/CQ579&gt;2,CY579/CQ579&lt;0.5),"NM",CY579/CQ579*100-100))</f>
        <v>NM</v>
      </c>
      <c r="DA579" s="145">
        <f>DA552+DA577</f>
        <v>-174</v>
      </c>
      <c r="DB579" s="72" t="str">
        <f>IF(ISERROR(DA579/CS579),"NA",IF(OR(DA579/CS579&gt;2,DA579/CS579&lt;0.5),"NM",DA579/CS579*100-100))</f>
        <v>NM</v>
      </c>
      <c r="DC579" s="145">
        <f>DC552+DC577</f>
        <v>-747</v>
      </c>
      <c r="DD579" s="72">
        <f>IF(ISERROR(DC579/CU579),"NA",IF(OR(DC579/CU579&gt;2,DC579/CU579&lt;0.5),"NM",DC579/CU579*100-100))</f>
        <v>-20.868644067796609</v>
      </c>
      <c r="DE579" s="145">
        <f>DE552+DE577</f>
        <v>-497</v>
      </c>
      <c r="DF579" s="72" t="str">
        <f>IF(ISERROR(DE579/CW579),"NA",IF(OR(DE579/CW579&gt;2,DE579/CW579&lt;0.5),"NM",DE579/CW579*100-100))</f>
        <v>NM</v>
      </c>
      <c r="DG579" s="115">
        <f>DG552+DG577</f>
        <v>968</v>
      </c>
      <c r="DH579" s="72" t="str">
        <f>IF(ISERROR(DG579/CY579),"NA",IF(OR(DG579/CY579&gt;2,DG579/CY579&lt;0.5),"NM",DG579/CY579*100-100))</f>
        <v>NM</v>
      </c>
      <c r="DI579" s="115">
        <f>DI552+DI577</f>
        <v>-396</v>
      </c>
      <c r="DJ579" s="72" t="str">
        <f>IF(ISERROR(DI579/DA579),"NA",IF(OR(DI579/DA579&gt;2,DI579/DA579&lt;0.5),"NM",DI579/DA579*100-100))</f>
        <v>NM</v>
      </c>
      <c r="DK579" s="115">
        <f>DK552+DK577</f>
        <v>1232</v>
      </c>
      <c r="DL579" s="72" t="str">
        <f>IF(ISERROR(DK579/DC579),"NA",IF(OR(DK579/DC579&gt;2,DK579/DC579&lt;0.5),"NM",DK579/DC579*100-100))</f>
        <v>NM</v>
      </c>
      <c r="DM579" s="115">
        <f>DM552+DM577</f>
        <v>1062</v>
      </c>
      <c r="DN579" s="72" t="str">
        <f>IF(ISERROR(DM579/DE579),"NA",IF(OR(DM579/DE579&gt;2,DM579/DE579&lt;0.5),"NM",DM579/DE579*100-100))</f>
        <v>NM</v>
      </c>
      <c r="DO579" s="115">
        <f>DO552+DO577</f>
        <v>471</v>
      </c>
      <c r="DP579" s="72" t="str">
        <f>IF(ISERROR(DO579/DG579),"NA",IF(OR(DO579/DG579&gt;2,DO579/DG579&lt;0.5),"NM",DO579/DG579*100-100))</f>
        <v>NM</v>
      </c>
      <c r="DQ579" s="115">
        <f>DQ552+DQ577</f>
        <v>-1202</v>
      </c>
      <c r="DR579" s="72" t="str">
        <f>IF(ISERROR(DQ579/DI579),"NA",IF(OR(DQ579/DI579&gt;2,DQ579/DI579&lt;0.5),"NM",DQ579/DI579*100-100))</f>
        <v>NM</v>
      </c>
      <c r="DS579" s="115">
        <f>DS552+DS577</f>
        <v>2049</v>
      </c>
      <c r="DT579" s="72">
        <f>IF(ISERROR(DS579/DK579),"NA",IF(OR(DS579/DK579&gt;2,DS579/DK579&lt;0.5),"NM",DS579/DK579*100-100))</f>
        <v>66.314935064935071</v>
      </c>
      <c r="DU579" s="115">
        <f>DU552+DU577</f>
        <v>1450</v>
      </c>
      <c r="DV579" s="72">
        <f>IF(ISERROR(DU579/DM579),"NA",IF(OR(DU579/DM579&gt;2,DU579/DM579&lt;0.5),"NM",DU579/DM579*100-100))</f>
        <v>36.53483992467045</v>
      </c>
      <c r="DW579" s="145">
        <f>DW552+DW577</f>
        <v>1465</v>
      </c>
      <c r="DX579" s="72" t="str">
        <f>IF(ISERROR(DW579/DO579),"NA",IF(OR(DW579/DO579&gt;2,DW579/DO579&lt;0.5),"NM",DW579/DO579*100-100))</f>
        <v>NM</v>
      </c>
      <c r="DY579" s="145">
        <f>DY552+DY577</f>
        <v>733</v>
      </c>
      <c r="DZ579" s="72" t="str">
        <f>IF(ISERROR(DY579/DQ579),"NA",IF(OR(DY579/DQ579&gt;2,DY579/DQ579&lt;0.5),"NM",DY579/DQ579*100-100))</f>
        <v>NM</v>
      </c>
      <c r="EA579" s="145">
        <f>EA552+EA577</f>
        <v>1364</v>
      </c>
      <c r="EB579" s="72">
        <f>IF(ISERROR(EA579/DS579),"NA",IF(OR(EA579/DS579&gt;2,EA579/DS579&lt;0.5),"NM",EA579/DS579*100-100))</f>
        <v>-33.430941922889218</v>
      </c>
      <c r="EC579" s="145">
        <f>EC552+EC577</f>
        <v>910</v>
      </c>
      <c r="ED579" s="72">
        <f>IF(ISERROR(EC579/DU579),"NA",IF(OR(EC579/DU579&gt;2,EC579/DU579&lt;0.5),"NM",EC579/DU579*100-100))</f>
        <v>-37.241379310344826</v>
      </c>
      <c r="EE579" s="145">
        <f>EE552+EE577</f>
        <v>1814</v>
      </c>
      <c r="EF579" s="72">
        <f>IF(ISERROR(EE579/DW579),"NA",IF(OR(EE579/DW579&gt;2,EE579/DW579&lt;0.5),"NM",EE579/DW579*100-100))</f>
        <v>23.822525597269632</v>
      </c>
      <c r="EG579" s="145">
        <f>EG552+EG577</f>
        <v>282</v>
      </c>
      <c r="EH579" s="72" t="str">
        <f>IF(ISERROR(EG579/DY579),"NA",IF(OR(EG579/DY579&gt;2,EG579/DY579&lt;0.5),"NM",EG579/DY579*100-100))</f>
        <v>NM</v>
      </c>
      <c r="EI579" s="145">
        <f>EI552+EI577</f>
        <v>1347</v>
      </c>
      <c r="EJ579" s="72">
        <f>IF(ISERROR(EI579/EA579),"NA",IF(OR(EI579/EA579&gt;2,EI579/EA579&lt;0.5),"NM",EI579/EA579*100-100))</f>
        <v>-1.2463343108504432</v>
      </c>
      <c r="EK579" s="145">
        <f>EK552+EK577</f>
        <v>483</v>
      </c>
      <c r="EL579" s="72">
        <f>IF(ISERROR(EK579/EC579),"NA",IF(OR(EK579/EC579&gt;2,EK579/EC579&lt;0.5),"NM",EK579/EC579*100-100))</f>
        <v>-46.92307692307692</v>
      </c>
      <c r="EM579" s="145">
        <f>EM552+EM577</f>
        <v>2221</v>
      </c>
      <c r="EN579" s="72">
        <f>IF(ISERROR(EM579/EE579),"NA",IF(OR(EM579/EE579&gt;2,EM579/EE579&lt;0.5),"NM",EM579/EE579*100-100))</f>
        <v>22.436604189636157</v>
      </c>
      <c r="EO579" s="145">
        <f>EO552+EO577</f>
        <v>3874</v>
      </c>
      <c r="EP579" s="72" t="str">
        <f>IF(ISERROR(EO579/EG579),"NA",IF(OR(EO579/EG579&gt;2,EO579/EG579&lt;0.5),"NM",EO579/EG579*100-100))</f>
        <v>NM</v>
      </c>
      <c r="EQ579" s="145">
        <f t="shared" ref="EQ579" si="2794">EQ552+EQ577</f>
        <v>2169.5916299288165</v>
      </c>
      <c r="ER579" s="72">
        <f t="shared" ref="ER579" si="2795">IF(ISERROR(EQ579/EI579),"NA",IF(OR(EQ579/EI579&gt;2,EQ579/EI579&lt;0.5),"NM",EQ579/EI579*100-100))</f>
        <v>61.068420930127445</v>
      </c>
      <c r="ES579" s="145">
        <f t="shared" ref="ES579" si="2796">ES552+ES577</f>
        <v>961.19494269956499</v>
      </c>
      <c r="ET579" s="72">
        <f t="shared" ref="ET579" si="2797">IF(ISERROR(ES579/EK579),"NA",IF(OR(ES579/EK579&gt;2,ES579/EK579&lt;0.5),"NM",ES579/EK579*100-100))</f>
        <v>99.00516411999277</v>
      </c>
      <c r="EU579" s="145">
        <f t="shared" ref="EU579" si="2798">EU552+EU577</f>
        <v>940.06473018106681</v>
      </c>
      <c r="EV579" s="72" t="str">
        <f t="shared" ref="EV579" si="2799">IF(ISERROR(EU579/EM579),"NA",IF(OR(EU579/EM579&gt;2,EU579/EM579&lt;0.5),"NM",EU579/EM579*100-100))</f>
        <v>NM</v>
      </c>
      <c r="EW579" s="145">
        <f t="shared" ref="EW579" si="2800">EW552+EW577</f>
        <v>803.73349126113294</v>
      </c>
      <c r="EX579" s="72" t="str">
        <f t="shared" ref="EX579" si="2801">IF(ISERROR(EW579/EO579),"NA",IF(OR(EW579/EO579&gt;2,EW579/EO579&lt;0.5),"NM",EW579/EO579*100-100))</f>
        <v>NM</v>
      </c>
      <c r="EY579" s="72"/>
      <c r="EZ579" s="296"/>
      <c r="FA579" s="72"/>
      <c r="FB579" s="145"/>
      <c r="FC579" s="11"/>
      <c r="FD579" s="145">
        <f>FD552+FD577</f>
        <v>643</v>
      </c>
      <c r="FE579" s="72" t="str">
        <f>IF(ISERROR(FD579/FB579),"NA",IF(OR(FD579/FB579&gt;2,FD579/FB579&lt;0.5),"NM",FD579/FB579*100-100))</f>
        <v>NA</v>
      </c>
      <c r="FF579" s="145">
        <f>FF552+FF577</f>
        <v>-707</v>
      </c>
      <c r="FG579" s="72" t="str">
        <f>IF(ISERROR(FF579/FD579),"NA",IF(OR(FF579/FD579&gt;2,FF579/FD579&lt;0.5),"NM",FF579/FD579*100-100))</f>
        <v>NM</v>
      </c>
      <c r="FH579" s="145">
        <f>FH552+FH577</f>
        <v>1187</v>
      </c>
      <c r="FI579" s="72" t="str">
        <f>IF(ISERROR(FH579/FF579),"NA",IF(OR(FH579/FF579&gt;2,FH579/FF579&lt;0.5),"NM",FH579/FF579*100-100))</f>
        <v>NM</v>
      </c>
      <c r="FJ579" s="145">
        <f>FJ552+FJ577</f>
        <v>-1163</v>
      </c>
      <c r="FK579" s="72" t="str">
        <f>IF(ISERROR(FJ579/FH579),"NA",IF(OR(FJ579/FH579&gt;2,FJ579/FH579&lt;0.5),"NM",FJ579/FH579*100-100))</f>
        <v>NM</v>
      </c>
      <c r="FL579" s="145">
        <f>FL552+FL577</f>
        <v>-1464</v>
      </c>
      <c r="FM579" s="72">
        <f>IF(ISERROR(FL579/FJ579),"NA",IF(OR(FL579/FJ579&gt;2,FL579/FJ579&lt;0.5),"NM",FL579/FJ579*100-100))</f>
        <v>25.88134135855546</v>
      </c>
      <c r="FN579" s="145">
        <f>FN552+FN577</f>
        <v>-1004</v>
      </c>
      <c r="FO579" s="72">
        <f>IF(ISERROR(FN579/FL579),"NA",IF(OR(FN579/FL579&gt;2,FN579/FL579&lt;0.5),"NM",FN579/FL579*100-100))</f>
        <v>-31.420765027322403</v>
      </c>
      <c r="FP579" s="145">
        <f>FP552+FP577</f>
        <v>-3725</v>
      </c>
      <c r="FQ579" s="72" t="str">
        <f>IF(ISERROR(FP579/FN579),"NA",IF(OR(FP579/FN579&gt;2,FP579/FN579&lt;0.5),"NM",FP579/FN579*100-100))</f>
        <v>NM</v>
      </c>
      <c r="FR579" s="145">
        <f>FR552+FR577</f>
        <v>-2531</v>
      </c>
      <c r="FS579" s="72">
        <f>IF(ISERROR(FR579/FP579),"NA",IF(OR(FR579/FP579&gt;2,FR579/FP579&lt;0.5),"NM",FR579/FP579*100-100))</f>
        <v>-32.053691275167779</v>
      </c>
      <c r="FT579" s="145">
        <f>FT552+FT577</f>
        <v>-2503.3999999999996</v>
      </c>
      <c r="FU579" s="72">
        <f>IF(ISERROR(FT579/FR579),"NA",IF(OR(FT579/FR579&gt;2,FT579/FR579&lt;0.5),"NM",FT579/FR579*100-100))</f>
        <v>-1.0904780719083504</v>
      </c>
      <c r="FV579" s="145">
        <f>FV552+FV577</f>
        <v>-3993</v>
      </c>
      <c r="FW579" s="72">
        <f>IF(ISERROR(FV579/FT579),"NA",IF(OR(FV579/FT579&gt;2,FV579/FT579&lt;0.5),"NM",FV579/FT579*100-100))</f>
        <v>59.503075816889037</v>
      </c>
      <c r="FX579" s="145">
        <f>FX552+FX577</f>
        <v>-752</v>
      </c>
      <c r="FY579" s="72" t="str">
        <f>IF(ISERROR(FX579/FV579),"NA",IF(OR(FX579/FV579&gt;2,FX579/FV579&lt;0.5),"NM",FX579/FV579*100-100))</f>
        <v>NM</v>
      </c>
      <c r="FZ579" s="145">
        <f>FZ552+FZ577</f>
        <v>23</v>
      </c>
      <c r="GA579" s="72" t="str">
        <f>IF(ISERROR(FZ579/FX579),"NA",IF(OR(FZ579/FX579&gt;2,FZ579/FX579&lt;0.5),"NM",FZ579/FX579*100-100))</f>
        <v>NM</v>
      </c>
      <c r="GB579" s="145">
        <f>GB552+GB577</f>
        <v>-506</v>
      </c>
      <c r="GC579" s="72" t="str">
        <f>IF(ISERROR(GB579/FZ579),"NA",IF(OR(GB579/FZ579&gt;2,GB579/FZ579&lt;0.5),"NM",GB579/FZ579*100-100))</f>
        <v>NM</v>
      </c>
      <c r="GD579" s="145">
        <f>GD552+GD577</f>
        <v>342</v>
      </c>
      <c r="GE579" s="72" t="str">
        <f>IF(ISERROR(GD579/GB579),"NA",IF(OR(GD579/GB579&gt;2,GD579/GB579&lt;0.5),"NM",GD579/GB579*100-100))</f>
        <v>NM</v>
      </c>
      <c r="GF579" s="145">
        <f>GF552+GF577</f>
        <v>2853</v>
      </c>
      <c r="GG579" s="72" t="str">
        <f>IF(ISERROR(GF579/GD579),"NA",IF(OR(GF579/GD579&gt;2,GF579/GD579&lt;0.5),"NM",GF579/GD579*100-100))</f>
        <v>NM</v>
      </c>
      <c r="GH579" s="145">
        <f>GH552+GH577</f>
        <v>3260</v>
      </c>
      <c r="GI579" s="72">
        <f t="shared" ref="GI579:GU579" si="2802">IF(ISERROR(GH579/GF579),"NA",IF(OR(GH579/GF579&gt;2,GH579/GF579&lt;0.5),"NM",GH579/GF579*100-100))</f>
        <v>14.26568524360323</v>
      </c>
      <c r="GJ579" s="145">
        <f>GJ552+GJ577</f>
        <v>5697</v>
      </c>
      <c r="GK579" s="72">
        <f t="shared" si="2802"/>
        <v>74.754601226993856</v>
      </c>
      <c r="GL579" s="145">
        <f>GL552+GL577</f>
        <v>4370</v>
      </c>
      <c r="GM579" s="72">
        <f t="shared" si="2802"/>
        <v>-23.29296120765315</v>
      </c>
      <c r="GN579" s="145">
        <f>GN552+GN577</f>
        <v>7925</v>
      </c>
      <c r="GO579" s="72">
        <f t="shared" si="2802"/>
        <v>81.350114416475975</v>
      </c>
      <c r="GP579" s="145">
        <f>GP552+GP577</f>
        <v>4874.5847940705817</v>
      </c>
      <c r="GQ579" s="72">
        <f t="shared" si="2802"/>
        <v>-38.491043607942188</v>
      </c>
      <c r="GR579" s="145">
        <f>GR552+GR577</f>
        <v>4475.5160985982038</v>
      </c>
      <c r="GS579" s="72">
        <f t="shared" si="2802"/>
        <v>-8.1867217892650643</v>
      </c>
      <c r="GT579" s="145">
        <f>GT552+GT577</f>
        <v>4490.313762578905</v>
      </c>
      <c r="GU579" s="72">
        <f t="shared" si="2802"/>
        <v>0.33063592342648462</v>
      </c>
      <c r="GV579" s="145">
        <f>GV552+GV577</f>
        <v>4509.3505312133457</v>
      </c>
      <c r="GW579" s="72">
        <f>IF(ISERROR(GV579/GT579),"NA",IF(OR(GV579/GT579&gt;2,GV579/GT579&lt;0.5),"NM",GV579/GT579*100-100))</f>
        <v>0.42395185817723302</v>
      </c>
      <c r="GX579" s="145">
        <f>GX552+GX577</f>
        <v>4518.3321298446017</v>
      </c>
      <c r="GY579" s="72">
        <f>IF(ISERROR(GX579/GV579),"NA",IF(OR(GX579/GV579&gt;2,GX579/GV579&lt;0.5),"NM",GX579/GV579*100-100))</f>
        <v>0.19917721119895759</v>
      </c>
      <c r="GZ579" s="72">
        <f>IF(ISERROR(((GX579/GN579)^0.2-1)*100),"NA",IF((((GX579/GN579)^0.2-1)*100)&gt;100,"NM",IF((((GX579/GN579)^0.2-1)*100)&lt;-50,"NM",((GX579/GN579)^0.2-1)*100)))</f>
        <v>-10.62917312462438</v>
      </c>
      <c r="HA579" s="72"/>
      <c r="HB579" s="72"/>
      <c r="HC579"/>
      <c r="HD579"/>
      <c r="HE579"/>
      <c r="HF579"/>
      <c r="HG579"/>
      <c r="HH579"/>
      <c r="HI579" s="2"/>
    </row>
    <row r="580" spans="1:217" s="3" customFormat="1" ht="12.75" customHeight="1" x14ac:dyDescent="0.2">
      <c r="B580" s="10" t="s">
        <v>185</v>
      </c>
      <c r="C580" s="16"/>
      <c r="D580" s="11"/>
      <c r="E580" s="16"/>
      <c r="F580" s="11"/>
      <c r="G580" s="16"/>
      <c r="H580" s="11"/>
      <c r="I580" s="16"/>
      <c r="J580" s="11"/>
      <c r="K580" s="16"/>
      <c r="L580" s="72"/>
      <c r="M580" s="16"/>
      <c r="N580" s="72"/>
      <c r="O580" s="16"/>
      <c r="P580" s="72"/>
      <c r="Q580" s="16"/>
      <c r="R580" s="72"/>
      <c r="S580" s="16"/>
      <c r="T580" s="72"/>
      <c r="U580" s="16"/>
      <c r="V580" s="72"/>
      <c r="W580" s="16"/>
      <c r="X580" s="72"/>
      <c r="Y580" s="16"/>
      <c r="Z580" s="72"/>
      <c r="AA580" s="16"/>
      <c r="AB580" s="72"/>
      <c r="AC580" s="16"/>
      <c r="AD580" s="72"/>
      <c r="AE580" s="16"/>
      <c r="AF580" s="72"/>
      <c r="AG580" s="16"/>
      <c r="AH580" s="72"/>
      <c r="AI580" s="16"/>
      <c r="AJ580" s="72"/>
      <c r="AK580" s="16"/>
      <c r="AL580" s="72"/>
      <c r="AM580" s="16"/>
      <c r="AN580" s="72"/>
      <c r="AO580" s="16"/>
      <c r="AP580" s="72"/>
      <c r="AQ580" s="16"/>
      <c r="AR580" s="72"/>
      <c r="AS580" s="16"/>
      <c r="AT580" s="72"/>
      <c r="AU580" s="16"/>
      <c r="AV580" s="72"/>
      <c r="AW580" s="16"/>
      <c r="AX580" s="72"/>
      <c r="AY580" s="16"/>
      <c r="AZ580" s="72"/>
      <c r="BA580" s="16"/>
      <c r="BB580" s="72"/>
      <c r="BC580" s="16"/>
      <c r="BD580" s="72"/>
      <c r="BE580" s="16"/>
      <c r="BF580" s="72"/>
      <c r="BG580" s="16"/>
      <c r="BH580" s="72"/>
      <c r="BI580" s="16"/>
      <c r="BJ580" s="72"/>
      <c r="BK580" s="16"/>
      <c r="BL580" s="72"/>
      <c r="BM580" s="16"/>
      <c r="BN580" s="72"/>
      <c r="BO580" s="16"/>
      <c r="BP580" s="72"/>
      <c r="BQ580" s="16"/>
      <c r="BR580" s="72"/>
      <c r="BS580" s="144"/>
      <c r="BT580" s="72"/>
      <c r="BU580" s="144"/>
      <c r="BV580" s="72"/>
      <c r="BW580" s="144"/>
      <c r="BX580" s="72"/>
      <c r="BY580" s="144"/>
      <c r="BZ580" s="72"/>
      <c r="CA580" s="144"/>
      <c r="CB580" s="72"/>
      <c r="CC580" s="144"/>
      <c r="CD580" s="72"/>
      <c r="CE580" s="144"/>
      <c r="CF580" s="72"/>
      <c r="CG580" s="144"/>
      <c r="CH580" s="72"/>
      <c r="CI580" s="144"/>
      <c r="CJ580" s="72"/>
      <c r="CK580" s="144"/>
      <c r="CL580" s="72"/>
      <c r="CM580" s="144"/>
      <c r="CN580" s="72"/>
      <c r="CO580" s="144"/>
      <c r="CP580" s="72"/>
      <c r="CQ580" s="144"/>
      <c r="CR580" s="72"/>
      <c r="CS580" s="144"/>
      <c r="CT580" s="72"/>
      <c r="CU580" s="144"/>
      <c r="CV580" s="72"/>
      <c r="CW580" s="144"/>
      <c r="CX580" s="72"/>
      <c r="CY580" s="144"/>
      <c r="CZ580" s="72"/>
      <c r="DA580" s="144"/>
      <c r="DB580" s="72"/>
      <c r="DC580" s="144"/>
      <c r="DD580" s="72"/>
      <c r="DE580" s="144"/>
      <c r="DF580" s="72"/>
      <c r="DG580" s="75"/>
      <c r="DH580" s="72"/>
      <c r="DI580" s="75"/>
      <c r="DJ580" s="72"/>
      <c r="DK580" s="75"/>
      <c r="DL580" s="72"/>
      <c r="DM580" s="75"/>
      <c r="DN580" s="72"/>
      <c r="DO580" s="75"/>
      <c r="DP580" s="72"/>
      <c r="DQ580" s="75"/>
      <c r="DR580" s="72"/>
      <c r="DS580" s="75"/>
      <c r="DT580" s="72"/>
      <c r="DU580" s="75"/>
      <c r="DV580" s="72"/>
      <c r="DW580" s="150"/>
      <c r="DX580" s="72"/>
      <c r="DY580" s="150"/>
      <c r="DZ580" s="72"/>
      <c r="EA580" s="150"/>
      <c r="EB580" s="72"/>
      <c r="EC580" s="150"/>
      <c r="ED580" s="72"/>
      <c r="EE580" s="150"/>
      <c r="EF580" s="72"/>
      <c r="EG580" s="150"/>
      <c r="EH580" s="72"/>
      <c r="EI580" s="150"/>
      <c r="EJ580" s="72"/>
      <c r="EK580" s="150"/>
      <c r="EL580" s="72"/>
      <c r="EM580" s="150"/>
      <c r="EN580" s="72"/>
      <c r="EO580" s="150"/>
      <c r="EP580" s="72"/>
      <c r="EQ580" s="150"/>
      <c r="ER580" s="72"/>
      <c r="ES580" s="150"/>
      <c r="ET580" s="72"/>
      <c r="EU580" s="150"/>
      <c r="EV580" s="72"/>
      <c r="EW580" s="150"/>
      <c r="EX580" s="72"/>
      <c r="EY580" s="72"/>
      <c r="EZ580" s="296"/>
      <c r="FA580" s="72"/>
      <c r="FB580" s="16"/>
      <c r="FC580" s="11"/>
      <c r="FD580" s="144"/>
      <c r="FE580" s="72"/>
      <c r="FF580" s="144"/>
      <c r="FG580" s="72"/>
      <c r="FH580" s="144"/>
      <c r="FI580" s="72"/>
      <c r="FJ580" s="144"/>
      <c r="FK580" s="72"/>
      <c r="FL580" s="144"/>
      <c r="FM580" s="72"/>
      <c r="FN580" s="144"/>
      <c r="FO580" s="72"/>
      <c r="FP580" s="144"/>
      <c r="FQ580" s="72"/>
      <c r="FR580" s="144"/>
      <c r="FS580" s="72"/>
      <c r="FT580" s="144"/>
      <c r="FU580" s="72"/>
      <c r="FV580" s="144"/>
      <c r="FW580" s="72"/>
      <c r="FX580" s="144"/>
      <c r="FY580" s="72"/>
      <c r="FZ580" s="144"/>
      <c r="GA580" s="72"/>
      <c r="GB580" s="144"/>
      <c r="GC580" s="72"/>
      <c r="GD580" s="144"/>
      <c r="GE580" s="72"/>
      <c r="GF580" s="144"/>
      <c r="GG580" s="72"/>
      <c r="GH580" s="144"/>
      <c r="GI580" s="72"/>
      <c r="GJ580" s="144"/>
      <c r="GK580" s="72"/>
      <c r="GL580" s="144"/>
      <c r="GM580" s="72"/>
      <c r="GN580" s="144"/>
      <c r="GO580" s="72"/>
      <c r="GP580" s="144"/>
      <c r="GQ580" s="72"/>
      <c r="GR580" s="150"/>
      <c r="GS580" s="72"/>
      <c r="GT580" s="150"/>
      <c r="GU580" s="72"/>
      <c r="GV580" s="150"/>
      <c r="GW580" s="72"/>
      <c r="GX580" s="150"/>
      <c r="GY580" s="72"/>
      <c r="GZ580" s="72"/>
      <c r="HA580" s="72"/>
      <c r="HB580" s="72"/>
      <c r="HC580"/>
      <c r="HD580"/>
      <c r="HE580"/>
      <c r="HF580"/>
      <c r="HG580"/>
      <c r="HH580"/>
      <c r="HI580" s="2"/>
    </row>
    <row r="581" spans="1:217" s="3" customFormat="1" ht="12.75" customHeight="1" x14ac:dyDescent="0.2">
      <c r="A581" s="3" t="s">
        <v>72</v>
      </c>
      <c r="B581" s="10" t="s">
        <v>553</v>
      </c>
      <c r="C581" s="150"/>
      <c r="D581" s="11"/>
      <c r="E581" s="150"/>
      <c r="F581" s="11"/>
      <c r="G581" s="150"/>
      <c r="H581" s="11"/>
      <c r="I581" s="150"/>
      <c r="J581" s="11"/>
      <c r="K581" s="150">
        <v>-4</v>
      </c>
      <c r="L581" s="72" t="str">
        <f>IF(ISERROR(K581/C581),"NA",IF(OR(K581/C581&gt;2,K581/C581&lt;0.5),"NM",K581/C581*100-100))</f>
        <v>NA</v>
      </c>
      <c r="M581" s="150">
        <v>-5</v>
      </c>
      <c r="N581" s="72" t="str">
        <f>IF(ISERROR(M581/E581),"NA",IF(OR(M581/E581&gt;2,M581/E581&lt;0.5),"NM",M581/E581*100-100))</f>
        <v>NA</v>
      </c>
      <c r="O581" s="150">
        <v>-5</v>
      </c>
      <c r="P581" s="72" t="str">
        <f>IF(ISERROR(O581/G581),"NA",IF(OR(O581/G581&gt;2,O581/G581&lt;0.5),"NM",O581/G581*100-100))</f>
        <v>NA</v>
      </c>
      <c r="Q581" s="150">
        <v>-15</v>
      </c>
      <c r="R581" s="72" t="str">
        <f>IF(ISERROR(Q581/I581),"NA",IF(OR(Q581/I581&gt;2,Q581/I581&lt;0.5),"NM",Q581/I581*100-100))</f>
        <v>NA</v>
      </c>
      <c r="S581" s="150">
        <v>-3</v>
      </c>
      <c r="T581" s="72">
        <f>IF(ISERROR(S581/K581),"NA",IF(OR(S581/K581&gt;2,S581/K581&lt;0.5),"NM",S581/K581*100-100))</f>
        <v>-25</v>
      </c>
      <c r="U581" s="150">
        <v>-3</v>
      </c>
      <c r="V581" s="72">
        <f>IF(ISERROR(U581/M581),"NA",IF(OR(U581/M581&gt;2,U581/M581&lt;0.5),"NM",U581/M581*100-100))</f>
        <v>-40</v>
      </c>
      <c r="W581" s="150">
        <v>14</v>
      </c>
      <c r="X581" s="72" t="str">
        <f>IF(ISERROR(W581/O581),"NA",IF(OR(W581/O581&gt;2,W581/O581&lt;0.5),"NM",W581/O581*100-100))</f>
        <v>NM</v>
      </c>
      <c r="Y581" s="150">
        <v>-77</v>
      </c>
      <c r="Z581" s="72" t="str">
        <f>IF(ISERROR(Y581/Q581),"NA",IF(OR(Y581/Q581&gt;2,Y581/Q581&lt;0.5),"NM",Y581/Q581*100-100))</f>
        <v>NM</v>
      </c>
      <c r="AA581" s="150">
        <v>-16</v>
      </c>
      <c r="AB581" s="72" t="str">
        <f>IF(ISERROR(AA581/S581),"NA",IF(OR(AA581/S581&gt;2,AA581/S581&lt;0.5),"NM",AA581/S581*100-100))</f>
        <v>NM</v>
      </c>
      <c r="AC581" s="150">
        <v>18</v>
      </c>
      <c r="AD581" s="72" t="str">
        <f>IF(ISERROR(AC581/U581),"NA",IF(OR(AC581/U581&gt;2,AC581/U581&lt;0.5),"NM",AC581/U581*100-100))</f>
        <v>NM</v>
      </c>
      <c r="AE581" s="150">
        <v>-25</v>
      </c>
      <c r="AF581" s="72" t="str">
        <f>IF(ISERROR(AE581/W581),"NA",IF(OR(AE581/W581&gt;2,AE581/W581&lt;0.5),"NM",AE581/W581*100-100))</f>
        <v>NM</v>
      </c>
      <c r="AG581" s="150">
        <v>-21</v>
      </c>
      <c r="AH581" s="72" t="str">
        <f>IF(ISERROR(AG581/Y581),"NA",IF(OR(AG581/Y581&gt;2,AG581/Y581&lt;0.5),"NM",AG581/Y581*100-100))</f>
        <v>NM</v>
      </c>
      <c r="AI581" s="150">
        <f>-3-79</f>
        <v>-82</v>
      </c>
      <c r="AJ581" s="72" t="str">
        <f>IF(ISERROR(AI581/AA581),"NA",IF(OR(AI581/AA581&gt;2,AI581/AA581&lt;0.5),"NM",AI581/AA581*100-100))</f>
        <v>NM</v>
      </c>
      <c r="AK581" s="150">
        <f>20-11</f>
        <v>9</v>
      </c>
      <c r="AL581" s="72">
        <f>IF(ISERROR(AK581/AC581),"NA",IF(OR(AK581/AC581&gt;2,AK581/AC581&lt;0.5),"NM",AK581/AC581*100-100))</f>
        <v>-50</v>
      </c>
      <c r="AM581" s="150">
        <f>-15+1</f>
        <v>-14</v>
      </c>
      <c r="AN581" s="72">
        <f>IF(ISERROR(AM581/AE581),"NA",IF(OR(AM581/AE581&gt;2,AM581/AE581&lt;0.5),"NM",AM581/AE581*100-100))</f>
        <v>-43.999999999999993</v>
      </c>
      <c r="AO581" s="150">
        <v>-66</v>
      </c>
      <c r="AP581" s="72" t="str">
        <f>IF(ISERROR(AO581/AG581),"NA",IF(OR(AO581/AG581&gt;2,AO581/AG581&lt;0.5),"NM",AO581/AG581*100-100))</f>
        <v>NM</v>
      </c>
      <c r="AQ581" s="150">
        <v>-1</v>
      </c>
      <c r="AR581" s="72" t="str">
        <f>IF(ISERROR(AQ581/AI581),"NA",IF(OR(AQ581/AI581&gt;2,AQ581/AI581&lt;0.5),"NM",AQ581/AI581*100-100))</f>
        <v>NM</v>
      </c>
      <c r="AS581" s="150">
        <v>-44</v>
      </c>
      <c r="AT581" s="72" t="str">
        <f>IF(ISERROR(AS581/AK581),"NA",IF(OR(AS581/AK581&gt;2,AS581/AK581&lt;0.5),"NM",AS581/AK581*100-100))</f>
        <v>NM</v>
      </c>
      <c r="AU581" s="150">
        <v>-15</v>
      </c>
      <c r="AV581" s="72">
        <f>IF(ISERROR(AU581/AM581),"NA",IF(OR(AU581/AM581&gt;2,AU581/AM581&lt;0.5),"NM",AU581/AM581*100-100))</f>
        <v>7.1428571428571388</v>
      </c>
      <c r="AW581" s="150">
        <v>-29</v>
      </c>
      <c r="AX581" s="72" t="str">
        <f>IF(ISERROR(AW581/AO581),"NA",IF(OR(AW581/AO581&gt;2,AW581/AO581&lt;0.5),"NM",AW581/AO581*100-100))</f>
        <v>NM</v>
      </c>
      <c r="AY581" s="150">
        <v>-6</v>
      </c>
      <c r="AZ581" s="72" t="str">
        <f>IF(ISERROR(AY581/AQ581),"NA",IF(OR(AY581/AQ581&gt;2,AY581/AQ581&lt;0.5),"NM",AY581/AQ581*100-100))</f>
        <v>NM</v>
      </c>
      <c r="BA581" s="150">
        <v>-16</v>
      </c>
      <c r="BB581" s="72" t="str">
        <f>IF(ISERROR(BA581/AS581),"NA",IF(OR(BA581/AS581&gt;2,BA581/AS581&lt;0.5),"NM",BA581/AS581*100-100))</f>
        <v>NM</v>
      </c>
      <c r="BC581" s="150">
        <v>68</v>
      </c>
      <c r="BD581" s="72" t="str">
        <f>IF(ISERROR(BC581/AU581),"NA",IF(OR(BC581/AU581&gt;2,BC581/AU581&lt;0.5),"NM",BC581/AU581*100-100))</f>
        <v>NM</v>
      </c>
      <c r="BE581" s="150">
        <f>19+62</f>
        <v>81</v>
      </c>
      <c r="BF581" s="72" t="str">
        <f>IF(ISERROR(BE581/AW581),"NA",IF(OR(BE581/AW581&gt;2,BE581/AW581&lt;0.5),"NM",BE581/AW581*100-100))</f>
        <v>NM</v>
      </c>
      <c r="BG581" s="150">
        <f>56-29+72</f>
        <v>99</v>
      </c>
      <c r="BH581" s="72" t="str">
        <f>IF(ISERROR(BG581/AY581),"NA",IF(OR(BG581/AY581&gt;2,BG581/AY581&lt;0.5),"NM",BG581/AY581*100-100))</f>
        <v>NM</v>
      </c>
      <c r="BI581" s="150">
        <f>67-4+85</f>
        <v>148</v>
      </c>
      <c r="BJ581" s="72" t="str">
        <f>IF(ISERROR(BI581/BA581),"NA",IF(OR(BI581/BA581&gt;2,BI581/BA581&lt;0.5),"NM",BI581/BA581*100-100))</f>
        <v>NM</v>
      </c>
      <c r="BK581" s="150">
        <f>67-4</f>
        <v>63</v>
      </c>
      <c r="BL581" s="72">
        <f>IF(ISERROR(BK581/BC581),"NA",IF(OR(BK581/BC581&gt;2,BK581/BC581&lt;0.5),"NM",BK581/BC581*100-100))</f>
        <v>-7.3529411764705799</v>
      </c>
      <c r="BM581" s="150">
        <f>46+11</f>
        <v>57</v>
      </c>
      <c r="BN581" s="72">
        <f>IF(ISERROR(BM581/BE581),"NA",IF(OR(BM581/BE581&gt;2,BM581/BE581&lt;0.5),"NM",BM581/BE581*100-100))</f>
        <v>-29.629629629629633</v>
      </c>
      <c r="BO581" s="150">
        <f>43+1</f>
        <v>44</v>
      </c>
      <c r="BP581" s="72" t="str">
        <f>IF(ISERROR(BO581/BG581),"NA",IF(OR(BO581/BG581&gt;2,BO581/BG581&lt;0.5),"NM",BO581/BG581*100-100))</f>
        <v>NM</v>
      </c>
      <c r="BQ581" s="150">
        <f>-3+16</f>
        <v>13</v>
      </c>
      <c r="BR581" s="72" t="str">
        <f>IF(ISERROR(BQ581/BI581),"NA",IF(OR(BQ581/BI581&gt;2,BQ581/BI581&lt;0.5),"NM",BQ581/BI581*100-100))</f>
        <v>NM</v>
      </c>
      <c r="BS581" s="150">
        <f>5-134</f>
        <v>-129</v>
      </c>
      <c r="BT581" s="72" t="str">
        <f>IF(ISERROR(BS581/BK581),"NA",IF(OR(BS581/BK581&gt;2,BS581/BK581&lt;0.5),"NM",BS581/BK581*100-100))</f>
        <v>NM</v>
      </c>
      <c r="BU581" s="150">
        <v>14</v>
      </c>
      <c r="BV581" s="72" t="str">
        <f>IF(ISERROR(BU581/BM581),"NA",IF(OR(BU581/BM581&gt;2,BU581/BM581&lt;0.5),"NM",BU581/BM581*100-100))</f>
        <v>NM</v>
      </c>
      <c r="BW581" s="150">
        <f>5-11+8+11</f>
        <v>13</v>
      </c>
      <c r="BX581" s="72" t="str">
        <f>IF(ISERROR(BW581/BO581),"NA",IF(OR(BW581/BO581&gt;2,BW581/BO581&lt;0.5),"NM",BW581/BO581*100-100))</f>
        <v>NM</v>
      </c>
      <c r="BY581" s="150">
        <f>-12+17+29-17</f>
        <v>17</v>
      </c>
      <c r="BZ581" s="72">
        <f>IF(ISERROR(BY581/BQ581),"NA",IF(OR(BY581/BQ581&gt;2,BY581/BQ581&lt;0.5),"NM",BY581/BQ581*100-100))</f>
        <v>30.769230769230774</v>
      </c>
      <c r="CA581" s="150">
        <f>81-50+50</f>
        <v>81</v>
      </c>
      <c r="CB581" s="72" t="str">
        <f>IF(ISERROR(CA581/BS581),"NA",IF(OR(CA581/BS581&gt;2,CA581/BS581&lt;0.5),"NM",CA581/BS581*100-100))</f>
        <v>NM</v>
      </c>
      <c r="CC581" s="150">
        <f>1483+10-56-10</f>
        <v>1427</v>
      </c>
      <c r="CD581" s="72" t="str">
        <f>IF(ISERROR(CC581/BU581),"NA",IF(OR(CC581/BU581&gt;2,CC581/BU581&lt;0.5),"NM",CC581/BU581*100-100))</f>
        <v>NM</v>
      </c>
      <c r="CE581" s="150">
        <f>35-26+3+26</f>
        <v>38</v>
      </c>
      <c r="CF581" s="72" t="str">
        <f>IF(ISERROR(CE581/BW581),"NA",IF(OR(CE581/BW581&gt;2,CE581/BW581&lt;0.5),"NM",CE581/BW581*100-100))</f>
        <v>NM</v>
      </c>
      <c r="CG581" s="150">
        <f>-19+27+15-27</f>
        <v>-4</v>
      </c>
      <c r="CH581" s="72" t="str">
        <f>IF(ISERROR(CG581/BY581),"NA",IF(OR(CG581/BY581&gt;2,CG581/BY581&lt;0.5),"NM",CG581/BY581*100-100))</f>
        <v>NM</v>
      </c>
      <c r="CI581" s="150">
        <f>16-2+1+2</f>
        <v>17</v>
      </c>
      <c r="CJ581" s="72" t="str">
        <f>IF(ISERROR(CI581/CA581),"NA",IF(OR(CI581/CA581&gt;2,CI581/CA581&lt;0.5),"NM",CI581/CA581*100-100))</f>
        <v>NM</v>
      </c>
      <c r="CK581" s="150">
        <f>39+12+13-12</f>
        <v>52</v>
      </c>
      <c r="CL581" s="72" t="str">
        <f>IF(ISERROR(CK581/CC581),"NA",IF(OR(CK581/CC581&gt;2,CK581/CC581&lt;0.5),"NM",CK581/CC581*100-100))</f>
        <v>NM</v>
      </c>
      <c r="CM581" s="150">
        <f>79+25+14-25</f>
        <v>93</v>
      </c>
      <c r="CN581" s="72" t="str">
        <f>IF(ISERROR(CM581/CE581),"NA",IF(OR(CM581/CE581&gt;2,CM581/CE581&lt;0.5),"NM",CM581/CE581*100-100))</f>
        <v>NM</v>
      </c>
      <c r="CO581" s="150">
        <f>-19+29+16-29</f>
        <v>-3</v>
      </c>
      <c r="CP581" s="72">
        <f>IF(ISERROR(CO581/CG581),"NA",IF(OR(CO581/CG581&gt;2,CO581/CG581&lt;0.5),"NM",CO581/CG581*100-100))</f>
        <v>-25</v>
      </c>
      <c r="CQ581" s="150">
        <f>57+10-9-10</f>
        <v>48</v>
      </c>
      <c r="CR581" s="72" t="str">
        <f>IF(ISERROR(CQ581/CI581),"NA",IF(OR(CQ581/CI581&gt;2,CQ581/CI581&lt;0.5),"NM",CQ581/CI581*100-100))</f>
        <v>NM</v>
      </c>
      <c r="CS581" s="150">
        <f>-7+8+14-8</f>
        <v>7</v>
      </c>
      <c r="CT581" s="72" t="str">
        <f>IF(ISERROR(CS581/CK581),"NA",IF(OR(CS581/CK581&gt;2,CS581/CK581&lt;0.5),"NM",CS581/CK581*100-100))</f>
        <v>NM</v>
      </c>
      <c r="CU581" s="373">
        <f>-4+11+7-11</f>
        <v>3</v>
      </c>
      <c r="CV581" s="374" t="str">
        <f>IF(ISERROR(CU581/CM581),"NA",IF(OR(CU581/CM581&gt;2,CU581/CM581&lt;0.5),"NM",CU581/CM581*100-100))</f>
        <v>NM</v>
      </c>
      <c r="CW581" s="373">
        <f>-9+15+8-15</f>
        <v>-1</v>
      </c>
      <c r="CX581" s="374" t="str">
        <f>IF(ISERROR(CW581/CO581),"NA",IF(OR(CW581/CO581&gt;2,CW581/CO581&lt;0.5),"NM",CW581/CO581*100-100))</f>
        <v>NM</v>
      </c>
      <c r="CY581" s="373">
        <f>20+25-1-25</f>
        <v>19</v>
      </c>
      <c r="CZ581" s="72" t="str">
        <f>IF(ISERROR(CY581/CQ581),"NA",IF(OR(CY581/CQ581&gt;2,CY581/CQ581&lt;0.5),"NM",CY581/CQ581*100-100))</f>
        <v>NM</v>
      </c>
      <c r="DA581" s="150">
        <f>-14+21+3-21</f>
        <v>-11</v>
      </c>
      <c r="DB581" s="72" t="str">
        <f>IF(ISERROR(DA581/CS581),"NA",IF(OR(DA581/CS581&gt;2,DA581/CS581&lt;0.5),"NM",DA581/CS581*100-100))</f>
        <v>NM</v>
      </c>
      <c r="DC581" s="150">
        <f>11+35+1-35</f>
        <v>12</v>
      </c>
      <c r="DD581" s="72" t="str">
        <f>IF(ISERROR(DC581/CU581),"NA",IF(OR(DC581/CU581&gt;2,DC581/CU581&lt;0.5),"NM",DC581/CU581*100-100))</f>
        <v>NM</v>
      </c>
      <c r="DE581" s="150">
        <f>-22+27+2-27</f>
        <v>-20</v>
      </c>
      <c r="DF581" s="72" t="str">
        <f>IF(ISERROR(DE581/CW581),"NA",IF(OR(DE581/CW581&gt;2,DE581/CW581&lt;0.5),"NM",DE581/CW581*100-100))</f>
        <v>NM</v>
      </c>
      <c r="DG581" s="74">
        <f>-10+13+8-13</f>
        <v>-2</v>
      </c>
      <c r="DH581" s="72" t="str">
        <f>IF(ISERROR(DG581/CY581),"NA",IF(OR(DG581/CY581&gt;2,DG581/CY581&lt;0.5),"NM",DG581/CY581*100-100))</f>
        <v>NM</v>
      </c>
      <c r="DI581" s="74">
        <f>-27+32-4-32</f>
        <v>-31</v>
      </c>
      <c r="DJ581" s="72" t="str">
        <f>IF(ISERROR(DI581/DA581),"NA",IF(OR(DI581/DA581&gt;2,DI581/DA581&lt;0.5),"NM",DI581/DA581*100-100))</f>
        <v>NM</v>
      </c>
      <c r="DK581" s="74">
        <f>-11+11+4-11</f>
        <v>-7</v>
      </c>
      <c r="DL581" s="72" t="str">
        <f>IF(ISERROR(DK581/DC581),"NA",IF(OR(DK581/DC581&gt;2,DK581/DC581&lt;0.5),"NM",DK581/DC581*100-100))</f>
        <v>NM</v>
      </c>
      <c r="DM581" s="74">
        <f>-17+23+4-23</f>
        <v>-13</v>
      </c>
      <c r="DN581" s="72">
        <f t="shared" ref="DN581:DZ582" si="2803">IF(ISERROR(DM581/DE581),"NA",IF(OR(DM581/DE581&gt;2,DM581/DE581&lt;0.5),"NM",DM581/DE581*100-100))</f>
        <v>-35</v>
      </c>
      <c r="DO581" s="74">
        <f>-6+11+0-11</f>
        <v>-6</v>
      </c>
      <c r="DP581" s="72" t="str">
        <f t="shared" si="2803"/>
        <v>NM</v>
      </c>
      <c r="DQ581" s="74">
        <f>-7+12+3-12</f>
        <v>-4</v>
      </c>
      <c r="DR581" s="72" t="str">
        <f t="shared" si="2803"/>
        <v>NM</v>
      </c>
      <c r="DS581" s="74">
        <f>-13+10+0-10</f>
        <v>-13</v>
      </c>
      <c r="DT581" s="72">
        <f t="shared" si="2803"/>
        <v>85.714285714285722</v>
      </c>
      <c r="DU581" s="74">
        <f>-44+53-53</f>
        <v>-44</v>
      </c>
      <c r="DV581" s="72" t="str">
        <f t="shared" si="2803"/>
        <v>NM</v>
      </c>
      <c r="DW581" s="74">
        <v>0</v>
      </c>
      <c r="DX581" s="72" t="str">
        <f t="shared" si="2803"/>
        <v>NM</v>
      </c>
      <c r="DY581" s="74">
        <v>2</v>
      </c>
      <c r="DZ581" s="72" t="str">
        <f t="shared" si="2803"/>
        <v>NM</v>
      </c>
      <c r="EA581" s="74">
        <v>-28</v>
      </c>
      <c r="EB581" s="72" t="str">
        <f>IF(ISERROR(EA581/DS581),"NA",IF(OR(EA581/DS581&gt;2,EA581/DS581&lt;0.5),"NM",EA581/DS581*100-100))</f>
        <v>NM</v>
      </c>
      <c r="EC581" s="150">
        <v>11</v>
      </c>
      <c r="ED581" s="72" t="str">
        <f>IF(ISERROR(EC581/DU581),"NA",IF(OR(EC581/DU581&gt;2,EC581/DU581&lt;0.5),"NM",EC581/DU581*100-100))</f>
        <v>NM</v>
      </c>
      <c r="EE581" s="150">
        <v>13</v>
      </c>
      <c r="EF581" s="72" t="str">
        <f>IF(ISERROR(EE581/DW581),"NA",IF(OR(EE581/DW581&gt;2,EE581/DW581&lt;0.5),"NM",EE581/DW581*100-100))</f>
        <v>NA</v>
      </c>
      <c r="EG581" s="150">
        <v>2</v>
      </c>
      <c r="EH581" s="72">
        <f>IF(ISERROR(EG581/DY581),"NA",IF(OR(EG581/DY581&gt;2,EG581/DY581&lt;0.5),"NM",EG581/DY581*100-100))</f>
        <v>0</v>
      </c>
      <c r="EI581" s="150">
        <v>22</v>
      </c>
      <c r="EJ581" s="72" t="str">
        <f>IF(ISERROR(EI581/EA581),"NA",IF(OR(EI581/EA581&gt;2,EI581/EA581&lt;0.5),"NM",EI581/EA581*100-100))</f>
        <v>NM</v>
      </c>
      <c r="EK581" s="150">
        <v>8</v>
      </c>
      <c r="EL581" s="72">
        <f>IF(ISERROR(EK581/EC581),"NA",IF(OR(EK581/EC581&gt;2,EK581/EC581&lt;0.5),"NM",EK581/EC581*100-100))</f>
        <v>-27.272727272727266</v>
      </c>
      <c r="EM581" s="150">
        <v>17</v>
      </c>
      <c r="EN581" s="72">
        <f>IF(ISERROR(EM581/EE581),"NA",IF(OR(EM581/EE581&gt;2,EM581/EE581&lt;0.5),"NM",EM581/EE581*100-100))</f>
        <v>30.769230769230774</v>
      </c>
      <c r="EO581" s="150">
        <v>-109</v>
      </c>
      <c r="EP581" s="72" t="str">
        <f>IF(ISERROR(EO581/EG581),"NA",IF(OR(EO581/EG581&gt;2,EO581/EG581&lt;0.5),"NM",EO581/EG581*100-100))</f>
        <v>NM</v>
      </c>
      <c r="EQ581" s="150">
        <v>0</v>
      </c>
      <c r="ER581" s="72" t="str">
        <f t="shared" ref="ER581:ER582" si="2804">IF(ISERROR(EQ581/EI581),"NA",IF(OR(EQ581/EI581&gt;2,EQ581/EI581&lt;0.5),"NM",EQ581/EI581*100-100))</f>
        <v>NM</v>
      </c>
      <c r="ES581" s="150">
        <v>0</v>
      </c>
      <c r="ET581" s="72" t="str">
        <f t="shared" ref="ET581:ET582" si="2805">IF(ISERROR(ES581/EK581),"NA",IF(OR(ES581/EK581&gt;2,ES581/EK581&lt;0.5),"NM",ES581/EK581*100-100))</f>
        <v>NM</v>
      </c>
      <c r="EU581" s="150">
        <v>0</v>
      </c>
      <c r="EV581" s="72" t="str">
        <f t="shared" ref="EV581:EV582" si="2806">IF(ISERROR(EU581/EM581),"NA",IF(OR(EU581/EM581&gt;2,EU581/EM581&lt;0.5),"NM",EU581/EM581*100-100))</f>
        <v>NM</v>
      </c>
      <c r="EW581" s="150">
        <v>0</v>
      </c>
      <c r="EX581" s="72" t="str">
        <f t="shared" ref="EX581:EX582" si="2807">IF(ISERROR(EW581/EO581),"NA",IF(OR(EW581/EO581&gt;2,EW581/EO581&lt;0.5),"NM",EW581/EO581*100-100))</f>
        <v>NM</v>
      </c>
      <c r="EY581" s="72"/>
      <c r="EZ581" s="296"/>
      <c r="FA581" s="72"/>
      <c r="FB581" s="150"/>
      <c r="FC581" s="11"/>
      <c r="FD581" s="144">
        <f>+CM581+CO581+CS581+CQ581</f>
        <v>145</v>
      </c>
      <c r="FE581" s="72" t="str">
        <f>IF(ISERROR(FD581/FB581),"NA",IF(OR(FD581/FB581&gt;2,FD581/FB581&lt;0.5),"NM",FD581/FB581*100-100))</f>
        <v>NA</v>
      </c>
      <c r="FF581" s="144">
        <f>+CO581+CQ581+CU581+CS581</f>
        <v>55</v>
      </c>
      <c r="FG581" s="72" t="str">
        <f>IF(ISERROR(FF581/FD581),"NA",IF(OR(FF581/FD581&gt;2,FF581/FD581&lt;0.5),"NM",FF581/FD581*100-100))</f>
        <v>NM</v>
      </c>
      <c r="FH581" s="144">
        <f>+CQ581+CS581+CW581+CU581</f>
        <v>57</v>
      </c>
      <c r="FI581" s="72">
        <f>IF(ISERROR(FH581/FF581),"NA",IF(OR(FH581/FF581&gt;2,FH581/FF581&lt;0.5),"NM",FH581/FF581*100-100))</f>
        <v>3.6363636363636402</v>
      </c>
      <c r="FJ581" s="144">
        <f>+CS581+CU581+CY581+CW581</f>
        <v>28</v>
      </c>
      <c r="FK581" s="72" t="str">
        <f>IF(ISERROR(FJ581/FH581),"NA",IF(OR(FJ581/FH581&gt;2,FJ581/FH581&lt;0.5),"NM",FJ581/FH581*100-100))</f>
        <v>NM</v>
      </c>
      <c r="FL581" s="144">
        <f>+CU581+CW581+DA581+CY581</f>
        <v>10</v>
      </c>
      <c r="FM581" s="72" t="str">
        <f>IF(ISERROR(FL581/FJ581),"NA",IF(OR(FL581/FJ581&gt;2,FL581/FJ581&lt;0.5),"NM",FL581/FJ581*100-100))</f>
        <v>NM</v>
      </c>
      <c r="FN581" s="144">
        <f>+CW581+CY581+DC581+DA581</f>
        <v>19</v>
      </c>
      <c r="FO581" s="72">
        <f>IF(ISERROR(FN581/FL581),"NA",IF(OR(FN581/FL581&gt;2,FN581/FL581&lt;0.5),"NM",FN581/FL581*100-100))</f>
        <v>90</v>
      </c>
      <c r="FP581" s="144">
        <f>+CY581+DA581+DE581+DC581</f>
        <v>0</v>
      </c>
      <c r="FQ581" s="72" t="str">
        <f>IF(ISERROR(FP581/FN581),"NA",IF(OR(FP581/FN581&gt;2,FP581/FN581&lt;0.5),"NM",FP581/FN581*100-100))</f>
        <v>NM</v>
      </c>
      <c r="FR581" s="144">
        <f>+DA581+DC581+DG581+DE581</f>
        <v>-21</v>
      </c>
      <c r="FS581" s="72" t="str">
        <f>IF(ISERROR(FR581/FP581),"NA",IF(OR(FR581/FP581&gt;2,FR581/FP581&lt;0.5),"NM",FR581/FP581*100-100))</f>
        <v>NA</v>
      </c>
      <c r="FT581" s="144">
        <f>+DC581+DE581+DI581+DG581</f>
        <v>-41</v>
      </c>
      <c r="FU581" s="72">
        <f>IF(ISERROR(FT581/FR581),"NA",IF(OR(FT581/FR581&gt;2,FT581/FR581&lt;0.5),"NM",FT581/FR581*100-100))</f>
        <v>95.238095238095241</v>
      </c>
      <c r="FV581" s="144">
        <f>+DE581+DG581+DK581+DI581</f>
        <v>-60</v>
      </c>
      <c r="FW581" s="72">
        <f>IF(ISERROR(FV581/FT581),"NA",IF(OR(FV581/FT581&gt;2,FV581/FT581&lt;0.5),"NM",FV581/FT581*100-100))</f>
        <v>46.341463414634148</v>
      </c>
      <c r="FX581" s="144">
        <f>+DG581+DI581+DM581+DK581</f>
        <v>-53</v>
      </c>
      <c r="FY581" s="72">
        <f>IF(ISERROR(FX581/FV581),"NA",IF(OR(FX581/FV581&gt;2,FX581/FV581&lt;0.5),"NM",FX581/FV581*100-100))</f>
        <v>-11.666666666666671</v>
      </c>
      <c r="FZ581" s="144">
        <f>+DI581+DK581+DO581+DM581</f>
        <v>-57</v>
      </c>
      <c r="GA581" s="72">
        <f>IF(ISERROR(FZ581/FX581),"NA",IF(OR(FZ581/FX581&gt;2,FZ581/FX581&lt;0.5),"NM",FZ581/FX581*100-100))</f>
        <v>7.5471698113207566</v>
      </c>
      <c r="GB581" s="144">
        <f>+DK581+DM581+DQ581+DO581</f>
        <v>-30</v>
      </c>
      <c r="GC581" s="72">
        <f>IF(ISERROR(GB581/FZ581),"NA",IF(OR(GB581/FZ581&gt;2,GB581/FZ581&lt;0.5),"NM",GB581/FZ581*100-100))</f>
        <v>-47.368421052631582</v>
      </c>
      <c r="GD581" s="144">
        <f>+DM581+DO581+DS581+DQ581</f>
        <v>-36</v>
      </c>
      <c r="GE581" s="72">
        <f>IF(ISERROR(GD581/GB581),"NA",IF(OR(GD581/GB581&gt;2,GD581/GB581&lt;0.5),"NM",GD581/GB581*100-100))</f>
        <v>20</v>
      </c>
      <c r="GF581" s="144">
        <f>+DO581+DQ581+DU581+DS581</f>
        <v>-67</v>
      </c>
      <c r="GG581" s="72">
        <f>IF(ISERROR(GF581/GD581),"NA",IF(OR(GF581/GD581&gt;2,GF581/GD581&lt;0.5),"NM",GF581/GD581*100-100))</f>
        <v>86.111111111111114</v>
      </c>
      <c r="GH581" s="144">
        <f>+DQ581+DS581+DW581+DU581</f>
        <v>-61</v>
      </c>
      <c r="GI581" s="72">
        <f t="shared" ref="GI581:GU582" si="2808">IF(ISERROR(GH581/GF581),"NA",IF(OR(GH581/GF581&gt;2,GH581/GF581&lt;0.5),"NM",GH581/GF581*100-100))</f>
        <v>-8.9552238805970177</v>
      </c>
      <c r="GJ581" s="144">
        <f>+DS581+DU581+DY581+DW581</f>
        <v>-55</v>
      </c>
      <c r="GK581" s="72">
        <f t="shared" si="2808"/>
        <v>-9.8360655737704974</v>
      </c>
      <c r="GL581" s="144">
        <f>EA581+EC581+EE581+EG581</f>
        <v>-2</v>
      </c>
      <c r="GM581" s="72" t="str">
        <f t="shared" si="2808"/>
        <v>NM</v>
      </c>
      <c r="GN581" s="144">
        <f>EI581+EK581+EM581+EO581</f>
        <v>-62</v>
      </c>
      <c r="GO581" s="72" t="str">
        <f t="shared" si="2808"/>
        <v>NM</v>
      </c>
      <c r="GP581" s="144">
        <f>EQ581+ES581+EU581+EW581</f>
        <v>0</v>
      </c>
      <c r="GQ581" s="72" t="str">
        <f t="shared" si="2808"/>
        <v>NM</v>
      </c>
      <c r="GR581" s="150">
        <v>0</v>
      </c>
      <c r="GS581" s="72" t="str">
        <f t="shared" si="2808"/>
        <v>NA</v>
      </c>
      <c r="GT581" s="150">
        <v>0</v>
      </c>
      <c r="GU581" s="72" t="str">
        <f t="shared" si="2808"/>
        <v>NA</v>
      </c>
      <c r="GV581" s="150">
        <v>0</v>
      </c>
      <c r="GW581" s="72" t="str">
        <f>IF(ISERROR(GV581/GT581),"NA",IF(OR(GV581/GT581&gt;2,GV581/GT581&lt;0.5),"NM",GV581/GT581*100-100))</f>
        <v>NA</v>
      </c>
      <c r="GX581" s="150">
        <v>0</v>
      </c>
      <c r="GY581" s="72" t="str">
        <f>IF(ISERROR(GX581/GV581),"NA",IF(OR(GX581/GV581&gt;2,GX581/GV581&lt;0.5),"NM",GX581/GV581*100-100))</f>
        <v>NA</v>
      </c>
      <c r="GZ581" s="72" t="str">
        <f>IF(ISERROR(((GX581/GN581)^0.2-1)*100),"NA",IF((((GX581/GN581)^0.2-1)*100)&gt;100,"NM",IF((((GX581/GN581)^0.2-1)*100)&lt;-50,"NM",((GX581/GN581)^0.2-1)*100)))</f>
        <v>NM</v>
      </c>
      <c r="HA581" s="72"/>
      <c r="HB581" s="72"/>
      <c r="HC581"/>
      <c r="HD581"/>
      <c r="HE581"/>
      <c r="HF581"/>
      <c r="HG581"/>
      <c r="HH581"/>
      <c r="HI581" s="2"/>
    </row>
    <row r="582" spans="1:217" s="3" customFormat="1" ht="12.75" customHeight="1" x14ac:dyDescent="0.2">
      <c r="A582" s="3" t="s">
        <v>389</v>
      </c>
      <c r="B582" s="355" t="s">
        <v>165</v>
      </c>
      <c r="C582" s="160">
        <v>350</v>
      </c>
      <c r="D582" s="11"/>
      <c r="E582" s="160">
        <v>249</v>
      </c>
      <c r="F582" s="11"/>
      <c r="G582" s="160">
        <v>43</v>
      </c>
      <c r="H582" s="11"/>
      <c r="I582" s="160">
        <v>-331</v>
      </c>
      <c r="J582" s="11"/>
      <c r="K582" s="160">
        <f>K579+K581</f>
        <v>558.97744360902254</v>
      </c>
      <c r="L582" s="72">
        <f>IF(ISERROR(K582/C582),"NA",IF(OR(K582/C582&gt;2,K582/C582&lt;0.5),"NM",K582/C582*100-100))</f>
        <v>59.707841031149314</v>
      </c>
      <c r="M582" s="160">
        <f>M579+M581</f>
        <v>498.5</v>
      </c>
      <c r="N582" s="72" t="str">
        <f>IF(ISERROR(M582/E582),"NA",IF(OR(M582/E582&gt;2,M582/E582&lt;0.5),"NM",M582/E582*100-100))</f>
        <v>NM</v>
      </c>
      <c r="O582" s="160">
        <f>O579+O581</f>
        <v>301.9316239316239</v>
      </c>
      <c r="P582" s="72" t="str">
        <f>IF(ISERROR(O582/G582),"NA",IF(OR(O582/G582&gt;2,O582/G582&lt;0.5),"NM",O582/G582*100-100))</f>
        <v>NM</v>
      </c>
      <c r="Q582" s="160">
        <f>Q579+Q581</f>
        <v>-313.16582914572859</v>
      </c>
      <c r="R582" s="72">
        <f>IF(ISERROR(Q582/I582),"NA",IF(OR(Q582/I582&gt;2,Q582/I582&lt;0.5),"NM",Q582/I582*100-100))</f>
        <v>-5.3879670254596448</v>
      </c>
      <c r="S582" s="160">
        <f>S579+S581</f>
        <v>442</v>
      </c>
      <c r="T582" s="72">
        <f>IF(ISERROR(S582/K582),"NA",IF(OR(S582/K582&gt;2,S582/K582&lt;0.5),"NM",S582/K582*100-100))</f>
        <v>-20.927041859464111</v>
      </c>
      <c r="U582" s="160">
        <f>U579+U581</f>
        <v>276</v>
      </c>
      <c r="V582" s="72">
        <f>IF(ISERROR(U582/M582),"NA",IF(OR(U582/M582&gt;2,U582/M582&lt;0.5),"NM",U582/M582*100-100))</f>
        <v>-44.633901705115342</v>
      </c>
      <c r="W582" s="160">
        <f>W579+W581</f>
        <v>531</v>
      </c>
      <c r="X582" s="72">
        <f>IF(ISERROR(W582/O582),"NA",IF(OR(W582/O582&gt;2,W582/O582&lt;0.5),"NM",W582/O582*100-100))</f>
        <v>75.867632904942553</v>
      </c>
      <c r="Y582" s="160">
        <f>Y579+Y581</f>
        <v>57</v>
      </c>
      <c r="Z582" s="72" t="str">
        <f>IF(ISERROR(Y582/Q582),"NA",IF(OR(Y582/Q582&gt;2,Y582/Q582&lt;0.5),"NM",Y582/Q582*100-100))</f>
        <v>NM</v>
      </c>
      <c r="AA582" s="160">
        <f>AA579+AA581</f>
        <v>361</v>
      </c>
      <c r="AB582" s="72">
        <f>IF(ISERROR(AA582/S582),"NA",IF(OR(AA582/S582&gt;2,AA582/S582&lt;0.5),"NM",AA582/S582*100-100))</f>
        <v>-18.325791855203619</v>
      </c>
      <c r="AC582" s="160">
        <f>AC579+AC581</f>
        <v>320</v>
      </c>
      <c r="AD582" s="72">
        <f>IF(ISERROR(AC582/U582),"NA",IF(OR(AC582/U582&gt;2,AC582/U582&lt;0.5),"NM",AC582/U582*100-100))</f>
        <v>15.94202898550725</v>
      </c>
      <c r="AE582" s="160">
        <f>AE579+AE581</f>
        <v>388</v>
      </c>
      <c r="AF582" s="72">
        <f>IF(ISERROR(AE582/W582),"NA",IF(OR(AE582/W582&gt;2,AE582/W582&lt;0.5),"NM",AE582/W582*100-100))</f>
        <v>-26.930320150659142</v>
      </c>
      <c r="AG582" s="160">
        <f>AG579+AG581</f>
        <v>712</v>
      </c>
      <c r="AH582" s="72" t="str">
        <f>IF(ISERROR(AG582/Y582),"NA",IF(OR(AG582/Y582&gt;2,AG582/Y582&lt;0.5),"NM",AG582/Y582*100-100))</f>
        <v>NM</v>
      </c>
      <c r="AI582" s="160">
        <f>AI579+AI581</f>
        <v>475</v>
      </c>
      <c r="AJ582" s="72">
        <f>IF(ISERROR(AI582/AA582),"NA",IF(OR(AI582/AA582&gt;2,AI582/AA582&lt;0.5),"NM",AI582/AA582*100-100))</f>
        <v>31.578947368421069</v>
      </c>
      <c r="AK582" s="160">
        <f>AK579+AK581</f>
        <v>741</v>
      </c>
      <c r="AL582" s="72" t="str">
        <f>IF(ISERROR(AK582/AC582),"NA",IF(OR(AK582/AC582&gt;2,AK582/AC582&lt;0.5),"NM",AK582/AC582*100-100))</f>
        <v>NM</v>
      </c>
      <c r="AM582" s="160">
        <f>AM579+AM581</f>
        <v>793</v>
      </c>
      <c r="AN582" s="72" t="str">
        <f>IF(ISERROR(AM582/AE582),"NA",IF(OR(AM582/AE582&gt;2,AM582/AE582&lt;0.5),"NM",AM582/AE582*100-100))</f>
        <v>NM</v>
      </c>
      <c r="AO582" s="160">
        <f>AO579+AO581</f>
        <v>591</v>
      </c>
      <c r="AP582" s="72">
        <f>IF(ISERROR(AO582/AG582),"NA",IF(OR(AO582/AG582&gt;2,AO582/AG582&lt;0.5),"NM",AO582/AG582*100-100))</f>
        <v>-16.99438202247191</v>
      </c>
      <c r="AQ582" s="160">
        <f>AQ579+AQ581</f>
        <v>1036</v>
      </c>
      <c r="AR582" s="72" t="str">
        <f>IF(ISERROR(AQ582/AI582),"NA",IF(OR(AQ582/AI582&gt;2,AQ582/AI582&lt;0.5),"NM",AQ582/AI582*100-100))</f>
        <v>NM</v>
      </c>
      <c r="AS582" s="160">
        <f>AS579+AS581</f>
        <v>995</v>
      </c>
      <c r="AT582" s="72">
        <f>IF(ISERROR(AS582/AK582),"NA",IF(OR(AS582/AK582&gt;2,AS582/AK582&lt;0.5),"NM",AS582/AK582*100-100))</f>
        <v>34.278002699055321</v>
      </c>
      <c r="AU582" s="160">
        <f>AU579+AU581</f>
        <v>1582</v>
      </c>
      <c r="AV582" s="72">
        <f>IF(ISERROR(AU582/AM582),"NA",IF(OR(AU582/AM582&gt;2,AU582/AM582&lt;0.5),"NM",AU582/AM582*100-100))</f>
        <v>99.495586380832293</v>
      </c>
      <c r="AW582" s="160">
        <f>AW579+AW581</f>
        <v>571</v>
      </c>
      <c r="AX582" s="72">
        <f>IF(ISERROR(AW582/AO582),"NA",IF(OR(AW582/AO582&gt;2,AW582/AO582&lt;0.5),"NM",AW582/AO582*100-100))</f>
        <v>-3.3840947546531339</v>
      </c>
      <c r="AY582" s="160">
        <f>AY579+AY581</f>
        <v>604</v>
      </c>
      <c r="AZ582" s="72">
        <f>IF(ISERROR(AY582/AQ582),"NA",IF(OR(AY582/AQ582&gt;2,AY582/AQ582&lt;0.5),"NM",AY582/AQ582*100-100))</f>
        <v>-41.698841698841704</v>
      </c>
      <c r="BA582" s="160">
        <f>BA579+BA581</f>
        <v>388</v>
      </c>
      <c r="BB582" s="72" t="str">
        <f>IF(ISERROR(BA582/AS582),"NA",IF(OR(BA582/AS582&gt;2,BA582/AS582&lt;0.5),"NM",BA582/AS582*100-100))</f>
        <v>NM</v>
      </c>
      <c r="BC582" s="160">
        <f>BC579+BC581</f>
        <v>1098</v>
      </c>
      <c r="BD582" s="72">
        <f>IF(ISERROR(BC582/AU582),"NA",IF(OR(BC582/AU582&gt;2,BC582/AU582&lt;0.5),"NM",BC582/AU582*100-100))</f>
        <v>-30.594184576485461</v>
      </c>
      <c r="BE582" s="160">
        <f>BE579+BE581</f>
        <v>819</v>
      </c>
      <c r="BF582" s="72">
        <f>IF(ISERROR(BE582/AW582),"NA",IF(OR(BE582/AW582&gt;2,BE582/AW582&lt;0.5),"NM",BE582/AW582*100-100))</f>
        <v>43.432574430823109</v>
      </c>
      <c r="BG582" s="160">
        <f>BG579+BG581</f>
        <v>833.59999999999991</v>
      </c>
      <c r="BH582" s="72">
        <f>IF(ISERROR(BG582/AY582),"NA",IF(OR(BG582/AY582&gt;2,BG582/AY582&lt;0.5),"NM",BG582/AY582*100-100))</f>
        <v>38.013245033112554</v>
      </c>
      <c r="BI582" s="160">
        <f>BI579+BI581</f>
        <v>769</v>
      </c>
      <c r="BJ582" s="72">
        <f>IF(ISERROR(BI582/BA582),"NA",IF(OR(BI582/BA582&gt;2,BI582/BA582&lt;0.5),"NM",BI582/BA582*100-100))</f>
        <v>98.195876288659804</v>
      </c>
      <c r="BK582" s="160">
        <f>BK579+BK581</f>
        <v>800</v>
      </c>
      <c r="BL582" s="72">
        <f>IF(ISERROR(BK582/BC582),"NA",IF(OR(BK582/BC582&gt;2,BK582/BC582&lt;0.5),"NM",BK582/BC582*100-100))</f>
        <v>-27.140255009107477</v>
      </c>
      <c r="BM582" s="160">
        <f>BM579+BM581</f>
        <v>785</v>
      </c>
      <c r="BN582" s="72">
        <f>IF(ISERROR(BM582/BE582),"NA",IF(OR(BM582/BE582&gt;2,BM582/BE582&lt;0.5),"NM",BM582/BE582*100-100))</f>
        <v>-4.1514041514041509</v>
      </c>
      <c r="BO582" s="160">
        <f>BO579+BO581</f>
        <v>64</v>
      </c>
      <c r="BP582" s="72" t="str">
        <f>IF(ISERROR(BO582/BG582),"NA",IF(OR(BO582/BG582&gt;2,BO582/BG582&lt;0.5),"NM",BO582/BG582*100-100))</f>
        <v>NM</v>
      </c>
      <c r="BQ582" s="160">
        <f>BQ579+BQ581</f>
        <v>550</v>
      </c>
      <c r="BR582" s="72">
        <f>IF(ISERROR(BQ582/BI582),"NA",IF(OR(BQ582/BI582&gt;2,BQ582/BI582&lt;0.5),"NM",BQ582/BI582*100-100))</f>
        <v>-28.478543563068925</v>
      </c>
      <c r="BS582" s="160">
        <f>BS579+BS581</f>
        <v>-136</v>
      </c>
      <c r="BT582" s="72" t="str">
        <f>IF(ISERROR(BS582/BK582),"NA",IF(OR(BS582/BK582&gt;2,BS582/BK582&lt;0.5),"NM",BS582/BK582*100-100))</f>
        <v>NM</v>
      </c>
      <c r="BU582" s="160">
        <f>BU579+BU581</f>
        <v>-1268</v>
      </c>
      <c r="BV582" s="72" t="str">
        <f>IF(ISERROR(BU582/BM582),"NA",IF(OR(BU582/BM582&gt;2,BU582/BM582&lt;0.5),"NM",BU582/BM582*100-100))</f>
        <v>NM</v>
      </c>
      <c r="BW582" s="160">
        <f>BW579+BW581</f>
        <v>-5</v>
      </c>
      <c r="BX582" s="72" t="str">
        <f>IF(ISERROR(BW582/BO582),"NA",IF(OR(BW582/BO582&gt;2,BW582/BO582&lt;0.5),"NM",BW582/BO582*100-100))</f>
        <v>NM</v>
      </c>
      <c r="BY582" s="160">
        <f>BY579+BY581</f>
        <v>538</v>
      </c>
      <c r="BZ582" s="72">
        <f>IF(ISERROR(BY582/BQ582),"NA",IF(OR(BY582/BQ582&gt;2,BY582/BQ582&lt;0.5),"NM",BY582/BQ582*100-100))</f>
        <v>-2.181818181818187</v>
      </c>
      <c r="CA582" s="160">
        <f>CA579+CA581+CA580</f>
        <v>1090</v>
      </c>
      <c r="CB582" s="72" t="str">
        <f>IF(ISERROR(CA582/BS582),"NA",IF(OR(CA582/BS582&gt;2,CA582/BS582&lt;0.5),"NM",CA582/BS582*100-100))</f>
        <v>NM</v>
      </c>
      <c r="CC582" s="160">
        <f>CC579+CC581+CC580</f>
        <v>1788</v>
      </c>
      <c r="CD582" s="72" t="str">
        <f>IF(ISERROR(CC582/BU582),"NA",IF(OR(CC582/BU582&gt;2,CC582/BU582&lt;0.5),"NM",CC582/BU582*100-100))</f>
        <v>NM</v>
      </c>
      <c r="CE582" s="160">
        <f>CE579+CE581+CE580</f>
        <v>486</v>
      </c>
      <c r="CF582" s="72" t="str">
        <f>IF(ISERROR(CE582/BW582),"NA",IF(OR(CE582/BW582&gt;2,CE582/BW582&lt;0.5),"NM",CE582/BW582*100-100))</f>
        <v>NM</v>
      </c>
      <c r="CG582" s="160">
        <f>CG579+CG581+CG580</f>
        <v>827</v>
      </c>
      <c r="CH582" s="72">
        <f>IF(ISERROR(CG582/BY582),"NA",IF(OR(CG582/BY582&gt;2,CG582/BY582&lt;0.5),"NM",CG582/BY582*100-100))</f>
        <v>53.717472118959108</v>
      </c>
      <c r="CI582" s="160">
        <f>CI579+CI581+CI580</f>
        <v>1076</v>
      </c>
      <c r="CJ582" s="72">
        <f>IF(ISERROR(CI582/CA582),"NA",IF(OR(CI582/CA582&gt;2,CI582/CA582&lt;0.5),"NM",CI582/CA582*100-100))</f>
        <v>-1.2844036697247674</v>
      </c>
      <c r="CK582" s="160">
        <f>CK579+CK581+CK580</f>
        <v>111</v>
      </c>
      <c r="CL582" s="72" t="str">
        <f>IF(ISERROR(CK582/CC582),"NA",IF(OR(CK582/CC582&gt;2,CK582/CC582&lt;0.5),"NM",CK582/CC582*100-100))</f>
        <v>NM</v>
      </c>
      <c r="CM582" s="160">
        <f>CM579+CM581+CM580</f>
        <v>539</v>
      </c>
      <c r="CN582" s="72">
        <f>IF(ISERROR(CM582/CE582),"NA",IF(OR(CM582/CE582&gt;2,CM582/CE582&lt;0.5),"NM",CM582/CE582*100-100))</f>
        <v>10.905349794238674</v>
      </c>
      <c r="CO582" s="160">
        <f>CO579+CO581+CO580</f>
        <v>779</v>
      </c>
      <c r="CP582" s="72">
        <f>IF(ISERROR(CO582/CG582),"NA",IF(OR(CO582/CG582&gt;2,CO582/CG582&lt;0.5),"NM",CO582/CG582*100-100))</f>
        <v>-5.8041112454655348</v>
      </c>
      <c r="CQ582" s="160">
        <f>CQ579+CQ581+CQ580</f>
        <v>1562</v>
      </c>
      <c r="CR582" s="72">
        <f>IF(ISERROR(CQ582/CI582),"NA",IF(OR(CQ582/CI582&gt;2,CQ582/CI582&lt;0.5),"NM",CQ582/CI582*100-100))</f>
        <v>45.167286245353154</v>
      </c>
      <c r="CS582" s="160">
        <f>CS579+CS581+CS580</f>
        <v>522</v>
      </c>
      <c r="CT582" s="72" t="str">
        <f>IF(ISERROR(CS582/CK582),"NA",IF(OR(CS582/CK582&gt;2,CS582/CK582&lt;0.5),"NM",CS582/CK582*100-100))</f>
        <v>NM</v>
      </c>
      <c r="CU582" s="160">
        <f>CU579+CU581+CU580</f>
        <v>-941</v>
      </c>
      <c r="CV582" s="72" t="str">
        <f>IF(ISERROR(CU582/CM582),"NA",IF(OR(CU582/CM582&gt;2,CU582/CM582&lt;0.5),"NM",CU582/CM582*100-100))</f>
        <v>NM</v>
      </c>
      <c r="CW582" s="160">
        <f>CW579+CW581+CW580</f>
        <v>2232</v>
      </c>
      <c r="CX582" s="72" t="str">
        <f>IF(ISERROR(CW582/CO582),"NA",IF(OR(CW582/CO582&gt;2,CW582/CO582&lt;0.5),"NM",CW582/CO582*100-100))</f>
        <v>NM</v>
      </c>
      <c r="CY582" s="160">
        <f>CY579+CY581+CY580</f>
        <v>-619</v>
      </c>
      <c r="CZ582" s="72" t="str">
        <f>IF(ISERROR(CY582/CQ582),"NA",IF(OR(CY582/CQ582&gt;2,CY582/CQ582&lt;0.5),"NM",CY582/CQ582*100-100))</f>
        <v>NM</v>
      </c>
      <c r="DA582" s="160">
        <f>DA579+DA581+DA580</f>
        <v>-185</v>
      </c>
      <c r="DB582" s="72" t="str">
        <f>IF(ISERROR(DA582/CS582),"NA",IF(OR(DA582/CS582&gt;2,DA582/CS582&lt;0.5),"NM",DA582/CS582*100-100))</f>
        <v>NM</v>
      </c>
      <c r="DC582" s="160">
        <f>DC579+DC581+DC580</f>
        <v>-735</v>
      </c>
      <c r="DD582" s="72">
        <f>IF(ISERROR(DC582/CU582),"NA",IF(OR(DC582/CU582&gt;2,DC582/CU582&lt;0.5),"NM",DC582/CU582*100-100))</f>
        <v>-21.891604675876735</v>
      </c>
      <c r="DE582" s="160">
        <f>DE579+DE581+DE580</f>
        <v>-517</v>
      </c>
      <c r="DF582" s="72" t="str">
        <f>IF(ISERROR(DE582/CW582),"NA",IF(OR(DE582/CW582&gt;2,DE582/CW582&lt;0.5),"NM",DE582/CW582*100-100))</f>
        <v>NM</v>
      </c>
      <c r="DG582" s="156">
        <f>DG579+DG581+DG580</f>
        <v>966</v>
      </c>
      <c r="DH582" s="72" t="str">
        <f>IF(ISERROR(DG582/CY582),"NA",IF(OR(DG582/CY582&gt;2,DG582/CY582&lt;0.5),"NM",DG582/CY582*100-100))</f>
        <v>NM</v>
      </c>
      <c r="DI582" s="156">
        <f>DI579+DI581+DI580</f>
        <v>-427</v>
      </c>
      <c r="DJ582" s="72" t="str">
        <f>IF(ISERROR(DI582/DA582),"NA",IF(OR(DI582/DA582&gt;2,DI582/DA582&lt;0.5),"NM",DI582/DA582*100-100))</f>
        <v>NM</v>
      </c>
      <c r="DK582" s="156">
        <f>DK579+DK581+DK580</f>
        <v>1225</v>
      </c>
      <c r="DL582" s="72" t="str">
        <f>IF(ISERROR(DK582/DC582),"NA",IF(OR(DK582/DC582&gt;2,DK582/DC582&lt;0.5),"NM",DK582/DC582*100-100))</f>
        <v>NM</v>
      </c>
      <c r="DM582" s="156">
        <f>DM579+DM581+DM580</f>
        <v>1049</v>
      </c>
      <c r="DN582" s="72" t="str">
        <f t="shared" si="2803"/>
        <v>NM</v>
      </c>
      <c r="DO582" s="156">
        <f>DO579+DO581+DO580</f>
        <v>465</v>
      </c>
      <c r="DP582" s="72" t="str">
        <f t="shared" si="2803"/>
        <v>NM</v>
      </c>
      <c r="DQ582" s="156">
        <f>DQ579+DQ581+DQ580</f>
        <v>-1206</v>
      </c>
      <c r="DR582" s="72" t="str">
        <f t="shared" si="2803"/>
        <v>NM</v>
      </c>
      <c r="DS582" s="156">
        <f>DS579+DS581+DS580</f>
        <v>2036</v>
      </c>
      <c r="DT582" s="72">
        <f t="shared" si="2803"/>
        <v>66.204081632653043</v>
      </c>
      <c r="DU582" s="156">
        <f>DU579+DU581+DU580</f>
        <v>1406</v>
      </c>
      <c r="DV582" s="72">
        <f t="shared" si="2803"/>
        <v>34.032411820781704</v>
      </c>
      <c r="DW582" s="156">
        <f>DW579+DW581+DW580</f>
        <v>1465</v>
      </c>
      <c r="DX582" s="72" t="str">
        <f t="shared" si="2803"/>
        <v>NM</v>
      </c>
      <c r="DY582" s="156">
        <f>DY579+DY581+DY580</f>
        <v>735</v>
      </c>
      <c r="DZ582" s="72" t="str">
        <f t="shared" si="2803"/>
        <v>NM</v>
      </c>
      <c r="EA582" s="156">
        <f>EA579+EA581+EA580</f>
        <v>1336</v>
      </c>
      <c r="EB582" s="72">
        <f>IF(ISERROR(EA582/DS582),"NA",IF(OR(EA582/DS582&gt;2,EA582/DS582&lt;0.5),"NM",EA582/DS582*100-100))</f>
        <v>-34.381139489194496</v>
      </c>
      <c r="EC582" s="156">
        <f>EC579+EC581+EC580</f>
        <v>921</v>
      </c>
      <c r="ED582" s="72">
        <f>IF(ISERROR(EC582/DU582),"NA",IF(OR(EC582/DU582&gt;2,EC582/DU582&lt;0.5),"NM",EC582/DU582*100-100))</f>
        <v>-34.495021337126602</v>
      </c>
      <c r="EE582" s="156">
        <f>EE579+EE581+EE580</f>
        <v>1827</v>
      </c>
      <c r="EF582" s="72">
        <f>IF(ISERROR(EE582/DW582),"NA",IF(OR(EE582/DW582&gt;2,EE582/DW582&lt;0.5),"NM",EE582/DW582*100-100))</f>
        <v>24.709897610921502</v>
      </c>
      <c r="EG582" s="156">
        <f>EG579+EG581+EG580</f>
        <v>284</v>
      </c>
      <c r="EH582" s="72" t="str">
        <f>IF(ISERROR(EG582/DY582),"NA",IF(OR(EG582/DY582&gt;2,EG582/DY582&lt;0.5),"NM",EG582/DY582*100-100))</f>
        <v>NM</v>
      </c>
      <c r="EI582" s="156">
        <f>EI579+EI581+EI580</f>
        <v>1369</v>
      </c>
      <c r="EJ582" s="72">
        <f>IF(ISERROR(EI582/EA582),"NA",IF(OR(EI582/EA582&gt;2,EI582/EA582&lt;0.5),"NM",EI582/EA582*100-100))</f>
        <v>2.4700598802395177</v>
      </c>
      <c r="EK582" s="156">
        <f>EK579+EK581+EK580</f>
        <v>491</v>
      </c>
      <c r="EL582" s="72">
        <f>IF(ISERROR(EK582/EC582),"NA",IF(OR(EK582/EC582&gt;2,EK582/EC582&lt;0.5),"NM",EK582/EC582*100-100))</f>
        <v>-46.688382193268183</v>
      </c>
      <c r="EM582" s="156">
        <f>EM579+EM581+EM580</f>
        <v>2238</v>
      </c>
      <c r="EN582" s="72">
        <f>IF(ISERROR(EM582/EE582),"NA",IF(OR(EM582/EE582&gt;2,EM582/EE582&lt;0.5),"NM",EM582/EE582*100-100))</f>
        <v>22.495894909688019</v>
      </c>
      <c r="EO582" s="156">
        <f>EO579+EO581+EO580</f>
        <v>3765</v>
      </c>
      <c r="EP582" s="72" t="str">
        <f>IF(ISERROR(EO582/EG582),"NA",IF(OR(EO582/EG582&gt;2,EO582/EG582&lt;0.5),"NM",EO582/EG582*100-100))</f>
        <v>NM</v>
      </c>
      <c r="EQ582" s="160">
        <f t="shared" ref="EQ582" si="2809">EQ579+EQ581+EQ580</f>
        <v>2169.5916299288165</v>
      </c>
      <c r="ER582" s="72">
        <f t="shared" si="2804"/>
        <v>58.480031404588487</v>
      </c>
      <c r="ES582" s="160">
        <f t="shared" ref="ES582" si="2810">ES579+ES581+ES580</f>
        <v>961.19494269956499</v>
      </c>
      <c r="ET582" s="72">
        <f t="shared" si="2805"/>
        <v>95.762717454086555</v>
      </c>
      <c r="EU582" s="160">
        <f t="shared" ref="EU582" si="2811">EU579+EU581+EU580</f>
        <v>940.06473018106681</v>
      </c>
      <c r="EV582" s="72" t="str">
        <f t="shared" si="2806"/>
        <v>NM</v>
      </c>
      <c r="EW582" s="160">
        <f t="shared" ref="EW582" si="2812">EW579+EW581+EW580</f>
        <v>803.73349126113294</v>
      </c>
      <c r="EX582" s="72" t="str">
        <f t="shared" si="2807"/>
        <v>NM</v>
      </c>
      <c r="EY582" s="72"/>
      <c r="EZ582" s="332"/>
      <c r="FA582" s="72"/>
      <c r="FB582" s="160"/>
      <c r="FC582" s="161"/>
      <c r="FD582" s="160">
        <f>FD579+FD581+FD580</f>
        <v>788</v>
      </c>
      <c r="FE582" s="72" t="str">
        <f>IF(ISERROR(FD582/FB582),"NA",IF(OR(FD582/FB582&gt;2,FD582/FB582&lt;0.5),"NM",FD582/FB582*100-100))</f>
        <v>NA</v>
      </c>
      <c r="FF582" s="160">
        <f>FF579+FF581+FF580</f>
        <v>-652</v>
      </c>
      <c r="FG582" s="72" t="str">
        <f>IF(ISERROR(FF582/FD582),"NA",IF(OR(FF582/FD582&gt;2,FF582/FD582&lt;0.5),"NM",FF582/FD582*100-100))</f>
        <v>NM</v>
      </c>
      <c r="FH582" s="160">
        <f>FH579+FH581+FH580</f>
        <v>1244</v>
      </c>
      <c r="FI582" s="72" t="str">
        <f>IF(ISERROR(FH582/FF582),"NA",IF(OR(FH582/FF582&gt;2,FH582/FF582&lt;0.5),"NM",FH582/FF582*100-100))</f>
        <v>NM</v>
      </c>
      <c r="FJ582" s="160">
        <f>FJ579+FJ581+FJ580</f>
        <v>-1135</v>
      </c>
      <c r="FK582" s="72" t="str">
        <f>IF(ISERROR(FJ582/FH582),"NA",IF(OR(FJ582/FH582&gt;2,FJ582/FH582&lt;0.5),"NM",FJ582/FH582*100-100))</f>
        <v>NM</v>
      </c>
      <c r="FL582" s="160">
        <f>FL579+FL581+FL580</f>
        <v>-1454</v>
      </c>
      <c r="FM582" s="72">
        <f>IF(ISERROR(FL582/FJ582),"NA",IF(OR(FL582/FJ582&gt;2,FL582/FJ582&lt;0.5),"NM",FL582/FJ582*100-100))</f>
        <v>28.105726872246692</v>
      </c>
      <c r="FN582" s="160">
        <f>FN579+FN581+FN580</f>
        <v>-985</v>
      </c>
      <c r="FO582" s="72">
        <f>IF(ISERROR(FN582/FL582),"NA",IF(OR(FN582/FL582&gt;2,FN582/FL582&lt;0.5),"NM",FN582/FL582*100-100))</f>
        <v>-32.255845942228333</v>
      </c>
      <c r="FP582" s="160">
        <f>FP579+FP581+FP580</f>
        <v>-3725</v>
      </c>
      <c r="FQ582" s="72" t="str">
        <f>IF(ISERROR(FP582/FN582),"NA",IF(OR(FP582/FN582&gt;2,FP582/FN582&lt;0.5),"NM",FP582/FN582*100-100))</f>
        <v>NM</v>
      </c>
      <c r="FR582" s="160">
        <f>FR579+FR581+FR580</f>
        <v>-2552</v>
      </c>
      <c r="FS582" s="72">
        <f>IF(ISERROR(FR582/FP582),"NA",IF(OR(FR582/FP582&gt;2,FR582/FP582&lt;0.5),"NM",FR582/FP582*100-100))</f>
        <v>-31.489932885906029</v>
      </c>
      <c r="FT582" s="160">
        <f>FT579+FT581+FT580</f>
        <v>-2544.3999999999996</v>
      </c>
      <c r="FU582" s="72">
        <f>IF(ISERROR(FT582/FR582),"NA",IF(OR(FT582/FR582&gt;2,FT582/FR582&lt;0.5),"NM",FT582/FR582*100-100))</f>
        <v>-0.29780564263323583</v>
      </c>
      <c r="FV582" s="160">
        <f>FV579+FV581+FV580</f>
        <v>-4053</v>
      </c>
      <c r="FW582" s="72">
        <f>IF(ISERROR(FV582/FT582),"NA",IF(OR(FV582/FT582&gt;2,FV582/FT582&lt;0.5),"NM",FV582/FT582*100-100))</f>
        <v>59.29099198239274</v>
      </c>
      <c r="FX582" s="160">
        <f>FX579+FX581+FX580</f>
        <v>-805</v>
      </c>
      <c r="FY582" s="72" t="str">
        <f>IF(ISERROR(FX582/FV582),"NA",IF(OR(FX582/FV582&gt;2,FX582/FV582&lt;0.5),"NM",FX582/FV582*100-100))</f>
        <v>NM</v>
      </c>
      <c r="FZ582" s="160">
        <f>FZ579+FZ581+FZ580</f>
        <v>-34</v>
      </c>
      <c r="GA582" s="72" t="str">
        <f>IF(ISERROR(FZ582/FX582),"NA",IF(OR(FZ582/FX582&gt;2,FZ582/FX582&lt;0.5),"NM",FZ582/FX582*100-100))</f>
        <v>NM</v>
      </c>
      <c r="GB582" s="160">
        <f>GB579+GB581+GB580</f>
        <v>-536</v>
      </c>
      <c r="GC582" s="72" t="str">
        <f>IF(ISERROR(GB582/FZ582),"NA",IF(OR(GB582/FZ582&gt;2,GB582/FZ582&lt;0.5),"NM",GB582/FZ582*100-100))</f>
        <v>NM</v>
      </c>
      <c r="GD582" s="160">
        <f>GD579+GD581+GD580</f>
        <v>306</v>
      </c>
      <c r="GE582" s="72" t="str">
        <f>IF(ISERROR(GD582/GB582),"NA",IF(OR(GD582/GB582&gt;2,GD582/GB582&lt;0.5),"NM",GD582/GB582*100-100))</f>
        <v>NM</v>
      </c>
      <c r="GF582" s="160">
        <f>GF579+GF581+GF580</f>
        <v>2786</v>
      </c>
      <c r="GG582" s="72" t="str">
        <f>IF(ISERROR(GF582/GD582),"NA",IF(OR(GF582/GD582&gt;2,GF582/GD582&lt;0.5),"NM",GF582/GD582*100-100))</f>
        <v>NM</v>
      </c>
      <c r="GH582" s="160">
        <f>GH579+GH581+GH580</f>
        <v>3199</v>
      </c>
      <c r="GI582" s="72">
        <f t="shared" si="2808"/>
        <v>14.824120603015075</v>
      </c>
      <c r="GJ582" s="160">
        <f>GJ579+GJ581+GJ580</f>
        <v>5642</v>
      </c>
      <c r="GK582" s="72">
        <f t="shared" si="2808"/>
        <v>76.367614879649892</v>
      </c>
      <c r="GL582" s="160">
        <f>GL579+GL581+GL580</f>
        <v>4368</v>
      </c>
      <c r="GM582" s="72">
        <f t="shared" si="2808"/>
        <v>-22.58064516129032</v>
      </c>
      <c r="GN582" s="160">
        <f>GN579+GN581+GN580</f>
        <v>7863</v>
      </c>
      <c r="GO582" s="72">
        <f t="shared" si="2808"/>
        <v>80.013736263736263</v>
      </c>
      <c r="GP582" s="160">
        <f>GP579+GP581+GP580</f>
        <v>4874.5847940705817</v>
      </c>
      <c r="GQ582" s="72">
        <f t="shared" si="2808"/>
        <v>-38.006043570258406</v>
      </c>
      <c r="GR582" s="160">
        <f>GR579+GR581+GR580</f>
        <v>4475.5160985982038</v>
      </c>
      <c r="GS582" s="72">
        <f t="shared" si="2808"/>
        <v>-8.1867217892650643</v>
      </c>
      <c r="GT582" s="160">
        <f>GT579+GT581+GT580</f>
        <v>4490.313762578905</v>
      </c>
      <c r="GU582" s="72">
        <f t="shared" si="2808"/>
        <v>0.33063592342648462</v>
      </c>
      <c r="GV582" s="160">
        <f>GV579+GV581+GV580</f>
        <v>4509.3505312133457</v>
      </c>
      <c r="GW582" s="72">
        <f>IF(ISERROR(GV582/GT582),"NA",IF(OR(GV582/GT582&gt;2,GV582/GT582&lt;0.5),"NM",GV582/GT582*100-100))</f>
        <v>0.42395185817723302</v>
      </c>
      <c r="GX582" s="160">
        <f>GX579+GX581+GX580</f>
        <v>4518.3321298446017</v>
      </c>
      <c r="GY582" s="72">
        <f>IF(ISERROR(GX582/GV582),"NA",IF(OR(GX582/GV582&gt;2,GX582/GV582&lt;0.5),"NM",GX582/GV582*100-100))</f>
        <v>0.19917721119895759</v>
      </c>
      <c r="GZ582" s="72">
        <f>IF(ISERROR(((GX582/GN582)^0.2-1)*100),"NA",IF((((GX582/GN582)^0.2-1)*100)&gt;100,"NM",IF((((GX582/GN582)^0.2-1)*100)&lt;-50,"NM",((GX582/GN582)^0.2-1)*100)))</f>
        <v>-10.488677203523466</v>
      </c>
      <c r="HA582" s="72"/>
      <c r="HB582" s="72"/>
      <c r="HC582"/>
      <c r="HD582"/>
      <c r="HE582"/>
      <c r="HF582"/>
      <c r="HG582"/>
      <c r="HH582"/>
      <c r="HI582" s="2"/>
    </row>
    <row r="583" spans="1:217" s="3" customFormat="1" ht="12.75" hidden="1" customHeight="1" outlineLevel="1" x14ac:dyDescent="0.2">
      <c r="B583" s="10" t="s">
        <v>289</v>
      </c>
      <c r="C583" s="144"/>
      <c r="D583" s="11"/>
      <c r="E583" s="144"/>
      <c r="F583" s="11"/>
      <c r="G583" s="144"/>
      <c r="H583" s="11"/>
      <c r="I583" s="144"/>
      <c r="J583" s="11"/>
      <c r="K583" s="144"/>
      <c r="L583" s="72"/>
      <c r="M583" s="144"/>
      <c r="N583" s="72"/>
      <c r="O583" s="144"/>
      <c r="P583" s="72"/>
      <c r="Q583" s="144"/>
      <c r="R583" s="72"/>
      <c r="S583" s="144"/>
      <c r="T583" s="72"/>
      <c r="U583" s="144"/>
      <c r="V583" s="72"/>
      <c r="W583" s="144"/>
      <c r="X583" s="72"/>
      <c r="Y583" s="144"/>
      <c r="Z583" s="72"/>
      <c r="AA583" s="144"/>
      <c r="AB583" s="72"/>
      <c r="AC583" s="144"/>
      <c r="AD583" s="72"/>
      <c r="AE583" s="144"/>
      <c r="AF583" s="72"/>
      <c r="AG583" s="144"/>
      <c r="AH583" s="72"/>
      <c r="AI583" s="144"/>
      <c r="AJ583" s="72"/>
      <c r="AK583" s="144"/>
      <c r="AL583" s="72"/>
      <c r="AM583" s="144"/>
      <c r="AN583" s="72"/>
      <c r="AO583" s="144"/>
      <c r="AP583" s="72"/>
      <c r="AQ583" s="144"/>
      <c r="AR583" s="72"/>
      <c r="AS583" s="144"/>
      <c r="AT583" s="72"/>
      <c r="AU583" s="144"/>
      <c r="AV583" s="72"/>
      <c r="AW583" s="144"/>
      <c r="AX583" s="72"/>
      <c r="AY583" s="144">
        <f>AY582+AY545+AY566</f>
        <v>623</v>
      </c>
      <c r="AZ583" s="144"/>
      <c r="BA583" s="144">
        <f>BA582+BA545+BA566</f>
        <v>404</v>
      </c>
      <c r="BB583" s="144"/>
      <c r="BC583" s="144">
        <f>BC582+BC545+BC566</f>
        <v>1114</v>
      </c>
      <c r="BD583" s="144"/>
      <c r="BE583" s="144">
        <f>BE582+BE545+BE566</f>
        <v>836</v>
      </c>
      <c r="BF583" s="144"/>
      <c r="BG583" s="144">
        <f>BG582+BG545+BG566</f>
        <v>848.19999999999993</v>
      </c>
      <c r="BH583" s="144"/>
      <c r="BI583" s="144">
        <f>BI582+BI545+BI566</f>
        <v>783</v>
      </c>
      <c r="BJ583" s="144"/>
      <c r="BK583" s="144">
        <f>BK582+BK545+BK566</f>
        <v>813</v>
      </c>
      <c r="BL583" s="144"/>
      <c r="BM583" s="144">
        <f>BM582+BM545+BM566</f>
        <v>796</v>
      </c>
      <c r="BN583" s="144"/>
      <c r="BO583" s="144">
        <f>BO582+BO545+BO566</f>
        <v>76</v>
      </c>
      <c r="BP583" s="144"/>
      <c r="BQ583" s="144">
        <f>BQ582+BQ545+BQ566</f>
        <v>564</v>
      </c>
      <c r="BR583" s="144"/>
      <c r="BS583" s="144">
        <f>BS582+BS545+BS566</f>
        <v>-126</v>
      </c>
      <c r="BT583" s="144"/>
      <c r="BU583" s="144">
        <f>BU582+BU545+BU566</f>
        <v>-1247.3800094295143</v>
      </c>
      <c r="BV583" s="144"/>
      <c r="BW583" s="144">
        <f>BW582+BW545+BW566</f>
        <v>6</v>
      </c>
      <c r="BX583" s="144"/>
      <c r="BY583" s="144">
        <f>BY582+BY545+BY566</f>
        <v>538</v>
      </c>
      <c r="BZ583" s="144"/>
      <c r="CA583" s="144">
        <f>CA582+CA545+CA566</f>
        <v>1090</v>
      </c>
      <c r="CB583" s="144"/>
      <c r="CC583" s="144">
        <f>CC582+CC545+CC566</f>
        <v>1793</v>
      </c>
      <c r="CD583" s="144"/>
      <c r="CE583" s="144">
        <f>CE582+CE545+CE566</f>
        <v>492</v>
      </c>
      <c r="CF583" s="144"/>
      <c r="CG583" s="144">
        <f>CG582+CG545+CG566</f>
        <v>837</v>
      </c>
      <c r="CH583" s="144"/>
      <c r="CI583" s="144">
        <f>CI582+CI545+CI566</f>
        <v>1077</v>
      </c>
      <c r="CJ583" s="144"/>
      <c r="CK583" s="144">
        <f>CK582+CK545+CK566</f>
        <v>112</v>
      </c>
      <c r="CL583" s="144"/>
      <c r="CM583" s="144">
        <f>CM582+CM545+CM566</f>
        <v>539</v>
      </c>
      <c r="CN583" s="144"/>
      <c r="CO583" s="144">
        <f>CO582+CO545+CO566</f>
        <v>781</v>
      </c>
      <c r="CP583" s="144"/>
      <c r="CQ583" s="144">
        <f>CQ582+CQ545+CQ566</f>
        <v>1566</v>
      </c>
      <c r="CR583" s="144"/>
      <c r="CS583" s="144">
        <f>CS582+CS545+CS566</f>
        <v>518</v>
      </c>
      <c r="CT583" s="144"/>
      <c r="CU583" s="144">
        <f>CU582+CU545+CU566</f>
        <v>-935</v>
      </c>
      <c r="CV583" s="144"/>
      <c r="CW583" s="144">
        <f>CW582+CW545+CW566</f>
        <v>2238</v>
      </c>
      <c r="CX583" s="144"/>
      <c r="CY583" s="144">
        <f>CY582+CY545+CY566</f>
        <v>-622</v>
      </c>
      <c r="CZ583" s="144"/>
      <c r="DA583" s="144">
        <f>DA582+DA545+DA566</f>
        <v>-188</v>
      </c>
      <c r="DB583" s="72"/>
      <c r="DC583" s="144">
        <f>DC582+DC545+DC566</f>
        <v>-738</v>
      </c>
      <c r="DD583" s="72"/>
      <c r="DE583" s="144">
        <f>DE582+DE545+DE566</f>
        <v>-522</v>
      </c>
      <c r="DF583" s="72"/>
      <c r="DG583" s="144">
        <f>DG582+DG545+DG566</f>
        <v>959</v>
      </c>
      <c r="DH583" s="72"/>
      <c r="DI583" s="144">
        <f>DI582+DI545+DI566</f>
        <v>-437</v>
      </c>
      <c r="DJ583" s="72"/>
      <c r="DK583" s="144">
        <f>DK582+DK545+DK566</f>
        <v>1223</v>
      </c>
      <c r="DL583" s="72"/>
      <c r="DM583" s="144">
        <f>DM582+DM545+DM566</f>
        <v>1046</v>
      </c>
      <c r="DN583" s="72"/>
      <c r="DO583" s="144">
        <f>DO582+DO545+DO566</f>
        <v>462</v>
      </c>
      <c r="DP583" s="72"/>
      <c r="DQ583" s="144">
        <f>DQ582+DQ545+DQ566</f>
        <v>-1225</v>
      </c>
      <c r="DR583" s="72"/>
      <c r="DS583" s="144">
        <f>DS582+DS545+DS566</f>
        <v>2036</v>
      </c>
      <c r="DT583" s="72"/>
      <c r="DU583" s="144">
        <f>DU582+DU545+DU566</f>
        <v>1406</v>
      </c>
      <c r="DV583" s="72"/>
      <c r="DW583" s="144">
        <f>DW582+DW545+DW566</f>
        <v>1465</v>
      </c>
      <c r="DX583" s="72"/>
      <c r="DY583" s="144">
        <f>DY582+DY545+DY566</f>
        <v>735</v>
      </c>
      <c r="DZ583" s="72"/>
      <c r="EA583" s="144">
        <f>EA582+EA545+EA566</f>
        <v>1336</v>
      </c>
      <c r="EB583" s="72"/>
      <c r="EC583" s="144">
        <f>EC582+EC545+EC566</f>
        <v>921</v>
      </c>
      <c r="ED583" s="72"/>
      <c r="EE583" s="144">
        <f>EE582+EE545+EE566</f>
        <v>1817.5</v>
      </c>
      <c r="EF583" s="72"/>
      <c r="EG583" s="144">
        <f>EG582+EG545+EG566</f>
        <v>275</v>
      </c>
      <c r="EH583" s="72"/>
      <c r="EI583" s="144">
        <f>EI582+EI545+EI566</f>
        <v>1359</v>
      </c>
      <c r="EJ583" s="72"/>
      <c r="EK583" s="144">
        <f>EK582+EK545+EK566</f>
        <v>486</v>
      </c>
      <c r="EL583" s="72"/>
      <c r="EM583" s="144">
        <f>EM582+EM545+EM566</f>
        <v>2226</v>
      </c>
      <c r="EN583" s="72"/>
      <c r="EO583" s="144">
        <f>EO582+EO545+EO566</f>
        <v>3754</v>
      </c>
      <c r="EP583" s="72"/>
      <c r="EQ583" s="144">
        <f t="shared" ref="EQ583" si="2813">EQ582+EQ545+EQ566</f>
        <v>2158.5916299288165</v>
      </c>
      <c r="ER583" s="72"/>
      <c r="ES583" s="144">
        <f t="shared" ref="ES583" si="2814">ES582+ES545+ES566</f>
        <v>950.19494269956499</v>
      </c>
      <c r="ET583" s="72"/>
      <c r="EU583" s="144">
        <f t="shared" ref="EU583" si="2815">EU582+EU545+EU566</f>
        <v>929.06473018106681</v>
      </c>
      <c r="EV583" s="72"/>
      <c r="EW583" s="144">
        <f t="shared" ref="EW583" si="2816">EW582+EW545+EW566</f>
        <v>792.73349126113294</v>
      </c>
      <c r="EX583" s="72"/>
      <c r="EY583" s="72"/>
      <c r="EZ583" s="335"/>
      <c r="FA583" s="72"/>
      <c r="FB583" s="144"/>
      <c r="FC583" s="11"/>
      <c r="FD583" s="144">
        <f>FD582+FD545+FD566</f>
        <v>3404</v>
      </c>
      <c r="FE583" s="72"/>
      <c r="FF583" s="144">
        <f>FF582+FF545+FF566</f>
        <v>1930</v>
      </c>
      <c r="FG583" s="72"/>
      <c r="FH583" s="144">
        <f>FH582+FH545+FH566</f>
        <v>3387</v>
      </c>
      <c r="FI583" s="72"/>
      <c r="FJ583" s="144">
        <f>FJ582+FJ545+FJ566</f>
        <v>1199</v>
      </c>
      <c r="FK583" s="72"/>
      <c r="FL583" s="144">
        <f>FL582+FL545+FL566</f>
        <v>493</v>
      </c>
      <c r="FM583" s="72"/>
      <c r="FN583" s="144">
        <f>FN582+FN545+FN566</f>
        <v>690</v>
      </c>
      <c r="FO583" s="72"/>
      <c r="FP583" s="144">
        <f>FP582+FP545+FP566</f>
        <v>-2070</v>
      </c>
      <c r="FQ583" s="72"/>
      <c r="FR583" s="144">
        <f>FR582+FR545+FR566</f>
        <v>-489</v>
      </c>
      <c r="FS583" s="72"/>
      <c r="FT583" s="144">
        <f>FT582+FT545+FT566</f>
        <v>-738</v>
      </c>
      <c r="FU583" s="72"/>
      <c r="FV583" s="144">
        <f>FV582+FV545+FV566</f>
        <v>1223</v>
      </c>
      <c r="FW583" s="144"/>
      <c r="FX583" s="144">
        <f>FX582+FX545+FX566</f>
        <v>2791</v>
      </c>
      <c r="FY583" s="144"/>
      <c r="FZ583" s="144">
        <f>FZ582+FZ545+FZ566</f>
        <v>2294</v>
      </c>
      <c r="GA583" s="144"/>
      <c r="GB583" s="144">
        <f>GB582+GB545+GB566</f>
        <v>1506</v>
      </c>
      <c r="GC583" s="144"/>
      <c r="GD583" s="144">
        <f>GD582+GD545+GD566</f>
        <v>2319</v>
      </c>
      <c r="GE583" s="144"/>
      <c r="GF583" s="144">
        <f>GF582+GF545+GF566</f>
        <v>2679</v>
      </c>
      <c r="GG583" s="87"/>
      <c r="GH583" s="144">
        <f>GH582+GH545+GH566</f>
        <v>3682</v>
      </c>
      <c r="GI583" s="87"/>
      <c r="GJ583" s="144">
        <f>GJ582+GJ545+GJ566</f>
        <v>5642</v>
      </c>
      <c r="GK583" s="87"/>
      <c r="GL583" s="144">
        <f>GL582+GL545+GL566</f>
        <v>4349.5</v>
      </c>
      <c r="GM583" s="87"/>
      <c r="GN583" s="144">
        <f>GN582+GN545+GN566</f>
        <v>7825</v>
      </c>
      <c r="GO583" s="87"/>
      <c r="GP583" s="144">
        <f>GP582+GP545+GP566</f>
        <v>4830.5847940705817</v>
      </c>
      <c r="GQ583" s="87"/>
      <c r="GR583" s="144">
        <f>GR582+GR545+GR566</f>
        <v>4431.5160985982038</v>
      </c>
      <c r="GS583" s="87"/>
      <c r="GT583" s="144">
        <f>GT582+GT545+GT566</f>
        <v>4446.313762578905</v>
      </c>
      <c r="GU583" s="87"/>
      <c r="GV583" s="144">
        <f>GV582+GV545+GV566</f>
        <v>4465.3505312133457</v>
      </c>
      <c r="GW583" s="87"/>
      <c r="GX583" s="144">
        <f>GX582+GX545+GX566</f>
        <v>4474.3321298446017</v>
      </c>
      <c r="GY583" s="87"/>
      <c r="GZ583" s="72"/>
      <c r="HA583" s="72"/>
      <c r="HB583" s="72"/>
      <c r="HC583"/>
      <c r="HD583"/>
      <c r="HE583"/>
      <c r="HF583"/>
      <c r="HG583"/>
      <c r="HH583"/>
      <c r="HI583" s="2"/>
    </row>
    <row r="584" spans="1:217" s="3" customFormat="1" ht="12.75" hidden="1" customHeight="1" outlineLevel="1" x14ac:dyDescent="0.2">
      <c r="B584" s="10"/>
      <c r="C584" s="144"/>
      <c r="D584" s="11"/>
      <c r="E584" s="144"/>
      <c r="F584" s="11"/>
      <c r="G584" s="144"/>
      <c r="H584" s="11"/>
      <c r="I584" s="144"/>
      <c r="J584" s="11"/>
      <c r="K584" s="144"/>
      <c r="L584" s="11"/>
      <c r="M584" s="144"/>
      <c r="N584" s="11"/>
      <c r="O584" s="144"/>
      <c r="P584" s="11"/>
      <c r="Q584" s="144"/>
      <c r="R584" s="72"/>
      <c r="S584" s="144"/>
      <c r="T584" s="11"/>
      <c r="U584" s="144"/>
      <c r="V584" s="11"/>
      <c r="W584" s="144"/>
      <c r="X584" s="11"/>
      <c r="Y584" s="144"/>
      <c r="Z584" s="72"/>
      <c r="AA584" s="144"/>
      <c r="AB584" s="11"/>
      <c r="AC584" s="144"/>
      <c r="AD584" s="11"/>
      <c r="AE584" s="144"/>
      <c r="AF584" s="11"/>
      <c r="AG584" s="144"/>
      <c r="AH584" s="72"/>
      <c r="AI584" s="144"/>
      <c r="AJ584" s="11"/>
      <c r="AK584" s="144"/>
      <c r="AL584" s="11"/>
      <c r="AM584" s="144"/>
      <c r="AN584" s="11"/>
      <c r="AO584" s="144"/>
      <c r="AP584" s="72"/>
      <c r="AQ584" s="144"/>
      <c r="AR584" s="11"/>
      <c r="AS584" s="144"/>
      <c r="AT584" s="11"/>
      <c r="AU584" s="144"/>
      <c r="AV584" s="11"/>
      <c r="AW584" s="144"/>
      <c r="AX584" s="72"/>
      <c r="AY584" s="144"/>
      <c r="AZ584" s="11"/>
      <c r="BA584" s="144"/>
      <c r="BB584" s="11"/>
      <c r="BC584" s="144"/>
      <c r="BD584" s="11"/>
      <c r="BE584" s="144"/>
      <c r="BF584" s="144"/>
      <c r="BG584" s="144"/>
      <c r="BH584" s="11"/>
      <c r="BI584" s="144"/>
      <c r="BJ584" s="11"/>
      <c r="BK584" s="144"/>
      <c r="BL584" s="11"/>
      <c r="BM584" s="144"/>
      <c r="BN584" s="144"/>
      <c r="BO584" s="144"/>
      <c r="BP584" s="11"/>
      <c r="BQ584" s="144"/>
      <c r="BR584" s="11"/>
      <c r="BS584" s="144"/>
      <c r="BT584" s="11"/>
      <c r="BU584" s="144"/>
      <c r="BV584" s="144"/>
      <c r="BW584" s="144"/>
      <c r="BX584" s="11"/>
      <c r="BY584" s="144"/>
      <c r="BZ584" s="11"/>
      <c r="CA584" s="144"/>
      <c r="CB584" s="11"/>
      <c r="CC584" s="144"/>
      <c r="CD584" s="144"/>
      <c r="CE584" s="144"/>
      <c r="CF584" s="11"/>
      <c r="CG584" s="144"/>
      <c r="CH584" s="11"/>
      <c r="CI584" s="144"/>
      <c r="CJ584" s="11"/>
      <c r="CK584" s="144"/>
      <c r="CL584" s="144"/>
      <c r="CM584" s="144"/>
      <c r="CN584" s="11"/>
      <c r="CO584" s="144"/>
      <c r="CP584" s="11"/>
      <c r="CQ584" s="144"/>
      <c r="CR584" s="11"/>
      <c r="CS584" s="144"/>
      <c r="CT584" s="144"/>
      <c r="CU584" s="144"/>
      <c r="CV584" s="11"/>
      <c r="CW584" s="144"/>
      <c r="CX584" s="11"/>
      <c r="CY584" s="144"/>
      <c r="CZ584" s="11"/>
      <c r="DA584" s="144"/>
      <c r="DB584" s="72"/>
      <c r="DC584" s="144"/>
      <c r="DD584" s="11"/>
      <c r="DE584" s="144"/>
      <c r="DF584" s="11"/>
      <c r="DG584" s="75"/>
      <c r="DH584" s="11"/>
      <c r="DI584" s="75"/>
      <c r="DJ584" s="72"/>
      <c r="DK584" s="75"/>
      <c r="DL584" s="72"/>
      <c r="DM584" s="75"/>
      <c r="DN584" s="72"/>
      <c r="DO584" s="75"/>
      <c r="DP584" s="72"/>
      <c r="DQ584" s="75"/>
      <c r="DR584" s="72"/>
      <c r="DS584" s="75"/>
      <c r="DT584" s="72"/>
      <c r="DU584" s="75"/>
      <c r="DV584" s="72"/>
      <c r="DW584" s="144"/>
      <c r="DX584" s="72"/>
      <c r="DY584" s="144"/>
      <c r="DZ584" s="72"/>
      <c r="EA584" s="144"/>
      <c r="EB584" s="72"/>
      <c r="EC584" s="144"/>
      <c r="ED584" s="72"/>
      <c r="EE584" s="144"/>
      <c r="EF584" s="72"/>
      <c r="EG584" s="144"/>
      <c r="EH584" s="72"/>
      <c r="EI584" s="144"/>
      <c r="EJ584" s="72"/>
      <c r="EK584" s="144"/>
      <c r="EL584" s="72"/>
      <c r="EM584" s="144"/>
      <c r="EN584" s="72"/>
      <c r="EO584" s="144"/>
      <c r="EP584" s="72"/>
      <c r="EQ584" s="144"/>
      <c r="ER584" s="72"/>
      <c r="ES584" s="144"/>
      <c r="ET584" s="72"/>
      <c r="EU584" s="144"/>
      <c r="EV584" s="72"/>
      <c r="EW584" s="144"/>
      <c r="EX584" s="72"/>
      <c r="EY584" s="72"/>
      <c r="EZ584" s="335"/>
      <c r="FA584" s="72"/>
      <c r="FB584" s="144"/>
      <c r="FC584" s="11"/>
      <c r="FD584" s="144"/>
      <c r="FE584" s="72"/>
      <c r="FF584" s="144"/>
      <c r="FG584" s="72"/>
      <c r="FH584" s="144"/>
      <c r="FI584" s="72"/>
      <c r="FJ584" s="144"/>
      <c r="FK584" s="72"/>
      <c r="FL584" s="144"/>
      <c r="FM584" s="72"/>
      <c r="FN584" s="144"/>
      <c r="FO584" s="72"/>
      <c r="FP584" s="144"/>
      <c r="FQ584" s="72"/>
      <c r="FR584" s="144"/>
      <c r="FS584" s="11"/>
      <c r="FT584" s="144"/>
      <c r="FU584" s="11"/>
      <c r="FV584" s="144"/>
      <c r="FW584" s="11"/>
      <c r="FX584" s="144"/>
      <c r="FY584" s="144"/>
      <c r="FZ584" s="144"/>
      <c r="GA584" s="11"/>
      <c r="GB584" s="144"/>
      <c r="GC584" s="11"/>
      <c r="GD584" s="144"/>
      <c r="GE584" s="11"/>
      <c r="GF584" s="144"/>
      <c r="GG584" s="87"/>
      <c r="GH584" s="144"/>
      <c r="GI584" s="87"/>
      <c r="GJ584" s="144"/>
      <c r="GK584" s="87"/>
      <c r="GL584" s="144"/>
      <c r="GM584" s="87"/>
      <c r="GN584" s="144"/>
      <c r="GO584" s="87"/>
      <c r="GP584" s="144"/>
      <c r="GQ584" s="87"/>
      <c r="GR584" s="144"/>
      <c r="GS584" s="87"/>
      <c r="GT584" s="144"/>
      <c r="GU584" s="87"/>
      <c r="GV584" s="144"/>
      <c r="GW584" s="87"/>
      <c r="GX584" s="144"/>
      <c r="GY584" s="87"/>
      <c r="GZ584" s="72"/>
      <c r="HA584" s="72"/>
      <c r="HB584" s="72"/>
      <c r="HC584"/>
      <c r="HD584"/>
      <c r="HE584"/>
      <c r="HF584"/>
      <c r="HG584"/>
      <c r="HH584"/>
      <c r="HI584" s="111"/>
    </row>
    <row r="585" spans="1:217" s="3" customFormat="1" ht="12.75" customHeight="1" collapsed="1" x14ac:dyDescent="0.2">
      <c r="B585" s="89"/>
      <c r="C585" s="160"/>
      <c r="D585" s="11"/>
      <c r="E585" s="160"/>
      <c r="F585" s="11"/>
      <c r="G585" s="160"/>
      <c r="H585" s="11"/>
      <c r="I585" s="160"/>
      <c r="J585" s="11"/>
      <c r="K585" s="160"/>
      <c r="L585" s="72"/>
      <c r="M585" s="160"/>
      <c r="N585" s="72"/>
      <c r="O585" s="160"/>
      <c r="P585" s="72"/>
      <c r="Q585" s="160"/>
      <c r="R585" s="72"/>
      <c r="S585" s="160"/>
      <c r="T585" s="72"/>
      <c r="U585" s="160"/>
      <c r="V585" s="72"/>
      <c r="W585" s="160"/>
      <c r="X585" s="72"/>
      <c r="Y585" s="160"/>
      <c r="Z585" s="72"/>
      <c r="AA585" s="160"/>
      <c r="AB585" s="72"/>
      <c r="AC585" s="160"/>
      <c r="AD585" s="72"/>
      <c r="AE585" s="160"/>
      <c r="AF585" s="72"/>
      <c r="AG585" s="160"/>
      <c r="AH585" s="72"/>
      <c r="AI585" s="160"/>
      <c r="AJ585" s="72"/>
      <c r="AK585" s="160"/>
      <c r="AL585" s="72"/>
      <c r="AM585" s="160"/>
      <c r="AN585" s="72"/>
      <c r="AO585" s="160"/>
      <c r="AP585" s="72"/>
      <c r="AQ585" s="160"/>
      <c r="AR585" s="72"/>
      <c r="AS585" s="160"/>
      <c r="AT585" s="72"/>
      <c r="AU585" s="160"/>
      <c r="AV585" s="72"/>
      <c r="AW585" s="160"/>
      <c r="AX585" s="72"/>
      <c r="AY585" s="160"/>
      <c r="AZ585" s="72"/>
      <c r="BA585" s="160"/>
      <c r="BB585" s="72"/>
      <c r="BC585" s="160"/>
      <c r="BD585" s="72"/>
      <c r="BE585" s="160"/>
      <c r="BF585" s="72"/>
      <c r="BG585" s="160"/>
      <c r="BH585" s="72"/>
      <c r="BI585" s="160"/>
      <c r="BJ585" s="72"/>
      <c r="BK585" s="160"/>
      <c r="BL585" s="72"/>
      <c r="BM585" s="160"/>
      <c r="BN585" s="72"/>
      <c r="BO585" s="160"/>
      <c r="BP585" s="72"/>
      <c r="BQ585" s="160"/>
      <c r="BR585" s="72"/>
      <c r="BS585" s="160"/>
      <c r="BT585" s="72"/>
      <c r="BU585" s="160"/>
      <c r="BV585" s="72"/>
      <c r="BW585" s="160"/>
      <c r="BX585" s="72"/>
      <c r="BY585" s="160"/>
      <c r="BZ585" s="72"/>
      <c r="CA585" s="160"/>
      <c r="CB585" s="72"/>
      <c r="CC585" s="160"/>
      <c r="CD585" s="72"/>
      <c r="CE585" s="160"/>
      <c r="CF585" s="72"/>
      <c r="CG585" s="160"/>
      <c r="CH585" s="72"/>
      <c r="CI585" s="160"/>
      <c r="CJ585" s="72"/>
      <c r="CK585" s="160"/>
      <c r="CL585" s="72"/>
      <c r="CM585" s="160"/>
      <c r="CN585" s="72"/>
      <c r="CO585" s="160"/>
      <c r="CP585" s="72"/>
      <c r="CQ585" s="160"/>
      <c r="CR585" s="72"/>
      <c r="CS585" s="160"/>
      <c r="CT585" s="72"/>
      <c r="CU585" s="160"/>
      <c r="CV585" s="72"/>
      <c r="CW585" s="160"/>
      <c r="CX585" s="72"/>
      <c r="CY585" s="160"/>
      <c r="CZ585" s="72"/>
      <c r="DA585" s="160"/>
      <c r="DB585" s="72"/>
      <c r="DC585" s="160"/>
      <c r="DD585" s="72"/>
      <c r="DE585" s="160"/>
      <c r="DF585" s="72"/>
      <c r="DG585" s="156"/>
      <c r="DH585" s="72"/>
      <c r="DI585" s="156"/>
      <c r="DJ585" s="72"/>
      <c r="DK585" s="156"/>
      <c r="DL585" s="72"/>
      <c r="DM585" s="156"/>
      <c r="DN585" s="72"/>
      <c r="DO585" s="156"/>
      <c r="DP585" s="72"/>
      <c r="DQ585" s="156"/>
      <c r="DR585" s="72"/>
      <c r="DS585" s="156"/>
      <c r="DT585" s="72"/>
      <c r="DU585" s="156"/>
      <c r="DV585" s="72"/>
      <c r="DW585" s="162"/>
      <c r="DX585" s="72"/>
      <c r="DY585" s="162"/>
      <c r="DZ585" s="72"/>
      <c r="EA585" s="162"/>
      <c r="EB585" s="72"/>
      <c r="EC585" s="162"/>
      <c r="ED585" s="72"/>
      <c r="EE585" s="162"/>
      <c r="EF585" s="72"/>
      <c r="EG585" s="162"/>
      <c r="EH585" s="72"/>
      <c r="EI585" s="162"/>
      <c r="EJ585" s="72"/>
      <c r="EK585" s="162"/>
      <c r="EL585" s="72"/>
      <c r="EM585" s="162"/>
      <c r="EN585" s="72"/>
      <c r="EO585" s="162"/>
      <c r="EP585" s="72"/>
      <c r="EQ585" s="162"/>
      <c r="ER585" s="72"/>
      <c r="ES585" s="162"/>
      <c r="ET585" s="72"/>
      <c r="EU585" s="162"/>
      <c r="EV585" s="72"/>
      <c r="EW585" s="162"/>
      <c r="EX585" s="72"/>
      <c r="EY585" s="72"/>
      <c r="EZ585" s="332"/>
      <c r="FA585" s="72"/>
      <c r="FB585" s="160"/>
      <c r="FC585" s="161"/>
      <c r="FD585" s="162"/>
      <c r="FE585" s="72"/>
      <c r="FF585" s="162"/>
      <c r="FG585" s="72"/>
      <c r="FH585" s="162"/>
      <c r="FI585" s="72"/>
      <c r="FJ585" s="162"/>
      <c r="FK585" s="72"/>
      <c r="FL585" s="162"/>
      <c r="FM585" s="72"/>
      <c r="FN585" s="162"/>
      <c r="FO585" s="72"/>
      <c r="FP585" s="162"/>
      <c r="FQ585" s="72"/>
      <c r="FR585" s="162"/>
      <c r="FS585" s="72"/>
      <c r="FT585" s="162"/>
      <c r="FU585" s="72"/>
      <c r="FV585" s="162"/>
      <c r="FW585" s="72"/>
      <c r="FX585" s="162"/>
      <c r="FY585" s="72"/>
      <c r="FZ585" s="162"/>
      <c r="GA585" s="72"/>
      <c r="GB585" s="162"/>
      <c r="GC585" s="72"/>
      <c r="GD585" s="162"/>
      <c r="GE585" s="72"/>
      <c r="GF585" s="162"/>
      <c r="GG585" s="72"/>
      <c r="GH585" s="162"/>
      <c r="GI585" s="72"/>
      <c r="GJ585" s="162"/>
      <c r="GK585" s="72"/>
      <c r="GL585" s="162"/>
      <c r="GM585" s="72"/>
      <c r="GN585" s="162"/>
      <c r="GO585" s="72"/>
      <c r="GP585" s="162"/>
      <c r="GQ585" s="72"/>
      <c r="GR585" s="162"/>
      <c r="GS585" s="72"/>
      <c r="GT585" s="162"/>
      <c r="GU585" s="72"/>
      <c r="GV585" s="162"/>
      <c r="GW585" s="72"/>
      <c r="GX585" s="162"/>
      <c r="GY585" s="72"/>
      <c r="GZ585" s="72"/>
      <c r="HA585" s="72"/>
      <c r="HB585" s="72"/>
      <c r="HC585"/>
      <c r="HD585"/>
      <c r="HE585"/>
      <c r="HF585"/>
      <c r="HG585"/>
      <c r="HH585"/>
      <c r="HI585" s="2"/>
    </row>
    <row r="586" spans="1:217" s="3" customFormat="1" ht="12.75" customHeight="1" x14ac:dyDescent="0.2">
      <c r="B586" s="10" t="s">
        <v>378</v>
      </c>
      <c r="C586" s="169"/>
      <c r="D586" s="11"/>
      <c r="E586" s="169"/>
      <c r="F586" s="11"/>
      <c r="G586" s="169"/>
      <c r="H586" s="11"/>
      <c r="I586" s="169">
        <f>I570/I652*400</f>
        <v>-0.92298416084970192</v>
      </c>
      <c r="J586" s="11"/>
      <c r="K586" s="169">
        <f>K570/K652*400</f>
        <v>1.1126181007333165</v>
      </c>
      <c r="L586" s="72" t="str">
        <f>IF(ISERROR(K586/C586),"NA",IF(OR(K586/C586&gt;2,K586/C586&lt;0.5),"NM",K586/C586*100-100))</f>
        <v>NA</v>
      </c>
      <c r="M586" s="169">
        <f>M570/M652*400</f>
        <v>0.26719868894509957</v>
      </c>
      <c r="N586" s="72" t="str">
        <f>IF(ISERROR(M586/E586),"NA",IF(OR(M586/E586&gt;2,M586/E586&lt;0.5),"NM",M586/E586*100-100))</f>
        <v>NA</v>
      </c>
      <c r="O586" s="169">
        <f>O570/O652*400</f>
        <v>-1.2123941970234409</v>
      </c>
      <c r="P586" s="72" t="str">
        <f>IF(ISERROR(O586/G586),"NA",IF(OR(O586/G586&gt;2,O586/G586&lt;0.5),"NM",O586/G586*100-100))</f>
        <v>NA</v>
      </c>
      <c r="Q586" s="169">
        <f>Q570/Q652*400</f>
        <v>-0.48646671543525971</v>
      </c>
      <c r="R586" s="72">
        <f>IF(ISERROR(Q586/I586),"NA",IF(OR(Q586/I586&gt;2,Q586/I586&lt;0.5),"NM",Q586/I586*100-100))</f>
        <v>-47.294142622402426</v>
      </c>
      <c r="S586" s="169">
        <f>S570/S652*400</f>
        <v>-0.33045777097537221</v>
      </c>
      <c r="T586" s="72" t="str">
        <f>IF(ISERROR(S586/K586),"NA",IF(OR(S586/K586&gt;2,S586/K586&lt;0.5),"NM",S586/K586*100-100))</f>
        <v>NM</v>
      </c>
      <c r="U586" s="169">
        <f>U570/U652*400</f>
        <v>-1.1861988344307106</v>
      </c>
      <c r="V586" s="72" t="str">
        <f>IF(ISERROR(U586/M586),"NA",IF(OR(U586/M586&gt;2,U586/M586&lt;0.5),"NM",U586/M586*100-100))</f>
        <v>NM</v>
      </c>
      <c r="W586" s="169">
        <f>W570/W652*400</f>
        <v>-0.48324279571164264</v>
      </c>
      <c r="X586" s="72" t="str">
        <f>IF(ISERROR(W586/O586),"NA",IF(OR(W586/O586&gt;2,W586/O586&lt;0.5),"NM",W586/O586*100-100))</f>
        <v>NM</v>
      </c>
      <c r="Y586" s="169">
        <f>Y570/Y652*400</f>
        <v>-0.9502064936373098</v>
      </c>
      <c r="Z586" s="72">
        <f>IF(ISERROR(Y586/Q586),"NA",IF(OR(Y586/Q586&gt;2,Y586/Q586&lt;0.5),"NM",Y586/Q586*100-100))</f>
        <v>95.328161925143206</v>
      </c>
      <c r="AA586" s="169">
        <f>AA570/AA652*400</f>
        <v>-0.37239651990508832</v>
      </c>
      <c r="AB586" s="72">
        <f>IF(ISERROR(AA586/S586),"NA",IF(OR(AA586/S586&gt;2,AA586/S586&lt;0.5),"NM",AA586/S586*100-100))</f>
        <v>12.691106886647134</v>
      </c>
      <c r="AC586" s="169">
        <f>AC570/AC652*400</f>
        <v>-3.5053336838667015E-2</v>
      </c>
      <c r="AD586" s="72" t="str">
        <f>IF(ISERROR(AC586/U586),"NA",IF(OR(AC586/U586&gt;2,AC586/U586&lt;0.5),"NM",AC586/U586*100-100))</f>
        <v>NM</v>
      </c>
      <c r="AE586" s="169">
        <f>AE570/AE652*400</f>
        <v>-0.156649072024519</v>
      </c>
      <c r="AF586" s="72" t="str">
        <f>IF(ISERROR(AE586/W586),"NA",IF(OR(AE586/W586&gt;2,AE586/W586&lt;0.5),"NM",AE586/W586*100-100))</f>
        <v>NM</v>
      </c>
      <c r="AG586" s="169">
        <f>AG570/AG652*400</f>
        <v>-9.9146993965708807E-2</v>
      </c>
      <c r="AH586" s="72" t="str">
        <f>IF(ISERROR(AG586/Y586),"NA",IF(OR(AG586/Y586&gt;2,AG586/Y586&lt;0.5),"NM",AG586/Y586*100-100))</f>
        <v>NM</v>
      </c>
      <c r="AI586" s="169">
        <f>AI570/AI652*400</f>
        <v>3.2267172185697578E-3</v>
      </c>
      <c r="AJ586" s="72" t="str">
        <f>IF(ISERROR(AI586/AA586),"NA",IF(OR(AI586/AA586&gt;2,AI586/AA586&lt;0.5),"NM",AI586/AA586*100-100))</f>
        <v>NM</v>
      </c>
      <c r="AK586" s="169">
        <f>AK570/AK652*400</f>
        <v>0.41661204096199506</v>
      </c>
      <c r="AL586" s="72" t="str">
        <f>IF(ISERROR(AK586/AC586),"NA",IF(OR(AK586/AC586&gt;2,AK586/AC586&lt;0.5),"NM",AK586/AC586*100-100))</f>
        <v>NM</v>
      </c>
      <c r="AM586" s="169">
        <f>AM570/AM652*400</f>
        <v>0.10865058828575104</v>
      </c>
      <c r="AN586" s="72" t="str">
        <f>IF(ISERROR(AM586/AE586),"NA",IF(OR(AM586/AE586&gt;2,AM586/AE586&lt;0.5),"NM",AM586/AE586*100-100))</f>
        <v>NM</v>
      </c>
      <c r="AO586" s="169">
        <f>AO570/AO652*400</f>
        <v>-0.37694528320668946</v>
      </c>
      <c r="AP586" s="72" t="str">
        <f>IF(ISERROR(AO586/AG586),"NA",IF(OR(AO586/AG586&gt;2,AO586/AG586&lt;0.5),"NM",AO586/AG586*100-100))</f>
        <v>NM</v>
      </c>
      <c r="AQ586" s="169">
        <f>AQ570/AQ652*400</f>
        <v>0.62112209918214534</v>
      </c>
      <c r="AR586" s="72" t="str">
        <f>IF(ISERROR(AQ586/AI586),"NA",IF(OR(AQ586/AI586&gt;2,AQ586/AI586&lt;0.5),"NM",AQ586/AI586*100-100))</f>
        <v>NM</v>
      </c>
      <c r="AS586" s="169">
        <f>AS570/AS652*400</f>
        <v>1.1437578568218383</v>
      </c>
      <c r="AT586" s="72" t="str">
        <f>IF(ISERROR(AS586/AK586),"NA",IF(OR(AS586/AK586&gt;2,AS586/AK586&lt;0.5),"NM",AS586/AK586*100-100))</f>
        <v>NM</v>
      </c>
      <c r="AU586" s="169">
        <f>AU570/AU652*400</f>
        <v>-5.0223029902527673E-2</v>
      </c>
      <c r="AV586" s="72" t="str">
        <f>IF(ISERROR(AU586/AM586),"NA",IF(OR(AU586/AM586&gt;2,AU586/AM586&lt;0.5),"NM",AU586/AM586*100-100))</f>
        <v>NM</v>
      </c>
      <c r="AW586" s="169">
        <f>AW570/AW652*400</f>
        <v>1.819304116175563E-2</v>
      </c>
      <c r="AX586" s="72" t="str">
        <f>IF(ISERROR(AW586/AO586),"NA",IF(OR(AW586/AO586&gt;2,AW586/AO586&lt;0.5),"NM",AW586/AO586*100-100))</f>
        <v>NM</v>
      </c>
      <c r="AY586" s="169">
        <f>AY570/AY652*400</f>
        <v>-0.16267825211255785</v>
      </c>
      <c r="AZ586" s="72" t="str">
        <f>IF(ISERROR(AY586/AQ586),"NA",IF(OR(AY586/AQ586&gt;2,AY586/AQ586&lt;0.5),"NM",AY586/AQ586*100-100))</f>
        <v>NM</v>
      </c>
      <c r="BA586" s="169">
        <f>BA570/BA652*400</f>
        <v>-1.1224762506377706</v>
      </c>
      <c r="BB586" s="72" t="str">
        <f>IF(ISERROR(BA586/AS586),"NA",IF(OR(BA586/AS586&gt;2,BA586/AS586&lt;0.5),"NM",BA586/AS586*100-100))</f>
        <v>NM</v>
      </c>
      <c r="BC586" s="169">
        <f>BC570/BC652*400</f>
        <v>1.1927189250558308</v>
      </c>
      <c r="BD586" s="72" t="str">
        <f>IF(ISERROR(BC586/AU586),"NA",IF(OR(BC586/AU586&gt;2,BC586/AU586&lt;0.5),"NM",BC586/AU586*100-100))</f>
        <v>NM</v>
      </c>
      <c r="BE586" s="169">
        <f>BE570/BE652*400</f>
        <v>0.4185745480060245</v>
      </c>
      <c r="BF586" s="72" t="str">
        <f>IF(ISERROR(BE586/AW586),"NA",IF(OR(BE586/AW586&gt;2,BE586/AW586&lt;0.5),"NM",BE586/AW586*100-100))</f>
        <v>NM</v>
      </c>
      <c r="BG586" s="169">
        <f>BG570/BG652*400</f>
        <v>-0.17569685170236005</v>
      </c>
      <c r="BH586" s="72">
        <f>IF(ISERROR(BG586/AY586),"NA",IF(OR(BG586/AY586&gt;2,BG586/AY586&lt;0.5),"NM",BG586/AY586*100-100))</f>
        <v>8.0026674867360583</v>
      </c>
      <c r="BI586" s="169">
        <f>BI570/BI652*400</f>
        <v>-0.34421967908686169</v>
      </c>
      <c r="BJ586" s="72" t="str">
        <f>IF(ISERROR(BI586/BA586),"NA",IF(OR(BI586/BA586&gt;2,BI586/BA586&lt;0.5),"NM",BI586/BA586*100-100))</f>
        <v>NM</v>
      </c>
      <c r="BK586" s="169">
        <f>BK570/BK652*400</f>
        <v>-0.33653509079436306</v>
      </c>
      <c r="BL586" s="72" t="str">
        <f>IF(ISERROR(BK586/BC586),"NA",IF(OR(BK586/BC586&gt;2,BK586/BC586&lt;0.5),"NM",BK586/BC586*100-100))</f>
        <v>NM</v>
      </c>
      <c r="BM586" s="169">
        <f>BM570/BM652*400</f>
        <v>-0.23270682971504933</v>
      </c>
      <c r="BN586" s="72" t="str">
        <f>IF(ISERROR(BM586/BE586),"NA",IF(OR(BM586/BE586&gt;2,BM586/BE586&lt;0.5),"NM",BM586/BE586*100-100))</f>
        <v>NM</v>
      </c>
      <c r="BO586" s="169">
        <f>BO570/BO652*400</f>
        <v>-2.104692401750591</v>
      </c>
      <c r="BP586" s="72" t="str">
        <f>IF(ISERROR(BO586/BG586),"NA",IF(OR(BO586/BG586&gt;2,BO586/BG586&lt;0.5),"NM",BO586/BG586*100-100))</f>
        <v>NM</v>
      </c>
      <c r="BQ586" s="169">
        <f>BQ570/BQ652*400</f>
        <v>-1.3770856507230256</v>
      </c>
      <c r="BR586" s="72" t="str">
        <f>IF(ISERROR(BQ586/BI586),"NA",IF(OR(BQ586/BI586&gt;2,BQ586/BI586&lt;0.5),"NM",BQ586/BI586*100-100))</f>
        <v>NM</v>
      </c>
      <c r="BS586" s="169">
        <f>BS570/BS652*400</f>
        <v>-2.4461366703880829</v>
      </c>
      <c r="BT586" s="72" t="str">
        <f>IF(ISERROR(BS586/BK586),"NA",IF(OR(BS586/BK586&gt;2,BS586/BK586&lt;0.5),"NM",BS586/BK586*100-100))</f>
        <v>NM</v>
      </c>
      <c r="BU586" s="169">
        <f>BU570/BU652*400</f>
        <v>-2.9042429003152992</v>
      </c>
      <c r="BV586" s="72" t="str">
        <f>IF(ISERROR(BU586/BM586),"NA",IF(OR(BU586/BM586&gt;2,BU586/BM586&lt;0.5),"NM",BU586/BM586*100-100))</f>
        <v>NM</v>
      </c>
      <c r="BW586" s="169">
        <f>BW570/BW652*400</f>
        <v>-0.47031948130480067</v>
      </c>
      <c r="BX586" s="72" t="str">
        <f>IF(ISERROR(BW586/BO586),"NA",IF(OR(BW586/BO586&gt;2,BW586/BO586&lt;0.5),"NM",BW586/BO586*100-100))</f>
        <v>NM</v>
      </c>
      <c r="BY586" s="169">
        <f>BY570/BY652*400</f>
        <v>-0.5280513709234923</v>
      </c>
      <c r="BZ586" s="72" t="str">
        <f>IF(ISERROR(BY586/BQ586),"NA",IF(OR(BY586/BQ586&gt;2,BY586/BQ586&lt;0.5),"NM",BY586/BQ586*100-100))</f>
        <v>NM</v>
      </c>
      <c r="CA586" s="169">
        <f>CA570/CA652*400</f>
        <v>0.66300038368077752</v>
      </c>
      <c r="CB586" s="72" t="str">
        <f>IF(ISERROR(CA586/BS586),"NA",IF(OR(CA586/BS586&gt;2,CA586/BS586&lt;0.5),"NM",CA586/BS586*100-100))</f>
        <v>NM</v>
      </c>
      <c r="CC586" s="169">
        <f>CC570/CC652*400</f>
        <v>4.4420887912975444E-2</v>
      </c>
      <c r="CD586" s="72" t="str">
        <f>IF(ISERROR(CC586/BU586),"NA",IF(OR(CC586/BU586&gt;2,CC586/BU586&lt;0.5),"NM",CC586/BU586*100-100))</f>
        <v>NM</v>
      </c>
      <c r="CE586" s="169">
        <f>CE570/CE652*400</f>
        <v>0.38210601472289929</v>
      </c>
      <c r="CF586" s="72" t="str">
        <f>IF(ISERROR(CE586/BW586),"NA",IF(OR(CE586/BW586&gt;2,CE586/BW586&lt;0.5),"NM",CE586/BW586*100-100))</f>
        <v>NM</v>
      </c>
      <c r="CG586" s="169">
        <f>CG570/CG652*400</f>
        <v>1.4894236598767407</v>
      </c>
      <c r="CH586" s="72" t="str">
        <f>IF(ISERROR(CG586/BY586),"NA",IF(OR(CG586/BY586&gt;2,CG586/BY586&lt;0.5),"NM",CG586/BY586*100-100))</f>
        <v>NM</v>
      </c>
      <c r="CI586" s="169">
        <f>CI570/CI652*400</f>
        <v>1.2113334597019507</v>
      </c>
      <c r="CJ586" s="72">
        <f>IF(ISERROR(CI586/CA586),"NA",IF(OR(CI586/CA586&gt;2,CI586/CA586&lt;0.5),"NM",CI586/CA586*100-100))</f>
        <v>82.704790150647256</v>
      </c>
      <c r="CK586" s="169">
        <f>CK570/CK652*400</f>
        <v>-2.1451208118851781</v>
      </c>
      <c r="CL586" s="72" t="str">
        <f>IF(ISERROR(CK586/CC586),"NA",IF(OR(CK586/CC586&gt;2,CK586/CC586&lt;0.5),"NM",CK586/CC586*100-100))</f>
        <v>NM</v>
      </c>
      <c r="CM586" s="169">
        <f>CM570/CM652*400</f>
        <v>-0.59670593965963403</v>
      </c>
      <c r="CN586" s="72" t="str">
        <f>IF(ISERROR(CM586/CE586),"NA",IF(OR(CM586/CE586&gt;2,CM586/CE586&lt;0.5),"NM",CM586/CE586*100-100))</f>
        <v>NM</v>
      </c>
      <c r="CO586" s="169">
        <f>CO570/CO652*400</f>
        <v>0.26400878051674526</v>
      </c>
      <c r="CP586" s="72" t="str">
        <f>IF(ISERROR(CO586/CG586),"NA",IF(OR(CO586/CG586&gt;2,CO586/CG586&lt;0.5),"NM",CO586/CG586*100-100))</f>
        <v>NM</v>
      </c>
      <c r="CQ586" s="169">
        <f>CQ570/CQ652*400</f>
        <v>2.5659751969775706</v>
      </c>
      <c r="CR586" s="72" t="str">
        <f>IF(ISERROR(CQ586/CI586),"NA",IF(OR(CQ586/CI586&gt;2,CQ586/CI586&lt;0.5),"NM",CQ586/CI586*100-100))</f>
        <v>NM</v>
      </c>
      <c r="CS586" s="169">
        <f>CS570/CS652*400</f>
        <v>-0.75041977902003187</v>
      </c>
      <c r="CT586" s="72" t="str">
        <f>IF(ISERROR(CS586/CK586),"NA",IF(OR(CS586/CK586&gt;2,CS586/CK586&lt;0.5),"NM",CS586/CK586*100-100))</f>
        <v>NM</v>
      </c>
      <c r="CU586" s="169">
        <f>CU570/CU652*400</f>
        <v>-2.231877302406156</v>
      </c>
      <c r="CV586" s="72" t="str">
        <f>IF(ISERROR(CU586/CM586),"NA",IF(OR(CU586/CM586&gt;2,CU586/CM586&lt;0.5),"NM",CU586/CM586*100-100))</f>
        <v>NM</v>
      </c>
      <c r="CW586" s="169">
        <f>CW570/CW652*400</f>
        <v>2.7249526080636626</v>
      </c>
      <c r="CX586" s="72" t="str">
        <f>IF(ISERROR(CW586/CO586),"NA",IF(OR(CW586/CO586&gt;2,CW586/CO586&lt;0.5),"NM",CW586/CO586*100-100))</f>
        <v>NM</v>
      </c>
      <c r="CY586" s="169">
        <f>CY570/CY652*400</f>
        <v>-1.3455760464152506</v>
      </c>
      <c r="CZ586" s="72" t="str">
        <f>IF(ISERROR(CY586/CQ586),"NA",IF(OR(CY586/CQ586&gt;2,CY586/CQ586&lt;0.5),"NM",CY586/CQ586*100-100))</f>
        <v>NM</v>
      </c>
      <c r="DA586" s="169">
        <f>DA570/DA652*400</f>
        <v>-1.8835403450788066</v>
      </c>
      <c r="DB586" s="72" t="str">
        <f>IF(ISERROR(DA586/CS586),"NA",IF(OR(DA586/CS586&gt;2,DA586/CS586&lt;0.5),"NM",DA586/CS586*100-100))</f>
        <v>NM</v>
      </c>
      <c r="DC586" s="169">
        <f>DC570/DC652*400</f>
        <v>-3.4324530885290789</v>
      </c>
      <c r="DD586" s="72">
        <f>IF(ISERROR(DC586/CU586),"NA",IF(OR(DC586/CU586&gt;2,DC586/CU586&lt;0.5),"NM",DC586/CU586*100-100))</f>
        <v>53.792194796219263</v>
      </c>
      <c r="DE586" s="169">
        <f>DE570/DE652*400</f>
        <v>-3.3083563250420278</v>
      </c>
      <c r="DF586" s="72" t="str">
        <f>IF(ISERROR(DE586/CW586),"NA",IF(OR(DE586/CW586&gt;2,DE586/CW586&lt;0.5),"NM",DE586/CW586*100-100))</f>
        <v>NM</v>
      </c>
      <c r="DG586" s="169">
        <f>DG570/DG652*400</f>
        <v>-0.54538066788063022</v>
      </c>
      <c r="DH586" s="72" t="str">
        <f>IF(ISERROR(DG586/CY586),"NA",IF(OR(DG586/CY586&gt;2,DG586/CY586&lt;0.5),"NM",DG586/CY586*100-100))</f>
        <v>NM</v>
      </c>
      <c r="DI586" s="169">
        <f>DI570/DI652*400</f>
        <v>-2.814314831150142</v>
      </c>
      <c r="DJ586" s="72">
        <f>IF(ISERROR(DI586/DA586),"NA",IF(OR(DI586/DA586&gt;2,DI586/DA586&lt;0.5),"NM",DI586/DA586*100-100))</f>
        <v>49.416222408147661</v>
      </c>
      <c r="DK586" s="169">
        <f>DK570/DK652*400</f>
        <v>0.10891173172581178</v>
      </c>
      <c r="DL586" s="72" t="str">
        <f>IF(ISERROR(DK586/DC586),"NA",IF(OR(DK586/DC586&gt;2,DK586/DC586&lt;0.5),"NM",DK586/DC586*100-100))</f>
        <v>NM</v>
      </c>
      <c r="DM586" s="169">
        <f>DM570/DM652*400</f>
        <v>-5.4777480749424408E-2</v>
      </c>
      <c r="DN586" s="72" t="str">
        <f t="shared" ref="DN586:DZ587" si="2817">IF(ISERROR(DM586/DE586),"NA",IF(OR(DM586/DE586&gt;2,DM586/DE586&lt;0.5),"NM",DM586/DE586*100-100))</f>
        <v>NM</v>
      </c>
      <c r="DO586" s="169">
        <f>DO570/DO652*400</f>
        <v>-1.4456300594905955</v>
      </c>
      <c r="DP586" s="72" t="str">
        <f t="shared" si="2817"/>
        <v>NM</v>
      </c>
      <c r="DQ586" s="169">
        <f>DQ570/DQ652*400</f>
        <v>-2.9134596058959907</v>
      </c>
      <c r="DR586" s="72">
        <f t="shared" si="2817"/>
        <v>3.5228743297824394</v>
      </c>
      <c r="DS586" s="169">
        <f>DS570/DS652*400</f>
        <v>1.2686408538154317</v>
      </c>
      <c r="DT586" s="72" t="str">
        <f t="shared" si="2817"/>
        <v>NM</v>
      </c>
      <c r="DU586" s="169">
        <f>DU570/DU652*400</f>
        <v>7.5329781800438853E-2</v>
      </c>
      <c r="DV586" s="72" t="str">
        <f t="shared" si="2817"/>
        <v>NM</v>
      </c>
      <c r="DW586" s="169">
        <f>DW570/DW652*400</f>
        <v>0.23616335756819215</v>
      </c>
      <c r="DX586" s="72" t="str">
        <f t="shared" si="2817"/>
        <v>NM</v>
      </c>
      <c r="DY586" s="169">
        <f>DY570/DY652*400</f>
        <v>-0.39727614049027232</v>
      </c>
      <c r="DZ586" s="72" t="str">
        <f t="shared" si="2817"/>
        <v>NM</v>
      </c>
      <c r="EA586" s="169">
        <f>EA570/EA652*400</f>
        <v>0.59556764369144444</v>
      </c>
      <c r="EB586" s="72" t="str">
        <f>IF(ISERROR(EA586/DS586),"NA",IF(OR(EA586/DS586&gt;2,EA586/DS586&lt;0.5),"NM",EA586/DS586*100-100))</f>
        <v>NM</v>
      </c>
      <c r="EC586" s="169">
        <f>EC570/EC652*400</f>
        <v>0.47925531097832597</v>
      </c>
      <c r="ED586" s="72" t="str">
        <f>IF(ISERROR(EC586/DU586),"NA",IF(OR(EC586/DU586&gt;2,EC586/DU586&lt;0.5),"NM",EC586/DU586*100-100))</f>
        <v>NM</v>
      </c>
      <c r="EE586" s="169">
        <f>EE570/EE652*400</f>
        <v>0.67816046502431881</v>
      </c>
      <c r="EF586" s="72" t="str">
        <f>IF(ISERROR(EE586/DW586),"NA",IF(OR(EE586/DW586&gt;2,EE586/DW586&lt;0.5),"NM",EE586/DW586*100-100))</f>
        <v>NM</v>
      </c>
      <c r="EG586" s="169">
        <f>EG570/EG652*400</f>
        <v>-1.2503705861242154</v>
      </c>
      <c r="EH586" s="72" t="str">
        <f>IF(ISERROR(EG586/DY586),"NA",IF(OR(EG586/DY586&gt;2,EG586/DY586&lt;0.5),"NM",EG586/DY586*100-100))</f>
        <v>NM</v>
      </c>
      <c r="EI586" s="169">
        <f>EI570/EI652*400</f>
        <v>8.4067859165831538E-2</v>
      </c>
      <c r="EJ586" s="72" t="str">
        <f>IF(ISERROR(EI586/EA586),"NA",IF(OR(EI586/EA586&gt;2,EI586/EA586&lt;0.5),"NM",EI586/EA586*100-100))</f>
        <v>NM</v>
      </c>
      <c r="EK586" s="169">
        <f>EK570/EK652*400</f>
        <v>-0.48151384730067665</v>
      </c>
      <c r="EL586" s="72" t="str">
        <f>IF(ISERROR(EK586/EC586),"NA",IF(OR(EK586/EC586&gt;2,EK586/EC586&lt;0.5),"NM",EK586/EC586*100-100))</f>
        <v>NM</v>
      </c>
      <c r="EM586" s="169">
        <f>EM570/EM652*400</f>
        <v>1.2387800644681379</v>
      </c>
      <c r="EN586" s="72">
        <f>IF(ISERROR(EM586/EE586),"NA",IF(OR(EM586/EE586&gt;2,EM586/EE586&lt;0.5),"NM",EM586/EE586*100-100))</f>
        <v>82.667691255596168</v>
      </c>
      <c r="EO586" s="169">
        <f>EO570/EO652*400</f>
        <v>-0.562925253316364</v>
      </c>
      <c r="EP586" s="72" t="str">
        <f>IF(ISERROR(EO586/EG586),"NA",IF(OR(EO586/EG586&gt;2,EO586/EG586&lt;0.5),"NM",EO586/EG586*100-100))</f>
        <v>NM</v>
      </c>
      <c r="EQ586" s="170">
        <v>0.9</v>
      </c>
      <c r="ER586" s="72" t="str">
        <f t="shared" ref="ER586:ER587" si="2818">IF(ISERROR(EQ586/EI586),"NA",IF(OR(EQ586/EI586&gt;2,EQ586/EI586&lt;0.5),"NM",EQ586/EI586*100-100))</f>
        <v>NM</v>
      </c>
      <c r="ES586" s="170">
        <v>-0.6</v>
      </c>
      <c r="ET586" s="72">
        <f t="shared" ref="ET586:ET587" si="2819">IF(ISERROR(ES586/EK586),"NA",IF(OR(ES586/EK586&gt;2,ES586/EK586&lt;0.5),"NM",ES586/EK586*100-100))</f>
        <v>24.607008368200837</v>
      </c>
      <c r="EU586" s="170">
        <f t="shared" ref="EU586" si="2820">ES586</f>
        <v>-0.6</v>
      </c>
      <c r="EV586" s="72" t="str">
        <f t="shared" ref="EV586:EV587" si="2821">IF(ISERROR(EU586/EM586),"NA",IF(OR(EU586/EM586&gt;2,EU586/EM586&lt;0.5),"NM",EU586/EM586*100-100))</f>
        <v>NM</v>
      </c>
      <c r="EW586" s="170">
        <f t="shared" ref="EW586" si="2822">EU586</f>
        <v>-0.6</v>
      </c>
      <c r="EX586" s="72">
        <f t="shared" ref="EX586:EX587" si="2823">IF(ISERROR(EW586/EO586),"NA",IF(OR(EW586/EO586&gt;2,EW586/EO586&lt;0.5),"NM",EW586/EO586*100-100))</f>
        <v>6.5860869565217399</v>
      </c>
      <c r="EY586" s="72"/>
      <c r="EZ586" s="337"/>
      <c r="FA586" s="72"/>
      <c r="FB586" s="177"/>
      <c r="FC586" s="83"/>
      <c r="FD586" s="171" t="e">
        <f>FD570/FD652*100</f>
        <v>#DIV/0!</v>
      </c>
      <c r="FE586" s="72" t="str">
        <f>IF(ISERROR(FD586/CQ586),"NA",IF(OR(FD586/CQ586&gt;2,FD586/CQ586&lt;0.5),"NM",FD586/CQ586*100-100))</f>
        <v>NA</v>
      </c>
      <c r="FF586" s="171">
        <f>FF570/FF652*100</f>
        <v>-0.16465295331740915</v>
      </c>
      <c r="FG586" s="72" t="str">
        <f>IF(ISERROR(FF586/CS586),"NA",IF(OR(FF586/CS586&gt;2,FF586/CS586&lt;0.5),"NM",FF586/CS586*100-100))</f>
        <v>NM</v>
      </c>
      <c r="FH586" s="171">
        <f>FH570/FH652*100</f>
        <v>1.5673006583760056</v>
      </c>
      <c r="FI586" s="72" t="str">
        <f>IF(ISERROR(FH586/DK586),"NA",IF(OR(FH586/DK586&gt;2,FH586/DK586&lt;0.5),"NM",FH586/DK586*100-100))</f>
        <v>NM</v>
      </c>
      <c r="FJ586" s="171">
        <f>FJ570/FJ652*100</f>
        <v>-0.9669945942316085</v>
      </c>
      <c r="FK586" s="72" t="str">
        <f>IF(ISERROR(FJ586/FB586),"NA",IF(OR(FJ586/FB586&gt;2,FJ586/FB586&lt;0.5),"NM",FJ586/FB586*100-100))</f>
        <v>NA</v>
      </c>
      <c r="FL586" s="171">
        <f>FL570/FL652*100</f>
        <v>-1.8795193080223593</v>
      </c>
      <c r="FM586" s="72" t="str">
        <f>IF(ISERROR(FL586/FD586),"NA",IF(OR(FL586/FD586&gt;2,FL586/FD586&lt;0.5),"NM",FL586/FD586*100-100))</f>
        <v>NA</v>
      </c>
      <c r="FN586" s="171">
        <f>FN570/FN652*100</f>
        <v>-2.3247171251285796</v>
      </c>
      <c r="FO586" s="72" t="str">
        <f>IF(ISERROR(FN586/FF586),"NA",IF(OR(FN586/FF586&gt;2,FN586/FF586&lt;0.5),"NM",FN586/FF586*100-100))</f>
        <v>NM</v>
      </c>
      <c r="FP586" s="171">
        <f>FP570/FP652*100</f>
        <v>-5.3526526103765306</v>
      </c>
      <c r="FQ586" s="72" t="str">
        <f>IF(ISERROR(FP586/FH586),"NA",IF(OR(FP586/FH586&gt;2,FP586/FH586&lt;0.5),"NM",FP586/FH586*100-100))</f>
        <v>NM</v>
      </c>
      <c r="FR586" s="171">
        <f>FR570/FR652*100</f>
        <v>-4.6285150886446536</v>
      </c>
      <c r="FS586" s="72" t="str">
        <f>IF(ISERROR(FR586/FJ586),"NA",IF(OR(FR586/FJ586&gt;2,FR586/FJ586&lt;0.5),"NM",FR586/FJ586*100-100))</f>
        <v>NM</v>
      </c>
      <c r="FT586" s="171">
        <f>FT570/FT652*100</f>
        <v>-4.8378828286551965</v>
      </c>
      <c r="FU586" s="72" t="str">
        <f>IF(ISERROR(FT586/FL586),"NA",IF(OR(FT586/FL586&gt;2,FT586/FL586&lt;0.5),"NM",FT586/FL586*100-100))</f>
        <v>NM</v>
      </c>
      <c r="FV586" s="171">
        <f>FV570/FV652*100</f>
        <v>-2.944609912829073</v>
      </c>
      <c r="FW586" s="72">
        <f>IF(ISERROR(FV586/FN586),"NA",IF(OR(FV586/FN586&gt;2,FV586/FN586&lt;0.5),"NM",FV586/FN586*100-100))</f>
        <v>26.665299661618278</v>
      </c>
      <c r="FX586" s="171">
        <f>FX570/FX652*100</f>
        <v>-1.3856288331945181</v>
      </c>
      <c r="FY586" s="72" t="str">
        <f>IF(ISERROR(FX586/FP586),"NA",IF(OR(FX586/FP586&gt;2,FX586/FP586&lt;0.5),"NM",FX586/FP586*100-100))</f>
        <v>NM</v>
      </c>
      <c r="FZ586" s="171">
        <f>FZ570/FZ652*100</f>
        <v>-1.6280752532561504</v>
      </c>
      <c r="GA586" s="72" t="str">
        <f>IF(ISERROR(FZ586/FR586),"NA",IF(OR(FZ586/FR586&gt;2,FZ586/FR586&lt;0.5),"NM",FZ586/FR586*100-100))</f>
        <v>NM</v>
      </c>
      <c r="GB586" s="171">
        <f>GB570/GB652*100</f>
        <v>-1.3097796419267684</v>
      </c>
      <c r="GC586" s="72" t="str">
        <f>IF(ISERROR(GB586/FT586),"NA",IF(OR(GB586/FT586&gt;2,GB586/FT586&lt;0.5),"NM",GB586/FT586*100-100))</f>
        <v>NM</v>
      </c>
      <c r="GD586" s="171">
        <f>GD570/GD652*100</f>
        <v>-0.81442389134696835</v>
      </c>
      <c r="GE586" s="72" t="str">
        <f>IF(ISERROR(GD586/FV586),"NA",IF(OR(GD586/FV586&gt;2,GD586/FV586&lt;0.5),"NM",GD586/FV586*100-100))</f>
        <v>NM</v>
      </c>
      <c r="GF586" s="171">
        <f>GF570/GF652*100</f>
        <v>-0.79359583813775925</v>
      </c>
      <c r="GG586" s="72">
        <f>IF(ISERROR(GF586/FX586),"NA",IF(OR(GF586/FX586&gt;2,GF586/FX586&lt;0.5),"NM",GF586/FX586*100-100))</f>
        <v>-42.726665386418659</v>
      </c>
      <c r="GH586" s="171">
        <f>GH570/GH652*100</f>
        <v>-0.32922206778634255</v>
      </c>
      <c r="GI586" s="72" t="str">
        <f t="shared" ref="GI586:GU587" si="2824">IF(ISERROR(GH586/GF586),"NA",IF(OR(GH586/GF586&gt;2,GH586/GF586&lt;0.5),"NM",GH586/GF586*100-100))</f>
        <v>NM</v>
      </c>
      <c r="GJ586" s="171">
        <f>GJ570/GJ652*100</f>
        <v>0.29515938606847697</v>
      </c>
      <c r="GK586" s="72" t="str">
        <f t="shared" si="2824"/>
        <v>NM</v>
      </c>
      <c r="GL586" s="171">
        <f>GL570/GL652*100</f>
        <v>0.13159058165117574</v>
      </c>
      <c r="GM586" s="72" t="str">
        <f t="shared" si="2824"/>
        <v>NM</v>
      </c>
      <c r="GN586" s="171">
        <f>GN570/GN652*100</f>
        <v>6.8040530618238768E-2</v>
      </c>
      <c r="GO586" s="72">
        <f t="shared" si="2824"/>
        <v>-48.293768623500235</v>
      </c>
      <c r="GP586" s="171">
        <f>GP570/GP652*100</f>
        <v>-0.22765096566371157</v>
      </c>
      <c r="GQ586" s="72" t="str">
        <f t="shared" si="2824"/>
        <v>NM</v>
      </c>
      <c r="GR586" s="170">
        <f>GP586</f>
        <v>-0.22765096566371157</v>
      </c>
      <c r="GS586" s="72">
        <f t="shared" si="2824"/>
        <v>0</v>
      </c>
      <c r="GT586" s="170">
        <f>GR586</f>
        <v>-0.22765096566371157</v>
      </c>
      <c r="GU586" s="72">
        <f t="shared" si="2824"/>
        <v>0</v>
      </c>
      <c r="GV586" s="170">
        <f>GT586</f>
        <v>-0.22765096566371157</v>
      </c>
      <c r="GW586" s="72">
        <f>IF(ISERROR(GV586/GT586),"NA",IF(OR(GV586/GT586&gt;2,GV586/GT586&lt;0.5),"NM",GV586/GT586*100-100))</f>
        <v>0</v>
      </c>
      <c r="GX586" s="170">
        <f>GV586</f>
        <v>-0.22765096566371157</v>
      </c>
      <c r="GY586" s="72">
        <f>IF(ISERROR(GX586/GV586),"NA",IF(OR(GX586/GV586&gt;2,GX586/GV586&lt;0.5),"NM",GX586/GV586*100-100))</f>
        <v>0</v>
      </c>
      <c r="GZ586" s="72" t="str">
        <f>IF(ISERROR(((GX586/GN586)^0.2-1)*100),"NA",IF((((GX586/GN586)^0.2-1)*100)&gt;100,"NM",IF((((GX586/GN586)^0.2-1)*100)&lt;-50,"NM",((GX586/GN586)^0.2-1)*100)))</f>
        <v>NM</v>
      </c>
      <c r="HA586" s="72"/>
      <c r="HB586" s="72"/>
      <c r="HC586"/>
      <c r="HD586"/>
      <c r="HE586"/>
      <c r="HF586"/>
      <c r="HG586"/>
      <c r="HH586"/>
      <c r="HI586" s="2"/>
    </row>
    <row r="587" spans="1:217" s="3" customFormat="1" ht="12.75" customHeight="1" x14ac:dyDescent="0.2">
      <c r="B587" s="10" t="s">
        <v>100</v>
      </c>
      <c r="C587" s="169"/>
      <c r="D587" s="11"/>
      <c r="E587" s="169"/>
      <c r="F587" s="11"/>
      <c r="G587" s="169"/>
      <c r="H587" s="11"/>
      <c r="I587" s="169"/>
      <c r="J587" s="11"/>
      <c r="K587" s="169">
        <f>K570/K536*100</f>
        <v>51.820128479657392</v>
      </c>
      <c r="L587" s="72" t="str">
        <f>IF(ISERROR(K587/C587),"NA",IF(OR(K587/C587&gt;2,K587/C587&lt;0.5),"NM",K587/C587*100-100))</f>
        <v>NA</v>
      </c>
      <c r="M587" s="169">
        <f>M570/M536*100</f>
        <v>17.441860465116278</v>
      </c>
      <c r="N587" s="72" t="str">
        <f>IF(ISERROR(M587/E587),"NA",IF(OR(M587/E587&gt;2,M587/E587&lt;0.5),"NM",M587/E587*100-100))</f>
        <v>NA</v>
      </c>
      <c r="O587" s="169">
        <f>O570/O536*100</f>
        <v>-102.86624203821657</v>
      </c>
      <c r="P587" s="72" t="str">
        <f>IF(ISERROR(O587/G587),"NA",IF(OR(O587/G587&gt;2,O587/G587&lt;0.5),"NM",O587/G587*100-100))</f>
        <v>NA</v>
      </c>
      <c r="Q587" s="169">
        <f>Q570/Q536*100</f>
        <v>-51.550387596899228</v>
      </c>
      <c r="R587" s="72" t="str">
        <f>IF(ISERROR(Q587/I587),"NA",IF(OR(Q587/I587&gt;2,Q587/I587&lt;0.5),"NM",Q587/I587*100-100))</f>
        <v>NA</v>
      </c>
      <c r="S587" s="169">
        <f>S570/S536*100</f>
        <v>-19.230769230769234</v>
      </c>
      <c r="T587" s="72" t="str">
        <f>IF(ISERROR(S587/K587),"NA",IF(OR(S587/K587&gt;2,S587/K587&lt;0.5),"NM",S587/K587*100-100))</f>
        <v>NM</v>
      </c>
      <c r="U587" s="169">
        <f>U570/U536*100</f>
        <v>-73.56076759061834</v>
      </c>
      <c r="V587" s="72" t="str">
        <f>IF(ISERROR(U587/M587),"NA",IF(OR(U587/M587&gt;2,U587/M587&lt;0.5),"NM",U587/M587*100-100))</f>
        <v>NM</v>
      </c>
      <c r="W587" s="169">
        <f>W570/W536*100</f>
        <v>-32.352941176470587</v>
      </c>
      <c r="X587" s="72" t="str">
        <f>IF(ISERROR(W587/O587),"NA",IF(OR(W587/O587&gt;2,W587/O587&lt;0.5),"NM",W587/O587*100-100))</f>
        <v>NM</v>
      </c>
      <c r="Y587" s="169">
        <f>Y570/Y536*100</f>
        <v>-75.2659574468085</v>
      </c>
      <c r="Z587" s="72">
        <f>IF(ISERROR(Y587/Q587),"NA",IF(OR(Y587/Q587&gt;2,Y587/Q587&lt;0.5),"NM",Y587/Q587*100-100))</f>
        <v>46.004639257718736</v>
      </c>
      <c r="AA587" s="169">
        <f>AA570/AA536*100</f>
        <v>-24.780701754385966</v>
      </c>
      <c r="AB587" s="72">
        <f>IF(ISERROR(AA587/S587),"NA",IF(OR(AA587/S587&gt;2,AA587/S587&lt;0.5),"NM",AA587/S587*100-100))</f>
        <v>28.859649122807014</v>
      </c>
      <c r="AC587" s="169">
        <f>AC570/AC536*100</f>
        <v>-2</v>
      </c>
      <c r="AD587" s="72" t="str">
        <f>IF(ISERROR(AC587/U587),"NA",IF(OR(AC587/U587&gt;2,AC587/U587&lt;0.5),"NM",AC587/U587*100-100))</f>
        <v>NM</v>
      </c>
      <c r="AE587" s="169">
        <f>AE570/AE536*100</f>
        <v>-8.8631984585741819</v>
      </c>
      <c r="AF587" s="72" t="str">
        <f>IF(ISERROR(AE587/W587),"NA",IF(OR(AE587/W587&gt;2,AE587/W587&lt;0.5),"NM",AE587/W587*100-100))</f>
        <v>NM</v>
      </c>
      <c r="AG587" s="169">
        <f>AG570/AG536*100</f>
        <v>-5.160142348754448</v>
      </c>
      <c r="AH587" s="72" t="str">
        <f>IF(ISERROR(AG587/Y587),"NA",IF(OR(AG587/Y587&gt;2,AG587/Y587&lt;0.5),"NM",AG587/Y587*100-100))</f>
        <v>NM</v>
      </c>
      <c r="AI587" s="169">
        <f>AI570/AI536*100</f>
        <v>0.1773049645390071</v>
      </c>
      <c r="AJ587" s="72" t="str">
        <f>IF(ISERROR(AI587/AA587),"NA",IF(OR(AI587/AA587&gt;2,AI587/AA587&lt;0.5),"NM",AI587/AA587*100-100))</f>
        <v>NM</v>
      </c>
      <c r="AK587" s="169">
        <f>AK570/AK536*100</f>
        <v>19.778699861687414</v>
      </c>
      <c r="AL587" s="72" t="str">
        <f>IF(ISERROR(AK587/AC587),"NA",IF(OR(AK587/AC587&gt;2,AK587/AC587&lt;0.5),"NM",AK587/AC587*100-100))</f>
        <v>NM</v>
      </c>
      <c r="AM587" s="169">
        <f>AM570/AM536*100</f>
        <v>5.3370786516853927</v>
      </c>
      <c r="AN587" s="72" t="str">
        <f>IF(ISERROR(AM587/AE587),"NA",IF(OR(AM587/AE587&gt;2,AM587/AE587&lt;0.5),"NM",AM587/AE587*100-100))</f>
        <v>NM</v>
      </c>
      <c r="AO587" s="169">
        <f>AO570/AO536*100</f>
        <v>-18.635170603674542</v>
      </c>
      <c r="AP587" s="72" t="str">
        <f>IF(ISERROR(AO587/AG587),"NA",IF(OR(AO587/AG587&gt;2,AO587/AG587&lt;0.5),"NM",AO587/AG587*100-100))</f>
        <v>NM</v>
      </c>
      <c r="AQ587" s="169">
        <f>AQ570/AQ536*100</f>
        <v>27.095292766934559</v>
      </c>
      <c r="AR587" s="72" t="str">
        <f>IF(ISERROR(AQ587/AI587),"NA",IF(OR(AQ587/AI587&gt;2,AQ587/AI587&lt;0.5),"NM",AQ587/AI587*100-100))</f>
        <v>NM</v>
      </c>
      <c r="AS587" s="169">
        <f>AS570/AS536*100</f>
        <v>54.264524103831889</v>
      </c>
      <c r="AT587" s="72" t="str">
        <f>IF(ISERROR(AS587/AK587),"NA",IF(OR(AS587/AK587&gt;2,AS587/AK587&lt;0.5),"NM",AS587/AK587*100-100))</f>
        <v>NM</v>
      </c>
      <c r="AU587" s="169">
        <f>AU570/AU536*100</f>
        <v>-1.9</v>
      </c>
      <c r="AV587" s="72" t="str">
        <f>IF(ISERROR(AU587/AM587),"NA",IF(OR(AU587/AM587&gt;2,AU587/AM587&lt;0.5),"NM",AU587/AM587*100-100))</f>
        <v>NM</v>
      </c>
      <c r="AW587" s="169">
        <f>AW570/AW536*100</f>
        <v>0.9320905459387484</v>
      </c>
      <c r="AX587" s="72" t="str">
        <f>IF(ISERROR(AW587/AO587),"NA",IF(OR(AW587/AO587&gt;2,AW587/AO587&lt;0.5),"NM",AW587/AO587*100-100))</f>
        <v>NM</v>
      </c>
      <c r="AY587" s="169">
        <f>AY570/AY536*100</f>
        <v>-7.3770491803278686</v>
      </c>
      <c r="AZ587" s="72" t="str">
        <f>IF(ISERROR(AY587/AQ587),"NA",IF(OR(AY587/AQ587&gt;2,AY587/AQ587&lt;0.5),"NM",AY587/AQ587*100-100))</f>
        <v>NM</v>
      </c>
      <c r="BA587" s="169">
        <f>BA570/BA536*100</f>
        <v>-50.108459869848154</v>
      </c>
      <c r="BB587" s="72" t="str">
        <f>IF(ISERROR(BA587/AS587),"NA",IF(OR(BA587/AS587&gt;2,BA587/AS587&lt;0.5),"NM",BA587/AS587*100-100))</f>
        <v>NM</v>
      </c>
      <c r="BC587" s="169">
        <f>BC570/BC536*100</f>
        <v>43.21880650994575</v>
      </c>
      <c r="BD587" s="72" t="str">
        <f>IF(ISERROR(BC587/AU587),"NA",IF(OR(BC587/AU587&gt;2,BC587/AU587&lt;0.5),"NM",BC587/AU587*100-100))</f>
        <v>NM</v>
      </c>
      <c r="BE587" s="169">
        <f>BE570/BE536*100</f>
        <v>16.944172380019591</v>
      </c>
      <c r="BF587" s="72" t="str">
        <f>IF(ISERROR(BE587/AW587),"NA",IF(OR(BE587/AW587&gt;2,BE587/AW587&lt;0.5),"NM",BE587/AW587*100-100))</f>
        <v>NM</v>
      </c>
      <c r="BG587" s="169">
        <f>BG570/BG536*100</f>
        <v>-6.7419825072886299</v>
      </c>
      <c r="BH587" s="72">
        <f>IF(ISERROR(BG587/AY587),"NA",IF(OR(BG587/AY587&gt;2,BG587/AY587&lt;0.5),"NM",BG587/AY587*100-100))</f>
        <v>-8.6086815678652329</v>
      </c>
      <c r="BI587" s="169">
        <f>BI570/BI536*100</f>
        <v>-12.845673505798395</v>
      </c>
      <c r="BJ587" s="72" t="str">
        <f>IF(ISERROR(BI587/BA587),"NA",IF(OR(BI587/BA587&gt;2,BI587/BA587&lt;0.5),"NM",BI587/BA587*100-100))</f>
        <v>NM</v>
      </c>
      <c r="BK587" s="169">
        <f>BK570/BK536*100</f>
        <v>-11.119691119691119</v>
      </c>
      <c r="BL587" s="72" t="str">
        <f>IF(ISERROR(BK587/BC587),"NA",IF(OR(BK587/BC587&gt;2,BK587/BC587&lt;0.5),"NM",BK587/BC587*100-100))</f>
        <v>NM</v>
      </c>
      <c r="BM587" s="169">
        <f>BM570/BM536*100</f>
        <v>-9.86328125</v>
      </c>
      <c r="BN587" s="72" t="str">
        <f>IF(ISERROR(BM587/BE587),"NA",IF(OR(BM587/BE587&gt;2,BM587/BE587&lt;0.5),"NM",BM587/BE587*100-100))</f>
        <v>NM</v>
      </c>
      <c r="BO587" s="169">
        <f>BO570/BO536*100</f>
        <v>-104.16210295728368</v>
      </c>
      <c r="BP587" s="72" t="str">
        <f>IF(ISERROR(BO587/BG587),"NA",IF(OR(BO587/BG587&gt;2,BO587/BG587&lt;0.5),"NM",BO587/BG587*100-100))</f>
        <v>NM</v>
      </c>
      <c r="BQ587" s="169">
        <f>BQ570/BQ536*100</f>
        <v>-55.56552962298025</v>
      </c>
      <c r="BR587" s="72" t="str">
        <f>IF(ISERROR(BQ587/BI587),"NA",IF(OR(BQ587/BI587&gt;2,BQ587/BI587&lt;0.5),"NM",BQ587/BI587*100-100))</f>
        <v>NM</v>
      </c>
      <c r="BS587" s="169">
        <f>BS570/BS536*100</f>
        <v>-182.28476821192052</v>
      </c>
      <c r="BT587" s="72" t="str">
        <f>IF(ISERROR(BS587/BK587),"NA",IF(OR(BS587/BK587&gt;2,BS587/BK587&lt;0.5),"NM",BS587/BK587*100-100))</f>
        <v>NM</v>
      </c>
      <c r="BU587" s="169">
        <f>BU570/BU536*100</f>
        <v>112.6057529610829</v>
      </c>
      <c r="BV587" s="72" t="str">
        <f>IF(ISERROR(BU587/BM587),"NA",IF(OR(BU587/BM587&gt;2,BU587/BM587&lt;0.5),"NM",BU587/BM587*100-100))</f>
        <v>NM</v>
      </c>
      <c r="BW587" s="169">
        <f>BW570/BW536*100</f>
        <v>-85.714285714285708</v>
      </c>
      <c r="BX587" s="72">
        <f>IF(ISERROR(BW587/BO587),"NA",IF(OR(BW587/BO587&gt;2,BW587/BO587&lt;0.5),"NM",BW587/BO587*100-100))</f>
        <v>-17.710680486705726</v>
      </c>
      <c r="BY587" s="169">
        <f>BY570/BY536*100</f>
        <v>-20.822622107969153</v>
      </c>
      <c r="BZ587" s="72" t="str">
        <f>IF(ISERROR(BY587/BQ587),"NA",IF(OR(BY587/BQ587&gt;2,BY587/BQ587&lt;0.5),"NM",BY587/BQ587*100-100))</f>
        <v>NM</v>
      </c>
      <c r="CA587" s="169">
        <f>CA570/CA536*100</f>
        <v>30.393996247654787</v>
      </c>
      <c r="CB587" s="72" t="str">
        <f>IF(ISERROR(CA587/BS587),"NA",IF(OR(CA587/BS587&gt;2,CA587/BS587&lt;0.5),"NM",CA587/BS587*100-100))</f>
        <v>NM</v>
      </c>
      <c r="CC587" s="169">
        <f>CC570/CC536*100</f>
        <v>2.8758169934640523</v>
      </c>
      <c r="CD587" s="72" t="str">
        <f>IF(ISERROR(CC587/BU587),"NA",IF(OR(CC587/BU587&gt;2,CC587/BU587&lt;0.5),"NM",CC587/BU587*100-100))</f>
        <v>NM</v>
      </c>
      <c r="CE587" s="169">
        <f>CE570/CE536*100</f>
        <v>22.66355140186916</v>
      </c>
      <c r="CF587" s="72" t="str">
        <f>IF(ISERROR(CE587/BW587),"NA",IF(OR(CE587/BW587&gt;2,CE587/BW587&lt;0.5),"NM",CE587/BW587*100-100))</f>
        <v>NM</v>
      </c>
      <c r="CG587" s="145">
        <f>CG570/CG536*100</f>
        <v>159.18367346938774</v>
      </c>
      <c r="CH587" s="72" t="str">
        <f>IF(ISERROR(CG587/BY587),"NA",IF(OR(CG587/BY587&gt;2,CG587/BY587&lt;0.5),"NM",CG587/BY587*100-100))</f>
        <v>NM</v>
      </c>
      <c r="CI587" s="169">
        <f>CI570/CI536*100</f>
        <v>54.464285714285708</v>
      </c>
      <c r="CJ587" s="72">
        <f>IF(ISERROR(CI587/CA587),"NA",IF(OR(CI587/CA587&gt;2,CI587/CA587&lt;0.5),"NM",CI587/CA587*100-100))</f>
        <v>79.194223985890631</v>
      </c>
      <c r="CK587" s="169">
        <f>CK570/CK536*100</f>
        <v>-108.02583025830259</v>
      </c>
      <c r="CL587" s="72" t="str">
        <f>IF(ISERROR(CK587/CC587),"NA",IF(OR(CK587/CC587&gt;2,CK587/CC587&lt;0.5),"NM",CK587/CC587*100-100))</f>
        <v>NM</v>
      </c>
      <c r="CM587" s="169">
        <f>CM570/CM536*100</f>
        <v>-35.507246376811594</v>
      </c>
      <c r="CN587" s="72" t="str">
        <f>IF(ISERROR(CM587/CE587),"NA",IF(OR(CM587/CE587&gt;2,CM587/CE587&lt;0.5),"NM",CM587/CE587*100-100))</f>
        <v>NM</v>
      </c>
      <c r="CO587" s="169">
        <f>CO570/CO536*100</f>
        <v>16.466234967622572</v>
      </c>
      <c r="CP587" s="72" t="str">
        <f>IF(ISERROR(CO587/CG587),"NA",IF(OR(CO587/CG587&gt;2,CO587/CG587&lt;0.5),"NM",CO587/CG587*100-100))</f>
        <v>NM</v>
      </c>
      <c r="CQ587" s="169">
        <f>CQ570/CQ536*100</f>
        <v>330.97826086956525</v>
      </c>
      <c r="CR587" s="72" t="str">
        <f>IF(ISERROR(CQ587/CI587),"NA",IF(OR(CQ587/CI587&gt;2,CQ587/CI587&lt;0.5),"NM",CQ587/CI587*100-100))</f>
        <v>NM</v>
      </c>
      <c r="CS587" s="169">
        <f>CS570/CS536*100</f>
        <v>-43.095238095238095</v>
      </c>
      <c r="CT587" s="72" t="str">
        <f>IF(ISERROR(CS587/CK587),"NA",IF(OR(CS587/CK587&gt;2,CS587/CK587&lt;0.5),"NM",CS587/CK587*100-100))</f>
        <v>NM</v>
      </c>
      <c r="CU587" s="169">
        <f>CU570/CU536*100</f>
        <v>-142.70462633451956</v>
      </c>
      <c r="CV587" s="72" t="str">
        <f>IF(ISERROR(CU587/CM587),"NA",IF(OR(CU587/CM587&gt;2,CU587/CM587&lt;0.5),"NM",CU587/CM587*100-100))</f>
        <v>NM</v>
      </c>
      <c r="CW587" s="169">
        <f>CW570/CW536*100</f>
        <v>227.51677852348996</v>
      </c>
      <c r="CX587" s="72" t="str">
        <f>IF(ISERROR(CW587/CO587),"NA",IF(OR(CW587/CO587&gt;2,CW587/CO587&lt;0.5),"NM",CW587/CO587*100-100))</f>
        <v>NM</v>
      </c>
      <c r="CY587" s="169">
        <f>CY570/CY536*100</f>
        <v>-97.74223894637818</v>
      </c>
      <c r="CZ587" s="72" t="str">
        <f>IF(ISERROR(CY587/CQ587),"NA",IF(OR(CY587/CQ587&gt;2,CY587/CQ587&lt;0.5),"NM",CY587/CQ587*100-100))</f>
        <v>NM</v>
      </c>
      <c r="DA587" s="169">
        <f>DA570/DA536*100</f>
        <v>-146.40883977900552</v>
      </c>
      <c r="DB587" s="72" t="str">
        <f>IF(ISERROR(DA587/CS587),"NA",IF(OR(DA587/CS587&gt;2,DA587/CS587&lt;0.5),"NM",DA587/CS587*100-100))</f>
        <v>NM</v>
      </c>
      <c r="DC587" s="169">
        <f>DC570/DC536*100</f>
        <v>-196.35381498987169</v>
      </c>
      <c r="DD587" s="72">
        <f>IF(ISERROR(DC587/CU587),"NA",IF(OR(DC587/CU587&gt;2,DC587/CU587&lt;0.5),"NM",DC587/CU587*100-100))</f>
        <v>37.594568608862716</v>
      </c>
      <c r="DE587" s="169">
        <f>DE570/DE536*100</f>
        <v>-177.3473407747866</v>
      </c>
      <c r="DF587" s="72" t="str">
        <f>IF(ISERROR(DE587/CW587),"NA",IF(OR(DE587/CW587&gt;2,DE587/CW587&lt;0.5),"NM",DE587/CW587*100-100))</f>
        <v>NM</v>
      </c>
      <c r="DG587" s="169">
        <f>DG570/DG536*100</f>
        <v>-23.581467985424258</v>
      </c>
      <c r="DH587" s="72" t="str">
        <f>IF(ISERROR(DG587/CY587),"NA",IF(OR(DG587/CY587&gt;2,DG587/CY587&lt;0.5),"NM",DG587/CY587*100-100))</f>
        <v>NM</v>
      </c>
      <c r="DI587" s="169">
        <f>DI570/DI536*100</f>
        <v>-158.76358695652172</v>
      </c>
      <c r="DJ587" s="72">
        <f>IF(ISERROR(DI587/DA587),"NA",IF(OR(DI587/DA587&gt;2,DI587/DA587&lt;0.5),"NM",DI587/DA587*100-100))</f>
        <v>8.4385254306808832</v>
      </c>
      <c r="DK587" s="169">
        <f>DK570/DK536*100</f>
        <v>5.919796308084023</v>
      </c>
      <c r="DL587" s="72" t="str">
        <f>IF(ISERROR(DK587/DC587),"NA",IF(OR(DK587/DC587&gt;2,DK587/DC587&lt;0.5),"NM",DK587/DC587*100-100))</f>
        <v>NM</v>
      </c>
      <c r="DM587" s="169">
        <f>DM570/DM536*100</f>
        <v>-2.957486136783734</v>
      </c>
      <c r="DN587" s="72" t="str">
        <f t="shared" si="2817"/>
        <v>NM</v>
      </c>
      <c r="DO587" s="169">
        <f>DO570/DO536*100</f>
        <v>-93.348115299334808</v>
      </c>
      <c r="DP587" s="72" t="str">
        <f t="shared" si="2817"/>
        <v>NM</v>
      </c>
      <c r="DQ587" s="169">
        <f>DQ570/DQ536*100</f>
        <v>-191.3011152416357</v>
      </c>
      <c r="DR587" s="72">
        <f t="shared" si="2817"/>
        <v>20.494326758959261</v>
      </c>
      <c r="DS587" s="169">
        <f>DS570/DS536*100</f>
        <v>64.985673352435526</v>
      </c>
      <c r="DT587" s="72" t="str">
        <f t="shared" si="2817"/>
        <v>NM</v>
      </c>
      <c r="DU587" s="169">
        <f>DU570/DU536*100</f>
        <v>3.5850081477457905</v>
      </c>
      <c r="DV587" s="72" t="str">
        <f t="shared" si="2817"/>
        <v>NM</v>
      </c>
      <c r="DW587" s="169">
        <f>DW570/DW536*100</f>
        <v>14.354066985645932</v>
      </c>
      <c r="DX587" s="72" t="str">
        <f t="shared" si="2817"/>
        <v>NM</v>
      </c>
      <c r="DY587" s="169">
        <f>DY570/DY536*100</f>
        <v>-30.03384094754653</v>
      </c>
      <c r="DZ587" s="72" t="str">
        <f t="shared" si="2817"/>
        <v>NM</v>
      </c>
      <c r="EA587" s="169">
        <f>EA570/EA536*100</f>
        <v>41.811320754716981</v>
      </c>
      <c r="EB587" s="72">
        <f>IF(ISERROR(EA587/DS587),"NA",IF(OR(EA587/DS587&gt;2,EA587/DS587&lt;0.5),"NM",EA587/DS587*100-100))</f>
        <v>-35.660710126118929</v>
      </c>
      <c r="EC587" s="169">
        <f>EC570/EC536*100</f>
        <v>44.276253547776726</v>
      </c>
      <c r="ED587" s="72" t="str">
        <f>IF(ISERROR(EC587/DU587),"NA",IF(OR(EC587/DU587&gt;2,EC587/DU587&lt;0.5),"NM",EC587/DU587*100-100))</f>
        <v>NM</v>
      </c>
      <c r="EE587" s="169">
        <f>EE570/EE536*100</f>
        <v>44.030808729139927</v>
      </c>
      <c r="EF587" s="72" t="str">
        <f>IF(ISERROR(EE587/DW587),"NA",IF(OR(EE587/DW587&gt;2,EE587/DW587&lt;0.5),"NM",EE587/DW587*100-100))</f>
        <v>NM</v>
      </c>
      <c r="EG587" s="169">
        <f>EG570/EG536*100</f>
        <v>-82.38519533927348</v>
      </c>
      <c r="EH587" s="72" t="str">
        <f>IF(ISERROR(EG587/DY587),"NA",IF(OR(EG587/DY587&gt;2,EG587/DY587&lt;0.5),"NM",EG587/DY587*100-100))</f>
        <v>NM</v>
      </c>
      <c r="EI587" s="169">
        <f>EI570/EI536*100</f>
        <v>4.9397590361445785</v>
      </c>
      <c r="EJ587" s="72" t="str">
        <f>IF(ISERROR(EI587/EA587),"NA",IF(OR(EI587/EA587&gt;2,EI587/EA587&lt;0.5),"NM",EI587/EA587*100-100))</f>
        <v>NM</v>
      </c>
      <c r="EK587" s="169">
        <f>EK570/EK536*100</f>
        <v>-38.925081433224754</v>
      </c>
      <c r="EL587" s="72" t="str">
        <f>IF(ISERROR(EK587/EC587),"NA",IF(OR(EK587/EC587&gt;2,EK587/EC587&lt;0.5),"NM",EK587/EC587*100-100))</f>
        <v>NM</v>
      </c>
      <c r="EM587" s="169">
        <f>EM570/EM536*100</f>
        <v>70.011210762331842</v>
      </c>
      <c r="EN587" s="72">
        <f>IF(ISERROR(EM587/EE587),"NA",IF(OR(EM587/EE587&gt;2,EM587/EE587&lt;0.5),"NM",EM587/EE587*100-100))</f>
        <v>59.005053014158875</v>
      </c>
      <c r="EO587" s="169">
        <f>EO570/EO536*100</f>
        <v>-36.577608142493638</v>
      </c>
      <c r="EP587" s="72" t="str">
        <f>IF(ISERROR(EO587/EG587),"NA",IF(OR(EO587/EG587&gt;2,EO587/EG587&lt;0.5),"NM",EO587/EG587*100-100))</f>
        <v>NM</v>
      </c>
      <c r="EQ587" s="171">
        <f t="shared" ref="EQ587" si="2825">EQ570/EQ536*100</f>
        <v>54.263481965871883</v>
      </c>
      <c r="ER587" s="72" t="str">
        <f t="shared" si="2818"/>
        <v>NM</v>
      </c>
      <c r="ES587" s="171">
        <f t="shared" ref="ES587" si="2826">ES570/ES536*100</f>
        <v>-36.420719840550206</v>
      </c>
      <c r="ET587" s="72">
        <f t="shared" si="2819"/>
        <v>-6.4337992380844042</v>
      </c>
      <c r="EU587" s="171">
        <f t="shared" ref="EU587" si="2827">EU570/EU536*100</f>
        <v>-37.286820878397464</v>
      </c>
      <c r="EV587" s="72" t="str">
        <f t="shared" si="2821"/>
        <v>NM</v>
      </c>
      <c r="EW587" s="171">
        <f t="shared" ref="EW587" si="2828">EW570/EW536*100</f>
        <v>-41.842510940213906</v>
      </c>
      <c r="EX587" s="72">
        <f t="shared" si="2823"/>
        <v>14.393786431332629</v>
      </c>
      <c r="EY587" s="72"/>
      <c r="EZ587" s="338"/>
      <c r="FA587" s="72"/>
      <c r="FB587" s="178"/>
      <c r="FC587" s="85"/>
      <c r="FD587" s="171">
        <f>FD570/FD536*100</f>
        <v>88.502894954507866</v>
      </c>
      <c r="FE587" s="72" t="str">
        <f>IF(ISERROR(FD587/FB587),"NA",IF(OR(FD587/FB587&gt;2,FD587/FB587&lt;0.5),"NM",FD587/FB587*100-100))</f>
        <v>NA</v>
      </c>
      <c r="FF587" s="171">
        <f>FF570/FF536*100</f>
        <v>-11.639344262295081</v>
      </c>
      <c r="FG587" s="72" t="str">
        <f>IF(ISERROR(FF587/FD587),"NA",IF(OR(FF587/FD587&gt;2,FF587/FD587&lt;0.5),"NM",FF587/FD587*100-100))</f>
        <v>NM</v>
      </c>
      <c r="FH587" s="171">
        <f>FH570/FH536*100</f>
        <v>116.83708248125426</v>
      </c>
      <c r="FI587" s="72" t="str">
        <f>IF(ISERROR(FH587/FF587),"NA",IF(OR(FH587/FF587&gt;2,FH587/FF587&lt;0.5),"NM",FH587/FF587*100-100))</f>
        <v>NM</v>
      </c>
      <c r="FJ587" s="171">
        <f>FJ570/FJ536*100</f>
        <v>-64.393515930687542</v>
      </c>
      <c r="FK587" s="72" t="str">
        <f>IF(ISERROR(FJ587/FH587),"NA",IF(OR(FJ587/FH587&gt;2,FJ587/FH587&lt;0.5),"NM",FJ587/FH587*100-100))</f>
        <v>NM</v>
      </c>
      <c r="FL587" s="171">
        <f>FL570/FL536*100</f>
        <v>-105.36655486344036</v>
      </c>
      <c r="FM587" s="72">
        <f>IF(ISERROR(FL587/FJ587),"NA",IF(OR(FL587/FJ587&gt;2,FL587/FJ587&lt;0.5),"NM",FL587/FJ587*100-100))</f>
        <v>63.629137717616999</v>
      </c>
      <c r="FN587" s="171">
        <f>FN570/FN536*100</f>
        <v>-126.87432089822528</v>
      </c>
      <c r="FO587" s="72">
        <f>IF(ISERROR(FN587/FL587),"NA",IF(OR(FN587/FL587&gt;2,FN587/FL587&lt;0.5),"NM",FN587/FL587*100-100))</f>
        <v>20.412327291767227</v>
      </c>
      <c r="FP587" s="171">
        <f>FP570/FP536*100</f>
        <v>-240.10492567764499</v>
      </c>
      <c r="FQ587" s="72">
        <f>IF(ISERROR(FP587/FN587),"NA",IF(OR(FP587/FN587&gt;2,FP587/FN587&lt;0.5),"NM",FP587/FN587*100-100))</f>
        <v>89.246274563510667</v>
      </c>
      <c r="FR587" s="171">
        <f>FR570/FR536*100</f>
        <v>-196.05431719190366</v>
      </c>
      <c r="FS587" s="72">
        <f>IF(ISERROR(FR587/FP587),"NA",IF(OR(FR587/FP587&gt;2,FR587/FP587&lt;0.5),"NM",FR587/FP587*100-100))</f>
        <v>-18.346399334131888</v>
      </c>
      <c r="FT587" s="171">
        <f>FT570/FT536*100</f>
        <v>-185.09784908321578</v>
      </c>
      <c r="FU587" s="72">
        <f>IF(ISERROR(FT587/FR587),"NA",IF(OR(FT587/FR587&gt;2,FT587/FR587&lt;0.5),"NM",FT587/FR587*100-100))</f>
        <v>-5.5884860204141233</v>
      </c>
      <c r="FV587" s="171">
        <f>FV570/FV536*100</f>
        <v>-464.54388984509467</v>
      </c>
      <c r="FW587" s="72" t="str">
        <f>IF(ISERROR(FV587/FT587),"NA",IF(OR(FV587/FT587&gt;2,FV587/FT587&lt;0.5),"NM",FV587/FT587*100-100))</f>
        <v>NM</v>
      </c>
      <c r="FX587" s="171">
        <f>FX570/FX536*100</f>
        <v>-93.050847457627114</v>
      </c>
      <c r="FY587" s="72" t="str">
        <f>IF(ISERROR(FX587/FV587),"NA",IF(OR(FX587/FV587&gt;2,FX587/FV587&lt;0.5),"NM",FX587/FV587*100-100))</f>
        <v>NM</v>
      </c>
      <c r="FZ587" s="171">
        <f>FZ570/FZ536*100</f>
        <v>-97.078099399235398</v>
      </c>
      <c r="GA587" s="72">
        <f>IF(ISERROR(FZ587/FX587),"NA",IF(OR(FZ587/FX587&gt;2,FZ587/FX587&lt;0.5),"NM",FZ587/FX587*100-100))</f>
        <v>4.3280121048249356</v>
      </c>
      <c r="GB587" s="171">
        <f>GB570/GB536*100</f>
        <v>-94.84613460095072</v>
      </c>
      <c r="GC587" s="72">
        <f>IF(ISERROR(GB587/FZ587),"NA",IF(OR(GB587/FZ587&gt;2,GB587/FZ587&lt;0.5),"NM",GB587/FZ587*100-100))</f>
        <v>-2.2991434856029542</v>
      </c>
      <c r="GD587" s="171">
        <f>GD570/GD536*100</f>
        <v>-65.994720422366214</v>
      </c>
      <c r="GE587" s="72">
        <f>IF(ISERROR(GD587/GB587),"NA",IF(OR(GD587/GB587&gt;2,GD587/GB587&lt;0.5),"NM",GD587/GB587*100-100))</f>
        <v>-30.41917765017206</v>
      </c>
      <c r="GF587" s="171">
        <f>GF570/GF536*100</f>
        <v>-41.206815694856964</v>
      </c>
      <c r="GG587" s="72">
        <f>IF(ISERROR(GF587/GD587),"NA",IF(OR(GF587/GD587&gt;2,GF587/GD587&lt;0.5),"NM",GF587/GD587*100-100))</f>
        <v>-37.560435999829465</v>
      </c>
      <c r="GH587" s="171">
        <f>GH570/GH536*100</f>
        <v>-19.738628649015613</v>
      </c>
      <c r="GI587" s="72" t="str">
        <f t="shared" si="2824"/>
        <v>NM</v>
      </c>
      <c r="GJ587" s="171">
        <f>GJ570/GJ536*100</f>
        <v>16.93147167388862</v>
      </c>
      <c r="GK587" s="72" t="str">
        <f t="shared" si="2824"/>
        <v>NM</v>
      </c>
      <c r="GL587" s="171">
        <f>GL570/GL536*100</f>
        <v>9.3721059455454707</v>
      </c>
      <c r="GM587" s="72">
        <f t="shared" si="2824"/>
        <v>-44.646832088441869</v>
      </c>
      <c r="GN587" s="171">
        <f>GN570/GN536*100</f>
        <v>4.4522741832158879</v>
      </c>
      <c r="GO587" s="72" t="str">
        <f t="shared" si="2824"/>
        <v>NM</v>
      </c>
      <c r="GP587" s="171">
        <f>GP570/GP536*100</f>
        <v>-14.615776147662398</v>
      </c>
      <c r="GQ587" s="72" t="str">
        <f t="shared" si="2824"/>
        <v>NM</v>
      </c>
      <c r="GR587" s="171">
        <f>GR570/GR536*100</f>
        <v>-15.162302267662378</v>
      </c>
      <c r="GS587" s="72">
        <f t="shared" si="2824"/>
        <v>3.7392890701010799</v>
      </c>
      <c r="GT587" s="171">
        <f>GT570/GT536*100</f>
        <v>-15.756764626899633</v>
      </c>
      <c r="GU587" s="72">
        <f t="shared" si="2824"/>
        <v>3.9206602582056576</v>
      </c>
      <c r="GV587" s="171">
        <f>GV570/GV536*100</f>
        <v>-16.357313420018883</v>
      </c>
      <c r="GW587" s="72">
        <f>IF(ISERROR(GV587/GT587),"NA",IF(OR(GV587/GT587&gt;2,GV587/GT587&lt;0.5),"NM",GV587/GT587*100-100))</f>
        <v>3.8113712258797392</v>
      </c>
      <c r="GX587" s="171">
        <f>GX570/GX536*100</f>
        <v>-17.007744169493304</v>
      </c>
      <c r="GY587" s="72">
        <f>IF(ISERROR(GX587/GV587),"NA",IF(OR(GX587/GV587&gt;2,GX587/GV587&lt;0.5),"NM",GX587/GV587*100-100))</f>
        <v>3.9763910660193886</v>
      </c>
      <c r="GZ587" s="72" t="str">
        <f>IF(ISERROR(((GX587/GN587)^0.2-1)*100),"NA",IF((((GX587/GN587)^0.2-1)*100)&gt;100,"NM",IF((((GX587/GN587)^0.2-1)*100)&lt;-50,"NM",((GX587/GN587)^0.2-1)*100)))</f>
        <v>NM</v>
      </c>
      <c r="HA587" s="72"/>
      <c r="HB587" s="72"/>
      <c r="HC587"/>
      <c r="HD587"/>
      <c r="HE587"/>
      <c r="HF587"/>
      <c r="HG587"/>
      <c r="HH587"/>
      <c r="HI587" s="2"/>
    </row>
    <row r="588" spans="1:217" s="3" customFormat="1" ht="12.75" customHeight="1" x14ac:dyDescent="0.2">
      <c r="B588" s="10"/>
      <c r="C588" s="9"/>
      <c r="D588" s="11"/>
      <c r="E588" s="9"/>
      <c r="F588" s="11"/>
      <c r="G588" s="9"/>
      <c r="H588" s="11"/>
      <c r="I588" s="9"/>
      <c r="J588" s="11"/>
      <c r="K588" s="9"/>
      <c r="L588" s="72"/>
      <c r="M588" s="9"/>
      <c r="N588" s="72"/>
      <c r="O588" s="9"/>
      <c r="P588" s="72"/>
      <c r="Q588" s="9"/>
      <c r="R588" s="72"/>
      <c r="S588" s="9"/>
      <c r="T588" s="72"/>
      <c r="U588" s="9"/>
      <c r="V588" s="72"/>
      <c r="W588" s="9"/>
      <c r="X588" s="72"/>
      <c r="Y588" s="9"/>
      <c r="Z588" s="72"/>
      <c r="AA588" s="9"/>
      <c r="AB588" s="72"/>
      <c r="AC588" s="9"/>
      <c r="AD588" s="72"/>
      <c r="AE588" s="9"/>
      <c r="AF588" s="72"/>
      <c r="AG588" s="9"/>
      <c r="AH588" s="72"/>
      <c r="AI588" s="9"/>
      <c r="AJ588" s="72"/>
      <c r="AK588" s="9"/>
      <c r="AL588" s="72"/>
      <c r="AM588" s="9"/>
      <c r="AN588" s="72"/>
      <c r="AO588" s="9"/>
      <c r="AP588" s="72"/>
      <c r="AQ588" s="9"/>
      <c r="AR588" s="72"/>
      <c r="AS588" s="9"/>
      <c r="AT588" s="72"/>
      <c r="AU588" s="9"/>
      <c r="AV588" s="72"/>
      <c r="AW588" s="9"/>
      <c r="AX588" s="72"/>
      <c r="AY588" s="9"/>
      <c r="AZ588" s="72"/>
      <c r="BA588" s="9"/>
      <c r="BB588" s="72"/>
      <c r="BC588" s="9"/>
      <c r="BD588" s="72"/>
      <c r="BE588" s="9"/>
      <c r="BF588" s="72"/>
      <c r="BG588" s="9"/>
      <c r="BH588" s="72"/>
      <c r="BI588" s="9"/>
      <c r="BJ588" s="72"/>
      <c r="BK588" s="9"/>
      <c r="BL588" s="72"/>
      <c r="BM588" s="9"/>
      <c r="BN588" s="72"/>
      <c r="BO588" s="9"/>
      <c r="BP588" s="72"/>
      <c r="BQ588" s="9"/>
      <c r="BR588" s="72"/>
      <c r="BS588" s="9"/>
      <c r="BT588" s="72"/>
      <c r="BU588" s="9"/>
      <c r="BV588" s="72"/>
      <c r="BW588" s="9"/>
      <c r="BX588" s="72"/>
      <c r="BY588" s="9"/>
      <c r="BZ588" s="72"/>
      <c r="CA588" s="9"/>
      <c r="CB588" s="72"/>
      <c r="CC588" s="9"/>
      <c r="CD588" s="72"/>
      <c r="CE588" s="9"/>
      <c r="CF588" s="72"/>
      <c r="CG588" s="9"/>
      <c r="CH588" s="72"/>
      <c r="CI588" s="9"/>
      <c r="CJ588" s="72"/>
      <c r="CK588" s="9"/>
      <c r="CL588" s="72"/>
      <c r="CM588" s="9"/>
      <c r="CN588" s="72"/>
      <c r="CO588" s="9"/>
      <c r="CP588" s="72"/>
      <c r="CQ588" s="9"/>
      <c r="CR588" s="72"/>
      <c r="CS588" s="9"/>
      <c r="CT588" s="72"/>
      <c r="CU588" s="9"/>
      <c r="CV588" s="72"/>
      <c r="CW588" s="9"/>
      <c r="CX588" s="72"/>
      <c r="CY588" s="9"/>
      <c r="CZ588" s="72"/>
      <c r="DA588" s="9"/>
      <c r="DB588" s="72"/>
      <c r="DC588" s="9"/>
      <c r="DD588" s="72"/>
      <c r="DE588" s="9"/>
      <c r="DF588" s="72"/>
      <c r="DG588" s="9"/>
      <c r="DH588" s="72"/>
      <c r="DI588" s="9"/>
      <c r="DJ588" s="72"/>
      <c r="DK588" s="9"/>
      <c r="DL588" s="72"/>
      <c r="DM588" s="9"/>
      <c r="DN588" s="72"/>
      <c r="DO588" s="9"/>
      <c r="DP588" s="72"/>
      <c r="DQ588" s="9"/>
      <c r="DR588" s="72"/>
      <c r="DS588" s="9"/>
      <c r="DT588" s="72"/>
      <c r="DU588" s="9"/>
      <c r="DV588" s="72"/>
      <c r="DW588" s="9"/>
      <c r="DX588" s="72"/>
      <c r="DY588" s="9"/>
      <c r="DZ588" s="72"/>
      <c r="EA588" s="9"/>
      <c r="EB588" s="72"/>
      <c r="EC588" s="9"/>
      <c r="ED588" s="72"/>
      <c r="EE588" s="9"/>
      <c r="EF588" s="72"/>
      <c r="EG588" s="9"/>
      <c r="EH588" s="72"/>
      <c r="EI588" s="9"/>
      <c r="EJ588" s="72"/>
      <c r="EK588" s="9"/>
      <c r="EL588" s="72"/>
      <c r="EM588" s="9"/>
      <c r="EN588" s="72"/>
      <c r="EO588" s="9"/>
      <c r="EP588" s="72"/>
      <c r="EQ588" s="9"/>
      <c r="ER588" s="72"/>
      <c r="ES588" s="9"/>
      <c r="ET588" s="72"/>
      <c r="EU588" s="9"/>
      <c r="EV588" s="72"/>
      <c r="EW588" s="9"/>
      <c r="EX588" s="72"/>
      <c r="EY588" s="72"/>
      <c r="EZ588" s="296"/>
      <c r="FA588" s="72"/>
      <c r="FB588" s="9"/>
      <c r="FC588" s="11"/>
      <c r="FD588" s="9"/>
      <c r="FE588" s="72"/>
      <c r="FF588" s="9"/>
      <c r="FG588" s="72"/>
      <c r="FH588" s="9"/>
      <c r="FI588" s="72"/>
      <c r="FJ588" s="9"/>
      <c r="FK588" s="72"/>
      <c r="FL588" s="9"/>
      <c r="FM588" s="72"/>
      <c r="FN588" s="9"/>
      <c r="FO588" s="72"/>
      <c r="FP588" s="9"/>
      <c r="FQ588" s="72"/>
      <c r="FR588" s="9"/>
      <c r="FS588" s="72"/>
      <c r="FT588" s="9"/>
      <c r="FU588" s="72"/>
      <c r="FV588" s="9"/>
      <c r="FW588" s="72"/>
      <c r="FX588" s="9"/>
      <c r="FY588" s="72"/>
      <c r="FZ588" s="9"/>
      <c r="GA588" s="72"/>
      <c r="GB588" s="9"/>
      <c r="GC588" s="72"/>
      <c r="GD588" s="9"/>
      <c r="GE588" s="72"/>
      <c r="GF588" s="9"/>
      <c r="GG588" s="72"/>
      <c r="GH588" s="9"/>
      <c r="GI588" s="72"/>
      <c r="GJ588" s="9"/>
      <c r="GK588" s="72"/>
      <c r="GL588" s="9"/>
      <c r="GM588" s="72"/>
      <c r="GN588" s="9"/>
      <c r="GO588" s="72"/>
      <c r="GP588" s="9"/>
      <c r="GQ588" s="72"/>
      <c r="GR588" s="9"/>
      <c r="GS588" s="72"/>
      <c r="GT588" s="9"/>
      <c r="GU588" s="72"/>
      <c r="GV588" s="9"/>
      <c r="GW588" s="72"/>
      <c r="GX588" s="9"/>
      <c r="GY588" s="72"/>
      <c r="GZ588" s="72"/>
      <c r="HA588" s="72"/>
      <c r="HB588" s="72"/>
      <c r="HC588"/>
      <c r="HD588"/>
      <c r="HE588"/>
      <c r="HF588"/>
      <c r="HG588"/>
      <c r="HH588"/>
      <c r="HI588" s="2"/>
    </row>
    <row r="589" spans="1:217" s="3" customFormat="1" ht="12.75" customHeight="1" x14ac:dyDescent="0.2">
      <c r="B589" s="89" t="s">
        <v>400</v>
      </c>
      <c r="C589" s="9"/>
      <c r="D589" s="11"/>
      <c r="E589" s="9"/>
      <c r="F589" s="11"/>
      <c r="G589" s="9"/>
      <c r="H589" s="11"/>
      <c r="I589" s="9"/>
      <c r="J589" s="11"/>
      <c r="K589" s="9"/>
      <c r="L589" s="72"/>
      <c r="M589" s="9"/>
      <c r="N589" s="72"/>
      <c r="O589" s="9"/>
      <c r="P589" s="72"/>
      <c r="Q589" s="9"/>
      <c r="R589" s="72"/>
      <c r="S589" s="9"/>
      <c r="T589" s="72"/>
      <c r="U589" s="9"/>
      <c r="V589" s="72"/>
      <c r="W589" s="9"/>
      <c r="X589" s="72"/>
      <c r="Y589" s="9"/>
      <c r="Z589" s="72"/>
      <c r="AA589" s="9"/>
      <c r="AB589" s="72"/>
      <c r="AC589" s="9"/>
      <c r="AD589" s="72"/>
      <c r="AE589" s="9"/>
      <c r="AF589" s="72"/>
      <c r="AG589" s="9"/>
      <c r="AH589" s="72"/>
      <c r="AI589" s="9"/>
      <c r="AJ589" s="72"/>
      <c r="AK589" s="9"/>
      <c r="AL589" s="72"/>
      <c r="AM589" s="9"/>
      <c r="AN589" s="72"/>
      <c r="AO589" s="9"/>
      <c r="AP589" s="72"/>
      <c r="AQ589" s="9"/>
      <c r="AR589" s="72"/>
      <c r="AS589" s="9"/>
      <c r="AT589" s="72"/>
      <c r="AU589" s="9"/>
      <c r="AV589" s="72"/>
      <c r="AW589" s="9"/>
      <c r="AX589" s="72"/>
      <c r="AY589" s="9"/>
      <c r="AZ589" s="72"/>
      <c r="BA589" s="9"/>
      <c r="BB589" s="72"/>
      <c r="BC589" s="9"/>
      <c r="BD589" s="72"/>
      <c r="BE589" s="9"/>
      <c r="BF589" s="72"/>
      <c r="BG589" s="9"/>
      <c r="BH589" s="72"/>
      <c r="BI589" s="9"/>
      <c r="BJ589" s="72"/>
      <c r="BK589" s="9"/>
      <c r="BL589" s="72"/>
      <c r="BM589" s="9"/>
      <c r="BN589" s="72"/>
      <c r="BO589" s="9"/>
      <c r="BP589" s="72"/>
      <c r="BQ589" s="9"/>
      <c r="BR589" s="72"/>
      <c r="BS589" s="9"/>
      <c r="BT589" s="72"/>
      <c r="BU589" s="9"/>
      <c r="BV589" s="72"/>
      <c r="BW589" s="9"/>
      <c r="BX589" s="72"/>
      <c r="BY589" s="9"/>
      <c r="BZ589" s="72"/>
      <c r="CA589" s="9"/>
      <c r="CB589" s="72"/>
      <c r="CC589" s="9"/>
      <c r="CD589" s="72"/>
      <c r="CE589" s="9"/>
      <c r="CF589" s="72"/>
      <c r="CG589" s="9"/>
      <c r="CH589" s="72"/>
      <c r="CI589" s="9"/>
      <c r="CJ589" s="72"/>
      <c r="CK589" s="9"/>
      <c r="CL589" s="72"/>
      <c r="CM589" s="9"/>
      <c r="CN589" s="72"/>
      <c r="CO589" s="9"/>
      <c r="CP589" s="72"/>
      <c r="CQ589" s="9"/>
      <c r="CR589" s="72"/>
      <c r="CS589" s="9"/>
      <c r="CT589" s="72"/>
      <c r="CU589" s="9"/>
      <c r="CV589" s="72"/>
      <c r="CW589" s="9"/>
      <c r="CX589" s="72"/>
      <c r="CY589" s="9"/>
      <c r="CZ589" s="72"/>
      <c r="DA589" s="9"/>
      <c r="DB589" s="72"/>
      <c r="DC589" s="9"/>
      <c r="DD589" s="72"/>
      <c r="DE589" s="9"/>
      <c r="DF589" s="72"/>
      <c r="DG589" s="9"/>
      <c r="DH589" s="72"/>
      <c r="DI589" s="9"/>
      <c r="DJ589" s="72"/>
      <c r="DK589" s="9"/>
      <c r="DL589" s="72"/>
      <c r="DM589" s="9"/>
      <c r="DN589" s="72"/>
      <c r="DO589" s="9"/>
      <c r="DP589" s="72"/>
      <c r="DQ589" s="9"/>
      <c r="DR589" s="72"/>
      <c r="DS589" s="9"/>
      <c r="DT589" s="72"/>
      <c r="DU589" s="9"/>
      <c r="DV589" s="72"/>
      <c r="DW589" s="9"/>
      <c r="DX589" s="72"/>
      <c r="DY589" s="9"/>
      <c r="DZ589" s="72"/>
      <c r="EA589" s="9"/>
      <c r="EB589" s="72"/>
      <c r="EC589" s="9"/>
      <c r="ED589" s="72"/>
      <c r="EE589" s="9"/>
      <c r="EF589" s="72"/>
      <c r="EG589" s="9"/>
      <c r="EH589" s="72"/>
      <c r="EI589" s="9"/>
      <c r="EJ589" s="72"/>
      <c r="EK589" s="9"/>
      <c r="EL589" s="72"/>
      <c r="EM589" s="9"/>
      <c r="EN589" s="72"/>
      <c r="EO589" s="9"/>
      <c r="EP589" s="72"/>
      <c r="EQ589" s="9"/>
      <c r="ER589" s="72"/>
      <c r="ES589" s="9"/>
      <c r="ET589" s="72"/>
      <c r="EU589" s="9"/>
      <c r="EV589" s="72"/>
      <c r="EW589" s="9"/>
      <c r="EX589" s="72"/>
      <c r="EY589" s="72"/>
      <c r="EZ589" s="296"/>
      <c r="FA589" s="72"/>
      <c r="FB589" s="9"/>
      <c r="FC589" s="11"/>
      <c r="FD589" s="9"/>
      <c r="FE589" s="72"/>
      <c r="FF589" s="9"/>
      <c r="FG589" s="72"/>
      <c r="FH589" s="9"/>
      <c r="FI589" s="72"/>
      <c r="FJ589" s="9"/>
      <c r="FK589" s="72"/>
      <c r="FL589" s="9"/>
      <c r="FM589" s="72"/>
      <c r="FN589" s="9"/>
      <c r="FO589" s="72"/>
      <c r="FP589" s="9"/>
      <c r="FQ589" s="72"/>
      <c r="FR589" s="9"/>
      <c r="FS589" s="72"/>
      <c r="FT589" s="9"/>
      <c r="FU589" s="72"/>
      <c r="FV589" s="9"/>
      <c r="FW589" s="72"/>
      <c r="FX589" s="9"/>
      <c r="FY589" s="72"/>
      <c r="FZ589" s="9"/>
      <c r="GA589" s="72"/>
      <c r="GB589" s="9"/>
      <c r="GC589" s="72"/>
      <c r="GD589" s="9"/>
      <c r="GE589" s="72"/>
      <c r="GF589" s="9"/>
      <c r="GG589" s="72"/>
      <c r="GH589" s="9"/>
      <c r="GI589" s="72"/>
      <c r="GJ589" s="9"/>
      <c r="GK589" s="72"/>
      <c r="GL589" s="9"/>
      <c r="GM589" s="72"/>
      <c r="GN589" s="9"/>
      <c r="GO589" s="72"/>
      <c r="GP589" s="9"/>
      <c r="GQ589" s="72"/>
      <c r="GR589" s="9"/>
      <c r="GS589" s="72"/>
      <c r="GT589" s="9"/>
      <c r="GU589" s="72"/>
      <c r="GV589" s="9"/>
      <c r="GW589" s="72"/>
      <c r="GX589" s="9"/>
      <c r="GY589" s="72"/>
      <c r="GZ589" s="72"/>
      <c r="HA589" s="72"/>
      <c r="HB589" s="72"/>
      <c r="HC589"/>
      <c r="HD589"/>
      <c r="HE589"/>
      <c r="HF589"/>
      <c r="HG589"/>
      <c r="HH589"/>
      <c r="HI589" s="2"/>
    </row>
    <row r="590" spans="1:217" s="3" customFormat="1" ht="12.75" customHeight="1" x14ac:dyDescent="0.2">
      <c r="A590" s="3" t="s">
        <v>49</v>
      </c>
      <c r="B590" s="10" t="s">
        <v>102</v>
      </c>
      <c r="C590" s="169"/>
      <c r="D590" s="11"/>
      <c r="E590" s="169"/>
      <c r="F590" s="11"/>
      <c r="G590" s="169"/>
      <c r="H590" s="11"/>
      <c r="I590" s="169"/>
      <c r="J590" s="11"/>
      <c r="K590" s="169">
        <f>K518/K$533*100</f>
        <v>7.4946466809421839</v>
      </c>
      <c r="L590" s="72" t="str">
        <f>IF(ISERROR(K590/C590),"NA",IF(OR(K590/C590&gt;2,K590/C590&lt;0.5),"NM",K590/C590*100-100))</f>
        <v>NA</v>
      </c>
      <c r="M590" s="169">
        <f>M518/M$533*100</f>
        <v>9.7674418604651159</v>
      </c>
      <c r="N590" s="72" t="str">
        <f>IF(ISERROR(M590/E590),"NA",IF(OR(M590/E590&gt;2,M590/E590&lt;0.5),"NM",M590/E590*100-100))</f>
        <v>NA</v>
      </c>
      <c r="O590" s="169">
        <f>O518/O$533*100</f>
        <v>2.547770700636943</v>
      </c>
      <c r="P590" s="72" t="str">
        <f>IF(ISERROR(O590/G590),"NA",IF(OR(O590/G590&gt;2,O590/G590&lt;0.5),"NM",O590/G590*100-100))</f>
        <v>NA</v>
      </c>
      <c r="Q590" s="169">
        <f>Q518/Q$533*100</f>
        <v>8.5271317829457356</v>
      </c>
      <c r="R590" s="72" t="str">
        <f>IF(ISERROR(Q590/I590),"NA",IF(OR(Q590/I590&gt;2,Q590/I590&lt;0.5),"NM",Q590/I590*100-100))</f>
        <v>NA</v>
      </c>
      <c r="S590" s="169">
        <f>S518/S$533*100</f>
        <v>5.8704453441295543</v>
      </c>
      <c r="T590" s="72">
        <f>IF(ISERROR(S590/K590),"NA",IF(OR(S590/K590&gt;2,S590/K590&lt;0.5),"NM",S590/K590*100-100))</f>
        <v>-21.671486408328505</v>
      </c>
      <c r="U590" s="169">
        <f>U518/U$533*100</f>
        <v>-3.624733475479744</v>
      </c>
      <c r="V590" s="72" t="str">
        <f>IF(ISERROR(U590/M590),"NA",IF(OR(U590/M590&gt;2,U590/M590&lt;0.5),"NM",U590/M590*100-100))</f>
        <v>NM</v>
      </c>
      <c r="W590" s="169">
        <f>W518/W$533*100</f>
        <v>-15.610859728506787</v>
      </c>
      <c r="X590" s="72" t="str">
        <f>IF(ISERROR(W590/O590),"NA",IF(OR(W590/O590&gt;2,W590/O590&lt;0.5),"NM",W590/O590*100-100))</f>
        <v>NM</v>
      </c>
      <c r="Y590" s="169">
        <f>Y518/Y$533*100</f>
        <v>3.9893617021276597</v>
      </c>
      <c r="Z590" s="72" t="str">
        <f>IF(ISERROR(Y590/Q590),"NA",IF(OR(Y590/Q590&gt;2,Y590/Q590&lt;0.5),"NM",Y590/Q590*100-100))</f>
        <v>NM</v>
      </c>
      <c r="AA590" s="169">
        <f>AA518/AA$533*100</f>
        <v>5.0438596491228065</v>
      </c>
      <c r="AB590" s="72">
        <f>IF(ISERROR(AA590/S590),"NA",IF(OR(AA590/S590&gt;2,AA590/S590&lt;0.5),"NM",AA590/S590*100-100))</f>
        <v>-14.080459770114956</v>
      </c>
      <c r="AC590" s="169">
        <f>AC518/AC$533*100</f>
        <v>11.818181818181818</v>
      </c>
      <c r="AD590" s="72" t="str">
        <f>IF(ISERROR(AC590/U590),"NA",IF(OR(AC590/U590&gt;2,AC590/U590&lt;0.5),"NM",AC590/U590*100-100))</f>
        <v>NM</v>
      </c>
      <c r="AE590" s="169">
        <f>AE518/AE$533*100</f>
        <v>15.028901734104046</v>
      </c>
      <c r="AF590" s="72" t="str">
        <f>IF(ISERROR(AE590/W590),"NA",IF(OR(AE590/W590&gt;2,AE590/W590&lt;0.5),"NM",AE590/W590*100-100))</f>
        <v>NM</v>
      </c>
      <c r="AG590" s="169">
        <f>AG518/AG$533*100</f>
        <v>17.081850533807831</v>
      </c>
      <c r="AH590" s="72" t="str">
        <f>IF(ISERROR(AG590/Y590),"NA",IF(OR(AG590/Y590&gt;2,AG590/Y590&lt;0.5),"NM",AG590/Y590*100-100))</f>
        <v>NM</v>
      </c>
      <c r="AI590" s="169">
        <f>AI518/AI$533*100</f>
        <v>17.375886524822697</v>
      </c>
      <c r="AJ590" s="72" t="str">
        <f>IF(ISERROR(AI590/AA590),"NA",IF(OR(AI590/AA590&gt;2,AI590/AA590&lt;0.5),"NM",AI590/AA590*100-100))</f>
        <v>NM</v>
      </c>
      <c r="AK590" s="169">
        <f>AK518/AK$533*100</f>
        <v>13.001383125864455</v>
      </c>
      <c r="AL590" s="72">
        <f>IF(ISERROR(AK590/AC590),"NA",IF(OR(AK590/AC590&gt;2,AK590/AC590&lt;0.5),"NM",AK590/AC590*100-100))</f>
        <v>10.01170337269923</v>
      </c>
      <c r="AM590" s="169">
        <f>AM518/AM$533*100</f>
        <v>13.48314606741573</v>
      </c>
      <c r="AN590" s="72">
        <f>IF(ISERROR(AM590/AE590),"NA",IF(OR(AM590/AE590&gt;2,AM590/AE590&lt;0.5),"NM",AM590/AE590*100-100))</f>
        <v>-10.285220397579948</v>
      </c>
      <c r="AO590" s="169">
        <f>AO518/AO$533*100</f>
        <v>14.490674318507891</v>
      </c>
      <c r="AP590" s="72">
        <f>IF(ISERROR(AO590/AG590),"NA",IF(OR(AO590/AG590&gt;2,AO590/AG590&lt;0.5),"NM",AO590/AG590*100-100))</f>
        <v>-15.169177427068405</v>
      </c>
      <c r="AQ590" s="169">
        <f>AQ518/AQ$533*100</f>
        <v>11.957950065703022</v>
      </c>
      <c r="AR590" s="72">
        <f>IF(ISERROR(AQ590/AI590),"NA",IF(OR(AQ590/AI590&gt;2,AQ590/AI590&lt;0.5),"NM",AQ590/AI590*100-100))</f>
        <v>-31.180777172892817</v>
      </c>
      <c r="AS590" s="169">
        <f>AS518/AS$533*100</f>
        <v>11.786600496277917</v>
      </c>
      <c r="AT590" s="72">
        <f>IF(ISERROR(AS590/AK590),"NA",IF(OR(AS590/AK590&gt;2,AS590/AK590&lt;0.5),"NM",AS590/AK590*100-100))</f>
        <v>-9.3434876722454021</v>
      </c>
      <c r="AU590" s="169">
        <f>AU518/AU$533*100</f>
        <v>11.87214611872146</v>
      </c>
      <c r="AV590" s="72">
        <f>IF(ISERROR(AU590/AM590),"NA",IF(OR(AU590/AM590&gt;2,AU590/AM590&lt;0.5),"NM",AU590/AM590*100-100))</f>
        <v>-11.948249619482496</v>
      </c>
      <c r="AW590" s="169">
        <f>AW518/AW$533*100</f>
        <v>12.021276595744681</v>
      </c>
      <c r="AX590" s="72">
        <f>IF(ISERROR(AW590/AO590),"NA",IF(OR(AW590/AO590&gt;2,AW590/AO590&lt;0.5),"NM",AW590/AO590*100-100))</f>
        <v>-17.041289235306508</v>
      </c>
      <c r="AY590" s="169">
        <f>AY518/AY$533*100</f>
        <v>12.330198537095088</v>
      </c>
      <c r="AZ590" s="72">
        <f>IF(ISERROR(AY590/AQ590),"NA",IF(OR(AY590/AQ590&gt;2,AY590/AQ590&lt;0.5),"NM",AY590/AQ590*100-100))</f>
        <v>3.1129789750479375</v>
      </c>
      <c r="BA590" s="169">
        <f>BA518/BA$533*100</f>
        <v>12.964930924548353</v>
      </c>
      <c r="BB590" s="72">
        <f>IF(ISERROR(BA590/AS590),"NA",IF(OR(BA590/AS590&gt;2,BA590/AS590&lt;0.5),"NM",BA590/AS590*100-100))</f>
        <v>9.9972034230102196</v>
      </c>
      <c r="BC590" s="169">
        <f>BC518/BC$533*100</f>
        <v>16.436903499469775</v>
      </c>
      <c r="BD590" s="72">
        <f>IF(ISERROR(BC590/AU590),"NA",IF(OR(BC590/AU590&gt;2,BC590/AU590&lt;0.5),"NM",BC590/AU590*100-100))</f>
        <v>38.449302553226175</v>
      </c>
      <c r="BE590" s="169">
        <f>BE518/BE$533*100</f>
        <v>15.843621399176955</v>
      </c>
      <c r="BF590" s="72">
        <f>IF(ISERROR(BE590/AW590),"NA",IF(OR(BE590/AW590&gt;2,BE590/AW590&lt;0.5),"NM",BE590/AW590*100-100))</f>
        <v>31.796496594923326</v>
      </c>
      <c r="BG590" s="169">
        <f>BG518/BG$533*100</f>
        <v>15.815548780487806</v>
      </c>
      <c r="BH590" s="72">
        <f>IF(ISERROR(BG590/AY590),"NA",IF(OR(BG590/AY590&gt;2,BG590/AY590&lt;0.5),"NM",BG590/AY590*100-100))</f>
        <v>28.266781211244336</v>
      </c>
      <c r="BI590" s="169">
        <f>BI518/BI$533*100</f>
        <v>16.423357664233578</v>
      </c>
      <c r="BJ590" s="72">
        <f>IF(ISERROR(BI590/BA590),"NA",IF(OR(BI590/BA590&gt;2,BI590/BA590&lt;0.5),"NM",BI590/BA590*100-100))</f>
        <v>26.675242311834396</v>
      </c>
      <c r="BK590" s="169">
        <f>BK518/BK$533*100</f>
        <v>13.587786259541984</v>
      </c>
      <c r="BL590" s="72">
        <f>IF(ISERROR(BK590/BC590),"NA",IF(OR(BK590/BC590&gt;2,BK590/BC590&lt;0.5),"NM",BK590/BC590*100-100))</f>
        <v>-17.333661659689724</v>
      </c>
      <c r="BM590" s="169">
        <f>BM518/BM$533*100</f>
        <v>14.906303236797275</v>
      </c>
      <c r="BN590" s="72">
        <f>IF(ISERROR(BM590/BE590),"NA",IF(OR(BM590/BE590&gt;2,BM590/BE590&lt;0.5),"NM",BM590/BE590*100-100))</f>
        <v>-5.9160600898249953</v>
      </c>
      <c r="BO590" s="169">
        <f>BO518/BO$533*100</f>
        <v>12.208067940552016</v>
      </c>
      <c r="BP590" s="72">
        <f>IF(ISERROR(BO590/BG590),"NA",IF(OR(BO590/BG590&gt;2,BO590/BG590&lt;0.5),"NM",BO590/BG590*100-100))</f>
        <v>-22.809710178292804</v>
      </c>
      <c r="BQ590" s="169">
        <f>BQ518/BQ$533*100</f>
        <v>14.338919925512103</v>
      </c>
      <c r="BR590" s="72">
        <f>IF(ISERROR(BQ590/BI590),"NA",IF(OR(BQ590/BI590&gt;2,BQ590/BI590&lt;0.5),"NM",BQ590/BI590*100-100))</f>
        <v>-12.691909786881865</v>
      </c>
      <c r="BS590" s="169">
        <f>BS518/BS$533*100</f>
        <v>11.458333333333332</v>
      </c>
      <c r="BT590" s="72">
        <f>IF(ISERROR(BS590/BK590),"NA",IF(OR(BS590/BK590&gt;2,BS590/BK590&lt;0.5),"NM",BS590/BK590*100-100))</f>
        <v>-15.671816479400761</v>
      </c>
      <c r="BU590" s="169">
        <f>BU518/BU$533*100</f>
        <v>16.521739130434781</v>
      </c>
      <c r="BV590" s="72">
        <f>IF(ISERROR(BU590/BM590),"NA",IF(OR(BU590/BM590&gt;2,BU590/BM590&lt;0.5),"NM",BU590/BM590*100-100))</f>
        <v>10.837267080745335</v>
      </c>
      <c r="BW590" s="169">
        <f>BW518/BW$533*100</f>
        <v>13.539967373572596</v>
      </c>
      <c r="BX590" s="72">
        <f>IF(ISERROR(BW590/BO590),"NA",IF(OR(BW590/BO590&gt;2,BW590/BO590&lt;0.5),"NM",BW590/BO590*100-100))</f>
        <v>10.90999361656857</v>
      </c>
      <c r="BY590" s="169">
        <f>BY518/BY$533*100</f>
        <v>10.224089635854341</v>
      </c>
      <c r="BZ590" s="72">
        <f>IF(ISERROR(BY590/BQ590),"NA",IF(OR(BY590/BQ590&gt;2,BY590/BQ590&lt;0.5),"NM",BY590/BQ590*100-100))</f>
        <v>-28.696933318782058</v>
      </c>
      <c r="CA590" s="169">
        <f>CA518/CA$533*100</f>
        <v>28.143712574850298</v>
      </c>
      <c r="CB590" s="72" t="str">
        <f>IF(ISERROR(CA590/BS590),"NA",IF(OR(CA590/BS590&gt;2,CA590/BS590&lt;0.5),"NM",CA590/BS590*100-100))</f>
        <v>NM</v>
      </c>
      <c r="CC590" s="169">
        <f>CC518/CC$533*100</f>
        <v>17.201166180758019</v>
      </c>
      <c r="CD590" s="72">
        <f>IF(ISERROR(CC590/BU590),"NA",IF(OR(CC590/BU590&gt;2,CC590/BU590&lt;0.5),"NM",CC590/BU590*100-100))</f>
        <v>4.1123216203774859</v>
      </c>
      <c r="CE590" s="169">
        <f>CE518/CE$533*100</f>
        <v>16.6446499339498</v>
      </c>
      <c r="CF590" s="72">
        <f>IF(ISERROR(CE590/BW590),"NA",IF(OR(CE590/BW590&gt;2,CE590/BW590&lt;0.5),"NM",CE590/BW590*100-100))</f>
        <v>22.92976397001479</v>
      </c>
      <c r="CG590" s="169">
        <f>CG518/CG$533*100</f>
        <v>17.262638717632552</v>
      </c>
      <c r="CH590" s="72">
        <f>IF(ISERROR(CG590/BY590),"NA",IF(OR(CG590/BY590&gt;2,CG590/BY590&lt;0.5),"NM",CG590/BY590*100-100))</f>
        <v>68.842795128625227</v>
      </c>
      <c r="CI590" s="169">
        <f>CI518/CI$533*100</f>
        <v>18.543046357615893</v>
      </c>
      <c r="CJ590" s="72">
        <f>IF(ISERROR(CI590/CA590),"NA",IF(OR(CI590/CA590&gt;2,CI590/CA590&lt;0.5),"NM",CI590/CA590*100-100))</f>
        <v>-34.113005495279694</v>
      </c>
      <c r="CK590" s="169">
        <f>CK518/CK$533*100</f>
        <v>19.610091743119266</v>
      </c>
      <c r="CL590" s="72">
        <f>IF(ISERROR(CK590/CC590),"NA",IF(OR(CK590/CC590&gt;2,CK590/CC590&lt;0.5),"NM",CK590/CC590*100-100))</f>
        <v>14.004431659150967</v>
      </c>
      <c r="CM590" s="169">
        <f>CM518/CM$533*100</f>
        <v>22.701905865010001</v>
      </c>
      <c r="CN590" s="72">
        <f>IF(ISERROR(CM590/CE590),"NA",IF(OR(CM590/CE590&gt;2,CM590/CE590&lt;0.5),"NM",CM590/CE590*100-100))</f>
        <v>36.391609046131521</v>
      </c>
      <c r="CO590" s="169">
        <f>CO518/CO$533*100</f>
        <v>21.900452488687783</v>
      </c>
      <c r="CP590" s="72">
        <f>IF(ISERROR(CO590/CG590),"NA",IF(OR(CO590/CG590&gt;2,CO590/CG590&lt;0.5),"NM",CO590/CG590*100-100))</f>
        <v>26.86619263089851</v>
      </c>
      <c r="CQ590" s="169">
        <f>CQ518/CQ$533*100</f>
        <v>23.296032553407937</v>
      </c>
      <c r="CR590" s="72">
        <f>IF(ISERROR(CQ590/CI590),"NA",IF(OR(CQ590/CI590&gt;2,CQ590/CI590&lt;0.5),"NM",CQ590/CI590*100-100))</f>
        <v>25.632175555878533</v>
      </c>
      <c r="CS590" s="169">
        <f>CS518/CS$533*100</f>
        <v>20.143149284253578</v>
      </c>
      <c r="CT590" s="72">
        <f>IF(ISERROR(CS590/CK590),"NA",IF(OR(CS590/CK590&gt;2,CS590/CK590&lt;0.5),"NM",CS590/CK590*100-100))</f>
        <v>2.7182817302287674</v>
      </c>
      <c r="CU590" s="169">
        <f>CU518/CU$533*100</f>
        <v>24.245689655172413</v>
      </c>
      <c r="CV590" s="72">
        <f>IF(ISERROR(CU590/CM590),"NA",IF(OR(CU590/CM590&gt;2,CU590/CM590&lt;0.5),"NM",CU590/CM590*100-100))</f>
        <v>6.8002387083359963</v>
      </c>
      <c r="CW590" s="169">
        <f>CW518/CW$533*100</f>
        <v>20.961887477313976</v>
      </c>
      <c r="CX590" s="72">
        <f>IF(ISERROR(CW590/CO590),"NA",IF(OR(CW590/CO590&gt;2,CW590/CO590&lt;0.5),"NM",CW590/CO590*100-100))</f>
        <v>-4.2855964362316428</v>
      </c>
      <c r="CY590" s="169">
        <f>CY518/CY$533*100</f>
        <v>21.482729570345409</v>
      </c>
      <c r="CZ590" s="72">
        <f>IF(ISERROR(CY590/CQ590),"NA",IF(OR(CY590/CQ590&gt;2,CY590/CQ590&lt;0.5),"NM",CY590/CQ590*100-100))</f>
        <v>-7.7837416259845611</v>
      </c>
      <c r="DA590" s="169">
        <f>DA518/DA$533*100</f>
        <v>24.116607773851591</v>
      </c>
      <c r="DB590" s="72">
        <f>IF(ISERROR(DA590/CS590),"NA",IF(OR(DA590/CS590&gt;2,DA590/CS590&lt;0.5),"NM",DA590/CS590*100-100))</f>
        <v>19.726103567649005</v>
      </c>
      <c r="DC590" s="169">
        <f>DC518/DC$533*100</f>
        <v>22.59475218658892</v>
      </c>
      <c r="DD590" s="72">
        <f>IF(ISERROR(DC590/CU590),"NA",IF(OR(DC590/CU590&gt;2,DC590/CU590&lt;0.5),"NM",DC590/CU590*100-100))</f>
        <v>-6.809199870424365</v>
      </c>
      <c r="DE590" s="169">
        <f>DE518/DE$533*100</f>
        <v>23.705324580598102</v>
      </c>
      <c r="DF590" s="72">
        <f>IF(ISERROR(DE590/CW590),"NA",IF(OR(DE590/CW590&gt;2,DE590/CW590&lt;0.5),"NM",DE590/CW590*100-100))</f>
        <v>13.087738908307827</v>
      </c>
      <c r="DG590" s="169">
        <f>DG518/DG$533*100</f>
        <v>24.422442244224424</v>
      </c>
      <c r="DH590" s="72">
        <f>IF(ISERROR(DG590/CY590),"NA",IF(OR(DG590/CY590&gt;2,DG590/CY590&lt;0.5),"NM",DG590/CY590*100-100))</f>
        <v>13.684074289781933</v>
      </c>
      <c r="DI590" s="169">
        <f>DI518/DI$533*100</f>
        <v>26.069246435845212</v>
      </c>
      <c r="DJ590" s="72">
        <f>IF(ISERROR(DI590/DA590),"NA",IF(OR(DI590/DA590&gt;2,DI590/DA590&lt;0.5),"NM",DI590/DA590*100-100))</f>
        <v>8.0966555508307039</v>
      </c>
      <c r="DK590" s="169">
        <f>DK518/DK$533*100</f>
        <v>25.309405940594061</v>
      </c>
      <c r="DL590" s="72">
        <f>IF(ISERROR(DK590/DC590),"NA",IF(OR(DK590/DC590&gt;2,DK590/DC590&lt;0.5),"NM",DK590/DC590*100-100))</f>
        <v>12.014532098371134</v>
      </c>
      <c r="DM590" s="169">
        <f>DM518/DM$533*100</f>
        <v>24.097859327217126</v>
      </c>
      <c r="DN590" s="72">
        <f t="shared" ref="DN590:DZ594" si="2829">IF(ISERROR(DM590/DE590),"NA",IF(OR(DM590/DE590&gt;2,DM590/DE590&lt;0.5),"NM",DM590/DE590*100-100))</f>
        <v>1.6558927311220941</v>
      </c>
      <c r="DO590" s="169">
        <f>DO518/DO$533*100</f>
        <v>25.234815278647467</v>
      </c>
      <c r="DP590" s="72">
        <f t="shared" si="2829"/>
        <v>3.3263382355430053</v>
      </c>
      <c r="DQ590" s="169">
        <f>DQ518/DQ$533*100</f>
        <v>26.069518716577537</v>
      </c>
      <c r="DR590" s="72">
        <f t="shared" si="2829"/>
        <v>1.0444518716496987E-3</v>
      </c>
      <c r="DS590" s="169">
        <f>DS518/DS$533*100</f>
        <v>25.667475728155342</v>
      </c>
      <c r="DT590" s="72">
        <f t="shared" si="2829"/>
        <v>1.4147696251810089</v>
      </c>
      <c r="DU590" s="169">
        <f>DU518/DU$533*100</f>
        <v>25.824175824175828</v>
      </c>
      <c r="DV590" s="72">
        <f t="shared" si="2829"/>
        <v>7.1637753109834392</v>
      </c>
      <c r="DW590" s="169">
        <f>DW518/DW$533*100</f>
        <v>26.761473820297351</v>
      </c>
      <c r="DX590" s="72">
        <f t="shared" si="2829"/>
        <v>6.0498106476795499</v>
      </c>
      <c r="DY590" s="169">
        <f>DY518/DY$533*100</f>
        <v>31.620243232640249</v>
      </c>
      <c r="DZ590" s="72">
        <f t="shared" si="2829"/>
        <v>21.292009938537987</v>
      </c>
      <c r="EA590" s="169">
        <f>EA518/EA$533*100</f>
        <v>26.774420238931835</v>
      </c>
      <c r="EB590" s="72">
        <f>IF(ISERROR(EA590/DS590),"NA",IF(OR(EA590/DS590&gt;2,EA590/DS590&lt;0.5),"NM",EA590/DS590*100-100))</f>
        <v>4.3126348788644435</v>
      </c>
      <c r="EC590" s="169">
        <f>EC518/EC$533*100</f>
        <v>25.134048257372655</v>
      </c>
      <c r="ED590" s="72">
        <f>IF(ISERROR(EC590/DU590),"NA",IF(OR(EC590/DU590&gt;2,EC590/DU590&lt;0.5),"NM",EC590/DU590*100-100))</f>
        <v>-2.6724088757058979</v>
      </c>
      <c r="EE590" s="169">
        <f>EE518/EE$533*100</f>
        <v>30.901582931865107</v>
      </c>
      <c r="EF590" s="72">
        <f>IF(ISERROR(EE590/DW590),"NA",IF(OR(EE590/DW590&gt;2,EE590/DW590&lt;0.5),"NM",EE590/DW590*100-100))</f>
        <v>15.470407718829279</v>
      </c>
      <c r="EG590" s="169">
        <f>EG518/EG$533*100</f>
        <v>29.325920778318277</v>
      </c>
      <c r="EH590" s="72">
        <f>IF(ISERROR(EG590/DY590),"NA",IF(OR(EG590/DY590&gt;2,EG590/DY590&lt;0.5),"NM",EG590/DY590*100-100))</f>
        <v>-7.2558659256410749</v>
      </c>
      <c r="EI590" s="169">
        <f>EI518/EI$533*100</f>
        <v>27.32150478629352</v>
      </c>
      <c r="EJ590" s="72">
        <f>IF(ISERROR(EI590/EA590),"NA",IF(OR(EI590/EA590&gt;2,EI590/EA590&lt;0.5),"NM",EI590/EA590*100-100))</f>
        <v>2.0433105272852288</v>
      </c>
      <c r="EK590" s="169">
        <f>EK518/EK$533*100</f>
        <v>28.507795100222715</v>
      </c>
      <c r="EL590" s="72">
        <f>IF(ISERROR(EK590/EC590),"NA",IF(OR(EK590/EC590&gt;2,EK590/EC590&lt;0.5),"NM",EK590/EC590*100-100))</f>
        <v>13.423014105419441</v>
      </c>
      <c r="EM590" s="169">
        <f>EM518/EM$533*100</f>
        <v>30.472350230414747</v>
      </c>
      <c r="EN590" s="72">
        <f>IF(ISERROR(EM590/EE590),"NA",IF(OR(EM590/EE590&gt;2,EM590/EE590&lt;0.5),"NM",EM590/EE590*100-100))</f>
        <v>-1.3890314369874659</v>
      </c>
      <c r="EO590" s="169">
        <f>EO518/EO$533*100</f>
        <v>33.482142857142854</v>
      </c>
      <c r="EP590" s="72">
        <f>IF(ISERROR(EO590/EG590),"NA",IF(OR(EO590/EG590&gt;2,EO590/EG590&lt;0.5),"NM",EO590/EG590*100-100))</f>
        <v>14.172520311442099</v>
      </c>
      <c r="EQ590" s="169">
        <f>EQ518/EQ$533*100</f>
        <v>30.742467350833508</v>
      </c>
      <c r="ER590" s="72">
        <f t="shared" ref="ER590:ER594" si="2830">IF(ISERROR(EQ590/EI590),"NA",IF(OR(EQ590/EI590&gt;2,EQ590/EI590&lt;0.5),"NM",EQ590/EI590*100-100))</f>
        <v>12.521135242361154</v>
      </c>
      <c r="ES590" s="169">
        <f>ES518/ES$533*100</f>
        <v>30.371190503611668</v>
      </c>
      <c r="ET590" s="72">
        <f t="shared" ref="ET590:ET594" si="2831">IF(ISERROR(ES590/EK590),"NA",IF(OR(ES590/EK590&gt;2,ES590/EK590&lt;0.5),"NM",ES590/EK590*100-100))</f>
        <v>6.53644168845031</v>
      </c>
      <c r="EU590" s="169">
        <f>EU518/EU$533*100</f>
        <v>30.754144604612137</v>
      </c>
      <c r="EV590" s="72">
        <f t="shared" ref="EV590:EV594" si="2832">IF(ISERROR(EU590/EM590),"NA",IF(OR(EU590/EM590&gt;2,EU590/EM590&lt;0.5),"NM",EU590/EM590*100-100))</f>
        <v>0.92475431683681109</v>
      </c>
      <c r="EW590" s="169">
        <f>EW518/EW$533*100</f>
        <v>32.785245897823472</v>
      </c>
      <c r="EX590" s="72">
        <f t="shared" ref="EX590:EX594" si="2833">IF(ISERROR(EW590/EO590),"NA",IF(OR(EW590/EO590&gt;2,EW590/EO590&lt;0.5),"NM",EW590/EO590*100-100))</f>
        <v>-2.0813989185005539</v>
      </c>
      <c r="EY590" s="72"/>
      <c r="EZ590" s="296"/>
      <c r="FA590" s="72"/>
      <c r="FB590" s="169"/>
      <c r="FC590" s="11"/>
      <c r="FD590" s="171">
        <f>FD518/FD$533*100</f>
        <v>8.2712985938792389</v>
      </c>
      <c r="FE590" s="72" t="str">
        <f>IF(ISERROR(FD590/FB590),"NA",IF(OR(FD590/FB590&gt;2,FD590/FB590&lt;0.5),"NM",FD590/FB590*100-100))</f>
        <v>NA</v>
      </c>
      <c r="FF590" s="171">
        <f>FF518/FF$533*100</f>
        <v>12.049180327868852</v>
      </c>
      <c r="FG590" s="72">
        <f>IF(ISERROR(FF590/FD590),"NA",IF(OR(FF590/FD590&gt;2,FF590/FD590&lt;0.5),"NM",FF590/FD590*100-100))</f>
        <v>45.674590163934425</v>
      </c>
      <c r="FH590" s="171">
        <f>FH518/FH$533*100</f>
        <v>7.2937968643490114</v>
      </c>
      <c r="FI590" s="72">
        <f>IF(ISERROR(FH590/FF590),"NA",IF(OR(FH590/FF590&gt;2,FH590/FF590&lt;0.5),"NM",FH590/FF590*100-100))</f>
        <v>-39.466447792477588</v>
      </c>
      <c r="FJ590" s="171">
        <f>FJ518/FJ$533*100</f>
        <v>-2.3476802683063163</v>
      </c>
      <c r="FK590" s="72" t="str">
        <f>IF(ISERROR(FJ590/FH590),"NA",IF(OR(FJ590/FH590&gt;2,FJ590/FH590&lt;0.5),"NM",FJ590/FH590*100-100))</f>
        <v>NM</v>
      </c>
      <c r="FL590" s="171">
        <f>FL518/FL$533*100</f>
        <v>12.488083889418494</v>
      </c>
      <c r="FM590" s="72" t="str">
        <f>IF(ISERROR(FL590/FJ590),"NA",IF(OR(FL590/FJ590&gt;2,FL590/FJ590&lt;0.5),"NM",FL590/FJ590*100-100))</f>
        <v>NM</v>
      </c>
      <c r="FN590" s="171">
        <f>FN518/FN$533*100</f>
        <v>14.407407407407408</v>
      </c>
      <c r="FO590" s="72">
        <f>IF(ISERROR(FN590/FL590),"NA",IF(OR(FN590/FL590&gt;2,FN590/FL590&lt;0.5),"NM",FN590/FL590*100-100))</f>
        <v>15.369239468476124</v>
      </c>
      <c r="FP590" s="171">
        <f>FP518/FP$533*100</f>
        <v>11.849456042340488</v>
      </c>
      <c r="FQ590" s="72">
        <f>IF(ISERROR(FP590/FN590),"NA",IF(OR(FP590/FN590&gt;2,FP590/FN590&lt;0.5),"NM",FP590/FN590*100-100))</f>
        <v>-17.75441821511744</v>
      </c>
      <c r="FR590" s="171">
        <f>FR518/FR$533*100</f>
        <v>14.466403162055336</v>
      </c>
      <c r="FS590" s="72">
        <f>IF(ISERROR(FR590/FP590),"NA",IF(OR(FR590/FP590&gt;2,FR590/FP590&lt;0.5),"NM",FR590/FP590*100-100))</f>
        <v>22.084955717494296</v>
      </c>
      <c r="FT590" s="171">
        <f>FT518/FT$533*100</f>
        <v>15.180471702210832</v>
      </c>
      <c r="FU590" s="72">
        <f>IF(ISERROR(FT590/FR590),"NA",IF(OR(FT590/FR590&gt;2,FT590/FR590&lt;0.5),"NM",FT590/FR590*100-100))</f>
        <v>4.9360475589983679</v>
      </c>
      <c r="FV590" s="171">
        <f>FV518/FV$533*100</f>
        <v>18.349753694581281</v>
      </c>
      <c r="FW590" s="72">
        <f>IF(ISERROR(FV590/FT590),"NA",IF(OR(FV590/FT590&gt;2,FV590/FT590&lt;0.5),"NM",FV590/FT590*100-100))</f>
        <v>20.877361748310406</v>
      </c>
      <c r="FX590" s="171">
        <f>FX518/FX$533*100</f>
        <v>16.594911937377692</v>
      </c>
      <c r="FY590" s="72">
        <f>IF(ISERROR(FX590/FV590),"NA",IF(OR(FX590/FV590&gt;2,FX590/FV590&lt;0.5),"NM",FX590/FV590*100-100))</f>
        <v>-9.5632987036866695</v>
      </c>
      <c r="FZ590" s="171">
        <f>FZ518/FZ$533*100</f>
        <v>18.059467918622847</v>
      </c>
      <c r="GA590" s="72">
        <f>IF(ISERROR(FZ590/FX590),"NA",IF(OR(FZ590/FX590&gt;2,FZ590/FX590&lt;0.5),"NM",FZ590/FX590*100-100))</f>
        <v>8.8253314435881407</v>
      </c>
      <c r="GB590" s="171">
        <f>GB518/GB$533*100</f>
        <v>22.003635729760688</v>
      </c>
      <c r="GC590" s="72">
        <f>IF(ISERROR(GB590/FZ590),"NA",IF(OR(GB590/FZ590&gt;2,GB590/FZ590&lt;0.5),"NM",GB590/FZ590*100-100))</f>
        <v>21.839889352834319</v>
      </c>
      <c r="GD590" s="171">
        <f>GD518/GD$533*100</f>
        <v>22.625891009427455</v>
      </c>
      <c r="GE590" s="72">
        <f>IF(ISERROR(GD590/GB590),"NA",IF(OR(GD590/GB590&gt;2,GD590/GB590&lt;0.5),"NM",GD590/GB590*100-100))</f>
        <v>2.8279657385217831</v>
      </c>
      <c r="GF590" s="171">
        <f>GF518/GF$533*100</f>
        <v>24.23660792182865</v>
      </c>
      <c r="GG590" s="72">
        <f>IF(ISERROR(GF590/GD590),"NA",IF(OR(GF590/GD590&gt;2,GF590/GD590&lt;0.5),"NM",GF590/GD590*100-100))</f>
        <v>7.1189104187325114</v>
      </c>
      <c r="GH590" s="171">
        <f>GH518/GH$533*100</f>
        <v>25.15762925598991</v>
      </c>
      <c r="GI590" s="72">
        <f t="shared" ref="GI590:GU594" si="2834">IF(ISERROR(GH590/GF590),"NA",IF(OR(GH590/GF590&gt;2,GH590/GF590&lt;0.5),"NM",GH590/GF590*100-100))</f>
        <v>3.8001247415969601</v>
      </c>
      <c r="GJ590" s="171">
        <f>GJ518/GJ$533*100</f>
        <v>27.228817028243963</v>
      </c>
      <c r="GK590" s="72">
        <f t="shared" si="2834"/>
        <v>8.232841621039924</v>
      </c>
      <c r="GL590" s="171">
        <f>GL518/GL$533*100</f>
        <v>28.017909419665919</v>
      </c>
      <c r="GM590" s="72">
        <f t="shared" si="2834"/>
        <v>2.8980046786588218</v>
      </c>
      <c r="GN590" s="171">
        <f>GN518/GN$533*100</f>
        <v>29.88234595925876</v>
      </c>
      <c r="GO590" s="72">
        <f t="shared" si="2834"/>
        <v>6.6544455964447735</v>
      </c>
      <c r="GP590" s="171">
        <f>GP518/GP$533*100</f>
        <v>31.119801127506292</v>
      </c>
      <c r="GQ590" s="72">
        <f t="shared" si="2834"/>
        <v>4.1410910975151012</v>
      </c>
      <c r="GR590" s="169">
        <f>GR518/GR$533*100</f>
        <v>30.249672871015438</v>
      </c>
      <c r="GS590" s="72">
        <f t="shared" si="2834"/>
        <v>-2.7960598235371208</v>
      </c>
      <c r="GT590" s="169">
        <f>GT518/GT$533*100</f>
        <v>29.504328426567433</v>
      </c>
      <c r="GU590" s="72">
        <f t="shared" si="2834"/>
        <v>-2.4639752225624107</v>
      </c>
      <c r="GV590" s="169">
        <f>GV518/GV$533*100</f>
        <v>28.79239169810614</v>
      </c>
      <c r="GW590" s="72">
        <f>IF(ISERROR(GV590/GT590),"NA",IF(OR(GV590/GT590&gt;2,GV590/GT590&lt;0.5),"NM",GV590/GT590*100-100))</f>
        <v>-2.4129907929719963</v>
      </c>
      <c r="GX590" s="169">
        <f>GX518/GX$533*100</f>
        <v>28.187918103985233</v>
      </c>
      <c r="GY590" s="72">
        <f>IF(ISERROR(GX590/GV590),"NA",IF(OR(GX590/GV590&gt;2,GX590/GV590&lt;0.5),"NM",GX590/GV590*100-100))</f>
        <v>-2.0994212653777851</v>
      </c>
      <c r="GZ590" s="72">
        <f>IF(ISERROR(((GX590/GN590)^0.2-1)*100),"NA",IF((((GX590/GN590)^0.2-1)*100)&gt;100,"NM",IF((((GX590/GN590)^0.2-1)*100)&lt;-50,"NM",((GX590/GN590)^0.2-1)*100)))</f>
        <v>-1.1606996943191672</v>
      </c>
      <c r="HA590" s="72"/>
      <c r="HB590" s="72"/>
      <c r="HC590"/>
      <c r="HD590"/>
      <c r="HE590"/>
      <c r="HF590"/>
      <c r="HG590"/>
      <c r="HH590"/>
      <c r="HI590" s="2"/>
    </row>
    <row r="591" spans="1:217" s="3" customFormat="1" ht="12.75" customHeight="1" x14ac:dyDescent="0.2">
      <c r="A591" s="3" t="s">
        <v>48</v>
      </c>
      <c r="B591" s="10" t="s">
        <v>75</v>
      </c>
      <c r="C591" s="169"/>
      <c r="D591" s="11"/>
      <c r="E591" s="169"/>
      <c r="F591" s="11"/>
      <c r="G591" s="169"/>
      <c r="H591" s="11"/>
      <c r="I591" s="169"/>
      <c r="J591" s="11"/>
      <c r="K591" s="169">
        <f>K519/K$533*100</f>
        <v>16.916488222698074</v>
      </c>
      <c r="L591" s="72" t="str">
        <f>IF(ISERROR(K591/C591),"NA",IF(OR(K591/C591&gt;2,K591/C591&lt;0.5),"NM",K591/C591*100-100))</f>
        <v>NA</v>
      </c>
      <c r="M591" s="169">
        <f>M519/M$533*100</f>
        <v>20.232558139534884</v>
      </c>
      <c r="N591" s="72" t="str">
        <f>IF(ISERROR(M591/E591),"NA",IF(OR(M591/E591&gt;2,M591/E591&lt;0.5),"NM",M591/E591*100-100))</f>
        <v>NA</v>
      </c>
      <c r="O591" s="169">
        <f>O519/O$533*100</f>
        <v>24.203821656050955</v>
      </c>
      <c r="P591" s="72" t="str">
        <f>IF(ISERROR(O591/G591),"NA",IF(OR(O591/G591&gt;2,O591/G591&lt;0.5),"NM",O591/G591*100-100))</f>
        <v>NA</v>
      </c>
      <c r="Q591" s="169">
        <f>Q519/Q$533*100</f>
        <v>12.015503875968992</v>
      </c>
      <c r="R591" s="72" t="str">
        <f>IF(ISERROR(Q591/I591),"NA",IF(OR(Q591/I591&gt;2,Q591/I591&lt;0.5),"NM",Q591/I591*100-100))</f>
        <v>NA</v>
      </c>
      <c r="S591" s="169">
        <f>S519/S$533*100</f>
        <v>23.684210526315788</v>
      </c>
      <c r="T591" s="72">
        <f>IF(ISERROR(S591/K591),"NA",IF(OR(S591/K591&gt;2,S591/K591&lt;0.5),"NM",S591/K591*100-100))</f>
        <v>40.006662225183192</v>
      </c>
      <c r="U591" s="169">
        <f>U519/U$533*100</f>
        <v>27.718550106609808</v>
      </c>
      <c r="V591" s="72">
        <f>IF(ISERROR(U591/M591),"NA",IF(OR(U591/M591&gt;2,U591/M591&lt;0.5),"NM",U591/M591*100-100))</f>
        <v>36.999730411979499</v>
      </c>
      <c r="W591" s="169">
        <f>W519/W$533*100</f>
        <v>26.018099547511316</v>
      </c>
      <c r="X591" s="72">
        <f>IF(ISERROR(W591/O591),"NA",IF(OR(W591/O591&gt;2,W591/O591&lt;0.5),"NM",W591/O591*100-100))</f>
        <v>7.4958323410335908</v>
      </c>
      <c r="Y591" s="169">
        <f>Y519/Y$533*100</f>
        <v>18.617021276595743</v>
      </c>
      <c r="Z591" s="72">
        <f>IF(ISERROR(Y591/Q591),"NA",IF(OR(Y591/Q591&gt;2,Y591/Q591&lt;0.5),"NM",Y591/Q591*100-100))</f>
        <v>54.941660947151661</v>
      </c>
      <c r="AA591" s="169">
        <f>AA519/AA$533*100</f>
        <v>23.245614035087719</v>
      </c>
      <c r="AB591" s="72">
        <f>IF(ISERROR(AA591/S591),"NA",IF(OR(AA591/S591&gt;2,AA591/S591&lt;0.5),"NM",AA591/S591*100-100))</f>
        <v>-1.8518518518518476</v>
      </c>
      <c r="AC591" s="169">
        <f>AC519/AC$533*100</f>
        <v>20.545454545454543</v>
      </c>
      <c r="AD591" s="72">
        <f>IF(ISERROR(AC591/U591),"NA",IF(OR(AC591/U591&gt;2,AC591/U591&lt;0.5),"NM",AC591/U591*100-100))</f>
        <v>-25.878321678321683</v>
      </c>
      <c r="AE591" s="169">
        <f>AE519/AE$533*100</f>
        <v>14.450867052023122</v>
      </c>
      <c r="AF591" s="72">
        <f>IF(ISERROR(AE591/W591),"NA",IF(OR(AE591/W591&gt;2,AE591/W591&lt;0.5),"NM",AE591/W591*100-100))</f>
        <v>-44.458406634832883</v>
      </c>
      <c r="AG591" s="169">
        <f>AG519/AG$533*100</f>
        <v>11.209964412811388</v>
      </c>
      <c r="AH591" s="72">
        <f>IF(ISERROR(AG591/Y591),"NA",IF(OR(AG591/Y591&gt;2,AG591/Y591&lt;0.5),"NM",AG591/Y591*100-100))</f>
        <v>-39.786476868327391</v>
      </c>
      <c r="AI591" s="169">
        <f>AI519/AI$533*100</f>
        <v>15.425531914893616</v>
      </c>
      <c r="AJ591" s="72">
        <f>IF(ISERROR(AI591/AA591),"NA",IF(OR(AI591/AA591&gt;2,AI591/AA591&lt;0.5),"NM",AI591/AA591*100-100))</f>
        <v>-33.641107988759529</v>
      </c>
      <c r="AK591" s="169">
        <f>AK519/AK$533*100</f>
        <v>13.55463347164592</v>
      </c>
      <c r="AL591" s="72">
        <f>IF(ISERROR(AK591/AC591),"NA",IF(OR(AK591/AC591&gt;2,AK591/AC591&lt;0.5),"NM",AK591/AC591*100-100))</f>
        <v>-34.026120270749942</v>
      </c>
      <c r="AM591" s="169">
        <f>AM519/AM$533*100</f>
        <v>14.185393258426968</v>
      </c>
      <c r="AN591" s="72">
        <f>IF(ISERROR(AM591/AE591),"NA",IF(OR(AM591/AE591&gt;2,AM591/AE591&lt;0.5),"NM",AM591/AE591*100-100))</f>
        <v>-1.8370786516853883</v>
      </c>
      <c r="AO591" s="169">
        <f>AO519/AO$533*100</f>
        <v>13.055954088952653</v>
      </c>
      <c r="AP591" s="72">
        <f>IF(ISERROR(AO591/AG591),"NA",IF(OR(AO591/AG591&gt;2,AO591/AG591&lt;0.5),"NM",AO591/AG591*100-100))</f>
        <v>16.46739996811732</v>
      </c>
      <c r="AQ591" s="169">
        <f>AQ519/AQ$533*100</f>
        <v>11.826544021024969</v>
      </c>
      <c r="AR591" s="72">
        <f>IF(ISERROR(AQ591/AI591),"NA",IF(OR(AQ591/AI591&gt;2,AQ591/AI591&lt;0.5),"NM",AQ591/AI591*100-100))</f>
        <v>-23.331369794734684</v>
      </c>
      <c r="AS591" s="169">
        <f>AS519/AS$533*100</f>
        <v>12.779156327543426</v>
      </c>
      <c r="AT591" s="72">
        <f>IF(ISERROR(AS591/AK591),"NA",IF(OR(AS591/AK591&gt;2,AS591/AK591&lt;0.5),"NM",AS591/AK591*100-100))</f>
        <v>-5.7211221957765588</v>
      </c>
      <c r="AU591" s="169">
        <f>AU519/AU$533*100</f>
        <v>12.214611872146119</v>
      </c>
      <c r="AV591" s="72">
        <f>IF(ISERROR(AU591/AM591),"NA",IF(OR(AU591/AM591&gt;2,AU591/AM591&lt;0.5),"NM",AU591/AM591*100-100))</f>
        <v>-13.893033138930349</v>
      </c>
      <c r="AW591" s="169">
        <f>AW519/AW$533*100</f>
        <v>15.106382978723405</v>
      </c>
      <c r="AX591" s="72">
        <f>IF(ISERROR(AW591/AO591),"NA",IF(OR(AW591/AO591&gt;2,AW591/AO591&lt;0.5),"NM",AW591/AO591*100-100))</f>
        <v>15.704933364507838</v>
      </c>
      <c r="AY591" s="169">
        <f>AY519/AY$533*100</f>
        <v>12.225705329153605</v>
      </c>
      <c r="AZ591" s="72">
        <f>IF(ISERROR(AY591/AQ591),"NA",IF(OR(AY591/AQ591&gt;2,AY591/AQ591&lt;0.5),"NM",AY591/AQ591*100-100))</f>
        <v>3.3751306165099209</v>
      </c>
      <c r="BA591" s="169">
        <f>BA519/BA$533*100</f>
        <v>10.839532412327312</v>
      </c>
      <c r="BB591" s="72">
        <f>IF(ISERROR(BA591/AS591),"NA",IF(OR(BA591/AS591&gt;2,BA591/AS591&lt;0.5),"NM",BA591/AS591*100-100))</f>
        <v>-15.178027919069777</v>
      </c>
      <c r="BC591" s="169">
        <f>BC519/BC$533*100</f>
        <v>11.876988335100743</v>
      </c>
      <c r="BD591" s="72">
        <f>IF(ISERROR(BC591/AU591),"NA",IF(OR(BC591/AU591&gt;2,BC591/AU591&lt;0.5),"NM",BC591/AU591*100-100))</f>
        <v>-2.7640954995490574</v>
      </c>
      <c r="BE591" s="169">
        <f>BE519/BE$533*100</f>
        <v>13.580246913580247</v>
      </c>
      <c r="BF591" s="72">
        <f>IF(ISERROR(BE591/AW591),"NA",IF(OR(BE591/AW591&gt;2,BE591/AW591&lt;0.5),"NM",BE591/AW591*100-100))</f>
        <v>-10.102590853764568</v>
      </c>
      <c r="BG591" s="169">
        <f>BG519/BG$533*100</f>
        <v>9.6227134146341466</v>
      </c>
      <c r="BH591" s="72">
        <f>IF(ISERROR(BG591/AY591),"NA",IF(OR(BG591/AY591&gt;2,BG591/AY591&lt;0.5),"NM",BG591/AY591*100-100))</f>
        <v>-21.291138993120697</v>
      </c>
      <c r="BI591" s="169">
        <f>BI519/BI$533*100</f>
        <v>12.864963503649635</v>
      </c>
      <c r="BJ591" s="72">
        <f>IF(ISERROR(BI591/BA591),"NA",IF(OR(BI591/BA591&gt;2,BI591/BA591&lt;0.5),"NM",BI591/BA591*100-100))</f>
        <v>18.685594675826536</v>
      </c>
      <c r="BK591" s="169">
        <f>BK519/BK$533*100</f>
        <v>13.435114503816795</v>
      </c>
      <c r="BL591" s="72">
        <f>IF(ISERROR(BK591/BC591),"NA",IF(OR(BK591/BC591&gt;2,BK591/BC591&lt;0.5),"NM",BK591/BC591*100-100))</f>
        <v>13.118865866957478</v>
      </c>
      <c r="BM591" s="169">
        <f>BM519/BM$533*100</f>
        <v>11.328790459965928</v>
      </c>
      <c r="BN591" s="72">
        <f>IF(ISERROR(BM591/BE591),"NA",IF(OR(BM591/BE591&gt;2,BM591/BE591&lt;0.5),"NM",BM591/BE591*100-100))</f>
        <v>-16.578906612978159</v>
      </c>
      <c r="BO591" s="169">
        <f>BO519/BO$533*100</f>
        <v>10.191082802547772</v>
      </c>
      <c r="BP591" s="72">
        <f>IF(ISERROR(BO591/BG591),"NA",IF(OR(BO591/BG591&gt;2,BO591/BG591&lt;0.5),"NM",BO591/BG591*100-100))</f>
        <v>5.9065396985558607</v>
      </c>
      <c r="BQ591" s="169">
        <f>BQ519/BQ$533*100</f>
        <v>9.5903165735567963</v>
      </c>
      <c r="BR591" s="72">
        <f>IF(ISERROR(BQ591/BI591),"NA",IF(OR(BQ591/BI591&gt;2,BQ591/BI591&lt;0.5),"NM",BQ591/BI591*100-100))</f>
        <v>-25.453993158735827</v>
      </c>
      <c r="BS591" s="169">
        <f>BS519/BS$533*100</f>
        <v>11.041666666666666</v>
      </c>
      <c r="BT591" s="72">
        <f>IF(ISERROR(BS591/BK591),"NA",IF(OR(BS591/BK591&gt;2,BS591/BK591&lt;0.5),"NM",BS591/BK591*100-100))</f>
        <v>-17.814867424242436</v>
      </c>
      <c r="BU591" s="169">
        <f>BU519/BU$533*100</f>
        <v>1.5652173913043479</v>
      </c>
      <c r="BV591" s="72" t="str">
        <f>IF(ISERROR(BU591/BM591),"NA",IF(OR(BU591/BM591&gt;2,BU591/BM591&lt;0.5),"NM",BU591/BM591*100-100))</f>
        <v>NM</v>
      </c>
      <c r="BW591" s="169">
        <f>BW519/BW$533*100</f>
        <v>11.745513866231647</v>
      </c>
      <c r="BX591" s="72">
        <f>IF(ISERROR(BW591/BO591),"NA",IF(OR(BW591/BO591&gt;2,BW591/BO591&lt;0.5),"NM",BW591/BO591*100-100))</f>
        <v>15.252854812398027</v>
      </c>
      <c r="BY591" s="169">
        <f>BY519/BY$533*100</f>
        <v>16.106442577030812</v>
      </c>
      <c r="BZ591" s="72">
        <f>IF(ISERROR(BY591/BQ591),"NA",IF(OR(BY591/BQ591&gt;2,BY591/BQ591&lt;0.5),"NM",BY591/BQ591*100-100))</f>
        <v>67.944847842049427</v>
      </c>
      <c r="CA591" s="169">
        <f>CA519/CA$533*100</f>
        <v>12.81437125748503</v>
      </c>
      <c r="CB591" s="72">
        <f>IF(ISERROR(CA591/BS591),"NA",IF(OR(CA591/BS591&gt;2,CA591/BS591&lt;0.5),"NM",CA591/BS591*100-100))</f>
        <v>16.05468308665688</v>
      </c>
      <c r="CC591" s="169">
        <f>CC519/CC$533*100</f>
        <v>20.55393586005831</v>
      </c>
      <c r="CD591" s="72" t="str">
        <f>IF(ISERROR(CC591/BU591),"NA",IF(OR(CC591/BU591&gt;2,CC591/BU591&lt;0.5),"NM",CC591/BU591*100-100))</f>
        <v>NM</v>
      </c>
      <c r="CE591" s="169">
        <f>CE519/CE$533*100</f>
        <v>11.360634081902246</v>
      </c>
      <c r="CF591" s="72">
        <f>IF(ISERROR(CE591/BW591),"NA",IF(OR(CE591/BW591&gt;2,CE591/BW591&lt;0.5),"NM",CE591/BW591*100-100))</f>
        <v>-3.2768237193600385</v>
      </c>
      <c r="CG591" s="169">
        <f>CG519/CG$533*100</f>
        <v>16.892725030826142</v>
      </c>
      <c r="CH591" s="72">
        <f>IF(ISERROR(CG591/BY591),"NA",IF(OR(CG591/BY591&gt;2,CG591/BY591&lt;0.5),"NM",CG591/BY591*100-100))</f>
        <v>4.8817884522597126</v>
      </c>
      <c r="CI591" s="169">
        <f>CI519/CI$533*100</f>
        <v>13.90728476821192</v>
      </c>
      <c r="CJ591" s="72">
        <f>IF(ISERROR(CI591/CA591),"NA",IF(OR(CI591/CA591&gt;2,CI591/CA591&lt;0.5),"NM",CI591/CA591*100-100))</f>
        <v>8.5288110416537677</v>
      </c>
      <c r="CK591" s="169">
        <f>CK519/CK$533*100</f>
        <v>15.137614678899084</v>
      </c>
      <c r="CL591" s="72">
        <f>IF(ISERROR(CK591/CC591),"NA",IF(OR(CK591/CC591&gt;2,CK591/CC591&lt;0.5),"NM",CK591/CC591*100-100))</f>
        <v>-26.351747023228583</v>
      </c>
      <c r="CM591" s="169">
        <f>CM519/CM$533*100</f>
        <v>10.319048120459092</v>
      </c>
      <c r="CN591" s="72">
        <f>IF(ISERROR(CM591/CE591),"NA",IF(OR(CM591/CE591&gt;2,CM591/CE591&lt;0.5),"NM",CM591/CE591*100-100))</f>
        <v>-9.1683787536333483</v>
      </c>
      <c r="CO591" s="169">
        <f>CO519/CO$533*100</f>
        <v>12.217194570135746</v>
      </c>
      <c r="CP591" s="72">
        <f>IF(ISERROR(CO591/CG591),"NA",IF(OR(CO591/CG591&gt;2,CO591/CG591&lt;0.5),"NM",CO591/CG591*100-100))</f>
        <v>-27.677775208904464</v>
      </c>
      <c r="CQ591" s="169">
        <f>CQ519/CQ$533*100</f>
        <v>8.5452695829094605</v>
      </c>
      <c r="CR591" s="72">
        <f>IF(ISERROR(CQ591/CI591),"NA",IF(OR(CQ591/CI591&gt;2,CQ591/CI591&lt;0.5),"NM",CQ591/CI591*100-100))</f>
        <v>-38.555442522889116</v>
      </c>
      <c r="CS591" s="169">
        <f>CS519/CS$533*100</f>
        <v>13.0879345603272</v>
      </c>
      <c r="CT591" s="72">
        <f>IF(ISERROR(CS591/CK591),"NA",IF(OR(CS591/CK591&gt;2,CS591/CK591&lt;0.5),"NM",CS591/CK591*100-100))</f>
        <v>-13.540311086323356</v>
      </c>
      <c r="CU591" s="169">
        <f>CU519/CU$533*100</f>
        <v>12.068965517241379</v>
      </c>
      <c r="CV591" s="72">
        <f>IF(ISERROR(CU591/CM591),"NA",IF(OR(CU591/CM591&gt;2,CU591/CM591&lt;0.5),"NM",CU591/CM591*100-100))</f>
        <v>16.958128078817737</v>
      </c>
      <c r="CW591" s="169">
        <f>CW519/CW$533*100</f>
        <v>5.5353901996370229</v>
      </c>
      <c r="CX591" s="72" t="str">
        <f>IF(ISERROR(CW591/CO591),"NA",IF(OR(CW591/CO591&gt;2,CW591/CO591&lt;0.5),"NM",CW591/CO591*100-100))</f>
        <v>NM</v>
      </c>
      <c r="CY591" s="169">
        <f>CY519/CY$533*100</f>
        <v>11.710193765796124</v>
      </c>
      <c r="CZ591" s="72">
        <f>IF(ISERROR(CY591/CQ591),"NA",IF(OR(CY591/CQ591&gt;2,CY591/CQ591&lt;0.5),"NM",CY591/CQ591*100-100))</f>
        <v>37.037148473542743</v>
      </c>
      <c r="DA591" s="169">
        <f>DA519/DA$533*100</f>
        <v>10.070671378091872</v>
      </c>
      <c r="DB591" s="72">
        <f>IF(ISERROR(DA591/CS591),"NA",IF(OR(DA591/CS591&gt;2,DA591/CS591&lt;0.5),"NM",DA591/CS591*100-100))</f>
        <v>-23.053776501766805</v>
      </c>
      <c r="DC591" s="169">
        <f>DC519/DC$533*100</f>
        <v>10.568513119533527</v>
      </c>
      <c r="DD591" s="72">
        <f>IF(ISERROR(DC591/CU591),"NA",IF(OR(DC591/CU591&gt;2,DC591/CU591&lt;0.5),"NM",DC591/CU591*100-100))</f>
        <v>-12.432319866722196</v>
      </c>
      <c r="DE591" s="169">
        <f>DE519/DE$533*100</f>
        <v>11.086797957695113</v>
      </c>
      <c r="DF591" s="72" t="str">
        <f>IF(ISERROR(DE591/CW591),"NA",IF(OR(DE591/CW591&gt;2,DE591/CW591&lt;0.5),"NM",DE591/CW591*100-100))</f>
        <v>NM</v>
      </c>
      <c r="DG591" s="169">
        <f>DG519/DG$533*100</f>
        <v>9.5709570957095718</v>
      </c>
      <c r="DH591" s="72">
        <f>IF(ISERROR(DG591/CY591),"NA",IF(OR(DG591/CY591&gt;2,DG591/CY591&lt;0.5),"NM",DG591/CY591*100-100))</f>
        <v>-18.268157751026891</v>
      </c>
      <c r="DI591" s="169">
        <f>DI519/DI$533*100</f>
        <v>11.201629327902241</v>
      </c>
      <c r="DJ591" s="72">
        <f>IF(ISERROR(DI591/DA591),"NA",IF(OR(DI591/DA591&gt;2,DI591/DA591&lt;0.5),"NM",DI591/DA591*100-100))</f>
        <v>11.230214027941557</v>
      </c>
      <c r="DK591" s="169">
        <f>DK519/DK$533*100</f>
        <v>8.2301980198019802</v>
      </c>
      <c r="DL591" s="72">
        <f>IF(ISERROR(DK591/DC591),"NA",IF(OR(DK591/DC591&gt;2,DK591/DC591&lt;0.5),"NM",DK591/DC591*100-100))</f>
        <v>-22.125298736770233</v>
      </c>
      <c r="DM591" s="169">
        <f>DM519/DM$533*100</f>
        <v>10.152905198776759</v>
      </c>
      <c r="DN591" s="72">
        <f>IF(ISERROR(DM591/DE591),"NA",IF(OR(DM591/DE591&gt;2,DM591/DE591&lt;0.5),"NM",DM591/DE591*100-100))</f>
        <v>-8.423466924191203</v>
      </c>
      <c r="DO591" s="169">
        <f>DO519/DO$533*100</f>
        <v>10.519724483406387</v>
      </c>
      <c r="DP591" s="72">
        <f>IF(ISERROR(DO591/DG591),"NA",IF(OR(DO591/DG591&gt;2,DO591/DG591&lt;0.5),"NM",DO591/DG591*100-100))</f>
        <v>9.9129833955908566</v>
      </c>
      <c r="DQ591" s="169">
        <f>DQ519/DQ$533*100</f>
        <v>9.0240641711229941</v>
      </c>
      <c r="DR591" s="72">
        <f>IF(ISERROR(DQ591/DI591),"NA",IF(OR(DQ591/DI591&gt;2,DQ591/DI591&lt;0.5),"NM",DQ591/DI591*100-100))</f>
        <v>-19.439718035974735</v>
      </c>
      <c r="DS591" s="169">
        <f>DS519/DS$533*100</f>
        <v>7.5849514563106792</v>
      </c>
      <c r="DT591" s="72">
        <f>IF(ISERROR(DS591/DK591),"NA",IF(OR(DS591/DK591&gt;2,DS591/DK591&lt;0.5),"NM",DS591/DK591*100-100))</f>
        <v>-7.8399883203153564</v>
      </c>
      <c r="DU591" s="169">
        <f>DU519/DU$533*100</f>
        <v>10.805860805860807</v>
      </c>
      <c r="DV591" s="72">
        <f>IF(ISERROR(DU591/DM591),"NA",IF(OR(DU591/DM591&gt;2,DU591/DM591&lt;0.5),"NM",DU591/DM591*100-100))</f>
        <v>6.4312193830266153</v>
      </c>
      <c r="DW591" s="169">
        <f>DW519/DW$533*100</f>
        <v>11.829347123464769</v>
      </c>
      <c r="DX591" s="72">
        <f>IF(ISERROR(DW591/DO591),"NA",IF(OR(DW591/DO591&gt;2,DW591/DO591&lt;0.5),"NM",DW591/DO591*100-100))</f>
        <v>12.449210453412121</v>
      </c>
      <c r="DY591" s="169">
        <f>DY519/DY$533*100</f>
        <v>9.3369948999607679</v>
      </c>
      <c r="DZ591" s="72">
        <f>IF(ISERROR(DY591/DQ591),"NA",IF(OR(DY591/DQ591&gt;2,DY591/DQ591&lt;0.5),"NM",DY591/DQ591*100-100))</f>
        <v>3.4677360766022929</v>
      </c>
      <c r="EA591" s="169">
        <f>EA519/EA$533*100</f>
        <v>11.595221363316936</v>
      </c>
      <c r="EB591" s="72">
        <f>IF(ISERROR(EA591/DS591),"NA",IF(OR(EA591/DS591&gt;2,EA591/DS591&lt;0.5),"NM",EA591/DS591*100-100))</f>
        <v>52.8713984539705</v>
      </c>
      <c r="EC591" s="169">
        <f>EC519/EC$533*100</f>
        <v>8.713136729222521</v>
      </c>
      <c r="ED591" s="72">
        <f>IF(ISERROR(EC591/DU591),"NA",IF(OR(EC591/DU591&gt;2,EC591/DU591&lt;0.5),"NM",EC591/DU591*100-100))</f>
        <v>-19.36656518380515</v>
      </c>
      <c r="EE591" s="169">
        <f>EE519/EE$533*100</f>
        <v>7.6393668272539568</v>
      </c>
      <c r="EF591" s="72">
        <f>IF(ISERROR(EE591/DW591),"NA",IF(OR(EE591/DW591&gt;2,EE591/DW591&lt;0.5),"NM",EE591/DW591*100-100))</f>
        <v>-35.420215946656427</v>
      </c>
      <c r="EG591" s="169">
        <f>EG519/EG$533*100</f>
        <v>9.5899930507296745</v>
      </c>
      <c r="EH591" s="72">
        <f>IF(ISERROR(EG591/DY591),"NA",IF(OR(EG591/DY591&gt;2,EG591/DY591&lt;0.5),"NM",EG591/DY591*100-100))</f>
        <v>2.7096314550837803</v>
      </c>
      <c r="EI591" s="169">
        <f>EI519/EI$533*100</f>
        <v>7.1946832510212788</v>
      </c>
      <c r="EJ591" s="72">
        <f>IF(ISERROR(EI591/EA591),"NA",IF(OR(EI591/EA591&gt;2,EI591/EA591&lt;0.5),"NM",EI591/EA591*100-100))</f>
        <v>-37.951307477555886</v>
      </c>
      <c r="EK591" s="169">
        <f>EK519/EK$533*100</f>
        <v>5.3452115812917596</v>
      </c>
      <c r="EL591" s="72">
        <f>IF(ISERROR(EK591/EC591),"NA",IF(OR(EK591/EC591&gt;2,EK591/EC591&lt;0.5),"NM",EK591/EC591*100-100))</f>
        <v>-38.653417851636121</v>
      </c>
      <c r="EM591" s="169">
        <f>EM519/EM$533*100</f>
        <v>8.6405529953917046</v>
      </c>
      <c r="EN591" s="72">
        <f>IF(ISERROR(EM591/EE591),"NA",IF(OR(EM591/EE591&gt;2,EM591/EE591&lt;0.5),"NM",EM591/EE591*100-100))</f>
        <v>13.105617137875214</v>
      </c>
      <c r="EO591" s="169">
        <f>EO519/EO$533*100</f>
        <v>6.25</v>
      </c>
      <c r="EP591" s="72">
        <f>IF(ISERROR(EO591/EG591),"NA",IF(OR(EO591/EG591&gt;2,EO591/EG591&lt;0.5),"NM",EO591/EG591*100-100))</f>
        <v>-34.82789855072464</v>
      </c>
      <c r="EQ591" s="169">
        <f>EQ519/EQ$533*100</f>
        <v>5.5703564015694402</v>
      </c>
      <c r="ER591" s="72">
        <f>IF(ISERROR(EQ591/EI591),"NA",IF(OR(EQ591/EI591&gt;2,EQ591/EI591&lt;0.5),"NM",EQ591/EI591*100-100))</f>
        <v>-22.576766659203045</v>
      </c>
      <c r="ES591" s="169">
        <f>ES519/ES$533*100</f>
        <v>6.5971073939001048</v>
      </c>
      <c r="ET591" s="72">
        <f>IF(ISERROR(ES591/EK591),"NA",IF(OR(ES591/EK591&gt;2,ES591/EK591&lt;0.5),"NM",ES591/EK591*100-100))</f>
        <v>23.42088416088113</v>
      </c>
      <c r="EU591" s="169">
        <f>EU519/EU$533*100</f>
        <v>6.6794629694865906</v>
      </c>
      <c r="EV591" s="72">
        <f>IF(ISERROR(EU591/EM591),"NA",IF(OR(EU591/EM591&gt;2,EU591/EM591&lt;0.5),"NM",EU591/EM591*100-100))</f>
        <v>-22.696348566475194</v>
      </c>
      <c r="EW591" s="169">
        <f>EW519/EW$533*100</f>
        <v>7.3416845376653734</v>
      </c>
      <c r="EX591" s="72">
        <f>IF(ISERROR(EW591/EO591),"NA",IF(OR(EW591/EO591&gt;2,EW591/EO591&lt;0.5),"NM",EW591/EO591*100-100))</f>
        <v>17.466952602645975</v>
      </c>
      <c r="EY591" s="72"/>
      <c r="EZ591" s="296"/>
      <c r="FA591" s="72"/>
      <c r="FB591" s="169"/>
      <c r="FC591" s="11"/>
      <c r="FD591" s="171">
        <f>FD519/FD$533*100</f>
        <v>9.67741935483871</v>
      </c>
      <c r="FE591" s="72" t="str">
        <f>IF(ISERROR(FD591/FB591),"NA",IF(OR(FD591/FB591&gt;2,FD591/FB591&lt;0.5),"NM",FD591/FB591*100-100))</f>
        <v>NA</v>
      </c>
      <c r="FF591" s="171">
        <f>FF519/FF$533*100</f>
        <v>9.3442622950819683</v>
      </c>
      <c r="FG591" s="72">
        <f>IF(ISERROR(FF591/FD591),"NA",IF(OR(FF591/FD591&gt;2,FF591/FD591&lt;0.5),"NM",FF591/FD591*100-100))</f>
        <v>-3.4426229508196684</v>
      </c>
      <c r="FH591" s="171">
        <f>FH519/FH$533*100</f>
        <v>18.609406952965234</v>
      </c>
      <c r="FI591" s="72">
        <f>IF(ISERROR(FH591/FF591),"NA",IF(OR(FH591/FF591&gt;2,FH591/FF591&lt;0.5),"NM",FH591/FF591*100-100))</f>
        <v>99.153302479101626</v>
      </c>
      <c r="FJ591" s="171">
        <f>FJ519/FJ$533*100</f>
        <v>24.147568474007823</v>
      </c>
      <c r="FK591" s="72">
        <f>IF(ISERROR(FJ591/FH591),"NA",IF(OR(FJ591/FH591&gt;2,FJ591/FH591&lt;0.5),"NM",FJ591/FH591*100-100))</f>
        <v>29.760010810877191</v>
      </c>
      <c r="FL591" s="171">
        <f>FL519/FL$533*100</f>
        <v>17.016205910390848</v>
      </c>
      <c r="FM591" s="72">
        <f>IF(ISERROR(FL591/FJ591),"NA",IF(OR(FL591/FJ591&gt;2,FL591/FJ591&lt;0.5),"NM",FL591/FJ591*100-100))</f>
        <v>-29.532425060904558</v>
      </c>
      <c r="FN591" s="171">
        <f>FN519/FN$533*100</f>
        <v>13.962962962962964</v>
      </c>
      <c r="FO591" s="72">
        <f>IF(ISERROR(FN591/FL591),"NA",IF(OR(FN591/FL591&gt;2,FN591/FL591&lt;0.5),"NM",FN591/FL591*100-100))</f>
        <v>-17.943147629422128</v>
      </c>
      <c r="FP591" s="171">
        <f>FP519/FP$533*100</f>
        <v>12.996177594825051</v>
      </c>
      <c r="FQ591" s="72">
        <f>IF(ISERROR(FP591/FN591),"NA",IF(OR(FP591/FN591&gt;2,FP591/FN591&lt;0.5),"NM",FP591/FN591*100-100))</f>
        <v>-6.9239270397144992</v>
      </c>
      <c r="FR591" s="171">
        <f>FR519/FR$533*100</f>
        <v>12.20026350461133</v>
      </c>
      <c r="FS591" s="72">
        <f>IF(ISERROR(FR591/FP591),"NA",IF(OR(FR591/FP591&gt;2,FR591/FP591&lt;0.5),"NM",FR591/FP591*100-100))</f>
        <v>-6.1242167891784334</v>
      </c>
      <c r="FT591" s="171">
        <f>FT519/FT$533*100</f>
        <v>11.966294574990226</v>
      </c>
      <c r="FU591" s="72">
        <f>IF(ISERROR(FT591/FR591),"NA",IF(OR(FT591/FR591&gt;2,FT591/FR591&lt;0.5),"NM",FT591/FR591*100-100))</f>
        <v>-1.9177366909548397</v>
      </c>
      <c r="FV591" s="171">
        <f>FV519/FV$533*100</f>
        <v>10.190886699507388</v>
      </c>
      <c r="FW591" s="72">
        <f>IF(ISERROR(FV591/FT591),"NA",IF(OR(FV591/FT591&gt;2,FV591/FT591&lt;0.5),"NM",FV591/FT591*100-100))</f>
        <v>-14.836738844733716</v>
      </c>
      <c r="FX591" s="171">
        <f>FX519/FX$533*100</f>
        <v>15.146771037181997</v>
      </c>
      <c r="FY591" s="72">
        <f>IF(ISERROR(FX591/FV591),"NA",IF(OR(FX591/FV591&gt;2,FX591/FV591&lt;0.5),"NM",FX591/FV591*100-100))</f>
        <v>48.630550842196783</v>
      </c>
      <c r="FZ591" s="171">
        <f>FZ519/FZ$533*100</f>
        <v>14.397496087636933</v>
      </c>
      <c r="GA591" s="72">
        <f>IF(ISERROR(FZ591/FX591),"NA",IF(OR(FZ591/FX591&gt;2,FZ591/FX591&lt;0.5),"NM",FZ591/FX591*100-100))</f>
        <v>-4.9467635557820131</v>
      </c>
      <c r="GB591" s="171">
        <f>GB519/GB$533*100</f>
        <v>11.081505092511891</v>
      </c>
      <c r="GC591" s="72">
        <f>IF(ISERROR(GB591/FZ591),"NA",IF(OR(GB591/FZ591&gt;2,GB591/FZ591&lt;0.5),"NM",GB591/FZ591*100-100))</f>
        <v>-23.031720063966318</v>
      </c>
      <c r="GD591" s="171">
        <f>GD519/GD$533*100</f>
        <v>9.7953552540813984</v>
      </c>
      <c r="GE591" s="72">
        <f>IF(ISERROR(GD591/GB591),"NA",IF(OR(GD591/GB591&gt;2,GD591/GB591&lt;0.5),"NM",GD591/GB591*100-100))</f>
        <v>-11.606273946483896</v>
      </c>
      <c r="GF591" s="171">
        <f>GF519/GF$533*100</f>
        <v>10.591519804571629</v>
      </c>
      <c r="GG591" s="72">
        <f>IF(ISERROR(GF591/GD591),"NA",IF(OR(GF591/GD591&gt;2,GF591/GD591&lt;0.5),"NM",GF591/GD591*100-100))</f>
        <v>8.127980352305201</v>
      </c>
      <c r="GH591" s="171">
        <f>GH519/GH$533*100</f>
        <v>9.4892812105926865</v>
      </c>
      <c r="GI591" s="72">
        <f>IF(ISERROR(GH591/GF591),"NA",IF(OR(GH591/GF591&gt;2,GH591/GF591&lt;0.5),"NM",GH591/GF591*100-100))</f>
        <v>-10.406802935903329</v>
      </c>
      <c r="GJ591" s="171">
        <f>GJ519/GJ$533*100</f>
        <v>9.8894801473598033</v>
      </c>
      <c r="GK591" s="72">
        <f>IF(ISERROR(GJ591/GH591),"NA",IF(OR(GJ591/GH591&gt;2,GJ591/GH591&lt;0.5),"NM",GJ591/GH591*100-100))</f>
        <v>4.2173788286554696</v>
      </c>
      <c r="GL591" s="171">
        <f>GL519/GL$533*100</f>
        <v>9.3680041329429997</v>
      </c>
      <c r="GM591" s="72">
        <f>IF(ISERROR(GL591/GJ591),"NA",IF(OR(GL591/GJ591&gt;2,GL591/GJ591&lt;0.5),"NM",GL591/GJ591*100-100))</f>
        <v>-5.2730376788917681</v>
      </c>
      <c r="GN591" s="171">
        <f>GN519/GN$533*100</f>
        <v>6.8544977077491422</v>
      </c>
      <c r="GO591" s="72">
        <f>IF(ISERROR(GN591/GL591),"NA",IF(OR(GN591/GL591&gt;2,GN591/GL591&lt;0.5),"NM",GN591/GL591*100-100))</f>
        <v>-26.830757005699866</v>
      </c>
      <c r="GP591" s="171">
        <f>GP519/GP$533*100</f>
        <v>6.5259783341113948</v>
      </c>
      <c r="GQ591" s="72">
        <f>IF(ISERROR(GP591/GN591),"NA",IF(OR(GP591/GN591&gt;2,GP591/GN591&lt;0.5),"NM",GP591/GN591*100-100))</f>
        <v>-4.7927563425449762</v>
      </c>
      <c r="GR591" s="169">
        <f>GR519/GR$533*100</f>
        <v>6.392309154840917</v>
      </c>
      <c r="GS591" s="72">
        <f>IF(ISERROR(GR591/GP591),"NA",IF(OR(GR591/GP591&gt;2,GR591/GP591&lt;0.5),"NM",GR591/GP591*100-100))</f>
        <v>-2.0482626883970312</v>
      </c>
      <c r="GT591" s="169">
        <f>GT519/GT$533*100</f>
        <v>6.2551139490842438</v>
      </c>
      <c r="GU591" s="72">
        <f>IF(ISERROR(GT591/GR591),"NA",IF(OR(GT591/GR591&gt;2,GT591/GR591&lt;0.5),"NM",GT591/GR591*100-100))</f>
        <v>-2.1462542319746092</v>
      </c>
      <c r="GV591" s="169">
        <f>GV519/GV$533*100</f>
        <v>6.1936547973355935</v>
      </c>
      <c r="GW591" s="72">
        <f>IF(ISERROR(GV591/GT591),"NA",IF(OR(GV591/GT591&gt;2,GV591/GT591&lt;0.5),"NM",GV591/GT591*100-100))</f>
        <v>-0.98254248042351833</v>
      </c>
      <c r="GX591" s="169">
        <f>GX519/GX$533*100</f>
        <v>6.1311303582491892</v>
      </c>
      <c r="GY591" s="72">
        <f>IF(ISERROR(GX591/GV591),"NA",IF(OR(GX591/GV591&gt;2,GX591/GV591&lt;0.5),"NM",GX591/GV591*100-100))</f>
        <v>-1.0094918288520205</v>
      </c>
      <c r="GZ591" s="72">
        <f>IF(ISERROR(((GX591/GN591)^0.2-1)*100),"NA",IF((((GX591/GN591)^0.2-1)*100)&gt;100,"NM",IF((((GX591/GN591)^0.2-1)*100)&lt;-50,"NM",((GX591/GN591)^0.2-1)*100)))</f>
        <v>-2.205825988327903</v>
      </c>
      <c r="HA591" s="72"/>
      <c r="HB591" s="72"/>
      <c r="HC591"/>
      <c r="HD591"/>
      <c r="HE591"/>
      <c r="HF591"/>
      <c r="HG591"/>
      <c r="HH591"/>
      <c r="HI591" s="2"/>
    </row>
    <row r="592" spans="1:217" s="78" customFormat="1" ht="12.75" customHeight="1" x14ac:dyDescent="0.2">
      <c r="B592" s="89" t="str">
        <f>B520</f>
        <v>US Individual Solutions Division</v>
      </c>
      <c r="C592" s="173"/>
      <c r="D592" s="166"/>
      <c r="E592" s="173"/>
      <c r="F592" s="166"/>
      <c r="G592" s="173"/>
      <c r="H592" s="166"/>
      <c r="I592" s="173"/>
      <c r="J592" s="166"/>
      <c r="K592" s="173">
        <f>K520/K$533*100</f>
        <v>24.411134903640257</v>
      </c>
      <c r="L592" s="72" t="str">
        <f>IF(ISERROR(K592/C592),"NA",IF(OR(K592/C592&gt;2,K592/C592&lt;0.5),"NM",K592/C592*100-100))</f>
        <v>NA</v>
      </c>
      <c r="M592" s="173">
        <f>M520/M$533*100</f>
        <v>30</v>
      </c>
      <c r="N592" s="72" t="str">
        <f>IF(ISERROR(M592/E592),"NA",IF(OR(M592/E592&gt;2,M592/E592&lt;0.5),"NM",M592/E592*100-100))</f>
        <v>NA</v>
      </c>
      <c r="O592" s="173">
        <f>O520/O$533*100</f>
        <v>26.751592356687897</v>
      </c>
      <c r="P592" s="72" t="str">
        <f>IF(ISERROR(O592/G592),"NA",IF(OR(O592/G592&gt;2,O592/G592&lt;0.5),"NM",O592/G592*100-100))</f>
        <v>NA</v>
      </c>
      <c r="Q592" s="173">
        <f>Q520/Q$533*100</f>
        <v>20.54263565891473</v>
      </c>
      <c r="R592" s="72" t="str">
        <f>IF(ISERROR(Q592/I592),"NA",IF(OR(Q592/I592&gt;2,Q592/I592&lt;0.5),"NM",Q592/I592*100-100))</f>
        <v>NA</v>
      </c>
      <c r="S592" s="173">
        <f>S520/S$533*100</f>
        <v>29.554655870445345</v>
      </c>
      <c r="T592" s="72">
        <f>IF(ISERROR(S592/K592),"NA",IF(OR(S592/K592&gt;2,S592/K592&lt;0.5),"NM",S592/K592*100-100))</f>
        <v>21.070388521912079</v>
      </c>
      <c r="U592" s="173">
        <f>U520/U$533*100</f>
        <v>24.093816631130064</v>
      </c>
      <c r="V592" s="72">
        <f>IF(ISERROR(U592/M592),"NA",IF(OR(U592/M592&gt;2,U592/M592&lt;0.5),"NM",U592/M592*100-100))</f>
        <v>-19.687277896233127</v>
      </c>
      <c r="W592" s="173">
        <f>W520/W$533*100</f>
        <v>10.407239819004525</v>
      </c>
      <c r="X592" s="72" t="str">
        <f>IF(ISERROR(W592/O592),"NA",IF(OR(W592/O592&gt;2,W592/O592&lt;0.5),"NM",W592/O592*100-100))</f>
        <v>NM</v>
      </c>
      <c r="Y592" s="173">
        <f>Y520/Y$533*100</f>
        <v>22.606382978723406</v>
      </c>
      <c r="Z592" s="72">
        <f>IF(ISERROR(Y592/Q592),"NA",IF(OR(Y592/Q592&gt;2,Y592/Q592&lt;0.5),"NM",Y592/Q592*100-100))</f>
        <v>10.046166198313927</v>
      </c>
      <c r="AA592" s="173">
        <f>AA520/AA$533*100</f>
        <v>28.289473684210524</v>
      </c>
      <c r="AB592" s="72">
        <f>IF(ISERROR(AA592/S592),"NA",IF(OR(AA592/S592&gt;2,AA592/S592&lt;0.5),"NM",AA592/S592*100-100))</f>
        <v>-4.2808219178082254</v>
      </c>
      <c r="AC592" s="173">
        <f>AC520/AC$533*100</f>
        <v>32.36363636363636</v>
      </c>
      <c r="AD592" s="72">
        <f>IF(ISERROR(AC592/U592),"NA",IF(OR(AC592/U592&gt;2,AC592/U592&lt;0.5),"NM",AC592/U592*100-100))</f>
        <v>34.323411102172145</v>
      </c>
      <c r="AE592" s="173">
        <f>AE520/AE$533*100</f>
        <v>29.47976878612717</v>
      </c>
      <c r="AF592" s="72" t="str">
        <f>IF(ISERROR(AE592/W592),"NA",IF(OR(AE592/W592&gt;2,AE592/W592&lt;0.5),"NM",AE592/W592*100-100))</f>
        <v>NM</v>
      </c>
      <c r="AG592" s="173">
        <f>AG520/AG$533*100</f>
        <v>28.291814946619215</v>
      </c>
      <c r="AH592" s="72">
        <f>IF(ISERROR(AG592/Y592),"NA",IF(OR(AG592/Y592&gt;2,AG592/Y592&lt;0.5),"NM",AG592/Y592*100-100))</f>
        <v>25.149675528574406</v>
      </c>
      <c r="AI592" s="173">
        <f>AI520/AI$533*100</f>
        <v>32.801418439716315</v>
      </c>
      <c r="AJ592" s="72">
        <f>IF(ISERROR(AI592/AA592),"NA",IF(OR(AI592/AA592&gt;2,AI592/AA592&lt;0.5),"NM",AI592/AA592*100-100))</f>
        <v>15.949200065973955</v>
      </c>
      <c r="AK592" s="173">
        <f>AK520/AK$533*100</f>
        <v>26.556016597510375</v>
      </c>
      <c r="AL592" s="72">
        <f>IF(ISERROR(AK592/AC592),"NA",IF(OR(AK592/AC592&gt;2,AK592/AC592&lt;0.5),"NM",AK592/AC592*100-100))</f>
        <v>-17.944892535782543</v>
      </c>
      <c r="AM592" s="173">
        <f>AM520/AM$533*100</f>
        <v>27.668539325842694</v>
      </c>
      <c r="AN592" s="72">
        <f>IF(ISERROR(AM592/AE592),"NA",IF(OR(AM592/AE592&gt;2,AM592/AE592&lt;0.5),"NM",AM592/AE592*100-100))</f>
        <v>-6.1439744437100927</v>
      </c>
      <c r="AO592" s="173">
        <f>AO520/AO$533*100</f>
        <v>27.546628407460545</v>
      </c>
      <c r="AP592" s="72">
        <f>IF(ISERROR(AO592/AG592),"NA",IF(OR(AO592/AG592&gt;2,AO592/AG592&lt;0.5),"NM",AO592/AG592*100-100))</f>
        <v>-2.6339297799193133</v>
      </c>
      <c r="AQ592" s="173">
        <f>AQ520/AQ$533*100</f>
        <v>23.784494086727989</v>
      </c>
      <c r="AR592" s="72">
        <f>IF(ISERROR(AQ592/AI592),"NA",IF(OR(AQ592/AI592&gt;2,AQ592/AI592&lt;0.5),"NM",AQ592/AI592*100-100))</f>
        <v>-27.489434243704949</v>
      </c>
      <c r="AS592" s="173">
        <f>AS520/AS$533*100</f>
        <v>24.565756823821339</v>
      </c>
      <c r="AT592" s="72">
        <f>IF(ISERROR(AS592/AK592),"NA",IF(OR(AS592/AK592&gt;2,AS592/AK592&lt;0.5),"NM",AS592/AK592*100-100))</f>
        <v>-7.4945719602977761</v>
      </c>
      <c r="AU592" s="173">
        <f>AU520/AU$533*100</f>
        <v>24.086757990867579</v>
      </c>
      <c r="AV592" s="72">
        <f>IF(ISERROR(AU592/AM592),"NA",IF(OR(AU592/AM592&gt;2,AU592/AM592&lt;0.5),"NM",AU592/AM592*100-100))</f>
        <v>-12.94532137310803</v>
      </c>
      <c r="AW592" s="173">
        <f>AW520/AW$533*100</f>
        <v>27.127659574468083</v>
      </c>
      <c r="AX592" s="72">
        <f>IF(ISERROR(AW592/AO592),"NA",IF(OR(AW592/AO592&gt;2,AW592/AO592&lt;0.5),"NM",AW592/AO592*100-100))</f>
        <v>-1.5209441489361808</v>
      </c>
      <c r="AY592" s="173">
        <f>AY520/AY$533*100</f>
        <v>24.555903866248695</v>
      </c>
      <c r="AZ592" s="72">
        <f>IF(ISERROR(AY592/AQ592),"NA",IF(OR(AY592/AQ592&gt;2,AY592/AQ592&lt;0.5),"NM",AY592/AQ592*100-100))</f>
        <v>3.2433306199737899</v>
      </c>
      <c r="BA592" s="173">
        <f>BA520/BA$533*100</f>
        <v>23.804463336875664</v>
      </c>
      <c r="BB592" s="72">
        <f>IF(ISERROR(BA592/AS592),"NA",IF(OR(BA592/AS592&gt;2,BA592/AS592&lt;0.5),"NM",BA592/AS592*100-100))</f>
        <v>-3.099002780193004</v>
      </c>
      <c r="BC592" s="173">
        <f>BC520/BC$533*100</f>
        <v>28.313891834570519</v>
      </c>
      <c r="BD592" s="72">
        <f>IF(ISERROR(BC592/AU592),"NA",IF(OR(BC592/AU592&gt;2,BC592/AU592&lt;0.5),"NM",BC592/AU592*100-100))</f>
        <v>17.549617284757232</v>
      </c>
      <c r="BE592" s="173">
        <f>BE520/BE$533*100</f>
        <v>29.4238683127572</v>
      </c>
      <c r="BF592" s="72">
        <f>IF(ISERROR(BE592/AW592),"NA",IF(OR(BE592/AW592&gt;2,BE592/AW592&lt;0.5),"NM",BE592/AW592*100-100))</f>
        <v>8.4644557411442065</v>
      </c>
      <c r="BG592" s="173">
        <f>BG520/BG$533*100</f>
        <v>25.438262195121951</v>
      </c>
      <c r="BH592" s="72">
        <f>IF(ISERROR(BG592/AY592),"NA",IF(OR(BG592/AY592&gt;2,BG592/AY592&lt;0.5),"NM",BG592/AY592*100-100))</f>
        <v>3.5932634924753586</v>
      </c>
      <c r="BI592" s="173">
        <f>BI520/BI$533*100</f>
        <v>29.288321167883215</v>
      </c>
      <c r="BJ592" s="72">
        <f>IF(ISERROR(BI592/BA592),"NA",IF(OR(BI592/BA592&gt;2,BI592/BA592&lt;0.5),"NM",BI592/BA592*100-100))</f>
        <v>23.037099191866545</v>
      </c>
      <c r="BK592" s="173">
        <f>BK520/BK$533*100</f>
        <v>27.022900763358777</v>
      </c>
      <c r="BL592" s="72">
        <f>IF(ISERROR(BK592/BC592),"NA",IF(OR(BK592/BC592&gt;2,BK592/BC592&lt;0.5),"NM",BK592/BC592*100-100))</f>
        <v>-4.5595677159276136</v>
      </c>
      <c r="BM592" s="173">
        <f>BM520/BM$533*100</f>
        <v>26.235093696763201</v>
      </c>
      <c r="BN592" s="72">
        <f>IF(ISERROR(BM592/BE592),"NA",IF(OR(BM592/BE592&gt;2,BM592/BE592&lt;0.5),"NM",BM592/BE592*100-100))</f>
        <v>-10.837373869741839</v>
      </c>
      <c r="BO592" s="173">
        <f>BO520/BO$533*100</f>
        <v>22.399150743099788</v>
      </c>
      <c r="BP592" s="72">
        <f>IF(ISERROR(BO592/BG592),"NA",IF(OR(BO592/BG592&gt;2,BO592/BG592&lt;0.5),"NM",BO592/BG592*100-100))</f>
        <v>-11.947008914016706</v>
      </c>
      <c r="BQ592" s="173">
        <f>BQ520/BQ$533*100</f>
        <v>23.929236499068899</v>
      </c>
      <c r="BR592" s="72">
        <f>IF(ISERROR(BQ592/BI592),"NA",IF(OR(BQ592/BI592&gt;2,BQ592/BI592&lt;0.5),"NM",BQ592/BI592*100-100))</f>
        <v>-18.297684725920533</v>
      </c>
      <c r="BS592" s="173">
        <f>BS520/BS$533*100</f>
        <v>22.5</v>
      </c>
      <c r="BT592" s="72">
        <f>IF(ISERROR(BS592/BK592),"NA",IF(OR(BS592/BK592&gt;2,BS592/BK592&lt;0.5),"NM",BS592/BK592*100-100))</f>
        <v>-16.737288135593218</v>
      </c>
      <c r="BU592" s="173">
        <f>BU520/BU$533*100</f>
        <v>18.086956521739133</v>
      </c>
      <c r="BV592" s="72">
        <f>IF(ISERROR(BU592/BM592),"NA",IF(OR(BU592/BM592&gt;2,BU592/BM592&lt;0.5),"NM",BU592/BM592*100-100))</f>
        <v>-31.058159232072256</v>
      </c>
      <c r="BW592" s="173">
        <f>BW520/BW$533*100</f>
        <v>25.285481239804241</v>
      </c>
      <c r="BX592" s="72">
        <f>IF(ISERROR(BW592/BO592),"NA",IF(OR(BW592/BO592&gt;2,BW592/BO592&lt;0.5),"NM",BW592/BO592*100-100))</f>
        <v>12.88589254926822</v>
      </c>
      <c r="BY592" s="173">
        <f>BY520/BY$533*100</f>
        <v>26.330532212885156</v>
      </c>
      <c r="BZ592" s="72">
        <f>IF(ISERROR(BY592/BQ592),"NA",IF(OR(BY592/BQ592&gt;2,BY592/BQ592&lt;0.5),"NM",BY592/BQ592*100-100))</f>
        <v>10.034986757348861</v>
      </c>
      <c r="CA592" s="173">
        <f>CA520/CA$533*100</f>
        <v>40.958083832335326</v>
      </c>
      <c r="CB592" s="72">
        <f>IF(ISERROR(CA592/BS592),"NA",IF(OR(CA592/BS592&gt;2,CA592/BS592&lt;0.5),"NM",CA592/BS592*100-100))</f>
        <v>82.035928143712567</v>
      </c>
      <c r="CC592" s="173">
        <f>CC520/CC$533*100</f>
        <v>37.755102040816325</v>
      </c>
      <c r="CD592" s="72" t="str">
        <f>IF(ISERROR(CC592/BU592),"NA",IF(OR(CC592/BU592&gt;2,CC592/BU592&lt;0.5),"NM",CC592/BU592*100-100))</f>
        <v>NM</v>
      </c>
      <c r="CE592" s="173">
        <f>CE520/CE$533*100</f>
        <v>28.005284015852048</v>
      </c>
      <c r="CF592" s="72">
        <f>IF(ISERROR(CE592/BW592),"NA",IF(OR(CE592/BW592&gt;2,CE592/BW592&lt;0.5),"NM",CE592/BW592*100-100))</f>
        <v>10.756381301401973</v>
      </c>
      <c r="CG592" s="173">
        <f>CG520/CG$533*100</f>
        <v>34.155363748458697</v>
      </c>
      <c r="CH592" s="72">
        <f>IF(ISERROR(CG592/BY592),"NA",IF(OR(CG592/BY592&gt;2,CG592/BY592&lt;0.5),"NM",CG592/BY592*100-100))</f>
        <v>29.717711257444194</v>
      </c>
      <c r="CI592" s="173">
        <f>CI520/CI$533*100</f>
        <v>32.450331125827816</v>
      </c>
      <c r="CJ592" s="72">
        <f>IF(ISERROR(CI592/CA592),"NA",IF(OR(CI592/CA592&gt;2,CI592/CA592&lt;0.5),"NM",CI592/CA592*100-100))</f>
        <v>-20.7718523682274</v>
      </c>
      <c r="CK592" s="173">
        <f>CK520/CK$533*100</f>
        <v>34.747706422018346</v>
      </c>
      <c r="CL592" s="72">
        <f>IF(ISERROR(CK592/CC592),"NA",IF(OR(CK592/CC592&gt;2,CK592/CC592&lt;0.5),"NM",CK592/CC592*100-100))</f>
        <v>-7.9655343416811348</v>
      </c>
      <c r="CM592" s="173">
        <f>CM520/CM$533*100</f>
        <v>33.020953985469099</v>
      </c>
      <c r="CN592" s="72">
        <f>IF(ISERROR(CM592/CE592),"NA",IF(OR(CM592/CE592&gt;2,CM592/CE592&lt;0.5),"NM",CM592/CE592*100-100))</f>
        <v>17.909727202830709</v>
      </c>
      <c r="CO592" s="173">
        <f>CO520/CO$533*100</f>
        <v>34.117647058823529</v>
      </c>
      <c r="CP592" s="72">
        <f>IF(ISERROR(CO592/CG592),"NA",IF(OR(CO592/CG592&gt;2,CO592/CG592&lt;0.5),"NM",CO592/CG592*100-100))</f>
        <v>-0.11042684221705201</v>
      </c>
      <c r="CQ592" s="173">
        <f>CQ520/CQ$533*100</f>
        <v>31.841302136317395</v>
      </c>
      <c r="CR592" s="72">
        <f>IF(ISERROR(CQ592/CI592),"NA",IF(OR(CQ592/CI592&gt;2,CQ592/CI592&lt;0.5),"NM",CQ592/CI592*100-100))</f>
        <v>-1.8768036207361831</v>
      </c>
      <c r="CS592" s="173">
        <f>CS520/CS$533*100</f>
        <v>33.23108384458078</v>
      </c>
      <c r="CT592" s="72">
        <f>IF(ISERROR(CS592/CK592),"NA",IF(OR(CS592/CK592&gt;2,CS592/CK592&lt;0.5),"NM",CS592/CK592*100-100))</f>
        <v>-4.3646695957939272</v>
      </c>
      <c r="CU592" s="173">
        <f>CU520/CU$533*100</f>
        <v>36.314655172413794</v>
      </c>
      <c r="CV592" s="72">
        <f>IF(ISERROR(CU592/CM592),"NA",IF(OR(CU592/CM592&gt;2,CU592/CM592&lt;0.5),"NM",CU592/CM592*100-100))</f>
        <v>9.9745791366115242</v>
      </c>
      <c r="CW592" s="173">
        <f>CW520/CW$533*100</f>
        <v>26.497277676950997</v>
      </c>
      <c r="CX592" s="72">
        <f>IF(ISERROR(CW592/CO592),"NA",IF(OR(CW592/CO592&gt;2,CW592/CO592&lt;0.5),"NM",CW592/CO592*100-100))</f>
        <v>-22.335565429626385</v>
      </c>
      <c r="CY592" s="173">
        <f>CY520/CY$533*100</f>
        <v>33.192923336141533</v>
      </c>
      <c r="CZ592" s="72">
        <f>IF(ISERROR(CY592/CQ592),"NA",IF(OR(CY592/CQ592&gt;2,CY592/CQ592&lt;0.5),"NM",CY592/CQ592*100-100))</f>
        <v>4.2448678575946559</v>
      </c>
      <c r="DA592" s="173">
        <f>DA520/DA$533*100</f>
        <v>34.187279151943464</v>
      </c>
      <c r="DB592" s="72">
        <f>IF(ISERROR(DA592/CS592),"NA",IF(OR(DA592/CS592&gt;2,DA592/CS592&lt;0.5),"NM",DA592/CS592*100-100))</f>
        <v>2.8774123403098741</v>
      </c>
      <c r="DC592" s="173">
        <f>DC520/DC$533*100</f>
        <v>33.163265306122447</v>
      </c>
      <c r="DD592" s="72">
        <f>IF(ISERROR(DC592/CU592),"NA",IF(OR(DC592/CU592&gt;2,DC592/CU592&lt;0.5),"NM",DC592/CU592*100-100))</f>
        <v>-8.6780112638527243</v>
      </c>
      <c r="DE592" s="173">
        <f>DE520/DE$533*100</f>
        <v>34.792122538293221</v>
      </c>
      <c r="DF592" s="72">
        <f>IF(ISERROR(DE592/CW592),"NA",IF(OR(DE592/CW592&gt;2,DE592/CW592&lt;0.5),"NM",DE592/CW592*100-100))</f>
        <v>31.304517250681954</v>
      </c>
      <c r="DG592" s="173">
        <f>DG520/DG$533*100</f>
        <v>33.993399339933994</v>
      </c>
      <c r="DH592" s="72">
        <f>IF(ISERROR(DG592/CY592),"NA",IF(OR(DG592/CY592&gt;2,DG592/CY592&lt;0.5),"NM",DG592/CY592*100-100))</f>
        <v>2.4115863362986119</v>
      </c>
      <c r="DI592" s="173">
        <f>DI520/DI$533*100</f>
        <v>37.270875763747455</v>
      </c>
      <c r="DJ592" s="72">
        <f>IF(ISERROR(DI592/DA592),"NA",IF(OR(DI592/DA592&gt;2,DI592/DA592&lt;0.5),"NM",DI592/DA592*100-100))</f>
        <v>9.019719288274203</v>
      </c>
      <c r="DK592" s="173">
        <f>DK520/DK$533*100</f>
        <v>33.539603960396043</v>
      </c>
      <c r="DL592" s="72">
        <f>IF(ISERROR(DK592/DC592),"NA",IF(OR(DK592/DC592&gt;2,DK592/DC592&lt;0.5),"NM",DK592/DC592*100-100))</f>
        <v>1.1348057882711373</v>
      </c>
      <c r="DM592" s="173">
        <f>DM520/DM$533*100</f>
        <v>34.25076452599388</v>
      </c>
      <c r="DN592" s="72">
        <f t="shared" ref="DN592" si="2835">IF(ISERROR(DM592/DE592),"NA",IF(OR(DM592/DE592&gt;2,DM592/DE592&lt;0.5),"NM",DM592/DE592*100-100))</f>
        <v>-1.5559786894389873</v>
      </c>
      <c r="DO592" s="173">
        <f>DO520/DO$533*100</f>
        <v>35.754539762053852</v>
      </c>
      <c r="DP592" s="72">
        <f t="shared" ref="DP592" si="2836">IF(ISERROR(DO592/DG592),"NA",IF(OR(DO592/DG592&gt;2,DO592/DG592&lt;0.5),"NM",DO592/DG592*100-100))</f>
        <v>5.1808305621584054</v>
      </c>
      <c r="DQ592" s="173">
        <f>DQ520/DQ$533*100</f>
        <v>35.093582887700535</v>
      </c>
      <c r="DR592" s="72">
        <f t="shared" ref="DR592" si="2837">IF(ISERROR(DQ592/DI592),"NA",IF(OR(DQ592/DI592&gt;2,DQ592/DI592&lt;0.5),"NM",DQ592/DI592*100-100))</f>
        <v>-5.8418076619619512</v>
      </c>
      <c r="DS592" s="173">
        <f>DS520/DS$533*100</f>
        <v>33.252427184466022</v>
      </c>
      <c r="DT592" s="72">
        <f t="shared" ref="DT592" si="2838">IF(ISERROR(DS592/DK592),"NA",IF(OR(DS592/DK592&gt;2,DS592/DK592&lt;0.5),"NM",DS592/DK592*100-100))</f>
        <v>-0.85623186328950851</v>
      </c>
      <c r="DU592" s="173">
        <f>DU520/DU$533*100</f>
        <v>36.630036630036628</v>
      </c>
      <c r="DV592" s="72">
        <f t="shared" ref="DV592" si="2839">IF(ISERROR(DU592/DM592),"NA",IF(OR(DU592/DM592&gt;2,DU592/DM592&lt;0.5),"NM",DU592/DM592*100-100))</f>
        <v>6.9466248037676621</v>
      </c>
      <c r="DW592" s="173">
        <f>DW520/DW$533*100</f>
        <v>38.590820943762125</v>
      </c>
      <c r="DX592" s="72">
        <f t="shared" ref="DX592" si="2840">IF(ISERROR(DW592/DO592),"NA",IF(OR(DW592/DO592&gt;2,DW592/DO592&lt;0.5),"NM",DW592/DO592*100-100))</f>
        <v>7.9326463173171788</v>
      </c>
      <c r="DY592" s="173">
        <f>DY520/DY$533*100</f>
        <v>40.95723813260102</v>
      </c>
      <c r="DZ592" s="72">
        <f t="shared" ref="DZ592" si="2841">IF(ISERROR(DY592/DQ592),"NA",IF(OR(DY592/DQ592&gt;2,DY592/DQ592&lt;0.5),"NM",DY592/DQ592*100-100))</f>
        <v>16.708625231183106</v>
      </c>
      <c r="EA592" s="173">
        <f>EA520/EA$533*100</f>
        <v>38.36964160224877</v>
      </c>
      <c r="EB592" s="72">
        <f>IF(ISERROR(EA592/DS592),"NA",IF(OR(EA592/DS592&gt;2,EA592/DS592&lt;0.5),"NM",EA592/DS592*100-100))</f>
        <v>15.388995183405044</v>
      </c>
      <c r="EC592" s="173">
        <f>EC520/EC$533*100</f>
        <v>33.847184986595174</v>
      </c>
      <c r="ED592" s="72">
        <f>IF(ISERROR(EC592/DU592),"NA",IF(OR(EC592/DU592&gt;2,EC592/DU592&lt;0.5),"NM",EC592/DU592*100-100))</f>
        <v>-7.5971849865951668</v>
      </c>
      <c r="EE592" s="173">
        <f>EE520/EE$533*100</f>
        <v>38.540949759119066</v>
      </c>
      <c r="EF592" s="72">
        <f>IF(ISERROR(EE592/DW592),"NA",IF(OR(EE592/DW592&gt;2,EE592/DW592&lt;0.5),"NM",EE592/DW592*100-100))</f>
        <v>-0.12923069119399599</v>
      </c>
      <c r="EG592" s="173">
        <f>EG520/EG$533*100</f>
        <v>38.915913829047952</v>
      </c>
      <c r="EH592" s="72">
        <f>IF(ISERROR(EG592/DY592),"NA",IF(OR(EG592/DY592&gt;2,EG592/DY592&lt;0.5),"NM",EG592/DY592*100-100))</f>
        <v>-4.9840379786942179</v>
      </c>
      <c r="EI592" s="173">
        <f>EI520/EI$533*100</f>
        <v>34.516188037314798</v>
      </c>
      <c r="EJ592" s="72">
        <f>IF(ISERROR(EI592/EA592),"NA",IF(OR(EI592/EA592&gt;2,EI592/EA592&lt;0.5),"NM",EI592/EA592*100-100))</f>
        <v>-10.042975133518397</v>
      </c>
      <c r="EK592" s="173">
        <f>EK520/EK$533*100</f>
        <v>33.853006681514472</v>
      </c>
      <c r="EL592" s="72">
        <f>IF(ISERROR(EK592/EC592),"NA",IF(OR(EK592/EC592&gt;2,EK592/EC592&lt;0.5),"NM",EK592/EC592*100-100))</f>
        <v>1.7199938256624137E-2</v>
      </c>
      <c r="EM592" s="173">
        <f>EM520/EM$533*100</f>
        <v>39.112903225806448</v>
      </c>
      <c r="EN592" s="72">
        <f>IF(ISERROR(EM592/EE592),"NA",IF(OR(EM592/EE592&gt;2,EM592/EE592&lt;0.5),"NM",EM592/EE592*100-100))</f>
        <v>1.4840149769585196</v>
      </c>
      <c r="EO592" s="173">
        <f>EO520/EO$533*100</f>
        <v>39.732142857142854</v>
      </c>
      <c r="EP592" s="72">
        <f>IF(ISERROR(EO592/EG592),"NA",IF(OR(EO592/EG592&gt;2,EO592/EG592&lt;0.5),"NM",EO592/EG592*100-100))</f>
        <v>2.0974170918367321</v>
      </c>
      <c r="EQ592" s="173">
        <f>EQ520/EQ$533*100</f>
        <v>36.312823752402949</v>
      </c>
      <c r="ER592" s="72">
        <f t="shared" ref="ER592" si="2842">IF(ISERROR(EQ592/EI592),"NA",IF(OR(EQ592/EI592&gt;2,EQ592/EI592&lt;0.5),"NM",EQ592/EI592*100-100))</f>
        <v>5.2051973791133577</v>
      </c>
      <c r="ES592" s="173">
        <f>ES520/ES$533*100</f>
        <v>36.968297897511775</v>
      </c>
      <c r="ET592" s="72">
        <f t="shared" ref="ET592" si="2843">IF(ISERROR(ES592/EK592),"NA",IF(OR(ES592/EK592&gt;2,ES592/EK592&lt;0.5),"NM",ES592/EK592*100-100))</f>
        <v>9.2024062893604679</v>
      </c>
      <c r="EU592" s="173">
        <f>EU520/EU$533*100</f>
        <v>37.43360757409873</v>
      </c>
      <c r="EV592" s="72">
        <f t="shared" ref="EV592" si="2844">IF(ISERROR(EU592/EM592),"NA",IF(OR(EU592/EM592&gt;2,EU592/EM592&lt;0.5),"NM",EU592/EM592*100-100))</f>
        <v>-4.2934569239537552</v>
      </c>
      <c r="EW592" s="173">
        <f>EW520/EW$533*100</f>
        <v>40.126930435488852</v>
      </c>
      <c r="EX592" s="72">
        <f t="shared" ref="EX592" si="2845">IF(ISERROR(EW592/EO592),"NA",IF(OR(EW592/EO592&gt;2,EW592/EO592&lt;0.5),"NM",EW592/EO592*100-100))</f>
        <v>0.99362266909554364</v>
      </c>
      <c r="EY592" s="72"/>
      <c r="EZ592" s="332"/>
      <c r="FA592" s="72"/>
      <c r="FB592" s="173"/>
      <c r="FC592" s="166"/>
      <c r="FD592" s="180">
        <f>FD520/FD$533*100</f>
        <v>17.948717948717949</v>
      </c>
      <c r="FE592" s="72" t="str">
        <f>IF(ISERROR(FD592/FB592),"NA",IF(OR(FD592/FB592&gt;2,FD592/FB592&lt;0.5),"NM",FD592/FB592*100-100))</f>
        <v>NA</v>
      </c>
      <c r="FF592" s="180">
        <f>FF520/FF$533*100</f>
        <v>21.393442622950822</v>
      </c>
      <c r="FG592" s="72">
        <f>IF(ISERROR(FF592/FD592),"NA",IF(OR(FF592/FD592&gt;2,FF592/FD592&lt;0.5),"NM",FF592/FD592*100-100))</f>
        <v>19.192037470725992</v>
      </c>
      <c r="FH592" s="180">
        <f>FH520/FH$533*100</f>
        <v>25.903203817314246</v>
      </c>
      <c r="FI592" s="72">
        <f>IF(ISERROR(FH592/FF592),"NA",IF(OR(FH592/FF592&gt;2,FH592/FF592&lt;0.5),"NM",FH592/FF592*100-100))</f>
        <v>21.080109797407573</v>
      </c>
      <c r="FJ592" s="180">
        <f>FJ520/FJ$533*100</f>
        <v>21.79988820570151</v>
      </c>
      <c r="FK592" s="72">
        <f>IF(ISERROR(FJ592/FH592),"NA",IF(OR(FJ592/FH592&gt;2,FJ592/FH592&lt;0.5),"NM",FJ592/FH592*100-100))</f>
        <v>-15.840957900620751</v>
      </c>
      <c r="FL592" s="180">
        <f>FL520/FL$533*100</f>
        <v>29.504289799809342</v>
      </c>
      <c r="FM592" s="72">
        <f>IF(ISERROR(FL592/FJ592),"NA",IF(OR(FL592/FJ592&gt;2,FL592/FJ592&lt;0.5),"NM",FL592/FJ592*100-100))</f>
        <v>35.341472953484384</v>
      </c>
      <c r="FN592" s="180">
        <f>FN520/FN$533*100</f>
        <v>28.370370370370367</v>
      </c>
      <c r="FO592" s="72">
        <f>IF(ISERROR(FN592/FL592),"NA",IF(OR(FN592/FL592&gt;2,FN592/FL592&lt;0.5),"NM",FN592/FL592*100-100))</f>
        <v>-3.8432358044636032</v>
      </c>
      <c r="FP592" s="180">
        <f>FP520/FP$533*100</f>
        <v>24.845633637165541</v>
      </c>
      <c r="FQ592" s="72">
        <f>IF(ISERROR(FP592/FN592),"NA",IF(OR(FP592/FN592&gt;2,FP592/FN592&lt;0.5),"NM",FP592/FN592*100-100))</f>
        <v>-12.42400676194913</v>
      </c>
      <c r="FR592" s="180">
        <f>FR520/FR$533*100</f>
        <v>26.666666666666668</v>
      </c>
      <c r="FS592" s="72">
        <f>IF(ISERROR(FR592/FP592),"NA",IF(OR(FR592/FP592&gt;2,FR592/FP592&lt;0.5),"NM",FR592/FP592*100-100))</f>
        <v>7.3293885601577955</v>
      </c>
      <c r="FT592" s="180">
        <f>FT520/FT$533*100</f>
        <v>27.146766277201056</v>
      </c>
      <c r="FU592" s="72">
        <f>IF(ISERROR(FT592/FR592),"NA",IF(OR(FT592/FR592&gt;2,FT592/FR592&lt;0.5),"NM",FT592/FR592*100-100))</f>
        <v>1.8003735395039513</v>
      </c>
      <c r="FV592" s="180">
        <f>FV520/FV$533*100</f>
        <v>28.540640394088669</v>
      </c>
      <c r="FW592" s="72">
        <f>IF(ISERROR(FV592/FT592),"NA",IF(OR(FV592/FT592&gt;2,FV592/FT592&lt;0.5),"NM",FV592/FT592*100-100))</f>
        <v>5.1345862068965573</v>
      </c>
      <c r="FX592" s="180">
        <f>FX520/FX$533*100</f>
        <v>31.741682974559687</v>
      </c>
      <c r="FY592" s="72">
        <f>IF(ISERROR(FX592/FV592),"NA",IF(OR(FX592/FV592&gt;2,FX592/FV592&lt;0.5),"NM",FX592/FV592*100-100))</f>
        <v>11.215734952934042</v>
      </c>
      <c r="FZ592" s="180">
        <f>FZ520/FZ$533*100</f>
        <v>32.456964006259781</v>
      </c>
      <c r="GA592" s="72">
        <f>IF(ISERROR(FZ592/FX592),"NA",IF(OR(FZ592/FX592&gt;2,FZ592/FX592&lt;0.5),"NM",FZ592/FX592*100-100))</f>
        <v>2.2534439408060933</v>
      </c>
      <c r="GB592" s="180">
        <f>GB520/GB$533*100</f>
        <v>33.085140822272578</v>
      </c>
      <c r="GC592" s="72">
        <f>IF(ISERROR(GB592/FZ592),"NA",IF(OR(GB592/FZ592&gt;2,GB592/FZ592&lt;0.5),"NM",GB592/FZ592*100-100))</f>
        <v>1.9354145874261235</v>
      </c>
      <c r="GD592" s="180">
        <f>GD520/GD$533*100</f>
        <v>32.421246263508849</v>
      </c>
      <c r="GE592" s="72">
        <f>IF(ISERROR(GD592/GB592),"NA",IF(OR(GD592/GB592&gt;2,GD592/GB592&lt;0.5),"NM",GD592/GB592*100-100))</f>
        <v>-2.0066245518798098</v>
      </c>
      <c r="GF592" s="180">
        <f>GF520/GF$533*100</f>
        <v>34.828127726400275</v>
      </c>
      <c r="GG592" s="72">
        <f>IF(ISERROR(GF592/GD592),"NA",IF(OR(GF592/GD592&gt;2,GF592/GD592&lt;0.5),"NM",GF592/GD592*100-100))</f>
        <v>7.4237783561097928</v>
      </c>
      <c r="GH592" s="180">
        <f>GH520/GH$533*100</f>
        <v>34.646910466582597</v>
      </c>
      <c r="GI592" s="72">
        <f t="shared" ref="GI592" si="2846">IF(ISERROR(GH592/GF592),"NA",IF(OR(GH592/GF592&gt;2,GH592/GF592&lt;0.5),"NM",GH592/GF592*100-100))</f>
        <v>-0.52031869539835895</v>
      </c>
      <c r="GJ592" s="180">
        <f>GJ520/GJ$533*100</f>
        <v>37.118297175603765</v>
      </c>
      <c r="GK592" s="72">
        <f t="shared" ref="GK592" si="2847">IF(ISERROR(GJ592/GH592),"NA",IF(OR(GJ592/GH592&gt;2,GJ592/GH592&lt;0.5),"NM",GJ592/GH592*100-100))</f>
        <v>7.1330651874569071</v>
      </c>
      <c r="GL592" s="180">
        <f>GL520/GL$533*100</f>
        <v>37.385913552608919</v>
      </c>
      <c r="GM592" s="72">
        <f t="shared" ref="GM592" si="2848">IF(ISERROR(GL592/GJ592),"NA",IF(OR(GL592/GJ592&gt;2,GL592/GJ592&lt;0.5),"NM",GL592/GJ592*100-100))</f>
        <v>0.72098236548698935</v>
      </c>
      <c r="GN592" s="180">
        <f>GN520/GN$533*100</f>
        <v>36.736843667007903</v>
      </c>
      <c r="GO592" s="72">
        <f t="shared" ref="GO592" si="2849">IF(ISERROR(GN592/GL592),"NA",IF(OR(GN592/GL592&gt;2,GN592/GL592&lt;0.5),"NM",GN592/GL592*100-100))</f>
        <v>-1.7361348805550847</v>
      </c>
      <c r="GP592" s="180">
        <f>GP520/GP$533*100</f>
        <v>37.645779461617686</v>
      </c>
      <c r="GQ592" s="72">
        <f t="shared" ref="GQ592" si="2850">IF(ISERROR(GP592/GN592),"NA",IF(OR(GP592/GN592&gt;2,GP592/GN592&lt;0.5),"NM",GP592/GN592*100-100))</f>
        <v>2.4741804245585399</v>
      </c>
      <c r="GR592" s="173">
        <f>GR520/GR$533*100</f>
        <v>36.64198202585635</v>
      </c>
      <c r="GS592" s="72">
        <f t="shared" ref="GS592" si="2851">IF(ISERROR(GR592/GP592),"NA",IF(OR(GR592/GP592&gt;2,GR592/GP592&lt;0.5),"NM",GR592/GP592*100-100))</f>
        <v>-2.6664275520839453</v>
      </c>
      <c r="GT592" s="173">
        <f>GT520/GT$533*100</f>
        <v>35.759442375651673</v>
      </c>
      <c r="GU592" s="72">
        <f t="shared" ref="GU592" si="2852">IF(ISERROR(GT592/GR592),"NA",IF(OR(GT592/GR592&gt;2,GT592/GR592&lt;0.5),"NM",GT592/GR592*100-100))</f>
        <v>-2.4085477952090883</v>
      </c>
      <c r="GV592" s="173">
        <f>GV520/GV$533*100</f>
        <v>34.986046495441734</v>
      </c>
      <c r="GW592" s="72">
        <f>IF(ISERROR(GV592/GT592),"NA",IF(OR(GV592/GT592&gt;2,GV592/GT592&lt;0.5),"NM",GV592/GT592*100-100))</f>
        <v>-2.1627738824488461</v>
      </c>
      <c r="GX592" s="173">
        <f>GX520/GX$533*100</f>
        <v>34.31904846223442</v>
      </c>
      <c r="GY592" s="72">
        <f>IF(ISERROR(GX592/GV592),"NA",IF(OR(GX592/GV592&gt;2,GX592/GV592&lt;0.5),"NM",GX592/GV592*100-100))</f>
        <v>-1.9064687211634919</v>
      </c>
      <c r="GZ592" s="72">
        <f>IF(ISERROR(((GX592/GN592)^0.2-1)*100),"NA",IF((((GX592/GN592)^0.2-1)*100)&gt;100,"NM",IF((((GX592/GN592)^0.2-1)*100)&lt;-50,"NM",((GX592/GN592)^0.2-1)*100)))</f>
        <v>-1.3523646069166673</v>
      </c>
      <c r="HA592" s="72"/>
      <c r="HB592" s="72"/>
      <c r="HC592"/>
      <c r="HD592"/>
      <c r="HE592"/>
      <c r="HF592"/>
      <c r="HG592"/>
      <c r="HH592"/>
      <c r="HI592" s="2"/>
    </row>
    <row r="593" spans="1:217" s="3" customFormat="1" ht="8.25" customHeight="1" x14ac:dyDescent="0.2">
      <c r="B593" s="10"/>
      <c r="C593" s="181"/>
      <c r="D593" s="11"/>
      <c r="E593" s="181"/>
      <c r="F593" s="11"/>
      <c r="G593" s="181"/>
      <c r="H593" s="11"/>
      <c r="I593" s="181"/>
      <c r="J593" s="11"/>
      <c r="K593" s="181"/>
      <c r="L593" s="72"/>
      <c r="M593" s="181"/>
      <c r="N593" s="72"/>
      <c r="O593" s="181"/>
      <c r="P593" s="72"/>
      <c r="Q593" s="181"/>
      <c r="R593" s="72"/>
      <c r="S593" s="181"/>
      <c r="T593" s="72"/>
      <c r="U593" s="181"/>
      <c r="V593" s="72"/>
      <c r="W593" s="181"/>
      <c r="X593" s="72"/>
      <c r="Y593" s="181"/>
      <c r="Z593" s="72"/>
      <c r="AA593" s="181"/>
      <c r="AB593" s="72"/>
      <c r="AC593" s="181"/>
      <c r="AD593" s="72"/>
      <c r="AE593" s="181"/>
      <c r="AF593" s="72"/>
      <c r="AG593" s="181"/>
      <c r="AH593" s="72"/>
      <c r="AI593" s="181"/>
      <c r="AJ593" s="72"/>
      <c r="AK593" s="181"/>
      <c r="AL593" s="72"/>
      <c r="AM593" s="181"/>
      <c r="AN593" s="72"/>
      <c r="AO593" s="181"/>
      <c r="AP593" s="72"/>
      <c r="AQ593" s="181"/>
      <c r="AR593" s="72"/>
      <c r="AS593" s="181"/>
      <c r="AT593" s="72"/>
      <c r="AU593" s="181"/>
      <c r="AV593" s="72"/>
      <c r="AW593" s="181"/>
      <c r="AX593" s="72"/>
      <c r="AY593" s="181"/>
      <c r="AZ593" s="72"/>
      <c r="BA593" s="181"/>
      <c r="BB593" s="72"/>
      <c r="BC593" s="181"/>
      <c r="BD593" s="72"/>
      <c r="BE593" s="181"/>
      <c r="BF593" s="72"/>
      <c r="BG593" s="181"/>
      <c r="BH593" s="72"/>
      <c r="BI593" s="181"/>
      <c r="BJ593" s="72"/>
      <c r="BK593" s="181"/>
      <c r="BL593" s="72"/>
      <c r="BM593" s="181"/>
      <c r="BN593" s="72"/>
      <c r="BO593" s="181"/>
      <c r="BP593" s="72"/>
      <c r="BQ593" s="181"/>
      <c r="BR593" s="72"/>
      <c r="BS593" s="181"/>
      <c r="BT593" s="72"/>
      <c r="BU593" s="181"/>
      <c r="BV593" s="72"/>
      <c r="BW593" s="181"/>
      <c r="BX593" s="72"/>
      <c r="BY593" s="181"/>
      <c r="BZ593" s="72"/>
      <c r="CA593" s="181"/>
      <c r="CB593" s="72"/>
      <c r="CC593" s="181"/>
      <c r="CD593" s="72"/>
      <c r="CE593" s="181"/>
      <c r="CF593" s="72"/>
      <c r="CG593" s="181"/>
      <c r="CH593" s="72"/>
      <c r="CI593" s="181"/>
      <c r="CJ593" s="72"/>
      <c r="CK593" s="181"/>
      <c r="CL593" s="72"/>
      <c r="CM593" s="181"/>
      <c r="CN593" s="72"/>
      <c r="CO593" s="181"/>
      <c r="CP593" s="72"/>
      <c r="CQ593" s="181"/>
      <c r="CR593" s="72"/>
      <c r="CS593" s="181"/>
      <c r="CT593" s="72"/>
      <c r="CU593" s="181"/>
      <c r="CV593" s="72"/>
      <c r="CW593" s="181"/>
      <c r="CX593" s="72"/>
      <c r="CY593" s="181"/>
      <c r="CZ593" s="72"/>
      <c r="DA593" s="181"/>
      <c r="DB593" s="72"/>
      <c r="DC593" s="181"/>
      <c r="DD593" s="72"/>
      <c r="DE593" s="181"/>
      <c r="DF593" s="72"/>
      <c r="DG593" s="181"/>
      <c r="DH593" s="72"/>
      <c r="DI593" s="181"/>
      <c r="DJ593" s="72"/>
      <c r="DK593" s="181"/>
      <c r="DL593" s="72"/>
      <c r="DM593" s="181"/>
      <c r="DN593" s="72"/>
      <c r="DO593" s="181"/>
      <c r="DP593" s="72"/>
      <c r="DQ593" s="181"/>
      <c r="DR593" s="72"/>
      <c r="DS593" s="181"/>
      <c r="DT593" s="72"/>
      <c r="DU593" s="181"/>
      <c r="DV593" s="72"/>
      <c r="DW593" s="181"/>
      <c r="DX593" s="72"/>
      <c r="DY593" s="181"/>
      <c r="DZ593" s="72"/>
      <c r="EA593" s="181"/>
      <c r="EB593" s="72"/>
      <c r="EC593" s="181"/>
      <c r="ED593" s="72"/>
      <c r="EE593" s="181"/>
      <c r="EF593" s="72"/>
      <c r="EG593" s="181"/>
      <c r="EH593" s="72"/>
      <c r="EI593" s="181"/>
      <c r="EJ593" s="72"/>
      <c r="EK593" s="181"/>
      <c r="EL593" s="72"/>
      <c r="EM593" s="181"/>
      <c r="EN593" s="72"/>
      <c r="EO593" s="181"/>
      <c r="EP593" s="72"/>
      <c r="EQ593" s="181"/>
      <c r="ER593" s="72"/>
      <c r="ES593" s="181"/>
      <c r="ET593" s="72"/>
      <c r="EU593" s="181"/>
      <c r="EV593" s="72"/>
      <c r="EW593" s="181"/>
      <c r="EX593" s="72"/>
      <c r="EY593" s="72"/>
      <c r="EZ593" s="296"/>
      <c r="FA593" s="72"/>
      <c r="FB593" s="181"/>
      <c r="FC593" s="11"/>
      <c r="FD593" s="82"/>
      <c r="FE593" s="72"/>
      <c r="FF593" s="82"/>
      <c r="FG593" s="72"/>
      <c r="FH593" s="82"/>
      <c r="FI593" s="72"/>
      <c r="FJ593" s="82"/>
      <c r="FK593" s="72"/>
      <c r="FL593" s="82"/>
      <c r="FM593" s="72"/>
      <c r="FN593" s="82"/>
      <c r="FO593" s="72"/>
      <c r="FP593" s="82"/>
      <c r="FQ593" s="72"/>
      <c r="FR593" s="82"/>
      <c r="FS593" s="72"/>
      <c r="FT593" s="82"/>
      <c r="FU593" s="72"/>
      <c r="FV593" s="82"/>
      <c r="FW593" s="72"/>
      <c r="FX593" s="82"/>
      <c r="FY593" s="72"/>
      <c r="FZ593" s="82"/>
      <c r="GA593" s="72"/>
      <c r="GB593" s="82"/>
      <c r="GC593" s="72"/>
      <c r="GD593" s="82"/>
      <c r="GE593" s="72"/>
      <c r="GF593" s="82"/>
      <c r="GG593" s="72"/>
      <c r="GH593" s="82"/>
      <c r="GI593" s="72"/>
      <c r="GJ593" s="82"/>
      <c r="GK593" s="72"/>
      <c r="GL593" s="82"/>
      <c r="GM593" s="72"/>
      <c r="GN593" s="82"/>
      <c r="GO593" s="72"/>
      <c r="GP593" s="82"/>
      <c r="GQ593" s="72"/>
      <c r="GR593" s="181"/>
      <c r="GS593" s="72"/>
      <c r="GT593" s="181"/>
      <c r="GU593" s="72"/>
      <c r="GV593" s="181"/>
      <c r="GW593" s="72"/>
      <c r="GX593" s="181"/>
      <c r="GY593" s="72"/>
      <c r="GZ593" s="72"/>
      <c r="HA593" s="72"/>
      <c r="HB593" s="72"/>
      <c r="HC593"/>
      <c r="HD593"/>
      <c r="HE593"/>
      <c r="HF593"/>
      <c r="HG593"/>
      <c r="HH593"/>
      <c r="HI593" s="2"/>
    </row>
    <row r="594" spans="1:217" s="3" customFormat="1" ht="12.75" customHeight="1" x14ac:dyDescent="0.2">
      <c r="A594" s="3" t="s">
        <v>14</v>
      </c>
      <c r="B594" s="10" t="s">
        <v>117</v>
      </c>
      <c r="C594" s="169"/>
      <c r="D594" s="11"/>
      <c r="E594" s="169"/>
      <c r="F594" s="11"/>
      <c r="G594" s="169"/>
      <c r="H594" s="11"/>
      <c r="I594" s="169"/>
      <c r="J594" s="11"/>
      <c r="K594" s="169">
        <f>K521/K$533*100</f>
        <v>13.276231263383298</v>
      </c>
      <c r="L594" s="72" t="str">
        <f>IF(ISERROR(K594/C594),"NA",IF(OR(K594/C594&gt;2,K594/C594&lt;0.5),"NM",K594/C594*100-100))</f>
        <v>NA</v>
      </c>
      <c r="M594" s="169">
        <f>M521/M$533*100</f>
        <v>10.930232558139535</v>
      </c>
      <c r="N594" s="72" t="str">
        <f>IF(ISERROR(M594/E594),"NA",IF(OR(M594/E594&gt;2,M594/E594&lt;0.5),"NM",M594/E594*100-100))</f>
        <v>NA</v>
      </c>
      <c r="O594" s="169">
        <f>O521/O$533*100</f>
        <v>-1.2738853503184715</v>
      </c>
      <c r="P594" s="72" t="str">
        <f>IF(ISERROR(O594/G594),"NA",IF(OR(O594/G594&gt;2,O594/G594&lt;0.5),"NM",O594/G594*100-100))</f>
        <v>NA</v>
      </c>
      <c r="Q594" s="169">
        <f>Q521/Q$533*100</f>
        <v>1.9379844961240309</v>
      </c>
      <c r="R594" s="72" t="str">
        <f>IF(ISERROR(Q594/I594),"NA",IF(OR(Q594/I594&gt;2,Q594/I594&lt;0.5),"NM",Q594/I594*100-100))</f>
        <v>NA</v>
      </c>
      <c r="S594" s="169">
        <f>S521/S$533*100</f>
        <v>6.8825910931174086</v>
      </c>
      <c r="T594" s="72">
        <f>IF(ISERROR(S594/K594),"NA",IF(OR(S594/K594&gt;2,S594/K594&lt;0.5),"NM",S594/K594*100-100))</f>
        <v>-48.158547734099521</v>
      </c>
      <c r="U594" s="169">
        <f>U521/U$533*100</f>
        <v>10.660980810234541</v>
      </c>
      <c r="V594" s="72">
        <f>IF(ISERROR(U594/M594),"NA",IF(OR(U594/M594&gt;2,U594/M594&lt;0.5),"NM",U594/M594*100-100))</f>
        <v>-2.4633670553010063</v>
      </c>
      <c r="W594" s="169">
        <f>W521/W$533*100</f>
        <v>5.4298642533936654</v>
      </c>
      <c r="X594" s="72" t="str">
        <f>IF(ISERROR(W594/O594),"NA",IF(OR(W594/O594&gt;2,W594/O594&lt;0.5),"NM",W594/O594*100-100))</f>
        <v>NM</v>
      </c>
      <c r="Y594" s="169">
        <f>Y521/Y$533*100</f>
        <v>8.7765957446808507</v>
      </c>
      <c r="Z594" s="72" t="str">
        <f>IF(ISERROR(Y594/Q594),"NA",IF(OR(Y594/Q594&gt;2,Y594/Q594&lt;0.5),"NM",Y594/Q594*100-100))</f>
        <v>NM</v>
      </c>
      <c r="AA594" s="169">
        <f>AA521/AA$533*100</f>
        <v>11.62280701754386</v>
      </c>
      <c r="AB594" s="72">
        <f>IF(ISERROR(AA594/S594),"NA",IF(OR(AA594/S594&gt;2,AA594/S594&lt;0.5),"NM",AA594/S594*100-100))</f>
        <v>68.872549019607845</v>
      </c>
      <c r="AC594" s="169">
        <f>AC521/AC$533*100</f>
        <v>8.1818181818181817</v>
      </c>
      <c r="AD594" s="72">
        <f>IF(ISERROR(AC594/U594),"NA",IF(OR(AC594/U594&gt;2,AC594/U594&lt;0.5),"NM",AC594/U594*100-100))</f>
        <v>-23.25454545454545</v>
      </c>
      <c r="AE594" s="169">
        <f>AE521/AE$533*100</f>
        <v>7.5144508670520231</v>
      </c>
      <c r="AF594" s="72">
        <f>IF(ISERROR(AE594/W594),"NA",IF(OR(AE594/W594&gt;2,AE594/W594&lt;0.5),"NM",AE594/W594*100-100))</f>
        <v>38.391136801541421</v>
      </c>
      <c r="AG594" s="169">
        <f>AG521/AG$533*100</f>
        <v>9.7864768683274033</v>
      </c>
      <c r="AH594" s="72">
        <f>IF(ISERROR(AG594/Y594),"NA",IF(OR(AG594/Y594&gt;2,AG594/Y594&lt;0.5),"NM",AG594/Y594*100-100))</f>
        <v>11.506524317912238</v>
      </c>
      <c r="AI594" s="169">
        <f>AI521/AI$533*100</f>
        <v>9.2198581560283674</v>
      </c>
      <c r="AJ594" s="72">
        <f>IF(ISERROR(AI594/AA594),"NA",IF(OR(AI594/AA594&gt;2,AI594/AA594&lt;0.5),"NM",AI594/AA594*100-100))</f>
        <v>-20.674427940586128</v>
      </c>
      <c r="AK594" s="169">
        <f>AK521/AK$533*100</f>
        <v>12.72475795297372</v>
      </c>
      <c r="AL594" s="72">
        <f>IF(ISERROR(AK594/AC594),"NA",IF(OR(AK594/AC594&gt;2,AK594/AC594&lt;0.5),"NM",AK594/AC594*100-100))</f>
        <v>55.524819425234341</v>
      </c>
      <c r="AM594" s="169">
        <f>AM521/AM$533*100</f>
        <v>13.202247191011235</v>
      </c>
      <c r="AN594" s="72">
        <f>IF(ISERROR(AM594/AE594),"NA",IF(OR(AM594/AE594&gt;2,AM594/AE594&lt;0.5),"NM",AM594/AE594*100-100))</f>
        <v>75.691443388072599</v>
      </c>
      <c r="AO594" s="169">
        <f>AO521/AO$533*100</f>
        <v>13.773314203730273</v>
      </c>
      <c r="AP594" s="72">
        <f>IF(ISERROR(AO594/AG594),"NA",IF(OR(AO594/AG594&gt;2,AO594/AG594&lt;0.5),"NM",AO594/AG594*100-100))</f>
        <v>40.73822877266204</v>
      </c>
      <c r="AQ594" s="169">
        <f>AQ521/AQ$533*100</f>
        <v>16.68856767411301</v>
      </c>
      <c r="AR594" s="72">
        <f>IF(ISERROR(AQ594/AI594),"NA",IF(OR(AQ594/AI594&gt;2,AQ594/AI594&lt;0.5),"NM",AQ594/AI594*100-100))</f>
        <v>81.006772465379584</v>
      </c>
      <c r="AS594" s="169">
        <f>AS521/AS$533*100</f>
        <v>13.275434243176178</v>
      </c>
      <c r="AT594" s="72">
        <f>IF(ISERROR(AS594/AK594),"NA",IF(OR(AS594/AK594&gt;2,AS594/AK594&lt;0.5),"NM",AS594/AK594*100-100))</f>
        <v>4.3275973675693109</v>
      </c>
      <c r="AU594" s="169">
        <f>AU521/AU$533*100</f>
        <v>10.844748858447488</v>
      </c>
      <c r="AV594" s="72">
        <f>IF(ISERROR(AU594/AM594),"NA",IF(OR(AU594/AM594&gt;2,AU594/AM594&lt;0.5),"NM",AU594/AM594*100-100))</f>
        <v>-17.856795880695614</v>
      </c>
      <c r="AW594" s="169">
        <f>AW521/AW$533*100</f>
        <v>8.7234042553191493</v>
      </c>
      <c r="AX594" s="72">
        <f>IF(ISERROR(AW594/AO594),"NA",IF(OR(AW594/AO594&gt;2,AW594/AO594&lt;0.5),"NM",AW594/AO594*100-100))</f>
        <v>-36.664450354609926</v>
      </c>
      <c r="AY594" s="169">
        <f>AY521/AY$533*100</f>
        <v>14.315569487983282</v>
      </c>
      <c r="AZ594" s="72">
        <f>IF(ISERROR(AY594/AQ594),"NA",IF(OR(AY594/AQ594&gt;2,AY594/AQ594&lt;0.5),"NM",AY594/AQ594*100-100))</f>
        <v>-14.219304091690731</v>
      </c>
      <c r="BA594" s="169">
        <f>BA521/BA$533*100</f>
        <v>13.177470775770455</v>
      </c>
      <c r="BB594" s="72">
        <f>IF(ISERROR(BA594/AS594),"NA",IF(OR(BA594/AS594&gt;2,BA594/AS594&lt;0.5),"NM",BA594/AS594*100-100))</f>
        <v>-0.73793041802815651</v>
      </c>
      <c r="BC594" s="169">
        <f>BC521/BC$533*100</f>
        <v>11.558854718981973</v>
      </c>
      <c r="BD594" s="72">
        <f>IF(ISERROR(BC594/AU594),"NA",IF(OR(BC594/AU594&gt;2,BC594/AU594&lt;0.5),"NM",BC594/AU594*100-100))</f>
        <v>6.5848077245074705</v>
      </c>
      <c r="BE594" s="169">
        <f>BE521/BE$533*100</f>
        <v>12.448559670781894</v>
      </c>
      <c r="BF594" s="72">
        <f>IF(ISERROR(BE594/AW594),"NA",IF(OR(BE594/AW594&gt;2,BE594/AW594&lt;0.5),"NM",BE594/AW594*100-100))</f>
        <v>42.703001104085104</v>
      </c>
      <c r="BG594" s="169">
        <f>BG521/BG$533*100</f>
        <v>14.100609756097562</v>
      </c>
      <c r="BH594" s="72">
        <f>IF(ISERROR(BG594/AY594),"NA",IF(OR(BG594/AY594&gt;2,BG594/AY594&lt;0.5),"NM",BG594/AY594*100-100))</f>
        <v>-1.501580024924337</v>
      </c>
      <c r="BI594" s="169">
        <f>BI521/BI$533*100</f>
        <v>12.59124087591241</v>
      </c>
      <c r="BJ594" s="72">
        <f>IF(ISERROR(BI594/BA594),"NA",IF(OR(BI594/BA594&gt;2,BI594/BA594&lt;0.5),"NM",BI594/BA594*100-100))</f>
        <v>-4.4487285142453317</v>
      </c>
      <c r="BK594" s="169">
        <f>BK521/BK$533*100</f>
        <v>12.061068702290076</v>
      </c>
      <c r="BL594" s="72">
        <f>IF(ISERROR(BK594/BC594),"NA",IF(OR(BK594/BC594&gt;2,BK594/BC594&lt;0.5),"NM",BK594/BC594*100-100))</f>
        <v>4.3448420757756168</v>
      </c>
      <c r="BM594" s="169">
        <f>BM521/BM$533*100</f>
        <v>12.350936967632027</v>
      </c>
      <c r="BN594" s="72">
        <f>IF(ISERROR(BM594/BE594),"NA",IF(OR(BM594/BE594&gt;2,BM594/BE594&lt;0.5),"NM",BM594/BE594*100-100))</f>
        <v>-0.78420882199728226</v>
      </c>
      <c r="BO594" s="169">
        <f>BO521/BO$533*100</f>
        <v>13.163481953290871</v>
      </c>
      <c r="BP594" s="72">
        <f>IF(ISERROR(BO594/BG594),"NA",IF(OR(BO594/BG594&gt;2,BO594/BG594&lt;0.5),"NM",BO594/BG594*100-100))</f>
        <v>-6.6460090663912297</v>
      </c>
      <c r="BQ594" s="169">
        <f>BQ521/BQ$533*100</f>
        <v>13.128491620111731</v>
      </c>
      <c r="BR594" s="72">
        <f>IF(ISERROR(BQ594/BI594),"NA",IF(OR(BQ594/BI594&gt;2,BQ594/BI594&lt;0.5),"NM",BQ594/BI594*100-100))</f>
        <v>4.2668609829163557</v>
      </c>
      <c r="BS594" s="169">
        <f>BS521/BS$533*100</f>
        <v>12.604166666666666</v>
      </c>
      <c r="BT594" s="72">
        <f>IF(ISERROR(BS594/BK594),"NA",IF(OR(BS594/BK594&gt;2,BS594/BK594&lt;0.5),"NM",BS594/BK594*100-100))</f>
        <v>4.5029008438818465</v>
      </c>
      <c r="BU594" s="169">
        <f>BU521/BU$533*100</f>
        <v>17.391304347826086</v>
      </c>
      <c r="BV594" s="72">
        <f>IF(ISERROR(BU594/BM594),"NA",IF(OR(BU594/BM594&gt;2,BU594/BM594&lt;0.5),"NM",BU594/BM594*100-100))</f>
        <v>40.809595202398782</v>
      </c>
      <c r="BW594" s="169">
        <f>BW521/BW$533*100</f>
        <v>22.838499184339316</v>
      </c>
      <c r="BX594" s="72">
        <f>IF(ISERROR(BW594/BO594),"NA",IF(OR(BW594/BO594&gt;2,BW594/BO594&lt;0.5),"NM",BW594/BO594*100-100))</f>
        <v>73.49892122296481</v>
      </c>
      <c r="BY594" s="169">
        <f>BY521/BY$533*100</f>
        <v>14.705882352941178</v>
      </c>
      <c r="BZ594" s="72">
        <f>IF(ISERROR(BY594/BQ594),"NA",IF(OR(BY594/BQ594&gt;2,BY594/BQ594&lt;0.5),"NM",BY594/BQ594*100-100))</f>
        <v>12.015018773466849</v>
      </c>
      <c r="CA594" s="169">
        <f>CA521/CA$533*100</f>
        <v>14.011976047904193</v>
      </c>
      <c r="CB594" s="72">
        <f>IF(ISERROR(CA594/BS594),"NA",IF(OR(CA594/BS594&gt;2,CA594/BS594&lt;0.5),"NM",CA594/BS594*100-100))</f>
        <v>11.169396743702691</v>
      </c>
      <c r="CC594" s="169">
        <f>CC521/CC$533*100</f>
        <v>19.241982507288629</v>
      </c>
      <c r="CD594" s="72">
        <f>IF(ISERROR(CC594/BU594),"NA",IF(OR(CC594/BU594&gt;2,CC594/BU594&lt;0.5),"NM",CC594/BU594*100-100))</f>
        <v>10.641399416909621</v>
      </c>
      <c r="CE594" s="169">
        <f>CE521/CE$533*100</f>
        <v>22.060766182298547</v>
      </c>
      <c r="CF594" s="72">
        <f>IF(ISERROR(CE594/BW594),"NA",IF(OR(CE594/BW594&gt;2,CE594/BW594&lt;0.5),"NM",CE594/BW594*100-100))</f>
        <v>-3.4053595017927876</v>
      </c>
      <c r="CG594" s="169">
        <f>CG521/CG$533*100</f>
        <v>16.522811344019729</v>
      </c>
      <c r="CH594" s="72">
        <f>IF(ISERROR(CG594/BY594),"NA",IF(OR(CG594/BY594&gt;2,CG594/BY594&lt;0.5),"NM",CG594/BY594*100-100))</f>
        <v>12.355117139334155</v>
      </c>
      <c r="CI594" s="169">
        <f>CI521/CI$533*100</f>
        <v>17.6158940397351</v>
      </c>
      <c r="CJ594" s="72">
        <f>IF(ISERROR(CI594/CA594),"NA",IF(OR(CI594/CA594&gt;2,CI594/CA594&lt;0.5),"NM",CI594/CA594*100-100))</f>
        <v>25.72026942887868</v>
      </c>
      <c r="CK594" s="169">
        <f>CK521/CK$533*100</f>
        <v>16.743119266055047</v>
      </c>
      <c r="CL594" s="72">
        <f>IF(ISERROR(CK594/CC594),"NA",IF(OR(CK594/CC594&gt;2,CK594/CC594&lt;0.5),"NM",CK594/CC594*100-100))</f>
        <v>-12.986516541562409</v>
      </c>
      <c r="CM594" s="169">
        <f>CM521/CM$533*100</f>
        <v>18.110982415499631</v>
      </c>
      <c r="CN594" s="72">
        <f>IF(ISERROR(CM594/CE594),"NA",IF(OR(CM594/CE594&gt;2,CM594/CE594&lt;0.5),"NM",CM594/CE594*100-100))</f>
        <v>-17.904109649501677</v>
      </c>
      <c r="CO594" s="169">
        <f>CO521/CO$533*100</f>
        <v>15.475113122171946</v>
      </c>
      <c r="CP594" s="72">
        <f>IF(ISERROR(CO594/CG594),"NA",IF(OR(CO594/CG594&gt;2,CO594/CG594&lt;0.5),"NM",CO594/CG594*100-100))</f>
        <v>-6.3409198352130716</v>
      </c>
      <c r="CQ594" s="169">
        <f>CQ521/CQ$533*100</f>
        <v>13.733468972533061</v>
      </c>
      <c r="CR594" s="72">
        <f>IF(ISERROR(CQ594/CI594),"NA",IF(OR(CQ594/CI594&gt;2,CQ594/CI594&lt;0.5),"NM",CQ594/CI594*100-100))</f>
        <v>-22.03933026870331</v>
      </c>
      <c r="CS594" s="169">
        <f>CS521/CS$533*100</f>
        <v>14.314928425357873</v>
      </c>
      <c r="CT594" s="72">
        <f>IF(ISERROR(CS594/CK594),"NA",IF(OR(CS594/CK594&gt;2,CS594/CK594&lt;0.5),"NM",CS594/CK594*100-100))</f>
        <v>-14.502619267725578</v>
      </c>
      <c r="CU594" s="169">
        <f>CU521/CU$533*100</f>
        <v>16.810344827586206</v>
      </c>
      <c r="CV594" s="72">
        <f>IF(ISERROR(CU594/CM594),"NA",IF(OR(CU594/CM594&gt;2,CU594/CM594&lt;0.5),"NM",CU594/CM594*100-100))</f>
        <v>-7.1814855653568657</v>
      </c>
      <c r="CW594" s="169">
        <f>CW521/CW$533*100</f>
        <v>14.156079854809436</v>
      </c>
      <c r="CX594" s="72">
        <f>IF(ISERROR(CW594/CO594),"NA",IF(OR(CW594/CO594&gt;2,CW594/CO594&lt;0.5),"NM",CW594/CO594*100-100))</f>
        <v>-8.5235775464068553</v>
      </c>
      <c r="CY594" s="169">
        <f>CY521/CY$533*100</f>
        <v>12.805391743892164</v>
      </c>
      <c r="CZ594" s="72">
        <f>IF(ISERROR(CY594/CQ594),"NA",IF(OR(CY594/CQ594&gt;2,CY594/CQ594&lt;0.5),"NM",CY594/CQ594*100-100))</f>
        <v>-6.7577771537333433</v>
      </c>
      <c r="DA594" s="169">
        <f>DA521/DA$533*100</f>
        <v>14.399293286219081</v>
      </c>
      <c r="DB594" s="72">
        <f>IF(ISERROR(DA594/CS594),"NA",IF(OR(DA594/CS594&gt;2,DA594/CS594&lt;0.5),"NM",DA594/CS594*100-100))</f>
        <v>0.58934881373042458</v>
      </c>
      <c r="DC594" s="169">
        <f>DC521/DC$533*100</f>
        <v>16.618075801749271</v>
      </c>
      <c r="DD594" s="72">
        <f>IF(ISERROR(DC594/CU594),"NA",IF(OR(DC594/CU594&gt;2,DC594/CU594&lt;0.5),"NM",DC594/CU594*100-100))</f>
        <v>-1.1437542049786913</v>
      </c>
      <c r="DE594" s="169">
        <f>DE521/DE$533*100</f>
        <v>16.921954777534644</v>
      </c>
      <c r="DF594" s="72">
        <f>IF(ISERROR(DE594/CW594),"NA",IF(OR(DE594/CW594&gt;2,DE594/CW594&lt;0.5),"NM",DE594/CW594*100-100))</f>
        <v>19.538424133610135</v>
      </c>
      <c r="DG594" s="169">
        <f>DG521/DG$533*100</f>
        <v>15.907590759075907</v>
      </c>
      <c r="DH594" s="72">
        <f>IF(ISERROR(DG594/CY594),"NA",IF(OR(DG594/CY594&gt;2,DG594/CY594&lt;0.5),"NM",DG594/CY594*100-100))</f>
        <v>24.225725204099362</v>
      </c>
      <c r="DI594" s="169">
        <f>DI521/DI$533*100</f>
        <v>20.027155465037339</v>
      </c>
      <c r="DJ594" s="72">
        <f>IF(ISERROR(DI594/DA594),"NA",IF(OR(DI594/DA594&gt;2,DI594/DA594&lt;0.5),"NM",DI594/DA594*100-100))</f>
        <v>39.084294395228653</v>
      </c>
      <c r="DK594" s="169">
        <f>DK521/DK$533*100</f>
        <v>22.524752475247524</v>
      </c>
      <c r="DL594" s="72">
        <f>IF(ISERROR(DK594/DC594),"NA",IF(OR(DK594/DC594&gt;2,DK594/DC594&lt;0.5),"NM",DK594/DC594*100-100))</f>
        <v>35.543685947542116</v>
      </c>
      <c r="DM594" s="169">
        <f>DM521/DM$533*100</f>
        <v>17.49235474006116</v>
      </c>
      <c r="DN594" s="72">
        <f t="shared" si="2829"/>
        <v>3.3707687440683429</v>
      </c>
      <c r="DO594" s="169">
        <f>DO521/DO$533*100</f>
        <v>16.844082654978084</v>
      </c>
      <c r="DP594" s="72">
        <f t="shared" si="2829"/>
        <v>5.8870756111693083</v>
      </c>
      <c r="DQ594" s="169">
        <f>DQ521/DQ$533*100</f>
        <v>19.652406417112299</v>
      </c>
      <c r="DR594" s="72">
        <f t="shared" si="2829"/>
        <v>-1.8712045681138392</v>
      </c>
      <c r="DS594" s="169">
        <f>DS521/DS$533*100</f>
        <v>17.233009708737864</v>
      </c>
      <c r="DT594" s="72">
        <f t="shared" si="2829"/>
        <v>-23.4930118425264</v>
      </c>
      <c r="DU594" s="169">
        <f>DU521/DU$533*100</f>
        <v>14.468864468864471</v>
      </c>
      <c r="DV594" s="72">
        <f t="shared" si="2829"/>
        <v>-17.284638438484563</v>
      </c>
      <c r="DW594" s="169">
        <f>DW521/DW$533*100</f>
        <v>14.350355526826114</v>
      </c>
      <c r="DX594" s="72">
        <f t="shared" si="2829"/>
        <v>-14.804766630701465</v>
      </c>
      <c r="DY594" s="169">
        <f>DY521/DY$533*100</f>
        <v>13.181639858768143</v>
      </c>
      <c r="DZ594" s="72">
        <f t="shared" si="2829"/>
        <v>-32.926077453343055</v>
      </c>
      <c r="EA594" s="169">
        <f>EA521/EA$533*100</f>
        <v>15.390021082220661</v>
      </c>
      <c r="EB594" s="72">
        <f>IF(ISERROR(EA594/DS594),"NA",IF(OR(EA594/DS594&gt;2,EA594/DS594&lt;0.5),"NM",EA594/DS594*100-100))</f>
        <v>-10.694525551057566</v>
      </c>
      <c r="EC594" s="169">
        <f>EC521/EC$533*100</f>
        <v>15.415549597855227</v>
      </c>
      <c r="ED594" s="72">
        <f>IF(ISERROR(EC594/DU594),"NA",IF(OR(EC594/DU594&gt;2,EC594/DU594&lt;0.5),"NM",EC594/DU594*100-100))</f>
        <v>6.5429124104930736</v>
      </c>
      <c r="EE594" s="169">
        <f>EE521/EE$533*100</f>
        <v>18.788713007570543</v>
      </c>
      <c r="EF594" s="72">
        <f>IF(ISERROR(EE594/DW594),"NA",IF(OR(EE594/DW594&gt;2,EE594/DW594&lt;0.5),"NM",EE594/DW594*100-100))</f>
        <v>30.9285541563587</v>
      </c>
      <c r="EG594" s="169">
        <f>EG521/EG$533*100</f>
        <v>20.708825573314801</v>
      </c>
      <c r="EH594" s="72">
        <f>IF(ISERROR(EG594/DY594),"NA",IF(OR(EG594/DY594&gt;2,EG594/DY594&lt;0.5),"NM",EG594/DY594*100-100))</f>
        <v>57.103560673748319</v>
      </c>
      <c r="EI594" s="169">
        <f>EI521/EI$533*100</f>
        <v>24.205841107249558</v>
      </c>
      <c r="EJ594" s="72">
        <f>IF(ISERROR(EI594/EA594),"NA",IF(OR(EI594/EA594&gt;2,EI594/EA594&lt;0.5),"NM",EI594/EA594*100-100))</f>
        <v>57.282702719708311</v>
      </c>
      <c r="EK594" s="169">
        <f>EK521/EK$533*100</f>
        <v>18.262806236080177</v>
      </c>
      <c r="EL594" s="72">
        <f>IF(ISERROR(EK594/EC594),"NA",IF(OR(EK594/EC594&gt;2,EK594/EC594&lt;0.5),"NM",EK594/EC594*100-100))</f>
        <v>18.470030018398376</v>
      </c>
      <c r="EM594" s="169">
        <f>EM521/EM$533*100</f>
        <v>14.285714285714285</v>
      </c>
      <c r="EN594" s="72">
        <f>IF(ISERROR(EM594/EE594),"NA",IF(OR(EM594/EE594&gt;2,EM594/EE594&lt;0.5),"NM",EM594/EE594*100-100))</f>
        <v>-23.966509680795397</v>
      </c>
      <c r="EO594" s="169">
        <f>EO521/EO$533*100</f>
        <v>18.558673469387756</v>
      </c>
      <c r="EP594" s="72">
        <f>IF(ISERROR(EO594/EG594),"NA",IF(OR(EO594/EG594&gt;2,EO594/EG594&lt;0.5),"NM",EO594/EG594*100-100))</f>
        <v>-10.382781468291995</v>
      </c>
      <c r="EQ594" s="169">
        <f>EQ521/EQ$533*100</f>
        <v>17.933984550293559</v>
      </c>
      <c r="ER594" s="72">
        <f t="shared" si="2830"/>
        <v>-25.910508662628544</v>
      </c>
      <c r="ES594" s="169">
        <f>ES521/ES$533*100</f>
        <v>16.553125027755929</v>
      </c>
      <c r="ET594" s="72">
        <f t="shared" si="2831"/>
        <v>-9.3615471041169229</v>
      </c>
      <c r="EU594" s="169">
        <f>EU521/EU$533*100</f>
        <v>15.533065659050823</v>
      </c>
      <c r="EV594" s="72">
        <f t="shared" si="2832"/>
        <v>8.7314596133557814</v>
      </c>
      <c r="EW594" s="169">
        <f>EW521/EW$533*100</f>
        <v>16.386012350733807</v>
      </c>
      <c r="EX594" s="72">
        <f t="shared" si="2833"/>
        <v>-11.706984996733311</v>
      </c>
      <c r="EY594" s="72"/>
      <c r="EZ594" s="296"/>
      <c r="FA594" s="72"/>
      <c r="FB594" s="169"/>
      <c r="FC594" s="11"/>
      <c r="FD594" s="171">
        <f>FD521/FD$533*100</f>
        <v>17.783291976840367</v>
      </c>
      <c r="FE594" s="72" t="str">
        <f>IF(ISERROR(FD594/FB594),"NA",IF(OR(FD594/FB594&gt;2,FD594/FB594&lt;0.5),"NM",FD594/FB594*100-100))</f>
        <v>NA</v>
      </c>
      <c r="FF594" s="171">
        <f>FF521/FF$533*100</f>
        <v>15.901639344262295</v>
      </c>
      <c r="FG594" s="72">
        <f>IF(ISERROR(FF594/FD594),"NA",IF(OR(FF594/FD594&gt;2,FF594/FD594&lt;0.5),"NM",FF594/FD594*100-100))</f>
        <v>-10.581014105985531</v>
      </c>
      <c r="FH594" s="171">
        <f>FH521/FH$533*100</f>
        <v>7.3619631901840492</v>
      </c>
      <c r="FI594" s="72" t="str">
        <f>IF(ISERROR(FH594/FF594),"NA",IF(OR(FH594/FF594&gt;2,FH594/FF594&lt;0.5),"NM",FH594/FF594*100-100))</f>
        <v>NM</v>
      </c>
      <c r="FJ594" s="171">
        <f>FJ521/FJ$533*100</f>
        <v>8.3286752375628836</v>
      </c>
      <c r="FK594" s="72">
        <f>IF(ISERROR(FJ594/FH594),"NA",IF(OR(FJ594/FH594&gt;2,FJ594/FH594&lt;0.5),"NM",FJ594/FH594*100-100))</f>
        <v>13.131171976895843</v>
      </c>
      <c r="FL594" s="171">
        <f>FL521/FL$533*100</f>
        <v>9.1515729265967583</v>
      </c>
      <c r="FM594" s="72">
        <f>IF(ISERROR(FL594/FJ594),"NA",IF(OR(FL594/FJ594&gt;2,FL594/FJ594&lt;0.5),"NM",FL594/FJ594*100-100))</f>
        <v>9.8802950716885931</v>
      </c>
      <c r="FN594" s="171">
        <f>FN521/FN$533*100</f>
        <v>12.37037037037037</v>
      </c>
      <c r="FO594" s="72">
        <f>IF(ISERROR(FN594/FL594),"NA",IF(OR(FN594/FL594&gt;2,FN594/FL594&lt;0.5),"NM",FN594/FL594*100-100))</f>
        <v>35.172067901234584</v>
      </c>
      <c r="FP594" s="171">
        <f>FP521/FP$533*100</f>
        <v>12.084680976183476</v>
      </c>
      <c r="FQ594" s="72">
        <f>IF(ISERROR(FP594/FN594),"NA",IF(OR(FP594/FN594&gt;2,FP594/FN594&lt;0.5),"NM",FP594/FN594*100-100))</f>
        <v>-2.3094651625886655</v>
      </c>
      <c r="FR594" s="171">
        <f>FR521/FR$533*100</f>
        <v>12.938076416337285</v>
      </c>
      <c r="FS594" s="72">
        <f>IF(ISERROR(FR594/FP594),"NA",IF(OR(FR594/FP594&gt;2,FR594/FP594&lt;0.5),"NM",FR594/FP594*100-100))</f>
        <v>7.0617953575744679</v>
      </c>
      <c r="FT594" s="171">
        <f>FT521/FT$533*100</f>
        <v>12.791556269817139</v>
      </c>
      <c r="FU594" s="72">
        <f>IF(ISERROR(FT594/FR594),"NA",IF(OR(FT594/FR594&gt;2,FT594/FR594&lt;0.5),"NM",FT594/FR594*100-100))</f>
        <v>-1.1324724155681309</v>
      </c>
      <c r="FV594" s="171">
        <f>FV521/FV$533*100</f>
        <v>15.086206896551724</v>
      </c>
      <c r="FW594" s="72">
        <f>IF(ISERROR(FV594/FT594),"NA",IF(OR(FV594/FT594&gt;2,FV594/FT594&lt;0.5),"NM",FV594/FT594*100-100))</f>
        <v>17.938791639833738</v>
      </c>
      <c r="FX594" s="171">
        <f>FX521/FX$533*100</f>
        <v>19.217221135029355</v>
      </c>
      <c r="FY594" s="72">
        <f>IF(ISERROR(FX594/FV594),"NA",IF(OR(FX594/FV594&gt;2,FX594/FV594&lt;0.5),"NM",FX594/FV594*100-100))</f>
        <v>27.38272295219457</v>
      </c>
      <c r="FZ594" s="171">
        <f>FZ521/FZ$533*100</f>
        <v>18.153364632237874</v>
      </c>
      <c r="GA594" s="72">
        <f>IF(ISERROR(FZ594/FX594),"NA",IF(OR(FZ594/FX594&gt;2,FZ594/FX594&lt;0.5),"NM",FZ594/FX594*100-100))</f>
        <v>-5.535953899454654</v>
      </c>
      <c r="GB594" s="171">
        <f>GB521/GB$533*100</f>
        <v>15.389595836342357</v>
      </c>
      <c r="GC594" s="72">
        <f>IF(ISERROR(GB594/FZ594),"NA",IF(OR(GB594/FZ594&gt;2,GB594/FZ594&lt;0.5),"NM",GB594/FZ594*100-100))</f>
        <v>-15.224553970493403</v>
      </c>
      <c r="GD594" s="171">
        <f>GD521/GD$533*100</f>
        <v>14.417107381007128</v>
      </c>
      <c r="GE594" s="72">
        <f>IF(ISERROR(GD594/GB594),"NA",IF(OR(GD594/GB594&gt;2,GD594/GB594&lt;0.5),"NM",GD594/GB594*100-100))</f>
        <v>-6.3191292719897802</v>
      </c>
      <c r="GF594" s="171">
        <f>GF521/GF$533*100</f>
        <v>17.379165939626592</v>
      </c>
      <c r="GG594" s="72">
        <f>IF(ISERROR(GF594/GD594),"NA",IF(OR(GF594/GD594&gt;2,GF594/GD594&lt;0.5),"NM",GF594/GD594*100-100))</f>
        <v>20.545442857154782</v>
      </c>
      <c r="GH594" s="171">
        <f>GH521/GH$533*100</f>
        <v>19.120428751576295</v>
      </c>
      <c r="GI594" s="72">
        <f t="shared" si="2834"/>
        <v>10.01925419205196</v>
      </c>
      <c r="GJ594" s="171">
        <f>GJ521/GJ$533*100</f>
        <v>14.916086778550962</v>
      </c>
      <c r="GK594" s="72">
        <f t="shared" si="2834"/>
        <v>-21.988743179614772</v>
      </c>
      <c r="GL594" s="171">
        <f>GL521/GL$533*100</f>
        <v>17.565007749268126</v>
      </c>
      <c r="GM594" s="72">
        <f t="shared" si="2834"/>
        <v>17.758819789961677</v>
      </c>
      <c r="GN594" s="171">
        <f>GN521/GN$533*100</f>
        <v>18.753430957997654</v>
      </c>
      <c r="GO594" s="72">
        <f t="shared" si="2834"/>
        <v>6.7658564442081968</v>
      </c>
      <c r="GP594" s="171">
        <f>GP521/GP$533*100</f>
        <v>16.608790226075254</v>
      </c>
      <c r="GQ594" s="72">
        <f t="shared" si="2834"/>
        <v>-11.435991295277034</v>
      </c>
      <c r="GR594" s="169">
        <f>GR521/GR$533*100</f>
        <v>16.838671926183142</v>
      </c>
      <c r="GS594" s="72">
        <f t="shared" si="2834"/>
        <v>1.3840965957109859</v>
      </c>
      <c r="GT594" s="169">
        <f>GT521/GT$533*100</f>
        <v>17.008957593197294</v>
      </c>
      <c r="GU594" s="72">
        <f t="shared" si="2834"/>
        <v>1.0112773012066896</v>
      </c>
      <c r="GV594" s="169">
        <f>GV521/GV$533*100</f>
        <v>17.161768201079735</v>
      </c>
      <c r="GW594" s="72">
        <f>IF(ISERROR(GV594/GT594),"NA",IF(OR(GV594/GT594&gt;2,GV594/GT594&lt;0.5),"NM",GV594/GT594*100-100))</f>
        <v>0.89841253965825274</v>
      </c>
      <c r="GX594" s="169">
        <f>GX521/GX$533*100</f>
        <v>17.34234575953873</v>
      </c>
      <c r="GY594" s="72">
        <f>IF(ISERROR(GX594/GV594),"NA",IF(OR(GX594/GV594&gt;2,GX594/GV594&lt;0.5),"NM",GX594/GV594*100-100))</f>
        <v>1.0522083525614505</v>
      </c>
      <c r="GZ594" s="72">
        <f>IF(ISERROR(((GX594/GN594)^0.2-1)*100),"NA",IF((((GX594/GN594)^0.2-1)*100)&gt;100,"NM",IF((((GX594/GN594)^0.2-1)*100)&lt;-50,"NM",((GX594/GN594)^0.2-1)*100)))</f>
        <v>-1.5523346773550051</v>
      </c>
      <c r="HA594" s="72"/>
      <c r="HB594" s="72"/>
      <c r="HC594"/>
      <c r="HD594"/>
      <c r="HE594"/>
      <c r="HF594"/>
      <c r="HG594"/>
      <c r="HH594"/>
      <c r="HI594" s="2"/>
    </row>
    <row r="595" spans="1:217" s="3" customFormat="1" ht="12.75" customHeight="1" x14ac:dyDescent="0.2">
      <c r="A595" s="3" t="s">
        <v>712</v>
      </c>
      <c r="B595" s="10" t="s">
        <v>342</v>
      </c>
      <c r="C595" s="169"/>
      <c r="D595" s="11"/>
      <c r="E595" s="169"/>
      <c r="F595" s="11"/>
      <c r="G595" s="169"/>
      <c r="H595" s="11"/>
      <c r="I595" s="169"/>
      <c r="J595" s="11"/>
      <c r="K595" s="169">
        <f>K522/K$533*100</f>
        <v>10.06423982869379</v>
      </c>
      <c r="L595" s="72" t="str">
        <f>IF(ISERROR(K595/C595),"NA",IF(OR(K595/C595&gt;2,K595/C595&lt;0.5),"NM",K595/C595*100-100))</f>
        <v>NA</v>
      </c>
      <c r="M595" s="169">
        <f>M522/M$533*100</f>
        <v>2.0930232558139537</v>
      </c>
      <c r="N595" s="72" t="str">
        <f>IF(ISERROR(M595/E595),"NA",IF(OR(M595/E595&gt;2,M595/E595&lt;0.5),"NM",M595/E595*100-100))</f>
        <v>NA</v>
      </c>
      <c r="O595" s="169">
        <f>O522/O$533*100</f>
        <v>-2.2292993630573248</v>
      </c>
      <c r="P595" s="72" t="str">
        <f>IF(ISERROR(O595/G595),"NA",IF(OR(O595/G595&gt;2,O595/G595&lt;0.5),"NM",O595/G595*100-100))</f>
        <v>NA</v>
      </c>
      <c r="Q595" s="169">
        <f>Q522/Q$533*100</f>
        <v>8.1395348837209305</v>
      </c>
      <c r="R595" s="72" t="str">
        <f>IF(ISERROR(Q595/I595),"NA",IF(OR(Q595/I595&gt;2,Q595/I595&lt;0.5),"NM",Q595/I595*100-100))</f>
        <v>NA</v>
      </c>
      <c r="S595" s="169">
        <f>S522/S$533*100</f>
        <v>7.4898785425101213</v>
      </c>
      <c r="T595" s="72">
        <f>IF(ISERROR(S595/K595),"NA",IF(OR(S595/K595&gt;2,S595/K595&lt;0.5),"NM",S595/K595*100-100))</f>
        <v>-25.579291928676028</v>
      </c>
      <c r="U595" s="169">
        <f>U522/U$533*100</f>
        <v>7.6759061833688706</v>
      </c>
      <c r="V595" s="72" t="str">
        <f>IF(ISERROR(U595/M595),"NA",IF(OR(U595/M595&gt;2,U595/M595&lt;0.5),"NM",U595/M595*100-100))</f>
        <v>NM</v>
      </c>
      <c r="W595" s="169">
        <f>W522/W$533*100</f>
        <v>6.7873303167420813</v>
      </c>
      <c r="X595" s="72" t="str">
        <f>IF(ISERROR(W595/O595),"NA",IF(OR(W595/O595&gt;2,W595/O595&lt;0.5),"NM",W595/O595*100-100))</f>
        <v>NM</v>
      </c>
      <c r="Y595" s="169">
        <f>Y522/Y$533*100</f>
        <v>13.829787234042554</v>
      </c>
      <c r="Z595" s="72">
        <f>IF(ISERROR(Y595/Q595),"NA",IF(OR(Y595/Q595&gt;2,Y595/Q595&lt;0.5),"NM",Y595/Q595*100-100))</f>
        <v>69.908814589665639</v>
      </c>
      <c r="AA595" s="169">
        <f>AA522/AA$533*100</f>
        <v>7.4561403508771926</v>
      </c>
      <c r="AB595" s="72">
        <f>IF(ISERROR(AA595/S595),"NA",IF(OR(AA595/S595&gt;2,AA595/S595&lt;0.5),"NM",AA595/S595*100-100))</f>
        <v>-0.45045045045046095</v>
      </c>
      <c r="AC595" s="169">
        <f>AC522/AC$533*100</f>
        <v>10.545454545454545</v>
      </c>
      <c r="AD595" s="72">
        <f>IF(ISERROR(AC595/U595),"NA",IF(OR(AC595/U595&gt;2,AC595/U595&lt;0.5),"NM",AC595/U595*100-100))</f>
        <v>37.383838383838366</v>
      </c>
      <c r="AE595" s="169">
        <f>AE522/AE$533*100</f>
        <v>5.7803468208092488</v>
      </c>
      <c r="AF595" s="72">
        <f>IF(ISERROR(AE595/W595),"NA",IF(OR(AE595/W595&gt;2,AE595/W595&lt;0.5),"NM",AE595/W595*100-100))</f>
        <v>-14.836223506743735</v>
      </c>
      <c r="AG595" s="169">
        <f>AG522/AG$533*100</f>
        <v>8.362989323843415</v>
      </c>
      <c r="AH595" s="72">
        <f>IF(ISERROR(AG595/Y595),"NA",IF(OR(AG595/Y595&gt;2,AG595/Y595&lt;0.5),"NM",AG595/Y595*100-100))</f>
        <v>-39.529154119901463</v>
      </c>
      <c r="AI595" s="169">
        <f>AI522/AI$533*100</f>
        <v>4.6099290780141837</v>
      </c>
      <c r="AJ595" s="72">
        <f>IF(ISERROR(AI595/AA595),"NA",IF(OR(AI595/AA595&gt;2,AI595/AA595&lt;0.5),"NM",AI595/AA595*100-100))</f>
        <v>-38.172715894868588</v>
      </c>
      <c r="AK595" s="169">
        <f>AK522/AK$533*100</f>
        <v>6.3623789764868599</v>
      </c>
      <c r="AL595" s="72">
        <f>IF(ISERROR(AK595/AC595),"NA",IF(OR(AK595/AC595&gt;2,AK595/AC595&lt;0.5),"NM",AK595/AC595*100-100))</f>
        <v>-39.667095912624603</v>
      </c>
      <c r="AM595" s="169">
        <f>AM522/AM$533*100</f>
        <v>6.7415730337078648</v>
      </c>
      <c r="AN595" s="72">
        <f>IF(ISERROR(AM595/AE595),"NA",IF(OR(AM595/AE595&gt;2,AM595/AE595&lt;0.5),"NM",AM595/AE595*100-100))</f>
        <v>16.62921348314606</v>
      </c>
      <c r="AO595" s="169">
        <f>AO522/AO$533*100</f>
        <v>3.873744619799139</v>
      </c>
      <c r="AP595" s="72" t="str">
        <f>IF(ISERROR(AO595/AG595),"NA",IF(OR(AO595/AG595&gt;2,AO595/AG595&lt;0.5),"NM",AO595/AG595*100-100))</f>
        <v>NM</v>
      </c>
      <c r="AQ595" s="169">
        <f>AQ522/AQ$533*100</f>
        <v>4.4678055190538766</v>
      </c>
      <c r="AR595" s="72">
        <f>IF(ISERROR(AQ595/AI595),"NA",IF(OR(AQ595/AI595&gt;2,AQ595/AI595&lt;0.5),"NM",AQ595/AI595*100-100))</f>
        <v>-3.0829879712928232</v>
      </c>
      <c r="AS595" s="169">
        <f>AS522/AS$533*100</f>
        <v>5.7071960297766751</v>
      </c>
      <c r="AT595" s="72">
        <f>IF(ISERROR(AS595/AK595),"NA",IF(OR(AS595/AK595&gt;2,AS595/AK595&lt;0.5),"NM",AS595/AK595*100-100))</f>
        <v>-10.297766749379647</v>
      </c>
      <c r="AU595" s="169">
        <f>AU522/AU$533*100</f>
        <v>6.8493150684931505</v>
      </c>
      <c r="AV595" s="72">
        <f>IF(ISERROR(AU595/AM595),"NA",IF(OR(AU595/AM595&gt;2,AU595/AM595&lt;0.5),"NM",AU595/AM595*100-100))</f>
        <v>1.5981735159817561</v>
      </c>
      <c r="AW595" s="169">
        <f>AW522/AW$533*100</f>
        <v>8.5106382978723403</v>
      </c>
      <c r="AX595" s="72" t="str">
        <f>IF(ISERROR(AW595/AO595),"NA",IF(OR(AW595/AO595&gt;2,AW595/AO595&lt;0.5),"NM",AW595/AO595*100-100))</f>
        <v>NM</v>
      </c>
      <c r="AY595" s="169">
        <f>AY522/AY$533*100</f>
        <v>4.9111807732497388</v>
      </c>
      <c r="AZ595" s="72">
        <f>IF(ISERROR(AY595/AQ595),"NA",IF(OR(AY595/AQ595&gt;2,AY595/AQ595&lt;0.5),"NM",AY595/AQ595*100-100))</f>
        <v>9.9237814247956209</v>
      </c>
      <c r="BA595" s="169">
        <f>BA522/BA$533*100</f>
        <v>6.1636556854410207</v>
      </c>
      <c r="BB595" s="72">
        <f>IF(ISERROR(BA595/AS595),"NA",IF(OR(BA595/AS595&gt;2,BA595/AS595&lt;0.5),"NM",BA595/AS595*100-100))</f>
        <v>7.9979670101187423</v>
      </c>
      <c r="BC595" s="169">
        <f>BC522/BC$533*100</f>
        <v>6.1505832449628848</v>
      </c>
      <c r="BD595" s="72">
        <f>IF(ISERROR(BC595/AU595),"NA",IF(OR(BC595/AU595&gt;2,BC595/AU595&lt;0.5),"NM",BC595/AU595*100-100))</f>
        <v>-10.201484623541873</v>
      </c>
      <c r="BE595" s="169">
        <f>BE522/BE$533*100</f>
        <v>7.9218106995884776</v>
      </c>
      <c r="BF595" s="72">
        <f>IF(ISERROR(BE595/AW595),"NA",IF(OR(BE595/AW595&gt;2,BE595/AW595&lt;0.5),"NM",BE595/AW595*100-100))</f>
        <v>-6.9187242798353878</v>
      </c>
      <c r="BG595" s="169">
        <f>BG522/BG$533*100</f>
        <v>4.8589939024390247</v>
      </c>
      <c r="BH595" s="72">
        <f>IF(ISERROR(BG595/AY595),"NA",IF(OR(BG595/AY595&gt;2,BG595/AY595&lt;0.5),"NM",BG595/AY595*100-100))</f>
        <v>-1.0626135184224097</v>
      </c>
      <c r="BI595" s="169">
        <f>BI522/BI$533*100</f>
        <v>6.2956204379562051</v>
      </c>
      <c r="BJ595" s="72">
        <f>IF(ISERROR(BI595/BA595),"NA",IF(OR(BI595/BA595&gt;2,BI595/BA595&lt;0.5),"NM",BI595/BA595*100-100))</f>
        <v>2.1410143468411746</v>
      </c>
      <c r="BK595" s="169">
        <f>BK522/BK$533*100</f>
        <v>6.9465648854961826</v>
      </c>
      <c r="BL595" s="72">
        <f>IF(ISERROR(BK595/BC595),"NA",IF(OR(BK595/BC595&gt;2,BK595/BC595&lt;0.5),"NM",BK595/BC595*100-100))</f>
        <v>12.941563569360341</v>
      </c>
      <c r="BM595" s="169">
        <f>BM522/BM$533*100</f>
        <v>5.9625212947189095</v>
      </c>
      <c r="BN595" s="72">
        <f>IF(ISERROR(BM595/BE595),"NA",IF(OR(BM595/BE595&gt;2,BM595/BE595&lt;0.5),"NM",BM595/BE595*100-100))</f>
        <v>-24.732848071860005</v>
      </c>
      <c r="BO595" s="169">
        <f>BO522/BO$533*100</f>
        <v>7.4309978768577496</v>
      </c>
      <c r="BP595" s="72">
        <f>IF(ISERROR(BO595/BG595),"NA",IF(OR(BO595/BG595&gt;2,BO595/BG595&lt;0.5),"NM",BO595/BG595*100-100))</f>
        <v>52.932850422546949</v>
      </c>
      <c r="BQ595" s="169">
        <f>BQ522/BQ$533*100</f>
        <v>7.4487895716945998</v>
      </c>
      <c r="BR595" s="72">
        <f>IF(ISERROR(BQ595/BI595),"NA",IF(OR(BQ595/BI595&gt;2,BQ595/BI595&lt;0.5),"NM",BQ595/BI595*100-100))</f>
        <v>18.317005370685209</v>
      </c>
      <c r="BS595" s="169">
        <f>BS522/BS$533*100</f>
        <v>9.1666666666666661</v>
      </c>
      <c r="BT595" s="72">
        <f>IF(ISERROR(BS595/BK595),"NA",IF(OR(BS595/BK595&gt;2,BS595/BK595&lt;0.5),"NM",BS595/BK595*100-100))</f>
        <v>31.959706959706949</v>
      </c>
      <c r="BU595" s="169">
        <f>BU522/BU$533*100</f>
        <v>12</v>
      </c>
      <c r="BV595" s="72" t="str">
        <f>IF(ISERROR(BU595/BM595),"NA",IF(OR(BU595/BM595&gt;2,BU595/BM595&lt;0.5),"NM",BU595/BM595*100-100))</f>
        <v>NM</v>
      </c>
      <c r="BW595" s="169">
        <f>BW522/BW$533*100</f>
        <v>15.171288743882544</v>
      </c>
      <c r="BX595" s="72" t="str">
        <f>IF(ISERROR(BW595/BO595),"NA",IF(OR(BW595/BO595&gt;2,BW595/BO595&lt;0.5),"NM",BW595/BO595*100-100))</f>
        <v>NM</v>
      </c>
      <c r="BY595" s="169">
        <f>BY522/BY$533*100</f>
        <v>14.705882352941178</v>
      </c>
      <c r="BZ595" s="72">
        <f>IF(ISERROR(BY595/BQ595),"NA",IF(OR(BY595/BQ595&gt;2,BY595/BQ595&lt;0.5),"NM",BY595/BQ595*100-100))</f>
        <v>97.426470588235304</v>
      </c>
      <c r="CA595" s="169">
        <f>CA522/CA$533*100</f>
        <v>7.6646706586826348</v>
      </c>
      <c r="CB595" s="72">
        <f>IF(ISERROR(CA595/BS595),"NA",IF(OR(CA595/BS595&gt;2,CA595/BS595&lt;0.5),"NM",CA595/BS595*100-100))</f>
        <v>-16.385410996189435</v>
      </c>
      <c r="CC595" s="169">
        <f>CC522/CC$533*100</f>
        <v>10.058309037900875</v>
      </c>
      <c r="CD595" s="72">
        <f>IF(ISERROR(CC595/BU595),"NA",IF(OR(CC595/BU595&gt;2,CC595/BU595&lt;0.5),"NM",CC595/BU595*100-100))</f>
        <v>-16.180758017492707</v>
      </c>
      <c r="CE595" s="169">
        <f>CE522/CE$533*100</f>
        <v>6.8692206076618234</v>
      </c>
      <c r="CF595" s="72" t="str">
        <f>IF(ISERROR(CE595/BW595),"NA",IF(OR(CE595/BW595&gt;2,CE595/BW595&lt;0.5),"NM",CE595/BW595*100-100))</f>
        <v>NM</v>
      </c>
      <c r="CG595" s="169">
        <f>CG522/CG$533*100</f>
        <v>4.808877928483354</v>
      </c>
      <c r="CH595" s="72" t="str">
        <f>IF(ISERROR(CG595/BY595),"NA",IF(OR(CG595/BY595&gt;2,CG595/BY595&lt;0.5),"NM",CG595/BY595*100-100))</f>
        <v>NM</v>
      </c>
      <c r="CI595" s="169">
        <f>CI522/CI$533*100</f>
        <v>4.2384105960264904</v>
      </c>
      <c r="CJ595" s="72">
        <f>IF(ISERROR(CI595/CA595),"NA",IF(OR(CI595/CA595&gt;2,CI595/CA595&lt;0.5),"NM",CI595/CA595*100-100))</f>
        <v>-44.701986754966882</v>
      </c>
      <c r="CK595" s="169">
        <f>CK522/CK$533*100</f>
        <v>7.7981651376146797</v>
      </c>
      <c r="CL595" s="72">
        <f>IF(ISERROR(CK595/CC595),"NA",IF(OR(CK595/CC595&gt;2,CK595/CC595&lt;0.5),"NM",CK595/CC595*100-100))</f>
        <v>-22.470416168062755</v>
      </c>
      <c r="CM595" s="169">
        <f>CM522/CM$533*100</f>
        <v>4.1065599663051486</v>
      </c>
      <c r="CN595" s="72">
        <f>IF(ISERROR(CM595/CE595),"NA",IF(OR(CM595/CE595&gt;2,CM595/CE595&lt;0.5),"NM",CM595/CE595*100-100))</f>
        <v>-40.217963567442361</v>
      </c>
      <c r="CO595" s="169">
        <f>CO522/CO$533*100</f>
        <v>4.4343891402714934</v>
      </c>
      <c r="CP595" s="72">
        <f>IF(ISERROR(CO595/CG595),"NA",IF(OR(CO595/CG595&gt;2,CO595/CG595&lt;0.5),"NM",CO595/CG595*100-100))</f>
        <v>-7.7874463394825426</v>
      </c>
      <c r="CQ595" s="169">
        <f>CQ522/CQ$533*100</f>
        <v>2.3397761953204474</v>
      </c>
      <c r="CR595" s="72">
        <f>IF(ISERROR(CQ595/CI595),"NA",IF(OR(CQ595/CI595&gt;2,CQ595/CI595&lt;0.5),"NM",CQ595/CI595*100-100))</f>
        <v>-44.795905391658195</v>
      </c>
      <c r="CS595" s="169">
        <f>CS522/CS$533*100</f>
        <v>4.294478527607362</v>
      </c>
      <c r="CT595" s="72">
        <f>IF(ISERROR(CS595/CK595),"NA",IF(OR(CS595/CK595&gt;2,CS595/CK595&lt;0.5),"NM",CS595/CK595*100-100))</f>
        <v>-44.929628293035009</v>
      </c>
      <c r="CU595" s="169">
        <f>CU522/CU$533*100</f>
        <v>-4.3103448275862073</v>
      </c>
      <c r="CV595" s="72" t="str">
        <f>IF(ISERROR(CU595/CM595),"NA",IF(OR(CU595/CM595&gt;2,CU595/CM595&lt;0.5),"NM",CU595/CM595*100-100))</f>
        <v>NM</v>
      </c>
      <c r="CW595" s="169">
        <f>CW522/CW$533*100</f>
        <v>2.9945553539019962</v>
      </c>
      <c r="CX595" s="72">
        <f>IF(ISERROR(CW595/CO595),"NA",IF(OR(CW595/CO595&gt;2,CW595/CO595&lt;0.5),"NM",CW595/CO595*100-100))</f>
        <v>-32.469721100781513</v>
      </c>
      <c r="CY595" s="169">
        <f>CY522/CY$533*100</f>
        <v>2.3588879528222408</v>
      </c>
      <c r="CZ595" s="72">
        <f>IF(ISERROR(CY595/CQ595),"NA",IF(OR(CY595/CQ595&gt;2,CY595/CQ595&lt;0.5),"NM",CY595/CQ595*100-100))</f>
        <v>0.81681989670707367</v>
      </c>
      <c r="DA595" s="169">
        <f>DA522/DA$533*100</f>
        <v>2.2968197879858656</v>
      </c>
      <c r="DB595" s="72">
        <f>IF(ISERROR(DA595/CS595),"NA",IF(OR(DA595/CS595&gt;2,DA595/CS595&lt;0.5),"NM",DA595/CS595*100-100))</f>
        <v>-46.516910651186272</v>
      </c>
      <c r="DC595" s="169">
        <f>DC522/DC$533*100</f>
        <v>0.6559766763848397</v>
      </c>
      <c r="DD595" s="72" t="str">
        <f>IF(ISERROR(DC595/CU595),"NA",IF(OR(DC595/CU595&gt;2,DC595/CU595&lt;0.5),"NM",DC595/CU595*100-100))</f>
        <v>NM</v>
      </c>
      <c r="DE595" s="169">
        <f>DE522/DE$533*100</f>
        <v>1.6046681254558719</v>
      </c>
      <c r="DF595" s="72">
        <f>IF(ISERROR(DE595/CW595),"NA",IF(OR(DE595/CW595&gt;2,DE595/CW595&lt;0.5),"NM",DE595/CW595*100-100))</f>
        <v>-46.413809871140273</v>
      </c>
      <c r="DG595" s="169">
        <f>DG522/DG$533*100</f>
        <v>1.5181518151815181</v>
      </c>
      <c r="DH595" s="72">
        <f>IF(ISERROR(DG595/CY595),"NA",IF(OR(DG595/CY595&gt;2,DG595/CY595&lt;0.5),"NM",DG595/CY595*100-100))</f>
        <v>-35.641206977840639</v>
      </c>
      <c r="DI595" s="169">
        <f>DI522/DI$533*100</f>
        <v>3.9375424304141213</v>
      </c>
      <c r="DJ595" s="72">
        <f>IF(ISERROR(DI595/DA595),"NA",IF(OR(DI595/DA595&gt;2,DI595/DA595&lt;0.5),"NM",DI595/DA595*100-100))</f>
        <v>71.434539662645591</v>
      </c>
      <c r="DK595" s="169">
        <f>DK522/DK$533*100</f>
        <v>0.37128712871287128</v>
      </c>
      <c r="DL595" s="72">
        <f>IF(ISERROR(DK595/DC595),"NA",IF(OR(DK595/DC595&gt;2,DK595/DC595&lt;0.5),"NM",DK595/DC595*100-100))</f>
        <v>-43.39933993399341</v>
      </c>
      <c r="DM595" s="169">
        <f>DM522/DM$533*100</f>
        <v>2.8134556574923546</v>
      </c>
      <c r="DN595" s="72">
        <f>IF(ISERROR(DM595/DE595),"NA",IF(OR(DM595/DE595&gt;2,DM595/DE595&lt;0.5),"NM",DM595/DE595*100-100))</f>
        <v>75.329441201000805</v>
      </c>
      <c r="DO595" s="169">
        <f>DO522/DO$533*100</f>
        <v>2.128991859737007</v>
      </c>
      <c r="DP595" s="72">
        <f>IF(ISERROR(DO595/DG595),"NA",IF(OR(DO595/DG595&gt;2,DO595/DG595&lt;0.5),"NM",DO595/DG595*100-100))</f>
        <v>40.235768152242002</v>
      </c>
      <c r="DQ595" s="169">
        <f>DQ522/DQ$533*100</f>
        <v>2.9411764705882351</v>
      </c>
      <c r="DR595" s="72">
        <f>IF(ISERROR(DQ595/DI595),"NA",IF(OR(DQ595/DI595&gt;2,DQ595/DI595&lt;0.5),"NM",DQ595/DI595*100-100))</f>
        <v>-25.304259634888453</v>
      </c>
      <c r="DS595" s="169">
        <f>DS522/DS$533*100</f>
        <v>1.820388349514563</v>
      </c>
      <c r="DT595" s="72" t="str">
        <f>IF(ISERROR(DS595/DK595),"NA",IF(OR(DS595/DK595&gt;2,DS595/DK595&lt;0.5),"NM",DS595/DK595*100-100))</f>
        <v>NM</v>
      </c>
      <c r="DU595" s="169">
        <f>DU522/DU$533*100</f>
        <v>2.8693528693528694</v>
      </c>
      <c r="DV595" s="72">
        <f>IF(ISERROR(DU595/DM595),"NA",IF(OR(DU595/DM595&gt;2,DU595/DM595&lt;0.5),"NM",DU595/DM595*100-100))</f>
        <v>1.9867813346074286</v>
      </c>
      <c r="DW595" s="169">
        <f>DW522/DW$533*100</f>
        <v>2.8442146089204914</v>
      </c>
      <c r="DX595" s="72">
        <f>IF(ISERROR(DW595/DO595),"NA",IF(OR(DW595/DO595&gt;2,DW595/DO595&lt;0.5),"NM",DW595/DO595*100-100))</f>
        <v>33.594433248412486</v>
      </c>
      <c r="DY595" s="169">
        <f>DY522/DY$533*100</f>
        <v>2.1184778344448802</v>
      </c>
      <c r="DZ595" s="72">
        <f>IF(ISERROR(DY595/DQ595),"NA",IF(OR(DY595/DQ595&gt;2,DY595/DQ595&lt;0.5),"NM",DY595/DQ595*100-100))</f>
        <v>-27.971753628874069</v>
      </c>
      <c r="EA595" s="169">
        <f>EA522/EA$533*100</f>
        <v>1.8271257905832747</v>
      </c>
      <c r="EB595" s="72">
        <f>IF(ISERROR(EA595/DS595),"NA",IF(OR(EA595/DS595&gt;2,EA595/DS595&lt;0.5),"NM",EA595/DS595*100-100))</f>
        <v>0.37011009604124467</v>
      </c>
      <c r="EC595" s="169">
        <f>EC522/EC$533*100</f>
        <v>5.9651474530831097</v>
      </c>
      <c r="ED595" s="72" t="str">
        <f>IF(ISERROR(EC595/DU595),"NA",IF(OR(EC595/DU595&gt;2,EC595/DU595&lt;0.5),"NM",EC595/DU595*100-100))</f>
        <v>NM</v>
      </c>
      <c r="EE595" s="169">
        <f>EE522/EE$533*100</f>
        <v>4.2670337233310391</v>
      </c>
      <c r="EF595" s="72">
        <f>IF(ISERROR(EE595/DW595),"NA",IF(OR(EE595/DW595&gt;2,EE595/DW595&lt;0.5),"NM",EE595/DW595*100-100))</f>
        <v>50.025026590752674</v>
      </c>
      <c r="EG595" s="169">
        <f>EG522/EG$533*100</f>
        <v>2.9881862404447532</v>
      </c>
      <c r="EH595" s="72">
        <f>IF(ISERROR(EG595/DY595),"NA",IF(OR(EG595/DY595&gt;2,EG595/DY595&lt;0.5),"NM",EG595/DY595*100-100))</f>
        <v>41.053457905438449</v>
      </c>
      <c r="EI595" s="169">
        <f>EI522/EI$533*100</f>
        <v>2.0730443265654532</v>
      </c>
      <c r="EJ595" s="72">
        <f>IF(ISERROR(EI595/EA595),"NA",IF(OR(EI595/EA595&gt;2,EI595/EA595&lt;0.5),"NM",EI595/EA595*100-100))</f>
        <v>13.459310642409235</v>
      </c>
      <c r="EK595" s="169">
        <f>EK522/EK$533*100</f>
        <v>4.5100222717149219</v>
      </c>
      <c r="EL595" s="72">
        <f>IF(ISERROR(EK595/EC595),"NA",IF(OR(EK595/EC595&gt;2,EK595/EC595&lt;0.5),"NM",EK595/EC595*100-100))</f>
        <v>-24.39378393934085</v>
      </c>
      <c r="EM595" s="169">
        <f>EM522/EM$533*100</f>
        <v>3.5138248847926268</v>
      </c>
      <c r="EN595" s="72">
        <f>IF(ISERROR(EM595/EE595),"NA",IF(OR(EM595/EE595&gt;2,EM595/EE595&lt;0.5),"NM",EM595/EE595*100-100))</f>
        <v>-17.65181358703731</v>
      </c>
      <c r="EO595" s="169">
        <f>EO522/EO$533*100</f>
        <v>1.403061224489796</v>
      </c>
      <c r="EP595" s="72" t="str">
        <f>IF(ISERROR(EO595/EG595),"NA",IF(OR(EO595/EG595&gt;2,EO595/EG595&lt;0.5),"NM",EO595/EG595*100-100))</f>
        <v>NM</v>
      </c>
      <c r="EQ595" s="169">
        <f>EQ522/EQ$533*100</f>
        <v>2.5177731276788085</v>
      </c>
      <c r="ER595" s="72">
        <f>IF(ISERROR(EQ595/EI595),"NA",IF(OR(EQ595/EI595&gt;2,EQ595/EI595&lt;0.5),"NM",EQ595/EI595*100-100))</f>
        <v>21.452932550176882</v>
      </c>
      <c r="ES595" s="169">
        <f>ES522/ES$533*100</f>
        <v>2.8778767779605809</v>
      </c>
      <c r="ET595" s="72">
        <f>IF(ISERROR(ES595/EK595),"NA",IF(OR(ES595/EK595&gt;2,ES595/EK595&lt;0.5),"NM",ES595/EK595*100-100))</f>
        <v>-36.189300083738232</v>
      </c>
      <c r="EU595" s="169">
        <f>EU522/EU$533*100</f>
        <v>3.2959237995133188</v>
      </c>
      <c r="EV595" s="72">
        <f>IF(ISERROR(EU595/EM595),"NA",IF(OR(EU595/EM595&gt;2,EU595/EM595&lt;0.5),"NM",EU595/EM595*100-100))</f>
        <v>-6.2012505581127613</v>
      </c>
      <c r="EW595" s="169">
        <f>EW522/EW$533*100</f>
        <v>3.0594833875637129</v>
      </c>
      <c r="EX595" s="72" t="str">
        <f>IF(ISERROR(EW595/EO595),"NA",IF(OR(EW595/EO595&gt;2,EW595/EO595&lt;0.5),"NM",EW595/EO595*100-100))</f>
        <v>NM</v>
      </c>
      <c r="EY595" s="72"/>
      <c r="EZ595" s="296"/>
      <c r="FA595" s="72"/>
      <c r="FB595" s="169"/>
      <c r="FC595" s="11"/>
      <c r="FD595" s="171">
        <f>FD522/FD$533*100</f>
        <v>10.587262200165426</v>
      </c>
      <c r="FE595" s="72" t="str">
        <f>IF(ISERROR(FD595/FB595),"NA",IF(OR(FD595/FB595&gt;2,FD595/FB595&lt;0.5),"NM",FD595/FB595*100-100))</f>
        <v>NA</v>
      </c>
      <c r="FF595" s="171">
        <f>FF522/FF$533*100</f>
        <v>12.950819672131148</v>
      </c>
      <c r="FG595" s="72">
        <f>IF(ISERROR(FF595/FD595),"NA",IF(OR(FF595/FD595&gt;2,FF595/FD595&lt;0.5),"NM",FF595/FD595*100-100))</f>
        <v>22.324538934426229</v>
      </c>
      <c r="FH595" s="171">
        <f>FH522/FH$533*100</f>
        <v>4.7716428084526248</v>
      </c>
      <c r="FI595" s="72" t="str">
        <f>IF(ISERROR(FH595/FF595),"NA",IF(OR(FH595/FF595&gt;2,FH595/FF595&lt;0.5),"NM",FH595/FF595*100-100))</f>
        <v>NM</v>
      </c>
      <c r="FJ595" s="171">
        <f>FJ522/FJ$533*100</f>
        <v>8.6640581330352155</v>
      </c>
      <c r="FK595" s="72">
        <f>IF(ISERROR(FJ595/FH595),"NA",IF(OR(FJ595/FH595&gt;2,FJ595/FH595&lt;0.5),"NM",FJ595/FH595*100-100))</f>
        <v>81.573904016609418</v>
      </c>
      <c r="FL595" s="171">
        <f>FL522/FL$533*100</f>
        <v>8.0552907530981894</v>
      </c>
      <c r="FM595" s="72">
        <f>IF(ISERROR(FL595/FJ595),"NA",IF(OR(FL595/FJ595&gt;2,FL595/FJ595&lt;0.5),"NM",FL595/FJ595*100-100))</f>
        <v>-7.0263538239183134</v>
      </c>
      <c r="FN595" s="171">
        <f>FN522/FN$533*100</f>
        <v>5.4444444444444438</v>
      </c>
      <c r="FO595" s="72">
        <f>IF(ISERROR(FN595/FL595),"NA",IF(OR(FN595/FL595&gt;2,FN595/FL595&lt;0.5),"NM",FN595/FL595*100-100))</f>
        <v>-32.411571334648272</v>
      </c>
      <c r="FP595" s="171">
        <f>FP522/FP$533*100</f>
        <v>6.4686856806821531</v>
      </c>
      <c r="FQ595" s="72">
        <f>IF(ISERROR(FP595/FN595),"NA",IF(OR(FP595/FN595&gt;2,FP595/FN595&lt;0.5),"NM",FP595/FN595*100-100))</f>
        <v>18.812594134978326</v>
      </c>
      <c r="FR595" s="171">
        <f>FR522/FR$533*100</f>
        <v>6.3241106719367588</v>
      </c>
      <c r="FS595" s="72">
        <f>IF(ISERROR(FR595/FP595),"NA",IF(OR(FR595/FP595&gt;2,FR595/FP595&lt;0.5),"NM",FR595/FP595*100-100))</f>
        <v>-2.234998203377657</v>
      </c>
      <c r="FT595" s="171">
        <f>FT522/FT$533*100</f>
        <v>6.1025930591147981</v>
      </c>
      <c r="FU595" s="72">
        <f>IF(ISERROR(FT595/FR595),"NA",IF(OR(FT595/FR595&gt;2,FT595/FR595&lt;0.5),"NM",FT595/FR595*100-100))</f>
        <v>-3.5027472527472554</v>
      </c>
      <c r="FV595" s="171">
        <f>FV522/FV$533*100</f>
        <v>9.3288177339901477</v>
      </c>
      <c r="FW595" s="72">
        <f>IF(ISERROR(FV595/FT595),"NA",IF(OR(FV595/FT595&gt;2,FV595/FT595&lt;0.5),"NM",FV595/FT595*100-100))</f>
        <v>52.866456006871999</v>
      </c>
      <c r="FX595" s="171">
        <f>FX522/FX$533*100</f>
        <v>12.876712328767123</v>
      </c>
      <c r="FY595" s="72">
        <f>IF(ISERROR(FX595/FV595),"NA",IF(OR(FX595/FV595&gt;2,FX595/FV595&lt;0.5),"NM",FX595/FV595*100-100))</f>
        <v>38.031556580315566</v>
      </c>
      <c r="FZ595" s="171">
        <f>FZ522/FZ$533*100</f>
        <v>5.9780907668231613</v>
      </c>
      <c r="GA595" s="72" t="str">
        <f>IF(ISERROR(FZ595/FX595),"NA",IF(OR(FZ595/FX595&gt;2,FZ595/FX595&lt;0.5),"NM",FZ595/FX595*100-100))</f>
        <v>NM</v>
      </c>
      <c r="GB595" s="171">
        <f>GB522/GB$533*100</f>
        <v>3.8100455711333017</v>
      </c>
      <c r="GC595" s="72">
        <f>IF(ISERROR(GB595/FZ595),"NA",IF(OR(GB595/FZ595&gt;2,GB595/FZ595&lt;0.5),"NM",GB595/FZ595*100-100))</f>
        <v>-36.266515184445559</v>
      </c>
      <c r="GD595" s="171">
        <f>GD522/GD$533*100</f>
        <v>1.0807082087836284</v>
      </c>
      <c r="GE595" s="72" t="str">
        <f>IF(ISERROR(GD595/GB595),"NA",IF(OR(GD595/GB595&gt;2,GD595/GB595&lt;0.5),"NM",GD595/GB595*100-100))</f>
        <v>NM</v>
      </c>
      <c r="GF595" s="171">
        <f>GF522/GF$533*100</f>
        <v>1.9542837201186529</v>
      </c>
      <c r="GG595" s="72">
        <f>IF(ISERROR(GF595/GD595),"NA",IF(OR(GF595/GD595&gt;2,GF595/GD595&lt;0.5),"NM",GF595/GD595*100-100))</f>
        <v>80.833614868000467</v>
      </c>
      <c r="GH595" s="171">
        <f>GH522/GH$533*100</f>
        <v>2.0491803278688523</v>
      </c>
      <c r="GI595" s="72">
        <f>IF(ISERROR(GH595/GF595),"NA",IF(OR(GH595/GF595&gt;2,GH595/GF595&lt;0.5),"NM",GH595/GF595*100-100))</f>
        <v>4.8558255269320654</v>
      </c>
      <c r="GJ595" s="171">
        <f>GJ522/GJ$533*100</f>
        <v>2.4232501023331969</v>
      </c>
      <c r="GK595" s="72">
        <f>IF(ISERROR(GJ595/GH595),"NA",IF(OR(GJ595/GH595&gt;2,GJ595/GH595&lt;0.5),"NM",GJ595/GH595*100-100))</f>
        <v>18.254604993860028</v>
      </c>
      <c r="GL595" s="171">
        <f>GL522/GL$533*100</f>
        <v>3.7885310831754779</v>
      </c>
      <c r="GM595" s="72">
        <f>IF(ISERROR(GL595/GJ595),"NA",IF(OR(GL595/GJ595&gt;2,GL595/GJ595&lt;0.5),"NM",GL595/GJ595*100-100))</f>
        <v>56.340902638474546</v>
      </c>
      <c r="GN595" s="171">
        <f>GN522/GN$533*100</f>
        <v>2.9376418747496325</v>
      </c>
      <c r="GO595" s="72">
        <f>IF(ISERROR(GN595/GL595),"NA",IF(OR(GN595/GL595&gt;2,GN595/GL595&lt;0.5),"NM",GN595/GL595*100-100))</f>
        <v>-22.459607424222199</v>
      </c>
      <c r="GP595" s="171">
        <f>GP522/GP$533*100</f>
        <v>2.9339191762148795</v>
      </c>
      <c r="GQ595" s="72">
        <f>IF(ISERROR(GP595/GN595),"NA",IF(OR(GP595/GN595&gt;2,GP595/GN595&lt;0.5),"NM",GP595/GN595*100-100))</f>
        <v>-0.12672404239438606</v>
      </c>
      <c r="GR595" s="169">
        <f>GR522/GR$533*100</f>
        <v>3.0118532464676493</v>
      </c>
      <c r="GS595" s="72">
        <f>IF(ISERROR(GR595/GP595),"NA",IF(OR(GR595/GP595&gt;2,GR595/GP595&lt;0.5),"NM",GR595/GP595*100-100))</f>
        <v>2.6563127875020314</v>
      </c>
      <c r="GT595" s="169">
        <f>GT522/GT$533*100</f>
        <v>3.1354393649223313</v>
      </c>
      <c r="GU595" s="72">
        <f>IF(ISERROR(GT595/GR595),"NA",IF(OR(GT595/GR595&gt;2,GT595/GR595&lt;0.5),"NM",GT595/GR595*100-100))</f>
        <v>4.1033247087860474</v>
      </c>
      <c r="GV595" s="169">
        <f>GV522/GV$533*100</f>
        <v>3.2206857957253372</v>
      </c>
      <c r="GW595" s="72">
        <f>IF(ISERROR(GV595/GT595),"NA",IF(OR(GV595/GT595&gt;2,GV595/GT595&lt;0.5),"NM",GV595/GT595*100-100))</f>
        <v>2.7188033599596366</v>
      </c>
      <c r="GX595" s="169">
        <f>GX522/GX$533*100</f>
        <v>3.3133033042580631</v>
      </c>
      <c r="GY595" s="72">
        <f>IF(ISERROR(GX595/GV595),"NA",IF(OR(GX595/GV595&gt;2,GX595/GV595&lt;0.5),"NM",GX595/GV595*100-100))</f>
        <v>2.8757076724358797</v>
      </c>
      <c r="GZ595" s="72">
        <f>IF(ISERROR(((GX595/GN595)^0.2-1)*100),"NA",IF((((GX595/GN595)^0.2-1)*100)&gt;100,"NM",IF((((GX595/GN595)^0.2-1)*100)&lt;-50,"NM",((GX595/GN595)^0.2-1)*100)))</f>
        <v>2.4359663210672622</v>
      </c>
      <c r="HA595" s="72"/>
      <c r="HB595" s="72"/>
      <c r="HC595"/>
      <c r="HD595"/>
      <c r="HE595"/>
      <c r="HF595"/>
      <c r="HG595"/>
      <c r="HH595"/>
      <c r="HI595" s="2"/>
    </row>
    <row r="596" spans="1:217" s="78" customFormat="1" ht="12.75" customHeight="1" x14ac:dyDescent="0.2">
      <c r="B596" s="89" t="str">
        <f>B523</f>
        <v>US Workplace Solutions Division</v>
      </c>
      <c r="C596" s="173"/>
      <c r="D596" s="166"/>
      <c r="E596" s="173"/>
      <c r="F596" s="166"/>
      <c r="G596" s="173"/>
      <c r="H596" s="166"/>
      <c r="I596" s="173"/>
      <c r="J596" s="166"/>
      <c r="K596" s="173">
        <f>K523/K$533*100</f>
        <v>23.340471092077088</v>
      </c>
      <c r="L596" s="72" t="str">
        <f>IF(ISERROR(K596/C596),"NA",IF(OR(K596/C596&gt;2,K596/C596&lt;0.5),"NM",K596/C596*100-100))</f>
        <v>NA</v>
      </c>
      <c r="M596" s="173">
        <f>M523/M$533*100</f>
        <v>13.023255813953488</v>
      </c>
      <c r="N596" s="72" t="str">
        <f>IF(ISERROR(M596/E596),"NA",IF(OR(M596/E596&gt;2,M596/E596&lt;0.5),"NM",M596/E596*100-100))</f>
        <v>NA</v>
      </c>
      <c r="O596" s="173">
        <f>O523/O$533*100</f>
        <v>-3.5031847133757963</v>
      </c>
      <c r="P596" s="72" t="str">
        <f>IF(ISERROR(O596/G596),"NA",IF(OR(O596/G596&gt;2,O596/G596&lt;0.5),"NM",O596/G596*100-100))</f>
        <v>NA</v>
      </c>
      <c r="Q596" s="173">
        <f>Q523/Q$533*100</f>
        <v>10.077519379844961</v>
      </c>
      <c r="R596" s="72" t="str">
        <f>IF(ISERROR(Q596/I596),"NA",IF(OR(Q596/I596&gt;2,Q596/I596&lt;0.5),"NM",Q596/I596*100-100))</f>
        <v>NA</v>
      </c>
      <c r="S596" s="173">
        <f>S523/S$533*100</f>
        <v>14.37246963562753</v>
      </c>
      <c r="T596" s="72">
        <f>IF(ISERROR(S596/K596),"NA",IF(OR(S596/K596&gt;2,S596/K596&lt;0.5),"NM",S596/K596*100-100))</f>
        <v>-38.422538350109569</v>
      </c>
      <c r="U596" s="173">
        <f>U523/U$533*100</f>
        <v>18.336886993603414</v>
      </c>
      <c r="V596" s="72">
        <f>IF(ISERROR(U596/M596),"NA",IF(OR(U596/M596&gt;2,U596/M596&lt;0.5),"NM",U596/M596*100-100))</f>
        <v>40.801096558026217</v>
      </c>
      <c r="W596" s="173">
        <f>W523/W$533*100</f>
        <v>12.217194570135746</v>
      </c>
      <c r="X596" s="72" t="str">
        <f>IF(ISERROR(W596/O596),"NA",IF(OR(W596/O596&gt;2,W596/O596&lt;0.5),"NM",W596/O596*100-100))</f>
        <v>NM</v>
      </c>
      <c r="Y596" s="173">
        <f>Y523/Y$533*100</f>
        <v>22.606382978723406</v>
      </c>
      <c r="Z596" s="72" t="str">
        <f>IF(ISERROR(Y596/Q596),"NA",IF(OR(Y596/Q596&gt;2,Y596/Q596&lt;0.5),"NM",Y596/Q596*100-100))</f>
        <v>NM</v>
      </c>
      <c r="AA596" s="173">
        <f>AA523/AA$533*100</f>
        <v>19.078947368421055</v>
      </c>
      <c r="AB596" s="72">
        <f>IF(ISERROR(AA596/S596),"NA",IF(OR(AA596/S596&gt;2,AA596/S596&lt;0.5),"NM",AA596/S596*100-100))</f>
        <v>32.746478873239454</v>
      </c>
      <c r="AC596" s="173">
        <f>AC523/AC$533*100</f>
        <v>18.72727272727273</v>
      </c>
      <c r="AD596" s="72">
        <f>IF(ISERROR(AC596/U596),"NA",IF(OR(AC596/U596&gt;2,AC596/U596&lt;0.5),"NM",AC596/U596*100-100))</f>
        <v>2.128964059196619</v>
      </c>
      <c r="AE596" s="173">
        <f>AE523/AE$533*100</f>
        <v>13.294797687861271</v>
      </c>
      <c r="AF596" s="72">
        <f>IF(ISERROR(AE596/W596),"NA",IF(OR(AE596/W596&gt;2,AE596/W596&lt;0.5),"NM",AE596/W596*100-100))</f>
        <v>8.8203810747163374</v>
      </c>
      <c r="AG596" s="173">
        <f>AG523/AG$533*100</f>
        <v>18.14946619217082</v>
      </c>
      <c r="AH596" s="72">
        <f>IF(ISERROR(AG596/Y596),"NA",IF(OR(AG596/Y596&gt;2,AG596/Y596&lt;0.5),"NM",AG596/Y596*100-100))</f>
        <v>-19.715302491103202</v>
      </c>
      <c r="AI596" s="173">
        <f>AI523/AI$533*100</f>
        <v>13.829787234042554</v>
      </c>
      <c r="AJ596" s="72">
        <f>IF(ISERROR(AI596/AA596),"NA",IF(OR(AI596/AA596&gt;2,AI596/AA596&lt;0.5),"NM",AI596/AA596*100-100))</f>
        <v>-27.512839325018348</v>
      </c>
      <c r="AK596" s="173">
        <f>AK523/AK$533*100</f>
        <v>19.087136929460581</v>
      </c>
      <c r="AL596" s="72">
        <f>IF(ISERROR(AK596/AC596),"NA",IF(OR(AK596/AC596&gt;2,AK596/AC596&lt;0.5),"NM",AK596/AC596*100-100))</f>
        <v>1.9216049631390035</v>
      </c>
      <c r="AM596" s="173">
        <f>AM523/AM$533*100</f>
        <v>19.943820224719101</v>
      </c>
      <c r="AN596" s="72">
        <f>IF(ISERROR(AM596/AE596),"NA",IF(OR(AM596/AE596&gt;2,AM596/AE596&lt;0.5),"NM",AM596/AE596*100-100))</f>
        <v>50.012212994626282</v>
      </c>
      <c r="AO596" s="173">
        <f>AO523/AO$533*100</f>
        <v>17.647058823529413</v>
      </c>
      <c r="AP596" s="72">
        <f>IF(ISERROR(AO596/AG596),"NA",IF(OR(AO596/AG596&gt;2,AO596/AG596&lt;0.5),"NM",AO596/AG596*100-100))</f>
        <v>-2.7681660899653906</v>
      </c>
      <c r="AQ596" s="173">
        <f>AQ523/AQ$533*100</f>
        <v>21.156373193166885</v>
      </c>
      <c r="AR596" s="72">
        <f>IF(ISERROR(AQ596/AI596),"NA",IF(OR(AQ596/AI596&gt;2,AQ596/AI596&lt;0.5),"NM",AQ596/AI596*100-100))</f>
        <v>52.976852319822086</v>
      </c>
      <c r="AS596" s="173">
        <f>AS523/AS$533*100</f>
        <v>18.982630272952854</v>
      </c>
      <c r="AT596" s="72">
        <f>IF(ISERROR(AS596/AK596),"NA",IF(OR(AS596/AK596&gt;2,AS596/AK596&lt;0.5),"NM",AS596/AK596*100-100))</f>
        <v>-0.5475240047470038</v>
      </c>
      <c r="AU596" s="173">
        <f>AU523/AU$533*100</f>
        <v>17.69406392694064</v>
      </c>
      <c r="AV596" s="72">
        <f>IF(ISERROR(AU596/AM596),"NA",IF(OR(AU596/AM596&gt;2,AU596/AM596&lt;0.5),"NM",AU596/AM596*100-100))</f>
        <v>-11.28046819731172</v>
      </c>
      <c r="AW596" s="173">
        <f>AW523/AW$533*100</f>
        <v>17.23404255319149</v>
      </c>
      <c r="AX596" s="72">
        <f>IF(ISERROR(AW596/AO596),"NA",IF(OR(AW596/AO596&gt;2,AW596/AO596&lt;0.5),"NM",AW596/AO596*100-100))</f>
        <v>-2.340425531914903</v>
      </c>
      <c r="AY596" s="173">
        <f>AY523/AY$533*100</f>
        <v>19.226750261233018</v>
      </c>
      <c r="AZ596" s="72">
        <f>IF(ISERROR(AY596/AQ596),"NA",IF(OR(AY596/AQ596&gt;2,AY596/AQ596&lt;0.5),"NM",AY596/AQ596*100-100))</f>
        <v>-9.1207642931780981</v>
      </c>
      <c r="BA596" s="173">
        <f>BA523/BA$533*100</f>
        <v>19.341126461211477</v>
      </c>
      <c r="BB596" s="72">
        <f>IF(ISERROR(BA596/AS596),"NA",IF(OR(BA596/AS596&gt;2,BA596/AS596&lt;0.5),"NM",BA596/AS596*100-100))</f>
        <v>1.8885485472970487</v>
      </c>
      <c r="BC596" s="173">
        <f>BC523/BC$533*100</f>
        <v>17.709437963944858</v>
      </c>
      <c r="BD596" s="72">
        <f>IF(ISERROR(BC596/AU596),"NA",IF(OR(BC596/AU596&gt;2,BC596/AU596&lt;0.5),"NM",BC596/AU596*100-100))</f>
        <v>8.6888105907718227E-2</v>
      </c>
      <c r="BE596" s="173">
        <f>BE523/BE$533*100</f>
        <v>20.37037037037037</v>
      </c>
      <c r="BF596" s="72">
        <f>IF(ISERROR(BE596/AW596),"NA",IF(OR(BE596/AW596&gt;2,BE596/AW596&lt;0.5),"NM",BE596/AW596*100-100))</f>
        <v>18.198445358939182</v>
      </c>
      <c r="BG596" s="173">
        <f>BG523/BG$533*100</f>
        <v>18.959603658536587</v>
      </c>
      <c r="BH596" s="72">
        <f>IF(ISERROR(BG596/AY596),"NA",IF(OR(BG596/AY596&gt;2,BG596/AY596&lt;0.5),"NM",BG596/AY596*100-100))</f>
        <v>-1.3894527107635071</v>
      </c>
      <c r="BI596" s="173">
        <f>BI523/BI$533*100</f>
        <v>18.886861313868614</v>
      </c>
      <c r="BJ596" s="72">
        <f>IF(ISERROR(BI596/BA596),"NA",IF(OR(BI596/BA596&gt;2,BI596/BA596&lt;0.5),"NM",BI596/BA596*100-100))</f>
        <v>-2.3487005695034782</v>
      </c>
      <c r="BK596" s="173">
        <f>BK523/BK$533*100</f>
        <v>19.007633587786259</v>
      </c>
      <c r="BL596" s="72">
        <f>IF(ISERROR(BK596/BC596),"NA",IF(OR(BK596/BC596&gt;2,BK596/BC596&lt;0.5),"NM",BK596/BC596*100-100))</f>
        <v>7.3305297801343698</v>
      </c>
      <c r="BM596" s="173">
        <f>BM523/BM$533*100</f>
        <v>18.313458262350938</v>
      </c>
      <c r="BN596" s="72">
        <f>IF(ISERROR(BM596/BE596),"NA",IF(OR(BM596/BE596&gt;2,BM596/BE596&lt;0.5),"NM",BM596/BE596*100-100))</f>
        <v>-10.097568530277215</v>
      </c>
      <c r="BO596" s="173">
        <f>BO523/BO$533*100</f>
        <v>20.594479830148622</v>
      </c>
      <c r="BP596" s="72">
        <f>IF(ISERROR(BO596/BG596),"NA",IF(OR(BO596/BG596&gt;2,BO596/BG596&lt;0.5),"NM",BO596/BG596*100-100))</f>
        <v>8.6229448729848883</v>
      </c>
      <c r="BQ596" s="173">
        <f>BQ523/BQ$533*100</f>
        <v>20.577281191806332</v>
      </c>
      <c r="BR596" s="72">
        <f>IF(ISERROR(BQ596/BI596),"NA",IF(OR(BQ596/BI596&gt;2,BQ596/BI596&lt;0.5),"NM",BQ596/BI596*100-100))</f>
        <v>8.9502424455059781</v>
      </c>
      <c r="BS596" s="173">
        <f>BS523/BS$533*100</f>
        <v>21.770833333333332</v>
      </c>
      <c r="BT596" s="72">
        <f>IF(ISERROR(BS596/BK596),"NA",IF(OR(BS596/BK596&gt;2,BS596/BK596&lt;0.5),"NM",BS596/BK596*100-100))</f>
        <v>14.537315930388203</v>
      </c>
      <c r="BU596" s="173">
        <f>BU523/BU$533*100</f>
        <v>29.391304347826086</v>
      </c>
      <c r="BV596" s="72">
        <f>IF(ISERROR(BU596/BM596),"NA",IF(OR(BU596/BM596&gt;2,BU596/BM596&lt;0.5),"NM",BU596/BM596*100-100))</f>
        <v>60.490192113245683</v>
      </c>
      <c r="BW596" s="173">
        <f>BW523/BW$533*100</f>
        <v>38.009787928221861</v>
      </c>
      <c r="BX596" s="72">
        <f>IF(ISERROR(BW596/BO596),"NA",IF(OR(BW596/BO596&gt;2,BW596/BO596&lt;0.5),"NM",BW596/BO596*100-100))</f>
        <v>84.562990867963862</v>
      </c>
      <c r="BY596" s="173">
        <f>BY523/BY$533*100</f>
        <v>29.411764705882355</v>
      </c>
      <c r="BZ596" s="72">
        <f>IF(ISERROR(BY596/BQ596),"NA",IF(OR(BY596/BQ596&gt;2,BY596/BQ596&lt;0.5),"NM",BY596/BQ596*100-100))</f>
        <v>42.933191376097966</v>
      </c>
      <c r="CA596" s="173">
        <f>CA523/CA$533*100</f>
        <v>21.676646706586826</v>
      </c>
      <c r="CB596" s="72">
        <f>IF(ISERROR(CA596/BS596),"NA",IF(OR(CA596/BS596&gt;2,CA596/BS596&lt;0.5),"NM",CA596/BS596*100-100))</f>
        <v>-0.4326275678308491</v>
      </c>
      <c r="CC596" s="173">
        <f>CC523/CC$533*100</f>
        <v>29.300291545189506</v>
      </c>
      <c r="CD596" s="72">
        <f>IF(ISERROR(CC596/BU596),"NA",IF(OR(CC596/BU596&gt;2,CC596/BU596&lt;0.5),"NM",CC596/BU596*100-100))</f>
        <v>-0.30965894388185689</v>
      </c>
      <c r="CE596" s="173">
        <f>CE523/CE$533*100</f>
        <v>28.92998678996037</v>
      </c>
      <c r="CF596" s="72">
        <f>IF(ISERROR(CE596/BW596),"NA",IF(OR(CE596/BW596&gt;2,CE596/BW596&lt;0.5),"NM",CE596/BW596*100-100))</f>
        <v>-23.888060505383237</v>
      </c>
      <c r="CG596" s="173">
        <f>CG523/CG$533*100</f>
        <v>21.33168927250308</v>
      </c>
      <c r="CH596" s="72">
        <f>IF(ISERROR(CG596/BY596),"NA",IF(OR(CG596/BY596&gt;2,CG596/BY596&lt;0.5),"NM",CG596/BY596*100-100))</f>
        <v>-27.472256473489537</v>
      </c>
      <c r="CI596" s="173">
        <f>CI523/CI$533*100</f>
        <v>21.85430463576159</v>
      </c>
      <c r="CJ596" s="72">
        <f>IF(ISERROR(CI596/CA596),"NA",IF(OR(CI596/CA596&gt;2,CI596/CA596&lt;0.5),"NM",CI596/CA596*100-100))</f>
        <v>0.81958215945263646</v>
      </c>
      <c r="CK596" s="173">
        <f>CK523/CK$533*100</f>
        <v>24.541284403669724</v>
      </c>
      <c r="CL596" s="72">
        <f>IF(ISERROR(CK596/CC596),"NA",IF(OR(CK596/CC596&gt;2,CK596/CC596&lt;0.5),"NM",CK596/CC596*100-100))</f>
        <v>-16.242183577525225</v>
      </c>
      <c r="CM596" s="173">
        <f>CM523/CM$533*100</f>
        <v>22.21754238180478</v>
      </c>
      <c r="CN596" s="72">
        <f>IF(ISERROR(CM596/CE596),"NA",IF(OR(CM596/CE596&gt;2,CM596/CE596&lt;0.5),"NM",CM596/CE596*100-100))</f>
        <v>-23.202376333213621</v>
      </c>
      <c r="CO596" s="173">
        <f>CO523/CO$533*100</f>
        <v>19.909502262443439</v>
      </c>
      <c r="CP596" s="72">
        <f>IF(ISERROR(CO596/CG596),"NA",IF(OR(CO596/CG596&gt;2,CO596/CG596&lt;0.5),"NM",CO596/CG596*100-100))</f>
        <v>-6.6670154055397148</v>
      </c>
      <c r="CQ596" s="173">
        <f>CQ523/CQ$533*100</f>
        <v>16.073245167853507</v>
      </c>
      <c r="CR596" s="72">
        <f>IF(ISERROR(CQ596/CI596),"NA",IF(OR(CQ596/CI596&gt;2,CQ596/CI596&lt;0.5),"NM",CQ596/CI596*100-100))</f>
        <v>-26.452726656185462</v>
      </c>
      <c r="CS596" s="173">
        <f>CS523/CS$533*100</f>
        <v>18.609406952965234</v>
      </c>
      <c r="CT596" s="72">
        <f>IF(ISERROR(CS596/CK596),"NA",IF(OR(CS596/CK596&gt;2,CS596/CK596&lt;0.5),"NM",CS596/CK596*100-100))</f>
        <v>-24.171014658945396</v>
      </c>
      <c r="CU596" s="173">
        <f>CU523/CU$533*100</f>
        <v>12.5</v>
      </c>
      <c r="CV596" s="72">
        <f>IF(ISERROR(CU596/CM596),"NA",IF(OR(CU596/CM596&gt;2,CU596/CM596&lt;0.5),"NM",CU596/CM596*100-100))</f>
        <v>-43.738151658767762</v>
      </c>
      <c r="CW596" s="173">
        <f>CW523/CW$533*100</f>
        <v>17.150635208711435</v>
      </c>
      <c r="CX596" s="72">
        <f>IF(ISERROR(CW596/CO596),"NA",IF(OR(CW596/CO596&gt;2,CW596/CO596&lt;0.5),"NM",CW596/CO596*100-100))</f>
        <v>-13.857036792608483</v>
      </c>
      <c r="CY596" s="173">
        <f>CY523/CY$533*100</f>
        <v>15.164279696714406</v>
      </c>
      <c r="CZ596" s="72">
        <f>IF(ISERROR(CY596/CQ596),"NA",IF(OR(CY596/CQ596&gt;2,CY596/CQ596&lt;0.5),"NM",CY596/CQ596*100-100))</f>
        <v>-5.65514593752998</v>
      </c>
      <c r="DA596" s="173">
        <f>DA523/DA$533*100</f>
        <v>16.696113074204945</v>
      </c>
      <c r="DB596" s="72">
        <f>IF(ISERROR(DA596/CS596),"NA",IF(OR(DA596/CS596&gt;2,DA596/CS596&lt;0.5),"NM",DA596/CS596*100-100))</f>
        <v>-10.281326447404197</v>
      </c>
      <c r="DC596" s="173">
        <f>DC523/DC$533*100</f>
        <v>17.274052478134109</v>
      </c>
      <c r="DD596" s="72">
        <f>IF(ISERROR(DC596/CU596),"NA",IF(OR(DC596/CU596&gt;2,DC596/CU596&lt;0.5),"NM",DC596/CU596*100-100))</f>
        <v>38.192419825072875</v>
      </c>
      <c r="DE596" s="173">
        <f>DE523/DE$533*100</f>
        <v>18.526622902990518</v>
      </c>
      <c r="DF596" s="72">
        <f>IF(ISERROR(DE596/CW596),"NA",IF(OR(DE596/CW596&gt;2,DE596/CW596&lt;0.5),"NM",DE596/CW596*100-100))</f>
        <v>8.022954704209269</v>
      </c>
      <c r="DG596" s="173">
        <f>DG523/DG$533*100</f>
        <v>17.425742574257423</v>
      </c>
      <c r="DH596" s="72">
        <f>IF(ISERROR(DG596/CY596),"NA",IF(OR(DG596/CY596&gt;2,DG596/CY596&lt;0.5),"NM",DG596/CY596*100-100))</f>
        <v>14.913091309130905</v>
      </c>
      <c r="DI596" s="173">
        <f>DI523/DI$533*100</f>
        <v>23.964697895451458</v>
      </c>
      <c r="DJ596" s="72">
        <f>IF(ISERROR(DI596/DA596),"NA",IF(OR(DI596/DA596&gt;2,DI596/DA596&lt;0.5),"NM",DI596/DA596*100-100))</f>
        <v>43.534592685984421</v>
      </c>
      <c r="DK596" s="173">
        <f>DK523/DK$533*100</f>
        <v>22.896039603960396</v>
      </c>
      <c r="DL596" s="72">
        <f>IF(ISERROR(DK596/DC596),"NA",IF(OR(DK596/DC596&gt;2,DK596/DC596&lt;0.5),"NM",DK596/DC596*100-100))</f>
        <v>32.54584952166104</v>
      </c>
      <c r="DM596" s="173">
        <f>DM523/DM$533*100</f>
        <v>20.305810397553518</v>
      </c>
      <c r="DN596" s="72">
        <f t="shared" ref="DN596" si="2853">IF(ISERROR(DM596/DE596),"NA",IF(OR(DM596/DE596&gt;2,DM596/DE596&lt;0.5),"NM",DM596/DE596*100-100))</f>
        <v>9.6034096655349401</v>
      </c>
      <c r="DO596" s="173">
        <f>DO523/DO$533*100</f>
        <v>18.973074514715091</v>
      </c>
      <c r="DP596" s="72">
        <f t="shared" ref="DP596" si="2854">IF(ISERROR(DO596/DG596),"NA",IF(OR(DO596/DG596&gt;2,DO596/DG596&lt;0.5),"NM",DO596/DG596*100-100))</f>
        <v>8.8795753401263795</v>
      </c>
      <c r="DQ596" s="173">
        <f>DQ523/DQ$533*100</f>
        <v>22.593582887700535</v>
      </c>
      <c r="DR596" s="72">
        <f t="shared" ref="DR596" si="2855">IF(ISERROR(DQ596/DI596),"NA",IF(OR(DQ596/DI596&gt;2,DQ596/DI596&lt;0.5),"NM",DQ596/DI596*100-100))</f>
        <v>-5.7213949190286399</v>
      </c>
      <c r="DS596" s="173">
        <f>DS523/DS$533*100</f>
        <v>19.053398058252426</v>
      </c>
      <c r="DT596" s="72">
        <f t="shared" ref="DT596" si="2856">IF(ISERROR(DS596/DK596),"NA",IF(OR(DS596/DK596&gt;2,DS596/DK596&lt;0.5),"NM",DS596/DK596*100-100))</f>
        <v>-16.782996588821845</v>
      </c>
      <c r="DU596" s="173">
        <f>DU523/DU$533*100</f>
        <v>17.338217338217337</v>
      </c>
      <c r="DV596" s="72">
        <f t="shared" ref="DV596" si="2857">IF(ISERROR(DU596/DM596),"NA",IF(OR(DU596/DM596&gt;2,DU596/DM596&lt;0.5),"NM",DU596/DM596*100-100))</f>
        <v>-14.614501963899556</v>
      </c>
      <c r="DW596" s="173">
        <f>DW523/DW$533*100</f>
        <v>17.194570135746606</v>
      </c>
      <c r="DX596" s="72">
        <f t="shared" ref="DX596" si="2858">IF(ISERROR(DW596/DO596),"NA",IF(OR(DW596/DO596&gt;2,DW596/DO596&lt;0.5),"NM",DW596/DO596*100-100))</f>
        <v>-9.3738333109329091</v>
      </c>
      <c r="DY596" s="173">
        <f>DY523/DY$533*100</f>
        <v>15.300117693213025</v>
      </c>
      <c r="DZ596" s="72">
        <f t="shared" ref="DZ596" si="2859">IF(ISERROR(DY596/DQ596),"NA",IF(OR(DY596/DQ596&gt;2,DY596/DQ596&lt;0.5),"NM",DY596/DQ596*100-100))</f>
        <v>-32.281135890394424</v>
      </c>
      <c r="EA596" s="173">
        <f>EA523/EA$533*100</f>
        <v>17.217146872803934</v>
      </c>
      <c r="EB596" s="72">
        <f>IF(ISERROR(EA596/DS596),"NA",IF(OR(EA596/DS596&gt;2,EA596/DS596&lt;0.5),"NM",EA596/DS596*100-100))</f>
        <v>-9.6373947567487761</v>
      </c>
      <c r="EC596" s="173">
        <f>EC523/EC$533*100</f>
        <v>21.380697050938338</v>
      </c>
      <c r="ED596" s="72">
        <f>IF(ISERROR(EC596/DU596),"NA",IF(OR(EC596/DU596&gt;2,EC596/DU596&lt;0.5),"NM",EC596/DU596*100-100))</f>
        <v>23.315428765623253</v>
      </c>
      <c r="EE596" s="173">
        <f>EE523/EE$533*100</f>
        <v>23.055746730901582</v>
      </c>
      <c r="EF596" s="72">
        <f>IF(ISERROR(EE596/DW596),"NA",IF(OR(EE596/DW596&gt;2,EE596/DW596&lt;0.5),"NM",EE596/DW596*100-100))</f>
        <v>34.087369145506585</v>
      </c>
      <c r="EG596" s="173">
        <f>EG523/EG$533*100</f>
        <v>23.697011813759556</v>
      </c>
      <c r="EH596" s="72">
        <f>IF(ISERROR(EG596/DY596),"NA",IF(OR(EG596/DY596&gt;2,EG596/DY596&lt;0.5),"NM",EG596/DY596*100-100))</f>
        <v>54.881238751982323</v>
      </c>
      <c r="EI596" s="173">
        <f>EI523/EI$533*100</f>
        <v>26.278885433815013</v>
      </c>
      <c r="EJ596" s="72">
        <f>IF(ISERROR(EI596/EA596),"NA",IF(OR(EI596/EA596&gt;2,EI596/EA596&lt;0.5),"NM",EI596/EA596*100-100))</f>
        <v>52.632057029872527</v>
      </c>
      <c r="EK596" s="173">
        <f>EK523/EK$533*100</f>
        <v>22.772828507795101</v>
      </c>
      <c r="EL596" s="72">
        <f>IF(ISERROR(EK596/EC596),"NA",IF(OR(EK596/EC596&gt;2,EK596/EC596&lt;0.5),"NM",EK596/EC596*100-100))</f>
        <v>6.5111602935118924</v>
      </c>
      <c r="EM596" s="173">
        <f>EM523/EM$533*100</f>
        <v>17.799539170506911</v>
      </c>
      <c r="EN596" s="72">
        <f>IF(ISERROR(EM596/EE596),"NA",IF(OR(EM596/EE596&gt;2,EM596/EE596&lt;0.5),"NM",EM596/EE596*100-100))</f>
        <v>-22.797819657473013</v>
      </c>
      <c r="EO596" s="173">
        <f>EO523/EO$533*100</f>
        <v>19.961734693877549</v>
      </c>
      <c r="EP596" s="72">
        <f>IF(ISERROR(EO596/EG596),"NA",IF(OR(EO596/EG596&gt;2,EO596/EG596&lt;0.5),"NM",EO596/EG596*100-100))</f>
        <v>-15.762650368065124</v>
      </c>
      <c r="EQ596" s="173">
        <f>EQ523/EQ$533*100</f>
        <v>20.451757677972367</v>
      </c>
      <c r="ER596" s="72">
        <f t="shared" ref="ER596" si="2860">IF(ISERROR(EQ596/EI596),"NA",IF(OR(EQ596/EI596&gt;2,EQ596/EI596&lt;0.5),"NM",EQ596/EI596*100-100))</f>
        <v>-22.17418151359054</v>
      </c>
      <c r="ES596" s="173">
        <f>ES523/ES$533*100</f>
        <v>19.431001805716512</v>
      </c>
      <c r="ET596" s="72">
        <f t="shared" ref="ET596" si="2861">IF(ISERROR(ES596/EK596),"NA",IF(OR(ES596/EK596&gt;2,ES596/EK596&lt;0.5),"NM",ES596/EK596*100-100))</f>
        <v>-14.674622877587154</v>
      </c>
      <c r="EU596" s="173">
        <f>EU523/EU$533*100</f>
        <v>18.828989458564141</v>
      </c>
      <c r="EV596" s="72">
        <f t="shared" ref="EV596" si="2862">IF(ISERROR(EU596/EM596),"NA",IF(OR(EU596/EM596&gt;2,EU596/EM596&lt;0.5),"NM",EU596/EM596*100-100))</f>
        <v>5.7835783173700577</v>
      </c>
      <c r="EW596" s="173">
        <f>EW523/EW$533*100</f>
        <v>19.44549573829752</v>
      </c>
      <c r="EX596" s="72">
        <f t="shared" ref="EX596" si="2863">IF(ISERROR(EW596/EO596),"NA",IF(OR(EW596/EO596&gt;2,EW596/EO596&lt;0.5),"NM",EW596/EO596*100-100))</f>
        <v>-2.5861427551101741</v>
      </c>
      <c r="EY596" s="72"/>
      <c r="EZ596" s="332"/>
      <c r="FA596" s="72"/>
      <c r="FB596" s="173"/>
      <c r="FC596" s="166"/>
      <c r="FD596" s="173">
        <f>FD523/FD$533*100</f>
        <v>28.37055417700579</v>
      </c>
      <c r="FE596" s="72" t="str">
        <f>IF(ISERROR(FD596/FB596),"NA",IF(OR(FD596/FB596&gt;2,FD596/FB596&lt;0.5),"NM",FD596/FB596*100-100))</f>
        <v>NA</v>
      </c>
      <c r="FF596" s="173">
        <f>FF523/FF$533*100</f>
        <v>28.852459016393446</v>
      </c>
      <c r="FG596" s="72">
        <f>IF(ISERROR(FF596/FD596),"NA",IF(OR(FF596/FD596&gt;2,FF596/FD596&lt;0.5),"NM",FF596/FD596*100-100))</f>
        <v>1.6986091860631944</v>
      </c>
      <c r="FH596" s="173">
        <f>FH523/FH$533*100</f>
        <v>12.133605998636673</v>
      </c>
      <c r="FI596" s="72" t="str">
        <f>IF(ISERROR(FH596/FF596),"NA",IF(OR(FH596/FF596&gt;2,FH596/FF596&lt;0.5),"NM",FH596/FF596*100-100))</f>
        <v>NM</v>
      </c>
      <c r="FJ596" s="173">
        <f>FJ523/FJ$533*100</f>
        <v>16.992733370598099</v>
      </c>
      <c r="FK596" s="72">
        <f>IF(ISERROR(FJ596/FH596),"NA",IF(OR(FJ596/FH596&gt;2,FJ596/FH596&lt;0.5),"NM",FJ596/FH596*100-100))</f>
        <v>40.046853116109048</v>
      </c>
      <c r="FL596" s="173">
        <f>FL523/FL$533*100</f>
        <v>17.206863679694948</v>
      </c>
      <c r="FM596" s="72">
        <f>IF(ISERROR(FL596/FJ596),"NA",IF(OR(FL596/FJ596&gt;2,FL596/FJ596&lt;0.5),"NM",FL596/FJ596*100-100))</f>
        <v>1.2601286939942753</v>
      </c>
      <c r="FN596" s="173">
        <f>FN523/FN$533*100</f>
        <v>17.814814814814813</v>
      </c>
      <c r="FO596" s="72">
        <f>IF(ISERROR(FN596/FL596),"NA",IF(OR(FN596/FL596&gt;2,FN596/FL596&lt;0.5),"NM",FN596/FL596*100-100))</f>
        <v>3.5331896993946685</v>
      </c>
      <c r="FP596" s="173">
        <f>FP523/FP$533*100</f>
        <v>18.553366656865627</v>
      </c>
      <c r="FQ596" s="72">
        <f>IF(ISERROR(FP596/FN596),"NA",IF(OR(FP596/FN596&gt;2,FP596/FN596&lt;0.5),"NM",FP596/FN596*100-100))</f>
        <v>4.1457172007010286</v>
      </c>
      <c r="FR596" s="173">
        <f>FR523/FR$533*100</f>
        <v>19.262187088274043</v>
      </c>
      <c r="FS596" s="72">
        <f>IF(ISERROR(FR596/FP596),"NA",IF(OR(FR596/FP596&gt;2,FR596/FP596&lt;0.5),"NM",FR596/FP596*100-100))</f>
        <v>3.8204410257052643</v>
      </c>
      <c r="FT596" s="173">
        <f>FT523/FT$533*100</f>
        <v>18.894149328931935</v>
      </c>
      <c r="FU596" s="72">
        <f>IF(ISERROR(FT596/FR596),"NA",IF(OR(FT596/FR596&gt;2,FT596/FR596&lt;0.5),"NM",FT596/FR596*100-100))</f>
        <v>-1.9106748244915224</v>
      </c>
      <c r="FV596" s="173">
        <f>FV523/FV$533*100</f>
        <v>24.415024630541872</v>
      </c>
      <c r="FW596" s="72">
        <f>IF(ISERROR(FV596/FT596),"NA",IF(OR(FV596/FT596&gt;2,FV596/FT596&lt;0.5),"NM",FV596/FT596*100-100))</f>
        <v>29.220025762980583</v>
      </c>
      <c r="FX596" s="173">
        <f>FX523/FX$533*100</f>
        <v>32.093933463796475</v>
      </c>
      <c r="FY596" s="72">
        <f>IF(ISERROR(FX596/FV596),"NA",IF(OR(FX596/FV596&gt;2,FX596/FV596&lt;0.5),"NM",FX596/FV596*100-100))</f>
        <v>31.451571110228173</v>
      </c>
      <c r="FZ596" s="173">
        <f>FZ523/FZ$533*100</f>
        <v>24.131455399061032</v>
      </c>
      <c r="GA596" s="72">
        <f>IF(ISERROR(FZ596/FX596),"NA",IF(OR(FZ596/FX596&gt;2,FZ596/FX596&lt;0.5),"NM",FZ596/FX596*100-100))</f>
        <v>-24.809916409023231</v>
      </c>
      <c r="GB596" s="173">
        <f>GB523/GB$533*100</f>
        <v>19.19964140747566</v>
      </c>
      <c r="GC596" s="72">
        <f>IF(ISERROR(GB596/FZ596),"NA",IF(OR(GB596/FZ596&gt;2,GB596/FZ596&lt;0.5),"NM",GB596/FZ596*100-100))</f>
        <v>-20.437283661628101</v>
      </c>
      <c r="GD596" s="173">
        <f>GD523/GD$533*100</f>
        <v>15.497815589790756</v>
      </c>
      <c r="GE596" s="72">
        <f>IF(ISERROR(GD596/GB596),"NA",IF(OR(GD596/GB596&gt;2,GD596/GB596&lt;0.5),"NM",GD596/GB596*100-100))</f>
        <v>-19.280702900229912</v>
      </c>
      <c r="GF596" s="173">
        <f>GF523/GF$533*100</f>
        <v>19.333449659745245</v>
      </c>
      <c r="GG596" s="72">
        <f>IF(ISERROR(GF596/GD596),"NA",IF(OR(GF596/GD596&gt;2,GF596/GD596&lt;0.5),"NM",GF596/GD596*100-100))</f>
        <v>24.749514199157389</v>
      </c>
      <c r="GH596" s="173">
        <f>GH523/GH$533*100</f>
        <v>21.169609079445145</v>
      </c>
      <c r="GI596" s="72">
        <f t="shared" ref="GI596" si="2864">IF(ISERROR(GH596/GF596),"NA",IF(OR(GH596/GF596&gt;2,GH596/GF596&lt;0.5),"NM",GH596/GF596*100-100))</f>
        <v>9.4973191645308077</v>
      </c>
      <c r="GJ596" s="173">
        <f>GJ523/GJ$533*100</f>
        <v>17.339336880884161</v>
      </c>
      <c r="GK596" s="72">
        <f t="shared" ref="GK596" si="2865">IF(ISERROR(GJ596/GH596),"NA",IF(OR(GJ596/GH596&gt;2,GJ596/GH596&lt;0.5),"NM",GJ596/GH596*100-100))</f>
        <v>-18.093258993053524</v>
      </c>
      <c r="GL596" s="173">
        <f>GL523/GL$533*100</f>
        <v>21.353538832443604</v>
      </c>
      <c r="GM596" s="72">
        <f t="shared" ref="GM596" si="2866">IF(ISERROR(GL596/GJ596),"NA",IF(OR(GL596/GJ596&gt;2,GL596/GJ596&lt;0.5),"NM",GL596/GJ596*100-100))</f>
        <v>23.15083892270944</v>
      </c>
      <c r="GN596" s="173">
        <f>GN523/GN$533*100</f>
        <v>21.691072832747288</v>
      </c>
      <c r="GO596" s="72">
        <f t="shared" ref="GO596" si="2867">IF(ISERROR(GN596/GL596),"NA",IF(OR(GN596/GL596&gt;2,GN596/GL596&lt;0.5),"NM",GN596/GL596*100-100))</f>
        <v>1.5806934998092714</v>
      </c>
      <c r="GP596" s="173">
        <f>GP523/GP$533*100</f>
        <v>19.542709402290136</v>
      </c>
      <c r="GQ596" s="72">
        <f t="shared" ref="GQ596" si="2868">IF(ISERROR(GP596/GN596),"NA",IF(OR(GP596/GN596&gt;2,GP596/GN596&lt;0.5),"NM",GP596/GN596*100-100))</f>
        <v>-9.9043668656800605</v>
      </c>
      <c r="GR596" s="173">
        <f>GR523/GR$533*100</f>
        <v>19.850525172650791</v>
      </c>
      <c r="GS596" s="72">
        <f t="shared" ref="GS596" si="2869">IF(ISERROR(GR596/GP596),"NA",IF(OR(GR596/GP596&gt;2,GR596/GP596&lt;0.5),"NM",GR596/GP596*100-100))</f>
        <v>1.5750926037132871</v>
      </c>
      <c r="GT596" s="173">
        <f>GT523/GT$533*100</f>
        <v>20.144396958119625</v>
      </c>
      <c r="GU596" s="72">
        <f t="shared" ref="GU596" si="2870">IF(ISERROR(GT596/GR596),"NA",IF(OR(GT596/GR596&gt;2,GT596/GR596&lt;0.5),"NM",GT596/GR596*100-100))</f>
        <v>1.480423227662115</v>
      </c>
      <c r="GV596" s="173">
        <f>GV523/GV$533*100</f>
        <v>20.382453996805072</v>
      </c>
      <c r="GW596" s="72">
        <f>IF(ISERROR(GV596/GT596),"NA",IF(OR(GV596/GT596&gt;2,GV596/GT596&lt;0.5),"NM",GV596/GT596*100-100))</f>
        <v>1.1817531156696788</v>
      </c>
      <c r="GX596" s="173">
        <f>GX523/GX$533*100</f>
        <v>20.655649063796794</v>
      </c>
      <c r="GY596" s="72">
        <f>IF(ISERROR(GX596/GV596),"NA",IF(OR(GX596/GV596&gt;2,GX596/GV596&lt;0.5),"NM",GX596/GV596*100-100))</f>
        <v>1.3403443326036353</v>
      </c>
      <c r="GZ596" s="72">
        <f>IF(ISERROR(((GX596/GN596)^0.2-1)*100),"NA",IF((((GX596/GN596)^0.2-1)*100)&gt;100,"NM",IF((((GX596/GN596)^0.2-1)*100)&lt;-50,"NM",((GX596/GN596)^0.2-1)*100)))</f>
        <v>-0.97346963401118147</v>
      </c>
      <c r="HA596" s="72"/>
      <c r="HB596" s="72"/>
      <c r="HC596"/>
      <c r="HD596"/>
      <c r="HE596"/>
      <c r="HF596"/>
      <c r="HG596"/>
      <c r="HH596"/>
      <c r="HI596" s="2"/>
    </row>
    <row r="597" spans="1:217" s="3" customFormat="1" ht="8.25" customHeight="1" x14ac:dyDescent="0.2">
      <c r="B597" s="10"/>
      <c r="C597" s="181"/>
      <c r="D597" s="11"/>
      <c r="E597" s="181"/>
      <c r="F597" s="11"/>
      <c r="G597" s="181"/>
      <c r="H597" s="11"/>
      <c r="I597" s="181"/>
      <c r="J597" s="11"/>
      <c r="K597" s="181"/>
      <c r="L597" s="72"/>
      <c r="M597" s="181"/>
      <c r="N597" s="72"/>
      <c r="O597" s="181"/>
      <c r="P597" s="72"/>
      <c r="Q597" s="181"/>
      <c r="R597" s="72"/>
      <c r="S597" s="181"/>
      <c r="T597" s="72"/>
      <c r="U597" s="181"/>
      <c r="V597" s="72"/>
      <c r="W597" s="181"/>
      <c r="X597" s="72"/>
      <c r="Y597" s="181"/>
      <c r="Z597" s="72"/>
      <c r="AA597" s="181"/>
      <c r="AB597" s="72"/>
      <c r="AC597" s="181"/>
      <c r="AD597" s="72"/>
      <c r="AE597" s="181"/>
      <c r="AF597" s="72"/>
      <c r="AG597" s="181"/>
      <c r="AH597" s="72"/>
      <c r="AI597" s="181"/>
      <c r="AJ597" s="72"/>
      <c r="AK597" s="181"/>
      <c r="AL597" s="72"/>
      <c r="AM597" s="181"/>
      <c r="AN597" s="72"/>
      <c r="AO597" s="181"/>
      <c r="AP597" s="72"/>
      <c r="AQ597" s="181"/>
      <c r="AR597" s="72"/>
      <c r="AS597" s="181"/>
      <c r="AT597" s="72"/>
      <c r="AU597" s="181"/>
      <c r="AV597" s="72"/>
      <c r="AW597" s="181"/>
      <c r="AX597" s="72"/>
      <c r="AY597" s="181"/>
      <c r="AZ597" s="72"/>
      <c r="BA597" s="181"/>
      <c r="BB597" s="72"/>
      <c r="BC597" s="181"/>
      <c r="BD597" s="72"/>
      <c r="BE597" s="181"/>
      <c r="BF597" s="72"/>
      <c r="BG597" s="181"/>
      <c r="BH597" s="72"/>
      <c r="BI597" s="181"/>
      <c r="BJ597" s="72"/>
      <c r="BK597" s="181"/>
      <c r="BL597" s="72"/>
      <c r="BM597" s="181"/>
      <c r="BN597" s="72"/>
      <c r="BO597" s="181"/>
      <c r="BP597" s="72"/>
      <c r="BQ597" s="181"/>
      <c r="BR597" s="72"/>
      <c r="BS597" s="181"/>
      <c r="BT597" s="72"/>
      <c r="BU597" s="181"/>
      <c r="BV597" s="72"/>
      <c r="BW597" s="181"/>
      <c r="BX597" s="72"/>
      <c r="BY597" s="181"/>
      <c r="BZ597" s="72"/>
      <c r="CA597" s="181"/>
      <c r="CB597" s="72"/>
      <c r="CC597" s="181"/>
      <c r="CD597" s="72"/>
      <c r="CE597" s="181"/>
      <c r="CF597" s="72"/>
      <c r="CG597" s="181"/>
      <c r="CH597" s="72"/>
      <c r="CI597" s="181"/>
      <c r="CJ597" s="72"/>
      <c r="CK597" s="181"/>
      <c r="CL597" s="72"/>
      <c r="CM597" s="181"/>
      <c r="CN597" s="72"/>
      <c r="CO597" s="181"/>
      <c r="CP597" s="72"/>
      <c r="CQ597" s="181"/>
      <c r="CR597" s="72"/>
      <c r="CS597" s="181"/>
      <c r="CT597" s="72"/>
      <c r="CU597" s="181"/>
      <c r="CV597" s="72"/>
      <c r="CW597" s="181"/>
      <c r="CX597" s="72"/>
      <c r="CY597" s="181"/>
      <c r="CZ597" s="72"/>
      <c r="DA597" s="181"/>
      <c r="DB597" s="72"/>
      <c r="DC597" s="181"/>
      <c r="DD597" s="72"/>
      <c r="DE597" s="181"/>
      <c r="DF597" s="72"/>
      <c r="DG597" s="181"/>
      <c r="DH597" s="72"/>
      <c r="DI597" s="181"/>
      <c r="DJ597" s="72"/>
      <c r="DK597" s="181"/>
      <c r="DL597" s="72"/>
      <c r="DM597" s="181"/>
      <c r="DN597" s="72"/>
      <c r="DO597" s="181"/>
      <c r="DP597" s="72"/>
      <c r="DQ597" s="181"/>
      <c r="DR597" s="72"/>
      <c r="DS597" s="181"/>
      <c r="DT597" s="72"/>
      <c r="DU597" s="181"/>
      <c r="DV597" s="72"/>
      <c r="DW597" s="181"/>
      <c r="DX597" s="72"/>
      <c r="DY597" s="181"/>
      <c r="DZ597" s="72"/>
      <c r="EA597" s="181"/>
      <c r="EB597" s="72"/>
      <c r="EC597" s="181"/>
      <c r="ED597" s="72"/>
      <c r="EE597" s="181"/>
      <c r="EF597" s="72"/>
      <c r="EG597" s="181"/>
      <c r="EH597" s="72"/>
      <c r="EI597" s="181"/>
      <c r="EJ597" s="72"/>
      <c r="EK597" s="181"/>
      <c r="EL597" s="72"/>
      <c r="EM597" s="181"/>
      <c r="EN597" s="72"/>
      <c r="EO597" s="181"/>
      <c r="EP597" s="72"/>
      <c r="EQ597" s="181"/>
      <c r="ER597" s="72"/>
      <c r="ES597" s="181"/>
      <c r="ET597" s="72"/>
      <c r="EU597" s="181"/>
      <c r="EV597" s="72"/>
      <c r="EW597" s="181"/>
      <c r="EX597" s="72"/>
      <c r="EY597" s="72"/>
      <c r="EZ597" s="296"/>
      <c r="FA597" s="72"/>
      <c r="FB597" s="181"/>
      <c r="FC597" s="11"/>
      <c r="FD597" s="82"/>
      <c r="FE597" s="72"/>
      <c r="FF597" s="82"/>
      <c r="FG597" s="72"/>
      <c r="FH597" s="82"/>
      <c r="FI597" s="72"/>
      <c r="FJ597" s="82"/>
      <c r="FK597" s="72"/>
      <c r="FL597" s="82"/>
      <c r="FM597" s="72"/>
      <c r="FN597" s="82"/>
      <c r="FO597" s="72"/>
      <c r="FP597" s="82"/>
      <c r="FQ597" s="72"/>
      <c r="FR597" s="82"/>
      <c r="FS597" s="72"/>
      <c r="FT597" s="82"/>
      <c r="FU597" s="72"/>
      <c r="FV597" s="82"/>
      <c r="FW597" s="72"/>
      <c r="FX597" s="82"/>
      <c r="FY597" s="72"/>
      <c r="FZ597" s="82"/>
      <c r="GA597" s="72"/>
      <c r="GB597" s="82"/>
      <c r="GC597" s="72"/>
      <c r="GD597" s="82"/>
      <c r="GE597" s="72"/>
      <c r="GF597" s="82"/>
      <c r="GG597" s="72"/>
      <c r="GH597" s="82"/>
      <c r="GI597" s="72"/>
      <c r="GJ597" s="82"/>
      <c r="GK597" s="72"/>
      <c r="GL597" s="82"/>
      <c r="GM597" s="72"/>
      <c r="GN597" s="82"/>
      <c r="GO597" s="72"/>
      <c r="GP597" s="82"/>
      <c r="GQ597" s="72"/>
      <c r="GR597" s="181"/>
      <c r="GS597" s="72"/>
      <c r="GT597" s="181"/>
      <c r="GU597" s="72"/>
      <c r="GV597" s="181"/>
      <c r="GW597" s="72"/>
      <c r="GX597" s="181"/>
      <c r="GY597" s="72"/>
      <c r="GZ597" s="72"/>
      <c r="HA597" s="72"/>
      <c r="HB597" s="72"/>
      <c r="HC597"/>
      <c r="HD597"/>
      <c r="HE597"/>
      <c r="HF597"/>
      <c r="HG597"/>
      <c r="HH597"/>
      <c r="HI597" s="2"/>
    </row>
    <row r="598" spans="1:217" s="78" customFormat="1" ht="12.75" customHeight="1" x14ac:dyDescent="0.2">
      <c r="B598" s="89" t="s">
        <v>829</v>
      </c>
      <c r="C598" s="173"/>
      <c r="D598" s="166"/>
      <c r="E598" s="173"/>
      <c r="F598" s="166"/>
      <c r="G598" s="173"/>
      <c r="H598" s="166"/>
      <c r="I598" s="173"/>
      <c r="J598" s="166"/>
      <c r="K598" s="173">
        <f>K526/K$533*100</f>
        <v>14.346895074946467</v>
      </c>
      <c r="L598" s="72" t="str">
        <f>IF(ISERROR(K598/C598),"NA",IF(OR(K598/C598&gt;2,K598/C598&lt;0.5),"NM",K598/C598*100-100))</f>
        <v>NA</v>
      </c>
      <c r="M598" s="173">
        <f>M526/M$533*100</f>
        <v>9.3023255813953494</v>
      </c>
      <c r="N598" s="72" t="str">
        <f>IF(ISERROR(M598/E598),"NA",IF(OR(M598/E598&gt;2,M598/E598&lt;0.5),"NM",M598/E598*100-100))</f>
        <v>NA</v>
      </c>
      <c r="O598" s="173">
        <f>O526/O$533*100</f>
        <v>16.242038216560509</v>
      </c>
      <c r="P598" s="72" t="str">
        <f>IF(ISERROR(O598/G598),"NA",IF(OR(O598/G598&gt;2,O598/G598&lt;0.5),"NM",O598/G598*100-100))</f>
        <v>NA</v>
      </c>
      <c r="Q598" s="173">
        <f>Q526/Q$533*100</f>
        <v>14.728682170542637</v>
      </c>
      <c r="R598" s="72" t="str">
        <f>IF(ISERROR(Q598/I598),"NA",IF(OR(Q598/I598&gt;2,Q598/I598&lt;0.5),"NM",Q598/I598*100-100))</f>
        <v>NA</v>
      </c>
      <c r="S598" s="173">
        <f>S526/S$533*100</f>
        <v>12.753036437246964</v>
      </c>
      <c r="T598" s="72">
        <f>IF(ISERROR(S598/K598),"NA",IF(OR(S598/K598&gt;2,S598/K598&lt;0.5),"NM",S598/K598*100-100))</f>
        <v>-11.109432594114438</v>
      </c>
      <c r="U598" s="173">
        <f>U526/U$533*100</f>
        <v>10.23454157782516</v>
      </c>
      <c r="V598" s="72">
        <f>IF(ISERROR(U598/M598),"NA",IF(OR(U598/M598&gt;2,U598/M598&lt;0.5),"NM",U598/M598*100-100))</f>
        <v>10.021321961620473</v>
      </c>
      <c r="W598" s="173">
        <f>W526/W$533*100</f>
        <v>9.502262443438914</v>
      </c>
      <c r="X598" s="72">
        <f>IF(ISERROR(W598/O598),"NA",IF(OR(W598/O598&gt;2,W598/O598&lt;0.5),"NM",W598/O598*100-100))</f>
        <v>-41.495874367846689</v>
      </c>
      <c r="Y598" s="173">
        <f>Y526/Y$533*100</f>
        <v>8.2446808510638299</v>
      </c>
      <c r="Z598" s="72">
        <f>IF(ISERROR(Y598/Q598),"NA",IF(OR(Y598/Q598&gt;2,Y598/Q598&lt;0.5),"NM",Y598/Q598*100-100))</f>
        <v>-44.022956326987682</v>
      </c>
      <c r="AA598" s="173">
        <f>AA526/AA$533*100</f>
        <v>9.8684210526315788</v>
      </c>
      <c r="AB598" s="72">
        <f>IF(ISERROR(AA598/S598),"NA",IF(OR(AA598/S598&gt;2,AA598/S598&lt;0.5),"NM",AA598/S598*100-100))</f>
        <v>-22.61904761904762</v>
      </c>
      <c r="AC598" s="173">
        <f>AC526/AC$533*100</f>
        <v>9.8181818181818183</v>
      </c>
      <c r="AD598" s="72">
        <f>IF(ISERROR(AC598/U598),"NA",IF(OR(AC598/U598&gt;2,AC598/U598&lt;0.5),"NM",AC598/U598*100-100))</f>
        <v>-4.068181818181813</v>
      </c>
      <c r="AE598" s="173">
        <f>AE526/AE$533*100</f>
        <v>8.0924855491329488</v>
      </c>
      <c r="AF598" s="72">
        <f>IF(ISERROR(AE598/W598),"NA",IF(OR(AE598/W598&gt;2,AE598/W598&lt;0.5),"NM",AE598/W598*100-100))</f>
        <v>-14.836223506743735</v>
      </c>
      <c r="AG598" s="173">
        <f>AG526/AG$533*100</f>
        <v>12.099644128113878</v>
      </c>
      <c r="AH598" s="72">
        <f>IF(ISERROR(AG598/Y598),"NA",IF(OR(AG598/Y598&gt;2,AG598/Y598&lt;0.5),"NM",AG598/Y598*100-100))</f>
        <v>46.756973940994129</v>
      </c>
      <c r="AI598" s="173">
        <f>AI526/AI$533*100</f>
        <v>10.283687943262411</v>
      </c>
      <c r="AJ598" s="72">
        <f>IF(ISERROR(AI598/AA598),"NA",IF(OR(AI598/AA598&gt;2,AI598/AA598&lt;0.5),"NM",AI598/AA598*100-100))</f>
        <v>4.208037825059094</v>
      </c>
      <c r="AK598" s="173">
        <f>AK526/AK$533*100</f>
        <v>8.2987551867219906</v>
      </c>
      <c r="AL598" s="72">
        <f>IF(ISERROR(AK598/AC598),"NA",IF(OR(AK598/AC598&gt;2,AK598/AC598&lt;0.5),"NM",AK598/AC598*100-100))</f>
        <v>-15.475641616720466</v>
      </c>
      <c r="AM598" s="173">
        <f>AM526/AM$533*100</f>
        <v>8.1460674157303377</v>
      </c>
      <c r="AN598" s="72">
        <f>IF(ISERROR(AM598/AE598),"NA",IF(OR(AM598/AE598&gt;2,AM598/AE598&lt;0.5),"NM",AM598/AE598*100-100))</f>
        <v>0.66211878009629288</v>
      </c>
      <c r="AO598" s="173">
        <f>AO526/AO$533*100</f>
        <v>10.043041606886657</v>
      </c>
      <c r="AP598" s="72">
        <f>IF(ISERROR(AO598/AG598),"NA",IF(OR(AO598/AG598&gt;2,AO598/AG598&lt;0.5),"NM",AO598/AG598*100-100))</f>
        <v>-16.997214954848502</v>
      </c>
      <c r="AQ598" s="173">
        <f>AQ526/AQ$533*100</f>
        <v>13.009198423127463</v>
      </c>
      <c r="AR598" s="72">
        <f>IF(ISERROR(AQ598/AI598),"NA",IF(OR(AQ598/AI598&gt;2,AQ598/AI598&lt;0.5),"NM",AQ598/AI598*100-100))</f>
        <v>26.503239838687747</v>
      </c>
      <c r="AS598" s="173">
        <f>AS526/AS$533*100</f>
        <v>10.173697270471465</v>
      </c>
      <c r="AT598" s="72">
        <f>IF(ISERROR(AS598/AK598),"NA",IF(OR(AS598/AK598&gt;2,AS598/AK598&lt;0.5),"NM",AS598/AK598*100-100))</f>
        <v>22.593052109181173</v>
      </c>
      <c r="AU598" s="173">
        <f>AU526/AU$533*100</f>
        <v>11.073059360730593</v>
      </c>
      <c r="AV598" s="72">
        <f>IF(ISERROR(AU598/AM598),"NA",IF(OR(AU598/AM598&gt;2,AU598/AM598&lt;0.5),"NM",AU598/AM598*100-100))</f>
        <v>35.931349393796239</v>
      </c>
      <c r="AW598" s="173">
        <f>AW526/AW$533*100</f>
        <v>11.595744680851064</v>
      </c>
      <c r="AX598" s="72">
        <f>IF(ISERROR(AW598/AO598),"NA",IF(OR(AW598/AO598&gt;2,AW598/AO598&lt;0.5),"NM",AW598/AO598*100-100))</f>
        <v>15.460486322188459</v>
      </c>
      <c r="AY598" s="173">
        <f>AY526/AY$533*100</f>
        <v>16.091954022988507</v>
      </c>
      <c r="AZ598" s="72">
        <f>IF(ISERROR(AY598/AQ598),"NA",IF(OR(AY598/AQ598&gt;2,AY598/AQ598&lt;0.5),"NM",AY598/AQ598*100-100))</f>
        <v>23.696737489840956</v>
      </c>
      <c r="BA598" s="173">
        <f>BA526/BA$533*100</f>
        <v>11.052072263549416</v>
      </c>
      <c r="BB598" s="72">
        <f>IF(ISERROR(BA598/AS598),"NA",IF(OR(BA598/AS598&gt;2,BA598/AS598&lt;0.5),"NM",BA598/AS598*100-100))</f>
        <v>8.6337834685466817</v>
      </c>
      <c r="BC598" s="173">
        <f>BC526/BC$533*100</f>
        <v>10.816542948038176</v>
      </c>
      <c r="BD598" s="72">
        <f>IF(ISERROR(BC598/AU598),"NA",IF(OR(BC598/AU598&gt;2,BC598/AU598&lt;0.5),"NM",BC598/AU598*100-100))</f>
        <v>-2.3165812115315276</v>
      </c>
      <c r="BE598" s="173">
        <f>BE526/BE$533*100</f>
        <v>12.654320987654321</v>
      </c>
      <c r="BF598" s="72">
        <f>IF(ISERROR(BE598/AW598),"NA",IF(OR(BE598/AW598&gt;2,BE598/AW598&lt;0.5),"NM",BE598/AW598*100-100))</f>
        <v>9.1290066825234959</v>
      </c>
      <c r="BG598" s="173">
        <f>BG526/BG$533*100</f>
        <v>14.767530487804878</v>
      </c>
      <c r="BH598" s="72">
        <f>IF(ISERROR(BG598/AY598),"NA",IF(OR(BG598/AY598&gt;2,BG598/AY598&lt;0.5),"NM",BG598/AY598*100-100))</f>
        <v>-8.2303462543553962</v>
      </c>
      <c r="BI598" s="173">
        <f>BI526/BI$533*100</f>
        <v>13.959854014598541</v>
      </c>
      <c r="BJ598" s="72">
        <f>IF(ISERROR(BI598/BA598),"NA",IF(OR(BI598/BA598&gt;2,BI598/BA598&lt;0.5),"NM",BI598/BA598*100-100))</f>
        <v>26.309832959011786</v>
      </c>
      <c r="BK598" s="173">
        <f>BK526/BK$533*100</f>
        <v>16.335877862595417</v>
      </c>
      <c r="BL598" s="72">
        <f>IF(ISERROR(BK598/BC598),"NA",IF(OR(BK598/BC598&gt;2,BK598/BC598&lt;0.5),"NM",BK598/BC598*100-100))</f>
        <v>51.026792396347815</v>
      </c>
      <c r="BM598" s="173">
        <f>BM526/BM$533*100</f>
        <v>21.039182282793867</v>
      </c>
      <c r="BN598" s="72">
        <f>IF(ISERROR(BM598/BE598),"NA",IF(OR(BM598/BE598&gt;2,BM598/BE598&lt;0.5),"NM",BM598/BE598*100-100))</f>
        <v>66.260855112810049</v>
      </c>
      <c r="BO598" s="173">
        <f>BO526/BO$533*100</f>
        <v>15.817409766454352</v>
      </c>
      <c r="BP598" s="72">
        <f>IF(ISERROR(BO598/BG598),"NA",IF(OR(BO598/BG598&gt;2,BO598/BG598&lt;0.5),"NM",BO598/BG598*100-100))</f>
        <v>7.1093760701321855</v>
      </c>
      <c r="BQ598" s="173">
        <f>BQ526/BQ$533*100</f>
        <v>13.966480446927374</v>
      </c>
      <c r="BR598" s="72">
        <f>IF(ISERROR(BQ598/BI598),"NA",IF(OR(BQ598/BI598&gt;2,BQ598/BI598&lt;0.5),"NM",BQ598/BI598*100-100))</f>
        <v>4.7467776682367457E-2</v>
      </c>
      <c r="BS598" s="173">
        <f>BS526/BS$533*100</f>
        <v>10.625</v>
      </c>
      <c r="BT598" s="72">
        <f>IF(ISERROR(BS598/BK598),"NA",IF(OR(BS598/BK598&gt;2,BS598/BK598&lt;0.5),"NM",BS598/BK598*100-100))</f>
        <v>-34.9591121495327</v>
      </c>
      <c r="BU598" s="173">
        <f>BU526/BU$533*100</f>
        <v>14.086956521739131</v>
      </c>
      <c r="BV598" s="72">
        <f>IF(ISERROR(BU598/BM598),"NA",IF(OR(BU598/BM598&gt;2,BU598/BM598&lt;0.5),"NM",BU598/BM598*100-100))</f>
        <v>-33.044182362260159</v>
      </c>
      <c r="BW598" s="173">
        <f>BW526/BW$533*100</f>
        <v>-0.16313213703099511</v>
      </c>
      <c r="BX598" s="72" t="str">
        <f>IF(ISERROR(BW598/BO598),"NA",IF(OR(BW598/BO598&gt;2,BW598/BO598&lt;0.5),"NM",BW598/BO598*100-100))</f>
        <v>NM</v>
      </c>
      <c r="BY598" s="173">
        <f>BY526/BY$533*100</f>
        <v>4.6218487394957988</v>
      </c>
      <c r="BZ598" s="72" t="str">
        <f>IF(ISERROR(BY598/BQ598),"NA",IF(OR(BY598/BQ598&gt;2,BY598/BQ598&lt;0.5),"NM",BY598/BQ598*100-100))</f>
        <v>NM</v>
      </c>
      <c r="CA598" s="173">
        <f>CA526/CA$533*100</f>
        <v>3.4730538922155691</v>
      </c>
      <c r="CB598" s="72" t="str">
        <f>IF(ISERROR(CA598/BS598),"NA",IF(OR(CA598/BS598&gt;2,CA598/BS598&lt;0.5),"NM",CA598/BS598*100-100))</f>
        <v>NM</v>
      </c>
      <c r="CC598" s="173">
        <f>CC526/CC$533*100</f>
        <v>-0.87463556851311952</v>
      </c>
      <c r="CD598" s="72" t="str">
        <f>IF(ISERROR(CC598/BU598),"NA",IF(OR(CC598/BU598&gt;2,CC598/BU598&lt;0.5),"NM",CC598/BU598*100-100))</f>
        <v>NM</v>
      </c>
      <c r="CE598" s="173">
        <f>CE526/CE$533*100</f>
        <v>10.96433289299868</v>
      </c>
      <c r="CF598" s="72" t="str">
        <f>IF(ISERROR(CE598/BW598),"NA",IF(OR(CE598/BW598&gt;2,CE598/BW598&lt;0.5),"NM",CE598/BW598*100-100))</f>
        <v>NM</v>
      </c>
      <c r="CG598" s="173">
        <f>CG526/CG$533*100</f>
        <v>15.289765721331689</v>
      </c>
      <c r="CH598" s="72" t="str">
        <f>IF(ISERROR(CG598/BY598),"NA",IF(OR(CG598/BY598&gt;2,CG598/BY598&lt;0.5),"NM",CG598/BY598*100-100))</f>
        <v>NM</v>
      </c>
      <c r="CI598" s="173">
        <f>CI526/CI$533*100</f>
        <v>19.602649006622517</v>
      </c>
      <c r="CJ598" s="72" t="str">
        <f>IF(ISERROR(CI598/CA598),"NA",IF(OR(CI598/CA598&gt;2,CI598/CA598&lt;0.5),"NM",CI598/CA598*100-100))</f>
        <v>NM</v>
      </c>
      <c r="CK598" s="173">
        <f>CK526/CK$533*100</f>
        <v>15.137614678899084</v>
      </c>
      <c r="CL598" s="72" t="str">
        <f>IF(ISERROR(CK598/CC598),"NA",IF(OR(CK598/CC598&gt;2,CK598/CC598&lt;0.5),"NM",CK598/CC598*100-100))</f>
        <v>NM</v>
      </c>
      <c r="CM598" s="173">
        <f>CM526/CM$533*100</f>
        <v>16.215647046435716</v>
      </c>
      <c r="CN598" s="72">
        <f>IF(ISERROR(CM598/CE598),"NA",IF(OR(CM598/CE598&gt;2,CM598/CE598&lt;0.5),"NM",CM598/CE598*100-100))</f>
        <v>47.894515833154657</v>
      </c>
      <c r="CO598" s="173">
        <f>CO526/CO$533*100</f>
        <v>15.02262443438914</v>
      </c>
      <c r="CP598" s="72">
        <f>IF(ISERROR(CO598/CG598),"NA",IF(OR(CO598/CG598&gt;2,CO598/CG598&lt;0.5),"NM",CO598/CG598*100-100))</f>
        <v>-1.747190191212951</v>
      </c>
      <c r="CQ598" s="173">
        <f>CQ526/CQ$533*100</f>
        <v>12.512716174974567</v>
      </c>
      <c r="CR598" s="72">
        <f>IF(ISERROR(CQ598/CI598),"NA",IF(OR(CQ598/CI598&gt;2,CQ598/CI598&lt;0.5),"NM",CQ598/CI598*100-100))</f>
        <v>-36.168238431717583</v>
      </c>
      <c r="CS598" s="173">
        <f>CS526/CS$533*100</f>
        <v>16.359918200408998</v>
      </c>
      <c r="CT598" s="72">
        <f>IF(ISERROR(CS598/CK598),"NA",IF(OR(CS598/CK598&gt;2,CS598/CK598&lt;0.5),"NM",CS598/CK598*100-100))</f>
        <v>8.0746111420958044</v>
      </c>
      <c r="CU598" s="173">
        <f>CU526/CU$533*100</f>
        <v>15.84051724137931</v>
      </c>
      <c r="CV598" s="72">
        <f>IF(ISERROR(CU598/CM598),"NA",IF(OR(CU598/CM598&gt;2,CU598/CM598&lt;0.5),"NM",CU598/CM598*100-100))</f>
        <v>-2.3133816614420084</v>
      </c>
      <c r="CW598" s="173">
        <f>CW526/CW$533*100</f>
        <v>11.796733212341199</v>
      </c>
      <c r="CX598" s="72">
        <f>IF(ISERROR(CW598/CO598),"NA",IF(OR(CW598/CO598&gt;2,CW598/CO598&lt;0.5),"NM",CW598/CO598*100-100))</f>
        <v>-21.473553014234795</v>
      </c>
      <c r="CY598" s="173">
        <f>CY526/CY$533*100</f>
        <v>16.596461668070766</v>
      </c>
      <c r="CZ598" s="72">
        <f>IF(ISERROR(CY598/CQ598),"NA",IF(OR(CY598/CQ598&gt;2,CY598/CQ598&lt;0.5),"NM",CY598/CQ598*100-100))</f>
        <v>32.636762761898893</v>
      </c>
      <c r="DA598" s="173">
        <f>DA526/DA$533*100</f>
        <v>17.844522968197879</v>
      </c>
      <c r="DB598" s="72">
        <f>IF(ISERROR(DA598/CS598),"NA",IF(OR(DA598/CS598&gt;2,DA598/CS598&lt;0.5),"NM",DA598/CS598*100-100))</f>
        <v>9.0746466431095314</v>
      </c>
      <c r="DC598" s="173">
        <f>DC526/DC$533*100</f>
        <v>12.317784256559767</v>
      </c>
      <c r="DD598" s="72">
        <f>IF(ISERROR(DC598/CU598),"NA",IF(OR(DC598/CU598&gt;2,DC598/CU598&lt;0.5),"NM",DC598/CU598*100-100))</f>
        <v>-22.238749727296153</v>
      </c>
      <c r="DE598" s="173">
        <f>DE526/DE$533*100</f>
        <v>12.545587162654998</v>
      </c>
      <c r="DF598" s="72">
        <f>IF(ISERROR(DE598/CW598),"NA",IF(OR(DE598/CW598&gt;2,DE598/CW598&lt;0.5),"NM",DE598/CW598*100-100))</f>
        <v>6.347977332660065</v>
      </c>
      <c r="DG598" s="173">
        <f>DG526/DG$533*100</f>
        <v>11.419141914191419</v>
      </c>
      <c r="DH598" s="72">
        <f>IF(ISERROR(DG598/CY598),"NA",IF(OR(DG598/CY598&gt;2,DG598/CY598&lt;0.5),"NM",DG598/CY598*100-100))</f>
        <v>-31.195322577943074</v>
      </c>
      <c r="DI598" s="173">
        <f>DI526/DI$533*100</f>
        <v>14.188730482009504</v>
      </c>
      <c r="DJ598" s="72">
        <f>IF(ISERROR(DI598/DA598),"NA",IF(OR(DI598/DA598&gt;2,DI598/DA598&lt;0.5),"NM",DI598/DA598*100-100))</f>
        <v>-20.486916308738813</v>
      </c>
      <c r="DK598" s="173">
        <f>DK526/DK$533*100</f>
        <v>11.943069306930692</v>
      </c>
      <c r="DL598" s="72">
        <f>IF(ISERROR(DK598/DC598),"NA",IF(OR(DK598/DC598&gt;2,DK598/DC598&lt;0.5),"NM",DK598/DC598*100-100))</f>
        <v>-3.0420645614857449</v>
      </c>
      <c r="DM598" s="173">
        <f>DM526/DM$533*100</f>
        <v>12.232415902140673</v>
      </c>
      <c r="DN598" s="72">
        <f t="shared" ref="DN598:DZ598" si="2871">IF(ISERROR(DM598/DE598),"NA",IF(OR(DM598/DE598&gt;2,DM598/DE598&lt;0.5),"NM",DM598/DE598*100-100))</f>
        <v>-2.4962662684019818</v>
      </c>
      <c r="DO598" s="173">
        <f>DO526/DO$533*100</f>
        <v>12.523481527864746</v>
      </c>
      <c r="DP598" s="72">
        <f t="shared" si="2871"/>
        <v>9.6709509521103456</v>
      </c>
      <c r="DQ598" s="173">
        <f>DQ526/DQ$533*100</f>
        <v>12.834224598930483</v>
      </c>
      <c r="DR598" s="72">
        <f t="shared" si="2871"/>
        <v>-9.5463500754803761</v>
      </c>
      <c r="DS598" s="173">
        <f>DS526/DS$533*100</f>
        <v>12.439320388349515</v>
      </c>
      <c r="DT598" s="72">
        <f t="shared" si="2871"/>
        <v>4.1551385884601899</v>
      </c>
      <c r="DU598" s="173">
        <f>DU526/DU$533*100</f>
        <v>11.965811965811966</v>
      </c>
      <c r="DV598" s="72">
        <f t="shared" si="2871"/>
        <v>-2.1794871794871824</v>
      </c>
      <c r="DW598" s="173">
        <f>DW526/DW$533*100</f>
        <v>11.635423400129282</v>
      </c>
      <c r="DX598" s="72">
        <f t="shared" si="2871"/>
        <v>-7.0911441499676755</v>
      </c>
      <c r="DY598" s="173">
        <f>DY526/DY$533*100</f>
        <v>15.535504119262455</v>
      </c>
      <c r="DZ598" s="72">
        <f t="shared" si="2871"/>
        <v>21.047469595919949</v>
      </c>
      <c r="EA598" s="173">
        <f>EA526/EA$533*100</f>
        <v>11.595221363316936</v>
      </c>
      <c r="EB598" s="72">
        <f>IF(ISERROR(EA598/DS598),"NA",IF(OR(EA598/DS598&gt;2,EA598/DS598&lt;0.5),"NM",EA598/DS598*100-100))</f>
        <v>-6.7857326500179909</v>
      </c>
      <c r="EC598" s="173">
        <f>EC526/EC$533*100</f>
        <v>13.873994638069705</v>
      </c>
      <c r="ED598" s="72">
        <f>IF(ISERROR(EC598/DU598),"NA",IF(OR(EC598/DU598&gt;2,EC598/DU598&lt;0.5),"NM",EC598/DU598*100-100))</f>
        <v>15.946955189582539</v>
      </c>
      <c r="EE598" s="173">
        <f>EE526/EE$533*100</f>
        <v>13.145216792842396</v>
      </c>
      <c r="EF598" s="72">
        <f>IF(ISERROR(EE598/DW598),"NA",IF(OR(EE598/DW598&gt;2,EE598/DW598&lt;0.5),"NM",EE598/DW598*100-100))</f>
        <v>12.975835436262145</v>
      </c>
      <c r="EG598" s="173">
        <f>EG526/EG$533*100</f>
        <v>15.56636553161918</v>
      </c>
      <c r="EH598" s="72">
        <f>IF(ISERROR(EG598/DY598),"NA",IF(OR(EG598/DY598&gt;2,EG598/DY598&lt;0.5),"NM",EG598/DY598*100-100))</f>
        <v>0.19865085883155587</v>
      </c>
      <c r="EI598" s="173">
        <f>EI526/EI$533*100</f>
        <v>11.950490823730261</v>
      </c>
      <c r="EJ598" s="72">
        <f>IF(ISERROR(EI598/EA598),"NA",IF(OR(EI598/EA598&gt;2,EI598/EA598&lt;0.5),"NM",EI598/EA598*100-100))</f>
        <v>3.0639299525343091</v>
      </c>
      <c r="EK598" s="173">
        <f>EK526/EK$533*100</f>
        <v>12.138084632516703</v>
      </c>
      <c r="EL598" s="72">
        <f>IF(ISERROR(EK598/EC598),"NA",IF(OR(EK598/EC598&gt;2,EK598/EC598&lt;0.5),"NM",EK598/EC598*100-100))</f>
        <v>-12.511969701860281</v>
      </c>
      <c r="EM598" s="173">
        <f>EM526/EM$533*100</f>
        <v>14.919354838709678</v>
      </c>
      <c r="EN598" s="72">
        <f>IF(ISERROR(EM598/EE598),"NA",IF(OR(EM598/EE598&gt;2,EM598/EE598&lt;0.5),"NM",EM598/EE598*100-100))</f>
        <v>13.496453301807136</v>
      </c>
      <c r="EO598" s="173">
        <f>EO526/EO$533*100</f>
        <v>19.51530612244898</v>
      </c>
      <c r="EP598" s="72">
        <f>IF(ISERROR(EO598/EG598),"NA",IF(OR(EO598/EG598&gt;2,EO598/EG598&lt;0.5),"NM",EO598/EG598*100-100))</f>
        <v>25.368417456268205</v>
      </c>
      <c r="EQ598" s="173">
        <f>EQ526/EQ$533*100</f>
        <v>14.505558342169319</v>
      </c>
      <c r="ER598" s="72">
        <f t="shared" ref="ER598" si="2872">IF(ISERROR(EQ598/EI598),"NA",IF(OR(EQ598/EI598&gt;2,EQ598/EI598&lt;0.5),"NM",EQ598/EI598*100-100))</f>
        <v>21.380439984652554</v>
      </c>
      <c r="ES598" s="173">
        <f>ES526/ES$533*100</f>
        <v>14.387276333198972</v>
      </c>
      <c r="ET598" s="72">
        <f t="shared" ref="ET598" si="2873">IF(ISERROR(ES598/EK598),"NA",IF(OR(ES598/EK598&gt;2,ES598/EK598&lt;0.5),"NM",ES598/EK598*100-100))</f>
        <v>18.530038047822742</v>
      </c>
      <c r="EU598" s="173">
        <f>EU526/EU$533*100</f>
        <v>14.76758333996972</v>
      </c>
      <c r="EV598" s="72">
        <f t="shared" ref="EV598" si="2874">IF(ISERROR(EU598/EM598),"NA",IF(OR(EU598/EM598&gt;2,EU598/EM598&lt;0.5),"NM",EU598/EM598*100-100))</f>
        <v>-1.0172792347975559</v>
      </c>
      <c r="EW598" s="173">
        <f>EW526/EW$533*100</f>
        <v>16.326241817481669</v>
      </c>
      <c r="EX598" s="72">
        <f t="shared" ref="EX598" si="2875">IF(ISERROR(EW598/EO598),"NA",IF(OR(EW598/EO598&gt;2,EW598/EO598&lt;0.5),"NM",EW598/EO598*100-100))</f>
        <v>-16.341349118263864</v>
      </c>
      <c r="EY598" s="72"/>
      <c r="EZ598" s="332"/>
      <c r="FA598" s="72"/>
      <c r="FB598" s="173"/>
      <c r="FC598" s="166"/>
      <c r="FD598" s="180">
        <f>FD526/FD$533*100</f>
        <v>19.106699751861044</v>
      </c>
      <c r="FE598" s="72" t="str">
        <f>IF(ISERROR(FD598/FB598),"NA",IF(OR(FD598/FB598&gt;2,FD598/FB598&lt;0.5),"NM",FD598/FB598*100-100))</f>
        <v>NA</v>
      </c>
      <c r="FF598" s="180">
        <f>FF526/FF$533*100</f>
        <v>20.245901639344265</v>
      </c>
      <c r="FG598" s="72">
        <f>IF(ISERROR(FF598/FD598),"NA",IF(OR(FF598/FD598&gt;2,FF598/FD598&lt;0.5),"NM",FF598/FD598*100-100))</f>
        <v>5.9623163721524293</v>
      </c>
      <c r="FH598" s="180">
        <f>FH526/FH$533*100</f>
        <v>13.36059986366735</v>
      </c>
      <c r="FI598" s="72">
        <f>IF(ISERROR(FH598/FF598),"NA",IF(OR(FH598/FF598&gt;2,FH598/FF598&lt;0.5),"NM",FH598/FF598*100-100))</f>
        <v>-34.008373143019583</v>
      </c>
      <c r="FJ598" s="180">
        <f>FJ526/FJ$533*100</f>
        <v>10.285075461151481</v>
      </c>
      <c r="FK598" s="72">
        <f>IF(ISERROR(FJ598/FH598),"NA",IF(OR(FJ598/FH598&gt;2,FJ598/FH598&lt;0.5),"NM",FJ598/FH598*100-100))</f>
        <v>-23.019358665769289</v>
      </c>
      <c r="FL598" s="180">
        <f>FL526/FL$533*100</f>
        <v>9.9618684461391798</v>
      </c>
      <c r="FM598" s="72">
        <f>IF(ISERROR(FL598/FJ598),"NA",IF(OR(FL598/FJ598&gt;2,FL598/FJ598&lt;0.5),"NM",FL598/FJ598*100-100))</f>
        <v>-3.142485597048946</v>
      </c>
      <c r="FN598" s="180">
        <f>FN526/FN$533*100</f>
        <v>9.1111111111111107</v>
      </c>
      <c r="FO598" s="72">
        <f>IF(ISERROR(FN598/FL598),"NA",IF(OR(FN598/FL598&gt;2,FN598/FL598&lt;0.5),"NM",FN598/FL598*100-100))</f>
        <v>-8.5401382243487518</v>
      </c>
      <c r="FP598" s="180">
        <f>FP526/FP$533*100</f>
        <v>11.379006174654513</v>
      </c>
      <c r="FQ598" s="72">
        <f>IF(ISERROR(FP598/FN598),"NA",IF(OR(FP598/FN598&gt;2,FP598/FN598&lt;0.5),"NM",FP598/FN598*100-100))</f>
        <v>24.891531185232466</v>
      </c>
      <c r="FR598" s="180">
        <f>FR526/FR$533*100</f>
        <v>12.727272727272727</v>
      </c>
      <c r="FS598" s="72">
        <f>IF(ISERROR(FR598/FP598),"NA",IF(OR(FR598/FP598&gt;2,FR598/FP598&lt;0.5),"NM",FR598/FP598*100-100))</f>
        <v>11.848719755696507</v>
      </c>
      <c r="FT598" s="180">
        <f>FT526/FT$533*100</f>
        <v>16.700690613734089</v>
      </c>
      <c r="FU598" s="72">
        <f>IF(ISERROR(FT598/FR598),"NA",IF(OR(FT598/FR598&gt;2,FT598/FR598&lt;0.5),"NM",FT598/FR598*100-100))</f>
        <v>31.219711965053563</v>
      </c>
      <c r="FV598" s="180">
        <f>FV526/FV$533*100</f>
        <v>14.839901477832512</v>
      </c>
      <c r="FW598" s="72">
        <f>IF(ISERROR(FV598/FT598),"NA",IF(OR(FV598/FT598&gt;2,FV598/FT598&lt;0.5),"NM",FV598/FT598*100-100))</f>
        <v>-11.141989148468667</v>
      </c>
      <c r="FX598" s="180">
        <f>FX526/FX$533*100</f>
        <v>2.152641878669276</v>
      </c>
      <c r="FY598" s="72" t="str">
        <f>IF(ISERROR(FX598/FV598),"NA",IF(OR(FX598/FV598&gt;2,FX598/FV598&lt;0.5),"NM",FX598/FV598*100-100))</f>
        <v>NM</v>
      </c>
      <c r="FZ598" s="180">
        <f>FZ526/FZ$533*100</f>
        <v>15.242566510172145</v>
      </c>
      <c r="GA598" s="72" t="str">
        <f>IF(ISERROR(FZ598/FX598),"NA",IF(OR(FZ598/FX598&gt;2,FZ598/FX598&lt;0.5),"NM",FZ598/FX598*100-100))</f>
        <v>NM</v>
      </c>
      <c r="GB598" s="180">
        <f>GB526/GB$533*100</f>
        <v>15.016061956819485</v>
      </c>
      <c r="GC598" s="72">
        <f>IF(ISERROR(GB598/FZ598),"NA",IF(OR(GB598/FZ598&gt;2,GB598/FZ598&lt;0.5),"NM",GB598/FZ598*100-100))</f>
        <v>-1.4860000984840838</v>
      </c>
      <c r="GD598" s="180">
        <f>GD526/GD$533*100</f>
        <v>15.54380317314325</v>
      </c>
      <c r="GE598" s="72">
        <f>IF(ISERROR(GD598/GB598),"NA",IF(OR(GD598/GB598&gt;2,GD598/GB598&lt;0.5),"NM",GD598/GB598*100-100))</f>
        <v>3.5145114467518113</v>
      </c>
      <c r="GF598" s="180">
        <f>GF526/GF$533*100</f>
        <v>12.615599371837375</v>
      </c>
      <c r="GG598" s="72">
        <f>IF(ISERROR(GF598/GD598),"NA",IF(OR(GF598/GD598&gt;2,GF598/GD598&lt;0.5),"NM",GF598/GD598*100-100))</f>
        <v>-18.838399899229657</v>
      </c>
      <c r="GH598" s="180">
        <f>GH526/GH$533*100</f>
        <v>12.373896595208072</v>
      </c>
      <c r="GI598" s="72">
        <f t="shared" ref="GI598:GU598" si="2876">IF(ISERROR(GH598/GF598),"NA",IF(OR(GH598/GF598&gt;2,GH598/GF598&lt;0.5),"NM",GH598/GF598*100-100))</f>
        <v>-1.9159040288555076</v>
      </c>
      <c r="GJ598" s="180">
        <f>GJ526/GJ$533*100</f>
        <v>12.754809660253786</v>
      </c>
      <c r="GK598" s="72">
        <f t="shared" si="2876"/>
        <v>3.0783598530573357</v>
      </c>
      <c r="GL598" s="180">
        <f>GL526/GL$533*100</f>
        <v>13.552608920268641</v>
      </c>
      <c r="GM598" s="72">
        <f t="shared" si="2876"/>
        <v>6.2548895770740955</v>
      </c>
      <c r="GN598" s="180">
        <f>GN526/GN$533*100</f>
        <v>14.525007047373183</v>
      </c>
      <c r="GO598" s="72">
        <f t="shared" si="2876"/>
        <v>7.1749884677205529</v>
      </c>
      <c r="GP598" s="180">
        <f>GP526/GP$533*100</f>
        <v>14.960935583141058</v>
      </c>
      <c r="GQ598" s="72">
        <f t="shared" si="2876"/>
        <v>3.0012277057497982</v>
      </c>
      <c r="GR598" s="173">
        <f>GR526/GR$533*100</f>
        <v>15.584807910292451</v>
      </c>
      <c r="GS598" s="72">
        <f t="shared" si="2876"/>
        <v>4.1700087784243323</v>
      </c>
      <c r="GT598" s="173">
        <f>GT526/GT$533*100</f>
        <v>16.101141041199416</v>
      </c>
      <c r="GU598" s="72">
        <f t="shared" si="2876"/>
        <v>3.3130541863526588</v>
      </c>
      <c r="GV598" s="173">
        <f>GV526/GV$533*100</f>
        <v>16.581695557766547</v>
      </c>
      <c r="GW598" s="72">
        <f>IF(ISERROR(GV598/GT598),"NA",IF(OR(GV598/GT598&gt;2,GV598/GT598&lt;0.5),"NM",GV598/GT598*100-100))</f>
        <v>2.9845991370269616</v>
      </c>
      <c r="GX598" s="173">
        <f>GX526/GX$533*100</f>
        <v>16.886691663212705</v>
      </c>
      <c r="GY598" s="72">
        <f>IF(ISERROR(GX598/GV598),"NA",IF(OR(GX598/GV598&gt;2,GX598/GV598&lt;0.5),"NM",GX598/GV598*100-100))</f>
        <v>1.8393541503860575</v>
      </c>
      <c r="GZ598" s="72">
        <f>IF(ISERROR(((GX598/GN598)^0.2-1)*100),"NA",IF((((GX598/GN598)^0.2-1)*100)&gt;100,"NM",IF((((GX598/GN598)^0.2-1)*100)&lt;-50,"NM",((GX598/GN598)^0.2-1)*100)))</f>
        <v>3.0589336162984981</v>
      </c>
      <c r="HA598" s="72"/>
      <c r="HB598" s="72"/>
      <c r="HC598"/>
      <c r="HD598"/>
      <c r="HE598"/>
      <c r="HF598"/>
      <c r="HG598"/>
      <c r="HH598"/>
      <c r="HI598" s="2"/>
    </row>
    <row r="599" spans="1:217" s="3" customFormat="1" ht="8.25" customHeight="1" x14ac:dyDescent="0.2">
      <c r="B599" s="10"/>
      <c r="C599" s="181"/>
      <c r="D599" s="11"/>
      <c r="E599" s="181"/>
      <c r="F599" s="11"/>
      <c r="G599" s="181"/>
      <c r="H599" s="11"/>
      <c r="I599" s="181"/>
      <c r="J599" s="11"/>
      <c r="K599" s="181"/>
      <c r="L599" s="72"/>
      <c r="M599" s="181"/>
      <c r="N599" s="72"/>
      <c r="O599" s="181"/>
      <c r="P599" s="72"/>
      <c r="Q599" s="181"/>
      <c r="R599" s="72"/>
      <c r="S599" s="181"/>
      <c r="T599" s="72"/>
      <c r="U599" s="181"/>
      <c r="V599" s="72"/>
      <c r="W599" s="181"/>
      <c r="X599" s="72"/>
      <c r="Y599" s="181"/>
      <c r="Z599" s="72"/>
      <c r="AA599" s="181"/>
      <c r="AB599" s="72"/>
      <c r="AC599" s="181"/>
      <c r="AD599" s="72"/>
      <c r="AE599" s="181"/>
      <c r="AF599" s="72"/>
      <c r="AG599" s="181"/>
      <c r="AH599" s="72"/>
      <c r="AI599" s="181"/>
      <c r="AJ599" s="72"/>
      <c r="AK599" s="181"/>
      <c r="AL599" s="72"/>
      <c r="AM599" s="181"/>
      <c r="AN599" s="72"/>
      <c r="AO599" s="181"/>
      <c r="AP599" s="72"/>
      <c r="AQ599" s="181"/>
      <c r="AR599" s="72"/>
      <c r="AS599" s="181"/>
      <c r="AT599" s="72"/>
      <c r="AU599" s="181"/>
      <c r="AV599" s="72"/>
      <c r="AW599" s="181"/>
      <c r="AX599" s="72"/>
      <c r="AY599" s="181"/>
      <c r="AZ599" s="72"/>
      <c r="BA599" s="181"/>
      <c r="BB599" s="72"/>
      <c r="BC599" s="181"/>
      <c r="BD599" s="72"/>
      <c r="BE599" s="181"/>
      <c r="BF599" s="72"/>
      <c r="BG599" s="181"/>
      <c r="BH599" s="72"/>
      <c r="BI599" s="181"/>
      <c r="BJ599" s="72"/>
      <c r="BK599" s="181"/>
      <c r="BL599" s="72"/>
      <c r="BM599" s="181"/>
      <c r="BN599" s="72"/>
      <c r="BO599" s="181"/>
      <c r="BP599" s="72"/>
      <c r="BQ599" s="181"/>
      <c r="BR599" s="72"/>
      <c r="BS599" s="181"/>
      <c r="BT599" s="72"/>
      <c r="BU599" s="181"/>
      <c r="BV599" s="72"/>
      <c r="BW599" s="181"/>
      <c r="BX599" s="72"/>
      <c r="BY599" s="181"/>
      <c r="BZ599" s="72"/>
      <c r="CA599" s="181"/>
      <c r="CB599" s="72"/>
      <c r="CC599" s="181"/>
      <c r="CD599" s="72"/>
      <c r="CE599" s="181"/>
      <c r="CF599" s="72"/>
      <c r="CG599" s="181"/>
      <c r="CH599" s="72"/>
      <c r="CI599" s="181"/>
      <c r="CJ599" s="72"/>
      <c r="CK599" s="181"/>
      <c r="CL599" s="72"/>
      <c r="CM599" s="181"/>
      <c r="CN599" s="72"/>
      <c r="CO599" s="181"/>
      <c r="CP599" s="72"/>
      <c r="CQ599" s="181"/>
      <c r="CR599" s="72"/>
      <c r="CS599" s="181"/>
      <c r="CT599" s="72"/>
      <c r="CU599" s="181"/>
      <c r="CV599" s="72"/>
      <c r="CW599" s="181"/>
      <c r="CX599" s="72"/>
      <c r="CY599" s="181"/>
      <c r="CZ599" s="72"/>
      <c r="DA599" s="181"/>
      <c r="DB599" s="72"/>
      <c r="DC599" s="181"/>
      <c r="DD599" s="72"/>
      <c r="DE599" s="181"/>
      <c r="DF599" s="72"/>
      <c r="DG599" s="181"/>
      <c r="DH599" s="72"/>
      <c r="DI599" s="181"/>
      <c r="DJ599" s="72"/>
      <c r="DK599" s="181"/>
      <c r="DL599" s="72"/>
      <c r="DM599" s="181"/>
      <c r="DN599" s="72"/>
      <c r="DO599" s="181"/>
      <c r="DP599" s="72"/>
      <c r="DQ599" s="181"/>
      <c r="DR599" s="72"/>
      <c r="DS599" s="181"/>
      <c r="DT599" s="72"/>
      <c r="DU599" s="181"/>
      <c r="DV599" s="72"/>
      <c r="DW599" s="181"/>
      <c r="DX599" s="72"/>
      <c r="DY599" s="181"/>
      <c r="DZ599" s="72"/>
      <c r="EA599" s="181"/>
      <c r="EB599" s="72"/>
      <c r="EC599" s="181"/>
      <c r="ED599" s="72"/>
      <c r="EE599" s="181"/>
      <c r="EF599" s="72"/>
      <c r="EG599" s="181"/>
      <c r="EH599" s="72"/>
      <c r="EI599" s="181"/>
      <c r="EJ599" s="72"/>
      <c r="EK599" s="181"/>
      <c r="EL599" s="72"/>
      <c r="EM599" s="181"/>
      <c r="EN599" s="72"/>
      <c r="EO599" s="181"/>
      <c r="EP599" s="72"/>
      <c r="EQ599" s="181"/>
      <c r="ER599" s="72"/>
      <c r="ES599" s="181"/>
      <c r="ET599" s="72"/>
      <c r="EU599" s="181"/>
      <c r="EV599" s="72"/>
      <c r="EW599" s="181"/>
      <c r="EX599" s="72"/>
      <c r="EY599" s="72"/>
      <c r="EZ599" s="296"/>
      <c r="FA599" s="72"/>
      <c r="FB599" s="181"/>
      <c r="FC599" s="11"/>
      <c r="FD599" s="82"/>
      <c r="FE599" s="72"/>
      <c r="FF599" s="82"/>
      <c r="FG599" s="72"/>
      <c r="FH599" s="82"/>
      <c r="FI599" s="72"/>
      <c r="FJ599" s="82"/>
      <c r="FK599" s="72"/>
      <c r="FL599" s="82"/>
      <c r="FM599" s="72"/>
      <c r="FN599" s="82"/>
      <c r="FO599" s="72"/>
      <c r="FP599" s="82"/>
      <c r="FQ599" s="72"/>
      <c r="FR599" s="82"/>
      <c r="FS599" s="72"/>
      <c r="FT599" s="82"/>
      <c r="FU599" s="72"/>
      <c r="FV599" s="82"/>
      <c r="FW599" s="72"/>
      <c r="FX599" s="82"/>
      <c r="FY599" s="72"/>
      <c r="FZ599" s="82"/>
      <c r="GA599" s="72"/>
      <c r="GB599" s="82"/>
      <c r="GC599" s="72"/>
      <c r="GD599" s="82"/>
      <c r="GE599" s="72"/>
      <c r="GF599" s="82"/>
      <c r="GG599" s="72"/>
      <c r="GH599" s="82"/>
      <c r="GI599" s="72"/>
      <c r="GJ599" s="82"/>
      <c r="GK599" s="72"/>
      <c r="GL599" s="82"/>
      <c r="GM599" s="72"/>
      <c r="GN599" s="82"/>
      <c r="GO599" s="72"/>
      <c r="GP599" s="82"/>
      <c r="GQ599" s="72"/>
      <c r="GR599" s="181"/>
      <c r="GS599" s="72"/>
      <c r="GT599" s="181"/>
      <c r="GU599" s="72"/>
      <c r="GV599" s="181"/>
      <c r="GW599" s="72"/>
      <c r="GX599" s="181"/>
      <c r="GY599" s="72"/>
      <c r="GZ599" s="72"/>
      <c r="HA599" s="72"/>
      <c r="HB599" s="72"/>
      <c r="HC599"/>
      <c r="HD599"/>
      <c r="HE599"/>
      <c r="HF599"/>
      <c r="HG599"/>
      <c r="HH599"/>
      <c r="HI599" s="2"/>
    </row>
    <row r="600" spans="1:217" s="3" customFormat="1" ht="12.75" customHeight="1" x14ac:dyDescent="0.2">
      <c r="B600" s="10" t="s">
        <v>209</v>
      </c>
      <c r="C600" s="169"/>
      <c r="D600" s="11"/>
      <c r="E600" s="169"/>
      <c r="F600" s="11"/>
      <c r="G600" s="169"/>
      <c r="H600" s="11"/>
      <c r="I600" s="169"/>
      <c r="J600" s="11"/>
      <c r="K600" s="169">
        <f>K527/K$533*100</f>
        <v>20.342612419700217</v>
      </c>
      <c r="L600" s="72" t="str">
        <f>IF(ISERROR(K600/C600),"NA",IF(OR(K600/C600&gt;2,K600/C600&lt;0.5),"NM",K600/C600*100-100))</f>
        <v>NA</v>
      </c>
      <c r="M600" s="169">
        <f>M527/M$533*100</f>
        <v>19.302325581395348</v>
      </c>
      <c r="N600" s="72" t="str">
        <f>IF(ISERROR(M600/E600),"NA",IF(OR(M600/E600&gt;2,M600/E600&lt;0.5),"NM",M600/E600*100-100))</f>
        <v>NA</v>
      </c>
      <c r="O600" s="169">
        <f>O527/O$533*100</f>
        <v>24.203821656050955</v>
      </c>
      <c r="P600" s="72" t="str">
        <f>IF(ISERROR(O600/G600),"NA",IF(OR(O600/G600&gt;2,O600/G600&lt;0.5),"NM",O600/G600*100-100))</f>
        <v>NA</v>
      </c>
      <c r="Q600" s="169">
        <f>Q527/Q$533*100</f>
        <v>36.821705426356587</v>
      </c>
      <c r="R600" s="72" t="str">
        <f>IF(ISERROR(Q600/I600),"NA",IF(OR(Q600/I600&gt;2,Q600/I600&lt;0.5),"NM",Q600/I600*100-100))</f>
        <v>NA</v>
      </c>
      <c r="S600" s="169">
        <f>S527/S$533*100</f>
        <v>20.242914979757085</v>
      </c>
      <c r="T600" s="72">
        <f>IF(ISERROR(S600/K600),"NA",IF(OR(S600/K600&gt;2,S600/K600&lt;0.5),"NM",S600/K600*100-100))</f>
        <v>-0.49009162582571264</v>
      </c>
      <c r="U600" s="169">
        <f>U527/U$533*100</f>
        <v>18.336886993603414</v>
      </c>
      <c r="V600" s="72">
        <f>IF(ISERROR(U600/M600),"NA",IF(OR(U600/M600&gt;2,U600/M600&lt;0.5),"NM",U600/M600*100-100))</f>
        <v>-5.001669792175079</v>
      </c>
      <c r="W600" s="169">
        <f>W527/W$533*100</f>
        <v>19.004524886877828</v>
      </c>
      <c r="X600" s="72">
        <f>IF(ISERROR(W600/O600),"NA",IF(OR(W600/O600&gt;2,W600/O600&lt;0.5),"NM",W600/O600*100-100))</f>
        <v>-21.481305072636331</v>
      </c>
      <c r="Y600" s="169">
        <f>Y527/Y$533*100</f>
        <v>28.98936170212766</v>
      </c>
      <c r="Z600" s="72">
        <f>IF(ISERROR(Y600/Q600),"NA",IF(OR(Y600/Q600&gt;2,Y600/Q600&lt;0.5),"NM",Y600/Q600*100-100))</f>
        <v>-21.270996640537504</v>
      </c>
      <c r="AA600" s="169">
        <f>AA527/AA$533*100</f>
        <v>21.929824561403507</v>
      </c>
      <c r="AB600" s="72">
        <f>IF(ISERROR(AA600/S600),"NA",IF(OR(AA600/S600&gt;2,AA600/S600&lt;0.5),"NM",AA600/S600*100-100))</f>
        <v>8.3333333333333286</v>
      </c>
      <c r="AC600" s="169">
        <f>AC527/AC$533*100</f>
        <v>19.818181818181817</v>
      </c>
      <c r="AD600" s="72">
        <f>IF(ISERROR(AC600/U600),"NA",IF(OR(AC600/U600&gt;2,AC600/U600&lt;0.5),"NM",AC600/U600*100-100))</f>
        <v>8.0782241014798899</v>
      </c>
      <c r="AE600" s="169">
        <f>AE527/AE$533*100</f>
        <v>21.387283236994222</v>
      </c>
      <c r="AF600" s="72">
        <f>IF(ISERROR(AE600/W600),"NA",IF(OR(AE600/W600&gt;2,AE600/W600&lt;0.5),"NM",AE600/W600*100-100))</f>
        <v>12.537847508945774</v>
      </c>
      <c r="AG600" s="169">
        <f>AG527/AG$533*100</f>
        <v>22.953736654804271</v>
      </c>
      <c r="AH600" s="72">
        <f>IF(ISERROR(AG600/Y600),"NA",IF(OR(AG600/Y600&gt;2,AG600/Y600&lt;0.5),"NM",AG600/Y600*100-100))</f>
        <v>-20.820137777922881</v>
      </c>
      <c r="AI600" s="169">
        <f>AI527/AI$533*100</f>
        <v>21.453900709219859</v>
      </c>
      <c r="AJ600" s="72">
        <f>IF(ISERROR(AI600/AA600),"NA",IF(OR(AI600/AA600&gt;2,AI600/AA600&lt;0.5),"NM",AI600/AA600*100-100))</f>
        <v>-2.1702127659574302</v>
      </c>
      <c r="AK600" s="169">
        <f>AK527/AK$533*100</f>
        <v>17.842323651452283</v>
      </c>
      <c r="AL600" s="72">
        <f>IF(ISERROR(AK600/AC600),"NA",IF(OR(AK600/AC600&gt;2,AK600/AC600&lt;0.5),"NM",AK600/AC600*100-100))</f>
        <v>-9.9699265293692179</v>
      </c>
      <c r="AM600" s="169">
        <f>AM527/AM$533*100</f>
        <v>19.522471910112358</v>
      </c>
      <c r="AN600" s="72">
        <f>IF(ISERROR(AM600/AE600),"NA",IF(OR(AM600/AE600&gt;2,AM600/AE600&lt;0.5),"NM",AM600/AE600*100-100))</f>
        <v>-8.7192529608260116</v>
      </c>
      <c r="AO600" s="169">
        <f>AO527/AO$533*100</f>
        <v>19.655667144906744</v>
      </c>
      <c r="AP600" s="72">
        <f>IF(ISERROR(AO600/AG600),"NA",IF(OR(AO600/AG600&gt;2,AO600/AG600&lt;0.5),"NM",AO600/AG600*100-100))</f>
        <v>-14.368333833817132</v>
      </c>
      <c r="AQ600" s="169">
        <f>AQ527/AQ$533*100</f>
        <v>22.601839684625492</v>
      </c>
      <c r="AR600" s="72">
        <f>IF(ISERROR(AQ600/AI600),"NA",IF(OR(AQ600/AI600&gt;2,AQ600/AI600&lt;0.5),"NM",AQ600/AI600*100-100))</f>
        <v>5.3507238192460846</v>
      </c>
      <c r="AS600" s="169">
        <f>AS527/AS$533*100</f>
        <v>22.70471464019851</v>
      </c>
      <c r="AT600" s="72">
        <f>IF(ISERROR(AS600/AK600),"NA",IF(OR(AS600/AK600&gt;2,AS600/AK600&lt;0.5),"NM",AS600/AK600*100-100))</f>
        <v>27.252005309019552</v>
      </c>
      <c r="AU600" s="169">
        <f>AU527/AU$533*100</f>
        <v>23.63013698630137</v>
      </c>
      <c r="AV600" s="72">
        <f>IF(ISERROR(AU600/AM600),"NA",IF(OR(AU600/AM600&gt;2,AU600/AM600&lt;0.5),"NM",AU600/AM600*100-100))</f>
        <v>21.040701685227162</v>
      </c>
      <c r="AW600" s="169">
        <f>AW527/AW$533*100</f>
        <v>21.808510638297875</v>
      </c>
      <c r="AX600" s="72">
        <f>IF(ISERROR(AW600/AO600),"NA",IF(OR(AW600/AO600&gt;2,AW600/AO600&lt;0.5),"NM",AW600/AO600*100-100))</f>
        <v>10.952787699953433</v>
      </c>
      <c r="AY600" s="169">
        <f>AY527/AY$533*100</f>
        <v>24.033437826541274</v>
      </c>
      <c r="AZ600" s="72">
        <f>IF(ISERROR(AY600/AQ600),"NA",IF(OR(AY600/AQ600&gt;2,AY600/AQ600&lt;0.5),"NM",AY600/AQ600*100-100))</f>
        <v>6.3339894534762351</v>
      </c>
      <c r="BA600" s="169">
        <f>BA527/BA$533*100</f>
        <v>24.229543039319871</v>
      </c>
      <c r="BB600" s="72">
        <f>IF(ISERROR(BA600/AS600),"NA",IF(OR(BA600/AS600&gt;2,BA600/AS600&lt;0.5),"NM",BA600/AS600*100-100))</f>
        <v>6.7159108726328753</v>
      </c>
      <c r="BC600" s="169">
        <f>BC527/BC$533*100</f>
        <v>25.132555673382821</v>
      </c>
      <c r="BD600" s="72">
        <f>IF(ISERROR(BC600/AU600),"NA",IF(OR(BC600/AU600&gt;2,BC600/AU600&lt;0.5),"NM",BC600/AU600*100-100))</f>
        <v>6.3580616902577418</v>
      </c>
      <c r="BE600" s="169">
        <f>BE527/BE$533*100</f>
        <v>23.868312757201647</v>
      </c>
      <c r="BF600" s="72">
        <f>IF(ISERROR(BE600/AW600),"NA",IF(OR(BE600/AW600&gt;2,BE600/AW600&lt;0.5),"NM",BE600/AW600*100-100))</f>
        <v>9.4449463013148431</v>
      </c>
      <c r="BG600" s="169">
        <f>BG527/BG$533*100</f>
        <v>25.628810975609756</v>
      </c>
      <c r="BH600" s="72">
        <f>IF(ISERROR(BG600/AY600),"NA",IF(OR(BG600/AY600&gt;2,BG600/AY600&lt;0.5),"NM",BG600/AY600*100-100))</f>
        <v>6.6381395811240651</v>
      </c>
      <c r="BI600" s="169">
        <f>BI527/BI$533*100</f>
        <v>23.083941605839417</v>
      </c>
      <c r="BJ600" s="72">
        <f>IF(ISERROR(BI600/BA600),"NA",IF(OR(BI600/BA600&gt;2,BI600/BA600&lt;0.5),"NM",BI600/BA600*100-100))</f>
        <v>-4.7281181969522237</v>
      </c>
      <c r="BK600" s="169">
        <f>BK527/BK$533*100</f>
        <v>24.351145038167939</v>
      </c>
      <c r="BL600" s="72">
        <f>IF(ISERROR(BK600/BC600),"NA",IF(OR(BK600/BC600&gt;2,BK600/BC600&lt;0.5),"NM",BK600/BC600*100-100))</f>
        <v>-3.1091570844204028</v>
      </c>
      <c r="BM600" s="169">
        <f>BM527/BM$533*100</f>
        <v>23.93526405451448</v>
      </c>
      <c r="BN600" s="72">
        <f>IF(ISERROR(BM600/BE600),"NA",IF(OR(BM600/BE600&gt;2,BM600/BE600&lt;0.5),"NM",BM600/BE600*100-100))</f>
        <v>0.2805028490865169</v>
      </c>
      <c r="BO600" s="169">
        <f>BO527/BO$533*100</f>
        <v>30.254777070063692</v>
      </c>
      <c r="BP600" s="72">
        <f>IF(ISERROR(BO600/BG600),"NA",IF(OR(BO600/BG600&gt;2,BO600/BG600&lt;0.5),"NM",BO600/BG600*100-100))</f>
        <v>18.049866218360052</v>
      </c>
      <c r="BQ600" s="169">
        <f>BQ527/BQ$533*100</f>
        <v>26.629422718808193</v>
      </c>
      <c r="BR600" s="72">
        <f>IF(ISERROR(BQ600/BI600),"NA",IF(OR(BQ600/BI600&gt;2,BQ600/BI600&lt;0.5),"NM",BQ600/BI600*100-100))</f>
        <v>15.359080236418095</v>
      </c>
      <c r="BS600" s="169">
        <f>BS527/BS$533*100</f>
        <v>30.520833333333336</v>
      </c>
      <c r="BT600" s="72">
        <f>IF(ISERROR(BS600/BK600),"NA",IF(OR(BS600/BK600&gt;2,BS600/BK600&lt;0.5),"NM",BS600/BK600*100-100))</f>
        <v>25.336337513061665</v>
      </c>
      <c r="BU600" s="169">
        <f>BU527/BU$533*100</f>
        <v>45.391304347826086</v>
      </c>
      <c r="BV600" s="72">
        <f>IF(ISERROR(BU600/BM600),"NA",IF(OR(BU600/BM600&gt;2,BU600/BM600&lt;0.5),"NM",BU600/BM600*100-100))</f>
        <v>89.641961937180895</v>
      </c>
      <c r="BW600" s="169">
        <f>BW527/BW$533*100</f>
        <v>48.613376835236544</v>
      </c>
      <c r="BX600" s="72">
        <f>IF(ISERROR(BW600/BO600),"NA",IF(OR(BW600/BO600&gt;2,BW600/BO600&lt;0.5),"NM",BW600/BO600*100-100))</f>
        <v>60.680003434360799</v>
      </c>
      <c r="BY600" s="169">
        <f>BY527/BY$533*100</f>
        <v>45.098039215686278</v>
      </c>
      <c r="BZ600" s="72">
        <f>IF(ISERROR(BY600/BQ600),"NA",IF(OR(BY600/BQ600&gt;2,BY600/BQ600&lt;0.5),"NM",BY600/BQ600*100-100))</f>
        <v>69.354175236528192</v>
      </c>
      <c r="CA600" s="169">
        <f>CA527/CA$533*100</f>
        <v>35.32934131736527</v>
      </c>
      <c r="CB600" s="72">
        <f>IF(ISERROR(CA600/BS600),"NA",IF(OR(CA600/BS600&gt;2,CA600/BS600&lt;0.5),"NM",CA600/BS600*100-100))</f>
        <v>15.75483844597494</v>
      </c>
      <c r="CC600" s="169">
        <f>CC527/CC$533*100</f>
        <v>44.023323615160351</v>
      </c>
      <c r="CD600" s="72">
        <f>IF(ISERROR(CC600/BU600),"NA",IF(OR(CC600/BU600&gt;2,CC600/BU600&lt;0.5),"NM",CC600/BU600*100-100))</f>
        <v>-3.0137506562559366</v>
      </c>
      <c r="CE600" s="169">
        <f>CE527/CE$533*100</f>
        <v>39.365918097754296</v>
      </c>
      <c r="CF600" s="72">
        <f>IF(ISERROR(CE600/BW600),"NA",IF(OR(CE600/BW600&gt;2,CE600/BW600&lt;0.5),"NM",CE600/BW600*100-100))</f>
        <v>-19.022457067371207</v>
      </c>
      <c r="CG600" s="169">
        <f>CG527/CG$533*100</f>
        <v>32.675709001233045</v>
      </c>
      <c r="CH600" s="72">
        <f>IF(ISERROR(CG600/BY600),"NA",IF(OR(CG600/BY600&gt;2,CG600/BY600&lt;0.5),"NM",CG600/BY600*100-100))</f>
        <v>-27.545166997265852</v>
      </c>
      <c r="CI600" s="169">
        <f>CI527/CI$533*100</f>
        <v>39.205298013245034</v>
      </c>
      <c r="CJ600" s="72">
        <f>IF(ISERROR(CI600/CA600),"NA",IF(OR(CI600/CA600&gt;2,CI600/CA600&lt;0.5),"NM",CI600/CA600*100-100))</f>
        <v>10.970928274778331</v>
      </c>
      <c r="CK600" s="169">
        <f>CK527/CK$533*100</f>
        <v>33.256880733944953</v>
      </c>
      <c r="CL600" s="72">
        <f>IF(ISERROR(CK600/CC600),"NA",IF(OR(CK600/CC600&gt;2,CK600/CC600&lt;0.5),"NM",CK600/CC600*100-100))</f>
        <v>-24.456224557992584</v>
      </c>
      <c r="CM600" s="169">
        <f>CM527/CM$533*100</f>
        <v>33.536906391492053</v>
      </c>
      <c r="CN600" s="72">
        <f>IF(ISERROR(CM600/CE600),"NA",IF(OR(CM600/CE600&gt;2,CM600/CE600&lt;0.5),"NM",CM600/CE600*100-100))</f>
        <v>-14.807254569263478</v>
      </c>
      <c r="CO600" s="169">
        <f>CO527/CO$533*100</f>
        <v>27.963800904977376</v>
      </c>
      <c r="CP600" s="72">
        <f>IF(ISERROR(CO600/CG600),"NA",IF(OR(CO600/CG600&gt;2,CO600/CG600&lt;0.5),"NM",CO600/CG600*100-100))</f>
        <v>-14.420216853069235</v>
      </c>
      <c r="CQ600" s="169">
        <f>CQ527/CQ$533*100</f>
        <v>33.672431332655137</v>
      </c>
      <c r="CR600" s="72">
        <f>IF(ISERROR(CQ600/CI600),"NA",IF(OR(CQ600/CI600&gt;2,CQ600/CI600&lt;0.5),"NM",CQ600/CI600*100-100))</f>
        <v>-14.11254845893707</v>
      </c>
      <c r="CS600" s="169">
        <f>CS527/CS$533*100</f>
        <v>30.674846625766872</v>
      </c>
      <c r="CT600" s="72">
        <f>IF(ISERROR(CS600/CK600),"NA",IF(OR(CS600/CK600&gt;2,CS600/CK600&lt;0.5),"NM",CS600/CK600*100-100))</f>
        <v>-7.7639094563147921</v>
      </c>
      <c r="CU600" s="169">
        <f>CU527/CU$533*100</f>
        <v>41.163793103448278</v>
      </c>
      <c r="CV600" s="72">
        <f>IF(ISERROR(CU600/CM600),"NA",IF(OR(CU600/CM600&gt;2,CU600/CM600&lt;0.5),"NM",CU600/CM600*100-100))</f>
        <v>22.741771775022983</v>
      </c>
      <c r="CW600" s="169">
        <f>CW527/CW$533*100</f>
        <v>33.938294010889294</v>
      </c>
      <c r="CX600" s="72">
        <f>IF(ISERROR(CW600/CO600),"NA",IF(OR(CW600/CO600&gt;2,CW600/CO600&lt;0.5),"NM",CW600/CO600*100-100))</f>
        <v>21.365096705607328</v>
      </c>
      <c r="CY600" s="169">
        <f>CY527/CY$533*100</f>
        <v>31.42375737152485</v>
      </c>
      <c r="CZ600" s="72">
        <f>IF(ISERROR(CY600/CQ600),"NA",IF(OR(CY600/CQ600&gt;2,CY600/CQ600&lt;0.5),"NM",CY600/CQ600*100-100))</f>
        <v>-6.6780861141724159</v>
      </c>
      <c r="DA600" s="169">
        <f>DA527/DA$533*100</f>
        <v>29.328621908127207</v>
      </c>
      <c r="DB600" s="72">
        <f>IF(ISERROR(DA600/CS600),"NA",IF(OR(DA600/CS600&gt;2,DA600/CS600&lt;0.5),"NM",DA600/CS600*100-100))</f>
        <v>-4.3886925795053031</v>
      </c>
      <c r="DC600" s="169">
        <f>DC527/DC$533*100</f>
        <v>30.758017492711371</v>
      </c>
      <c r="DD600" s="72">
        <f>IF(ISERROR(DC600/CU600),"NA",IF(OR(DC600/CU600&gt;2,DC600/CU600&lt;0.5),"NM",DC600/CU600*100-100))</f>
        <v>-25.278952269015306</v>
      </c>
      <c r="DE600" s="169">
        <f>DE527/DE$533*100</f>
        <v>26.841721371261851</v>
      </c>
      <c r="DF600" s="72">
        <f>IF(ISERROR(DE600/CW600),"NA",IF(OR(DE600/CW600&gt;2,DE600/CW600&lt;0.5),"NM",DE600/CW600*100-100))</f>
        <v>-20.910222055800645</v>
      </c>
      <c r="DG600" s="169">
        <f>DG527/DG$533*100</f>
        <v>26.732673267326735</v>
      </c>
      <c r="DH600" s="72">
        <f>IF(ISERROR(DG600/CY600),"NA",IF(OR(DG600/CY600&gt;2,DG600/CY600&lt;0.5),"NM",DG600/CY600*100-100))</f>
        <v>-14.928463355718932</v>
      </c>
      <c r="DI600" s="169">
        <f>DI527/DI$533*100</f>
        <v>25.865580448065174</v>
      </c>
      <c r="DJ600" s="72">
        <f>IF(ISERROR(DI600/DA600),"NA",IF(OR(DI600/DA600&gt;2,DI600/DA600&lt;0.5),"NM",DI600/DA600*100-100))</f>
        <v>-11.807719677078993</v>
      </c>
      <c r="DK600" s="169">
        <f>DK527/DK$533*100</f>
        <v>26.918316831683171</v>
      </c>
      <c r="DL600" s="72">
        <f>IF(ISERROR(DK600/DC600),"NA",IF(OR(DK600/DC600&gt;2,DK600/DC600&lt;0.5),"NM",DK600/DC600*100-100))</f>
        <v>-12.483576556707803</v>
      </c>
      <c r="DM600" s="169">
        <f>DM527/DM$533*100</f>
        <v>23.363914373088683</v>
      </c>
      <c r="DN600" s="72">
        <f t="shared" ref="DN600:DZ603" si="2877">IF(ISERROR(DM600/DE600),"NA",IF(OR(DM600/DE600&gt;2,DM600/DE600&lt;0.5),"NM",DM600/DE600*100-100))</f>
        <v>-12.956721180694061</v>
      </c>
      <c r="DO600" s="169">
        <f>DO527/DO$533*100</f>
        <v>24.85911083281152</v>
      </c>
      <c r="DP600" s="72">
        <f t="shared" si="2877"/>
        <v>-7.0085113291124657</v>
      </c>
      <c r="DQ600" s="169">
        <f>DQ527/DQ$533*100</f>
        <v>25.534759358288774</v>
      </c>
      <c r="DR600" s="72">
        <f t="shared" si="2877"/>
        <v>-1.2790012211040391</v>
      </c>
      <c r="DS600" s="169">
        <f>DS527/DS$533*100</f>
        <v>26.63834951456311</v>
      </c>
      <c r="DT600" s="72">
        <f t="shared" si="2877"/>
        <v>-1.0400624930253315</v>
      </c>
      <c r="DU600" s="169">
        <f>DU527/DU$533*100</f>
        <v>23.931623931623932</v>
      </c>
      <c r="DV600" s="72">
        <f t="shared" si="2877"/>
        <v>2.4298563565579485</v>
      </c>
      <c r="DW600" s="169">
        <f>DW527/DW$533*100</f>
        <v>25.727213962508078</v>
      </c>
      <c r="DX600" s="72">
        <f t="shared" si="2877"/>
        <v>3.4920924386030237</v>
      </c>
      <c r="DY600" s="169">
        <f>DY527/DY$533*100</f>
        <v>28.795606120047079</v>
      </c>
      <c r="DZ600" s="72">
        <f t="shared" si="2877"/>
        <v>12.77022710887546</v>
      </c>
      <c r="EA600" s="169">
        <f>EA527/EA$533*100</f>
        <v>28.812368236120872</v>
      </c>
      <c r="EB600" s="72">
        <f>IF(ISERROR(EA600/DS600),"NA",IF(OR(EA600/DS600&gt;2,EA600/DS600&lt;0.5),"NM",EA600/DS600*100-100))</f>
        <v>8.1612365674879044</v>
      </c>
      <c r="EC600" s="169">
        <f>EC527/EC$533*100</f>
        <v>22.989276139410187</v>
      </c>
      <c r="ED600" s="72">
        <f>IF(ISERROR(EC600/DU600),"NA",IF(OR(EC600/DU600&gt;2,EC600/DU600&lt;0.5),"NM",EC600/DU600*100-100))</f>
        <v>-3.9376675603217279</v>
      </c>
      <c r="EE600" s="169">
        <f>EE527/EE$533*100</f>
        <v>26.909841706813491</v>
      </c>
      <c r="EF600" s="72">
        <f>IF(ISERROR(EE600/DW600),"NA",IF(OR(EE600/DW600&gt;2,EE600/DW600&lt;0.5),"NM",EE600/DW600*100-100))</f>
        <v>4.5967967850263136</v>
      </c>
      <c r="EG600" s="169">
        <f>EG527/EG$533*100</f>
        <v>27.449617790132034</v>
      </c>
      <c r="EH600" s="72">
        <f>IF(ISERROR(EG600/DY600),"NA",IF(OR(EG600/DY600&gt;2,EG600/DY600&lt;0.5),"NM",EG600/DY600*100-100))</f>
        <v>-4.6742837233698253</v>
      </c>
      <c r="EI600" s="169">
        <f>EI527/EI$533*100</f>
        <v>24.876531918785442</v>
      </c>
      <c r="EJ600" s="72">
        <f>IF(ISERROR(EI600/EA600),"NA",IF(OR(EI600/EA600&gt;2,EI600/EA600&lt;0.5),"NM",EI600/EA600*100-100))</f>
        <v>-13.660231901386126</v>
      </c>
      <c r="EK600" s="169">
        <f>EK527/EK$533*100</f>
        <v>22.048997772828507</v>
      </c>
      <c r="EL600" s="72">
        <f>IF(ISERROR(EK600/EC600),"NA",IF(OR(EK600/EC600&gt;2,EK600/EC600&lt;0.5),"NM",EK600/EC600*100-100))</f>
        <v>-4.0900738278130291</v>
      </c>
      <c r="EM600" s="169">
        <f>EM527/EM$533*100</f>
        <v>21.486175115207374</v>
      </c>
      <c r="EN600" s="72">
        <f>IF(ISERROR(EM600/EE600),"NA",IF(OR(EM600/EE600&gt;2,EM600/EE600&lt;0.5),"NM",EM600/EE600*100-100))</f>
        <v>-20.154955390290766</v>
      </c>
      <c r="EO600" s="169">
        <f>EO527/EO$533*100</f>
        <v>24.426020408163264</v>
      </c>
      <c r="EP600" s="72">
        <f>IF(ISERROR(EO600/EG600),"NA",IF(OR(EO600/EG600&gt;2,EO600/EG600&lt;0.5),"NM",EO600/EG600*100-100))</f>
        <v>-11.015080082665975</v>
      </c>
      <c r="EQ600" s="169">
        <f>EQ527/EQ$533*100</f>
        <v>25.324446586154014</v>
      </c>
      <c r="ER600" s="72">
        <f t="shared" ref="ER600:ER603" si="2878">IF(ISERROR(EQ600/EI600),"NA",IF(OR(EQ600/EI600&gt;2,EQ600/EI600&lt;0.5),"NM",EQ600/EI600*100-100))</f>
        <v>1.8005510930176456</v>
      </c>
      <c r="ES600" s="169">
        <f>ES527/ES$533*100</f>
        <v>23.388183712345938</v>
      </c>
      <c r="ET600" s="72">
        <f t="shared" ref="ET600:ET603" si="2879">IF(ISERROR(ES600/EK600),"NA",IF(OR(ES600/EK600&gt;2,ES600/EK600&lt;0.5),"NM",ES600/EK600*100-100))</f>
        <v>6.0736816852861182</v>
      </c>
      <c r="EU600" s="169">
        <f>EU527/EU$533*100</f>
        <v>22.893795557318658</v>
      </c>
      <c r="EV600" s="72">
        <f t="shared" ref="EV600:EV603" si="2880">IF(ISERROR(EU600/EM600),"NA",IF(OR(EU600/EM600&gt;2,EU600/EM600&lt;0.5),"NM",EU600/EM600*100-100))</f>
        <v>6.5512844169039965</v>
      </c>
      <c r="EW600" s="169">
        <f>EW527/EW$533*100</f>
        <v>25.902038064341383</v>
      </c>
      <c r="EX600" s="72">
        <f t="shared" ref="EX600:EX603" si="2881">IF(ISERROR(EW600/EO600),"NA",IF(OR(EW600/EO600&gt;2,EW600/EO600&lt;0.5),"NM",EW600/EO600*100-100))</f>
        <v>6.0428085767292146</v>
      </c>
      <c r="EY600" s="72"/>
      <c r="EZ600" s="296"/>
      <c r="FA600" s="72"/>
      <c r="FB600" s="169"/>
      <c r="FC600" s="11"/>
      <c r="FD600" s="171">
        <f>FD527/FD$533*100</f>
        <v>18.031430934656743</v>
      </c>
      <c r="FE600" s="72" t="str">
        <f>IF(ISERROR(FD600/FB600),"NA",IF(OR(FD600/FB600&gt;2,FD600/FB600&lt;0.5),"NM",FD600/FB600*100-100))</f>
        <v>NA</v>
      </c>
      <c r="FF600" s="171">
        <f>FF527/FF$533*100</f>
        <v>24.262295081967213</v>
      </c>
      <c r="FG600" s="72">
        <f>IF(ISERROR(FF600/FD600),"NA",IF(OR(FF600/FD600&gt;2,FF600/FD600&lt;0.5),"NM",FF600/FD600*100-100))</f>
        <v>34.555572266506232</v>
      </c>
      <c r="FH600" s="171">
        <f>FH527/FH$533*100</f>
        <v>23.790047716428084</v>
      </c>
      <c r="FI600" s="72">
        <f>IF(ISERROR(FH600/FF600),"NA",IF(OR(FH600/FF600&gt;2,FH600/FF600&lt;0.5),"NM",FH600/FF600*100-100))</f>
        <v>-1.9464249525599229</v>
      </c>
      <c r="FJ600" s="171">
        <f>FJ527/FJ$533*100</f>
        <v>21.185019564002236</v>
      </c>
      <c r="FK600" s="72">
        <f>IF(ISERROR(FJ600/FH600),"NA",IF(OR(FJ600/FH600&gt;2,FJ600/FH600&lt;0.5),"NM",FJ600/FH600*100-100))</f>
        <v>-10.950075357045037</v>
      </c>
      <c r="FL600" s="171">
        <f>FL527/FL$533*100</f>
        <v>21.401334604385127</v>
      </c>
      <c r="FM600" s="72">
        <f>IF(ISERROR(FL600/FJ600),"NA",IF(OR(FL600/FJ600&gt;2,FL600/FJ600&lt;0.5),"NM",FL600/FJ600*100-100))</f>
        <v>1.0210754808575047</v>
      </c>
      <c r="FN600" s="171">
        <f>FN527/FN$533*100</f>
        <v>19.481481481481481</v>
      </c>
      <c r="FO600" s="72">
        <f>IF(ISERROR(FN600/FL600),"NA",IF(OR(FN600/FL600&gt;2,FN600/FL600&lt;0.5),"NM",FN600/FL600*100-100))</f>
        <v>-8.9707168192691569</v>
      </c>
      <c r="FP600" s="171">
        <f>FP527/FP$533*100</f>
        <v>22.552190532196413</v>
      </c>
      <c r="FQ600" s="72">
        <f>IF(ISERROR(FP600/FN600),"NA",IF(OR(FP600/FN600&gt;2,FP600/FN600&lt;0.5),"NM",FP600/FN600*100-100))</f>
        <v>15.762194747015812</v>
      </c>
      <c r="FR600" s="171">
        <f>FR527/FR$533*100</f>
        <v>24.426877470355731</v>
      </c>
      <c r="FS600" s="72">
        <f>IF(ISERROR(FR600/FP600),"NA",IF(OR(FR600/FP600&gt;2,FR600/FP600&lt;0.5),"NM",FR600/FP600*100-100))</f>
        <v>8.3126600738981011</v>
      </c>
      <c r="FT600" s="171">
        <f>FT527/FT$533*100</f>
        <v>24.36693741041567</v>
      </c>
      <c r="FU600" s="72">
        <f>IF(ISERROR(FT600/FR600),"NA",IF(OR(FT600/FR600&gt;2,FT600/FR600&lt;0.5),"NM",FT600/FR600*100-100))</f>
        <v>-0.24538568227889357</v>
      </c>
      <c r="FV600" s="171">
        <f>FV527/FV$533*100</f>
        <v>30.726600985221676</v>
      </c>
      <c r="FW600" s="72">
        <f>IF(ISERROR(FV600/FT600),"NA",IF(OR(FV600/FT600&gt;2,FV600/FT600&lt;0.5),"NM",FV600/FT600*100-100))</f>
        <v>26.099560513860737</v>
      </c>
      <c r="FX600" s="171">
        <f>FX527/FX$533*100</f>
        <v>41.291585127201564</v>
      </c>
      <c r="FY600" s="72">
        <f>IF(ISERROR(FX600/FV600),"NA",IF(OR(FX600/FV600&gt;2,FX600/FV600&lt;0.5),"NM",FX600/FV600*100-100))</f>
        <v>34.383836165481654</v>
      </c>
      <c r="FZ600" s="171">
        <f>FZ527/FZ$533*100</f>
        <v>35.962441314553992</v>
      </c>
      <c r="GA600" s="72">
        <f>IF(ISERROR(FZ600/FX600),"NA",IF(OR(FZ600/FX600&gt;2,FZ600/FX600&lt;0.5),"NM",FZ600/FX600*100-100))</f>
        <v>-12.906125536791038</v>
      </c>
      <c r="GB600" s="171">
        <f>GB527/GB$533*100</f>
        <v>31.339492491969022</v>
      </c>
      <c r="GC600" s="72">
        <f>IF(ISERROR(GB600/FZ600),"NA",IF(OR(GB600/FZ600&gt;2,GB600/FZ600&lt;0.5),"NM",GB600/FZ600*100-100))</f>
        <v>-12.854936021026091</v>
      </c>
      <c r="GD600" s="171">
        <f>GD527/GD$533*100</f>
        <v>33.593929638997473</v>
      </c>
      <c r="GE600" s="72">
        <f>IF(ISERROR(GD600/GB600),"NA",IF(OR(GD600/GB600&gt;2,GD600/GB600&lt;0.5),"NM",GD600/GB600*100-100))</f>
        <v>7.1935981337482247</v>
      </c>
      <c r="GF600" s="171">
        <f>GF527/GF$533*100</f>
        <v>27.499563775955334</v>
      </c>
      <c r="GG600" s="72">
        <f>IF(ISERROR(GF600/GD600),"NA",IF(OR(GF600/GD600&gt;2,GF600/GD600&lt;0.5),"NM",GF600/GD600*100-100))</f>
        <v>-18.14127114193721</v>
      </c>
      <c r="GH600" s="171">
        <f>GH527/GH$533*100</f>
        <v>25.15762925598991</v>
      </c>
      <c r="GI600" s="72">
        <f t="shared" ref="GI600:GU603" si="2882">IF(ISERROR(GH600/GF600),"NA",IF(OR(GH600/GF600&gt;2,GH600/GF600&lt;0.5),"NM",GH600/GF600*100-100))</f>
        <v>-8.5162606179707154</v>
      </c>
      <c r="GJ600" s="171">
        <f>GJ527/GJ$533*100</f>
        <v>26.131805157593124</v>
      </c>
      <c r="GK600" s="72">
        <f t="shared" si="2882"/>
        <v>3.8722881702824452</v>
      </c>
      <c r="GL600" s="171">
        <f>GL527/GL$533*100</f>
        <v>26.50249698639573</v>
      </c>
      <c r="GM600" s="72">
        <f t="shared" si="2882"/>
        <v>1.4185465817117233</v>
      </c>
      <c r="GN600" s="171">
        <f>GN527/GN$533*100</f>
        <v>23.145057194997108</v>
      </c>
      <c r="GO600" s="72">
        <f t="shared" si="2882"/>
        <v>-12.668390427973875</v>
      </c>
      <c r="GP600" s="171">
        <f>GP527/GP$533*100</f>
        <v>24.33756069966153</v>
      </c>
      <c r="GQ600" s="72">
        <f t="shared" si="2882"/>
        <v>5.1523031229414613</v>
      </c>
      <c r="GR600" s="169">
        <f>GR527/GR$533*100</f>
        <v>24.997968236359121</v>
      </c>
      <c r="GS600" s="72">
        <f t="shared" si="2882"/>
        <v>2.7135321606276364</v>
      </c>
      <c r="GT600" s="169">
        <f>GT527/GT$533*100</f>
        <v>25.720546733679988</v>
      </c>
      <c r="GU600" s="72">
        <f t="shared" si="2882"/>
        <v>2.8905489057702312</v>
      </c>
      <c r="GV600" s="169">
        <f>GV527/GV$533*100</f>
        <v>26.435477762245707</v>
      </c>
      <c r="GW600" s="72">
        <f>IF(ISERROR(GV600/GT600),"NA",IF(OR(GV600/GT600&gt;2,GV600/GT600&lt;0.5),"NM",GV600/GT600*100-100))</f>
        <v>2.7796105423744564</v>
      </c>
      <c r="GX600" s="169">
        <f>GX527/GX$533*100</f>
        <v>27.212698438262095</v>
      </c>
      <c r="GY600" s="72">
        <f>IF(ISERROR(GX600/GV600),"NA",IF(OR(GX600/GV600&gt;2,GX600/GV600&lt;0.5),"NM",GX600/GV600*100-100))</f>
        <v>2.9400666899479688</v>
      </c>
      <c r="GZ600" s="72">
        <f>IF(ISERROR(((GX600/GN600)^0.2-1)*100),"NA",IF((((GX600/GN600)^0.2-1)*100)&gt;100,"NM",IF((((GX600/GN600)^0.2-1)*100)&lt;-50,"NM",((GX600/GN600)^0.2-1)*100)))</f>
        <v>3.2910447405585241</v>
      </c>
      <c r="HA600" s="72"/>
      <c r="HB600" s="72"/>
      <c r="HC600"/>
      <c r="HD600"/>
      <c r="HE600"/>
      <c r="HF600"/>
      <c r="HG600"/>
      <c r="HH600"/>
      <c r="HI600" s="2"/>
    </row>
    <row r="601" spans="1:217" s="3" customFormat="1" ht="12.75" customHeight="1" x14ac:dyDescent="0.2">
      <c r="B601" s="10" t="s">
        <v>322</v>
      </c>
      <c r="C601" s="169"/>
      <c r="D601" s="11"/>
      <c r="E601" s="169"/>
      <c r="F601" s="11"/>
      <c r="G601" s="169"/>
      <c r="H601" s="11"/>
      <c r="I601" s="169"/>
      <c r="J601" s="11"/>
      <c r="K601" s="169">
        <f>K528/K$533*100</f>
        <v>17.344753747323342</v>
      </c>
      <c r="L601" s="72" t="str">
        <f>IF(ISERROR(K601/C601),"NA",IF(OR(K601/C601&gt;2,K601/C601&lt;0.5),"NM",K601/C601*100-100))</f>
        <v>NA</v>
      </c>
      <c r="M601" s="169">
        <f>M528/M$533*100</f>
        <v>13.720930232558141</v>
      </c>
      <c r="N601" s="72" t="str">
        <f>IF(ISERROR(M601/E601),"NA",IF(OR(M601/E601&gt;2,M601/E601&lt;0.5),"NM",M601/E601*100-100))</f>
        <v>NA</v>
      </c>
      <c r="O601" s="169">
        <f>O528/O$533*100</f>
        <v>40.127388535031848</v>
      </c>
      <c r="P601" s="72" t="str">
        <f>IF(ISERROR(O601/G601),"NA",IF(OR(O601/G601&gt;2,O601/G601&lt;0.5),"NM",O601/G601*100-100))</f>
        <v>NA</v>
      </c>
      <c r="Q601" s="169">
        <f>Q528/Q$533*100</f>
        <v>29.844961240310074</v>
      </c>
      <c r="R601" s="72" t="str">
        <f>IF(ISERROR(Q601/I601),"NA",IF(OR(Q601/I601&gt;2,Q601/I601&lt;0.5),"NM",Q601/I601*100-100))</f>
        <v>NA</v>
      </c>
      <c r="S601" s="169">
        <f>S528/S$533*100</f>
        <v>21.052631578947366</v>
      </c>
      <c r="T601" s="72">
        <f>IF(ISERROR(S601/K601),"NA",IF(OR(S601/K601&gt;2,S601/K601&lt;0.5),"NM",S601/K601*100-100))</f>
        <v>21.377517868745912</v>
      </c>
      <c r="U601" s="169">
        <f>U528/U$533*100</f>
        <v>21.535181236673772</v>
      </c>
      <c r="V601" s="72">
        <f>IF(ISERROR(U601/M601),"NA",IF(OR(U601/M601&gt;2,U601/M601&lt;0.5),"NM",U601/M601*100-100))</f>
        <v>56.951320877452901</v>
      </c>
      <c r="W601" s="169">
        <f>W528/W$533*100</f>
        <v>23.076923076923077</v>
      </c>
      <c r="X601" s="72">
        <f>IF(ISERROR(W601/O601),"NA",IF(OR(W601/O601&gt;2,W601/O601&lt;0.5),"NM",W601/O601*100-100))</f>
        <v>-42.490842490842496</v>
      </c>
      <c r="Y601" s="169">
        <f>Y528/Y$533*100</f>
        <v>18.882978723404257</v>
      </c>
      <c r="Z601" s="72">
        <f>IF(ISERROR(Y601/Q601),"NA",IF(OR(Y601/Q601&gt;2,Y601/Q601&lt;0.5),"NM",Y601/Q601*100-100))</f>
        <v>-36.72975960210001</v>
      </c>
      <c r="AA601" s="169">
        <f>AA528/AA$533*100</f>
        <v>16.447368421052634</v>
      </c>
      <c r="AB601" s="72">
        <f>IF(ISERROR(AA601/S601),"NA",IF(OR(AA601/S601&gt;2,AA601/S601&lt;0.5),"NM",AA601/S601*100-100))</f>
        <v>-21.874999999999972</v>
      </c>
      <c r="AC601" s="169">
        <f>AC528/AC$533*100</f>
        <v>17.81818181818182</v>
      </c>
      <c r="AD601" s="72">
        <f>IF(ISERROR(AC601/U601),"NA",IF(OR(AC601/U601&gt;2,AC601/U601&lt;0.5),"NM",AC601/U601*100-100))</f>
        <v>-17.260126012601233</v>
      </c>
      <c r="AE601" s="169">
        <f>AE528/AE$533*100</f>
        <v>20.038535645472059</v>
      </c>
      <c r="AF601" s="72">
        <f>IF(ISERROR(AE601/W601),"NA",IF(OR(AE601/W601&gt;2,AE601/W601&lt;0.5),"NM",AE601/W601*100-100))</f>
        <v>-13.166345536287736</v>
      </c>
      <c r="AG601" s="169">
        <f>AG528/AG$533*100</f>
        <v>16.548042704626333</v>
      </c>
      <c r="AH601" s="72">
        <f>IF(ISERROR(AG601/Y601),"NA",IF(OR(AG601/Y601&gt;2,AG601/Y601&lt;0.5),"NM",AG601/Y601*100-100))</f>
        <v>-12.365294972683088</v>
      </c>
      <c r="AI601" s="169">
        <f>AI528/AI$533*100</f>
        <v>16.666666666666664</v>
      </c>
      <c r="AJ601" s="72">
        <f>IF(ISERROR(AI601/AA601),"NA",IF(OR(AI601/AA601&gt;2,AI601/AA601&lt;0.5),"NM",AI601/AA601*100-100))</f>
        <v>1.3333333333333002</v>
      </c>
      <c r="AK601" s="169">
        <f>AK528/AK$533*100</f>
        <v>15.905947441217149</v>
      </c>
      <c r="AL601" s="72">
        <f>IF(ISERROR(AK601/AC601),"NA",IF(OR(AK601/AC601&gt;2,AK601/AC601&lt;0.5),"NM",AK601/AC601*100-100))</f>
        <v>-10.731927625822138</v>
      </c>
      <c r="AM601" s="169">
        <f>AM528/AM$533*100</f>
        <v>14.04494382022472</v>
      </c>
      <c r="AN601" s="72">
        <f>IF(ISERROR(AM601/AE601),"NA",IF(OR(AM601/AE601&gt;2,AM601/AE601&lt;0.5),"NM",AM601/AE601*100-100))</f>
        <v>-29.91032843560933</v>
      </c>
      <c r="AO601" s="169">
        <f>AO528/AO$533*100</f>
        <v>13.916786226685796</v>
      </c>
      <c r="AP601" s="72">
        <f>IF(ISERROR(AO601/AG601),"NA",IF(OR(AO601/AG601&gt;2,AO601/AG601&lt;0.5),"NM",AO601/AG601*100-100))</f>
        <v>-15.900711189275071</v>
      </c>
      <c r="AQ601" s="169">
        <f>AQ528/AQ$533*100</f>
        <v>13.929040735873849</v>
      </c>
      <c r="AR601" s="72">
        <f>IF(ISERROR(AQ601/AI601),"NA",IF(OR(AQ601/AI601&gt;2,AQ601/AI601&lt;0.5),"NM",AQ601/AI601*100-100))</f>
        <v>-16.425755584756899</v>
      </c>
      <c r="AS601" s="169">
        <f>AS528/AS$533*100</f>
        <v>13.895781637717123</v>
      </c>
      <c r="AT601" s="72">
        <f>IF(ISERROR(AS601/AK601),"NA",IF(OR(AS601/AK601&gt;2,AS601/AK601&lt;0.5),"NM",AS601/AK601*100-100))</f>
        <v>-12.637825008091468</v>
      </c>
      <c r="AU601" s="169">
        <f>AU528/AU$533*100</f>
        <v>14.954337899543379</v>
      </c>
      <c r="AV601" s="72">
        <f>IF(ISERROR(AU601/AM601),"NA",IF(OR(AU601/AM601&gt;2,AU601/AM601&lt;0.5),"NM",AU601/AM601*100-100))</f>
        <v>6.4748858447488402</v>
      </c>
      <c r="AW601" s="169">
        <f>AW528/AW$533*100</f>
        <v>13.404255319148936</v>
      </c>
      <c r="AX601" s="72">
        <f>IF(ISERROR(AW601/AO601),"NA",IF(OR(AW601/AO601&gt;2,AW601/AO601&lt;0.5),"NM",AW601/AO601*100-100))</f>
        <v>-3.6828251809607337</v>
      </c>
      <c r="AY601" s="169">
        <f>AY528/AY$533*100</f>
        <v>11.389759665621735</v>
      </c>
      <c r="AZ601" s="72">
        <f>IF(ISERROR(AY601/AQ601),"NA",IF(OR(AY601/AQ601&gt;2,AY601/AQ601&lt;0.5),"NM",AY601/AQ601*100-100))</f>
        <v>-18.230121645866589</v>
      </c>
      <c r="BA601" s="169">
        <f>BA528/BA$533*100</f>
        <v>13.708820403825717</v>
      </c>
      <c r="BB601" s="72">
        <f>IF(ISERROR(BA601/AS601),"NA",IF(OR(BA601/AS601&gt;2,BA601/AS601&lt;0.5),"NM",BA601/AS601*100-100))</f>
        <v>-1.345453165325651</v>
      </c>
      <c r="BC601" s="169">
        <f>BC528/BC$533*100</f>
        <v>14.316012725344645</v>
      </c>
      <c r="BD601" s="72">
        <f>IF(ISERROR(BC601/AU601),"NA",IF(OR(BC601/AU601&gt;2,BC601/AU601&lt;0.5),"NM",BC601/AU601*100-100))</f>
        <v>-4.2684950580006813</v>
      </c>
      <c r="BE601" s="169">
        <f>BE528/BE$533*100</f>
        <v>13.477366255144032</v>
      </c>
      <c r="BF601" s="72">
        <f>IF(ISERROR(BE601/AW601),"NA",IF(OR(BE601/AW601&gt;2,BE601/AW601&lt;0.5),"NM",BE601/AW601*100-100))</f>
        <v>0.54543079234437641</v>
      </c>
      <c r="BG601" s="169">
        <f>BG528/BG$533*100</f>
        <v>13.624237804878051</v>
      </c>
      <c r="BH601" s="72">
        <f>IF(ISERROR(BG601/AY601),"NA",IF(OR(BG601/AY601&gt;2,BG601/AY601&lt;0.5),"NM",BG601/AY601*100-100))</f>
        <v>19.618308066681593</v>
      </c>
      <c r="BI601" s="169">
        <f>BI528/BI$533*100</f>
        <v>13.321167883211679</v>
      </c>
      <c r="BJ601" s="72">
        <f>IF(ISERROR(BI601/BA601),"NA",IF(OR(BI601/BA601&gt;2,BI601/BA601&lt;0.5),"NM",BI601/BA601*100-100))</f>
        <v>-2.8277598596729376</v>
      </c>
      <c r="BK601" s="169">
        <f>BK528/BK$533*100</f>
        <v>12.213740458015266</v>
      </c>
      <c r="BL601" s="72">
        <f>IF(ISERROR(BK601/BC601),"NA",IF(OR(BK601/BC601&gt;2,BK601/BC601&lt;0.5),"NM",BK601/BC601*100-100))</f>
        <v>-14.684761096974853</v>
      </c>
      <c r="BM601" s="169">
        <f>BM528/BM$533*100</f>
        <v>10.988074957410563</v>
      </c>
      <c r="BN601" s="72">
        <f>IF(ISERROR(BM601/BE601),"NA",IF(OR(BM601/BE601&gt;2,BM601/BE601&lt;0.5),"NM",BM601/BE601*100-100))</f>
        <v>-18.470161384709399</v>
      </c>
      <c r="BO601" s="169">
        <f>BO528/BO$533*100</f>
        <v>13.588110403397028</v>
      </c>
      <c r="BP601" s="72">
        <f>IF(ISERROR(BO601/BG601),"NA",IF(OR(BO601/BG601&gt;2,BO601/BG601&lt;0.5),"NM",BO601/BG601*100-100))</f>
        <v>-0.26517007408727977</v>
      </c>
      <c r="BQ601" s="169">
        <f>BQ528/BQ$533*100</f>
        <v>15.549348230912477</v>
      </c>
      <c r="BR601" s="72">
        <f>IF(ISERROR(BQ601/BI601),"NA",IF(OR(BQ601/BI601&gt;2,BQ601/BI601&lt;0.5),"NM",BQ601/BI601*100-100))</f>
        <v>16.726614116986809</v>
      </c>
      <c r="BS601" s="169">
        <f>BS528/BS$533*100</f>
        <v>17.395833333333332</v>
      </c>
      <c r="BT601" s="72">
        <f>IF(ISERROR(BS601/BK601),"NA",IF(OR(BS601/BK601&gt;2,BS601/BK601&lt;0.5),"NM",BS601/BK601*100-100))</f>
        <v>42.428385416666657</v>
      </c>
      <c r="BU601" s="169">
        <f>BU528/BU$533*100</f>
        <v>26.260869565217394</v>
      </c>
      <c r="BV601" s="72" t="str">
        <f>IF(ISERROR(BU601/BM601),"NA",IF(OR(BU601/BM601&gt;2,BU601/BM601&lt;0.5),"NM",BU601/BM601*100-100))</f>
        <v>NM</v>
      </c>
      <c r="BW601" s="169">
        <f>BW528/BW$533*100</f>
        <v>23.001631321370311</v>
      </c>
      <c r="BX601" s="72">
        <f>IF(ISERROR(BW601/BO601),"NA",IF(OR(BW601/BO601&gt;2,BW601/BO601&lt;0.5),"NM",BW601/BO601*100-100))</f>
        <v>69.277630505709624</v>
      </c>
      <c r="BY601" s="169">
        <f>BY528/BY$533*100</f>
        <v>19.187675070028014</v>
      </c>
      <c r="BZ601" s="72">
        <f>IF(ISERROR(BY601/BQ601),"NA",IF(OR(BY601/BQ601&gt;2,BY601/BQ601&lt;0.5),"NM",BY601/BQ601*100-100))</f>
        <v>23.398580989281953</v>
      </c>
      <c r="CA601" s="169">
        <f>CA528/CA$533*100</f>
        <v>23.592814371257482</v>
      </c>
      <c r="CB601" s="72">
        <f>IF(ISERROR(CA601/BS601),"NA",IF(OR(CA601/BS601&gt;2,CA601/BS601&lt;0.5),"NM",CA601/BS601*100-100))</f>
        <v>35.623364050342445</v>
      </c>
      <c r="CC601" s="169">
        <f>CC528/CC$533*100</f>
        <v>22.740524781341108</v>
      </c>
      <c r="CD601" s="72">
        <f>IF(ISERROR(CC601/BU601),"NA",IF(OR(CC601/BU601&gt;2,CC601/BU601&lt;0.5),"NM",CC601/BU601*100-100))</f>
        <v>-13.405286428667978</v>
      </c>
      <c r="CE601" s="169">
        <f>CE528/CE$533*100</f>
        <v>20.607661822985467</v>
      </c>
      <c r="CF601" s="72">
        <f>IF(ISERROR(CE601/BW601),"NA",IF(OR(CE601/BW601&gt;2,CE601/BW601&lt;0.5),"NM",CE601/BW601*100-100))</f>
        <v>-10.40782484049582</v>
      </c>
      <c r="CG601" s="169">
        <f>CG528/CG$533*100</f>
        <v>20.098643649815042</v>
      </c>
      <c r="CH601" s="72">
        <f>IF(ISERROR(CG601/BY601),"NA",IF(OR(CG601/BY601&gt;2,CG601/BY601&lt;0.5),"NM",CG601/BY601*100-100))</f>
        <v>4.7476756639995443</v>
      </c>
      <c r="CI601" s="169">
        <f>CI528/CI$533*100</f>
        <v>26.357615894039739</v>
      </c>
      <c r="CJ601" s="72">
        <f>IF(ISERROR(CI601/CA601),"NA",IF(OR(CI601/CA601&gt;2,CI601/CA601&lt;0.5),"NM",CI601/CA601*100-100))</f>
        <v>11.718828789457774</v>
      </c>
      <c r="CK601" s="169">
        <f>CK528/CK$533*100</f>
        <v>20.871559633027523</v>
      </c>
      <c r="CL601" s="72">
        <f>IF(ISERROR(CK601/CC601),"NA",IF(OR(CK601/CC601&gt;2,CK601/CC601&lt;0.5),"NM",CK601/CC601*100-100))</f>
        <v>-8.2186544342507659</v>
      </c>
      <c r="CM601" s="169">
        <f>CM528/CM$533*100</f>
        <v>23.33368432136464</v>
      </c>
      <c r="CN601" s="72">
        <f>IF(ISERROR(CM601/CE601),"NA",IF(OR(CM601/CE601&gt;2,CM601/CE601&lt;0.5),"NM",CM601/CE601*100-100))</f>
        <v>13.228198918416894</v>
      </c>
      <c r="CO601" s="169">
        <f>CO528/CO$533*100</f>
        <v>24.434389140271492</v>
      </c>
      <c r="CP601" s="72">
        <f>IF(ISERROR(CO601/CG601),"NA",IF(OR(CO601/CG601&gt;2,CO601/CG601&lt;0.5),"NM",CO601/CG601*100-100))</f>
        <v>21.57232878993976</v>
      </c>
      <c r="CQ601" s="169">
        <f>CQ528/CQ$533*100</f>
        <v>29.298067141403866</v>
      </c>
      <c r="CR601" s="72">
        <f>IF(ISERROR(CQ601/CI601),"NA",IF(OR(CQ601/CI601&gt;2,CQ601/CI601&lt;0.5),"NM",CQ601/CI601*100-100))</f>
        <v>11.155983375677962</v>
      </c>
      <c r="CS601" s="169">
        <f>CS528/CS$533*100</f>
        <v>30.265848670756647</v>
      </c>
      <c r="CT601" s="72">
        <f>IF(ISERROR(CS601/CK601),"NA",IF(OR(CS601/CK601&gt;2,CS601/CK601&lt;0.5),"NM",CS601/CK601*100-100))</f>
        <v>45.010000224724138</v>
      </c>
      <c r="CU601" s="169">
        <f>CU528/CU$533*100</f>
        <v>29.310344827586203</v>
      </c>
      <c r="CV601" s="72">
        <f>IF(ISERROR(CU601/CM601),"NA",IF(OR(CU601/CM601&gt;2,CU601/CM601&lt;0.5),"NM",CU601/CM601*100-100))</f>
        <v>25.613874019668856</v>
      </c>
      <c r="CW601" s="169">
        <f>CW528/CW$533*100</f>
        <v>31.03448275862069</v>
      </c>
      <c r="CX601" s="72">
        <f>IF(ISERROR(CW601/CO601),"NA",IF(OR(CW601/CO601&gt;2,CW601/CO601&lt;0.5),"NM",CW601/CO601*100-100))</f>
        <v>27.011494252873575</v>
      </c>
      <c r="CY601" s="169">
        <f>CY528/CY$533*100</f>
        <v>30.58129738837405</v>
      </c>
      <c r="CZ601" s="72">
        <f>IF(ISERROR(CY601/CQ601),"NA",IF(OR(CY601/CQ601&gt;2,CY601/CQ601&lt;0.5),"NM",CY601/CQ601*100-100))</f>
        <v>4.3799143499016964</v>
      </c>
      <c r="DA601" s="169">
        <f>DA528/DA$533*100</f>
        <v>28.710247349823319</v>
      </c>
      <c r="DB601" s="72">
        <f>IF(ISERROR(DA601/CS601),"NA",IF(OR(DA601/CS601&gt;2,DA601/CS601&lt;0.5),"NM",DA601/CS601*100-100))</f>
        <v>-5.1397908509215995</v>
      </c>
      <c r="DC601" s="169">
        <f>DC528/DC$533*100</f>
        <v>28.571428571428569</v>
      </c>
      <c r="DD601" s="72">
        <f>IF(ISERROR(DC601/CU601),"NA",IF(OR(DC601/CU601&gt;2,DC601/CU601&lt;0.5),"NM",DC601/CU601*100-100))</f>
        <v>-2.5210084033613356</v>
      </c>
      <c r="DE601" s="169">
        <f>DE528/DE$533*100</f>
        <v>31.436907366885485</v>
      </c>
      <c r="DF601" s="72">
        <f>IF(ISERROR(DE601/CW601),"NA",IF(OR(DE601/CW601&gt;2,DE601/CW601&lt;0.5),"NM",DE601/CW601*100-100))</f>
        <v>1.2967015155198993</v>
      </c>
      <c r="DG601" s="169">
        <f>DG528/DG$533*100</f>
        <v>31.023102310231021</v>
      </c>
      <c r="DH601" s="72">
        <f>IF(ISERROR(DG601/CY601),"NA",IF(OR(DG601/CY601&gt;2,DG601/CY601&lt;0.5),"NM",DG601/CY601*100-100))</f>
        <v>1.4446899235378083</v>
      </c>
      <c r="DI601" s="169">
        <f>DI528/DI$533*100</f>
        <v>25.661914460285136</v>
      </c>
      <c r="DJ601" s="72">
        <f>IF(ISERROR(DI601/DA601),"NA",IF(OR(DI601/DA601&gt;2,DI601/DA601&lt;0.5),"NM",DI601/DA601*100-100))</f>
        <v>-10.617577941406836</v>
      </c>
      <c r="DK601" s="169">
        <f>DK528/DK$533*100</f>
        <v>25.866336633663366</v>
      </c>
      <c r="DL601" s="72">
        <f>IF(ISERROR(DK601/DC601),"NA",IF(OR(DK601/DC601&gt;2,DK601/DC601&lt;0.5),"NM",DK601/DC601*100-100))</f>
        <v>-9.4678217821782056</v>
      </c>
      <c r="DM601" s="169">
        <f>DM528/DM$533*100</f>
        <v>30.703363914373089</v>
      </c>
      <c r="DN601" s="72">
        <f t="shared" si="2877"/>
        <v>-2.3333830009153047</v>
      </c>
      <c r="DO601" s="169">
        <f>DO528/DO$533*100</f>
        <v>27.927363807138384</v>
      </c>
      <c r="DP601" s="72">
        <f t="shared" si="2877"/>
        <v>-9.9788166642241407</v>
      </c>
      <c r="DQ601" s="169">
        <f>DQ528/DQ$533*100</f>
        <v>25.735294117647058</v>
      </c>
      <c r="DR601" s="72">
        <f t="shared" si="2877"/>
        <v>0.28594771241827743</v>
      </c>
      <c r="DS601" s="169">
        <f>DS528/DS$533*100</f>
        <v>23.968446601941746</v>
      </c>
      <c r="DT601" s="72">
        <f t="shared" si="2877"/>
        <v>-7.3372973475170653</v>
      </c>
      <c r="DU601" s="169">
        <f>DU528/DU$533*100</f>
        <v>28.754578754578752</v>
      </c>
      <c r="DV601" s="72">
        <f t="shared" si="2877"/>
        <v>-6.3471389168600467</v>
      </c>
      <c r="DW601" s="169">
        <f>DW528/DW$533*100</f>
        <v>26.761473820297351</v>
      </c>
      <c r="DX601" s="72">
        <f t="shared" si="2877"/>
        <v>-4.1747226658859375</v>
      </c>
      <c r="DY601" s="169">
        <f>DY528/DY$533*100</f>
        <v>29.109454688112983</v>
      </c>
      <c r="DZ601" s="72">
        <f t="shared" si="2877"/>
        <v>13.111023930953309</v>
      </c>
      <c r="EA601" s="169">
        <f>EA528/EA$533*100</f>
        <v>25.931131412508783</v>
      </c>
      <c r="EB601" s="72">
        <f>IF(ISERROR(EA601/DS601),"NA",IF(OR(EA601/DS601&gt;2,EA601/DS601&lt;0.5),"NM",EA601/DS601*100-100))</f>
        <v>8.1886191590240003</v>
      </c>
      <c r="EC601" s="169">
        <f>EC528/EC$533*100</f>
        <v>33.109919571045573</v>
      </c>
      <c r="ED601" s="72">
        <f>IF(ISERROR(EC601/DU601),"NA",IF(OR(EC601/DU601&gt;2,EC601/DU601&lt;0.5),"NM",EC601/DU601*100-100))</f>
        <v>15.146599272553402</v>
      </c>
      <c r="EE601" s="169">
        <f>EE528/EE$533*100</f>
        <v>26.772195457673782</v>
      </c>
      <c r="EF601" s="72">
        <f>IF(ISERROR(EE601/DW601),"NA",IF(OR(EE601/DW601&gt;2,EE601/DW601&lt;0.5),"NM",EE601/DW601*100-100))</f>
        <v>4.0063702950092761E-2</v>
      </c>
      <c r="EG601" s="169">
        <f>EG528/EG$533*100</f>
        <v>25.017373175816537</v>
      </c>
      <c r="EH601" s="72">
        <f>IF(ISERROR(EG601/DY601),"NA",IF(OR(EG601/DY601&gt;2,EG601/DY601&lt;0.5),"NM",EG601/DY601*100-100))</f>
        <v>-14.057568429708411</v>
      </c>
      <c r="EI601" s="169">
        <f>EI528/EI$533*100</f>
        <v>23.840009755502713</v>
      </c>
      <c r="EJ601" s="72">
        <f>IF(ISERROR(EI601/EA601),"NA",IF(OR(EI601/EA601&gt;2,EI601/EA601&lt;0.5),"NM",EI601/EA601*100-100))</f>
        <v>-8.064135820920427</v>
      </c>
      <c r="EK601" s="169">
        <f>EK528/EK$533*100</f>
        <v>26.336302895322937</v>
      </c>
      <c r="EL601" s="72">
        <f>IF(ISERROR(EK601/EC601),"NA",IF(OR(EK601/EC601&gt;2,EK601/EC601&lt;0.5),"NM",EK601/EC601*100-100))</f>
        <v>-20.457967773640036</v>
      </c>
      <c r="EM601" s="169">
        <f>EM528/EM$533*100</f>
        <v>24.539170506912441</v>
      </c>
      <c r="EN601" s="72">
        <f>IF(ISERROR(EM601/EE601),"NA",IF(OR(EM601/EE601&gt;2,EM601/EE601&lt;0.5),"NM",EM601/EE601*100-100))</f>
        <v>-8.340836127136825</v>
      </c>
      <c r="EO601" s="169">
        <f>EO528/EO$533*100</f>
        <v>25.127551020408163</v>
      </c>
      <c r="EP601" s="72">
        <f>IF(ISERROR(EO601/EG601),"NA",IF(OR(EO601/EG601&gt;2,EO601/EG601&lt;0.5),"NM",EO601/EG601*100-100))</f>
        <v>0.44040532879819239</v>
      </c>
      <c r="EQ601" s="169">
        <f>EQ528/EQ$533*100</f>
        <v>24.397389217184624</v>
      </c>
      <c r="ER601" s="72">
        <f t="shared" si="2878"/>
        <v>2.3380001409322375</v>
      </c>
      <c r="ES601" s="169">
        <f>ES528/ES$533*100</f>
        <v>25.543320542346322</v>
      </c>
      <c r="ET601" s="72">
        <f t="shared" si="2879"/>
        <v>-3.0109858476659639</v>
      </c>
      <c r="EU601" s="169">
        <f>EU528/EU$533*100</f>
        <v>24.845204058935995</v>
      </c>
      <c r="EV601" s="72">
        <f t="shared" si="2880"/>
        <v>1.2471226439269714</v>
      </c>
      <c r="EW601" s="169">
        <f>EW528/EW$533*100</f>
        <v>26.158763903311943</v>
      </c>
      <c r="EX601" s="72">
        <f t="shared" si="2881"/>
        <v>4.1039131989673194</v>
      </c>
      <c r="EY601" s="72"/>
      <c r="EZ601" s="296"/>
      <c r="FA601" s="72"/>
      <c r="FB601" s="169"/>
      <c r="FC601" s="11"/>
      <c r="FD601" s="171">
        <f>FD528/FD$533*100</f>
        <v>0</v>
      </c>
      <c r="FE601" s="72" t="str">
        <f>IF(ISERROR(FD601/FB601),"NA",IF(OR(FD601/FB601&gt;2,FD601/FB601&lt;0.5),"NM",FD601/FB601*100-100))</f>
        <v>NA</v>
      </c>
      <c r="FF601" s="171">
        <f>FF528/FF$533*100</f>
        <v>0</v>
      </c>
      <c r="FG601" s="72" t="str">
        <f>IF(ISERROR(FF601/FD601),"NA",IF(OR(FF601/FD601&gt;2,FF601/FD601&lt;0.5),"NM",FF601/FD601*100-100))</f>
        <v>NA</v>
      </c>
      <c r="FH601" s="171">
        <f>FH528/FH$533*100</f>
        <v>23.381049761417859</v>
      </c>
      <c r="FI601" s="72" t="str">
        <f>IF(ISERROR(FH601/FF601),"NA",IF(OR(FH601/FF601&gt;2,FH601/FF601&lt;0.5),"NM",FH601/FF601*100-100))</f>
        <v>NA</v>
      </c>
      <c r="FJ601" s="171">
        <f>FJ528/FJ$533*100</f>
        <v>21.12912241475685</v>
      </c>
      <c r="FK601" s="72">
        <f>IF(ISERROR(FJ601/FH601),"NA",IF(OR(FJ601/FH601&gt;2,FJ601/FH601&lt;0.5),"NM",FJ601/FH601*100-100))</f>
        <v>-9.6314210424247761</v>
      </c>
      <c r="FL601" s="171">
        <f>FL528/FL$533*100</f>
        <v>18.160152526215441</v>
      </c>
      <c r="FM601" s="72">
        <f>IF(ISERROR(FL601/FJ601),"NA",IF(OR(FL601/FJ601&gt;2,FL601/FJ601&lt;0.5),"NM",FL601/FJ601*100-100))</f>
        <v>-14.051553255557096</v>
      </c>
      <c r="FN601" s="171">
        <f>FN528/FN$533*100</f>
        <v>15.185185185185185</v>
      </c>
      <c r="FO601" s="72">
        <f>IF(ISERROR(FN601/FL601),"NA",IF(OR(FN601/FL601&gt;2,FN601/FL601&lt;0.5),"NM",FN601/FL601*100-100))</f>
        <v>-16.381841158744038</v>
      </c>
      <c r="FP601" s="171">
        <f>FP528/FP$533*100</f>
        <v>14.495736548074095</v>
      </c>
      <c r="FQ601" s="72">
        <f>IF(ISERROR(FP601/FN601),"NA",IF(OR(FP601/FN601&gt;2,FP601/FN601&lt;0.5),"NM",FP601/FN601*100-100))</f>
        <v>-4.5402715126827786</v>
      </c>
      <c r="FR601" s="171">
        <f>FR528/FR$533*100</f>
        <v>12.806324110671937</v>
      </c>
      <c r="FS601" s="72">
        <f>IF(ISERROR(FR601/FP601),"NA",IF(OR(FR601/FP601&gt;2,FR601/FP601&lt;0.5),"NM",FR601/FP601*100-100))</f>
        <v>-11.654547058021777</v>
      </c>
      <c r="FT601" s="171">
        <f>FT528/FT$533*100</f>
        <v>12.009729401033747</v>
      </c>
      <c r="FU601" s="72">
        <f>IF(ISERROR(FT601/FR601),"NA",IF(OR(FT601/FR601&gt;2,FT601/FR601&lt;0.5),"NM",FT601/FR601*100-100))</f>
        <v>-6.2203228869895781</v>
      </c>
      <c r="FV601" s="171">
        <f>FV528/FV$533*100</f>
        <v>4.4950738916256157</v>
      </c>
      <c r="FW601" s="72" t="str">
        <f>IF(ISERROR(FV601/FT601),"NA",IF(OR(FV601/FT601&gt;2,FV601/FT601&lt;0.5),"NM",FV601/FT601*100-100))</f>
        <v>NM</v>
      </c>
      <c r="FX601" s="171">
        <f>FX528/FX$533*100</f>
        <v>23.56164383561644</v>
      </c>
      <c r="FY601" s="72" t="str">
        <f>IF(ISERROR(FX601/FV601),"NA",IF(OR(FX601/FV601&gt;2,FX601/FV601&lt;0.5),"NM",FX601/FV601*100-100))</f>
        <v>NM</v>
      </c>
      <c r="FZ601" s="171">
        <f>FZ528/FZ$533*100</f>
        <v>21.909233176838811</v>
      </c>
      <c r="GA601" s="72">
        <f>IF(ISERROR(FZ601/FX601),"NA",IF(OR(FZ601/FX601&gt;2,FZ601/FX601&lt;0.5),"NM",FZ601/FX601*100-100))</f>
        <v>-7.0131382610911004</v>
      </c>
      <c r="GB601" s="171">
        <f>GB528/GB$533*100</f>
        <v>26.784869387653458</v>
      </c>
      <c r="GC601" s="72">
        <f>IF(ISERROR(GB601/FZ601),"NA",IF(OR(GB601/FZ601&gt;2,GB601/FZ601&lt;0.5),"NM",GB601/FZ601*100-100))</f>
        <v>22.25379670507543</v>
      </c>
      <c r="GD601" s="171">
        <f>GD528/GD$533*100</f>
        <v>29.937916762474131</v>
      </c>
      <c r="GE601" s="72">
        <f>IF(ISERROR(GD601/GB601),"NA",IF(OR(GD601/GB601&gt;2,GD601/GB601&lt;0.5),"NM",GD601/GB601*100-100))</f>
        <v>11.771748180613045</v>
      </c>
      <c r="GF601" s="171">
        <f>GF528/GF$533*100</f>
        <v>29.157215145698828</v>
      </c>
      <c r="GG601" s="72">
        <f>IF(ISERROR(GF601/GD601),"NA",IF(OR(GF601/GD601&gt;2,GF601/GD601&lt;0.5),"NM",GF601/GD601*100-100))</f>
        <v>-2.6077352775390068</v>
      </c>
      <c r="GH601" s="171">
        <f>GH528/GH$533*100</f>
        <v>27.600882723833543</v>
      </c>
      <c r="GI601" s="72">
        <f t="shared" si="2882"/>
        <v>-5.3377265767264817</v>
      </c>
      <c r="GJ601" s="171">
        <f>GJ528/GJ$533*100</f>
        <v>27.032337290216944</v>
      </c>
      <c r="GK601" s="72">
        <f t="shared" si="2882"/>
        <v>-2.059881342583509</v>
      </c>
      <c r="GL601" s="171">
        <f>GL528/GL$533*100</f>
        <v>27.759600482176683</v>
      </c>
      <c r="GM601" s="72">
        <f t="shared" si="2882"/>
        <v>2.6903452119285873</v>
      </c>
      <c r="GN601" s="171">
        <f>GN528/GN$533*100</f>
        <v>24.984792510496874</v>
      </c>
      <c r="GO601" s="72">
        <f t="shared" si="2882"/>
        <v>-9.9958498086505188</v>
      </c>
      <c r="GP601" s="171">
        <f>GP528/GP$533*100</f>
        <v>25.21274771090755</v>
      </c>
      <c r="GQ601" s="72">
        <f t="shared" si="2882"/>
        <v>0.91237579945844516</v>
      </c>
      <c r="GR601" s="169">
        <f>GR528/GR$533*100</f>
        <v>25.114277414350937</v>
      </c>
      <c r="GS601" s="72">
        <f t="shared" si="2882"/>
        <v>-0.39055757700701577</v>
      </c>
      <c r="GT601" s="169">
        <f>GT528/GT$533*100</f>
        <v>24.894781644843096</v>
      </c>
      <c r="GU601" s="72">
        <f t="shared" si="2882"/>
        <v>-0.87398799450393483</v>
      </c>
      <c r="GV601" s="169">
        <f>GV528/GV$533*100</f>
        <v>24.649494067079509</v>
      </c>
      <c r="GW601" s="72">
        <f>IF(ISERROR(GV601/GT601),"NA",IF(OR(GV601/GT601&gt;2,GV601/GT601&lt;0.5),"NM",GV601/GT601*100-100))</f>
        <v>-0.98529716493575847</v>
      </c>
      <c r="GX601" s="169">
        <f>GX528/GX$533*100</f>
        <v>24.443647096570324</v>
      </c>
      <c r="GY601" s="72">
        <f>IF(ISERROR(GX601/GV601),"NA",IF(OR(GX601/GV601&gt;2,GX601/GV601&lt;0.5),"NM",GX601/GV601*100-100))</f>
        <v>-0.83509612793271515</v>
      </c>
      <c r="GZ601" s="72">
        <f>IF(ISERROR(((GX601/GN601)^0.2-1)*100),"NA",IF((((GX601/GN601)^0.2-1)*100)&gt;100,"NM",IF((((GX601/GN601)^0.2-1)*100)&lt;-50,"NM",((GX601/GN601)^0.2-1)*100)))</f>
        <v>-0.43698225179450434</v>
      </c>
      <c r="HA601" s="72"/>
      <c r="HB601" s="72"/>
      <c r="HC601"/>
      <c r="HD601"/>
      <c r="HE601"/>
      <c r="HF601"/>
      <c r="HG601"/>
      <c r="HH601"/>
      <c r="HI601" s="2"/>
    </row>
    <row r="602" spans="1:217" s="3" customFormat="1" ht="12.75" customHeight="1" x14ac:dyDescent="0.2">
      <c r="B602" s="10" t="s">
        <v>323</v>
      </c>
      <c r="C602" s="169"/>
      <c r="D602" s="11"/>
      <c r="E602" s="169"/>
      <c r="F602" s="11"/>
      <c r="G602" s="169"/>
      <c r="H602" s="11"/>
      <c r="I602" s="169"/>
      <c r="J602" s="11"/>
      <c r="K602" s="169">
        <f>K529/K$533*100</f>
        <v>0.42826552462526768</v>
      </c>
      <c r="L602" s="72" t="str">
        <f>IF(ISERROR(K602/C602),"NA",IF(OR(K602/C602&gt;2,K602/C602&lt;0.5),"NM",K602/C602*100-100))</f>
        <v>NA</v>
      </c>
      <c r="M602" s="169">
        <f>M529/M$533*100</f>
        <v>-3.0232558139534884</v>
      </c>
      <c r="N602" s="72" t="str">
        <f>IF(ISERROR(M602/E602),"NA",IF(OR(M602/E602&gt;2,M602/E602&lt;0.5),"NM",M602/E602*100-100))</f>
        <v>NA</v>
      </c>
      <c r="O602" s="169">
        <f>O529/O$533*100</f>
        <v>-3.5031847133757963</v>
      </c>
      <c r="P602" s="72" t="str">
        <f>IF(ISERROR(O602/G602),"NA",IF(OR(O602/G602&gt;2,O602/G602&lt;0.5),"NM",O602/G602*100-100))</f>
        <v>NA</v>
      </c>
      <c r="Q602" s="169">
        <f>Q529/Q$533*100</f>
        <v>-7.3643410852713185</v>
      </c>
      <c r="R602" s="72" t="str">
        <f>IF(ISERROR(Q602/I602),"NA",IF(OR(Q602/I602&gt;2,Q602/I602&lt;0.5),"NM",Q602/I602*100-100))</f>
        <v>NA</v>
      </c>
      <c r="S602" s="169">
        <f>S529/S$533*100</f>
        <v>0</v>
      </c>
      <c r="T602" s="72" t="str">
        <f>IF(ISERROR(S602/K602),"NA",IF(OR(S602/K602&gt;2,S602/K602&lt;0.5),"NM",S602/K602*100-100))</f>
        <v>NM</v>
      </c>
      <c r="U602" s="169">
        <f>U529/U$533*100</f>
        <v>-0.85287846481876328</v>
      </c>
      <c r="V602" s="72" t="str">
        <f>IF(ISERROR(U602/M602),"NA",IF(OR(U602/M602&gt;2,U602/M602&lt;0.5),"NM",U602/M602*100-100))</f>
        <v>NM</v>
      </c>
      <c r="W602" s="169">
        <f>W529/W$533*100</f>
        <v>0.45248868778280549</v>
      </c>
      <c r="X602" s="72" t="str">
        <f>IF(ISERROR(W602/O602),"NA",IF(OR(W602/O602&gt;2,W602/O602&lt;0.5),"NM",W602/O602*100-100))</f>
        <v>NM</v>
      </c>
      <c r="Y602" s="169">
        <f>Y529/Y$533*100</f>
        <v>-1.0638297872340425</v>
      </c>
      <c r="Z602" s="72" t="str">
        <f>IF(ISERROR(Y602/Q602),"NA",IF(OR(Y602/Q602&gt;2,Y602/Q602&lt;0.5),"NM",Y602/Q602*100-100))</f>
        <v>NM</v>
      </c>
      <c r="AA602" s="169">
        <f>AA529/AA$533*100</f>
        <v>0.43859649122807015</v>
      </c>
      <c r="AB602" s="72" t="str">
        <f>IF(ISERROR(AA602/S602),"NA",IF(OR(AA602/S602&gt;2,AA602/S602&lt;0.5),"NM",AA602/S602*100-100))</f>
        <v>NA</v>
      </c>
      <c r="AC602" s="169">
        <f>AC529/AC$533*100</f>
        <v>1.6363636363636365</v>
      </c>
      <c r="AD602" s="72" t="str">
        <f>IF(ISERROR(AC602/U602),"NA",IF(OR(AC602/U602&gt;2,AC602/U602&lt;0.5),"NM",AC602/U602*100-100))</f>
        <v>NM</v>
      </c>
      <c r="AE602" s="169">
        <f>AE529/AE$533*100</f>
        <v>1.5414258188824663</v>
      </c>
      <c r="AF602" s="72" t="str">
        <f>IF(ISERROR(AE602/W602),"NA",IF(OR(AE602/W602&gt;2,AE602/W602&lt;0.5),"NM",AE602/W602*100-100))</f>
        <v>NM</v>
      </c>
      <c r="AG602" s="169">
        <f>AG529/AG$533*100</f>
        <v>-5.5160142348754455</v>
      </c>
      <c r="AH602" s="72" t="str">
        <f>IF(ISERROR(AG602/Y602),"NA",IF(OR(AG602/Y602&gt;2,AG602/Y602&lt;0.5),"NM",AG602/Y602*100-100))</f>
        <v>NM</v>
      </c>
      <c r="AI602" s="169">
        <f>AI529/AI$533*100</f>
        <v>0.88652482269503552</v>
      </c>
      <c r="AJ602" s="72" t="str">
        <f>IF(ISERROR(AI602/AA602),"NA",IF(OR(AI602/AA602&gt;2,AI602/AA602&lt;0.5),"NM",AI602/AA602*100-100))</f>
        <v>NM</v>
      </c>
      <c r="AK602" s="169">
        <f>AK529/AK$533*100</f>
        <v>2.7662517289073305</v>
      </c>
      <c r="AL602" s="72">
        <f>IF(ISERROR(AK602/AC602),"NA",IF(OR(AK602/AC602&gt;2,AK602/AC602&lt;0.5),"NM",AK602/AC602*100-100))</f>
        <v>69.048716766559096</v>
      </c>
      <c r="AM602" s="169">
        <f>AM529/AM$533*100</f>
        <v>2.6685393258426964</v>
      </c>
      <c r="AN602" s="72">
        <f>IF(ISERROR(AM602/AE602),"NA",IF(OR(AM602/AE602&gt;2,AM602/AE602&lt;0.5),"NM",AM602/AE602*100-100))</f>
        <v>73.121488764044926</v>
      </c>
      <c r="AO602" s="169">
        <f>AO529/AO$533*100</f>
        <v>4.734576757532281</v>
      </c>
      <c r="AP602" s="72" t="str">
        <f>IF(ISERROR(AO602/AG602),"NA",IF(OR(AO602/AG602&gt;2,AO602/AG602&lt;0.5),"NM",AO602/AG602*100-100))</f>
        <v>NM</v>
      </c>
      <c r="AQ602" s="169">
        <f>AQ529/AQ$533*100</f>
        <v>3.2851511169513801</v>
      </c>
      <c r="AR602" s="72" t="str">
        <f>IF(ISERROR(AQ602/AI602),"NA",IF(OR(AQ602/AI602&gt;2,AQ602/AI602&lt;0.5),"NM",AQ602/AI602*100-100))</f>
        <v>NM</v>
      </c>
      <c r="AS602" s="169">
        <f>AS529/AS$533*100</f>
        <v>2.3573200992555829</v>
      </c>
      <c r="AT602" s="72">
        <f>IF(ISERROR(AS602/AK602),"NA",IF(OR(AS602/AK602&gt;2,AS602/AK602&lt;0.5),"NM",AS602/AK602*100-100))</f>
        <v>-14.782878411910673</v>
      </c>
      <c r="AU602" s="169">
        <f>AU529/AU$533*100</f>
        <v>2.8538812785388128</v>
      </c>
      <c r="AV602" s="72">
        <f>IF(ISERROR(AU602/AM602),"NA",IF(OR(AU602/AM602&gt;2,AU602/AM602&lt;0.5),"NM",AU602/AM602*100-100))</f>
        <v>6.9454458062965614</v>
      </c>
      <c r="AW602" s="169">
        <f>AW529/AW$533*100</f>
        <v>3.9361702127659575</v>
      </c>
      <c r="AX602" s="72">
        <f>IF(ISERROR(AW602/AO602),"NA",IF(OR(AW602/AO602&gt;2,AW602/AO602&lt;0.5),"NM",AW602/AO602*100-100))</f>
        <v>-16.863313990973566</v>
      </c>
      <c r="AY602" s="169">
        <f>AY529/AY$533*100</f>
        <v>3.0303030303030303</v>
      </c>
      <c r="AZ602" s="72">
        <f>IF(ISERROR(AY602/AQ602),"NA",IF(OR(AY602/AQ602&gt;2,AY602/AQ602&lt;0.5),"NM",AY602/AQ602*100-100))</f>
        <v>-7.7575757575757649</v>
      </c>
      <c r="BA602" s="169">
        <f>BA529/BA$533*100</f>
        <v>3.6131774707757707</v>
      </c>
      <c r="BB602" s="72">
        <f>IF(ISERROR(BA602/AS602),"NA",IF(OR(BA602/AS602&gt;2,BA602/AS602&lt;0.5),"NM",BA602/AS602*100-100))</f>
        <v>53.274791655014269</v>
      </c>
      <c r="BC602" s="169">
        <f>BC529/BC$533*100</f>
        <v>3.2873806998939554</v>
      </c>
      <c r="BD602" s="72">
        <f>IF(ISERROR(BC602/AU602),"NA",IF(OR(BC602/AU602&gt;2,BC602/AU602&lt;0.5),"NM",BC602/AU602*100-100))</f>
        <v>15.189819724284192</v>
      </c>
      <c r="BE602" s="169">
        <f>BE529/BE$533*100</f>
        <v>3.4979423868312756</v>
      </c>
      <c r="BF602" s="72">
        <f>IF(ISERROR(BE602/AW602),"NA",IF(OR(BE602/AW602&gt;2,BE602/AW602&lt;0.5),"NM",BE602/AW602*100-100))</f>
        <v>-11.133355577800032</v>
      </c>
      <c r="BG602" s="169">
        <f>BG529/BG$533*100</f>
        <v>3.2393292682926829</v>
      </c>
      <c r="BH602" s="72">
        <f>IF(ISERROR(BG602/AY602),"NA",IF(OR(BG602/AY602&gt;2,BG602/AY602&lt;0.5),"NM",BG602/AY602*100-100))</f>
        <v>6.89786585365853</v>
      </c>
      <c r="BI602" s="169">
        <f>BI529/BI$533*100</f>
        <v>3.9233576642335768</v>
      </c>
      <c r="BJ602" s="72">
        <f>IF(ISERROR(BI602/BA602),"NA",IF(OR(BI602/BA602&gt;2,BI602/BA602&lt;0.5),"NM",BI602/BA602*100-100))</f>
        <v>8.5846930012881018</v>
      </c>
      <c r="BK602" s="169">
        <f>BK529/BK$533*100</f>
        <v>2.9007633587786259</v>
      </c>
      <c r="BL602" s="72">
        <f>IF(ISERROR(BK602/BC602),"NA",IF(OR(BK602/BC602&gt;2,BK602/BC602&lt;0.5),"NM",BK602/BC602*100-100))</f>
        <v>-11.760650086185663</v>
      </c>
      <c r="BM602" s="169">
        <f>BM529/BM$533*100</f>
        <v>3.4071550255536627</v>
      </c>
      <c r="BN602" s="72">
        <f>IF(ISERROR(BM602/BE602),"NA",IF(OR(BM602/BE602&gt;2,BM602/BE602&lt;0.5),"NM",BM602/BE602*100-100))</f>
        <v>-2.5954504459364642</v>
      </c>
      <c r="BO602" s="169">
        <f>BO529/BO$533*100</f>
        <v>2.7600849256900215</v>
      </c>
      <c r="BP602" s="72">
        <f>IF(ISERROR(BO602/BG602),"NA",IF(OR(BO602/BG602&gt;2,BO602/BG602&lt;0.5),"NM",BO602/BG602*100-100))</f>
        <v>-14.79455476458098</v>
      </c>
      <c r="BQ602" s="169">
        <f>BQ529/BQ$533*100</f>
        <v>1.2104283054003724</v>
      </c>
      <c r="BR602" s="72" t="str">
        <f>IF(ISERROR(BQ602/BI602),"NA",IF(OR(BQ602/BI602&gt;2,BQ602/BI602&lt;0.5),"NM",BQ602/BI602*100-100))</f>
        <v>NM</v>
      </c>
      <c r="BS602" s="169">
        <f>BS529/BS$533*100</f>
        <v>1.3541666666666667</v>
      </c>
      <c r="BT602" s="72" t="str">
        <f>IF(ISERROR(BS602/BK602),"NA",IF(OR(BS602/BK602&gt;2,BS602/BK602&lt;0.5),"NM",BS602/BK602*100-100))</f>
        <v>NM</v>
      </c>
      <c r="BU602" s="169">
        <f>BU529/BU$533*100</f>
        <v>5.5652173913043477</v>
      </c>
      <c r="BV602" s="72">
        <f>IF(ISERROR(BU602/BM602),"NA",IF(OR(BU602/BM602&gt;2,BU602/BM602&lt;0.5),"NM",BU602/BM602*100-100))</f>
        <v>63.339130434782618</v>
      </c>
      <c r="BW602" s="169">
        <f>BW529/BW$533*100</f>
        <v>0</v>
      </c>
      <c r="BX602" s="72" t="str">
        <f>IF(ISERROR(BW602/BO602),"NA",IF(OR(BW602/BO602&gt;2,BW602/BO602&lt;0.5),"NM",BW602/BO602*100-100))</f>
        <v>NM</v>
      </c>
      <c r="BY602" s="169">
        <f>BY529/BY$533*100</f>
        <v>0</v>
      </c>
      <c r="BZ602" s="72" t="str">
        <f>IF(ISERROR(BY602/BQ602),"NA",IF(OR(BY602/BQ602&gt;2,BY602/BQ602&lt;0.5),"NM",BY602/BQ602*100-100))</f>
        <v>NM</v>
      </c>
      <c r="CA602" s="169">
        <f>CA529/CA$533*100</f>
        <v>0</v>
      </c>
      <c r="CB602" s="72" t="str">
        <f>IF(ISERROR(CA602/BS602),"NA",IF(OR(CA602/BS602&gt;2,CA602/BS602&lt;0.5),"NM",CA602/BS602*100-100))</f>
        <v>NM</v>
      </c>
      <c r="CC602" s="169">
        <f>CC529/CC$533*100</f>
        <v>0</v>
      </c>
      <c r="CD602" s="72" t="str">
        <f>IF(ISERROR(CC602/BU602),"NA",IF(OR(CC602/BU602&gt;2,CC602/BU602&lt;0.5),"NM",CC602/BU602*100-100))</f>
        <v>NM</v>
      </c>
      <c r="CE602" s="169">
        <f>CE529/CE$533*100</f>
        <v>0</v>
      </c>
      <c r="CF602" s="72" t="str">
        <f>IF(ISERROR(CE602/BW602),"NA",IF(OR(CE602/BW602&gt;2,CE602/BW602&lt;0.5),"NM",CE602/BW602*100-100))</f>
        <v>NA</v>
      </c>
      <c r="CG602" s="169">
        <f>CG529/CG$533*100</f>
        <v>0</v>
      </c>
      <c r="CH602" s="72" t="str">
        <f>IF(ISERROR(CG602/BY602),"NA",IF(OR(CG602/BY602&gt;2,CG602/BY602&lt;0.5),"NM",CG602/BY602*100-100))</f>
        <v>NA</v>
      </c>
      <c r="CI602" s="169">
        <f>CI529/CI$533*100</f>
        <v>0</v>
      </c>
      <c r="CJ602" s="72" t="str">
        <f>IF(ISERROR(CI602/CA602),"NA",IF(OR(CI602/CA602&gt;2,CI602/CA602&lt;0.5),"NM",CI602/CA602*100-100))</f>
        <v>NA</v>
      </c>
      <c r="CK602" s="169">
        <f>CK529/CK$533*100</f>
        <v>0</v>
      </c>
      <c r="CL602" s="72" t="str">
        <f>IF(ISERROR(CK602/CC602),"NA",IF(OR(CK602/CC602&gt;2,CK602/CC602&lt;0.5),"NM",CK602/CC602*100-100))</f>
        <v>NA</v>
      </c>
      <c r="CM602" s="169">
        <f>CM529/CM$533*100</f>
        <v>0</v>
      </c>
      <c r="CN602" s="72" t="str">
        <f>IF(ISERROR(CM602/CE602),"NA",IF(OR(CM602/CE602&gt;2,CM602/CE602&lt;0.5),"NM",CM602/CE602*100-100))</f>
        <v>NA</v>
      </c>
      <c r="CO602" s="169">
        <f>CO529/CO$533*100</f>
        <v>0</v>
      </c>
      <c r="CP602" s="72" t="str">
        <f>IF(ISERROR(CO602/CG602),"NA",IF(OR(CO602/CG602&gt;2,CO602/CG602&lt;0.5),"NM",CO602/CG602*100-100))</f>
        <v>NA</v>
      </c>
      <c r="CQ602" s="169">
        <f>CQ529/CQ$533*100</f>
        <v>0</v>
      </c>
      <c r="CR602" s="72" t="str">
        <f>IF(ISERROR(CQ602/CI602),"NA",IF(OR(CQ602/CI602&gt;2,CQ602/CI602&lt;0.5),"NM",CQ602/CI602*100-100))</f>
        <v>NA</v>
      </c>
      <c r="CS602" s="169">
        <f>CS529/CS$533*100</f>
        <v>0</v>
      </c>
      <c r="CT602" s="72" t="str">
        <f>IF(ISERROR(CS602/CK602),"NA",IF(OR(CS602/CK602&gt;2,CS602/CK602&lt;0.5),"NM",CS602/CK602*100-100))</f>
        <v>NA</v>
      </c>
      <c r="CU602" s="169">
        <f>CU529/CU$533*100</f>
        <v>0</v>
      </c>
      <c r="CV602" s="72" t="str">
        <f>IF(ISERROR(CU602/CM602),"NA",IF(OR(CU602/CM602&gt;2,CU602/CM602&lt;0.5),"NM",CU602/CM602*100-100))</f>
        <v>NA</v>
      </c>
      <c r="CW602" s="169">
        <f>CW529/CW$533*100</f>
        <v>0</v>
      </c>
      <c r="CX602" s="72" t="str">
        <f>IF(ISERROR(CW602/CO602),"NA",IF(OR(CW602/CO602&gt;2,CW602/CO602&lt;0.5),"NM",CW602/CO602*100-100))</f>
        <v>NA</v>
      </c>
      <c r="CY602" s="169">
        <f>CY529/CY$533*100</f>
        <v>0</v>
      </c>
      <c r="CZ602" s="72" t="str">
        <f>IF(ISERROR(CY602/CQ602),"NA",IF(OR(CY602/CQ602&gt;2,CY602/CQ602&lt;0.5),"NM",CY602/CQ602*100-100))</f>
        <v>NA</v>
      </c>
      <c r="DA602" s="169">
        <f>DA529/DA$533*100</f>
        <v>0</v>
      </c>
      <c r="DB602" s="72" t="str">
        <f>IF(ISERROR(DA602/CS602),"NA",IF(OR(DA602/CS602&gt;2,DA602/CS602&lt;0.5),"NM",DA602/CS602*100-100))</f>
        <v>NA</v>
      </c>
      <c r="DC602" s="169">
        <f>DC529/DC$533*100</f>
        <v>0</v>
      </c>
      <c r="DD602" s="72" t="str">
        <f>IF(ISERROR(DC602/CU602),"NA",IF(OR(DC602/CU602&gt;2,DC602/CU602&lt;0.5),"NM",DC602/CU602*100-100))</f>
        <v>NA</v>
      </c>
      <c r="DE602" s="169">
        <f>DE529/DE$533*100</f>
        <v>0</v>
      </c>
      <c r="DF602" s="72" t="str">
        <f>IF(ISERROR(DE602/CW602),"NA",IF(OR(DE602/CW602&gt;2,DE602/CW602&lt;0.5),"NM",DE602/CW602*100-100))</f>
        <v>NA</v>
      </c>
      <c r="DG602" s="169">
        <f>DG529/DG$533*100</f>
        <v>0</v>
      </c>
      <c r="DH602" s="72" t="str">
        <f>IF(ISERROR(DG602/CY602),"NA",IF(OR(DG602/CY602&gt;2,DG602/CY602&lt;0.5),"NM",DG602/CY602*100-100))</f>
        <v>NA</v>
      </c>
      <c r="DI602" s="169">
        <f>DI529/DI$533*100</f>
        <v>0</v>
      </c>
      <c r="DJ602" s="72" t="str">
        <f>IF(ISERROR(DI602/DA602),"NA",IF(OR(DI602/DA602&gt;2,DI602/DA602&lt;0.5),"NM",DI602/DA602*100-100))</f>
        <v>NA</v>
      </c>
      <c r="DK602" s="169">
        <f>DK529/DK$533*100</f>
        <v>0</v>
      </c>
      <c r="DL602" s="72" t="str">
        <f>IF(ISERROR(DK602/DC602),"NA",IF(OR(DK602/DC602&gt;2,DK602/DC602&lt;0.5),"NM",DK602/DC602*100-100))</f>
        <v>NA</v>
      </c>
      <c r="DM602" s="169">
        <f>DM529/DM$533*100</f>
        <v>0</v>
      </c>
      <c r="DN602" s="72" t="str">
        <f t="shared" si="2877"/>
        <v>NA</v>
      </c>
      <c r="DO602" s="169">
        <f>DO529/DO$533*100</f>
        <v>0</v>
      </c>
      <c r="DP602" s="72" t="str">
        <f t="shared" si="2877"/>
        <v>NA</v>
      </c>
      <c r="DQ602" s="169">
        <f>DQ529/DQ$533*100</f>
        <v>0</v>
      </c>
      <c r="DR602" s="72" t="str">
        <f t="shared" si="2877"/>
        <v>NA</v>
      </c>
      <c r="DS602" s="169">
        <f>DS529/DS$533*100</f>
        <v>0</v>
      </c>
      <c r="DT602" s="72" t="str">
        <f t="shared" si="2877"/>
        <v>NA</v>
      </c>
      <c r="DU602" s="169">
        <f>DU529/DU$533*100</f>
        <v>0</v>
      </c>
      <c r="DV602" s="72" t="str">
        <f t="shared" si="2877"/>
        <v>NA</v>
      </c>
      <c r="DW602" s="169">
        <f>DW529/DW$533*100</f>
        <v>0</v>
      </c>
      <c r="DX602" s="72" t="str">
        <f t="shared" si="2877"/>
        <v>NA</v>
      </c>
      <c r="DY602" s="169">
        <f>DY529/DY$533*100</f>
        <v>0</v>
      </c>
      <c r="DZ602" s="72" t="str">
        <f t="shared" si="2877"/>
        <v>NA</v>
      </c>
      <c r="EA602" s="169">
        <f>EA529/EA$533*100</f>
        <v>0</v>
      </c>
      <c r="EB602" s="72" t="str">
        <f>IF(ISERROR(EA602/DS602),"NA",IF(OR(EA602/DS602&gt;2,EA602/DS602&lt;0.5),"NM",EA602/DS602*100-100))</f>
        <v>NA</v>
      </c>
      <c r="EC602" s="169">
        <f>EC529/EC$533*100</f>
        <v>0</v>
      </c>
      <c r="ED602" s="72" t="str">
        <f>IF(ISERROR(EC602/DU602),"NA",IF(OR(EC602/DU602&gt;2,EC602/DU602&lt;0.5),"NM",EC602/DU602*100-100))</f>
        <v>NA</v>
      </c>
      <c r="EE602" s="169">
        <f>EE529/EE$533*100</f>
        <v>0</v>
      </c>
      <c r="EF602" s="72" t="str">
        <f>IF(ISERROR(EE602/DW602),"NA",IF(OR(EE602/DW602&gt;2,EE602/DW602&lt;0.5),"NM",EE602/DW602*100-100))</f>
        <v>NA</v>
      </c>
      <c r="EG602" s="169">
        <f>EG529/EG$533*100</f>
        <v>0</v>
      </c>
      <c r="EH602" s="72" t="str">
        <f>IF(ISERROR(EG602/DY602),"NA",IF(OR(EG602/DY602&gt;2,EG602/DY602&lt;0.5),"NM",EG602/DY602*100-100))</f>
        <v>NA</v>
      </c>
      <c r="EI602" s="169">
        <f>EI529/EI$533*100</f>
        <v>0</v>
      </c>
      <c r="EJ602" s="72" t="str">
        <f>IF(ISERROR(EI602/EA602),"NA",IF(OR(EI602/EA602&gt;2,EI602/EA602&lt;0.5),"NM",EI602/EA602*100-100))</f>
        <v>NA</v>
      </c>
      <c r="EK602" s="169">
        <f>EK529/EK$533*100</f>
        <v>0</v>
      </c>
      <c r="EL602" s="72" t="str">
        <f>IF(ISERROR(EK602/EC602),"NA",IF(OR(EK602/EC602&gt;2,EK602/EC602&lt;0.5),"NM",EK602/EC602*100-100))</f>
        <v>NA</v>
      </c>
      <c r="EM602" s="169">
        <f>EM529/EM$533*100</f>
        <v>0</v>
      </c>
      <c r="EN602" s="72" t="str">
        <f>IF(ISERROR(EM602/EE602),"NA",IF(OR(EM602/EE602&gt;2,EM602/EE602&lt;0.5),"NM",EM602/EE602*100-100))</f>
        <v>NA</v>
      </c>
      <c r="EO602" s="169">
        <f>EO529/EO$533*100</f>
        <v>0</v>
      </c>
      <c r="EP602" s="72" t="str">
        <f>IF(ISERROR(EO602/EG602),"NA",IF(OR(EO602/EG602&gt;2,EO602/EG602&lt;0.5),"NM",EO602/EG602*100-100))</f>
        <v>NA</v>
      </c>
      <c r="EQ602" s="169">
        <f>EQ529/EQ$533*100</f>
        <v>0</v>
      </c>
      <c r="ER602" s="72" t="str">
        <f t="shared" si="2878"/>
        <v>NA</v>
      </c>
      <c r="ES602" s="169">
        <f>ES529/ES$533*100</f>
        <v>0</v>
      </c>
      <c r="ET602" s="72" t="str">
        <f t="shared" si="2879"/>
        <v>NA</v>
      </c>
      <c r="EU602" s="169">
        <f>EU529/EU$533*100</f>
        <v>0</v>
      </c>
      <c r="EV602" s="72" t="str">
        <f t="shared" si="2880"/>
        <v>NA</v>
      </c>
      <c r="EW602" s="169">
        <f>EW529/EW$533*100</f>
        <v>0</v>
      </c>
      <c r="EX602" s="72" t="str">
        <f t="shared" si="2881"/>
        <v>NA</v>
      </c>
      <c r="EY602" s="72"/>
      <c r="EZ602" s="296"/>
      <c r="FA602" s="72"/>
      <c r="FB602" s="181"/>
      <c r="FC602" s="11"/>
      <c r="FD602" s="171">
        <f>FD529/FD$533*100</f>
        <v>1.240694789081886</v>
      </c>
      <c r="FE602" s="72" t="str">
        <f>IF(ISERROR(FD602/FB602),"NA",IF(OR(FD602/FB602&gt;2,FD602/FB602&lt;0.5),"NM",FD602/FB602*100-100))</f>
        <v>NA</v>
      </c>
      <c r="FF602" s="171">
        <f>FF529/FF$533*100</f>
        <v>2.1311475409836063</v>
      </c>
      <c r="FG602" s="72">
        <f>IF(ISERROR(FF602/FD602),"NA",IF(OR(FF602/FD602&gt;2,FF602/FD602&lt;0.5),"NM",FF602/FD602*100-100))</f>
        <v>71.770491803278645</v>
      </c>
      <c r="FH602" s="171">
        <f>FH529/FH$533*100</f>
        <v>-2.7948193592365373</v>
      </c>
      <c r="FI602" s="72" t="str">
        <f>IF(ISERROR(FH602/FF602),"NA",IF(OR(FH602/FF602&gt;2,FH602/FF602&lt;0.5),"NM",FH602/FF602*100-100))</f>
        <v>NM</v>
      </c>
      <c r="FJ602" s="171">
        <f>FJ529/FJ$533*100</f>
        <v>-0.33538289547233091</v>
      </c>
      <c r="FK602" s="72" t="str">
        <f>IF(ISERROR(FJ602/FH602),"NA",IF(OR(FJ602/FH602&gt;2,FJ602/FH602&lt;0.5),"NM",FJ602/FH602*100-100))</f>
        <v>NM</v>
      </c>
      <c r="FL602" s="171">
        <f>FL529/FL$533*100</f>
        <v>-0.57197330791229739</v>
      </c>
      <c r="FM602" s="72">
        <f>IF(ISERROR(FL602/FJ602),"NA",IF(OR(FL602/FJ602&gt;2,FL602/FJ602&lt;0.5),"NM",FL602/FJ602*100-100))</f>
        <v>70.543374642516682</v>
      </c>
      <c r="FN602" s="171">
        <f>FN529/FN$533*100</f>
        <v>2.8518518518518521</v>
      </c>
      <c r="FO602" s="72" t="str">
        <f>IF(ISERROR(FN602/FL602),"NA",IF(OR(FN602/FL602&gt;2,FN602/FL602&lt;0.5),"NM",FN602/FL602*100-100))</f>
        <v>NM</v>
      </c>
      <c r="FP602" s="171">
        <f>FP529/FP$533*100</f>
        <v>3.1167303734195828</v>
      </c>
      <c r="FQ602" s="72">
        <f>IF(ISERROR(FP602/FN602),"NA",IF(OR(FP602/FN602&gt;2,FP602/FN602&lt;0.5),"NM",FP602/FN602*100-100))</f>
        <v>9.2879481588684882</v>
      </c>
      <c r="FR602" s="171">
        <f>FR529/FR$533*100</f>
        <v>3.372859025032938</v>
      </c>
      <c r="FS602" s="72">
        <f>IF(ISERROR(FR602/FP602),"NA",IF(OR(FR602/FP602&gt;2,FR602/FP602&lt;0.5),"NM",FR602/FP602*100-100))</f>
        <v>8.21786362393415</v>
      </c>
      <c r="FT602" s="171">
        <f>FT529/FT$533*100</f>
        <v>3.3661990183729311</v>
      </c>
      <c r="FU602" s="72">
        <f>IF(ISERROR(FT602/FR602),"NA",IF(OR(FT602/FR602&gt;2,FT602/FR602&lt;0.5),"NM",FT602/FR602*100-100))</f>
        <v>-0.1974587912087884</v>
      </c>
      <c r="FV602" s="171">
        <f>FV529/FV$533*100</f>
        <v>2.5862068965517242</v>
      </c>
      <c r="FW602" s="72">
        <f>IF(ISERROR(FV602/FT602),"NA",IF(OR(FV602/FT602&gt;2,FV602/FT602&lt;0.5),"NM",FV602/FT602*100-100))</f>
        <v>-23.17130144605116</v>
      </c>
      <c r="FX602" s="171">
        <f>FX529/FX$533*100</f>
        <v>0</v>
      </c>
      <c r="FY602" s="72" t="str">
        <f>IF(ISERROR(FX602/FV602),"NA",IF(OR(FX602/FV602&gt;2,FX602/FV602&lt;0.5),"NM",FX602/FV602*100-100))</f>
        <v>NM</v>
      </c>
      <c r="FZ602" s="171">
        <f>FZ529/FZ$533*100</f>
        <v>0</v>
      </c>
      <c r="GA602" s="72" t="str">
        <f>IF(ISERROR(FZ602/FX602),"NA",IF(OR(FZ602/FX602&gt;2,FZ602/FX602&lt;0.5),"NM",FZ602/FX602*100-100))</f>
        <v>NA</v>
      </c>
      <c r="GB602" s="171">
        <f>GB529/GB$533*100</f>
        <v>0</v>
      </c>
      <c r="GC602" s="72" t="str">
        <f>IF(ISERROR(GB602/FZ602),"NA",IF(OR(GB602/FZ602&gt;2,GB602/FZ602&lt;0.5),"NM",GB602/FZ602*100-100))</f>
        <v>NA</v>
      </c>
      <c r="GD602" s="171">
        <f>GD529/GD$533*100</f>
        <v>0</v>
      </c>
      <c r="GE602" s="72" t="str">
        <f>IF(ISERROR(GD602/GB602),"NA",IF(OR(GD602/GB602&gt;2,GD602/GB602&lt;0.5),"NM",GD602/GB602*100-100))</f>
        <v>NA</v>
      </c>
      <c r="GF602" s="171">
        <f>GF529/GF$533*100</f>
        <v>0</v>
      </c>
      <c r="GG602" s="72" t="str">
        <f>IF(ISERROR(GF602/GD602),"NA",IF(OR(GF602/GD602&gt;2,GF602/GD602&lt;0.5),"NM",GF602/GD602*100-100))</f>
        <v>NA</v>
      </c>
      <c r="GH602" s="171">
        <f>GH529/GH$533*100</f>
        <v>0</v>
      </c>
      <c r="GI602" s="72" t="str">
        <f t="shared" si="2882"/>
        <v>NA</v>
      </c>
      <c r="GJ602" s="171">
        <f>GJ529/GJ$533*100</f>
        <v>0</v>
      </c>
      <c r="GK602" s="72" t="str">
        <f t="shared" si="2882"/>
        <v>NA</v>
      </c>
      <c r="GL602" s="171">
        <f>GL529/GL$533*100</f>
        <v>0</v>
      </c>
      <c r="GM602" s="72" t="str">
        <f t="shared" si="2882"/>
        <v>NA</v>
      </c>
      <c r="GN602" s="171">
        <f>GN529/GN$533*100</f>
        <v>0</v>
      </c>
      <c r="GO602" s="72" t="str">
        <f t="shared" si="2882"/>
        <v>NA</v>
      </c>
      <c r="GP602" s="171">
        <f>GP529/GP$533*100</f>
        <v>0</v>
      </c>
      <c r="GQ602" s="72" t="str">
        <f t="shared" si="2882"/>
        <v>NA</v>
      </c>
      <c r="GR602" s="169">
        <f>GR529/GR$533*100</f>
        <v>0</v>
      </c>
      <c r="GS602" s="72" t="str">
        <f t="shared" si="2882"/>
        <v>NA</v>
      </c>
      <c r="GT602" s="169">
        <f>GT529/GT$533*100</f>
        <v>0</v>
      </c>
      <c r="GU602" s="72" t="str">
        <f t="shared" si="2882"/>
        <v>NA</v>
      </c>
      <c r="GV602" s="169">
        <f>GV529/GV$533*100</f>
        <v>0</v>
      </c>
      <c r="GW602" s="72" t="str">
        <f>IF(ISERROR(GV602/GT602),"NA",IF(OR(GV602/GT602&gt;2,GV602/GT602&lt;0.5),"NM",GV602/GT602*100-100))</f>
        <v>NA</v>
      </c>
      <c r="GX602" s="169">
        <f>GX529/GX$533*100</f>
        <v>0</v>
      </c>
      <c r="GY602" s="72" t="str">
        <f>IF(ISERROR(GX602/GV602),"NA",IF(OR(GX602/GV602&gt;2,GX602/GV602&lt;0.5),"NM",GX602/GV602*100-100))</f>
        <v>NA</v>
      </c>
      <c r="GZ602" s="72" t="str">
        <f>IF(ISERROR(((GX602/GN602)^0.2-1)*100),"NA",IF((((GX602/GN602)^0.2-1)*100)&gt;100,"NM",IF((((GX602/GN602)^0.2-1)*100)&lt;-50,"NM",((GX602/GN602)^0.2-1)*100)))</f>
        <v>NA</v>
      </c>
      <c r="HA602" s="72"/>
      <c r="HB602" s="72"/>
      <c r="HC602"/>
      <c r="HD602"/>
      <c r="HE602"/>
      <c r="HF602"/>
      <c r="HG602"/>
      <c r="HH602"/>
      <c r="HI602" s="2"/>
    </row>
    <row r="603" spans="1:217" s="78" customFormat="1" ht="12.75" customHeight="1" x14ac:dyDescent="0.2">
      <c r="A603" s="78" t="s">
        <v>451</v>
      </c>
      <c r="B603" s="89" t="s">
        <v>376</v>
      </c>
      <c r="C603" s="173"/>
      <c r="D603" s="166"/>
      <c r="E603" s="173"/>
      <c r="F603" s="166"/>
      <c r="G603" s="173"/>
      <c r="H603" s="166"/>
      <c r="I603" s="173"/>
      <c r="J603" s="166"/>
      <c r="K603" s="173">
        <f>K530/K$533*100</f>
        <v>38.115631691648822</v>
      </c>
      <c r="L603" s="72" t="str">
        <f>IF(ISERROR(K603/C603),"NA",IF(OR(K603/C603&gt;2,K603/C603&lt;0.5),"NM",K603/C603*100-100))</f>
        <v>NA</v>
      </c>
      <c r="M603" s="173">
        <f>M530/M$533*100</f>
        <v>30</v>
      </c>
      <c r="N603" s="72" t="str">
        <f>IF(ISERROR(M603/E603),"NA",IF(OR(M603/E603&gt;2,M603/E603&lt;0.5),"NM",M603/E603*100-100))</f>
        <v>NA</v>
      </c>
      <c r="O603" s="173">
        <f>O530/O$533*100</f>
        <v>60.828025477707001</v>
      </c>
      <c r="P603" s="72" t="str">
        <f>IF(ISERROR(O603/G603),"NA",IF(OR(O603/G603&gt;2,O603/G603&lt;0.5),"NM",O603/G603*100-100))</f>
        <v>NA</v>
      </c>
      <c r="Q603" s="173">
        <f>Q530/Q$533*100</f>
        <v>59.302325581395351</v>
      </c>
      <c r="R603" s="72" t="str">
        <f>IF(ISERROR(Q603/I603),"NA",IF(OR(Q603/I603&gt;2,Q603/I603&lt;0.5),"NM",Q603/I603*100-100))</f>
        <v>NA</v>
      </c>
      <c r="S603" s="173">
        <f>S530/S$533*100</f>
        <v>41.295546558704451</v>
      </c>
      <c r="T603" s="72">
        <f>IF(ISERROR(S603/K603),"NA",IF(OR(S603/K603&gt;2,S603/K603&lt;0.5),"NM",S603/K603*100-100))</f>
        <v>8.3428103534549507</v>
      </c>
      <c r="U603" s="173">
        <f>U530/U$533*100</f>
        <v>39.019189765458421</v>
      </c>
      <c r="V603" s="72">
        <f>IF(ISERROR(U603/M603),"NA",IF(OR(U603/M603&gt;2,U603/M603&lt;0.5),"NM",U603/M603*100-100))</f>
        <v>30.063965884861403</v>
      </c>
      <c r="W603" s="173">
        <f>W530/W$533*100</f>
        <v>42.533936651583709</v>
      </c>
      <c r="X603" s="72">
        <f>IF(ISERROR(W603/O603),"NA",IF(OR(W603/O603&gt;2,W603/O603&lt;0.5),"NM",W603/O603*100-100))</f>
        <v>-30.075098907867613</v>
      </c>
      <c r="Y603" s="173">
        <f>Y530/Y$533*100</f>
        <v>46.808510638297875</v>
      </c>
      <c r="Z603" s="72">
        <f>IF(ISERROR(Y603/Q603),"NA",IF(OR(Y603/Q603&gt;2,Y603/Q603&lt;0.5),"NM",Y603/Q603*100-100))</f>
        <v>-21.068001668752601</v>
      </c>
      <c r="AA603" s="173">
        <f>AA530/AA$533*100</f>
        <v>38.815789473684212</v>
      </c>
      <c r="AB603" s="72">
        <f>IF(ISERROR(AA603/S603),"NA",IF(OR(AA603/S603&gt;2,AA603/S603&lt;0.5),"NM",AA603/S603*100-100))</f>
        <v>-6.0049019607843093</v>
      </c>
      <c r="AC603" s="173">
        <f>AC530/AC$533*100</f>
        <v>39.272727272727273</v>
      </c>
      <c r="AD603" s="72">
        <f>IF(ISERROR(AC603/U603),"NA",IF(OR(AC603/U603&gt;2,AC603/U603&lt;0.5),"NM",AC603/U603*100-100))</f>
        <v>0.64977645305515352</v>
      </c>
      <c r="AE603" s="173">
        <f>AE530/AE$533*100</f>
        <v>42.967244701348747</v>
      </c>
      <c r="AF603" s="72">
        <f>IF(ISERROR(AE603/W603),"NA",IF(OR(AE603/W603&gt;2,AE603/W603&lt;0.5),"NM",AE603/W603*100-100))</f>
        <v>1.0187348829582277</v>
      </c>
      <c r="AG603" s="173">
        <f>AG530/AG$533*100</f>
        <v>33.985765124555165</v>
      </c>
      <c r="AH603" s="72">
        <f>IF(ISERROR(AG603/Y603),"NA",IF(OR(AG603/Y603&gt;2,AG603/Y603&lt;0.5),"NM",AG603/Y603*100-100))</f>
        <v>-27.394047233904885</v>
      </c>
      <c r="AI603" s="173">
        <f>AI530/AI$533*100</f>
        <v>39.00709219858156</v>
      </c>
      <c r="AJ603" s="72">
        <f>IF(ISERROR(AI603/AA603),"NA",IF(OR(AI603/AA603&gt;2,AI603/AA603&lt;0.5),"NM",AI603/AA603*100-100))</f>
        <v>0.49284769804063444</v>
      </c>
      <c r="AK603" s="173">
        <f>AK530/AK$533*100</f>
        <v>36.514522821576762</v>
      </c>
      <c r="AL603" s="72">
        <f>IF(ISERROR(AK603/AC603),"NA",IF(OR(AK603/AC603&gt;2,AK603/AC603&lt;0.5),"NM",AK603/AC603*100-100))</f>
        <v>-7.0232057783925086</v>
      </c>
      <c r="AM603" s="173">
        <f>AM530/AM$533*100</f>
        <v>36.235955056179776</v>
      </c>
      <c r="AN603" s="72">
        <f>IF(ISERROR(AM603/AE603),"NA",IF(OR(AM603/AE603&gt;2,AM603/AE603&lt;0.5),"NM",AM603/AE603*100-100))</f>
        <v>-15.666095631581598</v>
      </c>
      <c r="AO603" s="173">
        <f>AO530/AO$533*100</f>
        <v>38.307030129124819</v>
      </c>
      <c r="AP603" s="72">
        <f>IF(ISERROR(AO603/AG603),"NA",IF(OR(AO603/AG603&gt;2,AO603/AG603&lt;0.5),"NM",AO603/AG603*100-100))</f>
        <v>12.714926348524315</v>
      </c>
      <c r="AQ603" s="173">
        <f>AQ530/AQ$533*100</f>
        <v>39.816031537450726</v>
      </c>
      <c r="AR603" s="72">
        <f>IF(ISERROR(AQ603/AI603),"NA",IF(OR(AQ603/AI603&gt;2,AQ603/AI603&lt;0.5),"NM",AQ603/AI603*100-100))</f>
        <v>2.0738263051009511</v>
      </c>
      <c r="AS603" s="173">
        <f>AS530/AS$533*100</f>
        <v>38.95781637717122</v>
      </c>
      <c r="AT603" s="72">
        <f>IF(ISERROR(AS603/AK603),"NA",IF(OR(AS603/AK603&gt;2,AS603/AK603&lt;0.5),"NM",AS603/AK603*100-100))</f>
        <v>6.6912925783893655</v>
      </c>
      <c r="AU603" s="173">
        <f>AU530/AU$533*100</f>
        <v>41.438356164383563</v>
      </c>
      <c r="AV603" s="72">
        <f>IF(ISERROR(AU603/AM603),"NA",IF(OR(AU603/AM603&gt;2,AU603/AM603&lt;0.5),"NM",AU603/AM603*100-100))</f>
        <v>14.357013911012004</v>
      </c>
      <c r="AW603" s="173">
        <f>AW530/AW$533*100</f>
        <v>39.148936170212764</v>
      </c>
      <c r="AX603" s="72">
        <f>IF(ISERROR(AW603/AO603),"NA",IF(OR(AW603/AO603&gt;2,AW603/AO603&lt;0.5),"NM",AW603/AO603*100-100))</f>
        <v>2.1977846840385666</v>
      </c>
      <c r="AY603" s="173">
        <f>AY530/AY$533*100</f>
        <v>38.453500522466037</v>
      </c>
      <c r="AZ603" s="72">
        <f>IF(ISERROR(AY603/AQ603),"NA",IF(OR(AY603/AQ603&gt;2,AY603/AQ603&lt;0.5),"NM",AY603/AQ603*100-100))</f>
        <v>-3.4220663445655077</v>
      </c>
      <c r="BA603" s="173">
        <f>BA530/BA$533*100</f>
        <v>41.551540913921357</v>
      </c>
      <c r="BB603" s="72">
        <f>IF(ISERROR(BA603/AS603),"NA",IF(OR(BA603/AS603&gt;2,BA603/AS603&lt;0.5),"NM",BA603/AS603*100-100))</f>
        <v>6.657776995607037</v>
      </c>
      <c r="BC603" s="173">
        <f>BC530/BC$533*100</f>
        <v>42.735949098621425</v>
      </c>
      <c r="BD603" s="72">
        <f>IF(ISERROR(BC603/AU603),"NA",IF(OR(BC603/AU603&gt;2,BC603/AU603&lt;0.5),"NM",BC603/AU603*100-100))</f>
        <v>3.1313812958467366</v>
      </c>
      <c r="BE603" s="173">
        <f>BE530/BE$533*100</f>
        <v>40.843621399176953</v>
      </c>
      <c r="BF603" s="72">
        <f>IF(ISERROR(BE603/AW603),"NA",IF(OR(BE603/AW603&gt;2,BE603/AW603&lt;0.5),"NM",BE603/AW603*100-100))</f>
        <v>4.3288155305063469</v>
      </c>
      <c r="BG603" s="173">
        <f>BG530/BG$533*100</f>
        <v>42.492378048780495</v>
      </c>
      <c r="BH603" s="72">
        <f>IF(ISERROR(BG603/AY603),"NA",IF(OR(BG603/AY603&gt;2,BG603/AY603&lt;0.5),"NM",BG603/AY603*100-100))</f>
        <v>10.503276610551467</v>
      </c>
      <c r="BI603" s="173">
        <f>BI530/BI$533*100</f>
        <v>40.32846715328467</v>
      </c>
      <c r="BJ603" s="72">
        <f>IF(ISERROR(BI603/BA603),"NA",IF(OR(BI603/BA603&gt;2,BI603/BA603&lt;0.5),"NM",BI603/BA603*100-100))</f>
        <v>-2.9435099968263927</v>
      </c>
      <c r="BK603" s="173">
        <f>BK530/BK$533*100</f>
        <v>39.465648854961835</v>
      </c>
      <c r="BL603" s="72">
        <f>IF(ISERROR(BK603/BC603),"NA",IF(OR(BK603/BC603&gt;2,BK603/BC603&lt;0.5),"NM",BK603/BC603*100-100))</f>
        <v>-7.6523402723846061</v>
      </c>
      <c r="BM603" s="173">
        <f>BM530/BM$533*100</f>
        <v>38.330494037478708</v>
      </c>
      <c r="BN603" s="72">
        <f>IF(ISERROR(BM603/BE603),"NA",IF(OR(BM603/BE603&gt;2,BM603/BE603&lt;0.5),"NM",BM603/BE603*100-100))</f>
        <v>-6.1530473440067937</v>
      </c>
      <c r="BO603" s="173">
        <f>BO530/BO$533*100</f>
        <v>46.602972399150744</v>
      </c>
      <c r="BP603" s="72">
        <f>IF(ISERROR(BO603/BG603),"NA",IF(OR(BO603/BG603&gt;2,BO603/BG603&lt;0.5),"NM",BO603/BG603*100-100))</f>
        <v>9.6737215922614581</v>
      </c>
      <c r="BQ603" s="173">
        <f>BQ530/BQ$533*100</f>
        <v>43.389199255121042</v>
      </c>
      <c r="BR603" s="72">
        <f>IF(ISERROR(BQ603/BI603),"NA",IF(OR(BQ603/BI603&gt;2,BQ603/BI603&lt;0.5),"NM",BQ603/BI603*100-100))</f>
        <v>7.5895076552322678</v>
      </c>
      <c r="BS603" s="173">
        <f>BS530/BS$533*100</f>
        <v>49.270833333333336</v>
      </c>
      <c r="BT603" s="72">
        <f>IF(ISERROR(BS603/BK603),"NA",IF(OR(BS603/BK603&gt;2,BS603/BK603&lt;0.5),"NM",BS603/BK603*100-100))</f>
        <v>24.844858156028366</v>
      </c>
      <c r="BU603" s="173">
        <f>BU530/BU$533*100</f>
        <v>77.217391304347828</v>
      </c>
      <c r="BV603" s="72" t="str">
        <f>IF(ISERROR(BU603/BM603),"NA",IF(OR(BU603/BM603&gt;2,BU603/BM603&lt;0.5),"NM",BU603/BM603*100-100))</f>
        <v>NM</v>
      </c>
      <c r="BW603" s="173">
        <f>BW530/BW$533*100</f>
        <v>71.615008156606848</v>
      </c>
      <c r="BX603" s="72">
        <f>IF(ISERROR(BW603/BO603),"NA",IF(OR(BW603/BO603&gt;2,BW603/BO603&lt;0.5),"NM",BW603/BO603*100-100))</f>
        <v>53.670473083197379</v>
      </c>
      <c r="BY603" s="173">
        <f>BY530/BY$533*100</f>
        <v>64.285714285714292</v>
      </c>
      <c r="BZ603" s="72">
        <f>IF(ISERROR(BY603/BQ603),"NA",IF(OR(BY603/BQ603&gt;2,BY603/BQ603&lt;0.5),"NM",BY603/BQ603*100-100))</f>
        <v>48.160637645616191</v>
      </c>
      <c r="CA603" s="173">
        <f>CA530/CA$533*100</f>
        <v>58.922155688622759</v>
      </c>
      <c r="CB603" s="72">
        <f>IF(ISERROR(CA603/BS603),"NA",IF(OR(CA603/BS603&gt;2,CA603/BS603&lt;0.5),"NM",CA603/BS603*100-100))</f>
        <v>19.588307528705798</v>
      </c>
      <c r="CC603" s="173">
        <f>CC530/CC$533*100</f>
        <v>66.763848396501459</v>
      </c>
      <c r="CD603" s="72">
        <f>IF(ISERROR(CC603/BU603),"NA",IF(OR(CC603/BU603&gt;2,CC603/BU603&lt;0.5),"NM",CC603/BU603*100-100))</f>
        <v>-13.537808945972202</v>
      </c>
      <c r="CE603" s="173">
        <f>CE530/CE$533*100</f>
        <v>59.973579920739759</v>
      </c>
      <c r="CF603" s="72">
        <f>IF(ISERROR(CE603/BW603),"NA",IF(OR(CE603/BW603&gt;2,CE603/BW603&lt;0.5),"NM",CE603/BW603*100-100))</f>
        <v>-16.255570634593454</v>
      </c>
      <c r="CG603" s="173">
        <f>CG530/CG$533*100</f>
        <v>52.774352651048083</v>
      </c>
      <c r="CH603" s="72">
        <f>IF(ISERROR(CG603/BY603),"NA",IF(OR(CG603/BY603&gt;2,CG603/BY603&lt;0.5),"NM",CG603/BY603*100-100))</f>
        <v>-17.9065625428141</v>
      </c>
      <c r="CI603" s="173">
        <f>CI530/CI$533*100</f>
        <v>65.562913907284766</v>
      </c>
      <c r="CJ603" s="72">
        <f>IF(ISERROR(CI603/CA603),"NA",IF(OR(CI603/CA603&gt;2,CI603/CA603&lt;0.5),"NM",CI603/CA603*100-100))</f>
        <v>11.270392505249546</v>
      </c>
      <c r="CK603" s="173">
        <f>CK530/CK$533*100</f>
        <v>54.128440366972477</v>
      </c>
      <c r="CL603" s="72">
        <f>IF(ISERROR(CK603/CC603),"NA",IF(OR(CK603/CC603&gt;2,CK603/CC603&lt;0.5),"NM",CK603/CC603*100-100))</f>
        <v>-18.925523817154769</v>
      </c>
      <c r="CM603" s="173">
        <f>CM530/CM$533*100</f>
        <v>56.870590712856696</v>
      </c>
      <c r="CN603" s="72">
        <f>IF(ISERROR(CM603/CE603),"NA",IF(OR(CM603/CE603&gt;2,CM603/CE603&lt;0.5),"NM",CM603/CE603*100-100))</f>
        <v>-5.173926939135427</v>
      </c>
      <c r="CO603" s="173">
        <f>CO530/CO$533*100</f>
        <v>52.398190045248874</v>
      </c>
      <c r="CP603" s="72">
        <f>IF(ISERROR(CO603/CG603),"NA",IF(OR(CO603/CG603&gt;2,CO603/CG603&lt;0.5),"NM",CO603/CG603*100-100))</f>
        <v>-0.71277540491392699</v>
      </c>
      <c r="CQ603" s="173">
        <f>CQ530/CQ$533*100</f>
        <v>62.970498474058999</v>
      </c>
      <c r="CR603" s="72">
        <f>IF(ISERROR(CQ603/CI603),"NA",IF(OR(CQ603/CI603&gt;2,CQ603/CI603&lt;0.5),"NM",CQ603/CI603*100-100))</f>
        <v>-3.9540881860312282</v>
      </c>
      <c r="CS603" s="173">
        <f>CS530/CS$533*100</f>
        <v>60.940695296523515</v>
      </c>
      <c r="CT603" s="72">
        <f>IF(ISERROR(CS603/CK603),"NA",IF(OR(CS603/CK603&gt;2,CS603/CK603&lt;0.5),"NM",CS603/CK603*100-100))</f>
        <v>12.585352327475647</v>
      </c>
      <c r="CU603" s="173">
        <f>CU530/CU$533*100</f>
        <v>70.474137931034491</v>
      </c>
      <c r="CV603" s="72">
        <f>IF(ISERROR(CU603/CM603),"NA",IF(OR(CU603/CM603&gt;2,CU603/CM603&lt;0.5),"NM",CU603/CM603*100-100))</f>
        <v>23.92017921330023</v>
      </c>
      <c r="CW603" s="173">
        <f>CW530/CW$533*100</f>
        <v>64.972776769509977</v>
      </c>
      <c r="CX603" s="72">
        <f>IF(ISERROR(CW603/CO603),"NA",IF(OR(CW603/CO603&gt;2,CW603/CO603&lt;0.5),"NM",CW603/CO603*100-100))</f>
        <v>23.998131831275501</v>
      </c>
      <c r="CY603" s="173">
        <f>CY530/CY$533*100</f>
        <v>62.005054759898904</v>
      </c>
      <c r="CZ603" s="72">
        <f>IF(ISERROR(CY603/CQ603),"NA",IF(OR(CY603/CQ603&gt;2,CY603/CQ603&lt;0.5),"NM",CY603/CQ603*100-100))</f>
        <v>-1.5331682892073815</v>
      </c>
      <c r="DA603" s="173">
        <f>DA530/DA$533*100</f>
        <v>58.03886925795053</v>
      </c>
      <c r="DB603" s="72">
        <f>IF(ISERROR(DA603/CS603),"NA",IF(OR(DA603/CS603&gt;2,DA603/CS603&lt;0.5),"NM",DA603/CS603*100-100))</f>
        <v>-4.7617212512154055</v>
      </c>
      <c r="DC603" s="173">
        <f>DC530/DC$533*100</f>
        <v>59.329446064139944</v>
      </c>
      <c r="DD603" s="72">
        <f>IF(ISERROR(DC603/CU603),"NA",IF(OR(DC603/CU603&gt;2,DC603/CU603&lt;0.5),"NM",DC603/CU603*100-100))</f>
        <v>-15.813874697978804</v>
      </c>
      <c r="DE603" s="173">
        <f>DE530/DE$533*100</f>
        <v>58.27862873814734</v>
      </c>
      <c r="DF603" s="72">
        <f>IF(ISERROR(DE603/CW603),"NA",IF(OR(DE603/CW603&gt;2,DE603/CW603&lt;0.5),"NM",DE603/CW603*100-100))</f>
        <v>-10.303004372292776</v>
      </c>
      <c r="DG603" s="173">
        <f>DG530/DG$533*100</f>
        <v>57.755775577557756</v>
      </c>
      <c r="DH603" s="72">
        <f>IF(ISERROR(DG603/CY603),"NA",IF(OR(DG603/CY603&gt;2,DG603/CY603&lt;0.5),"NM",DG603/CY603*100-100))</f>
        <v>-6.8531173769550833</v>
      </c>
      <c r="DI603" s="173">
        <f>DI530/DI$533*100</f>
        <v>51.527494908350299</v>
      </c>
      <c r="DJ603" s="72">
        <f>IF(ISERROR(DI603/DA603),"NA",IF(OR(DI603/DA603&gt;2,DI603/DA603&lt;0.5),"NM",DI603/DA603*100-100))</f>
        <v>-11.218988985916994</v>
      </c>
      <c r="DK603" s="173">
        <f>DK530/DK$533*100</f>
        <v>52.78465346534653</v>
      </c>
      <c r="DL603" s="72">
        <f>IF(ISERROR(DK603/DC603),"NA",IF(OR(DK603/DC603&gt;2,DK603/DC603&lt;0.5),"NM",DK603/DC603*100-100))</f>
        <v>-11.031272046123547</v>
      </c>
      <c r="DM603" s="173">
        <f>DM530/DM$533*100</f>
        <v>54.067278287461775</v>
      </c>
      <c r="DN603" s="72">
        <f t="shared" si="2877"/>
        <v>-7.2262346281475658</v>
      </c>
      <c r="DO603" s="173">
        <f>DO530/DO$533*100</f>
        <v>52.786474639949908</v>
      </c>
      <c r="DP603" s="72">
        <f t="shared" si="2877"/>
        <v>-8.60398962340102</v>
      </c>
      <c r="DQ603" s="173">
        <f>DQ530/DQ$533*100</f>
        <v>51.270053475935825</v>
      </c>
      <c r="DR603" s="72">
        <f t="shared" si="2877"/>
        <v>-0.49961953879646614</v>
      </c>
      <c r="DS603" s="173">
        <f>DS530/DS$533*100</f>
        <v>50.60679611650486</v>
      </c>
      <c r="DT603" s="72">
        <f t="shared" si="2877"/>
        <v>-4.1259290454022732</v>
      </c>
      <c r="DU603" s="173">
        <f>DU530/DU$533*100</f>
        <v>52.686202686202691</v>
      </c>
      <c r="DV603" s="72">
        <f t="shared" si="2877"/>
        <v>-2.5543649412427527</v>
      </c>
      <c r="DW603" s="173">
        <f>DW530/DW$533*100</f>
        <v>52.488687782805435</v>
      </c>
      <c r="DX603" s="72">
        <f t="shared" si="2877"/>
        <v>-0.56413476970311649</v>
      </c>
      <c r="DY603" s="173">
        <f>DY530/DY$533*100</f>
        <v>57.905060808160059</v>
      </c>
      <c r="DZ603" s="72">
        <f t="shared" si="2877"/>
        <v>12.941292006528627</v>
      </c>
      <c r="EA603" s="173">
        <f>EA530/EA$533*100</f>
        <v>54.743499648629658</v>
      </c>
      <c r="EB603" s="72">
        <f>IF(ISERROR(EA603/DS603),"NA",IF(OR(EA603/DS603&gt;2,EA603/DS603&lt;0.5),"NM",EA603/DS603*100-100))</f>
        <v>8.1742055406974288</v>
      </c>
      <c r="EC603" s="173">
        <f>EC530/EC$533*100</f>
        <v>56.09919571045576</v>
      </c>
      <c r="ED603" s="72">
        <f>IF(ISERROR(EC603/DU603),"NA",IF(OR(EC603/DU603&gt;2,EC603/DU603&lt;0.5),"NM",EC603/DU603*100-100))</f>
        <v>6.4779635848511248</v>
      </c>
      <c r="EE603" s="173">
        <f>EE530/EE$533*100</f>
        <v>53.682037164487269</v>
      </c>
      <c r="EF603" s="72">
        <f>IF(ISERROR(EE603/DW603),"NA",IF(OR(EE603/DW603&gt;2,EE603/DW603&lt;0.5),"NM",EE603/DW603*100-100))</f>
        <v>2.2735363219972982</v>
      </c>
      <c r="EG603" s="173">
        <f>EG530/EG$533*100</f>
        <v>52.466990965948582</v>
      </c>
      <c r="EH603" s="72">
        <f>IF(ISERROR(EG603/DY603),"NA",IF(OR(EG603/DY603&gt;2,EG603/DY603&lt;0.5),"NM",EG603/DY603*100-100))</f>
        <v>-9.3913550323828332</v>
      </c>
      <c r="EI603" s="173">
        <f>EI530/EI$533*100</f>
        <v>48.716541674288152</v>
      </c>
      <c r="EJ603" s="72">
        <f>IF(ISERROR(EI603/EA603),"NA",IF(OR(EI603/EA603&gt;2,EI603/EA603&lt;0.5),"NM",EI603/EA603*100-100))</f>
        <v>-11.009449547481339</v>
      </c>
      <c r="EK603" s="173">
        <f>EK530/EK$533*100</f>
        <v>48.385300668151451</v>
      </c>
      <c r="EL603" s="72">
        <f>IF(ISERROR(EK603/EC603),"NA",IF(OR(EK603/EC603&gt;2,EK603/EC603&lt;0.5),"NM",EK603/EC603*100-100))</f>
        <v>-13.750455678755117</v>
      </c>
      <c r="EM603" s="173">
        <f>EM530/EM$533*100</f>
        <v>46.025345622119815</v>
      </c>
      <c r="EN603" s="72">
        <f>IF(ISERROR(EM603/EE603),"NA",IF(OR(EM603/EE603&gt;2,EM603/EE603&lt;0.5),"NM",EM603/EE603*100-100))</f>
        <v>-14.263042065461434</v>
      </c>
      <c r="EO603" s="173">
        <f>EO530/EO$533*100</f>
        <v>49.553571428571431</v>
      </c>
      <c r="EP603" s="72">
        <f>IF(ISERROR(EO603/EG603),"NA",IF(OR(EO603/EG603&gt;2,EO603/EG603&lt;0.5),"NM",EO603/EG603*100-100))</f>
        <v>-5.5528618732261208</v>
      </c>
      <c r="EQ603" s="173">
        <f>EQ530/EQ$533*100</f>
        <v>49.721835803338635</v>
      </c>
      <c r="ER603" s="72">
        <f t="shared" si="2878"/>
        <v>2.0635580739120059</v>
      </c>
      <c r="ES603" s="173">
        <f>ES530/ES$533*100</f>
        <v>48.931504254692257</v>
      </c>
      <c r="ET603" s="72">
        <f t="shared" si="2879"/>
        <v>1.1288626483627979</v>
      </c>
      <c r="EU603" s="173">
        <f>EU530/EU$533*100</f>
        <v>47.738999616254652</v>
      </c>
      <c r="EV603" s="72">
        <f t="shared" si="2880"/>
        <v>3.7232832713617938</v>
      </c>
      <c r="EW603" s="173">
        <f>EW530/EW$533*100</f>
        <v>52.060801967653326</v>
      </c>
      <c r="EX603" s="72">
        <f t="shared" si="2881"/>
        <v>5.059636403192286</v>
      </c>
      <c r="EY603" s="72"/>
      <c r="EZ603" s="332"/>
      <c r="FA603" s="72"/>
      <c r="FB603" s="179"/>
      <c r="FC603" s="166"/>
      <c r="FD603" s="180">
        <f>FD530/FD$533*100</f>
        <v>19.272125723738625</v>
      </c>
      <c r="FE603" s="72" t="str">
        <f>IF(ISERROR(FD603/FB603),"NA",IF(OR(FD603/FB603&gt;2,FD603/FB603&lt;0.5),"NM",FD603/FB603*100-100))</f>
        <v>NA</v>
      </c>
      <c r="FF603" s="180">
        <f>FF530/FF$533*100</f>
        <v>26.393442622950818</v>
      </c>
      <c r="FG603" s="72">
        <f>IF(ISERROR(FF603/FD603),"NA",IF(OR(FF603/FD603&gt;2,FF603/FD603&lt;0.5),"NM",FF603/FD603*100-100))</f>
        <v>36.951382537113915</v>
      </c>
      <c r="FH603" s="180">
        <f>FH530/FH$533*100</f>
        <v>44.376278118609406</v>
      </c>
      <c r="FI603" s="72">
        <f>IF(ISERROR(FH603/FF603),"NA",IF(OR(FH603/FF603&gt;2,FH603/FF603&lt;0.5),"NM",FH603/FF603*100-100))</f>
        <v>68.133724548768555</v>
      </c>
      <c r="FJ603" s="180">
        <f>FJ530/FJ$533*100</f>
        <v>41.978759083286754</v>
      </c>
      <c r="FK603" s="72">
        <f>IF(ISERROR(FJ603/FH603),"NA",IF(OR(FJ603/FH603&gt;2,FJ603/FH603&lt;0.5),"NM",FJ603/FH603*100-100))</f>
        <v>-5.4027041855888314</v>
      </c>
      <c r="FL603" s="180">
        <f>FL530/FL$533*100</f>
        <v>38.989513822688274</v>
      </c>
      <c r="FM603" s="72">
        <f>IF(ISERROR(FL603/FJ603),"NA",IF(OR(FL603/FJ603&gt;2,FL603/FJ603&lt;0.5),"NM",FL603/FJ603*100-100))</f>
        <v>-7.1208518924243407</v>
      </c>
      <c r="FN603" s="180">
        <f>FN530/FN$533*100</f>
        <v>37.518518518518519</v>
      </c>
      <c r="FO603" s="72">
        <f>IF(ISERROR(FN603/FL603),"NA",IF(OR(FN603/FL603&gt;2,FN603/FL603&lt;0.5),"NM",FN603/FL603*100-100))</f>
        <v>-3.7727972471248705</v>
      </c>
      <c r="FP603" s="180">
        <f>FP530/FP$533*100</f>
        <v>40.16465745369009</v>
      </c>
      <c r="FQ603" s="72">
        <f>IF(ISERROR(FP603/FN603),"NA",IF(OR(FP603/FN603&gt;2,FP603/FN603&lt;0.5),"NM",FP603/FN603*100-100))</f>
        <v>7.052887586340816</v>
      </c>
      <c r="FR603" s="180">
        <f>FR530/FR$533*100</f>
        <v>40.606060606060609</v>
      </c>
      <c r="FS603" s="72">
        <f>IF(ISERROR(FR603/FP603),"NA",IF(OR(FR603/FP603&gt;2,FR603/FP603&lt;0.5),"NM",FR603/FP603*100-100))</f>
        <v>1.0989839833178223</v>
      </c>
      <c r="FT603" s="180">
        <f>FT530/FT$533*100</f>
        <v>39.74286582982235</v>
      </c>
      <c r="FU603" s="72">
        <f>IF(ISERROR(FT603/FR603),"NA",IF(OR(FT603/FR603&gt;2,FT603/FR603&lt;0.5),"NM",FT603/FR603*100-100))</f>
        <v>-2.1257781802882505</v>
      </c>
      <c r="FV603" s="180">
        <f>FV530/FV$533*100</f>
        <v>37.807881773399018</v>
      </c>
      <c r="FW603" s="72">
        <f>IF(ISERROR(FV603/FT603),"NA",IF(OR(FV603/FT603&gt;2,FV603/FT603&lt;0.5),"NM",FV603/FT603*100-100))</f>
        <v>-4.8687582438288928</v>
      </c>
      <c r="FX603" s="180">
        <f>FX530/FX$533*100</f>
        <v>64.853228962817994</v>
      </c>
      <c r="FY603" s="72">
        <f>IF(ISERROR(FX603/FV603),"NA",IF(OR(FX603/FV603&gt;2,FX603/FV603&lt;0.5),"NM",FX603/FV603*100-100))</f>
        <v>71.533621882111419</v>
      </c>
      <c r="FZ603" s="180">
        <f>FZ530/FZ$533*100</f>
        <v>57.871674491392803</v>
      </c>
      <c r="GA603" s="72">
        <f>IF(ISERROR(FZ603/FX603),"NA",IF(OR(FZ603/FX603&gt;2,FZ603/FX603&lt;0.5),"NM",FZ603/FX603*100-100))</f>
        <v>-10.765160938136006</v>
      </c>
      <c r="GB603" s="180">
        <f>GB530/GB$533*100</f>
        <v>58.124361879622477</v>
      </c>
      <c r="GC603" s="72">
        <f>IF(ISERROR(GB603/FZ603),"NA",IF(OR(GB603/FZ603&gt;2,GB603/FZ603&lt;0.5),"NM",GB603/FZ603*100-100))</f>
        <v>0.4366339672221784</v>
      </c>
      <c r="GD603" s="180">
        <f>GD530/GD$533*100</f>
        <v>63.531846401471604</v>
      </c>
      <c r="GE603" s="72">
        <f>IF(ISERROR(GD603/GB603),"NA",IF(OR(GD603/GB603&gt;2,GD603/GB603&lt;0.5),"NM",GD603/GB603*100-100))</f>
        <v>9.3033013128784177</v>
      </c>
      <c r="GF603" s="180">
        <f>GF530/GF$533*100</f>
        <v>56.656778921654158</v>
      </c>
      <c r="GG603" s="72">
        <f>IF(ISERROR(GF603/GD603),"NA",IF(OR(GF603/GD603&gt;2,GF603/GD603&lt;0.5),"NM",GF603/GD603*100-100))</f>
        <v>-10.821450767182796</v>
      </c>
      <c r="GH603" s="180">
        <f>GH530/GH$533*100</f>
        <v>52.758511979823453</v>
      </c>
      <c r="GI603" s="72">
        <f t="shared" si="2882"/>
        <v>-6.8804951782050523</v>
      </c>
      <c r="GJ603" s="180">
        <f>GJ530/GJ$533*100</f>
        <v>53.164142447810072</v>
      </c>
      <c r="GK603" s="72">
        <f t="shared" si="2882"/>
        <v>0.76884364771649416</v>
      </c>
      <c r="GL603" s="180">
        <f>GL530/GL$533*100</f>
        <v>54.262097468572414</v>
      </c>
      <c r="GM603" s="72">
        <f t="shared" si="2882"/>
        <v>2.0652172125980854</v>
      </c>
      <c r="GN603" s="180">
        <f>GN530/GN$533*100</f>
        <v>48.129849705493982</v>
      </c>
      <c r="GO603" s="72">
        <f t="shared" si="2882"/>
        <v>-11.301162411995065</v>
      </c>
      <c r="GP603" s="180">
        <f>GP530/GP$533*100</f>
        <v>49.55030841056908</v>
      </c>
      <c r="GQ603" s="72">
        <f t="shared" si="2882"/>
        <v>2.9513050918855299</v>
      </c>
      <c r="GR603" s="173">
        <f>GR530/GR$533*100</f>
        <v>50.112245650710065</v>
      </c>
      <c r="GS603" s="72">
        <f t="shared" si="2882"/>
        <v>1.1340741524448816</v>
      </c>
      <c r="GT603" s="173">
        <f>GT530/GT$533*100</f>
        <v>50.615328378523081</v>
      </c>
      <c r="GU603" s="72">
        <f t="shared" si="2882"/>
        <v>1.003911761048542</v>
      </c>
      <c r="GV603" s="173">
        <f>GV530/GV$533*100</f>
        <v>51.084971829325212</v>
      </c>
      <c r="GW603" s="72">
        <f>IF(ISERROR(GV603/GT603),"NA",IF(OR(GV603/GT603&gt;2,GV603/GT603&lt;0.5),"NM",GV603/GT603*100-100))</f>
        <v>0.92786803098448445</v>
      </c>
      <c r="GX603" s="173">
        <f>GX530/GX$533*100</f>
        <v>51.656345534832418</v>
      </c>
      <c r="GY603" s="72">
        <f>IF(ISERROR(GX603/GV603),"NA",IF(OR(GX603/GV603&gt;2,GX603/GV603&lt;0.5),"NM",GX603/GV603*100-100))</f>
        <v>1.1184770883620416</v>
      </c>
      <c r="GZ603" s="72">
        <f>IF(ISERROR(((GX603/GN603)^0.2-1)*100),"NA",IF((((GX603/GN603)^0.2-1)*100)&gt;100,"NM",IF((((GX603/GN603)^0.2-1)*100)&lt;-50,"NM",((GX603/GN603)^0.2-1)*100)))</f>
        <v>1.4242569286829987</v>
      </c>
      <c r="HA603" s="72"/>
      <c r="HB603" s="72"/>
      <c r="HC603"/>
      <c r="HD603"/>
      <c r="HE603"/>
      <c r="HF603"/>
      <c r="HG603"/>
      <c r="HH603"/>
      <c r="HI603" s="2"/>
    </row>
    <row r="604" spans="1:217" s="3" customFormat="1" ht="12.75" customHeight="1" x14ac:dyDescent="0.2">
      <c r="B604" s="10"/>
      <c r="C604" s="169"/>
      <c r="D604" s="11"/>
      <c r="E604" s="169"/>
      <c r="F604" s="11"/>
      <c r="G604" s="169"/>
      <c r="H604" s="11"/>
      <c r="I604" s="169"/>
      <c r="J604" s="11"/>
      <c r="K604" s="169"/>
      <c r="L604" s="72"/>
      <c r="M604" s="169"/>
      <c r="N604" s="72"/>
      <c r="O604" s="169"/>
      <c r="P604" s="72"/>
      <c r="Q604" s="169"/>
      <c r="R604" s="72"/>
      <c r="S604" s="169"/>
      <c r="T604" s="72"/>
      <c r="U604" s="169"/>
      <c r="V604" s="72"/>
      <c r="W604" s="169"/>
      <c r="X604" s="72"/>
      <c r="Y604" s="169"/>
      <c r="Z604" s="72"/>
      <c r="AA604" s="169"/>
      <c r="AB604" s="72"/>
      <c r="AC604" s="169"/>
      <c r="AD604" s="72"/>
      <c r="AE604" s="169"/>
      <c r="AF604" s="72"/>
      <c r="AG604" s="169"/>
      <c r="AH604" s="72"/>
      <c r="AI604" s="169"/>
      <c r="AJ604" s="72"/>
      <c r="AK604" s="169"/>
      <c r="AL604" s="72"/>
      <c r="AM604" s="169"/>
      <c r="AN604" s="72"/>
      <c r="AO604" s="169"/>
      <c r="AP604" s="72"/>
      <c r="AQ604" s="169"/>
      <c r="AR604" s="72"/>
      <c r="AS604" s="169"/>
      <c r="AT604" s="72"/>
      <c r="AU604" s="169"/>
      <c r="AV604" s="72"/>
      <c r="AW604" s="169"/>
      <c r="AX604" s="72"/>
      <c r="AY604" s="169"/>
      <c r="AZ604" s="72"/>
      <c r="BA604" s="169"/>
      <c r="BB604" s="72"/>
      <c r="BC604" s="169"/>
      <c r="BD604" s="72"/>
      <c r="BE604" s="169"/>
      <c r="BF604" s="72"/>
      <c r="BG604" s="169"/>
      <c r="BH604" s="72"/>
      <c r="BI604" s="169"/>
      <c r="BJ604" s="72"/>
      <c r="BK604" s="169"/>
      <c r="BL604" s="72"/>
      <c r="BM604" s="169"/>
      <c r="BN604" s="72"/>
      <c r="BO604" s="169"/>
      <c r="BP604" s="72"/>
      <c r="BQ604" s="169"/>
      <c r="BR604" s="72"/>
      <c r="BS604" s="169"/>
      <c r="BT604" s="72"/>
      <c r="BU604" s="169"/>
      <c r="BV604" s="72"/>
      <c r="BW604" s="169"/>
      <c r="BX604" s="72"/>
      <c r="BY604" s="169"/>
      <c r="BZ604" s="72"/>
      <c r="CA604" s="169"/>
      <c r="CB604" s="72"/>
      <c r="CC604" s="169"/>
      <c r="CD604" s="72"/>
      <c r="CE604" s="169"/>
      <c r="CF604" s="72"/>
      <c r="CG604" s="169"/>
      <c r="CH604" s="72"/>
      <c r="CI604" s="169"/>
      <c r="CJ604" s="72"/>
      <c r="CK604" s="169"/>
      <c r="CL604" s="72"/>
      <c r="CM604" s="169"/>
      <c r="CN604" s="72"/>
      <c r="CO604" s="169"/>
      <c r="CP604" s="72"/>
      <c r="CQ604" s="169"/>
      <c r="CR604" s="72"/>
      <c r="CS604" s="169"/>
      <c r="CT604" s="72"/>
      <c r="CU604" s="169"/>
      <c r="CV604" s="72"/>
      <c r="CW604" s="169"/>
      <c r="CX604" s="72"/>
      <c r="CY604" s="169"/>
      <c r="CZ604" s="72"/>
      <c r="DA604" s="169"/>
      <c r="DB604" s="72"/>
      <c r="DC604" s="169"/>
      <c r="DD604" s="72"/>
      <c r="DE604" s="169"/>
      <c r="DF604" s="72"/>
      <c r="DG604" s="169"/>
      <c r="DH604" s="72"/>
      <c r="DI604" s="169"/>
      <c r="DJ604" s="72"/>
      <c r="DK604" s="169"/>
      <c r="DL604" s="72"/>
      <c r="DM604" s="169"/>
      <c r="DN604" s="72"/>
      <c r="DO604" s="169"/>
      <c r="DP604" s="72"/>
      <c r="DQ604" s="169"/>
      <c r="DR604" s="72"/>
      <c r="DS604" s="169"/>
      <c r="DT604" s="72"/>
      <c r="DU604" s="169"/>
      <c r="DV604" s="72"/>
      <c r="DW604" s="169"/>
      <c r="DX604" s="72"/>
      <c r="DY604" s="169"/>
      <c r="DZ604" s="72"/>
      <c r="EA604" s="169"/>
      <c r="EB604" s="72"/>
      <c r="EC604" s="169"/>
      <c r="ED604" s="72"/>
      <c r="EE604" s="169"/>
      <c r="EF604" s="72"/>
      <c r="EG604" s="169"/>
      <c r="EH604" s="72"/>
      <c r="EI604" s="169"/>
      <c r="EJ604" s="72"/>
      <c r="EK604" s="169"/>
      <c r="EL604" s="72"/>
      <c r="EM604" s="169"/>
      <c r="EN604" s="72"/>
      <c r="EO604" s="169"/>
      <c r="EP604" s="72"/>
      <c r="EQ604" s="169"/>
      <c r="ER604" s="72"/>
      <c r="ES604" s="169"/>
      <c r="ET604" s="72"/>
      <c r="EU604" s="169"/>
      <c r="EV604" s="72"/>
      <c r="EW604" s="169"/>
      <c r="EX604" s="72"/>
      <c r="EY604" s="72"/>
      <c r="EZ604" s="296"/>
      <c r="FA604" s="72"/>
      <c r="FB604" s="169"/>
      <c r="FC604" s="11"/>
      <c r="FD604" s="171"/>
      <c r="FE604" s="72"/>
      <c r="FF604" s="171"/>
      <c r="FG604" s="72"/>
      <c r="FH604" s="171"/>
      <c r="FI604" s="72"/>
      <c r="FJ604" s="171"/>
      <c r="FK604" s="72"/>
      <c r="FL604" s="171"/>
      <c r="FM604" s="72"/>
      <c r="FN604" s="171"/>
      <c r="FO604" s="72"/>
      <c r="FP604" s="171"/>
      <c r="FQ604" s="72"/>
      <c r="FR604" s="171"/>
      <c r="FS604" s="72"/>
      <c r="FT604" s="171"/>
      <c r="FU604" s="72"/>
      <c r="FV604" s="171"/>
      <c r="FW604" s="72"/>
      <c r="FX604" s="171"/>
      <c r="FY604" s="72"/>
      <c r="FZ604" s="171"/>
      <c r="GA604" s="72"/>
      <c r="GB604" s="171"/>
      <c r="GC604" s="72"/>
      <c r="GD604" s="171"/>
      <c r="GE604" s="72"/>
      <c r="GF604" s="171"/>
      <c r="GG604" s="72"/>
      <c r="GH604" s="171"/>
      <c r="GI604" s="72"/>
      <c r="GJ604" s="171"/>
      <c r="GK604" s="72"/>
      <c r="GL604" s="171"/>
      <c r="GM604" s="72"/>
      <c r="GN604" s="171"/>
      <c r="GO604" s="72"/>
      <c r="GP604" s="171"/>
      <c r="GQ604" s="72"/>
      <c r="GR604" s="169"/>
      <c r="GS604" s="72"/>
      <c r="GT604" s="169"/>
      <c r="GU604" s="72"/>
      <c r="GV604" s="169"/>
      <c r="GW604" s="72"/>
      <c r="GX604" s="169"/>
      <c r="GY604" s="72"/>
      <c r="GZ604" s="72"/>
      <c r="HA604" s="72"/>
      <c r="HB604" s="72"/>
      <c r="HC604"/>
      <c r="HD604"/>
      <c r="HE604"/>
      <c r="HF604"/>
      <c r="HG604"/>
      <c r="HH604"/>
      <c r="HI604" s="2"/>
    </row>
    <row r="605" spans="1:217" s="78" customFormat="1" ht="12.75" customHeight="1" x14ac:dyDescent="0.2">
      <c r="A605" s="78" t="s">
        <v>56</v>
      </c>
      <c r="B605" s="89" t="s">
        <v>399</v>
      </c>
      <c r="C605" s="173"/>
      <c r="D605" s="166"/>
      <c r="E605" s="173"/>
      <c r="F605" s="166"/>
      <c r="G605" s="173"/>
      <c r="H605" s="166"/>
      <c r="I605" s="173"/>
      <c r="J605" s="166"/>
      <c r="K605" s="173">
        <f>K531/K$533*100</f>
        <v>-0.21413276231263384</v>
      </c>
      <c r="L605" s="72" t="str">
        <f>IF(ISERROR(K605/C605),"NA",IF(OR(K605/C605&gt;2,K605/C605&lt;0.5),"NM",K605/C605*100-100))</f>
        <v>NA</v>
      </c>
      <c r="M605" s="173">
        <f>M531/M$533*100</f>
        <v>17.674418604651162</v>
      </c>
      <c r="N605" s="72" t="str">
        <f>IF(ISERROR(M605/E605),"NA",IF(OR(M605/E605&gt;2,M605/E605&lt;0.5),"NM",M605/E605*100-100))</f>
        <v>NA</v>
      </c>
      <c r="O605" s="173">
        <f>O531/O$533*100</f>
        <v>-0.31847133757961787</v>
      </c>
      <c r="P605" s="72" t="str">
        <f>IF(ISERROR(O605/G605),"NA",IF(OR(O605/G605&gt;2,O605/G605&lt;0.5),"NM",O605/G605*100-100))</f>
        <v>NA</v>
      </c>
      <c r="Q605" s="173">
        <f>Q531/Q$533*100</f>
        <v>-4.6511627906976747</v>
      </c>
      <c r="R605" s="72" t="str">
        <f>IF(ISERROR(Q605/I605),"NA",IF(OR(Q605/I605&gt;2,Q605/I605&lt;0.5),"NM",Q605/I605*100-100))</f>
        <v>NA</v>
      </c>
      <c r="S605" s="173">
        <f>S531/S$533*100</f>
        <v>2.0242914979757085</v>
      </c>
      <c r="T605" s="72" t="str">
        <f>IF(ISERROR(S605/K605),"NA",IF(OR(S605/K605&gt;2,S605/K605&lt;0.5),"NM",S605/K605*100-100))</f>
        <v>NM</v>
      </c>
      <c r="U605" s="173">
        <f>U531/U$533*100</f>
        <v>8.3155650319829419</v>
      </c>
      <c r="V605" s="72" t="str">
        <f>IF(ISERROR(U605/M605),"NA",IF(OR(U605/M605&gt;2,U605/M605&lt;0.5),"NM",U605/M605*100-100))</f>
        <v>NM</v>
      </c>
      <c r="W605" s="173">
        <f>W531/W$533*100</f>
        <v>25.339366515837103</v>
      </c>
      <c r="X605" s="72" t="str">
        <f>IF(ISERROR(W605/O605),"NA",IF(OR(W605/O605&gt;2,W605/O605&lt;0.5),"NM",W605/O605*100-100))</f>
        <v>NM</v>
      </c>
      <c r="Y605" s="173">
        <f>Y531/Y$533*100</f>
        <v>-0.26595744680851063</v>
      </c>
      <c r="Z605" s="72" t="str">
        <f>IF(ISERROR(Y605/Q605),"NA",IF(OR(Y605/Q605&gt;2,Y605/Q605&lt;0.5),"NM",Y605/Q605*100-100))</f>
        <v>NM</v>
      </c>
      <c r="AA605" s="173">
        <f>AA531/AA$533*100</f>
        <v>3.9473684210526314</v>
      </c>
      <c r="AB605" s="72">
        <f>IF(ISERROR(AA605/S605),"NA",IF(OR(AA605/S605&gt;2,AA605/S605&lt;0.5),"NM",AA605/S605*100-100))</f>
        <v>95</v>
      </c>
      <c r="AC605" s="173">
        <f>AC531/AC$533*100</f>
        <v>-0.18181818181818182</v>
      </c>
      <c r="AD605" s="72" t="str">
        <f>IF(ISERROR(AC605/U605),"NA",IF(OR(AC605/U605&gt;2,AC605/U605&lt;0.5),"NM",AC605/U605*100-100))</f>
        <v>NM</v>
      </c>
      <c r="AE605" s="173">
        <f>AE531/AE$533*100</f>
        <v>6.1657032755298653</v>
      </c>
      <c r="AF605" s="72" t="str">
        <f>IF(ISERROR(AE605/W605),"NA",IF(OR(AE605/W605&gt;2,AE605/W605&lt;0.5),"NM",AE605/W605*100-100))</f>
        <v>NM</v>
      </c>
      <c r="AG605" s="173">
        <f>AG531/AG$533*100</f>
        <v>7.4733096085409247</v>
      </c>
      <c r="AH605" s="72" t="str">
        <f>IF(ISERROR(AG605/Y605),"NA",IF(OR(AG605/Y605&gt;2,AG605/Y605&lt;0.5),"NM",AG605/Y605*100-100))</f>
        <v>NM</v>
      </c>
      <c r="AI605" s="173">
        <f>AI531/AI$533*100</f>
        <v>4.0780141843971638</v>
      </c>
      <c r="AJ605" s="72">
        <f>IF(ISERROR(AI605/AA605),"NA",IF(OR(AI605/AA605&gt;2,AI605/AA605&lt;0.5),"NM",AI605/AA605*100-100))</f>
        <v>3.3096926713948278</v>
      </c>
      <c r="AK605" s="173">
        <f>AK531/AK$533*100</f>
        <v>9.5435684647302903</v>
      </c>
      <c r="AL605" s="72" t="str">
        <f>IF(ISERROR(AK605/AC605),"NA",IF(OR(AK605/AC605&gt;2,AK605/AC605&lt;0.5),"NM",AK605/AC605*100-100))</f>
        <v>NM</v>
      </c>
      <c r="AM605" s="173">
        <f>AM531/AM$533*100</f>
        <v>8.0056179775280896</v>
      </c>
      <c r="AN605" s="72">
        <f>IF(ISERROR(AM605/AE605),"NA",IF(OR(AM605/AE605&gt;2,AM605/AE605&lt;0.5),"NM",AM605/AE605*100-100))</f>
        <v>29.841116573033702</v>
      </c>
      <c r="AO605" s="173">
        <f>AO531/AO$533*100</f>
        <v>6.4562410329985651</v>
      </c>
      <c r="AP605" s="72">
        <f>IF(ISERROR(AO605/AG605),"NA",IF(OR(AO605/AG605&gt;2,AO605/AG605&lt;0.5),"NM",AO605/AG605*100-100))</f>
        <v>-13.609346177495382</v>
      </c>
      <c r="AQ605" s="173">
        <f>AQ531/AQ$533*100</f>
        <v>2.2339027595269383</v>
      </c>
      <c r="AR605" s="72">
        <f>IF(ISERROR(AQ605/AI605),"NA",IF(OR(AQ605/AI605&gt;2,AQ605/AI605&lt;0.5),"NM",AQ605/AI605*100-100))</f>
        <v>-45.220819288122051</v>
      </c>
      <c r="AS605" s="173">
        <f>AS531/AS$533*100</f>
        <v>7.3200992555831261</v>
      </c>
      <c r="AT605" s="72">
        <f>IF(ISERROR(AS605/AK605),"NA",IF(OR(AS605/AK605&gt;2,AS605/AK605&lt;0.5),"NM",AS605/AK605*100-100))</f>
        <v>-23.298090408889848</v>
      </c>
      <c r="AU605" s="173">
        <f>AU531/AU$533*100</f>
        <v>5.7077625570776256</v>
      </c>
      <c r="AV605" s="72">
        <f>IF(ISERROR(AU605/AM605),"NA",IF(OR(AU605/AM605&gt;2,AU605/AM605&lt;0.5),"NM",AU605/AM605*100-100))</f>
        <v>-28.703036129135612</v>
      </c>
      <c r="AW605" s="173">
        <f>AW531/AW$533*100</f>
        <v>4.8936170212765955</v>
      </c>
      <c r="AX605" s="72">
        <f>IF(ISERROR(AW605/AO605),"NA",IF(OR(AW605/AO605&gt;2,AW605/AO605&lt;0.5),"NM",AW605/AO605*100-100))</f>
        <v>-24.203309692671397</v>
      </c>
      <c r="AY605" s="173">
        <f>AY531/AY$533*100</f>
        <v>1.671891327063741</v>
      </c>
      <c r="AZ605" s="72">
        <f>IF(ISERROR(AY605/AQ605),"NA",IF(OR(AY605/AQ605&gt;2,AY605/AQ605&lt;0.5),"NM",AY605/AQ605*100-100))</f>
        <v>-25.158276476734883</v>
      </c>
      <c r="BA605" s="173">
        <f>BA531/BA$533*100</f>
        <v>4.2507970244420834</v>
      </c>
      <c r="BB605" s="72">
        <f>IF(ISERROR(BA605/AS605),"NA",IF(OR(BA605/AS605&gt;2,BA605/AS605&lt;0.5),"NM",BA605/AS605*100-100))</f>
        <v>-41.929789801689502</v>
      </c>
      <c r="BC605" s="173">
        <f>BC531/BC$533*100</f>
        <v>0.42417815482502658</v>
      </c>
      <c r="BD605" s="72" t="str">
        <f>IF(ISERROR(BC605/AU605),"NA",IF(OR(BC605/AU605&gt;2,BC605/AU605&lt;0.5),"NM",BC605/AU605*100-100))</f>
        <v>NM</v>
      </c>
      <c r="BE605" s="173">
        <f>BE531/BE$533*100</f>
        <v>-3.2921810699588478</v>
      </c>
      <c r="BF605" s="72" t="str">
        <f>IF(ISERROR(BE605/AW605),"NA",IF(OR(BE605/AW605&gt;2,BE605/AW605&lt;0.5),"NM",BE605/AW605*100-100))</f>
        <v>NM</v>
      </c>
      <c r="BG605" s="173">
        <f>BG531/BG$533*100</f>
        <v>-1.6577743902439033</v>
      </c>
      <c r="BH605" s="72" t="str">
        <f>IF(ISERROR(BG605/AY605),"NA",IF(OR(BG605/AY605&gt;2,BG605/AY605&lt;0.5),"NM",BG605/AY605*100-100))</f>
        <v>NM</v>
      </c>
      <c r="BI605" s="173">
        <f>BI531/BI$533*100</f>
        <v>-2.4635036496350367</v>
      </c>
      <c r="BJ605" s="72" t="str">
        <f>IF(ISERROR(BI605/BA605),"NA",IF(OR(BI605/BA605&gt;2,BI605/BA605&lt;0.5),"NM",BI605/BA605*100-100))</f>
        <v>NM</v>
      </c>
      <c r="BK605" s="173">
        <f>BK531/BK$533*100</f>
        <v>-1.8320610687022902</v>
      </c>
      <c r="BL605" s="72" t="str">
        <f>IF(ISERROR(BK605/BC605),"NA",IF(OR(BK605/BC605&gt;2,BK605/BC605&lt;0.5),"NM",BK605/BC605*100-100))</f>
        <v>NM</v>
      </c>
      <c r="BM605" s="173">
        <f>BM531/BM$533*100</f>
        <v>-3.9182282793867125</v>
      </c>
      <c r="BN605" s="72">
        <f>IF(ISERROR(BM605/BE605),"NA",IF(OR(BM605/BE605&gt;2,BM605/BE605&lt;0.5),"NM",BM605/BE605*100-100))</f>
        <v>19.016183986371388</v>
      </c>
      <c r="BO605" s="173">
        <f>BO531/BO$533*100</f>
        <v>-5.4140127388535033</v>
      </c>
      <c r="BP605" s="72" t="str">
        <f>IF(ISERROR(BO605/BG605),"NA",IF(OR(BO605/BG605&gt;2,BO605/BG605&lt;0.5),"NM",BO605/BG605*100-100))</f>
        <v>NM</v>
      </c>
      <c r="BQ605" s="173">
        <f>BQ531/BQ$533*100</f>
        <v>-1.8621973929236499</v>
      </c>
      <c r="BR605" s="72">
        <f>IF(ISERROR(BQ605/BI605),"NA",IF(OR(BQ605/BI605&gt;2,BQ605/BI605&lt;0.5),"NM",BQ605/BI605*100-100))</f>
        <v>-24.408579902062215</v>
      </c>
      <c r="BS605" s="173">
        <f>BS531/BS$533*100</f>
        <v>-4.1666666666666661</v>
      </c>
      <c r="BT605" s="72" t="str">
        <f>IF(ISERROR(BS605/BK605),"NA",IF(OR(BS605/BK605&gt;2,BS605/BK605&lt;0.5),"NM",BS605/BK605*100-100))</f>
        <v>NM</v>
      </c>
      <c r="BU605" s="173">
        <f>BU531/BU$533*100</f>
        <v>-38.782608695652179</v>
      </c>
      <c r="BV605" s="72" t="str">
        <f>IF(ISERROR(BU605/BM605),"NA",IF(OR(BU605/BM605&gt;2,BU605/BM605&lt;0.5),"NM",BU605/BM605*100-100))</f>
        <v>NM</v>
      </c>
      <c r="BW605" s="173">
        <f>BW531/BW$533*100</f>
        <v>-34.747145187601959</v>
      </c>
      <c r="BX605" s="72" t="str">
        <f>IF(ISERROR(BW605/BO605),"NA",IF(OR(BW605/BO605&gt;2,BW605/BO605&lt;0.5),"NM",BW605/BO605*100-100))</f>
        <v>NM</v>
      </c>
      <c r="BY605" s="173">
        <f>BY531/BY$533*100</f>
        <v>-24.649859943977592</v>
      </c>
      <c r="BZ605" s="72" t="str">
        <f>IF(ISERROR(BY605/BQ605),"NA",IF(OR(BY605/BQ605&gt;2,BY605/BQ605&lt;0.5),"NM",BY605/BQ605*100-100))</f>
        <v>NM</v>
      </c>
      <c r="CA605" s="173">
        <f>CA531/CA$533*100</f>
        <v>-25.029940119760479</v>
      </c>
      <c r="CB605" s="72" t="str">
        <f>IF(ISERROR(CA605/BS605),"NA",IF(OR(CA605/BS605&gt;2,CA605/BS605&lt;0.5),"NM",CA605/BS605*100-100))</f>
        <v>NM</v>
      </c>
      <c r="CC605" s="173">
        <f>CC531/CC$533*100</f>
        <v>-32.944606413994173</v>
      </c>
      <c r="CD605" s="72">
        <f>IF(ISERROR(CC605/BU605),"NA",IF(OR(CC605/BU605&gt;2,CC605/BU605&lt;0.5),"NM",CC605/BU605*100-100))</f>
        <v>-15.053144896651801</v>
      </c>
      <c r="CE605" s="173">
        <f>CE531/CE$533*100</f>
        <v>-27.873183619550858</v>
      </c>
      <c r="CF605" s="72">
        <f>IF(ISERROR(CE605/BW605),"NA",IF(OR(CE605/BW605&gt;2,CE605/BW605&lt;0.5),"NM",CE605/BW605*100-100))</f>
        <v>-19.782809583170533</v>
      </c>
      <c r="CG605" s="173">
        <f>CG531/CG$533*100</f>
        <v>-23.551171393341551</v>
      </c>
      <c r="CH605" s="72">
        <f>IF(ISERROR(CG605/BY605),"NA",IF(OR(CG605/BY605&gt;2,CG605/BY605&lt;0.5),"NM",CG605/BY605*100-100))</f>
        <v>-4.45717968837576</v>
      </c>
      <c r="CI605" s="173">
        <f>CI531/CI$533*100</f>
        <v>-39.47019867549669</v>
      </c>
      <c r="CJ605" s="72">
        <f>IF(ISERROR(CI605/CA605),"NA",IF(OR(CI605/CA605&gt;2,CI605/CA605&lt;0.5),"NM",CI605/CA605*100-100))</f>
        <v>57.691942076745164</v>
      </c>
      <c r="CK605" s="173">
        <f>CK531/CK$533*100</f>
        <v>-28.555045871559631</v>
      </c>
      <c r="CL605" s="72">
        <f>IF(ISERROR(CK605/CC605),"NA",IF(OR(CK605/CC605&gt;2,CK605/CC605&lt;0.5),"NM",CK605/CC605*100-100))</f>
        <v>-13.32406430137209</v>
      </c>
      <c r="CM605" s="173">
        <f>CM531/CM$533*100</f>
        <v>-28.32473412656628</v>
      </c>
      <c r="CN605" s="72">
        <f>IF(ISERROR(CM605/CE605),"NA",IF(OR(CM605/CE605&gt;2,CM605/CE605&lt;0.5),"NM",CM605/CE605*100-100))</f>
        <v>1.6200176957851937</v>
      </c>
      <c r="CO605" s="173">
        <f>CO531/CO$533*100</f>
        <v>-21.447963800904976</v>
      </c>
      <c r="CP605" s="72">
        <f>IF(ISERROR(CO605/CG605),"NA",IF(OR(CO605/CG605&gt;2,CO605/CG605&lt;0.5),"NM",CO605/CG605*100-100))</f>
        <v>-8.9303735992987612</v>
      </c>
      <c r="CQ605" s="173">
        <f>CQ531/CQ$533*100</f>
        <v>-23.397761953204476</v>
      </c>
      <c r="CR605" s="72">
        <f>IF(ISERROR(CQ605/CI605),"NA",IF(OR(CQ605/CI605&gt;2,CQ605/CI605&lt;0.5),"NM",CQ605/CI605*100-100))</f>
        <v>-40.720435319901412</v>
      </c>
      <c r="CS605" s="173">
        <f>CS531/CS$533*100</f>
        <v>-29.141104294478527</v>
      </c>
      <c r="CT605" s="72">
        <f>IF(ISERROR(CS605/CK605),"NA",IF(OR(CS605/CK605&gt;2,CS605/CK605&lt;0.5),"NM",CS605/CK605*100-100))</f>
        <v>2.0523813043585477</v>
      </c>
      <c r="CU605" s="173">
        <f>CU531/CU$533*100</f>
        <v>-35.129310344827587</v>
      </c>
      <c r="CV605" s="72">
        <f>IF(ISERROR(CU605/CM605),"NA",IF(OR(CU605/CM605&gt;2,CU605/CM605&lt;0.5),"NM",CU605/CM605*100-100))</f>
        <v>24.023442507370873</v>
      </c>
      <c r="CW605" s="173">
        <f>CW531/CW$533*100</f>
        <v>-20.417422867513611</v>
      </c>
      <c r="CX605" s="72">
        <f>IF(ISERROR(CW605/CO605),"NA",IF(OR(CW605/CO605&gt;2,CW605/CO605&lt;0.5),"NM",CW605/CO605*100-100))</f>
        <v>-4.8048427485124847</v>
      </c>
      <c r="CY605" s="173">
        <f>CY531/CY$533*100</f>
        <v>-26.958719460825609</v>
      </c>
      <c r="CZ605" s="72">
        <f>IF(ISERROR(CY605/CQ605),"NA",IF(OR(CY605/CQ605&gt;2,CY605/CQ605&lt;0.5),"NM",CY605/CQ605*100-100))</f>
        <v>15.219222739093794</v>
      </c>
      <c r="DA605" s="173">
        <f>DA531/DA$533*100</f>
        <v>-26.766784452296822</v>
      </c>
      <c r="DB605" s="72">
        <f>IF(ISERROR(DA605/CS605),"NA",IF(OR(DA605/CS605&gt;2,DA605/CS605&lt;0.5),"NM",DA605/CS605*100-100))</f>
        <v>-8.1476659847498496</v>
      </c>
      <c r="DC605" s="173">
        <f>DC531/DC$533*100</f>
        <v>-22.084548104956266</v>
      </c>
      <c r="DD605" s="72">
        <f>IF(ISERROR(DC605/CU605),"NA",IF(OR(DC605/CU605&gt;2,DC605/CU605&lt;0.5),"NM",DC605/CU605*100-100))</f>
        <v>-37.133556314725723</v>
      </c>
      <c r="DE605" s="173">
        <f>DE531/DE$533*100</f>
        <v>-24.142961342086071</v>
      </c>
      <c r="DF605" s="72">
        <f>IF(ISERROR(DE605/CW605),"NA",IF(OR(DE605/CW605&gt;2,DE605/CW605&lt;0.5),"NM",DE605/CW605*100-100))</f>
        <v>18.246859551017124</v>
      </c>
      <c r="DG605" s="173">
        <f>DG531/DG$533*100</f>
        <v>-20.594059405940595</v>
      </c>
      <c r="DH605" s="72">
        <f>IF(ISERROR(DG605/CY605),"NA",IF(OR(DG605/CY605&gt;2,DG605/CY605&lt;0.5),"NM",DG605/CY605*100-100))</f>
        <v>-23.60891089108911</v>
      </c>
      <c r="DI605" s="173">
        <f>DI531/DI$533*100</f>
        <v>-26.951799049558723</v>
      </c>
      <c r="DJ605" s="72">
        <f>IF(ISERROR(DI605/DA605),"NA",IF(OR(DI605/DA605&gt;2,DI605/DA605&lt;0.5),"NM",DI605/DA605*100-100))</f>
        <v>0.69120965049660299</v>
      </c>
      <c r="DK605" s="173">
        <f>DK531/DK$533*100</f>
        <v>-21.163366336633661</v>
      </c>
      <c r="DL605" s="72">
        <f>IF(ISERROR(DK605/DC605),"NA",IF(OR(DK605/DC605&gt;2,DK605/DC605&lt;0.5),"NM",DK605/DC605*100-100))</f>
        <v>-4.1711596902264461</v>
      </c>
      <c r="DM605" s="173">
        <f>DM531/DM$533*100</f>
        <v>-20.856269113149846</v>
      </c>
      <c r="DN605" s="72">
        <f>IF(ISERROR(DM605/DE605),"NA",IF(OR(DM605/DE605&gt;2,DM605/DE605&lt;0.5),"NM",DM605/DE605*100-100))</f>
        <v>-13.613459353086299</v>
      </c>
      <c r="DO605" s="173">
        <f>DO531/DO$533*100</f>
        <v>-20.037570444583594</v>
      </c>
      <c r="DP605" s="72">
        <f>IF(ISERROR(DO605/DG605),"NA",IF(OR(DO605/DG605&gt;2,DO605/DG605&lt;0.5),"NM",DO605/DG605*100-100))</f>
        <v>-2.7021819758200536</v>
      </c>
      <c r="DQ605" s="173">
        <f>DQ531/DQ$533*100</f>
        <v>-21.791443850267381</v>
      </c>
      <c r="DR605" s="72">
        <f>IF(ISERROR(DQ605/DI605),"NA",IF(OR(DQ605/DI605&gt;2,DQ605/DI605&lt;0.5),"NM",DQ605/DI605*100-100))</f>
        <v>-19.146607578227076</v>
      </c>
      <c r="DS605" s="173">
        <f>DS531/DS$533*100</f>
        <v>-15.351941747572814</v>
      </c>
      <c r="DT605" s="72">
        <f>IF(ISERROR(DS605/DK605),"NA",IF(OR(DS605/DK605&gt;2,DS605/DK605&lt;0.5),"NM",DS605/DK605*100-100))</f>
        <v>-27.459830806790436</v>
      </c>
      <c r="DU605" s="173">
        <f>DU531/DU$533*100</f>
        <v>-18.620268620268622</v>
      </c>
      <c r="DV605" s="72">
        <f>IF(ISERROR(DU605/DM605),"NA",IF(OR(DU605/DM605&gt;2,DU605/DM605&lt;0.5),"NM",DU605/DM605*100-100))</f>
        <v>-10.720999430676841</v>
      </c>
      <c r="DW605" s="173">
        <f>DW531/DW$533*100</f>
        <v>-19.909502262443439</v>
      </c>
      <c r="DX605" s="72">
        <f>IF(ISERROR(DW605/DO605),"NA",IF(OR(DW605/DO605&gt;2,DW605/DO605&lt;0.5),"NM",DW605/DO605*100-100))</f>
        <v>-0.63914027149320418</v>
      </c>
      <c r="DY605" s="173">
        <f>DY531/DY$533*100</f>
        <v>-29.697920753236563</v>
      </c>
      <c r="DZ605" s="72">
        <f>IF(ISERROR(DY605/DQ605),"NA",IF(OR(DY605/DQ605&gt;2,DY605/DQ605&lt;0.5),"NM",DY605/DQ605*100-100))</f>
        <v>36.282482965772687</v>
      </c>
      <c r="EA605" s="173">
        <f>EA531/EA$533*100</f>
        <v>-21.925509486999299</v>
      </c>
      <c r="EB605" s="72">
        <f>IF(ISERROR(EA605/DS605),"NA",IF(OR(EA605/DS605&gt;2,EA605/DS605&lt;0.5),"NM",EA605/DS605*100-100))</f>
        <v>42.819128990414413</v>
      </c>
      <c r="EC605" s="173">
        <f>EC531/EC$533*100</f>
        <v>-25.201072386058982</v>
      </c>
      <c r="ED605" s="72">
        <f>IF(ISERROR(EC605/DU605),"NA",IF(OR(EC605/DU605&gt;2,EC605/DU605&lt;0.5),"NM",EC605/DU605*100-100))</f>
        <v>35.342152683162652</v>
      </c>
      <c r="EE605" s="173">
        <f>EE531/EE$533*100</f>
        <v>-28.423950447350311</v>
      </c>
      <c r="EF605" s="72">
        <f>IF(ISERROR(EE605/DW605),"NA",IF(OR(EE605/DW605&gt;2,EE605/DW605&lt;0.5),"NM",EE605/DW605*100-100))</f>
        <v>42.765751110554959</v>
      </c>
      <c r="EG605" s="173">
        <f>EG531/EG$533*100</f>
        <v>-30.646282140375259</v>
      </c>
      <c r="EH605" s="72">
        <f>IF(ISERROR(EG605/DY605),"NA",IF(OR(EG605/DY605&gt;2,EG605/DY605&lt;0.5),"NM",EG605/DY605*100-100))</f>
        <v>3.1933595453322852</v>
      </c>
      <c r="EI605" s="173">
        <f>EI531/EI$533*100</f>
        <v>-21.462105969148222</v>
      </c>
      <c r="EJ605" s="72">
        <f>IF(ISERROR(EI605/EA605),"NA",IF(OR(EI605/EA605&gt;2,EI605/EA605&lt;0.5),"NM",EI605/EA605*100-100))</f>
        <v>-2.1135359163528307</v>
      </c>
      <c r="EK605" s="173">
        <f>EK531/EK$533*100</f>
        <v>-17.149220489977729</v>
      </c>
      <c r="EL605" s="72">
        <f>IF(ISERROR(EK605/EC605),"NA",IF(OR(EK605/EC605&gt;2,EK605/EC605&lt;0.5),"NM",EK605/EC605*100-100))</f>
        <v>-31.950433587641569</v>
      </c>
      <c r="EM605" s="173">
        <f>EM531/EM$533*100</f>
        <v>-17.857142857142858</v>
      </c>
      <c r="EN605" s="72">
        <f>IF(ISERROR(EM605/EE605),"NA",IF(OR(EM605/EE605&gt;2,EM605/EE605&lt;0.5),"NM",EM605/EE605*100-100))</f>
        <v>-37.175717744725013</v>
      </c>
      <c r="EO605" s="173">
        <f>EO531/EO$533*100</f>
        <v>-28.762755102040817</v>
      </c>
      <c r="EP605" s="72">
        <f>IF(ISERROR(EO605/EG605),"NA",IF(OR(EO605/EG605&gt;2,EO605/EG605&lt;0.5),"NM",EO605/EG605*100-100))</f>
        <v>-6.1460213337035441</v>
      </c>
      <c r="EQ605" s="173">
        <f>EQ531/EQ$533*100</f>
        <v>-20.991975575883284</v>
      </c>
      <c r="ER605" s="72">
        <f t="shared" ref="ER605" si="2883">IF(ISERROR(EQ605/EI605),"NA",IF(OR(EQ605/EI605&gt;2,EQ605/EI605&lt;0.5),"NM",EQ605/EI605*100-100))</f>
        <v>-2.1905138011188257</v>
      </c>
      <c r="ES605" s="173">
        <f>ES531/ES$533*100</f>
        <v>-19.718080291119513</v>
      </c>
      <c r="ET605" s="72">
        <f t="shared" ref="ET605" si="2884">IF(ISERROR(ES605/EK605),"NA",IF(OR(ES605/EK605&gt;2,ES605/EK605&lt;0.5),"NM",ES605/EK605*100-100))</f>
        <v>14.979455204060514</v>
      </c>
      <c r="EU605" s="173">
        <f>EU531/EU$533*100</f>
        <v>-18.769179988887227</v>
      </c>
      <c r="EV605" s="72">
        <f t="shared" ref="EV605" si="2885">IF(ISERROR(EU605/EM605),"NA",IF(OR(EU605/EM605&gt;2,EU605/EM605&lt;0.5),"NM",EU605/EM605*100-100))</f>
        <v>5.1074079377684711</v>
      </c>
      <c r="EW605" s="173">
        <f>EW531/EW$533*100</f>
        <v>-27.959469958921364</v>
      </c>
      <c r="EX605" s="72">
        <f t="shared" ref="EX605" si="2886">IF(ISERROR(EW605/EO605),"NA",IF(OR(EW605/EO605&gt;2,EW605/EO605&lt;0.5),"NM",EW605/EO605*100-100))</f>
        <v>-2.792796240379829</v>
      </c>
      <c r="EY605" s="72"/>
      <c r="EZ605" s="332"/>
      <c r="FA605" s="72"/>
      <c r="FB605" s="173"/>
      <c r="FC605" s="166"/>
      <c r="FD605" s="180">
        <f>FD531/FD$533*100</f>
        <v>15.301902398676592</v>
      </c>
      <c r="FE605" s="72" t="str">
        <f>IF(ISERROR(FD605/FB605),"NA",IF(OR(FD605/FB605&gt;2,FD605/FB605&lt;0.5),"NM",FD605/FB605*100-100))</f>
        <v>NA</v>
      </c>
      <c r="FF605" s="180">
        <f>FF531/FF$533*100</f>
        <v>3.1147540983606561</v>
      </c>
      <c r="FG605" s="72" t="str">
        <f>IF(ISERROR(FF605/FD605),"NA",IF(OR(FF605/FD605&gt;2,FF605/FD605&lt;0.5),"NM",FF605/FD605*100-100))</f>
        <v>NM</v>
      </c>
      <c r="FH605" s="180">
        <f>FH531/FH$533*100</f>
        <v>4.2263122017723243</v>
      </c>
      <c r="FI605" s="72">
        <f>IF(ISERROR(FH605/FF605),"NA",IF(OR(FH605/FF605&gt;2,FH605/FF605&lt;0.5),"NM",FH605/FF605*100-100))</f>
        <v>35.686865425321969</v>
      </c>
      <c r="FJ605" s="180">
        <f>FJ531/FJ$533*100</f>
        <v>8.9435438792621564</v>
      </c>
      <c r="FK605" s="72" t="str">
        <f>IF(ISERROR(FJ605/FH605),"NA",IF(OR(FJ605/FH605&gt;2,FJ605/FH605&lt;0.5),"NM",FJ605/FH605*100-100))</f>
        <v>NM</v>
      </c>
      <c r="FL605" s="180">
        <f>FL531/FL$533*100</f>
        <v>4.3374642516682558</v>
      </c>
      <c r="FM605" s="72" t="str">
        <f>IF(ISERROR(FL605/FJ605),"NA",IF(OR(FL605/FJ605&gt;2,FL605/FJ605&lt;0.5),"NM",FL605/FJ605*100-100))</f>
        <v>NM</v>
      </c>
      <c r="FN605" s="180">
        <f>FN531/FN$533*100</f>
        <v>7.1851851851851851</v>
      </c>
      <c r="FO605" s="72">
        <f>IF(ISERROR(FN605/FL605),"NA",IF(OR(FN605/FL605&gt;2,FN605/FL605&lt;0.5),"NM",FN605/FL605*100-100))</f>
        <v>65.654049654049629</v>
      </c>
      <c r="FP605" s="180">
        <f>FP531/FP$533*100</f>
        <v>5.0573360776242282</v>
      </c>
      <c r="FQ605" s="72">
        <f>IF(ISERROR(FP605/FN605),"NA",IF(OR(FP605/FN605&gt;2,FP605/FN605&lt;0.5),"NM",FP605/FN605*100-100))</f>
        <v>-29.614394795951455</v>
      </c>
      <c r="FR605" s="180">
        <f>FR531/FR$533*100</f>
        <v>0.7378129117259552</v>
      </c>
      <c r="FS605" s="72" t="str">
        <f>IF(ISERROR(FR605/FP605),"NA",IF(OR(FR605/FP605&gt;2,FR605/FP605&lt;0.5),"NM",FR605/FP605*100-100))</f>
        <v>NM</v>
      </c>
      <c r="FT605" s="180">
        <f>FT531/FT$533*100</f>
        <v>-2.4844720496894404</v>
      </c>
      <c r="FU605" s="72" t="str">
        <f>IF(ISERROR(FT605/FR605),"NA",IF(OR(FT605/FR605&gt;2,FT605/FR605&lt;0.5),"NM",FT605/FR605*100-100))</f>
        <v>NM</v>
      </c>
      <c r="FV605" s="180">
        <f>FV531/FV$533*100</f>
        <v>-5.6034482758620694</v>
      </c>
      <c r="FW605" s="72" t="str">
        <f>IF(ISERROR(FV605/FT605),"NA",IF(OR(FV605/FT605&gt;2,FV605/FT605&lt;0.5),"NM",FV605/FT605*100-100))</f>
        <v>NM</v>
      </c>
      <c r="FX605" s="180">
        <f>FX531/FX$533*100</f>
        <v>-30.841487279843445</v>
      </c>
      <c r="FY605" s="72" t="str">
        <f>IF(ISERROR(FX605/FV605),"NA",IF(OR(FX605/FV605&gt;2,FX605/FV605&lt;0.5),"NM",FX605/FV605*100-100))</f>
        <v>NM</v>
      </c>
      <c r="FZ605" s="180">
        <f>FZ531/FZ$533*100</f>
        <v>-29.702660406885762</v>
      </c>
      <c r="GA605" s="72">
        <f>IF(ISERROR(FZ605/FX605),"NA",IF(OR(FZ605/FX605&gt;2,FZ605/FX605&lt;0.5),"NM",FZ605/FX605*100-100))</f>
        <v>-3.6925160665061867</v>
      </c>
      <c r="GB605" s="180">
        <f>GB531/GB$533*100</f>
        <v>-25.425206066190203</v>
      </c>
      <c r="GC605" s="72">
        <f>IF(ISERROR(GB605/FZ605),"NA",IF(OR(GB605/FZ605&gt;2,GB605/FZ605&lt;0.5),"NM",GB605/FZ605*100-100))</f>
        <v>-14.400913191277468</v>
      </c>
      <c r="GD605" s="180">
        <f>GD531/GD$533*100</f>
        <v>-26.994711427914464</v>
      </c>
      <c r="GE605" s="72">
        <f>IF(ISERROR(GD605/GB605),"NA",IF(OR(GD605/GB605&gt;2,GD605/GB605&lt;0.5),"NM",GD605/GB605*100-100))</f>
        <v>6.1730290705936568</v>
      </c>
      <c r="GF605" s="180">
        <f>GF531/GF$533*100</f>
        <v>-23.433955679637062</v>
      </c>
      <c r="GG605" s="72">
        <f>IF(ISERROR(GF605/GD605),"NA",IF(OR(GF605/GD605&gt;2,GF605/GD605&lt;0.5),"NM",GF605/GD605*100-100))</f>
        <v>-13.190567929521649</v>
      </c>
      <c r="GH605" s="180">
        <f>GH531/GH$533*100</f>
        <v>-20.948928121059268</v>
      </c>
      <c r="GI605" s="72">
        <f t="shared" ref="GI605:GU605" si="2887">IF(ISERROR(GH605/GF605),"NA",IF(OR(GH605/GF605&gt;2,GH605/GF605&lt;0.5),"NM",GH605/GF605*100-100))</f>
        <v>-10.604387891444034</v>
      </c>
      <c r="GJ605" s="180">
        <f>GJ531/GJ$533*100</f>
        <v>-20.376586164551782</v>
      </c>
      <c r="GK605" s="72">
        <f t="shared" si="2887"/>
        <v>-2.7320822965263289</v>
      </c>
      <c r="GL605" s="180">
        <f>GL531/GL$533*100</f>
        <v>-26.554158773893576</v>
      </c>
      <c r="GM605" s="72">
        <f t="shared" si="2887"/>
        <v>30.317014633631999</v>
      </c>
      <c r="GN605" s="180">
        <f>GN531/GN$533*100</f>
        <v>-21.082773252622363</v>
      </c>
      <c r="GO605" s="72">
        <f t="shared" si="2887"/>
        <v>-20.604627575889708</v>
      </c>
      <c r="GP605" s="180">
        <f>GP531/GP$533*100</f>
        <v>-21.699732857617963</v>
      </c>
      <c r="GQ605" s="72">
        <f t="shared" si="2887"/>
        <v>2.9263683558274636</v>
      </c>
      <c r="GR605" s="173">
        <f>GR531/GR$533*100</f>
        <v>-22.18956075950965</v>
      </c>
      <c r="GS605" s="72">
        <f t="shared" si="2887"/>
        <v>2.2572992262424521</v>
      </c>
      <c r="GT605" s="173">
        <f>GT531/GT$533*100</f>
        <v>-22.620308753493802</v>
      </c>
      <c r="GU605" s="72">
        <f t="shared" si="2887"/>
        <v>1.9412191104303247</v>
      </c>
      <c r="GV605" s="173">
        <f>GV531/GV$533*100</f>
        <v>-23.035167879338577</v>
      </c>
      <c r="GW605" s="72">
        <f>IF(ISERROR(GV605/GT605),"NA",IF(OR(GV605/GT605&gt;2,GV605/GT605&lt;0.5),"NM",GV605/GT605*100-100))</f>
        <v>1.8340117739582098</v>
      </c>
      <c r="GX605" s="173">
        <f>GX531/GX$533*100</f>
        <v>-23.51773472407633</v>
      </c>
      <c r="GY605" s="72">
        <f>IF(ISERROR(GX605/GV605),"NA",IF(OR(GX605/GV605&gt;2,GX605/GV605&lt;0.5),"NM",GX605/GV605*100-100))</f>
        <v>2.0949135133961505</v>
      </c>
      <c r="GZ605" s="72">
        <f>IF(ISERROR(((GX605/GN605)^0.2-1)*100),"NA",IF((((GX605/GN605)^0.2-1)*100)&gt;100,"NM",IF((((GX605/GN605)^0.2-1)*100)&lt;-50,"NM",((GX605/GN605)^0.2-1)*100)))</f>
        <v>2.2100380299375555</v>
      </c>
      <c r="HA605" s="72"/>
      <c r="HB605" s="72"/>
      <c r="HC605"/>
      <c r="HD605"/>
      <c r="HE605"/>
      <c r="HF605"/>
      <c r="HG605"/>
      <c r="HH605"/>
      <c r="HI605" s="2"/>
    </row>
    <row r="606" spans="1:217" s="3" customFormat="1" ht="12.75" customHeight="1" x14ac:dyDescent="0.2">
      <c r="B606" s="10"/>
      <c r="C606" s="16"/>
      <c r="D606" s="11"/>
      <c r="E606" s="16"/>
      <c r="F606" s="11"/>
      <c r="G606" s="16"/>
      <c r="H606" s="11"/>
      <c r="I606" s="16"/>
      <c r="J606" s="11"/>
      <c r="K606" s="16"/>
      <c r="L606" s="72"/>
      <c r="M606" s="16"/>
      <c r="N606" s="72"/>
      <c r="O606" s="16"/>
      <c r="P606" s="72"/>
      <c r="Q606" s="16"/>
      <c r="R606" s="72"/>
      <c r="S606" s="16"/>
      <c r="T606" s="72"/>
      <c r="U606" s="16"/>
      <c r="V606" s="72"/>
      <c r="W606" s="16"/>
      <c r="X606" s="72"/>
      <c r="Y606" s="16"/>
      <c r="Z606" s="72"/>
      <c r="AA606" s="16"/>
      <c r="AB606" s="72"/>
      <c r="AC606" s="16"/>
      <c r="AD606" s="72"/>
      <c r="AE606" s="16"/>
      <c r="AF606" s="72"/>
      <c r="AG606" s="16"/>
      <c r="AH606" s="72"/>
      <c r="AI606" s="16"/>
      <c r="AJ606" s="72"/>
      <c r="AK606" s="16"/>
      <c r="AL606" s="72"/>
      <c r="AM606" s="16"/>
      <c r="AN606" s="72"/>
      <c r="AO606" s="16"/>
      <c r="AP606" s="72"/>
      <c r="AQ606" s="16"/>
      <c r="AR606" s="72"/>
      <c r="AS606" s="16"/>
      <c r="AT606" s="72"/>
      <c r="AU606" s="16"/>
      <c r="AV606" s="72"/>
      <c r="AW606" s="16"/>
      <c r="AX606" s="72"/>
      <c r="AY606" s="16"/>
      <c r="AZ606" s="72"/>
      <c r="BA606" s="16"/>
      <c r="BB606" s="72"/>
      <c r="BC606" s="16"/>
      <c r="BD606" s="72"/>
      <c r="BE606" s="16"/>
      <c r="BF606" s="72"/>
      <c r="BG606" s="16"/>
      <c r="BH606" s="72"/>
      <c r="BI606" s="16"/>
      <c r="BJ606" s="72"/>
      <c r="BK606" s="16"/>
      <c r="BL606" s="72"/>
      <c r="BM606" s="16"/>
      <c r="BN606" s="72"/>
      <c r="BO606" s="16"/>
      <c r="BP606" s="72"/>
      <c r="BQ606" s="16"/>
      <c r="BR606" s="72"/>
      <c r="BS606" s="16"/>
      <c r="BT606" s="72"/>
      <c r="BU606" s="16"/>
      <c r="BV606" s="72"/>
      <c r="BW606" s="16"/>
      <c r="BX606" s="72"/>
      <c r="BY606" s="16"/>
      <c r="BZ606" s="72"/>
      <c r="CA606" s="16"/>
      <c r="CB606" s="72"/>
      <c r="CC606" s="16"/>
      <c r="CD606" s="72"/>
      <c r="CE606" s="16"/>
      <c r="CF606" s="72"/>
      <c r="CG606" s="16"/>
      <c r="CH606" s="72"/>
      <c r="CI606" s="16"/>
      <c r="CJ606" s="72"/>
      <c r="CK606" s="16"/>
      <c r="CL606" s="72"/>
      <c r="CM606" s="16"/>
      <c r="CN606" s="72"/>
      <c r="CO606" s="16"/>
      <c r="CP606" s="72"/>
      <c r="CQ606" s="16"/>
      <c r="CR606" s="72"/>
      <c r="CS606" s="16"/>
      <c r="CT606" s="72"/>
      <c r="CU606" s="16"/>
      <c r="CV606" s="72"/>
      <c r="CW606" s="16"/>
      <c r="CX606" s="72"/>
      <c r="CY606" s="16"/>
      <c r="CZ606" s="72"/>
      <c r="DA606" s="16"/>
      <c r="DB606" s="72"/>
      <c r="DC606" s="16"/>
      <c r="DD606" s="72"/>
      <c r="DE606" s="16"/>
      <c r="DF606" s="72"/>
      <c r="DG606" s="16"/>
      <c r="DH606" s="72"/>
      <c r="DI606" s="16"/>
      <c r="DJ606" s="72"/>
      <c r="DK606" s="16"/>
      <c r="DL606" s="72"/>
      <c r="DM606" s="16"/>
      <c r="DN606" s="72"/>
      <c r="DO606" s="16"/>
      <c r="DP606" s="72"/>
      <c r="DQ606" s="16"/>
      <c r="DR606" s="72"/>
      <c r="DS606" s="16"/>
      <c r="DT606" s="72"/>
      <c r="DU606" s="16"/>
      <c r="DV606" s="72"/>
      <c r="DW606" s="16"/>
      <c r="DX606" s="72"/>
      <c r="DY606" s="16"/>
      <c r="DZ606" s="72"/>
      <c r="EA606" s="16"/>
      <c r="EB606" s="72"/>
      <c r="EC606" s="16"/>
      <c r="ED606" s="72"/>
      <c r="EE606" s="16"/>
      <c r="EF606" s="72"/>
      <c r="EG606" s="16"/>
      <c r="EH606" s="72"/>
      <c r="EI606" s="16"/>
      <c r="EJ606" s="72"/>
      <c r="EK606" s="16"/>
      <c r="EL606" s="72"/>
      <c r="EM606" s="16"/>
      <c r="EN606" s="72"/>
      <c r="EO606" s="16"/>
      <c r="EP606" s="72"/>
      <c r="EQ606" s="16"/>
      <c r="ER606" s="72"/>
      <c r="ES606" s="16"/>
      <c r="ET606" s="72"/>
      <c r="EU606" s="16"/>
      <c r="EV606" s="72"/>
      <c r="EW606" s="16"/>
      <c r="EX606" s="72"/>
      <c r="EY606" s="72"/>
      <c r="EZ606" s="296"/>
      <c r="FA606" s="72"/>
      <c r="FB606" s="16"/>
      <c r="FC606" s="11"/>
      <c r="FD606" s="9"/>
      <c r="FE606" s="72"/>
      <c r="FF606" s="9"/>
      <c r="FG606" s="72"/>
      <c r="FH606" s="9"/>
      <c r="FI606" s="72"/>
      <c r="FJ606" s="9"/>
      <c r="FK606" s="72"/>
      <c r="FL606" s="9"/>
      <c r="FM606" s="72"/>
      <c r="FN606" s="9"/>
      <c r="FO606" s="72"/>
      <c r="FP606" s="9"/>
      <c r="FQ606" s="72"/>
      <c r="FR606" s="9"/>
      <c r="FS606" s="72"/>
      <c r="FT606" s="9"/>
      <c r="FU606" s="72"/>
      <c r="FV606" s="9"/>
      <c r="FW606" s="72"/>
      <c r="FX606" s="9"/>
      <c r="FY606" s="72"/>
      <c r="FZ606" s="9"/>
      <c r="GA606" s="72"/>
      <c r="GB606" s="9"/>
      <c r="GC606" s="72"/>
      <c r="GD606" s="9"/>
      <c r="GE606" s="72"/>
      <c r="GF606" s="9"/>
      <c r="GG606" s="72"/>
      <c r="GH606" s="9"/>
      <c r="GI606" s="72"/>
      <c r="GJ606" s="9"/>
      <c r="GK606" s="72"/>
      <c r="GL606" s="9"/>
      <c r="GM606" s="72"/>
      <c r="GN606" s="9"/>
      <c r="GO606" s="72"/>
      <c r="GP606" s="9"/>
      <c r="GQ606" s="72"/>
      <c r="GR606" s="16"/>
      <c r="GS606" s="72"/>
      <c r="GT606" s="16"/>
      <c r="GU606" s="72"/>
      <c r="GV606" s="16"/>
      <c r="GW606" s="72"/>
      <c r="GX606" s="16"/>
      <c r="GY606" s="72"/>
      <c r="GZ606" s="72"/>
      <c r="HA606" s="72"/>
      <c r="HB606" s="72"/>
      <c r="HC606"/>
      <c r="HD606"/>
      <c r="HE606"/>
      <c r="HF606"/>
      <c r="HG606"/>
      <c r="HH606"/>
      <c r="HI606" s="2"/>
    </row>
    <row r="607" spans="1:217" s="3" customFormat="1" ht="12.75" customHeight="1" x14ac:dyDescent="0.2">
      <c r="B607" s="10" t="s">
        <v>130</v>
      </c>
      <c r="C607" s="145"/>
      <c r="D607" s="11"/>
      <c r="E607" s="145"/>
      <c r="F607" s="11"/>
      <c r="G607" s="145"/>
      <c r="H607" s="11"/>
      <c r="I607" s="145"/>
      <c r="J607" s="11"/>
      <c r="K607" s="145">
        <f>+K598+K603+K605+K596+K592</f>
        <v>100</v>
      </c>
      <c r="L607" s="72" t="str">
        <f>IF(ISERROR(K607/C607),"NA",IF(OR(K607/C607&gt;2,K607/C607&lt;0.5),"NM",K607/C607*100-100))</f>
        <v>NA</v>
      </c>
      <c r="M607" s="145">
        <f>+M598+M603+M605+M596+M592</f>
        <v>100</v>
      </c>
      <c r="N607" s="72" t="str">
        <f>IF(ISERROR(M607/E607),"NA",IF(OR(M607/E607&gt;2,M607/E607&lt;0.5),"NM",M607/E607*100-100))</f>
        <v>NA</v>
      </c>
      <c r="O607" s="145">
        <f>+O598+O603+O605+O596+O592</f>
        <v>99.999999999999972</v>
      </c>
      <c r="P607" s="72" t="str">
        <f>IF(ISERROR(O607/G607),"NA",IF(OR(O607/G607&gt;2,O607/G607&lt;0.5),"NM",O607/G607*100-100))</f>
        <v>NA</v>
      </c>
      <c r="Q607" s="145">
        <f>+Q598+Q603+Q605+Q596+Q592</f>
        <v>100.00000000000001</v>
      </c>
      <c r="R607" s="72" t="str">
        <f>IF(ISERROR(Q607/I607),"NA",IF(OR(Q607/I607&gt;2,Q607/I607&lt;0.5),"NM",Q607/I607*100-100))</f>
        <v>NA</v>
      </c>
      <c r="S607" s="145">
        <f>+S598+S603+S605+S596+S592</f>
        <v>100</v>
      </c>
      <c r="T607" s="72">
        <f>IF(ISERROR(S607/K607),"NA",IF(OR(S607/K607&gt;2,S607/K607&lt;0.5),"NM",S607/K607*100-100))</f>
        <v>0</v>
      </c>
      <c r="U607" s="145">
        <f>+U598+U603+U605+U596+U592</f>
        <v>100</v>
      </c>
      <c r="V607" s="72">
        <f>IF(ISERROR(U607/M607),"NA",IF(OR(U607/M607&gt;2,U607/M607&lt;0.5),"NM",U607/M607*100-100))</f>
        <v>0</v>
      </c>
      <c r="W607" s="145">
        <f>+W598+W603+W605+W596+W592</f>
        <v>100</v>
      </c>
      <c r="X607" s="72">
        <f>IF(ISERROR(W607/O607),"NA",IF(OR(W607/O607&gt;2,W607/O607&lt;0.5),"NM",W607/O607*100-100))</f>
        <v>2.8421709430404007E-14</v>
      </c>
      <c r="Y607" s="145">
        <f>+Y598+Y603+Y605+Y596+Y592</f>
        <v>100</v>
      </c>
      <c r="Z607" s="72">
        <f>IF(ISERROR(Y607/Q607),"NA",IF(OR(Y607/Q607&gt;2,Y607/Q607&lt;0.5),"NM",Y607/Q607*100-100))</f>
        <v>-1.4210854715202004E-14</v>
      </c>
      <c r="AA607" s="145">
        <f>+AA598+AA603+AA605+AA596+AA592</f>
        <v>100</v>
      </c>
      <c r="AB607" s="72">
        <f>IF(ISERROR(AA607/S607),"NA",IF(OR(AA607/S607&gt;2,AA607/S607&lt;0.5),"NM",AA607/S607*100-100))</f>
        <v>0</v>
      </c>
      <c r="AC607" s="145">
        <f>+AC598+AC603+AC605+AC596+AC592</f>
        <v>100</v>
      </c>
      <c r="AD607" s="72">
        <f>IF(ISERROR(AC607/U607),"NA",IF(OR(AC607/U607&gt;2,AC607/U607&lt;0.5),"NM",AC607/U607*100-100))</f>
        <v>0</v>
      </c>
      <c r="AE607" s="145">
        <f>+AE598+AE603+AE605+AE596+AE592</f>
        <v>100</v>
      </c>
      <c r="AF607" s="72">
        <f>IF(ISERROR(AE607/W607),"NA",IF(OR(AE607/W607&gt;2,AE607/W607&lt;0.5),"NM",AE607/W607*100-100))</f>
        <v>0</v>
      </c>
      <c r="AG607" s="145">
        <f>+AG598+AG603+AG605+AG596+AG592</f>
        <v>100</v>
      </c>
      <c r="AH607" s="72">
        <f>IF(ISERROR(AG607/Y607),"NA",IF(OR(AG607/Y607&gt;2,AG607/Y607&lt;0.5),"NM",AG607/Y607*100-100))</f>
        <v>0</v>
      </c>
      <c r="AI607" s="145">
        <f>+AI598+AI603+AI605+AI596+AI592</f>
        <v>100</v>
      </c>
      <c r="AJ607" s="72">
        <f>IF(ISERROR(AI607/AA607),"NA",IF(OR(AI607/AA607&gt;2,AI607/AA607&lt;0.5),"NM",AI607/AA607*100-100))</f>
        <v>0</v>
      </c>
      <c r="AK607" s="145">
        <f>+AK598+AK603+AK605+AK596+AK592</f>
        <v>100</v>
      </c>
      <c r="AL607" s="72">
        <f>IF(ISERROR(AK607/AC607),"NA",IF(OR(AK607/AC607&gt;2,AK607/AC607&lt;0.5),"NM",AK607/AC607*100-100))</f>
        <v>0</v>
      </c>
      <c r="AM607" s="145">
        <f>+AM598+AM603+AM605+AM596+AM592</f>
        <v>100</v>
      </c>
      <c r="AN607" s="72">
        <f>IF(ISERROR(AM607/AE607),"NA",IF(OR(AM607/AE607&gt;2,AM607/AE607&lt;0.5),"NM",AM607/AE607*100-100))</f>
        <v>0</v>
      </c>
      <c r="AO607" s="145">
        <f>+AO598+AO603+AO605+AO596+AO592</f>
        <v>99.999999999999986</v>
      </c>
      <c r="AP607" s="72">
        <f>IF(ISERROR(AO607/AG607),"NA",IF(OR(AO607/AG607&gt;2,AO607/AG607&lt;0.5),"NM",AO607/AG607*100-100))</f>
        <v>-1.4210854715202004E-14</v>
      </c>
      <c r="AQ607" s="145">
        <f>+AQ598+AQ603+AQ605+AQ596+AQ592</f>
        <v>100</v>
      </c>
      <c r="AR607" s="72">
        <f>IF(ISERROR(AQ607/AI607),"NA",IF(OR(AQ607/AI607&gt;2,AQ607/AI607&lt;0.5),"NM",AQ607/AI607*100-100))</f>
        <v>0</v>
      </c>
      <c r="AS607" s="145">
        <f>+AS598+AS603+AS605+AS596+AS592</f>
        <v>100</v>
      </c>
      <c r="AT607" s="72">
        <f>IF(ISERROR(AS607/AK607),"NA",IF(OR(AS607/AK607&gt;2,AS607/AK607&lt;0.5),"NM",AS607/AK607*100-100))</f>
        <v>0</v>
      </c>
      <c r="AU607" s="145">
        <f>+AU598+AU603+AU605+AU596+AU592</f>
        <v>100.00000000000001</v>
      </c>
      <c r="AV607" s="72">
        <f>IF(ISERROR(AU607/AM607),"NA",IF(OR(AU607/AM607&gt;2,AU607/AM607&lt;0.5),"NM",AU607/AM607*100-100))</f>
        <v>2.8421709430404007E-14</v>
      </c>
      <c r="AW607" s="145">
        <f>+AW598+AW603+AW605+AW596+AW592</f>
        <v>100</v>
      </c>
      <c r="AX607" s="72">
        <f>IF(ISERROR(AW607/AO607),"NA",IF(OR(AW607/AO607&gt;2,AW607/AO607&lt;0.5),"NM",AW607/AO607*100-100))</f>
        <v>2.8421709430404007E-14</v>
      </c>
      <c r="AY607" s="145">
        <f>+AY598+AY603+AY605+AY596+AY592</f>
        <v>100</v>
      </c>
      <c r="AZ607" s="72">
        <f>IF(ISERROR(AY607/AQ607),"NA",IF(OR(AY607/AQ607&gt;2,AY607/AQ607&lt;0.5),"NM",AY607/AQ607*100-100))</f>
        <v>0</v>
      </c>
      <c r="BA607" s="145">
        <f>+BA598+BA603+BA605+BA596+BA592</f>
        <v>100</v>
      </c>
      <c r="BB607" s="72">
        <f>IF(ISERROR(BA607/AS607),"NA",IF(OR(BA607/AS607&gt;2,BA607/AS607&lt;0.5),"NM",BA607/AS607*100-100))</f>
        <v>0</v>
      </c>
      <c r="BC607" s="145">
        <f>+BC598+BC603+BC605+BC596+BC592</f>
        <v>100</v>
      </c>
      <c r="BD607" s="72">
        <f>IF(ISERROR(BC607/AU607),"NA",IF(OR(BC607/AU607&gt;2,BC607/AU607&lt;0.5),"NM",BC607/AU607*100-100))</f>
        <v>-1.4210854715202004E-14</v>
      </c>
      <c r="BE607" s="145">
        <f>+BE598+BE603+BE605+BE596+BE592</f>
        <v>100</v>
      </c>
      <c r="BF607" s="72">
        <f>IF(ISERROR(BE607/AW607),"NA",IF(OR(BE607/AW607&gt;2,BE607/AW607&lt;0.5),"NM",BE607/AW607*100-100))</f>
        <v>0</v>
      </c>
      <c r="BG607" s="145">
        <f>+BG598+BG603+BG605+BG596+BG592</f>
        <v>100</v>
      </c>
      <c r="BH607" s="72">
        <f>IF(ISERROR(BG607/AY607),"NA",IF(OR(BG607/AY607&gt;2,BG607/AY607&lt;0.5),"NM",BG607/AY607*100-100))</f>
        <v>0</v>
      </c>
      <c r="BI607" s="145">
        <f>+BI598+BI603+BI605+BI596+BI592</f>
        <v>100</v>
      </c>
      <c r="BJ607" s="72">
        <f>IF(ISERROR(BI607/BA607),"NA",IF(OR(BI607/BA607&gt;2,BI607/BA607&lt;0.5),"NM",BI607/BA607*100-100))</f>
        <v>0</v>
      </c>
      <c r="BK607" s="145">
        <f>+BK598+BK603+BK605+BK596+BK592</f>
        <v>100</v>
      </c>
      <c r="BL607" s="72">
        <f>IF(ISERROR(BK607/BC607),"NA",IF(OR(BK607/BC607&gt;2,BK607/BC607&lt;0.5),"NM",BK607/BC607*100-100))</f>
        <v>0</v>
      </c>
      <c r="BM607" s="145">
        <f>+BM598+BM603+BM605+BM596+BM592</f>
        <v>100</v>
      </c>
      <c r="BN607" s="72">
        <f>IF(ISERROR(BM607/BE607),"NA",IF(OR(BM607/BE607&gt;2,BM607/BE607&lt;0.5),"NM",BM607/BE607*100-100))</f>
        <v>0</v>
      </c>
      <c r="BO607" s="145">
        <f>+BO598+BO603+BO605+BO596+BO592</f>
        <v>100</v>
      </c>
      <c r="BP607" s="72">
        <f>IF(ISERROR(BO607/BG607),"NA",IF(OR(BO607/BG607&gt;2,BO607/BG607&lt;0.5),"NM",BO607/BG607*100-100))</f>
        <v>0</v>
      </c>
      <c r="BQ607" s="145">
        <f>+BQ598+BQ603+BQ605+BQ596+BQ592</f>
        <v>100</v>
      </c>
      <c r="BR607" s="72">
        <f>IF(ISERROR(BQ607/BI607),"NA",IF(OR(BQ607/BI607&gt;2,BQ607/BI607&lt;0.5),"NM",BQ607/BI607*100-100))</f>
        <v>0</v>
      </c>
      <c r="BS607" s="145">
        <f>+BS598+BS603+BS605+BS596+BS592</f>
        <v>100</v>
      </c>
      <c r="BT607" s="72">
        <f>IF(ISERROR(BS607/BK607),"NA",IF(OR(BS607/BK607&gt;2,BS607/BK607&lt;0.5),"NM",BS607/BK607*100-100))</f>
        <v>0</v>
      </c>
      <c r="BU607" s="145">
        <f>+BU598+BU603+BU605+BU596+BU592</f>
        <v>100</v>
      </c>
      <c r="BV607" s="72">
        <f>IF(ISERROR(BU607/BM607),"NA",IF(OR(BU607/BM607&gt;2,BU607/BM607&lt;0.5),"NM",BU607/BM607*100-100))</f>
        <v>0</v>
      </c>
      <c r="BW607" s="145">
        <f>+BW598+BW603+BW605+BW596+BW592</f>
        <v>99.999999999999986</v>
      </c>
      <c r="BX607" s="72">
        <f>IF(ISERROR(BW607/BO607),"NA",IF(OR(BW607/BO607&gt;2,BW607/BO607&lt;0.5),"NM",BW607/BO607*100-100))</f>
        <v>-1.4210854715202004E-14</v>
      </c>
      <c r="BY607" s="145">
        <f>+BY598+BY603+BY605+BY596+BY592</f>
        <v>100.00000000000001</v>
      </c>
      <c r="BZ607" s="72">
        <f>IF(ISERROR(BY607/BQ607),"NA",IF(OR(BY607/BQ607&gt;2,BY607/BQ607&lt;0.5),"NM",BY607/BQ607*100-100))</f>
        <v>2.8421709430404007E-14</v>
      </c>
      <c r="CA607" s="145">
        <f>+CA598+CA603+CA605+CA596+CA592</f>
        <v>100</v>
      </c>
      <c r="CB607" s="72">
        <f>IF(ISERROR(CA607/BS607),"NA",IF(OR(CA607/BS607&gt;2,CA607/BS607&lt;0.5),"NM",CA607/BS607*100-100))</f>
        <v>0</v>
      </c>
      <c r="CC607" s="145">
        <f>+CC598+CC603+CC605+CC596+CC592</f>
        <v>100</v>
      </c>
      <c r="CD607" s="72">
        <f>IF(ISERROR(CC607/BU607),"NA",IF(OR(CC607/BU607&gt;2,CC607/BU607&lt;0.5),"NM",CC607/BU607*100-100))</f>
        <v>0</v>
      </c>
      <c r="CE607" s="145">
        <f>+CE598+CE603+CE605+CE596+CE592</f>
        <v>100</v>
      </c>
      <c r="CF607" s="72">
        <f>IF(ISERROR(CE607/BW607),"NA",IF(OR(CE607/BW607&gt;2,CE607/BW607&lt;0.5),"NM",CE607/BW607*100-100))</f>
        <v>2.8421709430404007E-14</v>
      </c>
      <c r="CG607" s="145">
        <f>+CG598+CG603+CG605+CG596+CG592</f>
        <v>100</v>
      </c>
      <c r="CH607" s="72">
        <f>IF(ISERROR(CG607/BY607),"NA",IF(OR(CG607/BY607&gt;2,CG607/BY607&lt;0.5),"NM",CG607/BY607*100-100))</f>
        <v>-1.4210854715202004E-14</v>
      </c>
      <c r="CI607" s="145">
        <f>+CI598+CI603+CI605+CI596+CI592</f>
        <v>100</v>
      </c>
      <c r="CJ607" s="72">
        <f>IF(ISERROR(CI607/CA607),"NA",IF(OR(CI607/CA607&gt;2,CI607/CA607&lt;0.5),"NM",CI607/CA607*100-100))</f>
        <v>0</v>
      </c>
      <c r="CK607" s="145">
        <f>+CK598+CK603+CK605+CK596+CK592</f>
        <v>100</v>
      </c>
      <c r="CL607" s="72">
        <f>IF(ISERROR(CK607/CC607),"NA",IF(OR(CK607/CC607&gt;2,CK607/CC607&lt;0.5),"NM",CK607/CC607*100-100))</f>
        <v>0</v>
      </c>
      <c r="CM607" s="145">
        <f>+CM598+CM603+CM605+CM596+CM592</f>
        <v>100</v>
      </c>
      <c r="CN607" s="72">
        <f>IF(ISERROR(CM607/CE607),"NA",IF(OR(CM607/CE607&gt;2,CM607/CE607&lt;0.5),"NM",CM607/CE607*100-100))</f>
        <v>0</v>
      </c>
      <c r="CO607" s="145">
        <f>+CO598+CO603+CO605+CO596+CO592</f>
        <v>100</v>
      </c>
      <c r="CP607" s="72">
        <f>IF(ISERROR(CO607/CG607),"NA",IF(OR(CO607/CG607&gt;2,CO607/CG607&lt;0.5),"NM",CO607/CG607*100-100))</f>
        <v>0</v>
      </c>
      <c r="CQ607" s="145">
        <f>+CQ598+CQ603+CQ605+CQ596+CQ592</f>
        <v>99.999999999999986</v>
      </c>
      <c r="CR607" s="72">
        <f>IF(ISERROR(CQ607/CI607),"NA",IF(OR(CQ607/CI607&gt;2,CQ607/CI607&lt;0.5),"NM",CQ607/CI607*100-100))</f>
        <v>-1.4210854715202004E-14</v>
      </c>
      <c r="CS607" s="145">
        <f>+CS598+CS603+CS605+CS596+CS592</f>
        <v>100</v>
      </c>
      <c r="CT607" s="72">
        <f>IF(ISERROR(CS607/CK607),"NA",IF(OR(CS607/CK607&gt;2,CS607/CK607&lt;0.5),"NM",CS607/CK607*100-100))</f>
        <v>0</v>
      </c>
      <c r="CU607" s="145">
        <f>+CU598+CU603+CU605+CU596+CU592</f>
        <v>100.00000000000001</v>
      </c>
      <c r="CV607" s="72">
        <f>IF(ISERROR(CU607/CM607),"NA",IF(OR(CU607/CM607&gt;2,CU607/CM607&lt;0.5),"NM",CU607/CM607*100-100))</f>
        <v>2.8421709430404007E-14</v>
      </c>
      <c r="CW607" s="145">
        <f>+CW598+CW603+CW605+CW596+CW592</f>
        <v>100</v>
      </c>
      <c r="CX607" s="72">
        <f>IF(ISERROR(CW607/CO607),"NA",IF(OR(CW607/CO607&gt;2,CW607/CO607&lt;0.5),"NM",CW607/CO607*100-100))</f>
        <v>0</v>
      </c>
      <c r="CY607" s="145">
        <f>+CY598+CY603+CY605+CY596+CY592</f>
        <v>100</v>
      </c>
      <c r="CZ607" s="72">
        <f>IF(ISERROR(CY607/CQ607),"NA",IF(OR(CY607/CQ607&gt;2,CY607/CQ607&lt;0.5),"NM",CY607/CQ607*100-100))</f>
        <v>2.8421709430404007E-14</v>
      </c>
      <c r="DA607" s="145">
        <f>+DA598+DA603+DA605+DA596+DA592</f>
        <v>100</v>
      </c>
      <c r="DB607" s="72">
        <f>IF(ISERROR(DA607/CS607),"NA",IF(OR(DA607/CS607&gt;2,DA607/CS607&lt;0.5),"NM",DA607/CS607*100-100))</f>
        <v>0</v>
      </c>
      <c r="DC607" s="145">
        <f>+DC598+DC603+DC605+DC596+DC592</f>
        <v>100</v>
      </c>
      <c r="DD607" s="72">
        <f>IF(ISERROR(DC607/CU607),"NA",IF(OR(DC607/CU607&gt;2,DC607/CU607&lt;0.5),"NM",DC607/CU607*100-100))</f>
        <v>-1.4210854715202004E-14</v>
      </c>
      <c r="DE607" s="145">
        <f>+DE598+DE603+DE605+DE596+DE592</f>
        <v>100.00000000000003</v>
      </c>
      <c r="DF607" s="72">
        <f>IF(ISERROR(DE607/CW607),"NA",IF(OR(DE607/CW607&gt;2,DE607/CW607&lt;0.5),"NM",DE607/CW607*100-100))</f>
        <v>2.8421709430404007E-14</v>
      </c>
      <c r="DG607" s="145">
        <f>+DG598+DG603+DG605+DG596+DG592</f>
        <v>100</v>
      </c>
      <c r="DH607" s="72">
        <f>IF(ISERROR(DG607/CY607),"NA",IF(OR(DG607/CY607&gt;2,DG607/CY607&lt;0.5),"NM",DG607/CY607*100-100))</f>
        <v>0</v>
      </c>
      <c r="DI607" s="145">
        <f>+DI598+DI603+DI605+DI596+DI592</f>
        <v>99.999999999999986</v>
      </c>
      <c r="DJ607" s="72">
        <f>IF(ISERROR(DI607/DA607),"NA",IF(OR(DI607/DA607&gt;2,DI607/DA607&lt;0.5),"NM",DI607/DA607*100-100))</f>
        <v>-1.4210854715202004E-14</v>
      </c>
      <c r="DK607" s="145">
        <f>+DK598+DK603+DK605+DK596+DK592</f>
        <v>100</v>
      </c>
      <c r="DL607" s="72">
        <f>IF(ISERROR(DK607/DC607),"NA",IF(OR(DK607/DC607&gt;2,DK607/DC607&lt;0.5),"NM",DK607/DC607*100-100))</f>
        <v>0</v>
      </c>
      <c r="DM607" s="145">
        <f>+DM598+DM603+DM605+DM596+DM592</f>
        <v>100</v>
      </c>
      <c r="DN607" s="72">
        <f>IF(ISERROR(DM607/DE607),"NA",IF(OR(DM607/DE607&gt;2,DM607/DE607&lt;0.5),"NM",DM607/DE607*100-100))</f>
        <v>-2.8421709430404007E-14</v>
      </c>
      <c r="DO607" s="145">
        <f>+DO598+DO603+DO605+DO596+DO592</f>
        <v>100</v>
      </c>
      <c r="DP607" s="72">
        <f>IF(ISERROR(DO607/DG607),"NA",IF(OR(DO607/DG607&gt;2,DO607/DG607&lt;0.5),"NM",DO607/DG607*100-100))</f>
        <v>0</v>
      </c>
      <c r="DQ607" s="145">
        <f>+DQ598+DQ603+DQ605+DQ596+DQ592</f>
        <v>99.999999999999986</v>
      </c>
      <c r="DR607" s="72">
        <f>IF(ISERROR(DQ607/DI607),"NA",IF(OR(DQ607/DI607&gt;2,DQ607/DI607&lt;0.5),"NM",DQ607/DI607*100-100))</f>
        <v>0</v>
      </c>
      <c r="DS607" s="145">
        <f>+DS598+DS603+DS605+DS596+DS592</f>
        <v>100</v>
      </c>
      <c r="DT607" s="72">
        <f>IF(ISERROR(DS607/DK607),"NA",IF(OR(DS607/DK607&gt;2,DS607/DK607&lt;0.5),"NM",DS607/DK607*100-100))</f>
        <v>0</v>
      </c>
      <c r="DU607" s="145">
        <f>+DU598+DU603+DU605+DU596+DU592</f>
        <v>100</v>
      </c>
      <c r="DV607" s="72">
        <f>IF(ISERROR(DU607/DM607),"NA",IF(OR(DU607/DM607&gt;2,DU607/DM607&lt;0.5),"NM",DU607/DM607*100-100))</f>
        <v>0</v>
      </c>
      <c r="DW607" s="145">
        <f>+DW598+DW603+DW605+DW596+DW592</f>
        <v>100</v>
      </c>
      <c r="DX607" s="72">
        <f>IF(ISERROR(DW607/DO607),"NA",IF(OR(DW607/DO607&gt;2,DW607/DO607&lt;0.5),"NM",DW607/DO607*100-100))</f>
        <v>0</v>
      </c>
      <c r="DY607" s="145">
        <f>+DY598+DY603+DY605+DY596+DY592</f>
        <v>100</v>
      </c>
      <c r="DZ607" s="72">
        <f>IF(ISERROR(DY607/DQ607),"NA",IF(OR(DY607/DQ607&gt;2,DY607/DQ607&lt;0.5),"NM",DY607/DQ607*100-100))</f>
        <v>2.8421709430404007E-14</v>
      </c>
      <c r="EA607" s="145">
        <f>+EA598+EA603+EA605+EA596+EA592</f>
        <v>100</v>
      </c>
      <c r="EB607" s="72">
        <f>IF(ISERROR(EA607/DS607),"NA",IF(OR(EA607/DS607&gt;2,EA607/DS607&lt;0.5),"NM",EA607/DS607*100-100))</f>
        <v>0</v>
      </c>
      <c r="EC607" s="145">
        <f>+EC598+EC603+EC605+EC596+EC592</f>
        <v>100</v>
      </c>
      <c r="ED607" s="72">
        <f>IF(ISERROR(EC607/DU607),"NA",IF(OR(EC607/DU607&gt;2,EC607/DU607&lt;0.5),"NM",EC607/DU607*100-100))</f>
        <v>0</v>
      </c>
      <c r="EE607" s="145">
        <f>+EE598+EE603+EE605+EE596+EE592</f>
        <v>100</v>
      </c>
      <c r="EF607" s="72">
        <f>IF(ISERROR(EE607/DW607),"NA",IF(OR(EE607/DW607&gt;2,EE607/DW607&lt;0.5),"NM",EE607/DW607*100-100))</f>
        <v>0</v>
      </c>
      <c r="EG607" s="145">
        <f>+EG598+EG603+EG605+EG596+EG592</f>
        <v>100.00000000000001</v>
      </c>
      <c r="EH607" s="72">
        <f>IF(ISERROR(EG607/DY607),"NA",IF(OR(EG607/DY607&gt;2,EG607/DY607&lt;0.5),"NM",EG607/DY607*100-100))</f>
        <v>2.8421709430404007E-14</v>
      </c>
      <c r="EI607" s="145">
        <f>+EI598+EI603+EI605+EI596+EI592</f>
        <v>100</v>
      </c>
      <c r="EJ607" s="72">
        <f>IF(ISERROR(EI607/EA607),"NA",IF(OR(EI607/EA607&gt;2,EI607/EA607&lt;0.5),"NM",EI607/EA607*100-100))</f>
        <v>0</v>
      </c>
      <c r="EK607" s="145">
        <f>+EK598+EK603+EK605+EK596+EK592</f>
        <v>100</v>
      </c>
      <c r="EL607" s="72">
        <f>IF(ISERROR(EK607/EC607),"NA",IF(OR(EK607/EC607&gt;2,EK607/EC607&lt;0.5),"NM",EK607/EC607*100-100))</f>
        <v>0</v>
      </c>
      <c r="EM607" s="145">
        <f>+EM598+EM603+EM605+EM596+EM592</f>
        <v>100</v>
      </c>
      <c r="EN607" s="72">
        <f>IF(ISERROR(EM607/EE607),"NA",IF(OR(EM607/EE607&gt;2,EM607/EE607&lt;0.5),"NM",EM607/EE607*100-100))</f>
        <v>0</v>
      </c>
      <c r="EO607" s="145">
        <f>+EO598+EO603+EO605+EO596+EO592</f>
        <v>100</v>
      </c>
      <c r="EP607" s="72">
        <f>IF(ISERROR(EO607/EG607),"NA",IF(OR(EO607/EG607&gt;2,EO607/EG607&lt;0.5),"NM",EO607/EG607*100-100))</f>
        <v>-1.4210854715202004E-14</v>
      </c>
      <c r="EQ607" s="145">
        <f>+EQ598+EQ603+EQ605+EQ596+EQ592</f>
        <v>99.999999999999986</v>
      </c>
      <c r="ER607" s="72">
        <f t="shared" ref="ER607" si="2888">IF(ISERROR(EQ607/EI607),"NA",IF(OR(EQ607/EI607&gt;2,EQ607/EI607&lt;0.5),"NM",EQ607/EI607*100-100))</f>
        <v>-1.4210854715202004E-14</v>
      </c>
      <c r="ES607" s="145">
        <f>+ES598+ES603+ES605+ES596+ES592</f>
        <v>100</v>
      </c>
      <c r="ET607" s="72">
        <f t="shared" ref="ET607" si="2889">IF(ISERROR(ES607/EK607),"NA",IF(OR(ES607/EK607&gt;2,ES607/EK607&lt;0.5),"NM",ES607/EK607*100-100))</f>
        <v>0</v>
      </c>
      <c r="EU607" s="145">
        <f>+EU598+EU603+EU605+EU596+EU592</f>
        <v>100.00000000000001</v>
      </c>
      <c r="EV607" s="72">
        <f t="shared" ref="EV607" si="2890">IF(ISERROR(EU607/EM607),"NA",IF(OR(EU607/EM607&gt;2,EU607/EM607&lt;0.5),"NM",EU607/EM607*100-100))</f>
        <v>2.8421709430404007E-14</v>
      </c>
      <c r="EW607" s="145">
        <f>+EW598+EW603+EW605+EW596+EW592</f>
        <v>100</v>
      </c>
      <c r="EX607" s="72">
        <f t="shared" ref="EX607" si="2891">IF(ISERROR(EW607/EO607),"NA",IF(OR(EW607/EO607&gt;2,EW607/EO607&lt;0.5),"NM",EW607/EO607*100-100))</f>
        <v>0</v>
      </c>
      <c r="EY607" s="72"/>
      <c r="EZ607" s="296"/>
      <c r="FA607" s="72"/>
      <c r="FB607" s="145"/>
      <c r="FC607" s="11"/>
      <c r="FD607" s="145">
        <f>+FD598+FD603+FD605+FD596+FD592</f>
        <v>100</v>
      </c>
      <c r="FE607" s="72" t="str">
        <f>IF(ISERROR(FD607/FB607),"NA",IF(OR(FD607/FB607&gt;2,FD607/FB607&lt;0.5),"NM",FD607/FB607*100-100))</f>
        <v>NA</v>
      </c>
      <c r="FF607" s="145">
        <f>+FF598+FF603+FF605+FF596+FF592</f>
        <v>100</v>
      </c>
      <c r="FG607" s="72">
        <f>IF(ISERROR(FF607/FD607),"NA",IF(OR(FF607/FD607&gt;2,FF607/FD607&lt;0.5),"NM",FF607/FD607*100-100))</f>
        <v>0</v>
      </c>
      <c r="FH607" s="145">
        <f>+FH598+FH603+FH605+FH596+FH592</f>
        <v>100</v>
      </c>
      <c r="FI607" s="72">
        <f>IF(ISERROR(FH607/FF607),"NA",IF(OR(FH607/FF607&gt;2,FH607/FF607&lt;0.5),"NM",FH607/FF607*100-100))</f>
        <v>0</v>
      </c>
      <c r="FJ607" s="145">
        <f>+FJ598+FJ603+FJ605+FJ596+FJ592</f>
        <v>100</v>
      </c>
      <c r="FK607" s="72">
        <f>IF(ISERROR(FJ607/FH607),"NA",IF(OR(FJ607/FH607&gt;2,FJ607/FH607&lt;0.5),"NM",FJ607/FH607*100-100))</f>
        <v>0</v>
      </c>
      <c r="FL607" s="145">
        <f>+FL598+FL603+FL605+FL596+FL592</f>
        <v>100</v>
      </c>
      <c r="FM607" s="72">
        <f>IF(ISERROR(FL607/FJ607),"NA",IF(OR(FL607/FJ607&gt;2,FL607/FJ607&lt;0.5),"NM",FL607/FJ607*100-100))</f>
        <v>0</v>
      </c>
      <c r="FN607" s="145">
        <f>+FN598+FN603+FN605+FN596+FN592</f>
        <v>100</v>
      </c>
      <c r="FO607" s="72">
        <f>IF(ISERROR(FN607/FL607),"NA",IF(OR(FN607/FL607&gt;2,FN607/FL607&lt;0.5),"NM",FN607/FL607*100-100))</f>
        <v>0</v>
      </c>
      <c r="FP607" s="145">
        <f>+FP598+FP603+FP605+FP596+FP592</f>
        <v>100</v>
      </c>
      <c r="FQ607" s="72">
        <f>IF(ISERROR(FP607/FN607),"NA",IF(OR(FP607/FN607&gt;2,FP607/FN607&lt;0.5),"NM",FP607/FN607*100-100))</f>
        <v>0</v>
      </c>
      <c r="FR607" s="145">
        <f>+FR598+FR603+FR605+FR596+FR592</f>
        <v>100</v>
      </c>
      <c r="FS607" s="72">
        <f>IF(ISERROR(FR607/FP607),"NA",IF(OR(FR607/FP607&gt;2,FR607/FP607&lt;0.5),"NM",FR607/FP607*100-100))</f>
        <v>0</v>
      </c>
      <c r="FT607" s="145">
        <f>+FT598+FT603+FT605+FT596+FT592</f>
        <v>99.999999999999986</v>
      </c>
      <c r="FU607" s="72">
        <f>IF(ISERROR(FT607/FR607),"NA",IF(OR(FT607/FR607&gt;2,FT607/FR607&lt;0.5),"NM",FT607/FR607*100-100))</f>
        <v>-1.4210854715202004E-14</v>
      </c>
      <c r="FV607" s="145">
        <f>+FV598+FV603+FV605+FV596+FV592</f>
        <v>100</v>
      </c>
      <c r="FW607" s="72">
        <f>IF(ISERROR(FV607/FT607),"NA",IF(OR(FV607/FT607&gt;2,FV607/FT607&lt;0.5),"NM",FV607/FT607*100-100))</f>
        <v>2.8421709430404007E-14</v>
      </c>
      <c r="FX607" s="145">
        <f>+FX598+FX603+FX605+FX596+FX592</f>
        <v>99.999999999999972</v>
      </c>
      <c r="FY607" s="72">
        <f>IF(ISERROR(FX607/FV607),"NA",IF(OR(FX607/FV607&gt;2,FX607/FV607&lt;0.5),"NM",FX607/FV607*100-100))</f>
        <v>-2.8421709430404007E-14</v>
      </c>
      <c r="FZ607" s="145">
        <f>+FZ598+FZ603+FZ605+FZ596+FZ592</f>
        <v>100</v>
      </c>
      <c r="GA607" s="72">
        <f>IF(ISERROR(FZ607/FX607),"NA",IF(OR(FZ607/FX607&gt;2,FZ607/FX607&lt;0.5),"NM",FZ607/FX607*100-100))</f>
        <v>2.8421709430404007E-14</v>
      </c>
      <c r="GB607" s="145">
        <f>+GB598+GB603+GB605+GB596+GB592</f>
        <v>99.999999999999986</v>
      </c>
      <c r="GC607" s="72">
        <f>IF(ISERROR(GB607/FZ607),"NA",IF(OR(GB607/FZ607&gt;2,GB607/FZ607&lt;0.5),"NM",GB607/FZ607*100-100))</f>
        <v>-1.4210854715202004E-14</v>
      </c>
      <c r="GD607" s="145">
        <f>+GD598+GD603+GD605+GD596+GD592</f>
        <v>100</v>
      </c>
      <c r="GE607" s="72">
        <f>IF(ISERROR(GD607/GB607),"NA",IF(OR(GD607/GB607&gt;2,GD607/GB607&lt;0.5),"NM",GD607/GB607*100-100))</f>
        <v>2.8421709430404007E-14</v>
      </c>
      <c r="GF607" s="145">
        <f>+GF598+GF603+GF605+GF596+GF592</f>
        <v>99.999999999999972</v>
      </c>
      <c r="GG607" s="72">
        <f>IF(ISERROR(GF607/GD607),"NA",IF(OR(GF607/GD607&gt;2,GF607/GD607&lt;0.5),"NM",GF607/GD607*100-100))</f>
        <v>-2.8421709430404007E-14</v>
      </c>
      <c r="GH607" s="145">
        <f>+GH598+GH603+GH605+GH596+GH592</f>
        <v>100</v>
      </c>
      <c r="GI607" s="72">
        <f t="shared" ref="GI607:GU607" si="2892">IF(ISERROR(GH607/GF607),"NA",IF(OR(GH607/GF607&gt;2,GH607/GF607&lt;0.5),"NM",GH607/GF607*100-100))</f>
        <v>2.8421709430404007E-14</v>
      </c>
      <c r="GJ607" s="145">
        <f>+GJ598+GJ603+GJ605+GJ596+GJ592</f>
        <v>100</v>
      </c>
      <c r="GK607" s="72">
        <f t="shared" si="2892"/>
        <v>0</v>
      </c>
      <c r="GL607" s="145">
        <f>+GL598+GL603+GL605+GL596+GL592</f>
        <v>100</v>
      </c>
      <c r="GM607" s="72">
        <f t="shared" si="2892"/>
        <v>0</v>
      </c>
      <c r="GN607" s="145">
        <f>+GN598+GN603+GN605+GN596+GN592</f>
        <v>100</v>
      </c>
      <c r="GO607" s="72">
        <f t="shared" si="2892"/>
        <v>0</v>
      </c>
      <c r="GP607" s="145">
        <f>+GP598+GP603+GP605+GP596+GP592</f>
        <v>100</v>
      </c>
      <c r="GQ607" s="72">
        <f t="shared" si="2892"/>
        <v>0</v>
      </c>
      <c r="GR607" s="145">
        <f>+GR598+GR603+GR605+GR596+GR592</f>
        <v>100.00000000000001</v>
      </c>
      <c r="GS607" s="72">
        <f t="shared" si="2892"/>
        <v>2.8421709430404007E-14</v>
      </c>
      <c r="GT607" s="145">
        <f>+GT598+GT603+GT605+GT596+GT592</f>
        <v>100</v>
      </c>
      <c r="GU607" s="72">
        <f t="shared" si="2892"/>
        <v>-1.4210854715202004E-14</v>
      </c>
      <c r="GV607" s="145">
        <f>+GV598+GV603+GV605+GV596+GV592</f>
        <v>100</v>
      </c>
      <c r="GW607" s="72">
        <f>IF(ISERROR(GV607/GT607),"NA",IF(OR(GV607/GT607&gt;2,GV607/GT607&lt;0.5),"NM",GV607/GT607*100-100))</f>
        <v>0</v>
      </c>
      <c r="GX607" s="145">
        <f>+GX598+GX603+GX605+GX596+GX592</f>
        <v>100.00000000000001</v>
      </c>
      <c r="GY607" s="72">
        <f>IF(ISERROR(GX607/GV607),"NA",IF(OR(GX607/GV607&gt;2,GX607/GV607&lt;0.5),"NM",GX607/GV607*100-100))</f>
        <v>2.8421709430404007E-14</v>
      </c>
      <c r="GZ607" s="72">
        <f>IF(ISERROR(((GX607/GN607)^0.2-1)*100),"NA",IF((((GX607/GN607)^0.2-1)*100)&gt;100,"NM",IF((((GX607/GN607)^0.2-1)*100)&lt;-50,"NM",((GX607/GN607)^0.2-1)*100)))</f>
        <v>0</v>
      </c>
      <c r="HA607" s="72"/>
      <c r="HB607" s="72"/>
      <c r="HC607"/>
      <c r="HD607"/>
      <c r="HE607"/>
      <c r="HF607"/>
      <c r="HG607"/>
      <c r="HH607"/>
      <c r="HI607" s="2"/>
    </row>
    <row r="608" spans="1:217" s="3" customFormat="1" ht="12.75" customHeight="1" x14ac:dyDescent="0.2">
      <c r="B608" s="10"/>
      <c r="C608" s="9"/>
      <c r="D608" s="11"/>
      <c r="E608" s="9"/>
      <c r="F608" s="11"/>
      <c r="G608" s="9"/>
      <c r="H608" s="11"/>
      <c r="I608" s="9"/>
      <c r="J608" s="11"/>
      <c r="K608" s="9"/>
      <c r="L608" s="11"/>
      <c r="M608" s="9"/>
      <c r="N608" s="11"/>
      <c r="O608" s="9"/>
      <c r="P608" s="11"/>
      <c r="Q608" s="9"/>
      <c r="R608" s="11"/>
      <c r="S608" s="9"/>
      <c r="T608" s="11"/>
      <c r="U608" s="9"/>
      <c r="V608" s="11"/>
      <c r="W608" s="9"/>
      <c r="X608" s="11"/>
      <c r="Y608" s="9"/>
      <c r="Z608" s="11"/>
      <c r="AA608" s="9"/>
      <c r="AB608" s="11"/>
      <c r="AC608" s="9"/>
      <c r="AD608" s="11"/>
      <c r="AE608" s="9"/>
      <c r="AF608" s="11"/>
      <c r="AG608" s="9"/>
      <c r="AH608" s="11"/>
      <c r="AI608" s="9"/>
      <c r="AJ608" s="11"/>
      <c r="AK608" s="9"/>
      <c r="AL608" s="11"/>
      <c r="AM608" s="9"/>
      <c r="AN608" s="11"/>
      <c r="AO608" s="9"/>
      <c r="AP608" s="11"/>
      <c r="AQ608" s="9"/>
      <c r="AR608" s="11"/>
      <c r="AS608" s="9"/>
      <c r="AT608" s="11"/>
      <c r="AU608" s="9"/>
      <c r="AV608" s="11"/>
      <c r="AW608" s="9"/>
      <c r="AX608" s="11"/>
      <c r="AY608" s="9"/>
      <c r="AZ608" s="11"/>
      <c r="BA608" s="9"/>
      <c r="BB608" s="11"/>
      <c r="BC608" s="9"/>
      <c r="BD608" s="11"/>
      <c r="BE608" s="9"/>
      <c r="BF608" s="11"/>
      <c r="BG608" s="9"/>
      <c r="BH608" s="11"/>
      <c r="BI608" s="9"/>
      <c r="BJ608" s="11"/>
      <c r="BK608" s="9"/>
      <c r="BL608" s="11"/>
      <c r="BM608" s="9"/>
      <c r="BN608" s="11"/>
      <c r="BO608" s="9"/>
      <c r="BP608" s="11"/>
      <c r="BQ608" s="9"/>
      <c r="BR608" s="11"/>
      <c r="BS608" s="9"/>
      <c r="BT608" s="11"/>
      <c r="BU608" s="9"/>
      <c r="BV608" s="11"/>
      <c r="BW608" s="9"/>
      <c r="BX608" s="11"/>
      <c r="BY608" s="9"/>
      <c r="BZ608" s="11"/>
      <c r="CA608" s="9"/>
      <c r="CB608" s="11"/>
      <c r="CC608" s="9"/>
      <c r="CD608" s="11"/>
      <c r="CE608" s="9"/>
      <c r="CF608" s="11"/>
      <c r="CG608" s="9"/>
      <c r="CH608" s="11"/>
      <c r="CI608" s="9"/>
      <c r="CJ608" s="11"/>
      <c r="CK608" s="9"/>
      <c r="CL608" s="11"/>
      <c r="CM608" s="9"/>
      <c r="CN608" s="11"/>
      <c r="CO608" s="9"/>
      <c r="CP608" s="11"/>
      <c r="CQ608" s="9"/>
      <c r="CR608" s="11"/>
      <c r="CS608" s="9"/>
      <c r="CT608" s="11"/>
      <c r="CU608" s="9"/>
      <c r="CV608" s="11"/>
      <c r="CW608" s="9"/>
      <c r="CX608" s="11"/>
      <c r="CY608" s="9"/>
      <c r="CZ608" s="11"/>
      <c r="DA608" s="9"/>
      <c r="DB608" s="11"/>
      <c r="DC608" s="9"/>
      <c r="DD608" s="11"/>
      <c r="DE608" s="9"/>
      <c r="DF608" s="11"/>
      <c r="DG608" s="9"/>
      <c r="DH608" s="11"/>
      <c r="DI608" s="9"/>
      <c r="DJ608" s="11"/>
      <c r="DK608" s="9"/>
      <c r="DL608" s="11"/>
      <c r="DM608" s="9"/>
      <c r="DN608" s="11"/>
      <c r="DO608" s="9"/>
      <c r="DP608" s="11"/>
      <c r="DQ608" s="9"/>
      <c r="DR608" s="11"/>
      <c r="DS608" s="9"/>
      <c r="DT608" s="11"/>
      <c r="DU608" s="9"/>
      <c r="DV608" s="11"/>
      <c r="DW608" s="9"/>
      <c r="DX608" s="11"/>
      <c r="DY608" s="9"/>
      <c r="DZ608" s="11"/>
      <c r="EA608" s="9"/>
      <c r="EB608" s="11"/>
      <c r="EC608" s="9"/>
      <c r="ED608" s="11"/>
      <c r="EE608" s="9"/>
      <c r="EF608" s="11"/>
      <c r="EG608" s="9"/>
      <c r="EH608" s="11"/>
      <c r="EI608" s="9"/>
      <c r="EJ608" s="11"/>
      <c r="EK608" s="9"/>
      <c r="EL608" s="11"/>
      <c r="EM608" s="9"/>
      <c r="EN608" s="11"/>
      <c r="EO608" s="9"/>
      <c r="EP608" s="11"/>
      <c r="EQ608" s="9"/>
      <c r="ER608" s="11"/>
      <c r="ES608" s="9"/>
      <c r="ET608" s="11"/>
      <c r="EU608" s="9"/>
      <c r="EV608" s="11"/>
      <c r="EW608" s="9"/>
      <c r="EX608" s="11"/>
      <c r="EY608" s="11"/>
      <c r="EZ608" s="296"/>
      <c r="FA608" s="11"/>
      <c r="FB608" s="9"/>
      <c r="FC608" s="11"/>
      <c r="FD608" s="9"/>
      <c r="FE608" s="11"/>
      <c r="FF608" s="16"/>
      <c r="FG608" s="11"/>
      <c r="FH608" s="16"/>
      <c r="FI608" s="11"/>
      <c r="FJ608" s="16"/>
      <c r="FK608" s="11"/>
      <c r="FL608" s="16"/>
      <c r="FM608" s="11"/>
      <c r="FN608" s="16"/>
      <c r="FO608" s="11"/>
      <c r="FP608" s="9"/>
      <c r="FQ608" s="11"/>
      <c r="FR608" s="9"/>
      <c r="FS608" s="11"/>
      <c r="FT608" s="9"/>
      <c r="FU608" s="11"/>
      <c r="FV608" s="9"/>
      <c r="FW608" s="11"/>
      <c r="FX608" s="9"/>
      <c r="FY608" s="11"/>
      <c r="FZ608" s="9"/>
      <c r="GA608" s="11"/>
      <c r="GB608" s="9"/>
      <c r="GC608" s="11"/>
      <c r="GD608" s="9"/>
      <c r="GE608" s="11"/>
      <c r="GF608" s="9"/>
      <c r="GG608" s="11"/>
      <c r="GH608" s="9"/>
      <c r="GI608" s="11"/>
      <c r="GJ608" s="9"/>
      <c r="GK608" s="11"/>
      <c r="GL608" s="9"/>
      <c r="GM608" s="11"/>
      <c r="GN608" s="9"/>
      <c r="GO608" s="11"/>
      <c r="GP608" s="9"/>
      <c r="GQ608" s="11"/>
      <c r="GR608" s="9"/>
      <c r="GS608" s="11"/>
      <c r="GT608" s="9"/>
      <c r="GU608" s="11"/>
      <c r="GV608" s="9"/>
      <c r="GW608" s="11"/>
      <c r="GX608" s="9"/>
      <c r="GY608" s="11"/>
      <c r="GZ608" s="11"/>
      <c r="HA608" s="11"/>
      <c r="HB608" s="11"/>
      <c r="HC608"/>
      <c r="HD608"/>
      <c r="HE608"/>
      <c r="HF608"/>
      <c r="HG608"/>
      <c r="HH608"/>
      <c r="HI608" s="2"/>
    </row>
    <row r="609" spans="1:217" s="295" customFormat="1" ht="12.75" customHeight="1" collapsed="1" x14ac:dyDescent="0.2">
      <c r="B609" s="291" t="s">
        <v>819</v>
      </c>
      <c r="C609" s="292"/>
      <c r="D609" s="293"/>
      <c r="E609" s="292"/>
      <c r="F609" s="293"/>
      <c r="G609" s="292"/>
      <c r="H609" s="293"/>
      <c r="I609" s="292"/>
      <c r="J609" s="293"/>
      <c r="K609" s="292"/>
      <c r="L609" s="293"/>
      <c r="M609" s="292"/>
      <c r="N609" s="293"/>
      <c r="O609" s="292"/>
      <c r="P609" s="293"/>
      <c r="Q609" s="292"/>
      <c r="R609" s="293"/>
      <c r="S609" s="292"/>
      <c r="T609" s="293"/>
      <c r="U609" s="292"/>
      <c r="V609" s="293"/>
      <c r="W609" s="292"/>
      <c r="X609" s="293"/>
      <c r="Y609" s="292"/>
      <c r="Z609" s="293"/>
      <c r="AA609" s="292"/>
      <c r="AB609" s="293"/>
      <c r="AC609" s="292"/>
      <c r="AD609" s="293"/>
      <c r="AE609" s="292"/>
      <c r="AF609" s="293"/>
      <c r="AG609" s="292"/>
      <c r="AH609" s="293"/>
      <c r="AI609" s="292"/>
      <c r="AJ609" s="293"/>
      <c r="AK609" s="292"/>
      <c r="AL609" s="293"/>
      <c r="AM609" s="292"/>
      <c r="AN609" s="293"/>
      <c r="AO609" s="292"/>
      <c r="AP609" s="293"/>
      <c r="AQ609" s="292"/>
      <c r="AR609" s="293"/>
      <c r="AS609" s="292"/>
      <c r="AT609" s="293"/>
      <c r="AU609" s="292"/>
      <c r="AV609" s="293"/>
      <c r="AW609" s="292"/>
      <c r="AX609" s="293"/>
      <c r="AY609" s="292"/>
      <c r="AZ609" s="293"/>
      <c r="BA609" s="292"/>
      <c r="BB609" s="293"/>
      <c r="BC609" s="292"/>
      <c r="BD609" s="293"/>
      <c r="BE609" s="292"/>
      <c r="BF609" s="293"/>
      <c r="BG609" s="292"/>
      <c r="BH609" s="293"/>
      <c r="BI609" s="292"/>
      <c r="BJ609" s="293"/>
      <c r="BK609" s="292"/>
      <c r="BL609" s="293"/>
      <c r="BM609" s="292"/>
      <c r="BN609" s="293"/>
      <c r="BO609" s="292"/>
      <c r="BP609" s="293"/>
      <c r="BQ609" s="294"/>
      <c r="BR609" s="294"/>
      <c r="BS609" s="294"/>
      <c r="BT609" s="293"/>
      <c r="BU609" s="294"/>
      <c r="BV609" s="293"/>
      <c r="BW609" s="294"/>
      <c r="BX609" s="293"/>
      <c r="BY609" s="294"/>
      <c r="BZ609" s="293"/>
      <c r="CA609" s="294"/>
      <c r="CB609" s="293"/>
      <c r="CC609" s="294"/>
      <c r="CD609" s="293"/>
      <c r="CE609" s="294"/>
      <c r="CF609" s="293"/>
      <c r="CG609" s="294"/>
      <c r="CH609" s="293"/>
      <c r="CI609" s="294"/>
      <c r="CJ609" s="293"/>
      <c r="CK609" s="294"/>
      <c r="CL609" s="293"/>
      <c r="CM609" s="294"/>
      <c r="CN609" s="293"/>
      <c r="CO609" s="294"/>
      <c r="CP609" s="293"/>
      <c r="CQ609" s="294"/>
      <c r="CR609" s="293"/>
      <c r="CS609" s="294"/>
      <c r="CT609" s="293"/>
      <c r="CU609" s="294"/>
      <c r="CV609" s="293"/>
      <c r="CW609" s="294"/>
      <c r="CX609" s="293"/>
      <c r="CY609" s="294"/>
      <c r="CZ609" s="293"/>
      <c r="DA609" s="294"/>
      <c r="DB609" s="293"/>
      <c r="DC609" s="294"/>
      <c r="DD609" s="293"/>
      <c r="DE609" s="294"/>
      <c r="DF609" s="293"/>
      <c r="DG609" s="294"/>
      <c r="DH609" s="293"/>
      <c r="DI609" s="294"/>
      <c r="DJ609" s="293"/>
      <c r="DK609" s="294"/>
      <c r="DL609" s="293"/>
      <c r="DM609" s="294"/>
      <c r="DN609" s="293"/>
      <c r="DO609" s="294"/>
      <c r="DP609" s="293"/>
      <c r="DQ609" s="294"/>
      <c r="DR609" s="293"/>
      <c r="DS609" s="294"/>
      <c r="DT609" s="293"/>
      <c r="DU609" s="294"/>
      <c r="DV609" s="293"/>
      <c r="DW609" s="292"/>
      <c r="DX609" s="293"/>
      <c r="DY609" s="292"/>
      <c r="DZ609" s="293"/>
      <c r="EA609" s="292"/>
      <c r="EB609" s="293"/>
      <c r="EC609" s="292"/>
      <c r="ED609" s="293"/>
      <c r="EE609" s="292"/>
      <c r="EF609" s="293"/>
      <c r="EG609" s="292"/>
      <c r="EH609" s="293"/>
      <c r="EI609" s="292"/>
      <c r="EJ609" s="293"/>
      <c r="EK609" s="292"/>
      <c r="EL609" s="293"/>
      <c r="EM609" s="292"/>
      <c r="EN609" s="293"/>
      <c r="EO609" s="292"/>
      <c r="EP609" s="293"/>
      <c r="EQ609" s="292"/>
      <c r="ER609" s="293"/>
      <c r="ES609" s="292"/>
      <c r="ET609" s="293"/>
      <c r="EU609" s="292"/>
      <c r="EV609" s="293"/>
      <c r="EW609" s="292"/>
      <c r="EX609" s="293"/>
      <c r="EY609" s="293"/>
      <c r="EZ609" s="299"/>
      <c r="FA609" s="293"/>
      <c r="FB609" s="292"/>
      <c r="FC609" s="293"/>
      <c r="FD609" s="292"/>
      <c r="FE609" s="293"/>
      <c r="FF609" s="292"/>
      <c r="FG609" s="293"/>
      <c r="FH609" s="292"/>
      <c r="FI609" s="293"/>
      <c r="FJ609" s="292"/>
      <c r="FK609" s="293"/>
      <c r="FL609" s="292"/>
      <c r="FM609" s="293"/>
      <c r="FN609" s="292"/>
      <c r="FO609" s="293"/>
      <c r="FP609" s="292"/>
      <c r="FQ609" s="293"/>
      <c r="FR609" s="294"/>
      <c r="FS609" s="293"/>
      <c r="FT609" s="294"/>
      <c r="FU609" s="293"/>
      <c r="FV609" s="294"/>
      <c r="FW609" s="293"/>
      <c r="FX609" s="294"/>
      <c r="FY609" s="293"/>
      <c r="FZ609" s="294"/>
      <c r="GA609" s="293"/>
      <c r="GB609" s="294"/>
      <c r="GC609" s="293"/>
      <c r="GD609" s="294"/>
      <c r="GE609" s="293"/>
      <c r="GF609" s="294"/>
      <c r="GG609" s="293"/>
      <c r="GH609" s="294"/>
      <c r="GI609" s="293"/>
      <c r="GJ609" s="294"/>
      <c r="GK609" s="293"/>
      <c r="GL609" s="294"/>
      <c r="GM609" s="293"/>
      <c r="GN609" s="294"/>
      <c r="GO609" s="293"/>
      <c r="GP609" s="294"/>
      <c r="GQ609" s="293"/>
      <c r="GR609" s="292"/>
      <c r="GS609" s="293"/>
      <c r="GT609" s="292"/>
      <c r="GU609" s="293"/>
      <c r="GV609" s="292"/>
      <c r="GW609" s="293"/>
      <c r="GX609" s="292"/>
      <c r="GY609" s="293"/>
      <c r="GZ609" s="293"/>
      <c r="HA609" s="293"/>
      <c r="HB609" s="293"/>
      <c r="HC609"/>
      <c r="HD609"/>
      <c r="HE609"/>
      <c r="HF609"/>
      <c r="HG609"/>
      <c r="HH609"/>
      <c r="HI609" s="290"/>
    </row>
    <row r="610" spans="1:217" s="3" customFormat="1" ht="12.75" customHeight="1" x14ac:dyDescent="0.2">
      <c r="B610" s="2"/>
      <c r="C610" s="9"/>
      <c r="D610" s="11"/>
      <c r="E610" s="9"/>
      <c r="F610" s="11"/>
      <c r="G610" s="9"/>
      <c r="H610" s="11"/>
      <c r="I610" s="9"/>
      <c r="J610" s="11"/>
      <c r="K610" s="9"/>
      <c r="L610" s="11"/>
      <c r="M610" s="9"/>
      <c r="N610" s="11"/>
      <c r="O610" s="9"/>
      <c r="P610" s="11"/>
      <c r="Q610" s="9"/>
      <c r="R610" s="11"/>
      <c r="S610" s="9"/>
      <c r="T610" s="11"/>
      <c r="U610" s="9"/>
      <c r="V610" s="11"/>
      <c r="W610" s="9"/>
      <c r="X610" s="11"/>
      <c r="Y610" s="9"/>
      <c r="Z610" s="11"/>
      <c r="AA610" s="9"/>
      <c r="AB610" s="11"/>
      <c r="AC610" s="9"/>
      <c r="AD610" s="11"/>
      <c r="AE610" s="9"/>
      <c r="AF610" s="11"/>
      <c r="AG610" s="9"/>
      <c r="AH610" s="11"/>
      <c r="AI610" s="9"/>
      <c r="AJ610" s="11"/>
      <c r="AK610" s="9"/>
      <c r="AL610" s="11"/>
      <c r="AM610" s="9"/>
      <c r="AN610" s="11"/>
      <c r="AO610" s="9"/>
      <c r="AP610" s="11"/>
      <c r="AQ610" s="9"/>
      <c r="AR610" s="11"/>
      <c r="AS610" s="9"/>
      <c r="AT610" s="11"/>
      <c r="AU610" s="9"/>
      <c r="AV610" s="11"/>
      <c r="AW610" s="9"/>
      <c r="AX610" s="11"/>
      <c r="AY610" s="9"/>
      <c r="AZ610" s="11"/>
      <c r="BA610" s="9"/>
      <c r="BB610" s="11"/>
      <c r="BC610" s="9"/>
      <c r="BD610" s="11"/>
      <c r="BE610" s="9"/>
      <c r="BF610" s="11"/>
      <c r="BG610" s="9"/>
      <c r="BH610" s="11"/>
      <c r="BI610" s="9"/>
      <c r="BJ610" s="11"/>
      <c r="BK610" s="9"/>
      <c r="BL610" s="11"/>
      <c r="BM610" s="9"/>
      <c r="BN610" s="11"/>
      <c r="BO610" s="9"/>
      <c r="BP610" s="11"/>
      <c r="BQ610" s="9"/>
      <c r="BR610" s="11"/>
      <c r="BS610" s="9"/>
      <c r="BT610" s="11"/>
      <c r="BU610" s="9"/>
      <c r="BV610" s="11"/>
      <c r="BW610" s="9"/>
      <c r="BX610" s="11"/>
      <c r="BY610" s="9"/>
      <c r="BZ610" s="11"/>
      <c r="CA610" s="9"/>
      <c r="CB610" s="11"/>
      <c r="CC610" s="9"/>
      <c r="CD610" s="11"/>
      <c r="CE610" s="9"/>
      <c r="CF610" s="11"/>
      <c r="CG610" s="9"/>
      <c r="CH610" s="11"/>
      <c r="CI610" s="9"/>
      <c r="CJ610" s="11"/>
      <c r="CK610" s="9"/>
      <c r="CL610" s="11"/>
      <c r="CM610" s="9"/>
      <c r="CN610" s="11"/>
      <c r="CO610" s="9"/>
      <c r="CP610" s="11"/>
      <c r="CQ610" s="9"/>
      <c r="CR610" s="11"/>
      <c r="CS610" s="9"/>
      <c r="CT610" s="11"/>
      <c r="CU610" s="9"/>
      <c r="CV610" s="11"/>
      <c r="CW610" s="9"/>
      <c r="CX610" s="11"/>
      <c r="CY610" s="9"/>
      <c r="CZ610" s="11"/>
      <c r="DA610" s="9"/>
      <c r="DB610" s="11"/>
      <c r="DC610" s="9"/>
      <c r="DD610" s="11"/>
      <c r="DE610" s="9"/>
      <c r="DF610" s="11"/>
      <c r="DG610" s="9"/>
      <c r="DH610" s="11"/>
      <c r="DI610" s="9"/>
      <c r="DJ610" s="11"/>
      <c r="DK610" s="9"/>
      <c r="DL610" s="11"/>
      <c r="DM610" s="9"/>
      <c r="DN610" s="11"/>
      <c r="DO610" s="9"/>
      <c r="DP610" s="11"/>
      <c r="DQ610" s="9"/>
      <c r="DR610" s="11"/>
      <c r="DS610" s="9"/>
      <c r="DT610" s="11"/>
      <c r="DU610" s="9"/>
      <c r="DV610" s="11"/>
      <c r="DW610" s="9"/>
      <c r="DX610" s="11"/>
      <c r="DY610" s="9"/>
      <c r="DZ610" s="11"/>
      <c r="EA610" s="9"/>
      <c r="EB610" s="11"/>
      <c r="EC610" s="9"/>
      <c r="ED610" s="11"/>
      <c r="EE610" s="9"/>
      <c r="EF610" s="11"/>
      <c r="EG610" s="9"/>
      <c r="EH610" s="11"/>
      <c r="EI610" s="9"/>
      <c r="EJ610" s="11"/>
      <c r="EK610" s="9"/>
      <c r="EL610" s="11"/>
      <c r="EM610" s="9"/>
      <c r="EN610" s="11"/>
      <c r="EO610" s="9"/>
      <c r="EP610" s="11"/>
      <c r="EQ610" s="9"/>
      <c r="ER610" s="11"/>
      <c r="ES610" s="9"/>
      <c r="ET610" s="11"/>
      <c r="EU610" s="9"/>
      <c r="EV610" s="11"/>
      <c r="EW610" s="9"/>
      <c r="EX610" s="11"/>
      <c r="EY610" s="11"/>
      <c r="EZ610" s="296"/>
      <c r="FA610" s="11"/>
      <c r="FB610" s="9"/>
      <c r="FC610" s="11"/>
      <c r="FD610" s="9"/>
      <c r="FE610" s="11"/>
      <c r="FF610" s="16"/>
      <c r="FG610" s="11"/>
      <c r="FH610" s="16"/>
      <c r="FI610" s="11"/>
      <c r="FJ610" s="16"/>
      <c r="FK610" s="11"/>
      <c r="FL610" s="16"/>
      <c r="FM610" s="11"/>
      <c r="FN610" s="16"/>
      <c r="FO610" s="11"/>
      <c r="FP610" s="9"/>
      <c r="FQ610" s="11"/>
      <c r="FR610" s="9"/>
      <c r="FS610" s="11"/>
      <c r="FT610" s="9"/>
      <c r="FU610" s="11"/>
      <c r="FV610" s="9"/>
      <c r="FW610" s="11"/>
      <c r="FX610" s="9"/>
      <c r="FY610" s="11"/>
      <c r="FZ610" s="9"/>
      <c r="GA610" s="11"/>
      <c r="GB610" s="9"/>
      <c r="GC610" s="11"/>
      <c r="GD610" s="9"/>
      <c r="GE610" s="11"/>
      <c r="GF610" s="9"/>
      <c r="GG610" s="11"/>
      <c r="GH610" s="9"/>
      <c r="GI610" s="11"/>
      <c r="GJ610" s="9"/>
      <c r="GK610" s="11"/>
      <c r="GL610" s="9"/>
      <c r="GM610" s="11"/>
      <c r="GN610" s="13"/>
      <c r="GO610" s="72"/>
      <c r="GP610" s="13"/>
      <c r="GQ610" s="72"/>
      <c r="GR610" s="12"/>
      <c r="GS610" s="72"/>
      <c r="GT610" s="12"/>
      <c r="GU610" s="72"/>
      <c r="GV610" s="12"/>
      <c r="GW610" s="11"/>
      <c r="GX610" s="9"/>
      <c r="GY610" s="11"/>
      <c r="GZ610" s="11"/>
      <c r="HA610" s="11"/>
      <c r="HB610" s="11"/>
      <c r="HC610"/>
      <c r="HD610"/>
      <c r="HE610"/>
      <c r="HF610"/>
      <c r="HG610"/>
      <c r="HH610"/>
      <c r="HI610" s="2"/>
    </row>
    <row r="611" spans="1:217" s="3" customFormat="1" ht="12.75" customHeight="1" x14ac:dyDescent="0.2">
      <c r="A611" s="3" t="s">
        <v>247</v>
      </c>
      <c r="B611" s="18" t="s">
        <v>598</v>
      </c>
      <c r="C611" s="12"/>
      <c r="D611" s="11"/>
      <c r="E611" s="12"/>
      <c r="F611" s="11"/>
      <c r="G611" s="12"/>
      <c r="H611" s="11"/>
      <c r="I611" s="12"/>
      <c r="J611" s="11"/>
      <c r="K611" s="12">
        <v>0</v>
      </c>
      <c r="L611" s="72" t="str">
        <f>IF(ISERROR(K611/C611),"NA",IF(OR(K611/C611&gt;2,K611/C611&lt;0.5),"NM",K611/C611*100-100))</f>
        <v>NA</v>
      </c>
      <c r="M611" s="12">
        <v>0</v>
      </c>
      <c r="N611" s="72" t="str">
        <f>IF(ISERROR(M611/E611),"NA",IF(OR(M611/E611&gt;2,M611/E611&lt;0.5),"NM",M611/E611*100-100))</f>
        <v>NA</v>
      </c>
      <c r="O611" s="12">
        <v>0</v>
      </c>
      <c r="P611" s="72" t="str">
        <f>IF(ISERROR(O611/G611),"NA",IF(OR(O611/G611&gt;2,O611/G611&lt;0.5),"NM",O611/G611*100-100))</f>
        <v>NA</v>
      </c>
      <c r="Q611" s="12">
        <v>0</v>
      </c>
      <c r="R611" s="72" t="str">
        <f>IF(ISERROR(Q611/I611),"NA",IF(OR(Q611/I611&gt;2,Q611/I611&lt;0.5),"NM",Q611/I611*100-100))</f>
        <v>NA</v>
      </c>
      <c r="S611" s="12">
        <v>0</v>
      </c>
      <c r="T611" s="72" t="str">
        <f>IF(ISERROR(S611/K611),"NA",IF(OR(S611/K611&gt;2,S611/K611&lt;0.5),"NM",S611/K611*100-100))</f>
        <v>NA</v>
      </c>
      <c r="U611" s="12">
        <v>0</v>
      </c>
      <c r="V611" s="72" t="str">
        <f>IF(ISERROR(U611/M611),"NA",IF(OR(U611/M611&gt;2,U611/M611&lt;0.5),"NM",U611/M611*100-100))</f>
        <v>NA</v>
      </c>
      <c r="W611" s="12">
        <v>0</v>
      </c>
      <c r="X611" s="72" t="str">
        <f>IF(ISERROR(W611/O611),"NA",IF(OR(W611/O611&gt;2,W611/O611&lt;0.5),"NM",W611/O611*100-100))</f>
        <v>NA</v>
      </c>
      <c r="Y611" s="12">
        <v>0.4</v>
      </c>
      <c r="Z611" s="72" t="str">
        <f>IF(ISERROR(Y611/Q611),"NA",IF(OR(Y611/Q611&gt;2,Y611/Q611&lt;0.5),"NM",Y611/Q611*100-100))</f>
        <v>NA</v>
      </c>
      <c r="AA611" s="12">
        <v>0</v>
      </c>
      <c r="AB611" s="72" t="str">
        <f>IF(ISERROR(AA611/S611),"NA",IF(OR(AA611/S611&gt;2,AA611/S611&lt;0.5),"NM",AA611/S611*100-100))</f>
        <v>NA</v>
      </c>
      <c r="AC611" s="12">
        <v>0</v>
      </c>
      <c r="AD611" s="72" t="str">
        <f>IF(ISERROR(AC611/U611),"NA",IF(OR(AC611/U611&gt;2,AC611/U611&lt;0.5),"NM",AC611/U611*100-100))</f>
        <v>NA</v>
      </c>
      <c r="AE611" s="12">
        <v>0</v>
      </c>
      <c r="AF611" s="72" t="str">
        <f>IF(ISERROR(AE611/W611),"NA",IF(OR(AE611/W611&gt;2,AE611/W611&lt;0.5),"NM",AE611/W611*100-100))</f>
        <v>NA</v>
      </c>
      <c r="AG611" s="12">
        <v>0.5</v>
      </c>
      <c r="AH611" s="72">
        <f>IF(ISERROR(AG611/Y611),"NA",IF(OR(AG611/Y611&gt;2,AG611/Y611&lt;0.5),"NM",AG611/Y611*100-100))</f>
        <v>25</v>
      </c>
      <c r="AI611" s="12">
        <v>0</v>
      </c>
      <c r="AJ611" s="72" t="str">
        <f>IF(ISERROR(AI611/AA611),"NA",IF(OR(AI611/AA611&gt;2,AI611/AA611&lt;0.5),"NM",AI611/AA611*100-100))</f>
        <v>NA</v>
      </c>
      <c r="AK611" s="12">
        <v>0</v>
      </c>
      <c r="AL611" s="72" t="str">
        <f>IF(ISERROR(AK611/AC611),"NA",IF(OR(AK611/AC611&gt;2,AK611/AC611&lt;0.5),"NM",AK611/AC611*100-100))</f>
        <v>NA</v>
      </c>
      <c r="AM611" s="12">
        <v>0</v>
      </c>
      <c r="AN611" s="72" t="str">
        <f>IF(ISERROR(AM611/AE611),"NA",IF(OR(AM611/AE611&gt;2,AM611/AE611&lt;0.5),"NM",AM611/AE611*100-100))</f>
        <v>NA</v>
      </c>
      <c r="AO611" s="12">
        <v>0.625</v>
      </c>
      <c r="AP611" s="72">
        <f>IF(ISERROR(AO611/AG611),"NA",IF(OR(AO611/AG611&gt;2,AO611/AG611&lt;0.5),"NM",AO611/AG611*100-100))</f>
        <v>25</v>
      </c>
      <c r="AQ611" s="12">
        <v>0</v>
      </c>
      <c r="AR611" s="72" t="str">
        <f>IF(ISERROR(AQ611/AI611),"NA",IF(OR(AQ611/AI611&gt;2,AQ611/AI611&lt;0.5),"NM",AQ611/AI611*100-100))</f>
        <v>NA</v>
      </c>
      <c r="AS611" s="12">
        <v>0</v>
      </c>
      <c r="AT611" s="72" t="str">
        <f>IF(ISERROR(AS611/AK611),"NA",IF(OR(AS611/AK611&gt;2,AS611/AK611&lt;0.5),"NM",AS611/AK611*100-100))</f>
        <v>NA</v>
      </c>
      <c r="AU611" s="12">
        <v>0</v>
      </c>
      <c r="AV611" s="72" t="str">
        <f>IF(ISERROR(AU611/AM611),"NA",IF(OR(AU611/AM611&gt;2,AU611/AM611&lt;0.5),"NM",AU611/AM611*100-100))</f>
        <v>NA</v>
      </c>
      <c r="AW611" s="12">
        <v>0.78</v>
      </c>
      <c r="AX611" s="72">
        <f>IF(ISERROR(AW611/AO611),"NA",IF(OR(AW611/AO611&gt;2,AW611/AO611&lt;0.5),"NM",AW611/AO611*100-100))</f>
        <v>24.799999999999997</v>
      </c>
      <c r="AY611" s="12">
        <v>0</v>
      </c>
      <c r="AZ611" s="72" t="str">
        <f>IF(ISERROR(AY611/AQ611),"NA",IF(OR(AY611/AQ611&gt;2,AY611/AQ611&lt;0.5),"NM",AY611/AQ611*100-100))</f>
        <v>NA</v>
      </c>
      <c r="BA611" s="12">
        <v>0</v>
      </c>
      <c r="BB611" s="72" t="str">
        <f>IF(ISERROR(BA611/AS611),"NA",IF(OR(BA611/AS611&gt;2,BA611/AS611&lt;0.5),"NM",BA611/AS611*100-100))</f>
        <v>NA</v>
      </c>
      <c r="BC611" s="12">
        <v>0</v>
      </c>
      <c r="BD611" s="72" t="str">
        <f>IF(ISERROR(BC611/AU611),"NA",IF(OR(BC611/AU611&gt;2,BC611/AU611&lt;0.5),"NM",BC611/AU611*100-100))</f>
        <v>NA</v>
      </c>
      <c r="BE611" s="12">
        <v>0.95</v>
      </c>
      <c r="BF611" s="72">
        <f>IF(ISERROR(BE611/AW611),"NA",IF(OR(BE611/AW611&gt;2,BE611/AW611&lt;0.5),"NM",BE611/AW611*100-100))</f>
        <v>21.794871794871781</v>
      </c>
      <c r="BG611" s="12">
        <v>0</v>
      </c>
      <c r="BH611" s="72" t="str">
        <f>IF(ISERROR(BG611/AY611),"NA",IF(OR(BG611/AY611&gt;2,BG611/AY611&lt;0.5),"NM",BG611/AY611*100-100))</f>
        <v>NA</v>
      </c>
      <c r="BI611" s="12">
        <v>0</v>
      </c>
      <c r="BJ611" s="72" t="str">
        <f>IF(ISERROR(BI611/BA611),"NA",IF(OR(BI611/BA611&gt;2,BI611/BA611&lt;0.5),"NM",BI611/BA611*100-100))</f>
        <v>NA</v>
      </c>
      <c r="BK611" s="12">
        <v>0</v>
      </c>
      <c r="BL611" s="72" t="str">
        <f>IF(ISERROR(BK611/BC611),"NA",IF(OR(BK611/BC611&gt;2,BK611/BC611&lt;0.5),"NM",BK611/BC611*100-100))</f>
        <v>NA</v>
      </c>
      <c r="BM611" s="12">
        <v>1.1499999999999999</v>
      </c>
      <c r="BN611" s="72">
        <f>IF(ISERROR(BM611/BE611),"NA",IF(OR(BM611/BE611&gt;2,BM611/BE611&lt;0.5),"NM",BM611/BE611*100-100))</f>
        <v>21.05263157894737</v>
      </c>
      <c r="BO611" s="12">
        <v>0</v>
      </c>
      <c r="BP611" s="72" t="str">
        <f>IF(ISERROR(BO611/BG611),"NA",IF(OR(BO611/BG611&gt;2,BO611/BG611&lt;0.5),"NM",BO611/BG611*100-100))</f>
        <v>NA</v>
      </c>
      <c r="BQ611" s="12">
        <v>0</v>
      </c>
      <c r="BR611" s="72" t="str">
        <f>IF(ISERROR(BQ611/BI611),"NA",IF(OR(BQ611/BI611&gt;2,BQ611/BI611&lt;0.5),"NM",BQ611/BI611*100-100))</f>
        <v>NA</v>
      </c>
      <c r="BS611" s="12">
        <v>0</v>
      </c>
      <c r="BT611" s="72" t="str">
        <f>IF(ISERROR(BS611/BK611),"NA",IF(OR(BS611/BK611&gt;2,BS611/BK611&lt;0.5),"NM",BS611/BK611*100-100))</f>
        <v>NA</v>
      </c>
      <c r="BU611" s="12">
        <v>0.57999999999999996</v>
      </c>
      <c r="BV611" s="72">
        <f>IF(ISERROR(BU611/BM611),"NA",IF(OR(BU611/BM611&gt;2,BU611/BM611&lt;0.5),"NM",BU611/BM611*100-100))</f>
        <v>-49.565217391304351</v>
      </c>
      <c r="BW611" s="12">
        <v>0</v>
      </c>
      <c r="BX611" s="72" t="str">
        <f>IF(ISERROR(BW611/BO611),"NA",IF(OR(BW611/BO611&gt;2,BW611/BO611&lt;0.5),"NM",BW611/BO611*100-100))</f>
        <v>NA</v>
      </c>
      <c r="BY611" s="12">
        <v>0</v>
      </c>
      <c r="BZ611" s="72" t="str">
        <f>IF(ISERROR(BY611/BQ611),"NA",IF(OR(BY611/BQ611&gt;2,BY611/BQ611&lt;0.5),"NM",BY611/BQ611*100-100))</f>
        <v>NA</v>
      </c>
      <c r="CA611" s="12">
        <v>0</v>
      </c>
      <c r="CB611" s="72" t="str">
        <f>IF(ISERROR(CA611/BS611),"NA",IF(OR(CA611/BS611&gt;2,CA611/BS611&lt;0.5),"NM",CA611/BS611*100-100))</f>
        <v>NA</v>
      </c>
      <c r="CC611" s="12">
        <v>0.7</v>
      </c>
      <c r="CD611" s="72">
        <f>IF(ISERROR(CC611/BU611),"NA",IF(OR(CC611/BU611&gt;2,CC611/BU611&lt;0.5),"NM",CC611/BU611*100-100))</f>
        <v>20.689655172413794</v>
      </c>
      <c r="CE611" s="12">
        <v>0</v>
      </c>
      <c r="CF611" s="72" t="str">
        <f>IF(ISERROR(CE611/BW611),"NA",IF(OR(CE611/BW611&gt;2,CE611/BW611&lt;0.5),"NM",CE611/BW611*100-100))</f>
        <v>NA</v>
      </c>
      <c r="CG611" s="12">
        <v>0</v>
      </c>
      <c r="CH611" s="72" t="str">
        <f>IF(ISERROR(CG611/BY611),"NA",IF(OR(CG611/BY611&gt;2,CG611/BY611&lt;0.5),"NM",CG611/BY611*100-100))</f>
        <v>NA</v>
      </c>
      <c r="CI611" s="12">
        <v>0</v>
      </c>
      <c r="CJ611" s="72" t="str">
        <f>IF(ISERROR(CI611/CA611),"NA",IF(OR(CI611/CA611&gt;2,CI611/CA611&lt;0.5),"NM",CI611/CA611*100-100))</f>
        <v>NA</v>
      </c>
      <c r="CK611" s="12">
        <v>1.1499999999999999</v>
      </c>
      <c r="CL611" s="72">
        <f>IF(ISERROR(CK611/CC611),"NA",IF(OR(CK611/CC611&gt;2,CK611/CC611&lt;0.5),"NM",CK611/CC611*100-100))</f>
        <v>64.285714285714278</v>
      </c>
      <c r="CM611" s="12">
        <v>0</v>
      </c>
      <c r="CN611" s="72" t="str">
        <f>IF(ISERROR(CM611/CE611),"NA",IF(OR(CM611/CE611&gt;2,CM611/CE611&lt;0.5),"NM",CM611/CE611*100-100))</f>
        <v>NA</v>
      </c>
      <c r="CO611" s="12">
        <v>0</v>
      </c>
      <c r="CP611" s="72" t="str">
        <f>IF(ISERROR(CO611/CG611),"NA",IF(OR(CO611/CG611&gt;2,CO611/CG611&lt;0.5),"NM",CO611/CG611*100-100))</f>
        <v>NA</v>
      </c>
      <c r="CQ611" s="12">
        <v>0</v>
      </c>
      <c r="CR611" s="72" t="str">
        <f>IF(ISERROR(CQ611/CI611),"NA",IF(OR(CQ611/CI611&gt;2,CQ611/CI611&lt;0.5),"NM",CQ611/CI611*100-100))</f>
        <v>NA</v>
      </c>
      <c r="CS611" s="12">
        <v>1.45</v>
      </c>
      <c r="CT611" s="72">
        <f>IF(ISERROR(CS611/CK611),"NA",IF(OR(CS611/CK611&gt;2,CS611/CK611&lt;0.5),"NM",CS611/CK611*100-100))</f>
        <v>26.08695652173914</v>
      </c>
      <c r="CU611" s="12">
        <v>0</v>
      </c>
      <c r="CV611" s="72" t="str">
        <f>IF(ISERROR(CU611/CM611),"NA",IF(OR(CU611/CM611&gt;2,CU611/CM611&lt;0.5),"NM",CU611/CM611*100-100))</f>
        <v>NA</v>
      </c>
      <c r="CW611" s="12">
        <v>0</v>
      </c>
      <c r="CX611" s="72" t="str">
        <f>IF(ISERROR(CW611/CO611),"NA",IF(OR(CW611/CO611&gt;2,CW611/CO611&lt;0.5),"NM",CW611/CO611*100-100))</f>
        <v>NA</v>
      </c>
      <c r="CY611" s="12">
        <v>0</v>
      </c>
      <c r="CZ611" s="72" t="str">
        <f>IF(ISERROR(CY611/CQ611),"NA",IF(OR(CY611/CQ611&gt;2,CY611/CQ611&lt;0.5),"NM",CY611/CQ611*100-100))</f>
        <v>NA</v>
      </c>
      <c r="DA611" s="12">
        <v>1.6</v>
      </c>
      <c r="DB611" s="72">
        <f>IF(ISERROR(DA611/CS611),"NA",IF(OR(DA611/CS611&gt;2,DA611/CS611&lt;0.5),"NM",DA611/CS611*100-100))</f>
        <v>10.34482758620689</v>
      </c>
      <c r="DC611" s="12">
        <v>0.4</v>
      </c>
      <c r="DD611" s="72" t="str">
        <f>IF(ISERROR(DC611/CU611),"NA",IF(OR(DC611/CU611&gt;2,DC611/CU611&lt;0.5),"NM",DC611/CU611*100-100))</f>
        <v>NA</v>
      </c>
      <c r="DE611" s="12">
        <v>0.4</v>
      </c>
      <c r="DF611" s="72" t="str">
        <f>IF(ISERROR(DE611/CW611),"NA",IF(OR(DE611/CW611&gt;2,DE611/CW611&lt;0.5),"NM",DE611/CW611*100-100))</f>
        <v>NA</v>
      </c>
      <c r="DG611" s="12">
        <v>0.4</v>
      </c>
      <c r="DH611" s="72" t="str">
        <f>IF(ISERROR(DG611/CY611),"NA",IF(OR(DG611/CY611&gt;2,DG611/CY611&lt;0.5),"NM",DG611/CY611*100-100))</f>
        <v>NA</v>
      </c>
      <c r="DI611" s="12">
        <v>0.53</v>
      </c>
      <c r="DJ611" s="72" t="str">
        <f>IF(ISERROR(DI611/DA611),"NA",IF(OR(DI611/DA611&gt;2,DI611/DA611&lt;0.5),"NM",DI611/DA611*100-100))</f>
        <v>NM</v>
      </c>
      <c r="DK611" s="12">
        <v>0.53</v>
      </c>
      <c r="DL611" s="72">
        <f>IF(ISERROR(DK611/DC611),"NA",IF(OR(DK611/DC611&gt;2,DK611/DC611&lt;0.5),"NM",DK611/DC611*100-100))</f>
        <v>32.5</v>
      </c>
      <c r="DM611" s="12">
        <v>0.53</v>
      </c>
      <c r="DN611" s="72">
        <f t="shared" ref="DN611:DZ612" si="2893">IF(ISERROR(DM611/DE611),"NA",IF(OR(DM611/DE611&gt;2,DM611/DE611&lt;0.5),"NM",DM611/DE611*100-100))</f>
        <v>32.5</v>
      </c>
      <c r="DO611" s="12">
        <v>0.53</v>
      </c>
      <c r="DP611" s="72">
        <f t="shared" si="2893"/>
        <v>32.5</v>
      </c>
      <c r="DQ611" s="12">
        <v>0.57999999999999996</v>
      </c>
      <c r="DR611" s="72">
        <f t="shared" si="2893"/>
        <v>9.4339622641509351</v>
      </c>
      <c r="DS611" s="12">
        <v>0.57999999999999996</v>
      </c>
      <c r="DT611" s="72">
        <f t="shared" si="2893"/>
        <v>9.4339622641509351</v>
      </c>
      <c r="DU611" s="12">
        <v>0.57999999999999996</v>
      </c>
      <c r="DV611" s="72">
        <f t="shared" si="2893"/>
        <v>9.4339622641509351</v>
      </c>
      <c r="DW611" s="739">
        <f>DU611</f>
        <v>0.57999999999999996</v>
      </c>
      <c r="DX611" s="532">
        <f t="shared" si="2893"/>
        <v>9.4339622641509351</v>
      </c>
      <c r="DY611" s="739">
        <v>0.7</v>
      </c>
      <c r="DZ611" s="532">
        <f t="shared" si="2893"/>
        <v>20.689655172413794</v>
      </c>
      <c r="EA611" s="739">
        <v>0.7</v>
      </c>
      <c r="EB611" s="72">
        <f>IF(ISERROR(EA611/DS611),"NA",IF(OR(EA611/DS611&gt;2,EA611/DS611&lt;0.5),"NM",EA611/DS611*100-100))</f>
        <v>20.689655172413794</v>
      </c>
      <c r="EC611" s="739">
        <v>0.7</v>
      </c>
      <c r="ED611" s="72">
        <f>IF(ISERROR(EC611/DU611),"NA",IF(OR(EC611/DU611&gt;2,EC611/DU611&lt;0.5),"NM",EC611/DU611*100-100))</f>
        <v>20.689655172413794</v>
      </c>
      <c r="EE611" s="739">
        <v>0.7</v>
      </c>
      <c r="EF611" s="72">
        <f>IF(ISERROR(EE611/DW611),"NA",IF(OR(EE611/DW611&gt;2,EE611/DW611&lt;0.5),"NM",EE611/DW611*100-100))</f>
        <v>20.689655172413794</v>
      </c>
      <c r="EG611" s="739">
        <v>0.75</v>
      </c>
      <c r="EH611" s="72">
        <f>IF(ISERROR(EG611/DY611),"NA",IF(OR(EG611/DY611&gt;2,EG611/DY611&lt;0.5),"NM",EG611/DY611*100-100))</f>
        <v>7.1428571428571388</v>
      </c>
      <c r="EI611" s="739">
        <v>0.75</v>
      </c>
      <c r="EJ611" s="72">
        <f>IF(ISERROR(EI611/EA611),"NA",IF(OR(EI611/EA611&gt;2,EI611/EA611&lt;0.5),"NM",EI611/EA611*100-100))</f>
        <v>7.1428571428571388</v>
      </c>
      <c r="EK611" s="12">
        <v>0.75</v>
      </c>
      <c r="EL611" s="72">
        <f>IF(ISERROR(EK611/EC611),"NA",IF(OR(EK611/EC611&gt;2,EK611/EC611&lt;0.5),"NM",EK611/EC611*100-100))</f>
        <v>7.1428571428571388</v>
      </c>
      <c r="EM611" s="12">
        <v>0.75</v>
      </c>
      <c r="EN611" s="72">
        <f>IF(ISERROR(EM611/EE611),"NA",IF(OR(EM611/EE611&gt;2,EM611/EE611&lt;0.5),"NM",EM611/EE611*100-100))</f>
        <v>7.1428571428571388</v>
      </c>
      <c r="EO611" s="12">
        <v>0.75</v>
      </c>
      <c r="EP611" s="72">
        <f>IF(ISERROR(EO611/EG611),"NA",IF(OR(EO611/EG611&gt;2,EO611/EG611&lt;0.5),"NM",EO611/EG611*100-100))</f>
        <v>0</v>
      </c>
      <c r="EQ611" s="12">
        <v>0.9</v>
      </c>
      <c r="ER611" s="72">
        <f t="shared" ref="ER611:ER613" si="2894">IF(ISERROR(EQ611/EI611),"NA",IF(OR(EQ611/EI611&gt;2,EQ611/EI611&lt;0.5),"NM",EQ611/EI611*100-100))</f>
        <v>20</v>
      </c>
      <c r="ES611" s="12">
        <f>EQ611</f>
        <v>0.9</v>
      </c>
      <c r="ET611" s="12">
        <f t="shared" ref="ET611:EV611" si="2895">ER611*1.01</f>
        <v>20.2</v>
      </c>
      <c r="EU611" s="12">
        <f>ES611</f>
        <v>0.9</v>
      </c>
      <c r="EV611" s="12">
        <f t="shared" si="2895"/>
        <v>20.402000000000001</v>
      </c>
      <c r="EW611" s="12">
        <f>EU611</f>
        <v>0.9</v>
      </c>
      <c r="EX611" s="72">
        <f t="shared" ref="EX611:EX613" si="2896">IF(ISERROR(EW611/EO611),"NA",IF(OR(EW611/EO611&gt;2,EW611/EO611&lt;0.5),"NM",EW611/EO611*100-100))</f>
        <v>20</v>
      </c>
      <c r="EY611" s="72"/>
      <c r="EZ611" s="296"/>
      <c r="FA611" s="72"/>
      <c r="FB611" s="139"/>
      <c r="FC611" s="11"/>
      <c r="FD611" s="73">
        <f>G611+I611+K611+M611</f>
        <v>0</v>
      </c>
      <c r="FE611" s="72" t="str">
        <f>IF(ISERROR(FD611/FB611),"NA",IF(OR(FD611/FB611&gt;2,FD611/FB611&lt;0.5),"NM",FD611/FB611*100-100))</f>
        <v>NA</v>
      </c>
      <c r="FF611" s="73">
        <f>I611+K611+M611+O611</f>
        <v>0</v>
      </c>
      <c r="FG611" s="72" t="str">
        <f>IF(ISERROR(FF611/FD611),"NA",IF(OR(FF611/FD611&gt;2,FF611/FD611&lt;0.5),"NM",FF611/FD611*100-100))</f>
        <v>NA</v>
      </c>
      <c r="FH611" s="73">
        <f>K611+M611+O611+Q611</f>
        <v>0</v>
      </c>
      <c r="FI611" s="72" t="str">
        <f>IF(ISERROR(FH611/FF611),"NA",IF(OR(FH611/FF611&gt;2,FH611/FF611&lt;0.5),"NM",FH611/FF611*100-100))</f>
        <v>NA</v>
      </c>
      <c r="FJ611" s="73">
        <f>S611+U611+W611+Y611</f>
        <v>0.4</v>
      </c>
      <c r="FK611" s="72" t="str">
        <f>IF(ISERROR(FJ611/FH611),"NA",IF(OR(FJ611/FH611&gt;2,FJ611/FH611&lt;0.5),"NM",FJ611/FH611*100-100))</f>
        <v>NA</v>
      </c>
      <c r="FL611" s="73">
        <f>+AA611+AC611+AE611+AG611</f>
        <v>0.5</v>
      </c>
      <c r="FM611" s="72">
        <f>IF(ISERROR(FL611/FJ611),"NA",IF(OR(FL611/FJ611&gt;2,FL611/FJ611&lt;0.5),"NM",FL611/FJ611*100-100))</f>
        <v>25</v>
      </c>
      <c r="FN611" s="73">
        <f>+AI611+AK611+AM611+AO611</f>
        <v>0.625</v>
      </c>
      <c r="FO611" s="72">
        <f>IF(ISERROR(FN611/FL611),"NA",IF(OR(FN611/FL611&gt;2,FN611/FL611&lt;0.5),"NM",FN611/FL611*100-100))</f>
        <v>25</v>
      </c>
      <c r="FP611" s="73">
        <f>AQ611+AS611+AU611+AW611</f>
        <v>0.78</v>
      </c>
      <c r="FQ611" s="72">
        <f>IF(ISERROR(FP611/FN611),"NA",IF(OR(FP611/FN611&gt;2,FP611/FN611&lt;0.5),"NM",FP611/FN611*100-100))</f>
        <v>24.799999999999997</v>
      </c>
      <c r="FR611" s="13">
        <f>AY611+BA611+BC611+BE611</f>
        <v>0.95</v>
      </c>
      <c r="FS611" s="72">
        <f>IF(ISERROR(FR611/FP611),"NA",IF(OR(FR611/FP611&gt;2,FR611/FP611&lt;0.5),"NM",FR611/FP611*100-100))</f>
        <v>21.794871794871781</v>
      </c>
      <c r="FT611" s="13">
        <f>BG611+BI611+BK611+BM611</f>
        <v>1.1499999999999999</v>
      </c>
      <c r="FU611" s="72">
        <f>IF(ISERROR(FT611/FR611),"NA",IF(OR(FT611/FR611&gt;2,FT611/FR611&lt;0.5),"NM",FT611/FR611*100-100))</f>
        <v>21.05263157894737</v>
      </c>
      <c r="FV611" s="13">
        <f>BO611+BQ611+BS611+BU611</f>
        <v>0.57999999999999996</v>
      </c>
      <c r="FW611" s="72">
        <f>IF(ISERROR(FV611/FT611),"NA",IF(OR(FV611/FT611&gt;2,FV611/FT611&lt;0.5),"NM",FV611/FT611*100-100))</f>
        <v>-49.565217391304351</v>
      </c>
      <c r="FX611" s="13">
        <f>BW611+BY611+CA611+CC611</f>
        <v>0.7</v>
      </c>
      <c r="FY611" s="72">
        <f>IF(ISERROR(FX611/FV611),"NA",IF(OR(FX611/FV611&gt;2,FX611/FV611&lt;0.5),"NM",FX611/FV611*100-100))</f>
        <v>20.689655172413794</v>
      </c>
      <c r="FZ611" s="13">
        <f>CE611+CG611+CI611+CK611</f>
        <v>1.1499999999999999</v>
      </c>
      <c r="GA611" s="72">
        <f>IF(ISERROR(FZ611/FX611),"NA",IF(OR(FZ611/FX611&gt;2,FZ611/FX611&lt;0.5),"NM",FZ611/FX611*100-100))</f>
        <v>64.285714285714278</v>
      </c>
      <c r="GB611" s="13">
        <f>CM611+CO611+CQ611+CS611</f>
        <v>1.45</v>
      </c>
      <c r="GC611" s="72">
        <f>IF(ISERROR(GB611/FZ611),"NA",IF(OR(GB611/FZ611&gt;2,GB611/FZ611&lt;0.5),"NM",GB611/FZ611*100-100))</f>
        <v>26.08695652173914</v>
      </c>
      <c r="GD611" s="13">
        <f>CU611+CW611+CY611+DA611</f>
        <v>1.6</v>
      </c>
      <c r="GE611" s="72">
        <f>IF(ISERROR(GD611/GB611),"NA",IF(OR(GD611/GB611&gt;2,GD611/GB611&lt;0.5),"NM",GD611/GB611*100-100))</f>
        <v>10.34482758620689</v>
      </c>
      <c r="GF611" s="13">
        <f>DC611+DE611+DG611+DI611</f>
        <v>1.7300000000000002</v>
      </c>
      <c r="GG611" s="72">
        <f>IF(ISERROR(GF611/GD611),"NA",IF(OR(GF611/GD611&gt;2,GF611/GD611&lt;0.5),"NM",GF611/GD611*100-100))</f>
        <v>8.125</v>
      </c>
      <c r="GH611" s="13">
        <f>DK611+DM611+DO611+DQ611</f>
        <v>2.17</v>
      </c>
      <c r="GI611" s="72">
        <f t="shared" ref="GI611:GU613" si="2897">IF(ISERROR(GH611/GF611),"NA",IF(OR(GH611/GF611&gt;2,GH611/GF611&lt;0.5),"NM",GH611/GF611*100-100))</f>
        <v>25.433526011560687</v>
      </c>
      <c r="GJ611" s="13">
        <f>DS611+DU611+DW611+DY611</f>
        <v>2.4399999999999995</v>
      </c>
      <c r="GK611" s="72">
        <f t="shared" si="2897"/>
        <v>12.442396313364029</v>
      </c>
      <c r="GL611" s="13">
        <f>EA611+EC611+EE611+EG611</f>
        <v>2.8499999999999996</v>
      </c>
      <c r="GM611" s="72">
        <f t="shared" si="2897"/>
        <v>16.8032786885246</v>
      </c>
      <c r="GN611" s="13">
        <f>EI611+EK611+EM611+EO611</f>
        <v>3</v>
      </c>
      <c r="GO611" s="72">
        <f t="shared" si="2897"/>
        <v>5.2631578947368638</v>
      </c>
      <c r="GP611" s="13">
        <f>EQ611+ES611+EU611+EW611</f>
        <v>3.6</v>
      </c>
      <c r="GQ611" s="72">
        <f t="shared" si="2897"/>
        <v>20</v>
      </c>
      <c r="GR611" s="12">
        <f>GP611*1.1</f>
        <v>3.9600000000000004</v>
      </c>
      <c r="GS611" s="72">
        <f t="shared" si="2897"/>
        <v>10.000000000000014</v>
      </c>
      <c r="GT611" s="12">
        <f>GR611*1.1</f>
        <v>4.3560000000000008</v>
      </c>
      <c r="GU611" s="72">
        <f t="shared" si="2897"/>
        <v>10.000000000000014</v>
      </c>
      <c r="GV611" s="12">
        <f>GT611*1.1</f>
        <v>4.7916000000000016</v>
      </c>
      <c r="GW611" s="72">
        <f>IF(ISERROR(GV611/GT611),"NA",IF(OR(GV611/GT611&gt;2,GV611/GT611&lt;0.5),"NM",GV611/GT611*100-100))</f>
        <v>10.000000000000014</v>
      </c>
      <c r="GX611" s="12">
        <f>GV611*1.1</f>
        <v>5.2707600000000019</v>
      </c>
      <c r="GY611" s="72">
        <f>IF(ISERROR(GX611/GV611),"NA",IF(OR(GX611/GV611&gt;2,GX611/GV611&lt;0.5),"NM",GX611/GV611*100-100))</f>
        <v>10.000000000000014</v>
      </c>
      <c r="GZ611" s="72">
        <f>IF(ISERROR(((GX611/GN611)^0.2-1)*100),"NA",IF((((GX611/GN611)^0.2-1)*100)&gt;100,"NM",IF((((GX611/GN611)^0.2-1)*100)&lt;-50,"NM",((GX611/GN611)^0.2-1)*100)))</f>
        <v>11.931003489314641</v>
      </c>
      <c r="HA611" s="72"/>
      <c r="HB611" s="72"/>
      <c r="HC611"/>
      <c r="HD611"/>
      <c r="HE611"/>
      <c r="HF611"/>
      <c r="HG611"/>
      <c r="HH611"/>
      <c r="HI611" s="2"/>
    </row>
    <row r="612" spans="1:217" s="3" customFormat="1" ht="12.75" customHeight="1" x14ac:dyDescent="0.2">
      <c r="A612" s="3" t="s">
        <v>143</v>
      </c>
      <c r="B612" s="18" t="s">
        <v>235</v>
      </c>
      <c r="C612" s="169"/>
      <c r="D612" s="11"/>
      <c r="E612" s="169"/>
      <c r="F612" s="11"/>
      <c r="G612" s="169"/>
      <c r="H612" s="11"/>
      <c r="I612" s="169"/>
      <c r="J612" s="11"/>
      <c r="K612" s="169">
        <f>K611/K642*100</f>
        <v>0</v>
      </c>
      <c r="L612" s="72" t="str">
        <f>IF(ISERROR(K612/C612),"NA",IF(OR(K612/C612&gt;2,K612/C612&lt;0.5),"NM",K612/C612*100-100))</f>
        <v>NA</v>
      </c>
      <c r="M612" s="169">
        <f>M611/M642*100</f>
        <v>0</v>
      </c>
      <c r="N612" s="72" t="str">
        <f>IF(ISERROR(M612/E612),"NA",IF(OR(M612/E612&gt;2,M612/E612&lt;0.5),"NM",M612/E612*100-100))</f>
        <v>NA</v>
      </c>
      <c r="O612" s="169">
        <f>O611/O642*100</f>
        <v>0</v>
      </c>
      <c r="P612" s="72" t="str">
        <f>IF(ISERROR(O612/G612),"NA",IF(OR(O612/G612&gt;2,O612/G612&lt;0.5),"NM",O612/G612*100-100))</f>
        <v>NA</v>
      </c>
      <c r="Q612" s="169">
        <f>Q611/Q642*100</f>
        <v>0</v>
      </c>
      <c r="R612" s="72" t="str">
        <f>IF(ISERROR(Q612/I612),"NA",IF(OR(Q612/I612&gt;2,Q612/I612&lt;0.5),"NM",Q612/I612*100-100))</f>
        <v>NA</v>
      </c>
      <c r="S612" s="169">
        <f>S611/S642*100</f>
        <v>0</v>
      </c>
      <c r="T612" s="72" t="str">
        <f>IF(ISERROR(S612/K612),"NA",IF(OR(S612/K612&gt;2,S612/K612&lt;0.5),"NM",S612/K612*100-100))</f>
        <v>NA</v>
      </c>
      <c r="U612" s="169">
        <f>U611/U642*100</f>
        <v>0</v>
      </c>
      <c r="V612" s="72" t="str">
        <f>IF(ISERROR(U612/M612),"NA",IF(OR(U612/M612&gt;2,U612/M612&lt;0.5),"NM",U612/M612*100-100))</f>
        <v>NA</v>
      </c>
      <c r="W612" s="169">
        <f>W611/W642*100</f>
        <v>0</v>
      </c>
      <c r="X612" s="72" t="str">
        <f>IF(ISERROR(W612/O612),"NA",IF(OR(W612/O612&gt;2,W612/O612&lt;0.5),"NM",W612/O612*100-100))</f>
        <v>NA</v>
      </c>
      <c r="Y612" s="169">
        <f>Y611/FJ641*100</f>
        <v>12.658227848101266</v>
      </c>
      <c r="Z612" s="72" t="str">
        <f>IF(ISERROR(Y612/Q612),"NA",IF(OR(Y612/Q612&gt;2,Y612/Q612&lt;0.5),"NM",Y612/Q612*100-100))</f>
        <v>NA</v>
      </c>
      <c r="AA612" s="169">
        <f>AA611/AA642*100</f>
        <v>0</v>
      </c>
      <c r="AB612" s="72" t="str">
        <f>IF(ISERROR(AA612/S612),"NA",IF(OR(AA612/S612&gt;2,AA612/S612&lt;0.5),"NM",AA612/S612*100-100))</f>
        <v>NA</v>
      </c>
      <c r="AC612" s="169">
        <f>AC611/AC642*100</f>
        <v>0</v>
      </c>
      <c r="AD612" s="72" t="str">
        <f>IF(ISERROR(AC612/U612),"NA",IF(OR(AC612/U612&gt;2,AC612/U612&lt;0.5),"NM",AC612/U612*100-100))</f>
        <v>NA</v>
      </c>
      <c r="AE612" s="169">
        <f>AE611/AE642*100</f>
        <v>0</v>
      </c>
      <c r="AF612" s="72" t="str">
        <f>IF(ISERROR(AE612/W612),"NA",IF(OR(AE612/W612&gt;2,AE612/W612&lt;0.5),"NM",AE612/W612*100-100))</f>
        <v>NA</v>
      </c>
      <c r="AG612" s="169">
        <f>AG611/AG642*100</f>
        <v>37.31343283582089</v>
      </c>
      <c r="AH612" s="72" t="str">
        <f>IF(ISERROR(AG612/Y612),"NA",IF(OR(AG612/Y612&gt;2,AG612/Y612&lt;0.5),"NM",AG612/Y612*100-100))</f>
        <v>NM</v>
      </c>
      <c r="AI612" s="169">
        <f>AI611/AI642*100</f>
        <v>0</v>
      </c>
      <c r="AJ612" s="72" t="str">
        <f>IF(ISERROR(AI612/AA612),"NA",IF(OR(AI612/AA612&gt;2,AI612/AA612&lt;0.5),"NM",AI612/AA612*100-100))</f>
        <v>NA</v>
      </c>
      <c r="AK612" s="169">
        <f>AK611/AK642*100</f>
        <v>0</v>
      </c>
      <c r="AL612" s="72" t="str">
        <f>IF(ISERROR(AK612/AC612),"NA",IF(OR(AK612/AC612&gt;2,AK612/AC612&lt;0.5),"NM",AK612/AC612*100-100))</f>
        <v>NA</v>
      </c>
      <c r="AM612" s="169">
        <f>AM611/AM642*100</f>
        <v>0</v>
      </c>
      <c r="AN612" s="72" t="str">
        <f>IF(ISERROR(AM612/AE612),"NA",IF(OR(AM612/AE612&gt;2,AM612/AE612&lt;0.5),"NM",AM612/AE612*100-100))</f>
        <v>NA</v>
      </c>
      <c r="AO612" s="169">
        <f>AO611/AO642*100</f>
        <v>53.879310344827594</v>
      </c>
      <c r="AP612" s="72">
        <f>IF(ISERROR(AO612/AG612),"NA",IF(OR(AO612/AG612&gt;2,AO612/AG612&lt;0.5),"NM",AO612/AG612*100-100))</f>
        <v>44.396551724137964</v>
      </c>
      <c r="AQ612" s="169">
        <f>AQ611/AQ642*100</f>
        <v>0</v>
      </c>
      <c r="AR612" s="72" t="str">
        <f>IF(ISERROR(AQ612/AI612),"NA",IF(OR(AQ612/AI612&gt;2,AQ612/AI612&lt;0.5),"NM",AQ612/AI612*100-100))</f>
        <v>NA</v>
      </c>
      <c r="AS612" s="169">
        <f>AS611/AS642*100</f>
        <v>0</v>
      </c>
      <c r="AT612" s="72" t="str">
        <f>IF(ISERROR(AS612/AK612),"NA",IF(OR(AS612/AK612&gt;2,AS612/AK612&lt;0.5),"NM",AS612/AK612*100-100))</f>
        <v>NA</v>
      </c>
      <c r="AU612" s="169">
        <f>AU611/AU642*100</f>
        <v>0</v>
      </c>
      <c r="AV612" s="72" t="str">
        <f>IF(ISERROR(AU612/AM612),"NA",IF(OR(AU612/AM612&gt;2,AU612/AM612&lt;0.5),"NM",AU612/AM612*100-100))</f>
        <v>NA</v>
      </c>
      <c r="AW612" s="169">
        <f>AW611/AW642*100</f>
        <v>67.24137931034484</v>
      </c>
      <c r="AX612" s="72">
        <f>IF(ISERROR(AW612/AO612),"NA",IF(OR(AW612/AO612&gt;2,AW612/AO612&lt;0.5),"NM",AW612/AO612*100-100))</f>
        <v>24.799999999999997</v>
      </c>
      <c r="AY612" s="169">
        <f>AY611/AY642*100</f>
        <v>0</v>
      </c>
      <c r="AZ612" s="72" t="str">
        <f>IF(ISERROR(AY612/AQ612),"NA",IF(OR(AY612/AQ612&gt;2,AY612/AQ612&lt;0.5),"NM",AY612/AQ612*100-100))</f>
        <v>NA</v>
      </c>
      <c r="BA612" s="169">
        <f>BA611/BA642*100</f>
        <v>0</v>
      </c>
      <c r="BB612" s="72" t="str">
        <f>IF(ISERROR(BA612/AS612),"NA",IF(OR(BA612/AS612&gt;2,BA612/AS612&lt;0.5),"NM",BA612/AS612*100-100))</f>
        <v>NA</v>
      </c>
      <c r="BC612" s="169">
        <f>BC611/BC642*100</f>
        <v>0</v>
      </c>
      <c r="BD612" s="72" t="str">
        <f>IF(ISERROR(BC612/AU612),"NA",IF(OR(BC612/AU612&gt;2,BC612/AU612&lt;0.5),"NM",BC612/AU612*100-100))</f>
        <v>NA</v>
      </c>
      <c r="BE612" s="169">
        <f>BE611/BE642*100</f>
        <v>54.913294797687861</v>
      </c>
      <c r="BF612" s="72">
        <f>IF(ISERROR(BE612/AW612),"NA",IF(OR(BE612/AW612&gt;2,BE612/AW612&lt;0.5),"NM",BE612/AW612*100-100))</f>
        <v>-18.334074403438578</v>
      </c>
      <c r="BG612" s="169">
        <f>BG611/BG642*100</f>
        <v>0</v>
      </c>
      <c r="BH612" s="72" t="str">
        <f>IF(ISERROR(BG612/AY612),"NA",IF(OR(BG612/AY612&gt;2,BG612/AY612&lt;0.5),"NM",BG612/AY612*100-100))</f>
        <v>NA</v>
      </c>
      <c r="BI612" s="169">
        <f>BI611/BI642*100</f>
        <v>0</v>
      </c>
      <c r="BJ612" s="72" t="str">
        <f>IF(ISERROR(BI612/BA612),"NA",IF(OR(BI612/BA612&gt;2,BI612/BA612&lt;0.5),"NM",BI612/BA612*100-100))</f>
        <v>NA</v>
      </c>
      <c r="BK612" s="169">
        <f>BK611/BK642*100</f>
        <v>0</v>
      </c>
      <c r="BL612" s="72" t="str">
        <f>IF(ISERROR(BK612/BC612),"NA",IF(OR(BK612/BC612&gt;2,BK612/BC612&lt;0.5),"NM",BK612/BC612*100-100))</f>
        <v>NA</v>
      </c>
      <c r="BM612" s="169">
        <f>BM611/BM642*100</f>
        <v>66.473988439306353</v>
      </c>
      <c r="BN612" s="72">
        <f>IF(ISERROR(BM612/BE612),"NA",IF(OR(BM612/BE612&gt;2,BM612/BE612&lt;0.5),"NM",BM612/BE612*100-100))</f>
        <v>21.05263157894737</v>
      </c>
      <c r="BO612" s="169">
        <f>BO611/BO642*100</f>
        <v>0</v>
      </c>
      <c r="BP612" s="72" t="str">
        <f>IF(ISERROR(BO612/BG612),"NA",IF(OR(BO612/BG612&gt;2,BO612/BG612&lt;0.5),"NM",BO612/BG612*100-100))</f>
        <v>NA</v>
      </c>
      <c r="BQ612" s="169">
        <f>BQ611/BQ642*100</f>
        <v>0</v>
      </c>
      <c r="BR612" s="72" t="str">
        <f>IF(ISERROR(BQ612/BI612),"NA",IF(OR(BQ612/BI612&gt;2,BQ612/BI612&lt;0.5),"NM",BQ612/BI612*100-100))</f>
        <v>NA</v>
      </c>
      <c r="BS612" s="169">
        <f>BS611/BS642*100</f>
        <v>0</v>
      </c>
      <c r="BT612" s="72" t="str">
        <f>IF(ISERROR(BS612/BK612),"NA",IF(OR(BS612/BK612&gt;2,BS612/BK612&lt;0.5),"NM",BS612/BK612*100-100))</f>
        <v>NA</v>
      </c>
      <c r="BU612" s="169">
        <f>BU611/BU642*100</f>
        <v>-19.727891156462583</v>
      </c>
      <c r="BV612" s="72" t="str">
        <f>IF(ISERROR(BU612/BM612),"NA",IF(OR(BU612/BM612&gt;2,BU612/BM612&lt;0.5),"NM",BU612/BM612*100-100))</f>
        <v>NM</v>
      </c>
      <c r="BW612" s="169">
        <v>0</v>
      </c>
      <c r="BX612" s="72" t="str">
        <f>IF(ISERROR(BW612/BO612),"NA",IF(OR(BW612/BO612&gt;2,BW612/BO612&lt;0.5),"NM",BW612/BO612*100-100))</f>
        <v>NA</v>
      </c>
      <c r="BY612" s="169">
        <f>BY611/BY642*100</f>
        <v>0</v>
      </c>
      <c r="BZ612" s="72" t="str">
        <f>IF(ISERROR(BY612/BQ612),"NA",IF(OR(BY612/BQ612&gt;2,BY612/BQ612&lt;0.5),"NM",BY612/BQ612*100-100))</f>
        <v>NA</v>
      </c>
      <c r="CA612" s="169">
        <f>CA611/CA642*100</f>
        <v>0</v>
      </c>
      <c r="CB612" s="72" t="str">
        <f>IF(ISERROR(CA612/BS612),"NA",IF(OR(CA612/BS612&gt;2,CA612/BS612&lt;0.5),"NM",CA612/BS612*100-100))</f>
        <v>NA</v>
      </c>
      <c r="CC612" s="169">
        <f>CC611/CC642*100</f>
        <v>18.412192393736017</v>
      </c>
      <c r="CD612" s="72" t="str">
        <f>IF(ISERROR(CC612/BU612),"NA",IF(OR(CC612/BU612&gt;2,CC612/BU612&lt;0.5),"NM",CC612/BU612*100-100))</f>
        <v>NM</v>
      </c>
      <c r="CE612" s="169">
        <f>CE611/CE642*100</f>
        <v>0</v>
      </c>
      <c r="CF612" s="72" t="str">
        <f>IF(ISERROR(CE612/BW612),"NA",IF(OR(CE612/BW612&gt;2,CE612/BW612&lt;0.5),"NM",CE612/BW612*100-100))</f>
        <v>NA</v>
      </c>
      <c r="CG612" s="169">
        <f>CG611/CG642*100</f>
        <v>0</v>
      </c>
      <c r="CH612" s="72" t="str">
        <f>IF(ISERROR(CG612/BY612),"NA",IF(OR(CG612/BY612&gt;2,CG612/BY612&lt;0.5),"NM",CG612/BY612*100-100))</f>
        <v>NA</v>
      </c>
      <c r="CI612" s="169">
        <f>CI611/CI642*100</f>
        <v>0</v>
      </c>
      <c r="CJ612" s="72" t="str">
        <f>IF(ISERROR(CI612/CA612),"NA",IF(OR(CI612/CA612&gt;2,CI612/CA612&lt;0.5),"NM",CI612/CA612*100-100))</f>
        <v>NA</v>
      </c>
      <c r="CK612" s="169">
        <f>CK611/CK642*100</f>
        <v>499.99999999999989</v>
      </c>
      <c r="CL612" s="72" t="str">
        <f>IF(ISERROR(CK612/CC612),"NA",IF(OR(CK612/CC612&gt;2,CK612/CC612&lt;0.5),"NM",CK612/CC612*100-100))</f>
        <v>NM</v>
      </c>
      <c r="CM612" s="169">
        <f>CM611/CM642*100</f>
        <v>0</v>
      </c>
      <c r="CN612" s="72" t="str">
        <f>IF(ISERROR(CM612/CE612),"NA",IF(OR(CM612/CE612&gt;2,CM612/CE612&lt;0.5),"NM",CM612/CE612*100-100))</f>
        <v>NA</v>
      </c>
      <c r="CO612" s="169">
        <f>CO611/CO642*100</f>
        <v>0</v>
      </c>
      <c r="CP612" s="72" t="str">
        <f>IF(ISERROR(CO612/CG612),"NA",IF(OR(CO612/CG612&gt;2,CO612/CG612&lt;0.5),"NM",CO612/CG612*100-100))</f>
        <v>NA</v>
      </c>
      <c r="CQ612" s="169">
        <f>CQ611/CQ642*100</f>
        <v>0</v>
      </c>
      <c r="CR612" s="72" t="str">
        <f>IF(ISERROR(CQ612/CI612),"NA",IF(OR(CQ612/CI612&gt;2,CQ612/CI612&lt;0.5),"NM",CQ612/CI612*100-100))</f>
        <v>NA</v>
      </c>
      <c r="CS612" s="169">
        <f>CS611/CS642*100</f>
        <v>133.02752293577979</v>
      </c>
      <c r="CT612" s="72" t="str">
        <f>IF(ISERROR(CS612/CK612),"NA",IF(OR(CS612/CK612&gt;2,CS612/CK612&lt;0.5),"NM",CS612/CK612*100-100))</f>
        <v>NM</v>
      </c>
      <c r="CU612" s="169">
        <f>CU611/CU642*100</f>
        <v>0</v>
      </c>
      <c r="CV612" s="72" t="str">
        <f>IF(ISERROR(CU612/CM612),"NA",IF(OR(CU612/CM612&gt;2,CU612/CM612&lt;0.5),"NM",CU612/CM612*100-100))</f>
        <v>NA</v>
      </c>
      <c r="CW612" s="169">
        <f>CW611/CW642*100</f>
        <v>0</v>
      </c>
      <c r="CX612" s="72" t="str">
        <f>IF(ISERROR(CW612/CO612),"NA",IF(OR(CW612/CO612&gt;2,CW612/CO612&lt;0.5),"NM",CW612/CO612*100-100))</f>
        <v>NA</v>
      </c>
      <c r="CY612" s="169">
        <f>CY611/CY642*100</f>
        <v>0</v>
      </c>
      <c r="CZ612" s="72" t="str">
        <f>IF(ISERROR(CY612/CQ612),"NA",IF(OR(CY612/CQ612&gt;2,CY612/CQ612&lt;0.5),"NM",CY612/CQ612*100-100))</f>
        <v>NA</v>
      </c>
      <c r="DA612" s="169">
        <f>DA611/DA642*100</f>
        <v>-400</v>
      </c>
      <c r="DB612" s="72" t="str">
        <f>IF(ISERROR(DA612/CS612),"NA",IF(OR(DA612/CS612&gt;2,DA612/CS612&lt;0.5),"NM",DA612/CS612*100-100))</f>
        <v>NM</v>
      </c>
      <c r="DC612" s="169">
        <f>DC611/DC642*100</f>
        <v>-25.641025641025646</v>
      </c>
      <c r="DD612" s="72" t="str">
        <f>IF(ISERROR(DC612/CU612),"NA",IF(OR(DC612/CU612&gt;2,DC612/CU612&lt;0.5),"NM",DC612/CU612*100-100))</f>
        <v>NA</v>
      </c>
      <c r="DE612" s="169">
        <f>DE611/DE642*100</f>
        <v>-36.036036036036037</v>
      </c>
      <c r="DF612" s="72" t="str">
        <f>IF(ISERROR(DE612/CW612),"NA",IF(OR(DE612/CW612&gt;2,DE612/CW612&lt;0.5),"NM",DE612/CW612*100-100))</f>
        <v>NA</v>
      </c>
      <c r="DG612" s="169">
        <f>DG611/DG642*100</f>
        <v>19.70443349753695</v>
      </c>
      <c r="DH612" s="72" t="str">
        <f>IF(ISERROR(DG612/CY612),"NA",IF(OR(DG612/CY612&gt;2,DG612/CY612&lt;0.5),"NM",DG612/CY612*100-100))</f>
        <v>NA</v>
      </c>
      <c r="DI612" s="169">
        <f>DI611/DI642*100</f>
        <v>-56.98924731182796</v>
      </c>
      <c r="DJ612" s="72" t="str">
        <f>IF(ISERROR(DI612/DA612),"NA",IF(OR(DI612/DA612&gt;2,DI612/DA612&lt;0.5),"NM",DI612/DA612*100-100))</f>
        <v>NM</v>
      </c>
      <c r="DK612" s="169">
        <f>DK611/DK642*100</f>
        <v>20.463320463320468</v>
      </c>
      <c r="DL612" s="72" t="str">
        <f>IF(ISERROR(DK612/DC612),"NA",IF(OR(DK612/DC612&gt;2,DK612/DC612&lt;0.5),"NM",DK612/DC612*100-100))</f>
        <v>NM</v>
      </c>
      <c r="DM612" s="169">
        <f>DM611/DM642*100</f>
        <v>23.873873873873876</v>
      </c>
      <c r="DN612" s="72" t="str">
        <f t="shared" si="2893"/>
        <v>NM</v>
      </c>
      <c r="DO612" s="169">
        <f>DO611/DO642*100</f>
        <v>53.535353535353536</v>
      </c>
      <c r="DP612" s="72" t="str">
        <f t="shared" si="2893"/>
        <v>NM</v>
      </c>
      <c r="DQ612" s="169">
        <f>DQ611/DQ642*100</f>
        <v>-22.137404580152669</v>
      </c>
      <c r="DR612" s="72" t="str">
        <f t="shared" si="2893"/>
        <v>NM</v>
      </c>
      <c r="DS612" s="169">
        <f>DS611/DS642*100</f>
        <v>13.272311212814644</v>
      </c>
      <c r="DT612" s="72">
        <f t="shared" si="2893"/>
        <v>-35.140969733603924</v>
      </c>
      <c r="DU612" s="169">
        <f>DU611/DU642*100</f>
        <v>19.141914191419144</v>
      </c>
      <c r="DV612" s="72">
        <f t="shared" si="2893"/>
        <v>-19.820661311414156</v>
      </c>
      <c r="DW612" s="171">
        <f>DW611/DW641*100</f>
        <v>24.150990990990991</v>
      </c>
      <c r="DX612" s="72" t="str">
        <f t="shared" si="2893"/>
        <v>NM</v>
      </c>
      <c r="DY612" s="171">
        <f>DY611/DY641*100</f>
        <v>36.131313131313128</v>
      </c>
      <c r="DZ612" s="72" t="str">
        <f t="shared" si="2893"/>
        <v>NM</v>
      </c>
      <c r="EA612" s="171">
        <f>EA611/EA641*100</f>
        <v>32.128385155466397</v>
      </c>
      <c r="EB612" s="72" t="str">
        <f>IF(ISERROR(EA612/DS612),"NA",IF(OR(EA612/DS612&gt;2,EA612/DS612&lt;0.5),"NM",EA612/DS612*100-100))</f>
        <v>NM</v>
      </c>
      <c r="EC612" s="171">
        <f>EC611/EC641*100</f>
        <v>37.938480096501806</v>
      </c>
      <c r="ED612" s="72">
        <f>IF(ISERROR(EC612/DU612),"NA",IF(OR(EC612/DU612&gt;2,EC612/DU612&lt;0.5),"NM",EC612/DU612*100-100))</f>
        <v>98.19585291793183</v>
      </c>
      <c r="EE612" s="171">
        <f>EE611/EE641*100</f>
        <v>26.32331781633517</v>
      </c>
      <c r="EF612" s="72">
        <f>IF(ISERROR(EE612/DW612),"NA",IF(OR(EE612/DW612&gt;2,EE612/DW612&lt;0.5),"NM",EE612/DW612*100-100))</f>
        <v>8.9947730350051387</v>
      </c>
      <c r="EG612" s="171">
        <f>EG611/EG641*100</f>
        <v>30.513413506012952</v>
      </c>
      <c r="EH612" s="72">
        <f>IF(ISERROR(EG612/DY612),"NA",IF(OR(EG612/DY612&gt;2,EG612/DY612&lt;0.5),"NM",EG612/DY612*100-100))</f>
        <v>-15.548562004604904</v>
      </c>
      <c r="EI612" s="171">
        <f>EI611/EI641*100</f>
        <v>26.839853300733495</v>
      </c>
      <c r="EJ612" s="72">
        <f>IF(ISERROR(EI612/EA612),"NA",IF(OR(EI612/EA612&gt;2,EI612/EA612&lt;0.5),"NM",EI612/EA612*100-100))</f>
        <v>-16.460621438463747</v>
      </c>
      <c r="EK612" s="171">
        <f>EK611/EK641*100</f>
        <v>35.878555798687088</v>
      </c>
      <c r="EL612" s="72">
        <f>IF(ISERROR(EK612/EC612),"NA",IF(OR(EK612/EC612&gt;2,EK612/EC612&lt;0.5),"NM",EK612/EC612*100-100))</f>
        <v>-5.4296437089071929</v>
      </c>
      <c r="EM612" s="171">
        <f>EM611/EM641*100</f>
        <v>24.88558352402746</v>
      </c>
      <c r="EN612" s="72">
        <f>IF(ISERROR(EM612/EE612),"NA",IF(OR(EM612/EE612&gt;2,EM612/EE612&lt;0.5),"NM",EM612/EE612*100-100))</f>
        <v>-5.4618278073424023</v>
      </c>
      <c r="EO612" s="171">
        <f>EO611/EO641*100</f>
        <v>27.92814113597246</v>
      </c>
      <c r="EP612" s="72">
        <f>IF(ISERROR(EO612/EG612),"NA",IF(OR(EO612/EG612&gt;2,EO612/EG612&lt;0.5),"NM",EO612/EG612*100-100))</f>
        <v>-8.4725767227945283</v>
      </c>
      <c r="EQ612" s="171">
        <f t="shared" ref="EQ612" si="2898">EQ611/EQ641*100</f>
        <v>29.073079072061368</v>
      </c>
      <c r="ER612" s="72">
        <f t="shared" si="2894"/>
        <v>8.3205587836310713</v>
      </c>
      <c r="ES612" s="171">
        <f t="shared" ref="ES612" si="2899">ES611/ES641*100</f>
        <v>28.690736065391654</v>
      </c>
      <c r="ET612" s="72">
        <f t="shared" ref="ET612:ET613" si="2900">IF(ISERROR(ES612/EK612),"NA",IF(OR(ES612/EK612&gt;2,ES612/EK612&lt;0.5),"NM",ES612/EK612*100-100))</f>
        <v>-20.033748776360895</v>
      </c>
      <c r="EU612" s="171">
        <f t="shared" ref="EU612" si="2901">EU611/EU641*100</f>
        <v>28.796627497903383</v>
      </c>
      <c r="EV612" s="72">
        <f t="shared" ref="EV612:EV613" si="2902">IF(ISERROR(EU612/EM612),"NA",IF(OR(EU612/EM612&gt;2,EU612/EM612&lt;0.5),"NM",EU612/EM612*100-100))</f>
        <v>15.716103141000275</v>
      </c>
      <c r="EW612" s="171">
        <f t="shared" ref="EW612" si="2903">EW611/EW641*100</f>
        <v>31.707684818395826</v>
      </c>
      <c r="EX612" s="72">
        <f t="shared" si="2896"/>
        <v>13.533101483632848</v>
      </c>
      <c r="EY612" s="72"/>
      <c r="EZ612" s="296"/>
      <c r="FA612" s="72"/>
      <c r="FB612" s="169"/>
      <c r="FC612" s="11"/>
      <c r="FD612" s="169">
        <f>FD611/FD642*100</f>
        <v>0</v>
      </c>
      <c r="FE612" s="72" t="str">
        <f>IF(ISERROR(FD612/FB612),"NA",IF(OR(FD612/FB612&gt;2,FD612/FB612&lt;0.5),"NM",FD612/FB612*100-100))</f>
        <v>NA</v>
      </c>
      <c r="FF612" s="169">
        <f>FF611/FF642*100</f>
        <v>0</v>
      </c>
      <c r="FG612" s="72" t="str">
        <f>IF(ISERROR(FF612/FD612),"NA",IF(OR(FF612/FD612&gt;2,FF612/FD612&lt;0.5),"NM",FF612/FD612*100-100))</f>
        <v>NA</v>
      </c>
      <c r="FH612" s="169">
        <f>FH611/FH642*100</f>
        <v>0</v>
      </c>
      <c r="FI612" s="72" t="str">
        <f>IF(ISERROR(FH612/FF612),"NA",IF(OR(FH612/FF612&gt;2,FH612/FF612&lt;0.5),"NM",FH612/FF612*100-100))</f>
        <v>NA</v>
      </c>
      <c r="FJ612" s="169">
        <f>FJ611/FJ641*100</f>
        <v>12.658227848101266</v>
      </c>
      <c r="FK612" s="72" t="str">
        <f>IF(ISERROR(FJ612/FH612),"NA",IF(OR(FJ612/FH612&gt;2,FJ612/FH612&lt;0.5),"NM",FJ612/FH612*100-100))</f>
        <v>NA</v>
      </c>
      <c r="FL612" s="169">
        <f>FL611/FL641*100</f>
        <v>12.755102040816324</v>
      </c>
      <c r="FM612" s="72">
        <f>IF(ISERROR(FL612/FJ612),"NA",IF(OR(FL612/FJ612&gt;2,FL612/FJ612&lt;0.5),"NM",FL612/FJ612*100-100))</f>
        <v>0.7653061224489619</v>
      </c>
      <c r="FN612" s="169">
        <f>FN611/FN641*100</f>
        <v>11.653866935603645</v>
      </c>
      <c r="FO612" s="72">
        <f>IF(ISERROR(FN612/FL612),"NA",IF(OR(FN612/FL612&gt;2,FN612/FL612&lt;0.5),"NM",FN612/FL612*100-100))</f>
        <v>-8.6336832248674114</v>
      </c>
      <c r="FP612" s="169">
        <f>FP611/FP641*100</f>
        <v>19.796954314720814</v>
      </c>
      <c r="FQ612" s="72">
        <f>IF(ISERROR(FP612/FN612),"NA",IF(OR(FP612/FN612&gt;2,FP612/FN612&lt;0.5),"NM",FP612/FN612*100-100))</f>
        <v>69.874552576529624</v>
      </c>
      <c r="FR612" s="171">
        <f>FR611/FR641*100</f>
        <v>20.743624339209482</v>
      </c>
      <c r="FS612" s="72">
        <f>IF(ISERROR(FR612/FP612),"NA",IF(OR(FR612/FP612&gt;2,FR612/FP612&lt;0.5),"NM",FR612/FP612*100-100))</f>
        <v>4.7818973031863408</v>
      </c>
      <c r="FT612" s="171">
        <f>FT611/FT641*100</f>
        <v>19.79879035223178</v>
      </c>
      <c r="FU612" s="72">
        <f>IF(ISERROR(FT612/FR612),"NA",IF(OR(FT612/FR612&gt;2,FT612/FR612&lt;0.5),"NM",FT612/FR612*100-100))</f>
        <v>-4.5548163210407893</v>
      </c>
      <c r="FV612" s="171">
        <f>FV611/FV641*100</f>
        <v>-36.888595526219284</v>
      </c>
      <c r="FW612" s="72" t="str">
        <f>IF(ISERROR(FV612/FT612),"NA",IF(OR(FV612/FT612&gt;2,FV612/FT612&lt;0.5),"NM",FV612/FT612*100-100))</f>
        <v>NM</v>
      </c>
      <c r="FX612" s="171">
        <f>FX611/FX641*100</f>
        <v>28.847197314572121</v>
      </c>
      <c r="FY612" s="72" t="str">
        <f>IF(ISERROR(FX612/FV612),"NA",IF(OR(FX612/FV612&gt;2,FX612/FV612&lt;0.5),"NM",FX612/FV612*100-100))</f>
        <v>NM</v>
      </c>
      <c r="FZ612" s="171">
        <f>FZ611/FZ641*100</f>
        <v>26.967972276348561</v>
      </c>
      <c r="GA612" s="72">
        <f>IF(ISERROR(FZ612/FX612),"NA",IF(OR(FZ612/FX612&gt;2,FZ612/FX612&lt;0.5),"NM",FZ612/FX612*100-100))</f>
        <v>-6.5144111496553307</v>
      </c>
      <c r="GB612" s="171">
        <f>GB611/GB641*100</f>
        <v>29.128133990957661</v>
      </c>
      <c r="GC612" s="72">
        <f>IF(ISERROR(GB612/FZ612),"NA",IF(OR(GB612/FZ612&gt;2,GB612/FZ612&lt;0.5),"NM",GB612/FZ612*100-100))</f>
        <v>8.010100620370352</v>
      </c>
      <c r="GD612" s="171">
        <f>GD611/GD641*100</f>
        <v>29.208333333333336</v>
      </c>
      <c r="GE612" s="72">
        <f>IF(ISERROR(GD612/GB612),"NA",IF(OR(GD612/GB612&gt;2,GD612/GB612&lt;0.5),"NM",GD612/GB612*100-100))</f>
        <v>0.27533292177443514</v>
      </c>
      <c r="GF612" s="171">
        <f>GF611/GF641*100</f>
        <v>17.071130516628326</v>
      </c>
      <c r="GG612" s="72">
        <f>IF(ISERROR(GF612/GD612),"NA",IF(OR(GF612/GD612&gt;2,GF612/GD612&lt;0.5),"NM",GF612/GD612*100-100))</f>
        <v>-41.553904080017148</v>
      </c>
      <c r="GH612" s="171">
        <f>GH611/GH641*100</f>
        <v>23.908339222614842</v>
      </c>
      <c r="GI612" s="72">
        <f t="shared" si="2897"/>
        <v>40.051294197104625</v>
      </c>
      <c r="GJ612" s="171">
        <f>GJ611/GJ641*100</f>
        <v>24.291094859109482</v>
      </c>
      <c r="GK612" s="72">
        <f t="shared" si="2897"/>
        <v>1.6009294201940776</v>
      </c>
      <c r="GL612" s="171">
        <f>GL611/GL641*100</f>
        <v>31.211630182218414</v>
      </c>
      <c r="GM612" s="72">
        <f t="shared" si="2897"/>
        <v>28.490009870895705</v>
      </c>
      <c r="GN612" s="171">
        <f>GN611/GN641*100</f>
        <v>28.349154746423928</v>
      </c>
      <c r="GO612" s="72">
        <f t="shared" si="2897"/>
        <v>-9.1711820852768682</v>
      </c>
      <c r="GP612" s="171">
        <f>GP611/GP641*100</f>
        <v>29.509772267195117</v>
      </c>
      <c r="GQ612" s="72">
        <f t="shared" si="2897"/>
        <v>4.094011024852847</v>
      </c>
      <c r="GR612" s="171">
        <f>GR611/GR641*100</f>
        <v>31.056218887232646</v>
      </c>
      <c r="GS612" s="72">
        <f t="shared" si="2897"/>
        <v>5.2404559616227715</v>
      </c>
      <c r="GT612" s="171">
        <f>GT611/GT641*100</f>
        <v>32.744092899827706</v>
      </c>
      <c r="GU612" s="72">
        <f t="shared" si="2897"/>
        <v>5.4348986227970926</v>
      </c>
      <c r="GV612" s="171">
        <f>GV611/GV641*100</f>
        <v>34.587594118520578</v>
      </c>
      <c r="GW612" s="72">
        <f>IF(ISERROR(GV612/GT612),"NA",IF(OR(GV612/GT612&gt;2,GV612/GT612&lt;0.5),"NM",GV612/GT612*100-100))</f>
        <v>5.6300268397496893</v>
      </c>
      <c r="GX612" s="171">
        <f>GX611/GX641*100</f>
        <v>36.474269652682288</v>
      </c>
      <c r="GY612" s="72">
        <f>IF(ISERROR(GX612/GV612),"NA",IF(OR(GX612/GV612&gt;2,GX612/GV612&lt;0.5),"NM",GX612/GV612*100-100))</f>
        <v>5.4547752806878691</v>
      </c>
      <c r="GZ612" s="72">
        <f>IF(ISERROR(((GX612/GN612)^0.2-1)*100),"NA",IF((((GX612/GN612)^0.2-1)*100)&gt;100,"NM",IF((((GX612/GN612)^0.2-1)*100)&lt;-50,"NM",((GX612/GN612)^0.2-1)*100)))</f>
        <v>5.1693762064132232</v>
      </c>
      <c r="HA612" s="72"/>
      <c r="HB612" s="72"/>
      <c r="HC612"/>
      <c r="HD612"/>
      <c r="HE612"/>
      <c r="HF612"/>
      <c r="HG612"/>
      <c r="HH612"/>
      <c r="HI612" s="2"/>
    </row>
    <row r="613" spans="1:217" s="3" customFormat="1" ht="12.75" customHeight="1" x14ac:dyDescent="0.2">
      <c r="A613" s="3" t="s">
        <v>248</v>
      </c>
      <c r="B613" s="18" t="s">
        <v>236</v>
      </c>
      <c r="C613" s="145"/>
      <c r="D613" s="11"/>
      <c r="E613" s="145"/>
      <c r="F613" s="11"/>
      <c r="G613" s="145"/>
      <c r="H613" s="11"/>
      <c r="I613" s="145"/>
      <c r="J613" s="11"/>
      <c r="K613" s="145">
        <f>K611*K637</f>
        <v>0</v>
      </c>
      <c r="L613" s="72" t="str">
        <f>IF(ISERROR(K613/C613),"NA",IF(OR(K613/C613&gt;2,K613/C613&lt;0.5),"NM",K613/C613*100-100))</f>
        <v>NA</v>
      </c>
      <c r="M613" s="145">
        <f>M611*M637</f>
        <v>0</v>
      </c>
      <c r="N613" s="72" t="str">
        <f>IF(ISERROR(M613/E613),"NA",IF(OR(M613/E613&gt;2,M613/E613&lt;0.5),"NM",M613/E613*100-100))</f>
        <v>NA</v>
      </c>
      <c r="O613" s="145">
        <f>O611*O637</f>
        <v>0</v>
      </c>
      <c r="P613" s="72" t="str">
        <f>IF(ISERROR(O613/G613),"NA",IF(OR(O613/G613&gt;2,O613/G613&lt;0.5),"NM",O613/G613*100-100))</f>
        <v>NA</v>
      </c>
      <c r="Q613" s="145">
        <f>Q611*Q637</f>
        <v>0</v>
      </c>
      <c r="R613" s="72" t="str">
        <f>IF(ISERROR(Q613/I613),"NA",IF(OR(Q613/I613&gt;2,Q613/I613&lt;0.5),"NM",Q613/I613*100-100))</f>
        <v>NA</v>
      </c>
      <c r="S613" s="145">
        <f>S611*S637</f>
        <v>0</v>
      </c>
      <c r="T613" s="72" t="str">
        <f>IF(ISERROR(S613/K613),"NA",IF(OR(S613/K613&gt;2,S613/K613&lt;0.5),"NM",S613/K613*100-100))</f>
        <v>NA</v>
      </c>
      <c r="U613" s="145">
        <f>U611*U637</f>
        <v>0</v>
      </c>
      <c r="V613" s="72" t="str">
        <f>IF(ISERROR(U613/M613),"NA",IF(OR(U613/M613&gt;2,U613/M613&lt;0.5),"NM",U613/M613*100-100))</f>
        <v>NA</v>
      </c>
      <c r="W613" s="145">
        <f>W611*W637</f>
        <v>0</v>
      </c>
      <c r="X613" s="72" t="str">
        <f>IF(ISERROR(W613/O613),"NA",IF(OR(W613/O613&gt;2,W613/O613&lt;0.5),"NM",W613/O613*100-100))</f>
        <v>NA</v>
      </c>
      <c r="Y613" s="145">
        <f>Y611*Y637</f>
        <v>224.32</v>
      </c>
      <c r="Z613" s="72" t="str">
        <f>IF(ISERROR(Y613/Q613),"NA",IF(OR(Y613/Q613&gt;2,Y613/Q613&lt;0.5),"NM",Y613/Q613*100-100))</f>
        <v>NA</v>
      </c>
      <c r="AA613" s="145">
        <f>AA611*AA637</f>
        <v>0</v>
      </c>
      <c r="AB613" s="72" t="str">
        <f>IF(ISERROR(AA613/S613),"NA",IF(OR(AA613/S613&gt;2,AA613/S613&lt;0.5),"NM",AA613/S613*100-100))</f>
        <v>NA</v>
      </c>
      <c r="AC613" s="145">
        <f>AC611*AC637</f>
        <v>0</v>
      </c>
      <c r="AD613" s="72" t="str">
        <f>IF(ISERROR(AC613/U613),"NA",IF(OR(AC613/U613&gt;2,AC613/U613&lt;0.5),"NM",AC613/U613*100-100))</f>
        <v>NA</v>
      </c>
      <c r="AE613" s="145">
        <f>AE611*AE637</f>
        <v>0</v>
      </c>
      <c r="AF613" s="72" t="str">
        <f>IF(ISERROR(AE613/W613),"NA",IF(OR(AE613/W613&gt;2,AE613/W613&lt;0.5),"NM",AE613/W613*100-100))</f>
        <v>NA</v>
      </c>
      <c r="AG613" s="145">
        <f>AG611*AG637</f>
        <v>270.39999999999998</v>
      </c>
      <c r="AH613" s="72">
        <f>IF(ISERROR(AG613/Y613),"NA",IF(OR(AG613/Y613&gt;2,AG613/Y613&lt;0.5),"NM",AG613/Y613*100-100))</f>
        <v>20.542082738944359</v>
      </c>
      <c r="AI613" s="145">
        <f>AI611*AI637</f>
        <v>0</v>
      </c>
      <c r="AJ613" s="72" t="str">
        <f>IF(ISERROR(AI613/AA613),"NA",IF(OR(AI613/AA613&gt;2,AI613/AA613&lt;0.5),"NM",AI613/AA613*100-100))</f>
        <v>NA</v>
      </c>
      <c r="AK613" s="145">
        <f>AK611*AK637</f>
        <v>0</v>
      </c>
      <c r="AL613" s="72" t="str">
        <f>IF(ISERROR(AK613/AC613),"NA",IF(OR(AK613/AC613&gt;2,AK613/AC613&lt;0.5),"NM",AK613/AC613*100-100))</f>
        <v>NA</v>
      </c>
      <c r="AM613" s="145">
        <f>AM611*AM637</f>
        <v>0</v>
      </c>
      <c r="AN613" s="72" t="str">
        <f>IF(ISERROR(AM613/AE613),"NA",IF(OR(AM613/AE613&gt;2,AM613/AE613&lt;0.5),"NM",AM613/AE613*100-100))</f>
        <v>NA</v>
      </c>
      <c r="AO613" s="145">
        <f>AO611*AO637</f>
        <v>332.1875</v>
      </c>
      <c r="AP613" s="72">
        <f>IF(ISERROR(AO613/AG613),"NA",IF(OR(AO613/AG613&gt;2,AO613/AG613&lt;0.5),"NM",AO613/AG613*100-100))</f>
        <v>22.850406804733737</v>
      </c>
      <c r="AQ613" s="145">
        <f>AQ611*AQ637</f>
        <v>0</v>
      </c>
      <c r="AR613" s="72" t="str">
        <f>IF(ISERROR(AQ613/AI613),"NA",IF(OR(AQ613/AI613&gt;2,AQ613/AI613&lt;0.5),"NM",AQ613/AI613*100-100))</f>
        <v>NA</v>
      </c>
      <c r="AS613" s="145">
        <f>AS611*AS637</f>
        <v>0</v>
      </c>
      <c r="AT613" s="72" t="str">
        <f>IF(ISERROR(AS613/AK613),"NA",IF(OR(AS613/AK613&gt;2,AS613/AK613&lt;0.5),"NM",AS613/AK613*100-100))</f>
        <v>NA</v>
      </c>
      <c r="AU613" s="145">
        <f>AU611*AU637</f>
        <v>0</v>
      </c>
      <c r="AV613" s="72" t="str">
        <f>IF(ISERROR(AU613/AM613),"NA",IF(OR(AU613/AM613&gt;2,AU613/AM613&lt;0.5),"NM",AU613/AM613*100-100))</f>
        <v>NA</v>
      </c>
      <c r="AW613" s="145">
        <f>AW611*AW637</f>
        <v>395.53800000000001</v>
      </c>
      <c r="AX613" s="72">
        <f>IF(ISERROR(AW613/AO613),"NA",IF(OR(AW613/AO613&gt;2,AW613/AO613&lt;0.5),"NM",AW613/AO613*100-100))</f>
        <v>19.070705550329265</v>
      </c>
      <c r="AY613" s="145">
        <f>AY611*AY637</f>
        <v>0</v>
      </c>
      <c r="AZ613" s="72" t="str">
        <f>IF(ISERROR(AY613/AQ613),"NA",IF(OR(AY613/AQ613&gt;2,AY613/AQ613&lt;0.5),"NM",AY613/AQ613*100-100))</f>
        <v>NA</v>
      </c>
      <c r="BA613" s="145">
        <f>BA611*BA637</f>
        <v>0</v>
      </c>
      <c r="BB613" s="72" t="str">
        <f>IF(ISERROR(BA613/AS613),"NA",IF(OR(BA613/AS613&gt;2,BA613/AS613&lt;0.5),"NM",BA613/AS613*100-100))</f>
        <v>NA</v>
      </c>
      <c r="BC613" s="145">
        <f>BC611*BC637</f>
        <v>0</v>
      </c>
      <c r="BD613" s="72" t="str">
        <f>IF(ISERROR(BC613/AU613),"NA",IF(OR(BC613/AU613&gt;2,BC613/AU613&lt;0.5),"NM",BC613/AU613*100-100))</f>
        <v>NA</v>
      </c>
      <c r="BE613" s="145">
        <f>BE611*BE637</f>
        <v>456.09500000000003</v>
      </c>
      <c r="BF613" s="72">
        <f>IF(ISERROR(BE613/AW613),"NA",IF(OR(BE613/AW613&gt;2,BE613/AW613&lt;0.5),"NM",BE613/AW613*100-100))</f>
        <v>15.31003342283168</v>
      </c>
      <c r="BG613" s="145">
        <f>BG611*BG637</f>
        <v>0</v>
      </c>
      <c r="BH613" s="72" t="str">
        <f>IF(ISERROR(BG613/AY613),"NA",IF(OR(BG613/AY613&gt;2,BG613/AY613&lt;0.5),"NM",BG613/AY613*100-100))</f>
        <v>NA</v>
      </c>
      <c r="BI613" s="145">
        <f>BI611*BI637</f>
        <v>0</v>
      </c>
      <c r="BJ613" s="72" t="str">
        <f>IF(ISERROR(BI613/BA613),"NA",IF(OR(BI613/BA613&gt;2,BI613/BA613&lt;0.5),"NM",BI613/BA613*100-100))</f>
        <v>NA</v>
      </c>
      <c r="BK613" s="145">
        <f>BK611*BK637</f>
        <v>0</v>
      </c>
      <c r="BL613" s="72" t="str">
        <f>IF(ISERROR(BK613/BC613),"NA",IF(OR(BK613/BC613&gt;2,BK613/BC613&lt;0.5),"NM",BK613/BC613*100-100))</f>
        <v>NA</v>
      </c>
      <c r="BM613" s="145">
        <f>BM611*BM637</f>
        <v>523.25</v>
      </c>
      <c r="BN613" s="72">
        <f>IF(ISERROR(BM613/BE613),"NA",IF(OR(BM613/BE613&gt;2,BM613/BE613&lt;0.5),"NM",BM613/BE613*100-100))</f>
        <v>14.723906203751412</v>
      </c>
      <c r="BO613" s="145">
        <f>BO611*BO637</f>
        <v>0</v>
      </c>
      <c r="BP613" s="72" t="str">
        <f>IF(ISERROR(BO613/BG613),"NA",IF(OR(BO613/BG613&gt;2,BO613/BG613&lt;0.5),"NM",BO613/BG613*100-100))</f>
        <v>NA</v>
      </c>
      <c r="BQ613" s="145">
        <f>BQ611*BQ637</f>
        <v>0</v>
      </c>
      <c r="BR613" s="72" t="str">
        <f>IF(ISERROR(BQ613/BI613),"NA",IF(OR(BQ613/BI613&gt;2,BQ613/BI613&lt;0.5),"NM",BQ613/BI613*100-100))</f>
        <v>NA</v>
      </c>
      <c r="BS613" s="145">
        <f>BS611*BS637</f>
        <v>0</v>
      </c>
      <c r="BT613" s="72" t="str">
        <f>IF(ISERROR(BS613/BK613),"NA",IF(OR(BS613/BK613&gt;2,BS613/BK613&lt;0.5),"NM",BS613/BK613*100-100))</f>
        <v>NA</v>
      </c>
      <c r="BU613" s="145">
        <f>BU611*BU637</f>
        <v>246.03599999999997</v>
      </c>
      <c r="BV613" s="72" t="str">
        <f>IF(ISERROR(BU613/BM613),"NA",IF(OR(BU613/BM613&gt;2,BU613/BM613&lt;0.5),"NM",BU613/BM613*100-100))</f>
        <v>NM</v>
      </c>
      <c r="BW613" s="145">
        <f>BW611*BW637</f>
        <v>0</v>
      </c>
      <c r="BX613" s="72" t="str">
        <f>IF(ISERROR(BW613/BO613),"NA",IF(OR(BW613/BO613&gt;2,BW613/BO613&lt;0.5),"NM",BW613/BO613*100-100))</f>
        <v>NA</v>
      </c>
      <c r="BY613" s="145">
        <f>BY611*BY637</f>
        <v>0</v>
      </c>
      <c r="BZ613" s="72" t="str">
        <f>IF(ISERROR(BY613/BQ613),"NA",IF(OR(BY613/BQ613&gt;2,BY613/BQ613&lt;0.5),"NM",BY613/BQ613*100-100))</f>
        <v>NA</v>
      </c>
      <c r="CA613" s="145">
        <f>CA611*CA637</f>
        <v>0</v>
      </c>
      <c r="CB613" s="72" t="str">
        <f>IF(ISERROR(CA613/BS613),"NA",IF(OR(CA613/BS613&gt;2,CA613/BS613&lt;0.5),"NM",CA613/BS613*100-100))</f>
        <v>NA</v>
      </c>
      <c r="CC613" s="145">
        <f>CC611*CC632</f>
        <v>323.46999999999997</v>
      </c>
      <c r="CD613" s="72">
        <f>IF(ISERROR(CC613/BU613),"NA",IF(OR(CC613/BU613&gt;2,CC613/BU613&lt;0.5),"NM",CC613/BU613*100-100))</f>
        <v>31.472630021622848</v>
      </c>
      <c r="CE613" s="145">
        <f>CE611*CE632</f>
        <v>0</v>
      </c>
      <c r="CF613" s="72" t="str">
        <f>IF(ISERROR(CE613/BW613),"NA",IF(OR(CE613/BW613&gt;2,CE613/BW613&lt;0.5),"NM",CE613/BW613*100-100))</f>
        <v>NA</v>
      </c>
      <c r="CG613" s="145">
        <f>CG611*CG632</f>
        <v>0</v>
      </c>
      <c r="CH613" s="72" t="str">
        <f>IF(ISERROR(CG613/BY613),"NA",IF(OR(CG613/BY613&gt;2,CG613/BY613&lt;0.5),"NM",CG613/BY613*100-100))</f>
        <v>NA</v>
      </c>
      <c r="CI613" s="145">
        <f>CI611*CI632</f>
        <v>0</v>
      </c>
      <c r="CJ613" s="72" t="str">
        <f>IF(ISERROR(CI613/CA613),"NA",IF(OR(CI613/CA613&gt;2,CI613/CA613&lt;0.5),"NM",CI613/CA613*100-100))</f>
        <v>NA</v>
      </c>
      <c r="CK613" s="145">
        <f>CK611*CK632</f>
        <v>556.37</v>
      </c>
      <c r="CL613" s="72">
        <f>IF(ISERROR(CK613/CC613),"NA",IF(OR(CK613/CC613&gt;2,CK613/CC613&lt;0.5),"NM",CK613/CC613*100-100))</f>
        <v>72.000494636287783</v>
      </c>
      <c r="CM613" s="145">
        <f>CM611*CM632</f>
        <v>0</v>
      </c>
      <c r="CN613" s="72" t="str">
        <f>IF(ISERROR(CM613/CE613),"NA",IF(OR(CM613/CE613&gt;2,CM613/CE613&lt;0.5),"NM",CM613/CE613*100-100))</f>
        <v>NA</v>
      </c>
      <c r="CO613" s="145">
        <f>CO611*CO632</f>
        <v>0</v>
      </c>
      <c r="CP613" s="72" t="str">
        <f>IF(ISERROR(CO613/CG613),"NA",IF(OR(CO613/CG613&gt;2,CO613/CG613&lt;0.5),"NM",CO613/CG613*100-100))</f>
        <v>NA</v>
      </c>
      <c r="CQ613" s="145">
        <f>CQ611*CQ632</f>
        <v>0</v>
      </c>
      <c r="CR613" s="72" t="str">
        <f>IF(ISERROR(CQ613/CI613),"NA",IF(OR(CQ613/CI613&gt;2,CQ613/CI613&lt;0.5),"NM",CQ613/CI613*100-100))</f>
        <v>NA</v>
      </c>
      <c r="CS613" s="145">
        <f>CS611*CS632</f>
        <v>678.6</v>
      </c>
      <c r="CT613" s="72">
        <f>IF(ISERROR(CS613/CK613),"NA",IF(OR(CS613/CK613&gt;2,CS613/CK613&lt;0.5),"NM",CS613/CK613*100-100))</f>
        <v>21.969193162823302</v>
      </c>
      <c r="CU613" s="145">
        <f>CU611*CU632</f>
        <v>0</v>
      </c>
      <c r="CV613" s="72" t="str">
        <f>IF(ISERROR(CU613/CM613),"NA",IF(OR(CU613/CM613&gt;2,CU613/CM613&lt;0.5),"NM",CU613/CM613*100-100))</f>
        <v>NA</v>
      </c>
      <c r="CW613" s="145">
        <f>CW611*CW632</f>
        <v>0</v>
      </c>
      <c r="CX613" s="72" t="str">
        <f>IF(ISERROR(CW613/CO613),"NA",IF(OR(CW613/CO613&gt;2,CW613/CO613&lt;0.5),"NM",CW613/CO613*100-100))</f>
        <v>NA</v>
      </c>
      <c r="CY613" s="145">
        <f>CY611*CY632</f>
        <v>0</v>
      </c>
      <c r="CZ613" s="72" t="str">
        <f>IF(ISERROR(CY613/CQ613),"NA",IF(OR(CY613/CQ613&gt;2,CY613/CQ613&lt;0.5),"NM",CY613/CQ613*100-100))</f>
        <v>NA</v>
      </c>
      <c r="DA613" s="145">
        <f>DA611*DA632</f>
        <v>740.80000000000007</v>
      </c>
      <c r="DB613" s="72">
        <f>IF(ISERROR(DA613/CS613),"NA",IF(OR(DA613/CS613&gt;2,DA613/CS613&lt;0.5),"NM",DA613/CS613*100-100))</f>
        <v>9.1659298555850484</v>
      </c>
      <c r="DC613" s="145">
        <f>DC611*DC632</f>
        <v>186.12</v>
      </c>
      <c r="DD613" s="72" t="str">
        <f>IF(ISERROR(DC613/CU613),"NA",IF(OR(DC613/CU613&gt;2,DC613/CU613&lt;0.5),"NM",DC613/CU613*100-100))</f>
        <v>NA</v>
      </c>
      <c r="DE613" s="145">
        <f>DE611*DE632</f>
        <v>185.20000000000002</v>
      </c>
      <c r="DF613" s="72" t="str">
        <f>IF(ISERROR(DE613/CW613),"NA",IF(OR(DE613/CW613&gt;2,DE613/CW613&lt;0.5),"NM",DE613/CW613*100-100))</f>
        <v>NA</v>
      </c>
      <c r="DG613" s="145">
        <f>DG611*DG632</f>
        <v>184.76</v>
      </c>
      <c r="DH613" s="72" t="str">
        <f>IF(ISERROR(DG613/CY613),"NA",IF(OR(DG613/CY613&gt;2,DG613/CY613&lt;0.5),"NM",DG613/CY613*100-100))</f>
        <v>NA</v>
      </c>
      <c r="DI613" s="145">
        <f>DI611*DI632</f>
        <v>244.38300000000004</v>
      </c>
      <c r="DJ613" s="72" t="str">
        <f>IF(ISERROR(DI613/DA613),"NA",IF(OR(DI613/DA613&gt;2,DI613/DA613&lt;0.5),"NM",DI613/DA613*100-100))</f>
        <v>NM</v>
      </c>
      <c r="DK613" s="145">
        <f>DK611*DK632</f>
        <v>244.012</v>
      </c>
      <c r="DL613" s="72">
        <f>IF(ISERROR(DK613/DC613),"NA",IF(OR(DK613/DC613&gt;2,DK613/DC613&lt;0.5),"NM",DK613/DC613*100-100))</f>
        <v>31.104663657855127</v>
      </c>
      <c r="DM613" s="145">
        <f>DM611*DM632</f>
        <v>242.952</v>
      </c>
      <c r="DN613" s="72">
        <f>IF(ISERROR(DM613/DE613),"NA",IF(OR(DM613/DE613&gt;2,DM613/DE613&lt;0.5),"NM",DM613/DE613*100-100))</f>
        <v>31.183585313174945</v>
      </c>
      <c r="DO613" s="145">
        <f>DO611*DO632</f>
        <v>242.26300000000003</v>
      </c>
      <c r="DP613" s="72">
        <f>IF(ISERROR(DO613/DG613),"NA",IF(OR(DO613/DG613&gt;2,DO613/DG613&lt;0.5),"NM",DO613/DG613*100-100))</f>
        <v>31.123078588439085</v>
      </c>
      <c r="DQ613" s="145">
        <f>DQ611*DQ632</f>
        <v>263.78399999999999</v>
      </c>
      <c r="DR613" s="72">
        <f>IF(ISERROR(DQ613/DI613),"NA",IF(OR(DQ613/DI613&gt;2,DQ613/DI613&lt;0.5),"NM",DQ613/DI613*100-100))</f>
        <v>7.9387682449270045</v>
      </c>
      <c r="DS613" s="145">
        <f>DS611*DS632</f>
        <v>263.02999999999997</v>
      </c>
      <c r="DT613" s="72">
        <f>IF(ISERROR(DS613/DK613),"NA",IF(OR(DS613/DK613&gt;2,DS613/DK613&lt;0.5),"NM",DS613/DK613*100-100))</f>
        <v>7.7938789895578822</v>
      </c>
      <c r="DU613" s="145">
        <f>DU611*DU632</f>
        <v>262.10199999999998</v>
      </c>
      <c r="DV613" s="72">
        <f>IF(ISERROR(DU613/DM613),"NA",IF(OR(DU613/DM613&gt;2,DU613/DM613&lt;0.5),"NM",DU613/DM613*100-100))</f>
        <v>7.8822154170371022</v>
      </c>
      <c r="DW613" s="145">
        <f>DW611*DW632</f>
        <v>260.65199999999999</v>
      </c>
      <c r="DX613" s="72">
        <f>IF(ISERROR(DW613/DO613),"NA",IF(OR(DW613/DO613&gt;2,DW613/DO613&lt;0.5),"NM",DW613/DO613*100-100))</f>
        <v>7.5905111387211122</v>
      </c>
      <c r="DY613" s="145">
        <f>DY611*DY632</f>
        <v>312.96999999999997</v>
      </c>
      <c r="DZ613" s="72">
        <f>IF(ISERROR(DY613/DQ613),"NA",IF(OR(DY613/DQ613&gt;2,DY613/DQ613&lt;0.5),"NM",DY613/DQ613*100-100))</f>
        <v>18.646316683346981</v>
      </c>
      <c r="EA613" s="145">
        <f>EA611*EA632</f>
        <v>310.17</v>
      </c>
      <c r="EB613" s="72">
        <f>IF(ISERROR(EA613/DS613),"NA",IF(OR(EA613/DS613&gt;2,EA613/DS613&lt;0.5),"NM",EA613/DS613*100-100))</f>
        <v>17.921910048283479</v>
      </c>
      <c r="EC613" s="145">
        <f>EC611*EC632</f>
        <v>307.08999999999997</v>
      </c>
      <c r="ED613" s="72">
        <f>IF(ISERROR(EC613/DU613),"NA",IF(OR(EC613/DU613&gt;2,EC613/DU613&lt;0.5),"NM",EC613/DU613*100-100))</f>
        <v>17.164310077755985</v>
      </c>
      <c r="EE613" s="145">
        <f>EE611*EE632</f>
        <v>302.19</v>
      </c>
      <c r="EF613" s="72">
        <f>IF(ISERROR(EE613/DW613),"NA",IF(OR(EE613/DW613&gt;2,EE613/DW613&lt;0.5),"NM",EE613/DW613*100-100))</f>
        <v>15.936190783113119</v>
      </c>
      <c r="EG613" s="145">
        <f>EG611*EG632</f>
        <v>322.20000000000005</v>
      </c>
      <c r="EH613" s="72">
        <f>IF(ISERROR(EG613/DY613),"NA",IF(OR(EG613/DY613&gt;2,EG613/DY613&lt;0.5),"NM",EG613/DY613*100-100))</f>
        <v>2.9491644566572006</v>
      </c>
      <c r="EI613" s="145">
        <f>EI611*EI632</f>
        <v>321.97500000000002</v>
      </c>
      <c r="EJ613" s="72">
        <f>IF(ISERROR(EI613/EA613),"NA",IF(OR(EI613/EA613&gt;2,EI613/EA613&lt;0.5),"NM",EI613/EA613*100-100))</f>
        <v>3.8059773672502075</v>
      </c>
      <c r="EK613" s="145">
        <f>EK611*EK632</f>
        <v>319.76745549590282</v>
      </c>
      <c r="EL613" s="72">
        <f>IF(ISERROR(EK613/EC613),"NA",IF(OR(EK613/EC613&gt;2,EK613/EC613&lt;0.5),"NM",EK613/EC613*100-100))</f>
        <v>4.1282540935565777</v>
      </c>
      <c r="EM613" s="145">
        <f>EM611*EM632</f>
        <v>317.56364731536684</v>
      </c>
      <c r="EN613" s="72">
        <f>IF(ISERROR(EM613/EE613),"NA",IF(OR(EM613/EE613&gt;2,EM613/EE613&lt;0.5),"NM",EM613/EE613*100-100))</f>
        <v>5.0874110047873273</v>
      </c>
      <c r="EO613" s="145">
        <f>EO611*EO632</f>
        <v>315.46364731536681</v>
      </c>
      <c r="EP613" s="72">
        <f>IF(ISERROR(EO613/EG613),"NA",IF(OR(EO613/EG613&gt;2,EO613/EG613&lt;0.5),"NM",EO613/EG613*100-100))</f>
        <v>-2.0907364011897016</v>
      </c>
      <c r="EQ613" s="145">
        <f t="shared" ref="EQ613" si="2904">EQ611*EQ632</f>
        <v>375.561953400547</v>
      </c>
      <c r="ER613" s="72">
        <f t="shared" si="2894"/>
        <v>16.643203168117694</v>
      </c>
      <c r="ES613" s="145">
        <f t="shared" ref="ES613" si="2905">ES611*ES632</f>
        <v>372.60308049885032</v>
      </c>
      <c r="ET613" s="72">
        <f t="shared" si="2900"/>
        <v>16.523140205437343</v>
      </c>
      <c r="EU613" s="145">
        <f t="shared" ref="EU613" si="2906">EU611*EU632</f>
        <v>369.67960986835686</v>
      </c>
      <c r="EV613" s="72">
        <f t="shared" si="2902"/>
        <v>16.4111865427829</v>
      </c>
      <c r="EW613" s="145">
        <f t="shared" ref="EW613" si="2907">EW611*EW632</f>
        <v>366.79138733190007</v>
      </c>
      <c r="EX613" s="72">
        <f t="shared" si="2896"/>
        <v>16.27057204636364</v>
      </c>
      <c r="EY613" s="72"/>
      <c r="EZ613" s="296"/>
      <c r="FA613" s="72"/>
      <c r="FB613" s="75"/>
      <c r="FC613" s="11"/>
      <c r="FD613" s="75">
        <f>FD611*FD637</f>
        <v>0</v>
      </c>
      <c r="FE613" s="72" t="str">
        <f>IF(ISERROR(FD613/FB613),"NA",IF(OR(FD613/FB613&gt;2,FD613/FB613&lt;0.5),"NM",FD613/FB613*100-100))</f>
        <v>NA</v>
      </c>
      <c r="FF613" s="75">
        <f>FF611*FF637</f>
        <v>0</v>
      </c>
      <c r="FG613" s="72" t="str">
        <f>IF(ISERROR(FF613/FD613),"NA",IF(OR(FF613/FD613&gt;2,FF613/FD613&lt;0.5),"NM",FF613/FD613*100-100))</f>
        <v>NA</v>
      </c>
      <c r="FH613" s="75">
        <f>FH611*FH637</f>
        <v>0</v>
      </c>
      <c r="FI613" s="72" t="str">
        <f>IF(ISERROR(FH613/FF613),"NA",IF(OR(FH613/FF613&gt;2,FH613/FF613&lt;0.5),"NM",FH613/FF613*100-100))</f>
        <v>NA</v>
      </c>
      <c r="FJ613" s="75">
        <f>FJ611*FJ637</f>
        <v>224.32</v>
      </c>
      <c r="FK613" s="72" t="str">
        <f>IF(ISERROR(FJ613/FH613),"NA",IF(OR(FJ613/FH613&gt;2,FJ613/FH613&lt;0.5),"NM",FJ613/FH613*100-100))</f>
        <v>NA</v>
      </c>
      <c r="FL613" s="75">
        <f>FL611*FL637</f>
        <v>270.39999999999998</v>
      </c>
      <c r="FM613" s="72">
        <f>IF(ISERROR(FL613/FJ613),"NA",IF(OR(FL613/FJ613&gt;2,FL613/FJ613&lt;0.5),"NM",FL613/FJ613*100-100))</f>
        <v>20.542082738944359</v>
      </c>
      <c r="FN613" s="75">
        <f>FN611*FN637</f>
        <v>332.1875</v>
      </c>
      <c r="FO613" s="72">
        <f>IF(ISERROR(FN613/FL613),"NA",IF(OR(FN613/FL613&gt;2,FN613/FL613&lt;0.5),"NM",FN613/FL613*100-100))</f>
        <v>22.850406804733737</v>
      </c>
      <c r="FP613" s="75">
        <f>FP611*FP637</f>
        <v>395.53800000000001</v>
      </c>
      <c r="FQ613" s="72">
        <f>IF(ISERROR(FP613/FN613),"NA",IF(OR(FP613/FN613&gt;2,FP613/FN613&lt;0.5),"NM",FP613/FN613*100-100))</f>
        <v>19.070705550329265</v>
      </c>
      <c r="FR613" s="144">
        <f>FR611*FR637</f>
        <v>456.09500000000003</v>
      </c>
      <c r="FS613" s="72">
        <f>IF(ISERROR(FR613/FP613),"NA",IF(OR(FR613/FP613&gt;2,FR613/FP613&lt;0.5),"NM",FR613/FP613*100-100))</f>
        <v>15.31003342283168</v>
      </c>
      <c r="FT613" s="144">
        <f>FT611*FT637</f>
        <v>523.25</v>
      </c>
      <c r="FU613" s="72">
        <f>IF(ISERROR(FT613/FR613),"NA",IF(OR(FT613/FR613&gt;2,FT613/FR613&lt;0.5),"NM",FT613/FR613*100-100))</f>
        <v>14.723906203751412</v>
      </c>
      <c r="FV613" s="144">
        <f>FV611*FV637</f>
        <v>246.03599999999997</v>
      </c>
      <c r="FW613" s="72" t="str">
        <f>IF(ISERROR(FV613/FT613),"NA",IF(OR(FV613/FT613&gt;2,FV613/FT613&lt;0.5),"NM",FV613/FT613*100-100))</f>
        <v>NM</v>
      </c>
      <c r="FX613" s="144">
        <f>FX611*FX637</f>
        <v>328.15999999999997</v>
      </c>
      <c r="FY613" s="72">
        <f>IF(ISERROR(FX613/FV613),"NA",IF(OR(FX613/FV613&gt;2,FX613/FV613&lt;0.5),"NM",FX613/FV613*100-100))</f>
        <v>33.378855126892006</v>
      </c>
      <c r="FZ613" s="144">
        <f>FZ611*FZ632</f>
        <v>556.37</v>
      </c>
      <c r="GA613" s="72">
        <f>IF(ISERROR(FZ613/FX613),"NA",IF(OR(FZ613/FX613&gt;2,FZ613/FX613&lt;0.5),"NM",FZ613/FX613*100-100))</f>
        <v>69.542296440760623</v>
      </c>
      <c r="GB613" s="144">
        <f>GB611*GB632</f>
        <v>678.6</v>
      </c>
      <c r="GC613" s="72">
        <f>IF(ISERROR(GB613/FZ613),"NA",IF(OR(GB613/FZ613&gt;2,GB613/FZ613&lt;0.5),"NM",GB613/FZ613*100-100))</f>
        <v>21.969193162823302</v>
      </c>
      <c r="GD613" s="144">
        <f>GD611*GD632</f>
        <v>740.80000000000007</v>
      </c>
      <c r="GE613" s="72">
        <f>IF(ISERROR(GD613/GB613),"NA",IF(OR(GD613/GB613&gt;2,GD613/GB613&lt;0.5),"NM",GD613/GB613*100-100))</f>
        <v>9.1659298555850484</v>
      </c>
      <c r="GF613" s="144">
        <f>GF611*GF632</f>
        <v>797.70300000000009</v>
      </c>
      <c r="GG613" s="72">
        <f>IF(ISERROR(GF613/GD613),"NA",IF(OR(GF613/GD613&gt;2,GF613/GD613&lt;0.5),"NM",GF613/GD613*100-100))</f>
        <v>7.6812904967602549</v>
      </c>
      <c r="GH613" s="144">
        <f>GH611*GH632</f>
        <v>986.91599999999994</v>
      </c>
      <c r="GI613" s="72">
        <f t="shared" si="2897"/>
        <v>23.719730275553658</v>
      </c>
      <c r="GJ613" s="144">
        <f>GJ611*GJ632</f>
        <v>1090.9239999999998</v>
      </c>
      <c r="GK613" s="72">
        <f t="shared" si="2897"/>
        <v>10.538688196361164</v>
      </c>
      <c r="GL613" s="144">
        <f>GL611*GL632</f>
        <v>1224.3599999999999</v>
      </c>
      <c r="GM613" s="72">
        <f t="shared" si="2897"/>
        <v>12.23146616996236</v>
      </c>
      <c r="GN613" s="144">
        <f>GN611*GN632</f>
        <v>1261.8545892614673</v>
      </c>
      <c r="GO613" s="72">
        <f t="shared" si="2897"/>
        <v>3.0623827355898072</v>
      </c>
      <c r="GP613" s="144">
        <f>GP611*GP632</f>
        <v>1467.1655493276003</v>
      </c>
      <c r="GQ613" s="72">
        <f t="shared" si="2897"/>
        <v>16.27057204636364</v>
      </c>
      <c r="GR613" s="144">
        <f>GR611*GR632</f>
        <v>1564.3777556276702</v>
      </c>
      <c r="GS613" s="72">
        <f t="shared" si="2897"/>
        <v>6.6258512098121685</v>
      </c>
      <c r="GT613" s="144">
        <f>GT611*GT632</f>
        <v>1665.162297623606</v>
      </c>
      <c r="GU613" s="72">
        <f t="shared" si="2897"/>
        <v>6.4424683637551681</v>
      </c>
      <c r="GV613" s="144">
        <f>GV611*GV632</f>
        <v>1772.9127596936949</v>
      </c>
      <c r="GW613" s="72">
        <f>IF(ISERROR(GV613/GT613),"NA",IF(OR(GV613/GT613&gt;2,GV613/GT613&lt;0.5),"NM",GV613/GT613*100-100))</f>
        <v>6.4708684687289804</v>
      </c>
      <c r="GX613" s="144">
        <f>GX611*GX632</f>
        <v>1888.0239321874139</v>
      </c>
      <c r="GY613" s="72">
        <f>IF(ISERROR(GX613/GV613),"NA",IF(OR(GX613/GV613&gt;2,GX613/GV613&lt;0.5),"NM",GX613/GV613*100-100))</f>
        <v>6.4927713935347242</v>
      </c>
      <c r="GZ613" s="72">
        <f>IF(ISERROR(((GX613/GN613)^0.2-1)*100),"NA",IF((((GX613/GN613)^0.2-1)*100)&gt;100,"NM",IF((((GX613/GN613)^0.2-1)*100)&lt;-50,"NM",((GX613/GN613)^0.2-1)*100)))</f>
        <v>8.3926007271321481</v>
      </c>
      <c r="HA613" s="72"/>
      <c r="HB613" s="72"/>
      <c r="HC613"/>
      <c r="HD613"/>
      <c r="HE613"/>
      <c r="HF613"/>
      <c r="HG613"/>
      <c r="HH613"/>
      <c r="HI613" s="2"/>
    </row>
    <row r="614" spans="1:217" s="3" customFormat="1" ht="12.75" customHeight="1" x14ac:dyDescent="0.2">
      <c r="B614" s="18"/>
      <c r="C614" s="9"/>
      <c r="D614" s="11"/>
      <c r="E614" s="9"/>
      <c r="F614" s="11"/>
      <c r="G614" s="9"/>
      <c r="H614" s="11"/>
      <c r="I614" s="9"/>
      <c r="J614" s="11"/>
      <c r="K614" s="9"/>
      <c r="L614" s="72"/>
      <c r="M614" s="9"/>
      <c r="N614" s="72"/>
      <c r="O614" s="9"/>
      <c r="P614" s="72"/>
      <c r="Q614" s="9"/>
      <c r="R614" s="72"/>
      <c r="S614" s="9"/>
      <c r="T614" s="72"/>
      <c r="U614" s="9"/>
      <c r="V614" s="72"/>
      <c r="W614" s="9"/>
      <c r="X614" s="72"/>
      <c r="Y614" s="9"/>
      <c r="Z614" s="72"/>
      <c r="AA614" s="9"/>
      <c r="AB614" s="72"/>
      <c r="AC614" s="9"/>
      <c r="AD614" s="72"/>
      <c r="AE614" s="9"/>
      <c r="AF614" s="72"/>
      <c r="AG614" s="9"/>
      <c r="AH614" s="72"/>
      <c r="AI614" s="9"/>
      <c r="AJ614" s="72"/>
      <c r="AK614" s="9"/>
      <c r="AL614" s="72"/>
      <c r="AM614" s="9"/>
      <c r="AN614" s="72"/>
      <c r="AO614" s="9"/>
      <c r="AP614" s="72"/>
      <c r="AQ614" s="9"/>
      <c r="AR614" s="72"/>
      <c r="AS614" s="9"/>
      <c r="AT614" s="72"/>
      <c r="AU614" s="9"/>
      <c r="AV614" s="72"/>
      <c r="AW614" s="9"/>
      <c r="AX614" s="72"/>
      <c r="AY614" s="9"/>
      <c r="AZ614" s="72"/>
      <c r="BA614" s="9"/>
      <c r="BB614" s="72"/>
      <c r="BC614" s="9"/>
      <c r="BD614" s="72"/>
      <c r="BE614" s="9"/>
      <c r="BF614" s="72"/>
      <c r="BG614" s="9"/>
      <c r="BH614" s="72"/>
      <c r="BI614" s="9"/>
      <c r="BJ614" s="72"/>
      <c r="BK614" s="9"/>
      <c r="BL614" s="72"/>
      <c r="BM614" s="9"/>
      <c r="BN614" s="72"/>
      <c r="BO614" s="9"/>
      <c r="BP614" s="72"/>
      <c r="BQ614" s="9"/>
      <c r="BR614" s="72"/>
      <c r="BS614" s="9"/>
      <c r="BT614" s="72"/>
      <c r="BU614" s="9"/>
      <c r="BV614" s="72"/>
      <c r="BW614" s="9"/>
      <c r="BX614" s="72"/>
      <c r="BY614" s="9"/>
      <c r="BZ614" s="72"/>
      <c r="CA614" s="9"/>
      <c r="CB614" s="72"/>
      <c r="CC614" s="9"/>
      <c r="CD614" s="72"/>
      <c r="CE614" s="9"/>
      <c r="CF614" s="72"/>
      <c r="CG614" s="9"/>
      <c r="CH614" s="72"/>
      <c r="CI614" s="9"/>
      <c r="CJ614" s="72"/>
      <c r="CK614" s="9"/>
      <c r="CL614" s="72"/>
      <c r="CM614" s="9"/>
      <c r="CN614" s="72"/>
      <c r="CO614" s="9"/>
      <c r="CP614" s="72"/>
      <c r="CQ614" s="9"/>
      <c r="CR614" s="72"/>
      <c r="CS614" s="9"/>
      <c r="CT614" s="72"/>
      <c r="CU614" s="9"/>
      <c r="CV614" s="72"/>
      <c r="CW614" s="9"/>
      <c r="CX614" s="72"/>
      <c r="CY614" s="9"/>
      <c r="CZ614" s="72"/>
      <c r="DA614" s="9"/>
      <c r="DB614" s="72"/>
      <c r="DC614" s="9"/>
      <c r="DD614" s="72"/>
      <c r="DE614" s="9"/>
      <c r="DF614" s="72"/>
      <c r="DG614" s="9"/>
      <c r="DH614" s="72"/>
      <c r="DI614" s="9"/>
      <c r="DJ614" s="72"/>
      <c r="DK614" s="9"/>
      <c r="DL614" s="72"/>
      <c r="DM614" s="9"/>
      <c r="DN614" s="72"/>
      <c r="DO614" s="9"/>
      <c r="DP614" s="72"/>
      <c r="DQ614" s="9"/>
      <c r="DR614" s="72"/>
      <c r="DS614" s="9"/>
      <c r="DT614" s="72"/>
      <c r="DU614" s="9"/>
      <c r="DV614" s="72"/>
      <c r="DW614" s="9"/>
      <c r="DX614" s="72"/>
      <c r="DY614" s="9"/>
      <c r="DZ614" s="72"/>
      <c r="EA614" s="9"/>
      <c r="EB614" s="72"/>
      <c r="EC614" s="9"/>
      <c r="ED614" s="72"/>
      <c r="EE614" s="9"/>
      <c r="EF614" s="72"/>
      <c r="EG614" s="9"/>
      <c r="EH614" s="72"/>
      <c r="EI614" s="9"/>
      <c r="EJ614" s="72"/>
      <c r="EK614" s="9"/>
      <c r="EL614" s="72"/>
      <c r="EM614" s="9"/>
      <c r="EN614" s="72"/>
      <c r="EO614" s="9"/>
      <c r="EP614" s="72"/>
      <c r="EQ614" s="9"/>
      <c r="ER614" s="72"/>
      <c r="ES614" s="9"/>
      <c r="ET614" s="72"/>
      <c r="EU614" s="9"/>
      <c r="EV614" s="72"/>
      <c r="EW614" s="9"/>
      <c r="EX614" s="72"/>
      <c r="EY614" s="72"/>
      <c r="EZ614" s="296"/>
      <c r="FA614" s="72"/>
      <c r="FB614" s="9"/>
      <c r="FC614" s="11"/>
      <c r="FD614" s="9"/>
      <c r="FE614" s="72"/>
      <c r="FF614" s="16"/>
      <c r="FG614" s="72"/>
      <c r="FH614" s="16"/>
      <c r="FI614" s="72"/>
      <c r="FJ614" s="16"/>
      <c r="FK614" s="72"/>
      <c r="FL614" s="16"/>
      <c r="FM614" s="72"/>
      <c r="FN614" s="16"/>
      <c r="FO614" s="72"/>
      <c r="FP614" s="9"/>
      <c r="FQ614" s="72"/>
      <c r="FR614" s="9"/>
      <c r="FS614" s="72"/>
      <c r="FT614" s="9"/>
      <c r="FU614" s="72"/>
      <c r="FV614" s="9"/>
      <c r="FW614" s="72"/>
      <c r="FX614" s="9"/>
      <c r="FY614" s="72"/>
      <c r="FZ614" s="9"/>
      <c r="GA614" s="72"/>
      <c r="GB614" s="9"/>
      <c r="GC614" s="72"/>
      <c r="GD614" s="9"/>
      <c r="GE614" s="72"/>
      <c r="GF614" s="9"/>
      <c r="GG614" s="72"/>
      <c r="GH614" s="9"/>
      <c r="GI614" s="72"/>
      <c r="GJ614" s="9"/>
      <c r="GK614" s="72"/>
      <c r="GL614" s="9"/>
      <c r="GM614" s="72"/>
      <c r="GN614" s="9"/>
      <c r="GO614" s="72"/>
      <c r="GP614" s="9"/>
      <c r="GQ614" s="72"/>
      <c r="GR614" s="9"/>
      <c r="GS614" s="72"/>
      <c r="GT614" s="9"/>
      <c r="GU614" s="72"/>
      <c r="GV614" s="9"/>
      <c r="GW614" s="72"/>
      <c r="GX614" s="9"/>
      <c r="GY614" s="72"/>
      <c r="GZ614" s="72"/>
      <c r="HA614" s="72"/>
      <c r="HB614" s="72"/>
      <c r="HC614"/>
      <c r="HD614"/>
      <c r="HE614"/>
      <c r="HF614"/>
      <c r="HG614"/>
      <c r="HH614"/>
      <c r="HI614" s="2"/>
    </row>
    <row r="615" spans="1:217" s="3" customFormat="1" ht="12.75" customHeight="1" x14ac:dyDescent="0.2">
      <c r="B615" s="182" t="s">
        <v>237</v>
      </c>
      <c r="C615" s="9"/>
      <c r="D615" s="11"/>
      <c r="E615" s="9"/>
      <c r="F615" s="11"/>
      <c r="G615" s="9"/>
      <c r="H615" s="11"/>
      <c r="I615" s="9"/>
      <c r="J615" s="11"/>
      <c r="K615" s="9"/>
      <c r="L615" s="72"/>
      <c r="M615" s="9"/>
      <c r="N615" s="72"/>
      <c r="O615" s="9"/>
      <c r="P615" s="72"/>
      <c r="Q615" s="9"/>
      <c r="R615" s="72"/>
      <c r="S615" s="9"/>
      <c r="T615" s="72"/>
      <c r="U615" s="9"/>
      <c r="V615" s="72"/>
      <c r="W615" s="9"/>
      <c r="X615" s="72"/>
      <c r="Y615" s="9"/>
      <c r="Z615" s="72"/>
      <c r="AA615" s="9"/>
      <c r="AB615" s="72"/>
      <c r="AC615" s="9"/>
      <c r="AD615" s="72"/>
      <c r="AE615" s="9"/>
      <c r="AF615" s="72"/>
      <c r="AG615" s="9"/>
      <c r="AH615" s="72"/>
      <c r="AI615" s="9"/>
      <c r="AJ615" s="72"/>
      <c r="AK615" s="9"/>
      <c r="AL615" s="72"/>
      <c r="AM615" s="9"/>
      <c r="AN615" s="72"/>
      <c r="AO615" s="9"/>
      <c r="AP615" s="72"/>
      <c r="AQ615" s="9"/>
      <c r="AR615" s="72"/>
      <c r="AS615" s="9"/>
      <c r="AT615" s="72"/>
      <c r="AU615" s="9"/>
      <c r="AV615" s="72"/>
      <c r="AW615" s="9"/>
      <c r="AX615" s="72"/>
      <c r="AY615" s="9"/>
      <c r="AZ615" s="72"/>
      <c r="BA615" s="9"/>
      <c r="BB615" s="72"/>
      <c r="BC615" s="9"/>
      <c r="BD615" s="72"/>
      <c r="BE615" s="9"/>
      <c r="BF615" s="72"/>
      <c r="BG615" s="9"/>
      <c r="BH615" s="72"/>
      <c r="BI615" s="9"/>
      <c r="BJ615" s="72"/>
      <c r="BK615" s="9"/>
      <c r="BL615" s="72"/>
      <c r="BM615" s="9"/>
      <c r="BN615" s="72"/>
      <c r="BO615" s="9"/>
      <c r="BP615" s="72"/>
      <c r="BQ615" s="9"/>
      <c r="BR615" s="72"/>
      <c r="BS615" s="9"/>
      <c r="BT615" s="72"/>
      <c r="BU615" s="9"/>
      <c r="BV615" s="72"/>
      <c r="BW615" s="9"/>
      <c r="BX615" s="72"/>
      <c r="BY615" s="9"/>
      <c r="BZ615" s="72"/>
      <c r="CA615" s="9"/>
      <c r="CB615" s="72"/>
      <c r="CC615" s="9"/>
      <c r="CD615" s="72"/>
      <c r="CE615" s="9"/>
      <c r="CF615" s="72"/>
      <c r="CG615" s="9"/>
      <c r="CH615" s="72"/>
      <c r="CI615" s="9"/>
      <c r="CJ615" s="72"/>
      <c r="CK615" s="9"/>
      <c r="CL615" s="72"/>
      <c r="CM615" s="9"/>
      <c r="CN615" s="72"/>
      <c r="CO615" s="9"/>
      <c r="CP615" s="72"/>
      <c r="CQ615" s="9"/>
      <c r="CR615" s="72"/>
      <c r="CS615" s="9"/>
      <c r="CT615" s="72"/>
      <c r="CU615" s="9"/>
      <c r="CV615" s="72"/>
      <c r="CW615" s="9"/>
      <c r="CX615" s="72"/>
      <c r="CY615" s="9"/>
      <c r="CZ615" s="72"/>
      <c r="DA615" s="9"/>
      <c r="DB615" s="72"/>
      <c r="DC615" s="9"/>
      <c r="DD615" s="72"/>
      <c r="DE615" s="9"/>
      <c r="DF615" s="72"/>
      <c r="DG615" s="9"/>
      <c r="DH615" s="72"/>
      <c r="DI615" s="9"/>
      <c r="DJ615" s="72"/>
      <c r="DK615" s="9"/>
      <c r="DL615" s="72"/>
      <c r="DM615" s="9"/>
      <c r="DN615" s="72"/>
      <c r="DO615" s="9"/>
      <c r="DP615" s="72"/>
      <c r="DQ615" s="9"/>
      <c r="DR615" s="72"/>
      <c r="DS615" s="9"/>
      <c r="DT615" s="72"/>
      <c r="DU615" s="9"/>
      <c r="DV615" s="72"/>
      <c r="DW615" s="9"/>
      <c r="DX615" s="72"/>
      <c r="DY615" s="9"/>
      <c r="DZ615" s="72"/>
      <c r="EA615" s="9"/>
      <c r="EB615" s="72"/>
      <c r="EC615" s="9"/>
      <c r="ED615" s="72"/>
      <c r="EE615" s="9"/>
      <c r="EF615" s="72"/>
      <c r="EG615" s="9"/>
      <c r="EH615" s="72"/>
      <c r="EI615" s="9"/>
      <c r="EJ615" s="72"/>
      <c r="EK615" s="9"/>
      <c r="EL615" s="72"/>
      <c r="EM615" s="9"/>
      <c r="EN615" s="72"/>
      <c r="EO615" s="9"/>
      <c r="EP615" s="72"/>
      <c r="EQ615" s="9"/>
      <c r="ER615" s="72"/>
      <c r="ES615" s="9"/>
      <c r="ET615" s="72"/>
      <c r="EU615" s="9"/>
      <c r="EV615" s="72"/>
      <c r="EW615" s="9"/>
      <c r="EX615" s="72"/>
      <c r="EY615" s="72"/>
      <c r="EZ615" s="296"/>
      <c r="FA615" s="72"/>
      <c r="FB615" s="9"/>
      <c r="FC615" s="11"/>
      <c r="FD615" s="9"/>
      <c r="FE615" s="72"/>
      <c r="FF615" s="16"/>
      <c r="FG615" s="72"/>
      <c r="FH615" s="16"/>
      <c r="FI615" s="72"/>
      <c r="FJ615" s="16"/>
      <c r="FK615" s="72"/>
      <c r="FL615" s="16"/>
      <c r="FM615" s="72"/>
      <c r="FN615" s="16"/>
      <c r="FO615" s="72"/>
      <c r="FP615" s="9"/>
      <c r="FQ615" s="72"/>
      <c r="FR615" s="9"/>
      <c r="FS615" s="72"/>
      <c r="FT615" s="9"/>
      <c r="FU615" s="72"/>
      <c r="FV615" s="9"/>
      <c r="FW615" s="72"/>
      <c r="FX615" s="9"/>
      <c r="FY615" s="72"/>
      <c r="FZ615" s="9"/>
      <c r="GA615" s="72"/>
      <c r="GB615" s="9"/>
      <c r="GC615" s="72"/>
      <c r="GD615" s="9"/>
      <c r="GE615" s="72"/>
      <c r="GF615" s="9"/>
      <c r="GG615" s="72"/>
      <c r="GH615" s="9"/>
      <c r="GI615" s="72"/>
      <c r="GJ615" s="9"/>
      <c r="GK615" s="72"/>
      <c r="GL615" s="9"/>
      <c r="GM615" s="72"/>
      <c r="GN615" s="9"/>
      <c r="GO615" s="72"/>
      <c r="GP615" s="9"/>
      <c r="GQ615" s="72"/>
      <c r="GR615" s="9"/>
      <c r="GS615" s="72"/>
      <c r="GT615" s="9"/>
      <c r="GU615" s="72"/>
      <c r="GV615" s="9"/>
      <c r="GW615" s="72"/>
      <c r="GX615" s="9"/>
      <c r="GY615" s="72"/>
      <c r="GZ615" s="72"/>
      <c r="HA615" s="72"/>
      <c r="HB615" s="72"/>
      <c r="HC615"/>
      <c r="HD615"/>
      <c r="HE615"/>
      <c r="HF615"/>
      <c r="HG615"/>
      <c r="HH615"/>
      <c r="HI615" s="2"/>
    </row>
    <row r="616" spans="1:217" s="3" customFormat="1" ht="12.75" customHeight="1" x14ac:dyDescent="0.2">
      <c r="A616" s="3" t="s">
        <v>572</v>
      </c>
      <c r="B616" s="18" t="s">
        <v>36</v>
      </c>
      <c r="C616" s="9"/>
      <c r="D616" s="11"/>
      <c r="E616" s="9"/>
      <c r="F616" s="11"/>
      <c r="G616" s="9"/>
      <c r="H616" s="11"/>
      <c r="I616" s="9"/>
      <c r="J616" s="11"/>
      <c r="K616" s="9"/>
      <c r="L616" s="72"/>
      <c r="M616" s="9"/>
      <c r="N616" s="72"/>
      <c r="O616" s="9"/>
      <c r="P616" s="72"/>
      <c r="Q616" s="9">
        <f>110*1.15</f>
        <v>126.49999999999999</v>
      </c>
      <c r="R616" s="72" t="str">
        <f>IF(ISERROR(Q616/I616),"NA",IF(OR(Q616/I616&gt;2,Q616/I616&lt;0.5),"NM",Q616/I616*100-100))</f>
        <v>NA</v>
      </c>
      <c r="S616" s="9"/>
      <c r="T616" s="72"/>
      <c r="U616" s="9"/>
      <c r="V616" s="72"/>
      <c r="W616" s="9"/>
      <c r="X616" s="72"/>
      <c r="Y616" s="9"/>
      <c r="Z616" s="72"/>
      <c r="AA616" s="9"/>
      <c r="AB616" s="72"/>
      <c r="AC616" s="9"/>
      <c r="AD616" s="72"/>
      <c r="AE616" s="9"/>
      <c r="AF616" s="72"/>
      <c r="AG616" s="9"/>
      <c r="AH616" s="72"/>
      <c r="AI616" s="9"/>
      <c r="AJ616" s="72"/>
      <c r="AK616" s="9"/>
      <c r="AL616" s="72"/>
      <c r="AM616" s="9"/>
      <c r="AN616" s="72"/>
      <c r="AO616" s="139">
        <v>20.3</v>
      </c>
      <c r="AP616" s="72" t="str">
        <f>IF(ISERROR(AO616/AG616),"NA",IF(OR(AO616/AG616&gt;2,AO616/AG616&lt;0.5),"NM",AO616/AG616*100-100))</f>
        <v>NA</v>
      </c>
      <c r="AQ616" s="139">
        <v>0</v>
      </c>
      <c r="AR616" s="72" t="str">
        <f>IF(ISERROR(AQ616/AI616),"NA",IF(OR(AQ616/AI616&gt;2,AQ616/AI616&lt;0.5),"NM",AQ616/AI616*100-100))</f>
        <v>NA</v>
      </c>
      <c r="AS616" s="139">
        <v>0</v>
      </c>
      <c r="AT616" s="72" t="str">
        <f>IF(ISERROR(AS616/AK616),"NA",IF(OR(AS616/AK616&gt;2,AS616/AK616&lt;0.5),"NM",AS616/AK616*100-100))</f>
        <v>NA</v>
      </c>
      <c r="AU616" s="9"/>
      <c r="AV616" s="72"/>
      <c r="AW616" s="9"/>
      <c r="AX616" s="72"/>
      <c r="AY616" s="9"/>
      <c r="AZ616" s="72"/>
      <c r="BA616" s="9"/>
      <c r="BB616" s="72"/>
      <c r="BC616" s="9"/>
      <c r="BD616" s="72"/>
      <c r="BE616" s="9"/>
      <c r="BF616" s="72"/>
      <c r="BG616" s="170">
        <v>0</v>
      </c>
      <c r="BH616" s="72" t="str">
        <f>IF(ISERROR(BG616/AY616),"NA",IF(OR(BG616/AY616&gt;2,BG616/AY616&lt;0.5),"NM",BG616/AY616*100-100))</f>
        <v>NA</v>
      </c>
      <c r="BI616" s="170">
        <v>0</v>
      </c>
      <c r="BJ616" s="72" t="str">
        <f>IF(ISERROR(BI616/BA616),"NA",IF(OR(BI616/BA616&gt;2,BI616/BA616&lt;0.5),"NM",BI616/BA616*100-100))</f>
        <v>NA</v>
      </c>
      <c r="BK616" s="170">
        <v>0</v>
      </c>
      <c r="BL616" s="72" t="str">
        <f>IF(ISERROR(BK616/BC616),"NA",IF(OR(BK616/BC616&gt;2,BK616/BC616&lt;0.5),"NM",BK616/BC616*100-100))</f>
        <v>NA</v>
      </c>
      <c r="BM616" s="170">
        <v>0</v>
      </c>
      <c r="BN616" s="72" t="str">
        <f>IF(ISERROR(BM616/BE616),"NA",IF(OR(BM616/BE616&gt;2,BM616/BE616&lt;0.5),"NM",BM616/BE616*100-100))</f>
        <v>NA</v>
      </c>
      <c r="BO616" s="170">
        <v>0</v>
      </c>
      <c r="BP616" s="72" t="str">
        <f>IF(ISERROR(BO616/BG616),"NA",IF(OR(BO616/BG616&gt;2,BO616/BG616&lt;0.5),"NM",BO616/BG616*100-100))</f>
        <v>NA</v>
      </c>
      <c r="BQ616" s="170">
        <v>0</v>
      </c>
      <c r="BR616" s="72" t="str">
        <f>IF(ISERROR(BQ616/BI616),"NA",IF(OR(BQ616/BI616&gt;2,BQ616/BI616&lt;0.5),"NM",BQ616/BI616*100-100))</f>
        <v>NA</v>
      </c>
      <c r="BS616" s="170">
        <v>0</v>
      </c>
      <c r="BT616" s="72" t="str">
        <f>IF(ISERROR(BS616/BK616),"NA",IF(OR(BS616/BK616&gt;2,BS616/BK616&lt;0.5),"NM",BS616/BK616*100-100))</f>
        <v>NA</v>
      </c>
      <c r="BU616" s="170">
        <v>0</v>
      </c>
      <c r="BV616" s="72" t="str">
        <f>IF(ISERROR(BU616/BM616),"NA",IF(OR(BU616/BM616&gt;2,BU616/BM616&lt;0.5),"NM",BU616/BM616*100-100))</f>
        <v>NA</v>
      </c>
      <c r="BW616" s="170">
        <v>0</v>
      </c>
      <c r="BX616" s="72" t="str">
        <f>IF(ISERROR(BW616/BO616),"NA",IF(OR(BW616/BO616&gt;2,BW616/BO616&lt;0.5),"NM",BW616/BO616*100-100))</f>
        <v>NA</v>
      </c>
      <c r="BY616" s="170">
        <v>36.858975000000001</v>
      </c>
      <c r="BZ616" s="72" t="str">
        <f>IF(ISERROR(BY616/BQ616),"NA",IF(OR(BY616/BQ616&gt;2,BY616/BQ616&lt;0.5),"NM",BY616/BQ616*100-100))</f>
        <v>NA</v>
      </c>
      <c r="CA616" s="170">
        <v>0</v>
      </c>
      <c r="CB616" s="72" t="str">
        <f>IF(ISERROR(CA616/BS616),"NA",IF(OR(CA616/BS616&gt;2,CA616/BS616&lt;0.5),"NM",CA616/BS616*100-100))</f>
        <v>NA</v>
      </c>
      <c r="CC616" s="170">
        <v>0</v>
      </c>
      <c r="CD616" s="72" t="str">
        <f>IF(ISERROR(CC616/BU616),"NA",IF(OR(CC616/BU616&gt;2,CC616/BU616&lt;0.5),"NM",CC616/BU616*100-100))</f>
        <v>NA</v>
      </c>
      <c r="CE616" s="170">
        <v>0</v>
      </c>
      <c r="CF616" s="72" t="str">
        <f>IF(ISERROR(CE616/BW616),"NA",IF(OR(CE616/BW616&gt;2,CE616/BW616&lt;0.5),"NM",CE616/BW616*100-100))</f>
        <v>NA</v>
      </c>
      <c r="CG616" s="170">
        <v>0</v>
      </c>
      <c r="CH616" s="72" t="str">
        <f>IF(ISERROR(CG616/BY616),"NA",IF(OR(CG616/BY616&gt;2,CG616/BY616&lt;0.5),"NM",CG616/BY616*100-100))</f>
        <v>NM</v>
      </c>
      <c r="CI616" s="170">
        <v>0</v>
      </c>
      <c r="CJ616" s="72" t="str">
        <f>IF(ISERROR(CI616/CA616),"NA",IF(OR(CI616/CA616&gt;2,CI616/CA616&lt;0.5),"NM",CI616/CA616*100-100))</f>
        <v>NA</v>
      </c>
      <c r="CK616" s="170">
        <v>18.348624000000001</v>
      </c>
      <c r="CL616" s="72" t="str">
        <f>IF(ISERROR(CK616/CC616),"NA",IF(OR(CK616/CC616&gt;2,CK616/CC616&lt;0.5),"NM",CK616/CC616*100-100))</f>
        <v>NA</v>
      </c>
      <c r="CM616" s="186">
        <f>CM619/CM617</f>
        <v>0</v>
      </c>
      <c r="CN616" s="72" t="str">
        <f>IF(ISERROR(CM616/CE616),"NA",IF(OR(CM616/CE616&gt;2,CM616/CE616&lt;0.5),"NM",CM616/CE616*100-100))</f>
        <v>NA</v>
      </c>
      <c r="CO616" s="186">
        <f>CO619/CO617</f>
        <v>0</v>
      </c>
      <c r="CP616" s="72" t="str">
        <f>IF(ISERROR(CO616/CG616),"NA",IF(OR(CO616/CG616&gt;2,CO616/CG616&lt;0.5),"NM",CO616/CG616*100-100))</f>
        <v>NA</v>
      </c>
      <c r="CQ616" s="186">
        <f>CQ619/CQ617</f>
        <v>0</v>
      </c>
      <c r="CR616" s="72" t="str">
        <f>IF(ISERROR(CQ616/CI616),"NA",IF(OR(CQ616/CI616&gt;2,CQ616/CI616&lt;0.5),"NM",CQ616/CI616*100-100))</f>
        <v>NA</v>
      </c>
      <c r="CS616" s="186">
        <f>CS619/CS617</f>
        <v>0</v>
      </c>
      <c r="CT616" s="72" t="str">
        <f>IF(ISERROR(CS616/CK616),"NA",IF(OR(CS616/CK616&gt;2,CS616/CK616&lt;0.5),"NM",CS616/CK616*100-100))</f>
        <v>NM</v>
      </c>
      <c r="CU616" s="186">
        <f>CU619/CU617</f>
        <v>0</v>
      </c>
      <c r="CV616" s="72" t="str">
        <f>IF(ISERROR(CU616/CM616),"NA",IF(OR(CU616/CM616&gt;2,CU616/CM616&lt;0.5),"NM",CU616/CM616*100-100))</f>
        <v>NA</v>
      </c>
      <c r="CW616" s="186">
        <f>CW619/CW617</f>
        <v>0</v>
      </c>
      <c r="CX616" s="72" t="str">
        <f>IF(ISERROR(CW616/CO616),"NA",IF(OR(CW616/CO616&gt;2,CW616/CO616&lt;0.5),"NM",CW616/CO616*100-100))</f>
        <v>NA</v>
      </c>
      <c r="CY616" s="186">
        <f>CY619/CY617</f>
        <v>0</v>
      </c>
      <c r="CZ616" s="72" t="str">
        <f>IF(ISERROR(CY616/CQ616),"NA",IF(OR(CY616/CQ616&gt;2,CY616/CQ616&lt;0.5),"NM",CY616/CQ616*100-100))</f>
        <v>NA</v>
      </c>
      <c r="DA616" s="186">
        <f>DA619/DA617</f>
        <v>0</v>
      </c>
      <c r="DB616" s="72" t="str">
        <f>IF(ISERROR(DA616/CS616),"NA",IF(OR(DA616/CS616&gt;2,DA616/CS616&lt;0.5),"NM",DA616/CS616*100-100))</f>
        <v>NA</v>
      </c>
      <c r="DC616" s="186">
        <f>DC619/DC617</f>
        <v>0</v>
      </c>
      <c r="DD616" s="72" t="str">
        <f>IF(ISERROR(DC616/CU616),"NA",IF(OR(DC616/CU616&gt;2,DC616/CU616&lt;0.5),"NM",DC616/CU616*100-100))</f>
        <v>NA</v>
      </c>
      <c r="DE616" s="186">
        <f>DE619/DE617</f>
        <v>0</v>
      </c>
      <c r="DF616" s="72" t="str">
        <f>IF(ISERROR(DE616/CW616),"NA",IF(OR(DE616/CW616&gt;2,DE616/CW616&lt;0.5),"NM",DE616/CW616*100-100))</f>
        <v>NA</v>
      </c>
      <c r="DG616" s="186">
        <f>DG619/DG617</f>
        <v>0</v>
      </c>
      <c r="DH616" s="72" t="str">
        <f>IF(ISERROR(DG616/CY616),"NA",IF(OR(DG616/CY616&gt;2,DG616/CY616&lt;0.5),"NM",DG616/CY616*100-100))</f>
        <v>NA</v>
      </c>
      <c r="DI616" s="186">
        <f>DI619/DI617</f>
        <v>0</v>
      </c>
      <c r="DJ616" s="72" t="str">
        <f>IF(ISERROR(DI616/DA616),"NA",IF(OR(DI616/DA616&gt;2,DI616/DA616&lt;0.5),"NM",DI616/DA616*100-100))</f>
        <v>NA</v>
      </c>
      <c r="DK616" s="186">
        <f>DK619/DK617</f>
        <v>0</v>
      </c>
      <c r="DL616" s="72" t="str">
        <f>IF(ISERROR(DK616/DC616),"NA",IF(OR(DK616/DC616&gt;2,DK616/DC616&lt;0.5),"NM",DK616/DC616*100-100))</f>
        <v>NA</v>
      </c>
      <c r="DM616" s="186">
        <f>DM619/DM617</f>
        <v>0</v>
      </c>
      <c r="DN616" s="72" t="str">
        <f t="shared" ref="DN616:DZ619" si="2908">IF(ISERROR(DM616/DE616),"NA",IF(OR(DM616/DE616&gt;2,DM616/DE616&lt;0.5),"NM",DM616/DE616*100-100))</f>
        <v>NA</v>
      </c>
      <c r="DO616" s="186">
        <f>DO619/DO617</f>
        <v>0</v>
      </c>
      <c r="DP616" s="72" t="str">
        <f t="shared" si="2908"/>
        <v>NA</v>
      </c>
      <c r="DQ616" s="186">
        <f>DQ619/DQ617</f>
        <v>0</v>
      </c>
      <c r="DR616" s="72" t="str">
        <f t="shared" si="2908"/>
        <v>NA</v>
      </c>
      <c r="DS616" s="186">
        <f>DS619/DS617</f>
        <v>0</v>
      </c>
      <c r="DT616" s="72" t="str">
        <f t="shared" si="2908"/>
        <v>NA</v>
      </c>
      <c r="DU616" s="186">
        <f>DU619/DU617</f>
        <v>0</v>
      </c>
      <c r="DV616" s="72" t="str">
        <f t="shared" si="2908"/>
        <v>NA</v>
      </c>
      <c r="DW616" s="186">
        <f>DW619/DW617</f>
        <v>0</v>
      </c>
      <c r="DX616" s="72" t="str">
        <f t="shared" si="2908"/>
        <v>NA</v>
      </c>
      <c r="DY616" s="186">
        <f>DY619/DY617</f>
        <v>0</v>
      </c>
      <c r="DZ616" s="72" t="str">
        <f t="shared" si="2908"/>
        <v>NA</v>
      </c>
      <c r="EA616" s="186">
        <f>EA619/EA617</f>
        <v>0</v>
      </c>
      <c r="EB616" s="72" t="str">
        <f>IF(ISERROR(EA616/DS616),"NA",IF(OR(EA616/DS616&gt;2,EA616/DS616&lt;0.5),"NM",EA616/DS616*100-100))</f>
        <v>NA</v>
      </c>
      <c r="EC616" s="186">
        <f>EC619/EC617</f>
        <v>0</v>
      </c>
      <c r="ED616" s="72" t="str">
        <f>IF(ISERROR(EC616/DU616),"NA",IF(OR(EC616/DU616&gt;2,EC616/DU616&lt;0.5),"NM",EC616/DU616*100-100))</f>
        <v>NA</v>
      </c>
      <c r="EE616" s="186">
        <f>EE619/EE617</f>
        <v>0</v>
      </c>
      <c r="EF616" s="72" t="str">
        <f>IF(ISERROR(EE616/DW616),"NA",IF(OR(EE616/DW616&gt;2,EE616/DW616&lt;0.5),"NM",EE616/DW616*100-100))</f>
        <v>NA</v>
      </c>
      <c r="EG616" s="186">
        <f>EG619/EG617</f>
        <v>0</v>
      </c>
      <c r="EH616" s="72" t="str">
        <f>IF(ISERROR(EG616/DY616),"NA",IF(OR(EG616/DY616&gt;2,EG616/DY616&lt;0.5),"NM",EG616/DY616*100-100))</f>
        <v>NA</v>
      </c>
      <c r="EI616" s="186">
        <f>EI619/EI617</f>
        <v>0</v>
      </c>
      <c r="EJ616" s="72" t="str">
        <f>IF(ISERROR(EI616/EA616),"NA",IF(OR(EI616/EA616&gt;2,EI616/EA616&lt;0.5),"NM",EI616/EA616*100-100))</f>
        <v>NA</v>
      </c>
      <c r="EK616" s="186">
        <f>EK619/EK617</f>
        <v>0</v>
      </c>
      <c r="EL616" s="72" t="str">
        <f>IF(ISERROR(EK616/EC616),"NA",IF(OR(EK616/EC616&gt;2,EK616/EC616&lt;0.5),"NM",EK616/EC616*100-100))</f>
        <v>NA</v>
      </c>
      <c r="EM616" s="186">
        <f>EM619/EM617</f>
        <v>0</v>
      </c>
      <c r="EN616" s="72" t="str">
        <f>IF(ISERROR(EM616/EE616),"NA",IF(OR(EM616/EE616&gt;2,EM616/EE616&lt;0.5),"NM",EM616/EE616*100-100))</f>
        <v>NA</v>
      </c>
      <c r="EO616" s="186">
        <f>EO619/EO617</f>
        <v>0</v>
      </c>
      <c r="EP616" s="72" t="str">
        <f>IF(ISERROR(EO616/EG616),"NA",IF(OR(EO616/EG616&gt;2,EO616/EG616&lt;0.5),"NM",EO616/EG616*100-100))</f>
        <v>NA</v>
      </c>
      <c r="EQ616" s="186">
        <f t="shared" ref="EQ616" si="2909">EQ619/EQ617</f>
        <v>0</v>
      </c>
      <c r="ER616" s="72" t="str">
        <f t="shared" ref="ER616:ER619" si="2910">IF(ISERROR(EQ616/EI616),"NA",IF(OR(EQ616/EI616&gt;2,EQ616/EI616&lt;0.5),"NM",EQ616/EI616*100-100))</f>
        <v>NA</v>
      </c>
      <c r="ES616" s="186">
        <f t="shared" ref="ES616" si="2911">ES619/ES617</f>
        <v>0</v>
      </c>
      <c r="ET616" s="72" t="str">
        <f t="shared" ref="ET616:ET619" si="2912">IF(ISERROR(ES616/EK616),"NA",IF(OR(ES616/EK616&gt;2,ES616/EK616&lt;0.5),"NM",ES616/EK616*100-100))</f>
        <v>NA</v>
      </c>
      <c r="EU616" s="186">
        <f t="shared" ref="EU616" si="2913">EU619/EU617</f>
        <v>0</v>
      </c>
      <c r="EV616" s="72" t="str">
        <f t="shared" ref="EV616:EV619" si="2914">IF(ISERROR(EU616/EM616),"NA",IF(OR(EU616/EM616&gt;2,EU616/EM616&lt;0.5),"NM",EU616/EM616*100-100))</f>
        <v>NA</v>
      </c>
      <c r="EW616" s="186">
        <f t="shared" ref="EW616" si="2915">EW619/EW617</f>
        <v>0</v>
      </c>
      <c r="EX616" s="72" t="str">
        <f t="shared" ref="EX616:EX619" si="2916">IF(ISERROR(EW616/EO616),"NA",IF(OR(EW616/EO616&gt;2,EW616/EO616&lt;0.5),"NM",EW616/EO616*100-100))</f>
        <v>NA</v>
      </c>
      <c r="EY616" s="72"/>
      <c r="EZ616" s="320"/>
      <c r="FA616" s="72"/>
      <c r="FB616" s="171"/>
      <c r="FC616" s="82"/>
      <c r="FD616" s="171"/>
      <c r="FE616" s="72" t="str">
        <f>IF(ISERROR(FD616/FB616),"NA",IF(OR(FD616/FB616&gt;2,FD616/FB616&lt;0.5),"NM",FD616/FB616*100-100))</f>
        <v>NA</v>
      </c>
      <c r="FF616" s="169"/>
      <c r="FG616" s="72" t="str">
        <f>IF(ISERROR(FF616/FD616),"NA",IF(OR(FF616/FD616&gt;2,FF616/FD616&lt;0.5),"NM",FF616/FD616*100-100))</f>
        <v>NA</v>
      </c>
      <c r="FH616" s="81">
        <f>K616+M616+O616+Q616</f>
        <v>126.49999999999999</v>
      </c>
      <c r="FI616" s="72" t="str">
        <f>IF(ISERROR(FH616/FF616),"NA",IF(OR(FH616/FF616&gt;2,FH616/FF616&lt;0.5),"NM",FH616/FF616*100-100))</f>
        <v>NA</v>
      </c>
      <c r="FJ616" s="81">
        <f>S616+U616+W616+Y616</f>
        <v>0</v>
      </c>
      <c r="FK616" s="72" t="str">
        <f>IF(ISERROR(FJ616/FH616),"NA",IF(OR(FJ616/FH616&gt;2,FJ616/FH616&lt;0.5),"NM",FJ616/FH616*100-100))</f>
        <v>NM</v>
      </c>
      <c r="FL616" s="81">
        <f>+AA616+AC616+AE616+AG616</f>
        <v>0</v>
      </c>
      <c r="FM616" s="72" t="str">
        <f>IF(ISERROR(FL616/FJ616),"NA",IF(OR(FL616/FJ616&gt;2,FL616/FJ616&lt;0.5),"NM",FL616/FJ616*100-100))</f>
        <v>NA</v>
      </c>
      <c r="FN616" s="81">
        <f>+AI616+AK616+AM616+AO616</f>
        <v>20.3</v>
      </c>
      <c r="FO616" s="72" t="str">
        <f>IF(ISERROR(FN616/FL616),"NA",IF(OR(FN616/FL616&gt;2,FN616/FL616&lt;0.5),"NM",FN616/FL616*100-100))</f>
        <v>NA</v>
      </c>
      <c r="FP616" s="183">
        <f>AQ616+AS616+AU616+AW616</f>
        <v>0</v>
      </c>
      <c r="FQ616" s="72" t="str">
        <f>IF(ISERROR(FP616/FN616),"NA",IF(OR(FP616/FN616&gt;2,FP616/FN616&lt;0.5),"NM",FP616/FN616*100-100))</f>
        <v>NM</v>
      </c>
      <c r="FR616" s="183">
        <f>AY616+BA616+BC616+BE616</f>
        <v>0</v>
      </c>
      <c r="FS616" s="72" t="str">
        <f>IF(ISERROR(FR616/FP616),"NA",IF(OR(FR616/FP616&gt;2,FR616/FP616&lt;0.5),"NM",FR616/FP616*100-100))</f>
        <v>NA</v>
      </c>
      <c r="FT616" s="183">
        <f>BG616+BI616+BK616+BM616</f>
        <v>0</v>
      </c>
      <c r="FU616" s="72" t="str">
        <f>IF(ISERROR(FT616/FR616),"NA",IF(OR(FT616/FR616&gt;2,FT616/FR616&lt;0.5),"NM",FT616/FR616*100-100))</f>
        <v>NA</v>
      </c>
      <c r="FV616" s="183">
        <f>BO616+BQ616+BS616+BU616</f>
        <v>0</v>
      </c>
      <c r="FW616" s="72" t="str">
        <f>IF(ISERROR(FV616/FT616),"NA",IF(OR(FV616/FT616&gt;2,FV616/FT616&lt;0.5),"NM",FV616/FT616*100-100))</f>
        <v>NA</v>
      </c>
      <c r="FX616" s="183">
        <f>BW616+BY616+CA616+CC616</f>
        <v>36.858975000000001</v>
      </c>
      <c r="FY616" s="72" t="str">
        <f>IF(ISERROR(FX616/FV616),"NA",IF(OR(FX616/FV616&gt;2,FX616/FV616&lt;0.5),"NM",FX616/FV616*100-100))</f>
        <v>NA</v>
      </c>
      <c r="FZ616" s="183">
        <f>CE616+CG616+CI616+CK616</f>
        <v>18.348624000000001</v>
      </c>
      <c r="GA616" s="72" t="str">
        <f>IF(ISERROR(FZ616/FX616),"NA",IF(OR(FZ616/FX616&gt;2,FZ616/FX616&lt;0.5),"NM",FZ616/FX616*100-100))</f>
        <v>NM</v>
      </c>
      <c r="GB616" s="186">
        <f>CM616+CO616+CQ616+CS616</f>
        <v>0</v>
      </c>
      <c r="GC616" s="72" t="str">
        <f>IF(ISERROR(GB616/FZ616),"NA",IF(OR(GB616/FZ616&gt;2,GB616/FZ616&lt;0.5),"NM",GB616/FZ616*100-100))</f>
        <v>NM</v>
      </c>
      <c r="GD616" s="186">
        <f>CU616+CW616+CY616+DA616</f>
        <v>0</v>
      </c>
      <c r="GE616" s="72" t="str">
        <f>IF(ISERROR(GD616/GB616),"NA",IF(OR(GD616/GB616&gt;2,GD616/GB616&lt;0.5),"NM",GD616/GB616*100-100))</f>
        <v>NA</v>
      </c>
      <c r="GF616" s="186">
        <f>DC616+DE616+DG616+DI616</f>
        <v>0</v>
      </c>
      <c r="GG616" s="72" t="str">
        <f>IF(ISERROR(GF616/GD616),"NA",IF(OR(GF616/GD616&gt;2,GF616/GD616&lt;0.5),"NM",GF616/GD616*100-100))</f>
        <v>NA</v>
      </c>
      <c r="GH616" s="186">
        <f>DK616+DM616+DO616+DQ616</f>
        <v>0</v>
      </c>
      <c r="GI616" s="72" t="str">
        <f t="shared" ref="GI616:GU619" si="2917">IF(ISERROR(GH616/GF616),"NA",IF(OR(GH616/GF616&gt;2,GH616/GF616&lt;0.5),"NM",GH616/GF616*100-100))</f>
        <v>NA</v>
      </c>
      <c r="GJ616" s="186">
        <f>DS616+DU616+DW616+DY616</f>
        <v>0</v>
      </c>
      <c r="GK616" s="72" t="str">
        <f t="shared" si="2917"/>
        <v>NA</v>
      </c>
      <c r="GL616" s="186">
        <f>EA616+EC616+EE616+EG616</f>
        <v>0</v>
      </c>
      <c r="GM616" s="72" t="str">
        <f t="shared" si="2917"/>
        <v>NA</v>
      </c>
      <c r="GN616" s="186">
        <f>EI616+EK616+EM616+EO616</f>
        <v>0</v>
      </c>
      <c r="GO616" s="72" t="str">
        <f t="shared" si="2917"/>
        <v>NA</v>
      </c>
      <c r="GP616" s="186">
        <f>EQ616+ES616+EU616+EW616</f>
        <v>0</v>
      </c>
      <c r="GQ616" s="72" t="str">
        <f t="shared" si="2917"/>
        <v>NA</v>
      </c>
      <c r="GR616" s="357">
        <f>GP616*1.1</f>
        <v>0</v>
      </c>
      <c r="GS616" s="72" t="str">
        <f t="shared" si="2917"/>
        <v>NA</v>
      </c>
      <c r="GT616" s="357">
        <f>GR616*1.1</f>
        <v>0</v>
      </c>
      <c r="GU616" s="72" t="str">
        <f t="shared" si="2917"/>
        <v>NA</v>
      </c>
      <c r="GV616" s="357">
        <f>GT616*1.1</f>
        <v>0</v>
      </c>
      <c r="GW616" s="72" t="str">
        <f>IF(ISERROR(GV616/GT616),"NA",IF(OR(GV616/GT616&gt;2,GV616/GT616&lt;0.5),"NM",GV616/GT616*100-100))</f>
        <v>NA</v>
      </c>
      <c r="GX616" s="357">
        <f>GV616*1.1</f>
        <v>0</v>
      </c>
      <c r="GY616" s="72" t="str">
        <f>IF(ISERROR(GX616/GV616),"NA",IF(OR(GX616/GV616&gt;2,GX616/GV616&lt;0.5),"NM",GX616/GV616*100-100))</f>
        <v>NA</v>
      </c>
      <c r="GZ616" s="72" t="str">
        <f>IF(ISERROR(((GX616/GN616)^0.2-1)*100),"NA",IF((((GX616/GN616)^0.2-1)*100)&gt;100,"NM",IF((((GX616/GN616)^0.2-1)*100)&lt;-50,"NM",((GX616/GN616)^0.2-1)*100)))</f>
        <v>NA</v>
      </c>
      <c r="HA616" s="72"/>
      <c r="HB616" s="72"/>
      <c r="HC616"/>
      <c r="HD616"/>
      <c r="HE616"/>
      <c r="HF616"/>
      <c r="HG616"/>
      <c r="HH616"/>
      <c r="HI616" s="2"/>
    </row>
    <row r="617" spans="1:217" s="3" customFormat="1" ht="12.75" customHeight="1" x14ac:dyDescent="0.2">
      <c r="B617" s="18" t="s">
        <v>37</v>
      </c>
      <c r="C617" s="9"/>
      <c r="D617" s="11"/>
      <c r="E617" s="9"/>
      <c r="F617" s="11"/>
      <c r="G617" s="9"/>
      <c r="H617" s="11"/>
      <c r="I617" s="9"/>
      <c r="J617" s="11"/>
      <c r="K617" s="9"/>
      <c r="L617" s="72"/>
      <c r="M617" s="9"/>
      <c r="N617" s="72"/>
      <c r="O617" s="9"/>
      <c r="P617" s="72"/>
      <c r="Q617" s="9">
        <f>+Q622-1.24</f>
        <v>26.26</v>
      </c>
      <c r="R617" s="72" t="str">
        <f>IF(ISERROR(Q617/I617),"NA",IF(OR(Q617/I617&gt;2,Q617/I617&lt;0.5),"NM",Q617/I617*100-100))</f>
        <v>NA</v>
      </c>
      <c r="S617" s="9"/>
      <c r="T617" s="72"/>
      <c r="U617" s="9"/>
      <c r="V617" s="72"/>
      <c r="W617" s="9"/>
      <c r="X617" s="72"/>
      <c r="Y617" s="9"/>
      <c r="Z617" s="72"/>
      <c r="AA617" s="9"/>
      <c r="AB617" s="72"/>
      <c r="AC617" s="9"/>
      <c r="AD617" s="72"/>
      <c r="AE617" s="9"/>
      <c r="AF617" s="72"/>
      <c r="AG617" s="9"/>
      <c r="AH617" s="72"/>
      <c r="AI617" s="9"/>
      <c r="AJ617" s="72"/>
      <c r="AK617" s="9"/>
      <c r="AL617" s="72"/>
      <c r="AM617" s="9"/>
      <c r="AN617" s="72"/>
      <c r="AO617" s="9"/>
      <c r="AP617" s="72"/>
      <c r="AQ617" s="9"/>
      <c r="AR617" s="72"/>
      <c r="AS617" s="9"/>
      <c r="AT617" s="72"/>
      <c r="AU617" s="9"/>
      <c r="AV617" s="72"/>
      <c r="AW617" s="9"/>
      <c r="AX617" s="72"/>
      <c r="AY617" s="9"/>
      <c r="AZ617" s="72"/>
      <c r="BA617" s="9"/>
      <c r="BB617" s="72"/>
      <c r="BC617" s="9"/>
      <c r="BD617" s="72"/>
      <c r="BE617" s="9"/>
      <c r="BF617" s="72"/>
      <c r="BG617" s="13">
        <f>BG622*0.75</f>
        <v>66.875</v>
      </c>
      <c r="BH617" s="72" t="str">
        <f>IF(ISERROR(BG617/AY617),"NA",IF(OR(BG617/AY617&gt;2,BG617/AY617&lt;0.5),"NM",BG617/AY617*100-100))</f>
        <v>NA</v>
      </c>
      <c r="BI617" s="13">
        <f>BI622*0.75</f>
        <v>74.111842105263165</v>
      </c>
      <c r="BJ617" s="72" t="str">
        <f>IF(ISERROR(BI617/BA617),"NA",IF(OR(BI617/BA617&gt;2,BI617/BA617&lt;0.5),"NM",BI617/BA617*100-100))</f>
        <v>NA</v>
      </c>
      <c r="BK617" s="13">
        <f>BK622*0.75</f>
        <v>67.771084337349393</v>
      </c>
      <c r="BL617" s="72" t="str">
        <f>IF(ISERROR(BK617/BC617),"NA",IF(OR(BK617/BC617&gt;2,BK617/BC617&lt;0.5),"NM",BK617/BC617*100-100))</f>
        <v>NA</v>
      </c>
      <c r="BM617" s="13">
        <f>BM622*0.75</f>
        <v>73.051948051948045</v>
      </c>
      <c r="BN617" s="72" t="str">
        <f>IF(ISERROR(BM617/BE617),"NA",IF(OR(BM617/BE617&gt;2,BM617/BE617&lt;0.5),"NM",BM617/BE617*100-100))</f>
        <v>NA</v>
      </c>
      <c r="BO617" s="13">
        <f>BO622*0.75</f>
        <v>57.171052631578945</v>
      </c>
      <c r="BP617" s="72">
        <f>IF(ISERROR(BO617/BG617),"NA",IF(OR(BO617/BG617&gt;2,BO617/BG617&lt;0.5),"NM",BO617/BG617*100-100))</f>
        <v>-14.510575504181006</v>
      </c>
      <c r="BQ617" s="13">
        <f>BQ622*0.75</f>
        <v>55.995762711864401</v>
      </c>
      <c r="BR617" s="72">
        <f>IF(ISERROR(BQ617/BI617),"NA",IF(OR(BQ617/BI617&gt;2,BQ617/BI617&lt;0.5),"NM",BQ617/BI617*100-100))</f>
        <v>-24.44424383308133</v>
      </c>
      <c r="BS617" s="13">
        <f>BS622*0.75</f>
        <v>52.083333333333329</v>
      </c>
      <c r="BT617" s="72">
        <f>IF(ISERROR(BS617/BK617),"NA",IF(OR(BS617/BK617&gt;2,BS617/BK617&lt;0.5),"NM",BS617/BK617*100-100))</f>
        <v>-23.148148148148152</v>
      </c>
      <c r="BU617" s="13">
        <f>BU622*0.75</f>
        <v>23.842500000000001</v>
      </c>
      <c r="BV617" s="72" t="str">
        <f>IF(ISERROR(BU617/BM617),"NA",IF(OR(BU617/BM617&gt;2,BU617/BM617&lt;0.5),"NM",BU617/BM617*100-100))</f>
        <v>NM</v>
      </c>
      <c r="BW617" s="13">
        <f>BW622*0.75</f>
        <v>17.205000000000002</v>
      </c>
      <c r="BX617" s="72" t="str">
        <f>IF(ISERROR(BW617/BO617),"NA",IF(OR(BW617/BO617&gt;2,BW617/BO617&lt;0.5),"NM",BW617/BO617*100-100))</f>
        <v>NM</v>
      </c>
      <c r="BY617" s="694">
        <v>39</v>
      </c>
      <c r="BZ617" s="72">
        <f>IF(ISERROR(BY617/BQ617),"NA",IF(OR(BY617/BQ617&gt;2,BY617/BQ617&lt;0.5),"NM",BY617/BQ617*100-100))</f>
        <v>-30.351872871736646</v>
      </c>
      <c r="CA617" s="13">
        <f>CA622*0.75</f>
        <v>34.102499999999999</v>
      </c>
      <c r="CB617" s="72">
        <f>IF(ISERROR(CA617/BS617),"NA",IF(OR(CA617/BS617&gt;2,CA617/BS617&lt;0.5),"NM",CA617/BS617*100-100))</f>
        <v>-34.523200000000003</v>
      </c>
      <c r="CC617" s="13">
        <f>CC622*0.75</f>
        <v>36.877499999999998</v>
      </c>
      <c r="CD617" s="72">
        <f>IF(ISERROR(CC617/BU617),"NA",IF(OR(CC617/BU617&gt;2,CC617/BU617&lt;0.5),"NM",CC617/BU617*100-100))</f>
        <v>54.671280276816617</v>
      </c>
      <c r="CE617" s="13">
        <f>CE622*0.75</f>
        <v>40.012500000000003</v>
      </c>
      <c r="CF617" s="72" t="str">
        <f>IF(ISERROR(CE617/BW617),"NA",IF(OR(CE617/BW617&gt;2,CE617/BW617&lt;0.5),"NM",CE617/BW617*100-100))</f>
        <v>NM</v>
      </c>
      <c r="CG617" s="13">
        <f>CG622*0.75</f>
        <v>45.112499999999997</v>
      </c>
      <c r="CH617" s="72">
        <f>IF(ISERROR(CG617/BY617),"NA",IF(OR(CG617/BY617&gt;2,CG617/BY617&lt;0.5),"NM",CG617/BY617*100-100))</f>
        <v>15.673076923076906</v>
      </c>
      <c r="CI617" s="13">
        <f>CI622*0.75</f>
        <v>41.204999999999998</v>
      </c>
      <c r="CJ617" s="72">
        <f>IF(ISERROR(CI617/CA617),"NA",IF(OR(CI617/CA617&gt;2,CI617/CA617&lt;0.5),"NM",CI617/CA617*100-100))</f>
        <v>20.826918847591827</v>
      </c>
      <c r="CK617" s="12">
        <v>54.5</v>
      </c>
      <c r="CL617" s="72">
        <f>IF(ISERROR(CK617/CC617),"NA",IF(OR(CK617/CC617&gt;2,CK617/CC617&lt;0.5),"NM",CK617/CC617*100-100))</f>
        <v>47.786590739610887</v>
      </c>
      <c r="CM617" s="184">
        <f>CM622*0.75</f>
        <v>46.844999999999999</v>
      </c>
      <c r="CN617" s="72">
        <f>IF(ISERROR(CM617/CE617),"NA",IF(OR(CM617/CE617&gt;2,CM617/CE617&lt;0.5),"NM",CM617/CE617*100-100))</f>
        <v>17.075913776944688</v>
      </c>
      <c r="CO617" s="184">
        <f>CO622*0.75</f>
        <v>46.387500000000003</v>
      </c>
      <c r="CP617" s="72">
        <f>IF(ISERROR(CO617/CG617),"NA",IF(OR(CO617/CG617&gt;2,CO617/CG617&lt;0.5),"NM",CO617/CG617*100-100))</f>
        <v>2.8262676641729172</v>
      </c>
      <c r="CQ617" s="184">
        <f>CQ622*0.75</f>
        <v>37.935000000000002</v>
      </c>
      <c r="CR617" s="72">
        <f>IF(ISERROR(CQ617/CI617),"NA",IF(OR(CQ617/CI617&gt;2,CQ617/CI617&lt;0.5),"NM",CQ617/CI617*100-100))</f>
        <v>-7.935930105569696</v>
      </c>
      <c r="CS617" s="184">
        <f>CS622*0.75</f>
        <v>37.799999999999997</v>
      </c>
      <c r="CT617" s="72">
        <f>IF(ISERROR(CS617/CK617),"NA",IF(OR(CS617/CK617&gt;2,CS617/CK617&lt;0.5),"NM",CS617/CK617*100-100))</f>
        <v>-30.642201834862391</v>
      </c>
      <c r="CU617" s="184">
        <f>CU622*0.75</f>
        <v>46.627499999999998</v>
      </c>
      <c r="CV617" s="72">
        <f>IF(ISERROR(CU617/CM617),"NA",IF(OR(CU617/CM617&gt;2,CU617/CM617&lt;0.5),"NM",CU617/CM617*100-100))</f>
        <v>-0.46429715017612239</v>
      </c>
      <c r="CW617" s="184">
        <f>CW622*0.75</f>
        <v>38.9925</v>
      </c>
      <c r="CX617" s="72">
        <f>IF(ISERROR(CW617/CO617),"NA",IF(OR(CW617/CO617&gt;2,CW617/CO617&lt;0.5),"NM",CW617/CO617*100-100))</f>
        <v>-15.941794664510923</v>
      </c>
      <c r="CY617" s="184">
        <f>CY622*0.75</f>
        <v>41.827500000000001</v>
      </c>
      <c r="CZ617" s="72">
        <f>IF(ISERROR(CY617/CQ617),"NA",IF(OR(CY617/CQ617&gt;2,CY617/CQ617&lt;0.5),"NM",CY617/CQ617*100-100))</f>
        <v>10.260972716488737</v>
      </c>
      <c r="DA617" s="184">
        <f>DA622*0.75</f>
        <v>41.827500000000001</v>
      </c>
      <c r="DB617" s="72">
        <f>IF(ISERROR(DA617/CS617),"NA",IF(OR(DA617/CS617&gt;2,DA617/CS617&lt;0.5),"NM",DA617/CS617*100-100))</f>
        <v>10.654761904761912</v>
      </c>
      <c r="DC617" s="184">
        <f>DC622*0.75</f>
        <v>41.827500000000001</v>
      </c>
      <c r="DD617" s="72">
        <f>IF(ISERROR(DC617/CU617),"NA",IF(OR(DC617/CU617&gt;2,DC617/CU617&lt;0.5),"NM",DC617/CU617*100-100))</f>
        <v>-10.29435419012384</v>
      </c>
      <c r="DE617" s="184">
        <f>DE622*0.75</f>
        <v>48.337500000000006</v>
      </c>
      <c r="DF617" s="72">
        <f>IF(ISERROR(DE617/CW617),"NA",IF(OR(DE617/CW617&gt;2,DE617/CW617&lt;0.5),"NM",DE617/CW617*100-100))</f>
        <v>23.966147336026182</v>
      </c>
      <c r="DG617" s="184">
        <f>DG622*0.75</f>
        <v>58.837500000000006</v>
      </c>
      <c r="DH617" s="72">
        <f>IF(ISERROR(DG617/CY617),"NA",IF(OR(DG617/CY617&gt;2,DG617/CY617&lt;0.5),"NM",DG617/CY617*100-100))</f>
        <v>40.667025282409895</v>
      </c>
      <c r="DI617" s="184">
        <f>DI622*0.75</f>
        <v>64.012499999999989</v>
      </c>
      <c r="DJ617" s="72">
        <f>IF(ISERROR(DI617/DA617),"NA",IF(OR(DI617/DA617&gt;2,DI617/DA617&lt;0.5),"NM",DI617/DA617*100-100))</f>
        <v>53.039268423883783</v>
      </c>
      <c r="DK617" s="184">
        <f>DK622*0.75</f>
        <v>64.522500000000008</v>
      </c>
      <c r="DL617" s="72">
        <f>IF(ISERROR(DK617/DC617),"NA",IF(OR(DK617/DC617&gt;2,DK617/DC617&lt;0.5),"NM",DK617/DC617*100-100))</f>
        <v>54.258561950869677</v>
      </c>
      <c r="DM617" s="184">
        <f>DM622*0.75</f>
        <v>62.902500000000003</v>
      </c>
      <c r="DN617" s="72">
        <f t="shared" si="2908"/>
        <v>30.131885182311862</v>
      </c>
      <c r="DO617" s="184">
        <f>DO622*0.75</f>
        <v>67.057500000000005</v>
      </c>
      <c r="DP617" s="72">
        <f t="shared" si="2908"/>
        <v>13.970681963033769</v>
      </c>
      <c r="DQ617" s="184">
        <f>DQ622*0.75</f>
        <v>64.417500000000004</v>
      </c>
      <c r="DR617" s="72">
        <f t="shared" si="2908"/>
        <v>0.63268892794378928</v>
      </c>
      <c r="DS617" s="184">
        <f>DS622*0.75</f>
        <v>60.682499999999997</v>
      </c>
      <c r="DT617" s="72">
        <f t="shared" si="2908"/>
        <v>-5.9514122980355921</v>
      </c>
      <c r="DU617" s="184">
        <f>DU622*0.75</f>
        <v>63.644999999999996</v>
      </c>
      <c r="DV617" s="72">
        <f t="shared" si="2908"/>
        <v>1.1803982353642368</v>
      </c>
      <c r="DW617" s="184">
        <f>DW622*0.75</f>
        <v>62.19</v>
      </c>
      <c r="DX617" s="72">
        <f t="shared" si="2908"/>
        <v>-7.2586958953137355</v>
      </c>
      <c r="DY617" s="184">
        <f>DY622*0.75</f>
        <v>60.585000000000001</v>
      </c>
      <c r="DZ617" s="72">
        <f t="shared" si="2908"/>
        <v>-5.9494702526487373</v>
      </c>
      <c r="EA617" s="184">
        <f>EA622*0.75</f>
        <v>52.034999999999997</v>
      </c>
      <c r="EB617" s="72">
        <f>IF(ISERROR(EA617/DS617),"NA",IF(OR(EA617/DS617&gt;2,EA617/DS617&lt;0.5),"NM",EA617/DS617*100-100))</f>
        <v>-14.250401680879989</v>
      </c>
      <c r="EC617" s="184">
        <f>EC622*0.75</f>
        <v>56.534999999999997</v>
      </c>
      <c r="ED617" s="72">
        <f>IF(ISERROR(EC617/DU617),"NA",IF(OR(EC617/DU617&gt;2,EC617/DU617&lt;0.5),"NM",EC617/DU617*100-100))</f>
        <v>-11.171341032288467</v>
      </c>
      <c r="EE617" s="184">
        <f>EE622*0.75</f>
        <v>58.034999999999997</v>
      </c>
      <c r="EF617" s="72">
        <f>IF(ISERROR(EE617/DW617),"NA",IF(OR(EE617/DW617&gt;2,EE617/DW617&lt;0.5),"NM",EE617/DW617*100-100))</f>
        <v>-6.6811384466956127</v>
      </c>
      <c r="EG617" s="184">
        <f>EG622*0.75</f>
        <v>70.38</v>
      </c>
      <c r="EH617" s="72">
        <f>IF(ISERROR(EG617/DY617),"NA",IF(OR(EG617/DY617&gt;2,EG617/DY617&lt;0.5),"NM",EG617/DY617*100-100))</f>
        <v>16.167368160435728</v>
      </c>
      <c r="EI617" s="184">
        <f>EI622*0.75</f>
        <v>80.932500000000005</v>
      </c>
      <c r="EJ617" s="72">
        <f>IF(ISERROR(EI617/EA617),"NA",IF(OR(EI617/EA617&gt;2,EI617/EA617&lt;0.5),"NM",EI617/EA617*100-100))</f>
        <v>55.534736235226319</v>
      </c>
      <c r="EK617" s="184">
        <f>EK622*0.75</f>
        <v>79.627499999999998</v>
      </c>
      <c r="EL617" s="72">
        <f>IF(ISERROR(EK617/EC617),"NA",IF(OR(EK617/EC617&gt;2,EK617/EC617&lt;0.5),"NM",EK617/EC617*100-100))</f>
        <v>40.846378349694902</v>
      </c>
      <c r="EM617" s="184">
        <f>EM622*0.75</f>
        <v>79.762499999999989</v>
      </c>
      <c r="EN617" s="72">
        <f>IF(ISERROR(EM617/EE617),"NA",IF(OR(EM617/EE617&gt;2,EM617/EE617&lt;0.5),"NM",EM617/EE617*100-100))</f>
        <v>37.438614629103114</v>
      </c>
      <c r="EO617" s="184">
        <f>EO622*0.75</f>
        <v>83.705357142857139</v>
      </c>
      <c r="EP617" s="72">
        <f>IF(ISERROR(EO617/EG617),"NA",IF(OR(EO617/EG617&gt;2,EO617/EG617&lt;0.5),"NM",EO617/EG617*100-100))</f>
        <v>18.933442942394336</v>
      </c>
      <c r="EQ617" s="184">
        <f t="shared" ref="EQ617" si="2918">EQ622*0.75</f>
        <v>84.532134590163949</v>
      </c>
      <c r="ER617" s="72">
        <f t="shared" si="2910"/>
        <v>4.4476997376380751</v>
      </c>
      <c r="ES617" s="184">
        <f t="shared" ref="ES617" si="2919">ES622*0.75</f>
        <v>85.547777281967228</v>
      </c>
      <c r="ET617" s="72">
        <f t="shared" si="2912"/>
        <v>7.4349656613195521</v>
      </c>
      <c r="EU617" s="184">
        <f t="shared" ref="EU617" si="2920">EU622*0.75</f>
        <v>86.583732827606582</v>
      </c>
      <c r="EV617" s="72">
        <f t="shared" si="2914"/>
        <v>8.5519295754353095</v>
      </c>
      <c r="EW617" s="184">
        <f t="shared" ref="EW617" si="2921">EW622*0.75</f>
        <v>87.640407484158715</v>
      </c>
      <c r="EX617" s="72">
        <f t="shared" si="2916"/>
        <v>4.7010734744082896</v>
      </c>
      <c r="EY617" s="72"/>
      <c r="EZ617" s="320"/>
      <c r="FA617" s="72"/>
      <c r="FB617" s="171"/>
      <c r="FC617" s="82"/>
      <c r="FD617" s="171"/>
      <c r="FE617" s="72" t="str">
        <f>IF(ISERROR(FD617/FB617),"NA",IF(OR(FD617/FB617&gt;2,FD617/FB617&lt;0.5),"NM",FD617/FB617*100-100))</f>
        <v>NA</v>
      </c>
      <c r="FF617" s="169"/>
      <c r="FG617" s="72" t="str">
        <f>IF(ISERROR(FF617/FD617),"NA",IF(OR(FF617/FD617&gt;2,FF617/FD617&lt;0.5),"NM",FF617/FD617*100-100))</f>
        <v>NA</v>
      </c>
      <c r="FH617" s="81">
        <f>FH619/FH616</f>
        <v>26.26</v>
      </c>
      <c r="FI617" s="72" t="str">
        <f>IF(ISERROR(FH617/FF617),"NA",IF(OR(FH617/FF617&gt;2,FH617/FF617&lt;0.5),"NM",FH617/FF617*100-100))</f>
        <v>NA</v>
      </c>
      <c r="FJ617" s="81">
        <f>+FJ622</f>
        <v>30.76923076923077</v>
      </c>
      <c r="FK617" s="72">
        <f>IF(ISERROR(FJ617/FH617),"NA",IF(OR(FJ617/FH617&gt;2,FJ617/FH617&lt;0.5),"NM",FJ617/FH617*100-100))</f>
        <v>17.171480461655619</v>
      </c>
      <c r="FL617" s="81">
        <f>+FL622</f>
        <v>34.398625429553263</v>
      </c>
      <c r="FM617" s="72">
        <f>IF(ISERROR(FL617/FJ617),"NA",IF(OR(FL617/FJ617&gt;2,FL617/FJ617&lt;0.5),"NM",FL617/FJ617*100-100))</f>
        <v>11.795532646048116</v>
      </c>
      <c r="FN617" s="81">
        <f>+FN622</f>
        <v>48.961038961038959</v>
      </c>
      <c r="FO617" s="72">
        <f>IF(ISERROR(FN617/FL617),"NA",IF(OR(FN617/FL617&gt;2,FN617/FL617&lt;0.5),"NM",FN617/FL617*100-100))</f>
        <v>42.334289087535836</v>
      </c>
      <c r="FP617" s="73">
        <f>+FP622</f>
        <v>63.871978290723703</v>
      </c>
      <c r="FQ617" s="72">
        <f>IF(ISERROR(FP617/FN617),"NA",IF(OR(FP617/FN617&gt;2,FP617/FN617&lt;0.5),"NM",FP617/FN617*100-100))</f>
        <v>30.454703670708909</v>
      </c>
      <c r="FR617" s="184">
        <f>+FR622</f>
        <v>77.198757017299485</v>
      </c>
      <c r="FS617" s="72">
        <f>IF(ISERROR(FR617/FP617),"NA",IF(OR(FR617/FP617&gt;2,FR617/FP617&lt;0.5),"NM",FR617/FP617*100-100))</f>
        <v>20.864828494769299</v>
      </c>
      <c r="FT617" s="184">
        <f>+FT622</f>
        <v>93.936624831520191</v>
      </c>
      <c r="FU617" s="72">
        <f>IF(ISERROR(FT617/FR617),"NA",IF(OR(FT617/FR617&gt;2,FT617/FR617&lt;0.5),"NM",FT617/FR617*100-100))</f>
        <v>21.681525015318456</v>
      </c>
      <c r="FV617" s="184">
        <f>+FV622</f>
        <v>63.030882892258894</v>
      </c>
      <c r="FW617" s="72">
        <f>IF(ISERROR(FV617/FT617),"NA",IF(OR(FV617/FT617&gt;2,FV617/FT617&lt;0.5),"NM",FV617/FT617*100-100))</f>
        <v>-32.900630605679325</v>
      </c>
      <c r="FX617" s="184">
        <f>+FX622</f>
        <v>37.909999999999997</v>
      </c>
      <c r="FY617" s="72">
        <f>IF(ISERROR(FX617/FV617),"NA",IF(OR(FX617/FV617&gt;2,FX617/FV617&lt;0.5),"NM",FX617/FV617*100-100))</f>
        <v>-39.854880242117162</v>
      </c>
      <c r="FZ617" s="184">
        <f>+FZ622</f>
        <v>55.802500000000002</v>
      </c>
      <c r="GA617" s="72">
        <f>IF(ISERROR(FZ617/FX617),"NA",IF(OR(FZ617/FX617&gt;2,FZ617/FX617&lt;0.5),"NM",FZ617/FX617*100-100))</f>
        <v>47.197309417040373</v>
      </c>
      <c r="GB617" s="184">
        <f>AVERAGE(CM617,CO617,CQ617,CS617)</f>
        <v>42.241875000000007</v>
      </c>
      <c r="GC617" s="72">
        <f>IF(ISERROR(GB617/FZ617),"NA",IF(OR(GB617/FZ617&gt;2,GB617/FZ617&lt;0.5),"NM",GB617/FZ617*100-100))</f>
        <v>-24.301106581246344</v>
      </c>
      <c r="GD617" s="184">
        <f>AVERAGE(CU617,CW617,CY617,DA617)</f>
        <v>42.318750000000001</v>
      </c>
      <c r="GE617" s="72">
        <f>IF(ISERROR(GD617/GB617),"NA",IF(OR(GD617/GB617&gt;2,GD617/GB617&lt;0.5),"NM",GD617/GB617*100-100))</f>
        <v>0.1819876603488666</v>
      </c>
      <c r="GF617" s="184">
        <f>AVERAGE(DC617,DE617,DG617,DI617)</f>
        <v>53.253749999999997</v>
      </c>
      <c r="GG617" s="72">
        <f>IF(ISERROR(GF617/GD617),"NA",IF(OR(GF617/GD617&gt;2,GF617/GD617&lt;0.5),"NM",GF617/GD617*100-100))</f>
        <v>25.839610101905166</v>
      </c>
      <c r="GH617" s="184">
        <f>AVERAGE(DK617,DM617,DO617,DQ617)</f>
        <v>64.725000000000009</v>
      </c>
      <c r="GI617" s="72">
        <f t="shared" si="2917"/>
        <v>21.540736567847361</v>
      </c>
      <c r="GJ617" s="184">
        <f>AVERAGE(DS617,DU617,DW617,DY617)</f>
        <v>61.775624999999998</v>
      </c>
      <c r="GK617" s="72">
        <f t="shared" si="2917"/>
        <v>-4.5567786790266638</v>
      </c>
      <c r="GL617" s="184">
        <f>AVERAGE(EA617,EC617,EE617,EG617)</f>
        <v>59.246249999999996</v>
      </c>
      <c r="GM617" s="72">
        <f t="shared" si="2917"/>
        <v>-4.0944547303244576</v>
      </c>
      <c r="GN617" s="184">
        <f>AVERAGE(EI617,EK617,EM617,EO617)</f>
        <v>81.006964285714275</v>
      </c>
      <c r="GO617" s="72">
        <f t="shared" si="2917"/>
        <v>36.729268579385689</v>
      </c>
      <c r="GP617" s="184">
        <f>AVERAGE(EQ617,ES617,EU617,EW617)</f>
        <v>86.076013045974122</v>
      </c>
      <c r="GQ617" s="72">
        <f t="shared" si="2917"/>
        <v>6.2575468726135028</v>
      </c>
      <c r="GR617" s="217">
        <f>GR622*0.75</f>
        <v>89.99209408965207</v>
      </c>
      <c r="GS617" s="72">
        <f t="shared" si="2917"/>
        <v>4.5495613761598435</v>
      </c>
      <c r="GT617" s="217">
        <f>GT622*0.75</f>
        <v>93.92446161682426</v>
      </c>
      <c r="GU617" s="72">
        <f t="shared" si="2917"/>
        <v>4.3696811002694034</v>
      </c>
      <c r="GV617" s="217">
        <f>GV622*0.75</f>
        <v>97.844718546170213</v>
      </c>
      <c r="GW617" s="72">
        <f>IF(ISERROR(GV617/GT617),"NA",IF(OR(GV617/GT617&gt;2,GV617/GT617&lt;0.5),"NM",GV617/GT617*100-100))</f>
        <v>4.1738401922803519</v>
      </c>
      <c r="GX617" s="217">
        <f>GX622*0.75</f>
        <v>101.71922602986382</v>
      </c>
      <c r="GY617" s="72">
        <f>IF(ISERROR(GX617/GV617),"NA",IF(OR(GX617/GV617&gt;2,GX617/GV617&lt;0.5),"NM",GX617/GV617*100-100))</f>
        <v>3.9598534711562792</v>
      </c>
      <c r="GZ617" s="72">
        <f>IF(ISERROR(((GX617/GN617)^0.2-1)*100),"NA",IF((((GX617/GN617)^0.2-1)*100)&gt;100,"NM",IF((((GX617/GN617)^0.2-1)*100)&lt;-50,"NM",((GX617/GN617)^0.2-1)*100)))</f>
        <v>4.6588932703752972</v>
      </c>
      <c r="HA617" s="72"/>
      <c r="HB617" s="72"/>
      <c r="HC617"/>
      <c r="HD617"/>
      <c r="HE617"/>
      <c r="HF617"/>
      <c r="HG617"/>
      <c r="HH617"/>
      <c r="HI617" s="2"/>
    </row>
    <row r="618" spans="1:217" s="3" customFormat="1" ht="12.75" customHeight="1" x14ac:dyDescent="0.2">
      <c r="B618" s="18" t="s">
        <v>240</v>
      </c>
      <c r="C618" s="9"/>
      <c r="D618" s="11"/>
      <c r="E618" s="9"/>
      <c r="F618" s="11"/>
      <c r="G618" s="9"/>
      <c r="H618" s="11"/>
      <c r="I618" s="9"/>
      <c r="J618" s="11"/>
      <c r="K618" s="9"/>
      <c r="L618" s="72"/>
      <c r="M618" s="9"/>
      <c r="N618" s="72"/>
      <c r="O618" s="9"/>
      <c r="P618" s="72"/>
      <c r="Q618" s="9">
        <v>50</v>
      </c>
      <c r="R618" s="72" t="str">
        <f>IF(ISERROR(Q618/I618),"NA",IF(OR(Q618/I618&gt;2,Q618/I618&lt;0.5),"NM",Q618/I618*100-100))</f>
        <v>NA</v>
      </c>
      <c r="S618" s="9"/>
      <c r="T618" s="72"/>
      <c r="U618" s="9"/>
      <c r="V618" s="72"/>
      <c r="W618" s="9"/>
      <c r="X618" s="72"/>
      <c r="Y618" s="9"/>
      <c r="Z618" s="72"/>
      <c r="AA618" s="9"/>
      <c r="AB618" s="72"/>
      <c r="AC618" s="9"/>
      <c r="AD618" s="72"/>
      <c r="AE618" s="9"/>
      <c r="AF618" s="72"/>
      <c r="AG618" s="9"/>
      <c r="AH618" s="72"/>
      <c r="AI618" s="9"/>
      <c r="AJ618" s="72"/>
      <c r="AK618" s="9"/>
      <c r="AL618" s="72"/>
      <c r="AM618" s="9"/>
      <c r="AN618" s="72"/>
      <c r="AO618" s="139">
        <v>50</v>
      </c>
      <c r="AP618" s="72" t="str">
        <f>IF(ISERROR(AO618/AG618),"NA",IF(OR(AO618/AG618&gt;2,AO618/AG618&lt;0.5),"NM",AO618/AG618*100-100))</f>
        <v>NA</v>
      </c>
      <c r="AQ618" s="139">
        <v>50</v>
      </c>
      <c r="AR618" s="72" t="str">
        <f>IF(ISERROR(AQ618/AI618),"NA",IF(OR(AQ618/AI618&gt;2,AQ618/AI618&lt;0.5),"NM",AQ618/AI618*100-100))</f>
        <v>NA</v>
      </c>
      <c r="AS618" s="139">
        <v>50</v>
      </c>
      <c r="AT618" s="72" t="str">
        <f>IF(ISERROR(AS618/AK618),"NA",IF(OR(AS618/AK618&gt;2,AS618/AK618&lt;0.5),"NM",AS618/AK618*100-100))</f>
        <v>NA</v>
      </c>
      <c r="AU618" s="9"/>
      <c r="AV618" s="72"/>
      <c r="AW618" s="9"/>
      <c r="AX618" s="72"/>
      <c r="AY618" s="9"/>
      <c r="AZ618" s="72"/>
      <c r="BA618" s="9"/>
      <c r="BB618" s="72"/>
      <c r="BC618" s="9"/>
      <c r="BD618" s="72"/>
      <c r="BE618" s="9"/>
      <c r="BF618" s="72"/>
      <c r="BG618" s="150">
        <v>50</v>
      </c>
      <c r="BH618" s="72" t="str">
        <f>IF(ISERROR(BG618/AY618),"NA",IF(OR(BG618/AY618&gt;2,BG618/AY618&lt;0.5),"NM",BG618/AY618*100-100))</f>
        <v>NA</v>
      </c>
      <c r="BI618" s="150">
        <v>50</v>
      </c>
      <c r="BJ618" s="72" t="str">
        <f>IF(ISERROR(BI618/BA618),"NA",IF(OR(BI618/BA618&gt;2,BI618/BA618&lt;0.5),"NM",BI618/BA618*100-100))</f>
        <v>NA</v>
      </c>
      <c r="BK618" s="150">
        <v>50</v>
      </c>
      <c r="BL618" s="72" t="str">
        <f>IF(ISERROR(BK618/BC618),"NA",IF(OR(BK618/BC618&gt;2,BK618/BC618&lt;0.5),"NM",BK618/BC618*100-100))</f>
        <v>NA</v>
      </c>
      <c r="BM618" s="150">
        <v>50</v>
      </c>
      <c r="BN618" s="72" t="str">
        <f>IF(ISERROR(BM618/BE618),"NA",IF(OR(BM618/BE618&gt;2,BM618/BE618&lt;0.5),"NM",BM618/BE618*100-100))</f>
        <v>NA</v>
      </c>
      <c r="BO618" s="150">
        <v>50</v>
      </c>
      <c r="BP618" s="72">
        <f>IF(ISERROR(BO618/BG618),"NA",IF(OR(BO618/BG618&gt;2,BO618/BG618&lt;0.5),"NM",BO618/BG618*100-100))</f>
        <v>0</v>
      </c>
      <c r="BQ618" s="150">
        <v>50</v>
      </c>
      <c r="BR618" s="72">
        <f>IF(ISERROR(BQ618/BI618),"NA",IF(OR(BQ618/BI618&gt;2,BQ618/BI618&lt;0.5),"NM",BQ618/BI618*100-100))</f>
        <v>0</v>
      </c>
      <c r="BS618" s="150">
        <v>50</v>
      </c>
      <c r="BT618" s="72">
        <f>IF(ISERROR(BS618/BK618),"NA",IF(OR(BS618/BK618&gt;2,BS618/BK618&lt;0.5),"NM",BS618/BK618*100-100))</f>
        <v>0</v>
      </c>
      <c r="BU618" s="150">
        <v>50</v>
      </c>
      <c r="BV618" s="72">
        <f>IF(ISERROR(BU618/BM618),"NA",IF(OR(BU618/BM618&gt;2,BU618/BM618&lt;0.5),"NM",BU618/BM618*100-100))</f>
        <v>0</v>
      </c>
      <c r="BW618" s="150">
        <v>50</v>
      </c>
      <c r="BX618" s="72">
        <f>IF(ISERROR(BW618/BO618),"NA",IF(OR(BW618/BO618&gt;2,BW618/BO618&lt;0.5),"NM",BW618/BO618*100-100))</f>
        <v>0</v>
      </c>
      <c r="BY618" s="150">
        <v>50</v>
      </c>
      <c r="BZ618" s="72">
        <f>IF(ISERROR(BY618/BQ618),"NA",IF(OR(BY618/BQ618&gt;2,BY618/BQ618&lt;0.5),"NM",BY618/BQ618*100-100))</f>
        <v>0</v>
      </c>
      <c r="CA618" s="150">
        <v>50</v>
      </c>
      <c r="CB618" s="72">
        <f>IF(ISERROR(CA618/BS618),"NA",IF(OR(CA618/BS618&gt;2,CA618/BS618&lt;0.5),"NM",CA618/BS618*100-100))</f>
        <v>0</v>
      </c>
      <c r="CC618" s="150">
        <v>50</v>
      </c>
      <c r="CD618" s="72">
        <f>IF(ISERROR(CC618/BU618),"NA",IF(OR(CC618/BU618&gt;2,CC618/BU618&lt;0.5),"NM",CC618/BU618*100-100))</f>
        <v>0</v>
      </c>
      <c r="CE618" s="150">
        <v>50</v>
      </c>
      <c r="CF618" s="72">
        <f>IF(ISERROR(CE618/BW618),"NA",IF(OR(CE618/BW618&gt;2,CE618/BW618&lt;0.5),"NM",CE618/BW618*100-100))</f>
        <v>0</v>
      </c>
      <c r="CG618" s="150">
        <v>50</v>
      </c>
      <c r="CH618" s="72">
        <f>IF(ISERROR(CG618/BY618),"NA",IF(OR(CG618/BY618&gt;2,CG618/BY618&lt;0.5),"NM",CG618/BY618*100-100))</f>
        <v>0</v>
      </c>
      <c r="CI618" s="150">
        <v>50</v>
      </c>
      <c r="CJ618" s="72">
        <f>IF(ISERROR(CI618/CA618),"NA",IF(OR(CI618/CA618&gt;2,CI618/CA618&lt;0.5),"NM",CI618/CA618*100-100))</f>
        <v>0</v>
      </c>
      <c r="CK618" s="150">
        <v>90</v>
      </c>
      <c r="CL618" s="72">
        <f>IF(ISERROR(CK618/CC618),"NA",IF(OR(CK618/CC618&gt;2,CK618/CC618&lt;0.5),"NM",CK618/CC618*100-100))</f>
        <v>80</v>
      </c>
      <c r="CM618" s="185">
        <v>90</v>
      </c>
      <c r="CN618" s="72">
        <f>IF(ISERROR(CM618/CE618),"NA",IF(OR(CM618/CE618&gt;2,CM618/CE618&lt;0.5),"NM",CM618/CE618*100-100))</f>
        <v>80</v>
      </c>
      <c r="CO618" s="185">
        <v>90</v>
      </c>
      <c r="CP618" s="72">
        <f>IF(ISERROR(CO618/CG618),"NA",IF(OR(CO618/CG618&gt;2,CO618/CG618&lt;0.5),"NM",CO618/CG618*100-100))</f>
        <v>80</v>
      </c>
      <c r="CQ618" s="185">
        <v>90</v>
      </c>
      <c r="CR618" s="72">
        <f>IF(ISERROR(CQ618/CI618),"NA",IF(OR(CQ618/CI618&gt;2,CQ618/CI618&lt;0.5),"NM",CQ618/CI618*100-100))</f>
        <v>80</v>
      </c>
      <c r="CS618" s="185">
        <v>90</v>
      </c>
      <c r="CT618" s="72">
        <f>IF(ISERROR(CS618/CK618),"NA",IF(OR(CS618/CK618&gt;2,CS618/CK618&lt;0.5),"NM",CS618/CK618*100-100))</f>
        <v>0</v>
      </c>
      <c r="CU618" s="185">
        <v>90</v>
      </c>
      <c r="CV618" s="72">
        <f>IF(ISERROR(CU618/CM618),"NA",IF(OR(CU618/CM618&gt;2,CU618/CM618&lt;0.5),"NM",CU618/CM618*100-100))</f>
        <v>0</v>
      </c>
      <c r="CW618" s="185">
        <v>90</v>
      </c>
      <c r="CX618" s="72">
        <f>IF(ISERROR(CW618/CO618),"NA",IF(OR(CW618/CO618&gt;2,CW618/CO618&lt;0.5),"NM",CW618/CO618*100-100))</f>
        <v>0</v>
      </c>
      <c r="CY618" s="185">
        <v>90</v>
      </c>
      <c r="CZ618" s="72">
        <f>IF(ISERROR(CY618/CQ618),"NA",IF(OR(CY618/CQ618&gt;2,CY618/CQ618&lt;0.5),"NM",CY618/CQ618*100-100))</f>
        <v>0</v>
      </c>
      <c r="DA618" s="185">
        <v>90</v>
      </c>
      <c r="DB618" s="72">
        <f>IF(ISERROR(DA618/CS618),"NA",IF(OR(DA618/CS618&gt;2,DA618/CS618&lt;0.5),"NM",DA618/CS618*100-100))</f>
        <v>0</v>
      </c>
      <c r="DC618" s="185">
        <v>90</v>
      </c>
      <c r="DD618" s="72">
        <f>IF(ISERROR(DC618/CU618),"NA",IF(OR(DC618/CU618&gt;2,DC618/CU618&lt;0.5),"NM",DC618/CU618*100-100))</f>
        <v>0</v>
      </c>
      <c r="DE618" s="185">
        <v>90</v>
      </c>
      <c r="DF618" s="72">
        <f>IF(ISERROR(DE618/CW618),"NA",IF(OR(DE618/CW618&gt;2,DE618/CW618&lt;0.5),"NM",DE618/CW618*100-100))</f>
        <v>0</v>
      </c>
      <c r="DG618" s="185">
        <v>90</v>
      </c>
      <c r="DH618" s="72">
        <f>IF(ISERROR(DG618/CY618),"NA",IF(OR(DG618/CY618&gt;2,DG618/CY618&lt;0.5),"NM",DG618/CY618*100-100))</f>
        <v>0</v>
      </c>
      <c r="DI618" s="185">
        <v>90</v>
      </c>
      <c r="DJ618" s="72">
        <f>IF(ISERROR(DI618/DA618),"NA",IF(OR(DI618/DA618&gt;2,DI618/DA618&lt;0.5),"NM",DI618/DA618*100-100))</f>
        <v>0</v>
      </c>
      <c r="DK618" s="185">
        <v>90</v>
      </c>
      <c r="DL618" s="72">
        <f>IF(ISERROR(DK618/DC618),"NA",IF(OR(DK618/DC618&gt;2,DK618/DC618&lt;0.5),"NM",DK618/DC618*100-100))</f>
        <v>0</v>
      </c>
      <c r="DM618" s="185">
        <v>90</v>
      </c>
      <c r="DN618" s="72">
        <f t="shared" si="2908"/>
        <v>0</v>
      </c>
      <c r="DO618" s="185">
        <v>90</v>
      </c>
      <c r="DP618" s="72">
        <f t="shared" si="2908"/>
        <v>0</v>
      </c>
      <c r="DQ618" s="185">
        <v>90</v>
      </c>
      <c r="DR618" s="72">
        <f t="shared" si="2908"/>
        <v>0</v>
      </c>
      <c r="DS618" s="185">
        <v>90</v>
      </c>
      <c r="DT618" s="72">
        <f t="shared" si="2908"/>
        <v>0</v>
      </c>
      <c r="DU618" s="185">
        <v>90</v>
      </c>
      <c r="DV618" s="72">
        <f t="shared" si="2908"/>
        <v>0</v>
      </c>
      <c r="DW618" s="185">
        <v>90</v>
      </c>
      <c r="DX618" s="72">
        <f t="shared" si="2908"/>
        <v>0</v>
      </c>
      <c r="DY618" s="185">
        <v>90</v>
      </c>
      <c r="DZ618" s="72">
        <f t="shared" si="2908"/>
        <v>0</v>
      </c>
      <c r="EA618" s="185">
        <v>90</v>
      </c>
      <c r="EB618" s="72">
        <f>IF(ISERROR(EA618/DS618),"NA",IF(OR(EA618/DS618&gt;2,EA618/DS618&lt;0.5),"NM",EA618/DS618*100-100))</f>
        <v>0</v>
      </c>
      <c r="EC618" s="185">
        <v>90</v>
      </c>
      <c r="ED618" s="72">
        <f>IF(ISERROR(EC618/DU618),"NA",IF(OR(EC618/DU618&gt;2,EC618/DU618&lt;0.5),"NM",EC618/DU618*100-100))</f>
        <v>0</v>
      </c>
      <c r="EE618" s="185">
        <v>90</v>
      </c>
      <c r="EF618" s="72">
        <f>IF(ISERROR(EE618/DW618),"NA",IF(OR(EE618/DW618&gt;2,EE618/DW618&lt;0.5),"NM",EE618/DW618*100-100))</f>
        <v>0</v>
      </c>
      <c r="EG618" s="185">
        <v>90</v>
      </c>
      <c r="EH618" s="72">
        <f>IF(ISERROR(EG618/DY618),"NA",IF(OR(EG618/DY618&gt;2,EG618/DY618&lt;0.5),"NM",EG618/DY618*100-100))</f>
        <v>0</v>
      </c>
      <c r="EI618" s="185">
        <v>90</v>
      </c>
      <c r="EJ618" s="72">
        <f>IF(ISERROR(EI618/EA618),"NA",IF(OR(EI618/EA618&gt;2,EI618/EA618&lt;0.5),"NM",EI618/EA618*100-100))</f>
        <v>0</v>
      </c>
      <c r="EK618" s="185">
        <v>90</v>
      </c>
      <c r="EL618" s="72">
        <f>IF(ISERROR(EK618/EC618),"NA",IF(OR(EK618/EC618&gt;2,EK618/EC618&lt;0.5),"NM",EK618/EC618*100-100))</f>
        <v>0</v>
      </c>
      <c r="EM618" s="185">
        <v>90</v>
      </c>
      <c r="EN618" s="72">
        <f>IF(ISERROR(EM618/EE618),"NA",IF(OR(EM618/EE618&gt;2,EM618/EE618&lt;0.5),"NM",EM618/EE618*100-100))</f>
        <v>0</v>
      </c>
      <c r="EO618" s="185">
        <v>90</v>
      </c>
      <c r="EP618" s="72">
        <f>IF(ISERROR(EO618/EG618),"NA",IF(OR(EO618/EG618&gt;2,EO618/EG618&lt;0.5),"NM",EO618/EG618*100-100))</f>
        <v>0</v>
      </c>
      <c r="EQ618" s="185">
        <v>50</v>
      </c>
      <c r="ER618" s="72">
        <f t="shared" si="2910"/>
        <v>-44.444444444444443</v>
      </c>
      <c r="ES618" s="185">
        <v>50</v>
      </c>
      <c r="ET618" s="72">
        <f t="shared" si="2912"/>
        <v>-44.444444444444443</v>
      </c>
      <c r="EU618" s="185">
        <v>50</v>
      </c>
      <c r="EV618" s="72">
        <f t="shared" si="2914"/>
        <v>-44.444444444444443</v>
      </c>
      <c r="EW618" s="185">
        <v>50</v>
      </c>
      <c r="EX618" s="72">
        <f t="shared" si="2916"/>
        <v>-44.444444444444443</v>
      </c>
      <c r="EY618" s="72"/>
      <c r="EZ618" s="296"/>
      <c r="FA618" s="72"/>
      <c r="FB618" s="9"/>
      <c r="FC618" s="11"/>
      <c r="FD618" s="9"/>
      <c r="FE618" s="72" t="str">
        <f>IF(ISERROR(FD618/FB618),"NA",IF(OR(FD618/FB618&gt;2,FD618/FB618&lt;0.5),"NM",FD618/FB618*100-100))</f>
        <v>NA</v>
      </c>
      <c r="FF618" s="16"/>
      <c r="FG618" s="72" t="str">
        <f>IF(ISERROR(FF618/FD618),"NA",IF(OR(FF618/FD618&gt;2,FF618/FD618&lt;0.5),"NM",FF618/FD618*100-100))</f>
        <v>NA</v>
      </c>
      <c r="FH618" s="74">
        <f>AVERAGE(Q618,O618,M618,K618)</f>
        <v>50</v>
      </c>
      <c r="FI618" s="72" t="str">
        <f>IF(ISERROR(FH618/FF618),"NA",IF(OR(FH618/FF618&gt;2,FH618/FF618&lt;0.5),"NM",FH618/FF618*100-100))</f>
        <v>NA</v>
      </c>
      <c r="FJ618" s="74">
        <v>50</v>
      </c>
      <c r="FK618" s="72">
        <f>IF(ISERROR(FJ618/FH618),"NA",IF(OR(FJ618/FH618&gt;2,FJ618/FH618&lt;0.5),"NM",FJ618/FH618*100-100))</f>
        <v>0</v>
      </c>
      <c r="FL618" s="74">
        <v>50</v>
      </c>
      <c r="FM618" s="72">
        <f>IF(ISERROR(FL618/FJ618),"NA",IF(OR(FL618/FJ618&gt;2,FL618/FJ618&lt;0.5),"NM",FL618/FJ618*100-100))</f>
        <v>0</v>
      </c>
      <c r="FN618" s="74">
        <v>50</v>
      </c>
      <c r="FO618" s="72">
        <f>IF(ISERROR(FN618/FL618),"NA",IF(OR(FN618/FL618&gt;2,FN618/FL618&lt;0.5),"NM",FN618/FL618*100-100))</f>
        <v>0</v>
      </c>
      <c r="FP618" s="186">
        <v>50</v>
      </c>
      <c r="FQ618" s="187">
        <f>IF(ISERROR(FP618/FN618),"NA",IF(OR(FP618/FN618&gt;2,FP618/FN618&lt;0.5),"NM",FP618/FN618*100-100))</f>
        <v>0</v>
      </c>
      <c r="FR618" s="186">
        <v>50</v>
      </c>
      <c r="FS618" s="187">
        <f>IF(ISERROR(FR618/FP618),"NA",IF(OR(FR618/FP618&gt;2,FR618/FP618&lt;0.5),"NM",FR618/FP618*100-100))</f>
        <v>0</v>
      </c>
      <c r="FT618" s="186">
        <v>50</v>
      </c>
      <c r="FU618" s="187">
        <f>IF(ISERROR(FT618/FR618),"NA",IF(OR(FT618/FR618&gt;2,FT618/FR618&lt;0.5),"NM",FT618/FR618*100-100))</f>
        <v>0</v>
      </c>
      <c r="FV618" s="186">
        <v>50</v>
      </c>
      <c r="FW618" s="72">
        <f>IF(ISERROR(FV618/FT618),"NA",IF(OR(FV618/FT618&gt;2,FV618/FT618&lt;0.5),"NM",FV618/FT618*100-100))</f>
        <v>0</v>
      </c>
      <c r="FX618" s="186">
        <v>50</v>
      </c>
      <c r="FY618" s="72">
        <f>IF(ISERROR(FX618/FV618),"NA",IF(OR(FX618/FV618&gt;2,FX618/FV618&lt;0.5),"NM",FX618/FV618*100-100))</f>
        <v>0</v>
      </c>
      <c r="FZ618" s="186">
        <f>(1-(1/12))*100</f>
        <v>91.666666666666657</v>
      </c>
      <c r="GA618" s="72">
        <f>IF(ISERROR(FZ618/FX618),"NA",IF(OR(FZ618/FX618&gt;2,FZ618/FX618&lt;0.5),"NM",FZ618/FX618*100-100))</f>
        <v>83.333333333333314</v>
      </c>
      <c r="GB618" s="185">
        <v>50</v>
      </c>
      <c r="GC618" s="72">
        <f>IF(ISERROR(GB618/FZ618),"NA",IF(OR(GB618/FZ618&gt;2,GB618/FZ618&lt;0.5),"NM",GB618/FZ618*100-100))</f>
        <v>-45.454545454545446</v>
      </c>
      <c r="GD618" s="185">
        <v>50</v>
      </c>
      <c r="GE618" s="72">
        <f>IF(ISERROR(GD618/GB618),"NA",IF(OR(GD618/GB618&gt;2,GD618/GB618&lt;0.5),"NM",GD618/GB618*100-100))</f>
        <v>0</v>
      </c>
      <c r="GF618" s="185">
        <v>50</v>
      </c>
      <c r="GG618" s="72">
        <f>IF(ISERROR(GF618/GD618),"NA",IF(OR(GF618/GD618&gt;2,GF618/GD618&lt;0.5),"NM",GF618/GD618*100-100))</f>
        <v>0</v>
      </c>
      <c r="GH618" s="185">
        <v>50</v>
      </c>
      <c r="GI618" s="72">
        <f t="shared" si="2917"/>
        <v>0</v>
      </c>
      <c r="GJ618" s="185">
        <v>50</v>
      </c>
      <c r="GK618" s="72">
        <f t="shared" si="2917"/>
        <v>0</v>
      </c>
      <c r="GL618" s="185">
        <v>50</v>
      </c>
      <c r="GM618" s="72">
        <f t="shared" si="2917"/>
        <v>0</v>
      </c>
      <c r="GN618" s="185">
        <v>50</v>
      </c>
      <c r="GO618" s="72">
        <f t="shared" si="2917"/>
        <v>0</v>
      </c>
      <c r="GP618" s="185">
        <v>50</v>
      </c>
      <c r="GQ618" s="72">
        <f t="shared" si="2917"/>
        <v>0</v>
      </c>
      <c r="GR618" s="185">
        <v>50</v>
      </c>
      <c r="GS618" s="72">
        <f t="shared" si="2917"/>
        <v>0</v>
      </c>
      <c r="GT618" s="185">
        <v>50</v>
      </c>
      <c r="GU618" s="72">
        <f t="shared" si="2917"/>
        <v>0</v>
      </c>
      <c r="GV618" s="185">
        <v>50</v>
      </c>
      <c r="GW618" s="72">
        <f>IF(ISERROR(GV618/GT618),"NA",IF(OR(GV618/GT618&gt;2,GV618/GT618&lt;0.5),"NM",GV618/GT618*100-100))</f>
        <v>0</v>
      </c>
      <c r="GX618" s="185">
        <v>50</v>
      </c>
      <c r="GY618" s="72">
        <f>IF(ISERROR(GX618/GV618),"NA",IF(OR(GX618/GV618&gt;2,GX618/GV618&lt;0.5),"NM",GX618/GV618*100-100))</f>
        <v>0</v>
      </c>
      <c r="GZ618" s="72">
        <f>IF(ISERROR(((GX618/GN618)^0.2-1)*100),"NA",IF((((GX618/GN618)^0.2-1)*100)&gt;100,"NM",IF((((GX618/GN618)^0.2-1)*100)&lt;-50,"NM",((GX618/GN618)^0.2-1)*100)))</f>
        <v>0</v>
      </c>
      <c r="HA618" s="72"/>
      <c r="HB618" s="72"/>
      <c r="HC618"/>
      <c r="HD618"/>
      <c r="HE618"/>
      <c r="HF618"/>
      <c r="HG618"/>
      <c r="HH618"/>
      <c r="HI618" s="2"/>
    </row>
    <row r="619" spans="1:217" s="3" customFormat="1" ht="12.75" customHeight="1" x14ac:dyDescent="0.2">
      <c r="A619" s="3" t="s">
        <v>168</v>
      </c>
      <c r="B619" s="18" t="s">
        <v>38</v>
      </c>
      <c r="C619" s="9"/>
      <c r="D619" s="11"/>
      <c r="E619" s="9"/>
      <c r="F619" s="11"/>
      <c r="G619" s="9"/>
      <c r="H619" s="11"/>
      <c r="I619" s="9"/>
      <c r="J619" s="11"/>
      <c r="K619" s="9"/>
      <c r="L619" s="72"/>
      <c r="M619" s="9"/>
      <c r="N619" s="72"/>
      <c r="O619" s="9"/>
      <c r="P619" s="72"/>
      <c r="Q619" s="9">
        <f>Q616*Q617</f>
        <v>3321.89</v>
      </c>
      <c r="R619" s="72" t="str">
        <f>IF(ISERROR(Q619/I619),"NA",IF(OR(Q619/I619&gt;2,Q619/I619&lt;0.5),"NM",Q619/I619*100-100))</f>
        <v>NA</v>
      </c>
      <c r="S619" s="9"/>
      <c r="T619" s="72"/>
      <c r="U619" s="9"/>
      <c r="V619" s="72"/>
      <c r="W619" s="9"/>
      <c r="X619" s="72"/>
      <c r="Y619" s="9"/>
      <c r="Z619" s="72"/>
      <c r="AA619" s="9"/>
      <c r="AB619" s="72"/>
      <c r="AC619" s="9"/>
      <c r="AD619" s="72"/>
      <c r="AE619" s="9"/>
      <c r="AF619" s="72"/>
      <c r="AG619" s="9"/>
      <c r="AH619" s="72"/>
      <c r="AI619" s="9"/>
      <c r="AJ619" s="72"/>
      <c r="AK619" s="9"/>
      <c r="AL619" s="72"/>
      <c r="AM619" s="9"/>
      <c r="AN619" s="72"/>
      <c r="AO619" s="9"/>
      <c r="AP619" s="72"/>
      <c r="AQ619" s="9"/>
      <c r="AR619" s="72"/>
      <c r="AS619" s="9"/>
      <c r="AT619" s="72"/>
      <c r="AU619" s="9"/>
      <c r="AV619" s="72"/>
      <c r="AW619" s="9"/>
      <c r="AX619" s="72"/>
      <c r="AY619" s="9"/>
      <c r="AZ619" s="72"/>
      <c r="BA619" s="9"/>
      <c r="BB619" s="72"/>
      <c r="BC619" s="9"/>
      <c r="BD619" s="72"/>
      <c r="BE619" s="9"/>
      <c r="BF619" s="72"/>
      <c r="BG619" s="150">
        <v>0</v>
      </c>
      <c r="BH619" s="72" t="str">
        <f>IF(ISERROR(BG619/AY619),"NA",IF(OR(BG619/AY619&gt;2,BG619/AY619&lt;0.5),"NM",BG619/AY619*100-100))</f>
        <v>NA</v>
      </c>
      <c r="BI619" s="150">
        <v>0</v>
      </c>
      <c r="BJ619" s="72" t="str">
        <f>IF(ISERROR(BI619/BA619),"NA",IF(OR(BI619/BA619&gt;2,BI619/BA619&lt;0.5),"NM",BI619/BA619*100-100))</f>
        <v>NA</v>
      </c>
      <c r="BK619" s="150">
        <v>0</v>
      </c>
      <c r="BL619" s="72" t="str">
        <f>IF(ISERROR(BK619/BC619),"NA",IF(OR(BK619/BC619&gt;2,BK619/BC619&lt;0.5),"NM",BK619/BC619*100-100))</f>
        <v>NA</v>
      </c>
      <c r="BM619" s="150">
        <v>0</v>
      </c>
      <c r="BN619" s="72" t="str">
        <f>IF(ISERROR(BM619/BE619),"NA",IF(OR(BM619/BE619&gt;2,BM619/BE619&lt;0.5),"NM",BM619/BE619*100-100))</f>
        <v>NA</v>
      </c>
      <c r="BO619" s="150">
        <v>0</v>
      </c>
      <c r="BP619" s="72" t="str">
        <f>IF(ISERROR(BO619/BG619),"NA",IF(OR(BO619/BG619&gt;2,BO619/BG619&lt;0.5),"NM",BO619/BG619*100-100))</f>
        <v>NA</v>
      </c>
      <c r="BQ619" s="150">
        <v>0</v>
      </c>
      <c r="BR619" s="72" t="str">
        <f>IF(ISERROR(BQ619/BI619),"NA",IF(OR(BQ619/BI619&gt;2,BQ619/BI619&lt;0.5),"NM",BQ619/BI619*100-100))</f>
        <v>NA</v>
      </c>
      <c r="BS619" s="150">
        <v>0</v>
      </c>
      <c r="BT619" s="72" t="str">
        <f>IF(ISERROR(BS619/BK619),"NA",IF(OR(BS619/BK619&gt;2,BS619/BK619&lt;0.5),"NM",BS619/BK619*100-100))</f>
        <v>NA</v>
      </c>
      <c r="BU619" s="150">
        <v>0</v>
      </c>
      <c r="BV619" s="72" t="str">
        <f>IF(ISERROR(BU619/BM619),"NA",IF(OR(BU619/BM619&gt;2,BU619/BM619&lt;0.5),"NM",BU619/BM619*100-100))</f>
        <v>NA</v>
      </c>
      <c r="BW619" s="150">
        <v>0</v>
      </c>
      <c r="BX619" s="72" t="str">
        <f>IF(ISERROR(BW619/BO619),"NA",IF(OR(BW619/BO619&gt;2,BW619/BO619&lt;0.5),"NM",BW619/BO619*100-100))</f>
        <v>NA</v>
      </c>
      <c r="BY619" s="696">
        <v>1391</v>
      </c>
      <c r="BZ619" s="72" t="str">
        <f>IF(ISERROR(BY619/BQ619),"NA",IF(OR(BY619/BQ619&gt;2,BY619/BQ619&lt;0.5),"NM",BY619/BQ619*100-100))</f>
        <v>NA</v>
      </c>
      <c r="CA619" s="150">
        <v>0</v>
      </c>
      <c r="CB619" s="72" t="str">
        <f>IF(ISERROR(CA619/BS619),"NA",IF(OR(CA619/BS619&gt;2,CA619/BS619&lt;0.5),"NM",CA619/BS619*100-100))</f>
        <v>NA</v>
      </c>
      <c r="CC619" s="150">
        <v>0</v>
      </c>
      <c r="CD619" s="72" t="str">
        <f>IF(ISERROR(CC619/BU619),"NA",IF(OR(CC619/BU619&gt;2,CC619/BU619&lt;0.5),"NM",CC619/BU619*100-100))</f>
        <v>NA</v>
      </c>
      <c r="CE619" s="150">
        <v>0</v>
      </c>
      <c r="CF619" s="72" t="str">
        <f>IF(ISERROR(CE619/BW619),"NA",IF(OR(CE619/BW619&gt;2,CE619/BW619&lt;0.5),"NM",CE619/BW619*100-100))</f>
        <v>NA</v>
      </c>
      <c r="CG619" s="150">
        <v>0</v>
      </c>
      <c r="CH619" s="72" t="str">
        <f>IF(ISERROR(CG619/BY619),"NA",IF(OR(CG619/BY619&gt;2,CG619/BY619&lt;0.5),"NM",CG619/BY619*100-100))</f>
        <v>NM</v>
      </c>
      <c r="CI619" s="150">
        <v>0</v>
      </c>
      <c r="CJ619" s="72" t="str">
        <f>IF(ISERROR(CI619/CA619),"NA",IF(OR(CI619/CA619&gt;2,CI619/CA619&lt;0.5),"NM",CI619/CA619*100-100))</f>
        <v>NA</v>
      </c>
      <c r="CK619" s="696">
        <v>970</v>
      </c>
      <c r="CL619" s="72" t="str">
        <f>IF(ISERROR(CK619/CC619),"NA",IF(OR(CK619/CC619&gt;2,CK619/CC619&lt;0.5),"NM",CK619/CC619*100-100))</f>
        <v>NA</v>
      </c>
      <c r="CM619" s="185">
        <v>0</v>
      </c>
      <c r="CN619" s="72" t="str">
        <f>IF(ISERROR(CM619/CE619),"NA",IF(OR(CM619/CE619&gt;2,CM619/CE619&lt;0.5),"NM",CM619/CE619*100-100))</f>
        <v>NA</v>
      </c>
      <c r="CO619" s="185">
        <v>0</v>
      </c>
      <c r="CP619" s="72" t="str">
        <f>IF(ISERROR(CO619/CG619),"NA",IF(OR(CO619/CG619&gt;2,CO619/CG619&lt;0.5),"NM",CO619/CG619*100-100))</f>
        <v>NA</v>
      </c>
      <c r="CQ619" s="185">
        <v>0</v>
      </c>
      <c r="CR619" s="72" t="str">
        <f>IF(ISERROR(CQ619/CI619),"NA",IF(OR(CQ619/CI619&gt;2,CQ619/CI619&lt;0.5),"NM",CQ619/CI619*100-100))</f>
        <v>NA</v>
      </c>
      <c r="CS619" s="185">
        <v>0</v>
      </c>
      <c r="CT619" s="72" t="str">
        <f>IF(ISERROR(CS619/CK619),"NA",IF(OR(CS619/CK619&gt;2,CS619/CK619&lt;0.5),"NM",CS619/CK619*100-100))</f>
        <v>NM</v>
      </c>
      <c r="CU619" s="185">
        <v>0</v>
      </c>
      <c r="CV619" s="72" t="str">
        <f>IF(ISERROR(CU619/CM619),"NA",IF(OR(CU619/CM619&gt;2,CU619/CM619&lt;0.5),"NM",CU619/CM619*100-100))</f>
        <v>NA</v>
      </c>
      <c r="CW619" s="185">
        <v>0</v>
      </c>
      <c r="CX619" s="72" t="str">
        <f>IF(ISERROR(CW619/CO619),"NA",IF(OR(CW619/CO619&gt;2,CW619/CO619&lt;0.5),"NM",CW619/CO619*100-100))</f>
        <v>NA</v>
      </c>
      <c r="CY619" s="185">
        <v>0</v>
      </c>
      <c r="CZ619" s="72" t="str">
        <f>IF(ISERROR(CY619/CQ619),"NA",IF(OR(CY619/CQ619&gt;2,CY619/CQ619&lt;0.5),"NM",CY619/CQ619*100-100))</f>
        <v>NA</v>
      </c>
      <c r="DA619" s="185">
        <v>0</v>
      </c>
      <c r="DB619" s="72" t="str">
        <f>IF(ISERROR(DA619/CS619),"NA",IF(OR(DA619/CS619&gt;2,DA619/CS619&lt;0.5),"NM",DA619/CS619*100-100))</f>
        <v>NA</v>
      </c>
      <c r="DC619" s="185">
        <v>0</v>
      </c>
      <c r="DD619" s="72" t="str">
        <f>IF(ISERROR(DC619/CU619),"NA",IF(OR(DC619/CU619&gt;2,DC619/CU619&lt;0.5),"NM",DC619/CU619*100-100))</f>
        <v>NA</v>
      </c>
      <c r="DE619" s="185">
        <v>0</v>
      </c>
      <c r="DF619" s="72" t="str">
        <f>IF(ISERROR(DE619/CW619),"NA",IF(OR(DE619/CW619&gt;2,DE619/CW619&lt;0.5),"NM",DE619/CW619*100-100))</f>
        <v>NA</v>
      </c>
      <c r="DG619" s="185">
        <v>0</v>
      </c>
      <c r="DH619" s="72" t="str">
        <f>IF(ISERROR(DG619/CY619),"NA",IF(OR(DG619/CY619&gt;2,DG619/CY619&lt;0.5),"NM",DG619/CY619*100-100))</f>
        <v>NA</v>
      </c>
      <c r="DI619" s="185">
        <v>0</v>
      </c>
      <c r="DJ619" s="72" t="str">
        <f>IF(ISERROR(DI619/DA619),"NA",IF(OR(DI619/DA619&gt;2,DI619/DA619&lt;0.5),"NM",DI619/DA619*100-100))</f>
        <v>NA</v>
      </c>
      <c r="DK619" s="185">
        <v>0</v>
      </c>
      <c r="DL619" s="72" t="str">
        <f>IF(ISERROR(DK619/DC619),"NA",IF(OR(DK619/DC619&gt;2,DK619/DC619&lt;0.5),"NM",DK619/DC619*100-100))</f>
        <v>NA</v>
      </c>
      <c r="DM619" s="185">
        <v>0</v>
      </c>
      <c r="DN619" s="72" t="str">
        <f t="shared" si="2908"/>
        <v>NA</v>
      </c>
      <c r="DO619" s="185">
        <v>0</v>
      </c>
      <c r="DP619" s="72" t="str">
        <f t="shared" si="2908"/>
        <v>NA</v>
      </c>
      <c r="DQ619" s="185">
        <v>0</v>
      </c>
      <c r="DR619" s="72" t="str">
        <f t="shared" si="2908"/>
        <v>NA</v>
      </c>
      <c r="DS619" s="185">
        <v>0</v>
      </c>
      <c r="DT619" s="72" t="str">
        <f t="shared" si="2908"/>
        <v>NA</v>
      </c>
      <c r="DU619" s="185">
        <v>0</v>
      </c>
      <c r="DV619" s="72" t="str">
        <f t="shared" si="2908"/>
        <v>NA</v>
      </c>
      <c r="DW619" s="185">
        <v>0</v>
      </c>
      <c r="DX619" s="72" t="str">
        <f t="shared" si="2908"/>
        <v>NA</v>
      </c>
      <c r="DY619" s="185">
        <v>0</v>
      </c>
      <c r="DZ619" s="72" t="str">
        <f t="shared" si="2908"/>
        <v>NA</v>
      </c>
      <c r="EA619" s="185">
        <v>0</v>
      </c>
      <c r="EB619" s="72" t="str">
        <f>IF(ISERROR(EA619/DS619),"NA",IF(OR(EA619/DS619&gt;2,EA619/DS619&lt;0.5),"NM",EA619/DS619*100-100))</f>
        <v>NA</v>
      </c>
      <c r="EC619" s="185">
        <v>0</v>
      </c>
      <c r="ED619" s="72" t="str">
        <f>IF(ISERROR(EC619/DU619),"NA",IF(OR(EC619/DU619&gt;2,EC619/DU619&lt;0.5),"NM",EC619/DU619*100-100))</f>
        <v>NA</v>
      </c>
      <c r="EE619" s="185">
        <v>0</v>
      </c>
      <c r="EF619" s="72" t="str">
        <f>IF(ISERROR(EE619/DW619),"NA",IF(OR(EE619/DW619&gt;2,EE619/DW619&lt;0.5),"NM",EE619/DW619*100-100))</f>
        <v>NA</v>
      </c>
      <c r="EG619" s="185">
        <f>EE619</f>
        <v>0</v>
      </c>
      <c r="EH619" s="72" t="str">
        <f>IF(ISERROR(EG619/DY619),"NA",IF(OR(EG619/DY619&gt;2,EG619/DY619&lt;0.5),"NM",EG619/DY619*100-100))</f>
        <v>NA</v>
      </c>
      <c r="EI619" s="185">
        <f>EG619</f>
        <v>0</v>
      </c>
      <c r="EJ619" s="72" t="str">
        <f>IF(ISERROR(EI619/EA619),"NA",IF(OR(EI619/EA619&gt;2,EI619/EA619&lt;0.5),"NM",EI619/EA619*100-100))</f>
        <v>NA</v>
      </c>
      <c r="EK619" s="185">
        <f>EI619</f>
        <v>0</v>
      </c>
      <c r="EL619" s="72" t="str">
        <f>IF(ISERROR(EK619/EC619),"NA",IF(OR(EK619/EC619&gt;2,EK619/EC619&lt;0.5),"NM",EK619/EC619*100-100))</f>
        <v>NA</v>
      </c>
      <c r="EM619" s="185">
        <f>EK619</f>
        <v>0</v>
      </c>
      <c r="EN619" s="72" t="str">
        <f>IF(ISERROR(EM619/EE619),"NA",IF(OR(EM619/EE619&gt;2,EM619/EE619&lt;0.5),"NM",EM619/EE619*100-100))</f>
        <v>NA</v>
      </c>
      <c r="EO619" s="185">
        <f>EM619</f>
        <v>0</v>
      </c>
      <c r="EP619" s="72" t="str">
        <f>IF(ISERROR(EO619/EG619),"NA",IF(OR(EO619/EG619&gt;2,EO619/EG619&lt;0.5),"NM",EO619/EG619*100-100))</f>
        <v>NA</v>
      </c>
      <c r="EQ619" s="185">
        <f t="shared" ref="EQ619" si="2922">EO619</f>
        <v>0</v>
      </c>
      <c r="ER619" s="72" t="str">
        <f t="shared" si="2910"/>
        <v>NA</v>
      </c>
      <c r="ES619" s="185">
        <f t="shared" ref="ES619" si="2923">EQ619</f>
        <v>0</v>
      </c>
      <c r="ET619" s="72" t="str">
        <f t="shared" si="2912"/>
        <v>NA</v>
      </c>
      <c r="EU619" s="185">
        <f t="shared" ref="EU619" si="2924">ES619</f>
        <v>0</v>
      </c>
      <c r="EV619" s="72" t="str">
        <f t="shared" si="2914"/>
        <v>NA</v>
      </c>
      <c r="EW619" s="185">
        <f t="shared" ref="EW619" si="2925">EU619</f>
        <v>0</v>
      </c>
      <c r="EX619" s="72" t="str">
        <f t="shared" si="2916"/>
        <v>NA</v>
      </c>
      <c r="EY619" s="72"/>
      <c r="EZ619" s="296"/>
      <c r="FA619" s="72"/>
      <c r="FB619" s="9"/>
      <c r="FC619" s="11"/>
      <c r="FD619" s="9"/>
      <c r="FE619" s="72" t="str">
        <f>IF(ISERROR(FD619/FB619),"NA",IF(OR(FD619/FB619&gt;2,FD619/FB619&lt;0.5),"NM",FD619/FB619*100-100))</f>
        <v>NA</v>
      </c>
      <c r="FF619" s="16"/>
      <c r="FG619" s="72" t="str">
        <f>IF(ISERROR(FF619/FD619),"NA",IF(OR(FF619/FD619&gt;2,FF619/FD619&lt;0.5),"NM",FF619/FD619*100-100))</f>
        <v>NA</v>
      </c>
      <c r="FH619" s="75">
        <f>K619+M619+O619+Q619</f>
        <v>3321.89</v>
      </c>
      <c r="FI619" s="72" t="str">
        <f>IF(ISERROR(FH619/FF619),"NA",IF(OR(FH619/FF619&gt;2,FH619/FF619&lt;0.5),"NM",FH619/FF619*100-100))</f>
        <v>NA</v>
      </c>
      <c r="FJ619" s="75">
        <f>S619+U619+W619+Y619</f>
        <v>0</v>
      </c>
      <c r="FK619" s="72" t="str">
        <f>IF(ISERROR(FJ619/FH619),"NA",IF(OR(FJ619/FH619&gt;2,FJ619/FH619&lt;0.5),"NM",FJ619/FH619*100-100))</f>
        <v>NM</v>
      </c>
      <c r="FL619" s="75">
        <f>+AA619+AC619+AE619+AG619</f>
        <v>0</v>
      </c>
      <c r="FM619" s="72" t="str">
        <f>IF(ISERROR(FL619/FJ619),"NA",IF(OR(FL619/FJ619&gt;2,FL619/FJ619&lt;0.5),"NM",FL619/FJ619*100-100))</f>
        <v>NA</v>
      </c>
      <c r="FN619" s="75">
        <f>+AI619+AK619+AM619+AO619</f>
        <v>0</v>
      </c>
      <c r="FO619" s="72" t="str">
        <f>IF(ISERROR(FN619/FL619),"NA",IF(OR(FN619/FL619&gt;2,FN619/FL619&lt;0.5),"NM",FN619/FL619*100-100))</f>
        <v>NA</v>
      </c>
      <c r="FP619" s="75">
        <f>AQ619+AS619+AU619+AW619</f>
        <v>0</v>
      </c>
      <c r="FQ619" s="72" t="str">
        <f>IF(ISERROR(FP619/FN619),"NA",IF(OR(FP619/FN619&gt;2,FP619/FN619&lt;0.5),"NM",FP619/FN619*100-100))</f>
        <v>NA</v>
      </c>
      <c r="FR619" s="9">
        <f>AY619+BA619+BC619+BE619</f>
        <v>0</v>
      </c>
      <c r="FS619" s="72" t="str">
        <f>IF(ISERROR(FR619/FP619),"NA",IF(OR(FR619/FP619&gt;2,FR619/FP619&lt;0.5),"NM",FR619/FP619*100-100))</f>
        <v>NA</v>
      </c>
      <c r="FT619" s="9">
        <f>BG619+BI619+BK619+BM619</f>
        <v>0</v>
      </c>
      <c r="FU619" s="72" t="str">
        <f>IF(ISERROR(FT619/FR619),"NA",IF(OR(FT619/FR619&gt;2,FT619/FR619&lt;0.5),"NM",FT619/FR619*100-100))</f>
        <v>NA</v>
      </c>
      <c r="FV619" s="9">
        <f>BO619+BQ619+BS619+BU619</f>
        <v>0</v>
      </c>
      <c r="FW619" s="72" t="str">
        <f>IF(ISERROR(FV619/FT619),"NA",IF(OR(FV619/FT619&gt;2,FV619/FT619&lt;0.5),"NM",FV619/FT619*100-100))</f>
        <v>NA</v>
      </c>
      <c r="FX619" s="144">
        <f>BW619+BY619+CA619+CC619</f>
        <v>1391</v>
      </c>
      <c r="FY619" s="72" t="str">
        <f>IF(ISERROR(FX619/FV619),"NA",IF(OR(FX619/FV619&gt;2,FX619/FV619&lt;0.5),"NM",FX619/FV619*100-100))</f>
        <v>NA</v>
      </c>
      <c r="FZ619" s="144">
        <f>CE619+CG619+CI619+CK619</f>
        <v>970</v>
      </c>
      <c r="GA619" s="72">
        <f>IF(ISERROR(FZ619/FX619),"NA",IF(OR(FZ619/FX619&gt;2,FZ619/FX619&lt;0.5),"NM",FZ619/FX619*100-100))</f>
        <v>-30.265995686556437</v>
      </c>
      <c r="GB619" s="203">
        <f>CM619+CO619+CQ619+CS619</f>
        <v>0</v>
      </c>
      <c r="GC619" s="72" t="str">
        <f>IF(ISERROR(GB619/FZ619),"NA",IF(OR(GB619/FZ619&gt;2,GB619/FZ619&lt;0.5),"NM",GB619/FZ619*100-100))</f>
        <v>NM</v>
      </c>
      <c r="GD619" s="203">
        <f>CU619+CW619+CY619+DA619</f>
        <v>0</v>
      </c>
      <c r="GE619" s="72" t="str">
        <f>IF(ISERROR(GD619/GB619),"NA",IF(OR(GD619/GB619&gt;2,GD619/GB619&lt;0.5),"NM",GD619/GB619*100-100))</f>
        <v>NA</v>
      </c>
      <c r="GF619" s="203">
        <f>DC619+DE619+DG619+DI619</f>
        <v>0</v>
      </c>
      <c r="GG619" s="72" t="str">
        <f>IF(ISERROR(GF619/GD619),"NA",IF(OR(GF619/GD619&gt;2,GF619/GD619&lt;0.5),"NM",GF619/GD619*100-100))</f>
        <v>NA</v>
      </c>
      <c r="GH619" s="203">
        <f>GH616*GH617</f>
        <v>0</v>
      </c>
      <c r="GI619" s="72" t="str">
        <f t="shared" si="2917"/>
        <v>NA</v>
      </c>
      <c r="GJ619" s="203">
        <f>GJ616*GJ617</f>
        <v>0</v>
      </c>
      <c r="GK619" s="72" t="str">
        <f t="shared" si="2917"/>
        <v>NA</v>
      </c>
      <c r="GL619" s="203">
        <f>GL616*GL617</f>
        <v>0</v>
      </c>
      <c r="GM619" s="72" t="str">
        <f t="shared" si="2917"/>
        <v>NA</v>
      </c>
      <c r="GN619" s="203">
        <f>GN616*GN617</f>
        <v>0</v>
      </c>
      <c r="GO619" s="72" t="str">
        <f t="shared" si="2917"/>
        <v>NA</v>
      </c>
      <c r="GP619" s="203">
        <f>GP616*GP617</f>
        <v>0</v>
      </c>
      <c r="GQ619" s="72" t="str">
        <f t="shared" si="2917"/>
        <v>NA</v>
      </c>
      <c r="GR619" s="203">
        <f>GR616*GR617</f>
        <v>0</v>
      </c>
      <c r="GS619" s="72" t="str">
        <f t="shared" si="2917"/>
        <v>NA</v>
      </c>
      <c r="GT619" s="203">
        <f>GT616*GT617</f>
        <v>0</v>
      </c>
      <c r="GU619" s="72" t="str">
        <f t="shared" si="2917"/>
        <v>NA</v>
      </c>
      <c r="GV619" s="203">
        <f>GV616*GV617</f>
        <v>0</v>
      </c>
      <c r="GW619" s="72" t="str">
        <f>IF(ISERROR(GV619/GT619),"NA",IF(OR(GV619/GT619&gt;2,GV619/GT619&lt;0.5),"NM",GV619/GT619*100-100))</f>
        <v>NA</v>
      </c>
      <c r="GX619" s="203">
        <f>GX616*GX617</f>
        <v>0</v>
      </c>
      <c r="GY619" s="72" t="str">
        <f>IF(ISERROR(GX619/GV619),"NA",IF(OR(GX619/GV619&gt;2,GX619/GV619&lt;0.5),"NM",GX619/GV619*100-100))</f>
        <v>NA</v>
      </c>
      <c r="GZ619" s="72" t="str">
        <f>IF(ISERROR(((GX619/GN619)^0.2-1)*100),"NA",IF((((GX619/GN619)^0.2-1)*100)&gt;100,"NM",IF((((GX619/GN619)^0.2-1)*100)&lt;-50,"NM",((GX619/GN619)^0.2-1)*100)))</f>
        <v>NA</v>
      </c>
      <c r="HA619" s="72"/>
      <c r="HB619" s="72"/>
      <c r="HC619"/>
      <c r="HD619"/>
      <c r="HE619"/>
      <c r="HF619"/>
      <c r="HG619"/>
      <c r="HH619"/>
      <c r="HI619" s="2"/>
    </row>
    <row r="620" spans="1:217" s="3" customFormat="1" ht="12.75" customHeight="1" x14ac:dyDescent="0.2">
      <c r="B620" s="18"/>
      <c r="C620" s="9"/>
      <c r="D620" s="11"/>
      <c r="E620" s="9"/>
      <c r="F620" s="11"/>
      <c r="G620" s="9"/>
      <c r="H620" s="11"/>
      <c r="I620" s="9"/>
      <c r="J620" s="11"/>
      <c r="K620" s="9"/>
      <c r="L620" s="72"/>
      <c r="M620" s="9"/>
      <c r="N620" s="72"/>
      <c r="O620" s="9"/>
      <c r="P620" s="72"/>
      <c r="Q620" s="9"/>
      <c r="R620" s="72"/>
      <c r="S620" s="9"/>
      <c r="T620" s="72"/>
      <c r="U620" s="9"/>
      <c r="V620" s="72"/>
      <c r="W620" s="9"/>
      <c r="X620" s="72"/>
      <c r="Y620" s="9"/>
      <c r="Z620" s="72"/>
      <c r="AA620" s="9"/>
      <c r="AB620" s="72"/>
      <c r="AC620" s="9"/>
      <c r="AD620" s="72"/>
      <c r="AE620" s="9"/>
      <c r="AF620" s="72"/>
      <c r="AG620" s="9"/>
      <c r="AH620" s="72"/>
      <c r="AI620" s="9"/>
      <c r="AJ620" s="72"/>
      <c r="AK620" s="9"/>
      <c r="AL620" s="72"/>
      <c r="AM620" s="9"/>
      <c r="AN620" s="72"/>
      <c r="AO620" s="9"/>
      <c r="AP620" s="72"/>
      <c r="AQ620" s="9"/>
      <c r="AR620" s="72"/>
      <c r="AS620" s="9"/>
      <c r="AT620" s="72"/>
      <c r="AU620" s="9"/>
      <c r="AV620" s="72"/>
      <c r="AW620" s="9"/>
      <c r="AX620" s="72"/>
      <c r="AY620" s="9"/>
      <c r="AZ620" s="72"/>
      <c r="BA620" s="9"/>
      <c r="BB620" s="72"/>
      <c r="BC620" s="9"/>
      <c r="BD620" s="72"/>
      <c r="BE620" s="9"/>
      <c r="BF620" s="72"/>
      <c r="BG620" s="9"/>
      <c r="BH620" s="72"/>
      <c r="BI620" s="9"/>
      <c r="BJ620" s="72"/>
      <c r="BK620" s="9"/>
      <c r="BL620" s="72"/>
      <c r="BM620" s="9"/>
      <c r="BN620" s="72"/>
      <c r="BO620" s="9"/>
      <c r="BP620" s="72"/>
      <c r="BQ620" s="9"/>
      <c r="BR620" s="72"/>
      <c r="BS620" s="9"/>
      <c r="BT620" s="72"/>
      <c r="BU620" s="9"/>
      <c r="BV620" s="72"/>
      <c r="BW620" s="9"/>
      <c r="BX620" s="72"/>
      <c r="BY620" s="9"/>
      <c r="BZ620" s="72"/>
      <c r="CA620" s="9"/>
      <c r="CB620" s="72"/>
      <c r="CC620" s="9"/>
      <c r="CD620" s="72"/>
      <c r="CE620" s="9"/>
      <c r="CF620" s="72"/>
      <c r="CG620" s="9"/>
      <c r="CH620" s="72"/>
      <c r="CI620" s="9"/>
      <c r="CJ620" s="72"/>
      <c r="CK620" s="9"/>
      <c r="CL620" s="72"/>
      <c r="CM620" s="9"/>
      <c r="CN620" s="72"/>
      <c r="CO620" s="9"/>
      <c r="CP620" s="72"/>
      <c r="CQ620" s="9"/>
      <c r="CR620" s="72"/>
      <c r="CS620" s="9"/>
      <c r="CT620" s="72"/>
      <c r="CU620" s="9"/>
      <c r="CV620" s="72"/>
      <c r="CW620" s="9"/>
      <c r="CX620" s="72"/>
      <c r="CY620" s="9"/>
      <c r="CZ620" s="72"/>
      <c r="DA620" s="9"/>
      <c r="DB620" s="72"/>
      <c r="DC620" s="9"/>
      <c r="DD620" s="72"/>
      <c r="DE620" s="9"/>
      <c r="DF620" s="72"/>
      <c r="DG620" s="9"/>
      <c r="DH620" s="72"/>
      <c r="DI620" s="9"/>
      <c r="DJ620" s="72"/>
      <c r="DK620" s="9"/>
      <c r="DL620" s="72"/>
      <c r="DM620" s="9"/>
      <c r="DN620" s="72"/>
      <c r="DO620" s="9"/>
      <c r="DP620" s="72"/>
      <c r="DQ620" s="9"/>
      <c r="DR620" s="72"/>
      <c r="DS620" s="9"/>
      <c r="DT620" s="72"/>
      <c r="DU620" s="9"/>
      <c r="DV620" s="72"/>
      <c r="DW620" s="9"/>
      <c r="DX620" s="72"/>
      <c r="DY620" s="9"/>
      <c r="DZ620" s="72"/>
      <c r="EA620" s="9"/>
      <c r="EB620" s="72"/>
      <c r="EC620" s="9"/>
      <c r="ED620" s="72"/>
      <c r="EE620" s="9"/>
      <c r="EF620" s="72"/>
      <c r="EG620" s="9"/>
      <c r="EH620" s="72"/>
      <c r="EI620" s="9"/>
      <c r="EJ620" s="72"/>
      <c r="EK620" s="9"/>
      <c r="EL620" s="72"/>
      <c r="EM620" s="9"/>
      <c r="EN620" s="72"/>
      <c r="EO620" s="9"/>
      <c r="EP620" s="72"/>
      <c r="EQ620" s="9"/>
      <c r="ER620" s="72"/>
      <c r="ES620" s="9"/>
      <c r="ET620" s="72"/>
      <c r="EU620" s="9"/>
      <c r="EV620" s="72"/>
      <c r="EW620" s="9"/>
      <c r="EX620" s="72"/>
      <c r="EY620" s="72"/>
      <c r="EZ620" s="296"/>
      <c r="FA620" s="72"/>
      <c r="FB620" s="9"/>
      <c r="FC620" s="11"/>
      <c r="FD620" s="9"/>
      <c r="FE620" s="72"/>
      <c r="FF620" s="16"/>
      <c r="FG620" s="72"/>
      <c r="FH620" s="139"/>
      <c r="FI620" s="72"/>
      <c r="FJ620" s="139"/>
      <c r="FK620" s="72"/>
      <c r="FL620" s="139"/>
      <c r="FM620" s="72"/>
      <c r="FN620" s="139"/>
      <c r="FO620" s="72"/>
      <c r="FP620" s="139"/>
      <c r="FQ620" s="72"/>
      <c r="FR620" s="9"/>
      <c r="FS620" s="72"/>
      <c r="FT620" s="9"/>
      <c r="FU620" s="72"/>
      <c r="FV620" s="9"/>
      <c r="FW620" s="72"/>
      <c r="FX620" s="9"/>
      <c r="FY620" s="72"/>
      <c r="FZ620" s="9"/>
      <c r="GA620" s="72"/>
      <c r="GB620" s="9"/>
      <c r="GC620" s="72"/>
      <c r="GD620" s="9"/>
      <c r="GE620" s="72"/>
      <c r="GF620" s="9"/>
      <c r="GG620" s="72"/>
      <c r="GH620" s="9"/>
      <c r="GI620" s="72"/>
      <c r="GJ620" s="9"/>
      <c r="GK620" s="72"/>
      <c r="GL620" s="9"/>
      <c r="GM620" s="72"/>
      <c r="GN620" s="9"/>
      <c r="GO620" s="72"/>
      <c r="GP620" s="9"/>
      <c r="GQ620" s="72"/>
      <c r="GR620" s="9"/>
      <c r="GS620" s="72"/>
      <c r="GT620" s="9"/>
      <c r="GU620" s="72"/>
      <c r="GV620" s="9"/>
      <c r="GW620" s="72"/>
      <c r="GX620" s="9"/>
      <c r="GY620" s="72"/>
      <c r="GZ620" s="72"/>
      <c r="HA620" s="72"/>
      <c r="HB620" s="72"/>
      <c r="HC620"/>
      <c r="HD620"/>
      <c r="HE620"/>
      <c r="HF620"/>
      <c r="HG620"/>
      <c r="HH620"/>
      <c r="HI620" s="2"/>
    </row>
    <row r="621" spans="1:217" s="3" customFormat="1" ht="12.75" customHeight="1" x14ac:dyDescent="0.2">
      <c r="A621" s="3" t="s">
        <v>241</v>
      </c>
      <c r="B621" s="18" t="s">
        <v>39</v>
      </c>
      <c r="C621" s="170"/>
      <c r="D621" s="11"/>
      <c r="E621" s="170"/>
      <c r="F621" s="11"/>
      <c r="G621" s="170"/>
      <c r="H621" s="11"/>
      <c r="I621" s="170"/>
      <c r="J621" s="11"/>
      <c r="K621" s="170"/>
      <c r="L621" s="72"/>
      <c r="M621" s="170"/>
      <c r="N621" s="72"/>
      <c r="O621" s="170"/>
      <c r="P621" s="72"/>
      <c r="Q621" s="170">
        <v>0</v>
      </c>
      <c r="R621" s="72" t="str">
        <f>IF(ISERROR(Q621/I621),"NA",IF(OR(Q621/I621&gt;2,Q621/I621&lt;0.5),"NM",Q621/I621*100-100))</f>
        <v>NA</v>
      </c>
      <c r="S621" s="170"/>
      <c r="T621" s="72"/>
      <c r="U621" s="170">
        <v>3.2</v>
      </c>
      <c r="V621" s="72" t="str">
        <f>IF(ISERROR(U621/M621),"NA",IF(OR(U621/M621&gt;2,U621/M621&lt;0.5),"NM",U621/M621*100-100))</f>
        <v>NA</v>
      </c>
      <c r="W621" s="170">
        <v>14.6</v>
      </c>
      <c r="X621" s="72" t="str">
        <f>IF(ISERROR(W621/O621),"NA",IF(OR(W621/O621&gt;2,W621/O621&lt;0.5),"NM",W621/O621*100-100))</f>
        <v>NA</v>
      </c>
      <c r="Y621" s="170">
        <v>8.1999999999999993</v>
      </c>
      <c r="Z621" s="72" t="str">
        <f>IF(ISERROR(Y621/Q621),"NA",IF(OR(Y621/Q621&gt;2,Y621/Q621&lt;0.5),"NM",Y621/Q621*100-100))</f>
        <v>NA</v>
      </c>
      <c r="AA621" s="170">
        <v>8.1</v>
      </c>
      <c r="AB621" s="72" t="str">
        <f>IF(ISERROR(AA621/S621),"NA",IF(OR(AA621/S621&gt;2,AA621/S621&lt;0.5),"NM",AA621/S621*100-100))</f>
        <v>NA</v>
      </c>
      <c r="AC621" s="170">
        <v>7.4</v>
      </c>
      <c r="AD621" s="72" t="str">
        <f>IF(ISERROR(AC621/U621),"NA",IF(OR(AC621/U621&gt;2,AC621/U621&lt;0.5),"NM",AC621/U621*100-100))</f>
        <v>NM</v>
      </c>
      <c r="AE621" s="170">
        <v>7.1</v>
      </c>
      <c r="AF621" s="72" t="str">
        <f>IF(ISERROR(AE621/W621),"NA",IF(OR(AE621/W621&gt;2,AE621/W621&lt;0.5),"NM",AE621/W621*100-100))</f>
        <v>NM</v>
      </c>
      <c r="AG621" s="170">
        <v>6.5</v>
      </c>
      <c r="AH621" s="72">
        <f>IF(ISERROR(AG621/Y621),"NA",IF(OR(AG621/Y621&gt;2,AG621/Y621&lt;0.5),"NM",AG621/Y621*100-100))</f>
        <v>-20.731707317073173</v>
      </c>
      <c r="AI621" s="170">
        <v>8.1999999999999993</v>
      </c>
      <c r="AJ621" s="72">
        <f>IF(ISERROR(AI621/AA621),"NA",IF(OR(AI621/AA621&gt;2,AI621/AA621&lt;0.5),"NM",AI621/AA621*100-100))</f>
        <v>1.2345679012345698</v>
      </c>
      <c r="AK621" s="170">
        <v>8.5</v>
      </c>
      <c r="AL621" s="72">
        <f>IF(ISERROR(AK621/AC621),"NA",IF(OR(AK621/AC621&gt;2,AK621/AC621&lt;0.5),"NM",AK621/AC621*100-100))</f>
        <v>14.86486486486487</v>
      </c>
      <c r="AM621" s="170">
        <v>8.1</v>
      </c>
      <c r="AN621" s="72">
        <f>IF(ISERROR(AM621/AE621),"NA",IF(OR(AM621/AE621&gt;2,AM621/AE621&lt;0.5),"NM",AM621/AE621*100-100))</f>
        <v>14.08450704225352</v>
      </c>
      <c r="AO621" s="170">
        <v>7.7</v>
      </c>
      <c r="AP621" s="72">
        <f>IF(ISERROR(AO621/AG621),"NA",IF(OR(AO621/AG621&gt;2,AO621/AG621&lt;0.5),"NM",AO621/AG621*100-100))</f>
        <v>18.461538461538467</v>
      </c>
      <c r="AQ621" s="170">
        <v>6.5</v>
      </c>
      <c r="AR621" s="72">
        <f>IF(ISERROR(AQ621/AI621),"NA",IF(OR(AQ621/AI621&gt;2,AQ621/AI621&lt;0.5),"NM",AQ621/AI621*100-100))</f>
        <v>-20.731707317073173</v>
      </c>
      <c r="AS621" s="170">
        <v>7.8</v>
      </c>
      <c r="AT621" s="72">
        <f>IF(ISERROR(AS621/AK621),"NA",IF(OR(AS621/AK621&gt;2,AS621/AK621&lt;0.5),"NM",AS621/AK621*100-100))</f>
        <v>-8.235294117647058</v>
      </c>
      <c r="AU621" s="170">
        <v>9.4</v>
      </c>
      <c r="AV621" s="72">
        <f>IF(ISERROR(AU621/AM621),"NA",IF(OR(AU621/AM621&gt;2,AU621/AM621&lt;0.5),"NM",AU621/AM621*100-100))</f>
        <v>16.049382716049394</v>
      </c>
      <c r="AW621" s="170">
        <v>8.6999999999999993</v>
      </c>
      <c r="AX621" s="72">
        <f>IF(ISERROR(AW621/AO621),"NA",IF(OR(AW621/AO621&gt;2,AW621/AO621&lt;0.5),"NM",AW621/AO621*100-100))</f>
        <v>12.987012987012974</v>
      </c>
      <c r="AY621" s="170">
        <v>8.1999999999999993</v>
      </c>
      <c r="AZ621" s="72">
        <f>IF(ISERROR(AY621/AQ621),"NA",IF(OR(AY621/AQ621&gt;2,AY621/AQ621&lt;0.5),"NM",AY621/AQ621*100-100))</f>
        <v>26.153846153846146</v>
      </c>
      <c r="BA621" s="170">
        <v>8.1999999999999993</v>
      </c>
      <c r="BB621" s="72">
        <f>IF(ISERROR(BA621/AS621),"NA",IF(OR(BA621/AS621&gt;2,BA621/AS621&lt;0.5),"NM",BA621/AS621*100-100))</f>
        <v>5.1282051282051384</v>
      </c>
      <c r="BC621" s="170">
        <v>8.3000000000000007</v>
      </c>
      <c r="BD621" s="72">
        <f>IF(ISERROR(BC621/AU621),"NA",IF(OR(BC621/AU621&gt;2,BC621/AU621&lt;0.5),"NM",BC621/AU621*100-100))</f>
        <v>-11.702127659574472</v>
      </c>
      <c r="BE621" s="170">
        <v>7.7</v>
      </c>
      <c r="BF621" s="72">
        <f>IF(ISERROR(BE621/AW621),"NA",IF(OR(BE621/AW621&gt;2,BE621/AW621&lt;0.5),"NM",BE621/AW621*100-100))</f>
        <v>-11.494252873563198</v>
      </c>
      <c r="BG621" s="170">
        <v>8.4</v>
      </c>
      <c r="BH621" s="72">
        <f>IF(ISERROR(BG621/AY621),"NA",IF(OR(BG621/AY621&gt;2,BG621/AY621&lt;0.5),"NM",BG621/AY621*100-100))</f>
        <v>2.4390243902439011</v>
      </c>
      <c r="BI621" s="170">
        <v>7.6</v>
      </c>
      <c r="BJ621" s="72">
        <f>IF(ISERROR(BI621/BA621),"NA",IF(OR(BI621/BA621&gt;2,BI621/BA621&lt;0.5),"NM",BI621/BA621*100-100))</f>
        <v>-7.3170731707317032</v>
      </c>
      <c r="BK621" s="170">
        <v>8.3000000000000007</v>
      </c>
      <c r="BL621" s="72">
        <f>IF(ISERROR(BK621/BC621),"NA",IF(OR(BK621/BC621&gt;2,BK621/BC621&lt;0.5),"NM",BK621/BC621*100-100))</f>
        <v>0</v>
      </c>
      <c r="BM621" s="170">
        <v>7.7</v>
      </c>
      <c r="BN621" s="72">
        <f>IF(ISERROR(BM621/BE621),"NA",IF(OR(BM621/BE621&gt;2,BM621/BE621&lt;0.5),"NM",BM621/BE621*100-100))</f>
        <v>0</v>
      </c>
      <c r="BO621" s="170">
        <v>11.4</v>
      </c>
      <c r="BP621" s="72">
        <f>IF(ISERROR(BO621/BG621),"NA",IF(OR(BO621/BG621&gt;2,BO621/BG621&lt;0.5),"NM",BO621/BG621*100-100))</f>
        <v>35.714285714285722</v>
      </c>
      <c r="BQ621" s="170">
        <v>11.8</v>
      </c>
      <c r="BR621" s="72">
        <f>IF(ISERROR(BQ621/BI621),"NA",IF(OR(BQ621/BI621&gt;2,BQ621/BI621&lt;0.5),"NM",BQ621/BI621*100-100))</f>
        <v>55.26315789473685</v>
      </c>
      <c r="BS621" s="170">
        <v>5.4</v>
      </c>
      <c r="BT621" s="72">
        <f>IF(ISERROR(BS621/BK621),"NA",IF(OR(BS621/BK621&gt;2,BS621/BK621&lt;0.5),"NM",BS621/BK621*100-100))</f>
        <v>-34.939759036144579</v>
      </c>
      <c r="BU621" s="170">
        <v>0</v>
      </c>
      <c r="BV621" s="72" t="str">
        <f>IF(ISERROR(BU621/BM621),"NA",IF(OR(BU621/BM621&gt;2,BU621/BM621&lt;0.5),"NM",BU621/BM621*100-100))</f>
        <v>NM</v>
      </c>
      <c r="BW621" s="170">
        <v>0</v>
      </c>
      <c r="BX621" s="72" t="str">
        <f>IF(ISERROR(BW621/BO621),"NA",IF(OR(BW621/BO621&gt;2,BW621/BO621&lt;0.5),"NM",BW621/BO621*100-100))</f>
        <v>NM</v>
      </c>
      <c r="BY621" s="170">
        <v>0</v>
      </c>
      <c r="BZ621" s="72" t="str">
        <f>IF(ISERROR(BY621/BQ621),"NA",IF(OR(BY621/BQ621&gt;2,BY621/BQ621&lt;0.5),"NM",BY621/BQ621*100-100))</f>
        <v>NM</v>
      </c>
      <c r="CA621" s="170">
        <v>0</v>
      </c>
      <c r="CB621" s="72" t="str">
        <f>IF(ISERROR(CA621/BS621),"NA",IF(OR(CA621/BS621&gt;2,CA621/BS621&lt;0.5),"NM",CA621/BS621*100-100))</f>
        <v>NM</v>
      </c>
      <c r="CC621" s="170">
        <v>0</v>
      </c>
      <c r="CD621" s="72" t="str">
        <f>IF(ISERROR(CC621/BU621),"NA",IF(OR(CC621/BU621&gt;2,CC621/BU621&lt;0.5),"NM",CC621/BU621*100-100))</f>
        <v>NA</v>
      </c>
      <c r="CE621" s="170">
        <v>0</v>
      </c>
      <c r="CF621" s="72" t="str">
        <f>IF(ISERROR(CE621/BW621),"NA",IF(OR(CE621/BW621&gt;2,CE621/BW621&lt;0.5),"NM",CE621/BW621*100-100))</f>
        <v>NA</v>
      </c>
      <c r="CG621" s="170">
        <v>0</v>
      </c>
      <c r="CH621" s="72" t="str">
        <f>IF(ISERROR(CG621/BY621),"NA",IF(OR(CG621/BY621&gt;2,CG621/BY621&lt;0.5),"NM",CG621/BY621*100-100))</f>
        <v>NA</v>
      </c>
      <c r="CI621" s="170">
        <v>0</v>
      </c>
      <c r="CJ621" s="72" t="str">
        <f>IF(ISERROR(CI621/CA621),"NA",IF(OR(CI621/CA621&gt;2,CI621/CA621&lt;0.5),"NM",CI621/CA621*100-100))</f>
        <v>NA</v>
      </c>
      <c r="CK621" s="170">
        <v>0</v>
      </c>
      <c r="CL621" s="72" t="str">
        <f>IF(ISERROR(CK621/CC621),"NA",IF(OR(CK621/CC621&gt;2,CK621/CC621&lt;0.5),"NM",CK621/CC621*100-100))</f>
        <v>NA</v>
      </c>
      <c r="CM621" s="170">
        <v>0</v>
      </c>
      <c r="CN621" s="72" t="str">
        <f>IF(ISERROR(CM621/CE621),"NA",IF(OR(CM621/CE621&gt;2,CM621/CE621&lt;0.5),"NM",CM621/CE621*100-100))</f>
        <v>NA</v>
      </c>
      <c r="CO621" s="170">
        <v>0</v>
      </c>
      <c r="CP621" s="72" t="str">
        <f>IF(ISERROR(CO621/CG621),"NA",IF(OR(CO621/CG621&gt;2,CO621/CG621&lt;0.5),"NM",CO621/CG621*100-100))</f>
        <v>NA</v>
      </c>
      <c r="CQ621" s="170">
        <v>14.8</v>
      </c>
      <c r="CR621" s="72" t="str">
        <f>IF(ISERROR(CQ621/CI621),"NA",IF(OR(CQ621/CI621&gt;2,CQ621/CI621&lt;0.5),"NM",CQ621/CI621*100-100))</f>
        <v>NA</v>
      </c>
      <c r="CS621" s="170">
        <v>4.9000000000000004</v>
      </c>
      <c r="CT621" s="72" t="str">
        <f>IF(ISERROR(CS621/CK621),"NA",IF(OR(CS621/CK621&gt;2,CS621/CK621&lt;0.5),"NM",CS621/CK621*100-100))</f>
        <v>NA</v>
      </c>
      <c r="CU621" s="170">
        <v>4</v>
      </c>
      <c r="CV621" s="72" t="str">
        <f>IF(ISERROR(CU621/CM621),"NA",IF(OR(CU621/CM621&gt;2,CU621/CM621&lt;0.5),"NM",CU621/CM621*100-100))</f>
        <v>NA</v>
      </c>
      <c r="CW621" s="170">
        <v>4.8</v>
      </c>
      <c r="CX621" s="72" t="str">
        <f>IF(ISERROR(CW621/CO621),"NA",IF(OR(CW621/CO621&gt;2,CW621/CO621&lt;0.5),"NM",CW621/CO621*100-100))</f>
        <v>NA</v>
      </c>
      <c r="CY621" s="170">
        <v>2.7</v>
      </c>
      <c r="CZ621" s="72" t="str">
        <f>IF(ISERROR(CY621/CQ621),"NA",IF(OR(CY621/CQ621&gt;2,CY621/CQ621&lt;0.5),"NM",CY621/CQ621*100-100))</f>
        <v>NM</v>
      </c>
      <c r="DA621" s="170">
        <v>0</v>
      </c>
      <c r="DB621" s="72" t="str">
        <f>IF(ISERROR(DA621/CS621),"NA",IF(OR(DA621/CS621&gt;2,DA621/CS621&lt;0.5),"NM",DA621/CS621*100-100))</f>
        <v>NM</v>
      </c>
      <c r="DC621" s="170">
        <v>0</v>
      </c>
      <c r="DD621" s="72" t="str">
        <f>IF(ISERROR(DC621/CU621),"NA",IF(OR(DC621/CU621&gt;2,DC621/CU621&lt;0.5),"NM",DC621/CU621*100-100))</f>
        <v>NM</v>
      </c>
      <c r="DE621" s="170">
        <v>3.9</v>
      </c>
      <c r="DF621" s="72">
        <f>IF(ISERROR(DE621/CW621),"NA",IF(OR(DE621/CW621&gt;2,DE621/CW621&lt;0.5),"NM",DE621/CW621*100-100))</f>
        <v>-18.75</v>
      </c>
      <c r="DG621" s="695">
        <v>3.2</v>
      </c>
      <c r="DH621" s="72">
        <f>IF(ISERROR(DG621/CY621),"NA",IF(OR(DG621/CY621&gt;2,DG621/CY621&lt;0.5),"NM",DG621/CY621*100-100))</f>
        <v>18.518518518518505</v>
      </c>
      <c r="DI621" s="695">
        <v>2.9</v>
      </c>
      <c r="DJ621" s="72" t="str">
        <f>IF(ISERROR(DI621/DA621),"NA",IF(OR(DI621/DA621&gt;2,DI621/DA621&lt;0.5),"NM",DI621/DA621*100-100))</f>
        <v>NA</v>
      </c>
      <c r="DK621" s="695">
        <v>2.9</v>
      </c>
      <c r="DL621" s="72" t="str">
        <f>IF(ISERROR(DK621/DC621),"NA",IF(OR(DK621/DC621&gt;2,DK621/DC621&lt;0.5),"NM",DK621/DC621*100-100))</f>
        <v>NA</v>
      </c>
      <c r="DM621" s="695">
        <v>3</v>
      </c>
      <c r="DN621" s="72">
        <f t="shared" ref="DN621:DZ624" si="2926">IF(ISERROR(DM621/DE621),"NA",IF(OR(DM621/DE621&gt;2,DM621/DE621&lt;0.5),"NM",DM621/DE621*100-100))</f>
        <v>-23.076923076923066</v>
      </c>
      <c r="DO621" s="695">
        <v>2.8</v>
      </c>
      <c r="DP621" s="72">
        <f t="shared" si="2926"/>
        <v>-12.500000000000014</v>
      </c>
      <c r="DQ621" s="695">
        <v>2.9</v>
      </c>
      <c r="DR621" s="72">
        <f t="shared" si="2926"/>
        <v>0</v>
      </c>
      <c r="DS621" s="695">
        <v>3.1</v>
      </c>
      <c r="DT621" s="72">
        <f t="shared" si="2926"/>
        <v>6.8965517241379501</v>
      </c>
      <c r="DU621" s="695">
        <v>2.9</v>
      </c>
      <c r="DV621" s="72">
        <f t="shared" si="2926"/>
        <v>-3.3333333333333286</v>
      </c>
      <c r="DW621" s="695">
        <v>3</v>
      </c>
      <c r="DX621" s="72">
        <f t="shared" si="2926"/>
        <v>7.1428571428571388</v>
      </c>
      <c r="DY621" s="695">
        <f>DY624/DY622</f>
        <v>3.0948254518445157</v>
      </c>
      <c r="DZ621" s="72">
        <f t="shared" si="2926"/>
        <v>6.718119029121226</v>
      </c>
      <c r="EA621" s="695">
        <f>EA624/EA622</f>
        <v>5.4050158547131746</v>
      </c>
      <c r="EB621" s="72">
        <f>IF(ISERROR(EA621/DS621),"NA",IF(OR(EA621/DS621&gt;2,EA621/DS621&lt;0.5),"NM",EA621/DS621*100-100))</f>
        <v>74.355350152037886</v>
      </c>
      <c r="EC621" s="695">
        <f>EC624/EC622</f>
        <v>4.9747943751658266</v>
      </c>
      <c r="ED621" s="72">
        <f>IF(ISERROR(EC621/DU621),"NA",IF(OR(EC621/DU621&gt;2,EC621/DU621&lt;0.5),"NM",EC621/DU621*100-100))</f>
        <v>71.54463362640783</v>
      </c>
      <c r="EE621" s="695">
        <f>EE624/EE622</f>
        <v>8.0770224864306019</v>
      </c>
      <c r="EF621" s="72" t="str">
        <f>IF(ISERROR(EE621/DW621),"NA",IF(OR(EE621/DW621&gt;2,EE621/DW621&lt;0.5),"NM",EE621/DW621*100-100))</f>
        <v>NM</v>
      </c>
      <c r="EG621" s="695">
        <f>EG624/EG622</f>
        <v>6.6602728047740829</v>
      </c>
      <c r="EH621" s="72" t="str">
        <f>IF(ISERROR(EG621/DY621),"NA",IF(OR(EG621/DY621&gt;2,EG621/DY621&lt;0.5),"NM",EG621/DY621*100-100))</f>
        <v>NM</v>
      </c>
      <c r="EI621" s="695">
        <f>EI624/EI622</f>
        <v>2.8959317950143637</v>
      </c>
      <c r="EJ621" s="72">
        <f>IF(ISERROR(EI621/EA621),"NA",IF(OR(EI621/EA621&gt;2,EI621/EA621&lt;0.5),"NM",EI621/EA621*100-100))</f>
        <v>-46.421400549840932</v>
      </c>
      <c r="EK621" s="171">
        <f>EK625/EK622</f>
        <v>2.9433926721296033</v>
      </c>
      <c r="EL621" s="72">
        <f>IF(ISERROR(EK621/EC621),"NA",IF(OR(EK621/EC621&gt;2,EK621/EC621&lt;0.5),"NM",EK621/EC621*100-100))</f>
        <v>-40.833882766632136</v>
      </c>
      <c r="EM621" s="171">
        <f>EM625/EM622</f>
        <v>2.9384109073812885</v>
      </c>
      <c r="EN621" s="72" t="str">
        <f>IF(ISERROR(EM621/EE621),"NA",IF(OR(EM621/EE621&gt;2,EM621/EE621&lt;0.5),"NM",EM621/EE621*100-100))</f>
        <v>NM</v>
      </c>
      <c r="EO621" s="171">
        <v>2.8</v>
      </c>
      <c r="EP621" s="72" t="str">
        <f>IF(ISERROR(EO621/EG621),"NA",IF(OR(EO621/EG621&gt;2,EO621/EG621&lt;0.5),"NM",EO621/EG621*100-100))</f>
        <v>NM</v>
      </c>
      <c r="EQ621" s="171">
        <f t="shared" ref="EQ621" si="2927">EQ625/EQ622</f>
        <v>3.3271370865479821</v>
      </c>
      <c r="ER621" s="72">
        <f t="shared" ref="ER621:ER624" si="2928">IF(ISERROR(EQ621/EI621),"NA",IF(OR(EQ621/EI621&gt;2,EQ621/EI621&lt;0.5),"NM",EQ621/EI621*100-100))</f>
        <v>14.890036163005675</v>
      </c>
      <c r="ES621" s="171">
        <f t="shared" ref="ES621" si="2929">ES625/ES622</f>
        <v>3.2876365574408113</v>
      </c>
      <c r="ET621" s="72">
        <f t="shared" ref="ET621:ET624" si="2930">IF(ISERROR(ES621/EK621),"NA",IF(OR(ES621/EK621&gt;2,ES621/EK621&lt;0.5),"NM",ES621/EK621*100-100))</f>
        <v>11.695479457117102</v>
      </c>
      <c r="EU621" s="171">
        <f t="shared" ref="EU621" si="2931">EU625/EU622</f>
        <v>3.2483007005482851</v>
      </c>
      <c r="EV621" s="72">
        <f t="shared" ref="EV621:EV624" si="2932">IF(ISERROR(EU621/EM621),"NA",IF(OR(EU621/EM621&gt;2,EU621/EM621&lt;0.5),"NM",EU621/EM621*100-100))</f>
        <v>10.54616944105922</v>
      </c>
      <c r="EW621" s="171">
        <f t="shared" ref="EW621" si="2933">EW625/EW622</f>
        <v>3.209136151618611</v>
      </c>
      <c r="EX621" s="72">
        <f t="shared" ref="EX621:EX624" si="2934">IF(ISERROR(EW621/EO621),"NA",IF(OR(EW621/EO621&gt;2,EW621/EO621&lt;0.5),"NM",EW621/EO621*100-100))</f>
        <v>14.612005414950403</v>
      </c>
      <c r="EY621" s="72"/>
      <c r="EZ621" s="296"/>
      <c r="FA621" s="72"/>
      <c r="FB621" s="9"/>
      <c r="FC621" s="11"/>
      <c r="FD621" s="9"/>
      <c r="FE621" s="72" t="str">
        <f>IF(ISERROR(FD621/FB621),"NA",IF(OR(FD621/FB621&gt;2,FD621/FB621&lt;0.5),"NM",FD621/FB621*100-100))</f>
        <v>NA</v>
      </c>
      <c r="FF621" s="16"/>
      <c r="FG621" s="72" t="str">
        <f>IF(ISERROR(FF621/FD621),"NA",IF(OR(FF621/FD621&gt;2,FF621/FD621&lt;0.5),"NM",FF621/FD621*100-100))</f>
        <v>NA</v>
      </c>
      <c r="FH621" s="81">
        <f>K621+M621+O621+Q621</f>
        <v>0</v>
      </c>
      <c r="FI621" s="72" t="str">
        <f>IF(ISERROR(FH621/FF621),"NA",IF(OR(FH621/FF621&gt;2,FH621/FF621&lt;0.5),"NM",FH621/FF621*100-100))</f>
        <v>NA</v>
      </c>
      <c r="FJ621" s="81">
        <f>S621+U621+W621+Y621</f>
        <v>26</v>
      </c>
      <c r="FK621" s="72" t="str">
        <f>IF(ISERROR(FJ621/FH621),"NA",IF(OR(FJ621/FH621&gt;2,FJ621/FH621&lt;0.5),"NM",FJ621/FH621*100-100))</f>
        <v>NA</v>
      </c>
      <c r="FL621" s="81">
        <f>+AA621+AC621+AE621+AG621</f>
        <v>29.1</v>
      </c>
      <c r="FM621" s="72">
        <f>IF(ISERROR(FL621/FJ621),"NA",IF(OR(FL621/FJ621&gt;2,FL621/FJ621&lt;0.5),"NM",FL621/FJ621*100-100))</f>
        <v>11.92307692307692</v>
      </c>
      <c r="FN621" s="81">
        <f>+AI621+AK621+AM621+AO621</f>
        <v>32.5</v>
      </c>
      <c r="FO621" s="72">
        <f>IF(ISERROR(FN621/FL621),"NA",IF(OR(FN621/FL621&gt;2,FN621/FL621&lt;0.5),"NM",FN621/FL621*100-100))</f>
        <v>11.68384879725086</v>
      </c>
      <c r="FP621" s="81">
        <f>AQ621+AS621+AU621+AW621</f>
        <v>32.400000000000006</v>
      </c>
      <c r="FQ621" s="72">
        <f>IF(ISERROR(FP621/FN621),"NA",IF(OR(FP621/FN621&gt;2,FP621/FN621&lt;0.5),"NM",FP621/FN621*100-100))</f>
        <v>-0.30769230769229239</v>
      </c>
      <c r="FR621" s="171">
        <f>AY621+BA621+BC621+BE621</f>
        <v>32.4</v>
      </c>
      <c r="FS621" s="72">
        <f>IF(ISERROR(FR621/FP621),"NA",IF(OR(FR621/FP621&gt;2,FR621/FP621&lt;0.5),"NM",FR621/FP621*100-100))</f>
        <v>-2.8421709430404007E-14</v>
      </c>
      <c r="FT621" s="171">
        <f>BG621+BI621+BK621+BM621</f>
        <v>32</v>
      </c>
      <c r="FU621" s="72">
        <f>IF(ISERROR(FT621/FR621),"NA",IF(OR(FT621/FR621&gt;2,FT621/FR621&lt;0.5),"NM",FT621/FR621*100-100))</f>
        <v>-1.2345679012345556</v>
      </c>
      <c r="FV621" s="171">
        <f>BO621+BQ621+BS621+BU621</f>
        <v>28.6</v>
      </c>
      <c r="FW621" s="72">
        <f>IF(ISERROR(FV621/FT621),"NA",IF(OR(FV621/FT621&gt;2,FV621/FT621&lt;0.5),"NM",FV621/FT621*100-100))</f>
        <v>-10.625</v>
      </c>
      <c r="FX621" s="13">
        <f>BW621+BY621+CA621+CC621</f>
        <v>0</v>
      </c>
      <c r="FY621" s="72" t="str">
        <f>IF(ISERROR(FX621/FV621),"NA",IF(OR(FX621/FV621&gt;2,FX621/FV621&lt;0.5),"NM",FX621/FV621*100-100))</f>
        <v>NM</v>
      </c>
      <c r="FZ621" s="13">
        <f>CE621+CG621+CI621+CK621</f>
        <v>0</v>
      </c>
      <c r="GA621" s="72" t="str">
        <f>IF(ISERROR(FZ621/FX621),"NA",IF(OR(FZ621/FX621&gt;2,FZ621/FX621&lt;0.5),"NM",FZ621/FX621*100-100))</f>
        <v>NA</v>
      </c>
      <c r="GB621" s="171">
        <f>CM621+CO621+CQ621+CS621</f>
        <v>19.700000000000003</v>
      </c>
      <c r="GC621" s="72" t="str">
        <f>IF(ISERROR(GB621/FZ621),"NA",IF(OR(GB621/FZ621&gt;2,GB621/FZ621&lt;0.5),"NM",GB621/FZ621*100-100))</f>
        <v>NA</v>
      </c>
      <c r="GD621" s="171">
        <f>CU621+CW621+CY621+DA621</f>
        <v>11.5</v>
      </c>
      <c r="GE621" s="72">
        <f>IF(ISERROR(GD621/GB621),"NA",IF(OR(GD621/GB621&gt;2,GD621/GB621&lt;0.5),"NM",GD621/GB621*100-100))</f>
        <v>-41.624365482233515</v>
      </c>
      <c r="GF621" s="171">
        <f>DC621+DE621+DG621+DI621</f>
        <v>10</v>
      </c>
      <c r="GG621" s="72">
        <f>IF(ISERROR(GF621/GD621),"NA",IF(OR(GF621/GD621&gt;2,GF621/GD621&lt;0.5),"NM",GF621/GD621*100-100))</f>
        <v>-13.043478260869563</v>
      </c>
      <c r="GH621" s="280">
        <f>DK621+DM621+DO621+DQ621</f>
        <v>11.6</v>
      </c>
      <c r="GI621" s="72">
        <f t="shared" ref="GI621:GU624" si="2935">IF(ISERROR(GH621/GF621),"NA",IF(OR(GH621/GF621&gt;2,GH621/GF621&lt;0.5),"NM",GH621/GF621*100-100))</f>
        <v>15.999999999999986</v>
      </c>
      <c r="GJ621" s="280">
        <f>DS621+DU621+DW621+DY621</f>
        <v>12.094825451844516</v>
      </c>
      <c r="GK621" s="72">
        <f t="shared" si="2935"/>
        <v>4.265736653832036</v>
      </c>
      <c r="GL621" s="280">
        <f>EA621+EC621+EE621+EG621</f>
        <v>25.117105521083687</v>
      </c>
      <c r="GM621" s="72" t="str">
        <f t="shared" si="2935"/>
        <v>NM</v>
      </c>
      <c r="GN621" s="280">
        <f>EI621+EK621+EM621+EO621</f>
        <v>11.577735374525258</v>
      </c>
      <c r="GO621" s="72" t="str">
        <f t="shared" si="2935"/>
        <v>NM</v>
      </c>
      <c r="GP621" s="280">
        <f>EQ621+ES621+EU621+EW621</f>
        <v>13.072210496155691</v>
      </c>
      <c r="GQ621" s="72">
        <f t="shared" si="2935"/>
        <v>12.908181723679405</v>
      </c>
      <c r="GR621" s="171">
        <f>GR625/GR622</f>
        <v>12.501098139568246</v>
      </c>
      <c r="GS621" s="72">
        <f t="shared" si="2935"/>
        <v>-4.3689042243880607</v>
      </c>
      <c r="GT621" s="171">
        <f>GT625/GT622</f>
        <v>12.776224418464482</v>
      </c>
      <c r="GU621" s="72">
        <f t="shared" si="2935"/>
        <v>2.2008168868414231</v>
      </c>
      <c r="GV621" s="171">
        <f>GV625/GV622</f>
        <v>12.264330848207749</v>
      </c>
      <c r="GW621" s="72">
        <f>IF(ISERROR(GV621/GT621),"NA",IF(OR(GV621/GT621&gt;2,GV621/GT621&lt;0.5),"NM",GV621/GT621*100-100))</f>
        <v>-4.0066106659564724</v>
      </c>
      <c r="GX621" s="171">
        <f>GX625/GX622</f>
        <v>11.797179813850443</v>
      </c>
      <c r="GY621" s="72">
        <f>IF(ISERROR(GX621/GV621),"NA",IF(OR(GX621/GV621&gt;2,GX621/GV621&lt;0.5),"NM",GX621/GV621*100-100))</f>
        <v>-3.8090217896035767</v>
      </c>
      <c r="GZ621" s="72">
        <f>IF(ISERROR(((GX621/GN621)^0.2-1)*100),"NA",IF((((GX621/GN621)^0.2-1)*100)&gt;100,"NM",IF((((GX621/GN621)^0.2-1)*100)&lt;-50,"NM",((GX621/GN621)^0.2-1)*100)))</f>
        <v>0.37623829745923043</v>
      </c>
      <c r="HA621" s="72"/>
      <c r="HB621" s="72"/>
      <c r="HC621"/>
      <c r="HD621"/>
      <c r="HE621"/>
      <c r="HF621"/>
      <c r="HG621"/>
      <c r="HH621"/>
      <c r="HI621" s="2"/>
    </row>
    <row r="622" spans="1:217" s="3" customFormat="1" ht="12.75" customHeight="1" x14ac:dyDescent="0.2">
      <c r="B622" s="18" t="s">
        <v>37</v>
      </c>
      <c r="C622" s="13"/>
      <c r="D622" s="11"/>
      <c r="E622" s="13"/>
      <c r="F622" s="11"/>
      <c r="G622" s="13"/>
      <c r="H622" s="11"/>
      <c r="I622" s="13"/>
      <c r="J622" s="11"/>
      <c r="K622" s="13"/>
      <c r="L622" s="72"/>
      <c r="M622" s="13"/>
      <c r="N622" s="72"/>
      <c r="O622" s="13"/>
      <c r="P622" s="72"/>
      <c r="Q622" s="13">
        <v>27.5</v>
      </c>
      <c r="R622" s="72" t="str">
        <f>IF(ISERROR(Q622/I622),"NA",IF(OR(Q622/I622&gt;2,Q622/I622&lt;0.5),"NM",Q622/I622*100-100))</f>
        <v>NA</v>
      </c>
      <c r="S622" s="13"/>
      <c r="T622" s="72"/>
      <c r="U622" s="13">
        <f>+U624/U621</f>
        <v>33.125</v>
      </c>
      <c r="V622" s="72" t="str">
        <f>IF(ISERROR(U622/M622),"NA",IF(OR(U622/M622&gt;2,U622/M622&lt;0.5),"NM",U622/M622*100-100))</f>
        <v>NA</v>
      </c>
      <c r="W622" s="13">
        <f>+W624/W621</f>
        <v>30.410958904109588</v>
      </c>
      <c r="X622" s="72" t="str">
        <f>IF(ISERROR(W622/O622),"NA",IF(OR(W622/O622&gt;2,W622/O622&lt;0.5),"NM",W622/O622*100-100))</f>
        <v>NA</v>
      </c>
      <c r="Y622" s="13">
        <f>+Y624/Y621</f>
        <v>30.487804878048784</v>
      </c>
      <c r="Z622" s="72">
        <f>IF(ISERROR(Y622/Q622),"NA",IF(OR(Y622/Q622&gt;2,Y622/Q622&lt;0.5),"NM",Y622/Q622*100-100))</f>
        <v>10.864745011086498</v>
      </c>
      <c r="AA622" s="13">
        <f>+AA624/AA621</f>
        <v>30.8641975308642</v>
      </c>
      <c r="AB622" s="72" t="str">
        <f>IF(ISERROR(AA622/S622),"NA",IF(OR(AA622/S622&gt;2,AA622/S622&lt;0.5),"NM",AA622/S622*100-100))</f>
        <v>NA</v>
      </c>
      <c r="AC622" s="13">
        <f>+AC624/AC621</f>
        <v>32.162162162162161</v>
      </c>
      <c r="AD622" s="72">
        <f>IF(ISERROR(AC622/U622),"NA",IF(OR(AC622/U622&gt;2,AC622/U622&lt;0.5),"NM",AC622/U622*100-100))</f>
        <v>-2.9066802651708343</v>
      </c>
      <c r="AE622" s="13">
        <f>+AE624/AE621</f>
        <v>36.760563380281695</v>
      </c>
      <c r="AF622" s="72">
        <f>IF(ISERROR(AE622/W622),"NA",IF(OR(AE622/W622&gt;2,AE622/W622&lt;0.5),"NM",AE622/W622*100-100))</f>
        <v>20.879330034259638</v>
      </c>
      <c r="AG622" s="13">
        <f>+AG624/AG621</f>
        <v>38.769230769230766</v>
      </c>
      <c r="AH622" s="72">
        <f>IF(ISERROR(AG622/Y622),"NA",IF(OR(AG622/Y622&gt;2,AG622/Y622&lt;0.5),"NM",AG622/Y622*100-100))</f>
        <v>27.163076923076886</v>
      </c>
      <c r="AI622" s="13">
        <f>+AI624/AI621</f>
        <v>45.365853658536587</v>
      </c>
      <c r="AJ622" s="72">
        <f>IF(ISERROR(AI622/AA622),"NA",IF(OR(AI622/AA622&gt;2,AI622/AA622&lt;0.5),"NM",AI622/AA622*100-100))</f>
        <v>46.985365853658521</v>
      </c>
      <c r="AK622" s="13">
        <f>+AK624/AK621</f>
        <v>44.352941176470587</v>
      </c>
      <c r="AL622" s="72">
        <f>IF(ISERROR(AK622/AC622),"NA",IF(OR(AK622/AC622&gt;2,AK622/AC622&lt;0.5),"NM",AK622/AC622*100-100))</f>
        <v>37.904102817597618</v>
      </c>
      <c r="AM622" s="13">
        <f>+AM624/AM621</f>
        <v>45.925925925925931</v>
      </c>
      <c r="AN622" s="72">
        <f>IF(ISERROR(AM622/AE622),"NA",IF(OR(AM622/AE622&gt;2,AM622/AE622&lt;0.5),"NM",AM622/AE622*100-100))</f>
        <v>24.932595430679712</v>
      </c>
      <c r="AO622" s="13">
        <f>+AO624/AO621</f>
        <v>48.961038961038959</v>
      </c>
      <c r="AP622" s="72">
        <f>IF(ISERROR(AO622/AG622),"NA",IF(OR(AO622/AG622&gt;2,AO622/AG622&lt;0.5),"NM",AO622/AG622*100-100))</f>
        <v>26.288394145537012</v>
      </c>
      <c r="AQ622" s="13">
        <f>+AQ624/AQ621</f>
        <v>56.46153846153846</v>
      </c>
      <c r="AR622" s="72">
        <f>IF(ISERROR(AQ622/AI622),"NA",IF(OR(AQ622/AI622&gt;2,AQ622/AI622&lt;0.5),"NM",AQ622/AI622*100-100))</f>
        <v>24.4582299421009</v>
      </c>
      <c r="AS622" s="13">
        <f>+AS624/AS621</f>
        <v>61.025641025641029</v>
      </c>
      <c r="AT622" s="72">
        <f>IF(ISERROR(AS622/AK622),"NA",IF(OR(AS622/AK622&gt;2,AS622/AK622&lt;0.5),"NM",AS622/AK622*100-100))</f>
        <v>37.59096782969462</v>
      </c>
      <c r="AU622" s="13">
        <f>+AU624/AU621</f>
        <v>66.276595744680847</v>
      </c>
      <c r="AV622" s="72">
        <f>IF(ISERROR(AU622/AM622),"NA",IF(OR(AU622/AM622&gt;2,AU622/AM622&lt;0.5),"NM",AU622/AM622*100-100))</f>
        <v>44.31194234728892</v>
      </c>
      <c r="AW622" s="13">
        <f>+AW624/AW621</f>
        <v>71.724137931034491</v>
      </c>
      <c r="AX622" s="72">
        <f>IF(ISERROR(AW622/AO622),"NA",IF(OR(AW622/AO622&gt;2,AW622/AO622&lt;0.5),"NM",AW622/AO622*100-100))</f>
        <v>46.492271105826404</v>
      </c>
      <c r="AY622" s="13">
        <f>+AY624/AY621</f>
        <v>75.975609756097569</v>
      </c>
      <c r="AZ622" s="72">
        <f>IF(ISERROR(AY622/AQ622),"NA",IF(OR(AY622/AQ622&gt;2,AY622/AQ622&lt;0.5),"NM",AY622/AQ622*100-100))</f>
        <v>34.56170665248888</v>
      </c>
      <c r="BA622" s="13">
        <f>+BA624/BA621</f>
        <v>76.219512195121965</v>
      </c>
      <c r="BB622" s="72">
        <f>IF(ISERROR(BA622/AS622),"NA",IF(OR(BA622/AS622&gt;2,BA622/AS622&lt;0.5),"NM",BA622/AS622*100-100))</f>
        <v>24.897519983603217</v>
      </c>
      <c r="BC622" s="13">
        <f>+BC624/BC621</f>
        <v>75.301204819277103</v>
      </c>
      <c r="BD622" s="72">
        <f>IF(ISERROR(BC622/AU622),"NA",IF(OR(BC622/AU622&gt;2,BC622/AU622&lt;0.5),"NM",BC622/AU622*100-100))</f>
        <v>13.61658512057862</v>
      </c>
      <c r="BE622" s="13">
        <f>+BE624/BE621</f>
        <v>81.298701298701303</v>
      </c>
      <c r="BF622" s="72">
        <f>IF(ISERROR(BE622/AW622),"NA",IF(OR(BE622/AW622&gt;2,BE622/AW622&lt;0.5),"NM",BE622/AW622*100-100))</f>
        <v>13.349150849150845</v>
      </c>
      <c r="BG622" s="13">
        <f>+BG624/BG621</f>
        <v>89.166666666666657</v>
      </c>
      <c r="BH622" s="72">
        <f>IF(ISERROR(BG622/AY622),"NA",IF(OR(BG622/AY622&gt;2,BG622/AY622&lt;0.5),"NM",BG622/AY622*100-100))</f>
        <v>17.362225789192067</v>
      </c>
      <c r="BI622" s="13">
        <f>+BI624/BI621</f>
        <v>98.81578947368422</v>
      </c>
      <c r="BJ622" s="72">
        <f>IF(ISERROR(BI622/BA622),"NA",IF(OR(BI622/BA622&gt;2,BI622/BA622&lt;0.5),"NM",BI622/BA622*100-100))</f>
        <v>29.646315789473675</v>
      </c>
      <c r="BK622" s="13">
        <f>+BK624/BK621</f>
        <v>90.361445783132524</v>
      </c>
      <c r="BL622" s="72">
        <f>IF(ISERROR(BK622/BC622),"NA",IF(OR(BK622/BC622&gt;2,BK622/BC622&lt;0.5),"NM",BK622/BC622*100-100))</f>
        <v>20</v>
      </c>
      <c r="BM622" s="13">
        <f>+BM624/BM621</f>
        <v>97.402597402597394</v>
      </c>
      <c r="BN622" s="72">
        <f>IF(ISERROR(BM622/BE622),"NA",IF(OR(BM622/BE622&gt;2,BM622/BE622&lt;0.5),"NM",BM622/BE622*100-100))</f>
        <v>19.808306709265167</v>
      </c>
      <c r="BO622" s="13">
        <f>+BO624/BO621</f>
        <v>76.228070175438589</v>
      </c>
      <c r="BP622" s="72">
        <f>IF(ISERROR(BO622/BG622),"NA",IF(OR(BO622/BG622&gt;2,BO622/BG622&lt;0.5),"NM",BO622/BG622*100-100))</f>
        <v>-14.510575504181006</v>
      </c>
      <c r="BQ622" s="13">
        <f>+BQ624/BQ621</f>
        <v>74.66101694915254</v>
      </c>
      <c r="BR622" s="72">
        <f>IF(ISERROR(BQ622/BI622),"NA",IF(OR(BQ622/BI622&gt;2,BQ622/BI622&lt;0.5),"NM",BQ622/BI622*100-100))</f>
        <v>-24.44424383308133</v>
      </c>
      <c r="BS622" s="13">
        <f>+BS624/BS621</f>
        <v>69.444444444444443</v>
      </c>
      <c r="BT622" s="72">
        <f>IF(ISERROR(BS622/BK622),"NA",IF(OR(BS622/BK622&gt;2,BS622/BK622&lt;0.5),"NM",BS622/BK622*100-100))</f>
        <v>-23.148148148148138</v>
      </c>
      <c r="BU622" s="694">
        <v>31.79</v>
      </c>
      <c r="BV622" s="72" t="str">
        <f>IF(ISERROR(BU622/BM622),"NA",IF(OR(BU622/BM622&gt;2,BU622/BM622&lt;0.5),"NM",BU622/BM622*100-100))</f>
        <v>NM</v>
      </c>
      <c r="BW622" s="694">
        <v>22.94</v>
      </c>
      <c r="BX622" s="72" t="str">
        <f>IF(ISERROR(BW622/BO622),"NA",IF(OR(BW622/BO622&gt;2,BW622/BO622&lt;0.5),"NM",BW622/BO622*100-100))</f>
        <v>NM</v>
      </c>
      <c r="BY622" s="694">
        <v>34.06</v>
      </c>
      <c r="BZ622" s="72" t="str">
        <f>IF(ISERROR(BY622/BQ622),"NA",IF(OR(BY622/BQ622&gt;2,BY622/BQ622&lt;0.5),"NM",BY622/BQ622*100-100))</f>
        <v>NM</v>
      </c>
      <c r="CA622" s="694">
        <v>45.47</v>
      </c>
      <c r="CB622" s="72">
        <f>IF(ISERROR(CA622/BS622),"NA",IF(OR(CA622/BS622&gt;2,CA622/BS622&lt;0.5),"NM",CA622/BS622*100-100))</f>
        <v>-34.523200000000003</v>
      </c>
      <c r="CC622" s="694">
        <v>49.17</v>
      </c>
      <c r="CD622" s="72">
        <f>IF(ISERROR(CC622/BU622),"NA",IF(OR(CC622/BU622&gt;2,CC622/BU622&lt;0.5),"NM",CC622/BU622*100-100))</f>
        <v>54.671280276816617</v>
      </c>
      <c r="CE622" s="694">
        <v>53.35</v>
      </c>
      <c r="CF622" s="72" t="str">
        <f>IF(ISERROR(CE622/BW622),"NA",IF(OR(CE622/BW622&gt;2,CE622/BW622&lt;0.5),"NM",CE622/BW622*100-100))</f>
        <v>NM</v>
      </c>
      <c r="CG622" s="694">
        <v>60.15</v>
      </c>
      <c r="CH622" s="72">
        <f>IF(ISERROR(CG622/BY622),"NA",IF(OR(CG622/BY622&gt;2,CG622/BY622&lt;0.5),"NM",CG622/BY622*100-100))</f>
        <v>76.600117439812067</v>
      </c>
      <c r="CI622" s="694">
        <v>54.94</v>
      </c>
      <c r="CJ622" s="72">
        <f>IF(ISERROR(CI622/CA622),"NA",IF(OR(CI622/CA622&gt;2,CI622/CA622&lt;0.5),"NM",CI622/CA622*100-100))</f>
        <v>20.826918847591827</v>
      </c>
      <c r="CK622" s="694">
        <v>54.77</v>
      </c>
      <c r="CL622" s="72">
        <f>IF(ISERROR(CK622/CC622),"NA",IF(OR(CK622/CC622&gt;2,CK622/CC622&lt;0.5),"NM",CK622/CC622*100-100))</f>
        <v>11.38905836892414</v>
      </c>
      <c r="CM622" s="694">
        <v>62.46</v>
      </c>
      <c r="CN622" s="72">
        <f>IF(ISERROR(CM622/CE622),"NA",IF(OR(CM622/CE622&gt;2,CM622/CE622&lt;0.5),"NM",CM622/CE622*100-100))</f>
        <v>17.075913776944702</v>
      </c>
      <c r="CO622" s="694">
        <v>61.85</v>
      </c>
      <c r="CP622" s="72">
        <f>IF(ISERROR(CO622/CG622),"NA",IF(OR(CO622/CG622&gt;2,CO622/CG622&lt;0.5),"NM",CO622/CG622*100-100))</f>
        <v>2.8262676641729172</v>
      </c>
      <c r="CQ622" s="694">
        <v>50.58</v>
      </c>
      <c r="CR622" s="72">
        <f>IF(ISERROR(CQ622/CI622),"NA",IF(OR(CQ622/CI622&gt;2,CQ622/CI622&lt;0.5),"NM",CQ622/CI622*100-100))</f>
        <v>-7.9359301055697102</v>
      </c>
      <c r="CS622" s="694">
        <v>50.4</v>
      </c>
      <c r="CT622" s="72">
        <f>IF(ISERROR(CS622/CK622),"NA",IF(OR(CS622/CK622&gt;2,CS622/CK622&lt;0.5),"NM",CS622/CK622*100-100))</f>
        <v>-7.9788205221836819</v>
      </c>
      <c r="CU622" s="694">
        <v>62.17</v>
      </c>
      <c r="CV622" s="72">
        <f>IF(ISERROR(CU622/CM622),"NA",IF(OR(CU622/CM622&gt;2,CU622/CM622&lt;0.5),"NM",CU622/CM622*100-100))</f>
        <v>-0.46429715017610818</v>
      </c>
      <c r="CW622" s="12">
        <v>51.99</v>
      </c>
      <c r="CX622" s="72">
        <f>IF(ISERROR(CW622/CO622),"NA",IF(OR(CW622/CO622&gt;2,CW622/CO622&lt;0.5),"NM",CW622/CO622*100-100))</f>
        <v>-15.941794664510908</v>
      </c>
      <c r="CY622" s="12">
        <v>55.77</v>
      </c>
      <c r="CZ622" s="72">
        <f>IF(ISERROR(CY622/CQ622),"NA",IF(OR(CY622/CQ622&gt;2,CY622/CQ622&lt;0.5),"NM",CY622/CQ622*100-100))</f>
        <v>10.260972716488737</v>
      </c>
      <c r="DA622" s="12">
        <v>55.77</v>
      </c>
      <c r="DB622" s="72">
        <f>IF(ISERROR(DA622/CS622),"NA",IF(OR(DA622/CS622&gt;2,DA622/CS622&lt;0.5),"NM",DA622/CS622*100-100))</f>
        <v>10.654761904761912</v>
      </c>
      <c r="DC622" s="12">
        <v>55.77</v>
      </c>
      <c r="DD622" s="72">
        <f>IF(ISERROR(DC622/CU622),"NA",IF(OR(DC622/CU622&gt;2,DC622/CU622&lt;0.5),"NM",DC622/CU622*100-100))</f>
        <v>-10.294354190123855</v>
      </c>
      <c r="DE622" s="12">
        <v>64.45</v>
      </c>
      <c r="DF622" s="72">
        <f>IF(ISERROR(DE622/CW622),"NA",IF(OR(DE622/CW622&gt;2,DE622/CW622&lt;0.5),"NM",DE622/CW622*100-100))</f>
        <v>23.966147336026154</v>
      </c>
      <c r="DG622" s="12">
        <v>78.45</v>
      </c>
      <c r="DH622" s="72">
        <f>IF(ISERROR(DG622/CY622),"NA",IF(OR(DG622/CY622&gt;2,DG622/CY622&lt;0.5),"NM",DG622/CY622*100-100))</f>
        <v>40.667025282409895</v>
      </c>
      <c r="DI622" s="12">
        <v>85.35</v>
      </c>
      <c r="DJ622" s="72">
        <f>IF(ISERROR(DI622/DA622),"NA",IF(OR(DI622/DA622&gt;2,DI622/DA622&lt;0.5),"NM",DI622/DA622*100-100))</f>
        <v>53.039268423883811</v>
      </c>
      <c r="DK622" s="12">
        <v>86.03</v>
      </c>
      <c r="DL622" s="72">
        <f>IF(ISERROR(DK622/DC622),"NA",IF(OR(DK622/DC622&gt;2,DK622/DC622&lt;0.5),"NM",DK622/DC622*100-100))</f>
        <v>54.258561950869648</v>
      </c>
      <c r="DM622" s="12">
        <v>83.87</v>
      </c>
      <c r="DN622" s="72">
        <f t="shared" si="2926"/>
        <v>30.131885182311862</v>
      </c>
      <c r="DO622" s="12">
        <v>89.41</v>
      </c>
      <c r="DP622" s="72">
        <f t="shared" si="2926"/>
        <v>13.970681963033769</v>
      </c>
      <c r="DQ622" s="12">
        <v>85.89</v>
      </c>
      <c r="DR622" s="72">
        <f t="shared" si="2926"/>
        <v>0.63268892794377507</v>
      </c>
      <c r="DS622" s="12">
        <v>80.91</v>
      </c>
      <c r="DT622" s="72">
        <f t="shared" si="2926"/>
        <v>-5.9514122980355779</v>
      </c>
      <c r="DU622" s="12">
        <v>84.86</v>
      </c>
      <c r="DV622" s="72">
        <f t="shared" si="2926"/>
        <v>1.1803982353642368</v>
      </c>
      <c r="DW622" s="12">
        <v>82.92</v>
      </c>
      <c r="DX622" s="72">
        <f t="shared" si="2926"/>
        <v>-7.2586958953137213</v>
      </c>
      <c r="DY622" s="12">
        <v>80.78</v>
      </c>
      <c r="DZ622" s="72">
        <f t="shared" si="2926"/>
        <v>-5.9494702526487373</v>
      </c>
      <c r="EA622" s="12">
        <v>69.38</v>
      </c>
      <c r="EB622" s="72">
        <f>IF(ISERROR(EA622/DS622),"NA",IF(OR(EA622/DS622&gt;2,EA622/DS622&lt;0.5),"NM",EA622/DS622*100-100))</f>
        <v>-14.250401680879989</v>
      </c>
      <c r="EC622" s="12">
        <v>75.38</v>
      </c>
      <c r="ED622" s="72">
        <f>IF(ISERROR(EC622/DU622),"NA",IF(OR(EC622/DU622&gt;2,EC622/DU622&lt;0.5),"NM",EC622/DU622*100-100))</f>
        <v>-11.171341032288481</v>
      </c>
      <c r="EE622" s="12">
        <v>77.38</v>
      </c>
      <c r="EF622" s="72">
        <f>IF(ISERROR(EE622/DW622),"NA",IF(OR(EE622/DW622&gt;2,EE622/DW622&lt;0.5),"NM",EE622/DW622*100-100))</f>
        <v>-6.681138446695627</v>
      </c>
      <c r="EG622" s="12">
        <v>93.84</v>
      </c>
      <c r="EH622" s="72">
        <f>IF(ISERROR(EG622/DY622),"NA",IF(OR(EG622/DY622&gt;2,EG622/DY622&lt;0.5),"NM",EG622/DY622*100-100))</f>
        <v>16.167368160435757</v>
      </c>
      <c r="EI622" s="12">
        <v>107.91</v>
      </c>
      <c r="EJ622" s="72">
        <f>IF(ISERROR(EI622/EA622),"NA",IF(OR(EI622/EA622&gt;2,EI622/EA622&lt;0.5),"NM",EI622/EA622*100-100))</f>
        <v>55.534736235226291</v>
      </c>
      <c r="EK622" s="12">
        <v>106.17</v>
      </c>
      <c r="EL622" s="72">
        <f>IF(ISERROR(EK622/EC622),"NA",IF(OR(EK622/EC622&gt;2,EK622/EC622&lt;0.5),"NM",EK622/EC622*100-100))</f>
        <v>40.846378349694902</v>
      </c>
      <c r="EM622" s="12">
        <v>106.35</v>
      </c>
      <c r="EN622" s="72">
        <f>IF(ISERROR(EM622/EE622),"NA",IF(OR(EM622/EE622&gt;2,EM622/EE622&lt;0.5),"NM",EM622/EE622*100-100))</f>
        <v>37.438614629103114</v>
      </c>
      <c r="EO622" s="12">
        <f>EO624/EO621</f>
        <v>111.60714285714286</v>
      </c>
      <c r="EP622" s="72">
        <f>IF(ISERROR(EO622/EG622),"NA",IF(OR(EO622/EG622&gt;2,EO622/EG622&lt;0.5),"NM",EO622/EG622*100-100))</f>
        <v>18.933442942394336</v>
      </c>
      <c r="EQ622" s="12">
        <v>112.70951278688527</v>
      </c>
      <c r="ER622" s="72">
        <f t="shared" si="2928"/>
        <v>4.4476997376381036</v>
      </c>
      <c r="ES622" s="12">
        <f t="shared" ref="ES622" si="2936">EQ622*1.02-ES611</f>
        <v>114.06370304262298</v>
      </c>
      <c r="ET622" s="72">
        <f t="shared" si="2930"/>
        <v>7.4349656613195521</v>
      </c>
      <c r="EU622" s="12">
        <f t="shared" ref="EU622" si="2937">ES622*1.02-EU611</f>
        <v>115.44497710347544</v>
      </c>
      <c r="EV622" s="72">
        <f t="shared" si="2932"/>
        <v>8.5519295754353095</v>
      </c>
      <c r="EW622" s="12">
        <f t="shared" ref="EW622" si="2938">EU622*1.02-EW611</f>
        <v>116.85387664554494</v>
      </c>
      <c r="EX622" s="72">
        <f t="shared" si="2934"/>
        <v>4.7010734744082754</v>
      </c>
      <c r="EY622" s="72"/>
      <c r="EZ622" s="296"/>
      <c r="FA622" s="72"/>
      <c r="FB622" s="9"/>
      <c r="FC622" s="11"/>
      <c r="FD622" s="9"/>
      <c r="FE622" s="72" t="str">
        <f>IF(ISERROR(FD622/FB622),"NA",IF(OR(FD622/FB622&gt;2,FD622/FB622&lt;0.5),"NM",FD622/FB622*100-100))</f>
        <v>NA</v>
      </c>
      <c r="FF622" s="16"/>
      <c r="FG622" s="72" t="str">
        <f>IF(ISERROR(FF622/FD622),"NA",IF(OR(FF622/FD622&gt;2,FF622/FD622&lt;0.5),"NM",FF622/FD622*100-100))</f>
        <v>NA</v>
      </c>
      <c r="FH622" s="71">
        <f>+Q622</f>
        <v>27.5</v>
      </c>
      <c r="FI622" s="72" t="str">
        <f>IF(ISERROR(FH622/FF622),"NA",IF(OR(FH622/FF622&gt;2,FH622/FF622&lt;0.5),"NM",FH622/FF622*100-100))</f>
        <v>NA</v>
      </c>
      <c r="FJ622" s="73">
        <f>FJ624/FJ621</f>
        <v>30.76923076923077</v>
      </c>
      <c r="FK622" s="72">
        <f>IF(ISERROR(FJ622/FH622),"NA",IF(OR(FJ622/FH622&gt;2,FJ622/FH622&lt;0.5),"NM",FJ622/FH622*100-100))</f>
        <v>11.888111888111894</v>
      </c>
      <c r="FL622" s="73">
        <f>FL624/FL621</f>
        <v>34.398625429553263</v>
      </c>
      <c r="FM622" s="72">
        <f>IF(ISERROR(FL622/FJ622),"NA",IF(OR(FL622/FJ622&gt;2,FL622/FJ622&lt;0.5),"NM",FL622/FJ622*100-100))</f>
        <v>11.795532646048116</v>
      </c>
      <c r="FN622" s="73">
        <f>+AO622</f>
        <v>48.961038961038959</v>
      </c>
      <c r="FO622" s="72">
        <f>IF(ISERROR(FN622/FL622),"NA",IF(OR(FN622/FL622&gt;2,FN622/FL622&lt;0.5),"NM",FN622/FL622*100-100))</f>
        <v>42.334289087535836</v>
      </c>
      <c r="FP622" s="188">
        <f>AVERAGE(AW622,AU622,AS622,AQ622)</f>
        <v>63.871978290723703</v>
      </c>
      <c r="FQ622" s="72">
        <f>IF(ISERROR(FP622/FN622),"NA",IF(OR(FP622/FN622&gt;2,FP622/FN622&lt;0.5),"NM",FP622/FN622*100-100))</f>
        <v>30.454703670708909</v>
      </c>
      <c r="FR622" s="13">
        <f>AVERAGE(AY622,BA622,BC622,BE622)</f>
        <v>77.198757017299485</v>
      </c>
      <c r="FS622" s="72">
        <f>IF(ISERROR(FR622/FP622),"NA",IF(OR(FR622/FP622&gt;2,FR622/FP622&lt;0.5),"NM",FR622/FP622*100-100))</f>
        <v>20.864828494769299</v>
      </c>
      <c r="FT622" s="13">
        <f>AVERAGE(BG622,BI622,BK622,BM622)</f>
        <v>93.936624831520191</v>
      </c>
      <c r="FU622" s="72">
        <f>IF(ISERROR(FT622/FR622),"NA",IF(OR(FT622/FR622&gt;2,FT622/FR622&lt;0.5),"NM",FT622/FR622*100-100))</f>
        <v>21.681525015318456</v>
      </c>
      <c r="FV622" s="13">
        <f>AVERAGE(BO622,BQ622,BS622,BU622)</f>
        <v>63.030882892258894</v>
      </c>
      <c r="FW622" s="72">
        <f>IF(ISERROR(FV622/FT622),"NA",IF(OR(FV622/FT622&gt;2,FV622/FT622&lt;0.5),"NM",FV622/FT622*100-100))</f>
        <v>-32.900630605679325</v>
      </c>
      <c r="FX622" s="13">
        <f>AVERAGE(BW622,BY622,CA622,CC622)</f>
        <v>37.909999999999997</v>
      </c>
      <c r="FY622" s="72">
        <f>IF(ISERROR(FX622/FV622),"NA",IF(OR(FX622/FV622&gt;2,FX622/FV622&lt;0.5),"NM",FX622/FV622*100-100))</f>
        <v>-39.854880242117162</v>
      </c>
      <c r="FZ622" s="13">
        <f>AVERAGE(CK622,CI622,CG622,CE622)</f>
        <v>55.802500000000002</v>
      </c>
      <c r="GA622" s="72">
        <f>IF(ISERROR(FZ622/FX622),"NA",IF(OR(FZ622/FX622&gt;2,FZ622/FX622&lt;0.5),"NM",FZ622/FX622*100-100))</f>
        <v>47.197309417040373</v>
      </c>
      <c r="GB622" s="13">
        <f>AVERAGE(CS622,CQ622,CO622,CM622)</f>
        <v>56.322499999999998</v>
      </c>
      <c r="GC622" s="72">
        <f>IF(ISERROR(GB622/FZ622),"NA",IF(OR(GB622/FZ622&gt;2,GB622/FZ622&lt;0.5),"NM",GB622/FZ622*100-100))</f>
        <v>0.93185789167151256</v>
      </c>
      <c r="GD622" s="13">
        <f>AVERAGE(DA622,CY622,CW622,CU622)</f>
        <v>56.424999999999997</v>
      </c>
      <c r="GE622" s="72">
        <f>IF(ISERROR(GD622/GB622),"NA",IF(OR(GD622/GB622&gt;2,GD622/GB622&lt;0.5),"NM",GD622/GB622*100-100))</f>
        <v>0.18198766034889502</v>
      </c>
      <c r="GF622" s="13">
        <f>AVERAGE(DI622,DG622,DE622,DC622)</f>
        <v>71.004999999999995</v>
      </c>
      <c r="GG622" s="72">
        <f>IF(ISERROR(GF622/GD622),"NA",IF(OR(GF622/GD622&gt;2,GF622/GD622&lt;0.5),"NM",GF622/GD622*100-100))</f>
        <v>25.83961010190518</v>
      </c>
      <c r="GH622" s="13">
        <f>AVERAGE(DQ622,DO622,DM622,DK622)</f>
        <v>86.300000000000011</v>
      </c>
      <c r="GI622" s="72">
        <f t="shared" si="2935"/>
        <v>21.540736567847361</v>
      </c>
      <c r="GJ622" s="13">
        <f>AVERAGE(DY622,DW622,DU622,DS622)</f>
        <v>82.367500000000007</v>
      </c>
      <c r="GK622" s="72">
        <f t="shared" si="2935"/>
        <v>-4.5567786790266496</v>
      </c>
      <c r="GL622" s="13">
        <f>AVERAGE(EG622,EE622,EC622,EA622)</f>
        <v>78.995000000000005</v>
      </c>
      <c r="GM622" s="72">
        <f t="shared" si="2935"/>
        <v>-4.0944547303244576</v>
      </c>
      <c r="GN622" s="13">
        <f>AVERAGE(EO622,EM622,EK622,EI622)</f>
        <v>108.00928571428571</v>
      </c>
      <c r="GO622" s="72">
        <f t="shared" si="2935"/>
        <v>36.729268579385661</v>
      </c>
      <c r="GP622" s="13">
        <f>AVERAGE(EW622,EU622,ES622,EQ622)</f>
        <v>114.76801739463217</v>
      </c>
      <c r="GQ622" s="72">
        <f t="shared" si="2935"/>
        <v>6.2575468726134886</v>
      </c>
      <c r="GR622" s="12">
        <f>GP622*1.08-GR611</f>
        <v>119.98945878620276</v>
      </c>
      <c r="GS622" s="72">
        <f t="shared" si="2935"/>
        <v>4.5495613761598435</v>
      </c>
      <c r="GT622" s="12">
        <f>GR622*1.08-GT611</f>
        <v>125.232615489099</v>
      </c>
      <c r="GU622" s="72">
        <f t="shared" si="2935"/>
        <v>4.3696811002694034</v>
      </c>
      <c r="GV622" s="12">
        <f>GT622*1.08-GV611</f>
        <v>130.45962472822694</v>
      </c>
      <c r="GW622" s="72">
        <f>IF(ISERROR(GV622/GT622),"NA",IF(OR(GV622/GT622&gt;2,GV622/GT622&lt;0.5),"NM",GV622/GT622*100-100))</f>
        <v>4.1738401922803519</v>
      </c>
      <c r="GX622" s="12">
        <f>GV622*1.08-GX611</f>
        <v>135.6256347064851</v>
      </c>
      <c r="GY622" s="72">
        <f>IF(ISERROR(GX622/GV622),"NA",IF(OR(GX622/GV622&gt;2,GX622/GV622&lt;0.5),"NM",GX622/GV622*100-100))</f>
        <v>3.9598534711562792</v>
      </c>
      <c r="GZ622" s="72">
        <f>IF(ISERROR(((GX622/GN622)^0.2-1)*100),"NA",IF((((GX622/GN622)^0.2-1)*100)&gt;100,"NM",IF((((GX622/GN622)^0.2-1)*100)&lt;-50,"NM",((GX622/GN622)^0.2-1)*100)))</f>
        <v>4.6588932703752972</v>
      </c>
      <c r="HA622" s="72"/>
      <c r="HB622" s="72"/>
      <c r="HC622"/>
      <c r="HD622"/>
      <c r="HE622"/>
      <c r="HF622"/>
      <c r="HG622"/>
      <c r="HH622"/>
      <c r="HI622" s="2"/>
    </row>
    <row r="623" spans="1:217" s="3" customFormat="1" ht="12.75" customHeight="1" x14ac:dyDescent="0.2">
      <c r="B623" s="18" t="s">
        <v>240</v>
      </c>
      <c r="C623" s="150"/>
      <c r="D623" s="11"/>
      <c r="E623" s="150"/>
      <c r="F623" s="11"/>
      <c r="G623" s="150"/>
      <c r="H623" s="11"/>
      <c r="I623" s="150"/>
      <c r="J623" s="11"/>
      <c r="K623" s="150"/>
      <c r="L623" s="72"/>
      <c r="M623" s="150"/>
      <c r="N623" s="72"/>
      <c r="O623" s="150"/>
      <c r="P623" s="72"/>
      <c r="Q623" s="150">
        <v>50</v>
      </c>
      <c r="R623" s="72" t="str">
        <f>IF(ISERROR(Q623/I623),"NA",IF(OR(Q623/I623&gt;2,Q623/I623&lt;0.5),"NM",Q623/I623*100-100))</f>
        <v>NA</v>
      </c>
      <c r="S623" s="150"/>
      <c r="T623" s="72"/>
      <c r="U623" s="150">
        <v>50</v>
      </c>
      <c r="V623" s="72" t="str">
        <f>IF(ISERROR(U623/M623),"NA",IF(OR(U623/M623&gt;2,U623/M623&lt;0.5),"NM",U623/M623*100-100))</f>
        <v>NA</v>
      </c>
      <c r="W623" s="150">
        <v>50</v>
      </c>
      <c r="X623" s="72" t="str">
        <f>IF(ISERROR(W623/O623),"NA",IF(OR(W623/O623&gt;2,W623/O623&lt;0.5),"NM",W623/O623*100-100))</f>
        <v>NA</v>
      </c>
      <c r="Y623" s="150">
        <v>50</v>
      </c>
      <c r="Z623" s="72">
        <f>IF(ISERROR(Y623/Q623),"NA",IF(OR(Y623/Q623&gt;2,Y623/Q623&lt;0.5),"NM",Y623/Q623*100-100))</f>
        <v>0</v>
      </c>
      <c r="AA623" s="150">
        <v>50</v>
      </c>
      <c r="AB623" s="72" t="str">
        <f>IF(ISERROR(AA623/S623),"NA",IF(OR(AA623/S623&gt;2,AA623/S623&lt;0.5),"NM",AA623/S623*100-100))</f>
        <v>NA</v>
      </c>
      <c r="AC623" s="150">
        <v>50</v>
      </c>
      <c r="AD623" s="72">
        <f>IF(ISERROR(AC623/U623),"NA",IF(OR(AC623/U623&gt;2,AC623/U623&lt;0.5),"NM",AC623/U623*100-100))</f>
        <v>0</v>
      </c>
      <c r="AE623" s="150">
        <v>50</v>
      </c>
      <c r="AF623" s="72">
        <f>IF(ISERROR(AE623/W623),"NA",IF(OR(AE623/W623&gt;2,AE623/W623&lt;0.5),"NM",AE623/W623*100-100))</f>
        <v>0</v>
      </c>
      <c r="AG623" s="150">
        <v>50</v>
      </c>
      <c r="AH623" s="72">
        <f>IF(ISERROR(AG623/Y623),"NA",IF(OR(AG623/Y623&gt;2,AG623/Y623&lt;0.5),"NM",AG623/Y623*100-100))</f>
        <v>0</v>
      </c>
      <c r="AI623" s="150">
        <v>50</v>
      </c>
      <c r="AJ623" s="72">
        <f>IF(ISERROR(AI623/AA623),"NA",IF(OR(AI623/AA623&gt;2,AI623/AA623&lt;0.5),"NM",AI623/AA623*100-100))</f>
        <v>0</v>
      </c>
      <c r="AK623" s="150">
        <v>50</v>
      </c>
      <c r="AL623" s="72">
        <f>IF(ISERROR(AK623/AC623),"NA",IF(OR(AK623/AC623&gt;2,AK623/AC623&lt;0.5),"NM",AK623/AC623*100-100))</f>
        <v>0</v>
      </c>
      <c r="AM623" s="150">
        <v>50</v>
      </c>
      <c r="AN623" s="72">
        <f>IF(ISERROR(AM623/AE623),"NA",IF(OR(AM623/AE623&gt;2,AM623/AE623&lt;0.5),"NM",AM623/AE623*100-100))</f>
        <v>0</v>
      </c>
      <c r="AO623" s="150">
        <v>50</v>
      </c>
      <c r="AP623" s="72">
        <f>IF(ISERROR(AO623/AG623),"NA",IF(OR(AO623/AG623&gt;2,AO623/AG623&lt;0.5),"NM",AO623/AG623*100-100))</f>
        <v>0</v>
      </c>
      <c r="AQ623" s="150">
        <v>50</v>
      </c>
      <c r="AR623" s="72">
        <f>IF(ISERROR(AQ623/AI623),"NA",IF(OR(AQ623/AI623&gt;2,AQ623/AI623&lt;0.5),"NM",AQ623/AI623*100-100))</f>
        <v>0</v>
      </c>
      <c r="AS623" s="150">
        <v>50</v>
      </c>
      <c r="AT623" s="72">
        <f>IF(ISERROR(AS623/AK623),"NA",IF(OR(AS623/AK623&gt;2,AS623/AK623&lt;0.5),"NM",AS623/AK623*100-100))</f>
        <v>0</v>
      </c>
      <c r="AU623" s="150">
        <v>50</v>
      </c>
      <c r="AV623" s="72">
        <f>IF(ISERROR(AU623/AM623),"NA",IF(OR(AU623/AM623&gt;2,AU623/AM623&lt;0.5),"NM",AU623/AM623*100-100))</f>
        <v>0</v>
      </c>
      <c r="AW623" s="150">
        <v>50</v>
      </c>
      <c r="AX623" s="72">
        <f>IF(ISERROR(AW623/AO623),"NA",IF(OR(AW623/AO623&gt;2,AW623/AO623&lt;0.5),"NM",AW623/AO623*100-100))</f>
        <v>0</v>
      </c>
      <c r="AY623" s="150">
        <v>50</v>
      </c>
      <c r="AZ623" s="72">
        <f>IF(ISERROR(AY623/AQ623),"NA",IF(OR(AY623/AQ623&gt;2,AY623/AQ623&lt;0.5),"NM",AY623/AQ623*100-100))</f>
        <v>0</v>
      </c>
      <c r="BA623" s="150">
        <v>50</v>
      </c>
      <c r="BB623" s="72">
        <f>IF(ISERROR(BA623/AS623),"NA",IF(OR(BA623/AS623&gt;2,BA623/AS623&lt;0.5),"NM",BA623/AS623*100-100))</f>
        <v>0</v>
      </c>
      <c r="BC623" s="150">
        <v>50</v>
      </c>
      <c r="BD623" s="72">
        <f>IF(ISERROR(BC623/AU623),"NA",IF(OR(BC623/AU623&gt;2,BC623/AU623&lt;0.5),"NM",BC623/AU623*100-100))</f>
        <v>0</v>
      </c>
      <c r="BE623" s="150">
        <v>50</v>
      </c>
      <c r="BF623" s="72">
        <f>IF(ISERROR(BE623/AW623),"NA",IF(OR(BE623/AW623&gt;2,BE623/AW623&lt;0.5),"NM",BE623/AW623*100-100))</f>
        <v>0</v>
      </c>
      <c r="BG623" s="150">
        <v>50</v>
      </c>
      <c r="BH623" s="72">
        <f>IF(ISERROR(BG623/AY623),"NA",IF(OR(BG623/AY623&gt;2,BG623/AY623&lt;0.5),"NM",BG623/AY623*100-100))</f>
        <v>0</v>
      </c>
      <c r="BI623" s="150">
        <v>50</v>
      </c>
      <c r="BJ623" s="72">
        <f>IF(ISERROR(BI623/BA623),"NA",IF(OR(BI623/BA623&gt;2,BI623/BA623&lt;0.5),"NM",BI623/BA623*100-100))</f>
        <v>0</v>
      </c>
      <c r="BK623" s="150">
        <v>50</v>
      </c>
      <c r="BL623" s="72">
        <f>IF(ISERROR(BK623/BC623),"NA",IF(OR(BK623/BC623&gt;2,BK623/BC623&lt;0.5),"NM",BK623/BC623*100-100))</f>
        <v>0</v>
      </c>
      <c r="BM623" s="150">
        <v>50</v>
      </c>
      <c r="BN623" s="72">
        <f>IF(ISERROR(BM623/BE623),"NA",IF(OR(BM623/BE623&gt;2,BM623/BE623&lt;0.5),"NM",BM623/BE623*100-100))</f>
        <v>0</v>
      </c>
      <c r="BO623" s="150">
        <v>50</v>
      </c>
      <c r="BP623" s="72">
        <f>IF(ISERROR(BO623/BG623),"NA",IF(OR(BO623/BG623&gt;2,BO623/BG623&lt;0.5),"NM",BO623/BG623*100-100))</f>
        <v>0</v>
      </c>
      <c r="BQ623" s="150">
        <v>50</v>
      </c>
      <c r="BR623" s="72">
        <f>IF(ISERROR(BQ623/BI623),"NA",IF(OR(BQ623/BI623&gt;2,BQ623/BI623&lt;0.5),"NM",BQ623/BI623*100-100))</f>
        <v>0</v>
      </c>
      <c r="BS623" s="150">
        <v>50</v>
      </c>
      <c r="BT623" s="72">
        <f>IF(ISERROR(BS623/BK623),"NA",IF(OR(BS623/BK623&gt;2,BS623/BK623&lt;0.5),"NM",BS623/BK623*100-100))</f>
        <v>0</v>
      </c>
      <c r="BU623" s="150">
        <v>50</v>
      </c>
      <c r="BV623" s="72">
        <f>IF(ISERROR(BU623/BM623),"NA",IF(OR(BU623/BM623&gt;2,BU623/BM623&lt;0.5),"NM",BU623/BM623*100-100))</f>
        <v>0</v>
      </c>
      <c r="BW623" s="150">
        <v>50</v>
      </c>
      <c r="BX623" s="72">
        <f>IF(ISERROR(BW623/BO623),"NA",IF(OR(BW623/BO623&gt;2,BW623/BO623&lt;0.5),"NM",BW623/BO623*100-100))</f>
        <v>0</v>
      </c>
      <c r="BY623" s="150">
        <v>50</v>
      </c>
      <c r="BZ623" s="72">
        <f>IF(ISERROR(BY623/BQ623),"NA",IF(OR(BY623/BQ623&gt;2,BY623/BQ623&lt;0.5),"NM",BY623/BQ623*100-100))</f>
        <v>0</v>
      </c>
      <c r="CA623" s="150">
        <v>50</v>
      </c>
      <c r="CB623" s="72">
        <f>IF(ISERROR(CA623/BS623),"NA",IF(OR(CA623/BS623&gt;2,CA623/BS623&lt;0.5),"NM",CA623/BS623*100-100))</f>
        <v>0</v>
      </c>
      <c r="CC623" s="150">
        <v>50</v>
      </c>
      <c r="CD623" s="72">
        <f>IF(ISERROR(CC623/BU623),"NA",IF(OR(CC623/BU623&gt;2,CC623/BU623&lt;0.5),"NM",CC623/BU623*100-100))</f>
        <v>0</v>
      </c>
      <c r="CE623" s="150">
        <v>50</v>
      </c>
      <c r="CF623" s="72">
        <f>IF(ISERROR(CE623/BW623),"NA",IF(OR(CE623/BW623&gt;2,CE623/BW623&lt;0.5),"NM",CE623/BW623*100-100))</f>
        <v>0</v>
      </c>
      <c r="CG623" s="150">
        <v>50</v>
      </c>
      <c r="CH623" s="72">
        <f>IF(ISERROR(CG623/BY623),"NA",IF(OR(CG623/BY623&gt;2,CG623/BY623&lt;0.5),"NM",CG623/BY623*100-100))</f>
        <v>0</v>
      </c>
      <c r="CI623" s="150">
        <v>50</v>
      </c>
      <c r="CJ623" s="72">
        <f>IF(ISERROR(CI623/CA623),"NA",IF(OR(CI623/CA623&gt;2,CI623/CA623&lt;0.5),"NM",CI623/CA623*100-100))</f>
        <v>0</v>
      </c>
      <c r="CK623" s="150">
        <v>50</v>
      </c>
      <c r="CL623" s="72">
        <f>IF(ISERROR(CK623/CC623),"NA",IF(OR(CK623/CC623&gt;2,CK623/CC623&lt;0.5),"NM",CK623/CC623*100-100))</f>
        <v>0</v>
      </c>
      <c r="CM623" s="150">
        <v>50</v>
      </c>
      <c r="CN623" s="72">
        <f>IF(ISERROR(CM623/CE623),"NA",IF(OR(CM623/CE623&gt;2,CM623/CE623&lt;0.5),"NM",CM623/CE623*100-100))</f>
        <v>0</v>
      </c>
      <c r="CO623" s="150">
        <v>50</v>
      </c>
      <c r="CP623" s="72">
        <f>IF(ISERROR(CO623/CG623),"NA",IF(OR(CO623/CG623&gt;2,CO623/CG623&lt;0.5),"NM",CO623/CG623*100-100))</f>
        <v>0</v>
      </c>
      <c r="CQ623" s="150">
        <v>50</v>
      </c>
      <c r="CR623" s="72">
        <f>IF(ISERROR(CQ623/CI623),"NA",IF(OR(CQ623/CI623&gt;2,CQ623/CI623&lt;0.5),"NM",CQ623/CI623*100-100))</f>
        <v>0</v>
      </c>
      <c r="CS623" s="150">
        <v>50</v>
      </c>
      <c r="CT623" s="72">
        <f>IF(ISERROR(CS623/CK623),"NA",IF(OR(CS623/CK623&gt;2,CS623/CK623&lt;0.5),"NM",CS623/CK623*100-100))</f>
        <v>0</v>
      </c>
      <c r="CU623" s="150">
        <v>50</v>
      </c>
      <c r="CV623" s="72">
        <f>IF(ISERROR(CU623/CM623),"NA",IF(OR(CU623/CM623&gt;2,CU623/CM623&lt;0.5),"NM",CU623/CM623*100-100))</f>
        <v>0</v>
      </c>
      <c r="CW623" s="150">
        <v>50</v>
      </c>
      <c r="CX623" s="72">
        <f>IF(ISERROR(CW623/CO623),"NA",IF(OR(CW623/CO623&gt;2,CW623/CO623&lt;0.5),"NM",CW623/CO623*100-100))</f>
        <v>0</v>
      </c>
      <c r="CY623" s="150">
        <v>50</v>
      </c>
      <c r="CZ623" s="72">
        <f>IF(ISERROR(CY623/CQ623),"NA",IF(OR(CY623/CQ623&gt;2,CY623/CQ623&lt;0.5),"NM",CY623/CQ623*100-100))</f>
        <v>0</v>
      </c>
      <c r="DA623" s="150">
        <v>50</v>
      </c>
      <c r="DB623" s="72">
        <f>IF(ISERROR(DA623/CS623),"NA",IF(OR(DA623/CS623&gt;2,DA623/CS623&lt;0.5),"NM",DA623/CS623*100-100))</f>
        <v>0</v>
      </c>
      <c r="DC623" s="150">
        <v>50</v>
      </c>
      <c r="DD623" s="72">
        <f>IF(ISERROR(DC623/CU623),"NA",IF(OR(DC623/CU623&gt;2,DC623/CU623&lt;0.5),"NM",DC623/CU623*100-100))</f>
        <v>0</v>
      </c>
      <c r="DE623" s="150">
        <v>50</v>
      </c>
      <c r="DF623" s="72">
        <f>IF(ISERROR(DE623/CW623),"NA",IF(OR(DE623/CW623&gt;2,DE623/CW623&lt;0.5),"NM",DE623/CW623*100-100))</f>
        <v>0</v>
      </c>
      <c r="DG623" s="150">
        <v>50</v>
      </c>
      <c r="DH623" s="72">
        <f>IF(ISERROR(DG623/CY623),"NA",IF(OR(DG623/CY623&gt;2,DG623/CY623&lt;0.5),"NM",DG623/CY623*100-100))</f>
        <v>0</v>
      </c>
      <c r="DI623" s="150">
        <v>50</v>
      </c>
      <c r="DJ623" s="72">
        <f>IF(ISERROR(DI623/DA623),"NA",IF(OR(DI623/DA623&gt;2,DI623/DA623&lt;0.5),"NM",DI623/DA623*100-100))</f>
        <v>0</v>
      </c>
      <c r="DK623" s="150">
        <v>50</v>
      </c>
      <c r="DL623" s="72">
        <f>IF(ISERROR(DK623/DC623),"NA",IF(OR(DK623/DC623&gt;2,DK623/DC623&lt;0.5),"NM",DK623/DC623*100-100))</f>
        <v>0</v>
      </c>
      <c r="DM623" s="150">
        <v>50</v>
      </c>
      <c r="DN623" s="72">
        <f t="shared" si="2926"/>
        <v>0</v>
      </c>
      <c r="DO623" s="150">
        <v>50</v>
      </c>
      <c r="DP623" s="72">
        <f t="shared" si="2926"/>
        <v>0</v>
      </c>
      <c r="DQ623" s="150">
        <v>50</v>
      </c>
      <c r="DR623" s="72">
        <f t="shared" si="2926"/>
        <v>0</v>
      </c>
      <c r="DS623" s="150">
        <v>50</v>
      </c>
      <c r="DT623" s="72">
        <f t="shared" si="2926"/>
        <v>0</v>
      </c>
      <c r="DU623" s="150">
        <v>50</v>
      </c>
      <c r="DV623" s="72">
        <f t="shared" si="2926"/>
        <v>0</v>
      </c>
      <c r="DW623" s="150">
        <v>50</v>
      </c>
      <c r="DX623" s="72">
        <f t="shared" si="2926"/>
        <v>0</v>
      </c>
      <c r="DY623" s="150">
        <v>50</v>
      </c>
      <c r="DZ623" s="72">
        <f t="shared" si="2926"/>
        <v>0</v>
      </c>
      <c r="EA623" s="150">
        <v>50</v>
      </c>
      <c r="EB623" s="72">
        <f>IF(ISERROR(EA623/DS623),"NA",IF(OR(EA623/DS623&gt;2,EA623/DS623&lt;0.5),"NM",EA623/DS623*100-100))</f>
        <v>0</v>
      </c>
      <c r="EC623" s="150">
        <v>50</v>
      </c>
      <c r="ED623" s="72">
        <f>IF(ISERROR(EC623/DU623),"NA",IF(OR(EC623/DU623&gt;2,EC623/DU623&lt;0.5),"NM",EC623/DU623*100-100))</f>
        <v>0</v>
      </c>
      <c r="EE623" s="150">
        <v>50</v>
      </c>
      <c r="EF623" s="72">
        <f>IF(ISERROR(EE623/DW623),"NA",IF(OR(EE623/DW623&gt;2,EE623/DW623&lt;0.5),"NM",EE623/DW623*100-100))</f>
        <v>0</v>
      </c>
      <c r="EG623" s="150">
        <v>50</v>
      </c>
      <c r="EH623" s="72">
        <f>IF(ISERROR(EG623/DY623),"NA",IF(OR(EG623/DY623&gt;2,EG623/DY623&lt;0.5),"NM",EG623/DY623*100-100))</f>
        <v>0</v>
      </c>
      <c r="EI623" s="150">
        <v>50</v>
      </c>
      <c r="EJ623" s="72">
        <f>IF(ISERROR(EI623/EA623),"NA",IF(OR(EI623/EA623&gt;2,EI623/EA623&lt;0.5),"NM",EI623/EA623*100-100))</f>
        <v>0</v>
      </c>
      <c r="EK623" s="150">
        <v>50</v>
      </c>
      <c r="EL623" s="72">
        <f>IF(ISERROR(EK623/EC623),"NA",IF(OR(EK623/EC623&gt;2,EK623/EC623&lt;0.5),"NM",EK623/EC623*100-100))</f>
        <v>0</v>
      </c>
      <c r="EM623" s="150">
        <v>50</v>
      </c>
      <c r="EN623" s="72">
        <f>IF(ISERROR(EM623/EE623),"NA",IF(OR(EM623/EE623&gt;2,EM623/EE623&lt;0.5),"NM",EM623/EE623*100-100))</f>
        <v>0</v>
      </c>
      <c r="EO623" s="150">
        <v>50</v>
      </c>
      <c r="EP623" s="72">
        <f>IF(ISERROR(EO623/EG623),"NA",IF(OR(EO623/EG623&gt;2,EO623/EG623&lt;0.5),"NM",EO623/EG623*100-100))</f>
        <v>0</v>
      </c>
      <c r="EQ623" s="150">
        <v>50</v>
      </c>
      <c r="ER623" s="72">
        <f t="shared" si="2928"/>
        <v>0</v>
      </c>
      <c r="ES623" s="150">
        <v>50</v>
      </c>
      <c r="ET623" s="72">
        <f t="shared" si="2930"/>
        <v>0</v>
      </c>
      <c r="EU623" s="150">
        <v>50</v>
      </c>
      <c r="EV623" s="72">
        <f t="shared" si="2932"/>
        <v>0</v>
      </c>
      <c r="EW623" s="150">
        <v>50</v>
      </c>
      <c r="EX623" s="72">
        <f t="shared" si="2934"/>
        <v>0</v>
      </c>
      <c r="EY623" s="72"/>
      <c r="EZ623" s="296"/>
      <c r="FA623" s="72"/>
      <c r="FB623" s="9"/>
      <c r="FC623" s="11"/>
      <c r="FD623" s="9"/>
      <c r="FE623" s="72" t="str">
        <f>IF(ISERROR(FD623/FB623),"NA",IF(OR(FD623/FB623&gt;2,FD623/FB623&lt;0.5),"NM",FD623/FB623*100-100))</f>
        <v>NA</v>
      </c>
      <c r="FF623" s="16"/>
      <c r="FG623" s="72" t="str">
        <f>IF(ISERROR(FF623/FD623),"NA",IF(OR(FF623/FD623&gt;2,FF623/FD623&lt;0.5),"NM",FF623/FD623*100-100))</f>
        <v>NA</v>
      </c>
      <c r="FH623" s="74">
        <f>AVERAGE(Q623,O623,M623,K623)</f>
        <v>50</v>
      </c>
      <c r="FI623" s="72" t="str">
        <f>IF(ISERROR(FH623/FF623),"NA",IF(OR(FH623/FF623&gt;2,FH623/FF623&lt;0.5),"NM",FH623/FF623*100-100))</f>
        <v>NA</v>
      </c>
      <c r="FJ623" s="74">
        <v>50</v>
      </c>
      <c r="FK623" s="72">
        <f>IF(ISERROR(FJ623/FH623),"NA",IF(OR(FJ623/FH623&gt;2,FJ623/FH623&lt;0.5),"NM",FJ623/FH623*100-100))</f>
        <v>0</v>
      </c>
      <c r="FL623" s="74">
        <v>50</v>
      </c>
      <c r="FM623" s="72">
        <f>IF(ISERROR(FL623/FJ623),"NA",IF(OR(FL623/FJ623&gt;2,FL623/FJ623&lt;0.5),"NM",FL623/FJ623*100-100))</f>
        <v>0</v>
      </c>
      <c r="FN623" s="74">
        <v>50</v>
      </c>
      <c r="FO623" s="72">
        <f>IF(ISERROR(FN623/FL623),"NA",IF(OR(FN623/FL623&gt;2,FN623/FL623&lt;0.5),"NM",FN623/FL623*100-100))</f>
        <v>0</v>
      </c>
      <c r="FP623" s="74">
        <v>50</v>
      </c>
      <c r="FQ623" s="72">
        <f>IF(ISERROR(FP623/FN623),"NA",IF(OR(FP623/FN623&gt;2,FP623/FN623&lt;0.5),"NM",FP623/FN623*100-100))</f>
        <v>0</v>
      </c>
      <c r="FR623" s="144">
        <v>50</v>
      </c>
      <c r="FS623" s="72">
        <f>IF(ISERROR(FR623/FP623),"NA",IF(OR(FR623/FP623&gt;2,FR623/FP623&lt;0.5),"NM",FR623/FP623*100-100))</f>
        <v>0</v>
      </c>
      <c r="FT623" s="144">
        <v>50</v>
      </c>
      <c r="FU623" s="72">
        <f>IF(ISERROR(FT623/FR623),"NA",IF(OR(FT623/FR623&gt;2,FT623/FR623&lt;0.5),"NM",FT623/FR623*100-100))</f>
        <v>0</v>
      </c>
      <c r="FV623" s="144">
        <v>50</v>
      </c>
      <c r="FW623" s="72">
        <f>IF(ISERROR(FV623/FT623),"NA",IF(OR(FV623/FT623&gt;2,FV623/FT623&lt;0.5),"NM",FV623/FT623*100-100))</f>
        <v>0</v>
      </c>
      <c r="FX623" s="144">
        <v>50</v>
      </c>
      <c r="FY623" s="72">
        <f>IF(ISERROR(FX623/FV623),"NA",IF(OR(FX623/FV623&gt;2,FX623/FV623&lt;0.5),"NM",FX623/FV623*100-100))</f>
        <v>0</v>
      </c>
      <c r="FZ623" s="144">
        <v>50</v>
      </c>
      <c r="GA623" s="72">
        <f>IF(ISERROR(FZ623/FX623),"NA",IF(OR(FZ623/FX623&gt;2,FZ623/FX623&lt;0.5),"NM",FZ623/FX623*100-100))</f>
        <v>0</v>
      </c>
      <c r="GB623" s="144">
        <f>AVERAGE(CM623,CO623,CQ623,CS623)</f>
        <v>50</v>
      </c>
      <c r="GC623" s="72">
        <f>IF(ISERROR(GB623/FZ623),"NA",IF(OR(GB623/FZ623&gt;2,GB623/FZ623&lt;0.5),"NM",GB623/FZ623*100-100))</f>
        <v>0</v>
      </c>
      <c r="GD623" s="144">
        <f>AVERAGE(CU623,CW623,CY623,DA623)</f>
        <v>50</v>
      </c>
      <c r="GE623" s="72">
        <f>IF(ISERROR(GD623/GB623),"NA",IF(OR(GD623/GB623&gt;2,GD623/GB623&lt;0.5),"NM",GD623/GB623*100-100))</f>
        <v>0</v>
      </c>
      <c r="GF623" s="144">
        <f>AVERAGE(DC623,DE623,DG623,DI623)</f>
        <v>50</v>
      </c>
      <c r="GG623" s="72">
        <f>IF(ISERROR(GF623/GD623),"NA",IF(OR(GF623/GD623&gt;2,GF623/GD623&lt;0.5),"NM",GF623/GD623*100-100))</f>
        <v>0</v>
      </c>
      <c r="GH623" s="144">
        <f>AVERAGE(DK623,DM623,DO623,DQ623)</f>
        <v>50</v>
      </c>
      <c r="GI623" s="72">
        <f t="shared" si="2935"/>
        <v>0</v>
      </c>
      <c r="GJ623" s="545">
        <f>AVERAGE(DS623,DU623,DW623,DY623)</f>
        <v>50</v>
      </c>
      <c r="GK623" s="532">
        <f t="shared" si="2935"/>
        <v>0</v>
      </c>
      <c r="GL623" s="545">
        <f>AVERAGE(EA623,EC623,EE623,EG623)</f>
        <v>50</v>
      </c>
      <c r="GM623" s="532">
        <f t="shared" si="2935"/>
        <v>0</v>
      </c>
      <c r="GN623" s="545">
        <f>AVERAGE(EI623,EK623,EM623,EO623)</f>
        <v>50</v>
      </c>
      <c r="GO623" s="532">
        <f t="shared" si="2935"/>
        <v>0</v>
      </c>
      <c r="GP623" s="545">
        <f>AVERAGE(EQ623,ES623,EU623,EW623)</f>
        <v>50</v>
      </c>
      <c r="GQ623" s="532">
        <f t="shared" si="2935"/>
        <v>0</v>
      </c>
      <c r="GR623" s="150">
        <v>45</v>
      </c>
      <c r="GS623" s="532">
        <f t="shared" si="2935"/>
        <v>-10</v>
      </c>
      <c r="GT623" s="150">
        <v>43</v>
      </c>
      <c r="GU623" s="72">
        <f t="shared" si="2935"/>
        <v>-4.4444444444444429</v>
      </c>
      <c r="GV623" s="150">
        <v>52</v>
      </c>
      <c r="GW623" s="72">
        <f>IF(ISERROR(GV623/GT623),"NA",IF(OR(GV623/GT623&gt;2,GV623/GT623&lt;0.5),"NM",GV623/GT623*100-100))</f>
        <v>20.930232558139522</v>
      </c>
      <c r="GX623" s="150">
        <v>50</v>
      </c>
      <c r="GY623" s="72">
        <f>IF(ISERROR(GX623/GV623),"NA",IF(OR(GX623/GV623&gt;2,GX623/GV623&lt;0.5),"NM",GX623/GV623*100-100))</f>
        <v>-3.8461538461538396</v>
      </c>
      <c r="GZ623" s="72">
        <f>IF(ISERROR(((GX623/GN623)^0.2-1)*100),"NA",IF((((GX623/GN623)^0.2-1)*100)&gt;100,"NM",IF((((GX623/GN623)^0.2-1)*100)&lt;-50,"NM",((GX623/GN623)^0.2-1)*100)))</f>
        <v>0</v>
      </c>
      <c r="HA623" s="72"/>
      <c r="HB623" s="72"/>
      <c r="HC623"/>
      <c r="HD623"/>
      <c r="HE623"/>
      <c r="HF623"/>
      <c r="HG623"/>
      <c r="HH623"/>
      <c r="HI623" s="2"/>
    </row>
    <row r="624" spans="1:217" s="3" customFormat="1" ht="12.75" customHeight="1" x14ac:dyDescent="0.2">
      <c r="A624" s="3" t="s">
        <v>494</v>
      </c>
      <c r="B624" s="18" t="s">
        <v>40</v>
      </c>
      <c r="C624" s="150"/>
      <c r="D624" s="11"/>
      <c r="E624" s="150"/>
      <c r="F624" s="11"/>
      <c r="G624" s="150"/>
      <c r="H624" s="11"/>
      <c r="I624" s="150"/>
      <c r="J624" s="11"/>
      <c r="K624" s="150"/>
      <c r="L624" s="72"/>
      <c r="M624" s="150"/>
      <c r="N624" s="72"/>
      <c r="O624" s="150"/>
      <c r="P624" s="72"/>
      <c r="Q624" s="150">
        <f>Q621*Q622</f>
        <v>0</v>
      </c>
      <c r="R624" s="72" t="str">
        <f>IF(ISERROR(Q624/I624),"NA",IF(OR(Q624/I624&gt;2,Q624/I624&lt;0.5),"NM",Q624/I624*100-100))</f>
        <v>NA</v>
      </c>
      <c r="S624" s="150"/>
      <c r="T624" s="72"/>
      <c r="U624" s="150">
        <v>106</v>
      </c>
      <c r="V624" s="72" t="str">
        <f>IF(ISERROR(U624/M624),"NA",IF(OR(U624/M624&gt;2,U624/M624&lt;0.5),"NM",U624/M624*100-100))</f>
        <v>NA</v>
      </c>
      <c r="W624" s="150">
        <v>444</v>
      </c>
      <c r="X624" s="72" t="str">
        <f>IF(ISERROR(W624/O624),"NA",IF(OR(W624/O624&gt;2,W624/O624&lt;0.5),"NM",W624/O624*100-100))</f>
        <v>NA</v>
      </c>
      <c r="Y624" s="150">
        <v>250</v>
      </c>
      <c r="Z624" s="72" t="str">
        <f>IF(ISERROR(Y624/Q624),"NA",IF(OR(Y624/Q624&gt;2,Y624/Q624&lt;0.5),"NM",Y624/Q624*100-100))</f>
        <v>NA</v>
      </c>
      <c r="AA624" s="150">
        <v>250</v>
      </c>
      <c r="AB624" s="72" t="str">
        <f>IF(ISERROR(AA624/S624),"NA",IF(OR(AA624/S624&gt;2,AA624/S624&lt;0.5),"NM",AA624/S624*100-100))</f>
        <v>NA</v>
      </c>
      <c r="AC624" s="150">
        <v>238</v>
      </c>
      <c r="AD624" s="72" t="str">
        <f>IF(ISERROR(AC624/U624),"NA",IF(OR(AC624/U624&gt;2,AC624/U624&lt;0.5),"NM",AC624/U624*100-100))</f>
        <v>NM</v>
      </c>
      <c r="AE624" s="150">
        <v>261</v>
      </c>
      <c r="AF624" s="72">
        <f>IF(ISERROR(AE624/W624),"NA",IF(OR(AE624/W624&gt;2,AE624/W624&lt;0.5),"NM",AE624/W624*100-100))</f>
        <v>-41.216216216216218</v>
      </c>
      <c r="AG624" s="150">
        <v>252</v>
      </c>
      <c r="AH624" s="72">
        <f>IF(ISERROR(AG624/Y624),"NA",IF(OR(AG624/Y624&gt;2,AG624/Y624&lt;0.5),"NM",AG624/Y624*100-100))</f>
        <v>0.79999999999999716</v>
      </c>
      <c r="AI624" s="150">
        <v>372</v>
      </c>
      <c r="AJ624" s="72">
        <f>IF(ISERROR(AI624/AA624),"NA",IF(OR(AI624/AA624&gt;2,AI624/AA624&lt;0.5),"NM",AI624/AA624*100-100))</f>
        <v>48.800000000000011</v>
      </c>
      <c r="AK624" s="150">
        <v>377</v>
      </c>
      <c r="AL624" s="72">
        <f>IF(ISERROR(AK624/AC624),"NA",IF(OR(AK624/AC624&gt;2,AK624/AC624&lt;0.5),"NM",AK624/AC624*100-100))</f>
        <v>58.403361344537814</v>
      </c>
      <c r="AM624" s="150">
        <v>372</v>
      </c>
      <c r="AN624" s="72">
        <f>IF(ISERROR(AM624/AE624),"NA",IF(OR(AM624/AE624&gt;2,AM624/AE624&lt;0.5),"NM",AM624/AE624*100-100))</f>
        <v>42.528735632183924</v>
      </c>
      <c r="AO624" s="150">
        <v>377</v>
      </c>
      <c r="AP624" s="72">
        <f>IF(ISERROR(AO624/AG624),"NA",IF(OR(AO624/AG624&gt;2,AO624/AG624&lt;0.5),"NM",AO624/AG624*100-100))</f>
        <v>49.603174603174608</v>
      </c>
      <c r="AQ624" s="150">
        <v>367</v>
      </c>
      <c r="AR624" s="72">
        <f>IF(ISERROR(AQ624/AI624),"NA",IF(OR(AQ624/AI624&gt;2,AQ624/AI624&lt;0.5),"NM",AQ624/AI624*100-100))</f>
        <v>-1.344086021505376</v>
      </c>
      <c r="AS624" s="150">
        <v>476</v>
      </c>
      <c r="AT624" s="72">
        <f>IF(ISERROR(AS624/AK624),"NA",IF(OR(AS624/AK624&gt;2,AS624/AK624&lt;0.5),"NM",AS624/AK624*100-100))</f>
        <v>26.259946949602124</v>
      </c>
      <c r="AU624" s="150">
        <v>623</v>
      </c>
      <c r="AV624" s="72">
        <f>IF(ISERROR(AU624/AM624),"NA",IF(OR(AU624/AM624&gt;2,AU624/AM624&lt;0.5),"NM",AU624/AM624*100-100))</f>
        <v>67.473118279569889</v>
      </c>
      <c r="AW624" s="150">
        <v>624</v>
      </c>
      <c r="AX624" s="72">
        <f>IF(ISERROR(AW624/AO624),"NA",IF(OR(AW624/AO624&gt;2,AW624/AO624&lt;0.5),"NM",AW624/AO624*100-100))</f>
        <v>65.517241379310349</v>
      </c>
      <c r="AY624" s="150">
        <v>623</v>
      </c>
      <c r="AZ624" s="72">
        <f>IF(ISERROR(AY624/AQ624),"NA",IF(OR(AY624/AQ624&gt;2,AY624/AQ624&lt;0.5),"NM",AY624/AQ624*100-100))</f>
        <v>69.754768392370579</v>
      </c>
      <c r="BA624" s="150">
        <v>625</v>
      </c>
      <c r="BB624" s="72">
        <f>IF(ISERROR(BA624/AS624),"NA",IF(OR(BA624/AS624&gt;2,BA624/AS624&lt;0.5),"NM",BA624/AS624*100-100))</f>
        <v>31.302521008403374</v>
      </c>
      <c r="BC624" s="150">
        <v>625</v>
      </c>
      <c r="BD624" s="72">
        <f>IF(ISERROR(BC624/AU624),"NA",IF(OR(BC624/AU624&gt;2,BC624/AU624&lt;0.5),"NM",BC624/AU624*100-100))</f>
        <v>0.3210272873194242</v>
      </c>
      <c r="BE624" s="150">
        <v>626</v>
      </c>
      <c r="BF624" s="72">
        <f>IF(ISERROR(BE624/AW624),"NA",IF(OR(BE624/AW624&gt;2,BE624/AW624&lt;0.5),"NM",BE624/AW624*100-100))</f>
        <v>0.3205128205128176</v>
      </c>
      <c r="BG624" s="150">
        <v>749</v>
      </c>
      <c r="BH624" s="72">
        <f>IF(ISERROR(BG624/AY624),"NA",IF(OR(BG624/AY624&gt;2,BG624/AY624&lt;0.5),"NM",BG624/AY624*100-100))</f>
        <v>20.224719101123597</v>
      </c>
      <c r="BI624" s="150">
        <v>751</v>
      </c>
      <c r="BJ624" s="72">
        <f>IF(ISERROR(BI624/BA624),"NA",IF(OR(BI624/BA624&gt;2,BI624/BA624&lt;0.5),"NM",BI624/BA624*100-100))</f>
        <v>20.159999999999997</v>
      </c>
      <c r="BK624" s="150">
        <v>750</v>
      </c>
      <c r="BL624" s="72">
        <f>IF(ISERROR(BK624/BC624),"NA",IF(OR(BK624/BC624&gt;2,BK624/BC624&lt;0.5),"NM",BK624/BC624*100-100))</f>
        <v>20</v>
      </c>
      <c r="BM624" s="150">
        <v>750</v>
      </c>
      <c r="BN624" s="72">
        <f>IF(ISERROR(BM624/BE624),"NA",IF(OR(BM624/BE624&gt;2,BM624/BE624&lt;0.5),"NM",BM624/BE624*100-100))</f>
        <v>19.808306709265167</v>
      </c>
      <c r="BO624" s="150">
        <v>869</v>
      </c>
      <c r="BP624" s="72">
        <f>IF(ISERROR(BO624/BG624),"NA",IF(OR(BO624/BG624&gt;2,BO624/BG624&lt;0.5),"NM",BO624/BG624*100-100))</f>
        <v>16.021361815754332</v>
      </c>
      <c r="BQ624" s="150">
        <v>881</v>
      </c>
      <c r="BR624" s="72">
        <f>IF(ISERROR(BQ624/BI624),"NA",IF(OR(BQ624/BI624&gt;2,BQ624/BI624&lt;0.5),"NM",BQ624/BI624*100-100))</f>
        <v>17.310252996005332</v>
      </c>
      <c r="BS624" s="150">
        <v>375</v>
      </c>
      <c r="BT624" s="72">
        <f>IF(ISERROR(BS624/BK624),"NA",IF(OR(BS624/BK624&gt;2,BS624/BK624&lt;0.5),"NM",BS624/BK624*100-100))</f>
        <v>-50</v>
      </c>
      <c r="BU624" s="150">
        <v>0</v>
      </c>
      <c r="BV624" s="72" t="str">
        <f>IF(ISERROR(BU624/BM624),"NA",IF(OR(BU624/BM624&gt;2,BU624/BM624&lt;0.5),"NM",BU624/BM624*100-100))</f>
        <v>NM</v>
      </c>
      <c r="BW624" s="150">
        <v>0</v>
      </c>
      <c r="BX624" s="72" t="str">
        <f>IF(ISERROR(BW624/BO624),"NA",IF(OR(BW624/BO624&gt;2,BW624/BO624&lt;0.5),"NM",BW624/BO624*100-100))</f>
        <v>NM</v>
      </c>
      <c r="BY624" s="150">
        <v>0</v>
      </c>
      <c r="BZ624" s="72" t="str">
        <f>IF(ISERROR(BY624/BQ624),"NA",IF(OR(BY624/BQ624&gt;2,BY624/BQ624&lt;0.5),"NM",BY624/BQ624*100-100))</f>
        <v>NM</v>
      </c>
      <c r="CA624" s="150">
        <v>0</v>
      </c>
      <c r="CB624" s="72" t="str">
        <f>IF(ISERROR(CA624/BS624),"NA",IF(OR(CA624/BS624&gt;2,CA624/BS624&lt;0.5),"NM",CA624/BS624*100-100))</f>
        <v>NM</v>
      </c>
      <c r="CC624" s="150">
        <v>0</v>
      </c>
      <c r="CD624" s="72" t="str">
        <f>IF(ISERROR(CC624/BU624),"NA",IF(OR(CC624/BU624&gt;2,CC624/BU624&lt;0.5),"NM",CC624/BU624*100-100))</f>
        <v>NA</v>
      </c>
      <c r="CE624" s="150">
        <v>0</v>
      </c>
      <c r="CF624" s="72" t="str">
        <f>IF(ISERROR(CE624/BW624),"NA",IF(OR(CE624/BW624&gt;2,CE624/BW624&lt;0.5),"NM",CE624/BW624*100-100))</f>
        <v>NA</v>
      </c>
      <c r="CG624" s="150">
        <v>0</v>
      </c>
      <c r="CH624" s="72" t="str">
        <f>IF(ISERROR(CG624/BY624),"NA",IF(OR(CG624/BY624&gt;2,CG624/BY624&lt;0.5),"NM",CG624/BY624*100-100))</f>
        <v>NA</v>
      </c>
      <c r="CI624" s="150">
        <v>0</v>
      </c>
      <c r="CJ624" s="72" t="str">
        <f>IF(ISERROR(CI624/CA624),"NA",IF(OR(CI624/CA624&gt;2,CI624/CA624&lt;0.5),"NM",CI624/CA624*100-100))</f>
        <v>NA</v>
      </c>
      <c r="CK624" s="150">
        <v>0</v>
      </c>
      <c r="CL624" s="72" t="str">
        <f>IF(ISERROR(CK624/CC624),"NA",IF(OR(CK624/CC624&gt;2,CK624/CC624&lt;0.5),"NM",CK624/CC624*100-100))</f>
        <v>NA</v>
      </c>
      <c r="CM624" s="150">
        <v>0</v>
      </c>
      <c r="CN624" s="72" t="str">
        <f>IF(ISERROR(CM624/CE624),"NA",IF(OR(CM624/CE624&gt;2,CM624/CE624&lt;0.5),"NM",CM624/CE624*100-100))</f>
        <v>NA</v>
      </c>
      <c r="CO624" s="150">
        <v>0</v>
      </c>
      <c r="CP624" s="72" t="str">
        <f>IF(ISERROR(CO624/CG624),"NA",IF(OR(CO624/CG624&gt;2,CO624/CG624&lt;0.5),"NM",CO624/CG624*100-100))</f>
        <v>NA</v>
      </c>
      <c r="CQ624" s="150">
        <v>750</v>
      </c>
      <c r="CR624" s="72" t="str">
        <f>IF(ISERROR(CQ624/CI624),"NA",IF(OR(CQ624/CI624&gt;2,CQ624/CI624&lt;0.5),"NM",CQ624/CI624*100-100))</f>
        <v>NA</v>
      </c>
      <c r="CS624" s="150">
        <v>250</v>
      </c>
      <c r="CT624" s="72" t="str">
        <f>IF(ISERROR(CS624/CK624),"NA",IF(OR(CS624/CK624&gt;2,CS624/CK624&lt;0.5),"NM",CS624/CK624*100-100))</f>
        <v>NA</v>
      </c>
      <c r="CU624" s="150">
        <v>250</v>
      </c>
      <c r="CV624" s="72" t="str">
        <f>IF(ISERROR(CU624/CM624),"NA",IF(OR(CU624/CM624&gt;2,CU624/CM624&lt;0.5),"NM",CU624/CM624*100-100))</f>
        <v>NA</v>
      </c>
      <c r="CW624" s="150">
        <v>250</v>
      </c>
      <c r="CX624" s="72" t="str">
        <f>IF(ISERROR(CW624/CO624),"NA",IF(OR(CW624/CO624&gt;2,CW624/CO624&lt;0.5),"NM",CW624/CO624*100-100))</f>
        <v>NA</v>
      </c>
      <c r="CY624" s="150">
        <v>150</v>
      </c>
      <c r="CZ624" s="72" t="str">
        <f>IF(ISERROR(CY624/CQ624),"NA",IF(OR(CY624/CQ624&gt;2,CY624/CQ624&lt;0.5),"NM",CY624/CQ624*100-100))</f>
        <v>NM</v>
      </c>
      <c r="DA624" s="150">
        <v>0</v>
      </c>
      <c r="DB624" s="72" t="str">
        <f>IF(ISERROR(DA624/CS624),"NA",IF(OR(DA624/CS624&gt;2,DA624/CS624&lt;0.5),"NM",DA624/CS624*100-100))</f>
        <v>NM</v>
      </c>
      <c r="DC624" s="150">
        <v>0</v>
      </c>
      <c r="DD624" s="72" t="str">
        <f>IF(ISERROR(DC624/CU624),"NA",IF(OR(DC624/CU624&gt;2,DC624/CU624&lt;0.5),"NM",DC624/CU624*100-100))</f>
        <v>NM</v>
      </c>
      <c r="DE624" s="150">
        <v>250</v>
      </c>
      <c r="DF624" s="72">
        <f>IF(ISERROR(DE624/CW624),"NA",IF(OR(DE624/CW624&gt;2,DE624/CW624&lt;0.5),"NM",DE624/CW624*100-100))</f>
        <v>0</v>
      </c>
      <c r="DG624" s="150">
        <v>250</v>
      </c>
      <c r="DH624" s="72">
        <f>IF(ISERROR(DG624/CY624),"NA",IF(OR(DG624/CY624&gt;2,DG624/CY624&lt;0.5),"NM",DG624/CY624*100-100))</f>
        <v>66.666666666666686</v>
      </c>
      <c r="DI624" s="150">
        <v>250</v>
      </c>
      <c r="DJ624" s="72" t="str">
        <f>IF(ISERROR(DI624/DA624),"NA",IF(OR(DI624/DA624&gt;2,DI624/DA624&lt;0.5),"NM",DI624/DA624*100-100))</f>
        <v>NA</v>
      </c>
      <c r="DK624" s="150">
        <v>250</v>
      </c>
      <c r="DL624" s="72" t="str">
        <f>IF(ISERROR(DK624/DC624),"NA",IF(OR(DK624/DC624&gt;2,DK624/DC624&lt;0.5),"NM",DK624/DC624*100-100))</f>
        <v>NA</v>
      </c>
      <c r="DM624" s="150">
        <v>250</v>
      </c>
      <c r="DN624" s="72">
        <f t="shared" si="2926"/>
        <v>0</v>
      </c>
      <c r="DO624" s="150">
        <v>250</v>
      </c>
      <c r="DP624" s="72">
        <f t="shared" si="2926"/>
        <v>0</v>
      </c>
      <c r="DQ624" s="150">
        <v>250</v>
      </c>
      <c r="DR624" s="72">
        <f t="shared" si="2926"/>
        <v>0</v>
      </c>
      <c r="DS624" s="150">
        <v>250</v>
      </c>
      <c r="DT624" s="72">
        <f t="shared" si="2926"/>
        <v>0</v>
      </c>
      <c r="DU624" s="150">
        <v>250</v>
      </c>
      <c r="DV624" s="72">
        <f t="shared" si="2926"/>
        <v>0</v>
      </c>
      <c r="DW624" s="150">
        <v>250</v>
      </c>
      <c r="DX624" s="72">
        <f t="shared" si="2926"/>
        <v>0</v>
      </c>
      <c r="DY624" s="150">
        <v>250</v>
      </c>
      <c r="DZ624" s="72">
        <f t="shared" si="2926"/>
        <v>0</v>
      </c>
      <c r="EA624" s="150">
        <v>375</v>
      </c>
      <c r="EB624" s="72">
        <f>IF(ISERROR(EA624/DS624),"NA",IF(OR(EA624/DS624&gt;2,EA624/DS624&lt;0.5),"NM",EA624/DS624*100-100))</f>
        <v>50</v>
      </c>
      <c r="EC624" s="150">
        <v>375</v>
      </c>
      <c r="ED624" s="72">
        <f>IF(ISERROR(EC624/DU624),"NA",IF(OR(EC624/DU624&gt;2,EC624/DU624&lt;0.5),"NM",EC624/DU624*100-100))</f>
        <v>50</v>
      </c>
      <c r="EE624" s="150">
        <v>625</v>
      </c>
      <c r="EF624" s="72" t="str">
        <f>IF(ISERROR(EE624/DW624),"NA",IF(OR(EE624/DW624&gt;2,EE624/DW624&lt;0.5),"NM",EE624/DW624*100-100))</f>
        <v>NM</v>
      </c>
      <c r="EG624" s="150">
        <v>625</v>
      </c>
      <c r="EH624" s="72" t="str">
        <f>IF(ISERROR(EG624/DY624),"NA",IF(OR(EG624/DY624&gt;2,EG624/DY624&lt;0.5),"NM",EG624/DY624*100-100))</f>
        <v>NM</v>
      </c>
      <c r="EI624" s="150">
        <v>312.5</v>
      </c>
      <c r="EJ624" s="72">
        <f>IF(ISERROR(EI624/EA624),"NA",IF(OR(EI624/EA624&gt;2,EI624/EA624&lt;0.5),"NM",EI624/EA624*100-100))</f>
        <v>-16.666666666666657</v>
      </c>
      <c r="EK624" s="150">
        <v>312.5</v>
      </c>
      <c r="EL624" s="72">
        <f>IF(ISERROR(EK624/EC624),"NA",IF(OR(EK624/EC624&gt;2,EK624/EC624&lt;0.5),"NM",EK624/EC624*100-100))</f>
        <v>-16.666666666666657</v>
      </c>
      <c r="EM624" s="150">
        <v>312.5</v>
      </c>
      <c r="EN624" s="72">
        <f>IF(ISERROR(EM624/EE624),"NA",IF(OR(EM624/EE624&gt;2,EM624/EE624&lt;0.5),"NM",EM624/EE624*100-100))</f>
        <v>-50</v>
      </c>
      <c r="EO624" s="150">
        <v>312.5</v>
      </c>
      <c r="EP624" s="72">
        <f>IF(ISERROR(EO624/EG624),"NA",IF(OR(EO624/EG624&gt;2,EO624/EG624&lt;0.5),"NM",EO624/EG624*100-100))</f>
        <v>-50</v>
      </c>
      <c r="EQ624" s="150">
        <v>375</v>
      </c>
      <c r="ER624" s="72">
        <f t="shared" si="2928"/>
        <v>20</v>
      </c>
      <c r="ES624" s="150">
        <v>375</v>
      </c>
      <c r="ET624" s="72">
        <f t="shared" si="2930"/>
        <v>20</v>
      </c>
      <c r="EU624" s="150">
        <v>375</v>
      </c>
      <c r="EV624" s="72">
        <f t="shared" si="2932"/>
        <v>20</v>
      </c>
      <c r="EW624" s="150">
        <v>375</v>
      </c>
      <c r="EX624" s="72">
        <f t="shared" si="2934"/>
        <v>20</v>
      </c>
      <c r="EY624" s="72"/>
      <c r="EZ624" s="296"/>
      <c r="FA624" s="72"/>
      <c r="FB624" s="9"/>
      <c r="FC624" s="11"/>
      <c r="FD624" s="9"/>
      <c r="FE624" s="72" t="str">
        <f>IF(ISERROR(FD624/FB624),"NA",IF(OR(FD624/FB624&gt;2,FD624/FB624&lt;0.5),"NM",FD624/FB624*100-100))</f>
        <v>NA</v>
      </c>
      <c r="FF624" s="16"/>
      <c r="FG624" s="72" t="str">
        <f>IF(ISERROR(FF624/FD624),"NA",IF(OR(FF624/FD624&gt;2,FF624/FD624&lt;0.5),"NM",FF624/FD624*100-100))</f>
        <v>NA</v>
      </c>
      <c r="FH624" s="81">
        <f>K624+M624+O624+Q624</f>
        <v>0</v>
      </c>
      <c r="FI624" s="72" t="str">
        <f>IF(ISERROR(FH624/FF624),"NA",IF(OR(FH624/FF624&gt;2,FH624/FF624&lt;0.5),"NM",FH624/FF624*100-100))</f>
        <v>NA</v>
      </c>
      <c r="FJ624" s="75">
        <f>S624+U624+W624+Y624</f>
        <v>800</v>
      </c>
      <c r="FK624" s="72" t="str">
        <f>IF(ISERROR(FJ624/FH624),"NA",IF(OR(FJ624/FH624&gt;2,FJ624/FH624&lt;0.5),"NM",FJ624/FH624*100-100))</f>
        <v>NA</v>
      </c>
      <c r="FL624" s="75">
        <f>+AA624+AC624+AE624+AG624</f>
        <v>1001</v>
      </c>
      <c r="FM624" s="72">
        <f>IF(ISERROR(FL624/FJ624),"NA",IF(OR(FL624/FJ624&gt;2,FL624/FJ624&lt;0.5),"NM",FL624/FJ624*100-100))</f>
        <v>25.125</v>
      </c>
      <c r="FN624" s="75">
        <f>+AI624+AK624+AM624+AO624</f>
        <v>1498</v>
      </c>
      <c r="FO624" s="72">
        <f>IF(ISERROR(FN624/FL624),"NA",IF(OR(FN624/FL624&gt;2,FN624/FL624&lt;0.5),"NM",FN624/FL624*100-100))</f>
        <v>49.650349650349654</v>
      </c>
      <c r="FP624" s="75">
        <f>AQ624+AS624+AU624+AW624</f>
        <v>2090</v>
      </c>
      <c r="FQ624" s="72">
        <f>IF(ISERROR(FP624/FN624),"NA",IF(OR(FP624/FN624&gt;2,FP624/FN624&lt;0.5),"NM",FP624/FN624*100-100))</f>
        <v>39.519359145527375</v>
      </c>
      <c r="FR624" s="144">
        <f>AY624+BA624+BC624+BE624</f>
        <v>2499</v>
      </c>
      <c r="FS624" s="72">
        <f>IF(ISERROR(FR624/FP624),"NA",IF(OR(FR624/FP624&gt;2,FR624/FP624&lt;0.5),"NM",FR624/FP624*100-100))</f>
        <v>19.56937799043061</v>
      </c>
      <c r="FT624" s="144">
        <f>BG624+BI624+BK624+BM624</f>
        <v>3000</v>
      </c>
      <c r="FU624" s="72">
        <f>IF(ISERROR(FT624/FR624),"NA",IF(OR(FT624/FR624&gt;2,FT624/FR624&lt;0.5),"NM",FT624/FR624*100-100))</f>
        <v>20.048019207683069</v>
      </c>
      <c r="FV624" s="144">
        <f>BO624+BQ624+BS624+BU624</f>
        <v>2125</v>
      </c>
      <c r="FW624" s="72">
        <f>IF(ISERROR(FV624/FT624),"NA",IF(OR(FV624/FT624&gt;2,FV624/FT624&lt;0.5),"NM",FV624/FT624*100-100))</f>
        <v>-29.166666666666657</v>
      </c>
      <c r="FX624" s="144">
        <f>BW624+BY624+CA624+CC624</f>
        <v>0</v>
      </c>
      <c r="FY624" s="72" t="str">
        <f>IF(ISERROR(FX624/FV624),"NA",IF(OR(FX624/FV624&gt;2,FX624/FV624&lt;0.5),"NM",FX624/FV624*100-100))</f>
        <v>NM</v>
      </c>
      <c r="FZ624" s="144">
        <f>CE624+CG624+CI624+CK624</f>
        <v>0</v>
      </c>
      <c r="GA624" s="72" t="str">
        <f>IF(ISERROR(FZ624/FX624),"NA",IF(OR(FZ624/FX624&gt;2,FZ624/FX624&lt;0.5),"NM",FZ624/FX624*100-100))</f>
        <v>NA</v>
      </c>
      <c r="GB624" s="203">
        <f>CM624+CO624+CQ624+CS624</f>
        <v>1000</v>
      </c>
      <c r="GC624" s="72" t="str">
        <f>IF(ISERROR(GB624/FZ624),"NA",IF(OR(GB624/FZ624&gt;2,GB624/FZ624&lt;0.5),"NM",GB624/FZ624*100-100))</f>
        <v>NA</v>
      </c>
      <c r="GD624" s="203">
        <f>CU624+CW624+CY624+DA624</f>
        <v>650</v>
      </c>
      <c r="GE624" s="72">
        <f>IF(ISERROR(GD624/GB624),"NA",IF(OR(GD624/GB624&gt;2,GD624/GB624&lt;0.5),"NM",GD624/GB624*100-100))</f>
        <v>-35</v>
      </c>
      <c r="GF624" s="203">
        <f>DC624+DE624+DG624+DI624</f>
        <v>750</v>
      </c>
      <c r="GG624" s="72">
        <f>IF(ISERROR(GF624/GD624),"NA",IF(OR(GF624/GD624&gt;2,GF624/GD624&lt;0.5),"NM",GF624/GD624*100-100))</f>
        <v>15.384615384615373</v>
      </c>
      <c r="GH624" s="203">
        <f>DK624+DM624+DO624+DQ624</f>
        <v>1000</v>
      </c>
      <c r="GI624" s="72">
        <f t="shared" si="2935"/>
        <v>33.333333333333314</v>
      </c>
      <c r="GJ624" s="740">
        <f>DS624+DU624+DW624+DY624</f>
        <v>1000</v>
      </c>
      <c r="GK624" s="532">
        <f t="shared" si="2935"/>
        <v>0</v>
      </c>
      <c r="GL624" s="740">
        <f>EA624+EC624+EE624+EG624</f>
        <v>2000</v>
      </c>
      <c r="GM624" s="532">
        <f t="shared" si="2935"/>
        <v>100</v>
      </c>
      <c r="GN624" s="740">
        <f>EI624+EK624+EM624+EO624</f>
        <v>1250</v>
      </c>
      <c r="GO624" s="532">
        <f t="shared" si="2935"/>
        <v>-37.5</v>
      </c>
      <c r="GP624" s="740">
        <f>EQ624+ES624+EU624+EW624</f>
        <v>1500</v>
      </c>
      <c r="GQ624" s="532">
        <f t="shared" si="2935"/>
        <v>20</v>
      </c>
      <c r="GR624" s="150">
        <v>1500</v>
      </c>
      <c r="GS624" s="532">
        <f t="shared" si="2935"/>
        <v>0</v>
      </c>
      <c r="GT624" s="150">
        <v>1600</v>
      </c>
      <c r="GU624" s="72">
        <f t="shared" si="2935"/>
        <v>6.6666666666666714</v>
      </c>
      <c r="GV624" s="150">
        <v>1600</v>
      </c>
      <c r="GW624" s="72">
        <f>IF(ISERROR(GV624/GT624),"NA",IF(OR(GV624/GT624&gt;2,GV624/GT624&lt;0.5),"NM",GV624/GT624*100-100))</f>
        <v>0</v>
      </c>
      <c r="GX624" s="150">
        <v>1600</v>
      </c>
      <c r="GY624" s="72">
        <f>IF(ISERROR(GX624/GV624),"NA",IF(OR(GX624/GV624&gt;2,GX624/GV624&lt;0.5),"NM",GX624/GV624*100-100))</f>
        <v>0</v>
      </c>
      <c r="GZ624" s="72">
        <f>IF(ISERROR(((GX624/GN624)^0.2-1)*100),"NA",IF((((GX624/GN624)^0.2-1)*100)&gt;100,"NM",IF((((GX624/GN624)^0.2-1)*100)&lt;-50,"NM",((GX624/GN624)^0.2-1)*100)))</f>
        <v>5.0611121761506839</v>
      </c>
      <c r="HA624" s="72"/>
      <c r="HB624" s="72"/>
      <c r="HC624"/>
      <c r="HD624"/>
      <c r="HE624"/>
      <c r="HF624"/>
      <c r="HG624"/>
      <c r="HH624"/>
      <c r="HI624" s="2"/>
    </row>
    <row r="625" spans="1:217" s="135" customFormat="1" ht="12.75" hidden="1" customHeight="1" outlineLevel="1" x14ac:dyDescent="0.2">
      <c r="B625" s="258" t="s">
        <v>351</v>
      </c>
      <c r="C625" s="259"/>
      <c r="D625" s="239"/>
      <c r="E625" s="259"/>
      <c r="F625" s="239"/>
      <c r="G625" s="259"/>
      <c r="H625" s="239"/>
      <c r="I625" s="259"/>
      <c r="J625" s="239"/>
      <c r="K625" s="259"/>
      <c r="L625" s="137"/>
      <c r="M625" s="259"/>
      <c r="N625" s="137"/>
      <c r="O625" s="259"/>
      <c r="P625" s="137"/>
      <c r="Q625" s="259"/>
      <c r="R625" s="137"/>
      <c r="S625" s="259"/>
      <c r="T625" s="137"/>
      <c r="U625" s="259"/>
      <c r="V625" s="137"/>
      <c r="W625" s="259"/>
      <c r="X625" s="137"/>
      <c r="Y625" s="259"/>
      <c r="Z625" s="137"/>
      <c r="AA625" s="259"/>
      <c r="AB625" s="137"/>
      <c r="AC625" s="259"/>
      <c r="AD625" s="137"/>
      <c r="AE625" s="259"/>
      <c r="AF625" s="137"/>
      <c r="AG625" s="259"/>
      <c r="AH625" s="137"/>
      <c r="AI625" s="259"/>
      <c r="AJ625" s="137"/>
      <c r="AK625" s="259"/>
      <c r="AL625" s="137"/>
      <c r="AM625" s="259"/>
      <c r="AN625" s="137"/>
      <c r="AO625" s="259"/>
      <c r="AP625" s="137"/>
      <c r="AQ625" s="259"/>
      <c r="AR625" s="137"/>
      <c r="AS625" s="259"/>
      <c r="AT625" s="137"/>
      <c r="AU625" s="259"/>
      <c r="AV625" s="137"/>
      <c r="AW625" s="259"/>
      <c r="AX625" s="137"/>
      <c r="AY625" s="259"/>
      <c r="AZ625" s="137"/>
      <c r="BA625" s="259"/>
      <c r="BB625" s="137"/>
      <c r="BC625" s="259"/>
      <c r="BD625" s="137"/>
      <c r="BE625" s="259"/>
      <c r="BF625" s="137"/>
      <c r="BG625" s="259"/>
      <c r="BH625" s="137"/>
      <c r="BI625" s="259"/>
      <c r="BJ625" s="137"/>
      <c r="BK625" s="259"/>
      <c r="BL625" s="137"/>
      <c r="BM625" s="259"/>
      <c r="BN625" s="137"/>
      <c r="BO625" s="259"/>
      <c r="BP625" s="137"/>
      <c r="BQ625" s="259"/>
      <c r="BR625" s="137"/>
      <c r="BS625" s="259"/>
      <c r="BT625" s="137"/>
      <c r="BU625" s="259"/>
      <c r="BV625" s="137"/>
      <c r="BW625" s="259"/>
      <c r="BX625" s="137"/>
      <c r="BY625" s="259"/>
      <c r="BZ625" s="137"/>
      <c r="CA625" s="259"/>
      <c r="CB625" s="137"/>
      <c r="CC625" s="259"/>
      <c r="CD625" s="137"/>
      <c r="CE625" s="259"/>
      <c r="CF625" s="137"/>
      <c r="CG625" s="259"/>
      <c r="CH625" s="137"/>
      <c r="CI625" s="259"/>
      <c r="CJ625" s="137"/>
      <c r="CK625" s="259"/>
      <c r="CL625" s="137"/>
      <c r="CM625" s="259"/>
      <c r="CN625" s="137"/>
      <c r="CO625" s="259"/>
      <c r="CP625" s="137"/>
      <c r="CQ625" s="259"/>
      <c r="CR625" s="137"/>
      <c r="CS625" s="259"/>
      <c r="CT625" s="137"/>
      <c r="CU625" s="259"/>
      <c r="CV625" s="137"/>
      <c r="CW625" s="259"/>
      <c r="CX625" s="137"/>
      <c r="CY625" s="259"/>
      <c r="CZ625" s="137"/>
      <c r="DA625" s="259"/>
      <c r="DB625" s="137"/>
      <c r="DC625" s="259"/>
      <c r="DD625" s="137"/>
      <c r="DE625" s="259"/>
      <c r="DF625" s="137"/>
      <c r="DG625" s="259"/>
      <c r="DH625" s="137"/>
      <c r="DI625" s="259"/>
      <c r="DJ625" s="137"/>
      <c r="DK625" s="259"/>
      <c r="DL625" s="137"/>
      <c r="DM625" s="259"/>
      <c r="DN625" s="137"/>
      <c r="DO625" s="259"/>
      <c r="DP625" s="137"/>
      <c r="DQ625" s="259"/>
      <c r="DR625" s="137"/>
      <c r="DS625" s="259"/>
      <c r="DT625" s="137"/>
      <c r="DU625" s="259"/>
      <c r="DV625" s="137"/>
      <c r="DW625" s="259">
        <f>IF($B$6=1,DW624,IF($B$6=2,DW624+DW872,IF($B$6=3,DW624+DW873)))</f>
        <v>250</v>
      </c>
      <c r="DX625" s="137"/>
      <c r="DY625" s="259">
        <f>IF($B$6=1,DY624,IF($B$6=2,DY624+DY872,IF($B$6=3,DY624+DY873)))</f>
        <v>250</v>
      </c>
      <c r="DZ625" s="137"/>
      <c r="EA625" s="259">
        <f>IF($B$6=1,EA624,IF($B$6=2,EA624+EA872,IF($B$6=3,EA624+EA873)))</f>
        <v>375</v>
      </c>
      <c r="EB625" s="137"/>
      <c r="EC625" s="259">
        <f>IF($B$6=1,EC624,IF($B$6=2,EC624+EC872,IF($B$6=3,EC624+EC873)))</f>
        <v>375</v>
      </c>
      <c r="ED625" s="137"/>
      <c r="EE625" s="259">
        <f>IF($B$6=1,EE624,IF($B$6=2,EE624+EE872,IF($B$6=3,EE624+EE873)))</f>
        <v>625</v>
      </c>
      <c r="EF625" s="137"/>
      <c r="EG625" s="259">
        <f>IF($B$6=1,EG624,IF($B$6=2,EG624+EG872,IF($B$6=3,EG624+EG873)))</f>
        <v>625</v>
      </c>
      <c r="EH625" s="137"/>
      <c r="EI625" s="259"/>
      <c r="EJ625" s="137"/>
      <c r="EK625" s="259">
        <f>IF($B$6=1,EK624,IF($B$6=2,EK624+EK872,IF($B$6=3,EK624+EK873)))</f>
        <v>312.5</v>
      </c>
      <c r="EL625" s="137"/>
      <c r="EM625" s="259">
        <f>IF($B$6=1,EM624,IF($B$6=2,EM624+EM872,IF($B$6=3,EM624+EM873)))</f>
        <v>312.5</v>
      </c>
      <c r="EN625" s="137"/>
      <c r="EO625" s="259">
        <f>IF($B$6=1,EO624,IF($B$6=2,EO624+EO872,IF($B$6=3,EO624+EO873)))</f>
        <v>312.5</v>
      </c>
      <c r="EP625" s="137"/>
      <c r="EQ625" s="259">
        <f t="shared" ref="EQ625" si="2939">IF($B$6=1,EQ624,IF($B$6=2,EQ624+EQ872,IF($B$6=3,EQ624+EQ873)))</f>
        <v>375</v>
      </c>
      <c r="ER625" s="137"/>
      <c r="ES625" s="259">
        <f t="shared" ref="ES625" si="2940">IF($B$6=1,ES624,IF($B$6=2,ES624+ES872,IF($B$6=3,ES624+ES873)))</f>
        <v>375</v>
      </c>
      <c r="ET625" s="137"/>
      <c r="EU625" s="259">
        <f t="shared" ref="EU625" si="2941">IF($B$6=1,EU624,IF($B$6=2,EU624+EU872,IF($B$6=3,EU624+EU873)))</f>
        <v>375</v>
      </c>
      <c r="EV625" s="137"/>
      <c r="EW625" s="259">
        <f t="shared" ref="EW625" si="2942">IF($B$6=1,EW624,IF($B$6=2,EW624+EW872,IF($B$6=3,EW624+EW873)))</f>
        <v>375</v>
      </c>
      <c r="EX625" s="137"/>
      <c r="EY625" s="137"/>
      <c r="EZ625" s="305"/>
      <c r="FA625" s="137"/>
      <c r="FB625" s="238"/>
      <c r="FC625" s="239"/>
      <c r="FD625" s="238"/>
      <c r="FE625" s="137"/>
      <c r="FF625" s="238"/>
      <c r="FG625" s="137"/>
      <c r="FH625" s="136"/>
      <c r="FI625" s="137"/>
      <c r="FJ625" s="209"/>
      <c r="FK625" s="137"/>
      <c r="FL625" s="209"/>
      <c r="FM625" s="137"/>
      <c r="FN625" s="209"/>
      <c r="FO625" s="137"/>
      <c r="FP625" s="209"/>
      <c r="FQ625" s="137"/>
      <c r="FR625" s="259"/>
      <c r="FS625" s="137"/>
      <c r="FT625" s="259"/>
      <c r="FU625" s="137"/>
      <c r="FV625" s="259"/>
      <c r="FW625" s="137"/>
      <c r="FX625" s="259"/>
      <c r="FY625" s="137"/>
      <c r="FZ625" s="259"/>
      <c r="GA625" s="137"/>
      <c r="GB625" s="259"/>
      <c r="GC625" s="137"/>
      <c r="GD625" s="259"/>
      <c r="GE625" s="137"/>
      <c r="GF625" s="259"/>
      <c r="GG625" s="137"/>
      <c r="GH625" s="259"/>
      <c r="GI625" s="137"/>
      <c r="GJ625" s="741"/>
      <c r="GK625" s="742"/>
      <c r="GL625" s="741"/>
      <c r="GM625" s="742"/>
      <c r="GN625" s="741"/>
      <c r="GO625" s="742"/>
      <c r="GP625" s="741"/>
      <c r="GQ625" s="742"/>
      <c r="GR625" s="259">
        <f>IF($B$6=1,GR624,IF($B$6=2,GR624+GR872,IF($B$6=3,GR624+GR873)))</f>
        <v>1500</v>
      </c>
      <c r="GS625" s="742"/>
      <c r="GT625" s="259">
        <f>IF($B$6=1,GT624,IF($B$6=2,GT624+GT872,IF($B$6=3,GT624+GT873)))</f>
        <v>1600</v>
      </c>
      <c r="GU625" s="137"/>
      <c r="GV625" s="259">
        <f>IF($B$6=1,GV624,IF($B$6=2,GV624+GV872,IF($B$6=3,GV624+GV873)))</f>
        <v>1600</v>
      </c>
      <c r="GW625" s="137"/>
      <c r="GX625" s="259">
        <f>IF($B$6=1,GX624,IF($B$6=2,GX624+GX872,IF($B$6=3,GX624+GX873)))</f>
        <v>1600</v>
      </c>
      <c r="GY625" s="137"/>
      <c r="GZ625" s="137"/>
      <c r="HA625" s="137"/>
      <c r="HB625" s="137"/>
      <c r="HC625"/>
      <c r="HD625"/>
      <c r="HE625"/>
      <c r="HF625"/>
      <c r="HG625"/>
      <c r="HH625"/>
      <c r="HI625" s="236"/>
    </row>
    <row r="626" spans="1:217" s="3" customFormat="1" ht="12.75" hidden="1" customHeight="1" outlineLevel="1" x14ac:dyDescent="0.2">
      <c r="B626" s="18" t="s">
        <v>685</v>
      </c>
      <c r="C626" s="144"/>
      <c r="D626" s="11"/>
      <c r="E626" s="144"/>
      <c r="F626" s="11"/>
      <c r="G626" s="144"/>
      <c r="H626" s="11"/>
      <c r="I626" s="144"/>
      <c r="J626" s="11"/>
      <c r="K626" s="144"/>
      <c r="L626" s="72"/>
      <c r="M626" s="144"/>
      <c r="N626" s="72"/>
      <c r="O626" s="144"/>
      <c r="P626" s="72"/>
      <c r="Q626" s="144"/>
      <c r="R626" s="72"/>
      <c r="S626" s="144"/>
      <c r="T626" s="72"/>
      <c r="U626" s="144"/>
      <c r="V626" s="72"/>
      <c r="W626" s="144"/>
      <c r="X626" s="72"/>
      <c r="Y626" s="144"/>
      <c r="Z626" s="72"/>
      <c r="AA626" s="144"/>
      <c r="AB626" s="72"/>
      <c r="AC626" s="144"/>
      <c r="AD626" s="72"/>
      <c r="AE626" s="144"/>
      <c r="AF626" s="72"/>
      <c r="AG626" s="144"/>
      <c r="AH626" s="72"/>
      <c r="AI626" s="144"/>
      <c r="AJ626" s="72"/>
      <c r="AK626" s="144"/>
      <c r="AL626" s="72"/>
      <c r="AM626" s="144"/>
      <c r="AN626" s="72"/>
      <c r="AO626" s="144"/>
      <c r="AP626" s="72"/>
      <c r="AQ626" s="144"/>
      <c r="AR626" s="72"/>
      <c r="AS626" s="144"/>
      <c r="AT626" s="72"/>
      <c r="AU626" s="144"/>
      <c r="AV626" s="72"/>
      <c r="AW626" s="144"/>
      <c r="AX626" s="72"/>
      <c r="AY626" s="144">
        <f>+AY675+AY613-AY583+(AW676-AY676)-AW675</f>
        <v>-452</v>
      </c>
      <c r="AZ626" s="72"/>
      <c r="BA626" s="144">
        <f>+BA675+BA613-BA583+(AY676-BA676)-AY675</f>
        <v>-517</v>
      </c>
      <c r="BB626" s="72"/>
      <c r="BC626" s="144">
        <f>+BC675+BC613-BC583+(BA676-BC676)-BA675</f>
        <v>-486</v>
      </c>
      <c r="BD626" s="72"/>
      <c r="BE626" s="144">
        <f>+BE675+BE613-BE583+(BC676-BE676)-BC675</f>
        <v>-417.90499999999884</v>
      </c>
      <c r="BF626" s="72"/>
      <c r="BG626" s="144">
        <f>+BG675+BG613-BG583+(BE676-BG676)-BE675</f>
        <v>-457.20000000000073</v>
      </c>
      <c r="BH626" s="72"/>
      <c r="BI626" s="144">
        <f>+BI675+BI613-BI583+(BG676-BI676)-BG675</f>
        <v>-533</v>
      </c>
      <c r="BJ626" s="72"/>
      <c r="BK626" s="144">
        <f>+BK675+BK613-BK583+(BI676-BK676)-BI675</f>
        <v>-297</v>
      </c>
      <c r="BL626" s="72"/>
      <c r="BM626" s="144">
        <f>+BM675+BM613-BM583+(BK676-BM676)-BK675</f>
        <v>-1371.75</v>
      </c>
      <c r="BN626" s="72"/>
      <c r="BO626" s="144">
        <f>+BO675+BO613-BO583+(BM676-BO676)-BM675</f>
        <v>1102</v>
      </c>
      <c r="BP626" s="72"/>
      <c r="BQ626" s="144">
        <f>+BQ675+BQ613-BQ583+(BO676-BQ676)-BO675</f>
        <v>-30</v>
      </c>
      <c r="BR626" s="72"/>
      <c r="BS626" s="144">
        <f>+BS675+BS613-BS583+(BQ676-BS676)-BQ675</f>
        <v>1039</v>
      </c>
      <c r="BT626" s="72"/>
      <c r="BU626" s="144">
        <f>+BU675+BU613-BU583+(BS676-BU676)-BS675</f>
        <v>-2854.5839905704852</v>
      </c>
      <c r="BV626" s="72"/>
      <c r="BW626" s="144">
        <f>+BW675+BW613-BW583+(BU676-BW676)-BU675</f>
        <v>703</v>
      </c>
      <c r="BX626" s="72"/>
      <c r="BY626" s="144">
        <f>+BY675+BY613-BY583+(BW676-BY676)-BW675</f>
        <v>1418</v>
      </c>
      <c r="BZ626" s="72"/>
      <c r="CA626" s="144">
        <f>+CA675+CA613-CA583+(BY676-CA676)-BY675</f>
        <v>54</v>
      </c>
      <c r="CB626" s="72"/>
      <c r="CC626" s="144">
        <f>+CC675+CC613-CC583+(CA676-CC676)-CA675</f>
        <v>-79.529999999998836</v>
      </c>
      <c r="CD626" s="72"/>
      <c r="CE626" s="144">
        <f>+CE675+CE613-CE583+(CC676-CE676)-CC675</f>
        <v>-2269</v>
      </c>
      <c r="CF626" s="72"/>
      <c r="CG626" s="144">
        <f>+CG675+CG613-CG583+(CE676-CG676)-CE675</f>
        <v>68</v>
      </c>
      <c r="CH626" s="72"/>
      <c r="CI626" s="144">
        <f>+CI675+CI613-CI583+(CG676-CI676)-CG675</f>
        <v>58</v>
      </c>
      <c r="CJ626" s="72"/>
      <c r="CK626" s="144">
        <f>+CK675+CK613-CK583+(CI676-CK676)-CI675</f>
        <v>1024.369999999999</v>
      </c>
      <c r="CL626" s="72"/>
      <c r="CM626" s="144">
        <f>+CM675+CM613-CM583+(CK676-CM676)-CK675</f>
        <v>96</v>
      </c>
      <c r="CN626" s="72"/>
      <c r="CO626" s="144">
        <f>+CO675+CO613-CO583+(CM676-CO676)-CM675</f>
        <v>65</v>
      </c>
      <c r="CP626" s="72"/>
      <c r="CQ626" s="144">
        <f>+CQ675+CQ613-CQ583+(CO676-CQ676)-CO675</f>
        <v>-702</v>
      </c>
      <c r="CR626" s="72"/>
      <c r="CS626" s="144">
        <f>+CS675+CS613-CS583+(CQ676-CS676)-CQ675</f>
        <v>-15.400000000001455</v>
      </c>
      <c r="CT626" s="72"/>
      <c r="CU626" s="144">
        <f>+CU675+CU613-CU583+(CS676-CU676)-CS675</f>
        <v>-168</v>
      </c>
      <c r="CV626" s="72"/>
      <c r="CW626" s="144">
        <f>+CW675+CW613-CW583+(CU676-CW676)-CU675</f>
        <v>-188</v>
      </c>
      <c r="CX626" s="72"/>
      <c r="CY626" s="144">
        <f>+CY675+CY613-CY583+(CW676-CY676)-CW675</f>
        <v>-89</v>
      </c>
      <c r="CZ626" s="72"/>
      <c r="DA626" s="144">
        <f>+DA675+DA613-DA583+(CY676-DA676)-CY675</f>
        <v>-31.19999999999709</v>
      </c>
      <c r="DB626" s="72"/>
      <c r="DC626" s="144">
        <f>+DC675+DC613-DC583+(DA676-DC676)-DA675</f>
        <v>87.120000000002619</v>
      </c>
      <c r="DD626" s="72"/>
      <c r="DE626" s="144">
        <f>+DE675+DE613-DE583+(DC676-DE676)-DC675</f>
        <v>-128.80000000000291</v>
      </c>
      <c r="DF626" s="72"/>
      <c r="DG626" s="144">
        <f>+DG675+DG613-DG583+(DE676-DG676)-DE675</f>
        <v>-83.239999999997963</v>
      </c>
      <c r="DH626" s="72"/>
      <c r="DI626" s="144">
        <f>+DI675+DI613-DI583+(DG676-DI676)-DG675</f>
        <v>-53.61699999999837</v>
      </c>
      <c r="DJ626" s="72"/>
      <c r="DK626" s="144">
        <f>+DK675+DK613-DK583+(DI676-DK676)-DI675</f>
        <v>-160.98799999999756</v>
      </c>
      <c r="DL626" s="72"/>
      <c r="DM626" s="144">
        <f>+DM675+DM613-DM583+(DK676-DM676)-DK675</f>
        <v>-149.0480000000025</v>
      </c>
      <c r="DN626" s="72"/>
      <c r="DO626" s="144">
        <f>+DO675+DO613-DO583+(DM676-DO676)-DM675</f>
        <v>-115.73700000000099</v>
      </c>
      <c r="DP626" s="72"/>
      <c r="DQ626" s="144">
        <f>+DQ675+DQ613-DQ583+(DO676-DQ676)-DO675</f>
        <v>-287.21600000000035</v>
      </c>
      <c r="DR626" s="72"/>
      <c r="DS626" s="144">
        <f>+DS675+DS613-DS583+(DQ676-DS676)-DQ675</f>
        <v>433.02999999999884</v>
      </c>
      <c r="DT626" s="72"/>
      <c r="DU626" s="144">
        <f>+DU675+DU613-DU583+(DS676-DU676)-DS675</f>
        <v>-131.89800000000105</v>
      </c>
      <c r="DV626" s="72"/>
      <c r="DW626" s="144">
        <f>+DW675+DW613-DW583+(DU676-DW676)-DU675</f>
        <v>-264.34799999999814</v>
      </c>
      <c r="DX626" s="72"/>
      <c r="DY626" s="144">
        <f>+DY675+DY613-DY583+(DW676-DY676)-DW675</f>
        <v>-74.029999999998836</v>
      </c>
      <c r="DZ626" s="72"/>
      <c r="EA626" s="144">
        <f>+EA675+EA613-EA583+(DY676-EA676)-DY675</f>
        <v>-454.83000000000175</v>
      </c>
      <c r="EB626" s="72"/>
      <c r="EC626" s="144">
        <f>+EC675+EC613-EC583+(EA676-EC676)-EA675</f>
        <v>-307.91000000000349</v>
      </c>
      <c r="ED626" s="72"/>
      <c r="EE626" s="144">
        <f>+EE675+EE613-EE583+(EC676-EE676)-EC675</f>
        <v>-491.30999999999767</v>
      </c>
      <c r="EF626" s="72"/>
      <c r="EG626" s="144">
        <f>+EG675+EG613-EG583+(EE676-EG676)-EE675</f>
        <v>-216.80000000000291</v>
      </c>
      <c r="EH626" s="72"/>
      <c r="EI626" s="144"/>
      <c r="EJ626" s="72"/>
      <c r="EK626" s="144">
        <f>+EK675+EK613-EK583+(EI676-EK676)-EI675</f>
        <v>-225.23254450409877</v>
      </c>
      <c r="EL626" s="72"/>
      <c r="EM626" s="144">
        <f>+EM675+EM613-EM583+(EK676-EM676)-EK675</f>
        <v>-215.43635268463549</v>
      </c>
      <c r="EN626" s="72"/>
      <c r="EO626" s="144">
        <f>+EO675+EO613-EO583+(EM676-EO676)-EM675</f>
        <v>-218.53635268463404</v>
      </c>
      <c r="EP626" s="72"/>
      <c r="EQ626" s="144">
        <f>+EQ675+EQ613-EQ583+(EO676-EQ676)-EO675</f>
        <v>-364</v>
      </c>
      <c r="ER626" s="72"/>
      <c r="ES626" s="144">
        <f>+ES675+ES613-ES583+(EQ676-ES676)-EQ675</f>
        <v>-364</v>
      </c>
      <c r="ET626" s="72"/>
      <c r="EU626" s="144">
        <f>+EU675+EU613-EU583+(ES676-EU676)-ES675</f>
        <v>-364</v>
      </c>
      <c r="EV626" s="72"/>
      <c r="EW626" s="144">
        <f>+EW675+EW613-EW583+(EU676-EW676)-EU675</f>
        <v>-364</v>
      </c>
      <c r="EX626" s="72"/>
      <c r="EY626" s="72"/>
      <c r="EZ626" s="335"/>
      <c r="FA626" s="72"/>
      <c r="FB626" s="9"/>
      <c r="FC626" s="11"/>
      <c r="FD626" s="144"/>
      <c r="FE626" s="72"/>
      <c r="FF626" s="144"/>
      <c r="FG626" s="72"/>
      <c r="FH626" s="144"/>
      <c r="FI626" s="72"/>
      <c r="FJ626" s="144"/>
      <c r="FK626" s="72"/>
      <c r="FL626" s="144"/>
      <c r="FM626" s="72"/>
      <c r="FN626" s="144"/>
      <c r="FO626" s="72"/>
      <c r="FP626" s="144"/>
      <c r="FQ626" s="72"/>
      <c r="FR626" s="144">
        <f>+FR675+FR613-FR583+(FP676-FR676)-FP675</f>
        <v>1593.0950000000012</v>
      </c>
      <c r="FS626" s="72"/>
      <c r="FT626" s="144">
        <f>+FT675+FT613-FT583+(FR676-FT676)-FR675</f>
        <v>1319.25</v>
      </c>
      <c r="FU626" s="72"/>
      <c r="FV626" s="144">
        <f>+FV675+FV613-FV583+(FT676-FV676)-FT675</f>
        <v>-2699.9639999999999</v>
      </c>
      <c r="FW626" s="72"/>
      <c r="FX626" s="144">
        <f>+FX675+FX613-FX583+(FV676-FX676)-FV675</f>
        <v>2736.16</v>
      </c>
      <c r="FY626" s="72"/>
      <c r="FZ626" s="144">
        <f>+FZ675+FZ613-FZ583+(FX676-FZ676)-FX675</f>
        <v>-894.63000000000102</v>
      </c>
      <c r="GA626" s="72"/>
      <c r="GB626" s="144">
        <f>+GB675+GB613-GB583+(FZ676-GB676)-FZ675</f>
        <v>1341.5999999999985</v>
      </c>
      <c r="GC626" s="72"/>
      <c r="GD626" s="144">
        <f>+GD675+GD613-GD583+(GB676-GD676)-GB675</f>
        <v>-2302.1999999999971</v>
      </c>
      <c r="GE626" s="72"/>
      <c r="GF626" s="144">
        <f>+GF675+GF613-GF583+(GD676-GF676)-GD675</f>
        <v>-3598.2969999999987</v>
      </c>
      <c r="GG626" s="72"/>
      <c r="GH626" s="144">
        <f>+GH675+GH613-GH583+(GF676-GH676)-GF675</f>
        <v>-2895.0840000000026</v>
      </c>
      <c r="GI626" s="72"/>
      <c r="GJ626" s="545">
        <f>+GJ675+GJ613-GJ583+(GH676-GJ676)-GH675</f>
        <v>-45.076000000000931</v>
      </c>
      <c r="GK626" s="532"/>
      <c r="GL626" s="545">
        <f>+GL675+GL613-GL583+(GJ676-GL676)-GJ675</f>
        <v>-1488.1399999999994</v>
      </c>
      <c r="GM626" s="532"/>
      <c r="GN626" s="545">
        <f>+GN675+GN613-GN583+(GL676-GN676)-GL675</f>
        <v>-810.14541073853616</v>
      </c>
      <c r="GO626" s="532"/>
      <c r="GP626" s="545">
        <f>+GP675+GP613-GP583+(GN676-GP676)-GN675</f>
        <v>-1473.4704817720485</v>
      </c>
      <c r="GQ626" s="532"/>
      <c r="GR626" s="144">
        <f>+GR675+GR613-GR583+(GP676-GR676)-GP675</f>
        <v>-1456</v>
      </c>
      <c r="GS626" s="532"/>
      <c r="GT626" s="144">
        <f>+GT675+GT613-GT583+(GR676-GT676)-GR675</f>
        <v>-1556</v>
      </c>
      <c r="GU626" s="72"/>
      <c r="GV626" s="144">
        <f>+GV675+GV613-GV583+(GT676-GV676)-GT675</f>
        <v>-1556.0000000000073</v>
      </c>
      <c r="GW626" s="72"/>
      <c r="GX626" s="144">
        <f>+GX675+GX613-GX583+(GV676-GX676)-GV675</f>
        <v>-1556</v>
      </c>
      <c r="GY626" s="72"/>
      <c r="GZ626" s="72"/>
      <c r="HA626" s="72"/>
      <c r="HB626" s="72"/>
      <c r="HC626"/>
      <c r="HD626"/>
      <c r="HE626"/>
      <c r="HF626"/>
      <c r="HG626"/>
      <c r="HH626"/>
      <c r="HI626" s="2"/>
    </row>
    <row r="627" spans="1:217" s="3" customFormat="1" ht="12.75" customHeight="1" collapsed="1" x14ac:dyDescent="0.2">
      <c r="B627" s="18"/>
      <c r="C627" s="139"/>
      <c r="D627" s="11"/>
      <c r="E627" s="139"/>
      <c r="F627" s="11"/>
      <c r="G627" s="139"/>
      <c r="H627" s="11"/>
      <c r="I627" s="139"/>
      <c r="J627" s="11"/>
      <c r="K627" s="139"/>
      <c r="L627" s="72"/>
      <c r="M627" s="139"/>
      <c r="N627" s="72"/>
      <c r="O627" s="139"/>
      <c r="P627" s="72"/>
      <c r="Q627" s="139"/>
      <c r="R627" s="72"/>
      <c r="S627" s="139"/>
      <c r="T627" s="72"/>
      <c r="U627" s="139"/>
      <c r="V627" s="72"/>
      <c r="W627" s="139"/>
      <c r="X627" s="72"/>
      <c r="Y627" s="139"/>
      <c r="Z627" s="72"/>
      <c r="AA627" s="139"/>
      <c r="AB627" s="72"/>
      <c r="AC627" s="139"/>
      <c r="AD627" s="72"/>
      <c r="AE627" s="139"/>
      <c r="AF627" s="72"/>
      <c r="AG627" s="139"/>
      <c r="AH627" s="72"/>
      <c r="AI627" s="139"/>
      <c r="AJ627" s="72"/>
      <c r="AK627" s="139"/>
      <c r="AL627" s="72"/>
      <c r="AM627" s="139"/>
      <c r="AN627" s="72"/>
      <c r="AO627" s="139"/>
      <c r="AP627" s="72"/>
      <c r="AQ627" s="139"/>
      <c r="AR627" s="72"/>
      <c r="AS627" s="139"/>
      <c r="AT627" s="72"/>
      <c r="AU627" s="139"/>
      <c r="AV627" s="72"/>
      <c r="AW627" s="139"/>
      <c r="AX627" s="72"/>
      <c r="AY627" s="139"/>
      <c r="AZ627" s="72"/>
      <c r="BA627" s="139"/>
      <c r="BB627" s="72"/>
      <c r="BC627" s="139"/>
      <c r="BD627" s="72"/>
      <c r="BE627" s="139"/>
      <c r="BF627" s="72"/>
      <c r="BG627" s="139"/>
      <c r="BH627" s="72"/>
      <c r="BI627" s="139"/>
      <c r="BJ627" s="72"/>
      <c r="BK627" s="139"/>
      <c r="BL627" s="72"/>
      <c r="BM627" s="139"/>
      <c r="BN627" s="72"/>
      <c r="BO627" s="139"/>
      <c r="BP627" s="72"/>
      <c r="BQ627" s="139"/>
      <c r="BR627" s="72"/>
      <c r="BS627" s="139"/>
      <c r="BT627" s="72"/>
      <c r="BU627" s="139"/>
      <c r="BV627" s="72"/>
      <c r="BW627" s="139"/>
      <c r="BX627" s="72"/>
      <c r="BY627" s="139"/>
      <c r="BZ627" s="72"/>
      <c r="CA627" s="139"/>
      <c r="CB627" s="72"/>
      <c r="CC627" s="139"/>
      <c r="CD627" s="72"/>
      <c r="CE627" s="139"/>
      <c r="CF627" s="72"/>
      <c r="CG627" s="139"/>
      <c r="CH627" s="72"/>
      <c r="CI627" s="139"/>
      <c r="CJ627" s="72"/>
      <c r="CK627" s="139"/>
      <c r="CL627" s="72"/>
      <c r="CM627" s="139"/>
      <c r="CN627" s="72"/>
      <c r="CO627" s="139"/>
      <c r="CP627" s="72"/>
      <c r="CQ627" s="139"/>
      <c r="CR627" s="694"/>
      <c r="CS627" s="694"/>
      <c r="CT627" s="72"/>
      <c r="CU627" s="139"/>
      <c r="CV627" s="72"/>
      <c r="CW627" s="139"/>
      <c r="CX627" s="72"/>
      <c r="CY627" s="139"/>
      <c r="CZ627" s="72"/>
      <c r="DA627" s="139"/>
      <c r="DB627" s="72"/>
      <c r="DC627" s="139"/>
      <c r="DD627" s="72"/>
      <c r="DE627" s="139"/>
      <c r="DF627" s="72"/>
      <c r="DG627" s="139"/>
      <c r="DH627" s="72"/>
      <c r="DI627" s="139"/>
      <c r="DJ627" s="72"/>
      <c r="DK627" s="139"/>
      <c r="DL627" s="72"/>
      <c r="DM627" s="139"/>
      <c r="DN627" s="72"/>
      <c r="DO627" s="139"/>
      <c r="DP627" s="72"/>
      <c r="DQ627" s="139"/>
      <c r="DR627" s="72"/>
      <c r="DS627" s="139"/>
      <c r="DT627" s="72"/>
      <c r="DU627" s="139"/>
      <c r="DV627" s="72"/>
      <c r="DW627" s="9"/>
      <c r="DX627" s="72"/>
      <c r="DY627" s="9"/>
      <c r="DZ627" s="72"/>
      <c r="EA627" s="9"/>
      <c r="EB627" s="72"/>
      <c r="EC627" s="9"/>
      <c r="ED627" s="72"/>
      <c r="EE627" s="9"/>
      <c r="EF627" s="72"/>
      <c r="EG627" s="9"/>
      <c r="EH627" s="72"/>
      <c r="EI627" s="9"/>
      <c r="EJ627" s="72"/>
      <c r="EK627" s="9"/>
      <c r="EL627" s="72"/>
      <c r="EM627" s="9"/>
      <c r="EN627" s="72"/>
      <c r="EO627" s="9"/>
      <c r="EP627" s="72"/>
      <c r="EQ627" s="9"/>
      <c r="ER627" s="72"/>
      <c r="ES627" s="9"/>
      <c r="ET627" s="72"/>
      <c r="EU627" s="9"/>
      <c r="EV627" s="72"/>
      <c r="EW627" s="9"/>
      <c r="EX627" s="72"/>
      <c r="EY627" s="72"/>
      <c r="EZ627" s="296"/>
      <c r="FA627" s="72"/>
      <c r="FB627" s="9"/>
      <c r="FC627" s="11"/>
      <c r="FD627" s="9"/>
      <c r="FE627" s="72"/>
      <c r="FF627" s="16"/>
      <c r="FG627" s="72"/>
      <c r="FH627" s="81"/>
      <c r="FI627" s="72"/>
      <c r="FJ627" s="75"/>
      <c r="FK627" s="72"/>
      <c r="FL627" s="75"/>
      <c r="FM627" s="72"/>
      <c r="FN627" s="75"/>
      <c r="FO627" s="72"/>
      <c r="FP627" s="74"/>
      <c r="FQ627" s="72"/>
      <c r="FR627" s="9"/>
      <c r="FS627" s="72"/>
      <c r="FT627" s="9"/>
      <c r="FU627" s="72"/>
      <c r="FV627" s="9"/>
      <c r="FW627" s="72"/>
      <c r="FX627" s="9"/>
      <c r="FY627" s="72"/>
      <c r="FZ627" s="9"/>
      <c r="GA627" s="72"/>
      <c r="GB627" s="9"/>
      <c r="GC627" s="72"/>
      <c r="GD627" s="9"/>
      <c r="GE627" s="72"/>
      <c r="GF627" s="9"/>
      <c r="GG627" s="72"/>
      <c r="GH627" s="9"/>
      <c r="GI627" s="72"/>
      <c r="GJ627" s="729"/>
      <c r="GK627" s="532"/>
      <c r="GL627" s="729"/>
      <c r="GM627" s="532"/>
      <c r="GN627" s="729"/>
      <c r="GO627" s="532"/>
      <c r="GP627" s="729"/>
      <c r="GQ627" s="532"/>
      <c r="GR627" s="9"/>
      <c r="GS627" s="532"/>
      <c r="GT627" s="9"/>
      <c r="GU627" s="72"/>
      <c r="GV627" s="9"/>
      <c r="GW627" s="72"/>
      <c r="GX627" s="9"/>
      <c r="GY627" s="72"/>
      <c r="GZ627" s="72"/>
      <c r="HA627" s="72"/>
      <c r="HB627" s="72"/>
      <c r="HC627"/>
      <c r="HD627"/>
      <c r="HE627"/>
      <c r="HF627"/>
      <c r="HG627"/>
      <c r="HH627"/>
      <c r="HI627" s="2"/>
    </row>
    <row r="628" spans="1:217" s="3" customFormat="1" ht="12.75" customHeight="1" x14ac:dyDescent="0.2">
      <c r="B628" s="182" t="s">
        <v>58</v>
      </c>
      <c r="C628" s="139"/>
      <c r="D628" s="11"/>
      <c r="E628" s="139"/>
      <c r="F628" s="11"/>
      <c r="G628" s="139"/>
      <c r="H628" s="11"/>
      <c r="I628" s="139"/>
      <c r="J628" s="11"/>
      <c r="K628" s="139"/>
      <c r="L628" s="72"/>
      <c r="M628" s="139"/>
      <c r="N628" s="72"/>
      <c r="O628" s="139"/>
      <c r="P628" s="72"/>
      <c r="Q628" s="139"/>
      <c r="R628" s="72"/>
      <c r="S628" s="139"/>
      <c r="T628" s="72"/>
      <c r="U628" s="139"/>
      <c r="V628" s="72"/>
      <c r="W628" s="139"/>
      <c r="X628" s="72"/>
      <c r="Y628" s="139"/>
      <c r="Z628" s="72"/>
      <c r="AA628" s="139"/>
      <c r="AB628" s="72"/>
      <c r="AC628" s="139"/>
      <c r="AD628" s="72"/>
      <c r="AE628" s="139"/>
      <c r="AF628" s="72"/>
      <c r="AG628" s="139"/>
      <c r="AH628" s="72"/>
      <c r="AI628" s="139"/>
      <c r="AJ628" s="72"/>
      <c r="AK628" s="139"/>
      <c r="AL628" s="72"/>
      <c r="AM628" s="139"/>
      <c r="AN628" s="72"/>
      <c r="AO628" s="139"/>
      <c r="AP628" s="72"/>
      <c r="AQ628" s="139"/>
      <c r="AR628" s="72"/>
      <c r="AS628" s="139"/>
      <c r="AT628" s="72"/>
      <c r="AU628" s="139"/>
      <c r="AV628" s="72"/>
      <c r="AW628" s="139"/>
      <c r="AX628" s="72"/>
      <c r="AY628" s="139"/>
      <c r="AZ628" s="72"/>
      <c r="BA628" s="139"/>
      <c r="BB628" s="72"/>
      <c r="BC628" s="139"/>
      <c r="BD628" s="72"/>
      <c r="BE628" s="139"/>
      <c r="BF628" s="72"/>
      <c r="BG628" s="139"/>
      <c r="BH628" s="72"/>
      <c r="BI628" s="139"/>
      <c r="BJ628" s="72"/>
      <c r="BK628" s="139"/>
      <c r="BL628" s="72"/>
      <c r="BM628" s="139"/>
      <c r="BN628" s="72"/>
      <c r="BO628" s="139"/>
      <c r="BP628" s="72"/>
      <c r="BQ628" s="139"/>
      <c r="BR628" s="72"/>
      <c r="BS628" s="139"/>
      <c r="BT628" s="72"/>
      <c r="BU628" s="139"/>
      <c r="BV628" s="72"/>
      <c r="BW628" s="139"/>
      <c r="BX628" s="72"/>
      <c r="BY628" s="139"/>
      <c r="BZ628" s="72"/>
      <c r="CA628" s="139"/>
      <c r="CB628" s="72"/>
      <c r="CC628" s="139"/>
      <c r="CD628" s="72"/>
      <c r="CE628" s="139"/>
      <c r="CF628" s="72"/>
      <c r="CG628" s="139"/>
      <c r="CH628" s="72"/>
      <c r="CI628" s="139"/>
      <c r="CJ628" s="72"/>
      <c r="CK628" s="139"/>
      <c r="CL628" s="72"/>
      <c r="CM628" s="139"/>
      <c r="CN628" s="72"/>
      <c r="CO628" s="139"/>
      <c r="CP628" s="72"/>
      <c r="CQ628" s="139"/>
      <c r="CR628" s="694"/>
      <c r="CS628" s="694"/>
      <c r="CT628" s="72"/>
      <c r="CU628" s="139"/>
      <c r="CV628" s="72"/>
      <c r="CW628" s="139"/>
      <c r="CX628" s="72"/>
      <c r="CY628" s="139"/>
      <c r="CZ628" s="72"/>
      <c r="DA628" s="139"/>
      <c r="DB628" s="72"/>
      <c r="DC628" s="139"/>
      <c r="DD628" s="72"/>
      <c r="DE628" s="139"/>
      <c r="DF628" s="72"/>
      <c r="DG628" s="139"/>
      <c r="DH628" s="72"/>
      <c r="DI628" s="139"/>
      <c r="DJ628" s="72"/>
      <c r="DK628" s="139"/>
      <c r="DL628" s="72"/>
      <c r="DM628" s="139"/>
      <c r="DN628" s="72"/>
      <c r="DO628" s="139"/>
      <c r="DP628" s="72"/>
      <c r="DQ628" s="139"/>
      <c r="DR628" s="72"/>
      <c r="DS628" s="139"/>
      <c r="DT628" s="72"/>
      <c r="DU628" s="139"/>
      <c r="DV628" s="72"/>
      <c r="DW628" s="9"/>
      <c r="DX628" s="72"/>
      <c r="DY628" s="9"/>
      <c r="DZ628" s="72"/>
      <c r="EA628" s="9"/>
      <c r="EB628" s="72"/>
      <c r="EC628" s="9"/>
      <c r="ED628" s="72"/>
      <c r="EE628" s="9"/>
      <c r="EF628" s="72"/>
      <c r="EG628" s="9"/>
      <c r="EH628" s="72"/>
      <c r="EI628" s="9"/>
      <c r="EJ628" s="72"/>
      <c r="EK628" s="9"/>
      <c r="EL628" s="72"/>
      <c r="EM628" s="9"/>
      <c r="EN628" s="72"/>
      <c r="EO628" s="9"/>
      <c r="EP628" s="72"/>
      <c r="EQ628" s="9"/>
      <c r="ER628" s="72"/>
      <c r="ES628" s="9"/>
      <c r="ET628" s="72"/>
      <c r="EU628" s="9"/>
      <c r="EV628" s="72"/>
      <c r="EW628" s="9"/>
      <c r="EX628" s="72"/>
      <c r="EY628" s="72"/>
      <c r="EZ628" s="296"/>
      <c r="FA628" s="72"/>
      <c r="FB628" s="9"/>
      <c r="FC628" s="11"/>
      <c r="FD628" s="9"/>
      <c r="FE628" s="72"/>
      <c r="FF628" s="16"/>
      <c r="FG628" s="72"/>
      <c r="FH628" s="81"/>
      <c r="FI628" s="72"/>
      <c r="FJ628" s="75"/>
      <c r="FK628" s="72"/>
      <c r="FL628" s="75"/>
      <c r="FM628" s="72"/>
      <c r="FN628" s="75"/>
      <c r="FO628" s="72"/>
      <c r="FP628" s="74"/>
      <c r="FQ628" s="72"/>
      <c r="FR628" s="9"/>
      <c r="FS628" s="72"/>
      <c r="FT628" s="9"/>
      <c r="FU628" s="72"/>
      <c r="FV628" s="9"/>
      <c r="FW628" s="72"/>
      <c r="FX628" s="9"/>
      <c r="FY628" s="72"/>
      <c r="FZ628" s="9"/>
      <c r="GA628" s="72"/>
      <c r="GB628" s="9"/>
      <c r="GC628" s="72"/>
      <c r="GD628" s="9"/>
      <c r="GE628" s="72"/>
      <c r="GF628" s="9"/>
      <c r="GG628" s="72"/>
      <c r="GH628" s="9"/>
      <c r="GI628" s="72"/>
      <c r="GJ628" s="9"/>
      <c r="GK628" s="72"/>
      <c r="GL628" s="9"/>
      <c r="GM628" s="72"/>
      <c r="GN628" s="9"/>
      <c r="GO628" s="72"/>
      <c r="GP628" s="9"/>
      <c r="GQ628" s="72"/>
      <c r="GR628" s="9"/>
      <c r="GS628" s="72"/>
      <c r="GT628" s="9"/>
      <c r="GU628" s="72"/>
      <c r="GV628" s="9"/>
      <c r="GW628" s="72"/>
      <c r="GX628" s="9"/>
      <c r="GY628" s="72"/>
      <c r="GZ628" s="72"/>
      <c r="HA628" s="72"/>
      <c r="HB628" s="72"/>
      <c r="HC628"/>
      <c r="HD628"/>
      <c r="HE628"/>
      <c r="HF628"/>
      <c r="HG628"/>
      <c r="HH628"/>
      <c r="HI628" s="2"/>
    </row>
    <row r="629" spans="1:217" s="3" customFormat="1" ht="12.75" customHeight="1" x14ac:dyDescent="0.2">
      <c r="B629" s="18" t="s">
        <v>254</v>
      </c>
      <c r="C629" s="75"/>
      <c r="D629" s="11"/>
      <c r="E629" s="75"/>
      <c r="F629" s="11"/>
      <c r="G629" s="75"/>
      <c r="H629" s="11"/>
      <c r="I629" s="75"/>
      <c r="J629" s="11"/>
      <c r="K629" s="75"/>
      <c r="L629" s="72"/>
      <c r="M629" s="75"/>
      <c r="N629" s="72"/>
      <c r="O629" s="75"/>
      <c r="P629" s="72"/>
      <c r="Q629" s="75"/>
      <c r="R629" s="72" t="str">
        <f>IF(ISERROR(Q629/I629),"NA",IF(OR(Q629/I629&gt;2,Q629/I629&lt;0.5),"NM",Q629/I629*100-100))</f>
        <v>NA</v>
      </c>
      <c r="S629" s="75"/>
      <c r="T629" s="72" t="str">
        <f>IF(ISERROR(S629/K629),"NA",IF(OR(S629/K629&gt;2,S629/K629&lt;0.5),"NM",S629/K629*100-100))</f>
        <v>NA</v>
      </c>
      <c r="U629" s="75">
        <f>(U613+U624)/U546*100</f>
        <v>21.946169772256731</v>
      </c>
      <c r="V629" s="72" t="str">
        <f>IF(ISERROR(U629/M629),"NA",IF(OR(U629/M629&gt;2,U629/M629&lt;0.5),"NM",U629/M629*100-100))</f>
        <v>NA</v>
      </c>
      <c r="W629" s="75">
        <f>(W613+W624)/W546*100</f>
        <v>98.447893569844794</v>
      </c>
      <c r="X629" s="72" t="str">
        <f>IF(ISERROR(W629/O629),"NA",IF(OR(W629/O629&gt;2,W629/O629&lt;0.5),"NM",W629/O629*100-100))</f>
        <v>NA</v>
      </c>
      <c r="Y629" s="75">
        <f>(Y613+Y624)/Y546*100</f>
        <v>121.93316195372749</v>
      </c>
      <c r="Z629" s="72" t="str">
        <f>IF(ISERROR(Y629/Q629),"NA",IF(OR(Y629/Q629&gt;2,Y629/Q629&lt;0.5),"NM",Y629/Q629*100-100))</f>
        <v>NA</v>
      </c>
      <c r="AA629" s="75">
        <f>(AA613+AA624)/AA546*100</f>
        <v>52.742616033755276</v>
      </c>
      <c r="AB629" s="72" t="str">
        <f>IF(ISERROR(AA629/S629),"NA",IF(OR(AA629/S629&gt;2,AA629/S629&lt;0.5),"NM",AA629/S629*100-100))</f>
        <v>NA</v>
      </c>
      <c r="AC629" s="75">
        <f>(AC613+AC624)/AC546*100</f>
        <v>42.652329749103941</v>
      </c>
      <c r="AD629" s="72">
        <f>IF(ISERROR(AC629/U629),"NA",IF(OR(AC629/U629&gt;2,AC629/U629&lt;0.5),"NM",AC629/U629*100-100))</f>
        <v>94.349766686954752</v>
      </c>
      <c r="AE629" s="75">
        <f>(AE613+AE624)/AE546*100</f>
        <v>48.513011152416361</v>
      </c>
      <c r="AF629" s="72" t="str">
        <f>IF(ISERROR(AE629/W629),"NA",IF(OR(AE629/W629&gt;2,AE629/W629&lt;0.5),"NM",AE629/W629*100-100))</f>
        <v>NM</v>
      </c>
      <c r="AG629" s="75">
        <f>(AG613+AG624)/AG546*100</f>
        <v>90.537261698440204</v>
      </c>
      <c r="AH629" s="72">
        <f>IF(ISERROR(AG629/Y629),"NA",IF(OR(AG629/Y629&gt;2,AG629/Y629&lt;0.5),"NM",AG629/Y629*100-100))</f>
        <v>-25.748450833417863</v>
      </c>
      <c r="AI629" s="75">
        <f>(AI613+AI624)/AI546*100</f>
        <v>63.807890222984568</v>
      </c>
      <c r="AJ629" s="72">
        <f>IF(ISERROR(AI629/AA629),"NA",IF(OR(AI629/AA629&gt;2,AI629/AA629&lt;0.5),"NM",AI629/AA629*100-100))</f>
        <v>20.979759862778735</v>
      </c>
      <c r="AK629" s="75">
        <f>(AK613+AK624)/AK546*100</f>
        <v>50.536193029490619</v>
      </c>
      <c r="AL629" s="72">
        <f>IF(ISERROR(AK629/AC629),"NA",IF(OR(AK629/AC629&gt;2,AK629/AC629&lt;0.5),"NM",AK629/AC629*100-100))</f>
        <v>18.484015590150278</v>
      </c>
      <c r="AM629" s="75">
        <f>(AM613+AM624)/AM546*100</f>
        <v>50.681198910081747</v>
      </c>
      <c r="AN629" s="72">
        <f>IF(ISERROR(AM629/AE629),"NA",IF(OR(AM629/AE629&gt;2,AM629/AE629&lt;0.5),"NM",AM629/AE629*100-100))</f>
        <v>4.4692912399386273</v>
      </c>
      <c r="AO629" s="75">
        <f>(AO613+AO624)/AO546*100</f>
        <v>90.688938618925832</v>
      </c>
      <c r="AP629" s="72">
        <f>IF(ISERROR(AO629/AG629),"NA",IF(OR(AO629/AG629&gt;2,AO629/AG629&lt;0.5),"NM",AO629/AG629*100-100))</f>
        <v>0.16752982986257337</v>
      </c>
      <c r="AQ629" s="75">
        <f>(AQ613+AQ624)/AQ546*100</f>
        <v>41.097424412094064</v>
      </c>
      <c r="AR629" s="72">
        <f>IF(ISERROR(AQ629/AI629),"NA",IF(OR(AQ629/AI629&gt;2,AQ629/AI629&lt;0.5),"NM",AQ629/AI629*100-100))</f>
        <v>-35.591939698250442</v>
      </c>
      <c r="AS629" s="75">
        <f>(AS613+AS624)/AS546*100</f>
        <v>57.280385078219012</v>
      </c>
      <c r="AT629" s="72">
        <f>IF(ISERROR(AS629/AK629),"NA",IF(OR(AS629/AK629&gt;2,AS629/AK629&lt;0.5),"NM",AS629/AK629*100-100))</f>
        <v>13.345271268836555</v>
      </c>
      <c r="AU629" s="75">
        <f>(AU613+AU624)/AU546*100</f>
        <v>61.138370951913643</v>
      </c>
      <c r="AV629" s="72">
        <f>IF(ISERROR(AU629/AM629),"NA",IF(OR(AU629/AM629&gt;2,AU629/AM629&lt;0.5),"NM",AU629/AM629*100-100))</f>
        <v>20.633237308345713</v>
      </c>
      <c r="AW629" s="75">
        <f>(AW613+AW624)/AW546*100</f>
        <v>132.40753246753246</v>
      </c>
      <c r="AX629" s="72">
        <f>IF(ISERROR(AW629/AO629),"NA",IF(OR(AW629/AO629&gt;2,AW629/AO629&lt;0.5),"NM",AW629/AO629*100-100))</f>
        <v>46.001854783975148</v>
      </c>
      <c r="AY629" s="75">
        <f>(AY613+AY624)/AY546*100</f>
        <v>100.3220611916264</v>
      </c>
      <c r="AZ629" s="72" t="str">
        <f>IF(ISERROR(AY629/AQ629),"NA",IF(OR(AY629/AQ629&gt;2,AY629/AQ629&lt;0.5),"NM",AY629/AQ629*100-100))</f>
        <v>NM</v>
      </c>
      <c r="BA629" s="75">
        <f>(BA613+BA624)/BA546*100</f>
        <v>94.126506024096386</v>
      </c>
      <c r="BB629" s="72">
        <f>IF(ISERROR(BA629/AS629),"NA",IF(OR(BA629/AS629&gt;2,BA629/AS629&lt;0.5),"NM",BA629/AS629*100-100))</f>
        <v>64.325896021059037</v>
      </c>
      <c r="BC629" s="75">
        <f>(BC613+BC624)/BC546*100</f>
        <v>78.914141414141412</v>
      </c>
      <c r="BD629" s="72">
        <f>IF(ISERROR(BC629/AU629),"NA",IF(OR(BC629/AU629&gt;2,BC629/AU629&lt;0.5),"NM",BC629/AU629*100-100))</f>
        <v>29.074655057801124</v>
      </c>
      <c r="BE629" s="75">
        <f>(BE613+BE624)/BE546*100</f>
        <v>147.42438692098091</v>
      </c>
      <c r="BF629" s="72">
        <f>IF(ISERROR(BE629/AW629),"NA",IF(OR(BE629/AW629&gt;2,BE629/AW629&lt;0.5),"NM",BE629/AW629*100-100))</f>
        <v>11.341389854184243</v>
      </c>
      <c r="BG629" s="75">
        <f>(BG613+BG624)/BG546*100</f>
        <v>93.836131295414688</v>
      </c>
      <c r="BH629" s="72">
        <f>IF(ISERROR(BG629/AY629),"NA",IF(OR(BG629/AY629&gt;2,BG629/AY629&lt;0.5),"NM",BG629/AY629*100-100))</f>
        <v>-6.4651082914084697</v>
      </c>
      <c r="BI629" s="75">
        <f>(BI613+BI624)/BI546*100</f>
        <v>92.260442260442261</v>
      </c>
      <c r="BJ629" s="72">
        <f>IF(ISERROR(BI629/BA629),"NA",IF(OR(BI629/BA629&gt;2,BI629/BA629&lt;0.5),"NM",BI629/BA629*100-100))</f>
        <v>-1.9825061425061392</v>
      </c>
      <c r="BK629" s="75">
        <f>(BK613+BK624)/BK546*100</f>
        <v>80.731969860064595</v>
      </c>
      <c r="BL629" s="72">
        <f>IF(ISERROR(BK629/BC629),"NA",IF(OR(BK629/BC629&gt;2,BK629/BC629&lt;0.5),"NM",BK629/BC629*100-100))</f>
        <v>2.3035522066738707</v>
      </c>
      <c r="BM629" s="75">
        <f>(BM613+BM624)/BM546*100</f>
        <v>160.96713021491783</v>
      </c>
      <c r="BN629" s="72">
        <f>IF(ISERROR(BM629/BE629),"NA",IF(OR(BM629/BE629&gt;2,BM629/BE629&lt;0.5),"NM",BM629/BE629*100-100))</f>
        <v>9.186230023934769</v>
      </c>
      <c r="BO629" s="75">
        <f>(BO613+BO624)/BO546*100</f>
        <v>126.86131386861315</v>
      </c>
      <c r="BP629" s="72">
        <f>IF(ISERROR(BO629/BG629),"NA",IF(OR(BO629/BG629&gt;2,BO629/BG629&lt;0.5),"NM",BO629/BG629*100-100))</f>
        <v>35.194527009248333</v>
      </c>
      <c r="BQ629" s="75">
        <f>(BQ613+BQ624)/BQ546*100</f>
        <v>104.13711583924351</v>
      </c>
      <c r="BR629" s="72">
        <f>IF(ISERROR(BQ629/BI629),"NA",IF(OR(BQ629/BI629&gt;2,BQ629/BI629&lt;0.5),"NM",BQ629/BI629*100-100))</f>
        <v>12.872985743201355</v>
      </c>
      <c r="BS629" s="75">
        <f>(BS613+BS624)/BS546*100</f>
        <v>87.616822429906534</v>
      </c>
      <c r="BT629" s="72">
        <f>IF(ISERROR(BS629/BK629),"NA",IF(OR(BS629/BK629&gt;2,BS629/BK629&lt;0.5),"NM",BS629/BK629*100-100))</f>
        <v>8.528037383177562</v>
      </c>
      <c r="BU629" s="75">
        <f>(BU613+BU624)/BU546*100</f>
        <v>-28.642142025611172</v>
      </c>
      <c r="BV629" s="72" t="str">
        <f>IF(ISERROR(BU629/BM629),"NA",IF(OR(BU629/BM629&gt;2,BU629/BM629&lt;0.5),"NM",BU629/BM629*100-100))</f>
        <v>NM</v>
      </c>
      <c r="BW629" s="75">
        <f>(BW613+BW624)/BW546*100</f>
        <v>0</v>
      </c>
      <c r="BX629" s="72" t="str">
        <f>IF(ISERROR(BW629/BO629),"NA",IF(OR(BW629/BO629&gt;2,BW629/BO629&lt;0.5),"NM",BW629/BO629*100-100))</f>
        <v>NM</v>
      </c>
      <c r="BY629" s="75">
        <f>(BY613+BY624)/BY546*100</f>
        <v>0</v>
      </c>
      <c r="BZ629" s="72" t="str">
        <f>IF(ISERROR(BY629/BQ629),"NA",IF(OR(BY629/BQ629&gt;2,BY629/BQ629&lt;0.5),"NM",BY629/BQ629*100-100))</f>
        <v>NM</v>
      </c>
      <c r="CA629" s="75">
        <f>(CA613+CA624)/CA546*100</f>
        <v>0</v>
      </c>
      <c r="CB629" s="72" t="str">
        <f>IF(ISERROR(CA629/BS629),"NA",IF(OR(CA629/BS629&gt;2,CA629/BS629&lt;0.5),"NM",CA629/BS629*100-100))</f>
        <v>NM</v>
      </c>
      <c r="CC629" s="75">
        <f>(CC613+CC624)/CC546*100</f>
        <v>57.865831842576021</v>
      </c>
      <c r="CD629" s="72" t="str">
        <f>IF(ISERROR(CC629/BU629),"NA",IF(OR(CC629/BU629&gt;2,CC629/BU629&lt;0.5),"NM",CC629/BU629*100-100))</f>
        <v>NM</v>
      </c>
      <c r="CE629" s="75">
        <f>(CE613+CE624)/CE546*100</f>
        <v>0</v>
      </c>
      <c r="CF629" s="72" t="str">
        <f>IF(ISERROR(CE629/BW629),"NA",IF(OR(CE629/BW629&gt;2,CE629/BW629&lt;0.5),"NM",CE629/BW629*100-100))</f>
        <v>NA</v>
      </c>
      <c r="CG629" s="75">
        <f>(CG613+CG624)/CG546*100</f>
        <v>0</v>
      </c>
      <c r="CH629" s="72" t="str">
        <f>IF(ISERROR(CG629/BY629),"NA",IF(OR(CG629/BY629&gt;2,CG629/BY629&lt;0.5),"NM",CG629/BY629*100-100))</f>
        <v>NA</v>
      </c>
      <c r="CI629" s="75">
        <f>(CI613+CI624)/CI546*100</f>
        <v>0</v>
      </c>
      <c r="CJ629" s="72" t="str">
        <f>IF(ISERROR(CI629/CA629),"NA",IF(OR(CI629/CA629&gt;2,CI629/CA629&lt;0.5),"NM",CI629/CA629*100-100))</f>
        <v>NA</v>
      </c>
      <c r="CK629" s="75">
        <f>(CK613+CK624)/CK546*100</f>
        <v>70.695044472681062</v>
      </c>
      <c r="CL629" s="72">
        <f>IF(ISERROR(CK629/CC629),"NA",IF(OR(CK629/CC629&gt;2,CK629/CC629&lt;0.5),"NM",CK629/CC629*100-100))</f>
        <v>22.170618172407714</v>
      </c>
      <c r="CM629" s="75">
        <f>(CM613+CM624)/CM546*100</f>
        <v>0</v>
      </c>
      <c r="CN629" s="72" t="str">
        <f>IF(ISERROR(CM629/CE629),"NA",IF(OR(CM629/CE629&gt;2,CM629/CE629&lt;0.5),"NM",CM629/CE629*100-100))</f>
        <v>NA</v>
      </c>
      <c r="CO629" s="75">
        <f>(CO613+CO624)/CO546*100</f>
        <v>0</v>
      </c>
      <c r="CP629" s="72" t="str">
        <f>IF(ISERROR(CO629/CG629),"NA",IF(OR(CO629/CG629&gt;2,CO629/CG629&lt;0.5),"NM",CO629/CG629*100-100))</f>
        <v>NA</v>
      </c>
      <c r="CQ629" s="75">
        <f>(CQ613+CQ624)/CQ546*100</f>
        <v>171.25242607603607</v>
      </c>
      <c r="CR629" s="72" t="str">
        <f>IF(ISERROR(CQ629/CI629),"NA",IF(OR(CQ629/CI629&gt;2,CQ629/CI629&lt;0.5),"NM",CQ629/CI629*100-100))</f>
        <v>NA</v>
      </c>
      <c r="CS629" s="75">
        <f>(CS613+CS624)/CS546*100</f>
        <v>101.80901216971823</v>
      </c>
      <c r="CT629" s="72">
        <f>IF(ISERROR(CS629/CK629),"NA",IF(OR(CS629/CK629&gt;2,CS629/CK629&lt;0.5),"NM",CS629/CK629*100-100))</f>
        <v>44.011525742883777</v>
      </c>
      <c r="CU629" s="75">
        <f>(CU613+CU624)/CU546*100</f>
        <v>30.227918505531708</v>
      </c>
      <c r="CV629" s="72" t="str">
        <f>IF(ISERROR(CU629/CM629),"NA",IF(OR(CU629/CM629&gt;2,CU629/CM629&lt;0.5),"NM",CU629/CM629*100-100))</f>
        <v>NA</v>
      </c>
      <c r="CW629" s="75">
        <f>(CW613+CW624)/CW546*100</f>
        <v>36.67302332404283</v>
      </c>
      <c r="CX629" s="72" t="str">
        <f>IF(ISERROR(CW629/CO629),"NA",IF(OR(CW629/CO629&gt;2,CW629/CO629&lt;0.5),"NM",CW629/CO629*100-100))</f>
        <v>NA</v>
      </c>
      <c r="CY629" s="75">
        <f>(CY613+CY624)/CY546*100</f>
        <v>19.277727798483486</v>
      </c>
      <c r="CZ629" s="72" t="str">
        <f>IF(ISERROR(CY629/CQ629),"NA",IF(OR(CY629/CQ629&gt;2,CY629/CQ629&lt;0.5),"NM",CY629/CQ629*100-100))</f>
        <v>NM</v>
      </c>
      <c r="DA629" s="75">
        <f>(DA613+DA624)/DA546*100</f>
        <v>88.771719592570406</v>
      </c>
      <c r="DB629" s="72">
        <f>IF(ISERROR(DA629/CS629),"NA",IF(OR(DA629/CS629&gt;2,DA629/CS629&lt;0.5),"NM",DA629/CS629*100-100))</f>
        <v>-12.805637044601042</v>
      </c>
      <c r="DC629" s="75">
        <f>(DC613+DC624)/DC546*100</f>
        <v>17.378962603296138</v>
      </c>
      <c r="DD629" s="72">
        <f>IF(ISERROR(DC629/CU629),"NA",IF(OR(DC629/CU629&gt;2,DC629/CU629&lt;0.5),"NM",DC629/CU629*100-100))</f>
        <v>-42.506915915775714</v>
      </c>
      <c r="DE629" s="75">
        <f>(DE613+DE624)/DE546*100</f>
        <v>39.857129773788806</v>
      </c>
      <c r="DF629" s="72">
        <f>IF(ISERROR(DE629/CW629),"NA",IF(OR(DE629/CW629&gt;2,DE629/CW629&lt;0.5),"NM",DE629/CW629*100-100))</f>
        <v>8.6824214671673303</v>
      </c>
      <c r="DG629" s="75">
        <f>(DG613+DG624)/DG546*100</f>
        <v>31.706534422403731</v>
      </c>
      <c r="DH629" s="72">
        <f>IF(ISERROR(DG629/CY629),"NA",IF(OR(DG629/CY629&gt;2,DG629/CY629&lt;0.5),"NM",DG629/CY629*100-100))</f>
        <v>64.472362893815614</v>
      </c>
      <c r="DI629" s="75">
        <f>(DI613+DI624)/DI546*100</f>
        <v>47.302588145242311</v>
      </c>
      <c r="DJ629" s="72">
        <f>IF(ISERROR(DI629/DA629),"NA",IF(OR(DI629/DA629&gt;2,DI629/DA629&lt;0.5),"NM",DI629/DA629*100-100))</f>
        <v>-46.714349612304659</v>
      </c>
      <c r="DK629" s="75">
        <f>(DK613+DK624)/DK546*100</f>
        <v>43.525286343612336</v>
      </c>
      <c r="DL629" s="72" t="str">
        <f>IF(ISERROR(DK629/DC629),"NA",IF(OR(DK629/DC629&gt;2,DK629/DC629&lt;0.5),"NM",DK629/DC629*100-100))</f>
        <v>NM</v>
      </c>
      <c r="DM629" s="75">
        <f>(DM613+DM624)/DM546*100</f>
        <v>42.024893435635121</v>
      </c>
      <c r="DN629" s="72">
        <f t="shared" ref="DN629:DZ630" si="2943">IF(ISERROR(DM629/DE629),"NA",IF(OR(DM629/DE629&gt;2,DM629/DE629&lt;0.5),"NM",DM629/DE629*100-100))</f>
        <v>5.4388353455192799</v>
      </c>
      <c r="DO629" s="75">
        <f>(DO613+DO624)/DO546*100</f>
        <v>47.74616876818623</v>
      </c>
      <c r="DP629" s="72">
        <f t="shared" si="2943"/>
        <v>50.587787779319541</v>
      </c>
      <c r="DQ629" s="75">
        <f>(DQ613+DQ624)/DQ546*100</f>
        <v>51.949848331648127</v>
      </c>
      <c r="DR629" s="72">
        <f t="shared" si="2943"/>
        <v>9.82453681421498</v>
      </c>
      <c r="DS629" s="75">
        <f>(DS613+DS624)/DS546*100</f>
        <v>39.524653312788907</v>
      </c>
      <c r="DT629" s="72">
        <f t="shared" si="2943"/>
        <v>-9.1915145583196249</v>
      </c>
      <c r="DU629" s="75">
        <f>(DU613+DU624)/DU546*100</f>
        <v>37.933481481481479</v>
      </c>
      <c r="DV629" s="72">
        <f t="shared" si="2943"/>
        <v>-9.7356866839412817</v>
      </c>
      <c r="DW629" s="75">
        <f>(DW613+DW624)/DW546*100</f>
        <v>46.004684684684683</v>
      </c>
      <c r="DX629" s="72">
        <f t="shared" si="2943"/>
        <v>-3.6473797341869982</v>
      </c>
      <c r="DY629" s="75">
        <f>(DY613+DY624)/DY546*100</f>
        <v>63.184062850729518</v>
      </c>
      <c r="DZ629" s="72">
        <f t="shared" si="2943"/>
        <v>21.625115144441025</v>
      </c>
      <c r="EA629" s="75">
        <f>(EA613+EA624)/EA546*100</f>
        <v>68.723169508525586</v>
      </c>
      <c r="EB629" s="72">
        <f>IF(ISERROR(EA629/DS629),"NA",IF(OR(EA629/DS629&gt;2,EA629/DS629&lt;0.5),"NM",EA629/DS629*100-100))</f>
        <v>73.874186737746754</v>
      </c>
      <c r="EC629" s="75">
        <f>(EC613+EC624)/EC546*100</f>
        <v>82.278648974668272</v>
      </c>
      <c r="ED629" s="72" t="str">
        <f>IF(ISERROR(EC629/DU629),"NA",IF(OR(EC629/DU629&gt;2,EC629/DU629&lt;0.5),"NM",EC629/DU629*100-100))</f>
        <v>NM</v>
      </c>
      <c r="EE629" s="75">
        <f>(EE613+EE624)/EE546*100</f>
        <v>78.475666525603046</v>
      </c>
      <c r="EF629" s="72">
        <f>IF(ISERROR(EE629/DW629),"NA",IF(OR(EE629/DW629&gt;2,EE629/DW629&lt;0.5),"NM",EE629/DW629*100-100))</f>
        <v>70.581902828970385</v>
      </c>
      <c r="EG629" s="75">
        <f>(EG613+EG624)/EG546*100</f>
        <v>87.622571692876974</v>
      </c>
      <c r="EH629" s="72">
        <f>IF(ISERROR(EG629/DY629),"NA",IF(OR(EG629/DY629&gt;2,EG629/DY629&lt;0.5),"NM",EG629/DY629*100-100))</f>
        <v>38.678280154099497</v>
      </c>
      <c r="EI629" s="75">
        <f>(EI613+EI624)/EI546*100</f>
        <v>51.709453952730236</v>
      </c>
      <c r="EJ629" s="72">
        <f>IF(ISERROR(EI629/EA629),"NA",IF(OR(EI629/EA629&gt;2,EI629/EA629&lt;0.5),"NM",EI629/EA629*100-100))</f>
        <v>-24.756884290216973</v>
      </c>
      <c r="EK629" s="75">
        <f>(EK613+EK624)/EK546*100</f>
        <v>69.175870404365739</v>
      </c>
      <c r="EL629" s="72">
        <f>IF(ISERROR(EK629/EC629),"NA",IF(OR(EK629/EC629&gt;2,EK629/EC629&lt;0.5),"NM",EK629/EC629*100-100))</f>
        <v>-15.924882984328761</v>
      </c>
      <c r="EM629" s="75">
        <f>(EM613+EM624)/EM546*100</f>
        <v>48.059774776153077</v>
      </c>
      <c r="EN629" s="72">
        <f>IF(ISERROR(EM629/EE629),"NA",IF(OR(EM629/EE629&gt;2,EM629/EE629&lt;0.5),"NM",EM629/EE629*100-100))</f>
        <v>-38.75837325896002</v>
      </c>
      <c r="EO629" s="75">
        <f>(EO613+EO624)/EO546*100</f>
        <v>54.041621972062551</v>
      </c>
      <c r="EP629" s="72">
        <f>IF(ISERROR(EO629/EG629),"NA",IF(OR(EO629/EG629&gt;2,EO629/EG629&lt;0.5),"NM",EO629/EG629*100-100))</f>
        <v>-38.324542491765612</v>
      </c>
      <c r="EQ629" s="75">
        <f>(EQ613+EQ625)/EQ546*100</f>
        <v>56.575561978807485</v>
      </c>
      <c r="ER629" s="72">
        <f t="shared" ref="ER629:ER630" si="2944">IF(ISERROR(EQ629/EI629),"NA",IF(OR(EQ629/EI629&gt;2,EQ629/EI629&lt;0.5),"NM",EQ629/EI629*100-100))</f>
        <v>9.4104803940214765</v>
      </c>
      <c r="ES629" s="75">
        <f>(ES613+ES625)/ES546*100</f>
        <v>56.043952770840889</v>
      </c>
      <c r="ET629" s="72">
        <f t="shared" ref="ET629:ET630" si="2945">IF(ISERROR(ES629/EK629),"NA",IF(OR(ES629/EK629&gt;2,ES629/EK629&lt;0.5),"NM",ES629/EK629*100-100))</f>
        <v>-18.983378968363638</v>
      </c>
      <c r="EU629" s="75">
        <f>(EU613+EU625)/EU546*100</f>
        <v>56.464756899252009</v>
      </c>
      <c r="EV629" s="72">
        <f t="shared" ref="EV629:EV630" si="2946">IF(ISERROR(EU629/EM629),"NA",IF(OR(EU629/EM629&gt;2,EU629/EM629&lt;0.5),"NM",EU629/EM629*100-100))</f>
        <v>17.488600731581911</v>
      </c>
      <c r="EW629" s="75">
        <f>(EW613+EW625)/EW546*100</f>
        <v>62.409171192835004</v>
      </c>
      <c r="EX629" s="72">
        <f t="shared" ref="EX629:EX630" si="2947">IF(ISERROR(EW629/EO629),"NA",IF(OR(EW629/EO629&gt;2,EW629/EO629&lt;0.5),"NM",EW629/EO629*100-100))</f>
        <v>15.48352716929584</v>
      </c>
      <c r="EY629" s="72"/>
      <c r="EZ629" s="296"/>
      <c r="FA629" s="72"/>
      <c r="FB629" s="9"/>
      <c r="FC629" s="11"/>
      <c r="FD629" s="9"/>
      <c r="FE629" s="72" t="str">
        <f>IF(ISERROR(FD629/FB629),"NA",IF(OR(FD629/FB629&gt;2,FD629/FB629&lt;0.5),"NM",FD629/FB629*100-100))</f>
        <v>NA</v>
      </c>
      <c r="FF629" s="16"/>
      <c r="FG629" s="72" t="str">
        <f>IF(ISERROR(FF629/FD629),"NA",IF(OR(FF629/FD629&gt;2,FF629/FD629&lt;0.5),"NM",FF629/FD629*100-100))</f>
        <v>NA</v>
      </c>
      <c r="FH629" s="81"/>
      <c r="FI629" s="72" t="str">
        <f>IF(ISERROR(FH629/FF629),"NA",IF(OR(FH629/FF629&gt;2,FH629/FF629&lt;0.5),"NM",FH629/FF629*100-100))</f>
        <v>NA</v>
      </c>
      <c r="FJ629" s="75">
        <f>(FJ613+FJ624)/FJ546*100</f>
        <v>158.3306283329469</v>
      </c>
      <c r="FK629" s="72" t="str">
        <f>IF(ISERROR(FJ629/FH629),"NA",IF(OR(FJ629/FH629&gt;2,FJ629/FH629&lt;0.5),"NM",FJ629/FH629*100-100))</f>
        <v>NA</v>
      </c>
      <c r="FL629" s="75">
        <f>(FL613+FL624)/FL546*100</f>
        <v>122.09151582080955</v>
      </c>
      <c r="FM629" s="72">
        <f>IF(ISERROR(FL629/FJ629),"NA",IF(OR(FL629/FJ629&gt;2,FL629/FJ629&lt;0.5),"NM",FL629/FJ629*100-100))</f>
        <v>-22.888251561745605</v>
      </c>
      <c r="FN629" s="75">
        <f>(FN613+FN624)/FN546*100</f>
        <v>114.2260883133094</v>
      </c>
      <c r="FO629" s="72">
        <f>IF(ISERROR(FN629/FL629),"NA",IF(OR(FN629/FL629&gt;2,FN629/FL629&lt;0.5),"NM",FN629/FL629*100-100))</f>
        <v>-6.4422392126280386</v>
      </c>
      <c r="FP629" s="75">
        <f>(FP613+FP624)/FP546*100</f>
        <v>121.04205118215687</v>
      </c>
      <c r="FQ629" s="72">
        <f>IF(ISERROR(FP629/FN629),"NA",IF(OR(FP629/FN629&gt;2,FP629/FN629&lt;0.5),"NM",FP629/FN629*100-100))</f>
        <v>5.9670806988960692</v>
      </c>
      <c r="FR629" s="75">
        <f>(FR613+FR624)/FR546*100</f>
        <v>130.72460241976512</v>
      </c>
      <c r="FS629" s="72">
        <f>IF(ISERROR(FR629/FP629),"NA",IF(OR(FR629/FP629&gt;2,FR629/FP629&lt;0.5),"NM",FR629/FP629*100-100))</f>
        <v>7.9993284507686724</v>
      </c>
      <c r="FT629" s="75">
        <f>(FT613+FT624)/FT546*100</f>
        <v>129.54077505698947</v>
      </c>
      <c r="FU629" s="72">
        <f>IF(ISERROR(FT629/FR629),"NA",IF(OR(FT629/FR629&gt;2,FT629/FR629&lt;0.5),"NM",FT629/FR629*100-100))</f>
        <v>-0.90558880337940195</v>
      </c>
      <c r="FV629" s="75">
        <f>(FV613+FV624)/FV546*100</f>
        <v>-347.78672533920059</v>
      </c>
      <c r="FW629" s="72" t="str">
        <f>IF(ISERROR(FV629/FT629),"NA",IF(OR(FV629/FT629&gt;2,FV629/FT629&lt;0.5),"NM",FV629/FT629*100-100))</f>
        <v>NM</v>
      </c>
      <c r="FX629" s="75">
        <f>(FX613+FX624)/FX546*100</f>
        <v>30.179794914241043</v>
      </c>
      <c r="FY629" s="72" t="str">
        <f>IF(ISERROR(FX629/FV629),"NA",IF(OR(FX629/FV629&gt;2,FX629/FV629&lt;0.5),"NM",FX629/FV629*100-100))</f>
        <v>NM</v>
      </c>
      <c r="FZ629" s="75">
        <f>(FZ613+FZ624)/FZ546*100</f>
        <v>27.445921614088743</v>
      </c>
      <c r="GA629" s="72">
        <f>IF(ISERROR(FZ629/FX629),"NA",IF(OR(FZ629/FX629&gt;2,FZ629/FX629&lt;0.5),"NM",FZ629/FX629*100-100))</f>
        <v>-9.0586211997824364</v>
      </c>
      <c r="GB629" s="75">
        <f>(GB613+GB624)/GB546*100</f>
        <v>68.993012741471432</v>
      </c>
      <c r="GC629" s="72" t="str">
        <f>IF(ISERROR(GB629/FZ629),"NA",IF(OR(GB629/FZ629&gt;2,GB629/FZ629&lt;0.5),"NM",GB629/FZ629*100-100))</f>
        <v>NM</v>
      </c>
      <c r="GD629" s="75">
        <f>(GD613+GD624)/GD546*100</f>
        <v>53.657407407407412</v>
      </c>
      <c r="GE629" s="72">
        <f>IF(ISERROR(GD629/GB629),"NA",IF(OR(GD629/GB629&gt;2,GD629/GB629&lt;0.5),"NM",GD629/GB629*100-100))</f>
        <v>-22.227765863086958</v>
      </c>
      <c r="GF629" s="75">
        <f>(GF613+GF624)/GF546*100</f>
        <v>32.371951474586908</v>
      </c>
      <c r="GG629" s="72">
        <f>IF(ISERROR(GF629/GD629),"NA",IF(OR(GF629/GD629&gt;2,GF629/GD629&lt;0.5),"NM",GF629/GD629*100-100))</f>
        <v>-39.6691844822194</v>
      </c>
      <c r="GH629" s="75">
        <f>(GH613+GH624)/GH546*100</f>
        <v>46.80603062426384</v>
      </c>
      <c r="GI629" s="72">
        <f t="shared" ref="GI629:GU630" si="2948">IF(ISERROR(GH629/GF629),"NA",IF(OR(GH629/GF629&gt;2,GH629/GF629&lt;0.5),"NM",GH629/GF629*100-100))</f>
        <v>44.588226820394738</v>
      </c>
      <c r="GJ629" s="75">
        <f>(GJ613+GJ624)/GJ546*100</f>
        <v>44.975779737577973</v>
      </c>
      <c r="GK629" s="72">
        <f t="shared" si="2948"/>
        <v>-3.9102886151108152</v>
      </c>
      <c r="GL629" s="75">
        <f>(GL613+GL624)/GL546*100</f>
        <v>78.864131099425208</v>
      </c>
      <c r="GM629" s="72">
        <f t="shared" si="2948"/>
        <v>75.348001879182505</v>
      </c>
      <c r="GN629" s="75">
        <f>(GN613+GN624)/GN546*100</f>
        <v>54.439848055081654</v>
      </c>
      <c r="GO629" s="72">
        <f t="shared" si="2948"/>
        <v>-30.970078163356035</v>
      </c>
      <c r="GP629" s="75">
        <f>(GP613+GP624)/GP546*100</f>
        <v>57.413686021496666</v>
      </c>
      <c r="GQ629" s="72">
        <f t="shared" si="2948"/>
        <v>5.462612539634776</v>
      </c>
      <c r="GR629" s="75">
        <f>(GR613+GR625)/GR546*100</f>
        <v>58.576784574870821</v>
      </c>
      <c r="GS629" s="72">
        <f t="shared" si="2948"/>
        <v>2.0258210785119672</v>
      </c>
      <c r="GT629" s="75">
        <f>(GT613+GT625)/GT546*100</f>
        <v>61.767930701036342</v>
      </c>
      <c r="GU629" s="72">
        <f t="shared" si="2948"/>
        <v>5.4478000957643928</v>
      </c>
      <c r="GV629" s="75">
        <f>(GV613+GV625)/GV546*100</f>
        <v>63.078026361217496</v>
      </c>
      <c r="GW629" s="72">
        <f>IF(ISERROR(GV629/GT629),"NA",IF(OR(GV629/GT629&gt;2,GV629/GT629&lt;0.5),"NM",GV629/GT629*100-100))</f>
        <v>2.1209965192490614</v>
      </c>
      <c r="GX629" s="75">
        <f>(GX613+GX625)/GX546*100</f>
        <v>64.589667315662155</v>
      </c>
      <c r="GY629" s="72">
        <f>IF(ISERROR(GX629/GV629),"NA",IF(OR(GX629/GV629&gt;2,GX629/GV629&lt;0.5),"NM",GX629/GV629*100-100))</f>
        <v>2.3964620354292947</v>
      </c>
      <c r="GZ629" s="72">
        <f>IF(ISERROR(((GX629/GN629)^0.2-1)*100),"NA",IF((((GX629/GN629)^0.2-1)*100)&gt;100,"NM",IF((((GX629/GN629)^0.2-1)*100)&lt;-50,"NM",((GX629/GN629)^0.2-1)*100)))</f>
        <v>3.478286508450501</v>
      </c>
      <c r="HA629" s="72"/>
      <c r="HB629" s="72"/>
      <c r="HC629"/>
      <c r="HD629"/>
      <c r="HE629"/>
      <c r="HF629"/>
      <c r="HG629"/>
      <c r="HH629"/>
      <c r="HI629" s="2"/>
    </row>
    <row r="630" spans="1:217" s="3" customFormat="1" ht="12.75" customHeight="1" x14ac:dyDescent="0.2">
      <c r="B630" s="18" t="s">
        <v>71</v>
      </c>
      <c r="C630" s="75"/>
      <c r="D630" s="11"/>
      <c r="E630" s="75"/>
      <c r="F630" s="11"/>
      <c r="G630" s="75"/>
      <c r="H630" s="11"/>
      <c r="I630" s="75"/>
      <c r="J630" s="11"/>
      <c r="K630" s="75"/>
      <c r="L630" s="72"/>
      <c r="M630" s="75"/>
      <c r="N630" s="72"/>
      <c r="O630" s="75"/>
      <c r="P630" s="72"/>
      <c r="Q630" s="75"/>
      <c r="R630" s="72" t="str">
        <f>IF(ISERROR(Q630/I630),"NA",IF(OR(Q630/I630&gt;2,Q630/I630&lt;0.5),"NM",Q630/I630*100-100))</f>
        <v>NA</v>
      </c>
      <c r="S630" s="75"/>
      <c r="T630" s="72" t="str">
        <f>IF(ISERROR(S630/K630),"NA",IF(OR(S630/K630&gt;2,S630/K630&lt;0.5),"NM",S630/K630*100-100))</f>
        <v>NA</v>
      </c>
      <c r="U630" s="75">
        <f>(U613+U624)/U582*100</f>
        <v>38.405797101449274</v>
      </c>
      <c r="V630" s="72" t="str">
        <f>IF(ISERROR(U630/M630),"NA",IF(OR(U630/M630&gt;2,U630/M630&lt;0.5),"NM",U630/M630*100-100))</f>
        <v>NA</v>
      </c>
      <c r="W630" s="75">
        <f>(W613+W624)/W582*100</f>
        <v>83.615819209039543</v>
      </c>
      <c r="X630" s="72" t="str">
        <f>IF(ISERROR(W630/O630),"NA",IF(OR(W630/O630&gt;2,W630/O630&lt;0.5),"NM",W630/O630*100-100))</f>
        <v>NA</v>
      </c>
      <c r="Y630" s="75">
        <f>(Y613+Y624)/Y582*100</f>
        <v>832.14035087719299</v>
      </c>
      <c r="Z630" s="72" t="str">
        <f>IF(ISERROR(Y630/Q630),"NA",IF(OR(Y630/Q630&gt;2,Y630/Q630&lt;0.5),"NM",Y630/Q630*100-100))</f>
        <v>NA</v>
      </c>
      <c r="AA630" s="75">
        <f>(AA613+AA624)/AA582*100</f>
        <v>69.252077562326875</v>
      </c>
      <c r="AB630" s="72" t="str">
        <f>IF(ISERROR(AA630/S630),"NA",IF(OR(AA630/S630&gt;2,AA630/S630&lt;0.5),"NM",AA630/S630*100-100))</f>
        <v>NA</v>
      </c>
      <c r="AC630" s="75">
        <f>(AC613+AC624)/AC582*100</f>
        <v>74.375</v>
      </c>
      <c r="AD630" s="72">
        <f>IF(ISERROR(AC630/U630),"NA",IF(OR(AC630/U630&gt;2,AC630/U630&lt;0.5),"NM",AC630/U630*100-100))</f>
        <v>93.655660377358515</v>
      </c>
      <c r="AE630" s="75">
        <f>(AE613+AE624)/AE582*100</f>
        <v>67.268041237113408</v>
      </c>
      <c r="AF630" s="72">
        <f>IF(ISERROR(AE630/W630),"NA",IF(OR(AE630/W630&gt;2,AE630/W630&lt;0.5),"NM",AE630/W630*100-100))</f>
        <v>-19.551058790749494</v>
      </c>
      <c r="AG630" s="75">
        <f>(AG613+AG624)/AG582*100</f>
        <v>73.370786516853926</v>
      </c>
      <c r="AH630" s="72" t="str">
        <f>IF(ISERROR(AG630/Y630),"NA",IF(OR(AG630/Y630&gt;2,AG630/Y630&lt;0.5),"NM",AG630/Y630*100-100))</f>
        <v>NM</v>
      </c>
      <c r="AI630" s="75">
        <f>(AI613+AI624)/AI582*100</f>
        <v>78.315789473684205</v>
      </c>
      <c r="AJ630" s="72">
        <f>IF(ISERROR(AI630/AA630),"NA",IF(OR(AI630/AA630&gt;2,AI630/AA630&lt;0.5),"NM",AI630/AA630*100-100))</f>
        <v>13.087999999999994</v>
      </c>
      <c r="AK630" s="75">
        <f>(AK613+AK624)/AK582*100</f>
        <v>50.877192982456144</v>
      </c>
      <c r="AL630" s="72">
        <f>IF(ISERROR(AK630/AC630),"NA",IF(OR(AK630/AC630&gt;2,AK630/AC630&lt;0.5),"NM",AK630/AC630*100-100))</f>
        <v>-31.593690107621995</v>
      </c>
      <c r="AM630" s="75">
        <f>(AM613+AM624)/AM582*100</f>
        <v>46.910466582597735</v>
      </c>
      <c r="AN630" s="72">
        <f>IF(ISERROR(AM630/AE630),"NA",IF(OR(AM630/AE630&gt;2,AM630/AE630&lt;0.5),"NM",AM630/AE630*100-100))</f>
        <v>-30.263367685640148</v>
      </c>
      <c r="AO630" s="75">
        <f>(AO613+AO624)/AO582*100</f>
        <v>119.99788494077835</v>
      </c>
      <c r="AP630" s="72">
        <f>IF(ISERROR(AO630/AG630),"NA",IF(OR(AO630/AG630&gt;2,AO630/AG630&lt;0.5),"NM",AO630/AG630*100-100))</f>
        <v>63.549950378702505</v>
      </c>
      <c r="AQ630" s="75">
        <f>(AQ613+AQ624)/AQ582*100</f>
        <v>35.424710424710426</v>
      </c>
      <c r="AR630" s="72" t="str">
        <f>IF(ISERROR(AQ630/AI630),"NA",IF(OR(AQ630/AI630&gt;2,AQ630/AI630&lt;0.5),"NM",AQ630/AI630*100-100))</f>
        <v>NM</v>
      </c>
      <c r="AS630" s="75">
        <f>(AS613+AS624)/AS582*100</f>
        <v>47.839195979899493</v>
      </c>
      <c r="AT630" s="72">
        <f>IF(ISERROR(AS630/AK630),"NA",IF(OR(AS630/AK630&gt;2,AS630/AK630&lt;0.5),"NM",AS630/AK630*100-100))</f>
        <v>-5.9712354877837726</v>
      </c>
      <c r="AU630" s="75">
        <f>(AU613+AU624)/AU582*100</f>
        <v>39.380530973451329</v>
      </c>
      <c r="AV630" s="72">
        <f>IF(ISERROR(AU630/AM630),"NA",IF(OR(AU630/AM630&gt;2,AU630/AM630&lt;0.5),"NM",AU630/AM630*100-100))</f>
        <v>-16.051717575411558</v>
      </c>
      <c r="AW630" s="75">
        <f>(AW613+AW624)/AW582*100</f>
        <v>178.55306479859897</v>
      </c>
      <c r="AX630" s="72">
        <f>IF(ISERROR(AW630/AO630),"NA",IF(OR(AW630/AO630&gt;2,AW630/AO630&lt;0.5),"NM",AW630/AO630*100-100))</f>
        <v>48.796843283295289</v>
      </c>
      <c r="AY630" s="75">
        <f>(AY613+AY624)/AY582*100</f>
        <v>103.14569536423841</v>
      </c>
      <c r="AZ630" s="72" t="str">
        <f>IF(ISERROR(AY630/AQ630),"NA",IF(OR(AY630/AQ630&gt;2,AY630/AQ630&lt;0.5),"NM",AY630/AQ630*100-100))</f>
        <v>NM</v>
      </c>
      <c r="BA630" s="75">
        <f>(BA613+BA624)/BA582*100</f>
        <v>161.08247422680412</v>
      </c>
      <c r="BB630" s="72" t="str">
        <f>IF(ISERROR(BA630/AS630),"NA",IF(OR(BA630/AS630&gt;2,BA630/AS630&lt;0.5),"NM",BA630/AS630*100-100))</f>
        <v>NM</v>
      </c>
      <c r="BC630" s="75">
        <f>(BC613+BC624)/BC582*100</f>
        <v>56.921675774134798</v>
      </c>
      <c r="BD630" s="72">
        <f>IF(ISERROR(BC630/AU630),"NA",IF(OR(BC630/AU630&gt;2,BC630/AU630&lt;0.5),"NM",BC630/AU630*100-100))</f>
        <v>44.542682302859134</v>
      </c>
      <c r="BE630" s="75">
        <f>(BE613+BE624)/BE582*100</f>
        <v>132.12393162393164</v>
      </c>
      <c r="BF630" s="72">
        <f>IF(ISERROR(BE630/AW630),"NA",IF(OR(BE630/AW630&gt;2,BE630/AW630&lt;0.5),"NM",BE630/AW630*100-100))</f>
        <v>-26.002988650481925</v>
      </c>
      <c r="BG630" s="75">
        <f>(BG613+BG624)/BG582*100</f>
        <v>89.851247600767763</v>
      </c>
      <c r="BH630" s="72">
        <f>IF(ISERROR(BG630/AY630),"NA",IF(OR(BG630/AY630&gt;2,BG630/AY630&lt;0.5),"NM",BG630/AY630*100-100))</f>
        <v>-12.88899911578855</v>
      </c>
      <c r="BI630" s="75">
        <f>(BI613+BI624)/BI582*100</f>
        <v>97.65929778933679</v>
      </c>
      <c r="BJ630" s="72">
        <f>IF(ISERROR(BI630/BA630),"NA",IF(OR(BI630/BA630&gt;2,BI630/BA630&lt;0.5),"NM",BI630/BA630*100-100))</f>
        <v>-39.373107932379725</v>
      </c>
      <c r="BK630" s="75">
        <f>(BK613+BK624)/BK582*100</f>
        <v>93.75</v>
      </c>
      <c r="BL630" s="72">
        <f>IF(ISERROR(BK630/BC630),"NA",IF(OR(BK630/BC630&gt;2,BK630/BC630&lt;0.5),"NM",BK630/BC630*100-100))</f>
        <v>64.699999999999989</v>
      </c>
      <c r="BM630" s="75">
        <f>(BM613+BM624)/BM582*100</f>
        <v>162.19745222929936</v>
      </c>
      <c r="BN630" s="72">
        <f>IF(ISERROR(BM630/BE630),"NA",IF(OR(BM630/BE630&gt;2,BM630/BE630&lt;0.5),"NM",BM630/BE630*100-100))</f>
        <v>22.761599837164169</v>
      </c>
      <c r="BO630" s="75">
        <f>(BO613+BO624)/BO582*100</f>
        <v>1357.8125</v>
      </c>
      <c r="BP630" s="72" t="str">
        <f>IF(ISERROR(BO630/BG630),"NA",IF(OR(BO630/BG630&gt;2,BO630/BG630&lt;0.5),"NM",BO630/BG630*100-100))</f>
        <v>NM</v>
      </c>
      <c r="BQ630" s="75">
        <f>(BQ613+BQ624)/BQ582*100</f>
        <v>160.18181818181819</v>
      </c>
      <c r="BR630" s="72">
        <f>IF(ISERROR(BQ630/BI630),"NA",IF(OR(BQ630/BI630&gt;2,BQ630/BI630&lt;0.5),"NM",BQ630/BI630*100-100))</f>
        <v>64.021062825323838</v>
      </c>
      <c r="BS630" s="75">
        <f>(BS613+BS624)/BS582*100</f>
        <v>-275.73529411764707</v>
      </c>
      <c r="BT630" s="72" t="str">
        <f>IF(ISERROR(BS630/BK630),"NA",IF(OR(BS630/BK630&gt;2,BS630/BK630&lt;0.5),"NM",BS630/BK630*100-100))</f>
        <v>NM</v>
      </c>
      <c r="BU630" s="75">
        <f>(BU613+BU624)/BU582*100</f>
        <v>-19.403470031545737</v>
      </c>
      <c r="BV630" s="72" t="str">
        <f>IF(ISERROR(BU630/BM630),"NA",IF(OR(BU630/BM630&gt;2,BU630/BM630&lt;0.5),"NM",BU630/BM630*100-100))</f>
        <v>NM</v>
      </c>
      <c r="BW630" s="75">
        <f>(BW613+BW624)/BW582*100</f>
        <v>0</v>
      </c>
      <c r="BX630" s="72" t="str">
        <f>IF(ISERROR(BW630/BO630),"NA",IF(OR(BW630/BO630&gt;2,BW630/BO630&lt;0.5),"NM",BW630/BO630*100-100))</f>
        <v>NM</v>
      </c>
      <c r="BY630" s="75">
        <f>(BY613+BY624)/BY582*100</f>
        <v>0</v>
      </c>
      <c r="BZ630" s="72" t="str">
        <f>IF(ISERROR(BY630/BQ630),"NA",IF(OR(BY630/BQ630&gt;2,BY630/BQ630&lt;0.5),"NM",BY630/BQ630*100-100))</f>
        <v>NM</v>
      </c>
      <c r="CA630" s="75">
        <f>(CA613+CA624)/CA582*100</f>
        <v>0</v>
      </c>
      <c r="CB630" s="72" t="str">
        <f>IF(ISERROR(CA630/BS630),"NA",IF(OR(CA630/BS630&gt;2,CA630/BS630&lt;0.5),"NM",CA630/BS630*100-100))</f>
        <v>NM</v>
      </c>
      <c r="CC630" s="75">
        <f>(CC613+CC624)/CC582*100</f>
        <v>18.091163310961967</v>
      </c>
      <c r="CD630" s="72" t="str">
        <f>IF(ISERROR(CC630/BU630),"NA",IF(OR(CC630/BU630&gt;2,CC630/BU630&lt;0.5),"NM",CC630/BU630*100-100))</f>
        <v>NM</v>
      </c>
      <c r="CE630" s="75">
        <f>(CE613+CE624)/CE582*100</f>
        <v>0</v>
      </c>
      <c r="CF630" s="72" t="str">
        <f>IF(ISERROR(CE630/BW630),"NA",IF(OR(CE630/BW630&gt;2,CE630/BW630&lt;0.5),"NM",CE630/BW630*100-100))</f>
        <v>NA</v>
      </c>
      <c r="CG630" s="75">
        <f>(CG613+CG624)/CG582*100</f>
        <v>0</v>
      </c>
      <c r="CH630" s="72" t="str">
        <f>IF(ISERROR(CG630/BY630),"NA",IF(OR(CG630/BY630&gt;2,CG630/BY630&lt;0.5),"NM",CG630/BY630*100-100))</f>
        <v>NA</v>
      </c>
      <c r="CI630" s="75">
        <f>(CI613+CI624)/CI582*100</f>
        <v>0</v>
      </c>
      <c r="CJ630" s="72" t="str">
        <f>IF(ISERROR(CI630/CA630),"NA",IF(OR(CI630/CA630&gt;2,CI630/CA630&lt;0.5),"NM",CI630/CA630*100-100))</f>
        <v>NA</v>
      </c>
      <c r="CK630" s="75">
        <f>(CK613+CK624)/CK582*100</f>
        <v>501.23423423423424</v>
      </c>
      <c r="CL630" s="72" t="str">
        <f>IF(ISERROR(CK630/CC630),"NA",IF(OR(CK630/CC630&gt;2,CK630/CC630&lt;0.5),"NM",CK630/CC630*100-100))</f>
        <v>NM</v>
      </c>
      <c r="CM630" s="75">
        <f>(CM613+CM624)/CM582*100</f>
        <v>0</v>
      </c>
      <c r="CN630" s="72" t="str">
        <f>IF(ISERROR(CM630/CE630),"NA",IF(OR(CM630/CE630&gt;2,CM630/CE630&lt;0.5),"NM",CM630/CE630*100-100))</f>
        <v>NA</v>
      </c>
      <c r="CO630" s="75">
        <f>(CO613+CO624)/CO582*100</f>
        <v>0</v>
      </c>
      <c r="CP630" s="72" t="str">
        <f>IF(ISERROR(CO630/CG630),"NA",IF(OR(CO630/CG630&gt;2,CO630/CG630&lt;0.5),"NM",CO630/CG630*100-100))</f>
        <v>NA</v>
      </c>
      <c r="CQ630" s="75">
        <f>(CQ613+CQ624)/CQ582*100</f>
        <v>48.015364916773365</v>
      </c>
      <c r="CR630" s="72" t="str">
        <f>IF(ISERROR(CQ630/CI630),"NA",IF(OR(CQ630/CI630&gt;2,CQ630/CI630&lt;0.5),"NM",CQ630/CI630*100-100))</f>
        <v>NA</v>
      </c>
      <c r="CS630" s="75">
        <f>(CS613+CS624)/CS582*100</f>
        <v>177.89272030651341</v>
      </c>
      <c r="CT630" s="72" t="str">
        <f>IF(ISERROR(CS630/CK630),"NA",IF(OR(CS630/CK630&gt;2,CS630/CK630&lt;0.5),"NM",CS630/CK630*100-100))</f>
        <v>NM</v>
      </c>
      <c r="CU630" s="75">
        <f>(CU613+CU624)/CU582*100</f>
        <v>-26.567481402763015</v>
      </c>
      <c r="CV630" s="72" t="str">
        <f>IF(ISERROR(CU630/CM630),"NA",IF(OR(CU630/CM630&gt;2,CU630/CM630&lt;0.5),"NM",CU630/CM630*100-100))</f>
        <v>NA</v>
      </c>
      <c r="CW630" s="75">
        <f>(CW613+CW624)/CW582*100</f>
        <v>11.200716845878137</v>
      </c>
      <c r="CX630" s="72" t="str">
        <f>IF(ISERROR(CW630/CO630),"NA",IF(OR(CW630/CO630&gt;2,CW630/CO630&lt;0.5),"NM",CW630/CO630*100-100))</f>
        <v>NA</v>
      </c>
      <c r="CY630" s="75">
        <f>(CY613+CY624)/CY582*100</f>
        <v>-24.232633279483036</v>
      </c>
      <c r="CZ630" s="72" t="str">
        <f>IF(ISERROR(CY630/CQ630),"NA",IF(OR(CY630/CQ630&gt;2,CY630/CQ630&lt;0.5),"NM",CY630/CQ630*100-100))</f>
        <v>NM</v>
      </c>
      <c r="DA630" s="75">
        <f>(DA613+DA624)/DA582*100</f>
        <v>-400.43243243243245</v>
      </c>
      <c r="DB630" s="72" t="str">
        <f>IF(ISERROR(DA630/CS630),"NA",IF(OR(DA630/CS630&gt;2,DA630/CS630&lt;0.5),"NM",DA630/CS630*100-100))</f>
        <v>NM</v>
      </c>
      <c r="DC630" s="75">
        <f>(DC613+DC624)/DC582*100</f>
        <v>-25.32244897959184</v>
      </c>
      <c r="DD630" s="72">
        <f>IF(ISERROR(DC630/CU630),"NA",IF(OR(DC630/CU630&gt;2,DC630/CU630&lt;0.5),"NM",DC630/CU630*100-100))</f>
        <v>-4.686302040816301</v>
      </c>
      <c r="DE630" s="75">
        <f>(DE613+DE624)/DE582*100</f>
        <v>-84.177949709864606</v>
      </c>
      <c r="DF630" s="72" t="str">
        <f>IF(ISERROR(DE630/CW630),"NA",IF(OR(DE630/CW630&gt;2,DE630/CW630&lt;0.5),"NM",DE630/CW630*100-100))</f>
        <v>NM</v>
      </c>
      <c r="DG630" s="75">
        <f>(DG613+DG624)/DG582*100</f>
        <v>45.006211180124225</v>
      </c>
      <c r="DH630" s="72" t="str">
        <f>IF(ISERROR(DG630/CY630),"NA",IF(OR(DG630/CY630&gt;2,DG630/CY630&lt;0.5),"NM",DG630/CY630*100-100))</f>
        <v>NM</v>
      </c>
      <c r="DI630" s="75">
        <f>(DI613+DI624)/DI582*100</f>
        <v>-115.78056206088993</v>
      </c>
      <c r="DJ630" s="72" t="str">
        <f>IF(ISERROR(DI630/DA630),"NA",IF(OR(DI630/DA630&gt;2,DI630/DA630&lt;0.5),"NM",DI630/DA630*100-100))</f>
        <v>NM</v>
      </c>
      <c r="DK630" s="75">
        <f>(DK613+DK624)/DK582*100</f>
        <v>40.327510204081634</v>
      </c>
      <c r="DL630" s="72" t="str">
        <f>IF(ISERROR(DK630/DC630),"NA",IF(OR(DK630/DC630&gt;2,DK630/DC630&lt;0.5),"NM",DK630/DC630*100-100))</f>
        <v>NM</v>
      </c>
      <c r="DM630" s="75">
        <f>(DM613+DM624)/DM582*100</f>
        <v>46.992564346997142</v>
      </c>
      <c r="DN630" s="72" t="str">
        <f t="shared" si="2943"/>
        <v>NM</v>
      </c>
      <c r="DO630" s="75">
        <f>(DO613+DO624)/DO582*100</f>
        <v>105.86301075268818</v>
      </c>
      <c r="DP630" s="72" t="str">
        <f t="shared" si="2943"/>
        <v>NM</v>
      </c>
      <c r="DQ630" s="75">
        <f>(DQ613+DQ624)/DQ582*100</f>
        <v>-42.602321724709782</v>
      </c>
      <c r="DR630" s="72" t="str">
        <f t="shared" si="2943"/>
        <v>NM</v>
      </c>
      <c r="DS630" s="75">
        <f>(DS613+DS624)/DS582*100</f>
        <v>25.197937131630649</v>
      </c>
      <c r="DT630" s="72">
        <f t="shared" si="2943"/>
        <v>-37.516754681571406</v>
      </c>
      <c r="DU630" s="75">
        <f>(DU613+DU624)/DU582*100</f>
        <v>36.422617354196305</v>
      </c>
      <c r="DV630" s="72">
        <f t="shared" si="2943"/>
        <v>-22.492807404063839</v>
      </c>
      <c r="DW630" s="75">
        <f>(DW613+DW624)/DW582*100</f>
        <v>34.856791808873723</v>
      </c>
      <c r="DX630" s="72" t="str">
        <f t="shared" si="2943"/>
        <v>NM</v>
      </c>
      <c r="DY630" s="75">
        <f>(DY613+DY624)/DY582*100</f>
        <v>76.59455782312925</v>
      </c>
      <c r="DZ630" s="72" t="str">
        <f t="shared" si="2943"/>
        <v>NM</v>
      </c>
      <c r="EA630" s="75">
        <f>(EA613+EA624)/EA582*100</f>
        <v>51.285179640718567</v>
      </c>
      <c r="EB630" s="72" t="str">
        <f>IF(ISERROR(EA630/DS630),"NA",IF(OR(EA630/DS630&gt;2,EA630/DS630&lt;0.5),"NM",EA630/DS630*100-100))</f>
        <v>NM</v>
      </c>
      <c r="EC630" s="75">
        <f>(EC613+EC624)/EC582*100</f>
        <v>74.059717698154174</v>
      </c>
      <c r="ED630" s="72" t="str">
        <f>IF(ISERROR(EC630/DU630),"NA",IF(OR(EC630/DU630&gt;2,EC630/DU630&lt;0.5),"NM",EC630/DU630*100-100))</f>
        <v>NM</v>
      </c>
      <c r="EE630" s="75">
        <f>(EE613+EE624)/EE582*100</f>
        <v>50.749315818281339</v>
      </c>
      <c r="EF630" s="72">
        <f>IF(ISERROR(EE630/DW630),"NA",IF(OR(EE630/DW630&gt;2,EE630/DW630&lt;0.5),"NM",EE630/DW630*100-100))</f>
        <v>45.593765761775444</v>
      </c>
      <c r="EG630" s="75">
        <f>(EG613+EG624)/EG582*100</f>
        <v>333.52112676056339</v>
      </c>
      <c r="EH630" s="72" t="str">
        <f>IF(ISERROR(EG630/DY630),"NA",IF(OR(EG630/DY630&gt;2,EG630/DY630&lt;0.5),"NM",EG630/DY630*100-100))</f>
        <v>NM</v>
      </c>
      <c r="EI630" s="75">
        <f>(EI613+EI624)/EI582*100</f>
        <v>46.345872899926952</v>
      </c>
      <c r="EJ630" s="72">
        <f>IF(ISERROR(EI630/EA630),"NA",IF(OR(EI630/EA630&gt;2,EI630/EA630&lt;0.5),"NM",EI630/EA630*100-100))</f>
        <v>-9.6310606210102634</v>
      </c>
      <c r="EK630" s="75">
        <f>(EK613+EK624)/EK582*100</f>
        <v>128.77137586474598</v>
      </c>
      <c r="EL630" s="72">
        <f>IF(ISERROR(EK630/EC630),"NA",IF(OR(EK630/EC630&gt;2,EK630/EC630&lt;0.5),"NM",EK630/EC630*100-100))</f>
        <v>73.875056328975717</v>
      </c>
      <c r="EM630" s="75">
        <f>(EM613+EM624)/EM582*100</f>
        <v>28.152977985494491</v>
      </c>
      <c r="EN630" s="72">
        <f>IF(ISERROR(EM630/EE630),"NA",IF(OR(EM630/EE630&gt;2,EM630/EE630&lt;0.5),"NM",EM630/EE630*100-100))</f>
        <v>-44.525403876769133</v>
      </c>
      <c r="EO630" s="75">
        <f>(EO613+EO624)/EO582*100</f>
        <v>16.678981336397527</v>
      </c>
      <c r="EP630" s="72" t="str">
        <f>IF(ISERROR(EO630/EG630),"NA",IF(OR(EO630/EG630&gt;2,EO630/EG630&lt;0.5),"NM",EO630/EG630*100-100))</f>
        <v>NM</v>
      </c>
      <c r="EQ630" s="75">
        <f>(EQ613+EQ625)/EQ582*100</f>
        <v>34.594618777413551</v>
      </c>
      <c r="ER630" s="72">
        <f t="shared" si="2944"/>
        <v>-25.355556789031638</v>
      </c>
      <c r="ES630" s="75">
        <f>(ES613+ES625)/ES582*100</f>
        <v>77.77850748976779</v>
      </c>
      <c r="ET630" s="72">
        <f t="shared" si="2945"/>
        <v>-39.599536801205069</v>
      </c>
      <c r="EU630" s="75">
        <f>(EU613+EU625)/EU582*100</f>
        <v>79.215780143663451</v>
      </c>
      <c r="EV630" s="72" t="str">
        <f t="shared" si="2946"/>
        <v>NM</v>
      </c>
      <c r="EW630" s="75">
        <f>(EW613+EW625)/EW582*100</f>
        <v>92.293203580201705</v>
      </c>
      <c r="EX630" s="72" t="str">
        <f t="shared" si="2947"/>
        <v>NM</v>
      </c>
      <c r="EY630" s="72"/>
      <c r="EZ630" s="296"/>
      <c r="FA630" s="72"/>
      <c r="FB630" s="9"/>
      <c r="FC630" s="11"/>
      <c r="FD630" s="9"/>
      <c r="FE630" s="72" t="str">
        <f>IF(ISERROR(FD630/FB630),"NA",IF(OR(FD630/FB630&gt;2,FD630/FB630&lt;0.5),"NM",FD630/FB630*100-100))</f>
        <v>NA</v>
      </c>
      <c r="FF630" s="16"/>
      <c r="FG630" s="72" t="str">
        <f>IF(ISERROR(FF630/FD630),"NA",IF(OR(FF630/FD630&gt;2,FF630/FD630&lt;0.5),"NM",FF630/FD630*100-100))</f>
        <v>NA</v>
      </c>
      <c r="FH630" s="81"/>
      <c r="FI630" s="72" t="str">
        <f>IF(ISERROR(FH630/FF630),"NA",IF(OR(FH630/FF630&gt;2,FH630/FF630&lt;0.5),"NM",FH630/FF630*100-100))</f>
        <v>NA</v>
      </c>
      <c r="FJ630" s="75">
        <f>(FJ613+FJ624)/FJ582*100</f>
        <v>-90.248458149779736</v>
      </c>
      <c r="FK630" s="72" t="str">
        <f>IF(ISERROR(FJ630/FH630),"NA",IF(OR(FJ630/FH630&gt;2,FJ630/FH630&lt;0.5),"NM",FJ630/FH630*100-100))</f>
        <v>NA</v>
      </c>
      <c r="FL630" s="75">
        <f>(FL613+FL624)/FL582*100</f>
        <v>-87.441540577716651</v>
      </c>
      <c r="FM630" s="72">
        <f>IF(ISERROR(FL630/FJ630),"NA",IF(OR(FL630/FJ630&gt;2,FL630/FJ630&lt;0.5),"NM",FL630/FJ630*100-100))</f>
        <v>-3.110211110094113</v>
      </c>
      <c r="FN630" s="75">
        <f>(FN613+FN624)/FN582*100</f>
        <v>-185.80583756345177</v>
      </c>
      <c r="FO630" s="72" t="str">
        <f>IF(ISERROR(FN630/FL630),"NA",IF(OR(FN630/FL630&gt;2,FN630/FL630&lt;0.5),"NM",FN630/FL630*100-100))</f>
        <v>NM</v>
      </c>
      <c r="FP630" s="75">
        <f>(FP613+FP624)/FP582*100</f>
        <v>-66.725852348993286</v>
      </c>
      <c r="FQ630" s="72" t="str">
        <f>IF(ISERROR(FP630/FN630),"NA",IF(OR(FP630/FN630&gt;2,FP630/FN630&lt;0.5),"NM",FP630/FN630*100-100))</f>
        <v>NM</v>
      </c>
      <c r="FR630" s="75">
        <f>(FR613+FR624)/FR582*100</f>
        <v>-115.79525862068967</v>
      </c>
      <c r="FS630" s="72">
        <f>IF(ISERROR(FR630/FP630),"NA",IF(OR(FR630/FP630&gt;2,FR630/FP630&lt;0.5),"NM",FR630/FP630*100-100))</f>
        <v>73.538822726536068</v>
      </c>
      <c r="FT630" s="75">
        <f>(FT613+FT624)/FT582*100</f>
        <v>-138.4707593145732</v>
      </c>
      <c r="FU630" s="72">
        <f>IF(ISERROR(FT630/FR630),"NA",IF(OR(FT630/FR630&gt;2,FT630/FR630&lt;0.5),"NM",FT630/FR630*100-100))</f>
        <v>19.582408609804688</v>
      </c>
      <c r="FV630" s="75">
        <f>(FV613+FV624)/FV582*100</f>
        <v>-58.500764865531707</v>
      </c>
      <c r="FW630" s="72" t="str">
        <f>IF(ISERROR(FV630/FT630),"NA",IF(OR(FV630/FT630&gt;2,FV630/FT630&lt;0.5),"NM",FV630/FT630*100-100))</f>
        <v>NM</v>
      </c>
      <c r="FX630" s="75">
        <f>(FX613+FX624)/FX582*100</f>
        <v>-40.76521739130434</v>
      </c>
      <c r="FY630" s="72">
        <f>IF(ISERROR(FX630/FV630),"NA",IF(OR(FX630/FV630&gt;2,FX630/FV630&lt;0.5),"NM",FX630/FV630*100-100))</f>
        <v>-30.316778789121514</v>
      </c>
      <c r="FZ630" s="75">
        <f>(FZ613+FZ624)/FZ582*100</f>
        <v>-1636.3823529411764</v>
      </c>
      <c r="GA630" s="72" t="str">
        <f>IF(ISERROR(FZ630/FX630),"NA",IF(OR(FZ630/FX630&gt;2,FZ630/FX630&lt;0.5),"NM",FZ630/FX630*100-100))</f>
        <v>NM</v>
      </c>
      <c r="GB630" s="75">
        <f>(GB613+GB624)/GB582*100</f>
        <v>-313.17164179104475</v>
      </c>
      <c r="GC630" s="72" t="str">
        <f>IF(ISERROR(GB630/FZ630),"NA",IF(OR(GB630/FZ630&gt;2,GB630/FZ630&lt;0.5),"NM",GB630/FZ630*100-100))</f>
        <v>NM</v>
      </c>
      <c r="GD630" s="75">
        <f>(GD613+GD624)/GD582*100</f>
        <v>454.50980392156868</v>
      </c>
      <c r="GE630" s="72" t="str">
        <f>IF(ISERROR(GD630/GB630),"NA",IF(OR(GD630/GB630&gt;2,GD630/GB630&lt;0.5),"NM",GD630/GB630*100-100))</f>
        <v>NM</v>
      </c>
      <c r="GF630" s="75">
        <f>(GF613+GF624)/GF582*100</f>
        <v>55.552871500358933</v>
      </c>
      <c r="GG630" s="72" t="str">
        <f>IF(ISERROR(GF630/GD630),"NA",IF(OR(GF630/GD630&gt;2,GF630/GD630&lt;0.5),"NM",GF630/GD630*100-100))</f>
        <v>NM</v>
      </c>
      <c r="GH630" s="75">
        <f>(GH613+GH624)/GH582*100</f>
        <v>62.110534542044384</v>
      </c>
      <c r="GI630" s="72">
        <f t="shared" si="2948"/>
        <v>11.804363779184811</v>
      </c>
      <c r="GJ630" s="75">
        <f>(GJ613+GJ624)/GJ582*100</f>
        <v>37.059978730946476</v>
      </c>
      <c r="GK630" s="72">
        <f t="shared" si="2948"/>
        <v>-40.332217385990255</v>
      </c>
      <c r="GL630" s="75">
        <f>(GL613+GL624)/GL582*100</f>
        <v>73.817765567765562</v>
      </c>
      <c r="GM630" s="72">
        <f t="shared" si="2948"/>
        <v>99.184586973669639</v>
      </c>
      <c r="GN630" s="75">
        <f>(GN613+GN624)/GN582*100</f>
        <v>31.945244680929257</v>
      </c>
      <c r="GO630" s="72" t="str">
        <f t="shared" si="2948"/>
        <v>NM</v>
      </c>
      <c r="GP630" s="75">
        <f>(GP613+GP624)/GP582*100</f>
        <v>60.870118680402165</v>
      </c>
      <c r="GQ630" s="72">
        <f t="shared" si="2948"/>
        <v>90.545163414386195</v>
      </c>
      <c r="GR630" s="75">
        <f>(GR613+GR625)/GR582*100</f>
        <v>68.469818633597981</v>
      </c>
      <c r="GS630" s="72">
        <f t="shared" si="2948"/>
        <v>12.485107829504898</v>
      </c>
      <c r="GT630" s="75">
        <f>(GT613+GT625)/GT582*100</f>
        <v>72.715682472672853</v>
      </c>
      <c r="GU630" s="72">
        <f t="shared" si="2948"/>
        <v>6.2010735880515995</v>
      </c>
      <c r="GV630" s="75">
        <f>(GV613+GV625)/GV582*100</f>
        <v>74.798194026981847</v>
      </c>
      <c r="GW630" s="72">
        <f>IF(ISERROR(GV630/GT630),"NA",IF(OR(GV630/GT630&gt;2,GV630/GT630&lt;0.5),"NM",GV630/GT630*100-100))</f>
        <v>2.8639097970257268</v>
      </c>
      <c r="GX630" s="75">
        <f>(GX613+GX625)/GX582*100</f>
        <v>77.197156648760512</v>
      </c>
      <c r="GY630" s="72">
        <f>IF(ISERROR(GX630/GV630),"NA",IF(OR(GX630/GV630&gt;2,GX630/GV630&lt;0.5),"NM",GX630/GV630*100-100))</f>
        <v>3.2072467162954439</v>
      </c>
      <c r="GZ630" s="72">
        <f>IF(ISERROR(((GX630/GN630)^0.2-1)*100),"NA",IF((((GX630/GN630)^0.2-1)*100)&gt;100,"NM",IF((((GX630/GN630)^0.2-1)*100)&lt;-50,"NM",((GX630/GN630)^0.2-1)*100)))</f>
        <v>19.299608131883893</v>
      </c>
      <c r="HA630" s="72"/>
      <c r="HB630" s="72"/>
      <c r="HC630"/>
      <c r="HD630"/>
      <c r="HE630"/>
      <c r="HF630"/>
      <c r="HG630"/>
      <c r="HH630"/>
      <c r="HI630" s="2"/>
    </row>
    <row r="631" spans="1:217" s="3" customFormat="1" ht="12.75" customHeight="1" x14ac:dyDescent="0.2">
      <c r="B631" s="18"/>
      <c r="C631" s="9"/>
      <c r="D631" s="11"/>
      <c r="E631" s="9"/>
      <c r="F631" s="11"/>
      <c r="G631" s="9"/>
      <c r="H631" s="11"/>
      <c r="I631" s="9"/>
      <c r="J631" s="11"/>
      <c r="K631" s="9"/>
      <c r="L631" s="72"/>
      <c r="M631" s="9"/>
      <c r="N631" s="72"/>
      <c r="O631" s="9"/>
      <c r="P631" s="72"/>
      <c r="Q631" s="9"/>
      <c r="R631" s="72"/>
      <c r="S631" s="9"/>
      <c r="T631" s="72"/>
      <c r="U631" s="9"/>
      <c r="V631" s="72"/>
      <c r="W631" s="9"/>
      <c r="X631" s="72"/>
      <c r="Y631" s="9"/>
      <c r="Z631" s="72"/>
      <c r="AA631" s="9"/>
      <c r="AB631" s="72"/>
      <c r="AC631" s="9"/>
      <c r="AD631" s="72"/>
      <c r="AE631" s="9"/>
      <c r="AF631" s="72"/>
      <c r="AG631" s="9"/>
      <c r="AH631" s="72"/>
      <c r="AI631" s="9"/>
      <c r="AJ631" s="72"/>
      <c r="AK631" s="9"/>
      <c r="AL631" s="72"/>
      <c r="AM631" s="9"/>
      <c r="AN631" s="72"/>
      <c r="AO631" s="9"/>
      <c r="AP631" s="72"/>
      <c r="AQ631" s="9"/>
      <c r="AR631" s="72"/>
      <c r="AS631" s="9"/>
      <c r="AT631" s="72"/>
      <c r="AU631" s="9"/>
      <c r="AV631" s="72"/>
      <c r="AW631" s="9"/>
      <c r="AX631" s="72"/>
      <c r="AY631" s="9"/>
      <c r="AZ631" s="72"/>
      <c r="BA631" s="9"/>
      <c r="BB631" s="72"/>
      <c r="BC631" s="9"/>
      <c r="BD631" s="72"/>
      <c r="BE631" s="9"/>
      <c r="BF631" s="72"/>
      <c r="BG631" s="9"/>
      <c r="BH631" s="72"/>
      <c r="BI631" s="9"/>
      <c r="BJ631" s="72"/>
      <c r="BK631" s="9"/>
      <c r="BL631" s="72"/>
      <c r="BM631" s="9"/>
      <c r="BN631" s="72"/>
      <c r="BO631" s="9"/>
      <c r="BP631" s="72"/>
      <c r="BQ631" s="9"/>
      <c r="BR631" s="72"/>
      <c r="BS631" s="9"/>
      <c r="BT631" s="72"/>
      <c r="BU631" s="9"/>
      <c r="BV631" s="72"/>
      <c r="BW631" s="9"/>
      <c r="BX631" s="72"/>
      <c r="BY631" s="9"/>
      <c r="BZ631" s="72"/>
      <c r="CA631" s="9"/>
      <c r="CB631" s="72"/>
      <c r="CC631" s="9"/>
      <c r="CD631" s="72"/>
      <c r="CE631" s="9"/>
      <c r="CF631" s="72"/>
      <c r="CG631" s="9"/>
      <c r="CH631" s="72"/>
      <c r="CI631" s="9"/>
      <c r="CJ631" s="72"/>
      <c r="CK631" s="9"/>
      <c r="CL631" s="72"/>
      <c r="CM631" s="9"/>
      <c r="CN631" s="72"/>
      <c r="CO631" s="9"/>
      <c r="CP631" s="72"/>
      <c r="CQ631" s="9"/>
      <c r="CR631" s="72"/>
      <c r="CS631" s="9"/>
      <c r="CT631" s="72"/>
      <c r="CU631" s="9"/>
      <c r="CV631" s="72"/>
      <c r="CW631" s="9"/>
      <c r="CX631" s="72"/>
      <c r="CY631" s="9"/>
      <c r="CZ631" s="72"/>
      <c r="DA631" s="9"/>
      <c r="DB631" s="72"/>
      <c r="DC631" s="9"/>
      <c r="DD631" s="72"/>
      <c r="DE631" s="9"/>
      <c r="DF631" s="72"/>
      <c r="DG631" s="9"/>
      <c r="DH631" s="72"/>
      <c r="DI631" s="9"/>
      <c r="DJ631" s="72"/>
      <c r="DK631" s="9"/>
      <c r="DL631" s="72"/>
      <c r="DM631" s="9"/>
      <c r="DN631" s="72"/>
      <c r="DO631" s="9"/>
      <c r="DP631" s="72"/>
      <c r="DQ631" s="9"/>
      <c r="DR631" s="72"/>
      <c r="DS631" s="9"/>
      <c r="DT631" s="72"/>
      <c r="DU631" s="729"/>
      <c r="DV631" s="72"/>
      <c r="DW631" s="729"/>
      <c r="DX631" s="72"/>
      <c r="DY631" s="729"/>
      <c r="DZ631" s="72"/>
      <c r="EA631" s="729"/>
      <c r="EB631" s="72"/>
      <c r="EC631" s="729"/>
      <c r="ED631" s="72"/>
      <c r="EE631" s="729"/>
      <c r="EF631" s="72"/>
      <c r="EG631" s="729"/>
      <c r="EH631" s="72"/>
      <c r="EI631" s="729"/>
      <c r="EJ631" s="72"/>
      <c r="EK631" s="9"/>
      <c r="EL631" s="72"/>
      <c r="EM631" s="9"/>
      <c r="EN631" s="72"/>
      <c r="EO631" s="9"/>
      <c r="EP631" s="72"/>
      <c r="EQ631" s="9"/>
      <c r="ER631" s="72"/>
      <c r="ES631" s="9"/>
      <c r="ET631" s="72"/>
      <c r="EU631" s="9"/>
      <c r="EV631" s="72"/>
      <c r="EW631" s="9"/>
      <c r="EX631" s="72"/>
      <c r="EY631" s="72"/>
      <c r="EZ631" s="296"/>
      <c r="FA631" s="72"/>
      <c r="FB631" s="9"/>
      <c r="FC631" s="11"/>
      <c r="FD631" s="9"/>
      <c r="FE631" s="72"/>
      <c r="FF631" s="16"/>
      <c r="FG631" s="72"/>
      <c r="FH631" s="16"/>
      <c r="FI631" s="72"/>
      <c r="FJ631" s="16"/>
      <c r="FK631" s="72"/>
      <c r="FL631" s="16"/>
      <c r="FM631" s="72"/>
      <c r="FN631" s="16"/>
      <c r="FO631" s="72"/>
      <c r="FP631" s="74"/>
      <c r="FQ631" s="72"/>
      <c r="FR631" s="9"/>
      <c r="FS631" s="72"/>
      <c r="FT631" s="9"/>
      <c r="FU631" s="72"/>
      <c r="FV631" s="9"/>
      <c r="FW631" s="72"/>
      <c r="FX631" s="9"/>
      <c r="FY631" s="72"/>
      <c r="FZ631" s="9"/>
      <c r="GA631" s="72"/>
      <c r="GB631" s="9"/>
      <c r="GC631" s="72"/>
      <c r="GD631" s="9"/>
      <c r="GE631" s="72"/>
      <c r="GF631" s="9"/>
      <c r="GG631" s="72"/>
      <c r="GH631" s="9"/>
      <c r="GI631" s="72"/>
      <c r="GJ631" s="9"/>
      <c r="GK631" s="72"/>
      <c r="GL631" s="9"/>
      <c r="GM631" s="72"/>
      <c r="GN631" s="9"/>
      <c r="GO631" s="72"/>
      <c r="GP631" s="9"/>
      <c r="GQ631" s="72"/>
      <c r="GR631" s="9"/>
      <c r="GS631" s="72"/>
      <c r="GT631" s="9"/>
      <c r="GU631" s="72"/>
      <c r="GV631" s="9"/>
      <c r="GW631" s="72"/>
      <c r="GX631" s="9"/>
      <c r="GY631" s="72"/>
      <c r="GZ631" s="72"/>
      <c r="HA631" s="72"/>
      <c r="HB631" s="72"/>
      <c r="HC631"/>
      <c r="HD631"/>
      <c r="HE631"/>
      <c r="HF631"/>
      <c r="HG631"/>
      <c r="HH631"/>
      <c r="HI631" s="2"/>
    </row>
    <row r="632" spans="1:217" s="3" customFormat="1" ht="12.75" customHeight="1" x14ac:dyDescent="0.2">
      <c r="B632" s="4" t="s">
        <v>744</v>
      </c>
      <c r="C632" s="150"/>
      <c r="D632" s="11"/>
      <c r="E632" s="150"/>
      <c r="F632" s="167"/>
      <c r="G632" s="150"/>
      <c r="H632" s="167"/>
      <c r="I632" s="150"/>
      <c r="J632" s="167"/>
      <c r="K632" s="150"/>
      <c r="L632" s="72"/>
      <c r="M632" s="150"/>
      <c r="N632" s="72"/>
      <c r="O632" s="150"/>
      <c r="P632" s="72"/>
      <c r="Q632" s="150"/>
      <c r="R632" s="72"/>
      <c r="S632" s="150"/>
      <c r="T632" s="72"/>
      <c r="U632" s="150"/>
      <c r="V632" s="72"/>
      <c r="W632" s="150"/>
      <c r="X632" s="72"/>
      <c r="Y632" s="150"/>
      <c r="Z632" s="72"/>
      <c r="AA632" s="150"/>
      <c r="AB632" s="72"/>
      <c r="AC632" s="150"/>
      <c r="AD632" s="72"/>
      <c r="AE632" s="150"/>
      <c r="AF632" s="72"/>
      <c r="AG632" s="150"/>
      <c r="AH632" s="72"/>
      <c r="AI632" s="150"/>
      <c r="AJ632" s="72"/>
      <c r="AK632" s="150"/>
      <c r="AL632" s="72"/>
      <c r="AM632" s="150"/>
      <c r="AN632" s="72"/>
      <c r="AO632" s="150"/>
      <c r="AP632" s="72"/>
      <c r="AQ632" s="150"/>
      <c r="AR632" s="72"/>
      <c r="AS632" s="150"/>
      <c r="AT632" s="72"/>
      <c r="AU632" s="150"/>
      <c r="AV632" s="72"/>
      <c r="AW632" s="150"/>
      <c r="AX632" s="72"/>
      <c r="AY632" s="150"/>
      <c r="AZ632" s="72"/>
      <c r="BA632" s="150"/>
      <c r="BB632" s="72"/>
      <c r="BC632" s="150"/>
      <c r="BD632" s="72"/>
      <c r="BE632" s="150"/>
      <c r="BF632" s="72"/>
      <c r="BG632" s="150"/>
      <c r="BH632" s="72"/>
      <c r="BI632" s="150"/>
      <c r="BJ632" s="72"/>
      <c r="BK632" s="150"/>
      <c r="BL632" s="72"/>
      <c r="BM632" s="150"/>
      <c r="BN632" s="72"/>
      <c r="BO632" s="150"/>
      <c r="BP632" s="72"/>
      <c r="BQ632" s="150"/>
      <c r="BR632" s="72"/>
      <c r="BS632" s="150"/>
      <c r="BT632" s="72"/>
      <c r="BU632" s="150"/>
      <c r="BV632" s="72"/>
      <c r="BW632" s="150"/>
      <c r="BX632" s="72"/>
      <c r="BY632" s="150"/>
      <c r="BZ632" s="72"/>
      <c r="CA632" s="150"/>
      <c r="CB632" s="72"/>
      <c r="CC632" s="150">
        <v>462.1</v>
      </c>
      <c r="CD632" s="72"/>
      <c r="CE632" s="150">
        <v>463.6</v>
      </c>
      <c r="CF632" s="72"/>
      <c r="CG632" s="150">
        <v>464.5</v>
      </c>
      <c r="CH632" s="72"/>
      <c r="CI632" s="150">
        <v>465</v>
      </c>
      <c r="CJ632" s="72"/>
      <c r="CK632" s="150">
        <v>483.8</v>
      </c>
      <c r="CL632" s="72"/>
      <c r="CM632" s="150">
        <v>485.6</v>
      </c>
      <c r="CN632" s="72"/>
      <c r="CO632" s="150">
        <v>486.1</v>
      </c>
      <c r="CP632" s="72"/>
      <c r="CQ632" s="150">
        <v>471.9</v>
      </c>
      <c r="CR632" s="72"/>
      <c r="CS632" s="150">
        <v>468</v>
      </c>
      <c r="CT632" s="72"/>
      <c r="CU632" s="150">
        <v>468</v>
      </c>
      <c r="CV632" s="72"/>
      <c r="CW632" s="150">
        <v>464</v>
      </c>
      <c r="CX632" s="72"/>
      <c r="CY632" s="150">
        <v>462</v>
      </c>
      <c r="CZ632" s="72"/>
      <c r="DA632" s="150">
        <v>463</v>
      </c>
      <c r="DB632" s="72"/>
      <c r="DC632" s="150">
        <v>465.3</v>
      </c>
      <c r="DD632" s="72"/>
      <c r="DE632" s="150">
        <v>463</v>
      </c>
      <c r="DF632" s="72"/>
      <c r="DG632" s="150">
        <v>461.9</v>
      </c>
      <c r="DH632" s="72">
        <f>IF(ISERROR(DG632/CY632),"NA",IF(OR(DG632/CY632&gt;2,DG632/CY632&lt;0.5),"NM",DG632/CY632*100-100))</f>
        <v>-2.1645021645028351E-2</v>
      </c>
      <c r="DI632" s="150">
        <v>461.1</v>
      </c>
      <c r="DJ632" s="72">
        <f>IF(ISERROR(DI632/DA632),"NA",IF(OR(DI632/DA632&gt;2,DI632/DA632&lt;0.5),"NM",DI632/DA632*100-100))</f>
        <v>-0.41036717062634409</v>
      </c>
      <c r="DK632" s="150">
        <v>460.4</v>
      </c>
      <c r="DL632" s="72">
        <f>IF(ISERROR(DK632/DC632),"NA",IF(OR(DK632/DC632&gt;2,DK632/DC632&lt;0.5),"NM",DK632/DC632*100-100))</f>
        <v>-1.0530840318074439</v>
      </c>
      <c r="DM632" s="150">
        <v>458.4</v>
      </c>
      <c r="DN632" s="72">
        <f>IF(ISERROR(DM632/DE632),"NA",IF(OR(DM632/DE632&gt;2,DM632/DE632&lt;0.5),"NM",DM632/DE632*100-100))</f>
        <v>-0.99352051835853672</v>
      </c>
      <c r="DO632" s="150">
        <v>457.1</v>
      </c>
      <c r="DP632" s="72">
        <f>IF(ISERROR(DO632/DG632),"NA",IF(OR(DO632/DG632&gt;2,DO632/DG632&lt;0.5),"NM",DO632/DG632*100-100))</f>
        <v>-1.0391859709893936</v>
      </c>
      <c r="DQ632" s="150">
        <v>454.8</v>
      </c>
      <c r="DR632" s="72">
        <f>IF(ISERROR(DQ632/DI632),"NA",IF(OR(DQ632/DI632&gt;2,DQ632/DI632&lt;0.5),"NM",DQ632/DI632*100-100))</f>
        <v>-1.3662979830839248</v>
      </c>
      <c r="DS632" s="150">
        <v>453.5</v>
      </c>
      <c r="DT632" s="72">
        <f>IF(ISERROR(DS632/DK632),"NA",IF(OR(DS632/DK632&gt;2,DS632/DK632&lt;0.5),"NM",DS632/DK632*100-100))</f>
        <v>-1.4986967854039932</v>
      </c>
      <c r="DU632" s="730">
        <v>451.9</v>
      </c>
      <c r="DV632" s="72">
        <f t="shared" ref="DV632:DX636" si="2949">IF(ISERROR(DU632/DM632),"NA",IF(OR(DU632/DM632&gt;2,DU632/DM632&lt;0.5),"NM",DU632/DM632*100-100))</f>
        <v>-1.4179755671902257</v>
      </c>
      <c r="DW632" s="730">
        <v>449.4</v>
      </c>
      <c r="DX632" s="72">
        <f t="shared" si="2949"/>
        <v>-1.6845329249617293</v>
      </c>
      <c r="DY632" s="730">
        <v>447.1</v>
      </c>
      <c r="DZ632" s="72">
        <f>IF(ISERROR(DY632/DQ632),"NA",IF(OR(DY632/DQ632&gt;2,DY632/DQ632&lt;0.5),"NM",DY632/DQ632*100-100))</f>
        <v>-1.6930518909410637</v>
      </c>
      <c r="EA632" s="730">
        <v>443.1</v>
      </c>
      <c r="EB632" s="72">
        <f>IF(ISERROR(EA632/DS632),"NA",IF(OR(EA632/DS632&gt;2,EA632/DS632&lt;0.5),"NM",EA632/DS632*100-100))</f>
        <v>-2.2932745314222558</v>
      </c>
      <c r="EC632" s="150">
        <v>438.7</v>
      </c>
      <c r="ED632" s="72">
        <f>IF(ISERROR(EC632/DU632),"NA",IF(OR(EC632/DU632&gt;2,EC632/DU632&lt;0.5),"NM",EC632/DU632*100-100))</f>
        <v>-2.9210002212878976</v>
      </c>
      <c r="EE632" s="150">
        <v>431.7</v>
      </c>
      <c r="EF632" s="72">
        <f>IF(ISERROR(EE632/DW632),"NA",IF(OR(EE632/DW632&gt;2,EE632/DW632&lt;0.5),"NM",EE632/DW632*100-100))</f>
        <v>-3.9385847797062752</v>
      </c>
      <c r="EG632" s="150">
        <v>429.6</v>
      </c>
      <c r="EH632" s="72">
        <f>IF(ISERROR(EG632/DY632),"NA",IF(OR(EG632/DY632&gt;2,EG632/DY632&lt;0.5),"NM",EG632/DY632*100-100))</f>
        <v>-3.9141131737866317</v>
      </c>
      <c r="EI632" s="150">
        <v>429.3</v>
      </c>
      <c r="EJ632" s="72">
        <f>IF(ISERROR(EI632/EA632),"NA",IF(OR(EI632/EA632&gt;2,EI632/EA632&lt;0.5),"NM",EI632/EA632*100-100))</f>
        <v>-3.1144211238998025</v>
      </c>
      <c r="EK632" s="144">
        <f>EI632+EK616-EK621</f>
        <v>426.35660732787039</v>
      </c>
      <c r="EL632" s="72">
        <f>IF(ISERROR(EK632/EC632),"NA",IF(OR(EK632/EC632&gt;2,EK632/EC632&lt;0.5),"NM",EK632/EC632*100-100))</f>
        <v>-2.8136295126805635</v>
      </c>
      <c r="EM632" s="144">
        <f>EK632+EM616-EM621</f>
        <v>423.4181964204891</v>
      </c>
      <c r="EN632" s="72">
        <f>IF(ISERROR(EM632/EE632),"NA",IF(OR(EM632/EE632&gt;2,EM632/EE632&lt;0.5),"NM",EM632/EE632*100-100))</f>
        <v>-1.9184163955318354</v>
      </c>
      <c r="EO632" s="144">
        <f>EM632+EO616-EO621</f>
        <v>420.61819642048908</v>
      </c>
      <c r="EP632" s="72">
        <f>IF(ISERROR(EO632/EG632),"NA",IF(OR(EO632/EG632&gt;2,EO632/EG632&lt;0.5),"NM",EO632/EG632*100-100))</f>
        <v>-2.0907364011897016</v>
      </c>
      <c r="EQ632" s="144">
        <f t="shared" ref="EQ632" si="2950">EO632+EQ616-EQ621</f>
        <v>417.29105933394112</v>
      </c>
      <c r="ER632" s="72">
        <f t="shared" ref="ER632:ER634" si="2951">IF(ISERROR(EQ632/EI632),"NA",IF(OR(EQ632/EI632&gt;2,EQ632/EI632&lt;0.5),"NM",EQ632/EI632*100-100))</f>
        <v>-2.7973306932352386</v>
      </c>
      <c r="ES632" s="144">
        <f t="shared" ref="ES632" si="2952">EQ632+ES616-ES621</f>
        <v>414.00342277650032</v>
      </c>
      <c r="ET632" s="72">
        <f t="shared" ref="ET632:ET634" si="2953">IF(ISERROR(ES632/EK632),"NA",IF(OR(ES632/EK632&gt;2,ES632/EK632&lt;0.5),"NM",ES632/EK632*100-100))</f>
        <v>-2.8973831621355544</v>
      </c>
      <c r="EU632" s="144">
        <f t="shared" ref="EU632" si="2954">ES632+EU616-EU621</f>
        <v>410.75512207595204</v>
      </c>
      <c r="EV632" s="72">
        <f t="shared" ref="EV632:EV634" si="2955">IF(ISERROR(EU632/EM632),"NA",IF(OR(EU632/EM632&gt;2,EU632/EM632&lt;0.5),"NM",EU632/EM632*100-100))</f>
        <v>-2.9906778810142498</v>
      </c>
      <c r="EW632" s="144">
        <f t="shared" ref="EW632" si="2956">EU632+EW616-EW621</f>
        <v>407.54598592433342</v>
      </c>
      <c r="EX632" s="72">
        <f t="shared" ref="EX632:EX634" si="2957">IF(ISERROR(EW632/EO632),"NA",IF(OR(EW632/EO632&gt;2,EW632/EO632&lt;0.5),"NM",EW632/EO632*100-100))</f>
        <v>-3.1078566280302908</v>
      </c>
      <c r="EY632" s="72"/>
      <c r="EZ632" s="336"/>
      <c r="FA632" s="72"/>
      <c r="FB632" s="144"/>
      <c r="FC632" s="87"/>
      <c r="FD632" s="144"/>
      <c r="FE632" s="72"/>
      <c r="FF632" s="144"/>
      <c r="FG632" s="72"/>
      <c r="FH632" s="145"/>
      <c r="FI632" s="72"/>
      <c r="FJ632" s="145"/>
      <c r="FK632" s="72"/>
      <c r="FL632" s="145"/>
      <c r="FM632" s="72"/>
      <c r="FN632" s="145"/>
      <c r="FO632" s="72"/>
      <c r="FP632" s="145"/>
      <c r="FQ632" s="72"/>
      <c r="FR632" s="144"/>
      <c r="FS632" s="72"/>
      <c r="FT632" s="144"/>
      <c r="FU632" s="72"/>
      <c r="FV632" s="144"/>
      <c r="FW632" s="72"/>
      <c r="FX632" s="144"/>
      <c r="FY632" s="72"/>
      <c r="FZ632" s="698">
        <v>483.8</v>
      </c>
      <c r="GA632" s="87" t="str">
        <f>IF(ISERROR(FZ632/FX632),"NA",IF(OR(FZ632/FX632&gt;2,FZ632/FX632&lt;0.5),"NM",FZ632/FX632*100-100))</f>
        <v>NA</v>
      </c>
      <c r="GB632" s="698">
        <v>468</v>
      </c>
      <c r="GC632" s="87">
        <f>IF(ISERROR(GB632/FZ632),"NA",IF(OR(GB632/FZ632&gt;2,GB632/FZ632&lt;0.5),"NM",GB632/FZ632*100-100))</f>
        <v>-3.2658123191401387</v>
      </c>
      <c r="GD632" s="698">
        <v>463</v>
      </c>
      <c r="GE632" s="72">
        <f>IF(ISERROR(GD632/GB632),"NA",IF(OR(GD632/GB632&gt;2,GD632/GB632&lt;0.5),"NM",GD632/GB632*100-100))</f>
        <v>-1.0683760683760681</v>
      </c>
      <c r="GF632" s="171">
        <f>DI632</f>
        <v>461.1</v>
      </c>
      <c r="GG632" s="72">
        <f t="shared" ref="GG632:GU634" si="2958">IF(ISERROR(GF632/GD632),"NA",IF(OR(GF632/GD632&gt;2,GF632/GD632&lt;0.5),"NM",GF632/GD632*100-100))</f>
        <v>-0.41036717062634409</v>
      </c>
      <c r="GH632" s="144">
        <f>DQ632</f>
        <v>454.8</v>
      </c>
      <c r="GI632" s="72">
        <f t="shared" si="2958"/>
        <v>-1.3662979830839248</v>
      </c>
      <c r="GJ632" s="144">
        <f>DY632</f>
        <v>447.1</v>
      </c>
      <c r="GK632" s="72">
        <f t="shared" si="2958"/>
        <v>-1.6930518909410637</v>
      </c>
      <c r="GL632" s="144">
        <f>EG632</f>
        <v>429.6</v>
      </c>
      <c r="GM632" s="72">
        <f t="shared" si="2958"/>
        <v>-3.9141131737866317</v>
      </c>
      <c r="GN632" s="144">
        <f>EO632</f>
        <v>420.61819642048908</v>
      </c>
      <c r="GO632" s="72">
        <f t="shared" si="2958"/>
        <v>-2.0907364011897016</v>
      </c>
      <c r="GP632" s="144">
        <f>EW632</f>
        <v>407.54598592433342</v>
      </c>
      <c r="GQ632" s="72">
        <f t="shared" si="2958"/>
        <v>-3.1078566280302908</v>
      </c>
      <c r="GR632" s="144">
        <f>GP632+GR616-GR621</f>
        <v>395.04488778476519</v>
      </c>
      <c r="GS632" s="72">
        <f t="shared" si="2958"/>
        <v>-3.0674079910798611</v>
      </c>
      <c r="GT632" s="144">
        <f>GR632+GT616-GT621</f>
        <v>382.2686633663007</v>
      </c>
      <c r="GU632" s="72">
        <f t="shared" si="2958"/>
        <v>-3.2341196693134862</v>
      </c>
      <c r="GV632" s="144">
        <f>GT632+GV616-GV621</f>
        <v>370.00433251809295</v>
      </c>
      <c r="GW632" s="72"/>
      <c r="GX632" s="144">
        <f>GV632+GX616-GX621</f>
        <v>358.2071527042425</v>
      </c>
      <c r="GY632" s="72"/>
      <c r="GZ632" s="72">
        <f>IF(ISERROR(((GX632/GN632)^0.2-1)*100),"NA",IF((((GX632/GN632)^0.2-1)*100)&gt;100,"NM",IF((((GX632/GN632)^0.2-1)*100)&lt;-50,"NM",((GX632/GN632)^0.2-1)*100)))</f>
        <v>-3.1612356289830723</v>
      </c>
      <c r="HA632" s="72"/>
      <c r="HB632" s="72"/>
      <c r="HC632"/>
      <c r="HD632"/>
      <c r="HE632"/>
      <c r="HF632"/>
      <c r="HG632"/>
      <c r="HH632"/>
      <c r="HI632" s="2"/>
    </row>
    <row r="633" spans="1:217" s="3" customFormat="1" ht="12.75" customHeight="1" x14ac:dyDescent="0.2">
      <c r="B633" s="18" t="s">
        <v>737</v>
      </c>
      <c r="C633" s="150"/>
      <c r="D633" s="11"/>
      <c r="E633" s="150"/>
      <c r="F633" s="11"/>
      <c r="G633" s="150"/>
      <c r="H633" s="11"/>
      <c r="I633" s="150"/>
      <c r="J633" s="11"/>
      <c r="K633" s="150"/>
      <c r="L633" s="72"/>
      <c r="M633" s="150"/>
      <c r="N633" s="72"/>
      <c r="O633" s="150"/>
      <c r="P633" s="72"/>
      <c r="Q633" s="150"/>
      <c r="R633" s="72"/>
      <c r="S633" s="150"/>
      <c r="T633" s="72"/>
      <c r="U633" s="150"/>
      <c r="V633" s="72"/>
      <c r="W633" s="150"/>
      <c r="X633" s="72"/>
      <c r="Y633" s="150"/>
      <c r="Z633" s="72"/>
      <c r="AA633" s="150"/>
      <c r="AB633" s="72"/>
      <c r="AC633" s="150"/>
      <c r="AD633" s="72"/>
      <c r="AE633" s="150"/>
      <c r="AF633" s="72"/>
      <c r="AG633" s="150"/>
      <c r="AH633" s="72"/>
      <c r="AI633" s="150"/>
      <c r="AJ633" s="72"/>
      <c r="AK633" s="150"/>
      <c r="AL633" s="72"/>
      <c r="AM633" s="150"/>
      <c r="AN633" s="72"/>
      <c r="AO633" s="150"/>
      <c r="AP633" s="72"/>
      <c r="AQ633" s="150"/>
      <c r="AR633" s="72"/>
      <c r="AS633" s="150"/>
      <c r="AT633" s="72"/>
      <c r="AU633" s="150"/>
      <c r="AV633" s="72"/>
      <c r="AW633" s="150"/>
      <c r="AX633" s="72"/>
      <c r="AY633" s="150"/>
      <c r="AZ633" s="72"/>
      <c r="BA633" s="150"/>
      <c r="BB633" s="72"/>
      <c r="BC633" s="150"/>
      <c r="BD633" s="72"/>
      <c r="BE633" s="150"/>
      <c r="BF633" s="72"/>
      <c r="BG633" s="150"/>
      <c r="BH633" s="72"/>
      <c r="BI633" s="150"/>
      <c r="BJ633" s="72"/>
      <c r="BK633" s="150"/>
      <c r="BL633" s="72"/>
      <c r="BM633" s="150"/>
      <c r="BN633" s="72"/>
      <c r="BO633" s="150"/>
      <c r="BP633" s="72"/>
      <c r="BQ633" s="150"/>
      <c r="BR633" s="72"/>
      <c r="BS633" s="150"/>
      <c r="BT633" s="72"/>
      <c r="BU633" s="150"/>
      <c r="BV633" s="72"/>
      <c r="BW633" s="150"/>
      <c r="BX633" s="72"/>
      <c r="BY633" s="150"/>
      <c r="BZ633" s="72"/>
      <c r="CA633" s="150"/>
      <c r="CB633" s="72"/>
      <c r="CC633" s="150"/>
      <c r="CD633" s="72"/>
      <c r="CE633" s="150">
        <v>463</v>
      </c>
      <c r="CF633" s="72"/>
      <c r="CG633" s="150">
        <v>464.3</v>
      </c>
      <c r="CH633" s="72"/>
      <c r="CI633" s="150">
        <v>464.8</v>
      </c>
      <c r="CJ633" s="72"/>
      <c r="CK633" s="150">
        <v>466.8</v>
      </c>
      <c r="CL633" s="72"/>
      <c r="CM633" s="150">
        <v>484.9</v>
      </c>
      <c r="CN633" s="72"/>
      <c r="CO633" s="150">
        <v>486</v>
      </c>
      <c r="CP633" s="72"/>
      <c r="CQ633" s="150">
        <v>481.2</v>
      </c>
      <c r="CR633" s="72"/>
      <c r="CS633" s="150">
        <v>480.2</v>
      </c>
      <c r="CT633" s="72"/>
      <c r="CU633" s="150">
        <v>469.2</v>
      </c>
      <c r="CV633" s="72"/>
      <c r="CW633" s="150">
        <v>466.1</v>
      </c>
      <c r="CX633" s="72"/>
      <c r="CY633" s="150">
        <v>464.4</v>
      </c>
      <c r="CZ633" s="72"/>
      <c r="DA633" s="150">
        <v>465.6</v>
      </c>
      <c r="DB633" s="72"/>
      <c r="DC633" s="150">
        <v>464.3</v>
      </c>
      <c r="DD633" s="72">
        <f>IF(ISERROR(DC633/CU633),"NA",IF(OR(DC633/CU633&gt;2,DC633/CU633&lt;0.5),"NM",DC633/CU633*100-100))</f>
        <v>-1.0443307757885663</v>
      </c>
      <c r="DE633" s="150">
        <v>464.1</v>
      </c>
      <c r="DF633" s="72">
        <f>IF(ISERROR(DE633/CW633),"NA",IF(OR(DE633/CW633&gt;2,DE633/CW633&lt;0.5),"NM",DE633/CW633*100-100))</f>
        <v>-0.42909246942716095</v>
      </c>
      <c r="DG633" s="150">
        <v>462.6</v>
      </c>
      <c r="DH633" s="72">
        <f>IF(ISERROR(DG633/CY633),"NA",IF(OR(DG633/CY633&gt;2,DG633/CY633&lt;0.5),"NM",DG633/CY633*100-100))</f>
        <v>-0.38759689922478913</v>
      </c>
      <c r="DI633" s="150">
        <v>461.5</v>
      </c>
      <c r="DJ633" s="72">
        <f>IF(ISERROR(DI633/DA633),"NA",IF(OR(DI633/DA633&gt;2,DI633/DA633&lt;0.5),"NM",DI633/DA633*100-100))</f>
        <v>-0.88058419243986918</v>
      </c>
      <c r="DK633" s="150">
        <v>460.9</v>
      </c>
      <c r="DL633" s="72">
        <f>IF(ISERROR(DK633/DC633),"NA",IF(OR(DK633/DC633&gt;2,DK633/DC633&lt;0.5),"NM",DK633/DC633*100-100))</f>
        <v>-0.73228516045661252</v>
      </c>
      <c r="DM633" s="150">
        <v>459.4</v>
      </c>
      <c r="DN633" s="72">
        <f>IF(ISERROR(DM633/DE633),"NA",IF(OR(DM633/DE633&gt;2,DM633/DE633&lt;0.5),"NM",DM633/DE633*100-100))</f>
        <v>-1.0127127774186704</v>
      </c>
      <c r="DO633" s="150">
        <v>458</v>
      </c>
      <c r="DP633" s="72">
        <f>IF(ISERROR(DO633/DG633),"NA",IF(OR(DO633/DG633&gt;2,DO633/DG633&lt;0.5),"NM",DO633/DG633*100-100))</f>
        <v>-0.99437959360139416</v>
      </c>
      <c r="DQ633" s="150">
        <v>455.9</v>
      </c>
      <c r="DR633" s="72">
        <f>IF(ISERROR(DQ633/DI633),"NA",IF(OR(DQ633/DI633&gt;2,DQ633/DI633&lt;0.5),"NM",DQ633/DI633*100-100))</f>
        <v>-1.2134344528710699</v>
      </c>
      <c r="DS633" s="150">
        <v>454.3</v>
      </c>
      <c r="DT633" s="72">
        <f>IF(ISERROR(DS633/DK633),"NA",IF(OR(DS633/DK633&gt;2,DS633/DK633&lt;0.5),"NM",DS633/DK633*100-100))</f>
        <v>-1.4319809069212397</v>
      </c>
      <c r="DU633" s="730">
        <v>452.6</v>
      </c>
      <c r="DV633" s="72">
        <f t="shared" si="2949"/>
        <v>-1.4801915542011272</v>
      </c>
      <c r="DW633" s="730">
        <v>451</v>
      </c>
      <c r="DX633" s="72">
        <f t="shared" si="2949"/>
        <v>-1.5283842794759863</v>
      </c>
      <c r="DY633" s="730">
        <v>448.7</v>
      </c>
      <c r="DZ633" s="72">
        <f>IF(ISERROR(DY633/DQ633),"NA",IF(OR(DY633/DQ633&gt;2,DY633/DQ633&lt;0.5),"NM",DY633/DQ633*100-100))</f>
        <v>-1.5792937047598059</v>
      </c>
      <c r="EA633" s="730">
        <v>445.3</v>
      </c>
      <c r="EB633" s="72">
        <f>IF(ISERROR(EA633/DS633),"NA",IF(OR(EA633/DS633&gt;2,EA633/DS633&lt;0.5),"NM",EA633/DS633*100-100))</f>
        <v>-1.9810697776799486</v>
      </c>
      <c r="EC633" s="150">
        <v>441.1</v>
      </c>
      <c r="ED633" s="72">
        <f>IF(ISERROR(EC633/DU633),"NA",IF(OR(EC633/DU633&gt;2,EC633/DU633&lt;0.5),"NM",EC633/DU633*100-100))</f>
        <v>-2.540874944763587</v>
      </c>
      <c r="EE633" s="150">
        <v>435.9</v>
      </c>
      <c r="EF633" s="72">
        <f>IF(ISERROR(EE633/DW633),"NA",IF(OR(EE633/DW633&gt;2,EE633/DW633&lt;0.5),"NM",EE633/DW633*100-100))</f>
        <v>-3.3481152993348218</v>
      </c>
      <c r="EG633" s="150">
        <v>430.7</v>
      </c>
      <c r="EH633" s="72">
        <f>IF(ISERROR(EG633/DY633),"NA",IF(OR(EG633/DY633&gt;2,EG633/DY633&lt;0.5),"NM",EG633/DY633*100-100))</f>
        <v>-4.0115890349899672</v>
      </c>
      <c r="EI633" s="150">
        <v>429.9</v>
      </c>
      <c r="EJ633" s="72">
        <f>IF(ISERROR(EI633/EA633),"NA",IF(OR(EI633/EA633&gt;2,EI633/EA633&lt;0.5),"NM",EI633/EA633*100-100))</f>
        <v>-3.4583426903211318</v>
      </c>
      <c r="EK633" s="150">
        <v>428.3</v>
      </c>
      <c r="EL633" s="72">
        <f>IF(ISERROR(EK633/EC633),"NA",IF(OR(EK633/EC633&gt;2,EK633/EC633&lt;0.5),"NM",EK633/EC633*100-100))</f>
        <v>-2.9018363182951674</v>
      </c>
      <c r="EM633" s="150">
        <v>426.2</v>
      </c>
      <c r="EN633" s="72">
        <f>IF(ISERROR(EM633/EE633),"NA",IF(OR(EM633/EE633&gt;2,EM633/EE633&lt;0.5),"NM",EM633/EE633*100-100))</f>
        <v>-2.225281027758669</v>
      </c>
      <c r="EO633" s="150">
        <v>423.7</v>
      </c>
      <c r="EP633" s="72">
        <f>IF(ISERROR(EO633/EG633),"NA",IF(OR(EO633/EG633&gt;2,EO633/EG633&lt;0.5),"NM",EO633/EG633*100-100))</f>
        <v>-1.6252612026932951</v>
      </c>
      <c r="EQ633" s="144">
        <f t="shared" ref="EQ633" si="2959">EO632+EQ616*(1-EQ618/100)-EQ621*(1-EQ623/100)</f>
        <v>418.9546278772151</v>
      </c>
      <c r="ER633" s="72">
        <f t="shared" si="2951"/>
        <v>-2.546027476805051</v>
      </c>
      <c r="ES633" s="144">
        <f t="shared" ref="ES633" si="2960">EQ632+ES616*(1-ES618/100)-ES621*(1-ES623/100)</f>
        <v>415.64724105522072</v>
      </c>
      <c r="ET633" s="72">
        <f t="shared" si="2953"/>
        <v>-2.9541814020031154</v>
      </c>
      <c r="EU633" s="144">
        <f t="shared" ref="EU633" si="2961">ES632+EU616*(1-EU618/100)-EU621*(1-EU623/100)</f>
        <v>412.37927242622618</v>
      </c>
      <c r="EV633" s="72">
        <f t="shared" si="2955"/>
        <v>-3.2427798155264611</v>
      </c>
      <c r="EW633" s="144">
        <f t="shared" ref="EW633" si="2962">EU632+EW616*(1-EW618/100)-EW621*(1-EW623/100)</f>
        <v>409.15055400014273</v>
      </c>
      <c r="EX633" s="72">
        <f t="shared" si="2957"/>
        <v>-3.4339027613540765</v>
      </c>
      <c r="EY633" s="72"/>
      <c r="EZ633" s="336"/>
      <c r="FA633" s="72"/>
      <c r="FB633" s="144"/>
      <c r="FC633" s="87"/>
      <c r="FD633" s="144"/>
      <c r="FE633" s="72"/>
      <c r="FF633" s="144"/>
      <c r="FG633" s="72"/>
      <c r="FH633" s="145"/>
      <c r="FI633" s="72"/>
      <c r="FJ633" s="145"/>
      <c r="FK633" s="72"/>
      <c r="FL633" s="145"/>
      <c r="FM633" s="72"/>
      <c r="FN633" s="145"/>
      <c r="FO633" s="72"/>
      <c r="FP633" s="145"/>
      <c r="FQ633" s="72"/>
      <c r="FR633" s="144"/>
      <c r="FS633" s="72"/>
      <c r="FT633" s="144"/>
      <c r="FU633" s="72"/>
      <c r="FV633" s="150"/>
      <c r="FW633" s="72"/>
      <c r="FX633" s="144"/>
      <c r="FY633" s="72"/>
      <c r="FZ633" s="698">
        <v>466.8</v>
      </c>
      <c r="GA633" s="87" t="str">
        <f>IF(ISERROR(FZ633/FX633),"NA",IF(OR(FZ633/FX633&gt;2,FZ633/FX633&lt;0.5),"NM",FZ633/FX633*100-100))</f>
        <v>NA</v>
      </c>
      <c r="GB633" s="698">
        <v>480.2</v>
      </c>
      <c r="GC633" s="87">
        <f>IF(ISERROR(GB633/FZ633),"NA",IF(OR(GB633/FZ633&gt;2,GB633/FZ633&lt;0.5),"NM",GB633/FZ633*100-100))</f>
        <v>2.8706083976006767</v>
      </c>
      <c r="GD633" s="698">
        <v>465.6</v>
      </c>
      <c r="GE633" s="72">
        <f>IF(ISERROR(GD633/GB633),"NA",IF(OR(GD633/GB633&gt;2,GD633/GB633&lt;0.5),"NM",GD633/GB633*100-100))</f>
        <v>-3.0403998334027449</v>
      </c>
      <c r="GF633" s="171">
        <f>AVERAGE(DI633,DG633,DE633,DC633)</f>
        <v>463.125</v>
      </c>
      <c r="GG633" s="72">
        <f t="shared" si="2958"/>
        <v>-0.53157216494845727</v>
      </c>
      <c r="GH633" s="696">
        <v>458.5</v>
      </c>
      <c r="GI633" s="72">
        <f t="shared" si="2958"/>
        <v>-0.99865047233468829</v>
      </c>
      <c r="GJ633" s="144">
        <f>AVERAGE(DY633,DW633,DU633,DS633)</f>
        <v>451.65000000000003</v>
      </c>
      <c r="GK633" s="72">
        <f t="shared" si="2958"/>
        <v>-1.4940021810250812</v>
      </c>
      <c r="GL633" s="144">
        <f>AVERAGE(EG633,EE633,EC633,EA633)</f>
        <v>438.24999999999994</v>
      </c>
      <c r="GM633" s="72">
        <f t="shared" si="2958"/>
        <v>-2.9668991475700466</v>
      </c>
      <c r="GN633" s="144">
        <f>AVERAGE(EO633,EM633,EK633,EI633)</f>
        <v>427.02499999999998</v>
      </c>
      <c r="GO633" s="72">
        <f t="shared" si="2958"/>
        <v>-2.561323445521964</v>
      </c>
      <c r="GP633" s="144">
        <f>AVERAGE(EW633,EU633,ES633,EQ633)</f>
        <v>414.0329238397012</v>
      </c>
      <c r="GQ633" s="72">
        <f t="shared" si="2958"/>
        <v>-3.0424626568230906</v>
      </c>
      <c r="GR633" s="144">
        <f>GP632+GR616*(1-GR618/100)-GR621*(1-GR623/100)</f>
        <v>400.67038194757089</v>
      </c>
      <c r="GS633" s="72">
        <f t="shared" si="2958"/>
        <v>-3.2274104600685831</v>
      </c>
      <c r="GT633" s="144">
        <f>GR632+GT616*(1-GT618/100)-GT621*(1-GT623/100)</f>
        <v>387.76243986624041</v>
      </c>
      <c r="GU633" s="72">
        <f t="shared" si="2958"/>
        <v>-3.2215862871090621</v>
      </c>
      <c r="GV633" s="144">
        <f>GT632+GV616*(1-GV618/100)-GV621*(1-GV623/100)</f>
        <v>376.38178455916096</v>
      </c>
      <c r="GW633" s="72"/>
      <c r="GX633" s="144">
        <f>GV632+GX616*(1-GX618/100)-GX621*(1-GX623/100)</f>
        <v>364.10574261116773</v>
      </c>
      <c r="GY633" s="72"/>
      <c r="GZ633" s="72">
        <f>IF(ISERROR(((GX633/GN633)^0.2-1)*100),"NA",IF((((GX633/GN633)^0.2-1)*100)&gt;100,"NM",IF((((GX633/GN633)^0.2-1)*100)&lt;-50,"NM",((GX633/GN633)^0.2-1)*100)))</f>
        <v>-3.13768477290155</v>
      </c>
      <c r="HA633" s="72"/>
      <c r="HB633" s="72"/>
      <c r="HC633"/>
      <c r="HD633"/>
      <c r="HE633"/>
      <c r="HF633"/>
      <c r="HG633"/>
      <c r="HH633"/>
      <c r="HI633" s="2"/>
    </row>
    <row r="634" spans="1:217" s="3" customFormat="1" ht="12.75" customHeight="1" x14ac:dyDescent="0.2">
      <c r="B634" s="4" t="s">
        <v>736</v>
      </c>
      <c r="C634" s="150"/>
      <c r="D634" s="11"/>
      <c r="E634" s="150"/>
      <c r="F634" s="167"/>
      <c r="G634" s="150"/>
      <c r="H634" s="167"/>
      <c r="I634" s="150"/>
      <c r="J634" s="167"/>
      <c r="K634" s="144"/>
      <c r="L634" s="72"/>
      <c r="M634" s="144"/>
      <c r="N634" s="72"/>
      <c r="O634" s="144"/>
      <c r="P634" s="72"/>
      <c r="Q634" s="144"/>
      <c r="R634" s="72"/>
      <c r="S634" s="144"/>
      <c r="T634" s="72"/>
      <c r="U634" s="144"/>
      <c r="V634" s="72"/>
      <c r="W634" s="144"/>
      <c r="X634" s="72"/>
      <c r="Y634" s="144"/>
      <c r="Z634" s="72"/>
      <c r="AA634" s="144"/>
      <c r="AB634" s="72"/>
      <c r="AC634" s="144"/>
      <c r="AD634" s="72"/>
      <c r="AE634" s="144"/>
      <c r="AF634" s="72"/>
      <c r="AG634" s="144"/>
      <c r="AH634" s="72"/>
      <c r="AI634" s="144"/>
      <c r="AJ634" s="72"/>
      <c r="AK634" s="144"/>
      <c r="AL634" s="72"/>
      <c r="AM634" s="144"/>
      <c r="AN634" s="72"/>
      <c r="AO634" s="144"/>
      <c r="AP634" s="72"/>
      <c r="AQ634" s="144"/>
      <c r="AR634" s="72"/>
      <c r="AS634" s="144"/>
      <c r="AT634" s="72"/>
      <c r="AU634" s="144"/>
      <c r="AV634" s="72"/>
      <c r="AW634" s="144"/>
      <c r="AX634" s="72"/>
      <c r="AY634" s="144"/>
      <c r="AZ634" s="72"/>
      <c r="BA634" s="144"/>
      <c r="BB634" s="72"/>
      <c r="BC634" s="144"/>
      <c r="BD634" s="72"/>
      <c r="BE634" s="144"/>
      <c r="BF634" s="72"/>
      <c r="BG634" s="144"/>
      <c r="BH634" s="72"/>
      <c r="BI634" s="144"/>
      <c r="BJ634" s="72"/>
      <c r="BK634" s="144"/>
      <c r="BL634" s="72"/>
      <c r="BM634" s="144"/>
      <c r="BN634" s="72"/>
      <c r="BO634" s="144"/>
      <c r="BP634" s="72"/>
      <c r="BQ634" s="144"/>
      <c r="BR634" s="72"/>
      <c r="BS634" s="144"/>
      <c r="BT634" s="72"/>
      <c r="BU634" s="144"/>
      <c r="BV634" s="72"/>
      <c r="BW634" s="144"/>
      <c r="BX634" s="72"/>
      <c r="BY634" s="144"/>
      <c r="BZ634" s="72"/>
      <c r="CA634" s="144"/>
      <c r="CB634" s="72"/>
      <c r="CC634" s="144">
        <f t="shared" ref="CC634:DA634" si="2963">CC636-CC633</f>
        <v>470.3</v>
      </c>
      <c r="CD634" s="72"/>
      <c r="CE634" s="144">
        <f t="shared" si="2963"/>
        <v>8.5</v>
      </c>
      <c r="CF634" s="72"/>
      <c r="CG634" s="144">
        <f t="shared" si="2963"/>
        <v>9</v>
      </c>
      <c r="CH634" s="72"/>
      <c r="CI634" s="144">
        <f t="shared" si="2963"/>
        <v>8.3999999999999773</v>
      </c>
      <c r="CJ634" s="72"/>
      <c r="CK634" s="144">
        <f t="shared" si="2963"/>
        <v>16.699999999999989</v>
      </c>
      <c r="CL634" s="72"/>
      <c r="CM634" s="144">
        <f t="shared" si="2963"/>
        <v>9</v>
      </c>
      <c r="CN634" s="72"/>
      <c r="CO634" s="144">
        <f t="shared" si="2963"/>
        <v>8.8000000000000114</v>
      </c>
      <c r="CP634" s="72"/>
      <c r="CQ634" s="144">
        <f t="shared" si="2963"/>
        <v>8.1000000000000227</v>
      </c>
      <c r="CR634" s="72"/>
      <c r="CS634" s="144">
        <f t="shared" si="2963"/>
        <v>-3.1999999999999886</v>
      </c>
      <c r="CT634" s="144"/>
      <c r="CU634" s="144">
        <f t="shared" si="2963"/>
        <v>8.3000000000000114</v>
      </c>
      <c r="CV634" s="144"/>
      <c r="CW634" s="144">
        <f t="shared" si="2963"/>
        <v>7.3999999999999773</v>
      </c>
      <c r="CX634" s="144"/>
      <c r="CY634" s="144">
        <f t="shared" si="2963"/>
        <v>7.4000000000000341</v>
      </c>
      <c r="CZ634" s="144"/>
      <c r="DA634" s="144">
        <f t="shared" si="2963"/>
        <v>4.2999999999999545</v>
      </c>
      <c r="DB634" s="144"/>
      <c r="DC634" s="144">
        <f>DC636-DC633</f>
        <v>7.3999999999999773</v>
      </c>
      <c r="DD634" s="72">
        <f>IF(ISERROR(DC634/CU634),"NA",IF(OR(DC634/CU634&gt;2,DC634/CU634&lt;0.5),"NM",DC634/CU634*100-100))</f>
        <v>-10.843373493976301</v>
      </c>
      <c r="DE634" s="144">
        <f>DE636-DE633</f>
        <v>8.0999999999999659</v>
      </c>
      <c r="DF634" s="72">
        <f>IF(ISERROR(DE634/CW634),"NA",IF(OR(DE634/CW634&gt;2,DE634/CW634&lt;0.5),"NM",DE634/CW634*100-100))</f>
        <v>9.4594594594593389</v>
      </c>
      <c r="DG634" s="144">
        <f>DG636-DG633</f>
        <v>9.3999999999999773</v>
      </c>
      <c r="DH634" s="72">
        <f>IF(ISERROR(DG634/CY634),"NA",IF(OR(DG634/CY634&gt;2,DG634/CY634&lt;0.5),"NM",DG634/CY634*100-100))</f>
        <v>27.027027027026122</v>
      </c>
      <c r="DI634" s="144">
        <f>DI636-DI633</f>
        <v>9.6999999999999886</v>
      </c>
      <c r="DJ634" s="72" t="str">
        <f>IF(ISERROR(DI634/DA634),"NA",IF(OR(DI634/DA634&gt;2,DI634/DA634&lt;0.5),"NM",DI634/DA634*100-100))</f>
        <v>NM</v>
      </c>
      <c r="DK634" s="144">
        <f>DK636-DK633</f>
        <v>11.400000000000034</v>
      </c>
      <c r="DL634" s="72">
        <f>IF(ISERROR(DK634/DC634),"NA",IF(OR(DK634/DC634&gt;2,DK634/DC634&lt;0.5),"NM",DK634/DC634*100-100))</f>
        <v>54.054054054055001</v>
      </c>
      <c r="DM634" s="144">
        <f>DM636-DM633</f>
        <v>11.400000000000034</v>
      </c>
      <c r="DN634" s="72">
        <f>IF(ISERROR(DM634/DE634),"NA",IF(OR(DM634/DE634&gt;2,DM634/DE634&lt;0.5),"NM",DM634/DE634*100-100))</f>
        <v>40.740740740741757</v>
      </c>
      <c r="DO634" s="144">
        <f>DO636-DO633</f>
        <v>11</v>
      </c>
      <c r="DP634" s="72">
        <f>IF(ISERROR(DO634/DG634),"NA",IF(OR(DO634/DG634&gt;2,DO634/DG634&lt;0.5),"NM",DO634/DG634*100-100))</f>
        <v>17.021276595744979</v>
      </c>
      <c r="DQ634" s="144">
        <f>DQ636-DQ633</f>
        <v>11</v>
      </c>
      <c r="DR634" s="72">
        <f>IF(ISERROR(DQ634/DI634),"NA",IF(OR(DQ634/DI634&gt;2,DQ634/DI634&lt;0.5),"NM",DQ634/DI634*100-100))</f>
        <v>13.40206185567024</v>
      </c>
      <c r="DS634" s="144">
        <f>DS636-DS633-DS635</f>
        <v>8.699999999999978</v>
      </c>
      <c r="DT634" s="72">
        <f>IF(ISERROR(DS634/DK634),"NA",IF(OR(DS634/DK634&gt;2,DS634/DK634&lt;0.5),"NM",DS634/DK634*100-100))</f>
        <v>-23.684210526316207</v>
      </c>
      <c r="DU634" s="144">
        <f>DU636-DU633-DU635</f>
        <v>8.7999999999999776</v>
      </c>
      <c r="DV634" s="72">
        <f t="shared" si="2949"/>
        <v>-22.80701754386007</v>
      </c>
      <c r="DW634" s="144">
        <f>DW636-DW633-DW635</f>
        <v>8.6999999999999886</v>
      </c>
      <c r="DX634" s="72">
        <f t="shared" si="2949"/>
        <v>-20.909090909091006</v>
      </c>
      <c r="DY634" s="144">
        <f>DY636-DY633-DY635</f>
        <v>8.7999999999999883</v>
      </c>
      <c r="DZ634" s="72">
        <f>IF(ISERROR(DY634/DQ634),"NA",IF(OR(DY634/DQ634&gt;2,DY634/DQ634&lt;0.5),"NM",DY634/DQ634*100-100))</f>
        <v>-20.000000000000114</v>
      </c>
      <c r="EA634" s="144">
        <f>EA636-EA633-EA635</f>
        <v>7.8999999999999542</v>
      </c>
      <c r="EB634" s="72">
        <f>IF(ISERROR(EA634/DS634),"NA",IF(OR(EA634/DS634&gt;2,EA634/DS634&lt;0.5),"NM",EA634/DS634*100-100))</f>
        <v>-9.1954022988508797</v>
      </c>
      <c r="EC634" s="144">
        <f>EC636-EC633-EC635</f>
        <v>4.4999999999999885</v>
      </c>
      <c r="ED634" s="72">
        <f>IF(ISERROR(EC634/DU634),"NA",IF(OR(EC634/DU634&gt;2,EC634/DU634&lt;0.5),"NM",EC634/DU634*100-100))</f>
        <v>-48.863636363636367</v>
      </c>
      <c r="EE634" s="144">
        <f>EE636-EE633-EE635</f>
        <v>5.1000000000000343</v>
      </c>
      <c r="EF634" s="72">
        <f>IF(ISERROR(EE634/DW634),"NA",IF(OR(EE634/DW634&gt;2,EE634/DW634&lt;0.5),"NM",EE634/DW634*100-100))</f>
        <v>-41.379310344827111</v>
      </c>
      <c r="EG634" s="144">
        <f>EG636-EG633-EG635</f>
        <v>6.7000000000000224</v>
      </c>
      <c r="EH634" s="72">
        <f>IF(ISERROR(EG634/DY634),"NA",IF(OR(EG634/DY634&gt;2,EG634/DY634&lt;0.5),"NM",EG634/DY634*100-100))</f>
        <v>-23.863636363636004</v>
      </c>
      <c r="EI634" s="144">
        <f>EI636-EI633-EI635</f>
        <v>9.2000000000000455</v>
      </c>
      <c r="EJ634" s="72">
        <f>IF(ISERROR(EI634/EA634),"NA",IF(OR(EI634/EA634&gt;2,EI634/EA634&lt;0.5),"NM",EI634/EA634*100-100))</f>
        <v>16.455696202532891</v>
      </c>
      <c r="EK634" s="144">
        <f>EI634</f>
        <v>9.2000000000000455</v>
      </c>
      <c r="EL634" s="72" t="str">
        <f>IF(ISERROR(EK634/EC634),"NA",IF(OR(EK634/EC634&gt;2,EK634/EC634&lt;0.5),"NM",EK634/EC634*100-100))</f>
        <v>NM</v>
      </c>
      <c r="EM634" s="144">
        <f>EK634</f>
        <v>9.2000000000000455</v>
      </c>
      <c r="EN634" s="72">
        <f>IF(ISERROR(EM634/EE634),"NA",IF(OR(EM634/EE634&gt;2,EM634/EE634&lt;0.5),"NM",EM634/EE634*100-100))</f>
        <v>80.39215686274477</v>
      </c>
      <c r="EO634" s="144">
        <f>EM634</f>
        <v>9.2000000000000455</v>
      </c>
      <c r="EP634" s="72">
        <f>IF(ISERROR(EO634/EG634),"NA",IF(OR(EO634/EG634&gt;2,EO634/EG634&lt;0.5),"NM",EO634/EG634*100-100))</f>
        <v>37.313432835821118</v>
      </c>
      <c r="EQ634" s="144">
        <f t="shared" ref="EQ634:EQ635" si="2964">EO634</f>
        <v>9.2000000000000455</v>
      </c>
      <c r="ER634" s="72">
        <f t="shared" si="2951"/>
        <v>0</v>
      </c>
      <c r="ES634" s="144">
        <f t="shared" ref="ES634:ES635" si="2965">EQ634</f>
        <v>9.2000000000000455</v>
      </c>
      <c r="ET634" s="72">
        <f t="shared" si="2953"/>
        <v>0</v>
      </c>
      <c r="EU634" s="144">
        <f t="shared" ref="EU634:EU635" si="2966">ES634</f>
        <v>9.2000000000000455</v>
      </c>
      <c r="EV634" s="72">
        <f t="shared" si="2955"/>
        <v>0</v>
      </c>
      <c r="EW634" s="144">
        <f t="shared" ref="EW634:EW635" si="2967">EU634</f>
        <v>9.2000000000000455</v>
      </c>
      <c r="EX634" s="72">
        <f t="shared" si="2957"/>
        <v>0</v>
      </c>
      <c r="EY634" s="72"/>
      <c r="EZ634" s="336"/>
      <c r="FA634" s="72"/>
      <c r="FB634" s="144"/>
      <c r="FC634" s="87"/>
      <c r="FD634" s="144"/>
      <c r="FE634" s="72"/>
      <c r="FF634" s="144"/>
      <c r="FG634" s="72"/>
      <c r="FH634" s="145"/>
      <c r="FI634" s="72"/>
      <c r="FJ634" s="145"/>
      <c r="FK634" s="72"/>
      <c r="FL634" s="145"/>
      <c r="FM634" s="72"/>
      <c r="FN634" s="145"/>
      <c r="FO634" s="72"/>
      <c r="FP634" s="145"/>
      <c r="FQ634" s="72"/>
      <c r="FR634" s="144"/>
      <c r="FS634" s="72"/>
      <c r="FT634" s="144"/>
      <c r="FU634" s="72"/>
      <c r="FV634" s="144"/>
      <c r="FW634" s="72"/>
      <c r="FX634" s="144"/>
      <c r="FY634" s="72"/>
      <c r="FZ634" s="144">
        <f>FZ636-FZ633</f>
        <v>8.5749999999999886</v>
      </c>
      <c r="GA634" s="72" t="str">
        <f>IF(ISERROR(FZ634/FX634),"NA",IF(OR(FZ634/FX634&gt;2,FZ634/FX634&lt;0.5),"NM",FZ634/FX634*100-100))</f>
        <v>NA</v>
      </c>
      <c r="GB634" s="144">
        <f>GB636-GB633</f>
        <v>8.5500000000000114</v>
      </c>
      <c r="GC634" s="72">
        <f>IF(ISERROR(GB634/FZ634),"NA",IF(OR(GB634/FZ634&gt;2,GB634/FZ634&lt;0.5),"NM",GB634/FZ634*100-100))</f>
        <v>-0.29154518950410591</v>
      </c>
      <c r="GD634" s="144">
        <f>GD636-GD633</f>
        <v>7.5749999999999886</v>
      </c>
      <c r="GE634" s="72">
        <f>IF(ISERROR(GD634/GB634),"NA",IF(OR(GD634/GB634&gt;2,GD634/GB634&lt;0.5),"NM",GD634/GB634*100-100))</f>
        <v>-11.403508771930078</v>
      </c>
      <c r="GF634" s="144">
        <f>GF636-GF633</f>
        <v>8.6500000000000341</v>
      </c>
      <c r="GG634" s="72">
        <f t="shared" si="2958"/>
        <v>14.191419141914821</v>
      </c>
      <c r="GH634" s="144">
        <f>GH636-GH633</f>
        <v>9.1999999999999886</v>
      </c>
      <c r="GI634" s="72">
        <f t="shared" si="2958"/>
        <v>6.3583815028896282</v>
      </c>
      <c r="GJ634" s="144">
        <f>GJ636-GJ633-GJ635</f>
        <v>8.7499999999999538</v>
      </c>
      <c r="GK634" s="72">
        <f t="shared" si="2958"/>
        <v>-4.8913043478264768</v>
      </c>
      <c r="GL634" s="144">
        <f>GL636-GL633-GL635</f>
        <v>6.0500000000000576</v>
      </c>
      <c r="GM634" s="72">
        <f t="shared" si="2958"/>
        <v>-30.857142857141838</v>
      </c>
      <c r="GN634" s="144">
        <f>GN636-GN633-GN635</f>
        <v>8.6100000000000136</v>
      </c>
      <c r="GO634" s="72">
        <f t="shared" si="2958"/>
        <v>42.314049586775724</v>
      </c>
      <c r="GP634" s="144">
        <f>GP636-GP633-GP635</f>
        <v>9.2000000000000224</v>
      </c>
      <c r="GQ634" s="72">
        <f t="shared" si="2958"/>
        <v>6.852497096399631</v>
      </c>
      <c r="GR634" s="144">
        <f>GP634</f>
        <v>9.2000000000000224</v>
      </c>
      <c r="GS634" s="72">
        <f t="shared" si="2958"/>
        <v>0</v>
      </c>
      <c r="GT634" s="144">
        <f>GR634</f>
        <v>9.2000000000000224</v>
      </c>
      <c r="GU634" s="72">
        <f t="shared" si="2958"/>
        <v>0</v>
      </c>
      <c r="GV634" s="144">
        <f>GT634</f>
        <v>9.2000000000000224</v>
      </c>
      <c r="GW634" s="72"/>
      <c r="GX634" s="144">
        <f>GV634</f>
        <v>9.2000000000000224</v>
      </c>
      <c r="GY634" s="72"/>
      <c r="GZ634" s="72">
        <f>IF(ISERROR(((GX634/GN634)^0.2-1)*100),"NA",IF((((GX634/GN634)^0.2-1)*100)&gt;100,"NM",IF((((GX634/GN634)^0.2-1)*100)&lt;-50,"NM",((GX634/GN634)^0.2-1)*100)))</f>
        <v>1.3344081181688949</v>
      </c>
      <c r="HA634" s="72"/>
      <c r="HB634" s="72"/>
      <c r="HC634"/>
      <c r="HD634"/>
      <c r="HE634"/>
      <c r="HF634"/>
      <c r="HG634"/>
      <c r="HH634"/>
      <c r="HI634" s="2"/>
    </row>
    <row r="635" spans="1:217" s="3" customFormat="1" ht="12.75" customHeight="1" x14ac:dyDescent="0.2">
      <c r="B635" s="4" t="s">
        <v>767</v>
      </c>
      <c r="C635" s="150"/>
      <c r="D635" s="11"/>
      <c r="E635" s="150"/>
      <c r="F635" s="167"/>
      <c r="G635" s="150"/>
      <c r="H635" s="167"/>
      <c r="I635" s="150"/>
      <c r="J635" s="167"/>
      <c r="K635" s="144"/>
      <c r="L635" s="72"/>
      <c r="M635" s="144"/>
      <c r="N635" s="72"/>
      <c r="O635" s="144"/>
      <c r="P635" s="72"/>
      <c r="Q635" s="144"/>
      <c r="R635" s="72"/>
      <c r="S635" s="144"/>
      <c r="T635" s="72"/>
      <c r="U635" s="144"/>
      <c r="V635" s="72"/>
      <c r="W635" s="144"/>
      <c r="X635" s="72"/>
      <c r="Y635" s="144"/>
      <c r="Z635" s="72"/>
      <c r="AA635" s="144"/>
      <c r="AB635" s="72"/>
      <c r="AC635" s="144"/>
      <c r="AD635" s="72"/>
      <c r="AE635" s="144"/>
      <c r="AF635" s="72"/>
      <c r="AG635" s="144"/>
      <c r="AH635" s="72"/>
      <c r="AI635" s="144"/>
      <c r="AJ635" s="72"/>
      <c r="AK635" s="144"/>
      <c r="AL635" s="72"/>
      <c r="AM635" s="144"/>
      <c r="AN635" s="72"/>
      <c r="AO635" s="144"/>
      <c r="AP635" s="72"/>
      <c r="AQ635" s="144"/>
      <c r="AR635" s="72"/>
      <c r="AS635" s="144"/>
      <c r="AT635" s="72"/>
      <c r="AU635" s="144"/>
      <c r="AV635" s="72"/>
      <c r="AW635" s="144"/>
      <c r="AX635" s="72"/>
      <c r="AY635" s="144"/>
      <c r="AZ635" s="72"/>
      <c r="BA635" s="144"/>
      <c r="BB635" s="72"/>
      <c r="BC635" s="144"/>
      <c r="BD635" s="72"/>
      <c r="BE635" s="144"/>
      <c r="BF635" s="72"/>
      <c r="BG635" s="144"/>
      <c r="BH635" s="72"/>
      <c r="BI635" s="144"/>
      <c r="BJ635" s="72"/>
      <c r="BK635" s="144"/>
      <c r="BL635" s="72"/>
      <c r="BM635" s="144"/>
      <c r="BN635" s="72"/>
      <c r="BO635" s="144"/>
      <c r="BP635" s="72"/>
      <c r="BQ635" s="144"/>
      <c r="BR635" s="72"/>
      <c r="BS635" s="144"/>
      <c r="BT635" s="72"/>
      <c r="BU635" s="144"/>
      <c r="BV635" s="72"/>
      <c r="BW635" s="144"/>
      <c r="BX635" s="72"/>
      <c r="BY635" s="144"/>
      <c r="BZ635" s="72"/>
      <c r="CA635" s="144"/>
      <c r="CB635" s="72"/>
      <c r="CC635" s="144"/>
      <c r="CD635" s="72"/>
      <c r="CE635" s="144"/>
      <c r="CF635" s="72"/>
      <c r="CG635" s="144"/>
      <c r="CH635" s="72"/>
      <c r="CI635" s="144"/>
      <c r="CJ635" s="72"/>
      <c r="CK635" s="144"/>
      <c r="CL635" s="72"/>
      <c r="CM635" s="144"/>
      <c r="CN635" s="72"/>
      <c r="CO635" s="144"/>
      <c r="CP635" s="72"/>
      <c r="CQ635" s="144"/>
      <c r="CR635" s="72"/>
      <c r="CS635" s="144"/>
      <c r="CT635" s="144"/>
      <c r="CU635" s="144"/>
      <c r="CV635" s="144"/>
      <c r="CW635" s="144"/>
      <c r="CX635" s="144"/>
      <c r="CY635" s="144"/>
      <c r="CZ635" s="144"/>
      <c r="DA635" s="144"/>
      <c r="DB635" s="144"/>
      <c r="DC635" s="144"/>
      <c r="DD635" s="72"/>
      <c r="DE635" s="144"/>
      <c r="DF635" s="72"/>
      <c r="DG635" s="144"/>
      <c r="DH635" s="72"/>
      <c r="DI635" s="144"/>
      <c r="DJ635" s="72"/>
      <c r="DK635" s="730">
        <v>2</v>
      </c>
      <c r="DL635" s="72"/>
      <c r="DM635" s="730">
        <v>2.2999999999999998</v>
      </c>
      <c r="DN635" s="730"/>
      <c r="DO635" s="730">
        <v>1.8</v>
      </c>
      <c r="DP635" s="72"/>
      <c r="DQ635" s="730">
        <v>1.9</v>
      </c>
      <c r="DR635" s="72"/>
      <c r="DS635" s="730">
        <v>2.7</v>
      </c>
      <c r="DT635" s="72"/>
      <c r="DU635" s="730">
        <v>2.1</v>
      </c>
      <c r="DV635" s="72"/>
      <c r="DW635" s="730">
        <v>2.5</v>
      </c>
      <c r="DX635" s="72"/>
      <c r="DY635" s="730">
        <v>2.4</v>
      </c>
      <c r="DZ635" s="72"/>
      <c r="EA635" s="730">
        <f>3.9+0.5</f>
        <v>4.4000000000000004</v>
      </c>
      <c r="EB635" s="72"/>
      <c r="EC635" s="150">
        <v>3.7</v>
      </c>
      <c r="ED635" s="72"/>
      <c r="EE635" s="150">
        <v>3.3</v>
      </c>
      <c r="EF635" s="72"/>
      <c r="EG635" s="150">
        <v>2.4</v>
      </c>
      <c r="EH635" s="72"/>
      <c r="EI635" s="150">
        <v>0</v>
      </c>
      <c r="EJ635" s="72"/>
      <c r="EK635" s="150">
        <v>0.7</v>
      </c>
      <c r="EL635" s="72"/>
      <c r="EM635" s="150">
        <v>0.4</v>
      </c>
      <c r="EN635" s="859"/>
      <c r="EO635" s="150">
        <v>0.4</v>
      </c>
      <c r="EP635" s="72"/>
      <c r="EQ635" s="144">
        <f t="shared" si="2964"/>
        <v>0.4</v>
      </c>
      <c r="ER635" s="72"/>
      <c r="ES635" s="144">
        <f t="shared" si="2965"/>
        <v>0.4</v>
      </c>
      <c r="ET635" s="72"/>
      <c r="EU635" s="144">
        <f t="shared" si="2966"/>
        <v>0.4</v>
      </c>
      <c r="EV635" s="72"/>
      <c r="EW635" s="144">
        <f t="shared" si="2967"/>
        <v>0.4</v>
      </c>
      <c r="EX635" s="72"/>
      <c r="EY635" s="72"/>
      <c r="EZ635" s="336"/>
      <c r="FA635" s="72"/>
      <c r="FB635" s="144"/>
      <c r="FC635" s="87"/>
      <c r="FD635" s="144"/>
      <c r="FE635" s="72"/>
      <c r="FF635" s="144"/>
      <c r="FG635" s="72"/>
      <c r="FH635" s="145"/>
      <c r="FI635" s="72"/>
      <c r="FJ635" s="145"/>
      <c r="FK635" s="72"/>
      <c r="FL635" s="145"/>
      <c r="FM635" s="72"/>
      <c r="FN635" s="145"/>
      <c r="FO635" s="72"/>
      <c r="FP635" s="145"/>
      <c r="FQ635" s="72"/>
      <c r="FR635" s="144"/>
      <c r="FS635" s="72"/>
      <c r="FT635" s="144"/>
      <c r="FU635" s="72"/>
      <c r="FV635" s="144"/>
      <c r="FW635" s="72"/>
      <c r="FX635" s="144"/>
      <c r="FY635" s="72"/>
      <c r="FZ635" s="144"/>
      <c r="GA635" s="72"/>
      <c r="GB635" s="144"/>
      <c r="GC635" s="72"/>
      <c r="GD635" s="144"/>
      <c r="GE635" s="72"/>
      <c r="GF635" s="144"/>
      <c r="GG635" s="72"/>
      <c r="GH635" s="144"/>
      <c r="GI635" s="72"/>
      <c r="GJ635" s="144">
        <f>AVERAGE(DY635,DW635,DU635,DS635)</f>
        <v>2.4249999999999998</v>
      </c>
      <c r="GK635" s="72"/>
      <c r="GL635" s="144">
        <f>AVERAGE(EG635,EE635,EC635,EA635)</f>
        <v>3.4499999999999997</v>
      </c>
      <c r="GM635" s="72"/>
      <c r="GN635" s="144">
        <f>AVERAGE(EO635,EM635,EK635,EI635)</f>
        <v>0.375</v>
      </c>
      <c r="GO635" s="72"/>
      <c r="GP635" s="144">
        <f>AVERAGE(EW635,EU635,ES635,EQ635)</f>
        <v>0.4</v>
      </c>
      <c r="GQ635" s="72"/>
      <c r="GR635" s="144">
        <f>GP635</f>
        <v>0.4</v>
      </c>
      <c r="GS635" s="72"/>
      <c r="GT635" s="144">
        <f>GR635</f>
        <v>0.4</v>
      </c>
      <c r="GU635" s="72"/>
      <c r="GV635" s="144">
        <f>GT635</f>
        <v>0.4</v>
      </c>
      <c r="GW635" s="72"/>
      <c r="GX635" s="144">
        <f>GV635</f>
        <v>0.4</v>
      </c>
      <c r="GY635" s="72"/>
      <c r="GZ635" s="72"/>
      <c r="HA635" s="72"/>
      <c r="HB635" s="72"/>
      <c r="HC635"/>
      <c r="HD635"/>
      <c r="HE635"/>
      <c r="HF635"/>
      <c r="HG635"/>
      <c r="HH635"/>
      <c r="HI635" s="2"/>
    </row>
    <row r="636" spans="1:217" s="3" customFormat="1" ht="12.75" customHeight="1" x14ac:dyDescent="0.2">
      <c r="A636" s="3" t="s">
        <v>220</v>
      </c>
      <c r="B636" s="18" t="s">
        <v>738</v>
      </c>
      <c r="C636" s="150">
        <f>C637</f>
        <v>583.6</v>
      </c>
      <c r="D636" s="11"/>
      <c r="E636" s="150">
        <f>E637</f>
        <v>583.6</v>
      </c>
      <c r="F636" s="11"/>
      <c r="G636" s="150">
        <f>G637</f>
        <v>583.6</v>
      </c>
      <c r="H636" s="11"/>
      <c r="I636" s="150">
        <f>I637</f>
        <v>583.6</v>
      </c>
      <c r="J636" s="11"/>
      <c r="K636" s="150">
        <f>K637</f>
        <v>583.6</v>
      </c>
      <c r="L636" s="72">
        <f>IF(ISERROR(K636/C636),"NA",IF(OR(K636/C636&gt;2,K636/C636&lt;0.5),"NM",K636/C636*100-100))</f>
        <v>0</v>
      </c>
      <c r="M636" s="150">
        <f>M637</f>
        <v>583.6</v>
      </c>
      <c r="N636" s="72">
        <f>IF(ISERROR(M636/E636),"NA",IF(OR(M636/E636&gt;2,M636/E636&lt;0.5),"NM",M636/E636*100-100))</f>
        <v>0</v>
      </c>
      <c r="O636" s="150">
        <v>583.6</v>
      </c>
      <c r="P636" s="72">
        <f>IF(ISERROR(O636/G636),"NA",IF(OR(O636/G636&gt;2,O636/G636&lt;0.5),"NM",O636/G636*100-100))</f>
        <v>0</v>
      </c>
      <c r="Q636" s="150">
        <v>583.70000000000005</v>
      </c>
      <c r="R636" s="72">
        <f>IF(ISERROR(Q636/I636),"NA",IF(OR(Q636/I636&gt;2,Q636/I636&lt;0.5),"NM",Q636/I636*100-100))</f>
        <v>1.7135023989027331E-2</v>
      </c>
      <c r="S636" s="150">
        <v>585.1</v>
      </c>
      <c r="T636" s="72">
        <f>IF(ISERROR(S636/K636),"NA",IF(OR(S636/K636&gt;2,S636/K636&lt;0.5),"NM",S636/K636*100-100))</f>
        <v>0.25702535983549524</v>
      </c>
      <c r="U636" s="150">
        <v>585.20000000000005</v>
      </c>
      <c r="V636" s="72">
        <f>IF(ISERROR(U636/M636),"NA",IF(OR(U636/M636&gt;2,U636/M636&lt;0.5),"NM",U636/M636*100-100))</f>
        <v>0.27416038382455099</v>
      </c>
      <c r="W636" s="150">
        <v>576.79999999999995</v>
      </c>
      <c r="X636" s="72">
        <f>IF(ISERROR(W636/O636),"NA",IF(OR(W636/O636&gt;2,W636/O636&lt;0.5),"NM",W636/O636*100-100))</f>
        <v>-1.1651816312542991</v>
      </c>
      <c r="Y636" s="150">
        <v>565</v>
      </c>
      <c r="Z636" s="72">
        <f>IF(ISERROR(Y636/Q636),"NA",IF(OR(Y636/Q636&gt;2,Y636/Q636&lt;0.5),"NM",Y636/Q636*100-100))</f>
        <v>-3.2037005310947393</v>
      </c>
      <c r="AA636" s="150">
        <v>556.5</v>
      </c>
      <c r="AB636" s="72">
        <f>IF(ISERROR(AA636/S636),"NA",IF(OR(AA636/S636&gt;2,AA636/S636&lt;0.5),"NM",AA636/S636*100-100))</f>
        <v>-4.8880533242180917</v>
      </c>
      <c r="AC636" s="150">
        <v>549.4</v>
      </c>
      <c r="AD636" s="72">
        <f>IF(ISERROR(AC636/U636),"NA",IF(OR(AC636/U636&gt;2,AC636/U636&lt;0.5),"NM",AC636/U636*100-100))</f>
        <v>-6.1175666438824408</v>
      </c>
      <c r="AE636" s="150">
        <v>545.9</v>
      </c>
      <c r="AF636" s="72">
        <f>IF(ISERROR(AE636/W636),"NA",IF(OR(AE636/W636&gt;2,AE636/W636&lt;0.5),"NM",AE636/W636*100-100))</f>
        <v>-5.357142857142847</v>
      </c>
      <c r="AG636" s="150">
        <v>541.9</v>
      </c>
      <c r="AH636" s="72">
        <f>IF(ISERROR(AG636/Y636),"NA",IF(OR(AG636/Y636&gt;2,AG636/Y636&lt;0.5),"NM",AG636/Y636*100-100))</f>
        <v>-4.0884955752212448</v>
      </c>
      <c r="AI636" s="150">
        <v>539.9</v>
      </c>
      <c r="AJ636" s="72">
        <f>IF(ISERROR(AI636/AA636),"NA",IF(OR(AI636/AA636&gt;2,AI636/AA636&lt;0.5),"NM",AI636/AA636*100-100))</f>
        <v>-2.9829290206648693</v>
      </c>
      <c r="AK636" s="150">
        <v>532.20000000000005</v>
      </c>
      <c r="AL636" s="72">
        <f>IF(ISERROR(AK636/AC636),"NA",IF(OR(AK636/AC636&gt;2,AK636/AC636&lt;0.5),"NM",AK636/AC636*100-100))</f>
        <v>-3.1306880232981342</v>
      </c>
      <c r="AM636" s="150">
        <v>525.70000000000005</v>
      </c>
      <c r="AN636" s="72">
        <f>IF(ISERROR(AM636/AE636),"NA",IF(OR(AM636/AE636&gt;2,AM636/AE636&lt;0.5),"NM",AM636/AE636*100-100))</f>
        <v>-3.700311412346565</v>
      </c>
      <c r="AO636" s="150">
        <v>527.29999999999995</v>
      </c>
      <c r="AP636" s="72">
        <f>IF(ISERROR(AO636/AG636),"NA",IF(OR(AO636/AG636&gt;2,AO636/AG636&lt;0.5),"NM",AO636/AG636*100-100))</f>
        <v>-2.6942240265731812</v>
      </c>
      <c r="AQ636" s="150">
        <v>530</v>
      </c>
      <c r="AR636" s="72">
        <f>IF(ISERROR(AQ636/AI636),"NA",IF(OR(AQ636/AI636&gt;2,AQ636/AI636&lt;0.5),"NM",AQ636/AI636*100-100))</f>
        <v>-1.8336729023893241</v>
      </c>
      <c r="AS636" s="150">
        <v>525.20000000000005</v>
      </c>
      <c r="AT636" s="72">
        <f>IF(ISERROR(AS636/AK636),"NA",IF(OR(AS636/AK636&gt;2,AS636/AK636&lt;0.5),"NM",AS636/AK636*100-100))</f>
        <v>-1.3152950018789937</v>
      </c>
      <c r="AU636" s="150">
        <v>518.29999999999995</v>
      </c>
      <c r="AV636" s="72">
        <f>IF(ISERROR(AU636/AM636),"NA",IF(OR(AU636/AM636&gt;2,AU636/AM636&lt;0.5),"NM",AU636/AM636*100-100))</f>
        <v>-1.407646946927926</v>
      </c>
      <c r="AW636" s="150">
        <v>510.2</v>
      </c>
      <c r="AX636" s="72">
        <f>IF(ISERROR(AW636/AO636),"NA",IF(OR(AW636/AO636&gt;2,AW636/AO636&lt;0.5),"NM",AW636/AO636*100-100))</f>
        <v>-3.2429357102218859</v>
      </c>
      <c r="AY636" s="150">
        <v>504.1</v>
      </c>
      <c r="AZ636" s="72">
        <f>IF(ISERROR(AY636/AQ636),"NA",IF(OR(AY636/AQ636&gt;2,AY636/AQ636&lt;0.5),"NM",AY636/AQ636*100-100))</f>
        <v>-4.8867924528301785</v>
      </c>
      <c r="BA636" s="150">
        <v>497.1</v>
      </c>
      <c r="BB636" s="72">
        <f>IF(ISERROR(BA636/AS636),"NA",IF(OR(BA636/AS636&gt;2,BA636/AS636&lt;0.5),"NM",BA636/AS636*100-100))</f>
        <v>-5.3503427265803651</v>
      </c>
      <c r="BC636" s="150">
        <v>490.5</v>
      </c>
      <c r="BD636" s="72">
        <f>IF(ISERROR(BC636/AU636),"NA",IF(OR(BC636/AU636&gt;2,BC636/AU636&lt;0.5),"NM",BC636/AU636*100-100))</f>
        <v>-5.3636889832143453</v>
      </c>
      <c r="BE636" s="150">
        <v>482.8</v>
      </c>
      <c r="BF636" s="72">
        <f>IF(ISERROR(BE636/AW636),"NA",IF(OR(BE636/AW636&gt;2,BE636/AW636&lt;0.5),"NM",BE636/AW636*100-100))</f>
        <v>-5.3704429635437094</v>
      </c>
      <c r="BG636" s="150">
        <v>477</v>
      </c>
      <c r="BH636" s="72">
        <f>IF(ISERROR(BG636/AY636),"NA",IF(OR(BG636/AY636&gt;2,BG636/AY636&lt;0.5),"NM",BG636/AY636*100-100))</f>
        <v>-5.3759174766911428</v>
      </c>
      <c r="BI636" s="150">
        <v>472</v>
      </c>
      <c r="BJ636" s="72">
        <f>IF(ISERROR(BI636/BA636),"NA",IF(OR(BI636/BA636&gt;2,BI636/BA636&lt;0.5),"NM",BI636/BA636*100-100))</f>
        <v>-5.0492858579762725</v>
      </c>
      <c r="BK636" s="150">
        <v>465</v>
      </c>
      <c r="BL636" s="72">
        <f>IF(ISERROR(BK636/BC636),"NA",IF(OR(BK636/BC636&gt;2,BK636/BC636&lt;0.5),"NM",BK636/BC636*100-100))</f>
        <v>-5.1987767584097782</v>
      </c>
      <c r="BM636" s="150">
        <v>459</v>
      </c>
      <c r="BN636" s="72">
        <f>IF(ISERROR(BM636/BE636),"NA",IF(OR(BM636/BE636&gt;2,BM636/BE636&lt;0.5),"NM",BM636/BE636*100-100))</f>
        <v>-4.9295774647887356</v>
      </c>
      <c r="BO636" s="150">
        <v>448</v>
      </c>
      <c r="BP636" s="72">
        <f>IF(ISERROR(BO636/BG636),"NA",IF(OR(BO636/BG636&gt;2,BO636/BG636&lt;0.5),"NM",BO636/BG636*100-100))</f>
        <v>-6.0796645702306051</v>
      </c>
      <c r="BQ636" s="150">
        <v>438</v>
      </c>
      <c r="BR636" s="72">
        <f>IF(ISERROR(BQ636/BI636),"NA",IF(OR(BQ636/BI636&gt;2,BQ636/BI636&lt;0.5),"NM",BQ636/BI636*100-100))</f>
        <v>-7.2033898305084847</v>
      </c>
      <c r="BS636" s="150">
        <v>430</v>
      </c>
      <c r="BT636" s="72">
        <f>IF(ISERROR(BS636/BK636),"NA",IF(OR(BS636/BK636&gt;2,BS636/BK636&lt;0.5),"NM",BS636/BK636*100-100))</f>
        <v>-7.5268817204301115</v>
      </c>
      <c r="BU636" s="150">
        <v>423.4</v>
      </c>
      <c r="BV636" s="72">
        <f>IF(ISERROR(BU636/BM636),"NA",IF(OR(BU636/BM636&gt;2,BU636/BM636&lt;0.5),"NM",BU636/BM636*100-100))</f>
        <v>-7.7559912854030557</v>
      </c>
      <c r="BW636" s="150">
        <v>423.2</v>
      </c>
      <c r="BX636" s="72">
        <f>IF(ISERROR(BW636/BO636),"NA",IF(OR(BW636/BO636&gt;2,BW636/BO636&lt;0.5),"NM",BW636/BO636*100-100))</f>
        <v>-5.5357142857142918</v>
      </c>
      <c r="BY636" s="150">
        <v>434.3</v>
      </c>
      <c r="BZ636" s="72">
        <f>IF(ISERROR(BY636/BQ636),"NA",IF(OR(BY636/BQ636&gt;2,BY636/BQ636&lt;0.5),"NM",BY636/BQ636*100-100))</f>
        <v>-0.84474885844748826</v>
      </c>
      <c r="CA636" s="150">
        <v>464.6</v>
      </c>
      <c r="CB636" s="72">
        <f>IF(ISERROR(CA636/BS636),"NA",IF(OR(CA636/BS636&gt;2,CA636/BS636&lt;0.5),"NM",CA636/BS636*100-100))</f>
        <v>8.0465116279069662</v>
      </c>
      <c r="CC636" s="150">
        <v>470.3</v>
      </c>
      <c r="CD636" s="72">
        <f>IF(ISERROR(CC636/BU636),"NA",IF(OR(CC636/BU636&gt;2,CC636/BU636&lt;0.5),"NM",CC636/BU636*100-100))</f>
        <v>11.076995748700995</v>
      </c>
      <c r="CE636" s="150">
        <v>471.5</v>
      </c>
      <c r="CF636" s="72">
        <f>IF(ISERROR(CE636/BW636),"NA",IF(OR(CE636/BW636&gt;2,CE636/BW636&lt;0.5),"NM",CE636/BW636*100-100))</f>
        <v>11.41304347826086</v>
      </c>
      <c r="CG636" s="150">
        <v>473.3</v>
      </c>
      <c r="CH636" s="72">
        <f>IF(ISERROR(CG636/BY636),"NA",IF(OR(CG636/BY636&gt;2,CG636/BY636&lt;0.5),"NM",CG636/BY636*100-100))</f>
        <v>8.9799677642182729</v>
      </c>
      <c r="CI636" s="150">
        <v>473.2</v>
      </c>
      <c r="CJ636" s="72">
        <f>IF(ISERROR(CI636/CA636),"NA",IF(OR(CI636/CA636&gt;2,CI636/CA636&lt;0.5),"NM",CI636/CA636*100-100))</f>
        <v>1.851054670684448</v>
      </c>
      <c r="CK636" s="150">
        <v>483.5</v>
      </c>
      <c r="CL636" s="72">
        <f>IF(ISERROR(CK636/CC636),"NA",IF(OR(CK636/CC636&gt;2,CK636/CC636&lt;0.5),"NM",CK636/CC636*100-100))</f>
        <v>2.8067191154582218</v>
      </c>
      <c r="CM636" s="150">
        <v>493.9</v>
      </c>
      <c r="CN636" s="72">
        <f>IF(ISERROR(CM636/CE636),"NA",IF(OR(CM636/CE636&gt;2,CM636/CE636&lt;0.5),"NM",CM636/CE636*100-100))</f>
        <v>4.7507953340403049</v>
      </c>
      <c r="CO636" s="150">
        <v>494.8</v>
      </c>
      <c r="CP636" s="72">
        <f>IF(ISERROR(CO636/CG636),"NA",IF(OR(CO636/CG636&gt;2,CO636/CG636&lt;0.5),"NM",CO636/CG636*100-100))</f>
        <v>4.5425734206634161</v>
      </c>
      <c r="CQ636" s="150">
        <v>489.3</v>
      </c>
      <c r="CR636" s="72">
        <f>IF(ISERROR(CQ636/CI636),"NA",IF(OR(CQ636/CI636&gt;2,CQ636/CI636&lt;0.5),"NM",CQ636/CI636*100-100))</f>
        <v>3.4023668639053426</v>
      </c>
      <c r="CS636" s="150">
        <v>477</v>
      </c>
      <c r="CT636" s="72">
        <f>IF(ISERROR(CS636/CK636),"NA",IF(OR(CS636/CK636&gt;2,CS636/CK636&lt;0.5),"NM",CS636/CK636*100-100))</f>
        <v>-1.344364012409514</v>
      </c>
      <c r="CU636" s="150">
        <v>477.5</v>
      </c>
      <c r="CV636" s="72">
        <f>IF(ISERROR(CU636/CM636),"NA",IF(OR(CU636/CM636&gt;2,CU636/CM636&lt;0.5),"NM",CU636/CM636*100-100))</f>
        <v>-3.3205102247418523</v>
      </c>
      <c r="CW636" s="150">
        <v>473.5</v>
      </c>
      <c r="CX636" s="72">
        <f>IF(ISERROR(CW636/CO636),"NA",IF(OR(CW636/CO636&gt;2,CW636/CO636&lt;0.5),"NM",CW636/CO636*100-100))</f>
        <v>-4.3047696038803593</v>
      </c>
      <c r="CY636" s="150">
        <v>471.8</v>
      </c>
      <c r="CZ636" s="72">
        <f>IF(ISERROR(CY636/CQ636),"NA",IF(OR(CY636/CQ636&gt;2,CY636/CQ636&lt;0.5),"NM",CY636/CQ636*100-100))</f>
        <v>-3.5765379113018554</v>
      </c>
      <c r="DA636" s="150">
        <v>469.9</v>
      </c>
      <c r="DB636" s="72">
        <f>IF(ISERROR(DA636/CS636),"NA",IF(OR(DA636/CS636&gt;2,DA636/CS636&lt;0.5),"NM",DA636/CS636*100-100))</f>
        <v>-1.4884696016771528</v>
      </c>
      <c r="DC636" s="150">
        <v>471.7</v>
      </c>
      <c r="DD636" s="72">
        <f>IF(ISERROR(DC636/CU636),"NA",IF(OR(DC636/CU636&gt;2,DC636/CU636&lt;0.5),"NM",DC636/CU636*100-100))</f>
        <v>-1.2146596858638787</v>
      </c>
      <c r="DE636" s="150">
        <v>472.2</v>
      </c>
      <c r="DF636" s="72">
        <f>IF(ISERROR(DE636/CW636),"NA",IF(OR(DE636/CW636&gt;2,DE636/CW636&lt;0.5),"NM",DE636/CW636*100-100))</f>
        <v>-0.27455121436113927</v>
      </c>
      <c r="DG636" s="150">
        <v>472</v>
      </c>
      <c r="DH636" s="72">
        <f>IF(ISERROR(DG636/CY636),"NA",IF(OR(DG636/CY636&gt;2,DG636/CY636&lt;0.5),"NM",DG636/CY636*100-100))</f>
        <v>4.2390843577777559E-2</v>
      </c>
      <c r="DI636" s="150">
        <f>471.2+DI635</f>
        <v>471.2</v>
      </c>
      <c r="DJ636" s="72">
        <f>IF(ISERROR(DI636/DA636),"NA",IF(OR(DI636/DA636&gt;2,DI636/DA636&lt;0.5),"NM",DI636/DA636*100-100))</f>
        <v>0.27665460736328384</v>
      </c>
      <c r="DK636" s="150">
        <f>470.3+DK635</f>
        <v>472.3</v>
      </c>
      <c r="DL636" s="72">
        <f>IF(ISERROR(DK636/DC636),"NA",IF(OR(DK636/DC636&gt;2,DK636/DC636&lt;0.5),"NM",DK636/DC636*100-100))</f>
        <v>0.12719949120203466</v>
      </c>
      <c r="DM636" s="150">
        <f>468.5+DM635</f>
        <v>470.8</v>
      </c>
      <c r="DN636" s="72">
        <f>IF(ISERROR(DM636/DE636),"NA",IF(OR(DM636/DE636&gt;2,DM636/DE636&lt;0.5),"NM",DM636/DE636*100-100))</f>
        <v>-0.296484540448958</v>
      </c>
      <c r="DO636" s="150">
        <f>467.2+DO635</f>
        <v>469</v>
      </c>
      <c r="DP636" s="72">
        <f>IF(ISERROR(DO636/DG636),"NA",IF(OR(DO636/DG636&gt;2,DO636/DG636&lt;0.5),"NM",DO636/DG636*100-100))</f>
        <v>-0.63559322033897558</v>
      </c>
      <c r="DQ636" s="150">
        <f>465+DQ635</f>
        <v>466.9</v>
      </c>
      <c r="DR636" s="72">
        <f>IF(ISERROR(DQ636/DI636),"NA",IF(OR(DQ636/DI636&gt;2,DQ636/DI636&lt;0.5),"NM",DQ636/DI636*100-100))</f>
        <v>-0.91256366723260385</v>
      </c>
      <c r="DS636" s="150">
        <f>463+DS635</f>
        <v>465.7</v>
      </c>
      <c r="DT636" s="72">
        <f>IF(ISERROR(DS636/DK636),"NA",IF(OR(DS636/DK636&gt;2,DS636/DK636&lt;0.5),"NM",DS636/DK636*100-100))</f>
        <v>-1.397416896040653</v>
      </c>
      <c r="DU636" s="150">
        <f>461.4+DU635</f>
        <v>463.5</v>
      </c>
      <c r="DV636" s="72">
        <f t="shared" si="2949"/>
        <v>-1.5505522514868346</v>
      </c>
      <c r="DW636" s="150">
        <f>459.7+DW635</f>
        <v>462.2</v>
      </c>
      <c r="DX636" s="72">
        <f t="shared" si="2949"/>
        <v>-1.4498933901919031</v>
      </c>
      <c r="DY636" s="150">
        <f>457.5+DY635</f>
        <v>459.9</v>
      </c>
      <c r="DZ636" s="72">
        <f>IF(ISERROR(DY636/DQ636),"NA",IF(OR(DY636/DQ636&gt;2,DY636/DQ636&lt;0.5),"NM",DY636/DQ636*100-100))</f>
        <v>-1.4992503748125898</v>
      </c>
      <c r="EA636" s="150">
        <f>453.2+EA635</f>
        <v>457.59999999999997</v>
      </c>
      <c r="EB636" s="72">
        <f>IF(ISERROR(EA636/DS636),"NA",IF(OR(EA636/DS636&gt;2,EA636/DS636&lt;0.5),"NM",EA636/DS636*100-100))</f>
        <v>-1.7393171569680135</v>
      </c>
      <c r="EC636" s="150">
        <v>449.3</v>
      </c>
      <c r="ED636" s="72">
        <f>IF(ISERROR(EC636/DU636),"NA",IF(OR(EC636/DU636&gt;2,EC636/DU636&lt;0.5),"NM",EC636/DU636*100-100))</f>
        <v>-3.0636461704422828</v>
      </c>
      <c r="EE636" s="150">
        <v>444.3</v>
      </c>
      <c r="EF636" s="72">
        <f>IF(ISERROR(EE636/DW636),"NA",IF(OR(EE636/DW636&gt;2,EE636/DW636&lt;0.5),"NM",EE636/DW636*100-100))</f>
        <v>-3.8727823453050547</v>
      </c>
      <c r="EG636" s="150">
        <v>439.8</v>
      </c>
      <c r="EH636" s="72">
        <f>IF(ISERROR(EG636/DY636),"NA",IF(OR(EG636/DY636&gt;2,EG636/DY636&lt;0.5),"NM",EG636/DY636*100-100))</f>
        <v>-4.3705153294194332</v>
      </c>
      <c r="EI636" s="150">
        <f>439.1+EI635</f>
        <v>439.1</v>
      </c>
      <c r="EJ636" s="72">
        <f>IF(ISERROR(EI636/EA636),"NA",IF(OR(EI636/EA636&gt;2,EI636/EA636&lt;0.5),"NM",EI636/EA636*100-100))</f>
        <v>-4.0428321678321595</v>
      </c>
      <c r="EK636" s="150">
        <v>437.24</v>
      </c>
      <c r="EL636" s="72">
        <f>IF(ISERROR(EK636/EC636),"NA",IF(OR(EK636/EC636&gt;2,EK636/EC636&lt;0.5),"NM",EK636/EC636*100-100))</f>
        <v>-2.6841753839305511</v>
      </c>
      <c r="EM636" s="150">
        <v>435</v>
      </c>
      <c r="EN636" s="72">
        <f>IF(ISERROR(EM636/EE636),"NA",IF(OR(EM636/EE636&gt;2,EM636/EE636&lt;0.5),"NM",EM636/EE636*100-100))</f>
        <v>-2.0931802835921616</v>
      </c>
      <c r="EO636" s="150">
        <v>432.7</v>
      </c>
      <c r="EP636" s="72">
        <f>IF(ISERROR(EO636/EG636),"NA",IF(OR(EO636/EG636&gt;2,EO636/EG636&lt;0.5),"NM",EO636/EG636*100-100))</f>
        <v>-1.6143701682583043</v>
      </c>
      <c r="EQ636" s="144">
        <f t="shared" ref="EQ636" si="2968">EQ633+EQ634+EQ635</f>
        <v>428.55462787721513</v>
      </c>
      <c r="ER636" s="72">
        <f t="shared" ref="ER636:ER637" si="2969">IF(ISERROR(EQ636/EI636),"NA",IF(OR(EQ636/EI636&gt;2,EQ636/EI636&lt;0.5),"NM",EQ636/EI636*100-100))</f>
        <v>-2.4015878211762498</v>
      </c>
      <c r="ES636" s="144">
        <f t="shared" ref="ES636" si="2970">ES633+ES634+ES635</f>
        <v>425.24724105522074</v>
      </c>
      <c r="ET636" s="72">
        <f t="shared" ref="ET636:ET637" si="2971">IF(ISERROR(ES636/EK636),"NA",IF(OR(ES636/EK636&gt;2,ES636/EK636&lt;0.5),"NM",ES636/EK636*100-100))</f>
        <v>-2.7428320704371174</v>
      </c>
      <c r="EU636" s="144">
        <f t="shared" ref="EU636" si="2972">EU633+EU634+EU635</f>
        <v>421.9792724262262</v>
      </c>
      <c r="EV636" s="72">
        <f t="shared" ref="EV636:EV637" si="2973">IF(ISERROR(EU636/EM636),"NA",IF(OR(EU636/EM636&gt;2,EU636/EM636&lt;0.5),"NM",EU636/EM636*100-100))</f>
        <v>-2.9932707066146662</v>
      </c>
      <c r="EW636" s="144">
        <f t="shared" ref="EW636" si="2974">EW633+EW634+EW635</f>
        <v>418.75055400014276</v>
      </c>
      <c r="EX636" s="72">
        <f t="shared" ref="EX636:EX637" si="2975">IF(ISERROR(EW636/EO636),"NA",IF(OR(EW636/EO636&gt;2,EW636/EO636&lt;0.5),"NM",EW636/EO636*100-100))</f>
        <v>-3.2238146521509634</v>
      </c>
      <c r="EY636" s="72"/>
      <c r="EZ636" s="336"/>
      <c r="FA636" s="72"/>
      <c r="FB636" s="144"/>
      <c r="FC636" s="87"/>
      <c r="FD636" s="144">
        <f>+FF636</f>
        <v>583.625</v>
      </c>
      <c r="FE636" s="72" t="str">
        <f>IF(ISERROR(FD636/FB636),"NA",IF(OR(FD636/FB636&gt;2,FD636/FB636&lt;0.5),"NM",FD636/FB636*100-100))</f>
        <v>NA</v>
      </c>
      <c r="FF636" s="144">
        <f>+FH636</f>
        <v>583.625</v>
      </c>
      <c r="FG636" s="72">
        <f>IF(ISERROR(FF636/FD636),"NA",IF(OR(FF636/FD636&gt;2,FF636/FD636&lt;0.5),"NM",FF636/FD636*100-100))</f>
        <v>0</v>
      </c>
      <c r="FH636" s="145">
        <f>AVERAGE(Q636,O636,M636,K636)</f>
        <v>583.625</v>
      </c>
      <c r="FI636" s="72">
        <f>IF(ISERROR(FH636/FF636),"NA",IF(OR(FH636/FF636&gt;2,FH636/FF636&lt;0.5),"NM",FH636/FF636*100-100))</f>
        <v>0</v>
      </c>
      <c r="FJ636" s="145">
        <f>AVERAGE(Y636,W636,U636,S636)</f>
        <v>578.02499999999998</v>
      </c>
      <c r="FK636" s="72">
        <f>IF(ISERROR(FJ636/FH636),"NA",IF(OR(FJ636/FH636&gt;2,FJ636/FH636&lt;0.5),"NM",FJ636/FH636*100-100))</f>
        <v>-0.95952023988006374</v>
      </c>
      <c r="FL636" s="145">
        <f>AVERAGE(AG636,AE636,AC636,AA636)</f>
        <v>548.42499999999995</v>
      </c>
      <c r="FM636" s="72">
        <f>IF(ISERROR(FL636/FJ636),"NA",IF(OR(FL636/FJ636&gt;2,FL636/FJ636&lt;0.5),"NM",FL636/FJ636*100-100))</f>
        <v>-5.1208857748367365</v>
      </c>
      <c r="FN636" s="145">
        <f>AVERAGE(AO636,AM636,AK636,AI636)</f>
        <v>531.27499999999998</v>
      </c>
      <c r="FO636" s="72">
        <f>IF(ISERROR(FN636/FL636),"NA",IF(OR(FN636/FL636&gt;2,FN636/FL636&lt;0.5),"NM",FN636/FL636*100-100))</f>
        <v>-3.1271368008387554</v>
      </c>
      <c r="FP636" s="145">
        <f>AVERAGE(AW636,AU636,AS636,AQ636)</f>
        <v>520.92499999999995</v>
      </c>
      <c r="FQ636" s="72">
        <f>IF(ISERROR(FP636/FN636),"NA",IF(OR(FP636/FN636&gt;2,FP636/FN636&lt;0.5),"NM",FP636/FN636*100-100))</f>
        <v>-1.9481436167709774</v>
      </c>
      <c r="FR636" s="144">
        <f>AVERAGE(AW637,BE637)</f>
        <v>493.6</v>
      </c>
      <c r="FS636" s="72">
        <f>IF(ISERROR(FR636/FP636),"NA",IF(OR(FR636/FP636&gt;2,FR636/FP636&lt;0.5),"NM",FR636/FP636*100-100))</f>
        <v>-5.245476796083878</v>
      </c>
      <c r="FT636" s="144">
        <f>AVERAGE(BG636,BI636,BK636,BM636)</f>
        <v>468.25</v>
      </c>
      <c r="FU636" s="72">
        <f>IF(ISERROR(FT636/FR636),"NA",IF(OR(FT636/FR636&gt;2,FT636/FR636&lt;0.5),"NM",FT636/FR636*100-100))</f>
        <v>-5.1357374392220407</v>
      </c>
      <c r="FV636" s="150">
        <v>433.6</v>
      </c>
      <c r="FW636" s="72">
        <f>IF(ISERROR(FV636/FT636),"NA",IF(OR(FV636/FT636&gt;2,FV636/FT636&lt;0.5),"NM",FV636/FT636*100-100))</f>
        <v>-7.3998932194340625</v>
      </c>
      <c r="FX636" s="144">
        <f>AVERAGE(BW636,BY636,CA636,CC636)</f>
        <v>448.09999999999997</v>
      </c>
      <c r="FY636" s="72">
        <f>IF(ISERROR(FX636/FV636),"NA",IF(OR(FX636/FV636&gt;2,FX636/FV636&lt;0.5),"NM",FX636/FV636*100-100))</f>
        <v>3.3440959409593916</v>
      </c>
      <c r="FZ636" s="144">
        <f>AVERAGE(CK636,CI636,CG636,CE636)</f>
        <v>475.375</v>
      </c>
      <c r="GA636" s="72">
        <f>IF(ISERROR(FZ636/FX636),"NA",IF(OR(FZ636/FX636&gt;2,FZ636/FX636&lt;0.5),"NM",FZ636/FX636*100-100))</f>
        <v>6.0868109796920322</v>
      </c>
      <c r="GB636" s="144">
        <f>AVERAGE(CS636,CQ636,CO636,CM636)</f>
        <v>488.75</v>
      </c>
      <c r="GC636" s="72">
        <f>IF(ISERROR(GB636/FZ636),"NA",IF(OR(GB636/FZ636&gt;2,GB636/FZ636&lt;0.5),"NM",GB636/FZ636*100-100))</f>
        <v>2.8135682356034835</v>
      </c>
      <c r="GD636" s="144">
        <f>AVERAGE(DA636,CY636,CW636,CU636)</f>
        <v>473.17500000000001</v>
      </c>
      <c r="GE636" s="72">
        <f>IF(ISERROR(GD636/GB636),"NA",IF(OR(GD636/GB636&gt;2,GD636/GB636&lt;0.5),"NM",GD636/GB636*100-100))</f>
        <v>-3.1867007672634315</v>
      </c>
      <c r="GF636" s="144">
        <f>AVERAGE(DI636,DG636,DE636,DC636)</f>
        <v>471.77500000000003</v>
      </c>
      <c r="GG636" s="72">
        <f t="shared" ref="GG636:GU636" si="2976">IF(ISERROR(GF636/GD636),"NA",IF(OR(GF636/GD636&gt;2,GF636/GD636&lt;0.5),"NM",GF636/GD636*100-100))</f>
        <v>-0.29587361969673509</v>
      </c>
      <c r="GH636" s="696">
        <v>467.7</v>
      </c>
      <c r="GI636" s="72">
        <f t="shared" si="2976"/>
        <v>-0.86375920724923105</v>
      </c>
      <c r="GJ636" s="144">
        <f>AVERAGE(DY636,DW636,DU636,DS636)</f>
        <v>462.82499999999999</v>
      </c>
      <c r="GK636" s="72">
        <f t="shared" si="2976"/>
        <v>-1.042334830019243</v>
      </c>
      <c r="GL636" s="144">
        <f>AVERAGE(EG636,EE636,EC636,EA636)</f>
        <v>447.75</v>
      </c>
      <c r="GM636" s="72">
        <f t="shared" si="2976"/>
        <v>-3.2571706368497786</v>
      </c>
      <c r="GN636" s="144">
        <f>AVERAGE(EO636,EM636,EK636,EI636)</f>
        <v>436.01</v>
      </c>
      <c r="GO636" s="72">
        <f t="shared" si="2976"/>
        <v>-2.6219988833054231</v>
      </c>
      <c r="GP636" s="144">
        <f>AVERAGE(EW636,EU636,ES636,EQ636)</f>
        <v>423.63292383970122</v>
      </c>
      <c r="GQ636" s="72">
        <f t="shared" si="2976"/>
        <v>-2.8387138277330308</v>
      </c>
      <c r="GR636" s="144">
        <f>GR633+GR634+GR635</f>
        <v>410.27038194757091</v>
      </c>
      <c r="GS636" s="72">
        <f t="shared" si="2976"/>
        <v>-3.1542736978551318</v>
      </c>
      <c r="GT636" s="144">
        <f>GT633+GT634+GT635</f>
        <v>397.36243986624044</v>
      </c>
      <c r="GU636" s="72">
        <f t="shared" si="2976"/>
        <v>-3.1462037352186911</v>
      </c>
      <c r="GV636" s="144">
        <f>GV633+GV634+GV635</f>
        <v>385.98178455916099</v>
      </c>
      <c r="GW636" s="72">
        <f>IF(ISERROR(GV636/GT636),"NA",IF(OR(GV636/GT636&gt;2,GV636/GT636&lt;0.5),"NM",GV636/GT636*100-100))</f>
        <v>-2.8640490809625589</v>
      </c>
      <c r="GX636" s="144">
        <f>GX633+GX634+GX635</f>
        <v>373.70574261116775</v>
      </c>
      <c r="GY636" s="72">
        <f>IF(ISERROR(GX636/GV636),"NA",IF(OR(GX636/GV636&gt;2,GX636/GV636&lt;0.5),"NM",GX636/GV636*100-100))</f>
        <v>-3.1804718354815549</v>
      </c>
      <c r="GZ636" s="72">
        <f>IF(ISERROR(((GX636/GN636)^0.2-1)*100),"NA",IF((((GX636/GN636)^0.2-1)*100)&gt;100,"NM",IF((((GX636/GN636)^0.2-1)*100)&lt;-50,"NM",((GX636/GN636)^0.2-1)*100)))</f>
        <v>-3.0368614947009931</v>
      </c>
      <c r="HA636" s="72"/>
      <c r="HB636" s="72"/>
      <c r="HC636"/>
      <c r="HD636"/>
      <c r="HE636"/>
      <c r="HF636"/>
      <c r="HG636"/>
      <c r="HH636"/>
      <c r="HI636" s="2"/>
    </row>
    <row r="637" spans="1:217" s="3" customFormat="1" ht="12.75" customHeight="1" x14ac:dyDescent="0.2">
      <c r="A637" s="3" t="s">
        <v>589</v>
      </c>
      <c r="B637" s="4" t="s">
        <v>97</v>
      </c>
      <c r="C637" s="150">
        <f>E637</f>
        <v>583.6</v>
      </c>
      <c r="D637" s="11"/>
      <c r="E637" s="150">
        <v>583.6</v>
      </c>
      <c r="F637" s="167"/>
      <c r="G637" s="150">
        <v>583.6</v>
      </c>
      <c r="H637" s="167"/>
      <c r="I637" s="150">
        <v>583.6</v>
      </c>
      <c r="J637" s="167"/>
      <c r="K637" s="150">
        <v>583.6</v>
      </c>
      <c r="L637" s="72">
        <f>IF(ISERROR(K637/C637),"NA",IF(OR(K637/C637&gt;2,K637/C637&lt;0.5),"NM",K637/C637*100-100))</f>
        <v>0</v>
      </c>
      <c r="M637" s="150">
        <v>583.6</v>
      </c>
      <c r="N637" s="72">
        <f>IF(ISERROR(M637/E637),"NA",IF(OR(M637/E637&gt;2,M637/E637&lt;0.5),"NM",M637/E637*100-100))</f>
        <v>0</v>
      </c>
      <c r="O637" s="150">
        <v>583.6</v>
      </c>
      <c r="P637" s="72">
        <f>IF(ISERROR(O637/G637),"NA",IF(OR(O637/G637&gt;2,O637/G637&lt;0.5),"NM",O637/G637*100-100))</f>
        <v>0</v>
      </c>
      <c r="Q637" s="150">
        <v>584.79999999999995</v>
      </c>
      <c r="R637" s="72">
        <f>IF(ISERROR(Q637/I637),"NA",IF(OR(Q637/I637&gt;2,Q637/I637&lt;0.5),"NM",Q637/I637*100-100))</f>
        <v>0.20562028786838482</v>
      </c>
      <c r="S637" s="150">
        <v>584.79999999999995</v>
      </c>
      <c r="T637" s="72">
        <f>IF(ISERROR(S637/K637),"NA",IF(OR(S637/K637&gt;2,S637/K637&lt;0.5),"NM",S637/K637*100-100))</f>
        <v>0.20562028786838482</v>
      </c>
      <c r="U637" s="150">
        <v>583.4</v>
      </c>
      <c r="V637" s="72">
        <f>IF(ISERROR(U637/M637),"NA",IF(OR(U637/M637&gt;2,U637/M637&lt;0.5),"NM",U637/M637*100-100))</f>
        <v>-3.4270047978083085E-2</v>
      </c>
      <c r="W637" s="150">
        <v>568.1</v>
      </c>
      <c r="X637" s="72">
        <f>IF(ISERROR(W637/O637),"NA",IF(OR(W637/O637&gt;2,W637/O637&lt;0.5),"NM",W637/O637*100-100))</f>
        <v>-2.6559287183002027</v>
      </c>
      <c r="Y637" s="150">
        <v>560.79999999999995</v>
      </c>
      <c r="Z637" s="72">
        <f>IF(ISERROR(Y637/Q637),"NA",IF(OR(Y637/Q637&gt;2,Y637/Q637&lt;0.5),"NM",Y637/Q637*100-100))</f>
        <v>-4.1039671682626562</v>
      </c>
      <c r="AA637" s="150">
        <v>552.5</v>
      </c>
      <c r="AB637" s="72">
        <f>IF(ISERROR(AA637/S637),"NA",IF(OR(AA637/S637&gt;2,AA637/S637&lt;0.5),"NM",AA637/S637*100-100))</f>
        <v>-5.5232558139534831</v>
      </c>
      <c r="AC637" s="150">
        <v>546.5</v>
      </c>
      <c r="AD637" s="72">
        <f>IF(ISERROR(AC637/U637),"NA",IF(OR(AC637/U637&gt;2,AC637/U637&lt;0.5),"NM",AC637/U637*100-100))</f>
        <v>-6.3249914295509058</v>
      </c>
      <c r="AE637" s="150">
        <v>543.29999999999995</v>
      </c>
      <c r="AF637" s="72">
        <f>IF(ISERROR(AE637/W637),"NA",IF(OR(AE637/W637&gt;2,AE637/W637&lt;0.5),"NM",AE637/W637*100-100))</f>
        <v>-4.3654286217215343</v>
      </c>
      <c r="AG637" s="150">
        <v>540.79999999999995</v>
      </c>
      <c r="AH637" s="72">
        <f>IF(ISERROR(AG637/Y637),"NA",IF(OR(AG637/Y637&gt;2,AG637/Y637&lt;0.5),"NM",AG637/Y637*100-100))</f>
        <v>-3.5663338088445187</v>
      </c>
      <c r="AI637" s="150">
        <v>535.6</v>
      </c>
      <c r="AJ637" s="72">
        <f>IF(ISERROR(AI637/AA637),"NA",IF(OR(AI637/AA637&gt;2,AI637/AA637&lt;0.5),"NM",AI637/AA637*100-100))</f>
        <v>-3.0588235294117538</v>
      </c>
      <c r="AK637" s="150">
        <v>528.70000000000005</v>
      </c>
      <c r="AL637" s="72">
        <f>IF(ISERROR(AK637/AC637),"NA",IF(OR(AK637/AC637&gt;2,AK637/AC637&lt;0.5),"NM",AK637/AC637*100-100))</f>
        <v>-3.2570905763952425</v>
      </c>
      <c r="AM637" s="150">
        <v>522</v>
      </c>
      <c r="AN637" s="72">
        <f>IF(ISERROR(AM637/AE637),"NA",IF(OR(AM637/AE637&gt;2,AM637/AE637&lt;0.5),"NM",AM637/AE637*100-100))</f>
        <v>-3.920485919381548</v>
      </c>
      <c r="AO637" s="150">
        <v>531.5</v>
      </c>
      <c r="AP637" s="72">
        <f>IF(ISERROR(AO637/AG637),"NA",IF(OR(AO637/AG637&gt;2,AO637/AG637&lt;0.5),"NM",AO637/AG637*100-100))</f>
        <v>-1.7196745562130076</v>
      </c>
      <c r="AQ637" s="150">
        <v>526.5</v>
      </c>
      <c r="AR637" s="72">
        <f>IF(ISERROR(AQ637/AI637),"NA",IF(OR(AQ637/AI637&gt;2,AQ637/AI637&lt;0.5),"NM",AQ637/AI637*100-100))</f>
        <v>-1.6990291262135884</v>
      </c>
      <c r="AS637" s="150">
        <v>522.5</v>
      </c>
      <c r="AT637" s="72">
        <f>IF(ISERROR(AS637/AK637),"NA",IF(OR(AS637/AK637&gt;2,AS637/AK637&lt;0.5),"NM",AS637/AK637*100-100))</f>
        <v>-1.1726877246075418</v>
      </c>
      <c r="AU637" s="150">
        <v>513.6</v>
      </c>
      <c r="AV637" s="72">
        <f>IF(ISERROR(AU637/AM637),"NA",IF(OR(AU637/AM637&gt;2,AU637/AM637&lt;0.5),"NM",AU637/AM637*100-100))</f>
        <v>-1.6091954022988517</v>
      </c>
      <c r="AW637" s="150">
        <v>507.1</v>
      </c>
      <c r="AX637" s="72">
        <f>IF(ISERROR(AW637/AO637),"NA",IF(OR(AW637/AO637&gt;2,AW637/AO637&lt;0.5),"NM",AW637/AO637*100-100))</f>
        <v>-4.5907808090310311</v>
      </c>
      <c r="AY637" s="150">
        <v>500.3</v>
      </c>
      <c r="AZ637" s="72">
        <f>IF(ISERROR(AY637/AQ637),"NA",IF(OR(AY637/AQ637&gt;2,AY637/AQ637&lt;0.5),"NM",AY637/AQ637*100-100))</f>
        <v>-4.9762583095916426</v>
      </c>
      <c r="BA637" s="150">
        <v>493.2</v>
      </c>
      <c r="BB637" s="72">
        <f>IF(ISERROR(BA637/AS637),"NA",IF(OR(BA637/AS637&gt;2,BA637/AS637&lt;0.5),"NM",BA637/AS637*100-100))</f>
        <v>-5.6076555023923476</v>
      </c>
      <c r="BC637" s="150">
        <v>486.7</v>
      </c>
      <c r="BD637" s="72">
        <f>IF(ISERROR(BC637/AU637),"NA",IF(OR(BC637/AU637&gt;2,BC637/AU637&lt;0.5),"NM",BC637/AU637*100-100))</f>
        <v>-5.2375389408099693</v>
      </c>
      <c r="BE637" s="150">
        <v>480.1</v>
      </c>
      <c r="BF637" s="72">
        <f>IF(ISERROR(BE637/AW637),"NA",IF(OR(BE637/AW637&gt;2,BE637/AW637&lt;0.5),"NM",BE637/AW637*100-100))</f>
        <v>-5.3243936107276681</v>
      </c>
      <c r="BG637" s="150">
        <v>473.2</v>
      </c>
      <c r="BH637" s="72">
        <f>IF(ISERROR(BG637/AY637),"NA",IF(OR(BG637/AY637&gt;2,BG637/AY637&lt;0.5),"NM",BG637/AY637*100-100))</f>
        <v>-5.4167499500299812</v>
      </c>
      <c r="BI637" s="150">
        <v>469.4</v>
      </c>
      <c r="BJ637" s="72">
        <f>IF(ISERROR(BI637/BA637),"NA",IF(OR(BI637/BA637&gt;2,BI637/BA637&lt;0.5),"NM",BI637/BA637*100-100))</f>
        <v>-4.8256285482562902</v>
      </c>
      <c r="BK637" s="150">
        <v>462</v>
      </c>
      <c r="BL637" s="72">
        <f>IF(ISERROR(BK637/BC637),"NA",IF(OR(BK637/BC637&gt;2,BK637/BC637&lt;0.5),"NM",BK637/BC637*100-100))</f>
        <v>-5.074994863365518</v>
      </c>
      <c r="BM637" s="150">
        <v>455</v>
      </c>
      <c r="BN637" s="72">
        <f>IF(ISERROR(BM637/BE637),"NA",IF(OR(BM637/BE637&gt;2,BM637/BE637&lt;0.5),"NM",BM637/BE637*100-100))</f>
        <v>-5.2280774838575326</v>
      </c>
      <c r="BO637" s="150">
        <v>443.4</v>
      </c>
      <c r="BP637" s="72">
        <f>IF(ISERROR(BO637/BG637),"NA",IF(OR(BO637/BG637&gt;2,BO637/BG637&lt;0.5),"NM",BO637/BG637*100-100))</f>
        <v>-6.2975486052409053</v>
      </c>
      <c r="BQ637" s="150">
        <v>430.9</v>
      </c>
      <c r="BR637" s="72">
        <f>IF(ISERROR(BQ637/BI637),"NA",IF(OR(BQ637/BI637&gt;2,BQ637/BI637&lt;0.5),"NM",BQ637/BI637*100-100))</f>
        <v>-8.2019599488708934</v>
      </c>
      <c r="BS637" s="150">
        <v>427.6</v>
      </c>
      <c r="BT637" s="72">
        <f>IF(ISERROR(BS637/BK637),"NA",IF(OR(BS637/BK637&gt;2,BS637/BK637&lt;0.5),"NM",BS637/BK637*100-100))</f>
        <v>-7.4458874458874504</v>
      </c>
      <c r="BU637" s="150">
        <v>424.2</v>
      </c>
      <c r="BV637" s="72">
        <f>IF(ISERROR(BU637/BM637),"NA",IF(OR(BU637/BM637&gt;2,BU637/BM637&lt;0.5),"NM",BU637/BM637*100-100))</f>
        <v>-6.7692307692307736</v>
      </c>
      <c r="BW637" s="150">
        <v>424.1</v>
      </c>
      <c r="BX637" s="72">
        <f>IF(ISERROR(BW637/BO637),"NA",IF(OR(BW637/BO637&gt;2,BW637/BO637&lt;0.5),"NM",BW637/BO637*100-100))</f>
        <v>-4.352728912945409</v>
      </c>
      <c r="BY637" s="150">
        <v>464.7</v>
      </c>
      <c r="BZ637" s="72">
        <f>IF(ISERROR(BY637/BQ637),"NA",IF(OR(BY637/BQ637&gt;2,BY637/BQ637&lt;0.5),"NM",BY637/BQ637*100-100))</f>
        <v>7.8440473427709492</v>
      </c>
      <c r="CA637" s="150">
        <v>467.5</v>
      </c>
      <c r="CB637" s="72">
        <f>IF(ISERROR(CA637/BS637),"NA",IF(OR(CA637/BS637&gt;2,CA637/BS637&lt;0.5),"NM",CA637/BS637*100-100))</f>
        <v>9.3311506080449078</v>
      </c>
      <c r="CC637" s="150">
        <v>468.8</v>
      </c>
      <c r="CD637" s="72">
        <f>IF(ISERROR(CC637/BU637),"NA",IF(OR(CC637/BU637&gt;2,CC637/BU637&lt;0.5),"NM",CC637/BU637*100-100))</f>
        <v>10.51390853371052</v>
      </c>
      <c r="CE637" s="150">
        <v>470.8</v>
      </c>
      <c r="CF637" s="72">
        <f>IF(ISERROR(CE637/BW637),"NA",IF(OR(CE637/BW637&gt;2,CE637/BW637&lt;0.5),"NM",CE637/BW637*100-100))</f>
        <v>11.011553878802175</v>
      </c>
      <c r="CG637" s="150">
        <v>471</v>
      </c>
      <c r="CH637" s="72">
        <f>IF(ISERROR(CG637/BY637),"NA",IF(OR(CG637/BY637&gt;2,CG637/BY637&lt;0.5),"NM",CG637/BY637*100-100))</f>
        <v>1.3557133634602963</v>
      </c>
      <c r="CI637" s="150">
        <v>472</v>
      </c>
      <c r="CJ637" s="72">
        <f>IF(ISERROR(CI637/CA637),"NA",IF(OR(CI637/CA637&gt;2,CI637/CA637&lt;0.5),"NM",CI637/CA637*100-100))</f>
        <v>0.96256684491977751</v>
      </c>
      <c r="CK637" s="150">
        <v>491.7</v>
      </c>
      <c r="CL637" s="72">
        <f>IF(ISERROR(CK637/CC637),"NA",IF(OR(CK637/CC637&gt;2,CK637/CC637&lt;0.5),"NM",CK637/CC637*100-100))</f>
        <v>4.8848122866894244</v>
      </c>
      <c r="CM637" s="150">
        <v>492.9</v>
      </c>
      <c r="CN637" s="72">
        <f>IF(ISERROR(CM637/CE637),"NA",IF(OR(CM637/CE637&gt;2,CM637/CE637&lt;0.5),"NM",CM637/CE637*100-100))</f>
        <v>4.6941376380628554</v>
      </c>
      <c r="CO637" s="150">
        <v>493.8</v>
      </c>
      <c r="CP637" s="72">
        <f>IF(ISERROR(CO637/CG637),"NA",IF(OR(CO637/CG637&gt;2,CO637/CG637&lt;0.5),"NM",CO637/CG637*100-100))</f>
        <v>4.8407643312101953</v>
      </c>
      <c r="CQ637" s="150">
        <v>478.4</v>
      </c>
      <c r="CR637" s="72">
        <f>IF(ISERROR(CQ637/CI637),"NA",IF(OR(CQ637/CI637&gt;2,CQ637/CI637&lt;0.5),"NM",CQ637/CI637*100-100))</f>
        <v>1.3559322033898269</v>
      </c>
      <c r="CS637" s="150">
        <v>475.1</v>
      </c>
      <c r="CT637" s="72">
        <f>IF(ISERROR(CS637/CK637),"NA",IF(OR(CS637/CK637&gt;2,CS637/CK637&lt;0.5),"NM",CS637/CK637*100-100))</f>
        <v>-3.3760423022168027</v>
      </c>
      <c r="CU637" s="150">
        <v>473.3</v>
      </c>
      <c r="CV637" s="72">
        <f>IF(ISERROR(CU637/CM637),"NA",IF(OR(CU637/CM637&gt;2,CU637/CM637&lt;0.5),"NM",CU637/CM637*100-100))</f>
        <v>-3.9764658145668363</v>
      </c>
      <c r="CW637" s="150">
        <v>468.3</v>
      </c>
      <c r="CX637" s="72">
        <f>IF(ISERROR(CW637/CO637),"NA",IF(OR(CW637/CO637&gt;2,CW637/CO637&lt;0.5),"NM",CW637/CO637*100-100))</f>
        <v>-5.1640340218712026</v>
      </c>
      <c r="CY637" s="150">
        <v>467</v>
      </c>
      <c r="CZ637" s="72">
        <f>IF(ISERROR(CY637/CQ637),"NA",IF(OR(CY637/CQ637&gt;2,CY637/CQ637&lt;0.5),"NM",CY637/CQ637*100-100))</f>
        <v>-2.382943143812696</v>
      </c>
      <c r="DA637" s="150">
        <v>468.2</v>
      </c>
      <c r="DB637" s="72">
        <f>IF(ISERROR(DA637/CS637),"NA",IF(OR(DA637/CS637&gt;2,DA637/CS637&lt;0.5),"NM",DA637/CS637*100-100))</f>
        <v>-1.4523258261418732</v>
      </c>
      <c r="DC637" s="150">
        <v>469.5</v>
      </c>
      <c r="DD637" s="72">
        <f>IF(ISERROR(DC637/CU637),"NA",IF(OR(DC637/CU637&gt;2,DC637/CU637&lt;0.5),"NM",DC637/CU637*100-100))</f>
        <v>-0.80287344179167519</v>
      </c>
      <c r="DE637" s="150">
        <v>469.2</v>
      </c>
      <c r="DF637" s="72">
        <f>IF(ISERROR(DE637/CW637),"NA",IF(OR(DE637/CW637&gt;2,DE637/CW637&lt;0.5),"NM",DE637/CW637*100-100))</f>
        <v>0.19218449711722485</v>
      </c>
      <c r="DG637" s="150">
        <v>468.5</v>
      </c>
      <c r="DH637" s="72">
        <f>IF(ISERROR(DG637/CY637),"NA",IF(OR(DG637/CY637&gt;2,DG637/CY637&lt;0.5),"NM",DG637/CY637*100-100))</f>
        <v>0.32119914346895939</v>
      </c>
      <c r="DI637" s="150">
        <v>468.7</v>
      </c>
      <c r="DJ637" s="72">
        <f>IF(ISERROR(DI637/DA637),"NA",IF(OR(DI637/DA637&gt;2,DI637/DA637&lt;0.5),"NM",DI637/DA637*100-100))</f>
        <v>0.10679196924390055</v>
      </c>
      <c r="DK637" s="150">
        <v>466.2</v>
      </c>
      <c r="DL637" s="72">
        <f>IF(ISERROR(DK637/DC637),"NA",IF(OR(DK637/DC637&gt;2,DK637/DC637&lt;0.5),"NM",DK637/DC637*100-100))</f>
        <v>-0.7028753993610195</v>
      </c>
      <c r="DM637" s="150">
        <v>464.7</v>
      </c>
      <c r="DN637" s="72">
        <f>IF(ISERROR(DM637/DE637),"NA",IF(OR(DM637/DE637&gt;2,DM637/DE637&lt;0.5),"NM",DM637/DE637*100-100))</f>
        <v>-0.959079283887462</v>
      </c>
      <c r="DO637" s="150">
        <v>463.4</v>
      </c>
      <c r="DP637" s="72">
        <f>IF(ISERROR(DO637/DG637),"NA",IF(OR(DO637/DG637&gt;2,DO637/DG637&lt;0.5),"NM",DO637/DG637*100-100))</f>
        <v>-1.088580576307379</v>
      </c>
      <c r="DQ637" s="150">
        <v>461.5</v>
      </c>
      <c r="DR637" s="72">
        <f>IF(ISERROR(DQ637/DI637),"NA",IF(OR(DQ637/DI637&gt;2,DQ637/DI637&lt;0.5),"NM",DQ637/DI637*100-100))</f>
        <v>-1.5361638574781296</v>
      </c>
      <c r="DS637" s="150">
        <v>458.5</v>
      </c>
      <c r="DT637" s="72">
        <f>IF(ISERROR(DS637/DK637),"NA",IF(OR(DS637/DK637&gt;2,DS637/DK637&lt;0.5),"NM",DS637/DK637*100-100))</f>
        <v>-1.6516516516516475</v>
      </c>
      <c r="DU637" s="150">
        <v>457.6</v>
      </c>
      <c r="DV637" s="72">
        <f>IF(ISERROR(DU637/DM637),"NA",IF(OR(DU637/DM637&gt;2,DU637/DM637&lt;0.5),"NM",DU637/DM637*100-100))</f>
        <v>-1.5278674413600157</v>
      </c>
      <c r="DW637" s="150">
        <v>454.9</v>
      </c>
      <c r="DX637" s="72">
        <f>IF(ISERROR(DW637/DO637),"NA",IF(OR(DW637/DO637&gt;2,DW637/DO637&lt;0.5),"NM",DW637/DO637*100-100))</f>
        <v>-1.8342684505826554</v>
      </c>
      <c r="DY637" s="150">
        <v>453.2</v>
      </c>
      <c r="DZ637" s="72">
        <f>IF(ISERROR(DY637/DQ637),"NA",IF(OR(DY637/DQ637&gt;2,DY637/DQ637&lt;0.5),"NM",DY637/DQ637*100-100))</f>
        <v>-1.7984832069339092</v>
      </c>
      <c r="EA637" s="150">
        <v>448</v>
      </c>
      <c r="EB637" s="72">
        <f>IF(ISERROR(EA637/DS637),"NA",IF(OR(EA637/DS637&gt;2,EA637/DS637&lt;0.5),"NM",EA637/DS637*100-100))</f>
        <v>-2.2900763358778704</v>
      </c>
      <c r="EC637" s="150">
        <v>444</v>
      </c>
      <c r="ED637" s="72">
        <f>IF(ISERROR(EC637/DU637),"NA",IF(OR(EC637/DU637&gt;2,EC637/DU637&lt;0.5),"NM",EC637/DU637*100-100))</f>
        <v>-2.9720279720279734</v>
      </c>
      <c r="EE637" s="150">
        <v>437.9</v>
      </c>
      <c r="EF637" s="72">
        <f>IF(ISERROR(EE637/DW637),"NA",IF(OR(EE637/DW637&gt;2,EE637/DW637&lt;0.5),"NM",EE637/DW637*100-100))</f>
        <v>-3.7370850736425609</v>
      </c>
      <c r="EG637" s="150">
        <v>436.2</v>
      </c>
      <c r="EH637" s="72">
        <f>IF(ISERROR(EG637/DY637),"NA",IF(OR(EG637/DY637&gt;2,EG637/DY637&lt;0.5),"NM",EG637/DY637*100-100))</f>
        <v>-3.751103265666373</v>
      </c>
      <c r="EI637" s="150">
        <v>435.95</v>
      </c>
      <c r="EJ637" s="72">
        <f>IF(ISERROR(EI637/EA637),"NA",IF(OR(EI637/EA637&gt;2,EI637/EA637&lt;0.5),"NM",EI637/EA637*100-100))</f>
        <v>-2.689732142857153</v>
      </c>
      <c r="EK637" s="150">
        <v>433.82</v>
      </c>
      <c r="EL637" s="72">
        <f>IF(ISERROR(EK637/EC637),"NA",IF(OR(EK637/EC637&gt;2,EK637/EC637&lt;0.5),"NM",EK637/EC637*100-100))</f>
        <v>-2.2927927927927954</v>
      </c>
      <c r="EM637" s="150">
        <f>431.6+0.14</f>
        <v>431.74</v>
      </c>
      <c r="EN637" s="72">
        <f>IF(ISERROR(EM637/EE637),"NA",IF(OR(EM637/EE637&gt;2,EM637/EE637&lt;0.5),"NM",EM637/EE637*100-100))</f>
        <v>-1.4067138616122321</v>
      </c>
      <c r="EO637" s="150">
        <f>435.7</f>
        <v>435.7</v>
      </c>
      <c r="EP637" s="72">
        <f>IF(ISERROR(EO637/EG637),"NA",IF(OR(EO637/EG637&gt;2,EO637/EG637&lt;0.5),"NM",EO637/EG637*100-100))</f>
        <v>-0.11462631820265301</v>
      </c>
      <c r="EQ637" s="144">
        <f t="shared" ref="EQ637" si="2977">EQ632+EQ634</f>
        <v>426.49105933394117</v>
      </c>
      <c r="ER637" s="72">
        <f t="shared" si="2969"/>
        <v>-2.1697306264614724</v>
      </c>
      <c r="ES637" s="144">
        <f t="shared" ref="ES637" si="2978">ES632+ES634</f>
        <v>423.20342277650036</v>
      </c>
      <c r="ET637" s="72">
        <f t="shared" si="2971"/>
        <v>-2.4472309306854498</v>
      </c>
      <c r="EU637" s="144">
        <f t="shared" ref="EU637" si="2979">EU632+EU634</f>
        <v>419.95512207595209</v>
      </c>
      <c r="EV637" s="72">
        <f t="shared" si="2973"/>
        <v>-2.7296238300940132</v>
      </c>
      <c r="EW637" s="144">
        <f t="shared" ref="EW637" si="2980">EW632+EW634</f>
        <v>416.74598592433347</v>
      </c>
      <c r="EX637" s="72">
        <f t="shared" si="2975"/>
        <v>-4.3502442220946733</v>
      </c>
      <c r="EY637" s="72"/>
      <c r="EZ637" s="336"/>
      <c r="FA637" s="72"/>
      <c r="FB637" s="144"/>
      <c r="FC637" s="87"/>
      <c r="FD637" s="144">
        <f>+FF637</f>
        <v>584.79999999999995</v>
      </c>
      <c r="FE637" s="72" t="str">
        <f>IF(ISERROR(FD637/FB637),"NA",IF(OR(FD637/FB637&gt;2,FD637/FB637&lt;0.5),"NM",FD637/FB637*100-100))</f>
        <v>NA</v>
      </c>
      <c r="FF637" s="144">
        <f>+FH637</f>
        <v>584.79999999999995</v>
      </c>
      <c r="FG637" s="72">
        <f>IF(ISERROR(FF637/FD637),"NA",IF(OR(FF637/FD637&gt;2,FF637/FD637&lt;0.5),"NM",FF637/FD637*100-100))</f>
        <v>0</v>
      </c>
      <c r="FH637" s="145">
        <f>Q637</f>
        <v>584.79999999999995</v>
      </c>
      <c r="FI637" s="72">
        <f>IF(ISERROR(FH637/FF637),"NA",IF(OR(FH637/FF637&gt;2,FH637/FF637&lt;0.5),"NM",FH637/FF637*100-100))</f>
        <v>0</v>
      </c>
      <c r="FJ637" s="145">
        <f>Y637</f>
        <v>560.79999999999995</v>
      </c>
      <c r="FK637" s="72">
        <f>IF(ISERROR(FJ637/FH637),"NA",IF(OR(FJ637/FH637&gt;2,FJ637/FH637&lt;0.5),"NM",FJ637/FH637*100-100))</f>
        <v>-4.1039671682626562</v>
      </c>
      <c r="FL637" s="145">
        <f>AG637</f>
        <v>540.79999999999995</v>
      </c>
      <c r="FM637" s="72">
        <f>IF(ISERROR(FL637/FJ637),"NA",IF(OR(FL637/FJ637&gt;2,FL637/FJ637&lt;0.5),"NM",FL637/FJ637*100-100))</f>
        <v>-3.5663338088445187</v>
      </c>
      <c r="FN637" s="145">
        <f>AO637</f>
        <v>531.5</v>
      </c>
      <c r="FO637" s="72">
        <f>IF(ISERROR(FN637/FL637),"NA",IF(OR(FN637/FL637&gt;2,FN637/FL637&lt;0.5),"NM",FN637/FL637*100-100))</f>
        <v>-1.7196745562130076</v>
      </c>
      <c r="FP637" s="145">
        <f>AW637</f>
        <v>507.1</v>
      </c>
      <c r="FQ637" s="72">
        <f>IF(ISERROR(FP637/FN637),"NA",IF(OR(FP637/FN637&gt;2,FP637/FN637&lt;0.5),"NM",FP637/FN637*100-100))</f>
        <v>-4.5907808090310311</v>
      </c>
      <c r="FR637" s="144">
        <f>BE637</f>
        <v>480.1</v>
      </c>
      <c r="FS637" s="72">
        <f>IF(ISERROR(FR637/FP637),"NA",IF(OR(FR637/FP637&gt;2,FR637/FP637&lt;0.5),"NM",FR637/FP637*100-100))</f>
        <v>-5.3243936107276681</v>
      </c>
      <c r="FT637" s="144">
        <f>BM637</f>
        <v>455</v>
      </c>
      <c r="FU637" s="72">
        <f>IF(ISERROR(FT637/FR637),"NA",IF(OR(FT637/FR637&gt;2,FT637/FR637&lt;0.5),"NM",FT637/FR637*100-100))</f>
        <v>-5.2280774838575326</v>
      </c>
      <c r="FV637" s="144">
        <f>BU637</f>
        <v>424.2</v>
      </c>
      <c r="FW637" s="72">
        <f>IF(ISERROR(FV637/FT637),"NA",IF(OR(FV637/FT637&gt;2,FV637/FT637&lt;0.5),"NM",FV637/FT637*100-100))</f>
        <v>-6.7692307692307736</v>
      </c>
      <c r="FX637" s="144">
        <f>CC637</f>
        <v>468.8</v>
      </c>
      <c r="FY637" s="72">
        <f>IF(ISERROR(FX637/FV637),"NA",IF(OR(FX637/FV637&gt;2,FX637/FV637&lt;0.5),"NM",FX637/FV637*100-100))</f>
        <v>10.51390853371052</v>
      </c>
      <c r="FZ637" s="144">
        <f>CK637</f>
        <v>491.7</v>
      </c>
      <c r="GA637" s="72">
        <f>IF(ISERROR(FZ637/FX637),"NA",IF(OR(FZ637/FX637&gt;2,FZ637/FX637&lt;0.5),"NM",FZ637/FX637*100-100))</f>
        <v>4.8848122866894244</v>
      </c>
      <c r="GB637" s="144">
        <f>CS637</f>
        <v>475.1</v>
      </c>
      <c r="GC637" s="72">
        <f>IF(ISERROR(GB637/FZ637),"NA",IF(OR(GB637/FZ637&gt;2,GB637/FZ637&lt;0.5),"NM",GB637/FZ637*100-100))</f>
        <v>-3.3760423022168027</v>
      </c>
      <c r="GD637" s="144">
        <f>DA637</f>
        <v>468.2</v>
      </c>
      <c r="GE637" s="72">
        <f>IF(ISERROR(GD637/GB637),"NA",IF(OR(GD637/GB637&gt;2,GD637/GB637&lt;0.5),"NM",GD637/GB637*100-100))</f>
        <v>-1.4523258261418732</v>
      </c>
      <c r="GF637" s="144">
        <f>DI637</f>
        <v>468.7</v>
      </c>
      <c r="GG637" s="72">
        <f>IF(ISERROR(GF637/GD637),"NA",IF(OR(GF637/GD637&gt;2,GF637/GD637&lt;0.5),"NM",GF637/GD637*100-100))</f>
        <v>0.10679196924390055</v>
      </c>
      <c r="GH637" s="144">
        <f>DQ637</f>
        <v>461.5</v>
      </c>
      <c r="GI637" s="72">
        <f>IF(ISERROR(GH637/GF637),"NA",IF(OR(GH637/GF637&gt;2,GH637/GF637&lt;0.5),"NM",GH637/GF637*100-100))</f>
        <v>-1.5361638574781296</v>
      </c>
      <c r="GJ637" s="144">
        <f>DY637</f>
        <v>453.2</v>
      </c>
      <c r="GK637" s="72">
        <f>IF(ISERROR(GJ637/GH637),"NA",IF(OR(GJ637/GH637&gt;2,GJ637/GH637&lt;0.5),"NM",GJ637/GH637*100-100))</f>
        <v>-1.7984832069339092</v>
      </c>
      <c r="GL637" s="144">
        <f>EG637</f>
        <v>436.2</v>
      </c>
      <c r="GM637" s="72">
        <f>IF(ISERROR(GL637/GJ637),"NA",IF(OR(GL637/GJ637&gt;2,GL637/GJ637&lt;0.5),"NM",GL637/GJ637*100-100))</f>
        <v>-3.751103265666373</v>
      </c>
      <c r="GN637" s="144">
        <f>EO637</f>
        <v>435.7</v>
      </c>
      <c r="GO637" s="72">
        <f>IF(ISERROR(GN637/GL637),"NA",IF(OR(GN637/GL637&gt;2,GN637/GL637&lt;0.5),"NM",GN637/GL637*100-100))</f>
        <v>-0.11462631820265301</v>
      </c>
      <c r="GP637" s="144">
        <f>EW637</f>
        <v>416.74598592433347</v>
      </c>
      <c r="GQ637" s="72">
        <f>IF(ISERROR(GP637/GN637),"NA",IF(OR(GP637/GN637&gt;2,GP637/GN637&lt;0.5),"NM",GP637/GN637*100-100))</f>
        <v>-4.3502442220946733</v>
      </c>
      <c r="GR637" s="144">
        <f>GR632+GR634</f>
        <v>404.24488778476524</v>
      </c>
      <c r="GS637" s="72">
        <f>IF(ISERROR(GR637/GP637),"NA",IF(OR(GR637/GP637&gt;2,GR637/GP637&lt;0.5),"NM",GR637/GP637*100-100))</f>
        <v>-2.999692513376246</v>
      </c>
      <c r="GT637" s="144">
        <f>GT632+GT634</f>
        <v>391.46866336630075</v>
      </c>
      <c r="GU637" s="72">
        <f>IF(ISERROR(GT637/GR637),"NA",IF(OR(GT637/GR637&gt;2,GT637/GR637&lt;0.5),"NM",GT637/GR637*100-100))</f>
        <v>-3.1605160150515133</v>
      </c>
      <c r="GV637" s="144">
        <f>GV632+GV634</f>
        <v>379.204332518093</v>
      </c>
      <c r="GW637" s="72">
        <f>IF(ISERROR(GV637/GT637),"NA",IF(OR(GV637/GT637&gt;2,GV637/GT637&lt;0.5),"NM",GV637/GT637*100-100))</f>
        <v>-3.1329023229458102</v>
      </c>
      <c r="GX637" s="144">
        <f>GX632+GX634</f>
        <v>367.40715270424255</v>
      </c>
      <c r="GY637" s="72">
        <f>IF(ISERROR(GX637/GV637),"NA",IF(OR(GX637/GV637&gt;2,GX637/GV637&lt;0.5),"NM",GX637/GV637*100-100))</f>
        <v>-3.1110350811425889</v>
      </c>
      <c r="GZ637" s="72">
        <f>IF(ISERROR(((GX637/GN637)^0.2-1)*100),"NA",IF((((GX637/GN637)^0.2-1)*100)&gt;100,"NM",IF((((GX637/GN637)^0.2-1)*100)&lt;-50,"NM",((GX637/GN637)^0.2-1)*100)))</f>
        <v>-3.3521918120580696</v>
      </c>
      <c r="HA637" s="72"/>
      <c r="HB637" s="72"/>
      <c r="HC637"/>
      <c r="HD637"/>
      <c r="HE637"/>
      <c r="HF637"/>
      <c r="HG637"/>
      <c r="HH637"/>
      <c r="HI637" s="2"/>
    </row>
    <row r="638" spans="1:217" s="3" customFormat="1" ht="12.75" customHeight="1" x14ac:dyDescent="0.2">
      <c r="B638" s="4"/>
      <c r="C638" s="175"/>
      <c r="D638" s="11"/>
      <c r="E638" s="175"/>
      <c r="F638" s="11"/>
      <c r="G638" s="175"/>
      <c r="H638" s="11"/>
      <c r="I638" s="175"/>
      <c r="J638" s="11"/>
      <c r="K638" s="175"/>
      <c r="L638" s="72"/>
      <c r="M638" s="175"/>
      <c r="N638" s="72"/>
      <c r="O638" s="175"/>
      <c r="P638" s="72"/>
      <c r="Q638" s="175"/>
      <c r="R638" s="72"/>
      <c r="S638" s="175"/>
      <c r="T638" s="72"/>
      <c r="U638" s="175"/>
      <c r="V638" s="72"/>
      <c r="W638" s="175"/>
      <c r="X638" s="72"/>
      <c r="Y638" s="175"/>
      <c r="Z638" s="72"/>
      <c r="AA638" s="175"/>
      <c r="AB638" s="72"/>
      <c r="AC638" s="175"/>
      <c r="AD638" s="72"/>
      <c r="AE638" s="175">
        <f>+AE636-AE637</f>
        <v>2.6000000000000227</v>
      </c>
      <c r="AF638" s="72"/>
      <c r="AG638" s="175">
        <f>+AG636-AG637</f>
        <v>1.1000000000000227</v>
      </c>
      <c r="AH638" s="72"/>
      <c r="AI638" s="175">
        <f>+AI636-AI637</f>
        <v>4.2999999999999545</v>
      </c>
      <c r="AJ638" s="72" t="str">
        <f>IF(ISERROR(AI638/AA638),"NA",IF(OR(AI638/AA638&gt;2,AI638/AA638&lt;0.5),"NM",AI638/AA638*100-100))</f>
        <v>NA</v>
      </c>
      <c r="AK638" s="175">
        <f>+AK636-AK637</f>
        <v>3.5</v>
      </c>
      <c r="AL638" s="72" t="str">
        <f>IF(ISERROR(AK638/AC638),"NA",IF(OR(AK638/AC638&gt;2,AK638/AC638&lt;0.5),"NM",AK638/AC638*100-100))</f>
        <v>NA</v>
      </c>
      <c r="AM638" s="175">
        <f>+AM636-AM637</f>
        <v>3.7000000000000455</v>
      </c>
      <c r="AN638" s="72">
        <f>IF(ISERROR(AM638/AE638),"NA",IF(OR(AM638/AE638&gt;2,AM638/AE638&lt;0.5),"NM",AM638/AE638*100-100))</f>
        <v>42.307692307692804</v>
      </c>
      <c r="AO638" s="175">
        <f>+AO636-AO637</f>
        <v>-4.2000000000000455</v>
      </c>
      <c r="AP638" s="72" t="str">
        <f>IF(ISERROR(AO638/AG638),"NA",IF(OR(AO638/AG638&gt;2,AO638/AG638&lt;0.5),"NM",AO638/AG638*100-100))</f>
        <v>NM</v>
      </c>
      <c r="AQ638" s="175">
        <f>+AQ636-AQ637</f>
        <v>3.5</v>
      </c>
      <c r="AR638" s="72">
        <f>IF(ISERROR(AQ638/AI638),"NA",IF(OR(AQ638/AI638&gt;2,AQ638/AI638&lt;0.5),"NM",AQ638/AI638*100-100))</f>
        <v>-18.604651162789835</v>
      </c>
      <c r="AS638" s="175">
        <f>+AS636-AS637</f>
        <v>2.7000000000000455</v>
      </c>
      <c r="AT638" s="72">
        <f>IF(ISERROR(AS638/AK638),"NA",IF(OR(AS638/AK638&gt;2,AS638/AK638&lt;0.5),"NM",AS638/AK638*100-100))</f>
        <v>-22.857142857141554</v>
      </c>
      <c r="AU638" s="175">
        <f>+AU636-AU637</f>
        <v>4.6999999999999318</v>
      </c>
      <c r="AV638" s="72">
        <f>IF(ISERROR(AU638/AM638),"NA",IF(OR(AU638/AM638&gt;2,AU638/AM638&lt;0.5),"NM",AU638/AM638*100-100))</f>
        <v>27.027027027023621</v>
      </c>
      <c r="AW638" s="175">
        <f>+AW636-AW637</f>
        <v>3.0999999999999659</v>
      </c>
      <c r="AX638" s="72" t="str">
        <f>IF(ISERROR(AW638/AO638),"NA",IF(OR(AW638/AO638&gt;2,AW638/AO638&lt;0.5),"NM",AW638/AO638*100-100))</f>
        <v>NM</v>
      </c>
      <c r="AY638" s="175">
        <f>+AY636-AY637</f>
        <v>3.8000000000000114</v>
      </c>
      <c r="AZ638" s="72">
        <f>IF(ISERROR(AY638/AQ638),"NA",IF(OR(AY638/AQ638&gt;2,AY638/AQ638&lt;0.5),"NM",AY638/AQ638*100-100))</f>
        <v>8.5714285714288962</v>
      </c>
      <c r="BA638" s="175">
        <f>+BA636-BA637</f>
        <v>3.9000000000000341</v>
      </c>
      <c r="BB638" s="72"/>
      <c r="BC638" s="175">
        <f>+BC636-BC637</f>
        <v>3.8000000000000114</v>
      </c>
      <c r="BD638" s="72"/>
      <c r="BE638" s="175">
        <f>+BE636-BE637</f>
        <v>2.6999999999999886</v>
      </c>
      <c r="BF638" s="72"/>
      <c r="BG638" s="175"/>
      <c r="BH638" s="72"/>
      <c r="BI638" s="175"/>
      <c r="BJ638" s="72"/>
      <c r="BK638" s="175"/>
      <c r="BL638" s="72"/>
      <c r="BM638" s="175"/>
      <c r="BN638" s="72"/>
      <c r="BO638" s="175"/>
      <c r="BP638" s="72"/>
      <c r="BQ638" s="175"/>
      <c r="BR638" s="72"/>
      <c r="BS638" s="175"/>
      <c r="BT638" s="72"/>
      <c r="BU638" s="175"/>
      <c r="BV638" s="72"/>
      <c r="BW638" s="175"/>
      <c r="BX638" s="72"/>
      <c r="BY638" s="175"/>
      <c r="BZ638" s="72"/>
      <c r="CA638" s="175"/>
      <c r="CB638" s="72"/>
      <c r="CC638" s="175"/>
      <c r="CD638" s="72"/>
      <c r="CE638" s="175"/>
      <c r="CF638" s="72"/>
      <c r="CG638" s="175"/>
      <c r="CH638" s="72"/>
      <c r="CI638" s="175"/>
      <c r="CJ638" s="72"/>
      <c r="CK638" s="175"/>
      <c r="CL638" s="72"/>
      <c r="CM638" s="175"/>
      <c r="CN638" s="72"/>
      <c r="CO638" s="175"/>
      <c r="CP638" s="72"/>
      <c r="CQ638" s="175"/>
      <c r="CR638" s="72"/>
      <c r="CS638" s="175"/>
      <c r="CT638" s="72"/>
      <c r="CU638" s="175"/>
      <c r="CV638" s="72"/>
      <c r="CW638" s="175"/>
      <c r="CX638" s="72"/>
      <c r="CY638" s="175"/>
      <c r="CZ638" s="72"/>
      <c r="DA638" s="175"/>
      <c r="DB638" s="72"/>
      <c r="DC638" s="175"/>
      <c r="DD638" s="72"/>
      <c r="DE638" s="175"/>
      <c r="DF638" s="72"/>
      <c r="DG638" s="175"/>
      <c r="DH638" s="72"/>
      <c r="DI638" s="175"/>
      <c r="DJ638" s="72"/>
      <c r="DK638" s="175"/>
      <c r="DL638" s="72"/>
      <c r="DM638" s="205"/>
      <c r="DN638" s="72"/>
      <c r="DO638" s="175"/>
      <c r="DP638" s="72"/>
      <c r="DQ638" s="175"/>
      <c r="DR638" s="72"/>
      <c r="DS638" s="175"/>
      <c r="DT638" s="72"/>
      <c r="DU638" s="175"/>
      <c r="DV638" s="72"/>
      <c r="DW638" s="175"/>
      <c r="DX638" s="72"/>
      <c r="DY638" s="175"/>
      <c r="DZ638" s="72"/>
      <c r="EA638" s="175"/>
      <c r="EB638" s="72"/>
      <c r="EC638" s="175"/>
      <c r="ED638" s="72"/>
      <c r="EE638" s="175"/>
      <c r="EF638" s="72"/>
      <c r="EG638" s="175"/>
      <c r="EH638" s="72"/>
      <c r="EI638" s="205"/>
      <c r="EJ638" s="72"/>
      <c r="EK638" s="205"/>
      <c r="EL638" s="72"/>
      <c r="EM638" s="205"/>
      <c r="EN638" s="72"/>
      <c r="EO638" s="205"/>
      <c r="EP638" s="72"/>
      <c r="EQ638" s="175"/>
      <c r="ER638" s="72"/>
      <c r="ES638" s="175"/>
      <c r="ET638" s="72"/>
      <c r="EU638" s="175"/>
      <c r="EV638" s="72"/>
      <c r="EW638" s="175"/>
      <c r="EX638" s="72"/>
      <c r="EY638" s="72"/>
      <c r="EZ638" s="296"/>
      <c r="FA638" s="72"/>
      <c r="FB638" s="9"/>
      <c r="FC638" s="11"/>
      <c r="FD638" s="9"/>
      <c r="FE638" s="72"/>
      <c r="FF638" s="16"/>
      <c r="FG638" s="72"/>
      <c r="FH638" s="16"/>
      <c r="FI638" s="72"/>
      <c r="FJ638" s="16"/>
      <c r="FK638" s="72"/>
      <c r="FL638" s="16"/>
      <c r="FM638" s="72"/>
      <c r="FN638" s="16"/>
      <c r="FO638" s="72"/>
      <c r="FP638" s="9"/>
      <c r="FQ638" s="72"/>
      <c r="FR638" s="175"/>
      <c r="FS638" s="72"/>
      <c r="FT638" s="175"/>
      <c r="FU638" s="72"/>
      <c r="FV638" s="175"/>
      <c r="FW638" s="72"/>
      <c r="FX638" s="175"/>
      <c r="FY638" s="72"/>
      <c r="FZ638" s="205"/>
      <c r="GA638" s="72"/>
      <c r="GB638" s="205"/>
      <c r="GC638" s="72"/>
      <c r="GD638" s="205"/>
      <c r="GE638" s="72"/>
      <c r="GF638" s="205"/>
      <c r="GG638" s="72"/>
      <c r="GH638" s="205"/>
      <c r="GI638" s="72"/>
      <c r="GJ638" s="205"/>
      <c r="GK638" s="72"/>
      <c r="GL638" s="205"/>
      <c r="GM638" s="72"/>
      <c r="GN638" s="205"/>
      <c r="GO638" s="72"/>
      <c r="GP638" s="205"/>
      <c r="GQ638" s="72"/>
      <c r="GR638" s="175"/>
      <c r="GS638" s="72"/>
      <c r="GT638" s="175"/>
      <c r="GU638" s="72"/>
      <c r="GV638" s="175"/>
      <c r="GW638" s="72"/>
      <c r="GX638" s="175"/>
      <c r="GY638" s="72"/>
      <c r="GZ638" s="72"/>
      <c r="HA638" s="72"/>
      <c r="HB638" s="72"/>
      <c r="HC638"/>
      <c r="HD638"/>
      <c r="HE638"/>
      <c r="HF638"/>
      <c r="HG638"/>
      <c r="HH638"/>
      <c r="HI638" s="2"/>
    </row>
    <row r="639" spans="1:217" s="3" customFormat="1" ht="12.75" customHeight="1" x14ac:dyDescent="0.2">
      <c r="B639" s="96" t="s">
        <v>305</v>
      </c>
      <c r="C639" s="9"/>
      <c r="D639" s="11"/>
      <c r="E639" s="9"/>
      <c r="F639" s="11"/>
      <c r="G639" s="9"/>
      <c r="H639" s="11"/>
      <c r="I639" s="9"/>
      <c r="J639" s="11"/>
      <c r="K639" s="9"/>
      <c r="L639" s="72"/>
      <c r="M639" s="9"/>
      <c r="N639" s="72"/>
      <c r="O639" s="9"/>
      <c r="P639" s="72"/>
      <c r="Q639" s="9"/>
      <c r="R639" s="72"/>
      <c r="S639" s="9"/>
      <c r="T639" s="72"/>
      <c r="U639" s="9"/>
      <c r="V639" s="72"/>
      <c r="W639" s="9"/>
      <c r="X639" s="72"/>
      <c r="Y639" s="9"/>
      <c r="Z639" s="72"/>
      <c r="AA639" s="9"/>
      <c r="AB639" s="72"/>
      <c r="AC639" s="9"/>
      <c r="AD639" s="72"/>
      <c r="AE639" s="9"/>
      <c r="AF639" s="72"/>
      <c r="AG639" s="9"/>
      <c r="AH639" s="72"/>
      <c r="AI639" s="9"/>
      <c r="AJ639" s="72"/>
      <c r="AK639" s="9"/>
      <c r="AL639" s="72"/>
      <c r="AM639" s="9"/>
      <c r="AN639" s="72"/>
      <c r="AO639" s="9"/>
      <c r="AP639" s="72"/>
      <c r="AQ639" s="9"/>
      <c r="AR639" s="72"/>
      <c r="AS639" s="9"/>
      <c r="AT639" s="72"/>
      <c r="AU639" s="9"/>
      <c r="AV639" s="72"/>
      <c r="AW639" s="9"/>
      <c r="AX639" s="72"/>
      <c r="AY639" s="9"/>
      <c r="AZ639" s="72"/>
      <c r="BA639" s="9"/>
      <c r="BB639" s="72"/>
      <c r="BC639" s="9"/>
      <c r="BD639" s="72"/>
      <c r="BE639" s="9"/>
      <c r="BF639" s="72"/>
      <c r="BG639" s="9"/>
      <c r="BH639" s="72"/>
      <c r="BI639" s="9"/>
      <c r="BJ639" s="72"/>
      <c r="BK639" s="9"/>
      <c r="BL639" s="72"/>
      <c r="BM639" s="9"/>
      <c r="BN639" s="72"/>
      <c r="BO639" s="9"/>
      <c r="BP639" s="72"/>
      <c r="BQ639" s="9"/>
      <c r="BR639" s="72"/>
      <c r="BS639" s="9"/>
      <c r="BT639" s="72"/>
      <c r="BU639" s="9"/>
      <c r="BV639" s="72"/>
      <c r="BW639" s="9"/>
      <c r="BX639" s="72"/>
      <c r="BY639" s="9"/>
      <c r="BZ639" s="72"/>
      <c r="CA639" s="9"/>
      <c r="CB639" s="72"/>
      <c r="CC639" s="9"/>
      <c r="CD639" s="72"/>
      <c r="CE639" s="9"/>
      <c r="CF639" s="72"/>
      <c r="CG639" s="9"/>
      <c r="CH639" s="72"/>
      <c r="CI639" s="9"/>
      <c r="CJ639" s="72"/>
      <c r="CK639" s="9"/>
      <c r="CL639" s="72"/>
      <c r="CM639" s="2"/>
      <c r="CN639" s="2"/>
      <c r="CO639" s="2"/>
      <c r="CP639" s="2"/>
      <c r="CQ639" s="2"/>
      <c r="CR639" s="2"/>
      <c r="CS639" s="2"/>
      <c r="CT639" s="2"/>
      <c r="CU639" s="2"/>
      <c r="CV639" s="72"/>
      <c r="CW639" s="2"/>
      <c r="CX639" s="72"/>
      <c r="CY639" s="2"/>
      <c r="CZ639" s="72"/>
      <c r="DA639" s="2"/>
      <c r="DB639" s="72"/>
      <c r="DC639" s="2"/>
      <c r="DD639" s="72"/>
      <c r="DE639" s="2"/>
      <c r="DF639" s="72"/>
      <c r="DG639" s="2"/>
      <c r="DH639" s="72"/>
      <c r="DI639" s="2"/>
      <c r="DJ639" s="72"/>
      <c r="DK639" s="2"/>
      <c r="DL639" s="72"/>
      <c r="DM639" s="2"/>
      <c r="DN639" s="72"/>
      <c r="DO639" s="111"/>
      <c r="DP639" s="72"/>
      <c r="DQ639" s="111"/>
      <c r="DR639" s="72"/>
      <c r="DS639" s="111"/>
      <c r="DT639" s="72"/>
      <c r="DU639" s="111"/>
      <c r="DV639" s="72"/>
      <c r="DW639" s="9"/>
      <c r="DX639" s="72"/>
      <c r="DY639" s="9"/>
      <c r="DZ639" s="72"/>
      <c r="EA639" s="9"/>
      <c r="EB639" s="72"/>
      <c r="EC639" s="9"/>
      <c r="ED639" s="72"/>
      <c r="EE639" s="9"/>
      <c r="EF639" s="72"/>
      <c r="EG639" s="9"/>
      <c r="EH639" s="72"/>
      <c r="EI639" s="9"/>
      <c r="EJ639" s="72"/>
      <c r="EK639" s="9"/>
      <c r="EL639" s="72"/>
      <c r="EM639" s="9"/>
      <c r="EN639" s="72"/>
      <c r="EO639" s="9"/>
      <c r="EP639" s="72"/>
      <c r="EQ639" s="9"/>
      <c r="ER639" s="72"/>
      <c r="ES639" s="9"/>
      <c r="ET639" s="72"/>
      <c r="EU639" s="9"/>
      <c r="EV639" s="72"/>
      <c r="EW639" s="9"/>
      <c r="EX639" s="72"/>
      <c r="EY639" s="72"/>
      <c r="EZ639" s="296"/>
      <c r="FA639" s="72"/>
      <c r="FB639" s="9"/>
      <c r="FC639" s="11"/>
      <c r="FD639" s="9"/>
      <c r="FE639" s="72"/>
      <c r="FF639" s="16"/>
      <c r="FG639" s="72"/>
      <c r="FH639" s="16"/>
      <c r="FI639" s="72"/>
      <c r="FJ639" s="16"/>
      <c r="FK639" s="72"/>
      <c r="FL639" s="16"/>
      <c r="FM639" s="72"/>
      <c r="FN639" s="16"/>
      <c r="FO639" s="72"/>
      <c r="FP639" s="9"/>
      <c r="FQ639" s="72"/>
      <c r="FR639" s="9"/>
      <c r="FS639" s="72"/>
      <c r="FT639" s="9"/>
      <c r="FU639" s="72"/>
      <c r="FV639" s="9"/>
      <c r="FW639" s="72"/>
      <c r="FX639" s="9"/>
      <c r="FY639" s="72"/>
      <c r="FZ639" s="9"/>
      <c r="GA639" s="72"/>
      <c r="GB639" s="197"/>
      <c r="GC639" s="72"/>
      <c r="GD639" s="197"/>
      <c r="GE639" s="72"/>
      <c r="GF639" s="197"/>
      <c r="GG639" s="72"/>
      <c r="GH639" s="197"/>
      <c r="GI639" s="72"/>
      <c r="GJ639" s="197"/>
      <c r="GK639" s="72"/>
      <c r="GL639" s="197"/>
      <c r="GM639" s="72"/>
      <c r="GN639" s="197"/>
      <c r="GO639" s="72"/>
      <c r="GP639" s="197"/>
      <c r="GQ639" s="72"/>
      <c r="GR639" s="9"/>
      <c r="GS639" s="72"/>
      <c r="GT639" s="9"/>
      <c r="GU639" s="72"/>
      <c r="GV639" s="9"/>
      <c r="GW639" s="72"/>
      <c r="GX639" s="9"/>
      <c r="GY639" s="72"/>
      <c r="GZ639" s="72"/>
      <c r="HA639" s="72"/>
      <c r="HB639" s="72"/>
      <c r="HC639"/>
      <c r="HD639"/>
      <c r="HE639"/>
      <c r="HF639"/>
      <c r="HG639"/>
      <c r="HH639"/>
      <c r="HI639" s="2"/>
    </row>
    <row r="640" spans="1:217" s="3" customFormat="1" ht="12.75" customHeight="1" x14ac:dyDescent="0.2">
      <c r="A640" s="78"/>
      <c r="B640" s="96" t="s">
        <v>195</v>
      </c>
      <c r="C640" s="188"/>
      <c r="D640" s="11"/>
      <c r="E640" s="188"/>
      <c r="F640" s="11"/>
      <c r="G640" s="188"/>
      <c r="H640" s="11"/>
      <c r="I640" s="188"/>
      <c r="J640" s="11"/>
      <c r="K640" s="188"/>
      <c r="L640" s="72"/>
      <c r="M640" s="188"/>
      <c r="N640" s="72"/>
      <c r="O640" s="188"/>
      <c r="P640" s="72"/>
      <c r="Q640" s="188"/>
      <c r="R640" s="72"/>
      <c r="S640" s="188"/>
      <c r="T640" s="72"/>
      <c r="U640" s="188"/>
      <c r="V640" s="72"/>
      <c r="W640" s="188"/>
      <c r="X640" s="72"/>
      <c r="Y640" s="188"/>
      <c r="Z640" s="72"/>
      <c r="AA640" s="188"/>
      <c r="AB640" s="72"/>
      <c r="AC640" s="188"/>
      <c r="AD640" s="72"/>
      <c r="AE640" s="188"/>
      <c r="AF640" s="72"/>
      <c r="AG640" s="188"/>
      <c r="AH640" s="72"/>
      <c r="AI640" s="188"/>
      <c r="AJ640" s="72"/>
      <c r="AK640" s="188"/>
      <c r="AL640" s="72"/>
      <c r="AM640" s="188"/>
      <c r="AN640" s="72"/>
      <c r="AO640" s="188"/>
      <c r="AP640" s="72"/>
      <c r="AQ640" s="188"/>
      <c r="AR640" s="72"/>
      <c r="AS640" s="188"/>
      <c r="AT640" s="72"/>
      <c r="AU640" s="188"/>
      <c r="AV640" s="72"/>
      <c r="AW640" s="188"/>
      <c r="AX640" s="72"/>
      <c r="AY640" s="176">
        <f>AY554/AY636</f>
        <v>1.2318984328506248</v>
      </c>
      <c r="AZ640" s="72"/>
      <c r="BA640" s="176">
        <f>BA554/BA636</f>
        <v>1.3357473345403339</v>
      </c>
      <c r="BB640" s="72"/>
      <c r="BC640" s="176">
        <f>BC554/BC636</f>
        <v>1.6146788990825689</v>
      </c>
      <c r="BD640" s="72"/>
      <c r="BE640" s="176">
        <f>BE554/BE636</f>
        <v>1.5202982601491299</v>
      </c>
      <c r="BF640" s="72"/>
      <c r="BG640" s="176">
        <f>BG554/BG636</f>
        <v>1.6733752620545073</v>
      </c>
      <c r="BH640" s="72"/>
      <c r="BI640" s="176">
        <f>BI554/BI636</f>
        <v>1.7245762711864407</v>
      </c>
      <c r="BJ640" s="72"/>
      <c r="BK640" s="176">
        <f>BK554/BK636</f>
        <v>1.9978494623655914</v>
      </c>
      <c r="BL640" s="72"/>
      <c r="BM640" s="176">
        <f>BM554/BM636</f>
        <v>1.7233115468409586</v>
      </c>
      <c r="BN640" s="72"/>
      <c r="BO640" s="176">
        <f>BO554/BO636</f>
        <v>1.5290178571428572</v>
      </c>
      <c r="BP640" s="72"/>
      <c r="BQ640" s="176">
        <f>BQ554/BQ636</f>
        <v>1.9315068493150684</v>
      </c>
      <c r="BR640" s="72"/>
      <c r="BS640" s="176">
        <f>BS554/BS636</f>
        <v>0.99534883720930234</v>
      </c>
      <c r="BT640" s="72"/>
      <c r="BU640" s="176">
        <f>BU554/BU637</f>
        <v>-2.0249882131070249</v>
      </c>
      <c r="BV640" s="72"/>
      <c r="BW640" s="176">
        <f>BW554/BW636</f>
        <v>0.47258979206049151</v>
      </c>
      <c r="BX640" s="72"/>
      <c r="BY640" s="176">
        <f>BY554/BY636</f>
        <v>1.9825005756389591</v>
      </c>
      <c r="BZ640" s="72"/>
      <c r="CA640" s="176">
        <f>CA554/CA636</f>
        <v>1.7649591046061126</v>
      </c>
      <c r="CB640" s="72"/>
      <c r="CC640" s="176">
        <f>CC554/CC636</f>
        <v>1.1886030193493515</v>
      </c>
      <c r="CD640" s="72"/>
      <c r="CE640" s="176">
        <f>CE554/CE636</f>
        <v>1.3573700954400849</v>
      </c>
      <c r="CF640" s="72"/>
      <c r="CG640" s="176">
        <f>CG554/CG636</f>
        <v>0.82188886541305728</v>
      </c>
      <c r="CH640" s="72"/>
      <c r="CI640" s="176">
        <f>CI554/CI636</f>
        <v>1.9082840236686391</v>
      </c>
      <c r="CJ640" s="72"/>
      <c r="CK640" s="176">
        <f>CK554/CK636</f>
        <v>1.6277145811789038</v>
      </c>
      <c r="CL640" s="72"/>
      <c r="CM640" s="369">
        <f>CM554/CM636</f>
        <v>1.6197610852399271</v>
      </c>
      <c r="CN640" s="72"/>
      <c r="CO640" s="176">
        <f>CO554/CO636</f>
        <v>1.5662894098625706</v>
      </c>
      <c r="CP640" s="72"/>
      <c r="CQ640" s="176">
        <f>CQ554/CQ636</f>
        <v>0.83793173921929287</v>
      </c>
      <c r="CR640" s="72"/>
      <c r="CS640" s="176">
        <f>CS554/CS636</f>
        <v>1.7840670859538783</v>
      </c>
      <c r="CT640" s="72"/>
      <c r="CU640" s="176">
        <f>CU554/CU636</f>
        <v>1.6544502617801047</v>
      </c>
      <c r="CV640" s="72"/>
      <c r="CW640" s="176">
        <f>CW554/CW636</f>
        <v>1.3875395987328405</v>
      </c>
      <c r="CX640" s="72"/>
      <c r="CY640" s="176">
        <f>CY554/CY636</f>
        <v>1.6023738872403561</v>
      </c>
      <c r="CZ640" s="72"/>
      <c r="DA640" s="176">
        <f>DA554/DA636</f>
        <v>1.7620770376675889</v>
      </c>
      <c r="DB640" s="72"/>
      <c r="DC640" s="176">
        <f>DC554/DC636</f>
        <v>2.2662709349162604</v>
      </c>
      <c r="DD640" s="72"/>
      <c r="DE640" s="176">
        <f>DE554/DE636</f>
        <v>2.3041084286319355</v>
      </c>
      <c r="DF640" s="72"/>
      <c r="DG640" s="176">
        <f>DG554/DG636</f>
        <v>2.8940677966101696</v>
      </c>
      <c r="DH640" s="72"/>
      <c r="DI640" s="176">
        <f>DI554/DI636</f>
        <v>2.2028862478777591</v>
      </c>
      <c r="DJ640" s="72"/>
      <c r="DK640" s="176">
        <f>DK554/DK636</f>
        <v>2.4031336015244547</v>
      </c>
      <c r="DL640" s="72"/>
      <c r="DM640" s="176">
        <f>DM554/DM636</f>
        <v>2.4915038232795244</v>
      </c>
      <c r="DN640" s="72">
        <f t="shared" ref="DN640:DZ642" si="2981">IF(ISERROR(DM640/DE640),"NA",IF(OR(DM640/DE640&gt;2,DM640/DE640&lt;0.5),"NM",DM640/DE640*100-100))</f>
        <v>8.1330979184367038</v>
      </c>
      <c r="DO640" s="176">
        <f>DO554/DO636</f>
        <v>2.1982942430703623</v>
      </c>
      <c r="DP640" s="72">
        <f t="shared" si="2981"/>
        <v>-24.04137022480154</v>
      </c>
      <c r="DQ640" s="176">
        <f>DQ554/DQ636</f>
        <v>2.118226600985222</v>
      </c>
      <c r="DR640" s="72">
        <f t="shared" si="2981"/>
        <v>-3.8431238550831921</v>
      </c>
      <c r="DS640" s="176">
        <f>DS554/DS636</f>
        <v>2.7872020614129269</v>
      </c>
      <c r="DT640" s="72">
        <f t="shared" si="2981"/>
        <v>15.981985339676257</v>
      </c>
      <c r="DU640" s="176">
        <f>DU554/DU636</f>
        <v>2.912621359223301</v>
      </c>
      <c r="DV640" s="72">
        <f t="shared" si="2981"/>
        <v>16.902142874878948</v>
      </c>
      <c r="DW640" s="176">
        <f>DW554/DW636</f>
        <v>2.4015577672003463</v>
      </c>
      <c r="DX640" s="72">
        <f t="shared" si="2981"/>
        <v>9.2464202538276083</v>
      </c>
      <c r="DY640" s="176">
        <f>DY554/DY636</f>
        <v>1.9373776908023483</v>
      </c>
      <c r="DZ640" s="72">
        <f t="shared" si="2981"/>
        <v>-8.5377508760751937</v>
      </c>
      <c r="EA640" s="176">
        <f>EA554/EA636</f>
        <v>2.1787587412587412</v>
      </c>
      <c r="EB640" s="72">
        <f>IF(ISERROR(EA640/DS640),"NA",IF(OR(EA640/DS640&gt;2,EA640/DS640&lt;0.5),"NM",EA640/DS640*100-100))</f>
        <v>-21.829896317088156</v>
      </c>
      <c r="EC640" s="176">
        <f>EC554/EC636</f>
        <v>1.8450923659025149</v>
      </c>
      <c r="ED640" s="72">
        <f>IF(ISERROR(EC640/DU640),"NA",IF(OR(EC640/DU640&gt;2,EC640/DU640&lt;0.5),"NM",EC640/DU640*100-100))</f>
        <v>-36.651828770680318</v>
      </c>
      <c r="EE640" s="176">
        <f>EE554/EE636</f>
        <v>2.6592392527571458</v>
      </c>
      <c r="EF640" s="72">
        <f>IF(ISERROR(EE640/DW640),"NA",IF(OR(EE640/DW640&gt;2,EE640/DW640&lt;0.5),"NM",EE640/DW640*100-100))</f>
        <v>10.72976420039214</v>
      </c>
      <c r="EG640" s="176">
        <f>EG554/EG636</f>
        <v>2.4579354251932695</v>
      </c>
      <c r="EH640" s="72">
        <f>IF(ISERROR(EG640/DY640),"NA",IF(OR(EG640/DY640&gt;2,EG640/DY640&lt;0.5),"NM",EG640/DY640*100-100))</f>
        <v>26.869192148864713</v>
      </c>
      <c r="EI640" s="176">
        <f>EI554/EI636</f>
        <v>2.7943520838077887</v>
      </c>
      <c r="EJ640" s="72">
        <f>IF(ISERROR(EI640/EA640),"NA",IF(OR(EI640/EA640&gt;2,EI640/EA640&lt;0.5),"NM",EI640/EA640*100-100))</f>
        <v>28.254314297938237</v>
      </c>
      <c r="EK640" s="176">
        <f>EK554/EK636</f>
        <v>2.0903851431707987</v>
      </c>
      <c r="EL640" s="72">
        <f>IF(ISERROR(EK640/EC640),"NA",IF(OR(EK640/EC640&gt;2,EK640/EC640&lt;0.5),"NM",EK640/EC640*100-100))</f>
        <v>13.294335926012053</v>
      </c>
      <c r="EM640" s="176">
        <f>EM554/EM636</f>
        <v>3.0137931034482759</v>
      </c>
      <c r="EN640" s="72">
        <f>IF(ISERROR(EM640/EE640),"NA",IF(OR(EM640/EE640&gt;2,EM640/EE640&lt;0.5),"NM",EM640/EE640*100-100))</f>
        <v>13.332905278211513</v>
      </c>
      <c r="EO640" s="176">
        <f>EO554/EO636</f>
        <v>2.6854633695400971</v>
      </c>
      <c r="EP640" s="72">
        <f>IF(ISERROR(EO640/EG640),"NA",IF(OR(EO640/EG640&gt;2,EO640/EG640&lt;0.5),"NM",EO640/EG640*100-100))</f>
        <v>9.2568723333704668</v>
      </c>
      <c r="EQ640" s="176">
        <f>EQ554/EQ636</f>
        <v>3.0956473436103349</v>
      </c>
      <c r="ER640" s="72">
        <f t="shared" ref="ER640:ER642" si="2982">IF(ISERROR(EQ640/EI640),"NA",IF(OR(EQ640/EI640&gt;2,EQ640/EI640&lt;0.5),"NM",EQ640/EI640*100-100))</f>
        <v>10.782294097742295</v>
      </c>
      <c r="ES640" s="176">
        <f>ES554/ES636</f>
        <v>3.1369010469049265</v>
      </c>
      <c r="ET640" s="72">
        <f t="shared" ref="ET640:ET642" si="2983">IF(ISERROR(ES640/EK640),"NA",IF(OR(ES640/EK640&gt;2,ES640/EK640&lt;0.5),"NM",ES640/EK640*100-100))</f>
        <v>50.063305661784483</v>
      </c>
      <c r="EU640" s="176">
        <f>EU554/EU636</f>
        <v>3.1253659827544977</v>
      </c>
      <c r="EV640" s="72">
        <f t="shared" ref="EV640:EV642" si="2984">IF(ISERROR(EU640/EM640),"NA",IF(OR(EU640/EM640&gt;2,EU640/EM640&lt;0.5),"NM",EU640/EM640*100-100))</f>
        <v>3.70207494265496</v>
      </c>
      <c r="EW640" s="176">
        <f>EW554/EW636</f>
        <v>2.838428618029682</v>
      </c>
      <c r="EX640" s="72">
        <f t="shared" ref="EX640:EX642" si="2985">IF(ISERROR(EW640/EO640),"NA",IF(OR(EW640/EO640&gt;2,EW640/EO640&lt;0.5),"NM",EW640/EO640*100-100))</f>
        <v>5.6960467316216352</v>
      </c>
      <c r="EY640" s="72"/>
      <c r="EZ640" s="332"/>
      <c r="FA640" s="72"/>
      <c r="FB640" s="188"/>
      <c r="FC640" s="11"/>
      <c r="FD640" s="188"/>
      <c r="FE640" s="72"/>
      <c r="FF640" s="188"/>
      <c r="FG640" s="72"/>
      <c r="FH640" s="73"/>
      <c r="FI640" s="72"/>
      <c r="FJ640" s="73"/>
      <c r="FK640" s="72"/>
      <c r="FL640" s="73"/>
      <c r="FM640" s="72"/>
      <c r="FN640" s="221"/>
      <c r="FO640" s="72"/>
      <c r="FP640" s="13"/>
      <c r="FQ640" s="72"/>
      <c r="FR640" s="176">
        <f>FR554/FR636</f>
        <v>4.5988654781199347</v>
      </c>
      <c r="FS640" s="72" t="str">
        <f>IF(ISERROR(FR640/FP640),"NA",IF(OR(FR640/FP640&gt;2,FR640/FP640&lt;0.5),"NM",FR640/FP640*100-100))</f>
        <v>NA</v>
      </c>
      <c r="FT640" s="176">
        <f>FT554/FT636</f>
        <v>5.8293646556326753</v>
      </c>
      <c r="FU640" s="72">
        <f>IF(ISERROR(FT640/FR640),"NA",IF(OR(FT640/FR640&gt;2,FT640/FR640&lt;0.5),"NM",FT640/FR640*100-100))</f>
        <v>26.75658123437394</v>
      </c>
      <c r="FV640" s="176">
        <f>FV554/FV636</f>
        <v>-1.552121771217712</v>
      </c>
      <c r="FW640" s="72" t="str">
        <f>IF(ISERROR(FV640/FT640),"NA",IF(OR(FV640/FT640&gt;2,FV640/FT640&lt;0.5),"NM",FV640/FT640*100-100))</f>
        <v>NM</v>
      </c>
      <c r="FX640" s="176">
        <f>FX554/FX636</f>
        <v>2.4414193260432939</v>
      </c>
      <c r="FY640" s="72" t="str">
        <f>IF(ISERROR(FX640/FV640),"NA",IF(OR(FX640/FV640&gt;2,FX640/FV640&lt;0.5),"NM",FX640/FV640*100-100))</f>
        <v>NM</v>
      </c>
      <c r="FZ640" s="176">
        <f>FZ554/FZ636</f>
        <v>4.2724165132789906</v>
      </c>
      <c r="GA640" s="72">
        <f>IF(ISERROR(FZ640/FX640),"NA",IF(OR(FZ640/FX640&gt;2,FZ640/FX640&lt;0.5),"NM",FZ640/FX640*100-100))</f>
        <v>74.997243107889915</v>
      </c>
      <c r="GB640" s="176">
        <f>GB554/GB636</f>
        <v>4.6219948849104862</v>
      </c>
      <c r="GC640" s="72"/>
      <c r="GD640" s="176">
        <f>GD554/GD636</f>
        <v>5.1841284936862682</v>
      </c>
      <c r="GE640" s="72"/>
      <c r="GF640" s="176">
        <f>GF554/GF636</f>
        <v>10.074717820995177</v>
      </c>
      <c r="GG640" s="72">
        <f>IF(ISERROR(GF640/GD640),"NA",IF(OR(GF640/GD640&gt;2,GF640/GD640&lt;0.5),"NM",GF640/GD640*100-100))</f>
        <v>94.337733589457514</v>
      </c>
      <c r="GH640" s="701">
        <f>DK640+DM640+DO640+DQ640-0.01</f>
        <v>9.2011582688595634</v>
      </c>
      <c r="GI640" s="72">
        <f t="shared" ref="GI640:GU642" si="2986">IF(ISERROR(GH640/GF640),"NA",IF(OR(GH640/GF640&gt;2,GH640/GF640&lt;0.5),"NM",GH640/GF640*100-100))</f>
        <v>-8.6708091249480219</v>
      </c>
      <c r="GJ640" s="176">
        <f>GJ554/GJ636</f>
        <v>10.044833360341382</v>
      </c>
      <c r="GK640" s="72">
        <f t="shared" si="2986"/>
        <v>9.1692270345697295</v>
      </c>
      <c r="GL640" s="176">
        <f>GL554/GL636</f>
        <v>9.1312116136236732</v>
      </c>
      <c r="GM640" s="72">
        <f t="shared" si="2986"/>
        <v>-9.0954395552726055</v>
      </c>
      <c r="GN640" s="176">
        <f>GN554/GN636</f>
        <v>10.582326093438224</v>
      </c>
      <c r="GO640" s="72">
        <f t="shared" si="2986"/>
        <v>15.891806489836497</v>
      </c>
      <c r="GP640" s="176">
        <f>GP554/GP636</f>
        <v>12.199348634086146</v>
      </c>
      <c r="GQ640" s="72">
        <f t="shared" si="2986"/>
        <v>15.280407411094515</v>
      </c>
      <c r="GR640" s="176">
        <f>GR554/GR636</f>
        <v>12.751069324888016</v>
      </c>
      <c r="GS640" s="72">
        <f t="shared" si="2986"/>
        <v>4.5225422057396685</v>
      </c>
      <c r="GT640" s="176">
        <f>GT554/GT636</f>
        <v>13.303162843222088</v>
      </c>
      <c r="GU640" s="72">
        <f t="shared" si="2986"/>
        <v>4.3297821089912389</v>
      </c>
      <c r="GV640" s="176">
        <f>GV554/GV636</f>
        <v>13.853522114260759</v>
      </c>
      <c r="GW640" s="72">
        <f>IF(ISERROR(GV640/GT640),"NA",IF(OR(GV640/GT640&gt;2,GV640/GT640&lt;0.5),"NM",GV640/GT640*100-100))</f>
        <v>4.1370558078906612</v>
      </c>
      <c r="GX640" s="176">
        <f>GX554/GX636</f>
        <v>14.450625194663479</v>
      </c>
      <c r="GY640" s="72">
        <f>IF(ISERROR(GX640/GV640),"NA",IF(OR(GX640/GV640&gt;2,GX640/GV640&lt;0.5),"NM",GX640/GV640*100-100))</f>
        <v>4.3101174955938717</v>
      </c>
      <c r="GZ640" s="80">
        <f>IF(ISERROR(((GX640/GN640)^0.2-1)*100),"NA",IF((((GX640/GN640)^0.2-1)*100)&gt;100,"NM",IF((((GX640/GN640)^0.2-1)*100)&lt;-50,"NM",((GX640/GN640)^0.2-1)*100)))</f>
        <v>6.429273926309631</v>
      </c>
      <c r="HA640" s="80"/>
      <c r="HB640" s="80"/>
      <c r="HC640"/>
      <c r="HD640"/>
      <c r="HE640"/>
      <c r="HF640"/>
      <c r="HG640"/>
      <c r="HH640"/>
      <c r="HI640" s="5"/>
    </row>
    <row r="641" spans="1:217" s="3" customFormat="1" ht="12.75" customHeight="1" x14ac:dyDescent="0.2">
      <c r="A641" s="3" t="s">
        <v>228</v>
      </c>
      <c r="B641" s="4" t="s">
        <v>684</v>
      </c>
      <c r="C641" s="188">
        <f>ROUND(C539/C636,2)</f>
        <v>0.38</v>
      </c>
      <c r="D641" s="11"/>
      <c r="E641" s="188">
        <f>ROUND(E539/E636,2)</f>
        <v>0.4</v>
      </c>
      <c r="F641" s="11"/>
      <c r="G641" s="188">
        <f>ROUND(G539/G636,2)</f>
        <v>0.31</v>
      </c>
      <c r="H641" s="11"/>
      <c r="I641" s="188">
        <f>ROUND(I539/I636,2)</f>
        <v>0.18</v>
      </c>
      <c r="J641" s="11"/>
      <c r="K641" s="188">
        <f>ROUND(K539/K636,2)</f>
        <v>0.8</v>
      </c>
      <c r="L641" s="72" t="str">
        <f>IF(ISERROR(K641/C641),"NA",IF(OR(K641/C641&gt;2,K641/C641&lt;0.5),"NM",K641/C641*100-100))</f>
        <v>NM</v>
      </c>
      <c r="M641" s="188">
        <f>ROUND(M539/M636,2)</f>
        <v>0.74</v>
      </c>
      <c r="N641" s="72">
        <f>IF(ISERROR(M641/E641),"NA",IF(OR(M641/E641&gt;2,M641/E641&lt;0.5),"NM",M641/E641*100-100))</f>
        <v>85</v>
      </c>
      <c r="O641" s="188">
        <f>ROUND(O539/O636,2)</f>
        <v>0.54</v>
      </c>
      <c r="P641" s="72">
        <f>IF(ISERROR(O641/G641),"NA",IF(OR(O641/G641&gt;2,O641/G641&lt;0.5),"NM",O641/G641*100-100))</f>
        <v>74.193548387096797</v>
      </c>
      <c r="Q641" s="188">
        <f>ROUND(Q539/Q636,2)</f>
        <v>0.44</v>
      </c>
      <c r="R641" s="72" t="str">
        <f>IF(ISERROR(Q641/I641),"NA",IF(OR(Q641/I641&gt;2,Q641/I641&lt;0.5),"NM",Q641/I641*100-100))</f>
        <v>NM</v>
      </c>
      <c r="S641" s="188">
        <f>ROUND(S546/S636,2)</f>
        <v>0.86</v>
      </c>
      <c r="T641" s="72">
        <f>IF(ISERROR(S641/K641),"NA",IF(OR(S641/K641&gt;2,S641/K641&lt;0.5),"NM",S641/K641*100-100))</f>
        <v>7.5</v>
      </c>
      <c r="U641" s="188">
        <f>ROUND(U546/U636,2)</f>
        <v>0.83</v>
      </c>
      <c r="V641" s="72">
        <f>IF(ISERROR(U641/M641),"NA",IF(OR(U641/M641&gt;2,U641/M641&lt;0.5),"NM",U641/M641*100-100))</f>
        <v>12.162162162162147</v>
      </c>
      <c r="W641" s="188">
        <f>ROUND(W546/W636,2)</f>
        <v>0.78</v>
      </c>
      <c r="X641" s="72">
        <f>IF(ISERROR(W641/O641),"NA",IF(OR(W641/O641&gt;2,W641/O641&lt;0.5),"NM",W641/O641*100-100))</f>
        <v>44.444444444444429</v>
      </c>
      <c r="Y641" s="188">
        <f>ROUND(Y546/Y636,2)</f>
        <v>0.69</v>
      </c>
      <c r="Z641" s="72">
        <f>IF(ISERROR(Y641/Q641),"NA",IF(OR(Y641/Q641&gt;2,Y641/Q641&lt;0.5),"NM",Y641/Q641*100-100))</f>
        <v>56.818181818181813</v>
      </c>
      <c r="AA641" s="188">
        <f>ROUND(AA546/AA636,2)</f>
        <v>0.85</v>
      </c>
      <c r="AB641" s="72">
        <f>IF(ISERROR(AA641/S641),"NA",IF(OR(AA641/S641&gt;2,AA641/S641&lt;0.5),"NM",AA641/S641*100-100))</f>
        <v>-1.1627906976744242</v>
      </c>
      <c r="AC641" s="188">
        <f>ROUND(AC546/AC636,2)</f>
        <v>1.02</v>
      </c>
      <c r="AD641" s="72">
        <f>IF(ISERROR(AC641/U641),"NA",IF(OR(AC641/U641&gt;2,AC641/U641&lt;0.5),"NM",AC641/U641*100-100))</f>
        <v>22.891566265060263</v>
      </c>
      <c r="AE641" s="188">
        <f>ROUND(AE546/AE636,2)</f>
        <v>0.99</v>
      </c>
      <c r="AF641" s="72">
        <f>IF(ISERROR(AE641/W641),"NA",IF(OR(AE641/W641&gt;2,AE641/W641&lt;0.5),"NM",AE641/W641*100-100))</f>
        <v>26.92307692307692</v>
      </c>
      <c r="AG641" s="188">
        <f>ROUND(AG546/AG636,2)</f>
        <v>1.06</v>
      </c>
      <c r="AH641" s="72">
        <f>IF(ISERROR(AG641/Y641),"NA",IF(OR(AG641/Y641&gt;2,AG641/Y641&lt;0.5),"NM",AG641/Y641*100-100))</f>
        <v>53.623188405797123</v>
      </c>
      <c r="AI641" s="188">
        <f>ROUND(AI546/AI636,2)</f>
        <v>1.08</v>
      </c>
      <c r="AJ641" s="72">
        <f>IF(ISERROR(AI641/AA641),"NA",IF(OR(AI641/AA641&gt;2,AI641/AA641&lt;0.5),"NM",AI641/AA641*100-100))</f>
        <v>27.058823529411782</v>
      </c>
      <c r="AK641" s="188">
        <f>ROUND(AK546/AK636,2)</f>
        <v>1.4</v>
      </c>
      <c r="AL641" s="72">
        <f>IF(ISERROR(AK641/AC641),"NA",IF(OR(AK641/AC641&gt;2,AK641/AC641&lt;0.5),"NM",AK641/AC641*100-100))</f>
        <v>37.254901960784281</v>
      </c>
      <c r="AM641" s="188">
        <f>ROUND(AM546/AM636,2)</f>
        <v>1.4</v>
      </c>
      <c r="AN641" s="72">
        <f>IF(ISERROR(AM641/AE641),"NA",IF(OR(AM641/AE641&gt;2,AM641/AE641&lt;0.5),"NM",AM641/AE641*100-100))</f>
        <v>41.414141414141426</v>
      </c>
      <c r="AO641" s="188">
        <f>AO546/AO636</f>
        <v>1.4830267399962072</v>
      </c>
      <c r="AP641" s="72">
        <f>IF(ISERROR(AO641/AG641),"NA",IF(OR(AO641/AG641&gt;2,AO641/AG641&lt;0.5),"NM",AO641/AG641*100-100))</f>
        <v>39.908183018510101</v>
      </c>
      <c r="AQ641" s="188">
        <f>AQ546/AQ636</f>
        <v>1.6849056603773584</v>
      </c>
      <c r="AR641" s="72">
        <f>IF(ISERROR(AQ641/AI641),"NA",IF(OR(AQ641/AI641&gt;2,AQ641/AI641&lt;0.5),"NM",AQ641/AI641*100-100))</f>
        <v>56.009783368273901</v>
      </c>
      <c r="AS641" s="188">
        <f>AS546/AS636</f>
        <v>1.5822543792840822</v>
      </c>
      <c r="AT641" s="72">
        <f>IF(ISERROR(AS641/AK641),"NA",IF(OR(AS641/AK641&gt;2,AS641/AK641&lt;0.5),"NM",AS641/AK641*100-100))</f>
        <v>13.018169948863019</v>
      </c>
      <c r="AU641" s="188">
        <f>AU546/AU636</f>
        <v>1.9660428323364849</v>
      </c>
      <c r="AV641" s="72">
        <f>IF(ISERROR(AU641/AM641),"NA",IF(OR(AU641/AM641&gt;2,AU641/AM641&lt;0.5),"NM",AU641/AM641*100-100))</f>
        <v>40.431630881177483</v>
      </c>
      <c r="AW641" s="188">
        <f>AW546/AW636</f>
        <v>1.5092120736965895</v>
      </c>
      <c r="AX641" s="72">
        <f>IF(ISERROR(AW641/AO641),"NA",IF(OR(AW641/AO641&gt;2,AW641/AO641&lt;0.5),"NM",AW641/AO641*100-100))</f>
        <v>1.7656683452956088</v>
      </c>
      <c r="AY641" s="188">
        <f>AY546/AY636</f>
        <v>1.2318984328506248</v>
      </c>
      <c r="AZ641" s="72">
        <f>IF(ISERROR(AY641/AQ641),"NA",IF(OR(AY641/AQ641&gt;2,AY641/AQ641&lt;0.5),"NM",AY641/AQ641*100-100))</f>
        <v>-26.886207232829648</v>
      </c>
      <c r="BA641" s="188">
        <f>BA546/BA636</f>
        <v>1.3357473345403339</v>
      </c>
      <c r="BB641" s="72">
        <f>IF(ISERROR(BA641/AS641),"NA",IF(OR(BA641/AS641&gt;2,BA641/AS641&lt;0.5),"NM",BA641/AS641*100-100))</f>
        <v>-15.579482539039304</v>
      </c>
      <c r="BC641" s="188">
        <f>BC546/BC636</f>
        <v>1.6146788990825689</v>
      </c>
      <c r="BD641" s="72">
        <f>IF(ISERROR(BC641/AU641),"NA",IF(OR(BC641/AU641&gt;2,BC641/AU641&lt;0.5),"NM",BC641/AU641*100-100))</f>
        <v>-17.871631659028921</v>
      </c>
      <c r="BE641" s="188">
        <f>BE546/BE636</f>
        <v>1.5202982601491299</v>
      </c>
      <c r="BF641" s="72">
        <f>IF(ISERROR(BE641/AW641),"NA",IF(OR(BE641/AW641&gt;2,BE641/AW641&lt;0.5),"NM",BE641/AW641*100-100))</f>
        <v>0.73456783481637444</v>
      </c>
      <c r="BG641" s="188">
        <f>BG546/BG636</f>
        <v>1.6733752620545073</v>
      </c>
      <c r="BH641" s="72">
        <f>IF(ISERROR(BG641/AY641),"NA",IF(OR(BG641/AY641&gt;2,BG641/AY641&lt;0.5),"NM",BG641/AY641*100-100))</f>
        <v>35.837112657274901</v>
      </c>
      <c r="BI641" s="188">
        <f>BI546/BI636</f>
        <v>1.7245762711864407</v>
      </c>
      <c r="BJ641" s="72">
        <f>IF(ISERROR(BI641/BA641),"NA",IF(OR(BI641/BA641&gt;2,BI641/BA641&lt;0.5),"NM",BI641/BA641*100-100))</f>
        <v>29.109467531141519</v>
      </c>
      <c r="BK641" s="188">
        <f>BK546/BK636</f>
        <v>1.9978494623655914</v>
      </c>
      <c r="BL641" s="72">
        <f>IF(ISERROR(BK641/BC641),"NA",IF(OR(BK641/BC641&gt;2,BK641/BC641&lt;0.5),"NM",BK641/BC641*100-100))</f>
        <v>23.730449657869016</v>
      </c>
      <c r="BM641" s="188">
        <f>BM546/BM636</f>
        <v>1.7233115468409586</v>
      </c>
      <c r="BN641" s="72">
        <f>IF(ISERROR(BM641/BE641),"NA",IF(OR(BM641/BE641&gt;2,BM641/BE641&lt;0.5),"NM",BM641/BE641*100-100))</f>
        <v>13.353517004743168</v>
      </c>
      <c r="BO641" s="188">
        <f>BO546/BO636</f>
        <v>1.5290178571428572</v>
      </c>
      <c r="BP641" s="72">
        <f>IF(ISERROR(BO641/BG641),"NA",IF(OR(BO641/BG641&gt;2,BO641/BG641&lt;0.5),"NM",BO641/BG641*100-100))</f>
        <v>-8.6267203887317834</v>
      </c>
      <c r="BQ641" s="188">
        <f>BQ546/BQ636</f>
        <v>1.9315068493150684</v>
      </c>
      <c r="BR641" s="72">
        <f>IF(ISERROR(BQ641/BI641),"NA",IF(OR(BQ641/BI641&gt;2,BQ641/BI641&lt;0.5),"NM",BQ641/BI641*100-100))</f>
        <v>11.998922957827048</v>
      </c>
      <c r="BS641" s="188">
        <f>BS546/BS636</f>
        <v>0.99534883720930234</v>
      </c>
      <c r="BT641" s="72" t="str">
        <f>IF(ISERROR(BS641/BK641),"NA",IF(OR(BS641/BK641&gt;2,BS641/BK641&lt;0.5),"NM",BS641/BK641*100-100))</f>
        <v>NM</v>
      </c>
      <c r="BU641" s="188">
        <f>BU546/BU637</f>
        <v>-2.0249882131070249</v>
      </c>
      <c r="BV641" s="72" t="str">
        <f>IF(ISERROR(BU641/BM641),"NA",IF(OR(BU641/BM641&gt;2,BU641/BM641&lt;0.5),"NM",BU641/BM641*100-100))</f>
        <v>NM</v>
      </c>
      <c r="BW641" s="188">
        <f>BW546/BW637</f>
        <v>0.47158688988446118</v>
      </c>
      <c r="BX641" s="72" t="str">
        <f>IF(ISERROR(BW641/BO641),"NA",IF(OR(BW641/BO641&gt;2,BW641/BO641&lt;0.5),"NM",BW641/BO641*100-100))</f>
        <v>NM</v>
      </c>
      <c r="BY641" s="188">
        <f>BY546/BY636</f>
        <v>1.9825005756389591</v>
      </c>
      <c r="BZ641" s="72">
        <f>IF(ISERROR(BY641/BQ641),"NA",IF(OR(BY641/BQ641&gt;2,BY641/BQ641&lt;0.5),"NM",BY641/BQ641*100-100))</f>
        <v>2.6401007245702175</v>
      </c>
      <c r="CA641" s="13">
        <f>CA546/CA636</f>
        <v>1.7649591046061126</v>
      </c>
      <c r="CB641" s="72">
        <f>IF(ISERROR(CA641/BS641),"NA",IF(OR(CA641/BS641&gt;2,CA641/BS641&lt;0.5),"NM",CA641/BS641*100-100))</f>
        <v>77.320657705754286</v>
      </c>
      <c r="CC641" s="13">
        <f>CC546/CC636</f>
        <v>1.1886030193493515</v>
      </c>
      <c r="CD641" s="72" t="str">
        <f>IF(ISERROR(CC641/BU641),"NA",IF(OR(CC641/BU641&gt;2,CC641/BU641&lt;0.5),"NM",CC641/BU641*100-100))</f>
        <v>NM</v>
      </c>
      <c r="CE641" s="13">
        <f>CE546/CE636</f>
        <v>1.3573700954400849</v>
      </c>
      <c r="CF641" s="72" t="str">
        <f>IF(ISERROR(CE641/BW641),"NA",IF(OR(CE641/BW641&gt;2,CE641/BW641&lt;0.5),"NM",CE641/BW641*100-100))</f>
        <v>NM</v>
      </c>
      <c r="CG641" s="13">
        <f>CG546/CG636</f>
        <v>0.82188886541305728</v>
      </c>
      <c r="CH641" s="72" t="str">
        <f>IF(ISERROR(CG641/BY641),"NA",IF(OR(CG641/BY641&gt;2,CG641/BY641&lt;0.5),"NM",CG641/BY641*100-100))</f>
        <v>NM</v>
      </c>
      <c r="CI641" s="13">
        <f>CI546/CI636</f>
        <v>1.9082840236686391</v>
      </c>
      <c r="CJ641" s="72">
        <f>IF(ISERROR(CI641/CA641),"NA",IF(OR(CI641/CA641&gt;2,CI641/CA641&lt;0.5),"NM",CI641/CA641*100-100))</f>
        <v>8.1205801702987515</v>
      </c>
      <c r="CK641" s="13">
        <f>CK546/CK636</f>
        <v>1.6277145811789038</v>
      </c>
      <c r="CL641" s="72">
        <f>IF(ISERROR(CK641/CC641),"NA",IF(OR(CK641/CC641&gt;2,CK641/CC641&lt;0.5),"NM",CK641/CC641*100-100))</f>
        <v>36.943500452314566</v>
      </c>
      <c r="CM641" s="370">
        <f>CM546/CM636</f>
        <v>1.6302895322939868</v>
      </c>
      <c r="CN641" s="72">
        <f>IF(ISERROR(CM641/CE641),"NA",IF(OR(CM641/CE641&gt;2,CM641/CE641&lt;0.5),"NM",CM641/CE641*100-100))</f>
        <v>20.106486636971056</v>
      </c>
      <c r="CO641" s="13">
        <f>CO546/CO636</f>
        <v>1.6043856103476153</v>
      </c>
      <c r="CP641" s="72">
        <f>IF(ISERROR(CO641/CG641),"NA",IF(OR(CO641/CG641&gt;2,CO641/CG641&lt;0.5),"NM",CO641/CG641*100-100))</f>
        <v>95.207123233297239</v>
      </c>
      <c r="CQ641" s="13">
        <f>CQ546/CQ636</f>
        <v>0.89505415900265684</v>
      </c>
      <c r="CR641" s="72" t="str">
        <f>IF(ISERROR(CQ641/CI641),"NA",IF(OR(CQ641/CI641&gt;2,CQ641/CI641&lt;0.5),"NM",CQ641/CI641*100-100))</f>
        <v>NM</v>
      </c>
      <c r="CS641" s="13">
        <f>CS546/CS636</f>
        <v>1.9121593291404613</v>
      </c>
      <c r="CT641" s="72">
        <f>IF(ISERROR(CS641/CK641),"NA",IF(OR(CS641/CK641&gt;2,CS641/CK641&lt;0.5),"NM",CS641/CK641*100-100))</f>
        <v>17.475099827117276</v>
      </c>
      <c r="CU641" s="13">
        <f>CU546/CU636</f>
        <v>1.7320418848167538</v>
      </c>
      <c r="CV641" s="72">
        <f>IF(ISERROR(CU641/CM641),"NA",IF(OR(CU641/CM641&gt;2,CU641/CM641&lt;0.5),"NM",CU641/CM641*100-100))</f>
        <v>6.2413669785139803</v>
      </c>
      <c r="CW641" s="13">
        <f>CW546/CW636</f>
        <v>1.4397043294614573</v>
      </c>
      <c r="CX641" s="72">
        <f>IF(ISERROR(CW641/CO641),"NA",IF(OR(CW641/CO641&gt;2,CW641/CO641&lt;0.5),"NM",CW641/CO641*100-100))</f>
        <v>-10.264445144859977</v>
      </c>
      <c r="CY641" s="13">
        <f>CY546/CY636</f>
        <v>1.649215769393811</v>
      </c>
      <c r="CZ641" s="72">
        <f>IF(ISERROR(CY641/CQ641),"NA",IF(OR(CY641/CQ641&gt;2,CY641/CQ641&lt;0.5),"NM",CY641/CQ641*100-100))</f>
        <v>84.258768344420986</v>
      </c>
      <c r="DA641" s="13">
        <f>DA546/DA636</f>
        <v>1.7759097680357523</v>
      </c>
      <c r="DB641" s="72">
        <f>IF(ISERROR(DA641/CS641),"NA",IF(OR(DA641/CS641&gt;2,DA641/CS641&lt;0.5),"NM",DA641/CS641*100-100))</f>
        <v>-7.1254293001804854</v>
      </c>
      <c r="DC641" s="13">
        <f>DC546/DC636</f>
        <v>2.2704049183803265</v>
      </c>
      <c r="DD641" s="72">
        <f>IF(ISERROR(DC641/CU641),"NA",IF(OR(DC641/CU641&gt;2,DC641/CU641&lt;0.5),"NM",DC641/CU641*100-100))</f>
        <v>31.082564358455471</v>
      </c>
      <c r="DE641" s="13">
        <f>DE546/DE636</f>
        <v>2.312367640830157</v>
      </c>
      <c r="DF641" s="72">
        <f>IF(ISERROR(DE641/CW641),"NA",IF(OR(DE641/CW641&gt;2,DE641/CW641&lt;0.5),"NM",DE641/CW641*100-100))</f>
        <v>60.614064534704312</v>
      </c>
      <c r="DG641" s="13">
        <f>DG546/DG636</f>
        <v>2.905084745762712</v>
      </c>
      <c r="DH641" s="72">
        <f>IF(ISERROR(DG641/CY641),"NA",IF(OR(DG641/CY641&gt;2,DG641/CY641&lt;0.5),"NM",DG641/CY641*100-100))</f>
        <v>76.149464471256579</v>
      </c>
      <c r="DI641" s="13">
        <f>DI546/DI636</f>
        <v>2.2180602716468591</v>
      </c>
      <c r="DJ641" s="72">
        <f>IF(ISERROR(DI641/DA641),"NA",IF(OR(DI641/DA641&gt;2,DI641/DA641&lt;0.5),"NM",DI641/DA641*100-100))</f>
        <v>24.897126620354598</v>
      </c>
      <c r="DK641" s="13">
        <f>DK546/DK636</f>
        <v>2.4031336015244547</v>
      </c>
      <c r="DL641" s="72">
        <f>IF(ISERROR(DK641/DC641),"NA",IF(OR(DK641/DC641&gt;2,DK641/DC641&lt;0.5),"NM",DK641/DC641*100-100))</f>
        <v>5.8460357476152183</v>
      </c>
      <c r="DM641" s="13">
        <f>DM546/DM636</f>
        <v>2.4915038232795244</v>
      </c>
      <c r="DN641" s="72">
        <f t="shared" si="2981"/>
        <v>7.7468729144235908</v>
      </c>
      <c r="DO641" s="13">
        <f>DO546/DO636</f>
        <v>2.1982942430703623</v>
      </c>
      <c r="DP641" s="72">
        <f t="shared" si="2981"/>
        <v>-24.329428039001527</v>
      </c>
      <c r="DQ641" s="13">
        <f>DQ546/DQ636</f>
        <v>2.118226600985222</v>
      </c>
      <c r="DR641" s="72">
        <f t="shared" si="2981"/>
        <v>-4.5009448993697987</v>
      </c>
      <c r="DS641" s="13">
        <f>DS546/DS636</f>
        <v>2.7872020614129269</v>
      </c>
      <c r="DT641" s="72">
        <f t="shared" si="2981"/>
        <v>15.981985339676257</v>
      </c>
      <c r="DU641" s="13">
        <f>DU546/DU636</f>
        <v>2.912621359223301</v>
      </c>
      <c r="DV641" s="72">
        <f t="shared" si="2981"/>
        <v>16.902142874878948</v>
      </c>
      <c r="DW641" s="13">
        <f>DW546/DW636</f>
        <v>2.4015577672003463</v>
      </c>
      <c r="DX641" s="72">
        <f t="shared" si="2981"/>
        <v>9.2464202538276083</v>
      </c>
      <c r="DY641" s="13">
        <f>DY546/DY636</f>
        <v>1.9373776908023483</v>
      </c>
      <c r="DZ641" s="72">
        <f t="shared" si="2981"/>
        <v>-8.5377508760751937</v>
      </c>
      <c r="EA641" s="13">
        <f>EA546/EA636</f>
        <v>2.1787587412587412</v>
      </c>
      <c r="EB641" s="72">
        <f>IF(ISERROR(EA641/DS641),"NA",IF(OR(EA641/DS641&gt;2,EA641/DS641&lt;0.5),"NM",EA641/DS641*100-100))</f>
        <v>-21.829896317088156</v>
      </c>
      <c r="EC641" s="13">
        <f>EC546/EC636</f>
        <v>1.8450923659025149</v>
      </c>
      <c r="ED641" s="72">
        <f>IF(ISERROR(EC641/DU641),"NA",IF(OR(EC641/DU641&gt;2,EC641/DU641&lt;0.5),"NM",EC641/DU641*100-100))</f>
        <v>-36.651828770680318</v>
      </c>
      <c r="EE641" s="13">
        <f>EE546/EE636</f>
        <v>2.6592392527571458</v>
      </c>
      <c r="EF641" s="72">
        <f>IF(ISERROR(EE641/DW641),"NA",IF(OR(EE641/DW641&gt;2,EE641/DW641&lt;0.5),"NM",EE641/DW641*100-100))</f>
        <v>10.72976420039214</v>
      </c>
      <c r="EG641" s="13">
        <f>EG546/EG636</f>
        <v>2.4579354251932695</v>
      </c>
      <c r="EH641" s="72">
        <f>IF(ISERROR(EG641/DY641),"NA",IF(OR(EG641/DY641&gt;2,EG641/DY641&lt;0.5),"NM",EG641/DY641*100-100))</f>
        <v>26.869192148864713</v>
      </c>
      <c r="EI641" s="13">
        <f>EI546/EI636</f>
        <v>2.7943520838077887</v>
      </c>
      <c r="EJ641" s="72">
        <f>IF(ISERROR(EI641/EA641),"NA",IF(OR(EI641/EA641&gt;2,EI641/EA641&lt;0.5),"NM",EI641/EA641*100-100))</f>
        <v>28.254314297938237</v>
      </c>
      <c r="EK641" s="13">
        <f>EK546/EK636</f>
        <v>2.0903851431707987</v>
      </c>
      <c r="EL641" s="72">
        <f>IF(ISERROR(EK641/EC641),"NA",IF(OR(EK641/EC641&gt;2,EK641/EC641&lt;0.5),"NM",EK641/EC641*100-100))</f>
        <v>13.294335926012053</v>
      </c>
      <c r="EM641" s="13">
        <f>EM546/EM636</f>
        <v>3.0137931034482759</v>
      </c>
      <c r="EN641" s="72">
        <f>IF(ISERROR(EM641/EE641),"NA",IF(OR(EM641/EE641&gt;2,EM641/EE641&lt;0.5),"NM",EM641/EE641*100-100))</f>
        <v>13.332905278211513</v>
      </c>
      <c r="EO641" s="13">
        <f>EO546/EO636</f>
        <v>2.6854633695400971</v>
      </c>
      <c r="EP641" s="72">
        <f>IF(ISERROR(EO641/EG641),"NA",IF(OR(EO641/EG641&gt;2,EO641/EG641&lt;0.5),"NM",EO641/EG641*100-100))</f>
        <v>9.2568723333704668</v>
      </c>
      <c r="EQ641" s="13">
        <f>EQ546/EQ636</f>
        <v>3.0956473436103349</v>
      </c>
      <c r="ER641" s="72">
        <f t="shared" si="2982"/>
        <v>10.782294097742295</v>
      </c>
      <c r="ES641" s="13">
        <f>ES546/ES636</f>
        <v>3.1369010469049265</v>
      </c>
      <c r="ET641" s="72">
        <f t="shared" si="2983"/>
        <v>50.063305661784483</v>
      </c>
      <c r="EU641" s="13">
        <f>EU546/EU636</f>
        <v>3.1253659827544977</v>
      </c>
      <c r="EV641" s="72">
        <f t="shared" si="2984"/>
        <v>3.70207494265496</v>
      </c>
      <c r="EW641" s="13">
        <f>EW546/EW636</f>
        <v>2.838428618029682</v>
      </c>
      <c r="EX641" s="72">
        <f t="shared" si="2985"/>
        <v>5.6960467316216352</v>
      </c>
      <c r="EY641" s="72"/>
      <c r="EZ641" s="296"/>
      <c r="FA641" s="72"/>
      <c r="FB641" s="188"/>
      <c r="FC641" s="11"/>
      <c r="FD641" s="188">
        <f>ROUND(FD539/FD636,2)</f>
        <v>0.27</v>
      </c>
      <c r="FE641" s="72" t="str">
        <f>IF(ISERROR(FD641/FB641),"NA",IF(OR(FD641/FB641&gt;2,FD641/FB641&lt;0.5),"NM",FD641/FB641*100-100))</f>
        <v>NA</v>
      </c>
      <c r="FF641" s="188">
        <f>ROUND(FF539/FF636,2)</f>
        <v>0.28000000000000003</v>
      </c>
      <c r="FG641" s="72">
        <f>IF(ISERROR(FF641/FD641),"NA",IF(OR(FF641/FD641&gt;2,FF641/FD641&lt;0.5),"NM",FF641/FD641*100-100))</f>
        <v>3.7037037037036953</v>
      </c>
      <c r="FH641" s="73">
        <f>K641+M641+O641+Q641</f>
        <v>2.52</v>
      </c>
      <c r="FI641" s="72" t="str">
        <f>IF(ISERROR(FH641/FF641),"NA",IF(OR(FH641/FF641&gt;2,FH641/FF641&lt;0.5),"NM",FH641/FF641*100-100))</f>
        <v>NM</v>
      </c>
      <c r="FJ641" s="73">
        <f>S641+U641+W641+Y641</f>
        <v>3.1599999999999997</v>
      </c>
      <c r="FK641" s="72">
        <f>IF(ISERROR(FJ641/FH641),"NA",IF(OR(FJ641/FH641&gt;2,FJ641/FH641&lt;0.5),"NM",FJ641/FH641*100-100))</f>
        <v>25.396825396825378</v>
      </c>
      <c r="FL641" s="73">
        <f>+AA641+AC641+AE641+AG641</f>
        <v>3.9200000000000004</v>
      </c>
      <c r="FM641" s="72">
        <f>IF(ISERROR(FL641/FJ641),"NA",IF(OR(FL641/FJ641&gt;2,FL641/FJ641&lt;0.5),"NM",FL641/FJ641*100-100))</f>
        <v>24.050632911392427</v>
      </c>
      <c r="FN641" s="221">
        <f>+AI641+AK641+AM641+AO641</f>
        <v>5.363026739996207</v>
      </c>
      <c r="FO641" s="72">
        <f>IF(ISERROR(FN641/FL641),"NA",IF(OR(FN641/FL641&gt;2,FN641/FL641&lt;0.5),"NM",FN641/FL641*100-100))</f>
        <v>36.811906632556287</v>
      </c>
      <c r="FP641" s="13">
        <f>ROUND(FP546/FP636,2)</f>
        <v>3.94</v>
      </c>
      <c r="FQ641" s="72">
        <f>IF(ISERROR(FP641/FN641),"NA",IF(OR(FP641/FN641&gt;2,FP641/FN641&lt;0.5),"NM",FP641/FN641*100-100))</f>
        <v>-26.534022837954623</v>
      </c>
      <c r="FR641" s="13">
        <f>FR546/FR636</f>
        <v>4.5797204213938416</v>
      </c>
      <c r="FS641" s="72">
        <f>IF(ISERROR(FR641/FP641),"NA",IF(OR(FR641/FP641&gt;2,FR641/FP641&lt;0.5),"NM",FR641/FP641*100-100))</f>
        <v>16.236558918625434</v>
      </c>
      <c r="FT641" s="13">
        <f>FT546/FT636</f>
        <v>5.8084356647090232</v>
      </c>
      <c r="FU641" s="72">
        <f>IF(ISERROR(FT641/FR641),"NA",IF(OR(FT641/FR641&gt;2,FT641/FR641&lt;0.5),"NM",FT641/FR641*100-100))</f>
        <v>26.829481502305796</v>
      </c>
      <c r="FV641" s="13">
        <f>FV546/FV636</f>
        <v>-1.5723016605166051</v>
      </c>
      <c r="FW641" s="72" t="str">
        <f>IF(ISERROR(FV641/FT641),"NA",IF(OR(FV641/FT641&gt;2,FV641/FT641&lt;0.5),"NM",FV641/FT641*100-100))</f>
        <v>NM</v>
      </c>
      <c r="FX641" s="13">
        <f>FX546/FX636</f>
        <v>2.4265788886409285</v>
      </c>
      <c r="FY641" s="72" t="str">
        <f>IF(ISERROR(FX641/FV641),"NA",IF(OR(FX641/FV641&gt;2,FX641/FV641&lt;0.5),"NM",FX641/FV641*100-100))</f>
        <v>NM</v>
      </c>
      <c r="FZ641" s="13">
        <f>FZ546/FZ636</f>
        <v>4.264317643965291</v>
      </c>
      <c r="GA641" s="72">
        <f>IF(ISERROR(FZ641/FX641),"NA",IF(OR(FZ641/FX641&gt;2,FZ641/FX641&lt;0.5),"NM",FZ641/FX641*100-100))</f>
        <v>75.733732124968668</v>
      </c>
      <c r="GB641" s="13">
        <f>GB546/GB636</f>
        <v>4.9780051150895144</v>
      </c>
      <c r="GC641" s="72">
        <f>IF(ISERROR(GB641/FZ641),"NA",IF(OR(GB641/FZ641&gt;2,GB641/FZ641&lt;0.5),"NM",GB641/FZ641*100-100))</f>
        <v>16.73626429152641</v>
      </c>
      <c r="GD641" s="13">
        <f>GD546/GD636</f>
        <v>5.477888730385164</v>
      </c>
      <c r="GE641" s="72">
        <f>IF(ISERROR(GD641/GB641),"NA",IF(OR(GD641/GB641&gt;2,GD641/GB641&lt;0.5),"NM",GD641/GB641*100-100))</f>
        <v>10.041846156011047</v>
      </c>
      <c r="GF641" s="13">
        <f>GF546/GF636</f>
        <v>10.134068146892055</v>
      </c>
      <c r="GG641" s="72">
        <f>IF(ISERROR(GF641/GD641),"NA",IF(OR(GF641/GD641&gt;2,GF641/GD641&lt;0.5),"NM",GF641/GD641*100-100))</f>
        <v>84.999525285711741</v>
      </c>
      <c r="GH641" s="13">
        <f>GH546/GH636</f>
        <v>9.0763309813983319</v>
      </c>
      <c r="GI641" s="72">
        <f t="shared" si="2986"/>
        <v>-10.437438846492398</v>
      </c>
      <c r="GJ641" s="13">
        <f>GJ546/GJ636</f>
        <v>10.044833360341382</v>
      </c>
      <c r="GK641" s="72">
        <f t="shared" si="2986"/>
        <v>10.670637517824844</v>
      </c>
      <c r="GL641" s="13">
        <f>GL546/GL636</f>
        <v>9.1312116136236732</v>
      </c>
      <c r="GM641" s="72">
        <f t="shared" si="2986"/>
        <v>-9.0954395552726055</v>
      </c>
      <c r="GN641" s="13">
        <f>GN546/GN636</f>
        <v>10.582326093438224</v>
      </c>
      <c r="GO641" s="72">
        <f t="shared" si="2986"/>
        <v>15.891806489836497</v>
      </c>
      <c r="GP641" s="13">
        <f>GP546/GP636</f>
        <v>12.199348634086146</v>
      </c>
      <c r="GQ641" s="72">
        <f t="shared" si="2986"/>
        <v>15.280407411094515</v>
      </c>
      <c r="GR641" s="13">
        <f>GR546/GR636</f>
        <v>12.751069324888016</v>
      </c>
      <c r="GS641" s="72">
        <f t="shared" si="2986"/>
        <v>4.5225422057396685</v>
      </c>
      <c r="GT641" s="13">
        <f>GT546/GT636</f>
        <v>13.303162843222088</v>
      </c>
      <c r="GU641" s="72">
        <f t="shared" si="2986"/>
        <v>4.3297821089912389</v>
      </c>
      <c r="GV641" s="13">
        <f>GV546/GV636</f>
        <v>13.853522114260759</v>
      </c>
      <c r="GW641" s="72">
        <f>IF(ISERROR(GV641/GT641),"NA",IF(OR(GV641/GT641&gt;2,GV641/GT641&lt;0.5),"NM",GV641/GT641*100-100))</f>
        <v>4.1370558078906612</v>
      </c>
      <c r="GX641" s="13">
        <f>GX546/GX636</f>
        <v>14.450625194663479</v>
      </c>
      <c r="GY641" s="72">
        <f>IF(ISERROR(GX641/GV641),"NA",IF(OR(GX641/GV641&gt;2,GX641/GV641&lt;0.5),"NM",GX641/GV641*100-100))</f>
        <v>4.3101174955938717</v>
      </c>
      <c r="GZ641" s="72">
        <f>IF(ISERROR(((GX641/GN641)^0.2-1)*100),"NA",IF((((GX641/GN641)^0.2-1)*100)&gt;100,"NM",IF((((GX641/GN641)^0.2-1)*100)&lt;-50,"NM",((GX641/GN641)^0.2-1)*100)))</f>
        <v>6.429273926309631</v>
      </c>
      <c r="HA641" s="72"/>
      <c r="HB641" s="72"/>
      <c r="HC641"/>
      <c r="HD641"/>
      <c r="HE641"/>
      <c r="HF641"/>
      <c r="HG641"/>
      <c r="HH641"/>
      <c r="HI641" s="2"/>
    </row>
    <row r="642" spans="1:217" s="3" customFormat="1" ht="12.75" customHeight="1" x14ac:dyDescent="0.2">
      <c r="A642" s="3" t="s">
        <v>388</v>
      </c>
      <c r="B642" s="4" t="s">
        <v>41</v>
      </c>
      <c r="C642" s="188">
        <f>ROUND(C582/C636,2)</f>
        <v>0.6</v>
      </c>
      <c r="D642" s="11"/>
      <c r="E642" s="188">
        <f>ROUND(E582/E636,2)</f>
        <v>0.43</v>
      </c>
      <c r="F642" s="11"/>
      <c r="G642" s="188">
        <f>ROUND(G582/G636,2)</f>
        <v>7.0000000000000007E-2</v>
      </c>
      <c r="H642" s="11"/>
      <c r="I642" s="188">
        <f>ROUND(I582/I636,2)</f>
        <v>-0.56999999999999995</v>
      </c>
      <c r="J642" s="11"/>
      <c r="K642" s="188">
        <f>ROUND(K582/K636,2)</f>
        <v>0.96</v>
      </c>
      <c r="L642" s="72">
        <f>IF(ISERROR(K642/C642),"NA",IF(OR(K642/C642&gt;2,K642/C642&lt;0.5),"NM",K642/C642*100-100))</f>
        <v>60</v>
      </c>
      <c r="M642" s="188">
        <f>ROUND(M582/M636,2)</f>
        <v>0.85</v>
      </c>
      <c r="N642" s="72">
        <f>IF(ISERROR(M642/E642),"NA",IF(OR(M642/E642&gt;2,M642/E642&lt;0.5),"NM",M642/E642*100-100))</f>
        <v>97.674418604651152</v>
      </c>
      <c r="O642" s="188">
        <f>ROUND(O582/O636,2)</f>
        <v>0.52</v>
      </c>
      <c r="P642" s="72" t="str">
        <f>IF(ISERROR(O642/G642),"NA",IF(OR(O642/G642&gt;2,O642/G642&lt;0.5),"NM",O642/G642*100-100))</f>
        <v>NM</v>
      </c>
      <c r="Q642" s="188">
        <f>ROUND(Q582/Q636,2)</f>
        <v>-0.54</v>
      </c>
      <c r="R642" s="72">
        <f>IF(ISERROR(Q642/I642),"NA",IF(OR(Q642/I642&gt;2,Q642/I642&lt;0.5),"NM",Q642/I642*100-100))</f>
        <v>-5.2631578947368212</v>
      </c>
      <c r="S642" s="188">
        <f>ROUND((S582+S545)/S636,2)</f>
        <v>0.77</v>
      </c>
      <c r="T642" s="72">
        <f>IF(ISERROR(S642/K642),"NA",IF(OR(S642/K642&gt;2,S642/K642&lt;0.5),"NM",S642/K642*100-100))</f>
        <v>-19.791666666666657</v>
      </c>
      <c r="U642" s="188">
        <f>ROUND((U582+U545)/U636,2)</f>
        <v>0.5</v>
      </c>
      <c r="V642" s="72">
        <f>IF(ISERROR(U642/M642),"NA",IF(OR(U642/M642&gt;2,U642/M642&lt;0.5),"NM",U642/M642*100-100))</f>
        <v>-41.17647058823529</v>
      </c>
      <c r="W642" s="188">
        <f>ROUND((W582+W545)/W636,2)</f>
        <v>0.94</v>
      </c>
      <c r="X642" s="72">
        <f>IF(ISERROR(W642/O642),"NA",IF(OR(W642/O642&gt;2,W642/O642&lt;0.5),"NM",W642/O642*100-100))</f>
        <v>80.769230769230745</v>
      </c>
      <c r="Y642" s="188">
        <f>ROUND((Y582+Y545)/Y636,2)</f>
        <v>0.12</v>
      </c>
      <c r="Z642" s="72" t="str">
        <f>IF(ISERROR(Y642/Q642),"NA",IF(OR(Y642/Q642&gt;2,Y642/Q642&lt;0.5),"NM",Y642/Q642*100-100))</f>
        <v>NM</v>
      </c>
      <c r="AA642" s="188">
        <f>ROUND((AA582+AA545)/AA636,2)</f>
        <v>0.68</v>
      </c>
      <c r="AB642" s="72">
        <f>IF(ISERROR(AA642/S642),"NA",IF(OR(AA642/S642&gt;2,AA642/S642&lt;0.5),"NM",AA642/S642*100-100))</f>
        <v>-11.688311688311686</v>
      </c>
      <c r="AC642" s="188">
        <f>ROUND((AC582+AC545)/AC636,2)</f>
        <v>0.6</v>
      </c>
      <c r="AD642" s="72">
        <f>IF(ISERROR(AC642/U642),"NA",IF(OR(AC642/U642&gt;2,AC642/U642&lt;0.5),"NM",AC642/U642*100-100))</f>
        <v>20</v>
      </c>
      <c r="AE642" s="188">
        <f>ROUND((AE582+AE545)/AE636,2)</f>
        <v>0.75</v>
      </c>
      <c r="AF642" s="72">
        <f>IF(ISERROR(AE642/W642),"NA",IF(OR(AE642/W642&gt;2,AE642/W642&lt;0.5),"NM",AE642/W642*100-100))</f>
        <v>-20.212765957446805</v>
      </c>
      <c r="AG642" s="188">
        <f>ROUND((AG582+AG545)/AG636,2)</f>
        <v>1.34</v>
      </c>
      <c r="AH642" s="72" t="str">
        <f>IF(ISERROR(AG642/Y642),"NA",IF(OR(AG642/Y642&gt;2,AG642/Y642&lt;0.5),"NM",AG642/Y642*100-100))</f>
        <v>NM</v>
      </c>
      <c r="AI642" s="188">
        <f>ROUND((AI582+AI545)/AI636,2)</f>
        <v>0.91</v>
      </c>
      <c r="AJ642" s="72">
        <f>IF(ISERROR(AI642/AA642),"NA",IF(OR(AI642/AA642&gt;2,AI642/AA642&lt;0.5),"NM",AI642/AA642*100-100))</f>
        <v>33.823529411764696</v>
      </c>
      <c r="AK642" s="188">
        <f>ROUND((AK582+AK545)/AK636,2)</f>
        <v>1.44</v>
      </c>
      <c r="AL642" s="72" t="str">
        <f>IF(ISERROR(AK642/AC642),"NA",IF(OR(AK642/AC642&gt;2,AK642/AC642&lt;0.5),"NM",AK642/AC642*100-100))</f>
        <v>NM</v>
      </c>
      <c r="AM642" s="188">
        <f>ROUND((AM582+AM545)/AM636,2)</f>
        <v>1.55</v>
      </c>
      <c r="AN642" s="72" t="str">
        <f>IF(ISERROR(AM642/AE642),"NA",IF(OR(AM642/AE642&gt;2,AM642/AE642&lt;0.5),"NM",AM642/AE642*100-100))</f>
        <v>NM</v>
      </c>
      <c r="AO642" s="188">
        <f>ROUND((AO582+AO545)/AO636,2)</f>
        <v>1.1599999999999999</v>
      </c>
      <c r="AP642" s="72">
        <f>IF(ISERROR(AO642/AG642),"NA",IF(OR(AO642/AG642&gt;2,AO642/AG642&lt;0.5),"NM",AO642/AG642*100-100))</f>
        <v>-13.432835820895534</v>
      </c>
      <c r="AQ642" s="188">
        <f>ROUND((AQ582+AQ545)/AQ636,2)</f>
        <v>2</v>
      </c>
      <c r="AR642" s="72" t="str">
        <f>IF(ISERROR(AQ642/AI642),"NA",IF(OR(AQ642/AI642&gt;2,AQ642/AI642&lt;0.5),"NM",AQ642/AI642*100-100))</f>
        <v>NM</v>
      </c>
      <c r="AS642" s="188">
        <f>ROUND((AS582+AS545)/AS636,2)</f>
        <v>1.94</v>
      </c>
      <c r="AT642" s="72">
        <f>IF(ISERROR(AS642/AK642),"NA",IF(OR(AS642/AK642&gt;2,AS642/AK642&lt;0.5),"NM",AS642/AK642*100-100))</f>
        <v>34.722222222222229</v>
      </c>
      <c r="AU642" s="188">
        <f>ROUND((AU582+AU545)/AU636,2)</f>
        <v>3.09</v>
      </c>
      <c r="AV642" s="72">
        <f>IF(ISERROR(AU642/AM642),"NA",IF(OR(AU642/AM642&gt;2,AU642/AM642&lt;0.5),"NM",AU642/AM642*100-100))</f>
        <v>99.354838709677409</v>
      </c>
      <c r="AW642" s="188">
        <f>ROUND((AW582+AW545)/AW636,2)</f>
        <v>1.1599999999999999</v>
      </c>
      <c r="AX642" s="72">
        <f>IF(ISERROR(AW642/AO642),"NA",IF(OR(AW642/AO642&gt;2,AW642/AO642&lt;0.5),"NM",AW642/AO642*100-100))</f>
        <v>0</v>
      </c>
      <c r="AY642" s="188">
        <f>ROUND((AY582+AY545)/AY636,2)</f>
        <v>1.24</v>
      </c>
      <c r="AZ642" s="72">
        <f>IF(ISERROR(AY642/AQ642),"NA",IF(OR(AY642/AQ642&gt;2,AY642/AQ642&lt;0.5),"NM",AY642/AQ642*100-100))</f>
        <v>-38</v>
      </c>
      <c r="BA642" s="188">
        <f>ROUND((BA582+BA545)/BA636,2)</f>
        <v>0.81</v>
      </c>
      <c r="BB642" s="72" t="str">
        <f>IF(ISERROR(BA642/AS642),"NA",IF(OR(BA642/AS642&gt;2,BA642/AS642&lt;0.5),"NM",BA642/AS642*100-100))</f>
        <v>NM</v>
      </c>
      <c r="BC642" s="188">
        <f>ROUND((BC582+BC545)/BC636,2)</f>
        <v>2.27</v>
      </c>
      <c r="BD642" s="72">
        <f>IF(ISERROR(BC642/AU642),"NA",IF(OR(BC642/AU642&gt;2,BC642/AU642&lt;0.5),"NM",BC642/AU642*100-100))</f>
        <v>-26.537216828478961</v>
      </c>
      <c r="BE642" s="188">
        <f>ROUND((BE582+BE545)/BE636,2)</f>
        <v>1.73</v>
      </c>
      <c r="BF642" s="72">
        <f>IF(ISERROR(BE642/AW642),"NA",IF(OR(BE642/AW642&gt;2,BE642/AW642&lt;0.5),"NM",BE642/AW642*100-100))</f>
        <v>49.137931034482762</v>
      </c>
      <c r="BG642" s="188">
        <f>ROUND((BG582+BG545)/BG636,2)</f>
        <v>1.78</v>
      </c>
      <c r="BH642" s="72">
        <f>IF(ISERROR(BG642/AY642),"NA",IF(OR(BG642/AY642&gt;2,BG642/AY642&lt;0.5),"NM",BG642/AY642*100-100))</f>
        <v>43.548387096774206</v>
      </c>
      <c r="BI642" s="188">
        <f>ROUND((BI582+BI545)/BI636,2)</f>
        <v>1.66</v>
      </c>
      <c r="BJ642" s="72" t="str">
        <f>IF(ISERROR(BI642/BA642),"NA",IF(OR(BI642/BA642&gt;2,BI642/BA642&lt;0.5),"NM",BI642/BA642*100-100))</f>
        <v>NM</v>
      </c>
      <c r="BK642" s="188">
        <f>ROUND((BK582+BK545)/BK636,2)</f>
        <v>1.75</v>
      </c>
      <c r="BL642" s="72">
        <f>IF(ISERROR(BK642/BC642),"NA",IF(OR(BK642/BC642&gt;2,BK642/BC642&lt;0.5),"NM",BK642/BC642*100-100))</f>
        <v>-22.907488986784145</v>
      </c>
      <c r="BM642" s="188">
        <f>ROUND((BM582+BM545)/BM636,2)</f>
        <v>1.73</v>
      </c>
      <c r="BN642" s="72">
        <f>IF(ISERROR(BM642/BE642),"NA",IF(OR(BM642/BE642&gt;2,BM642/BE642&lt;0.5),"NM",BM642/BE642*100-100))</f>
        <v>0</v>
      </c>
      <c r="BO642" s="188">
        <f>ROUND((BO582+BO545)/BO636,2)</f>
        <v>0.17</v>
      </c>
      <c r="BP642" s="72" t="str">
        <f>IF(ISERROR(BO642/BG642),"NA",IF(OR(BO642/BG642&gt;2,BO642/BG642&lt;0.5),"NM",BO642/BG642*100-100))</f>
        <v>NM</v>
      </c>
      <c r="BQ642" s="188">
        <f>ROUND((BQ582+BQ545)/BQ636,2)</f>
        <v>1.29</v>
      </c>
      <c r="BR642" s="72">
        <f>IF(ISERROR(BQ642/BI642),"NA",IF(OR(BQ642/BI642&gt;2,BQ642/BI642&lt;0.5),"NM",BQ642/BI642*100-100))</f>
        <v>-22.289156626506028</v>
      </c>
      <c r="BS642" s="188">
        <f>ROUND((BS582+BS545)/BS636,2)</f>
        <v>-0.28999999999999998</v>
      </c>
      <c r="BT642" s="72" t="str">
        <f>IF(ISERROR(BS642/BK642),"NA",IF(OR(BS642/BK642&gt;2,BS642/BK642&lt;0.5),"NM",BS642/BK642*100-100))</f>
        <v>NM</v>
      </c>
      <c r="BU642" s="188">
        <f>ROUND((BU582+BU545)/BU637,2)</f>
        <v>-2.94</v>
      </c>
      <c r="BV642" s="72" t="str">
        <f>IF(ISERROR(BU642/BM642),"NA",IF(OR(BU642/BM642&gt;2,BU642/BM642&lt;0.5),"NM",BU642/BM642*100-100))</f>
        <v>NM</v>
      </c>
      <c r="BW642" s="188">
        <f>ROUND((BW582+BW545)/BW637,2)</f>
        <v>0.01</v>
      </c>
      <c r="BX642" s="72" t="str">
        <f>IF(ISERROR(BW642/BO642),"NA",IF(OR(BW642/BO642&gt;2,BW642/BO642&lt;0.5),"NM",BW642/BO642*100-100))</f>
        <v>NM</v>
      </c>
      <c r="BY642" s="188">
        <f>+BY582/BY636</f>
        <v>1.2387750402947271</v>
      </c>
      <c r="BZ642" s="72">
        <f>IF(ISERROR(BY642/BQ642),"NA",IF(OR(BY642/BQ642&gt;2,BY642/BQ642&lt;0.5),"NM",BY642/BQ642*100-100))</f>
        <v>-3.9709271089358822</v>
      </c>
      <c r="CA642" s="188">
        <f>+CA582/CA636</f>
        <v>2.3461041756349545</v>
      </c>
      <c r="CB642" s="72" t="str">
        <f>IF(ISERROR(CA642/BS642),"NA",IF(OR(CA642/BS642&gt;2,CA642/BS642&lt;0.5),"NM",CA642/BS642*100-100))</f>
        <v>NM</v>
      </c>
      <c r="CC642" s="188">
        <f>+CC582/CC636</f>
        <v>3.801828620029768</v>
      </c>
      <c r="CD642" s="72" t="str">
        <f>IF(ISERROR(CC642/BU642),"NA",IF(OR(CC642/BU642&gt;2,CC642/BU642&lt;0.5),"NM",CC642/BU642*100-100))</f>
        <v>NM</v>
      </c>
      <c r="CE642" s="13">
        <f>ROUND((CE582+CE545)/CE636,2)</f>
        <v>1.04</v>
      </c>
      <c r="CF642" s="72" t="str">
        <f>IF(ISERROR(CE642/BW642),"NA",IF(OR(CE642/BW642&gt;2,CE642/BW642&lt;0.5),"NM",CE642/BW642*100-100))</f>
        <v>NM</v>
      </c>
      <c r="CG642" s="13">
        <f>ROUND((CG582+CG545)/CG636,2)</f>
        <v>1.77</v>
      </c>
      <c r="CH642" s="72">
        <f>IF(ISERROR(CG642/BY642),"NA",IF(OR(CG642/BY642&gt;2,CG642/BY642&lt;0.5),"NM",CG642/BY642*100-100))</f>
        <v>42.883085501858744</v>
      </c>
      <c r="CI642" s="13">
        <f>ROUND((CI582+CI545)/CI636,2)</f>
        <v>2.2799999999999998</v>
      </c>
      <c r="CJ642" s="72">
        <f>IF(ISERROR(CI642/CA642),"NA",IF(OR(CI642/CA642&gt;2,CI642/CA642&lt;0.5),"NM",CI642/CA642*100-100))</f>
        <v>-2.8176146788990764</v>
      </c>
      <c r="CK642" s="13">
        <f>ROUND((CK582+CK545)/CK636,2)</f>
        <v>0.23</v>
      </c>
      <c r="CL642" s="72" t="str">
        <f>IF(ISERROR(CK642/CC642),"NA",IF(OR(CK642/CC642&gt;2,CK642/CC642&lt;0.5),"NM",CK642/CC642*100-100))</f>
        <v>NM</v>
      </c>
      <c r="CM642" s="370">
        <f>ROUND((CM582+CM545)/CM636,2)</f>
        <v>1.0900000000000001</v>
      </c>
      <c r="CN642" s="72">
        <f>IF(ISERROR(CM642/CE642),"NA",IF(OR(CM642/CE642&gt;2,CM642/CE642&lt;0.5),"NM",CM642/CE642*100-100))</f>
        <v>4.8076923076923066</v>
      </c>
      <c r="CO642" s="13">
        <f>ROUND((CO582+CO545)/CO636,2)</f>
        <v>1.58</v>
      </c>
      <c r="CP642" s="72">
        <f>IF(ISERROR(CO642/CG642),"NA",IF(OR(CO642/CG642&gt;2,CO642/CG642&lt;0.5),"NM",CO642/CG642*100-100))</f>
        <v>-10.734463276836152</v>
      </c>
      <c r="CQ642" s="13">
        <f>ROUND((CQ582+CQ545)/CQ636,2)</f>
        <v>3.2</v>
      </c>
      <c r="CR642" s="72">
        <f>IF(ISERROR(CQ642/CI642),"NA",IF(OR(CQ642/CI642&gt;2,CQ642/CI642&lt;0.5),"NM",CQ642/CI642*100-100))</f>
        <v>40.350877192982466</v>
      </c>
      <c r="CS642" s="13">
        <f>ROUND((CS582+CS545)/CS636,2)</f>
        <v>1.0900000000000001</v>
      </c>
      <c r="CT642" s="72" t="str">
        <f>IF(ISERROR(CS642/CK642),"NA",IF(OR(CS642/CK642&gt;2,CS642/CK642&lt;0.5),"NM",CS642/CK642*100-100))</f>
        <v>NM</v>
      </c>
      <c r="CU642" s="13">
        <f>ROUND((CU582+CU545)/CU636,2)</f>
        <v>-1.96</v>
      </c>
      <c r="CV642" s="72" t="str">
        <f>IF(ISERROR(CU642/CM642),"NA",IF(OR(CU642/CM642&gt;2,CU642/CM642&lt;0.5),"NM",CU642/CM642*100-100))</f>
        <v>NM</v>
      </c>
      <c r="CW642" s="13">
        <f>ROUND((CW582+CW545)/CW636,2)</f>
        <v>4.7300000000000004</v>
      </c>
      <c r="CX642" s="72" t="str">
        <f>IF(ISERROR(CW642/CO642),"NA",IF(OR(CW642/CO642&gt;2,CW642/CO642&lt;0.5),"NM",CW642/CO642*100-100))</f>
        <v>NM</v>
      </c>
      <c r="CY642" s="13">
        <f>ROUND((CY582+CY545)/CY636,2)</f>
        <v>-1.32</v>
      </c>
      <c r="CZ642" s="72" t="str">
        <f>IF(ISERROR(CY642/CQ642),"NA",IF(OR(CY642/CQ642&gt;2,CY642/CQ642&lt;0.5),"NM",CY642/CQ642*100-100))</f>
        <v>NM</v>
      </c>
      <c r="DA642" s="13">
        <f>ROUND((DA582+DA545)/DA636,2)</f>
        <v>-0.4</v>
      </c>
      <c r="DB642" s="72" t="str">
        <f>IF(ISERROR(DA642/CS642),"NA",IF(OR(DA642/CS642&gt;2,DA642/CS642&lt;0.5),"NM",DA642/CS642*100-100))</f>
        <v>NM</v>
      </c>
      <c r="DC642" s="13">
        <f>ROUND((DC582+DC545)/DC636,2)</f>
        <v>-1.56</v>
      </c>
      <c r="DD642" s="72">
        <f>IF(ISERROR(DC642/CU642),"NA",IF(OR(DC642/CU642&gt;2,DC642/CU642&lt;0.5),"NM",DC642/CU642*100-100))</f>
        <v>-20.408163265306129</v>
      </c>
      <c r="DE642" s="13">
        <f>ROUND((DE582+DE545)/DE636,2)</f>
        <v>-1.1100000000000001</v>
      </c>
      <c r="DF642" s="72" t="str">
        <f>IF(ISERROR(DE642/CW642),"NA",IF(OR(DE642/CW642&gt;2,DE642/CW642&lt;0.5),"NM",DE642/CW642*100-100))</f>
        <v>NM</v>
      </c>
      <c r="DG642" s="13">
        <f>ROUND((DG582+DG545)/DG636,2)</f>
        <v>2.0299999999999998</v>
      </c>
      <c r="DH642" s="72" t="str">
        <f>IF(ISERROR(DG642/CY642),"NA",IF(OR(DG642/CY642&gt;2,DG642/CY642&lt;0.5),"NM",DG642/CY642*100-100))</f>
        <v>NM</v>
      </c>
      <c r="DI642" s="13">
        <f>ROUND((DI582+DI545)/DI636,2)</f>
        <v>-0.93</v>
      </c>
      <c r="DJ642" s="72" t="str">
        <f>IF(ISERROR(DI642/DA642),"NA",IF(OR(DI642/DA642&gt;2,DI642/DA642&lt;0.5),"NM",DI642/DA642*100-100))</f>
        <v>NM</v>
      </c>
      <c r="DK642" s="13">
        <f>ROUND((DK582+DK545)/DK636,2)</f>
        <v>2.59</v>
      </c>
      <c r="DL642" s="72" t="str">
        <f>IF(ISERROR(DK642/DC642),"NA",IF(OR(DK642/DC642&gt;2,DK642/DC642&lt;0.5),"NM",DK642/DC642*100-100))</f>
        <v>NM</v>
      </c>
      <c r="DM642" s="13">
        <f>ROUND((DM582+DM545)/DM636,2)</f>
        <v>2.2200000000000002</v>
      </c>
      <c r="DN642" s="72" t="str">
        <f t="shared" si="2981"/>
        <v>NM</v>
      </c>
      <c r="DO642" s="13">
        <f>ROUND((DO582+DO545)/DO636,2)</f>
        <v>0.99</v>
      </c>
      <c r="DP642" s="72" t="str">
        <f t="shared" si="2981"/>
        <v>NM</v>
      </c>
      <c r="DQ642" s="13">
        <f>ROUND((DQ582+DQ545)/DQ636,2)</f>
        <v>-2.62</v>
      </c>
      <c r="DR642" s="72" t="str">
        <f t="shared" si="2981"/>
        <v>NM</v>
      </c>
      <c r="DS642" s="13">
        <f>ROUND((DS582+DS545)/DS636,2)</f>
        <v>4.37</v>
      </c>
      <c r="DT642" s="72">
        <f t="shared" si="2981"/>
        <v>68.725868725868736</v>
      </c>
      <c r="DU642" s="13">
        <f>ROUND((DU582+DU545)/DU636,2)</f>
        <v>3.03</v>
      </c>
      <c r="DV642" s="72">
        <f t="shared" si="2981"/>
        <v>36.486486486486456</v>
      </c>
      <c r="DW642" s="13">
        <f>ROUND((DW582+DW545)/DW636,2)</f>
        <v>3.17</v>
      </c>
      <c r="DX642" s="72" t="str">
        <f t="shared" si="2981"/>
        <v>NM</v>
      </c>
      <c r="DY642" s="13">
        <f>ROUND((DY582+DY545)/DY636,2)</f>
        <v>1.6</v>
      </c>
      <c r="DZ642" s="72" t="str">
        <f t="shared" si="2981"/>
        <v>NM</v>
      </c>
      <c r="EA642" s="13">
        <f>ROUND((EA582+EA545)/EA636,2)</f>
        <v>2.92</v>
      </c>
      <c r="EB642" s="72">
        <f>IF(ISERROR(EA642/DS642),"NA",IF(OR(EA642/DS642&gt;2,EA642/DS642&lt;0.5),"NM",EA642/DS642*100-100))</f>
        <v>-33.180778032036613</v>
      </c>
      <c r="EC642" s="13">
        <f>ROUND((EC582+EC545)/EC636,2)</f>
        <v>2.0499999999999998</v>
      </c>
      <c r="ED642" s="72">
        <f>IF(ISERROR(EC642/DU642),"NA",IF(OR(EC642/DU642&gt;2,EC642/DU642&lt;0.5),"NM",EC642/DU642*100-100))</f>
        <v>-32.343234323432341</v>
      </c>
      <c r="EE642" s="13">
        <f>ROUND((EE582+EE545)/EE636,2)</f>
        <v>4.09</v>
      </c>
      <c r="EF642" s="72">
        <f>IF(ISERROR(EE642/DW642),"NA",IF(OR(EE642/DW642&gt;2,EE642/DW642&lt;0.5),"NM",EE642/DW642*100-100))</f>
        <v>29.022082018927449</v>
      </c>
      <c r="EG642" s="13">
        <f>ROUND((EG582)/EG636,2)</f>
        <v>0.65</v>
      </c>
      <c r="EH642" s="72" t="str">
        <f>IF(ISERROR(EG642/DY642),"NA",IF(OR(EG642/DY642&gt;2,EG642/DY642&lt;0.5),"NM",EG642/DY642*100-100))</f>
        <v>NM</v>
      </c>
      <c r="EI642" s="13">
        <f>ROUND((EI582)/EI636,2)</f>
        <v>3.12</v>
      </c>
      <c r="EJ642" s="72">
        <f>IF(ISERROR(EI642/EA642),"NA",IF(OR(EI642/EA642&gt;2,EI642/EA642&lt;0.5),"NM",EI642/EA642*100-100))</f>
        <v>6.849315068493155</v>
      </c>
      <c r="EK642" s="13">
        <f>ROUND((EK582)/EK636,2)</f>
        <v>1.1200000000000001</v>
      </c>
      <c r="EL642" s="72">
        <f>IF(ISERROR(EK642/EC642),"NA",IF(OR(EK642/EC642&gt;2,EK642/EC642&lt;0.5),"NM",EK642/EC642*100-100))</f>
        <v>-45.365853658536572</v>
      </c>
      <c r="EM642" s="13">
        <f>ROUND((EM582)/EM636,2)</f>
        <v>5.14</v>
      </c>
      <c r="EN642" s="72">
        <f>IF(ISERROR(EM642/EE642),"NA",IF(OR(EM642/EE642&gt;2,EM642/EE642&lt;0.5),"NM",EM642/EE642*100-100))</f>
        <v>25.672371638141797</v>
      </c>
      <c r="EO642" s="13">
        <f>ROUND((EO582)/EO636,2)</f>
        <v>8.6999999999999993</v>
      </c>
      <c r="EP642" s="72" t="str">
        <f>IF(ISERROR(EO642/EG642),"NA",IF(OR(EO642/EG642&gt;2,EO642/EG642&lt;0.5),"NM",EO642/EG642*100-100))</f>
        <v>NM</v>
      </c>
      <c r="EQ642" s="13">
        <f>ROUND((EQ582+EQ545)/EQ636,2)</f>
        <v>5.04</v>
      </c>
      <c r="ER642" s="72">
        <f t="shared" si="2982"/>
        <v>61.538461538461547</v>
      </c>
      <c r="ES642" s="13">
        <f>ROUND((ES582+ES545)/ES636,2)</f>
        <v>2.23</v>
      </c>
      <c r="ET642" s="72">
        <f t="shared" si="2983"/>
        <v>99.107142857142833</v>
      </c>
      <c r="EU642" s="13">
        <f>ROUND((EU582+EU545)/EU636,2)</f>
        <v>2.2000000000000002</v>
      </c>
      <c r="EV642" s="72" t="str">
        <f t="shared" si="2984"/>
        <v>NM</v>
      </c>
      <c r="EW642" s="13">
        <f>ROUND((EW582+EW545)/EW636,2)</f>
        <v>1.89</v>
      </c>
      <c r="EX642" s="72" t="str">
        <f t="shared" si="2985"/>
        <v>NM</v>
      </c>
      <c r="EY642" s="72"/>
      <c r="EZ642" s="296"/>
      <c r="FA642" s="72"/>
      <c r="FB642" s="188"/>
      <c r="FC642" s="11"/>
      <c r="FD642" s="188">
        <f>ROUND((FD582+FD545)/FD636,2)</f>
        <v>1.35</v>
      </c>
      <c r="FE642" s="72" t="str">
        <f>IF(ISERROR(FD642/FB642),"NA",IF(OR(FD642/FB642&gt;2,FD642/FB642&lt;0.5),"NM",FD642/FB642*100-100))</f>
        <v>NA</v>
      </c>
      <c r="FF642" s="188">
        <f>ROUND(FF582/FF636,2)</f>
        <v>-1.1200000000000001</v>
      </c>
      <c r="FG642" s="72" t="str">
        <f>IF(ISERROR(FF642/FD642),"NA",IF(OR(FF642/FD642&gt;2,FF642/FD642&lt;0.5),"NM",FF642/FD642*100-100))</f>
        <v>NM</v>
      </c>
      <c r="FH642" s="73">
        <f>K642+M642+O642+Q642</f>
        <v>1.79</v>
      </c>
      <c r="FI642" s="72" t="str">
        <f>IF(ISERROR(FH642/FF642),"NA",IF(OR(FH642/FF642&gt;2,FH642/FF642&lt;0.5),"NM",FH642/FF642*100-100))</f>
        <v>NM</v>
      </c>
      <c r="FJ642" s="73">
        <f>S642+U642+W642+Y642</f>
        <v>2.33</v>
      </c>
      <c r="FK642" s="72">
        <f>IF(ISERROR(FJ642/FH642),"NA",IF(OR(FJ642/FH642&gt;2,FJ642/FH642&lt;0.5),"NM",FJ642/FH642*100-100))</f>
        <v>30.167597765363126</v>
      </c>
      <c r="FL642" s="73">
        <f>+AA642+AC642+AE642+AG642</f>
        <v>3.37</v>
      </c>
      <c r="FM642" s="72">
        <f>IF(ISERROR(FL642/FJ642),"NA",IF(OR(FL642/FJ642&gt;2,FL642/FJ642&lt;0.5),"NM",FL642/FJ642*100-100))</f>
        <v>44.63519313304721</v>
      </c>
      <c r="FN642" s="23">
        <f>+AI642+AK642+AM642+AO642</f>
        <v>5.0600000000000005</v>
      </c>
      <c r="FO642" s="72">
        <f>IF(ISERROR(FN642/FL642),"NA",IF(OR(FN642/FL642&gt;2,FN642/FL642&lt;0.5),"NM",FN642/FL642*100-100))</f>
        <v>50.148367952522278</v>
      </c>
      <c r="FP642" s="13">
        <f>ROUND((FP582+FP545)/FP636,2)</f>
        <v>-7.18</v>
      </c>
      <c r="FQ642" s="72" t="str">
        <f>IF(ISERROR(FP642/FN642),"NA",IF(OR(FP642/FN642&gt;2,FP642/FN642&lt;0.5),"NM",FP642/FN642*100-100))</f>
        <v>NM</v>
      </c>
      <c r="FR642" s="13">
        <f>ROUND((FR582+FR545)/FR636,2)</f>
        <v>-5.21</v>
      </c>
      <c r="FS642" s="72">
        <f>IF(ISERROR(FR642/FP642),"NA",IF(OR(FR642/FP642&gt;2,FR642/FP642&lt;0.5),"NM",FR642/FP642*100-100))</f>
        <v>-27.437325905292482</v>
      </c>
      <c r="FT642" s="13">
        <f>ROUND((FT582+FT545)/FT636,2)</f>
        <v>-5.49</v>
      </c>
      <c r="FU642" s="72">
        <f>IF(ISERROR(FT642/FR642),"NA",IF(OR(FT642/FR642&gt;2,FT642/FR642&lt;0.5),"NM",FT642/FR642*100-100))</f>
        <v>5.374280230326292</v>
      </c>
      <c r="FV642" s="13">
        <f>ROUND((FV582+FV545)/FV636,2)</f>
        <v>-9.4</v>
      </c>
      <c r="FW642" s="72">
        <f>IF(ISERROR(FV642/FT642),"NA",IF(OR(FV642/FT642&gt;2,FV642/FT642&lt;0.5),"NM",FV642/FT642*100-100))</f>
        <v>71.220400728597468</v>
      </c>
      <c r="FX642" s="13">
        <f>ROUND((FX582+FX545)/FX636,2)</f>
        <v>-1.85</v>
      </c>
      <c r="FY642" s="72" t="str">
        <f>IF(ISERROR(FX642/FV642),"NA",IF(OR(FX642/FV642&gt;2,FX642/FV642&lt;0.5),"NM",FX642/FV642*100-100))</f>
        <v>NM</v>
      </c>
      <c r="FZ642" s="13">
        <f>ROUND((FZ582+FZ545)/FZ636,2)</f>
        <v>-0.11</v>
      </c>
      <c r="GA642" s="72" t="str">
        <f>IF(ISERROR(FZ642/FX642),"NA",IF(OR(FZ642/FX642&gt;2,FZ642/FX642&lt;0.5),"NM",FZ642/FX642*100-100))</f>
        <v>NM</v>
      </c>
      <c r="GB642" s="13">
        <f>ROUND((GB582+GB545)/GB636,2)</f>
        <v>-1.1499999999999999</v>
      </c>
      <c r="GC642" s="72" t="str">
        <f>IF(ISERROR(GB642/FZ642),"NA",IF(OR(GB642/FZ642&gt;2,GB642/FZ642&lt;0.5),"NM",GB642/FZ642*100-100))</f>
        <v>NM</v>
      </c>
      <c r="GD642" s="13">
        <f>ROUND((GD582+GD545)/GD636,2)</f>
        <v>0.59</v>
      </c>
      <c r="GE642" s="72" t="str">
        <f>IF(ISERROR(GD642/GB642),"NA",IF(OR(GD642/GB642&gt;2,GD642/GB642&lt;0.5),"NM",GD642/GB642*100-100))</f>
        <v>NM</v>
      </c>
      <c r="GF642" s="13">
        <f>ROUND((GF582+GF545)/GF636,2)</f>
        <v>5.86</v>
      </c>
      <c r="GG642" s="72" t="str">
        <f>IF(ISERROR(GF642/GD642),"NA",IF(OR(GF642/GD642&gt;2,GF642/GD642&lt;0.5),"NM",GF642/GD642*100-100))</f>
        <v>NM</v>
      </c>
      <c r="GH642" s="13">
        <f>ROUND((GH582+GH545)/GH636,2)</f>
        <v>6.8</v>
      </c>
      <c r="GI642" s="72">
        <f t="shared" si="2986"/>
        <v>16.040955631399314</v>
      </c>
      <c r="GJ642" s="13">
        <f>ROUND((GJ582+GJ545)/GJ636,2)</f>
        <v>12.19</v>
      </c>
      <c r="GK642" s="72">
        <f t="shared" si="2986"/>
        <v>79.264705882352956</v>
      </c>
      <c r="GL642" s="13">
        <f>ROUND((GL582+GL545)/GL636,2)</f>
        <v>9.7100000000000009</v>
      </c>
      <c r="GM642" s="72">
        <f t="shared" si="2986"/>
        <v>-20.344544708777676</v>
      </c>
      <c r="GN642" s="13">
        <f>ROUND((GN582+GN545)/GN636,2)</f>
        <v>17.95</v>
      </c>
      <c r="GO642" s="72">
        <f t="shared" si="2986"/>
        <v>84.860968074150321</v>
      </c>
      <c r="GP642" s="13">
        <f>ROUND((GP582+GP545)/GP636,2)</f>
        <v>11.4</v>
      </c>
      <c r="GQ642" s="72">
        <f t="shared" si="2986"/>
        <v>-36.490250696378823</v>
      </c>
      <c r="GR642" s="13">
        <f>ROUND((GR582+GR545)/GR636,2)</f>
        <v>10.8</v>
      </c>
      <c r="GS642" s="72">
        <f t="shared" si="2986"/>
        <v>-5.2631578947368354</v>
      </c>
      <c r="GT642" s="13">
        <f>ROUND((GT582+GT545)/GT636,2)</f>
        <v>11.19</v>
      </c>
      <c r="GU642" s="72">
        <f t="shared" si="2986"/>
        <v>3.6111111111111001</v>
      </c>
      <c r="GV642" s="13">
        <f>ROUND((GV582+GV545)/GV636,2)</f>
        <v>11.57</v>
      </c>
      <c r="GW642" s="72">
        <f>IF(ISERROR(GV642/GT642),"NA",IF(OR(GV642/GT642&gt;2,GV642/GT642&lt;0.5),"NM",GV642/GT642*100-100))</f>
        <v>3.395889186773914</v>
      </c>
      <c r="GX642" s="13">
        <f>ROUND((GX582+GX545)/GX636,2)</f>
        <v>11.97</v>
      </c>
      <c r="GY642" s="72">
        <f>IF(ISERROR(GX642/GV642),"NA",IF(OR(GX642/GV642&gt;2,GX642/GV642&lt;0.5),"NM",GX642/GV642*100-100))</f>
        <v>3.4572169403630113</v>
      </c>
      <c r="GZ642" s="72">
        <f>IF(ISERROR(((GX642/GN642)^0.2-1)*100),"NA",IF((((GX642/GN642)^0.2-1)*100)&gt;100,"NM",IF((((GX642/GN642)^0.2-1)*100)&lt;-50,"NM",((GX642/GN642)^0.2-1)*100)))</f>
        <v>-7.7840723326805801</v>
      </c>
      <c r="HA642" s="72"/>
      <c r="HB642" s="72"/>
      <c r="HC642"/>
      <c r="HD642"/>
      <c r="HE642"/>
      <c r="HF642"/>
      <c r="HG642"/>
      <c r="HH642"/>
      <c r="HI642" s="2"/>
    </row>
    <row r="643" spans="1:217" s="3" customFormat="1" ht="12.75" customHeight="1" x14ac:dyDescent="0.2">
      <c r="B643" s="4"/>
      <c r="C643" s="188"/>
      <c r="D643" s="11"/>
      <c r="E643" s="188"/>
      <c r="F643" s="11"/>
      <c r="G643" s="188"/>
      <c r="H643" s="11"/>
      <c r="I643" s="188"/>
      <c r="J643" s="11"/>
      <c r="K643" s="188"/>
      <c r="L643" s="72"/>
      <c r="M643" s="188"/>
      <c r="N643" s="72"/>
      <c r="O643" s="188"/>
      <c r="P643" s="72"/>
      <c r="Q643" s="188"/>
      <c r="R643" s="72"/>
      <c r="S643" s="188"/>
      <c r="T643" s="72"/>
      <c r="U643" s="188"/>
      <c r="V643" s="72"/>
      <c r="W643" s="188"/>
      <c r="X643" s="72"/>
      <c r="Y643" s="188"/>
      <c r="Z643" s="72"/>
      <c r="AA643" s="188"/>
      <c r="AB643" s="72"/>
      <c r="AC643" s="188"/>
      <c r="AD643" s="72"/>
      <c r="AE643" s="188"/>
      <c r="AF643" s="72"/>
      <c r="AG643" s="188"/>
      <c r="AH643" s="72"/>
      <c r="AI643" s="188"/>
      <c r="AJ643" s="72"/>
      <c r="AK643" s="188"/>
      <c r="AL643" s="72"/>
      <c r="AM643" s="188"/>
      <c r="AN643" s="72"/>
      <c r="AO643" s="188"/>
      <c r="AP643" s="72"/>
      <c r="AQ643" s="188"/>
      <c r="AR643" s="72"/>
      <c r="AS643" s="188"/>
      <c r="AT643" s="72"/>
      <c r="AU643" s="188"/>
      <c r="AV643" s="72"/>
      <c r="AW643" s="188"/>
      <c r="AX643" s="72"/>
      <c r="AY643" s="188"/>
      <c r="AZ643" s="72"/>
      <c r="BA643" s="188"/>
      <c r="BB643" s="72"/>
      <c r="BC643" s="188"/>
      <c r="BD643" s="72"/>
      <c r="BE643" s="188"/>
      <c r="BF643" s="72"/>
      <c r="BG643" s="188"/>
      <c r="BH643" s="72"/>
      <c r="BI643" s="188"/>
      <c r="BJ643" s="72"/>
      <c r="BK643" s="188"/>
      <c r="BL643" s="72"/>
      <c r="BM643" s="188"/>
      <c r="BN643" s="72"/>
      <c r="BO643" s="188"/>
      <c r="BP643" s="72"/>
      <c r="BQ643" s="188"/>
      <c r="BR643" s="72"/>
      <c r="BS643" s="188"/>
      <c r="BT643" s="72"/>
      <c r="BU643" s="188"/>
      <c r="BV643" s="72"/>
      <c r="BW643" s="188"/>
      <c r="BX643" s="72"/>
      <c r="BY643" s="188"/>
      <c r="BZ643" s="72"/>
      <c r="CA643" s="188"/>
      <c r="CB643" s="72"/>
      <c r="CC643" s="188"/>
      <c r="CD643" s="72"/>
      <c r="CE643" s="188"/>
      <c r="CF643" s="72"/>
      <c r="CG643" s="188"/>
      <c r="CH643" s="72"/>
      <c r="CI643" s="188"/>
      <c r="CJ643" s="72"/>
      <c r="CK643" s="188"/>
      <c r="CL643" s="72"/>
      <c r="CM643" s="371"/>
      <c r="CN643" s="72"/>
      <c r="CO643" s="188"/>
      <c r="CP643" s="72"/>
      <c r="CQ643" s="188"/>
      <c r="CR643" s="72"/>
      <c r="CS643" s="2"/>
      <c r="CT643" s="2"/>
      <c r="CU643" s="2"/>
      <c r="CV643" s="72"/>
      <c r="CW643" s="2"/>
      <c r="CX643" s="72"/>
      <c r="CY643" s="2"/>
      <c r="CZ643" s="72"/>
      <c r="DA643" s="2"/>
      <c r="DB643" s="72"/>
      <c r="DC643" s="2"/>
      <c r="DD643" s="72"/>
      <c r="DE643" s="2"/>
      <c r="DF643" s="72"/>
      <c r="DG643" s="2"/>
      <c r="DH643" s="72"/>
      <c r="DI643" s="2"/>
      <c r="DJ643" s="72"/>
      <c r="DK643" s="2"/>
      <c r="DL643" s="72"/>
      <c r="DM643" s="2"/>
      <c r="DN643" s="72"/>
      <c r="DO643" s="111"/>
      <c r="DP643" s="72"/>
      <c r="DQ643" s="111"/>
      <c r="DR643" s="72"/>
      <c r="DS643" s="111"/>
      <c r="DT643" s="72"/>
      <c r="DU643" s="111"/>
      <c r="DV643" s="72"/>
      <c r="DW643" s="13"/>
      <c r="DX643" s="72"/>
      <c r="DY643" s="13"/>
      <c r="DZ643" s="72"/>
      <c r="EA643" s="13"/>
      <c r="EB643" s="72"/>
      <c r="EC643" s="13"/>
      <c r="ED643" s="72"/>
      <c r="EE643" s="13"/>
      <c r="EF643" s="72"/>
      <c r="EG643" s="13"/>
      <c r="EH643" s="72"/>
      <c r="EI643" s="13"/>
      <c r="EJ643" s="72"/>
      <c r="EK643" s="13"/>
      <c r="EL643" s="72"/>
      <c r="EM643" s="13"/>
      <c r="EN643" s="72"/>
      <c r="EO643" s="13"/>
      <c r="EP643" s="72"/>
      <c r="EQ643" s="13"/>
      <c r="ER643" s="72"/>
      <c r="ES643" s="13"/>
      <c r="ET643" s="72"/>
      <c r="EU643" s="13"/>
      <c r="EV643" s="72"/>
      <c r="EW643" s="13"/>
      <c r="EX643" s="72"/>
      <c r="EY643" s="72"/>
      <c r="EZ643" s="296"/>
      <c r="FA643" s="72"/>
      <c r="FB643" s="188"/>
      <c r="FC643" s="11"/>
      <c r="FD643" s="188"/>
      <c r="FE643" s="72"/>
      <c r="FF643" s="188"/>
      <c r="FG643" s="72"/>
      <c r="FH643" s="73"/>
      <c r="FI643" s="72"/>
      <c r="FJ643" s="73"/>
      <c r="FK643" s="72"/>
      <c r="FL643" s="73"/>
      <c r="FM643" s="72"/>
      <c r="FN643" s="23"/>
      <c r="FO643" s="72"/>
      <c r="FP643" s="13"/>
      <c r="FQ643" s="72"/>
      <c r="FR643" s="13"/>
      <c r="FS643" s="72"/>
      <c r="FT643" s="13"/>
      <c r="FU643" s="72"/>
      <c r="FV643" s="13"/>
      <c r="FW643" s="72"/>
      <c r="FX643" s="13"/>
      <c r="FY643" s="72"/>
      <c r="FZ643" s="13"/>
      <c r="GA643" s="72"/>
      <c r="GB643" s="13"/>
      <c r="GC643" s="72"/>
      <c r="GD643" s="13"/>
      <c r="GE643" s="72"/>
      <c r="GF643" s="13"/>
      <c r="GG643" s="72"/>
      <c r="GH643" s="111"/>
      <c r="GI643" s="72"/>
      <c r="GJ643" s="13"/>
      <c r="GK643" s="72"/>
      <c r="GL643" s="13"/>
      <c r="GM643" s="72"/>
      <c r="GN643" s="13"/>
      <c r="GO643" s="72"/>
      <c r="GP643" s="13"/>
      <c r="GQ643" s="72"/>
      <c r="GR643" s="13"/>
      <c r="GS643" s="72"/>
      <c r="GT643" s="13"/>
      <c r="GU643" s="72"/>
      <c r="GV643" s="13"/>
      <c r="GW643" s="72"/>
      <c r="GX643" s="13"/>
      <c r="GY643" s="72"/>
      <c r="GZ643" s="72"/>
      <c r="HA643" s="72"/>
      <c r="HB643" s="72"/>
      <c r="HC643"/>
      <c r="HD643"/>
      <c r="HE643"/>
      <c r="HF643"/>
      <c r="HG643"/>
      <c r="HH643"/>
      <c r="HI643" s="2"/>
    </row>
    <row r="644" spans="1:217" s="193" customFormat="1" ht="12.75" customHeight="1" x14ac:dyDescent="0.2">
      <c r="A644" s="94" t="s">
        <v>487</v>
      </c>
      <c r="B644" s="190" t="s">
        <v>484</v>
      </c>
      <c r="C644" s="191"/>
      <c r="D644" s="192"/>
      <c r="E644" s="191"/>
      <c r="F644" s="192"/>
      <c r="G644" s="191"/>
      <c r="H644" s="192"/>
      <c r="I644" s="191"/>
      <c r="J644" s="192"/>
      <c r="K644" s="191"/>
      <c r="L644" s="72"/>
      <c r="M644" s="191"/>
      <c r="N644" s="72"/>
      <c r="O644" s="191"/>
      <c r="P644" s="72"/>
      <c r="Q644" s="191"/>
      <c r="R644" s="72"/>
      <c r="S644" s="191"/>
      <c r="T644" s="72"/>
      <c r="U644" s="191"/>
      <c r="V644" s="72"/>
      <c r="W644" s="191"/>
      <c r="X644" s="72"/>
      <c r="Y644" s="191"/>
      <c r="Z644" s="72"/>
      <c r="AA644" s="191"/>
      <c r="AB644" s="72"/>
      <c r="AC644" s="191"/>
      <c r="AD644" s="72"/>
      <c r="AE644" s="191"/>
      <c r="AF644" s="72"/>
      <c r="AG644" s="191"/>
      <c r="AH644" s="72"/>
      <c r="AI644" s="191"/>
      <c r="AJ644" s="72"/>
      <c r="AK644" s="191"/>
      <c r="AL644" s="72"/>
      <c r="AM644" s="191"/>
      <c r="AN644" s="72"/>
      <c r="AO644" s="191">
        <v>0.87</v>
      </c>
      <c r="AP644" s="72" t="str">
        <f>IF(ISERROR(AO644/AG644),"NA",IF(OR(AO644/AG644&gt;2,AO644/AG644&lt;0.5),"NM",AO644/AG644*100-100))</f>
        <v>NA</v>
      </c>
      <c r="AQ644" s="191">
        <f>AQ641-0.13</f>
        <v>1.5549056603773583</v>
      </c>
      <c r="AR644" s="72" t="str">
        <f>IF(ISERROR(AQ644/AI644),"NA",IF(OR(AQ644/AI644&gt;2,AQ644/AI644&lt;0.5),"NM",AQ644/AI644*100-100))</f>
        <v>NA</v>
      </c>
      <c r="AS644" s="191">
        <f>AS641+0.02</f>
        <v>1.6022543792840822</v>
      </c>
      <c r="AT644" s="72" t="str">
        <f>IF(ISERROR(AS644/AK644),"NA",IF(OR(AS644/AK644&gt;2,AS644/AK644&lt;0.5),"NM",AS644/AK644*100-100))</f>
        <v>NA</v>
      </c>
      <c r="AU644" s="191">
        <f>AU641-0.21</f>
        <v>1.7560428323364849</v>
      </c>
      <c r="AV644" s="72" t="str">
        <f>IF(ISERROR(AU644/AM644),"NA",IF(OR(AU644/AM644&gt;2,AU644/AM644&lt;0.5),"NM",AU644/AM644*100-100))</f>
        <v>NA</v>
      </c>
      <c r="AW644" s="191">
        <f>AW641+0.3</f>
        <v>1.8092120736965895</v>
      </c>
      <c r="AX644" s="72" t="str">
        <f>IF(ISERROR(AW644/AO644),"NA",IF(OR(AW644/AO644&gt;2,AW644/AO644&lt;0.5),"NM",AW644/AO644*100-100))</f>
        <v>NM</v>
      </c>
      <c r="AY644" s="191">
        <f>AY641+0.15</f>
        <v>1.3818984328506247</v>
      </c>
      <c r="AZ644" s="72">
        <f>IF(ISERROR(AY644/AQ644),"NA",IF(OR(AY644/AQ644&gt;2,AY644/AQ644&lt;0.5),"NM",AY644/AQ644*100-100))</f>
        <v>-11.126541753327118</v>
      </c>
      <c r="BA644" s="191">
        <f>BA641-(BA534*(1-BA538/100))/BA636</f>
        <v>1.3626102980802755</v>
      </c>
      <c r="BB644" s="72">
        <f>IF(ISERROR(BA644/AS644),"NA",IF(OR(BA644/AS644&gt;2,BA644/AS644&lt;0.5),"NM",BA644/AS644*100-100))</f>
        <v>-14.956681304930143</v>
      </c>
      <c r="BC644" s="191">
        <f>BC641-(BC534*(1-BC538/100))/BC636</f>
        <v>1.3815182868719045</v>
      </c>
      <c r="BD644" s="72">
        <f>IF(ISERROR(BC644/AU644),"NA",IF(OR(BC644/AU644&gt;2,BC644/AU644&lt;0.5),"NM",BC644/AU644*100-100))</f>
        <v>-21.327756850114</v>
      </c>
      <c r="BE644" s="191">
        <f>BE641-(BE534*(1-BE538/100))/BE636</f>
        <v>1.4490257208399906</v>
      </c>
      <c r="BF644" s="72">
        <f>IF(ISERROR(BE644/AW644),"NA",IF(OR(BE644/AW644&gt;2,BE644/AW644&lt;0.5),"NM",BE644/AW644*100-100))</f>
        <v>-19.908465021497719</v>
      </c>
      <c r="BG644" s="191">
        <f>BG641-(BG534*(1-BG538/100))/BG636</f>
        <v>1.6015341266785239</v>
      </c>
      <c r="BH644" s="72">
        <f>IF(ISERROR(BG644/AY644),"NA",IF(OR(BG644/AY644&gt;2,BG644/AY644&lt;0.5),"NM",BG644/AY644*100-100))</f>
        <v>15.893765316371884</v>
      </c>
      <c r="BI644" s="191">
        <f>BI641-(BI534*(1-BI538/100))/BI636</f>
        <v>1.6867770906726742</v>
      </c>
      <c r="BJ644" s="72">
        <f>IF(ISERROR(BI644/BA644),"NA",IF(OR(BI644/BA644&gt;2,BI644/BA644&lt;0.5),"NM",BI644/BA644*100-100))</f>
        <v>23.790132296013297</v>
      </c>
      <c r="BK644" s="191">
        <f>BK641-(BK534*(1-BK538/100))/BK636</f>
        <v>2.0206667496990076</v>
      </c>
      <c r="BL644" s="72">
        <f>IF(ISERROR(BK644/BC644),"NA",IF(OR(BK644/BC644&gt;2,BK644/BC644&lt;0.5),"NM",BK644/BC644*100-100))</f>
        <v>46.264205758310425</v>
      </c>
      <c r="BM644" s="191">
        <f>BM641-(BM534*(1-BM538/100))/BM636</f>
        <v>1.97223924291939</v>
      </c>
      <c r="BN644" s="72">
        <f>IF(ISERROR(BM644/BE644),"NA",IF(OR(BM644/BE644&gt;2,BM644/BE644&lt;0.5),"NM",BM644/BE644*100-100))</f>
        <v>36.10795271295089</v>
      </c>
      <c r="BO644" s="191">
        <f>BO641-(BO534*(1-BO538/100))/BO636</f>
        <v>1.5767338835862932</v>
      </c>
      <c r="BP644" s="72">
        <f>IF(ISERROR(BO644/BG644),"NA",IF(OR(BO644/BG644&gt;2,BO644/BG644&lt;0.5),"NM",BO644/BG644*100-100))</f>
        <v>-1.5485304171235441</v>
      </c>
      <c r="BQ644" s="191">
        <f>BQ641-(BQ534*(1-BQ538/100))/BQ636</f>
        <v>1.8633006238574228</v>
      </c>
      <c r="BR644" s="72">
        <f>IF(ISERROR(BQ644/BI644),"NA",IF(OR(BQ644/BI644&gt;2,BQ644/BI644&lt;0.5),"NM",BQ644/BI644*100-100))</f>
        <v>10.46513698584512</v>
      </c>
      <c r="BS644" s="191">
        <f>BS641-(BS534*(1-BS538/100))/BS636</f>
        <v>1.5683043277375637</v>
      </c>
      <c r="BT644" s="72">
        <f>IF(ISERROR(BS644/BK644),"NA",IF(OR(BS644/BK644&gt;2,BS644/BK644&lt;0.5),"NM",BS644/BK644*100-100))</f>
        <v>-22.386790005270612</v>
      </c>
      <c r="BU644" s="191">
        <f>BU641+(607)/BU637</f>
        <v>-0.59405940594059392</v>
      </c>
      <c r="BV644" s="72" t="str">
        <f>IF(ISERROR(BU644/BM644),"NA",IF(OR(BU644/BM644&gt;2,BU644/BM644&lt;0.5),"NM",BU644/BM644*100-100))</f>
        <v>NM</v>
      </c>
      <c r="BW644" s="191">
        <f>BW641+(24.4+85.4+163-197-10)/BW636</f>
        <v>0.62706893147236298</v>
      </c>
      <c r="BX644" s="72" t="str">
        <f>IF(ISERROR(BW644/BO644),"NA",IF(OR(BW644/BO644&gt;2,BW644/BO644&lt;0.5),"NM",BW644/BO644*100-100))</f>
        <v>NM</v>
      </c>
      <c r="BY644" s="191">
        <f>(BY533*(1-(BY538/100))/BY636)</f>
        <v>1.2129437969204944</v>
      </c>
      <c r="BZ644" s="72">
        <f>IF(ISERROR(BY644/BQ644),"NA",IF(OR(BY644/BQ644&gt;2,BY644/BQ644&lt;0.5),"NM",BY644/BQ644*100-100))</f>
        <v>-34.903483560830537</v>
      </c>
      <c r="CA644" s="191">
        <f>(CA533-178+CA545)/CA636</f>
        <v>1.4141196728368488</v>
      </c>
      <c r="CB644" s="72">
        <f>IF(ISERROR(CA644/BS644),"NA",IF(OR(CA644/BS644&gt;2,CA644/BS644&lt;0.5),"NM",CA644/BS644*100-100))</f>
        <v>-9.8312969092638838</v>
      </c>
      <c r="CC644" s="191">
        <f>((1-(CC538/100))*CC533+CC545)/CC636</f>
        <v>1.0669562885044868</v>
      </c>
      <c r="CD644" s="72" t="str">
        <f>IF(ISERROR(CC644/BU644),"NA",IF(OR(CC644/BU644&gt;2,CC644/BU644&lt;0.5),"NM",CC644/BU644*100-100))</f>
        <v>NM</v>
      </c>
      <c r="CE644" s="176">
        <f>(CE641-((CE534*(1-(CE538/100))/CE636)))</f>
        <v>1.2018562749625872</v>
      </c>
      <c r="CF644" s="72">
        <f>IF(ISERROR(CE644/BW644),"NA",IF(OR(CE644/BW644&gt;2,CE644/BW644&lt;0.5),"NM",CE644/BW644*100-100))</f>
        <v>91.662545318681111</v>
      </c>
      <c r="CG644" s="176">
        <f>(CG641-((CG534*(1-(CG538/100))/CG636)))</f>
        <v>1.3464687797789727</v>
      </c>
      <c r="CH644" s="72">
        <f>IF(ISERROR(CG644/BY644),"NA",IF(OR(CG644/BY644&gt;2,CG644/BY644&lt;0.5),"NM",CG644/BY644*100-100))</f>
        <v>11.008340468658218</v>
      </c>
      <c r="CI644" s="176">
        <f>(CI641-((CI534*(1-(CI538/100))/CI636)))</f>
        <v>1.1702617437507548</v>
      </c>
      <c r="CJ644" s="72">
        <f>IF(ISERROR(CI644/CA644),"NA",IF(OR(CI644/CA644&gt;2,CI644/CA644&lt;0.5),"NM",CI644/CA644*100-100))</f>
        <v>-17.244504391689404</v>
      </c>
      <c r="CK644" s="176">
        <f>(CK641-((CK534*(1-(CK538/100))/CK636)))</f>
        <v>1.3097837493369762</v>
      </c>
      <c r="CL644" s="72">
        <f>IF(ISERROR(CK644/CC644),"NA",IF(OR(CK644/CC644&gt;2,CK644/CC644&lt;0.5),"NM",CK644/CC644*100-100))</f>
        <v>22.758894947125881</v>
      </c>
      <c r="CM644" s="369">
        <f>CM561/CM636</f>
        <v>1.4272221097388136</v>
      </c>
      <c r="CN644" s="72">
        <f>IF(ISERROR(CM644/CE644),"NA",IF(OR(CM644/CE644&gt;2,CM644/CE644&lt;0.5),"NM",CM644/CE644*100-100))</f>
        <v>18.751479646203279</v>
      </c>
      <c r="CO644" s="176">
        <f>CO561/CO636</f>
        <v>1.6359135004042038</v>
      </c>
      <c r="CP644" s="72">
        <f>IF(ISERROR(CO644/CG644),"NA",IF(OR(CO644/CG644&gt;2,CO644/CG644&lt;0.5),"NM",CO644/CG644*100-100))</f>
        <v>21.496578678396432</v>
      </c>
      <c r="CQ644" s="176">
        <f>CQ561/CQ636</f>
        <v>1.4676067852033516</v>
      </c>
      <c r="CR644" s="72">
        <f>IF(ISERROR(CQ644/CI644),"NA",IF(OR(CQ644/CI644&gt;2,CQ644/CI644&lt;0.5),"NM",CQ644/CI644*100-100))</f>
        <v>25.408421922739194</v>
      </c>
      <c r="CS644" s="176">
        <f>CS561/CS636</f>
        <v>1.5278825995807126</v>
      </c>
      <c r="CT644" s="72">
        <f>IF(ISERROR(CS644/CK644),"NA",IF(OR(CS644/CK644&gt;2,CS644/CK644&lt;0.5),"NM",CS644/CK644*100-100))</f>
        <v>16.651515973849882</v>
      </c>
      <c r="CU644" s="176">
        <f>CU561/CU636</f>
        <v>1.4652356020942408</v>
      </c>
      <c r="CV644" s="72">
        <f>IF(ISERROR(CU644/CM644),"NA",IF(OR(CU644/CM644&gt;2,CU644/CM644&lt;0.5),"NM",CU644/CM644*100-100))</f>
        <v>2.6634601647520526</v>
      </c>
      <c r="CW644" s="176">
        <f>CW561/CW636</f>
        <v>1.7252375923970433</v>
      </c>
      <c r="CX644" s="72">
        <f>IF(ISERROR(CW644/CO644),"NA",IF(OR(CW644/CO644&gt;2,CW644/CO644&lt;0.5),"NM",CW644/CO644*100-100))</f>
        <v>5.4601965183837251</v>
      </c>
      <c r="CY644" s="176">
        <f>CY561/CY636</f>
        <v>1.8200508690122934</v>
      </c>
      <c r="CZ644" s="72">
        <f>IF(ISERROR(CY644/CQ644),"NA",IF(OR(CY644/CQ644&gt;2,CY644/CQ644&lt;0.5),"NM",CY644/CQ644*100-100))</f>
        <v>24.014885142419601</v>
      </c>
      <c r="DA644" s="191">
        <f>DA561/DA636-0.07</f>
        <v>1.769540327729304</v>
      </c>
      <c r="DB644" s="72">
        <f>IF(ISERROR(DA644/CS644),"NA",IF(OR(DA644/CS644&gt;2,DA644/CS644&lt;0.5),"NM",DA644/CS644*100-100))</f>
        <v>15.816511570647378</v>
      </c>
      <c r="DC644" s="176">
        <f>DC561/DC636</f>
        <v>2.1202035191859232</v>
      </c>
      <c r="DD644" s="72">
        <f>IF(ISERROR(DC644/CU644),"NA",IF(OR(DC644/CU644&gt;2,DC644/CU644&lt;0.5),"NM",DC644/CU644*100-100))</f>
        <v>44.70051888962746</v>
      </c>
      <c r="DE644" s="176">
        <f>DE561/DE636</f>
        <v>2.1031342651418892</v>
      </c>
      <c r="DF644" s="72">
        <f>IF(ISERROR(DE644/CW644),"NA",IF(OR(DE644/CW644&gt;2,DE644/CW644&lt;0.5),"NM",DE644/CW644*100-100))</f>
        <v>21.904036546050236</v>
      </c>
      <c r="DG644" s="176">
        <f>DG561/DG636</f>
        <v>2.3459745762711863</v>
      </c>
      <c r="DH644" s="72">
        <f>IF(ISERROR(DG644/CY644),"NA",IF(OR(DG644/CY644&gt;2,DG644/CY644&lt;0.5),"NM",DG644/CY644*100-100))</f>
        <v>28.896099346074948</v>
      </c>
      <c r="DI644" s="176">
        <f>DI561/DI636</f>
        <v>2.2194397283531409</v>
      </c>
      <c r="DJ644" s="72">
        <f>IF(ISERROR(DI644/DA644),"NA",IF(OR(DI644/DA644&gt;2,DI644/DA644&lt;0.5),"NM",DI644/DA644*100-100))</f>
        <v>25.424648061067543</v>
      </c>
      <c r="DK644" s="176">
        <f>DK561/DK636</f>
        <v>2.4650645775989837</v>
      </c>
      <c r="DL644" s="72">
        <f>IF(ISERROR(DK644/DC644),"NA",IF(OR(DK644/DC644&gt;2,DK644/DC644&lt;0.5),"NM",DK644/DC644*100-100))</f>
        <v>16.265469578386217</v>
      </c>
      <c r="DM644" s="176">
        <f>DM561/DM636</f>
        <v>2.508071367884452</v>
      </c>
      <c r="DN644" s="72">
        <f t="shared" ref="DN644:DZ644" si="2987">IF(ISERROR(DM644/DE644),"NA",IF(OR(DM644/DE644&gt;2,DM644/DE644&lt;0.5),"NM",DM644/DE644*100-100))</f>
        <v>19.253982470550611</v>
      </c>
      <c r="DO644" s="176">
        <f>DO561/DO636</f>
        <v>2.4567164179104473</v>
      </c>
      <c r="DP644" s="72">
        <f t="shared" si="2987"/>
        <v>4.7205047641769369</v>
      </c>
      <c r="DQ644" s="176">
        <f>DQ561/DQ636</f>
        <v>2.3284429213964448</v>
      </c>
      <c r="DR644" s="72">
        <f t="shared" si="2987"/>
        <v>4.9112932264299758</v>
      </c>
      <c r="DS644" s="701">
        <f>DS561/DS636-0.004</f>
        <v>2.6478144728365902</v>
      </c>
      <c r="DT644" s="72">
        <f t="shared" si="2987"/>
        <v>7.4135946335169791</v>
      </c>
      <c r="DU644" s="176">
        <f>DU561/DU636</f>
        <v>2.6279395900755125</v>
      </c>
      <c r="DV644" s="72">
        <f t="shared" si="2987"/>
        <v>4.779298696438957</v>
      </c>
      <c r="DW644" s="176">
        <f>DW561/DW636</f>
        <v>2.5196884465599307</v>
      </c>
      <c r="DX644" s="72">
        <f t="shared" si="2987"/>
        <v>2.5632599754042502</v>
      </c>
      <c r="DY644" s="176">
        <f>DY561/DY636</f>
        <v>2.0681126331811264</v>
      </c>
      <c r="DZ644" s="72">
        <f t="shared" si="2987"/>
        <v>-11.180445344959949</v>
      </c>
      <c r="EA644" s="176">
        <f>EA564/EA636</f>
        <v>2.4898382867132871</v>
      </c>
      <c r="EB644" s="72">
        <f>IF(ISERROR(EA644/DS644),"NA",IF(OR(EA644/DS644&gt;2,EA644/DS644&lt;0.5),"NM",EA644/DS644*100-100))</f>
        <v>-5.9662860726818252</v>
      </c>
      <c r="EC644" s="176">
        <f>EC564/EC636</f>
        <v>2.4555975962608501</v>
      </c>
      <c r="ED644" s="72">
        <f>IF(ISERROR(EC644/DU644),"NA",IF(OR(EC644/DU644&gt;2,EC644/DU644&lt;0.5),"NM",EC644/DU644*100-100))</f>
        <v>-6.5580652791836087</v>
      </c>
      <c r="EE644" s="176">
        <f>EE561/EE636</f>
        <v>2.5056268287193335</v>
      </c>
      <c r="EF644" s="72">
        <f>IF(ISERROR(EE644/DW644),"NA",IF(OR(EE644/DW644&gt;2,EE644/DW644&lt;0.5),"NM",EE644/DW644*100-100))</f>
        <v>-0.55806970341095052</v>
      </c>
      <c r="EG644" s="176">
        <f>EG561/EG636</f>
        <v>2.4283765347885402</v>
      </c>
      <c r="EH644" s="72">
        <f>IF(ISERROR(EG644/DY644),"NA",IF(OR(EG644/DY644&gt;2,EG644/DY644&lt;0.5),"NM",EG644/DY644*100-100))</f>
        <v>17.419936217558103</v>
      </c>
      <c r="EI644" s="176">
        <f>EI561/EI636</f>
        <v>2.7648941015713961</v>
      </c>
      <c r="EJ644" s="72">
        <f>IF(ISERROR(EI644/EA644),"NA",IF(OR(EI644/EA644&gt;2,EI644/EA644&lt;0.5),"NM",EI644/EA644*100-100))</f>
        <v>11.04713572467378</v>
      </c>
      <c r="EK644" s="176">
        <f>EK561/EK636</f>
        <v>2.9347726648979964</v>
      </c>
      <c r="EL644" s="72">
        <f>IF(ISERROR(EK644/EC644),"NA",IF(OR(EK644/EC644&gt;2,EK644/EC644&lt;0.5),"NM",EK644/EC644*100-100))</f>
        <v>19.513582737122249</v>
      </c>
      <c r="EM644" s="176">
        <f>EM561/EM636</f>
        <v>2.9420689655172412</v>
      </c>
      <c r="EN644" s="72">
        <f>IF(ISERROR(EM644/EE644),"NA",IF(OR(EM644/EE644&gt;2,EM644/EE644&lt;0.5),"NM",EM644/EE644*100-100))</f>
        <v>17.418481147928162</v>
      </c>
      <c r="EO644" s="176">
        <f>EO561/EO636</f>
        <v>2.6794545874740008</v>
      </c>
      <c r="EP644" s="72">
        <f>IF(ISERROR(EO644/EG644),"NA",IF(OR(EO644/EG644&gt;2,EO644/EG644&lt;0.5),"NM",EO644/EG644*100-100))</f>
        <v>10.339337787552964</v>
      </c>
      <c r="EQ644" s="176">
        <f>EQ561/EQ636</f>
        <v>3.0956473436103349</v>
      </c>
      <c r="ER644" s="72">
        <f t="shared" ref="ER644:ER645" si="2988">IF(ISERROR(EQ644/EI644),"NA",IF(OR(EQ644/EI644&gt;2,EQ644/EI644&lt;0.5),"NM",EQ644/EI644*100-100))</f>
        <v>11.962600732192925</v>
      </c>
      <c r="ES644" s="176">
        <f>ES561/ES636</f>
        <v>3.1369010469049265</v>
      </c>
      <c r="ET644" s="72">
        <f t="shared" ref="ET644:ET645" si="2989">IF(ISERROR(ES644/EK644),"NA",IF(OR(ES644/EK644&gt;2,ES644/EK644&lt;0.5),"NM",ES644/EK644*100-100))</f>
        <v>6.8873607971251687</v>
      </c>
      <c r="EU644" s="176">
        <f>EU561/EU636</f>
        <v>3.1253659827544977</v>
      </c>
      <c r="EV644" s="72">
        <f t="shared" ref="EV644:EV645" si="2990">IF(ISERROR(EU644/EM644),"NA",IF(OR(EU644/EM644&gt;2,EU644/EM644&lt;0.5),"NM",EU644/EM644*100-100))</f>
        <v>6.2302080401786668</v>
      </c>
      <c r="EW644" s="176">
        <f>EW561/EW636</f>
        <v>2.838428618029682</v>
      </c>
      <c r="EX644" s="72">
        <f t="shared" ref="EX644:EX645" si="2991">IF(ISERROR(EW644/EO644),"NA",IF(OR(EW644/EO644&gt;2,EW644/EO644&lt;0.5),"NM",EW644/EO644*100-100))</f>
        <v>5.9330742643991101</v>
      </c>
      <c r="EY644" s="72"/>
      <c r="EZ644" s="339"/>
      <c r="FA644" s="72"/>
      <c r="FB644" s="179"/>
      <c r="FC644" s="192"/>
      <c r="FD644" s="179"/>
      <c r="FE644" s="72"/>
      <c r="FF644" s="179"/>
      <c r="FG644" s="72"/>
      <c r="FH644" s="179"/>
      <c r="FI644" s="72"/>
      <c r="FJ644" s="179"/>
      <c r="FK644" s="72"/>
      <c r="FL644" s="179"/>
      <c r="FM644" s="72"/>
      <c r="FN644" s="15"/>
      <c r="FO644" s="72"/>
      <c r="FP644" s="176">
        <f>(FP641-((FP534*(1-(FP538/100))/FP636)))</f>
        <v>3.9052975328746689</v>
      </c>
      <c r="FQ644" s="72" t="str">
        <f>IF(ISERROR(FP644/FN644),"NA",IF(OR(FP644/FN644&gt;2,FP644/FN644&lt;0.5),"NM",FP644/FN644*100-100))</f>
        <v>NA</v>
      </c>
      <c r="FR644" s="176">
        <f>(FR641-((FR534*(1-(FR538/100))/FR636)))</f>
        <v>4.4519858025929437</v>
      </c>
      <c r="FS644" s="72">
        <f>IF(ISERROR(FR644/FP644),"NA",IF(OR(FR644/FP644&gt;2,FR644/FP644&lt;0.5),"NM",FR644/FP644*100-100))</f>
        <v>13.99863301365059</v>
      </c>
      <c r="FT644" s="176">
        <f>(FT641-((FT534*(1-(FT538/100))/FT636)))</f>
        <v>5.8949885425507</v>
      </c>
      <c r="FU644" s="72">
        <f>IF(ISERROR(FT644/FR644),"NA",IF(OR(FT644/FR644&gt;2,FT644/FR644&lt;0.5),"NM",FT644/FR644*100-100))</f>
        <v>32.412563829770448</v>
      </c>
      <c r="FV644" s="176">
        <f>(FV641-((FV534*(1-(FV538/100))/FV636)))</f>
        <v>-4.295503045391901</v>
      </c>
      <c r="FW644" s="72" t="str">
        <f>IF(ISERROR(FV644/FT644),"NA",IF(OR(FV644/FT644&gt;2,FV644/FT644&lt;0.5),"NM",FV644/FT644*100-100))</f>
        <v>NM</v>
      </c>
      <c r="FX644" s="176">
        <f>(FX641-((FX534*(1-(FX538/100))/FX636)))</f>
        <v>2.0950901924888137</v>
      </c>
      <c r="FY644" s="72" t="str">
        <f>IF(ISERROR(FX644/FV644),"NA",IF(OR(FX644/FV644&gt;2,FX644/FV644&lt;0.5),"NM",FX644/FV644*100-100))</f>
        <v>NM</v>
      </c>
      <c r="FZ644" s="176">
        <f>(FZ641-((FZ534*(1-(FZ538/100))/FZ636)))</f>
        <v>3.7156777691244649</v>
      </c>
      <c r="GA644" s="72">
        <f>IF(ISERROR(FZ644/FX644),"NA",IF(OR(FZ644/FX644&gt;2,FZ644/FX644&lt;0.5),"NM",FZ644/FX644*100-100))</f>
        <v>77.351685500017169</v>
      </c>
      <c r="GB644" s="176">
        <f>(GB641-((GB534*(1-(GB538/100))/GB636)))</f>
        <v>5.0015532109440137</v>
      </c>
      <c r="GC644" s="72">
        <f>IF(ISERROR(GB644/FZ644),"NA",IF(OR(GB644/FZ644&gt;2,GB644/FZ644&lt;0.5),"NM",GB644/FZ644*100-100))</f>
        <v>34.606753376317215</v>
      </c>
      <c r="GD644" s="191">
        <f>GD641-(GD534*0.65/GD636)-0.07</f>
        <v>5.6579019390288998</v>
      </c>
      <c r="GE644" s="72">
        <f>IF(ISERROR(GD644/GB644),"NA",IF(OR(GD644/GB644&gt;2,GD644/GB644&lt;0.5),"NM",GD644/GB644*100-100))</f>
        <v>13.122898035928415</v>
      </c>
      <c r="GF644" s="176">
        <f>GF561/GF636</f>
        <v>9.1956971013724758</v>
      </c>
      <c r="GG644" s="72">
        <f>IF(ISERROR(GF644/GD644),"NA",IF(OR(GF644/GD644&gt;2,GF644/GD644&lt;0.5),"NM",GF644/GD644*100-100))</f>
        <v>62.528393041587236</v>
      </c>
      <c r="GH644" s="176">
        <f>GH561/GH636</f>
        <v>9.7045114389565974</v>
      </c>
      <c r="GI644" s="72">
        <f t="shared" ref="GI644:GU644" si="2992">IF(ISERROR(GH644/GF644),"NA",IF(OR(GH644/GF644&gt;2,GH644/GF644&lt;0.5),"NM",GH644/GF644*100-100))</f>
        <v>5.5331785287727797</v>
      </c>
      <c r="GJ644" s="176">
        <f>GJ641-(GJ534*0.65/GJ636)</f>
        <v>9.8713876735267121</v>
      </c>
      <c r="GK644" s="72">
        <f t="shared" si="2992"/>
        <v>1.7195737840055187</v>
      </c>
      <c r="GL644" s="176">
        <f>GL641-(GL534*0.65/GL636)</f>
        <v>9.7235064209938571</v>
      </c>
      <c r="GM644" s="72">
        <f t="shared" si="2992"/>
        <v>-1.4980796765731981</v>
      </c>
      <c r="GN644" s="176">
        <f>GN641-(GN534*0.65/GN636)</f>
        <v>11.321907754409303</v>
      </c>
      <c r="GO644" s="72">
        <f t="shared" si="2992"/>
        <v>16.438528080408972</v>
      </c>
      <c r="GP644" s="176">
        <f>GP641-(GP534*0.65/GP636)</f>
        <v>12.199348634086146</v>
      </c>
      <c r="GQ644" s="72">
        <f t="shared" si="2992"/>
        <v>7.7499384265441051</v>
      </c>
      <c r="GR644" s="176">
        <f>GR641-(GR534*0.65/GR636)</f>
        <v>12.751069324888016</v>
      </c>
      <c r="GS644" s="72">
        <f t="shared" si="2992"/>
        <v>4.5225422057396685</v>
      </c>
      <c r="GT644" s="176">
        <f>GT641-(GT534*0.65/GT636)</f>
        <v>13.303162843222088</v>
      </c>
      <c r="GU644" s="72">
        <f t="shared" si="2992"/>
        <v>4.3297821089912389</v>
      </c>
      <c r="GV644" s="176">
        <f>GV641-(GV534*0.65/GV636)</f>
        <v>13.853522114260759</v>
      </c>
      <c r="GW644" s="72">
        <f>IF(ISERROR(GV644/GT644),"NA",IF(OR(GV644/GT644&gt;2,GV644/GT644&lt;0.5),"NM",GV644/GT644*100-100))</f>
        <v>4.1370558078906612</v>
      </c>
      <c r="GX644" s="176">
        <f>GX641-(GX534*0.65/GX636)</f>
        <v>14.450625194663479</v>
      </c>
      <c r="GY644" s="72">
        <f>IF(ISERROR(GX644/GV644),"NA",IF(OR(GX644/GV644&gt;2,GX644/GV644&lt;0.5),"NM",GX644/GV644*100-100))</f>
        <v>4.3101174955938717</v>
      </c>
      <c r="GZ644" s="72">
        <f>IF(ISERROR(((GX644/GN644)^0.2-1)*100),"NA",IF((((GX644/GN644)^0.2-1)*100)&gt;100,"NM",IF((((GX644/GN644)^0.2-1)*100)&lt;-50,"NM",((GX644/GN644)^0.2-1)*100)))</f>
        <v>5.0009926899179602</v>
      </c>
      <c r="HA644" s="72"/>
      <c r="HB644" s="72"/>
      <c r="HC644"/>
      <c r="HD644"/>
      <c r="HE644"/>
      <c r="HF644"/>
      <c r="HG644"/>
      <c r="HH644"/>
      <c r="HI644" s="2"/>
    </row>
    <row r="645" spans="1:217" s="193" customFormat="1" ht="12.75" customHeight="1" x14ac:dyDescent="0.2">
      <c r="A645" s="94"/>
      <c r="B645" s="190" t="s">
        <v>471</v>
      </c>
      <c r="C645" s="191"/>
      <c r="D645" s="192"/>
      <c r="E645" s="191"/>
      <c r="F645" s="192"/>
      <c r="G645" s="191"/>
      <c r="H645" s="192"/>
      <c r="I645" s="191"/>
      <c r="J645" s="192"/>
      <c r="K645" s="191"/>
      <c r="L645" s="72"/>
      <c r="M645" s="191"/>
      <c r="N645" s="72"/>
      <c r="O645" s="191"/>
      <c r="P645" s="72"/>
      <c r="Q645" s="191"/>
      <c r="R645" s="72"/>
      <c r="S645" s="191"/>
      <c r="T645" s="72"/>
      <c r="U645" s="191"/>
      <c r="V645" s="72"/>
      <c r="W645" s="191"/>
      <c r="X645" s="72"/>
      <c r="Y645" s="191"/>
      <c r="Z645" s="72"/>
      <c r="AA645" s="191"/>
      <c r="AB645" s="72"/>
      <c r="AC645" s="191"/>
      <c r="AD645" s="72"/>
      <c r="AE645" s="191"/>
      <c r="AF645" s="72"/>
      <c r="AG645" s="191"/>
      <c r="AH645" s="72"/>
      <c r="AI645" s="191"/>
      <c r="AJ645" s="72"/>
      <c r="AK645" s="191"/>
      <c r="AL645" s="72"/>
      <c r="AM645" s="191"/>
      <c r="AN645" s="72"/>
      <c r="AO645" s="191"/>
      <c r="AP645" s="72"/>
      <c r="AQ645" s="191"/>
      <c r="AR645" s="72"/>
      <c r="AS645" s="191"/>
      <c r="AT645" s="72"/>
      <c r="AU645" s="191"/>
      <c r="AV645" s="72"/>
      <c r="AW645" s="191"/>
      <c r="AX645" s="72"/>
      <c r="AY645" s="191"/>
      <c r="AZ645" s="72"/>
      <c r="BA645" s="191"/>
      <c r="BB645" s="72"/>
      <c r="BC645" s="191"/>
      <c r="BD645" s="72"/>
      <c r="BE645" s="191"/>
      <c r="BF645" s="72"/>
      <c r="BG645" s="191"/>
      <c r="BH645" s="72"/>
      <c r="BI645" s="191"/>
      <c r="BJ645" s="72"/>
      <c r="BK645" s="191"/>
      <c r="BL645" s="72"/>
      <c r="BM645" s="191"/>
      <c r="BN645" s="72"/>
      <c r="BO645" s="191"/>
      <c r="BP645" s="72"/>
      <c r="BQ645" s="191"/>
      <c r="BR645" s="72"/>
      <c r="BS645" s="191"/>
      <c r="BT645" s="72"/>
      <c r="BU645" s="191"/>
      <c r="BV645" s="72"/>
      <c r="BW645" s="191"/>
      <c r="BX645" s="72"/>
      <c r="BY645" s="191"/>
      <c r="BZ645" s="72"/>
      <c r="CA645" s="191"/>
      <c r="CB645" s="72"/>
      <c r="CC645" s="191"/>
      <c r="CD645" s="72"/>
      <c r="CE645" s="176"/>
      <c r="CF645" s="72"/>
      <c r="CG645" s="176"/>
      <c r="CH645" s="72"/>
      <c r="CI645" s="176"/>
      <c r="CJ645" s="72"/>
      <c r="CK645" s="176"/>
      <c r="CL645" s="72"/>
      <c r="CM645" s="369"/>
      <c r="CN645" s="72"/>
      <c r="CO645" s="176"/>
      <c r="CP645" s="72"/>
      <c r="CQ645" s="176"/>
      <c r="CR645" s="72"/>
      <c r="CS645" s="176"/>
      <c r="CT645" s="72"/>
      <c r="CU645" s="176"/>
      <c r="CV645" s="72"/>
      <c r="CW645" s="176"/>
      <c r="CX645" s="72"/>
      <c r="CY645" s="176"/>
      <c r="CZ645" s="72"/>
      <c r="DA645" s="191"/>
      <c r="DB645" s="72"/>
      <c r="DC645" s="176"/>
      <c r="DD645" s="72"/>
      <c r="DE645" s="176"/>
      <c r="DF645" s="72"/>
      <c r="DG645" s="176">
        <f>DG564/DG636</f>
        <v>2.2950211864406778</v>
      </c>
      <c r="DH645" s="72"/>
      <c r="DI645" s="176">
        <f>DI564/DI636</f>
        <v>2.1849533106960952</v>
      </c>
      <c r="DJ645" s="72"/>
      <c r="DK645" s="176">
        <f>DK564/DK636</f>
        <v>2.3412026254499256</v>
      </c>
      <c r="DL645" s="72"/>
      <c r="DM645" s="176">
        <f>DM564/DM636</f>
        <v>2.3755310110450294</v>
      </c>
      <c r="DN645" s="72" t="str">
        <f>IF(ISERROR(DM645/DE645),"NA",IF(OR(DM645/DE645&gt;2,DM645/DE645&lt;0.5),"NM",DM645/DE645*100-100))</f>
        <v>NA</v>
      </c>
      <c r="DO645" s="176">
        <f>DO564/DO636</f>
        <v>2.3610874200426437</v>
      </c>
      <c r="DP645" s="72">
        <f>IF(ISERROR(DO645/DG645),"NA",IF(OR(DO645/DG645&gt;2,DO645/DG645&lt;0.5),"NM",DO645/DG645*100-100))</f>
        <v>2.8786764145052359</v>
      </c>
      <c r="DQ645" s="176">
        <f>DQ564/DQ636</f>
        <v>2.1683443992289573</v>
      </c>
      <c r="DR645" s="72">
        <f>IF(ISERROR(DQ645/DI645),"NA",IF(OR(DQ645/DI645&gt;2,DQ645/DI645&lt;0.5),"NM",DQ645/DI645*100-100))</f>
        <v>-0.76014949087614525</v>
      </c>
      <c r="DS645" s="176">
        <f>DS564/DS636</f>
        <v>2.4354734807816194</v>
      </c>
      <c r="DT645" s="72">
        <f>IF(ISERROR(DS645/DK645),"NA",IF(OR(DS645/DK645&gt;2,DS645/DK645&lt;0.5),"NM",DS645/DK645*100-100))</f>
        <v>4.0265995906090097</v>
      </c>
      <c r="DU645" s="176">
        <f>DU564/DU636</f>
        <v>2.5367853290183384</v>
      </c>
      <c r="DV645" s="72">
        <f>IF(ISERROR(DU645/DM645),"NA",IF(OR(DU645/DM645&gt;2,DU645/DM645&lt;0.5),"NM",DU645/DM645*100-100))</f>
        <v>6.7881377773456535</v>
      </c>
      <c r="DW645" s="176">
        <f>DW564/DW636</f>
        <v>2.4985936823885764</v>
      </c>
      <c r="DX645" s="72">
        <f>IF(ISERROR(DW645/DO645),"NA",IF(OR(DW645/DO645&gt;2,DW645/DO645&lt;0.5),"NM",DW645/DO645*100-100))</f>
        <v>5.8238530762850331</v>
      </c>
      <c r="DY645" s="176">
        <f>DY564/DY636</f>
        <v>2.3437160252228746</v>
      </c>
      <c r="DZ645" s="72">
        <f>IF(ISERROR(DY645/DQ645),"NA",IF(OR(DY645/DQ645&gt;2,DY645/DQ645&lt;0.5),"NM",DY645/DQ645*100-100))</f>
        <v>8.0878123445831562</v>
      </c>
      <c r="EA645" s="176">
        <f>EA564/EA636</f>
        <v>2.4898382867132871</v>
      </c>
      <c r="EB645" s="72">
        <f>IF(ISERROR(EA645/DS645),"NA",IF(OR(EA645/DS645&gt;2,EA645/DS645&lt;0.5),"NM",EA645/DS645*100-100))</f>
        <v>2.2322068526166277</v>
      </c>
      <c r="EC645" s="176">
        <f>EC564/EC636</f>
        <v>2.4555975962608501</v>
      </c>
      <c r="ED645" s="72">
        <f>IF(ISERROR(EC645/DU645),"NA",IF(OR(EC645/DU645&gt;2,EC645/DU645&lt;0.5),"NM",EC645/DU645*100-100))</f>
        <v>-3.2004179395386814</v>
      </c>
      <c r="EE645" s="176">
        <f>EE564/EE636</f>
        <v>2.4544226873733961</v>
      </c>
      <c r="EF645" s="72">
        <f>IF(ISERROR(EE645/DW645),"NA",IF(OR(EE645/DW645&gt;2,EE645/DW645&lt;0.5),"NM",EE645/DW645*100-100))</f>
        <v>-1.7678342551860737</v>
      </c>
      <c r="EG645" s="176">
        <f>EG564/EG636</f>
        <v>2.3249204183719874</v>
      </c>
      <c r="EH645" s="72">
        <f>IF(ISERROR(EG645/DY645),"NA",IF(OR(EG645/DY645&gt;2,EG645/DY645&lt;0.5),"NM",EG645/DY645*100-100))</f>
        <v>-0.801957517404432</v>
      </c>
      <c r="EI645" s="176">
        <f>EI564/EI636</f>
        <v>2.7256661352767027</v>
      </c>
      <c r="EJ645" s="72">
        <f>IF(ISERROR(EI645/EA645),"NA",IF(OR(EI645/EA645&gt;2,EI645/EA645&lt;0.5),"NM",EI645/EA645*100-100))</f>
        <v>9.4716130690849099</v>
      </c>
      <c r="EK645" s="176">
        <f>EK564/EK636</f>
        <v>2.7712469124508279</v>
      </c>
      <c r="EL645" s="72">
        <f>IF(ISERROR(EK645/EC645),"NA",IF(OR(EK645/EC645&gt;2,EK645/EC645&lt;0.5),"NM",EK645/EC645*100-100))</f>
        <v>12.854276965844022</v>
      </c>
      <c r="EM645" s="176">
        <f>EM564/EM636</f>
        <v>2.904712643678161</v>
      </c>
      <c r="EN645" s="72">
        <f>IF(ISERROR(EM645/EE645),"NA",IF(OR(EM645/EE645&gt;2,EM645/EE645&lt;0.5),"NM",EM645/EE645*100-100))</f>
        <v>18.346063969390826</v>
      </c>
      <c r="EO645" s="176">
        <f>EO564/EO636</f>
        <v>2.6118557892304142</v>
      </c>
      <c r="EP645" s="72">
        <f>IF(ISERROR(EO645/EG645),"NA",IF(OR(EO645/EG645&gt;2,EO645/EG645&lt;0.5),"NM",EO645/EG645*100-100))</f>
        <v>12.341728714282254</v>
      </c>
      <c r="EQ645" s="176"/>
      <c r="ER645" s="72" t="str">
        <f t="shared" si="2988"/>
        <v>NM</v>
      </c>
      <c r="ES645" s="176"/>
      <c r="ET645" s="72" t="str">
        <f t="shared" si="2989"/>
        <v>NM</v>
      </c>
      <c r="EU645" s="176"/>
      <c r="EV645" s="72" t="str">
        <f t="shared" si="2990"/>
        <v>NM</v>
      </c>
      <c r="EW645" s="176"/>
      <c r="EX645" s="72" t="str">
        <f t="shared" si="2991"/>
        <v>NM</v>
      </c>
      <c r="EY645" s="72"/>
      <c r="EZ645" s="339"/>
      <c r="FA645" s="72"/>
      <c r="FB645" s="179"/>
      <c r="FC645" s="192"/>
      <c r="FD645" s="179"/>
      <c r="FE645" s="72"/>
      <c r="FF645" s="179"/>
      <c r="FG645" s="72"/>
      <c r="FH645" s="179"/>
      <c r="FI645" s="72"/>
      <c r="FJ645" s="179"/>
      <c r="FK645" s="72"/>
      <c r="FL645" s="179"/>
      <c r="FM645" s="72"/>
      <c r="FN645" s="15"/>
      <c r="FO645" s="72"/>
      <c r="FP645" s="176"/>
      <c r="FQ645" s="72"/>
      <c r="FR645" s="176"/>
      <c r="FS645" s="72"/>
      <c r="FT645" s="176"/>
      <c r="FU645" s="72"/>
      <c r="FV645" s="176"/>
      <c r="FW645" s="72"/>
      <c r="FX645" s="176"/>
      <c r="FY645" s="72"/>
      <c r="FZ645" s="176"/>
      <c r="GA645" s="72"/>
      <c r="GB645" s="176"/>
      <c r="GC645" s="72"/>
      <c r="GD645" s="191"/>
      <c r="GE645" s="72"/>
      <c r="GF645" s="176">
        <f>GF564/GF636</f>
        <v>8.8099199830427644</v>
      </c>
      <c r="GG645" s="72"/>
      <c r="GH645" s="176">
        <f>GH564/GH636</f>
        <v>9.1902929228137697</v>
      </c>
      <c r="GI645" s="72"/>
      <c r="GJ645" s="176"/>
      <c r="GK645" s="72"/>
      <c r="GL645" s="176"/>
      <c r="GM645" s="72"/>
      <c r="GN645" s="176"/>
      <c r="GO645" s="72"/>
      <c r="GP645" s="176"/>
      <c r="GQ645" s="72"/>
      <c r="GR645" s="176"/>
      <c r="GS645" s="72"/>
      <c r="GT645" s="176"/>
      <c r="GU645" s="72"/>
      <c r="GV645" s="176"/>
      <c r="GW645" s="72"/>
      <c r="GX645" s="176"/>
      <c r="GY645" s="72"/>
      <c r="GZ645" s="72"/>
      <c r="HA645" s="72"/>
      <c r="HB645" s="72"/>
      <c r="HC645"/>
      <c r="HD645"/>
      <c r="HE645"/>
      <c r="HF645"/>
      <c r="HG645"/>
      <c r="HH645"/>
      <c r="HI645" s="2"/>
    </row>
    <row r="646" spans="1:217" s="193" customFormat="1" ht="12.75" customHeight="1" x14ac:dyDescent="0.2">
      <c r="A646" s="94"/>
      <c r="B646" s="190"/>
      <c r="C646" s="191"/>
      <c r="D646" s="192"/>
      <c r="E646" s="191"/>
      <c r="F646" s="192"/>
      <c r="G646" s="191"/>
      <c r="H646" s="192"/>
      <c r="I646" s="191"/>
      <c r="J646" s="192"/>
      <c r="K646" s="191"/>
      <c r="L646" s="72"/>
      <c r="M646" s="191"/>
      <c r="N646" s="72"/>
      <c r="O646" s="191"/>
      <c r="P646" s="72"/>
      <c r="Q646" s="191"/>
      <c r="R646" s="72"/>
      <c r="S646" s="191"/>
      <c r="T646" s="72"/>
      <c r="U646" s="191"/>
      <c r="V646" s="72"/>
      <c r="W646" s="191"/>
      <c r="X646" s="72"/>
      <c r="Y646" s="191"/>
      <c r="Z646" s="72"/>
      <c r="AA646" s="191"/>
      <c r="AB646" s="72"/>
      <c r="AC646" s="191"/>
      <c r="AD646" s="72"/>
      <c r="AE646" s="191"/>
      <c r="AF646" s="72"/>
      <c r="AG646" s="191"/>
      <c r="AH646" s="72"/>
      <c r="AI646" s="191"/>
      <c r="AJ646" s="72"/>
      <c r="AK646" s="191"/>
      <c r="AL646" s="72"/>
      <c r="AM646" s="191"/>
      <c r="AN646" s="72"/>
      <c r="AO646" s="191"/>
      <c r="AP646" s="72"/>
      <c r="AQ646" s="191"/>
      <c r="AR646" s="72"/>
      <c r="AS646" s="191"/>
      <c r="AT646" s="72"/>
      <c r="AU646" s="191"/>
      <c r="AV646" s="72"/>
      <c r="AW646" s="191"/>
      <c r="AX646" s="72"/>
      <c r="AY646" s="191"/>
      <c r="AZ646" s="72"/>
      <c r="BA646" s="191"/>
      <c r="BB646" s="72"/>
      <c r="BC646" s="191"/>
      <c r="BD646" s="72"/>
      <c r="BE646" s="191"/>
      <c r="BF646" s="72"/>
      <c r="BG646" s="191"/>
      <c r="BH646" s="72"/>
      <c r="BI646" s="191"/>
      <c r="BJ646" s="72"/>
      <c r="BK646" s="191"/>
      <c r="BL646" s="72"/>
      <c r="BM646" s="191"/>
      <c r="BN646" s="72"/>
      <c r="BO646" s="191"/>
      <c r="BP646" s="72"/>
      <c r="BQ646" s="191"/>
      <c r="BR646" s="72"/>
      <c r="BS646" s="191"/>
      <c r="BT646" s="72"/>
      <c r="BU646" s="191"/>
      <c r="BV646" s="72"/>
      <c r="BW646" s="191"/>
      <c r="BX646" s="72"/>
      <c r="BY646" s="191"/>
      <c r="BZ646" s="72"/>
      <c r="CA646" s="191"/>
      <c r="CB646" s="72"/>
      <c r="CC646" s="191"/>
      <c r="CD646" s="72"/>
      <c r="CE646" s="176"/>
      <c r="CF646" s="72"/>
      <c r="CG646" s="176"/>
      <c r="CH646" s="72"/>
      <c r="CI646" s="176"/>
      <c r="CJ646" s="72"/>
      <c r="CK646" s="176"/>
      <c r="CL646" s="72"/>
      <c r="CM646" s="369"/>
      <c r="CN646" s="72"/>
      <c r="CO646" s="176"/>
      <c r="CP646" s="72"/>
      <c r="CQ646" s="176"/>
      <c r="CR646" s="72"/>
      <c r="CS646" s="176"/>
      <c r="CT646" s="72"/>
      <c r="CU646" s="176"/>
      <c r="CV646" s="72"/>
      <c r="CW646" s="176"/>
      <c r="CX646" s="72"/>
      <c r="CY646" s="176"/>
      <c r="CZ646" s="72"/>
      <c r="DA646" s="191"/>
      <c r="DB646" s="72"/>
      <c r="DC646" s="176"/>
      <c r="DD646" s="72"/>
      <c r="DE646" s="176"/>
      <c r="DF646" s="72"/>
      <c r="DG646" s="176"/>
      <c r="DH646" s="72"/>
      <c r="DI646" s="176"/>
      <c r="DJ646" s="72"/>
      <c r="DK646" s="176"/>
      <c r="DL646" s="72"/>
      <c r="DM646" s="176"/>
      <c r="DN646" s="72"/>
      <c r="DO646" s="176"/>
      <c r="DP646" s="72"/>
      <c r="DQ646" s="176"/>
      <c r="DR646" s="72"/>
      <c r="DS646" s="176"/>
      <c r="DT646" s="72"/>
      <c r="DU646" s="176"/>
      <c r="DV646" s="72"/>
      <c r="DW646" s="176"/>
      <c r="DX646" s="72"/>
      <c r="DY646" s="176"/>
      <c r="DZ646" s="72"/>
      <c r="EA646" s="176"/>
      <c r="EB646" s="72"/>
      <c r="EC646" s="176"/>
      <c r="ED646" s="72"/>
      <c r="EE646" s="176"/>
      <c r="EF646" s="72"/>
      <c r="EG646" s="176"/>
      <c r="EH646" s="72"/>
      <c r="EI646" s="176"/>
      <c r="EJ646" s="72"/>
      <c r="EK646" s="176"/>
      <c r="EL646" s="72"/>
      <c r="EM646" s="176"/>
      <c r="EN646" s="72"/>
      <c r="EO646" s="176"/>
      <c r="EP646" s="72"/>
      <c r="EQ646" s="176"/>
      <c r="ER646" s="72"/>
      <c r="ES646" s="176"/>
      <c r="ET646" s="72"/>
      <c r="EU646" s="176"/>
      <c r="EV646" s="72"/>
      <c r="EW646" s="176"/>
      <c r="EX646" s="72"/>
      <c r="EY646" s="72"/>
      <c r="EZ646" s="339"/>
      <c r="FA646" s="72"/>
      <c r="FB646" s="179"/>
      <c r="FC646" s="192"/>
      <c r="FD646" s="179"/>
      <c r="FE646" s="72"/>
      <c r="FF646" s="179"/>
      <c r="FG646" s="72"/>
      <c r="FH646" s="179"/>
      <c r="FI646" s="72"/>
      <c r="FJ646" s="179"/>
      <c r="FK646" s="72"/>
      <c r="FL646" s="179"/>
      <c r="FM646" s="72"/>
      <c r="FN646" s="15"/>
      <c r="FO646" s="72"/>
      <c r="FP646" s="176"/>
      <c r="FQ646" s="72"/>
      <c r="FR646" s="176"/>
      <c r="FS646" s="72"/>
      <c r="FT646" s="176"/>
      <c r="FU646" s="72"/>
      <c r="FV646" s="176"/>
      <c r="FW646" s="72"/>
      <c r="FX646" s="176"/>
      <c r="FY646" s="72"/>
      <c r="FZ646" s="176"/>
      <c r="GA646" s="72"/>
      <c r="GB646" s="176"/>
      <c r="GC646" s="72"/>
      <c r="GD646" s="191"/>
      <c r="GE646" s="72"/>
      <c r="GF646" s="176"/>
      <c r="GG646" s="72"/>
      <c r="GH646" s="176"/>
      <c r="GI646" s="72"/>
      <c r="GJ646" s="176"/>
      <c r="GK646" s="72"/>
      <c r="GL646" s="176"/>
      <c r="GM646" s="72"/>
      <c r="GN646" s="176"/>
      <c r="GO646" s="72"/>
      <c r="GP646" s="176"/>
      <c r="GQ646" s="72"/>
      <c r="GR646" s="176"/>
      <c r="GS646" s="72"/>
      <c r="GT646" s="176"/>
      <c r="GU646" s="72"/>
      <c r="GV646" s="176"/>
      <c r="GW646" s="72"/>
      <c r="GX646" s="176"/>
      <c r="GY646" s="72"/>
      <c r="GZ646" s="72"/>
      <c r="HA646" s="72"/>
      <c r="HB646" s="72"/>
      <c r="HC646"/>
      <c r="HD646"/>
      <c r="HE646"/>
      <c r="HF646"/>
      <c r="HG646"/>
      <c r="HH646"/>
      <c r="HI646" s="2"/>
    </row>
    <row r="647" spans="1:217" s="365" customFormat="1" ht="12.75" customHeight="1" x14ac:dyDescent="0.2">
      <c r="A647" s="358"/>
      <c r="B647" s="359" t="s">
        <v>169</v>
      </c>
      <c r="C647" s="360"/>
      <c r="D647" s="361"/>
      <c r="E647" s="360"/>
      <c r="F647" s="361"/>
      <c r="G647" s="360"/>
      <c r="H647" s="361"/>
      <c r="I647" s="360"/>
      <c r="J647" s="361"/>
      <c r="K647" s="360"/>
      <c r="L647" s="223"/>
      <c r="M647" s="360"/>
      <c r="N647" s="223"/>
      <c r="O647" s="360"/>
      <c r="P647" s="223"/>
      <c r="Q647" s="360"/>
      <c r="R647" s="223"/>
      <c r="S647" s="360"/>
      <c r="T647" s="223"/>
      <c r="U647" s="360"/>
      <c r="V647" s="223"/>
      <c r="W647" s="360"/>
      <c r="X647" s="223"/>
      <c r="Y647" s="360"/>
      <c r="Z647" s="223"/>
      <c r="AA647" s="360"/>
      <c r="AB647" s="223"/>
      <c r="AC647" s="360"/>
      <c r="AD647" s="223"/>
      <c r="AE647" s="360"/>
      <c r="AF647" s="223"/>
      <c r="AG647" s="360"/>
      <c r="AH647" s="223"/>
      <c r="AI647" s="360"/>
      <c r="AJ647" s="223"/>
      <c r="AK647" s="360"/>
      <c r="AL647" s="223"/>
      <c r="AM647" s="360"/>
      <c r="AN647" s="223"/>
      <c r="AO647" s="360"/>
      <c r="AP647" s="223"/>
      <c r="AQ647" s="360"/>
      <c r="AR647" s="223"/>
      <c r="AS647" s="360"/>
      <c r="AT647" s="223"/>
      <c r="AU647" s="360"/>
      <c r="AV647" s="223"/>
      <c r="AW647" s="360"/>
      <c r="AX647" s="223"/>
      <c r="AY647" s="362">
        <f>AY640</f>
        <v>1.2318984328506248</v>
      </c>
      <c r="AZ647" s="362"/>
      <c r="BA647" s="362">
        <f>BA640</f>
        <v>1.3357473345403339</v>
      </c>
      <c r="BB647" s="362"/>
      <c r="BC647" s="362">
        <f>BC640</f>
        <v>1.6146788990825689</v>
      </c>
      <c r="BD647" s="362"/>
      <c r="BE647" s="362">
        <f>BE640</f>
        <v>1.5202982601491299</v>
      </c>
      <c r="BF647" s="362"/>
      <c r="BG647" s="362">
        <f>BG640</f>
        <v>1.6733752620545073</v>
      </c>
      <c r="BH647" s="362"/>
      <c r="BI647" s="362">
        <f>BI640</f>
        <v>1.7245762711864407</v>
      </c>
      <c r="BJ647" s="362"/>
      <c r="BK647" s="362">
        <f>BK640</f>
        <v>1.9978494623655914</v>
      </c>
      <c r="BL647" s="362"/>
      <c r="BM647" s="362">
        <f>BM640</f>
        <v>1.7233115468409586</v>
      </c>
      <c r="BN647" s="362"/>
      <c r="BO647" s="362">
        <f>BO640</f>
        <v>1.5290178571428572</v>
      </c>
      <c r="BP647" s="362"/>
      <c r="BQ647" s="362">
        <f>BQ640</f>
        <v>1.9315068493150684</v>
      </c>
      <c r="BR647" s="362"/>
      <c r="BS647" s="362">
        <f>BS640</f>
        <v>0.99534883720930234</v>
      </c>
      <c r="BT647" s="362"/>
      <c r="BU647" s="362">
        <f>BU640</f>
        <v>-2.0249882131070249</v>
      </c>
      <c r="BV647" s="362"/>
      <c r="BW647" s="362">
        <f>BW640</f>
        <v>0.47258979206049151</v>
      </c>
      <c r="BX647" s="362"/>
      <c r="BY647" s="362">
        <f>BY640</f>
        <v>1.9825005756389591</v>
      </c>
      <c r="BZ647" s="362"/>
      <c r="CA647" s="362">
        <f>CA640</f>
        <v>1.7649591046061126</v>
      </c>
      <c r="CB647" s="362"/>
      <c r="CC647" s="362">
        <f>CC640</f>
        <v>1.1886030193493515</v>
      </c>
      <c r="CD647" s="362"/>
      <c r="CE647" s="362">
        <f>CE640</f>
        <v>1.3573700954400849</v>
      </c>
      <c r="CF647" s="362"/>
      <c r="CG647" s="362">
        <f>CG640</f>
        <v>0.82188886541305728</v>
      </c>
      <c r="CH647" s="362"/>
      <c r="CI647" s="362">
        <f>CI640</f>
        <v>1.9082840236686391</v>
      </c>
      <c r="CJ647" s="362"/>
      <c r="CK647" s="362">
        <f>CK640</f>
        <v>1.6277145811789038</v>
      </c>
      <c r="CL647" s="362"/>
      <c r="CM647" s="372">
        <f>CM640</f>
        <v>1.6197610852399271</v>
      </c>
      <c r="CN647" s="362"/>
      <c r="CO647" s="362">
        <f>CO640</f>
        <v>1.5662894098625706</v>
      </c>
      <c r="CP647" s="362"/>
      <c r="CQ647" s="362">
        <f>CQ640</f>
        <v>0.83793173921929287</v>
      </c>
      <c r="CR647" s="362"/>
      <c r="CS647" s="362">
        <f>CS640</f>
        <v>1.7840670859538783</v>
      </c>
      <c r="CT647" s="362"/>
      <c r="CU647" s="362">
        <f>CU640</f>
        <v>1.6544502617801047</v>
      </c>
      <c r="CV647" s="362"/>
      <c r="CW647" s="362">
        <f>CW640</f>
        <v>1.3875395987328405</v>
      </c>
      <c r="CX647" s="362"/>
      <c r="CY647" s="362">
        <f>CY640</f>
        <v>1.6023738872403561</v>
      </c>
      <c r="CZ647" s="362"/>
      <c r="DA647" s="362">
        <f>DA640</f>
        <v>1.7620770376675889</v>
      </c>
      <c r="DB647" s="362"/>
      <c r="DC647" s="362">
        <f>DC640</f>
        <v>2.2662709349162604</v>
      </c>
      <c r="DD647" s="362"/>
      <c r="DE647" s="362">
        <f>DE640</f>
        <v>2.3041084286319355</v>
      </c>
      <c r="DF647" s="362"/>
      <c r="DG647" s="362">
        <f>DG640</f>
        <v>2.8940677966101696</v>
      </c>
      <c r="DH647" s="362"/>
      <c r="DI647" s="362">
        <f>DI640</f>
        <v>2.2028862478777591</v>
      </c>
      <c r="DJ647" s="362"/>
      <c r="DK647" s="362">
        <f>DK640</f>
        <v>2.4031336015244547</v>
      </c>
      <c r="DL647" s="362"/>
      <c r="DM647" s="362">
        <f>DM640</f>
        <v>2.4915038232795244</v>
      </c>
      <c r="DN647" s="692">
        <f>IF(ISERROR(DM647/DE647),"NA",IF(OR(DM647/DE647&gt;2,DM647/DE647&lt;0.5),"NM",DM647/DE647*100-100))</f>
        <v>8.1330979184367038</v>
      </c>
      <c r="DO647" s="362">
        <f>DO640</f>
        <v>2.1982942430703623</v>
      </c>
      <c r="DP647" s="692">
        <f>IF(ISERROR(DO647/DG647),"NA",IF(OR(DO647/DG647&gt;2,DO647/DG647&lt;0.5),"NM",DO647/DG647*100-100))</f>
        <v>-24.04137022480154</v>
      </c>
      <c r="DQ647" s="362">
        <f>DQ640</f>
        <v>2.118226600985222</v>
      </c>
      <c r="DR647" s="692">
        <f>IF(ISERROR(DQ647/DI647),"NA",IF(OR(DQ647/DI647&gt;2,DQ647/DI647&lt;0.5),"NM",DQ647/DI647*100-100))</f>
        <v>-3.8431238550831921</v>
      </c>
      <c r="DS647" s="362">
        <f>DS640</f>
        <v>2.7872020614129269</v>
      </c>
      <c r="DT647" s="692">
        <f>IF(ISERROR(DS647/DK647),"NA",IF(OR(DS647/DK647&gt;2,DS647/DK647&lt;0.5),"NM",DS647/DK647*100-100))</f>
        <v>15.981985339676257</v>
      </c>
      <c r="DU647" s="362">
        <f>DU640</f>
        <v>2.912621359223301</v>
      </c>
      <c r="DV647" s="692">
        <f>IF(ISERROR(DU647/DM647),"NA",IF(OR(DU647/DM647&gt;2,DU647/DM647&lt;0.5),"NM",DU647/DM647*100-100))</f>
        <v>16.902142874878948</v>
      </c>
      <c r="DW647" s="362">
        <f>DW640</f>
        <v>2.4015577672003463</v>
      </c>
      <c r="DX647" s="692">
        <f>IF(ISERROR(DW647/DO647),"NA",IF(OR(DW647/DO647&gt;2,DW647/DO647&lt;0.5),"NM",DW647/DO647*100-100))</f>
        <v>9.2464202538276083</v>
      </c>
      <c r="DY647" s="362">
        <f>DY640</f>
        <v>1.9373776908023483</v>
      </c>
      <c r="DZ647" s="692">
        <f>IF(ISERROR(DY647/DQ647),"NA",IF(OR(DY647/DQ647&gt;2,DY647/DQ647&lt;0.5),"NM",DY647/DQ647*100-100))</f>
        <v>-8.5377508760751937</v>
      </c>
      <c r="EA647" s="362">
        <f>EA640</f>
        <v>2.1787587412587412</v>
      </c>
      <c r="EB647" s="692">
        <f>IF(ISERROR(EA647/DS647),"NA",IF(OR(EA647/DS647&gt;2,EA647/DS647&lt;0.5),"NM",EA647/DS647*100-100))</f>
        <v>-21.829896317088156</v>
      </c>
      <c r="EC647" s="362">
        <f>EC640</f>
        <v>1.8450923659025149</v>
      </c>
      <c r="ED647" s="692">
        <f>IF(ISERROR(EC647/DU647),"NA",IF(OR(EC647/DU647&gt;2,EC647/DU647&lt;0.5),"NM",EC647/DU647*100-100))</f>
        <v>-36.651828770680318</v>
      </c>
      <c r="EE647" s="362">
        <f>EE640</f>
        <v>2.6592392527571458</v>
      </c>
      <c r="EF647" s="692">
        <f>IF(ISERROR(EE647/DW647),"NA",IF(OR(EE647/DW647&gt;2,EE647/DW647&lt;0.5),"NM",EE647/DW647*100-100))</f>
        <v>10.72976420039214</v>
      </c>
      <c r="EG647" s="362">
        <f>EG640</f>
        <v>2.4579354251932695</v>
      </c>
      <c r="EH647" s="692">
        <f>IF(ISERROR(EG647/DY647),"NA",IF(OR(EG647/DY647&gt;2,EG647/DY647&lt;0.5),"NM",EG647/DY647*100-100))</f>
        <v>26.869192148864713</v>
      </c>
      <c r="EI647" s="362">
        <f>EI640</f>
        <v>2.7943520838077887</v>
      </c>
      <c r="EJ647" s="692">
        <f>IF(ISERROR(EI647/EA647),"NA",IF(OR(EI647/EA647&gt;2,EI647/EA647&lt;0.5),"NM",EI647/EA647*100-100))</f>
        <v>28.254314297938237</v>
      </c>
      <c r="EK647" s="362">
        <f>EK640</f>
        <v>2.0903851431707987</v>
      </c>
      <c r="EL647" s="692">
        <f>IF(ISERROR(EK647/EC647),"NA",IF(OR(EK647/EC647&gt;2,EK647/EC647&lt;0.5),"NM",EK647/EC647*100-100))</f>
        <v>13.294335926012053</v>
      </c>
      <c r="EM647" s="362">
        <f>EM640</f>
        <v>3.0137931034482759</v>
      </c>
      <c r="EN647" s="692">
        <f>IF(ISERROR(EM647/EE647),"NA",IF(OR(EM647/EE647&gt;2,EM647/EE647&lt;0.5),"NM",EM647/EE647*100-100))</f>
        <v>13.332905278211513</v>
      </c>
      <c r="EO647" s="362">
        <f>EO640</f>
        <v>2.6854633695400971</v>
      </c>
      <c r="EP647" s="692">
        <f>IF(ISERROR(EO647/EG647),"NA",IF(OR(EO647/EG647&gt;2,EO647/EG647&lt;0.5),"NM",EO647/EG647*100-100))</f>
        <v>9.2568723333704668</v>
      </c>
      <c r="EQ647" s="362">
        <f t="shared" ref="EQ647" si="2993">EQ644</f>
        <v>3.0956473436103349</v>
      </c>
      <c r="ER647" s="692">
        <f t="shared" ref="ER647" si="2994">IF(ISERROR(EQ647/EI647),"NA",IF(OR(EQ647/EI647&gt;2,EQ647/EI647&lt;0.5),"NM",EQ647/EI647*100-100))</f>
        <v>10.782294097742295</v>
      </c>
      <c r="ES647" s="362">
        <f t="shared" ref="ES647" si="2995">ES644</f>
        <v>3.1369010469049265</v>
      </c>
      <c r="ET647" s="692">
        <f t="shared" ref="ET647" si="2996">IF(ISERROR(ES647/EK647),"NA",IF(OR(ES647/EK647&gt;2,ES647/EK647&lt;0.5),"NM",ES647/EK647*100-100))</f>
        <v>50.063305661784483</v>
      </c>
      <c r="EU647" s="362">
        <f t="shared" ref="EU647" si="2997">EU644</f>
        <v>3.1253659827544977</v>
      </c>
      <c r="EV647" s="692">
        <f t="shared" ref="EV647" si="2998">IF(ISERROR(EU647/EM647),"NA",IF(OR(EU647/EM647&gt;2,EU647/EM647&lt;0.5),"NM",EU647/EM647*100-100))</f>
        <v>3.70207494265496</v>
      </c>
      <c r="EW647" s="362">
        <f t="shared" ref="EW647" si="2999">EW644</f>
        <v>2.838428618029682</v>
      </c>
      <c r="EX647" s="692">
        <f t="shared" ref="EX647" si="3000">IF(ISERROR(EW647/EO647),"NA",IF(OR(EW647/EO647&gt;2,EW647/EO647&lt;0.5),"NM",EW647/EO647*100-100))</f>
        <v>5.6960467316216352</v>
      </c>
      <c r="EY647" s="223"/>
      <c r="EZ647" s="339"/>
      <c r="FA647" s="223"/>
      <c r="FB647" s="363"/>
      <c r="FC647" s="361"/>
      <c r="FD647" s="363"/>
      <c r="FE647" s="223"/>
      <c r="FF647" s="363"/>
      <c r="FG647" s="223"/>
      <c r="FH647" s="363"/>
      <c r="FI647" s="223"/>
      <c r="FJ647" s="363"/>
      <c r="FK647" s="223"/>
      <c r="FL647" s="363"/>
      <c r="FM647" s="223"/>
      <c r="FN647" s="364"/>
      <c r="FO647" s="223"/>
      <c r="FP647" s="362"/>
      <c r="FQ647" s="223"/>
      <c r="FR647" s="362">
        <f>FR640</f>
        <v>4.5988654781199347</v>
      </c>
      <c r="FS647" s="362"/>
      <c r="FT647" s="362">
        <f>FT640</f>
        <v>5.8293646556326753</v>
      </c>
      <c r="FU647" s="362"/>
      <c r="FV647" s="362">
        <f>FV640</f>
        <v>-1.552121771217712</v>
      </c>
      <c r="FW647" s="362"/>
      <c r="FX647" s="362">
        <f>FX640</f>
        <v>2.4414193260432939</v>
      </c>
      <c r="FY647" s="362"/>
      <c r="FZ647" s="362">
        <f>FZ640</f>
        <v>4.2724165132789906</v>
      </c>
      <c r="GA647" s="362"/>
      <c r="GB647" s="362">
        <f>GB640</f>
        <v>4.6219948849104862</v>
      </c>
      <c r="GC647" s="362"/>
      <c r="GD647" s="362">
        <f>GD640</f>
        <v>5.1841284936862682</v>
      </c>
      <c r="GE647" s="223"/>
      <c r="GF647" s="362">
        <f>GF640</f>
        <v>10.074717820995177</v>
      </c>
      <c r="GG647" s="223"/>
      <c r="GH647" s="362">
        <f>GH640</f>
        <v>9.2011582688595634</v>
      </c>
      <c r="GI647" s="692">
        <f t="shared" ref="GI647:GU647" si="3001">IF(ISERROR(GH647/GF647),"NA",IF(OR(GH647/GF647&gt;2,GH647/GF647&lt;0.5),"NM",GH647/GF647*100-100))</f>
        <v>-8.6708091249480219</v>
      </c>
      <c r="GJ647" s="362">
        <f>GJ567/GJ636</f>
        <v>10.044833360341382</v>
      </c>
      <c r="GK647" s="692">
        <f t="shared" si="3001"/>
        <v>9.1692270345697295</v>
      </c>
      <c r="GL647" s="362">
        <f>GL567/GL636</f>
        <v>9.1312116136236732</v>
      </c>
      <c r="GM647" s="692">
        <f t="shared" si="3001"/>
        <v>-9.0954395552726055</v>
      </c>
      <c r="GN647" s="362">
        <f>GN567/GN636</f>
        <v>10.582326093438224</v>
      </c>
      <c r="GO647" s="692">
        <f t="shared" si="3001"/>
        <v>15.891806489836497</v>
      </c>
      <c r="GP647" s="362">
        <f>GP567/GP636</f>
        <v>12.199348634086146</v>
      </c>
      <c r="GQ647" s="692">
        <f t="shared" si="3001"/>
        <v>15.280407411094515</v>
      </c>
      <c r="GR647" s="362">
        <f>GR644</f>
        <v>12.751069324888016</v>
      </c>
      <c r="GS647" s="692">
        <f t="shared" si="3001"/>
        <v>4.5225422057396685</v>
      </c>
      <c r="GT647" s="362">
        <f>GT644</f>
        <v>13.303162843222088</v>
      </c>
      <c r="GU647" s="692">
        <f t="shared" si="3001"/>
        <v>4.3297821089912389</v>
      </c>
      <c r="GV647" s="362">
        <f>GV644</f>
        <v>13.853522114260759</v>
      </c>
      <c r="GW647" s="692">
        <f>IF(ISERROR(GV647/GT647),"NA",IF(OR(GV647/GT647&gt;2,GV647/GT647&lt;0.5),"NM",GV647/GT647*100-100))</f>
        <v>4.1370558078906612</v>
      </c>
      <c r="GX647" s="362">
        <f>GX644</f>
        <v>14.450625194663479</v>
      </c>
      <c r="GY647" s="692">
        <f>IF(ISERROR(GX647/GV647),"NA",IF(OR(GX647/GV647&gt;2,GX647/GV647&lt;0.5),"NM",GX647/GV647*100-100))</f>
        <v>4.3101174955938717</v>
      </c>
      <c r="GZ647" s="223"/>
      <c r="HA647" s="223"/>
      <c r="HB647" s="223"/>
      <c r="HC647"/>
      <c r="HD647"/>
      <c r="HE647"/>
      <c r="HF647"/>
      <c r="HG647"/>
      <c r="HH647"/>
      <c r="HI647" s="273"/>
    </row>
    <row r="648" spans="1:217" s="3" customFormat="1" ht="12.75" customHeight="1" x14ac:dyDescent="0.2">
      <c r="B648" s="10"/>
      <c r="C648" s="9"/>
      <c r="D648" s="11"/>
      <c r="E648" s="9"/>
      <c r="F648" s="11"/>
      <c r="G648" s="9"/>
      <c r="H648" s="11"/>
      <c r="I648" s="9"/>
      <c r="J648" s="11"/>
      <c r="K648" s="9"/>
      <c r="L648" s="11"/>
      <c r="M648" s="9"/>
      <c r="N648" s="11"/>
      <c r="O648" s="9"/>
      <c r="P648" s="11"/>
      <c r="Q648" s="9"/>
      <c r="R648" s="11"/>
      <c r="S648" s="9"/>
      <c r="T648" s="11"/>
      <c r="U648" s="9"/>
      <c r="V648" s="11"/>
      <c r="W648" s="9"/>
      <c r="X648" s="11"/>
      <c r="Y648" s="9"/>
      <c r="Z648" s="11"/>
      <c r="AA648" s="9"/>
      <c r="AB648" s="11"/>
      <c r="AC648" s="9"/>
      <c r="AD648" s="11"/>
      <c r="AE648" s="9"/>
      <c r="AF648" s="11"/>
      <c r="AG648" s="9"/>
      <c r="AH648" s="11"/>
      <c r="AI648" s="9"/>
      <c r="AJ648" s="11"/>
      <c r="AK648" s="9"/>
      <c r="AL648" s="11"/>
      <c r="AM648" s="9"/>
      <c r="AN648" s="11"/>
      <c r="AO648" s="9"/>
      <c r="AP648" s="11"/>
      <c r="AQ648" s="9"/>
      <c r="AR648" s="11"/>
      <c r="AS648" s="9"/>
      <c r="AT648" s="11"/>
      <c r="AU648" s="9"/>
      <c r="AV648" s="11"/>
      <c r="AW648" s="9"/>
      <c r="AX648" s="11"/>
      <c r="AY648" s="9"/>
      <c r="AZ648" s="11"/>
      <c r="BA648" s="9"/>
      <c r="BB648" s="11"/>
      <c r="BC648" s="9"/>
      <c r="BD648" s="11"/>
      <c r="BE648" s="9"/>
      <c r="BF648" s="11"/>
      <c r="BG648" s="9"/>
      <c r="BH648" s="11"/>
      <c r="BI648" s="9"/>
      <c r="BJ648" s="11"/>
      <c r="BK648" s="9"/>
      <c r="BL648" s="11"/>
      <c r="BM648" s="9"/>
      <c r="BN648" s="11"/>
      <c r="BO648" s="9"/>
      <c r="BP648" s="11"/>
      <c r="BQ648" s="9"/>
      <c r="BR648" s="11"/>
      <c r="BS648" s="9"/>
      <c r="BT648" s="11"/>
      <c r="BU648" s="9"/>
      <c r="BV648" s="11"/>
      <c r="BW648" s="9"/>
      <c r="BX648" s="11"/>
      <c r="BY648" s="9"/>
      <c r="BZ648" s="11"/>
      <c r="CA648" s="9"/>
      <c r="CB648" s="11"/>
      <c r="CC648" s="9"/>
      <c r="CD648" s="11"/>
      <c r="CE648" s="9"/>
      <c r="CF648" s="11"/>
      <c r="CG648" s="9"/>
      <c r="CH648" s="11"/>
      <c r="CI648" s="9"/>
      <c r="CJ648" s="11"/>
      <c r="CK648" s="9"/>
      <c r="CL648" s="11"/>
      <c r="CM648" s="9"/>
      <c r="CN648" s="11"/>
      <c r="CO648" s="9"/>
      <c r="CP648" s="11"/>
      <c r="CQ648" s="9"/>
      <c r="CR648" s="11"/>
      <c r="CS648" s="2"/>
      <c r="CT648" s="2"/>
      <c r="CU648" s="2"/>
      <c r="CV648" s="11"/>
      <c r="CW648" s="2"/>
      <c r="CX648" s="11"/>
      <c r="CY648" s="2"/>
      <c r="CZ648" s="11"/>
      <c r="DA648" s="2"/>
      <c r="DB648" s="11"/>
      <c r="DC648" s="2"/>
      <c r="DD648" s="11"/>
      <c r="DE648" s="2"/>
      <c r="DF648" s="11"/>
      <c r="DG648" s="2"/>
      <c r="DH648" s="11"/>
      <c r="DI648" s="2"/>
      <c r="DJ648" s="11"/>
      <c r="DK648" s="2"/>
      <c r="DL648" s="11"/>
      <c r="DM648" s="2"/>
      <c r="DN648" s="11"/>
      <c r="DO648" s="2"/>
      <c r="DP648" s="11"/>
      <c r="DQ648" s="2"/>
      <c r="DR648" s="11"/>
      <c r="DS648" s="2"/>
      <c r="DT648" s="11"/>
      <c r="DU648" s="2"/>
      <c r="DV648" s="11"/>
      <c r="DW648" s="9"/>
      <c r="DX648" s="11"/>
      <c r="DY648" s="9"/>
      <c r="DZ648" s="11"/>
      <c r="EA648" s="9"/>
      <c r="EB648" s="11"/>
      <c r="EC648" s="9"/>
      <c r="ED648" s="11"/>
      <c r="EE648" s="9"/>
      <c r="EF648" s="11"/>
      <c r="EG648" s="9"/>
      <c r="EH648" s="11"/>
      <c r="EI648" s="9"/>
      <c r="EJ648" s="11"/>
      <c r="EK648" s="9"/>
      <c r="EL648" s="11"/>
      <c r="EM648" s="9"/>
      <c r="EN648" s="11"/>
      <c r="EO648" s="9"/>
      <c r="EP648" s="11"/>
      <c r="EQ648" s="9"/>
      <c r="ER648" s="11"/>
      <c r="ES648" s="9"/>
      <c r="ET648" s="11"/>
      <c r="EU648" s="9"/>
      <c r="EV648" s="11"/>
      <c r="EW648" s="9"/>
      <c r="EX648" s="11"/>
      <c r="EY648" s="11"/>
      <c r="EZ648" s="296"/>
      <c r="FA648" s="11"/>
      <c r="FB648" s="9"/>
      <c r="FC648" s="11"/>
      <c r="FD648" s="9"/>
      <c r="FE648" s="11"/>
      <c r="FF648" s="16"/>
      <c r="FG648" s="11"/>
      <c r="FH648" s="16"/>
      <c r="FI648" s="11"/>
      <c r="FJ648" s="16"/>
      <c r="FK648" s="11"/>
      <c r="FL648" s="16"/>
      <c r="FM648" s="11"/>
      <c r="FN648" s="16"/>
      <c r="FO648" s="11"/>
      <c r="FP648" s="9"/>
      <c r="FQ648" s="11"/>
      <c r="FR648" s="9"/>
      <c r="FS648" s="11"/>
      <c r="FT648" s="9"/>
      <c r="FU648" s="11"/>
      <c r="FV648" s="9"/>
      <c r="FW648" s="11"/>
      <c r="FX648" s="9"/>
      <c r="FY648" s="11"/>
      <c r="FZ648" s="9"/>
      <c r="GA648" s="11"/>
      <c r="GB648" s="9"/>
      <c r="GC648" s="11"/>
      <c r="GD648" s="9"/>
      <c r="GE648" s="11"/>
      <c r="GF648" s="9"/>
      <c r="GG648" s="11"/>
      <c r="GH648" s="9"/>
      <c r="GI648" s="11"/>
      <c r="GJ648" s="9"/>
      <c r="GK648" s="11"/>
      <c r="GL648" s="9"/>
      <c r="GM648" s="11"/>
      <c r="GN648" s="9"/>
      <c r="GO648" s="11"/>
      <c r="GP648" s="9"/>
      <c r="GQ648" s="11"/>
      <c r="GR648" s="9"/>
      <c r="GS648" s="11"/>
      <c r="GT648" s="9"/>
      <c r="GU648" s="11"/>
      <c r="GV648" s="9"/>
      <c r="GW648" s="11"/>
      <c r="GX648" s="9"/>
      <c r="GY648" s="11"/>
      <c r="GZ648" s="11"/>
      <c r="HA648" s="11"/>
      <c r="HB648" s="11"/>
      <c r="HC648"/>
      <c r="HD648"/>
      <c r="HE648"/>
      <c r="HF648"/>
      <c r="HG648"/>
      <c r="HH648"/>
      <c r="HI648" s="2"/>
    </row>
    <row r="649" spans="1:217" s="295" customFormat="1" ht="12.75" customHeight="1" collapsed="1" x14ac:dyDescent="0.2">
      <c r="B649" s="291" t="s">
        <v>820</v>
      </c>
      <c r="C649" s="292"/>
      <c r="D649" s="293"/>
      <c r="E649" s="292"/>
      <c r="F649" s="293"/>
      <c r="G649" s="292"/>
      <c r="H649" s="293"/>
      <c r="I649" s="292"/>
      <c r="J649" s="293"/>
      <c r="K649" s="292"/>
      <c r="L649" s="293"/>
      <c r="M649" s="292"/>
      <c r="N649" s="293"/>
      <c r="O649" s="292"/>
      <c r="P649" s="293"/>
      <c r="Q649" s="292"/>
      <c r="R649" s="293"/>
      <c r="S649" s="292"/>
      <c r="T649" s="293"/>
      <c r="U649" s="292"/>
      <c r="V649" s="293"/>
      <c r="W649" s="292"/>
      <c r="X649" s="293"/>
      <c r="Y649" s="292"/>
      <c r="Z649" s="293"/>
      <c r="AA649" s="292"/>
      <c r="AB649" s="293"/>
      <c r="AC649" s="292"/>
      <c r="AD649" s="293"/>
      <c r="AE649" s="292"/>
      <c r="AF649" s="293"/>
      <c r="AG649" s="292"/>
      <c r="AH649" s="293"/>
      <c r="AI649" s="292"/>
      <c r="AJ649" s="293"/>
      <c r="AK649" s="292"/>
      <c r="AL649" s="293"/>
      <c r="AM649" s="292"/>
      <c r="AN649" s="293"/>
      <c r="AO649" s="292"/>
      <c r="AP649" s="293"/>
      <c r="AQ649" s="292"/>
      <c r="AR649" s="293"/>
      <c r="AS649" s="292"/>
      <c r="AT649" s="293"/>
      <c r="AU649" s="292"/>
      <c r="AV649" s="293"/>
      <c r="AW649" s="292"/>
      <c r="AX649" s="293"/>
      <c r="AY649" s="292"/>
      <c r="AZ649" s="293"/>
      <c r="BA649" s="292"/>
      <c r="BB649" s="293"/>
      <c r="BC649" s="292"/>
      <c r="BD649" s="293"/>
      <c r="BE649" s="292"/>
      <c r="BF649" s="293"/>
      <c r="BG649" s="292"/>
      <c r="BH649" s="293"/>
      <c r="BI649" s="292"/>
      <c r="BJ649" s="293"/>
      <c r="BK649" s="292"/>
      <c r="BL649" s="293"/>
      <c r="BM649" s="292"/>
      <c r="BN649" s="293"/>
      <c r="BO649" s="292"/>
      <c r="BP649" s="293"/>
      <c r="BQ649" s="294"/>
      <c r="BR649" s="294"/>
      <c r="BS649" s="294"/>
      <c r="BT649" s="293"/>
      <c r="BU649" s="294"/>
      <c r="BV649" s="293"/>
      <c r="BW649" s="294"/>
      <c r="BX649" s="293"/>
      <c r="BY649" s="294"/>
      <c r="BZ649" s="293"/>
      <c r="CA649" s="294"/>
      <c r="CB649" s="293"/>
      <c r="CC649" s="294"/>
      <c r="CD649" s="293"/>
      <c r="CE649" s="294"/>
      <c r="CF649" s="293"/>
      <c r="CG649" s="294"/>
      <c r="CH649" s="293"/>
      <c r="CI649" s="294"/>
      <c r="CJ649" s="293"/>
      <c r="CK649" s="294"/>
      <c r="CL649" s="293"/>
      <c r="CM649" s="294"/>
      <c r="CN649" s="293"/>
      <c r="CO649" s="294"/>
      <c r="CP649" s="293"/>
      <c r="CQ649" s="294"/>
      <c r="CR649" s="293"/>
      <c r="CS649" s="294"/>
      <c r="CT649" s="293"/>
      <c r="CU649" s="294"/>
      <c r="CV649" s="293"/>
      <c r="CW649" s="294"/>
      <c r="CX649" s="293"/>
      <c r="CY649" s="294"/>
      <c r="CZ649" s="293"/>
      <c r="DA649" s="294"/>
      <c r="DB649" s="293"/>
      <c r="DC649" s="294"/>
      <c r="DD649" s="293"/>
      <c r="DE649" s="294"/>
      <c r="DF649" s="293"/>
      <c r="DG649" s="294"/>
      <c r="DH649" s="293"/>
      <c r="DI649" s="294"/>
      <c r="DJ649" s="293"/>
      <c r="DK649" s="294"/>
      <c r="DL649" s="293"/>
      <c r="DM649" s="294"/>
      <c r="DN649" s="293"/>
      <c r="DO649" s="294"/>
      <c r="DP649" s="293"/>
      <c r="DQ649" s="294"/>
      <c r="DR649" s="293"/>
      <c r="DS649" s="294"/>
      <c r="DT649" s="293"/>
      <c r="DU649" s="294"/>
      <c r="DV649" s="293"/>
      <c r="DW649" s="292"/>
      <c r="DX649" s="293"/>
      <c r="DY649" s="292"/>
      <c r="DZ649" s="293"/>
      <c r="EA649" s="292"/>
      <c r="EB649" s="293"/>
      <c r="EC649" s="292"/>
      <c r="ED649" s="293"/>
      <c r="EE649" s="292"/>
      <c r="EF649" s="293"/>
      <c r="EG649" s="292"/>
      <c r="EH649" s="293"/>
      <c r="EI649" s="292"/>
      <c r="EJ649" s="293"/>
      <c r="EK649" s="292"/>
      <c r="EL649" s="293"/>
      <c r="EM649" s="292"/>
      <c r="EN649" s="293"/>
      <c r="EO649" s="292"/>
      <c r="EP649" s="293"/>
      <c r="EQ649" s="292"/>
      <c r="ER649" s="293"/>
      <c r="ES649" s="292"/>
      <c r="ET649" s="293"/>
      <c r="EU649" s="292"/>
      <c r="EV649" s="293"/>
      <c r="EW649" s="292"/>
      <c r="EX649" s="293"/>
      <c r="EY649" s="293"/>
      <c r="EZ649" s="299"/>
      <c r="FA649" s="293"/>
      <c r="FB649" s="292"/>
      <c r="FC649" s="293"/>
      <c r="FD649" s="292"/>
      <c r="FE649" s="293"/>
      <c r="FF649" s="292"/>
      <c r="FG649" s="293"/>
      <c r="FH649" s="292"/>
      <c r="FI649" s="293"/>
      <c r="FJ649" s="292"/>
      <c r="FK649" s="293"/>
      <c r="FL649" s="292"/>
      <c r="FM649" s="293"/>
      <c r="FN649" s="292"/>
      <c r="FO649" s="293"/>
      <c r="FP649" s="292"/>
      <c r="FQ649" s="293"/>
      <c r="FR649" s="294"/>
      <c r="FS649" s="293"/>
      <c r="FT649" s="294"/>
      <c r="FU649" s="293"/>
      <c r="FV649" s="294"/>
      <c r="FW649" s="293"/>
      <c r="FX649" s="294"/>
      <c r="FY649" s="293"/>
      <c r="FZ649" s="294"/>
      <c r="GA649" s="293"/>
      <c r="GB649" s="294"/>
      <c r="GC649" s="293"/>
      <c r="GD649" s="294"/>
      <c r="GE649" s="293"/>
      <c r="GF649" s="294"/>
      <c r="GG649" s="293"/>
      <c r="GH649" s="294"/>
      <c r="GI649" s="293"/>
      <c r="GJ649" s="294"/>
      <c r="GK649" s="293"/>
      <c r="GL649" s="294"/>
      <c r="GM649" s="293"/>
      <c r="GN649" s="294"/>
      <c r="GO649" s="293"/>
      <c r="GP649" s="294"/>
      <c r="GQ649" s="293"/>
      <c r="GR649" s="292"/>
      <c r="GS649" s="293"/>
      <c r="GT649" s="292"/>
      <c r="GU649" s="293"/>
      <c r="GV649" s="292"/>
      <c r="GW649" s="293"/>
      <c r="GX649" s="292"/>
      <c r="GY649" s="293"/>
      <c r="GZ649" s="293"/>
      <c r="HA649" s="293"/>
      <c r="HB649" s="293"/>
      <c r="HC649"/>
      <c r="HD649"/>
      <c r="HE649"/>
      <c r="HF649"/>
      <c r="HG649"/>
      <c r="HH649"/>
      <c r="HI649" s="290"/>
    </row>
    <row r="650" spans="1:217" s="3" customFormat="1" ht="12.75" customHeight="1" x14ac:dyDescent="0.2">
      <c r="B650" s="4"/>
      <c r="C650" s="9"/>
      <c r="D650" s="11"/>
      <c r="E650" s="9"/>
      <c r="F650" s="11"/>
      <c r="G650" s="9"/>
      <c r="H650" s="11"/>
      <c r="I650" s="9"/>
      <c r="J650" s="11"/>
      <c r="K650" s="9"/>
      <c r="L650" s="11"/>
      <c r="M650" s="9"/>
      <c r="N650" s="11"/>
      <c r="O650" s="9"/>
      <c r="P650" s="11"/>
      <c r="Q650" s="9"/>
      <c r="R650" s="11"/>
      <c r="S650" s="9"/>
      <c r="T650" s="11"/>
      <c r="U650" s="9"/>
      <c r="V650" s="11"/>
      <c r="W650" s="9"/>
      <c r="X650" s="11"/>
      <c r="Y650" s="9"/>
      <c r="Z650" s="11"/>
      <c r="AA650" s="9"/>
      <c r="AB650" s="11"/>
      <c r="AC650" s="9"/>
      <c r="AD650" s="11"/>
      <c r="AE650" s="9"/>
      <c r="AF650" s="11"/>
      <c r="AG650" s="9"/>
      <c r="AH650" s="11"/>
      <c r="AI650" s="9"/>
      <c r="AJ650" s="11"/>
      <c r="AK650" s="9"/>
      <c r="AL650" s="11"/>
      <c r="AM650" s="9"/>
      <c r="AN650" s="11"/>
      <c r="AO650" s="9"/>
      <c r="AP650" s="11"/>
      <c r="AQ650" s="9"/>
      <c r="AR650" s="11"/>
      <c r="AS650" s="9"/>
      <c r="AT650" s="11"/>
      <c r="AU650" s="9"/>
      <c r="AV650" s="11"/>
      <c r="AW650" s="9"/>
      <c r="AX650" s="11"/>
      <c r="AY650" s="9"/>
      <c r="AZ650" s="11"/>
      <c r="BA650" s="9"/>
      <c r="BB650" s="11"/>
      <c r="BC650" s="9"/>
      <c r="BD650" s="11"/>
      <c r="BE650" s="9"/>
      <c r="BF650" s="11"/>
      <c r="BG650" s="9"/>
      <c r="BH650" s="11"/>
      <c r="BI650" s="9"/>
      <c r="BJ650" s="11"/>
      <c r="BK650" s="9"/>
      <c r="BL650" s="11"/>
      <c r="BM650" s="9"/>
      <c r="BN650" s="11"/>
      <c r="BO650" s="9"/>
      <c r="BP650" s="11"/>
      <c r="BQ650" s="9"/>
      <c r="BR650" s="11"/>
      <c r="BS650" s="9"/>
      <c r="BT650" s="11"/>
      <c r="BU650" s="9"/>
      <c r="BV650" s="11"/>
      <c r="BW650" s="9"/>
      <c r="BX650" s="11"/>
      <c r="BY650" s="9"/>
      <c r="BZ650" s="11"/>
      <c r="CA650" s="9"/>
      <c r="CB650" s="11"/>
      <c r="CC650" s="9"/>
      <c r="CD650" s="11"/>
      <c r="CE650" s="9"/>
      <c r="CF650" s="11"/>
      <c r="CG650" s="9"/>
      <c r="CH650" s="11"/>
      <c r="CI650" s="9"/>
      <c r="CJ650" s="11"/>
      <c r="CK650" s="9"/>
      <c r="CL650" s="11"/>
      <c r="CM650" s="9"/>
      <c r="CN650" s="11"/>
      <c r="CO650" s="9"/>
      <c r="CP650" s="11"/>
      <c r="CQ650" s="9"/>
      <c r="CR650" s="11"/>
      <c r="CS650" s="9"/>
      <c r="CT650" s="11"/>
      <c r="CU650" s="9"/>
      <c r="CV650" s="11"/>
      <c r="CW650" s="9"/>
      <c r="CX650" s="11"/>
      <c r="CY650" s="9"/>
      <c r="CZ650" s="11"/>
      <c r="DA650" s="9"/>
      <c r="DB650" s="11"/>
      <c r="DC650" s="9"/>
      <c r="DD650" s="11"/>
      <c r="DE650" s="9"/>
      <c r="DF650" s="11"/>
      <c r="DG650" s="9"/>
      <c r="DH650" s="11"/>
      <c r="DI650" s="9"/>
      <c r="DJ650" s="11"/>
      <c r="DK650" s="9"/>
      <c r="DL650" s="11"/>
      <c r="DM650" s="9"/>
      <c r="DN650" s="11"/>
      <c r="DO650" s="9"/>
      <c r="DP650" s="11"/>
      <c r="DQ650" s="9"/>
      <c r="DR650" s="11"/>
      <c r="DS650" s="9"/>
      <c r="DT650" s="11"/>
      <c r="DU650" s="9"/>
      <c r="DV650" s="11"/>
      <c r="DW650" s="9"/>
      <c r="DX650" s="11"/>
      <c r="DY650" s="9"/>
      <c r="DZ650" s="11"/>
      <c r="EA650" s="9"/>
      <c r="EB650" s="11"/>
      <c r="EC650" s="9"/>
      <c r="ED650" s="11"/>
      <c r="EE650" s="9"/>
      <c r="EF650" s="11"/>
      <c r="EG650" s="9"/>
      <c r="EH650" s="11"/>
      <c r="EI650" s="9"/>
      <c r="EJ650" s="11"/>
      <c r="EK650" s="9"/>
      <c r="EL650" s="11"/>
      <c r="EM650" s="9"/>
      <c r="EN650" s="11"/>
      <c r="EO650" s="9"/>
      <c r="EP650" s="11"/>
      <c r="EQ650" s="9"/>
      <c r="ER650" s="11"/>
      <c r="ES650" s="9"/>
      <c r="ET650" s="11"/>
      <c r="EU650" s="9"/>
      <c r="EV650" s="11"/>
      <c r="EW650" s="9"/>
      <c r="EX650" s="11"/>
      <c r="EY650" s="11"/>
      <c r="EZ650" s="296"/>
      <c r="FA650" s="11"/>
      <c r="FB650" s="9"/>
      <c r="FC650" s="11"/>
      <c r="FD650" s="9"/>
      <c r="FE650" s="11"/>
      <c r="FF650" s="16"/>
      <c r="FG650" s="11"/>
      <c r="FH650" s="16"/>
      <c r="FI650" s="11"/>
      <c r="FJ650" s="16"/>
      <c r="FK650" s="11"/>
      <c r="FL650" s="16"/>
      <c r="FM650" s="11"/>
      <c r="FN650" s="16"/>
      <c r="FO650" s="11"/>
      <c r="FP650" s="9"/>
      <c r="FQ650" s="11"/>
      <c r="FR650" s="9"/>
      <c r="FS650" s="11"/>
      <c r="FT650" s="9"/>
      <c r="FU650" s="11"/>
      <c r="FV650" s="9"/>
      <c r="FW650" s="11"/>
      <c r="FX650" s="9"/>
      <c r="FY650" s="11"/>
      <c r="FZ650" s="9"/>
      <c r="GA650" s="11"/>
      <c r="GB650" s="9"/>
      <c r="GC650" s="11"/>
      <c r="GD650" s="9"/>
      <c r="GE650" s="11"/>
      <c r="GF650" s="9"/>
      <c r="GG650" s="11"/>
      <c r="GH650" s="9"/>
      <c r="GI650" s="11"/>
      <c r="GJ650" s="9"/>
      <c r="GK650" s="11"/>
      <c r="GL650" s="9"/>
      <c r="GM650" s="11"/>
      <c r="GN650" s="9"/>
      <c r="GO650" s="11"/>
      <c r="GP650" s="9"/>
      <c r="GQ650" s="11"/>
      <c r="GR650" s="9"/>
      <c r="GS650" s="11"/>
      <c r="GT650" s="9"/>
      <c r="GU650" s="11"/>
      <c r="GV650" s="9"/>
      <c r="GW650" s="11"/>
      <c r="GX650" s="9"/>
      <c r="GY650" s="11"/>
      <c r="GZ650" s="11"/>
      <c r="HA650" s="11"/>
      <c r="HB650" s="11"/>
      <c r="HC650"/>
      <c r="HD650"/>
      <c r="HE650"/>
      <c r="HF650"/>
      <c r="HG650"/>
      <c r="HH650"/>
      <c r="HI650" s="2"/>
    </row>
    <row r="651" spans="1:217" s="3" customFormat="1" ht="12.75" customHeight="1" x14ac:dyDescent="0.2">
      <c r="B651" s="96" t="s">
        <v>131</v>
      </c>
      <c r="C651" s="9"/>
      <c r="D651" s="11"/>
      <c r="E651" s="9"/>
      <c r="F651" s="11"/>
      <c r="G651" s="9"/>
      <c r="H651" s="11"/>
      <c r="I651" s="9"/>
      <c r="J651" s="11"/>
      <c r="K651" s="9"/>
      <c r="L651" s="11"/>
      <c r="M651" s="9"/>
      <c r="N651" s="11"/>
      <c r="O651" s="9"/>
      <c r="P651" s="11"/>
      <c r="Q651" s="9"/>
      <c r="R651" s="11"/>
      <c r="S651" s="9"/>
      <c r="T651" s="11"/>
      <c r="U651" s="9"/>
      <c r="V651" s="11"/>
      <c r="W651" s="9"/>
      <c r="X651" s="11"/>
      <c r="Y651" s="9"/>
      <c r="Z651" s="11"/>
      <c r="AA651" s="9"/>
      <c r="AB651" s="11"/>
      <c r="AC651" s="9"/>
      <c r="AD651" s="11"/>
      <c r="AE651" s="9"/>
      <c r="AF651" s="11"/>
      <c r="AG651" s="9"/>
      <c r="AH651" s="11"/>
      <c r="AI651" s="9"/>
      <c r="AJ651" s="11"/>
      <c r="AK651" s="9"/>
      <c r="AL651" s="11"/>
      <c r="AM651" s="9"/>
      <c r="AN651" s="11"/>
      <c r="AO651" s="9"/>
      <c r="AP651" s="11"/>
      <c r="AQ651" s="9"/>
      <c r="AR651" s="11"/>
      <c r="AS651" s="9"/>
      <c r="AT651" s="11"/>
      <c r="AU651" s="9"/>
      <c r="AV651" s="11"/>
      <c r="AW651" s="9"/>
      <c r="AX651" s="11"/>
      <c r="AY651" s="9"/>
      <c r="AZ651" s="11"/>
      <c r="BA651" s="9"/>
      <c r="BB651" s="11"/>
      <c r="BC651" s="9"/>
      <c r="BD651" s="11"/>
      <c r="BE651" s="9"/>
      <c r="BF651" s="11"/>
      <c r="BG651" s="9"/>
      <c r="BH651" s="11"/>
      <c r="BI651" s="9"/>
      <c r="BJ651" s="11"/>
      <c r="BK651" s="9"/>
      <c r="BL651" s="11"/>
      <c r="BM651" s="9"/>
      <c r="BN651" s="11"/>
      <c r="BO651" s="9"/>
      <c r="BP651" s="11"/>
      <c r="BQ651" s="9"/>
      <c r="BR651" s="11"/>
      <c r="BS651" s="9"/>
      <c r="BT651" s="11"/>
      <c r="BU651" s="9"/>
      <c r="BV651" s="11"/>
      <c r="BW651" s="9"/>
      <c r="BX651" s="11"/>
      <c r="BY651" s="9"/>
      <c r="BZ651" s="11"/>
      <c r="CA651" s="9"/>
      <c r="CB651" s="11"/>
      <c r="CC651" s="9"/>
      <c r="CD651" s="11"/>
      <c r="CE651" s="9"/>
      <c r="CF651" s="11"/>
      <c r="CG651" s="9"/>
      <c r="CH651" s="11"/>
      <c r="CI651" s="9"/>
      <c r="CJ651" s="11"/>
      <c r="CK651" s="9"/>
      <c r="CL651" s="11"/>
      <c r="CM651" s="9"/>
      <c r="CN651" s="11"/>
      <c r="CO651" s="9"/>
      <c r="CP651" s="11"/>
      <c r="CQ651" s="9"/>
      <c r="CR651" s="11"/>
      <c r="CS651" s="9"/>
      <c r="CT651" s="11"/>
      <c r="CU651" s="9"/>
      <c r="CV651" s="11"/>
      <c r="CW651" s="9"/>
      <c r="CX651" s="11"/>
      <c r="CY651" s="9"/>
      <c r="CZ651" s="11"/>
      <c r="DA651" s="9"/>
      <c r="DB651" s="11"/>
      <c r="DC651" s="9"/>
      <c r="DD651" s="11"/>
      <c r="DE651" s="9"/>
      <c r="DF651" s="11"/>
      <c r="DG651" s="9"/>
      <c r="DH651" s="11"/>
      <c r="DI651" s="9"/>
      <c r="DJ651" s="11"/>
      <c r="DK651" s="9"/>
      <c r="DL651" s="11"/>
      <c r="DM651" s="9"/>
      <c r="DN651" s="11"/>
      <c r="DO651" s="9"/>
      <c r="DP651" s="11"/>
      <c r="DQ651" s="9"/>
      <c r="DR651" s="11"/>
      <c r="DS651" s="9"/>
      <c r="DT651" s="11"/>
      <c r="DU651" s="9"/>
      <c r="DV651" s="11"/>
      <c r="DW651" s="9"/>
      <c r="DX651" s="11"/>
      <c r="DY651" s="9"/>
      <c r="DZ651" s="11"/>
      <c r="EA651" s="9"/>
      <c r="EB651" s="11"/>
      <c r="EC651" s="9"/>
      <c r="ED651" s="11"/>
      <c r="EE651" s="9"/>
      <c r="EF651" s="11"/>
      <c r="EG651" s="9"/>
      <c r="EH651" s="11"/>
      <c r="EI651" s="9"/>
      <c r="EJ651" s="11"/>
      <c r="EK651" s="9"/>
      <c r="EL651" s="11"/>
      <c r="EM651" s="9"/>
      <c r="EN651" s="11"/>
      <c r="EO651" s="9"/>
      <c r="EP651" s="11"/>
      <c r="EQ651" s="9"/>
      <c r="ER651" s="11"/>
      <c r="ES651" s="9"/>
      <c r="ET651" s="11"/>
      <c r="EU651" s="9"/>
      <c r="EV651" s="11"/>
      <c r="EW651" s="9"/>
      <c r="EX651" s="11"/>
      <c r="EY651" s="11"/>
      <c r="EZ651" s="296"/>
      <c r="FA651" s="11"/>
      <c r="FB651" s="9"/>
      <c r="FC651" s="11"/>
      <c r="FD651" s="9"/>
      <c r="FE651" s="11"/>
      <c r="FF651" s="145"/>
      <c r="FG651" s="11"/>
      <c r="FH651" s="16"/>
      <c r="FI651" s="11"/>
      <c r="FJ651" s="16"/>
      <c r="FK651" s="11"/>
      <c r="FL651" s="16"/>
      <c r="FM651" s="11"/>
      <c r="FN651" s="16"/>
      <c r="FO651" s="11"/>
      <c r="FP651" s="9"/>
      <c r="FQ651" s="11"/>
      <c r="FR651" s="9"/>
      <c r="FS651" s="11"/>
      <c r="FT651" s="9"/>
      <c r="FU651" s="11"/>
      <c r="FV651" s="9"/>
      <c r="FW651" s="11"/>
      <c r="FX651" s="9"/>
      <c r="FY651" s="11"/>
      <c r="FZ651" s="9"/>
      <c r="GA651" s="11"/>
      <c r="GB651" s="9"/>
      <c r="GC651" s="11"/>
      <c r="GD651" s="9"/>
      <c r="GE651" s="11"/>
      <c r="GF651" s="9"/>
      <c r="GG651" s="11"/>
      <c r="GH651" s="9"/>
      <c r="GI651" s="11"/>
      <c r="GJ651" s="9"/>
      <c r="GK651" s="11"/>
      <c r="GL651" s="9"/>
      <c r="GM651" s="11"/>
      <c r="GN651" s="9"/>
      <c r="GO651" s="11"/>
      <c r="GP651" s="9"/>
      <c r="GQ651" s="11"/>
      <c r="GR651" s="9"/>
      <c r="GS651" s="11"/>
      <c r="GT651" s="9"/>
      <c r="GU651" s="11"/>
      <c r="GV651" s="9"/>
      <c r="GW651" s="11"/>
      <c r="GX651" s="9"/>
      <c r="GY651" s="11"/>
      <c r="GZ651" s="11"/>
      <c r="HA651" s="11"/>
      <c r="HB651" s="11"/>
      <c r="HC651"/>
      <c r="HD651"/>
      <c r="HE651"/>
      <c r="HF651"/>
      <c r="HG651"/>
      <c r="HH651"/>
      <c r="HI651" s="2"/>
    </row>
    <row r="652" spans="1:217" s="3" customFormat="1" ht="12.75" customHeight="1" x14ac:dyDescent="0.2">
      <c r="A652" s="3" t="s">
        <v>590</v>
      </c>
      <c r="B652" s="4" t="s">
        <v>338</v>
      </c>
      <c r="C652" s="150"/>
      <c r="D652" s="150"/>
      <c r="E652" s="150"/>
      <c r="F652" s="11"/>
      <c r="G652" s="150"/>
      <c r="H652" s="11"/>
      <c r="I652" s="150">
        <v>86242</v>
      </c>
      <c r="J652" s="11"/>
      <c r="K652" s="150">
        <v>87002</v>
      </c>
      <c r="L652" s="72" t="str">
        <f t="shared" ref="L652:L658" si="3002">IF(ISERROR(K652/C652),"NA",IF(OR(K652/C652&gt;2,K652/C652&lt;0.5),"NM",K652/C652*100-100))</f>
        <v>NA</v>
      </c>
      <c r="M652" s="150">
        <v>112276</v>
      </c>
      <c r="N652" s="72" t="str">
        <f t="shared" ref="N652:N658" si="3003">IF(ISERROR(M652/E652),"NA",IF(OR(M652/E652&gt;2,M652/E652&lt;0.5),"NM",M652/E652*100-100))</f>
        <v>NA</v>
      </c>
      <c r="O652" s="150">
        <v>106566</v>
      </c>
      <c r="P652" s="72" t="str">
        <f t="shared" ref="P652:P658" si="3004">IF(ISERROR(O652/G652),"NA",IF(OR(O652/G652&gt;2,O652/G652&lt;0.5),"NM",O652/G652*100-100))</f>
        <v>NA</v>
      </c>
      <c r="Q652" s="150">
        <v>109360</v>
      </c>
      <c r="R652" s="72">
        <f t="shared" ref="R652:R658" si="3005">IF(ISERROR(Q652/I652),"NA",IF(OR(Q652/I652&gt;2,Q652/I652&lt;0.5),"NM",Q652/I652*100-100))</f>
        <v>26.805964611210314</v>
      </c>
      <c r="S652" s="150">
        <v>114992</v>
      </c>
      <c r="T652" s="72">
        <f t="shared" ref="T652:T658" si="3006">IF(ISERROR(S652/K652),"NA",IF(OR(S652/K652&gt;2,S652/K652&lt;0.5),"NM",S652/K652*100-100))</f>
        <v>32.17167421438586</v>
      </c>
      <c r="U652" s="150">
        <v>116338</v>
      </c>
      <c r="V652" s="72">
        <f t="shared" ref="V652:V658" si="3007">IF(ISERROR(U652/M652),"NA",IF(OR(U652/M652&gt;2,U652/M652&lt;0.5),"NM",U652/M652*100-100))</f>
        <v>3.6178702483166632</v>
      </c>
      <c r="W652" s="150">
        <v>118367</v>
      </c>
      <c r="X652" s="72">
        <f t="shared" ref="X652:X658" si="3008">IF(ISERROR(W652/O652),"NA",IF(OR(W652/O652&gt;2,W652/O652&lt;0.5),"NM",W652/O652*100-100))</f>
        <v>11.073888482255128</v>
      </c>
      <c r="Y652" s="150">
        <v>119132</v>
      </c>
      <c r="Z652" s="72">
        <f t="shared" ref="Z652:Z658" si="3009">IF(ISERROR(Y652/Q652),"NA",IF(OR(Y652/Q652&gt;2,Y652/Q652&lt;0.5),"NM",Y652/Q652*100-100))</f>
        <v>8.9356254572055605</v>
      </c>
      <c r="AA652" s="150">
        <v>121376</v>
      </c>
      <c r="AB652" s="72">
        <f t="shared" ref="AB652:AB658" si="3010">IF(ISERROR(AA652/S652),"NA",IF(OR(AA652/S652&gt;2,AA652/S652&lt;0.5),"NM",AA652/S652*100-100))</f>
        <v>5.5516905523862476</v>
      </c>
      <c r="AC652" s="150">
        <v>125523</v>
      </c>
      <c r="AD652" s="72">
        <f t="shared" ref="AD652:AD658" si="3011">IF(ISERROR(AC652/U652),"NA",IF(OR(AC652/U652&gt;2,AC652/U652&lt;0.5),"NM",AC652/U652*100-100))</f>
        <v>7.8950987639464358</v>
      </c>
      <c r="AE652" s="150">
        <v>117460</v>
      </c>
      <c r="AF652" s="72">
        <f t="shared" ref="AF652:AF658" si="3012">IF(ISERROR(AE652/W652),"NA",IF(OR(AE652/W652&gt;2,AE652/W652&lt;0.5),"NM",AE652/W652*100-100))</f>
        <v>-0.76626086662668058</v>
      </c>
      <c r="AG652" s="150">
        <v>116998</v>
      </c>
      <c r="AH652" s="72">
        <f t="shared" ref="AH652:AH658" si="3013">IF(ISERROR(AG652/Y652),"NA",IF(OR(AG652/Y652&gt;2,AG652/Y652&lt;0.5),"NM",AG652/Y652*100-100))</f>
        <v>-1.7912903334116805</v>
      </c>
      <c r="AI652" s="150">
        <v>123965</v>
      </c>
      <c r="AJ652" s="72">
        <f t="shared" ref="AJ652:AJ658" si="3014">IF(ISERROR(AI652/AA652),"NA",IF(OR(AI652/AA652&gt;2,AI652/AA652&lt;0.5),"NM",AI652/AA652*100-100))</f>
        <v>2.1330411283944102</v>
      </c>
      <c r="AK652" s="150">
        <v>137298</v>
      </c>
      <c r="AL652" s="72">
        <f t="shared" ref="AL652:AL658" si="3015">IF(ISERROR(AK652/AC652),"NA",IF(OR(AK652/AC652&gt;2,AK652/AC652&lt;0.5),"NM",AK652/AC652*100-100))</f>
        <v>9.3807509380750957</v>
      </c>
      <c r="AM652" s="150">
        <v>139898</v>
      </c>
      <c r="AN652" s="72">
        <f t="shared" ref="AN652:AN658" si="3016">IF(ISERROR(AM652/AE652),"NA",IF(OR(AM652/AE652&gt;2,AM652/AE652&lt;0.5),"NM",AM652/AE652*100-100))</f>
        <v>19.102673250468243</v>
      </c>
      <c r="AO652" s="150">
        <v>150685</v>
      </c>
      <c r="AP652" s="72">
        <f t="shared" ref="AP652:AP658" si="3017">IF(ISERROR(AO652/AG652),"NA",IF(OR(AO652/AG652&gt;2,AO652/AG652&lt;0.5),"NM",AO652/AG652*100-100))</f>
        <v>28.792799876920981</v>
      </c>
      <c r="AQ652" s="150">
        <v>151983</v>
      </c>
      <c r="AR652" s="72">
        <f t="shared" ref="AR652:AR658" si="3018">IF(ISERROR(AQ652/AI652),"NA",IF(OR(AQ652/AI652&gt;2,AQ652/AI652&lt;0.5),"NM",AQ652/AI652*100-100))</f>
        <v>22.601540757471867</v>
      </c>
      <c r="AS652" s="150">
        <v>153529</v>
      </c>
      <c r="AT652" s="72">
        <f t="shared" ref="AT652:AT658" si="3019">IF(ISERROR(AS652/AK652),"NA",IF(OR(AS652/AK652&gt;2,AS652/AK652&lt;0.5),"NM",AS652/AK652*100-100))</f>
        <v>11.821730833661093</v>
      </c>
      <c r="AU652" s="150">
        <v>151325</v>
      </c>
      <c r="AV652" s="72">
        <f t="shared" ref="AV652:AV658" si="3020">IF(ISERROR(AU652/AM652),"NA",IF(OR(AU652/AM652&gt;2,AU652/AM652&lt;0.5),"NM",AU652/AM652*100-100))</f>
        <v>8.1680938969820716</v>
      </c>
      <c r="AW652" s="150">
        <v>153905</v>
      </c>
      <c r="AX652" s="72">
        <f t="shared" ref="AX652:AX658" si="3021">IF(ISERROR(AW652/AO652),"NA",IF(OR(AW652/AO652&gt;2,AW652/AO652&lt;0.5),"NM",AW652/AO652*100-100))</f>
        <v>2.1369081195872184</v>
      </c>
      <c r="AY652" s="150">
        <v>154907</v>
      </c>
      <c r="AZ652" s="72">
        <f t="shared" ref="AZ652:AZ658" si="3022">IF(ISERROR(AY652/AQ652),"NA",IF(OR(AY652/AQ652&gt;2,AY652/AQ652&lt;0.5),"NM",AY652/AQ652*100-100))</f>
        <v>1.923899383483672</v>
      </c>
      <c r="BA652" s="150">
        <v>164636</v>
      </c>
      <c r="BB652" s="72">
        <f t="shared" ref="BB652:BB658" si="3023">IF(ISERROR(BA652/AS652),"NA",IF(OR(BA652/AS652&gt;2,BA652/AS652&lt;0.5),"NM",BA652/AS652*100-100))</f>
        <v>7.2344638472210363</v>
      </c>
      <c r="BC652" s="150">
        <v>160306</v>
      </c>
      <c r="BD652" s="72">
        <f t="shared" ref="BD652:BD658" si="3024">IF(ISERROR(BC652/AU652),"NA",IF(OR(BC652/AU652&gt;2,BC652/AU652&lt;0.5),"NM",BC652/AU652*100-100))</f>
        <v>5.9349083099289572</v>
      </c>
      <c r="BE652" s="150">
        <v>165323</v>
      </c>
      <c r="BF652" s="72">
        <f t="shared" ref="BF652:BF658" si="3025">IF(ISERROR(BE652/AW652),"NA",IF(OR(BE652/AW652&gt;2,BE652/AW652&lt;0.5),"NM",BE652/AW652*100-100))</f>
        <v>7.4188622851759192</v>
      </c>
      <c r="BG652" s="150">
        <v>168472</v>
      </c>
      <c r="BH652" s="72">
        <f t="shared" ref="BH652:BH658" si="3026">IF(ISERROR(BG652/AY652),"NA",IF(OR(BG652/AY652&gt;2,BG652/AY652&lt;0.5),"NM",BG652/AY652*100-100))</f>
        <v>8.7568670234398667</v>
      </c>
      <c r="BI652" s="150">
        <v>167335</v>
      </c>
      <c r="BJ652" s="72">
        <f t="shared" ref="BJ652:BJ658" si="3027">IF(ISERROR(BI652/BA652),"NA",IF(OR(BI652/BA652&gt;2,BI652/BA652&lt;0.5),"NM",BI652/BA652*100-100))</f>
        <v>1.6393741344541866</v>
      </c>
      <c r="BK652" s="150">
        <v>171156</v>
      </c>
      <c r="BL652" s="72">
        <f t="shared" ref="BL652:BL658" si="3028">IF(ISERROR(BK652/BC652),"NA",IF(OR(BK652/BC652&gt;2,BK652/BC652&lt;0.5),"NM",BK652/BC652*100-100))</f>
        <v>6.7683056155103429</v>
      </c>
      <c r="BM652" s="150">
        <v>173609</v>
      </c>
      <c r="BN652" s="72">
        <f t="shared" ref="BN652:BN658" si="3029">IF(ISERROR(BM652/BE652),"NA",IF(OR(BM652/BE652&gt;2,BM652/BE652&lt;0.5),"NM",BM652/BE652*100-100))</f>
        <v>5.012006798812024</v>
      </c>
      <c r="BO652" s="150">
        <v>180739</v>
      </c>
      <c r="BP652" s="72">
        <f t="shared" ref="BP652:BP658" si="3030">IF(ISERROR(BO652/BG652),"NA",IF(OR(BO652/BG652&gt;2,BO652/BG652&lt;0.5),"NM",BO652/BG652*100-100))</f>
        <v>7.2813286480839565</v>
      </c>
      <c r="BQ652" s="150">
        <v>179800</v>
      </c>
      <c r="BR652" s="72">
        <f t="shared" ref="BR652:BR658" si="3031">IF(ISERROR(BQ652/BI652),"NA",IF(OR(BQ652/BI652&gt;2,BQ652/BI652&lt;0.5),"NM",BQ652/BI652*100-100))</f>
        <v>7.4491289927391051</v>
      </c>
      <c r="BS652" s="150">
        <v>180039</v>
      </c>
      <c r="BT652" s="72">
        <f t="shared" ref="BT652:BT658" si="3032">IF(ISERROR(BS652/BK652),"NA",IF(OR(BS652/BK652&gt;2,BS652/BK652&lt;0.5),"NM",BS652/BK652*100-100))</f>
        <v>5.1900021033443267</v>
      </c>
      <c r="BU652" s="150">
        <v>183318</v>
      </c>
      <c r="BV652" s="72">
        <f t="shared" ref="BV652:BV658" si="3033">IF(ISERROR(BU652/BM652),"NA",IF(OR(BU652/BM652&gt;2,BU652/BM652&lt;0.5),"NM",BU652/BM652*100-100))</f>
        <v>5.5924520042163692</v>
      </c>
      <c r="BW652" s="150">
        <v>178602</v>
      </c>
      <c r="BX652" s="72">
        <f t="shared" ref="BX652:BX658" si="3034">IF(ISERROR(BW652/BO652),"NA",IF(OR(BW652/BO652&gt;2,BW652/BO652&lt;0.5),"NM",BW652/BO652*100-100))</f>
        <v>-1.1823679449371838</v>
      </c>
      <c r="BY652" s="150">
        <v>184073</v>
      </c>
      <c r="BZ652" s="72">
        <f t="shared" ref="BZ652:BZ658" si="3035">IF(ISERROR(BY652/BQ652),"NA",IF(OR(BY652/BQ652&gt;2,BY652/BQ652&lt;0.5),"NM",BY652/BQ652*100-100))</f>
        <v>2.3765294771968826</v>
      </c>
      <c r="CA652" s="150">
        <v>195475</v>
      </c>
      <c r="CB652" s="72">
        <f t="shared" ref="CB652:CB658" si="3036">IF(ISERROR(CA652/BS652),"NA",IF(OR(CA652/BS652&gt;2,CA652/BS652&lt;0.5),"NM",CA652/BS652*100-100))</f>
        <v>8.5736979210060014</v>
      </c>
      <c r="CC652" s="150">
        <v>198105</v>
      </c>
      <c r="CD652" s="72">
        <f t="shared" ref="CD652:CD658" si="3037">IF(ISERROR(CC652/BU652),"NA",IF(OR(CC652/BU652&gt;2,CC652/BU652&lt;0.5),"NM",CC652/BU652*100-100))</f>
        <v>8.0663110005564107</v>
      </c>
      <c r="CE652" s="150">
        <v>203085</v>
      </c>
      <c r="CF652" s="72">
        <f t="shared" ref="CF652:CF658" si="3038">IF(ISERROR(CE652/BW652),"NA",IF(OR(CE652/BW652&gt;2,CE652/BW652&lt;0.5),"NM",CE652/BW652*100-100))</f>
        <v>13.708133167601716</v>
      </c>
      <c r="CG652" s="150">
        <v>209477</v>
      </c>
      <c r="CH652" s="72">
        <f t="shared" ref="CH652:CH658" si="3039">IF(ISERROR(CG652/BY652),"NA",IF(OR(CG652/BY652&gt;2,CG652/BY652&lt;0.5),"NM",CG652/BY652*100-100))</f>
        <v>13.801046324012759</v>
      </c>
      <c r="CI652" s="150">
        <v>221574</v>
      </c>
      <c r="CJ652" s="72">
        <f t="shared" ref="CJ652:CT658" si="3040">IF(ISERROR(CI652/CA652),"NA",IF(OR(CI652/CA652&gt;2,CI652/CA652&lt;0.5),"NM",CI652/CA652*100-100))</f>
        <v>13.351579485867759</v>
      </c>
      <c r="CK652" s="150">
        <v>218356</v>
      </c>
      <c r="CL652" s="72">
        <f t="shared" si="3040"/>
        <v>10.222356830973482</v>
      </c>
      <c r="CM652" s="150">
        <v>262776</v>
      </c>
      <c r="CN652" s="72">
        <f t="shared" si="3040"/>
        <v>29.392126449516212</v>
      </c>
      <c r="CO652" s="150">
        <v>269688</v>
      </c>
      <c r="CP652" s="72">
        <f t="shared" si="3040"/>
        <v>28.743489738730261</v>
      </c>
      <c r="CQ652" s="150">
        <v>284804</v>
      </c>
      <c r="CR652" s="72">
        <f t="shared" si="3040"/>
        <v>28.53674167546734</v>
      </c>
      <c r="CS652" s="150">
        <v>289438</v>
      </c>
      <c r="CT652" s="72">
        <f t="shared" si="3040"/>
        <v>32.553261646119182</v>
      </c>
      <c r="CU652" s="150">
        <v>287471</v>
      </c>
      <c r="CV652" s="72">
        <f t="shared" ref="CV652:CV658" si="3041">IF(ISERROR(CU652/CM652),"NA",IF(OR(CU652/CM652&gt;2,CU652/CM652&lt;0.5),"NM",CU652/CM652*100-100))</f>
        <v>9.397737997381796</v>
      </c>
      <c r="CW652" s="150">
        <v>298574</v>
      </c>
      <c r="CX652" s="72">
        <f t="shared" ref="CX652:CX658" si="3042">IF(ISERROR(CW652/CO652),"NA",IF(OR(CW652/CO652&gt;2,CW652/CO652&lt;0.5),"NM",CW652/CO652*100-100))</f>
        <v>10.710895553380212</v>
      </c>
      <c r="CY652" s="150">
        <v>308864</v>
      </c>
      <c r="CZ652" s="72">
        <f t="shared" ref="CZ652:CZ658" si="3043">IF(ISERROR(CY652/CQ652),"NA",IF(OR(CY652/CQ652&gt;2,CY652/CQ652&lt;0.5),"NM",CY652/CQ652*100-100))</f>
        <v>8.4479150573727964</v>
      </c>
      <c r="DA652" s="150">
        <v>337662</v>
      </c>
      <c r="DB652" s="72">
        <f t="shared" ref="DB652:DB658" si="3044">IF(ISERROR(DA652/CS652),"NA",IF(OR(DA652/CS652&gt;2,DA652/CS652&lt;0.5),"NM",DA652/CS652*100-100))</f>
        <v>16.661253878205343</v>
      </c>
      <c r="DC652" s="150">
        <v>338883</v>
      </c>
      <c r="DD652" s="72">
        <f t="shared" ref="DD652:DD658" si="3045">IF(ISERROR(DC652/CU652),"NA",IF(OR(DC652/CU652&gt;2,DC652/CU652&lt;0.5),"NM",DC652/CU652*100-100))</f>
        <v>17.884238757996457</v>
      </c>
      <c r="DE652" s="150">
        <v>326567</v>
      </c>
      <c r="DF652" s="72">
        <f t="shared" ref="DF652:DF658" si="3046">IF(ISERROR(DE652/CW652),"NA",IF(OR(DE652/CW652&gt;2,DE652/CW652&lt;0.5),"NM",DE652/CW652*100-100))</f>
        <v>9.3755651865199212</v>
      </c>
      <c r="DG652" s="150">
        <v>332245</v>
      </c>
      <c r="DH652" s="72">
        <f t="shared" ref="DH652:DH658" si="3047">IF(ISERROR(DG652/CY652),"NA",IF(OR(DG652/CY652&gt;2,DG652/CY652&lt;0.5),"NM",DG652/CY652*100-100))</f>
        <v>7.5699984459179461</v>
      </c>
      <c r="DI652" s="150">
        <v>332159</v>
      </c>
      <c r="DJ652" s="72">
        <f t="shared" ref="DJ652:DJ658" si="3048">IF(ISERROR(DI652/DA652),"NA",IF(OR(DI652/DA652&gt;2,DI652/DA652&lt;0.5),"NM",DI652/DA652*100-100))</f>
        <v>-1.629736245120867</v>
      </c>
      <c r="DK652" s="150">
        <v>341561</v>
      </c>
      <c r="DL652" s="72">
        <f t="shared" ref="DL652:DL658" si="3049">IF(ISERROR(DK652/DC652),"NA",IF(OR(DK652/DC652&gt;2,DK652/DC652&lt;0.5),"NM",DK652/DC652*100-100))</f>
        <v>0.79024324029236936</v>
      </c>
      <c r="DM652" s="150">
        <v>350509</v>
      </c>
      <c r="DN652" s="72">
        <f t="shared" ref="DN652:DZ658" si="3050">IF(ISERROR(DM652/DE652),"NA",IF(OR(DM652/DE652&gt;2,DM652/DE652&lt;0.5),"NM",DM652/DE652*100-100))</f>
        <v>7.3314205048274914</v>
      </c>
      <c r="DO652" s="150">
        <v>349467</v>
      </c>
      <c r="DP652" s="72">
        <f t="shared" si="3050"/>
        <v>5.1835242065343436</v>
      </c>
      <c r="DQ652" s="150">
        <v>353257</v>
      </c>
      <c r="DR652" s="72">
        <f t="shared" si="3050"/>
        <v>6.3517773114682967</v>
      </c>
      <c r="DS652" s="150">
        <v>357548</v>
      </c>
      <c r="DT652" s="72">
        <f t="shared" si="3050"/>
        <v>4.6805695029584768</v>
      </c>
      <c r="DU652" s="150">
        <v>350459</v>
      </c>
      <c r="DV652" s="72">
        <f t="shared" si="3050"/>
        <v>-1.4264968945170153E-2</v>
      </c>
      <c r="DW652" s="150">
        <v>355686</v>
      </c>
      <c r="DX652" s="72">
        <f t="shared" si="3050"/>
        <v>1.7795671694323119</v>
      </c>
      <c r="DY652" s="150">
        <v>357434</v>
      </c>
      <c r="DZ652" s="72">
        <f t="shared" si="3050"/>
        <v>1.1824252597966876</v>
      </c>
      <c r="EA652" s="150">
        <v>372082</v>
      </c>
      <c r="EB652" s="72">
        <f t="shared" ref="EB652:EB658" si="3051">IF(ISERROR(EA652/DS652),"NA",IF(OR(EA652/DS652&gt;2,EA652/DS652&lt;0.5),"NM",EA652/DS652*100-100))</f>
        <v>4.0649087674941455</v>
      </c>
      <c r="EC652" s="150">
        <v>390606</v>
      </c>
      <c r="ED652" s="72">
        <f t="shared" ref="ED652:ED658" si="3052">IF(ISERROR(EC652/DU652),"NA",IF(OR(EC652/DU652&gt;2,EC652/DU652&lt;0.5),"NM",EC652/DU652*100-100))</f>
        <v>11.455548295235673</v>
      </c>
      <c r="EE652" s="150">
        <v>404624</v>
      </c>
      <c r="EF652" s="72">
        <f t="shared" ref="EF652:EF658" si="3053">IF(ISERROR(EE652/DW652),"NA",IF(OR(EE652/DW652&gt;2,EE652/DW652&lt;0.5),"NM",EE652/DW652*100-100))</f>
        <v>13.758764753181183</v>
      </c>
      <c r="EG652" s="150">
        <v>384526</v>
      </c>
      <c r="EH652" s="72">
        <f t="shared" ref="EH652:EH658" si="3054">IF(ISERROR(EG652/DY652),"NA",IF(OR(EG652/DY652&gt;2,EG652/DY652&lt;0.5),"NM",EG652/DY652*100-100))</f>
        <v>7.5795811254665324</v>
      </c>
      <c r="EI652" s="150">
        <v>390161</v>
      </c>
      <c r="EJ652" s="72">
        <f t="shared" ref="EJ652:EJ658" si="3055">IF(ISERROR(EI652/EA652),"NA",IF(OR(EI652/EA652&gt;2,EI652/EA652&lt;0.5),"NM",EI652/EA652*100-100))</f>
        <v>4.858875194177628</v>
      </c>
      <c r="EK652" s="150">
        <v>397081</v>
      </c>
      <c r="EL652" s="72">
        <f t="shared" ref="EL652:EL658" si="3056">IF(ISERROR(EK652/EC652),"NA",IF(OR(EK652/EC652&gt;2,EK652/EC652&lt;0.5),"NM",EK652/EC652*100-100))</f>
        <v>1.6576806295858262</v>
      </c>
      <c r="EM652" s="150">
        <v>403300</v>
      </c>
      <c r="EN652" s="72">
        <f t="shared" ref="EN652:EN658" si="3057">IF(ISERROR(EM652/EE652),"NA",IF(OR(EM652/EE652&gt;2,EM652/EE652&lt;0.5),"NM",EM652/EE652*100-100))</f>
        <v>-0.32721736723476624</v>
      </c>
      <c r="EO652" s="150">
        <v>408580</v>
      </c>
      <c r="EP652" s="72">
        <f t="shared" ref="EP652:EP658" si="3058">IF(ISERROR(EO652/EG652),"NA",IF(OR(EO652/EG652&gt;2,EO652/EG652&lt;0.5),"NM",EO652/EG652*100-100))</f>
        <v>6.255493776753724</v>
      </c>
      <c r="EQ652" s="150">
        <f t="shared" ref="EQ652" si="3059">EO652*1.012272</f>
        <v>413594.09376000002</v>
      </c>
      <c r="ER652" s="72">
        <f t="shared" ref="ER652:ER658" si="3060">IF(ISERROR(EQ652/EI652),"NA",IF(OR(EQ652/EI652&gt;2,EQ652/EI652&lt;0.5),"NM",EQ652/EI652*100-100))</f>
        <v>6.0060061769372339</v>
      </c>
      <c r="ES652" s="150">
        <f t="shared" ref="ES652" si="3061">EQ652*1.012272</f>
        <v>418669.72047862277</v>
      </c>
      <c r="ET652" s="72">
        <f t="shared" ref="ET652:ET658" si="3062">IF(ISERROR(ES652/EK652),"NA",IF(OR(ES652/EK652&gt;2,ES652/EK652&lt;0.5),"NM",ES652/EK652*100-100))</f>
        <v>5.4368555732011288</v>
      </c>
      <c r="EU652" s="150">
        <f t="shared" ref="EU652" si="3063">ES652*1.012272</f>
        <v>423807.63528833643</v>
      </c>
      <c r="EV652" s="72">
        <f t="shared" ref="EV652:EV658" si="3064">IF(ISERROR(EU652/EM652),"NA",IF(OR(EU652/EM652&gt;2,EU652/EM652&lt;0.5),"NM",EU652/EM652*100-100))</f>
        <v>5.0849579192503001</v>
      </c>
      <c r="EW652" s="150">
        <f t="shared" ref="EW652" si="3065">EU652*1.012272</f>
        <v>429008.60258859495</v>
      </c>
      <c r="EX652" s="72">
        <f t="shared" ref="EX652:EX658" si="3066">IF(ISERROR(EW652/EO652),"NA",IF(OR(EW652/EO652&gt;2,EW652/EO652&lt;0.5),"NM",EW652/EO652*100-100))</f>
        <v>4.999902733514844</v>
      </c>
      <c r="EY652" s="72"/>
      <c r="EZ652" s="296"/>
      <c r="FA652" s="72"/>
      <c r="FB652" s="9"/>
      <c r="FC652" s="11"/>
      <c r="FD652" s="150"/>
      <c r="FE652" s="72"/>
      <c r="FF652" s="150">
        <v>86242</v>
      </c>
      <c r="FG652" s="72" t="str">
        <f t="shared" ref="FG652:FG658" si="3067">IF(ISERROR(FF652/FD652),"NA",IF(OR(FF652/FD652&gt;2,FF652/FD652&lt;0.5),"NM",FF652/FD652*100-100))</f>
        <v>NA</v>
      </c>
      <c r="FH652" s="144">
        <f>Q652</f>
        <v>109360</v>
      </c>
      <c r="FI652" s="72">
        <f t="shared" ref="FI652:FI658" si="3068">IF(ISERROR(FH652/FF652),"NA",IF(OR(FH652/FF652&gt;2,FH652/FF652&lt;0.5),"NM",FH652/FF652*100-100))</f>
        <v>26.805964611210314</v>
      </c>
      <c r="FJ652" s="144">
        <f>Y652</f>
        <v>119132</v>
      </c>
      <c r="FK652" s="72">
        <f t="shared" ref="FK652:FK658" si="3069">IF(ISERROR(FJ652/FH652),"NA",IF(OR(FJ652/FH652&gt;2,FJ652/FH652&lt;0.5),"NM",FJ652/FH652*100-100))</f>
        <v>8.9356254572055605</v>
      </c>
      <c r="FL652" s="144">
        <f>AG652</f>
        <v>116998</v>
      </c>
      <c r="FM652" s="72">
        <f t="shared" ref="FM652:FM658" si="3070">IF(ISERROR(FL652/FJ652),"NA",IF(OR(FL652/FJ652&gt;2,FL652/FJ652&lt;0.5),"NM",FL652/FJ652*100-100))</f>
        <v>-1.7912903334116805</v>
      </c>
      <c r="FN652" s="144">
        <f>AO652</f>
        <v>150685</v>
      </c>
      <c r="FO652" s="72">
        <f t="shared" ref="FO652:FO658" si="3071">IF(ISERROR(FN652/FL652),"NA",IF(OR(FN652/FL652&gt;2,FN652/FL652&lt;0.5),"NM",FN652/FL652*100-100))</f>
        <v>28.792799876920981</v>
      </c>
      <c r="FP652" s="144">
        <f>AW652</f>
        <v>153905</v>
      </c>
      <c r="FQ652" s="72">
        <f t="shared" ref="FQ652:FQ658" si="3072">IF(ISERROR(FP652/FN652),"NA",IF(OR(FP652/FN652&gt;2,FP652/FN652&lt;0.5),"NM",FP652/FN652*100-100))</f>
        <v>2.1369081195872184</v>
      </c>
      <c r="FR652" s="144">
        <f>BE652</f>
        <v>165323</v>
      </c>
      <c r="FS652" s="72">
        <f t="shared" ref="FS652:FS658" si="3073">IF(ISERROR(FR652/FP652),"NA",IF(OR(FR652/FP652&gt;2,FR652/FP652&lt;0.5),"NM",FR652/FP652*100-100))</f>
        <v>7.4188622851759192</v>
      </c>
      <c r="FT652" s="144">
        <f>BM652</f>
        <v>173609</v>
      </c>
      <c r="FU652" s="72">
        <f t="shared" ref="FU652:FU658" si="3074">IF(ISERROR(FT652/FR652),"NA",IF(OR(FT652/FR652&gt;2,FT652/FR652&lt;0.5),"NM",FT652/FR652*100-100))</f>
        <v>5.012006798812024</v>
      </c>
      <c r="FV652" s="144">
        <f>BU652</f>
        <v>183318</v>
      </c>
      <c r="FW652" s="72">
        <f t="shared" ref="FW652:GG658" si="3075">IF(ISERROR(FV652/FT652),"NA",IF(OR(FV652/FT652&gt;2,FV652/FT652&lt;0.5),"NM",FV652/FT652*100-100))</f>
        <v>5.5924520042163692</v>
      </c>
      <c r="FX652" s="144">
        <f>CC652</f>
        <v>198105</v>
      </c>
      <c r="FY652" s="72">
        <f t="shared" si="3075"/>
        <v>8.0663110005564107</v>
      </c>
      <c r="FZ652" s="144">
        <f>CK652</f>
        <v>218356</v>
      </c>
      <c r="GA652" s="72">
        <f t="shared" si="3075"/>
        <v>10.222356830973482</v>
      </c>
      <c r="GB652" s="144">
        <f>CS652</f>
        <v>289438</v>
      </c>
      <c r="GC652" s="72">
        <f t="shared" si="3075"/>
        <v>32.553261646119182</v>
      </c>
      <c r="GD652" s="144">
        <f>DA652</f>
        <v>337662</v>
      </c>
      <c r="GE652" s="72">
        <f t="shared" si="3075"/>
        <v>16.661253878205343</v>
      </c>
      <c r="GF652" s="144">
        <f>DI652</f>
        <v>332159</v>
      </c>
      <c r="GG652" s="72">
        <f t="shared" si="3075"/>
        <v>-1.629736245120867</v>
      </c>
      <c r="GH652" s="144">
        <f>DQ652</f>
        <v>353257</v>
      </c>
      <c r="GI652" s="72">
        <f t="shared" ref="GI652:GU658" si="3076">IF(ISERROR(GH652/GF652),"NA",IF(OR(GH652/GF652&gt;2,GH652/GF652&lt;0.5),"NM",GH652/GF652*100-100))</f>
        <v>6.3517773114682967</v>
      </c>
      <c r="GJ652" s="144">
        <f>DY652</f>
        <v>357434</v>
      </c>
      <c r="GK652" s="72">
        <f t="shared" si="3076"/>
        <v>1.1824252597966876</v>
      </c>
      <c r="GL652" s="144">
        <f>EG652</f>
        <v>384526</v>
      </c>
      <c r="GM652" s="72">
        <f t="shared" si="3076"/>
        <v>7.5795811254665324</v>
      </c>
      <c r="GN652" s="144">
        <f>EO652</f>
        <v>408580</v>
      </c>
      <c r="GO652" s="72">
        <f t="shared" si="3076"/>
        <v>6.255493776753724</v>
      </c>
      <c r="GP652" s="144">
        <f>EW652</f>
        <v>429008.60258859495</v>
      </c>
      <c r="GQ652" s="72">
        <f t="shared" si="3076"/>
        <v>4.999902733514844</v>
      </c>
      <c r="GR652" s="150">
        <f>GP652*1.05</f>
        <v>450459.03271802474</v>
      </c>
      <c r="GS652" s="72">
        <f t="shared" si="3076"/>
        <v>5</v>
      </c>
      <c r="GT652" s="150">
        <f>GR652*1.05</f>
        <v>472981.98435392597</v>
      </c>
      <c r="GU652" s="72">
        <f t="shared" si="3076"/>
        <v>5</v>
      </c>
      <c r="GV652" s="150">
        <f>GT652*1.05</f>
        <v>496631.08357162232</v>
      </c>
      <c r="GW652" s="72">
        <f t="shared" ref="GW652:GW658" si="3077">IF(ISERROR(GV652/GT652),"NA",IF(OR(GV652/GT652&gt;2,GV652/GT652&lt;0.5),"NM",GV652/GT652*100-100))</f>
        <v>5</v>
      </c>
      <c r="GX652" s="150">
        <f>GV652*1.05</f>
        <v>521462.63775020349</v>
      </c>
      <c r="GY652" s="72">
        <f t="shared" ref="GY652:GY658" si="3078">IF(ISERROR(GX652/GV652),"NA",IF(OR(GX652/GV652&gt;2,GX652/GV652&lt;0.5),"NM",GX652/GV652*100-100))</f>
        <v>5</v>
      </c>
      <c r="GZ652" s="72">
        <f t="shared" ref="GZ652:GZ658" si="3079">IF(ISERROR(((GX652/GN652)^0.2-1)*100),"NA",IF((((GX652/GN652)^0.2-1)*100)&gt;100,"NM",IF((((GX652/GN652)^0.2-1)*100)&lt;-50,"NM",((GX652/GN652)^0.2-1)*100)))</f>
        <v>4.9999805466957703</v>
      </c>
      <c r="HA652" s="72"/>
      <c r="HB652" s="72"/>
      <c r="HC652"/>
      <c r="HD652"/>
      <c r="HE652"/>
      <c r="HF652"/>
      <c r="HG652"/>
      <c r="HH652"/>
      <c r="HI652" s="2"/>
    </row>
    <row r="653" spans="1:217" s="3" customFormat="1" ht="12.75" customHeight="1" x14ac:dyDescent="0.2">
      <c r="B653" s="4" t="s">
        <v>307</v>
      </c>
      <c r="C653" s="150"/>
      <c r="D653" s="150"/>
      <c r="E653" s="150"/>
      <c r="F653" s="11"/>
      <c r="G653" s="150"/>
      <c r="H653" s="11"/>
      <c r="I653" s="150">
        <v>82217</v>
      </c>
      <c r="J653" s="11"/>
      <c r="K653" s="150">
        <v>79066</v>
      </c>
      <c r="L653" s="72" t="str">
        <f t="shared" si="3002"/>
        <v>NA</v>
      </c>
      <c r="M653" s="150">
        <v>79697</v>
      </c>
      <c r="N653" s="72" t="str">
        <f t="shared" si="3003"/>
        <v>NA</v>
      </c>
      <c r="O653" s="150">
        <v>74523</v>
      </c>
      <c r="P653" s="72" t="str">
        <f t="shared" si="3004"/>
        <v>NA</v>
      </c>
      <c r="Q653" s="150">
        <v>77158</v>
      </c>
      <c r="R653" s="72">
        <f t="shared" si="3005"/>
        <v>-6.1532286510089165</v>
      </c>
      <c r="S653" s="150">
        <v>78515</v>
      </c>
      <c r="T653" s="72">
        <f t="shared" si="3006"/>
        <v>-0.6968861457516482</v>
      </c>
      <c r="U653" s="150">
        <v>75101</v>
      </c>
      <c r="V653" s="72">
        <f t="shared" si="3007"/>
        <v>-5.7668419137483227</v>
      </c>
      <c r="W653" s="150">
        <v>69900</v>
      </c>
      <c r="X653" s="72">
        <f t="shared" si="3008"/>
        <v>-6.2034539672315958</v>
      </c>
      <c r="Y653" s="150">
        <v>70555</v>
      </c>
      <c r="Z653" s="72">
        <f t="shared" si="3009"/>
        <v>-8.5577645869514498</v>
      </c>
      <c r="AA653" s="150">
        <v>70710</v>
      </c>
      <c r="AB653" s="72">
        <f t="shared" si="3010"/>
        <v>-9.9407756479653671</v>
      </c>
      <c r="AC653" s="150">
        <v>99116</v>
      </c>
      <c r="AD653" s="72">
        <f t="shared" si="3011"/>
        <v>31.976937723865177</v>
      </c>
      <c r="AE653" s="150">
        <v>101841</v>
      </c>
      <c r="AF653" s="72">
        <f t="shared" si="3012"/>
        <v>45.695278969957087</v>
      </c>
      <c r="AG653" s="150">
        <v>106680</v>
      </c>
      <c r="AH653" s="72">
        <f t="shared" si="3013"/>
        <v>51.201190560555574</v>
      </c>
      <c r="AI653" s="150">
        <v>106833</v>
      </c>
      <c r="AJ653" s="72">
        <f t="shared" si="3014"/>
        <v>51.086126431904944</v>
      </c>
      <c r="AK653" s="150">
        <v>103961</v>
      </c>
      <c r="AL653" s="72">
        <f t="shared" si="3015"/>
        <v>4.8882117922434389</v>
      </c>
      <c r="AM653" s="150">
        <v>105621</v>
      </c>
      <c r="AN653" s="72">
        <f t="shared" si="3016"/>
        <v>3.7116681886470104</v>
      </c>
      <c r="AO653" s="150">
        <v>115568</v>
      </c>
      <c r="AP653" s="72">
        <f t="shared" si="3017"/>
        <v>8.33145856767905</v>
      </c>
      <c r="AQ653" s="150">
        <v>142568</v>
      </c>
      <c r="AR653" s="72">
        <f t="shared" si="3018"/>
        <v>33.449402338228822</v>
      </c>
      <c r="AS653" s="150">
        <v>149256</v>
      </c>
      <c r="AT653" s="72">
        <f t="shared" si="3019"/>
        <v>43.569223074037382</v>
      </c>
      <c r="AU653" s="150">
        <v>155400</v>
      </c>
      <c r="AV653" s="72">
        <f t="shared" si="3020"/>
        <v>47.129832135654851</v>
      </c>
      <c r="AW653" s="150">
        <v>157561</v>
      </c>
      <c r="AX653" s="72">
        <f t="shared" si="3021"/>
        <v>36.336183026443308</v>
      </c>
      <c r="AY653" s="150">
        <v>170134</v>
      </c>
      <c r="AZ653" s="72">
        <f t="shared" si="3022"/>
        <v>19.335334717468157</v>
      </c>
      <c r="BA653" s="150">
        <v>166735</v>
      </c>
      <c r="BB653" s="72">
        <f t="shared" si="3023"/>
        <v>11.710751996569655</v>
      </c>
      <c r="BC653" s="150">
        <v>175363</v>
      </c>
      <c r="BD653" s="72">
        <f t="shared" si="3024"/>
        <v>12.846203346203339</v>
      </c>
      <c r="BE653" s="150">
        <v>177463</v>
      </c>
      <c r="BF653" s="72">
        <f t="shared" si="3025"/>
        <v>12.631298354288177</v>
      </c>
      <c r="BG653" s="150">
        <v>181618</v>
      </c>
      <c r="BH653" s="72">
        <f t="shared" si="3026"/>
        <v>6.7499735502603926</v>
      </c>
      <c r="BI653" s="150">
        <v>187403</v>
      </c>
      <c r="BJ653" s="72">
        <f t="shared" si="3027"/>
        <v>12.395717755720142</v>
      </c>
      <c r="BK653" s="150">
        <v>195324</v>
      </c>
      <c r="BL653" s="72">
        <f t="shared" si="3028"/>
        <v>11.382674794568985</v>
      </c>
      <c r="BM653" s="150">
        <v>195583</v>
      </c>
      <c r="BN653" s="72">
        <f t="shared" si="3029"/>
        <v>10.210579106630675</v>
      </c>
      <c r="BO653" s="150">
        <v>181902</v>
      </c>
      <c r="BP653" s="72">
        <f t="shared" si="3030"/>
        <v>0.15637216575450452</v>
      </c>
      <c r="BQ653" s="150">
        <v>179323</v>
      </c>
      <c r="BR653" s="72">
        <f t="shared" si="3031"/>
        <v>-4.3115638490312307</v>
      </c>
      <c r="BS653" s="150">
        <v>165148</v>
      </c>
      <c r="BT653" s="72">
        <f t="shared" si="3032"/>
        <v>-15.449202350965578</v>
      </c>
      <c r="BU653" s="150">
        <v>147095</v>
      </c>
      <c r="BV653" s="72">
        <f t="shared" si="3033"/>
        <v>-24.791520735442248</v>
      </c>
      <c r="BW653" s="150">
        <v>139638</v>
      </c>
      <c r="BX653" s="72">
        <f t="shared" si="3034"/>
        <v>-23.23448890061681</v>
      </c>
      <c r="BY653" s="150">
        <v>151266</v>
      </c>
      <c r="BZ653" s="72">
        <f t="shared" si="3035"/>
        <v>-15.646068825527124</v>
      </c>
      <c r="CA653" s="150">
        <v>168128</v>
      </c>
      <c r="CB653" s="72">
        <f t="shared" si="3036"/>
        <v>1.8044420761983133</v>
      </c>
      <c r="CC653" s="150">
        <v>174074</v>
      </c>
      <c r="CD653" s="72">
        <f t="shared" si="3037"/>
        <v>18.341208062816534</v>
      </c>
      <c r="CE653" s="150">
        <v>182621</v>
      </c>
      <c r="CF653" s="72">
        <f t="shared" si="3038"/>
        <v>30.781735630702229</v>
      </c>
      <c r="CG653" s="150">
        <v>179260</v>
      </c>
      <c r="CH653" s="72">
        <f t="shared" si="3039"/>
        <v>18.506472042626896</v>
      </c>
      <c r="CI653" s="150">
        <v>194463</v>
      </c>
      <c r="CJ653" s="72">
        <f t="shared" si="3040"/>
        <v>15.663661020175113</v>
      </c>
      <c r="CK653" s="150">
        <v>207776</v>
      </c>
      <c r="CL653" s="72">
        <f t="shared" si="3040"/>
        <v>19.360731642864536</v>
      </c>
      <c r="CM653" s="150">
        <v>218382</v>
      </c>
      <c r="CN653" s="72">
        <f t="shared" si="3040"/>
        <v>19.58208530234748</v>
      </c>
      <c r="CO653" s="150">
        <v>222892</v>
      </c>
      <c r="CP653" s="72">
        <f t="shared" si="3040"/>
        <v>24.340064710476412</v>
      </c>
      <c r="CQ653" s="150">
        <v>207366</v>
      </c>
      <c r="CR653" s="72">
        <f t="shared" si="3040"/>
        <v>6.6351953842119116</v>
      </c>
      <c r="CS653" s="150">
        <v>218380</v>
      </c>
      <c r="CT653" s="72">
        <f t="shared" si="3040"/>
        <v>5.1035730787001228</v>
      </c>
      <c r="CU653" s="150">
        <v>236567</v>
      </c>
      <c r="CV653" s="72">
        <f t="shared" si="3041"/>
        <v>8.3271515051606855</v>
      </c>
      <c r="CW653" s="150">
        <v>235268</v>
      </c>
      <c r="CX653" s="72">
        <f t="shared" si="3042"/>
        <v>5.5524648708791631</v>
      </c>
      <c r="CY653" s="150">
        <v>247510</v>
      </c>
      <c r="CZ653" s="72">
        <f t="shared" si="3043"/>
        <v>19.359007744760476</v>
      </c>
      <c r="DA653" s="150">
        <v>253254</v>
      </c>
      <c r="DB653" s="72">
        <f t="shared" si="3044"/>
        <v>15.969411118234262</v>
      </c>
      <c r="DC653" s="150">
        <v>266308</v>
      </c>
      <c r="DD653" s="72">
        <f t="shared" si="3045"/>
        <v>12.57191408776373</v>
      </c>
      <c r="DE653" s="150">
        <v>264054</v>
      </c>
      <c r="DF653" s="72">
        <f t="shared" si="3046"/>
        <v>12.23540813030246</v>
      </c>
      <c r="DG653" s="150">
        <v>275091</v>
      </c>
      <c r="DH653" s="72">
        <f t="shared" si="3047"/>
        <v>11.1433881459335</v>
      </c>
      <c r="DI653" s="150">
        <v>285060</v>
      </c>
      <c r="DJ653" s="72">
        <f t="shared" si="3048"/>
        <v>12.558932928996185</v>
      </c>
      <c r="DK653" s="150">
        <v>288161</v>
      </c>
      <c r="DL653" s="72">
        <f t="shared" si="3049"/>
        <v>8.2059119515748762</v>
      </c>
      <c r="DM653" s="150">
        <v>296801</v>
      </c>
      <c r="DN653" s="72">
        <f t="shared" si="3050"/>
        <v>12.401629969627407</v>
      </c>
      <c r="DO653" s="150">
        <v>292616</v>
      </c>
      <c r="DP653" s="72">
        <f t="shared" si="3050"/>
        <v>6.3706191769269225</v>
      </c>
      <c r="DQ653" s="150">
        <v>296435</v>
      </c>
      <c r="DR653" s="72">
        <f t="shared" si="3050"/>
        <v>3.9903879884936515</v>
      </c>
      <c r="DS653" s="150">
        <v>302706</v>
      </c>
      <c r="DT653" s="72">
        <f t="shared" si="3050"/>
        <v>5.0475255152501575</v>
      </c>
      <c r="DU653" s="150">
        <v>296341</v>
      </c>
      <c r="DV653" s="72">
        <f t="shared" si="3050"/>
        <v>-0.1549860007210242</v>
      </c>
      <c r="DW653" s="150">
        <v>280616</v>
      </c>
      <c r="DX653" s="72">
        <f t="shared" si="3050"/>
        <v>-4.1009377477649878</v>
      </c>
      <c r="DY653" s="150">
        <v>285570</v>
      </c>
      <c r="DZ653" s="72">
        <f t="shared" si="3050"/>
        <v>-3.6652217180832167</v>
      </c>
      <c r="EA653" s="150">
        <v>281501</v>
      </c>
      <c r="EB653" s="72">
        <f t="shared" si="3051"/>
        <v>-7.0051469082211781</v>
      </c>
      <c r="EC653" s="150">
        <v>284832</v>
      </c>
      <c r="ED653" s="72">
        <f t="shared" si="3052"/>
        <v>-3.8837015465291671</v>
      </c>
      <c r="EE653" s="150">
        <v>291550</v>
      </c>
      <c r="EF653" s="72">
        <f t="shared" si="3053"/>
        <v>3.8964278587108225</v>
      </c>
      <c r="EG653" s="150">
        <v>287636</v>
      </c>
      <c r="EH653" s="72">
        <f t="shared" si="3054"/>
        <v>0.72346535000176004</v>
      </c>
      <c r="EI653" s="150">
        <v>293805</v>
      </c>
      <c r="EJ653" s="72">
        <f t="shared" si="3055"/>
        <v>4.3708548104624896</v>
      </c>
      <c r="EK653" s="150">
        <v>297433</v>
      </c>
      <c r="EL653" s="72">
        <f t="shared" si="3056"/>
        <v>4.4240113470396665</v>
      </c>
      <c r="EM653" s="150">
        <v>301110</v>
      </c>
      <c r="EN653" s="72">
        <f t="shared" si="3057"/>
        <v>3.2790258960727243</v>
      </c>
      <c r="EO653" s="150">
        <v>306617</v>
      </c>
      <c r="EP653" s="72">
        <f t="shared" si="3058"/>
        <v>6.5989653589954003</v>
      </c>
      <c r="EQ653" s="150">
        <f t="shared" ref="EQ653" si="3080">EO653*1.01706</f>
        <v>311847.88602000003</v>
      </c>
      <c r="ER653" s="72">
        <f t="shared" si="3060"/>
        <v>6.1411092459284333</v>
      </c>
      <c r="ES653" s="150">
        <f t="shared" ref="ES653" si="3081">EQ653*1.01706</f>
        <v>317168.01095550123</v>
      </c>
      <c r="ET653" s="72">
        <f t="shared" si="3062"/>
        <v>6.6351114219004756</v>
      </c>
      <c r="EU653" s="150">
        <f t="shared" ref="EU653" si="3082">ES653*1.01706</f>
        <v>322578.8972224021</v>
      </c>
      <c r="EV653" s="72">
        <f t="shared" si="3064"/>
        <v>7.1299183761422995</v>
      </c>
      <c r="EW653" s="150">
        <f t="shared" ref="EW653" si="3083">EU653*1.01706</f>
        <v>328082.09320901631</v>
      </c>
      <c r="EX653" s="72">
        <f t="shared" si="3066"/>
        <v>7.0006207121641353</v>
      </c>
      <c r="EY653" s="72"/>
      <c r="EZ653" s="296"/>
      <c r="FA653" s="72"/>
      <c r="FB653" s="9"/>
      <c r="FC653" s="11"/>
      <c r="FD653" s="150"/>
      <c r="FE653" s="72"/>
      <c r="FF653" s="150">
        <v>82217</v>
      </c>
      <c r="FG653" s="72" t="str">
        <f t="shared" si="3067"/>
        <v>NA</v>
      </c>
      <c r="FH653" s="144">
        <f>Q653</f>
        <v>77158</v>
      </c>
      <c r="FI653" s="72">
        <f t="shared" si="3068"/>
        <v>-6.1532286510089165</v>
      </c>
      <c r="FJ653" s="144">
        <f>Y653</f>
        <v>70555</v>
      </c>
      <c r="FK653" s="72">
        <f t="shared" si="3069"/>
        <v>-8.5577645869514498</v>
      </c>
      <c r="FL653" s="144">
        <f>AG653</f>
        <v>106680</v>
      </c>
      <c r="FM653" s="72">
        <f t="shared" si="3070"/>
        <v>51.201190560555574</v>
      </c>
      <c r="FN653" s="144">
        <f>AO653</f>
        <v>115568</v>
      </c>
      <c r="FO653" s="72">
        <f t="shared" si="3071"/>
        <v>8.33145856767905</v>
      </c>
      <c r="FP653" s="144">
        <f>AW653</f>
        <v>157561</v>
      </c>
      <c r="FQ653" s="72">
        <f t="shared" si="3072"/>
        <v>36.336183026443308</v>
      </c>
      <c r="FR653" s="144">
        <f>BE653</f>
        <v>177463</v>
      </c>
      <c r="FS653" s="72">
        <f t="shared" si="3073"/>
        <v>12.631298354288177</v>
      </c>
      <c r="FT653" s="144">
        <f>BM653</f>
        <v>195583</v>
      </c>
      <c r="FU653" s="72">
        <f t="shared" si="3074"/>
        <v>10.210579106630675</v>
      </c>
      <c r="FV653" s="144">
        <f>BU653</f>
        <v>147095</v>
      </c>
      <c r="FW653" s="72">
        <f t="shared" si="3075"/>
        <v>-24.791520735442248</v>
      </c>
      <c r="FX653" s="144">
        <f>CC653</f>
        <v>174074</v>
      </c>
      <c r="FY653" s="72">
        <f t="shared" si="3075"/>
        <v>18.341208062816534</v>
      </c>
      <c r="FZ653" s="144">
        <f>CK653</f>
        <v>207776</v>
      </c>
      <c r="GA653" s="72">
        <f t="shared" si="3075"/>
        <v>19.360731642864536</v>
      </c>
      <c r="GB653" s="144">
        <f>CS653</f>
        <v>218380</v>
      </c>
      <c r="GC653" s="72">
        <f t="shared" si="3075"/>
        <v>5.1035730787001228</v>
      </c>
      <c r="GD653" s="144">
        <f>DA653</f>
        <v>253254</v>
      </c>
      <c r="GE653" s="72">
        <f t="shared" si="3075"/>
        <v>15.969411118234262</v>
      </c>
      <c r="GF653" s="144">
        <f>DI653</f>
        <v>285060</v>
      </c>
      <c r="GG653" s="72">
        <f t="shared" si="3075"/>
        <v>12.558932928996185</v>
      </c>
      <c r="GH653" s="144">
        <f>DQ653</f>
        <v>296435</v>
      </c>
      <c r="GI653" s="72">
        <f t="shared" si="3076"/>
        <v>3.9903879884936515</v>
      </c>
      <c r="GJ653" s="144">
        <f>DY653</f>
        <v>285570</v>
      </c>
      <c r="GK653" s="72">
        <f t="shared" si="3076"/>
        <v>-3.6652217180832167</v>
      </c>
      <c r="GL653" s="144">
        <f>EG653</f>
        <v>287636</v>
      </c>
      <c r="GM653" s="72">
        <f t="shared" si="3076"/>
        <v>0.72346535000176004</v>
      </c>
      <c r="GN653" s="144">
        <f>EO653</f>
        <v>306617</v>
      </c>
      <c r="GO653" s="72">
        <f t="shared" si="3076"/>
        <v>6.5989653589954003</v>
      </c>
      <c r="GP653" s="144">
        <f>EW653</f>
        <v>328082.09320901631</v>
      </c>
      <c r="GQ653" s="72">
        <f t="shared" si="3076"/>
        <v>7.0006207121641353</v>
      </c>
      <c r="GR653" s="150">
        <f>GP653*1.07</f>
        <v>351047.83973364747</v>
      </c>
      <c r="GS653" s="72">
        <f t="shared" si="3076"/>
        <v>7</v>
      </c>
      <c r="GT653" s="150">
        <f>GR653*1.07</f>
        <v>375621.18851500284</v>
      </c>
      <c r="GU653" s="72">
        <f t="shared" si="3076"/>
        <v>7</v>
      </c>
      <c r="GV653" s="150">
        <f>GT653*1.07</f>
        <v>401914.67171105306</v>
      </c>
      <c r="GW653" s="72">
        <f t="shared" si="3077"/>
        <v>7</v>
      </c>
      <c r="GX653" s="150">
        <f>GV653*1.07</f>
        <v>430048.69873082679</v>
      </c>
      <c r="GY653" s="72">
        <f t="shared" si="3078"/>
        <v>7</v>
      </c>
      <c r="GZ653" s="72">
        <f t="shared" si="3079"/>
        <v>7.0001241421447702</v>
      </c>
      <c r="HA653" s="72"/>
      <c r="HB653" s="72"/>
      <c r="HC653"/>
      <c r="HD653"/>
      <c r="HE653"/>
      <c r="HF653"/>
      <c r="HG653"/>
      <c r="HH653"/>
      <c r="HI653" s="2"/>
    </row>
    <row r="654" spans="1:217" s="3" customFormat="1" ht="12.75" customHeight="1" x14ac:dyDescent="0.2">
      <c r="B654" s="4" t="s">
        <v>339</v>
      </c>
      <c r="C654" s="150"/>
      <c r="D654" s="150"/>
      <c r="E654" s="150"/>
      <c r="F654" s="11"/>
      <c r="G654" s="150"/>
      <c r="H654" s="11"/>
      <c r="I654" s="150">
        <v>5389</v>
      </c>
      <c r="J654" s="11"/>
      <c r="K654" s="150">
        <v>5284</v>
      </c>
      <c r="L654" s="72" t="str">
        <f t="shared" si="3002"/>
        <v>NA</v>
      </c>
      <c r="M654" s="150">
        <v>5445</v>
      </c>
      <c r="N654" s="72" t="str">
        <f t="shared" si="3003"/>
        <v>NA</v>
      </c>
      <c r="O654" s="150">
        <v>5525</v>
      </c>
      <c r="P654" s="72" t="str">
        <f t="shared" si="3004"/>
        <v>NA</v>
      </c>
      <c r="Q654" s="150">
        <v>5538</v>
      </c>
      <c r="R654" s="72">
        <f t="shared" si="3005"/>
        <v>2.7648914455372022</v>
      </c>
      <c r="S654" s="150">
        <v>5660</v>
      </c>
      <c r="T654" s="72">
        <f t="shared" si="3006"/>
        <v>7.115821347464049</v>
      </c>
      <c r="U654" s="150">
        <v>5859</v>
      </c>
      <c r="V654" s="72">
        <f t="shared" si="3007"/>
        <v>7.6033057851239647</v>
      </c>
      <c r="W654" s="150">
        <v>5750</v>
      </c>
      <c r="X654" s="72">
        <f t="shared" si="3008"/>
        <v>4.0723981900452628</v>
      </c>
      <c r="Y654" s="150">
        <v>5875</v>
      </c>
      <c r="Z654" s="72">
        <f t="shared" si="3009"/>
        <v>6.0852293246659599</v>
      </c>
      <c r="AA654" s="150">
        <v>5926</v>
      </c>
      <c r="AB654" s="72">
        <f t="shared" si="3010"/>
        <v>4.6996466431095314</v>
      </c>
      <c r="AC654" s="150">
        <v>5997</v>
      </c>
      <c r="AD654" s="72">
        <f t="shared" si="3011"/>
        <v>2.3553507424475271</v>
      </c>
      <c r="AE654" s="150">
        <v>6348</v>
      </c>
      <c r="AF654" s="72">
        <f t="shared" si="3012"/>
        <v>10.400000000000006</v>
      </c>
      <c r="AG654" s="150">
        <v>6605</v>
      </c>
      <c r="AH654" s="72">
        <f t="shared" si="3013"/>
        <v>12.425531914893611</v>
      </c>
      <c r="AI654" s="150">
        <v>6665</v>
      </c>
      <c r="AJ654" s="72">
        <f t="shared" si="3014"/>
        <v>12.470469119136013</v>
      </c>
      <c r="AK654" s="150">
        <v>7005</v>
      </c>
      <c r="AL654" s="72">
        <f t="shared" si="3015"/>
        <v>16.808404202101059</v>
      </c>
      <c r="AM654" s="150">
        <v>6923</v>
      </c>
      <c r="AN654" s="72">
        <f t="shared" si="3016"/>
        <v>9.0579710144927503</v>
      </c>
      <c r="AO654" s="150">
        <v>7624</v>
      </c>
      <c r="AP654" s="72">
        <f t="shared" si="3017"/>
        <v>15.427706283118852</v>
      </c>
      <c r="AQ654" s="150">
        <v>7854</v>
      </c>
      <c r="AR654" s="72">
        <f t="shared" si="3018"/>
        <v>17.839459864966244</v>
      </c>
      <c r="AS654" s="150">
        <v>7891</v>
      </c>
      <c r="AT654" s="72">
        <f t="shared" si="3019"/>
        <v>12.648108493932895</v>
      </c>
      <c r="AU654" s="150">
        <v>8131</v>
      </c>
      <c r="AV654" s="72">
        <f t="shared" si="3020"/>
        <v>17.449082767586304</v>
      </c>
      <c r="AW654" s="150">
        <v>8357</v>
      </c>
      <c r="AX654" s="72">
        <f t="shared" si="3021"/>
        <v>9.6143756558237072</v>
      </c>
      <c r="AY654" s="150">
        <v>8776</v>
      </c>
      <c r="AZ654" s="72">
        <f t="shared" si="3022"/>
        <v>11.739241151005871</v>
      </c>
      <c r="BA654" s="150">
        <v>9239</v>
      </c>
      <c r="BB654" s="72">
        <f t="shared" si="3023"/>
        <v>17.082752502851335</v>
      </c>
      <c r="BC654" s="150">
        <v>9540</v>
      </c>
      <c r="BD654" s="72">
        <f t="shared" si="3024"/>
        <v>17.328741852170708</v>
      </c>
      <c r="BE654" s="150">
        <v>9854</v>
      </c>
      <c r="BF654" s="72">
        <f t="shared" si="3025"/>
        <v>17.913126720114875</v>
      </c>
      <c r="BG654" s="150">
        <v>10067</v>
      </c>
      <c r="BH654" s="72">
        <f t="shared" si="3026"/>
        <v>14.710574293527799</v>
      </c>
      <c r="BI654" s="150">
        <v>10404</v>
      </c>
      <c r="BJ654" s="72">
        <f t="shared" si="3027"/>
        <v>12.609589782444004</v>
      </c>
      <c r="BK654" s="150">
        <v>11032</v>
      </c>
      <c r="BL654" s="72">
        <f t="shared" si="3028"/>
        <v>15.639412997903563</v>
      </c>
      <c r="BM654" s="150">
        <v>11032</v>
      </c>
      <c r="BN654" s="72">
        <f t="shared" si="3029"/>
        <v>11.954536228942558</v>
      </c>
      <c r="BO654" s="150">
        <v>11924</v>
      </c>
      <c r="BP654" s="72">
        <f t="shared" si="3030"/>
        <v>18.446409059302681</v>
      </c>
      <c r="BQ654" s="150">
        <v>12203</v>
      </c>
      <c r="BR654" s="72">
        <f t="shared" si="3031"/>
        <v>17.291426374471371</v>
      </c>
      <c r="BS654" s="150">
        <v>12472</v>
      </c>
      <c r="BT654" s="72">
        <f t="shared" si="3032"/>
        <v>13.052936910804931</v>
      </c>
      <c r="BU654" s="150">
        <v>13127</v>
      </c>
      <c r="BV654" s="72">
        <f t="shared" si="3033"/>
        <v>18.990210297316892</v>
      </c>
      <c r="BW654" s="150">
        <v>12223</v>
      </c>
      <c r="BX654" s="72">
        <f t="shared" si="3034"/>
        <v>2.5075478027507501</v>
      </c>
      <c r="BY654" s="150">
        <v>12768</v>
      </c>
      <c r="BZ654" s="72">
        <f t="shared" si="3035"/>
        <v>4.6300090141768493</v>
      </c>
      <c r="CA654" s="150">
        <v>13313</v>
      </c>
      <c r="CB654" s="72">
        <f t="shared" si="3036"/>
        <v>6.7431045542014232</v>
      </c>
      <c r="CC654" s="150">
        <v>13751</v>
      </c>
      <c r="CD654" s="72">
        <f t="shared" si="3037"/>
        <v>4.7535613620781589</v>
      </c>
      <c r="CE654" s="150">
        <v>13962</v>
      </c>
      <c r="CF654" s="72">
        <f t="shared" si="3038"/>
        <v>14.227276446044328</v>
      </c>
      <c r="CG654" s="150">
        <v>13432</v>
      </c>
      <c r="CH654" s="72">
        <f t="shared" si="3039"/>
        <v>5.2005012531328276</v>
      </c>
      <c r="CI654" s="150">
        <v>14291</v>
      </c>
      <c r="CJ654" s="72">
        <f t="shared" si="3040"/>
        <v>7.3462029595132492</v>
      </c>
      <c r="CK654" s="208">
        <f>15672-(3392-3019)-(4261-3214)-(392-344)</f>
        <v>14204</v>
      </c>
      <c r="CL654" s="72">
        <f t="shared" si="3040"/>
        <v>3.2943058686641109</v>
      </c>
      <c r="CM654" s="150">
        <v>12255</v>
      </c>
      <c r="CN654" s="92">
        <f t="shared" si="3040"/>
        <v>-12.226042114310275</v>
      </c>
      <c r="CO654" s="150">
        <v>12500</v>
      </c>
      <c r="CP654" s="92">
        <f t="shared" si="3040"/>
        <v>-6.9386539606908855</v>
      </c>
      <c r="CQ654" s="150">
        <v>11658</v>
      </c>
      <c r="CR654" s="92">
        <f t="shared" si="3040"/>
        <v>-18.424183052270664</v>
      </c>
      <c r="CS654" s="150">
        <v>12056</v>
      </c>
      <c r="CT654" s="92">
        <f t="shared" si="3040"/>
        <v>-15.122500704027033</v>
      </c>
      <c r="CU654" s="150">
        <v>13008</v>
      </c>
      <c r="CV654" s="72">
        <f t="shared" si="3041"/>
        <v>6.1444308445532556</v>
      </c>
      <c r="CW654" s="150">
        <v>12612</v>
      </c>
      <c r="CX654" s="72">
        <f t="shared" si="3042"/>
        <v>0.89600000000001501</v>
      </c>
      <c r="CY654" s="150">
        <v>13250</v>
      </c>
      <c r="CZ654" s="72">
        <f t="shared" si="3043"/>
        <v>13.65585863784527</v>
      </c>
      <c r="DA654" s="150">
        <v>13688</v>
      </c>
      <c r="DB654" s="72">
        <f t="shared" si="3044"/>
        <v>13.536828135368268</v>
      </c>
      <c r="DC654" s="150">
        <v>13968</v>
      </c>
      <c r="DD654" s="72">
        <f t="shared" si="3045"/>
        <v>7.3800738007380176</v>
      </c>
      <c r="DE654" s="150">
        <v>14547</v>
      </c>
      <c r="DF654" s="72">
        <f t="shared" si="3046"/>
        <v>15.342530922930536</v>
      </c>
      <c r="DG654" s="150">
        <v>15812</v>
      </c>
      <c r="DH654" s="72">
        <f t="shared" si="3047"/>
        <v>19.335849056603777</v>
      </c>
      <c r="DI654" s="150">
        <v>16101</v>
      </c>
      <c r="DJ654" s="72">
        <f t="shared" si="3048"/>
        <v>17.62857977790766</v>
      </c>
      <c r="DK654" s="150">
        <v>16229</v>
      </c>
      <c r="DL654" s="72">
        <f t="shared" si="3049"/>
        <v>16.186998854524631</v>
      </c>
      <c r="DM654" s="150">
        <v>16300</v>
      </c>
      <c r="DN654" s="72">
        <f t="shared" si="3050"/>
        <v>12.050594624321164</v>
      </c>
      <c r="DO654" s="150">
        <v>16219</v>
      </c>
      <c r="DP654" s="72">
        <f t="shared" si="3050"/>
        <v>2.5739944346066181</v>
      </c>
      <c r="DQ654" s="150">
        <v>15561</v>
      </c>
      <c r="DR654" s="72">
        <f t="shared" si="3050"/>
        <v>-3.353828954723312</v>
      </c>
      <c r="DS654" s="150">
        <v>15239</v>
      </c>
      <c r="DT654" s="72">
        <f t="shared" si="3050"/>
        <v>-6.1001910160823201</v>
      </c>
      <c r="DU654" s="150">
        <v>16178</v>
      </c>
      <c r="DV654" s="72">
        <f t="shared" si="3050"/>
        <v>-0.74846625766871</v>
      </c>
      <c r="DW654" s="150">
        <v>15824</v>
      </c>
      <c r="DX654" s="72">
        <f t="shared" si="3050"/>
        <v>-2.4354152537147797</v>
      </c>
      <c r="DY654" s="150">
        <v>16345</v>
      </c>
      <c r="DZ654" s="72">
        <f t="shared" si="3050"/>
        <v>5.0382366171839834</v>
      </c>
      <c r="EA654" s="150">
        <v>15636</v>
      </c>
      <c r="EB654" s="72">
        <f t="shared" si="3051"/>
        <v>2.6051578187545203</v>
      </c>
      <c r="EC654" s="150">
        <v>15798</v>
      </c>
      <c r="ED654" s="72">
        <f t="shared" si="3052"/>
        <v>-2.3488688342193029</v>
      </c>
      <c r="EE654" s="150">
        <v>16630</v>
      </c>
      <c r="EF654" s="72">
        <f t="shared" si="3053"/>
        <v>5.0935288169868613</v>
      </c>
      <c r="EG654" s="150">
        <v>17325</v>
      </c>
      <c r="EH654" s="72">
        <f t="shared" si="3054"/>
        <v>5.9957173447537429</v>
      </c>
      <c r="EI654" s="150">
        <v>17872</v>
      </c>
      <c r="EJ654" s="72">
        <f t="shared" si="3055"/>
        <v>14.300332565873617</v>
      </c>
      <c r="EK654" s="150">
        <v>18399</v>
      </c>
      <c r="EL654" s="72">
        <f t="shared" si="3056"/>
        <v>16.464109380934303</v>
      </c>
      <c r="EM654" s="150">
        <v>18416</v>
      </c>
      <c r="EN654" s="72">
        <f t="shared" si="3057"/>
        <v>10.739627179795548</v>
      </c>
      <c r="EO654" s="150">
        <v>18693</v>
      </c>
      <c r="EP654" s="72">
        <f t="shared" si="3058"/>
        <v>7.8961038961038952</v>
      </c>
      <c r="EQ654" s="144">
        <f>EO654-(EQ119+EQ84+EQ239+EQ310+EQ204+EQ377+EQ415+EQ448)</f>
        <v>18939.772171687066</v>
      </c>
      <c r="ER654" s="72">
        <f t="shared" si="3060"/>
        <v>5.9745533330744394</v>
      </c>
      <c r="ES654" s="144">
        <f>EQ654-(ES119+ES84+ES239+ES310+ES204+ES377+ES415+ES448)</f>
        <v>19152.798600944618</v>
      </c>
      <c r="ET654" s="72">
        <f t="shared" si="3062"/>
        <v>4.09695418742659</v>
      </c>
      <c r="EU654" s="144">
        <f>ES654-(EU119+EU84+EU239+EU310+EU204+EU377+EU415+EU448)</f>
        <v>19340.905892216695</v>
      </c>
      <c r="EV654" s="72">
        <f t="shared" si="3064"/>
        <v>5.0222952444433986</v>
      </c>
      <c r="EW654" s="144">
        <f>EU654-(EW119+EW84+EW239+EW310+EW204+EW377+EW415+EW448)</f>
        <v>19540.512673890029</v>
      </c>
      <c r="EX654" s="72">
        <f t="shared" si="3066"/>
        <v>4.533850499598941</v>
      </c>
      <c r="EY654" s="72"/>
      <c r="EZ654" s="296"/>
      <c r="FA654" s="72"/>
      <c r="FB654" s="9"/>
      <c r="FC654" s="11"/>
      <c r="FD654" s="150"/>
      <c r="FE654" s="72"/>
      <c r="FF654" s="150">
        <v>5389</v>
      </c>
      <c r="FG654" s="72" t="str">
        <f t="shared" si="3067"/>
        <v>NA</v>
      </c>
      <c r="FH654" s="144">
        <f>Q654</f>
        <v>5538</v>
      </c>
      <c r="FI654" s="72">
        <f t="shared" si="3068"/>
        <v>2.7648914455372022</v>
      </c>
      <c r="FJ654" s="144">
        <f>Y654</f>
        <v>5875</v>
      </c>
      <c r="FK654" s="72">
        <f t="shared" si="3069"/>
        <v>6.0852293246659599</v>
      </c>
      <c r="FL654" s="144">
        <f>AG654</f>
        <v>6605</v>
      </c>
      <c r="FM654" s="72">
        <f t="shared" si="3070"/>
        <v>12.425531914893611</v>
      </c>
      <c r="FN654" s="144">
        <f>AO654</f>
        <v>7624</v>
      </c>
      <c r="FO654" s="72">
        <f t="shared" si="3071"/>
        <v>15.427706283118852</v>
      </c>
      <c r="FP654" s="144">
        <f>AW654</f>
        <v>8357</v>
      </c>
      <c r="FQ654" s="72">
        <f t="shared" si="3072"/>
        <v>9.6143756558237072</v>
      </c>
      <c r="FR654" s="144">
        <f>BE654</f>
        <v>9854</v>
      </c>
      <c r="FS654" s="72">
        <f t="shared" si="3073"/>
        <v>17.913126720114875</v>
      </c>
      <c r="FT654" s="144">
        <f>BM654</f>
        <v>11032</v>
      </c>
      <c r="FU654" s="72">
        <f t="shared" si="3074"/>
        <v>11.954536228942558</v>
      </c>
      <c r="FV654" s="144">
        <f>BU654</f>
        <v>13127</v>
      </c>
      <c r="FW654" s="72">
        <f t="shared" si="3075"/>
        <v>18.990210297316892</v>
      </c>
      <c r="FX654" s="144">
        <f>CC654</f>
        <v>13751</v>
      </c>
      <c r="FY654" s="72">
        <f t="shared" si="3075"/>
        <v>4.7535613620781589</v>
      </c>
      <c r="FZ654" s="144">
        <f>CK654</f>
        <v>14204</v>
      </c>
      <c r="GA654" s="72">
        <f t="shared" si="3075"/>
        <v>3.2943058686641109</v>
      </c>
      <c r="GB654" s="144">
        <f>CS654</f>
        <v>12056</v>
      </c>
      <c r="GC654" s="72">
        <f t="shared" si="3075"/>
        <v>-15.122500704027033</v>
      </c>
      <c r="GD654" s="144">
        <f>DA654</f>
        <v>13688</v>
      </c>
      <c r="GE654" s="72">
        <f t="shared" si="3075"/>
        <v>13.536828135368268</v>
      </c>
      <c r="GF654" s="144">
        <f>DI654</f>
        <v>16101</v>
      </c>
      <c r="GG654" s="72">
        <f t="shared" si="3075"/>
        <v>17.62857977790766</v>
      </c>
      <c r="GH654" s="144">
        <f>DQ654</f>
        <v>15561</v>
      </c>
      <c r="GI654" s="72">
        <f t="shared" si="3076"/>
        <v>-3.353828954723312</v>
      </c>
      <c r="GJ654" s="144">
        <f>DY654</f>
        <v>16345</v>
      </c>
      <c r="GK654" s="72">
        <f t="shared" si="3076"/>
        <v>5.0382366171839834</v>
      </c>
      <c r="GL654" s="144">
        <f>EG654</f>
        <v>17325</v>
      </c>
      <c r="GM654" s="72">
        <f t="shared" si="3076"/>
        <v>5.9957173447537429</v>
      </c>
      <c r="GN654" s="144">
        <f>EO654</f>
        <v>18693</v>
      </c>
      <c r="GO654" s="72">
        <f t="shared" si="3076"/>
        <v>7.8961038961038952</v>
      </c>
      <c r="GP654" s="144">
        <f>EW654</f>
        <v>19540.512673890029</v>
      </c>
      <c r="GQ654" s="72">
        <f t="shared" si="3076"/>
        <v>4.533850499598941</v>
      </c>
      <c r="GR654" s="144">
        <f>GP654-(GR119+GR84+GR239+GR310+GR204+GR377+GR415+GR448)</f>
        <v>20425.529384418354</v>
      </c>
      <c r="GS654" s="72">
        <f t="shared" si="3076"/>
        <v>4.5291376193567316</v>
      </c>
      <c r="GT654" s="144">
        <f>GR654-(GT119+GT84+GT239+GT310+GT204+GT377+GT415+GT448)</f>
        <v>21349.176252084879</v>
      </c>
      <c r="GU654" s="72">
        <f t="shared" si="3076"/>
        <v>4.5220216831742448</v>
      </c>
      <c r="GV654" s="144">
        <f>GT654-(GV119+GV84+GV239+GV310+GV204+GV377+GV415+GV448)</f>
        <v>22312.755694050356</v>
      </c>
      <c r="GW654" s="72">
        <f t="shared" si="3077"/>
        <v>4.5134267973050157</v>
      </c>
      <c r="GX654" s="144">
        <f>GV654-(GX119+GX84+GX239+GX310+GX204+GX377+GX415+GX448)</f>
        <v>23317.716320601616</v>
      </c>
      <c r="GY654" s="72">
        <f t="shared" si="3078"/>
        <v>4.5039736029522714</v>
      </c>
      <c r="GZ654" s="72">
        <f t="shared" si="3079"/>
        <v>4.5204814871679488</v>
      </c>
      <c r="HA654" s="72"/>
      <c r="HB654" s="72"/>
      <c r="HC654"/>
      <c r="HD654"/>
      <c r="HE654"/>
      <c r="HF654"/>
      <c r="HG654"/>
      <c r="HH654"/>
      <c r="HI654" s="2"/>
    </row>
    <row r="655" spans="1:217" s="3" customFormat="1" ht="12.75" customHeight="1" x14ac:dyDescent="0.2">
      <c r="B655" s="4" t="s">
        <v>401</v>
      </c>
      <c r="C655" s="145"/>
      <c r="D655" s="145"/>
      <c r="E655" s="145"/>
      <c r="F655" s="11"/>
      <c r="G655" s="145"/>
      <c r="H655" s="11"/>
      <c r="I655" s="145">
        <f>I656-I654-I653-I652</f>
        <v>28978</v>
      </c>
      <c r="J655" s="11"/>
      <c r="K655" s="145">
        <f>K656-K654-K653-K652</f>
        <v>29885</v>
      </c>
      <c r="L655" s="72" t="str">
        <f t="shared" si="3002"/>
        <v>NA</v>
      </c>
      <c r="M655" s="145">
        <f>M656-M654-M653-M652</f>
        <v>32803</v>
      </c>
      <c r="N655" s="72" t="str">
        <f t="shared" si="3003"/>
        <v>NA</v>
      </c>
      <c r="O655" s="145">
        <f>O656-O654-O653-O652</f>
        <v>37103</v>
      </c>
      <c r="P655" s="72" t="str">
        <f t="shared" si="3004"/>
        <v>NA</v>
      </c>
      <c r="Q655" s="145">
        <f>Q656-Q654-Q653-Q652</f>
        <v>39249</v>
      </c>
      <c r="R655" s="72">
        <f t="shared" si="3005"/>
        <v>35.444130029677666</v>
      </c>
      <c r="S655" s="145">
        <f>S656-S654-S653-S652</f>
        <v>34018</v>
      </c>
      <c r="T655" s="72">
        <f t="shared" si="3006"/>
        <v>13.829680441693142</v>
      </c>
      <c r="U655" s="145">
        <f>U656-U654-U653-U652</f>
        <v>32717</v>
      </c>
      <c r="V655" s="72">
        <f t="shared" si="3007"/>
        <v>-0.26217114288327537</v>
      </c>
      <c r="W655" s="145">
        <f>W656-W654-W653-W652</f>
        <v>30384</v>
      </c>
      <c r="X655" s="72">
        <f t="shared" si="3008"/>
        <v>-18.109047785893324</v>
      </c>
      <c r="Y655" s="145">
        <f>Y656-Y654-Y653-Y652</f>
        <v>27608</v>
      </c>
      <c r="Z655" s="72">
        <f t="shared" si="3009"/>
        <v>-29.659354378455504</v>
      </c>
      <c r="AA655" s="145">
        <f>AA656-AA654-AA653-AA652</f>
        <v>28120</v>
      </c>
      <c r="AB655" s="72">
        <f t="shared" si="3010"/>
        <v>-17.337879945910984</v>
      </c>
      <c r="AC655" s="145">
        <f>AC656-AC654-AC653-AC652</f>
        <v>30998</v>
      </c>
      <c r="AD655" s="72">
        <f t="shared" si="3011"/>
        <v>-5.2541492190604231</v>
      </c>
      <c r="AE655" s="145">
        <f>AE656-AE654-AE653-AE652</f>
        <v>22857</v>
      </c>
      <c r="AF655" s="72">
        <f t="shared" si="3012"/>
        <v>-24.772906793048975</v>
      </c>
      <c r="AG655" s="145">
        <f>AG656-AG654-AG653-AG652</f>
        <v>22255</v>
      </c>
      <c r="AH655" s="72">
        <f t="shared" si="3013"/>
        <v>-19.389307447116778</v>
      </c>
      <c r="AI655" s="145">
        <f>AI656-AI654-AI653-AI652</f>
        <v>25754</v>
      </c>
      <c r="AJ655" s="72">
        <f t="shared" si="3014"/>
        <v>-8.413940256045521</v>
      </c>
      <c r="AK655" s="145">
        <f>AK656-AK654-AK653-AK652</f>
        <v>56044</v>
      </c>
      <c r="AL655" s="72">
        <f t="shared" si="3015"/>
        <v>80.79876121040067</v>
      </c>
      <c r="AM655" s="145">
        <f>AM656-AM654-AM653-AM652</f>
        <v>56613</v>
      </c>
      <c r="AN655" s="72" t="str">
        <f t="shared" si="3016"/>
        <v>NM</v>
      </c>
      <c r="AO655" s="145">
        <f>AO656-AO654-AO653-AO652</f>
        <v>55371</v>
      </c>
      <c r="AP655" s="72" t="str">
        <f t="shared" si="3017"/>
        <v>NM</v>
      </c>
      <c r="AQ655" s="145">
        <f>AQ656-AQ654-AQ653-AQ652</f>
        <v>27130</v>
      </c>
      <c r="AR655" s="72">
        <f t="shared" si="3018"/>
        <v>5.3428593616525575</v>
      </c>
      <c r="AS655" s="145">
        <f>AS656-AS654-AS653-AS652</f>
        <v>25519</v>
      </c>
      <c r="AT655" s="72" t="str">
        <f t="shared" si="3019"/>
        <v>NM</v>
      </c>
      <c r="AU655" s="145">
        <f>AU656-AU654-AU653-AU652</f>
        <v>26404</v>
      </c>
      <c r="AV655" s="72" t="str">
        <f t="shared" si="3020"/>
        <v>NM</v>
      </c>
      <c r="AW655" s="145">
        <f>AW656-AW654-AW653-AW652</f>
        <v>25468</v>
      </c>
      <c r="AX655" s="72" t="str">
        <f t="shared" si="3021"/>
        <v>NM</v>
      </c>
      <c r="AY655" s="145">
        <f>AY656-AY654-AY653-AY652</f>
        <v>27074</v>
      </c>
      <c r="AZ655" s="72">
        <f t="shared" si="3022"/>
        <v>-0.20641356431994495</v>
      </c>
      <c r="BA655" s="145">
        <f>BA656-BA654-BA653-BA652</f>
        <v>29011</v>
      </c>
      <c r="BB655" s="72">
        <f t="shared" si="3023"/>
        <v>13.683921783768966</v>
      </c>
      <c r="BC655" s="145">
        <f>BC656-BC654-BC653-BC652</f>
        <v>28177</v>
      </c>
      <c r="BD655" s="72">
        <f t="shared" si="3024"/>
        <v>6.7148916830783207</v>
      </c>
      <c r="BE655" s="145">
        <f>BE656-BE654-BE653-BE652</f>
        <v>27627</v>
      </c>
      <c r="BF655" s="72">
        <f t="shared" si="3025"/>
        <v>8.4773048531490645</v>
      </c>
      <c r="BG655" s="145">
        <f>BG656-BG654-BG653-BG652</f>
        <v>26212</v>
      </c>
      <c r="BH655" s="72">
        <f t="shared" si="3026"/>
        <v>-3.183866440127062</v>
      </c>
      <c r="BI655" s="145">
        <f>BI656-BI654-BI653-BI652</f>
        <v>24746</v>
      </c>
      <c r="BJ655" s="72">
        <f t="shared" si="3027"/>
        <v>-14.70132018889386</v>
      </c>
      <c r="BK655" s="145">
        <f>BK656-BK654-BK653-BK652</f>
        <v>27734</v>
      </c>
      <c r="BL655" s="72">
        <f t="shared" si="3028"/>
        <v>-1.572204280086595</v>
      </c>
      <c r="BM655" s="145">
        <f>BM656-BM654-BM653-BM652</f>
        <v>31807</v>
      </c>
      <c r="BN655" s="72">
        <f t="shared" si="3029"/>
        <v>15.130126325695883</v>
      </c>
      <c r="BO655" s="145">
        <f>BO656-BO654-BO653-BO652</f>
        <v>32005</v>
      </c>
      <c r="BP655" s="72">
        <f t="shared" si="3030"/>
        <v>22.100564626888456</v>
      </c>
      <c r="BQ655" s="145">
        <f>BQ656-BQ654-BQ653-BQ652</f>
        <v>35275</v>
      </c>
      <c r="BR655" s="72">
        <f t="shared" si="3031"/>
        <v>42.548290632829548</v>
      </c>
      <c r="BS655" s="145">
        <f>BS656-BS654-BS653-BS652</f>
        <v>35904</v>
      </c>
      <c r="BT655" s="72">
        <f t="shared" si="3032"/>
        <v>29.458426480132687</v>
      </c>
      <c r="BU655" s="145">
        <f>BU656-BU654-BU653-BU652</f>
        <v>36086</v>
      </c>
      <c r="BV655" s="72">
        <f t="shared" si="3033"/>
        <v>13.453013487597062</v>
      </c>
      <c r="BW655" s="145">
        <f>BW656-BW654-BW653-BW652</f>
        <v>32348</v>
      </c>
      <c r="BX655" s="72">
        <f t="shared" si="3034"/>
        <v>1.0717075456959861</v>
      </c>
      <c r="BY655" s="145">
        <f>BY656-BY654-BY653-BY652</f>
        <v>32159</v>
      </c>
      <c r="BZ655" s="72">
        <f t="shared" si="3035"/>
        <v>-8.8334514528703068</v>
      </c>
      <c r="CA655" s="145">
        <f>CA656-CA654-CA653-CA652</f>
        <v>32101</v>
      </c>
      <c r="CB655" s="72">
        <f t="shared" si="3036"/>
        <v>-10.592134581105171</v>
      </c>
      <c r="CC655" s="145">
        <f>CC656-CC654-CC653-CC652</f>
        <v>29341</v>
      </c>
      <c r="CD655" s="72">
        <f t="shared" si="3037"/>
        <v>-18.69145929169207</v>
      </c>
      <c r="CE655" s="145">
        <f>CE656-CE654-CE653-CE652</f>
        <v>26250</v>
      </c>
      <c r="CF655" s="72">
        <f t="shared" si="3038"/>
        <v>-18.851242735254118</v>
      </c>
      <c r="CG655" s="145">
        <f>CG656-CG654-CG653-CG652</f>
        <v>27217</v>
      </c>
      <c r="CH655" s="72">
        <f t="shared" si="3039"/>
        <v>-15.367393264715943</v>
      </c>
      <c r="CI655" s="145">
        <f>CI656-CI654-CI653-CI652</f>
        <v>27895</v>
      </c>
      <c r="CJ655" s="72">
        <f t="shared" si="3040"/>
        <v>-13.102395564001128</v>
      </c>
      <c r="CK655" s="145">
        <f>CK656-CK654-CK653-CK652</f>
        <v>30342</v>
      </c>
      <c r="CL655" s="72">
        <f t="shared" si="3040"/>
        <v>3.4116083296411119</v>
      </c>
      <c r="CM655" s="145">
        <f>CM656-CM654-CM653-CM652</f>
        <v>33657</v>
      </c>
      <c r="CN655" s="72">
        <f t="shared" si="3040"/>
        <v>28.217142857142846</v>
      </c>
      <c r="CO655" s="145">
        <f>CO656-CO654-CO653-CO652</f>
        <v>35996</v>
      </c>
      <c r="CP655" s="72">
        <f t="shared" si="3040"/>
        <v>32.255575559393037</v>
      </c>
      <c r="CQ655" s="145">
        <f>CQ656-CQ654-CQ653-CQ652</f>
        <v>33507</v>
      </c>
      <c r="CR655" s="72">
        <f t="shared" si="3040"/>
        <v>20.118300770747453</v>
      </c>
      <c r="CS655" s="145">
        <f>CS656-CS654-CS653-CS652</f>
        <v>31126</v>
      </c>
      <c r="CT655" s="72">
        <f t="shared" si="3040"/>
        <v>2.5838771340056752</v>
      </c>
      <c r="CU655" s="145">
        <f>CU656-CU654-CU653-CU652</f>
        <v>30789</v>
      </c>
      <c r="CV655" s="72">
        <f t="shared" si="3041"/>
        <v>-8.5212585791960151</v>
      </c>
      <c r="CW655" s="145">
        <f>CW656-CW654-CW653-CW652</f>
        <v>30576</v>
      </c>
      <c r="CX655" s="72">
        <f t="shared" si="3042"/>
        <v>-15.057228580953435</v>
      </c>
      <c r="CY655" s="145">
        <f>CY656-CY654-CY653-CY652</f>
        <v>30749</v>
      </c>
      <c r="CZ655" s="72">
        <f t="shared" si="3043"/>
        <v>-8.2311158862327289</v>
      </c>
      <c r="DA655" s="145">
        <f>DA656-DA654-DA653-DA652</f>
        <v>34641</v>
      </c>
      <c r="DB655" s="72">
        <f t="shared" si="3044"/>
        <v>11.292809869562433</v>
      </c>
      <c r="DC655" s="145">
        <f>DC656-DC654-DC653-DC652</f>
        <v>34105</v>
      </c>
      <c r="DD655" s="72">
        <f t="shared" si="3045"/>
        <v>10.770080223456418</v>
      </c>
      <c r="DE655" s="145">
        <f>DE656-DE654-DE653-DE652</f>
        <v>31849</v>
      </c>
      <c r="DF655" s="72">
        <f t="shared" si="3046"/>
        <v>4.1633961276818354</v>
      </c>
      <c r="DG655" s="145">
        <f>DG656-DG654-DG653-DG652</f>
        <v>30997</v>
      </c>
      <c r="DH655" s="72">
        <f t="shared" si="3047"/>
        <v>0.80653029366808937</v>
      </c>
      <c r="DI655" s="145">
        <f>DI656-DI654-DI653-DI652</f>
        <v>30059</v>
      </c>
      <c r="DJ655" s="72">
        <f t="shared" si="3048"/>
        <v>-13.227100834271539</v>
      </c>
      <c r="DK655" s="145">
        <f>DK656-DK654-DK653-DK652</f>
        <v>30848</v>
      </c>
      <c r="DL655" s="72">
        <f t="shared" si="3049"/>
        <v>-9.5499193666617685</v>
      </c>
      <c r="DM655" s="145">
        <f>DM656-DM654-DM653-DM652</f>
        <v>30641</v>
      </c>
      <c r="DN655" s="72">
        <f t="shared" si="3050"/>
        <v>-3.792897736192657</v>
      </c>
      <c r="DO655" s="145">
        <f>DO656-DO654-DO653-DO652</f>
        <v>35234</v>
      </c>
      <c r="DP655" s="72">
        <f t="shared" si="3050"/>
        <v>13.669064748201436</v>
      </c>
      <c r="DQ655" s="145">
        <f>DQ656-DQ654-DQ653-DQ652</f>
        <v>30511</v>
      </c>
      <c r="DR655" s="72">
        <f t="shared" si="3050"/>
        <v>1.5037093715692436</v>
      </c>
      <c r="DS655" s="145">
        <f>DS656-DS654-DS653-DS652</f>
        <v>36830</v>
      </c>
      <c r="DT655" s="72">
        <f t="shared" si="3050"/>
        <v>19.391856846473019</v>
      </c>
      <c r="DU655" s="145">
        <f>DU656-DU654-DU653-DU652</f>
        <v>35860</v>
      </c>
      <c r="DV655" s="72">
        <f t="shared" si="3050"/>
        <v>17.032733918605786</v>
      </c>
      <c r="DW655" s="145">
        <f>DW656-DW654-DW653-DW652</f>
        <v>39200</v>
      </c>
      <c r="DX655" s="72">
        <f t="shared" si="3050"/>
        <v>11.256173014701702</v>
      </c>
      <c r="DY655" s="145">
        <f>DY656-DY654-DY653-DY652</f>
        <v>35912</v>
      </c>
      <c r="DZ655" s="72">
        <f t="shared" si="3050"/>
        <v>17.701812461079598</v>
      </c>
      <c r="EA655" s="145">
        <f>EA656-EA654-EA653-EA652</f>
        <v>40292</v>
      </c>
      <c r="EB655" s="72">
        <f t="shared" si="3051"/>
        <v>9.3999456964431118</v>
      </c>
      <c r="EC655" s="145">
        <f>EC656-EC654-EC653-EC652</f>
        <v>41546</v>
      </c>
      <c r="ED655" s="72">
        <f t="shared" si="3052"/>
        <v>15.856107083100952</v>
      </c>
      <c r="EE655" s="145">
        <f>EE656-EE654-EE653-EE652</f>
        <v>43596</v>
      </c>
      <c r="EF655" s="72">
        <f t="shared" si="3053"/>
        <v>11.214285714285708</v>
      </c>
      <c r="EG655" s="145">
        <f>EG656-EG654-EG653-EG652</f>
        <v>32424</v>
      </c>
      <c r="EH655" s="72">
        <f t="shared" si="3054"/>
        <v>-9.7126308754733799</v>
      </c>
      <c r="EI655" s="145">
        <f>EI656-EI654-EI653-EI652</f>
        <v>32431</v>
      </c>
      <c r="EJ655" s="72">
        <f t="shared" si="3055"/>
        <v>-19.510076441973595</v>
      </c>
      <c r="EK655" s="144">
        <f>EK656-EK654-EK653-EK652</f>
        <v>35852</v>
      </c>
      <c r="EL655" s="72">
        <f t="shared" si="3056"/>
        <v>-13.705290521349838</v>
      </c>
      <c r="EM655" s="144">
        <f>EM656-EM654-EM653-EM652</f>
        <v>34857</v>
      </c>
      <c r="EN655" s="72">
        <f t="shared" si="3057"/>
        <v>-20.045417010734937</v>
      </c>
      <c r="EO655" s="144">
        <f>EO656-EO654-EO653-EO652</f>
        <v>34898</v>
      </c>
      <c r="EP655" s="72">
        <f t="shared" si="3058"/>
        <v>7.6301505057981842</v>
      </c>
      <c r="EQ655" s="144">
        <f t="shared" ref="EQ655" si="3084">EQ656-EQ654-EQ653-EQ652</f>
        <v>35688.211948312819</v>
      </c>
      <c r="ER655" s="72">
        <f t="shared" si="3060"/>
        <v>10.043513762489042</v>
      </c>
      <c r="ES655" s="144">
        <f t="shared" ref="ES655" si="3085">ES656-ES654-ES653-ES652</f>
        <v>36526.960585163848</v>
      </c>
      <c r="ET655" s="72">
        <f t="shared" si="3062"/>
        <v>1.8826302163445661</v>
      </c>
      <c r="EU655" s="144">
        <f t="shared" ref="EU655" si="3086">EU656-EU654-EU653-EU652</f>
        <v>37405.571392129117</v>
      </c>
      <c r="EV655" s="72">
        <f t="shared" si="3064"/>
        <v>7.3115052704740009</v>
      </c>
      <c r="EW655" s="144">
        <f t="shared" ref="EW655" si="3087">EW656-EW654-EW653-EW652</f>
        <v>38287.778242325992</v>
      </c>
      <c r="EX655" s="72">
        <f t="shared" si="3066"/>
        <v>9.7133882810648089</v>
      </c>
      <c r="EY655" s="72"/>
      <c r="EZ655" s="296"/>
      <c r="FA655" s="72"/>
      <c r="FB655" s="9"/>
      <c r="FC655" s="11"/>
      <c r="FD655" s="150"/>
      <c r="FE655" s="72"/>
      <c r="FF655" s="145">
        <f>FF656-FF654-FF653-FF652</f>
        <v>28978</v>
      </c>
      <c r="FG655" s="72" t="str">
        <f t="shared" si="3067"/>
        <v>NA</v>
      </c>
      <c r="FH655" s="145">
        <f>FH656-FH654-FH653-FH652</f>
        <v>39249</v>
      </c>
      <c r="FI655" s="72">
        <f t="shared" si="3068"/>
        <v>35.444130029677666</v>
      </c>
      <c r="FJ655" s="145">
        <f>FJ656-FJ654-FJ653-FJ652</f>
        <v>27608</v>
      </c>
      <c r="FK655" s="72">
        <f t="shared" si="3069"/>
        <v>-29.659354378455504</v>
      </c>
      <c r="FL655" s="145">
        <f>FL656-FL654-FL653-FL652</f>
        <v>22255</v>
      </c>
      <c r="FM655" s="72">
        <f t="shared" si="3070"/>
        <v>-19.389307447116778</v>
      </c>
      <c r="FN655" s="145">
        <f>FN656-FN654-FN653-FN652</f>
        <v>55371</v>
      </c>
      <c r="FO655" s="72" t="str">
        <f t="shared" si="3071"/>
        <v>NM</v>
      </c>
      <c r="FP655" s="145">
        <f>FP656-FP654-FP653-FP652</f>
        <v>25468</v>
      </c>
      <c r="FQ655" s="72" t="str">
        <f t="shared" si="3072"/>
        <v>NM</v>
      </c>
      <c r="FR655" s="144">
        <f>FR656-FR654-FR653-FR652</f>
        <v>27627</v>
      </c>
      <c r="FS655" s="72">
        <f t="shared" si="3073"/>
        <v>8.4773048531490645</v>
      </c>
      <c r="FT655" s="144">
        <f>FT656-FT654-FT653-FT652</f>
        <v>31807</v>
      </c>
      <c r="FU655" s="72">
        <f t="shared" si="3074"/>
        <v>15.130126325695883</v>
      </c>
      <c r="FV655" s="144">
        <f>FV656-FV654-FV653-FV652</f>
        <v>36086</v>
      </c>
      <c r="FW655" s="72">
        <f t="shared" si="3075"/>
        <v>13.453013487597062</v>
      </c>
      <c r="FX655" s="144">
        <f>FX656-FX654-FX653-FX652</f>
        <v>29341</v>
      </c>
      <c r="FY655" s="72">
        <f t="shared" si="3075"/>
        <v>-18.69145929169207</v>
      </c>
      <c r="FZ655" s="144">
        <f>FZ656-FZ654-FZ653-FZ652</f>
        <v>30342</v>
      </c>
      <c r="GA655" s="72">
        <f t="shared" si="3075"/>
        <v>3.4116083296411119</v>
      </c>
      <c r="GB655" s="144">
        <f>GB656-GB654-GB653-GB652</f>
        <v>31126</v>
      </c>
      <c r="GC655" s="72">
        <f t="shared" si="3075"/>
        <v>2.5838771340056752</v>
      </c>
      <c r="GD655" s="144">
        <f>GD656-GD654-GD653-GD652</f>
        <v>34641</v>
      </c>
      <c r="GE655" s="72">
        <f t="shared" si="3075"/>
        <v>11.292809869562433</v>
      </c>
      <c r="GF655" s="144">
        <f>GF656-GF654-GF653-GF652</f>
        <v>30059</v>
      </c>
      <c r="GG655" s="72">
        <f t="shared" si="3075"/>
        <v>-13.227100834271539</v>
      </c>
      <c r="GH655" s="144">
        <f>GH656-GH654-GH653-GH652</f>
        <v>30511</v>
      </c>
      <c r="GI655" s="72">
        <f t="shared" si="3076"/>
        <v>1.5037093715692436</v>
      </c>
      <c r="GJ655" s="144">
        <f>GJ656-GJ654-GJ653-GJ652</f>
        <v>35912</v>
      </c>
      <c r="GK655" s="72">
        <f t="shared" si="3076"/>
        <v>17.701812461079598</v>
      </c>
      <c r="GL655" s="144">
        <f>GL656-GL654-GL653-GL652</f>
        <v>32424</v>
      </c>
      <c r="GM655" s="72">
        <f t="shared" si="3076"/>
        <v>-9.7126308754733799</v>
      </c>
      <c r="GN655" s="144">
        <f>GN656-GN654-GN653-GN652</f>
        <v>34898</v>
      </c>
      <c r="GO655" s="72">
        <f t="shared" si="3076"/>
        <v>7.6301505057981842</v>
      </c>
      <c r="GP655" s="144">
        <f>GP656-GP654-GP653-GP652</f>
        <v>38287.778242325992</v>
      </c>
      <c r="GQ655" s="72">
        <f t="shared" si="3076"/>
        <v>9.7133882810648089</v>
      </c>
      <c r="GR655" s="144">
        <f>GR656-GR654-GR653-GR652</f>
        <v>41881.724080566317</v>
      </c>
      <c r="GS655" s="72">
        <f t="shared" si="3076"/>
        <v>9.3866659368271286</v>
      </c>
      <c r="GT655" s="144">
        <f>GT656-GT654-GT653-GT652</f>
        <v>45690.624350642611</v>
      </c>
      <c r="GU655" s="72">
        <f t="shared" si="3076"/>
        <v>9.0944209048062561</v>
      </c>
      <c r="GV655" s="144">
        <f>GV656-GV654-GV653-GV652</f>
        <v>49723.040903230023</v>
      </c>
      <c r="GW655" s="72">
        <f t="shared" si="3077"/>
        <v>8.8254792091294831</v>
      </c>
      <c r="GX655" s="144">
        <f>GX656-GX654-GX653-GX652</f>
        <v>53987.392191121355</v>
      </c>
      <c r="GY655" s="72">
        <f t="shared" si="3078"/>
        <v>8.5762077508303065</v>
      </c>
      <c r="GZ655" s="72">
        <f t="shared" si="3079"/>
        <v>9.1184937146541412</v>
      </c>
      <c r="HA655" s="72"/>
      <c r="HB655" s="72"/>
      <c r="HC655"/>
      <c r="HD655"/>
      <c r="HE655"/>
      <c r="HF655"/>
      <c r="HG655"/>
      <c r="HH655"/>
      <c r="HI655" s="2"/>
    </row>
    <row r="656" spans="1:217" s="3" customFormat="1" ht="12.75" customHeight="1" x14ac:dyDescent="0.2">
      <c r="B656" s="4" t="s">
        <v>308</v>
      </c>
      <c r="C656" s="150"/>
      <c r="D656" s="150"/>
      <c r="E656" s="150"/>
      <c r="F656" s="11"/>
      <c r="G656" s="150">
        <v>231669</v>
      </c>
      <c r="H656" s="11"/>
      <c r="I656" s="150">
        <v>202826</v>
      </c>
      <c r="J656" s="11"/>
      <c r="K656" s="150">
        <v>201237</v>
      </c>
      <c r="L656" s="72" t="str">
        <f t="shared" si="3002"/>
        <v>NA</v>
      </c>
      <c r="M656" s="150">
        <v>230221</v>
      </c>
      <c r="N656" s="72" t="str">
        <f t="shared" si="3003"/>
        <v>NA</v>
      </c>
      <c r="O656" s="150">
        <v>223717</v>
      </c>
      <c r="P656" s="72">
        <f t="shared" si="3004"/>
        <v>-3.432483413836124</v>
      </c>
      <c r="Q656" s="150">
        <v>231305</v>
      </c>
      <c r="R656" s="72">
        <f t="shared" si="3005"/>
        <v>14.041099267352308</v>
      </c>
      <c r="S656" s="150">
        <v>233185</v>
      </c>
      <c r="T656" s="72">
        <f t="shared" si="3006"/>
        <v>15.875808126736146</v>
      </c>
      <c r="U656" s="150">
        <v>230015</v>
      </c>
      <c r="V656" s="72">
        <f t="shared" si="3007"/>
        <v>-8.9479239513337916E-2</v>
      </c>
      <c r="W656" s="150">
        <v>224401</v>
      </c>
      <c r="X656" s="72">
        <f t="shared" si="3008"/>
        <v>0.30574341690619633</v>
      </c>
      <c r="Y656" s="150">
        <v>223170</v>
      </c>
      <c r="Z656" s="72">
        <f t="shared" si="3009"/>
        <v>-3.5170013618382683</v>
      </c>
      <c r="AA656" s="150">
        <v>226132</v>
      </c>
      <c r="AB656" s="72">
        <f t="shared" si="3010"/>
        <v>-3.0246370907219671</v>
      </c>
      <c r="AC656" s="150">
        <v>261634</v>
      </c>
      <c r="AD656" s="72">
        <f t="shared" si="3011"/>
        <v>13.746494793817803</v>
      </c>
      <c r="AE656" s="150">
        <v>248506</v>
      </c>
      <c r="AF656" s="72">
        <f t="shared" si="3012"/>
        <v>10.74193074005909</v>
      </c>
      <c r="AG656" s="150">
        <v>252538</v>
      </c>
      <c r="AH656" s="72">
        <f t="shared" si="3013"/>
        <v>13.159474839808212</v>
      </c>
      <c r="AI656" s="150">
        <v>263217</v>
      </c>
      <c r="AJ656" s="72">
        <f t="shared" si="3014"/>
        <v>16.399713441706609</v>
      </c>
      <c r="AK656" s="150">
        <v>304308</v>
      </c>
      <c r="AL656" s="72">
        <f t="shared" si="3015"/>
        <v>16.310571256029419</v>
      </c>
      <c r="AM656" s="150">
        <v>309055</v>
      </c>
      <c r="AN656" s="72">
        <f t="shared" si="3016"/>
        <v>24.365206473887952</v>
      </c>
      <c r="AO656" s="150">
        <v>329248</v>
      </c>
      <c r="AP656" s="72">
        <f t="shared" si="3017"/>
        <v>30.375626638367294</v>
      </c>
      <c r="AQ656" s="150">
        <v>329535</v>
      </c>
      <c r="AR656" s="72">
        <f t="shared" si="3018"/>
        <v>25.195181162310945</v>
      </c>
      <c r="AS656" s="150">
        <v>336195</v>
      </c>
      <c r="AT656" s="72">
        <f t="shared" si="3019"/>
        <v>10.478528333136154</v>
      </c>
      <c r="AU656" s="150">
        <v>341260</v>
      </c>
      <c r="AV656" s="72">
        <f t="shared" si="3020"/>
        <v>10.420475319926865</v>
      </c>
      <c r="AW656" s="150">
        <v>345291</v>
      </c>
      <c r="AX656" s="72">
        <f t="shared" si="3021"/>
        <v>4.8726188162114852</v>
      </c>
      <c r="AY656" s="150">
        <v>360891</v>
      </c>
      <c r="AZ656" s="72">
        <f t="shared" si="3022"/>
        <v>9.5152260002731026</v>
      </c>
      <c r="BA656" s="150">
        <v>369621</v>
      </c>
      <c r="BB656" s="72">
        <f t="shared" si="3023"/>
        <v>9.9424441172533733</v>
      </c>
      <c r="BC656" s="150">
        <v>373386</v>
      </c>
      <c r="BD656" s="72">
        <f t="shared" si="3024"/>
        <v>9.4139365879388066</v>
      </c>
      <c r="BE656" s="150">
        <v>380267</v>
      </c>
      <c r="BF656" s="72">
        <f t="shared" si="3025"/>
        <v>10.129427062970066</v>
      </c>
      <c r="BG656" s="150">
        <v>386369</v>
      </c>
      <c r="BH656" s="72">
        <f t="shared" si="3026"/>
        <v>7.0597493425993036</v>
      </c>
      <c r="BI656" s="150">
        <v>389888</v>
      </c>
      <c r="BJ656" s="72">
        <f t="shared" si="3027"/>
        <v>5.4831841264430352</v>
      </c>
      <c r="BK656" s="150">
        <v>405246</v>
      </c>
      <c r="BL656" s="72">
        <f t="shared" si="3028"/>
        <v>8.5327248477447029</v>
      </c>
      <c r="BM656" s="150">
        <v>412031</v>
      </c>
      <c r="BN656" s="72">
        <f t="shared" si="3029"/>
        <v>8.3530782318739227</v>
      </c>
      <c r="BO656" s="150">
        <v>406570</v>
      </c>
      <c r="BP656" s="72">
        <f t="shared" si="3030"/>
        <v>5.2284215348539931</v>
      </c>
      <c r="BQ656" s="150">
        <v>406601</v>
      </c>
      <c r="BR656" s="72">
        <f t="shared" si="3031"/>
        <v>4.2866156434668454</v>
      </c>
      <c r="BS656" s="150">
        <v>393563</v>
      </c>
      <c r="BT656" s="72">
        <f t="shared" si="3032"/>
        <v>-2.8829402387685548</v>
      </c>
      <c r="BU656" s="150">
        <v>379626</v>
      </c>
      <c r="BV656" s="72">
        <f t="shared" si="3033"/>
        <v>-7.8646995007657097</v>
      </c>
      <c r="BW656" s="150">
        <v>362811</v>
      </c>
      <c r="BX656" s="72">
        <f t="shared" si="3034"/>
        <v>-10.762968246550415</v>
      </c>
      <c r="BY656" s="150">
        <v>380266</v>
      </c>
      <c r="BZ656" s="72">
        <f t="shared" si="3035"/>
        <v>-6.4768655266465203</v>
      </c>
      <c r="CA656" s="150">
        <v>409017</v>
      </c>
      <c r="CB656" s="72">
        <f t="shared" si="3036"/>
        <v>3.9266902630582763</v>
      </c>
      <c r="CC656" s="150">
        <v>415271</v>
      </c>
      <c r="CD656" s="72">
        <f t="shared" si="3037"/>
        <v>9.3895044069689675</v>
      </c>
      <c r="CE656" s="150">
        <v>425918</v>
      </c>
      <c r="CF656" s="72">
        <f t="shared" si="3038"/>
        <v>17.393904815454889</v>
      </c>
      <c r="CG656" s="150">
        <v>429386</v>
      </c>
      <c r="CH656" s="72">
        <f t="shared" si="3039"/>
        <v>12.91727369788515</v>
      </c>
      <c r="CI656" s="150">
        <v>458223</v>
      </c>
      <c r="CJ656" s="72">
        <f t="shared" si="3040"/>
        <v>12.030306808763441</v>
      </c>
      <c r="CK656" s="208">
        <f>472146-(15672-14204)</f>
        <v>470678</v>
      </c>
      <c r="CL656" s="72">
        <f t="shared" si="3040"/>
        <v>13.342371607937935</v>
      </c>
      <c r="CM656" s="150">
        <v>527070</v>
      </c>
      <c r="CN656" s="92">
        <f t="shared" si="3040"/>
        <v>23.749172375903356</v>
      </c>
      <c r="CO656" s="150">
        <v>541076</v>
      </c>
      <c r="CP656" s="92">
        <f t="shared" si="3040"/>
        <v>26.011560693641613</v>
      </c>
      <c r="CQ656" s="150">
        <v>537335</v>
      </c>
      <c r="CR656" s="92">
        <f t="shared" si="3040"/>
        <v>17.264956145806735</v>
      </c>
      <c r="CS656" s="150">
        <v>551000</v>
      </c>
      <c r="CT656" s="92">
        <f t="shared" si="3040"/>
        <v>17.065169818857058</v>
      </c>
      <c r="CU656" s="150">
        <v>567835</v>
      </c>
      <c r="CV656" s="72">
        <f t="shared" si="3041"/>
        <v>7.7342667956817905</v>
      </c>
      <c r="CW656" s="150">
        <v>577030</v>
      </c>
      <c r="CX656" s="72">
        <f t="shared" si="3042"/>
        <v>6.6449075545764344</v>
      </c>
      <c r="CY656" s="150">
        <v>600373</v>
      </c>
      <c r="CZ656" s="72">
        <f t="shared" si="3043"/>
        <v>11.731601328779988</v>
      </c>
      <c r="DA656" s="150">
        <v>639245</v>
      </c>
      <c r="DB656" s="72">
        <f t="shared" si="3044"/>
        <v>16.015426497277673</v>
      </c>
      <c r="DC656" s="150">
        <v>653264</v>
      </c>
      <c r="DD656" s="72">
        <f t="shared" si="3045"/>
        <v>15.044687277113951</v>
      </c>
      <c r="DE656" s="150">
        <v>637017</v>
      </c>
      <c r="DF656" s="72">
        <f t="shared" si="3046"/>
        <v>10.395819974698028</v>
      </c>
      <c r="DG656" s="150">
        <v>654145</v>
      </c>
      <c r="DH656" s="72">
        <f t="shared" si="3047"/>
        <v>8.9564320847206602</v>
      </c>
      <c r="DI656" s="150">
        <v>663379</v>
      </c>
      <c r="DJ656" s="72">
        <f t="shared" si="3048"/>
        <v>3.7753912819028699</v>
      </c>
      <c r="DK656" s="150">
        <v>676799</v>
      </c>
      <c r="DL656" s="72">
        <f t="shared" si="3049"/>
        <v>3.6026782434054354</v>
      </c>
      <c r="DM656" s="150">
        <v>694251</v>
      </c>
      <c r="DN656" s="72">
        <f t="shared" si="3050"/>
        <v>8.9846895765733024</v>
      </c>
      <c r="DO656" s="150">
        <v>693536</v>
      </c>
      <c r="DP656" s="72">
        <f t="shared" si="3050"/>
        <v>6.0217535867429888</v>
      </c>
      <c r="DQ656" s="150">
        <v>695764</v>
      </c>
      <c r="DR656" s="72">
        <f t="shared" si="3050"/>
        <v>4.8818247185997734</v>
      </c>
      <c r="DS656" s="150">
        <v>712323</v>
      </c>
      <c r="DT656" s="72">
        <f t="shared" si="3050"/>
        <v>5.2488257222602215</v>
      </c>
      <c r="DU656" s="150">
        <v>698838</v>
      </c>
      <c r="DV656" s="72">
        <f t="shared" si="3050"/>
        <v>0.66071204794808125</v>
      </c>
      <c r="DW656" s="150">
        <v>691326</v>
      </c>
      <c r="DX656" s="72">
        <f t="shared" si="3050"/>
        <v>-0.31865685415031919</v>
      </c>
      <c r="DY656" s="150">
        <v>695261</v>
      </c>
      <c r="DZ656" s="72">
        <f t="shared" si="3050"/>
        <v>-7.2294628638445602E-2</v>
      </c>
      <c r="EA656" s="150">
        <v>709511</v>
      </c>
      <c r="EB656" s="72">
        <f t="shared" si="3051"/>
        <v>-0.39476473453757421</v>
      </c>
      <c r="EC656" s="150">
        <v>732782</v>
      </c>
      <c r="ED656" s="72">
        <f t="shared" si="3052"/>
        <v>4.8572058188020719</v>
      </c>
      <c r="EE656" s="150">
        <v>756400</v>
      </c>
      <c r="EF656" s="72">
        <f t="shared" si="3053"/>
        <v>9.4129253058614921</v>
      </c>
      <c r="EG656" s="150">
        <v>721911</v>
      </c>
      <c r="EH656" s="72">
        <f t="shared" si="3054"/>
        <v>3.8330928960491235</v>
      </c>
      <c r="EI656" s="150">
        <v>734269</v>
      </c>
      <c r="EJ656" s="72">
        <f t="shared" si="3055"/>
        <v>3.4894455477082005</v>
      </c>
      <c r="EK656" s="150">
        <v>748765</v>
      </c>
      <c r="EL656" s="72">
        <f t="shared" si="3056"/>
        <v>2.1811398205742023</v>
      </c>
      <c r="EM656" s="150">
        <v>757683</v>
      </c>
      <c r="EN656" s="72">
        <f t="shared" si="3057"/>
        <v>0.1696192490745716</v>
      </c>
      <c r="EO656" s="150">
        <v>768788</v>
      </c>
      <c r="EP656" s="72">
        <f t="shared" si="3058"/>
        <v>6.4934597201039992</v>
      </c>
      <c r="EQ656" s="150">
        <f t="shared" ref="EQ656" si="3088">EO656*1.014675</f>
        <v>780069.96389999997</v>
      </c>
      <c r="ER656" s="72">
        <f t="shared" si="3060"/>
        <v>6.2376273409336278</v>
      </c>
      <c r="ES656" s="150">
        <f t="shared" ref="ES656" si="3089">EQ656*1.014675</f>
        <v>791517.49062023242</v>
      </c>
      <c r="ET656" s="72">
        <f t="shared" si="3062"/>
        <v>5.709734111534658</v>
      </c>
      <c r="EU656" s="150">
        <f t="shared" ref="EU656" si="3090">ES656*1.014675</f>
        <v>803133.00979508436</v>
      </c>
      <c r="EV656" s="72">
        <f t="shared" si="3064"/>
        <v>5.9985521379104938</v>
      </c>
      <c r="EW656" s="150">
        <f t="shared" ref="EW656" si="3091">EU656*1.014675</f>
        <v>814918.98671382724</v>
      </c>
      <c r="EX656" s="72">
        <f t="shared" si="3066"/>
        <v>6.000482150323279</v>
      </c>
      <c r="EY656" s="72"/>
      <c r="EZ656" s="296"/>
      <c r="FA656" s="72"/>
      <c r="FB656" s="9"/>
      <c r="FC656" s="11"/>
      <c r="FD656" s="150"/>
      <c r="FE656" s="72"/>
      <c r="FF656" s="150">
        <v>202826</v>
      </c>
      <c r="FG656" s="72" t="str">
        <f t="shared" si="3067"/>
        <v>NA</v>
      </c>
      <c r="FH656" s="144">
        <f>Q656</f>
        <v>231305</v>
      </c>
      <c r="FI656" s="72">
        <f t="shared" si="3068"/>
        <v>14.041099267352308</v>
      </c>
      <c r="FJ656" s="144">
        <f>Y656</f>
        <v>223170</v>
      </c>
      <c r="FK656" s="72">
        <f t="shared" si="3069"/>
        <v>-3.5170013618382683</v>
      </c>
      <c r="FL656" s="144">
        <f>AG656</f>
        <v>252538</v>
      </c>
      <c r="FM656" s="72">
        <f t="shared" si="3070"/>
        <v>13.159474839808212</v>
      </c>
      <c r="FN656" s="144">
        <f>AO656</f>
        <v>329248</v>
      </c>
      <c r="FO656" s="72">
        <f t="shared" si="3071"/>
        <v>30.375626638367294</v>
      </c>
      <c r="FP656" s="144">
        <f>AW656</f>
        <v>345291</v>
      </c>
      <c r="FQ656" s="72">
        <f t="shared" si="3072"/>
        <v>4.8726188162114852</v>
      </c>
      <c r="FR656" s="144">
        <f>BE656</f>
        <v>380267</v>
      </c>
      <c r="FS656" s="72">
        <f t="shared" si="3073"/>
        <v>10.129427062970066</v>
      </c>
      <c r="FT656" s="144">
        <f>BM656</f>
        <v>412031</v>
      </c>
      <c r="FU656" s="72">
        <f t="shared" si="3074"/>
        <v>8.3530782318739227</v>
      </c>
      <c r="FV656" s="144">
        <f>BU656</f>
        <v>379626</v>
      </c>
      <c r="FW656" s="72">
        <f t="shared" si="3075"/>
        <v>-7.8646995007657097</v>
      </c>
      <c r="FX656" s="144">
        <f>CC656</f>
        <v>415271</v>
      </c>
      <c r="FY656" s="72">
        <f t="shared" si="3075"/>
        <v>9.3895044069689675</v>
      </c>
      <c r="FZ656" s="144">
        <f>CK656</f>
        <v>470678</v>
      </c>
      <c r="GA656" s="72">
        <f t="shared" si="3075"/>
        <v>13.342371607937935</v>
      </c>
      <c r="GB656" s="144">
        <f>CS656</f>
        <v>551000</v>
      </c>
      <c r="GC656" s="72">
        <f t="shared" si="3075"/>
        <v>17.065169818857058</v>
      </c>
      <c r="GD656" s="144">
        <f>DA656</f>
        <v>639245</v>
      </c>
      <c r="GE656" s="72">
        <f t="shared" si="3075"/>
        <v>16.015426497277673</v>
      </c>
      <c r="GF656" s="144">
        <f>DI656</f>
        <v>663379</v>
      </c>
      <c r="GG656" s="72">
        <f t="shared" si="3075"/>
        <v>3.7753912819028699</v>
      </c>
      <c r="GH656" s="144">
        <f>DQ656</f>
        <v>695764</v>
      </c>
      <c r="GI656" s="72">
        <f t="shared" si="3076"/>
        <v>4.8818247185997734</v>
      </c>
      <c r="GJ656" s="144">
        <f>DY656</f>
        <v>695261</v>
      </c>
      <c r="GK656" s="72">
        <f t="shared" si="3076"/>
        <v>-7.2294628638445602E-2</v>
      </c>
      <c r="GL656" s="144">
        <f>EG656</f>
        <v>721911</v>
      </c>
      <c r="GM656" s="72">
        <f t="shared" si="3076"/>
        <v>3.8330928960491235</v>
      </c>
      <c r="GN656" s="144">
        <f>EO656</f>
        <v>768788</v>
      </c>
      <c r="GO656" s="72">
        <f t="shared" si="3076"/>
        <v>6.4934597201039992</v>
      </c>
      <c r="GP656" s="144">
        <f>EW656</f>
        <v>814918.98671382724</v>
      </c>
      <c r="GQ656" s="72">
        <f t="shared" si="3076"/>
        <v>6.000482150323279</v>
      </c>
      <c r="GR656" s="150">
        <f>GP656*1.06</f>
        <v>863814.12591665692</v>
      </c>
      <c r="GS656" s="72">
        <f t="shared" si="3076"/>
        <v>6</v>
      </c>
      <c r="GT656" s="150">
        <f>GR656*1.06</f>
        <v>915642.97347165633</v>
      </c>
      <c r="GU656" s="72">
        <f t="shared" si="3076"/>
        <v>6</v>
      </c>
      <c r="GV656" s="150">
        <f>GT656*1.06</f>
        <v>970581.5518799558</v>
      </c>
      <c r="GW656" s="72">
        <f t="shared" si="3077"/>
        <v>6</v>
      </c>
      <c r="GX656" s="150">
        <f>GV656*1.06</f>
        <v>1028816.4449927532</v>
      </c>
      <c r="GY656" s="72">
        <f t="shared" si="3078"/>
        <v>6</v>
      </c>
      <c r="GZ656" s="72">
        <f t="shared" si="3079"/>
        <v>6.0000964298892123</v>
      </c>
      <c r="HA656" s="72"/>
      <c r="HB656" s="72"/>
      <c r="HC656"/>
      <c r="HD656"/>
      <c r="HE656"/>
      <c r="HF656"/>
      <c r="HG656"/>
      <c r="HH656"/>
      <c r="HI656" s="2"/>
    </row>
    <row r="657" spans="1:217" s="3" customFormat="1" ht="12.75" customHeight="1" x14ac:dyDescent="0.2">
      <c r="B657" s="4" t="s">
        <v>42</v>
      </c>
      <c r="C657" s="145"/>
      <c r="D657" s="145"/>
      <c r="E657" s="145"/>
      <c r="F657" s="11"/>
      <c r="G657" s="145"/>
      <c r="H657" s="11"/>
      <c r="I657" s="145">
        <f>I676</f>
        <v>497</v>
      </c>
      <c r="J657" s="11"/>
      <c r="K657" s="145">
        <f>K676</f>
        <v>753</v>
      </c>
      <c r="L657" s="72" t="str">
        <f t="shared" si="3002"/>
        <v>NA</v>
      </c>
      <c r="M657" s="145">
        <f>M676</f>
        <v>827</v>
      </c>
      <c r="N657" s="72" t="str">
        <f t="shared" si="3003"/>
        <v>NA</v>
      </c>
      <c r="O657" s="145">
        <f>O676</f>
        <v>1102</v>
      </c>
      <c r="P657" s="72" t="str">
        <f t="shared" si="3004"/>
        <v>NA</v>
      </c>
      <c r="Q657" s="145">
        <f>Q676</f>
        <v>563</v>
      </c>
      <c r="R657" s="72">
        <f t="shared" si="3005"/>
        <v>13.279678068410462</v>
      </c>
      <c r="S657" s="145">
        <f>S676</f>
        <v>164</v>
      </c>
      <c r="T657" s="72" t="str">
        <f t="shared" si="3006"/>
        <v>NM</v>
      </c>
      <c r="U657" s="145">
        <f>U676</f>
        <v>937</v>
      </c>
      <c r="V657" s="72">
        <f t="shared" si="3007"/>
        <v>13.301088270858514</v>
      </c>
      <c r="W657" s="145">
        <f>W676</f>
        <v>1886</v>
      </c>
      <c r="X657" s="72">
        <f t="shared" si="3008"/>
        <v>71.14337568058076</v>
      </c>
      <c r="Y657" s="145">
        <f>Y676</f>
        <v>1941</v>
      </c>
      <c r="Z657" s="72" t="str">
        <f t="shared" si="3009"/>
        <v>NM</v>
      </c>
      <c r="AA657" s="145">
        <f>AA676</f>
        <v>2463</v>
      </c>
      <c r="AB657" s="72" t="str">
        <f t="shared" si="3010"/>
        <v>NM</v>
      </c>
      <c r="AC657" s="145">
        <f>AC676</f>
        <v>3245</v>
      </c>
      <c r="AD657" s="72" t="str">
        <f t="shared" si="3011"/>
        <v>NM</v>
      </c>
      <c r="AE657" s="145">
        <f>AE676</f>
        <v>1977</v>
      </c>
      <c r="AF657" s="72">
        <f t="shared" si="3012"/>
        <v>4.8250265111346806</v>
      </c>
      <c r="AG657" s="145">
        <f>AG676</f>
        <v>1777</v>
      </c>
      <c r="AH657" s="72">
        <f t="shared" si="3013"/>
        <v>-8.449252962390517</v>
      </c>
      <c r="AI657" s="145">
        <f>AI676</f>
        <v>2283</v>
      </c>
      <c r="AJ657" s="72">
        <f t="shared" si="3014"/>
        <v>-7.308160779537161</v>
      </c>
      <c r="AK657" s="145">
        <f>AK676</f>
        <v>864</v>
      </c>
      <c r="AL657" s="72" t="str">
        <f t="shared" si="3015"/>
        <v>NM</v>
      </c>
      <c r="AM657" s="145">
        <f>AM676</f>
        <v>1462</v>
      </c>
      <c r="AN657" s="72">
        <f t="shared" si="3016"/>
        <v>-26.049570055639862</v>
      </c>
      <c r="AO657" s="145">
        <f>AO676</f>
        <v>1817</v>
      </c>
      <c r="AP657" s="72">
        <f t="shared" si="3017"/>
        <v>2.2509848058525534</v>
      </c>
      <c r="AQ657" s="145">
        <f>AQ676</f>
        <v>1337</v>
      </c>
      <c r="AR657" s="72">
        <f t="shared" si="3018"/>
        <v>-41.436706088480065</v>
      </c>
      <c r="AS657" s="145">
        <f>AS676</f>
        <v>2083</v>
      </c>
      <c r="AT657" s="72" t="str">
        <f t="shared" si="3019"/>
        <v>NM</v>
      </c>
      <c r="AU657" s="145">
        <f>AU676</f>
        <v>1410</v>
      </c>
      <c r="AV657" s="72">
        <f t="shared" si="3020"/>
        <v>-3.5567715458276297</v>
      </c>
      <c r="AW657" s="145">
        <f>AW676</f>
        <v>1108</v>
      </c>
      <c r="AX657" s="72">
        <f t="shared" si="3021"/>
        <v>-39.020363236103471</v>
      </c>
      <c r="AY657" s="145">
        <f>AY676</f>
        <v>512</v>
      </c>
      <c r="AZ657" s="72" t="str">
        <f t="shared" si="3022"/>
        <v>NM</v>
      </c>
      <c r="BA657" s="145">
        <f>BA676</f>
        <v>-180</v>
      </c>
      <c r="BB657" s="72" t="str">
        <f t="shared" si="3023"/>
        <v>NM</v>
      </c>
      <c r="BC657" s="145">
        <f>BC676</f>
        <v>821</v>
      </c>
      <c r="BD657" s="72">
        <f t="shared" si="3024"/>
        <v>-41.773049645390067</v>
      </c>
      <c r="BE657" s="145">
        <f>BE676</f>
        <v>496</v>
      </c>
      <c r="BF657" s="72" t="str">
        <f t="shared" si="3025"/>
        <v>NM</v>
      </c>
      <c r="BG657" s="145">
        <f>BG676</f>
        <v>680</v>
      </c>
      <c r="BH657" s="72">
        <f t="shared" si="3026"/>
        <v>32.8125</v>
      </c>
      <c r="BI657" s="145">
        <f>BI676</f>
        <v>-117</v>
      </c>
      <c r="BJ657" s="72">
        <f t="shared" si="3027"/>
        <v>-35</v>
      </c>
      <c r="BK657" s="145">
        <f>BK676</f>
        <v>-300</v>
      </c>
      <c r="BL657" s="72" t="str">
        <f t="shared" si="3028"/>
        <v>NM</v>
      </c>
      <c r="BM657" s="145">
        <f>BM676</f>
        <v>459</v>
      </c>
      <c r="BN657" s="72">
        <f t="shared" si="3029"/>
        <v>-7.4596774193548328</v>
      </c>
      <c r="BO657" s="145">
        <f>BO676</f>
        <v>-473</v>
      </c>
      <c r="BP657" s="72" t="str">
        <f t="shared" si="3030"/>
        <v>NM</v>
      </c>
      <c r="BQ657" s="145">
        <f>BQ676</f>
        <v>-1231</v>
      </c>
      <c r="BR657" s="72" t="str">
        <f t="shared" si="3031"/>
        <v>NM</v>
      </c>
      <c r="BS657" s="145">
        <f>BS676</f>
        <v>-2563</v>
      </c>
      <c r="BT657" s="72" t="str">
        <f t="shared" si="3032"/>
        <v>NM</v>
      </c>
      <c r="BU657" s="145">
        <f>BU676</f>
        <v>-5237</v>
      </c>
      <c r="BV657" s="72" t="str">
        <f t="shared" si="3033"/>
        <v>NM</v>
      </c>
      <c r="BW657" s="145">
        <f>BW676</f>
        <v>-5889</v>
      </c>
      <c r="BX657" s="72" t="str">
        <f t="shared" si="3034"/>
        <v>NM</v>
      </c>
      <c r="BY657" s="145">
        <f>BY676</f>
        <v>-3513</v>
      </c>
      <c r="BZ657" s="72" t="str">
        <f t="shared" si="3035"/>
        <v>NM</v>
      </c>
      <c r="CA657" s="145">
        <f>CA676</f>
        <v>-99</v>
      </c>
      <c r="CB657" s="72" t="str">
        <f t="shared" si="3036"/>
        <v>NM</v>
      </c>
      <c r="CC657" s="145">
        <f>CC676</f>
        <v>-574</v>
      </c>
      <c r="CD657" s="72" t="str">
        <f t="shared" si="3037"/>
        <v>NM</v>
      </c>
      <c r="CE657" s="145">
        <f>CE676</f>
        <v>310</v>
      </c>
      <c r="CF657" s="72" t="str">
        <f t="shared" si="3038"/>
        <v>NM</v>
      </c>
      <c r="CG657" s="145">
        <f>CG676</f>
        <v>2006</v>
      </c>
      <c r="CH657" s="72" t="str">
        <f t="shared" si="3039"/>
        <v>NM</v>
      </c>
      <c r="CI657" s="145">
        <f>CI676</f>
        <v>4489</v>
      </c>
      <c r="CJ657" s="72" t="str">
        <f t="shared" si="3040"/>
        <v>NM</v>
      </c>
      <c r="CK657" s="145">
        <f>CK676</f>
        <v>2739</v>
      </c>
      <c r="CL657" s="72" t="str">
        <f t="shared" si="3040"/>
        <v>NM</v>
      </c>
      <c r="CM657" s="145">
        <f>CM676</f>
        <v>2295</v>
      </c>
      <c r="CN657" s="72" t="str">
        <f t="shared" si="3040"/>
        <v>NM</v>
      </c>
      <c r="CO657" s="145">
        <f>CO676</f>
        <v>3702</v>
      </c>
      <c r="CP657" s="72">
        <f t="shared" si="3040"/>
        <v>84.546360917248251</v>
      </c>
      <c r="CQ657" s="145">
        <f>CQ676</f>
        <v>4985</v>
      </c>
      <c r="CR657" s="72">
        <f t="shared" si="3040"/>
        <v>11.049231454666966</v>
      </c>
      <c r="CS657" s="145">
        <f>CS676</f>
        <v>5077</v>
      </c>
      <c r="CT657" s="72">
        <f t="shared" si="3040"/>
        <v>85.359620299379344</v>
      </c>
      <c r="CU657" s="145">
        <f>CU676</f>
        <v>6890</v>
      </c>
      <c r="CV657" s="72" t="str">
        <f t="shared" si="3041"/>
        <v>NM</v>
      </c>
      <c r="CW657" s="145">
        <f>CW676</f>
        <v>7906</v>
      </c>
      <c r="CX657" s="72" t="str">
        <f t="shared" si="3042"/>
        <v>NM</v>
      </c>
      <c r="CY657" s="145">
        <f>CY676</f>
        <v>9213</v>
      </c>
      <c r="CZ657" s="72">
        <f t="shared" si="3043"/>
        <v>84.814443329989984</v>
      </c>
      <c r="DA657" s="145">
        <f>DA676</f>
        <v>9990</v>
      </c>
      <c r="DB657" s="72">
        <f t="shared" si="3044"/>
        <v>96.769745912940721</v>
      </c>
      <c r="DC657" s="145">
        <f>DC676</f>
        <v>12213</v>
      </c>
      <c r="DD657" s="72">
        <f t="shared" si="3045"/>
        <v>77.256894049346869</v>
      </c>
      <c r="DE657" s="145">
        <f>DE676</f>
        <v>8326</v>
      </c>
      <c r="DF657" s="72">
        <f t="shared" si="3046"/>
        <v>5.3124209461168732</v>
      </c>
      <c r="DG657" s="145">
        <f>DG676</f>
        <v>6784</v>
      </c>
      <c r="DH657" s="72">
        <f t="shared" si="3047"/>
        <v>-26.364919136003479</v>
      </c>
      <c r="DI657" s="145">
        <f>DI676</f>
        <v>8586</v>
      </c>
      <c r="DJ657" s="72">
        <f t="shared" si="3048"/>
        <v>-14.054054054054049</v>
      </c>
      <c r="DK657" s="145">
        <f>DK676</f>
        <v>10653</v>
      </c>
      <c r="DL657" s="72">
        <f t="shared" si="3049"/>
        <v>-12.773274379759272</v>
      </c>
      <c r="DM657" s="145">
        <f>DM676</f>
        <v>12892</v>
      </c>
      <c r="DN657" s="72">
        <f t="shared" si="3050"/>
        <v>54.840259428296918</v>
      </c>
      <c r="DO657" s="145">
        <f>DO676</f>
        <v>13328</v>
      </c>
      <c r="DP657" s="72">
        <f t="shared" si="3050"/>
        <v>96.462264150943383</v>
      </c>
      <c r="DQ657" s="145">
        <f>DQ676</f>
        <v>15882</v>
      </c>
      <c r="DR657" s="72">
        <f t="shared" si="3050"/>
        <v>84.975541579315177</v>
      </c>
      <c r="DS657" s="145">
        <f>DS676</f>
        <v>17739</v>
      </c>
      <c r="DT657" s="72">
        <f t="shared" si="3050"/>
        <v>66.516474232610534</v>
      </c>
      <c r="DU657" s="145">
        <f>DU676</f>
        <v>13406</v>
      </c>
      <c r="DV657" s="72">
        <f t="shared" si="3050"/>
        <v>3.9869686627365724</v>
      </c>
      <c r="DW657" s="145">
        <f>DW676</f>
        <v>13463</v>
      </c>
      <c r="DX657" s="72">
        <f t="shared" si="3050"/>
        <v>1.0129051620648255</v>
      </c>
      <c r="DY657" s="145">
        <f>DY676</f>
        <v>12285</v>
      </c>
      <c r="DZ657" s="72">
        <f t="shared" si="3050"/>
        <v>-22.648281072912738</v>
      </c>
      <c r="EA657" s="145">
        <f>EA676</f>
        <v>19066</v>
      </c>
      <c r="EB657" s="72">
        <f t="shared" si="3051"/>
        <v>7.4806922599921108</v>
      </c>
      <c r="EC657" s="145">
        <f>EC676</f>
        <v>24667</v>
      </c>
      <c r="ED657" s="72">
        <f t="shared" si="3052"/>
        <v>83.999701626137551</v>
      </c>
      <c r="EE657" s="145">
        <f>EE676</f>
        <v>24925</v>
      </c>
      <c r="EF657" s="72">
        <f t="shared" si="3053"/>
        <v>85.137042263982778</v>
      </c>
      <c r="EG657" s="145">
        <f>EG676</f>
        <v>14621</v>
      </c>
      <c r="EH657" s="72">
        <f t="shared" si="3054"/>
        <v>19.015059015059023</v>
      </c>
      <c r="EI657" s="145">
        <f>EI676</f>
        <v>14643</v>
      </c>
      <c r="EJ657" s="72">
        <f t="shared" si="3055"/>
        <v>-23.198363579146118</v>
      </c>
      <c r="EK657" s="144">
        <f>EK676</f>
        <v>16362</v>
      </c>
      <c r="EL657" s="72">
        <f t="shared" si="3056"/>
        <v>-33.668463939676499</v>
      </c>
      <c r="EM657" s="144">
        <f>EM676</f>
        <v>16598</v>
      </c>
      <c r="EN657" s="72">
        <f t="shared" si="3057"/>
        <v>-33.408224674022065</v>
      </c>
      <c r="EO657" s="144">
        <f>EO676</f>
        <v>17074</v>
      </c>
      <c r="EP657" s="72">
        <f t="shared" si="3058"/>
        <v>16.777238219000083</v>
      </c>
      <c r="EQ657" s="144">
        <f t="shared" ref="EQ657" si="3092">EQ676</f>
        <v>16074</v>
      </c>
      <c r="ER657" s="72">
        <f t="shared" si="3060"/>
        <v>9.7725875845113563</v>
      </c>
      <c r="ES657" s="144">
        <f t="shared" ref="ES657" si="3093">ES676</f>
        <v>16074</v>
      </c>
      <c r="ET657" s="72">
        <f t="shared" si="3062"/>
        <v>-1.7601760176017507</v>
      </c>
      <c r="EU657" s="144">
        <f t="shared" ref="EU657" si="3094">EU676</f>
        <v>16074</v>
      </c>
      <c r="EV657" s="72">
        <f t="shared" si="3064"/>
        <v>-3.1570068682973869</v>
      </c>
      <c r="EW657" s="144">
        <f t="shared" ref="EW657" si="3095">EW676</f>
        <v>16074</v>
      </c>
      <c r="EX657" s="72">
        <f t="shared" si="3066"/>
        <v>-5.8568583811643435</v>
      </c>
      <c r="EY657" s="72"/>
      <c r="EZ657" s="296"/>
      <c r="FA657" s="72"/>
      <c r="FB657" s="9"/>
      <c r="FC657" s="11"/>
      <c r="FD657" s="150"/>
      <c r="FE657" s="72"/>
      <c r="FF657" s="145">
        <f>FF676</f>
        <v>497</v>
      </c>
      <c r="FG657" s="72" t="str">
        <f t="shared" si="3067"/>
        <v>NA</v>
      </c>
      <c r="FH657" s="145">
        <f>FH676</f>
        <v>563</v>
      </c>
      <c r="FI657" s="72">
        <f t="shared" si="3068"/>
        <v>13.279678068410462</v>
      </c>
      <c r="FJ657" s="145">
        <f>FJ676</f>
        <v>1941</v>
      </c>
      <c r="FK657" s="72" t="str">
        <f t="shared" si="3069"/>
        <v>NM</v>
      </c>
      <c r="FL657" s="145">
        <f>FL676</f>
        <v>1777</v>
      </c>
      <c r="FM657" s="72">
        <f t="shared" si="3070"/>
        <v>-8.449252962390517</v>
      </c>
      <c r="FN657" s="145">
        <f>FN676</f>
        <v>1817</v>
      </c>
      <c r="FO657" s="72">
        <f t="shared" si="3071"/>
        <v>2.2509848058525534</v>
      </c>
      <c r="FP657" s="145">
        <f>FP676</f>
        <v>1108</v>
      </c>
      <c r="FQ657" s="72">
        <f t="shared" si="3072"/>
        <v>-39.020363236103471</v>
      </c>
      <c r="FR657" s="144">
        <f>FR676</f>
        <v>496</v>
      </c>
      <c r="FS657" s="72" t="str">
        <f t="shared" si="3073"/>
        <v>NM</v>
      </c>
      <c r="FT657" s="144">
        <f>FT676</f>
        <v>459</v>
      </c>
      <c r="FU657" s="72">
        <f t="shared" si="3074"/>
        <v>-7.4596774193548328</v>
      </c>
      <c r="FV657" s="144">
        <f>FV676</f>
        <v>-5237</v>
      </c>
      <c r="FW657" s="72" t="str">
        <f t="shared" si="3075"/>
        <v>NM</v>
      </c>
      <c r="FX657" s="144">
        <f>FX676</f>
        <v>-574</v>
      </c>
      <c r="FY657" s="72" t="str">
        <f t="shared" si="3075"/>
        <v>NM</v>
      </c>
      <c r="FZ657" s="144">
        <f>FZ676</f>
        <v>2739</v>
      </c>
      <c r="GA657" s="72" t="str">
        <f t="shared" si="3075"/>
        <v>NM</v>
      </c>
      <c r="GB657" s="144">
        <f>GB676</f>
        <v>5077</v>
      </c>
      <c r="GC657" s="72">
        <f t="shared" si="3075"/>
        <v>85.359620299379344</v>
      </c>
      <c r="GD657" s="144">
        <f>GD676</f>
        <v>9990</v>
      </c>
      <c r="GE657" s="72">
        <f t="shared" si="3075"/>
        <v>96.769745912940721</v>
      </c>
      <c r="GF657" s="144">
        <f>GF676</f>
        <v>8586</v>
      </c>
      <c r="GG657" s="72">
        <f t="shared" si="3075"/>
        <v>-14.054054054054049</v>
      </c>
      <c r="GH657" s="144">
        <f>GH676</f>
        <v>15882</v>
      </c>
      <c r="GI657" s="72">
        <f t="shared" si="3076"/>
        <v>84.975541579315177</v>
      </c>
      <c r="GJ657" s="144">
        <f>GJ676</f>
        <v>12285</v>
      </c>
      <c r="GK657" s="72">
        <f t="shared" si="3076"/>
        <v>-22.648281072912738</v>
      </c>
      <c r="GL657" s="144">
        <f>GL676</f>
        <v>14621</v>
      </c>
      <c r="GM657" s="72">
        <f t="shared" si="3076"/>
        <v>19.015059015059023</v>
      </c>
      <c r="GN657" s="144">
        <f>GN676</f>
        <v>17074</v>
      </c>
      <c r="GO657" s="72">
        <f t="shared" si="3076"/>
        <v>16.777238219000083</v>
      </c>
      <c r="GP657" s="144">
        <f>GP676</f>
        <v>16074</v>
      </c>
      <c r="GQ657" s="72">
        <f t="shared" si="3076"/>
        <v>-5.8568583811643435</v>
      </c>
      <c r="GR657" s="144">
        <f>GR676</f>
        <v>16074</v>
      </c>
      <c r="GS657" s="72">
        <f t="shared" si="3076"/>
        <v>0</v>
      </c>
      <c r="GT657" s="144">
        <f>GT676</f>
        <v>16074</v>
      </c>
      <c r="GU657" s="72">
        <f t="shared" si="3076"/>
        <v>0</v>
      </c>
      <c r="GV657" s="144">
        <f>GV676</f>
        <v>16074</v>
      </c>
      <c r="GW657" s="72">
        <f t="shared" si="3077"/>
        <v>0</v>
      </c>
      <c r="GX657" s="144">
        <f>GX676</f>
        <v>16074</v>
      </c>
      <c r="GY657" s="72">
        <f t="shared" si="3078"/>
        <v>0</v>
      </c>
      <c r="GZ657" s="72">
        <f t="shared" si="3079"/>
        <v>-1.1998196429299224</v>
      </c>
      <c r="HA657" s="72"/>
      <c r="HB657" s="72"/>
      <c r="HC657"/>
      <c r="HD657"/>
      <c r="HE657"/>
      <c r="HF657"/>
      <c r="HG657"/>
      <c r="HH657"/>
      <c r="HI657" s="2"/>
    </row>
    <row r="658" spans="1:217" s="3" customFormat="1" ht="12.75" customHeight="1" x14ac:dyDescent="0.2">
      <c r="B658" s="4" t="s">
        <v>627</v>
      </c>
      <c r="C658" s="145"/>
      <c r="D658" s="145"/>
      <c r="E658" s="145"/>
      <c r="F658" s="11"/>
      <c r="G658" s="145"/>
      <c r="H658" s="11"/>
      <c r="I658" s="145">
        <f>I656-I657</f>
        <v>202329</v>
      </c>
      <c r="J658" s="11"/>
      <c r="K658" s="145">
        <f>K656-K657</f>
        <v>200484</v>
      </c>
      <c r="L658" s="72" t="str">
        <f t="shared" si="3002"/>
        <v>NA</v>
      </c>
      <c r="M658" s="145">
        <f>M656-M657</f>
        <v>229394</v>
      </c>
      <c r="N658" s="72" t="str">
        <f t="shared" si="3003"/>
        <v>NA</v>
      </c>
      <c r="O658" s="145">
        <f>O656-O657</f>
        <v>222615</v>
      </c>
      <c r="P658" s="72" t="str">
        <f t="shared" si="3004"/>
        <v>NA</v>
      </c>
      <c r="Q658" s="145">
        <f>Q656-Q657</f>
        <v>230742</v>
      </c>
      <c r="R658" s="72">
        <f t="shared" si="3005"/>
        <v>14.042969618789186</v>
      </c>
      <c r="S658" s="145">
        <f>S656-S657</f>
        <v>233021</v>
      </c>
      <c r="T658" s="72">
        <f t="shared" si="3006"/>
        <v>16.229225274834903</v>
      </c>
      <c r="U658" s="145">
        <f>U656-U657</f>
        <v>229078</v>
      </c>
      <c r="V658" s="72">
        <f t="shared" si="3007"/>
        <v>-0.13775425686809228</v>
      </c>
      <c r="W658" s="145">
        <f>W656-W657</f>
        <v>222515</v>
      </c>
      <c r="X658" s="72">
        <f t="shared" si="3008"/>
        <v>-4.4920602834480405E-2</v>
      </c>
      <c r="Y658" s="145">
        <f>Y656-Y657</f>
        <v>221229</v>
      </c>
      <c r="Z658" s="72">
        <f t="shared" si="3009"/>
        <v>-4.1227864888056729</v>
      </c>
      <c r="AA658" s="145">
        <f>AA656-AA657</f>
        <v>223669</v>
      </c>
      <c r="AB658" s="72">
        <f t="shared" si="3010"/>
        <v>-4.0133721853395201</v>
      </c>
      <c r="AC658" s="145">
        <f>AC656-AC657</f>
        <v>258389</v>
      </c>
      <c r="AD658" s="72">
        <f t="shared" si="3011"/>
        <v>12.795205126638095</v>
      </c>
      <c r="AE658" s="145">
        <f>AE656-AE657</f>
        <v>246529</v>
      </c>
      <c r="AF658" s="72">
        <f t="shared" si="3012"/>
        <v>10.792081432712394</v>
      </c>
      <c r="AG658" s="145">
        <f>AG656-AG657</f>
        <v>250761</v>
      </c>
      <c r="AH658" s="72">
        <f t="shared" si="3013"/>
        <v>13.349063639938706</v>
      </c>
      <c r="AI658" s="145">
        <f>AI656-AI657</f>
        <v>260934</v>
      </c>
      <c r="AJ658" s="72">
        <f t="shared" si="3014"/>
        <v>16.660779991862967</v>
      </c>
      <c r="AK658" s="145">
        <f>AK656-AK657</f>
        <v>303444</v>
      </c>
      <c r="AL658" s="72">
        <f t="shared" si="3015"/>
        <v>17.436887793211014</v>
      </c>
      <c r="AM658" s="145">
        <f>AM656-AM657</f>
        <v>307593</v>
      </c>
      <c r="AN658" s="72">
        <f t="shared" si="3016"/>
        <v>24.769499734311168</v>
      </c>
      <c r="AO658" s="145">
        <f>AO656-AO657</f>
        <v>327431</v>
      </c>
      <c r="AP658" s="72">
        <f t="shared" si="3017"/>
        <v>30.574929913343794</v>
      </c>
      <c r="AQ658" s="145">
        <f>AQ656-AQ657</f>
        <v>328198</v>
      </c>
      <c r="AR658" s="72">
        <f t="shared" si="3018"/>
        <v>25.778166126300135</v>
      </c>
      <c r="AS658" s="145">
        <f>AS656-AS657</f>
        <v>334112</v>
      </c>
      <c r="AT658" s="72">
        <f t="shared" si="3019"/>
        <v>10.106642411779433</v>
      </c>
      <c r="AU658" s="145">
        <f>AU656-AU657</f>
        <v>339850</v>
      </c>
      <c r="AV658" s="72">
        <f t="shared" si="3020"/>
        <v>10.486909650089558</v>
      </c>
      <c r="AW658" s="145">
        <f>AW656-AW657</f>
        <v>344183</v>
      </c>
      <c r="AX658" s="72">
        <f t="shared" si="3021"/>
        <v>5.1161924191661683</v>
      </c>
      <c r="AY658" s="145">
        <f>AY656-AY657</f>
        <v>360379</v>
      </c>
      <c r="AZ658" s="72">
        <f t="shared" si="3022"/>
        <v>9.8053613976928631</v>
      </c>
      <c r="BA658" s="145">
        <f>BA656-BA657</f>
        <v>369801</v>
      </c>
      <c r="BB658" s="72">
        <f t="shared" si="3023"/>
        <v>10.681747437984868</v>
      </c>
      <c r="BC658" s="145">
        <f>BC656-BC657</f>
        <v>372565</v>
      </c>
      <c r="BD658" s="72">
        <f t="shared" si="3024"/>
        <v>9.6263057231131341</v>
      </c>
      <c r="BE658" s="145">
        <f>BE656-BE657</f>
        <v>379771</v>
      </c>
      <c r="BF658" s="72">
        <f t="shared" si="3025"/>
        <v>10.339848278386782</v>
      </c>
      <c r="BG658" s="145">
        <f>BG656-BG657</f>
        <v>385689</v>
      </c>
      <c r="BH658" s="72">
        <f t="shared" si="3026"/>
        <v>7.0231617269596711</v>
      </c>
      <c r="BI658" s="145">
        <f>BI656-BI657</f>
        <v>390005</v>
      </c>
      <c r="BJ658" s="72">
        <f t="shared" si="3027"/>
        <v>5.4634790062763443</v>
      </c>
      <c r="BK658" s="145">
        <f>BK656-BK657</f>
        <v>405546</v>
      </c>
      <c r="BL658" s="72">
        <f t="shared" si="3028"/>
        <v>8.8524150148296314</v>
      </c>
      <c r="BM658" s="145">
        <f>BM656-BM657</f>
        <v>411572</v>
      </c>
      <c r="BN658" s="72">
        <f t="shared" si="3029"/>
        <v>8.3737304849501299</v>
      </c>
      <c r="BO658" s="145">
        <f>BO656-BO657</f>
        <v>407043</v>
      </c>
      <c r="BP658" s="72">
        <f t="shared" si="3030"/>
        <v>5.5365851761393259</v>
      </c>
      <c r="BQ658" s="145">
        <f>BQ656-BQ657</f>
        <v>407832</v>
      </c>
      <c r="BR658" s="72">
        <f t="shared" si="3031"/>
        <v>4.5709670388841062</v>
      </c>
      <c r="BS658" s="145">
        <f>BS656-BS657</f>
        <v>396126</v>
      </c>
      <c r="BT658" s="72">
        <f t="shared" si="3032"/>
        <v>-2.3227944548830521</v>
      </c>
      <c r="BU658" s="145">
        <f>BU656-BU657</f>
        <v>384863</v>
      </c>
      <c r="BV658" s="72">
        <f t="shared" si="3033"/>
        <v>-6.4895085185581252</v>
      </c>
      <c r="BW658" s="145">
        <f>BW656-BW657</f>
        <v>368700</v>
      </c>
      <c r="BX658" s="72">
        <f t="shared" si="3034"/>
        <v>-9.4198892991649501</v>
      </c>
      <c r="BY658" s="145">
        <f>BY656-BY657</f>
        <v>383779</v>
      </c>
      <c r="BZ658" s="72">
        <f t="shared" si="3035"/>
        <v>-5.8977716314560951</v>
      </c>
      <c r="CA658" s="145">
        <f>CA656-CA657</f>
        <v>409116</v>
      </c>
      <c r="CB658" s="72">
        <f t="shared" si="3036"/>
        <v>3.2792596295118273</v>
      </c>
      <c r="CC658" s="145">
        <f>CC656-CC657</f>
        <v>415845</v>
      </c>
      <c r="CD658" s="72">
        <f t="shared" si="3037"/>
        <v>8.0501373215923593</v>
      </c>
      <c r="CE658" s="145">
        <f>CE656-CE657</f>
        <v>425608</v>
      </c>
      <c r="CF658" s="72">
        <f t="shared" si="3038"/>
        <v>15.434770816381899</v>
      </c>
      <c r="CG658" s="145">
        <f>CG656-CG657</f>
        <v>427380</v>
      </c>
      <c r="CH658" s="72">
        <f t="shared" si="3039"/>
        <v>11.360965555697405</v>
      </c>
      <c r="CI658" s="145">
        <f>CI656-CI657</f>
        <v>453734</v>
      </c>
      <c r="CJ658" s="72">
        <f t="shared" si="3040"/>
        <v>10.905953323751703</v>
      </c>
      <c r="CK658" s="145">
        <f>CK656-CK657</f>
        <v>467939</v>
      </c>
      <c r="CL658" s="72">
        <f t="shared" si="3040"/>
        <v>12.527263764142887</v>
      </c>
      <c r="CM658" s="145">
        <f>CM656-CM657</f>
        <v>524775</v>
      </c>
      <c r="CN658" s="72">
        <f t="shared" si="3040"/>
        <v>23.300078945884479</v>
      </c>
      <c r="CO658" s="145">
        <f>CO656-CO657</f>
        <v>537374</v>
      </c>
      <c r="CP658" s="72">
        <f t="shared" si="3040"/>
        <v>25.736815012401152</v>
      </c>
      <c r="CQ658" s="145">
        <f>CQ656-CQ657</f>
        <v>532350</v>
      </c>
      <c r="CR658" s="72">
        <f t="shared" si="3040"/>
        <v>17.32645118064768</v>
      </c>
      <c r="CS658" s="145">
        <f>CS656-CS657</f>
        <v>545923</v>
      </c>
      <c r="CT658" s="72">
        <f t="shared" si="3040"/>
        <v>16.665420065435882</v>
      </c>
      <c r="CU658" s="145">
        <f>CU656-CU657</f>
        <v>560945</v>
      </c>
      <c r="CV658" s="72">
        <f t="shared" si="3041"/>
        <v>6.8924777285503325</v>
      </c>
      <c r="CW658" s="145">
        <f>CW656-CW657</f>
        <v>569124</v>
      </c>
      <c r="CX658" s="72">
        <f t="shared" si="3042"/>
        <v>5.9083617741089114</v>
      </c>
      <c r="CY658" s="145">
        <f>CY656-CY657</f>
        <v>591160</v>
      </c>
      <c r="CZ658" s="72">
        <f t="shared" si="3043"/>
        <v>11.047243354935659</v>
      </c>
      <c r="DA658" s="145">
        <f>DA656-DA657</f>
        <v>629255</v>
      </c>
      <c r="DB658" s="72">
        <f t="shared" si="3044"/>
        <v>15.264423737413523</v>
      </c>
      <c r="DC658" s="145">
        <f>DC656-DC657</f>
        <v>641051</v>
      </c>
      <c r="DD658" s="72">
        <f t="shared" si="3045"/>
        <v>14.280544438403055</v>
      </c>
      <c r="DE658" s="145">
        <f>DE656-DE657</f>
        <v>628691</v>
      </c>
      <c r="DF658" s="72">
        <f t="shared" si="3046"/>
        <v>10.466436136940274</v>
      </c>
      <c r="DG658" s="145">
        <f>DG656-DG657</f>
        <v>647361</v>
      </c>
      <c r="DH658" s="72">
        <f t="shared" si="3047"/>
        <v>9.5069016848230632</v>
      </c>
      <c r="DI658" s="145">
        <f>DI656-DI657</f>
        <v>654793</v>
      </c>
      <c r="DJ658" s="72">
        <f t="shared" si="3048"/>
        <v>4.0584500719104426</v>
      </c>
      <c r="DK658" s="145">
        <f>DK656-DK657</f>
        <v>666146</v>
      </c>
      <c r="DL658" s="72">
        <f t="shared" si="3049"/>
        <v>3.9146651358472155</v>
      </c>
      <c r="DM658" s="145">
        <f>DM656-DM657</f>
        <v>681359</v>
      </c>
      <c r="DN658" s="72">
        <f t="shared" si="3050"/>
        <v>8.3774063888301384</v>
      </c>
      <c r="DO658" s="145">
        <f>DO656-DO657</f>
        <v>680208</v>
      </c>
      <c r="DP658" s="72">
        <f t="shared" si="3050"/>
        <v>5.0739849944621227</v>
      </c>
      <c r="DQ658" s="145">
        <f>DQ656-DQ657</f>
        <v>679882</v>
      </c>
      <c r="DR658" s="72">
        <f t="shared" si="3050"/>
        <v>3.8315925796396755</v>
      </c>
      <c r="DS658" s="145">
        <f>DS656-DS657</f>
        <v>694584</v>
      </c>
      <c r="DT658" s="72">
        <f t="shared" si="3050"/>
        <v>4.2690341156443168</v>
      </c>
      <c r="DU658" s="145">
        <f>DU656-DU657</f>
        <v>685432</v>
      </c>
      <c r="DV658" s="72">
        <f t="shared" si="3050"/>
        <v>0.59777591548655096</v>
      </c>
      <c r="DW658" s="145">
        <f>DW656-DW657</f>
        <v>677863</v>
      </c>
      <c r="DX658" s="72">
        <f t="shared" si="3050"/>
        <v>-0.34474748900336749</v>
      </c>
      <c r="DY658" s="145">
        <f>DY656-DY657</f>
        <v>682976</v>
      </c>
      <c r="DZ658" s="72">
        <f t="shared" si="3050"/>
        <v>0.45507896958589811</v>
      </c>
      <c r="EA658" s="145">
        <f>EA656-EA657</f>
        <v>690445</v>
      </c>
      <c r="EB658" s="72">
        <f t="shared" si="3051"/>
        <v>-0.59589624868986846</v>
      </c>
      <c r="EC658" s="145">
        <f>EC656-EC657</f>
        <v>708115</v>
      </c>
      <c r="ED658" s="72">
        <f t="shared" si="3052"/>
        <v>3.3092998284293742</v>
      </c>
      <c r="EE658" s="145">
        <f>EE656-EE657</f>
        <v>731475</v>
      </c>
      <c r="EF658" s="72">
        <f t="shared" si="3053"/>
        <v>7.9089727570320179</v>
      </c>
      <c r="EG658" s="145">
        <f>EG656-EG657</f>
        <v>707290</v>
      </c>
      <c r="EH658" s="72">
        <f t="shared" si="3054"/>
        <v>3.5600079651407981</v>
      </c>
      <c r="EI658" s="145">
        <f>EI656-EI657</f>
        <v>719626</v>
      </c>
      <c r="EJ658" s="72">
        <f t="shared" si="3055"/>
        <v>4.2264047100058661</v>
      </c>
      <c r="EK658" s="144">
        <f>EK656-EK657</f>
        <v>732403</v>
      </c>
      <c r="EL658" s="72">
        <f t="shared" si="3056"/>
        <v>3.4299513497101373</v>
      </c>
      <c r="EM658" s="144">
        <f>EM656-EM657</f>
        <v>741085</v>
      </c>
      <c r="EN658" s="72">
        <f t="shared" si="3057"/>
        <v>1.3137837930209599</v>
      </c>
      <c r="EO658" s="144">
        <f>EO656-EO657</f>
        <v>751714</v>
      </c>
      <c r="EP658" s="72">
        <f t="shared" si="3058"/>
        <v>6.2808748886595396</v>
      </c>
      <c r="EQ658" s="144">
        <f t="shared" ref="EQ658" si="3096">EQ656-EQ657</f>
        <v>763995.96389999997</v>
      </c>
      <c r="ER658" s="72">
        <f t="shared" si="3060"/>
        <v>6.1656977235397221</v>
      </c>
      <c r="ES658" s="144">
        <f t="shared" ref="ES658" si="3097">ES656-ES657</f>
        <v>775443.49062023242</v>
      </c>
      <c r="ET658" s="72">
        <f t="shared" si="3062"/>
        <v>5.8766130969196411</v>
      </c>
      <c r="EU658" s="144">
        <f t="shared" ref="EU658" si="3098">EU656-EU657</f>
        <v>787059.00979508436</v>
      </c>
      <c r="EV658" s="72">
        <f t="shared" si="3064"/>
        <v>6.203608195427563</v>
      </c>
      <c r="EW658" s="144">
        <f t="shared" ref="EW658" si="3099">EW656-EW657</f>
        <v>798844.98671382724</v>
      </c>
      <c r="EX658" s="72">
        <f t="shared" si="3066"/>
        <v>6.2698029721180148</v>
      </c>
      <c r="EY658" s="72"/>
      <c r="EZ658" s="296"/>
      <c r="FA658" s="72"/>
      <c r="FB658" s="9"/>
      <c r="FC658" s="11"/>
      <c r="FD658" s="150"/>
      <c r="FE658" s="72"/>
      <c r="FF658" s="145">
        <f>FF656-FF657</f>
        <v>202329</v>
      </c>
      <c r="FG658" s="72" t="str">
        <f t="shared" si="3067"/>
        <v>NA</v>
      </c>
      <c r="FH658" s="145">
        <f>FH656-FH657</f>
        <v>230742</v>
      </c>
      <c r="FI658" s="72">
        <f t="shared" si="3068"/>
        <v>14.042969618789186</v>
      </c>
      <c r="FJ658" s="145">
        <f>FJ656-FJ657</f>
        <v>221229</v>
      </c>
      <c r="FK658" s="72">
        <f t="shared" si="3069"/>
        <v>-4.1227864888056729</v>
      </c>
      <c r="FL658" s="145">
        <f>FL656-FL657</f>
        <v>250761</v>
      </c>
      <c r="FM658" s="72">
        <f t="shared" si="3070"/>
        <v>13.349063639938706</v>
      </c>
      <c r="FN658" s="145">
        <f>FN656-FN657</f>
        <v>327431</v>
      </c>
      <c r="FO658" s="72">
        <f t="shared" si="3071"/>
        <v>30.574929913343794</v>
      </c>
      <c r="FP658" s="145">
        <f>FP656-FP657</f>
        <v>344183</v>
      </c>
      <c r="FQ658" s="72">
        <f t="shared" si="3072"/>
        <v>5.1161924191661683</v>
      </c>
      <c r="FR658" s="144">
        <f>FR656-FR657</f>
        <v>379771</v>
      </c>
      <c r="FS658" s="72">
        <f t="shared" si="3073"/>
        <v>10.339848278386782</v>
      </c>
      <c r="FT658" s="144">
        <f>FT656-FT657</f>
        <v>411572</v>
      </c>
      <c r="FU658" s="72">
        <f t="shared" si="3074"/>
        <v>8.3737304849501299</v>
      </c>
      <c r="FV658" s="144">
        <f>FV656-FV657</f>
        <v>384863</v>
      </c>
      <c r="FW658" s="72">
        <f t="shared" si="3075"/>
        <v>-6.4895085185581252</v>
      </c>
      <c r="FX658" s="144">
        <f>FX656-FX657</f>
        <v>415845</v>
      </c>
      <c r="FY658" s="72">
        <f t="shared" si="3075"/>
        <v>8.0501373215923593</v>
      </c>
      <c r="FZ658" s="144">
        <f>FZ656-FZ657</f>
        <v>467939</v>
      </c>
      <c r="GA658" s="72">
        <f t="shared" si="3075"/>
        <v>12.527263764142887</v>
      </c>
      <c r="GB658" s="144">
        <f>GB656-GB657</f>
        <v>545923</v>
      </c>
      <c r="GC658" s="72">
        <f t="shared" si="3075"/>
        <v>16.665420065435882</v>
      </c>
      <c r="GD658" s="144">
        <f>GD656-GD657</f>
        <v>629255</v>
      </c>
      <c r="GE658" s="72">
        <f t="shared" si="3075"/>
        <v>15.264423737413523</v>
      </c>
      <c r="GF658" s="144">
        <f>GF656-GF657</f>
        <v>654793</v>
      </c>
      <c r="GG658" s="72">
        <f t="shared" si="3075"/>
        <v>4.0584500719104426</v>
      </c>
      <c r="GH658" s="144">
        <f>GH656-GH657</f>
        <v>679882</v>
      </c>
      <c r="GI658" s="72">
        <f t="shared" si="3076"/>
        <v>3.8315925796396755</v>
      </c>
      <c r="GJ658" s="144">
        <f>GJ656-GJ657</f>
        <v>682976</v>
      </c>
      <c r="GK658" s="72">
        <f t="shared" si="3076"/>
        <v>0.45507896958589811</v>
      </c>
      <c r="GL658" s="144">
        <f>GL656-GL657</f>
        <v>707290</v>
      </c>
      <c r="GM658" s="72">
        <f t="shared" si="3076"/>
        <v>3.5600079651407981</v>
      </c>
      <c r="GN658" s="144">
        <f>GN656-GN657</f>
        <v>751714</v>
      </c>
      <c r="GO658" s="72">
        <f t="shared" si="3076"/>
        <v>6.2808748886595396</v>
      </c>
      <c r="GP658" s="144">
        <f>GP656-GP657</f>
        <v>798844.98671382724</v>
      </c>
      <c r="GQ658" s="72">
        <f t="shared" si="3076"/>
        <v>6.2698029721180148</v>
      </c>
      <c r="GR658" s="144">
        <f>GR656-GR657</f>
        <v>847740.12591665692</v>
      </c>
      <c r="GS658" s="72">
        <f t="shared" si="3076"/>
        <v>6.1207293049390614</v>
      </c>
      <c r="GT658" s="144">
        <f>GT656-GT657</f>
        <v>899568.97347165633</v>
      </c>
      <c r="GU658" s="72">
        <f t="shared" si="3076"/>
        <v>6.1137659962664941</v>
      </c>
      <c r="GV658" s="144">
        <f>GV656-GV657</f>
        <v>954507.5518799558</v>
      </c>
      <c r="GW658" s="72">
        <f t="shared" si="3077"/>
        <v>6.1072113454822841</v>
      </c>
      <c r="GX658" s="144">
        <f>GX656-GX657</f>
        <v>1012742.4449927532</v>
      </c>
      <c r="GY658" s="72">
        <f t="shared" si="3078"/>
        <v>6.1010405835030213</v>
      </c>
      <c r="GZ658" s="72">
        <f t="shared" si="3079"/>
        <v>6.1424907665458939</v>
      </c>
      <c r="HA658" s="72"/>
      <c r="HB658" s="72"/>
      <c r="HC658"/>
      <c r="HD658"/>
      <c r="HE658"/>
      <c r="HF658"/>
      <c r="HG658"/>
      <c r="HH658"/>
      <c r="HI658" s="2"/>
    </row>
    <row r="659" spans="1:217" s="3" customFormat="1" ht="12.75" customHeight="1" x14ac:dyDescent="0.2">
      <c r="B659" s="4"/>
      <c r="C659" s="145"/>
      <c r="D659" s="145"/>
      <c r="E659" s="145"/>
      <c r="F659" s="11"/>
      <c r="G659" s="145"/>
      <c r="H659" s="11"/>
      <c r="I659" s="145"/>
      <c r="J659" s="11"/>
      <c r="K659" s="145"/>
      <c r="L659" s="72"/>
      <c r="M659" s="145"/>
      <c r="N659" s="72"/>
      <c r="O659" s="145"/>
      <c r="P659" s="72"/>
      <c r="Q659" s="145"/>
      <c r="R659" s="72"/>
      <c r="S659" s="145"/>
      <c r="T659" s="72"/>
      <c r="U659" s="145"/>
      <c r="V659" s="72"/>
      <c r="W659" s="145"/>
      <c r="X659" s="72"/>
      <c r="Y659" s="145"/>
      <c r="Z659" s="72"/>
      <c r="AA659" s="145"/>
      <c r="AB659" s="72"/>
      <c r="AC659" s="145"/>
      <c r="AD659" s="72"/>
      <c r="AE659" s="145"/>
      <c r="AF659" s="72"/>
      <c r="AG659" s="145"/>
      <c r="AH659" s="72"/>
      <c r="AI659" s="145"/>
      <c r="AJ659" s="72"/>
      <c r="AK659" s="145"/>
      <c r="AL659" s="72"/>
      <c r="AM659" s="145"/>
      <c r="AN659" s="72"/>
      <c r="AO659" s="145"/>
      <c r="AP659" s="72"/>
      <c r="AQ659" s="145"/>
      <c r="AR659" s="72"/>
      <c r="AS659" s="145"/>
      <c r="AT659" s="72"/>
      <c r="AU659" s="145"/>
      <c r="AV659" s="72"/>
      <c r="AW659" s="145"/>
      <c r="AX659" s="72"/>
      <c r="AY659" s="145"/>
      <c r="AZ659" s="72"/>
      <c r="BA659" s="145"/>
      <c r="BB659" s="72"/>
      <c r="BC659" s="145"/>
      <c r="BD659" s="72"/>
      <c r="BE659" s="145"/>
      <c r="BF659" s="72"/>
      <c r="BG659" s="145"/>
      <c r="BH659" s="72"/>
      <c r="BI659" s="145"/>
      <c r="BJ659" s="72"/>
      <c r="BK659" s="145"/>
      <c r="BL659" s="72"/>
      <c r="BM659" s="145"/>
      <c r="BN659" s="72"/>
      <c r="BO659" s="145"/>
      <c r="BP659" s="72"/>
      <c r="BQ659" s="145"/>
      <c r="BR659" s="72"/>
      <c r="BS659" s="145"/>
      <c r="BT659" s="72"/>
      <c r="BU659" s="145"/>
      <c r="BV659" s="72"/>
      <c r="BW659" s="145"/>
      <c r="BX659" s="72"/>
      <c r="BY659" s="145"/>
      <c r="BZ659" s="72"/>
      <c r="CA659" s="145"/>
      <c r="CB659" s="72"/>
      <c r="CC659" s="145"/>
      <c r="CD659" s="72"/>
      <c r="CE659" s="145"/>
      <c r="CF659" s="72"/>
      <c r="CG659" s="145"/>
      <c r="CH659" s="72"/>
      <c r="CI659" s="145"/>
      <c r="CJ659" s="72"/>
      <c r="CK659" s="145"/>
      <c r="CL659" s="72"/>
      <c r="CM659" s="145"/>
      <c r="CN659" s="72"/>
      <c r="CO659" s="145"/>
      <c r="CP659" s="72"/>
      <c r="CQ659" s="145"/>
      <c r="CR659" s="72"/>
      <c r="CS659" s="145"/>
      <c r="CT659" s="72"/>
      <c r="CU659" s="145"/>
      <c r="CV659" s="72"/>
      <c r="CW659" s="145"/>
      <c r="CX659" s="72"/>
      <c r="CY659" s="145"/>
      <c r="CZ659" s="72"/>
      <c r="DA659" s="145"/>
      <c r="DB659" s="72"/>
      <c r="DC659" s="145"/>
      <c r="DD659" s="72"/>
      <c r="DE659" s="145"/>
      <c r="DF659" s="72"/>
      <c r="DG659" s="145"/>
      <c r="DH659" s="72"/>
      <c r="DI659" s="145"/>
      <c r="DJ659" s="72"/>
      <c r="DK659" s="145"/>
      <c r="DL659" s="72"/>
      <c r="DM659" s="145"/>
      <c r="DN659" s="72"/>
      <c r="DO659" s="145"/>
      <c r="DP659" s="72"/>
      <c r="DQ659" s="145"/>
      <c r="DR659" s="72"/>
      <c r="DS659" s="145"/>
      <c r="DT659" s="72"/>
      <c r="DU659" s="145"/>
      <c r="DV659" s="72"/>
      <c r="DW659" s="144"/>
      <c r="DX659" s="72"/>
      <c r="DY659" s="144"/>
      <c r="DZ659" s="72"/>
      <c r="EA659" s="144"/>
      <c r="EB659" s="72"/>
      <c r="EC659" s="144"/>
      <c r="ED659" s="72"/>
      <c r="EE659" s="144"/>
      <c r="EF659" s="72"/>
      <c r="EG659" s="144"/>
      <c r="EH659" s="72"/>
      <c r="EI659" s="144"/>
      <c r="EJ659" s="72"/>
      <c r="EK659" s="144"/>
      <c r="EL659" s="72"/>
      <c r="EM659" s="144"/>
      <c r="EN659" s="72"/>
      <c r="EO659" s="144"/>
      <c r="EP659" s="72"/>
      <c r="EQ659" s="144"/>
      <c r="ER659" s="72"/>
      <c r="ES659" s="144"/>
      <c r="ET659" s="72"/>
      <c r="EU659" s="144"/>
      <c r="EV659" s="72"/>
      <c r="EW659" s="144"/>
      <c r="EX659" s="72"/>
      <c r="EY659" s="72"/>
      <c r="EZ659" s="296"/>
      <c r="FA659" s="72"/>
      <c r="FB659" s="9"/>
      <c r="FC659" s="11"/>
      <c r="FD659" s="150"/>
      <c r="FE659" s="72"/>
      <c r="FF659" s="145"/>
      <c r="FG659" s="72"/>
      <c r="FH659" s="145"/>
      <c r="FI659" s="72"/>
      <c r="FJ659" s="145"/>
      <c r="FK659" s="72"/>
      <c r="FL659" s="145"/>
      <c r="FM659" s="72"/>
      <c r="FN659" s="145"/>
      <c r="FO659" s="72"/>
      <c r="FP659" s="145"/>
      <c r="FQ659" s="72"/>
      <c r="FR659" s="144"/>
      <c r="FS659" s="72"/>
      <c r="FT659" s="144"/>
      <c r="FU659" s="72"/>
      <c r="FV659" s="144"/>
      <c r="FW659" s="72"/>
      <c r="FX659" s="144"/>
      <c r="FY659" s="72"/>
      <c r="FZ659" s="144"/>
      <c r="GA659" s="72"/>
      <c r="GB659" s="144"/>
      <c r="GC659" s="72"/>
      <c r="GD659" s="144"/>
      <c r="GE659" s="72"/>
      <c r="GF659" s="144"/>
      <c r="GG659" s="72"/>
      <c r="GH659" s="144"/>
      <c r="GI659" s="72"/>
      <c r="GJ659" s="144"/>
      <c r="GK659" s="72"/>
      <c r="GL659" s="144"/>
      <c r="GM659" s="72"/>
      <c r="GN659" s="144"/>
      <c r="GO659" s="72"/>
      <c r="GP659" s="144"/>
      <c r="GQ659" s="72"/>
      <c r="GR659" s="144"/>
      <c r="GS659" s="72"/>
      <c r="GT659" s="144"/>
      <c r="GU659" s="72"/>
      <c r="GV659" s="144"/>
      <c r="GW659" s="72"/>
      <c r="GX659" s="144"/>
      <c r="GY659" s="72"/>
      <c r="GZ659" s="72"/>
      <c r="HA659" s="72"/>
      <c r="HB659" s="72"/>
      <c r="HC659"/>
      <c r="HD659"/>
      <c r="HE659"/>
      <c r="HF659"/>
      <c r="HG659"/>
      <c r="HH659"/>
      <c r="HI659" s="2"/>
    </row>
    <row r="660" spans="1:217" s="3" customFormat="1" ht="12.75" customHeight="1" x14ac:dyDescent="0.2">
      <c r="A660" s="2" t="s">
        <v>565</v>
      </c>
      <c r="B660" s="194" t="s">
        <v>144</v>
      </c>
      <c r="C660" s="170"/>
      <c r="D660" s="145"/>
      <c r="E660" s="170"/>
      <c r="F660" s="11"/>
      <c r="G660" s="170"/>
      <c r="H660" s="11"/>
      <c r="I660" s="170"/>
      <c r="J660" s="11"/>
      <c r="K660" s="170"/>
      <c r="L660" s="72"/>
      <c r="M660" s="170"/>
      <c r="N660" s="72"/>
      <c r="O660" s="170"/>
      <c r="P660" s="72"/>
      <c r="Q660" s="170"/>
      <c r="R660" s="72" t="str">
        <f>IF(ISERROR(Q660/I660),"NA",IF(OR(Q660/I660&gt;2,Q660/I660&lt;0.5),"NM",Q660/I660*100-100))</f>
        <v>NA</v>
      </c>
      <c r="S660" s="170">
        <f>S661/(53618+16515)*100</f>
        <v>7.8821667403362188</v>
      </c>
      <c r="T660" s="72" t="str">
        <f>IF(ISERROR(S660/K660),"NA",IF(OR(S660/K660&gt;2,S660/K660&lt;0.5),"NM",S660/K660*100-100))</f>
        <v>NA</v>
      </c>
      <c r="U660" s="170">
        <f>U661/(56814+16195)*100</f>
        <v>8.2277527428125303</v>
      </c>
      <c r="V660" s="72" t="str">
        <f>IF(ISERROR(U660/M660),"NA",IF(OR(U660/M660&gt;2,U660/M660&lt;0.5),"NM",U660/M660*100-100))</f>
        <v>NA</v>
      </c>
      <c r="W660" s="170">
        <f>W661/(59299+15993)*100</f>
        <v>7.9530361791425381</v>
      </c>
      <c r="X660" s="72" t="str">
        <f>IF(ISERROR(W660/O660),"NA",IF(OR(W660/O660&gt;2,W660/O660&lt;0.5),"NM",W660/O660*100-100))</f>
        <v>NA</v>
      </c>
      <c r="Y660" s="170">
        <f>Y661/77275*100</f>
        <v>7.8938854739566482</v>
      </c>
      <c r="Z660" s="72" t="str">
        <f>IF(ISERROR(Y660/Q660),"NA",IF(OR(Y660/Q660&gt;2,Y660/Q660&lt;0.5),"NM",Y660/Q660*100-100))</f>
        <v>NA</v>
      </c>
      <c r="AA660" s="170">
        <f>AA661/(63739+15792)*100</f>
        <v>7.4109466748814929</v>
      </c>
      <c r="AB660" s="72">
        <f>IF(ISERROR(AA660/S660),"NA",IF(OR(AA660/S660&gt;2,AA660/S660&lt;0.5),"NM",AA660/S660*100-100))</f>
        <v>-5.9783062320072844</v>
      </c>
      <c r="AC660" s="170">
        <f>AC661/(65122+15661)*100</f>
        <v>7.6501244073629344</v>
      </c>
      <c r="AD660" s="72">
        <f>IF(ISERROR(AC660/U660),"NA",IF(OR(AC660/U660&gt;2,AC660/U660&lt;0.5),"NM",AC660/U660*100-100))</f>
        <v>-7.0204872886365166</v>
      </c>
      <c r="AE660" s="170">
        <f>AE661/(66836+16079)*100</f>
        <v>7.0300910571066755</v>
      </c>
      <c r="AF660" s="72">
        <f>IF(ISERROR(AE660/W660),"NA",IF(OR(AE660/W660&gt;2,AE660/W660&lt;0.5),"NM",AE660/W660*100-100))</f>
        <v>-11.604940569192408</v>
      </c>
      <c r="AG660" s="170">
        <f>AG661/(66338+16628)*100</f>
        <v>6.8341248222163298</v>
      </c>
      <c r="AH660" s="72">
        <f>IF(ISERROR(AG660/Y660),"NA",IF(OR(AG660/Y660&gt;2,AG660/Y660&lt;0.5),"NM",AG660/Y660*100-100))</f>
        <v>-13.425082682497234</v>
      </c>
      <c r="AI660" s="170">
        <f>AI661/(66338+16628)*100</f>
        <v>6.3688739965769114</v>
      </c>
      <c r="AJ660" s="72">
        <f>IF(ISERROR(AI660/AA660),"NA",IF(OR(AI660/AA660&gt;2,AI660/AA660&lt;0.5),"NM",AI660/AA660*100-100))</f>
        <v>-14.061262670214063</v>
      </c>
      <c r="AK660" s="170">
        <f>AK661/(74395+15937)*100</f>
        <v>5.9170615064428995</v>
      </c>
      <c r="AL660" s="72">
        <f>IF(ISERROR(AK660/AC660),"NA",IF(OR(AK660/AC660&gt;2,AK660/AC660&lt;0.5),"NM",AK660/AC660*100-100))</f>
        <v>-22.654048596282067</v>
      </c>
      <c r="AM660" s="170">
        <f>AM661/(76159+15812)*100</f>
        <v>5.6039403725087258</v>
      </c>
      <c r="AN660" s="72">
        <f>IF(ISERROR(AM660/AE660),"NA",IF(OR(AM660/AE660&gt;2,AM660/AE660&lt;0.5),"NM",AM660/AE660*100-100))</f>
        <v>-20.286375709974095</v>
      </c>
      <c r="AO660" s="170">
        <f>AO661/(84585+15662)*100</f>
        <v>5.4694903588137302</v>
      </c>
      <c r="AP660" s="72">
        <f>IF(ISERROR(AO660/AG660),"NA",IF(OR(AO660/AG660&gt;2,AO660/AG660&lt;0.5),"NM",AO660/AG660*100-100))</f>
        <v>-19.967947599763676</v>
      </c>
      <c r="AQ660" s="170">
        <f>AQ661/(86581+16608)*100</f>
        <v>5.3523146847047647</v>
      </c>
      <c r="AR660" s="72">
        <f>IF(ISERROR(AQ660/AI660),"NA",IF(OR(AQ660/AI660&gt;2,AQ660/AI660&lt;0.5),"NM",AQ660/AI660*100-100))</f>
        <v>-15.961366364266567</v>
      </c>
      <c r="AS660" s="170">
        <f>AS661/(86146+17319)*100</f>
        <v>5.5661334750881943</v>
      </c>
      <c r="AT660" s="72">
        <f>IF(ISERROR(AS660/AK660),"NA",IF(OR(AS660/AK660&gt;2,AS660/AK660&lt;0.5),"NM",AS660/AK660*100-100))</f>
        <v>-5.9307822129716072</v>
      </c>
      <c r="AU660" s="170">
        <f>AU661/(85586+17115)*100</f>
        <v>5.7477531864344069</v>
      </c>
      <c r="AV660" s="72">
        <f>IF(ISERROR(AU660/AM660),"NA",IF(OR(AU660/AM660&gt;2,AU660/AM660&lt;0.5),"NM",AU660/AM660*100-100))</f>
        <v>2.5662802308030308</v>
      </c>
      <c r="AW660" s="170">
        <f>AW661/(87927+17085)*100</f>
        <v>5.6926827410200742</v>
      </c>
      <c r="AX660" s="72">
        <f>IF(ISERROR(AW660/AO660),"NA",IF(OR(AW660/AO660&gt;2,AW660/AO660&lt;0.5),"NM",AW660/AO660*100-100))</f>
        <v>4.0806796897755504</v>
      </c>
      <c r="AY660" s="170">
        <f>AY661/(88637+17058)*100</f>
        <v>5.9851459387861299</v>
      </c>
      <c r="AZ660" s="72">
        <f>IF(ISERROR(AY660/AQ660),"NA",IF(OR(AY660/AQ660&gt;2,AY660/AQ660&lt;0.5),"NM",AY660/AQ660*100-100))</f>
        <v>11.823506115770769</v>
      </c>
      <c r="BA660" s="170">
        <f>BA661/(92879+17839)*100</f>
        <v>6.3765602702360953</v>
      </c>
      <c r="BB660" s="72">
        <f>IF(ISERROR(BA660/AS660),"NA",IF(OR(BA660/AS660&gt;2,BA660/AS660&lt;0.5),"NM",BA660/AS660*100-100))</f>
        <v>14.559959777735301</v>
      </c>
      <c r="BC660" s="170">
        <f>BC661/(90289+17839)*100</f>
        <v>6.4913805859721814</v>
      </c>
      <c r="BD660" s="72">
        <f>IF(ISERROR(BC660/AU660),"NA",IF(OR(BC660/AU660&gt;2,BC660/AU660&lt;0.5),"NM",BC660/AU660*100-100))</f>
        <v>12.937705837697592</v>
      </c>
      <c r="BE660" s="170">
        <f>BE661/(90289+17839)*100</f>
        <v>6.4913805859721814</v>
      </c>
      <c r="BF660" s="72">
        <f>IF(ISERROR(BE660/AW660),"NA",IF(OR(BE660/AW660&gt;2,BE660/AW660&lt;0.5),"NM",BE660/AW660*100-100))</f>
        <v>14.030253946823464</v>
      </c>
      <c r="BG660" s="170">
        <f>BG661/(94569+18448)*100</f>
        <v>6.5919286479025283</v>
      </c>
      <c r="BH660" s="72">
        <f>IF(ISERROR(BG660/AY660),"NA",IF(OR(BG660/AY660&gt;2,BG660/AY660&lt;0.5),"NM",BG660/AY660*100-100))</f>
        <v>10.138143920337939</v>
      </c>
      <c r="BI660" s="170">
        <f>BI661/(91495+18649)*100</f>
        <v>6.4987652527600233</v>
      </c>
      <c r="BJ660" s="72">
        <f>IF(ISERROR(BI660/BA660),"NA",IF(OR(BI660/BA660&gt;2,BI660/BA660&lt;0.5),"NM",BI660/BA660*100-100))</f>
        <v>1.9164718491620789</v>
      </c>
      <c r="BK660" s="170">
        <f>BK661/(93527+19955)*100</f>
        <v>6.5719673604624527</v>
      </c>
      <c r="BL660" s="72">
        <f>IF(ISERROR(BK660/BC660),"NA",IF(OR(BK660/BC660&gt;2,BK660/BC660&lt;0.5),"NM",BK660/BC660*100-100))</f>
        <v>1.2414427627986981</v>
      </c>
      <c r="BM660" s="170">
        <f>BM661/(92911+20575)*100</f>
        <v>6.6096258569338957</v>
      </c>
      <c r="BN660" s="72">
        <f>IF(ISERROR(BM660/BE660),"NA",IF(OR(BM660/BE660&gt;2,BM660/BE660&lt;0.5),"NM",BM660/BE660*100-100))</f>
        <v>1.8215735373341175</v>
      </c>
      <c r="BO660" s="170">
        <f>BO661/(99263+20727)*100</f>
        <v>6.2588549045753812</v>
      </c>
      <c r="BP660" s="72">
        <f>IF(ISERROR(BO660/BG660),"NA",IF(OR(BO660/BG660&gt;2,BO660/BG660&lt;0.5),"NM",BO660/BG660*100-100))</f>
        <v>-5.0527510402153268</v>
      </c>
      <c r="BQ660" s="170">
        <f>BQ661/(97195+20956)*100</f>
        <v>6.4366784876979457</v>
      </c>
      <c r="BR660" s="72">
        <f>IF(ISERROR(BQ660/BI660),"NA",IF(OR(BQ660/BI660&gt;2,BQ660/BI660&lt;0.5),"NM",BQ660/BI660*100-100))</f>
        <v>-0.95536248267636381</v>
      </c>
      <c r="BS660" s="170">
        <f>BS661/(95224+20890)*100</f>
        <v>6.5099815698365395</v>
      </c>
      <c r="BT660" s="72">
        <f>IF(ISERROR(BS660/BK660),"NA",IF(OR(BS660/BK660&gt;2,BS660/BK660&lt;0.5),"NM",BS660/BK660*100-100))</f>
        <v>-0.9431846998940614</v>
      </c>
      <c r="BU660" s="170">
        <f>BU661/(106110+21582)*100</f>
        <v>7.0638724430661286</v>
      </c>
      <c r="BV660" s="72">
        <f>IF(ISERROR(BU660/BM660),"NA",IF(OR(BU660/BM660&gt;2,BU660/BM660&lt;0.5),"NM",BU660/BM660*100-100))</f>
        <v>6.8725007430745961</v>
      </c>
      <c r="BW660" s="170">
        <f>BW661/(105051+21382)*100</f>
        <v>8.1086425221263436</v>
      </c>
      <c r="BX660" s="72">
        <f>IF(ISERROR(BW660/BO660),"NA",IF(OR(BW660/BO660&gt;2,BW660/BO660&lt;0.5),"NM",BW660/BO660*100-100))</f>
        <v>29.554729191736328</v>
      </c>
      <c r="BY660" s="170">
        <f>BY661/(105314+21307)*100</f>
        <v>8.3998704796202848</v>
      </c>
      <c r="BZ660" s="72">
        <f>IF(ISERROR(BY660/BQ660),"NA",IF(OR(BY660/BQ660&gt;2,BY660/BQ660&lt;0.5),"NM",BY660/BQ660*100-100))</f>
        <v>30.500078505932464</v>
      </c>
      <c r="CA660" s="170">
        <f>CA661/(109642+21031)*100</f>
        <v>8.2327642282644469</v>
      </c>
      <c r="CB660" s="72">
        <f>IF(ISERROR(CA660/BS660),"NA",IF(OR(CA660/BS660&gt;2,CA660/BS660&lt;0.5),"NM",CA660/BS660*100-100))</f>
        <v>26.463710226312756</v>
      </c>
      <c r="CC660" s="170">
        <f>CC661/(115343+20547)*100</f>
        <v>6.2683052468908675</v>
      </c>
      <c r="CD660" s="72">
        <f>IF(ISERROR(CC660/BU660),"NA",IF(OR(CC660/BU660&gt;2,CC660/BU660&lt;0.5),"NM",CC660/BU660*100-100))</f>
        <v>-11.26247964678619</v>
      </c>
      <c r="CE660" s="170">
        <f>CE661/(118260+21577)*100</f>
        <v>5.7266674771340922</v>
      </c>
      <c r="CF660" s="72">
        <f>IF(ISERROR(CE660/BW660),"NA",IF(OR(CE660/BW660&gt;2,CE660/BW660&lt;0.5),"NM",CE660/BW660*100-100))</f>
        <v>-29.37575603428651</v>
      </c>
      <c r="CG660" s="170">
        <f>CG661/143950*100</f>
        <v>5.3136505731156651</v>
      </c>
      <c r="CH660" s="72">
        <f>IF(ISERROR(CG660/BY660),"NA",IF(OR(CG660/BY660&gt;2,CG660/BY660&lt;0.5),"NM",CG660/BY660*100-100))</f>
        <v>-36.741279689876031</v>
      </c>
      <c r="CI660" s="170">
        <f>CI661/143950*100</f>
        <v>5.4199374782910734</v>
      </c>
      <c r="CJ660" s="72">
        <f>IF(ISERROR(CI660/CA660),"NA",IF(OR(CI660/CA660&gt;2,CI660/CA660&lt;0.5),"NM",CI660/CA660*100-100))</f>
        <v>-34.166249293481187</v>
      </c>
      <c r="CK660" s="170">
        <f>CK661/(123918+23518)*100</f>
        <v>5.6010743644700076</v>
      </c>
      <c r="CL660" s="72">
        <f>IF(ISERROR(CK660/CC660),"NA",IF(OR(CK660/CC660&gt;2,CK660/CC660&lt;0.5),"NM",CK660/CC660*100-100))</f>
        <v>-10.644518033830792</v>
      </c>
      <c r="CM660" s="170">
        <f>+CM661/(160844+24563)*100</f>
        <v>4.4485914771286952</v>
      </c>
      <c r="CN660" s="72">
        <f>IF(ISERROR(CM660/CE660),"NA",IF(OR(CM660/CE660&gt;2,CM660/CE660&lt;0.5),"NM",CM660/CE660*100-100))</f>
        <v>-22.31797123036398</v>
      </c>
      <c r="CO660" s="170">
        <f>+CO661/(169743+26438)*100</f>
        <v>3.9167911265616957</v>
      </c>
      <c r="CP660" s="72">
        <f>IF(ISERROR(CO660/CG660),"NA",IF(OR(CO660/CG660&gt;2,CO660/CG660&lt;0.5),"NM",CO660/CG660*100-100))</f>
        <v>-26.28813143305581</v>
      </c>
      <c r="CQ660" s="170">
        <f>+CQ661/(172314+26345)*100</f>
        <v>4.4442990249623726</v>
      </c>
      <c r="CR660" s="72">
        <f>IF(ISERROR(CQ660/CI660),"NA",IF(OR(CQ660/CI660&gt;2,CQ660/CI660&lt;0.5),"NM",CQ660/CI660*100-100))</f>
        <v>-18.000917118260247</v>
      </c>
      <c r="CS660" s="170">
        <f>CS661/(183013+28365)*100</f>
        <v>3.9507422721380658</v>
      </c>
      <c r="CT660" s="72">
        <f>IF(ISERROR(CS660/CK660),"NA",IF(OR(CS660/CK660&gt;2,CS660/CK660&lt;0.5),"NM",CS660/CK660*100-100))</f>
        <v>-29.464563134542516</v>
      </c>
      <c r="CU660" s="170">
        <f>CU661/(182715+28688)*100</f>
        <v>4.0538686773603025</v>
      </c>
      <c r="CV660" s="72">
        <f>IF(ISERROR(CU660/CM660),"NA",IF(OR(CU660/CM660&gt;2,CU660/CM660&lt;0.5),"NM",CU660/CM660*100-100))</f>
        <v>-8.8729837702059058</v>
      </c>
      <c r="CW660" s="170">
        <f>CW661/(192463+29265)*100</f>
        <v>3.7884254582190793</v>
      </c>
      <c r="CX660" s="72">
        <f>IF(ISERROR(CW660/CO660),"NA",IF(OR(CW660/CO660&gt;2,CW660/CO660&lt;0.5),"NM",CW660/CO660*100-100))</f>
        <v>-3.2773171760961475</v>
      </c>
      <c r="CY660" s="170">
        <f>CY661/(200274+30225)*100</f>
        <v>3.6538119471234149</v>
      </c>
      <c r="CZ660" s="72">
        <f>IF(ISERROR(CY660/CQ660),"NA",IF(OR(CY660/CQ660&gt;2,CY660/CQ660&lt;0.5),"NM",CY660/CQ660*100-100))</f>
        <v>-17.786541216039126</v>
      </c>
      <c r="DA660" s="170">
        <f>DA661/(228597+30466)*100</f>
        <v>3.4551441155240235</v>
      </c>
      <c r="DB660" s="72">
        <f>IF(ISERROR(DA660/CS660),"NA",IF(OR(DA660/CS660&gt;2,DA660/CS660&lt;0.5),"NM",DA660/CS660*100-100))</f>
        <v>-12.544431463149692</v>
      </c>
      <c r="DC660" s="170">
        <f>DC661/(226564+31476)*100</f>
        <v>3.5296853201054099</v>
      </c>
      <c r="DD660" s="72">
        <f>IF(ISERROR(DC660/CU660),"NA",IF(OR(DC660/CU660&gt;2,DC660/CU660&lt;0.5),"NM",DC660/CU660*100-100))</f>
        <v>-12.930447406505962</v>
      </c>
      <c r="DE660" s="170">
        <f>DE661/(215276+30197)*100</f>
        <v>3.9654055639520438</v>
      </c>
      <c r="DF660" s="72">
        <f>IF(ISERROR(DE660/CW660),"NA",IF(OR(DE660/CW660&gt;2,DE660/CW660&lt;0.5),"NM",DE660/CW660*100-100))</f>
        <v>4.671600581423661</v>
      </c>
      <c r="DG660" s="170">
        <f>DG661/(217530+31026)*100</f>
        <v>3.9415664880348893</v>
      </c>
      <c r="DH660" s="72">
        <f>IF(ISERROR(DG660/CY660),"NA",IF(OR(DG660/CY660&gt;2,DG660/CY660&lt;0.5),"NM",DG660/CY660*100-100))</f>
        <v>7.8754611642785477</v>
      </c>
      <c r="DI660" s="170">
        <f>DI661/(215384+31508)*100</f>
        <v>3.7895112032791669</v>
      </c>
      <c r="DJ660" s="72">
        <f>IF(ISERROR(DI660/DA660),"NA",IF(OR(DI660/DA660&gt;2,DI660/DA660&lt;0.5),"NM",DI660/DA660*100-100))</f>
        <v>9.6773702217753055</v>
      </c>
      <c r="DK660" s="170">
        <f>DK661/(221464+32820)*100</f>
        <v>3.7281150210001419</v>
      </c>
      <c r="DL660" s="72">
        <f>IF(ISERROR(DK660/DC660),"NA",IF(OR(DK660/DC660&gt;2,DK660/DC660&lt;0.5),"NM",DK660/DC660*100-100))</f>
        <v>5.6217391325073152</v>
      </c>
      <c r="DM660" s="170">
        <f>DM661/(228488+33349)*100</f>
        <v>3.8581254750092615</v>
      </c>
      <c r="DN660" s="72">
        <f>IF(ISERROR(DM660/DE660),"NA",IF(OR(DM660/DE660&gt;2,DM660/DE660&lt;0.5),"NM",DM660/DE660*100-100))</f>
        <v>-2.7054001718770877</v>
      </c>
      <c r="DO660" s="170">
        <f>DO661/(225160+33866)*100</f>
        <v>3.8860963764255323</v>
      </c>
      <c r="DP660" s="72">
        <f>IF(ISERROR(DO660/DG660),"NA",IF(OR(DO660/DG660&gt;2,DO660/DG660&lt;0.5),"NM",DO660/DG660*100-100))</f>
        <v>-1.4073113260360657</v>
      </c>
      <c r="DQ660" s="170">
        <f>DQ661/(222824+35355)*100</f>
        <v>3.9751490245139998</v>
      </c>
      <c r="DR660" s="72">
        <f>IF(ISERROR(DQ660/DI660),"NA",IF(OR(DQ660/DI660&gt;2,DQ660/DI660&lt;0.5),"NM",DQ660/DI660*100-100))</f>
        <v>4.8987273365017359</v>
      </c>
      <c r="DS660" s="170">
        <f>DS661/(225113+35914)*100</f>
        <v>3.9256475383772562</v>
      </c>
      <c r="DT660" s="72">
        <f>IF(ISERROR(DS660/DK660),"NA",IF(OR(DS660/DK660&gt;2,DS660/DK660&lt;0.5),"NM",DS660/DK660*100-100))</f>
        <v>5.298455553662663</v>
      </c>
      <c r="DU660" s="170">
        <f>DU661/(217231+36034)*100</f>
        <v>4.3120841806013468</v>
      </c>
      <c r="DV660" s="72">
        <f>IF(ISERROR(DU660/DM660),"NA",IF(OR(DU660/DM660&gt;2,DU660/DM660&lt;0.5),"NM",DU660/DM660*100-100))</f>
        <v>11.766302276392281</v>
      </c>
      <c r="DW660" s="170">
        <f>DW661/(218202+36276)*100</f>
        <v>4.3355417757134207</v>
      </c>
      <c r="DX660" s="72">
        <f>IF(ISERROR(DW660/DO660),"NA",IF(OR(DW660/DO660&gt;2,DW660/DO660&lt;0.5),"NM",DW660/DO660*100-100))</f>
        <v>11.565472282529754</v>
      </c>
      <c r="DY660" s="170">
        <f>DY661/(218744+36275)*100</f>
        <v>4.0965575114011106</v>
      </c>
      <c r="DZ660" s="72">
        <f>IF(ISERROR(DY660/DQ660),"NA",IF(OR(DY660/DQ660&gt;2,DY660/DQ660&lt;0.5),"NM",DY660/DQ660*100-100))</f>
        <v>3.0541870540804297</v>
      </c>
      <c r="EA660" s="170">
        <f>EA661/(240962+36798)*100</f>
        <v>4.1186635944700463</v>
      </c>
      <c r="EB660" s="72">
        <f>IF(ISERROR(EA660/DS660),"NA",IF(OR(EA660/DS660&gt;2,EA660/DS660&lt;0.5),"NM",EA660/DS660*100-100))</f>
        <v>4.9167953619335236</v>
      </c>
      <c r="EC660" s="170">
        <f>EC661/(256523+38319)*100</f>
        <v>4.316888367328942</v>
      </c>
      <c r="ED660" s="72">
        <f>IF(ISERROR(EC660/DU660),"NA",IF(OR(EC660/DU660&gt;2,EC660/DU660&lt;0.5),"NM",EC660/DU660*100-100))</f>
        <v>0.11141217393686986</v>
      </c>
      <c r="EE660" s="170">
        <f>EE661/(265996+39667)*100</f>
        <v>4.2121552166928939</v>
      </c>
      <c r="EF660" s="72">
        <f>IF(ISERROR(EE660/DW660),"NA",IF(OR(EE660/DW660&gt;2,EE660/DW660&lt;0.5),"NM",EE660/DW660*100-100))</f>
        <v>-2.8459317290334099</v>
      </c>
      <c r="EG660" s="170">
        <f>EG661/(245325+39474)*100</f>
        <v>4.6088644974174766</v>
      </c>
      <c r="EH660" s="72">
        <f>IF(ISERROR(EG660/DY660),"NA",IF(OR(EG660/DY660&gt;2,EG660/DY660&lt;0.5),"NM",EG660/DY660*100-100))</f>
        <v>12.505792597578974</v>
      </c>
      <c r="EI660" s="170">
        <f>EI661/(249491+41424)*100</f>
        <v>4.5504700685767316</v>
      </c>
      <c r="EJ660" s="72">
        <f>IF(ISERROR(EI660/EA660),"NA",IF(OR(EI660/EA660&gt;2,EI660/EA660&lt;0.5),"NM",EI660/EA660*100-100))</f>
        <v>10.484140406282606</v>
      </c>
      <c r="EK660" s="170">
        <f>EK661/(254185+42195)*100</f>
        <v>4.4223631824009715</v>
      </c>
      <c r="EL660" s="72">
        <f>IF(ISERROR(EK660/EC660),"NA",IF(OR(EK660/EC660&gt;2,EK660/EC660&lt;0.5),"NM",EK660/EC660*100-100))</f>
        <v>2.4433065230568189</v>
      </c>
      <c r="EM660" s="170">
        <f>EM661/(256823+43923)*100</f>
        <v>4.6673937475477647</v>
      </c>
      <c r="EN660" s="72">
        <f>IF(ISERROR(EM660/EE660),"NA",IF(OR(EM660/EE660&gt;2,EM660/EE660&lt;0.5),"NM",EM660/EE660*100-100))</f>
        <v>10.807733984985816</v>
      </c>
      <c r="EO660" s="170">
        <f>EO661/(262536+44803)*100</f>
        <v>5.8394801831202683</v>
      </c>
      <c r="EP660" s="72">
        <f>IF(ISERROR(EO660/EG660),"NA",IF(OR(EO660/EG660&gt;2,EO660/EG660&lt;0.5),"NM",EO660/EG660*100-100))</f>
        <v>26.701060237122462</v>
      </c>
      <c r="EQ660" s="171"/>
      <c r="ER660" s="72" t="str">
        <f t="shared" ref="ER660:ER662" si="3100">IF(ISERROR(EQ660/EI660),"NA",IF(OR(EQ660/EI660&gt;2,EQ660/EI660&lt;0.5),"NM",EQ660/EI660*100-100))</f>
        <v>NM</v>
      </c>
      <c r="ES660" s="171"/>
      <c r="ET660" s="72" t="str">
        <f t="shared" ref="ET660:ET662" si="3101">IF(ISERROR(ES660/EK660),"NA",IF(OR(ES660/EK660&gt;2,ES660/EK660&lt;0.5),"NM",ES660/EK660*100-100))</f>
        <v>NM</v>
      </c>
      <c r="EU660" s="171"/>
      <c r="EV660" s="72" t="str">
        <f t="shared" ref="EV660:EV662" si="3102">IF(ISERROR(EU660/EM660),"NA",IF(OR(EU660/EM660&gt;2,EU660/EM660&lt;0.5),"NM",EU660/EM660*100-100))</f>
        <v>NM</v>
      </c>
      <c r="EW660" s="171"/>
      <c r="EX660" s="72" t="str">
        <f t="shared" ref="EX660:EX662" si="3103">IF(ISERROR(EW660/EO660),"NA",IF(OR(EW660/EO660&gt;2,EW660/EO660&lt;0.5),"NM",EW660/EO660*100-100))</f>
        <v>NM</v>
      </c>
      <c r="EY660" s="72"/>
      <c r="EZ660" s="296"/>
      <c r="FA660" s="72"/>
      <c r="FB660" s="9"/>
      <c r="FC660" s="11"/>
      <c r="FD660" s="150"/>
      <c r="FE660" s="72"/>
      <c r="FF660" s="145"/>
      <c r="FG660" s="72"/>
      <c r="FH660" s="145"/>
      <c r="FI660" s="72"/>
      <c r="FJ660" s="145"/>
      <c r="FK660" s="72"/>
      <c r="FL660" s="145"/>
      <c r="FM660" s="72"/>
      <c r="FN660" s="145"/>
      <c r="FO660" s="72"/>
      <c r="FP660" s="145"/>
      <c r="FQ660" s="72"/>
      <c r="FR660" s="171"/>
      <c r="FS660" s="72"/>
      <c r="FT660" s="171"/>
      <c r="FU660" s="72"/>
      <c r="FV660" s="171"/>
      <c r="FW660" s="72"/>
      <c r="FX660" s="171"/>
      <c r="FY660" s="72"/>
      <c r="FZ660" s="171"/>
      <c r="GA660" s="72"/>
      <c r="GB660" s="171"/>
      <c r="GC660" s="72"/>
      <c r="GD660" s="171"/>
      <c r="GE660" s="72"/>
      <c r="GF660" s="171"/>
      <c r="GG660" s="72"/>
      <c r="GH660" s="171"/>
      <c r="GI660" s="72"/>
      <c r="GJ660" s="171"/>
      <c r="GK660" s="72"/>
      <c r="GL660" s="171"/>
      <c r="GM660" s="72"/>
      <c r="GN660" s="171"/>
      <c r="GO660" s="72"/>
      <c r="GP660" s="171"/>
      <c r="GQ660" s="72"/>
      <c r="GR660" s="171"/>
      <c r="GS660" s="72"/>
      <c r="GT660" s="171"/>
      <c r="GU660" s="72"/>
      <c r="GV660" s="171"/>
      <c r="GW660" s="72"/>
      <c r="GX660" s="171"/>
      <c r="GY660" s="72"/>
      <c r="GZ660" s="72"/>
      <c r="HA660" s="72"/>
      <c r="HB660" s="72"/>
      <c r="HC660"/>
      <c r="HD660"/>
      <c r="HE660"/>
      <c r="HF660"/>
      <c r="HG660"/>
      <c r="HH660"/>
      <c r="HI660" s="2"/>
    </row>
    <row r="661" spans="1:217" s="3" customFormat="1" ht="12.75" customHeight="1" x14ac:dyDescent="0.2">
      <c r="A661" s="2" t="s">
        <v>566</v>
      </c>
      <c r="B661" s="194" t="s">
        <v>145</v>
      </c>
      <c r="C661" s="150"/>
      <c r="D661" s="145"/>
      <c r="E661" s="150"/>
      <c r="F661" s="11"/>
      <c r="G661" s="150"/>
      <c r="H661" s="11"/>
      <c r="I661" s="150"/>
      <c r="J661" s="11"/>
      <c r="K661" s="150"/>
      <c r="L661" s="72"/>
      <c r="M661" s="150"/>
      <c r="N661" s="72"/>
      <c r="O661" s="150"/>
      <c r="P661" s="72"/>
      <c r="Q661" s="150"/>
      <c r="R661" s="72" t="str">
        <f>IF(ISERROR(Q661/I661),"NA",IF(OR(Q661/I661&gt;2,Q661/I661&lt;0.5),"NM",Q661/I661*100-100))</f>
        <v>NA</v>
      </c>
      <c r="S661" s="150">
        <f>1499+643+58+212+1669+798+439+210</f>
        <v>5528</v>
      </c>
      <c r="T661" s="72" t="str">
        <f>IF(ISERROR(S661/K661),"NA",IF(OR(S661/K661&gt;2,S661/K661&lt;0.5),"NM",S661/K661*100-100))</f>
        <v>NA</v>
      </c>
      <c r="U661" s="150">
        <f>1833+679+63+269+1633+831+369+330</f>
        <v>6007</v>
      </c>
      <c r="V661" s="72" t="str">
        <f>IF(ISERROR(U661/M661),"NA",IF(OR(U661/M661&gt;2,U661/M661&lt;0.5),"NM",U661/M661*100-100))</f>
        <v>NA</v>
      </c>
      <c r="W661" s="150">
        <f>1775+602+62+268+1770+747+515+249</f>
        <v>5988</v>
      </c>
      <c r="X661" s="72" t="str">
        <f>IF(ISERROR(W661/O661),"NA",IF(OR(W661/O661&gt;2,W661/O661&lt;0.5),"NM",W661/O661*100-100))</f>
        <v>NA</v>
      </c>
      <c r="Y661" s="150">
        <v>6100</v>
      </c>
      <c r="Z661" s="72" t="str">
        <f>IF(ISERROR(Y661/Q661),"NA",IF(OR(Y661/Q661&gt;2,Y661/Q661&lt;0.5),"NM",Y661/Q661*100-100))</f>
        <v>NA</v>
      </c>
      <c r="AA661" s="150">
        <f>1633+608+68+61+2161+592+636+135</f>
        <v>5894</v>
      </c>
      <c r="AB661" s="72">
        <f>IF(ISERROR(AA661/S661),"NA",IF(OR(AA661/S661&gt;2,AA661/S661&lt;0.5),"NM",AA661/S661*100-100))</f>
        <v>6.6208393632416715</v>
      </c>
      <c r="AC661" s="150">
        <f>1717+671+89+61+2262+513+586+281</f>
        <v>6180</v>
      </c>
      <c r="AD661" s="72">
        <f>IF(ISERROR(AC661/U661),"NA",IF(OR(AC661/U661&gt;2,AC661/U661&lt;0.5),"NM",AC661/U661*100-100))</f>
        <v>2.8799733644082011</v>
      </c>
      <c r="AE661" s="150">
        <f>1662+690+72+38+2054+512+500+301</f>
        <v>5829</v>
      </c>
      <c r="AF661" s="72">
        <f>IF(ISERROR(AE661/W661),"NA",IF(OR(AE661/W661&gt;2,AE661/W661&lt;0.5),"NM",AE661/W661*100-100))</f>
        <v>-2.6553106212424922</v>
      </c>
      <c r="AG661" s="150">
        <f>2438+3232</f>
        <v>5670</v>
      </c>
      <c r="AH661" s="72">
        <f>IF(ISERROR(AG661/Y661),"NA",IF(OR(AG661/Y661&gt;2,AG661/Y661&lt;0.5),"NM",AG661/Y661*100-100))</f>
        <v>-7.0491803278688536</v>
      </c>
      <c r="AI661" s="150">
        <f>2433+2851</f>
        <v>5284</v>
      </c>
      <c r="AJ661" s="72">
        <f>IF(ISERROR(AI661/AA661),"NA",IF(OR(AI661/AA661&gt;2,AI661/AA661&lt;0.5),"NM",AI661/AA661*100-100))</f>
        <v>-10.349507974211065</v>
      </c>
      <c r="AK661" s="150">
        <f>2626+2719</f>
        <v>5345</v>
      </c>
      <c r="AL661" s="72">
        <f>IF(ISERROR(AK661/AC661),"NA",IF(OR(AK661/AC661&gt;2,AK661/AC661&lt;0.5),"NM",AK661/AC661*100-100))</f>
        <v>-13.511326860841422</v>
      </c>
      <c r="AM661" s="150">
        <f>2546+2608</f>
        <v>5154</v>
      </c>
      <c r="AN661" s="72">
        <f>IF(ISERROR(AM661/AE661),"NA",IF(OR(AM661/AE661&gt;2,AM661/AE661&lt;0.5),"NM",AM661/AE661*100-100))</f>
        <v>-11.580030880082347</v>
      </c>
      <c r="AO661" s="150">
        <f>3060+2423</f>
        <v>5483</v>
      </c>
      <c r="AP661" s="72">
        <f>IF(ISERROR(AO661/AG661),"NA",IF(OR(AO661/AG661&gt;2,AO661/AG661&lt;0.5),"NM",AO661/AG661*100-100))</f>
        <v>-3.2980599647266331</v>
      </c>
      <c r="AQ661" s="150">
        <f>3485+2038</f>
        <v>5523</v>
      </c>
      <c r="AR661" s="72">
        <f>IF(ISERROR(AQ661/AI661),"NA",IF(OR(AQ661/AI661&gt;2,AQ661/AI661&lt;0.5),"NM",AQ661/AI661*100-100))</f>
        <v>4.5230885692657097</v>
      </c>
      <c r="AS661" s="150">
        <f>3834+1925</f>
        <v>5759</v>
      </c>
      <c r="AT661" s="72">
        <f>IF(ISERROR(AS661/AK661),"NA",IF(OR(AS661/AK661&gt;2,AS661/AK661&lt;0.5),"NM",AS661/AK661*100-100))</f>
        <v>7.7455565949485532</v>
      </c>
      <c r="AU661" s="150">
        <f>4050+1853</f>
        <v>5903</v>
      </c>
      <c r="AV661" s="72">
        <f>IF(ISERROR(AU661/AM661),"NA",IF(OR(AU661/AM661&gt;2,AU661/AM661&lt;0.5),"NM",AU661/AM661*100-100))</f>
        <v>14.532402017850217</v>
      </c>
      <c r="AW661" s="150">
        <f>3955+2023</f>
        <v>5978</v>
      </c>
      <c r="AX661" s="72">
        <f>IF(ISERROR(AW661/AO661),"NA",IF(OR(AW661/AO661&gt;2,AW661/AO661&lt;0.5),"NM",AW661/AO661*100-100))</f>
        <v>9.0279044318803585</v>
      </c>
      <c r="AY661" s="150">
        <f>4246+2080</f>
        <v>6326</v>
      </c>
      <c r="AZ661" s="72">
        <f>IF(ISERROR(AY661/AQ661),"NA",IF(OR(AY661/AQ661&gt;2,AY661/AQ661&lt;0.5),"NM",AY661/AQ661*100-100))</f>
        <v>14.53919971030237</v>
      </c>
      <c r="BA661" s="150">
        <f>4774+2286</f>
        <v>7060</v>
      </c>
      <c r="BB661" s="72">
        <f>IF(ISERROR(BA661/AS661),"NA",IF(OR(BA661/AS661&gt;2,BA661/AS661&lt;0.5),"NM",BA661/AS661*100-100))</f>
        <v>22.590727556867506</v>
      </c>
      <c r="BC661" s="150">
        <f>4681+2338</f>
        <v>7019</v>
      </c>
      <c r="BD661" s="72">
        <f>IF(ISERROR(BC661/AU661),"NA",IF(OR(BC661/AU661&gt;2,BC661/AU661&lt;0.5),"NM",BC661/AU661*100-100))</f>
        <v>18.905641199390132</v>
      </c>
      <c r="BE661" s="150">
        <f>4681+2338</f>
        <v>7019</v>
      </c>
      <c r="BF661" s="72">
        <f>IF(ISERROR(BE661/AW661),"NA",IF(OR(BE661/AW661&gt;2,BE661/AW661&lt;0.5),"NM",BE661/AW661*100-100))</f>
        <v>17.41385078621613</v>
      </c>
      <c r="BG661" s="150">
        <f>4607+2843</f>
        <v>7450</v>
      </c>
      <c r="BH661" s="72">
        <f>IF(ISERROR(BG661/AY661),"NA",IF(OR(BG661/AY661&gt;2,BG661/AY661&lt;0.5),"NM",BG661/AY661*100-100))</f>
        <v>17.767941827379062</v>
      </c>
      <c r="BI661" s="150">
        <f>4451+2707</f>
        <v>7158</v>
      </c>
      <c r="BJ661" s="72">
        <f>IF(ISERROR(BI661/BA661),"NA",IF(OR(BI661/BA661&gt;2,BI661/BA661&lt;0.5),"NM",BI661/BA661*100-100))</f>
        <v>1.3881019830028265</v>
      </c>
      <c r="BK661" s="150">
        <f>4599+2859</f>
        <v>7458</v>
      </c>
      <c r="BL661" s="72">
        <f>IF(ISERROR(BK661/BC661),"NA",IF(OR(BK661/BC661&gt;2,BK661/BC661&lt;0.5),"NM",BK661/BC661*100-100))</f>
        <v>6.2544522011682488</v>
      </c>
      <c r="BM661" s="150">
        <f>4660+2841</f>
        <v>7501</v>
      </c>
      <c r="BN661" s="72">
        <f>IF(ISERROR(BM661/BE661),"NA",IF(OR(BM661/BE661&gt;2,BM661/BE661&lt;0.5),"NM",BM661/BE661*100-100))</f>
        <v>6.867075081920504</v>
      </c>
      <c r="BO661" s="150">
        <f>4719+2791</f>
        <v>7510</v>
      </c>
      <c r="BP661" s="72">
        <f>IF(ISERROR(BO661/BG661),"NA",IF(OR(BO661/BG661&gt;2,BO661/BG661&lt;0.5),"NM",BO661/BG661*100-100))</f>
        <v>0.80536912751678358</v>
      </c>
      <c r="BQ661" s="150">
        <f>4487+3118</f>
        <v>7605</v>
      </c>
      <c r="BR661" s="72">
        <f>IF(ISERROR(BQ661/BI661),"NA",IF(OR(BQ661/BI661&gt;2,BQ661/BI661&lt;0.5),"NM",BQ661/BI661*100-100))</f>
        <v>6.2447611064543054</v>
      </c>
      <c r="BS661" s="150">
        <f>3923+3636</f>
        <v>7559</v>
      </c>
      <c r="BT661" s="72">
        <f>IF(ISERROR(BS661/BK661),"NA",IF(OR(BS661/BK661&gt;2,BS661/BK661&lt;0.5),"NM",BS661/BK661*100-100))</f>
        <v>1.3542504692947119</v>
      </c>
      <c r="BU661" s="150">
        <f>5063+3957</f>
        <v>9020</v>
      </c>
      <c r="BV661" s="72">
        <f>IF(ISERROR(BU661/BM661),"NA",IF(OR(BU661/BM661&gt;2,BU661/BM661&lt;0.5),"NM",BU661/BM661*100-100))</f>
        <v>20.250633248900158</v>
      </c>
      <c r="BW661" s="150">
        <f>6204+4048</f>
        <v>10252</v>
      </c>
      <c r="BX661" s="72">
        <f>IF(ISERROR(BW661/BO661),"NA",IF(OR(BW661/BO661&gt;2,BW661/BO661&lt;0.5),"NM",BW661/BO661*100-100))</f>
        <v>36.511318242343549</v>
      </c>
      <c r="BY661" s="150">
        <f>4082+6554</f>
        <v>10636</v>
      </c>
      <c r="BZ661" s="72">
        <f>IF(ISERROR(BY661/BQ661),"NA",IF(OR(BY661/BQ661&gt;2,BY661/BQ661&lt;0.5),"NM",BY661/BQ661*100-100))</f>
        <v>39.855358316896769</v>
      </c>
      <c r="CA661" s="150">
        <f>6370+4388</f>
        <v>10758</v>
      </c>
      <c r="CB661" s="72">
        <f>IF(ISERROR(CA661/BS661),"NA",IF(OR(CA661/BS661&gt;2,CA661/BS661&lt;0.5),"NM",CA661/BS661*100-100))</f>
        <v>42.320412753009663</v>
      </c>
      <c r="CC661" s="150">
        <f>4462+4056</f>
        <v>8518</v>
      </c>
      <c r="CD661" s="72">
        <f>IF(ISERROR(CC661/BU661),"NA",IF(OR(CC661/BU661&gt;2,CC661/BU661&lt;0.5),"NM",CC661/BU661*100-100))</f>
        <v>-5.5654101995565384</v>
      </c>
      <c r="CE661" s="150">
        <f>4186+3822</f>
        <v>8008</v>
      </c>
      <c r="CF661" s="72">
        <f>IF(ISERROR(CE661/BW661),"NA",IF(OR(CE661/BW661&gt;2,CE661/BW661&lt;0.5),"NM",CE661/BW661*100-100))</f>
        <v>-21.888412017167383</v>
      </c>
      <c r="CG661" s="150">
        <v>7649</v>
      </c>
      <c r="CH661" s="72">
        <f>IF(ISERROR(CG661/BY661),"NA",IF(OR(CG661/BY661&gt;2,CG661/BY661&lt;0.5),"NM",CG661/BY661*100-100))</f>
        <v>-28.083866115080852</v>
      </c>
      <c r="CI661" s="150">
        <f>2218+1059+347+76+2357+1067+389+289</f>
        <v>7802</v>
      </c>
      <c r="CJ661" s="72">
        <f>IF(ISERROR(CI661/CA661),"NA",IF(OR(CI661/CA661&gt;2,CI661/CA661&lt;0.5),"NM",CI661/CA661*100-100))</f>
        <v>-27.477226250232391</v>
      </c>
      <c r="CK661" s="150">
        <f>4180+4078</f>
        <v>8258</v>
      </c>
      <c r="CL661" s="72">
        <f>IF(ISERROR(CK661/CC661),"NA",IF(OR(CK661/CC661&gt;2,CK661/CC661&lt;0.5),"NM",CK661/CC661*100-100))</f>
        <v>-3.0523597088518528</v>
      </c>
      <c r="CM661" s="150">
        <f>4298+3950</f>
        <v>8248</v>
      </c>
      <c r="CN661" s="72">
        <f>IF(ISERROR(CM661/CE661),"NA",IF(OR(CM661/CE661&gt;2,CM661/CE661&lt;0.5),"NM",CM661/CE661*100-100))</f>
        <v>2.9970029970030083</v>
      </c>
      <c r="CO661" s="150">
        <f>3790+3894</f>
        <v>7684</v>
      </c>
      <c r="CP661" s="72">
        <f>IF(ISERROR(CO661/CG661),"NA",IF(OR(CO661/CG661&gt;2,CO661/CG661&lt;0.5),"NM",CO661/CG661*100-100))</f>
        <v>0.4575761537455918</v>
      </c>
      <c r="CQ661" s="150">
        <f>4967+3862</f>
        <v>8829</v>
      </c>
      <c r="CR661" s="72">
        <f>IF(ISERROR(CQ661/CI661),"NA",IF(OR(CQ661/CI661&gt;2,CQ661/CI661&lt;0.5),"NM",CQ661/CI661*100-100))</f>
        <v>13.163291463727262</v>
      </c>
      <c r="CS661" s="150">
        <f>4408+3943</f>
        <v>8351</v>
      </c>
      <c r="CT661" s="72">
        <f>IF(ISERROR(CS661/CK661),"NA",IF(OR(CS661/CK661&gt;2,CS661/CK661&lt;0.5),"NM",CS661/CK661*100-100))</f>
        <v>1.1261806732865125</v>
      </c>
      <c r="CU661" s="150">
        <f>4546+4024</f>
        <v>8570</v>
      </c>
      <c r="CV661" s="72">
        <f>IF(ISERROR(CU661/CM661),"NA",IF(OR(CU661/CM661&gt;2,CU661/CM661&lt;0.5),"NM",CU661/CM661*100-100))</f>
        <v>3.9039767216294763</v>
      </c>
      <c r="CW661" s="150">
        <f>4523+3877</f>
        <v>8400</v>
      </c>
      <c r="CX661" s="72">
        <f>IF(ISERROR(CW661/CO661),"NA",IF(OR(CW661/CO661&gt;2,CW661/CO661&lt;0.5),"NM",CW661/CO661*100-100))</f>
        <v>9.318063508589276</v>
      </c>
      <c r="CY661" s="150">
        <f>4512+3910</f>
        <v>8422</v>
      </c>
      <c r="CZ661" s="72">
        <f>IF(ISERROR(CY661/CQ661),"NA",IF(OR(CY661/CQ661&gt;2,CY661/CQ661&lt;0.5),"NM",CY661/CQ661*100-100))</f>
        <v>-4.6098085853437567</v>
      </c>
      <c r="DA661" s="150">
        <f>5273+3678</f>
        <v>8951</v>
      </c>
      <c r="DB661" s="72">
        <f>IF(ISERROR(DA661/CS661),"NA",IF(OR(DA661/CS661&gt;2,DA661/CS661&lt;0.5),"NM",DA661/CS661*100-100))</f>
        <v>7.1847682912226105</v>
      </c>
      <c r="DC661" s="150">
        <f>5425+3683</f>
        <v>9108</v>
      </c>
      <c r="DD661" s="72">
        <f>IF(ISERROR(DC661/CU661),"NA",IF(OR(DC661/CU661&gt;2,DC661/CU661&lt;0.5),"NM",DC661/CU661*100-100))</f>
        <v>6.2777129521586801</v>
      </c>
      <c r="DE661" s="150">
        <f>6143+3591</f>
        <v>9734</v>
      </c>
      <c r="DF661" s="72">
        <f>IF(ISERROR(DE661/CW661),"NA",IF(OR(DE661/CW661&gt;2,DE661/CW661&lt;0.5),"NM",DE661/CW661*100-100))</f>
        <v>15.88095238095238</v>
      </c>
      <c r="DG661" s="150">
        <f>6383+3414</f>
        <v>9797</v>
      </c>
      <c r="DH661" s="72">
        <f>IF(ISERROR(DG661/CY661),"NA",IF(OR(DG661/CY661&gt;2,DG661/CY661&lt;0.5),"NM",DG661/CY661*100-100))</f>
        <v>16.326288292567085</v>
      </c>
      <c r="DI661" s="150">
        <f>5989+3367</f>
        <v>9356</v>
      </c>
      <c r="DJ661" s="72">
        <f>IF(ISERROR(DI661/DA661),"NA",IF(OR(DI661/DA661&gt;2,DI661/DA661&lt;0.5),"NM",DI661/DA661*100-100))</f>
        <v>4.5246341190928234</v>
      </c>
      <c r="DK661" s="150">
        <f>6057+3423</f>
        <v>9480</v>
      </c>
      <c r="DL661" s="72">
        <f>IF(ISERROR(DK661/DC661),"NA",IF(OR(DK661/DC661&gt;2,DK661/DC661&lt;0.5),"NM",DK661/DC661*100-100))</f>
        <v>4.0843214756258277</v>
      </c>
      <c r="DM661" s="150">
        <f>6319+3783</f>
        <v>10102</v>
      </c>
      <c r="DN661" s="72">
        <f>IF(ISERROR(DM661/DE661),"NA",IF(OR(DM661/DE661&gt;2,DM661/DE661&lt;0.5),"NM",DM661/DE661*100-100))</f>
        <v>3.7805629751386931</v>
      </c>
      <c r="DO661" s="150">
        <f>6340+3726</f>
        <v>10066</v>
      </c>
      <c r="DP661" s="72">
        <f>IF(ISERROR(DO661/DG661),"NA",IF(OR(DO661/DG661&gt;2,DO661/DG661&lt;0.5),"NM",DO661/DG661*100-100))</f>
        <v>2.7457384913749223</v>
      </c>
      <c r="DQ661" s="150">
        <f>6272+3991</f>
        <v>10263</v>
      </c>
      <c r="DR661" s="72">
        <f>IF(ISERROR(DQ661/DI661),"NA",IF(OR(DQ661/DI661&gt;2,DQ661/DI661&lt;0.5),"NM",DQ661/DI661*100-100))</f>
        <v>9.6943138093202208</v>
      </c>
      <c r="DS661" s="150">
        <f>6735+3512</f>
        <v>10247</v>
      </c>
      <c r="DT661" s="72">
        <f>IF(ISERROR(DS661/DK661),"NA",IF(OR(DS661/DK661&gt;2,DS661/DK661&lt;0.5),"NM",DS661/DK661*100-100))</f>
        <v>8.0907172995780599</v>
      </c>
      <c r="DU661" s="150">
        <f>6840+4081</f>
        <v>10921</v>
      </c>
      <c r="DV661" s="72">
        <f>IF(ISERROR(DU661/DM661),"NA",IF(OR(DU661/DM661&gt;2,DU661/DM661&lt;0.5),"NM",DU661/DM661*100-100))</f>
        <v>8.1073054840625502</v>
      </c>
      <c r="DW661" s="150">
        <f>6357+4676</f>
        <v>11033</v>
      </c>
      <c r="DX661" s="72">
        <f>IF(ISERROR(DW661/DO661),"NA",IF(OR(DW661/DO661&gt;2,DW661/DO661&lt;0.5),"NM",DW661/DO661*100-100))</f>
        <v>9.6065964633419441</v>
      </c>
      <c r="DY661" s="150">
        <f>6164+4283</f>
        <v>10447</v>
      </c>
      <c r="DZ661" s="72">
        <f>IF(ISERROR(DY661/DQ661),"NA",IF(OR(DY661/DQ661&gt;2,DY661/DQ661&lt;0.5),"NM",DY661/DQ661*100-100))</f>
        <v>1.7928480950989041</v>
      </c>
      <c r="EA661" s="150">
        <f>6920+4520</f>
        <v>11440</v>
      </c>
      <c r="EB661" s="72">
        <f>IF(ISERROR(EA661/DS661),"NA",IF(OR(EA661/DS661&gt;2,EA661/DS661&lt;0.5),"NM",EA661/DS661*100-100))</f>
        <v>11.642431931296969</v>
      </c>
      <c r="EC661" s="150">
        <f>7430+5298</f>
        <v>12728</v>
      </c>
      <c r="ED661" s="72">
        <f>IF(ISERROR(EC661/DU661),"NA",IF(OR(EC661/DU661&gt;2,EC661/DU661&lt;0.5),"NM",EC661/DU661*100-100))</f>
        <v>16.546103836644988</v>
      </c>
      <c r="EE661" s="150">
        <f>7586+5289</f>
        <v>12875</v>
      </c>
      <c r="EF661" s="72">
        <f>IF(ISERROR(EE661/DW661),"NA",IF(OR(EE661/DW661&gt;2,EE661/DW661&lt;0.5),"NM",EE661/DW661*100-100))</f>
        <v>16.695368440134146</v>
      </c>
      <c r="EG661" s="150">
        <f>7569+5557</f>
        <v>13126</v>
      </c>
      <c r="EH661" s="72">
        <f>IF(ISERROR(EG661/DY661),"NA",IF(OR(EG661/DY661&gt;2,EG661/DY661&lt;0.5),"NM",EG661/DY661*100-100))</f>
        <v>25.643725471427217</v>
      </c>
      <c r="EI661" s="150">
        <f>7651+5587</f>
        <v>13238</v>
      </c>
      <c r="EJ661" s="72">
        <f>IF(ISERROR(EI661/EA661),"NA",IF(OR(EI661/EA661&gt;2,EI661/EA661&lt;0.5),"NM",EI661/EA661*100-100))</f>
        <v>15.716783216783227</v>
      </c>
      <c r="EK661" s="150">
        <f>7780+5327</f>
        <v>13107</v>
      </c>
      <c r="EL661" s="72">
        <f>IF(ISERROR(EK661/EC661),"NA",IF(OR(EK661/EC661&gt;2,EK661/EC661&lt;0.5),"NM",EK661/EC661*100-100))</f>
        <v>2.9776869893148898</v>
      </c>
      <c r="EM661" s="150">
        <f>8006+6031</f>
        <v>14037</v>
      </c>
      <c r="EN661" s="72">
        <f>IF(ISERROR(EM661/EE661),"NA",IF(OR(EM661/EE661&gt;2,EM661/EE661&lt;0.5),"NM",EM661/EE661*100-100))</f>
        <v>9.0252427184466057</v>
      </c>
      <c r="EO661" s="150">
        <f>10917+7030</f>
        <v>17947</v>
      </c>
      <c r="EP661" s="72">
        <f>IF(ISERROR(EO661/EG661),"NA",IF(OR(EO661/EG661&gt;2,EO661/EG661&lt;0.5),"NM",EO661/EG661*100-100))</f>
        <v>36.728630199603828</v>
      </c>
      <c r="EQ661" s="144"/>
      <c r="ER661" s="72" t="str">
        <f t="shared" si="3100"/>
        <v>NM</v>
      </c>
      <c r="ES661" s="144"/>
      <c r="ET661" s="72" t="str">
        <f t="shared" si="3101"/>
        <v>NM</v>
      </c>
      <c r="EU661" s="144"/>
      <c r="EV661" s="72" t="str">
        <f t="shared" si="3102"/>
        <v>NM</v>
      </c>
      <c r="EW661" s="144"/>
      <c r="EX661" s="72" t="str">
        <f t="shared" si="3103"/>
        <v>NM</v>
      </c>
      <c r="EY661" s="72"/>
      <c r="EZ661" s="296"/>
      <c r="FA661" s="72"/>
      <c r="FB661" s="9"/>
      <c r="FC661" s="11"/>
      <c r="FD661" s="150"/>
      <c r="FE661" s="72"/>
      <c r="FF661" s="145"/>
      <c r="FG661" s="72"/>
      <c r="FH661" s="145"/>
      <c r="FI661" s="72"/>
      <c r="FJ661" s="145"/>
      <c r="FK661" s="72"/>
      <c r="FL661" s="145"/>
      <c r="FM661" s="72"/>
      <c r="FN661" s="145"/>
      <c r="FO661" s="72"/>
      <c r="FP661" s="145"/>
      <c r="FQ661" s="72"/>
      <c r="FR661" s="144"/>
      <c r="FS661" s="72"/>
      <c r="FT661" s="144"/>
      <c r="FU661" s="72"/>
      <c r="FV661" s="144"/>
      <c r="FW661" s="72"/>
      <c r="FX661" s="144"/>
      <c r="FY661" s="72"/>
      <c r="FZ661" s="144"/>
      <c r="GA661" s="72"/>
      <c r="GB661" s="144"/>
      <c r="GC661" s="72"/>
      <c r="GD661" s="144"/>
      <c r="GE661" s="72"/>
      <c r="GF661" s="144"/>
      <c r="GG661" s="72"/>
      <c r="GH661" s="144"/>
      <c r="GI661" s="72"/>
      <c r="GJ661" s="144"/>
      <c r="GK661" s="72"/>
      <c r="GL661" s="144"/>
      <c r="GM661" s="72"/>
      <c r="GN661" s="144"/>
      <c r="GO661" s="72"/>
      <c r="GP661" s="144"/>
      <c r="GQ661" s="72"/>
      <c r="GR661" s="144"/>
      <c r="GS661" s="72"/>
      <c r="GT661" s="144"/>
      <c r="GU661" s="72"/>
      <c r="GV661" s="144"/>
      <c r="GW661" s="72"/>
      <c r="GX661" s="144"/>
      <c r="GY661" s="72"/>
      <c r="GZ661" s="72"/>
      <c r="HA661" s="72"/>
      <c r="HB661" s="72"/>
      <c r="HC661"/>
      <c r="HD661"/>
      <c r="HE661"/>
      <c r="HF661"/>
      <c r="HG661"/>
      <c r="HH661"/>
      <c r="HI661" s="2"/>
    </row>
    <row r="662" spans="1:217" s="3" customFormat="1" ht="12.75" customHeight="1" x14ac:dyDescent="0.2">
      <c r="A662" s="2" t="s">
        <v>358</v>
      </c>
      <c r="B662" s="194" t="s">
        <v>564</v>
      </c>
      <c r="C662" s="169"/>
      <c r="D662" s="145"/>
      <c r="E662" s="169"/>
      <c r="F662" s="11"/>
      <c r="G662" s="169"/>
      <c r="H662" s="11"/>
      <c r="I662" s="169"/>
      <c r="J662" s="11"/>
      <c r="K662" s="169"/>
      <c r="L662" s="72"/>
      <c r="M662" s="169"/>
      <c r="N662" s="72"/>
      <c r="O662" s="169"/>
      <c r="P662" s="72"/>
      <c r="Q662" s="169"/>
      <c r="R662" s="72" t="str">
        <f>IF(ISERROR(Q662/I662),"NA",IF(OR(Q662/I662&gt;2,Q662/I662&lt;0.5),"NM",Q662/I662*100-100))</f>
        <v>NA</v>
      </c>
      <c r="S662" s="169">
        <f>S661/S677*100</f>
        <v>28.658821089740265</v>
      </c>
      <c r="T662" s="72" t="str">
        <f>IF(ISERROR(S662/K662),"NA",IF(OR(S662/K662&gt;2,S662/K662&lt;0.5),"NM",S662/K662*100-100))</f>
        <v>NA</v>
      </c>
      <c r="U662" s="169">
        <f>U661/U677*100</f>
        <v>31.090523264841362</v>
      </c>
      <c r="V662" s="72" t="str">
        <f>IF(ISERROR(U662/M662),"NA",IF(OR(U662/M662&gt;2,U662/M662&lt;0.5),"NM",U662/M662*100-100))</f>
        <v>NA</v>
      </c>
      <c r="W662" s="169">
        <f>W661/W677*100</f>
        <v>31.26403174437425</v>
      </c>
      <c r="X662" s="72" t="str">
        <f>IF(ISERROR(W662/O662),"NA",IF(OR(W662/O662&gt;2,W662/O662&lt;0.5),"NM",W662/O662*100-100))</f>
        <v>NA</v>
      </c>
      <c r="Y662" s="169">
        <f>Y661/Y677*100</f>
        <v>32.758713280704583</v>
      </c>
      <c r="Z662" s="72" t="str">
        <f>IF(ISERROR(Y662/Q662),"NA",IF(OR(Y662/Q662&gt;2,Y662/Q662&lt;0.5),"NM",Y662/Q662*100-100))</f>
        <v>NA</v>
      </c>
      <c r="AA662" s="169">
        <f>AA661/AA677*100</f>
        <v>31.694988169498817</v>
      </c>
      <c r="AB662" s="72">
        <f>IF(ISERROR(AA662/S662),"NA",IF(OR(AA662/S662&gt;2,AA662/S662&lt;0.5),"NM",AA662/S662*100-100))</f>
        <v>10.59417995684926</v>
      </c>
      <c r="AC662" s="169">
        <f>AC661/AC677*100</f>
        <v>33.36392592992496</v>
      </c>
      <c r="AD662" s="72">
        <f>IF(ISERROR(AC662/U662),"NA",IF(OR(AC662/U662&gt;2,AC662/U662&lt;0.5),"NM",AC662/U662*100-100))</f>
        <v>7.3122045766739205</v>
      </c>
      <c r="AE662" s="169">
        <f>AE661/AE677*100</f>
        <v>31.399482870071104</v>
      </c>
      <c r="AF662" s="72">
        <f>IF(ISERROR(AE662/W662),"NA",IF(OR(AE662/W662&gt;2,AE662/W662&lt;0.5),"NM",AE662/W662*100-100))</f>
        <v>0.43324906654507345</v>
      </c>
      <c r="AG662" s="169">
        <f>AG661/AG677*100</f>
        <v>30.544631794429776</v>
      </c>
      <c r="AH662" s="72">
        <f>IF(ISERROR(AG662/Y662),"NA",IF(OR(AG662/Y662&gt;2,AG662/Y662&lt;0.5),"NM",AG662/Y662*100-100))</f>
        <v>-6.7587559599874112</v>
      </c>
      <c r="AI662" s="169">
        <f>AI661/AI677*100</f>
        <v>28.479034170529268</v>
      </c>
      <c r="AJ662" s="72">
        <f>IF(ISERROR(AI662/AA662),"NA",IF(OR(AI662/AA662&gt;2,AI662/AA662&lt;0.5),"NM",AI662/AA662*100-100))</f>
        <v>-10.146569488435318</v>
      </c>
      <c r="AK662" s="169">
        <f>AK661/AK677*100</f>
        <v>28.499066915489202</v>
      </c>
      <c r="AL662" s="72">
        <f>IF(ISERROR(AK662/AC662),"NA",IF(OR(AK662/AC662&gt;2,AK662/AC662&lt;0.5),"NM",AK662/AC662*100-100))</f>
        <v>-14.581194745047497</v>
      </c>
      <c r="AM662" s="169">
        <f>AM661/AM677*100</f>
        <v>27.133456172677022</v>
      </c>
      <c r="AN662" s="72">
        <f>IF(ISERROR(AM662/AE662),"NA",IF(OR(AM662/AE662&gt;2,AM662/AE662&lt;0.5),"NM",AM662/AE662*100-100))</f>
        <v>-13.586296038844353</v>
      </c>
      <c r="AO662" s="169">
        <f>AO661/AO677*100</f>
        <v>28.27454620462046</v>
      </c>
      <c r="AP662" s="72">
        <f>IF(ISERROR(AO662/AG662),"NA",IF(OR(AO662/AG662&gt;2,AO662/AG662&lt;0.5),"NM",AO662/AG662*100-100))</f>
        <v>-7.432028007694953</v>
      </c>
      <c r="AQ662" s="169">
        <f>AQ661/AQ677*100</f>
        <v>27.744009644848543</v>
      </c>
      <c r="AR662" s="72">
        <f>IF(ISERROR(AQ662/AI662),"NA",IF(OR(AQ662/AI662&gt;2,AQ662/AI662&lt;0.5),"NM",AQ662/AI662*100-100))</f>
        <v>-2.5809320684103199</v>
      </c>
      <c r="AS662" s="169">
        <f>AS661/AS677*100</f>
        <v>28.380642617780406</v>
      </c>
      <c r="AT662" s="72">
        <f>IF(ISERROR(AS662/AK662),"NA",IF(OR(AS662/AK662&gt;2,AS662/AK662&lt;0.5),"NM",AS662/AK662*100-100))</f>
        <v>-0.41553745622609028</v>
      </c>
      <c r="AU662" s="169">
        <f>AU661/AU677*100</f>
        <v>27.998861642081295</v>
      </c>
      <c r="AV662" s="72">
        <f>IF(ISERROR(AU662/AM662),"NA",IF(OR(AU662/AM662&gt;2,AU662/AM662&lt;0.5),"NM",AU662/AM662*100-100))</f>
        <v>3.1894406075541752</v>
      </c>
      <c r="AW662" s="169">
        <f>AW661/AW677*100</f>
        <v>29.095687725104639</v>
      </c>
      <c r="AX662" s="72">
        <f>IF(ISERROR(AW662/AO662),"NA",IF(OR(AW662/AO662&gt;2,AW662/AO662&lt;0.5),"NM",AW662/AO662*100-100))</f>
        <v>2.90417223513208</v>
      </c>
      <c r="AY662" s="169">
        <f>AY661/AY677*100</f>
        <v>30.535309166385094</v>
      </c>
      <c r="AZ662" s="72">
        <f>IF(ISERROR(AY662/AQ662),"NA",IF(OR(AY662/AQ662&gt;2,AY662/AQ662&lt;0.5),"NM",AY662/AQ662*100-100))</f>
        <v>10.060908849398544</v>
      </c>
      <c r="BA662" s="169">
        <f>BA661/BA677*100</f>
        <v>34.265191225004855</v>
      </c>
      <c r="BB662" s="72">
        <f>IF(ISERROR(BA662/AS662),"NA",IF(OR(BA662/AS662&gt;2,BA662/AS662&lt;0.5),"NM",BA662/AS662*100-100))</f>
        <v>20.73437408192369</v>
      </c>
      <c r="BC662" s="169">
        <f>BC661/BC677*100</f>
        <v>33.058590806330066</v>
      </c>
      <c r="BD662" s="72">
        <f>IF(ISERROR(BC662/AU662),"NA",IF(OR(BC662/AU662&gt;2,BC662/AU662&lt;0.5),"NM",BC662/AU662*100-100))</f>
        <v>18.071195996926463</v>
      </c>
      <c r="BE662" s="169">
        <f>BE661/BE677*100</f>
        <v>33.117863546286685</v>
      </c>
      <c r="BF662" s="72">
        <f>IF(ISERROR(BE662/AW662),"NA",IF(OR(BE662/AW662&gt;2,BE662/AW662&lt;0.5),"NM",BE662/AW662*100-100))</f>
        <v>13.823958585146599</v>
      </c>
      <c r="BG662" s="169">
        <f>BG661/BG677*100</f>
        <v>34.514709288858</v>
      </c>
      <c r="BH662" s="72">
        <f>IF(ISERROR(BG662/AY662),"NA",IF(OR(BG662/AY662&gt;2,BG662/AY662&lt;0.5),"NM",BG662/AY662*100-100))</f>
        <v>13.032126515534486</v>
      </c>
      <c r="BI662" s="169">
        <f>BI661/BI677*100</f>
        <v>32.782230364094346</v>
      </c>
      <c r="BJ662" s="72">
        <f>IF(ISERROR(BI662/BA662),"NA",IF(OR(BI662/BA662&gt;2,BI662/BA662&lt;0.5),"NM",BI662/BA662*100-100))</f>
        <v>-4.3278931413881168</v>
      </c>
      <c r="BK662" s="169">
        <f>BK661/BK677*100</f>
        <v>33.367634557737908</v>
      </c>
      <c r="BL662" s="72">
        <f>IF(ISERROR(BK662/BC662),"NA",IF(OR(BK662/BC662&gt;2,BK662/BC662&lt;0.5),"NM",BK662/BC662*100-100))</f>
        <v>0.9348364339494708</v>
      </c>
      <c r="BM662" s="169">
        <f>BM661/BM677*100</f>
        <v>35.29550159984943</v>
      </c>
      <c r="BN662" s="72">
        <f>IF(ISERROR(BM662/BE662),"NA",IF(OR(BM662/BE662&gt;2,BM662/BE662&lt;0.5),"NM",BM662/BE662*100-100))</f>
        <v>6.575418279984163</v>
      </c>
      <c r="BO662" s="169">
        <f>BO661/BO677*100</f>
        <v>33.481943825234062</v>
      </c>
      <c r="BP662" s="72">
        <f>IF(ISERROR(BO662/BG662),"NA",IF(OR(BO662/BG662&gt;2,BO662/BG662&lt;0.5),"NM",BO662/BG662*100-100))</f>
        <v>-2.9922473197748616</v>
      </c>
      <c r="BQ662" s="169">
        <f>BQ661/BQ677*100</f>
        <v>33.117052778261623</v>
      </c>
      <c r="BR662" s="72">
        <f>IF(ISERROR(BQ662/BI662),"NA",IF(OR(BQ662/BI662&gt;2,BQ662/BI662&lt;0.5),"NM",BQ662/BI662*100-100))</f>
        <v>1.0213533687262384</v>
      </c>
      <c r="BS662" s="169">
        <f>BS661/BS677*100</f>
        <v>31.658080998450394</v>
      </c>
      <c r="BT662" s="72">
        <f>IF(ISERROR(BS662/BK662),"NA",IF(OR(BS662/BK662&gt;2,BS662/BK662&lt;0.5),"NM",BS662/BK662*100-100))</f>
        <v>-5.1233885228794946</v>
      </c>
      <c r="BU662" s="169">
        <f>BU661/BU677*100</f>
        <v>46.187720825439087</v>
      </c>
      <c r="BV662" s="72">
        <f>IF(ISERROR(BU662/BM662),"NA",IF(OR(BU662/BM662&gt;2,BU662/BM662&lt;0.5),"NM",BU662/BM662*100-100))</f>
        <v>30.860077720601453</v>
      </c>
      <c r="BW662" s="169">
        <f>BW661/BW677*100</f>
        <v>50.657179563197943</v>
      </c>
      <c r="BX662" s="72">
        <f>IF(ISERROR(BW662/BO662),"NA",IF(OR(BW662/BO662&gt;2,BW662/BO662&lt;0.5),"NM",BW662/BO662*100-100))</f>
        <v>51.297009001668414</v>
      </c>
      <c r="BY662" s="169">
        <f>BY661/BY677*100</f>
        <v>47.922862034784174</v>
      </c>
      <c r="BZ662" s="72">
        <f>IF(ISERROR(BY662/BQ662),"NA",IF(OR(BY662/BQ662&gt;2,BY662/BQ662&lt;0.5),"NM",BY662/BQ662*100-100))</f>
        <v>44.707508713581035</v>
      </c>
      <c r="CA662" s="169">
        <f>CA661/CA677*100</f>
        <v>46.096494986716941</v>
      </c>
      <c r="CB662" s="72">
        <f>IF(ISERROR(CA662/BS662),"NA",IF(OR(CA662/BS662&gt;2,CA662/BS662&lt;0.5),"NM",CA662/BS662*100-100))</f>
        <v>45.607356898775009</v>
      </c>
      <c r="CC662" s="169">
        <f>CC661/CC677*100</f>
        <v>34.446780977030087</v>
      </c>
      <c r="CD662" s="72">
        <f>IF(ISERROR(CC662/BU662),"NA",IF(OR(CC662/BU662&gt;2,CC662/BU662&lt;0.5),"NM",CC662/BU662*100-100))</f>
        <v>-25.420045931217231</v>
      </c>
      <c r="CE662" s="169">
        <f>CE661/CE677*100</f>
        <v>34.891725850725457</v>
      </c>
      <c r="CF662" s="72">
        <f>IF(ISERROR(CE662/BW662),"NA",IF(OR(CE662/BW662&gt;2,CE662/BW662&lt;0.5),"NM",CE662/BW662*100-100))</f>
        <v>-31.121854490150042</v>
      </c>
      <c r="CG662" s="169">
        <f>CG661/CG677*100</f>
        <v>32.063212608987257</v>
      </c>
      <c r="CH662" s="72">
        <f>IF(ISERROR(CG662/BY662),"NA",IF(OR(CG662/BY662&gt;2,CG662/BY662&lt;0.5),"NM",CG662/BY662*100-100))</f>
        <v>-33.094119909377284</v>
      </c>
      <c r="CI662" s="169">
        <f>CI661/CI677*100</f>
        <v>31.219238926013364</v>
      </c>
      <c r="CJ662" s="72">
        <f>IF(ISERROR(CI662/CA662),"NA",IF(OR(CI662/CA662&gt;2,CI662/CA662&lt;0.5),"NM",CI662/CA662*100-100))</f>
        <v>-32.274158946337622</v>
      </c>
      <c r="CK662" s="169">
        <f>CK661/CK677*100</f>
        <v>32.29439599546361</v>
      </c>
      <c r="CL662" s="72">
        <f>IF(ISERROR(CK662/CC662),"NA",IF(OR(CK662/CC662&gt;2,CK662/CC662&lt;0.5),"NM",CK662/CC662*100-100))</f>
        <v>-6.2484357624061744</v>
      </c>
      <c r="CM662" s="169">
        <f>CM661/CM677*100</f>
        <v>31.4737083110738</v>
      </c>
      <c r="CN662" s="72">
        <f>IF(ISERROR(CM662/CE662),"NA",IF(OR(CM662/CE662&gt;2,CM662/CE662&lt;0.5),"NM",CM662/CE662*100-100))</f>
        <v>-9.796069000068087</v>
      </c>
      <c r="CO662" s="169">
        <f>CO661/CO677*100</f>
        <v>28.40455419192666</v>
      </c>
      <c r="CP662" s="72">
        <f>IF(ISERROR(CO662/CG662),"NA",IF(OR(CO662/CG662&gt;2,CO662/CG662&lt;0.5),"NM",CO662/CG662*100-100))</f>
        <v>-11.410766792704621</v>
      </c>
      <c r="CQ662" s="169">
        <f>CQ661/CQ677*100</f>
        <v>31.627023928929649</v>
      </c>
      <c r="CR662" s="72">
        <f>IF(ISERROR(CQ662/CI662),"NA",IF(OR(CQ662/CI662&gt;2,CQ662/CI662&lt;0.5),"NM",CQ662/CI662*100-100))</f>
        <v>1.3061977708127301</v>
      </c>
      <c r="CS662" s="169">
        <f>CS661/CS677*100</f>
        <v>30.104542177361211</v>
      </c>
      <c r="CT662" s="72">
        <f>IF(ISERROR(CS662/CK662),"NA",IF(OR(CS662/CK662&gt;2,CS662/CK662&lt;0.5),"NM",CS662/CK662*100-100))</f>
        <v>-6.7809096612613757</v>
      </c>
      <c r="CU662" s="169">
        <f>CU661/CU677*100</f>
        <v>32.173292788226902</v>
      </c>
      <c r="CV662" s="72">
        <f>IF(ISERROR(CU662/CM662),"NA",IF(OR(CU662/CM662&gt;2,CU662/CM662&lt;0.5),"NM",CU662/CM662*100-100))</f>
        <v>2.2227583424192687</v>
      </c>
      <c r="CW662" s="169">
        <f>CW661/CW677*100</f>
        <v>29.281556105553037</v>
      </c>
      <c r="CX662" s="72">
        <f>IF(ISERROR(CW662/CO662),"NA",IF(OR(CW662/CO662&gt;2,CW662/CO662&lt;0.5),"NM",CW662/CO662*100-100))</f>
        <v>3.0875397927408557</v>
      </c>
      <c r="CY662" s="169">
        <f>CY661/CY677*100</f>
        <v>30.104375178724624</v>
      </c>
      <c r="CZ662" s="72">
        <f>IF(ISERROR(CY662/CQ662),"NA",IF(OR(CY662/CQ662&gt;2,CY662/CQ662&lt;0.5),"NM",CY662/CQ662*100-100))</f>
        <v>-4.8143914951550073</v>
      </c>
      <c r="DA662" s="169">
        <f>DA661/DA677*100</f>
        <v>33.132217944921528</v>
      </c>
      <c r="DB662" s="72">
        <f>IF(ISERROR(DA662/CS662),"NA",IF(OR(DA662/CS662&gt;2,DA662/CS662&lt;0.5),"NM",DA662/CS662*100-100))</f>
        <v>10.057205818719098</v>
      </c>
      <c r="DC662" s="169">
        <f>DC661/DC677*100</f>
        <v>34.791244890943126</v>
      </c>
      <c r="DD662" s="72">
        <f>IF(ISERROR(DC662/CU662),"NA",IF(OR(DC662/CU662&gt;2,DC662/CU662&lt;0.5),"NM",DC662/CU662*100-100))</f>
        <v>8.1370350245101548</v>
      </c>
      <c r="DE662" s="169">
        <f>DE661/DE677*100</f>
        <v>38.409028134001503</v>
      </c>
      <c r="DF662" s="72">
        <f>IF(ISERROR(DE662/CW662),"NA",IF(OR(DE662/CW662&gt;2,DE662/CW662&lt;0.5),"NM",DE662/CW662*100-100))</f>
        <v>31.171403580964409</v>
      </c>
      <c r="DG662" s="169">
        <f>DG661/DG677*100</f>
        <v>37.631558730890376</v>
      </c>
      <c r="DH662" s="72">
        <f>IF(ISERROR(DG662/CY662),"NA",IF(OR(DG662/CY662&gt;2,DG662/CY662&lt;0.5),"NM",DG662/CY662*100-100))</f>
        <v>25.003619930585259</v>
      </c>
      <c r="DI662" s="169">
        <f>DI661/DI677*100</f>
        <v>36.981698881378712</v>
      </c>
      <c r="DJ662" s="72">
        <f>IF(ISERROR(DI662/DA662),"NA",IF(OR(DI662/DA662&gt;2,DI662/DA662&lt;0.5),"NM",DI662/DA662*100-100))</f>
        <v>11.618542842065381</v>
      </c>
      <c r="DK662" s="169">
        <f>DK661/DK677*100</f>
        <v>36.298196576942217</v>
      </c>
      <c r="DL662" s="72">
        <f>IF(ISERROR(DK662/DC662),"NA",IF(OR(DK662/DC662&gt;2,DK662/DC662&lt;0.5),"NM",DK662/DC662*100-100))</f>
        <v>4.3314106486352983</v>
      </c>
      <c r="DM662" s="169">
        <f>DM661/DM677*100</f>
        <v>37.734862351051511</v>
      </c>
      <c r="DN662" s="72">
        <f>IF(ISERROR(DM662/DE662),"NA",IF(OR(DM662/DE662&gt;2,DM662/DE662&lt;0.5),"NM",DM662/DE662*100-100))</f>
        <v>-1.7552273923671322</v>
      </c>
      <c r="DO662" s="169">
        <f>DO661/DO677*100</f>
        <v>37.454883720930233</v>
      </c>
      <c r="DP662" s="72">
        <f>IF(ISERROR(DO662/DG662),"NA",IF(OR(DO662/DG662&gt;2,DO662/DG662&lt;0.5),"NM",DO662/DG662*100-100))</f>
        <v>-0.46948629267146202</v>
      </c>
      <c r="DQ662" s="169">
        <f>DQ661/DQ677*100</f>
        <v>40.890075301804849</v>
      </c>
      <c r="DR662" s="72">
        <f>IF(ISERROR(DQ662/DI662),"NA",IF(OR(DQ662/DI662&gt;2,DQ662/DI662&lt;0.5),"NM",DQ662/DI662*100-100))</f>
        <v>10.568406911111666</v>
      </c>
      <c r="DS662" s="169">
        <f>DS661/DS677*100</f>
        <v>37.527925288408717</v>
      </c>
      <c r="DT662" s="72">
        <f>IF(ISERROR(DS662/DK662),"NA",IF(OR(DS662/DK662&gt;2,DS662/DK662&lt;0.5),"NM",DS662/DK662*100-100))</f>
        <v>3.3878507128028161</v>
      </c>
      <c r="DU662" s="169">
        <f>DU661/DU677*100</f>
        <v>38.566938588127272</v>
      </c>
      <c r="DV662" s="72">
        <f>IF(ISERROR(DU662/DM662),"NA",IF(OR(DU662/DM662&gt;2,DU662/DM662&lt;0.5),"NM",DU662/DM662*100-100))</f>
        <v>2.2050596854835902</v>
      </c>
      <c r="DW662" s="169">
        <f>DW661/DW677*100</f>
        <v>37.710633352701919</v>
      </c>
      <c r="DX662" s="72">
        <f>IF(ISERROR(DW662/DO662),"NA",IF(OR(DW662/DO662&gt;2,DW662/DO662&lt;0.5),"NM",DW662/DO662*100-100))</f>
        <v>0.68282051995470283</v>
      </c>
      <c r="DY662" s="169">
        <f>DY661/DY677*100</f>
        <v>35.287958115183244</v>
      </c>
      <c r="DZ662" s="72">
        <f>IF(ISERROR(DY662/DQ662),"NA",IF(OR(DY662/DQ662&gt;2,DY662/DQ662&lt;0.5),"NM",DY662/DQ662*100-100))</f>
        <v>-13.700432550620263</v>
      </c>
      <c r="EA662" s="169">
        <f>EA661/EA677*100</f>
        <v>37.910922587486745</v>
      </c>
      <c r="EB662" s="72">
        <f>IF(ISERROR(EA662/DS662),"NA",IF(OR(EA662/DS662&gt;2,EA662/DS662&lt;0.5),"NM",EA662/DS662*100-100))</f>
        <v>1.0205661414390192</v>
      </c>
      <c r="EC662" s="169">
        <f>EC661/EC677*100</f>
        <v>41.755790302473592</v>
      </c>
      <c r="ED662" s="72">
        <f>IF(ISERROR(EC662/DU662),"NA",IF(OR(EC662/DU662&gt;2,EC662/DU662&lt;0.5),"NM",EC662/DU662*100-100))</f>
        <v>8.2683558277762756</v>
      </c>
      <c r="EE662" s="169">
        <f>EE661/EE677*100</f>
        <v>40.865232019297906</v>
      </c>
      <c r="EF662" s="72">
        <f>IF(ISERROR(EE662/DW662),"NA",IF(OR(EE662/DW662&gt;2,EE662/DW662&lt;0.5),"NM",EE662/DW662*100-100))</f>
        <v>8.3652762792168005</v>
      </c>
      <c r="EG662" s="169">
        <f>EG661/EG677*100</f>
        <v>42.013955572626593</v>
      </c>
      <c r="EH662" s="72">
        <f>IF(ISERROR(EG662/DY662),"NA",IF(OR(EG662/DY662&gt;2,EG662/DY662&lt;0.5),"NM",EG662/DY662*100-100))</f>
        <v>19.060319204327584</v>
      </c>
      <c r="EI662" s="169">
        <f>EI661/EI677*100</f>
        <v>41.187268597741202</v>
      </c>
      <c r="EJ662" s="72">
        <f>IF(ISERROR(EI662/EA662),"NA",IF(OR(EI662/EA662&gt;2,EI662/EA662&lt;0.5),"NM",EI662/EA662*100-100))</f>
        <v>8.6422217836921789</v>
      </c>
      <c r="EK662" s="169">
        <f>EK661/EK677*100</f>
        <v>40.854684870020577</v>
      </c>
      <c r="EL662" s="72">
        <f>IF(ISERROR(EK662/EC662),"NA",IF(OR(EK662/EC662&gt;2,EK662/EC662&lt;0.5),"NM",EK662/EC662*100-100))</f>
        <v>-2.1580370672558757</v>
      </c>
      <c r="EM662" s="169">
        <f>EM661/EM677*100</f>
        <v>41.56032568467802</v>
      </c>
      <c r="EN662" s="72">
        <f>IF(ISERROR(EM662/EE662),"NA",IF(OR(EM662/EE662&gt;2,EM662/EE662&lt;0.5),"NM",EM662/EE662*100-100))</f>
        <v>1.7009414385604487</v>
      </c>
      <c r="EO662" s="169">
        <f>EO661/EO677*100</f>
        <v>48.511961075821056</v>
      </c>
      <c r="EP662" s="72">
        <f>IF(ISERROR(EO662/EG662),"NA",IF(OR(EO662/EG662&gt;2,EO662/EG662&lt;0.5),"NM",EO662/EG662*100-100))</f>
        <v>15.466302600243907</v>
      </c>
      <c r="EQ662" s="171"/>
      <c r="ER662" s="72" t="str">
        <f t="shared" si="3100"/>
        <v>NM</v>
      </c>
      <c r="ES662" s="171"/>
      <c r="ET662" s="72" t="str">
        <f t="shared" si="3101"/>
        <v>NM</v>
      </c>
      <c r="EU662" s="171"/>
      <c r="EV662" s="72" t="str">
        <f t="shared" si="3102"/>
        <v>NM</v>
      </c>
      <c r="EW662" s="171"/>
      <c r="EX662" s="72" t="str">
        <f t="shared" si="3103"/>
        <v>NM</v>
      </c>
      <c r="EY662" s="72"/>
      <c r="EZ662" s="296"/>
      <c r="FA662" s="72"/>
      <c r="FB662" s="9"/>
      <c r="FC662" s="11"/>
      <c r="FD662" s="150"/>
      <c r="FE662" s="72"/>
      <c r="FF662" s="145"/>
      <c r="FG662" s="72"/>
      <c r="FH662" s="145"/>
      <c r="FI662" s="72"/>
      <c r="FJ662" s="145"/>
      <c r="FK662" s="72"/>
      <c r="FL662" s="145"/>
      <c r="FM662" s="72"/>
      <c r="FN662" s="145"/>
      <c r="FO662" s="72"/>
      <c r="FP662" s="145"/>
      <c r="FQ662" s="72"/>
      <c r="FR662" s="171"/>
      <c r="FS662" s="72"/>
      <c r="FT662" s="171"/>
      <c r="FU662" s="72"/>
      <c r="FV662" s="171"/>
      <c r="FW662" s="72"/>
      <c r="FX662" s="171"/>
      <c r="FY662" s="72"/>
      <c r="FZ662" s="171"/>
      <c r="GA662" s="72"/>
      <c r="GB662" s="171"/>
      <c r="GC662" s="72"/>
      <c r="GD662" s="171"/>
      <c r="GE662" s="72"/>
      <c r="GF662" s="171"/>
      <c r="GG662" s="72"/>
      <c r="GH662" s="171"/>
      <c r="GI662" s="72"/>
      <c r="GJ662" s="171"/>
      <c r="GK662" s="72"/>
      <c r="GL662" s="171"/>
      <c r="GM662" s="72"/>
      <c r="GN662" s="171"/>
      <c r="GO662" s="72"/>
      <c r="GP662" s="171"/>
      <c r="GQ662" s="72"/>
      <c r="GR662" s="171"/>
      <c r="GS662" s="72"/>
      <c r="GT662" s="171"/>
      <c r="GU662" s="72"/>
      <c r="GV662" s="171"/>
      <c r="GW662" s="72"/>
      <c r="GX662" s="171"/>
      <c r="GY662" s="72"/>
      <c r="GZ662" s="72"/>
      <c r="HA662" s="72"/>
      <c r="HB662" s="72"/>
      <c r="HC662"/>
      <c r="HD662"/>
      <c r="HE662"/>
      <c r="HF662"/>
      <c r="HG662"/>
      <c r="HH662"/>
      <c r="HI662" s="2"/>
    </row>
    <row r="663" spans="1:217" s="3" customFormat="1" ht="12.75" customHeight="1" x14ac:dyDescent="0.2">
      <c r="B663" s="4"/>
      <c r="C663" s="145"/>
      <c r="D663" s="145"/>
      <c r="E663" s="145"/>
      <c r="F663" s="11"/>
      <c r="G663" s="145"/>
      <c r="H663" s="11"/>
      <c r="I663" s="145"/>
      <c r="J663" s="11"/>
      <c r="K663" s="145"/>
      <c r="L663" s="72"/>
      <c r="M663" s="145"/>
      <c r="N663" s="72"/>
      <c r="O663" s="145"/>
      <c r="P663" s="72"/>
      <c r="Q663" s="145"/>
      <c r="R663" s="72"/>
      <c r="S663" s="145"/>
      <c r="T663" s="72"/>
      <c r="U663" s="145"/>
      <c r="V663" s="72"/>
      <c r="W663" s="145"/>
      <c r="X663" s="72"/>
      <c r="Y663" s="145"/>
      <c r="Z663" s="72"/>
      <c r="AA663" s="145"/>
      <c r="AB663" s="72"/>
      <c r="AC663" s="145"/>
      <c r="AD663" s="72"/>
      <c r="AE663" s="145"/>
      <c r="AF663" s="72"/>
      <c r="AG663" s="145"/>
      <c r="AH663" s="72"/>
      <c r="AI663" s="145"/>
      <c r="AJ663" s="72"/>
      <c r="AK663" s="145"/>
      <c r="AL663" s="72"/>
      <c r="AM663" s="145"/>
      <c r="AN663" s="72"/>
      <c r="AO663" s="145"/>
      <c r="AP663" s="72"/>
      <c r="AQ663" s="145"/>
      <c r="AR663" s="72"/>
      <c r="AS663" s="145"/>
      <c r="AT663" s="72"/>
      <c r="AU663" s="145"/>
      <c r="AV663" s="72"/>
      <c r="AW663" s="145"/>
      <c r="AX663" s="72"/>
      <c r="AY663" s="145"/>
      <c r="AZ663" s="72"/>
      <c r="BA663" s="145"/>
      <c r="BB663" s="72"/>
      <c r="BC663" s="145"/>
      <c r="BD663" s="72"/>
      <c r="BE663" s="145"/>
      <c r="BF663" s="72"/>
      <c r="BG663" s="145"/>
      <c r="BH663" s="72"/>
      <c r="BI663" s="145"/>
      <c r="BJ663" s="72"/>
      <c r="BK663" s="145"/>
      <c r="BL663" s="72"/>
      <c r="BM663" s="145"/>
      <c r="BN663" s="72"/>
      <c r="BO663" s="145"/>
      <c r="BP663" s="72"/>
      <c r="BQ663" s="145"/>
      <c r="BR663" s="72"/>
      <c r="BS663" s="145"/>
      <c r="BT663" s="72"/>
      <c r="BU663" s="145"/>
      <c r="BV663" s="72"/>
      <c r="BW663" s="145"/>
      <c r="BX663" s="72"/>
      <c r="BY663" s="145"/>
      <c r="BZ663" s="72"/>
      <c r="CA663" s="145"/>
      <c r="CB663" s="72"/>
      <c r="CC663" s="145"/>
      <c r="CD663" s="72"/>
      <c r="CE663" s="145"/>
      <c r="CF663" s="72"/>
      <c r="CG663" s="145"/>
      <c r="CH663" s="72"/>
      <c r="CI663" s="145"/>
      <c r="CJ663" s="72"/>
      <c r="CK663" s="145"/>
      <c r="CL663" s="72"/>
      <c r="CM663" s="145"/>
      <c r="CN663" s="72"/>
      <c r="CO663" s="145"/>
      <c r="CP663" s="72"/>
      <c r="CQ663" s="145"/>
      <c r="CR663" s="72"/>
      <c r="CS663" s="145"/>
      <c r="CT663" s="72"/>
      <c r="CU663" s="145"/>
      <c r="CV663" s="72"/>
      <c r="CW663" s="145"/>
      <c r="CX663" s="72"/>
      <c r="CY663" s="145"/>
      <c r="CZ663" s="72"/>
      <c r="DA663" s="145"/>
      <c r="DB663" s="72"/>
      <c r="DC663" s="145"/>
      <c r="DD663" s="72"/>
      <c r="DE663" s="145"/>
      <c r="DF663" s="72"/>
      <c r="DG663" s="145"/>
      <c r="DH663" s="72"/>
      <c r="DI663" s="145"/>
      <c r="DJ663" s="72"/>
      <c r="DK663" s="145"/>
      <c r="DL663" s="72"/>
      <c r="DM663" s="145"/>
      <c r="DN663" s="72"/>
      <c r="DO663" s="145"/>
      <c r="DP663" s="72"/>
      <c r="DQ663" s="145"/>
      <c r="DR663" s="72"/>
      <c r="DS663" s="145"/>
      <c r="DT663" s="72"/>
      <c r="DU663" s="145"/>
      <c r="DV663" s="72"/>
      <c r="DW663" s="144"/>
      <c r="DX663" s="72"/>
      <c r="DY663" s="144"/>
      <c r="DZ663" s="72"/>
      <c r="EA663" s="144"/>
      <c r="EB663" s="72"/>
      <c r="EC663" s="144"/>
      <c r="ED663" s="72"/>
      <c r="EE663" s="144"/>
      <c r="EF663" s="72"/>
      <c r="EG663" s="144"/>
      <c r="EH663" s="72"/>
      <c r="EI663" s="144"/>
      <c r="EJ663" s="72"/>
      <c r="EK663" s="144"/>
      <c r="EL663" s="72"/>
      <c r="EM663" s="144"/>
      <c r="EN663" s="72"/>
      <c r="EO663" s="144"/>
      <c r="EP663" s="72"/>
      <c r="EQ663" s="144"/>
      <c r="ER663" s="72"/>
      <c r="ES663" s="144"/>
      <c r="ET663" s="72"/>
      <c r="EU663" s="144"/>
      <c r="EV663" s="72"/>
      <c r="EW663" s="144"/>
      <c r="EX663" s="72"/>
      <c r="EY663" s="72"/>
      <c r="EZ663" s="296"/>
      <c r="FA663" s="72"/>
      <c r="FB663" s="9"/>
      <c r="FC663" s="11"/>
      <c r="FD663" s="150"/>
      <c r="FE663" s="72"/>
      <c r="FF663" s="145"/>
      <c r="FG663" s="72"/>
      <c r="FH663" s="145"/>
      <c r="FI663" s="72"/>
      <c r="FJ663" s="145"/>
      <c r="FK663" s="72"/>
      <c r="FL663" s="145"/>
      <c r="FM663" s="72"/>
      <c r="FN663" s="145"/>
      <c r="FO663" s="72"/>
      <c r="FP663" s="145"/>
      <c r="FQ663" s="72"/>
      <c r="FR663" s="144"/>
      <c r="FS663" s="72"/>
      <c r="FT663" s="144"/>
      <c r="FU663" s="72"/>
      <c r="FV663" s="144"/>
      <c r="FW663" s="72"/>
      <c r="FX663" s="144"/>
      <c r="FY663" s="72"/>
      <c r="FZ663" s="144"/>
      <c r="GA663" s="72"/>
      <c r="GB663" s="144"/>
      <c r="GC663" s="72"/>
      <c r="GD663" s="144"/>
      <c r="GE663" s="72"/>
      <c r="GF663" s="144"/>
      <c r="GG663" s="72"/>
      <c r="GH663" s="144"/>
      <c r="GI663" s="72"/>
      <c r="GJ663" s="144"/>
      <c r="GK663" s="72"/>
      <c r="GL663" s="144"/>
      <c r="GM663" s="72"/>
      <c r="GN663" s="144"/>
      <c r="GO663" s="72"/>
      <c r="GP663" s="144"/>
      <c r="GQ663" s="72"/>
      <c r="GR663" s="144"/>
      <c r="GS663" s="72"/>
      <c r="GT663" s="144"/>
      <c r="GU663" s="72"/>
      <c r="GV663" s="144"/>
      <c r="GW663" s="72"/>
      <c r="GX663" s="144"/>
      <c r="GY663" s="72"/>
      <c r="GZ663" s="72"/>
      <c r="HA663" s="72"/>
      <c r="HB663" s="72"/>
      <c r="HC663"/>
      <c r="HD663"/>
      <c r="HE663"/>
      <c r="HF663"/>
      <c r="HG663"/>
      <c r="HH663"/>
      <c r="HI663" s="2"/>
    </row>
    <row r="664" spans="1:217" s="3" customFormat="1" ht="12.75" customHeight="1" x14ac:dyDescent="0.2">
      <c r="B664" s="96" t="s">
        <v>196</v>
      </c>
      <c r="C664" s="145"/>
      <c r="D664" s="145"/>
      <c r="E664" s="145"/>
      <c r="F664" s="11"/>
      <c r="G664" s="145"/>
      <c r="H664" s="11"/>
      <c r="I664" s="145"/>
      <c r="J664" s="11"/>
      <c r="K664" s="145"/>
      <c r="L664" s="72"/>
      <c r="M664" s="145"/>
      <c r="N664" s="72"/>
      <c r="O664" s="145"/>
      <c r="P664" s="72"/>
      <c r="Q664" s="145"/>
      <c r="R664" s="72"/>
      <c r="S664" s="145"/>
      <c r="T664" s="72"/>
      <c r="U664" s="145"/>
      <c r="V664" s="72"/>
      <c r="W664" s="145"/>
      <c r="X664" s="72"/>
      <c r="Y664" s="145"/>
      <c r="Z664" s="72"/>
      <c r="AA664" s="145"/>
      <c r="AB664" s="72"/>
      <c r="AC664" s="145"/>
      <c r="AD664" s="72"/>
      <c r="AE664" s="145"/>
      <c r="AF664" s="72"/>
      <c r="AG664" s="145"/>
      <c r="AH664" s="72"/>
      <c r="AI664" s="145"/>
      <c r="AJ664" s="72"/>
      <c r="AK664" s="145"/>
      <c r="AL664" s="72"/>
      <c r="AM664" s="145"/>
      <c r="AN664" s="72"/>
      <c r="AO664" s="145"/>
      <c r="AP664" s="72"/>
      <c r="AQ664" s="145"/>
      <c r="AR664" s="72"/>
      <c r="AS664" s="145"/>
      <c r="AT664" s="72"/>
      <c r="AU664" s="145"/>
      <c r="AV664" s="72"/>
      <c r="AW664" s="145"/>
      <c r="AX664" s="72"/>
      <c r="AY664" s="145"/>
      <c r="AZ664" s="72"/>
      <c r="BA664" s="145"/>
      <c r="BB664" s="72"/>
      <c r="BC664" s="145"/>
      <c r="BD664" s="72"/>
      <c r="BE664" s="145"/>
      <c r="BF664" s="72"/>
      <c r="BG664" s="145"/>
      <c r="BH664" s="72"/>
      <c r="BI664" s="145"/>
      <c r="BJ664" s="72"/>
      <c r="BK664" s="145"/>
      <c r="BL664" s="72"/>
      <c r="BM664" s="145"/>
      <c r="BN664" s="72"/>
      <c r="BO664" s="145"/>
      <c r="BP664" s="72"/>
      <c r="BQ664" s="145"/>
      <c r="BR664" s="72"/>
      <c r="BS664" s="145"/>
      <c r="BT664" s="72"/>
      <c r="BU664" s="145"/>
      <c r="BV664" s="72"/>
      <c r="BW664" s="145"/>
      <c r="BX664" s="72"/>
      <c r="BY664" s="145"/>
      <c r="BZ664" s="72"/>
      <c r="CA664" s="145"/>
      <c r="CB664" s="72"/>
      <c r="CC664" s="145"/>
      <c r="CD664" s="72"/>
      <c r="CE664" s="145"/>
      <c r="CF664" s="72"/>
      <c r="CG664" s="145"/>
      <c r="CH664" s="72"/>
      <c r="CI664" s="145"/>
      <c r="CJ664" s="72"/>
      <c r="CK664" s="145"/>
      <c r="CL664" s="72"/>
      <c r="CM664" s="145"/>
      <c r="CN664" s="72"/>
      <c r="CO664" s="145"/>
      <c r="CP664" s="72"/>
      <c r="CQ664" s="145"/>
      <c r="CR664" s="72"/>
      <c r="CS664" s="145"/>
      <c r="CT664" s="72"/>
      <c r="CU664" s="145"/>
      <c r="CV664" s="72"/>
      <c r="CW664" s="145"/>
      <c r="CX664" s="72"/>
      <c r="CY664" s="145"/>
      <c r="CZ664" s="72"/>
      <c r="DA664" s="145"/>
      <c r="DB664" s="72"/>
      <c r="DC664" s="145"/>
      <c r="DD664" s="72"/>
      <c r="DE664" s="145"/>
      <c r="DF664" s="72"/>
      <c r="DG664" s="145"/>
      <c r="DH664" s="72"/>
      <c r="DI664" s="145"/>
      <c r="DJ664" s="72"/>
      <c r="DK664" s="145"/>
      <c r="DL664" s="72"/>
      <c r="DM664" s="145"/>
      <c r="DN664" s="72"/>
      <c r="DO664" s="145"/>
      <c r="DP664" s="72"/>
      <c r="DQ664" s="145"/>
      <c r="DR664" s="72"/>
      <c r="DS664" s="145"/>
      <c r="DT664" s="72"/>
      <c r="DU664" s="145"/>
      <c r="DV664" s="72"/>
      <c r="DW664" s="144"/>
      <c r="DX664" s="72"/>
      <c r="DY664" s="144"/>
      <c r="DZ664" s="72"/>
      <c r="EA664" s="144"/>
      <c r="EB664" s="72"/>
      <c r="EC664" s="144"/>
      <c r="ED664" s="72"/>
      <c r="EE664" s="144"/>
      <c r="EF664" s="72"/>
      <c r="EG664" s="144"/>
      <c r="EH664" s="72"/>
      <c r="EI664" s="144"/>
      <c r="EJ664" s="72"/>
      <c r="EK664" s="144"/>
      <c r="EL664" s="72"/>
      <c r="EM664" s="144"/>
      <c r="EN664" s="72"/>
      <c r="EO664" s="144"/>
      <c r="EP664" s="72"/>
      <c r="EQ664" s="144"/>
      <c r="ER664" s="72"/>
      <c r="ES664" s="144"/>
      <c r="ET664" s="72"/>
      <c r="EU664" s="144"/>
      <c r="EV664" s="72"/>
      <c r="EW664" s="144"/>
      <c r="EX664" s="72"/>
      <c r="EY664" s="72"/>
      <c r="EZ664" s="296"/>
      <c r="FA664" s="72"/>
      <c r="FB664" s="9"/>
      <c r="FC664" s="11"/>
      <c r="FD664" s="150"/>
      <c r="FE664" s="72"/>
      <c r="FF664" s="145"/>
      <c r="FG664" s="72"/>
      <c r="FH664" s="145"/>
      <c r="FI664" s="72"/>
      <c r="FJ664" s="145"/>
      <c r="FK664" s="72"/>
      <c r="FL664" s="145"/>
      <c r="FM664" s="72"/>
      <c r="FN664" s="145"/>
      <c r="FO664" s="72"/>
      <c r="FP664" s="145"/>
      <c r="FQ664" s="72"/>
      <c r="FR664" s="144"/>
      <c r="FS664" s="72"/>
      <c r="FT664" s="144"/>
      <c r="FU664" s="72"/>
      <c r="FV664" s="144"/>
      <c r="FW664" s="72"/>
      <c r="FX664" s="144"/>
      <c r="FY664" s="72"/>
      <c r="FZ664" s="144"/>
      <c r="GA664" s="72"/>
      <c r="GB664" s="144"/>
      <c r="GC664" s="72"/>
      <c r="GD664" s="144"/>
      <c r="GE664" s="72"/>
      <c r="GF664" s="144"/>
      <c r="GG664" s="72"/>
      <c r="GH664" s="144"/>
      <c r="GI664" s="72"/>
      <c r="GJ664" s="144"/>
      <c r="GK664" s="72"/>
      <c r="GL664" s="144"/>
      <c r="GM664" s="72"/>
      <c r="GN664" s="144"/>
      <c r="GO664" s="72"/>
      <c r="GP664" s="144"/>
      <c r="GQ664" s="72"/>
      <c r="GR664" s="144"/>
      <c r="GS664" s="72"/>
      <c r="GT664" s="144"/>
      <c r="GU664" s="72"/>
      <c r="GV664" s="144"/>
      <c r="GW664" s="72"/>
      <c r="GX664" s="144"/>
      <c r="GY664" s="72"/>
      <c r="GZ664" s="72"/>
      <c r="HA664" s="72"/>
      <c r="HB664" s="72"/>
      <c r="HC664"/>
      <c r="HD664"/>
      <c r="HE664"/>
      <c r="HF664"/>
      <c r="HG664"/>
      <c r="HH664"/>
      <c r="HI664" s="2"/>
    </row>
    <row r="665" spans="1:217" s="3" customFormat="1" ht="12.75" customHeight="1" x14ac:dyDescent="0.2">
      <c r="A665" s="3" t="s">
        <v>242</v>
      </c>
      <c r="B665" s="4" t="s">
        <v>702</v>
      </c>
      <c r="C665" s="150">
        <v>12994</v>
      </c>
      <c r="D665" s="150"/>
      <c r="E665" s="150">
        <v>12994</v>
      </c>
      <c r="F665" s="11"/>
      <c r="G665" s="150">
        <v>13331</v>
      </c>
      <c r="H665" s="11"/>
      <c r="I665" s="150">
        <v>10893</v>
      </c>
      <c r="J665" s="11"/>
      <c r="K665" s="150">
        <v>11922</v>
      </c>
      <c r="L665" s="72">
        <f t="shared" ref="L665:L670" si="3104">IF(ISERROR(K665/C665),"NA",IF(OR(K665/C665&gt;2,K665/C665&lt;0.5),"NM",K665/C665*100-100))</f>
        <v>-8.2499615207018593</v>
      </c>
      <c r="M665" s="150">
        <v>9440</v>
      </c>
      <c r="N665" s="72">
        <f t="shared" ref="N665:N670" si="3105">IF(ISERROR(M665/E665),"NA",IF(OR(M665/E665&gt;2,M665/E665&lt;0.5),"NM",M665/E665*100-100))</f>
        <v>-27.351085116207486</v>
      </c>
      <c r="O665" s="150">
        <v>9720</v>
      </c>
      <c r="P665" s="72">
        <f t="shared" ref="P665:P670" si="3106">IF(ISERROR(O665/G665),"NA",IF(OR(O665/G665&gt;2,O665/G665&lt;0.5),"NM",O665/G665*100-100))</f>
        <v>-27.087240267046724</v>
      </c>
      <c r="Q665" s="150">
        <v>5405</v>
      </c>
      <c r="R665" s="72" t="str">
        <f t="shared" ref="R665:AP670" si="3107">IF(ISERROR(Q665/I665),"NA",IF(OR(Q665/I665&gt;2,Q665/I665&lt;0.5),"NM",Q665/I665*100-100))</f>
        <v>NM</v>
      </c>
      <c r="S665" s="150">
        <v>6515</v>
      </c>
      <c r="T665" s="72">
        <f t="shared" si="3107"/>
        <v>-45.353128669686292</v>
      </c>
      <c r="U665" s="150">
        <v>4221</v>
      </c>
      <c r="V665" s="72" t="str">
        <f t="shared" si="3107"/>
        <v>NM</v>
      </c>
      <c r="W665" s="150">
        <v>3852</v>
      </c>
      <c r="X665" s="72" t="str">
        <f t="shared" si="3107"/>
        <v>NM</v>
      </c>
      <c r="Y665" s="150">
        <v>3469</v>
      </c>
      <c r="Z665" s="72">
        <f t="shared" si="3107"/>
        <v>-35.818686401480122</v>
      </c>
      <c r="AA665" s="150">
        <v>4212</v>
      </c>
      <c r="AB665" s="72">
        <f t="shared" si="3107"/>
        <v>-35.349194167306223</v>
      </c>
      <c r="AC665" s="150">
        <v>5416</v>
      </c>
      <c r="AD665" s="72">
        <f t="shared" si="3107"/>
        <v>28.310826818289513</v>
      </c>
      <c r="AE665" s="150">
        <v>5117</v>
      </c>
      <c r="AF665" s="72">
        <f t="shared" si="3107"/>
        <v>32.840083073727953</v>
      </c>
      <c r="AG665" s="150">
        <v>4739</v>
      </c>
      <c r="AH665" s="72">
        <f t="shared" si="3107"/>
        <v>36.609974055923885</v>
      </c>
      <c r="AI665" s="150">
        <v>4603</v>
      </c>
      <c r="AJ665" s="72">
        <f t="shared" si="3107"/>
        <v>9.2830009496676098</v>
      </c>
      <c r="AK665" s="150">
        <v>4432</v>
      </c>
      <c r="AL665" s="72">
        <f t="shared" si="3107"/>
        <v>-18.168389955686862</v>
      </c>
      <c r="AM665" s="150">
        <v>6135</v>
      </c>
      <c r="AN665" s="72">
        <f t="shared" si="3107"/>
        <v>19.894469415673257</v>
      </c>
      <c r="AO665" s="150">
        <v>3896</v>
      </c>
      <c r="AP665" s="72">
        <f t="shared" si="3107"/>
        <v>-17.788562987972142</v>
      </c>
      <c r="AQ665" s="150">
        <v>6253</v>
      </c>
      <c r="AR665" s="72">
        <f t="shared" ref="AR665:AR670" si="3108">IF(ISERROR(AQ665/AI665),"NA",IF(OR(AQ665/AI665&gt;2,AQ665/AI665&lt;0.5),"NM",AQ665/AI665*100-100))</f>
        <v>35.846187269172276</v>
      </c>
      <c r="AS665" s="150">
        <v>5856</v>
      </c>
      <c r="AT665" s="72">
        <f t="shared" ref="AT665:AT670" si="3109">IF(ISERROR(AS665/AK665),"NA",IF(OR(AS665/AK665&gt;2,AS665/AK665&lt;0.5),"NM",AS665/AK665*100-100))</f>
        <v>32.129963898916969</v>
      </c>
      <c r="AU665" s="150">
        <v>5572</v>
      </c>
      <c r="AV665" s="72">
        <f t="shared" ref="AV665:AV670" si="3110">IF(ISERROR(AU665/AM665),"NA",IF(OR(AU665/AM665&gt;2,AU665/AM665&lt;0.5),"NM",AU665/AM665*100-100))</f>
        <v>-9.1768541157294123</v>
      </c>
      <c r="AW665" s="150">
        <v>9447</v>
      </c>
      <c r="AX665" s="72" t="str">
        <f t="shared" ref="AX665:AX670" si="3111">IF(ISERROR(AW665/AO665),"NA",IF(OR(AW665/AO665&gt;2,AW665/AO665&lt;0.5),"NM",AW665/AO665*100-100))</f>
        <v>NM</v>
      </c>
      <c r="AY665" s="150">
        <v>9685</v>
      </c>
      <c r="AZ665" s="72">
        <f t="shared" ref="AZ665:AZ670" si="3112">IF(ISERROR(AY665/AQ665),"NA",IF(OR(AY665/AQ665&gt;2,AY665/AQ665&lt;0.5),"NM",AY665/AQ665*100-100))</f>
        <v>54.885654885654901</v>
      </c>
      <c r="BA665" s="150">
        <v>9723</v>
      </c>
      <c r="BB665" s="72">
        <f t="shared" ref="BB665:BB670" si="3113">IF(ISERROR(BA665/AS665),"NA",IF(OR(BA665/AS665&gt;2,BA665/AS665&lt;0.5),"NM",BA665/AS665*100-100))</f>
        <v>66.034836065573757</v>
      </c>
      <c r="BC665" s="150">
        <v>9418</v>
      </c>
      <c r="BD665" s="72">
        <f t="shared" ref="BD665:BD670" si="3114">IF(ISERROR(BC665/AU665),"NA",IF(OR(BC665/AU665&gt;2,BC665/AU665&lt;0.5),"NM",BC665/AU665*100-100))</f>
        <v>69.023689877961232</v>
      </c>
      <c r="BE665" s="150">
        <v>10798</v>
      </c>
      <c r="BF665" s="72">
        <f t="shared" ref="BF665:BF670" si="3115">IF(ISERROR(BE665/AW665),"NA",IF(OR(BE665/AW665&gt;2,BE665/AW665&lt;0.5),"NM",BE665/AW665*100-100))</f>
        <v>14.300836244310361</v>
      </c>
      <c r="BG665" s="150">
        <v>12812</v>
      </c>
      <c r="BH665" s="72">
        <f t="shared" ref="BH665:BH670" si="3116">IF(ISERROR(BG665/AY665),"NA",IF(OR(BG665/AY665&gt;2,BG665/AY665&lt;0.5),"NM",BG665/AY665*100-100))</f>
        <v>32.287041817243164</v>
      </c>
      <c r="BI665" s="150">
        <v>11533</v>
      </c>
      <c r="BJ665" s="72">
        <f t="shared" ref="BJ665:BJ670" si="3117">IF(ISERROR(BI665/BA665),"NA",IF(OR(BI665/BA665&gt;2,BI665/BA665&lt;0.5),"NM",BI665/BA665*100-100))</f>
        <v>18.615653604854458</v>
      </c>
      <c r="BK665" s="150">
        <v>12619</v>
      </c>
      <c r="BL665" s="72">
        <f t="shared" ref="BL665:BL670" si="3118">IF(ISERROR(BK665/BC665),"NA",IF(OR(BK665/BC665&gt;2,BK665/BC665&lt;0.5),"NM",BK665/BC665*100-100))</f>
        <v>33.988107878530485</v>
      </c>
      <c r="BM665" s="150">
        <v>14514</v>
      </c>
      <c r="BN665" s="72">
        <f t="shared" ref="BN665:BN670" si="3119">IF(ISERROR(BM665/BE665),"NA",IF(OR(BM665/BE665&gt;2,BM665/BE665&lt;0.5),"NM",BM665/BE665*100-100))</f>
        <v>34.413780329690695</v>
      </c>
      <c r="BO665" s="150">
        <v>13713</v>
      </c>
      <c r="BP665" s="72">
        <f t="shared" ref="BP665:BP670" si="3120">IF(ISERROR(BO665/BG665),"NA",IF(OR(BO665/BG665&gt;2,BO665/BG665&lt;0.5),"NM",BO665/BG665*100-100))</f>
        <v>7.0324695597876854</v>
      </c>
      <c r="BQ665" s="150">
        <v>12895</v>
      </c>
      <c r="BR665" s="72">
        <f t="shared" ref="BR665:BR670" si="3121">IF(ISERROR(BQ665/BI665),"NA",IF(OR(BQ665/BI665&gt;2,BQ665/BI665&lt;0.5),"NM",BQ665/BI665*100-100))</f>
        <v>11.809589872539661</v>
      </c>
      <c r="BS665" s="150">
        <v>13744</v>
      </c>
      <c r="BT665" s="72">
        <f t="shared" ref="BT665:BT670" si="3122">IF(ISERROR(BS665/BK665),"NA",IF(OR(BS665/BK665&gt;2,BS665/BK665&lt;0.5),"NM",BS665/BK665*100-100))</f>
        <v>8.9151279816150293</v>
      </c>
      <c r="BU665" s="150">
        <v>10092</v>
      </c>
      <c r="BV665" s="72">
        <f t="shared" ref="BV665:BV670" si="3123">IF(ISERROR(BU665/BM665),"NA",IF(OR(BU665/BM665&gt;2,BU665/BM665&lt;0.5),"NM",BU665/BM665*100-100))</f>
        <v>-30.467135179826371</v>
      </c>
      <c r="BW665" s="150">
        <v>6651</v>
      </c>
      <c r="BX665" s="72" t="str">
        <f t="shared" ref="BX665:BX670" si="3124">IF(ISERROR(BW665/BO665),"NA",IF(OR(BW665/BO665&gt;2,BW665/BO665&lt;0.5),"NM",BW665/BO665*100-100))</f>
        <v>NM</v>
      </c>
      <c r="BY665" s="150">
        <v>3643</v>
      </c>
      <c r="BZ665" s="72" t="str">
        <f t="shared" ref="BZ665:BZ670" si="3125">IF(ISERROR(BY665/BQ665),"NA",IF(OR(BY665/BQ665&gt;2,BY665/BQ665&lt;0.5),"NM",BY665/BQ665*100-100))</f>
        <v>NM</v>
      </c>
      <c r="CA665" s="150">
        <v>2182</v>
      </c>
      <c r="CB665" s="72" t="str">
        <f t="shared" ref="CB665:CB670" si="3126">IF(ISERROR(CA665/BS665),"NA",IF(OR(CA665/BS665&gt;2,CA665/BS665&lt;0.5),"NM",CA665/BS665*100-100))</f>
        <v>NM</v>
      </c>
      <c r="CC665" s="150">
        <v>3122</v>
      </c>
      <c r="CD665" s="72" t="str">
        <f t="shared" ref="CD665:CD670" si="3127">IF(ISERROR(CC665/BU665),"NA",IF(OR(CC665/BU665&gt;2,CC665/BU665&lt;0.5),"NM",CC665/BU665*100-100))</f>
        <v>NM</v>
      </c>
      <c r="CE665" s="150">
        <v>3066</v>
      </c>
      <c r="CF665" s="72" t="str">
        <f t="shared" ref="CF665:CF670" si="3128">IF(ISERROR(CE665/BW665),"NA",IF(OR(CE665/BW665&gt;2,CE665/BW665&lt;0.5),"NM",CE665/BW665*100-100))</f>
        <v>NM</v>
      </c>
      <c r="CG665" s="150">
        <v>2219</v>
      </c>
      <c r="CH665" s="72">
        <f t="shared" ref="CH665:CH670" si="3129">IF(ISERROR(CG665/BY665),"NA",IF(OR(CG665/BY665&gt;2,CG665/BY665&lt;0.5),"NM",CG665/BY665*100-100))</f>
        <v>-39.08866318967884</v>
      </c>
      <c r="CI665" s="150">
        <v>2572</v>
      </c>
      <c r="CJ665" s="72">
        <f t="shared" ref="CJ665:CT670" si="3130">IF(ISERROR(CI665/CA665),"NA",IF(OR(CI665/CA665&gt;2,CI665/CA665&lt;0.5),"NM",CI665/CA665*100-100))</f>
        <v>17.873510540788274</v>
      </c>
      <c r="CK665" s="150">
        <v>1982</v>
      </c>
      <c r="CL665" s="72">
        <f t="shared" si="3130"/>
        <v>-36.515054452274185</v>
      </c>
      <c r="CM665" s="150">
        <v>2432</v>
      </c>
      <c r="CN665" s="72">
        <f t="shared" si="3130"/>
        <v>-20.678408349641231</v>
      </c>
      <c r="CO665" s="150">
        <v>2152</v>
      </c>
      <c r="CP665" s="72">
        <f t="shared" si="3130"/>
        <v>-3.0193780982424556</v>
      </c>
      <c r="CQ665" s="150">
        <v>2899</v>
      </c>
      <c r="CR665" s="72">
        <f t="shared" si="3130"/>
        <v>12.713841368584752</v>
      </c>
      <c r="CS665" s="150">
        <v>2336</v>
      </c>
      <c r="CT665" s="72">
        <f t="shared" si="3130"/>
        <v>17.860746720484372</v>
      </c>
      <c r="CU665" s="150">
        <v>3655</v>
      </c>
      <c r="CV665" s="72">
        <f t="shared" ref="CV665:CV670" si="3131">IF(ISERROR(CU665/CM665),"NA",IF(OR(CU665/CM665&gt;2,CU665/CM665&lt;0.5),"NM",CU665/CM665*100-100))</f>
        <v>50.287828947368439</v>
      </c>
      <c r="CW665" s="150">
        <v>3226</v>
      </c>
      <c r="CX665" s="72">
        <f t="shared" ref="CX665:CX670" si="3132">IF(ISERROR(CW665/CO665),"NA",IF(OR(CW665/CO665&gt;2,CW665/CO665&lt;0.5),"NM",CW665/CO665*100-100))</f>
        <v>49.907063197026019</v>
      </c>
      <c r="CY665" s="150">
        <v>3013</v>
      </c>
      <c r="CZ665" s="72">
        <f t="shared" ref="CZ665:CZ670" si="3133">IF(ISERROR(CY665/CQ665),"NA",IF(OR(CY665/CQ665&gt;2,CY665/CQ665&lt;0.5),"NM",CY665/CQ665*100-100))</f>
        <v>3.9323904794756857</v>
      </c>
      <c r="DA665" s="150">
        <v>2409</v>
      </c>
      <c r="DB665" s="72">
        <f t="shared" ref="DB665:DB670" si="3134">IF(ISERROR(DA665/CS665),"NA",IF(OR(DA665/CS665&gt;2,DA665/CS665&lt;0.5),"NM",DA665/CS665*100-100))</f>
        <v>3.125</v>
      </c>
      <c r="DC665" s="150">
        <v>2153</v>
      </c>
      <c r="DD665" s="72">
        <f t="shared" ref="DD665:DD670" si="3135">IF(ISERROR(DC665/CU665),"NA",IF(OR(DC665/CU665&gt;2,DC665/CU665&lt;0.5),"NM",DC665/CU665*100-100))</f>
        <v>-41.094391244870046</v>
      </c>
      <c r="DE665" s="150">
        <v>2545</v>
      </c>
      <c r="DF665" s="72">
        <f t="shared" ref="DF665:DF670" si="3136">IF(ISERROR(DE665/CW665),"NA",IF(OR(DE665/CW665&gt;2,DE665/CW665&lt;0.5),"NM",DE665/CW665*100-100))</f>
        <v>-21.109733415995038</v>
      </c>
      <c r="DG665" s="150">
        <v>3043</v>
      </c>
      <c r="DH665" s="72">
        <f t="shared" ref="DH665:DH670" si="3137">IF(ISERROR(DG665/CY665),"NA",IF(OR(DG665/CY665&gt;2,DG665/CY665&lt;0.5),"NM",DG665/CY665*100-100))</f>
        <v>0.99568536342515301</v>
      </c>
      <c r="DI665" s="150">
        <v>2594</v>
      </c>
      <c r="DJ665" s="72">
        <f t="shared" ref="DJ665:DJ670" si="3138">IF(ISERROR(DI665/DA665),"NA",IF(OR(DI665/DA665&gt;2,DI665/DA665&lt;0.5),"NM",DI665/DA665*100-100))</f>
        <v>7.6795350767953465</v>
      </c>
      <c r="DK665" s="150">
        <v>3944</v>
      </c>
      <c r="DL665" s="72">
        <f t="shared" ref="DL665:DL670" si="3139">IF(ISERROR(DK665/DC665),"NA",IF(OR(DK665/DC665&gt;2,DK665/DC665&lt;0.5),"NM",DK665/DC665*100-100))</f>
        <v>83.186251741755683</v>
      </c>
      <c r="DM665" s="150">
        <v>3729</v>
      </c>
      <c r="DN665" s="72">
        <f t="shared" ref="DN665:DZ670" si="3140">IF(ISERROR(DM665/DE665),"NA",IF(OR(DM665/DE665&gt;2,DM665/DE665&lt;0.5),"NM",DM665/DE665*100-100))</f>
        <v>46.522593320235757</v>
      </c>
      <c r="DO665" s="150">
        <v>4354</v>
      </c>
      <c r="DP665" s="72">
        <f t="shared" si="3140"/>
        <v>43.082484390404204</v>
      </c>
      <c r="DQ665" s="150">
        <v>1746</v>
      </c>
      <c r="DR665" s="72">
        <f t="shared" si="3140"/>
        <v>-32.690824980724756</v>
      </c>
      <c r="DS665" s="150">
        <v>3013</v>
      </c>
      <c r="DT665" s="72">
        <f t="shared" si="3140"/>
        <v>-23.605476673428001</v>
      </c>
      <c r="DU665" s="150">
        <v>3621</v>
      </c>
      <c r="DV665" s="72">
        <f t="shared" si="3140"/>
        <v>-2.8962188254223662</v>
      </c>
      <c r="DW665" s="150">
        <v>1833</v>
      </c>
      <c r="DX665" s="72" t="str">
        <f t="shared" si="3140"/>
        <v>NM</v>
      </c>
      <c r="DY665" s="150">
        <v>1216</v>
      </c>
      <c r="DZ665" s="72">
        <f t="shared" si="3140"/>
        <v>-30.35509736540665</v>
      </c>
      <c r="EA665" s="150">
        <v>969</v>
      </c>
      <c r="EB665" s="72" t="str">
        <f t="shared" ref="EB665:EB670" si="3141">IF(ISERROR(EA665/DS665),"NA",IF(OR(EA665/DS665&gt;2,EA665/DS665&lt;0.5),"NM",EA665/DS665*100-100))</f>
        <v>NM</v>
      </c>
      <c r="EC665" s="150">
        <v>676</v>
      </c>
      <c r="ED665" s="72" t="str">
        <f t="shared" ref="ED665:ED670" si="3142">IF(ISERROR(EC665/DU665),"NA",IF(OR(EC665/DU665&gt;2,EC665/DU665&lt;0.5),"NM",EC665/DU665*100-100))</f>
        <v>NM</v>
      </c>
      <c r="EE665" s="150">
        <v>907</v>
      </c>
      <c r="EF665" s="72" t="str">
        <f t="shared" ref="EF665:EF670" si="3143">IF(ISERROR(EE665/DW665),"NA",IF(OR(EE665/DW665&gt;2,EE665/DW665&lt;0.5),"NM",EE665/DW665*100-100))</f>
        <v>NM</v>
      </c>
      <c r="EG665" s="150">
        <v>1133</v>
      </c>
      <c r="EH665" s="72">
        <f t="shared" ref="EH665:EH670" si="3144">IF(ISERROR(EG665/DY665),"NA",IF(OR(EG665/DY665&gt;2,EG665/DY665&lt;0.5),"NM",EG665/DY665*100-100))</f>
        <v>-6.8256578947368496</v>
      </c>
      <c r="EI665" s="150">
        <v>1415</v>
      </c>
      <c r="EJ665" s="72">
        <f t="shared" ref="EJ665:EJ670" si="3145">IF(ISERROR(EI665/EA665),"NA",IF(OR(EI665/EA665&gt;2,EI665/EA665&lt;0.5),"NM",EI665/EA665*100-100))</f>
        <v>46.026831785345735</v>
      </c>
      <c r="EK665" s="150">
        <v>1779</v>
      </c>
      <c r="EL665" s="72" t="str">
        <f t="shared" ref="EL665:EL670" si="3146">IF(ISERROR(EK665/EC665),"NA",IF(OR(EK665/EC665&gt;2,EK665/EC665&lt;0.5),"NM",EK665/EC665*100-100))</f>
        <v>NM</v>
      </c>
      <c r="EM665" s="150">
        <v>2358</v>
      </c>
      <c r="EN665" s="72" t="str">
        <f t="shared" ref="EN665:EN670" si="3147">IF(ISERROR(EM665/EE665),"NA",IF(OR(EM665/EE665&gt;2,EM665/EE665&lt;0.5),"NM",EM665/EE665*100-100))</f>
        <v>NM</v>
      </c>
      <c r="EO665" s="150">
        <v>1380</v>
      </c>
      <c r="EP665" s="72">
        <f t="shared" ref="EP665:EP670" si="3148">IF(ISERROR(EO665/EG665),"NA",IF(OR(EO665/EG665&gt;2,EO665/EG665&lt;0.5),"NM",EO665/EG665*100-100))</f>
        <v>21.80052956751986</v>
      </c>
      <c r="EQ665" s="150">
        <f t="shared" ref="EQ665" si="3149">EO665</f>
        <v>1380</v>
      </c>
      <c r="ER665" s="72">
        <f t="shared" ref="ER665:ER670" si="3150">IF(ISERROR(EQ665/EI665),"NA",IF(OR(EQ665/EI665&gt;2,EQ665/EI665&lt;0.5),"NM",EQ665/EI665*100-100))</f>
        <v>-2.4734982332155369</v>
      </c>
      <c r="ES665" s="150">
        <f t="shared" ref="ES665" si="3151">EQ665</f>
        <v>1380</v>
      </c>
      <c r="ET665" s="72">
        <f t="shared" ref="ET665:ET670" si="3152">IF(ISERROR(ES665/EK665),"NA",IF(OR(ES665/EK665&gt;2,ES665/EK665&lt;0.5),"NM",ES665/EK665*100-100))</f>
        <v>-22.428330522765592</v>
      </c>
      <c r="EU665" s="150">
        <f t="shared" ref="EU665" si="3153">ES665</f>
        <v>1380</v>
      </c>
      <c r="EV665" s="72">
        <f t="shared" ref="EV665:EV670" si="3154">IF(ISERROR(EU665/EM665),"NA",IF(OR(EU665/EM665&gt;2,EU665/EM665&lt;0.5),"NM",EU665/EM665*100-100))</f>
        <v>-41.475826972010175</v>
      </c>
      <c r="EW665" s="150">
        <f t="shared" ref="EW665" si="3155">EU665</f>
        <v>1380</v>
      </c>
      <c r="EX665" s="72">
        <f t="shared" ref="EX665:EX670" si="3156">IF(ISERROR(EW665/EO665),"NA",IF(OR(EW665/EO665&gt;2,EW665/EO665&lt;0.5),"NM",EW665/EO665*100-100))</f>
        <v>0</v>
      </c>
      <c r="EY665" s="72"/>
      <c r="EZ665" s="296"/>
      <c r="FA665" s="72"/>
      <c r="FB665" s="9"/>
      <c r="FC665" s="11"/>
      <c r="FD665" s="150"/>
      <c r="FE665" s="72"/>
      <c r="FF665" s="150">
        <v>10893</v>
      </c>
      <c r="FG665" s="72" t="str">
        <f t="shared" ref="FG665:FG670" si="3157">IF(ISERROR(FF665/FD665),"NA",IF(OR(FF665/FD665&gt;2,FF665/FD665&lt;0.5),"NM",FF665/FD665*100-100))</f>
        <v>NA</v>
      </c>
      <c r="FH665" s="144">
        <f>Q665</f>
        <v>5405</v>
      </c>
      <c r="FI665" s="72" t="str">
        <f t="shared" ref="FI665:FI670" si="3158">IF(ISERROR(FH665/FF665),"NA",IF(OR(FH665/FF665&gt;2,FH665/FF665&lt;0.5),"NM",FH665/FF665*100-100))</f>
        <v>NM</v>
      </c>
      <c r="FJ665" s="144">
        <f>Y665</f>
        <v>3469</v>
      </c>
      <c r="FK665" s="72">
        <f t="shared" ref="FK665:FK670" si="3159">IF(ISERROR(FJ665/FH665),"NA",IF(OR(FJ665/FH665&gt;2,FJ665/FH665&lt;0.5),"NM",FJ665/FH665*100-100))</f>
        <v>-35.818686401480122</v>
      </c>
      <c r="FL665" s="144">
        <f>AG665</f>
        <v>4739</v>
      </c>
      <c r="FM665" s="72">
        <f t="shared" ref="FM665:FM670" si="3160">IF(ISERROR(FL665/FJ665),"NA",IF(OR(FL665/FJ665&gt;2,FL665/FJ665&lt;0.5),"NM",FL665/FJ665*100-100))</f>
        <v>36.609974055923885</v>
      </c>
      <c r="FN665" s="144">
        <f>AO665</f>
        <v>3896</v>
      </c>
      <c r="FO665" s="72">
        <f t="shared" ref="FO665:FO670" si="3161">IF(ISERROR(FN665/FL665),"NA",IF(OR(FN665/FL665&gt;2,FN665/FL665&lt;0.5),"NM",FN665/FL665*100-100))</f>
        <v>-17.788562987972142</v>
      </c>
      <c r="FP665" s="144">
        <f>AW665</f>
        <v>9447</v>
      </c>
      <c r="FQ665" s="72" t="str">
        <f t="shared" ref="FQ665:FQ670" si="3162">IF(ISERROR(FP665/FN665),"NA",IF(OR(FP665/FN665&gt;2,FP665/FN665&lt;0.5),"NM",FP665/FN665*100-100))</f>
        <v>NM</v>
      </c>
      <c r="FR665" s="144">
        <f>BE665</f>
        <v>10798</v>
      </c>
      <c r="FS665" s="72">
        <f t="shared" ref="FS665:FS670" si="3163">IF(ISERROR(FR665/FP665),"NA",IF(OR(FR665/FP665&gt;2,FR665/FP665&lt;0.5),"NM",FR665/FP665*100-100))</f>
        <v>14.300836244310361</v>
      </c>
      <c r="FT665" s="144">
        <f>BM665</f>
        <v>14514</v>
      </c>
      <c r="FU665" s="72">
        <f t="shared" ref="FU665:FU670" si="3164">IF(ISERROR(FT665/FR665),"NA",IF(OR(FT665/FR665&gt;2,FT665/FR665&lt;0.5),"NM",FT665/FR665*100-100))</f>
        <v>34.413780329690695</v>
      </c>
      <c r="FV665" s="144">
        <f>BU665</f>
        <v>10092</v>
      </c>
      <c r="FW665" s="72">
        <f t="shared" ref="FW665:GG670" si="3165">IF(ISERROR(FV665/FT665),"NA",IF(OR(FV665/FT665&gt;2,FV665/FT665&lt;0.5),"NM",FV665/FT665*100-100))</f>
        <v>-30.467135179826371</v>
      </c>
      <c r="FX665" s="144">
        <f>CC665</f>
        <v>3122</v>
      </c>
      <c r="FY665" s="72" t="str">
        <f t="shared" si="3165"/>
        <v>NM</v>
      </c>
      <c r="FZ665" s="144">
        <f>CK665</f>
        <v>1982</v>
      </c>
      <c r="GA665" s="72">
        <f t="shared" si="3165"/>
        <v>-36.515054452274185</v>
      </c>
      <c r="GB665" s="144">
        <f>CS665</f>
        <v>2336</v>
      </c>
      <c r="GC665" s="72">
        <f t="shared" si="3165"/>
        <v>17.860746720484372</v>
      </c>
      <c r="GD665" s="144">
        <f>DA665</f>
        <v>2409</v>
      </c>
      <c r="GE665" s="72">
        <f t="shared" si="3165"/>
        <v>3.125</v>
      </c>
      <c r="GF665" s="144">
        <f>DI665</f>
        <v>2594</v>
      </c>
      <c r="GG665" s="72">
        <f t="shared" si="3165"/>
        <v>7.6795350767953465</v>
      </c>
      <c r="GH665" s="144">
        <f>DQ665</f>
        <v>1746</v>
      </c>
      <c r="GI665" s="72">
        <f t="shared" ref="GI665:GU670" si="3166">IF(ISERROR(GH665/GF665),"NA",IF(OR(GH665/GF665&gt;2,GH665/GF665&lt;0.5),"NM",GH665/GF665*100-100))</f>
        <v>-32.690824980724756</v>
      </c>
      <c r="GJ665" s="144">
        <f>DY665</f>
        <v>1216</v>
      </c>
      <c r="GK665" s="72">
        <f t="shared" si="3166"/>
        <v>-30.35509736540665</v>
      </c>
      <c r="GL665" s="144">
        <f>EG665</f>
        <v>1133</v>
      </c>
      <c r="GM665" s="72">
        <f t="shared" si="3166"/>
        <v>-6.8256578947368496</v>
      </c>
      <c r="GN665" s="144">
        <f>EO665</f>
        <v>1380</v>
      </c>
      <c r="GO665" s="72">
        <f t="shared" si="3166"/>
        <v>21.80052956751986</v>
      </c>
      <c r="GP665" s="144">
        <f>EW665</f>
        <v>1380</v>
      </c>
      <c r="GQ665" s="72">
        <f t="shared" si="3166"/>
        <v>0</v>
      </c>
      <c r="GR665" s="150">
        <f>GP665</f>
        <v>1380</v>
      </c>
      <c r="GS665" s="72">
        <f t="shared" si="3166"/>
        <v>0</v>
      </c>
      <c r="GT665" s="150">
        <f>GR665</f>
        <v>1380</v>
      </c>
      <c r="GU665" s="72">
        <f t="shared" si="3166"/>
        <v>0</v>
      </c>
      <c r="GV665" s="150">
        <f>GT665</f>
        <v>1380</v>
      </c>
      <c r="GW665" s="72">
        <f t="shared" ref="GW665:GW670" si="3167">IF(ISERROR(GV665/GT665),"NA",IF(OR(GV665/GT665&gt;2,GV665/GT665&lt;0.5),"NM",GV665/GT665*100-100))</f>
        <v>0</v>
      </c>
      <c r="GX665" s="150">
        <f>GV665</f>
        <v>1380</v>
      </c>
      <c r="GY665" s="72">
        <f t="shared" ref="GY665:GY670" si="3168">IF(ISERROR(GX665/GV665),"NA",IF(OR(GX665/GV665&gt;2,GX665/GV665&lt;0.5),"NM",GX665/GV665*100-100))</f>
        <v>0</v>
      </c>
      <c r="GZ665" s="72">
        <f t="shared" ref="GZ665:GZ680" si="3169">IF(ISERROR(((GX665/GN665)^0.2-1)*100),"NA",IF((((GX665/GN665)^0.2-1)*100)&gt;100,"NM",IF((((GX665/GN665)^0.2-1)*100)&lt;-50,"NM",((GX665/GN665)^0.2-1)*100)))</f>
        <v>0</v>
      </c>
      <c r="HA665" s="72"/>
      <c r="HB665" s="72"/>
      <c r="HC665"/>
      <c r="HD665"/>
      <c r="HE665"/>
      <c r="HF665"/>
      <c r="HG665"/>
      <c r="HH665"/>
      <c r="HI665" s="2"/>
    </row>
    <row r="666" spans="1:217" s="3" customFormat="1" ht="12.75" customHeight="1" x14ac:dyDescent="0.2">
      <c r="A666" s="3" t="s">
        <v>320</v>
      </c>
      <c r="B666" s="4" t="s">
        <v>703</v>
      </c>
      <c r="C666" s="150">
        <v>1912</v>
      </c>
      <c r="D666" s="150"/>
      <c r="E666" s="150">
        <v>1912</v>
      </c>
      <c r="F666" s="11"/>
      <c r="G666" s="150">
        <v>1810</v>
      </c>
      <c r="H666" s="11"/>
      <c r="I666" s="150">
        <v>1476</v>
      </c>
      <c r="J666" s="11"/>
      <c r="K666" s="150">
        <v>2058</v>
      </c>
      <c r="L666" s="72">
        <f t="shared" si="3104"/>
        <v>7.6359832635983338</v>
      </c>
      <c r="M666" s="150">
        <v>3047</v>
      </c>
      <c r="N666" s="72">
        <f t="shared" si="3105"/>
        <v>59.361924686192452</v>
      </c>
      <c r="O666" s="150">
        <v>2983</v>
      </c>
      <c r="P666" s="72">
        <f t="shared" si="3106"/>
        <v>64.806629834254124</v>
      </c>
      <c r="Q666" s="150">
        <v>3554</v>
      </c>
      <c r="R666" s="72" t="str">
        <f t="shared" si="3107"/>
        <v>NM</v>
      </c>
      <c r="S666" s="150">
        <v>3350</v>
      </c>
      <c r="T666" s="72">
        <f t="shared" si="3107"/>
        <v>62.779397473275026</v>
      </c>
      <c r="U666" s="150">
        <v>3003</v>
      </c>
      <c r="V666" s="72">
        <f t="shared" si="3107"/>
        <v>-1.4440433212996311</v>
      </c>
      <c r="W666" s="150">
        <v>3077</v>
      </c>
      <c r="X666" s="72">
        <f t="shared" si="3107"/>
        <v>3.1511900771035783</v>
      </c>
      <c r="Y666" s="150">
        <v>3007</v>
      </c>
      <c r="Z666" s="72">
        <f t="shared" si="3107"/>
        <v>-15.391108610016886</v>
      </c>
      <c r="AA666" s="150">
        <v>2582</v>
      </c>
      <c r="AB666" s="72">
        <f t="shared" si="3107"/>
        <v>-22.925373134328353</v>
      </c>
      <c r="AC666" s="150">
        <v>2663</v>
      </c>
      <c r="AD666" s="72">
        <f t="shared" si="3107"/>
        <v>-11.322011322011321</v>
      </c>
      <c r="AE666" s="150">
        <v>4330</v>
      </c>
      <c r="AF666" s="72">
        <f t="shared" si="3107"/>
        <v>40.721481962950946</v>
      </c>
      <c r="AG666" s="150">
        <v>3860</v>
      </c>
      <c r="AH666" s="72">
        <f t="shared" si="3107"/>
        <v>28.367143332224799</v>
      </c>
      <c r="AI666" s="150">
        <v>3820</v>
      </c>
      <c r="AJ666" s="72">
        <f t="shared" si="3107"/>
        <v>47.947327652982182</v>
      </c>
      <c r="AK666" s="150">
        <v>4437</v>
      </c>
      <c r="AL666" s="72">
        <f t="shared" si="3107"/>
        <v>66.616597822005275</v>
      </c>
      <c r="AM666" s="150">
        <v>5708</v>
      </c>
      <c r="AN666" s="72">
        <f t="shared" si="3107"/>
        <v>31.824480369515015</v>
      </c>
      <c r="AO666" s="150">
        <v>5877</v>
      </c>
      <c r="AP666" s="72">
        <f t="shared" si="3107"/>
        <v>52.253886010362692</v>
      </c>
      <c r="AQ666" s="150">
        <v>5981</v>
      </c>
      <c r="AR666" s="72">
        <f t="shared" si="3108"/>
        <v>56.570680628272243</v>
      </c>
      <c r="AS666" s="150">
        <v>6984</v>
      </c>
      <c r="AT666" s="72">
        <f t="shared" si="3109"/>
        <v>57.403651115618658</v>
      </c>
      <c r="AU666" s="150">
        <v>7053</v>
      </c>
      <c r="AV666" s="72">
        <f t="shared" si="3110"/>
        <v>23.563419761737904</v>
      </c>
      <c r="AW666" s="150">
        <v>6520</v>
      </c>
      <c r="AX666" s="72">
        <f t="shared" si="3111"/>
        <v>10.940956270205888</v>
      </c>
      <c r="AY666" s="150">
        <v>7284</v>
      </c>
      <c r="AZ666" s="72">
        <f t="shared" si="3112"/>
        <v>21.785654572813911</v>
      </c>
      <c r="BA666" s="150">
        <v>7520</v>
      </c>
      <c r="BB666" s="72">
        <f t="shared" si="3113"/>
        <v>7.6746849942726243</v>
      </c>
      <c r="BC666" s="150">
        <v>7464</v>
      </c>
      <c r="BD666" s="72">
        <f t="shared" si="3114"/>
        <v>5.827307528711188</v>
      </c>
      <c r="BE666" s="150">
        <v>9673</v>
      </c>
      <c r="BF666" s="72">
        <f t="shared" si="3115"/>
        <v>48.358895705521491</v>
      </c>
      <c r="BG666" s="150">
        <v>10080</v>
      </c>
      <c r="BH666" s="72">
        <f t="shared" si="3116"/>
        <v>38.385502471169701</v>
      </c>
      <c r="BI666" s="150">
        <v>9401</v>
      </c>
      <c r="BJ666" s="72">
        <f t="shared" si="3117"/>
        <v>25.013297872340431</v>
      </c>
      <c r="BK666" s="150">
        <v>9771</v>
      </c>
      <c r="BL666" s="72">
        <f t="shared" si="3118"/>
        <v>30.908360128617375</v>
      </c>
      <c r="BM666" s="150">
        <v>12351</v>
      </c>
      <c r="BN666" s="72">
        <f t="shared" si="3119"/>
        <v>27.685309624728617</v>
      </c>
      <c r="BO666" s="150">
        <v>13302</v>
      </c>
      <c r="BP666" s="72">
        <f t="shared" si="3120"/>
        <v>31.964285714285722</v>
      </c>
      <c r="BQ666" s="150">
        <f>13856+1398</f>
        <v>15254</v>
      </c>
      <c r="BR666" s="72">
        <f t="shared" si="3121"/>
        <v>62.259334113392185</v>
      </c>
      <c r="BS666" s="150">
        <f>14602+1518</f>
        <v>16120</v>
      </c>
      <c r="BT666" s="72">
        <f t="shared" si="3122"/>
        <v>64.977996110940524</v>
      </c>
      <c r="BU666" s="150">
        <f>17022+1518</f>
        <v>18540</v>
      </c>
      <c r="BV666" s="72">
        <f t="shared" si="3123"/>
        <v>50.109302890454217</v>
      </c>
      <c r="BW666" s="150">
        <f>17394+1518</f>
        <v>18912</v>
      </c>
      <c r="BX666" s="72">
        <f t="shared" si="3124"/>
        <v>42.174109156517829</v>
      </c>
      <c r="BY666" s="150">
        <f>17713+1518</f>
        <v>19231</v>
      </c>
      <c r="BZ666" s="72">
        <f t="shared" si="3125"/>
        <v>26.07185000655565</v>
      </c>
      <c r="CA666" s="150">
        <f>19491+1518</f>
        <v>21009</v>
      </c>
      <c r="CB666" s="72">
        <f t="shared" si="3126"/>
        <v>30.3287841191067</v>
      </c>
      <c r="CC666" s="150">
        <f>17769+1518</f>
        <v>19287</v>
      </c>
      <c r="CD666" s="72">
        <f t="shared" si="3127"/>
        <v>4.0291262135922352</v>
      </c>
      <c r="CE666" s="150">
        <f>18373+1518</f>
        <v>19891</v>
      </c>
      <c r="CF666" s="72">
        <f t="shared" si="3128"/>
        <v>5.1766074450084574</v>
      </c>
      <c r="CG666" s="150">
        <f>1519+19130</f>
        <v>20649</v>
      </c>
      <c r="CH666" s="72">
        <f t="shared" si="3129"/>
        <v>7.373511517861786</v>
      </c>
      <c r="CI666" s="150">
        <v>19068</v>
      </c>
      <c r="CJ666" s="72">
        <f t="shared" si="3130"/>
        <v>-9.2388976153077351</v>
      </c>
      <c r="CK666" s="150">
        <v>20384</v>
      </c>
      <c r="CL666" s="72">
        <f t="shared" si="3130"/>
        <v>5.6877689635505817</v>
      </c>
      <c r="CM666" s="150">
        <v>20764</v>
      </c>
      <c r="CN666" s="72">
        <f t="shared" si="3130"/>
        <v>4.3889196118847735</v>
      </c>
      <c r="CO666" s="150">
        <v>21309</v>
      </c>
      <c r="CP666" s="72">
        <f t="shared" si="3130"/>
        <v>3.1962806915589113</v>
      </c>
      <c r="CQ666" s="150">
        <v>20651</v>
      </c>
      <c r="CR666" s="72">
        <f t="shared" si="3130"/>
        <v>8.3018670023075316</v>
      </c>
      <c r="CS666" s="150">
        <v>21353</v>
      </c>
      <c r="CT666" s="72">
        <f t="shared" si="3130"/>
        <v>4.7537284144427048</v>
      </c>
      <c r="CU666" s="150">
        <v>21110</v>
      </c>
      <c r="CV666" s="72">
        <f t="shared" si="3131"/>
        <v>1.6663455981506416</v>
      </c>
      <c r="CW666" s="150">
        <v>21030</v>
      </c>
      <c r="CX666" s="72">
        <f t="shared" si="3132"/>
        <v>-1.3093059270730691</v>
      </c>
      <c r="CY666" s="150">
        <v>19576</v>
      </c>
      <c r="CZ666" s="72">
        <f t="shared" si="3133"/>
        <v>-5.2055590528303668</v>
      </c>
      <c r="DA666" s="150">
        <v>18460</v>
      </c>
      <c r="DB666" s="72">
        <f t="shared" si="3134"/>
        <v>-13.548447524937941</v>
      </c>
      <c r="DC666" s="150">
        <v>18009</v>
      </c>
      <c r="DD666" s="72">
        <f t="shared" si="3135"/>
        <v>-14.68972051160587</v>
      </c>
      <c r="DE666" s="150">
        <v>17083</v>
      </c>
      <c r="DF666" s="72">
        <f t="shared" si="3136"/>
        <v>-18.768426058012366</v>
      </c>
      <c r="DG666" s="150">
        <v>17083</v>
      </c>
      <c r="DH666" s="72">
        <f t="shared" si="3137"/>
        <v>-12.734981610134852</v>
      </c>
      <c r="DI666" s="150">
        <v>17069</v>
      </c>
      <c r="DJ666" s="72">
        <f t="shared" si="3138"/>
        <v>-7.5352112676056322</v>
      </c>
      <c r="DK666" s="150">
        <v>16081</v>
      </c>
      <c r="DL666" s="72">
        <f t="shared" si="3139"/>
        <v>-10.705758231995105</v>
      </c>
      <c r="DM666" s="150">
        <v>17004</v>
      </c>
      <c r="DN666" s="72">
        <f t="shared" si="3140"/>
        <v>-0.4624480477667845</v>
      </c>
      <c r="DO666" s="150">
        <v>16113</v>
      </c>
      <c r="DP666" s="72">
        <f t="shared" si="3140"/>
        <v>-5.678159573845349</v>
      </c>
      <c r="DQ666" s="150">
        <v>14947</v>
      </c>
      <c r="DR666" s="72">
        <f t="shared" si="3140"/>
        <v>-12.431894076981663</v>
      </c>
      <c r="DS666" s="150">
        <v>14819</v>
      </c>
      <c r="DT666" s="72">
        <f t="shared" si="3140"/>
        <v>-7.847770661028548</v>
      </c>
      <c r="DU666" s="150">
        <v>14380</v>
      </c>
      <c r="DV666" s="72">
        <f t="shared" si="3140"/>
        <v>-15.431663138085156</v>
      </c>
      <c r="DW666" s="150">
        <v>14445</v>
      </c>
      <c r="DX666" s="72">
        <f t="shared" si="3140"/>
        <v>-10.351889778439769</v>
      </c>
      <c r="DY666" s="150">
        <v>13843</v>
      </c>
      <c r="DZ666" s="72">
        <f t="shared" si="3140"/>
        <v>-7.3860975446577868</v>
      </c>
      <c r="EA666" s="150">
        <v>13795</v>
      </c>
      <c r="EB666" s="72">
        <f t="shared" si="3141"/>
        <v>-6.9100479114650142</v>
      </c>
      <c r="EC666" s="150">
        <v>13172</v>
      </c>
      <c r="ED666" s="72">
        <f t="shared" si="3142"/>
        <v>-8.4005563282336482</v>
      </c>
      <c r="EE666" s="150">
        <v>12942</v>
      </c>
      <c r="EF666" s="72">
        <f t="shared" si="3143"/>
        <v>-10.404984423676012</v>
      </c>
      <c r="EG666" s="150">
        <v>12224</v>
      </c>
      <c r="EH666" s="72">
        <f t="shared" si="3144"/>
        <v>-11.695441739507331</v>
      </c>
      <c r="EI666" s="150">
        <v>12074</v>
      </c>
      <c r="EJ666" s="72">
        <f t="shared" si="3145"/>
        <v>-12.475534613990575</v>
      </c>
      <c r="EK666" s="150">
        <v>11806</v>
      </c>
      <c r="EL666" s="72">
        <f t="shared" si="3146"/>
        <v>-10.37048284239296</v>
      </c>
      <c r="EM666" s="150">
        <v>10532</v>
      </c>
      <c r="EN666" s="72">
        <f t="shared" si="3147"/>
        <v>-18.621542265492195</v>
      </c>
      <c r="EO666" s="150">
        <v>10550</v>
      </c>
      <c r="EP666" s="72">
        <f t="shared" si="3148"/>
        <v>-13.694371727748688</v>
      </c>
      <c r="EQ666" s="150">
        <f t="shared" ref="EQ666" si="3170">EO666+18</f>
        <v>10568</v>
      </c>
      <c r="ER666" s="72">
        <f t="shared" si="3150"/>
        <v>-12.473082656948819</v>
      </c>
      <c r="ES666" s="150">
        <f t="shared" ref="ES666" si="3171">EQ666+18</f>
        <v>10586</v>
      </c>
      <c r="ET666" s="72">
        <f t="shared" si="3152"/>
        <v>-10.333728612569885</v>
      </c>
      <c r="EU666" s="150">
        <f t="shared" ref="EU666" si="3172">ES666+18</f>
        <v>10604</v>
      </c>
      <c r="EV666" s="72">
        <f t="shared" si="3154"/>
        <v>0.68363083934674762</v>
      </c>
      <c r="EW666" s="150">
        <f t="shared" ref="EW666" si="3173">EU666+18</f>
        <v>10622</v>
      </c>
      <c r="EX666" s="72">
        <f t="shared" si="3156"/>
        <v>0.68246445497631214</v>
      </c>
      <c r="EY666" s="72"/>
      <c r="EZ666" s="296"/>
      <c r="FA666" s="72"/>
      <c r="FB666" s="9"/>
      <c r="FC666" s="11"/>
      <c r="FD666" s="150"/>
      <c r="FE666" s="72"/>
      <c r="FF666" s="150">
        <v>1476</v>
      </c>
      <c r="FG666" s="72" t="str">
        <f t="shared" si="3157"/>
        <v>NA</v>
      </c>
      <c r="FH666" s="144">
        <f>Q666</f>
        <v>3554</v>
      </c>
      <c r="FI666" s="72" t="str">
        <f t="shared" si="3158"/>
        <v>NM</v>
      </c>
      <c r="FJ666" s="144">
        <f>Y666</f>
        <v>3007</v>
      </c>
      <c r="FK666" s="72">
        <f t="shared" si="3159"/>
        <v>-15.391108610016886</v>
      </c>
      <c r="FL666" s="144">
        <f>AG666</f>
        <v>3860</v>
      </c>
      <c r="FM666" s="72">
        <f t="shared" si="3160"/>
        <v>28.367143332224799</v>
      </c>
      <c r="FN666" s="144">
        <f>AO666</f>
        <v>5877</v>
      </c>
      <c r="FO666" s="72">
        <f t="shared" si="3161"/>
        <v>52.253886010362692</v>
      </c>
      <c r="FP666" s="144">
        <f>AW666</f>
        <v>6520</v>
      </c>
      <c r="FQ666" s="72">
        <f t="shared" si="3162"/>
        <v>10.940956270205888</v>
      </c>
      <c r="FR666" s="144">
        <f>BE666</f>
        <v>9673</v>
      </c>
      <c r="FS666" s="72">
        <f t="shared" si="3163"/>
        <v>48.358895705521491</v>
      </c>
      <c r="FT666" s="144">
        <f>BM666</f>
        <v>12351</v>
      </c>
      <c r="FU666" s="72">
        <f t="shared" si="3164"/>
        <v>27.685309624728617</v>
      </c>
      <c r="FV666" s="144">
        <f>BU666</f>
        <v>18540</v>
      </c>
      <c r="FW666" s="72">
        <f t="shared" si="3165"/>
        <v>50.109302890454217</v>
      </c>
      <c r="FX666" s="144">
        <f>CC666</f>
        <v>19287</v>
      </c>
      <c r="FY666" s="72">
        <f t="shared" si="3165"/>
        <v>4.0291262135922352</v>
      </c>
      <c r="FZ666" s="144">
        <f>CK666</f>
        <v>20384</v>
      </c>
      <c r="GA666" s="72">
        <f t="shared" si="3165"/>
        <v>5.6877689635505817</v>
      </c>
      <c r="GB666" s="144">
        <f>CS666</f>
        <v>21353</v>
      </c>
      <c r="GC666" s="72">
        <f t="shared" si="3165"/>
        <v>4.7537284144427048</v>
      </c>
      <c r="GD666" s="144">
        <f>DA666</f>
        <v>18460</v>
      </c>
      <c r="GE666" s="72">
        <f t="shared" si="3165"/>
        <v>-13.548447524937941</v>
      </c>
      <c r="GF666" s="144">
        <f>DI666</f>
        <v>17069</v>
      </c>
      <c r="GG666" s="72">
        <f t="shared" si="3165"/>
        <v>-7.5352112676056322</v>
      </c>
      <c r="GH666" s="144">
        <f>DQ666</f>
        <v>14947</v>
      </c>
      <c r="GI666" s="72">
        <f t="shared" si="3166"/>
        <v>-12.431894076981663</v>
      </c>
      <c r="GJ666" s="144">
        <f>DY666</f>
        <v>13843</v>
      </c>
      <c r="GK666" s="72">
        <f t="shared" si="3166"/>
        <v>-7.3860975446577868</v>
      </c>
      <c r="GL666" s="144">
        <f>EG666</f>
        <v>12224</v>
      </c>
      <c r="GM666" s="72">
        <f t="shared" si="3166"/>
        <v>-11.695441739507331</v>
      </c>
      <c r="GN666" s="144">
        <f>EO666</f>
        <v>10550</v>
      </c>
      <c r="GO666" s="72">
        <f t="shared" si="3166"/>
        <v>-13.694371727748688</v>
      </c>
      <c r="GP666" s="144">
        <f>EW666</f>
        <v>10622</v>
      </c>
      <c r="GQ666" s="72">
        <f t="shared" si="3166"/>
        <v>0.68246445497631214</v>
      </c>
      <c r="GR666" s="150">
        <f>GP666+75</f>
        <v>10697</v>
      </c>
      <c r="GS666" s="72">
        <f t="shared" si="3166"/>
        <v>0.70608171719072743</v>
      </c>
      <c r="GT666" s="150">
        <f>GR666+75</f>
        <v>10772</v>
      </c>
      <c r="GU666" s="72">
        <f t="shared" si="3166"/>
        <v>0.7011311582686659</v>
      </c>
      <c r="GV666" s="150">
        <f>GT666+75</f>
        <v>10847</v>
      </c>
      <c r="GW666" s="72">
        <f t="shared" si="3167"/>
        <v>0.69624953583364402</v>
      </c>
      <c r="GX666" s="150">
        <f>GV666+75</f>
        <v>10922</v>
      </c>
      <c r="GY666" s="72">
        <f t="shared" si="3168"/>
        <v>0.69143541993177848</v>
      </c>
      <c r="GZ666" s="72">
        <f t="shared" si="3169"/>
        <v>0.69547212883138698</v>
      </c>
      <c r="HA666" s="72"/>
      <c r="HB666" s="72"/>
      <c r="HC666"/>
      <c r="HD666"/>
      <c r="HE666"/>
      <c r="HF666"/>
      <c r="HG666"/>
      <c r="HH666"/>
      <c r="HI666" s="2"/>
    </row>
    <row r="667" spans="1:217" s="3" customFormat="1" ht="12.75" customHeight="1" x14ac:dyDescent="0.2">
      <c r="B667" s="4" t="s">
        <v>197</v>
      </c>
      <c r="C667" s="145">
        <f>C666+C665</f>
        <v>14906</v>
      </c>
      <c r="D667" s="145"/>
      <c r="E667" s="145">
        <f>E666+E665</f>
        <v>14906</v>
      </c>
      <c r="F667" s="11"/>
      <c r="G667" s="145">
        <f>G666+G665</f>
        <v>15141</v>
      </c>
      <c r="H667" s="11"/>
      <c r="I667" s="145">
        <f>I666+I665</f>
        <v>12369</v>
      </c>
      <c r="J667" s="11"/>
      <c r="K667" s="145">
        <f>K666+K665</f>
        <v>13980</v>
      </c>
      <c r="L667" s="72">
        <f t="shared" si="3104"/>
        <v>-6.2122635180464272</v>
      </c>
      <c r="M667" s="145">
        <f>M666+M665</f>
        <v>12487</v>
      </c>
      <c r="N667" s="72">
        <f t="shared" si="3105"/>
        <v>-16.228364417013282</v>
      </c>
      <c r="O667" s="145">
        <f>O666+O665</f>
        <v>12703</v>
      </c>
      <c r="P667" s="72">
        <f t="shared" si="3106"/>
        <v>-16.101974770490727</v>
      </c>
      <c r="Q667" s="145">
        <f>Q666+Q665</f>
        <v>8959</v>
      </c>
      <c r="R667" s="72">
        <f t="shared" si="3107"/>
        <v>-27.568922305764403</v>
      </c>
      <c r="S667" s="145">
        <f>S666+S665</f>
        <v>9865</v>
      </c>
      <c r="T667" s="72">
        <f t="shared" si="3107"/>
        <v>-29.434907010014314</v>
      </c>
      <c r="U667" s="145">
        <f>U666+U665</f>
        <v>7224</v>
      </c>
      <c r="V667" s="72">
        <f t="shared" si="3107"/>
        <v>-42.147833747096982</v>
      </c>
      <c r="W667" s="145">
        <f>W666+W665</f>
        <v>6929</v>
      </c>
      <c r="X667" s="72">
        <f t="shared" si="3107"/>
        <v>-45.453829803983311</v>
      </c>
      <c r="Y667" s="145">
        <f>Y666+Y665</f>
        <v>6476</v>
      </c>
      <c r="Z667" s="72">
        <f t="shared" si="3107"/>
        <v>-27.715146779774528</v>
      </c>
      <c r="AA667" s="145">
        <f>AA666+AA665</f>
        <v>6794</v>
      </c>
      <c r="AB667" s="72">
        <f t="shared" si="3107"/>
        <v>-31.13025848960973</v>
      </c>
      <c r="AC667" s="145">
        <f>AC666+AC665</f>
        <v>8079</v>
      </c>
      <c r="AD667" s="72">
        <f t="shared" si="3107"/>
        <v>11.83554817275747</v>
      </c>
      <c r="AE667" s="145">
        <f>AE666+AE665</f>
        <v>9447</v>
      </c>
      <c r="AF667" s="72">
        <f t="shared" si="3107"/>
        <v>36.340020204935797</v>
      </c>
      <c r="AG667" s="145">
        <f>AG666+AG665</f>
        <v>8599</v>
      </c>
      <c r="AH667" s="72">
        <f t="shared" si="3107"/>
        <v>32.782581840642365</v>
      </c>
      <c r="AI667" s="145">
        <f>AI666+AI665</f>
        <v>8423</v>
      </c>
      <c r="AJ667" s="72">
        <f t="shared" si="3107"/>
        <v>23.977038563438342</v>
      </c>
      <c r="AK667" s="145">
        <f>AK666+AK665</f>
        <v>8869</v>
      </c>
      <c r="AL667" s="72">
        <f t="shared" si="3107"/>
        <v>9.7784379254858322</v>
      </c>
      <c r="AM667" s="145">
        <f>AM666+AM665</f>
        <v>11843</v>
      </c>
      <c r="AN667" s="72">
        <f t="shared" si="3107"/>
        <v>25.362548957340962</v>
      </c>
      <c r="AO667" s="145">
        <f>AO666+AO665</f>
        <v>9773</v>
      </c>
      <c r="AP667" s="72">
        <f t="shared" si="3107"/>
        <v>13.652750319804625</v>
      </c>
      <c r="AQ667" s="145">
        <f>AQ666+AQ665</f>
        <v>12234</v>
      </c>
      <c r="AR667" s="72">
        <f t="shared" si="3108"/>
        <v>45.245162056274495</v>
      </c>
      <c r="AS667" s="145">
        <f>AS666+AS665</f>
        <v>12840</v>
      </c>
      <c r="AT667" s="72">
        <f t="shared" si="3109"/>
        <v>44.773931672116362</v>
      </c>
      <c r="AU667" s="145">
        <f>AU666+AU665</f>
        <v>12625</v>
      </c>
      <c r="AV667" s="72">
        <f t="shared" si="3110"/>
        <v>6.6030566579414085</v>
      </c>
      <c r="AW667" s="145">
        <f>AW666+AW665</f>
        <v>15967</v>
      </c>
      <c r="AX667" s="72">
        <f t="shared" si="3111"/>
        <v>63.378696408472308</v>
      </c>
      <c r="AY667" s="145">
        <f>AY666+AY665</f>
        <v>16969</v>
      </c>
      <c r="AZ667" s="72">
        <f t="shared" si="3112"/>
        <v>38.70361288213175</v>
      </c>
      <c r="BA667" s="145">
        <f>BA666+BA665</f>
        <v>17243</v>
      </c>
      <c r="BB667" s="72">
        <f t="shared" si="3113"/>
        <v>34.291277258566964</v>
      </c>
      <c r="BC667" s="145">
        <f>BC666+BC665</f>
        <v>16882</v>
      </c>
      <c r="BD667" s="72">
        <f t="shared" si="3114"/>
        <v>33.718811881188117</v>
      </c>
      <c r="BE667" s="145">
        <f>BE666+BE665</f>
        <v>20471</v>
      </c>
      <c r="BF667" s="72">
        <f t="shared" si="3115"/>
        <v>28.208179369950528</v>
      </c>
      <c r="BG667" s="145">
        <f>BG666+BG665</f>
        <v>22892</v>
      </c>
      <c r="BH667" s="72">
        <f t="shared" si="3116"/>
        <v>34.90482644822913</v>
      </c>
      <c r="BI667" s="145">
        <f>BI666+BI665</f>
        <v>20934</v>
      </c>
      <c r="BJ667" s="72">
        <f t="shared" si="3117"/>
        <v>21.40578785594154</v>
      </c>
      <c r="BK667" s="145">
        <f>BK666+BK665</f>
        <v>22390</v>
      </c>
      <c r="BL667" s="72">
        <f t="shared" si="3118"/>
        <v>32.626466058523874</v>
      </c>
      <c r="BM667" s="145">
        <f>BM666+BM665</f>
        <v>26865</v>
      </c>
      <c r="BN667" s="72">
        <f t="shared" si="3119"/>
        <v>31.234429192516245</v>
      </c>
      <c r="BO667" s="145">
        <f>BO666+BO665</f>
        <v>27015</v>
      </c>
      <c r="BP667" s="72">
        <f t="shared" si="3120"/>
        <v>18.010658745413252</v>
      </c>
      <c r="BQ667" s="145">
        <f>BQ666+BQ665</f>
        <v>28149</v>
      </c>
      <c r="BR667" s="72">
        <f t="shared" si="3121"/>
        <v>34.465462883347669</v>
      </c>
      <c r="BS667" s="145">
        <f>BS666+BS665</f>
        <v>29864</v>
      </c>
      <c r="BT667" s="72">
        <f t="shared" si="3122"/>
        <v>33.38097364895043</v>
      </c>
      <c r="BU667" s="145">
        <f>BU666+BU665</f>
        <v>28632</v>
      </c>
      <c r="BV667" s="72">
        <f t="shared" si="3123"/>
        <v>6.5773310999441605</v>
      </c>
      <c r="BW667" s="145">
        <f>BW666+BW665</f>
        <v>25563</v>
      </c>
      <c r="BX667" s="72">
        <f t="shared" si="3124"/>
        <v>-5.3747917823431521</v>
      </c>
      <c r="BY667" s="145">
        <f>BY666+BY665</f>
        <v>22874</v>
      </c>
      <c r="BZ667" s="72">
        <f t="shared" si="3125"/>
        <v>-18.739564460549218</v>
      </c>
      <c r="CA667" s="145">
        <f>CA666+CA665</f>
        <v>23191</v>
      </c>
      <c r="CB667" s="72">
        <f t="shared" si="3126"/>
        <v>-22.344628984730775</v>
      </c>
      <c r="CC667" s="145">
        <f>CC666+CC665</f>
        <v>22409</v>
      </c>
      <c r="CD667" s="72">
        <f t="shared" si="3127"/>
        <v>-21.734423023190843</v>
      </c>
      <c r="CE667" s="145">
        <f>CE666+CE665</f>
        <v>22957</v>
      </c>
      <c r="CF667" s="72">
        <f t="shared" si="3128"/>
        <v>-10.194421625004892</v>
      </c>
      <c r="CG667" s="145">
        <f>CG666+CG665</f>
        <v>22868</v>
      </c>
      <c r="CH667" s="72">
        <f t="shared" si="3129"/>
        <v>-2.6230654892017924E-2</v>
      </c>
      <c r="CI667" s="145">
        <f>CI666+CI665</f>
        <v>21640</v>
      </c>
      <c r="CJ667" s="72">
        <f t="shared" si="3130"/>
        <v>-6.687939286792286</v>
      </c>
      <c r="CK667" s="145">
        <f>CK666+CK665</f>
        <v>22366</v>
      </c>
      <c r="CL667" s="72">
        <f t="shared" si="3130"/>
        <v>-0.19188718818331552</v>
      </c>
      <c r="CM667" s="145">
        <f>CM666+CM665</f>
        <v>23196</v>
      </c>
      <c r="CN667" s="72">
        <f t="shared" si="3130"/>
        <v>1.041076795748566</v>
      </c>
      <c r="CO667" s="145">
        <f>CO666+CO665</f>
        <v>23461</v>
      </c>
      <c r="CP667" s="72">
        <f t="shared" si="3130"/>
        <v>2.593143256952942</v>
      </c>
      <c r="CQ667" s="145">
        <f>CQ666+CQ665</f>
        <v>23550</v>
      </c>
      <c r="CR667" s="72">
        <f t="shared" si="3130"/>
        <v>8.826247689463969</v>
      </c>
      <c r="CS667" s="145">
        <f>CS666+CS665</f>
        <v>23689</v>
      </c>
      <c r="CT667" s="72">
        <f t="shared" si="3130"/>
        <v>5.9152284717875432</v>
      </c>
      <c r="CU667" s="145">
        <f>CU666+CU665</f>
        <v>24765</v>
      </c>
      <c r="CV667" s="72">
        <f t="shared" si="3131"/>
        <v>6.7640972581479559</v>
      </c>
      <c r="CW667" s="145">
        <f>CW666+CW665</f>
        <v>24256</v>
      </c>
      <c r="CX667" s="72">
        <f t="shared" si="3132"/>
        <v>3.3886023613656704</v>
      </c>
      <c r="CY667" s="145">
        <f>CY666+CY665</f>
        <v>22589</v>
      </c>
      <c r="CZ667" s="72">
        <f t="shared" si="3133"/>
        <v>-4.0806794055201721</v>
      </c>
      <c r="DA667" s="145">
        <f>DA666+DA665</f>
        <v>20869</v>
      </c>
      <c r="DB667" s="72">
        <f t="shared" si="3134"/>
        <v>-11.904259360884794</v>
      </c>
      <c r="DC667" s="145">
        <f>DC666+DC665</f>
        <v>20162</v>
      </c>
      <c r="DD667" s="72">
        <f t="shared" si="3135"/>
        <v>-18.586715122148192</v>
      </c>
      <c r="DE667" s="145">
        <f>DE666+DE665</f>
        <v>19628</v>
      </c>
      <c r="DF667" s="72">
        <f t="shared" si="3136"/>
        <v>-19.079815303430081</v>
      </c>
      <c r="DG667" s="145">
        <f>DG666+DG665</f>
        <v>20126</v>
      </c>
      <c r="DH667" s="72">
        <f t="shared" si="3137"/>
        <v>-10.903537119837097</v>
      </c>
      <c r="DI667" s="145">
        <f>DI666+DI665</f>
        <v>19663</v>
      </c>
      <c r="DJ667" s="72">
        <f t="shared" si="3138"/>
        <v>-5.7789065120513641</v>
      </c>
      <c r="DK667" s="145">
        <f>DK666+DK665</f>
        <v>20025</v>
      </c>
      <c r="DL667" s="72">
        <f t="shared" si="3139"/>
        <v>-0.67949608173792342</v>
      </c>
      <c r="DM667" s="145">
        <f>DM666+DM665</f>
        <v>20733</v>
      </c>
      <c r="DN667" s="72">
        <f t="shared" si="3140"/>
        <v>5.6297126553902501</v>
      </c>
      <c r="DO667" s="145">
        <f>DO666+DO665</f>
        <v>20467</v>
      </c>
      <c r="DP667" s="72">
        <f t="shared" si="3140"/>
        <v>1.6943257477889375</v>
      </c>
      <c r="DQ667" s="145">
        <f>DQ666+DQ665</f>
        <v>16693</v>
      </c>
      <c r="DR667" s="72">
        <f t="shared" si="3140"/>
        <v>-15.104511010527389</v>
      </c>
      <c r="DS667" s="145">
        <f>DS666+DS665</f>
        <v>17832</v>
      </c>
      <c r="DT667" s="72">
        <f t="shared" si="3140"/>
        <v>-10.951310861423224</v>
      </c>
      <c r="DU667" s="145">
        <f>DU666+DU665</f>
        <v>18001</v>
      </c>
      <c r="DV667" s="72">
        <f t="shared" si="3140"/>
        <v>-13.177060724448936</v>
      </c>
      <c r="DW667" s="145">
        <f>DW666+DW665</f>
        <v>16278</v>
      </c>
      <c r="DX667" s="72">
        <f t="shared" si="3140"/>
        <v>-20.467093369814819</v>
      </c>
      <c r="DY667" s="145">
        <f>DY666+DY665</f>
        <v>15059</v>
      </c>
      <c r="DZ667" s="72">
        <f t="shared" si="3140"/>
        <v>-9.7885341160965709</v>
      </c>
      <c r="EA667" s="145">
        <f>EA666+EA665</f>
        <v>14764</v>
      </c>
      <c r="EB667" s="72">
        <f t="shared" si="3141"/>
        <v>-17.205024674742049</v>
      </c>
      <c r="EC667" s="145">
        <f>EC666+EC665</f>
        <v>13848</v>
      </c>
      <c r="ED667" s="72">
        <f t="shared" si="3142"/>
        <v>-23.070940503305366</v>
      </c>
      <c r="EE667" s="145">
        <f>EE666+EE665</f>
        <v>13849</v>
      </c>
      <c r="EF667" s="72">
        <f t="shared" si="3143"/>
        <v>-14.921980587295735</v>
      </c>
      <c r="EG667" s="145">
        <f>EG666+EG665</f>
        <v>13357</v>
      </c>
      <c r="EH667" s="72">
        <f t="shared" si="3144"/>
        <v>-11.302211302211305</v>
      </c>
      <c r="EI667" s="145">
        <f>EI666+EI665</f>
        <v>13489</v>
      </c>
      <c r="EJ667" s="72">
        <f t="shared" si="3145"/>
        <v>-8.6358710376591716</v>
      </c>
      <c r="EK667" s="145">
        <f>EK666+EK665</f>
        <v>13585</v>
      </c>
      <c r="EL667" s="72">
        <f t="shared" si="3146"/>
        <v>-1.8991912189485873</v>
      </c>
      <c r="EM667" s="145">
        <f>EM666+EM665</f>
        <v>12890</v>
      </c>
      <c r="EN667" s="72">
        <f t="shared" si="3147"/>
        <v>-6.9246877030832508</v>
      </c>
      <c r="EO667" s="145">
        <f>EO666+EO665</f>
        <v>11930</v>
      </c>
      <c r="EP667" s="72">
        <f t="shared" si="3148"/>
        <v>-10.683536722317882</v>
      </c>
      <c r="EQ667" s="144">
        <f t="shared" ref="EQ667" si="3174">EQ666+EQ665</f>
        <v>11948</v>
      </c>
      <c r="ER667" s="72">
        <f t="shared" si="3150"/>
        <v>-11.424123359774626</v>
      </c>
      <c r="ES667" s="144">
        <f t="shared" ref="ES667" si="3175">ES666+ES665</f>
        <v>11966</v>
      </c>
      <c r="ET667" s="72">
        <f t="shared" si="3152"/>
        <v>-11.917556128082438</v>
      </c>
      <c r="EU667" s="144">
        <f t="shared" ref="EU667" si="3176">EU666+EU665</f>
        <v>11984</v>
      </c>
      <c r="EV667" s="72">
        <f t="shared" si="3154"/>
        <v>-7.0287044220325896</v>
      </c>
      <c r="EW667" s="144">
        <f t="shared" ref="EW667" si="3177">EW666+EW665</f>
        <v>12002</v>
      </c>
      <c r="EX667" s="72">
        <f t="shared" si="3156"/>
        <v>0.60352053646271031</v>
      </c>
      <c r="EY667" s="72"/>
      <c r="EZ667" s="296"/>
      <c r="FA667" s="72"/>
      <c r="FB667" s="9"/>
      <c r="FC667" s="11"/>
      <c r="FD667" s="150"/>
      <c r="FE667" s="72"/>
      <c r="FF667" s="145">
        <f>FF666+FF665</f>
        <v>12369</v>
      </c>
      <c r="FG667" s="72" t="str">
        <f t="shared" si="3157"/>
        <v>NA</v>
      </c>
      <c r="FH667" s="145">
        <f>FH666+FH665</f>
        <v>8959</v>
      </c>
      <c r="FI667" s="72">
        <f t="shared" si="3158"/>
        <v>-27.568922305764403</v>
      </c>
      <c r="FJ667" s="145">
        <f>FJ666+FJ665</f>
        <v>6476</v>
      </c>
      <c r="FK667" s="72">
        <f t="shared" si="3159"/>
        <v>-27.715146779774528</v>
      </c>
      <c r="FL667" s="145">
        <f>FL666+FL665</f>
        <v>8599</v>
      </c>
      <c r="FM667" s="72">
        <f t="shared" si="3160"/>
        <v>32.782581840642365</v>
      </c>
      <c r="FN667" s="145">
        <f>FN666+FN665</f>
        <v>9773</v>
      </c>
      <c r="FO667" s="72">
        <f t="shared" si="3161"/>
        <v>13.652750319804625</v>
      </c>
      <c r="FP667" s="145">
        <f>FP666+FP665</f>
        <v>15967</v>
      </c>
      <c r="FQ667" s="72">
        <f t="shared" si="3162"/>
        <v>63.378696408472308</v>
      </c>
      <c r="FR667" s="144">
        <f>FR666+FR665</f>
        <v>20471</v>
      </c>
      <c r="FS667" s="72">
        <f t="shared" si="3163"/>
        <v>28.208179369950528</v>
      </c>
      <c r="FT667" s="144">
        <f>FT666+FT665</f>
        <v>26865</v>
      </c>
      <c r="FU667" s="72">
        <f t="shared" si="3164"/>
        <v>31.234429192516245</v>
      </c>
      <c r="FV667" s="144">
        <f>FV666+FV665</f>
        <v>28632</v>
      </c>
      <c r="FW667" s="72">
        <f t="shared" si="3165"/>
        <v>6.5773310999441605</v>
      </c>
      <c r="FX667" s="144">
        <f>FX666+FX665</f>
        <v>22409</v>
      </c>
      <c r="FY667" s="72">
        <f t="shared" si="3165"/>
        <v>-21.734423023190843</v>
      </c>
      <c r="FZ667" s="144">
        <f>FZ666+FZ665</f>
        <v>22366</v>
      </c>
      <c r="GA667" s="72">
        <f t="shared" si="3165"/>
        <v>-0.19188718818331552</v>
      </c>
      <c r="GB667" s="144">
        <f>GB666+GB665</f>
        <v>23689</v>
      </c>
      <c r="GC667" s="72">
        <f t="shared" si="3165"/>
        <v>5.9152284717875432</v>
      </c>
      <c r="GD667" s="144">
        <f>GD666+GD665</f>
        <v>20869</v>
      </c>
      <c r="GE667" s="72">
        <f t="shared" si="3165"/>
        <v>-11.904259360884794</v>
      </c>
      <c r="GF667" s="144">
        <f>GF666+GF665</f>
        <v>19663</v>
      </c>
      <c r="GG667" s="72">
        <f t="shared" si="3165"/>
        <v>-5.7789065120513641</v>
      </c>
      <c r="GH667" s="144">
        <f>GH666+GH665</f>
        <v>16693</v>
      </c>
      <c r="GI667" s="72">
        <f t="shared" si="3166"/>
        <v>-15.104511010527389</v>
      </c>
      <c r="GJ667" s="144">
        <f>GJ666+GJ665</f>
        <v>15059</v>
      </c>
      <c r="GK667" s="72">
        <f t="shared" si="3166"/>
        <v>-9.7885341160965709</v>
      </c>
      <c r="GL667" s="144">
        <f>GL666+GL665</f>
        <v>13357</v>
      </c>
      <c r="GM667" s="72">
        <f t="shared" si="3166"/>
        <v>-11.302211302211305</v>
      </c>
      <c r="GN667" s="144">
        <f>GN666+GN665</f>
        <v>11930</v>
      </c>
      <c r="GO667" s="72">
        <f t="shared" si="3166"/>
        <v>-10.683536722317882</v>
      </c>
      <c r="GP667" s="144">
        <f>GP666+GP665</f>
        <v>12002</v>
      </c>
      <c r="GQ667" s="72">
        <f t="shared" si="3166"/>
        <v>0.60352053646271031</v>
      </c>
      <c r="GR667" s="144">
        <f>GR666+GR665</f>
        <v>12077</v>
      </c>
      <c r="GS667" s="72">
        <f t="shared" si="3166"/>
        <v>0.6248958506915443</v>
      </c>
      <c r="GT667" s="144">
        <f>GT666+GT665</f>
        <v>12152</v>
      </c>
      <c r="GU667" s="72">
        <f t="shared" si="3166"/>
        <v>0.62101515276972918</v>
      </c>
      <c r="GV667" s="144">
        <f>GV666+GV665</f>
        <v>12227</v>
      </c>
      <c r="GW667" s="72">
        <f t="shared" si="3167"/>
        <v>0.61718235681370004</v>
      </c>
      <c r="GX667" s="144">
        <f>GX666+GX665</f>
        <v>12302</v>
      </c>
      <c r="GY667" s="72">
        <f t="shared" si="3168"/>
        <v>0.61339658133638864</v>
      </c>
      <c r="GZ667" s="72">
        <f t="shared" si="3169"/>
        <v>0.61600182904870682</v>
      </c>
      <c r="HA667" s="72"/>
      <c r="HB667" s="72"/>
      <c r="HC667"/>
      <c r="HD667"/>
      <c r="HE667"/>
      <c r="HF667"/>
      <c r="HG667"/>
      <c r="HH667"/>
      <c r="HI667" s="2"/>
    </row>
    <row r="668" spans="1:217" s="3" customFormat="1" ht="12.75" customHeight="1" x14ac:dyDescent="0.2">
      <c r="A668" s="3" t="s">
        <v>232</v>
      </c>
      <c r="B668" s="4" t="s">
        <v>666</v>
      </c>
      <c r="C668" s="170">
        <v>0</v>
      </c>
      <c r="D668" s="150"/>
      <c r="E668" s="170">
        <v>0</v>
      </c>
      <c r="F668" s="11"/>
      <c r="G668" s="170">
        <v>0</v>
      </c>
      <c r="H668" s="11"/>
      <c r="I668" s="170">
        <v>0</v>
      </c>
      <c r="J668" s="11"/>
      <c r="K668" s="170">
        <v>0</v>
      </c>
      <c r="L668" s="72" t="str">
        <f t="shared" si="3104"/>
        <v>NA</v>
      </c>
      <c r="M668" s="170">
        <v>0</v>
      </c>
      <c r="N668" s="72" t="str">
        <f t="shared" si="3105"/>
        <v>NA</v>
      </c>
      <c r="O668" s="170">
        <v>0</v>
      </c>
      <c r="P668" s="72" t="str">
        <f t="shared" si="3106"/>
        <v>NA</v>
      </c>
      <c r="Q668" s="170">
        <v>690</v>
      </c>
      <c r="R668" s="72" t="str">
        <f t="shared" si="3107"/>
        <v>NA</v>
      </c>
      <c r="S668" s="170">
        <v>690</v>
      </c>
      <c r="T668" s="72" t="str">
        <f t="shared" si="3107"/>
        <v>NA</v>
      </c>
      <c r="U668" s="170">
        <v>690</v>
      </c>
      <c r="V668" s="72" t="str">
        <f t="shared" si="3107"/>
        <v>NA</v>
      </c>
      <c r="W668" s="170">
        <v>690</v>
      </c>
      <c r="X668" s="72" t="str">
        <f t="shared" si="3107"/>
        <v>NA</v>
      </c>
      <c r="Y668" s="170">
        <v>690</v>
      </c>
      <c r="Z668" s="72">
        <f t="shared" si="3107"/>
        <v>0</v>
      </c>
      <c r="AA668" s="170">
        <v>690</v>
      </c>
      <c r="AB668" s="72">
        <f t="shared" si="3107"/>
        <v>0</v>
      </c>
      <c r="AC668" s="170">
        <v>690</v>
      </c>
      <c r="AD668" s="72">
        <f t="shared" si="3107"/>
        <v>0</v>
      </c>
      <c r="AE668" s="170">
        <v>0</v>
      </c>
      <c r="AF668" s="72" t="str">
        <f t="shared" si="3107"/>
        <v>NM</v>
      </c>
      <c r="AG668" s="170">
        <v>0</v>
      </c>
      <c r="AH668" s="72" t="str">
        <f t="shared" si="3107"/>
        <v>NM</v>
      </c>
      <c r="AI668" s="170">
        <v>0</v>
      </c>
      <c r="AJ668" s="72" t="str">
        <f t="shared" si="3107"/>
        <v>NM</v>
      </c>
      <c r="AK668" s="170">
        <v>0</v>
      </c>
      <c r="AL668" s="72" t="str">
        <f t="shared" si="3107"/>
        <v>NM</v>
      </c>
      <c r="AM668" s="170">
        <v>0</v>
      </c>
      <c r="AN668" s="72" t="str">
        <f t="shared" si="3107"/>
        <v>NA</v>
      </c>
      <c r="AO668" s="170">
        <v>0</v>
      </c>
      <c r="AP668" s="72" t="str">
        <f t="shared" si="3107"/>
        <v>NA</v>
      </c>
      <c r="AQ668" s="170">
        <v>0</v>
      </c>
      <c r="AR668" s="72" t="str">
        <f t="shared" si="3108"/>
        <v>NA</v>
      </c>
      <c r="AS668" s="170">
        <v>0</v>
      </c>
      <c r="AT668" s="72" t="str">
        <f t="shared" si="3109"/>
        <v>NA</v>
      </c>
      <c r="AU668" s="170">
        <v>0</v>
      </c>
      <c r="AV668" s="72" t="str">
        <f t="shared" si="3110"/>
        <v>NA</v>
      </c>
      <c r="AW668" s="170">
        <v>0</v>
      </c>
      <c r="AX668" s="72" t="str">
        <f t="shared" si="3111"/>
        <v>NA</v>
      </c>
      <c r="AY668" s="170">
        <v>0</v>
      </c>
      <c r="AZ668" s="72" t="str">
        <f t="shared" si="3112"/>
        <v>NA</v>
      </c>
      <c r="BA668" s="170">
        <v>0</v>
      </c>
      <c r="BB668" s="72" t="str">
        <f t="shared" si="3113"/>
        <v>NA</v>
      </c>
      <c r="BC668" s="170">
        <v>0</v>
      </c>
      <c r="BD668" s="72" t="str">
        <f t="shared" si="3114"/>
        <v>NA</v>
      </c>
      <c r="BE668" s="170">
        <v>0</v>
      </c>
      <c r="BF668" s="72" t="str">
        <f t="shared" si="3115"/>
        <v>NA</v>
      </c>
      <c r="BG668" s="170">
        <v>0</v>
      </c>
      <c r="BH668" s="72" t="str">
        <f t="shared" si="3116"/>
        <v>NA</v>
      </c>
      <c r="BI668" s="170">
        <v>0</v>
      </c>
      <c r="BJ668" s="72" t="str">
        <f t="shared" si="3117"/>
        <v>NA</v>
      </c>
      <c r="BK668" s="170">
        <v>0</v>
      </c>
      <c r="BL668" s="72" t="str">
        <f t="shared" si="3118"/>
        <v>NA</v>
      </c>
      <c r="BM668" s="170">
        <v>0</v>
      </c>
      <c r="BN668" s="72" t="str">
        <f t="shared" si="3119"/>
        <v>NA</v>
      </c>
      <c r="BO668" s="170">
        <v>0</v>
      </c>
      <c r="BP668" s="72" t="str">
        <f t="shared" si="3120"/>
        <v>NA</v>
      </c>
      <c r="BQ668" s="170">
        <v>0</v>
      </c>
      <c r="BR668" s="72" t="str">
        <f t="shared" si="3121"/>
        <v>NA</v>
      </c>
      <c r="BS668" s="170">
        <v>0</v>
      </c>
      <c r="BT668" s="72" t="str">
        <f t="shared" si="3122"/>
        <v>NA</v>
      </c>
      <c r="BU668" s="170">
        <v>0</v>
      </c>
      <c r="BV668" s="72" t="str">
        <f t="shared" si="3123"/>
        <v>NA</v>
      </c>
      <c r="BW668" s="170">
        <v>0</v>
      </c>
      <c r="BX668" s="72" t="str">
        <f t="shared" si="3124"/>
        <v>NA</v>
      </c>
      <c r="BY668" s="170">
        <v>0</v>
      </c>
      <c r="BZ668" s="72" t="str">
        <f t="shared" si="3125"/>
        <v>NA</v>
      </c>
      <c r="CA668" s="170">
        <v>0</v>
      </c>
      <c r="CB668" s="72" t="str">
        <f t="shared" si="3126"/>
        <v>NA</v>
      </c>
      <c r="CC668" s="170">
        <v>0</v>
      </c>
      <c r="CD668" s="72" t="str">
        <f t="shared" si="3127"/>
        <v>NA</v>
      </c>
      <c r="CE668" s="170">
        <v>0</v>
      </c>
      <c r="CF668" s="72" t="str">
        <f t="shared" si="3128"/>
        <v>NA</v>
      </c>
      <c r="CG668" s="170">
        <v>0</v>
      </c>
      <c r="CH668" s="72" t="str">
        <f t="shared" si="3129"/>
        <v>NA</v>
      </c>
      <c r="CI668" s="170">
        <v>0</v>
      </c>
      <c r="CJ668" s="72" t="str">
        <f t="shared" si="3130"/>
        <v>NA</v>
      </c>
      <c r="CK668" s="170">
        <v>0</v>
      </c>
      <c r="CL668" s="72" t="str">
        <f t="shared" si="3130"/>
        <v>NA</v>
      </c>
      <c r="CM668" s="170">
        <v>0</v>
      </c>
      <c r="CN668" s="72" t="str">
        <f t="shared" si="3130"/>
        <v>NA</v>
      </c>
      <c r="CO668" s="170">
        <v>0</v>
      </c>
      <c r="CP668" s="72" t="str">
        <f t="shared" si="3130"/>
        <v>NA</v>
      </c>
      <c r="CQ668" s="170">
        <v>0</v>
      </c>
      <c r="CR668" s="72" t="str">
        <f t="shared" si="3130"/>
        <v>NA</v>
      </c>
      <c r="CS668" s="170">
        <v>0</v>
      </c>
      <c r="CT668" s="72" t="str">
        <f t="shared" si="3130"/>
        <v>NA</v>
      </c>
      <c r="CU668" s="170">
        <v>0</v>
      </c>
      <c r="CV668" s="72" t="str">
        <f t="shared" si="3131"/>
        <v>NA</v>
      </c>
      <c r="CW668" s="170">
        <v>0</v>
      </c>
      <c r="CX668" s="72" t="str">
        <f t="shared" si="3132"/>
        <v>NA</v>
      </c>
      <c r="CY668" s="170">
        <v>0</v>
      </c>
      <c r="CZ668" s="72" t="str">
        <f t="shared" si="3133"/>
        <v>NA</v>
      </c>
      <c r="DA668" s="170">
        <v>0</v>
      </c>
      <c r="DB668" s="72" t="str">
        <f t="shared" si="3134"/>
        <v>NA</v>
      </c>
      <c r="DC668" s="170">
        <v>0</v>
      </c>
      <c r="DD668" s="72" t="str">
        <f t="shared" si="3135"/>
        <v>NA</v>
      </c>
      <c r="DE668" s="170">
        <v>0</v>
      </c>
      <c r="DF668" s="72" t="str">
        <f t="shared" si="3136"/>
        <v>NA</v>
      </c>
      <c r="DG668" s="170">
        <v>0</v>
      </c>
      <c r="DH668" s="72" t="str">
        <f t="shared" si="3137"/>
        <v>NA</v>
      </c>
      <c r="DI668" s="170">
        <v>0</v>
      </c>
      <c r="DJ668" s="72" t="str">
        <f t="shared" si="3138"/>
        <v>NA</v>
      </c>
      <c r="DK668" s="170">
        <v>0</v>
      </c>
      <c r="DL668" s="72" t="str">
        <f t="shared" si="3139"/>
        <v>NA</v>
      </c>
      <c r="DM668" s="170">
        <v>0</v>
      </c>
      <c r="DN668" s="72" t="str">
        <f t="shared" si="3140"/>
        <v>NA</v>
      </c>
      <c r="DO668" s="170">
        <v>0</v>
      </c>
      <c r="DP668" s="72" t="str">
        <f t="shared" si="3140"/>
        <v>NA</v>
      </c>
      <c r="DQ668" s="170">
        <v>0</v>
      </c>
      <c r="DR668" s="72" t="str">
        <f t="shared" si="3140"/>
        <v>NA</v>
      </c>
      <c r="DS668" s="170">
        <v>0</v>
      </c>
      <c r="DT668" s="72" t="str">
        <f t="shared" si="3140"/>
        <v>NA</v>
      </c>
      <c r="DU668" s="170">
        <v>0</v>
      </c>
      <c r="DV668" s="72" t="str">
        <f t="shared" si="3140"/>
        <v>NA</v>
      </c>
      <c r="DW668" s="170">
        <v>0</v>
      </c>
      <c r="DX668" s="72" t="str">
        <f t="shared" si="3140"/>
        <v>NA</v>
      </c>
      <c r="DY668" s="170">
        <v>0</v>
      </c>
      <c r="DZ668" s="72" t="str">
        <f t="shared" si="3140"/>
        <v>NA</v>
      </c>
      <c r="EA668" s="170">
        <v>0</v>
      </c>
      <c r="EB668" s="72" t="str">
        <f t="shared" si="3141"/>
        <v>NA</v>
      </c>
      <c r="EC668" s="170">
        <v>0</v>
      </c>
      <c r="ED668" s="72" t="str">
        <f t="shared" si="3142"/>
        <v>NA</v>
      </c>
      <c r="EE668" s="170">
        <v>0</v>
      </c>
      <c r="EF668" s="72" t="str">
        <f t="shared" si="3143"/>
        <v>NA</v>
      </c>
      <c r="EG668" s="170">
        <f>EE668</f>
        <v>0</v>
      </c>
      <c r="EH668" s="72" t="str">
        <f t="shared" si="3144"/>
        <v>NA</v>
      </c>
      <c r="EI668" s="170">
        <f>EG668</f>
        <v>0</v>
      </c>
      <c r="EJ668" s="72" t="str">
        <f t="shared" si="3145"/>
        <v>NA</v>
      </c>
      <c r="EK668" s="170">
        <f>EI668</f>
        <v>0</v>
      </c>
      <c r="EL668" s="72" t="str">
        <f t="shared" si="3146"/>
        <v>NA</v>
      </c>
      <c r="EM668" s="170">
        <f>EK668</f>
        <v>0</v>
      </c>
      <c r="EN668" s="72" t="str">
        <f t="shared" si="3147"/>
        <v>NA</v>
      </c>
      <c r="EO668" s="170">
        <v>0</v>
      </c>
      <c r="EP668" s="72" t="str">
        <f t="shared" si="3148"/>
        <v>NA</v>
      </c>
      <c r="EQ668" s="170">
        <f t="shared" ref="EQ668" si="3178">EO668</f>
        <v>0</v>
      </c>
      <c r="ER668" s="72" t="str">
        <f t="shared" si="3150"/>
        <v>NA</v>
      </c>
      <c r="ES668" s="170">
        <f t="shared" ref="ES668" si="3179">EQ668</f>
        <v>0</v>
      </c>
      <c r="ET668" s="72" t="str">
        <f t="shared" si="3152"/>
        <v>NA</v>
      </c>
      <c r="EU668" s="170">
        <f t="shared" ref="EU668" si="3180">ES668</f>
        <v>0</v>
      </c>
      <c r="EV668" s="72" t="str">
        <f t="shared" si="3154"/>
        <v>NA</v>
      </c>
      <c r="EW668" s="170">
        <f t="shared" ref="EW668" si="3181">EU668</f>
        <v>0</v>
      </c>
      <c r="EX668" s="72" t="str">
        <f t="shared" si="3156"/>
        <v>NA</v>
      </c>
      <c r="EY668" s="72"/>
      <c r="EZ668" s="320"/>
      <c r="FA668" s="72"/>
      <c r="FB668" s="171"/>
      <c r="FC668" s="82"/>
      <c r="FD668" s="170"/>
      <c r="FE668" s="72"/>
      <c r="FF668" s="170">
        <v>0</v>
      </c>
      <c r="FG668" s="72" t="str">
        <f t="shared" si="3157"/>
        <v>NA</v>
      </c>
      <c r="FH668" s="171">
        <f>Q668</f>
        <v>690</v>
      </c>
      <c r="FI668" s="72" t="str">
        <f t="shared" si="3158"/>
        <v>NA</v>
      </c>
      <c r="FJ668" s="171">
        <f>Y668</f>
        <v>690</v>
      </c>
      <c r="FK668" s="72">
        <f t="shared" si="3159"/>
        <v>0</v>
      </c>
      <c r="FL668" s="171">
        <f>AG668</f>
        <v>0</v>
      </c>
      <c r="FM668" s="72" t="str">
        <f t="shared" si="3160"/>
        <v>NM</v>
      </c>
      <c r="FN668" s="171">
        <f>AO668</f>
        <v>0</v>
      </c>
      <c r="FO668" s="72" t="str">
        <f t="shared" si="3161"/>
        <v>NA</v>
      </c>
      <c r="FP668" s="171">
        <f>AW668</f>
        <v>0</v>
      </c>
      <c r="FQ668" s="72" t="str">
        <f t="shared" si="3162"/>
        <v>NA</v>
      </c>
      <c r="FR668" s="171">
        <f>BE668</f>
        <v>0</v>
      </c>
      <c r="FS668" s="72" t="str">
        <f t="shared" si="3163"/>
        <v>NA</v>
      </c>
      <c r="FT668" s="171">
        <f>BM668</f>
        <v>0</v>
      </c>
      <c r="FU668" s="72" t="str">
        <f t="shared" si="3164"/>
        <v>NA</v>
      </c>
      <c r="FV668" s="171">
        <f>BU668</f>
        <v>0</v>
      </c>
      <c r="FW668" s="72" t="str">
        <f t="shared" si="3165"/>
        <v>NA</v>
      </c>
      <c r="FX668" s="171">
        <f>CC668</f>
        <v>0</v>
      </c>
      <c r="FY668" s="72" t="str">
        <f t="shared" si="3165"/>
        <v>NA</v>
      </c>
      <c r="FZ668" s="171">
        <f>CK668</f>
        <v>0</v>
      </c>
      <c r="GA668" s="72" t="str">
        <f t="shared" si="3165"/>
        <v>NA</v>
      </c>
      <c r="GB668" s="171">
        <f>CS668</f>
        <v>0</v>
      </c>
      <c r="GC668" s="72" t="str">
        <f t="shared" si="3165"/>
        <v>NA</v>
      </c>
      <c r="GD668" s="171">
        <f>DA668</f>
        <v>0</v>
      </c>
      <c r="GE668" s="72" t="str">
        <f t="shared" si="3165"/>
        <v>NA</v>
      </c>
      <c r="GF668" s="171">
        <f>DI668</f>
        <v>0</v>
      </c>
      <c r="GG668" s="72" t="str">
        <f t="shared" si="3165"/>
        <v>NA</v>
      </c>
      <c r="GH668" s="171">
        <f>DQ668</f>
        <v>0</v>
      </c>
      <c r="GI668" s="72" t="str">
        <f t="shared" si="3166"/>
        <v>NA</v>
      </c>
      <c r="GJ668" s="171">
        <f>DY668</f>
        <v>0</v>
      </c>
      <c r="GK668" s="72" t="str">
        <f t="shared" si="3166"/>
        <v>NA</v>
      </c>
      <c r="GL668" s="171">
        <f>EG668</f>
        <v>0</v>
      </c>
      <c r="GM668" s="72" t="str">
        <f t="shared" si="3166"/>
        <v>NA</v>
      </c>
      <c r="GN668" s="171">
        <f>EO668</f>
        <v>0</v>
      </c>
      <c r="GO668" s="72" t="str">
        <f t="shared" si="3166"/>
        <v>NA</v>
      </c>
      <c r="GP668" s="171">
        <f>EW668</f>
        <v>0</v>
      </c>
      <c r="GQ668" s="72" t="str">
        <f t="shared" si="3166"/>
        <v>NA</v>
      </c>
      <c r="GR668" s="170">
        <f>GP668</f>
        <v>0</v>
      </c>
      <c r="GS668" s="72" t="str">
        <f t="shared" si="3166"/>
        <v>NA</v>
      </c>
      <c r="GT668" s="170">
        <f>GR668</f>
        <v>0</v>
      </c>
      <c r="GU668" s="72" t="str">
        <f t="shared" si="3166"/>
        <v>NA</v>
      </c>
      <c r="GV668" s="170">
        <f>GT668</f>
        <v>0</v>
      </c>
      <c r="GW668" s="72" t="str">
        <f t="shared" si="3167"/>
        <v>NA</v>
      </c>
      <c r="GX668" s="170">
        <f>GV668</f>
        <v>0</v>
      </c>
      <c r="GY668" s="72" t="str">
        <f t="shared" si="3168"/>
        <v>NA</v>
      </c>
      <c r="GZ668" s="72" t="str">
        <f t="shared" si="3169"/>
        <v>NA</v>
      </c>
      <c r="HA668" s="72"/>
      <c r="HB668" s="72"/>
      <c r="HC668"/>
      <c r="HD668"/>
      <c r="HE668"/>
      <c r="HF668"/>
      <c r="HG668"/>
      <c r="HH668"/>
      <c r="HI668" s="2"/>
    </row>
    <row r="669" spans="1:217" s="3" customFormat="1" ht="12.75" customHeight="1" x14ac:dyDescent="0.2">
      <c r="B669" s="18" t="s">
        <v>17</v>
      </c>
      <c r="C669" s="145">
        <f>C667+C668</f>
        <v>14906</v>
      </c>
      <c r="D669" s="145"/>
      <c r="E669" s="145">
        <f>E667+E668</f>
        <v>14906</v>
      </c>
      <c r="F669" s="11"/>
      <c r="G669" s="145">
        <f>G667+G668</f>
        <v>15141</v>
      </c>
      <c r="H669" s="11"/>
      <c r="I669" s="145">
        <f>I667+I668</f>
        <v>12369</v>
      </c>
      <c r="J669" s="11"/>
      <c r="K669" s="145">
        <f>K667+K668</f>
        <v>13980</v>
      </c>
      <c r="L669" s="72">
        <f t="shared" si="3104"/>
        <v>-6.2122635180464272</v>
      </c>
      <c r="M669" s="145">
        <f>M667+M668</f>
        <v>12487</v>
      </c>
      <c r="N669" s="72">
        <f t="shared" si="3105"/>
        <v>-16.228364417013282</v>
      </c>
      <c r="O669" s="145">
        <f>O667+O668</f>
        <v>12703</v>
      </c>
      <c r="P669" s="72">
        <f t="shared" si="3106"/>
        <v>-16.101974770490727</v>
      </c>
      <c r="Q669" s="145">
        <f>Q667+Q668</f>
        <v>9649</v>
      </c>
      <c r="R669" s="72">
        <f t="shared" si="3107"/>
        <v>-21.990460021020297</v>
      </c>
      <c r="S669" s="145">
        <f>S667+S668</f>
        <v>10555</v>
      </c>
      <c r="T669" s="72">
        <f t="shared" si="3107"/>
        <v>-24.499284692417746</v>
      </c>
      <c r="U669" s="145">
        <f>U667+U668</f>
        <v>7914</v>
      </c>
      <c r="V669" s="72">
        <f t="shared" si="3107"/>
        <v>-36.62208697044926</v>
      </c>
      <c r="W669" s="145">
        <f>W667+W668</f>
        <v>7619</v>
      </c>
      <c r="X669" s="72">
        <f t="shared" si="3107"/>
        <v>-40.022042037314023</v>
      </c>
      <c r="Y669" s="145">
        <f>Y667+Y668</f>
        <v>7166</v>
      </c>
      <c r="Z669" s="72">
        <f t="shared" si="3107"/>
        <v>-25.733236604829514</v>
      </c>
      <c r="AA669" s="145">
        <f>AA667+AA668</f>
        <v>7484</v>
      </c>
      <c r="AB669" s="72">
        <f t="shared" si="3107"/>
        <v>-29.095215537659882</v>
      </c>
      <c r="AC669" s="145">
        <f>AC667+AC668</f>
        <v>8769</v>
      </c>
      <c r="AD669" s="72">
        <f t="shared" si="3107"/>
        <v>10.803639120545867</v>
      </c>
      <c r="AE669" s="145">
        <f>AE667+AE668</f>
        <v>9447</v>
      </c>
      <c r="AF669" s="72">
        <f t="shared" si="3107"/>
        <v>23.992649954062202</v>
      </c>
      <c r="AG669" s="145">
        <f>AG667+AG668</f>
        <v>8599</v>
      </c>
      <c r="AH669" s="72">
        <f t="shared" si="3107"/>
        <v>19.997209042701641</v>
      </c>
      <c r="AI669" s="145">
        <f>AI667+AI668</f>
        <v>8423</v>
      </c>
      <c r="AJ669" s="72">
        <f t="shared" si="3107"/>
        <v>12.546766435061471</v>
      </c>
      <c r="AK669" s="145">
        <f>AK667+AK668</f>
        <v>8869</v>
      </c>
      <c r="AL669" s="72">
        <f t="shared" si="3107"/>
        <v>1.1403808872163239</v>
      </c>
      <c r="AM669" s="145">
        <f>AM667+AM668</f>
        <v>11843</v>
      </c>
      <c r="AN669" s="72">
        <f t="shared" si="3107"/>
        <v>25.362548957340962</v>
      </c>
      <c r="AO669" s="145">
        <f>AO667+AO668</f>
        <v>9773</v>
      </c>
      <c r="AP669" s="72">
        <f t="shared" si="3107"/>
        <v>13.652750319804625</v>
      </c>
      <c r="AQ669" s="145">
        <f>AQ667+AQ668</f>
        <v>12234</v>
      </c>
      <c r="AR669" s="72">
        <f t="shared" si="3108"/>
        <v>45.245162056274495</v>
      </c>
      <c r="AS669" s="145">
        <f>AS667+AS668</f>
        <v>12840</v>
      </c>
      <c r="AT669" s="72">
        <f t="shared" si="3109"/>
        <v>44.773931672116362</v>
      </c>
      <c r="AU669" s="145">
        <f>AU667+AU668</f>
        <v>12625</v>
      </c>
      <c r="AV669" s="72">
        <f t="shared" si="3110"/>
        <v>6.6030566579414085</v>
      </c>
      <c r="AW669" s="145">
        <f>AW667+AW668</f>
        <v>15967</v>
      </c>
      <c r="AX669" s="72">
        <f t="shared" si="3111"/>
        <v>63.378696408472308</v>
      </c>
      <c r="AY669" s="145">
        <f>AY667+AY668</f>
        <v>16969</v>
      </c>
      <c r="AZ669" s="72">
        <f t="shared" si="3112"/>
        <v>38.70361288213175</v>
      </c>
      <c r="BA669" s="145">
        <f>BA667+BA668</f>
        <v>17243</v>
      </c>
      <c r="BB669" s="72">
        <f t="shared" si="3113"/>
        <v>34.291277258566964</v>
      </c>
      <c r="BC669" s="145">
        <f>BC667+BC668</f>
        <v>16882</v>
      </c>
      <c r="BD669" s="72">
        <f t="shared" si="3114"/>
        <v>33.718811881188117</v>
      </c>
      <c r="BE669" s="145">
        <f>BE667+BE668</f>
        <v>20471</v>
      </c>
      <c r="BF669" s="72">
        <f t="shared" si="3115"/>
        <v>28.208179369950528</v>
      </c>
      <c r="BG669" s="145">
        <f>BG667+BG668</f>
        <v>22892</v>
      </c>
      <c r="BH669" s="72">
        <f t="shared" si="3116"/>
        <v>34.90482644822913</v>
      </c>
      <c r="BI669" s="145">
        <f>BI667+BI668</f>
        <v>20934</v>
      </c>
      <c r="BJ669" s="72">
        <f t="shared" si="3117"/>
        <v>21.40578785594154</v>
      </c>
      <c r="BK669" s="145">
        <f>BK667+BK668</f>
        <v>22390</v>
      </c>
      <c r="BL669" s="72">
        <f t="shared" si="3118"/>
        <v>32.626466058523874</v>
      </c>
      <c r="BM669" s="145">
        <f>BM667+BM668</f>
        <v>26865</v>
      </c>
      <c r="BN669" s="72">
        <f t="shared" si="3119"/>
        <v>31.234429192516245</v>
      </c>
      <c r="BO669" s="145">
        <f>BO667+BO668</f>
        <v>27015</v>
      </c>
      <c r="BP669" s="72">
        <f t="shared" si="3120"/>
        <v>18.010658745413252</v>
      </c>
      <c r="BQ669" s="145">
        <f>BQ667+BQ668</f>
        <v>28149</v>
      </c>
      <c r="BR669" s="72">
        <f t="shared" si="3121"/>
        <v>34.465462883347669</v>
      </c>
      <c r="BS669" s="145">
        <f>BS667+BS668</f>
        <v>29864</v>
      </c>
      <c r="BT669" s="72">
        <f t="shared" si="3122"/>
        <v>33.38097364895043</v>
      </c>
      <c r="BU669" s="145">
        <f>BU667+BU668</f>
        <v>28632</v>
      </c>
      <c r="BV669" s="72">
        <f t="shared" si="3123"/>
        <v>6.5773310999441605</v>
      </c>
      <c r="BW669" s="145">
        <f>BW667+BW668</f>
        <v>25563</v>
      </c>
      <c r="BX669" s="72">
        <f t="shared" si="3124"/>
        <v>-5.3747917823431521</v>
      </c>
      <c r="BY669" s="145">
        <f>BY667+BY668</f>
        <v>22874</v>
      </c>
      <c r="BZ669" s="72">
        <f t="shared" si="3125"/>
        <v>-18.739564460549218</v>
      </c>
      <c r="CA669" s="145">
        <f>CA667+CA668</f>
        <v>23191</v>
      </c>
      <c r="CB669" s="72">
        <f t="shared" si="3126"/>
        <v>-22.344628984730775</v>
      </c>
      <c r="CC669" s="145">
        <f>CC667+CC668</f>
        <v>22409</v>
      </c>
      <c r="CD669" s="72">
        <f t="shared" si="3127"/>
        <v>-21.734423023190843</v>
      </c>
      <c r="CE669" s="145">
        <f>CE667+CE668</f>
        <v>22957</v>
      </c>
      <c r="CF669" s="72">
        <f t="shared" si="3128"/>
        <v>-10.194421625004892</v>
      </c>
      <c r="CG669" s="145">
        <f>CG667+CG668</f>
        <v>22868</v>
      </c>
      <c r="CH669" s="72">
        <f t="shared" si="3129"/>
        <v>-2.6230654892017924E-2</v>
      </c>
      <c r="CI669" s="145">
        <f>CI667+CI668</f>
        <v>21640</v>
      </c>
      <c r="CJ669" s="72">
        <f t="shared" si="3130"/>
        <v>-6.687939286792286</v>
      </c>
      <c r="CK669" s="145">
        <f>CK667+CK668</f>
        <v>22366</v>
      </c>
      <c r="CL669" s="72">
        <f t="shared" si="3130"/>
        <v>-0.19188718818331552</v>
      </c>
      <c r="CM669" s="145">
        <f>CM667+CM668</f>
        <v>23196</v>
      </c>
      <c r="CN669" s="72">
        <f t="shared" si="3130"/>
        <v>1.041076795748566</v>
      </c>
      <c r="CO669" s="145">
        <f>CO667+CO668</f>
        <v>23461</v>
      </c>
      <c r="CP669" s="72">
        <f t="shared" si="3130"/>
        <v>2.593143256952942</v>
      </c>
      <c r="CQ669" s="145">
        <f>CQ667+CQ668</f>
        <v>23550</v>
      </c>
      <c r="CR669" s="72">
        <f t="shared" si="3130"/>
        <v>8.826247689463969</v>
      </c>
      <c r="CS669" s="145">
        <f>CS667+CS668</f>
        <v>23689</v>
      </c>
      <c r="CT669" s="72">
        <f t="shared" si="3130"/>
        <v>5.9152284717875432</v>
      </c>
      <c r="CU669" s="145">
        <f>CU667+CU668</f>
        <v>24765</v>
      </c>
      <c r="CV669" s="72">
        <f t="shared" si="3131"/>
        <v>6.7640972581479559</v>
      </c>
      <c r="CW669" s="145">
        <f>CW667+CW668</f>
        <v>24256</v>
      </c>
      <c r="CX669" s="72">
        <f t="shared" si="3132"/>
        <v>3.3886023613656704</v>
      </c>
      <c r="CY669" s="145">
        <f>CY667+CY668</f>
        <v>22589</v>
      </c>
      <c r="CZ669" s="72">
        <f t="shared" si="3133"/>
        <v>-4.0806794055201721</v>
      </c>
      <c r="DA669" s="145">
        <f>DA667+DA668</f>
        <v>20869</v>
      </c>
      <c r="DB669" s="72">
        <f t="shared" si="3134"/>
        <v>-11.904259360884794</v>
      </c>
      <c r="DC669" s="145">
        <f>DC667+DC668</f>
        <v>20162</v>
      </c>
      <c r="DD669" s="72">
        <f t="shared" si="3135"/>
        <v>-18.586715122148192</v>
      </c>
      <c r="DE669" s="145">
        <f>DE667+DE668</f>
        <v>19628</v>
      </c>
      <c r="DF669" s="72">
        <f t="shared" si="3136"/>
        <v>-19.079815303430081</v>
      </c>
      <c r="DG669" s="145">
        <f>DG667+DG668</f>
        <v>20126</v>
      </c>
      <c r="DH669" s="72">
        <f t="shared" si="3137"/>
        <v>-10.903537119837097</v>
      </c>
      <c r="DI669" s="145">
        <f>DI667+DI668</f>
        <v>19663</v>
      </c>
      <c r="DJ669" s="72">
        <f t="shared" si="3138"/>
        <v>-5.7789065120513641</v>
      </c>
      <c r="DK669" s="145">
        <f>DK667+DK668</f>
        <v>20025</v>
      </c>
      <c r="DL669" s="72">
        <f t="shared" si="3139"/>
        <v>-0.67949608173792342</v>
      </c>
      <c r="DM669" s="145">
        <f>DM667+DM668</f>
        <v>20733</v>
      </c>
      <c r="DN669" s="72">
        <f t="shared" si="3140"/>
        <v>5.6297126553902501</v>
      </c>
      <c r="DO669" s="145">
        <f>DO667+DO668</f>
        <v>20467</v>
      </c>
      <c r="DP669" s="72">
        <f t="shared" si="3140"/>
        <v>1.6943257477889375</v>
      </c>
      <c r="DQ669" s="145">
        <f>DQ667+DQ668</f>
        <v>16693</v>
      </c>
      <c r="DR669" s="72">
        <f t="shared" si="3140"/>
        <v>-15.104511010527389</v>
      </c>
      <c r="DS669" s="145">
        <f>DS667+DS668</f>
        <v>17832</v>
      </c>
      <c r="DT669" s="72">
        <f t="shared" si="3140"/>
        <v>-10.951310861423224</v>
      </c>
      <c r="DU669" s="145">
        <f>DU667+DU668</f>
        <v>18001</v>
      </c>
      <c r="DV669" s="72">
        <f t="shared" si="3140"/>
        <v>-13.177060724448936</v>
      </c>
      <c r="DW669" s="145">
        <f>DW667+DW668</f>
        <v>16278</v>
      </c>
      <c r="DX669" s="72">
        <f t="shared" si="3140"/>
        <v>-20.467093369814819</v>
      </c>
      <c r="DY669" s="145">
        <f>DY667+DY668</f>
        <v>15059</v>
      </c>
      <c r="DZ669" s="72">
        <f t="shared" si="3140"/>
        <v>-9.7885341160965709</v>
      </c>
      <c r="EA669" s="145">
        <f>EA667+EA668</f>
        <v>14764</v>
      </c>
      <c r="EB669" s="72">
        <f t="shared" si="3141"/>
        <v>-17.205024674742049</v>
      </c>
      <c r="EC669" s="145">
        <f>EC667+EC668</f>
        <v>13848</v>
      </c>
      <c r="ED669" s="72">
        <f t="shared" si="3142"/>
        <v>-23.070940503305366</v>
      </c>
      <c r="EE669" s="145">
        <f>EE667+EE668</f>
        <v>13849</v>
      </c>
      <c r="EF669" s="72">
        <f t="shared" si="3143"/>
        <v>-14.921980587295735</v>
      </c>
      <c r="EG669" s="145">
        <f>EG667+EG668</f>
        <v>13357</v>
      </c>
      <c r="EH669" s="72">
        <f t="shared" si="3144"/>
        <v>-11.302211302211305</v>
      </c>
      <c r="EI669" s="145">
        <f>EI667+EI668</f>
        <v>13489</v>
      </c>
      <c r="EJ669" s="72">
        <f t="shared" si="3145"/>
        <v>-8.6358710376591716</v>
      </c>
      <c r="EK669" s="145">
        <f>EK667+EK668</f>
        <v>13585</v>
      </c>
      <c r="EL669" s="72">
        <f t="shared" si="3146"/>
        <v>-1.8991912189485873</v>
      </c>
      <c r="EM669" s="145">
        <f>EM667+EM668</f>
        <v>12890</v>
      </c>
      <c r="EN669" s="72">
        <f t="shared" si="3147"/>
        <v>-6.9246877030832508</v>
      </c>
      <c r="EO669" s="145">
        <f>EO667+EO668</f>
        <v>11930</v>
      </c>
      <c r="EP669" s="72">
        <f t="shared" si="3148"/>
        <v>-10.683536722317882</v>
      </c>
      <c r="EQ669" s="144">
        <f t="shared" ref="EQ669" si="3182">EQ667+EQ668</f>
        <v>11948</v>
      </c>
      <c r="ER669" s="72">
        <f t="shared" si="3150"/>
        <v>-11.424123359774626</v>
      </c>
      <c r="ES669" s="144">
        <f t="shared" ref="ES669" si="3183">ES667+ES668</f>
        <v>11966</v>
      </c>
      <c r="ET669" s="72">
        <f t="shared" si="3152"/>
        <v>-11.917556128082438</v>
      </c>
      <c r="EU669" s="144">
        <f t="shared" ref="EU669" si="3184">EU667+EU668</f>
        <v>11984</v>
      </c>
      <c r="EV669" s="72">
        <f t="shared" si="3154"/>
        <v>-7.0287044220325896</v>
      </c>
      <c r="EW669" s="144">
        <f t="shared" ref="EW669" si="3185">EW667+EW668</f>
        <v>12002</v>
      </c>
      <c r="EX669" s="72">
        <f t="shared" si="3156"/>
        <v>0.60352053646271031</v>
      </c>
      <c r="EY669" s="72"/>
      <c r="EZ669" s="296"/>
      <c r="FA669" s="72"/>
      <c r="FB669" s="9"/>
      <c r="FC669" s="11"/>
      <c r="FD669" s="150"/>
      <c r="FE669" s="72"/>
      <c r="FF669" s="145">
        <f>FF667+FF668</f>
        <v>12369</v>
      </c>
      <c r="FG669" s="72" t="str">
        <f t="shared" si="3157"/>
        <v>NA</v>
      </c>
      <c r="FH669" s="145">
        <f>FH667+FH668</f>
        <v>9649</v>
      </c>
      <c r="FI669" s="72">
        <f t="shared" si="3158"/>
        <v>-21.990460021020297</v>
      </c>
      <c r="FJ669" s="145">
        <f>FJ667+FJ668</f>
        <v>7166</v>
      </c>
      <c r="FK669" s="72">
        <f t="shared" si="3159"/>
        <v>-25.733236604829514</v>
      </c>
      <c r="FL669" s="145">
        <f>FL667+FL668</f>
        <v>8599</v>
      </c>
      <c r="FM669" s="72">
        <f t="shared" si="3160"/>
        <v>19.997209042701641</v>
      </c>
      <c r="FN669" s="145">
        <f>FN667+FN668</f>
        <v>9773</v>
      </c>
      <c r="FO669" s="72">
        <f t="shared" si="3161"/>
        <v>13.652750319804625</v>
      </c>
      <c r="FP669" s="145">
        <f>FP667+FP668</f>
        <v>15967</v>
      </c>
      <c r="FQ669" s="72">
        <f t="shared" si="3162"/>
        <v>63.378696408472308</v>
      </c>
      <c r="FR669" s="144">
        <f>FR667+FR668</f>
        <v>20471</v>
      </c>
      <c r="FS669" s="72">
        <f t="shared" si="3163"/>
        <v>28.208179369950528</v>
      </c>
      <c r="FT669" s="144">
        <f>FT667+FT668</f>
        <v>26865</v>
      </c>
      <c r="FU669" s="72">
        <f t="shared" si="3164"/>
        <v>31.234429192516245</v>
      </c>
      <c r="FV669" s="144">
        <f>FV667+FV668</f>
        <v>28632</v>
      </c>
      <c r="FW669" s="72">
        <f t="shared" si="3165"/>
        <v>6.5773310999441605</v>
      </c>
      <c r="FX669" s="144">
        <f>FX667+FX668</f>
        <v>22409</v>
      </c>
      <c r="FY669" s="72">
        <f t="shared" si="3165"/>
        <v>-21.734423023190843</v>
      </c>
      <c r="FZ669" s="144">
        <f>FZ667+FZ668</f>
        <v>22366</v>
      </c>
      <c r="GA669" s="72">
        <f t="shared" si="3165"/>
        <v>-0.19188718818331552</v>
      </c>
      <c r="GB669" s="144">
        <f>GB667+GB668</f>
        <v>23689</v>
      </c>
      <c r="GC669" s="72">
        <f t="shared" si="3165"/>
        <v>5.9152284717875432</v>
      </c>
      <c r="GD669" s="144">
        <f>GD667+GD668</f>
        <v>20869</v>
      </c>
      <c r="GE669" s="72">
        <f t="shared" si="3165"/>
        <v>-11.904259360884794</v>
      </c>
      <c r="GF669" s="144">
        <f>GF667+GF668</f>
        <v>19663</v>
      </c>
      <c r="GG669" s="72">
        <f t="shared" si="3165"/>
        <v>-5.7789065120513641</v>
      </c>
      <c r="GH669" s="144">
        <f>GH667+GH668</f>
        <v>16693</v>
      </c>
      <c r="GI669" s="72">
        <f t="shared" si="3166"/>
        <v>-15.104511010527389</v>
      </c>
      <c r="GJ669" s="144">
        <f>GJ667+GJ668</f>
        <v>15059</v>
      </c>
      <c r="GK669" s="72">
        <f t="shared" si="3166"/>
        <v>-9.7885341160965709</v>
      </c>
      <c r="GL669" s="144">
        <f>GL667+GL668</f>
        <v>13357</v>
      </c>
      <c r="GM669" s="72">
        <f t="shared" si="3166"/>
        <v>-11.302211302211305</v>
      </c>
      <c r="GN669" s="144">
        <f>GN667+GN668</f>
        <v>11930</v>
      </c>
      <c r="GO669" s="72">
        <f t="shared" si="3166"/>
        <v>-10.683536722317882</v>
      </c>
      <c r="GP669" s="144">
        <f>GP667+GP668</f>
        <v>12002</v>
      </c>
      <c r="GQ669" s="72">
        <f t="shared" si="3166"/>
        <v>0.60352053646271031</v>
      </c>
      <c r="GR669" s="144">
        <f>GR667+GR668</f>
        <v>12077</v>
      </c>
      <c r="GS669" s="72">
        <f t="shared" si="3166"/>
        <v>0.6248958506915443</v>
      </c>
      <c r="GT669" s="144">
        <f>GT667+GT668</f>
        <v>12152</v>
      </c>
      <c r="GU669" s="72">
        <f t="shared" si="3166"/>
        <v>0.62101515276972918</v>
      </c>
      <c r="GV669" s="144">
        <f>GV667+GV668</f>
        <v>12227</v>
      </c>
      <c r="GW669" s="72">
        <f t="shared" si="3167"/>
        <v>0.61718235681370004</v>
      </c>
      <c r="GX669" s="144">
        <f>GX667+GX668</f>
        <v>12302</v>
      </c>
      <c r="GY669" s="72">
        <f t="shared" si="3168"/>
        <v>0.61339658133638864</v>
      </c>
      <c r="GZ669" s="72">
        <f t="shared" si="3169"/>
        <v>0.61600182904870682</v>
      </c>
      <c r="HA669" s="72"/>
      <c r="HB669" s="72"/>
      <c r="HC669"/>
      <c r="HD669"/>
      <c r="HE669"/>
      <c r="HF669"/>
      <c r="HG669"/>
      <c r="HH669"/>
      <c r="HI669" s="2"/>
    </row>
    <row r="670" spans="1:217" s="3" customFormat="1" ht="12.75" customHeight="1" x14ac:dyDescent="0.2">
      <c r="B670" s="18" t="s">
        <v>18</v>
      </c>
      <c r="C670" s="145"/>
      <c r="D670" s="145"/>
      <c r="E670" s="145"/>
      <c r="F670" s="11"/>
      <c r="G670" s="145"/>
      <c r="H670" s="11"/>
      <c r="I670" s="145">
        <f>I656-I675-I669</f>
        <v>176716</v>
      </c>
      <c r="J670" s="11"/>
      <c r="K670" s="145">
        <f>K656-K675-K669</f>
        <v>172596</v>
      </c>
      <c r="L670" s="72" t="str">
        <f t="shared" si="3104"/>
        <v>NA</v>
      </c>
      <c r="M670" s="145">
        <f>M656-M675-M669</f>
        <v>202947</v>
      </c>
      <c r="N670" s="72" t="str">
        <f t="shared" si="3105"/>
        <v>NA</v>
      </c>
      <c r="O670" s="145">
        <f>O656-O675-O669</f>
        <v>196331</v>
      </c>
      <c r="P670" s="72" t="str">
        <f t="shared" si="3106"/>
        <v>NA</v>
      </c>
      <c r="Q670" s="145">
        <f>Q656-Q675-Q669</f>
        <v>202010</v>
      </c>
      <c r="R670" s="72">
        <f t="shared" si="3107"/>
        <v>14.313361551868525</v>
      </c>
      <c r="S670" s="145">
        <f>S656-S675-S669</f>
        <v>203177</v>
      </c>
      <c r="T670" s="72">
        <f t="shared" si="3107"/>
        <v>17.718255347748496</v>
      </c>
      <c r="U670" s="145">
        <f>U656-U675-U669</f>
        <v>201843</v>
      </c>
      <c r="V670" s="72">
        <f t="shared" si="3107"/>
        <v>-0.54398439001315069</v>
      </c>
      <c r="W670" s="145">
        <f>W656-W675-W669</f>
        <v>195743</v>
      </c>
      <c r="X670" s="72">
        <f t="shared" si="3107"/>
        <v>-0.29949422149329052</v>
      </c>
      <c r="Y670" s="145">
        <f>Y656-Y675-Y669</f>
        <v>195442</v>
      </c>
      <c r="Z670" s="72">
        <f t="shared" si="3107"/>
        <v>-3.2513241918716886</v>
      </c>
      <c r="AA670" s="145">
        <f>AA656-AA675-AA669</f>
        <v>197589</v>
      </c>
      <c r="AB670" s="72">
        <f t="shared" si="3107"/>
        <v>-2.7503113049213255</v>
      </c>
      <c r="AC670" s="145">
        <f>AC656-AC675-AC669</f>
        <v>231097</v>
      </c>
      <c r="AD670" s="72">
        <f t="shared" si="3107"/>
        <v>14.493442923460307</v>
      </c>
      <c r="AE670" s="145">
        <f>AE656-AE675-AE669</f>
        <v>218518</v>
      </c>
      <c r="AF670" s="72">
        <f t="shared" si="3107"/>
        <v>11.635154258389832</v>
      </c>
      <c r="AG670" s="145">
        <f>AG656-AG675-AG669</f>
        <v>223599</v>
      </c>
      <c r="AH670" s="72">
        <f t="shared" si="3107"/>
        <v>14.406831694313411</v>
      </c>
      <c r="AI670" s="145">
        <f>AI656-AI675-AI669</f>
        <v>233957</v>
      </c>
      <c r="AJ670" s="72">
        <f t="shared" si="3107"/>
        <v>18.405882918583515</v>
      </c>
      <c r="AK670" s="145">
        <f>AK656-AK675-AK669</f>
        <v>275820</v>
      </c>
      <c r="AL670" s="72">
        <f t="shared" si="3107"/>
        <v>19.352479694673661</v>
      </c>
      <c r="AM670" s="145">
        <f>AM656-AM675-AM669</f>
        <v>276755</v>
      </c>
      <c r="AN670" s="72">
        <f t="shared" si="3107"/>
        <v>26.650893747883472</v>
      </c>
      <c r="AO670" s="145">
        <f>AO656-AO675-AO669</f>
        <v>298266</v>
      </c>
      <c r="AP670" s="72">
        <f t="shared" si="3107"/>
        <v>33.393262045000199</v>
      </c>
      <c r="AQ670" s="145">
        <f>AQ656-AQ675-AQ669</f>
        <v>296057</v>
      </c>
      <c r="AR670" s="72">
        <f t="shared" si="3108"/>
        <v>26.543339160614977</v>
      </c>
      <c r="AS670" s="145">
        <f>AS656-AS675-AS669</f>
        <v>300980</v>
      </c>
      <c r="AT670" s="72">
        <f t="shared" si="3109"/>
        <v>9.1218910883909814</v>
      </c>
      <c r="AU670" s="145">
        <f>AU656-AU675-AU669</f>
        <v>306142</v>
      </c>
      <c r="AV670" s="72">
        <f t="shared" si="3110"/>
        <v>10.618417011436108</v>
      </c>
      <c r="AW670" s="145">
        <f>AW656-AW675-AW669</f>
        <v>307670</v>
      </c>
      <c r="AX670" s="72">
        <f t="shared" si="3111"/>
        <v>3.1528903730227285</v>
      </c>
      <c r="AY670" s="145">
        <f>AY656-AY675-AY669</f>
        <v>322693</v>
      </c>
      <c r="AZ670" s="72">
        <f t="shared" si="3112"/>
        <v>8.9969161343930466</v>
      </c>
      <c r="BA670" s="145">
        <f>BA656-BA675-BA669</f>
        <v>331954</v>
      </c>
      <c r="BB670" s="72">
        <f t="shared" si="3113"/>
        <v>10.291049239152102</v>
      </c>
      <c r="BC670" s="145">
        <f>BC656-BC675-BC669</f>
        <v>334451</v>
      </c>
      <c r="BD670" s="72">
        <f t="shared" si="3114"/>
        <v>9.2470160905723446</v>
      </c>
      <c r="BE670" s="145">
        <f>BE656-BE675-BE669</f>
        <v>338106</v>
      </c>
      <c r="BF670" s="72">
        <f t="shared" si="3115"/>
        <v>9.8924172002470243</v>
      </c>
      <c r="BG670" s="145">
        <f>BG656-BG675-BG669</f>
        <v>341212</v>
      </c>
      <c r="BH670" s="72">
        <f t="shared" si="3116"/>
        <v>5.7388911442144632</v>
      </c>
      <c r="BI670" s="145">
        <f>BI656-BI675-BI669</f>
        <v>347236</v>
      </c>
      <c r="BJ670" s="72">
        <f t="shared" si="3117"/>
        <v>4.6036499032998393</v>
      </c>
      <c r="BK670" s="145">
        <f>BK656-BK675-BK669</f>
        <v>360805</v>
      </c>
      <c r="BL670" s="72">
        <f t="shared" si="3118"/>
        <v>7.8797791006754352</v>
      </c>
      <c r="BM670" s="145">
        <f>BM656-BM675-BM669</f>
        <v>363455</v>
      </c>
      <c r="BN670" s="72">
        <f t="shared" si="3119"/>
        <v>7.4973529011611788</v>
      </c>
      <c r="BO670" s="145">
        <f>BO656-BO675-BO669</f>
        <v>357598</v>
      </c>
      <c r="BP670" s="72">
        <f t="shared" si="3120"/>
        <v>4.8022930025907584</v>
      </c>
      <c r="BQ670" s="145">
        <f>BQ656-BQ675-BQ669</f>
        <v>356719</v>
      </c>
      <c r="BR670" s="72">
        <f t="shared" si="3121"/>
        <v>2.7309956340932473</v>
      </c>
      <c r="BS670" s="145">
        <f>BS656-BS675-BS669</f>
        <v>342385</v>
      </c>
      <c r="BT670" s="72">
        <f t="shared" si="3122"/>
        <v>-5.1052507587200751</v>
      </c>
      <c r="BU670" s="145">
        <f>BU656-BU675-BU669</f>
        <v>336702</v>
      </c>
      <c r="BV670" s="72">
        <f t="shared" si="3123"/>
        <v>-7.3607461721533696</v>
      </c>
      <c r="BW670" s="145">
        <f>BW656-BW675-BW669</f>
        <v>322899</v>
      </c>
      <c r="BX670" s="72">
        <f t="shared" si="3124"/>
        <v>-9.7033540456042857</v>
      </c>
      <c r="BY670" s="145">
        <f>BY656-BY675-BY669</f>
        <v>338711</v>
      </c>
      <c r="BZ670" s="72">
        <f t="shared" si="3125"/>
        <v>-5.0482312408366141</v>
      </c>
      <c r="CA670" s="145">
        <f>CA656-CA675-CA669</f>
        <v>362587</v>
      </c>
      <c r="CB670" s="72">
        <f t="shared" si="3126"/>
        <v>5.9003753084977433</v>
      </c>
      <c r="CC670" s="145">
        <f>CC656-CC675-CC669</f>
        <v>368708</v>
      </c>
      <c r="CD670" s="72">
        <f t="shared" si="3127"/>
        <v>9.505735041668899</v>
      </c>
      <c r="CE670" s="145">
        <f>CE656-CE675-CE669</f>
        <v>379700</v>
      </c>
      <c r="CF670" s="72">
        <f t="shared" si="3128"/>
        <v>17.59094949194639</v>
      </c>
      <c r="CG670" s="145">
        <f>CG656-CG675-CG669</f>
        <v>380656</v>
      </c>
      <c r="CH670" s="72">
        <f t="shared" si="3129"/>
        <v>12.383713549309007</v>
      </c>
      <c r="CI670" s="145">
        <f>CI656-CI675-CI669</f>
        <v>407103</v>
      </c>
      <c r="CJ670" s="72">
        <f t="shared" si="3130"/>
        <v>12.27732930303624</v>
      </c>
      <c r="CK670" s="145">
        <f>CK656-CK675-CK669</f>
        <v>420002</v>
      </c>
      <c r="CL670" s="72">
        <f t="shared" si="3130"/>
        <v>13.91182182106165</v>
      </c>
      <c r="CM670" s="145">
        <f>CM656-CM675-CM669</f>
        <v>475373</v>
      </c>
      <c r="CN670" s="72">
        <f t="shared" si="3130"/>
        <v>25.196997629707667</v>
      </c>
      <c r="CO670" s="145">
        <f>CO656-CO675-CO669</f>
        <v>486861</v>
      </c>
      <c r="CP670" s="72">
        <f t="shared" si="3130"/>
        <v>27.900519103862791</v>
      </c>
      <c r="CQ670" s="145">
        <f>CQ656-CQ675-CQ669</f>
        <v>480884</v>
      </c>
      <c r="CR670" s="72">
        <f t="shared" si="3130"/>
        <v>18.123423310562686</v>
      </c>
      <c r="CS670" s="145">
        <f>CS656-CS675-CS669</f>
        <v>494494</v>
      </c>
      <c r="CT670" s="72">
        <f t="shared" si="3130"/>
        <v>17.736106018542756</v>
      </c>
      <c r="CU670" s="145">
        <f>CU656-CU675-CU669</f>
        <v>509543</v>
      </c>
      <c r="CV670" s="72">
        <f t="shared" si="3131"/>
        <v>7.1880397077663076</v>
      </c>
      <c r="CW670" s="145">
        <f>CW656-CW675-CW669</f>
        <v>516181</v>
      </c>
      <c r="CX670" s="72">
        <f t="shared" si="3132"/>
        <v>6.0222527579740301</v>
      </c>
      <c r="CY670" s="145">
        <f>CY656-CY675-CY669</f>
        <v>540595</v>
      </c>
      <c r="CZ670" s="72">
        <f t="shared" si="3133"/>
        <v>12.416923831942839</v>
      </c>
      <c r="DA670" s="145">
        <f>DA656-DA675-DA669</f>
        <v>581370</v>
      </c>
      <c r="DB670" s="72">
        <f t="shared" si="3134"/>
        <v>17.5686661516621</v>
      </c>
      <c r="DC670" s="145">
        <f>DC656-DC675-DC669</f>
        <v>594710</v>
      </c>
      <c r="DD670" s="72">
        <f t="shared" si="3135"/>
        <v>16.714389168333184</v>
      </c>
      <c r="DE670" s="145">
        <f>DE656-DE675-DE669</f>
        <v>583720</v>
      </c>
      <c r="DF670" s="72">
        <f t="shared" si="3136"/>
        <v>13.084363818118064</v>
      </c>
      <c r="DG670" s="145">
        <f>DG656-DG675-DG669</f>
        <v>601201</v>
      </c>
      <c r="DH670" s="72">
        <f t="shared" si="3137"/>
        <v>11.210980493715255</v>
      </c>
      <c r="DI670" s="145">
        <f>DI656-DI675-DI669</f>
        <v>609831</v>
      </c>
      <c r="DJ670" s="72">
        <f t="shared" si="3138"/>
        <v>4.8955054440373686</v>
      </c>
      <c r="DK670" s="145">
        <f>DK656-DK675-DK669</f>
        <v>620004</v>
      </c>
      <c r="DL670" s="72">
        <f t="shared" si="3139"/>
        <v>4.2531654083502843</v>
      </c>
      <c r="DM670" s="145">
        <f>DM656-DM675-DM669</f>
        <v>633855</v>
      </c>
      <c r="DN670" s="72">
        <f t="shared" si="3140"/>
        <v>8.5888782292880279</v>
      </c>
      <c r="DO670" s="145">
        <f>DO656-DO675-DO669</f>
        <v>632866</v>
      </c>
      <c r="DP670" s="72">
        <f t="shared" si="3140"/>
        <v>5.2669573071235618</v>
      </c>
      <c r="DQ670" s="145">
        <f>DQ656-DQ675-DQ669</f>
        <v>638090</v>
      </c>
      <c r="DR670" s="72">
        <f t="shared" si="3140"/>
        <v>4.6339067708922528</v>
      </c>
      <c r="DS670" s="145">
        <f>DS656-DS675-DS669</f>
        <v>649447</v>
      </c>
      <c r="DT670" s="72">
        <f t="shared" si="3140"/>
        <v>4.7488403300623787</v>
      </c>
      <c r="DU670" s="145">
        <f>DU656-DU675-DU669</f>
        <v>639114</v>
      </c>
      <c r="DV670" s="72">
        <f t="shared" si="3140"/>
        <v>0.82968502259981847</v>
      </c>
      <c r="DW670" s="145">
        <f>DW656-DW675-DW669</f>
        <v>632328</v>
      </c>
      <c r="DX670" s="72">
        <f t="shared" si="3140"/>
        <v>-8.5010096924150957E-2</v>
      </c>
      <c r="DY670" s="145">
        <f>DY656-DY675-DY669</f>
        <v>638312</v>
      </c>
      <c r="DZ670" s="72">
        <f t="shared" si="3140"/>
        <v>3.4791330376577889E-2</v>
      </c>
      <c r="EA670" s="145">
        <f>EA656-EA675-EA669</f>
        <v>645505</v>
      </c>
      <c r="EB670" s="72">
        <f t="shared" si="3141"/>
        <v>-0.60697793661375954</v>
      </c>
      <c r="EC670" s="145">
        <f>EC656-EC675-EC669</f>
        <v>663785</v>
      </c>
      <c r="ED670" s="72">
        <f t="shared" si="3142"/>
        <v>3.8601876973435054</v>
      </c>
      <c r="EE670" s="145">
        <f>EE656-EE675-EE669</f>
        <v>686120</v>
      </c>
      <c r="EF670" s="72">
        <f t="shared" si="3143"/>
        <v>8.5069773914803619</v>
      </c>
      <c r="EG670" s="145">
        <f>EG656-EG675-EG669</f>
        <v>662691</v>
      </c>
      <c r="EH670" s="72">
        <f t="shared" si="3144"/>
        <v>3.8192921330007863</v>
      </c>
      <c r="EI670" s="145">
        <f>EI656-EI675-EI669</f>
        <v>673996</v>
      </c>
      <c r="EJ670" s="72">
        <f t="shared" si="3145"/>
        <v>4.4137535727841026</v>
      </c>
      <c r="EK670" s="145">
        <f>EK656-EK675-EK669</f>
        <v>686736</v>
      </c>
      <c r="EL670" s="72">
        <f t="shared" si="3146"/>
        <v>3.4575954563601101</v>
      </c>
      <c r="EM670" s="145">
        <f>EM656-EM675-EM669</f>
        <v>694420</v>
      </c>
      <c r="EN670" s="72">
        <f t="shared" si="3147"/>
        <v>1.2097009269515695</v>
      </c>
      <c r="EO670" s="145">
        <f>EO656-EO675-EO669</f>
        <v>702789</v>
      </c>
      <c r="EP670" s="72">
        <f t="shared" si="3148"/>
        <v>6.0507838494864075</v>
      </c>
      <c r="EQ670" s="144">
        <f t="shared" ref="EQ670" si="3186">EQ656-EQ675-EQ669</f>
        <v>713633.93422347168</v>
      </c>
      <c r="ER670" s="72">
        <f t="shared" si="3150"/>
        <v>5.8810340452275227</v>
      </c>
      <c r="ES670" s="144">
        <f t="shared" ref="ES670" si="3187">ES656-ES675-ES669</f>
        <v>724849.86908150348</v>
      </c>
      <c r="ET670" s="72">
        <f t="shared" si="3152"/>
        <v>5.5500030698119076</v>
      </c>
      <c r="EU670" s="144">
        <f t="shared" ref="EU670" si="3188">EU656-EU675-EU669</f>
        <v>736252.00313604262</v>
      </c>
      <c r="EV670" s="72">
        <f t="shared" si="3154"/>
        <v>6.0240204971116356</v>
      </c>
      <c r="EW670" s="144">
        <f t="shared" ref="EW670" si="3189">EW656-EW675-EW669</f>
        <v>747958.03795085626</v>
      </c>
      <c r="EX670" s="72">
        <f t="shared" si="3156"/>
        <v>6.4271122557206155</v>
      </c>
      <c r="EY670" s="72"/>
      <c r="EZ670" s="296"/>
      <c r="FA670" s="72"/>
      <c r="FB670" s="9"/>
      <c r="FC670" s="11"/>
      <c r="FD670" s="150"/>
      <c r="FE670" s="72"/>
      <c r="FF670" s="145">
        <f>FF656-FF675-FF669</f>
        <v>176716</v>
      </c>
      <c r="FG670" s="72" t="str">
        <f t="shared" si="3157"/>
        <v>NA</v>
      </c>
      <c r="FH670" s="145">
        <f>FH656-FH675-FH669</f>
        <v>202010</v>
      </c>
      <c r="FI670" s="72">
        <f t="shared" si="3158"/>
        <v>14.313361551868525</v>
      </c>
      <c r="FJ670" s="145">
        <f>FJ656-FJ675-FJ669</f>
        <v>195442</v>
      </c>
      <c r="FK670" s="72">
        <f t="shared" si="3159"/>
        <v>-3.2513241918716886</v>
      </c>
      <c r="FL670" s="145">
        <f>FL656-FL675-FL669</f>
        <v>223599</v>
      </c>
      <c r="FM670" s="72">
        <f t="shared" si="3160"/>
        <v>14.406831694313411</v>
      </c>
      <c r="FN670" s="145">
        <f>FN656-FN675-FN669</f>
        <v>298266</v>
      </c>
      <c r="FO670" s="72">
        <f t="shared" si="3161"/>
        <v>33.393262045000199</v>
      </c>
      <c r="FP670" s="145">
        <f>FP656-FP675-FP669</f>
        <v>307670</v>
      </c>
      <c r="FQ670" s="72">
        <f t="shared" si="3162"/>
        <v>3.1528903730227285</v>
      </c>
      <c r="FR670" s="144">
        <f>FR656-FR675-FR669</f>
        <v>338106</v>
      </c>
      <c r="FS670" s="72">
        <f t="shared" si="3163"/>
        <v>9.8924172002470243</v>
      </c>
      <c r="FT670" s="144">
        <f>FT656-FT675-FT669</f>
        <v>363455</v>
      </c>
      <c r="FU670" s="72">
        <f t="shared" si="3164"/>
        <v>7.4973529011611788</v>
      </c>
      <c r="FV670" s="144">
        <f>FV656-FV675-FV669</f>
        <v>336702</v>
      </c>
      <c r="FW670" s="72">
        <f t="shared" si="3165"/>
        <v>-7.3607461721533696</v>
      </c>
      <c r="FX670" s="144">
        <f>FX656-FX675-FX669</f>
        <v>368708</v>
      </c>
      <c r="FY670" s="72">
        <f t="shared" si="3165"/>
        <v>9.505735041668899</v>
      </c>
      <c r="FZ670" s="144">
        <f>FZ656-FZ675-FZ669</f>
        <v>420002</v>
      </c>
      <c r="GA670" s="72">
        <f t="shared" si="3165"/>
        <v>13.91182182106165</v>
      </c>
      <c r="GB670" s="144">
        <f>GB656-GB675-GB669</f>
        <v>494494</v>
      </c>
      <c r="GC670" s="72">
        <f t="shared" si="3165"/>
        <v>17.736106018542756</v>
      </c>
      <c r="GD670" s="144">
        <f>GD656-GD675-GD669</f>
        <v>581370</v>
      </c>
      <c r="GE670" s="72">
        <f t="shared" si="3165"/>
        <v>17.5686661516621</v>
      </c>
      <c r="GF670" s="144">
        <f>GF656-GF675-GF669</f>
        <v>609831</v>
      </c>
      <c r="GG670" s="72">
        <f t="shared" si="3165"/>
        <v>4.8955054440373686</v>
      </c>
      <c r="GH670" s="144">
        <f>GH656-GH675-GH669</f>
        <v>638090</v>
      </c>
      <c r="GI670" s="72">
        <f t="shared" si="3166"/>
        <v>4.6339067708922528</v>
      </c>
      <c r="GJ670" s="144">
        <f>GJ656-GJ675-GJ669</f>
        <v>638312</v>
      </c>
      <c r="GK670" s="72">
        <f t="shared" si="3166"/>
        <v>3.4791330376577889E-2</v>
      </c>
      <c r="GL670" s="144">
        <f>GL656-GL675-GL669</f>
        <v>662691</v>
      </c>
      <c r="GM670" s="72">
        <f t="shared" si="3166"/>
        <v>3.8192921330007863</v>
      </c>
      <c r="GN670" s="144">
        <f>GN656-GN675-GN669</f>
        <v>702789</v>
      </c>
      <c r="GO670" s="72">
        <f t="shared" si="3166"/>
        <v>6.0507838494864075</v>
      </c>
      <c r="GP670" s="144">
        <f>GP656-GP675-GP669</f>
        <v>747958.03795085626</v>
      </c>
      <c r="GQ670" s="72">
        <f t="shared" si="3166"/>
        <v>6.4271122557206155</v>
      </c>
      <c r="GR670" s="144">
        <f>GR656-GR675-GR669</f>
        <v>795367.03881071543</v>
      </c>
      <c r="GS670" s="72">
        <f t="shared" si="3166"/>
        <v>6.3384573003244071</v>
      </c>
      <c r="GT670" s="144">
        <f>GT656-GT675-GT669</f>
        <v>845895.73490075953</v>
      </c>
      <c r="GU670" s="72">
        <f t="shared" si="3166"/>
        <v>6.3528778066536375</v>
      </c>
      <c r="GV670" s="144">
        <f>GV656-GV675-GV669</f>
        <v>899622.87553753937</v>
      </c>
      <c r="GW670" s="72">
        <f t="shared" si="3167"/>
        <v>6.3515086339905906</v>
      </c>
      <c r="GX670" s="144">
        <f>GX656-GX675-GX669</f>
        <v>956752.46045267954</v>
      </c>
      <c r="GY670" s="72">
        <f t="shared" si="3168"/>
        <v>6.3503926443626995</v>
      </c>
      <c r="GZ670" s="72">
        <f t="shared" si="3169"/>
        <v>6.3640649342679323</v>
      </c>
      <c r="HA670" s="72"/>
      <c r="HB670" s="72"/>
      <c r="HC670"/>
      <c r="HD670"/>
      <c r="HE670"/>
      <c r="HF670"/>
      <c r="HG670"/>
      <c r="HH670"/>
      <c r="HI670" s="2"/>
    </row>
    <row r="671" spans="1:217" s="3" customFormat="1" ht="12.75" customHeight="1" x14ac:dyDescent="0.2">
      <c r="B671" s="18"/>
      <c r="C671" s="145"/>
      <c r="D671" s="145"/>
      <c r="E671" s="145"/>
      <c r="F671" s="11"/>
      <c r="G671" s="145"/>
      <c r="H671" s="11"/>
      <c r="I671" s="145"/>
      <c r="J671" s="11"/>
      <c r="K671" s="145"/>
      <c r="L671" s="72"/>
      <c r="M671" s="145"/>
      <c r="N671" s="72"/>
      <c r="O671" s="145"/>
      <c r="P671" s="72"/>
      <c r="Q671" s="145"/>
      <c r="R671" s="72"/>
      <c r="S671" s="145"/>
      <c r="T671" s="72"/>
      <c r="U671" s="145"/>
      <c r="V671" s="72"/>
      <c r="W671" s="145"/>
      <c r="X671" s="72"/>
      <c r="Y671" s="145"/>
      <c r="Z671" s="72"/>
      <c r="AA671" s="145"/>
      <c r="AB671" s="72"/>
      <c r="AC671" s="145"/>
      <c r="AD671" s="72"/>
      <c r="AE671" s="145"/>
      <c r="AF671" s="72"/>
      <c r="AG671" s="145"/>
      <c r="AH671" s="72"/>
      <c r="AI671" s="145"/>
      <c r="AJ671" s="72"/>
      <c r="AK671" s="145"/>
      <c r="AL671" s="72"/>
      <c r="AM671" s="145"/>
      <c r="AN671" s="72"/>
      <c r="AO671" s="145"/>
      <c r="AP671" s="72"/>
      <c r="AQ671" s="145"/>
      <c r="AR671" s="72"/>
      <c r="AS671" s="145"/>
      <c r="AT671" s="72"/>
      <c r="AU671" s="145"/>
      <c r="AV671" s="72"/>
      <c r="AW671" s="145"/>
      <c r="AX671" s="72"/>
      <c r="AY671" s="145"/>
      <c r="AZ671" s="72"/>
      <c r="BA671" s="145"/>
      <c r="BB671" s="72"/>
      <c r="BC671" s="145"/>
      <c r="BD671" s="72"/>
      <c r="BE671" s="145"/>
      <c r="BF671" s="72"/>
      <c r="BG671" s="145"/>
      <c r="BH671" s="72"/>
      <c r="BI671" s="145"/>
      <c r="BJ671" s="72"/>
      <c r="BK671" s="145"/>
      <c r="BL671" s="72"/>
      <c r="BM671" s="145"/>
      <c r="BN671" s="72"/>
      <c r="BO671" s="145"/>
      <c r="BP671" s="72"/>
      <c r="BQ671" s="145"/>
      <c r="BR671" s="72"/>
      <c r="BS671" s="145"/>
      <c r="BT671" s="72"/>
      <c r="BU671" s="145"/>
      <c r="BV671" s="72"/>
      <c r="BW671" s="145"/>
      <c r="BX671" s="72"/>
      <c r="BY671" s="145"/>
      <c r="BZ671" s="72"/>
      <c r="CA671" s="145"/>
      <c r="CB671" s="72"/>
      <c r="CC671" s="145"/>
      <c r="CD671" s="72"/>
      <c r="CE671" s="145"/>
      <c r="CF671" s="72"/>
      <c r="CG671" s="145"/>
      <c r="CH671" s="72"/>
      <c r="CI671" s="145"/>
      <c r="CJ671" s="72"/>
      <c r="CK671" s="145"/>
      <c r="CL671" s="72"/>
      <c r="CM671" s="145"/>
      <c r="CN671" s="72"/>
      <c r="CO671" s="145"/>
      <c r="CP671" s="72"/>
      <c r="CQ671" s="145"/>
      <c r="CR671" s="72"/>
      <c r="CS671" s="145"/>
      <c r="CT671" s="72"/>
      <c r="CU671" s="145"/>
      <c r="CV671" s="72"/>
      <c r="CW671" s="145"/>
      <c r="CX671" s="72"/>
      <c r="CY671" s="145"/>
      <c r="CZ671" s="72"/>
      <c r="DA671" s="145"/>
      <c r="DB671" s="72"/>
      <c r="DC671" s="145"/>
      <c r="DD671" s="72"/>
      <c r="DE671" s="145"/>
      <c r="DF671" s="72"/>
      <c r="DG671" s="145"/>
      <c r="DH671" s="72"/>
      <c r="DI671" s="145"/>
      <c r="DJ671" s="72"/>
      <c r="DK671" s="145"/>
      <c r="DL671" s="72"/>
      <c r="DM671" s="145"/>
      <c r="DN671" s="72"/>
      <c r="DO671" s="145"/>
      <c r="DP671" s="72"/>
      <c r="DQ671" s="145"/>
      <c r="DR671" s="72"/>
      <c r="DS671" s="145"/>
      <c r="DT671" s="72"/>
      <c r="DU671" s="145"/>
      <c r="DV671" s="72"/>
      <c r="DW671" s="144"/>
      <c r="DX671" s="72"/>
      <c r="DY671" s="144"/>
      <c r="DZ671" s="72"/>
      <c r="EA671" s="144"/>
      <c r="EB671" s="72"/>
      <c r="EC671" s="144"/>
      <c r="ED671" s="72"/>
      <c r="EE671" s="144"/>
      <c r="EF671" s="72"/>
      <c r="EG671" s="144"/>
      <c r="EH671" s="72"/>
      <c r="EI671" s="144"/>
      <c r="EJ671" s="72"/>
      <c r="EK671" s="144"/>
      <c r="EL671" s="72"/>
      <c r="EM671" s="144"/>
      <c r="EN671" s="72"/>
      <c r="EO671" s="144"/>
      <c r="EP671" s="72"/>
      <c r="EQ671" s="144"/>
      <c r="ER671" s="72"/>
      <c r="ES671" s="144"/>
      <c r="ET671" s="72"/>
      <c r="EU671" s="144"/>
      <c r="EV671" s="72"/>
      <c r="EW671" s="144"/>
      <c r="EX671" s="72"/>
      <c r="EY671" s="72"/>
      <c r="EZ671" s="296"/>
      <c r="FA671" s="72"/>
      <c r="FB671" s="9"/>
      <c r="FC671" s="11"/>
      <c r="FD671" s="150"/>
      <c r="FE671" s="72"/>
      <c r="FF671" s="145"/>
      <c r="FG671" s="72"/>
      <c r="FH671" s="145"/>
      <c r="FI671" s="72"/>
      <c r="FJ671" s="145"/>
      <c r="FK671" s="72"/>
      <c r="FL671" s="145"/>
      <c r="FM671" s="72"/>
      <c r="FN671" s="145"/>
      <c r="FO671" s="72"/>
      <c r="FP671" s="145"/>
      <c r="FQ671" s="72"/>
      <c r="FR671" s="144"/>
      <c r="FS671" s="72"/>
      <c r="FT671" s="144"/>
      <c r="FU671" s="72"/>
      <c r="FV671" s="144"/>
      <c r="FW671" s="72"/>
      <c r="FX671" s="144"/>
      <c r="FY671" s="72"/>
      <c r="FZ671" s="144"/>
      <c r="GA671" s="72"/>
      <c r="GB671" s="144"/>
      <c r="GC671" s="72"/>
      <c r="GD671" s="144"/>
      <c r="GE671" s="72"/>
      <c r="GF671" s="144"/>
      <c r="GG671" s="72"/>
      <c r="GH671" s="144"/>
      <c r="GI671" s="72"/>
      <c r="GJ671" s="144"/>
      <c r="GK671" s="72"/>
      <c r="GL671" s="144"/>
      <c r="GM671" s="72"/>
      <c r="GN671" s="144"/>
      <c r="GO671" s="72"/>
      <c r="GP671" s="144"/>
      <c r="GQ671" s="72"/>
      <c r="GR671" s="144"/>
      <c r="GS671" s="72"/>
      <c r="GT671" s="144"/>
      <c r="GU671" s="72"/>
      <c r="GV671" s="144"/>
      <c r="GW671" s="72"/>
      <c r="GX671" s="144"/>
      <c r="GY671" s="72"/>
      <c r="GZ671" s="72" t="str">
        <f t="shared" si="3169"/>
        <v>NA</v>
      </c>
      <c r="HA671" s="72"/>
      <c r="HB671" s="72"/>
      <c r="HC671"/>
      <c r="HD671"/>
      <c r="HE671"/>
      <c r="HF671"/>
      <c r="HG671"/>
      <c r="HH671"/>
      <c r="HI671" s="2"/>
    </row>
    <row r="672" spans="1:217" s="3" customFormat="1" ht="12.75" customHeight="1" x14ac:dyDescent="0.2">
      <c r="B672" s="182" t="s">
        <v>405</v>
      </c>
      <c r="C672" s="145"/>
      <c r="D672" s="145"/>
      <c r="E672" s="145"/>
      <c r="F672" s="11"/>
      <c r="G672" s="145"/>
      <c r="H672" s="11"/>
      <c r="I672" s="145"/>
      <c r="J672" s="11"/>
      <c r="K672" s="145"/>
      <c r="L672" s="72"/>
      <c r="M672" s="145"/>
      <c r="N672" s="72"/>
      <c r="O672" s="145"/>
      <c r="P672" s="72"/>
      <c r="Q672" s="145"/>
      <c r="R672" s="72"/>
      <c r="S672" s="145"/>
      <c r="T672" s="72"/>
      <c r="U672" s="145"/>
      <c r="V672" s="72"/>
      <c r="W672" s="145"/>
      <c r="X672" s="72"/>
      <c r="Y672" s="145"/>
      <c r="Z672" s="72"/>
      <c r="AA672" s="145"/>
      <c r="AB672" s="72"/>
      <c r="AC672" s="145"/>
      <c r="AD672" s="72"/>
      <c r="AE672" s="145"/>
      <c r="AF672" s="72"/>
      <c r="AG672" s="145"/>
      <c r="AH672" s="72"/>
      <c r="AI672" s="145"/>
      <c r="AJ672" s="72"/>
      <c r="AK672" s="145"/>
      <c r="AL672" s="72"/>
      <c r="AM672" s="145"/>
      <c r="AN672" s="72"/>
      <c r="AO672" s="145"/>
      <c r="AP672" s="72"/>
      <c r="AQ672" s="145"/>
      <c r="AR672" s="72"/>
      <c r="AS672" s="145"/>
      <c r="AT672" s="72"/>
      <c r="AU672" s="145"/>
      <c r="AV672" s="72"/>
      <c r="AW672" s="145"/>
      <c r="AX672" s="72"/>
      <c r="AY672" s="145"/>
      <c r="AZ672" s="72"/>
      <c r="BA672" s="145"/>
      <c r="BB672" s="72"/>
      <c r="BC672" s="145"/>
      <c r="BD672" s="72"/>
      <c r="BE672" s="145"/>
      <c r="BF672" s="72"/>
      <c r="BG672" s="145"/>
      <c r="BH672" s="72"/>
      <c r="BI672" s="145"/>
      <c r="BJ672" s="72"/>
      <c r="BK672" s="145"/>
      <c r="BL672" s="72"/>
      <c r="BM672" s="145"/>
      <c r="BN672" s="72"/>
      <c r="BO672" s="145"/>
      <c r="BP672" s="72"/>
      <c r="BQ672" s="145"/>
      <c r="BR672" s="72"/>
      <c r="BS672" s="145"/>
      <c r="BT672" s="72"/>
      <c r="BU672" s="145"/>
      <c r="BV672" s="72"/>
      <c r="BW672" s="145"/>
      <c r="BX672" s="72"/>
      <c r="BY672" s="145"/>
      <c r="BZ672" s="72"/>
      <c r="CA672" s="145"/>
      <c r="CB672" s="72"/>
      <c r="CC672" s="145"/>
      <c r="CD672" s="72"/>
      <c r="CE672" s="145"/>
      <c r="CF672" s="72"/>
      <c r="CG672" s="145"/>
      <c r="CH672" s="72"/>
      <c r="CI672" s="145"/>
      <c r="CJ672" s="72"/>
      <c r="CK672" s="145"/>
      <c r="CL672" s="72"/>
      <c r="CM672" s="145"/>
      <c r="CN672" s="72"/>
      <c r="CO672" s="145"/>
      <c r="CP672" s="72"/>
      <c r="CQ672" s="145"/>
      <c r="CR672" s="72"/>
      <c r="CS672" s="145"/>
      <c r="CT672" s="72"/>
      <c r="CU672" s="145"/>
      <c r="CV672" s="72"/>
      <c r="CW672" s="145"/>
      <c r="CX672" s="72"/>
      <c r="CY672" s="145"/>
      <c r="CZ672" s="72"/>
      <c r="DA672" s="145"/>
      <c r="DB672" s="72"/>
      <c r="DC672" s="145"/>
      <c r="DD672" s="72"/>
      <c r="DE672" s="145"/>
      <c r="DF672" s="72"/>
      <c r="DG672" s="145"/>
      <c r="DH672" s="72"/>
      <c r="DI672" s="145"/>
      <c r="DJ672" s="72"/>
      <c r="DK672" s="145"/>
      <c r="DL672" s="72"/>
      <c r="DM672" s="145"/>
      <c r="DN672" s="72"/>
      <c r="DO672" s="145"/>
      <c r="DP672" s="72"/>
      <c r="DQ672" s="145"/>
      <c r="DR672" s="72"/>
      <c r="DS672" s="145"/>
      <c r="DT672" s="72"/>
      <c r="DU672" s="145"/>
      <c r="DV672" s="72"/>
      <c r="DW672" s="144"/>
      <c r="DX672" s="72"/>
      <c r="DY672" s="144"/>
      <c r="DZ672" s="72"/>
      <c r="EA672" s="144"/>
      <c r="EB672" s="72"/>
      <c r="EC672" s="144"/>
      <c r="ED672" s="72"/>
      <c r="EE672" s="144"/>
      <c r="EF672" s="72"/>
      <c r="EG672" s="144"/>
      <c r="EH672" s="72"/>
      <c r="EI672" s="144"/>
      <c r="EJ672" s="72"/>
      <c r="EK672" s="144"/>
      <c r="EL672" s="72"/>
      <c r="EM672" s="144"/>
      <c r="EN672" s="72"/>
      <c r="EO672" s="144"/>
      <c r="EP672" s="72"/>
      <c r="EQ672" s="144"/>
      <c r="ER672" s="72"/>
      <c r="ES672" s="144"/>
      <c r="ET672" s="72"/>
      <c r="EU672" s="144"/>
      <c r="EV672" s="72"/>
      <c r="EW672" s="144"/>
      <c r="EX672" s="72"/>
      <c r="EY672" s="72"/>
      <c r="EZ672" s="296"/>
      <c r="FA672" s="72"/>
      <c r="FB672" s="9"/>
      <c r="FC672" s="11"/>
      <c r="FD672" s="150"/>
      <c r="FE672" s="72"/>
      <c r="FF672" s="145"/>
      <c r="FG672" s="72"/>
      <c r="FH672" s="145"/>
      <c r="FI672" s="72"/>
      <c r="FJ672" s="145"/>
      <c r="FK672" s="72"/>
      <c r="FL672" s="145"/>
      <c r="FM672" s="72"/>
      <c r="FN672" s="145"/>
      <c r="FO672" s="72"/>
      <c r="FP672" s="145"/>
      <c r="FQ672" s="72"/>
      <c r="FR672" s="144"/>
      <c r="FS672" s="72"/>
      <c r="FT672" s="144"/>
      <c r="FU672" s="72"/>
      <c r="FV672" s="144"/>
      <c r="FW672" s="72"/>
      <c r="FX672" s="144"/>
      <c r="FY672" s="72"/>
      <c r="FZ672" s="144"/>
      <c r="GA672" s="72"/>
      <c r="GB672" s="144"/>
      <c r="GC672" s="72"/>
      <c r="GD672" s="144"/>
      <c r="GE672" s="72"/>
      <c r="GF672" s="144"/>
      <c r="GG672" s="72"/>
      <c r="GH672" s="144"/>
      <c r="GI672" s="72"/>
      <c r="GJ672" s="144"/>
      <c r="GK672" s="72"/>
      <c r="GL672" s="144"/>
      <c r="GM672" s="72"/>
      <c r="GN672" s="144"/>
      <c r="GO672" s="72"/>
      <c r="GP672" s="144"/>
      <c r="GQ672" s="72"/>
      <c r="GR672" s="144"/>
      <c r="GS672" s="72"/>
      <c r="GT672" s="144"/>
      <c r="GU672" s="72"/>
      <c r="GV672" s="144"/>
      <c r="GW672" s="72"/>
      <c r="GX672" s="144"/>
      <c r="GY672" s="72"/>
      <c r="GZ672" s="72" t="str">
        <f t="shared" si="3169"/>
        <v>NA</v>
      </c>
      <c r="HA672" s="72"/>
      <c r="HB672" s="72"/>
      <c r="HC672"/>
      <c r="HD672"/>
      <c r="HE672"/>
      <c r="HF672"/>
      <c r="HG672"/>
      <c r="HH672"/>
      <c r="HI672" s="2"/>
    </row>
    <row r="673" spans="1:217" s="3" customFormat="1" ht="12.75" customHeight="1" x14ac:dyDescent="0.2">
      <c r="B673" s="200" t="s">
        <v>261</v>
      </c>
      <c r="C673" s="150" t="s">
        <v>269</v>
      </c>
      <c r="D673" s="145"/>
      <c r="E673" s="150" t="s">
        <v>269</v>
      </c>
      <c r="F673" s="11"/>
      <c r="G673" s="150" t="s">
        <v>269</v>
      </c>
      <c r="H673" s="11"/>
      <c r="I673" s="150" t="s">
        <v>269</v>
      </c>
      <c r="J673" s="11"/>
      <c r="K673" s="150" t="s">
        <v>269</v>
      </c>
      <c r="L673" s="72" t="str">
        <f t="shared" ref="L673:L679" si="3190">IF(ISERROR(K673/C673),"NA",IF(OR(K673/C673&gt;2,K673/C673&lt;0.5),"NM",K673/C673*100-100))</f>
        <v>NA</v>
      </c>
      <c r="M673" s="150" t="s">
        <v>269</v>
      </c>
      <c r="N673" s="72" t="str">
        <f t="shared" ref="N673:N679" si="3191">IF(ISERROR(M673/E673),"NA",IF(OR(M673/E673&gt;2,M673/E673&lt;0.5),"NM",M673/E673*100-100))</f>
        <v>NA</v>
      </c>
      <c r="O673" s="150" t="s">
        <v>269</v>
      </c>
      <c r="P673" s="72" t="str">
        <f t="shared" ref="P673:P679" si="3192">IF(ISERROR(O673/G673),"NA",IF(OR(O673/G673&gt;2,O673/G673&lt;0.5),"NM",O673/G673*100-100))</f>
        <v>NA</v>
      </c>
      <c r="Q673" s="150" t="s">
        <v>269</v>
      </c>
      <c r="R673" s="72" t="str">
        <f t="shared" ref="R673:AP679" si="3193">IF(ISERROR(Q673/I673),"NA",IF(OR(Q673/I673&gt;2,Q673/I673&lt;0.5),"NM",Q673/I673*100-100))</f>
        <v>NA</v>
      </c>
      <c r="S673" s="150" t="s">
        <v>269</v>
      </c>
      <c r="T673" s="72" t="str">
        <f t="shared" si="3193"/>
        <v>NA</v>
      </c>
      <c r="U673" s="150" t="s">
        <v>269</v>
      </c>
      <c r="V673" s="72" t="str">
        <f t="shared" si="3193"/>
        <v>NA</v>
      </c>
      <c r="W673" s="150" t="s">
        <v>269</v>
      </c>
      <c r="X673" s="72" t="str">
        <f t="shared" si="3193"/>
        <v>NA</v>
      </c>
      <c r="Y673" s="150" t="s">
        <v>269</v>
      </c>
      <c r="Z673" s="72" t="str">
        <f t="shared" si="3193"/>
        <v>NA</v>
      </c>
      <c r="AA673" s="150" t="s">
        <v>269</v>
      </c>
      <c r="AB673" s="72" t="str">
        <f t="shared" si="3193"/>
        <v>NA</v>
      </c>
      <c r="AC673" s="150" t="s">
        <v>269</v>
      </c>
      <c r="AD673" s="72" t="str">
        <f t="shared" si="3193"/>
        <v>NA</v>
      </c>
      <c r="AE673" s="150" t="s">
        <v>269</v>
      </c>
      <c r="AF673" s="72" t="str">
        <f t="shared" si="3193"/>
        <v>NA</v>
      </c>
      <c r="AG673" s="150" t="s">
        <v>269</v>
      </c>
      <c r="AH673" s="72" t="str">
        <f t="shared" si="3193"/>
        <v>NA</v>
      </c>
      <c r="AI673" s="150" t="s">
        <v>269</v>
      </c>
      <c r="AJ673" s="72" t="str">
        <f t="shared" si="3193"/>
        <v>NA</v>
      </c>
      <c r="AK673" s="150" t="s">
        <v>269</v>
      </c>
      <c r="AL673" s="72" t="str">
        <f t="shared" si="3193"/>
        <v>NA</v>
      </c>
      <c r="AM673" s="150" t="s">
        <v>269</v>
      </c>
      <c r="AN673" s="72" t="str">
        <f t="shared" si="3193"/>
        <v>NA</v>
      </c>
      <c r="AO673" s="150" t="s">
        <v>269</v>
      </c>
      <c r="AP673" s="72" t="str">
        <f t="shared" si="3193"/>
        <v>NA</v>
      </c>
      <c r="AQ673" s="150" t="s">
        <v>269</v>
      </c>
      <c r="AR673" s="72" t="str">
        <f t="shared" ref="AR673:AR679" si="3194">IF(ISERROR(AQ673/AI673),"NA",IF(OR(AQ673/AI673&gt;2,AQ673/AI673&lt;0.5),"NM",AQ673/AI673*100-100))</f>
        <v>NA</v>
      </c>
      <c r="AS673" s="150" t="s">
        <v>269</v>
      </c>
      <c r="AT673" s="72" t="str">
        <f t="shared" ref="AT673:AT679" si="3195">IF(ISERROR(AS673/AK673),"NA",IF(OR(AS673/AK673&gt;2,AS673/AK673&lt;0.5),"NM",AS673/AK673*100-100))</f>
        <v>NA</v>
      </c>
      <c r="AU673" s="150" t="s">
        <v>269</v>
      </c>
      <c r="AV673" s="72" t="str">
        <f t="shared" ref="AV673:AV679" si="3196">IF(ISERROR(AU673/AM673),"NA",IF(OR(AU673/AM673&gt;2,AU673/AM673&lt;0.5),"NM",AU673/AM673*100-100))</f>
        <v>NA</v>
      </c>
      <c r="AW673" s="150" t="s">
        <v>269</v>
      </c>
      <c r="AX673" s="72" t="str">
        <f t="shared" ref="AX673:AX679" si="3197">IF(ISERROR(AW673/AO673),"NA",IF(OR(AW673/AO673&gt;2,AW673/AO673&lt;0.5),"NM",AW673/AO673*100-100))</f>
        <v>NA</v>
      </c>
      <c r="AY673" s="150" t="s">
        <v>269</v>
      </c>
      <c r="AZ673" s="72" t="str">
        <f t="shared" ref="AZ673:AZ679" si="3198">IF(ISERROR(AY673/AQ673),"NA",IF(OR(AY673/AQ673&gt;2,AY673/AQ673&lt;0.5),"NM",AY673/AQ673*100-100))</f>
        <v>NA</v>
      </c>
      <c r="BA673" s="150" t="s">
        <v>269</v>
      </c>
      <c r="BB673" s="72" t="str">
        <f t="shared" ref="BB673:BB679" si="3199">IF(ISERROR(BA673/AS673),"NA",IF(OR(BA673/AS673&gt;2,BA673/AS673&lt;0.5),"NM",BA673/AS673*100-100))</f>
        <v>NA</v>
      </c>
      <c r="BC673" s="150" t="s">
        <v>269</v>
      </c>
      <c r="BD673" s="72" t="str">
        <f t="shared" ref="BD673:BD679" si="3200">IF(ISERROR(BC673/AU673),"NA",IF(OR(BC673/AU673&gt;2,BC673/AU673&lt;0.5),"NM",BC673/AU673*100-100))</f>
        <v>NA</v>
      </c>
      <c r="BE673" s="150" t="s">
        <v>269</v>
      </c>
      <c r="BF673" s="72" t="str">
        <f t="shared" ref="BF673:BF679" si="3201">IF(ISERROR(BE673/AW673),"NA",IF(OR(BE673/AW673&gt;2,BE673/AW673&lt;0.5),"NM",BE673/AW673*100-100))</f>
        <v>NA</v>
      </c>
      <c r="BG673" s="150" t="s">
        <v>269</v>
      </c>
      <c r="BH673" s="72" t="str">
        <f t="shared" ref="BH673:BH679" si="3202">IF(ISERROR(BG673/AY673),"NA",IF(OR(BG673/AY673&gt;2,BG673/AY673&lt;0.5),"NM",BG673/AY673*100-100))</f>
        <v>NA</v>
      </c>
      <c r="BI673" s="150" t="s">
        <v>269</v>
      </c>
      <c r="BJ673" s="72" t="str">
        <f t="shared" ref="BJ673:BJ679" si="3203">IF(ISERROR(BI673/BA673),"NA",IF(OR(BI673/BA673&gt;2,BI673/BA673&lt;0.5),"NM",BI673/BA673*100-100))</f>
        <v>NA</v>
      </c>
      <c r="BK673" s="150" t="s">
        <v>269</v>
      </c>
      <c r="BL673" s="72" t="str">
        <f t="shared" ref="BL673:BL679" si="3204">IF(ISERROR(BK673/BC673),"NA",IF(OR(BK673/BC673&gt;2,BK673/BC673&lt;0.5),"NM",BK673/BC673*100-100))</f>
        <v>NA</v>
      </c>
      <c r="BM673" s="150" t="s">
        <v>269</v>
      </c>
      <c r="BN673" s="72" t="str">
        <f t="shared" ref="BN673:BN679" si="3205">IF(ISERROR(BM673/BE673),"NA",IF(OR(BM673/BE673&gt;2,BM673/BE673&lt;0.5),"NM",BM673/BE673*100-100))</f>
        <v>NA</v>
      </c>
      <c r="BO673" s="150" t="s">
        <v>269</v>
      </c>
      <c r="BP673" s="72" t="str">
        <f t="shared" ref="BP673:BP679" si="3206">IF(ISERROR(BO673/BG673),"NA",IF(OR(BO673/BG673&gt;2,BO673/BG673&lt;0.5),"NM",BO673/BG673*100-100))</f>
        <v>NA</v>
      </c>
      <c r="BQ673" s="150" t="s">
        <v>269</v>
      </c>
      <c r="BR673" s="72" t="str">
        <f t="shared" ref="BR673:BR679" si="3207">IF(ISERROR(BQ673/BI673),"NA",IF(OR(BQ673/BI673&gt;2,BQ673/BI673&lt;0.5),"NM",BQ673/BI673*100-100))</f>
        <v>NA</v>
      </c>
      <c r="BS673" s="150" t="s">
        <v>269</v>
      </c>
      <c r="BT673" s="72" t="str">
        <f t="shared" ref="BT673:BT679" si="3208">IF(ISERROR(BS673/BK673),"NA",IF(OR(BS673/BK673&gt;2,BS673/BK673&lt;0.5),"NM",BS673/BK673*100-100))</f>
        <v>NA</v>
      </c>
      <c r="BU673" s="150" t="s">
        <v>269</v>
      </c>
      <c r="BV673" s="72" t="str">
        <f t="shared" ref="BV673:BV679" si="3209">IF(ISERROR(BU673/BM673),"NA",IF(OR(BU673/BM673&gt;2,BU673/BM673&lt;0.5),"NM",BU673/BM673*100-100))</f>
        <v>NA</v>
      </c>
      <c r="BW673" s="150" t="s">
        <v>269</v>
      </c>
      <c r="BX673" s="72" t="str">
        <f t="shared" ref="BX673:BX679" si="3210">IF(ISERROR(BW673/BO673),"NA",IF(OR(BW673/BO673&gt;2,BW673/BO673&lt;0.5),"NM",BW673/BO673*100-100))</f>
        <v>NA</v>
      </c>
      <c r="BY673" s="150" t="s">
        <v>269</v>
      </c>
      <c r="BZ673" s="72" t="str">
        <f t="shared" ref="BZ673:BZ679" si="3211">IF(ISERROR(BY673/BQ673),"NA",IF(OR(BY673/BQ673&gt;2,BY673/BQ673&lt;0.5),"NM",BY673/BQ673*100-100))</f>
        <v>NA</v>
      </c>
      <c r="CA673" s="150" t="s">
        <v>269</v>
      </c>
      <c r="CB673" s="72" t="str">
        <f t="shared" ref="CB673:CB679" si="3212">IF(ISERROR(CA673/BS673),"NA",IF(OR(CA673/BS673&gt;2,CA673/BS673&lt;0.5),"NM",CA673/BS673*100-100))</f>
        <v>NA</v>
      </c>
      <c r="CC673" s="150" t="s">
        <v>269</v>
      </c>
      <c r="CD673" s="72" t="str">
        <f t="shared" ref="CD673:CD679" si="3213">IF(ISERROR(CC673/BU673),"NA",IF(OR(CC673/BU673&gt;2,CC673/BU673&lt;0.5),"NM",CC673/BU673*100-100))</f>
        <v>NA</v>
      </c>
      <c r="CE673" s="150" t="s">
        <v>269</v>
      </c>
      <c r="CF673" s="72" t="str">
        <f t="shared" ref="CF673:CF679" si="3214">IF(ISERROR(CE673/BW673),"NA",IF(OR(CE673/BW673&gt;2,CE673/BW673&lt;0.5),"NM",CE673/BW673*100-100))</f>
        <v>NA</v>
      </c>
      <c r="CG673" s="150" t="s">
        <v>269</v>
      </c>
      <c r="CH673" s="72" t="str">
        <f t="shared" ref="CH673:CH679" si="3215">IF(ISERROR(CG673/BY673),"NA",IF(OR(CG673/BY673&gt;2,CG673/BY673&lt;0.5),"NM",CG673/BY673*100-100))</f>
        <v>NA</v>
      </c>
      <c r="CI673" s="150" t="s">
        <v>269</v>
      </c>
      <c r="CJ673" s="72" t="str">
        <f t="shared" ref="CJ673:CT679" si="3216">IF(ISERROR(CI673/CA673),"NA",IF(OR(CI673/CA673&gt;2,CI673/CA673&lt;0.5),"NM",CI673/CA673*100-100))</f>
        <v>NA</v>
      </c>
      <c r="CK673" s="150" t="s">
        <v>269</v>
      </c>
      <c r="CL673" s="72" t="str">
        <f t="shared" si="3216"/>
        <v>NA</v>
      </c>
      <c r="CM673" s="150" t="s">
        <v>269</v>
      </c>
      <c r="CN673" s="72" t="str">
        <f t="shared" si="3216"/>
        <v>NA</v>
      </c>
      <c r="CO673" s="150" t="s">
        <v>269</v>
      </c>
      <c r="CP673" s="72" t="str">
        <f t="shared" si="3216"/>
        <v>NA</v>
      </c>
      <c r="CQ673" s="150" t="s">
        <v>269</v>
      </c>
      <c r="CR673" s="72" t="str">
        <f t="shared" si="3216"/>
        <v>NA</v>
      </c>
      <c r="CS673" s="150" t="s">
        <v>269</v>
      </c>
      <c r="CT673" s="72" t="str">
        <f t="shared" si="3216"/>
        <v>NA</v>
      </c>
      <c r="CU673" s="150" t="s">
        <v>269</v>
      </c>
      <c r="CV673" s="72" t="str">
        <f t="shared" ref="CV673:CV679" si="3217">IF(ISERROR(CU673/CM673),"NA",IF(OR(CU673/CM673&gt;2,CU673/CM673&lt;0.5),"NM",CU673/CM673*100-100))</f>
        <v>NA</v>
      </c>
      <c r="CW673" s="150" t="s">
        <v>269</v>
      </c>
      <c r="CX673" s="72" t="str">
        <f t="shared" ref="CX673:CX679" si="3218">IF(ISERROR(CW673/CO673),"NA",IF(OR(CW673/CO673&gt;2,CW673/CO673&lt;0.5),"NM",CW673/CO673*100-100))</f>
        <v>NA</v>
      </c>
      <c r="CY673" s="150" t="s">
        <v>269</v>
      </c>
      <c r="CZ673" s="72" t="str">
        <f t="shared" ref="CZ673:CZ679" si="3219">IF(ISERROR(CY673/CQ673),"NA",IF(OR(CY673/CQ673&gt;2,CY673/CQ673&lt;0.5),"NM",CY673/CQ673*100-100))</f>
        <v>NA</v>
      </c>
      <c r="DA673" s="150" t="s">
        <v>269</v>
      </c>
      <c r="DB673" s="72" t="str">
        <f t="shared" ref="DB673:DB679" si="3220">IF(ISERROR(DA673/CS673),"NA",IF(OR(DA673/CS673&gt;2,DA673/CS673&lt;0.5),"NM",DA673/CS673*100-100))</f>
        <v>NA</v>
      </c>
      <c r="DC673" s="150" t="s">
        <v>269</v>
      </c>
      <c r="DD673" s="72" t="str">
        <f t="shared" ref="DD673:DD679" si="3221">IF(ISERROR(DC673/CU673),"NA",IF(OR(DC673/CU673&gt;2,DC673/CU673&lt;0.5),"NM",DC673/CU673*100-100))</f>
        <v>NA</v>
      </c>
      <c r="DE673" s="150" t="s">
        <v>269</v>
      </c>
      <c r="DF673" s="72" t="str">
        <f t="shared" ref="DF673:DF679" si="3222">IF(ISERROR(DE673/CW673),"NA",IF(OR(DE673/CW673&gt;2,DE673/CW673&lt;0.5),"NM",DE673/CW673*100-100))</f>
        <v>NA</v>
      </c>
      <c r="DG673" s="150" t="s">
        <v>269</v>
      </c>
      <c r="DH673" s="72" t="str">
        <f t="shared" ref="DH673:DH679" si="3223">IF(ISERROR(DG673/CY673),"NA",IF(OR(DG673/CY673&gt;2,DG673/CY673&lt;0.5),"NM",DG673/CY673*100-100))</f>
        <v>NA</v>
      </c>
      <c r="DI673" s="150" t="s">
        <v>269</v>
      </c>
      <c r="DJ673" s="72" t="str">
        <f t="shared" ref="DJ673:DJ679" si="3224">IF(ISERROR(DI673/DA673),"NA",IF(OR(DI673/DA673&gt;2,DI673/DA673&lt;0.5),"NM",DI673/DA673*100-100))</f>
        <v>NA</v>
      </c>
      <c r="DK673" s="150" t="s">
        <v>269</v>
      </c>
      <c r="DL673" s="72" t="str">
        <f t="shared" ref="DL673:DL679" si="3225">IF(ISERROR(DK673/DC673),"NA",IF(OR(DK673/DC673&gt;2,DK673/DC673&lt;0.5),"NM",DK673/DC673*100-100))</f>
        <v>NA</v>
      </c>
      <c r="DM673" s="150" t="s">
        <v>269</v>
      </c>
      <c r="DN673" s="72" t="str">
        <f t="shared" ref="DN673:DZ679" si="3226">IF(ISERROR(DM673/DE673),"NA",IF(OR(DM673/DE673&gt;2,DM673/DE673&lt;0.5),"NM",DM673/DE673*100-100))</f>
        <v>NA</v>
      </c>
      <c r="DO673" s="150" t="s">
        <v>269</v>
      </c>
      <c r="DP673" s="72" t="str">
        <f t="shared" si="3226"/>
        <v>NA</v>
      </c>
      <c r="DQ673" s="150" t="s">
        <v>269</v>
      </c>
      <c r="DR673" s="72" t="str">
        <f t="shared" si="3226"/>
        <v>NA</v>
      </c>
      <c r="DS673" s="150" t="s">
        <v>269</v>
      </c>
      <c r="DT673" s="72" t="str">
        <f t="shared" si="3226"/>
        <v>NA</v>
      </c>
      <c r="DU673" s="150" t="s">
        <v>269</v>
      </c>
      <c r="DV673" s="72" t="str">
        <f t="shared" si="3226"/>
        <v>NA</v>
      </c>
      <c r="DW673" s="150" t="s">
        <v>269</v>
      </c>
      <c r="DX673" s="72" t="str">
        <f t="shared" si="3226"/>
        <v>NA</v>
      </c>
      <c r="DY673" s="150" t="s">
        <v>269</v>
      </c>
      <c r="DZ673" s="72" t="str">
        <f t="shared" si="3226"/>
        <v>NA</v>
      </c>
      <c r="EA673" s="150" t="s">
        <v>269</v>
      </c>
      <c r="EB673" s="72" t="str">
        <f t="shared" ref="EB673:EB679" si="3227">IF(ISERROR(EA673/DS673),"NA",IF(OR(EA673/DS673&gt;2,EA673/DS673&lt;0.5),"NM",EA673/DS673*100-100))</f>
        <v>NA</v>
      </c>
      <c r="EC673" s="150" t="s">
        <v>269</v>
      </c>
      <c r="ED673" s="72" t="str">
        <f t="shared" ref="ED673:ED679" si="3228">IF(ISERROR(EC673/DU673),"NA",IF(OR(EC673/DU673&gt;2,EC673/DU673&lt;0.5),"NM",EC673/DU673*100-100))</f>
        <v>NA</v>
      </c>
      <c r="EE673" s="150" t="s">
        <v>269</v>
      </c>
      <c r="EF673" s="72" t="str">
        <f t="shared" ref="EF673:EF679" si="3229">IF(ISERROR(EE673/DW673),"NA",IF(OR(EE673/DW673&gt;2,EE673/DW673&lt;0.5),"NM",EE673/DW673*100-100))</f>
        <v>NA</v>
      </c>
      <c r="EG673" s="150" t="s">
        <v>269</v>
      </c>
      <c r="EH673" s="72" t="str">
        <f t="shared" ref="EH673:EH679" si="3230">IF(ISERROR(EG673/DY673),"NA",IF(OR(EG673/DY673&gt;2,EG673/DY673&lt;0.5),"NM",EG673/DY673*100-100))</f>
        <v>NA</v>
      </c>
      <c r="EI673" s="150" t="s">
        <v>269</v>
      </c>
      <c r="EJ673" s="72" t="str">
        <f t="shared" ref="EJ673:EJ679" si="3231">IF(ISERROR(EI673/EA673),"NA",IF(OR(EI673/EA673&gt;2,EI673/EA673&lt;0.5),"NM",EI673/EA673*100-100))</f>
        <v>NA</v>
      </c>
      <c r="EK673" s="150" t="s">
        <v>269</v>
      </c>
      <c r="EL673" s="72" t="str">
        <f t="shared" ref="EL673:EL679" si="3232">IF(ISERROR(EK673/EC673),"NA",IF(OR(EK673/EC673&gt;2,EK673/EC673&lt;0.5),"NM",EK673/EC673*100-100))</f>
        <v>NA</v>
      </c>
      <c r="EM673" s="150" t="s">
        <v>269</v>
      </c>
      <c r="EN673" s="72" t="str">
        <f t="shared" ref="EN673:EN679" si="3233">IF(ISERROR(EM673/EE673),"NA",IF(OR(EM673/EE673&gt;2,EM673/EE673&lt;0.5),"NM",EM673/EE673*100-100))</f>
        <v>NA</v>
      </c>
      <c r="EO673" s="150" t="s">
        <v>269</v>
      </c>
      <c r="EP673" s="72" t="str">
        <f t="shared" ref="EP673:EP679" si="3234">IF(ISERROR(EO673/EG673),"NA",IF(OR(EO673/EG673&gt;2,EO673/EG673&lt;0.5),"NM",EO673/EG673*100-100))</f>
        <v>NA</v>
      </c>
      <c r="EQ673" s="150" t="s">
        <v>269</v>
      </c>
      <c r="ER673" s="72" t="str">
        <f t="shared" ref="ER673:ER679" si="3235">IF(ISERROR(EQ673/EI673),"NA",IF(OR(EQ673/EI673&gt;2,EQ673/EI673&lt;0.5),"NM",EQ673/EI673*100-100))</f>
        <v>NA</v>
      </c>
      <c r="ES673" s="150" t="s">
        <v>269</v>
      </c>
      <c r="ET673" s="72" t="str">
        <f t="shared" ref="ET673:ET679" si="3236">IF(ISERROR(ES673/EK673),"NA",IF(OR(ES673/EK673&gt;2,ES673/EK673&lt;0.5),"NM",ES673/EK673*100-100))</f>
        <v>NA</v>
      </c>
      <c r="EU673" s="150" t="s">
        <v>269</v>
      </c>
      <c r="EV673" s="72" t="str">
        <f t="shared" ref="EV673:EV679" si="3237">IF(ISERROR(EU673/EM673),"NA",IF(OR(EU673/EM673&gt;2,EU673/EM673&lt;0.5),"NM",EU673/EM673*100-100))</f>
        <v>NA</v>
      </c>
      <c r="EW673" s="150" t="s">
        <v>269</v>
      </c>
      <c r="EX673" s="72" t="str">
        <f t="shared" ref="EX673:EX679" si="3238">IF(ISERROR(EW673/EO673),"NA",IF(OR(EW673/EO673&gt;2,EW673/EO673&lt;0.5),"NM",EW673/EO673*100-100))</f>
        <v>NA</v>
      </c>
      <c r="EY673" s="72"/>
      <c r="EZ673" s="296"/>
      <c r="FA673" s="72"/>
      <c r="FB673" s="9"/>
      <c r="FC673" s="11"/>
      <c r="FD673" s="150"/>
      <c r="FE673" s="72"/>
      <c r="FF673" s="150" t="s">
        <v>269</v>
      </c>
      <c r="FG673" s="72" t="str">
        <f t="shared" ref="FG673:FG679" si="3239">IF(ISERROR(FF673/FD673),"NA",IF(OR(FF673/FD673&gt;2,FF673/FD673&lt;0.5),"NM",FF673/FD673*100-100))</f>
        <v>NA</v>
      </c>
      <c r="FH673" s="150" t="s">
        <v>269</v>
      </c>
      <c r="FI673" s="72" t="str">
        <f t="shared" ref="FI673:FI679" si="3240">IF(ISERROR(FH673/FF673),"NA",IF(OR(FH673/FF673&gt;2,FH673/FF673&lt;0.5),"NM",FH673/FF673*100-100))</f>
        <v>NA</v>
      </c>
      <c r="FJ673" s="150" t="s">
        <v>269</v>
      </c>
      <c r="FK673" s="72" t="str">
        <f t="shared" ref="FK673:FK679" si="3241">IF(ISERROR(FJ673/FH673),"NA",IF(OR(FJ673/FH673&gt;2,FJ673/FH673&lt;0.5),"NM",FJ673/FH673*100-100))</f>
        <v>NA</v>
      </c>
      <c r="FL673" s="150" t="s">
        <v>269</v>
      </c>
      <c r="FM673" s="72" t="str">
        <f t="shared" ref="FM673:FM679" si="3242">IF(ISERROR(FL673/FJ673),"NA",IF(OR(FL673/FJ673&gt;2,FL673/FJ673&lt;0.5),"NM",FL673/FJ673*100-100))</f>
        <v>NA</v>
      </c>
      <c r="FN673" s="150" t="s">
        <v>269</v>
      </c>
      <c r="FO673" s="72" t="str">
        <f t="shared" ref="FO673:FO679" si="3243">IF(ISERROR(FN673/FL673),"NA",IF(OR(FN673/FL673&gt;2,FN673/FL673&lt;0.5),"NM",FN673/FL673*100-100))</f>
        <v>NA</v>
      </c>
      <c r="FP673" s="150" t="s">
        <v>269</v>
      </c>
      <c r="FQ673" s="72" t="str">
        <f t="shared" ref="FQ673:FQ679" si="3244">IF(ISERROR(FP673/FN673),"NA",IF(OR(FP673/FN673&gt;2,FP673/FN673&lt;0.5),"NM",FP673/FN673*100-100))</f>
        <v>NA</v>
      </c>
      <c r="FR673" s="144" t="s">
        <v>269</v>
      </c>
      <c r="FS673" s="72" t="str">
        <f t="shared" ref="FS673:FS679" si="3245">IF(ISERROR(FR673/FP673),"NA",IF(OR(FR673/FP673&gt;2,FR673/FP673&lt;0.5),"NM",FR673/FP673*100-100))</f>
        <v>NA</v>
      </c>
      <c r="FT673" s="144" t="s">
        <v>269</v>
      </c>
      <c r="FU673" s="72" t="str">
        <f t="shared" ref="FU673:FU679" si="3246">IF(ISERROR(FT673/FR673),"NA",IF(OR(FT673/FR673&gt;2,FT673/FR673&lt;0.5),"NM",FT673/FR673*100-100))</f>
        <v>NA</v>
      </c>
      <c r="FV673" s="144" t="s">
        <v>269</v>
      </c>
      <c r="FW673" s="72" t="str">
        <f t="shared" ref="FW673:GG679" si="3247">IF(ISERROR(FV673/FT673),"NA",IF(OR(FV673/FT673&gt;2,FV673/FT673&lt;0.5),"NM",FV673/FT673*100-100))</f>
        <v>NA</v>
      </c>
      <c r="FX673" s="144" t="s">
        <v>269</v>
      </c>
      <c r="FY673" s="72" t="str">
        <f t="shared" si="3247"/>
        <v>NA</v>
      </c>
      <c r="FZ673" s="144" t="s">
        <v>269</v>
      </c>
      <c r="GA673" s="72" t="str">
        <f t="shared" si="3247"/>
        <v>NA</v>
      </c>
      <c r="GB673" s="144" t="s">
        <v>269</v>
      </c>
      <c r="GC673" s="72" t="str">
        <f t="shared" si="3247"/>
        <v>NA</v>
      </c>
      <c r="GD673" s="144" t="s">
        <v>269</v>
      </c>
      <c r="GE673" s="72" t="str">
        <f t="shared" si="3247"/>
        <v>NA</v>
      </c>
      <c r="GF673" s="144" t="s">
        <v>269</v>
      </c>
      <c r="GG673" s="72" t="str">
        <f t="shared" si="3247"/>
        <v>NA</v>
      </c>
      <c r="GH673" s="144" t="s">
        <v>269</v>
      </c>
      <c r="GI673" s="72" t="str">
        <f t="shared" ref="GI673:GU679" si="3248">IF(ISERROR(GH673/GF673),"NA",IF(OR(GH673/GF673&gt;2,GH673/GF673&lt;0.5),"NM",GH673/GF673*100-100))</f>
        <v>NA</v>
      </c>
      <c r="GJ673" s="144" t="s">
        <v>269</v>
      </c>
      <c r="GK673" s="72" t="str">
        <f t="shared" si="3248"/>
        <v>NA</v>
      </c>
      <c r="GL673" s="144" t="s">
        <v>269</v>
      </c>
      <c r="GM673" s="72" t="str">
        <f t="shared" si="3248"/>
        <v>NA</v>
      </c>
      <c r="GN673" s="144" t="s">
        <v>269</v>
      </c>
      <c r="GO673" s="72" t="str">
        <f t="shared" si="3248"/>
        <v>NA</v>
      </c>
      <c r="GP673" s="144" t="s">
        <v>269</v>
      </c>
      <c r="GQ673" s="72" t="str">
        <f t="shared" si="3248"/>
        <v>NA</v>
      </c>
      <c r="GR673" s="150" t="s">
        <v>269</v>
      </c>
      <c r="GS673" s="72" t="str">
        <f t="shared" si="3248"/>
        <v>NA</v>
      </c>
      <c r="GT673" s="150" t="s">
        <v>269</v>
      </c>
      <c r="GU673" s="72" t="str">
        <f t="shared" si="3248"/>
        <v>NA</v>
      </c>
      <c r="GV673" s="150" t="s">
        <v>269</v>
      </c>
      <c r="GW673" s="72" t="str">
        <f t="shared" ref="GW673:GW679" si="3249">IF(ISERROR(GV673/GT673),"NA",IF(OR(GV673/GT673&gt;2,GV673/GT673&lt;0.5),"NM",GV673/GT673*100-100))</f>
        <v>NA</v>
      </c>
      <c r="GX673" s="150" t="s">
        <v>269</v>
      </c>
      <c r="GY673" s="72" t="str">
        <f t="shared" ref="GY673:GY679" si="3250">IF(ISERROR(GX673/GV673),"NA",IF(OR(GX673/GV673&gt;2,GX673/GV673&lt;0.5),"NM",GX673/GV673*100-100))</f>
        <v>NA</v>
      </c>
      <c r="GZ673" s="72" t="str">
        <f t="shared" si="3169"/>
        <v>NA</v>
      </c>
      <c r="HA673" s="72"/>
      <c r="HB673" s="72"/>
      <c r="HC673"/>
      <c r="HD673"/>
      <c r="HE673"/>
      <c r="HF673"/>
      <c r="HG673"/>
      <c r="HH673"/>
      <c r="HI673" s="2"/>
    </row>
    <row r="674" spans="1:217" s="3" customFormat="1" ht="12.75" customHeight="1" x14ac:dyDescent="0.2">
      <c r="B674" s="200" t="s">
        <v>262</v>
      </c>
      <c r="C674" s="150" t="s">
        <v>269</v>
      </c>
      <c r="D674" s="145"/>
      <c r="E674" s="150" t="s">
        <v>269</v>
      </c>
      <c r="F674" s="11"/>
      <c r="G674" s="150" t="s">
        <v>269</v>
      </c>
      <c r="H674" s="11"/>
      <c r="I674" s="150" t="s">
        <v>269</v>
      </c>
      <c r="J674" s="11"/>
      <c r="K674" s="150" t="s">
        <v>269</v>
      </c>
      <c r="L674" s="72" t="str">
        <f t="shared" si="3190"/>
        <v>NA</v>
      </c>
      <c r="M674" s="150" t="s">
        <v>269</v>
      </c>
      <c r="N674" s="72" t="str">
        <f t="shared" si="3191"/>
        <v>NA</v>
      </c>
      <c r="O674" s="150" t="s">
        <v>269</v>
      </c>
      <c r="P674" s="72" t="str">
        <f t="shared" si="3192"/>
        <v>NA</v>
      </c>
      <c r="Q674" s="150" t="s">
        <v>269</v>
      </c>
      <c r="R674" s="72" t="str">
        <f t="shared" si="3193"/>
        <v>NA</v>
      </c>
      <c r="S674" s="150" t="s">
        <v>269</v>
      </c>
      <c r="T674" s="72" t="str">
        <f t="shared" si="3193"/>
        <v>NA</v>
      </c>
      <c r="U674" s="150" t="s">
        <v>269</v>
      </c>
      <c r="V674" s="72" t="str">
        <f t="shared" si="3193"/>
        <v>NA</v>
      </c>
      <c r="W674" s="150" t="s">
        <v>269</v>
      </c>
      <c r="X674" s="72" t="str">
        <f t="shared" si="3193"/>
        <v>NA</v>
      </c>
      <c r="Y674" s="150" t="s">
        <v>269</v>
      </c>
      <c r="Z674" s="72" t="str">
        <f t="shared" si="3193"/>
        <v>NA</v>
      </c>
      <c r="AA674" s="150" t="s">
        <v>269</v>
      </c>
      <c r="AB674" s="72" t="str">
        <f t="shared" si="3193"/>
        <v>NA</v>
      </c>
      <c r="AC674" s="150" t="s">
        <v>269</v>
      </c>
      <c r="AD674" s="72" t="str">
        <f t="shared" si="3193"/>
        <v>NA</v>
      </c>
      <c r="AE674" s="150" t="s">
        <v>269</v>
      </c>
      <c r="AF674" s="72" t="str">
        <f t="shared" si="3193"/>
        <v>NA</v>
      </c>
      <c r="AG674" s="150" t="s">
        <v>269</v>
      </c>
      <c r="AH674" s="72" t="str">
        <f t="shared" si="3193"/>
        <v>NA</v>
      </c>
      <c r="AI674" s="150" t="s">
        <v>269</v>
      </c>
      <c r="AJ674" s="72" t="str">
        <f t="shared" si="3193"/>
        <v>NA</v>
      </c>
      <c r="AK674" s="150" t="s">
        <v>269</v>
      </c>
      <c r="AL674" s="72" t="str">
        <f t="shared" si="3193"/>
        <v>NA</v>
      </c>
      <c r="AM674" s="150" t="s">
        <v>269</v>
      </c>
      <c r="AN674" s="72" t="str">
        <f t="shared" si="3193"/>
        <v>NA</v>
      </c>
      <c r="AO674" s="150" t="s">
        <v>269</v>
      </c>
      <c r="AP674" s="72" t="str">
        <f t="shared" si="3193"/>
        <v>NA</v>
      </c>
      <c r="AQ674" s="150" t="s">
        <v>269</v>
      </c>
      <c r="AR674" s="72" t="str">
        <f t="shared" si="3194"/>
        <v>NA</v>
      </c>
      <c r="AS674" s="150" t="s">
        <v>269</v>
      </c>
      <c r="AT674" s="72" t="str">
        <f t="shared" si="3195"/>
        <v>NA</v>
      </c>
      <c r="AU674" s="150" t="s">
        <v>269</v>
      </c>
      <c r="AV674" s="72" t="str">
        <f t="shared" si="3196"/>
        <v>NA</v>
      </c>
      <c r="AW674" s="150" t="s">
        <v>269</v>
      </c>
      <c r="AX674" s="72" t="str">
        <f t="shared" si="3197"/>
        <v>NA</v>
      </c>
      <c r="AY674" s="150" t="s">
        <v>269</v>
      </c>
      <c r="AZ674" s="72" t="str">
        <f t="shared" si="3198"/>
        <v>NA</v>
      </c>
      <c r="BA674" s="150" t="s">
        <v>269</v>
      </c>
      <c r="BB674" s="72" t="str">
        <f t="shared" si="3199"/>
        <v>NA</v>
      </c>
      <c r="BC674" s="150" t="s">
        <v>269</v>
      </c>
      <c r="BD674" s="72" t="str">
        <f t="shared" si="3200"/>
        <v>NA</v>
      </c>
      <c r="BE674" s="150" t="s">
        <v>269</v>
      </c>
      <c r="BF674" s="72" t="str">
        <f t="shared" si="3201"/>
        <v>NA</v>
      </c>
      <c r="BG674" s="150" t="s">
        <v>269</v>
      </c>
      <c r="BH674" s="72" t="str">
        <f t="shared" si="3202"/>
        <v>NA</v>
      </c>
      <c r="BI674" s="150" t="s">
        <v>269</v>
      </c>
      <c r="BJ674" s="72" t="str">
        <f t="shared" si="3203"/>
        <v>NA</v>
      </c>
      <c r="BK674" s="150" t="s">
        <v>269</v>
      </c>
      <c r="BL674" s="72" t="str">
        <f t="shared" si="3204"/>
        <v>NA</v>
      </c>
      <c r="BM674" s="150" t="s">
        <v>269</v>
      </c>
      <c r="BN674" s="72" t="str">
        <f t="shared" si="3205"/>
        <v>NA</v>
      </c>
      <c r="BO674" s="150" t="s">
        <v>269</v>
      </c>
      <c r="BP674" s="72" t="str">
        <f t="shared" si="3206"/>
        <v>NA</v>
      </c>
      <c r="BQ674" s="150" t="s">
        <v>269</v>
      </c>
      <c r="BR674" s="72" t="str">
        <f t="shared" si="3207"/>
        <v>NA</v>
      </c>
      <c r="BS674" s="150" t="s">
        <v>269</v>
      </c>
      <c r="BT674" s="72" t="str">
        <f t="shared" si="3208"/>
        <v>NA</v>
      </c>
      <c r="BU674" s="150" t="s">
        <v>269</v>
      </c>
      <c r="BV674" s="72" t="str">
        <f t="shared" si="3209"/>
        <v>NA</v>
      </c>
      <c r="BW674" s="150" t="s">
        <v>269</v>
      </c>
      <c r="BX674" s="72" t="str">
        <f t="shared" si="3210"/>
        <v>NA</v>
      </c>
      <c r="BY674" s="150" t="s">
        <v>269</v>
      </c>
      <c r="BZ674" s="72" t="str">
        <f t="shared" si="3211"/>
        <v>NA</v>
      </c>
      <c r="CA674" s="150" t="s">
        <v>269</v>
      </c>
      <c r="CB674" s="72" t="str">
        <f t="shared" si="3212"/>
        <v>NA</v>
      </c>
      <c r="CC674" s="150" t="s">
        <v>269</v>
      </c>
      <c r="CD674" s="72" t="str">
        <f t="shared" si="3213"/>
        <v>NA</v>
      </c>
      <c r="CE674" s="150" t="s">
        <v>269</v>
      </c>
      <c r="CF674" s="72" t="str">
        <f t="shared" si="3214"/>
        <v>NA</v>
      </c>
      <c r="CG674" s="150" t="s">
        <v>269</v>
      </c>
      <c r="CH674" s="72" t="str">
        <f t="shared" si="3215"/>
        <v>NA</v>
      </c>
      <c r="CI674" s="150" t="s">
        <v>269</v>
      </c>
      <c r="CJ674" s="72" t="str">
        <f t="shared" si="3216"/>
        <v>NA</v>
      </c>
      <c r="CK674" s="150" t="s">
        <v>269</v>
      </c>
      <c r="CL674" s="72" t="str">
        <f t="shared" si="3216"/>
        <v>NA</v>
      </c>
      <c r="CM674" s="150" t="s">
        <v>269</v>
      </c>
      <c r="CN674" s="72" t="str">
        <f t="shared" si="3216"/>
        <v>NA</v>
      </c>
      <c r="CO674" s="150" t="s">
        <v>269</v>
      </c>
      <c r="CP674" s="72" t="str">
        <f t="shared" si="3216"/>
        <v>NA</v>
      </c>
      <c r="CQ674" s="150" t="s">
        <v>269</v>
      </c>
      <c r="CR674" s="72" t="str">
        <f t="shared" si="3216"/>
        <v>NA</v>
      </c>
      <c r="CS674" s="150" t="s">
        <v>269</v>
      </c>
      <c r="CT674" s="72" t="str">
        <f t="shared" si="3216"/>
        <v>NA</v>
      </c>
      <c r="CU674" s="150" t="s">
        <v>269</v>
      </c>
      <c r="CV674" s="72" t="str">
        <f t="shared" si="3217"/>
        <v>NA</v>
      </c>
      <c r="CW674" s="150" t="s">
        <v>269</v>
      </c>
      <c r="CX674" s="72" t="str">
        <f t="shared" si="3218"/>
        <v>NA</v>
      </c>
      <c r="CY674" s="150" t="s">
        <v>269</v>
      </c>
      <c r="CZ674" s="72" t="str">
        <f t="shared" si="3219"/>
        <v>NA</v>
      </c>
      <c r="DA674" s="150" t="s">
        <v>269</v>
      </c>
      <c r="DB674" s="72" t="str">
        <f t="shared" si="3220"/>
        <v>NA</v>
      </c>
      <c r="DC674" s="150" t="s">
        <v>269</v>
      </c>
      <c r="DD674" s="72" t="str">
        <f t="shared" si="3221"/>
        <v>NA</v>
      </c>
      <c r="DE674" s="150" t="s">
        <v>269</v>
      </c>
      <c r="DF674" s="72" t="str">
        <f t="shared" si="3222"/>
        <v>NA</v>
      </c>
      <c r="DG674" s="150" t="s">
        <v>269</v>
      </c>
      <c r="DH674" s="72" t="str">
        <f t="shared" si="3223"/>
        <v>NA</v>
      </c>
      <c r="DI674" s="150" t="s">
        <v>269</v>
      </c>
      <c r="DJ674" s="72" t="str">
        <f t="shared" si="3224"/>
        <v>NA</v>
      </c>
      <c r="DK674" s="150" t="s">
        <v>269</v>
      </c>
      <c r="DL674" s="72" t="str">
        <f t="shared" si="3225"/>
        <v>NA</v>
      </c>
      <c r="DM674" s="150" t="s">
        <v>269</v>
      </c>
      <c r="DN674" s="72" t="str">
        <f t="shared" si="3226"/>
        <v>NA</v>
      </c>
      <c r="DO674" s="150" t="s">
        <v>269</v>
      </c>
      <c r="DP674" s="72" t="str">
        <f t="shared" si="3226"/>
        <v>NA</v>
      </c>
      <c r="DQ674" s="150" t="s">
        <v>269</v>
      </c>
      <c r="DR674" s="72" t="str">
        <f t="shared" si="3226"/>
        <v>NA</v>
      </c>
      <c r="DS674" s="150" t="s">
        <v>269</v>
      </c>
      <c r="DT674" s="72" t="str">
        <f t="shared" si="3226"/>
        <v>NA</v>
      </c>
      <c r="DU674" s="150" t="s">
        <v>269</v>
      </c>
      <c r="DV674" s="72" t="str">
        <f t="shared" si="3226"/>
        <v>NA</v>
      </c>
      <c r="DW674" s="150" t="s">
        <v>269</v>
      </c>
      <c r="DX674" s="72" t="str">
        <f t="shared" si="3226"/>
        <v>NA</v>
      </c>
      <c r="DY674" s="150" t="s">
        <v>269</v>
      </c>
      <c r="DZ674" s="72" t="str">
        <f t="shared" si="3226"/>
        <v>NA</v>
      </c>
      <c r="EA674" s="150" t="s">
        <v>269</v>
      </c>
      <c r="EB674" s="72" t="str">
        <f t="shared" si="3227"/>
        <v>NA</v>
      </c>
      <c r="EC674" s="150" t="s">
        <v>269</v>
      </c>
      <c r="ED674" s="72" t="str">
        <f t="shared" si="3228"/>
        <v>NA</v>
      </c>
      <c r="EE674" s="150" t="s">
        <v>269</v>
      </c>
      <c r="EF674" s="72" t="str">
        <f t="shared" si="3229"/>
        <v>NA</v>
      </c>
      <c r="EG674" s="150" t="s">
        <v>269</v>
      </c>
      <c r="EH674" s="72" t="str">
        <f t="shared" si="3230"/>
        <v>NA</v>
      </c>
      <c r="EI674" s="150" t="s">
        <v>269</v>
      </c>
      <c r="EJ674" s="72" t="str">
        <f t="shared" si="3231"/>
        <v>NA</v>
      </c>
      <c r="EK674" s="150" t="s">
        <v>269</v>
      </c>
      <c r="EL674" s="72" t="str">
        <f t="shared" si="3232"/>
        <v>NA</v>
      </c>
      <c r="EM674" s="150" t="s">
        <v>269</v>
      </c>
      <c r="EN674" s="72" t="str">
        <f t="shared" si="3233"/>
        <v>NA</v>
      </c>
      <c r="EO674" s="150" t="s">
        <v>269</v>
      </c>
      <c r="EP674" s="72" t="str">
        <f t="shared" si="3234"/>
        <v>NA</v>
      </c>
      <c r="EQ674" s="150" t="s">
        <v>269</v>
      </c>
      <c r="ER674" s="72" t="str">
        <f t="shared" si="3235"/>
        <v>NA</v>
      </c>
      <c r="ES674" s="150" t="s">
        <v>269</v>
      </c>
      <c r="ET674" s="72" t="str">
        <f t="shared" si="3236"/>
        <v>NA</v>
      </c>
      <c r="EU674" s="150" t="s">
        <v>269</v>
      </c>
      <c r="EV674" s="72" t="str">
        <f t="shared" si="3237"/>
        <v>NA</v>
      </c>
      <c r="EW674" s="150" t="s">
        <v>269</v>
      </c>
      <c r="EX674" s="72" t="str">
        <f t="shared" si="3238"/>
        <v>NA</v>
      </c>
      <c r="EY674" s="72"/>
      <c r="EZ674" s="296"/>
      <c r="FA674" s="72"/>
      <c r="FB674" s="9"/>
      <c r="FC674" s="11"/>
      <c r="FD674" s="150"/>
      <c r="FE674" s="72"/>
      <c r="FF674" s="150" t="s">
        <v>269</v>
      </c>
      <c r="FG674" s="72" t="str">
        <f t="shared" si="3239"/>
        <v>NA</v>
      </c>
      <c r="FH674" s="150" t="s">
        <v>269</v>
      </c>
      <c r="FI674" s="72" t="str">
        <f t="shared" si="3240"/>
        <v>NA</v>
      </c>
      <c r="FJ674" s="150" t="s">
        <v>269</v>
      </c>
      <c r="FK674" s="72" t="str">
        <f t="shared" si="3241"/>
        <v>NA</v>
      </c>
      <c r="FL674" s="150" t="s">
        <v>269</v>
      </c>
      <c r="FM674" s="72" t="str">
        <f t="shared" si="3242"/>
        <v>NA</v>
      </c>
      <c r="FN674" s="150" t="s">
        <v>269</v>
      </c>
      <c r="FO674" s="72" t="str">
        <f t="shared" si="3243"/>
        <v>NA</v>
      </c>
      <c r="FP674" s="150" t="s">
        <v>269</v>
      </c>
      <c r="FQ674" s="72" t="str">
        <f t="shared" si="3244"/>
        <v>NA</v>
      </c>
      <c r="FR674" s="144" t="s">
        <v>269</v>
      </c>
      <c r="FS674" s="72" t="str">
        <f t="shared" si="3245"/>
        <v>NA</v>
      </c>
      <c r="FT674" s="144" t="s">
        <v>269</v>
      </c>
      <c r="FU674" s="72" t="str">
        <f t="shared" si="3246"/>
        <v>NA</v>
      </c>
      <c r="FV674" s="144" t="s">
        <v>269</v>
      </c>
      <c r="FW674" s="72" t="str">
        <f t="shared" si="3247"/>
        <v>NA</v>
      </c>
      <c r="FX674" s="144" t="s">
        <v>269</v>
      </c>
      <c r="FY674" s="72" t="str">
        <f t="shared" si="3247"/>
        <v>NA</v>
      </c>
      <c r="FZ674" s="144" t="s">
        <v>269</v>
      </c>
      <c r="GA674" s="72" t="str">
        <f t="shared" si="3247"/>
        <v>NA</v>
      </c>
      <c r="GB674" s="144" t="s">
        <v>269</v>
      </c>
      <c r="GC674" s="72" t="str">
        <f t="shared" si="3247"/>
        <v>NA</v>
      </c>
      <c r="GD674" s="144" t="s">
        <v>269</v>
      </c>
      <c r="GE674" s="72" t="str">
        <f t="shared" si="3247"/>
        <v>NA</v>
      </c>
      <c r="GF674" s="144" t="s">
        <v>269</v>
      </c>
      <c r="GG674" s="72" t="str">
        <f t="shared" si="3247"/>
        <v>NA</v>
      </c>
      <c r="GH674" s="144" t="s">
        <v>269</v>
      </c>
      <c r="GI674" s="72" t="str">
        <f t="shared" si="3248"/>
        <v>NA</v>
      </c>
      <c r="GJ674" s="144" t="s">
        <v>269</v>
      </c>
      <c r="GK674" s="72" t="str">
        <f t="shared" si="3248"/>
        <v>NA</v>
      </c>
      <c r="GL674" s="144" t="s">
        <v>269</v>
      </c>
      <c r="GM674" s="72" t="str">
        <f t="shared" si="3248"/>
        <v>NA</v>
      </c>
      <c r="GN674" s="144" t="s">
        <v>269</v>
      </c>
      <c r="GO674" s="72" t="str">
        <f t="shared" si="3248"/>
        <v>NA</v>
      </c>
      <c r="GP674" s="144" t="s">
        <v>269</v>
      </c>
      <c r="GQ674" s="72" t="str">
        <f t="shared" si="3248"/>
        <v>NA</v>
      </c>
      <c r="GR674" s="150" t="s">
        <v>269</v>
      </c>
      <c r="GS674" s="72" t="str">
        <f t="shared" si="3248"/>
        <v>NA</v>
      </c>
      <c r="GT674" s="150" t="s">
        <v>269</v>
      </c>
      <c r="GU674" s="72" t="str">
        <f t="shared" si="3248"/>
        <v>NA</v>
      </c>
      <c r="GV674" s="150" t="s">
        <v>269</v>
      </c>
      <c r="GW674" s="72" t="str">
        <f t="shared" si="3249"/>
        <v>NA</v>
      </c>
      <c r="GX674" s="150" t="s">
        <v>269</v>
      </c>
      <c r="GY674" s="72" t="str">
        <f t="shared" si="3250"/>
        <v>NA</v>
      </c>
      <c r="GZ674" s="72" t="str">
        <f t="shared" si="3169"/>
        <v>NA</v>
      </c>
      <c r="HA674" s="72"/>
      <c r="HB674" s="72"/>
      <c r="HC674"/>
      <c r="HD674"/>
      <c r="HE674"/>
      <c r="HF674"/>
      <c r="HG674"/>
      <c r="HH674"/>
      <c r="HI674" s="2"/>
    </row>
    <row r="675" spans="1:217" s="3" customFormat="1" ht="12.75" customHeight="1" x14ac:dyDescent="0.2">
      <c r="A675" s="3" t="s">
        <v>249</v>
      </c>
      <c r="B675" s="18" t="s">
        <v>630</v>
      </c>
      <c r="C675" s="150">
        <v>15245</v>
      </c>
      <c r="D675" s="150"/>
      <c r="E675" s="150">
        <v>15245</v>
      </c>
      <c r="F675" s="11"/>
      <c r="G675" s="150">
        <v>14031</v>
      </c>
      <c r="H675" s="11"/>
      <c r="I675" s="150">
        <v>13741</v>
      </c>
      <c r="J675" s="11"/>
      <c r="K675" s="150">
        <v>14661</v>
      </c>
      <c r="L675" s="72">
        <f t="shared" si="3190"/>
        <v>-3.8307641849786904</v>
      </c>
      <c r="M675" s="150">
        <v>14787</v>
      </c>
      <c r="N675" s="72">
        <f t="shared" si="3191"/>
        <v>-3.0042636930140958</v>
      </c>
      <c r="O675" s="150">
        <v>14683</v>
      </c>
      <c r="P675" s="72">
        <f t="shared" si="3192"/>
        <v>4.646853396051597</v>
      </c>
      <c r="Q675" s="150">
        <v>19646</v>
      </c>
      <c r="R675" s="72">
        <f t="shared" si="3193"/>
        <v>42.973582708682045</v>
      </c>
      <c r="S675" s="150">
        <v>19453</v>
      </c>
      <c r="T675" s="72">
        <f t="shared" si="3193"/>
        <v>32.685355705613517</v>
      </c>
      <c r="U675" s="150">
        <v>20258</v>
      </c>
      <c r="V675" s="72">
        <f t="shared" si="3193"/>
        <v>36.998715087576926</v>
      </c>
      <c r="W675" s="150">
        <v>21039</v>
      </c>
      <c r="X675" s="72">
        <f t="shared" si="3193"/>
        <v>43.288156371313761</v>
      </c>
      <c r="Y675" s="150">
        <v>20562</v>
      </c>
      <c r="Z675" s="72">
        <f t="shared" si="3193"/>
        <v>4.6625267229970575</v>
      </c>
      <c r="AA675" s="150">
        <v>21059</v>
      </c>
      <c r="AB675" s="72">
        <f t="shared" si="3193"/>
        <v>8.2557960211792505</v>
      </c>
      <c r="AC675" s="150">
        <v>21768</v>
      </c>
      <c r="AD675" s="72">
        <f t="shared" si="3193"/>
        <v>7.4538453944120704</v>
      </c>
      <c r="AE675" s="150">
        <v>20541</v>
      </c>
      <c r="AF675" s="72">
        <f t="shared" si="3193"/>
        <v>-2.3670326536432356</v>
      </c>
      <c r="AG675" s="150">
        <v>20340</v>
      </c>
      <c r="AH675" s="72">
        <f t="shared" si="3193"/>
        <v>-1.0796615115261261</v>
      </c>
      <c r="AI675" s="150">
        <v>20837</v>
      </c>
      <c r="AJ675" s="72">
        <f t="shared" si="3193"/>
        <v>-1.0541811102141594</v>
      </c>
      <c r="AK675" s="150">
        <v>19619</v>
      </c>
      <c r="AL675" s="72">
        <f t="shared" si="3193"/>
        <v>-9.872289599411971</v>
      </c>
      <c r="AM675" s="150">
        <v>20457</v>
      </c>
      <c r="AN675" s="72">
        <f t="shared" si="3193"/>
        <v>-0.40893822111873135</v>
      </c>
      <c r="AO675" s="150">
        <v>21209</v>
      </c>
      <c r="AP675" s="72">
        <f t="shared" si="3193"/>
        <v>4.272369714847585</v>
      </c>
      <c r="AQ675" s="150">
        <v>21244</v>
      </c>
      <c r="AR675" s="72">
        <f t="shared" si="3194"/>
        <v>1.9532562269040596</v>
      </c>
      <c r="AS675" s="150">
        <v>22375</v>
      </c>
      <c r="AT675" s="72">
        <f t="shared" si="3195"/>
        <v>14.047606911667259</v>
      </c>
      <c r="AU675" s="150">
        <v>22493</v>
      </c>
      <c r="AV675" s="72">
        <f t="shared" si="3196"/>
        <v>9.9525834677616416</v>
      </c>
      <c r="AW675" s="150">
        <v>21654</v>
      </c>
      <c r="AX675" s="72">
        <f t="shared" si="3197"/>
        <v>2.0981658729784698</v>
      </c>
      <c r="AY675" s="150">
        <v>21229</v>
      </c>
      <c r="AZ675" s="72">
        <f t="shared" si="3198"/>
        <v>-7.0608171719072743E-2</v>
      </c>
      <c r="BA675" s="150">
        <v>20424</v>
      </c>
      <c r="BB675" s="72">
        <f t="shared" si="3199"/>
        <v>-8.7195530726257005</v>
      </c>
      <c r="BC675" s="150">
        <v>22053</v>
      </c>
      <c r="BD675" s="72">
        <f t="shared" si="3200"/>
        <v>-1.9561641399546517</v>
      </c>
      <c r="BE675" s="150">
        <v>21690</v>
      </c>
      <c r="BF675" s="72">
        <f t="shared" si="3201"/>
        <v>0.16625103906899596</v>
      </c>
      <c r="BG675" s="150">
        <v>22265</v>
      </c>
      <c r="BH675" s="72">
        <f t="shared" si="3202"/>
        <v>4.8801168213293238</v>
      </c>
      <c r="BI675" s="150">
        <v>21718</v>
      </c>
      <c r="BJ675" s="72">
        <f t="shared" si="3203"/>
        <v>6.3356835095965494</v>
      </c>
      <c r="BK675" s="150">
        <v>22051</v>
      </c>
      <c r="BL675" s="72">
        <f t="shared" si="3204"/>
        <v>-9.0690608987529231E-3</v>
      </c>
      <c r="BM675" s="150">
        <v>21711</v>
      </c>
      <c r="BN675" s="72">
        <f t="shared" si="3205"/>
        <v>9.6818810511763331E-2</v>
      </c>
      <c r="BO675" s="150">
        <v>21957</v>
      </c>
      <c r="BP675" s="72">
        <f t="shared" si="3206"/>
        <v>-1.3833370761284556</v>
      </c>
      <c r="BQ675" s="150">
        <v>21733</v>
      </c>
      <c r="BR675" s="72">
        <f t="shared" si="3207"/>
        <v>6.9067133253525981E-2</v>
      </c>
      <c r="BS675" s="150">
        <v>21314</v>
      </c>
      <c r="BT675" s="72">
        <f t="shared" si="3208"/>
        <v>-3.3422520520611272</v>
      </c>
      <c r="BU675" s="150">
        <v>14292</v>
      </c>
      <c r="BV675" s="72">
        <f t="shared" si="3209"/>
        <v>-34.171618073787485</v>
      </c>
      <c r="BW675" s="150">
        <v>14349</v>
      </c>
      <c r="BX675" s="72">
        <f t="shared" si="3210"/>
        <v>-34.649542287197704</v>
      </c>
      <c r="BY675" s="150">
        <v>18681</v>
      </c>
      <c r="BZ675" s="72">
        <f t="shared" si="3211"/>
        <v>-14.043160171168267</v>
      </c>
      <c r="CA675" s="150">
        <v>23239</v>
      </c>
      <c r="CB675" s="72">
        <f t="shared" si="3212"/>
        <v>9.0316224078070775</v>
      </c>
      <c r="CC675" s="150">
        <v>24154</v>
      </c>
      <c r="CD675" s="72">
        <f t="shared" si="3213"/>
        <v>69.003638399104403</v>
      </c>
      <c r="CE675" s="150">
        <v>23261</v>
      </c>
      <c r="CF675" s="72">
        <f t="shared" si="3214"/>
        <v>62.108857760122646</v>
      </c>
      <c r="CG675" s="150">
        <v>25862</v>
      </c>
      <c r="CH675" s="72">
        <f t="shared" si="3215"/>
        <v>38.44012633156683</v>
      </c>
      <c r="CI675" s="150">
        <v>29480</v>
      </c>
      <c r="CJ675" s="72">
        <f t="shared" si="3216"/>
        <v>26.85571668316193</v>
      </c>
      <c r="CK675" s="150">
        <v>28310</v>
      </c>
      <c r="CL675" s="72">
        <f t="shared" si="3216"/>
        <v>17.206259832739917</v>
      </c>
      <c r="CM675" s="150">
        <v>28501</v>
      </c>
      <c r="CN675" s="72">
        <f t="shared" si="3216"/>
        <v>22.526976484244017</v>
      </c>
      <c r="CO675" s="150">
        <v>30754</v>
      </c>
      <c r="CP675" s="72">
        <f t="shared" si="3216"/>
        <v>18.915783775423407</v>
      </c>
      <c r="CQ675" s="150">
        <v>32901</v>
      </c>
      <c r="CR675" s="72">
        <f t="shared" si="3216"/>
        <v>11.604477611940297</v>
      </c>
      <c r="CS675" s="150">
        <v>32817</v>
      </c>
      <c r="CT675" s="72">
        <f t="shared" si="3216"/>
        <v>15.920169551395261</v>
      </c>
      <c r="CU675" s="150">
        <v>33527</v>
      </c>
      <c r="CV675" s="72">
        <f t="shared" si="3217"/>
        <v>17.63446896600118</v>
      </c>
      <c r="CW675" s="150">
        <v>36593</v>
      </c>
      <c r="CX675" s="72">
        <f t="shared" si="3218"/>
        <v>18.986148143330951</v>
      </c>
      <c r="CY675" s="150">
        <v>37189</v>
      </c>
      <c r="CZ675" s="72">
        <f t="shared" si="3219"/>
        <v>13.033038509467801</v>
      </c>
      <c r="DA675" s="150">
        <v>37006</v>
      </c>
      <c r="DB675" s="72">
        <f t="shared" si="3220"/>
        <v>12.764725599536831</v>
      </c>
      <c r="DC675" s="150">
        <v>38392</v>
      </c>
      <c r="DD675" s="72">
        <f t="shared" si="3221"/>
        <v>14.510692874399751</v>
      </c>
      <c r="DE675" s="150">
        <v>33669</v>
      </c>
      <c r="DF675" s="72">
        <f t="shared" si="3222"/>
        <v>-7.990599294947117</v>
      </c>
      <c r="DG675" s="150">
        <v>32818</v>
      </c>
      <c r="DH675" s="72">
        <f t="shared" si="3223"/>
        <v>-11.753475490064275</v>
      </c>
      <c r="DI675" s="150">
        <v>33885</v>
      </c>
      <c r="DJ675" s="72">
        <f t="shared" si="3224"/>
        <v>-8.43376749716262</v>
      </c>
      <c r="DK675" s="150">
        <v>36770</v>
      </c>
      <c r="DL675" s="72">
        <f t="shared" si="3225"/>
        <v>-4.2248385080225006</v>
      </c>
      <c r="DM675" s="150">
        <v>39663</v>
      </c>
      <c r="DN675" s="72">
        <f t="shared" si="3226"/>
        <v>17.802726543704892</v>
      </c>
      <c r="DO675" s="150">
        <v>40203</v>
      </c>
      <c r="DP675" s="72">
        <f t="shared" si="3226"/>
        <v>22.502894752879527</v>
      </c>
      <c r="DQ675" s="150">
        <v>40981</v>
      </c>
      <c r="DR675" s="72">
        <f t="shared" si="3226"/>
        <v>20.941419507156553</v>
      </c>
      <c r="DS675" s="150">
        <v>45044</v>
      </c>
      <c r="DT675" s="72">
        <f t="shared" si="3226"/>
        <v>22.502039706282304</v>
      </c>
      <c r="DU675" s="150">
        <v>41723</v>
      </c>
      <c r="DV675" s="72">
        <f t="shared" si="3226"/>
        <v>5.193757406146787</v>
      </c>
      <c r="DW675" s="150">
        <v>42720</v>
      </c>
      <c r="DX675" s="72">
        <f t="shared" si="3226"/>
        <v>6.2607268114319936</v>
      </c>
      <c r="DY675" s="150">
        <v>41890</v>
      </c>
      <c r="DZ675" s="72">
        <f t="shared" si="3226"/>
        <v>2.2181010712281335</v>
      </c>
      <c r="EA675" s="150">
        <v>49242</v>
      </c>
      <c r="EB675" s="72">
        <f t="shared" si="3227"/>
        <v>9.3197762188082862</v>
      </c>
      <c r="EC675" s="150">
        <v>55149</v>
      </c>
      <c r="ED675" s="72">
        <f t="shared" si="3228"/>
        <v>32.178894135129298</v>
      </c>
      <c r="EE675" s="150">
        <v>56431</v>
      </c>
      <c r="EF675" s="72">
        <f t="shared" si="3229"/>
        <v>32.095037453183522</v>
      </c>
      <c r="EG675" s="150">
        <v>45863</v>
      </c>
      <c r="EH675" s="72">
        <f t="shared" si="3230"/>
        <v>9.4843638099785181</v>
      </c>
      <c r="EI675" s="150">
        <v>46784</v>
      </c>
      <c r="EJ675" s="72">
        <f t="shared" si="3231"/>
        <v>-4.9916737744202067</v>
      </c>
      <c r="EK675" s="150">
        <v>48444</v>
      </c>
      <c r="EL675" s="72">
        <f t="shared" si="3232"/>
        <v>-12.157972039384219</v>
      </c>
      <c r="EM675" s="150">
        <v>50373</v>
      </c>
      <c r="EN675" s="72">
        <f t="shared" si="3233"/>
        <v>-10.735234179794801</v>
      </c>
      <c r="EO675" s="150">
        <v>54069</v>
      </c>
      <c r="EP675" s="72">
        <f t="shared" si="3234"/>
        <v>17.892418725334153</v>
      </c>
      <c r="EQ675" s="144">
        <f t="shared" ref="EQ675" si="3251">EQ677+EQ676</f>
        <v>54488.029676528269</v>
      </c>
      <c r="ER675" s="72">
        <f t="shared" si="3235"/>
        <v>16.467231695725616</v>
      </c>
      <c r="ES675" s="144">
        <f t="shared" ref="ES675" si="3252">ES677+ES676</f>
        <v>54701.621538728985</v>
      </c>
      <c r="ET675" s="72">
        <f t="shared" si="3236"/>
        <v>12.917227187534024</v>
      </c>
      <c r="EU675" s="144">
        <f t="shared" ref="EU675" si="3253">EU677+EU676</f>
        <v>54897.006659041697</v>
      </c>
      <c r="EV675" s="72">
        <f t="shared" si="3237"/>
        <v>8.9810149465818938</v>
      </c>
      <c r="EW675" s="144">
        <f t="shared" ref="EW675" si="3254">EW677+EW676</f>
        <v>54958.948762970933</v>
      </c>
      <c r="EX675" s="72">
        <f t="shared" si="3238"/>
        <v>1.6459501062918207</v>
      </c>
      <c r="EY675" s="72"/>
      <c r="EZ675" s="296"/>
      <c r="FA675" s="72"/>
      <c r="FB675" s="9"/>
      <c r="FC675" s="11"/>
      <c r="FD675" s="150"/>
      <c r="FE675" s="72"/>
      <c r="FF675" s="150">
        <v>13741</v>
      </c>
      <c r="FG675" s="72" t="str">
        <f t="shared" si="3239"/>
        <v>NA</v>
      </c>
      <c r="FH675" s="144">
        <f>Q675</f>
        <v>19646</v>
      </c>
      <c r="FI675" s="72">
        <f t="shared" si="3240"/>
        <v>42.973582708682045</v>
      </c>
      <c r="FJ675" s="144">
        <f>Y675</f>
        <v>20562</v>
      </c>
      <c r="FK675" s="72">
        <f t="shared" si="3241"/>
        <v>4.6625267229970575</v>
      </c>
      <c r="FL675" s="144">
        <f>AG675</f>
        <v>20340</v>
      </c>
      <c r="FM675" s="72">
        <f t="shared" si="3242"/>
        <v>-1.0796615115261261</v>
      </c>
      <c r="FN675" s="144">
        <f>AO675</f>
        <v>21209</v>
      </c>
      <c r="FO675" s="72">
        <f t="shared" si="3243"/>
        <v>4.272369714847585</v>
      </c>
      <c r="FP675" s="144">
        <f>AW675</f>
        <v>21654</v>
      </c>
      <c r="FQ675" s="72">
        <f t="shared" si="3244"/>
        <v>2.0981658729784698</v>
      </c>
      <c r="FR675" s="144">
        <f>BE675</f>
        <v>21690</v>
      </c>
      <c r="FS675" s="72">
        <f t="shared" si="3245"/>
        <v>0.16625103906899596</v>
      </c>
      <c r="FT675" s="144">
        <f>BM675</f>
        <v>21711</v>
      </c>
      <c r="FU675" s="72">
        <f t="shared" si="3246"/>
        <v>9.6818810511763331E-2</v>
      </c>
      <c r="FV675" s="144">
        <f>BU675</f>
        <v>14292</v>
      </c>
      <c r="FW675" s="72">
        <f t="shared" si="3247"/>
        <v>-34.171618073787485</v>
      </c>
      <c r="FX675" s="144">
        <f>CC675</f>
        <v>24154</v>
      </c>
      <c r="FY675" s="72">
        <f t="shared" si="3247"/>
        <v>69.003638399104403</v>
      </c>
      <c r="FZ675" s="144">
        <f>CK675</f>
        <v>28310</v>
      </c>
      <c r="GA675" s="72">
        <f t="shared" si="3247"/>
        <v>17.206259832739917</v>
      </c>
      <c r="GB675" s="144">
        <f>+CS675</f>
        <v>32817</v>
      </c>
      <c r="GC675" s="72">
        <f t="shared" si="3247"/>
        <v>15.920169551395261</v>
      </c>
      <c r="GD675" s="144">
        <f>+DA675</f>
        <v>37006</v>
      </c>
      <c r="GE675" s="72">
        <f t="shared" si="3247"/>
        <v>12.764725599536831</v>
      </c>
      <c r="GF675" s="144">
        <f>+DI675</f>
        <v>33885</v>
      </c>
      <c r="GG675" s="72">
        <f t="shared" si="3247"/>
        <v>-8.43376749716262</v>
      </c>
      <c r="GH675" s="144">
        <f>+DQ675</f>
        <v>40981</v>
      </c>
      <c r="GI675" s="72">
        <f t="shared" si="3248"/>
        <v>20.941419507156553</v>
      </c>
      <c r="GJ675" s="144">
        <f>+DY675</f>
        <v>41890</v>
      </c>
      <c r="GK675" s="72">
        <f t="shared" si="3248"/>
        <v>2.2181010712281335</v>
      </c>
      <c r="GL675" s="144">
        <f>+EG675</f>
        <v>45863</v>
      </c>
      <c r="GM675" s="72">
        <f t="shared" si="3248"/>
        <v>9.4843638099785181</v>
      </c>
      <c r="GN675" s="144">
        <f>+EO675</f>
        <v>54069</v>
      </c>
      <c r="GO675" s="72">
        <f t="shared" si="3248"/>
        <v>17.892418725334153</v>
      </c>
      <c r="GP675" s="144">
        <f>+EW675</f>
        <v>54958.948762970933</v>
      </c>
      <c r="GQ675" s="72">
        <f t="shared" si="3248"/>
        <v>1.6459501062918207</v>
      </c>
      <c r="GR675" s="144">
        <f>GR677+GR676</f>
        <v>56370.087105941471</v>
      </c>
      <c r="GS675" s="72">
        <f t="shared" si="3248"/>
        <v>2.5676225159555912</v>
      </c>
      <c r="GT675" s="144">
        <f>GT677+GT676</f>
        <v>57595.23857089677</v>
      </c>
      <c r="GU675" s="72">
        <f t="shared" si="3248"/>
        <v>2.1734070814060829</v>
      </c>
      <c r="GV675" s="144">
        <f>GV677+GV676</f>
        <v>58731.676342416416</v>
      </c>
      <c r="GW675" s="72">
        <f t="shared" si="3249"/>
        <v>1.9731453497162903</v>
      </c>
      <c r="GX675" s="144">
        <f>GX677+GX676</f>
        <v>59761.984540073609</v>
      </c>
      <c r="GY675" s="72">
        <f t="shared" si="3250"/>
        <v>1.7542632218605689</v>
      </c>
      <c r="GZ675" s="72">
        <f t="shared" si="3169"/>
        <v>2.0223527626413995</v>
      </c>
      <c r="HA675" s="72"/>
      <c r="HB675" s="72"/>
      <c r="HC675"/>
      <c r="HD675"/>
      <c r="HE675"/>
      <c r="HF675"/>
      <c r="HG675"/>
      <c r="HH675"/>
      <c r="HI675" s="2"/>
    </row>
    <row r="676" spans="1:217" s="3" customFormat="1" ht="12.75" customHeight="1" x14ac:dyDescent="0.2">
      <c r="A676" s="111" t="s">
        <v>597</v>
      </c>
      <c r="B676" s="18" t="s">
        <v>787</v>
      </c>
      <c r="C676" s="150"/>
      <c r="D676" s="150"/>
      <c r="E676" s="150"/>
      <c r="F676" s="11"/>
      <c r="G676" s="150"/>
      <c r="H676" s="11"/>
      <c r="I676" s="150">
        <v>497</v>
      </c>
      <c r="J676" s="11"/>
      <c r="K676" s="150">
        <v>753</v>
      </c>
      <c r="L676" s="72" t="str">
        <f t="shared" si="3190"/>
        <v>NA</v>
      </c>
      <c r="M676" s="150">
        <v>827</v>
      </c>
      <c r="N676" s="72" t="str">
        <f t="shared" si="3191"/>
        <v>NA</v>
      </c>
      <c r="O676" s="150">
        <f>1250-148</f>
        <v>1102</v>
      </c>
      <c r="P676" s="72" t="str">
        <f t="shared" si="3192"/>
        <v>NA</v>
      </c>
      <c r="Q676" s="150">
        <v>563</v>
      </c>
      <c r="R676" s="72">
        <f t="shared" si="3193"/>
        <v>13.279678068410462</v>
      </c>
      <c r="S676" s="150">
        <v>164</v>
      </c>
      <c r="T676" s="72" t="str">
        <f t="shared" si="3193"/>
        <v>NM</v>
      </c>
      <c r="U676" s="150">
        <v>937</v>
      </c>
      <c r="V676" s="72">
        <f t="shared" si="3193"/>
        <v>13.301088270858514</v>
      </c>
      <c r="W676" s="150">
        <v>1886</v>
      </c>
      <c r="X676" s="72">
        <f t="shared" si="3193"/>
        <v>71.14337568058076</v>
      </c>
      <c r="Y676" s="150">
        <v>1941</v>
      </c>
      <c r="Z676" s="72" t="str">
        <f t="shared" si="3193"/>
        <v>NM</v>
      </c>
      <c r="AA676" s="150">
        <v>2463</v>
      </c>
      <c r="AB676" s="72" t="str">
        <f t="shared" si="3193"/>
        <v>NM</v>
      </c>
      <c r="AC676" s="150">
        <v>3245</v>
      </c>
      <c r="AD676" s="72" t="str">
        <f t="shared" si="3193"/>
        <v>NM</v>
      </c>
      <c r="AE676" s="150">
        <v>1977</v>
      </c>
      <c r="AF676" s="72">
        <f t="shared" si="3193"/>
        <v>4.8250265111346806</v>
      </c>
      <c r="AG676" s="150">
        <v>1777</v>
      </c>
      <c r="AH676" s="72">
        <f t="shared" si="3193"/>
        <v>-8.449252962390517</v>
      </c>
      <c r="AI676" s="150">
        <v>2283</v>
      </c>
      <c r="AJ676" s="72">
        <f t="shared" si="3193"/>
        <v>-7.308160779537161</v>
      </c>
      <c r="AK676" s="150">
        <v>864</v>
      </c>
      <c r="AL676" s="72" t="str">
        <f t="shared" si="3193"/>
        <v>NM</v>
      </c>
      <c r="AM676" s="150">
        <v>1462</v>
      </c>
      <c r="AN676" s="72">
        <f t="shared" si="3193"/>
        <v>-26.049570055639862</v>
      </c>
      <c r="AO676" s="150">
        <v>1817</v>
      </c>
      <c r="AP676" s="72">
        <f t="shared" si="3193"/>
        <v>2.2509848058525534</v>
      </c>
      <c r="AQ676" s="150">
        <v>1337</v>
      </c>
      <c r="AR676" s="72">
        <f t="shared" si="3194"/>
        <v>-41.436706088480065</v>
      </c>
      <c r="AS676" s="150">
        <v>2083</v>
      </c>
      <c r="AT676" s="72" t="str">
        <f t="shared" si="3195"/>
        <v>NM</v>
      </c>
      <c r="AU676" s="150">
        <v>1410</v>
      </c>
      <c r="AV676" s="72">
        <f t="shared" si="3196"/>
        <v>-3.5567715458276297</v>
      </c>
      <c r="AW676" s="150">
        <v>1108</v>
      </c>
      <c r="AX676" s="72">
        <f t="shared" si="3197"/>
        <v>-39.020363236103471</v>
      </c>
      <c r="AY676" s="150">
        <v>512</v>
      </c>
      <c r="AZ676" s="72" t="str">
        <f t="shared" si="3198"/>
        <v>NM</v>
      </c>
      <c r="BA676" s="150">
        <v>-180</v>
      </c>
      <c r="BB676" s="72" t="str">
        <f t="shared" si="3199"/>
        <v>NM</v>
      </c>
      <c r="BC676" s="150">
        <v>821</v>
      </c>
      <c r="BD676" s="72">
        <f t="shared" si="3200"/>
        <v>-41.773049645390067</v>
      </c>
      <c r="BE676" s="150">
        <v>496</v>
      </c>
      <c r="BF676" s="72" t="str">
        <f t="shared" si="3201"/>
        <v>NM</v>
      </c>
      <c r="BG676" s="150">
        <v>680</v>
      </c>
      <c r="BH676" s="72">
        <f t="shared" si="3202"/>
        <v>32.8125</v>
      </c>
      <c r="BI676" s="150">
        <v>-117</v>
      </c>
      <c r="BJ676" s="72">
        <f t="shared" si="3203"/>
        <v>-35</v>
      </c>
      <c r="BK676" s="150">
        <v>-300</v>
      </c>
      <c r="BL676" s="72" t="str">
        <f t="shared" si="3204"/>
        <v>NM</v>
      </c>
      <c r="BM676" s="150">
        <v>459</v>
      </c>
      <c r="BN676" s="72">
        <f t="shared" si="3205"/>
        <v>-7.4596774193548328</v>
      </c>
      <c r="BO676" s="150">
        <v>-473</v>
      </c>
      <c r="BP676" s="72" t="str">
        <f t="shared" si="3206"/>
        <v>NM</v>
      </c>
      <c r="BQ676" s="150">
        <v>-1231</v>
      </c>
      <c r="BR676" s="72" t="str">
        <f t="shared" si="3207"/>
        <v>NM</v>
      </c>
      <c r="BS676" s="150">
        <v>-2563</v>
      </c>
      <c r="BT676" s="72" t="str">
        <f t="shared" si="3208"/>
        <v>NM</v>
      </c>
      <c r="BU676" s="150">
        <v>-5237</v>
      </c>
      <c r="BV676" s="72" t="str">
        <f t="shared" si="3209"/>
        <v>NM</v>
      </c>
      <c r="BW676" s="150">
        <v>-5889</v>
      </c>
      <c r="BX676" s="72" t="str">
        <f t="shared" si="3210"/>
        <v>NM</v>
      </c>
      <c r="BY676" s="150">
        <v>-3513</v>
      </c>
      <c r="BZ676" s="72" t="str">
        <f t="shared" si="3211"/>
        <v>NM</v>
      </c>
      <c r="CA676" s="150">
        <v>-99</v>
      </c>
      <c r="CB676" s="72" t="str">
        <f t="shared" si="3212"/>
        <v>NM</v>
      </c>
      <c r="CC676" s="150">
        <v>-574</v>
      </c>
      <c r="CD676" s="72" t="str">
        <f t="shared" si="3213"/>
        <v>NM</v>
      </c>
      <c r="CE676" s="150">
        <f>CE675-22951</f>
        <v>310</v>
      </c>
      <c r="CF676" s="72" t="str">
        <f t="shared" si="3214"/>
        <v>NM</v>
      </c>
      <c r="CG676" s="150">
        <f>CG675-23856</f>
        <v>2006</v>
      </c>
      <c r="CH676" s="72" t="str">
        <f t="shared" si="3215"/>
        <v>NM</v>
      </c>
      <c r="CI676" s="150">
        <f>CI675-24991</f>
        <v>4489</v>
      </c>
      <c r="CJ676" s="72" t="str">
        <f t="shared" si="3216"/>
        <v>NM</v>
      </c>
      <c r="CK676" s="150">
        <f>CK675-25571</f>
        <v>2739</v>
      </c>
      <c r="CL676" s="72" t="str">
        <f t="shared" si="3216"/>
        <v>NM</v>
      </c>
      <c r="CM676" s="150">
        <f>CM675-26206</f>
        <v>2295</v>
      </c>
      <c r="CN676" s="72" t="str">
        <f t="shared" si="3216"/>
        <v>NM</v>
      </c>
      <c r="CO676" s="150">
        <f>CO675-27052</f>
        <v>3702</v>
      </c>
      <c r="CP676" s="72">
        <f t="shared" si="3216"/>
        <v>84.546360917248251</v>
      </c>
      <c r="CQ676" s="150">
        <f>CQ675-27916</f>
        <v>4985</v>
      </c>
      <c r="CR676" s="72">
        <f t="shared" si="3216"/>
        <v>11.049231454666966</v>
      </c>
      <c r="CS676" s="150">
        <v>5077</v>
      </c>
      <c r="CT676" s="72">
        <f t="shared" si="3216"/>
        <v>85.359620299379344</v>
      </c>
      <c r="CU676" s="150">
        <v>6890</v>
      </c>
      <c r="CV676" s="72" t="str">
        <f t="shared" si="3217"/>
        <v>NM</v>
      </c>
      <c r="CW676" s="150">
        <v>7906</v>
      </c>
      <c r="CX676" s="72" t="str">
        <f t="shared" si="3218"/>
        <v>NM</v>
      </c>
      <c r="CY676" s="150">
        <v>9213</v>
      </c>
      <c r="CZ676" s="72">
        <f t="shared" si="3219"/>
        <v>84.814443329989984</v>
      </c>
      <c r="DA676" s="150">
        <v>9990</v>
      </c>
      <c r="DB676" s="72">
        <f t="shared" si="3220"/>
        <v>96.769745912940721</v>
      </c>
      <c r="DC676" s="150">
        <v>12213</v>
      </c>
      <c r="DD676" s="72">
        <f t="shared" si="3221"/>
        <v>77.256894049346869</v>
      </c>
      <c r="DE676" s="150">
        <v>8326</v>
      </c>
      <c r="DF676" s="72">
        <f t="shared" si="3222"/>
        <v>5.3124209461168732</v>
      </c>
      <c r="DG676" s="150">
        <v>6784</v>
      </c>
      <c r="DH676" s="72">
        <f t="shared" si="3223"/>
        <v>-26.364919136003479</v>
      </c>
      <c r="DI676" s="150">
        <v>8586</v>
      </c>
      <c r="DJ676" s="72">
        <f t="shared" si="3224"/>
        <v>-14.054054054054049</v>
      </c>
      <c r="DK676" s="150">
        <v>10653</v>
      </c>
      <c r="DL676" s="72">
        <f t="shared" si="3225"/>
        <v>-12.773274379759272</v>
      </c>
      <c r="DM676" s="150">
        <v>12892</v>
      </c>
      <c r="DN676" s="72">
        <f t="shared" si="3226"/>
        <v>54.840259428296918</v>
      </c>
      <c r="DO676" s="150">
        <v>13328</v>
      </c>
      <c r="DP676" s="72">
        <f t="shared" si="3226"/>
        <v>96.462264150943383</v>
      </c>
      <c r="DQ676" s="150">
        <v>15882</v>
      </c>
      <c r="DR676" s="72">
        <f t="shared" si="3226"/>
        <v>84.975541579315177</v>
      </c>
      <c r="DS676" s="150">
        <v>17739</v>
      </c>
      <c r="DT676" s="72">
        <f t="shared" si="3226"/>
        <v>66.516474232610534</v>
      </c>
      <c r="DU676" s="150">
        <v>13406</v>
      </c>
      <c r="DV676" s="72">
        <f t="shared" si="3226"/>
        <v>3.9869686627365724</v>
      </c>
      <c r="DW676" s="150">
        <v>13463</v>
      </c>
      <c r="DX676" s="72">
        <f t="shared" si="3226"/>
        <v>1.0129051620648255</v>
      </c>
      <c r="DY676" s="150">
        <v>12285</v>
      </c>
      <c r="DZ676" s="72">
        <f t="shared" si="3226"/>
        <v>-22.648281072912738</v>
      </c>
      <c r="EA676" s="150">
        <v>19066</v>
      </c>
      <c r="EB676" s="72">
        <f t="shared" si="3227"/>
        <v>7.4806922599921108</v>
      </c>
      <c r="EC676" s="150">
        <v>24667</v>
      </c>
      <c r="ED676" s="72">
        <f t="shared" si="3228"/>
        <v>83.999701626137551</v>
      </c>
      <c r="EE676" s="150">
        <v>24925</v>
      </c>
      <c r="EF676" s="72">
        <f t="shared" si="3229"/>
        <v>85.137042263982778</v>
      </c>
      <c r="EG676" s="150">
        <v>14621</v>
      </c>
      <c r="EH676" s="72">
        <f t="shared" si="3230"/>
        <v>19.015059015059023</v>
      </c>
      <c r="EI676" s="150">
        <v>14643</v>
      </c>
      <c r="EJ676" s="72">
        <f t="shared" si="3231"/>
        <v>-23.198363579146118</v>
      </c>
      <c r="EK676" s="150">
        <v>16362</v>
      </c>
      <c r="EL676" s="72">
        <f t="shared" si="3232"/>
        <v>-33.668463939676499</v>
      </c>
      <c r="EM676" s="150">
        <v>16598</v>
      </c>
      <c r="EN676" s="72">
        <f t="shared" si="3233"/>
        <v>-33.408224674022065</v>
      </c>
      <c r="EO676" s="150">
        <v>17074</v>
      </c>
      <c r="EP676" s="72">
        <f t="shared" si="3234"/>
        <v>16.777238219000083</v>
      </c>
      <c r="EQ676" s="730">
        <f>+EO676-1000</f>
        <v>16074</v>
      </c>
      <c r="ER676" s="72">
        <f t="shared" si="3235"/>
        <v>9.7725875845113563</v>
      </c>
      <c r="ES676" s="150">
        <f t="shared" ref="ES676" si="3255">+EQ676</f>
        <v>16074</v>
      </c>
      <c r="ET676" s="72">
        <f t="shared" si="3236"/>
        <v>-1.7601760176017507</v>
      </c>
      <c r="EU676" s="150">
        <f t="shared" ref="EU676" si="3256">+ES676</f>
        <v>16074</v>
      </c>
      <c r="EV676" s="72">
        <f t="shared" si="3237"/>
        <v>-3.1570068682973869</v>
      </c>
      <c r="EW676" s="150">
        <f t="shared" ref="EW676" si="3257">+EU676</f>
        <v>16074</v>
      </c>
      <c r="EX676" s="72">
        <f t="shared" si="3238"/>
        <v>-5.8568583811643435</v>
      </c>
      <c r="EY676" s="72"/>
      <c r="EZ676" s="296"/>
      <c r="FA676" s="72"/>
      <c r="FB676" s="9"/>
      <c r="FC676" s="11"/>
      <c r="FD676" s="150"/>
      <c r="FE676" s="72"/>
      <c r="FF676" s="150">
        <v>497</v>
      </c>
      <c r="FG676" s="72" t="str">
        <f t="shared" si="3239"/>
        <v>NA</v>
      </c>
      <c r="FH676" s="144">
        <f>Q676</f>
        <v>563</v>
      </c>
      <c r="FI676" s="72">
        <f t="shared" si="3240"/>
        <v>13.279678068410462</v>
      </c>
      <c r="FJ676" s="144">
        <f>Y676</f>
        <v>1941</v>
      </c>
      <c r="FK676" s="72" t="str">
        <f t="shared" si="3241"/>
        <v>NM</v>
      </c>
      <c r="FL676" s="144">
        <f>AG676</f>
        <v>1777</v>
      </c>
      <c r="FM676" s="72">
        <f t="shared" si="3242"/>
        <v>-8.449252962390517</v>
      </c>
      <c r="FN676" s="144">
        <f>AO676</f>
        <v>1817</v>
      </c>
      <c r="FO676" s="72">
        <f t="shared" si="3243"/>
        <v>2.2509848058525534</v>
      </c>
      <c r="FP676" s="144">
        <f>AW676</f>
        <v>1108</v>
      </c>
      <c r="FQ676" s="72">
        <f t="shared" si="3244"/>
        <v>-39.020363236103471</v>
      </c>
      <c r="FR676" s="144">
        <f>BE676</f>
        <v>496</v>
      </c>
      <c r="FS676" s="72" t="str">
        <f t="shared" si="3245"/>
        <v>NM</v>
      </c>
      <c r="FT676" s="144">
        <f>BM676</f>
        <v>459</v>
      </c>
      <c r="FU676" s="72">
        <f t="shared" si="3246"/>
        <v>-7.4596774193548328</v>
      </c>
      <c r="FV676" s="144">
        <f>BU676</f>
        <v>-5237</v>
      </c>
      <c r="FW676" s="72" t="str">
        <f t="shared" si="3247"/>
        <v>NM</v>
      </c>
      <c r="FX676" s="144">
        <f>CC676</f>
        <v>-574</v>
      </c>
      <c r="FY676" s="72" t="str">
        <f t="shared" si="3247"/>
        <v>NM</v>
      </c>
      <c r="FZ676" s="144">
        <f>CK676</f>
        <v>2739</v>
      </c>
      <c r="GA676" s="72" t="str">
        <f t="shared" si="3247"/>
        <v>NM</v>
      </c>
      <c r="GB676" s="144">
        <f>CS676</f>
        <v>5077</v>
      </c>
      <c r="GC676" s="72">
        <f t="shared" si="3247"/>
        <v>85.359620299379344</v>
      </c>
      <c r="GD676" s="144">
        <f>DA676</f>
        <v>9990</v>
      </c>
      <c r="GE676" s="72">
        <f t="shared" si="3247"/>
        <v>96.769745912940721</v>
      </c>
      <c r="GF676" s="144">
        <f>DI676</f>
        <v>8586</v>
      </c>
      <c r="GG676" s="72">
        <f t="shared" si="3247"/>
        <v>-14.054054054054049</v>
      </c>
      <c r="GH676" s="144">
        <f>DQ676</f>
        <v>15882</v>
      </c>
      <c r="GI676" s="72">
        <f t="shared" si="3248"/>
        <v>84.975541579315177</v>
      </c>
      <c r="GJ676" s="144">
        <f>DY676</f>
        <v>12285</v>
      </c>
      <c r="GK676" s="72">
        <f t="shared" si="3248"/>
        <v>-22.648281072912738</v>
      </c>
      <c r="GL676" s="144">
        <f>EG676</f>
        <v>14621</v>
      </c>
      <c r="GM676" s="72">
        <f t="shared" si="3248"/>
        <v>19.015059015059023</v>
      </c>
      <c r="GN676" s="144">
        <f>EO676</f>
        <v>17074</v>
      </c>
      <c r="GO676" s="72">
        <f t="shared" si="3248"/>
        <v>16.777238219000083</v>
      </c>
      <c r="GP676" s="144">
        <f>EW676</f>
        <v>16074</v>
      </c>
      <c r="GQ676" s="72">
        <f t="shared" si="3248"/>
        <v>-5.8568583811643435</v>
      </c>
      <c r="GR676" s="144">
        <f>GP676</f>
        <v>16074</v>
      </c>
      <c r="GS676" s="72">
        <f t="shared" si="3248"/>
        <v>0</v>
      </c>
      <c r="GT676" s="144">
        <f>GR676</f>
        <v>16074</v>
      </c>
      <c r="GU676" s="72">
        <f t="shared" si="3248"/>
        <v>0</v>
      </c>
      <c r="GV676" s="144">
        <f>GT676</f>
        <v>16074</v>
      </c>
      <c r="GW676" s="72">
        <f t="shared" si="3249"/>
        <v>0</v>
      </c>
      <c r="GX676" s="144">
        <f>GV676</f>
        <v>16074</v>
      </c>
      <c r="GY676" s="72">
        <f t="shared" si="3250"/>
        <v>0</v>
      </c>
      <c r="GZ676" s="72">
        <f t="shared" si="3169"/>
        <v>-1.1998196429299224</v>
      </c>
      <c r="HA676" s="72"/>
      <c r="HB676" s="72"/>
      <c r="HC676"/>
      <c r="HD676"/>
      <c r="HE676"/>
      <c r="HF676"/>
      <c r="HG676"/>
      <c r="HH676"/>
      <c r="HI676" s="2"/>
    </row>
    <row r="677" spans="1:217" s="3" customFormat="1" ht="12.75" customHeight="1" x14ac:dyDescent="0.2">
      <c r="A677" s="3" t="s">
        <v>250</v>
      </c>
      <c r="B677" s="18" t="s">
        <v>788</v>
      </c>
      <c r="C677" s="145"/>
      <c r="D677" s="145"/>
      <c r="E677" s="145"/>
      <c r="F677" s="11"/>
      <c r="G677" s="145"/>
      <c r="H677" s="11"/>
      <c r="I677" s="145">
        <f>I675-I676</f>
        <v>13244</v>
      </c>
      <c r="J677" s="11"/>
      <c r="K677" s="145">
        <f>K675-K676</f>
        <v>13908</v>
      </c>
      <c r="L677" s="72" t="str">
        <f t="shared" si="3190"/>
        <v>NA</v>
      </c>
      <c r="M677" s="145">
        <f>M675-M676</f>
        <v>13960</v>
      </c>
      <c r="N677" s="72" t="str">
        <f t="shared" si="3191"/>
        <v>NA</v>
      </c>
      <c r="O677" s="145">
        <f>O675-O676</f>
        <v>13581</v>
      </c>
      <c r="P677" s="72" t="str">
        <f t="shared" si="3192"/>
        <v>NA</v>
      </c>
      <c r="Q677" s="145">
        <f>Q675-Q676</f>
        <v>19083</v>
      </c>
      <c r="R677" s="72">
        <f t="shared" si="3193"/>
        <v>44.087888855330732</v>
      </c>
      <c r="S677" s="145">
        <f>S675-S676</f>
        <v>19289</v>
      </c>
      <c r="T677" s="72">
        <f t="shared" si="3193"/>
        <v>38.689962611446674</v>
      </c>
      <c r="U677" s="145">
        <f>U675-U676</f>
        <v>19321</v>
      </c>
      <c r="V677" s="72">
        <f t="shared" si="3193"/>
        <v>38.402578796561613</v>
      </c>
      <c r="W677" s="145">
        <f>W675-W676</f>
        <v>19153</v>
      </c>
      <c r="X677" s="72">
        <f t="shared" si="3193"/>
        <v>41.027906634268476</v>
      </c>
      <c r="Y677" s="145">
        <f>Y675-Y676</f>
        <v>18621</v>
      </c>
      <c r="Z677" s="72">
        <f t="shared" si="3193"/>
        <v>-2.4210029869517342</v>
      </c>
      <c r="AA677" s="145">
        <f>AA675-AA676</f>
        <v>18596</v>
      </c>
      <c r="AB677" s="72">
        <f t="shared" si="3193"/>
        <v>-3.5927212400850124</v>
      </c>
      <c r="AC677" s="145">
        <f>AC675-AC676</f>
        <v>18523</v>
      </c>
      <c r="AD677" s="72">
        <f t="shared" si="3193"/>
        <v>-4.1302210030536628</v>
      </c>
      <c r="AE677" s="145">
        <f>AE675-AE676</f>
        <v>18564</v>
      </c>
      <c r="AF677" s="72">
        <f t="shared" si="3193"/>
        <v>-3.0752362554168968</v>
      </c>
      <c r="AG677" s="145">
        <f>AG675-AG676</f>
        <v>18563</v>
      </c>
      <c r="AH677" s="72">
        <f t="shared" si="3193"/>
        <v>-0.31147629020998124</v>
      </c>
      <c r="AI677" s="145">
        <f>AI675-AI676</f>
        <v>18554</v>
      </c>
      <c r="AJ677" s="72">
        <f t="shared" si="3193"/>
        <v>-0.22585502258549184</v>
      </c>
      <c r="AK677" s="145">
        <f>AK675-AK676</f>
        <v>18755</v>
      </c>
      <c r="AL677" s="72">
        <f t="shared" si="3193"/>
        <v>1.2524968957512215</v>
      </c>
      <c r="AM677" s="145">
        <f>AM675-AM676</f>
        <v>18995</v>
      </c>
      <c r="AN677" s="72">
        <f t="shared" si="3193"/>
        <v>2.3216979099331922</v>
      </c>
      <c r="AO677" s="145">
        <f>AO675-AO676</f>
        <v>19392</v>
      </c>
      <c r="AP677" s="72">
        <f t="shared" si="3193"/>
        <v>4.4658729731185787</v>
      </c>
      <c r="AQ677" s="145">
        <f>AQ675-AQ676</f>
        <v>19907</v>
      </c>
      <c r="AR677" s="72">
        <f t="shared" si="3194"/>
        <v>7.2922280909776873</v>
      </c>
      <c r="AS677" s="145">
        <f>AS675-AS676</f>
        <v>20292</v>
      </c>
      <c r="AT677" s="72">
        <f t="shared" si="3195"/>
        <v>8.1951479605438635</v>
      </c>
      <c r="AU677" s="145">
        <f>AU675-AU676</f>
        <v>21083</v>
      </c>
      <c r="AV677" s="72">
        <f t="shared" si="3196"/>
        <v>10.992366412213755</v>
      </c>
      <c r="AW677" s="145">
        <f>AW675-AW676</f>
        <v>20546</v>
      </c>
      <c r="AX677" s="72">
        <f t="shared" si="3197"/>
        <v>5.9509075907590727</v>
      </c>
      <c r="AY677" s="145">
        <f>AY675-AY676</f>
        <v>20717</v>
      </c>
      <c r="AZ677" s="72">
        <f t="shared" si="3198"/>
        <v>4.0689204802330892</v>
      </c>
      <c r="BA677" s="145">
        <f>BA675-BA676</f>
        <v>20604</v>
      </c>
      <c r="BB677" s="72">
        <f t="shared" si="3199"/>
        <v>1.5375517445298783</v>
      </c>
      <c r="BC677" s="145">
        <f>BC675-BC676</f>
        <v>21232</v>
      </c>
      <c r="BD677" s="72">
        <f t="shared" si="3200"/>
        <v>0.70673054119431811</v>
      </c>
      <c r="BE677" s="145">
        <f>BE675-BE676</f>
        <v>21194</v>
      </c>
      <c r="BF677" s="72">
        <f t="shared" si="3201"/>
        <v>3.1538985690645376</v>
      </c>
      <c r="BG677" s="145">
        <f>BG675-BG676</f>
        <v>21585</v>
      </c>
      <c r="BH677" s="72">
        <f t="shared" si="3202"/>
        <v>4.1897958198580767</v>
      </c>
      <c r="BI677" s="145">
        <f>BI675-BI676</f>
        <v>21835</v>
      </c>
      <c r="BJ677" s="72">
        <f t="shared" si="3203"/>
        <v>5.9745680450398027</v>
      </c>
      <c r="BK677" s="145">
        <f>BK675-BK676</f>
        <v>22351</v>
      </c>
      <c r="BL677" s="72">
        <f t="shared" si="3204"/>
        <v>5.2703466465712268</v>
      </c>
      <c r="BM677" s="145">
        <f>BM675-BM676</f>
        <v>21252</v>
      </c>
      <c r="BN677" s="72">
        <f t="shared" si="3205"/>
        <v>0.27366235727093624</v>
      </c>
      <c r="BO677" s="145">
        <f>BO675-BO676</f>
        <v>22430</v>
      </c>
      <c r="BP677" s="72">
        <f t="shared" si="3206"/>
        <v>3.9147556173268327</v>
      </c>
      <c r="BQ677" s="145">
        <f>BQ675-BQ676</f>
        <v>22964</v>
      </c>
      <c r="BR677" s="72">
        <f t="shared" si="3207"/>
        <v>5.1705976643004306</v>
      </c>
      <c r="BS677" s="145">
        <f>BS675-BS676</f>
        <v>23877</v>
      </c>
      <c r="BT677" s="72">
        <f t="shared" si="3208"/>
        <v>6.8274350140933251</v>
      </c>
      <c r="BU677" s="145">
        <f>BU675-BU676</f>
        <v>19529</v>
      </c>
      <c r="BV677" s="72">
        <f t="shared" si="3209"/>
        <v>-8.1074722379070181</v>
      </c>
      <c r="BW677" s="145">
        <f>BW675-BW676</f>
        <v>20238</v>
      </c>
      <c r="BX677" s="72">
        <f t="shared" si="3210"/>
        <v>-9.7726259473918873</v>
      </c>
      <c r="BY677" s="145">
        <f>BY675-BY676</f>
        <v>22194</v>
      </c>
      <c r="BZ677" s="72">
        <f t="shared" si="3211"/>
        <v>-3.3530743772861911</v>
      </c>
      <c r="CA677" s="145">
        <f>CA675-CA676</f>
        <v>23338</v>
      </c>
      <c r="CB677" s="72">
        <f t="shared" si="3212"/>
        <v>-2.257402521254761</v>
      </c>
      <c r="CC677" s="145">
        <f>CC675-CC676</f>
        <v>24728</v>
      </c>
      <c r="CD677" s="72">
        <f t="shared" si="3213"/>
        <v>26.62194684827692</v>
      </c>
      <c r="CE677" s="145">
        <f>CE675-CE676</f>
        <v>22951</v>
      </c>
      <c r="CF677" s="72">
        <f t="shared" si="3214"/>
        <v>13.405474849293427</v>
      </c>
      <c r="CG677" s="145">
        <f>CG675-CG676</f>
        <v>23856</v>
      </c>
      <c r="CH677" s="72">
        <f t="shared" si="3215"/>
        <v>7.4885104082184313</v>
      </c>
      <c r="CI677" s="145">
        <f>CI675-CI676</f>
        <v>24991</v>
      </c>
      <c r="CJ677" s="72">
        <f t="shared" si="3216"/>
        <v>7.0828691404576176</v>
      </c>
      <c r="CK677" s="145">
        <f>CK675-CK676</f>
        <v>25571</v>
      </c>
      <c r="CL677" s="72">
        <f t="shared" si="3216"/>
        <v>3.4090909090909207</v>
      </c>
      <c r="CM677" s="145">
        <f>CM675-CM676</f>
        <v>26206</v>
      </c>
      <c r="CN677" s="72">
        <f t="shared" si="3216"/>
        <v>14.182388566946983</v>
      </c>
      <c r="CO677" s="145">
        <f>CO675-CO676</f>
        <v>27052</v>
      </c>
      <c r="CP677" s="72">
        <f t="shared" si="3216"/>
        <v>13.397048960429231</v>
      </c>
      <c r="CQ677" s="145">
        <f>CQ675-CQ676</f>
        <v>27916</v>
      </c>
      <c r="CR677" s="72">
        <f t="shared" si="3216"/>
        <v>11.704213516866076</v>
      </c>
      <c r="CS677" s="145">
        <f>CS675-CS676</f>
        <v>27740</v>
      </c>
      <c r="CT677" s="72">
        <f t="shared" si="3216"/>
        <v>8.4822650658949499</v>
      </c>
      <c r="CU677" s="145">
        <f>CU675-CU676</f>
        <v>26637</v>
      </c>
      <c r="CV677" s="72">
        <f t="shared" si="3217"/>
        <v>1.644661527894371</v>
      </c>
      <c r="CW677" s="145">
        <f>CW675-CW676</f>
        <v>28687</v>
      </c>
      <c r="CX677" s="72">
        <f t="shared" si="3218"/>
        <v>6.0439154221499223</v>
      </c>
      <c r="CY677" s="145">
        <f>CY675-CY676</f>
        <v>27976</v>
      </c>
      <c r="CZ677" s="72">
        <f t="shared" si="3219"/>
        <v>0.21493050580312456</v>
      </c>
      <c r="DA677" s="145">
        <f>DA675-DA676</f>
        <v>27016</v>
      </c>
      <c r="DB677" s="72">
        <f t="shared" si="3220"/>
        <v>-2.6099495313626591</v>
      </c>
      <c r="DC677" s="145">
        <f>DC675-DC676</f>
        <v>26179</v>
      </c>
      <c r="DD677" s="72">
        <f t="shared" si="3221"/>
        <v>-1.7194128467920535</v>
      </c>
      <c r="DE677" s="145">
        <f>DE675-DE676</f>
        <v>25343</v>
      </c>
      <c r="DF677" s="72">
        <f t="shared" si="3222"/>
        <v>-11.656848049639208</v>
      </c>
      <c r="DG677" s="145">
        <f>DG675-DG676</f>
        <v>26034</v>
      </c>
      <c r="DH677" s="72">
        <f t="shared" si="3223"/>
        <v>-6.9416642836717273</v>
      </c>
      <c r="DI677" s="145">
        <f>DI675-DI676</f>
        <v>25299</v>
      </c>
      <c r="DJ677" s="72">
        <f t="shared" si="3224"/>
        <v>-6.3554930411607984</v>
      </c>
      <c r="DK677" s="145">
        <f>DK675-DK676</f>
        <v>26117</v>
      </c>
      <c r="DL677" s="72">
        <f t="shared" si="3225"/>
        <v>-0.23683104778639574</v>
      </c>
      <c r="DM677" s="145">
        <f>DM675-DM676</f>
        <v>26771</v>
      </c>
      <c r="DN677" s="72">
        <f t="shared" si="3226"/>
        <v>5.6346920254113542</v>
      </c>
      <c r="DO677" s="145">
        <f>DO675-DO676</f>
        <v>26875</v>
      </c>
      <c r="DP677" s="72">
        <f t="shared" si="3226"/>
        <v>3.2303910271183724</v>
      </c>
      <c r="DQ677" s="145">
        <f>DQ675-DQ676</f>
        <v>25099</v>
      </c>
      <c r="DR677" s="72">
        <f t="shared" si="3226"/>
        <v>-0.79054508083324038</v>
      </c>
      <c r="DS677" s="145">
        <f>DS675-DS676</f>
        <v>27305</v>
      </c>
      <c r="DT677" s="72">
        <f t="shared" si="3226"/>
        <v>4.5487613431864276</v>
      </c>
      <c r="DU677" s="145">
        <f>DU675-DU676</f>
        <v>28317</v>
      </c>
      <c r="DV677" s="72">
        <f t="shared" si="3226"/>
        <v>5.7749056815210622</v>
      </c>
      <c r="DW677" s="145">
        <f>DW675-DW676</f>
        <v>29257</v>
      </c>
      <c r="DX677" s="72">
        <f t="shared" si="3226"/>
        <v>8.8632558139534865</v>
      </c>
      <c r="DY677" s="145">
        <f>DY675-DY676</f>
        <v>29605</v>
      </c>
      <c r="DZ677" s="72">
        <f t="shared" si="3226"/>
        <v>17.952906490298417</v>
      </c>
      <c r="EA677" s="145">
        <f>EA675-EA676</f>
        <v>30176</v>
      </c>
      <c r="EB677" s="72">
        <f t="shared" si="3227"/>
        <v>10.51455777330159</v>
      </c>
      <c r="EC677" s="145">
        <f>EC675-EC676</f>
        <v>30482</v>
      </c>
      <c r="ED677" s="72">
        <f t="shared" si="3228"/>
        <v>7.6455839248507971</v>
      </c>
      <c r="EE677" s="145">
        <f>EE675-EE676</f>
        <v>31506</v>
      </c>
      <c r="EF677" s="72">
        <f t="shared" si="3229"/>
        <v>7.6870492531701871</v>
      </c>
      <c r="EG677" s="145">
        <f>EG675-EG676</f>
        <v>31242</v>
      </c>
      <c r="EH677" s="72">
        <f t="shared" si="3230"/>
        <v>5.5294713730788629</v>
      </c>
      <c r="EI677" s="145">
        <f>EI675-EI676</f>
        <v>32141</v>
      </c>
      <c r="EJ677" s="72">
        <f t="shared" si="3231"/>
        <v>6.5117974549310702</v>
      </c>
      <c r="EK677" s="145">
        <f>EK675-EK676</f>
        <v>32082</v>
      </c>
      <c r="EL677" s="72">
        <f t="shared" si="3232"/>
        <v>5.2489994094875811</v>
      </c>
      <c r="EM677" s="145">
        <f>EM675-EM676</f>
        <v>33775</v>
      </c>
      <c r="EN677" s="72">
        <f t="shared" si="3233"/>
        <v>7.2018028312067486</v>
      </c>
      <c r="EO677" s="145">
        <f>EO675-EO676</f>
        <v>36995</v>
      </c>
      <c r="EP677" s="72">
        <f t="shared" si="3234"/>
        <v>18.414314064400486</v>
      </c>
      <c r="EQ677" s="144">
        <f>EO677+EQ582-EQ613+EQ619-EQ624</f>
        <v>38414.029676528269</v>
      </c>
      <c r="ER677" s="72">
        <f t="shared" si="3235"/>
        <v>19.517219988576187</v>
      </c>
      <c r="ES677" s="144">
        <f>EQ677+ES582-ES613+ES619-ES624</f>
        <v>38627.621538728985</v>
      </c>
      <c r="ET677" s="72">
        <f t="shared" si="3236"/>
        <v>20.402785171526048</v>
      </c>
      <c r="EU677" s="144">
        <f>ES677+EU582-EU613+EU619-EU624</f>
        <v>38823.006659041697</v>
      </c>
      <c r="EV677" s="72">
        <f t="shared" si="3237"/>
        <v>14.945985667036837</v>
      </c>
      <c r="EW677" s="144">
        <f>EU677+EW582-EW613+EW619-EW624</f>
        <v>38884.948762970933</v>
      </c>
      <c r="EX677" s="72">
        <f t="shared" si="3238"/>
        <v>5.1086599891091709</v>
      </c>
      <c r="EY677" s="72"/>
      <c r="EZ677" s="296"/>
      <c r="FA677" s="72"/>
      <c r="FB677" s="9"/>
      <c r="FC677" s="11"/>
      <c r="FD677" s="150"/>
      <c r="FE677" s="72"/>
      <c r="FF677" s="145">
        <f>FF675-FF676</f>
        <v>13244</v>
      </c>
      <c r="FG677" s="72" t="str">
        <f t="shared" si="3239"/>
        <v>NA</v>
      </c>
      <c r="FH677" s="145">
        <f>FH675-FH676</f>
        <v>19083</v>
      </c>
      <c r="FI677" s="72">
        <f t="shared" si="3240"/>
        <v>44.087888855330732</v>
      </c>
      <c r="FJ677" s="145">
        <f>FJ675-FJ676</f>
        <v>18621</v>
      </c>
      <c r="FK677" s="72">
        <f t="shared" si="3241"/>
        <v>-2.4210029869517342</v>
      </c>
      <c r="FL677" s="145">
        <f>FL675-FL676</f>
        <v>18563</v>
      </c>
      <c r="FM677" s="72">
        <f t="shared" si="3242"/>
        <v>-0.31147629020998124</v>
      </c>
      <c r="FN677" s="145">
        <f>FN675-FN676</f>
        <v>19392</v>
      </c>
      <c r="FO677" s="72">
        <f t="shared" si="3243"/>
        <v>4.4658729731185787</v>
      </c>
      <c r="FP677" s="145">
        <f>FP675-FP676</f>
        <v>20546</v>
      </c>
      <c r="FQ677" s="72">
        <f t="shared" si="3244"/>
        <v>5.9509075907590727</v>
      </c>
      <c r="FR677" s="144">
        <f>FR675-FR676</f>
        <v>21194</v>
      </c>
      <c r="FS677" s="72">
        <f t="shared" si="3245"/>
        <v>3.1538985690645376</v>
      </c>
      <c r="FT677" s="144">
        <f>FT675-FT676</f>
        <v>21252</v>
      </c>
      <c r="FU677" s="72">
        <f t="shared" si="3246"/>
        <v>0.27366235727093624</v>
      </c>
      <c r="FV677" s="144">
        <f>FV675-FV676</f>
        <v>19529</v>
      </c>
      <c r="FW677" s="72">
        <f t="shared" si="3247"/>
        <v>-8.1074722379070181</v>
      </c>
      <c r="FX677" s="144">
        <f>FX675-FX676</f>
        <v>24728</v>
      </c>
      <c r="FY677" s="72">
        <f t="shared" si="3247"/>
        <v>26.62194684827692</v>
      </c>
      <c r="FZ677" s="144">
        <f>FZ675-FZ676</f>
        <v>25571</v>
      </c>
      <c r="GA677" s="72">
        <f t="shared" si="3247"/>
        <v>3.4090909090909207</v>
      </c>
      <c r="GB677" s="144">
        <f>CS677</f>
        <v>27740</v>
      </c>
      <c r="GC677" s="72">
        <f t="shared" si="3247"/>
        <v>8.4822650658949499</v>
      </c>
      <c r="GD677" s="144">
        <f>GD675-GD676</f>
        <v>27016</v>
      </c>
      <c r="GE677" s="72">
        <f t="shared" si="3247"/>
        <v>-2.6099495313626591</v>
      </c>
      <c r="GF677" s="144">
        <f>GF675-GF676</f>
        <v>25299</v>
      </c>
      <c r="GG677" s="72">
        <f t="shared" si="3247"/>
        <v>-6.3554930411607984</v>
      </c>
      <c r="GH677" s="144">
        <f>GH675-GH676</f>
        <v>25099</v>
      </c>
      <c r="GI677" s="72">
        <f t="shared" si="3248"/>
        <v>-0.79054508083324038</v>
      </c>
      <c r="GJ677" s="144">
        <f>GJ675-GJ676</f>
        <v>29605</v>
      </c>
      <c r="GK677" s="72">
        <f t="shared" si="3248"/>
        <v>17.952906490298417</v>
      </c>
      <c r="GL677" s="144">
        <f>GL675-GL676</f>
        <v>31242</v>
      </c>
      <c r="GM677" s="72">
        <f t="shared" si="3248"/>
        <v>5.5294713730788629</v>
      </c>
      <c r="GN677" s="144">
        <f>GN675-GN676</f>
        <v>36995</v>
      </c>
      <c r="GO677" s="72">
        <f t="shared" si="3248"/>
        <v>18.414314064400486</v>
      </c>
      <c r="GP677" s="144">
        <f>GP675-GP676</f>
        <v>38884.948762970933</v>
      </c>
      <c r="GQ677" s="72">
        <f t="shared" si="3248"/>
        <v>5.1086599891091709</v>
      </c>
      <c r="GR677" s="144">
        <f>GP677+GR582-GR613+GR619-GR625</f>
        <v>40296.087105941471</v>
      </c>
      <c r="GS677" s="72">
        <f t="shared" si="3248"/>
        <v>3.6290091355715646</v>
      </c>
      <c r="GT677" s="144">
        <f>GR677+GT582-GT613+GT619-GT625</f>
        <v>41521.23857089677</v>
      </c>
      <c r="GU677" s="72">
        <f t="shared" si="3248"/>
        <v>3.0403732792573237</v>
      </c>
      <c r="GV677" s="144">
        <f>GT677+GV582-GV613+GV619-GV625</f>
        <v>42657.676342416416</v>
      </c>
      <c r="GW677" s="72">
        <f t="shared" si="3249"/>
        <v>2.7370035447743106</v>
      </c>
      <c r="GX677" s="144">
        <f>GV677+GX582-GX613+GX619-GX625</f>
        <v>43687.984540073609</v>
      </c>
      <c r="GY677" s="72">
        <f t="shared" si="3250"/>
        <v>2.4152937665587615</v>
      </c>
      <c r="GZ677" s="72">
        <f t="shared" si="3169"/>
        <v>3.3817300519392024</v>
      </c>
      <c r="HA677" s="72"/>
      <c r="HB677" s="72"/>
      <c r="HC677"/>
      <c r="HD677"/>
      <c r="HE677"/>
      <c r="HF677"/>
      <c r="HG677"/>
      <c r="HH677"/>
      <c r="HI677" s="2"/>
    </row>
    <row r="678" spans="1:217" s="3" customFormat="1" ht="12.75" customHeight="1" x14ac:dyDescent="0.2">
      <c r="A678" s="3" t="s">
        <v>496</v>
      </c>
      <c r="B678" s="18" t="s">
        <v>380</v>
      </c>
      <c r="C678" s="145"/>
      <c r="D678" s="145"/>
      <c r="E678" s="145"/>
      <c r="F678" s="11"/>
      <c r="G678" s="145"/>
      <c r="H678" s="11"/>
      <c r="I678" s="145">
        <f>AVERAGE(I675,G675)</f>
        <v>13886</v>
      </c>
      <c r="J678" s="11"/>
      <c r="K678" s="145">
        <f>AVERAGE(K675,I675)</f>
        <v>14201</v>
      </c>
      <c r="L678" s="72" t="str">
        <f t="shared" si="3190"/>
        <v>NA</v>
      </c>
      <c r="M678" s="145">
        <f>AVERAGE(M675,K675)</f>
        <v>14724</v>
      </c>
      <c r="N678" s="72" t="str">
        <f t="shared" si="3191"/>
        <v>NA</v>
      </c>
      <c r="O678" s="145">
        <f>AVERAGE(O675,M675)</f>
        <v>14735</v>
      </c>
      <c r="P678" s="72" t="str">
        <f t="shared" si="3192"/>
        <v>NA</v>
      </c>
      <c r="Q678" s="145">
        <f>AVERAGE(Q675,O675)</f>
        <v>17164.5</v>
      </c>
      <c r="R678" s="72">
        <f t="shared" si="3193"/>
        <v>23.610110903067834</v>
      </c>
      <c r="S678" s="145">
        <f>AVERAGE(S675,Q675)</f>
        <v>19549.5</v>
      </c>
      <c r="T678" s="72">
        <f t="shared" si="3193"/>
        <v>37.662840645025</v>
      </c>
      <c r="U678" s="145">
        <f>AVERAGE(U675,S675)</f>
        <v>19855.5</v>
      </c>
      <c r="V678" s="72">
        <f t="shared" si="3193"/>
        <v>34.851263243683775</v>
      </c>
      <c r="W678" s="145">
        <f>AVERAGE(W675,U675)</f>
        <v>20648.5</v>
      </c>
      <c r="X678" s="72">
        <f t="shared" si="3193"/>
        <v>40.132337970817787</v>
      </c>
      <c r="Y678" s="145">
        <f>AVERAGE(Y675,W675)</f>
        <v>20800.5</v>
      </c>
      <c r="Z678" s="72">
        <f t="shared" si="3193"/>
        <v>21.183256139124353</v>
      </c>
      <c r="AA678" s="145">
        <f>AVERAGE(AA675,Y675)</f>
        <v>20810.5</v>
      </c>
      <c r="AB678" s="72">
        <f t="shared" si="3193"/>
        <v>6.4502928463643627</v>
      </c>
      <c r="AC678" s="145">
        <f>AVERAGE(AC675,AA675)</f>
        <v>21413.5</v>
      </c>
      <c r="AD678" s="72">
        <f t="shared" si="3193"/>
        <v>7.8466923522449719</v>
      </c>
      <c r="AE678" s="145">
        <f>AVERAGE(AE675,AC675)</f>
        <v>21154.5</v>
      </c>
      <c r="AF678" s="72">
        <f t="shared" si="3193"/>
        <v>2.4505412015400623</v>
      </c>
      <c r="AG678" s="145">
        <f>AVERAGE(AG675,AE675)</f>
        <v>20440.5</v>
      </c>
      <c r="AH678" s="72">
        <f t="shared" si="3193"/>
        <v>-1.7307276267397356</v>
      </c>
      <c r="AI678" s="145">
        <f>AVERAGE(AI675,AG675)</f>
        <v>20588.5</v>
      </c>
      <c r="AJ678" s="72">
        <f t="shared" si="3193"/>
        <v>-1.0667691790202127</v>
      </c>
      <c r="AK678" s="145">
        <f>AVERAGE(AK675,AI675)</f>
        <v>20228</v>
      </c>
      <c r="AL678" s="72">
        <f t="shared" si="3193"/>
        <v>-5.5362271464263131</v>
      </c>
      <c r="AM678" s="145">
        <f>AVERAGE(AM675,AK675)</f>
        <v>20038</v>
      </c>
      <c r="AN678" s="72">
        <f t="shared" si="3193"/>
        <v>-5.2778368668604685</v>
      </c>
      <c r="AO678" s="145">
        <f>AVERAGE(AO675,AM675)</f>
        <v>20833</v>
      </c>
      <c r="AP678" s="72">
        <f t="shared" si="3193"/>
        <v>1.9202074313250534</v>
      </c>
      <c r="AQ678" s="145">
        <f>AVERAGE(AQ675,AO675)</f>
        <v>21226.5</v>
      </c>
      <c r="AR678" s="72">
        <f t="shared" si="3194"/>
        <v>3.0988173009204161</v>
      </c>
      <c r="AS678" s="145">
        <f>AVERAGE(AS675,AQ675)</f>
        <v>21809.5</v>
      </c>
      <c r="AT678" s="72">
        <f t="shared" si="3195"/>
        <v>7.8183705754399853</v>
      </c>
      <c r="AU678" s="145">
        <f>AVERAGE(AU675,AS675)</f>
        <v>22434</v>
      </c>
      <c r="AV678" s="72">
        <f t="shared" si="3196"/>
        <v>11.957281165785005</v>
      </c>
      <c r="AW678" s="145">
        <f>AVERAGE(AW675,AU675)</f>
        <v>22073.5</v>
      </c>
      <c r="AX678" s="72">
        <f t="shared" si="3197"/>
        <v>5.9544952719243582</v>
      </c>
      <c r="AY678" s="145">
        <f>AVERAGE(AY675,AW675)</f>
        <v>21441.5</v>
      </c>
      <c r="AZ678" s="72">
        <f t="shared" si="3198"/>
        <v>1.0128848373495316</v>
      </c>
      <c r="BA678" s="145">
        <f>AVERAGE(BA675,AY675)</f>
        <v>20826.5</v>
      </c>
      <c r="BB678" s="72">
        <f t="shared" si="3199"/>
        <v>-4.5072101607097892</v>
      </c>
      <c r="BC678" s="145">
        <f>AVERAGE(BC675,BA675)</f>
        <v>21238.5</v>
      </c>
      <c r="BD678" s="72">
        <f t="shared" si="3200"/>
        <v>-5.3289649638940944</v>
      </c>
      <c r="BE678" s="145">
        <f>AVERAGE(BE675,BC675)</f>
        <v>21871.5</v>
      </c>
      <c r="BF678" s="72">
        <f t="shared" si="3201"/>
        <v>-0.91512447051894696</v>
      </c>
      <c r="BG678" s="145">
        <f>AVERAGE(BG675,BE675)</f>
        <v>21977.5</v>
      </c>
      <c r="BH678" s="72">
        <f t="shared" si="3202"/>
        <v>2.4998251055196761</v>
      </c>
      <c r="BI678" s="145">
        <f>AVERAGE(BI675,BG675)</f>
        <v>21991.5</v>
      </c>
      <c r="BJ678" s="72">
        <f t="shared" si="3203"/>
        <v>5.5938347778071318</v>
      </c>
      <c r="BK678" s="145">
        <f>AVERAGE(BK675,BI675)</f>
        <v>21884.5</v>
      </c>
      <c r="BL678" s="72">
        <f t="shared" si="3204"/>
        <v>3.0416460672834802</v>
      </c>
      <c r="BM678" s="145">
        <f>AVERAGE(BM675,BK675)</f>
        <v>21881</v>
      </c>
      <c r="BN678" s="72">
        <f t="shared" si="3205"/>
        <v>4.3435521111945263E-2</v>
      </c>
      <c r="BO678" s="145">
        <f>AVERAGE(BO675,BM675)</f>
        <v>21834</v>
      </c>
      <c r="BP678" s="72">
        <f t="shared" si="3206"/>
        <v>-0.65294050733704978</v>
      </c>
      <c r="BQ678" s="145">
        <f>AVERAGE(BQ675,BO675)</f>
        <v>21845</v>
      </c>
      <c r="BR678" s="72">
        <f t="shared" si="3207"/>
        <v>-0.6661664734101862</v>
      </c>
      <c r="BS678" s="145">
        <f>AVERAGE(BS675,BQ675)</f>
        <v>21523.5</v>
      </c>
      <c r="BT678" s="72">
        <f t="shared" si="3208"/>
        <v>-1.6495693298910226</v>
      </c>
      <c r="BU678" s="145">
        <f>AVERAGE(BU675,BS675)</f>
        <v>17803</v>
      </c>
      <c r="BV678" s="72">
        <f t="shared" si="3209"/>
        <v>-18.637173803756681</v>
      </c>
      <c r="BW678" s="145">
        <f>AVERAGE(BW675,BU675)</f>
        <v>14320.5</v>
      </c>
      <c r="BX678" s="72">
        <f t="shared" si="3210"/>
        <v>-34.411926353393781</v>
      </c>
      <c r="BY678" s="145">
        <f>AVERAGE(BY675,BW675)</f>
        <v>16515</v>
      </c>
      <c r="BZ678" s="72">
        <f t="shared" si="3211"/>
        <v>-24.399176012817577</v>
      </c>
      <c r="CA678" s="145">
        <f>AVERAGE(CA675,BY675)</f>
        <v>20960</v>
      </c>
      <c r="CB678" s="72">
        <f t="shared" si="3212"/>
        <v>-2.6180686226682468</v>
      </c>
      <c r="CC678" s="145">
        <f>AVERAGE(CC675,CA675)</f>
        <v>23696.5</v>
      </c>
      <c r="CD678" s="72">
        <f t="shared" si="3213"/>
        <v>33.10397124080211</v>
      </c>
      <c r="CE678" s="145">
        <f>AVERAGE(CE675,CC675)</f>
        <v>23707.5</v>
      </c>
      <c r="CF678" s="72">
        <f t="shared" si="3214"/>
        <v>65.549387242065563</v>
      </c>
      <c r="CG678" s="145">
        <f>AVERAGE(CG675,CE675)</f>
        <v>24561.5</v>
      </c>
      <c r="CH678" s="72">
        <f t="shared" si="3215"/>
        <v>48.722373599757788</v>
      </c>
      <c r="CI678" s="145">
        <f>AVERAGE(CI675,CG675)</f>
        <v>27671</v>
      </c>
      <c r="CJ678" s="72">
        <f t="shared" si="3216"/>
        <v>32.018129770992374</v>
      </c>
      <c r="CK678" s="145">
        <f>AVERAGE(CK675,CI675)</f>
        <v>28895</v>
      </c>
      <c r="CL678" s="72">
        <f t="shared" si="3216"/>
        <v>21.937838921359699</v>
      </c>
      <c r="CM678" s="145">
        <f>AVERAGE(CM675,CK675)</f>
        <v>28405.5</v>
      </c>
      <c r="CN678" s="72">
        <f t="shared" si="3216"/>
        <v>19.816513761467888</v>
      </c>
      <c r="CO678" s="145">
        <f>AVERAGE(CO675,CM675)</f>
        <v>29627.5</v>
      </c>
      <c r="CP678" s="72">
        <f t="shared" si="3216"/>
        <v>20.625776113022411</v>
      </c>
      <c r="CQ678" s="145">
        <f>AVERAGE(CQ675,CO675)</f>
        <v>31827.5</v>
      </c>
      <c r="CR678" s="72">
        <f t="shared" si="3216"/>
        <v>15.021141267030472</v>
      </c>
      <c r="CS678" s="145">
        <f>AVERAGE(CS675,CQ675)</f>
        <v>32859</v>
      </c>
      <c r="CT678" s="72">
        <f t="shared" si="3216"/>
        <v>13.718636442291057</v>
      </c>
      <c r="CU678" s="145">
        <f>AVERAGE(CU675,CS675)</f>
        <v>33172</v>
      </c>
      <c r="CV678" s="72">
        <f t="shared" si="3217"/>
        <v>16.780201017408601</v>
      </c>
      <c r="CW678" s="145">
        <f>AVERAGE(CW675,CU675)</f>
        <v>35060</v>
      </c>
      <c r="CX678" s="72">
        <f t="shared" si="3218"/>
        <v>18.33600540038816</v>
      </c>
      <c r="CY678" s="145">
        <f>AVERAGE(CY675,CW675)</f>
        <v>36891</v>
      </c>
      <c r="CZ678" s="72">
        <f t="shared" si="3219"/>
        <v>15.90919802057968</v>
      </c>
      <c r="DA678" s="145">
        <f>AVERAGE(DA675,CY675)</f>
        <v>37097.5</v>
      </c>
      <c r="DB678" s="72">
        <f t="shared" si="3220"/>
        <v>12.899053531756905</v>
      </c>
      <c r="DC678" s="145">
        <f>AVERAGE(DC675,DA675)</f>
        <v>37699</v>
      </c>
      <c r="DD678" s="72">
        <f t="shared" si="3221"/>
        <v>13.647051730375011</v>
      </c>
      <c r="DE678" s="145">
        <f>AVERAGE(DE675,DC675)</f>
        <v>36030.5</v>
      </c>
      <c r="DF678" s="72">
        <f t="shared" si="3222"/>
        <v>2.7681118083285838</v>
      </c>
      <c r="DG678" s="145">
        <f>AVERAGE(DG675,DE675)</f>
        <v>33243.5</v>
      </c>
      <c r="DH678" s="72">
        <f t="shared" si="3223"/>
        <v>-9.8872353690601926</v>
      </c>
      <c r="DI678" s="145">
        <f>AVERAGE(DI675,DG675)</f>
        <v>33351.5</v>
      </c>
      <c r="DJ678" s="72">
        <f t="shared" si="3224"/>
        <v>-10.097715479479746</v>
      </c>
      <c r="DK678" s="145">
        <f>AVERAGE(DK675,DI675)</f>
        <v>35327.5</v>
      </c>
      <c r="DL678" s="72">
        <f t="shared" si="3225"/>
        <v>-6.2906177882702536</v>
      </c>
      <c r="DM678" s="145">
        <f>AVERAGE(DM675,DK675)</f>
        <v>38216.5</v>
      </c>
      <c r="DN678" s="72">
        <f t="shared" si="3226"/>
        <v>6.0670820554807676</v>
      </c>
      <c r="DO678" s="145">
        <f>AVERAGE(DO675,DM675)</f>
        <v>39933</v>
      </c>
      <c r="DP678" s="72">
        <f t="shared" si="3226"/>
        <v>20.122730759396575</v>
      </c>
      <c r="DQ678" s="145">
        <f>AVERAGE(DQ675,DO675)</f>
        <v>40592</v>
      </c>
      <c r="DR678" s="72">
        <f t="shared" si="3226"/>
        <v>21.709668230814216</v>
      </c>
      <c r="DS678" s="145">
        <f>AVERAGE(DS675,DQ675)</f>
        <v>43012.5</v>
      </c>
      <c r="DT678" s="72">
        <f t="shared" si="3226"/>
        <v>21.753591394805753</v>
      </c>
      <c r="DU678" s="145">
        <f>AVERAGE(DU675,DS675)</f>
        <v>43383.5</v>
      </c>
      <c r="DV678" s="72">
        <f t="shared" si="3226"/>
        <v>13.520338073868615</v>
      </c>
      <c r="DW678" s="145">
        <f t="shared" ref="DW678:EE678" si="3258">AVERAGE(DW675,DU675)</f>
        <v>42221.5</v>
      </c>
      <c r="DX678" s="72">
        <f t="shared" si="3226"/>
        <v>5.7308491723637047</v>
      </c>
      <c r="DY678" s="145">
        <f t="shared" si="3258"/>
        <v>42305</v>
      </c>
      <c r="DZ678" s="72">
        <f t="shared" si="3226"/>
        <v>4.2200433582972039</v>
      </c>
      <c r="EA678" s="145">
        <f t="shared" si="3258"/>
        <v>45566</v>
      </c>
      <c r="EB678" s="72">
        <f t="shared" si="3227"/>
        <v>5.9366463237430906</v>
      </c>
      <c r="EC678" s="145">
        <f t="shared" si="3258"/>
        <v>52195.5</v>
      </c>
      <c r="ED678" s="72">
        <f t="shared" si="3228"/>
        <v>20.311869720054858</v>
      </c>
      <c r="EE678" s="145">
        <f t="shared" si="3258"/>
        <v>55790</v>
      </c>
      <c r="EF678" s="72">
        <f t="shared" si="3229"/>
        <v>32.136470755420817</v>
      </c>
      <c r="EG678" s="145">
        <f>AVERAGE(EG675,EE675)</f>
        <v>51147</v>
      </c>
      <c r="EH678" s="72">
        <f t="shared" si="3230"/>
        <v>20.900602765630552</v>
      </c>
      <c r="EI678" s="145">
        <f>AVERAGE(EI675,EG675)</f>
        <v>46323.5</v>
      </c>
      <c r="EJ678" s="72">
        <f t="shared" si="3231"/>
        <v>1.6624237369968711</v>
      </c>
      <c r="EK678" s="145">
        <f>AVERAGE(EK675,EI675)</f>
        <v>47614</v>
      </c>
      <c r="EL678" s="72">
        <f t="shared" si="3232"/>
        <v>-8.7775766110105309</v>
      </c>
      <c r="EM678" s="145">
        <f>AVERAGE(EM675,EK675)</f>
        <v>49408.5</v>
      </c>
      <c r="EN678" s="72">
        <f t="shared" si="3233"/>
        <v>-11.438429826133714</v>
      </c>
      <c r="EO678" s="145">
        <f>AVERAGE(EO675,EM675)</f>
        <v>52221</v>
      </c>
      <c r="EP678" s="72">
        <f t="shared" si="3234"/>
        <v>2.0998299020470483</v>
      </c>
      <c r="EQ678" s="144">
        <f t="shared" ref="EQ678" si="3259">AVERAGE(EQ675,EO675)</f>
        <v>54278.514838264135</v>
      </c>
      <c r="ER678" s="72">
        <f t="shared" si="3235"/>
        <v>17.172741347834545</v>
      </c>
      <c r="ES678" s="144">
        <f t="shared" ref="ES678" si="3260">AVERAGE(ES675,EQ675)</f>
        <v>54594.825607628627</v>
      </c>
      <c r="ET678" s="72">
        <f t="shared" si="3236"/>
        <v>14.661287872534601</v>
      </c>
      <c r="EU678" s="144">
        <f t="shared" ref="EU678" si="3261">AVERAGE(EU675,ES675)</f>
        <v>54799.314098885341</v>
      </c>
      <c r="EV678" s="72">
        <f t="shared" si="3237"/>
        <v>10.910701800065453</v>
      </c>
      <c r="EW678" s="144">
        <f t="shared" ref="EW678" si="3262">AVERAGE(EW675,EU675)</f>
        <v>54927.977711006315</v>
      </c>
      <c r="EX678" s="72">
        <f t="shared" si="3238"/>
        <v>5.1836956607616003</v>
      </c>
      <c r="EY678" s="72"/>
      <c r="EZ678" s="296"/>
      <c r="FA678" s="72"/>
      <c r="FB678" s="9"/>
      <c r="FC678" s="11"/>
      <c r="FD678" s="150"/>
      <c r="FE678" s="72"/>
      <c r="FF678" s="145">
        <f>AVERAGE(C678,E678,G678,I678)</f>
        <v>13886</v>
      </c>
      <c r="FG678" s="72" t="str">
        <f t="shared" si="3239"/>
        <v>NA</v>
      </c>
      <c r="FH678" s="145">
        <f>AVERAGE(FF675,FH675)</f>
        <v>16693.5</v>
      </c>
      <c r="FI678" s="72">
        <f t="shared" si="3240"/>
        <v>20.218205386720427</v>
      </c>
      <c r="FJ678" s="145">
        <f>AVERAGE(FH675,FJ675)</f>
        <v>20104</v>
      </c>
      <c r="FK678" s="72">
        <f t="shared" si="3241"/>
        <v>20.430107526881727</v>
      </c>
      <c r="FL678" s="145">
        <f>AVERAGE(FJ675,FL675)</f>
        <v>20451</v>
      </c>
      <c r="FM678" s="72">
        <f t="shared" si="3242"/>
        <v>1.7260246717071226</v>
      </c>
      <c r="FN678" s="145">
        <f>AVERAGE(FL675,FN675)</f>
        <v>20774.5</v>
      </c>
      <c r="FO678" s="72">
        <f t="shared" si="3243"/>
        <v>1.5818297393770422</v>
      </c>
      <c r="FP678" s="145">
        <f>AVERAGE(FN675,FP675)</f>
        <v>21431.5</v>
      </c>
      <c r="FQ678" s="72">
        <f t="shared" si="3244"/>
        <v>3.1625309875087169</v>
      </c>
      <c r="FR678" s="144">
        <f>AVERAGE(FP675,FR675)</f>
        <v>21672</v>
      </c>
      <c r="FS678" s="72">
        <f t="shared" si="3245"/>
        <v>1.1221799687375977</v>
      </c>
      <c r="FT678" s="144">
        <f>AVERAGE(FR675,FT675)</f>
        <v>21700.5</v>
      </c>
      <c r="FU678" s="72">
        <f t="shared" si="3246"/>
        <v>0.13150609080841491</v>
      </c>
      <c r="FV678" s="144">
        <f>AVERAGE(FT675,FV675)</f>
        <v>18001.5</v>
      </c>
      <c r="FW678" s="72">
        <f t="shared" si="3247"/>
        <v>-17.045690191470243</v>
      </c>
      <c r="FX678" s="144">
        <f>AVERAGE(FV675,FX675)</f>
        <v>19223</v>
      </c>
      <c r="FY678" s="72">
        <f t="shared" si="3247"/>
        <v>6.7855456489736952</v>
      </c>
      <c r="FZ678" s="144">
        <f>AVERAGE(FX675,FZ675)</f>
        <v>26232</v>
      </c>
      <c r="GA678" s="72">
        <f t="shared" si="3247"/>
        <v>36.461530458305162</v>
      </c>
      <c r="GB678" s="144">
        <f>AVERAGE(FZ675,GB675)</f>
        <v>30563.5</v>
      </c>
      <c r="GC678" s="72">
        <f t="shared" si="3247"/>
        <v>16.512275083867038</v>
      </c>
      <c r="GD678" s="144">
        <f>AVERAGE(GB675,GD675)</f>
        <v>34911.5</v>
      </c>
      <c r="GE678" s="72">
        <f t="shared" si="3247"/>
        <v>14.226119390776574</v>
      </c>
      <c r="GF678" s="144">
        <f>AVERAGE(GD675,GF675)</f>
        <v>35445.5</v>
      </c>
      <c r="GG678" s="72">
        <f t="shared" si="3247"/>
        <v>1.5295819429127988</v>
      </c>
      <c r="GH678" s="144">
        <f>AVERAGE(GF675,GH675)</f>
        <v>37433</v>
      </c>
      <c r="GI678" s="72">
        <f t="shared" si="3248"/>
        <v>5.6071997855863316</v>
      </c>
      <c r="GJ678" s="144">
        <f>AVERAGE(GH675,GJ675)</f>
        <v>41435.5</v>
      </c>
      <c r="GK678" s="72">
        <f t="shared" si="3248"/>
        <v>10.692437154382503</v>
      </c>
      <c r="GL678" s="144">
        <f>AVERAGE(GJ675,GL675)</f>
        <v>43876.5</v>
      </c>
      <c r="GM678" s="72">
        <f t="shared" si="3248"/>
        <v>5.8910837325481822</v>
      </c>
      <c r="GN678" s="144">
        <f>AVERAGE(GL675,GN675)</f>
        <v>49966</v>
      </c>
      <c r="GO678" s="72">
        <f t="shared" si="3248"/>
        <v>13.878727792782001</v>
      </c>
      <c r="GP678" s="144">
        <f>AVERAGE(GN675,GP675)</f>
        <v>54513.974381485466</v>
      </c>
      <c r="GQ678" s="72">
        <f t="shared" si="3248"/>
        <v>9.1021382169584655</v>
      </c>
      <c r="GR678" s="144">
        <f>AVERAGE(GP675,GR675)</f>
        <v>55664.517934456206</v>
      </c>
      <c r="GS678" s="72">
        <f t="shared" si="3248"/>
        <v>2.1105479210143443</v>
      </c>
      <c r="GT678" s="144">
        <f>AVERAGE(GR675,GT675)</f>
        <v>56982.662838419121</v>
      </c>
      <c r="GU678" s="72">
        <f t="shared" si="3248"/>
        <v>2.3680163825634963</v>
      </c>
      <c r="GV678" s="144">
        <f>AVERAGE(GT675,GV675)</f>
        <v>58163.457456656593</v>
      </c>
      <c r="GW678" s="72">
        <f t="shared" si="3249"/>
        <v>2.0721997874787945</v>
      </c>
      <c r="GX678" s="144">
        <f>AVERAGE(GV675,GX675)</f>
        <v>59246.830441245009</v>
      </c>
      <c r="GY678" s="72">
        <f t="shared" si="3250"/>
        <v>1.8626351182712</v>
      </c>
      <c r="GZ678" s="72">
        <f t="shared" si="3169"/>
        <v>3.4661067383299438</v>
      </c>
      <c r="HA678" s="72"/>
      <c r="HB678" s="72"/>
      <c r="HC678"/>
      <c r="HD678"/>
      <c r="HE678"/>
      <c r="HF678"/>
      <c r="HG678"/>
      <c r="HH678"/>
      <c r="HI678" s="2"/>
    </row>
    <row r="679" spans="1:217" s="3" customFormat="1" ht="12.75" customHeight="1" x14ac:dyDescent="0.2">
      <c r="A679" s="3" t="s">
        <v>495</v>
      </c>
      <c r="B679" s="18" t="s">
        <v>381</v>
      </c>
      <c r="C679" s="145"/>
      <c r="D679" s="145"/>
      <c r="E679" s="145"/>
      <c r="F679" s="11"/>
      <c r="G679" s="145"/>
      <c r="H679" s="11"/>
      <c r="I679" s="145">
        <f>AVERAGE(I677,G677)</f>
        <v>13244</v>
      </c>
      <c r="J679" s="11"/>
      <c r="K679" s="145">
        <f>AVERAGE(K677,I677)</f>
        <v>13576</v>
      </c>
      <c r="L679" s="72" t="str">
        <f t="shared" si="3190"/>
        <v>NA</v>
      </c>
      <c r="M679" s="145">
        <f>AVERAGE(M677,K677)</f>
        <v>13934</v>
      </c>
      <c r="N679" s="72" t="str">
        <f t="shared" si="3191"/>
        <v>NA</v>
      </c>
      <c r="O679" s="145">
        <f>AVERAGE(O677,M677)</f>
        <v>13770.5</v>
      </c>
      <c r="P679" s="72" t="str">
        <f t="shared" si="3192"/>
        <v>NA</v>
      </c>
      <c r="Q679" s="145">
        <f>AVERAGE(Q677,O677)</f>
        <v>16332</v>
      </c>
      <c r="R679" s="72">
        <f t="shared" si="3193"/>
        <v>23.316218665055871</v>
      </c>
      <c r="S679" s="145">
        <f>AVERAGE(S677,Q677)</f>
        <v>19186</v>
      </c>
      <c r="T679" s="72">
        <f t="shared" si="3193"/>
        <v>41.322922804949911</v>
      </c>
      <c r="U679" s="145">
        <f>AVERAGE(U677,S677)</f>
        <v>19305</v>
      </c>
      <c r="V679" s="72">
        <f t="shared" si="3193"/>
        <v>38.546002583608441</v>
      </c>
      <c r="W679" s="145">
        <f>AVERAGE(W677,U677)</f>
        <v>19237</v>
      </c>
      <c r="X679" s="72">
        <f t="shared" si="3193"/>
        <v>39.697178751679303</v>
      </c>
      <c r="Y679" s="145">
        <f>AVERAGE(Y677,W677)</f>
        <v>18887</v>
      </c>
      <c r="Z679" s="72">
        <f t="shared" si="3193"/>
        <v>15.644134215037965</v>
      </c>
      <c r="AA679" s="145">
        <f>AVERAGE(AA677,Y677)</f>
        <v>18608.5</v>
      </c>
      <c r="AB679" s="72">
        <f t="shared" si="3193"/>
        <v>-3.0100072969873821</v>
      </c>
      <c r="AC679" s="145">
        <f>AVERAGE(AC677,AA677)</f>
        <v>18559.5</v>
      </c>
      <c r="AD679" s="72">
        <f t="shared" si="3193"/>
        <v>-3.8616938616938654</v>
      </c>
      <c r="AE679" s="145">
        <f>AVERAGE(AE677,AC677)</f>
        <v>18543.5</v>
      </c>
      <c r="AF679" s="72">
        <f t="shared" si="3193"/>
        <v>-3.6050319696418427</v>
      </c>
      <c r="AG679" s="145">
        <f>AVERAGE(AG677,AE677)</f>
        <v>18563.5</v>
      </c>
      <c r="AH679" s="72">
        <f t="shared" si="3193"/>
        <v>-1.7128183406575914</v>
      </c>
      <c r="AI679" s="145">
        <f>AVERAGE(AI677,AG677)</f>
        <v>18558.5</v>
      </c>
      <c r="AJ679" s="72">
        <f t="shared" si="3193"/>
        <v>-0.26869441384313575</v>
      </c>
      <c r="AK679" s="145">
        <f>AVERAGE(AK677,AI677)</f>
        <v>18654.5</v>
      </c>
      <c r="AL679" s="72">
        <f t="shared" si="3193"/>
        <v>0.5118672378027469</v>
      </c>
      <c r="AM679" s="145">
        <f>AVERAGE(AM677,AK677)</f>
        <v>18875</v>
      </c>
      <c r="AN679" s="72">
        <f t="shared" si="3193"/>
        <v>1.7876884083371607</v>
      </c>
      <c r="AO679" s="145">
        <f>AVERAGE(AO677,AM677)</f>
        <v>19193.5</v>
      </c>
      <c r="AP679" s="72">
        <f t="shared" si="3193"/>
        <v>3.3937565653028798</v>
      </c>
      <c r="AQ679" s="145">
        <f>AVERAGE(AQ677,AO677)</f>
        <v>19649.5</v>
      </c>
      <c r="AR679" s="72">
        <f t="shared" si="3194"/>
        <v>5.8787078697093023</v>
      </c>
      <c r="AS679" s="145">
        <f>AVERAGE(AS677,AQ677)</f>
        <v>20099.5</v>
      </c>
      <c r="AT679" s="72">
        <f t="shared" si="3195"/>
        <v>7.7461202390844051</v>
      </c>
      <c r="AU679" s="145">
        <f>AVERAGE(AU677,AS677)</f>
        <v>20687.5</v>
      </c>
      <c r="AV679" s="72">
        <f t="shared" si="3196"/>
        <v>9.6026490066225136</v>
      </c>
      <c r="AW679" s="145">
        <f>AVERAGE(AW677,AU677)</f>
        <v>20814.5</v>
      </c>
      <c r="AX679" s="72">
        <f t="shared" si="3197"/>
        <v>8.4455675098340492</v>
      </c>
      <c r="AY679" s="145">
        <f>AVERAGE(AY677,AW677)</f>
        <v>20631.5</v>
      </c>
      <c r="AZ679" s="72">
        <f t="shared" si="3198"/>
        <v>4.9975826356904776</v>
      </c>
      <c r="BA679" s="145">
        <f>AVERAGE(BA677,AY677)</f>
        <v>20660.5</v>
      </c>
      <c r="BB679" s="72">
        <f t="shared" si="3199"/>
        <v>2.7911142068210495</v>
      </c>
      <c r="BC679" s="145">
        <f>AVERAGE(BC677,BA677)</f>
        <v>20918</v>
      </c>
      <c r="BD679" s="72">
        <f t="shared" si="3200"/>
        <v>1.1141993957703988</v>
      </c>
      <c r="BE679" s="145">
        <f>AVERAGE(BE677,BC677)</f>
        <v>21213</v>
      </c>
      <c r="BF679" s="72">
        <f t="shared" si="3201"/>
        <v>1.9145307357851635</v>
      </c>
      <c r="BG679" s="145">
        <f>AVERAGE(BG677,BE677)</f>
        <v>21389.5</v>
      </c>
      <c r="BH679" s="72">
        <f t="shared" si="3202"/>
        <v>3.6739936504859116</v>
      </c>
      <c r="BI679" s="145">
        <f>AVERAGE(BI677,BG677)</f>
        <v>21710</v>
      </c>
      <c r="BJ679" s="72">
        <f t="shared" si="3203"/>
        <v>5.0797415357808404</v>
      </c>
      <c r="BK679" s="145">
        <f>AVERAGE(BK677,BI677)</f>
        <v>22093</v>
      </c>
      <c r="BL679" s="72">
        <f t="shared" si="3204"/>
        <v>5.617171813748925</v>
      </c>
      <c r="BM679" s="145">
        <f>AVERAGE(BM677,BK677)</f>
        <v>21801.5</v>
      </c>
      <c r="BN679" s="72">
        <f t="shared" si="3205"/>
        <v>2.7742422099655784</v>
      </c>
      <c r="BO679" s="145">
        <f>AVERAGE(BO677,BM677)</f>
        <v>21841</v>
      </c>
      <c r="BP679" s="72">
        <f t="shared" si="3206"/>
        <v>2.1108487809439254</v>
      </c>
      <c r="BQ679" s="145">
        <f>AVERAGE(BQ677,BO677)</f>
        <v>22697</v>
      </c>
      <c r="BR679" s="72">
        <f t="shared" si="3207"/>
        <v>4.5462920313219684</v>
      </c>
      <c r="BS679" s="145">
        <f>AVERAGE(BS677,BQ677)</f>
        <v>23420.5</v>
      </c>
      <c r="BT679" s="72">
        <f t="shared" si="3208"/>
        <v>6.0086905354637139</v>
      </c>
      <c r="BU679" s="145">
        <f>AVERAGE(BU677,BS677)</f>
        <v>21703</v>
      </c>
      <c r="BV679" s="72">
        <f t="shared" si="3209"/>
        <v>-0.4518037749696191</v>
      </c>
      <c r="BW679" s="145">
        <f>AVERAGE(BW677,BU677)</f>
        <v>19883.5</v>
      </c>
      <c r="BX679" s="72">
        <f t="shared" si="3210"/>
        <v>-8.9625017169543497</v>
      </c>
      <c r="BY679" s="145">
        <f>AVERAGE(BY677,BW677)</f>
        <v>21216</v>
      </c>
      <c r="BZ679" s="72">
        <f t="shared" si="3211"/>
        <v>-6.5250914217737943</v>
      </c>
      <c r="CA679" s="145">
        <f>AVERAGE(CA677,BY677)</f>
        <v>22766</v>
      </c>
      <c r="CB679" s="72">
        <f t="shared" si="3212"/>
        <v>-2.7945603210862231</v>
      </c>
      <c r="CC679" s="145">
        <f>AVERAGE(CC677,CA677)</f>
        <v>24033</v>
      </c>
      <c r="CD679" s="72">
        <f t="shared" si="3213"/>
        <v>10.735842971017846</v>
      </c>
      <c r="CE679" s="145">
        <f>AVERAGE(CE677,CC677)</f>
        <v>23839.5</v>
      </c>
      <c r="CF679" s="72">
        <f t="shared" si="3214"/>
        <v>19.895893580104101</v>
      </c>
      <c r="CG679" s="145">
        <f>AVERAGE(CG677,CE677)</f>
        <v>23403.5</v>
      </c>
      <c r="CH679" s="72">
        <f t="shared" si="3215"/>
        <v>10.310614630467569</v>
      </c>
      <c r="CI679" s="145">
        <f>AVERAGE(CI677,CG677)</f>
        <v>24423.5</v>
      </c>
      <c r="CJ679" s="72">
        <f t="shared" si="3216"/>
        <v>7.2805938680488396</v>
      </c>
      <c r="CK679" s="145">
        <f>AVERAGE(CK677,CI677)</f>
        <v>25281</v>
      </c>
      <c r="CL679" s="72">
        <f t="shared" si="3216"/>
        <v>5.1928598177505876</v>
      </c>
      <c r="CM679" s="145">
        <f>AVERAGE(CM677,CK677)</f>
        <v>25888.5</v>
      </c>
      <c r="CN679" s="72">
        <f t="shared" si="3216"/>
        <v>8.5949789215377734</v>
      </c>
      <c r="CO679" s="145">
        <f>AVERAGE(CO677,CM677)</f>
        <v>26629</v>
      </c>
      <c r="CP679" s="72">
        <f t="shared" si="3216"/>
        <v>13.782126604994986</v>
      </c>
      <c r="CQ679" s="145">
        <f>AVERAGE(CQ677,CO677)</f>
        <v>27484</v>
      </c>
      <c r="CR679" s="72">
        <f t="shared" si="3216"/>
        <v>12.530964030544339</v>
      </c>
      <c r="CS679" s="145">
        <f>AVERAGE(CS677,CQ677)</f>
        <v>27828</v>
      </c>
      <c r="CT679" s="72">
        <f t="shared" si="3216"/>
        <v>10.074759700961195</v>
      </c>
      <c r="CU679" s="145">
        <f>AVERAGE(CU677,CS677)</f>
        <v>27188.5</v>
      </c>
      <c r="CV679" s="72">
        <f t="shared" si="3217"/>
        <v>5.0215346582459262</v>
      </c>
      <c r="CW679" s="145">
        <f>AVERAGE(CW677,CU677)</f>
        <v>27662</v>
      </c>
      <c r="CX679" s="72">
        <f t="shared" si="3218"/>
        <v>3.8792294115438182</v>
      </c>
      <c r="CY679" s="145">
        <f>AVERAGE(CY677,CW677)</f>
        <v>28331.5</v>
      </c>
      <c r="CZ679" s="72">
        <f t="shared" si="3219"/>
        <v>3.0836122835103907</v>
      </c>
      <c r="DA679" s="145">
        <f>AVERAGE(DA677,CY677)</f>
        <v>27496</v>
      </c>
      <c r="DB679" s="72">
        <f t="shared" si="3220"/>
        <v>-1.1930429782952388</v>
      </c>
      <c r="DC679" s="145">
        <f>AVERAGE(DC677,DA677)</f>
        <v>26597.5</v>
      </c>
      <c r="DD679" s="72">
        <f t="shared" si="3221"/>
        <v>-2.1737131507806708</v>
      </c>
      <c r="DE679" s="145">
        <f>AVERAGE(DE677,DC677)</f>
        <v>25761</v>
      </c>
      <c r="DF679" s="72">
        <f t="shared" si="3222"/>
        <v>-6.8722435109536519</v>
      </c>
      <c r="DG679" s="145">
        <f>AVERAGE(DG677,DE677)</f>
        <v>25688.5</v>
      </c>
      <c r="DH679" s="72">
        <f t="shared" si="3223"/>
        <v>-9.3288389248716044</v>
      </c>
      <c r="DI679" s="145">
        <f>AVERAGE(DI677,DG677)</f>
        <v>25666.5</v>
      </c>
      <c r="DJ679" s="72">
        <f t="shared" si="3224"/>
        <v>-6.6536950829211463</v>
      </c>
      <c r="DK679" s="145">
        <f>AVERAGE(DK677,DI677)</f>
        <v>25708</v>
      </c>
      <c r="DL679" s="72">
        <f t="shared" si="3225"/>
        <v>-3.3442992762477672</v>
      </c>
      <c r="DM679" s="145">
        <f>AVERAGE(DM677,DK677)</f>
        <v>26444</v>
      </c>
      <c r="DN679" s="72">
        <f t="shared" si="3226"/>
        <v>2.6512945926012321</v>
      </c>
      <c r="DO679" s="145">
        <f>AVERAGE(DO677,DM677)</f>
        <v>26823</v>
      </c>
      <c r="DP679" s="72">
        <f t="shared" si="3226"/>
        <v>4.4163730852326779</v>
      </c>
      <c r="DQ679" s="145">
        <f>AVERAGE(DQ677,DO677)</f>
        <v>25987</v>
      </c>
      <c r="DR679" s="72">
        <f t="shared" si="3226"/>
        <v>1.2487094072039469</v>
      </c>
      <c r="DS679" s="145">
        <f>AVERAGE(DS677,DQ677)</f>
        <v>26202</v>
      </c>
      <c r="DT679" s="72">
        <f t="shared" si="3226"/>
        <v>1.9215808308697717</v>
      </c>
      <c r="DU679" s="145">
        <f>AVERAGE(DU677,DS677)</f>
        <v>27811</v>
      </c>
      <c r="DV679" s="72">
        <f t="shared" si="3226"/>
        <v>5.1694146120102857</v>
      </c>
      <c r="DW679" s="145">
        <f t="shared" ref="DW679:EE679" si="3263">AVERAGE(DW677,DU677)</f>
        <v>28787</v>
      </c>
      <c r="DX679" s="72">
        <f t="shared" si="3226"/>
        <v>7.3220743391865284</v>
      </c>
      <c r="DY679" s="145">
        <f t="shared" si="3263"/>
        <v>29431</v>
      </c>
      <c r="DZ679" s="72">
        <f t="shared" si="3226"/>
        <v>13.252780236271988</v>
      </c>
      <c r="EA679" s="145">
        <f t="shared" si="3263"/>
        <v>29890.5</v>
      </c>
      <c r="EB679" s="72">
        <f t="shared" si="3227"/>
        <v>14.077169681703694</v>
      </c>
      <c r="EC679" s="145">
        <f t="shared" si="3263"/>
        <v>30329</v>
      </c>
      <c r="ED679" s="72">
        <f t="shared" si="3228"/>
        <v>9.0539714501456103</v>
      </c>
      <c r="EE679" s="145">
        <f t="shared" si="3263"/>
        <v>30994</v>
      </c>
      <c r="EF679" s="72">
        <f t="shared" si="3229"/>
        <v>7.666655087365811</v>
      </c>
      <c r="EG679" s="145">
        <f>AVERAGE(EG677,EE677)</f>
        <v>31374</v>
      </c>
      <c r="EH679" s="72">
        <f t="shared" si="3230"/>
        <v>6.6018823689307169</v>
      </c>
      <c r="EI679" s="145">
        <f>AVERAGE(EI677,EG677)</f>
        <v>31691.5</v>
      </c>
      <c r="EJ679" s="72">
        <f t="shared" si="3231"/>
        <v>6.0253257724025957</v>
      </c>
      <c r="EK679" s="145">
        <f>AVERAGE(EK677,EI677)</f>
        <v>32111.5</v>
      </c>
      <c r="EL679" s="72">
        <f t="shared" si="3232"/>
        <v>5.877213228263372</v>
      </c>
      <c r="EM679" s="145">
        <f>AVERAGE(EM677,EK677)</f>
        <v>32928.5</v>
      </c>
      <c r="EN679" s="72">
        <f t="shared" si="3233"/>
        <v>6.2415306188294579</v>
      </c>
      <c r="EO679" s="145">
        <f>AVERAGE(EO677,EM677)</f>
        <v>35385</v>
      </c>
      <c r="EP679" s="72">
        <f t="shared" si="3234"/>
        <v>12.784471218206164</v>
      </c>
      <c r="EQ679" s="144">
        <f t="shared" ref="EQ679" si="3264">AVERAGE(EQ677,EO677)</f>
        <v>37704.514838264135</v>
      </c>
      <c r="ER679" s="72">
        <f t="shared" si="3235"/>
        <v>18.973588622388135</v>
      </c>
      <c r="ES679" s="144">
        <f t="shared" ref="ES679" si="3265">AVERAGE(ES677,EQ677)</f>
        <v>38520.825607628627</v>
      </c>
      <c r="ET679" s="72">
        <f t="shared" si="3236"/>
        <v>19.959595807198752</v>
      </c>
      <c r="EU679" s="144">
        <f t="shared" ref="EU679" si="3266">AVERAGE(EU677,ES677)</f>
        <v>38725.314098885341</v>
      </c>
      <c r="EV679" s="72">
        <f t="shared" si="3237"/>
        <v>17.604245862658004</v>
      </c>
      <c r="EW679" s="144">
        <f t="shared" ref="EW679" si="3267">AVERAGE(EW677,EU677)</f>
        <v>38853.977711006315</v>
      </c>
      <c r="EX679" s="72">
        <f t="shared" si="3238"/>
        <v>9.8035261014732527</v>
      </c>
      <c r="EY679" s="72"/>
      <c r="EZ679" s="296"/>
      <c r="FA679" s="72"/>
      <c r="FB679" s="9"/>
      <c r="FC679" s="11"/>
      <c r="FD679" s="150"/>
      <c r="FE679" s="72"/>
      <c r="FF679" s="145">
        <f>AVERAGE(C679,E679,G679,I679)</f>
        <v>13244</v>
      </c>
      <c r="FG679" s="72" t="str">
        <f t="shared" si="3239"/>
        <v>NA</v>
      </c>
      <c r="FH679" s="145">
        <f>AVERAGE(FF677,FH677)</f>
        <v>16163.5</v>
      </c>
      <c r="FI679" s="72">
        <f t="shared" si="3240"/>
        <v>22.043944427665352</v>
      </c>
      <c r="FJ679" s="145">
        <f>AVERAGE(FH677,FJ677)</f>
        <v>18852</v>
      </c>
      <c r="FK679" s="72">
        <f t="shared" si="3241"/>
        <v>16.633154947876378</v>
      </c>
      <c r="FL679" s="145">
        <f>AVERAGE(FJ677,FL677)</f>
        <v>18592</v>
      </c>
      <c r="FM679" s="72">
        <f t="shared" si="3242"/>
        <v>-1.3791640144281843</v>
      </c>
      <c r="FN679" s="145">
        <f>AVERAGE(FL677,FN677)</f>
        <v>18977.5</v>
      </c>
      <c r="FO679" s="72">
        <f t="shared" si="3243"/>
        <v>2.073472461273667</v>
      </c>
      <c r="FP679" s="145">
        <f>AVERAGE(FN677,FP677)</f>
        <v>19969</v>
      </c>
      <c r="FQ679" s="72">
        <f t="shared" si="3244"/>
        <v>5.2246080885258976</v>
      </c>
      <c r="FR679" s="144">
        <f>AVERAGE(FP677,FR677)</f>
        <v>20870</v>
      </c>
      <c r="FS679" s="72">
        <f t="shared" si="3245"/>
        <v>4.5119935900646055</v>
      </c>
      <c r="FT679" s="144">
        <f>AVERAGE(FR677,FT677)</f>
        <v>21223</v>
      </c>
      <c r="FU679" s="72">
        <f t="shared" si="3246"/>
        <v>1.6914230953521781</v>
      </c>
      <c r="FV679" s="144">
        <f>AVERAGE(FT677,FV677)</f>
        <v>20390.5</v>
      </c>
      <c r="FW679" s="72">
        <f t="shared" si="3247"/>
        <v>-3.9226311077604379</v>
      </c>
      <c r="FX679" s="144">
        <f>AVERAGE(FV677,FX677)</f>
        <v>22128.5</v>
      </c>
      <c r="FY679" s="72">
        <f t="shared" si="3247"/>
        <v>8.5235771560285372</v>
      </c>
      <c r="FZ679" s="144">
        <f>AVERAGE(FX677,FZ677)</f>
        <v>25149.5</v>
      </c>
      <c r="GA679" s="72">
        <f t="shared" si="3247"/>
        <v>13.65207763743588</v>
      </c>
      <c r="GB679" s="144">
        <f>AVERAGE(FZ677,GB677)</f>
        <v>26655.5</v>
      </c>
      <c r="GC679" s="72">
        <f t="shared" si="3247"/>
        <v>5.9881906200918564</v>
      </c>
      <c r="GD679" s="144">
        <f>AVERAGE(GB677,GD677)</f>
        <v>27378</v>
      </c>
      <c r="GE679" s="72">
        <f t="shared" si="3247"/>
        <v>2.7105100260734076</v>
      </c>
      <c r="GF679" s="144">
        <f>AVERAGE(GD677,GF677)</f>
        <v>26157.5</v>
      </c>
      <c r="GG679" s="72">
        <f t="shared" si="3247"/>
        <v>-4.4579589451384294</v>
      </c>
      <c r="GH679" s="144">
        <f>AVERAGE(GF677,GH677)</f>
        <v>25199</v>
      </c>
      <c r="GI679" s="72">
        <f t="shared" si="3248"/>
        <v>-3.664341011182259</v>
      </c>
      <c r="GJ679" s="144">
        <f>AVERAGE(GH677,GJ677)</f>
        <v>27352</v>
      </c>
      <c r="GK679" s="72">
        <f t="shared" si="3248"/>
        <v>8.5439898408667005</v>
      </c>
      <c r="GL679" s="144">
        <f>AVERAGE(GJ677,GL677)</f>
        <v>30423.5</v>
      </c>
      <c r="GM679" s="72">
        <f t="shared" si="3248"/>
        <v>11.229526177244793</v>
      </c>
      <c r="GN679" s="144">
        <f>AVERAGE(GL677,GN677)</f>
        <v>34118.5</v>
      </c>
      <c r="GO679" s="72">
        <f t="shared" si="3248"/>
        <v>12.145216691044752</v>
      </c>
      <c r="GP679" s="144">
        <f>AVERAGE(GN677,GP677)</f>
        <v>37939.974381485466</v>
      </c>
      <c r="GQ679" s="72">
        <f t="shared" si="3248"/>
        <v>11.200593172283263</v>
      </c>
      <c r="GR679" s="144">
        <f>AVERAGE(GP677,GR677)</f>
        <v>39590.517934456206</v>
      </c>
      <c r="GS679" s="72">
        <f t="shared" si="3248"/>
        <v>4.3504076633646775</v>
      </c>
      <c r="GT679" s="144">
        <f>AVERAGE(GR677,GT677)</f>
        <v>40908.662838419121</v>
      </c>
      <c r="GU679" s="72">
        <f t="shared" si="3248"/>
        <v>3.3294459702324559</v>
      </c>
      <c r="GV679" s="144">
        <f>AVERAGE(GT677,GV677)</f>
        <v>42089.457456656593</v>
      </c>
      <c r="GW679" s="72">
        <f t="shared" si="3249"/>
        <v>2.8864170479034499</v>
      </c>
      <c r="GX679" s="144">
        <f>AVERAGE(GV677,GX677)</f>
        <v>43172.830441245009</v>
      </c>
      <c r="GY679" s="72">
        <f t="shared" si="3250"/>
        <v>2.5739770718215169</v>
      </c>
      <c r="GZ679" s="72">
        <f t="shared" si="3169"/>
        <v>4.8199911179983124</v>
      </c>
      <c r="HA679" s="72"/>
      <c r="HB679" s="72"/>
      <c r="HC679"/>
      <c r="HD679"/>
      <c r="HE679"/>
      <c r="HF679"/>
      <c r="HG679"/>
      <c r="HH679"/>
      <c r="HI679" s="2"/>
    </row>
    <row r="680" spans="1:217" s="3" customFormat="1" ht="12.75" customHeight="1" x14ac:dyDescent="0.2">
      <c r="B680" s="18" t="s">
        <v>711</v>
      </c>
      <c r="C680" s="145"/>
      <c r="D680" s="145"/>
      <c r="E680" s="145"/>
      <c r="F680" s="11"/>
      <c r="G680" s="145"/>
      <c r="H680" s="11"/>
      <c r="I680" s="145"/>
      <c r="J680" s="11"/>
      <c r="K680" s="145"/>
      <c r="L680" s="72"/>
      <c r="M680" s="145"/>
      <c r="N680" s="72"/>
      <c r="O680" s="145"/>
      <c r="P680" s="72"/>
      <c r="Q680" s="145"/>
      <c r="R680" s="72"/>
      <c r="S680" s="145"/>
      <c r="T680" s="72"/>
      <c r="U680" s="145"/>
      <c r="V680" s="72"/>
      <c r="W680" s="145"/>
      <c r="X680" s="72"/>
      <c r="Y680" s="145"/>
      <c r="Z680" s="72"/>
      <c r="AA680" s="145"/>
      <c r="AB680" s="72"/>
      <c r="AC680" s="145"/>
      <c r="AD680" s="72"/>
      <c r="AE680" s="145"/>
      <c r="AF680" s="72"/>
      <c r="AG680" s="145"/>
      <c r="AH680" s="72"/>
      <c r="AI680" s="145"/>
      <c r="AJ680" s="72"/>
      <c r="AK680" s="145"/>
      <c r="AL680" s="72"/>
      <c r="AM680" s="145"/>
      <c r="AN680" s="72"/>
      <c r="AO680" s="145"/>
      <c r="AP680" s="72"/>
      <c r="AQ680" s="145"/>
      <c r="AR680" s="72"/>
      <c r="AS680" s="145"/>
      <c r="AT680" s="72"/>
      <c r="AU680" s="145"/>
      <c r="AV680" s="72"/>
      <c r="AW680" s="145"/>
      <c r="AX680" s="72"/>
      <c r="AY680" s="145"/>
      <c r="AZ680" s="72"/>
      <c r="BA680" s="145"/>
      <c r="BB680" s="72"/>
      <c r="BC680" s="145"/>
      <c r="BD680" s="72"/>
      <c r="BE680" s="145"/>
      <c r="BF680" s="72"/>
      <c r="BG680" s="145"/>
      <c r="BH680" s="72"/>
      <c r="BI680" s="145"/>
      <c r="BJ680" s="72"/>
      <c r="BK680" s="145"/>
      <c r="BL680" s="72"/>
      <c r="BM680" s="145"/>
      <c r="BN680" s="72"/>
      <c r="BO680" s="145"/>
      <c r="BP680" s="72"/>
      <c r="BQ680" s="145"/>
      <c r="BR680" s="72"/>
      <c r="BS680" s="145"/>
      <c r="BT680" s="72"/>
      <c r="BU680" s="145"/>
      <c r="BV680" s="72"/>
      <c r="BW680" s="145"/>
      <c r="BX680" s="72"/>
      <c r="BY680" s="145"/>
      <c r="BZ680" s="72"/>
      <c r="CA680" s="145"/>
      <c r="CB680" s="72"/>
      <c r="CC680" s="145"/>
      <c r="CD680" s="72"/>
      <c r="CE680" s="145"/>
      <c r="CF680" s="72"/>
      <c r="CG680" s="145"/>
      <c r="CH680" s="72"/>
      <c r="CI680" s="145"/>
      <c r="CJ680" s="72"/>
      <c r="CK680" s="145"/>
      <c r="CL680" s="72"/>
      <c r="CM680" s="145"/>
      <c r="CN680" s="72"/>
      <c r="CO680" s="145"/>
      <c r="CP680" s="72"/>
      <c r="CQ680" s="145"/>
      <c r="CR680" s="72"/>
      <c r="CS680" s="145"/>
      <c r="CT680" s="72"/>
      <c r="CU680" s="145"/>
      <c r="CV680" s="72"/>
      <c r="CW680" s="145"/>
      <c r="CX680" s="72"/>
      <c r="CY680" s="145"/>
      <c r="CZ680" s="72"/>
      <c r="DA680" s="145"/>
      <c r="DB680" s="72"/>
      <c r="DC680" s="145"/>
      <c r="DD680" s="72"/>
      <c r="DE680" s="145"/>
      <c r="DF680" s="72"/>
      <c r="DG680" s="145"/>
      <c r="DH680" s="72"/>
      <c r="DI680" s="145"/>
      <c r="DJ680" s="72"/>
      <c r="DK680" s="145">
        <f>DK677-DK713</f>
        <v>28785</v>
      </c>
      <c r="DL680" s="72"/>
      <c r="DM680" s="145">
        <f>DM677-DM713</f>
        <v>29589</v>
      </c>
      <c r="DN680" s="72"/>
      <c r="DO680" s="145">
        <f>DO677-DO713</f>
        <v>30068</v>
      </c>
      <c r="DP680" s="72"/>
      <c r="DQ680" s="145">
        <f>DQ677-DQ713</f>
        <v>29882</v>
      </c>
      <c r="DR680" s="72"/>
      <c r="DS680" s="145">
        <f>DS677-DS713</f>
        <v>31658</v>
      </c>
      <c r="DT680" s="72"/>
      <c r="DU680" s="145">
        <f>DU677-DU713</f>
        <v>32528</v>
      </c>
      <c r="DV680" s="72"/>
      <c r="DW680" s="145">
        <f>DW677-DW713</f>
        <v>33291</v>
      </c>
      <c r="DX680" s="72"/>
      <c r="DY680" s="145">
        <f>DY677-DY713</f>
        <v>33352</v>
      </c>
      <c r="DZ680" s="72"/>
      <c r="EA680" s="145">
        <f>EA677-EA713</f>
        <v>33804</v>
      </c>
      <c r="EB680" s="72"/>
      <c r="EC680" s="145">
        <f>EC677-EC713</f>
        <v>33991</v>
      </c>
      <c r="ED680" s="72"/>
      <c r="EE680" s="145">
        <f>EE677-EE713</f>
        <v>34833</v>
      </c>
      <c r="EF680" s="72"/>
      <c r="EG680" s="145">
        <f>EG677-EG713</f>
        <v>34441</v>
      </c>
      <c r="EH680" s="72"/>
      <c r="EI680" s="145">
        <f>EI677-EI713</f>
        <v>35201</v>
      </c>
      <c r="EJ680" s="72"/>
      <c r="EK680" s="145">
        <f>EK677-EK713</f>
        <v>34971</v>
      </c>
      <c r="EL680" s="72"/>
      <c r="EM680" s="145">
        <f>EM677-EM713</f>
        <v>36533</v>
      </c>
      <c r="EN680" s="72"/>
      <c r="EO680" s="145">
        <f>EO677-EO713</f>
        <v>37964</v>
      </c>
      <c r="EP680" s="72"/>
      <c r="EQ680" s="145">
        <f t="shared" ref="EQ680" si="3268">EQ677-EQ713</f>
        <v>39383.029676528269</v>
      </c>
      <c r="ER680" s="72"/>
      <c r="ES680" s="145">
        <f t="shared" ref="ES680" si="3269">ES677-ES713</f>
        <v>39596.621538728985</v>
      </c>
      <c r="ET680" s="72"/>
      <c r="EU680" s="145">
        <f t="shared" ref="EU680" si="3270">EU677-EU713</f>
        <v>39792.006659041697</v>
      </c>
      <c r="EV680" s="72"/>
      <c r="EW680" s="145">
        <f t="shared" ref="EW680" si="3271">EW677-EW713</f>
        <v>39853.948762970933</v>
      </c>
      <c r="EX680" s="72"/>
      <c r="EY680" s="72"/>
      <c r="EZ680" s="296"/>
      <c r="FA680" s="72"/>
      <c r="FB680" s="9"/>
      <c r="FC680" s="11"/>
      <c r="FD680" s="150"/>
      <c r="FE680" s="72"/>
      <c r="FF680" s="145"/>
      <c r="FG680" s="72"/>
      <c r="FH680" s="145"/>
      <c r="FI680" s="72"/>
      <c r="FJ680" s="145"/>
      <c r="FK680" s="72"/>
      <c r="FL680" s="145"/>
      <c r="FM680" s="72"/>
      <c r="FN680" s="145"/>
      <c r="FO680" s="72"/>
      <c r="FP680" s="145"/>
      <c r="FQ680" s="72"/>
      <c r="FR680" s="144"/>
      <c r="FS680" s="72"/>
      <c r="FT680" s="144"/>
      <c r="FU680" s="72"/>
      <c r="FV680" s="144"/>
      <c r="FW680" s="72"/>
      <c r="FX680" s="144"/>
      <c r="FY680" s="72"/>
      <c r="FZ680" s="145">
        <f>FZ677-FZ713</f>
        <v>25571</v>
      </c>
      <c r="GA680" s="72"/>
      <c r="GB680" s="145">
        <f>GB677-GB713</f>
        <v>27740</v>
      </c>
      <c r="GC680" s="72"/>
      <c r="GD680" s="145">
        <f>GD677-GD713</f>
        <v>27195</v>
      </c>
      <c r="GE680" s="72"/>
      <c r="GF680" s="145">
        <f>GF677-GF713</f>
        <v>28117</v>
      </c>
      <c r="GG680" s="72"/>
      <c r="GH680" s="145">
        <f>GH677-GH713</f>
        <v>29882</v>
      </c>
      <c r="GI680" s="72"/>
      <c r="GJ680" s="145">
        <f>GJ677-GJ713</f>
        <v>33352</v>
      </c>
      <c r="GK680" s="72"/>
      <c r="GL680" s="145">
        <f>GL677-GL713</f>
        <v>34441</v>
      </c>
      <c r="GM680" s="72"/>
      <c r="GN680" s="145">
        <f>GN677-GN713</f>
        <v>37964</v>
      </c>
      <c r="GO680" s="72"/>
      <c r="GP680" s="145">
        <f>GP677-GP713</f>
        <v>39853.948762970933</v>
      </c>
      <c r="GQ680" s="72"/>
      <c r="GR680" s="145">
        <f>GR677-GR713</f>
        <v>41265.087105941471</v>
      </c>
      <c r="GS680" s="72"/>
      <c r="GT680" s="145">
        <f>GT677-GT713</f>
        <v>42490.23857089677</v>
      </c>
      <c r="GU680" s="72"/>
      <c r="GV680" s="145">
        <f>GV677-GV713</f>
        <v>43626.676342416416</v>
      </c>
      <c r="GW680" s="72"/>
      <c r="GX680" s="145">
        <f>GX677-GX713</f>
        <v>44656.984540073609</v>
      </c>
      <c r="GY680" s="72"/>
      <c r="GZ680" s="72">
        <f t="shared" si="3169"/>
        <v>3.3007526631139816</v>
      </c>
      <c r="HA680" s="72"/>
      <c r="HB680" s="72"/>
      <c r="HC680"/>
      <c r="HD680"/>
      <c r="HE680"/>
      <c r="HF680"/>
      <c r="HG680"/>
      <c r="HH680"/>
      <c r="HI680" s="2"/>
    </row>
    <row r="681" spans="1:217" s="3" customFormat="1" ht="12.75" customHeight="1" x14ac:dyDescent="0.2">
      <c r="B681" s="18" t="s">
        <v>381</v>
      </c>
      <c r="C681" s="145"/>
      <c r="D681" s="145"/>
      <c r="E681" s="145"/>
      <c r="F681" s="11"/>
      <c r="G681" s="145"/>
      <c r="H681" s="11"/>
      <c r="I681" s="145"/>
      <c r="J681" s="11"/>
      <c r="K681" s="145"/>
      <c r="L681" s="72"/>
      <c r="M681" s="145"/>
      <c r="N681" s="72"/>
      <c r="O681" s="145"/>
      <c r="P681" s="72"/>
      <c r="Q681" s="145"/>
      <c r="R681" s="72"/>
      <c r="S681" s="145"/>
      <c r="T681" s="72"/>
      <c r="U681" s="145"/>
      <c r="V681" s="72"/>
      <c r="W681" s="145"/>
      <c r="X681" s="72"/>
      <c r="Y681" s="145"/>
      <c r="Z681" s="72"/>
      <c r="AA681" s="145"/>
      <c r="AB681" s="72"/>
      <c r="AC681" s="145"/>
      <c r="AD681" s="72"/>
      <c r="AE681" s="145"/>
      <c r="AF681" s="72"/>
      <c r="AG681" s="145"/>
      <c r="AH681" s="72"/>
      <c r="AI681" s="145"/>
      <c r="AJ681" s="72"/>
      <c r="AK681" s="145"/>
      <c r="AL681" s="72"/>
      <c r="AM681" s="145"/>
      <c r="AN681" s="72"/>
      <c r="AO681" s="145"/>
      <c r="AP681" s="72"/>
      <c r="AQ681" s="145"/>
      <c r="AR681" s="72"/>
      <c r="AS681" s="145"/>
      <c r="AT681" s="72"/>
      <c r="AU681" s="145"/>
      <c r="AV681" s="72"/>
      <c r="AW681" s="145"/>
      <c r="AX681" s="72"/>
      <c r="AY681" s="145"/>
      <c r="AZ681" s="72"/>
      <c r="BA681" s="145"/>
      <c r="BB681" s="72"/>
      <c r="BC681" s="145"/>
      <c r="BD681" s="72"/>
      <c r="BE681" s="145"/>
      <c r="BF681" s="72"/>
      <c r="BG681" s="145"/>
      <c r="BH681" s="72"/>
      <c r="BI681" s="145"/>
      <c r="BJ681" s="72"/>
      <c r="BK681" s="145"/>
      <c r="BL681" s="72"/>
      <c r="BM681" s="145"/>
      <c r="BN681" s="72"/>
      <c r="BO681" s="145"/>
      <c r="BP681" s="72"/>
      <c r="BQ681" s="145"/>
      <c r="BR681" s="72"/>
      <c r="BS681" s="145"/>
      <c r="BT681" s="72"/>
      <c r="BU681" s="145"/>
      <c r="BV681" s="72"/>
      <c r="BW681" s="145"/>
      <c r="BX681" s="72"/>
      <c r="BY681" s="145"/>
      <c r="BZ681" s="72"/>
      <c r="CA681" s="145"/>
      <c r="CB681" s="72"/>
      <c r="CC681" s="145"/>
      <c r="CD681" s="72"/>
      <c r="CE681" s="145"/>
      <c r="CF681" s="72"/>
      <c r="CG681" s="145"/>
      <c r="CH681" s="72"/>
      <c r="CI681" s="145"/>
      <c r="CJ681" s="72"/>
      <c r="CK681" s="145"/>
      <c r="CL681" s="72"/>
      <c r="CM681" s="145"/>
      <c r="CN681" s="72"/>
      <c r="CO681" s="145"/>
      <c r="CP681" s="72"/>
      <c r="CQ681" s="145"/>
      <c r="CR681" s="72"/>
      <c r="CS681" s="145"/>
      <c r="CT681" s="72"/>
      <c r="CU681" s="145"/>
      <c r="CV681" s="72"/>
      <c r="CW681" s="145"/>
      <c r="CX681" s="72"/>
      <c r="CY681" s="145"/>
      <c r="CZ681" s="72"/>
      <c r="DA681" s="145"/>
      <c r="DB681" s="72"/>
      <c r="DC681" s="145"/>
      <c r="DD681" s="72"/>
      <c r="DE681" s="145"/>
      <c r="DF681" s="72"/>
      <c r="DG681" s="145"/>
      <c r="DH681" s="72"/>
      <c r="DI681" s="145"/>
      <c r="DJ681" s="72"/>
      <c r="DK681" s="144">
        <f>AVERAGE(DK680,DI680)</f>
        <v>28785</v>
      </c>
      <c r="DL681" s="72"/>
      <c r="DM681" s="144">
        <f>AVERAGE(DM680,DK680)</f>
        <v>29187</v>
      </c>
      <c r="DN681" s="72"/>
      <c r="DO681" s="144">
        <f>AVERAGE(DO680,DM680)</f>
        <v>29828.5</v>
      </c>
      <c r="DP681" s="72"/>
      <c r="DQ681" s="144">
        <f>AVERAGE(DQ680,DO680)</f>
        <v>29975</v>
      </c>
      <c r="DR681" s="72"/>
      <c r="DS681" s="144">
        <f>AVERAGE(DS680,DQ680)</f>
        <v>30770</v>
      </c>
      <c r="DT681" s="72"/>
      <c r="DU681" s="144">
        <f>AVERAGE(DU680,DS680)</f>
        <v>32093</v>
      </c>
      <c r="DV681" s="72"/>
      <c r="DW681" s="144">
        <f>AVERAGE(DW680,DU680)</f>
        <v>32909.5</v>
      </c>
      <c r="DX681" s="72"/>
      <c r="DY681" s="144">
        <f>AVERAGE(DY680,DW680)</f>
        <v>33321.5</v>
      </c>
      <c r="DZ681" s="72"/>
      <c r="EA681" s="144">
        <f>AVERAGE(EA680,DY680)</f>
        <v>33578</v>
      </c>
      <c r="EB681" s="72"/>
      <c r="EC681" s="144">
        <f>AVERAGE(EC680,EA680)</f>
        <v>33897.5</v>
      </c>
      <c r="ED681" s="72"/>
      <c r="EE681" s="144">
        <f>AVERAGE(EE680,EC680)</f>
        <v>34412</v>
      </c>
      <c r="EF681" s="72"/>
      <c r="EG681" s="144">
        <f>AVERAGE(EG680,EE680)</f>
        <v>34637</v>
      </c>
      <c r="EH681" s="72"/>
      <c r="EI681" s="144">
        <f>AVERAGE(EI680,EG680)</f>
        <v>34821</v>
      </c>
      <c r="EJ681" s="72"/>
      <c r="EK681" s="144">
        <f>AVERAGE(EK680,EI680)</f>
        <v>35086</v>
      </c>
      <c r="EL681" s="72"/>
      <c r="EM681" s="144">
        <f>AVERAGE(EM680,EK680)</f>
        <v>35752</v>
      </c>
      <c r="EN681" s="72"/>
      <c r="EO681" s="144">
        <f>AVERAGE(EO680,EM680)</f>
        <v>37248.5</v>
      </c>
      <c r="EP681" s="72"/>
      <c r="EQ681" s="144">
        <f t="shared" ref="EQ681" si="3272">AVERAGE(EQ680,EO680)</f>
        <v>38673.514838264135</v>
      </c>
      <c r="ER681" s="72"/>
      <c r="ES681" s="144">
        <f t="shared" ref="ES681" si="3273">AVERAGE(ES680,EQ680)</f>
        <v>39489.825607628627</v>
      </c>
      <c r="ET681" s="72"/>
      <c r="EU681" s="144">
        <f t="shared" ref="EU681" si="3274">AVERAGE(EU680,ES680)</f>
        <v>39694.314098885341</v>
      </c>
      <c r="EV681" s="72"/>
      <c r="EW681" s="144">
        <f t="shared" ref="EW681" si="3275">AVERAGE(EW680,EU680)</f>
        <v>39822.977711006315</v>
      </c>
      <c r="EX681" s="72"/>
      <c r="EY681" s="72"/>
      <c r="EZ681" s="296"/>
      <c r="FA681" s="72"/>
      <c r="FB681" s="9"/>
      <c r="FC681" s="11"/>
      <c r="FD681" s="150"/>
      <c r="FE681" s="72"/>
      <c r="FF681" s="145"/>
      <c r="FG681" s="72"/>
      <c r="FH681" s="145"/>
      <c r="FI681" s="72"/>
      <c r="FJ681" s="145"/>
      <c r="FK681" s="72"/>
      <c r="FL681" s="145"/>
      <c r="FM681" s="72"/>
      <c r="FN681" s="145"/>
      <c r="FO681" s="72"/>
      <c r="FP681" s="145"/>
      <c r="FQ681" s="72"/>
      <c r="FR681" s="144"/>
      <c r="FS681" s="72"/>
      <c r="FT681" s="144"/>
      <c r="FU681" s="72"/>
      <c r="FV681" s="144"/>
      <c r="FW681" s="72"/>
      <c r="FX681" s="144"/>
      <c r="FY681" s="72"/>
      <c r="FZ681" s="144">
        <f>AVERAGE(FX680,FZ680)</f>
        <v>25571</v>
      </c>
      <c r="GA681" s="72"/>
      <c r="GB681" s="144">
        <f>AVERAGE(FZ680,GB680)</f>
        <v>26655.5</v>
      </c>
      <c r="GC681" s="72"/>
      <c r="GD681" s="144">
        <f>AVERAGE(GB680,GD680)</f>
        <v>27467.5</v>
      </c>
      <c r="GE681" s="72"/>
      <c r="GF681" s="144">
        <f>AVERAGE(GD680,GF680)</f>
        <v>27656</v>
      </c>
      <c r="GG681" s="72"/>
      <c r="GH681" s="144">
        <f>AVERAGE(GF680,GH680)</f>
        <v>28999.5</v>
      </c>
      <c r="GI681" s="72"/>
      <c r="GJ681" s="144">
        <f>AVERAGE(GH680,GJ680)</f>
        <v>31617</v>
      </c>
      <c r="GK681" s="72"/>
      <c r="GL681" s="144">
        <f>AVERAGE(GJ680,GL680)</f>
        <v>33896.5</v>
      </c>
      <c r="GM681" s="72"/>
      <c r="GN681" s="144">
        <f>AVERAGE(GL680,GN680)</f>
        <v>36202.5</v>
      </c>
      <c r="GO681" s="72"/>
      <c r="GP681" s="144">
        <f>AVERAGE(GN680,GP680)</f>
        <v>38908.974381485466</v>
      </c>
      <c r="GQ681" s="72"/>
      <c r="GR681" s="144">
        <f>AVERAGE(GP680,GR680)</f>
        <v>40559.517934456206</v>
      </c>
      <c r="GS681" s="72"/>
      <c r="GT681" s="144">
        <f>AVERAGE(GR680,GT680)</f>
        <v>41877.662838419121</v>
      </c>
      <c r="GU681" s="72"/>
      <c r="GV681" s="144">
        <f>AVERAGE(GT680,GV680)</f>
        <v>43058.457456656593</v>
      </c>
      <c r="GW681" s="72"/>
      <c r="GX681" s="144">
        <f>AVERAGE(GV680,GX680)</f>
        <v>44141.830441245009</v>
      </c>
      <c r="GY681" s="72"/>
      <c r="GZ681" s="72"/>
      <c r="HA681" s="72"/>
      <c r="HB681" s="72"/>
      <c r="HC681"/>
      <c r="HD681"/>
      <c r="HE681"/>
      <c r="HF681"/>
      <c r="HG681"/>
      <c r="HH681"/>
      <c r="HI681" s="2"/>
    </row>
    <row r="682" spans="1:217" s="3" customFormat="1" ht="12.75" customHeight="1" x14ac:dyDescent="0.2">
      <c r="B682" s="4"/>
      <c r="C682" s="145"/>
      <c r="D682" s="145"/>
      <c r="E682" s="145"/>
      <c r="F682" s="11"/>
      <c r="G682" s="145"/>
      <c r="H682" s="11"/>
      <c r="I682" s="145"/>
      <c r="J682" s="11"/>
      <c r="K682" s="145"/>
      <c r="L682" s="72"/>
      <c r="M682" s="145"/>
      <c r="N682" s="72"/>
      <c r="O682" s="145"/>
      <c r="P682" s="72"/>
      <c r="Q682" s="145"/>
      <c r="R682" s="72"/>
      <c r="S682" s="145"/>
      <c r="T682" s="72"/>
      <c r="U682" s="145"/>
      <c r="V682" s="72"/>
      <c r="W682" s="145"/>
      <c r="X682" s="72"/>
      <c r="Y682" s="145"/>
      <c r="Z682" s="72"/>
      <c r="AA682" s="145"/>
      <c r="AB682" s="72"/>
      <c r="AC682" s="145"/>
      <c r="AD682" s="72"/>
      <c r="AE682" s="145"/>
      <c r="AF682" s="72"/>
      <c r="AG682" s="145"/>
      <c r="AH682" s="72"/>
      <c r="AI682" s="145"/>
      <c r="AJ682" s="72"/>
      <c r="AK682" s="145"/>
      <c r="AL682" s="72"/>
      <c r="AM682" s="145"/>
      <c r="AN682" s="72"/>
      <c r="AO682" s="145"/>
      <c r="AP682" s="72"/>
      <c r="AQ682" s="145"/>
      <c r="AR682" s="72"/>
      <c r="AS682" s="145"/>
      <c r="AT682" s="72"/>
      <c r="AU682" s="145"/>
      <c r="AV682" s="72"/>
      <c r="AW682" s="145"/>
      <c r="AX682" s="72"/>
      <c r="AY682" s="145"/>
      <c r="AZ682" s="72"/>
      <c r="BA682" s="145"/>
      <c r="BB682" s="72"/>
      <c r="BC682" s="145"/>
      <c r="BD682" s="72"/>
      <c r="BE682" s="145"/>
      <c r="BF682" s="72"/>
      <c r="BG682" s="145"/>
      <c r="BH682" s="72"/>
      <c r="BI682" s="145"/>
      <c r="BJ682" s="72"/>
      <c r="BK682" s="145"/>
      <c r="BL682" s="72"/>
      <c r="BM682" s="145"/>
      <c r="BN682" s="72"/>
      <c r="BO682" s="145"/>
      <c r="BP682" s="72"/>
      <c r="BQ682" s="145"/>
      <c r="BR682" s="72"/>
      <c r="BS682" s="145"/>
      <c r="BT682" s="72"/>
      <c r="BU682" s="145"/>
      <c r="BV682" s="72"/>
      <c r="BW682" s="145"/>
      <c r="BX682" s="72"/>
      <c r="BY682" s="188"/>
      <c r="BZ682" s="72"/>
      <c r="CA682" s="188"/>
      <c r="CB682" s="72"/>
      <c r="CC682" s="188"/>
      <c r="CD682" s="72"/>
      <c r="CE682" s="188"/>
      <c r="CF682" s="72"/>
      <c r="CG682" s="188"/>
      <c r="CH682" s="72"/>
      <c r="CI682" s="188"/>
      <c r="CJ682" s="72"/>
      <c r="CK682" s="188"/>
      <c r="CL682" s="72"/>
      <c r="CM682" s="188"/>
      <c r="CN682" s="72"/>
      <c r="CO682" s="188"/>
      <c r="CP682" s="72"/>
      <c r="CQ682" s="188"/>
      <c r="CR682" s="72"/>
      <c r="CS682" s="188"/>
      <c r="CT682" s="72"/>
      <c r="CU682" s="188"/>
      <c r="CV682" s="72"/>
      <c r="CW682" s="188"/>
      <c r="CX682" s="72"/>
      <c r="CY682" s="188"/>
      <c r="CZ682" s="72"/>
      <c r="DA682" s="188"/>
      <c r="DB682" s="72"/>
      <c r="DC682" s="188"/>
      <c r="DD682" s="72"/>
      <c r="DE682" s="188"/>
      <c r="DF682" s="72"/>
      <c r="DG682" s="188"/>
      <c r="DH682" s="72"/>
      <c r="DI682" s="188"/>
      <c r="DJ682" s="72"/>
      <c r="DK682" s="188"/>
      <c r="DL682" s="72"/>
      <c r="DM682" s="188"/>
      <c r="DN682" s="72"/>
      <c r="DO682" s="188"/>
      <c r="DP682" s="72"/>
      <c r="DQ682" s="188"/>
      <c r="DR682" s="72"/>
      <c r="DS682" s="188"/>
      <c r="DT682" s="72"/>
      <c r="DU682" s="188"/>
      <c r="DV682" s="72"/>
      <c r="DW682" s="144"/>
      <c r="DX682" s="72"/>
      <c r="DY682" s="144"/>
      <c r="DZ682" s="72"/>
      <c r="EA682" s="144"/>
      <c r="EB682" s="72"/>
      <c r="EC682" s="144"/>
      <c r="ED682" s="72"/>
      <c r="EE682" s="144"/>
      <c r="EF682" s="72"/>
      <c r="EG682" s="144"/>
      <c r="EH682" s="72"/>
      <c r="EI682" s="144"/>
      <c r="EJ682" s="72"/>
      <c r="EK682" s="144"/>
      <c r="EL682" s="72"/>
      <c r="EM682" s="144"/>
      <c r="EN682" s="72"/>
      <c r="EO682" s="144"/>
      <c r="EP682" s="72"/>
      <c r="EQ682" s="144"/>
      <c r="ER682" s="72"/>
      <c r="ES682" s="144"/>
      <c r="ET682" s="72"/>
      <c r="EU682" s="144"/>
      <c r="EV682" s="72"/>
      <c r="EW682" s="144"/>
      <c r="EX682" s="72"/>
      <c r="EY682" s="72"/>
      <c r="EZ682" s="296"/>
      <c r="FA682" s="72"/>
      <c r="FB682" s="9"/>
      <c r="FC682" s="11"/>
      <c r="FD682" s="150"/>
      <c r="FE682" s="72"/>
      <c r="FF682" s="145"/>
      <c r="FG682" s="72"/>
      <c r="FH682" s="145"/>
      <c r="FI682" s="72"/>
      <c r="FJ682" s="145"/>
      <c r="FK682" s="72"/>
      <c r="FL682" s="145"/>
      <c r="FM682" s="72"/>
      <c r="FN682" s="145"/>
      <c r="FO682" s="72"/>
      <c r="FP682" s="145"/>
      <c r="FQ682" s="72"/>
      <c r="FR682" s="144"/>
      <c r="FS682" s="72"/>
      <c r="FT682" s="144"/>
      <c r="FU682" s="72"/>
      <c r="FV682" s="144"/>
      <c r="FW682" s="72"/>
      <c r="FX682" s="144"/>
      <c r="FY682" s="72"/>
      <c r="FZ682" s="144"/>
      <c r="GA682" s="72"/>
      <c r="GB682" s="144"/>
      <c r="GC682" s="72"/>
      <c r="GD682" s="13"/>
      <c r="GE682" s="72"/>
      <c r="GF682" s="13"/>
      <c r="GG682" s="72"/>
      <c r="GH682" s="13"/>
      <c r="GI682" s="72"/>
      <c r="GJ682" s="13"/>
      <c r="GK682" s="72"/>
      <c r="GL682" s="13"/>
      <c r="GM682" s="72"/>
      <c r="GN682" s="13"/>
      <c r="GO682" s="72"/>
      <c r="GP682" s="13"/>
      <c r="GQ682" s="72"/>
      <c r="GR682" s="144"/>
      <c r="GS682" s="72"/>
      <c r="GT682" s="144"/>
      <c r="GU682" s="72"/>
      <c r="GV682" s="144"/>
      <c r="GW682" s="72"/>
      <c r="GX682" s="144"/>
      <c r="GY682" s="72"/>
      <c r="GZ682" s="72"/>
      <c r="HA682" s="72"/>
      <c r="HB682" s="72"/>
      <c r="HC682"/>
      <c r="HD682"/>
      <c r="HE682"/>
      <c r="HF682"/>
      <c r="HG682"/>
      <c r="HH682"/>
      <c r="HI682" s="2"/>
    </row>
    <row r="683" spans="1:217" s="3" customFormat="1" ht="12.75" hidden="1" customHeight="1" outlineLevel="1" x14ac:dyDescent="0.2">
      <c r="B683" s="96" t="s">
        <v>257</v>
      </c>
      <c r="C683" s="145"/>
      <c r="D683" s="145"/>
      <c r="E683" s="145"/>
      <c r="F683" s="11"/>
      <c r="G683" s="145"/>
      <c r="H683" s="11"/>
      <c r="I683" s="145"/>
      <c r="J683" s="11"/>
      <c r="K683" s="145"/>
      <c r="L683" s="72"/>
      <c r="M683" s="145"/>
      <c r="N683" s="72"/>
      <c r="O683" s="145"/>
      <c r="P683" s="72"/>
      <c r="Q683" s="145"/>
      <c r="R683" s="72"/>
      <c r="S683" s="145"/>
      <c r="T683" s="72"/>
      <c r="U683" s="145"/>
      <c r="V683" s="72"/>
      <c r="W683" s="145"/>
      <c r="X683" s="72"/>
      <c r="Y683" s="145"/>
      <c r="Z683" s="72"/>
      <c r="AA683" s="145"/>
      <c r="AB683" s="72"/>
      <c r="AC683" s="145"/>
      <c r="AD683" s="72"/>
      <c r="AE683" s="145"/>
      <c r="AF683" s="72"/>
      <c r="AG683" s="145"/>
      <c r="AH683" s="72"/>
      <c r="AI683" s="145"/>
      <c r="AJ683" s="72"/>
      <c r="AK683" s="145"/>
      <c r="AL683" s="72"/>
      <c r="AM683" s="145"/>
      <c r="AN683" s="72"/>
      <c r="AO683" s="145"/>
      <c r="AP683" s="72"/>
      <c r="AQ683" s="145"/>
      <c r="AR683" s="72"/>
      <c r="AS683" s="145"/>
      <c r="AT683" s="72"/>
      <c r="AU683" s="145"/>
      <c r="AV683" s="72"/>
      <c r="AW683" s="145"/>
      <c r="AX683" s="72"/>
      <c r="AY683" s="145"/>
      <c r="AZ683" s="72"/>
      <c r="BA683" s="145"/>
      <c r="BB683" s="72"/>
      <c r="BC683" s="145"/>
      <c r="BD683" s="72"/>
      <c r="BE683" s="145"/>
      <c r="BF683" s="72"/>
      <c r="BG683" s="145"/>
      <c r="BH683" s="72"/>
      <c r="BI683" s="145"/>
      <c r="BJ683" s="72"/>
      <c r="BK683" s="145"/>
      <c r="BL683" s="72"/>
      <c r="BM683" s="145"/>
      <c r="BN683" s="72"/>
      <c r="BO683" s="145"/>
      <c r="BP683" s="72"/>
      <c r="BQ683" s="145"/>
      <c r="BR683" s="72"/>
      <c r="BS683" s="145"/>
      <c r="BT683" s="72"/>
      <c r="BU683" s="145"/>
      <c r="BV683" s="72"/>
      <c r="BW683" s="145"/>
      <c r="BX683" s="72"/>
      <c r="BY683" s="145"/>
      <c r="BZ683" s="72"/>
      <c r="CA683" s="145"/>
      <c r="CB683" s="72"/>
      <c r="CC683" s="145"/>
      <c r="CD683" s="72"/>
      <c r="CE683" s="145"/>
      <c r="CF683" s="72"/>
      <c r="CG683" s="145"/>
      <c r="CH683" s="72"/>
      <c r="CI683" s="145"/>
      <c r="CJ683" s="72"/>
      <c r="CK683" s="145"/>
      <c r="CL683" s="72"/>
      <c r="CM683" s="145"/>
      <c r="CN683" s="72"/>
      <c r="CO683" s="145"/>
      <c r="CP683" s="72"/>
      <c r="CQ683" s="145"/>
      <c r="CR683" s="72"/>
      <c r="CS683" s="145"/>
      <c r="CT683" s="72"/>
      <c r="CU683" s="145"/>
      <c r="CV683" s="72"/>
      <c r="CW683" s="145"/>
      <c r="CX683" s="72"/>
      <c r="CY683" s="145"/>
      <c r="CZ683" s="72"/>
      <c r="DA683" s="145"/>
      <c r="DB683" s="72"/>
      <c r="DC683" s="145"/>
      <c r="DD683" s="72"/>
      <c r="DE683" s="145"/>
      <c r="DF683" s="72"/>
      <c r="DG683" s="145"/>
      <c r="DH683" s="72"/>
      <c r="DI683" s="145"/>
      <c r="DJ683" s="72"/>
      <c r="DK683" s="145"/>
      <c r="DL683" s="72"/>
      <c r="DM683" s="145"/>
      <c r="DN683" s="72"/>
      <c r="DO683" s="145"/>
      <c r="DP683" s="72"/>
      <c r="DQ683" s="145"/>
      <c r="DR683" s="72"/>
      <c r="DS683" s="145"/>
      <c r="DT683" s="72"/>
      <c r="DU683" s="145"/>
      <c r="DV683" s="72"/>
      <c r="DW683" s="144"/>
      <c r="DX683" s="72"/>
      <c r="DY683" s="144"/>
      <c r="DZ683" s="72"/>
      <c r="EA683" s="144"/>
      <c r="EB683" s="72"/>
      <c r="EC683" s="144"/>
      <c r="ED683" s="72"/>
      <c r="EE683" s="144"/>
      <c r="EF683" s="72"/>
      <c r="EG683" s="144"/>
      <c r="EH683" s="72"/>
      <c r="EI683" s="144"/>
      <c r="EJ683" s="72"/>
      <c r="EK683" s="144"/>
      <c r="EL683" s="72"/>
      <c r="EM683" s="144"/>
      <c r="EN683" s="72"/>
      <c r="EO683" s="144"/>
      <c r="EP683" s="72"/>
      <c r="EQ683" s="144"/>
      <c r="ER683" s="72"/>
      <c r="ES683" s="144"/>
      <c r="ET683" s="72"/>
      <c r="EU683" s="144"/>
      <c r="EV683" s="72"/>
      <c r="EW683" s="144"/>
      <c r="EX683" s="72"/>
      <c r="EY683" s="72"/>
      <c r="EZ683" s="296"/>
      <c r="FA683" s="72"/>
      <c r="FB683" s="9"/>
      <c r="FC683" s="11"/>
      <c r="FD683" s="150"/>
      <c r="FE683" s="72"/>
      <c r="FF683" s="145"/>
      <c r="FG683" s="72"/>
      <c r="FH683" s="145"/>
      <c r="FI683" s="72"/>
      <c r="FJ683" s="145"/>
      <c r="FK683" s="72"/>
      <c r="FL683" s="145"/>
      <c r="FM683" s="72"/>
      <c r="FN683" s="145"/>
      <c r="FO683" s="72"/>
      <c r="FP683" s="145"/>
      <c r="FQ683" s="72"/>
      <c r="FR683" s="144"/>
      <c r="FS683" s="72"/>
      <c r="FT683" s="144"/>
      <c r="FU683" s="72"/>
      <c r="FV683" s="144"/>
      <c r="FW683" s="72"/>
      <c r="FX683" s="144"/>
      <c r="FY683" s="72"/>
      <c r="FZ683" s="144"/>
      <c r="GA683" s="72"/>
      <c r="GB683" s="144"/>
      <c r="GC683" s="72"/>
      <c r="GD683" s="144"/>
      <c r="GE683" s="72"/>
      <c r="GF683" s="144"/>
      <c r="GG683" s="72"/>
      <c r="GH683" s="144"/>
      <c r="GI683" s="72"/>
      <c r="GJ683" s="144"/>
      <c r="GK683" s="72"/>
      <c r="GL683" s="144"/>
      <c r="GM683" s="72"/>
      <c r="GN683" s="144"/>
      <c r="GO683" s="72"/>
      <c r="GP683" s="144"/>
      <c r="GQ683" s="72"/>
      <c r="GR683" s="144"/>
      <c r="GS683" s="72"/>
      <c r="GT683" s="144"/>
      <c r="GU683" s="72"/>
      <c r="GV683" s="144"/>
      <c r="GW683" s="72"/>
      <c r="GX683" s="144"/>
      <c r="GY683" s="72"/>
      <c r="GZ683" s="72"/>
      <c r="HA683" s="72"/>
      <c r="HB683" s="72"/>
      <c r="HC683"/>
      <c r="HD683"/>
      <c r="HE683"/>
      <c r="HF683"/>
      <c r="HG683"/>
      <c r="HH683"/>
      <c r="HI683" s="2"/>
    </row>
    <row r="684" spans="1:217" s="3" customFormat="1" ht="12.75" hidden="1" customHeight="1" outlineLevel="1" x14ac:dyDescent="0.2">
      <c r="B684" s="4" t="s">
        <v>516</v>
      </c>
      <c r="C684" s="145"/>
      <c r="D684" s="145"/>
      <c r="E684" s="145"/>
      <c r="F684" s="11"/>
      <c r="G684" s="145"/>
      <c r="H684" s="11"/>
      <c r="I684" s="145">
        <f>I677+$Q$677-$O$677-$Q$582</f>
        <v>19059.165829145728</v>
      </c>
      <c r="J684" s="11"/>
      <c r="K684" s="145">
        <f>K677+$Q$677-$O$677-$Q$582</f>
        <v>19723.165829145728</v>
      </c>
      <c r="L684" s="72" t="str">
        <f>IF(ISERROR(K684/C684),"NA",IF(OR(K684/C684&gt;2,K684/C684&lt;0.5),"NM",K684/C684*100-100))</f>
        <v>NA</v>
      </c>
      <c r="M684" s="145">
        <f>M677+$Q$677-$O$677-$Q$582</f>
        <v>19775.165829145728</v>
      </c>
      <c r="N684" s="72" t="str">
        <f>IF(ISERROR(M684/E684),"NA",IF(OR(M684/E684&gt;2,M684/E684&lt;0.5),"NM",M684/E684*100-100))</f>
        <v>NA</v>
      </c>
      <c r="O684" s="145">
        <f>O677+$Q$677-$O$677-$Q$582</f>
        <v>19396.165829145728</v>
      </c>
      <c r="P684" s="72" t="str">
        <f>IF(ISERROR(O684/G684),"NA",IF(OR(O684/G684&gt;2,O684/G684&lt;0.5),"NM",O684/G684*100-100))</f>
        <v>NA</v>
      </c>
      <c r="Q684" s="145">
        <f>Q677</f>
        <v>19083</v>
      </c>
      <c r="R684" s="72">
        <f>IF(ISERROR(Q684/I684),"NA",IF(OR(Q684/I684&gt;2,Q684/I684&lt;0.5),"NM",Q684/I684*100-100))</f>
        <v>0.12505358874534522</v>
      </c>
      <c r="S684" s="145">
        <f>S677</f>
        <v>19289</v>
      </c>
      <c r="T684" s="72">
        <f>IF(ISERROR(S684/K684),"NA",IF(OR(S684/K684&gt;2,S684/K684&lt;0.5),"NM",S684/K684*100-100))</f>
        <v>-2.2012988832864977</v>
      </c>
      <c r="U684" s="145">
        <f>U677</f>
        <v>19321</v>
      </c>
      <c r="V684" s="72">
        <f>IF(ISERROR(U684/M684),"NA",IF(OR(U684/M684&gt;2,U684/M684&lt;0.5),"NM",U684/M684*100-100))</f>
        <v>-2.2966473862704788</v>
      </c>
      <c r="W684" s="145">
        <f>W677</f>
        <v>19153</v>
      </c>
      <c r="X684" s="72">
        <f>IF(ISERROR(W684/O684),"NA",IF(OR(W684/O684&gt;2,W684/O684&lt;0.5),"NM",W684/O684*100-100))</f>
        <v>-1.2536798833733087</v>
      </c>
      <c r="Y684" s="145">
        <f>Y677</f>
        <v>18621</v>
      </c>
      <c r="Z684" s="72">
        <f>IF(ISERROR(Y684/Q684),"NA",IF(OR(Y684/Q684&gt;2,Y684/Q684&lt;0.5),"NM",Y684/Q684*100-100))</f>
        <v>-2.4210029869517342</v>
      </c>
      <c r="AA684" s="145">
        <f>AA677</f>
        <v>18596</v>
      </c>
      <c r="AB684" s="72">
        <f>IF(ISERROR(AA684/S684),"NA",IF(OR(AA684/S684&gt;2,AA684/S684&lt;0.5),"NM",AA684/S684*100-100))</f>
        <v>-3.5927212400850124</v>
      </c>
      <c r="AC684" s="145">
        <f>AC677</f>
        <v>18523</v>
      </c>
      <c r="AD684" s="72">
        <f>IF(ISERROR(AC684/U684),"NA",IF(OR(AC684/U684&gt;2,AC684/U684&lt;0.5),"NM",AC684/U684*100-100))</f>
        <v>-4.1302210030536628</v>
      </c>
      <c r="AE684" s="145">
        <f>AE677</f>
        <v>18564</v>
      </c>
      <c r="AF684" s="72">
        <f>IF(ISERROR(AE684/W684),"NA",IF(OR(AE684/W684&gt;2,AE684/W684&lt;0.5),"NM",AE684/W684*100-100))</f>
        <v>-3.0752362554168968</v>
      </c>
      <c r="AG684" s="145">
        <f>AG677</f>
        <v>18563</v>
      </c>
      <c r="AH684" s="72">
        <f>IF(ISERROR(AG684/Y684),"NA",IF(OR(AG684/Y684&gt;2,AG684/Y684&lt;0.5),"NM",AG684/Y684*100-100))</f>
        <v>-0.31147629020998124</v>
      </c>
      <c r="AI684" s="145">
        <f>AI677</f>
        <v>18554</v>
      </c>
      <c r="AJ684" s="72">
        <f>IF(ISERROR(AI684/AA684),"NA",IF(OR(AI684/AA684&gt;2,AI684/AA684&lt;0.5),"NM",AI684/AA684*100-100))</f>
        <v>-0.22585502258549184</v>
      </c>
      <c r="AK684" s="145">
        <f>AK677</f>
        <v>18755</v>
      </c>
      <c r="AL684" s="72">
        <f>IF(ISERROR(AK684/AC684),"NA",IF(OR(AK684/AC684&gt;2,AK684/AC684&lt;0.5),"NM",AK684/AC684*100-100))</f>
        <v>1.2524968957512215</v>
      </c>
      <c r="AM684" s="145">
        <f>AM677</f>
        <v>18995</v>
      </c>
      <c r="AN684" s="72">
        <f>IF(ISERROR(AM684/AE684),"NA",IF(OR(AM684/AE684&gt;2,AM684/AE684&lt;0.5),"NM",AM684/AE684*100-100))</f>
        <v>2.3216979099331922</v>
      </c>
      <c r="AO684" s="145">
        <f>AO677</f>
        <v>19392</v>
      </c>
      <c r="AP684" s="72">
        <f>IF(ISERROR(AO684/AG684),"NA",IF(OR(AO684/AG684&gt;2,AO684/AG684&lt;0.5),"NM",AO684/AG684*100-100))</f>
        <v>4.4658729731185787</v>
      </c>
      <c r="AQ684" s="145">
        <f>AQ677</f>
        <v>19907</v>
      </c>
      <c r="AR684" s="72">
        <f>IF(ISERROR(AQ684/AI684),"NA",IF(OR(AQ684/AI684&gt;2,AQ684/AI684&lt;0.5),"NM",AQ684/AI684*100-100))</f>
        <v>7.2922280909776873</v>
      </c>
      <c r="AS684" s="145">
        <f>AS677</f>
        <v>20292</v>
      </c>
      <c r="AT684" s="72">
        <f>IF(ISERROR(AS684/AK684),"NA",IF(OR(AS684/AK684&gt;2,AS684/AK684&lt;0.5),"NM",AS684/AK684*100-100))</f>
        <v>8.1951479605438635</v>
      </c>
      <c r="AU684" s="145">
        <f>AU677</f>
        <v>21083</v>
      </c>
      <c r="AV684" s="72">
        <f>IF(ISERROR(AU684/AM684),"NA",IF(OR(AU684/AM684&gt;2,AU684/AM684&lt;0.5),"NM",AU684/AM684*100-100))</f>
        <v>10.992366412213755</v>
      </c>
      <c r="AW684" s="145">
        <f>AW677</f>
        <v>20546</v>
      </c>
      <c r="AX684" s="72">
        <f>IF(ISERROR(AW684/AO684),"NA",IF(OR(AW684/AO684&gt;2,AW684/AO684&lt;0.5),"NM",AW684/AO684*100-100))</f>
        <v>5.9509075907590727</v>
      </c>
      <c r="AY684" s="145">
        <f>AY677</f>
        <v>20717</v>
      </c>
      <c r="AZ684" s="72">
        <f>IF(ISERROR(AY684/AQ684),"NA",IF(OR(AY684/AQ684&gt;2,AY684/AQ684&lt;0.5),"NM",AY684/AQ684*100-100))</f>
        <v>4.0689204802330892</v>
      </c>
      <c r="BA684" s="145">
        <f>BA677</f>
        <v>20604</v>
      </c>
      <c r="BB684" s="72">
        <f>IF(ISERROR(BA684/AS684),"NA",IF(OR(BA684/AS684&gt;2,BA684/AS684&lt;0.5),"NM",BA684/AS684*100-100))</f>
        <v>1.5375517445298783</v>
      </c>
      <c r="BC684" s="145">
        <f>BC677</f>
        <v>21232</v>
      </c>
      <c r="BD684" s="72">
        <f>IF(ISERROR(BC684/AU684),"NA",IF(OR(BC684/AU684&gt;2,BC684/AU684&lt;0.5),"NM",BC684/AU684*100-100))</f>
        <v>0.70673054119431811</v>
      </c>
      <c r="BE684" s="145">
        <f>BE677</f>
        <v>21194</v>
      </c>
      <c r="BF684" s="72">
        <f>IF(ISERROR(BE684/AW684),"NA",IF(OR(BE684/AW684&gt;2,BE684/AW684&lt;0.5),"NM",BE684/AW684*100-100))</f>
        <v>3.1538985690645376</v>
      </c>
      <c r="BG684" s="145">
        <f>BG677</f>
        <v>21585</v>
      </c>
      <c r="BH684" s="72">
        <f>IF(ISERROR(BG684/AY684),"NA",IF(OR(BG684/AY684&gt;2,BG684/AY684&lt;0.5),"NM",BG684/AY684*100-100))</f>
        <v>4.1897958198580767</v>
      </c>
      <c r="BI684" s="145">
        <f>BI677</f>
        <v>21835</v>
      </c>
      <c r="BJ684" s="72">
        <f>IF(ISERROR(BI684/BA684),"NA",IF(OR(BI684/BA684&gt;2,BI684/BA684&lt;0.5),"NM",BI684/BA684*100-100))</f>
        <v>5.9745680450398027</v>
      </c>
      <c r="BK684" s="145">
        <f>BK677</f>
        <v>22351</v>
      </c>
      <c r="BL684" s="72">
        <f>IF(ISERROR(BK684/BC684),"NA",IF(OR(BK684/BC684&gt;2,BK684/BC684&lt;0.5),"NM",BK684/BC684*100-100))</f>
        <v>5.2703466465712268</v>
      </c>
      <c r="BM684" s="145">
        <f>BM677</f>
        <v>21252</v>
      </c>
      <c r="BN684" s="72">
        <f>IF(ISERROR(BM684/BE684),"NA",IF(OR(BM684/BE684&gt;2,BM684/BE684&lt;0.5),"NM",BM684/BE684*100-100))</f>
        <v>0.27366235727093624</v>
      </c>
      <c r="BO684" s="145">
        <f>BO677</f>
        <v>22430</v>
      </c>
      <c r="BP684" s="72">
        <f>IF(ISERROR(BO684/BG684),"NA",IF(OR(BO684/BG684&gt;2,BO684/BG684&lt;0.5),"NM",BO684/BG684*100-100))</f>
        <v>3.9147556173268327</v>
      </c>
      <c r="BQ684" s="145">
        <f>BQ677</f>
        <v>22964</v>
      </c>
      <c r="BR684" s="72">
        <f>IF(ISERROR(BQ684/BI684),"NA",IF(OR(BQ684/BI684&gt;2,BQ684/BI684&lt;0.5),"NM",BQ684/BI684*100-100))</f>
        <v>5.1705976643004306</v>
      </c>
      <c r="BS684" s="145">
        <f>BS677</f>
        <v>23877</v>
      </c>
      <c r="BT684" s="72">
        <f>IF(ISERROR(BS684/BK684),"NA",IF(OR(BS684/BK684&gt;2,BS684/BK684&lt;0.5),"NM",BS684/BK684*100-100))</f>
        <v>6.8274350140933251</v>
      </c>
      <c r="BU684" s="145">
        <f>BU677</f>
        <v>19529</v>
      </c>
      <c r="BV684" s="72">
        <f>IF(ISERROR(BU684/BM684),"NA",IF(OR(BU684/BM684&gt;2,BU684/BM684&lt;0.5),"NM",BU684/BM684*100-100))</f>
        <v>-8.1074722379070181</v>
      </c>
      <c r="BW684" s="145">
        <f>BW677</f>
        <v>20238</v>
      </c>
      <c r="BX684" s="72">
        <f>IF(ISERROR(BW684/BO684),"NA",IF(OR(BW684/BO684&gt;2,BW684/BO684&lt;0.5),"NM",BW684/BO684*100-100))</f>
        <v>-9.7726259473918873</v>
      </c>
      <c r="BY684" s="145">
        <f>BY677</f>
        <v>22194</v>
      </c>
      <c r="BZ684" s="72">
        <f>IF(ISERROR(BY684/BQ684),"NA",IF(OR(BY684/BQ684&gt;2,BY684/BQ684&lt;0.5),"NM",BY684/BQ684*100-100))</f>
        <v>-3.3530743772861911</v>
      </c>
      <c r="CA684" s="145">
        <f>CA677</f>
        <v>23338</v>
      </c>
      <c r="CB684" s="72">
        <f>IF(ISERROR(CA684/BS684),"NA",IF(OR(CA684/BS684&gt;2,CA684/BS684&lt;0.5),"NM",CA684/BS684*100-100))</f>
        <v>-2.257402521254761</v>
      </c>
      <c r="CC684" s="145">
        <f>CC677</f>
        <v>24728</v>
      </c>
      <c r="CD684" s="72">
        <f>IF(ISERROR(CC684/BU684),"NA",IF(OR(CC684/BU684&gt;2,CC684/BU684&lt;0.5),"NM",CC684/BU684*100-100))</f>
        <v>26.62194684827692</v>
      </c>
      <c r="CE684" s="145">
        <f>CE677</f>
        <v>22951</v>
      </c>
      <c r="CF684" s="72">
        <f>IF(ISERROR(CE684/BW684),"NA",IF(OR(CE684/BW684&gt;2,CE684/BW684&lt;0.5),"NM",CE684/BW684*100-100))</f>
        <v>13.405474849293427</v>
      </c>
      <c r="CG684" s="145">
        <f>CG677</f>
        <v>23856</v>
      </c>
      <c r="CH684" s="72">
        <f>IF(ISERROR(CG684/BY684),"NA",IF(OR(CG684/BY684&gt;2,CG684/BY684&lt;0.5),"NM",CG684/BY684*100-100))</f>
        <v>7.4885104082184313</v>
      </c>
      <c r="CI684" s="145">
        <f>CI677</f>
        <v>24991</v>
      </c>
      <c r="CJ684" s="72">
        <f>IF(ISERROR(CI684/CA684),"NA",IF(OR(CI684/CA684&gt;2,CI684/CA684&lt;0.5),"NM",CI684/CA684*100-100))</f>
        <v>7.0828691404576176</v>
      </c>
      <c r="CK684" s="145">
        <f>CK677</f>
        <v>25571</v>
      </c>
      <c r="CL684" s="72">
        <f>IF(ISERROR(CK684/CC684),"NA",IF(OR(CK684/CC684&gt;2,CK684/CC684&lt;0.5),"NM",CK684/CC684*100-100))</f>
        <v>3.4090909090909207</v>
      </c>
      <c r="CM684" s="145">
        <f>CM677</f>
        <v>26206</v>
      </c>
      <c r="CN684" s="72">
        <f>IF(ISERROR(CM684/CE684),"NA",IF(OR(CM684/CE684&gt;2,CM684/CE684&lt;0.5),"NM",CM684/CE684*100-100))</f>
        <v>14.182388566946983</v>
      </c>
      <c r="CO684" s="145">
        <f>CO677</f>
        <v>27052</v>
      </c>
      <c r="CP684" s="72">
        <f>IF(ISERROR(CO684/CG684),"NA",IF(OR(CO684/CG684&gt;2,CO684/CG684&lt;0.5),"NM",CO684/CG684*100-100))</f>
        <v>13.397048960429231</v>
      </c>
      <c r="CQ684" s="145">
        <f>CQ677</f>
        <v>27916</v>
      </c>
      <c r="CR684" s="72">
        <f>IF(ISERROR(CQ684/CI684),"NA",IF(OR(CQ684/CI684&gt;2,CQ684/CI684&lt;0.5),"NM",CQ684/CI684*100-100))</f>
        <v>11.704213516866076</v>
      </c>
      <c r="CS684" s="145">
        <f>CS677</f>
        <v>27740</v>
      </c>
      <c r="CT684" s="72">
        <f>IF(ISERROR(CS684/CK684),"NA",IF(OR(CS684/CK684&gt;2,CS684/CK684&lt;0.5),"NM",CS684/CK684*100-100))</f>
        <v>8.4822650658949499</v>
      </c>
      <c r="CU684" s="145">
        <f>CU677</f>
        <v>26637</v>
      </c>
      <c r="CV684" s="72">
        <f>IF(ISERROR(CU684/CM684),"NA",IF(OR(CU684/CM684&gt;2,CU684/CM684&lt;0.5),"NM",CU684/CM684*100-100))</f>
        <v>1.644661527894371</v>
      </c>
      <c r="CW684" s="145">
        <f>CW677</f>
        <v>28687</v>
      </c>
      <c r="CX684" s="72">
        <f>IF(ISERROR(CW684/CO684),"NA",IF(OR(CW684/CO684&gt;2,CW684/CO684&lt;0.5),"NM",CW684/CO684*100-100))</f>
        <v>6.0439154221499223</v>
      </c>
      <c r="CY684" s="145">
        <f>CY677</f>
        <v>27976</v>
      </c>
      <c r="CZ684" s="72">
        <f>IF(ISERROR(CY684/CQ684),"NA",IF(OR(CY684/CQ684&gt;2,CY684/CQ684&lt;0.5),"NM",CY684/CQ684*100-100))</f>
        <v>0.21493050580312456</v>
      </c>
      <c r="DA684" s="145">
        <f>DA677</f>
        <v>27016</v>
      </c>
      <c r="DB684" s="72">
        <f>IF(ISERROR(DA684/CS684),"NA",IF(OR(DA684/CS684&gt;2,DA684/CS684&lt;0.5),"NM",DA684/CS684*100-100))</f>
        <v>-2.6099495313626591</v>
      </c>
      <c r="DC684" s="145">
        <f>DC677</f>
        <v>26179</v>
      </c>
      <c r="DD684" s="72">
        <f>IF(ISERROR(DC684/CU684),"NA",IF(OR(DC684/CU684&gt;2,DC684/CU684&lt;0.5),"NM",DC684/CU684*100-100))</f>
        <v>-1.7194128467920535</v>
      </c>
      <c r="DE684" s="145">
        <f>DE677</f>
        <v>25343</v>
      </c>
      <c r="DF684" s="72">
        <f>IF(ISERROR(DE684/CW684),"NA",IF(OR(DE684/CW684&gt;2,DE684/CW684&lt;0.5),"NM",DE684/CW684*100-100))</f>
        <v>-11.656848049639208</v>
      </c>
      <c r="DG684" s="145">
        <f>DG677</f>
        <v>26034</v>
      </c>
      <c r="DH684" s="72">
        <f>IF(ISERROR(DG684/CY684),"NA",IF(OR(DG684/CY684&gt;2,DG684/CY684&lt;0.5),"NM",DG684/CY684*100-100))</f>
        <v>-6.9416642836717273</v>
      </c>
      <c r="DI684" s="145">
        <f>DI677</f>
        <v>25299</v>
      </c>
      <c r="DJ684" s="72">
        <f>IF(ISERROR(DI684/DA684),"NA",IF(OR(DI684/DA684&gt;2,DI684/DA684&lt;0.5),"NM",DI684/DA684*100-100))</f>
        <v>-6.3554930411607984</v>
      </c>
      <c r="DK684" s="145">
        <f>DK677</f>
        <v>26117</v>
      </c>
      <c r="DL684" s="72">
        <f>IF(ISERROR(DK684/DC684),"NA",IF(OR(DK684/DC684&gt;2,DK684/DC684&lt;0.5),"NM",DK684/DC684*100-100))</f>
        <v>-0.23683104778639574</v>
      </c>
      <c r="DM684" s="145">
        <f>DM677</f>
        <v>26771</v>
      </c>
      <c r="DN684" s="72">
        <f>IF(ISERROR(DM684/DE684),"NA",IF(OR(DM684/DE684&gt;2,DM684/DE684&lt;0.5),"NM",DM684/DE684*100-100))</f>
        <v>5.6346920254113542</v>
      </c>
      <c r="DO684" s="145">
        <f>DO677</f>
        <v>26875</v>
      </c>
      <c r="DP684" s="72">
        <f>IF(ISERROR(DO684/DG684),"NA",IF(OR(DO684/DG684&gt;2,DO684/DG684&lt;0.5),"NM",DO684/DG684*100-100))</f>
        <v>3.2303910271183724</v>
      </c>
      <c r="DQ684" s="145">
        <f>DQ677</f>
        <v>25099</v>
      </c>
      <c r="DR684" s="72">
        <f>IF(ISERROR(DQ684/DI684),"NA",IF(OR(DQ684/DI684&gt;2,DQ684/DI684&lt;0.5),"NM",DQ684/DI684*100-100))</f>
        <v>-0.79054508083324038</v>
      </c>
      <c r="DS684" s="145">
        <f>DS677</f>
        <v>27305</v>
      </c>
      <c r="DT684" s="72">
        <f>IF(ISERROR(DS684/DK684),"NA",IF(OR(DS684/DK684&gt;2,DS684/DK684&lt;0.5),"NM",DS684/DK684*100-100))</f>
        <v>4.5487613431864276</v>
      </c>
      <c r="DU684" s="145">
        <f>DU677</f>
        <v>28317</v>
      </c>
      <c r="DV684" s="72">
        <f>IF(ISERROR(DU684/DM684),"NA",IF(OR(DU684/DM684&gt;2,DU684/DM684&lt;0.5),"NM",DU684/DM684*100-100))</f>
        <v>5.7749056815210622</v>
      </c>
      <c r="DW684" s="144">
        <f>DW677</f>
        <v>29257</v>
      </c>
      <c r="DX684" s="72">
        <f>IF(ISERROR(DW684/DO684),"NA",IF(OR(DW684/DO684&gt;2,DW684/DO684&lt;0.5),"NM",DW684/DO684*100-100))</f>
        <v>8.8632558139534865</v>
      </c>
      <c r="DY684" s="144">
        <f>DY677</f>
        <v>29605</v>
      </c>
      <c r="DZ684" s="72">
        <f>IF(ISERROR(DY684/DQ684),"NA",IF(OR(DY684/DQ684&gt;2,DY684/DQ684&lt;0.5),"NM",DY684/DQ684*100-100))</f>
        <v>17.952906490298417</v>
      </c>
      <c r="EA684" s="144">
        <f>EA677</f>
        <v>30176</v>
      </c>
      <c r="EB684" s="72">
        <f>IF(ISERROR(EA684/DS684),"NA",IF(OR(EA684/DS684&gt;2,EA684/DS684&lt;0.5),"NM",EA684/DS684*100-100))</f>
        <v>10.51455777330159</v>
      </c>
      <c r="EC684" s="144">
        <f>EC677</f>
        <v>30482</v>
      </c>
      <c r="ED684" s="72">
        <f>IF(ISERROR(EC684/DU684),"NA",IF(OR(EC684/DU684&gt;2,EC684/DU684&lt;0.5),"NM",EC684/DU684*100-100))</f>
        <v>7.6455839248507971</v>
      </c>
      <c r="EE684" s="144">
        <f>EE677</f>
        <v>31506</v>
      </c>
      <c r="EF684" s="72">
        <f>IF(ISERROR(EE684/DW684),"NA",IF(OR(EE684/DW684&gt;2,EE684/DW684&lt;0.5),"NM",EE684/DW684*100-100))</f>
        <v>7.6870492531701871</v>
      </c>
      <c r="EG684" s="144">
        <f>EG677</f>
        <v>31242</v>
      </c>
      <c r="EH684" s="72">
        <f>IF(ISERROR(EG684/DY684),"NA",IF(OR(EG684/DY684&gt;2,EG684/DY684&lt;0.5),"NM",EG684/DY684*100-100))</f>
        <v>5.5294713730788629</v>
      </c>
      <c r="EI684" s="144">
        <f>EI677</f>
        <v>32141</v>
      </c>
      <c r="EJ684" s="72">
        <f>IF(ISERROR(EI684/EA684),"NA",IF(OR(EI684/EA684&gt;2,EI684/EA684&lt;0.5),"NM",EI684/EA684*100-100))</f>
        <v>6.5117974549310702</v>
      </c>
      <c r="EK684" s="144">
        <f>EK677</f>
        <v>32082</v>
      </c>
      <c r="EL684" s="72">
        <f>IF(ISERROR(EK684/EC684),"NA",IF(OR(EK684/EC684&gt;2,EK684/EC684&lt;0.5),"NM",EK684/EC684*100-100))</f>
        <v>5.2489994094875811</v>
      </c>
      <c r="EM684" s="144">
        <f>EM677</f>
        <v>33775</v>
      </c>
      <c r="EN684" s="72">
        <f>IF(ISERROR(EM684/EE684),"NA",IF(OR(EM684/EE684&gt;2,EM684/EE684&lt;0.5),"NM",EM684/EE684*100-100))</f>
        <v>7.2018028312067486</v>
      </c>
      <c r="EO684" s="144">
        <f>EO677</f>
        <v>36995</v>
      </c>
      <c r="EP684" s="72">
        <f>IF(ISERROR(EO684/EG684),"NA",IF(OR(EO684/EG684&gt;2,EO684/EG684&lt;0.5),"NM",EO684/EG684*100-100))</f>
        <v>18.414314064400486</v>
      </c>
      <c r="EQ684" s="144">
        <f t="shared" ref="EQ684" si="3276">EQ677</f>
        <v>38414.029676528269</v>
      </c>
      <c r="ER684" s="72">
        <f t="shared" ref="ER684:ER687" si="3277">IF(ISERROR(EQ684/EI684),"NA",IF(OR(EQ684/EI684&gt;2,EQ684/EI684&lt;0.5),"NM",EQ684/EI684*100-100))</f>
        <v>19.517219988576187</v>
      </c>
      <c r="ES684" s="144">
        <f t="shared" ref="ES684" si="3278">ES677</f>
        <v>38627.621538728985</v>
      </c>
      <c r="ET684" s="72">
        <f t="shared" ref="ET684:ET687" si="3279">IF(ISERROR(ES684/EK684),"NA",IF(OR(ES684/EK684&gt;2,ES684/EK684&lt;0.5),"NM",ES684/EK684*100-100))</f>
        <v>20.402785171526048</v>
      </c>
      <c r="EU684" s="144">
        <f t="shared" ref="EU684" si="3280">EU677</f>
        <v>38823.006659041697</v>
      </c>
      <c r="EV684" s="72">
        <f t="shared" ref="EV684:EV687" si="3281">IF(ISERROR(EU684/EM684),"NA",IF(OR(EU684/EM684&gt;2,EU684/EM684&lt;0.5),"NM",EU684/EM684*100-100))</f>
        <v>14.945985667036837</v>
      </c>
      <c r="EW684" s="144">
        <f t="shared" ref="EW684" si="3282">EW677</f>
        <v>38884.948762970933</v>
      </c>
      <c r="EX684" s="72">
        <f t="shared" ref="EX684:EX687" si="3283">IF(ISERROR(EW684/EO684),"NA",IF(OR(EW684/EO684&gt;2,EW684/EO684&lt;0.5),"NM",EW684/EO684*100-100))</f>
        <v>5.1086599891091709</v>
      </c>
      <c r="EY684" s="72"/>
      <c r="EZ684" s="296"/>
      <c r="FA684" s="72"/>
      <c r="FB684" s="9"/>
      <c r="FC684" s="11"/>
      <c r="FD684" s="150"/>
      <c r="FE684" s="72"/>
      <c r="FF684" s="145">
        <f>I684</f>
        <v>19059.165829145728</v>
      </c>
      <c r="FG684" s="72" t="str">
        <f>IF(ISERROR(FF684/FD684),"NA",IF(OR(FF684/FD684&gt;2,FF684/FD684&lt;0.5),"NM",FF684/FD684*100-100))</f>
        <v>NA</v>
      </c>
      <c r="FH684" s="145">
        <f>Q684</f>
        <v>19083</v>
      </c>
      <c r="FI684" s="72">
        <f>IF(ISERROR(FH684/FF684),"NA",IF(OR(FH684/FF684&gt;2,FH684/FF684&lt;0.5),"NM",FH684/FF684*100-100))</f>
        <v>0.12505358874534522</v>
      </c>
      <c r="FJ684" s="145">
        <f>Y684</f>
        <v>18621</v>
      </c>
      <c r="FK684" s="72">
        <f>IF(ISERROR(FJ684/FH684),"NA",IF(OR(FJ684/FH684&gt;2,FJ684/FH684&lt;0.5),"NM",FJ684/FH684*100-100))</f>
        <v>-2.4210029869517342</v>
      </c>
      <c r="FL684" s="145">
        <f>AG684</f>
        <v>18563</v>
      </c>
      <c r="FM684" s="72">
        <f>IF(ISERROR(FL684/FJ684),"NA",IF(OR(FL684/FJ684&gt;2,FL684/FJ684&lt;0.5),"NM",FL684/FJ684*100-100))</f>
        <v>-0.31147629020998124</v>
      </c>
      <c r="FN684" s="145">
        <f>AO684</f>
        <v>19392</v>
      </c>
      <c r="FO684" s="72">
        <f>IF(ISERROR(FN684/FL684),"NA",IF(OR(FN684/FL684&gt;2,FN684/FL684&lt;0.5),"NM",FN684/FL684*100-100))</f>
        <v>4.4658729731185787</v>
      </c>
      <c r="FP684" s="145">
        <f>AW684</f>
        <v>20546</v>
      </c>
      <c r="FQ684" s="72">
        <f>IF(ISERROR(FP684/FN684),"NA",IF(OR(FP684/FN684&gt;2,FP684/FN684&lt;0.5),"NM",FP684/FN684*100-100))</f>
        <v>5.9509075907590727</v>
      </c>
      <c r="FR684" s="144">
        <f>BE684</f>
        <v>21194</v>
      </c>
      <c r="FS684" s="72">
        <f>IF(ISERROR(FR684/FP684),"NA",IF(OR(FR684/FP684&gt;2,FR684/FP684&lt;0.5),"NM",FR684/FP684*100-100))</f>
        <v>3.1538985690645376</v>
      </c>
      <c r="FT684" s="144">
        <f>BM684</f>
        <v>21252</v>
      </c>
      <c r="FU684" s="72">
        <f>IF(ISERROR(FT684/FR684),"NA",IF(OR(FT684/FR684&gt;2,FT684/FR684&lt;0.5),"NM",FT684/FR684*100-100))</f>
        <v>0.27366235727093624</v>
      </c>
      <c r="FV684" s="144">
        <f>BU684</f>
        <v>19529</v>
      </c>
      <c r="FW684" s="72">
        <f>IF(ISERROR(FV684/FT684),"NA",IF(OR(FV684/FT684&gt;2,FV684/FT684&lt;0.5),"NM",FV684/FT684*100-100))</f>
        <v>-8.1074722379070181</v>
      </c>
      <c r="FX684" s="144">
        <f>CC684</f>
        <v>24728</v>
      </c>
      <c r="FY684" s="72">
        <f>IF(ISERROR(FX684/FV684),"NA",IF(OR(FX684/FV684&gt;2,FX684/FV684&lt;0.5),"NM",FX684/FV684*100-100))</f>
        <v>26.62194684827692</v>
      </c>
      <c r="FZ684" s="144">
        <f>CK684</f>
        <v>25571</v>
      </c>
      <c r="GA684" s="72">
        <f>IF(ISERROR(FZ684/FX684),"NA",IF(OR(FZ684/FX684&gt;2,FZ684/FX684&lt;0.5),"NM",FZ684/FX684*100-100))</f>
        <v>3.4090909090909207</v>
      </c>
      <c r="GB684" s="144">
        <f>CS684</f>
        <v>27740</v>
      </c>
      <c r="GC684" s="72">
        <f>IF(ISERROR(GB684/FZ684),"NA",IF(OR(GB684/FZ684&gt;2,GB684/FZ684&lt;0.5),"NM",GB684/FZ684*100-100))</f>
        <v>8.4822650658949499</v>
      </c>
      <c r="GD684" s="144">
        <f>DA684</f>
        <v>27016</v>
      </c>
      <c r="GE684" s="72">
        <f>IF(ISERROR(GD684/GB684),"NA",IF(OR(GD684/GB684&gt;2,GD684/GB684&lt;0.5),"NM",GD684/GB684*100-100))</f>
        <v>-2.6099495313626591</v>
      </c>
      <c r="GF684" s="144">
        <f>DI684</f>
        <v>25299</v>
      </c>
      <c r="GG684" s="72">
        <f>IF(ISERROR(GF684/GD684),"NA",IF(OR(GF684/GD684&gt;2,GF684/GD684&lt;0.5),"NM",GF684/GD684*100-100))</f>
        <v>-6.3554930411607984</v>
      </c>
      <c r="GH684" s="144">
        <f>DQ684</f>
        <v>25099</v>
      </c>
      <c r="GI684" s="72">
        <f>IF(ISERROR(GH684/GF684),"NA",IF(OR(GH684/GF684&gt;2,GH684/GF684&lt;0.5),"NM",GH684/GF684*100-100))</f>
        <v>-0.79054508083324038</v>
      </c>
      <c r="GJ684" s="144">
        <f>DY684</f>
        <v>29605</v>
      </c>
      <c r="GK684" s="72">
        <f>IF(ISERROR(GJ684/GH684),"NA",IF(OR(GJ684/GH684&gt;2,GJ684/GH684&lt;0.5),"NM",GJ684/GH684*100-100))</f>
        <v>17.952906490298417</v>
      </c>
      <c r="GL684" s="144">
        <f>EG684</f>
        <v>31242</v>
      </c>
      <c r="GM684" s="72">
        <f>IF(ISERROR(GL684/GJ684),"NA",IF(OR(GL684/GJ684&gt;2,GL684/GJ684&lt;0.5),"NM",GL684/GJ684*100-100))</f>
        <v>5.5294713730788629</v>
      </c>
      <c r="GN684" s="144">
        <f>EO684</f>
        <v>36995</v>
      </c>
      <c r="GO684" s="72">
        <f>IF(ISERROR(GN684/GL684),"NA",IF(OR(GN684/GL684&gt;2,GN684/GL684&lt;0.5),"NM",GN684/GL684*100-100))</f>
        <v>18.414314064400486</v>
      </c>
      <c r="GP684" s="144">
        <f>EW684</f>
        <v>38884.948762970933</v>
      </c>
      <c r="GQ684" s="72">
        <f>IF(ISERROR(GP684/GN684),"NA",IF(OR(GP684/GN684&gt;2,GP684/GN684&lt;0.5),"NM",GP684/GN684*100-100))</f>
        <v>5.1086599891091709</v>
      </c>
      <c r="GR684" s="144">
        <f>GR677</f>
        <v>40296.087105941471</v>
      </c>
      <c r="GS684" s="72">
        <f>IF(ISERROR(GR684/GP684),"NA",IF(OR(GR684/GP684&gt;2,GR684/GP684&lt;0.5),"NM",GR684/GP684*100-100))</f>
        <v>3.6290091355715646</v>
      </c>
      <c r="GT684" s="144">
        <f>GT677</f>
        <v>41521.23857089677</v>
      </c>
      <c r="GU684" s="72">
        <f>IF(ISERROR(GT684/GR684),"NA",IF(OR(GT684/GR684&gt;2,GT684/GR684&lt;0.5),"NM",GT684/GR684*100-100))</f>
        <v>3.0403732792573237</v>
      </c>
      <c r="GV684" s="144">
        <f>GV677</f>
        <v>42657.676342416416</v>
      </c>
      <c r="GW684" s="72">
        <f>IF(ISERROR(GV684/GT684),"NA",IF(OR(GV684/GT684&gt;2,GV684/GT684&lt;0.5),"NM",GV684/GT684*100-100))</f>
        <v>2.7370035447743106</v>
      </c>
      <c r="GX684" s="144">
        <f>GX677</f>
        <v>43687.984540073609</v>
      </c>
      <c r="GY684" s="72">
        <f>IF(ISERROR(GX684/GV684),"NA",IF(OR(GX684/GV684&gt;2,GX684/GV684&lt;0.5),"NM",GX684/GV684*100-100))</f>
        <v>2.4152937665587615</v>
      </c>
      <c r="GZ684" s="72">
        <f>IF(ISERROR(((GX684/GN684)^0.2-1)*100),"NA",IF((((GX684/GN684)^0.2-1)*100)&gt;100,"NM",IF((((GX684/GN684)^0.2-1)*100)&lt;-50,"NM",((GX684/GN684)^0.2-1)*100)))</f>
        <v>3.3817300519392024</v>
      </c>
      <c r="HA684" s="72"/>
      <c r="HB684" s="72"/>
      <c r="HC684"/>
      <c r="HD684"/>
      <c r="HE684"/>
      <c r="HF684"/>
      <c r="HG684"/>
      <c r="HH684"/>
      <c r="HI684" s="2"/>
    </row>
    <row r="685" spans="1:217" s="3" customFormat="1" ht="12.75" hidden="1" customHeight="1" outlineLevel="1" x14ac:dyDescent="0.2">
      <c r="B685" s="4" t="s">
        <v>503</v>
      </c>
      <c r="C685" s="145"/>
      <c r="D685" s="145"/>
      <c r="E685" s="145"/>
      <c r="F685" s="11"/>
      <c r="G685" s="145"/>
      <c r="H685" s="11"/>
      <c r="I685" s="145">
        <f>I684+I676</f>
        <v>19556.165829145728</v>
      </c>
      <c r="J685" s="11"/>
      <c r="K685" s="145">
        <f>K684+K676</f>
        <v>20476.165829145728</v>
      </c>
      <c r="L685" s="72" t="str">
        <f>IF(ISERROR(K685/C685),"NA",IF(OR(K685/C685&gt;2,K685/C685&lt;0.5),"NM",K685/C685*100-100))</f>
        <v>NA</v>
      </c>
      <c r="M685" s="145">
        <f>M684+M676</f>
        <v>20602.165829145728</v>
      </c>
      <c r="N685" s="72" t="str">
        <f>IF(ISERROR(M685/E685),"NA",IF(OR(M685/E685&gt;2,M685/E685&lt;0.5),"NM",M685/E685*100-100))</f>
        <v>NA</v>
      </c>
      <c r="O685" s="145">
        <f>O684+O676</f>
        <v>20498.165829145728</v>
      </c>
      <c r="P685" s="72" t="str">
        <f>IF(ISERROR(O685/G685),"NA",IF(OR(O685/G685&gt;2,O685/G685&lt;0.5),"NM",O685/G685*100-100))</f>
        <v>NA</v>
      </c>
      <c r="Q685" s="145">
        <f>Q684+Q676</f>
        <v>19646</v>
      </c>
      <c r="R685" s="72">
        <f>IF(ISERROR(Q685/I685),"NA",IF(OR(Q685/I685&gt;2,Q685/I685&lt;0.5),"NM",Q685/I685*100-100))</f>
        <v>0.4593649472965069</v>
      </c>
      <c r="S685" s="145">
        <f>S684+S676</f>
        <v>19453</v>
      </c>
      <c r="T685" s="72">
        <f>IF(ISERROR(S685/K685),"NA",IF(OR(S685/K685&gt;2,S685/K685&lt;0.5),"NM",S685/K685*100-100))</f>
        <v>-4.9968623895854307</v>
      </c>
      <c r="U685" s="145">
        <f>U684+U676</f>
        <v>20258</v>
      </c>
      <c r="V685" s="72">
        <f>IF(ISERROR(U685/M685),"NA",IF(OR(U685/M685&gt;2,U685/M685&lt;0.5),"NM",U685/M685*100-100))</f>
        <v>-1.6705322731595516</v>
      </c>
      <c r="W685" s="145">
        <f>W684+W676</f>
        <v>21039</v>
      </c>
      <c r="X685" s="72">
        <f>IF(ISERROR(W685/O685),"NA",IF(OR(W685/O685&gt;2,W685/O685&lt;0.5),"NM",W685/O685*100-100))</f>
        <v>2.6384515344552284</v>
      </c>
      <c r="Y685" s="145">
        <f>Y684+Y676</f>
        <v>20562</v>
      </c>
      <c r="Z685" s="72">
        <f>IF(ISERROR(Y685/Q685),"NA",IF(OR(Y685/Q685&gt;2,Y685/Q685&lt;0.5),"NM",Y685/Q685*100-100))</f>
        <v>4.6625267229970575</v>
      </c>
      <c r="AA685" s="145">
        <f>AA684+AA676</f>
        <v>21059</v>
      </c>
      <c r="AB685" s="72">
        <f>IF(ISERROR(AA685/S685),"NA",IF(OR(AA685/S685&gt;2,AA685/S685&lt;0.5),"NM",AA685/S685*100-100))</f>
        <v>8.2557960211792505</v>
      </c>
      <c r="AC685" s="145">
        <f>AC684+AC676</f>
        <v>21768</v>
      </c>
      <c r="AD685" s="72">
        <f>IF(ISERROR(AC685/U685),"NA",IF(OR(AC685/U685&gt;2,AC685/U685&lt;0.5),"NM",AC685/U685*100-100))</f>
        <v>7.4538453944120704</v>
      </c>
      <c r="AE685" s="145">
        <f>AE684+AE676</f>
        <v>20541</v>
      </c>
      <c r="AF685" s="72">
        <f>IF(ISERROR(AE685/W685),"NA",IF(OR(AE685/W685&gt;2,AE685/W685&lt;0.5),"NM",AE685/W685*100-100))</f>
        <v>-2.3670326536432356</v>
      </c>
      <c r="AG685" s="145">
        <f>AG684+AG676</f>
        <v>20340</v>
      </c>
      <c r="AH685" s="72">
        <f>IF(ISERROR(AG685/Y685),"NA",IF(OR(AG685/Y685&gt;2,AG685/Y685&lt;0.5),"NM",AG685/Y685*100-100))</f>
        <v>-1.0796615115261261</v>
      </c>
      <c r="AI685" s="145">
        <f>AI684+AI676</f>
        <v>20837</v>
      </c>
      <c r="AJ685" s="72">
        <f>IF(ISERROR(AI685/AA685),"NA",IF(OR(AI685/AA685&gt;2,AI685/AA685&lt;0.5),"NM",AI685/AA685*100-100))</f>
        <v>-1.0541811102141594</v>
      </c>
      <c r="AK685" s="145">
        <f>AK684+AK676</f>
        <v>19619</v>
      </c>
      <c r="AL685" s="72">
        <f>IF(ISERROR(AK685/AC685),"NA",IF(OR(AK685/AC685&gt;2,AK685/AC685&lt;0.5),"NM",AK685/AC685*100-100))</f>
        <v>-9.872289599411971</v>
      </c>
      <c r="AM685" s="145">
        <f>AM684+AM676</f>
        <v>20457</v>
      </c>
      <c r="AN685" s="72">
        <f>IF(ISERROR(AM685/AE685),"NA",IF(OR(AM685/AE685&gt;2,AM685/AE685&lt;0.5),"NM",AM685/AE685*100-100))</f>
        <v>-0.40893822111873135</v>
      </c>
      <c r="AO685" s="145">
        <f>AO684+AO676</f>
        <v>21209</v>
      </c>
      <c r="AP685" s="72">
        <f>IF(ISERROR(AO685/AG685),"NA",IF(OR(AO685/AG685&gt;2,AO685/AG685&lt;0.5),"NM",AO685/AG685*100-100))</f>
        <v>4.272369714847585</v>
      </c>
      <c r="AQ685" s="145">
        <f>AQ684+AQ676</f>
        <v>21244</v>
      </c>
      <c r="AR685" s="72">
        <f>IF(ISERROR(AQ685/AI685),"NA",IF(OR(AQ685/AI685&gt;2,AQ685/AI685&lt;0.5),"NM",AQ685/AI685*100-100))</f>
        <v>1.9532562269040596</v>
      </c>
      <c r="AS685" s="145">
        <f>AS684+AS676</f>
        <v>22375</v>
      </c>
      <c r="AT685" s="72">
        <f>IF(ISERROR(AS685/AK685),"NA",IF(OR(AS685/AK685&gt;2,AS685/AK685&lt;0.5),"NM",AS685/AK685*100-100))</f>
        <v>14.047606911667259</v>
      </c>
      <c r="AU685" s="145">
        <f>AU684+AU676</f>
        <v>22493</v>
      </c>
      <c r="AV685" s="72">
        <f>IF(ISERROR(AU685/AM685),"NA",IF(OR(AU685/AM685&gt;2,AU685/AM685&lt;0.5),"NM",AU685/AM685*100-100))</f>
        <v>9.9525834677616416</v>
      </c>
      <c r="AW685" s="145">
        <f>AW684+AW676</f>
        <v>21654</v>
      </c>
      <c r="AX685" s="72">
        <f>IF(ISERROR(AW685/AO685),"NA",IF(OR(AW685/AO685&gt;2,AW685/AO685&lt;0.5),"NM",AW685/AO685*100-100))</f>
        <v>2.0981658729784698</v>
      </c>
      <c r="AY685" s="145">
        <f>AY684+AY676</f>
        <v>21229</v>
      </c>
      <c r="AZ685" s="72">
        <f>IF(ISERROR(AY685/AQ685),"NA",IF(OR(AY685/AQ685&gt;2,AY685/AQ685&lt;0.5),"NM",AY685/AQ685*100-100))</f>
        <v>-7.0608171719072743E-2</v>
      </c>
      <c r="BA685" s="145">
        <f>BA684+BA676</f>
        <v>20424</v>
      </c>
      <c r="BB685" s="72">
        <f>IF(ISERROR(BA685/AS685),"NA",IF(OR(BA685/AS685&gt;2,BA685/AS685&lt;0.5),"NM",BA685/AS685*100-100))</f>
        <v>-8.7195530726257005</v>
      </c>
      <c r="BC685" s="145">
        <f>BC684+BC676</f>
        <v>22053</v>
      </c>
      <c r="BD685" s="72">
        <f>IF(ISERROR(BC685/AU685),"NA",IF(OR(BC685/AU685&gt;2,BC685/AU685&lt;0.5),"NM",BC685/AU685*100-100))</f>
        <v>-1.9561641399546517</v>
      </c>
      <c r="BE685" s="145">
        <f>BE684+BE676</f>
        <v>21690</v>
      </c>
      <c r="BF685" s="72">
        <f>IF(ISERROR(BE685/AW685),"NA",IF(OR(BE685/AW685&gt;2,BE685/AW685&lt;0.5),"NM",BE685/AW685*100-100))</f>
        <v>0.16625103906899596</v>
      </c>
      <c r="BG685" s="145">
        <f>BG684+BG676</f>
        <v>22265</v>
      </c>
      <c r="BH685" s="72">
        <f>IF(ISERROR(BG685/AY685),"NA",IF(OR(BG685/AY685&gt;2,BG685/AY685&lt;0.5),"NM",BG685/AY685*100-100))</f>
        <v>4.8801168213293238</v>
      </c>
      <c r="BI685" s="145">
        <f>BI684+BI676</f>
        <v>21718</v>
      </c>
      <c r="BJ685" s="72">
        <f>IF(ISERROR(BI685/BA685),"NA",IF(OR(BI685/BA685&gt;2,BI685/BA685&lt;0.5),"NM",BI685/BA685*100-100))</f>
        <v>6.3356835095965494</v>
      </c>
      <c r="BK685" s="145">
        <f>BK684+BK676</f>
        <v>22051</v>
      </c>
      <c r="BL685" s="72">
        <f>IF(ISERROR(BK685/BC685),"NA",IF(OR(BK685/BC685&gt;2,BK685/BC685&lt;0.5),"NM",BK685/BC685*100-100))</f>
        <v>-9.0690608987529231E-3</v>
      </c>
      <c r="BM685" s="145">
        <f>BM684+BM676</f>
        <v>21711</v>
      </c>
      <c r="BN685" s="72">
        <f>IF(ISERROR(BM685/BE685),"NA",IF(OR(BM685/BE685&gt;2,BM685/BE685&lt;0.5),"NM",BM685/BE685*100-100))</f>
        <v>9.6818810511763331E-2</v>
      </c>
      <c r="BO685" s="145">
        <f>BO684+BO676</f>
        <v>21957</v>
      </c>
      <c r="BP685" s="72">
        <f>IF(ISERROR(BO685/BG685),"NA",IF(OR(BO685/BG685&gt;2,BO685/BG685&lt;0.5),"NM",BO685/BG685*100-100))</f>
        <v>-1.3833370761284556</v>
      </c>
      <c r="BQ685" s="145">
        <f>BQ684+BQ676</f>
        <v>21733</v>
      </c>
      <c r="BR685" s="72">
        <f>IF(ISERROR(BQ685/BI685),"NA",IF(OR(BQ685/BI685&gt;2,BQ685/BI685&lt;0.5),"NM",BQ685/BI685*100-100))</f>
        <v>6.9067133253525981E-2</v>
      </c>
      <c r="BS685" s="145">
        <f>BS684+BS676</f>
        <v>21314</v>
      </c>
      <c r="BT685" s="72">
        <f>IF(ISERROR(BS685/BK685),"NA",IF(OR(BS685/BK685&gt;2,BS685/BK685&lt;0.5),"NM",BS685/BK685*100-100))</f>
        <v>-3.3422520520611272</v>
      </c>
      <c r="BU685" s="145">
        <f>BU684+BU676</f>
        <v>14292</v>
      </c>
      <c r="BV685" s="72">
        <f>IF(ISERROR(BU685/BM685),"NA",IF(OR(BU685/BM685&gt;2,BU685/BM685&lt;0.5),"NM",BU685/BM685*100-100))</f>
        <v>-34.171618073787485</v>
      </c>
      <c r="BW685" s="145">
        <f>BW684+BW676</f>
        <v>14349</v>
      </c>
      <c r="BX685" s="72">
        <f>IF(ISERROR(BW685/BO685),"NA",IF(OR(BW685/BO685&gt;2,BW685/BO685&lt;0.5),"NM",BW685/BO685*100-100))</f>
        <v>-34.649542287197704</v>
      </c>
      <c r="BY685" s="145">
        <f>BY684+BY676</f>
        <v>18681</v>
      </c>
      <c r="BZ685" s="72">
        <f>IF(ISERROR(BY685/BQ685),"NA",IF(OR(BY685/BQ685&gt;2,BY685/BQ685&lt;0.5),"NM",BY685/BQ685*100-100))</f>
        <v>-14.043160171168267</v>
      </c>
      <c r="CA685" s="145">
        <f>CA684+CA676</f>
        <v>23239</v>
      </c>
      <c r="CB685" s="72">
        <f>IF(ISERROR(CA685/BS685),"NA",IF(OR(CA685/BS685&gt;2,CA685/BS685&lt;0.5),"NM",CA685/BS685*100-100))</f>
        <v>9.0316224078070775</v>
      </c>
      <c r="CC685" s="145">
        <f>CC684+CC676</f>
        <v>24154</v>
      </c>
      <c r="CD685" s="72">
        <f>IF(ISERROR(CC685/BU685),"NA",IF(OR(CC685/BU685&gt;2,CC685/BU685&lt;0.5),"NM",CC685/BU685*100-100))</f>
        <v>69.003638399104403</v>
      </c>
      <c r="CE685" s="145">
        <f>CE684+CE676</f>
        <v>23261</v>
      </c>
      <c r="CF685" s="72">
        <f>IF(ISERROR(CE685/BW685),"NA",IF(OR(CE685/BW685&gt;2,CE685/BW685&lt;0.5),"NM",CE685/BW685*100-100))</f>
        <v>62.108857760122646</v>
      </c>
      <c r="CG685" s="145">
        <f>CG684+CG676</f>
        <v>25862</v>
      </c>
      <c r="CH685" s="72">
        <f>IF(ISERROR(CG685/BY685),"NA",IF(OR(CG685/BY685&gt;2,CG685/BY685&lt;0.5),"NM",CG685/BY685*100-100))</f>
        <v>38.44012633156683</v>
      </c>
      <c r="CI685" s="145">
        <f>CI684+CI676</f>
        <v>29480</v>
      </c>
      <c r="CJ685" s="72">
        <f>IF(ISERROR(CI685/CA685),"NA",IF(OR(CI685/CA685&gt;2,CI685/CA685&lt;0.5),"NM",CI685/CA685*100-100))</f>
        <v>26.85571668316193</v>
      </c>
      <c r="CK685" s="145">
        <f>CK684+CK676</f>
        <v>28310</v>
      </c>
      <c r="CL685" s="72">
        <f>IF(ISERROR(CK685/CC685),"NA",IF(OR(CK685/CC685&gt;2,CK685/CC685&lt;0.5),"NM",CK685/CC685*100-100))</f>
        <v>17.206259832739917</v>
      </c>
      <c r="CM685" s="145">
        <f>CM684+CM676</f>
        <v>28501</v>
      </c>
      <c r="CN685" s="72">
        <f>IF(ISERROR(CM685/CE685),"NA",IF(OR(CM685/CE685&gt;2,CM685/CE685&lt;0.5),"NM",CM685/CE685*100-100))</f>
        <v>22.526976484244017</v>
      </c>
      <c r="CO685" s="145">
        <f>CO684+CO676</f>
        <v>30754</v>
      </c>
      <c r="CP685" s="72">
        <f>IF(ISERROR(CO685/CG685),"NA",IF(OR(CO685/CG685&gt;2,CO685/CG685&lt;0.5),"NM",CO685/CG685*100-100))</f>
        <v>18.915783775423407</v>
      </c>
      <c r="CQ685" s="145">
        <f>CQ684+CQ676</f>
        <v>32901</v>
      </c>
      <c r="CR685" s="72">
        <f>IF(ISERROR(CQ685/CI685),"NA",IF(OR(CQ685/CI685&gt;2,CQ685/CI685&lt;0.5),"NM",CQ685/CI685*100-100))</f>
        <v>11.604477611940297</v>
      </c>
      <c r="CS685" s="145">
        <f>CS684+CS676</f>
        <v>32817</v>
      </c>
      <c r="CT685" s="72">
        <f>IF(ISERROR(CS685/CK685),"NA",IF(OR(CS685/CK685&gt;2,CS685/CK685&lt;0.5),"NM",CS685/CK685*100-100))</f>
        <v>15.920169551395261</v>
      </c>
      <c r="CU685" s="145">
        <f>CU684+CU676</f>
        <v>33527</v>
      </c>
      <c r="CV685" s="72">
        <f>IF(ISERROR(CU685/CM685),"NA",IF(OR(CU685/CM685&gt;2,CU685/CM685&lt;0.5),"NM",CU685/CM685*100-100))</f>
        <v>17.63446896600118</v>
      </c>
      <c r="CW685" s="145">
        <f>CW684+CW676</f>
        <v>36593</v>
      </c>
      <c r="CX685" s="72">
        <f>IF(ISERROR(CW685/CO685),"NA",IF(OR(CW685/CO685&gt;2,CW685/CO685&lt;0.5),"NM",CW685/CO685*100-100))</f>
        <v>18.986148143330951</v>
      </c>
      <c r="CY685" s="145">
        <f>CY684+CY676</f>
        <v>37189</v>
      </c>
      <c r="CZ685" s="72">
        <f>IF(ISERROR(CY685/CQ685),"NA",IF(OR(CY685/CQ685&gt;2,CY685/CQ685&lt;0.5),"NM",CY685/CQ685*100-100))</f>
        <v>13.033038509467801</v>
      </c>
      <c r="DA685" s="145">
        <f>DA684+DA676</f>
        <v>37006</v>
      </c>
      <c r="DB685" s="72">
        <f>IF(ISERROR(DA685/CS685),"NA",IF(OR(DA685/CS685&gt;2,DA685/CS685&lt;0.5),"NM",DA685/CS685*100-100))</f>
        <v>12.764725599536831</v>
      </c>
      <c r="DC685" s="145">
        <f>DC684+DC676</f>
        <v>38392</v>
      </c>
      <c r="DD685" s="72">
        <f>IF(ISERROR(DC685/CU685),"NA",IF(OR(DC685/CU685&gt;2,DC685/CU685&lt;0.5),"NM",DC685/CU685*100-100))</f>
        <v>14.510692874399751</v>
      </c>
      <c r="DE685" s="145">
        <f>DE684+DE676</f>
        <v>33669</v>
      </c>
      <c r="DF685" s="72">
        <f>IF(ISERROR(DE685/CW685),"NA",IF(OR(DE685/CW685&gt;2,DE685/CW685&lt;0.5),"NM",DE685/CW685*100-100))</f>
        <v>-7.990599294947117</v>
      </c>
      <c r="DG685" s="145">
        <f>DG684+DG676</f>
        <v>32818</v>
      </c>
      <c r="DH685" s="72">
        <f>IF(ISERROR(DG685/CY685),"NA",IF(OR(DG685/CY685&gt;2,DG685/CY685&lt;0.5),"NM",DG685/CY685*100-100))</f>
        <v>-11.753475490064275</v>
      </c>
      <c r="DI685" s="145">
        <f>DI684+DI676</f>
        <v>33885</v>
      </c>
      <c r="DJ685" s="72">
        <f>IF(ISERROR(DI685/DA685),"NA",IF(OR(DI685/DA685&gt;2,DI685/DA685&lt;0.5),"NM",DI685/DA685*100-100))</f>
        <v>-8.43376749716262</v>
      </c>
      <c r="DK685" s="145">
        <f>DK684+DK676</f>
        <v>36770</v>
      </c>
      <c r="DL685" s="72">
        <f>IF(ISERROR(DK685/DC685),"NA",IF(OR(DK685/DC685&gt;2,DK685/DC685&lt;0.5),"NM",DK685/DC685*100-100))</f>
        <v>-4.2248385080225006</v>
      </c>
      <c r="DM685" s="145">
        <f>DM684+DM676</f>
        <v>39663</v>
      </c>
      <c r="DN685" s="72">
        <f>IF(ISERROR(DM685/DE685),"NA",IF(OR(DM685/DE685&gt;2,DM685/DE685&lt;0.5),"NM",DM685/DE685*100-100))</f>
        <v>17.802726543704892</v>
      </c>
      <c r="DO685" s="145">
        <f>DO684+DO676</f>
        <v>40203</v>
      </c>
      <c r="DP685" s="72">
        <f>IF(ISERROR(DO685/DG685),"NA",IF(OR(DO685/DG685&gt;2,DO685/DG685&lt;0.5),"NM",DO685/DG685*100-100))</f>
        <v>22.502894752879527</v>
      </c>
      <c r="DQ685" s="145">
        <f>DQ684+DQ676</f>
        <v>40981</v>
      </c>
      <c r="DR685" s="72">
        <f>IF(ISERROR(DQ685/DI685),"NA",IF(OR(DQ685/DI685&gt;2,DQ685/DI685&lt;0.5),"NM",DQ685/DI685*100-100))</f>
        <v>20.941419507156553</v>
      </c>
      <c r="DS685" s="145">
        <f>DS684+DS676</f>
        <v>45044</v>
      </c>
      <c r="DT685" s="72">
        <f>IF(ISERROR(DS685/DK685),"NA",IF(OR(DS685/DK685&gt;2,DS685/DK685&lt;0.5),"NM",DS685/DK685*100-100))</f>
        <v>22.502039706282304</v>
      </c>
      <c r="DU685" s="145">
        <f>DU684+DU676</f>
        <v>41723</v>
      </c>
      <c r="DV685" s="72">
        <f>IF(ISERROR(DU685/DM685),"NA",IF(OR(DU685/DM685&gt;2,DU685/DM685&lt;0.5),"NM",DU685/DM685*100-100))</f>
        <v>5.193757406146787</v>
      </c>
      <c r="DW685" s="144">
        <f>DW684+(DW676-DU676)</f>
        <v>29314</v>
      </c>
      <c r="DX685" s="72">
        <f>IF(ISERROR(DW685/DO685),"NA",IF(OR(DW685/DO685&gt;2,DW685/DO685&lt;0.5),"NM",DW685/DO685*100-100))</f>
        <v>-27.085043404721048</v>
      </c>
      <c r="DY685" s="144">
        <f>DY684+(DY676-DW676)</f>
        <v>28427</v>
      </c>
      <c r="DZ685" s="72">
        <f>IF(ISERROR(DY685/DQ685),"NA",IF(OR(DY685/DQ685&gt;2,DY685/DQ685&lt;0.5),"NM",DY685/DQ685*100-100))</f>
        <v>-30.633708303848124</v>
      </c>
      <c r="EA685" s="144">
        <f>EA684+(EA676-DY676)</f>
        <v>36957</v>
      </c>
      <c r="EB685" s="72">
        <f>IF(ISERROR(EA685/DS685),"NA",IF(OR(EA685/DS685&gt;2,EA685/DS685&lt;0.5),"NM",EA685/DS685*100-100))</f>
        <v>-17.95355652251132</v>
      </c>
      <c r="EC685" s="144">
        <f>EC684+(EC676-EA676)</f>
        <v>36083</v>
      </c>
      <c r="ED685" s="72">
        <f>IF(ISERROR(EC685/DU685),"NA",IF(OR(EC685/DU685&gt;2,EC685/DU685&lt;0.5),"NM",EC685/DU685*100-100))</f>
        <v>-13.517724037101843</v>
      </c>
      <c r="EE685" s="144">
        <f>EE684+(EE676-EC676)</f>
        <v>31764</v>
      </c>
      <c r="EF685" s="72">
        <f>IF(ISERROR(EE685/DW685),"NA",IF(OR(EE685/DW685&gt;2,EE685/DW685&lt;0.5),"NM",EE685/DW685*100-100))</f>
        <v>8.3577812649246113</v>
      </c>
      <c r="EG685" s="144">
        <f>EG684+(EG676-EE676)</f>
        <v>20938</v>
      </c>
      <c r="EH685" s="72">
        <f>IF(ISERROR(EG685/DY685),"NA",IF(OR(EG685/DY685&gt;2,EG685/DY685&lt;0.5),"NM",EG685/DY685*100-100))</f>
        <v>-26.344672318570375</v>
      </c>
      <c r="EI685" s="144">
        <f>EI684+(EI676-EG676)</f>
        <v>32163</v>
      </c>
      <c r="EJ685" s="72">
        <f>IF(ISERROR(EI685/EA685),"NA",IF(OR(EI685/EA685&gt;2,EI685/EA685&lt;0.5),"NM",EI685/EA685*100-100))</f>
        <v>-12.97183212923126</v>
      </c>
      <c r="EK685" s="144">
        <f>EK684+(EK676-EI676)</f>
        <v>33801</v>
      </c>
      <c r="EL685" s="72">
        <f>IF(ISERROR(EK685/EC685),"NA",IF(OR(EK685/EC685&gt;2,EK685/EC685&lt;0.5),"NM",EK685/EC685*100-100))</f>
        <v>-6.3243078457999644</v>
      </c>
      <c r="EM685" s="144">
        <f>EM684+(EM676-EK676)</f>
        <v>34011</v>
      </c>
      <c r="EN685" s="72">
        <f>IF(ISERROR(EM685/EE685),"NA",IF(OR(EM685/EE685&gt;2,EM685/EE685&lt;0.5),"NM",EM685/EE685*100-100))</f>
        <v>7.0740460899131108</v>
      </c>
      <c r="EO685" s="144">
        <f>EO684+(EO676-EM676)</f>
        <v>37471</v>
      </c>
      <c r="EP685" s="72">
        <f>IF(ISERROR(EO685/EG685),"NA",IF(OR(EO685/EG685&gt;2,EO685/EG685&lt;0.5),"NM",EO685/EG685*100-100))</f>
        <v>78.961696437100017</v>
      </c>
      <c r="EQ685" s="144">
        <f t="shared" ref="EQ685" si="3284">EQ684+(EQ676-EO676)</f>
        <v>37414.029676528269</v>
      </c>
      <c r="ER685" s="72">
        <f t="shared" si="3277"/>
        <v>16.326305619899472</v>
      </c>
      <c r="ES685" s="144">
        <f t="shared" ref="ES685" si="3285">ES684+(ES676-EQ676)</f>
        <v>38627.621538728985</v>
      </c>
      <c r="ET685" s="72">
        <f t="shared" si="3279"/>
        <v>14.279522909762974</v>
      </c>
      <c r="EU685" s="144">
        <f t="shared" ref="EU685" si="3286">EU684+(EU676-ES676)</f>
        <v>38823.006659041697</v>
      </c>
      <c r="EV685" s="72">
        <f t="shared" si="3281"/>
        <v>14.14838334374673</v>
      </c>
      <c r="EW685" s="144">
        <f t="shared" ref="EW685" si="3287">EW684+(EW676-EU676)</f>
        <v>38884.948762970933</v>
      </c>
      <c r="EX685" s="72">
        <f t="shared" si="3283"/>
        <v>3.77344816783895</v>
      </c>
      <c r="EY685" s="72"/>
      <c r="EZ685" s="296"/>
      <c r="FA685" s="72"/>
      <c r="FB685" s="9"/>
      <c r="FC685" s="11"/>
      <c r="FD685" s="150"/>
      <c r="FE685" s="72"/>
      <c r="FF685" s="145">
        <f>I685</f>
        <v>19556.165829145728</v>
      </c>
      <c r="FG685" s="72" t="str">
        <f>IF(ISERROR(FF685/FD685),"NA",IF(OR(FF685/FD685&gt;2,FF685/FD685&lt;0.5),"NM",FF685/FD685*100-100))</f>
        <v>NA</v>
      </c>
      <c r="FH685" s="145">
        <f>Q685</f>
        <v>19646</v>
      </c>
      <c r="FI685" s="72">
        <f>IF(ISERROR(FH685/FF685),"NA",IF(OR(FH685/FF685&gt;2,FH685/FF685&lt;0.5),"NM",FH685/FF685*100-100))</f>
        <v>0.4593649472965069</v>
      </c>
      <c r="FJ685" s="145">
        <f>Y685</f>
        <v>20562</v>
      </c>
      <c r="FK685" s="72">
        <f>IF(ISERROR(FJ685/FH685),"NA",IF(OR(FJ685/FH685&gt;2,FJ685/FH685&lt;0.5),"NM",FJ685/FH685*100-100))</f>
        <v>4.6625267229970575</v>
      </c>
      <c r="FL685" s="145">
        <f>AG685</f>
        <v>20340</v>
      </c>
      <c r="FM685" s="72">
        <f>IF(ISERROR(FL685/FJ685),"NA",IF(OR(FL685/FJ685&gt;2,FL685/FJ685&lt;0.5),"NM",FL685/FJ685*100-100))</f>
        <v>-1.0796615115261261</v>
      </c>
      <c r="FN685" s="145">
        <f>AO685</f>
        <v>21209</v>
      </c>
      <c r="FO685" s="72">
        <f>IF(ISERROR(FN685/FL685),"NA",IF(OR(FN685/FL685&gt;2,FN685/FL685&lt;0.5),"NM",FN685/FL685*100-100))</f>
        <v>4.272369714847585</v>
      </c>
      <c r="FP685" s="145">
        <f>AW685</f>
        <v>21654</v>
      </c>
      <c r="FQ685" s="72">
        <f>IF(ISERROR(FP685/FN685),"NA",IF(OR(FP685/FN685&gt;2,FP685/FN685&lt;0.5),"NM",FP685/FN685*100-100))</f>
        <v>2.0981658729784698</v>
      </c>
      <c r="FR685" s="144">
        <f>BE685</f>
        <v>21690</v>
      </c>
      <c r="FS685" s="72">
        <f>IF(ISERROR(FR685/FP685),"NA",IF(OR(FR685/FP685&gt;2,FR685/FP685&lt;0.5),"NM",FR685/FP685*100-100))</f>
        <v>0.16625103906899596</v>
      </c>
      <c r="FT685" s="144">
        <f>BM685</f>
        <v>21711</v>
      </c>
      <c r="FU685" s="72">
        <f>IF(ISERROR(FT685/FR685),"NA",IF(OR(FT685/FR685&gt;2,FT685/FR685&lt;0.5),"NM",FT685/FR685*100-100))</f>
        <v>9.6818810511763331E-2</v>
      </c>
      <c r="FV685" s="144">
        <f>BU685</f>
        <v>14292</v>
      </c>
      <c r="FW685" s="72">
        <f>IF(ISERROR(FV685/FT685),"NA",IF(OR(FV685/FT685&gt;2,FV685/FT685&lt;0.5),"NM",FV685/FT685*100-100))</f>
        <v>-34.171618073787485</v>
      </c>
      <c r="FX685" s="144">
        <f>CC685</f>
        <v>24154</v>
      </c>
      <c r="FY685" s="72">
        <f>IF(ISERROR(FX685/FV685),"NA",IF(OR(FX685/FV685&gt;2,FX685/FV685&lt;0.5),"NM",FX685/FV685*100-100))</f>
        <v>69.003638399104403</v>
      </c>
      <c r="FZ685" s="144">
        <f>CK685</f>
        <v>28310</v>
      </c>
      <c r="GA685" s="72">
        <f>IF(ISERROR(FZ685/FX685),"NA",IF(OR(FZ685/FX685&gt;2,FZ685/FX685&lt;0.5),"NM",FZ685/FX685*100-100))</f>
        <v>17.206259832739917</v>
      </c>
      <c r="GB685" s="144">
        <f>CS685</f>
        <v>32817</v>
      </c>
      <c r="GC685" s="72">
        <f>IF(ISERROR(GB685/FZ685),"NA",IF(OR(GB685/FZ685&gt;2,GB685/FZ685&lt;0.5),"NM",GB685/FZ685*100-100))</f>
        <v>15.920169551395261</v>
      </c>
      <c r="GD685" s="144">
        <f>DA685</f>
        <v>37006</v>
      </c>
      <c r="GE685" s="72">
        <f>IF(ISERROR(GD685/GB685),"NA",IF(OR(GD685/GB685&gt;2,GD685/GB685&lt;0.5),"NM",GD685/GB685*100-100))</f>
        <v>12.764725599536831</v>
      </c>
      <c r="GF685" s="144">
        <f>DI685</f>
        <v>33885</v>
      </c>
      <c r="GG685" s="72">
        <f>IF(ISERROR(GF685/GD685),"NA",IF(OR(GF685/GD685&gt;2,GF685/GD685&lt;0.5),"NM",GF685/GD685*100-100))</f>
        <v>-8.43376749716262</v>
      </c>
      <c r="GH685" s="144">
        <f>DQ685</f>
        <v>40981</v>
      </c>
      <c r="GI685" s="72">
        <f>IF(ISERROR(GH685/GF685),"NA",IF(OR(GH685/GF685&gt;2,GH685/GF685&lt;0.5),"NM",GH685/GF685*100-100))</f>
        <v>20.941419507156553</v>
      </c>
      <c r="GJ685" s="144">
        <f>DY685</f>
        <v>28427</v>
      </c>
      <c r="GK685" s="72">
        <f>IF(ISERROR(GJ685/GH685),"NA",IF(OR(GJ685/GH685&gt;2,GJ685/GH685&lt;0.5),"NM",GJ685/GH685*100-100))</f>
        <v>-30.633708303848124</v>
      </c>
      <c r="GL685" s="144">
        <f>EG685</f>
        <v>20938</v>
      </c>
      <c r="GM685" s="72">
        <f>IF(ISERROR(GL685/GJ685),"NA",IF(OR(GL685/GJ685&gt;2,GL685/GJ685&lt;0.5),"NM",GL685/GJ685*100-100))</f>
        <v>-26.344672318570375</v>
      </c>
      <c r="GN685" s="144">
        <f>EO685</f>
        <v>37471</v>
      </c>
      <c r="GO685" s="72">
        <f>IF(ISERROR(GN685/GL685),"NA",IF(OR(GN685/GL685&gt;2,GN685/GL685&lt;0.5),"NM",GN685/GL685*100-100))</f>
        <v>78.961696437100017</v>
      </c>
      <c r="GP685" s="144">
        <f>EW685</f>
        <v>38884.948762970933</v>
      </c>
      <c r="GQ685" s="72">
        <f>IF(ISERROR(GP685/GN685),"NA",IF(OR(GP685/GN685&gt;2,GP685/GN685&lt;0.5),"NM",GP685/GN685*100-100))</f>
        <v>3.77344816783895</v>
      </c>
      <c r="GR685" s="144">
        <f>GR675</f>
        <v>56370.087105941471</v>
      </c>
      <c r="GS685" s="72">
        <f>IF(ISERROR(GR685/GP685),"NA",IF(OR(GR685/GP685&gt;2,GR685/GP685&lt;0.5),"NM",GR685/GP685*100-100))</f>
        <v>44.966340188729163</v>
      </c>
      <c r="GT685" s="144">
        <f>GT675</f>
        <v>57595.23857089677</v>
      </c>
      <c r="GU685" s="72">
        <f>IF(ISERROR(GT685/GR685),"NA",IF(OR(GT685/GR685&gt;2,GT685/GR685&lt;0.5),"NM",GT685/GR685*100-100))</f>
        <v>2.1734070814060829</v>
      </c>
      <c r="GV685" s="144">
        <f>GV675</f>
        <v>58731.676342416416</v>
      </c>
      <c r="GW685" s="72">
        <f>IF(ISERROR(GV685/GT685),"NA",IF(OR(GV685/GT685&gt;2,GV685/GT685&lt;0.5),"NM",GV685/GT685*100-100))</f>
        <v>1.9731453497162903</v>
      </c>
      <c r="GX685" s="144">
        <f>GX675</f>
        <v>59761.984540073609</v>
      </c>
      <c r="GY685" s="72">
        <f>IF(ISERROR(GX685/GV685),"NA",IF(OR(GX685/GV685&gt;2,GX685/GV685&lt;0.5),"NM",GX685/GV685*100-100))</f>
        <v>1.7542632218605689</v>
      </c>
      <c r="GZ685" s="72">
        <f>IF(ISERROR(((GX685/GN685)^0.2-1)*100),"NA",IF((((GX685/GN685)^0.2-1)*100)&gt;100,"NM",IF((((GX685/GN685)^0.2-1)*100)&lt;-50,"NM",((GX685/GN685)^0.2-1)*100)))</f>
        <v>9.7857430195440909</v>
      </c>
      <c r="HA685" s="72"/>
      <c r="HB685" s="72"/>
      <c r="HC685"/>
      <c r="HD685"/>
      <c r="HE685"/>
      <c r="HF685"/>
      <c r="HG685"/>
      <c r="HH685"/>
      <c r="HI685" s="2"/>
    </row>
    <row r="686" spans="1:217" s="3" customFormat="1" ht="12.75" hidden="1" customHeight="1" outlineLevel="1" x14ac:dyDescent="0.2">
      <c r="B686" s="4" t="s">
        <v>160</v>
      </c>
      <c r="C686" s="145"/>
      <c r="D686" s="145"/>
      <c r="E686" s="145"/>
      <c r="F686" s="11"/>
      <c r="G686" s="145"/>
      <c r="H686" s="11"/>
      <c r="I686" s="145">
        <f>AVERAGE(I684,G684)</f>
        <v>19059.165829145728</v>
      </c>
      <c r="J686" s="11"/>
      <c r="K686" s="145">
        <f>AVERAGE(K684,I684)</f>
        <v>19391.165829145728</v>
      </c>
      <c r="L686" s="72" t="str">
        <f>IF(ISERROR(K686/C686),"NA",IF(OR(K686/C686&gt;2,K686/C686&lt;0.5),"NM",K686/C686*100-100))</f>
        <v>NA</v>
      </c>
      <c r="M686" s="145">
        <f>AVERAGE(M684,K684)</f>
        <v>19749.165829145728</v>
      </c>
      <c r="N686" s="72" t="str">
        <f>IF(ISERROR(M686/E686),"NA",IF(OR(M686/E686&gt;2,M686/E686&lt;0.5),"NM",M686/E686*100-100))</f>
        <v>NA</v>
      </c>
      <c r="O686" s="145">
        <f>AVERAGE(O684,M684)</f>
        <v>19585.665829145728</v>
      </c>
      <c r="P686" s="72" t="str">
        <f>IF(ISERROR(O686/G686),"NA",IF(OR(O686/G686&gt;2,O686/G686&lt;0.5),"NM",O686/G686*100-100))</f>
        <v>NA</v>
      </c>
      <c r="Q686" s="145">
        <f>AVERAGE(Q684,O684)</f>
        <v>19239.582914572864</v>
      </c>
      <c r="R686" s="72">
        <f>IF(ISERROR(Q686/I686),"NA",IF(OR(Q686/I686&gt;2,Q686/I686&lt;0.5),"NM",Q686/I686*100-100))</f>
        <v>0.94661585425338046</v>
      </c>
      <c r="S686" s="145">
        <f>AVERAGE(S684,Q684)</f>
        <v>19186</v>
      </c>
      <c r="T686" s="72">
        <f>IF(ISERROR(S686/K686),"NA",IF(OR(S686/K686&gt;2,S686/K686&lt;0.5),"NM",S686/K686*100-100))</f>
        <v>-1.0580376185394442</v>
      </c>
      <c r="U686" s="145">
        <f>AVERAGE(U684,S684)</f>
        <v>19305</v>
      </c>
      <c r="V686" s="72">
        <f>IF(ISERROR(U686/M686),"NA",IF(OR(U686/M686&gt;2,U686/M686&lt;0.5),"NM",U686/M686*100-100))</f>
        <v>-2.2490358984693444</v>
      </c>
      <c r="W686" s="145">
        <f>AVERAGE(W684,U684)</f>
        <v>19237</v>
      </c>
      <c r="X686" s="72">
        <f>IF(ISERROR(W686/O686),"NA",IF(OR(W686/O686&gt;2,W686/O686&lt;0.5),"NM",W686/O686*100-100))</f>
        <v>-1.7802092213116083</v>
      </c>
      <c r="Y686" s="145">
        <f>AVERAGE(Y684,W684)</f>
        <v>18887</v>
      </c>
      <c r="Z686" s="72">
        <f>IF(ISERROR(Y686/Q686),"NA",IF(OR(Y686/Q686&gt;2,Y686/Q686&lt;0.5),"NM",Y686/Q686*100-100))</f>
        <v>-1.8325912580246353</v>
      </c>
      <c r="AA686" s="145">
        <f>AVERAGE(AA684,Y684)</f>
        <v>18608.5</v>
      </c>
      <c r="AB686" s="72">
        <f>IF(ISERROR(AA686/S686),"NA",IF(OR(AA686/S686&gt;2,AA686/S686&lt;0.5),"NM",AA686/S686*100-100))</f>
        <v>-3.0100072969873821</v>
      </c>
      <c r="AC686" s="145">
        <f>AVERAGE(AC684,AA684)</f>
        <v>18559.5</v>
      </c>
      <c r="AD686" s="72">
        <f>IF(ISERROR(AC686/U686),"NA",IF(OR(AC686/U686&gt;2,AC686/U686&lt;0.5),"NM",AC686/U686*100-100))</f>
        <v>-3.8616938616938654</v>
      </c>
      <c r="AE686" s="145">
        <f>AVERAGE(AE684,AC684)</f>
        <v>18543.5</v>
      </c>
      <c r="AF686" s="72">
        <f>IF(ISERROR(AE686/W686),"NA",IF(OR(AE686/W686&gt;2,AE686/W686&lt;0.5),"NM",AE686/W686*100-100))</f>
        <v>-3.6050319696418427</v>
      </c>
      <c r="AG686" s="145">
        <f>AVERAGE(AG684,AE684)</f>
        <v>18563.5</v>
      </c>
      <c r="AH686" s="72">
        <f>IF(ISERROR(AG686/Y686),"NA",IF(OR(AG686/Y686&gt;2,AG686/Y686&lt;0.5),"NM",AG686/Y686*100-100))</f>
        <v>-1.7128183406575914</v>
      </c>
      <c r="AI686" s="145">
        <f>AVERAGE(AI684,AG684)</f>
        <v>18558.5</v>
      </c>
      <c r="AJ686" s="72">
        <f>IF(ISERROR(AI686/AA686),"NA",IF(OR(AI686/AA686&gt;2,AI686/AA686&lt;0.5),"NM",AI686/AA686*100-100))</f>
        <v>-0.26869441384313575</v>
      </c>
      <c r="AK686" s="145">
        <f>AVERAGE(AK684,AI684)</f>
        <v>18654.5</v>
      </c>
      <c r="AL686" s="72">
        <f>IF(ISERROR(AK686/AC686),"NA",IF(OR(AK686/AC686&gt;2,AK686/AC686&lt;0.5),"NM",AK686/AC686*100-100))</f>
        <v>0.5118672378027469</v>
      </c>
      <c r="AM686" s="145">
        <f>AVERAGE(AM684,AK684)</f>
        <v>18875</v>
      </c>
      <c r="AN686" s="72">
        <f>IF(ISERROR(AM686/AE686),"NA",IF(OR(AM686/AE686&gt;2,AM686/AE686&lt;0.5),"NM",AM686/AE686*100-100))</f>
        <v>1.7876884083371607</v>
      </c>
      <c r="AO686" s="145">
        <f>AVERAGE(AO684,AM684)</f>
        <v>19193.5</v>
      </c>
      <c r="AP686" s="72">
        <f>IF(ISERROR(AO686/AG686),"NA",IF(OR(AO686/AG686&gt;2,AO686/AG686&lt;0.5),"NM",AO686/AG686*100-100))</f>
        <v>3.3937565653028798</v>
      </c>
      <c r="AQ686" s="145">
        <f>AVERAGE(AQ684,AO684)</f>
        <v>19649.5</v>
      </c>
      <c r="AR686" s="72">
        <f>IF(ISERROR(AQ686/AI686),"NA",IF(OR(AQ686/AI686&gt;2,AQ686/AI686&lt;0.5),"NM",AQ686/AI686*100-100))</f>
        <v>5.8787078697093023</v>
      </c>
      <c r="AS686" s="145">
        <f>AVERAGE(AS684,AQ684)</f>
        <v>20099.5</v>
      </c>
      <c r="AT686" s="72">
        <f>IF(ISERROR(AS686/AK686),"NA",IF(OR(AS686/AK686&gt;2,AS686/AK686&lt;0.5),"NM",AS686/AK686*100-100))</f>
        <v>7.7461202390844051</v>
      </c>
      <c r="AU686" s="145">
        <f>AVERAGE(AU684,AS684)</f>
        <v>20687.5</v>
      </c>
      <c r="AV686" s="72">
        <f>IF(ISERROR(AU686/AM686),"NA",IF(OR(AU686/AM686&gt;2,AU686/AM686&lt;0.5),"NM",AU686/AM686*100-100))</f>
        <v>9.6026490066225136</v>
      </c>
      <c r="AW686" s="145">
        <f>AVERAGE(AW684,AU684)</f>
        <v>20814.5</v>
      </c>
      <c r="AX686" s="72">
        <f>IF(ISERROR(AW686/AO686),"NA",IF(OR(AW686/AO686&gt;2,AW686/AO686&lt;0.5),"NM",AW686/AO686*100-100))</f>
        <v>8.4455675098340492</v>
      </c>
      <c r="AY686" s="145">
        <f>AVERAGE(AY684,AW684)</f>
        <v>20631.5</v>
      </c>
      <c r="AZ686" s="72">
        <f>IF(ISERROR(AY686/AQ686),"NA",IF(OR(AY686/AQ686&gt;2,AY686/AQ686&lt;0.5),"NM",AY686/AQ686*100-100))</f>
        <v>4.9975826356904776</v>
      </c>
      <c r="BA686" s="145">
        <f>AVERAGE(BA684,AY684)</f>
        <v>20660.5</v>
      </c>
      <c r="BB686" s="72">
        <f>IF(ISERROR(BA686/AS686),"NA",IF(OR(BA686/AS686&gt;2,BA686/AS686&lt;0.5),"NM",BA686/AS686*100-100))</f>
        <v>2.7911142068210495</v>
      </c>
      <c r="BC686" s="145">
        <f>AVERAGE(BC684,BA684)</f>
        <v>20918</v>
      </c>
      <c r="BD686" s="72">
        <f>IF(ISERROR(BC686/AU686),"NA",IF(OR(BC686/AU686&gt;2,BC686/AU686&lt;0.5),"NM",BC686/AU686*100-100))</f>
        <v>1.1141993957703988</v>
      </c>
      <c r="BE686" s="145">
        <f>AVERAGE(BE684,BC684)</f>
        <v>21213</v>
      </c>
      <c r="BF686" s="72">
        <f>IF(ISERROR(BE686/AW686),"NA",IF(OR(BE686/AW686&gt;2,BE686/AW686&lt;0.5),"NM",BE686/AW686*100-100))</f>
        <v>1.9145307357851635</v>
      </c>
      <c r="BG686" s="145">
        <f>AVERAGE(BG684,BE684)</f>
        <v>21389.5</v>
      </c>
      <c r="BH686" s="72">
        <f>IF(ISERROR(BG686/AY686),"NA",IF(OR(BG686/AY686&gt;2,BG686/AY686&lt;0.5),"NM",BG686/AY686*100-100))</f>
        <v>3.6739936504859116</v>
      </c>
      <c r="BI686" s="145">
        <f>AVERAGE(BI684,BG684)</f>
        <v>21710</v>
      </c>
      <c r="BJ686" s="72">
        <f>IF(ISERROR(BI686/BA686),"NA",IF(OR(BI686/BA686&gt;2,BI686/BA686&lt;0.5),"NM",BI686/BA686*100-100))</f>
        <v>5.0797415357808404</v>
      </c>
      <c r="BK686" s="145">
        <f>AVERAGE(BK684,BI684)</f>
        <v>22093</v>
      </c>
      <c r="BL686" s="72">
        <f>IF(ISERROR(BK686/BC686),"NA",IF(OR(BK686/BC686&gt;2,BK686/BC686&lt;0.5),"NM",BK686/BC686*100-100))</f>
        <v>5.617171813748925</v>
      </c>
      <c r="BM686" s="145">
        <f>AVERAGE(BM684,BK684)</f>
        <v>21801.5</v>
      </c>
      <c r="BN686" s="72">
        <f>IF(ISERROR(BM686/BE686),"NA",IF(OR(BM686/BE686&gt;2,BM686/BE686&lt;0.5),"NM",BM686/BE686*100-100))</f>
        <v>2.7742422099655784</v>
      </c>
      <c r="BO686" s="145">
        <f>AVERAGE(BO684,BM684)</f>
        <v>21841</v>
      </c>
      <c r="BP686" s="72">
        <f>IF(ISERROR(BO686/BG686),"NA",IF(OR(BO686/BG686&gt;2,BO686/BG686&lt;0.5),"NM",BO686/BG686*100-100))</f>
        <v>2.1108487809439254</v>
      </c>
      <c r="BQ686" s="145">
        <f>AVERAGE(BQ684,BO684)</f>
        <v>22697</v>
      </c>
      <c r="BR686" s="72">
        <f>IF(ISERROR(BQ686/BI686),"NA",IF(OR(BQ686/BI686&gt;2,BQ686/BI686&lt;0.5),"NM",BQ686/BI686*100-100))</f>
        <v>4.5462920313219684</v>
      </c>
      <c r="BS686" s="145">
        <f>AVERAGE(BS684,BQ684)</f>
        <v>23420.5</v>
      </c>
      <c r="BT686" s="72">
        <f>IF(ISERROR(BS686/BK686),"NA",IF(OR(BS686/BK686&gt;2,BS686/BK686&lt;0.5),"NM",BS686/BK686*100-100))</f>
        <v>6.0086905354637139</v>
      </c>
      <c r="BU686" s="145">
        <f>AVERAGE(BU684,BS684)</f>
        <v>21703</v>
      </c>
      <c r="BV686" s="72">
        <f>IF(ISERROR(BU686/BM686),"NA",IF(OR(BU686/BM686&gt;2,BU686/BM686&lt;0.5),"NM",BU686/BM686*100-100))</f>
        <v>-0.4518037749696191</v>
      </c>
      <c r="BW686" s="145">
        <f>AVERAGE(BW684,BU684)</f>
        <v>19883.5</v>
      </c>
      <c r="BX686" s="72">
        <f>IF(ISERROR(BW686/BO686),"NA",IF(OR(BW686/BO686&gt;2,BW686/BO686&lt;0.5),"NM",BW686/BO686*100-100))</f>
        <v>-8.9625017169543497</v>
      </c>
      <c r="BY686" s="145">
        <f>AVERAGE(BY684,BW684)</f>
        <v>21216</v>
      </c>
      <c r="BZ686" s="72">
        <f>IF(ISERROR(BY686/BQ686),"NA",IF(OR(BY686/BQ686&gt;2,BY686/BQ686&lt;0.5),"NM",BY686/BQ686*100-100))</f>
        <v>-6.5250914217737943</v>
      </c>
      <c r="CA686" s="145">
        <f>AVERAGE(CA684,BY684)</f>
        <v>22766</v>
      </c>
      <c r="CB686" s="72">
        <f>IF(ISERROR(CA686/BS686),"NA",IF(OR(CA686/BS686&gt;2,CA686/BS686&lt;0.5),"NM",CA686/BS686*100-100))</f>
        <v>-2.7945603210862231</v>
      </c>
      <c r="CC686" s="145">
        <f>AVERAGE(CC684,CA684)</f>
        <v>24033</v>
      </c>
      <c r="CD686" s="72">
        <f>IF(ISERROR(CC686/BU686),"NA",IF(OR(CC686/BU686&gt;2,CC686/BU686&lt;0.5),"NM",CC686/BU686*100-100))</f>
        <v>10.735842971017846</v>
      </c>
      <c r="CE686" s="145">
        <f>AVERAGE(CE684,CC684)</f>
        <v>23839.5</v>
      </c>
      <c r="CF686" s="72">
        <f>IF(ISERROR(CE686/BW686),"NA",IF(OR(CE686/BW686&gt;2,CE686/BW686&lt;0.5),"NM",CE686/BW686*100-100))</f>
        <v>19.895893580104101</v>
      </c>
      <c r="CG686" s="145">
        <f>AVERAGE(CG684,CE684)</f>
        <v>23403.5</v>
      </c>
      <c r="CH686" s="72">
        <f>IF(ISERROR(CG686/BY686),"NA",IF(OR(CG686/BY686&gt;2,CG686/BY686&lt;0.5),"NM",CG686/BY686*100-100))</f>
        <v>10.310614630467569</v>
      </c>
      <c r="CI686" s="145">
        <f>AVERAGE(CI684,CG684)</f>
        <v>24423.5</v>
      </c>
      <c r="CJ686" s="72">
        <f>IF(ISERROR(CI686/CA686),"NA",IF(OR(CI686/CA686&gt;2,CI686/CA686&lt;0.5),"NM",CI686/CA686*100-100))</f>
        <v>7.2805938680488396</v>
      </c>
      <c r="CK686" s="145">
        <f>AVERAGE(CK684,CI684)</f>
        <v>25281</v>
      </c>
      <c r="CL686" s="72">
        <f>IF(ISERROR(CK686/CC686),"NA",IF(OR(CK686/CC686&gt;2,CK686/CC686&lt;0.5),"NM",CK686/CC686*100-100))</f>
        <v>5.1928598177505876</v>
      </c>
      <c r="CM686" s="145">
        <f>AVERAGE(CM684,CK684)</f>
        <v>25888.5</v>
      </c>
      <c r="CN686" s="72">
        <f>IF(ISERROR(CM686/CE686),"NA",IF(OR(CM686/CE686&gt;2,CM686/CE686&lt;0.5),"NM",CM686/CE686*100-100))</f>
        <v>8.5949789215377734</v>
      </c>
      <c r="CO686" s="145">
        <f>AVERAGE(CO684,CM684)</f>
        <v>26629</v>
      </c>
      <c r="CP686" s="72">
        <f>IF(ISERROR(CO686/CG686),"NA",IF(OR(CO686/CG686&gt;2,CO686/CG686&lt;0.5),"NM",CO686/CG686*100-100))</f>
        <v>13.782126604994986</v>
      </c>
      <c r="CQ686" s="145">
        <f>AVERAGE(CQ684,CO684)</f>
        <v>27484</v>
      </c>
      <c r="CR686" s="72">
        <f>IF(ISERROR(CQ686/CI686),"NA",IF(OR(CQ686/CI686&gt;2,CQ686/CI686&lt;0.5),"NM",CQ686/CI686*100-100))</f>
        <v>12.530964030544339</v>
      </c>
      <c r="CS686" s="145">
        <f>AVERAGE(CS684,CQ684)</f>
        <v>27828</v>
      </c>
      <c r="CT686" s="72">
        <f>IF(ISERROR(CS686/CK686),"NA",IF(OR(CS686/CK686&gt;2,CS686/CK686&lt;0.5),"NM",CS686/CK686*100-100))</f>
        <v>10.074759700961195</v>
      </c>
      <c r="CU686" s="145">
        <f>AVERAGE(CU684,CS684)</f>
        <v>27188.5</v>
      </c>
      <c r="CV686" s="72">
        <f>IF(ISERROR(CU686/CM686),"NA",IF(OR(CU686/CM686&gt;2,CU686/CM686&lt;0.5),"NM",CU686/CM686*100-100))</f>
        <v>5.0215346582459262</v>
      </c>
      <c r="CW686" s="145">
        <f>AVERAGE(CW684,CU684)</f>
        <v>27662</v>
      </c>
      <c r="CX686" s="72">
        <f>IF(ISERROR(CW686/CO686),"NA",IF(OR(CW686/CO686&gt;2,CW686/CO686&lt;0.5),"NM",CW686/CO686*100-100))</f>
        <v>3.8792294115438182</v>
      </c>
      <c r="CY686" s="145">
        <f>AVERAGE(CY684,CW684)</f>
        <v>28331.5</v>
      </c>
      <c r="CZ686" s="72">
        <f>IF(ISERROR(CY686/CQ686),"NA",IF(OR(CY686/CQ686&gt;2,CY686/CQ686&lt;0.5),"NM",CY686/CQ686*100-100))</f>
        <v>3.0836122835103907</v>
      </c>
      <c r="DA686" s="145">
        <f>AVERAGE(DA684,CY684)</f>
        <v>27496</v>
      </c>
      <c r="DB686" s="72">
        <f>IF(ISERROR(DA686/CS686),"NA",IF(OR(DA686/CS686&gt;2,DA686/CS686&lt;0.5),"NM",DA686/CS686*100-100))</f>
        <v>-1.1930429782952388</v>
      </c>
      <c r="DC686" s="145">
        <f>AVERAGE(DC684,DA684)</f>
        <v>26597.5</v>
      </c>
      <c r="DD686" s="72">
        <f>IF(ISERROR(DC686/CU686),"NA",IF(OR(DC686/CU686&gt;2,DC686/CU686&lt;0.5),"NM",DC686/CU686*100-100))</f>
        <v>-2.1737131507806708</v>
      </c>
      <c r="DE686" s="145">
        <f>AVERAGE(DE684,DC684)</f>
        <v>25761</v>
      </c>
      <c r="DF686" s="72">
        <f>IF(ISERROR(DE686/CW686),"NA",IF(OR(DE686/CW686&gt;2,DE686/CW686&lt;0.5),"NM",DE686/CW686*100-100))</f>
        <v>-6.8722435109536519</v>
      </c>
      <c r="DG686" s="145">
        <f>AVERAGE(DG684,DE684)</f>
        <v>25688.5</v>
      </c>
      <c r="DH686" s="72">
        <f>IF(ISERROR(DG686/CY686),"NA",IF(OR(DG686/CY686&gt;2,DG686/CY686&lt;0.5),"NM",DG686/CY686*100-100))</f>
        <v>-9.3288389248716044</v>
      </c>
      <c r="DI686" s="145">
        <f>AVERAGE(DI684,DG684)</f>
        <v>25666.5</v>
      </c>
      <c r="DJ686" s="72">
        <f>IF(ISERROR(DI686/DA686),"NA",IF(OR(DI686/DA686&gt;2,DI686/DA686&lt;0.5),"NM",DI686/DA686*100-100))</f>
        <v>-6.6536950829211463</v>
      </c>
      <c r="DK686" s="145">
        <f>AVERAGE(DK684,DI684)</f>
        <v>25708</v>
      </c>
      <c r="DL686" s="72">
        <f>IF(ISERROR(DK686/DC686),"NA",IF(OR(DK686/DC686&gt;2,DK686/DC686&lt;0.5),"NM",DK686/DC686*100-100))</f>
        <v>-3.3442992762477672</v>
      </c>
      <c r="DM686" s="145">
        <f>AVERAGE(DM684,DK684)</f>
        <v>26444</v>
      </c>
      <c r="DN686" s="72">
        <f>IF(ISERROR(DM686/DE686),"NA",IF(OR(DM686/DE686&gt;2,DM686/DE686&lt;0.5),"NM",DM686/DE686*100-100))</f>
        <v>2.6512945926012321</v>
      </c>
      <c r="DO686" s="145">
        <f>AVERAGE(DO684,DM684)</f>
        <v>26823</v>
      </c>
      <c r="DP686" s="72">
        <f>IF(ISERROR(DO686/DG686),"NA",IF(OR(DO686/DG686&gt;2,DO686/DG686&lt;0.5),"NM",DO686/DG686*100-100))</f>
        <v>4.4163730852326779</v>
      </c>
      <c r="DQ686" s="145">
        <f>AVERAGE(DQ684,DO684)</f>
        <v>25987</v>
      </c>
      <c r="DR686" s="72">
        <f>IF(ISERROR(DQ686/DI686),"NA",IF(OR(DQ686/DI686&gt;2,DQ686/DI686&lt;0.5),"NM",DQ686/DI686*100-100))</f>
        <v>1.2487094072039469</v>
      </c>
      <c r="DS686" s="145">
        <f>AVERAGE(DS684,DQ684)</f>
        <v>26202</v>
      </c>
      <c r="DT686" s="72">
        <f>IF(ISERROR(DS686/DK686),"NA",IF(OR(DS686/DK686&gt;2,DS686/DK686&lt;0.5),"NM",DS686/DK686*100-100))</f>
        <v>1.9215808308697717</v>
      </c>
      <c r="DU686" s="145">
        <f>AVERAGE(DU684,DS684)</f>
        <v>27811</v>
      </c>
      <c r="DV686" s="72">
        <f>IF(ISERROR(DU686/DM686),"NA",IF(OR(DU686/DM686&gt;2,DU686/DM686&lt;0.5),"NM",DU686/DM686*100-100))</f>
        <v>5.1694146120102857</v>
      </c>
      <c r="DW686" s="144">
        <f>AVERAGE(DW684,DU684)</f>
        <v>28787</v>
      </c>
      <c r="DX686" s="72">
        <f>IF(ISERROR(DW686/DO686),"NA",IF(OR(DW686/DO686&gt;2,DW686/DO686&lt;0.5),"NM",DW686/DO686*100-100))</f>
        <v>7.3220743391865284</v>
      </c>
      <c r="DY686" s="144">
        <f>AVERAGE(DY684,DW684)</f>
        <v>29431</v>
      </c>
      <c r="DZ686" s="72">
        <f>IF(ISERROR(DY686/DQ686),"NA",IF(OR(DY686/DQ686&gt;2,DY686/DQ686&lt;0.5),"NM",DY686/DQ686*100-100))</f>
        <v>13.252780236271988</v>
      </c>
      <c r="EA686" s="144">
        <f>AVERAGE(EA684,DY684)</f>
        <v>29890.5</v>
      </c>
      <c r="EB686" s="72">
        <f>IF(ISERROR(EA686/DS686),"NA",IF(OR(EA686/DS686&gt;2,EA686/DS686&lt;0.5),"NM",EA686/DS686*100-100))</f>
        <v>14.077169681703694</v>
      </c>
      <c r="EC686" s="144">
        <f>AVERAGE(EC684,EA684)</f>
        <v>30329</v>
      </c>
      <c r="ED686" s="72">
        <f>IF(ISERROR(EC686/DU686),"NA",IF(OR(EC686/DU686&gt;2,EC686/DU686&lt;0.5),"NM",EC686/DU686*100-100))</f>
        <v>9.0539714501456103</v>
      </c>
      <c r="EE686" s="144">
        <f>AVERAGE(EE684,EC684)</f>
        <v>30994</v>
      </c>
      <c r="EF686" s="72">
        <f>IF(ISERROR(EE686/DW686),"NA",IF(OR(EE686/DW686&gt;2,EE686/DW686&lt;0.5),"NM",EE686/DW686*100-100))</f>
        <v>7.666655087365811</v>
      </c>
      <c r="EG686" s="144">
        <f>AVERAGE(EG684,EE684)</f>
        <v>31374</v>
      </c>
      <c r="EH686" s="72">
        <f>IF(ISERROR(EG686/DY686),"NA",IF(OR(EG686/DY686&gt;2,EG686/DY686&lt;0.5),"NM",EG686/DY686*100-100))</f>
        <v>6.6018823689307169</v>
      </c>
      <c r="EI686" s="144">
        <f>AVERAGE(EI684,EG684)</f>
        <v>31691.5</v>
      </c>
      <c r="EJ686" s="72">
        <f>IF(ISERROR(EI686/EA686),"NA",IF(OR(EI686/EA686&gt;2,EI686/EA686&lt;0.5),"NM",EI686/EA686*100-100))</f>
        <v>6.0253257724025957</v>
      </c>
      <c r="EK686" s="144">
        <f>AVERAGE(EK684,EI684)</f>
        <v>32111.5</v>
      </c>
      <c r="EL686" s="72">
        <f>IF(ISERROR(EK686/EC686),"NA",IF(OR(EK686/EC686&gt;2,EK686/EC686&lt;0.5),"NM",EK686/EC686*100-100))</f>
        <v>5.877213228263372</v>
      </c>
      <c r="EM686" s="144">
        <f>AVERAGE(EM684,EK684)</f>
        <v>32928.5</v>
      </c>
      <c r="EN686" s="72">
        <f>IF(ISERROR(EM686/EE686),"NA",IF(OR(EM686/EE686&gt;2,EM686/EE686&lt;0.5),"NM",EM686/EE686*100-100))</f>
        <v>6.2415306188294579</v>
      </c>
      <c r="EO686" s="144">
        <f>AVERAGE(EO684,EM684)</f>
        <v>35385</v>
      </c>
      <c r="EP686" s="72">
        <f>IF(ISERROR(EO686/EG686),"NA",IF(OR(EO686/EG686&gt;2,EO686/EG686&lt;0.5),"NM",EO686/EG686*100-100))</f>
        <v>12.784471218206164</v>
      </c>
      <c r="EQ686" s="144">
        <f t="shared" ref="EQ686:EQ687" si="3288">AVERAGE(EQ684,EO684)</f>
        <v>37704.514838264135</v>
      </c>
      <c r="ER686" s="72">
        <f t="shared" si="3277"/>
        <v>18.973588622388135</v>
      </c>
      <c r="ES686" s="144">
        <f t="shared" ref="ES686:ES687" si="3289">AVERAGE(ES684,EQ684)</f>
        <v>38520.825607628627</v>
      </c>
      <c r="ET686" s="72">
        <f t="shared" si="3279"/>
        <v>19.959595807198752</v>
      </c>
      <c r="EU686" s="144">
        <f t="shared" ref="EU686:EU687" si="3290">AVERAGE(EU684,ES684)</f>
        <v>38725.314098885341</v>
      </c>
      <c r="EV686" s="72">
        <f t="shared" si="3281"/>
        <v>17.604245862658004</v>
      </c>
      <c r="EW686" s="144">
        <f t="shared" ref="EW686:EW687" si="3291">AVERAGE(EW684,EU684)</f>
        <v>38853.977711006315</v>
      </c>
      <c r="EX686" s="72">
        <f t="shared" si="3283"/>
        <v>9.8035261014732527</v>
      </c>
      <c r="EY686" s="72"/>
      <c r="EZ686" s="296"/>
      <c r="FA686" s="72"/>
      <c r="FB686" s="9"/>
      <c r="FC686" s="11"/>
      <c r="FD686" s="150"/>
      <c r="FE686" s="72"/>
      <c r="FF686" s="145">
        <f>AVERAGE(C686,E686,G686,I686)</f>
        <v>19059.165829145728</v>
      </c>
      <c r="FG686" s="72" t="str">
        <f>IF(ISERROR(FF686/FD686),"NA",IF(OR(FF686/FD686&gt;2,FF686/FD686&lt;0.5),"NM",FF686/FD686*100-100))</f>
        <v>NA</v>
      </c>
      <c r="FH686" s="144">
        <f>AVERAGE(FH684,FF684)</f>
        <v>19071.082914572864</v>
      </c>
      <c r="FI686" s="72">
        <f>IF(ISERROR(FH686/FF686),"NA",IF(OR(FH686/FF686&gt;2,FH686/FF686&lt;0.5),"NM",FH686/FF686*100-100))</f>
        <v>6.2526794372658401E-2</v>
      </c>
      <c r="FJ686" s="145">
        <f>AVERAGE(FJ684,FH684)</f>
        <v>18852</v>
      </c>
      <c r="FK686" s="72">
        <f>IF(ISERROR(FJ686/FH686),"NA",IF(OR(FJ686/FH686&gt;2,FJ686/FH686&lt;0.5),"NM",FJ686/FH686*100-100))</f>
        <v>-1.1487701854909176</v>
      </c>
      <c r="FL686" s="145">
        <f>AVERAGE(FL684,FJ684)</f>
        <v>18592</v>
      </c>
      <c r="FM686" s="72">
        <f>IF(ISERROR(FL686/FJ686),"NA",IF(OR(FL686/FJ686&gt;2,FL686/FJ686&lt;0.5),"NM",FL686/FJ686*100-100))</f>
        <v>-1.3791640144281843</v>
      </c>
      <c r="FN686" s="145">
        <f>AVERAGE(FN684,FL684)</f>
        <v>18977.5</v>
      </c>
      <c r="FO686" s="72">
        <f>IF(ISERROR(FN686/FL686),"NA",IF(OR(FN686/FL686&gt;2,FN686/FL686&lt;0.5),"NM",FN686/FL686*100-100))</f>
        <v>2.073472461273667</v>
      </c>
      <c r="FP686" s="145">
        <f>AVERAGE(FP684,FN684)</f>
        <v>19969</v>
      </c>
      <c r="FQ686" s="72">
        <f>IF(ISERROR(FP686/FN686),"NA",IF(OR(FP686/FN686&gt;2,FP686/FN686&lt;0.5),"NM",FP686/FN686*100-100))</f>
        <v>5.2246080885258976</v>
      </c>
      <c r="FR686" s="144">
        <f>AVERAGE(FR684,FP684)</f>
        <v>20870</v>
      </c>
      <c r="FS686" s="72">
        <f>IF(ISERROR(FR686/FP686),"NA",IF(OR(FR686/FP686&gt;2,FR686/FP686&lt;0.5),"NM",FR686/FP686*100-100))</f>
        <v>4.5119935900646055</v>
      </c>
      <c r="FT686" s="144">
        <f>AVERAGE(FT684,FR684)</f>
        <v>21223</v>
      </c>
      <c r="FU686" s="72">
        <f>IF(ISERROR(FT686/FR686),"NA",IF(OR(FT686/FR686&gt;2,FT686/FR686&lt;0.5),"NM",FT686/FR686*100-100))</f>
        <v>1.6914230953521781</v>
      </c>
      <c r="FV686" s="144">
        <f>AVERAGE(FV684,FT684)</f>
        <v>20390.5</v>
      </c>
      <c r="FW686" s="72">
        <f>IF(ISERROR(FV686/FT686),"NA",IF(OR(FV686/FT686&gt;2,FV686/FT686&lt;0.5),"NM",FV686/FT686*100-100))</f>
        <v>-3.9226311077604379</v>
      </c>
      <c r="FX686" s="144">
        <f>AVERAGE(FX684,FV684)</f>
        <v>22128.5</v>
      </c>
      <c r="FY686" s="72">
        <f>IF(ISERROR(FX686/FV686),"NA",IF(OR(FX686/FV686&gt;2,FX686/FV686&lt;0.5),"NM",FX686/FV686*100-100))</f>
        <v>8.5235771560285372</v>
      </c>
      <c r="FZ686" s="144">
        <f>AVERAGE(FZ684,FX684)</f>
        <v>25149.5</v>
      </c>
      <c r="GA686" s="72">
        <f>IF(ISERROR(FZ686/FX686),"NA",IF(OR(FZ686/FX686&gt;2,FZ686/FX686&lt;0.5),"NM",FZ686/FX686*100-100))</f>
        <v>13.65207763743588</v>
      </c>
      <c r="GB686" s="144">
        <f>AVERAGE(GB684,FZ684)</f>
        <v>26655.5</v>
      </c>
      <c r="GC686" s="72">
        <f>IF(ISERROR(GB686/FZ686),"NA",IF(OR(GB686/FZ686&gt;2,GB686/FZ686&lt;0.5),"NM",GB686/FZ686*100-100))</f>
        <v>5.9881906200918564</v>
      </c>
      <c r="GD686" s="144">
        <f>AVERAGE(GD684,GB684)</f>
        <v>27378</v>
      </c>
      <c r="GE686" s="72">
        <f>IF(ISERROR(GD686/GB686),"NA",IF(OR(GD686/GB686&gt;2,GD686/GB686&lt;0.5),"NM",GD686/GB686*100-100))</f>
        <v>2.7105100260734076</v>
      </c>
      <c r="GF686" s="144">
        <f>AVERAGE(GF684,GD684)</f>
        <v>26157.5</v>
      </c>
      <c r="GG686" s="72">
        <f>IF(ISERROR(GF686/GD686),"NA",IF(OR(GF686/GD686&gt;2,GF686/GD686&lt;0.5),"NM",GF686/GD686*100-100))</f>
        <v>-4.4579589451384294</v>
      </c>
      <c r="GH686" s="144">
        <f>AVERAGE(GH684,GF684)</f>
        <v>25199</v>
      </c>
      <c r="GI686" s="72">
        <f>IF(ISERROR(GH686/GF686),"NA",IF(OR(GH686/GF686&gt;2,GH686/GF686&lt;0.5),"NM",GH686/GF686*100-100))</f>
        <v>-3.664341011182259</v>
      </c>
      <c r="GJ686" s="144">
        <f t="shared" ref="GJ686:GP687" si="3292">AVERAGE(GJ684,GH684)</f>
        <v>27352</v>
      </c>
      <c r="GK686" s="72">
        <f>IF(ISERROR(GJ686/GH686),"NA",IF(OR(GJ686/GH686&gt;2,GJ686/GH686&lt;0.5),"NM",GJ686/GH686*100-100))</f>
        <v>8.5439898408667005</v>
      </c>
      <c r="GL686" s="144">
        <f t="shared" si="3292"/>
        <v>30423.5</v>
      </c>
      <c r="GM686" s="72">
        <f t="shared" ref="GM686:GU687" si="3293">IF(ISERROR(GL686/GJ686),"NA",IF(OR(GL686/GJ686&gt;2,GL686/GJ686&lt;0.5),"NM",GL686/GJ686*100-100))</f>
        <v>11.229526177244793</v>
      </c>
      <c r="GN686" s="144">
        <f t="shared" si="3292"/>
        <v>34118.5</v>
      </c>
      <c r="GO686" s="72">
        <f t="shared" si="3293"/>
        <v>12.145216691044752</v>
      </c>
      <c r="GP686" s="144">
        <f t="shared" si="3292"/>
        <v>37939.974381485466</v>
      </c>
      <c r="GQ686" s="72">
        <f t="shared" si="3293"/>
        <v>11.200593172283263</v>
      </c>
      <c r="GR686" s="144">
        <f>AVERAGE(GR684,GP684)</f>
        <v>39590.517934456206</v>
      </c>
      <c r="GS686" s="72">
        <f t="shared" si="3293"/>
        <v>4.3504076633646775</v>
      </c>
      <c r="GT686" s="144">
        <f>AVERAGE(GT684,GR684)</f>
        <v>40908.662838419121</v>
      </c>
      <c r="GU686" s="72">
        <f t="shared" si="3293"/>
        <v>3.3294459702324559</v>
      </c>
      <c r="GV686" s="144">
        <f>AVERAGE(GV684,GT684)</f>
        <v>42089.457456656593</v>
      </c>
      <c r="GW686" s="72">
        <f>IF(ISERROR(GV686/GT686),"NA",IF(OR(GV686/GT686&gt;2,GV686/GT686&lt;0.5),"NM",GV686/GT686*100-100))</f>
        <v>2.8864170479034499</v>
      </c>
      <c r="GX686" s="144">
        <f>AVERAGE(GX684,GV684)</f>
        <v>43172.830441245009</v>
      </c>
      <c r="GY686" s="72">
        <f>IF(ISERROR(GX686/GV686),"NA",IF(OR(GX686/GV686&gt;2,GX686/GV686&lt;0.5),"NM",GX686/GV686*100-100))</f>
        <v>2.5739770718215169</v>
      </c>
      <c r="GZ686" s="72">
        <f>IF(ISERROR(((GX686/GN686)^0.2-1)*100),"NA",IF((((GX686/GN686)^0.2-1)*100)&gt;100,"NM",IF((((GX686/GN686)^0.2-1)*100)&lt;-50,"NM",((GX686/GN686)^0.2-1)*100)))</f>
        <v>4.8199911179983124</v>
      </c>
      <c r="HA686" s="72"/>
      <c r="HB686" s="72"/>
      <c r="HC686"/>
      <c r="HD686"/>
      <c r="HE686"/>
      <c r="HF686"/>
      <c r="HG686"/>
      <c r="HH686"/>
      <c r="HI686" s="2"/>
    </row>
    <row r="687" spans="1:217" s="3" customFormat="1" ht="12.75" hidden="1" customHeight="1" outlineLevel="1" x14ac:dyDescent="0.2">
      <c r="B687" s="4" t="s">
        <v>244</v>
      </c>
      <c r="C687" s="145"/>
      <c r="D687" s="145"/>
      <c r="E687" s="145"/>
      <c r="F687" s="11"/>
      <c r="G687" s="145"/>
      <c r="H687" s="11"/>
      <c r="I687" s="145">
        <f>AVERAGE(I685,G685)</f>
        <v>19556.165829145728</v>
      </c>
      <c r="J687" s="11"/>
      <c r="K687" s="145">
        <f>AVERAGE(K685,I685)</f>
        <v>20016.165829145728</v>
      </c>
      <c r="L687" s="72" t="str">
        <f>IF(ISERROR(K687/C687),"NA",IF(OR(K687/C687&gt;2,K687/C687&lt;0.5),"NM",K687/C687*100-100))</f>
        <v>NA</v>
      </c>
      <c r="M687" s="145">
        <f>AVERAGE(M685,K685)</f>
        <v>20539.165829145728</v>
      </c>
      <c r="N687" s="72" t="str">
        <f>IF(ISERROR(M687/E687),"NA",IF(OR(M687/E687&gt;2,M687/E687&lt;0.5),"NM",M687/E687*100-100))</f>
        <v>NA</v>
      </c>
      <c r="O687" s="145">
        <f>AVERAGE(O685,M685)</f>
        <v>20550.165829145728</v>
      </c>
      <c r="P687" s="72" t="str">
        <f>IF(ISERROR(O687/G687),"NA",IF(OR(O687/G687&gt;2,O687/G687&lt;0.5),"NM",O687/G687*100-100))</f>
        <v>NA</v>
      </c>
      <c r="Q687" s="145">
        <f>AVERAGE(Q685,O685)</f>
        <v>20072.082914572864</v>
      </c>
      <c r="R687" s="72">
        <f>IF(ISERROR(Q687/I687),"NA",IF(OR(Q687/I687&gt;2,Q687/I687&lt;0.5),"NM",Q687/I687*100-100))</f>
        <v>2.6381300400829701</v>
      </c>
      <c r="S687" s="145">
        <f>AVERAGE(S685,Q685)</f>
        <v>19549.5</v>
      </c>
      <c r="T687" s="72">
        <f>IF(ISERROR(S687/K687),"NA",IF(OR(S687/K687&gt;2,S687/K687&lt;0.5),"NM",S687/K687*100-100))</f>
        <v>-2.331444658927694</v>
      </c>
      <c r="U687" s="145">
        <f>AVERAGE(U685,S685)</f>
        <v>19855.5</v>
      </c>
      <c r="V687" s="72">
        <f>IF(ISERROR(U687/M687),"NA",IF(OR(U687/M687&gt;2,U687/M687&lt;0.5),"NM",U687/M687*100-100))</f>
        <v>-3.3285958876459603</v>
      </c>
      <c r="W687" s="145">
        <f>AVERAGE(W685,U685)</f>
        <v>20648.5</v>
      </c>
      <c r="X687" s="72">
        <f>IF(ISERROR(W687/O687),"NA",IF(OR(W687/O687&gt;2,W687/O687&lt;0.5),"NM",W687/O687*100-100))</f>
        <v>0.47850791897165834</v>
      </c>
      <c r="Y687" s="145">
        <f>AVERAGE(Y685,W685)</f>
        <v>20800.5</v>
      </c>
      <c r="Z687" s="72">
        <f>IF(ISERROR(Y687/Q687),"NA",IF(OR(Y687/Q687&gt;2,Y687/Q687&lt;0.5),"NM",Y687/Q687*100-100))</f>
        <v>3.6290059608028287</v>
      </c>
      <c r="AA687" s="145">
        <f>AVERAGE(AA685,Y685)</f>
        <v>20810.5</v>
      </c>
      <c r="AB687" s="72">
        <f>IF(ISERROR(AA687/S687),"NA",IF(OR(AA687/S687&gt;2,AA687/S687&lt;0.5),"NM",AA687/S687*100-100))</f>
        <v>6.4502928463643627</v>
      </c>
      <c r="AC687" s="145">
        <f>AVERAGE(AC685,AA685)</f>
        <v>21413.5</v>
      </c>
      <c r="AD687" s="72">
        <f>IF(ISERROR(AC687/U687),"NA",IF(OR(AC687/U687&gt;2,AC687/U687&lt;0.5),"NM",AC687/U687*100-100))</f>
        <v>7.8466923522449719</v>
      </c>
      <c r="AE687" s="145">
        <f>AVERAGE(AE685,AC685)</f>
        <v>21154.5</v>
      </c>
      <c r="AF687" s="72">
        <f>IF(ISERROR(AE687/W687),"NA",IF(OR(AE687/W687&gt;2,AE687/W687&lt;0.5),"NM",AE687/W687*100-100))</f>
        <v>2.4505412015400623</v>
      </c>
      <c r="AG687" s="145">
        <f>AVERAGE(AG685,AE685)</f>
        <v>20440.5</v>
      </c>
      <c r="AH687" s="72">
        <f>IF(ISERROR(AG687/Y687),"NA",IF(OR(AG687/Y687&gt;2,AG687/Y687&lt;0.5),"NM",AG687/Y687*100-100))</f>
        <v>-1.7307276267397356</v>
      </c>
      <c r="AI687" s="145">
        <f>AVERAGE(AI685,AG685)</f>
        <v>20588.5</v>
      </c>
      <c r="AJ687" s="72">
        <f>IF(ISERROR(AI687/AA687),"NA",IF(OR(AI687/AA687&gt;2,AI687/AA687&lt;0.5),"NM",AI687/AA687*100-100))</f>
        <v>-1.0667691790202127</v>
      </c>
      <c r="AK687" s="145">
        <f>AVERAGE(AK685,AI685)</f>
        <v>20228</v>
      </c>
      <c r="AL687" s="72">
        <f>IF(ISERROR(AK687/AC687),"NA",IF(OR(AK687/AC687&gt;2,AK687/AC687&lt;0.5),"NM",AK687/AC687*100-100))</f>
        <v>-5.5362271464263131</v>
      </c>
      <c r="AM687" s="145">
        <f>AVERAGE(AM685,AK685)</f>
        <v>20038</v>
      </c>
      <c r="AN687" s="72">
        <f>IF(ISERROR(AM687/AE687),"NA",IF(OR(AM687/AE687&gt;2,AM687/AE687&lt;0.5),"NM",AM687/AE687*100-100))</f>
        <v>-5.2778368668604685</v>
      </c>
      <c r="AO687" s="145">
        <f>AVERAGE(AO685,AM685)</f>
        <v>20833</v>
      </c>
      <c r="AP687" s="72">
        <f>IF(ISERROR(AO687/AG687),"NA",IF(OR(AO687/AG687&gt;2,AO687/AG687&lt;0.5),"NM",AO687/AG687*100-100))</f>
        <v>1.9202074313250534</v>
      </c>
      <c r="AQ687" s="145">
        <f>AVERAGE(AQ685,AO685)</f>
        <v>21226.5</v>
      </c>
      <c r="AR687" s="72">
        <f>IF(ISERROR(AQ687/AI687),"NA",IF(OR(AQ687/AI687&gt;2,AQ687/AI687&lt;0.5),"NM",AQ687/AI687*100-100))</f>
        <v>3.0988173009204161</v>
      </c>
      <c r="AS687" s="145">
        <f>AVERAGE(AS685,AQ685)</f>
        <v>21809.5</v>
      </c>
      <c r="AT687" s="72">
        <f>IF(ISERROR(AS687/AK687),"NA",IF(OR(AS687/AK687&gt;2,AS687/AK687&lt;0.5),"NM",AS687/AK687*100-100))</f>
        <v>7.8183705754399853</v>
      </c>
      <c r="AU687" s="145">
        <f>AVERAGE(AU685,AS685)</f>
        <v>22434</v>
      </c>
      <c r="AV687" s="72">
        <f>IF(ISERROR(AU687/AM687),"NA",IF(OR(AU687/AM687&gt;2,AU687/AM687&lt;0.5),"NM",AU687/AM687*100-100))</f>
        <v>11.957281165785005</v>
      </c>
      <c r="AW687" s="145">
        <f>AVERAGE(AW685,AU685)</f>
        <v>22073.5</v>
      </c>
      <c r="AX687" s="72">
        <f>IF(ISERROR(AW687/AO687),"NA",IF(OR(AW687/AO687&gt;2,AW687/AO687&lt;0.5),"NM",AW687/AO687*100-100))</f>
        <v>5.9544952719243582</v>
      </c>
      <c r="AY687" s="145">
        <f>AVERAGE(AY685,AW685)</f>
        <v>21441.5</v>
      </c>
      <c r="AZ687" s="72">
        <f>IF(ISERROR(AY687/AQ687),"NA",IF(OR(AY687/AQ687&gt;2,AY687/AQ687&lt;0.5),"NM",AY687/AQ687*100-100))</f>
        <v>1.0128848373495316</v>
      </c>
      <c r="BA687" s="145">
        <f>AVERAGE(BA685,AY685)</f>
        <v>20826.5</v>
      </c>
      <c r="BB687" s="72">
        <f>IF(ISERROR(BA687/AS687),"NA",IF(OR(BA687/AS687&gt;2,BA687/AS687&lt;0.5),"NM",BA687/AS687*100-100))</f>
        <v>-4.5072101607097892</v>
      </c>
      <c r="BC687" s="145">
        <f>AVERAGE(BC685,BA685)</f>
        <v>21238.5</v>
      </c>
      <c r="BD687" s="72">
        <f>IF(ISERROR(BC687/AU687),"NA",IF(OR(BC687/AU687&gt;2,BC687/AU687&lt;0.5),"NM",BC687/AU687*100-100))</f>
        <v>-5.3289649638940944</v>
      </c>
      <c r="BE687" s="145">
        <f>AVERAGE(BE685,BC685)</f>
        <v>21871.5</v>
      </c>
      <c r="BF687" s="72">
        <f>IF(ISERROR(BE687/AW687),"NA",IF(OR(BE687/AW687&gt;2,BE687/AW687&lt;0.5),"NM",BE687/AW687*100-100))</f>
        <v>-0.91512447051894696</v>
      </c>
      <c r="BG687" s="145">
        <f>AVERAGE(BG685,BE685)</f>
        <v>21977.5</v>
      </c>
      <c r="BH687" s="72">
        <f>IF(ISERROR(BG687/AY687),"NA",IF(OR(BG687/AY687&gt;2,BG687/AY687&lt;0.5),"NM",BG687/AY687*100-100))</f>
        <v>2.4998251055196761</v>
      </c>
      <c r="BI687" s="145">
        <f>AVERAGE(BI685,BG685)</f>
        <v>21991.5</v>
      </c>
      <c r="BJ687" s="72">
        <f>IF(ISERROR(BI687/BA687),"NA",IF(OR(BI687/BA687&gt;2,BI687/BA687&lt;0.5),"NM",BI687/BA687*100-100))</f>
        <v>5.5938347778071318</v>
      </c>
      <c r="BK687" s="145">
        <f>AVERAGE(BK685,BI685)</f>
        <v>21884.5</v>
      </c>
      <c r="BL687" s="72">
        <f>IF(ISERROR(BK687/BC687),"NA",IF(OR(BK687/BC687&gt;2,BK687/BC687&lt;0.5),"NM",BK687/BC687*100-100))</f>
        <v>3.0416460672834802</v>
      </c>
      <c r="BM687" s="145">
        <f>AVERAGE(BM685,BK685)</f>
        <v>21881</v>
      </c>
      <c r="BN687" s="72">
        <f>IF(ISERROR(BM687/BE687),"NA",IF(OR(BM687/BE687&gt;2,BM687/BE687&lt;0.5),"NM",BM687/BE687*100-100))</f>
        <v>4.3435521111945263E-2</v>
      </c>
      <c r="BO687" s="145">
        <f>AVERAGE(BO685,BM685)</f>
        <v>21834</v>
      </c>
      <c r="BP687" s="72">
        <f>IF(ISERROR(BO687/BG687),"NA",IF(OR(BO687/BG687&gt;2,BO687/BG687&lt;0.5),"NM",BO687/BG687*100-100))</f>
        <v>-0.65294050733704978</v>
      </c>
      <c r="BQ687" s="145">
        <f>AVERAGE(BQ685,BO685)</f>
        <v>21845</v>
      </c>
      <c r="BR687" s="72">
        <f>IF(ISERROR(BQ687/BI687),"NA",IF(OR(BQ687/BI687&gt;2,BQ687/BI687&lt;0.5),"NM",BQ687/BI687*100-100))</f>
        <v>-0.6661664734101862</v>
      </c>
      <c r="BS687" s="145">
        <f>AVERAGE(BS685,BQ685)</f>
        <v>21523.5</v>
      </c>
      <c r="BT687" s="72">
        <f>IF(ISERROR(BS687/BK687),"NA",IF(OR(BS687/BK687&gt;2,BS687/BK687&lt;0.5),"NM",BS687/BK687*100-100))</f>
        <v>-1.6495693298910226</v>
      </c>
      <c r="BU687" s="145">
        <f>AVERAGE(BU685,BS685)</f>
        <v>17803</v>
      </c>
      <c r="BV687" s="72">
        <f>IF(ISERROR(BU687/BM687),"NA",IF(OR(BU687/BM687&gt;2,BU687/BM687&lt;0.5),"NM",BU687/BM687*100-100))</f>
        <v>-18.637173803756681</v>
      </c>
      <c r="BW687" s="145">
        <f>AVERAGE(BW685,BU685)</f>
        <v>14320.5</v>
      </c>
      <c r="BX687" s="72">
        <f>IF(ISERROR(BW687/BO687),"NA",IF(OR(BW687/BO687&gt;2,BW687/BO687&lt;0.5),"NM",BW687/BO687*100-100))</f>
        <v>-34.411926353393781</v>
      </c>
      <c r="BY687" s="145">
        <f>AVERAGE(BY685,BW685)</f>
        <v>16515</v>
      </c>
      <c r="BZ687" s="72">
        <f>IF(ISERROR(BY687/BQ687),"NA",IF(OR(BY687/BQ687&gt;2,BY687/BQ687&lt;0.5),"NM",BY687/BQ687*100-100))</f>
        <v>-24.399176012817577</v>
      </c>
      <c r="CA687" s="145">
        <f>AVERAGE(CA685,BY685)</f>
        <v>20960</v>
      </c>
      <c r="CB687" s="72">
        <f>IF(ISERROR(CA687/BS687),"NA",IF(OR(CA687/BS687&gt;2,CA687/BS687&lt;0.5),"NM",CA687/BS687*100-100))</f>
        <v>-2.6180686226682468</v>
      </c>
      <c r="CC687" s="145">
        <f>AVERAGE(CC685,CA685)</f>
        <v>23696.5</v>
      </c>
      <c r="CD687" s="72">
        <f>IF(ISERROR(CC687/BU687),"NA",IF(OR(CC687/BU687&gt;2,CC687/BU687&lt;0.5),"NM",CC687/BU687*100-100))</f>
        <v>33.10397124080211</v>
      </c>
      <c r="CE687" s="145">
        <f>AVERAGE(CE685,CC685)</f>
        <v>23707.5</v>
      </c>
      <c r="CF687" s="72">
        <f>IF(ISERROR(CE687/BW687),"NA",IF(OR(CE687/BW687&gt;2,CE687/BW687&lt;0.5),"NM",CE687/BW687*100-100))</f>
        <v>65.549387242065563</v>
      </c>
      <c r="CG687" s="145">
        <f>AVERAGE(CG685,CE685)</f>
        <v>24561.5</v>
      </c>
      <c r="CH687" s="72">
        <f>IF(ISERROR(CG687/BY687),"NA",IF(OR(CG687/BY687&gt;2,CG687/BY687&lt;0.5),"NM",CG687/BY687*100-100))</f>
        <v>48.722373599757788</v>
      </c>
      <c r="CI687" s="145">
        <f>AVERAGE(CI685,CG685)</f>
        <v>27671</v>
      </c>
      <c r="CJ687" s="72">
        <f>IF(ISERROR(CI687/CA687),"NA",IF(OR(CI687/CA687&gt;2,CI687/CA687&lt;0.5),"NM",CI687/CA687*100-100))</f>
        <v>32.018129770992374</v>
      </c>
      <c r="CK687" s="145">
        <f>AVERAGE(CK685,CI685)</f>
        <v>28895</v>
      </c>
      <c r="CL687" s="72">
        <f>IF(ISERROR(CK687/CC687),"NA",IF(OR(CK687/CC687&gt;2,CK687/CC687&lt;0.5),"NM",CK687/CC687*100-100))</f>
        <v>21.937838921359699</v>
      </c>
      <c r="CM687" s="145">
        <f>AVERAGE(CM685,CK685)</f>
        <v>28405.5</v>
      </c>
      <c r="CN687" s="72">
        <f>IF(ISERROR(CM687/CE687),"NA",IF(OR(CM687/CE687&gt;2,CM687/CE687&lt;0.5),"NM",CM687/CE687*100-100))</f>
        <v>19.816513761467888</v>
      </c>
      <c r="CO687" s="145">
        <f>AVERAGE(CO685,CM685)</f>
        <v>29627.5</v>
      </c>
      <c r="CP687" s="72">
        <f>IF(ISERROR(CO687/CG687),"NA",IF(OR(CO687/CG687&gt;2,CO687/CG687&lt;0.5),"NM",CO687/CG687*100-100))</f>
        <v>20.625776113022411</v>
      </c>
      <c r="CQ687" s="145">
        <f>AVERAGE(CQ685,CO685)</f>
        <v>31827.5</v>
      </c>
      <c r="CR687" s="72">
        <f>IF(ISERROR(CQ687/CI687),"NA",IF(OR(CQ687/CI687&gt;2,CQ687/CI687&lt;0.5),"NM",CQ687/CI687*100-100))</f>
        <v>15.021141267030472</v>
      </c>
      <c r="CS687" s="145">
        <f>AVERAGE(CS685,CQ685)</f>
        <v>32859</v>
      </c>
      <c r="CT687" s="72">
        <f>IF(ISERROR(CS687/CK687),"NA",IF(OR(CS687/CK687&gt;2,CS687/CK687&lt;0.5),"NM",CS687/CK687*100-100))</f>
        <v>13.718636442291057</v>
      </c>
      <c r="CU687" s="145">
        <f>AVERAGE(CU685,CS685)</f>
        <v>33172</v>
      </c>
      <c r="CV687" s="72">
        <f>IF(ISERROR(CU687/CM687),"NA",IF(OR(CU687/CM687&gt;2,CU687/CM687&lt;0.5),"NM",CU687/CM687*100-100))</f>
        <v>16.780201017408601</v>
      </c>
      <c r="CW687" s="145">
        <f>AVERAGE(CW685,CU685)</f>
        <v>35060</v>
      </c>
      <c r="CX687" s="72">
        <f>IF(ISERROR(CW687/CO687),"NA",IF(OR(CW687/CO687&gt;2,CW687/CO687&lt;0.5),"NM",CW687/CO687*100-100))</f>
        <v>18.33600540038816</v>
      </c>
      <c r="CY687" s="145">
        <f>AVERAGE(CY685,CW685)</f>
        <v>36891</v>
      </c>
      <c r="CZ687" s="72">
        <f>IF(ISERROR(CY687/CQ687),"NA",IF(OR(CY687/CQ687&gt;2,CY687/CQ687&lt;0.5),"NM",CY687/CQ687*100-100))</f>
        <v>15.90919802057968</v>
      </c>
      <c r="DA687" s="145">
        <f>AVERAGE(DA685,CY685)</f>
        <v>37097.5</v>
      </c>
      <c r="DB687" s="72">
        <f>IF(ISERROR(DA687/CS687),"NA",IF(OR(DA687/CS687&gt;2,DA687/CS687&lt;0.5),"NM",DA687/CS687*100-100))</f>
        <v>12.899053531756905</v>
      </c>
      <c r="DC687" s="145">
        <f>AVERAGE(DC685,DA685)</f>
        <v>37699</v>
      </c>
      <c r="DD687" s="72">
        <f>IF(ISERROR(DC687/CU687),"NA",IF(OR(DC687/CU687&gt;2,DC687/CU687&lt;0.5),"NM",DC687/CU687*100-100))</f>
        <v>13.647051730375011</v>
      </c>
      <c r="DE687" s="145">
        <f>AVERAGE(DE685,DC685)</f>
        <v>36030.5</v>
      </c>
      <c r="DF687" s="72">
        <f>IF(ISERROR(DE687/CW687),"NA",IF(OR(DE687/CW687&gt;2,DE687/CW687&lt;0.5),"NM",DE687/CW687*100-100))</f>
        <v>2.7681118083285838</v>
      </c>
      <c r="DG687" s="145">
        <f>AVERAGE(DG685,DE685)</f>
        <v>33243.5</v>
      </c>
      <c r="DH687" s="72">
        <f>IF(ISERROR(DG687/CY687),"NA",IF(OR(DG687/CY687&gt;2,DG687/CY687&lt;0.5),"NM",DG687/CY687*100-100))</f>
        <v>-9.8872353690601926</v>
      </c>
      <c r="DI687" s="145">
        <f>AVERAGE(DI685,DG685)</f>
        <v>33351.5</v>
      </c>
      <c r="DJ687" s="72">
        <f>IF(ISERROR(DI687/DA687),"NA",IF(OR(DI687/DA687&gt;2,DI687/DA687&lt;0.5),"NM",DI687/DA687*100-100))</f>
        <v>-10.097715479479746</v>
      </c>
      <c r="DK687" s="145">
        <f>AVERAGE(DK685,DI685)</f>
        <v>35327.5</v>
      </c>
      <c r="DL687" s="72">
        <f>IF(ISERROR(DK687/DC687),"NA",IF(OR(DK687/DC687&gt;2,DK687/DC687&lt;0.5),"NM",DK687/DC687*100-100))</f>
        <v>-6.2906177882702536</v>
      </c>
      <c r="DM687" s="145">
        <f>AVERAGE(DM685,DK685)</f>
        <v>38216.5</v>
      </c>
      <c r="DN687" s="72">
        <f>IF(ISERROR(DM687/DE687),"NA",IF(OR(DM687/DE687&gt;2,DM687/DE687&lt;0.5),"NM",DM687/DE687*100-100))</f>
        <v>6.0670820554807676</v>
      </c>
      <c r="DO687" s="145">
        <f>AVERAGE(DO685,DM685)</f>
        <v>39933</v>
      </c>
      <c r="DP687" s="72">
        <f>IF(ISERROR(DO687/DG687),"NA",IF(OR(DO687/DG687&gt;2,DO687/DG687&lt;0.5),"NM",DO687/DG687*100-100))</f>
        <v>20.122730759396575</v>
      </c>
      <c r="DQ687" s="145">
        <f>AVERAGE(DQ685,DO685)</f>
        <v>40592</v>
      </c>
      <c r="DR687" s="72">
        <f>IF(ISERROR(DQ687/DI687),"NA",IF(OR(DQ687/DI687&gt;2,DQ687/DI687&lt;0.5),"NM",DQ687/DI687*100-100))</f>
        <v>21.709668230814216</v>
      </c>
      <c r="DS687" s="145">
        <f>AVERAGE(DS685,DQ685)</f>
        <v>43012.5</v>
      </c>
      <c r="DT687" s="72">
        <f>IF(ISERROR(DS687/DK687),"NA",IF(OR(DS687/DK687&gt;2,DS687/DK687&lt;0.5),"NM",DS687/DK687*100-100))</f>
        <v>21.753591394805753</v>
      </c>
      <c r="DU687" s="145">
        <f>AVERAGE(DU685,DS685)</f>
        <v>43383.5</v>
      </c>
      <c r="DV687" s="72">
        <f>IF(ISERROR(DU687/DM687),"NA",IF(OR(DU687/DM687&gt;2,DU687/DM687&lt;0.5),"NM",DU687/DM687*100-100))</f>
        <v>13.520338073868615</v>
      </c>
      <c r="DW687" s="144">
        <f>AVERAGE(DW685,DU685)</f>
        <v>35518.5</v>
      </c>
      <c r="DX687" s="72">
        <f>IF(ISERROR(DW687/DO687),"NA",IF(OR(DW687/DO687&gt;2,DW687/DO687&lt;0.5),"NM",DW687/DO687*100-100))</f>
        <v>-11.054766734279923</v>
      </c>
      <c r="DY687" s="144">
        <f>AVERAGE(DY685,DW685)</f>
        <v>28870.5</v>
      </c>
      <c r="DZ687" s="72">
        <f>IF(ISERROR(DY687/DQ687),"NA",IF(OR(DY687/DQ687&gt;2,DY687/DQ687&lt;0.5),"NM",DY687/DQ687*100-100))</f>
        <v>-28.876379582183688</v>
      </c>
      <c r="EA687" s="144">
        <f>AVERAGE(EA685,DY685)</f>
        <v>32692</v>
      </c>
      <c r="EB687" s="72">
        <f>IF(ISERROR(EA687/DS687),"NA",IF(OR(EA687/DS687&gt;2,EA687/DS687&lt;0.5),"NM",EA687/DS687*100-100))</f>
        <v>-23.994187736123223</v>
      </c>
      <c r="EC687" s="144">
        <f>AVERAGE(EC685,EA685)</f>
        <v>36520</v>
      </c>
      <c r="ED687" s="72">
        <f>IF(ISERROR(EC687/DU687),"NA",IF(OR(EC687/DU687&gt;2,EC687/DU687&lt;0.5),"NM",EC687/DU687*100-100))</f>
        <v>-15.820530846981001</v>
      </c>
      <c r="EE687" s="144">
        <f>AVERAGE(EE685,EC685)</f>
        <v>33923.5</v>
      </c>
      <c r="EF687" s="72">
        <f>IF(ISERROR(EE687/DW687),"NA",IF(OR(EE687/DW687&gt;2,EE687/DW687&lt;0.5),"NM",EE687/DW687*100-100))</f>
        <v>-4.4906175654940341</v>
      </c>
      <c r="EG687" s="144">
        <f>AVERAGE(EG685,EE685)</f>
        <v>26351</v>
      </c>
      <c r="EH687" s="72">
        <f>IF(ISERROR(EG687/DY687),"NA",IF(OR(EG687/DY687&gt;2,EG687/DY687&lt;0.5),"NM",EG687/DY687*100-100))</f>
        <v>-8.7269011620858663</v>
      </c>
      <c r="EI687" s="144">
        <f>AVERAGE(EI685,EG685)</f>
        <v>26550.5</v>
      </c>
      <c r="EJ687" s="72">
        <f>IF(ISERROR(EI687/EA687),"NA",IF(OR(EI687/EA687&gt;2,EI687/EA687&lt;0.5),"NM",EI687/EA687*100-100))</f>
        <v>-18.785941514743669</v>
      </c>
      <c r="EK687" s="144">
        <f>AVERAGE(EK685,EI685)</f>
        <v>32982</v>
      </c>
      <c r="EL687" s="72">
        <f>IF(ISERROR(EK687/EC687),"NA",IF(OR(EK687/EC687&gt;2,EK687/EC687&lt;0.5),"NM",EK687/EC687*100-100))</f>
        <v>-9.6878422782037319</v>
      </c>
      <c r="EM687" s="144">
        <f>AVERAGE(EM685,EK685)</f>
        <v>33906</v>
      </c>
      <c r="EN687" s="72">
        <f>IF(ISERROR(EM687/EE687),"NA",IF(OR(EM687/EE687&gt;2,EM687/EE687&lt;0.5),"NM",EM687/EE687*100-100))</f>
        <v>-5.1586658216280057E-2</v>
      </c>
      <c r="EO687" s="144">
        <f>AVERAGE(EO685,EM685)</f>
        <v>35741</v>
      </c>
      <c r="EP687" s="72">
        <f>IF(ISERROR(EO687/EG687),"NA",IF(OR(EO687/EG687&gt;2,EO687/EG687&lt;0.5),"NM",EO687/EG687*100-100))</f>
        <v>35.634321278129875</v>
      </c>
      <c r="EQ687" s="144">
        <f t="shared" si="3288"/>
        <v>37442.514838264135</v>
      </c>
      <c r="ER687" s="72">
        <f t="shared" si="3277"/>
        <v>41.023765421608402</v>
      </c>
      <c r="ES687" s="144">
        <f t="shared" si="3289"/>
        <v>38020.825607628627</v>
      </c>
      <c r="ET687" s="72">
        <f t="shared" si="3279"/>
        <v>15.277501690705918</v>
      </c>
      <c r="EU687" s="144">
        <f t="shared" si="3290"/>
        <v>38725.314098885341</v>
      </c>
      <c r="EV687" s="72">
        <f t="shared" si="3281"/>
        <v>14.213750070445769</v>
      </c>
      <c r="EW687" s="144">
        <f t="shared" si="3291"/>
        <v>38853.977711006315</v>
      </c>
      <c r="EX687" s="72">
        <f t="shared" si="3283"/>
        <v>8.7098226434803649</v>
      </c>
      <c r="EY687" s="72"/>
      <c r="EZ687" s="296"/>
      <c r="FA687" s="72"/>
      <c r="FB687" s="9"/>
      <c r="FC687" s="11"/>
      <c r="FD687" s="150"/>
      <c r="FE687" s="72"/>
      <c r="FF687" s="145">
        <f>AVERAGE(C687,E687,G687,I687)</f>
        <v>19556.165829145728</v>
      </c>
      <c r="FG687" s="72" t="str">
        <f>IF(ISERROR(FF687/FD687),"NA",IF(OR(FF687/FD687&gt;2,FF687/FD687&lt;0.5),"NM",FF687/FD687*100-100))</f>
        <v>NA</v>
      </c>
      <c r="FH687" s="144">
        <f>AVERAGE(FH685,FF685)</f>
        <v>19601.082914572864</v>
      </c>
      <c r="FI687" s="72">
        <f>IF(ISERROR(FH687/FF687),"NA",IF(OR(FH687/FF687&gt;2,FH687/FF687&lt;0.5),"NM",FH687/FF687*100-100))</f>
        <v>0.22968247364825345</v>
      </c>
      <c r="FJ687" s="145">
        <f>AVERAGE(FJ685,FH685)</f>
        <v>20104</v>
      </c>
      <c r="FK687" s="72">
        <f>IF(ISERROR(FJ687/FH687),"NA",IF(OR(FJ687/FH687&gt;2,FJ687/FH687&lt;0.5),"NM",FJ687/FH687*100-100))</f>
        <v>2.5657617368335792</v>
      </c>
      <c r="FL687" s="145">
        <f>AVERAGE(FL685,FJ685)</f>
        <v>20451</v>
      </c>
      <c r="FM687" s="72">
        <f>IF(ISERROR(FL687/FJ687),"NA",IF(OR(FL687/FJ687&gt;2,FL687/FJ687&lt;0.5),"NM",FL687/FJ687*100-100))</f>
        <v>1.7260246717071226</v>
      </c>
      <c r="FN687" s="145">
        <f>AVERAGE(FN685,FL685)</f>
        <v>20774.5</v>
      </c>
      <c r="FO687" s="72">
        <f>IF(ISERROR(FN687/FL687),"NA",IF(OR(FN687/FL687&gt;2,FN687/FL687&lt;0.5),"NM",FN687/FL687*100-100))</f>
        <v>1.5818297393770422</v>
      </c>
      <c r="FP687" s="145">
        <f>AVERAGE(FP685,FN685)</f>
        <v>21431.5</v>
      </c>
      <c r="FQ687" s="72">
        <f>IF(ISERROR(FP687/FN687),"NA",IF(OR(FP687/FN687&gt;2,FP687/FN687&lt;0.5),"NM",FP687/FN687*100-100))</f>
        <v>3.1625309875087169</v>
      </c>
      <c r="FR687" s="144">
        <f>AVERAGE(FR685,FP685)</f>
        <v>21672</v>
      </c>
      <c r="FS687" s="72">
        <f>IF(ISERROR(FR687/FP687),"NA",IF(OR(FR687/FP687&gt;2,FR687/FP687&lt;0.5),"NM",FR687/FP687*100-100))</f>
        <v>1.1221799687375977</v>
      </c>
      <c r="FT687" s="144">
        <f>AVERAGE(FT685,FR685)</f>
        <v>21700.5</v>
      </c>
      <c r="FU687" s="72">
        <f>IF(ISERROR(FT687/FR687),"NA",IF(OR(FT687/FR687&gt;2,FT687/FR687&lt;0.5),"NM",FT687/FR687*100-100))</f>
        <v>0.13150609080841491</v>
      </c>
      <c r="FV687" s="144">
        <f>AVERAGE(FV685,FT685)</f>
        <v>18001.5</v>
      </c>
      <c r="FW687" s="72">
        <f>IF(ISERROR(FV687/FT687),"NA",IF(OR(FV687/FT687&gt;2,FV687/FT687&lt;0.5),"NM",FV687/FT687*100-100))</f>
        <v>-17.045690191470243</v>
      </c>
      <c r="FX687" s="144">
        <f>AVERAGE(FX685,FV685)</f>
        <v>19223</v>
      </c>
      <c r="FY687" s="72">
        <f>IF(ISERROR(FX687/FV687),"NA",IF(OR(FX687/FV687&gt;2,FX687/FV687&lt;0.5),"NM",FX687/FV687*100-100))</f>
        <v>6.7855456489736952</v>
      </c>
      <c r="FZ687" s="144">
        <f>AVERAGE(FZ685,FX685)</f>
        <v>26232</v>
      </c>
      <c r="GA687" s="72">
        <f>IF(ISERROR(FZ687/FX687),"NA",IF(OR(FZ687/FX687&gt;2,FZ687/FX687&lt;0.5),"NM",FZ687/FX687*100-100))</f>
        <v>36.461530458305162</v>
      </c>
      <c r="GB687" s="144">
        <f>AVERAGE(GB685,FZ685)</f>
        <v>30563.5</v>
      </c>
      <c r="GC687" s="72">
        <f>IF(ISERROR(GB687/FZ687),"NA",IF(OR(GB687/FZ687&gt;2,GB687/FZ687&lt;0.5),"NM",GB687/FZ687*100-100))</f>
        <v>16.512275083867038</v>
      </c>
      <c r="GD687" s="144">
        <f>AVERAGE(GD685,GB685)</f>
        <v>34911.5</v>
      </c>
      <c r="GE687" s="72">
        <f>IF(ISERROR(GD687/GB687),"NA",IF(OR(GD687/GB687&gt;2,GD687/GB687&lt;0.5),"NM",GD687/GB687*100-100))</f>
        <v>14.226119390776574</v>
      </c>
      <c r="GF687" s="144">
        <f>AVERAGE(GF685,GD685)</f>
        <v>35445.5</v>
      </c>
      <c r="GG687" s="72">
        <f>IF(ISERROR(GF687/GD687),"NA",IF(OR(GF687/GD687&gt;2,GF687/GD687&lt;0.5),"NM",GF687/GD687*100-100))</f>
        <v>1.5295819429127988</v>
      </c>
      <c r="GH687" s="144">
        <f>AVERAGE(GH685,GF685)</f>
        <v>37433</v>
      </c>
      <c r="GI687" s="72">
        <f>IF(ISERROR(GH687/GF687),"NA",IF(OR(GH687/GF687&gt;2,GH687/GF687&lt;0.5),"NM",GH687/GF687*100-100))</f>
        <v>5.6071997855863316</v>
      </c>
      <c r="GJ687" s="144">
        <f t="shared" si="3292"/>
        <v>34704</v>
      </c>
      <c r="GK687" s="72">
        <f>IF(ISERROR(GJ687/GH687),"NA",IF(OR(GJ687/GH687&gt;2,GJ687/GH687&lt;0.5),"NM",GJ687/GH687*100-100))</f>
        <v>-7.2903587743435025</v>
      </c>
      <c r="GL687" s="144">
        <f t="shared" si="3292"/>
        <v>24682.5</v>
      </c>
      <c r="GM687" s="72">
        <f t="shared" si="3293"/>
        <v>-28.877074688796682</v>
      </c>
      <c r="GN687" s="144">
        <f t="shared" si="3292"/>
        <v>29204.5</v>
      </c>
      <c r="GO687" s="72">
        <f t="shared" si="3293"/>
        <v>18.320672541274192</v>
      </c>
      <c r="GP687" s="144">
        <f t="shared" si="3292"/>
        <v>38177.974381485466</v>
      </c>
      <c r="GQ687" s="72">
        <f t="shared" si="3293"/>
        <v>30.726341425073059</v>
      </c>
      <c r="GR687" s="144">
        <f>AVERAGE(GR685,GP685)</f>
        <v>47627.517934456206</v>
      </c>
      <c r="GS687" s="72">
        <f t="shared" si="3293"/>
        <v>24.751296280279675</v>
      </c>
      <c r="GT687" s="144">
        <f>AVERAGE(GT685,GR685)</f>
        <v>56982.662838419121</v>
      </c>
      <c r="GU687" s="72">
        <f t="shared" si="3293"/>
        <v>19.642310390470556</v>
      </c>
      <c r="GV687" s="144">
        <f>AVERAGE(GV685,GT685)</f>
        <v>58163.457456656593</v>
      </c>
      <c r="GW687" s="72">
        <f>IF(ISERROR(GV687/GT687),"NA",IF(OR(GV687/GT687&gt;2,GV687/GT687&lt;0.5),"NM",GV687/GT687*100-100))</f>
        <v>2.0721997874787945</v>
      </c>
      <c r="GX687" s="144">
        <f>AVERAGE(GX685,GV685)</f>
        <v>59246.830441245009</v>
      </c>
      <c r="GY687" s="72">
        <f>IF(ISERROR(GX687/GV687),"NA",IF(OR(GX687/GV687&gt;2,GX687/GV687&lt;0.5),"NM",GX687/GV687*100-100))</f>
        <v>1.8626351182712</v>
      </c>
      <c r="GZ687" s="72">
        <f>IF(ISERROR(((GX687/GN687)^0.2-1)*100),"NA",IF((((GX687/GN687)^0.2-1)*100)&gt;100,"NM",IF((((GX687/GN687)^0.2-1)*100)&lt;-50,"NM",((GX687/GN687)^0.2-1)*100)))</f>
        <v>15.197504001628159</v>
      </c>
      <c r="HA687" s="72"/>
      <c r="HB687" s="72"/>
      <c r="HC687"/>
      <c r="HD687"/>
      <c r="HE687"/>
      <c r="HF687"/>
      <c r="HG687"/>
      <c r="HH687"/>
      <c r="HI687" s="2"/>
    </row>
    <row r="688" spans="1:217" s="3" customFormat="1" ht="12.75" hidden="1" customHeight="1" outlineLevel="1" x14ac:dyDescent="0.2">
      <c r="B688" s="4"/>
      <c r="C688" s="145"/>
      <c r="D688" s="145"/>
      <c r="E688" s="145"/>
      <c r="F688" s="11"/>
      <c r="G688" s="145"/>
      <c r="H688" s="11"/>
      <c r="I688" s="145"/>
      <c r="J688" s="11"/>
      <c r="K688" s="145"/>
      <c r="L688" s="72"/>
      <c r="M688" s="145"/>
      <c r="N688" s="72"/>
      <c r="O688" s="145"/>
      <c r="P688" s="72"/>
      <c r="Q688" s="145"/>
      <c r="R688" s="72"/>
      <c r="S688" s="145"/>
      <c r="T688" s="72"/>
      <c r="U688" s="145"/>
      <c r="V688" s="72"/>
      <c r="W688" s="145"/>
      <c r="X688" s="72"/>
      <c r="Y688" s="145"/>
      <c r="Z688" s="72"/>
      <c r="AA688" s="145"/>
      <c r="AB688" s="72"/>
      <c r="AC688" s="145"/>
      <c r="AD688" s="72"/>
      <c r="AE688" s="145"/>
      <c r="AF688" s="72"/>
      <c r="AG688" s="145"/>
      <c r="AH688" s="72"/>
      <c r="AI688" s="145"/>
      <c r="AJ688" s="72"/>
      <c r="AK688" s="145"/>
      <c r="AL688" s="72"/>
      <c r="AM688" s="145"/>
      <c r="AN688" s="72"/>
      <c r="AO688" s="145"/>
      <c r="AP688" s="72"/>
      <c r="AQ688" s="145"/>
      <c r="AR688" s="72"/>
      <c r="AS688" s="145"/>
      <c r="AT688" s="72"/>
      <c r="AU688" s="145"/>
      <c r="AV688" s="72"/>
      <c r="AW688" s="145"/>
      <c r="AX688" s="72"/>
      <c r="AY688" s="145"/>
      <c r="AZ688" s="72"/>
      <c r="BA688" s="145"/>
      <c r="BB688" s="72"/>
      <c r="BC688" s="145"/>
      <c r="BD688" s="72"/>
      <c r="BE688" s="145"/>
      <c r="BF688" s="72"/>
      <c r="BG688" s="145"/>
      <c r="BH688" s="72"/>
      <c r="BI688" s="145"/>
      <c r="BJ688" s="72"/>
      <c r="BK688" s="145"/>
      <c r="BL688" s="72"/>
      <c r="BM688" s="145"/>
      <c r="BN688" s="72"/>
      <c r="BO688" s="145"/>
      <c r="BP688" s="72"/>
      <c r="BQ688" s="145"/>
      <c r="BR688" s="72"/>
      <c r="BS688" s="145"/>
      <c r="BT688" s="72"/>
      <c r="BU688" s="145"/>
      <c r="BV688" s="72"/>
      <c r="BW688" s="145"/>
      <c r="BX688" s="72"/>
      <c r="BY688" s="145"/>
      <c r="BZ688" s="72"/>
      <c r="CA688" s="145"/>
      <c r="CB688" s="72"/>
      <c r="CC688" s="145"/>
      <c r="CD688" s="72"/>
      <c r="CE688" s="145"/>
      <c r="CF688" s="72"/>
      <c r="CG688" s="145"/>
      <c r="CH688" s="72"/>
      <c r="CI688" s="145"/>
      <c r="CJ688" s="72"/>
      <c r="CK688" s="145"/>
      <c r="CL688" s="72"/>
      <c r="CM688" s="145"/>
      <c r="CN688" s="72"/>
      <c r="CO688" s="145"/>
      <c r="CP688" s="72"/>
      <c r="CQ688" s="145"/>
      <c r="CR688" s="72"/>
      <c r="CS688" s="145"/>
      <c r="CT688" s="72"/>
      <c r="CU688" s="145"/>
      <c r="CV688" s="72"/>
      <c r="CW688" s="145"/>
      <c r="CX688" s="72"/>
      <c r="CY688" s="145"/>
      <c r="CZ688" s="72"/>
      <c r="DA688" s="145"/>
      <c r="DB688" s="72"/>
      <c r="DC688" s="145"/>
      <c r="DD688" s="72"/>
      <c r="DE688" s="145"/>
      <c r="DF688" s="72"/>
      <c r="DG688" s="145"/>
      <c r="DH688" s="72"/>
      <c r="DI688" s="145"/>
      <c r="DJ688" s="72"/>
      <c r="DK688" s="145"/>
      <c r="DL688" s="72"/>
      <c r="DM688" s="145"/>
      <c r="DN688" s="72"/>
      <c r="DO688" s="145"/>
      <c r="DP688" s="72"/>
      <c r="DQ688" s="145"/>
      <c r="DR688" s="72"/>
      <c r="DS688" s="145"/>
      <c r="DT688" s="72"/>
      <c r="DU688" s="145"/>
      <c r="DV688" s="72"/>
      <c r="DW688" s="144"/>
      <c r="DX688" s="72"/>
      <c r="DY688" s="144"/>
      <c r="DZ688" s="72"/>
      <c r="EA688" s="144"/>
      <c r="EB688" s="72"/>
      <c r="EC688" s="144"/>
      <c r="ED688" s="72"/>
      <c r="EE688" s="144"/>
      <c r="EF688" s="72"/>
      <c r="EG688" s="144"/>
      <c r="EH688" s="72"/>
      <c r="EI688" s="144"/>
      <c r="EJ688" s="72"/>
      <c r="EK688" s="144"/>
      <c r="EL688" s="72"/>
      <c r="EM688" s="144"/>
      <c r="EN688" s="72"/>
      <c r="EO688" s="144"/>
      <c r="EP688" s="72"/>
      <c r="EQ688" s="144"/>
      <c r="ER688" s="72"/>
      <c r="ES688" s="144"/>
      <c r="ET688" s="72"/>
      <c r="EU688" s="144"/>
      <c r="EV688" s="72"/>
      <c r="EW688" s="144"/>
      <c r="EX688" s="72"/>
      <c r="EY688" s="72"/>
      <c r="EZ688" s="296"/>
      <c r="FA688" s="72"/>
      <c r="FB688" s="9"/>
      <c r="FC688" s="11"/>
      <c r="FD688" s="150"/>
      <c r="FE688" s="72"/>
      <c r="FF688" s="145"/>
      <c r="FG688" s="72"/>
      <c r="FH688" s="145"/>
      <c r="FI688" s="72"/>
      <c r="FJ688" s="145"/>
      <c r="FK688" s="72"/>
      <c r="FL688" s="145"/>
      <c r="FM688" s="72"/>
      <c r="FN688" s="145"/>
      <c r="FO688" s="72"/>
      <c r="FP688" s="145"/>
      <c r="FQ688" s="72"/>
      <c r="FR688" s="144"/>
      <c r="FS688" s="72"/>
      <c r="FT688" s="144"/>
      <c r="FU688" s="72"/>
      <c r="FV688" s="144"/>
      <c r="FW688" s="72"/>
      <c r="FX688" s="144"/>
      <c r="FY688" s="72"/>
      <c r="FZ688" s="144"/>
      <c r="GA688" s="72"/>
      <c r="GB688" s="144"/>
      <c r="GC688" s="72"/>
      <c r="GD688" s="144"/>
      <c r="GE688" s="72"/>
      <c r="GF688" s="144"/>
      <c r="GG688" s="72"/>
      <c r="GH688" s="144"/>
      <c r="GI688" s="72"/>
      <c r="GJ688" s="144"/>
      <c r="GK688" s="72"/>
      <c r="GL688" s="144"/>
      <c r="GM688" s="72"/>
      <c r="GN688" s="144"/>
      <c r="GO688" s="72"/>
      <c r="GP688" s="144"/>
      <c r="GQ688" s="72"/>
      <c r="GR688" s="144"/>
      <c r="GS688" s="72"/>
      <c r="GT688" s="144"/>
      <c r="GU688" s="72"/>
      <c r="GV688" s="144"/>
      <c r="GW688" s="72"/>
      <c r="GX688" s="144"/>
      <c r="GY688" s="72"/>
      <c r="GZ688" s="72"/>
      <c r="HA688" s="72"/>
      <c r="HB688" s="72"/>
      <c r="HC688"/>
      <c r="HD688"/>
      <c r="HE688"/>
      <c r="HF688"/>
      <c r="HG688"/>
      <c r="HH688"/>
      <c r="HI688" s="2"/>
    </row>
    <row r="689" spans="1:217" s="3" customFormat="1" ht="12.75" customHeight="1" collapsed="1" x14ac:dyDescent="0.2">
      <c r="B689" s="96" t="s">
        <v>370</v>
      </c>
      <c r="C689" s="145"/>
      <c r="D689" s="145"/>
      <c r="E689" s="145"/>
      <c r="F689" s="11"/>
      <c r="G689" s="145"/>
      <c r="H689" s="11"/>
      <c r="I689" s="145"/>
      <c r="J689" s="11"/>
      <c r="K689" s="145"/>
      <c r="L689" s="72"/>
      <c r="M689" s="145"/>
      <c r="N689" s="72"/>
      <c r="O689" s="145"/>
      <c r="P689" s="72"/>
      <c r="Q689" s="145"/>
      <c r="R689" s="72"/>
      <c r="S689" s="145"/>
      <c r="T689" s="72"/>
      <c r="U689" s="145"/>
      <c r="V689" s="72"/>
      <c r="W689" s="145"/>
      <c r="X689" s="72"/>
      <c r="Y689" s="145"/>
      <c r="Z689" s="72"/>
      <c r="AA689" s="145"/>
      <c r="AB689" s="72"/>
      <c r="AC689" s="145"/>
      <c r="AD689" s="72"/>
      <c r="AE689" s="145"/>
      <c r="AF689" s="72"/>
      <c r="AG689" s="145"/>
      <c r="AH689" s="72"/>
      <c r="AI689" s="145"/>
      <c r="AJ689" s="72"/>
      <c r="AK689" s="145"/>
      <c r="AL689" s="72"/>
      <c r="AM689" s="145"/>
      <c r="AN689" s="72"/>
      <c r="AO689" s="145"/>
      <c r="AP689" s="72"/>
      <c r="AQ689" s="145"/>
      <c r="AR689" s="72"/>
      <c r="AS689" s="145"/>
      <c r="AT689" s="72"/>
      <c r="AU689" s="145"/>
      <c r="AV689" s="72"/>
      <c r="AW689" s="145"/>
      <c r="AX689" s="72"/>
      <c r="AY689" s="145"/>
      <c r="AZ689" s="72"/>
      <c r="BA689" s="145"/>
      <c r="BB689" s="72"/>
      <c r="BC689" s="145"/>
      <c r="BD689" s="72"/>
      <c r="BE689" s="145"/>
      <c r="BF689" s="72"/>
      <c r="BG689" s="145"/>
      <c r="BH689" s="72"/>
      <c r="BI689" s="145"/>
      <c r="BJ689" s="72"/>
      <c r="BK689" s="145"/>
      <c r="BL689" s="72"/>
      <c r="BM689" s="145"/>
      <c r="BN689" s="72"/>
      <c r="BO689" s="145"/>
      <c r="BP689" s="72"/>
      <c r="BQ689" s="145"/>
      <c r="BR689" s="72"/>
      <c r="BS689" s="145"/>
      <c r="BT689" s="72"/>
      <c r="BU689" s="145"/>
      <c r="BV689" s="72"/>
      <c r="BW689" s="145"/>
      <c r="BX689" s="72"/>
      <c r="BY689" s="145"/>
      <c r="BZ689" s="72"/>
      <c r="CA689" s="145"/>
      <c r="CB689" s="72"/>
      <c r="CC689" s="145"/>
      <c r="CD689" s="72"/>
      <c r="CE689" s="145"/>
      <c r="CF689" s="72"/>
      <c r="CG689" s="145"/>
      <c r="CH689" s="72"/>
      <c r="CI689" s="145"/>
      <c r="CJ689" s="72"/>
      <c r="CK689" s="145"/>
      <c r="CL689" s="72"/>
      <c r="CM689" s="145"/>
      <c r="CN689" s="72"/>
      <c r="CO689" s="145"/>
      <c r="CP689" s="72"/>
      <c r="CQ689" s="145"/>
      <c r="CR689" s="72"/>
      <c r="CS689" s="145"/>
      <c r="CT689" s="72"/>
      <c r="CU689" s="145"/>
      <c r="CV689" s="72"/>
      <c r="CW689" s="145"/>
      <c r="CX689" s="72"/>
      <c r="CY689" s="145"/>
      <c r="CZ689" s="72"/>
      <c r="DA689" s="145"/>
      <c r="DB689" s="72"/>
      <c r="DC689" s="145"/>
      <c r="DD689" s="72"/>
      <c r="DE689" s="145"/>
      <c r="DF689" s="72"/>
      <c r="DG689" s="145"/>
      <c r="DH689" s="72"/>
      <c r="DI689" s="145"/>
      <c r="DJ689" s="72"/>
      <c r="DK689" s="145"/>
      <c r="DL689" s="72"/>
      <c r="DM689" s="145"/>
      <c r="DN689" s="72"/>
      <c r="DO689" s="145"/>
      <c r="DP689" s="72"/>
      <c r="DQ689" s="145"/>
      <c r="DR689" s="72"/>
      <c r="DS689" s="145"/>
      <c r="DT689" s="72"/>
      <c r="DU689" s="145"/>
      <c r="DV689" s="72"/>
      <c r="DW689" s="144"/>
      <c r="DX689" s="72"/>
      <c r="DY689" s="144"/>
      <c r="DZ689" s="72"/>
      <c r="EA689" s="144"/>
      <c r="EB689" s="72"/>
      <c r="EC689" s="144"/>
      <c r="ED689" s="72"/>
      <c r="EE689" s="144"/>
      <c r="EF689" s="72"/>
      <c r="EG689" s="144"/>
      <c r="EH689" s="72"/>
      <c r="EI689" s="144"/>
      <c r="EJ689" s="72"/>
      <c r="EK689" s="144"/>
      <c r="EL689" s="72"/>
      <c r="EM689" s="144"/>
      <c r="EN689" s="72"/>
      <c r="EO689" s="144"/>
      <c r="EP689" s="72"/>
      <c r="EQ689" s="144"/>
      <c r="ER689" s="72"/>
      <c r="ES689" s="144"/>
      <c r="ET689" s="72"/>
      <c r="EU689" s="144"/>
      <c r="EV689" s="72"/>
      <c r="EW689" s="144"/>
      <c r="EX689" s="72"/>
      <c r="EY689" s="72"/>
      <c r="EZ689" s="296"/>
      <c r="FA689" s="72"/>
      <c r="FB689" s="9"/>
      <c r="FC689" s="11"/>
      <c r="FD689" s="150"/>
      <c r="FE689" s="72"/>
      <c r="FF689" s="145"/>
      <c r="FG689" s="72"/>
      <c r="FH689" s="145"/>
      <c r="FI689" s="72"/>
      <c r="FJ689" s="145"/>
      <c r="FK689" s="72"/>
      <c r="FL689" s="145"/>
      <c r="FM689" s="72"/>
      <c r="FN689" s="145"/>
      <c r="FO689" s="72"/>
      <c r="FP689" s="145"/>
      <c r="FQ689" s="72"/>
      <c r="FR689" s="144"/>
      <c r="FS689" s="72"/>
      <c r="FT689" s="144"/>
      <c r="FU689" s="72"/>
      <c r="FV689" s="144"/>
      <c r="FW689" s="72"/>
      <c r="FX689" s="144"/>
      <c r="FY689" s="72"/>
      <c r="FZ689" s="144"/>
      <c r="GA689" s="72"/>
      <c r="GB689" s="144"/>
      <c r="GC689" s="72"/>
      <c r="GD689" s="144"/>
      <c r="GE689" s="72"/>
      <c r="GF689" s="144"/>
      <c r="GG689" s="72"/>
      <c r="GH689" s="171"/>
      <c r="GI689" s="72"/>
      <c r="GJ689" s="171"/>
      <c r="GK689" s="72"/>
      <c r="GL689" s="171"/>
      <c r="GM689" s="72"/>
      <c r="GN689" s="171"/>
      <c r="GO689" s="72"/>
      <c r="GP689" s="171"/>
      <c r="GQ689" s="72"/>
      <c r="GR689" s="144"/>
      <c r="GS689" s="72"/>
      <c r="GT689" s="144"/>
      <c r="GU689" s="72"/>
      <c r="GV689" s="144"/>
      <c r="GW689" s="72"/>
      <c r="GX689" s="144"/>
      <c r="GY689" s="72"/>
      <c r="GZ689" s="72"/>
      <c r="HA689" s="72"/>
      <c r="HB689" s="72"/>
      <c r="HC689"/>
      <c r="HD689"/>
      <c r="HE689"/>
      <c r="HF689"/>
      <c r="HG689"/>
      <c r="HH689"/>
      <c r="HI689" s="2"/>
    </row>
    <row r="690" spans="1:217" s="3" customFormat="1" ht="12.75" customHeight="1" x14ac:dyDescent="0.2">
      <c r="A690" s="3" t="s">
        <v>229</v>
      </c>
      <c r="B690" s="4" t="s">
        <v>132</v>
      </c>
      <c r="C690" s="169"/>
      <c r="D690" s="188"/>
      <c r="E690" s="169"/>
      <c r="F690" s="11"/>
      <c r="G690" s="169"/>
      <c r="H690" s="11"/>
      <c r="I690" s="169">
        <f>I539/I679*400</f>
        <v>3.1712473572938689</v>
      </c>
      <c r="J690" s="11"/>
      <c r="K690" s="169">
        <f>K539/K679*400</f>
        <v>13.759575721862111</v>
      </c>
      <c r="L690" s="72" t="str">
        <f>IF(ISERROR(K690/C690),"NA",IF(OR(K690/C690&gt;2,K690/C690&lt;0.5),"NM",K690/C690*100-100))</f>
        <v>NA</v>
      </c>
      <c r="M690" s="169">
        <f>M539/M679*400</f>
        <v>12.343906990096167</v>
      </c>
      <c r="N690" s="72" t="str">
        <f>IF(ISERROR(M690/E690),"NA",IF(OR(M690/E690&gt;2,M690/E690&lt;0.5),"NM",M690/E690*100-100))</f>
        <v>NA</v>
      </c>
      <c r="O690" s="169">
        <f>O539/O679*400</f>
        <v>9.1209469518172916</v>
      </c>
      <c r="P690" s="72" t="str">
        <f>IF(ISERROR(O690/G690),"NA",IF(OR(O690/G690&gt;2,O690/G690&lt;0.5),"NM",O690/G690*100-100))</f>
        <v>NA</v>
      </c>
      <c r="Q690" s="169">
        <f>Q539/Q679*400</f>
        <v>6.3188831741366638</v>
      </c>
      <c r="R690" s="72">
        <f>IF(ISERROR(Q690/I690),"NA",IF(OR(Q690/I690&gt;2,Q690/I690&lt;0.5),"NM",Q690/I690*100-100))</f>
        <v>99.255449424442787</v>
      </c>
      <c r="S690" s="169">
        <f>S539/S679*400</f>
        <v>10.299176482852079</v>
      </c>
      <c r="T690" s="72">
        <f>IF(ISERROR(S690/K690),"NA",IF(OR(S690/K690&gt;2,S690/K690&lt;0.5),"NM",S690/K690*100-100))</f>
        <v>-25.149025732762411</v>
      </c>
      <c r="U690" s="169">
        <f>U539/U679*400</f>
        <v>9.7176897176897175</v>
      </c>
      <c r="V690" s="72">
        <f>IF(ISERROR(U690/M690),"NA",IF(OR(U690/M690&gt;2,U690/M690&lt;0.5),"NM",U690/M690*100-100))</f>
        <v>-21.275413647506667</v>
      </c>
      <c r="W690" s="169">
        <f>W539/W679*400</f>
        <v>9.1906222383947611</v>
      </c>
      <c r="X690" s="72">
        <f>IF(ISERROR(W690/O690),"NA",IF(OR(W690/O690&gt;2,W690/O690&lt;0.5),"NM",W690/O690*100-100))</f>
        <v>0.76390408743236549</v>
      </c>
      <c r="Y690" s="169">
        <f>Y539/Y679*400</f>
        <v>7.9631492561020814</v>
      </c>
      <c r="Z690" s="72">
        <f>IF(ISERROR(Y690/Q690),"NA",IF(OR(Y690/Q690&gt;2,Y690/Q690&lt;0.5),"NM",Y690/Q690*100-100))</f>
        <v>26.021466715755054</v>
      </c>
      <c r="AA690" s="169">
        <f>AA539/AA679*400</f>
        <v>9.8019722169976085</v>
      </c>
      <c r="AB690" s="72">
        <f>IF(ISERROR(AA690/S690),"NA",IF(OR(AA690/S690&gt;2,AA690/S690&lt;0.5),"NM",AA690/S690*100-100))</f>
        <v>-4.8276118647185626</v>
      </c>
      <c r="AC690" s="169">
        <f>AC539/AC679*400</f>
        <v>11.853767612274039</v>
      </c>
      <c r="AD690" s="72">
        <f>IF(ISERROR(AC690/U690),"NA",IF(OR(AC690/U690&gt;2,AC690/U690&lt;0.5),"NM",AC690/U690*100-100))</f>
        <v>21.981334624173954</v>
      </c>
      <c r="AE690" s="169">
        <f>AE539/AE679*400</f>
        <v>11.195297543613664</v>
      </c>
      <c r="AF690" s="72">
        <f>IF(ISERROR(AE690/W690),"NA",IF(OR(AE690/W690&gt;2,AE690/W690&lt;0.5),"NM",AE690/W690*100-100))</f>
        <v>21.812182605484182</v>
      </c>
      <c r="AG690" s="169">
        <f>AG539/AG679*400</f>
        <v>12.109785331429956</v>
      </c>
      <c r="AH690" s="72">
        <f>IF(ISERROR(AG690/Y690),"NA",IF(OR(AG690/Y690&gt;2,AG690/Y690&lt;0.5),"NM",AG690/Y690*100-100))</f>
        <v>52.072816193296234</v>
      </c>
      <c r="AI690" s="169">
        <f>AI539/AI679*400</f>
        <v>12.15615486165369</v>
      </c>
      <c r="AJ690" s="72">
        <f>IF(ISERROR(AI690/AA690),"NA",IF(OR(AI690/AA690&gt;2,AI690/AA690&lt;0.5),"NM",AI690/AA690*100-100))</f>
        <v>24.017438455637446</v>
      </c>
      <c r="AK690" s="169">
        <f>AK539/AK679*400</f>
        <v>15.50296175185612</v>
      </c>
      <c r="AL690" s="72">
        <f>IF(ISERROR(AK690/AC690),"NA",IF(OR(AK690/AC690&gt;2,AK690/AC690&lt;0.5),"NM",AK690/AC690*100-100))</f>
        <v>30.785099378897115</v>
      </c>
      <c r="AM690" s="169">
        <f>AM539/AM679*400</f>
        <v>15.088741721854305</v>
      </c>
      <c r="AN690" s="72">
        <f>IF(ISERROR(AM690/AE690),"NA",IF(OR(AM690/AE690&gt;2,AM690/AE690&lt;0.5),"NM",AM690/AE690*100-100))</f>
        <v>34.777496203856117</v>
      </c>
      <c r="AO690" s="169">
        <f>AO539/AO679*400</f>
        <v>15.880376169015554</v>
      </c>
      <c r="AP690" s="72">
        <f>IF(ISERROR(AO690/AG690),"NA",IF(OR(AO690/AG690&gt;2,AO690/AG690&lt;0.5),"NM",AO690/AG690*100-100))</f>
        <v>31.136727319181603</v>
      </c>
      <c r="AQ690" s="169">
        <f>AQ539/AQ679*400</f>
        <v>17.730731061859082</v>
      </c>
      <c r="AR690" s="72">
        <f>IF(ISERROR(AQ690/AI690),"NA",IF(OR(AQ690/AI690&gt;2,AQ690/AI690&lt;0.5),"NM",AQ690/AI690*100-100))</f>
        <v>45.858055146946697</v>
      </c>
      <c r="AS690" s="169">
        <f>AS539/AS679*400</f>
        <v>16.099902982661259</v>
      </c>
      <c r="AT690" s="72">
        <f>IF(ISERROR(AS690/AK690),"NA",IF(OR(AS690/AK690&gt;2,AS690/AK690&lt;0.5),"NM",AS690/AK690*100-100))</f>
        <v>3.8504979910285186</v>
      </c>
      <c r="AU690" s="169">
        <f>AU539/AU679*400</f>
        <v>19.335347432024168</v>
      </c>
      <c r="AV690" s="72">
        <f>IF(ISERROR(AU690/AM690),"NA",IF(OR(AU690/AM690&gt;2,AU690/AM690&lt;0.5),"NM",AU690/AM690*100-100))</f>
        <v>28.144200414134872</v>
      </c>
      <c r="AW690" s="169">
        <f>AW539/AW679*400</f>
        <v>14.43224675106296</v>
      </c>
      <c r="AX690" s="72">
        <f>IF(ISERROR(AW690/AO690),"NA",IF(OR(AW690/AO690&gt;2,AW690/AO690&lt;0.5),"NM",AW690/AO690*100-100))</f>
        <v>-9.1189868712181976</v>
      </c>
      <c r="AY690" s="169">
        <f>AY539/AY679*400</f>
        <v>11.671473232678187</v>
      </c>
      <c r="AZ690" s="72">
        <f>IF(ISERROR(AY690/AQ690),"NA",IF(OR(AY690/AQ690&gt;2,AY690/AQ690&lt;0.5),"NM",AY690/AQ690*100-100))</f>
        <v>-34.173761973160154</v>
      </c>
      <c r="BA690" s="169">
        <f>BA539/BA679*400</f>
        <v>12.545678952590691</v>
      </c>
      <c r="BB690" s="72">
        <f>IF(ISERROR(BA690/AS690),"NA",IF(OR(BA690/AS690&gt;2,BA690/AS690&lt;0.5),"NM",BA690/AS690*100-100))</f>
        <v>-22.076058681212416</v>
      </c>
      <c r="BC690" s="169">
        <f>BC539/BC679*400</f>
        <v>14.838894731809923</v>
      </c>
      <c r="BD690" s="72">
        <f>IF(ISERROR(BC690/AU690),"NA",IF(OR(BC690/AU690&gt;2,BC690/AU690&lt;0.5),"NM",BC690/AU690*100-100))</f>
        <v>-23.255091308920555</v>
      </c>
      <c r="BE690" s="169">
        <f>BE539/BE679*400</f>
        <v>13.520011313816999</v>
      </c>
      <c r="BF690" s="72">
        <f>IF(ISERROR(BE690/AW690),"NA",IF(OR(BE690/AW690&gt;2,BE690/AW690&lt;0.5),"NM",BE690/AW690*100-100))</f>
        <v>-6.3208137511837776</v>
      </c>
      <c r="BG690" s="169">
        <f>BG539/BG679*400</f>
        <v>14.653918978938263</v>
      </c>
      <c r="BH690" s="72">
        <f>IF(ISERROR(BG690/AY690),"NA",IF(OR(BG690/AY690&gt;2,BG690/AY690&lt;0.5),"NM",BG690/AY690*100-100))</f>
        <v>25.553292945998663</v>
      </c>
      <c r="BI690" s="169">
        <f>BI539/BI679*400</f>
        <v>14.739751266697374</v>
      </c>
      <c r="BJ690" s="72">
        <f>IF(ISERROR(BI690/BA690),"NA",IF(OR(BI690/BA690&gt;2,BI690/BA690&lt;0.5),"NM",BI690/BA690*100-100))</f>
        <v>17.488669384876971</v>
      </c>
      <c r="BK690" s="169">
        <f>BK546/BK686*400</f>
        <v>16.819807178744398</v>
      </c>
      <c r="BL690" s="72">
        <f>IF(ISERROR(BK690/BC690),"NA",IF(OR(BK690/BC690&gt;2,BK690/BC690&lt;0.5),"NM",BK690/BC690*100-100))</f>
        <v>13.349460877891545</v>
      </c>
      <c r="BM690" s="169">
        <f>BM546/BM686*400</f>
        <v>14.512762883287847</v>
      </c>
      <c r="BN690" s="72">
        <f>IF(ISERROR(BM690/BE690),"NA",IF(OR(BM690/BE690&gt;2,BM690/BE690&lt;0.5),"NM",BM690/BE690*100-100))</f>
        <v>7.3428309076656575</v>
      </c>
      <c r="BO690" s="169">
        <f>BO546/BO686*400</f>
        <v>12.545213131266882</v>
      </c>
      <c r="BP690" s="72">
        <f>IF(ISERROR(BO690/BG690),"NA",IF(OR(BO690/BG690&gt;2,BO690/BG690&lt;0.5),"NM",BO690/BG690*100-100))</f>
        <v>-14.390047131434088</v>
      </c>
      <c r="BQ690" s="169">
        <f>BQ546/BQ686*400</f>
        <v>14.909459399920694</v>
      </c>
      <c r="BR690" s="72">
        <f>IF(ISERROR(BQ690/BI690),"NA",IF(OR(BQ690/BI690&gt;2,BQ690/BI690&lt;0.5),"NM",BQ690/BI690*100-100))</f>
        <v>1.1513636163369654</v>
      </c>
      <c r="BS690" s="169">
        <f>BS546/BS686*400</f>
        <v>7.3098354006105755</v>
      </c>
      <c r="BT690" s="72" t="str">
        <f>IF(ISERROR(BS690/BK690),"NA",IF(OR(BS690/BK690&gt;2,BS690/BK690&lt;0.5),"NM",BS690/BK690*100-100))</f>
        <v>NM</v>
      </c>
      <c r="BU690" s="169">
        <f>BU546/BU686*400</f>
        <v>-15.831912638805695</v>
      </c>
      <c r="BV690" s="72" t="str">
        <f>IF(ISERROR(BU690/BM690),"NA",IF(OR(BU690/BM690&gt;2,BU690/BM690&lt;0.5),"NM",BU690/BM690*100-100))</f>
        <v>NM</v>
      </c>
      <c r="BW690" s="169">
        <f>BW546/BW679*400</f>
        <v>4.0234365177156937</v>
      </c>
      <c r="BX690" s="72" t="str">
        <f>IF(ISERROR(BW690/BO690),"NA",IF(OR(BW690/BO690&gt;2,BW690/BO690&lt;0.5),"NM",BW690/BO690*100-100))</f>
        <v>NM</v>
      </c>
      <c r="BY690" s="169">
        <f>BY546/BY679*400</f>
        <v>16.233031674208146</v>
      </c>
      <c r="BZ690" s="72">
        <f>IF(ISERROR(BY690/BQ690),"NA",IF(OR(BY690/BQ690&gt;2,BY690/BQ690&lt;0.5),"NM",BY690/BQ690*100-100))</f>
        <v>8.8773995004439428</v>
      </c>
      <c r="CA690" s="169">
        <f>CA546/CA679*400</f>
        <v>14.407449705701483</v>
      </c>
      <c r="CB690" s="72">
        <f>IF(ISERROR(CA690/BS690),"NA",IF(OR(CA690/BS690&gt;2,CA690/BS690&lt;0.5),"NM",CA690/BS690*100-100))</f>
        <v>97.096773266578055</v>
      </c>
      <c r="CC690" s="169">
        <f>CC546/CC679*400</f>
        <v>9.3038738401364789</v>
      </c>
      <c r="CD690" s="72" t="str">
        <f>IF(ISERROR(CC690/BU690),"NA",IF(OR(CC690/BU690&gt;2,CC690/BU690&lt;0.5),"NM",CC690/BU690*100-100))</f>
        <v>NM</v>
      </c>
      <c r="CE690" s="169">
        <f>CE546/CE679*400</f>
        <v>10.738480253361018</v>
      </c>
      <c r="CF690" s="72" t="str">
        <f>IF(ISERROR(CE690/BW690),"NA",IF(OR(CE690/BW690&gt;2,CE690/BW690&lt;0.5),"NM",CE690/BW690*100-100))</f>
        <v>NM</v>
      </c>
      <c r="CG690" s="169">
        <f>CG546/CG679*400</f>
        <v>6.6485782041147692</v>
      </c>
      <c r="CH690" s="72" t="str">
        <f>IF(ISERROR(CG690/BY690),"NA",IF(OR(CG690/BY690&gt;2,CG690/BY690&lt;0.5),"NM",CG690/BY690*100-100))</f>
        <v>NM</v>
      </c>
      <c r="CI690" s="169">
        <f>CI546/CI679*400</f>
        <v>14.789035150572193</v>
      </c>
      <c r="CJ690" s="72">
        <f>IF(ISERROR(CI690/CA690),"NA",IF(OR(CI690/CA690&gt;2,CI690/CA690&lt;0.5),"NM",CI690/CA690*100-100))</f>
        <v>2.6485287310751744</v>
      </c>
      <c r="CK690" s="169">
        <f>CK546/CK679*400</f>
        <v>12.452039080732566</v>
      </c>
      <c r="CL690" s="72">
        <f>IF(ISERROR(CK690/CC690),"NA",IF(OR(CK690/CC690&gt;2,CK690/CC690&lt;0.5),"NM",CK690/CC690*100-100))</f>
        <v>33.837144556013328</v>
      </c>
      <c r="CM690" s="169">
        <f>CM546/CM679*400</f>
        <v>12.44104525175271</v>
      </c>
      <c r="CN690" s="72">
        <f>IF(ISERROR(CM690/CE690),"NA",IF(OR(CM690/CE690&gt;2,CM690/CE690&lt;0.5),"NM",CM690/CE690*100-100))</f>
        <v>15.854804015296381</v>
      </c>
      <c r="CO690" s="169">
        <f>CO546/CO679*400</f>
        <v>11.924593488302229</v>
      </c>
      <c r="CP690" s="72">
        <f>IF(ISERROR(CO690/CG690),"NA",IF(OR(CO690/CG690&gt;2,CO690/CG690&lt;0.5),"NM",CO690/CG690*100-100))</f>
        <v>79.35554222588766</v>
      </c>
      <c r="CQ690" s="169">
        <f>CQ546/CQ679*400</f>
        <v>6.3738902634259933</v>
      </c>
      <c r="CR690" s="72" t="str">
        <f>IF(ISERROR(CQ690/CI690),"NA",IF(OR(CQ690/CI690&gt;2,CQ690/CI690&lt;0.5),"NM",CQ690/CI690*100-100))</f>
        <v>NM</v>
      </c>
      <c r="CS690" s="169">
        <f>CS546/CS679*400</f>
        <v>13.110536150639643</v>
      </c>
      <c r="CT690" s="72">
        <f>IF(ISERROR(CS690/CK690),"NA",IF(OR(CS690/CK690&gt;2,CS690/CK690&lt;0.5),"NM",CS690/CK690*100-100))</f>
        <v>5.2882669708770038</v>
      </c>
      <c r="CU690" s="169">
        <f>CU546/CU679*400</f>
        <v>12.167644408481525</v>
      </c>
      <c r="CV690" s="72">
        <f>IF(ISERROR(CU690/CM690),"NA",IF(OR(CU690/CM690&gt;2,CU690/CM690&lt;0.5),"NM",CU690/CM690*100-100))</f>
        <v>-2.1975713273180872</v>
      </c>
      <c r="CW690" s="169">
        <f>CW546/CW679*400</f>
        <v>9.8575663364904926</v>
      </c>
      <c r="CX690" s="72">
        <f>IF(ISERROR(CW690/CO690),"NA",IF(OR(CW690/CO690&gt;2,CW690/CO690&lt;0.5),"NM",CW690/CO690*100-100))</f>
        <v>-17.334151925928921</v>
      </c>
      <c r="CY690" s="169">
        <f>CY546/CY679*400</f>
        <v>10.985652012777297</v>
      </c>
      <c r="CZ690" s="72">
        <f>IF(ISERROR(CY690/CQ690),"NA",IF(OR(CY690/CQ690&gt;2,CY690/CQ690&lt;0.5),"NM",CY690/CQ690*100-100))</f>
        <v>72.35395588490195</v>
      </c>
      <c r="DA690" s="169">
        <f>DA546/DA679*400</f>
        <v>12.139947628745999</v>
      </c>
      <c r="DB690" s="72">
        <f>IF(ISERROR(DA690/CS690),"NA",IF(OR(DA690/CS690&gt;2,DA690/CS690&lt;0.5),"NM",DA690/CS690*100-100))</f>
        <v>-7.4031184593949035</v>
      </c>
      <c r="DC690" s="169">
        <f>DC546/DC679*400</f>
        <v>16.106025002349845</v>
      </c>
      <c r="DD690" s="72">
        <f>IF(ISERROR(DC690/CU690),"NA",IF(OR(DC690/CU690&gt;2,DC690/CU690&lt;0.5),"NM",DC690/CU690*100-100))</f>
        <v>32.367650316301564</v>
      </c>
      <c r="DE690" s="169">
        <f>DE546/DE679*400</f>
        <v>16.954310779861032</v>
      </c>
      <c r="DF690" s="72">
        <f>IF(ISERROR(DE690/CW690),"NA",IF(OR(DE690/CW690&gt;2,DE690/CW690&lt;0.5),"NM",DE690/CW690*100-100))</f>
        <v>71.992865187221611</v>
      </c>
      <c r="DG690" s="169">
        <f>DG546/DG679*400</f>
        <v>21.351188274909006</v>
      </c>
      <c r="DH690" s="72">
        <f>IF(ISERROR(DG690/CY690),"NA",IF(OR(DG690/CY690&gt;2,DG690/CY690&lt;0.5),"NM",DG690/CY690*100-100))</f>
        <v>94.355221247456797</v>
      </c>
      <c r="DI690" s="169">
        <f>DI546/DI679*400</f>
        <v>16.288157715309843</v>
      </c>
      <c r="DJ690" s="72">
        <f>IF(ISERROR(DI690/DA690),"NA",IF(OR(DI690/DA690&gt;2,DI690/DA690&lt;0.5),"NM",DI690/DA690*100-100))</f>
        <v>34.169917477579219</v>
      </c>
      <c r="DK690" s="169">
        <f>DK546/DK679*400</f>
        <v>17.659872413256576</v>
      </c>
      <c r="DL690" s="72">
        <f>IF(ISERROR(DK690/DC690),"NA",IF(OR(DK690/DC690&gt;2,DK690/DC690&lt;0.5),"NM",DK690/DC690*100-100))</f>
        <v>9.6476157877566209</v>
      </c>
      <c r="DM690" s="169">
        <f>DM546/DM679*400</f>
        <v>17.743155347148694</v>
      </c>
      <c r="DN690" s="72">
        <f t="shared" ref="DN690:DZ694" si="3294">IF(ISERROR(DM690/DE690),"NA",IF(OR(DM690/DE690&gt;2,DM690/DE690&lt;0.5),"NM",DM690/DE690*100-100))</f>
        <v>4.6527669424620797</v>
      </c>
      <c r="DO690" s="169">
        <f>DO546/DO679*400</f>
        <v>15.3748648547888</v>
      </c>
      <c r="DP690" s="72">
        <f t="shared" si="3294"/>
        <v>-27.990589297286675</v>
      </c>
      <c r="DQ690" s="169">
        <f>DQ546/DQ679*400</f>
        <v>15.222996113441337</v>
      </c>
      <c r="DR690" s="72">
        <f t="shared" si="3294"/>
        <v>-6.5394848237951493</v>
      </c>
      <c r="DS690" s="169">
        <f>DS546/DS679*400</f>
        <v>19.815281276238455</v>
      </c>
      <c r="DT690" s="72">
        <f t="shared" si="3294"/>
        <v>12.205121376550252</v>
      </c>
      <c r="DU690" s="169">
        <f>DU546/DU679*400</f>
        <v>19.416777534069254</v>
      </c>
      <c r="DV690" s="72">
        <f t="shared" si="3294"/>
        <v>9.4324946954235571</v>
      </c>
      <c r="DW690" s="169">
        <f>DW546/DW679*400</f>
        <v>15.423628721297808</v>
      </c>
      <c r="DX690" s="72">
        <f t="shared" si="3294"/>
        <v>0.31716614727719161</v>
      </c>
      <c r="DY690" s="169">
        <f>DY546/DY679*400</f>
        <v>12.109680269104006</v>
      </c>
      <c r="DZ690" s="72">
        <f t="shared" si="3294"/>
        <v>-20.451400112940902</v>
      </c>
      <c r="EA690" s="169">
        <f>EA546/EA679*400</f>
        <v>13.342031749217979</v>
      </c>
      <c r="EB690" s="72">
        <f>IF(ISERROR(EA690/DS690),"NA",IF(OR(EA690/DS690&gt;2,EA690/DS690&lt;0.5),"NM",EA690/DS690*100-100))</f>
        <v>-32.667966892717743</v>
      </c>
      <c r="EC690" s="169">
        <f>EC546/EC679*400</f>
        <v>10.933430050446766</v>
      </c>
      <c r="ED690" s="72">
        <f>IF(ISERROR(EC690/DU690),"NA",IF(OR(EC690/DU690&gt;2,EC690/DU690&lt;0.5),"NM",EC690/DU690*100-100))</f>
        <v>-43.690810530930555</v>
      </c>
      <c r="EE690" s="169">
        <f>EE546/EE679*400</f>
        <v>15.248112537910563</v>
      </c>
      <c r="EF690" s="72">
        <f>IF(ISERROR(EE690/DW690),"NA",IF(OR(EE690/DW690&gt;2,EE690/DW690&lt;0.5),"NM",EE690/DW690*100-100))</f>
        <v>-1.1379694529659048</v>
      </c>
      <c r="EG690" s="169">
        <f>EG546/EG679*400</f>
        <v>13.782112577293301</v>
      </c>
      <c r="EH690" s="72">
        <f>IF(ISERROR(EG690/DY690),"NA",IF(OR(EG690/DY690&gt;2,EG690/DY690&lt;0.5),"NM",EG690/DY690*100-100))</f>
        <v>13.810705741391445</v>
      </c>
      <c r="EI690" s="169">
        <f>EI546/EI679*400</f>
        <v>15.486802454916933</v>
      </c>
      <c r="EJ690" s="72">
        <f>IF(ISERROR(EI690/EA690),"NA",IF(OR(EI690/EA690&gt;2,EI690/EA690&lt;0.5),"NM",EI690/EA690*100-100))</f>
        <v>16.075293073895352</v>
      </c>
      <c r="EK690" s="169">
        <f>EK546/EK679*400</f>
        <v>11.385329243417468</v>
      </c>
      <c r="EL690" s="72">
        <f>IF(ISERROR(EK690/EC690),"NA",IF(OR(EK690/EC690&gt;2,EK690/EC690&lt;0.5),"NM",EK690/EC690*100-100))</f>
        <v>4.133187763452483</v>
      </c>
      <c r="EM690" s="169">
        <f>EM546/EM679*400</f>
        <v>15.925414154911399</v>
      </c>
      <c r="EN690" s="72">
        <f>IF(ISERROR(EM690/EE690),"NA",IF(OR(EM690/EE690&gt;2,EM690/EE690&lt;0.5),"NM",EM690/EE690*100-100))</f>
        <v>4.4418718403139934</v>
      </c>
      <c r="EO690" s="169">
        <f>EO546/EO679*400</f>
        <v>13.135509396636994</v>
      </c>
      <c r="EP690" s="72">
        <f>IF(ISERROR(EO690/EG690),"NA",IF(OR(EO690/EG690&gt;2,EO690/EG690&lt;0.5),"NM",EO690/EG690*100-100))</f>
        <v>-4.6916115147805186</v>
      </c>
      <c r="EQ690" s="169">
        <f>EQ546/EQ679*400</f>
        <v>14.074218974261111</v>
      </c>
      <c r="ER690" s="72">
        <f t="shared" ref="ER690:ER694" si="3295">IF(ISERROR(EQ690/EI690),"NA",IF(OR(EQ690/EI690&gt;2,EQ690/EI690&lt;0.5),"NM",EQ690/EI690*100-100))</f>
        <v>-9.1212081045647864</v>
      </c>
      <c r="ES690" s="169">
        <f>ES546/ES679*400</f>
        <v>13.851816461538952</v>
      </c>
      <c r="ET690" s="72">
        <f t="shared" ref="ET690:ET694" si="3296">IF(ISERROR(ES690/EK690),"NA",IF(OR(ES690/EK690&gt;2,ES690/EK690&lt;0.5),"NM",ES690/EK690*100-100))</f>
        <v>21.663732030828228</v>
      </c>
      <c r="EU690" s="169">
        <f>EU546/EU679*400</f>
        <v>13.622507077419744</v>
      </c>
      <c r="EV690" s="72">
        <f t="shared" ref="EV690:EV694" si="3297">IF(ISERROR(EU690/EM690),"NA",IF(OR(EU690/EM690&gt;2,EU690/EM690&lt;0.5),"NM",EU690/EM690*100-100))</f>
        <v>-14.46057889038596</v>
      </c>
      <c r="EW690" s="169">
        <f>EW546/EW679*400</f>
        <v>12.236518640438623</v>
      </c>
      <c r="EX690" s="72">
        <f t="shared" ref="EX690:EX694" si="3298">IF(ISERROR(EW690/EO690),"NA",IF(OR(EW690/EO690&gt;2,EW690/EO690&lt;0.5),"NM",EW690/EO690*100-100))</f>
        <v>-6.8439733020824747</v>
      </c>
      <c r="EY690" s="72"/>
      <c r="EZ690" s="320"/>
      <c r="FA690" s="72"/>
      <c r="FB690" s="171"/>
      <c r="FC690" s="82"/>
      <c r="FD690" s="170"/>
      <c r="FE690" s="72"/>
      <c r="FF690" s="169">
        <f>FF539/FF679*100</f>
        <v>1.2530202355783753</v>
      </c>
      <c r="FG690" s="72" t="str">
        <f>IF(ISERROR(FF690/FD690),"NA",IF(OR(FF690/FD690&gt;2,FF690/FD690&lt;0.5),"NM",FF690/FD690*100-100))</f>
        <v>NA</v>
      </c>
      <c r="FH690" s="169">
        <f>FH539/FH679*100</f>
        <v>2.9931636093667828</v>
      </c>
      <c r="FI690" s="72" t="str">
        <f>IF(ISERROR(FH690/FF690),"NA",IF(OR(FH690/FF690&gt;2,FH690/FF690&lt;0.5),"NM",FH690/FF690*100-100))</f>
        <v>NM</v>
      </c>
      <c r="FJ690" s="169">
        <f>FJ539/FJ679*100</f>
        <v>3.4052089963929562</v>
      </c>
      <c r="FK690" s="72">
        <f>IF(ISERROR(FJ690/FH690),"NA",IF(OR(FJ690/FH690&gt;2,FJ690/FH690&lt;0.5),"NM",FJ690/FH690*100-100))</f>
        <v>13.766216645716312</v>
      </c>
      <c r="FL690" s="169">
        <f>FL539/FL679*100</f>
        <v>5.5687930292598962</v>
      </c>
      <c r="FM690" s="72">
        <f>IF(ISERROR(FL690/FJ690),"NA",IF(OR(FL690/FJ690&gt;2,FL690/FJ690&lt;0.5),"NM",FL690/FJ690*100-100))</f>
        <v>63.537481404482492</v>
      </c>
      <c r="FN690" s="169">
        <f>FN539/FN679*100</f>
        <v>8.4587010934000784</v>
      </c>
      <c r="FO690" s="72">
        <f>IF(ISERROR(FN690/FL690),"NA",IF(OR(FN690/FL690&gt;2,FN690/FL690&lt;0.5),"NM",FN690/FL690*100-100))</f>
        <v>51.89469331964483</v>
      </c>
      <c r="FP690" s="169">
        <f>FP539/FP679*100</f>
        <v>10.35329761129751</v>
      </c>
      <c r="FQ690" s="72">
        <f>IF(ISERROR(FP690/FN690),"NA",IF(OR(FP690/FN690&gt;2,FP690/FN690&lt;0.5),"NM",FP690/FN690*100-100))</f>
        <v>22.398196803238449</v>
      </c>
      <c r="FR690" s="171">
        <f>FR539/FR679*100</f>
        <v>10.91782462865357</v>
      </c>
      <c r="FS690" s="72">
        <f>IF(ISERROR(FR690/FP690),"NA",IF(OR(FR690/FP690&gt;2,FR690/FP690&lt;0.5),"NM",FR690/FP690*100-100))</f>
        <v>5.4526300561479815</v>
      </c>
      <c r="FT690" s="171">
        <f>FT539/FT679*100</f>
        <v>12.93313857607313</v>
      </c>
      <c r="FU690" s="72">
        <f>IF(ISERROR(FT690/FR690),"NA",IF(OR(FT690/FR690&gt;2,FT690/FR690&lt;0.5),"NM",FT690/FR690*100-100))</f>
        <v>18.458933129686102</v>
      </c>
      <c r="FV690" s="169">
        <f>FV546/FV679*100</f>
        <v>-3.3434687722223586</v>
      </c>
      <c r="FW690" s="72" t="str">
        <f>IF(ISERROR(FV690/FT690),"NA",IF(OR(FV690/FT690&gt;2,FV690/FT690&lt;0.5),"NM",FV690/FT690*100-100))</f>
        <v>NM</v>
      </c>
      <c r="FX690" s="169">
        <f>FX546/FX679*100</f>
        <v>4.913798947059222</v>
      </c>
      <c r="FY690" s="72" t="str">
        <f>IF(ISERROR(FX690/FV690),"NA",IF(OR(FX690/FV690&gt;2,FX690/FV690&lt;0.5),"NM",FX690/FV690*100-100))</f>
        <v>NM</v>
      </c>
      <c r="FZ690" s="169">
        <f>FZ546/FZ679*100</f>
        <v>8.0603988150857866</v>
      </c>
      <c r="GA690" s="72">
        <f>IF(ISERROR(FZ690/FX690),"NA",IF(OR(FZ690/FX690&gt;2,FZ690/FX690&lt;0.5),"NM",FZ690/FX690*100-100))</f>
        <v>64.035991336391987</v>
      </c>
      <c r="GB690" s="169">
        <f>GB546/GB679*100</f>
        <v>9.1275721708465412</v>
      </c>
      <c r="GC690" s="72">
        <f>IF(ISERROR(GB690/FZ690),"NA",IF(OR(GB690/FZ690&gt;2,GB690/FZ690&lt;0.5),"NM",GB690/FZ690*100-100))</f>
        <v>13.239709104262204</v>
      </c>
      <c r="GD690" s="169">
        <f>GD546/GD679*100</f>
        <v>9.4674556213017755</v>
      </c>
      <c r="GE690" s="72">
        <f>IF(ISERROR(GD690/GB690),"NA",IF(OR(GD690/GB690&gt;2,GD690/GB690&lt;0.5),"NM",GD690/GB690*100-100))</f>
        <v>3.7237004988119651</v>
      </c>
      <c r="GF690" s="169">
        <f>GF546/GF679*100</f>
        <v>18.277740609767754</v>
      </c>
      <c r="GG690" s="72">
        <f>IF(ISERROR(GF690/GD690),"NA",IF(OR(GF690/GD690&gt;2,GF690/GD690&lt;0.5),"NM",GF690/GD690*100-100))</f>
        <v>93.058635190671907</v>
      </c>
      <c r="GH690" s="169">
        <f>GH546/GH679*100</f>
        <v>16.845906583594587</v>
      </c>
      <c r="GI690" s="72">
        <f t="shared" ref="GI690:GU694" si="3299">IF(ISERROR(GH690/GF690),"NA",IF(OR(GH690/GF690&gt;2,GH690/GF690&lt;0.5),"NM",GH690/GF690*100-100))</f>
        <v>-7.8337583224481477</v>
      </c>
      <c r="GJ690" s="169">
        <f>GJ546/GJ679*100</f>
        <v>16.996928926586722</v>
      </c>
      <c r="GK690" s="72">
        <f t="shared" si="3299"/>
        <v>0.89649282003740893</v>
      </c>
      <c r="GL690" s="169">
        <f>GL546/GL679*100</f>
        <v>13.438624747317041</v>
      </c>
      <c r="GM690" s="72">
        <f t="shared" si="3299"/>
        <v>-20.934982988037063</v>
      </c>
      <c r="GN690" s="169">
        <f>GN546/GN679*100</f>
        <v>13.52345501707285</v>
      </c>
      <c r="GO690" s="72">
        <f t="shared" si="3299"/>
        <v>0.63124219442724439</v>
      </c>
      <c r="GP690" s="169">
        <f>GP546/GP679*100</f>
        <v>13.621637376011941</v>
      </c>
      <c r="GQ690" s="72">
        <f t="shared" si="3299"/>
        <v>0.72601534752132579</v>
      </c>
      <c r="GR690" s="169">
        <f>GR546/GR679*100</f>
        <v>13.213734891830779</v>
      </c>
      <c r="GS690" s="72">
        <f t="shared" si="3299"/>
        <v>-2.9945187419207713</v>
      </c>
      <c r="GT690" s="169">
        <f>GT546/GT679*100</f>
        <v>12.921901813803997</v>
      </c>
      <c r="GU690" s="72">
        <f t="shared" si="3299"/>
        <v>-2.2085585976694802</v>
      </c>
      <c r="GV690" s="169">
        <f>GV546/GV679*100</f>
        <v>12.704386112837597</v>
      </c>
      <c r="GW690" s="72">
        <f>IF(ISERROR(GV690/GT690),"NA",IF(OR(GV690/GT690&gt;2,GV690/GT690&lt;0.5),"NM",GV690/GT690*100-100))</f>
        <v>-1.6833102750714062</v>
      </c>
      <c r="GX690" s="169">
        <f>GX546/GX679*100</f>
        <v>12.508518816983161</v>
      </c>
      <c r="GY690" s="72">
        <f>IF(ISERROR(GX690/GV690),"NA",IF(OR(GX690/GV690&gt;2,GX690/GV690&lt;0.5),"NM",GX690/GV690*100-100))</f>
        <v>-1.5417297153501579</v>
      </c>
      <c r="GZ690" s="72">
        <f>IF(ISERROR(((GX690/GN690)^0.2-1)*100),"NA",IF((((GX690/GN690)^0.2-1)*100)&gt;100,"NM",IF((((GX690/GN690)^0.2-1)*100)&lt;-50,"NM",((GX690/GN690)^0.2-1)*100)))</f>
        <v>-1.5482035567239816</v>
      </c>
      <c r="HA690" s="72"/>
      <c r="HB690" s="72"/>
      <c r="HC690"/>
      <c r="HD690"/>
      <c r="HE690"/>
      <c r="HF690"/>
      <c r="HG690"/>
      <c r="HH690"/>
      <c r="HI690" s="2"/>
    </row>
    <row r="691" spans="1:217" s="3" customFormat="1" ht="12.75" customHeight="1" x14ac:dyDescent="0.2">
      <c r="B691" s="4" t="s">
        <v>789</v>
      </c>
      <c r="C691" s="169"/>
      <c r="D691" s="188"/>
      <c r="E691" s="169"/>
      <c r="F691" s="11"/>
      <c r="G691" s="169"/>
      <c r="H691" s="11"/>
      <c r="I691" s="169"/>
      <c r="J691" s="11"/>
      <c r="K691" s="169"/>
      <c r="L691" s="72"/>
      <c r="M691" s="169"/>
      <c r="N691" s="72"/>
      <c r="O691" s="169"/>
      <c r="P691" s="72"/>
      <c r="Q691" s="169"/>
      <c r="R691" s="72"/>
      <c r="S691" s="169"/>
      <c r="T691" s="72"/>
      <c r="U691" s="169"/>
      <c r="V691" s="72"/>
      <c r="W691" s="169"/>
      <c r="X691" s="72"/>
      <c r="Y691" s="169"/>
      <c r="Z691" s="72"/>
      <c r="AA691" s="169"/>
      <c r="AB691" s="72"/>
      <c r="AC691" s="169"/>
      <c r="AD691" s="72"/>
      <c r="AE691" s="169"/>
      <c r="AF691" s="72"/>
      <c r="AG691" s="169"/>
      <c r="AH691" s="72"/>
      <c r="AI691" s="169"/>
      <c r="AJ691" s="72"/>
      <c r="AK691" s="169"/>
      <c r="AL691" s="72"/>
      <c r="AM691" s="169"/>
      <c r="AN691" s="72"/>
      <c r="AO691" s="169"/>
      <c r="AP691" s="72"/>
      <c r="AQ691" s="169"/>
      <c r="AR691" s="72"/>
      <c r="AS691" s="169"/>
      <c r="AT691" s="72"/>
      <c r="AU691" s="169"/>
      <c r="AV691" s="72"/>
      <c r="AW691" s="169"/>
      <c r="AX691" s="72"/>
      <c r="AY691" s="169"/>
      <c r="AZ691" s="72"/>
      <c r="BA691" s="169"/>
      <c r="BB691" s="72"/>
      <c r="BC691" s="169"/>
      <c r="BD691" s="72"/>
      <c r="BE691" s="169"/>
      <c r="BF691" s="72"/>
      <c r="BG691" s="169"/>
      <c r="BH691" s="72"/>
      <c r="BI691" s="169"/>
      <c r="BJ691" s="72"/>
      <c r="BK691" s="169"/>
      <c r="BL691" s="72"/>
      <c r="BM691" s="169"/>
      <c r="BN691" s="72"/>
      <c r="BO691" s="169"/>
      <c r="BP691" s="72"/>
      <c r="BQ691" s="169"/>
      <c r="BR691" s="72"/>
      <c r="BS691" s="169"/>
      <c r="BT691" s="72"/>
      <c r="BU691" s="169"/>
      <c r="BV691" s="72"/>
      <c r="BW691" s="169">
        <f>((BW533*(1-(BW538/100)))*400)/BW679</f>
        <v>9.5131282578160636</v>
      </c>
      <c r="BX691" s="72"/>
      <c r="BY691" s="169">
        <f>((BY533*(1-(BY538/100)))*400)/BY679</f>
        <v>9.9317777338342896</v>
      </c>
      <c r="BZ691" s="72"/>
      <c r="CA691" s="169">
        <f>((CA533*(1-(CA538/100)))*400)/CA679</f>
        <v>11.285385088424709</v>
      </c>
      <c r="CB691" s="72"/>
      <c r="CC691" s="169">
        <f>((CC533*(1-(CC538/100)))*400)/CC679</f>
        <v>8.2684565802631393</v>
      </c>
      <c r="CD691" s="72"/>
      <c r="CE691" s="169">
        <f>((CE533*(1-(CE538/100)))*400)/CE679</f>
        <v>9.4074998828810958</v>
      </c>
      <c r="CF691" s="72"/>
      <c r="CG691" s="169">
        <f>((CG533*(1-(CG538/100)))*400)/CG679</f>
        <v>10.721194239654542</v>
      </c>
      <c r="CH691" s="72"/>
      <c r="CI691" s="169">
        <f>((CI533*(1-(CI538/100)))*400)/CI679</f>
        <v>9.0530490247975468</v>
      </c>
      <c r="CJ691" s="72"/>
      <c r="CK691" s="169">
        <f>((CK533*(1-(CK538/100)))*400)/CK679</f>
        <v>10.0040416566501</v>
      </c>
      <c r="CL691" s="72"/>
      <c r="CM691" s="169">
        <f>((CM533*(1-(CM538/100)))*400)/CM679</f>
        <v>10.702228872816621</v>
      </c>
      <c r="CN691" s="72"/>
      <c r="CO691" s="169">
        <f>((CO533*(1-(CO538/100)))*400)/CO679</f>
        <v>12.158629892660478</v>
      </c>
      <c r="CP691" s="72"/>
      <c r="CQ691" s="169">
        <f>((CQ533*(1-(CQ538/100)))*400)/CQ679</f>
        <v>11.24693497560636</v>
      </c>
      <c r="CR691" s="72"/>
      <c r="CS691" s="169">
        <f>((CS533*(1-(CS538/100)))*400)/CS679</f>
        <v>10.220901182091351</v>
      </c>
      <c r="CT691" s="72"/>
      <c r="CU691" s="169">
        <f>(CU561*400)/CU679</f>
        <v>10.293322544458135</v>
      </c>
      <c r="CV691" s="72"/>
      <c r="CW691" s="169">
        <f>(CW561*400)/CW679</f>
        <v>11.812594895524546</v>
      </c>
      <c r="CX691" s="72"/>
      <c r="CY691" s="169">
        <f>(CY561*400)/CY679</f>
        <v>12.123607998164587</v>
      </c>
      <c r="CZ691" s="72"/>
      <c r="DA691" s="169">
        <f>(DA561*400)/DA679</f>
        <v>12.574919988361943</v>
      </c>
      <c r="DB691" s="72"/>
      <c r="DC691" s="169">
        <f>(DC561*400)/DC679</f>
        <v>15.040511326252467</v>
      </c>
      <c r="DD691" s="72"/>
      <c r="DE691" s="169">
        <f>(DE561*400)/DE679</f>
        <v>15.420208842824424</v>
      </c>
      <c r="DF691" s="72"/>
      <c r="DG691" s="169">
        <f>(DG561*400)/DG679</f>
        <v>17.241956517507834</v>
      </c>
      <c r="DH691" s="72"/>
      <c r="DI691" s="169">
        <f>(DI561*400)/DI679</f>
        <v>16.298287651218516</v>
      </c>
      <c r="DJ691" s="72"/>
      <c r="DK691" s="169">
        <f>(DK561*400)/DK679</f>
        <v>18.114983662673097</v>
      </c>
      <c r="DL691" s="72"/>
      <c r="DM691" s="169">
        <f>(DM561*400)/DM679</f>
        <v>17.861140523370139</v>
      </c>
      <c r="DN691" s="72">
        <f t="shared" si="3294"/>
        <v>15.829433345720005</v>
      </c>
      <c r="DO691" s="169">
        <f>(DO561*400)/DO679</f>
        <v>17.182268948290645</v>
      </c>
      <c r="DP691" s="72">
        <f t="shared" si="3294"/>
        <v>-0.34617631216377731</v>
      </c>
      <c r="DQ691" s="169">
        <f>(DQ561*400)/DQ679</f>
        <v>16.733751491130182</v>
      </c>
      <c r="DR691" s="72">
        <f t="shared" si="3294"/>
        <v>2.6718379821889329</v>
      </c>
      <c r="DS691" s="169">
        <f>(DS561*400)/DS679</f>
        <v>18.852759331348754</v>
      </c>
      <c r="DT691" s="72">
        <f t="shared" si="3294"/>
        <v>4.0727371462988486</v>
      </c>
      <c r="DU691" s="169">
        <f>(DU561*400)/DU679</f>
        <v>17.51896731509115</v>
      </c>
      <c r="DV691" s="72">
        <f t="shared" si="3294"/>
        <v>-1.9157410907286589</v>
      </c>
      <c r="DW691" s="169">
        <f>(DW561*400)/DW679</f>
        <v>16.182304512453538</v>
      </c>
      <c r="DX691" s="72">
        <f t="shared" si="3294"/>
        <v>-5.8197461513753552</v>
      </c>
      <c r="DY691" s="169">
        <f>(DY561*400)/DY679</f>
        <v>12.926845842818796</v>
      </c>
      <c r="DZ691" s="72">
        <f t="shared" si="3294"/>
        <v>-22.749863653283356</v>
      </c>
      <c r="EA691" s="169">
        <f>(EA561*400)/EA679</f>
        <v>14.194476505913251</v>
      </c>
      <c r="EB691" s="72">
        <f>IF(ISERROR(EA691/DS691),"NA",IF(OR(EA691/DS691&gt;2,EA691/DS691&lt;0.5),"NM",EA691/DS691*100-100))</f>
        <v>-24.708758774051788</v>
      </c>
      <c r="EC691" s="169">
        <f>(EC561*400)/EC679</f>
        <v>14.662534208183587</v>
      </c>
      <c r="ED691" s="72">
        <f>IF(ISERROR(EC691/DU691),"NA",IF(OR(EC691/DU691&gt;2,EC691/DU691&lt;0.5),"NM",EC691/DU691*100-100))</f>
        <v>-16.304802991709337</v>
      </c>
      <c r="EE691" s="169">
        <f>(EE561*400)/EE679</f>
        <v>14.367296896173453</v>
      </c>
      <c r="EF691" s="72">
        <f>IF(ISERROR(EE691/DW691),"NA",IF(OR(EE691/DW691&gt;2,EE691/DW691&lt;0.5),"NM",EE691/DW691*100-100))</f>
        <v>-11.216002114428719</v>
      </c>
      <c r="EG691" s="169">
        <f>(EG561*400)/EG679</f>
        <v>13.616370242876267</v>
      </c>
      <c r="EH691" s="72">
        <f>IF(ISERROR(EG691/DY691),"NA",IF(OR(EG691/DY691&gt;2,EG691/DY691&lt;0.5),"NM",EG691/DY691*100-100))</f>
        <v>5.3340498404761121</v>
      </c>
      <c r="EI691" s="169">
        <f>(EI561*400)/EI679</f>
        <v>15.323541012574349</v>
      </c>
      <c r="EJ691" s="72">
        <f>IF(ISERROR(EI691/EA691),"NA",IF(OR(EI691/EA691&gt;2,EI691/EA691&lt;0.5),"NM",EI691/EA691*100-100))</f>
        <v>7.9542525304877785</v>
      </c>
      <c r="EK691" s="169">
        <f>(EK561*400)/EK679</f>
        <v>15.984304688351525</v>
      </c>
      <c r="EL691" s="72">
        <f>IF(ISERROR(EK691/EC691),"NA",IF(OR(EK691/EC691&gt;2,EK691/EC691&lt;0.5),"NM",EK691/EC691*100-100))</f>
        <v>9.0146113993733792</v>
      </c>
      <c r="EM691" s="169">
        <f>(EM561*400)/EM679</f>
        <v>15.5464111635817</v>
      </c>
      <c r="EN691" s="72">
        <f>IF(ISERROR(EM691/EE691),"NA",IF(OR(EM691/EE691&gt;2,EM691/EE691&lt;0.5),"NM",EM691/EE691*100-100))</f>
        <v>8.2069318670674249</v>
      </c>
      <c r="EO691" s="169">
        <f>(EO561*400)/EO679</f>
        <v>13.106118411756396</v>
      </c>
      <c r="EP691" s="72">
        <f>IF(ISERROR(EO691/EG691),"NA",IF(OR(EO691/EG691&gt;2,EO691/EG691&lt;0.5),"NM",EO691/EG691*100-100))</f>
        <v>-3.7473410462441024</v>
      </c>
      <c r="EQ691" s="169">
        <f>(EQ561*400)/EQ679</f>
        <v>14.074218974261109</v>
      </c>
      <c r="ER691" s="72">
        <f t="shared" si="3295"/>
        <v>-8.1529591449395298</v>
      </c>
      <c r="ES691" s="169">
        <f>(ES561*400)/ES679</f>
        <v>13.851816461538952</v>
      </c>
      <c r="ET691" s="72">
        <f t="shared" si="3296"/>
        <v>-13.341138500485499</v>
      </c>
      <c r="EU691" s="169">
        <f>(EU561*400)/EU679</f>
        <v>13.622507077419744</v>
      </c>
      <c r="EV691" s="72">
        <f t="shared" si="3297"/>
        <v>-12.375229665022658</v>
      </c>
      <c r="EW691" s="169">
        <f>(EW561*400)/EW679</f>
        <v>12.236518640438623</v>
      </c>
      <c r="EX691" s="72">
        <f t="shared" si="3298"/>
        <v>-6.6350672563566064</v>
      </c>
      <c r="EY691" s="72"/>
      <c r="EZ691" s="320"/>
      <c r="FA691" s="72"/>
      <c r="FB691" s="171"/>
      <c r="FC691" s="82"/>
      <c r="FD691" s="170"/>
      <c r="FE691" s="72"/>
      <c r="FF691" s="169"/>
      <c r="FG691" s="72"/>
      <c r="FH691" s="169"/>
      <c r="FI691" s="72"/>
      <c r="FJ691" s="169"/>
      <c r="FK691" s="72"/>
      <c r="FL691" s="169"/>
      <c r="FM691" s="72"/>
      <c r="FN691" s="169"/>
      <c r="FO691" s="72"/>
      <c r="FP691" s="169"/>
      <c r="FQ691" s="72"/>
      <c r="FR691" s="169">
        <f>((FR533*(1-(FR538/100)))*100)/FR679</f>
        <v>10.615717259989827</v>
      </c>
      <c r="FS691" s="72"/>
      <c r="FT691" s="169">
        <f>((FT533*(1-(FT538/100)))*100)/FT679</f>
        <v>13.124103025252632</v>
      </c>
      <c r="FU691" s="72"/>
      <c r="FV691" s="169">
        <f>((FV533*(1-(FV538/100)))*100)/FV679</f>
        <v>-9.0166014589241499</v>
      </c>
      <c r="FW691" s="72"/>
      <c r="FX691" s="169">
        <f>((FX533*(1-(FX538/100)))*100)/FX679</f>
        <v>4.3419568215389077</v>
      </c>
      <c r="FY691" s="72"/>
      <c r="FZ691" s="169">
        <f>((FZ533*(1-(FZ538/100)))*100)/FZ679</f>
        <v>7.0949335752104119</v>
      </c>
      <c r="GA691" s="72">
        <f>IF(ISERROR(FZ691/FX691),"NA",IF(OR(FZ691/FX691&gt;2,FZ691/FX691&lt;0.5),"NM",FZ691/FX691*100-100))</f>
        <v>63.404056438676747</v>
      </c>
      <c r="GB691" s="169">
        <f>(GB561*100)/GB679</f>
        <v>8.944701843897132</v>
      </c>
      <c r="GC691" s="72">
        <f>IF(ISERROR(GB691/FZ691),"NA",IF(OR(GB691/FZ691&gt;2,GB691/FZ691&lt;0.5),"NM",GB691/FZ691*100-100))</f>
        <v>26.071678460102589</v>
      </c>
      <c r="GD691" s="169">
        <f>(GD561*100)/GD679</f>
        <v>9.7218569654467082</v>
      </c>
      <c r="GE691" s="72">
        <f>IF(ISERROR(GD691/GB691),"NA",IF(OR(GD691/GB691&gt;2,GD691/GB691&lt;0.5),"NM",GD691/GB691*100-100))</f>
        <v>8.6884407676463837</v>
      </c>
      <c r="GF691" s="169">
        <f>(GF561*100)/GF679</f>
        <v>16.585300583006784</v>
      </c>
      <c r="GG691" s="72">
        <f>IF(ISERROR(GF691/GD691),"NA",IF(OR(GF691/GD691&gt;2,GF691/GD691&lt;0.5),"NM",GF691/GD691*100-100))</f>
        <v>70.59807238425779</v>
      </c>
      <c r="GH691" s="169">
        <f>(GH561*100)/GH679</f>
        <v>18.011825866105799</v>
      </c>
      <c r="GI691" s="72">
        <f t="shared" si="3299"/>
        <v>8.6011421738152052</v>
      </c>
      <c r="GJ691" s="169">
        <f>(GJ561*100)/GJ679</f>
        <v>16.70344033343083</v>
      </c>
      <c r="GK691" s="72">
        <f t="shared" si="3299"/>
        <v>-7.2640360971791011</v>
      </c>
      <c r="GL691" s="169">
        <f>(GL561*100)/GL679</f>
        <v>14.310319325521389</v>
      </c>
      <c r="GM691" s="72">
        <f t="shared" si="3299"/>
        <v>-14.327114415583992</v>
      </c>
      <c r="GN691" s="169">
        <f>(GN561*100)/GN679</f>
        <v>14.468587423245454</v>
      </c>
      <c r="GO691" s="72">
        <f t="shared" si="3299"/>
        <v>1.1059718104389731</v>
      </c>
      <c r="GP691" s="169">
        <f>(GP561*100)/GP679</f>
        <v>13.621637376011941</v>
      </c>
      <c r="GQ691" s="72">
        <f t="shared" si="3299"/>
        <v>-5.8537162091773354</v>
      </c>
      <c r="GR691" s="169">
        <f>(GR561*100)/GR679</f>
        <v>13.213734891830779</v>
      </c>
      <c r="GS691" s="72">
        <f t="shared" si="3299"/>
        <v>-2.9945187419207713</v>
      </c>
      <c r="GT691" s="169">
        <f>(GT561*100)/GT679</f>
        <v>12.921901813803997</v>
      </c>
      <c r="GU691" s="72">
        <f t="shared" si="3299"/>
        <v>-2.2085585976694802</v>
      </c>
      <c r="GV691" s="169">
        <f>(GV561*100)/GV679</f>
        <v>12.704386112837597</v>
      </c>
      <c r="GW691" s="72">
        <f>IF(ISERROR(GV691/GT691),"NA",IF(OR(GV691/GT691&gt;2,GV691/GT691&lt;0.5),"NM",GV691/GT691*100-100))</f>
        <v>-1.6833102750714062</v>
      </c>
      <c r="GX691" s="169">
        <f>(GX561*100)/GX679</f>
        <v>12.508518816983161</v>
      </c>
      <c r="GY691" s="72">
        <f>IF(ISERROR(GX691/GV691),"NA",IF(OR(GX691/GV691&gt;2,GX691/GV691&lt;0.5),"NM",GX691/GV691*100-100))</f>
        <v>-1.5417297153501579</v>
      </c>
      <c r="GZ691" s="72">
        <f>IF(ISERROR(((GX691/GN691)^0.2-1)*100),"NA",IF((((GX691/GN691)^0.2-1)*100)&gt;100,"NM",IF((((GX691/GN691)^0.2-1)*100)&lt;-50,"NM",((GX691/GN691)^0.2-1)*100)))</f>
        <v>-2.8694270167876623</v>
      </c>
      <c r="HA691" s="72"/>
      <c r="HB691" s="72"/>
      <c r="HC691"/>
      <c r="HD691"/>
      <c r="HE691"/>
      <c r="HF691"/>
      <c r="HG691"/>
      <c r="HH691"/>
      <c r="HI691" s="2"/>
    </row>
    <row r="692" spans="1:217" s="3" customFormat="1" ht="12.75" customHeight="1" x14ac:dyDescent="0.2">
      <c r="A692" s="3" t="s">
        <v>54</v>
      </c>
      <c r="B692" s="4" t="s">
        <v>382</v>
      </c>
      <c r="C692" s="169"/>
      <c r="D692" s="188"/>
      <c r="E692" s="169"/>
      <c r="F692" s="11"/>
      <c r="G692" s="169"/>
      <c r="H692" s="11"/>
      <c r="I692" s="169">
        <f>I579/I679*400</f>
        <v>0</v>
      </c>
      <c r="J692" s="11"/>
      <c r="K692" s="169">
        <f>K579/K679*400</f>
        <v>16.587432045050754</v>
      </c>
      <c r="L692" s="72" t="str">
        <f>IF(ISERROR(K692/C692),"NA",IF(OR(K692/C692&gt;2,K692/C692&lt;0.5),"NM",K692/C692*100-100))</f>
        <v>NA</v>
      </c>
      <c r="M692" s="169">
        <f>M579/M679*400</f>
        <v>14.453853882589348</v>
      </c>
      <c r="N692" s="72" t="str">
        <f>IF(ISERROR(M692/E692),"NA",IF(OR(M692/E692&gt;2,M692/E692&lt;0.5),"NM",M692/E692*100-100))</f>
        <v>NA</v>
      </c>
      <c r="O692" s="169">
        <f>O579/O679*400</f>
        <v>8.9156275787117067</v>
      </c>
      <c r="P692" s="72" t="str">
        <f>IF(ISERROR(O692/G692),"NA",IF(OR(O692/G692&gt;2,O692/G692&lt;0.5),"NM",O692/G692*100-100))</f>
        <v>NA</v>
      </c>
      <c r="Q692" s="169">
        <f>Q579/Q679*400</f>
        <v>-7.3026164375637661</v>
      </c>
      <c r="R692" s="72" t="str">
        <f>IF(ISERROR(Q692/I692),"NA",IF(OR(Q692/I692&gt;2,Q692/I692&lt;0.5),"NM",Q692/I692*100-100))</f>
        <v>NA</v>
      </c>
      <c r="S692" s="169">
        <f>S579/S679*400</f>
        <v>9.2775982487230273</v>
      </c>
      <c r="T692" s="72">
        <f>IF(ISERROR(S692/K692),"NA",IF(OR(S692/K692&gt;2,S692/K692&lt;0.5),"NM",S692/K692*100-100))</f>
        <v>-44.068507870745343</v>
      </c>
      <c r="U692" s="169">
        <f>U579/U679*400</f>
        <v>5.7808857808857814</v>
      </c>
      <c r="V692" s="72" t="str">
        <f>IF(ISERROR(U692/M692),"NA",IF(OR(U692/M692&gt;2,U692/M692&lt;0.5),"NM",U692/M692*100-100))</f>
        <v>NM</v>
      </c>
      <c r="W692" s="169">
        <f>W579/W679*400</f>
        <v>10.750116962104277</v>
      </c>
      <c r="X692" s="72">
        <f>IF(ISERROR(W692/O692),"NA",IF(OR(W692/O692&gt;2,W692/O692&lt;0.5),"NM",W692/O692*100-100))</f>
        <v>20.576110511534523</v>
      </c>
      <c r="Y692" s="169">
        <f>Y579/Y679*400</f>
        <v>2.8379308519087201</v>
      </c>
      <c r="Z692" s="72" t="str">
        <f>IF(ISERROR(Y692/Q692),"NA",IF(OR(Y692/Q692&gt;2,Y692/Q692&lt;0.5),"NM",Y692/Q692*100-100))</f>
        <v>NM</v>
      </c>
      <c r="AA692" s="169">
        <f>AA579/AA679*400</f>
        <v>8.1038235215089873</v>
      </c>
      <c r="AB692" s="72">
        <f>IF(ISERROR(AA692/S692),"NA",IF(OR(AA692/S692&gt;2,AA692/S692&lt;0.5),"NM",AA692/S692*100-100))</f>
        <v>-12.651708941757619</v>
      </c>
      <c r="AC692" s="169">
        <f>AC579/AC679*400</f>
        <v>6.5087960343759255</v>
      </c>
      <c r="AD692" s="72">
        <f>IF(ISERROR(AC692/U692),"NA",IF(OR(AC692/U692&gt;2,AC692/U692&lt;0.5),"NM",AC692/U692*100-100))</f>
        <v>12.591673336583526</v>
      </c>
      <c r="AE692" s="169">
        <f>AE579/AE679*400</f>
        <v>8.9087820530104889</v>
      </c>
      <c r="AF692" s="72">
        <f>IF(ISERROR(AE692/W692),"NA",IF(OR(AE692/W692&gt;2,AE692/W692&lt;0.5),"NM",AE692/W692*100-100))</f>
        <v>-17.128510467232701</v>
      </c>
      <c r="AG692" s="169">
        <f>AG579/AG679*400</f>
        <v>15.794435316615941</v>
      </c>
      <c r="AH692" s="72" t="str">
        <f>IF(ISERROR(AG692/Y692),"NA",IF(OR(AG692/Y692&gt;2,AG692/Y692&lt;0.5),"NM",AG692/Y692*100-100))</f>
        <v>NM</v>
      </c>
      <c r="AI692" s="169">
        <f>AI579/AI679*400</f>
        <v>12.005280599186356</v>
      </c>
      <c r="AJ692" s="72">
        <f>IF(ISERROR(AI692/AA692),"NA",IF(OR(AI692/AA692&gt;2,AI692/AA692&lt;0.5),"NM",AI692/AA692*100-100))</f>
        <v>48.143411160450484</v>
      </c>
      <c r="AK692" s="169">
        <f>AK579/AK679*400</f>
        <v>15.695944678227775</v>
      </c>
      <c r="AL692" s="72" t="str">
        <f>IF(ISERROR(AK692/AC692),"NA",IF(OR(AK692/AC692&gt;2,AK692/AC692&lt;0.5),"NM",AK692/AC692*100-100))</f>
        <v>NM</v>
      </c>
      <c r="AM692" s="169">
        <f>AM579/AM679*400</f>
        <v>17.101986754966887</v>
      </c>
      <c r="AN692" s="72">
        <f>IF(ISERROR(AM692/AE692),"NA",IF(OR(AM692/AE692&gt;2,AM692/AE692&lt;0.5),"NM",AM692/AE692*100-100))</f>
        <v>91.967730866058417</v>
      </c>
      <c r="AO692" s="169">
        <f>AO579/AO679*400</f>
        <v>13.692135358324434</v>
      </c>
      <c r="AP692" s="72">
        <f>IF(ISERROR(AO692/AG692),"NA",IF(OR(AO692/AG692&gt;2,AO692/AG692&lt;0.5),"NM",AO692/AG692*100-100))</f>
        <v>-13.310383791181579</v>
      </c>
      <c r="AQ692" s="169">
        <f>AQ579/AQ679*400</f>
        <v>21.109951907173212</v>
      </c>
      <c r="AR692" s="72">
        <f>IF(ISERROR(AQ692/AI692),"NA",IF(OR(AQ692/AI692&gt;2,AQ692/AI692&lt;0.5),"NM",AQ692/AI692*100-100))</f>
        <v>75.838888002367185</v>
      </c>
      <c r="AS692" s="169">
        <f>AS579/AS679*400</f>
        <v>20.677131271922185</v>
      </c>
      <c r="AT692" s="72">
        <f>IF(ISERROR(AS692/AK692),"NA",IF(OR(AS692/AK692&gt;2,AS692/AK692&lt;0.5),"NM",AS692/AK692*100-100))</f>
        <v>31.735500448112163</v>
      </c>
      <c r="AU692" s="169">
        <f>AU579/AU679*400</f>
        <v>30.878549848942598</v>
      </c>
      <c r="AV692" s="72">
        <f>IF(ISERROR(AU692/AM692),"NA",IF(OR(AU692/AM692&gt;2,AU692/AM692&lt;0.5),"NM",AU692/AM692*100-100))</f>
        <v>80.555337174346818</v>
      </c>
      <c r="AW692" s="169">
        <f>AW579/AW679*400</f>
        <v>11.530423502846574</v>
      </c>
      <c r="AX692" s="72">
        <f>IF(ISERROR(AW692/AO692),"NA",IF(OR(AW692/AO692&gt;2,AW692/AO692&lt;0.5),"NM",AW692/AO692*100-100))</f>
        <v>-15.787981924701029</v>
      </c>
      <c r="AY692" s="169">
        <f>AY579/AY679*400</f>
        <v>11.826575866999491</v>
      </c>
      <c r="AZ692" s="72">
        <f>IF(ISERROR(AY692/AQ692),"NA",IF(OR(AY692/AQ692&gt;2,AY692/AQ692&lt;0.5),"NM",AY692/AQ692*100-100))</f>
        <v>-43.976301229844154</v>
      </c>
      <c r="BA692" s="169">
        <f>BA579/BA679*400</f>
        <v>7.8216887297016049</v>
      </c>
      <c r="BB692" s="72" t="str">
        <f>IF(ISERROR(BA692/AS692),"NA",IF(OR(BA692/AS692&gt;2,BA692/AS692&lt;0.5),"NM",BA692/AS692*100-100))</f>
        <v>NM</v>
      </c>
      <c r="BC692" s="169">
        <f>BC579/BC679*400</f>
        <v>19.695955636294102</v>
      </c>
      <c r="BD692" s="72">
        <f>IF(ISERROR(BC692/AU692),"NA",IF(OR(BC692/AU692&gt;2,BC692/AU692&lt;0.5),"NM",BC692/AU692*100-100))</f>
        <v>-36.214764836281432</v>
      </c>
      <c r="BE692" s="169">
        <f>BE579/BE679*400</f>
        <v>13.91599490878235</v>
      </c>
      <c r="BF692" s="72">
        <f>IF(ISERROR(BE692/AW692),"NA",IF(OR(BE692/AW692&gt;2,BE692/AW692&lt;0.5),"NM",BE692/AW692*100-100))</f>
        <v>20.689365012020914</v>
      </c>
      <c r="BG692" s="169">
        <f>BG579/BG679*400</f>
        <v>13.737581523644776</v>
      </c>
      <c r="BH692" s="72">
        <f>IF(ISERROR(BG692/AY692),"NA",IF(OR(BG692/AY692&gt;2,BG692/AY692&lt;0.5),"NM",BG692/AY692*100-100))</f>
        <v>16.158570985687376</v>
      </c>
      <c r="BI692" s="169">
        <f>BI579/BI679*400</f>
        <v>11.441731920773837</v>
      </c>
      <c r="BJ692" s="72">
        <f>IF(ISERROR(BI692/BA692),"NA",IF(OR(BI692/BA692&gt;2,BI692/BA692&lt;0.5),"NM",BI692/BA692*100-100))</f>
        <v>46.28211779031426</v>
      </c>
      <c r="BK692" s="169">
        <f>BK579/BK679*400</f>
        <v>13.343592993255783</v>
      </c>
      <c r="BL692" s="72">
        <f>IF(ISERROR(BK692/BC692),"NA",IF(OR(BK692/BC692&gt;2,BK692/BC692&lt;0.5),"NM",BK692/BC692*100-100))</f>
        <v>-32.252116933756199</v>
      </c>
      <c r="BM692" s="169">
        <f>BM579/BM679*400</f>
        <v>13.356879113822442</v>
      </c>
      <c r="BN692" s="72">
        <f>IF(ISERROR(BM692/BE692),"NA",IF(OR(BM692/BE692&gt;2,BM692/BE692&lt;0.5),"NM",BM692/BE692*100-100))</f>
        <v>-4.0177924656112936</v>
      </c>
      <c r="BO692" s="169">
        <f>BO579/BO679*400</f>
        <v>0.36628359507348562</v>
      </c>
      <c r="BP692" s="72" t="str">
        <f>IF(ISERROR(BO692/BG692),"NA",IF(OR(BO692/BG692&gt;2,BO692/BG692&lt;0.5),"NM",BO692/BG692*100-100))</f>
        <v>NM</v>
      </c>
      <c r="BQ692" s="169">
        <f>BQ579/BQ679*400</f>
        <v>9.4638057893113618</v>
      </c>
      <c r="BR692" s="72">
        <f>IF(ISERROR(BQ692/BI692),"NA",IF(OR(BQ692/BI692&gt;2,BQ692/BI692&lt;0.5),"NM",BQ692/BI692*100-100))</f>
        <v>-17.286946986332666</v>
      </c>
      <c r="BS692" s="169">
        <f>BS579/BS679*400</f>
        <v>-0.11955338272026644</v>
      </c>
      <c r="BT692" s="72" t="str">
        <f>IF(ISERROR(BS692/BK692),"NA",IF(OR(BS692/BK692&gt;2,BS692/BK692&lt;0.5),"NM",BS692/BK692*100-100))</f>
        <v>NM</v>
      </c>
      <c r="BU692" s="169">
        <f>BU579/BU679*400</f>
        <v>-23.628069852094178</v>
      </c>
      <c r="BV692" s="72" t="str">
        <f>IF(ISERROR(BU692/BM692),"NA",IF(OR(BU692/BM692&gt;2,BU692/BM692&lt;0.5),"NM",BU692/BM692*100-100))</f>
        <v>NM</v>
      </c>
      <c r="BW692" s="169">
        <f>BW579/BW679*400</f>
        <v>-0.36210928659441244</v>
      </c>
      <c r="BX692" s="72" t="str">
        <f>IF(ISERROR(BW692/BO692),"NA",IF(OR(BW692/BO692&gt;2,BW692/BO692&lt;0.5),"NM",BW692/BO692*100-100))</f>
        <v>NM</v>
      </c>
      <c r="BY692" s="169">
        <f>BY579/BY679*400</f>
        <v>9.8227752639517352</v>
      </c>
      <c r="BZ692" s="72">
        <f>IF(ISERROR(BY692/BQ692),"NA",IF(OR(BY692/BQ692&gt;2,BY692/BQ692&lt;0.5),"NM",BY692/BQ692*100-100))</f>
        <v>3.793077358432285</v>
      </c>
      <c r="CA692" s="169">
        <f>CA579/CA679*400</f>
        <v>17.72819116225951</v>
      </c>
      <c r="CB692" s="72" t="str">
        <f>IF(ISERROR(CA692/BS692),"NA",IF(OR(CA692/BS692&gt;2,CA692/BS692&lt;0.5),"NM",CA692/BS692*100-100))</f>
        <v>NM</v>
      </c>
      <c r="CC692" s="169">
        <f>CC579/CC679*400</f>
        <v>6.0084051096409103</v>
      </c>
      <c r="CD692" s="72" t="str">
        <f>IF(ISERROR(CC692/BU692),"NA",IF(OR(CC692/BU692&gt;2,CC692/BU692&lt;0.5),"NM",CC692/BU692*100-100))</f>
        <v>NM</v>
      </c>
      <c r="CE692" s="169">
        <f>CE579/CE679*400</f>
        <v>7.5169361773527132</v>
      </c>
      <c r="CF692" s="72" t="str">
        <f>IF(ISERROR(CE692/BW692),"NA",IF(OR(CE692/BW692&gt;2,CE692/BW692&lt;0.5),"NM",CE692/BW692*100-100))</f>
        <v>NM</v>
      </c>
      <c r="CG692" s="169">
        <f>CG579/CG679*400</f>
        <v>14.203003824214328</v>
      </c>
      <c r="CH692" s="72">
        <f>IF(ISERROR(CG692/BY692),"NA",IF(OR(CG692/BY692&gt;2,CG692/BY692&lt;0.5),"NM",CG692/BY692*100-100))</f>
        <v>44.592576360139702</v>
      </c>
      <c r="CI692" s="169">
        <f>CI579/CI679*400</f>
        <v>17.343951522099619</v>
      </c>
      <c r="CJ692" s="72">
        <f>IF(ISERROR(CI692/CA692),"NA",IF(OR(CI692/CA692&gt;2,CI692/CA692&lt;0.5),"NM",CI692/CA692*100-100))</f>
        <v>-2.1673933716253941</v>
      </c>
      <c r="CK692" s="169">
        <f>CK579/CK679*400</f>
        <v>0.93350737708160281</v>
      </c>
      <c r="CL692" s="72" t="str">
        <f>IF(ISERROR(CK692/CC692),"NA",IF(OR(CK692/CC692&gt;2,CK692/CC692&lt;0.5),"NM",CK692/CC692*100-100))</f>
        <v>NM</v>
      </c>
      <c r="CM692" s="169">
        <f>CM579/CM679*400</f>
        <v>6.8910906387005806</v>
      </c>
      <c r="CN692" s="72">
        <f>IF(ISERROR(CM692/CE692),"NA",IF(OR(CM692/CE692&gt;2,CM692/CE692&lt;0.5),"NM",CM692/CE692*100-100))</f>
        <v>-8.325806204630311</v>
      </c>
      <c r="CO692" s="169">
        <f>CO579/CO679*400</f>
        <v>11.746592061286568</v>
      </c>
      <c r="CP692" s="72">
        <f>IF(ISERROR(CO692/CG692),"NA",IF(OR(CO692/CG692&gt;2,CO692/CG692&lt;0.5),"NM",CO692/CG692*100-100))</f>
        <v>-17.29501585249092</v>
      </c>
      <c r="CQ692" s="169">
        <f>CQ579/CQ679*400</f>
        <v>22.034638335031289</v>
      </c>
      <c r="CR692" s="72">
        <f>IF(ISERROR(CQ692/CI692),"NA",IF(OR(CQ692/CI692&gt;2,CQ692/CI692&lt;0.5),"NM",CQ692/CI692*100-100))</f>
        <v>27.045087199158786</v>
      </c>
      <c r="CS692" s="169">
        <f>CS579/CS679*400</f>
        <v>7.4026160701451778</v>
      </c>
      <c r="CT692" s="72" t="str">
        <f>IF(ISERROR(CS692/CK692),"NA",IF(OR(CS692/CK692&gt;2,CS692/CK692&lt;0.5),"NM",CS692/CK692*100-100))</f>
        <v>NM</v>
      </c>
      <c r="CU692" s="169">
        <f>CU579/CU679*400</f>
        <v>-13.888224800926864</v>
      </c>
      <c r="CV692" s="72" t="str">
        <f>IF(ISERROR(CU692/CM692),"NA",IF(OR(CU692/CM692&gt;2,CU692/CM692&lt;0.5),"NM",CU692/CM692*100-100))</f>
        <v>NM</v>
      </c>
      <c r="CW692" s="169">
        <f>CW579/CW679*400</f>
        <v>32.28978381895741</v>
      </c>
      <c r="CX692" s="72" t="str">
        <f>IF(ISERROR(CW692/CO692),"NA",IF(OR(CW692/CO692&gt;2,CW692/CO692&lt;0.5),"NM",CW692/CO692*100-100))</f>
        <v>NM</v>
      </c>
      <c r="CY692" s="169">
        <f>CY579/CY679*400</f>
        <v>-9.0076416709316494</v>
      </c>
      <c r="CZ692" s="72" t="str">
        <f>IF(ISERROR(CY692/CQ692),"NA",IF(OR(CY692/CQ692&gt;2,CY692/CQ692&lt;0.5),"NM",CY692/CQ692*100-100))</f>
        <v>NM</v>
      </c>
      <c r="DA692" s="169">
        <f>DA579/DA679*400</f>
        <v>-2.5312772766947917</v>
      </c>
      <c r="DB692" s="72" t="str">
        <f>IF(ISERROR(DA692/CS692),"NA",IF(OR(DA692/CS692&gt;2,DA692/CS692&lt;0.5),"NM",DA692/CS692*100-100))</f>
        <v>NM</v>
      </c>
      <c r="DC692" s="169">
        <f>DC579/DC679*400</f>
        <v>-11.234138546855906</v>
      </c>
      <c r="DD692" s="72">
        <f>IF(ISERROR(DC692/CU692),"NA",IF(OR(DC692/CU692&gt;2,DC692/CU692&lt;0.5),"NM",DC692/CU692*100-100))</f>
        <v>-19.110334777226754</v>
      </c>
      <c r="DE692" s="169">
        <f>DE579/DE679*400</f>
        <v>-7.717091727805597</v>
      </c>
      <c r="DF692" s="72" t="str">
        <f>IF(ISERROR(DE692/CW692),"NA",IF(OR(DE692/CW692&gt;2,DE692/CW692&lt;0.5),"NM",DE692/CW692*100-100))</f>
        <v>NM</v>
      </c>
      <c r="DG692" s="169">
        <f>DG579/DG679*400</f>
        <v>15.072892539463185</v>
      </c>
      <c r="DH692" s="72" t="str">
        <f>IF(ISERROR(DG692/CY692),"NA",IF(OR(DG692/CY692&gt;2,DG692/CY692&lt;0.5),"NM",DG692/CY692*100-100))</f>
        <v>NM</v>
      </c>
      <c r="DI692" s="169">
        <f>DI579/DI679*400</f>
        <v>-6.1714686459002976</v>
      </c>
      <c r="DJ692" s="72" t="str">
        <f>IF(ISERROR(DI692/DA692),"NA",IF(OR(DI692/DA692&gt;2,DI692/DA692&lt;0.5),"NM",DI692/DA692*100-100))</f>
        <v>NM</v>
      </c>
      <c r="DK692" s="169">
        <f>DK579/DK679*400</f>
        <v>19.169130231834451</v>
      </c>
      <c r="DL692" s="72" t="str">
        <f>IF(ISERROR(DK692/DC692),"NA",IF(OR(DK692/DC692&gt;2,DK692/DC692&lt;0.5),"NM",DK692/DC692*100-100))</f>
        <v>NM</v>
      </c>
      <c r="DM692" s="169">
        <f>DM579/DM679*400</f>
        <v>16.064135531689608</v>
      </c>
      <c r="DN692" s="72" t="str">
        <f t="shared" si="3294"/>
        <v>NM</v>
      </c>
      <c r="DO692" s="169">
        <f>DO579/DO679*400</f>
        <v>7.0238228386086563</v>
      </c>
      <c r="DP692" s="72" t="str">
        <f t="shared" si="3294"/>
        <v>NM</v>
      </c>
      <c r="DQ692" s="169">
        <f>DQ579/DQ679*400</f>
        <v>-18.501558471543465</v>
      </c>
      <c r="DR692" s="72" t="str">
        <f t="shared" si="3294"/>
        <v>NM</v>
      </c>
      <c r="DS692" s="169">
        <f>DS579/DS679*400</f>
        <v>31.280054957636821</v>
      </c>
      <c r="DT692" s="72">
        <f t="shared" si="3294"/>
        <v>63.179312672671927</v>
      </c>
      <c r="DU692" s="169">
        <f>DU579/DU679*400</f>
        <v>20.855057351407716</v>
      </c>
      <c r="DV692" s="72">
        <f t="shared" si="3294"/>
        <v>29.823713889036185</v>
      </c>
      <c r="DW692" s="169">
        <f>DW579/DW679*400</f>
        <v>20.356410879911071</v>
      </c>
      <c r="DX692" s="72" t="str">
        <f t="shared" si="3294"/>
        <v>NM</v>
      </c>
      <c r="DY692" s="169">
        <f>DY579/DY679*400</f>
        <v>9.9622846658285482</v>
      </c>
      <c r="DZ692" s="72" t="str">
        <f t="shared" si="3294"/>
        <v>NM</v>
      </c>
      <c r="EA692" s="169">
        <f>EA579/EA679*400</f>
        <v>18.253291179471738</v>
      </c>
      <c r="EB692" s="72">
        <f>IF(ISERROR(EA692/DS692),"NA",IF(OR(EA692/DS692&gt;2,EA692/DS692&lt;0.5),"NM",EA692/DS692*100-100))</f>
        <v>-41.645591082904041</v>
      </c>
      <c r="EC692" s="169">
        <f>EC579/EC679*400</f>
        <v>12.001714530647236</v>
      </c>
      <c r="ED692" s="72">
        <f>IF(ISERROR(EC692/DU692),"NA",IF(OR(EC692/DU692&gt;2,EC692/DU692&lt;0.5),"NM",EC692/DU692*100-100))</f>
        <v>-42.451778825546505</v>
      </c>
      <c r="EE692" s="169">
        <f>EE579/EE679*400</f>
        <v>23.410982770858876</v>
      </c>
      <c r="EF692" s="72">
        <f>IF(ISERROR(EE692/DW692),"NA",IF(OR(EE692/DW692&gt;2,EE692/DW692&lt;0.5),"NM",EE692/DW692*100-100))</f>
        <v>15.005454099780621</v>
      </c>
      <c r="EG692" s="169">
        <f>EG579/EG679*400</f>
        <v>3.5953337158156433</v>
      </c>
      <c r="EH692" s="72" t="str">
        <f>IF(ISERROR(EG692/DY692),"NA",IF(OR(EG692/DY692&gt;2,EG692/DY692&lt;0.5),"NM",EG692/DY692*100-100))</f>
        <v>NM</v>
      </c>
      <c r="EI692" s="169">
        <f>EI579/EI679*400</f>
        <v>17.001404161999275</v>
      </c>
      <c r="EJ692" s="72">
        <f>IF(ISERROR(EI692/EA692),"NA",IF(OR(EI692/EA692&gt;2,EI692/EA692&lt;0.5),"NM",EI692/EA692*100-100))</f>
        <v>-6.8584180527420529</v>
      </c>
      <c r="EK692" s="169">
        <f>EK579/EK679*400</f>
        <v>6.0165361319153572</v>
      </c>
      <c r="EL692" s="72">
        <f>IF(ISERROR(EK692/EC692),"NA",IF(OR(EK692/EC692&gt;2,EK692/EC692&lt;0.5),"NM",EK692/EC692*100-100))</f>
        <v>-49.869361443719541</v>
      </c>
      <c r="EM692" s="169">
        <f>EM579/EM679*400</f>
        <v>26.979668068694291</v>
      </c>
      <c r="EN692" s="72">
        <f>IF(ISERROR(EM692/EE692),"NA",IF(OR(EM692/EE692&gt;2,EM692/EE692&lt;0.5),"NM",EM692/EE692*100-100))</f>
        <v>15.243637282402275</v>
      </c>
      <c r="EO692" s="169">
        <f>EO579/EO679*400</f>
        <v>43.792567472092699</v>
      </c>
      <c r="EP692" s="72" t="str">
        <f>IF(ISERROR(EO692/EG692),"NA",IF(OR(EO692/EG692&gt;2,EO692/EG692&lt;0.5),"NM",EO692/EG692*100-100))</f>
        <v>NM</v>
      </c>
      <c r="EQ692" s="171">
        <f>EQ579/EQ679*400</f>
        <v>23.016783419549782</v>
      </c>
      <c r="ER692" s="72">
        <f t="shared" si="3295"/>
        <v>35.381661421800629</v>
      </c>
      <c r="ES692" s="171">
        <f>ES579/ES679*400</f>
        <v>9.9810419692480412</v>
      </c>
      <c r="ET692" s="72">
        <f t="shared" si="3296"/>
        <v>65.893493372416401</v>
      </c>
      <c r="EU692" s="171">
        <f>EU579/EU679*400</f>
        <v>9.7100798488617084</v>
      </c>
      <c r="EV692" s="72" t="str">
        <f t="shared" si="3297"/>
        <v>NM</v>
      </c>
      <c r="EW692" s="171">
        <f>EW579/EW679*400</f>
        <v>8.2744011152655421</v>
      </c>
      <c r="EX692" s="72" t="str">
        <f t="shared" si="3298"/>
        <v>NM</v>
      </c>
      <c r="EY692" s="72"/>
      <c r="EZ692" s="320"/>
      <c r="FA692" s="72"/>
      <c r="FB692" s="171"/>
      <c r="FC692" s="82"/>
      <c r="FD692" s="170"/>
      <c r="FE692" s="72"/>
      <c r="FF692" s="169">
        <f>FF579/FF679*100</f>
        <v>-5.338266384778013</v>
      </c>
      <c r="FG692" s="72" t="str">
        <f>IF(ISERROR(FF692/FD692),"NA",IF(OR(FF692/FD692&gt;2,FF692/FD692&lt;0.5),"NM",FF692/FD692*100-100))</f>
        <v>NA</v>
      </c>
      <c r="FH692" s="169">
        <f>FH579/FH679*100</f>
        <v>7.3437064992111862</v>
      </c>
      <c r="FI692" s="72" t="str">
        <f>IF(ISERROR(FH692/FF692),"NA",IF(OR(FH692/FF692&gt;2,FH692/FF692&lt;0.5),"NM",FH692/FF692*100-100))</f>
        <v>NM</v>
      </c>
      <c r="FJ692" s="169">
        <f>FJ579/FJ679*100</f>
        <v>-6.1691067260768087</v>
      </c>
      <c r="FK692" s="72" t="str">
        <f>IF(ISERROR(FJ692/FH692),"NA",IF(OR(FJ692/FH692&gt;2,FJ692/FH692&lt;0.5),"NM",FJ692/FH692*100-100))</f>
        <v>NM</v>
      </c>
      <c r="FL692" s="169">
        <f>FL579/FL679*100</f>
        <v>-7.8743545611015486</v>
      </c>
      <c r="FM692" s="72">
        <f>IF(ISERROR(FL692/FJ692),"NA",IF(OR(FL692/FJ692&gt;2,FL692/FJ692&lt;0.5),"NM",FL692/FJ692*100-100))</f>
        <v>27.641730168431991</v>
      </c>
      <c r="FN692" s="169">
        <f>FN579/FN679*100</f>
        <v>-5.2904755631669085</v>
      </c>
      <c r="FO692" s="72">
        <f>IF(ISERROR(FN692/FL692),"NA",IF(OR(FN692/FL692&gt;2,FN692/FL692&lt;0.5),"NM",FN692/FL692*100-100))</f>
        <v>-32.813851318033358</v>
      </c>
      <c r="FP692" s="169">
        <f>FP579/FP679*100</f>
        <v>-18.653913566027342</v>
      </c>
      <c r="FQ692" s="72" t="str">
        <f>IF(ISERROR(FP692/FN692),"NA",IF(OR(FP692/FN692&gt;2,FP692/FN692&lt;0.5),"NM",FP692/FN692*100-100))</f>
        <v>NM</v>
      </c>
      <c r="FR692" s="171">
        <f>FR579/FR679*100</f>
        <v>-12.127455678006708</v>
      </c>
      <c r="FS692" s="72">
        <f>IF(ISERROR(FR692/FP692),"NA",IF(OR(FR692/FP692&gt;2,FR692/FP692&lt;0.5),"NM",FR692/FP692*100-100))</f>
        <v>-34.987070487485653</v>
      </c>
      <c r="FT692" s="171">
        <f>FT579/FT679*100</f>
        <v>-11.795693351552559</v>
      </c>
      <c r="FU692" s="72">
        <f>IF(ISERROR(FT692/FR692),"NA",IF(OR(FT692/FR692&gt;2,FT692/FR692&lt;0.5),"NM",FT692/FR692*100-100))</f>
        <v>-2.7356300881462232</v>
      </c>
      <c r="FV692" s="171">
        <f>FV579/FV679*100</f>
        <v>-19.582648782521272</v>
      </c>
      <c r="FW692" s="72">
        <f>IF(ISERROR(FV692/FT692),"NA",IF(OR(FV692/FT692&gt;2,FV692/FT692&lt;0.5),"NM",FV692/FT692*100-100))</f>
        <v>66.015241316389307</v>
      </c>
      <c r="FX692" s="171">
        <f>FX579/FX679*100</f>
        <v>-3.398332467180333</v>
      </c>
      <c r="FY692" s="72" t="str">
        <f>IF(ISERROR(FX692/FV692),"NA",IF(OR(FX692/FV692&gt;2,FX692/FV692&lt;0.5),"NM",FX692/FV692*100-100))</f>
        <v>NM</v>
      </c>
      <c r="FZ692" s="171">
        <f>FZ579/FZ679*100</f>
        <v>9.1453110399809134E-2</v>
      </c>
      <c r="GA692" s="72" t="str">
        <f>IF(ISERROR(FZ692/FX692),"NA",IF(OR(FZ692/FX692&gt;2,FZ692/FX692&lt;0.5),"NM",FZ692/FX692*100-100))</f>
        <v>NM</v>
      </c>
      <c r="GB692" s="171">
        <f>GB579/GB679*100</f>
        <v>-1.8982949109939788</v>
      </c>
      <c r="GC692" s="72" t="str">
        <f>IF(ISERROR(GB692/FZ692),"NA",IF(OR(GB692/FZ692&gt;2,GB692/FZ692&lt;0.5),"NM",GB692/FZ692*100-100))</f>
        <v>NM</v>
      </c>
      <c r="GD692" s="171">
        <f>GD579/GD679*100</f>
        <v>1.2491781722550954</v>
      </c>
      <c r="GE692" s="72" t="str">
        <f>IF(ISERROR(GD692/GB692),"NA",IF(OR(GD692/GB692&gt;2,GD692/GB692&lt;0.5),"NM",GD692/GB692*100-100))</f>
        <v>NM</v>
      </c>
      <c r="GF692" s="171">
        <f>GF579/GF679*100</f>
        <v>10.907005638918092</v>
      </c>
      <c r="GG692" s="72" t="str">
        <f>IF(ISERROR(GF692/GD692),"NA",IF(OR(GF692/GD692&gt;2,GF692/GD692&lt;0.5),"NM",GF692/GD692*100-100))</f>
        <v>NM</v>
      </c>
      <c r="GH692" s="171">
        <f>GH579/GH679*100</f>
        <v>12.93702131036946</v>
      </c>
      <c r="GI692" s="72">
        <f t="shared" si="3299"/>
        <v>18.612034674374044</v>
      </c>
      <c r="GJ692" s="171">
        <f>GJ579/GJ679*100</f>
        <v>20.828458613629717</v>
      </c>
      <c r="GK692" s="72">
        <f t="shared" si="3299"/>
        <v>60.998873805170319</v>
      </c>
      <c r="GL692" s="171">
        <f>GL579/GL679*100</f>
        <v>14.36389633013953</v>
      </c>
      <c r="GM692" s="72">
        <f t="shared" si="3299"/>
        <v>-31.037161238901803</v>
      </c>
      <c r="GN692" s="171">
        <f>GN579/GN679*100</f>
        <v>23.227867579172589</v>
      </c>
      <c r="GO692" s="72">
        <f t="shared" si="3299"/>
        <v>61.710075353537121</v>
      </c>
      <c r="GP692" s="171">
        <f>GP579/GP679*100</f>
        <v>12.848149935623987</v>
      </c>
      <c r="GQ692" s="72">
        <f t="shared" si="3299"/>
        <v>-44.686485352859684</v>
      </c>
      <c r="GR692" s="171">
        <f>GR579/GR679*100</f>
        <v>11.30451515185432</v>
      </c>
      <c r="GS692" s="72">
        <f t="shared" si="3299"/>
        <v>-12.014451819943659</v>
      </c>
      <c r="GT692" s="171">
        <f>GT579/GT679*100</f>
        <v>10.976437387637745</v>
      </c>
      <c r="GU692" s="72">
        <f t="shared" si="3299"/>
        <v>-2.9021834179483506</v>
      </c>
      <c r="GV692" s="171">
        <f>GV579/GV679*100</f>
        <v>10.71372928923363</v>
      </c>
      <c r="GW692" s="72">
        <f>IF(ISERROR(GV692/GT692),"NA",IF(OR(GV692/GT692&gt;2,GV692/GT692&lt;0.5),"NM",GV692/GT692*100-100))</f>
        <v>-2.3933821979433105</v>
      </c>
      <c r="GX692" s="171">
        <f>GX579/GX679*100</f>
        <v>10.465684282603879</v>
      </c>
      <c r="GY692" s="72">
        <f>IF(ISERROR(GX692/GV692),"NA",IF(OR(GX692/GV692&gt;2,GX692/GV692&lt;0.5),"NM",GX692/GV692*100-100))</f>
        <v>-2.3152069641988646</v>
      </c>
      <c r="GZ692" s="72">
        <f>IF(ISERROR(((GX692/GN692)^0.2-1)*100),"NA",IF((((GX692/GN692)^0.2-1)*100)&gt;100,"NM",IF((((GX692/GN692)^0.2-1)*100)&lt;-50,"NM",((GX692/GN692)^0.2-1)*100)))</f>
        <v>-14.738757442968298</v>
      </c>
      <c r="HA692" s="72"/>
      <c r="HB692" s="72"/>
      <c r="HC692"/>
      <c r="HD692"/>
      <c r="HE692"/>
      <c r="HF692"/>
      <c r="HG692"/>
      <c r="HH692"/>
      <c r="HI692" s="2"/>
    </row>
    <row r="693" spans="1:217" s="3" customFormat="1" ht="12.75" customHeight="1" x14ac:dyDescent="0.2">
      <c r="A693" s="3" t="s">
        <v>676</v>
      </c>
      <c r="B693" s="4" t="s">
        <v>500</v>
      </c>
      <c r="C693" s="169"/>
      <c r="D693" s="188"/>
      <c r="E693" s="169"/>
      <c r="F693" s="11"/>
      <c r="G693" s="169"/>
      <c r="H693" s="11"/>
      <c r="I693" s="169">
        <f>I579/I678*400</f>
        <v>0</v>
      </c>
      <c r="J693" s="11"/>
      <c r="K693" s="169">
        <f>K579/K678*400</f>
        <v>15.857402819773892</v>
      </c>
      <c r="L693" s="72" t="str">
        <f>IF(ISERROR(K693/C693),"NA",IF(OR(K693/C693&gt;2,K693/C693&lt;0.5),"NM",K693/C693*100-100))</f>
        <v>NA</v>
      </c>
      <c r="M693" s="169">
        <f>M579/M678*400</f>
        <v>13.678348274925293</v>
      </c>
      <c r="N693" s="72" t="str">
        <f>IF(ISERROR(M693/E693),"NA",IF(OR(M693/E693&gt;2,M693/E693&lt;0.5),"NM",M693/E693*100-100))</f>
        <v>NA</v>
      </c>
      <c r="O693" s="169">
        <f>O579/O678*400</f>
        <v>8.3320427263420136</v>
      </c>
      <c r="P693" s="72" t="str">
        <f>IF(ISERROR(O693/G693),"NA",IF(OR(O693/G693&gt;2,O693/G693&lt;0.5),"NM",O693/G693*100-100))</f>
        <v>NA</v>
      </c>
      <c r="Q693" s="169">
        <f>Q579/Q678*400</f>
        <v>-6.9484302868298782</v>
      </c>
      <c r="R693" s="72" t="str">
        <f>IF(ISERROR(Q693/I693),"NA",IF(OR(Q693/I693&gt;2,Q693/I693&lt;0.5),"NM",Q693/I693*100-100))</f>
        <v>NA</v>
      </c>
      <c r="S693" s="169">
        <f>S579/S678*400</f>
        <v>9.1050922018465936</v>
      </c>
      <c r="T693" s="72">
        <f>IF(ISERROR(S693/K693),"NA",IF(OR(S693/K693&gt;2,S693/K693&lt;0.5),"NM",S693/K693*100-100))</f>
        <v>-42.581440950136482</v>
      </c>
      <c r="U693" s="169">
        <f>U579/U678*400</f>
        <v>5.6206088992974239</v>
      </c>
      <c r="V693" s="72" t="str">
        <f>IF(ISERROR(U693/M693),"NA",IF(OR(U693/M693&gt;2,U693/M693&lt;0.5),"NM",U693/M693*100-100))</f>
        <v>NM</v>
      </c>
      <c r="W693" s="169">
        <f>W579/W678*400</f>
        <v>10.015255345424608</v>
      </c>
      <c r="X693" s="72">
        <f>IF(ISERROR(W693/O693),"NA",IF(OR(W693/O693&gt;2,W693/O693&lt;0.5),"NM",W693/O693*100-100))</f>
        <v>20.201680120543131</v>
      </c>
      <c r="Y693" s="169">
        <f>Y579/Y678*400</f>
        <v>2.576861133145838</v>
      </c>
      <c r="Z693" s="72" t="str">
        <f>IF(ISERROR(Y693/Q693),"NA",IF(OR(Y693/Q693&gt;2,Y693/Q693&lt;0.5),"NM",Y693/Q693*100-100))</f>
        <v>NM</v>
      </c>
      <c r="AA693" s="169">
        <f>AA579/AA678*400</f>
        <v>7.2463419908219402</v>
      </c>
      <c r="AB693" s="72">
        <f>IF(ISERROR(AA693/S693),"NA",IF(OR(AA693/S693&gt;2,AA693/S693&lt;0.5),"NM",AA693/S693*100-100))</f>
        <v>-20.414402949677793</v>
      </c>
      <c r="AC693" s="169">
        <f>AC579/AC678*400</f>
        <v>5.6413010484040438</v>
      </c>
      <c r="AD693" s="72">
        <f>IF(ISERROR(AC693/U693),"NA",IF(OR(AC693/U693&gt;2,AC693/U693&lt;0.5),"NM",AC693/U693*100-100))</f>
        <v>0.36814781952195119</v>
      </c>
      <c r="AE693" s="169">
        <f>AE579/AE678*400</f>
        <v>7.8092131697747522</v>
      </c>
      <c r="AF693" s="72">
        <f>IF(ISERROR(AE693/W693),"NA",IF(OR(AE693/W693&gt;2,AE693/W693&lt;0.5),"NM",AE693/W693*100-100))</f>
        <v>-22.026819083126711</v>
      </c>
      <c r="AG693" s="169">
        <f>AG579/AG678*400</f>
        <v>14.344071818204055</v>
      </c>
      <c r="AH693" s="72" t="str">
        <f>IF(ISERROR(AG693/Y693),"NA",IF(OR(AG693/Y693&gt;2,AG693/Y693&lt;0.5),"NM",AG693/Y693*100-100))</f>
        <v>NM</v>
      </c>
      <c r="AI693" s="169">
        <f>AI579/AI678*400</f>
        <v>10.821575151176628</v>
      </c>
      <c r="AJ693" s="72">
        <f>IF(ISERROR(AI693/AA693),"NA",IF(OR(AI693/AA693&gt;2,AI693/AA693&lt;0.5),"NM",AI693/AA693*100-100))</f>
        <v>49.338454697321765</v>
      </c>
      <c r="AK693" s="169">
        <f>AK579/AK678*400</f>
        <v>14.474985169072575</v>
      </c>
      <c r="AL693" s="72" t="str">
        <f>IF(ISERROR(AK693/AC693),"NA",IF(OR(AK693/AC693&gt;2,AK693/AC693&lt;0.5),"NM",AK693/AC693*100-100))</f>
        <v>NM</v>
      </c>
      <c r="AM693" s="169">
        <f>AM579/AM678*400</f>
        <v>16.109392154905681</v>
      </c>
      <c r="AN693" s="72" t="str">
        <f>IF(ISERROR(AM693/AE693),"NA",IF(OR(AM693/AE693&gt;2,AM693/AE693&lt;0.5),"NM",AM693/AE693*100-100))</f>
        <v>NM</v>
      </c>
      <c r="AO693" s="169">
        <f>AO579/AO678*400</f>
        <v>12.614601833629338</v>
      </c>
      <c r="AP693" s="72">
        <f>IF(ISERROR(AO693/AG693),"NA",IF(OR(AO693/AG693&gt;2,AO693/AG693&lt;0.5),"NM",AO693/AG693*100-100))</f>
        <v>-12.057036568792469</v>
      </c>
      <c r="AQ693" s="169">
        <f>AQ579/AQ678*400</f>
        <v>19.541610722445999</v>
      </c>
      <c r="AR693" s="72">
        <f>IF(ISERROR(AQ693/AI693),"NA",IF(OR(AQ693/AI693&gt;2,AQ693/AI693&lt;0.5),"NM",AQ693/AI693*100-100))</f>
        <v>80.580095313769959</v>
      </c>
      <c r="AS693" s="169">
        <f>AS579/AS678*400</f>
        <v>19.055915999908297</v>
      </c>
      <c r="AT693" s="72">
        <f>IF(ISERROR(AS693/AK693),"NA",IF(OR(AS693/AK693&gt;2,AS693/AK693&lt;0.5),"NM",AS693/AK693*100-100))</f>
        <v>31.647222966579591</v>
      </c>
      <c r="AU693" s="169">
        <f>AU579/AU678*400</f>
        <v>28.474636712133368</v>
      </c>
      <c r="AV693" s="72">
        <f>IF(ISERROR(AU693/AM693),"NA",IF(OR(AU693/AM693&gt;2,AU693/AM693&lt;0.5),"NM",AU693/AM693*100-100))</f>
        <v>76.757983406979037</v>
      </c>
      <c r="AW693" s="169">
        <f>AW579/AW678*400</f>
        <v>10.872765986363738</v>
      </c>
      <c r="AX693" s="72">
        <f>IF(ISERROR(AW693/AO693),"NA",IF(OR(AW693/AO693&gt;2,AW693/AO693&lt;0.5),"NM",AW693/AO693*100-100))</f>
        <v>-13.808092163654578</v>
      </c>
      <c r="AY693" s="169">
        <f>AY579/AY678*400</f>
        <v>11.379800853485063</v>
      </c>
      <c r="AZ693" s="72">
        <f>IF(ISERROR(AY693/AQ693),"NA",IF(OR(AY693/AQ693&gt;2,AY693/AQ693&lt;0.5),"NM",AY693/AQ693*100-100))</f>
        <v>-41.766310796407737</v>
      </c>
      <c r="BA693" s="169">
        <f>BA579/BA678*400</f>
        <v>7.7593450651813791</v>
      </c>
      <c r="BB693" s="72" t="str">
        <f>IF(ISERROR(BA693/AS693),"NA",IF(OR(BA693/AS693&gt;2,BA693/AS693&lt;0.5),"NM",BA693/AS693*100-100))</f>
        <v>NM</v>
      </c>
      <c r="BC693" s="169">
        <f>BC579/BC678*400</f>
        <v>19.398733432210371</v>
      </c>
      <c r="BD693" s="72">
        <f>IF(ISERROR(BC693/AU693),"NA",IF(OR(BC693/AU693&gt;2,BC693/AU693&lt;0.5),"NM",BC693/AU693*100-100))</f>
        <v>-31.873640291451551</v>
      </c>
      <c r="BE693" s="169">
        <f>BE579/BE678*400</f>
        <v>13.497016665523626</v>
      </c>
      <c r="BF693" s="72">
        <f>IF(ISERROR(BE693/AW693),"NA",IF(OR(BE693/AW693&gt;2,BE693/AW693&lt;0.5),"NM",BE693/AW693*100-100))</f>
        <v>24.135998902681564</v>
      </c>
      <c r="BG693" s="169">
        <f>BG579/BG678*400</f>
        <v>13.370037538391536</v>
      </c>
      <c r="BH693" s="72">
        <f>IF(ISERROR(BG693/AY693),"NA",IF(OR(BG693/AY693&gt;2,BG693/AY693&lt;0.5),"NM",BG693/AY693*100-100))</f>
        <v>17.48920486861563</v>
      </c>
      <c r="BI693" s="169">
        <f>BI579/BI678*400</f>
        <v>11.295273173726212</v>
      </c>
      <c r="BJ693" s="72">
        <f>IF(ISERROR(BI693/BA693),"NA",IF(OR(BI693/BA693&gt;2,BI693/BA693&lt;0.5),"NM",BI693/BA693*100-100))</f>
        <v>45.569929921168892</v>
      </c>
      <c r="BK693" s="169">
        <f>BK579/BK678*400</f>
        <v>13.470721286755467</v>
      </c>
      <c r="BL693" s="72">
        <f>IF(ISERROR(BK693/BC693),"NA",IF(OR(BK693/BC693&gt;2,BK693/BC693&lt;0.5),"NM",BK693/BC693*100-100))</f>
        <v>-30.558758726030106</v>
      </c>
      <c r="BM693" s="169">
        <f>BM579/BM678*400</f>
        <v>13.308349709793884</v>
      </c>
      <c r="BN693" s="72">
        <f>IF(ISERROR(BM693/BE693),"NA",IF(OR(BM693/BE693&gt;2,BM693/BE693&lt;0.5),"NM",BM693/BE693*100-100))</f>
        <v>-1.3978419113289391</v>
      </c>
      <c r="BO693" s="169">
        <f>BO579/BO678*400</f>
        <v>0.3664010259228726</v>
      </c>
      <c r="BP693" s="72" t="str">
        <f>IF(ISERROR(BO693/BG693),"NA",IF(OR(BO693/BG693&gt;2,BO693/BG693&lt;0.5),"NM",BO693/BG693*100-100))</f>
        <v>NM</v>
      </c>
      <c r="BQ693" s="169">
        <f>BQ579/BQ678*400</f>
        <v>9.8329137102311748</v>
      </c>
      <c r="BR693" s="72">
        <f>IF(ISERROR(BQ693/BI693),"NA",IF(OR(BQ693/BI693&gt;2,BQ693/BI693&lt;0.5),"NM",BQ693/BI693*100-100))</f>
        <v>-12.946649815398999</v>
      </c>
      <c r="BS693" s="169">
        <f>BS579/BS678*400</f>
        <v>-0.13009036634376378</v>
      </c>
      <c r="BT693" s="72" t="str">
        <f>IF(ISERROR(BS693/BK693),"NA",IF(OR(BS693/BK693&gt;2,BS693/BK693&lt;0.5),"NM",BS693/BK693*100-100))</f>
        <v>NM</v>
      </c>
      <c r="BU693" s="169">
        <f>BU579/BU678*400</f>
        <v>-28.804134134696401</v>
      </c>
      <c r="BV693" s="72" t="str">
        <f>IF(ISERROR(BU693/BM693),"NA",IF(OR(BU693/BM693&gt;2,BU693/BM693&lt;0.5),"NM",BU693/BM693*100-100))</f>
        <v>NM</v>
      </c>
      <c r="BW693" s="169">
        <f>BW579/BW678*400</f>
        <v>-0.50277574107049339</v>
      </c>
      <c r="BX693" s="72" t="str">
        <f>IF(ISERROR(BW693/BO693),"NA",IF(OR(BW693/BO693&gt;2,BW693/BO693&lt;0.5),"NM",BW693/BO693*100-100))</f>
        <v>NM</v>
      </c>
      <c r="BY693" s="169">
        <f>BY579/BY678*400</f>
        <v>12.61883136542537</v>
      </c>
      <c r="BZ693" s="72">
        <f>IF(ISERROR(BY693/BQ693),"NA",IF(OR(BY693/BQ693&gt;2,BY693/BQ693&lt;0.5),"NM",BY693/BQ693*100-100))</f>
        <v>28.332575036181197</v>
      </c>
      <c r="CA693" s="169">
        <f>CA579/CA678*400</f>
        <v>19.255725190839694</v>
      </c>
      <c r="CB693" s="72" t="str">
        <f>IF(ISERROR(CA693/BS693),"NA",IF(OR(CA693/BS693&gt;2,CA693/BS693&lt;0.5),"NM",CA693/BS693*100-100))</f>
        <v>NM</v>
      </c>
      <c r="CC693" s="169">
        <f>CC579/CC678*400</f>
        <v>6.0937269216972973</v>
      </c>
      <c r="CD693" s="72" t="str">
        <f>IF(ISERROR(CC693/BU693),"NA",IF(OR(CC693/BU693&gt;2,CC693/BU693&lt;0.5),"NM",CC693/BU693*100-100))</f>
        <v>NM</v>
      </c>
      <c r="CE693" s="169">
        <f>CE579/CE678*400</f>
        <v>7.5587894126331321</v>
      </c>
      <c r="CF693" s="72" t="str">
        <f>IF(ISERROR(CE693/BW693),"NA",IF(OR(CE693/BW693&gt;2,CE693/BW693&lt;0.5),"NM",CE693/BW693*100-100))</f>
        <v>NM</v>
      </c>
      <c r="CG693" s="169">
        <f>CG579/CG678*400</f>
        <v>13.533375404596626</v>
      </c>
      <c r="CH693" s="72">
        <f>IF(ISERROR(CG693/BY693),"NA",IF(OR(CG693/BY693&gt;2,CG693/BY693&lt;0.5),"NM",CG693/BY693*100-100))</f>
        <v>7.2474543219353649</v>
      </c>
      <c r="CI693" s="169">
        <f>CI579/CI678*400</f>
        <v>15.308445665136786</v>
      </c>
      <c r="CJ693" s="72">
        <f>IF(ISERROR(CI693/CA693),"NA",IF(OR(CI693/CA693&gt;2,CI693/CA693&lt;0.5),"NM",CI693/CA693*100-100))</f>
        <v>-20.499251451618676</v>
      </c>
      <c r="CK693" s="169">
        <f>CK579/CK678*400</f>
        <v>0.81675030282055716</v>
      </c>
      <c r="CL693" s="72" t="str">
        <f>IF(ISERROR(CK693/CC693),"NA",IF(OR(CK693/CC693&gt;2,CK693/CC693&lt;0.5),"NM",CK693/CC693*100-100))</f>
        <v>NM</v>
      </c>
      <c r="CM693" s="169">
        <f>CM579/CM678*400</f>
        <v>6.2804738518948797</v>
      </c>
      <c r="CN693" s="72">
        <f>IF(ISERROR(CM693/CE693),"NA",IF(OR(CM693/CE693&gt;2,CM693/CE693&lt;0.5),"NM",CM693/CE693*100-100))</f>
        <v>-16.911644060380652</v>
      </c>
      <c r="CO693" s="169">
        <f>CO579/CO678*400</f>
        <v>10.557758838916548</v>
      </c>
      <c r="CP693" s="72">
        <f>IF(ISERROR(CO693/CG693),"NA",IF(OR(CO693/CG693&gt;2,CO693/CG693&lt;0.5),"NM",CO693/CG693*100-100))</f>
        <v>-21.987246172668833</v>
      </c>
      <c r="CQ693" s="169">
        <f>CQ579/CQ678*400</f>
        <v>19.027570497211531</v>
      </c>
      <c r="CR693" s="72">
        <f>IF(ISERROR(CQ693/CI693),"NA",IF(OR(CQ693/CI693&gt;2,CQ693/CI693&lt;0.5),"NM",CQ693/CI693*100-100))</f>
        <v>24.294594718682788</v>
      </c>
      <c r="CS693" s="169">
        <f>CS579/CS678*400</f>
        <v>6.2692108706899177</v>
      </c>
      <c r="CT693" s="72" t="str">
        <f>IF(ISERROR(CS693/CK693),"NA",IF(OR(CS693/CK693&gt;2,CS693/CK693&lt;0.5),"NM",CS693/CK693*100-100))</f>
        <v>NM</v>
      </c>
      <c r="CU693" s="169">
        <f>CU579/CU678*400</f>
        <v>-11.383094175810925</v>
      </c>
      <c r="CV693" s="72" t="str">
        <f>IF(ISERROR(CU693/CM693),"NA",IF(OR(CU693/CM693&gt;2,CU693/CM693&lt;0.5),"NM",CU693/CM693*100-100))</f>
        <v>NM</v>
      </c>
      <c r="CW693" s="169">
        <f>CW579/CW678*400</f>
        <v>25.476326297775241</v>
      </c>
      <c r="CX693" s="72" t="str">
        <f>IF(ISERROR(CW693/CO693),"NA",IF(OR(CW693/CO693&gt;2,CW693/CO693&lt;0.5),"NM",CW693/CO693*100-100))</f>
        <v>NM</v>
      </c>
      <c r="CY693" s="169">
        <f>CY579/CY678*400</f>
        <v>-6.9176763980374618</v>
      </c>
      <c r="CZ693" s="72" t="str">
        <f>IF(ISERROR(CY693/CQ693),"NA",IF(OR(CY693/CQ693&gt;2,CY693/CQ693&lt;0.5),"NM",CY693/CQ693*100-100))</f>
        <v>NM</v>
      </c>
      <c r="DA693" s="169">
        <f>DA579/DA678*400</f>
        <v>-1.8761372060111869</v>
      </c>
      <c r="DB693" s="72" t="str">
        <f>IF(ISERROR(DA693/CS693),"NA",IF(OR(DA693/CS693&gt;2,DA693/CS693&lt;0.5),"NM",DA693/CS693*100-100))</f>
        <v>NM</v>
      </c>
      <c r="DC693" s="169">
        <f>DC579/DC678*400</f>
        <v>-7.9259396800976152</v>
      </c>
      <c r="DD693" s="72">
        <f>IF(ISERROR(DC693/CU693),"NA",IF(OR(DC693/CU693&gt;2,DC693/CU693&lt;0.5),"NM",DC693/CU693*100-100))</f>
        <v>-30.37095575524414</v>
      </c>
      <c r="DE693" s="169">
        <f>DE579/DE678*400</f>
        <v>-5.517547633255159</v>
      </c>
      <c r="DF693" s="72" t="str">
        <f>IF(ISERROR(DE693/CW693),"NA",IF(OR(DE693/CW693&gt;2,DE693/CW693&lt;0.5),"NM",DE693/CW693*100-100))</f>
        <v>NM</v>
      </c>
      <c r="DG693" s="169">
        <f>DG579/DG678*400</f>
        <v>11.647389715282687</v>
      </c>
      <c r="DH693" s="72" t="str">
        <f>IF(ISERROR(DG693/CY693),"NA",IF(OR(DG693/CY693&gt;2,DG693/CY693&lt;0.5),"NM",DG693/CY693*100-100))</f>
        <v>NM</v>
      </c>
      <c r="DI693" s="169">
        <f>DI579/DI678*400</f>
        <v>-4.7494115706939715</v>
      </c>
      <c r="DJ693" s="72" t="str">
        <f>IF(ISERROR(DI693/DA693),"NA",IF(OR(DI693/DA693&gt;2,DI693/DA693&lt;0.5),"NM",DI693/DA693*100-100))</f>
        <v>NM</v>
      </c>
      <c r="DK693" s="169">
        <f>DK579/DK678*400</f>
        <v>13.949472790319156</v>
      </c>
      <c r="DL693" s="72" t="str">
        <f>IF(ISERROR(DK693/DC693),"NA",IF(OR(DK693/DC693&gt;2,DK693/DC693&lt;0.5),"NM",DK693/DC693*100-100))</f>
        <v>NM</v>
      </c>
      <c r="DM693" s="169">
        <f>DM579/DM678*400</f>
        <v>11.115617599727866</v>
      </c>
      <c r="DN693" s="72" t="str">
        <f t="shared" si="3294"/>
        <v>NM</v>
      </c>
      <c r="DO693" s="169">
        <f>DO579/DO678*400</f>
        <v>4.7179024866651638</v>
      </c>
      <c r="DP693" s="72" t="str">
        <f t="shared" si="3294"/>
        <v>NM</v>
      </c>
      <c r="DQ693" s="169">
        <f>DQ579/DQ678*400</f>
        <v>-11.844698462751282</v>
      </c>
      <c r="DR693" s="72" t="str">
        <f t="shared" si="3294"/>
        <v>NM</v>
      </c>
      <c r="DS693" s="169">
        <f>DS579/DS678*400</f>
        <v>19.05492589363557</v>
      </c>
      <c r="DT693" s="72">
        <f t="shared" si="3294"/>
        <v>36.599613333484285</v>
      </c>
      <c r="DU693" s="169">
        <f>DU579/DU678*400</f>
        <v>13.369138036350225</v>
      </c>
      <c r="DV693" s="72">
        <f t="shared" si="3294"/>
        <v>20.273461338554227</v>
      </c>
      <c r="DW693" s="169">
        <f>DW579/DW678*400</f>
        <v>13.879184775529055</v>
      </c>
      <c r="DX693" s="72" t="str">
        <f t="shared" si="3294"/>
        <v>NM</v>
      </c>
      <c r="DY693" s="169">
        <f>DY579/DY678*400</f>
        <v>6.930622857818225</v>
      </c>
      <c r="DZ693" s="72" t="str">
        <f t="shared" si="3294"/>
        <v>NM</v>
      </c>
      <c r="EA693" s="169">
        <f>EA579/EA678*400</f>
        <v>11.973840143966994</v>
      </c>
      <c r="EB693" s="72">
        <f>IF(ISERROR(EA693/DS693),"NA",IF(OR(EA693/DS693&gt;2,EA693/DS693&lt;0.5),"NM",EA693/DS693*100-100))</f>
        <v>-37.161444705663691</v>
      </c>
      <c r="EC693" s="169">
        <f>EC579/EC678*400</f>
        <v>6.9737812646684105</v>
      </c>
      <c r="ED693" s="72">
        <f>IF(ISERROR(EC693/DU693),"NA",IF(OR(EC693/DU693&gt;2,EC693/DU693&lt;0.5),"NM",EC693/DU693*100-100))</f>
        <v>-47.836717328320347</v>
      </c>
      <c r="EE693" s="169">
        <f>EE579/EE678*400</f>
        <v>13.005915038537372</v>
      </c>
      <c r="EF693" s="72">
        <f>IF(ISERROR(EE693/DW693),"NA",IF(OR(EE693/DW693&gt;2,EE693/DW693&lt;0.5),"NM",EE693/DW693*100-100))</f>
        <v>-6.2919382594529623</v>
      </c>
      <c r="EG693" s="169">
        <f>EG579/EG678*400</f>
        <v>2.205407941814769</v>
      </c>
      <c r="EH693" s="72" t="str">
        <f>IF(ISERROR(EG693/DY693),"NA",IF(OR(EG693/DY693&gt;2,EG693/DY693&lt;0.5),"NM",EG693/DY693*100-100))</f>
        <v>NM</v>
      </c>
      <c r="EI693" s="169">
        <f>EI579/EI678*400</f>
        <v>11.631245480155862</v>
      </c>
      <c r="EJ693" s="72">
        <f>IF(ISERROR(EI693/EA693),"NA",IF(OR(EI693/EA693&gt;2,EI693/EA693&lt;0.5),"NM",EI693/EA693*100-100))</f>
        <v>-2.8611928979505308</v>
      </c>
      <c r="EK693" s="169">
        <f>EK579/EK678*400</f>
        <v>4.0576301087915319</v>
      </c>
      <c r="EL693" s="72">
        <f>IF(ISERROR(EK693/EC693),"NA",IF(OR(EK693/EC693&gt;2,EK693/EC693&lt;0.5),"NM",EK693/EC693*100-100))</f>
        <v>-41.815925180376809</v>
      </c>
      <c r="EM693" s="169">
        <f>EM579/EM678*400</f>
        <v>17.980711820840543</v>
      </c>
      <c r="EN693" s="72">
        <f>IF(ISERROR(EM693/EE693),"NA",IF(OR(EM693/EE693&gt;2,EM693/EE693&lt;0.5),"NM",EM693/EE693*100-100))</f>
        <v>38.25026357286302</v>
      </c>
      <c r="EO693" s="169">
        <f>EO579/EO678*400</f>
        <v>29.673885984565594</v>
      </c>
      <c r="EP693" s="72" t="str">
        <f>IF(ISERROR(EO693/EG693),"NA",IF(OR(EO693/EG693&gt;2,EO693/EG693&lt;0.5),"NM",EO693/EG693*100-100))</f>
        <v>NM</v>
      </c>
      <c r="EQ693" s="171">
        <f>EQ579/EQ678*400</f>
        <v>15.988585070123126</v>
      </c>
      <c r="ER693" s="72">
        <f t="shared" si="3295"/>
        <v>37.462364605762531</v>
      </c>
      <c r="ES693" s="171">
        <f>ES579/ES678*400</f>
        <v>7.0423885927039613</v>
      </c>
      <c r="ET693" s="72">
        <f t="shared" si="3296"/>
        <v>73.559156549175185</v>
      </c>
      <c r="EU693" s="171">
        <f>EU579/EU678*400</f>
        <v>6.8618722379241497</v>
      </c>
      <c r="EV693" s="72" t="str">
        <f t="shared" si="3297"/>
        <v>NM</v>
      </c>
      <c r="EW693" s="171">
        <f>EW579/EW678*400</f>
        <v>5.8529989615844391</v>
      </c>
      <c r="EX693" s="72" t="str">
        <f t="shared" si="3298"/>
        <v>NM</v>
      </c>
      <c r="EY693" s="72"/>
      <c r="EZ693" s="320"/>
      <c r="FA693" s="72"/>
      <c r="FB693" s="171"/>
      <c r="FC693" s="82"/>
      <c r="FD693" s="170"/>
      <c r="FE693" s="72"/>
      <c r="FF693" s="169">
        <f>FF579/FF678*100</f>
        <v>-5.0914590234768831</v>
      </c>
      <c r="FG693" s="72" t="str">
        <f>IF(ISERROR(FF693/FD693),"NA",IF(OR(FF693/FD693&gt;2,FF693/FD693&lt;0.5),"NM",FF693/FD693*100-100))</f>
        <v>NA</v>
      </c>
      <c r="FH693" s="169">
        <f>FH579/FH678*100</f>
        <v>7.1105520112618681</v>
      </c>
      <c r="FI693" s="72" t="str">
        <f>IF(ISERROR(FH693/FF693),"NA",IF(OR(FH693/FF693&gt;2,FH693/FF693&lt;0.5),"NM",FH693/FF693*100-100))</f>
        <v>NM</v>
      </c>
      <c r="FJ693" s="169">
        <f>FJ579/FJ678*100</f>
        <v>-5.7849184241941902</v>
      </c>
      <c r="FK693" s="72" t="str">
        <f>IF(ISERROR(FJ693/FH693),"NA",IF(OR(FJ693/FH693&gt;2,FJ693/FH693&lt;0.5),"NM",FJ693/FH693*100-100))</f>
        <v>NM</v>
      </c>
      <c r="FL693" s="169">
        <f>FL579/FL678*100</f>
        <v>-7.1585741528531619</v>
      </c>
      <c r="FM693" s="72">
        <f>IF(ISERROR(FL693/FJ693),"NA",IF(OR(FL693/FJ693&gt;2,FL693/FJ693&lt;0.5),"NM",FL693/FJ693*100-100))</f>
        <v>23.745464117764371</v>
      </c>
      <c r="FN693" s="169">
        <f>FN579/FN678*100</f>
        <v>-4.8328479626465137</v>
      </c>
      <c r="FO693" s="72">
        <f>IF(ISERROR(FN693/FL693),"NA",IF(OR(FN693/FL693&gt;2,FN693/FL693&lt;0.5),"NM",FN693/FL693*100-100))</f>
        <v>-32.488679177538359</v>
      </c>
      <c r="FP693" s="169">
        <f>FP579/FP678*100</f>
        <v>-17.380957935748782</v>
      </c>
      <c r="FQ693" s="72" t="str">
        <f>IF(ISERROR(FP693/FN693),"NA",IF(OR(FP693/FN693&gt;2,FP693/FN693&lt;0.5),"NM",FP693/FN693*100-100))</f>
        <v>NM</v>
      </c>
      <c r="FR693" s="171">
        <f>FR579/FR678*100</f>
        <v>-11.678663713547435</v>
      </c>
      <c r="FS693" s="72">
        <f>IF(ISERROR(FR693/FP693),"NA",IF(OR(FR693/FP693&gt;2,FR693/FP693&lt;0.5),"NM",FR693/FP693*100-100))</f>
        <v>-32.8077096974787</v>
      </c>
      <c r="FT693" s="171">
        <f>FT579/FT678*100</f>
        <v>-11.536139720282941</v>
      </c>
      <c r="FU693" s="72">
        <f>IF(ISERROR(FT693/FR693),"NA",IF(OR(FT693/FR693&gt;2,FT693/FR693&lt;0.5),"NM",FT693/FR693*100-100))</f>
        <v>-1.2203792896199559</v>
      </c>
      <c r="FV693" s="171">
        <f>FV579/FV678*100</f>
        <v>-22.181484876260313</v>
      </c>
      <c r="FW693" s="72">
        <f>IF(ISERROR(FV693/FT693),"NA",IF(OR(FV693/FT693&gt;2,FV693/FT693&lt;0.5),"NM",FV693/FT693*100-100))</f>
        <v>92.278226634691634</v>
      </c>
      <c r="FX693" s="171">
        <f>FX579/FX678*100</f>
        <v>-3.9119804400977993</v>
      </c>
      <c r="FY693" s="72" t="str">
        <f>IF(ISERROR(FX693/FV693),"NA",IF(OR(FX693/FV693&gt;2,FX693/FV693&lt;0.5),"NM",FX693/FV693*100-100))</f>
        <v>NM</v>
      </c>
      <c r="FZ693" s="171">
        <f>FZ579/FZ678*100</f>
        <v>8.7679170478804511E-2</v>
      </c>
      <c r="GA693" s="72" t="str">
        <f>IF(ISERROR(FZ693/FX693),"NA",IF(OR(FZ693/FX693&gt;2,FZ693/FX693&lt;0.5),"NM",FZ693/FX693*100-100))</f>
        <v>NM</v>
      </c>
      <c r="GB693" s="171">
        <f>GB579/GB678*100</f>
        <v>-1.6555695519165019</v>
      </c>
      <c r="GC693" s="72" t="str">
        <f>IF(ISERROR(GB693/FZ693),"NA",IF(OR(GB693/FZ693&gt;2,GB693/FZ693&lt;0.5),"NM",GB693/FZ693*100-100))</f>
        <v>NM</v>
      </c>
      <c r="GD693" s="171">
        <f>GD579/GD678*100</f>
        <v>0.97961989602280053</v>
      </c>
      <c r="GE693" s="72" t="str">
        <f>IF(ISERROR(GD693/GB693),"NA",IF(OR(GD693/GB693&gt;2,GD693/GB693&lt;0.5),"NM",GD693/GB693*100-100))</f>
        <v>NM</v>
      </c>
      <c r="GF693" s="171">
        <f>GF579/GF678*100</f>
        <v>8.0489765978756118</v>
      </c>
      <c r="GG693" s="72" t="str">
        <f>IF(ISERROR(GF693/GD693),"NA",IF(OR(GF693/GD693&gt;2,GF693/GD693&lt;0.5),"NM",GF693/GD693*100-100))</f>
        <v>NM</v>
      </c>
      <c r="GH693" s="171">
        <f>GH579/GH678*100</f>
        <v>8.7088932225576361</v>
      </c>
      <c r="GI693" s="72">
        <f t="shared" si="3299"/>
        <v>8.198764360380892</v>
      </c>
      <c r="GJ693" s="171">
        <f>GJ579/GJ678*100</f>
        <v>13.749079895258898</v>
      </c>
      <c r="GK693" s="72">
        <f t="shared" si="3299"/>
        <v>57.87402077276883</v>
      </c>
      <c r="GL693" s="171">
        <f>GL579/GL678*100</f>
        <v>9.9597734550385741</v>
      </c>
      <c r="GM693" s="72">
        <f t="shared" si="3299"/>
        <v>-27.560436546208393</v>
      </c>
      <c r="GN693" s="171">
        <f>GN579/GN678*100</f>
        <v>15.860785334027138</v>
      </c>
      <c r="GO693" s="72">
        <f t="shared" si="3299"/>
        <v>59.24845485319031</v>
      </c>
      <c r="GP693" s="171">
        <f>GP579/GP678*100</f>
        <v>8.9418994842653277</v>
      </c>
      <c r="GQ693" s="72">
        <f t="shared" si="3299"/>
        <v>-43.622593106523489</v>
      </c>
      <c r="GR693" s="171">
        <f>GR579/GR678*100</f>
        <v>8.0401596289184241</v>
      </c>
      <c r="GS693" s="72">
        <f t="shared" si="3299"/>
        <v>-10.084432920920833</v>
      </c>
      <c r="GT693" s="171">
        <f>GT579/GT678*100</f>
        <v>7.8801402723345957</v>
      </c>
      <c r="GU693" s="72">
        <f t="shared" si="3299"/>
        <v>-1.9902509896480041</v>
      </c>
      <c r="GV693" s="171">
        <f>GV579/GV678*100</f>
        <v>7.7528928444009955</v>
      </c>
      <c r="GW693" s="72">
        <f>IF(ISERROR(GV693/GT693),"NA",IF(OR(GV693/GT693&gt;2,GV693/GT693&lt;0.5),"NM",GV693/GT693*100-100))</f>
        <v>-1.614786330394864</v>
      </c>
      <c r="GX693" s="171">
        <f>GX579/GX678*100</f>
        <v>7.6262849779372157</v>
      </c>
      <c r="GY693" s="72">
        <f>IF(ISERROR(GX693/GV693),"NA",IF(OR(GX693/GV693&gt;2,GX693/GV693&lt;0.5),"NM",GX693/GV693*100-100))</f>
        <v>-1.6330403244927254</v>
      </c>
      <c r="GZ693" s="72">
        <f>IF(ISERROR(((GX693/GN693)^0.2-1)*100),"NA",IF((((GX693/GN693)^0.2-1)*100)&gt;100,"NM",IF((((GX693/GN693)^0.2-1)*100)&lt;-50,"NM",((GX693/GN693)^0.2-1)*100)))</f>
        <v>-13.623089055241898</v>
      </c>
      <c r="HA693" s="72"/>
      <c r="HB693" s="72"/>
      <c r="HC693"/>
      <c r="HD693"/>
      <c r="HE693"/>
      <c r="HF693"/>
      <c r="HG693"/>
      <c r="HH693"/>
      <c r="HI693" s="2"/>
    </row>
    <row r="694" spans="1:217" s="3" customFormat="1" ht="12.75" customHeight="1" x14ac:dyDescent="0.2">
      <c r="B694" s="4" t="s">
        <v>22</v>
      </c>
      <c r="C694" s="169"/>
      <c r="D694" s="188"/>
      <c r="E694" s="169"/>
      <c r="F694" s="11"/>
      <c r="G694" s="169"/>
      <c r="H694" s="11"/>
      <c r="I694" s="169"/>
      <c r="J694" s="11"/>
      <c r="K694" s="169"/>
      <c r="L694" s="72"/>
      <c r="M694" s="169"/>
      <c r="N694" s="72"/>
      <c r="O694" s="169"/>
      <c r="P694" s="72"/>
      <c r="Q694" s="169"/>
      <c r="R694" s="72"/>
      <c r="S694" s="169"/>
      <c r="T694" s="72"/>
      <c r="U694" s="169"/>
      <c r="V694" s="72"/>
      <c r="W694" s="169"/>
      <c r="X694" s="72"/>
      <c r="Y694" s="169"/>
      <c r="Z694" s="72"/>
      <c r="AA694" s="169"/>
      <c r="AB694" s="72"/>
      <c r="AC694" s="169"/>
      <c r="AD694" s="72"/>
      <c r="AE694" s="169"/>
      <c r="AF694" s="72"/>
      <c r="AG694" s="169"/>
      <c r="AH694" s="72"/>
      <c r="AI694" s="169"/>
      <c r="AJ694" s="72"/>
      <c r="AK694" s="169"/>
      <c r="AL694" s="72"/>
      <c r="AM694" s="169"/>
      <c r="AN694" s="72"/>
      <c r="AO694" s="169"/>
      <c r="AP694" s="72"/>
      <c r="AQ694" s="169"/>
      <c r="AR694" s="72"/>
      <c r="AS694" s="169"/>
      <c r="AT694" s="72"/>
      <c r="AU694" s="169"/>
      <c r="AV694" s="72"/>
      <c r="AW694" s="169"/>
      <c r="AX694" s="72"/>
      <c r="AY694" s="169"/>
      <c r="AZ694" s="72"/>
      <c r="BA694" s="169"/>
      <c r="BB694" s="72"/>
      <c r="BC694" s="169"/>
      <c r="BD694" s="72"/>
      <c r="BE694" s="169"/>
      <c r="BF694" s="72"/>
      <c r="BG694" s="169"/>
      <c r="BH694" s="72"/>
      <c r="BI694" s="169"/>
      <c r="BJ694" s="72"/>
      <c r="BK694" s="169"/>
      <c r="BL694" s="72"/>
      <c r="BM694" s="169"/>
      <c r="BN694" s="72"/>
      <c r="BO694" s="169"/>
      <c r="BP694" s="72"/>
      <c r="BQ694" s="169"/>
      <c r="BR694" s="72"/>
      <c r="BS694" s="169"/>
      <c r="BT694" s="72"/>
      <c r="BU694" s="169"/>
      <c r="BV694" s="72"/>
      <c r="BW694" s="169"/>
      <c r="BX694" s="72"/>
      <c r="BY694" s="169"/>
      <c r="BZ694" s="72"/>
      <c r="CA694" s="169"/>
      <c r="CB694" s="72"/>
      <c r="CC694" s="169"/>
      <c r="CD694" s="72"/>
      <c r="CE694" s="169"/>
      <c r="CF694" s="72"/>
      <c r="CG694" s="169"/>
      <c r="CH694" s="72"/>
      <c r="CI694" s="169"/>
      <c r="CJ694" s="72"/>
      <c r="CK694" s="169"/>
      <c r="CL694" s="72"/>
      <c r="CM694" s="169">
        <f>CM546/AVERAGE(CK656,CM656)*400</f>
        <v>0.64561392255359074</v>
      </c>
      <c r="CN694" s="72"/>
      <c r="CO694" s="169">
        <f>CO546/AVERAGE(CM656,CO656)*400</f>
        <v>0.59456291555648766</v>
      </c>
      <c r="CP694" s="72"/>
      <c r="CQ694" s="169">
        <f>CQ546/AVERAGE(CO656,CQ656)*400</f>
        <v>0.32488541010802002</v>
      </c>
      <c r="CR694" s="72"/>
      <c r="CS694" s="169">
        <f>CS546/AVERAGE(CQ656,CS656)*400</f>
        <v>0.67045532855232992</v>
      </c>
      <c r="CT694" s="72"/>
      <c r="CU694" s="169">
        <f>CU546/AVERAGE(CS656,CU656)*400</f>
        <v>0.59136512533125973</v>
      </c>
      <c r="CV694" s="72"/>
      <c r="CW694" s="169">
        <f>CW546/AVERAGE(CU656,CW656)*400</f>
        <v>0.47635310713490236</v>
      </c>
      <c r="CX694" s="72"/>
      <c r="CY694" s="169">
        <f>CY546/AVERAGE(CW656,CY656)*400</f>
        <v>0.52868898754292282</v>
      </c>
      <c r="CZ694" s="72"/>
      <c r="DA694" s="169">
        <f>DA546/AVERAGE(CY656,DA656)*400</f>
        <v>0.53855300584534915</v>
      </c>
      <c r="DB694" s="72"/>
      <c r="DC694" s="169">
        <f>DC546/AVERAGE(DA656,DC656)*400</f>
        <v>0.6628657904896601</v>
      </c>
      <c r="DD694" s="72"/>
      <c r="DE694" s="169">
        <f>DE546/AVERAGE(DC656,DE656)*400</f>
        <v>0.6769998163190809</v>
      </c>
      <c r="DF694" s="72"/>
      <c r="DG694" s="169">
        <f>DG546/AVERAGE(DE656,DG656)*400</f>
        <v>0.84959129838083836</v>
      </c>
      <c r="DH694" s="72"/>
      <c r="DI694" s="169">
        <f>DI546/AVERAGE(DG656,DI656)*400</f>
        <v>0.63461462561592807</v>
      </c>
      <c r="DJ694" s="72"/>
      <c r="DK694" s="169">
        <f>DK546/AVERAGE(DI656,DK656)*400</f>
        <v>0.67752194111528463</v>
      </c>
      <c r="DL694" s="72"/>
      <c r="DM694" s="169">
        <f>DM546/AVERAGE(DK656,DM656)*400</f>
        <v>0.68443893366398012</v>
      </c>
      <c r="DN694" s="72">
        <f t="shared" si="3294"/>
        <v>1.0988359473044653</v>
      </c>
      <c r="DO694" s="169">
        <f>DO546/AVERAGE(DM656,DO656)*400</f>
        <v>0.59432751567783815</v>
      </c>
      <c r="DP694" s="72">
        <f t="shared" si="3294"/>
        <v>-30.045479890093645</v>
      </c>
      <c r="DQ694" s="169">
        <f>DQ546/AVERAGE(DO656,DQ656)*400</f>
        <v>0.56949542935291153</v>
      </c>
      <c r="DR694" s="72">
        <f t="shared" si="3294"/>
        <v>-10.261218956278356</v>
      </c>
      <c r="DS694" s="169">
        <f>DS546/AVERAGE(DQ656,DS656)*400</f>
        <v>0.73745443285819701</v>
      </c>
      <c r="DT694" s="72">
        <f t="shared" si="3294"/>
        <v>8.8458377664132968</v>
      </c>
      <c r="DU694" s="169">
        <f>DU546/AVERAGE(DS656,DU656)*400</f>
        <v>0.76532727307514881</v>
      </c>
      <c r="DV694" s="72">
        <f t="shared" si="3294"/>
        <v>11.818196691142674</v>
      </c>
      <c r="DW694" s="169">
        <f>DW546/AVERAGE(DU656,DW656)*400</f>
        <v>0.63877355477483233</v>
      </c>
      <c r="DX694" s="72">
        <f t="shared" si="3294"/>
        <v>7.4783747890761845</v>
      </c>
      <c r="DY694" s="169">
        <f>DY546/AVERAGE(DW656,DY656)*400</f>
        <v>0.51406799573340878</v>
      </c>
      <c r="DZ694" s="72">
        <f t="shared" si="3294"/>
        <v>-9.732726684476134</v>
      </c>
      <c r="EA694" s="169">
        <f>EA546/AVERAGE(DY656,EA656)*400</f>
        <v>0.56777897053756765</v>
      </c>
      <c r="EB694" s="72">
        <f>IF(ISERROR(EA694/DS694),"NA",IF(OR(EA694/DS694&gt;2,EA694/DS694&lt;0.5),"NM",EA694/DS694*100-100))</f>
        <v>-23.008263936119803</v>
      </c>
      <c r="EC694" s="169">
        <f>EC546/AVERAGE(EA656,EC656)*400</f>
        <v>0.45982335073386615</v>
      </c>
      <c r="ED694" s="72">
        <f>IF(ISERROR(EC694/DU694),"NA",IF(OR(EC694/DU694&gt;2,EC694/DU694&lt;0.5),"NM",EC694/DU694*100-100))</f>
        <v>-39.918075977319148</v>
      </c>
      <c r="EE694" s="169">
        <f>EE546/AVERAGE(EC656,EE656)*400</f>
        <v>0.63471086811417277</v>
      </c>
      <c r="EF694" s="72">
        <f>IF(ISERROR(EE694/DW694),"NA",IF(OR(EE694/DW694&gt;2,EE694/DW694&lt;0.5),"NM",EE694/DW694*100-100))</f>
        <v>-0.6360135967262579</v>
      </c>
      <c r="EG694" s="169">
        <f>EG546/AVERAGE(EE656,EG656)*400</f>
        <v>0.58499192659731269</v>
      </c>
      <c r="EH694" s="72">
        <f>IF(ISERROR(EG694/DY694),"NA",IF(OR(EG694/DY694&gt;2,EG694/DY694&lt;0.5),"NM",EG694/DY694*100-100))</f>
        <v>13.796605011895053</v>
      </c>
      <c r="EI694" s="169">
        <f>EI546/AVERAGE(EG656,EI656)*400</f>
        <v>0.67409248856597392</v>
      </c>
      <c r="EJ694" s="72">
        <f>IF(ISERROR(EI694/EA694),"NA",IF(OR(EI694/EA694&gt;2,EI694/EA694&lt;0.5),"NM",EI694/EA694*100-100))</f>
        <v>18.724455033575765</v>
      </c>
      <c r="EK694" s="169">
        <f>EK546/AVERAGE(EI656,EK656)*400</f>
        <v>0.49304331525777567</v>
      </c>
      <c r="EL694" s="72">
        <f>IF(ISERROR(EK694/EC694),"NA",IF(OR(EK694/EC694&gt;2,EK694/EC694&lt;0.5),"NM",EK694/EC694*100-100))</f>
        <v>7.2245057739871896</v>
      </c>
      <c r="EM694" s="169">
        <f>EM546/AVERAGE(EK656,EM656)*400</f>
        <v>0.69620723715654309</v>
      </c>
      <c r="EN694" s="72">
        <f>IF(ISERROR(EM694/EE694),"NA",IF(OR(EM694/EE694&gt;2,EM694/EE694&lt;0.5),"NM",EM694/EE694*100-100))</f>
        <v>9.6888791624264883</v>
      </c>
      <c r="EO694" s="169">
        <f>EO546/AVERAGE(EM656,EO656)*400</f>
        <v>0.60898634825031073</v>
      </c>
      <c r="EP694" s="72">
        <f>IF(ISERROR(EO694/EG694),"NA",IF(OR(EO694/EG694&gt;2,EO694/EG694&lt;0.5),"NM",EO694/EG694*100-100))</f>
        <v>4.1016671448040256</v>
      </c>
      <c r="EQ694" s="169">
        <f>EQ546/AVERAGE(EO656,EQ656)*400</f>
        <v>0.68522951816163835</v>
      </c>
      <c r="ER694" s="72">
        <f t="shared" si="3295"/>
        <v>1.6521515644472942</v>
      </c>
      <c r="ES694" s="169">
        <f>ES546/AVERAGE(EQ656,ES656)*400</f>
        <v>0.67903749769587141</v>
      </c>
      <c r="ET694" s="72">
        <f t="shared" si="3296"/>
        <v>37.723700267765139</v>
      </c>
      <c r="EU694" s="169">
        <f>EU546/AVERAGE(ES656,EU656)*400</f>
        <v>0.6616319566575557</v>
      </c>
      <c r="EV694" s="72">
        <f t="shared" si="3297"/>
        <v>-4.9662339966760669</v>
      </c>
      <c r="EW694" s="169">
        <f>EW546/AVERAGE(EU656,EW656)*400</f>
        <v>0.58766643289797027</v>
      </c>
      <c r="EX694" s="72">
        <f t="shared" si="3298"/>
        <v>-3.5008855967945891</v>
      </c>
      <c r="EY694" s="72"/>
      <c r="EZ694" s="320"/>
      <c r="FA694" s="72"/>
      <c r="FB694" s="171"/>
      <c r="FC694" s="82"/>
      <c r="FD694" s="170"/>
      <c r="FE694" s="72"/>
      <c r="FF694" s="169"/>
      <c r="FG694" s="72"/>
      <c r="FH694" s="169"/>
      <c r="FI694" s="72"/>
      <c r="FJ694" s="169"/>
      <c r="FK694" s="72"/>
      <c r="FL694" s="169"/>
      <c r="FM694" s="72"/>
      <c r="FN694" s="169"/>
      <c r="FO694" s="72"/>
      <c r="FP694" s="169"/>
      <c r="FQ694" s="72"/>
      <c r="FR694" s="171"/>
      <c r="FS694" s="72"/>
      <c r="FT694" s="171"/>
      <c r="FU694" s="72"/>
      <c r="FV694" s="171"/>
      <c r="FW694" s="72"/>
      <c r="FX694" s="171"/>
      <c r="FY694" s="72"/>
      <c r="FZ694" s="171"/>
      <c r="GA694" s="72"/>
      <c r="GB694" s="169">
        <f>GB546/AVERAGE(FZ656,GB656)*100</f>
        <v>0.47627530396073908</v>
      </c>
      <c r="GC694" s="72"/>
      <c r="GD694" s="169">
        <f>GD546/AVERAGE(GB656,GD656)*100</f>
        <v>0.43554058198102075</v>
      </c>
      <c r="GE694" s="72"/>
      <c r="GF694" s="169">
        <f>GF546/AVERAGE(GD656,GF656)*100</f>
        <v>0.73405679612843</v>
      </c>
      <c r="GG694" s="72"/>
      <c r="GH694" s="169">
        <f>GH546/AVERAGE(GF656,GH656)*100</f>
        <v>0.62465833249334324</v>
      </c>
      <c r="GI694" s="72">
        <f t="shared" si="3299"/>
        <v>-14.903269639635141</v>
      </c>
      <c r="GJ694" s="169">
        <f>GJ546/AVERAGE(GH656,GJ656)*100</f>
        <v>0.66842795780090225</v>
      </c>
      <c r="GK694" s="72">
        <f t="shared" si="3299"/>
        <v>7.0069705358529717</v>
      </c>
      <c r="GL694" s="169">
        <f>GL546/AVERAGE(GJ656,GL656)*100</f>
        <v>0.57699418278091863</v>
      </c>
      <c r="GM694" s="72">
        <f t="shared" si="3299"/>
        <v>-13.678927392683661</v>
      </c>
      <c r="GN694" s="169">
        <f>GN546/AVERAGE(GL656,GN656)*100</f>
        <v>0.61903845108905287</v>
      </c>
      <c r="GO694" s="72">
        <f t="shared" si="3299"/>
        <v>7.286775077262476</v>
      </c>
      <c r="GP694" s="169">
        <f>GP546/AVERAGE(GN656,GP656)*100</f>
        <v>0.65265175618394056</v>
      </c>
      <c r="GQ694" s="72">
        <f t="shared" si="3299"/>
        <v>5.4299220081972237</v>
      </c>
      <c r="GR694" s="169">
        <f>GR546/AVERAGE(GP656,GR656)*100</f>
        <v>0.62325405304771309</v>
      </c>
      <c r="GS694" s="72">
        <f t="shared" si="3299"/>
        <v>-4.504347511162166</v>
      </c>
      <c r="GT694" s="169">
        <f>GT546/AVERAGE(GR656,GT656)*100</f>
        <v>0.59413371046009034</v>
      </c>
      <c r="GU694" s="72">
        <f t="shared" si="3299"/>
        <v>-4.6723069742144929</v>
      </c>
      <c r="GV694" s="169">
        <f>GV546/AVERAGE(GT656,GV656)*100</f>
        <v>0.56697462218559513</v>
      </c>
      <c r="GW694" s="72">
        <f>IF(ISERROR(GV694/GT694),"NA",IF(OR(GV694/GT694&gt;2,GV694/GT694&lt;0.5),"NM",GV694/GT694*100-100))</f>
        <v>-4.5712080961478421</v>
      </c>
      <c r="GX694" s="169">
        <f>GX546/AVERAGE(GV656,GX656)*100</f>
        <v>0.54019076022022972</v>
      </c>
      <c r="GY694" s="72">
        <f>IF(ISERROR(GX694/GV694),"NA",IF(OR(GX694/GV694&gt;2,GX694/GV694&lt;0.5),"NM",GX694/GV694*100-100))</f>
        <v>-4.723996615953979</v>
      </c>
      <c r="GZ694" s="72"/>
      <c r="HA694" s="72"/>
      <c r="HB694" s="72"/>
      <c r="HC694"/>
      <c r="HD694"/>
      <c r="HE694"/>
      <c r="HF694"/>
      <c r="HG694"/>
      <c r="HH694"/>
      <c r="HI694" s="2"/>
    </row>
    <row r="695" spans="1:217" s="3" customFormat="1" ht="12.75" customHeight="1" x14ac:dyDescent="0.2">
      <c r="B695" s="4" t="s">
        <v>790</v>
      </c>
      <c r="C695" s="169"/>
      <c r="D695" s="188"/>
      <c r="E695" s="169"/>
      <c r="F695" s="11"/>
      <c r="G695" s="169"/>
      <c r="H695" s="11"/>
      <c r="I695" s="169"/>
      <c r="J695" s="11"/>
      <c r="K695" s="169"/>
      <c r="L695" s="72"/>
      <c r="M695" s="169"/>
      <c r="N695" s="72"/>
      <c r="O695" s="169"/>
      <c r="P695" s="72"/>
      <c r="Q695" s="169"/>
      <c r="R695" s="72"/>
      <c r="S695" s="169"/>
      <c r="T695" s="72"/>
      <c r="U695" s="169"/>
      <c r="V695" s="72"/>
      <c r="W695" s="169"/>
      <c r="X695" s="72"/>
      <c r="Y695" s="169"/>
      <c r="Z695" s="72"/>
      <c r="AA695" s="169"/>
      <c r="AB695" s="72"/>
      <c r="AC695" s="169"/>
      <c r="AD695" s="72"/>
      <c r="AE695" s="169"/>
      <c r="AF695" s="72"/>
      <c r="AG695" s="169"/>
      <c r="AH695" s="72"/>
      <c r="AI695" s="169"/>
      <c r="AJ695" s="72"/>
      <c r="AK695" s="169"/>
      <c r="AL695" s="72"/>
      <c r="AM695" s="169"/>
      <c r="AN695" s="72"/>
      <c r="AO695" s="169"/>
      <c r="AP695" s="72"/>
      <c r="AQ695" s="169"/>
      <c r="AR695" s="72"/>
      <c r="AS695" s="169"/>
      <c r="AT695" s="72"/>
      <c r="AU695" s="169"/>
      <c r="AV695" s="72"/>
      <c r="AW695" s="169"/>
      <c r="AX695" s="72"/>
      <c r="AY695" s="169"/>
      <c r="AZ695" s="72"/>
      <c r="BA695" s="169"/>
      <c r="BB695" s="72"/>
      <c r="BC695" s="169"/>
      <c r="BD695" s="72"/>
      <c r="BE695" s="169"/>
      <c r="BF695" s="72"/>
      <c r="BG695" s="169"/>
      <c r="BH695" s="72"/>
      <c r="BI695" s="169"/>
      <c r="BJ695" s="72"/>
      <c r="BK695" s="169"/>
      <c r="BL695" s="72"/>
      <c r="BM695" s="169"/>
      <c r="BN695" s="72"/>
      <c r="BO695" s="169"/>
      <c r="BP695" s="72"/>
      <c r="BQ695" s="169"/>
      <c r="BR695" s="72"/>
      <c r="BS695" s="169"/>
      <c r="BT695" s="72"/>
      <c r="BU695" s="169"/>
      <c r="BV695" s="72"/>
      <c r="BW695" s="169">
        <f>(BW561*400)/(BW679-BW713)</f>
        <v>8.835466592903666</v>
      </c>
      <c r="BX695" s="72"/>
      <c r="BY695" s="169">
        <f>(BY561*400)/(BY679-BY713)</f>
        <v>10.681561085972849</v>
      </c>
      <c r="BZ695" s="72"/>
      <c r="CA695" s="169">
        <f>(CA561*400)/(CA679-CA713)</f>
        <v>11.769305104102608</v>
      </c>
      <c r="CB695" s="72"/>
      <c r="CC695" s="169">
        <f>(CC561*400)/(CC679-CC713)</f>
        <v>8.4492156617983607</v>
      </c>
      <c r="CD695" s="72"/>
      <c r="CE695" s="169">
        <f>(CE561*400)/(CE679-CE713)</f>
        <v>9.65875962163636</v>
      </c>
      <c r="CF695" s="72"/>
      <c r="CG695" s="169">
        <f>(CG561*400)/(CG679-CG713)</f>
        <v>10.214711474779413</v>
      </c>
      <c r="CH695" s="72"/>
      <c r="CI695" s="169">
        <f>(CI561*400)/(CI679-CI713)</f>
        <v>9.7111388621614445</v>
      </c>
      <c r="CJ695" s="72"/>
      <c r="CK695" s="169">
        <f>(CK561*400)/(CK679-CK713)</f>
        <v>10.27174557968435</v>
      </c>
      <c r="CL695" s="72"/>
      <c r="CM695" s="169">
        <f>(CM561*400)/(CM679-CM713)</f>
        <v>10.891399656218011</v>
      </c>
      <c r="CN695" s="72"/>
      <c r="CO695" s="169">
        <f>(CO561*400)/(CO679-CO713)</f>
        <v>12.158924480829171</v>
      </c>
      <c r="CP695" s="72"/>
      <c r="CQ695" s="169">
        <f>(CQ561*400)/(CQ679-CQ713)</f>
        <v>10.451171590743705</v>
      </c>
      <c r="CR695" s="72"/>
      <c r="CS695" s="169">
        <f>(CS561*400)/(CS679-CS713)</f>
        <v>10.475779790139429</v>
      </c>
      <c r="CT695" s="72"/>
      <c r="CU695" s="169">
        <f>(CU561*400)/(CU679-CU713)</f>
        <v>10.293322544458135</v>
      </c>
      <c r="CV695" s="72"/>
      <c r="CW695" s="169">
        <f>(CW561*400)/(CW679-CW713)</f>
        <v>11.812594895524546</v>
      </c>
      <c r="CX695" s="72"/>
      <c r="CY695" s="169">
        <f>(CY561*400)/(CY679-CY713)</f>
        <v>12.123607998164587</v>
      </c>
      <c r="CZ695" s="72"/>
      <c r="DA695" s="169">
        <f>(DA561*400)/(DA679-DA713)</f>
        <v>12.493586269196026</v>
      </c>
      <c r="DB695" s="72"/>
      <c r="DC695" s="169">
        <f>(DC561*400)/(DC679-DC713)</f>
        <v>14.096090487852146</v>
      </c>
      <c r="DD695" s="72"/>
      <c r="DE695" s="169">
        <f>(DE561*400)/(DE679-DE713)</f>
        <v>13.910424764506075</v>
      </c>
      <c r="DF695" s="72"/>
      <c r="DG695" s="169">
        <f>(DG561*400)/(DG679-DG713)</f>
        <v>15.975761510577287</v>
      </c>
      <c r="DH695" s="72"/>
      <c r="DI695" s="169">
        <f>(DI561*400)/(DI679-DI713)</f>
        <v>14.685881795362389</v>
      </c>
      <c r="DJ695" s="72"/>
      <c r="DK695" s="169">
        <f>(DK561*400)/(DK679-DK713)</f>
        <v>16.411756413870876</v>
      </c>
      <c r="DL695" s="72"/>
      <c r="DM695" s="169">
        <f>(DM561*400)/(DM679-DM713)</f>
        <v>16.141070330120975</v>
      </c>
      <c r="DN695" s="72"/>
      <c r="DO695" s="169">
        <f>(DO561*400)/(DO679-DO713)</f>
        <v>15.354477611940297</v>
      </c>
      <c r="DP695" s="72"/>
      <c r="DQ695" s="169">
        <f>(DQ561*400)/(DQ679-DQ713)</f>
        <v>14.132596685082875</v>
      </c>
      <c r="DR695" s="72"/>
      <c r="DS695" s="169">
        <f>(DS561*400)/(DS679-DS713)</f>
        <v>16.166912125675012</v>
      </c>
      <c r="DT695" s="72"/>
      <c r="DU695" s="169">
        <f>(DU561*400)/(DU679-DU713)</f>
        <v>15.21516457435513</v>
      </c>
      <c r="DV695" s="72"/>
      <c r="DW695" s="169">
        <f>(DW561*400)/(DW679-DW713)</f>
        <v>14.193351817433959</v>
      </c>
      <c r="DX695" s="72"/>
      <c r="DY695" s="169">
        <f>(DY561*400)/(DY679-DY713)</f>
        <v>11.466935921393695</v>
      </c>
      <c r="DZ695" s="72"/>
      <c r="EA695" s="169">
        <f>(EA561*400)/(EA679-EA713)</f>
        <v>12.658084341483061</v>
      </c>
      <c r="EB695" s="72"/>
      <c r="EC695" s="169">
        <f>(EC561*400)/(EC679-EC713)</f>
        <v>13.142029670784325</v>
      </c>
      <c r="ED695" s="72"/>
      <c r="EE695" s="169">
        <f>(EE561*400)/(EE679-EE713)</f>
        <v>12.974563678214505</v>
      </c>
      <c r="EF695" s="72"/>
      <c r="EG695" s="169">
        <f>(EG561*400)/(EG679-EG713)</f>
        <v>12.356463135973158</v>
      </c>
      <c r="EH695" s="72"/>
      <c r="EI695" s="169">
        <f>(EI561*400)/(EI679-EI713)</f>
        <v>13.974245716012259</v>
      </c>
      <c r="EJ695" s="72"/>
      <c r="EK695" s="169">
        <f>(EK561*400)/(EK679-EK713)</f>
        <v>14.664933358094885</v>
      </c>
      <c r="EL695" s="72"/>
      <c r="EM695" s="169">
        <f>(EM561*400)/(EM679-EM713)</f>
        <v>14.344920348030769</v>
      </c>
      <c r="EN695" s="72"/>
      <c r="EO695" s="169">
        <f>(EO561*400)/(EO679-EO713)</f>
        <v>12.756780546844915</v>
      </c>
      <c r="EP695" s="72"/>
      <c r="EQ695" s="169">
        <f>(EQ561*400)/(EQ679-EQ713)</f>
        <v>13.721576649323904</v>
      </c>
      <c r="ER695" s="72"/>
      <c r="ES695" s="169">
        <f>(ES561*400)/(ES679-ES713)</f>
        <v>13.511921059503084</v>
      </c>
      <c r="ET695" s="72"/>
      <c r="EU695" s="169">
        <f>(EU561*400)/(EU679-EU713)</f>
        <v>13.289960473260374</v>
      </c>
      <c r="EV695" s="72"/>
      <c r="EW695" s="169">
        <f>(EW561*400)/(EW679-EW713)</f>
        <v>11.938771278384683</v>
      </c>
      <c r="EX695" s="72"/>
      <c r="EY695" s="72"/>
      <c r="EZ695" s="320"/>
      <c r="FA695" s="72"/>
      <c r="FB695" s="171"/>
      <c r="FC695" s="82"/>
      <c r="FD695" s="170"/>
      <c r="FE695" s="72"/>
      <c r="FF695" s="169"/>
      <c r="FG695" s="72"/>
      <c r="FH695" s="169"/>
      <c r="FI695" s="72"/>
      <c r="FJ695" s="169"/>
      <c r="FK695" s="72"/>
      <c r="FL695" s="169"/>
      <c r="FM695" s="72"/>
      <c r="FN695" s="169"/>
      <c r="FO695" s="72"/>
      <c r="FP695" s="169"/>
      <c r="FQ695" s="72"/>
      <c r="FR695" s="171"/>
      <c r="FS695" s="72"/>
      <c r="FT695" s="171"/>
      <c r="FU695" s="72"/>
      <c r="FV695" s="171"/>
      <c r="FW695" s="72"/>
      <c r="FX695" s="171"/>
      <c r="FY695" s="72"/>
      <c r="FZ695" s="169">
        <f>(FZ561*100)/(FZ681)</f>
        <v>6.755504282194674</v>
      </c>
      <c r="GA695" s="72"/>
      <c r="GB695" s="169">
        <f>(GB561*100)/(GB681)</f>
        <v>8.944701843897132</v>
      </c>
      <c r="GC695" s="72"/>
      <c r="GD695" s="169">
        <f>(GD561*100)/(GD681)</f>
        <v>9.6901793028124139</v>
      </c>
      <c r="GE695" s="72"/>
      <c r="GF695" s="169">
        <f>(GF561*100)/(GF681)</f>
        <v>15.686650274804744</v>
      </c>
      <c r="GG695" s="72"/>
      <c r="GH695" s="169">
        <f>(GH561*100)/(GH681)</f>
        <v>15.651304332833325</v>
      </c>
      <c r="GI695" s="72"/>
      <c r="GJ695" s="169">
        <f>(GJ561*100)/(GJ681)</f>
        <v>14.450216655596675</v>
      </c>
      <c r="GK695" s="72"/>
      <c r="GL695" s="169">
        <f>(GL561*100)/(GL681)</f>
        <v>12.844098948268995</v>
      </c>
      <c r="GM695" s="72"/>
      <c r="GN695" s="169">
        <f>(GN561*100)/(GN681)</f>
        <v>13.635701954284926</v>
      </c>
      <c r="GO695" s="72"/>
      <c r="GP695" s="169">
        <f>(GP561*100)/(GP681)</f>
        <v>13.282400302118869</v>
      </c>
      <c r="GQ695" s="72"/>
      <c r="GR695" s="169">
        <f>(GR561*100)/(GR681)</f>
        <v>12.898047976348318</v>
      </c>
      <c r="GS695" s="72"/>
      <c r="GT695" s="169">
        <f>(GT561*100)/(GT681)</f>
        <v>12.622904161860324</v>
      </c>
      <c r="GU695" s="72"/>
      <c r="GV695" s="169">
        <f>(GV561*100)/(GV679-GV713)</f>
        <v>12.418482927482394</v>
      </c>
      <c r="GW695" s="72"/>
      <c r="GX695" s="169">
        <f>(GX561*100)/(GX679-GX713)</f>
        <v>12.233932226157707</v>
      </c>
      <c r="GY695" s="72"/>
      <c r="GZ695" s="72"/>
      <c r="HA695" s="72"/>
      <c r="HB695" s="72"/>
      <c r="HC695"/>
      <c r="HD695"/>
      <c r="HE695"/>
      <c r="HF695"/>
      <c r="HG695"/>
      <c r="HH695"/>
      <c r="HI695" s="2"/>
    </row>
    <row r="696" spans="1:217" s="3" customFormat="1" ht="12.75" customHeight="1" x14ac:dyDescent="0.2">
      <c r="B696" s="4"/>
      <c r="C696" s="169"/>
      <c r="D696" s="188"/>
      <c r="E696" s="169"/>
      <c r="F696" s="11"/>
      <c r="G696" s="169"/>
      <c r="H696" s="11"/>
      <c r="I696" s="169"/>
      <c r="J696" s="11"/>
      <c r="K696" s="169"/>
      <c r="L696" s="72"/>
      <c r="M696" s="169"/>
      <c r="N696" s="72"/>
      <c r="O696" s="169"/>
      <c r="P696" s="72"/>
      <c r="Q696" s="169"/>
      <c r="R696" s="72"/>
      <c r="S696" s="169"/>
      <c r="T696" s="72"/>
      <c r="U696" s="169"/>
      <c r="V696" s="72"/>
      <c r="W696" s="169"/>
      <c r="X696" s="72"/>
      <c r="Y696" s="169"/>
      <c r="Z696" s="72"/>
      <c r="AA696" s="169"/>
      <c r="AB696" s="72"/>
      <c r="AC696" s="169"/>
      <c r="AD696" s="72"/>
      <c r="AE696" s="169"/>
      <c r="AF696" s="72"/>
      <c r="AG696" s="169"/>
      <c r="AH696" s="72"/>
      <c r="AI696" s="169"/>
      <c r="AJ696" s="72"/>
      <c r="AK696" s="169"/>
      <c r="AL696" s="72"/>
      <c r="AM696" s="169"/>
      <c r="AN696" s="72"/>
      <c r="AO696" s="169"/>
      <c r="AP696" s="72"/>
      <c r="AQ696" s="169"/>
      <c r="AR696" s="72"/>
      <c r="AS696" s="169"/>
      <c r="AT696" s="72"/>
      <c r="AU696" s="169"/>
      <c r="AV696" s="72"/>
      <c r="AW696" s="169"/>
      <c r="AX696" s="72"/>
      <c r="AY696" s="169"/>
      <c r="AZ696" s="72"/>
      <c r="BA696" s="169"/>
      <c r="BB696" s="72"/>
      <c r="BC696" s="169"/>
      <c r="BD696" s="72"/>
      <c r="BE696" s="169"/>
      <c r="BF696" s="72"/>
      <c r="BG696" s="169"/>
      <c r="BH696" s="72"/>
      <c r="BI696" s="169"/>
      <c r="BJ696" s="72"/>
      <c r="BK696" s="169"/>
      <c r="BL696" s="72"/>
      <c r="BM696" s="169"/>
      <c r="BN696" s="72"/>
      <c r="BO696" s="169"/>
      <c r="BP696" s="72"/>
      <c r="BQ696" s="169"/>
      <c r="BR696" s="72"/>
      <c r="BS696" s="169"/>
      <c r="BT696" s="72"/>
      <c r="BU696" s="169"/>
      <c r="BV696" s="72"/>
      <c r="BW696" s="169"/>
      <c r="BX696" s="72"/>
      <c r="BY696" s="169"/>
      <c r="BZ696" s="72"/>
      <c r="CA696" s="169"/>
      <c r="CB696" s="72"/>
      <c r="CC696" s="169"/>
      <c r="CD696" s="72"/>
      <c r="CE696" s="169"/>
      <c r="CF696" s="72"/>
      <c r="CG696" s="169"/>
      <c r="CH696" s="72"/>
      <c r="CI696" s="169"/>
      <c r="CJ696" s="72"/>
      <c r="CK696" s="169"/>
      <c r="CL696" s="72"/>
      <c r="CM696" s="169"/>
      <c r="CN696" s="72"/>
      <c r="CO696" s="169"/>
      <c r="CP696" s="72"/>
      <c r="CQ696" s="169"/>
      <c r="CR696" s="72"/>
      <c r="CS696" s="169"/>
      <c r="CT696" s="72"/>
      <c r="CU696" s="169"/>
      <c r="CV696" s="72"/>
      <c r="CW696" s="169"/>
      <c r="CX696" s="72"/>
      <c r="CY696" s="169"/>
      <c r="CZ696" s="72"/>
      <c r="DA696" s="169"/>
      <c r="DB696" s="72"/>
      <c r="DC696" s="169"/>
      <c r="DD696" s="72"/>
      <c r="DE696" s="169"/>
      <c r="DF696" s="72"/>
      <c r="DG696" s="169"/>
      <c r="DH696" s="72"/>
      <c r="DI696" s="169"/>
      <c r="DJ696" s="72"/>
      <c r="DK696" s="169"/>
      <c r="DL696" s="72"/>
      <c r="DM696" s="169"/>
      <c r="DN696" s="72"/>
      <c r="DO696" s="169"/>
      <c r="DP696" s="72"/>
      <c r="DQ696" s="169"/>
      <c r="DR696" s="72"/>
      <c r="DS696" s="169"/>
      <c r="DT696" s="72"/>
      <c r="DU696" s="169"/>
      <c r="DV696" s="72"/>
      <c r="DW696" s="169"/>
      <c r="DX696" s="72"/>
      <c r="DY696" s="169"/>
      <c r="DZ696" s="72"/>
      <c r="EA696" s="169"/>
      <c r="EB696" s="72"/>
      <c r="EC696" s="171"/>
      <c r="ED696" s="72"/>
      <c r="EE696" s="171"/>
      <c r="EF696" s="72"/>
      <c r="EG696" s="171"/>
      <c r="EH696" s="72"/>
      <c r="EI696" s="171"/>
      <c r="EJ696" s="72"/>
      <c r="EK696" s="171"/>
      <c r="EL696" s="72"/>
      <c r="EM696" s="171"/>
      <c r="EN696" s="72"/>
      <c r="EO696" s="171"/>
      <c r="EP696" s="72"/>
      <c r="EQ696" s="171"/>
      <c r="ER696" s="72"/>
      <c r="ES696" s="171"/>
      <c r="ET696" s="72"/>
      <c r="EU696" s="171"/>
      <c r="EV696" s="72"/>
      <c r="EW696" s="171"/>
      <c r="EX696" s="72"/>
      <c r="EY696" s="72"/>
      <c r="EZ696" s="320"/>
      <c r="FA696" s="72"/>
      <c r="FB696" s="171"/>
      <c r="FC696" s="82"/>
      <c r="FD696" s="170"/>
      <c r="FE696" s="72"/>
      <c r="FF696" s="169"/>
      <c r="FG696" s="72"/>
      <c r="FH696" s="169"/>
      <c r="FI696" s="72"/>
      <c r="FJ696" s="169"/>
      <c r="FK696" s="72"/>
      <c r="FL696" s="169"/>
      <c r="FM696" s="72"/>
      <c r="FN696" s="169"/>
      <c r="FO696" s="72"/>
      <c r="FP696" s="169"/>
      <c r="FQ696" s="72"/>
      <c r="FR696" s="171"/>
      <c r="FS696" s="72"/>
      <c r="FT696" s="171"/>
      <c r="FU696" s="72"/>
      <c r="FV696" s="171"/>
      <c r="FW696" s="72"/>
      <c r="FX696" s="171"/>
      <c r="FY696" s="72"/>
      <c r="FZ696" s="171"/>
      <c r="GA696" s="72"/>
      <c r="GB696" s="171"/>
      <c r="GC696" s="72"/>
      <c r="GD696" s="171"/>
      <c r="GE696" s="72"/>
      <c r="GF696" s="171"/>
      <c r="GG696" s="72"/>
      <c r="GH696" s="171"/>
      <c r="GI696" s="72"/>
      <c r="GJ696" s="171"/>
      <c r="GK696" s="72"/>
      <c r="GL696" s="171"/>
      <c r="GM696" s="72"/>
      <c r="GN696" s="171"/>
      <c r="GO696" s="72"/>
      <c r="GP696" s="171"/>
      <c r="GQ696" s="72"/>
      <c r="GR696" s="171"/>
      <c r="GS696" s="72"/>
      <c r="GT696" s="171"/>
      <c r="GU696" s="72"/>
      <c r="GV696" s="171"/>
      <c r="GW696" s="72"/>
      <c r="GX696" s="171"/>
      <c r="GY696" s="72"/>
      <c r="GZ696" s="72"/>
      <c r="HA696" s="72"/>
      <c r="HB696" s="72"/>
      <c r="HC696"/>
      <c r="HD696"/>
      <c r="HE696"/>
      <c r="HF696"/>
      <c r="HG696"/>
      <c r="HH696"/>
      <c r="HI696" s="2"/>
    </row>
    <row r="697" spans="1:217" s="3" customFormat="1" ht="12.75" hidden="1" customHeight="1" outlineLevel="1" x14ac:dyDescent="0.2">
      <c r="B697" s="4" t="s">
        <v>340</v>
      </c>
      <c r="C697" s="169"/>
      <c r="D697" s="188"/>
      <c r="E697" s="169"/>
      <c r="F697" s="11"/>
      <c r="G697" s="169"/>
      <c r="H697" s="11"/>
      <c r="I697" s="169">
        <f>I539/I686*400</f>
        <v>2.2036641255186837</v>
      </c>
      <c r="J697" s="11"/>
      <c r="K697" s="169">
        <f>K539/K686*400</f>
        <v>9.6332526701015482</v>
      </c>
      <c r="L697" s="72" t="str">
        <f>IF(ISERROR(K697/C697),"NA",IF(OR(K697/C697&gt;2,K697/C697&lt;0.5),"NM",K697/C697*100-100))</f>
        <v>NA</v>
      </c>
      <c r="M697" s="169">
        <f>M539/M686*400</f>
        <v>8.7092286068185825</v>
      </c>
      <c r="N697" s="72" t="str">
        <f>IF(ISERROR(M697/E697),"NA",IF(OR(M697/E697&gt;2,M697/E697&lt;0.5),"NM",M697/E697*100-100))</f>
        <v>NA</v>
      </c>
      <c r="O697" s="169">
        <f>O539/O686*400</f>
        <v>6.4128532108973655</v>
      </c>
      <c r="P697" s="72" t="str">
        <f>IF(ISERROR(O697/G697),"NA",IF(OR(O697/G697&gt;2,O697/G697&lt;0.5),"NM",O697/G697*100-100))</f>
        <v>NA</v>
      </c>
      <c r="Q697" s="169">
        <f>Q539/Q686*400</f>
        <v>5.363941643549456</v>
      </c>
      <c r="R697" s="72" t="str">
        <f>IF(ISERROR(Q697/I697),"NA",IF(OR(Q697/I697&gt;2,Q697/I697&lt;0.5),"NM",Q697/I697*100-100))</f>
        <v>NM</v>
      </c>
      <c r="S697" s="169">
        <f>S539/S686*400</f>
        <v>10.299176482852079</v>
      </c>
      <c r="T697" s="72">
        <f>IF(ISERROR(S697/K697),"NA",IF(OR(S697/K697&gt;2,S697/K697&lt;0.5),"NM",S697/K697*100-100))</f>
        <v>6.9127618215323992</v>
      </c>
      <c r="U697" s="169">
        <f>U539/U686*400</f>
        <v>9.7176897176897175</v>
      </c>
      <c r="V697" s="72">
        <f>IF(ISERROR(U697/M697),"NA",IF(OR(U697/M697&gt;2,U697/M697&lt;0.5),"NM",U697/M697*100-100))</f>
        <v>11.579224250487542</v>
      </c>
      <c r="W697" s="169">
        <f>W539/W686*400</f>
        <v>9.1906222383947611</v>
      </c>
      <c r="X697" s="72">
        <f>IF(ISERROR(W697/O697),"NA",IF(OR(W697/O697&gt;2,W697/O697&lt;0.5),"NM",W697/O697*100-100))</f>
        <v>43.315649620314588</v>
      </c>
      <c r="Y697" s="169">
        <f>Y539/Y686*400</f>
        <v>7.9631492561020814</v>
      </c>
      <c r="Z697" s="72">
        <f>IF(ISERROR(Y697/Q697),"NA",IF(OR(Y697/Q697&gt;2,Y697/Q697&lt;0.5),"NM",Y697/Q697*100-100))</f>
        <v>48.457044935944992</v>
      </c>
      <c r="AA697" s="169">
        <f>AA539/AA686*400</f>
        <v>9.8019722169976085</v>
      </c>
      <c r="AB697" s="72">
        <f>IF(ISERROR(AA697/S697),"NA",IF(OR(AA697/S697&gt;2,AA697/S697&lt;0.5),"NM",AA697/S697*100-100))</f>
        <v>-4.8276118647185626</v>
      </c>
      <c r="AC697" s="169">
        <f>AC539/AC686*400</f>
        <v>11.853767612274039</v>
      </c>
      <c r="AD697" s="72">
        <f>IF(ISERROR(AC697/U697),"NA",IF(OR(AC697/U697&gt;2,AC697/U697&lt;0.5),"NM",AC697/U697*100-100))</f>
        <v>21.981334624173954</v>
      </c>
      <c r="AE697" s="169">
        <f>AE539/AE686*400</f>
        <v>11.195297543613664</v>
      </c>
      <c r="AF697" s="72">
        <f>IF(ISERROR(AE697/W697),"NA",IF(OR(AE697/W697&gt;2,AE697/W697&lt;0.5),"NM",AE697/W697*100-100))</f>
        <v>21.812182605484182</v>
      </c>
      <c r="AG697" s="169">
        <f>AG539/AG686*400</f>
        <v>12.109785331429956</v>
      </c>
      <c r="AH697" s="72">
        <f>IF(ISERROR(AG697/Y697),"NA",IF(OR(AG697/Y697&gt;2,AG697/Y697&lt;0.5),"NM",AG697/Y697*100-100))</f>
        <v>52.072816193296234</v>
      </c>
      <c r="AI697" s="169">
        <f>AI539/AI686*400</f>
        <v>12.15615486165369</v>
      </c>
      <c r="AJ697" s="72">
        <f>IF(ISERROR(AI697/AA697),"NA",IF(OR(AI697/AA697&gt;2,AI697/AA697&lt;0.5),"NM",AI697/AA697*100-100))</f>
        <v>24.017438455637446</v>
      </c>
      <c r="AK697" s="169">
        <f>AK539/AK686*400</f>
        <v>15.50296175185612</v>
      </c>
      <c r="AL697" s="72">
        <f>IF(ISERROR(AK697/AC697),"NA",IF(OR(AK697/AC697&gt;2,AK697/AC697&lt;0.5),"NM",AK697/AC697*100-100))</f>
        <v>30.785099378897115</v>
      </c>
      <c r="AM697" s="169">
        <f>AM539/AM686*400</f>
        <v>15.088741721854305</v>
      </c>
      <c r="AN697" s="72">
        <f>IF(ISERROR(AM697/AE697),"NA",IF(OR(AM697/AE697&gt;2,AM697/AE697&lt;0.5),"NM",AM697/AE697*100-100))</f>
        <v>34.777496203856117</v>
      </c>
      <c r="AO697" s="169">
        <f>AO539/AO686*400</f>
        <v>15.880376169015554</v>
      </c>
      <c r="AP697" s="72">
        <f>IF(ISERROR(AO697/AG697),"NA",IF(OR(AO697/AG697&gt;2,AO697/AG697&lt;0.5),"NM",AO697/AG697*100-100))</f>
        <v>31.136727319181603</v>
      </c>
      <c r="AQ697" s="169">
        <f>AQ539/AQ686*400</f>
        <v>17.730731061859082</v>
      </c>
      <c r="AR697" s="72">
        <f>IF(ISERROR(AQ697/AI697),"NA",IF(OR(AQ697/AI697&gt;2,AQ697/AI697&lt;0.5),"NM",AQ697/AI697*100-100))</f>
        <v>45.858055146946697</v>
      </c>
      <c r="AS697" s="169">
        <f>AS539/AS686*400</f>
        <v>16.099902982661259</v>
      </c>
      <c r="AT697" s="72">
        <f>IF(ISERROR(AS697/AK697),"NA",IF(OR(AS697/AK697&gt;2,AS697/AK697&lt;0.5),"NM",AS697/AK697*100-100))</f>
        <v>3.8504979910285186</v>
      </c>
      <c r="AU697" s="169">
        <f>AU539/AU686*400</f>
        <v>19.335347432024168</v>
      </c>
      <c r="AV697" s="72">
        <f>IF(ISERROR(AU697/AM697),"NA",IF(OR(AU697/AM697&gt;2,AU697/AM697&lt;0.5),"NM",AU697/AM697*100-100))</f>
        <v>28.144200414134872</v>
      </c>
      <c r="AW697" s="169">
        <f>AW539/AW686*400</f>
        <v>14.43224675106296</v>
      </c>
      <c r="AX697" s="72">
        <f>IF(ISERROR(AW697/AO697),"NA",IF(OR(AW697/AO697&gt;2,AW697/AO697&lt;0.5),"NM",AW697/AO697*100-100))</f>
        <v>-9.1189868712181976</v>
      </c>
      <c r="AY697" s="169">
        <f>AY539/AY686*400</f>
        <v>11.671473232678187</v>
      </c>
      <c r="AZ697" s="72">
        <f>IF(ISERROR(AY697/AQ697),"NA",IF(OR(AY697/AQ697&gt;2,AY697/AQ697&lt;0.5),"NM",AY697/AQ697*100-100))</f>
        <v>-34.173761973160154</v>
      </c>
      <c r="BA697" s="169">
        <f>BA539/BA686*400</f>
        <v>12.545678952590691</v>
      </c>
      <c r="BB697" s="72">
        <f>IF(ISERROR(BA697/AS697),"NA",IF(OR(BA697/AS697&gt;2,BA697/AS697&lt;0.5),"NM",BA697/AS697*100-100))</f>
        <v>-22.076058681212416</v>
      </c>
      <c r="BC697" s="169">
        <f>BC539/BC686*400</f>
        <v>14.838894731809923</v>
      </c>
      <c r="BD697" s="72">
        <f>IF(ISERROR(BC697/AU697),"NA",IF(OR(BC697/AU697&gt;2,BC697/AU697&lt;0.5),"NM",BC697/AU697*100-100))</f>
        <v>-23.255091308920555</v>
      </c>
      <c r="BE697" s="169">
        <f>BE539/BE686*400</f>
        <v>13.520011313816999</v>
      </c>
      <c r="BF697" s="72">
        <f>IF(ISERROR(BE697/AW697),"NA",IF(OR(BE697/AW697&gt;2,BE697/AW697&lt;0.5),"NM",BE697/AW697*100-100))</f>
        <v>-6.3208137511837776</v>
      </c>
      <c r="BG697" s="169">
        <f>BG539/BG686*400</f>
        <v>14.653918978938263</v>
      </c>
      <c r="BH697" s="72">
        <f>IF(ISERROR(BG697/AY697),"NA",IF(OR(BG697/AY697&gt;2,BG697/AY697&lt;0.5),"NM",BG697/AY697*100-100))</f>
        <v>25.553292945998663</v>
      </c>
      <c r="BI697" s="169">
        <f>BI539/BI686*400</f>
        <v>14.739751266697374</v>
      </c>
      <c r="BJ697" s="72">
        <f>IF(ISERROR(BI697/BA697),"NA",IF(OR(BI697/BA697&gt;2,BI697/BA697&lt;0.5),"NM",BI697/BA697*100-100))</f>
        <v>17.488669384876971</v>
      </c>
      <c r="BK697" s="169">
        <f>BK539/BK686*400</f>
        <v>16.584438509935275</v>
      </c>
      <c r="BL697" s="72">
        <f>IF(ISERROR(BK697/BC697),"NA",IF(OR(BK697/BC697&gt;2,BK697/BC697&lt;0.5),"NM",BK697/BC697*100-100))</f>
        <v>11.76330049962182</v>
      </c>
      <c r="BM697" s="169">
        <f>BM539/BM686*400</f>
        <v>14.310941907666905</v>
      </c>
      <c r="BN697" s="72">
        <f>IF(ISERROR(BM697/BE697),"NA",IF(OR(BM697/BE697&gt;2,BM697/BE697&lt;0.5),"NM",BM697/BE697*100-100))</f>
        <v>5.8500734614149508</v>
      </c>
      <c r="BO697" s="169">
        <f>BO539/BO686*400</f>
        <v>12.325442974222792</v>
      </c>
      <c r="BP697" s="72">
        <f>IF(ISERROR(BO697/BG697),"NA",IF(OR(BO697/BG697&gt;2,BO697/BG697&lt;0.5),"NM",BO697/BG697*100-100))</f>
        <v>-15.889783532051297</v>
      </c>
      <c r="BQ697" s="169">
        <f>BQ539/BQ686*400</f>
        <v>14.662730757368816</v>
      </c>
      <c r="BR697" s="72">
        <f>IF(ISERROR(BQ697/BI697),"NA",IF(OR(BQ697/BI697&gt;2,BQ697/BI697&lt;0.5),"NM",BQ697/BI697*100-100))</f>
        <v>-0.52253601797592353</v>
      </c>
      <c r="BS697" s="169">
        <f>BS539/BS686*400</f>
        <v>7.1390448538673379</v>
      </c>
      <c r="BT697" s="72" t="str">
        <f>IF(ISERROR(BS697/BK697),"NA",IF(OR(BS697/BK697&gt;2,BS697/BK697&lt;0.5),"NM",BS697/BK697*100-100))</f>
        <v>NM</v>
      </c>
      <c r="BU697" s="169">
        <f>BU539/BU686*400</f>
        <v>-16.18209464129383</v>
      </c>
      <c r="BV697" s="72" t="str">
        <f>IF(ISERROR(BU697/BM697),"NA",IF(OR(BU697/BM697&gt;2,BU697/BM697&lt;0.5),"NM",BU697/BM697*100-100))</f>
        <v>NM</v>
      </c>
      <c r="BW697" s="169">
        <f>BW539/BW686*400</f>
        <v>3.8021475092413306</v>
      </c>
      <c r="BX697" s="72" t="str">
        <f>IF(ISERROR(BW697/BO697),"NA",IF(OR(BW697/BO697&gt;2,BW697/BO697&lt;0.5),"NM",BW697/BO697*100-100))</f>
        <v>NM</v>
      </c>
      <c r="BY697" s="169">
        <f>BY539/BY686*400</f>
        <v>16.233031674208146</v>
      </c>
      <c r="BZ697" s="72">
        <f>IF(ISERROR(BY697/BQ697),"NA",IF(OR(BY697/BQ697&gt;2,BY697/BQ697&lt;0.5),"NM",BY697/BQ697*100-100))</f>
        <v>10.709471126653327</v>
      </c>
      <c r="CA697" s="169">
        <f>CA539/CA686*400</f>
        <v>14.407449705701483</v>
      </c>
      <c r="CB697" s="72" t="str">
        <f>IF(ISERROR(CA697/BS697),"NA",IF(OR(CA697/BS697&gt;2,CA697/BS697&lt;0.5),"NM",CA697/BS697*100-100))</f>
        <v>NM</v>
      </c>
      <c r="CC697" s="169">
        <f>CC539/CC686*400</f>
        <v>9.2206549328007323</v>
      </c>
      <c r="CD697" s="72" t="str">
        <f>IF(ISERROR(CC697/BU697),"NA",IF(OR(CC697/BU697&gt;2,CC697/BU697&lt;0.5),"NM",CC697/BU697*100-100))</f>
        <v>NM</v>
      </c>
      <c r="CE697" s="169">
        <f>CE539/CE686*400</f>
        <v>10.637807000985759</v>
      </c>
      <c r="CF697" s="72" t="str">
        <f>IF(ISERROR(CE697/BW697),"NA",IF(OR(CE697/BW697&gt;2,CE697/BW697&lt;0.5),"NM",CE697/BW697*100-100))</f>
        <v>NM</v>
      </c>
      <c r="CG697" s="169">
        <f>CG539/CG686*400</f>
        <v>6.4776635973251864</v>
      </c>
      <c r="CH697" s="72" t="str">
        <f>IF(ISERROR(CG697/BY697),"NA",IF(OR(CG697/BY697&gt;2,CG697/BY697&lt;0.5),"NM",CG697/BY697*100-100))</f>
        <v>NM</v>
      </c>
      <c r="CI697" s="169">
        <f>CI539/CI686*400</f>
        <v>14.772657481523943</v>
      </c>
      <c r="CJ697" s="72">
        <f>IF(ISERROR(CI697/CA697),"NA",IF(OR(CI697/CA697&gt;2,CI697/CA697&lt;0.5),"NM",CI697/CA697*100-100))</f>
        <v>2.5348537269433251</v>
      </c>
      <c r="CK697" s="169">
        <f>CK539/CK686*400</f>
        <v>12.43621692179898</v>
      </c>
      <c r="CL697" s="72">
        <f>IF(ISERROR(CK697/CC697),"NA",IF(OR(CK697/CC697&gt;2,CK697/CC697&lt;0.5),"NM",CK697/CC697*100-100))</f>
        <v>34.873466282308158</v>
      </c>
      <c r="CM697" s="169">
        <f>CM539/CM686*400</f>
        <v>12.44104525175271</v>
      </c>
      <c r="CN697" s="72">
        <f>IF(ISERROR(CM697/CE697),"NA",IF(OR(CM697/CE697&gt;2,CM697/CE697&lt;0.5),"NM",CM697/CE697*100-100))</f>
        <v>16.951221718911171</v>
      </c>
      <c r="CO697" s="169">
        <f>CO539/CO686*400</f>
        <v>11.894551053362875</v>
      </c>
      <c r="CP697" s="72">
        <f>IF(ISERROR(CO697/CG697),"NA",IF(OR(CO697/CG697&gt;2,CO697/CG697&lt;0.5),"NM",CO697/CG697*100-100))</f>
        <v>83.624093388771797</v>
      </c>
      <c r="CQ697" s="169">
        <f>CQ539/CQ686*400</f>
        <v>6.3156745742977733</v>
      </c>
      <c r="CR697" s="72" t="str">
        <f>IF(ISERROR(CQ697/CI697),"NA",IF(OR(CQ697/CI697&gt;2,CQ697/CI697&lt;0.5),"NM",CQ697/CI697*100-100))</f>
        <v>NM</v>
      </c>
      <c r="CS697" s="169">
        <f>CS539/CS686*400</f>
        <v>13.168032197786403</v>
      </c>
      <c r="CT697" s="72">
        <f>IF(ISERROR(CS697/CK697),"NA",IF(OR(CS697/CK697&gt;2,CS697/CK697&lt;0.5),"NM",CS697/CK697*100-100))</f>
        <v>5.884548979719483</v>
      </c>
      <c r="CU697" s="169">
        <f>CU539/CU686*400</f>
        <v>12.079371793221398</v>
      </c>
      <c r="CV697" s="72">
        <f>IF(ISERROR(CU697/CM697),"NA",IF(OR(CU697/CM697&gt;2,CU697/CM697&lt;0.5),"NM",CU697/CM697*100-100))</f>
        <v>-2.9070986497726921</v>
      </c>
      <c r="CW697" s="169">
        <f>CW539/CW686*400</f>
        <v>9.770804714048154</v>
      </c>
      <c r="CX697" s="72">
        <f>IF(ISERROR(CW697/CO697),"NA",IF(OR(CW697/CO697&gt;2,CW697/CO697&lt;0.5),"NM",CW697/CO697*100-100))</f>
        <v>-17.854783503697575</v>
      </c>
      <c r="CY697" s="169">
        <f>CY539/CY686*400</f>
        <v>11.028007694615534</v>
      </c>
      <c r="CZ697" s="72">
        <f>IF(ISERROR(CY697/CQ697),"NA",IF(OR(CY697/CQ697&gt;2,CY697/CQ697&lt;0.5),"NM",CY697/CQ697*100-100))</f>
        <v>74.61329846688173</v>
      </c>
      <c r="DA697" s="169">
        <f>DA539/DA686*400</f>
        <v>12.183590340413151</v>
      </c>
      <c r="DB697" s="72">
        <f>IF(ISERROR(DA697/CS697),"NA",IF(OR(DA697/CS697&gt;2,DA697/CS697&lt;0.5),"NM",DA697/CS697*100-100))</f>
        <v>-7.4759982553713797</v>
      </c>
      <c r="DC697" s="169">
        <f>DC539/DC686*400</f>
        <v>16.151142024626374</v>
      </c>
      <c r="DD697" s="72">
        <f>IF(ISERROR(DC697/CU697),"NA",IF(OR(DC697/CU697&gt;2,DC697/CU697&lt;0.5),"NM",DC697/CU697*100-100))</f>
        <v>33.708460184079598</v>
      </c>
      <c r="DE697" s="169">
        <f>DE539/DE686*400</f>
        <v>17.031947517565314</v>
      </c>
      <c r="DF697" s="72">
        <f>IF(ISERROR(DE697/CW697),"NA",IF(OR(DE697/CW697&gt;2,DE697/CW697&lt;0.5),"NM",DE697/CW697*100-100))</f>
        <v>74.314685596748433</v>
      </c>
      <c r="DG697" s="169">
        <f>DG539/DG686*400</f>
        <v>21.460186464760497</v>
      </c>
      <c r="DH697" s="72">
        <f>IF(ISERROR(DG697/CY697),"NA",IF(OR(DG697/CY697&gt;2,DG697/CY697&lt;0.5),"NM",DG697/CY697*100-100))</f>
        <v>94.597129953386883</v>
      </c>
      <c r="DI697" s="169">
        <f>DI539/DI686*400</f>
        <v>16.444002883135607</v>
      </c>
      <c r="DJ697" s="72">
        <f>IF(ISERROR(DI697/DA697),"NA",IF(OR(DI697/DA697&gt;2,DI697/DA697&lt;0.5),"NM",DI697/DA697*100-100))</f>
        <v>34.968448738715409</v>
      </c>
      <c r="DK697" s="169">
        <f>DK539/DK686*400</f>
        <v>17.690991131165397</v>
      </c>
      <c r="DL697" s="72">
        <f>IF(ISERROR(DK697/DC697),"NA",IF(OR(DK697/DC697&gt;2,DK697/DC697&lt;0.5),"NM",DK697/DC697*100-100))</f>
        <v>9.5339952072190641</v>
      </c>
      <c r="DM697" s="169"/>
      <c r="DN697" s="72"/>
      <c r="DO697" s="169"/>
      <c r="DP697" s="72"/>
      <c r="DQ697" s="169"/>
      <c r="DR697" s="72"/>
      <c r="DS697" s="169"/>
      <c r="DT697" s="72" t="str">
        <f>IF(ISERROR(DS697/DK697),"NA",IF(OR(DS697/DK697&gt;2,DS697/DK697&lt;0.5),"NM",DS697/DK697*100-100))</f>
        <v>NM</v>
      </c>
      <c r="DU697" s="169"/>
      <c r="DV697" s="72" t="str">
        <f>IF(ISERROR(DU697/DM697),"NA",IF(OR(DU697/DM697&gt;2,DU697/DM697&lt;0.5),"NM",DU697/DM697*100-100))</f>
        <v>NA</v>
      </c>
      <c r="DW697" s="169"/>
      <c r="DX697" s="72" t="str">
        <f>IF(ISERROR(DW697/DO697),"NA",IF(OR(DW697/DO697&gt;2,DW697/DO697&lt;0.5),"NM",DW697/DO697*100-100))</f>
        <v>NA</v>
      </c>
      <c r="DY697" s="169"/>
      <c r="DZ697" s="72" t="str">
        <f>IF(ISERROR(DY697/DQ697),"NA",IF(OR(DY697/DQ697&gt;2,DY697/DQ697&lt;0.5),"NM",DY697/DQ697*100-100))</f>
        <v>NA</v>
      </c>
      <c r="EA697" s="169"/>
      <c r="EB697" s="72" t="str">
        <f>IF(ISERROR(EA697/DS697),"NA",IF(OR(EA697/DS697&gt;2,EA697/DS697&lt;0.5),"NM",EA697/DS697*100-100))</f>
        <v>NA</v>
      </c>
      <c r="EC697" s="171">
        <f>EC539/EC686*400</f>
        <v>10.933430050446766</v>
      </c>
      <c r="ED697" s="72" t="str">
        <f>IF(ISERROR(EC697/DU697),"NA",IF(OR(EC697/DU697&gt;2,EC697/DU697&lt;0.5),"NM",EC697/DU697*100-100))</f>
        <v>NA</v>
      </c>
      <c r="EE697" s="171">
        <f>EE539/EE686*400</f>
        <v>15.370716912950893</v>
      </c>
      <c r="EF697" s="72" t="str">
        <f>IF(ISERROR(EE697/DW697),"NA",IF(OR(EE697/DW697&gt;2,EE697/DW697&lt;0.5),"NM",EE697/DW697*100-100))</f>
        <v>NA</v>
      </c>
      <c r="EG697" s="171">
        <f>EG539/EG686*400</f>
        <v>13.896857270351246</v>
      </c>
      <c r="EH697" s="72" t="str">
        <f>IF(ISERROR(EG697/DY697),"NA",IF(OR(EG697/DY697&gt;2,EG697/DY697&lt;0.5),"NM",EG697/DY697*100-100))</f>
        <v>NA</v>
      </c>
      <c r="EI697" s="171">
        <f>EI539/EI686*400</f>
        <v>15.61301926384046</v>
      </c>
      <c r="EJ697" s="72" t="str">
        <f>IF(ISERROR(EI697/EA697),"NA",IF(OR(EI697/EA697&gt;2,EI697/EA697&lt;0.5),"NM",EI697/EA697*100-100))</f>
        <v>NA</v>
      </c>
      <c r="EK697" s="171">
        <f>EK539/EK686*400</f>
        <v>11.447612226149511</v>
      </c>
      <c r="EL697" s="72">
        <f>IF(ISERROR(EK697/EC697),"NA",IF(OR(EK697/EC697&gt;2,EK697/EC697&lt;0.5),"NM",EK697/EC697*100-100))</f>
        <v>4.7028441516551567</v>
      </c>
      <c r="EM697" s="171">
        <f>EM539/EM686*400</f>
        <v>16.07118453619205</v>
      </c>
      <c r="EN697" s="72">
        <f>IF(ISERROR(EM697/EE697),"NA",IF(OR(EM697/EE697&gt;2,EM697/EE697&lt;0.5),"NM",EM697/EE697*100-100))</f>
        <v>4.5571564892393752</v>
      </c>
      <c r="EO697" s="171">
        <f>EO539/EO686*400</f>
        <v>13.259855871131835</v>
      </c>
      <c r="EP697" s="72">
        <f>IF(ISERROR(EO697/EG697),"NA",IF(OR(EO697/EG697&gt;2,EO697/EG697&lt;0.5),"NM",EO697/EG697*100-100))</f>
        <v>-4.5837802520894115</v>
      </c>
      <c r="EQ697" s="171">
        <f>EQ539/EQ686*400</f>
        <v>14.190915874323981</v>
      </c>
      <c r="ER697" s="72">
        <f t="shared" ref="ER697:ER698" si="3300">IF(ISERROR(EQ697/EI697),"NA",IF(OR(EQ697/EI697&gt;2,EQ697/EI697&lt;0.5),"NM",EQ697/EI697*100-100))</f>
        <v>-9.1084457495678066</v>
      </c>
      <c r="ES697" s="171">
        <f>ES539/ES686*400</f>
        <v>13.966040389261018</v>
      </c>
      <c r="ET697" s="72">
        <f t="shared" ref="ET697:ET698" si="3301">IF(ISERROR(ES697/EK697),"NA",IF(OR(ES697/EK697&gt;2,ES697/EK697&lt;0.5),"NM",ES697/EK697*100-100))</f>
        <v>21.999593569030225</v>
      </c>
      <c r="EU697" s="171">
        <f>EU539/EU686*400</f>
        <v>13.736127847254293</v>
      </c>
      <c r="EV697" s="72">
        <f t="shared" ref="EV697:EV698" si="3302">IF(ISERROR(EU697/EM697),"NA",IF(OR(EU697/EM697&gt;2,EU697/EM697&lt;0.5),"NM",EU697/EM697*100-100))</f>
        <v>-14.529462241437443</v>
      </c>
      <c r="EW697" s="171">
        <f>EW539/EW686*400</f>
        <v>12.349763158998009</v>
      </c>
      <c r="EX697" s="72">
        <f t="shared" ref="EX697:EX698" si="3303">IF(ISERROR(EW697/EO697),"NA",IF(OR(EW697/EO697&gt;2,EW697/EO697&lt;0.5),"NM",EW697/EO697*100-100))</f>
        <v>-6.8635188872241031</v>
      </c>
      <c r="EY697" s="72"/>
      <c r="EZ697" s="320"/>
      <c r="FA697" s="72"/>
      <c r="FB697" s="171"/>
      <c r="FC697" s="82"/>
      <c r="FD697" s="170"/>
      <c r="FE697" s="72"/>
      <c r="FF697" s="169">
        <f>FF539/FF686*100</f>
        <v>0.87070967054720394</v>
      </c>
      <c r="FG697" s="72" t="str">
        <f>IF(ISERROR(FF697/FD697),"NA",IF(OR(FF697/FD697&gt;2,FF697/FD697&lt;0.5),"NM",FF697/FD697*100-100))</f>
        <v>NA</v>
      </c>
      <c r="FH697" s="169">
        <f>FH539/FH686*100</f>
        <v>2.5368250044695251</v>
      </c>
      <c r="FI697" s="72" t="str">
        <f>IF(ISERROR(FH697/FF697),"NA",IF(OR(FH697/FF697&gt;2,FH697/FF697&lt;0.5),"NM",FH697/FF697*100-100))</f>
        <v>NM</v>
      </c>
      <c r="FJ697" s="169">
        <f>FJ539/FJ686*100</f>
        <v>3.4052089963929562</v>
      </c>
      <c r="FK697" s="72">
        <f>IF(ISERROR(FJ697/FH697),"NA",IF(OR(FJ697/FH697&gt;2,FJ697/FH697&lt;0.5),"NM",FJ697/FH697*100-100))</f>
        <v>34.231134997229304</v>
      </c>
      <c r="FL697" s="169">
        <f>FL539/FL686*100</f>
        <v>5.5687930292598962</v>
      </c>
      <c r="FM697" s="72">
        <f>IF(ISERROR(FL697/FJ697),"NA",IF(OR(FL697/FJ697&gt;2,FL697/FJ697&lt;0.5),"NM",FL697/FJ697*100-100))</f>
        <v>63.537481404482492</v>
      </c>
      <c r="FN697" s="169">
        <f>FN539/FN686*100</f>
        <v>8.4587010934000784</v>
      </c>
      <c r="FO697" s="72">
        <f>IF(ISERROR(FN697/FL697),"NA",IF(OR(FN697/FL697&gt;2,FN697/FL697&lt;0.5),"NM",FN697/FL697*100-100))</f>
        <v>51.89469331964483</v>
      </c>
      <c r="FP697" s="169">
        <f>FP539/FP686*100</f>
        <v>10.35329761129751</v>
      </c>
      <c r="FQ697" s="72">
        <f>IF(ISERROR(FP697/FN697),"NA",IF(OR(FP697/FN697&gt;2,FP697/FN697&lt;0.5),"NM",FP697/FN697*100-100))</f>
        <v>22.398196803238449</v>
      </c>
      <c r="FR697" s="171">
        <f>FR539/FR686*100</f>
        <v>10.91782462865357</v>
      </c>
      <c r="FS697" s="72">
        <f>IF(ISERROR(FR697/FP697),"NA",IF(OR(FR697/FP697&gt;2,FR697/FP697&lt;0.5),"NM",FR697/FP697*100-100))</f>
        <v>5.4526300561479815</v>
      </c>
      <c r="FT697" s="171">
        <f>FT539/FT686*100</f>
        <v>12.93313857607313</v>
      </c>
      <c r="FU697" s="72">
        <f>IF(ISERROR(FT697/FR697),"NA",IF(OR(FT697/FR697&gt;2,FT697/FR697&lt;0.5),"NM",FT697/FR697*100-100))</f>
        <v>18.458933129686102</v>
      </c>
      <c r="FV697" s="171">
        <f>FV539/FV686*100</f>
        <v>-3.2257669012530346</v>
      </c>
      <c r="FW697" s="72" t="str">
        <f>IF(ISERROR(FV697/FT697),"NA",IF(OR(FV697/FT697&gt;2,FV697/FT697&lt;0.5),"NM",FV697/FT697*100-100))</f>
        <v>NM</v>
      </c>
      <c r="FX697" s="171">
        <f>FX539/FX686*100</f>
        <v>5.0132182479607739</v>
      </c>
      <c r="FY697" s="72" t="str">
        <f>IF(ISERROR(FX697/FV697),"NA",IF(OR(FX697/FV697&gt;2,FX697/FV697&lt;0.5),"NM",FX697/FV697*100-100))</f>
        <v>NM</v>
      </c>
      <c r="FZ697" s="171">
        <f>FZ539/FZ686*100</f>
        <v>8.1319708145291152</v>
      </c>
      <c r="GA697" s="72">
        <f>IF(ISERROR(FZ697/FX697),"NA",IF(OR(FZ697/FX697&gt;2,FZ697/FX697&lt;0.5),"NM",FZ697/FX697*100-100))</f>
        <v>62.210588334887603</v>
      </c>
      <c r="GB697" s="171">
        <f>GB539/GB686*100</f>
        <v>9.228864587045825</v>
      </c>
      <c r="GC697" s="72">
        <f>IF(ISERROR(GB697/FZ697),"NA",IF(OR(GB697/FZ697&gt;2,GB697/FZ697&lt;0.5),"NM",GB697/FZ697*100-100))</f>
        <v>13.488658500310009</v>
      </c>
      <c r="GD697" s="171">
        <f>GD539/GD686*100</f>
        <v>9.5587698151800709</v>
      </c>
      <c r="GE697" s="72">
        <f>IF(ISERROR(GD697/GB697),"NA",IF(OR(GD697/GB697&gt;2,GD697/GB697&lt;0.5),"NM",GD697/GB697*100-100))</f>
        <v>3.5747108977773934</v>
      </c>
      <c r="GF697" s="171">
        <f>GF539/GF686*100</f>
        <v>18.361846506738029</v>
      </c>
      <c r="GG697" s="72">
        <f>IF(ISERROR(GF697/GD697),"NA",IF(OR(GF697/GD697&gt;2,GF697/GD697&lt;0.5),"NM",GF697/GD697*100-100))</f>
        <v>92.09424289700948</v>
      </c>
      <c r="GH697" s="171">
        <f>GH539/GH686*100</f>
        <v>16.921306401047662</v>
      </c>
      <c r="GI697" s="72">
        <f>IF(ISERROR(GH697/GF697),"NA",IF(OR(GH697/GF697&gt;2,GH697/GF697&lt;0.5),"NM",GH697/GF697*100-100))</f>
        <v>-7.8452899884646712</v>
      </c>
      <c r="GJ697" s="171">
        <f>GJ539/GJ686*100</f>
        <v>16.996928926586722</v>
      </c>
      <c r="GK697" s="72">
        <f>IF(ISERROR(GJ697/GH697),"NA",IF(OR(GJ697/GH697&gt;2,GJ697/GH697&lt;0.5),"NM",GJ697/GH697*100-100))</f>
        <v>0.44690713439466379</v>
      </c>
      <c r="GL697" s="171">
        <f>GL539/GL686*100</f>
        <v>13.499433004092232</v>
      </c>
      <c r="GM697" s="72">
        <f>IF(ISERROR(GL697/GJ697),"NA",IF(OR(GL697/GJ697&gt;2,GL697/GJ697&lt;0.5),"NM",GL697/GJ697*100-100))</f>
        <v>-20.577222730064378</v>
      </c>
      <c r="GN697" s="171">
        <f>GN539/GN686*100</f>
        <v>13.634831543004527</v>
      </c>
      <c r="GO697" s="72">
        <f>IF(ISERROR(GN697/GL697),"NA",IF(OR(GN697/GL697&gt;2,GN697/GL697&lt;0.5),"NM",GN697/GL697*100-100))</f>
        <v>1.0029942655461923</v>
      </c>
      <c r="GP697" s="171">
        <f>GP539/GP686*100</f>
        <v>13.737610042618357</v>
      </c>
      <c r="GQ697" s="72">
        <f>IF(ISERROR(GP697/GN697),"NA",IF(OR(GP697/GN697&gt;2,GP697/GN697&lt;0.5),"NM",GP697/GN697*100-100))</f>
        <v>0.75379368853707263</v>
      </c>
      <c r="GR697" s="171">
        <f>GR539/GR686*100</f>
        <v>13.324872614436083</v>
      </c>
      <c r="GS697" s="72">
        <f>IF(ISERROR(GR697/GP697),"NA",IF(OR(GR697/GP697&gt;2,GR697/GP697&lt;0.5),"NM",GR697/GP697*100-100))</f>
        <v>-3.004434009276963</v>
      </c>
      <c r="GT697" s="171">
        <f>GT539/GT686*100</f>
        <v>13.029458494827256</v>
      </c>
      <c r="GU697" s="72">
        <f>IF(ISERROR(GT697/GR697),"NA",IF(OR(GT697/GR697&gt;2,GT697/GR697&lt;0.5),"NM",GT697/GR697*100-100))</f>
        <v>-2.2170127111667597</v>
      </c>
      <c r="GV697" s="171">
        <f>GV539/GV686*100</f>
        <v>12.808925355343421</v>
      </c>
      <c r="GW697" s="72">
        <f>IF(ISERROR(GV697/GT697),"NA",IF(OR(GV697/GT697&gt;2,GV697/GT697&lt;0.5),"NM",GV697/GT697*100-100))</f>
        <v>-1.6925733296697416</v>
      </c>
      <c r="GX697" s="171">
        <f>GX539/GX686*100</f>
        <v>12.610434766320511</v>
      </c>
      <c r="GY697" s="72">
        <f>IF(ISERROR(GX697/GV697),"NA",IF(OR(GX697/GV697&gt;2,GX697/GV697&lt;0.5),"NM",GX697/GV697*100-100))</f>
        <v>-1.5496271819564242</v>
      </c>
      <c r="GZ697" s="72">
        <f>IF(ISERROR(((GX697/GN697)^0.2-1)*100),"NA",IF((((GX697/GN697)^0.2-1)*100)&gt;100,"NM",IF((((GX697/GN697)^0.2-1)*100)&lt;-50,"NM",((GX697/GN697)^0.2-1)*100)))</f>
        <v>-1.5499237932785848</v>
      </c>
      <c r="HA697" s="72"/>
      <c r="HB697" s="72"/>
      <c r="HC697"/>
      <c r="HD697"/>
      <c r="HE697"/>
      <c r="HF697"/>
      <c r="HG697"/>
      <c r="HH697"/>
      <c r="HI697" s="2"/>
    </row>
    <row r="698" spans="1:217" s="3" customFormat="1" ht="12.75" hidden="1" customHeight="1" outlineLevel="1" x14ac:dyDescent="0.2">
      <c r="B698" s="4" t="s">
        <v>211</v>
      </c>
      <c r="C698" s="169"/>
      <c r="D698" s="188"/>
      <c r="E698" s="169"/>
      <c r="F698" s="11"/>
      <c r="G698" s="169"/>
      <c r="H698" s="11"/>
      <c r="I698" s="169">
        <f>I582/I686*400</f>
        <v>-6.9467888147303274</v>
      </c>
      <c r="J698" s="11"/>
      <c r="K698" s="169">
        <f>K582/K686*400</f>
        <v>11.530558781955364</v>
      </c>
      <c r="L698" s="72" t="str">
        <f>IF(ISERROR(K698/C698),"NA",IF(OR(K698/C698&gt;2,K698/C698&lt;0.5),"NM",K698/C698*100-100))</f>
        <v>NA</v>
      </c>
      <c r="M698" s="169">
        <f>M582/M686*400</f>
        <v>10.096628977904798</v>
      </c>
      <c r="N698" s="72" t="str">
        <f>IF(ISERROR(M698/E698),"NA",IF(OR(M698/E698&gt;2,M698/E698&lt;0.5),"NM",M698/E698*100-100))</f>
        <v>NA</v>
      </c>
      <c r="O698" s="169">
        <f>O582/O686*400</f>
        <v>6.1663795668833448</v>
      </c>
      <c r="P698" s="72" t="str">
        <f>IF(ISERROR(O698/G698),"NA",IF(OR(O698/G698&gt;2,O698/G698&lt;0.5),"NM",O698/G698*100-100))</f>
        <v>NA</v>
      </c>
      <c r="Q698" s="169">
        <f>Q582/Q686*400</f>
        <v>-6.5108652414397961</v>
      </c>
      <c r="R698" s="72">
        <f>IF(ISERROR(Q698/I698),"NA",IF(OR(Q698/I698&gt;2,Q698/I698&lt;0.5),"NM",Q698/I698*100-100))</f>
        <v>-6.2751810212824779</v>
      </c>
      <c r="S698" s="169">
        <f>S582/S686*400</f>
        <v>9.2150526425518606</v>
      </c>
      <c r="T698" s="72">
        <f>IF(ISERROR(S698/K698),"NA",IF(OR(S698/K698&gt;2,S698/K698&lt;0.5),"NM",S698/K698*100-100))</f>
        <v>-20.081473787958416</v>
      </c>
      <c r="U698" s="169">
        <f>U582/U686*400</f>
        <v>5.718725718725719</v>
      </c>
      <c r="V698" s="72">
        <f>IF(ISERROR(U698/M698),"NA",IF(OR(U698/M698&gt;2,U698/M698&lt;0.5),"NM",U698/M698*100-100))</f>
        <v>-43.360048871356661</v>
      </c>
      <c r="W698" s="169">
        <f>W582/W686*400</f>
        <v>11.041222643863389</v>
      </c>
      <c r="X698" s="72">
        <f>IF(ISERROR(W698/O698),"NA",IF(OR(W698/O698&gt;2,W698/O698&lt;0.5),"NM",W698/O698*100-100))</f>
        <v>79.055189906902228</v>
      </c>
      <c r="Y698" s="169">
        <f>Y582/Y686*400</f>
        <v>1.2071795414835602</v>
      </c>
      <c r="Z698" s="72" t="str">
        <f>IF(ISERROR(Y698/Q698),"NA",IF(OR(Y698/Q698&gt;2,Y698/Q698&lt;0.5),"NM",Y698/Q698*100-100))</f>
        <v>NM</v>
      </c>
      <c r="AA698" s="169">
        <f>AA582/AA686*400</f>
        <v>7.7598946717897732</v>
      </c>
      <c r="AB698" s="72">
        <f>IF(ISERROR(AA698/S698),"NA",IF(OR(AA698/S698&gt;2,AA698/S698&lt;0.5),"NM",AA698/S698*100-100))</f>
        <v>-15.791097752851485</v>
      </c>
      <c r="AC698" s="169">
        <f>AC582/AC686*400</f>
        <v>6.8967375198685312</v>
      </c>
      <c r="AD698" s="72">
        <f>IF(ISERROR(AC698/U698),"NA",IF(OR(AC698/U698&gt;2,AC698/U698&lt;0.5),"NM",AC698/U698*100-100))</f>
        <v>20.599200924874992</v>
      </c>
      <c r="AE698" s="169">
        <f>AE582/AE686*400</f>
        <v>8.3695095316418158</v>
      </c>
      <c r="AF698" s="72">
        <f>IF(ISERROR(AE698/W698),"NA",IF(OR(AE698/W698&gt;2,AE698/W698&lt;0.5),"NM",AE698/W698*100-100))</f>
        <v>-24.197620122319393</v>
      </c>
      <c r="AG698" s="169">
        <f>AG582/AG686*400</f>
        <v>15.341934441242222</v>
      </c>
      <c r="AH698" s="72" t="str">
        <f>IF(ISERROR(AG698/Y698),"NA",IF(OR(AG698/Y698&gt;2,AG698/Y698&lt;0.5),"NM",AG698/Y698*100-100))</f>
        <v>NM</v>
      </c>
      <c r="AI698" s="169">
        <f>AI582/AI686*400</f>
        <v>10.237896381711883</v>
      </c>
      <c r="AJ698" s="72">
        <f>IF(ISERROR(AI698/AA698),"NA",IF(OR(AI698/AA698&gt;2,AI698/AA698&lt;0.5),"NM",AI698/AA698*100-100))</f>
        <v>31.933445165571726</v>
      </c>
      <c r="AK698" s="169">
        <f>AK582/AK686*400</f>
        <v>15.888927604599425</v>
      </c>
      <c r="AL698" s="72" t="str">
        <f>IF(ISERROR(AK698/AC698),"NA",IF(OR(AK698/AC698&gt;2,AK698/AC698&lt;0.5),"NM",AK698/AC698*100-100))</f>
        <v>NM</v>
      </c>
      <c r="AM698" s="169">
        <f>AM582/AM686*400</f>
        <v>16.805298013245032</v>
      </c>
      <c r="AN698" s="72" t="str">
        <f>IF(ISERROR(AM698/AE698),"NA",IF(OR(AM698/AE698&gt;2,AM698/AE698&lt;0.5),"NM",AM698/AE698*100-100))</f>
        <v>NM</v>
      </c>
      <c r="AO698" s="169">
        <f>AO582/AO686*400</f>
        <v>12.316669705890016</v>
      </c>
      <c r="AP698" s="72">
        <f>IF(ISERROR(AO698/AG698),"NA",IF(OR(AO698/AG698&gt;2,AO698/AG698&lt;0.5),"NM",AO698/AG698*100-100))</f>
        <v>-19.71892623409785</v>
      </c>
      <c r="AQ698" s="169">
        <f>AQ582/AQ686*400</f>
        <v>21.089595155093004</v>
      </c>
      <c r="AR698" s="72" t="str">
        <f>IF(ISERROR(AQ698/AI698),"NA",IF(OR(AQ698/AI698&gt;2,AQ698/AI698&lt;0.5),"NM",AQ698/AI698*100-100))</f>
        <v>NM</v>
      </c>
      <c r="AS698" s="169">
        <f>AS582/AS686*400</f>
        <v>19.801487599194008</v>
      </c>
      <c r="AT698" s="72">
        <f>IF(ISERROR(AS698/AK698),"NA",IF(OR(AS698/AK698&gt;2,AS698/AK698&lt;0.5),"NM",AS698/AK698*100-100))</f>
        <v>24.624443461256632</v>
      </c>
      <c r="AU698" s="169">
        <f>AU582/AU686*400</f>
        <v>30.588519637462237</v>
      </c>
      <c r="AV698" s="72">
        <f>IF(ISERROR(AU698/AM698),"NA",IF(OR(AU698/AM698&gt;2,AU698/AM698&lt;0.5),"NM",AU698/AM698*100-100))</f>
        <v>82.017121108795635</v>
      </c>
      <c r="AW698" s="169">
        <f>AW582/AW686*400</f>
        <v>10.973119700208988</v>
      </c>
      <c r="AX698" s="72">
        <f>IF(ISERROR(AW698/AO698),"NA",IF(OR(AW698/AO698&gt;2,AW698/AO698&lt;0.5),"NM",AW698/AO698*100-100))</f>
        <v>-10.908387070236387</v>
      </c>
      <c r="AY698" s="169">
        <f>AY582/AY686*400</f>
        <v>11.710248891258512</v>
      </c>
      <c r="AZ698" s="72">
        <f>IF(ISERROR(AY698/AQ698),"NA",IF(OR(AY698/AQ698&gt;2,AY698/AQ698&lt;0.5),"NM",AY698/AQ698*100-100))</f>
        <v>-44.473808979540507</v>
      </c>
      <c r="BA698" s="169">
        <f>BA582/BA686*400</f>
        <v>7.511918879020353</v>
      </c>
      <c r="BB698" s="72" t="str">
        <f>IF(ISERROR(BA698/AS698),"NA",IF(OR(BA698/AS698&gt;2,BA698/AS698&lt;0.5),"NM",BA698/AS698*100-100))</f>
        <v>NM</v>
      </c>
      <c r="BC698" s="169">
        <f>BC582/BC686*400</f>
        <v>20.996271154030023</v>
      </c>
      <c r="BD698" s="72">
        <f>IF(ISERROR(BC698/AU698),"NA",IF(OR(BC698/AU698&gt;2,BC698/AU698&lt;0.5),"NM",BC698/AU698*100-100))</f>
        <v>-31.358982380057512</v>
      </c>
      <c r="BE698" s="169">
        <f>BE582/BE686*400</f>
        <v>15.443360203648707</v>
      </c>
      <c r="BF698" s="72">
        <f>IF(ISERROR(BE698/AW698),"NA",IF(OR(BE698/AW698&gt;2,BE698/AW698&lt;0.5),"NM",BE698/AW698*100-100))</f>
        <v>40.738100244678662</v>
      </c>
      <c r="BG698" s="169">
        <f>BG582/BG686*400</f>
        <v>15.588957198625492</v>
      </c>
      <c r="BH698" s="72">
        <f>IF(ISERROR(BG698/AY698),"NA",IF(OR(BG698/AY698&gt;2,BG698/AY698&lt;0.5),"NM",BG698/AY698*100-100))</f>
        <v>33.122338759702728</v>
      </c>
      <c r="BI698" s="169">
        <f>BI582/BI686*400</f>
        <v>14.168585905112852</v>
      </c>
      <c r="BJ698" s="72">
        <f>IF(ISERROR(BI698/BA698),"NA",IF(OR(BI698/BA698&gt;2,BI698/BA698&lt;0.5),"NM",BI698/BA698*100-100))</f>
        <v>88.614735240067063</v>
      </c>
      <c r="BK698" s="169">
        <f>BK582/BK686*400</f>
        <v>14.484225772869236</v>
      </c>
      <c r="BL698" s="72">
        <f>IF(ISERROR(BK698/BC698),"NA",IF(OR(BK698/BC698&gt;2,BK698/BC698&lt;0.5),"NM",BK698/BC698*100-100))</f>
        <v>-31.015247104535831</v>
      </c>
      <c r="BM698" s="169">
        <f>BM582/BM686*400</f>
        <v>14.402678714767333</v>
      </c>
      <c r="BN698" s="72">
        <f>IF(ISERROR(BM698/BE698),"NA",IF(OR(BM698/BE698&gt;2,BM698/BE698&lt;0.5),"NM",BM698/BE698*100-100))</f>
        <v>-6.7386985420148307</v>
      </c>
      <c r="BO698" s="169">
        <f>BO582/BO686*400</f>
        <v>1.1721075042351541</v>
      </c>
      <c r="BP698" s="72" t="str">
        <f>IF(ISERROR(BO698/BG698),"NA",IF(OR(BO698/BG698&gt;2,BO698/BG698&lt;0.5),"NM",BO698/BG698*100-100))</f>
        <v>NM</v>
      </c>
      <c r="BQ698" s="169">
        <f>BQ582/BQ686*400</f>
        <v>9.6929109573952505</v>
      </c>
      <c r="BR698" s="72">
        <f>IF(ISERROR(BQ698/BI698),"NA",IF(OR(BQ698/BI698&gt;2,BQ698/BI698&lt;0.5),"NM",BQ698/BI698*100-100))</f>
        <v>-31.588720128396986</v>
      </c>
      <c r="BS698" s="169">
        <f>BS582/BS686*400</f>
        <v>-2.3227514357080334</v>
      </c>
      <c r="BT698" s="72" t="str">
        <f>IF(ISERROR(BS698/BK698),"NA",IF(OR(BS698/BK698&gt;2,BS698/BK698&lt;0.5),"NM",BS698/BK698*100-100))</f>
        <v>NM</v>
      </c>
      <c r="BU698" s="169">
        <f>BU582/BU686*400</f>
        <v>-23.370041008155553</v>
      </c>
      <c r="BV698" s="72" t="str">
        <f>IF(ISERROR(BU698/BM698),"NA",IF(OR(BU698/BM698&gt;2,BU698/BM698&lt;0.5),"NM",BU698/BM698*100-100))</f>
        <v>NM</v>
      </c>
      <c r="BW698" s="169">
        <f>BW582/BW686*400</f>
        <v>-0.10058591294289235</v>
      </c>
      <c r="BX698" s="72" t="str">
        <f>IF(ISERROR(BW698/BO698),"NA",IF(OR(BW698/BO698&gt;2,BW698/BO698&lt;0.5),"NM",BW698/BO698*100-100))</f>
        <v>NM</v>
      </c>
      <c r="BY698" s="169">
        <f>BY582/BY686*400</f>
        <v>10.143288084464555</v>
      </c>
      <c r="BZ698" s="72">
        <f>IF(ISERROR(BY698/BQ698),"NA",IF(OR(BY698/BQ698&gt;2,BY698/BQ698&lt;0.5),"NM",BY698/BQ698*100-100))</f>
        <v>4.6464589332236415</v>
      </c>
      <c r="CA698" s="169">
        <f>CA582/CA686*400</f>
        <v>19.151366072212952</v>
      </c>
      <c r="CB698" s="72" t="str">
        <f>IF(ISERROR(CA698/BS698),"NA",IF(OR(CA698/BS698&gt;2,CA698/BS698&lt;0.5),"NM",CA698/BS698*100-100))</f>
        <v>NM</v>
      </c>
      <c r="CC698" s="169">
        <f>CC582/CC686*400</f>
        <v>29.759081263263017</v>
      </c>
      <c r="CD698" s="72" t="str">
        <f>IF(ISERROR(CC698/BU698),"NA",IF(OR(CC698/BU698&gt;2,CC698/BU698&lt;0.5),"NM",CC698/BU698*100-100))</f>
        <v>NM</v>
      </c>
      <c r="CE698" s="169">
        <f>CE582/CE686*400</f>
        <v>8.1545334423960245</v>
      </c>
      <c r="CF698" s="72" t="str">
        <f>IF(ISERROR(CE698/BW698),"NA",IF(OR(CE698/BW698&gt;2,CE698/BW698&lt;0.5),"NM",CE698/BW698*100-100))</f>
        <v>NM</v>
      </c>
      <c r="CG698" s="169">
        <f>CG582/CG686*400</f>
        <v>14.134637981498493</v>
      </c>
      <c r="CH698" s="72">
        <f>IF(ISERROR(CG698/BY698),"NA",IF(OR(CG698/BY698&gt;2,CG698/BY698&lt;0.5),"NM",CG698/BY698*100-100))</f>
        <v>39.349665155888488</v>
      </c>
      <c r="CI698" s="169">
        <f>CI582/CI686*400</f>
        <v>17.622371895919915</v>
      </c>
      <c r="CJ698" s="72">
        <f>IF(ISERROR(CI698/CA698),"NA",IF(OR(CI698/CA698&gt;2,CI698/CA698&lt;0.5),"NM",CI698/CA698*100-100))</f>
        <v>-7.9837342700658951</v>
      </c>
      <c r="CK698" s="169">
        <f>CK582/CK686*400</f>
        <v>1.7562596416281002</v>
      </c>
      <c r="CL698" s="72" t="str">
        <f>IF(ISERROR(CK698/CC698),"NA",IF(OR(CK698/CC698&gt;2,CK698/CC698&lt;0.5),"NM",CK698/CC698*100-100))</f>
        <v>NM</v>
      </c>
      <c r="CM698" s="169">
        <f>CM582/CM686*400</f>
        <v>8.3280220947524963</v>
      </c>
      <c r="CN698" s="72">
        <f>IF(ISERROR(CM698/CE698),"NA",IF(OR(CM698/CE698&gt;2,CM698/CE698&lt;0.5),"NM",CM698/CE698*100-100))</f>
        <v>2.1275116912819527</v>
      </c>
      <c r="CO698" s="169">
        <f>CO582/CO686*400</f>
        <v>11.70152840887754</v>
      </c>
      <c r="CP698" s="72">
        <f>IF(ISERROR(CO698/CG698),"NA",IF(OR(CO698/CG698&gt;2,CO698/CG698&lt;0.5),"NM",CO698/CG698*100-100))</f>
        <v>-17.213808912586003</v>
      </c>
      <c r="CQ698" s="169">
        <f>CQ582/CQ686*400</f>
        <v>22.733226604569932</v>
      </c>
      <c r="CR698" s="72">
        <f>IF(ISERROR(CQ698/CI698),"NA",IF(OR(CQ698/CI698&gt;2,CQ698/CI698&lt;0.5),"NM",CQ698/CI698*100-100))</f>
        <v>29.002081778976219</v>
      </c>
      <c r="CS698" s="169">
        <f>CS582/CS686*400</f>
        <v>7.5032341526520057</v>
      </c>
      <c r="CT698" s="72" t="str">
        <f>IF(ISERROR(CS698/CK698),"NA",IF(OR(CS698/CK698&gt;2,CS698/CK698&lt;0.5),"NM",CS698/CK698*100-100))</f>
        <v>NM</v>
      </c>
      <c r="CU698" s="169">
        <f>CU582/CU686*400</f>
        <v>-13.8440884932968</v>
      </c>
      <c r="CV698" s="72" t="str">
        <f>IF(ISERROR(CU698/CM698),"NA",IF(OR(CU698/CM698&gt;2,CU698/CM698&lt;0.5),"NM",CU698/CM698*100-100))</f>
        <v>NM</v>
      </c>
      <c r="CW698" s="169">
        <f>CW582/CW686*400</f>
        <v>32.275323548550354</v>
      </c>
      <c r="CX698" s="72" t="str">
        <f>IF(ISERROR(CW698/CO698),"NA",IF(OR(CW698/CO698&gt;2,CW698/CO698&lt;0.5),"NM",CW698/CO698*100-100))</f>
        <v>NM</v>
      </c>
      <c r="CY698" s="169">
        <f>CY582/CY686*400</f>
        <v>-8.7393890192894848</v>
      </c>
      <c r="CZ698" s="72" t="str">
        <f>IF(ISERROR(CY698/CQ698),"NA",IF(OR(CY698/CQ698&gt;2,CY698/CQ698&lt;0.5),"NM",CY698/CQ698*100-100))</f>
        <v>NM</v>
      </c>
      <c r="DA698" s="169">
        <f>DA582/DA686*400</f>
        <v>-2.691300552807681</v>
      </c>
      <c r="DB698" s="72" t="str">
        <f>IF(ISERROR(DA698/CS698),"NA",IF(OR(DA698/CS698&gt;2,DA698/CS698&lt;0.5),"NM",DA698/CS698*100-100))</f>
        <v>NM</v>
      </c>
      <c r="DC698" s="169">
        <f>DC582/DC686*400</f>
        <v>-11.053670457749789</v>
      </c>
      <c r="DD698" s="72">
        <f>IF(ISERROR(DC698/CU698),"NA",IF(OR(DC698/CU698&gt;2,DC698/CU698&lt;0.5),"NM",DC698/CU698*100-100))</f>
        <v>-20.156025706554175</v>
      </c>
      <c r="DE698" s="169">
        <f>DE582/DE686*400</f>
        <v>-8.0276386786227238</v>
      </c>
      <c r="DF698" s="72" t="str">
        <f>IF(ISERROR(DE698/CW698),"NA",IF(OR(DE698/CW698&gt;2,DE698/CW698&lt;0.5),"NM",DE698/CW698*100-100))</f>
        <v>NM</v>
      </c>
      <c r="DG698" s="169">
        <f>DG582/DG686*400</f>
        <v>15.041750199505616</v>
      </c>
      <c r="DH698" s="72" t="str">
        <f>IF(ISERROR(DG698/CY698),"NA",IF(OR(DG698/CY698&gt;2,DG698/CY698&lt;0.5),"NM",DG698/CY698*100-100))</f>
        <v>NM</v>
      </c>
      <c r="DI698" s="169">
        <f>DI582/DI686*400</f>
        <v>-6.6545886661601701</v>
      </c>
      <c r="DJ698" s="72" t="str">
        <f>IF(ISERROR(DI698/DA698),"NA",IF(OR(DI698/DA698&gt;2,DI698/DA698&lt;0.5),"NM",DI698/DA698*100-100))</f>
        <v>NM</v>
      </c>
      <c r="DK698" s="169">
        <f>DK582/DK686*400</f>
        <v>19.060214719153571</v>
      </c>
      <c r="DL698" s="72" t="str">
        <f>IF(ISERROR(DK698/DC698),"NA",IF(OR(DK698/DC698&gt;2,DK698/DC698&lt;0.5),"NM",DK698/DC698*100-100))</f>
        <v>NM</v>
      </c>
      <c r="DM698" s="169"/>
      <c r="DN698" s="72"/>
      <c r="DO698" s="169"/>
      <c r="DP698" s="72"/>
      <c r="DQ698" s="169"/>
      <c r="DR698" s="72"/>
      <c r="DS698" s="169"/>
      <c r="DT698" s="72" t="str">
        <f>IF(ISERROR(DS698/DK698),"NA",IF(OR(DS698/DK698&gt;2,DS698/DK698&lt;0.5),"NM",DS698/DK698*100-100))</f>
        <v>NM</v>
      </c>
      <c r="DU698" s="169"/>
      <c r="DV698" s="72" t="str">
        <f>IF(ISERROR(DU698/DM698),"NA",IF(OR(DU698/DM698&gt;2,DU698/DM698&lt;0.5),"NM",DU698/DM698*100-100))</f>
        <v>NA</v>
      </c>
      <c r="DW698" s="169"/>
      <c r="DX698" s="72" t="str">
        <f>IF(ISERROR(DW698/DO698),"NA",IF(OR(DW698/DO698&gt;2,DW698/DO698&lt;0.5),"NM",DW698/DO698*100-100))</f>
        <v>NA</v>
      </c>
      <c r="DY698" s="169"/>
      <c r="DZ698" s="72" t="str">
        <f>IF(ISERROR(DY698/DQ698),"NA",IF(OR(DY698/DQ698&gt;2,DY698/DQ698&lt;0.5),"NM",DY698/DQ698*100-100))</f>
        <v>NA</v>
      </c>
      <c r="EA698" s="169"/>
      <c r="EB698" s="72" t="str">
        <f>IF(ISERROR(EA698/DS698),"NA",IF(OR(EA698/DS698&gt;2,EA698/DS698&lt;0.5),"NM",EA698/DS698*100-100))</f>
        <v>NA</v>
      </c>
      <c r="EC698" s="171">
        <f>EC582/EC686*400</f>
        <v>12.146790200797916</v>
      </c>
      <c r="ED698" s="72" t="str">
        <f>IF(ISERROR(EC698/DU698),"NA",IF(OR(EC698/DU698&gt;2,EC698/DU698&lt;0.5),"NM",EC698/DU698*100-100))</f>
        <v>NA</v>
      </c>
      <c r="EE698" s="171">
        <f>EE582/EE686*400</f>
        <v>23.5787571788088</v>
      </c>
      <c r="EF698" s="72" t="str">
        <f>IF(ISERROR(EE698/DW698),"NA",IF(OR(EE698/DW698&gt;2,EE698/DW698&lt;0.5),"NM",EE698/DW698*100-100))</f>
        <v>NA</v>
      </c>
      <c r="EG698" s="171">
        <f>EG582/EG686*400</f>
        <v>3.6208325364951874</v>
      </c>
      <c r="EH698" s="72" t="str">
        <f>IF(ISERROR(EG698/DY698),"NA",IF(OR(EG698/DY698&gt;2,EG698/DY698&lt;0.5),"NM",EG698/DY698*100-100))</f>
        <v>NA</v>
      </c>
      <c r="EI698" s="171">
        <f>EI582/EI686*400</f>
        <v>17.279081141631035</v>
      </c>
      <c r="EJ698" s="72" t="str">
        <f>IF(ISERROR(EI698/EA698),"NA",IF(OR(EI698/EA698&gt;2,EI698/EA698&lt;0.5),"NM",EI698/EA698*100-100))</f>
        <v>NA</v>
      </c>
      <c r="EK698" s="171">
        <f>EK582/EK686*400</f>
        <v>6.1161889042866262</v>
      </c>
      <c r="EL698" s="72">
        <f>IF(ISERROR(EK698/EC698),"NA",IF(OR(EK698/EC698&gt;2,EK698/EC698&lt;0.5),"NM",EK698/EC698*100-100))</f>
        <v>-49.647694549916096</v>
      </c>
      <c r="EM698" s="171">
        <f>EM582/EM686*400</f>
        <v>27.186176108841885</v>
      </c>
      <c r="EN698" s="72">
        <f>IF(ISERROR(EM698/EE698),"NA",IF(OR(EM698/EE698&gt;2,EM698/EE698&lt;0.5),"NM",EM698/EE698*100-100))</f>
        <v>15.299444761555208</v>
      </c>
      <c r="EO698" s="171">
        <f>EO582/EO686*400</f>
        <v>42.560406952098347</v>
      </c>
      <c r="EP698" s="72" t="str">
        <f>IF(ISERROR(EO698/EG698),"NA",IF(OR(EO698/EG698&gt;2,EO698/EG698&lt;0.5),"NM",EO698/EG698*100-100))</f>
        <v>NM</v>
      </c>
      <c r="EQ698" s="171">
        <f>EQ582/EQ686*400</f>
        <v>23.016783419549782</v>
      </c>
      <c r="ER698" s="72">
        <f t="shared" si="3300"/>
        <v>33.206061311296935</v>
      </c>
      <c r="ES698" s="171">
        <f>ES582/ES686*400</f>
        <v>9.9810419692480412</v>
      </c>
      <c r="ET698" s="72">
        <f t="shared" si="3301"/>
        <v>63.190544396898417</v>
      </c>
      <c r="EU698" s="171">
        <f>EU582/EU686*400</f>
        <v>9.7100798488617084</v>
      </c>
      <c r="EV698" s="72" t="str">
        <f t="shared" si="3302"/>
        <v>NM</v>
      </c>
      <c r="EW698" s="171">
        <f>EW582/EW686*400</f>
        <v>8.2744011152655421</v>
      </c>
      <c r="EX698" s="72" t="str">
        <f t="shared" si="3303"/>
        <v>NM</v>
      </c>
      <c r="EY698" s="72"/>
      <c r="EZ698" s="320"/>
      <c r="FA698" s="72"/>
      <c r="FB698" s="171"/>
      <c r="FC698" s="82"/>
      <c r="FD698" s="170"/>
      <c r="FE698" s="72"/>
      <c r="FF698" s="169">
        <f>FF582/FF686*100</f>
        <v>-3.4209262139004326</v>
      </c>
      <c r="FG698" s="72" t="str">
        <f>IF(ISERROR(FF698/FD698),"NA",IF(OR(FF698/FD698&gt;2,FF698/FD698&lt;0.5),"NM",FF698/FD698*100-100))</f>
        <v>NA</v>
      </c>
      <c r="FH698" s="169">
        <f>FH582/FH686*100</f>
        <v>6.5229646663085781</v>
      </c>
      <c r="FI698" s="72" t="str">
        <f>IF(ISERROR(FH698/FF698),"NA",IF(OR(FH698/FF698&gt;2,FH698/FF698&lt;0.5),"NM",FH698/FF698*100-100))</f>
        <v>NM</v>
      </c>
      <c r="FJ698" s="169">
        <f>FJ582/FJ686*100</f>
        <v>-6.0205813706768518</v>
      </c>
      <c r="FK698" s="72" t="str">
        <f>IF(ISERROR(FJ698/FH698),"NA",IF(OR(FJ698/FH698&gt;2,FJ698/FH698&lt;0.5),"NM",FJ698/FH698*100-100))</f>
        <v>NM</v>
      </c>
      <c r="FL698" s="169">
        <f>FL582/FL686*100</f>
        <v>-7.8205679862306363</v>
      </c>
      <c r="FM698" s="72">
        <f>IF(ISERROR(FL698/FJ698),"NA",IF(OR(FL698/FJ698&gt;2,FL698/FJ698&lt;0.5),"NM",FL698/FJ698*100-100))</f>
        <v>29.897222622396413</v>
      </c>
      <c r="FN698" s="169">
        <f>FN582/FN686*100</f>
        <v>-5.1903570017125542</v>
      </c>
      <c r="FO698" s="72">
        <f>IF(ISERROR(FN698/FL698),"NA",IF(OR(FN698/FL698&gt;2,FN698/FL698&lt;0.5),"NM",FN698/FL698*100-100))</f>
        <v>-33.631968792407292</v>
      </c>
      <c r="FP698" s="169">
        <f>FP582/FP686*100</f>
        <v>-18.653913566027342</v>
      </c>
      <c r="FQ698" s="72" t="str">
        <f>IF(ISERROR(FP698/FN698),"NA",IF(OR(FP698/FN698&gt;2,FP698/FN698&lt;0.5),"NM",FP698/FN698*100-100))</f>
        <v>NM</v>
      </c>
      <c r="FR698" s="171">
        <f>FR582/FR686*100</f>
        <v>-12.228078581696215</v>
      </c>
      <c r="FS698" s="72">
        <f>IF(ISERROR(FR698/FP698),"NA",IF(OR(FR698/FP698&gt;2,FR698/FP698&lt;0.5),"NM",FR698/FP698*100-100))</f>
        <v>-34.447650685129744</v>
      </c>
      <c r="FT698" s="171">
        <f>FT582/FT686*100</f>
        <v>-11.988879988691513</v>
      </c>
      <c r="FU698" s="72">
        <f>IF(ISERROR(FT698/FR698),"NA",IF(OR(FT698/FR698&gt;2,FT698/FR698&lt;0.5),"NM",FT698/FR698*100-100))</f>
        <v>-1.9561420987492539</v>
      </c>
      <c r="FV698" s="171">
        <f>FV582/FV686*100</f>
        <v>-19.876903459944582</v>
      </c>
      <c r="FW698" s="72">
        <f>IF(ISERROR(FV698/FT698),"NA",IF(OR(FV698/FT698&gt;2,FV698/FT698&lt;0.5),"NM",FV698/FT698*100-100))</f>
        <v>65.794498557775455</v>
      </c>
      <c r="FX698" s="171">
        <f>FX582/FX686*100</f>
        <v>-3.6378426011704366</v>
      </c>
      <c r="FY698" s="72" t="str">
        <f>IF(ISERROR(FX698/FV698),"NA",IF(OR(FX698/FV698&gt;2,FX698/FV698&lt;0.5),"NM",FX698/FV698*100-100))</f>
        <v>NM</v>
      </c>
      <c r="FZ698" s="171">
        <f>FZ582/FZ686*100</f>
        <v>-0.1351915545040657</v>
      </c>
      <c r="GA698" s="72" t="str">
        <f>IF(ISERROR(FZ698/FX698),"NA",IF(OR(FZ698/FX698&gt;2,FZ698/FX698&lt;0.5),"NM",FZ698/FX698*100-100))</f>
        <v>NM</v>
      </c>
      <c r="GB698" s="171">
        <f>GB582/GB686*100</f>
        <v>-2.0108420401042935</v>
      </c>
      <c r="GC698" s="72" t="str">
        <f>IF(ISERROR(GB698/FZ698),"NA",IF(OR(GB698/FZ698&gt;2,GB698/FZ698&lt;0.5),"NM",GB698/FZ698*100-100))</f>
        <v>NM</v>
      </c>
      <c r="GD698" s="171">
        <f>GD582/GD686*100</f>
        <v>1.1176857330703485</v>
      </c>
      <c r="GE698" s="72" t="str">
        <f>IF(ISERROR(GD698/GB698),"NA",IF(OR(GD698/GB698&gt;2,GD698/GB698&lt;0.5),"NM",GD698/GB698*100-100))</f>
        <v>NM</v>
      </c>
      <c r="GF698" s="171">
        <f>GF582/GF686*100</f>
        <v>10.650864952690432</v>
      </c>
      <c r="GG698" s="72" t="str">
        <f>IF(ISERROR(GF698/GD698),"NA",IF(OR(GF698/GD698&gt;2,GF698/GD698&lt;0.5),"NM",GF698/GD698*100-100))</f>
        <v>NM</v>
      </c>
      <c r="GH698" s="171">
        <f>GH582/GH686*100</f>
        <v>12.694948212230644</v>
      </c>
      <c r="GI698" s="72">
        <f>IF(ISERROR(GH698/GF698),"NA",IF(OR(GH698/GF698&gt;2,GH698/GF698&lt;0.5),"NM",GH698/GF698*100-100))</f>
        <v>19.191711364473491</v>
      </c>
      <c r="GJ698" s="171">
        <f>GJ582/GJ686*100</f>
        <v>20.627376425855513</v>
      </c>
      <c r="GK698" s="72">
        <f>IF(ISERROR(GJ698/GH698),"NA",IF(OR(GJ698/GH698&gt;2,GJ698/GH698&lt;0.5),"NM",GJ698/GH698*100-100))</f>
        <v>62.484919835927798</v>
      </c>
      <c r="GL698" s="171">
        <f>GL582/GL686*100</f>
        <v>14.357322464542213</v>
      </c>
      <c r="GM698" s="72">
        <f>IF(ISERROR(GL698/GJ698),"NA",IF(OR(GL698/GJ698&gt;2,GL698/GJ698&lt;0.5),"NM",GL698/GJ698*100-100))</f>
        <v>-30.396759296320695</v>
      </c>
      <c r="GN698" s="171">
        <f>GN582/GN686*100</f>
        <v>23.046147984231428</v>
      </c>
      <c r="GO698" s="72">
        <f>IF(ISERROR(GN698/GL698),"NA",IF(OR(GN698/GL698&gt;2,GN698/GL698&lt;0.5),"NM",GN698/GL698*100-100))</f>
        <v>60.518425640628379</v>
      </c>
      <c r="GP698" s="171">
        <f>GP582/GP686*100</f>
        <v>12.848149935623987</v>
      </c>
      <c r="GQ698" s="72">
        <f>IF(ISERROR(GP698/GN698),"NA",IF(OR(GP698/GN698&gt;2,GP698/GN698&lt;0.5),"NM",GP698/GN698*100-100))</f>
        <v>-44.250336566375815</v>
      </c>
      <c r="GR698" s="171">
        <f>GR582/GR686*100</f>
        <v>11.30451515185432</v>
      </c>
      <c r="GS698" s="72">
        <f>IF(ISERROR(GR698/GP698),"NA",IF(OR(GR698/GP698&gt;2,GR698/GP698&lt;0.5),"NM",GR698/GP698*100-100))</f>
        <v>-12.014451819943659</v>
      </c>
      <c r="GT698" s="171">
        <f>GT582/GT686*100</f>
        <v>10.976437387637745</v>
      </c>
      <c r="GU698" s="72">
        <f>IF(ISERROR(GT698/GR698),"NA",IF(OR(GT698/GR698&gt;2,GT698/GR698&lt;0.5),"NM",GT698/GR698*100-100))</f>
        <v>-2.9021834179483506</v>
      </c>
      <c r="GV698" s="171">
        <f>GV582/GV686*100</f>
        <v>10.71372928923363</v>
      </c>
      <c r="GW698" s="72">
        <f>IF(ISERROR(GV698/GT698),"NA",IF(OR(GV698/GT698&gt;2,GV698/GT698&lt;0.5),"NM",GV698/GT698*100-100))</f>
        <v>-2.3933821979433105</v>
      </c>
      <c r="GX698" s="171">
        <f>GX582/GX686*100</f>
        <v>10.465684282603879</v>
      </c>
      <c r="GY698" s="72">
        <f>IF(ISERROR(GX698/GV698),"NA",IF(OR(GX698/GV698&gt;2,GX698/GV698&lt;0.5),"NM",GX698/GV698*100-100))</f>
        <v>-2.3152069641988646</v>
      </c>
      <c r="GZ698" s="72">
        <f>IF(ISERROR(((GX698/GN698)^0.2-1)*100),"NA",IF((((GX698/GN698)^0.2-1)*100)&gt;100,"NM",IF((((GX698/GN698)^0.2-1)*100)&lt;-50,"NM",((GX698/GN698)^0.2-1)*100)))</f>
        <v>-14.604722017471305</v>
      </c>
      <c r="HA698" s="72"/>
      <c r="HB698" s="72"/>
      <c r="HC698"/>
      <c r="HD698"/>
      <c r="HE698"/>
      <c r="HF698"/>
      <c r="HG698"/>
      <c r="HH698"/>
      <c r="HI698" s="2"/>
    </row>
    <row r="699" spans="1:217" s="3" customFormat="1" ht="12.75" hidden="1" customHeight="1" outlineLevel="1" x14ac:dyDescent="0.2">
      <c r="B699" s="4"/>
      <c r="C699" s="16"/>
      <c r="D699" s="16"/>
      <c r="E699" s="16"/>
      <c r="F699" s="11"/>
      <c r="G699" s="16"/>
      <c r="H699" s="11"/>
      <c r="I699" s="16"/>
      <c r="J699" s="11"/>
      <c r="K699" s="16"/>
      <c r="L699" s="72"/>
      <c r="M699" s="16"/>
      <c r="N699" s="72"/>
      <c r="O699" s="16"/>
      <c r="P699" s="72"/>
      <c r="Q699" s="16"/>
      <c r="R699" s="72"/>
      <c r="S699" s="16"/>
      <c r="T699" s="72"/>
      <c r="U699" s="16"/>
      <c r="V699" s="72"/>
      <c r="W699" s="16"/>
      <c r="X699" s="72"/>
      <c r="Y699" s="16"/>
      <c r="Z699" s="72"/>
      <c r="AA699" s="16"/>
      <c r="AB699" s="72"/>
      <c r="AC699" s="16"/>
      <c r="AD699" s="72"/>
      <c r="AE699" s="16"/>
      <c r="AF699" s="72"/>
      <c r="AG699" s="16"/>
      <c r="AH699" s="72"/>
      <c r="AI699" s="16"/>
      <c r="AJ699" s="72"/>
      <c r="AK699" s="16"/>
      <c r="AL699" s="72"/>
      <c r="AM699" s="16"/>
      <c r="AN699" s="72"/>
      <c r="AO699" s="16"/>
      <c r="AP699" s="72"/>
      <c r="AQ699" s="16"/>
      <c r="AR699" s="72"/>
      <c r="AS699" s="16"/>
      <c r="AT699" s="72"/>
      <c r="AU699" s="16"/>
      <c r="AV699" s="72"/>
      <c r="AW699" s="16"/>
      <c r="AX699" s="72"/>
      <c r="AY699" s="16"/>
      <c r="AZ699" s="72"/>
      <c r="BA699" s="16"/>
      <c r="BB699" s="72"/>
      <c r="BC699" s="16"/>
      <c r="BD699" s="72"/>
      <c r="BE699" s="16"/>
      <c r="BF699" s="72"/>
      <c r="BG699" s="16"/>
      <c r="BH699" s="72"/>
      <c r="BI699" s="16"/>
      <c r="BJ699" s="72"/>
      <c r="BK699" s="16"/>
      <c r="BL699" s="72"/>
      <c r="BM699" s="16"/>
      <c r="BN699" s="72"/>
      <c r="BO699" s="16"/>
      <c r="BP699" s="72"/>
      <c r="BQ699" s="16"/>
      <c r="BR699" s="72"/>
      <c r="BS699" s="16"/>
      <c r="BT699" s="72"/>
      <c r="BU699" s="16"/>
      <c r="BV699" s="72"/>
      <c r="BW699" s="16"/>
      <c r="BX699" s="72"/>
      <c r="BY699" s="16"/>
      <c r="BZ699" s="72"/>
      <c r="CA699" s="16"/>
      <c r="CB699" s="72"/>
      <c r="CC699" s="16"/>
      <c r="CD699" s="72"/>
      <c r="CE699" s="16"/>
      <c r="CF699" s="72"/>
      <c r="CG699" s="16"/>
      <c r="CH699" s="72"/>
      <c r="CI699" s="16"/>
      <c r="CJ699" s="72"/>
      <c r="CK699" s="16"/>
      <c r="CL699" s="72"/>
      <c r="CM699" s="16"/>
      <c r="CN699" s="72"/>
      <c r="CO699" s="16"/>
      <c r="CP699" s="72"/>
      <c r="CQ699" s="16"/>
      <c r="CR699" s="72"/>
      <c r="CS699" s="16"/>
      <c r="CT699" s="72"/>
      <c r="CU699" s="16"/>
      <c r="CV699" s="72"/>
      <c r="CW699" s="16"/>
      <c r="CX699" s="72"/>
      <c r="CY699" s="16"/>
      <c r="CZ699" s="72"/>
      <c r="DA699" s="16"/>
      <c r="DB699" s="72"/>
      <c r="DC699" s="16"/>
      <c r="DD699" s="72"/>
      <c r="DE699" s="16"/>
      <c r="DF699" s="72"/>
      <c r="DG699" s="16"/>
      <c r="DH699" s="72"/>
      <c r="DI699" s="16"/>
      <c r="DJ699" s="72"/>
      <c r="DK699" s="16"/>
      <c r="DL699" s="72"/>
      <c r="DM699" s="16"/>
      <c r="DN699" s="72"/>
      <c r="DO699" s="16"/>
      <c r="DP699" s="72"/>
      <c r="DQ699" s="16"/>
      <c r="DR699" s="72"/>
      <c r="DS699" s="16"/>
      <c r="DT699" s="72"/>
      <c r="DU699" s="16"/>
      <c r="DV699" s="72"/>
      <c r="DW699" s="16"/>
      <c r="DX699" s="72"/>
      <c r="DY699" s="16"/>
      <c r="DZ699" s="72"/>
      <c r="EA699" s="16"/>
      <c r="EB699" s="72"/>
      <c r="EC699" s="9"/>
      <c r="ED699" s="72"/>
      <c r="EE699" s="9"/>
      <c r="EF699" s="72"/>
      <c r="EG699" s="9"/>
      <c r="EH699" s="72"/>
      <c r="EI699" s="9"/>
      <c r="EJ699" s="72"/>
      <c r="EK699" s="9"/>
      <c r="EL699" s="72"/>
      <c r="EM699" s="9"/>
      <c r="EN699" s="72"/>
      <c r="EO699" s="9"/>
      <c r="EP699" s="72"/>
      <c r="EQ699" s="9"/>
      <c r="ER699" s="72"/>
      <c r="ES699" s="9"/>
      <c r="ET699" s="72"/>
      <c r="EU699" s="9"/>
      <c r="EV699" s="72"/>
      <c r="EW699" s="9"/>
      <c r="EX699" s="72"/>
      <c r="EY699" s="72"/>
      <c r="EZ699" s="296"/>
      <c r="FA699" s="72"/>
      <c r="FB699" s="9"/>
      <c r="FC699" s="11"/>
      <c r="FD699" s="150"/>
      <c r="FE699" s="72"/>
      <c r="FF699" s="16"/>
      <c r="FG699" s="72"/>
      <c r="FH699" s="16"/>
      <c r="FI699" s="72"/>
      <c r="FJ699" s="16"/>
      <c r="FK699" s="72"/>
      <c r="FL699" s="16"/>
      <c r="FM699" s="72"/>
      <c r="FN699" s="16"/>
      <c r="FO699" s="72"/>
      <c r="FP699" s="16"/>
      <c r="FQ699" s="72"/>
      <c r="FR699" s="9"/>
      <c r="FS699" s="72"/>
      <c r="FT699" s="9"/>
      <c r="FU699" s="72"/>
      <c r="FV699" s="9"/>
      <c r="FW699" s="72"/>
      <c r="FX699" s="9"/>
      <c r="FY699" s="72"/>
      <c r="FZ699" s="9"/>
      <c r="GA699" s="72"/>
      <c r="GB699" s="9"/>
      <c r="GC699" s="72"/>
      <c r="GD699" s="9"/>
      <c r="GE699" s="72"/>
      <c r="GF699" s="9"/>
      <c r="GG699" s="72"/>
      <c r="GH699" s="9"/>
      <c r="GI699" s="72"/>
      <c r="GJ699" s="9"/>
      <c r="GK699" s="72"/>
      <c r="GL699" s="9"/>
      <c r="GM699" s="72"/>
      <c r="GN699" s="9"/>
      <c r="GO699" s="72"/>
      <c r="GP699" s="9"/>
      <c r="GQ699" s="72"/>
      <c r="GR699" s="9"/>
      <c r="GS699" s="72"/>
      <c r="GT699" s="9"/>
      <c r="GU699" s="72"/>
      <c r="GV699" s="9"/>
      <c r="GW699" s="72"/>
      <c r="GX699" s="9"/>
      <c r="GY699" s="72"/>
      <c r="GZ699" s="72"/>
      <c r="HA699" s="72"/>
      <c r="HB699" s="72"/>
      <c r="HC699"/>
      <c r="HD699"/>
      <c r="HE699"/>
      <c r="HF699"/>
      <c r="HG699"/>
      <c r="HH699"/>
      <c r="HI699" s="2"/>
    </row>
    <row r="700" spans="1:217" s="3" customFormat="1" ht="12.75" customHeight="1" collapsed="1" x14ac:dyDescent="0.2">
      <c r="B700" s="96" t="s">
        <v>501</v>
      </c>
      <c r="C700" s="16"/>
      <c r="D700" s="16"/>
      <c r="E700" s="16"/>
      <c r="F700" s="11"/>
      <c r="G700" s="16"/>
      <c r="H700" s="11"/>
      <c r="I700" s="16"/>
      <c r="J700" s="11"/>
      <c r="K700" s="16"/>
      <c r="L700" s="72"/>
      <c r="M700" s="16"/>
      <c r="N700" s="72"/>
      <c r="O700" s="16"/>
      <c r="P700" s="72"/>
      <c r="Q700" s="16"/>
      <c r="R700" s="72"/>
      <c r="S700" s="16"/>
      <c r="T700" s="72"/>
      <c r="U700" s="16"/>
      <c r="V700" s="72"/>
      <c r="W700" s="16"/>
      <c r="X700" s="72"/>
      <c r="Y700" s="16"/>
      <c r="Z700" s="72"/>
      <c r="AA700" s="16"/>
      <c r="AB700" s="72"/>
      <c r="AC700" s="16"/>
      <c r="AD700" s="72"/>
      <c r="AE700" s="16"/>
      <c r="AF700" s="72"/>
      <c r="AG700" s="16"/>
      <c r="AH700" s="72"/>
      <c r="AI700" s="16"/>
      <c r="AJ700" s="72"/>
      <c r="AK700" s="16"/>
      <c r="AL700" s="72"/>
      <c r="AM700" s="16"/>
      <c r="AN700" s="72"/>
      <c r="AO700" s="16"/>
      <c r="AP700" s="72"/>
      <c r="AQ700" s="16"/>
      <c r="AR700" s="72"/>
      <c r="AS700" s="16"/>
      <c r="AT700" s="72"/>
      <c r="AU700" s="16"/>
      <c r="AV700" s="72"/>
      <c r="AW700" s="16"/>
      <c r="AX700" s="72"/>
      <c r="AY700" s="16"/>
      <c r="AZ700" s="72"/>
      <c r="BA700" s="16"/>
      <c r="BB700" s="72"/>
      <c r="BC700" s="16"/>
      <c r="BD700" s="72"/>
      <c r="BE700" s="16"/>
      <c r="BF700" s="72"/>
      <c r="BG700" s="16"/>
      <c r="BH700" s="72"/>
      <c r="BI700" s="16"/>
      <c r="BJ700" s="72"/>
      <c r="BK700" s="16"/>
      <c r="BL700" s="72"/>
      <c r="BM700" s="16"/>
      <c r="BN700" s="72"/>
      <c r="BO700" s="16"/>
      <c r="BP700" s="72"/>
      <c r="BQ700" s="16"/>
      <c r="BR700" s="72"/>
      <c r="BS700" s="16"/>
      <c r="BT700" s="72"/>
      <c r="BU700" s="16"/>
      <c r="BV700" s="72"/>
      <c r="BW700" s="16"/>
      <c r="BX700" s="72"/>
      <c r="BY700" s="16"/>
      <c r="BZ700" s="72"/>
      <c r="CA700" s="16"/>
      <c r="CB700" s="72"/>
      <c r="CC700" s="16"/>
      <c r="CD700" s="72"/>
      <c r="CE700" s="16"/>
      <c r="CF700" s="72"/>
      <c r="CG700" s="16"/>
      <c r="CH700" s="72"/>
      <c r="CI700" s="16"/>
      <c r="CJ700" s="72"/>
      <c r="CK700" s="16"/>
      <c r="CL700" s="72"/>
      <c r="CM700" s="16"/>
      <c r="CN700" s="72"/>
      <c r="CO700" s="16"/>
      <c r="CP700" s="72"/>
      <c r="CQ700" s="16"/>
      <c r="CR700" s="72"/>
      <c r="CS700" s="16"/>
      <c r="CT700" s="72"/>
      <c r="CU700" s="16"/>
      <c r="CV700" s="72"/>
      <c r="CW700" s="16"/>
      <c r="CX700" s="72"/>
      <c r="CY700" s="16"/>
      <c r="CZ700" s="72"/>
      <c r="DA700" s="16"/>
      <c r="DB700" s="72"/>
      <c r="DC700" s="16"/>
      <c r="DD700" s="72"/>
      <c r="DE700" s="16"/>
      <c r="DF700" s="72"/>
      <c r="DG700" s="16"/>
      <c r="DH700" s="72"/>
      <c r="DI700" s="16"/>
      <c r="DJ700" s="72"/>
      <c r="DK700" s="16"/>
      <c r="DL700" s="72"/>
      <c r="DM700" s="16"/>
      <c r="DN700" s="72"/>
      <c r="DO700" s="169"/>
      <c r="DP700" s="72"/>
      <c r="DQ700" s="174"/>
      <c r="DR700" s="72"/>
      <c r="DS700" s="174"/>
      <c r="DT700" s="72"/>
      <c r="DU700" s="174"/>
      <c r="DV700" s="72"/>
      <c r="DW700" s="174"/>
      <c r="DX700" s="72"/>
      <c r="DY700" s="174"/>
      <c r="DZ700" s="72"/>
      <c r="EA700" s="174"/>
      <c r="EB700" s="72"/>
      <c r="EC700" s="9"/>
      <c r="ED700" s="72"/>
      <c r="EE700" s="9"/>
      <c r="EF700" s="72"/>
      <c r="EG700" s="9"/>
      <c r="EH700" s="72"/>
      <c r="EI700" s="9"/>
      <c r="EJ700" s="72"/>
      <c r="EK700" s="9"/>
      <c r="EL700" s="72"/>
      <c r="EM700" s="9"/>
      <c r="EN700" s="72"/>
      <c r="EO700" s="9"/>
      <c r="EP700" s="72"/>
      <c r="EQ700" s="9"/>
      <c r="ER700" s="72"/>
      <c r="ES700" s="9"/>
      <c r="ET700" s="72"/>
      <c r="EU700" s="9"/>
      <c r="EV700" s="72"/>
      <c r="EW700" s="9"/>
      <c r="EX700" s="72"/>
      <c r="EY700" s="72"/>
      <c r="EZ700" s="296"/>
      <c r="FA700" s="72"/>
      <c r="FB700" s="9"/>
      <c r="FC700" s="11"/>
      <c r="FD700" s="150"/>
      <c r="FE700" s="72"/>
      <c r="FF700" s="16"/>
      <c r="FG700" s="72"/>
      <c r="FH700" s="16"/>
      <c r="FI700" s="72"/>
      <c r="FJ700" s="16"/>
      <c r="FK700" s="72"/>
      <c r="FL700" s="16"/>
      <c r="FM700" s="72"/>
      <c r="FN700" s="16"/>
      <c r="FO700" s="72"/>
      <c r="FP700" s="16"/>
      <c r="FQ700" s="72"/>
      <c r="FR700" s="9"/>
      <c r="FS700" s="72"/>
      <c r="FT700" s="9"/>
      <c r="FU700" s="72"/>
      <c r="FV700" s="9"/>
      <c r="FW700" s="72"/>
      <c r="FX700" s="9"/>
      <c r="FY700" s="72"/>
      <c r="FZ700" s="9"/>
      <c r="GA700" s="72"/>
      <c r="GB700" s="9"/>
      <c r="GC700" s="72"/>
      <c r="GD700" s="9"/>
      <c r="GE700" s="72"/>
      <c r="GF700" s="9"/>
      <c r="GG700" s="72"/>
      <c r="GH700" s="9"/>
      <c r="GI700" s="72"/>
      <c r="GJ700" s="9"/>
      <c r="GK700" s="72"/>
      <c r="GL700" s="9"/>
      <c r="GM700" s="72"/>
      <c r="GN700" s="9"/>
      <c r="GO700" s="72"/>
      <c r="GP700" s="9"/>
      <c r="GQ700" s="72"/>
      <c r="GR700" s="9"/>
      <c r="GS700" s="72"/>
      <c r="GT700" s="9"/>
      <c r="GU700" s="72"/>
      <c r="GV700" s="9"/>
      <c r="GW700" s="72"/>
      <c r="GX700" s="9"/>
      <c r="GY700" s="72"/>
      <c r="GZ700" s="72"/>
      <c r="HA700" s="72"/>
      <c r="HB700" s="72"/>
      <c r="HC700"/>
      <c r="HD700"/>
      <c r="HE700"/>
      <c r="HF700"/>
      <c r="HG700"/>
      <c r="HH700"/>
      <c r="HI700" s="2"/>
    </row>
    <row r="701" spans="1:217" s="3" customFormat="1" ht="12.75" customHeight="1" x14ac:dyDescent="0.2">
      <c r="A701" s="3" t="s">
        <v>571</v>
      </c>
      <c r="B701" s="4" t="s">
        <v>570</v>
      </c>
      <c r="C701" s="145"/>
      <c r="D701" s="16"/>
      <c r="E701" s="145"/>
      <c r="F701" s="11"/>
      <c r="G701" s="145"/>
      <c r="H701" s="11"/>
      <c r="I701" s="145"/>
      <c r="J701" s="11"/>
      <c r="K701" s="145">
        <f>+K666+K668+K677</f>
        <v>15966</v>
      </c>
      <c r="L701" s="72" t="str">
        <f t="shared" ref="L701:L707" si="3304">IF(ISERROR(K701/C701),"NA",IF(OR(K701/C701&gt;2,K701/C701&lt;0.5),"NM",K701/C701*100-100))</f>
        <v>NA</v>
      </c>
      <c r="M701" s="145">
        <f>+M666+M668+M677</f>
        <v>17007</v>
      </c>
      <c r="N701" s="72" t="str">
        <f t="shared" ref="N701:N707" si="3305">IF(ISERROR(M701/E701),"NA",IF(OR(M701/E701&gt;2,M701/E701&lt;0.5),"NM",M701/E701*100-100))</f>
        <v>NA</v>
      </c>
      <c r="O701" s="145">
        <f>+O666+O668+O677</f>
        <v>16564</v>
      </c>
      <c r="P701" s="72" t="str">
        <f t="shared" ref="P701:P707" si="3306">IF(ISERROR(O701/G701),"NA",IF(OR(O701/G701&gt;2,O701/G701&lt;0.5),"NM",O701/G701*100-100))</f>
        <v>NA</v>
      </c>
      <c r="Q701" s="145">
        <f>+Q666+Q668+Q677</f>
        <v>23327</v>
      </c>
      <c r="R701" s="72" t="str">
        <f t="shared" ref="R701:R707" si="3307">IF(ISERROR(Q701/I701),"NA",IF(OR(Q701/I701&gt;2,Q701/I701&lt;0.5),"NM",Q701/I701*100-100))</f>
        <v>NA</v>
      </c>
      <c r="S701" s="145">
        <f>+S666+S668+S677</f>
        <v>23329</v>
      </c>
      <c r="T701" s="72">
        <f t="shared" ref="T701:T707" si="3308">IF(ISERROR(S701/K701),"NA",IF(OR(S701/K701&gt;2,S701/K701&lt;0.5),"NM",S701/K701*100-100))</f>
        <v>46.116748089690589</v>
      </c>
      <c r="U701" s="145">
        <f>+U666+U668+U677</f>
        <v>23014</v>
      </c>
      <c r="V701" s="72">
        <f t="shared" ref="V701:V707" si="3309">IF(ISERROR(U701/M701),"NA",IF(OR(U701/M701&gt;2,U701/M701&lt;0.5),"NM",U701/M701*100-100))</f>
        <v>35.32075027929676</v>
      </c>
      <c r="W701" s="145">
        <f>+W666+W668+W677</f>
        <v>22920</v>
      </c>
      <c r="X701" s="72">
        <f t="shared" ref="X701:X707" si="3310">IF(ISERROR(W701/O701),"NA",IF(OR(W701/O701&gt;2,W701/O701&lt;0.5),"NM",W701/O701*100-100))</f>
        <v>38.372373822748131</v>
      </c>
      <c r="Y701" s="145">
        <f>+Y666+Y668+Y677</f>
        <v>22318</v>
      </c>
      <c r="Z701" s="72">
        <f t="shared" ref="Z701:Z707" si="3311">IF(ISERROR(Y701/Q701),"NA",IF(OR(Y701/Q701&gt;2,Y701/Q701&lt;0.5),"NM",Y701/Q701*100-100))</f>
        <v>-4.3254597676512248</v>
      </c>
      <c r="AA701" s="145">
        <f>+AA666+AA668+AA677</f>
        <v>21868</v>
      </c>
      <c r="AB701" s="72">
        <f t="shared" ref="AB701:AB707" si="3312">IF(ISERROR(AA701/S701),"NA",IF(OR(AA701/S701&gt;2,AA701/S701&lt;0.5),"NM",AA701/S701*100-100))</f>
        <v>-6.2625916241587731</v>
      </c>
      <c r="AC701" s="145">
        <f>+AC666+AC668+AC677</f>
        <v>21876</v>
      </c>
      <c r="AD701" s="72">
        <f t="shared" ref="AD701:AD707" si="3313">IF(ISERROR(AC701/U701),"NA",IF(OR(AC701/U701&gt;2,AC701/U701&lt;0.5),"NM",AC701/U701*100-100))</f>
        <v>-4.9448161988354826</v>
      </c>
      <c r="AE701" s="145">
        <f>+AE666+AE668+AE677</f>
        <v>22894</v>
      </c>
      <c r="AF701" s="72">
        <f t="shared" ref="AF701:AF707" si="3314">IF(ISERROR(AE701/W701),"NA",IF(OR(AE701/W701&gt;2,AE701/W701&lt;0.5),"NM",AE701/W701*100-100))</f>
        <v>-0.11343804537521862</v>
      </c>
      <c r="AG701" s="145">
        <f>+AG666+AG668+AG677</f>
        <v>22423</v>
      </c>
      <c r="AH701" s="72">
        <f t="shared" ref="AH701:AH707" si="3315">IF(ISERROR(AG701/Y701),"NA",IF(OR(AG701/Y701&gt;2,AG701/Y701&lt;0.5),"NM",AG701/Y701*100-100))</f>
        <v>0.47047226453982205</v>
      </c>
      <c r="AI701" s="145">
        <f>+AI666+AI668+AI677</f>
        <v>22374</v>
      </c>
      <c r="AJ701" s="72">
        <f t="shared" ref="AJ701:AJ707" si="3316">IF(ISERROR(AI701/AA701),"NA",IF(OR(AI701/AA701&gt;2,AI701/AA701&lt;0.5),"NM",AI701/AA701*100-100))</f>
        <v>2.3138832997988033</v>
      </c>
      <c r="AK701" s="145">
        <f>+AK666+AK668+AK677</f>
        <v>23192</v>
      </c>
      <c r="AL701" s="72">
        <f t="shared" ref="AL701:AL707" si="3317">IF(ISERROR(AK701/AC701),"NA",IF(OR(AK701/AC701&gt;2,AK701/AC701&lt;0.5),"NM",AK701/AC701*100-100))</f>
        <v>6.0157249954287693</v>
      </c>
      <c r="AM701" s="145">
        <f>+AM666+AM668+AM677</f>
        <v>24703</v>
      </c>
      <c r="AN701" s="72">
        <f t="shared" ref="AN701:AN707" si="3318">IF(ISERROR(AM701/AE701),"NA",IF(OR(AM701/AE701&gt;2,AM701/AE701&lt;0.5),"NM",AM701/AE701*100-100))</f>
        <v>7.9016336157945233</v>
      </c>
      <c r="AO701" s="145">
        <f>+AO666+AO668+AO677</f>
        <v>25269</v>
      </c>
      <c r="AP701" s="72">
        <f t="shared" ref="AP701:AP707" si="3319">IF(ISERROR(AO701/AG701),"NA",IF(OR(AO701/AG701&gt;2,AO701/AG701&lt;0.5),"NM",AO701/AG701*100-100))</f>
        <v>12.692324845025212</v>
      </c>
      <c r="AQ701" s="145">
        <f>+AQ666+AQ668+AQ677</f>
        <v>25888</v>
      </c>
      <c r="AR701" s="72">
        <f t="shared" ref="AR701:AR707" si="3320">IF(ISERROR(AQ701/AI701),"NA",IF(OR(AQ701/AI701&gt;2,AQ701/AI701&lt;0.5),"NM",AQ701/AI701*100-100))</f>
        <v>15.705729865021894</v>
      </c>
      <c r="AS701" s="145">
        <f>+AS666+AS668+AS677</f>
        <v>27276</v>
      </c>
      <c r="AT701" s="72">
        <f t="shared" ref="AT701:AT707" si="3321">IF(ISERROR(AS701/AK701),"NA",IF(OR(AS701/AK701&gt;2,AS701/AK701&lt;0.5),"NM",AS701/AK701*100-100))</f>
        <v>17.609520524318725</v>
      </c>
      <c r="AU701" s="145">
        <f>+AU666+AU668+AU677</f>
        <v>28136</v>
      </c>
      <c r="AV701" s="72">
        <f t="shared" ref="AV701:AV707" si="3322">IF(ISERROR(AU701/AM701),"NA",IF(OR(AU701/AM701&gt;2,AU701/AM701&lt;0.5),"NM",AU701/AM701*100-100))</f>
        <v>13.897097518520013</v>
      </c>
      <c r="AW701" s="145">
        <f>+AW666+AW668+AW677</f>
        <v>27066</v>
      </c>
      <c r="AX701" s="72">
        <f t="shared" ref="AX701:AX707" si="3323">IF(ISERROR(AW701/AO701),"NA",IF(OR(AW701/AO701&gt;2,AW701/AO701&lt;0.5),"NM",AW701/AO701*100-100))</f>
        <v>7.1114804701412737</v>
      </c>
      <c r="AY701" s="145">
        <f>+AY666+AY668+AY677</f>
        <v>28001</v>
      </c>
      <c r="AZ701" s="72">
        <f t="shared" ref="AZ701:AZ707" si="3324">IF(ISERROR(AY701/AQ701),"NA",IF(OR(AY701/AQ701&gt;2,AY701/AQ701&lt;0.5),"NM",AY701/AQ701*100-100))</f>
        <v>8.1620828182941807</v>
      </c>
      <c r="BA701" s="145">
        <f>+BA666+BA668+BA677</f>
        <v>28124</v>
      </c>
      <c r="BB701" s="72">
        <f t="shared" ref="BB701:BB707" si="3325">IF(ISERROR(BA701/AS701),"NA",IF(OR(BA701/AS701&gt;2,BA701/AS701&lt;0.5),"NM",BA701/AS701*100-100))</f>
        <v>3.1089602581023712</v>
      </c>
      <c r="BC701" s="145">
        <f>+BC666+BC668+BC677</f>
        <v>28696</v>
      </c>
      <c r="BD701" s="72">
        <f t="shared" ref="BD701:BD707" si="3326">IF(ISERROR(BC701/AU701),"NA",IF(OR(BC701/AU701&gt;2,BC701/AU701&lt;0.5),"NM",BC701/AU701*100-100))</f>
        <v>1.9903326698890993</v>
      </c>
      <c r="BE701" s="145">
        <f>+BE666+BE668+BE677</f>
        <v>30867</v>
      </c>
      <c r="BF701" s="72">
        <f t="shared" ref="BF701:BF707" si="3327">IF(ISERROR(BE701/AW701),"NA",IF(OR(BE701/AW701&gt;2,BE701/AW701&lt;0.5),"NM",BE701/AW701*100-100))</f>
        <v>14.043449346043005</v>
      </c>
      <c r="BG701" s="145">
        <f>+BG666+BG668+BG677</f>
        <v>31665</v>
      </c>
      <c r="BH701" s="72">
        <f t="shared" ref="BH701:BH707" si="3328">IF(ISERROR(BG701/AY701),"NA",IF(OR(BG701/AY701&gt;2,BG701/AY701&lt;0.5),"NM",BG701/AY701*100-100))</f>
        <v>13.085246955465863</v>
      </c>
      <c r="BI701" s="145">
        <f>+BI666+BI668+BI677</f>
        <v>31236</v>
      </c>
      <c r="BJ701" s="72">
        <f t="shared" ref="BJ701:BJ707" si="3329">IF(ISERROR(BI701/BA701),"NA",IF(OR(BI701/BA701&gt;2,BI701/BA701&lt;0.5),"NM",BI701/BA701*100-100))</f>
        <v>11.065282321149212</v>
      </c>
      <c r="BK701" s="145">
        <f>+BK666+BK668+BK677</f>
        <v>32122</v>
      </c>
      <c r="BL701" s="72">
        <f t="shared" ref="BL701:BL707" si="3330">IF(ISERROR(BK701/BC701),"NA",IF(OR(BK701/BC701&gt;2,BK701/BC701&lt;0.5),"NM",BK701/BC701*100-100))</f>
        <v>11.938946194591566</v>
      </c>
      <c r="BM701" s="145">
        <f>+BM666+BM668+BM677</f>
        <v>33603</v>
      </c>
      <c r="BN701" s="72">
        <f t="shared" ref="BN701:BN707" si="3331">IF(ISERROR(BM701/BE701),"NA",IF(OR(BM701/BE701&gt;2,BM701/BE701&lt;0.5),"NM",BM701/BE701*100-100))</f>
        <v>8.8638351637671207</v>
      </c>
      <c r="BO701" s="145">
        <f>+BO666+BO668+BO677</f>
        <v>35732</v>
      </c>
      <c r="BP701" s="72">
        <f t="shared" ref="BP701:BP707" si="3332">IF(ISERROR(BO701/BG701),"NA",IF(OR(BO701/BG701&gt;2,BO701/BG701&lt;0.5),"NM",BO701/BG701*100-100))</f>
        <v>12.843833885993988</v>
      </c>
      <c r="BQ701" s="145">
        <f>+BQ666+BQ668+BQ677</f>
        <v>38218</v>
      </c>
      <c r="BR701" s="72">
        <f t="shared" ref="BR701:BR707" si="3333">IF(ISERROR(BQ701/BI701),"NA",IF(OR(BQ701/BI701&gt;2,BQ701/BI701&lt;0.5),"NM",BQ701/BI701*100-100))</f>
        <v>22.352413881418883</v>
      </c>
      <c r="BS701" s="145">
        <f>+BS666+BS668+BS677</f>
        <v>39997</v>
      </c>
      <c r="BT701" s="72">
        <f t="shared" ref="BT701:BT707" si="3334">IF(ISERROR(BS701/BK701),"NA",IF(OR(BS701/BK701&gt;2,BS701/BK701&lt;0.5),"NM",BS701/BK701*100-100))</f>
        <v>24.515908100367341</v>
      </c>
      <c r="BU701" s="145">
        <f>+BU666+BU668+BU677</f>
        <v>38069</v>
      </c>
      <c r="BV701" s="72">
        <f t="shared" ref="BV701:BV707" si="3335">IF(ISERROR(BU701/BM701),"NA",IF(OR(BU701/BM701&gt;2,BU701/BM701&lt;0.5),"NM",BU701/BM701*100-100))</f>
        <v>13.290480016665171</v>
      </c>
      <c r="BW701" s="145">
        <f>+BW666+BW668+BW677</f>
        <v>39150</v>
      </c>
      <c r="BX701" s="72">
        <f t="shared" ref="BX701:BX707" si="3336">IF(ISERROR(BW701/BO701),"NA",IF(OR(BW701/BO701&gt;2,BW701/BO701&lt;0.5),"NM",BW701/BO701*100-100))</f>
        <v>9.5656554349042864</v>
      </c>
      <c r="BY701" s="145">
        <f>+BY666+BY668+BY677</f>
        <v>41425</v>
      </c>
      <c r="BZ701" s="72">
        <f t="shared" ref="BZ701:BZ707" si="3337">IF(ISERROR(BY701/BQ701),"NA",IF(OR(BY701/BQ701&gt;2,BY701/BQ701&lt;0.5),"NM",BY701/BQ701*100-100))</f>
        <v>8.3913339264221065</v>
      </c>
      <c r="CA701" s="145">
        <f>+CA666+CA668+CA677</f>
        <v>44347</v>
      </c>
      <c r="CB701" s="72">
        <f t="shared" ref="CB701:CB707" si="3338">IF(ISERROR(CA701/BS701),"NA",IF(OR(CA701/BS701&gt;2,CA701/BS701&lt;0.5),"NM",CA701/BS701*100-100))</f>
        <v>10.875815686176466</v>
      </c>
      <c r="CC701" s="145">
        <f>+CC666+CC668+CC677</f>
        <v>44015</v>
      </c>
      <c r="CD701" s="72">
        <f t="shared" ref="CD701:CD707" si="3339">IF(ISERROR(CC701/BU701),"NA",IF(OR(CC701/BU701&gt;2,CC701/BU701&lt;0.5),"NM",CC701/BU701*100-100))</f>
        <v>15.619007591478635</v>
      </c>
      <c r="CE701" s="145">
        <f>+CE666+CE668+CE677</f>
        <v>42842</v>
      </c>
      <c r="CF701" s="72">
        <f t="shared" ref="CF701:CF707" si="3340">IF(ISERROR(CE701/BW701),"NA",IF(OR(CE701/BW701&gt;2,CE701/BW701&lt;0.5),"NM",CE701/BW701*100-100))</f>
        <v>9.430395913154527</v>
      </c>
      <c r="CG701" s="145">
        <f>+CG666+CG668+CG677</f>
        <v>44505</v>
      </c>
      <c r="CH701" s="72">
        <f t="shared" ref="CH701:CH707" si="3341">IF(ISERROR(CG701/BY701),"NA",IF(OR(CG701/BY701&gt;2,CG701/BY701&lt;0.5),"NM",CG701/BY701*100-100))</f>
        <v>7.4351237175618508</v>
      </c>
      <c r="CI701" s="145">
        <f>+CI666+CI668+CI677</f>
        <v>44059</v>
      </c>
      <c r="CJ701" s="72">
        <f t="shared" ref="CJ701:CJ707" si="3342">IF(ISERROR(CI701/CA701),"NA",IF(OR(CI701/CA701&gt;2,CI701/CA701&lt;0.5),"NM",CI701/CA701*100-100))</f>
        <v>-0.64942386181702716</v>
      </c>
      <c r="CK701" s="145">
        <f>+CK666+CK668+CK677</f>
        <v>45955</v>
      </c>
      <c r="CL701" s="72">
        <f t="shared" ref="CL701:CL707" si="3343">IF(ISERROR(CK701/CC701),"NA",IF(OR(CK701/CC701&gt;2,CK701/CC701&lt;0.5),"NM",CK701/CC701*100-100))</f>
        <v>4.4075883221629084</v>
      </c>
      <c r="CM701" s="145">
        <f>+CM666+CM668+CM677</f>
        <v>46970</v>
      </c>
      <c r="CN701" s="72">
        <f t="shared" ref="CN701:CN707" si="3344">IF(ISERROR(CM701/CE701),"NA",IF(OR(CM701/CE701&gt;2,CM701/CE701&lt;0.5),"NM",CM701/CE701*100-100))</f>
        <v>9.6354045095933998</v>
      </c>
      <c r="CO701" s="145">
        <f>+CO666+CO668+CO677</f>
        <v>48361</v>
      </c>
      <c r="CP701" s="72">
        <f t="shared" ref="CP701:CP707" si="3345">IF(ISERROR(CO701/CG701),"NA",IF(OR(CO701/CG701&gt;2,CO701/CG701&lt;0.5),"NM",CO701/CG701*100-100))</f>
        <v>8.6641950342658163</v>
      </c>
      <c r="CQ701" s="145">
        <f>+CQ666+CQ668+CQ677</f>
        <v>48567</v>
      </c>
      <c r="CR701" s="72">
        <f t="shared" ref="CR701:CR707" si="3346">IF(ISERROR(CQ701/CI701),"NA",IF(OR(CQ701/CI701&gt;2,CQ701/CI701&lt;0.5),"NM",CQ701/CI701*100-100))</f>
        <v>10.231734719353597</v>
      </c>
      <c r="CS701" s="145">
        <f>+CS666+CS668+CS677</f>
        <v>49093</v>
      </c>
      <c r="CT701" s="72">
        <f t="shared" ref="CT701:CT707" si="3347">IF(ISERROR(CS701/CK701),"NA",IF(OR(CS701/CK701&gt;2,CS701/CK701&lt;0.5),"NM",CS701/CK701*100-100))</f>
        <v>6.828419105646816</v>
      </c>
      <c r="CU701" s="145">
        <f>+CU666+CU668+CU677</f>
        <v>47747</v>
      </c>
      <c r="CV701" s="72">
        <f t="shared" ref="CV701:CV707" si="3348">IF(ISERROR(CU701/CM701),"NA",IF(OR(CU701/CM701&gt;2,CU701/CM701&lt;0.5),"NM",CU701/CM701*100-100))</f>
        <v>1.6542473919522962</v>
      </c>
      <c r="CW701" s="145">
        <f>+CW666+CW668+CW677</f>
        <v>49717</v>
      </c>
      <c r="CX701" s="72">
        <f t="shared" ref="CX701:CX707" si="3349">IF(ISERROR(CW701/CO701),"NA",IF(OR(CW701/CO701&gt;2,CW701/CO701&lt;0.5),"NM",CW701/CO701*100-100))</f>
        <v>2.8039122433365833</v>
      </c>
      <c r="CY701" s="145">
        <f>+CY666+CY668+CY677</f>
        <v>47552</v>
      </c>
      <c r="CZ701" s="72">
        <f t="shared" ref="CZ701:CZ707" si="3350">IF(ISERROR(CY701/CQ701),"NA",IF(OR(CY701/CQ701&gt;2,CY701/CQ701&lt;0.5),"NM",CY701/CQ701*100-100))</f>
        <v>-2.0898964317334787</v>
      </c>
      <c r="DA701" s="145">
        <f>+DA666+DA668+DA677</f>
        <v>45476</v>
      </c>
      <c r="DB701" s="72">
        <f t="shared" ref="DB701:DB707" si="3351">IF(ISERROR(DA701/CS701),"NA",IF(OR(DA701/CS701&gt;2,DA701/CS701&lt;0.5),"NM",DA701/CS701*100-100))</f>
        <v>-7.3676491556841057</v>
      </c>
      <c r="DC701" s="145">
        <f>+DC666+DC668+DC677</f>
        <v>44188</v>
      </c>
      <c r="DD701" s="72">
        <f t="shared" ref="DD701:DD707" si="3352">IF(ISERROR(DC701/CU701),"NA",IF(OR(DC701/CU701&gt;2,DC701/CU701&lt;0.5),"NM",DC701/CU701*100-100))</f>
        <v>-7.4538714474207808</v>
      </c>
      <c r="DE701" s="145">
        <f>+DE666+DE668+DE677</f>
        <v>42426</v>
      </c>
      <c r="DF701" s="72">
        <f t="shared" ref="DF701:DF707" si="3353">IF(ISERROR(DE701/CW701),"NA",IF(OR(DE701/CW701&gt;2,DE701/CW701&lt;0.5),"NM",DE701/CW701*100-100))</f>
        <v>-14.665003922199645</v>
      </c>
      <c r="DG701" s="145">
        <f>+DG666+DG668+DG677</f>
        <v>43117</v>
      </c>
      <c r="DH701" s="72">
        <f t="shared" ref="DH701:DH707" si="3354">IF(ISERROR(DG701/CY701),"NA",IF(OR(DG701/CY701&gt;2,DG701/CY701&lt;0.5),"NM",DG701/CY701*100-100))</f>
        <v>-9.3266318977119766</v>
      </c>
      <c r="DI701" s="145">
        <f>+DI666+DI668+DI677</f>
        <v>42368</v>
      </c>
      <c r="DJ701" s="72">
        <f t="shared" ref="DJ701:DJ707" si="3355">IF(ISERROR(DI701/DA701),"NA",IF(OR(DI701/DA701&gt;2,DI701/DA701&lt;0.5),"NM",DI701/DA701*100-100))</f>
        <v>-6.8343741753892147</v>
      </c>
      <c r="DK701" s="145">
        <f>+DK666+DK668+DK677</f>
        <v>42198</v>
      </c>
      <c r="DL701" s="72">
        <f t="shared" ref="DL701:DL707" si="3356">IF(ISERROR(DK701/DC701),"NA",IF(OR(DK701/DC701&gt;2,DK701/DC701&lt;0.5),"NM",DK701/DC701*100-100))</f>
        <v>-4.5034851090793921</v>
      </c>
      <c r="DM701" s="145">
        <f>+DM666+DM668+DM677</f>
        <v>43775</v>
      </c>
      <c r="DN701" s="72">
        <f t="shared" ref="DN701:DN707" si="3357">IF(ISERROR(DM701/DE701),"NA",IF(OR(DM701/DE701&gt;2,DM701/DE701&lt;0.5),"NM",DM701/DE701*100-100))</f>
        <v>3.1796539857634514</v>
      </c>
      <c r="DO701" s="145">
        <f>+DO666+DO668+DO677</f>
        <v>42988</v>
      </c>
      <c r="DP701" s="72">
        <f t="shared" ref="DP701:DP707" si="3358">IF(ISERROR(DO701/DG701),"NA",IF(OR(DO701/DG701&gt;2,DO701/DG701&lt;0.5),"NM",DO701/DG701*100-100))</f>
        <v>-0.29918593594173615</v>
      </c>
      <c r="DQ701" s="145">
        <f>+DQ666+DQ668+DQ677</f>
        <v>40046</v>
      </c>
      <c r="DR701" s="72">
        <f t="shared" ref="DR701:DR707" si="3359">IF(ISERROR(DQ701/DI701),"NA",IF(OR(DQ701/DI701&gt;2,DQ701/DI701&lt;0.5),"NM",DQ701/DI701*100-100))</f>
        <v>-5.4805513595166104</v>
      </c>
      <c r="DS701" s="145">
        <f>+DS666+DS668+DS677</f>
        <v>42124</v>
      </c>
      <c r="DT701" s="72">
        <f t="shared" ref="DT701:DT707" si="3360">IF(ISERROR(DS701/DK701),"NA",IF(OR(DS701/DK701&gt;2,DS701/DK701&lt;0.5),"NM",DS701/DK701*100-100))</f>
        <v>-0.17536376131570819</v>
      </c>
      <c r="DU701" s="145">
        <f>+DU666+DU668+DU677</f>
        <v>42697</v>
      </c>
      <c r="DV701" s="72">
        <f t="shared" ref="DV701:DV707" si="3361">IF(ISERROR(DU701/DM701),"NA",IF(OR(DU701/DM701&gt;2,DU701/DM701&lt;0.5),"NM",DU701/DM701*100-100))</f>
        <v>-2.4625928041119352</v>
      </c>
      <c r="DW701" s="145">
        <f>+DW666+DW668+DW677</f>
        <v>43702</v>
      </c>
      <c r="DX701" s="72">
        <f t="shared" ref="DX701:DX707" si="3362">IF(ISERROR(DW701/DO701),"NA",IF(OR(DW701/DO701&gt;2,DW701/DO701&lt;0.5),"NM",DW701/DO701*100-100))</f>
        <v>1.6609286312459375</v>
      </c>
      <c r="DY701" s="145">
        <f>+DY666+DY668+DY677</f>
        <v>43448</v>
      </c>
      <c r="DZ701" s="72">
        <f t="shared" ref="DZ701:DZ707" si="3363">IF(ISERROR(DY701/DQ701),"NA",IF(OR(DY701/DQ701&gt;2,DY701/DQ701&lt;0.5),"NM",DY701/DQ701*100-100))</f>
        <v>8.4952304849423115</v>
      </c>
      <c r="EA701" s="145">
        <f>+EA666+EA668+EA677</f>
        <v>43971</v>
      </c>
      <c r="EB701" s="72">
        <f t="shared" ref="EB701:EB708" si="3364">IF(ISERROR(EA701/DS701),"NA",IF(OR(EA701/DS701&gt;2,EA701/DS701&lt;0.5),"NM",EA701/DS701*100-100))</f>
        <v>4.3846738201500415</v>
      </c>
      <c r="EC701" s="145">
        <f>+EC666+EC668+EC677</f>
        <v>43654</v>
      </c>
      <c r="ED701" s="72">
        <f t="shared" ref="ED701:ED708" si="3365">IF(ISERROR(EC701/DU701),"NA",IF(OR(EC701/DU701&gt;2,EC701/DU701&lt;0.5),"NM",EC701/DU701*100-100))</f>
        <v>2.2413752722673763</v>
      </c>
      <c r="EE701" s="145">
        <f>+EE666+EE668+EE677</f>
        <v>44448</v>
      </c>
      <c r="EF701" s="72">
        <f t="shared" ref="EF701:EF708" si="3366">IF(ISERROR(EE701/DW701),"NA",IF(OR(EE701/DW701&gt;2,EE701/DW701&lt;0.5),"NM",EE701/DW701*100-100))</f>
        <v>1.70701569722209</v>
      </c>
      <c r="EG701" s="145">
        <f>+EG666+EG668+EG677</f>
        <v>43466</v>
      </c>
      <c r="EH701" s="72">
        <f t="shared" ref="EH701:EH708" si="3367">IF(ISERROR(EG701/DY701),"NA",IF(OR(EG701/DY701&gt;2,EG701/DY701&lt;0.5),"NM",EG701/DY701*100-100))</f>
        <v>4.1428834468774767E-2</v>
      </c>
      <c r="EI701" s="145">
        <f>+EI666+EI668+EI677</f>
        <v>44215</v>
      </c>
      <c r="EJ701" s="72">
        <f t="shared" ref="EJ701:EJ708" si="3368">IF(ISERROR(EI701/EA701),"NA",IF(OR(EI701/EA701&gt;2,EI701/EA701&lt;0.5),"NM",EI701/EA701*100-100))</f>
        <v>0.55491119146711299</v>
      </c>
      <c r="EK701" s="145">
        <f>+EK666+EK668+EK677</f>
        <v>43888</v>
      </c>
      <c r="EL701" s="72">
        <f t="shared" ref="EL701:EL708" si="3369">IF(ISERROR(EK701/EC701),"NA",IF(OR(EK701/EC701&gt;2,EK701/EC701&lt;0.5),"NM",EK701/EC701*100-100))</f>
        <v>0.53603335318641143</v>
      </c>
      <c r="EM701" s="145">
        <f>+EM666+EM668+EM677</f>
        <v>44307</v>
      </c>
      <c r="EN701" s="72">
        <f t="shared" ref="EN701:EN708" si="3370">IF(ISERROR(EM701/EE701),"NA",IF(OR(EM701/EE701&gt;2,EM701/EE701&lt;0.5),"NM",EM701/EE701*100-100))</f>
        <v>-0.31722462203023838</v>
      </c>
      <c r="EO701" s="145">
        <f>+EO666+EO668+EO677</f>
        <v>47545</v>
      </c>
      <c r="EP701" s="72">
        <f t="shared" ref="EP701:EP708" si="3371">IF(ISERROR(EO701/EG701),"NA",IF(OR(EO701/EG701&gt;2,EO701/EG701&lt;0.5),"NM",EO701/EG701*100-100))</f>
        <v>9.3843463856807574</v>
      </c>
      <c r="EQ701" s="144">
        <f t="shared" ref="EQ701" si="3372">+EQ666+EQ668+EQ677</f>
        <v>48982.029676528269</v>
      </c>
      <c r="ER701" s="72">
        <f t="shared" ref="ER701:ER708" si="3373">IF(ISERROR(EQ701/EI701),"NA",IF(OR(EQ701/EI701&gt;2,EQ701/EI701&lt;0.5),"NM",EQ701/EI701*100-100))</f>
        <v>10.781476142775688</v>
      </c>
      <c r="ES701" s="144">
        <f t="shared" ref="ES701" si="3374">+ES666+ES668+ES677</f>
        <v>49213.621538728985</v>
      </c>
      <c r="ET701" s="72">
        <f t="shared" ref="ET701:ET708" si="3375">IF(ISERROR(ES701/EK701),"NA",IF(OR(ES701/EK701&gt;2,ES701/EK701&lt;0.5),"NM",ES701/EK701*100-100))</f>
        <v>12.134573320107961</v>
      </c>
      <c r="EU701" s="144">
        <f t="shared" ref="EU701" si="3376">+EU666+EU668+EU677</f>
        <v>49427.006659041697</v>
      </c>
      <c r="EV701" s="72">
        <f t="shared" ref="EV701:EV708" si="3377">IF(ISERROR(EU701/EM701),"NA",IF(OR(EU701/EM701&gt;2,EU701/EM701&lt;0.5),"NM",EU701/EM701*100-100))</f>
        <v>11.555751143254327</v>
      </c>
      <c r="EW701" s="144">
        <f t="shared" ref="EW701" si="3378">+EW666+EW668+EW677</f>
        <v>49506.948762970933</v>
      </c>
      <c r="EX701" s="72">
        <f t="shared" ref="EX701:EX708" si="3379">IF(ISERROR(EW701/EO701),"NA",IF(OR(EW701/EO701&gt;2,EW701/EO701&lt;0.5),"NM",EW701/EO701*100-100))</f>
        <v>4.1265091239266667</v>
      </c>
      <c r="EY701" s="72"/>
      <c r="EZ701" s="296"/>
      <c r="FA701" s="72"/>
      <c r="FB701" s="9"/>
      <c r="FC701" s="11"/>
      <c r="FD701" s="150"/>
      <c r="FE701" s="72"/>
      <c r="FF701" s="145">
        <f>+FF666+FF668+FF677</f>
        <v>14720</v>
      </c>
      <c r="FG701" s="72" t="str">
        <f t="shared" ref="FG701:FG707" si="3380">IF(ISERROR(FF701/FD701),"NA",IF(OR(FF701/FD701&gt;2,FF701/FD701&lt;0.5),"NM",FF701/FD701*100-100))</f>
        <v>NA</v>
      </c>
      <c r="FH701" s="145">
        <f>+FH666+FH668+FH677</f>
        <v>23327</v>
      </c>
      <c r="FI701" s="72">
        <f t="shared" ref="FI701:FI707" si="3381">IF(ISERROR(FH701/FF701),"NA",IF(OR(FH701/FF701&gt;2,FH701/FF701&lt;0.5),"NM",FH701/FF701*100-100))</f>
        <v>58.471467391304344</v>
      </c>
      <c r="FJ701" s="145">
        <f>+FJ666+FJ668+FJ677</f>
        <v>22318</v>
      </c>
      <c r="FK701" s="72">
        <f t="shared" ref="FK701:FK707" si="3382">IF(ISERROR(FJ701/FH701),"NA",IF(OR(FJ701/FH701&gt;2,FJ701/FH701&lt;0.5),"NM",FJ701/FH701*100-100))</f>
        <v>-4.3254597676512248</v>
      </c>
      <c r="FL701" s="145">
        <f>+FL666+FL668+FL677</f>
        <v>22423</v>
      </c>
      <c r="FM701" s="72">
        <f t="shared" ref="FM701:FM707" si="3383">IF(ISERROR(FL701/FJ701),"NA",IF(OR(FL701/FJ701&gt;2,FL701/FJ701&lt;0.5),"NM",FL701/FJ701*100-100))</f>
        <v>0.47047226453982205</v>
      </c>
      <c r="FN701" s="145">
        <f>+FN666+FN668+FN677</f>
        <v>25269</v>
      </c>
      <c r="FO701" s="72">
        <f t="shared" ref="FO701:FO707" si="3384">IF(ISERROR(FN701/FL701),"NA",IF(OR(FN701/FL701&gt;2,FN701/FL701&lt;0.5),"NM",FN701/FL701*100-100))</f>
        <v>12.692324845025212</v>
      </c>
      <c r="FP701" s="145">
        <f>+FP666+FP668+FP677</f>
        <v>27066</v>
      </c>
      <c r="FQ701" s="72">
        <f t="shared" ref="FQ701:FQ707" si="3385">IF(ISERROR(FP701/FN701),"NA",IF(OR(FP701/FN701&gt;2,FP701/FN701&lt;0.5),"NM",FP701/FN701*100-100))</f>
        <v>7.1114804701412737</v>
      </c>
      <c r="FR701" s="144">
        <f>+FR666+FR668+FR677</f>
        <v>30867</v>
      </c>
      <c r="FS701" s="72">
        <f t="shared" ref="FS701:FS707" si="3386">IF(ISERROR(FR701/FP701),"NA",IF(OR(FR701/FP701&gt;2,FR701/FP701&lt;0.5),"NM",FR701/FP701*100-100))</f>
        <v>14.043449346043005</v>
      </c>
      <c r="FT701" s="144">
        <f>+FT666+FT668+FT677</f>
        <v>33603</v>
      </c>
      <c r="FU701" s="72">
        <f t="shared" ref="FU701:FU707" si="3387">IF(ISERROR(FT701/FR701),"NA",IF(OR(FT701/FR701&gt;2,FT701/FR701&lt;0.5),"NM",FT701/FR701*100-100))</f>
        <v>8.8638351637671207</v>
      </c>
      <c r="FV701" s="144">
        <f>+FV666+FV668+FV677</f>
        <v>38069</v>
      </c>
      <c r="FW701" s="72">
        <f t="shared" ref="FW701:FW707" si="3388">IF(ISERROR(FV701/FT701),"NA",IF(OR(FV701/FT701&gt;2,FV701/FT701&lt;0.5),"NM",FV701/FT701*100-100))</f>
        <v>13.290480016665171</v>
      </c>
      <c r="FX701" s="144">
        <f>+FX666+FX668+FX677</f>
        <v>44015</v>
      </c>
      <c r="FY701" s="72">
        <f t="shared" ref="FY701:FY707" si="3389">IF(ISERROR(FX701/FV701),"NA",IF(OR(FX701/FV701&gt;2,FX701/FV701&lt;0.5),"NM",FX701/FV701*100-100))</f>
        <v>15.619007591478635</v>
      </c>
      <c r="FZ701" s="144">
        <f>+FZ666+FZ668+FZ677</f>
        <v>45955</v>
      </c>
      <c r="GA701" s="72">
        <f t="shared" ref="GA701:GA707" si="3390">IF(ISERROR(FZ701/FX701),"NA",IF(OR(FZ701/FX701&gt;2,FZ701/FX701&lt;0.5),"NM",FZ701/FX701*100-100))</f>
        <v>4.4075883221629084</v>
      </c>
      <c r="GB701" s="144">
        <f>+GB666+GB668+GB677</f>
        <v>49093</v>
      </c>
      <c r="GC701" s="72">
        <f t="shared" ref="GC701:GC707" si="3391">IF(ISERROR(GB701/FZ701),"NA",IF(OR(GB701/FZ701&gt;2,GB701/FZ701&lt;0.5),"NM",GB701/FZ701*100-100))</f>
        <v>6.828419105646816</v>
      </c>
      <c r="GD701" s="144">
        <f>+GD666+GD668+GD677</f>
        <v>45476</v>
      </c>
      <c r="GE701" s="72">
        <f t="shared" ref="GE701:GE707" si="3392">IF(ISERROR(GD701/GB701),"NA",IF(OR(GD701/GB701&gt;2,GD701/GB701&lt;0.5),"NM",GD701/GB701*100-100))</f>
        <v>-7.3676491556841057</v>
      </c>
      <c r="GF701" s="144">
        <f>+GF666+GF668+GF677</f>
        <v>42368</v>
      </c>
      <c r="GG701" s="72">
        <f t="shared" ref="GG701:GG707" si="3393">IF(ISERROR(GF701/GD701),"NA",IF(OR(GF701/GD701&gt;2,GF701/GD701&lt;0.5),"NM",GF701/GD701*100-100))</f>
        <v>-6.8343741753892147</v>
      </c>
      <c r="GH701" s="144">
        <f>+GH666+GH668+GH677</f>
        <v>40046</v>
      </c>
      <c r="GI701" s="72">
        <f t="shared" ref="GI701:GU707" si="3394">IF(ISERROR(GH701/GF701),"NA",IF(OR(GH701/GF701&gt;2,GH701/GF701&lt;0.5),"NM",GH701/GF701*100-100))</f>
        <v>-5.4805513595166104</v>
      </c>
      <c r="GJ701" s="144">
        <f>+GJ666+GJ668+GJ677</f>
        <v>43448</v>
      </c>
      <c r="GK701" s="72">
        <f t="shared" si="3394"/>
        <v>8.4952304849423115</v>
      </c>
      <c r="GL701" s="144">
        <f>+GL666+GL668+GL677</f>
        <v>43466</v>
      </c>
      <c r="GM701" s="72">
        <f t="shared" si="3394"/>
        <v>4.1428834468774767E-2</v>
      </c>
      <c r="GN701" s="144">
        <f>+GN666+GN668+GN677</f>
        <v>47545</v>
      </c>
      <c r="GO701" s="72">
        <f t="shared" si="3394"/>
        <v>9.3843463856807574</v>
      </c>
      <c r="GP701" s="144">
        <f>+GP666+GP668+GP677</f>
        <v>49506.948762970933</v>
      </c>
      <c r="GQ701" s="72">
        <f t="shared" si="3394"/>
        <v>4.1265091239266667</v>
      </c>
      <c r="GR701" s="144">
        <f>+GR666+GR668+GR677</f>
        <v>50993.087105941471</v>
      </c>
      <c r="GS701" s="72">
        <f t="shared" si="3394"/>
        <v>3.0018782819475831</v>
      </c>
      <c r="GT701" s="144">
        <f>+GT666+GT668+GT677</f>
        <v>52293.23857089677</v>
      </c>
      <c r="GU701" s="72">
        <f t="shared" si="3394"/>
        <v>2.549662196866322</v>
      </c>
      <c r="GV701" s="144">
        <f>+GV666+GV668+GV677</f>
        <v>53504.676342416416</v>
      </c>
      <c r="GW701" s="72">
        <f t="shared" ref="GW701:GW707" si="3395">IF(ISERROR(GV701/GT701),"NA",IF(OR(GV701/GT701&gt;2,GV701/GT701&lt;0.5),"NM",GV701/GT701*100-100))</f>
        <v>2.3166241078705241</v>
      </c>
      <c r="GX701" s="144">
        <f>+GX666+GX668+GX677</f>
        <v>54609.984540073609</v>
      </c>
      <c r="GY701" s="72">
        <f t="shared" ref="GY701:GY707" si="3396">IF(ISERROR(GX701/GV701),"NA",IF(OR(GX701/GV701&gt;2,GX701/GV701&lt;0.5),"NM",GX701/GV701*100-100))</f>
        <v>2.0658160617279577</v>
      </c>
      <c r="GZ701" s="72">
        <f t="shared" ref="GZ701:GZ708" si="3397">IF(ISERROR(((GX701/GN701)^0.2-1)*100),"NA",IF((((GX701/GN701)^0.2-1)*100)&gt;100,"NM",IF((((GX701/GN701)^0.2-1)*100)&lt;-50,"NM",((GX701/GN701)^0.2-1)*100)))</f>
        <v>2.8095457708569693</v>
      </c>
      <c r="HA701" s="72"/>
      <c r="HB701" s="72"/>
      <c r="HC701"/>
      <c r="HD701"/>
      <c r="HE701"/>
      <c r="HF701"/>
      <c r="HG701"/>
      <c r="HH701"/>
      <c r="HI701" s="2"/>
    </row>
    <row r="702" spans="1:217" s="3" customFormat="1" ht="12.75" customHeight="1" x14ac:dyDescent="0.2">
      <c r="A702" s="3" t="s">
        <v>93</v>
      </c>
      <c r="B702" s="18" t="s">
        <v>502</v>
      </c>
      <c r="C702" s="188"/>
      <c r="D702" s="188"/>
      <c r="E702" s="188"/>
      <c r="F702" s="11"/>
      <c r="G702" s="188"/>
      <c r="H702" s="11"/>
      <c r="I702" s="188">
        <f>I666/(I666+I668+I677)*100</f>
        <v>10.027173913043478</v>
      </c>
      <c r="J702" s="11"/>
      <c r="K702" s="188">
        <f>K666/(K666+K668+K677)*100</f>
        <v>12.889891018414129</v>
      </c>
      <c r="L702" s="72" t="str">
        <f t="shared" si="3304"/>
        <v>NA</v>
      </c>
      <c r="M702" s="188">
        <f>M666/(M666+M668+M677)*100</f>
        <v>17.916152172634796</v>
      </c>
      <c r="N702" s="72" t="str">
        <f t="shared" si="3305"/>
        <v>NA</v>
      </c>
      <c r="O702" s="188">
        <f>O666/(O666+O668+O677)*100</f>
        <v>18.008935039845447</v>
      </c>
      <c r="P702" s="72" t="str">
        <f t="shared" si="3306"/>
        <v>NA</v>
      </c>
      <c r="Q702" s="188">
        <f>Q666/(Q666+Q668+Q677)*100</f>
        <v>15.235563938783384</v>
      </c>
      <c r="R702" s="72">
        <f t="shared" si="3307"/>
        <v>51.942751476213687</v>
      </c>
      <c r="S702" s="188">
        <f>S666/(S666+S668+S677)*100</f>
        <v>14.359809678940374</v>
      </c>
      <c r="T702" s="72">
        <f t="shared" si="3308"/>
        <v>11.40365468122549</v>
      </c>
      <c r="U702" s="188">
        <f>U666/(U666+U668+U677)*100</f>
        <v>13.048579125749542</v>
      </c>
      <c r="V702" s="72">
        <f t="shared" si="3309"/>
        <v>-27.168629736914184</v>
      </c>
      <c r="W702" s="188">
        <f>W666/(W666+W668+W677)*100</f>
        <v>13.424956369982549</v>
      </c>
      <c r="X702" s="72">
        <f t="shared" si="3310"/>
        <v>-25.453913069932639</v>
      </c>
      <c r="Y702" s="188">
        <f>Y666/(Y666+Y668+Y677)*100</f>
        <v>13.473429518774083</v>
      </c>
      <c r="Z702" s="72">
        <f t="shared" si="3311"/>
        <v>-11.565928423060484</v>
      </c>
      <c r="AA702" s="188">
        <f>AA666/(AA666+AA668+AA677)*100</f>
        <v>11.807206877629413</v>
      </c>
      <c r="AB702" s="72">
        <f t="shared" si="3312"/>
        <v>-17.776021119935351</v>
      </c>
      <c r="AC702" s="188">
        <f>AC666/(AC666+AC668+AC677)*100</f>
        <v>12.17315779850064</v>
      </c>
      <c r="AD702" s="72">
        <f t="shared" si="3313"/>
        <v>-6.7089398685668584</v>
      </c>
      <c r="AE702" s="188">
        <f>AE666/(AE666+AE668+AE677)*100</f>
        <v>18.913252380536385</v>
      </c>
      <c r="AF702" s="72">
        <f t="shared" si="3314"/>
        <v>40.881294950241767</v>
      </c>
      <c r="AG702" s="188">
        <f>AG666/(AG666+AG668+AG677)*100</f>
        <v>17.214467288052447</v>
      </c>
      <c r="AH702" s="72">
        <f t="shared" si="3315"/>
        <v>27.766039552628712</v>
      </c>
      <c r="AI702" s="188">
        <f>AI666/(AI666+AI668+AI677)*100</f>
        <v>17.073388754804682</v>
      </c>
      <c r="AJ702" s="72">
        <f t="shared" si="3316"/>
        <v>44.60141955463547</v>
      </c>
      <c r="AK702" s="188">
        <f>AK666/(AK666+AK668+AK677)*100</f>
        <v>19.13159710244912</v>
      </c>
      <c r="AL702" s="72">
        <f t="shared" si="3317"/>
        <v>57.16215479278145</v>
      </c>
      <c r="AM702" s="188">
        <f>AM666/(AM666+AM668+AM677)*100</f>
        <v>23.10650528275918</v>
      </c>
      <c r="AN702" s="72">
        <f t="shared" si="3318"/>
        <v>22.170977354154431</v>
      </c>
      <c r="AO702" s="188">
        <f>AO666/(AO666+AO668+AO677)*100</f>
        <v>23.257746646088094</v>
      </c>
      <c r="AP702" s="72">
        <f t="shared" si="3319"/>
        <v>35.105816851096705</v>
      </c>
      <c r="AQ702" s="188">
        <f>AQ666/(AQ666+AQ668+AQ677)*100</f>
        <v>23.103368355995055</v>
      </c>
      <c r="AR702" s="72">
        <f t="shared" si="3320"/>
        <v>35.318000941631766</v>
      </c>
      <c r="AS702" s="188">
        <f>AS666/(AS666+AS668+AS677)*100</f>
        <v>25.604927408710953</v>
      </c>
      <c r="AT702" s="72">
        <f t="shared" si="3321"/>
        <v>33.835807181163943</v>
      </c>
      <c r="AU702" s="188">
        <f>AU666/(AU666+AU668+AU677)*100</f>
        <v>25.067529144156953</v>
      </c>
      <c r="AV702" s="72">
        <f t="shared" si="3322"/>
        <v>8.4868907582531961</v>
      </c>
      <c r="AW702" s="188">
        <f>AW666/(AW666+AW668+AW677)*100</f>
        <v>24.089263282346856</v>
      </c>
      <c r="AX702" s="72">
        <f t="shared" si="3323"/>
        <v>3.5752244140926877</v>
      </c>
      <c r="AY702" s="188">
        <f>AY666/(AY666+AY668+AY677)*100</f>
        <v>26.013356665833363</v>
      </c>
      <c r="AZ702" s="72">
        <f t="shared" si="3324"/>
        <v>12.595515359487393</v>
      </c>
      <c r="BA702" s="188">
        <f>BA666/(BA666+BA668+BA677)*100</f>
        <v>26.738728488124018</v>
      </c>
      <c r="BB702" s="72">
        <f t="shared" si="3325"/>
        <v>4.4280581675359088</v>
      </c>
      <c r="BC702" s="188">
        <f>BC666/(BC666+BC668+BC677)*100</f>
        <v>26.010593810984112</v>
      </c>
      <c r="BD702" s="72">
        <f t="shared" si="3326"/>
        <v>3.7620966207073394</v>
      </c>
      <c r="BE702" s="188">
        <f>BE666/(BE666+BE668+BE677)*100</f>
        <v>31.337674539151845</v>
      </c>
      <c r="BF702" s="72">
        <f t="shared" si="3327"/>
        <v>30.089800471884018</v>
      </c>
      <c r="BG702" s="188">
        <f>BG666/(BG666+BG668+BG677)*100</f>
        <v>31.833254381809567</v>
      </c>
      <c r="BH702" s="72">
        <f t="shared" si="3328"/>
        <v>22.372728712939278</v>
      </c>
      <c r="BI702" s="188">
        <f>BI666/(BI666+BI668+BI677)*100</f>
        <v>30.096683314124729</v>
      </c>
      <c r="BJ702" s="72">
        <f t="shared" si="3329"/>
        <v>12.558393820005847</v>
      </c>
      <c r="BK702" s="188">
        <f>BK666/(BK666+BK668+BK677)*100</f>
        <v>30.418404831579604</v>
      </c>
      <c r="BL702" s="72">
        <f t="shared" si="3330"/>
        <v>16.946214502546653</v>
      </c>
      <c r="BM702" s="188">
        <f>BM666/(BM666+BM668+BM677)*100</f>
        <v>36.755646817248461</v>
      </c>
      <c r="BN702" s="72">
        <f t="shared" si="3331"/>
        <v>17.289005511010885</v>
      </c>
      <c r="BO702" s="188">
        <f>BO666/(BO666+BO668+BO677)*100</f>
        <v>37.227135340870923</v>
      </c>
      <c r="BP702" s="72">
        <f t="shared" si="3332"/>
        <v>16.944170691337092</v>
      </c>
      <c r="BQ702" s="188">
        <f>BQ666/(BQ666+BQ668+BQ677)*100</f>
        <v>39.913129938772308</v>
      </c>
      <c r="BR702" s="72">
        <f t="shared" si="3333"/>
        <v>32.616373446175061</v>
      </c>
      <c r="BS702" s="188">
        <f>BS666/(BS666+BS668+BS677)*100</f>
        <v>40.303022726704505</v>
      </c>
      <c r="BT702" s="72">
        <f t="shared" si="3334"/>
        <v>32.495516940661361</v>
      </c>
      <c r="BU702" s="188">
        <f>BU666/(BU666+BU668+BU677)*100</f>
        <v>48.7010428432583</v>
      </c>
      <c r="BV702" s="72">
        <f t="shared" si="3335"/>
        <v>32.499485277468096</v>
      </c>
      <c r="BW702" s="188">
        <f>BW666/(BW666+BW668+BW677)*100</f>
        <v>48.306513409961688</v>
      </c>
      <c r="BX702" s="72">
        <f t="shared" si="3336"/>
        <v>29.761564965024149</v>
      </c>
      <c r="BY702" s="188">
        <f>BY666/(BY666+BY668+BY677)*100</f>
        <v>46.423657211828605</v>
      </c>
      <c r="BZ702" s="72">
        <f t="shared" si="3337"/>
        <v>16.311743235981751</v>
      </c>
      <c r="CA702" s="188">
        <f>CA666/(CA666+CA668+CA677)*100</f>
        <v>47.374117753173834</v>
      </c>
      <c r="CB702" s="72">
        <f t="shared" si="3338"/>
        <v>17.544825544273806</v>
      </c>
      <c r="CC702" s="188">
        <f>CC666/(CC666+CC668+CC677)*100</f>
        <v>43.819152561626716</v>
      </c>
      <c r="CD702" s="72">
        <f t="shared" si="3339"/>
        <v>-10.024200708275771</v>
      </c>
      <c r="CE702" s="188">
        <f>CE666/(CE666+CE668+CE677)*100</f>
        <v>46.428738154147794</v>
      </c>
      <c r="CF702" s="72">
        <f t="shared" si="3340"/>
        <v>-3.8872092462517998</v>
      </c>
      <c r="CG702" s="188">
        <f>CG666/(CG666+CG668+CG677)*100</f>
        <v>46.397034041118971</v>
      </c>
      <c r="CH702" s="72">
        <f t="shared" si="3341"/>
        <v>-5.7348283846209824E-2</v>
      </c>
      <c r="CI702" s="188">
        <f>CI666/(CI666+CI668+CI677)*100</f>
        <v>43.278331328445944</v>
      </c>
      <c r="CJ702" s="72">
        <f t="shared" si="3342"/>
        <v>-8.6456204758630975</v>
      </c>
      <c r="CK702" s="188">
        <f>CK666/(CK666+CK668+CK677)*100</f>
        <v>44.35643564356436</v>
      </c>
      <c r="CL702" s="72">
        <f t="shared" si="3343"/>
        <v>1.2261375460924597</v>
      </c>
      <c r="CM702" s="188">
        <f>CM666/(CM666+CM668+CM677)*100</f>
        <v>44.20694060038322</v>
      </c>
      <c r="CN702" s="72">
        <f t="shared" si="3344"/>
        <v>-4.7853929313951937</v>
      </c>
      <c r="CO702" s="188">
        <f>CO666/(CO666+CO668+CO677)*100</f>
        <v>44.062364301813446</v>
      </c>
      <c r="CP702" s="72">
        <f t="shared" si="3345"/>
        <v>-5.0319374665985066</v>
      </c>
      <c r="CQ702" s="188">
        <f>CQ666/(CQ666+CQ668+CQ677)*100</f>
        <v>42.520641587909488</v>
      </c>
      <c r="CR702" s="72">
        <f t="shared" si="3346"/>
        <v>-1.7507369560675272</v>
      </c>
      <c r="CS702" s="188">
        <f>CS666/(CS666+CS668+CS677)*100</f>
        <v>43.494999287067401</v>
      </c>
      <c r="CT702" s="72">
        <f t="shared" si="3347"/>
        <v>-1.9420775001382395</v>
      </c>
      <c r="CU702" s="188">
        <f>CU666/(CU666+CU668+CU677)*100</f>
        <v>44.212201813726516</v>
      </c>
      <c r="CV702" s="72">
        <f t="shared" si="3348"/>
        <v>1.1901328777440767E-2</v>
      </c>
      <c r="CW702" s="188">
        <f>CW666/(CW666+CW668+CW677)*100</f>
        <v>42.299414687129151</v>
      </c>
      <c r="CX702" s="72">
        <f t="shared" si="3349"/>
        <v>-4.0010327240014618</v>
      </c>
      <c r="CY702" s="188">
        <f>CY666/(CY666+CY668+CY677)*100</f>
        <v>41.167563930013458</v>
      </c>
      <c r="CZ702" s="72">
        <f t="shared" si="3350"/>
        <v>-3.1821666074783934</v>
      </c>
      <c r="DA702" s="188">
        <f>DA666/(DA666+DA668+DA677)*100</f>
        <v>40.592840179435306</v>
      </c>
      <c r="DB702" s="72">
        <f t="shared" si="3351"/>
        <v>-6.6723971840482506</v>
      </c>
      <c r="DC702" s="188">
        <f>DC666/(DC666+DC668+DC677)*100</f>
        <v>40.755408708246584</v>
      </c>
      <c r="DD702" s="72">
        <f t="shared" si="3352"/>
        <v>-7.8186404740573323</v>
      </c>
      <c r="DE702" s="188">
        <f>DE666/(DE666+DE668+DE677)*100</f>
        <v>40.26540329043511</v>
      </c>
      <c r="DF702" s="72">
        <f t="shared" si="3353"/>
        <v>-4.8086041183755412</v>
      </c>
      <c r="DG702" s="188">
        <f>DG666/(DG666+DG668+DG677)*100</f>
        <v>39.620103439478626</v>
      </c>
      <c r="DH702" s="72">
        <f t="shared" si="3354"/>
        <v>-3.7589314081483565</v>
      </c>
      <c r="DI702" s="188">
        <f>DI666/(DI666+DI668+DI677)*100</f>
        <v>40.287481117824775</v>
      </c>
      <c r="DJ702" s="72">
        <f t="shared" si="3355"/>
        <v>-0.7522485745287355</v>
      </c>
      <c r="DK702" s="188">
        <f>DK666/(DK666+DK668+DK677)*100</f>
        <v>38.108441158348739</v>
      </c>
      <c r="DL702" s="72">
        <f t="shared" si="3356"/>
        <v>-6.4947638455708869</v>
      </c>
      <c r="DM702" s="188">
        <f>DM666/(DM666+DM668+DM677)*100</f>
        <v>38.84408909194746</v>
      </c>
      <c r="DN702" s="72">
        <f t="shared" si="3357"/>
        <v>-3.5298645545300644</v>
      </c>
      <c r="DO702" s="188">
        <f>DO666/(DO666+DO668+DO677)*100</f>
        <v>37.482553270680192</v>
      </c>
      <c r="DP702" s="72">
        <f t="shared" si="3358"/>
        <v>-5.395115063401164</v>
      </c>
      <c r="DQ702" s="188">
        <f>DQ666/(DQ666+DQ668+DQ677)*100</f>
        <v>37.324576736752732</v>
      </c>
      <c r="DR702" s="72">
        <f t="shared" si="3359"/>
        <v>-7.3544046410018353</v>
      </c>
      <c r="DS702" s="188">
        <f>DS666/(DS666+DS668+DS677)*100</f>
        <v>35.179470135789579</v>
      </c>
      <c r="DT702" s="72">
        <f t="shared" si="3360"/>
        <v>-7.6858851570145816</v>
      </c>
      <c r="DU702" s="188">
        <f>DU666/(DU666+DU668+DU677)*100</f>
        <v>33.679181207110567</v>
      </c>
      <c r="DV702" s="72">
        <f t="shared" si="3361"/>
        <v>-13.296509213051934</v>
      </c>
      <c r="DW702" s="188">
        <f>DW666/(DW666+DW668+DW677)*100</f>
        <v>33.053407166720064</v>
      </c>
      <c r="DX702" s="72">
        <f t="shared" si="3362"/>
        <v>-11.816553883016084</v>
      </c>
      <c r="DY702" s="188">
        <f>DY666/(DY666+DY668+DY677)*100</f>
        <v>31.861075308414655</v>
      </c>
      <c r="DZ702" s="72">
        <f t="shared" si="3363"/>
        <v>-14.637812149543493</v>
      </c>
      <c r="EA702" s="188">
        <f>EA666/(EA666+EA668+EA677)*100</f>
        <v>31.372950353642171</v>
      </c>
      <c r="EB702" s="72">
        <f t="shared" si="3364"/>
        <v>-10.82028742176783</v>
      </c>
      <c r="EC702" s="188">
        <f>EC666/(EC666+EC668+EC677)*100</f>
        <v>30.173638154579191</v>
      </c>
      <c r="ED702" s="72">
        <f t="shared" si="3365"/>
        <v>-10.40863502878527</v>
      </c>
      <c r="EE702" s="188">
        <f>EE666/(EE666+EE668+EE677)*100</f>
        <v>29.117170626349893</v>
      </c>
      <c r="EF702" s="72">
        <f t="shared" si="3366"/>
        <v>-11.908716461561582</v>
      </c>
      <c r="EG702" s="188">
        <f>EG666/(EG666+EG668+EG677)*100</f>
        <v>28.123130722863849</v>
      </c>
      <c r="EH702" s="72">
        <f t="shared" si="3367"/>
        <v>-11.732010138915811</v>
      </c>
      <c r="EI702" s="188">
        <f>EI666/(EI666+EI668+EI677)*100</f>
        <v>27.307474838855594</v>
      </c>
      <c r="EJ702" s="72">
        <f t="shared" si="3368"/>
        <v>-12.958537431002583</v>
      </c>
      <c r="EK702" s="188">
        <f>EK666/(EK666+EK668+EK677)*100</f>
        <v>26.900291651476486</v>
      </c>
      <c r="EL702" s="72">
        <f t="shared" si="3369"/>
        <v>-10.848365339086357</v>
      </c>
      <c r="EM702" s="188">
        <f>EM666/(EM666+EM668+EM677)*100</f>
        <v>23.770510303112374</v>
      </c>
      <c r="EN702" s="72">
        <f t="shared" si="3370"/>
        <v>-18.362568231128208</v>
      </c>
      <c r="EO702" s="188">
        <f>EO666/(EO666+EO668+EO677)*100</f>
        <v>22.189504679777052</v>
      </c>
      <c r="EP702" s="72">
        <f t="shared" si="3371"/>
        <v>-21.098739331545374</v>
      </c>
      <c r="EQ702" s="13">
        <f t="shared" ref="EQ702" si="3398">EQ666/(EQ666+EQ668+EQ677)*100</f>
        <v>21.575259477383575</v>
      </c>
      <c r="ER702" s="72">
        <f t="shared" si="3373"/>
        <v>-20.99137835079388</v>
      </c>
      <c r="ES702" s="13">
        <f t="shared" ref="ES702" si="3399">ES666/(ES666+ES668+ES677)*100</f>
        <v>21.510304807926556</v>
      </c>
      <c r="ET702" s="72">
        <f t="shared" si="3375"/>
        <v>-20.036908571041792</v>
      </c>
      <c r="EU702" s="13">
        <f t="shared" ref="EU702" si="3400">EU666/(EU666+EU668+EU677)*100</f>
        <v>21.453858359557785</v>
      </c>
      <c r="EV702" s="72">
        <f t="shared" si="3377"/>
        <v>-9.7459074879484575</v>
      </c>
      <c r="EW702" s="13">
        <f t="shared" ref="EW702" si="3401">EW666/(EW666+EW668+EW677)*100</f>
        <v>21.455573945499946</v>
      </c>
      <c r="EX702" s="72">
        <f t="shared" si="3379"/>
        <v>-3.3075579868440741</v>
      </c>
      <c r="EY702" s="72"/>
      <c r="EZ702" s="296"/>
      <c r="FA702" s="72"/>
      <c r="FB702" s="9"/>
      <c r="FC702" s="11"/>
      <c r="FD702" s="150"/>
      <c r="FE702" s="72"/>
      <c r="FF702" s="188">
        <f>FF666/(FF666+FF668+FF677)*100</f>
        <v>10.027173913043478</v>
      </c>
      <c r="FG702" s="72" t="str">
        <f t="shared" si="3380"/>
        <v>NA</v>
      </c>
      <c r="FH702" s="188">
        <f>FH666/(FH666+FH668+FH677)*100</f>
        <v>15.235563938783384</v>
      </c>
      <c r="FI702" s="72">
        <f t="shared" si="3381"/>
        <v>51.942751476213687</v>
      </c>
      <c r="FJ702" s="188">
        <f>FJ666/(FJ666+FJ668+FJ677)*100</f>
        <v>13.473429518774083</v>
      </c>
      <c r="FK702" s="72">
        <f t="shared" si="3382"/>
        <v>-11.565928423060484</v>
      </c>
      <c r="FL702" s="188">
        <f>FL666/(FL666+FL668+FL677)*100</f>
        <v>17.214467288052447</v>
      </c>
      <c r="FM702" s="72">
        <f t="shared" si="3383"/>
        <v>27.766039552628712</v>
      </c>
      <c r="FN702" s="188">
        <f>FN666/(FN666+FN668+FN677)*100</f>
        <v>23.257746646088094</v>
      </c>
      <c r="FO702" s="72">
        <f t="shared" si="3384"/>
        <v>35.105816851096705</v>
      </c>
      <c r="FP702" s="188">
        <f>FP666/(FP666+FP668+FP677)*100</f>
        <v>24.089263282346856</v>
      </c>
      <c r="FQ702" s="72">
        <f t="shared" si="3385"/>
        <v>3.5752244140926877</v>
      </c>
      <c r="FR702" s="13">
        <f>FR666/(FR666+FR668+FR677)*100</f>
        <v>31.337674539151845</v>
      </c>
      <c r="FS702" s="72">
        <f t="shared" si="3386"/>
        <v>30.089800471884018</v>
      </c>
      <c r="FT702" s="13">
        <f>FT666/(FT666+FT668+FT677)*100</f>
        <v>36.755646817248461</v>
      </c>
      <c r="FU702" s="72">
        <f t="shared" si="3387"/>
        <v>17.289005511010885</v>
      </c>
      <c r="FV702" s="13">
        <f>FV666/(FV666+FV668+FV677)*100</f>
        <v>48.7010428432583</v>
      </c>
      <c r="FW702" s="72">
        <f t="shared" si="3388"/>
        <v>32.499485277468096</v>
      </c>
      <c r="FX702" s="13">
        <f>FX666/(FX666+FX668+FX677)*100</f>
        <v>43.819152561626716</v>
      </c>
      <c r="FY702" s="72">
        <f t="shared" si="3389"/>
        <v>-10.024200708275771</v>
      </c>
      <c r="FZ702" s="13">
        <f>FZ666/(FZ666+FZ668+FZ677)*100</f>
        <v>44.35643564356436</v>
      </c>
      <c r="GA702" s="72">
        <f t="shared" si="3390"/>
        <v>1.2261375460924597</v>
      </c>
      <c r="GB702" s="13">
        <f>GB666/(GB666+GB668+GB677)*100</f>
        <v>43.494999287067401</v>
      </c>
      <c r="GC702" s="72">
        <f t="shared" si="3391"/>
        <v>-1.9420775001382395</v>
      </c>
      <c r="GD702" s="13">
        <f>GD666/(GD666+GD668+GD677)*100</f>
        <v>40.592840179435306</v>
      </c>
      <c r="GE702" s="72">
        <f t="shared" si="3392"/>
        <v>-6.6723971840482506</v>
      </c>
      <c r="GF702" s="13">
        <f>GF666/(GF666+GF668+GF677)*100</f>
        <v>40.287481117824775</v>
      </c>
      <c r="GG702" s="72">
        <f t="shared" si="3393"/>
        <v>-0.7522485745287355</v>
      </c>
      <c r="GH702" s="13">
        <f>GH666/(GH666+GH668+GH677)*100</f>
        <v>37.324576736752732</v>
      </c>
      <c r="GI702" s="72">
        <f t="shared" si="3394"/>
        <v>-7.3544046410018353</v>
      </c>
      <c r="GJ702" s="13">
        <f>GJ666/(GJ666+GJ668+GJ677)*100</f>
        <v>31.861075308414655</v>
      </c>
      <c r="GK702" s="72">
        <f t="shared" si="3394"/>
        <v>-14.637812149543493</v>
      </c>
      <c r="GL702" s="13">
        <f>GL666/(GL666+GL668+GL677)*100</f>
        <v>28.123130722863849</v>
      </c>
      <c r="GM702" s="72">
        <f t="shared" si="3394"/>
        <v>-11.732010138915811</v>
      </c>
      <c r="GN702" s="13">
        <f>GN666/(GN666+GN668+GN677)*100</f>
        <v>22.189504679777052</v>
      </c>
      <c r="GO702" s="72">
        <f t="shared" si="3394"/>
        <v>-21.098739331545374</v>
      </c>
      <c r="GP702" s="13">
        <f>GP666/(GP666+GP668+GP677)*100</f>
        <v>21.455573945499946</v>
      </c>
      <c r="GQ702" s="72">
        <f t="shared" si="3394"/>
        <v>-3.3075579868440741</v>
      </c>
      <c r="GR702" s="13">
        <f>GR666/(GR666+GR668+GR677)*100</f>
        <v>20.977353220008592</v>
      </c>
      <c r="GS702" s="72">
        <f t="shared" si="3394"/>
        <v>-2.228888058208554</v>
      </c>
      <c r="GT702" s="13">
        <f>GT666/(GT666+GT668+GT677)*100</f>
        <v>20.599221418263888</v>
      </c>
      <c r="GU702" s="72">
        <f t="shared" si="3394"/>
        <v>-1.8025715531358628</v>
      </c>
      <c r="GV702" s="13">
        <f>GV666/(GV666+GV668+GV677)*100</f>
        <v>20.272994327789107</v>
      </c>
      <c r="GW702" s="72">
        <f t="shared" si="3395"/>
        <v>-1.5836865085858847</v>
      </c>
      <c r="GX702" s="13">
        <f>GX666/(GX666+GX668+GX677)*100</f>
        <v>20.000005661941316</v>
      </c>
      <c r="GY702" s="72">
        <f t="shared" si="3396"/>
        <v>-1.3465631244891796</v>
      </c>
      <c r="GZ702" s="72">
        <f t="shared" si="3397"/>
        <v>-2.0563009263142362</v>
      </c>
      <c r="HA702" s="72"/>
      <c r="HB702" s="72"/>
      <c r="HC702"/>
      <c r="HD702"/>
      <c r="HE702"/>
      <c r="HF702"/>
      <c r="HG702"/>
      <c r="HH702"/>
      <c r="HI702" s="2"/>
    </row>
    <row r="703" spans="1:217" s="3" customFormat="1" ht="12.75" customHeight="1" x14ac:dyDescent="0.2">
      <c r="A703" s="3" t="s">
        <v>602</v>
      </c>
      <c r="B703" s="18" t="s">
        <v>704</v>
      </c>
      <c r="C703" s="188"/>
      <c r="D703" s="188"/>
      <c r="E703" s="188"/>
      <c r="F703" s="11"/>
      <c r="G703" s="188"/>
      <c r="H703" s="11"/>
      <c r="I703" s="188">
        <f>(I666+I668)/(I666+I668+I677)*100</f>
        <v>10.027173913043478</v>
      </c>
      <c r="J703" s="11"/>
      <c r="K703" s="188">
        <f>(K666+K668)/(K666+K668+K677)*100</f>
        <v>12.889891018414129</v>
      </c>
      <c r="L703" s="72" t="str">
        <f t="shared" si="3304"/>
        <v>NA</v>
      </c>
      <c r="M703" s="188">
        <f>(M666+M668)/(M666+M668+M677)*100</f>
        <v>17.916152172634796</v>
      </c>
      <c r="N703" s="72" t="str">
        <f t="shared" si="3305"/>
        <v>NA</v>
      </c>
      <c r="O703" s="188">
        <f>(O666+O668)/(O666+O668+O677)*100</f>
        <v>18.008935039845447</v>
      </c>
      <c r="P703" s="72" t="str">
        <f t="shared" si="3306"/>
        <v>NA</v>
      </c>
      <c r="Q703" s="188">
        <f>(Q666+Q668)/(Q666+Q668+Q677)*100</f>
        <v>18.193509666909591</v>
      </c>
      <c r="R703" s="72">
        <f t="shared" si="3307"/>
        <v>81.442047626632217</v>
      </c>
      <c r="S703" s="188">
        <f>(S666+S668)/(S666+S668+S677)*100</f>
        <v>17.3175018217669</v>
      </c>
      <c r="T703" s="72">
        <f t="shared" si="3308"/>
        <v>34.349482063328651</v>
      </c>
      <c r="U703" s="188">
        <f>(U666+U668)/(U666+U668+U677)*100</f>
        <v>16.046754149648041</v>
      </c>
      <c r="V703" s="72">
        <f t="shared" si="3309"/>
        <v>-10.434149057084255</v>
      </c>
      <c r="W703" s="188">
        <f>(W666+W668)/(W666+W668+W677)*100</f>
        <v>16.43542757417103</v>
      </c>
      <c r="X703" s="72">
        <f t="shared" si="3310"/>
        <v>-8.7373709894170446</v>
      </c>
      <c r="Y703" s="188">
        <f>(Y666+Y668)/(Y666+Y668+Y677)*100</f>
        <v>16.565104400035846</v>
      </c>
      <c r="Z703" s="72">
        <f t="shared" si="3311"/>
        <v>-8.9504735297747118</v>
      </c>
      <c r="AA703" s="188">
        <f>(AA666+AA668)/(AA666+AA668+AA677)*100</f>
        <v>14.962502286445947</v>
      </c>
      <c r="AB703" s="72">
        <f t="shared" si="3312"/>
        <v>-13.598956475124382</v>
      </c>
      <c r="AC703" s="188">
        <f>(AC666+AC668)/(AC666+AC668+AC677)*100</f>
        <v>15.327299323459497</v>
      </c>
      <c r="AD703" s="72">
        <f t="shared" si="3313"/>
        <v>-4.4834912997300762</v>
      </c>
      <c r="AE703" s="188">
        <f>(AE666+AE668)/(AE666+AE668+AE677)*100</f>
        <v>18.913252380536385</v>
      </c>
      <c r="AF703" s="72">
        <f t="shared" si="3314"/>
        <v>15.076120138543644</v>
      </c>
      <c r="AG703" s="188">
        <f>(AG666+AG668)/(AG666+AG668+AG677)*100</f>
        <v>17.214467288052447</v>
      </c>
      <c r="AH703" s="72">
        <f t="shared" si="3315"/>
        <v>3.9200651703420277</v>
      </c>
      <c r="AI703" s="188">
        <f>(AI666+AI668)/(AI666+AI668+AI677)*100</f>
        <v>17.073388754804682</v>
      </c>
      <c r="AJ703" s="72">
        <f t="shared" si="3316"/>
        <v>14.1078439150577</v>
      </c>
      <c r="AK703" s="188">
        <f>(AK666+AK668)/(AK666+AK668+AK677)*100</f>
        <v>19.13159710244912</v>
      </c>
      <c r="AL703" s="72">
        <f t="shared" si="3317"/>
        <v>24.820405074016392</v>
      </c>
      <c r="AM703" s="188">
        <f>(AM666+AM668)/(AM666+AM668+AM677)*100</f>
        <v>23.10650528275918</v>
      </c>
      <c r="AN703" s="72">
        <f t="shared" si="3318"/>
        <v>22.170977354154431</v>
      </c>
      <c r="AO703" s="188">
        <f>(AO666+AO668)/(AO666+AO668+AO677)*100</f>
        <v>23.257746646088094</v>
      </c>
      <c r="AP703" s="72">
        <f t="shared" si="3319"/>
        <v>35.105816851096705</v>
      </c>
      <c r="AQ703" s="188">
        <f>(AQ666+AQ668)/(AQ666+AQ668+AQ677)*100</f>
        <v>23.103368355995055</v>
      </c>
      <c r="AR703" s="72">
        <f t="shared" si="3320"/>
        <v>35.318000941631766</v>
      </c>
      <c r="AS703" s="188">
        <f>(AS666+AS668)/(AS666+AS668+AS677)*100</f>
        <v>25.604927408710953</v>
      </c>
      <c r="AT703" s="72">
        <f t="shared" si="3321"/>
        <v>33.835807181163943</v>
      </c>
      <c r="AU703" s="188">
        <f>(AU666+AU668)/(AU666+AU668+AU677)*100</f>
        <v>25.067529144156953</v>
      </c>
      <c r="AV703" s="72">
        <f t="shared" si="3322"/>
        <v>8.4868907582531961</v>
      </c>
      <c r="AW703" s="188">
        <f>(AW666+AW668)/(AW666+AW668+AW677)*100</f>
        <v>24.089263282346856</v>
      </c>
      <c r="AX703" s="72">
        <f t="shared" si="3323"/>
        <v>3.5752244140926877</v>
      </c>
      <c r="AY703" s="188">
        <f>(AY666+AY668)/(AY666+AY668+AY677)*100</f>
        <v>26.013356665833363</v>
      </c>
      <c r="AZ703" s="72">
        <f t="shared" si="3324"/>
        <v>12.595515359487393</v>
      </c>
      <c r="BA703" s="188">
        <f>(BA666+BA668)/(BA666+BA668+BA677)*100</f>
        <v>26.738728488124018</v>
      </c>
      <c r="BB703" s="72">
        <f t="shared" si="3325"/>
        <v>4.4280581675359088</v>
      </c>
      <c r="BC703" s="188">
        <f>(BC666+BC668)/(BC666+BC668+BC677)*100</f>
        <v>26.010593810984112</v>
      </c>
      <c r="BD703" s="72">
        <f t="shared" si="3326"/>
        <v>3.7620966207073394</v>
      </c>
      <c r="BE703" s="188">
        <f>(BE666+BE668)/(BE666+BE668+BE677)*100</f>
        <v>31.337674539151845</v>
      </c>
      <c r="BF703" s="72">
        <f t="shared" si="3327"/>
        <v>30.089800471884018</v>
      </c>
      <c r="BG703" s="188">
        <f>(BG666+BG668)/(BG666+BG668+BG677)*100</f>
        <v>31.833254381809567</v>
      </c>
      <c r="BH703" s="72">
        <f t="shared" si="3328"/>
        <v>22.372728712939278</v>
      </c>
      <c r="BI703" s="188">
        <f>(BI666+BI668)/(BI666+BI668+BI677)*100</f>
        <v>30.096683314124729</v>
      </c>
      <c r="BJ703" s="72">
        <f t="shared" si="3329"/>
        <v>12.558393820005847</v>
      </c>
      <c r="BK703" s="188">
        <f>(BK666+BK668)/(BK666+BK668+BK677)*100</f>
        <v>30.418404831579604</v>
      </c>
      <c r="BL703" s="72">
        <f t="shared" si="3330"/>
        <v>16.946214502546653</v>
      </c>
      <c r="BM703" s="188">
        <f>(BM666+BM668)/(BM666+BM668+BM677)*100</f>
        <v>36.755646817248461</v>
      </c>
      <c r="BN703" s="72">
        <f t="shared" si="3331"/>
        <v>17.289005511010885</v>
      </c>
      <c r="BO703" s="188">
        <f>(BO666+BO668)/(BO666+BO668+BO677)*100</f>
        <v>37.227135340870923</v>
      </c>
      <c r="BP703" s="72">
        <f t="shared" si="3332"/>
        <v>16.944170691337092</v>
      </c>
      <c r="BQ703" s="188">
        <f>(BQ666+BQ668)/(BQ666+BQ668+BQ677)*100</f>
        <v>39.913129938772308</v>
      </c>
      <c r="BR703" s="72">
        <f t="shared" si="3333"/>
        <v>32.616373446175061</v>
      </c>
      <c r="BS703" s="188">
        <f>(BS666+BS668)/(BS666+BS668+BS677)*100</f>
        <v>40.303022726704505</v>
      </c>
      <c r="BT703" s="72">
        <f t="shared" si="3334"/>
        <v>32.495516940661361</v>
      </c>
      <c r="BU703" s="188">
        <f>(BU666+BU668)/(BU666+BU668+BU677)*100</f>
        <v>48.7010428432583</v>
      </c>
      <c r="BV703" s="72">
        <f t="shared" si="3335"/>
        <v>32.499485277468096</v>
      </c>
      <c r="BW703" s="188">
        <f>(BW666+BW668)/(BW666+BW668+BW677)*100</f>
        <v>48.306513409961688</v>
      </c>
      <c r="BX703" s="72">
        <f t="shared" si="3336"/>
        <v>29.761564965024149</v>
      </c>
      <c r="BY703" s="188">
        <f>(BY666+BY668)/(BY666+BY668+BY677)*100</f>
        <v>46.423657211828605</v>
      </c>
      <c r="BZ703" s="72">
        <f t="shared" si="3337"/>
        <v>16.311743235981751</v>
      </c>
      <c r="CA703" s="188">
        <f>(CA666+CA668)/(CA666+CA668+CA677)*100</f>
        <v>47.374117753173834</v>
      </c>
      <c r="CB703" s="72">
        <f t="shared" si="3338"/>
        <v>17.544825544273806</v>
      </c>
      <c r="CC703" s="188">
        <f>(CC666+CC668)/(CC666+CC668+CC677)*100</f>
        <v>43.819152561626716</v>
      </c>
      <c r="CD703" s="72">
        <f t="shared" si="3339"/>
        <v>-10.024200708275771</v>
      </c>
      <c r="CE703" s="188">
        <f>(CE666+CE668)/(CE666+CE668+CE677)*100</f>
        <v>46.428738154147794</v>
      </c>
      <c r="CF703" s="72">
        <f t="shared" si="3340"/>
        <v>-3.8872092462517998</v>
      </c>
      <c r="CG703" s="188">
        <f>(CG666+CG668)/(CG666+CG668+CG677)*100</f>
        <v>46.397034041118971</v>
      </c>
      <c r="CH703" s="72">
        <f t="shared" si="3341"/>
        <v>-5.7348283846209824E-2</v>
      </c>
      <c r="CI703" s="188">
        <f>(CI666+CI668)/(CI666+CI668+CI677)*100</f>
        <v>43.278331328445944</v>
      </c>
      <c r="CJ703" s="72">
        <f t="shared" si="3342"/>
        <v>-8.6456204758630975</v>
      </c>
      <c r="CK703" s="188">
        <f>(CK666+CK668)/(CK666+CK668+CK677)*100</f>
        <v>44.35643564356436</v>
      </c>
      <c r="CL703" s="72">
        <f t="shared" si="3343"/>
        <v>1.2261375460924597</v>
      </c>
      <c r="CM703" s="188">
        <f>(CM666+CM668)/(CM666+CM668+CM677)*100</f>
        <v>44.20694060038322</v>
      </c>
      <c r="CN703" s="72">
        <f t="shared" si="3344"/>
        <v>-4.7853929313951937</v>
      </c>
      <c r="CO703" s="188">
        <f>(CO666+CO668)/(CO666+CO668+CO677)*100</f>
        <v>44.062364301813446</v>
      </c>
      <c r="CP703" s="72">
        <f t="shared" si="3345"/>
        <v>-5.0319374665985066</v>
      </c>
      <c r="CQ703" s="188">
        <f>(CQ666+CQ668)/(CQ666+CQ668+CQ677)*100</f>
        <v>42.520641587909488</v>
      </c>
      <c r="CR703" s="72">
        <f t="shared" si="3346"/>
        <v>-1.7507369560675272</v>
      </c>
      <c r="CS703" s="188">
        <f>(CS666+CS668)/(CS666+CS668+CS677)*100</f>
        <v>43.494999287067401</v>
      </c>
      <c r="CT703" s="72">
        <f t="shared" si="3347"/>
        <v>-1.9420775001382395</v>
      </c>
      <c r="CU703" s="188">
        <f>(CU666+CU668)/(CU666+CU668+CU677)*100</f>
        <v>44.212201813726516</v>
      </c>
      <c r="CV703" s="72">
        <f t="shared" si="3348"/>
        <v>1.1901328777440767E-2</v>
      </c>
      <c r="CW703" s="188">
        <f>(CW666+CW668)/(CW666+CW668+CW677)*100</f>
        <v>42.299414687129151</v>
      </c>
      <c r="CX703" s="72">
        <f t="shared" si="3349"/>
        <v>-4.0010327240014618</v>
      </c>
      <c r="CY703" s="188">
        <f>(CY666+CY668)/(CY666+CY668+CY677)*100</f>
        <v>41.167563930013458</v>
      </c>
      <c r="CZ703" s="72">
        <f t="shared" si="3350"/>
        <v>-3.1821666074783934</v>
      </c>
      <c r="DA703" s="188">
        <f>(DA666+DA668)/(DA666+DA668+DA677)*100</f>
        <v>40.592840179435306</v>
      </c>
      <c r="DB703" s="72">
        <f t="shared" si="3351"/>
        <v>-6.6723971840482506</v>
      </c>
      <c r="DC703" s="188">
        <f>(DC666+DC668)/(DC666+DC668+DC677)*100</f>
        <v>40.755408708246584</v>
      </c>
      <c r="DD703" s="72">
        <f t="shared" si="3352"/>
        <v>-7.8186404740573323</v>
      </c>
      <c r="DE703" s="188">
        <f>(DE666+DE668)/(DE666+DE668+DE677)*100</f>
        <v>40.26540329043511</v>
      </c>
      <c r="DF703" s="72">
        <f t="shared" si="3353"/>
        <v>-4.8086041183755412</v>
      </c>
      <c r="DG703" s="188">
        <f>(DG666+DG668)/(DG666+DG668+DG677)*100</f>
        <v>39.620103439478626</v>
      </c>
      <c r="DH703" s="72">
        <f t="shared" si="3354"/>
        <v>-3.7589314081483565</v>
      </c>
      <c r="DI703" s="188">
        <f>(DI666+DI668)/(DI666+DI668+DI677)*100</f>
        <v>40.287481117824775</v>
      </c>
      <c r="DJ703" s="72">
        <f t="shared" si="3355"/>
        <v>-0.7522485745287355</v>
      </c>
      <c r="DK703" s="188">
        <f>(DK666+DK668)/(DK666+DK668+DK677)*100</f>
        <v>38.108441158348739</v>
      </c>
      <c r="DL703" s="72">
        <f t="shared" si="3356"/>
        <v>-6.4947638455708869</v>
      </c>
      <c r="DM703" s="188">
        <f>(DM666+DM668)/(DM666+DM668+DM677)*100</f>
        <v>38.84408909194746</v>
      </c>
      <c r="DN703" s="72">
        <f t="shared" si="3357"/>
        <v>-3.5298645545300644</v>
      </c>
      <c r="DO703" s="188">
        <f>(DO666+DO668)/(DO666+DO668+DO677)*100</f>
        <v>37.482553270680192</v>
      </c>
      <c r="DP703" s="72">
        <f t="shared" si="3358"/>
        <v>-5.395115063401164</v>
      </c>
      <c r="DQ703" s="188">
        <f>(DQ666+DQ668)/(DQ666+DQ668+DQ677)*100</f>
        <v>37.324576736752732</v>
      </c>
      <c r="DR703" s="72">
        <f t="shared" si="3359"/>
        <v>-7.3544046410018353</v>
      </c>
      <c r="DS703" s="188">
        <f>(DS666+DS668)/(DS666+DS668+DS677)*100</f>
        <v>35.179470135789579</v>
      </c>
      <c r="DT703" s="72">
        <f t="shared" si="3360"/>
        <v>-7.6858851570145816</v>
      </c>
      <c r="DU703" s="188">
        <f>(DU666+DU668)/(DU666+DU668+DU677)*100</f>
        <v>33.679181207110567</v>
      </c>
      <c r="DV703" s="72">
        <f t="shared" si="3361"/>
        <v>-13.296509213051934</v>
      </c>
      <c r="DW703" s="188">
        <f>(DW666+DW668)/(DW666+DW668+DW677)*100</f>
        <v>33.053407166720064</v>
      </c>
      <c r="DX703" s="72">
        <f t="shared" si="3362"/>
        <v>-11.816553883016084</v>
      </c>
      <c r="DY703" s="188">
        <f>(DY666+DY668)/(DY666+DY668+DY677)*100</f>
        <v>31.861075308414655</v>
      </c>
      <c r="DZ703" s="72">
        <f t="shared" si="3363"/>
        <v>-14.637812149543493</v>
      </c>
      <c r="EA703" s="188">
        <f>(EA666+EA668)/(EA666+EA668+EA677)*100</f>
        <v>31.372950353642171</v>
      </c>
      <c r="EB703" s="72">
        <f t="shared" si="3364"/>
        <v>-10.82028742176783</v>
      </c>
      <c r="EC703" s="188">
        <f>(EC666+EC668)/(EC666+EC668+EC677)*100</f>
        <v>30.173638154579191</v>
      </c>
      <c r="ED703" s="72">
        <f t="shared" si="3365"/>
        <v>-10.40863502878527</v>
      </c>
      <c r="EE703" s="188">
        <f>(EE666+EE668)/(EE666+EE668+EE677)*100</f>
        <v>29.117170626349893</v>
      </c>
      <c r="EF703" s="72">
        <f t="shared" si="3366"/>
        <v>-11.908716461561582</v>
      </c>
      <c r="EG703" s="188">
        <f>(EG666+EG668)/(EG666+EG668+EG677)*100</f>
        <v>28.123130722863849</v>
      </c>
      <c r="EH703" s="72">
        <f t="shared" si="3367"/>
        <v>-11.732010138915811</v>
      </c>
      <c r="EI703" s="188">
        <f>(EI666+EI668)/(EI666+EI668+EI677)*100</f>
        <v>27.307474838855594</v>
      </c>
      <c r="EJ703" s="72">
        <f t="shared" si="3368"/>
        <v>-12.958537431002583</v>
      </c>
      <c r="EK703" s="188">
        <f>(EK666+EK668)/(EK666+EK668+EK677)*100</f>
        <v>26.900291651476486</v>
      </c>
      <c r="EL703" s="72">
        <f t="shared" si="3369"/>
        <v>-10.848365339086357</v>
      </c>
      <c r="EM703" s="188">
        <f>(EM666+EM668)/(EM666+EM668+EM677)*100</f>
        <v>23.770510303112374</v>
      </c>
      <c r="EN703" s="72">
        <f t="shared" si="3370"/>
        <v>-18.362568231128208</v>
      </c>
      <c r="EO703" s="188">
        <f>(EO666+EO668)/(EO666+EO668+EO677)*100</f>
        <v>22.189504679777052</v>
      </c>
      <c r="EP703" s="72">
        <f t="shared" si="3371"/>
        <v>-21.098739331545374</v>
      </c>
      <c r="EQ703" s="13">
        <f t="shared" ref="EQ703" si="3402">(EQ666+EQ668)/(EQ666+EQ668+EQ677)*100</f>
        <v>21.575259477383575</v>
      </c>
      <c r="ER703" s="72">
        <f t="shared" si="3373"/>
        <v>-20.99137835079388</v>
      </c>
      <c r="ES703" s="13">
        <f t="shared" ref="ES703" si="3403">(ES666+ES668)/(ES666+ES668+ES677)*100</f>
        <v>21.510304807926556</v>
      </c>
      <c r="ET703" s="72">
        <f t="shared" si="3375"/>
        <v>-20.036908571041792</v>
      </c>
      <c r="EU703" s="13">
        <f t="shared" ref="EU703" si="3404">(EU666+EU668)/(EU666+EU668+EU677)*100</f>
        <v>21.453858359557785</v>
      </c>
      <c r="EV703" s="72">
        <f t="shared" si="3377"/>
        <v>-9.7459074879484575</v>
      </c>
      <c r="EW703" s="13">
        <f t="shared" ref="EW703" si="3405">(EW666+EW668)/(EW666+EW668+EW677)*100</f>
        <v>21.455573945499946</v>
      </c>
      <c r="EX703" s="72">
        <f t="shared" si="3379"/>
        <v>-3.3075579868440741</v>
      </c>
      <c r="EY703" s="72"/>
      <c r="EZ703" s="296"/>
      <c r="FA703" s="72"/>
      <c r="FB703" s="9"/>
      <c r="FC703" s="11"/>
      <c r="FD703" s="150"/>
      <c r="FE703" s="72"/>
      <c r="FF703" s="188">
        <f>(FF666+FF668)/(FF666+FF668+FF677)*100</f>
        <v>10.027173913043478</v>
      </c>
      <c r="FG703" s="72" t="str">
        <f t="shared" si="3380"/>
        <v>NA</v>
      </c>
      <c r="FH703" s="188">
        <f>(FH666+FH668)/(FH666+FH668+FH677)*100</f>
        <v>18.193509666909591</v>
      </c>
      <c r="FI703" s="72">
        <f t="shared" si="3381"/>
        <v>81.442047626632217</v>
      </c>
      <c r="FJ703" s="188">
        <f>(FJ666+FJ668)/(FJ666+FJ668+FJ677)*100</f>
        <v>16.565104400035846</v>
      </c>
      <c r="FK703" s="72">
        <f t="shared" si="3382"/>
        <v>-8.9504735297747118</v>
      </c>
      <c r="FL703" s="188">
        <f>(FL666+FL668)/(FL666+FL668+FL677)*100</f>
        <v>17.214467288052447</v>
      </c>
      <c r="FM703" s="72">
        <f t="shared" si="3383"/>
        <v>3.9200651703420277</v>
      </c>
      <c r="FN703" s="188">
        <f>(FN666+FN668)/(FN666+FN668+FN677)*100</f>
        <v>23.257746646088094</v>
      </c>
      <c r="FO703" s="72">
        <f t="shared" si="3384"/>
        <v>35.105816851096705</v>
      </c>
      <c r="FP703" s="188">
        <f>(FP666+FP668)/(FP666+FP668+FP677)*100</f>
        <v>24.089263282346856</v>
      </c>
      <c r="FQ703" s="72">
        <f t="shared" si="3385"/>
        <v>3.5752244140926877</v>
      </c>
      <c r="FR703" s="13">
        <f>(FR666+FR668)/(FR666+FR668+FR677)*100</f>
        <v>31.337674539151845</v>
      </c>
      <c r="FS703" s="72">
        <f t="shared" si="3386"/>
        <v>30.089800471884018</v>
      </c>
      <c r="FT703" s="13">
        <f>(FT666+FT668)/(FT666+FT668+FT677)*100</f>
        <v>36.755646817248461</v>
      </c>
      <c r="FU703" s="72">
        <f t="shared" si="3387"/>
        <v>17.289005511010885</v>
      </c>
      <c r="FV703" s="13">
        <f>(FV666+FV668)/(FV666+FV668+FV677)*100</f>
        <v>48.7010428432583</v>
      </c>
      <c r="FW703" s="72">
        <f t="shared" si="3388"/>
        <v>32.499485277468096</v>
      </c>
      <c r="FX703" s="13">
        <f>(FX666+FX668)/(FX666+FX668+FX677)*100</f>
        <v>43.819152561626716</v>
      </c>
      <c r="FY703" s="72">
        <f t="shared" si="3389"/>
        <v>-10.024200708275771</v>
      </c>
      <c r="FZ703" s="13">
        <f>(FZ666+FZ668)/(FZ666+FZ668+FZ677)*100</f>
        <v>44.35643564356436</v>
      </c>
      <c r="GA703" s="72">
        <f t="shared" si="3390"/>
        <v>1.2261375460924597</v>
      </c>
      <c r="GB703" s="13">
        <f>(GB666+GB668)/(GB666+GB668+GB677)*100</f>
        <v>43.494999287067401</v>
      </c>
      <c r="GC703" s="72">
        <f t="shared" si="3391"/>
        <v>-1.9420775001382395</v>
      </c>
      <c r="GD703" s="13">
        <f>(GD666+GD668)/(GD666+GD668+GD677)*100</f>
        <v>40.592840179435306</v>
      </c>
      <c r="GE703" s="72">
        <f t="shared" si="3392"/>
        <v>-6.6723971840482506</v>
      </c>
      <c r="GF703" s="13">
        <f>(GF666+GF668)/(GF666+GF668+GF677)*100</f>
        <v>40.287481117824775</v>
      </c>
      <c r="GG703" s="72">
        <f t="shared" si="3393"/>
        <v>-0.7522485745287355</v>
      </c>
      <c r="GH703" s="13">
        <f>(GH666+GH668)/(GH666+GH668+GH677)*100</f>
        <v>37.324576736752732</v>
      </c>
      <c r="GI703" s="72">
        <f t="shared" si="3394"/>
        <v>-7.3544046410018353</v>
      </c>
      <c r="GJ703" s="13">
        <f>(GJ666+GJ668)/(GJ666+GJ668+GJ677)*100</f>
        <v>31.861075308414655</v>
      </c>
      <c r="GK703" s="72">
        <f t="shared" si="3394"/>
        <v>-14.637812149543493</v>
      </c>
      <c r="GL703" s="13">
        <f>(GL666+GL668)/(GL666+GL668+GL677)*100</f>
        <v>28.123130722863849</v>
      </c>
      <c r="GM703" s="72">
        <f t="shared" si="3394"/>
        <v>-11.732010138915811</v>
      </c>
      <c r="GN703" s="13">
        <f>(GN666+GN668)/(GN666+GN668+GN677)*100</f>
        <v>22.189504679777052</v>
      </c>
      <c r="GO703" s="72">
        <f t="shared" si="3394"/>
        <v>-21.098739331545374</v>
      </c>
      <c r="GP703" s="13">
        <f>(GP666+GP668)/(GP666+GP668+GP677)*100</f>
        <v>21.455573945499946</v>
      </c>
      <c r="GQ703" s="72">
        <f t="shared" si="3394"/>
        <v>-3.3075579868440741</v>
      </c>
      <c r="GR703" s="13">
        <f>(GR666+GR668)/(GR666+GR668+GR677)*100</f>
        <v>20.977353220008592</v>
      </c>
      <c r="GS703" s="72">
        <f t="shared" si="3394"/>
        <v>-2.228888058208554</v>
      </c>
      <c r="GT703" s="13">
        <f>(GT666+GT668)/(GT666+GT668+GT677)*100</f>
        <v>20.599221418263888</v>
      </c>
      <c r="GU703" s="72">
        <f t="shared" si="3394"/>
        <v>-1.8025715531358628</v>
      </c>
      <c r="GV703" s="13">
        <f>(GV666+GV668)/(GV666+GV668+GV677)*100</f>
        <v>20.272994327789107</v>
      </c>
      <c r="GW703" s="72">
        <f t="shared" si="3395"/>
        <v>-1.5836865085858847</v>
      </c>
      <c r="GX703" s="13">
        <f>(GX666+GX668)/(GX666+GX668+GX677)*100</f>
        <v>20.000005661941316</v>
      </c>
      <c r="GY703" s="72">
        <f t="shared" si="3396"/>
        <v>-1.3465631244891796</v>
      </c>
      <c r="GZ703" s="72">
        <f t="shared" si="3397"/>
        <v>-2.0563009263142362</v>
      </c>
      <c r="HA703" s="72"/>
      <c r="HB703" s="72"/>
      <c r="HC703"/>
      <c r="HD703"/>
      <c r="HE703"/>
      <c r="HF703"/>
      <c r="HG703"/>
      <c r="HH703"/>
      <c r="HI703" s="2"/>
    </row>
    <row r="704" spans="1:217" s="3" customFormat="1" ht="12.75" customHeight="1" x14ac:dyDescent="0.2">
      <c r="B704" s="18" t="s">
        <v>705</v>
      </c>
      <c r="C704" s="188"/>
      <c r="D704" s="188"/>
      <c r="E704" s="188"/>
      <c r="F704" s="11"/>
      <c r="G704" s="188"/>
      <c r="H704" s="11"/>
      <c r="I704" s="188">
        <f>(I666+I668)/(I677)*100</f>
        <v>11.144669284204166</v>
      </c>
      <c r="J704" s="11"/>
      <c r="K704" s="188">
        <f>(K666+K668)/(K677)*100</f>
        <v>14.797238999137189</v>
      </c>
      <c r="L704" s="72" t="str">
        <f t="shared" si="3304"/>
        <v>NA</v>
      </c>
      <c r="M704" s="188">
        <f>(M666+M668)/(M677)*100</f>
        <v>21.826647564469916</v>
      </c>
      <c r="N704" s="72" t="str">
        <f t="shared" si="3305"/>
        <v>NA</v>
      </c>
      <c r="O704" s="188">
        <f>(O666+O668)/(O677)*100</f>
        <v>21.964509240851189</v>
      </c>
      <c r="P704" s="72" t="str">
        <f t="shared" si="3306"/>
        <v>NA</v>
      </c>
      <c r="Q704" s="188">
        <f>(Q666+Q668)/(Q677)*100</f>
        <v>22.239689776240635</v>
      </c>
      <c r="R704" s="72">
        <f t="shared" si="3307"/>
        <v>99.554506366213417</v>
      </c>
      <c r="S704" s="188">
        <f>(S666+S668)/(S677)*100</f>
        <v>20.944579812328271</v>
      </c>
      <c r="T704" s="72">
        <f t="shared" si="3308"/>
        <v>41.543836749203876</v>
      </c>
      <c r="U704" s="188">
        <f>(U666+U668)/(U677)*100</f>
        <v>19.113917499094249</v>
      </c>
      <c r="V704" s="72">
        <f t="shared" si="3309"/>
        <v>-12.428523699587885</v>
      </c>
      <c r="W704" s="188">
        <f>(W666+W668)/(W677)*100</f>
        <v>19.667937137785206</v>
      </c>
      <c r="X704" s="72">
        <f t="shared" si="3310"/>
        <v>-10.455831623110669</v>
      </c>
      <c r="Y704" s="188">
        <f>(Y666+Y668)/(Y677)*100</f>
        <v>19.853928360453253</v>
      </c>
      <c r="Z704" s="72">
        <f t="shared" si="3311"/>
        <v>-10.727494132297494</v>
      </c>
      <c r="AA704" s="188">
        <f>(AA666+AA668)/(AA677)*100</f>
        <v>17.595181759518177</v>
      </c>
      <c r="AB704" s="72">
        <f t="shared" si="3312"/>
        <v>-15.99171758432027</v>
      </c>
      <c r="AC704" s="188">
        <f>(AC666+AC668)/(AC677)*100</f>
        <v>18.101819359714948</v>
      </c>
      <c r="AD704" s="72">
        <f t="shared" si="3313"/>
        <v>-5.2950847958157254</v>
      </c>
      <c r="AE704" s="188">
        <f>(AE666+AE668)/(AE677)*100</f>
        <v>23.324714501185088</v>
      </c>
      <c r="AF704" s="72">
        <f t="shared" si="3314"/>
        <v>18.592582118714617</v>
      </c>
      <c r="AG704" s="188">
        <f>(AG666+AG668)/(AG677)*100</f>
        <v>20.79405268544955</v>
      </c>
      <c r="AH704" s="72">
        <f t="shared" si="3315"/>
        <v>4.7352055871669165</v>
      </c>
      <c r="AI704" s="188">
        <f>(AI666+AI668)/(AI677)*100</f>
        <v>20.588552333728575</v>
      </c>
      <c r="AJ704" s="72">
        <f t="shared" si="3316"/>
        <v>17.012444742670098</v>
      </c>
      <c r="AK704" s="188">
        <f>(AK666+AK668)/(AK677)*100</f>
        <v>23.657691282324713</v>
      </c>
      <c r="AL704" s="72">
        <f t="shared" si="3317"/>
        <v>30.692339881449641</v>
      </c>
      <c r="AM704" s="188">
        <f>(AM666+AM668)/(AM677)*100</f>
        <v>30.050013161358251</v>
      </c>
      <c r="AN704" s="72">
        <f t="shared" si="3318"/>
        <v>28.83335896707959</v>
      </c>
      <c r="AO704" s="188">
        <f>(AO666+AO668)/(AO677)*100</f>
        <v>30.306311881188119</v>
      </c>
      <c r="AP704" s="72">
        <f t="shared" si="3319"/>
        <v>45.745095194428785</v>
      </c>
      <c r="AQ704" s="188">
        <f>(AQ666+AQ668)/(AQ677)*100</f>
        <v>30.044707891696387</v>
      </c>
      <c r="AR704" s="72">
        <f t="shared" si="3320"/>
        <v>45.929191157731623</v>
      </c>
      <c r="AS704" s="188">
        <f>(AS666+AS668)/(AS677)*100</f>
        <v>34.417504435245419</v>
      </c>
      <c r="AT704" s="72">
        <f t="shared" si="3321"/>
        <v>45.481247618442154</v>
      </c>
      <c r="AU704" s="188">
        <f>(AU666+AU668)/(AU677)*100</f>
        <v>33.453493335863016</v>
      </c>
      <c r="AV704" s="72">
        <f t="shared" si="3322"/>
        <v>11.326052192487396</v>
      </c>
      <c r="AW704" s="188">
        <f>(AW666+AW668)/(AW677)*100</f>
        <v>31.733670787501218</v>
      </c>
      <c r="AX704" s="72">
        <f t="shared" si="3323"/>
        <v>4.7097743595752206</v>
      </c>
      <c r="AY704" s="188">
        <f>(AY666+AY668)/(AY677)*100</f>
        <v>35.159530820099434</v>
      </c>
      <c r="AZ704" s="72">
        <f t="shared" si="3324"/>
        <v>17.024039464256731</v>
      </c>
      <c r="BA704" s="188">
        <f>(BA666+BA668)/(BA677)*100</f>
        <v>36.4977674238012</v>
      </c>
      <c r="BB704" s="72">
        <f t="shared" si="3325"/>
        <v>6.0442005389137847</v>
      </c>
      <c r="BC704" s="188">
        <f>(BC666+BC668)/(BC677)*100</f>
        <v>35.154483798040694</v>
      </c>
      <c r="BD704" s="72">
        <f t="shared" si="3326"/>
        <v>5.0846422677005592</v>
      </c>
      <c r="BE704" s="188">
        <f>(BE666+BE668)/(BE677)*100</f>
        <v>45.640275549683871</v>
      </c>
      <c r="BF704" s="72">
        <f t="shared" si="3327"/>
        <v>43.822868319601952</v>
      </c>
      <c r="BG704" s="188">
        <f>(BG666+BG668)/(BG677)*100</f>
        <v>46.699096594857544</v>
      </c>
      <c r="BH704" s="72">
        <f t="shared" si="3328"/>
        <v>32.820590905500239</v>
      </c>
      <c r="BI704" s="188">
        <f>(BI666+BI668)/(BI677)*100</f>
        <v>43.054728646668195</v>
      </c>
      <c r="BJ704" s="72">
        <f t="shared" si="3329"/>
        <v>17.965376201589308</v>
      </c>
      <c r="BK704" s="188">
        <f>(BK666+BK668)/(BK677)*100</f>
        <v>43.716164824840057</v>
      </c>
      <c r="BL704" s="72">
        <f t="shared" si="3330"/>
        <v>24.354449566050931</v>
      </c>
      <c r="BM704" s="188">
        <f>(BM666+BM668)/(BM677)*100</f>
        <v>58.116883116883123</v>
      </c>
      <c r="BN704" s="72">
        <f t="shared" si="3331"/>
        <v>27.336836635916569</v>
      </c>
      <c r="BO704" s="188">
        <f>(BO666+BO668)/(BO677)*100</f>
        <v>59.304502897904584</v>
      </c>
      <c r="BP704" s="72">
        <f t="shared" si="3332"/>
        <v>26.992826890006967</v>
      </c>
      <c r="BQ704" s="188">
        <f>(BQ666+BQ668)/(BQ677)*100</f>
        <v>66.425709806653884</v>
      </c>
      <c r="BR704" s="72">
        <f t="shared" si="3333"/>
        <v>54.282031020985784</v>
      </c>
      <c r="BS704" s="188">
        <f>(BS666+BS668)/(BS677)*100</f>
        <v>67.512669095782556</v>
      </c>
      <c r="BT704" s="72">
        <f t="shared" si="3334"/>
        <v>54.434107763773994</v>
      </c>
      <c r="BU704" s="188">
        <f>(BU666+BU668)/(BU677)*100</f>
        <v>94.935736596855961</v>
      </c>
      <c r="BV704" s="72">
        <f t="shared" si="3335"/>
        <v>63.353111015819167</v>
      </c>
      <c r="BW704" s="188">
        <f>(BW666+BW668)/(BW677)*100</f>
        <v>93.447969166913722</v>
      </c>
      <c r="BX704" s="72">
        <f t="shared" si="3336"/>
        <v>57.573143017130889</v>
      </c>
      <c r="BY704" s="188">
        <f>(BY666+BY668)/(BY677)*100</f>
        <v>86.649544922051007</v>
      </c>
      <c r="BZ704" s="72">
        <f t="shared" si="3337"/>
        <v>30.445794518813386</v>
      </c>
      <c r="CA704" s="188">
        <f>(CA666+CA668)/(CA677)*100</f>
        <v>90.020567315108408</v>
      </c>
      <c r="CB704" s="72">
        <f t="shared" si="3338"/>
        <v>33.338777033675143</v>
      </c>
      <c r="CC704" s="188">
        <f>(CC666+CC668)/(CC677)*100</f>
        <v>77.996603041087027</v>
      </c>
      <c r="CD704" s="72">
        <f t="shared" si="3339"/>
        <v>-17.842736742751427</v>
      </c>
      <c r="CE704" s="188">
        <f>(CE666+CE668)/(CE677)*100</f>
        <v>86.667247614483031</v>
      </c>
      <c r="CF704" s="72">
        <f t="shared" si="3340"/>
        <v>-7.2561465089938935</v>
      </c>
      <c r="CG704" s="188">
        <f>(CG666+CG668)/(CG677)*100</f>
        <v>86.556841046277668</v>
      </c>
      <c r="CH704" s="72">
        <f t="shared" si="3341"/>
        <v>-0.10698714673773679</v>
      </c>
      <c r="CI704" s="188">
        <f>(CI666+CI668)/(CI677)*100</f>
        <v>76.299467808411023</v>
      </c>
      <c r="CJ704" s="72">
        <f t="shared" si="3342"/>
        <v>-15.242182887681651</v>
      </c>
      <c r="CK704" s="188">
        <f>(CK666+CK668)/(CK677)*100</f>
        <v>79.715302491103202</v>
      </c>
      <c r="CL704" s="72">
        <f t="shared" si="3343"/>
        <v>2.2035567999170382</v>
      </c>
      <c r="CM704" s="188">
        <f>(CM666+CM668)/(CM677)*100</f>
        <v>79.233763260322064</v>
      </c>
      <c r="CN704" s="72">
        <f t="shared" si="3344"/>
        <v>-8.5770398377330537</v>
      </c>
      <c r="CO704" s="188">
        <f>(CO666+CO668)/(CO677)*100</f>
        <v>78.770516043176116</v>
      </c>
      <c r="CP704" s="72">
        <f t="shared" si="3345"/>
        <v>-8.995620576008065</v>
      </c>
      <c r="CQ704" s="188">
        <f>(CQ666+CQ668)/(CQ677)*100</f>
        <v>73.975497922338434</v>
      </c>
      <c r="CR704" s="72">
        <f t="shared" si="3346"/>
        <v>-3.0458533366289089</v>
      </c>
      <c r="CS704" s="188">
        <f>(CS666+CS668)/(CS677)*100</f>
        <v>76.975486661860131</v>
      </c>
      <c r="CT704" s="72">
        <f t="shared" si="3347"/>
        <v>-3.4370011072201123</v>
      </c>
      <c r="CU704" s="188">
        <f>(CU666+CU668)/(CU677)*100</f>
        <v>79.250666366332538</v>
      </c>
      <c r="CV704" s="72">
        <f t="shared" si="3348"/>
        <v>2.1333211139975106E-2</v>
      </c>
      <c r="CW704" s="188">
        <f>(CW666+CW668)/(CW677)*100</f>
        <v>73.308467249973859</v>
      </c>
      <c r="CX704" s="72">
        <f t="shared" si="3349"/>
        <v>-6.934128488136821</v>
      </c>
      <c r="CY704" s="188">
        <f>(CY666+CY668)/(CY677)*100</f>
        <v>69.974263654561057</v>
      </c>
      <c r="CZ704" s="72">
        <f t="shared" si="3350"/>
        <v>-5.4088642593227121</v>
      </c>
      <c r="DA704" s="188">
        <f>(DA666+DA668)/(DA677)*100</f>
        <v>68.329878590464915</v>
      </c>
      <c r="DB704" s="72">
        <f t="shared" si="3351"/>
        <v>-11.23163807898203</v>
      </c>
      <c r="DC704" s="188">
        <f>(DC666+DC668)/(DC677)*100</f>
        <v>68.791779670728445</v>
      </c>
      <c r="DD704" s="72">
        <f t="shared" si="3352"/>
        <v>-13.19722240221725</v>
      </c>
      <c r="DE704" s="188">
        <f>(DE666+DE668)/(DE677)*100</f>
        <v>67.407173578502949</v>
      </c>
      <c r="DF704" s="72">
        <f t="shared" si="3353"/>
        <v>-8.0499482431519738</v>
      </c>
      <c r="DG704" s="188">
        <f>(DG666+DG668)/(DG677)*100</f>
        <v>65.618037950372582</v>
      </c>
      <c r="DH704" s="72">
        <f t="shared" si="3354"/>
        <v>-6.225468446075638</v>
      </c>
      <c r="DI704" s="188">
        <f>(DI666+DI668)/(DI677)*100</f>
        <v>67.469069923712397</v>
      </c>
      <c r="DJ704" s="72">
        <f t="shared" si="3355"/>
        <v>-1.2597836912776756</v>
      </c>
      <c r="DK704" s="188">
        <f>(DK666+DK668)/(DK677)*100</f>
        <v>61.572921851667495</v>
      </c>
      <c r="DL704" s="72">
        <f t="shared" si="3356"/>
        <v>-10.4937797126546</v>
      </c>
      <c r="DM704" s="188">
        <f>(DM666+DM668)/(DM677)*100</f>
        <v>63.516491726121551</v>
      </c>
      <c r="DN704" s="72">
        <f t="shared" si="3357"/>
        <v>-5.7719106822514732</v>
      </c>
      <c r="DO704" s="188">
        <f>(DO666+DO668)/(DO677)*100</f>
        <v>59.9553488372093</v>
      </c>
      <c r="DP704" s="72">
        <f t="shared" si="3358"/>
        <v>-8.6297751198321606</v>
      </c>
      <c r="DQ704" s="188">
        <f>(DQ666+DQ668)/(DQ677)*100</f>
        <v>59.552173393362281</v>
      </c>
      <c r="DR704" s="72">
        <f t="shared" si="3359"/>
        <v>-11.734112444860713</v>
      </c>
      <c r="DS704" s="188">
        <f>(DS666+DS668)/(DS677)*100</f>
        <v>54.272111334920346</v>
      </c>
      <c r="DT704" s="72">
        <f t="shared" si="3360"/>
        <v>-11.857177306503658</v>
      </c>
      <c r="DU704" s="188">
        <f>(DU666+DU668)/(DU677)*100</f>
        <v>50.782215630186812</v>
      </c>
      <c r="DV704" s="72">
        <f t="shared" si="3361"/>
        <v>-20.048771192911602</v>
      </c>
      <c r="DW704" s="188">
        <f>(DW666+DW668)/(DW677)*100</f>
        <v>49.372799671873395</v>
      </c>
      <c r="DX704" s="72">
        <f t="shared" si="3362"/>
        <v>-17.650717359796587</v>
      </c>
      <c r="DY704" s="188">
        <f>(DY666+DY668)/(DY677)*100</f>
        <v>46.758993413274787</v>
      </c>
      <c r="DZ704" s="72">
        <f t="shared" si="3363"/>
        <v>-21.482305768396074</v>
      </c>
      <c r="EA704" s="188">
        <f>(EA666+EA668)/(EA677)*100</f>
        <v>45.715137857900316</v>
      </c>
      <c r="EB704" s="72">
        <f t="shared" si="3364"/>
        <v>-15.766796733250004</v>
      </c>
      <c r="EC704" s="188">
        <f>(EC666+EC668)/(EC677)*100</f>
        <v>43.212387638606394</v>
      </c>
      <c r="ED704" s="72">
        <f t="shared" si="3365"/>
        <v>-14.906454745311734</v>
      </c>
      <c r="EE704" s="188">
        <f>(EE666+EE668)/(EE677)*100</f>
        <v>41.077889925728435</v>
      </c>
      <c r="EF704" s="72">
        <f t="shared" si="3366"/>
        <v>-16.800565901208941</v>
      </c>
      <c r="EG704" s="188">
        <f>(EG666+EG668)/(EG677)*100</f>
        <v>39.126816465015047</v>
      </c>
      <c r="EH704" s="72">
        <f t="shared" si="3367"/>
        <v>-16.322372213626352</v>
      </c>
      <c r="EI704" s="188">
        <f>(EI666+EI668)/(EI677)*100</f>
        <v>37.565726019725581</v>
      </c>
      <c r="EJ704" s="72">
        <f t="shared" si="3368"/>
        <v>-17.826506098496623</v>
      </c>
      <c r="EK704" s="188">
        <f>(EK666+EK668)/(EK677)*100</f>
        <v>36.799451405772707</v>
      </c>
      <c r="EL704" s="72">
        <f t="shared" si="3369"/>
        <v>-14.840504270364136</v>
      </c>
      <c r="EM704" s="188">
        <f>(EM666+EM668)/(EM677)*100</f>
        <v>31.182827535159142</v>
      </c>
      <c r="EN704" s="72">
        <f t="shared" si="3370"/>
        <v>-24.088536213666828</v>
      </c>
      <c r="EO704" s="188">
        <f>(EO666+EO668)/(EO677)*100</f>
        <v>28.517367211785377</v>
      </c>
      <c r="EP704" s="72">
        <f t="shared" si="3371"/>
        <v>-27.115544303779558</v>
      </c>
      <c r="EQ704" s="13">
        <f t="shared" ref="EQ704" si="3406">(EQ666+EQ668)/(EQ677)*100</f>
        <v>27.510782099638082</v>
      </c>
      <c r="ER704" s="72">
        <f t="shared" si="3373"/>
        <v>-26.766270708591378</v>
      </c>
      <c r="ES704" s="13">
        <f t="shared" ref="ES704" si="3407">(ES666+ES668)/(ES677)*100</f>
        <v>27.405259703567875</v>
      </c>
      <c r="ET704" s="72">
        <f t="shared" si="3375"/>
        <v>-25.528075401502235</v>
      </c>
      <c r="EU704" s="13">
        <f t="shared" ref="EU704" si="3408">(EU666+EU668)/(EU677)*100</f>
        <v>27.313701108026823</v>
      </c>
      <c r="EV704" s="72">
        <f t="shared" si="3377"/>
        <v>-12.407875529471525</v>
      </c>
      <c r="EW704" s="13">
        <f t="shared" ref="EW704" si="3409">(EW666+EW668)/(EW677)*100</f>
        <v>27.316481924016419</v>
      </c>
      <c r="EX704" s="72">
        <f t="shared" si="3379"/>
        <v>-4.2110664664466952</v>
      </c>
      <c r="EY704" s="72"/>
      <c r="EZ704" s="296"/>
      <c r="FA704" s="72"/>
      <c r="FB704" s="9"/>
      <c r="FC704" s="11"/>
      <c r="FD704" s="150"/>
      <c r="FE704" s="72"/>
      <c r="FF704" s="188">
        <f>(FF666+FF668)/(FF677)*100</f>
        <v>11.144669284204166</v>
      </c>
      <c r="FG704" s="72" t="str">
        <f t="shared" si="3380"/>
        <v>NA</v>
      </c>
      <c r="FH704" s="188">
        <f>(FH666+FH668)/(FH677)*100</f>
        <v>22.239689776240635</v>
      </c>
      <c r="FI704" s="72">
        <f t="shared" si="3381"/>
        <v>99.554506366213417</v>
      </c>
      <c r="FJ704" s="188">
        <f>(FJ666+FJ668)/(FJ677)*100</f>
        <v>19.853928360453253</v>
      </c>
      <c r="FK704" s="72">
        <f t="shared" si="3382"/>
        <v>-10.727494132297494</v>
      </c>
      <c r="FL704" s="188">
        <f>(FL666+FL668)/(FL677)*100</f>
        <v>20.79405268544955</v>
      </c>
      <c r="FM704" s="72">
        <f t="shared" si="3383"/>
        <v>4.7352055871669165</v>
      </c>
      <c r="FN704" s="188">
        <f>(FN666+FN668)/(FN677)*100</f>
        <v>30.306311881188119</v>
      </c>
      <c r="FO704" s="72">
        <f t="shared" si="3384"/>
        <v>45.745095194428785</v>
      </c>
      <c r="FP704" s="188">
        <f>(FP666+FP668)/(FP677)*100</f>
        <v>31.733670787501218</v>
      </c>
      <c r="FQ704" s="72">
        <f t="shared" si="3385"/>
        <v>4.7097743595752206</v>
      </c>
      <c r="FR704" s="13">
        <f>(FR666+FR668)/(FR677)*100</f>
        <v>45.640275549683871</v>
      </c>
      <c r="FS704" s="72">
        <f t="shared" si="3386"/>
        <v>43.822868319601952</v>
      </c>
      <c r="FT704" s="13">
        <f>(FT666+FT668)/(FT677)*100</f>
        <v>58.116883116883123</v>
      </c>
      <c r="FU704" s="72">
        <f t="shared" si="3387"/>
        <v>27.336836635916569</v>
      </c>
      <c r="FV704" s="13">
        <f>(FV666+FV668)/(FV677)*100</f>
        <v>94.935736596855961</v>
      </c>
      <c r="FW704" s="72">
        <f t="shared" si="3388"/>
        <v>63.353111015819167</v>
      </c>
      <c r="FX704" s="13">
        <f>(FX666+FX668)/(FX677)*100</f>
        <v>77.996603041087027</v>
      </c>
      <c r="FY704" s="72">
        <f t="shared" si="3389"/>
        <v>-17.842736742751427</v>
      </c>
      <c r="FZ704" s="13">
        <f>(FZ666+FZ668)/(FZ677)*100</f>
        <v>79.715302491103202</v>
      </c>
      <c r="GA704" s="72">
        <f t="shared" si="3390"/>
        <v>2.2035567999170382</v>
      </c>
      <c r="GB704" s="13">
        <f>(GB666+GB668)/(GB677)*100</f>
        <v>76.975486661860131</v>
      </c>
      <c r="GC704" s="72">
        <f t="shared" si="3391"/>
        <v>-3.4370011072201123</v>
      </c>
      <c r="GD704" s="13">
        <f>(GD666+GD668)/(GD677)*100</f>
        <v>68.329878590464915</v>
      </c>
      <c r="GE704" s="72">
        <f t="shared" si="3392"/>
        <v>-11.23163807898203</v>
      </c>
      <c r="GF704" s="13">
        <f>(GF666+GF668)/(GF677)*100</f>
        <v>67.469069923712397</v>
      </c>
      <c r="GG704" s="72">
        <f t="shared" si="3393"/>
        <v>-1.2597836912776756</v>
      </c>
      <c r="GH704" s="13">
        <f>(GH666+GH668)/(GH677)*100</f>
        <v>59.552173393362281</v>
      </c>
      <c r="GI704" s="72">
        <f t="shared" si="3394"/>
        <v>-11.734112444860713</v>
      </c>
      <c r="GJ704" s="13">
        <f>(GJ666+GJ668)/(GJ677)*100</f>
        <v>46.758993413274787</v>
      </c>
      <c r="GK704" s="72">
        <f t="shared" si="3394"/>
        <v>-21.482305768396074</v>
      </c>
      <c r="GL704" s="13">
        <f>(GL666+GL668)/(GL677)*100</f>
        <v>39.126816465015047</v>
      </c>
      <c r="GM704" s="72">
        <f t="shared" si="3394"/>
        <v>-16.322372213626352</v>
      </c>
      <c r="GN704" s="13">
        <f>(GN666+GN668)/(GN677)*100</f>
        <v>28.517367211785377</v>
      </c>
      <c r="GO704" s="72">
        <f t="shared" si="3394"/>
        <v>-27.115544303779558</v>
      </c>
      <c r="GP704" s="13">
        <f>(GP666+GP668)/(GP677)*100</f>
        <v>27.316481924016419</v>
      </c>
      <c r="GQ704" s="72">
        <f t="shared" si="3394"/>
        <v>-4.2110664664466952</v>
      </c>
      <c r="GR704" s="13">
        <f>(GR666+GR668)/(GR677)*100</f>
        <v>26.546001778973665</v>
      </c>
      <c r="GS704" s="72">
        <f t="shared" si="3394"/>
        <v>-2.8205687217919291</v>
      </c>
      <c r="GT704" s="13">
        <f>(GT666+GT668)/(GT677)*100</f>
        <v>25.943349405646956</v>
      </c>
      <c r="GU704" s="72">
        <f t="shared" si="3394"/>
        <v>-2.2702189894526867</v>
      </c>
      <c r="GV704" s="13">
        <f>(GV666+GV668)/(GV677)*100</f>
        <v>25.428014205298727</v>
      </c>
      <c r="GW704" s="72">
        <f t="shared" si="3395"/>
        <v>-1.9863865389565376</v>
      </c>
      <c r="GX704" s="13">
        <f>(GX666+GX668)/(GX677)*100</f>
        <v>25.000008846783935</v>
      </c>
      <c r="GY704" s="72">
        <f t="shared" si="3396"/>
        <v>-1.6832040247389983</v>
      </c>
      <c r="GZ704" s="72">
        <f t="shared" si="3397"/>
        <v>-2.5983874730653445</v>
      </c>
      <c r="HA704" s="72"/>
      <c r="HB704" s="72"/>
      <c r="HC704"/>
      <c r="HD704"/>
      <c r="HE704"/>
      <c r="HF704"/>
      <c r="HG704"/>
      <c r="HH704"/>
      <c r="HI704" s="2"/>
    </row>
    <row r="705" spans="1:217" s="3" customFormat="1" ht="12.75" customHeight="1" x14ac:dyDescent="0.2">
      <c r="B705" s="4" t="s">
        <v>713</v>
      </c>
      <c r="C705" s="169"/>
      <c r="D705" s="188"/>
      <c r="E705" s="169"/>
      <c r="F705" s="11"/>
      <c r="G705" s="169"/>
      <c r="H705" s="11"/>
      <c r="I705" s="169">
        <f>I677/I658*100</f>
        <v>6.5457744564545868</v>
      </c>
      <c r="J705" s="11"/>
      <c r="K705" s="169"/>
      <c r="L705" s="72" t="str">
        <f t="shared" si="3304"/>
        <v>NA</v>
      </c>
      <c r="M705" s="169">
        <f>M677/M658*100</f>
        <v>6.0855994489829719</v>
      </c>
      <c r="N705" s="72" t="str">
        <f t="shared" si="3305"/>
        <v>NA</v>
      </c>
      <c r="O705" s="169">
        <f>O677/O658*100</f>
        <v>6.1006670709520918</v>
      </c>
      <c r="P705" s="72" t="str">
        <f t="shared" si="3306"/>
        <v>NA</v>
      </c>
      <c r="Q705" s="169">
        <f>Q677/Q658*100</f>
        <v>8.2702758925553219</v>
      </c>
      <c r="R705" s="72">
        <f t="shared" si="3307"/>
        <v>26.345262085837035</v>
      </c>
      <c r="S705" s="169">
        <f>S677/S658*100</f>
        <v>8.277794705198243</v>
      </c>
      <c r="T705" s="72" t="str">
        <f t="shared" si="3308"/>
        <v>NA</v>
      </c>
      <c r="U705" s="169">
        <f>U677/U658*100</f>
        <v>8.4342451042876228</v>
      </c>
      <c r="V705" s="72">
        <f t="shared" si="3309"/>
        <v>38.593497238750359</v>
      </c>
      <c r="W705" s="169">
        <f>W677/W658*100</f>
        <v>8.6075096060939718</v>
      </c>
      <c r="X705" s="72">
        <f t="shared" si="3310"/>
        <v>41.091285690347519</v>
      </c>
      <c r="Y705" s="169">
        <f>Y677/Y658*100</f>
        <v>8.4170700947886576</v>
      </c>
      <c r="Z705" s="72">
        <f t="shared" si="3311"/>
        <v>1.7749613693719226</v>
      </c>
      <c r="AA705" s="169">
        <f>AA677/AA658*100</f>
        <v>8.314071239197208</v>
      </c>
      <c r="AB705" s="72">
        <f t="shared" si="3312"/>
        <v>0.43823911187584486</v>
      </c>
      <c r="AC705" s="169">
        <f>AC677/AC658*100</f>
        <v>7.1686488201897145</v>
      </c>
      <c r="AD705" s="72">
        <f t="shared" si="3313"/>
        <v>-15.00544824639411</v>
      </c>
      <c r="AE705" s="169">
        <f>AE677/AE658*100</f>
        <v>7.5301485829253352</v>
      </c>
      <c r="AF705" s="72">
        <f t="shared" si="3314"/>
        <v>-12.51652420353831</v>
      </c>
      <c r="AG705" s="169">
        <f>AG677/AG658*100</f>
        <v>7.4026662838320156</v>
      </c>
      <c r="AH705" s="72">
        <f t="shared" si="3315"/>
        <v>-12.051744841529839</v>
      </c>
      <c r="AI705" s="169">
        <f>AI677/AI658*100</f>
        <v>7.1106103459112262</v>
      </c>
      <c r="AJ705" s="72">
        <f t="shared" si="3316"/>
        <v>-14.474988951407951</v>
      </c>
      <c r="AK705" s="169">
        <f>AK677/AK658*100</f>
        <v>6.1807120918522038</v>
      </c>
      <c r="AL705" s="72">
        <f t="shared" si="3317"/>
        <v>-13.781352010927009</v>
      </c>
      <c r="AM705" s="169">
        <f>AM677/AM658*100</f>
        <v>6.1753681000542926</v>
      </c>
      <c r="AN705" s="72">
        <f t="shared" si="3318"/>
        <v>-17.991417671930364</v>
      </c>
      <c r="AO705" s="169">
        <f>AO677/AO658*100</f>
        <v>5.9224691614416471</v>
      </c>
      <c r="AP705" s="72">
        <f t="shared" si="3319"/>
        <v>-19.995459279627809</v>
      </c>
      <c r="AQ705" s="169">
        <f>AQ677/AQ658*100</f>
        <v>6.0655457985728125</v>
      </c>
      <c r="AR705" s="72">
        <f t="shared" si="3320"/>
        <v>-14.697255179217507</v>
      </c>
      <c r="AS705" s="169">
        <f>AS677/AS658*100</f>
        <v>6.0734125083804233</v>
      </c>
      <c r="AT705" s="72">
        <f t="shared" si="3321"/>
        <v>-1.7360391792594498</v>
      </c>
      <c r="AU705" s="169">
        <f>AU677/AU658*100</f>
        <v>6.203619243784023</v>
      </c>
      <c r="AV705" s="72">
        <f t="shared" si="3322"/>
        <v>0.45748112941610941</v>
      </c>
      <c r="AW705" s="169">
        <f>AW677/AW658*100</f>
        <v>5.969498784077075</v>
      </c>
      <c r="AX705" s="72">
        <f t="shared" si="3323"/>
        <v>0.79408809659346957</v>
      </c>
      <c r="AY705" s="169">
        <f>AY677/AY658*100</f>
        <v>5.7486701500364896</v>
      </c>
      <c r="AZ705" s="72">
        <f t="shared" si="3324"/>
        <v>-5.2241901892964222</v>
      </c>
      <c r="BA705" s="169">
        <f>BA677/BA658*100</f>
        <v>5.5716452903047857</v>
      </c>
      <c r="BB705" s="72">
        <f t="shared" si="3325"/>
        <v>-8.2617015949974046</v>
      </c>
      <c r="BC705" s="169">
        <f>BC677/BC658*100</f>
        <v>5.6988713378873488</v>
      </c>
      <c r="BD705" s="72">
        <f t="shared" si="3326"/>
        <v>-8.1363456727688117</v>
      </c>
      <c r="BE705" s="169">
        <f>BE677/BE658*100</f>
        <v>5.580731546115949</v>
      </c>
      <c r="BF705" s="72">
        <f t="shared" si="3327"/>
        <v>-6.5125608032305138</v>
      </c>
      <c r="BG705" s="169">
        <f>BG677/BG658*100</f>
        <v>5.5964779913349876</v>
      </c>
      <c r="BH705" s="72">
        <f t="shared" si="3328"/>
        <v>-2.6474324448852826</v>
      </c>
      <c r="BI705" s="169">
        <f>BI677/BI658*100</f>
        <v>5.5986461712029332</v>
      </c>
      <c r="BJ705" s="72">
        <f t="shared" si="3329"/>
        <v>0.48461234503085393</v>
      </c>
      <c r="BK705" s="169">
        <f>BK677/BK658*100</f>
        <v>5.5113353355722898</v>
      </c>
      <c r="BL705" s="72">
        <f t="shared" si="3330"/>
        <v>-3.2907569095002742</v>
      </c>
      <c r="BM705" s="169">
        <f>BM677/BM658*100</f>
        <v>5.1636165725559557</v>
      </c>
      <c r="BN705" s="72">
        <f t="shared" si="3331"/>
        <v>-7.4741988592928266</v>
      </c>
      <c r="BO705" s="169">
        <f>BO677/BO658*100</f>
        <v>5.5104743233515867</v>
      </c>
      <c r="BP705" s="72">
        <f t="shared" si="3332"/>
        <v>-1.5367462914454393</v>
      </c>
      <c r="BQ705" s="169">
        <f>BQ677/BQ658*100</f>
        <v>5.6307499166323387</v>
      </c>
      <c r="BR705" s="72">
        <f t="shared" si="3333"/>
        <v>0.57341979556653655</v>
      </c>
      <c r="BS705" s="169">
        <f>BS677/BS658*100</f>
        <v>6.0276275730449402</v>
      </c>
      <c r="BT705" s="72">
        <f t="shared" si="3334"/>
        <v>9.3678247835928374</v>
      </c>
      <c r="BU705" s="169">
        <f>BU677/BU658*100</f>
        <v>5.0742731829248333</v>
      </c>
      <c r="BV705" s="72">
        <f t="shared" si="3335"/>
        <v>-1.7302483322633293</v>
      </c>
      <c r="BW705" s="169">
        <f>BW677/BW658*100</f>
        <v>5.489015459723352</v>
      </c>
      <c r="BX705" s="72">
        <f t="shared" si="3336"/>
        <v>-0.38941953757590397</v>
      </c>
      <c r="BY705" s="169">
        <f>BY677/BY658*100</f>
        <v>5.7830157460413414</v>
      </c>
      <c r="BZ705" s="72">
        <f t="shared" si="3337"/>
        <v>2.7041838416448627</v>
      </c>
      <c r="CA705" s="169">
        <f>CA677/CA658*100</f>
        <v>5.7044945687775597</v>
      </c>
      <c r="CB705" s="72">
        <f t="shared" si="3338"/>
        <v>-5.3608654541366292</v>
      </c>
      <c r="CC705" s="169">
        <f>CC677/CC658*100</f>
        <v>5.946446392285587</v>
      </c>
      <c r="CD705" s="72">
        <f t="shared" si="3339"/>
        <v>17.188140604957127</v>
      </c>
      <c r="CE705" s="169">
        <f>CE677/CE658*100</f>
        <v>5.3925208172778714</v>
      </c>
      <c r="CF705" s="72">
        <f t="shared" si="3340"/>
        <v>-1.7579590211309721</v>
      </c>
      <c r="CG705" s="169">
        <f>CG677/CG658*100</f>
        <v>5.581917731292994</v>
      </c>
      <c r="CH705" s="72">
        <f t="shared" si="3341"/>
        <v>-3.4773900604715777</v>
      </c>
      <c r="CI705" s="169">
        <f>CI677/CI658*100</f>
        <v>5.5078526184945371</v>
      </c>
      <c r="CJ705" s="72">
        <f t="shared" si="3342"/>
        <v>-3.4471406346725928</v>
      </c>
      <c r="CK705" s="169">
        <f>CK677/CK658*100</f>
        <v>5.4646011552787863</v>
      </c>
      <c r="CL705" s="72">
        <f t="shared" si="3343"/>
        <v>-8.103078800675064</v>
      </c>
      <c r="CM705" s="169">
        <f>CM677/CM658*100</f>
        <v>4.993759230146253</v>
      </c>
      <c r="CN705" s="72">
        <f t="shared" si="3344"/>
        <v>-7.3947157673266446</v>
      </c>
      <c r="CO705" s="169">
        <f>CO677/CO658*100</f>
        <v>5.0341103216754064</v>
      </c>
      <c r="CP705" s="72">
        <f t="shared" si="3345"/>
        <v>-9.813964232158142</v>
      </c>
      <c r="CQ705" s="169">
        <f>CQ677/CQ658*100</f>
        <v>5.243918474687705</v>
      </c>
      <c r="CR705" s="72">
        <f t="shared" si="3346"/>
        <v>-4.7919608981652999</v>
      </c>
      <c r="CS705" s="169">
        <f>CS677/CS658*100</f>
        <v>5.0813026745530046</v>
      </c>
      <c r="CT705" s="72">
        <f t="shared" si="3347"/>
        <v>-7.0142078046357881</v>
      </c>
      <c r="CU705" s="169">
        <f>CU677/CU658*100</f>
        <v>4.7485938906666432</v>
      </c>
      <c r="CV705" s="72">
        <f t="shared" si="3348"/>
        <v>-4.9094345197821951</v>
      </c>
      <c r="CW705" s="169">
        <f>CW677/CW658*100</f>
        <v>5.0405535524771405</v>
      </c>
      <c r="CX705" s="72">
        <f t="shared" si="3349"/>
        <v>0.12799145012756696</v>
      </c>
      <c r="CY705" s="169">
        <f>CY677/CY658*100</f>
        <v>4.7323905541646925</v>
      </c>
      <c r="CZ705" s="72">
        <f t="shared" si="3350"/>
        <v>-9.7546886549085059</v>
      </c>
      <c r="DA705" s="169">
        <f>DA677/DA658*100</f>
        <v>4.2933310025347433</v>
      </c>
      <c r="DB705" s="72">
        <f t="shared" si="3351"/>
        <v>-15.507276824197021</v>
      </c>
      <c r="DC705" s="169">
        <f>DC677/DC658*100</f>
        <v>4.0837624463576221</v>
      </c>
      <c r="DD705" s="72">
        <f t="shared" si="3352"/>
        <v>-14.000595957800201</v>
      </c>
      <c r="DE705" s="169">
        <f>DE677/DE658*100</f>
        <v>4.031074088860823</v>
      </c>
      <c r="DF705" s="72">
        <f t="shared" si="3353"/>
        <v>-20.027154817554049</v>
      </c>
      <c r="DG705" s="169">
        <f>DG677/DG658*100</f>
        <v>4.0215582959121727</v>
      </c>
      <c r="DH705" s="72">
        <f t="shared" si="3354"/>
        <v>-15.020574699333693</v>
      </c>
      <c r="DI705" s="169">
        <f>DI677/DI658*100</f>
        <v>3.8636637838217571</v>
      </c>
      <c r="DJ705" s="72">
        <f t="shared" si="3355"/>
        <v>-10.007782266480618</v>
      </c>
      <c r="DK705" s="169">
        <f>DK677/DK658*100</f>
        <v>3.9206119979704148</v>
      </c>
      <c r="DL705" s="72">
        <f t="shared" si="3356"/>
        <v>-3.995101344171573</v>
      </c>
      <c r="DM705" s="169">
        <f>DM677/DM658*100</f>
        <v>3.9290594238866738</v>
      </c>
      <c r="DN705" s="72">
        <f t="shared" si="3357"/>
        <v>-2.5307067725708521</v>
      </c>
      <c r="DO705" s="169">
        <f>DO677/DO658*100</f>
        <v>3.9509973419895088</v>
      </c>
      <c r="DP705" s="72">
        <f t="shared" si="3358"/>
        <v>-1.7545674768506387</v>
      </c>
      <c r="DQ705" s="169">
        <f>DQ677/DQ658*100</f>
        <v>3.6916700250925896</v>
      </c>
      <c r="DR705" s="72">
        <f t="shared" si="3359"/>
        <v>-4.4515715743526556</v>
      </c>
      <c r="DS705" s="169">
        <f>DS677/DS658*100</f>
        <v>3.9311300001151768</v>
      </c>
      <c r="DT705" s="72">
        <f t="shared" si="3360"/>
        <v>0.26827449771124634</v>
      </c>
      <c r="DU705" s="169">
        <f>DU677/DU658*100</f>
        <v>4.1312632033520469</v>
      </c>
      <c r="DV705" s="72">
        <f t="shared" si="3361"/>
        <v>5.1463660293880338</v>
      </c>
      <c r="DW705" s="169">
        <f>DW677/DW658*100</f>
        <v>4.3160638654123327</v>
      </c>
      <c r="DX705" s="72">
        <f t="shared" si="3362"/>
        <v>9.2398574796052912</v>
      </c>
      <c r="DY705" s="169">
        <f>DY677/DY658*100</f>
        <v>4.3347057583282576</v>
      </c>
      <c r="DZ705" s="72">
        <f t="shared" si="3363"/>
        <v>17.418559320440366</v>
      </c>
      <c r="EA705" s="169">
        <f>EA677/EA658*100</f>
        <v>4.3705146680763853</v>
      </c>
      <c r="EB705" s="72">
        <f t="shared" si="3364"/>
        <v>11.177057689476939</v>
      </c>
      <c r="EC705" s="169">
        <f>EC677/EC658*100</f>
        <v>4.3046680270859961</v>
      </c>
      <c r="ED705" s="72">
        <f t="shared" si="3365"/>
        <v>4.1973802006430248</v>
      </c>
      <c r="EE705" s="169">
        <f>EE677/EE658*100</f>
        <v>4.3071875320414232</v>
      </c>
      <c r="EF705" s="72">
        <f t="shared" si="3366"/>
        <v>-0.2056580636362213</v>
      </c>
      <c r="EG705" s="169">
        <f>EG677/EG658*100</f>
        <v>4.4171414836912728</v>
      </c>
      <c r="EH705" s="72">
        <f t="shared" si="3367"/>
        <v>1.9017605798186281</v>
      </c>
      <c r="EI705" s="169">
        <f>EI677/EI658*100</f>
        <v>4.4663477973280568</v>
      </c>
      <c r="EJ705" s="72">
        <f t="shared" si="3368"/>
        <v>2.1927195428874029</v>
      </c>
      <c r="EK705" s="169">
        <f>EK677/EK658*100</f>
        <v>4.3803752851913496</v>
      </c>
      <c r="EL705" s="72">
        <f t="shared" si="3369"/>
        <v>1.7587246595785189</v>
      </c>
      <c r="EM705" s="169">
        <f>EM677/EM658*100</f>
        <v>4.5575068986688434</v>
      </c>
      <c r="EN705" s="72">
        <f t="shared" si="3370"/>
        <v>5.8116663081251971</v>
      </c>
      <c r="EO705" s="169">
        <f>EO677/EO658*100</f>
        <v>4.9214195824475793</v>
      </c>
      <c r="EP705" s="72">
        <f t="shared" si="3371"/>
        <v>11.416390002859885</v>
      </c>
      <c r="EQ705" s="171">
        <f t="shared" ref="EQ705" si="3410">EQ677/EQ658*100</f>
        <v>5.0280409179696024</v>
      </c>
      <c r="ER705" s="72">
        <f t="shared" si="3373"/>
        <v>12.576116910948414</v>
      </c>
      <c r="ES705" s="171">
        <f t="shared" ref="ES705" si="3411">ES677/ES658*100</f>
        <v>4.9813586684225033</v>
      </c>
      <c r="ET705" s="72">
        <f t="shared" si="3375"/>
        <v>13.719906266088373</v>
      </c>
      <c r="EU705" s="171">
        <f t="shared" ref="EU705" si="3412">EU677/EU658*100</f>
        <v>4.9326678401343127</v>
      </c>
      <c r="EV705" s="72">
        <f t="shared" si="3377"/>
        <v>8.2317141763415833</v>
      </c>
      <c r="EW705" s="171">
        <f t="shared" ref="EW705" si="3413">EW677/EW658*100</f>
        <v>4.867646340616119</v>
      </c>
      <c r="EX705" s="72">
        <f t="shared" si="3379"/>
        <v>-1.0926368079495603</v>
      </c>
      <c r="EY705" s="72"/>
      <c r="EZ705" s="320"/>
      <c r="FA705" s="72"/>
      <c r="FB705" s="171"/>
      <c r="FC705" s="82"/>
      <c r="FD705" s="170"/>
      <c r="FE705" s="72"/>
      <c r="FF705" s="169">
        <f>FF677/FF658*100</f>
        <v>6.5457744564545868</v>
      </c>
      <c r="FG705" s="72" t="str">
        <f t="shared" si="3380"/>
        <v>NA</v>
      </c>
      <c r="FH705" s="169">
        <f>FH677/FH658*100</f>
        <v>8.2702758925553219</v>
      </c>
      <c r="FI705" s="72">
        <f t="shared" si="3381"/>
        <v>26.345262085837035</v>
      </c>
      <c r="FJ705" s="169">
        <f>FJ677/FJ658*100</f>
        <v>8.4170700947886576</v>
      </c>
      <c r="FK705" s="72">
        <f t="shared" si="3382"/>
        <v>1.7749613693719226</v>
      </c>
      <c r="FL705" s="169">
        <f>FL677/FL658*100</f>
        <v>7.4026662838320156</v>
      </c>
      <c r="FM705" s="72">
        <f t="shared" si="3383"/>
        <v>-12.051744841529839</v>
      </c>
      <c r="FN705" s="169">
        <f>FN677/FN658*100</f>
        <v>5.9224691614416471</v>
      </c>
      <c r="FO705" s="72">
        <f t="shared" si="3384"/>
        <v>-19.995459279627809</v>
      </c>
      <c r="FP705" s="169">
        <f>FP677/FP658*100</f>
        <v>5.969498784077075</v>
      </c>
      <c r="FQ705" s="72">
        <f t="shared" si="3385"/>
        <v>0.79408809659346957</v>
      </c>
      <c r="FR705" s="171">
        <f>FR677/FR658*100</f>
        <v>5.580731546115949</v>
      </c>
      <c r="FS705" s="72">
        <f t="shared" si="3386"/>
        <v>-6.5125608032305138</v>
      </c>
      <c r="FT705" s="171">
        <f>FT677/FT658*100</f>
        <v>5.1636165725559557</v>
      </c>
      <c r="FU705" s="72">
        <f t="shared" si="3387"/>
        <v>-7.4741988592928266</v>
      </c>
      <c r="FV705" s="171">
        <f>FV677/FV658*100</f>
        <v>5.0742731829248333</v>
      </c>
      <c r="FW705" s="72">
        <f t="shared" si="3388"/>
        <v>-1.7302483322633293</v>
      </c>
      <c r="FX705" s="171">
        <f>FX677/FX658*100</f>
        <v>5.946446392285587</v>
      </c>
      <c r="FY705" s="72">
        <f t="shared" si="3389"/>
        <v>17.188140604957127</v>
      </c>
      <c r="FZ705" s="171">
        <f>FZ677/FZ658*100</f>
        <v>5.4646011552787863</v>
      </c>
      <c r="GA705" s="72">
        <f t="shared" si="3390"/>
        <v>-8.103078800675064</v>
      </c>
      <c r="GB705" s="171">
        <f>GB677/GB658*100</f>
        <v>5.0813026745530046</v>
      </c>
      <c r="GC705" s="72">
        <f t="shared" si="3391"/>
        <v>-7.0142078046357881</v>
      </c>
      <c r="GD705" s="171">
        <f>GD677/GD658*100</f>
        <v>4.2933310025347433</v>
      </c>
      <c r="GE705" s="72">
        <f t="shared" si="3392"/>
        <v>-15.507276824197021</v>
      </c>
      <c r="GF705" s="171">
        <f>GF677/GF658*100</f>
        <v>3.8636637838217571</v>
      </c>
      <c r="GG705" s="72">
        <f t="shared" si="3393"/>
        <v>-10.007782266480618</v>
      </c>
      <c r="GH705" s="171">
        <f>GH677/GH658*100</f>
        <v>3.6916700250925896</v>
      </c>
      <c r="GI705" s="72">
        <f t="shared" si="3394"/>
        <v>-4.4515715743526556</v>
      </c>
      <c r="GJ705" s="171">
        <f>GJ677/GJ658*100</f>
        <v>4.3347057583282576</v>
      </c>
      <c r="GK705" s="72">
        <f t="shared" si="3394"/>
        <v>17.418559320440366</v>
      </c>
      <c r="GL705" s="171">
        <f>GL677/GL658*100</f>
        <v>4.4171414836912728</v>
      </c>
      <c r="GM705" s="72">
        <f t="shared" si="3394"/>
        <v>1.9017605798186281</v>
      </c>
      <c r="GN705" s="171">
        <f>GN677/GN658*100</f>
        <v>4.9214195824475793</v>
      </c>
      <c r="GO705" s="72">
        <f t="shared" si="3394"/>
        <v>11.416390002859885</v>
      </c>
      <c r="GP705" s="171">
        <f>GP677/GP658*100</f>
        <v>4.867646340616119</v>
      </c>
      <c r="GQ705" s="72">
        <f t="shared" si="3394"/>
        <v>-1.0926368079495603</v>
      </c>
      <c r="GR705" s="171">
        <f>GR677/GR658*100</f>
        <v>4.7533537547688365</v>
      </c>
      <c r="GS705" s="72">
        <f t="shared" si="3394"/>
        <v>-2.3480051312194519</v>
      </c>
      <c r="GT705" s="171">
        <f>GT677/GT658*100</f>
        <v>4.6156814869521536</v>
      </c>
      <c r="GU705" s="72">
        <f t="shared" si="3394"/>
        <v>-2.8963185767220097</v>
      </c>
      <c r="GV705" s="171">
        <f>GV677/GV658*100</f>
        <v>4.4690768824615112</v>
      </c>
      <c r="GW705" s="72">
        <f t="shared" si="3395"/>
        <v>-3.1762287953592931</v>
      </c>
      <c r="GX705" s="171">
        <f>GX677/GX658*100</f>
        <v>4.3138297161413259</v>
      </c>
      <c r="GY705" s="72">
        <f t="shared" si="3396"/>
        <v>-3.4738083591588804</v>
      </c>
      <c r="GZ705" s="72">
        <f t="shared" si="3397"/>
        <v>-2.6009948463323829</v>
      </c>
      <c r="HA705" s="72"/>
      <c r="HB705" s="72"/>
      <c r="HC705"/>
      <c r="HD705"/>
      <c r="HE705"/>
      <c r="HF705"/>
      <c r="HG705"/>
      <c r="HH705"/>
      <c r="HI705" s="2"/>
    </row>
    <row r="706" spans="1:217" s="3" customFormat="1" ht="12.75" customHeight="1" x14ac:dyDescent="0.2">
      <c r="B706" s="4" t="s">
        <v>337</v>
      </c>
      <c r="C706" s="169"/>
      <c r="D706" s="188"/>
      <c r="E706" s="169"/>
      <c r="F706" s="11"/>
      <c r="G706" s="169"/>
      <c r="H706" s="11"/>
      <c r="I706" s="169">
        <f>I539/AVERAGE(I658,G658)*100</f>
        <v>5.1895674866183295E-2</v>
      </c>
      <c r="J706" s="11"/>
      <c r="K706" s="169">
        <f>K539/AVERAGE(K658,I658)*100</f>
        <v>0.23186937859503046</v>
      </c>
      <c r="L706" s="72" t="str">
        <f t="shared" si="3304"/>
        <v>NA</v>
      </c>
      <c r="M706" s="169">
        <f>M539/AVERAGE(M658,K658)*200</f>
        <v>0.40011352058025768</v>
      </c>
      <c r="N706" s="72" t="str">
        <f t="shared" si="3305"/>
        <v>NA</v>
      </c>
      <c r="O706" s="169">
        <f>O539/AVERAGE(O658,M658)*200</f>
        <v>0.27787057337353904</v>
      </c>
      <c r="P706" s="72" t="str">
        <f t="shared" si="3306"/>
        <v>NA</v>
      </c>
      <c r="Q706" s="169">
        <f>Q539/AVERAGE(Q658,O658)*100</f>
        <v>0.11381758746418386</v>
      </c>
      <c r="R706" s="72" t="str">
        <f t="shared" si="3307"/>
        <v>NM</v>
      </c>
      <c r="S706" s="169">
        <f>S539/AVERAGE(S658,Q658)*100</f>
        <v>0.21303985009584639</v>
      </c>
      <c r="T706" s="72">
        <f t="shared" si="3308"/>
        <v>-8.1207482476893205</v>
      </c>
      <c r="U706" s="169">
        <f>U539/AVERAGE(U658,S658)*100</f>
        <v>0.20298680585761927</v>
      </c>
      <c r="V706" s="72">
        <f t="shared" si="3309"/>
        <v>-49.267696436940902</v>
      </c>
      <c r="W706" s="169">
        <f>W539/AVERAGE(W658,U658)*200</f>
        <v>0.39150296838082077</v>
      </c>
      <c r="X706" s="72">
        <f t="shared" si="3310"/>
        <v>40.894000983157952</v>
      </c>
      <c r="Y706" s="169">
        <f>Y539/AVERAGE(Y658,W658)*100</f>
        <v>0.16946708011826639</v>
      </c>
      <c r="Z706" s="72">
        <f t="shared" si="3311"/>
        <v>48.893579537164527</v>
      </c>
      <c r="AA706" s="169">
        <f>AA539/AVERAGE(AA658,Y658)*100</f>
        <v>0.20499080688157734</v>
      </c>
      <c r="AB706" s="72">
        <f t="shared" si="3312"/>
        <v>-3.7781866681974208</v>
      </c>
      <c r="AC706" s="169">
        <f>AC539/AVERAGE(AC658,AA658)*100</f>
        <v>0.22818830929058329</v>
      </c>
      <c r="AD706" s="72">
        <f t="shared" si="3313"/>
        <v>12.415340655510903</v>
      </c>
      <c r="AE706" s="169">
        <f>AE539/AVERAGE(AE658,AC658)*200</f>
        <v>0.41115587085427735</v>
      </c>
      <c r="AF706" s="72">
        <f t="shared" si="3314"/>
        <v>5.0198603997147586</v>
      </c>
      <c r="AG706" s="169">
        <f>AG539/AVERAGE(AG658,AE658)*200</f>
        <v>0.4520501116048985</v>
      </c>
      <c r="AH706" s="72" t="str">
        <f t="shared" si="3315"/>
        <v>NM</v>
      </c>
      <c r="AI706" s="169">
        <f>AI539/AVERAGE(AI658,AG658)*200</f>
        <v>0.44088763814381615</v>
      </c>
      <c r="AJ706" s="72" t="str">
        <f t="shared" si="3316"/>
        <v>NM</v>
      </c>
      <c r="AK706" s="169">
        <f>AK539/AVERAGE(AK658,AI659)*100</f>
        <v>0.23826472100288687</v>
      </c>
      <c r="AL706" s="72">
        <f t="shared" si="3317"/>
        <v>4.415831706554215</v>
      </c>
      <c r="AM706" s="169">
        <f>AM539/AVERAGE(AM658,AK659)*100</f>
        <v>0.23147470846215618</v>
      </c>
      <c r="AN706" s="72">
        <f t="shared" si="3318"/>
        <v>-43.701470690127664</v>
      </c>
      <c r="AO706" s="169">
        <f>AO539/AVERAGE(AO658,AM659)*100</f>
        <v>0.23272078697496573</v>
      </c>
      <c r="AP706" s="72">
        <f t="shared" si="3319"/>
        <v>-48.518807760328862</v>
      </c>
      <c r="AQ706" s="169">
        <f>AQ539/AVERAGE(AQ658,AO659)*100</f>
        <v>0.26538857640814384</v>
      </c>
      <c r="AR706" s="72">
        <f t="shared" si="3320"/>
        <v>-39.805847692745942</v>
      </c>
      <c r="AS706" s="169">
        <f>AS539/AVERAGE(AS658,AQ659)*100</f>
        <v>0.24213437410209748</v>
      </c>
      <c r="AT706" s="72">
        <f t="shared" si="3321"/>
        <v>1.6240982227342613</v>
      </c>
      <c r="AU706" s="169">
        <f>AU539/AVERAGE(AU658,AS659)*100</f>
        <v>0.29424746211563924</v>
      </c>
      <c r="AV706" s="72">
        <f t="shared" si="3322"/>
        <v>27.118623054123333</v>
      </c>
      <c r="AW706" s="169">
        <f>AW539/AVERAGE(AW658,AU659)*100</f>
        <v>0.21819787729202197</v>
      </c>
      <c r="AX706" s="72">
        <f t="shared" si="3323"/>
        <v>-6.2404866671862891</v>
      </c>
      <c r="AY706" s="169">
        <f>AY539/AVERAGE(AY658,AW659)*100</f>
        <v>0.16704635952705346</v>
      </c>
      <c r="AZ706" s="72">
        <f t="shared" si="3324"/>
        <v>-37.055934438507578</v>
      </c>
      <c r="BA706" s="169">
        <f>BA539/AVERAGE(BA658,AY659)*100</f>
        <v>0.17522938012606781</v>
      </c>
      <c r="BB706" s="72">
        <f t="shared" si="3325"/>
        <v>-27.631349007811153</v>
      </c>
      <c r="BC706" s="169">
        <f>BC539/AVERAGE(BC658,BA659)*100</f>
        <v>0.20828580247742004</v>
      </c>
      <c r="BD706" s="72">
        <f t="shared" si="3326"/>
        <v>-29.214070028048795</v>
      </c>
      <c r="BE706" s="169">
        <f>BE539/AVERAGE(BE658,BC659)*100</f>
        <v>0.18879798615481436</v>
      </c>
      <c r="BF706" s="72">
        <f t="shared" si="3327"/>
        <v>-13.473958363884861</v>
      </c>
      <c r="BG706" s="169">
        <f>BG539/AVERAGE(BG658,BE659)*100</f>
        <v>0.20316887440398868</v>
      </c>
      <c r="BH706" s="72">
        <f t="shared" si="3328"/>
        <v>21.624245496403717</v>
      </c>
      <c r="BI706" s="169">
        <f>BI539/AVERAGE(BI658,BG659)*100</f>
        <v>0.20512557531313702</v>
      </c>
      <c r="BJ706" s="72">
        <f t="shared" si="3329"/>
        <v>17.061177278353995</v>
      </c>
      <c r="BK706" s="169">
        <f>BK539/AVERAGE(BK658,BI659)*100</f>
        <v>0.22586833552790558</v>
      </c>
      <c r="BL706" s="72">
        <f t="shared" si="3330"/>
        <v>8.441541786023393</v>
      </c>
      <c r="BM706" s="169">
        <f>BM539/AVERAGE(BM658,BK659)*100</f>
        <v>0.18951726550882955</v>
      </c>
      <c r="BN706" s="72">
        <f t="shared" si="3331"/>
        <v>0.38097829784338444</v>
      </c>
      <c r="BO706" s="169">
        <f>BO539/AVERAGE(BO658,BM659)*100</f>
        <v>0.16533879712954158</v>
      </c>
      <c r="BP706" s="72">
        <f t="shared" si="3332"/>
        <v>-18.620016173946183</v>
      </c>
      <c r="BQ706" s="169">
        <f>BQ539/AVERAGE(BQ658,BO659)*100</f>
        <v>0.20400557092135979</v>
      </c>
      <c r="BR706" s="72">
        <f t="shared" si="3333"/>
        <v>-0.54600914101884257</v>
      </c>
      <c r="BS706" s="169">
        <f>BS539/AVERAGE(BS658,BQ659)*100</f>
        <v>0.1055219803799801</v>
      </c>
      <c r="BT706" s="72" t="str">
        <f t="shared" si="3334"/>
        <v>NM</v>
      </c>
      <c r="BU706" s="169">
        <f>BU539/AVERAGE(BU658,BS659)*100</f>
        <v>-0.22813312789226295</v>
      </c>
      <c r="BV706" s="72" t="str">
        <f t="shared" si="3335"/>
        <v>NM</v>
      </c>
      <c r="BW706" s="169">
        <f>BW539/AVERAGE(BW658,BU659)*100</f>
        <v>5.1261187957689171E-2</v>
      </c>
      <c r="BX706" s="72" t="str">
        <f t="shared" si="3336"/>
        <v>NM</v>
      </c>
      <c r="BY706" s="169">
        <f>BY539/AVERAGE(BY658,BW659)*100</f>
        <v>0.22434786687129832</v>
      </c>
      <c r="BZ706" s="72">
        <f t="shared" si="3337"/>
        <v>9.9714413964607331</v>
      </c>
      <c r="CA706" s="169">
        <f>CA539/AVERAGE(CA658,BY659)*100</f>
        <v>0.20043215127249972</v>
      </c>
      <c r="CB706" s="72">
        <f t="shared" si="3338"/>
        <v>89.943508026244558</v>
      </c>
      <c r="CC706" s="169">
        <f>CC539/AVERAGE(CC658,CA659)*100</f>
        <v>0.13322271519436329</v>
      </c>
      <c r="CD706" s="72" t="str">
        <f t="shared" si="3339"/>
        <v>NM</v>
      </c>
      <c r="CE706" s="169">
        <f>CE539/AVERAGE(CE658,CC659)*100</f>
        <v>0.14896336535027535</v>
      </c>
      <c r="CF706" s="72" t="str">
        <f t="shared" si="3340"/>
        <v>NM</v>
      </c>
      <c r="CG706" s="169">
        <f>CG539/AVERAGE(CG658,CE659)*100</f>
        <v>8.8679863353455943E-2</v>
      </c>
      <c r="CH706" s="72" t="str">
        <f t="shared" si="3341"/>
        <v>NM</v>
      </c>
      <c r="CI706" s="169">
        <f>CI539/AVERAGE(CI658,CG659)*100</f>
        <v>0.19879488863519151</v>
      </c>
      <c r="CJ706" s="72">
        <f t="shared" si="3342"/>
        <v>-0.81686626966461517</v>
      </c>
      <c r="CK706" s="169">
        <f>CK539/AVERAGE(CK658,CI659)*100</f>
        <v>0.16797061155407009</v>
      </c>
      <c r="CL706" s="72">
        <f t="shared" si="3343"/>
        <v>26.082561302711667</v>
      </c>
      <c r="CM706" s="169">
        <f>CM539/AVERAGE(CM658,CK659)*100</f>
        <v>0.15343718736601403</v>
      </c>
      <c r="CN706" s="72">
        <f t="shared" si="3344"/>
        <v>3.0033035338714598</v>
      </c>
      <c r="CO706" s="169">
        <f>CO539/AVERAGE(CO658,CM659)*100</f>
        <v>0.14735547309694924</v>
      </c>
      <c r="CP706" s="72">
        <f t="shared" si="3345"/>
        <v>66.165651958243188</v>
      </c>
      <c r="CQ706" s="169">
        <f>CQ539/AVERAGE(CQ658,CO659)*100</f>
        <v>8.151591997745844E-2</v>
      </c>
      <c r="CR706" s="72" t="str">
        <f t="shared" si="3346"/>
        <v>NM</v>
      </c>
      <c r="CS706" s="169">
        <f>CS539/AVERAGE(CS658,CQ659)*100</f>
        <v>0.1678075479509015</v>
      </c>
      <c r="CT706" s="72">
        <f t="shared" si="3347"/>
        <v>-9.7078650640085584E-2</v>
      </c>
      <c r="CU706" s="169">
        <f>CU539/AVERAGE(CU658,CS659)*100</f>
        <v>0.14636907361684298</v>
      </c>
      <c r="CV706" s="72">
        <f t="shared" si="3348"/>
        <v>-4.6065193650288592</v>
      </c>
      <c r="CW706" s="169">
        <f>CW539/AVERAGE(CW658,CU659)*100</f>
        <v>0.11872632326171449</v>
      </c>
      <c r="CX706" s="72">
        <f t="shared" si="3349"/>
        <v>-19.428630123835873</v>
      </c>
      <c r="CY706" s="169">
        <f>CY539/AVERAGE(CY658,CW659)*100</f>
        <v>0.13213004939441098</v>
      </c>
      <c r="CZ706" s="72">
        <f t="shared" si="3350"/>
        <v>62.091097580630674</v>
      </c>
      <c r="DA706" s="169">
        <f>DA539/AVERAGE(DA658,CY659)*100</f>
        <v>0.13309389675091973</v>
      </c>
      <c r="DB706" s="72">
        <f t="shared" si="3351"/>
        <v>-20.686585093382433</v>
      </c>
      <c r="DC706" s="169">
        <f>DC539/AVERAGE(DC658,DA659)*100</f>
        <v>0.16752957253011072</v>
      </c>
      <c r="DD706" s="72">
        <f t="shared" si="3352"/>
        <v>14.456946669390391</v>
      </c>
      <c r="DE706" s="169">
        <f>DE539/AVERAGE(DE658,DC659)*100</f>
        <v>0.17447362853929832</v>
      </c>
      <c r="DF706" s="72">
        <f t="shared" si="3353"/>
        <v>46.954461105223658</v>
      </c>
      <c r="DG706" s="169">
        <f>DG539/AVERAGE(DG658,DE659)*100</f>
        <v>0.21289512343190278</v>
      </c>
      <c r="DH706" s="72">
        <f t="shared" si="3354"/>
        <v>61.125439979520763</v>
      </c>
      <c r="DI706" s="169">
        <f>DI539/AVERAGE(DI658,DG659)*100</f>
        <v>0.16114252901298579</v>
      </c>
      <c r="DJ706" s="72">
        <f t="shared" si="3355"/>
        <v>21.074318918288213</v>
      </c>
      <c r="DK706" s="169">
        <f>DK539/AVERAGE(DK658,DI659)*100</f>
        <v>0.17068330366015858</v>
      </c>
      <c r="DL706" s="72">
        <f t="shared" si="3356"/>
        <v>1.8824921967021737</v>
      </c>
      <c r="DM706" s="169">
        <f>DM539/AVERAGE(DM658,DK659)*100</f>
        <v>0.1725962378129591</v>
      </c>
      <c r="DN706" s="72">
        <f t="shared" si="3357"/>
        <v>-1.0760312272157222</v>
      </c>
      <c r="DO706" s="169">
        <f>DO539/AVERAGE(DO658,DM659)*100</f>
        <v>0.15201232564156847</v>
      </c>
      <c r="DP706" s="72">
        <f t="shared" si="3358"/>
        <v>-28.597553954686262</v>
      </c>
      <c r="DQ706" s="169">
        <f>DQ539/AVERAGE(DQ658,DO659)*100</f>
        <v>0.14826102176554165</v>
      </c>
      <c r="DR706" s="72">
        <f t="shared" si="3359"/>
        <v>-7.9938594276412687</v>
      </c>
      <c r="DS706" s="169">
        <f>DS539/AVERAGE(DS658,DQ659)*100</f>
        <v>0.18687444571138984</v>
      </c>
      <c r="DT706" s="72">
        <f t="shared" si="3360"/>
        <v>9.4860725706767681</v>
      </c>
      <c r="DU706" s="169">
        <f>DU539/AVERAGE(DU658,DS659)*100</f>
        <v>0.19695608025303751</v>
      </c>
      <c r="DV706" s="72">
        <f t="shared" si="3361"/>
        <v>14.113773711844729</v>
      </c>
      <c r="DW706" s="169">
        <f>DW539/AVERAGE(DW658,DU659)*100</f>
        <v>0.16374990226638717</v>
      </c>
      <c r="DX706" s="72">
        <f t="shared" si="3362"/>
        <v>7.7214637532056827</v>
      </c>
      <c r="DY706" s="169">
        <f>DY539/AVERAGE(DY658,DW659)*100</f>
        <v>0.13045846413343953</v>
      </c>
      <c r="DZ706" s="72">
        <f t="shared" si="3363"/>
        <v>-12.00757786510799</v>
      </c>
      <c r="EA706" s="169">
        <f>EA539/AVERAGE(EA658,DY659)*100</f>
        <v>0.14439962632794789</v>
      </c>
      <c r="EB706" s="72">
        <f t="shared" si="3364"/>
        <v>-22.729067755492011</v>
      </c>
      <c r="EC706" s="169">
        <f>EC539/AVERAGE(EC658,EA659)*100</f>
        <v>0.11707137964878586</v>
      </c>
      <c r="ED706" s="72">
        <f t="shared" si="3365"/>
        <v>-40.559651929313645</v>
      </c>
      <c r="EE706" s="169">
        <f>EE539/AVERAGE(EE658,EC659)*100</f>
        <v>0.16282169588844458</v>
      </c>
      <c r="EF706" s="72">
        <f t="shared" si="3366"/>
        <v>-0.56684392790205607</v>
      </c>
      <c r="EG706" s="169">
        <f>EG539/AVERAGE(EG658,EE659)*100</f>
        <v>0.15410934694396922</v>
      </c>
      <c r="EH706" s="72">
        <f t="shared" si="3367"/>
        <v>18.129052007187795</v>
      </c>
      <c r="EI706" s="169">
        <f>EI539/AVERAGE(EI658,EG659)*100</f>
        <v>0.1718948453780158</v>
      </c>
      <c r="EJ706" s="72">
        <f t="shared" si="3368"/>
        <v>19.04105969611247</v>
      </c>
      <c r="EK706" s="169">
        <f>EK539/AVERAGE(EK658,EI659)*100</f>
        <v>0.12547736696873169</v>
      </c>
      <c r="EL706" s="72">
        <f t="shared" si="3369"/>
        <v>7.1802240181706196</v>
      </c>
      <c r="EM706" s="169">
        <f>EM539/AVERAGE(EM658,EK659)*100</f>
        <v>0.17852203188568114</v>
      </c>
      <c r="EN706" s="72">
        <f t="shared" si="3370"/>
        <v>9.6426559811743147</v>
      </c>
      <c r="EO706" s="169">
        <f>EO539/AVERAGE(EO658,EM659)*100</f>
        <v>0.156043388842033</v>
      </c>
      <c r="EP706" s="72">
        <f t="shared" si="3371"/>
        <v>1.2549802697995744</v>
      </c>
      <c r="EQ706" s="171">
        <f>EQ539/AVERAGE(EQ658,EO658)*200</f>
        <v>0.35301054350481775</v>
      </c>
      <c r="ER706" s="72" t="str">
        <f t="shared" si="3373"/>
        <v>NM</v>
      </c>
      <c r="ES706" s="171">
        <f>ES539/AVERAGE(ES658,EQ658)*200</f>
        <v>0.34946707691825685</v>
      </c>
      <c r="ET706" s="72" t="str">
        <f t="shared" si="3375"/>
        <v>NM</v>
      </c>
      <c r="EU706" s="171">
        <f>EU539/AVERAGE(EU658,ES658)*200</f>
        <v>0.34043840905597167</v>
      </c>
      <c r="EV706" s="72">
        <f t="shared" si="3377"/>
        <v>90.698260298748892</v>
      </c>
      <c r="EW706" s="171">
        <f>EW539/AVERAGE(EW658,EU658)*200</f>
        <v>0.30256397838216759</v>
      </c>
      <c r="EX706" s="72">
        <f t="shared" si="3379"/>
        <v>93.897338828280255</v>
      </c>
      <c r="EY706" s="72"/>
      <c r="EZ706" s="320"/>
      <c r="FA706" s="72"/>
      <c r="FB706" s="171"/>
      <c r="FC706" s="82"/>
      <c r="FD706" s="170"/>
      <c r="FE706" s="72"/>
      <c r="FF706" s="169">
        <f>FF539/AVERAGE(FF658,FD658)*100</f>
        <v>8.2019878514696373E-2</v>
      </c>
      <c r="FG706" s="72" t="str">
        <f t="shared" si="3380"/>
        <v>NA</v>
      </c>
      <c r="FH706" s="169">
        <f>FH539/AVERAGE(FH658,FF658)*100</f>
        <v>0.22342756730420643</v>
      </c>
      <c r="FI706" s="72" t="str">
        <f t="shared" si="3381"/>
        <v>NM</v>
      </c>
      <c r="FJ706" s="169">
        <f>FJ539/AVERAGE(FJ658,FH658)*100</f>
        <v>0.28406689809744434</v>
      </c>
      <c r="FK706" s="72">
        <f t="shared" si="3382"/>
        <v>27.140487418311636</v>
      </c>
      <c r="FL706" s="169">
        <f>FL539/AVERAGE(FL658,FJ658)*100</f>
        <v>0.43871692196868572</v>
      </c>
      <c r="FM706" s="72">
        <f t="shared" si="3383"/>
        <v>54.441409719689091</v>
      </c>
      <c r="FN706" s="169">
        <f>FN539/AVERAGE(FN658,FL658)*100</f>
        <v>0.55526537897445838</v>
      </c>
      <c r="FO706" s="72">
        <f t="shared" si="3384"/>
        <v>26.565753717175184</v>
      </c>
      <c r="FP706" s="169">
        <f>FP539/AVERAGE(FP658,FN658)*100</f>
        <v>0.61566614156345756</v>
      </c>
      <c r="FQ706" s="72">
        <f t="shared" si="3385"/>
        <v>10.877818944980106</v>
      </c>
      <c r="FR706" s="171">
        <f>FR539/AVERAGE(FR658,FP658)*100</f>
        <v>0.62947369584255353</v>
      </c>
      <c r="FS706" s="72">
        <f t="shared" si="3386"/>
        <v>2.2427015791435707</v>
      </c>
      <c r="FT706" s="171">
        <f>FT539/AVERAGE(FT658,FR658)*100</f>
        <v>0.69370677443283135</v>
      </c>
      <c r="FU706" s="72">
        <f t="shared" si="3387"/>
        <v>10.204251426948275</v>
      </c>
      <c r="FV706" s="171">
        <f>FV539/AVERAGE(FV658,FT658)*100</f>
        <v>-0.16517355465292208</v>
      </c>
      <c r="FW706" s="72" t="str">
        <f t="shared" si="3388"/>
        <v>NM</v>
      </c>
      <c r="FX706" s="171">
        <f>FX539/AVERAGE(FX658,FV658)*100</f>
        <v>0.27709227333809577</v>
      </c>
      <c r="FY706" s="72" t="str">
        <f t="shared" si="3389"/>
        <v>NM</v>
      </c>
      <c r="FZ706" s="171">
        <f>FZ539/AVERAGE(FZ658,FX658)*100</f>
        <v>0.4628167063445367</v>
      </c>
      <c r="GA706" s="72">
        <f t="shared" si="3390"/>
        <v>67.026204220363866</v>
      </c>
      <c r="GB706" s="171">
        <f>GB539/AVERAGE(GB658,FZ658)*100</f>
        <v>0.48527314368227625</v>
      </c>
      <c r="GC706" s="72">
        <f t="shared" si="3391"/>
        <v>4.8521233200735452</v>
      </c>
      <c r="GD706" s="171">
        <f>GD539/AVERAGE(GD658,GB658)*100</f>
        <v>0.44537933827896709</v>
      </c>
      <c r="GE706" s="72">
        <f t="shared" si="3392"/>
        <v>-8.2208970190670385</v>
      </c>
      <c r="GF706" s="171">
        <f>GF539/AVERAGE(GF658,GD658)*100</f>
        <v>0.74810287465889125</v>
      </c>
      <c r="GG706" s="72">
        <f t="shared" si="3393"/>
        <v>67.969820411900372</v>
      </c>
      <c r="GH706" s="171">
        <f>GH539/AVERAGE(GH658,GF658)*100</f>
        <v>0.63895704946897192</v>
      </c>
      <c r="GI706" s="72">
        <f t="shared" si="3394"/>
        <v>-14.58968129746674</v>
      </c>
      <c r="GJ706" s="171">
        <f>GJ539/AVERAGE(GJ658,GH658)*100</f>
        <v>0.68224275749931396</v>
      </c>
      <c r="GK706" s="72">
        <f t="shared" si="3394"/>
        <v>6.774431562546539</v>
      </c>
      <c r="GL706" s="171">
        <f>GL539/AVERAGE(GL658,GJ658)*100</f>
        <v>0.59082218798416997</v>
      </c>
      <c r="GM706" s="72">
        <f t="shared" si="3394"/>
        <v>-13.400005864516046</v>
      </c>
      <c r="GN706" s="171">
        <f>GN539/AVERAGE(GN658,GL658)*100</f>
        <v>0.63769530446797951</v>
      </c>
      <c r="GO706" s="72">
        <f t="shared" si="3394"/>
        <v>7.9335403167129215</v>
      </c>
      <c r="GP706" s="171">
        <f>GP539/AVERAGE(GP658,GN658)*100</f>
        <v>0.67227958116497255</v>
      </c>
      <c r="GQ706" s="72">
        <f t="shared" si="3394"/>
        <v>5.4233230909307366</v>
      </c>
      <c r="GR706" s="171">
        <f>GR539/AVERAGE(GR658,GP658)*100</f>
        <v>0.6407668867762476</v>
      </c>
      <c r="GS706" s="72">
        <f t="shared" si="3394"/>
        <v>-4.6874388679360948</v>
      </c>
      <c r="GT706" s="171">
        <f>GT539/AVERAGE(GT658,GR658)*100</f>
        <v>0.61010124049449466</v>
      </c>
      <c r="GU706" s="72">
        <f t="shared" si="3394"/>
        <v>-4.7857726288002169</v>
      </c>
      <c r="GV706" s="171">
        <f>GV539/AVERAGE(GV658,GT658)*100</f>
        <v>0.58155174442648916</v>
      </c>
      <c r="GW706" s="72">
        <f t="shared" si="3395"/>
        <v>-4.6794686148918174</v>
      </c>
      <c r="GX706" s="171">
        <f>GX539/AVERAGE(GX658,GV658)*100</f>
        <v>0.55349158756863759</v>
      </c>
      <c r="GY706" s="72">
        <f t="shared" si="3396"/>
        <v>-4.8250490393634209</v>
      </c>
      <c r="GZ706" s="72">
        <f t="shared" si="3397"/>
        <v>-2.7925476631372681</v>
      </c>
      <c r="HA706" s="72"/>
      <c r="HB706" s="72"/>
      <c r="HC706"/>
      <c r="HD706"/>
      <c r="HE706"/>
      <c r="HF706"/>
      <c r="HG706"/>
      <c r="HH706"/>
      <c r="HI706" s="2"/>
    </row>
    <row r="707" spans="1:217" s="3" customFormat="1" ht="12.75" customHeight="1" x14ac:dyDescent="0.2">
      <c r="B707" s="4" t="s">
        <v>748</v>
      </c>
      <c r="C707" s="169"/>
      <c r="D707" s="188"/>
      <c r="E707" s="169"/>
      <c r="F707" s="11"/>
      <c r="G707" s="169"/>
      <c r="H707" s="11"/>
      <c r="I707" s="169">
        <f>I677/I637</f>
        <v>22.693625771076078</v>
      </c>
      <c r="J707" s="11"/>
      <c r="K707" s="169">
        <f>K677/K637</f>
        <v>23.831391363947908</v>
      </c>
      <c r="L707" s="72" t="str">
        <f t="shared" si="3304"/>
        <v>NA</v>
      </c>
      <c r="M707" s="169">
        <f>M677/M637</f>
        <v>23.920493488690884</v>
      </c>
      <c r="N707" s="72" t="str">
        <f t="shared" si="3305"/>
        <v>NA</v>
      </c>
      <c r="O707" s="169">
        <f>O677/O637</f>
        <v>23.271076079506511</v>
      </c>
      <c r="P707" s="72" t="str">
        <f t="shared" si="3306"/>
        <v>NA</v>
      </c>
      <c r="Q707" s="169">
        <f>Q677/Q637</f>
        <v>32.631668946648432</v>
      </c>
      <c r="R707" s="72">
        <f t="shared" si="3307"/>
        <v>43.79222287272745</v>
      </c>
      <c r="S707" s="169">
        <f>S677/S637</f>
        <v>32.983926128590973</v>
      </c>
      <c r="T707" s="72">
        <f t="shared" si="3308"/>
        <v>38.405373084884189</v>
      </c>
      <c r="U707" s="169">
        <f>U677/U637</f>
        <v>33.117929379499486</v>
      </c>
      <c r="V707" s="72">
        <f t="shared" si="3309"/>
        <v>38.450025686790127</v>
      </c>
      <c r="W707" s="169">
        <f>W677/W637</f>
        <v>33.714134835416296</v>
      </c>
      <c r="X707" s="72">
        <f t="shared" si="3310"/>
        <v>44.875702009785357</v>
      </c>
      <c r="Y707" s="169">
        <f>Y677/Y637</f>
        <v>33.204350927246793</v>
      </c>
      <c r="Z707" s="72">
        <f t="shared" si="3311"/>
        <v>1.7549883260174965</v>
      </c>
      <c r="AA707" s="169">
        <f>AA677/AA637</f>
        <v>33.6579185520362</v>
      </c>
      <c r="AB707" s="72">
        <f t="shared" si="3312"/>
        <v>2.0433965951100106</v>
      </c>
      <c r="AC707" s="169">
        <f>AC677/AC637</f>
        <v>33.893870082342175</v>
      </c>
      <c r="AD707" s="72">
        <f t="shared" si="3313"/>
        <v>2.342962610829801</v>
      </c>
      <c r="AE707" s="169">
        <f>AE677/AE637</f>
        <v>34.168967421314193</v>
      </c>
      <c r="AF707" s="72">
        <f t="shared" si="3314"/>
        <v>1.3490857413908799</v>
      </c>
      <c r="AG707" s="169">
        <f>AG677/AG637</f>
        <v>34.325073964497044</v>
      </c>
      <c r="AH707" s="72">
        <f t="shared" si="3315"/>
        <v>3.3752294682881683</v>
      </c>
      <c r="AI707" s="169">
        <f>AI677/AI637</f>
        <v>34.64152352501867</v>
      </c>
      <c r="AJ707" s="72">
        <f t="shared" si="3316"/>
        <v>2.922358289808642</v>
      </c>
      <c r="AK707" s="169">
        <f>AK677/AK637</f>
        <v>35.473803669377716</v>
      </c>
      <c r="AL707" s="72">
        <f t="shared" si="3317"/>
        <v>4.6614139465255278</v>
      </c>
      <c r="AM707" s="169">
        <f>AM677/AM637</f>
        <v>36.388888888888886</v>
      </c>
      <c r="AN707" s="72">
        <f t="shared" si="3318"/>
        <v>6.4968936292465429</v>
      </c>
      <c r="AO707" s="169">
        <f>AO677/AO637</f>
        <v>36.485418626528691</v>
      </c>
      <c r="AP707" s="72">
        <f t="shared" si="3319"/>
        <v>6.2937800637112247</v>
      </c>
      <c r="AQ707" s="169">
        <f>AQ677/AQ637</f>
        <v>37.810066476733141</v>
      </c>
      <c r="AR707" s="72">
        <f t="shared" si="3320"/>
        <v>9.1466616629205078</v>
      </c>
      <c r="AS707" s="169">
        <f>AS677/AS637</f>
        <v>38.836363636363636</v>
      </c>
      <c r="AT707" s="72">
        <f t="shared" si="3321"/>
        <v>9.478994692324477</v>
      </c>
      <c r="AU707" s="169">
        <f>AU677/AU637</f>
        <v>41.049454828660437</v>
      </c>
      <c r="AV707" s="72">
        <f t="shared" si="3322"/>
        <v>12.807662124563038</v>
      </c>
      <c r="AW707" s="169">
        <f>AW677/AW637</f>
        <v>40.516663380003941</v>
      </c>
      <c r="AX707" s="72">
        <f t="shared" si="3323"/>
        <v>11.048920103507086</v>
      </c>
      <c r="AY707" s="169">
        <f>AY677/AY637</f>
        <v>41.409154507295625</v>
      </c>
      <c r="AZ707" s="72">
        <f t="shared" si="3324"/>
        <v>9.5188619485163457</v>
      </c>
      <c r="BA707" s="169">
        <f>BA677/BA637</f>
        <v>41.776155717761561</v>
      </c>
      <c r="BB707" s="72">
        <f t="shared" si="3325"/>
        <v>7.5696893481688221</v>
      </c>
      <c r="BC707" s="169">
        <f>BC677/BC637</f>
        <v>43.624409287035135</v>
      </c>
      <c r="BD707" s="72">
        <f t="shared" si="3326"/>
        <v>6.2728103676955129</v>
      </c>
      <c r="BE707" s="169">
        <f>BE677/BE637</f>
        <v>44.144969797958758</v>
      </c>
      <c r="BF707" s="72">
        <f t="shared" si="3327"/>
        <v>8.9550967806136867</v>
      </c>
      <c r="BG707" s="169">
        <f>BG677/BG637</f>
        <v>45.61496196111581</v>
      </c>
      <c r="BH707" s="72">
        <f t="shared" si="3328"/>
        <v>10.156709316726548</v>
      </c>
      <c r="BI707" s="169">
        <f>BI677/BI637</f>
        <v>46.516829995739243</v>
      </c>
      <c r="BJ707" s="72">
        <f t="shared" si="3329"/>
        <v>11.347799232666446</v>
      </c>
      <c r="BK707" s="169">
        <f>BK677/BK637</f>
        <v>48.378787878787875</v>
      </c>
      <c r="BL707" s="72">
        <f t="shared" si="3330"/>
        <v>10.898436607978795</v>
      </c>
      <c r="BM707" s="169">
        <f>BM677/BM637</f>
        <v>46.707692307692305</v>
      </c>
      <c r="BN707" s="72">
        <f t="shared" si="3331"/>
        <v>5.8052424125841071</v>
      </c>
      <c r="BO707" s="188">
        <f>BO677/BO637</f>
        <v>50.586377988272446</v>
      </c>
      <c r="BP707" s="72">
        <f t="shared" si="3332"/>
        <v>10.898652138292888</v>
      </c>
      <c r="BQ707" s="188">
        <f>BQ677/BQ637</f>
        <v>53.293107449524257</v>
      </c>
      <c r="BR707" s="72">
        <f t="shared" si="3333"/>
        <v>14.567367239783309</v>
      </c>
      <c r="BS707" s="188">
        <f>BS677/BS637</f>
        <v>55.839569691300277</v>
      </c>
      <c r="BT707" s="72">
        <f t="shared" si="3334"/>
        <v>15.421597232252381</v>
      </c>
      <c r="BU707" s="188">
        <f>BU677/BU637</f>
        <v>46.037246581801035</v>
      </c>
      <c r="BV707" s="88">
        <f t="shared" si="3335"/>
        <v>-1.4354075159068742</v>
      </c>
      <c r="BW707" s="188">
        <f>BW677/BW637</f>
        <v>47.71987738740863</v>
      </c>
      <c r="BX707" s="72">
        <f t="shared" si="3336"/>
        <v>-5.6665464396924392</v>
      </c>
      <c r="BY707" s="188">
        <f>BY677/BY637</f>
        <v>47.759845061329891</v>
      </c>
      <c r="BZ707" s="72">
        <f t="shared" si="3337"/>
        <v>-10.38269797540913</v>
      </c>
      <c r="CA707" s="188">
        <f>CA677/CA637</f>
        <v>49.920855614973263</v>
      </c>
      <c r="CB707" s="72">
        <f t="shared" si="3338"/>
        <v>-10.599498006606495</v>
      </c>
      <c r="CC707" s="188">
        <f>CC677/CC637</f>
        <v>52.74744027303754</v>
      </c>
      <c r="CD707" s="88">
        <f t="shared" si="3339"/>
        <v>14.575575625083331</v>
      </c>
      <c r="CE707" s="188">
        <f>CE677/CE637</f>
        <v>48.748937977909939</v>
      </c>
      <c r="CF707" s="72">
        <f t="shared" si="3340"/>
        <v>2.1564610951260192</v>
      </c>
      <c r="CG707" s="188">
        <f>CG677/CG637</f>
        <v>50.64968152866242</v>
      </c>
      <c r="CH707" s="72">
        <f t="shared" si="3341"/>
        <v>6.0507660014843054</v>
      </c>
      <c r="CI707" s="188">
        <f>CI677/CI637</f>
        <v>52.947033898305087</v>
      </c>
      <c r="CJ707" s="72">
        <f t="shared" si="3342"/>
        <v>6.0619519558557897</v>
      </c>
      <c r="CK707" s="188">
        <f>CK677/CK637</f>
        <v>52.005287777099859</v>
      </c>
      <c r="CL707" s="88">
        <f t="shared" si="3343"/>
        <v>-1.406992438108972</v>
      </c>
      <c r="CM707" s="188">
        <f>CM677/CM637</f>
        <v>53.16697098803003</v>
      </c>
      <c r="CN707" s="72">
        <f t="shared" si="3344"/>
        <v>9.0628292499870895</v>
      </c>
      <c r="CO707" s="188">
        <f>CO677/CO637</f>
        <v>54.783313082219522</v>
      </c>
      <c r="CP707" s="72">
        <f t="shared" si="3345"/>
        <v>8.1612192392915688</v>
      </c>
      <c r="CQ707" s="188">
        <f>CQ677/CQ637</f>
        <v>58.352842809364553</v>
      </c>
      <c r="CR707" s="72">
        <f t="shared" si="3346"/>
        <v>10.209842767476559</v>
      </c>
      <c r="CS707" s="188">
        <f>CS677/CS637</f>
        <v>58.387707850978735</v>
      </c>
      <c r="CT707" s="88">
        <f t="shared" si="3347"/>
        <v>12.272636777311192</v>
      </c>
      <c r="CU707" s="188">
        <f>CU677/CU637</f>
        <v>56.279315444749628</v>
      </c>
      <c r="CV707" s="72">
        <f t="shared" si="3348"/>
        <v>5.8539059097805364</v>
      </c>
      <c r="CW707" s="188">
        <f>CW677/CW637</f>
        <v>61.257740764467222</v>
      </c>
      <c r="CX707" s="72">
        <f t="shared" si="3349"/>
        <v>11.818247780178595</v>
      </c>
      <c r="CY707" s="188">
        <f>CY677/CY637</f>
        <v>59.905781584582442</v>
      </c>
      <c r="CZ707" s="72">
        <f t="shared" si="3350"/>
        <v>2.6612906937392182</v>
      </c>
      <c r="DA707" s="188">
        <f>DA677/DA637</f>
        <v>57.701836821870998</v>
      </c>
      <c r="DB707" s="88">
        <f t="shared" si="3351"/>
        <v>-1.1746839435078869</v>
      </c>
      <c r="DC707" s="188">
        <f>DC677/DC637</f>
        <v>55.759318423855163</v>
      </c>
      <c r="DD707" s="88">
        <f t="shared" si="3352"/>
        <v>-0.92395761530708853</v>
      </c>
      <c r="DE707" s="188">
        <f>DE677/DE637</f>
        <v>54.013213981244675</v>
      </c>
      <c r="DF707" s="72">
        <f t="shared" si="3353"/>
        <v>-11.826304223457029</v>
      </c>
      <c r="DG707" s="188">
        <f>DG677/DG637</f>
        <v>55.568836712913551</v>
      </c>
      <c r="DH707" s="88">
        <f t="shared" si="3354"/>
        <v>-7.2396098622725731</v>
      </c>
      <c r="DI707" s="188">
        <f>DI677/DI637</f>
        <v>53.976957542137832</v>
      </c>
      <c r="DJ707" s="88">
        <f t="shared" si="3355"/>
        <v>-6.455391171050735</v>
      </c>
      <c r="DK707" s="188">
        <f>DK677/DK637</f>
        <v>56.021021021021021</v>
      </c>
      <c r="DL707" s="88">
        <f t="shared" si="3356"/>
        <v>0.46934324981616271</v>
      </c>
      <c r="DM707" s="188">
        <f>DM677/DM637</f>
        <v>57.609210243167638</v>
      </c>
      <c r="DN707" s="72">
        <f t="shared" si="3357"/>
        <v>6.6576231941532455</v>
      </c>
      <c r="DO707" s="188">
        <f>DO677/DO637</f>
        <v>57.995252481657317</v>
      </c>
      <c r="DP707" s="72">
        <f t="shared" si="3358"/>
        <v>4.3665045235325124</v>
      </c>
      <c r="DQ707" s="188">
        <f>DQ677/DQ637</f>
        <v>54.385698808234018</v>
      </c>
      <c r="DR707" s="72">
        <f t="shared" si="3359"/>
        <v>0.75725139894574056</v>
      </c>
      <c r="DS707" s="725">
        <f>DS677/DS637-0.03</f>
        <v>59.52288985823337</v>
      </c>
      <c r="DT707" s="72">
        <f t="shared" si="3360"/>
        <v>6.2509907413117674</v>
      </c>
      <c r="DU707" s="13">
        <f>(DU677-DU545)/DU637</f>
        <v>61.88155594405594</v>
      </c>
      <c r="DV707" s="72">
        <f t="shared" si="3361"/>
        <v>7.416081010058619</v>
      </c>
      <c r="DW707" s="13">
        <f>(DW677-DW545)/DW637</f>
        <v>64.315234117388442</v>
      </c>
      <c r="DX707" s="72">
        <f t="shared" si="3362"/>
        <v>10.897412055805788</v>
      </c>
      <c r="DY707" s="13">
        <f>(DY677-DY545)/DY637</f>
        <v>65.324360105913499</v>
      </c>
      <c r="DZ707" s="72">
        <f t="shared" si="3363"/>
        <v>20.113120797159567</v>
      </c>
      <c r="EA707" s="13">
        <f>(EA677-EA545)/EA637</f>
        <v>67.357142857142861</v>
      </c>
      <c r="EB707" s="72">
        <f t="shared" si="3364"/>
        <v>13.16174839220416</v>
      </c>
      <c r="EC707" s="13">
        <f>(EC677-EC545)/EC637</f>
        <v>68.653153153153156</v>
      </c>
      <c r="ED707" s="72">
        <f t="shared" si="3365"/>
        <v>10.942836045071473</v>
      </c>
      <c r="EE707" s="13">
        <f>(EE677-EE545)/EE637</f>
        <v>71.969627768897013</v>
      </c>
      <c r="EF707" s="72">
        <f t="shared" si="3366"/>
        <v>11.901369491305488</v>
      </c>
      <c r="EG707" s="13">
        <f>(EG677-EG545)/EG637</f>
        <v>71.643741403026141</v>
      </c>
      <c r="EH707" s="72">
        <f t="shared" si="3367"/>
        <v>9.6738510516853466</v>
      </c>
      <c r="EI707" s="13">
        <f>(EI677-EI545)/EI637</f>
        <v>73.749283174675995</v>
      </c>
      <c r="EJ707" s="72">
        <f t="shared" si="3368"/>
        <v>9.4899219984585272</v>
      </c>
      <c r="EK707" s="13">
        <f>(EK677-EK545)/EK637</f>
        <v>73.963855977133377</v>
      </c>
      <c r="EL707" s="72">
        <f t="shared" si="3369"/>
        <v>7.7355555864025263</v>
      </c>
      <c r="EM707" s="13">
        <f>(EM677-EM545)/EM637</f>
        <v>78.257747718534304</v>
      </c>
      <c r="EN707" s="72">
        <f t="shared" si="3370"/>
        <v>8.7371855942192553</v>
      </c>
      <c r="EO707" s="13">
        <f>(EO677+500)/(EO637)</f>
        <v>86.056919899013081</v>
      </c>
      <c r="EP707" s="72">
        <f t="shared" si="3371"/>
        <v>20.11784730072479</v>
      </c>
      <c r="EQ707" s="13">
        <f>(EQ677-EQ545)/EQ637</f>
        <v>90.095744882758709</v>
      </c>
      <c r="ER707" s="72">
        <f t="shared" si="3373"/>
        <v>22.164909276970107</v>
      </c>
      <c r="ES707" s="13">
        <f>(ES677-ES545)/ES637</f>
        <v>91.300352169255916</v>
      </c>
      <c r="ET707" s="72">
        <f t="shared" si="3375"/>
        <v>23.439146003261754</v>
      </c>
      <c r="EU707" s="13">
        <f>(EU677-EU545)/EU637</f>
        <v>92.471801432197481</v>
      </c>
      <c r="EV707" s="72">
        <f t="shared" si="3377"/>
        <v>18.163126499354604</v>
      </c>
      <c r="EW707" s="13">
        <f>(EW677-EW545)/EW637</f>
        <v>93.332509674209746</v>
      </c>
      <c r="EX707" s="72">
        <f t="shared" si="3379"/>
        <v>8.4543924924741702</v>
      </c>
      <c r="EY707" s="88"/>
      <c r="EZ707" s="340"/>
      <c r="FA707" s="88"/>
      <c r="FB707" s="13"/>
      <c r="FC707" s="88"/>
      <c r="FD707" s="12"/>
      <c r="FE707" s="88"/>
      <c r="FF707" s="188">
        <f>FF677/FF637</f>
        <v>22.647058823529413</v>
      </c>
      <c r="FG707" s="72" t="str">
        <f t="shared" si="3380"/>
        <v>NA</v>
      </c>
      <c r="FH707" s="188">
        <f>FH677/FH637</f>
        <v>32.631668946648432</v>
      </c>
      <c r="FI707" s="72">
        <f t="shared" si="3381"/>
        <v>44.087888855330732</v>
      </c>
      <c r="FJ707" s="188">
        <f>FJ677/FJ637</f>
        <v>33.204350927246793</v>
      </c>
      <c r="FK707" s="72">
        <f t="shared" si="3382"/>
        <v>1.7549883260174965</v>
      </c>
      <c r="FL707" s="188">
        <f>FL677/FL637</f>
        <v>34.325073964497044</v>
      </c>
      <c r="FM707" s="72">
        <f t="shared" si="3383"/>
        <v>3.3752294682881683</v>
      </c>
      <c r="FN707" s="188">
        <f>FN677/FN637</f>
        <v>36.485418626528691</v>
      </c>
      <c r="FO707" s="72">
        <f t="shared" si="3384"/>
        <v>6.2937800637112247</v>
      </c>
      <c r="FP707" s="188">
        <f>FP677/FP637</f>
        <v>40.516663380003941</v>
      </c>
      <c r="FQ707" s="72">
        <f t="shared" si="3385"/>
        <v>11.048920103507086</v>
      </c>
      <c r="FR707" s="188">
        <f>FR677/FR637</f>
        <v>44.144969797958758</v>
      </c>
      <c r="FS707" s="72">
        <f t="shared" si="3386"/>
        <v>8.9550967806136867</v>
      </c>
      <c r="FT707" s="188">
        <f>FT677/FT637</f>
        <v>46.707692307692305</v>
      </c>
      <c r="FU707" s="72">
        <f t="shared" si="3387"/>
        <v>5.8052424125841071</v>
      </c>
      <c r="FV707" s="188">
        <f>FV677/FV637</f>
        <v>46.037246581801035</v>
      </c>
      <c r="FW707" s="72">
        <f t="shared" si="3388"/>
        <v>-1.4354075159068742</v>
      </c>
      <c r="FX707" s="188">
        <f>FX677/FX637</f>
        <v>52.74744027303754</v>
      </c>
      <c r="FY707" s="72">
        <f t="shared" si="3389"/>
        <v>14.575575625083331</v>
      </c>
      <c r="FZ707" s="188">
        <f>FZ677/FZ637</f>
        <v>52.005287777099859</v>
      </c>
      <c r="GA707" s="72">
        <f t="shared" si="3390"/>
        <v>-1.406992438108972</v>
      </c>
      <c r="GB707" s="188">
        <f>GB677/GB637</f>
        <v>58.387707850978735</v>
      </c>
      <c r="GC707" s="72">
        <f t="shared" si="3391"/>
        <v>12.272636777311192</v>
      </c>
      <c r="GD707" s="188">
        <f>GD677/GD637</f>
        <v>57.701836821870998</v>
      </c>
      <c r="GE707" s="72">
        <f t="shared" si="3392"/>
        <v>-1.1746839435078869</v>
      </c>
      <c r="GF707" s="188">
        <f>GF677/GF637</f>
        <v>53.976957542137832</v>
      </c>
      <c r="GG707" s="72">
        <f t="shared" si="3393"/>
        <v>-6.455391171050735</v>
      </c>
      <c r="GH707" s="188">
        <f>GH677/GH637</f>
        <v>54.385698808234018</v>
      </c>
      <c r="GI707" s="72">
        <f t="shared" si="3394"/>
        <v>0.75725139894574056</v>
      </c>
      <c r="GJ707" s="188">
        <f>GJ677/GJ637</f>
        <v>65.324360105913499</v>
      </c>
      <c r="GK707" s="72">
        <f t="shared" si="3394"/>
        <v>20.113120797159567</v>
      </c>
      <c r="GL707" s="188">
        <f>GL677/GL637</f>
        <v>71.623108665749655</v>
      </c>
      <c r="GM707" s="72">
        <f t="shared" si="3394"/>
        <v>9.6422659933043349</v>
      </c>
      <c r="GN707" s="188">
        <f>(GN677+500)/GN637</f>
        <v>86.056919899013081</v>
      </c>
      <c r="GO707" s="72">
        <f t="shared" si="3394"/>
        <v>20.152450099063785</v>
      </c>
      <c r="GP707" s="188">
        <f>GP677/GP637</f>
        <v>93.306114698921377</v>
      </c>
      <c r="GQ707" s="72">
        <f t="shared" si="3394"/>
        <v>8.4237209609815835</v>
      </c>
      <c r="GR707" s="188">
        <f>GR677/GR637</f>
        <v>99.682366613864474</v>
      </c>
      <c r="GS707" s="72">
        <f t="shared" si="3394"/>
        <v>6.833691377588579</v>
      </c>
      <c r="GT707" s="188">
        <f>GT677/GT637</f>
        <v>106.06529323151716</v>
      </c>
      <c r="GU707" s="72">
        <f t="shared" si="3394"/>
        <v>6.4032655267686209</v>
      </c>
      <c r="GV707" s="188">
        <f>GV677/GV637</f>
        <v>112.49258693630851</v>
      </c>
      <c r="GW707" s="72">
        <f t="shared" si="3395"/>
        <v>6.0597519782102438</v>
      </c>
      <c r="GX707" s="188">
        <f>GX677/GX637</f>
        <v>118.90891132226216</v>
      </c>
      <c r="GY707" s="72">
        <f t="shared" si="3396"/>
        <v>5.7037752981771632</v>
      </c>
      <c r="GZ707" s="72">
        <f t="shared" si="3397"/>
        <v>6.6806666601279208</v>
      </c>
      <c r="HA707" s="72"/>
      <c r="HB707" s="72"/>
      <c r="HC707"/>
      <c r="HD707"/>
      <c r="HE707"/>
      <c r="HF707"/>
      <c r="HG707"/>
      <c r="HH707"/>
      <c r="HI707" s="2"/>
    </row>
    <row r="708" spans="1:217" s="3" customFormat="1" ht="12.75" hidden="1" customHeight="1" outlineLevel="1" x14ac:dyDescent="0.2">
      <c r="A708" s="3" t="s">
        <v>245</v>
      </c>
      <c r="B708" s="4" t="s">
        <v>57</v>
      </c>
      <c r="C708" s="169"/>
      <c r="D708" s="188"/>
      <c r="E708" s="169"/>
      <c r="F708" s="11"/>
      <c r="G708" s="169"/>
      <c r="H708" s="11"/>
      <c r="I708" s="169">
        <f>(I684)/I637</f>
        <v>32.657926369338121</v>
      </c>
      <c r="J708" s="11"/>
      <c r="K708" s="169">
        <f>(K684)/K637</f>
        <v>33.795691962209951</v>
      </c>
      <c r="L708" s="72" t="str">
        <f>IF(ISERROR(K708/C708),"NA",IF(OR(K708/C708&gt;2,K708/C708&lt;0.5),"NM",K708/C708*100-100))</f>
        <v>NA</v>
      </c>
      <c r="M708" s="169">
        <f>(M684)/M637</f>
        <v>33.884794086952922</v>
      </c>
      <c r="N708" s="72" t="str">
        <f>IF(ISERROR(M708/E708),"NA",IF(OR(M708/E708&gt;2,M708/E708&lt;0.5),"NM",M708/E708*100-100))</f>
        <v>NA</v>
      </c>
      <c r="O708" s="169">
        <f>(O684)/O637</f>
        <v>33.235376677768549</v>
      </c>
      <c r="P708" s="72" t="str">
        <f>IF(ISERROR(O708/G708),"NA",IF(OR(O708/G708&gt;2,O708/G708&lt;0.5),"NM",O708/G708*100-100))</f>
        <v>NA</v>
      </c>
      <c r="Q708" s="169">
        <f>(Q684)/Q637</f>
        <v>32.631668946648432</v>
      </c>
      <c r="R708" s="72">
        <f>IF(ISERROR(Q708/I708),"NA",IF(OR(Q708/I708&gt;2,Q708/I708&lt;0.5),"NM",Q708/I708*100-100))</f>
        <v>-8.0401377579022437E-2</v>
      </c>
      <c r="S708" s="169">
        <f>(S684)/S637</f>
        <v>32.983926128590973</v>
      </c>
      <c r="T708" s="72">
        <f>IF(ISERROR(S708/K708),"NA",IF(OR(S708/K708&gt;2,S708/K708&lt;0.5),"NM",S708/K708*100-100))</f>
        <v>-2.4019802125273486</v>
      </c>
      <c r="U708" s="169">
        <f>(U684)/U637</f>
        <v>33.117929379499486</v>
      </c>
      <c r="V708" s="72">
        <f>IF(ISERROR(U708/M708),"NA",IF(OR(U708/M708&gt;2,U708/M708&lt;0.5),"NM",U708/M708*100-100))</f>
        <v>-2.2631529218845543</v>
      </c>
      <c r="W708" s="169">
        <f>(W684)/W637</f>
        <v>33.714134835416296</v>
      </c>
      <c r="X708" s="72">
        <f>IF(ISERROR(W708/O708),"NA",IF(OR(W708/O708&gt;2,W708/O708&lt;0.5),"NM",W708/O708*100-100))</f>
        <v>1.4405076924191889</v>
      </c>
      <c r="Y708" s="169">
        <f>(Y684)/Y637</f>
        <v>33.204350927246793</v>
      </c>
      <c r="Z708" s="72">
        <f>IF(ISERROR(Y708/Q708),"NA",IF(OR(Y708/Q708&gt;2,Y708/Q708&lt;0.5),"NM",Y708/Q708*100-100))</f>
        <v>1.7549883260174965</v>
      </c>
      <c r="AA708" s="169">
        <f>(AA684)/AA637</f>
        <v>33.6579185520362</v>
      </c>
      <c r="AB708" s="72">
        <f>IF(ISERROR(AA708/S708),"NA",IF(OR(AA708/S708&gt;2,AA708/S708&lt;0.5),"NM",AA708/S708*100-100))</f>
        <v>2.0433965951100106</v>
      </c>
      <c r="AC708" s="169">
        <f>(AC684)/AC637</f>
        <v>33.893870082342175</v>
      </c>
      <c r="AD708" s="72">
        <f>IF(ISERROR(AC708/U708),"NA",IF(OR(AC708/U708&gt;2,AC708/U708&lt;0.5),"NM",AC708/U708*100-100))</f>
        <v>2.342962610829801</v>
      </c>
      <c r="AE708" s="169">
        <f>(AE684)/AE637</f>
        <v>34.168967421314193</v>
      </c>
      <c r="AF708" s="72">
        <f>IF(ISERROR(AE708/W708),"NA",IF(OR(AE708/W708&gt;2,AE708/W708&lt;0.5),"NM",AE708/W708*100-100))</f>
        <v>1.3490857413908799</v>
      </c>
      <c r="AG708" s="169">
        <f>(AG684)/AG637</f>
        <v>34.325073964497044</v>
      </c>
      <c r="AH708" s="72">
        <f>IF(ISERROR(AG708/Y708),"NA",IF(OR(AG708/Y708&gt;2,AG708/Y708&lt;0.5),"NM",AG708/Y708*100-100))</f>
        <v>3.3752294682881683</v>
      </c>
      <c r="AI708" s="169">
        <f>(AI684)/AI637</f>
        <v>34.64152352501867</v>
      </c>
      <c r="AJ708" s="72">
        <f>IF(ISERROR(AI708/AA708),"NA",IF(OR(AI708/AA708&gt;2,AI708/AA708&lt;0.5),"NM",AI708/AA708*100-100))</f>
        <v>2.922358289808642</v>
      </c>
      <c r="AK708" s="169">
        <f>(AK684)/AK637</f>
        <v>35.473803669377716</v>
      </c>
      <c r="AL708" s="72">
        <f>IF(ISERROR(AK708/AC708),"NA",IF(OR(AK708/AC708&gt;2,AK708/AC708&lt;0.5),"NM",AK708/AC708*100-100))</f>
        <v>4.6614139465255278</v>
      </c>
      <c r="AM708" s="169">
        <f>(AM684)/AM637</f>
        <v>36.388888888888886</v>
      </c>
      <c r="AN708" s="72">
        <f>IF(ISERROR(AM708/AE708),"NA",IF(OR(AM708/AE708&gt;2,AM708/AE708&lt;0.5),"NM",AM708/AE708*100-100))</f>
        <v>6.4968936292465429</v>
      </c>
      <c r="AO708" s="169">
        <f>(AO684)/AO637</f>
        <v>36.485418626528691</v>
      </c>
      <c r="AP708" s="72">
        <f>IF(ISERROR(AO708/AG708),"NA",IF(OR(AO708/AG708&gt;2,AO708/AG708&lt;0.5),"NM",AO708/AG708*100-100))</f>
        <v>6.2937800637112247</v>
      </c>
      <c r="AQ708" s="169">
        <f>(AQ684)/AQ637</f>
        <v>37.810066476733141</v>
      </c>
      <c r="AR708" s="72">
        <f>IF(ISERROR(AQ708/AI708),"NA",IF(OR(AQ708/AI708&gt;2,AQ708/AI708&lt;0.5),"NM",AQ708/AI708*100-100))</f>
        <v>9.1466616629205078</v>
      </c>
      <c r="AS708" s="169">
        <f>(AS684)/AS637</f>
        <v>38.836363636363636</v>
      </c>
      <c r="AT708" s="72">
        <f>IF(ISERROR(AS708/AK708),"NA",IF(OR(AS708/AK708&gt;2,AS708/AK708&lt;0.5),"NM",AS708/AK708*100-100))</f>
        <v>9.478994692324477</v>
      </c>
      <c r="AU708" s="169">
        <f>(AU684)/AU637</f>
        <v>41.049454828660437</v>
      </c>
      <c r="AV708" s="72">
        <f>IF(ISERROR(AU708/AM708),"NA",IF(OR(AU708/AM708&gt;2,AU708/AM708&lt;0.5),"NM",AU708/AM708*100-100))</f>
        <v>12.807662124563038</v>
      </c>
      <c r="AW708" s="169">
        <f>(AW684)/AW637</f>
        <v>40.516663380003941</v>
      </c>
      <c r="AX708" s="72">
        <f>IF(ISERROR(AW708/AO708),"NA",IF(OR(AW708/AO708&gt;2,AW708/AO708&lt;0.5),"NM",AW708/AO708*100-100))</f>
        <v>11.048920103507086</v>
      </c>
      <c r="AY708" s="169">
        <f>(AY684)/AY637</f>
        <v>41.409154507295625</v>
      </c>
      <c r="AZ708" s="72">
        <f>IF(ISERROR(AY708/AQ708),"NA",IF(OR(AY708/AQ708&gt;2,AY708/AQ708&lt;0.5),"NM",AY708/AQ708*100-100))</f>
        <v>9.5188619485163457</v>
      </c>
      <c r="BA708" s="169">
        <f>(BA684)/BA637</f>
        <v>41.776155717761561</v>
      </c>
      <c r="BB708" s="72">
        <f>IF(ISERROR(BA708/AS708),"NA",IF(OR(BA708/AS708&gt;2,BA708/AS708&lt;0.5),"NM",BA708/AS708*100-100))</f>
        <v>7.5696893481688221</v>
      </c>
      <c r="BC708" s="169">
        <f>(BC684)/BC637</f>
        <v>43.624409287035135</v>
      </c>
      <c r="BD708" s="72">
        <f>IF(ISERROR(BC708/AU708),"NA",IF(OR(BC708/AU708&gt;2,BC708/AU708&lt;0.5),"NM",BC708/AU708*100-100))</f>
        <v>6.2728103676955129</v>
      </c>
      <c r="BE708" s="169">
        <f>(BE684)/BE637</f>
        <v>44.144969797958758</v>
      </c>
      <c r="BF708" s="72">
        <f>IF(ISERROR(BE708/AW708),"NA",IF(OR(BE708/AW708&gt;2,BE708/AW708&lt;0.5),"NM",BE708/AW708*100-100))</f>
        <v>8.9550967806136867</v>
      </c>
      <c r="BG708" s="169">
        <f>(BG684)/BG637</f>
        <v>45.61496196111581</v>
      </c>
      <c r="BH708" s="72">
        <f>IF(ISERROR(BG708/AY708),"NA",IF(OR(BG708/AY708&gt;2,BG708/AY708&lt;0.5),"NM",BG708/AY708*100-100))</f>
        <v>10.156709316726548</v>
      </c>
      <c r="BI708" s="169">
        <f>(BI684)/BI637</f>
        <v>46.516829995739243</v>
      </c>
      <c r="BJ708" s="72">
        <f>IF(ISERROR(BI708/BA708),"NA",IF(OR(BI708/BA708&gt;2,BI708/BA708&lt;0.5),"NM",BI708/BA708*100-100))</f>
        <v>11.347799232666446</v>
      </c>
      <c r="BK708" s="169">
        <f>(BK684)/BK637</f>
        <v>48.378787878787875</v>
      </c>
      <c r="BL708" s="72">
        <f>IF(ISERROR(BK708/BC708),"NA",IF(OR(BK708/BC708&gt;2,BK708/BC708&lt;0.5),"NM",BK708/BC708*100-100))</f>
        <v>10.898436607978795</v>
      </c>
      <c r="BM708" s="169">
        <f>(BM684)/BM637</f>
        <v>46.707692307692305</v>
      </c>
      <c r="BN708" s="72">
        <f>IF(ISERROR(BM708/BE708),"NA",IF(OR(BM708/BE708&gt;2,BM708/BE708&lt;0.5),"NM",BM708/BE708*100-100))</f>
        <v>5.8052424125841071</v>
      </c>
      <c r="BO708" s="188">
        <f>(BO684)/BO637</f>
        <v>50.586377988272446</v>
      </c>
      <c r="BP708" s="72">
        <f>IF(ISERROR(BO708/BG708),"NA",IF(OR(BO708/BG708&gt;2,BO708/BG708&lt;0.5),"NM",BO708/BG708*100-100))</f>
        <v>10.898652138292888</v>
      </c>
      <c r="BQ708" s="188">
        <f>(BQ684)/BQ637</f>
        <v>53.293107449524257</v>
      </c>
      <c r="BR708" s="72">
        <f>IF(ISERROR(BQ708/BI708),"NA",IF(OR(BQ708/BI708&gt;2,BQ708/BI708&lt;0.5),"NM",BQ708/BI708*100-100))</f>
        <v>14.567367239783309</v>
      </c>
      <c r="BS708" s="188">
        <f>(BS684)/BS637</f>
        <v>55.839569691300277</v>
      </c>
      <c r="BT708" s="72">
        <f>IF(ISERROR(BS708/BK708),"NA",IF(OR(BS708/BK708&gt;2,BS708/BK708&lt;0.5),"NM",BS708/BK708*100-100))</f>
        <v>15.421597232252381</v>
      </c>
      <c r="BU708" s="188">
        <f>(BU684)/BU637</f>
        <v>46.037246581801035</v>
      </c>
      <c r="BV708" s="88">
        <f>IF(ISERROR(BU708/BM708),"NA",IF(OR(BU708/BM708&gt;2,BU708/BM708&lt;0.5),"NM",BU708/BM708*100-100))</f>
        <v>-1.4354075159068742</v>
      </c>
      <c r="BW708" s="188">
        <f>(BW684)/BW637</f>
        <v>47.71987738740863</v>
      </c>
      <c r="BX708" s="72">
        <f>IF(ISERROR(BW708/BO708),"NA",IF(OR(BW708/BO708&gt;2,BW708/BO708&lt;0.5),"NM",BW708/BO708*100-100))</f>
        <v>-5.6665464396924392</v>
      </c>
      <c r="BY708" s="188">
        <f>(BY684)/BY637</f>
        <v>47.759845061329891</v>
      </c>
      <c r="BZ708" s="72">
        <f>IF(ISERROR(BY708/BQ708),"NA",IF(OR(BY708/BQ708&gt;2,BY708/BQ708&lt;0.5),"NM",BY708/BQ708*100-100))</f>
        <v>-10.38269797540913</v>
      </c>
      <c r="CA708" s="188">
        <f>(CA684)/CA637</f>
        <v>49.920855614973263</v>
      </c>
      <c r="CB708" s="72">
        <f>IF(ISERROR(CA708/BS708),"NA",IF(OR(CA708/BS708&gt;2,CA708/BS708&lt;0.5),"NM",CA708/BS708*100-100))</f>
        <v>-10.599498006606495</v>
      </c>
      <c r="CC708" s="188">
        <f>(CC684)/CC637</f>
        <v>52.74744027303754</v>
      </c>
      <c r="CD708" s="88">
        <f>IF(ISERROR(CC708/BU708),"NA",IF(OR(CC708/BU708&gt;2,CC708/BU708&lt;0.5),"NM",CC708/BU708*100-100))</f>
        <v>14.575575625083331</v>
      </c>
      <c r="CE708" s="188">
        <f>(CE684)/CE637</f>
        <v>48.748937977909939</v>
      </c>
      <c r="CF708" s="72">
        <f>IF(ISERROR(CE708/BW708),"NA",IF(OR(CE708/BW708&gt;2,CE708/BW708&lt;0.5),"NM",CE708/BW708*100-100))</f>
        <v>2.1564610951260192</v>
      </c>
      <c r="CG708" s="188">
        <f>(CG684)/CG637</f>
        <v>50.64968152866242</v>
      </c>
      <c r="CH708" s="72">
        <f>IF(ISERROR(CG708/BY708),"NA",IF(OR(CG708/BY708&gt;2,CG708/BY708&lt;0.5),"NM",CG708/BY708*100-100))</f>
        <v>6.0507660014843054</v>
      </c>
      <c r="CI708" s="188">
        <f>(CI684)/CI637</f>
        <v>52.947033898305087</v>
      </c>
      <c r="CJ708" s="72">
        <f>IF(ISERROR(CI708/CA708),"NA",IF(OR(CI708/CA708&gt;2,CI708/CA708&lt;0.5),"NM",CI708/CA708*100-100))</f>
        <v>6.0619519558557897</v>
      </c>
      <c r="CK708" s="188">
        <f>(CK684)/CK637</f>
        <v>52.005287777099859</v>
      </c>
      <c r="CL708" s="88">
        <f>IF(ISERROR(CK708/CC708),"NA",IF(OR(CK708/CC708&gt;2,CK708/CC708&lt;0.5),"NM",CK708/CC708*100-100))</f>
        <v>-1.406992438108972</v>
      </c>
      <c r="CM708" s="188">
        <f>(CM684)/CM637</f>
        <v>53.16697098803003</v>
      </c>
      <c r="CN708" s="72">
        <f>IF(ISERROR(CM708/CE708),"NA",IF(OR(CM708/CE708&gt;2,CM708/CE708&lt;0.5),"NM",CM708/CE708*100-100))</f>
        <v>9.0628292499870895</v>
      </c>
      <c r="CO708" s="188">
        <f>(CO684)/CO637</f>
        <v>54.783313082219522</v>
      </c>
      <c r="CP708" s="72">
        <f>IF(ISERROR(CO708/CG708),"NA",IF(OR(CO708/CG708&gt;2,CO708/CG708&lt;0.5),"NM",CO708/CG708*100-100))</f>
        <v>8.1612192392915688</v>
      </c>
      <c r="CQ708" s="188">
        <f>(CQ684)/CQ637</f>
        <v>58.352842809364553</v>
      </c>
      <c r="CR708" s="72">
        <f>IF(ISERROR(CQ708/CI708),"NA",IF(OR(CQ708/CI708&gt;2,CQ708/CI708&lt;0.5),"NM",CQ708/CI708*100-100))</f>
        <v>10.209842767476559</v>
      </c>
      <c r="CS708" s="188">
        <f>(CS684)/CS637</f>
        <v>58.387707850978735</v>
      </c>
      <c r="CT708" s="88">
        <f>IF(ISERROR(CS708/CK708),"NA",IF(OR(CS708/CK708&gt;2,CS708/CK708&lt;0.5),"NM",CS708/CK708*100-100))</f>
        <v>12.272636777311192</v>
      </c>
      <c r="CU708" s="188">
        <f>(CU684)/CU637</f>
        <v>56.279315444749628</v>
      </c>
      <c r="CV708" s="72">
        <f>IF(ISERROR(CU708/CM708),"NA",IF(OR(CU708/CM708&gt;2,CU708/CM708&lt;0.5),"NM",CU708/CM708*100-100))</f>
        <v>5.8539059097805364</v>
      </c>
      <c r="CW708" s="188">
        <f>(CW684)/CW637</f>
        <v>61.257740764467222</v>
      </c>
      <c r="CX708" s="72">
        <f>IF(ISERROR(CW708/CO708),"NA",IF(OR(CW708/CO708&gt;2,CW708/CO708&lt;0.5),"NM",CW708/CO708*100-100))</f>
        <v>11.818247780178595</v>
      </c>
      <c r="CY708" s="188">
        <f>(CY684)/CY637</f>
        <v>59.905781584582442</v>
      </c>
      <c r="CZ708" s="72">
        <f>IF(ISERROR(CY708/CQ708),"NA",IF(OR(CY708/CQ708&gt;2,CY708/CQ708&lt;0.5),"NM",CY708/CQ708*100-100))</f>
        <v>2.6612906937392182</v>
      </c>
      <c r="DA708" s="188">
        <f>(DA684)/DA637</f>
        <v>57.701836821870998</v>
      </c>
      <c r="DB708" s="88">
        <f>IF(ISERROR(DA708/CS708),"NA",IF(OR(DA708/CS708&gt;2,DA708/CS708&lt;0.5),"NM",DA708/CS708*100-100))</f>
        <v>-1.1746839435078869</v>
      </c>
      <c r="DC708" s="188">
        <f>(DC684)/DC637</f>
        <v>55.759318423855163</v>
      </c>
      <c r="DD708" s="88">
        <f>IF(ISERROR(DC708/CU708),"NA",IF(OR(DC708/CU708&gt;2,DC708/CU708&lt;0.5),"NM",DC708/CU708*100-100))</f>
        <v>-0.92395761530708853</v>
      </c>
      <c r="DE708" s="188">
        <f>(DE684)/DE637</f>
        <v>54.013213981244675</v>
      </c>
      <c r="DF708" s="88">
        <f>IF(ISERROR(DE708/CW708),"NA",IF(OR(DE708/CW708&gt;2,DE708/CW708&lt;0.5),"NM",DE708/CW708*100-100))</f>
        <v>-11.826304223457029</v>
      </c>
      <c r="DG708" s="188">
        <f>(DG684)/DG637</f>
        <v>55.568836712913551</v>
      </c>
      <c r="DH708" s="88">
        <f>IF(ISERROR(DG708/CY708),"NA",IF(OR(DG708/CY708&gt;2,DG708/CY708&lt;0.5),"NM",DG708/CY708*100-100))</f>
        <v>-7.2396098622725731</v>
      </c>
      <c r="DI708" s="188">
        <f>(DI684)/DI637</f>
        <v>53.976957542137832</v>
      </c>
      <c r="DJ708" s="88">
        <f>IF(ISERROR(DI708/DA708),"NA",IF(OR(DI708/DA708&gt;2,DI708/DA708&lt;0.5),"NM",DI708/DA708*100-100))</f>
        <v>-6.455391171050735</v>
      </c>
      <c r="DK708" s="188">
        <f>(DK684)/DK637</f>
        <v>56.021021021021021</v>
      </c>
      <c r="DL708" s="88">
        <f>IF(ISERROR(DK708/DC708),"NA",IF(OR(DK708/DC708&gt;2,DK708/DC708&lt;0.5),"NM",DK708/DC708*100-100))</f>
        <v>0.46934324981616271</v>
      </c>
      <c r="DM708" s="188">
        <f>(DM684)/DM637</f>
        <v>57.609210243167638</v>
      </c>
      <c r="DN708" s="88">
        <f t="shared" ref="DN708:DZ708" si="3414">IF(ISERROR(DM708/DE708),"NA",IF(OR(DM708/DE708&gt;2,DM708/DE708&lt;0.5),"NM",DM708/DE708*100-100))</f>
        <v>6.6576231941532455</v>
      </c>
      <c r="DO708" s="188">
        <f>(DO684)/DO637</f>
        <v>57.995252481657317</v>
      </c>
      <c r="DP708" s="88">
        <f t="shared" si="3414"/>
        <v>4.3665045235325124</v>
      </c>
      <c r="DQ708" s="188">
        <f>(DQ684)/DQ637</f>
        <v>54.385698808234018</v>
      </c>
      <c r="DR708" s="88">
        <f t="shared" si="3414"/>
        <v>0.75725139894574056</v>
      </c>
      <c r="DS708" s="188">
        <f>(DS684)/DS637</f>
        <v>59.552889858233371</v>
      </c>
      <c r="DT708" s="88">
        <f t="shared" si="3414"/>
        <v>6.3045420680338395</v>
      </c>
      <c r="DU708" s="188">
        <f>(DU684)/DU637</f>
        <v>61.88155594405594</v>
      </c>
      <c r="DV708" s="88">
        <f t="shared" si="3414"/>
        <v>7.416081010058619</v>
      </c>
      <c r="DW708" s="188">
        <f>(DW684)/DW637</f>
        <v>64.315234117388442</v>
      </c>
      <c r="DX708" s="88">
        <f t="shared" si="3414"/>
        <v>10.897412055805788</v>
      </c>
      <c r="DY708" s="188">
        <f>(DY684)/DY637</f>
        <v>65.324360105913499</v>
      </c>
      <c r="DZ708" s="88">
        <f t="shared" si="3414"/>
        <v>20.113120797159567</v>
      </c>
      <c r="EA708" s="188">
        <f>(EA684)/EA637</f>
        <v>67.357142857142861</v>
      </c>
      <c r="EB708" s="88">
        <f t="shared" si="3364"/>
        <v>13.104742721113354</v>
      </c>
      <c r="EC708" s="188">
        <f>(EC684)/EC637</f>
        <v>68.653153153153156</v>
      </c>
      <c r="ED708" s="88">
        <f t="shared" si="3365"/>
        <v>10.942836045071473</v>
      </c>
      <c r="EE708" s="188">
        <f>(EE684)/EE637</f>
        <v>71.947933318109165</v>
      </c>
      <c r="EF708" s="88">
        <f t="shared" si="3366"/>
        <v>11.867638057243937</v>
      </c>
      <c r="EG708" s="188">
        <f>(EG684)/EG637</f>
        <v>71.623108665749655</v>
      </c>
      <c r="EH708" s="88">
        <f t="shared" si="3367"/>
        <v>9.6422659933043349</v>
      </c>
      <c r="EI708" s="188">
        <f>(EI684)/EI637</f>
        <v>73.726344764307839</v>
      </c>
      <c r="EJ708" s="88">
        <f t="shared" si="3368"/>
        <v>9.4558670944124827</v>
      </c>
      <c r="EK708" s="188">
        <f>(EK684)/EK637</f>
        <v>73.952330459637636</v>
      </c>
      <c r="EL708" s="88">
        <f t="shared" si="3369"/>
        <v>7.7187675483206846</v>
      </c>
      <c r="EM708" s="188">
        <f>(EM684)/EM637</f>
        <v>78.229953212581648</v>
      </c>
      <c r="EN708" s="88">
        <f t="shared" si="3370"/>
        <v>8.7313416866295199</v>
      </c>
      <c r="EO708" s="188">
        <f>(EO684)/EO637</f>
        <v>84.909341289878355</v>
      </c>
      <c r="EP708" s="88">
        <f t="shared" si="3371"/>
        <v>18.550203798236154</v>
      </c>
      <c r="EQ708" s="188">
        <f t="shared" ref="EQ708" si="3415">(EQ684)/EQ637</f>
        <v>90.069953017350841</v>
      </c>
      <c r="ER708" s="88">
        <f t="shared" si="3373"/>
        <v>22.1679350919825</v>
      </c>
      <c r="ES708" s="188">
        <f t="shared" ref="ES708" si="3416">(ES684)/ES637</f>
        <v>91.27435994091374</v>
      </c>
      <c r="ET708" s="88">
        <f t="shared" si="3375"/>
        <v>23.423236798102366</v>
      </c>
      <c r="EU708" s="188">
        <f t="shared" ref="EU708" si="3417">(EU684)/EU637</f>
        <v>92.445608157197952</v>
      </c>
      <c r="EV708" s="88">
        <f t="shared" si="3377"/>
        <v>18.171626545636244</v>
      </c>
      <c r="EW708" s="188">
        <f t="shared" ref="EW708" si="3418">(EW684)/EW637</f>
        <v>93.306114698921377</v>
      </c>
      <c r="EX708" s="88">
        <f t="shared" si="3379"/>
        <v>9.8891044041628362</v>
      </c>
      <c r="EY708" s="88"/>
      <c r="EZ708" s="340"/>
      <c r="FA708" s="88"/>
      <c r="FB708" s="13"/>
      <c r="FC708" s="88"/>
      <c r="FD708" s="12"/>
      <c r="FE708" s="88"/>
      <c r="FF708" s="188">
        <f>(FF684)/FF637</f>
        <v>32.590912840536475</v>
      </c>
      <c r="FG708" s="72" t="str">
        <f>IF(ISERROR(FF708/FD708),"NA",IF(OR(FF708/FD708&gt;2,FF708/FD708&lt;0.5),"NM",FF708/FD708*100-100))</f>
        <v>NA</v>
      </c>
      <c r="FH708" s="188">
        <f>(FH684)/FH637</f>
        <v>32.631668946648432</v>
      </c>
      <c r="FI708" s="72">
        <f>IF(ISERROR(FH708/FF708),"NA",IF(OR(FH708/FF708&gt;2,FH708/FF708&lt;0.5),"NM",FH708/FF708*100-100))</f>
        <v>0.12505358874534522</v>
      </c>
      <c r="FJ708" s="188">
        <f>(FJ684)/FJ637</f>
        <v>33.204350927246793</v>
      </c>
      <c r="FK708" s="72">
        <f>IF(ISERROR(FJ708/FH708),"NA",IF(OR(FJ708/FH708&gt;2,FJ708/FH708&lt;0.5),"NM",FJ708/FH708*100-100))</f>
        <v>1.7549883260174965</v>
      </c>
      <c r="FL708" s="188">
        <f>(FL684)/FL637</f>
        <v>34.325073964497044</v>
      </c>
      <c r="FM708" s="72">
        <f>IF(ISERROR(FL708/FJ708),"NA",IF(OR(FL708/FJ708&gt;2,FL708/FJ708&lt;0.5),"NM",FL708/FJ708*100-100))</f>
        <v>3.3752294682881683</v>
      </c>
      <c r="FN708" s="188">
        <f>(FN684)/FN637</f>
        <v>36.485418626528691</v>
      </c>
      <c r="FO708" s="72">
        <f>IF(ISERROR(FN708/FL708),"NA",IF(OR(FN708/FL708&gt;2,FN708/FL708&lt;0.5),"NM",FN708/FL708*100-100))</f>
        <v>6.2937800637112247</v>
      </c>
      <c r="FP708" s="188">
        <f>(FP684)/FP637</f>
        <v>40.516663380003941</v>
      </c>
      <c r="FQ708" s="72">
        <f>IF(ISERROR(FP708/FN708),"NA",IF(OR(FP708/FN708&gt;2,FP708/FN708&lt;0.5),"NM",FP708/FN708*100-100))</f>
        <v>11.048920103507086</v>
      </c>
      <c r="FR708" s="188">
        <f>(FR684)/FR637</f>
        <v>44.144969797958758</v>
      </c>
      <c r="FS708" s="72">
        <f>IF(ISERROR(FR708/FP708),"NA",IF(OR(FR708/FP708&gt;2,FR708/FP708&lt;0.5),"NM",FR708/FP708*100-100))</f>
        <v>8.9550967806136867</v>
      </c>
      <c r="FT708" s="188">
        <f>(FT684)/FT637</f>
        <v>46.707692307692305</v>
      </c>
      <c r="FU708" s="72">
        <f>IF(ISERROR(FT708/FR708),"NA",IF(OR(FT708/FR708&gt;2,FT708/FR708&lt;0.5),"NM",FT708/FR708*100-100))</f>
        <v>5.8052424125841071</v>
      </c>
      <c r="FV708" s="188">
        <f>(FV684)/FV637</f>
        <v>46.037246581801035</v>
      </c>
      <c r="FW708" s="72">
        <f>IF(ISERROR(FV708/FT708),"NA",IF(OR(FV708/FT708&gt;2,FV708/FT708&lt;0.5),"NM",FV708/FT708*100-100))</f>
        <v>-1.4354075159068742</v>
      </c>
      <c r="FX708" s="188">
        <f>(FX684)/FX637</f>
        <v>52.74744027303754</v>
      </c>
      <c r="FY708" s="72">
        <f>IF(ISERROR(FX708/FV708),"NA",IF(OR(FX708/FV708&gt;2,FX708/FV708&lt;0.5),"NM",FX708/FV708*100-100))</f>
        <v>14.575575625083331</v>
      </c>
      <c r="FZ708" s="188">
        <f>(FZ684)/FZ637</f>
        <v>52.005287777099859</v>
      </c>
      <c r="GA708" s="72">
        <f>IF(ISERROR(FZ708/FX708),"NA",IF(OR(FZ708/FX708&gt;2,FZ708/FX708&lt;0.5),"NM",FZ708/FX708*100-100))</f>
        <v>-1.406992438108972</v>
      </c>
      <c r="GB708" s="188">
        <f>(GB684)/GB637</f>
        <v>58.387707850978735</v>
      </c>
      <c r="GC708" s="72">
        <f>IF(ISERROR(GB708/FZ708),"NA",IF(OR(GB708/FZ708&gt;2,GB708/FZ708&lt;0.5),"NM",GB708/FZ708*100-100))</f>
        <v>12.272636777311192</v>
      </c>
      <c r="GD708" s="188">
        <f>(GD684)/GD637</f>
        <v>57.701836821870998</v>
      </c>
      <c r="GE708" s="72">
        <f>IF(ISERROR(GD708/GB708),"NA",IF(OR(GD708/GB708&gt;2,GD708/GB708&lt;0.5),"NM",GD708/GB708*100-100))</f>
        <v>-1.1746839435078869</v>
      </c>
      <c r="GF708" s="188">
        <f>(GF684)/GF637</f>
        <v>53.976957542137832</v>
      </c>
      <c r="GG708" s="72">
        <f>IF(ISERROR(GF708/GD708),"NA",IF(OR(GF708/GD708&gt;2,GF708/GD708&lt;0.5),"NM",GF708/GD708*100-100))</f>
        <v>-6.455391171050735</v>
      </c>
      <c r="GH708" s="188">
        <f>(GH684)/GH637</f>
        <v>54.385698808234018</v>
      </c>
      <c r="GI708" s="72">
        <f>IF(ISERROR(GH708/GF708),"NA",IF(OR(GH708/GF708&gt;2,GH708/GF708&lt;0.5),"NM",GH708/GF708*100-100))</f>
        <v>0.75725139894574056</v>
      </c>
      <c r="GJ708" s="188">
        <f>(GJ684)/GJ637</f>
        <v>65.324360105913499</v>
      </c>
      <c r="GK708" s="72">
        <f>IF(ISERROR(GJ708/GH708),"NA",IF(OR(GJ708/GH708&gt;2,GJ708/GH708&lt;0.5),"NM",GJ708/GH708*100-100))</f>
        <v>20.113120797159567</v>
      </c>
      <c r="GL708" s="188">
        <f>(GL684)/GL637</f>
        <v>71.623108665749655</v>
      </c>
      <c r="GM708" s="72">
        <f>IF(ISERROR(GL708/GJ708),"NA",IF(OR(GL708/GJ708&gt;2,GL708/GJ708&lt;0.5),"NM",GL708/GJ708*100-100))</f>
        <v>9.6422659933043349</v>
      </c>
      <c r="GN708" s="188">
        <f>(GN684)/GN637</f>
        <v>84.909341289878355</v>
      </c>
      <c r="GO708" s="72">
        <f>IF(ISERROR(GN708/GL708),"NA",IF(OR(GN708/GL708&gt;2,GN708/GL708&lt;0.5),"NM",GN708/GL708*100-100))</f>
        <v>18.550203798236154</v>
      </c>
      <c r="GP708" s="188">
        <f>(GP684)/GP637</f>
        <v>93.306114698921377</v>
      </c>
      <c r="GQ708" s="72">
        <f>IF(ISERROR(GP708/GN708),"NA",IF(OR(GP708/GN708&gt;2,GP708/GN708&lt;0.5),"NM",GP708/GN708*100-100))</f>
        <v>9.8891044041628362</v>
      </c>
      <c r="GR708" s="188">
        <f>(GR684)/GR637</f>
        <v>99.682366613864474</v>
      </c>
      <c r="GS708" s="72">
        <f>IF(ISERROR(GR708/GP708),"NA",IF(OR(GR708/GP708&gt;2,GR708/GP708&lt;0.5),"NM",GR708/GP708*100-100))</f>
        <v>6.833691377588579</v>
      </c>
      <c r="GT708" s="188">
        <f>(GT684)/GT637</f>
        <v>106.06529323151716</v>
      </c>
      <c r="GU708" s="72">
        <f>IF(ISERROR(GT708/GR708),"NA",IF(OR(GT708/GR708&gt;2,GT708/GR708&lt;0.5),"NM",GT708/GR708*100-100))</f>
        <v>6.4032655267686209</v>
      </c>
      <c r="GV708" s="188">
        <f>(GV684)/GV637</f>
        <v>112.49258693630851</v>
      </c>
      <c r="GW708" s="72">
        <f>IF(ISERROR(GV708/GT708),"NA",IF(OR(GV708/GT708&gt;2,GV708/GT708&lt;0.5),"NM",GV708/GT708*100-100))</f>
        <v>6.0597519782102438</v>
      </c>
      <c r="GX708" s="188">
        <f>(GX684)/GX637</f>
        <v>118.90891132226216</v>
      </c>
      <c r="GY708" s="72">
        <f>IF(ISERROR(GX708/GV708),"NA",IF(OR(GX708/GV708&gt;2,GX708/GV708&lt;0.5),"NM",GX708/GV708*100-100))</f>
        <v>5.7037752981771632</v>
      </c>
      <c r="GZ708" s="72">
        <f t="shared" si="3397"/>
        <v>6.9674853369695144</v>
      </c>
      <c r="HA708" s="72"/>
      <c r="HB708" s="72"/>
      <c r="HC708"/>
      <c r="HD708"/>
      <c r="HE708"/>
      <c r="HF708"/>
      <c r="HG708"/>
      <c r="HH708"/>
      <c r="HI708" s="2"/>
    </row>
    <row r="709" spans="1:217" s="3" customFormat="1" ht="12.75" customHeight="1" collapsed="1" x14ac:dyDescent="0.2">
      <c r="B709" s="4"/>
      <c r="C709" s="169"/>
      <c r="D709" s="188"/>
      <c r="E709" s="169"/>
      <c r="F709" s="11"/>
      <c r="G709" s="169"/>
      <c r="H709" s="11"/>
      <c r="I709" s="169"/>
      <c r="J709" s="11"/>
      <c r="K709" s="169"/>
      <c r="L709" s="72"/>
      <c r="M709" s="169"/>
      <c r="N709" s="72"/>
      <c r="O709" s="169"/>
      <c r="P709" s="72"/>
      <c r="Q709" s="169"/>
      <c r="R709" s="72"/>
      <c r="S709" s="169"/>
      <c r="T709" s="72"/>
      <c r="U709" s="169"/>
      <c r="V709" s="72"/>
      <c r="W709" s="169"/>
      <c r="X709" s="72"/>
      <c r="Y709" s="169"/>
      <c r="Z709" s="72"/>
      <c r="AA709" s="169"/>
      <c r="AB709" s="72"/>
      <c r="AC709" s="169"/>
      <c r="AD709" s="72"/>
      <c r="AE709" s="169"/>
      <c r="AF709" s="72"/>
      <c r="AG709" s="169"/>
      <c r="AH709" s="72"/>
      <c r="AI709" s="169"/>
      <c r="AJ709" s="72"/>
      <c r="AK709" s="169"/>
      <c r="AL709" s="72"/>
      <c r="AM709" s="169"/>
      <c r="AN709" s="72"/>
      <c r="AO709" s="169"/>
      <c r="AP709" s="72"/>
      <c r="AQ709" s="169"/>
      <c r="AR709" s="72"/>
      <c r="AS709" s="169"/>
      <c r="AT709" s="72"/>
      <c r="AU709" s="169"/>
      <c r="AV709" s="72"/>
      <c r="AW709" s="169"/>
      <c r="AX709" s="72"/>
      <c r="AY709" s="169"/>
      <c r="AZ709" s="72"/>
      <c r="BA709" s="169"/>
      <c r="BB709" s="72"/>
      <c r="BC709" s="169"/>
      <c r="BD709" s="72"/>
      <c r="BE709" s="169"/>
      <c r="BF709" s="72"/>
      <c r="BG709" s="169"/>
      <c r="BH709" s="72"/>
      <c r="BI709" s="169"/>
      <c r="BJ709" s="72"/>
      <c r="BK709" s="169"/>
      <c r="BL709" s="72"/>
      <c r="BM709" s="169"/>
      <c r="BN709" s="72"/>
      <c r="BO709" s="188"/>
      <c r="BP709" s="72"/>
      <c r="BQ709" s="188"/>
      <c r="BR709" s="72"/>
      <c r="BS709" s="188"/>
      <c r="BT709" s="72"/>
      <c r="BU709" s="188"/>
      <c r="BV709" s="88"/>
      <c r="BW709" s="188"/>
      <c r="BX709" s="72"/>
      <c r="BY709" s="188"/>
      <c r="BZ709" s="72"/>
      <c r="CA709" s="188"/>
      <c r="CB709" s="72"/>
      <c r="CC709" s="188"/>
      <c r="CD709" s="88"/>
      <c r="CE709" s="188"/>
      <c r="CF709" s="72"/>
      <c r="CG709" s="188"/>
      <c r="CH709" s="72"/>
      <c r="CI709" s="188"/>
      <c r="CJ709" s="72"/>
      <c r="CK709" s="188"/>
      <c r="CL709" s="88"/>
      <c r="CM709" s="188"/>
      <c r="CN709" s="72"/>
      <c r="CO709" s="188"/>
      <c r="CP709" s="72"/>
      <c r="CQ709" s="188"/>
      <c r="CR709" s="72"/>
      <c r="CS709" s="188"/>
      <c r="CT709" s="88"/>
      <c r="CU709" s="188"/>
      <c r="CV709" s="72"/>
      <c r="CW709" s="188"/>
      <c r="CX709" s="72"/>
      <c r="CY709" s="188"/>
      <c r="CZ709" s="72"/>
      <c r="DA709" s="188"/>
      <c r="DB709" s="88"/>
      <c r="DC709" s="188"/>
      <c r="DD709" s="88"/>
      <c r="DE709" s="188"/>
      <c r="DF709" s="72"/>
      <c r="DG709" s="188"/>
      <c r="DH709" s="88"/>
      <c r="DI709" s="188"/>
      <c r="DJ709" s="88"/>
      <c r="DK709" s="188"/>
      <c r="DL709" s="88"/>
      <c r="DM709" s="188"/>
      <c r="DN709" s="72"/>
      <c r="DO709" s="188"/>
      <c r="DP709" s="72"/>
      <c r="DQ709" s="188"/>
      <c r="DR709" s="72"/>
      <c r="DS709" s="188"/>
      <c r="DT709" s="72"/>
      <c r="DU709" s="188"/>
      <c r="DV709" s="72"/>
      <c r="DW709" s="188"/>
      <c r="DX709" s="72"/>
      <c r="DY709" s="188"/>
      <c r="DZ709" s="72"/>
      <c r="EA709" s="188"/>
      <c r="EB709" s="72"/>
      <c r="EC709" s="188"/>
      <c r="ED709" s="72"/>
      <c r="EE709" s="188"/>
      <c r="EF709" s="72"/>
      <c r="EG709" s="188"/>
      <c r="EH709" s="72"/>
      <c r="EI709" s="188"/>
      <c r="EJ709" s="72"/>
      <c r="EK709" s="188"/>
      <c r="EL709" s="72"/>
      <c r="EM709" s="188"/>
      <c r="EN709" s="72"/>
      <c r="EO709" s="188"/>
      <c r="EP709" s="72"/>
      <c r="EQ709" s="188"/>
      <c r="ER709" s="72"/>
      <c r="ES709" s="188"/>
      <c r="ET709" s="72"/>
      <c r="EU709" s="188"/>
      <c r="EV709" s="72"/>
      <c r="EW709" s="188"/>
      <c r="EX709" s="72"/>
      <c r="EY709" s="88"/>
      <c r="EZ709" s="340"/>
      <c r="FA709" s="88"/>
      <c r="FB709" s="13"/>
      <c r="FC709" s="88"/>
      <c r="FD709" s="12"/>
      <c r="FE709" s="88"/>
      <c r="FF709" s="188"/>
      <c r="FG709" s="72"/>
      <c r="FH709" s="188"/>
      <c r="FI709" s="72"/>
      <c r="FJ709" s="188"/>
      <c r="FK709" s="72"/>
      <c r="FL709" s="188"/>
      <c r="FM709" s="72"/>
      <c r="FN709" s="188"/>
      <c r="FO709" s="72"/>
      <c r="FP709" s="188"/>
      <c r="FQ709" s="72"/>
      <c r="FR709" s="188"/>
      <c r="FS709" s="72"/>
      <c r="FT709" s="188"/>
      <c r="FU709" s="72"/>
      <c r="FV709" s="188"/>
      <c r="FW709" s="72"/>
      <c r="FX709" s="188"/>
      <c r="FY709" s="72"/>
      <c r="FZ709" s="188"/>
      <c r="GA709" s="72"/>
      <c r="GB709" s="188"/>
      <c r="GC709" s="72"/>
      <c r="GD709" s="188"/>
      <c r="GE709" s="72"/>
      <c r="GF709" s="188"/>
      <c r="GG709" s="72"/>
      <c r="GH709" s="188"/>
      <c r="GI709" s="72"/>
      <c r="GJ709" s="188"/>
      <c r="GK709" s="72"/>
      <c r="GL709" s="188"/>
      <c r="GM709" s="72"/>
      <c r="GN709" s="188"/>
      <c r="GO709" s="72"/>
      <c r="GP709" s="188"/>
      <c r="GQ709" s="72"/>
      <c r="GR709" s="188"/>
      <c r="GS709" s="72"/>
      <c r="GT709" s="188"/>
      <c r="GU709" s="72"/>
      <c r="GV709" s="188"/>
      <c r="GW709" s="72"/>
      <c r="GX709" s="188"/>
      <c r="GY709" s="72"/>
      <c r="GZ709" s="72"/>
      <c r="HA709" s="72"/>
      <c r="HB709" s="72"/>
      <c r="HC709"/>
      <c r="HD709"/>
      <c r="HE709"/>
      <c r="HF709"/>
      <c r="HG709"/>
      <c r="HH709"/>
      <c r="HI709" s="2"/>
    </row>
    <row r="710" spans="1:217" s="3" customFormat="1" ht="12.75" customHeight="1" x14ac:dyDescent="0.2">
      <c r="B710" s="4" t="s">
        <v>745</v>
      </c>
      <c r="C710" s="169"/>
      <c r="D710" s="188"/>
      <c r="E710" s="169"/>
      <c r="F710" s="11"/>
      <c r="G710" s="169"/>
      <c r="H710" s="11"/>
      <c r="I710" s="169"/>
      <c r="J710" s="11"/>
      <c r="K710" s="169"/>
      <c r="L710" s="72"/>
      <c r="M710" s="169"/>
      <c r="N710" s="72"/>
      <c r="O710" s="169"/>
      <c r="P710" s="72"/>
      <c r="Q710" s="169"/>
      <c r="R710" s="72"/>
      <c r="S710" s="169"/>
      <c r="T710" s="72"/>
      <c r="U710" s="169"/>
      <c r="V710" s="72"/>
      <c r="W710" s="169"/>
      <c r="X710" s="72"/>
      <c r="Y710" s="169"/>
      <c r="Z710" s="72"/>
      <c r="AA710" s="169"/>
      <c r="AB710" s="72"/>
      <c r="AC710" s="169"/>
      <c r="AD710" s="72"/>
      <c r="AE710" s="169"/>
      <c r="AF710" s="72"/>
      <c r="AG710" s="169"/>
      <c r="AH710" s="72"/>
      <c r="AI710" s="169"/>
      <c r="AJ710" s="72"/>
      <c r="AK710" s="169"/>
      <c r="AL710" s="72"/>
      <c r="AM710" s="169"/>
      <c r="AN710" s="72"/>
      <c r="AO710" s="169"/>
      <c r="AP710" s="72"/>
      <c r="AQ710" s="169"/>
      <c r="AR710" s="72"/>
      <c r="AS710" s="169"/>
      <c r="AT710" s="72"/>
      <c r="AU710" s="169"/>
      <c r="AV710" s="72"/>
      <c r="AW710" s="169"/>
      <c r="AX710" s="72"/>
      <c r="AY710" s="169"/>
      <c r="AZ710" s="72"/>
      <c r="BA710" s="169"/>
      <c r="BB710" s="72"/>
      <c r="BC710" s="169"/>
      <c r="BD710" s="72"/>
      <c r="BE710" s="169"/>
      <c r="BF710" s="72"/>
      <c r="BG710" s="169"/>
      <c r="BH710" s="72"/>
      <c r="BI710" s="169"/>
      <c r="BJ710" s="72"/>
      <c r="BK710" s="169"/>
      <c r="BL710" s="72"/>
      <c r="BM710" s="169"/>
      <c r="BN710" s="72"/>
      <c r="BO710" s="188"/>
      <c r="BP710" s="72"/>
      <c r="BQ710" s="188"/>
      <c r="BR710" s="72"/>
      <c r="BS710" s="188"/>
      <c r="BT710" s="72"/>
      <c r="BU710" s="188"/>
      <c r="BV710" s="88"/>
      <c r="BW710" s="188"/>
      <c r="BX710" s="72"/>
      <c r="BY710" s="188"/>
      <c r="BZ710" s="72"/>
      <c r="CA710" s="188"/>
      <c r="CB710" s="72"/>
      <c r="CC710" s="188"/>
      <c r="CD710" s="88"/>
      <c r="CE710" s="188"/>
      <c r="CF710" s="72"/>
      <c r="CG710" s="188"/>
      <c r="CH710" s="72"/>
      <c r="CI710" s="188"/>
      <c r="CJ710" s="72"/>
      <c r="CK710" s="188"/>
      <c r="CL710" s="88"/>
      <c r="CM710" s="188"/>
      <c r="CN710" s="72"/>
      <c r="CO710" s="188"/>
      <c r="CP710" s="72"/>
      <c r="CQ710" s="188"/>
      <c r="CR710" s="72"/>
      <c r="CS710" s="188"/>
      <c r="CT710" s="88"/>
      <c r="CU710" s="188"/>
      <c r="CV710" s="72"/>
      <c r="CW710" s="188"/>
      <c r="CX710" s="72"/>
      <c r="CY710" s="188"/>
      <c r="CZ710" s="72"/>
      <c r="DA710" s="188"/>
      <c r="DB710" s="88"/>
      <c r="DC710" s="188"/>
      <c r="DD710" s="88"/>
      <c r="DE710" s="188"/>
      <c r="DF710" s="72"/>
      <c r="DG710" s="188"/>
      <c r="DH710" s="88"/>
      <c r="DI710" s="702">
        <v>839</v>
      </c>
      <c r="DJ710" s="88"/>
      <c r="DK710" s="703">
        <f>DI710</f>
        <v>839</v>
      </c>
      <c r="DL710" s="88"/>
      <c r="DM710" s="703">
        <f>DK710</f>
        <v>839</v>
      </c>
      <c r="DN710" s="72"/>
      <c r="DO710" s="703">
        <f>DM710</f>
        <v>839</v>
      </c>
      <c r="DP710" s="72"/>
      <c r="DQ710" s="702">
        <v>831</v>
      </c>
      <c r="DR710" s="72"/>
      <c r="DS710" s="703">
        <f>DQ710</f>
        <v>831</v>
      </c>
      <c r="DT710" s="72"/>
      <c r="DU710" s="703">
        <f>DS710</f>
        <v>831</v>
      </c>
      <c r="DV710" s="72"/>
      <c r="DW710" s="703">
        <f t="shared" ref="DW710:EE710" si="3419">DU710</f>
        <v>831</v>
      </c>
      <c r="DX710" s="72"/>
      <c r="DY710" s="703">
        <f t="shared" si="3419"/>
        <v>831</v>
      </c>
      <c r="DZ710" s="72"/>
      <c r="EA710" s="703">
        <f t="shared" si="3419"/>
        <v>831</v>
      </c>
      <c r="EB710" s="72"/>
      <c r="EC710" s="703">
        <f t="shared" si="3419"/>
        <v>831</v>
      </c>
      <c r="ED710" s="72"/>
      <c r="EE710" s="703">
        <f t="shared" si="3419"/>
        <v>831</v>
      </c>
      <c r="EF710" s="72"/>
      <c r="EG710" s="703">
        <f>EE710</f>
        <v>831</v>
      </c>
      <c r="EH710" s="72"/>
      <c r="EI710" s="703">
        <f>EG710</f>
        <v>831</v>
      </c>
      <c r="EJ710" s="72"/>
      <c r="EK710" s="703">
        <f>EI710</f>
        <v>831</v>
      </c>
      <c r="EL710" s="72"/>
      <c r="EM710" s="703">
        <f>EK710</f>
        <v>831</v>
      </c>
      <c r="EN710" s="72"/>
      <c r="EO710" s="703">
        <f>EM710</f>
        <v>831</v>
      </c>
      <c r="EP710" s="72"/>
      <c r="EQ710" s="703">
        <f t="shared" ref="EQ710" si="3420">EO710</f>
        <v>831</v>
      </c>
      <c r="ER710" s="72"/>
      <c r="ES710" s="703">
        <f t="shared" ref="ES710" si="3421">EQ710</f>
        <v>831</v>
      </c>
      <c r="ET710" s="72"/>
      <c r="EU710" s="703">
        <f t="shared" ref="EU710" si="3422">ES710</f>
        <v>831</v>
      </c>
      <c r="EV710" s="72"/>
      <c r="EW710" s="703">
        <f t="shared" ref="EW710" si="3423">EU710</f>
        <v>831</v>
      </c>
      <c r="EX710" s="72"/>
      <c r="EY710" s="88"/>
      <c r="EZ710" s="340"/>
      <c r="FA710" s="88"/>
      <c r="FB710" s="13"/>
      <c r="FC710" s="88"/>
      <c r="FD710" s="12"/>
      <c r="FE710" s="88"/>
      <c r="FF710" s="188"/>
      <c r="FG710" s="72"/>
      <c r="FH710" s="188"/>
      <c r="FI710" s="72"/>
      <c r="FJ710" s="188"/>
      <c r="FK710" s="72"/>
      <c r="FL710" s="188"/>
      <c r="FM710" s="72"/>
      <c r="FN710" s="188"/>
      <c r="FO710" s="72"/>
      <c r="FP710" s="188"/>
      <c r="FQ710" s="72"/>
      <c r="FR710" s="188"/>
      <c r="FS710" s="72"/>
      <c r="FT710" s="188"/>
      <c r="FU710" s="72"/>
      <c r="FV710" s="188"/>
      <c r="FW710" s="72"/>
      <c r="FX710" s="188"/>
      <c r="FY710" s="72"/>
      <c r="FZ710" s="188"/>
      <c r="GA710" s="72"/>
      <c r="GB710" s="188"/>
      <c r="GC710" s="72"/>
      <c r="GD710" s="703">
        <f>DA710</f>
        <v>0</v>
      </c>
      <c r="GE710" s="72"/>
      <c r="GF710" s="703">
        <f>DI710</f>
        <v>839</v>
      </c>
      <c r="GG710" s="72"/>
      <c r="GH710" s="703">
        <f>DQ710</f>
        <v>831</v>
      </c>
      <c r="GI710" s="72"/>
      <c r="GJ710" s="703">
        <f>DY710</f>
        <v>831</v>
      </c>
      <c r="GK710" s="72"/>
      <c r="GL710" s="703">
        <f>EG710</f>
        <v>831</v>
      </c>
      <c r="GM710" s="72"/>
      <c r="GN710" s="703">
        <f>EO710</f>
        <v>831</v>
      </c>
      <c r="GO710" s="72"/>
      <c r="GP710" s="703">
        <f>EW710</f>
        <v>831</v>
      </c>
      <c r="GQ710" s="72"/>
      <c r="GR710" s="703">
        <f>GP710</f>
        <v>831</v>
      </c>
      <c r="GS710" s="72"/>
      <c r="GT710" s="703">
        <f>GR710</f>
        <v>831</v>
      </c>
      <c r="GU710" s="72"/>
      <c r="GV710" s="703">
        <f>GT710</f>
        <v>831</v>
      </c>
      <c r="GW710" s="72"/>
      <c r="GX710" s="703">
        <f>GV710</f>
        <v>831</v>
      </c>
      <c r="GY710" s="72"/>
      <c r="GZ710" s="72">
        <f>IF(ISERROR(((GX710/GN710)^0.2-1)*100),"NA",IF((((GX710/GN710)^0.2-1)*100)&gt;100,"NM",IF((((GX710/GN710)^0.2-1)*100)&lt;-50,"NM",((GX710/GN710)^0.2-1)*100)))</f>
        <v>0</v>
      </c>
      <c r="HA710" s="72"/>
      <c r="HB710" s="72"/>
      <c r="HC710"/>
      <c r="HD710"/>
      <c r="HE710"/>
      <c r="HF710"/>
      <c r="HG710"/>
      <c r="HH710"/>
      <c r="HI710" s="2"/>
    </row>
    <row r="711" spans="1:217" s="3" customFormat="1" ht="12.75" customHeight="1" x14ac:dyDescent="0.2">
      <c r="B711" s="4" t="s">
        <v>750</v>
      </c>
      <c r="C711" s="169"/>
      <c r="D711" s="188"/>
      <c r="E711" s="169"/>
      <c r="F711" s="11"/>
      <c r="G711" s="169"/>
      <c r="H711" s="11"/>
      <c r="I711" s="169"/>
      <c r="J711" s="11"/>
      <c r="K711" s="169"/>
      <c r="L711" s="72"/>
      <c r="M711" s="169"/>
      <c r="N711" s="72"/>
      <c r="O711" s="169"/>
      <c r="P711" s="72"/>
      <c r="Q711" s="169"/>
      <c r="R711" s="72"/>
      <c r="S711" s="169"/>
      <c r="T711" s="72"/>
      <c r="U711" s="169"/>
      <c r="V711" s="72"/>
      <c r="W711" s="169"/>
      <c r="X711" s="72"/>
      <c r="Y711" s="169"/>
      <c r="Z711" s="72"/>
      <c r="AA711" s="169"/>
      <c r="AB711" s="72"/>
      <c r="AC711" s="169"/>
      <c r="AD711" s="72"/>
      <c r="AE711" s="169"/>
      <c r="AF711" s="72"/>
      <c r="AG711" s="169"/>
      <c r="AH711" s="72"/>
      <c r="AI711" s="169"/>
      <c r="AJ711" s="72"/>
      <c r="AK711" s="169"/>
      <c r="AL711" s="72"/>
      <c r="AM711" s="169"/>
      <c r="AN711" s="72"/>
      <c r="AO711" s="169"/>
      <c r="AP711" s="72"/>
      <c r="AQ711" s="169"/>
      <c r="AR711" s="72"/>
      <c r="AS711" s="169"/>
      <c r="AT711" s="72"/>
      <c r="AU711" s="169"/>
      <c r="AV711" s="72"/>
      <c r="AW711" s="169"/>
      <c r="AX711" s="72"/>
      <c r="AY711" s="169"/>
      <c r="AZ711" s="72"/>
      <c r="BA711" s="169"/>
      <c r="BB711" s="72"/>
      <c r="BC711" s="169"/>
      <c r="BD711" s="72"/>
      <c r="BE711" s="169"/>
      <c r="BF711" s="72"/>
      <c r="BG711" s="169"/>
      <c r="BH711" s="72"/>
      <c r="BI711" s="169"/>
      <c r="BJ711" s="72"/>
      <c r="BK711" s="169"/>
      <c r="BL711" s="72"/>
      <c r="BM711" s="169"/>
      <c r="BN711" s="72"/>
      <c r="BO711" s="188"/>
      <c r="BP711" s="72"/>
      <c r="BQ711" s="188"/>
      <c r="BR711" s="72"/>
      <c r="BS711" s="188"/>
      <c r="BT711" s="72"/>
      <c r="BU711" s="188"/>
      <c r="BV711" s="88"/>
      <c r="BW711" s="188"/>
      <c r="BX711" s="72"/>
      <c r="BY711" s="188"/>
      <c r="BZ711" s="72"/>
      <c r="CA711" s="188"/>
      <c r="CB711" s="72"/>
      <c r="CC711" s="188"/>
      <c r="CD711" s="88"/>
      <c r="CE711" s="188"/>
      <c r="CF711" s="72"/>
      <c r="CG711" s="188"/>
      <c r="CH711" s="72"/>
      <c r="CI711" s="188"/>
      <c r="CJ711" s="72"/>
      <c r="CK711" s="188"/>
      <c r="CL711" s="88"/>
      <c r="CM711" s="188"/>
      <c r="CN711" s="72"/>
      <c r="CO711" s="188"/>
      <c r="CP711" s="72"/>
      <c r="CQ711" s="188"/>
      <c r="CR711" s="72"/>
      <c r="CS711" s="188"/>
      <c r="CT711" s="88"/>
      <c r="CU711" s="188"/>
      <c r="CV711" s="72"/>
      <c r="CW711" s="188"/>
      <c r="CX711" s="72"/>
      <c r="CY711" s="188"/>
      <c r="CZ711" s="72"/>
      <c r="DA711" s="188"/>
      <c r="DB711" s="88"/>
      <c r="DC711" s="188"/>
      <c r="DD711" s="88"/>
      <c r="DE711" s="188"/>
      <c r="DF711" s="72"/>
      <c r="DG711" s="188"/>
      <c r="DH711" s="88"/>
      <c r="DI711" s="13">
        <f>(DI677-DI710)/DI637</f>
        <v>52.186899935993175</v>
      </c>
      <c r="DJ711" s="88"/>
      <c r="DK711" s="13">
        <f>(DK677-DK710)/DK637</f>
        <v>54.221364221364226</v>
      </c>
      <c r="DL711" s="88"/>
      <c r="DM711" s="13">
        <f>(DM677-DM710)/DM637</f>
        <v>55.803744351194318</v>
      </c>
      <c r="DN711" s="72" t="str">
        <f>IF(ISERROR(DM711/DE711),"NA",IF(OR(DM711/DE711&gt;2,DM711/DE711&lt;0.5),"NM",DM711/DE711*100-100))</f>
        <v>NA</v>
      </c>
      <c r="DO711" s="13">
        <f>(DO677-DO710)/DO637</f>
        <v>56.184721622788089</v>
      </c>
      <c r="DP711" s="72" t="str">
        <f>IF(ISERROR(DO711/DG711),"NA",IF(OR(DO711/DG711&gt;2,DO711/DG711&lt;0.5),"NM",DO711/DG711*100-100))</f>
        <v>NA</v>
      </c>
      <c r="DQ711" s="13">
        <f>(DQ677-DQ710)/DQ637</f>
        <v>52.585048754062839</v>
      </c>
      <c r="DR711" s="72">
        <f>IF(ISERROR(DQ711/DI711),"NA",IF(OR(DQ711/DI711&gt;2,DQ711/DI711&lt;0.5),"NM",DQ711/DI711*100-100))</f>
        <v>0.76292866324305919</v>
      </c>
      <c r="DS711" s="13">
        <f>(DS677-DS710)/DS637</f>
        <v>57.740458015267173</v>
      </c>
      <c r="DT711" s="72">
        <f>IF(ISERROR(DS711/DK711),"NA",IF(OR(DS711/DK711&gt;2,DS711/DK711&lt;0.5),"NM",DS711/DK711*100-100))</f>
        <v>6.4902346970391278</v>
      </c>
      <c r="DU711" s="13">
        <f>(DU677-DU710)/DU637</f>
        <v>60.06555944055944</v>
      </c>
      <c r="DV711" s="72">
        <f>IF(ISERROR(DU711/DM711),"NA",IF(OR(DU711/DM711&gt;2,DU711/DM711&lt;0.5),"NM",DU711/DM711*100-100))</f>
        <v>7.6371489743481931</v>
      </c>
      <c r="DW711" s="13">
        <f>(DW677-DW710)/DW637</f>
        <v>62.488459001978462</v>
      </c>
      <c r="DX711" s="72">
        <f>IF(ISERROR(DW711/DO711),"NA",IF(OR(DW711/DO711&gt;2,DW711/DO711&lt;0.5),"NM",DW711/DO711*100-100))</f>
        <v>11.21966470086349</v>
      </c>
      <c r="DY711" s="13">
        <f>(DY677-DY710)/DY637</f>
        <v>63.490732568402471</v>
      </c>
      <c r="DZ711" s="72">
        <f>IF(ISERROR(DY711/DQ711),"NA",IF(OR(DY711/DQ711&gt;2,DY711/DQ711&lt;0.5),"NM",DY711/DQ711*100-100))</f>
        <v>20.739134169761584</v>
      </c>
      <c r="EA711" s="13">
        <f>(EA677-EA710)/EA637</f>
        <v>65.502232142857139</v>
      </c>
      <c r="EB711" s="72">
        <f>IF(ISERROR(EA711/DS711),"NA",IF(OR(EA711/DS711&gt;2,EA711/DS711&lt;0.5),"NM",EA711/DS711*100-100))</f>
        <v>13.44252261652943</v>
      </c>
      <c r="EC711" s="13">
        <f>(EC677-EC710)/EC637</f>
        <v>66.781531531531527</v>
      </c>
      <c r="ED711" s="72">
        <f>IF(ISERROR(EC711/DU711),"NA",IF(OR(EC711/DU711&gt;2,EC711/DU711&lt;0.5),"NM",EC711/DU711*100-100))</f>
        <v>11.181069740336284</v>
      </c>
      <c r="EE711" s="13">
        <f>(EE677-EE710)/EE637</f>
        <v>70.050239780771875</v>
      </c>
      <c r="EF711" s="72">
        <f>IF(ISERROR(EE711/DW711),"NA",IF(OR(EE711/DW711&gt;2,EE711/DW711&lt;0.5),"NM",EE711/DW711*100-100))</f>
        <v>12.1010837834135</v>
      </c>
      <c r="EG711" s="13">
        <f>(EG677-EG710)/EG637</f>
        <v>69.718019257221457</v>
      </c>
      <c r="EH711" s="72">
        <f>IF(ISERROR(EG711/DY711),"NA",IF(OR(EG711/DY711&gt;2,EG711/DY711&lt;0.5),"NM",EG711/DY711*100-100))</f>
        <v>9.8081821344712807</v>
      </c>
      <c r="EI711" s="13">
        <f>(EI677-EI710)/EI637</f>
        <v>71.820162862713616</v>
      </c>
      <c r="EJ711" s="72">
        <f>IF(ISERROR(EI711/EA711),"NA",IF(OR(EI711/EA711&gt;2,EI711/EA711&lt;0.5),"NM",EI711/EA711*100-100))</f>
        <v>9.6453670557018256</v>
      </c>
      <c r="EK711" s="13">
        <f>(EK677-EK710)/EK637</f>
        <v>72.036789451846388</v>
      </c>
      <c r="EL711" s="72">
        <f>IF(ISERROR(EK711/EC711),"NA",IF(OR(EK711/EC711&gt;2,EK711/EC711&lt;0.5),"NM",EK711/EC711*100-100))</f>
        <v>7.8693282405982927</v>
      </c>
      <c r="EM711" s="13">
        <f>(EM677-EM710)/EM637</f>
        <v>76.305183675360169</v>
      </c>
      <c r="EN711" s="72">
        <f>IF(ISERROR(EM711/EE711),"NA",IF(OR(EM711/EE711&gt;2,EM711/EE711&lt;0.5),"NM",EM711/EE711*100-100))</f>
        <v>8.9292255303674324</v>
      </c>
      <c r="EO711" s="13">
        <f>(EO677-EO710)/EO637</f>
        <v>83.002065641496444</v>
      </c>
      <c r="EP711" s="72">
        <f>IF(ISERROR(EO711/EG711),"NA",IF(OR(EO711/EG711&gt;2,EO711/EG711&lt;0.5),"NM",EO711/EG711*100-100))</f>
        <v>19.053964134098678</v>
      </c>
      <c r="EQ711" s="13">
        <f t="shared" ref="EQ711" si="3424">(EQ677-EQ710)/EQ637</f>
        <v>88.121494821538278</v>
      </c>
      <c r="ER711" s="72">
        <f t="shared" ref="ER711" si="3425">IF(ISERROR(EQ711/EI711),"NA",IF(OR(EQ711/EI711&gt;2,EQ711/EI711&lt;0.5),"NM",EQ711/EI711*100-100))</f>
        <v>22.697431068187839</v>
      </c>
      <c r="ES711" s="13">
        <f t="shared" ref="ES711" si="3426">(ES677-ES710)/ES637</f>
        <v>89.31076523615431</v>
      </c>
      <c r="ET711" s="72">
        <f t="shared" ref="ET711" si="3427">IF(ISERROR(ES711/EK711),"NA",IF(OR(ES711/EK711&gt;2,ES711/EK711&lt;0.5),"NM",ES711/EK711*100-100))</f>
        <v>23.97938041902168</v>
      </c>
      <c r="EU711" s="13">
        <f t="shared" ref="EU711" si="3428">(EU677-EU710)/EU637</f>
        <v>90.466825291323758</v>
      </c>
      <c r="EV711" s="72">
        <f t="shared" ref="EV711" si="3429">IF(ISERROR(EU711/EM711),"NA",IF(OR(EU711/EM711&gt;2,EU711/EM711&lt;0.5),"NM",EU711/EM711*100-100))</f>
        <v>18.559213062397163</v>
      </c>
      <c r="EW711" s="13">
        <f t="shared" ref="EW711" si="3430">(EW677-EW710)/EW637</f>
        <v>91.312094293045462</v>
      </c>
      <c r="EX711" s="72">
        <f t="shared" ref="EX711" si="3431">IF(ISERROR(EW711/EO711),"NA",IF(OR(EW711/EO711&gt;2,EW711/EO711&lt;0.5),"NM",EW711/EO711*100-100))</f>
        <v>10.011833545735826</v>
      </c>
      <c r="EY711" s="88"/>
      <c r="EZ711" s="340"/>
      <c r="FA711" s="88"/>
      <c r="FB711" s="13"/>
      <c r="FC711" s="88"/>
      <c r="FD711" s="12"/>
      <c r="FE711" s="88"/>
      <c r="FF711" s="188"/>
      <c r="FG711" s="72"/>
      <c r="FH711" s="188"/>
      <c r="FI711" s="72"/>
      <c r="FJ711" s="188"/>
      <c r="FK711" s="72"/>
      <c r="FL711" s="188"/>
      <c r="FM711" s="72"/>
      <c r="FN711" s="188"/>
      <c r="FO711" s="72"/>
      <c r="FP711" s="188"/>
      <c r="FQ711" s="72"/>
      <c r="FR711" s="188"/>
      <c r="FS711" s="72"/>
      <c r="FT711" s="188"/>
      <c r="FU711" s="72"/>
      <c r="FV711" s="188"/>
      <c r="FW711" s="72"/>
      <c r="FX711" s="188"/>
      <c r="FY711" s="72"/>
      <c r="FZ711" s="188"/>
      <c r="GA711" s="72"/>
      <c r="GB711" s="188"/>
      <c r="GC711" s="72"/>
      <c r="GD711" s="13">
        <f>(GD677-GD710)/GD637</f>
        <v>57.701836821870998</v>
      </c>
      <c r="GE711" s="72"/>
      <c r="GF711" s="13">
        <f>(GF677-GF710)/GF637</f>
        <v>52.186899935993175</v>
      </c>
      <c r="GG711" s="72"/>
      <c r="GH711" s="13">
        <f>(GH677-GH710)/GH637</f>
        <v>52.585048754062839</v>
      </c>
      <c r="GI711" s="72"/>
      <c r="GJ711" s="13">
        <f>(GJ677-GJ710)/GJ637</f>
        <v>63.490732568402471</v>
      </c>
      <c r="GK711" s="72"/>
      <c r="GL711" s="13">
        <f>(GL677-GL710)/GL637</f>
        <v>69.718019257221457</v>
      </c>
      <c r="GM711" s="72"/>
      <c r="GN711" s="13">
        <f>(GN677-GN710)/GN637</f>
        <v>83.002065641496444</v>
      </c>
      <c r="GO711" s="72"/>
      <c r="GP711" s="13">
        <f>(GP677-GP710)/GP637</f>
        <v>91.312094293045462</v>
      </c>
      <c r="GQ711" s="72"/>
      <c r="GR711" s="13">
        <f>(GR677-GR710)/GR637</f>
        <v>97.6266819902349</v>
      </c>
      <c r="GS711" s="72"/>
      <c r="GT711" s="13">
        <f>(GT677-GT710)/GT637</f>
        <v>103.94251795531983</v>
      </c>
      <c r="GU711" s="72"/>
      <c r="GV711" s="13">
        <f>(GV677-GV710)/GV637</f>
        <v>110.30115627811489</v>
      </c>
      <c r="GW711" s="72"/>
      <c r="GX711" s="13">
        <f>(GX677-GX710)/GX637</f>
        <v>116.64711539944587</v>
      </c>
      <c r="GY711" s="72"/>
      <c r="GZ711" s="72">
        <f>IF(ISERROR(((GX711/GN711)^0.2-1)*100),"NA",IF((((GX711/GN711)^0.2-1)*100)&gt;100,"NM",IF((((GX711/GN711)^0.2-1)*100)&lt;-50,"NM",((GX711/GN711)^0.2-1)*100)))</f>
        <v>7.0426915072925089</v>
      </c>
      <c r="HA711" s="72"/>
      <c r="HB711" s="72"/>
      <c r="HC711"/>
      <c r="HD711"/>
      <c r="HE711"/>
      <c r="HF711"/>
      <c r="HG711"/>
      <c r="HH711"/>
      <c r="HI711" s="2"/>
    </row>
    <row r="712" spans="1:217" s="3" customFormat="1" ht="12.75" customHeight="1" x14ac:dyDescent="0.2">
      <c r="B712" s="4"/>
      <c r="C712" s="16"/>
      <c r="D712" s="16"/>
      <c r="E712" s="16"/>
      <c r="F712" s="11"/>
      <c r="G712" s="16"/>
      <c r="H712" s="11"/>
      <c r="I712" s="16"/>
      <c r="J712" s="11"/>
      <c r="K712" s="16"/>
      <c r="L712" s="72"/>
      <c r="M712" s="16"/>
      <c r="N712" s="72"/>
      <c r="O712" s="16"/>
      <c r="P712" s="72"/>
      <c r="Q712" s="16"/>
      <c r="R712" s="72"/>
      <c r="S712" s="16"/>
      <c r="T712" s="72"/>
      <c r="U712" s="16"/>
      <c r="V712" s="72"/>
      <c r="W712" s="16"/>
      <c r="X712" s="72"/>
      <c r="Y712" s="16"/>
      <c r="Z712" s="72"/>
      <c r="AA712" s="16"/>
      <c r="AB712" s="72"/>
      <c r="AC712" s="16"/>
      <c r="AD712" s="72"/>
      <c r="AE712" s="16"/>
      <c r="AF712" s="72"/>
      <c r="AG712" s="16"/>
      <c r="AH712" s="72"/>
      <c r="AI712" s="16"/>
      <c r="AJ712" s="72"/>
      <c r="AK712" s="16"/>
      <c r="AL712" s="72"/>
      <c r="AM712" s="16"/>
      <c r="AN712" s="72"/>
      <c r="AO712" s="16"/>
      <c r="AP712" s="72"/>
      <c r="AQ712" s="16"/>
      <c r="AR712" s="72"/>
      <c r="AS712" s="16"/>
      <c r="AT712" s="72"/>
      <c r="AU712" s="16"/>
      <c r="AV712" s="72"/>
      <c r="AW712" s="16"/>
      <c r="AX712" s="72"/>
      <c r="AY712" s="16"/>
      <c r="AZ712" s="72"/>
      <c r="BA712" s="16"/>
      <c r="BB712" s="72"/>
      <c r="BC712" s="16"/>
      <c r="BD712" s="72"/>
      <c r="BE712" s="16"/>
      <c r="BF712" s="72"/>
      <c r="BG712" s="16"/>
      <c r="BH712" s="72"/>
      <c r="BI712" s="16"/>
      <c r="BJ712" s="72"/>
      <c r="BK712" s="16"/>
      <c r="BL712" s="72"/>
      <c r="BM712" s="16"/>
      <c r="BN712" s="72"/>
      <c r="BO712" s="16"/>
      <c r="BP712" s="72"/>
      <c r="BQ712" s="16"/>
      <c r="BR712" s="72"/>
      <c r="BS712" s="16"/>
      <c r="BT712" s="72"/>
      <c r="BU712" s="16"/>
      <c r="BV712" s="72"/>
      <c r="BW712" s="16"/>
      <c r="BX712" s="72"/>
      <c r="BY712" s="16"/>
      <c r="BZ712" s="72"/>
      <c r="CA712" s="16"/>
      <c r="CB712" s="72"/>
      <c r="CC712" s="16"/>
      <c r="CD712" s="72"/>
      <c r="CE712" s="16"/>
      <c r="CF712" s="72"/>
      <c r="CG712" s="16"/>
      <c r="CH712" s="72"/>
      <c r="CI712" s="16"/>
      <c r="CJ712" s="72"/>
      <c r="CK712" s="16"/>
      <c r="CL712" s="72"/>
      <c r="CM712" s="16"/>
      <c r="CN712" s="72"/>
      <c r="CO712" s="16"/>
      <c r="CP712" s="72"/>
      <c r="CQ712" s="16"/>
      <c r="CR712" s="72"/>
      <c r="CS712" s="16"/>
      <c r="CT712" s="72"/>
      <c r="CU712" s="16"/>
      <c r="CV712" s="72"/>
      <c r="CW712" s="16"/>
      <c r="CX712" s="72"/>
      <c r="CY712" s="16"/>
      <c r="CZ712" s="72"/>
      <c r="DA712" s="16"/>
      <c r="DB712" s="72"/>
      <c r="DC712" s="9"/>
      <c r="DD712" s="72"/>
      <c r="DE712" s="9"/>
      <c r="DF712" s="72"/>
      <c r="DG712" s="9"/>
      <c r="DH712" s="72"/>
      <c r="DI712" s="9"/>
      <c r="DJ712" s="72"/>
      <c r="DK712" s="9"/>
      <c r="DL712" s="72"/>
      <c r="DM712" s="9"/>
      <c r="DN712" s="72"/>
      <c r="DO712" s="9"/>
      <c r="DP712" s="72"/>
      <c r="DQ712" s="9"/>
      <c r="DR712" s="72"/>
      <c r="DS712" s="9"/>
      <c r="DT712" s="72"/>
      <c r="DU712" s="9"/>
      <c r="DV712" s="72"/>
      <c r="DW712" s="9"/>
      <c r="DX712" s="72"/>
      <c r="DY712" s="9"/>
      <c r="DZ712" s="72"/>
      <c r="EA712" s="9"/>
      <c r="EB712" s="72"/>
      <c r="EC712" s="9"/>
      <c r="ED712" s="72"/>
      <c r="EE712" s="9"/>
      <c r="EF712" s="72"/>
      <c r="EG712" s="9"/>
      <c r="EH712" s="72"/>
      <c r="EI712" s="9"/>
      <c r="EJ712" s="72"/>
      <c r="EK712" s="9"/>
      <c r="EL712" s="72"/>
      <c r="EM712" s="9"/>
      <c r="EN712" s="72"/>
      <c r="EO712" s="9"/>
      <c r="EP712" s="72"/>
      <c r="EQ712" s="9"/>
      <c r="ER712" s="72"/>
      <c r="ES712" s="9"/>
      <c r="ET712" s="72"/>
      <c r="EU712" s="9"/>
      <c r="EV712" s="72"/>
      <c r="EW712" s="9"/>
      <c r="EX712" s="72"/>
      <c r="EY712" s="72"/>
      <c r="EZ712" s="296"/>
      <c r="FA712" s="72"/>
      <c r="FB712" s="9"/>
      <c r="FC712" s="11"/>
      <c r="FD712" s="150"/>
      <c r="FE712" s="72"/>
      <c r="FF712" s="16"/>
      <c r="FG712" s="72"/>
      <c r="FH712" s="16"/>
      <c r="FI712" s="72"/>
      <c r="FJ712" s="16"/>
      <c r="FK712" s="72"/>
      <c r="FL712" s="16"/>
      <c r="FM712" s="72"/>
      <c r="FN712" s="16"/>
      <c r="FO712" s="72"/>
      <c r="FP712" s="16"/>
      <c r="FQ712" s="72"/>
      <c r="FR712" s="9"/>
      <c r="FS712" s="72"/>
      <c r="FT712" s="9"/>
      <c r="FU712" s="72"/>
      <c r="FV712" s="9"/>
      <c r="FW712" s="72"/>
      <c r="FX712" s="9"/>
      <c r="FY712" s="72"/>
      <c r="FZ712" s="9"/>
      <c r="GA712" s="72"/>
      <c r="GB712" s="9"/>
      <c r="GC712" s="72"/>
      <c r="GD712" s="9"/>
      <c r="GE712" s="72"/>
      <c r="GF712" s="9"/>
      <c r="GG712" s="72"/>
      <c r="GH712" s="9"/>
      <c r="GI712" s="72"/>
      <c r="GJ712" s="9"/>
      <c r="GK712" s="72"/>
      <c r="GL712" s="9"/>
      <c r="GM712" s="72"/>
      <c r="GN712" s="9"/>
      <c r="GO712" s="72"/>
      <c r="GP712" s="9"/>
      <c r="GQ712" s="72"/>
      <c r="GR712" s="9"/>
      <c r="GS712" s="72"/>
      <c r="GT712" s="9"/>
      <c r="GU712" s="72"/>
      <c r="GV712" s="9"/>
      <c r="GW712" s="72"/>
      <c r="GX712" s="9"/>
      <c r="GY712" s="72"/>
      <c r="GZ712" s="72"/>
      <c r="HA712" s="72"/>
      <c r="HB712" s="72"/>
      <c r="HC712"/>
      <c r="HD712"/>
      <c r="HE712"/>
      <c r="HF712"/>
      <c r="HG712"/>
      <c r="HH712"/>
      <c r="HI712" s="2"/>
    </row>
    <row r="713" spans="1:217" s="3" customFormat="1" ht="12.75" customHeight="1" x14ac:dyDescent="0.2">
      <c r="B713" s="4" t="s">
        <v>746</v>
      </c>
      <c r="C713" s="16"/>
      <c r="D713" s="16"/>
      <c r="E713" s="16"/>
      <c r="F713" s="11"/>
      <c r="G713" s="16"/>
      <c r="H713" s="11"/>
      <c r="I713" s="16"/>
      <c r="J713" s="11"/>
      <c r="K713" s="16"/>
      <c r="L713" s="72"/>
      <c r="M713" s="16"/>
      <c r="N713" s="72"/>
      <c r="O713" s="16"/>
      <c r="P713" s="72"/>
      <c r="Q713" s="16"/>
      <c r="R713" s="72"/>
      <c r="S713" s="16"/>
      <c r="T713" s="72"/>
      <c r="U713" s="16"/>
      <c r="V713" s="72"/>
      <c r="W713" s="16"/>
      <c r="X713" s="72"/>
      <c r="Y713" s="16"/>
      <c r="Z713" s="72"/>
      <c r="AA713" s="16"/>
      <c r="AB713" s="72"/>
      <c r="AC713" s="16"/>
      <c r="AD713" s="72"/>
      <c r="AE713" s="16"/>
      <c r="AF713" s="72"/>
      <c r="AG713" s="16"/>
      <c r="AH713" s="72"/>
      <c r="AI713" s="16"/>
      <c r="AJ713" s="72"/>
      <c r="AK713" s="16"/>
      <c r="AL713" s="72"/>
      <c r="AM713" s="16"/>
      <c r="AN713" s="72"/>
      <c r="AO713" s="16"/>
      <c r="AP713" s="72"/>
      <c r="AQ713" s="16"/>
      <c r="AR713" s="72"/>
      <c r="AS713" s="16"/>
      <c r="AT713" s="72"/>
      <c r="AU713" s="16"/>
      <c r="AV713" s="72"/>
      <c r="AW713" s="16"/>
      <c r="AX713" s="72"/>
      <c r="AY713" s="16"/>
      <c r="AZ713" s="72"/>
      <c r="BA713" s="16"/>
      <c r="BB713" s="72"/>
      <c r="BC713" s="16"/>
      <c r="BD713" s="72"/>
      <c r="BE713" s="16"/>
      <c r="BF713" s="72"/>
      <c r="BG713" s="16"/>
      <c r="BH713" s="72"/>
      <c r="BI713" s="16"/>
      <c r="BJ713" s="72"/>
      <c r="BK713" s="16"/>
      <c r="BL713" s="72"/>
      <c r="BM713" s="16"/>
      <c r="BN713" s="72"/>
      <c r="BO713" s="16"/>
      <c r="BP713" s="72"/>
      <c r="BQ713" s="16"/>
      <c r="BR713" s="72"/>
      <c r="BS713" s="16"/>
      <c r="BT713" s="72"/>
      <c r="BU713" s="16"/>
      <c r="BV713" s="72"/>
      <c r="BW713" s="16"/>
      <c r="BX713" s="72"/>
      <c r="BY713" s="16"/>
      <c r="BZ713" s="72"/>
      <c r="CA713" s="16"/>
      <c r="CB713" s="72"/>
      <c r="CC713" s="16"/>
      <c r="CD713" s="72"/>
      <c r="CE713" s="16"/>
      <c r="CF713" s="72"/>
      <c r="CG713" s="16"/>
      <c r="CH713" s="72"/>
      <c r="CI713" s="16"/>
      <c r="CJ713" s="72"/>
      <c r="CK713" s="16"/>
      <c r="CL713" s="72"/>
      <c r="CM713" s="16"/>
      <c r="CN713" s="72"/>
      <c r="CO713" s="16"/>
      <c r="CP713" s="72"/>
      <c r="CQ713" s="16"/>
      <c r="CR713" s="72"/>
      <c r="CS713" s="16"/>
      <c r="CT713" s="72"/>
      <c r="CU713" s="16"/>
      <c r="CV713" s="72"/>
      <c r="CW713" s="16"/>
      <c r="CX713" s="72"/>
      <c r="CY713" s="16"/>
      <c r="CZ713" s="72"/>
      <c r="DA713" s="702">
        <v>-179</v>
      </c>
      <c r="DB713" s="72"/>
      <c r="DC713" s="702">
        <v>-1782</v>
      </c>
      <c r="DD713" s="72"/>
      <c r="DE713" s="702">
        <v>-2796</v>
      </c>
      <c r="DF713" s="72"/>
      <c r="DG713" s="702">
        <v>-2036</v>
      </c>
      <c r="DH713" s="72"/>
      <c r="DI713" s="702">
        <v>-2818</v>
      </c>
      <c r="DJ713" s="72"/>
      <c r="DK713" s="702">
        <v>-2668</v>
      </c>
      <c r="DL713" s="72"/>
      <c r="DM713" s="702">
        <v>-2818</v>
      </c>
      <c r="DN713" s="72"/>
      <c r="DO713" s="702">
        <v>-3193</v>
      </c>
      <c r="DP713" s="72"/>
      <c r="DQ713" s="702">
        <v>-4783</v>
      </c>
      <c r="DR713" s="72"/>
      <c r="DS713" s="702">
        <v>-4353</v>
      </c>
      <c r="DT713" s="72"/>
      <c r="DU713" s="702">
        <v>-4211</v>
      </c>
      <c r="DV713" s="72"/>
      <c r="DW713" s="702">
        <v>-4034</v>
      </c>
      <c r="DX713" s="72"/>
      <c r="DY713" s="702">
        <v>-3747</v>
      </c>
      <c r="DZ713" s="72"/>
      <c r="EA713" s="702">
        <v>-3628</v>
      </c>
      <c r="EB713" s="72"/>
      <c r="EC713" s="702">
        <v>-3509</v>
      </c>
      <c r="ED713" s="72"/>
      <c r="EE713" s="702">
        <v>-3327</v>
      </c>
      <c r="EF713" s="72"/>
      <c r="EG713" s="702">
        <v>-3199</v>
      </c>
      <c r="EH713" s="72"/>
      <c r="EI713" s="702">
        <v>-3060</v>
      </c>
      <c r="EJ713" s="72"/>
      <c r="EK713" s="702">
        <v>-2889</v>
      </c>
      <c r="EL713" s="72"/>
      <c r="EM713" s="702">
        <v>-2758</v>
      </c>
      <c r="EN713" s="72"/>
      <c r="EO713" s="702">
        <v>-969</v>
      </c>
      <c r="EP713" s="72"/>
      <c r="EQ713" s="703">
        <f t="shared" ref="EQ713" si="3432">EO713</f>
        <v>-969</v>
      </c>
      <c r="ER713" s="72"/>
      <c r="ES713" s="703">
        <f t="shared" ref="ES713" si="3433">EQ713</f>
        <v>-969</v>
      </c>
      <c r="ET713" s="72"/>
      <c r="EU713" s="703">
        <f t="shared" ref="EU713" si="3434">ES713</f>
        <v>-969</v>
      </c>
      <c r="EV713" s="72"/>
      <c r="EW713" s="703">
        <f t="shared" ref="EW713" si="3435">EU713</f>
        <v>-969</v>
      </c>
      <c r="EX713" s="72"/>
      <c r="EY713" s="72"/>
      <c r="EZ713" s="296"/>
      <c r="FA713" s="72"/>
      <c r="FB713" s="9"/>
      <c r="FC713" s="11"/>
      <c r="FD713" s="150"/>
      <c r="FE713" s="72"/>
      <c r="FF713" s="16"/>
      <c r="FG713" s="72"/>
      <c r="FH713" s="16"/>
      <c r="FI713" s="72"/>
      <c r="FJ713" s="16"/>
      <c r="FK713" s="72"/>
      <c r="FL713" s="16"/>
      <c r="FM713" s="72"/>
      <c r="FN713" s="16"/>
      <c r="FO713" s="72"/>
      <c r="FP713" s="16"/>
      <c r="FQ713" s="72"/>
      <c r="FR713" s="9"/>
      <c r="FS713" s="72"/>
      <c r="FT713" s="9"/>
      <c r="FU713" s="72"/>
      <c r="FV713" s="9"/>
      <c r="FW713" s="72"/>
      <c r="FX713" s="9"/>
      <c r="FY713" s="72"/>
      <c r="FZ713" s="9"/>
      <c r="GA713" s="72"/>
      <c r="GB713" s="9"/>
      <c r="GC713" s="72"/>
      <c r="GD713" s="703">
        <f>DA713</f>
        <v>-179</v>
      </c>
      <c r="GE713" s="72"/>
      <c r="GF713" s="703">
        <f>DI713</f>
        <v>-2818</v>
      </c>
      <c r="GG713" s="72"/>
      <c r="GH713" s="703">
        <f>DQ713</f>
        <v>-4783</v>
      </c>
      <c r="GI713" s="72"/>
      <c r="GJ713" s="703">
        <f>DY713</f>
        <v>-3747</v>
      </c>
      <c r="GK713" s="72"/>
      <c r="GL713" s="703">
        <f>EG713</f>
        <v>-3199</v>
      </c>
      <c r="GM713" s="72"/>
      <c r="GN713" s="703">
        <f>EO713</f>
        <v>-969</v>
      </c>
      <c r="GO713" s="72"/>
      <c r="GP713" s="703">
        <f>EW713</f>
        <v>-969</v>
      </c>
      <c r="GQ713" s="72"/>
      <c r="GR713" s="703">
        <f>GP713</f>
        <v>-969</v>
      </c>
      <c r="GS713" s="72"/>
      <c r="GT713" s="703">
        <f>GR713</f>
        <v>-969</v>
      </c>
      <c r="GU713" s="72"/>
      <c r="GV713" s="703">
        <f>GT713</f>
        <v>-969</v>
      </c>
      <c r="GW713" s="72"/>
      <c r="GX713" s="703">
        <f>GV713</f>
        <v>-969</v>
      </c>
      <c r="GY713" s="72"/>
      <c r="GZ713" s="72">
        <f>IF(ISERROR(((GX713/GN713)^0.2-1)*100),"NA",IF((((GX713/GN713)^0.2-1)*100)&gt;100,"NM",IF((((GX713/GN713)^0.2-1)*100)&lt;-50,"NM",((GX713/GN713)^0.2-1)*100)))</f>
        <v>0</v>
      </c>
      <c r="HA713" s="72"/>
      <c r="HB713" s="72"/>
      <c r="HC713"/>
      <c r="HD713"/>
      <c r="HE713"/>
      <c r="HF713"/>
      <c r="HG713"/>
      <c r="HH713"/>
      <c r="HI713" s="2"/>
    </row>
    <row r="714" spans="1:217" s="3" customFormat="1" ht="12.75" customHeight="1" x14ac:dyDescent="0.2">
      <c r="B714" s="4" t="s">
        <v>749</v>
      </c>
      <c r="C714" s="16"/>
      <c r="D714" s="16"/>
      <c r="E714" s="16"/>
      <c r="F714" s="11"/>
      <c r="G714" s="16"/>
      <c r="H714" s="11"/>
      <c r="I714" s="16"/>
      <c r="J714" s="11"/>
      <c r="K714" s="16"/>
      <c r="L714" s="72"/>
      <c r="M714" s="16"/>
      <c r="N714" s="72"/>
      <c r="O714" s="16"/>
      <c r="P714" s="72"/>
      <c r="Q714" s="16"/>
      <c r="R714" s="72"/>
      <c r="S714" s="16"/>
      <c r="T714" s="72"/>
      <c r="U714" s="16"/>
      <c r="V714" s="72"/>
      <c r="W714" s="16"/>
      <c r="X714" s="72"/>
      <c r="Y714" s="16"/>
      <c r="Z714" s="72"/>
      <c r="AA714" s="16"/>
      <c r="AB714" s="72"/>
      <c r="AC714" s="16"/>
      <c r="AD714" s="72"/>
      <c r="AE714" s="16"/>
      <c r="AF714" s="72"/>
      <c r="AG714" s="16"/>
      <c r="AH714" s="72"/>
      <c r="AI714" s="16"/>
      <c r="AJ714" s="72"/>
      <c r="AK714" s="16"/>
      <c r="AL714" s="72"/>
      <c r="AM714" s="16"/>
      <c r="AN714" s="72"/>
      <c r="AO714" s="16"/>
      <c r="AP714" s="72"/>
      <c r="AQ714" s="16"/>
      <c r="AR714" s="72"/>
      <c r="AS714" s="16"/>
      <c r="AT714" s="72"/>
      <c r="AU714" s="16"/>
      <c r="AV714" s="72"/>
      <c r="AW714" s="16"/>
      <c r="AX714" s="72"/>
      <c r="AY714" s="16"/>
      <c r="AZ714" s="72"/>
      <c r="BA714" s="16"/>
      <c r="BB714" s="72"/>
      <c r="BC714" s="16"/>
      <c r="BD714" s="72"/>
      <c r="BE714" s="16"/>
      <c r="BF714" s="72"/>
      <c r="BG714" s="16"/>
      <c r="BH714" s="72"/>
      <c r="BI714" s="16"/>
      <c r="BJ714" s="72"/>
      <c r="BK714" s="16"/>
      <c r="BL714" s="72"/>
      <c r="BM714" s="16"/>
      <c r="BN714" s="72"/>
      <c r="BO714" s="16"/>
      <c r="BP714" s="72"/>
      <c r="BQ714" s="16"/>
      <c r="BR714" s="72"/>
      <c r="BS714" s="16"/>
      <c r="BT714" s="72"/>
      <c r="BU714" s="16"/>
      <c r="BV714" s="72"/>
      <c r="BW714" s="16"/>
      <c r="BX714" s="72"/>
      <c r="BY714" s="16"/>
      <c r="BZ714" s="72"/>
      <c r="CA714" s="16"/>
      <c r="CB714" s="72"/>
      <c r="CC714" s="16"/>
      <c r="CD714" s="72"/>
      <c r="CE714" s="16"/>
      <c r="CF714" s="72"/>
      <c r="CG714" s="16"/>
      <c r="CH714" s="72"/>
      <c r="CI714" s="16"/>
      <c r="CJ714" s="72"/>
      <c r="CK714" s="16"/>
      <c r="CL714" s="72"/>
      <c r="CM714" s="16"/>
      <c r="CN714" s="72"/>
      <c r="CO714" s="16"/>
      <c r="CP714" s="72"/>
      <c r="CQ714" s="16"/>
      <c r="CR714" s="72"/>
      <c r="CS714" s="16"/>
      <c r="CT714" s="72"/>
      <c r="CU714" s="16"/>
      <c r="CV714" s="72"/>
      <c r="CW714" s="16"/>
      <c r="CX714" s="72"/>
      <c r="CY714" s="16"/>
      <c r="CZ714" s="72"/>
      <c r="DA714" s="184">
        <f>(DA677-DA713)/DA637</f>
        <v>58.084152071764201</v>
      </c>
      <c r="DB714" s="72"/>
      <c r="DC714" s="184">
        <f>(DC677-DC713)/DC637</f>
        <v>59.554845580404688</v>
      </c>
      <c r="DD714" s="72"/>
      <c r="DE714" s="184">
        <f>(DE677-DE713)/DE637</f>
        <v>59.972293265132144</v>
      </c>
      <c r="DF714" s="72"/>
      <c r="DG714" s="184">
        <f>(DG677-DG713)/DG637</f>
        <v>59.91462113127001</v>
      </c>
      <c r="DH714" s="72"/>
      <c r="DI714" s="184">
        <f>(DI677-DI713)/DI637</f>
        <v>59.98933219543418</v>
      </c>
      <c r="DJ714" s="72"/>
      <c r="DK714" s="184">
        <f>(DK677-DK713)/DK637</f>
        <v>61.743886743886748</v>
      </c>
      <c r="DL714" s="72"/>
      <c r="DM714" s="184">
        <f>(DM677-DM713)/DM637</f>
        <v>63.673337637185284</v>
      </c>
      <c r="DN714" s="72"/>
      <c r="DO714" s="184">
        <f>(DO677-DO713)/DO637</f>
        <v>64.885627967198971</v>
      </c>
      <c r="DP714" s="72"/>
      <c r="DQ714" s="184">
        <f>(DQ677-DQ713)/DQ637</f>
        <v>64.74972914409534</v>
      </c>
      <c r="DR714" s="72"/>
      <c r="DS714" s="726">
        <f>(DS677-DS713)/DS637-0.04</f>
        <v>69.006892039258446</v>
      </c>
      <c r="DT714" s="72"/>
      <c r="DU714" s="13">
        <f>(DU677-DU713-DU545)/DU637</f>
        <v>71.08391608391608</v>
      </c>
      <c r="DV714" s="72"/>
      <c r="DW714" s="13">
        <f>(DW677-DW713-DW545)/DW637</f>
        <v>73.18311716860849</v>
      </c>
      <c r="DX714" s="72"/>
      <c r="DY714" s="13">
        <f>(DY677-DY713-DY545)/DY637</f>
        <v>73.592233009708735</v>
      </c>
      <c r="DZ714" s="72"/>
      <c r="EA714" s="13">
        <f>(EA677-EA713-EA545)/EA637</f>
        <v>75.455357142857139</v>
      </c>
      <c r="EB714" s="72"/>
      <c r="EC714" s="13">
        <f>(EC677-EC713-EC545)/EC637</f>
        <v>76.556306306306311</v>
      </c>
      <c r="ED714" s="72"/>
      <c r="EE714" s="13">
        <f>(EE677-EE713-EE545)/EE637</f>
        <v>79.567252797442336</v>
      </c>
      <c r="EF714" s="72"/>
      <c r="EG714" s="13">
        <f>(EG677-EG713-EG545)/EG637</f>
        <v>78.977533241632287</v>
      </c>
      <c r="EH714" s="72"/>
      <c r="EI714" s="13">
        <f>(EI677-EI713-EI545)/EI637</f>
        <v>80.768436747333411</v>
      </c>
      <c r="EJ714" s="72"/>
      <c r="EK714" s="13">
        <f>(EK677-EK713-EK545)/EK637</f>
        <v>80.623299986169386</v>
      </c>
      <c r="EL714" s="72"/>
      <c r="EM714" s="13">
        <f>(EM677-EM713-EM545)/EM637</f>
        <v>84.64585166998657</v>
      </c>
      <c r="EN714" s="72"/>
      <c r="EO714" s="13">
        <f>(EO677-EO713+500)/EO637</f>
        <v>88.280927243516189</v>
      </c>
      <c r="EP714" s="72"/>
      <c r="EQ714" s="13">
        <f>(EQ677-EQ713-EQ545)/EQ637</f>
        <v>92.367773753688155</v>
      </c>
      <c r="ER714" s="72"/>
      <c r="ES714" s="13">
        <f>(ES677-ES713-ES545)/ES637</f>
        <v>93.590031193217271</v>
      </c>
      <c r="ET714" s="72"/>
      <c r="EU714" s="13">
        <f>(EU677-EU713-EU545)/EU637</f>
        <v>94.779190838974984</v>
      </c>
      <c r="EV714" s="72"/>
      <c r="EW714" s="13">
        <f>(EW677-EW713-EW545)/EW637</f>
        <v>95.657667042794301</v>
      </c>
      <c r="EX714" s="72"/>
      <c r="EY714" s="72"/>
      <c r="EZ714" s="296"/>
      <c r="FA714" s="72"/>
      <c r="FB714" s="9"/>
      <c r="FC714" s="11"/>
      <c r="FD714" s="150"/>
      <c r="FE714" s="72"/>
      <c r="FF714" s="16"/>
      <c r="FG714" s="72"/>
      <c r="FH714" s="16"/>
      <c r="FI714" s="72"/>
      <c r="FJ714" s="16"/>
      <c r="FK714" s="72"/>
      <c r="FL714" s="16"/>
      <c r="FM714" s="72"/>
      <c r="FN714" s="16"/>
      <c r="FO714" s="72"/>
      <c r="FP714" s="16"/>
      <c r="FQ714" s="72"/>
      <c r="FR714" s="9"/>
      <c r="FS714" s="72"/>
      <c r="FT714" s="9"/>
      <c r="FU714" s="72"/>
      <c r="FV714" s="9"/>
      <c r="FW714" s="72"/>
      <c r="FX714" s="9"/>
      <c r="FY714" s="72"/>
      <c r="FZ714" s="9"/>
      <c r="GA714" s="72"/>
      <c r="GB714" s="9"/>
      <c r="GC714" s="72"/>
      <c r="GD714" s="184">
        <f>(GD677-GD713)/GD637</f>
        <v>58.084152071764201</v>
      </c>
      <c r="GE714" s="72"/>
      <c r="GF714" s="184">
        <f>(GF677-GF713)/GF637</f>
        <v>59.98933219543418</v>
      </c>
      <c r="GG714" s="72"/>
      <c r="GH714" s="184">
        <f>(GH677-GH713)/GH637</f>
        <v>64.74972914409534</v>
      </c>
      <c r="GI714" s="72"/>
      <c r="GJ714" s="184">
        <f>(GJ677-GJ713)/GJ637</f>
        <v>73.592233009708735</v>
      </c>
      <c r="GK714" s="72"/>
      <c r="GL714" s="184">
        <f>(GL677-GL713)/GL637</f>
        <v>78.956900504355801</v>
      </c>
      <c r="GM714" s="72"/>
      <c r="GN714" s="184">
        <f>(GN677-GN713+500)/GN637</f>
        <v>88.280927243516189</v>
      </c>
      <c r="GO714" s="72"/>
      <c r="GP714" s="184">
        <f>(GP677-GP713)/GP637</f>
        <v>95.631272067505932</v>
      </c>
      <c r="GQ714" s="72"/>
      <c r="GR714" s="184">
        <f>(GR677-GR713)/GR637</f>
        <v>102.07942846741085</v>
      </c>
      <c r="GS714" s="72"/>
      <c r="GT714" s="184">
        <f>(GT677-GT713)/GT637</f>
        <v>108.54058714563897</v>
      </c>
      <c r="GU714" s="72"/>
      <c r="GV714" s="184">
        <f>(GV677-GV713)/GV637</f>
        <v>115.04793748719855</v>
      </c>
      <c r="GW714" s="72"/>
      <c r="GX714" s="184">
        <f>(GX677-GX713)/GX637</f>
        <v>121.5463123441743</v>
      </c>
      <c r="GY714" s="72"/>
      <c r="GZ714" s="72">
        <f>IF(ISERROR(((GX714/GN714)^0.2-1)*100),"NA",IF((((GX714/GN714)^0.2-1)*100)&gt;100,"NM",IF((((GX714/GN714)^0.2-1)*100)&lt;-50,"NM",((GX714/GN714)^0.2-1)*100)))</f>
        <v>6.6043631893507149</v>
      </c>
      <c r="HA714" s="72"/>
      <c r="HB714" s="72"/>
      <c r="HC714"/>
      <c r="HD714"/>
      <c r="HE714"/>
      <c r="HF714"/>
      <c r="HG714"/>
      <c r="HH714"/>
      <c r="HI714" s="2"/>
    </row>
    <row r="715" spans="1:217" s="3" customFormat="1" ht="12.75" customHeight="1" x14ac:dyDescent="0.2">
      <c r="B715" s="4"/>
      <c r="C715" s="16"/>
      <c r="D715" s="16"/>
      <c r="E715" s="16"/>
      <c r="F715" s="11"/>
      <c r="G715" s="16"/>
      <c r="H715" s="11"/>
      <c r="I715" s="16"/>
      <c r="J715" s="11"/>
      <c r="K715" s="16"/>
      <c r="L715" s="72"/>
      <c r="M715" s="16"/>
      <c r="N715" s="72"/>
      <c r="O715" s="16"/>
      <c r="P715" s="72"/>
      <c r="Q715" s="16"/>
      <c r="R715" s="72"/>
      <c r="S715" s="16"/>
      <c r="T715" s="72"/>
      <c r="U715" s="16"/>
      <c r="V715" s="72"/>
      <c r="W715" s="16"/>
      <c r="X715" s="72"/>
      <c r="Y715" s="16"/>
      <c r="Z715" s="72"/>
      <c r="AA715" s="16"/>
      <c r="AB715" s="72"/>
      <c r="AC715" s="16"/>
      <c r="AD715" s="72"/>
      <c r="AE715" s="16"/>
      <c r="AF715" s="72"/>
      <c r="AG715" s="16"/>
      <c r="AH715" s="72"/>
      <c r="AI715" s="16"/>
      <c r="AJ715" s="72"/>
      <c r="AK715" s="16"/>
      <c r="AL715" s="72"/>
      <c r="AM715" s="16"/>
      <c r="AN715" s="72"/>
      <c r="AO715" s="16"/>
      <c r="AP715" s="72"/>
      <c r="AQ715" s="16"/>
      <c r="AR715" s="72"/>
      <c r="AS715" s="16"/>
      <c r="AT715" s="72"/>
      <c r="AU715" s="16"/>
      <c r="AV715" s="72"/>
      <c r="AW715" s="16"/>
      <c r="AX715" s="72"/>
      <c r="AY715" s="16"/>
      <c r="AZ715" s="72"/>
      <c r="BA715" s="16"/>
      <c r="BB715" s="72"/>
      <c r="BC715" s="16"/>
      <c r="BD715" s="72"/>
      <c r="BE715" s="16"/>
      <c r="BF715" s="72"/>
      <c r="BG715" s="16"/>
      <c r="BH715" s="72"/>
      <c r="BI715" s="16"/>
      <c r="BJ715" s="72"/>
      <c r="BK715" s="16"/>
      <c r="BL715" s="72"/>
      <c r="BM715" s="16"/>
      <c r="BN715" s="72"/>
      <c r="BO715" s="16"/>
      <c r="BP715" s="72"/>
      <c r="BQ715" s="16"/>
      <c r="BR715" s="72"/>
      <c r="BS715" s="16"/>
      <c r="BT715" s="72"/>
      <c r="BU715" s="16"/>
      <c r="BV715" s="72"/>
      <c r="BW715" s="16"/>
      <c r="BX715" s="72"/>
      <c r="BY715" s="16"/>
      <c r="BZ715" s="72"/>
      <c r="CA715" s="16"/>
      <c r="CB715" s="72"/>
      <c r="CC715" s="16"/>
      <c r="CD715" s="72"/>
      <c r="CE715" s="16"/>
      <c r="CF715" s="72"/>
      <c r="CG715" s="16"/>
      <c r="CH715" s="72"/>
      <c r="CI715" s="16"/>
      <c r="CJ715" s="72"/>
      <c r="CK715" s="16"/>
      <c r="CL715" s="72"/>
      <c r="CM715" s="16"/>
      <c r="CN715" s="72"/>
      <c r="CO715" s="16"/>
      <c r="CP715" s="72"/>
      <c r="CQ715" s="16"/>
      <c r="CR715" s="72"/>
      <c r="CS715" s="16"/>
      <c r="CT715" s="72"/>
      <c r="CU715" s="16"/>
      <c r="CV715" s="72"/>
      <c r="CW715" s="16"/>
      <c r="CX715" s="72"/>
      <c r="CY715" s="16"/>
      <c r="CZ715" s="72"/>
      <c r="DA715" s="16"/>
      <c r="DB715" s="72"/>
      <c r="DC715" s="9"/>
      <c r="DD715" s="72"/>
      <c r="DE715" s="9"/>
      <c r="DF715" s="72"/>
      <c r="DG715" s="9"/>
      <c r="DH715" s="72"/>
      <c r="DI715" s="9"/>
      <c r="DJ715" s="72"/>
      <c r="DK715" s="9"/>
      <c r="DL715" s="72"/>
      <c r="DM715" s="9"/>
      <c r="DN715" s="72"/>
      <c r="DO715" s="9"/>
      <c r="DP715" s="72"/>
      <c r="DQ715" s="9"/>
      <c r="DR715" s="72"/>
      <c r="DS715" s="9"/>
      <c r="DT715" s="72"/>
      <c r="DU715" s="9"/>
      <c r="DV715" s="72"/>
      <c r="DW715" s="9"/>
      <c r="DX715" s="72"/>
      <c r="DY715" s="9"/>
      <c r="DZ715" s="72"/>
      <c r="EA715" s="9"/>
      <c r="EB715" s="72"/>
      <c r="EC715" s="9"/>
      <c r="ED715" s="72"/>
      <c r="EE715" s="9"/>
      <c r="EF715" s="72"/>
      <c r="EG715" s="9"/>
      <c r="EH715" s="72"/>
      <c r="EI715" s="9"/>
      <c r="EJ715" s="72"/>
      <c r="EK715" s="9"/>
      <c r="EL715" s="72"/>
      <c r="EM715" s="9"/>
      <c r="EN715" s="72"/>
      <c r="EO715" s="9"/>
      <c r="EP715" s="72"/>
      <c r="EQ715" s="9"/>
      <c r="ER715" s="72"/>
      <c r="ES715" s="9"/>
      <c r="ET715" s="72"/>
      <c r="EU715" s="9"/>
      <c r="EV715" s="72"/>
      <c r="EW715" s="9"/>
      <c r="EX715" s="72"/>
      <c r="EY715" s="72"/>
      <c r="EZ715" s="296"/>
      <c r="FA715" s="72"/>
      <c r="FB715" s="9"/>
      <c r="FC715" s="11"/>
      <c r="FD715" s="150"/>
      <c r="FE715" s="72"/>
      <c r="FF715" s="16"/>
      <c r="FG715" s="72"/>
      <c r="FH715" s="16"/>
      <c r="FI715" s="72"/>
      <c r="FJ715" s="16"/>
      <c r="FK715" s="72"/>
      <c r="FL715" s="16"/>
      <c r="FM715" s="72"/>
      <c r="FN715" s="16"/>
      <c r="FO715" s="72"/>
      <c r="FP715" s="16"/>
      <c r="FQ715" s="72"/>
      <c r="FR715" s="9"/>
      <c r="FS715" s="72"/>
      <c r="FT715" s="9"/>
      <c r="FU715" s="72"/>
      <c r="FV715" s="9"/>
      <c r="FW715" s="72"/>
      <c r="FX715" s="9"/>
      <c r="FY715" s="72"/>
      <c r="FZ715" s="9"/>
      <c r="GA715" s="72"/>
      <c r="GB715" s="9"/>
      <c r="GC715" s="72"/>
      <c r="GD715" s="9"/>
      <c r="GE715" s="72"/>
      <c r="GF715" s="9"/>
      <c r="GG715" s="72"/>
      <c r="GH715" s="9"/>
      <c r="GI715" s="72"/>
      <c r="GJ715" s="9"/>
      <c r="GK715" s="72"/>
      <c r="GL715" s="9"/>
      <c r="GM715" s="72"/>
      <c r="GN715" s="9"/>
      <c r="GO715" s="72"/>
      <c r="GP715" s="183"/>
      <c r="GQ715" s="72"/>
      <c r="GR715" s="9"/>
      <c r="GS715" s="72"/>
      <c r="GT715" s="9"/>
      <c r="GU715" s="72"/>
      <c r="GV715" s="9"/>
      <c r="GW715" s="72"/>
      <c r="GX715" s="9"/>
      <c r="GY715" s="72"/>
      <c r="GZ715" s="72"/>
      <c r="HA715" s="72"/>
      <c r="HB715" s="72"/>
      <c r="HC715"/>
      <c r="HD715"/>
      <c r="HE715"/>
      <c r="HF715"/>
      <c r="HG715"/>
      <c r="HH715"/>
      <c r="HI715" s="2"/>
    </row>
    <row r="716" spans="1:217" s="3" customFormat="1" ht="12.75" customHeight="1" x14ac:dyDescent="0.2">
      <c r="B716" s="96" t="s">
        <v>714</v>
      </c>
      <c r="C716" s="16"/>
      <c r="D716" s="16"/>
      <c r="E716" s="16"/>
      <c r="F716" s="11"/>
      <c r="G716" s="16"/>
      <c r="H716" s="11"/>
      <c r="I716" s="16"/>
      <c r="J716" s="11"/>
      <c r="K716" s="16"/>
      <c r="L716" s="72"/>
      <c r="M716" s="16"/>
      <c r="N716" s="72"/>
      <c r="O716" s="16"/>
      <c r="P716" s="72"/>
      <c r="Q716" s="16"/>
      <c r="R716" s="72"/>
      <c r="S716" s="16"/>
      <c r="T716" s="72"/>
      <c r="U716" s="16"/>
      <c r="V716" s="72"/>
      <c r="W716" s="16"/>
      <c r="X716" s="72"/>
      <c r="Y716" s="16"/>
      <c r="Z716" s="72"/>
      <c r="AA716" s="16"/>
      <c r="AB716" s="72"/>
      <c r="AC716" s="16"/>
      <c r="AD716" s="72"/>
      <c r="AE716" s="16"/>
      <c r="AF716" s="72"/>
      <c r="AG716" s="16"/>
      <c r="AH716" s="72"/>
      <c r="AI716" s="16"/>
      <c r="AJ716" s="72"/>
      <c r="AK716" s="16"/>
      <c r="AL716" s="72"/>
      <c r="AM716" s="16"/>
      <c r="AN716" s="72"/>
      <c r="AO716" s="16"/>
      <c r="AP716" s="72"/>
      <c r="AQ716" s="16"/>
      <c r="AR716" s="72"/>
      <c r="AS716" s="16"/>
      <c r="AT716" s="72"/>
      <c r="AU716" s="16"/>
      <c r="AV716" s="72"/>
      <c r="AW716" s="16"/>
      <c r="AX716" s="72"/>
      <c r="AY716" s="16"/>
      <c r="AZ716" s="72"/>
      <c r="BA716" s="16"/>
      <c r="BB716" s="72"/>
      <c r="BC716" s="16"/>
      <c r="BD716" s="72"/>
      <c r="BE716" s="16"/>
      <c r="BF716" s="72"/>
      <c r="BG716" s="16"/>
      <c r="BH716" s="72"/>
      <c r="BI716" s="16"/>
      <c r="BJ716" s="72"/>
      <c r="BK716" s="16"/>
      <c r="BL716" s="72"/>
      <c r="BM716" s="16"/>
      <c r="BN716" s="72"/>
      <c r="BO716" s="16"/>
      <c r="BP716" s="72"/>
      <c r="BQ716" s="16"/>
      <c r="BR716" s="72"/>
      <c r="BS716" s="16"/>
      <c r="BT716" s="72"/>
      <c r="BU716" s="16"/>
      <c r="BV716" s="72"/>
      <c r="BW716" s="16"/>
      <c r="BX716" s="72"/>
      <c r="BY716" s="16"/>
      <c r="BZ716" s="72"/>
      <c r="CA716" s="16"/>
      <c r="CB716" s="72"/>
      <c r="CC716" s="16"/>
      <c r="CD716" s="72"/>
      <c r="CE716" s="16"/>
      <c r="CF716" s="72"/>
      <c r="CG716" s="16"/>
      <c r="CH716" s="72"/>
      <c r="CI716" s="16"/>
      <c r="CJ716" s="72"/>
      <c r="CK716" s="16"/>
      <c r="CL716" s="72"/>
      <c r="CM716" s="16"/>
      <c r="CN716" s="72"/>
      <c r="CO716" s="16"/>
      <c r="CP716" s="72"/>
      <c r="CQ716" s="16"/>
      <c r="CR716" s="72"/>
      <c r="CS716" s="16"/>
      <c r="CT716" s="72"/>
      <c r="CU716" s="16"/>
      <c r="CV716" s="72"/>
      <c r="CW716" s="16"/>
      <c r="CX716" s="72"/>
      <c r="CY716" s="16"/>
      <c r="CZ716" s="72"/>
      <c r="DA716" s="16"/>
      <c r="DB716" s="72"/>
      <c r="DC716" s="16"/>
      <c r="DD716" s="72"/>
      <c r="DE716" s="16"/>
      <c r="DF716" s="72"/>
      <c r="DG716" s="16"/>
      <c r="DH716" s="72"/>
      <c r="DI716" s="16"/>
      <c r="DJ716" s="72"/>
      <c r="DK716" s="16"/>
      <c r="DL716" s="72"/>
      <c r="DM716" s="16"/>
      <c r="DN716" s="72"/>
      <c r="DO716" s="16"/>
      <c r="DP716" s="72"/>
      <c r="DQ716" s="16"/>
      <c r="DR716" s="72"/>
      <c r="DS716" s="16"/>
      <c r="DT716" s="72"/>
      <c r="DU716" s="16"/>
      <c r="DV716" s="72"/>
      <c r="DW716" s="9"/>
      <c r="DX716" s="72"/>
      <c r="DY716" s="9"/>
      <c r="DZ716" s="72"/>
      <c r="EA716" s="9"/>
      <c r="EB716" s="72"/>
      <c r="EC716" s="9"/>
      <c r="ED716" s="72"/>
      <c r="EE716" s="9"/>
      <c r="EF716" s="72"/>
      <c r="EG716" s="9"/>
      <c r="EH716" s="72"/>
      <c r="EI716" s="9"/>
      <c r="EJ716" s="72"/>
      <c r="EK716" s="9"/>
      <c r="EL716" s="72"/>
      <c r="EM716" s="9"/>
      <c r="EN716" s="72"/>
      <c r="EO716" s="9"/>
      <c r="EP716" s="72"/>
      <c r="EQ716" s="9"/>
      <c r="ER716" s="72"/>
      <c r="ES716" s="9"/>
      <c r="ET716" s="72"/>
      <c r="EU716" s="9"/>
      <c r="EV716" s="72"/>
      <c r="EW716" s="9"/>
      <c r="EX716" s="72"/>
      <c r="EY716" s="72"/>
      <c r="EZ716" s="296"/>
      <c r="FA716" s="72"/>
      <c r="FB716" s="9"/>
      <c r="FC716" s="11"/>
      <c r="FD716" s="150"/>
      <c r="FE716" s="72"/>
      <c r="FF716" s="16"/>
      <c r="FG716" s="72"/>
      <c r="FH716" s="16"/>
      <c r="FI716" s="72"/>
      <c r="FJ716" s="16"/>
      <c r="FK716" s="72"/>
      <c r="FL716" s="16"/>
      <c r="FM716" s="72"/>
      <c r="FN716" s="16"/>
      <c r="FO716" s="72"/>
      <c r="FP716" s="16"/>
      <c r="FQ716" s="72"/>
      <c r="FR716" s="9"/>
      <c r="FS716" s="72"/>
      <c r="FT716" s="9"/>
      <c r="FU716" s="72"/>
      <c r="FV716" s="9"/>
      <c r="FW716" s="72"/>
      <c r="FX716" s="9"/>
      <c r="FY716" s="72"/>
      <c r="FZ716" s="9"/>
      <c r="GA716" s="72"/>
      <c r="GB716" s="9"/>
      <c r="GC716" s="72"/>
      <c r="GD716" s="9"/>
      <c r="GE716" s="72"/>
      <c r="GF716" s="9"/>
      <c r="GG716" s="72"/>
      <c r="GH716" s="9"/>
      <c r="GI716" s="72"/>
      <c r="GJ716" s="9"/>
      <c r="GK716" s="72"/>
      <c r="GL716" s="9"/>
      <c r="GM716" s="72"/>
      <c r="GN716" s="9"/>
      <c r="GO716" s="72"/>
      <c r="GP716" s="9"/>
      <c r="GQ716" s="72"/>
      <c r="GR716" s="9"/>
      <c r="GS716" s="72"/>
      <c r="GT716" s="9"/>
      <c r="GU716" s="72"/>
      <c r="GV716" s="9"/>
      <c r="GW716" s="72"/>
      <c r="GX716" s="9"/>
      <c r="GY716" s="72"/>
      <c r="GZ716" s="72"/>
      <c r="HA716" s="72"/>
      <c r="HB716" s="72"/>
      <c r="HC716"/>
      <c r="HD716"/>
      <c r="HE716"/>
      <c r="HF716"/>
      <c r="HG716"/>
      <c r="HH716"/>
      <c r="HI716" s="2"/>
    </row>
    <row r="717" spans="1:217" s="3" customFormat="1" ht="12.75" customHeight="1" x14ac:dyDescent="0.2">
      <c r="A717" s="3" t="s">
        <v>677</v>
      </c>
      <c r="B717" s="4" t="s">
        <v>570</v>
      </c>
      <c r="C717" s="145"/>
      <c r="D717" s="16"/>
      <c r="E717" s="145"/>
      <c r="F717" s="11"/>
      <c r="G717" s="145"/>
      <c r="H717" s="11"/>
      <c r="I717" s="145"/>
      <c r="J717" s="11"/>
      <c r="K717" s="145">
        <f>+K666+K668+K675</f>
        <v>16719</v>
      </c>
      <c r="L717" s="72" t="str">
        <f t="shared" ref="L717:L723" si="3436">IF(ISERROR(K717/C717),"NA",IF(OR(K717/C717&gt;2,K717/C717&lt;0.5),"NM",K717/C717*100-100))</f>
        <v>NA</v>
      </c>
      <c r="M717" s="145">
        <f>+M666+M668+M675</f>
        <v>17834</v>
      </c>
      <c r="N717" s="72" t="str">
        <f t="shared" ref="N717:N723" si="3437">IF(ISERROR(M717/E717),"NA",IF(OR(M717/E717&gt;2,M717/E717&lt;0.5),"NM",M717/E717*100-100))</f>
        <v>NA</v>
      </c>
      <c r="O717" s="145">
        <f>+O666+O668+O675</f>
        <v>17666</v>
      </c>
      <c r="P717" s="72" t="str">
        <f t="shared" ref="P717:P723" si="3438">IF(ISERROR(O717/G717),"NA",IF(OR(O717/G717&gt;2,O717/G717&lt;0.5),"NM",O717/G717*100-100))</f>
        <v>NA</v>
      </c>
      <c r="Q717" s="145">
        <f>+Q666+Q668+Q675</f>
        <v>23890</v>
      </c>
      <c r="R717" s="72" t="str">
        <f t="shared" ref="R717:AP723" si="3439">IF(ISERROR(Q717/I717),"NA",IF(OR(Q717/I717&gt;2,Q717/I717&lt;0.5),"NM",Q717/I717*100-100))</f>
        <v>NA</v>
      </c>
      <c r="S717" s="145">
        <f>+S666+S668+S675</f>
        <v>23493</v>
      </c>
      <c r="T717" s="72">
        <f t="shared" si="3439"/>
        <v>40.516777319217653</v>
      </c>
      <c r="U717" s="145">
        <f>+U666+U668+U675</f>
        <v>23951</v>
      </c>
      <c r="V717" s="72">
        <f t="shared" si="3439"/>
        <v>34.29965234944487</v>
      </c>
      <c r="W717" s="145">
        <f>+W666+W668+W675</f>
        <v>24806</v>
      </c>
      <c r="X717" s="72">
        <f t="shared" si="3439"/>
        <v>40.416619495075281</v>
      </c>
      <c r="Y717" s="145">
        <f>+Y666+Y668+Y675</f>
        <v>24259</v>
      </c>
      <c r="Z717" s="72">
        <f t="shared" si="3439"/>
        <v>1.5445793218920016</v>
      </c>
      <c r="AA717" s="145">
        <f>+AA666+AA668+AA675</f>
        <v>24331</v>
      </c>
      <c r="AB717" s="72">
        <f t="shared" si="3439"/>
        <v>3.5670199633933493</v>
      </c>
      <c r="AC717" s="145">
        <f>+AC666+AC668+AC675</f>
        <v>25121</v>
      </c>
      <c r="AD717" s="72">
        <f t="shared" si="3439"/>
        <v>4.884973487537053</v>
      </c>
      <c r="AE717" s="145">
        <f>+AE666+AE668+AE675</f>
        <v>24871</v>
      </c>
      <c r="AF717" s="72">
        <f t="shared" si="3439"/>
        <v>0.26203337902120438</v>
      </c>
      <c r="AG717" s="145">
        <f>+AG666+AG668+AG675</f>
        <v>24200</v>
      </c>
      <c r="AH717" s="72">
        <f t="shared" si="3439"/>
        <v>-0.24320870604724121</v>
      </c>
      <c r="AI717" s="145">
        <f>+AI666+AI668+AI675</f>
        <v>24657</v>
      </c>
      <c r="AJ717" s="72">
        <f t="shared" si="3439"/>
        <v>1.3398545065965237</v>
      </c>
      <c r="AK717" s="145">
        <f>+AK666+AK668+AK675</f>
        <v>24056</v>
      </c>
      <c r="AL717" s="72">
        <f t="shared" si="3439"/>
        <v>-4.2394809123840673</v>
      </c>
      <c r="AM717" s="145">
        <f>+AM666+AM668+AM675</f>
        <v>26165</v>
      </c>
      <c r="AN717" s="72">
        <f t="shared" si="3439"/>
        <v>5.2028466889148035</v>
      </c>
      <c r="AO717" s="145">
        <f>+AO666+AO668+AO675</f>
        <v>27086</v>
      </c>
      <c r="AP717" s="72">
        <f t="shared" si="3439"/>
        <v>11.925619834710744</v>
      </c>
      <c r="AQ717" s="145">
        <f>+AQ666+AQ668+AQ675</f>
        <v>27225</v>
      </c>
      <c r="AR717" s="72">
        <f t="shared" ref="AR717:AR723" si="3440">IF(ISERROR(AQ717/AI717),"NA",IF(OR(AQ717/AI717&gt;2,AQ717/AI717&lt;0.5),"NM",AQ717/AI717*100-100))</f>
        <v>10.414892322666987</v>
      </c>
      <c r="AS717" s="145">
        <f>+AS666+AS668+AS675</f>
        <v>29359</v>
      </c>
      <c r="AT717" s="72">
        <f t="shared" ref="AT717:AT723" si="3441">IF(ISERROR(AS717/AK717),"NA",IF(OR(AS717/AK717&gt;2,AS717/AK717&lt;0.5),"NM",AS717/AK717*100-100))</f>
        <v>22.04439640838045</v>
      </c>
      <c r="AU717" s="145">
        <f>+AU666+AU668+AU675</f>
        <v>29546</v>
      </c>
      <c r="AV717" s="72">
        <f t="shared" ref="AV717:AV723" si="3442">IF(ISERROR(AU717/AM717),"NA",IF(OR(AU717/AM717&gt;2,AU717/AM717&lt;0.5),"NM",AU717/AM717*100-100))</f>
        <v>12.921842155551303</v>
      </c>
      <c r="AW717" s="145">
        <f>+AW666+AW668+AW675</f>
        <v>28174</v>
      </c>
      <c r="AX717" s="72">
        <f t="shared" ref="AX717:AX723" si="3443">IF(ISERROR(AW717/AO717),"NA",IF(OR(AW717/AO717&gt;2,AW717/AO717&lt;0.5),"NM",AW717/AO717*100-100))</f>
        <v>4.01683526545078</v>
      </c>
      <c r="AY717" s="145">
        <f>+AY666+AY668+AY675</f>
        <v>28513</v>
      </c>
      <c r="AZ717" s="72">
        <f t="shared" ref="AZ717:AZ723" si="3444">IF(ISERROR(AY717/AQ717),"NA",IF(OR(AY717/AQ717&gt;2,AY717/AQ717&lt;0.5),"NM",AY717/AQ717*100-100))</f>
        <v>4.7309458218549167</v>
      </c>
      <c r="BA717" s="145">
        <f>+BA666+BA668+BA675</f>
        <v>27944</v>
      </c>
      <c r="BB717" s="72">
        <f t="shared" ref="BB717:BB723" si="3445">IF(ISERROR(BA717/AS717),"NA",IF(OR(BA717/AS717&gt;2,BA717/AS717&lt;0.5),"NM",BA717/AS717*100-100))</f>
        <v>-4.8196464457236203</v>
      </c>
      <c r="BC717" s="145">
        <f>+BC666+BC668+BC675</f>
        <v>29517</v>
      </c>
      <c r="BD717" s="72">
        <f t="shared" ref="BD717:BD723" si="3446">IF(ISERROR(BC717/AU717),"NA",IF(OR(BC717/AU717&gt;2,BC717/AU717&lt;0.5),"NM",BC717/AU717*100-100))</f>
        <v>-9.815203411629625E-2</v>
      </c>
      <c r="BE717" s="145">
        <f>+BE666+BE668+BE675</f>
        <v>31363</v>
      </c>
      <c r="BF717" s="72">
        <f t="shared" ref="BF717:BF723" si="3447">IF(ISERROR(BE717/AW717),"NA",IF(OR(BE717/AW717&gt;2,BE717/AW717&lt;0.5),"NM",BE717/AW717*100-100))</f>
        <v>11.318946546461291</v>
      </c>
      <c r="BG717" s="145">
        <f>+BG666+BG668+BG675</f>
        <v>32345</v>
      </c>
      <c r="BH717" s="72">
        <f t="shared" ref="BH717:BH723" si="3448">IF(ISERROR(BG717/AY717),"NA",IF(OR(BG717/AY717&gt;2,BG717/AY717&lt;0.5),"NM",BG717/AY717*100-100))</f>
        <v>13.439483744257004</v>
      </c>
      <c r="BI717" s="145">
        <f>+BI666+BI668+BI675</f>
        <v>31119</v>
      </c>
      <c r="BJ717" s="72">
        <f t="shared" ref="BJ717:BJ723" si="3449">IF(ISERROR(BI717/BA717),"NA",IF(OR(BI717/BA717&gt;2,BI717/BA717&lt;0.5),"NM",BI717/BA717*100-100))</f>
        <v>11.362009733753226</v>
      </c>
      <c r="BK717" s="145">
        <f>+BK666+BK668+BK675</f>
        <v>31822</v>
      </c>
      <c r="BL717" s="72">
        <f t="shared" ref="BL717:BL723" si="3450">IF(ISERROR(BK717/BC717),"NA",IF(OR(BK717/BC717&gt;2,BK717/BC717&lt;0.5),"NM",BK717/BC717*100-100))</f>
        <v>7.8090591862316643</v>
      </c>
      <c r="BM717" s="145">
        <f>+BM666+BM668+BM675</f>
        <v>34062</v>
      </c>
      <c r="BN717" s="72">
        <f t="shared" ref="BN717:BN723" si="3451">IF(ISERROR(BM717/BE717),"NA",IF(OR(BM717/BE717&gt;2,BM717/BE717&lt;0.5),"NM",BM717/BE717*100-100))</f>
        <v>8.605681854414442</v>
      </c>
      <c r="BO717" s="145">
        <f>+BO666+BO668+BO675</f>
        <v>35259</v>
      </c>
      <c r="BP717" s="72">
        <f t="shared" ref="BP717:BP723" si="3452">IF(ISERROR(BO717/BG717),"NA",IF(OR(BO717/BG717&gt;2,BO717/BG717&lt;0.5),"NM",BO717/BG717*100-100))</f>
        <v>9.0091204204668429</v>
      </c>
      <c r="BQ717" s="145">
        <f>+BQ666+BQ668+BQ675</f>
        <v>36987</v>
      </c>
      <c r="BR717" s="72">
        <f t="shared" ref="BR717:BR723" si="3453">IF(ISERROR(BQ717/BI717),"NA",IF(OR(BQ717/BI717&gt;2,BQ717/BI717&lt;0.5),"NM",BQ717/BI717*100-100))</f>
        <v>18.856647064494368</v>
      </c>
      <c r="BS717" s="145">
        <f>+BS666+BS668+BS675</f>
        <v>37434</v>
      </c>
      <c r="BT717" s="72">
        <f t="shared" ref="BT717:BT723" si="3454">IF(ISERROR(BS717/BK717),"NA",IF(OR(BS717/BK717&gt;2,BS717/BK717&lt;0.5),"NM",BS717/BK717*100-100))</f>
        <v>17.635598013952603</v>
      </c>
      <c r="BU717" s="145">
        <f>+BU666+BU668+BU675</f>
        <v>32832</v>
      </c>
      <c r="BV717" s="72">
        <f t="shared" ref="BV717:BV723" si="3455">IF(ISERROR(BU717/BM717),"NA",IF(OR(BU717/BM717&gt;2,BU717/BM717&lt;0.5),"NM",BU717/BM717*100-100))</f>
        <v>-3.6110621807292631</v>
      </c>
      <c r="BW717" s="145">
        <f>+BW666+BW668+BW675</f>
        <v>33261</v>
      </c>
      <c r="BX717" s="72">
        <f t="shared" ref="BX717:BX723" si="3456">IF(ISERROR(BW717/BO717),"NA",IF(OR(BW717/BO717&gt;2,BW717/BO717&lt;0.5),"NM",BW717/BO717*100-100))</f>
        <v>-5.6666383051135938</v>
      </c>
      <c r="BY717" s="145">
        <f>+BY666+BY668+BY675</f>
        <v>37912</v>
      </c>
      <c r="BZ717" s="72">
        <f t="shared" ref="BZ717:BZ723" si="3457">IF(ISERROR(BY717/BQ717),"NA",IF(OR(BY717/BQ717&gt;2,BY717/BQ717&lt;0.5),"NM",BY717/BQ717*100-100))</f>
        <v>2.5008786871062938</v>
      </c>
      <c r="CA717" s="145">
        <f>+CA666+CA668+CA675</f>
        <v>44248</v>
      </c>
      <c r="CB717" s="72">
        <f t="shared" ref="CB717:CB723" si="3458">IF(ISERROR(CA717/BS717),"NA",IF(OR(CA717/BS717&gt;2,CA717/BS717&lt;0.5),"NM",CA717/BS717*100-100))</f>
        <v>18.202703424694121</v>
      </c>
      <c r="CC717" s="145">
        <f>+CC666+CC668+CC675</f>
        <v>43441</v>
      </c>
      <c r="CD717" s="72">
        <f t="shared" ref="CD717:CD723" si="3459">IF(ISERROR(CC717/BU717),"NA",IF(OR(CC717/BU717&gt;2,CC717/BU717&lt;0.5),"NM",CC717/BU717*100-100))</f>
        <v>32.312987329434719</v>
      </c>
      <c r="CE717" s="145">
        <f>+CE666+CE668+CE675</f>
        <v>43152</v>
      </c>
      <c r="CF717" s="72">
        <f t="shared" ref="CF717:CF723" si="3460">IF(ISERROR(CE717/BW717),"NA",IF(OR(CE717/BW717&gt;2,CE717/BW717&lt;0.5),"NM",CE717/BW717*100-100))</f>
        <v>29.737530441057089</v>
      </c>
      <c r="CG717" s="145">
        <f>+CG666+CG668+CG675</f>
        <v>46511</v>
      </c>
      <c r="CH717" s="72">
        <f t="shared" ref="CH717:CH723" si="3461">IF(ISERROR(CG717/BY717),"NA",IF(OR(CG717/BY717&gt;2,CG717/BY717&lt;0.5),"NM",CG717/BY717*100-100))</f>
        <v>22.681472884574802</v>
      </c>
      <c r="CI717" s="145">
        <f>+CI666+CI668+CI675</f>
        <v>48548</v>
      </c>
      <c r="CJ717" s="72">
        <f t="shared" ref="CJ717:CT723" si="3462">IF(ISERROR(CI717/CA717),"NA",IF(OR(CI717/CA717&gt;2,CI717/CA717&lt;0.5),"NM",CI717/CA717*100-100))</f>
        <v>9.7179533538239014</v>
      </c>
      <c r="CK717" s="145">
        <f>+CK666+CK668+CK675</f>
        <v>48694</v>
      </c>
      <c r="CL717" s="72">
        <f t="shared" si="3462"/>
        <v>12.092263069450524</v>
      </c>
      <c r="CM717" s="145">
        <f>+CM666+CM668+CM675</f>
        <v>49265</v>
      </c>
      <c r="CN717" s="72">
        <f t="shared" si="3462"/>
        <v>14.166203188728204</v>
      </c>
      <c r="CO717" s="145">
        <f>+CO666+CO668+CO675</f>
        <v>52063</v>
      </c>
      <c r="CP717" s="72">
        <f t="shared" si="3462"/>
        <v>11.936961148975513</v>
      </c>
      <c r="CQ717" s="145">
        <f>+CQ666+CQ668+CQ675</f>
        <v>53552</v>
      </c>
      <c r="CR717" s="72">
        <f t="shared" si="3462"/>
        <v>10.30732470956579</v>
      </c>
      <c r="CS717" s="145">
        <f>+CS666+CS668+CS675</f>
        <v>54170</v>
      </c>
      <c r="CT717" s="72">
        <f t="shared" si="3462"/>
        <v>11.245738694705707</v>
      </c>
      <c r="CU717" s="145">
        <f>+CU666+CU668+CU675</f>
        <v>54637</v>
      </c>
      <c r="CV717" s="72">
        <f t="shared" ref="CV717:CV723" si="3463">IF(ISERROR(CU717/CM717),"NA",IF(OR(CU717/CM717&gt;2,CU717/CM717&lt;0.5),"NM",CU717/CM717*100-100))</f>
        <v>10.904293108697843</v>
      </c>
      <c r="CW717" s="145">
        <f>+CW666+CW668+CW675</f>
        <v>57623</v>
      </c>
      <c r="CX717" s="72">
        <f t="shared" ref="CX717:CX723" si="3464">IF(ISERROR(CW717/CO717),"NA",IF(OR(CW717/CO717&gt;2,CW717/CO717&lt;0.5),"NM",CW717/CO717*100-100))</f>
        <v>10.679369225745731</v>
      </c>
      <c r="CY717" s="145">
        <f>+CY666+CY668+CY675</f>
        <v>56765</v>
      </c>
      <c r="CZ717" s="72">
        <f t="shared" ref="CZ717:CZ723" si="3465">IF(ISERROR(CY717/CQ717),"NA",IF(OR(CY717/CQ717&gt;2,CY717/CQ717&lt;0.5),"NM",CY717/CQ717*100-100))</f>
        <v>5.9997759187331923</v>
      </c>
      <c r="DA717" s="145">
        <f>+DA666+DA668+DA675</f>
        <v>55466</v>
      </c>
      <c r="DB717" s="72">
        <f t="shared" ref="DB717:DB723" si="3466">IF(ISERROR(DA717/CS717),"NA",IF(OR(DA717/CS717&gt;2,DA717/CS717&lt;0.5),"NM",DA717/CS717*100-100))</f>
        <v>2.3924681558058012</v>
      </c>
      <c r="DC717" s="145">
        <f>+DC666+DC668+DC675</f>
        <v>56401</v>
      </c>
      <c r="DD717" s="72">
        <f t="shared" ref="DD717:DD723" si="3467">IF(ISERROR(DC717/CU717),"NA",IF(OR(DC717/CU717&gt;2,DC717/CU717&lt;0.5),"NM",DC717/CU717*100-100))</f>
        <v>3.2285813642769483</v>
      </c>
      <c r="DE717" s="145">
        <f>+DE666+DE668+DE675</f>
        <v>50752</v>
      </c>
      <c r="DF717" s="72">
        <f t="shared" ref="DF717:DF723" si="3468">IF(ISERROR(DE717/CW717),"NA",IF(OR(DE717/CW717&gt;2,DE717/CW717&lt;0.5),"NM",DE717/CW717*100-100))</f>
        <v>-11.924058101799631</v>
      </c>
      <c r="DG717" s="145">
        <f>+DG666+DG668+DG675</f>
        <v>49901</v>
      </c>
      <c r="DH717" s="72">
        <f t="shared" ref="DH717:DH723" si="3469">IF(ISERROR(DG717/CY717),"NA",IF(OR(DG717/CY717&gt;2,DG717/CY717&lt;0.5),"NM",DG717/CY717*100-100))</f>
        <v>-12.0919580727561</v>
      </c>
      <c r="DI717" s="145">
        <f>+DI666+DI668+DI675</f>
        <v>50954</v>
      </c>
      <c r="DJ717" s="72">
        <f t="shared" ref="DJ717:DJ723" si="3470">IF(ISERROR(DI717/DA717),"NA",IF(OR(DI717/DA717&gt;2,DI717/DA717&lt;0.5),"NM",DI717/DA717*100-100))</f>
        <v>-8.1347131576100651</v>
      </c>
      <c r="DK717" s="145">
        <f>+DK666+DK668+DK675</f>
        <v>52851</v>
      </c>
      <c r="DL717" s="72">
        <f t="shared" ref="DL717:DL723" si="3471">IF(ISERROR(DK717/DC717),"NA",IF(OR(DK717/DC717&gt;2,DK717/DC717&lt;0.5),"NM",DK717/DC717*100-100))</f>
        <v>-6.2942146415843752</v>
      </c>
      <c r="DM717" s="145">
        <f>+DM666+DM668+DM675</f>
        <v>56667</v>
      </c>
      <c r="DN717" s="72">
        <f t="shared" ref="DN717:DZ723" si="3472">IF(ISERROR(DM717/DE717),"NA",IF(OR(DM717/DE717&gt;2,DM717/DE717&lt;0.5),"NM",DM717/DE717*100-100))</f>
        <v>11.654713114754102</v>
      </c>
      <c r="DO717" s="145">
        <f>+DO666+DO668+DO675</f>
        <v>56316</v>
      </c>
      <c r="DP717" s="72">
        <f t="shared" si="3472"/>
        <v>12.855453798521069</v>
      </c>
      <c r="DQ717" s="145">
        <f>+DQ666+DQ668+DQ675</f>
        <v>55928</v>
      </c>
      <c r="DR717" s="72">
        <f t="shared" si="3472"/>
        <v>9.7617458884484023</v>
      </c>
      <c r="DS717" s="145">
        <f>+DS666+DS668+DS675</f>
        <v>59863</v>
      </c>
      <c r="DT717" s="72">
        <f t="shared" si="3472"/>
        <v>13.267487843181769</v>
      </c>
      <c r="DU717" s="145">
        <f>+DU666+DU668+DU675</f>
        <v>56103</v>
      </c>
      <c r="DV717" s="72">
        <f t="shared" si="3472"/>
        <v>-0.99528826301022377</v>
      </c>
      <c r="DW717" s="145">
        <f>+DW666+DW668+DW675</f>
        <v>57165</v>
      </c>
      <c r="DX717" s="72">
        <f t="shared" si="3472"/>
        <v>1.5075644577029692</v>
      </c>
      <c r="DY717" s="145">
        <f>+DY666+DY668+DY675</f>
        <v>55733</v>
      </c>
      <c r="DZ717" s="72">
        <f t="shared" si="3472"/>
        <v>-0.34866256615649149</v>
      </c>
      <c r="EA717" s="145">
        <f>+EA666+EA668+EA675</f>
        <v>63037</v>
      </c>
      <c r="EB717" s="72">
        <f t="shared" ref="EB717:EB723" si="3473">IF(ISERROR(EA717/DS717),"NA",IF(OR(EA717/DS717&gt;2,EA717/DS717&lt;0.5),"NM",EA717/DS717*100-100))</f>
        <v>5.3021064764545685</v>
      </c>
      <c r="EC717" s="145">
        <f>+EC666+EC668+EC675</f>
        <v>68321</v>
      </c>
      <c r="ED717" s="72">
        <f t="shared" ref="ED717:ED723" si="3474">IF(ISERROR(EC717/DU717),"NA",IF(OR(EC717/DU717&gt;2,EC717/DU717&lt;0.5),"NM",EC717/DU717*100-100))</f>
        <v>21.777801543589462</v>
      </c>
      <c r="EE717" s="145">
        <f>+EE666+EE668+EE675</f>
        <v>69373</v>
      </c>
      <c r="EF717" s="72">
        <f t="shared" ref="EF717:EF723" si="3475">IF(ISERROR(EE717/DW717),"NA",IF(OR(EE717/DW717&gt;2,EE717/DW717&lt;0.5),"NM",EE717/DW717*100-100))</f>
        <v>21.355724656695529</v>
      </c>
      <c r="EG717" s="145">
        <f>+EG666+EG668+EG675</f>
        <v>58087</v>
      </c>
      <c r="EH717" s="72">
        <f t="shared" ref="EH717:EH723" si="3476">IF(ISERROR(EG717/DY717),"NA",IF(OR(EG717/DY717&gt;2,EG717/DY717&lt;0.5),"NM",EG717/DY717*100-100))</f>
        <v>4.2237094719466199</v>
      </c>
      <c r="EI717" s="145">
        <f>+EI666+EI668+EI675</f>
        <v>58858</v>
      </c>
      <c r="EJ717" s="72">
        <f t="shared" ref="EJ717:EJ723" si="3477">IF(ISERROR(EI717/EA717),"NA",IF(OR(EI717/EA717&gt;2,EI717/EA717&lt;0.5),"NM",EI717/EA717*100-100))</f>
        <v>-6.6294398527848699</v>
      </c>
      <c r="EK717" s="145">
        <f>+EK666+EK668+EK675</f>
        <v>60250</v>
      </c>
      <c r="EL717" s="72">
        <f t="shared" ref="EL717:EL723" si="3478">IF(ISERROR(EK717/EC717),"NA",IF(OR(EK717/EC717&gt;2,EK717/EC717&lt;0.5),"NM",EK717/EC717*100-100))</f>
        <v>-11.81335167810775</v>
      </c>
      <c r="EM717" s="145">
        <f>+EM666+EM668+EM675</f>
        <v>60905</v>
      </c>
      <c r="EN717" s="72">
        <f t="shared" ref="EN717:EN723" si="3479">IF(ISERROR(EM717/EE717),"NA",IF(OR(EM717/EE717&gt;2,EM717/EE717&lt;0.5),"NM",EM717/EE717*100-100))</f>
        <v>-12.206478024591704</v>
      </c>
      <c r="EO717" s="145">
        <f>+EO666+EO668+EO675</f>
        <v>64619</v>
      </c>
      <c r="EP717" s="72">
        <f t="shared" ref="EP717:EP723" si="3480">IF(ISERROR(EO717/EG717),"NA",IF(OR(EO717/EG717&gt;2,EO717/EG717&lt;0.5),"NM",EO717/EG717*100-100))</f>
        <v>11.245201163771583</v>
      </c>
      <c r="EQ717" s="144">
        <f t="shared" ref="EQ717" si="3481">+EQ666+EQ668+EQ675</f>
        <v>65056.029676528269</v>
      </c>
      <c r="ER717" s="72">
        <f t="shared" ref="ER717:ER723" si="3482">IF(ISERROR(EQ717/EI717),"NA",IF(OR(EQ717/EI717&gt;2,EQ717/EI717&lt;0.5),"NM",EQ717/EI717*100-100))</f>
        <v>10.530479589058857</v>
      </c>
      <c r="ES717" s="144">
        <f t="shared" ref="ES717" si="3483">+ES666+ES668+ES675</f>
        <v>65287.621538728985</v>
      </c>
      <c r="ET717" s="72">
        <f t="shared" ref="ET717:ET723" si="3484">IF(ISERROR(ES717/EK717),"NA",IF(OR(ES717/EK717&gt;2,ES717/EK717&lt;0.5),"NM",ES717/EK717*100-100))</f>
        <v>8.3611975746539287</v>
      </c>
      <c r="EU717" s="144">
        <f t="shared" ref="EU717" si="3485">+EU666+EU668+EU675</f>
        <v>65501.006659041697</v>
      </c>
      <c r="EV717" s="72">
        <f t="shared" ref="EV717:EV723" si="3486">IF(ISERROR(EU717/EM717),"NA",IF(OR(EU717/EM717&gt;2,EU717/EM717&lt;0.5),"NM",EU717/EM717*100-100))</f>
        <v>7.5461894081630305</v>
      </c>
      <c r="EW717" s="144">
        <f t="shared" ref="EW717" si="3487">+EW666+EW668+EW675</f>
        <v>65580.948762970933</v>
      </c>
      <c r="EX717" s="72">
        <f t="shared" ref="EX717:EX723" si="3488">IF(ISERROR(EW717/EO717),"NA",IF(OR(EW717/EO717&gt;2,EW717/EO717&lt;0.5),"NM",EW717/EO717*100-100))</f>
        <v>1.4886469350669813</v>
      </c>
      <c r="EY717" s="72"/>
      <c r="EZ717" s="296"/>
      <c r="FA717" s="72"/>
      <c r="FB717" s="9"/>
      <c r="FC717" s="11"/>
      <c r="FD717" s="150"/>
      <c r="FE717" s="72"/>
      <c r="FF717" s="145">
        <f>+FF666+FF668+FF675</f>
        <v>15217</v>
      </c>
      <c r="FG717" s="72" t="str">
        <f t="shared" ref="FG717:FG723" si="3489">IF(ISERROR(FF717/FD717),"NA",IF(OR(FF717/FD717&gt;2,FF717/FD717&lt;0.5),"NM",FF717/FD717*100-100))</f>
        <v>NA</v>
      </c>
      <c r="FH717" s="145">
        <f>+FH666+FH668+FH675</f>
        <v>23890</v>
      </c>
      <c r="FI717" s="72">
        <f t="shared" ref="FI717:FI723" si="3490">IF(ISERROR(FH717/FF717),"NA",IF(OR(FH717/FF717&gt;2,FH717/FF717&lt;0.5),"NM",FH717/FF717*100-100))</f>
        <v>56.995465597686803</v>
      </c>
      <c r="FJ717" s="145">
        <f>+FJ666+FJ668+FJ675</f>
        <v>24259</v>
      </c>
      <c r="FK717" s="72">
        <f t="shared" ref="FK717:FK723" si="3491">IF(ISERROR(FJ717/FH717),"NA",IF(OR(FJ717/FH717&gt;2,FJ717/FH717&lt;0.5),"NM",FJ717/FH717*100-100))</f>
        <v>1.5445793218920016</v>
      </c>
      <c r="FL717" s="145">
        <f>+FL666+FL668+FL675</f>
        <v>24200</v>
      </c>
      <c r="FM717" s="72">
        <f t="shared" ref="FM717:FM723" si="3492">IF(ISERROR(FL717/FJ717),"NA",IF(OR(FL717/FJ717&gt;2,FL717/FJ717&lt;0.5),"NM",FL717/FJ717*100-100))</f>
        <v>-0.24320870604724121</v>
      </c>
      <c r="FN717" s="145">
        <f>+FN666+FN668+FN675</f>
        <v>27086</v>
      </c>
      <c r="FO717" s="72">
        <f t="shared" ref="FO717:FO723" si="3493">IF(ISERROR(FN717/FL717),"NA",IF(OR(FN717/FL717&gt;2,FN717/FL717&lt;0.5),"NM",FN717/FL717*100-100))</f>
        <v>11.925619834710744</v>
      </c>
      <c r="FP717" s="145">
        <f>+FP666+FP668+FP675</f>
        <v>28174</v>
      </c>
      <c r="FQ717" s="72">
        <f t="shared" ref="FQ717:FQ723" si="3494">IF(ISERROR(FP717/FN717),"NA",IF(OR(FP717/FN717&gt;2,FP717/FN717&lt;0.5),"NM",FP717/FN717*100-100))</f>
        <v>4.01683526545078</v>
      </c>
      <c r="FR717" s="144">
        <f>+FR666+FR668+FR675</f>
        <v>31363</v>
      </c>
      <c r="FS717" s="72">
        <f t="shared" ref="FS717:FS723" si="3495">IF(ISERROR(FR717/FP717),"NA",IF(OR(FR717/FP717&gt;2,FR717/FP717&lt;0.5),"NM",FR717/FP717*100-100))</f>
        <v>11.318946546461291</v>
      </c>
      <c r="FT717" s="144">
        <f>+FT666+FT668+FT675</f>
        <v>34062</v>
      </c>
      <c r="FU717" s="72">
        <f t="shared" ref="FU717:FU723" si="3496">IF(ISERROR(FT717/FR717),"NA",IF(OR(FT717/FR717&gt;2,FT717/FR717&lt;0.5),"NM",FT717/FR717*100-100))</f>
        <v>8.605681854414442</v>
      </c>
      <c r="FV717" s="144">
        <f>+FV666+FV668+FV675</f>
        <v>32832</v>
      </c>
      <c r="FW717" s="72">
        <f t="shared" ref="FW717:GG723" si="3497">IF(ISERROR(FV717/FT717),"NA",IF(OR(FV717/FT717&gt;2,FV717/FT717&lt;0.5),"NM",FV717/FT717*100-100))</f>
        <v>-3.6110621807292631</v>
      </c>
      <c r="FX717" s="144">
        <f>+FX666+FX668+FX675</f>
        <v>43441</v>
      </c>
      <c r="FY717" s="72">
        <f t="shared" si="3497"/>
        <v>32.312987329434719</v>
      </c>
      <c r="FZ717" s="144">
        <f>+FZ666+FZ668+FZ675</f>
        <v>48694</v>
      </c>
      <c r="GA717" s="72">
        <f t="shared" si="3497"/>
        <v>12.092263069450524</v>
      </c>
      <c r="GB717" s="144">
        <f>+GB666+GB668+GB675</f>
        <v>54170</v>
      </c>
      <c r="GC717" s="72">
        <f t="shared" si="3497"/>
        <v>11.245738694705707</v>
      </c>
      <c r="GD717" s="144">
        <f>+GD666+GD668+GD675</f>
        <v>55466</v>
      </c>
      <c r="GE717" s="72">
        <f t="shared" si="3497"/>
        <v>2.3924681558058012</v>
      </c>
      <c r="GF717" s="144">
        <f>+GF666+GF668+GF675</f>
        <v>50954</v>
      </c>
      <c r="GG717" s="72">
        <f t="shared" si="3497"/>
        <v>-8.1347131576100651</v>
      </c>
      <c r="GH717" s="144">
        <f>+GH666+GH668+GH675</f>
        <v>55928</v>
      </c>
      <c r="GI717" s="72">
        <f t="shared" ref="GI717:GU723" si="3498">IF(ISERROR(GH717/GF717),"NA",IF(OR(GH717/GF717&gt;2,GH717/GF717&lt;0.5),"NM",GH717/GF717*100-100))</f>
        <v>9.7617458884484023</v>
      </c>
      <c r="GJ717" s="144">
        <f>+GJ666+GJ668+GJ675</f>
        <v>55733</v>
      </c>
      <c r="GK717" s="72">
        <f t="shared" si="3498"/>
        <v>-0.34866256615649149</v>
      </c>
      <c r="GL717" s="144">
        <f>+GL666+GL668+GL675</f>
        <v>58087</v>
      </c>
      <c r="GM717" s="72">
        <f t="shared" si="3498"/>
        <v>4.2237094719466199</v>
      </c>
      <c r="GN717" s="144">
        <f>+GN666+GN668+GN675</f>
        <v>64619</v>
      </c>
      <c r="GO717" s="72">
        <f t="shared" si="3498"/>
        <v>11.245201163771583</v>
      </c>
      <c r="GP717" s="144">
        <f>+GP666+GP668+GP675</f>
        <v>65580.948762970933</v>
      </c>
      <c r="GQ717" s="72">
        <f t="shared" si="3498"/>
        <v>1.4886469350669813</v>
      </c>
      <c r="GR717" s="144">
        <f>+GR666+GR668+GR675</f>
        <v>67067.087105941464</v>
      </c>
      <c r="GS717" s="72">
        <f t="shared" si="3498"/>
        <v>2.2661129047429256</v>
      </c>
      <c r="GT717" s="144">
        <f>+GT666+GT668+GT675</f>
        <v>68367.238570896763</v>
      </c>
      <c r="GU717" s="72">
        <f t="shared" si="3498"/>
        <v>1.9385834707589709</v>
      </c>
      <c r="GV717" s="144">
        <f>+GV666+GV668+GV675</f>
        <v>69578.676342416409</v>
      </c>
      <c r="GW717" s="72">
        <f t="shared" ref="GW717:GW723" si="3499">IF(ISERROR(GV717/GT717),"NA",IF(OR(GV717/GT717&gt;2,GV717/GT717&lt;0.5),"NM",GV717/GT717*100-100))</f>
        <v>1.771956564054264</v>
      </c>
      <c r="GX717" s="144">
        <f>+GX666+GX668+GX675</f>
        <v>70683.984540073609</v>
      </c>
      <c r="GY717" s="72">
        <f t="shared" ref="GY717:GY723" si="3500">IF(ISERROR(GX717/GV717),"NA",IF(OR(GX717/GV717&gt;2,GX717/GV717&lt;0.5),"NM",GX717/GV717*100-100))</f>
        <v>1.5885731890294466</v>
      </c>
      <c r="GZ717" s="72">
        <f t="shared" ref="GZ717:GZ723" si="3501">IF(ISERROR(((GX717/GN717)^0.2-1)*100),"NA",IF((((GX717/GN717)^0.2-1)*100)&gt;100,"NM",IF((((GX717/GN717)^0.2-1)*100)&lt;-50,"NM",((GX717/GN717)^0.2-1)*100)))</f>
        <v>1.8104033594012359</v>
      </c>
      <c r="HA717" s="72"/>
      <c r="HB717" s="72"/>
      <c r="HC717"/>
      <c r="HD717"/>
      <c r="HE717"/>
      <c r="HF717"/>
      <c r="HG717"/>
      <c r="HH717"/>
      <c r="HI717" s="2"/>
    </row>
    <row r="718" spans="1:217" s="3" customFormat="1" ht="12.75" customHeight="1" x14ac:dyDescent="0.2">
      <c r="A718" s="3" t="s">
        <v>594</v>
      </c>
      <c r="B718" s="18" t="s">
        <v>502</v>
      </c>
      <c r="C718" s="169"/>
      <c r="D718" s="188"/>
      <c r="E718" s="169"/>
      <c r="F718" s="11"/>
      <c r="G718" s="169"/>
      <c r="H718" s="11"/>
      <c r="I718" s="169">
        <f>I666/(I666+I668+I675)*100</f>
        <v>9.6996779917197866</v>
      </c>
      <c r="J718" s="11"/>
      <c r="K718" s="169">
        <f>K666/(K666+K668+K675)*100</f>
        <v>12.309348645253902</v>
      </c>
      <c r="L718" s="72" t="str">
        <f t="shared" si="3436"/>
        <v>NA</v>
      </c>
      <c r="M718" s="169">
        <f>M666/(M666+M668+M675)*100</f>
        <v>17.085342604014802</v>
      </c>
      <c r="N718" s="72" t="str">
        <f t="shared" si="3437"/>
        <v>NA</v>
      </c>
      <c r="O718" s="169">
        <f>O666/(O666+O668+O675)*100</f>
        <v>16.885542850673609</v>
      </c>
      <c r="P718" s="72" t="str">
        <f t="shared" si="3438"/>
        <v>NA</v>
      </c>
      <c r="Q718" s="169">
        <f>Q666/(Q666+Q668+Q675)*100</f>
        <v>14.876517371285056</v>
      </c>
      <c r="R718" s="72">
        <f t="shared" si="3439"/>
        <v>53.371249890816188</v>
      </c>
      <c r="S718" s="169">
        <f>S666/(S666+S668+S675)*100</f>
        <v>14.259566679436428</v>
      </c>
      <c r="T718" s="72">
        <f t="shared" si="3439"/>
        <v>15.843389365159211</v>
      </c>
      <c r="U718" s="169">
        <f>U666/(U666+U668+U675)*100</f>
        <v>12.538098618011775</v>
      </c>
      <c r="V718" s="72">
        <f t="shared" si="3439"/>
        <v>-26.614883244626839</v>
      </c>
      <c r="W718" s="169">
        <f>W666/(W666+W668+W675)*100</f>
        <v>12.404257034588406</v>
      </c>
      <c r="X718" s="72">
        <f t="shared" si="3439"/>
        <v>-26.539187136091584</v>
      </c>
      <c r="Y718" s="169">
        <f>Y666/(Y666+Y668+Y675)*100</f>
        <v>12.395399645492395</v>
      </c>
      <c r="Z718" s="72">
        <f t="shared" si="3439"/>
        <v>-16.678081730215723</v>
      </c>
      <c r="AA718" s="169">
        <f>AA666/(AA666+AA668+AA675)*100</f>
        <v>10.611976490896387</v>
      </c>
      <c r="AB718" s="72">
        <f t="shared" si="3439"/>
        <v>-25.579951134140657</v>
      </c>
      <c r="AC718" s="169">
        <f>AC666/(AC666+AC668+AC675)*100</f>
        <v>10.600692647585685</v>
      </c>
      <c r="AD718" s="72">
        <f t="shared" si="3439"/>
        <v>-15.452151314577179</v>
      </c>
      <c r="AE718" s="169">
        <f>AE666/(AE666+AE668+AE675)*100</f>
        <v>17.409834747296046</v>
      </c>
      <c r="AF718" s="72">
        <f t="shared" si="3439"/>
        <v>40.353708398253389</v>
      </c>
      <c r="AG718" s="169">
        <f>AG666/(AG666+AG668+AG675)*100</f>
        <v>15.950413223140497</v>
      </c>
      <c r="AH718" s="72">
        <f t="shared" si="3439"/>
        <v>28.680104549439733</v>
      </c>
      <c r="AI718" s="169">
        <f>AI666/(AI666+AI668+AI675)*100</f>
        <v>15.492557894309932</v>
      </c>
      <c r="AJ718" s="72">
        <f t="shared" si="3439"/>
        <v>45.991257213963991</v>
      </c>
      <c r="AK718" s="169">
        <f>AK666/(AK666+AK668+AK675)*100</f>
        <v>18.444462919853674</v>
      </c>
      <c r="AL718" s="72">
        <f t="shared" si="3439"/>
        <v>73.992997750523529</v>
      </c>
      <c r="AM718" s="169">
        <f>AM666/(AM666+AM668+AM675)*100</f>
        <v>21.815402254920695</v>
      </c>
      <c r="AN718" s="72">
        <f t="shared" si="3439"/>
        <v>25.305050688714246</v>
      </c>
      <c r="AO718" s="169">
        <f>AO666/(AO666+AO668+AO675)*100</f>
        <v>21.697555932954295</v>
      </c>
      <c r="AP718" s="72">
        <f t="shared" si="3439"/>
        <v>36.031309216967344</v>
      </c>
      <c r="AQ718" s="169">
        <f>AQ666/(AQ666+AQ668+AQ675)*100</f>
        <v>21.968778696051423</v>
      </c>
      <c r="AR718" s="72">
        <f t="shared" si="3440"/>
        <v>41.802140394905763</v>
      </c>
      <c r="AS718" s="169">
        <f>AS666/(AS666+AS668+AS675)*100</f>
        <v>23.788276167444394</v>
      </c>
      <c r="AT718" s="72">
        <f t="shared" si="3441"/>
        <v>28.972452441749454</v>
      </c>
      <c r="AU718" s="169">
        <f>AU666/(AU666+AU668+AU675)*100</f>
        <v>23.871251607662629</v>
      </c>
      <c r="AV718" s="72">
        <f t="shared" si="3442"/>
        <v>9.4238434328123049</v>
      </c>
      <c r="AW718" s="169">
        <f>AW666/(AW666+AW668+AW675)*100</f>
        <v>23.141903883012706</v>
      </c>
      <c r="AX718" s="72">
        <f t="shared" si="3443"/>
        <v>6.6567310830835567</v>
      </c>
      <c r="AY718" s="169">
        <f>AY666/(AY666+AY668+AY675)*100</f>
        <v>25.546242065022973</v>
      </c>
      <c r="AZ718" s="72">
        <f t="shared" si="3444"/>
        <v>16.284307008903269</v>
      </c>
      <c r="BA718" s="169">
        <f>BA666/(BA666+BA668+BA675)*100</f>
        <v>26.910964786716292</v>
      </c>
      <c r="BB718" s="72">
        <f t="shared" si="3445"/>
        <v>13.127006754467871</v>
      </c>
      <c r="BC718" s="169">
        <f>BC666/(BC666+BC668+BC675)*100</f>
        <v>25.287122675068602</v>
      </c>
      <c r="BD718" s="72">
        <f t="shared" si="3446"/>
        <v>5.9312812360097666</v>
      </c>
      <c r="BE718" s="169">
        <f>BE666/(BE666+BE668+BE675)*100</f>
        <v>30.842075056595352</v>
      </c>
      <c r="BF718" s="72">
        <f t="shared" si="3447"/>
        <v>33.273715129527204</v>
      </c>
      <c r="BG718" s="169">
        <f>BG666/(BG666+BG668+BG675)*100</f>
        <v>31.164012985005414</v>
      </c>
      <c r="BH718" s="72">
        <f t="shared" si="3448"/>
        <v>21.990596134192657</v>
      </c>
      <c r="BI718" s="169">
        <f>BI666/(BI666+BI668+BI675)*100</f>
        <v>30.209839647803594</v>
      </c>
      <c r="BJ718" s="72">
        <f t="shared" si="3449"/>
        <v>12.258478606146753</v>
      </c>
      <c r="BK718" s="169">
        <f>BK666/(BK666+BK668+BK675)*100</f>
        <v>30.705172522154484</v>
      </c>
      <c r="BL718" s="72">
        <f t="shared" si="3450"/>
        <v>21.426122365545822</v>
      </c>
      <c r="BM718" s="169">
        <f>BM666/(BM666+BM668+BM675)*100</f>
        <v>36.260348775761848</v>
      </c>
      <c r="BN718" s="72">
        <f t="shared" si="3451"/>
        <v>17.5677988890953</v>
      </c>
      <c r="BO718" s="169">
        <f>BO666/(BO666+BO668+BO675)*100</f>
        <v>37.726537905215693</v>
      </c>
      <c r="BP718" s="72">
        <f t="shared" si="3452"/>
        <v>21.058022673035865</v>
      </c>
      <c r="BQ718" s="169">
        <f>BQ666/(BQ666+BQ668+BQ675)*100</f>
        <v>41.241517289858599</v>
      </c>
      <c r="BR718" s="72">
        <f t="shared" si="3453"/>
        <v>36.516836139039413</v>
      </c>
      <c r="BS718" s="169">
        <f>BS666/(BS666+BS668+BS675)*100</f>
        <v>43.062456590265533</v>
      </c>
      <c r="BT718" s="72">
        <f t="shared" si="3454"/>
        <v>40.244958920829987</v>
      </c>
      <c r="BU718" s="169">
        <f>BU666/(BU666+BU668+BU675)*100</f>
        <v>56.469298245614027</v>
      </c>
      <c r="BV718" s="72">
        <f t="shared" si="3455"/>
        <v>55.73291529771717</v>
      </c>
      <c r="BW718" s="169">
        <f>BW666/(BW666+BW668+BW675)*100</f>
        <v>56.859384865157395</v>
      </c>
      <c r="BX718" s="72">
        <f t="shared" si="3456"/>
        <v>50.714558033422378</v>
      </c>
      <c r="BY718" s="169">
        <f>BY666/(BY666+BY668+BY675)*100</f>
        <v>50.725364000844067</v>
      </c>
      <c r="BZ718" s="72">
        <f t="shared" si="3457"/>
        <v>22.99587244652021</v>
      </c>
      <c r="CA718" s="169">
        <f>CA666/(CA666+CA668+CA675)*100</f>
        <v>47.480112095461941</v>
      </c>
      <c r="CB718" s="72">
        <f t="shared" si="3458"/>
        <v>10.258716884709827</v>
      </c>
      <c r="CC718" s="169">
        <f>CC666/(CC666+CC668+CC675)*100</f>
        <v>44.398149213876295</v>
      </c>
      <c r="CD718" s="72">
        <f t="shared" si="3459"/>
        <v>-21.376481392125854</v>
      </c>
      <c r="CE718" s="169">
        <f>CE666/(CE666+CE668+CE675)*100</f>
        <v>46.095198368557654</v>
      </c>
      <c r="CF718" s="72">
        <f t="shared" si="3460"/>
        <v>-18.931239798191839</v>
      </c>
      <c r="CG718" s="169">
        <f>CG666/(CG666+CG668+CG675)*100</f>
        <v>44.395949345316161</v>
      </c>
      <c r="CH718" s="72">
        <f t="shared" si="3461"/>
        <v>-12.477810224136761</v>
      </c>
      <c r="CI718" s="169">
        <f>CI666/(CI666+CI668+CI675)*100</f>
        <v>39.276592238609211</v>
      </c>
      <c r="CJ718" s="72">
        <f t="shared" si="3462"/>
        <v>-17.277802209815775</v>
      </c>
      <c r="CK718" s="169">
        <f>CK666/(CK666+CK668+CK675)*100</f>
        <v>41.86142029818869</v>
      </c>
      <c r="CL718" s="72">
        <f t="shared" si="3462"/>
        <v>-5.7135915811886377</v>
      </c>
      <c r="CM718" s="169">
        <f>CM666/(CM666+CM668+CM675)*100</f>
        <v>42.147569268243174</v>
      </c>
      <c r="CN718" s="72">
        <f t="shared" si="3462"/>
        <v>-8.5640787761686425</v>
      </c>
      <c r="CO718" s="169">
        <f>CO666/(CO666+CO668+CO675)*100</f>
        <v>40.929258782628736</v>
      </c>
      <c r="CP718" s="72">
        <f t="shared" si="3462"/>
        <v>-7.8085740113881883</v>
      </c>
      <c r="CQ718" s="169">
        <f>CQ666/(CQ666+CQ668+CQ675)*100</f>
        <v>38.562518673438902</v>
      </c>
      <c r="CR718" s="72">
        <f t="shared" si="3462"/>
        <v>-1.8180639522701938</v>
      </c>
      <c r="CS718" s="169">
        <f>CS666/(CS666+CS668+CS675)*100</f>
        <v>39.418497323241645</v>
      </c>
      <c r="CT718" s="72">
        <f t="shared" si="3462"/>
        <v>-5.8357383900152797</v>
      </c>
      <c r="CU718" s="169">
        <f>CU666/(CU666+CU668+CU675)*100</f>
        <v>38.636821201749733</v>
      </c>
      <c r="CV718" s="72">
        <f t="shared" si="3463"/>
        <v>-8.3296572671835492</v>
      </c>
      <c r="CW718" s="169">
        <f>CW666/(CW666+CW668+CW675)*100</f>
        <v>36.495843673533138</v>
      </c>
      <c r="CX718" s="72">
        <f t="shared" si="3464"/>
        <v>-10.831896889804511</v>
      </c>
      <c r="CY718" s="169">
        <f>CY666/(CY666+CY668+CY675)*100</f>
        <v>34.486038932440763</v>
      </c>
      <c r="CZ718" s="72">
        <f t="shared" si="3465"/>
        <v>-10.571093074908347</v>
      </c>
      <c r="DA718" s="169">
        <f>DA666/(DA666+DA668+DA675)*100</f>
        <v>33.281650019831972</v>
      </c>
      <c r="DB718" s="72">
        <f t="shared" si="3466"/>
        <v>-15.568445577937624</v>
      </c>
      <c r="DC718" s="169">
        <f>DC666/(DC666+DC668+DC675)*100</f>
        <v>31.930284924026171</v>
      </c>
      <c r="DD718" s="72">
        <f t="shared" si="3467"/>
        <v>-17.357888328090112</v>
      </c>
      <c r="DE718" s="169">
        <f>DE666/(DE666+DE668+DE675)*100</f>
        <v>33.659757250945773</v>
      </c>
      <c r="DF718" s="72">
        <f t="shared" si="3468"/>
        <v>-7.7709846851522428</v>
      </c>
      <c r="DG718" s="169">
        <f>DG666/(DG666+DG668+DG675)*100</f>
        <v>34.233782890122441</v>
      </c>
      <c r="DH718" s="72">
        <f t="shared" si="3469"/>
        <v>-0.73147293840413852</v>
      </c>
      <c r="DI718" s="169">
        <f>DI666/(DI666+DI668+DI675)*100</f>
        <v>33.498842092868074</v>
      </c>
      <c r="DJ718" s="72">
        <f t="shared" si="3470"/>
        <v>0.65258805650165641</v>
      </c>
      <c r="DK718" s="169">
        <f>DK666/(DK666+DK668+DK675)*100</f>
        <v>30.427049630092146</v>
      </c>
      <c r="DL718" s="72">
        <f t="shared" si="3471"/>
        <v>-4.7078668339815124</v>
      </c>
      <c r="DM718" s="169">
        <f>DM666/(DM666+DM668+DM675)*100</f>
        <v>30.006882312456984</v>
      </c>
      <c r="DN718" s="72">
        <f t="shared" si="3472"/>
        <v>-10.852350809470408</v>
      </c>
      <c r="DO718" s="169">
        <f>DO666/(DO666+DO668+DO675)*100</f>
        <v>28.611762199019818</v>
      </c>
      <c r="DP718" s="72">
        <f t="shared" si="3472"/>
        <v>-16.422434847902124</v>
      </c>
      <c r="DQ718" s="169">
        <f>DQ666/(DQ666+DQ668+DQ675)*100</f>
        <v>26.725432699184665</v>
      </c>
      <c r="DR718" s="72">
        <f t="shared" si="3472"/>
        <v>-20.219831404636736</v>
      </c>
      <c r="DS718" s="169">
        <f>DS666/(DS666+DS668+DS675)*100</f>
        <v>24.754856923308221</v>
      </c>
      <c r="DT718" s="72">
        <f t="shared" si="3472"/>
        <v>-18.641941219217543</v>
      </c>
      <c r="DU718" s="169">
        <f>DU666/(DU666+DU668+DU675)*100</f>
        <v>25.63142790938096</v>
      </c>
      <c r="DV718" s="72">
        <f t="shared" si="3472"/>
        <v>-14.5815028616272</v>
      </c>
      <c r="DW718" s="169">
        <f>DW666/(DW666+DW668+DW675)*100</f>
        <v>25.268958278667014</v>
      </c>
      <c r="DX718" s="72">
        <f t="shared" si="3472"/>
        <v>-11.683320646595192</v>
      </c>
      <c r="DY718" s="169">
        <f>DY666/(DY666+DY668+DY675)*100</f>
        <v>24.838067213320652</v>
      </c>
      <c r="DZ718" s="72">
        <f t="shared" si="3472"/>
        <v>-7.0620577302068881</v>
      </c>
      <c r="EA718" s="169">
        <f>EA666/(EA666+EA668+EA675)*100</f>
        <v>21.88397290480194</v>
      </c>
      <c r="EB718" s="72">
        <f t="shared" si="3473"/>
        <v>-11.597255550296353</v>
      </c>
      <c r="EC718" s="169">
        <f>EC666/(EC666+EC668+EC675)*100</f>
        <v>19.27957728955958</v>
      </c>
      <c r="ED718" s="72">
        <f t="shared" si="3474"/>
        <v>-24.781493416122316</v>
      </c>
      <c r="EE718" s="169">
        <f>EE666/(EE666+EE668+EE675)*100</f>
        <v>18.655672956337479</v>
      </c>
      <c r="EF718" s="72">
        <f t="shared" si="3475"/>
        <v>-26.171578778190934</v>
      </c>
      <c r="EG718" s="169">
        <f>EG666/(EG666+EG668+EG675)*100</f>
        <v>21.044295625527226</v>
      </c>
      <c r="EH718" s="72">
        <f t="shared" si="3476"/>
        <v>-15.274020942172299</v>
      </c>
      <c r="EI718" s="169">
        <f>EI666/(EI666+EI668+EI675)*100</f>
        <v>20.513778925549627</v>
      </c>
      <c r="EJ718" s="72">
        <f t="shared" si="3477"/>
        <v>-6.2611756339346272</v>
      </c>
      <c r="EK718" s="169">
        <f>EK666/(EK666+EK668+EK675)*100</f>
        <v>19.595020746887968</v>
      </c>
      <c r="EL718" s="72">
        <f t="shared" si="3478"/>
        <v>1.6361533896244111</v>
      </c>
      <c r="EM718" s="169">
        <f>EM666/(EM666+EM668+EM675)*100</f>
        <v>17.292504720466301</v>
      </c>
      <c r="EN718" s="72">
        <f t="shared" si="3479"/>
        <v>-7.3069904208848158</v>
      </c>
      <c r="EO718" s="169">
        <f>EO666/(EO666+EO668+EO675)*100</f>
        <v>16.326467447654714</v>
      </c>
      <c r="EP718" s="72">
        <f t="shared" si="3480"/>
        <v>-22.418560648566796</v>
      </c>
      <c r="EQ718" s="171">
        <f t="shared" ref="EQ718" si="3502">EQ666/(EQ666+EQ668+EQ675)*100</f>
        <v>16.244458895733775</v>
      </c>
      <c r="ER718" s="72">
        <f t="shared" si="3482"/>
        <v>-20.811962755913655</v>
      </c>
      <c r="ES718" s="171">
        <f t="shared" ref="ES718" si="3503">ES666/(ES666+ES668+ES675)*100</f>
        <v>16.214405963189094</v>
      </c>
      <c r="ET718" s="72">
        <f t="shared" si="3484"/>
        <v>-17.252417475678229</v>
      </c>
      <c r="EU718" s="171">
        <f t="shared" ref="EU718" si="3504">EU666/(EU666+EU668+EU675)*100</f>
        <v>16.189064169956897</v>
      </c>
      <c r="EV718" s="72">
        <f t="shared" si="3486"/>
        <v>-6.3810336810458921</v>
      </c>
      <c r="EW718" s="171">
        <f t="shared" ref="EW718" si="3505">EW666/(EW666+EW668+EW675)*100</f>
        <v>16.196776960929721</v>
      </c>
      <c r="EX718" s="72">
        <f t="shared" si="3488"/>
        <v>-0.79435730442486374</v>
      </c>
      <c r="EY718" s="72"/>
      <c r="EZ718" s="320"/>
      <c r="FA718" s="72"/>
      <c r="FB718" s="171"/>
      <c r="FC718" s="82"/>
      <c r="FD718" s="170"/>
      <c r="FE718" s="72"/>
      <c r="FF718" s="169">
        <f>FF666/(FF666+FF668+FF675)*100</f>
        <v>9.6996779917197866</v>
      </c>
      <c r="FG718" s="72" t="str">
        <f t="shared" si="3489"/>
        <v>NA</v>
      </c>
      <c r="FH718" s="169">
        <f>FH666/(FH666+FH668+FH675)*100</f>
        <v>14.876517371285056</v>
      </c>
      <c r="FI718" s="72">
        <f t="shared" si="3490"/>
        <v>53.371249890816188</v>
      </c>
      <c r="FJ718" s="169">
        <f>FJ666/(FJ666+FJ668+FJ675)*100</f>
        <v>12.395399645492395</v>
      </c>
      <c r="FK718" s="72">
        <f t="shared" si="3491"/>
        <v>-16.678081730215723</v>
      </c>
      <c r="FL718" s="169">
        <f>FL666/(FL666+FL668+FL675)*100</f>
        <v>15.950413223140497</v>
      </c>
      <c r="FM718" s="72">
        <f t="shared" si="3492"/>
        <v>28.680104549439733</v>
      </c>
      <c r="FN718" s="169">
        <f>FN666/(FN666+FN668+FN675)*100</f>
        <v>21.697555932954295</v>
      </c>
      <c r="FO718" s="72">
        <f t="shared" si="3493"/>
        <v>36.031309216967344</v>
      </c>
      <c r="FP718" s="169">
        <f>FP666/(FP666+FP668+FP675)*100</f>
        <v>23.141903883012706</v>
      </c>
      <c r="FQ718" s="72">
        <f t="shared" si="3494"/>
        <v>6.6567310830835567</v>
      </c>
      <c r="FR718" s="171">
        <f>FR666/(FR666+FR668+FR675)*100</f>
        <v>30.842075056595352</v>
      </c>
      <c r="FS718" s="72">
        <f t="shared" si="3495"/>
        <v>33.273715129527204</v>
      </c>
      <c r="FT718" s="171">
        <f>FT666/(FT666+FT668+FT675)*100</f>
        <v>36.260348775761848</v>
      </c>
      <c r="FU718" s="72">
        <f t="shared" si="3496"/>
        <v>17.5677988890953</v>
      </c>
      <c r="FV718" s="171">
        <f>FV666/(FV666+FV668+FV675)*100</f>
        <v>56.469298245614027</v>
      </c>
      <c r="FW718" s="72">
        <f t="shared" si="3497"/>
        <v>55.73291529771717</v>
      </c>
      <c r="FX718" s="171">
        <f>FX666/(FX666+FX668+FX675)*100</f>
        <v>44.398149213876295</v>
      </c>
      <c r="FY718" s="72">
        <f t="shared" si="3497"/>
        <v>-21.376481392125854</v>
      </c>
      <c r="FZ718" s="171">
        <f>FZ666/(FZ666+FZ668+FZ675)*100</f>
        <v>41.86142029818869</v>
      </c>
      <c r="GA718" s="72">
        <f t="shared" si="3497"/>
        <v>-5.7135915811886377</v>
      </c>
      <c r="GB718" s="171">
        <f>GB666/(GB666+GB668+GB675)*100</f>
        <v>39.418497323241645</v>
      </c>
      <c r="GC718" s="72">
        <f t="shared" si="3497"/>
        <v>-5.8357383900152797</v>
      </c>
      <c r="GD718" s="171">
        <f>GD666/(GD666+GD668+GD675)*100</f>
        <v>33.281650019831972</v>
      </c>
      <c r="GE718" s="72">
        <f t="shared" si="3497"/>
        <v>-15.568445577937624</v>
      </c>
      <c r="GF718" s="171">
        <f>GF666/(GF666+GF668+GF675)*100</f>
        <v>33.498842092868074</v>
      </c>
      <c r="GG718" s="72">
        <f t="shared" si="3497"/>
        <v>0.65258805650165641</v>
      </c>
      <c r="GH718" s="171">
        <f>GH666/(GH666+GH668+GH675)*100</f>
        <v>26.725432699184665</v>
      </c>
      <c r="GI718" s="72">
        <f t="shared" si="3498"/>
        <v>-20.219831404636736</v>
      </c>
      <c r="GJ718" s="171">
        <f>GJ666/(GJ666+GJ668+GJ675)*100</f>
        <v>24.838067213320652</v>
      </c>
      <c r="GK718" s="72">
        <f t="shared" si="3498"/>
        <v>-7.0620577302068881</v>
      </c>
      <c r="GL718" s="171">
        <f>GL666/(GL666+GL668+GL675)*100</f>
        <v>21.044295625527226</v>
      </c>
      <c r="GM718" s="72">
        <f t="shared" si="3498"/>
        <v>-15.274020942172299</v>
      </c>
      <c r="GN718" s="171">
        <f>GN666/(GN666+GN668+GN675)*100</f>
        <v>16.326467447654714</v>
      </c>
      <c r="GO718" s="72">
        <f t="shared" si="3498"/>
        <v>-22.418560648566796</v>
      </c>
      <c r="GP718" s="171">
        <f>GP666/(GP666+GP668+GP675)*100</f>
        <v>16.196776960929721</v>
      </c>
      <c r="GQ718" s="72">
        <f t="shared" si="3498"/>
        <v>-0.79435730442486374</v>
      </c>
      <c r="GR718" s="171">
        <f>GR666/(GR666+GR668+GR675)*100</f>
        <v>15.949701204560521</v>
      </c>
      <c r="GS718" s="72">
        <f t="shared" si="3498"/>
        <v>-1.5254624853154723</v>
      </c>
      <c r="GT718" s="171">
        <f>GT666/(GT666+GT668+GT675)*100</f>
        <v>15.756084676185139</v>
      </c>
      <c r="GU718" s="72">
        <f t="shared" si="3498"/>
        <v>-1.2139194702908895</v>
      </c>
      <c r="GV718" s="171">
        <f>GV666/(GV666+GV668+GV675)*100</f>
        <v>15.589546352705582</v>
      </c>
      <c r="GW718" s="72">
        <f t="shared" si="3499"/>
        <v>-1.0569778400040946</v>
      </c>
      <c r="GX718" s="171">
        <f>GX666/(GX666+GX668+GX675)*100</f>
        <v>15.451873675581881</v>
      </c>
      <c r="GY718" s="72">
        <f t="shared" si="3500"/>
        <v>-0.88310893728994699</v>
      </c>
      <c r="GZ718" s="72">
        <f t="shared" si="3501"/>
        <v>-1.0951054055193365</v>
      </c>
      <c r="HA718" s="72"/>
      <c r="HB718" s="72"/>
      <c r="HC718"/>
      <c r="HD718"/>
      <c r="HE718"/>
      <c r="HF718"/>
      <c r="HG718"/>
      <c r="HH718"/>
      <c r="HI718" s="2"/>
    </row>
    <row r="719" spans="1:217" s="3" customFormat="1" ht="12.75" customHeight="1" x14ac:dyDescent="0.2">
      <c r="A719" s="3" t="s">
        <v>595</v>
      </c>
      <c r="B719" s="18" t="s">
        <v>704</v>
      </c>
      <c r="C719" s="169"/>
      <c r="D719" s="188"/>
      <c r="E719" s="169"/>
      <c r="F719" s="11"/>
      <c r="G719" s="169"/>
      <c r="H719" s="11"/>
      <c r="I719" s="169">
        <f>(I666+I668)/(I666+I668+I675)*100</f>
        <v>9.6996779917197866</v>
      </c>
      <c r="J719" s="11"/>
      <c r="K719" s="169">
        <f>(K666+K668)/(K666+K668+K675)*100</f>
        <v>12.309348645253902</v>
      </c>
      <c r="L719" s="72" t="str">
        <f t="shared" si="3436"/>
        <v>NA</v>
      </c>
      <c r="M719" s="169">
        <f>(M666+M668)/(M666+M668+M675)*100</f>
        <v>17.085342604014802</v>
      </c>
      <c r="N719" s="72" t="str">
        <f t="shared" si="3437"/>
        <v>NA</v>
      </c>
      <c r="O719" s="169">
        <f>(O666+O668)/(O666+O668+O675)*100</f>
        <v>16.885542850673609</v>
      </c>
      <c r="P719" s="72" t="str">
        <f t="shared" si="3438"/>
        <v>NA</v>
      </c>
      <c r="Q719" s="169">
        <f>(Q666+Q668)/(Q666+Q668+Q675)*100</f>
        <v>17.764755127668479</v>
      </c>
      <c r="R719" s="72">
        <f t="shared" si="3439"/>
        <v>83.147885350766444</v>
      </c>
      <c r="S719" s="169">
        <f>(S666+S668)/(S666+S668+S675)*100</f>
        <v>17.196611756693482</v>
      </c>
      <c r="T719" s="72">
        <f t="shared" si="3439"/>
        <v>39.70366956275916</v>
      </c>
      <c r="U719" s="169">
        <f>(U666+U668)/(U666+U668+U675)*100</f>
        <v>15.418980418354138</v>
      </c>
      <c r="V719" s="72">
        <f t="shared" si="3439"/>
        <v>-9.7531681060296336</v>
      </c>
      <c r="W719" s="169">
        <f>(W666+W668)/(W666+W668+W675)*100</f>
        <v>15.185842134967348</v>
      </c>
      <c r="X719" s="72">
        <f t="shared" si="3439"/>
        <v>-10.066011680746499</v>
      </c>
      <c r="Y719" s="169">
        <f>(Y666+Y668)/(Y666+Y668+Y675)*100</f>
        <v>15.239704851807575</v>
      </c>
      <c r="Z719" s="72">
        <f t="shared" si="3439"/>
        <v>-14.213819766804193</v>
      </c>
      <c r="AA719" s="169">
        <f>(AA666+AA668)/(AA666+AA668+AA675)*100</f>
        <v>13.447864863754058</v>
      </c>
      <c r="AB719" s="72">
        <f t="shared" si="3439"/>
        <v>-21.799334345501464</v>
      </c>
      <c r="AC719" s="169">
        <f>(AC666+AC668)/(AC666+AC668+AC675)*100</f>
        <v>13.347398590820427</v>
      </c>
      <c r="AD719" s="72">
        <f t="shared" si="3439"/>
        <v>-13.435271148459222</v>
      </c>
      <c r="AE719" s="169">
        <f>(AE666+AE668)/(AE666+AE668+AE675)*100</f>
        <v>17.409834747296046</v>
      </c>
      <c r="AF719" s="72">
        <f t="shared" si="3439"/>
        <v>14.645171420606744</v>
      </c>
      <c r="AG719" s="169">
        <f>(AG666+AG668)/(AG666+AG668+AG675)*100</f>
        <v>15.950413223140497</v>
      </c>
      <c r="AH719" s="72">
        <f t="shared" si="3439"/>
        <v>4.6635310738883931</v>
      </c>
      <c r="AI719" s="169">
        <f>(AI666+AI668)/(AI666+AI668+AI675)*100</f>
        <v>15.492557894309932</v>
      </c>
      <c r="AJ719" s="72">
        <f t="shared" si="3439"/>
        <v>15.204592336936116</v>
      </c>
      <c r="AK719" s="169">
        <f>(AK666+AK668)/(AK666+AK668+AK675)*100</f>
        <v>18.444462919853674</v>
      </c>
      <c r="AL719" s="72">
        <f t="shared" si="3439"/>
        <v>38.187698481850362</v>
      </c>
      <c r="AM719" s="169">
        <f>(AM666+AM668)/(AM666+AM668+AM675)*100</f>
        <v>21.815402254920695</v>
      </c>
      <c r="AN719" s="72">
        <f t="shared" si="3439"/>
        <v>25.305050688714246</v>
      </c>
      <c r="AO719" s="169">
        <f>(AO666+AO668)/(AO666+AO668+AO675)*100</f>
        <v>21.697555932954295</v>
      </c>
      <c r="AP719" s="72">
        <f t="shared" si="3439"/>
        <v>36.031309216967344</v>
      </c>
      <c r="AQ719" s="169">
        <f>(AQ666+AQ668)/(AQ666+AQ668+AQ675)*100</f>
        <v>21.968778696051423</v>
      </c>
      <c r="AR719" s="72">
        <f t="shared" si="3440"/>
        <v>41.802140394905763</v>
      </c>
      <c r="AS719" s="169">
        <f>(AS666+AS668)/(AS666+AS668+AS675)*100</f>
        <v>23.788276167444394</v>
      </c>
      <c r="AT719" s="72">
        <f t="shared" si="3441"/>
        <v>28.972452441749454</v>
      </c>
      <c r="AU719" s="169">
        <f>(AU666+AU668)/(AU666+AU668+AU675)*100</f>
        <v>23.871251607662629</v>
      </c>
      <c r="AV719" s="72">
        <f t="shared" si="3442"/>
        <v>9.4238434328123049</v>
      </c>
      <c r="AW719" s="169">
        <f>(AW666+AW668)/(AW666+AW668+AW675)*100</f>
        <v>23.141903883012706</v>
      </c>
      <c r="AX719" s="72">
        <f t="shared" si="3443"/>
        <v>6.6567310830835567</v>
      </c>
      <c r="AY719" s="169">
        <f>(AY666+AY668)/(AY666+AY668+AY675)*100</f>
        <v>25.546242065022973</v>
      </c>
      <c r="AZ719" s="72">
        <f t="shared" si="3444"/>
        <v>16.284307008903269</v>
      </c>
      <c r="BA719" s="169">
        <f>(BA666+BA668)/(BA666+BA668+BA675)*100</f>
        <v>26.910964786716292</v>
      </c>
      <c r="BB719" s="72">
        <f t="shared" si="3445"/>
        <v>13.127006754467871</v>
      </c>
      <c r="BC719" s="169">
        <f>(BC666+BC668)/(BC666+BC668+BC675)*100</f>
        <v>25.287122675068602</v>
      </c>
      <c r="BD719" s="72">
        <f t="shared" si="3446"/>
        <v>5.9312812360097666</v>
      </c>
      <c r="BE719" s="169">
        <f>(BE666+BE668)/(BE666+BE668+BE675)*100</f>
        <v>30.842075056595352</v>
      </c>
      <c r="BF719" s="72">
        <f t="shared" si="3447"/>
        <v>33.273715129527204</v>
      </c>
      <c r="BG719" s="169">
        <f>(BG666+BG668)/(BG666+BG668+BG675)*100</f>
        <v>31.164012985005414</v>
      </c>
      <c r="BH719" s="72">
        <f t="shared" si="3448"/>
        <v>21.990596134192657</v>
      </c>
      <c r="BI719" s="169">
        <f>(BI666+BI668)/(BI666+BI668+BI675)*100</f>
        <v>30.209839647803594</v>
      </c>
      <c r="BJ719" s="72">
        <f t="shared" si="3449"/>
        <v>12.258478606146753</v>
      </c>
      <c r="BK719" s="169">
        <f>(BK666+BK668)/(BK666+BK668+BK675)*100</f>
        <v>30.705172522154484</v>
      </c>
      <c r="BL719" s="72">
        <f t="shared" si="3450"/>
        <v>21.426122365545822</v>
      </c>
      <c r="BM719" s="169">
        <f>(BM666+BM668)/(BM666+BM668+BM675)*100</f>
        <v>36.260348775761848</v>
      </c>
      <c r="BN719" s="72">
        <f t="shared" si="3451"/>
        <v>17.5677988890953</v>
      </c>
      <c r="BO719" s="169">
        <f>(BO666+BO668)/(BO666+BO668+BO675)*100</f>
        <v>37.726537905215693</v>
      </c>
      <c r="BP719" s="72">
        <f t="shared" si="3452"/>
        <v>21.058022673035865</v>
      </c>
      <c r="BQ719" s="169">
        <f>(BQ666+BQ668)/(BQ666+BQ668+BQ675)*100</f>
        <v>41.241517289858599</v>
      </c>
      <c r="BR719" s="72">
        <f t="shared" si="3453"/>
        <v>36.516836139039413</v>
      </c>
      <c r="BS719" s="169">
        <f>(BS666+BS668)/(BS666+BS668+BS675)*100</f>
        <v>43.062456590265533</v>
      </c>
      <c r="BT719" s="72">
        <f t="shared" si="3454"/>
        <v>40.244958920829987</v>
      </c>
      <c r="BU719" s="169">
        <f>(BU666+BU668)/(BU666+BU668+BU675)*100</f>
        <v>56.469298245614027</v>
      </c>
      <c r="BV719" s="72">
        <f t="shared" si="3455"/>
        <v>55.73291529771717</v>
      </c>
      <c r="BW719" s="169">
        <f>(BW666+BW668)/(BW666+BW668+BW675)*100</f>
        <v>56.859384865157395</v>
      </c>
      <c r="BX719" s="72">
        <f t="shared" si="3456"/>
        <v>50.714558033422378</v>
      </c>
      <c r="BY719" s="169">
        <f>(BY666+BY668)/(BY666+BY668+BY675)*100</f>
        <v>50.725364000844067</v>
      </c>
      <c r="BZ719" s="72">
        <f t="shared" si="3457"/>
        <v>22.99587244652021</v>
      </c>
      <c r="CA719" s="169">
        <f>(CA666+CA668)/(CA666+CA668+CA675)*100</f>
        <v>47.480112095461941</v>
      </c>
      <c r="CB719" s="72">
        <f t="shared" si="3458"/>
        <v>10.258716884709827</v>
      </c>
      <c r="CC719" s="169">
        <f>(CC666+CC668)/(CC666+CC668+CC675)*100</f>
        <v>44.398149213876295</v>
      </c>
      <c r="CD719" s="72">
        <f t="shared" si="3459"/>
        <v>-21.376481392125854</v>
      </c>
      <c r="CE719" s="169">
        <f>(CE666+CE668)/(CE666+CE668+CE675)*100</f>
        <v>46.095198368557654</v>
      </c>
      <c r="CF719" s="72">
        <f t="shared" si="3460"/>
        <v>-18.931239798191839</v>
      </c>
      <c r="CG719" s="169">
        <f>(CG666+CG668)/(CG666+CG668+CG675)*100</f>
        <v>44.395949345316161</v>
      </c>
      <c r="CH719" s="72">
        <f t="shared" si="3461"/>
        <v>-12.477810224136761</v>
      </c>
      <c r="CI719" s="169">
        <f>(CI666+CI668)/(CI666+CI668+CI675)*100</f>
        <v>39.276592238609211</v>
      </c>
      <c r="CJ719" s="72">
        <f t="shared" si="3462"/>
        <v>-17.277802209815775</v>
      </c>
      <c r="CK719" s="169">
        <f>(CK666+CK668)/(CK666+CK668+CK675)*100</f>
        <v>41.86142029818869</v>
      </c>
      <c r="CL719" s="72">
        <f t="shared" si="3462"/>
        <v>-5.7135915811886377</v>
      </c>
      <c r="CM719" s="169">
        <f>(CM666+CM668)/(CM666+CM668+CM675)*100</f>
        <v>42.147569268243174</v>
      </c>
      <c r="CN719" s="72">
        <f t="shared" si="3462"/>
        <v>-8.5640787761686425</v>
      </c>
      <c r="CO719" s="169">
        <f>(CO666+CO668)/(CO666+CO668+CO675)*100</f>
        <v>40.929258782628736</v>
      </c>
      <c r="CP719" s="72">
        <f t="shared" si="3462"/>
        <v>-7.8085740113881883</v>
      </c>
      <c r="CQ719" s="169">
        <f>(CQ666+CQ668)/(CQ666+CQ668+CQ675)*100</f>
        <v>38.562518673438902</v>
      </c>
      <c r="CR719" s="72">
        <f t="shared" si="3462"/>
        <v>-1.8180639522701938</v>
      </c>
      <c r="CS719" s="169">
        <f>(CS666+CS668)/(CS666+CS668+CS675)*100</f>
        <v>39.418497323241645</v>
      </c>
      <c r="CT719" s="72">
        <f t="shared" si="3462"/>
        <v>-5.8357383900152797</v>
      </c>
      <c r="CU719" s="169">
        <f>(CU666+CU668)/(CU666+CU668+CU675)*100</f>
        <v>38.636821201749733</v>
      </c>
      <c r="CV719" s="72">
        <f t="shared" si="3463"/>
        <v>-8.3296572671835492</v>
      </c>
      <c r="CW719" s="169">
        <f>(CW666+CW668)/(CW666+CW668+CW675)*100</f>
        <v>36.495843673533138</v>
      </c>
      <c r="CX719" s="72">
        <f t="shared" si="3464"/>
        <v>-10.831896889804511</v>
      </c>
      <c r="CY719" s="169">
        <f>(CY666+CY668)/(CY666+CY668+CY675)*100</f>
        <v>34.486038932440763</v>
      </c>
      <c r="CZ719" s="72">
        <f t="shared" si="3465"/>
        <v>-10.571093074908347</v>
      </c>
      <c r="DA719" s="169">
        <f>(DA666+DA668)/(DA666+DA668+DA675)*100</f>
        <v>33.281650019831972</v>
      </c>
      <c r="DB719" s="72">
        <f t="shared" si="3466"/>
        <v>-15.568445577937624</v>
      </c>
      <c r="DC719" s="169">
        <f>(DC666+DC668)/(DC666+DC668+DC675)*100</f>
        <v>31.930284924026171</v>
      </c>
      <c r="DD719" s="72">
        <f t="shared" si="3467"/>
        <v>-17.357888328090112</v>
      </c>
      <c r="DE719" s="169">
        <f>(DE666+DE668)/(DE666+DE668+DE675)*100</f>
        <v>33.659757250945773</v>
      </c>
      <c r="DF719" s="72">
        <f t="shared" si="3468"/>
        <v>-7.7709846851522428</v>
      </c>
      <c r="DG719" s="169">
        <f>(DG666+DG668)/(DG666+DG668+DG675)*100</f>
        <v>34.233782890122441</v>
      </c>
      <c r="DH719" s="72">
        <f t="shared" si="3469"/>
        <v>-0.73147293840413852</v>
      </c>
      <c r="DI719" s="169">
        <f>(DI666+DI668)/(DI666+DI668+DI675)*100</f>
        <v>33.498842092868074</v>
      </c>
      <c r="DJ719" s="72">
        <f t="shared" si="3470"/>
        <v>0.65258805650165641</v>
      </c>
      <c r="DK719" s="169">
        <f>(DK666+DK668)/(DK666+DK668+DK675)*100</f>
        <v>30.427049630092146</v>
      </c>
      <c r="DL719" s="72">
        <f t="shared" si="3471"/>
        <v>-4.7078668339815124</v>
      </c>
      <c r="DM719" s="169">
        <f>(DM666+DM668)/(DM666+DM668+DM675)*100</f>
        <v>30.006882312456984</v>
      </c>
      <c r="DN719" s="72">
        <f t="shared" si="3472"/>
        <v>-10.852350809470408</v>
      </c>
      <c r="DO719" s="169">
        <f>(DO666+DO668)/(DO666+DO668+DO675)*100</f>
        <v>28.611762199019818</v>
      </c>
      <c r="DP719" s="72">
        <f t="shared" si="3472"/>
        <v>-16.422434847902124</v>
      </c>
      <c r="DQ719" s="169">
        <f>(DQ666+DQ668)/(DQ666+DQ668+DQ675)*100</f>
        <v>26.725432699184665</v>
      </c>
      <c r="DR719" s="72">
        <f t="shared" si="3472"/>
        <v>-20.219831404636736</v>
      </c>
      <c r="DS719" s="169">
        <f>(DS666+DS668)/(DS666+DS668+DS675)*100</f>
        <v>24.754856923308221</v>
      </c>
      <c r="DT719" s="72">
        <f t="shared" si="3472"/>
        <v>-18.641941219217543</v>
      </c>
      <c r="DU719" s="169">
        <f>(DU666+DU668)/(DU666+DU668+DU675)*100</f>
        <v>25.63142790938096</v>
      </c>
      <c r="DV719" s="72">
        <f t="shared" si="3472"/>
        <v>-14.5815028616272</v>
      </c>
      <c r="DW719" s="169">
        <f>(DW666+DW668)/(DW666+DW668+DW675)*100</f>
        <v>25.268958278667014</v>
      </c>
      <c r="DX719" s="72">
        <f t="shared" si="3472"/>
        <v>-11.683320646595192</v>
      </c>
      <c r="DY719" s="169">
        <f>(DY666+DY668)/(DY666+DY668+DY675)*100</f>
        <v>24.838067213320652</v>
      </c>
      <c r="DZ719" s="72">
        <f t="shared" si="3472"/>
        <v>-7.0620577302068881</v>
      </c>
      <c r="EA719" s="169">
        <f>(EA666+EA668)/(EA666+EA668+EA675)*100</f>
        <v>21.88397290480194</v>
      </c>
      <c r="EB719" s="72">
        <f t="shared" si="3473"/>
        <v>-11.597255550296353</v>
      </c>
      <c r="EC719" s="169">
        <f>(EC666+EC668)/(EC666+EC668+EC675)*100</f>
        <v>19.27957728955958</v>
      </c>
      <c r="ED719" s="72">
        <f t="shared" si="3474"/>
        <v>-24.781493416122316</v>
      </c>
      <c r="EE719" s="169">
        <f>(EE666+EE668)/(EE666+EE668+EE675)*100</f>
        <v>18.655672956337479</v>
      </c>
      <c r="EF719" s="72">
        <f t="shared" si="3475"/>
        <v>-26.171578778190934</v>
      </c>
      <c r="EG719" s="169">
        <f>(EG666+EG668)/(EG666+EG668+EG675)*100</f>
        <v>21.044295625527226</v>
      </c>
      <c r="EH719" s="72">
        <f t="shared" si="3476"/>
        <v>-15.274020942172299</v>
      </c>
      <c r="EI719" s="169">
        <f>(EI666+EI668)/(EI666+EI668+EI675)*100</f>
        <v>20.513778925549627</v>
      </c>
      <c r="EJ719" s="72">
        <f t="shared" si="3477"/>
        <v>-6.2611756339346272</v>
      </c>
      <c r="EK719" s="169">
        <f>(EK666+EK668)/(EK666+EK668+EK675)*100</f>
        <v>19.595020746887968</v>
      </c>
      <c r="EL719" s="72">
        <f t="shared" si="3478"/>
        <v>1.6361533896244111</v>
      </c>
      <c r="EM719" s="169">
        <f>(EM666+EM668)/(EM666+EM668+EM675)*100</f>
        <v>17.292504720466301</v>
      </c>
      <c r="EN719" s="72">
        <f t="shared" si="3479"/>
        <v>-7.3069904208848158</v>
      </c>
      <c r="EO719" s="169">
        <f>(EO666+EO668)/(EO666+EO668+EO675)*100</f>
        <v>16.326467447654714</v>
      </c>
      <c r="EP719" s="72">
        <f t="shared" si="3480"/>
        <v>-22.418560648566796</v>
      </c>
      <c r="EQ719" s="171">
        <f t="shared" ref="EQ719" si="3506">(EQ666+EQ668)/(EQ666+EQ668+EQ675)*100</f>
        <v>16.244458895733775</v>
      </c>
      <c r="ER719" s="72">
        <f t="shared" si="3482"/>
        <v>-20.811962755913655</v>
      </c>
      <c r="ES719" s="171">
        <f t="shared" ref="ES719" si="3507">(ES666+ES668)/(ES666+ES668+ES675)*100</f>
        <v>16.214405963189094</v>
      </c>
      <c r="ET719" s="72">
        <f t="shared" si="3484"/>
        <v>-17.252417475678229</v>
      </c>
      <c r="EU719" s="171">
        <f t="shared" ref="EU719" si="3508">(EU666+EU668)/(EU666+EU668+EU675)*100</f>
        <v>16.189064169956897</v>
      </c>
      <c r="EV719" s="72">
        <f t="shared" si="3486"/>
        <v>-6.3810336810458921</v>
      </c>
      <c r="EW719" s="171">
        <f t="shared" ref="EW719" si="3509">(EW666+EW668)/(EW666+EW668+EW675)*100</f>
        <v>16.196776960929721</v>
      </c>
      <c r="EX719" s="72">
        <f t="shared" si="3488"/>
        <v>-0.79435730442486374</v>
      </c>
      <c r="EY719" s="72"/>
      <c r="EZ719" s="320"/>
      <c r="FA719" s="72"/>
      <c r="FB719" s="171"/>
      <c r="FC719" s="82"/>
      <c r="FD719" s="170"/>
      <c r="FE719" s="72"/>
      <c r="FF719" s="169">
        <f>(FF666+FF668)/(FF666+FF668+FF675)*100</f>
        <v>9.6996779917197866</v>
      </c>
      <c r="FG719" s="72" t="str">
        <f t="shared" si="3489"/>
        <v>NA</v>
      </c>
      <c r="FH719" s="169">
        <f>(FH666+FH668)/(FH666+FH668+FH675)*100</f>
        <v>17.764755127668479</v>
      </c>
      <c r="FI719" s="72">
        <f t="shared" si="3490"/>
        <v>83.147885350766444</v>
      </c>
      <c r="FJ719" s="169">
        <f>(FJ666+FJ668)/(FJ666+FJ668+FJ675)*100</f>
        <v>15.239704851807575</v>
      </c>
      <c r="FK719" s="72">
        <f t="shared" si="3491"/>
        <v>-14.213819766804193</v>
      </c>
      <c r="FL719" s="169">
        <f>(FL666+FL668)/(FL666+FL668+FL675)*100</f>
        <v>15.950413223140497</v>
      </c>
      <c r="FM719" s="72">
        <f t="shared" si="3492"/>
        <v>4.6635310738883931</v>
      </c>
      <c r="FN719" s="169">
        <f>(FN666+FN668)/(FN666+FN668+FN675)*100</f>
        <v>21.697555932954295</v>
      </c>
      <c r="FO719" s="72">
        <f t="shared" si="3493"/>
        <v>36.031309216967344</v>
      </c>
      <c r="FP719" s="169">
        <f>(FP666+FP668)/(FP666+FP668+FP675)*100</f>
        <v>23.141903883012706</v>
      </c>
      <c r="FQ719" s="72">
        <f t="shared" si="3494"/>
        <v>6.6567310830835567</v>
      </c>
      <c r="FR719" s="171">
        <f>(FR666+FR668)/(FR666+FR668+FR675)*100</f>
        <v>30.842075056595352</v>
      </c>
      <c r="FS719" s="72">
        <f t="shared" si="3495"/>
        <v>33.273715129527204</v>
      </c>
      <c r="FT719" s="171">
        <f>(FT666+FT668)/(FT666+FT668+FT675)*100</f>
        <v>36.260348775761848</v>
      </c>
      <c r="FU719" s="72">
        <f t="shared" si="3496"/>
        <v>17.5677988890953</v>
      </c>
      <c r="FV719" s="171">
        <f>(FV666+FV668)/(FV666+FV668+FV675)*100</f>
        <v>56.469298245614027</v>
      </c>
      <c r="FW719" s="72">
        <f t="shared" si="3497"/>
        <v>55.73291529771717</v>
      </c>
      <c r="FX719" s="171">
        <f>(FX666+FX668)/(FX666+FX668+FX675)*100</f>
        <v>44.398149213876295</v>
      </c>
      <c r="FY719" s="72">
        <f t="shared" si="3497"/>
        <v>-21.376481392125854</v>
      </c>
      <c r="FZ719" s="171">
        <f>(FZ666+FZ668)/(FZ666+FZ668+FZ675)*100</f>
        <v>41.86142029818869</v>
      </c>
      <c r="GA719" s="72">
        <f t="shared" si="3497"/>
        <v>-5.7135915811886377</v>
      </c>
      <c r="GB719" s="171">
        <f>(GB666+GB668)/(GB666+GB668+GB675)*100</f>
        <v>39.418497323241645</v>
      </c>
      <c r="GC719" s="72">
        <f t="shared" si="3497"/>
        <v>-5.8357383900152797</v>
      </c>
      <c r="GD719" s="171">
        <f>(GD666+GD668)/(GD666+GD668+GD675)*100</f>
        <v>33.281650019831972</v>
      </c>
      <c r="GE719" s="72">
        <f t="shared" si="3497"/>
        <v>-15.568445577937624</v>
      </c>
      <c r="GF719" s="171">
        <f>(GF666+GF668)/(GF666+GF668+GF675)*100</f>
        <v>33.498842092868074</v>
      </c>
      <c r="GG719" s="72">
        <f t="shared" si="3497"/>
        <v>0.65258805650165641</v>
      </c>
      <c r="GH719" s="171">
        <f>(GH666+GH668)/(GH666+GH668+GH675)*100</f>
        <v>26.725432699184665</v>
      </c>
      <c r="GI719" s="72">
        <f t="shared" si="3498"/>
        <v>-20.219831404636736</v>
      </c>
      <c r="GJ719" s="171">
        <f>(GJ666+GJ668)/(GJ666+GJ668+GJ675)*100</f>
        <v>24.838067213320652</v>
      </c>
      <c r="GK719" s="72">
        <f t="shared" si="3498"/>
        <v>-7.0620577302068881</v>
      </c>
      <c r="GL719" s="171">
        <f>(GL666+GL668)/(GL666+GL668+GL675)*100</f>
        <v>21.044295625527226</v>
      </c>
      <c r="GM719" s="72">
        <f t="shared" si="3498"/>
        <v>-15.274020942172299</v>
      </c>
      <c r="GN719" s="171">
        <f>(GN666+GN668)/(GN666+GN668+GN675)*100</f>
        <v>16.326467447654714</v>
      </c>
      <c r="GO719" s="72">
        <f t="shared" si="3498"/>
        <v>-22.418560648566796</v>
      </c>
      <c r="GP719" s="171">
        <f>(GP666+GP668)/(GP666+GP668+GP675)*100</f>
        <v>16.196776960929721</v>
      </c>
      <c r="GQ719" s="72">
        <f t="shared" si="3498"/>
        <v>-0.79435730442486374</v>
      </c>
      <c r="GR719" s="171">
        <f>(GR666+GR668)/(GR666+GR668+GR675)*100</f>
        <v>15.949701204560521</v>
      </c>
      <c r="GS719" s="72">
        <f t="shared" si="3498"/>
        <v>-1.5254624853154723</v>
      </c>
      <c r="GT719" s="171">
        <f>(GT666+GT668)/(GT666+GT668+GT675)*100</f>
        <v>15.756084676185139</v>
      </c>
      <c r="GU719" s="72">
        <f t="shared" si="3498"/>
        <v>-1.2139194702908895</v>
      </c>
      <c r="GV719" s="171">
        <f>(GV666+GV668)/(GV666+GV668+GV675)*100</f>
        <v>15.589546352705582</v>
      </c>
      <c r="GW719" s="72">
        <f t="shared" si="3499"/>
        <v>-1.0569778400040946</v>
      </c>
      <c r="GX719" s="171">
        <f>(GX666+GX668)/(GX666+GX668+GX675)*100</f>
        <v>15.451873675581881</v>
      </c>
      <c r="GY719" s="72">
        <f t="shared" si="3500"/>
        <v>-0.88310893728994699</v>
      </c>
      <c r="GZ719" s="72">
        <f t="shared" si="3501"/>
        <v>-1.0951054055193365</v>
      </c>
      <c r="HA719" s="72"/>
      <c r="HB719" s="72"/>
      <c r="HC719"/>
      <c r="HD719"/>
      <c r="HE719"/>
      <c r="HF719"/>
      <c r="HG719"/>
      <c r="HH719"/>
      <c r="HI719" s="2"/>
    </row>
    <row r="720" spans="1:217" s="3" customFormat="1" ht="12.75" customHeight="1" x14ac:dyDescent="0.2">
      <c r="B720" s="18" t="s">
        <v>705</v>
      </c>
      <c r="C720" s="169"/>
      <c r="D720" s="188"/>
      <c r="E720" s="169"/>
      <c r="F720" s="11"/>
      <c r="G720" s="169"/>
      <c r="H720" s="11"/>
      <c r="I720" s="169">
        <f>(I666+I668)/(I675)*100</f>
        <v>10.741576304490213</v>
      </c>
      <c r="J720" s="11"/>
      <c r="K720" s="169">
        <f>(K666+K668)/(K675)*100</f>
        <v>14.037241661551054</v>
      </c>
      <c r="L720" s="72" t="str">
        <f t="shared" si="3436"/>
        <v>NA</v>
      </c>
      <c r="M720" s="169">
        <f>(M666+M668)/(M675)*100</f>
        <v>20.605937647933999</v>
      </c>
      <c r="N720" s="72" t="str">
        <f t="shared" si="3437"/>
        <v>NA</v>
      </c>
      <c r="O720" s="169">
        <f>(O666+O668)/(O675)*100</f>
        <v>20.31601171422734</v>
      </c>
      <c r="P720" s="72" t="str">
        <f t="shared" si="3438"/>
        <v>NA</v>
      </c>
      <c r="Q720" s="169">
        <f>(Q666+Q668)/(Q675)*100</f>
        <v>21.602361803929554</v>
      </c>
      <c r="R720" s="72" t="str">
        <f t="shared" si="3439"/>
        <v>NM</v>
      </c>
      <c r="S720" s="169">
        <f>(S666+S668)/(S675)*100</f>
        <v>20.768004934971472</v>
      </c>
      <c r="T720" s="72">
        <f t="shared" si="3439"/>
        <v>47.949329616917765</v>
      </c>
      <c r="U720" s="169">
        <f>(U666+U668)/(U675)*100</f>
        <v>18.22983512686346</v>
      </c>
      <c r="V720" s="72">
        <f t="shared" si="3439"/>
        <v>-11.531154571404684</v>
      </c>
      <c r="W720" s="169">
        <f>(W666+W668)/(W675)*100</f>
        <v>17.904843386092494</v>
      </c>
      <c r="X720" s="72">
        <f t="shared" si="3439"/>
        <v>-11.868315307409972</v>
      </c>
      <c r="Y720" s="169">
        <f>(Y666+Y668)/(Y675)*100</f>
        <v>17.97976850500924</v>
      </c>
      <c r="Z720" s="72">
        <f t="shared" si="3439"/>
        <v>-16.769431656594833</v>
      </c>
      <c r="AA720" s="169">
        <f>(AA666+AA668)/(AA675)*100</f>
        <v>15.537299966760054</v>
      </c>
      <c r="AB720" s="72">
        <f t="shared" si="3439"/>
        <v>-25.186362313518984</v>
      </c>
      <c r="AC720" s="169">
        <f>(AC666+AC668)/(AC675)*100</f>
        <v>15.403344358691657</v>
      </c>
      <c r="AD720" s="72">
        <f t="shared" si="3439"/>
        <v>-15.504752228980351</v>
      </c>
      <c r="AE720" s="169">
        <f>(AE666+AE668)/(AE675)*100</f>
        <v>21.079791636239715</v>
      </c>
      <c r="AF720" s="72">
        <f t="shared" si="3439"/>
        <v>17.732343040840817</v>
      </c>
      <c r="AG720" s="169">
        <f>(AG666+AG668)/(AG675)*100</f>
        <v>18.977384464110127</v>
      </c>
      <c r="AH720" s="72">
        <f t="shared" si="3439"/>
        <v>5.5485472953834147</v>
      </c>
      <c r="AI720" s="169">
        <f>(AI666+AI668)/(AI675)*100</f>
        <v>18.332773431875989</v>
      </c>
      <c r="AJ720" s="72">
        <f t="shared" si="3439"/>
        <v>17.992015801306977</v>
      </c>
      <c r="AK720" s="169">
        <f>(AK666+AK668)/(AK675)*100</f>
        <v>22.61583159182425</v>
      </c>
      <c r="AL720" s="72">
        <f t="shared" si="3439"/>
        <v>46.824164059299221</v>
      </c>
      <c r="AM720" s="169">
        <f>(AM666+AM668)/(AM675)*100</f>
        <v>27.902429486239427</v>
      </c>
      <c r="AN720" s="72">
        <f t="shared" si="3439"/>
        <v>32.365774613589849</v>
      </c>
      <c r="AO720" s="169">
        <f>(AO666+AO668)/(AO675)*100</f>
        <v>27.709934461785089</v>
      </c>
      <c r="AP720" s="72">
        <f t="shared" si="3439"/>
        <v>46.015561386712108</v>
      </c>
      <c r="AQ720" s="169">
        <f>(AQ666+AQ668)/(AQ675)*100</f>
        <v>28.153831670118624</v>
      </c>
      <c r="AR720" s="72">
        <f t="shared" si="3440"/>
        <v>53.571044636194188</v>
      </c>
      <c r="AS720" s="169">
        <f>(AS666+AS668)/(AS675)*100</f>
        <v>31.213407821229051</v>
      </c>
      <c r="AT720" s="72">
        <f t="shared" si="3441"/>
        <v>38.015742178204391</v>
      </c>
      <c r="AU720" s="169">
        <f>(AU666+AU668)/(AU675)*100</f>
        <v>31.356421997954918</v>
      </c>
      <c r="AV720" s="72">
        <f t="shared" si="3442"/>
        <v>12.378823548031505</v>
      </c>
      <c r="AW720" s="169">
        <f>(AW666+AW668)/(AW675)*100</f>
        <v>30.109910409162278</v>
      </c>
      <c r="AX720" s="72">
        <f t="shared" si="3443"/>
        <v>8.6610668483789084</v>
      </c>
      <c r="AY720" s="169">
        <f>(AY666+AY668)/(AY675)*100</f>
        <v>34.311554948419612</v>
      </c>
      <c r="AZ720" s="72">
        <f t="shared" si="3444"/>
        <v>21.871705956232418</v>
      </c>
      <c r="BA720" s="169">
        <f>(BA666+BA668)/(BA675)*100</f>
        <v>36.81942812377595</v>
      </c>
      <c r="BB720" s="72">
        <f t="shared" si="3445"/>
        <v>17.960295571232379</v>
      </c>
      <c r="BC720" s="169">
        <f>(BC666+BC668)/(BC675)*100</f>
        <v>33.845735274112364</v>
      </c>
      <c r="BD720" s="72">
        <f t="shared" si="3446"/>
        <v>7.9387669815127424</v>
      </c>
      <c r="BE720" s="169">
        <f>(BE666+BE668)/(BE675)*100</f>
        <v>44.596588289534353</v>
      </c>
      <c r="BF720" s="72">
        <f t="shared" si="3447"/>
        <v>48.112656874474993</v>
      </c>
      <c r="BG720" s="169">
        <f>(BG666+BG668)/(BG675)*100</f>
        <v>45.272849764203912</v>
      </c>
      <c r="BH720" s="72">
        <f t="shared" si="3448"/>
        <v>31.946365684278533</v>
      </c>
      <c r="BI720" s="169">
        <f>(BI666+BI668)/(BI675)*100</f>
        <v>43.286674647757621</v>
      </c>
      <c r="BJ720" s="72">
        <f t="shared" si="3449"/>
        <v>17.564766357154468</v>
      </c>
      <c r="BK720" s="169">
        <f>(BK666+BK668)/(BK675)*100</f>
        <v>44.310915604734483</v>
      </c>
      <c r="BL720" s="72">
        <f t="shared" si="3450"/>
        <v>30.920233364309951</v>
      </c>
      <c r="BM720" s="169">
        <f>(BM666+BM668)/(BM675)*100</f>
        <v>56.888213348072405</v>
      </c>
      <c r="BN720" s="72">
        <f t="shared" si="3451"/>
        <v>27.561805801684102</v>
      </c>
      <c r="BO720" s="169">
        <f>(BO666+BO668)/(BO675)*100</f>
        <v>60.582046727695037</v>
      </c>
      <c r="BP720" s="72">
        <f t="shared" si="3452"/>
        <v>33.815403808743042</v>
      </c>
      <c r="BQ720" s="169">
        <f>(BQ666+BQ668)/(BQ675)*100</f>
        <v>70.188193070445877</v>
      </c>
      <c r="BR720" s="72">
        <f t="shared" si="3453"/>
        <v>62.147343591526806</v>
      </c>
      <c r="BS720" s="169">
        <f>(BS666+BS668)/(BS675)*100</f>
        <v>75.631040630571462</v>
      </c>
      <c r="BT720" s="72">
        <f t="shared" si="3454"/>
        <v>70.682640153999728</v>
      </c>
      <c r="BU720" s="169">
        <f>(BU666+BU668)/(BU675)*100</f>
        <v>129.72292191435767</v>
      </c>
      <c r="BV720" s="72" t="str">
        <f t="shared" si="3455"/>
        <v>NM</v>
      </c>
      <c r="BW720" s="169">
        <f>(BW666+BW668)/(BW675)*100</f>
        <v>131.80012544428183</v>
      </c>
      <c r="BX720" s="72" t="str">
        <f t="shared" si="3456"/>
        <v>NM</v>
      </c>
      <c r="BY720" s="169">
        <f>(BY666+BY668)/(BY675)*100</f>
        <v>102.94416787109897</v>
      </c>
      <c r="BZ720" s="72">
        <f t="shared" si="3457"/>
        <v>46.668781981289726</v>
      </c>
      <c r="CA720" s="169">
        <f>(CA666+CA668)/(CA675)*100</f>
        <v>90.404062136925006</v>
      </c>
      <c r="CB720" s="72">
        <f t="shared" si="3458"/>
        <v>19.533013671614114</v>
      </c>
      <c r="CC720" s="169">
        <f>(CC666+CC668)/(CC675)*100</f>
        <v>79.850128343131573</v>
      </c>
      <c r="CD720" s="72">
        <f t="shared" si="3459"/>
        <v>-38.445629218984003</v>
      </c>
      <c r="CE720" s="169">
        <f>(CE666+CE668)/(CE675)*100</f>
        <v>85.51223077253772</v>
      </c>
      <c r="CF720" s="72">
        <f t="shared" si="3460"/>
        <v>-35.119765262524126</v>
      </c>
      <c r="CG720" s="169">
        <f>(CG666+CG668)/(CG675)*100</f>
        <v>79.843012914701106</v>
      </c>
      <c r="CH720" s="72">
        <f t="shared" si="3461"/>
        <v>-22.44046985286613</v>
      </c>
      <c r="CI720" s="169">
        <f>(CI666+CI668)/(CI675)*100</f>
        <v>64.681139755766623</v>
      </c>
      <c r="CJ720" s="72">
        <f t="shared" si="3462"/>
        <v>-28.453281603871659</v>
      </c>
      <c r="CK720" s="169">
        <f>(CK666+CK668)/(CK675)*100</f>
        <v>72.002825856587776</v>
      </c>
      <c r="CL720" s="72">
        <f t="shared" si="3462"/>
        <v>-9.8275389775485422</v>
      </c>
      <c r="CM720" s="169">
        <f>(CM666+CM668)/(CM675)*100</f>
        <v>72.853584084768954</v>
      </c>
      <c r="CN720" s="72">
        <f t="shared" si="3462"/>
        <v>-14.803317108450514</v>
      </c>
      <c r="CO720" s="169">
        <f>(CO666+CO668)/(CO675)*100</f>
        <v>69.28854783117643</v>
      </c>
      <c r="CP720" s="72">
        <f t="shared" si="3462"/>
        <v>-13.219021550201717</v>
      </c>
      <c r="CQ720" s="169">
        <f>(CQ666+CQ668)/(CQ675)*100</f>
        <v>62.76708914622656</v>
      </c>
      <c r="CR720" s="72">
        <f t="shared" si="3462"/>
        <v>-2.9592097739270571</v>
      </c>
      <c r="CS720" s="169">
        <f>(CS666+CS668)/(CS675)*100</f>
        <v>65.066886065149163</v>
      </c>
      <c r="CT720" s="72">
        <f t="shared" si="3462"/>
        <v>-9.6328716393066713</v>
      </c>
      <c r="CU720" s="169">
        <f>(CU666+CU668)/(CU675)*100</f>
        <v>62.964178125093206</v>
      </c>
      <c r="CV720" s="72">
        <f t="shared" si="3463"/>
        <v>-13.5743575061028</v>
      </c>
      <c r="CW720" s="169">
        <f>(CW666+CW668)/(CW675)*100</f>
        <v>57.470007925012979</v>
      </c>
      <c r="CX720" s="72">
        <f t="shared" si="3464"/>
        <v>-17.056988890804391</v>
      </c>
      <c r="CY720" s="169">
        <f>(CY666+CY668)/(CY675)*100</f>
        <v>52.639221275108227</v>
      </c>
      <c r="CZ720" s="72">
        <f t="shared" si="3465"/>
        <v>-16.135634149807004</v>
      </c>
      <c r="DA720" s="169">
        <f>(DA666+DA668)/(DA675)*100</f>
        <v>49.883802626601096</v>
      </c>
      <c r="DB720" s="72">
        <f t="shared" si="3466"/>
        <v>-23.334578242065845</v>
      </c>
      <c r="DC720" s="169">
        <f>(DC666+DC668)/(DC675)*100</f>
        <v>46.908210043759119</v>
      </c>
      <c r="DD720" s="72">
        <f t="shared" si="3467"/>
        <v>-25.500163044191765</v>
      </c>
      <c r="DE720" s="169">
        <f>(DE666+DE668)/(DE675)*100</f>
        <v>50.738067658677124</v>
      </c>
      <c r="DF720" s="72">
        <f t="shared" si="3468"/>
        <v>-11.713832152450209</v>
      </c>
      <c r="DG720" s="169">
        <f>(DG666+DG668)/(DG675)*100</f>
        <v>52.053750990310199</v>
      </c>
      <c r="DH720" s="72">
        <f t="shared" si="3469"/>
        <v>-1.1122320403225245</v>
      </c>
      <c r="DI720" s="169">
        <f>(DI666+DI668)/(DI675)*100</f>
        <v>50.373321528700011</v>
      </c>
      <c r="DJ720" s="72">
        <f t="shared" si="3470"/>
        <v>0.98131833646112909</v>
      </c>
      <c r="DK720" s="169">
        <f>(DK666+DK668)/(DK675)*100</f>
        <v>43.734022300788688</v>
      </c>
      <c r="DL720" s="72">
        <f t="shared" si="3471"/>
        <v>-6.7668063650464063</v>
      </c>
      <c r="DM720" s="169">
        <f>(DM666+DM668)/(DM675)*100</f>
        <v>42.871189773844641</v>
      </c>
      <c r="DN720" s="72">
        <f t="shared" si="3472"/>
        <v>-15.504882719921838</v>
      </c>
      <c r="DO720" s="169">
        <f>(DO666+DO668)/(DO675)*100</f>
        <v>40.07909857473323</v>
      </c>
      <c r="DP720" s="72">
        <f t="shared" si="3472"/>
        <v>-23.004398698964167</v>
      </c>
      <c r="DQ720" s="169">
        <f>(DQ666+DQ668)/(DQ675)*100</f>
        <v>36.472999682779829</v>
      </c>
      <c r="DR720" s="72">
        <f t="shared" si="3472"/>
        <v>-27.594610448708494</v>
      </c>
      <c r="DS720" s="169">
        <f>(DS666+DS668)/(DS675)*100</f>
        <v>32.898943255483523</v>
      </c>
      <c r="DT720" s="72">
        <f t="shared" si="3472"/>
        <v>-24.774942882648517</v>
      </c>
      <c r="DU720" s="169">
        <f>(DU666+DU668)/(DU675)*100</f>
        <v>34.465402775447593</v>
      </c>
      <c r="DV720" s="72">
        <f t="shared" si="3472"/>
        <v>-19.60707655360045</v>
      </c>
      <c r="DW720" s="169">
        <f>(DW666+DW668)/(DW675)*100</f>
        <v>33.813202247191008</v>
      </c>
      <c r="DX720" s="72">
        <f t="shared" si="3472"/>
        <v>-15.633825486016264</v>
      </c>
      <c r="DY720" s="169">
        <f>(DY666+DY668)/(DY675)*100</f>
        <v>33.046073048460251</v>
      </c>
      <c r="DZ720" s="72">
        <f t="shared" si="3472"/>
        <v>-9.3957904864555104</v>
      </c>
      <c r="EA720" s="169">
        <f>(EA666+EA668)/(EA675)*100</f>
        <v>28.014702895901873</v>
      </c>
      <c r="EB720" s="72">
        <f t="shared" si="3473"/>
        <v>-14.84619223679033</v>
      </c>
      <c r="EC720" s="169">
        <f>(EC666+EC668)/(EC675)*100</f>
        <v>23.88438593628171</v>
      </c>
      <c r="ED720" s="72">
        <f t="shared" si="3474"/>
        <v>-30.700400944403199</v>
      </c>
      <c r="EE720" s="169">
        <f>(EE666+EE668)/(EE675)*100</f>
        <v>22.934202831776858</v>
      </c>
      <c r="EF720" s="72">
        <f t="shared" si="3475"/>
        <v>-32.173821739459513</v>
      </c>
      <c r="EG720" s="169">
        <f>(EG666+EG668)/(EG675)*100</f>
        <v>26.653293504567955</v>
      </c>
      <c r="EH720" s="72">
        <f t="shared" si="3476"/>
        <v>-19.345050573838634</v>
      </c>
      <c r="EI720" s="169">
        <f>(EI666+EI668)/(EI675)*100</f>
        <v>25.807968536251707</v>
      </c>
      <c r="EJ720" s="72">
        <f t="shared" si="3477"/>
        <v>-7.8770578715399324</v>
      </c>
      <c r="EK720" s="169">
        <f>(EK666+EK668)/(EK675)*100</f>
        <v>24.370407067954751</v>
      </c>
      <c r="EL720" s="72">
        <f t="shared" si="3478"/>
        <v>2.0348906309320256</v>
      </c>
      <c r="EM720" s="169">
        <f>(EM666+EM668)/(EM675)*100</f>
        <v>20.908026125106705</v>
      </c>
      <c r="EN720" s="72">
        <f t="shared" si="3479"/>
        <v>-8.8347378870424507</v>
      </c>
      <c r="EO720" s="169">
        <f>(EO666+EO668)/(EO675)*100</f>
        <v>19.512104902994324</v>
      </c>
      <c r="EP720" s="72">
        <f t="shared" si="3480"/>
        <v>-26.792893720056568</v>
      </c>
      <c r="EQ720" s="171">
        <f t="shared" ref="EQ720" si="3510">(EQ666+EQ668)/(EQ675)*100</f>
        <v>19.395085604558687</v>
      </c>
      <c r="ER720" s="72">
        <f t="shared" si="3482"/>
        <v>-24.848460748411981</v>
      </c>
      <c r="ES720" s="171">
        <f t="shared" ref="ES720" si="3511">(ES666+ES668)/(ES675)*100</f>
        <v>19.352259955411132</v>
      </c>
      <c r="ET720" s="72">
        <f t="shared" si="3484"/>
        <v>-20.591150154164254</v>
      </c>
      <c r="EU720" s="171">
        <f t="shared" ref="EU720" si="3512">(EU666+EU668)/(EU675)*100</f>
        <v>19.316171582651293</v>
      </c>
      <c r="EV720" s="72">
        <f t="shared" si="3486"/>
        <v>-7.613605095623484</v>
      </c>
      <c r="EW720" s="171">
        <f t="shared" ref="EW720" si="3513">(EW666+EW668)/(EW675)*100</f>
        <v>19.327152791460716</v>
      </c>
      <c r="EX720" s="72">
        <f t="shared" si="3488"/>
        <v>-0.94788395436118833</v>
      </c>
      <c r="EY720" s="72"/>
      <c r="EZ720" s="320"/>
      <c r="FA720" s="72"/>
      <c r="FB720" s="171"/>
      <c r="FC720" s="82"/>
      <c r="FD720" s="170"/>
      <c r="FE720" s="72"/>
      <c r="FF720" s="169">
        <f>(FF666+FF668)/(FF675)*100</f>
        <v>10.741576304490213</v>
      </c>
      <c r="FG720" s="72" t="str">
        <f t="shared" si="3489"/>
        <v>NA</v>
      </c>
      <c r="FH720" s="169">
        <f>(FH666+FH668)/(FH675)*100</f>
        <v>21.602361803929554</v>
      </c>
      <c r="FI720" s="72" t="str">
        <f t="shared" si="3490"/>
        <v>NM</v>
      </c>
      <c r="FJ720" s="169">
        <f>(FJ666+FJ668)/(FJ675)*100</f>
        <v>17.97976850500924</v>
      </c>
      <c r="FK720" s="72">
        <f t="shared" si="3491"/>
        <v>-16.769431656594833</v>
      </c>
      <c r="FL720" s="169">
        <f>(FL666+FL668)/(FL675)*100</f>
        <v>18.977384464110127</v>
      </c>
      <c r="FM720" s="72">
        <f t="shared" si="3492"/>
        <v>5.5485472953834147</v>
      </c>
      <c r="FN720" s="169">
        <f>(FN666+FN668)/(FN675)*100</f>
        <v>27.709934461785089</v>
      </c>
      <c r="FO720" s="72">
        <f t="shared" si="3493"/>
        <v>46.015561386712108</v>
      </c>
      <c r="FP720" s="169">
        <f>(FP666+FP668)/(FP675)*100</f>
        <v>30.109910409162278</v>
      </c>
      <c r="FQ720" s="72">
        <f t="shared" si="3494"/>
        <v>8.6610668483789084</v>
      </c>
      <c r="FR720" s="171">
        <f>(FR666+FR668)/(FR675)*100</f>
        <v>44.596588289534353</v>
      </c>
      <c r="FS720" s="72">
        <f t="shared" si="3495"/>
        <v>48.112656874474993</v>
      </c>
      <c r="FT720" s="171">
        <f>(FT666+FT668)/(FT675)*100</f>
        <v>56.888213348072405</v>
      </c>
      <c r="FU720" s="72">
        <f t="shared" si="3496"/>
        <v>27.561805801684102</v>
      </c>
      <c r="FV720" s="171">
        <f>(FV666+FV668)/(FV675)*100</f>
        <v>129.72292191435767</v>
      </c>
      <c r="FW720" s="72" t="str">
        <f t="shared" si="3497"/>
        <v>NM</v>
      </c>
      <c r="FX720" s="171">
        <f>(FX666+FX668)/(FX675)*100</f>
        <v>79.850128343131573</v>
      </c>
      <c r="FY720" s="72">
        <f t="shared" si="3497"/>
        <v>-38.445629218984003</v>
      </c>
      <c r="FZ720" s="171">
        <f>(FZ666+FZ668)/(FZ675)*100</f>
        <v>72.002825856587776</v>
      </c>
      <c r="GA720" s="72">
        <f t="shared" si="3497"/>
        <v>-9.8275389775485422</v>
      </c>
      <c r="GB720" s="171">
        <f>(GB666+GB668)/(GB675)*100</f>
        <v>65.066886065149163</v>
      </c>
      <c r="GC720" s="72">
        <f t="shared" si="3497"/>
        <v>-9.6328716393066713</v>
      </c>
      <c r="GD720" s="171">
        <f>(GD666+GD668)/(GD675)*100</f>
        <v>49.883802626601096</v>
      </c>
      <c r="GE720" s="72">
        <f t="shared" si="3497"/>
        <v>-23.334578242065845</v>
      </c>
      <c r="GF720" s="171">
        <f>(GF666+GF668)/(GF675)*100</f>
        <v>50.373321528700011</v>
      </c>
      <c r="GG720" s="72">
        <f t="shared" si="3497"/>
        <v>0.98131833646112909</v>
      </c>
      <c r="GH720" s="171">
        <f>(GH666+GH668)/(GH675)*100</f>
        <v>36.472999682779829</v>
      </c>
      <c r="GI720" s="72">
        <f t="shared" si="3498"/>
        <v>-27.594610448708494</v>
      </c>
      <c r="GJ720" s="171">
        <f>(GJ666+GJ668)/(GJ675)*100</f>
        <v>33.046073048460251</v>
      </c>
      <c r="GK720" s="72">
        <f t="shared" si="3498"/>
        <v>-9.3957904864555104</v>
      </c>
      <c r="GL720" s="171">
        <f>(GL666+GL668)/(GL675)*100</f>
        <v>26.653293504567955</v>
      </c>
      <c r="GM720" s="72">
        <f t="shared" si="3498"/>
        <v>-19.345050573838634</v>
      </c>
      <c r="GN720" s="171">
        <f>(GN666+GN668)/(GN675)*100</f>
        <v>19.512104902994324</v>
      </c>
      <c r="GO720" s="72">
        <f t="shared" si="3498"/>
        <v>-26.792893720056568</v>
      </c>
      <c r="GP720" s="171">
        <f>(GP666+GP668)/(GP675)*100</f>
        <v>19.327152791460716</v>
      </c>
      <c r="GQ720" s="72">
        <f t="shared" si="3498"/>
        <v>-0.94788395436118833</v>
      </c>
      <c r="GR720" s="171">
        <f>(GR666+GR668)/(GR675)*100</f>
        <v>18.976376566344751</v>
      </c>
      <c r="GS720" s="72">
        <f t="shared" si="3498"/>
        <v>-1.8149399909072343</v>
      </c>
      <c r="GT720" s="171">
        <f>(GT666+GT668)/(GT675)*100</f>
        <v>18.702934942686667</v>
      </c>
      <c r="GU720" s="72">
        <f t="shared" si="3498"/>
        <v>-1.4409580390760226</v>
      </c>
      <c r="GV720" s="171">
        <f>(GV666+GV668)/(GV675)*100</f>
        <v>18.468738976153183</v>
      </c>
      <c r="GW720" s="72">
        <f t="shared" si="3499"/>
        <v>-1.2521883183102318</v>
      </c>
      <c r="GX720" s="171">
        <f>(GX666+GX668)/(GX675)*100</f>
        <v>18.275832176684517</v>
      </c>
      <c r="GY720" s="72">
        <f t="shared" si="3500"/>
        <v>-1.0445044446063605</v>
      </c>
      <c r="GZ720" s="72">
        <f t="shared" si="3501"/>
        <v>-1.3005783515864011</v>
      </c>
      <c r="HA720" s="72"/>
      <c r="HB720" s="72"/>
      <c r="HC720"/>
      <c r="HD720"/>
      <c r="HE720"/>
      <c r="HF720"/>
      <c r="HG720"/>
      <c r="HH720"/>
      <c r="HI720" s="2"/>
    </row>
    <row r="721" spans="2:217" s="3" customFormat="1" ht="12.75" customHeight="1" x14ac:dyDescent="0.2">
      <c r="B721" s="4" t="s">
        <v>713</v>
      </c>
      <c r="C721" s="169"/>
      <c r="D721" s="188"/>
      <c r="E721" s="169"/>
      <c r="F721" s="11"/>
      <c r="G721" s="169"/>
      <c r="H721" s="11"/>
      <c r="I721" s="169">
        <f>I677/I656*100</f>
        <v>6.5297348466172984</v>
      </c>
      <c r="J721" s="11"/>
      <c r="K721" s="169">
        <f>K677/K656*100</f>
        <v>6.9112538946615194</v>
      </c>
      <c r="L721" s="72" t="str">
        <f t="shared" si="3436"/>
        <v>NA</v>
      </c>
      <c r="M721" s="169">
        <f>M677/M656*100</f>
        <v>6.0637387553698403</v>
      </c>
      <c r="N721" s="72" t="str">
        <f t="shared" si="3437"/>
        <v>NA</v>
      </c>
      <c r="O721" s="169">
        <f>O677/O656*100</f>
        <v>6.0706160014661377</v>
      </c>
      <c r="P721" s="72" t="str">
        <f t="shared" si="3438"/>
        <v>NA</v>
      </c>
      <c r="Q721" s="169">
        <f>Q677/Q656*100</f>
        <v>8.2501459112427309</v>
      </c>
      <c r="R721" s="72">
        <f t="shared" si="3439"/>
        <v>26.34733423389595</v>
      </c>
      <c r="S721" s="169">
        <f>S677/S656*100</f>
        <v>8.2719728970559867</v>
      </c>
      <c r="T721" s="72">
        <f t="shared" si="3439"/>
        <v>19.688453399831431</v>
      </c>
      <c r="U721" s="169">
        <f>U677/U656*100</f>
        <v>8.3998869638936586</v>
      </c>
      <c r="V721" s="72">
        <f t="shared" si="3439"/>
        <v>38.526531283278075</v>
      </c>
      <c r="W721" s="169">
        <f>W677/W656*100</f>
        <v>8.5351669555839766</v>
      </c>
      <c r="X721" s="72">
        <f t="shared" si="3439"/>
        <v>40.598037390647278</v>
      </c>
      <c r="Y721" s="169">
        <f>Y677/Y656*100</f>
        <v>8.3438634225030235</v>
      </c>
      <c r="Z721" s="72">
        <f t="shared" si="3439"/>
        <v>1.1359497428109933</v>
      </c>
      <c r="AA721" s="169">
        <f>AA677/AA656*100</f>
        <v>8.2235154688412084</v>
      </c>
      <c r="AB721" s="72">
        <f t="shared" si="3439"/>
        <v>-0.58580255058650721</v>
      </c>
      <c r="AC721" s="169">
        <f>AC677/AC656*100</f>
        <v>7.0797373430058794</v>
      </c>
      <c r="AD721" s="72">
        <f t="shared" si="3439"/>
        <v>-15.716278404249394</v>
      </c>
      <c r="AE721" s="169">
        <f>AE677/AE656*100</f>
        <v>7.4702421671911337</v>
      </c>
      <c r="AF721" s="72">
        <f t="shared" si="3439"/>
        <v>-12.476906356191847</v>
      </c>
      <c r="AG721" s="169">
        <f>AG677/AG656*100</f>
        <v>7.3505769428759233</v>
      </c>
      <c r="AH721" s="72">
        <f t="shared" si="3439"/>
        <v>-11.904395234325762</v>
      </c>
      <c r="AI721" s="169">
        <f>AI677/AI656*100</f>
        <v>7.0489368087927451</v>
      </c>
      <c r="AJ721" s="72">
        <f t="shared" si="3439"/>
        <v>-14.283169582387558</v>
      </c>
      <c r="AK721" s="169">
        <f>AK677/AK656*100</f>
        <v>6.1631636368416212</v>
      </c>
      <c r="AL721" s="72">
        <f t="shared" si="3439"/>
        <v>-12.946436594427439</v>
      </c>
      <c r="AM721" s="169">
        <f>AM677/AM656*100</f>
        <v>6.1461552150911647</v>
      </c>
      <c r="AN721" s="72">
        <f t="shared" si="3439"/>
        <v>-17.724819657323579</v>
      </c>
      <c r="AO721" s="169">
        <f>AO677/AO656*100</f>
        <v>5.8897852075031585</v>
      </c>
      <c r="AP721" s="72">
        <f t="shared" si="3439"/>
        <v>-19.873157532056624</v>
      </c>
      <c r="AQ721" s="169">
        <f>AQ677/AQ656*100</f>
        <v>6.0409364710880489</v>
      </c>
      <c r="AR721" s="72">
        <f t="shared" si="3440"/>
        <v>-14.300033679509383</v>
      </c>
      <c r="AS721" s="169">
        <f>AS677/AS656*100</f>
        <v>6.0357828046223174</v>
      </c>
      <c r="AT721" s="72">
        <f t="shared" si="3441"/>
        <v>-2.0668091864031908</v>
      </c>
      <c r="AU721" s="169">
        <f>AU677/AU656*100</f>
        <v>6.1779874582429821</v>
      </c>
      <c r="AV721" s="72">
        <f t="shared" si="3442"/>
        <v>0.51792123755119235</v>
      </c>
      <c r="AW721" s="169">
        <f>AW677/AW656*100</f>
        <v>5.9503433335939837</v>
      </c>
      <c r="AX721" s="72">
        <f t="shared" si="3443"/>
        <v>1.0281890418292221</v>
      </c>
      <c r="AY721" s="169">
        <f>AY677/AY656*100</f>
        <v>5.7405144489610436</v>
      </c>
      <c r="AZ721" s="72">
        <f t="shared" si="3444"/>
        <v>-4.9731034842830439</v>
      </c>
      <c r="BA721" s="169">
        <f>BA677/BA656*100</f>
        <v>5.5743585997548841</v>
      </c>
      <c r="BB721" s="72">
        <f t="shared" si="3445"/>
        <v>-7.6448112830379813</v>
      </c>
      <c r="BC721" s="169">
        <f>BC677/BC656*100</f>
        <v>5.6863406769402172</v>
      </c>
      <c r="BD721" s="72">
        <f t="shared" si="3446"/>
        <v>-7.9580411036086645</v>
      </c>
      <c r="BE721" s="169">
        <f>BE677/BE656*100</f>
        <v>5.5734523374365903</v>
      </c>
      <c r="BF721" s="72">
        <f t="shared" si="3447"/>
        <v>-6.3339369684698994</v>
      </c>
      <c r="BG721" s="169">
        <f>BG677/BG656*100</f>
        <v>5.5866283268067569</v>
      </c>
      <c r="BH721" s="72">
        <f t="shared" si="3448"/>
        <v>-2.680702636017898</v>
      </c>
      <c r="BI721" s="169">
        <f>BI677/BI656*100</f>
        <v>5.6003262475377538</v>
      </c>
      <c r="BJ721" s="72">
        <f t="shared" si="3449"/>
        <v>0.46584099889108188</v>
      </c>
      <c r="BK721" s="169">
        <f>BK677/BK656*100</f>
        <v>5.515415327973626</v>
      </c>
      <c r="BL721" s="72">
        <f t="shared" si="3450"/>
        <v>-3.0058935733439824</v>
      </c>
      <c r="BM721" s="169">
        <f>BM677/BM656*100</f>
        <v>5.1578643354504878</v>
      </c>
      <c r="BN721" s="72">
        <f t="shared" si="3451"/>
        <v>-7.4565633080706419</v>
      </c>
      <c r="BO721" s="169">
        <f>BO677/BO656*100</f>
        <v>5.516885161226849</v>
      </c>
      <c r="BP721" s="72">
        <f t="shared" si="3452"/>
        <v>-1.2483945861451673</v>
      </c>
      <c r="BQ721" s="169">
        <f>BQ677/BQ656*100</f>
        <v>5.6477972262734228</v>
      </c>
      <c r="BR721" s="72">
        <f t="shared" si="3453"/>
        <v>0.84764666623735252</v>
      </c>
      <c r="BS721" s="169">
        <f>BS677/BS656*100</f>
        <v>6.0668812871128637</v>
      </c>
      <c r="BT721" s="72">
        <f t="shared" si="3454"/>
        <v>9.9986297739403085</v>
      </c>
      <c r="BU721" s="169">
        <f>BU677/BU656*100</f>
        <v>5.1442735745180785</v>
      </c>
      <c r="BV721" s="72">
        <f t="shared" si="3455"/>
        <v>-0.26349589769158399</v>
      </c>
      <c r="BW721" s="169">
        <f>BW677/BW656*100</f>
        <v>5.5781109172544383</v>
      </c>
      <c r="BX721" s="72">
        <f t="shared" si="3456"/>
        <v>1.109788480969101</v>
      </c>
      <c r="BY721" s="169">
        <f>BY677/BY656*100</f>
        <v>5.8364408072244167</v>
      </c>
      <c r="BZ721" s="72">
        <f t="shared" si="3457"/>
        <v>3.3401266616554182</v>
      </c>
      <c r="CA721" s="169">
        <f>CA677/CA656*100</f>
        <v>5.70587530591638</v>
      </c>
      <c r="CB721" s="72">
        <f t="shared" si="3458"/>
        <v>-5.9504375330917441</v>
      </c>
      <c r="CC721" s="169">
        <f>CC677/CC656*100</f>
        <v>5.9546657483908101</v>
      </c>
      <c r="CD721" s="72">
        <f t="shared" si="3459"/>
        <v>15.753286875856915</v>
      </c>
      <c r="CE721" s="169">
        <f>CE677/CE656*100</f>
        <v>5.3885959269155101</v>
      </c>
      <c r="CF721" s="72">
        <f t="shared" si="3460"/>
        <v>-3.3974761913161871</v>
      </c>
      <c r="CG721" s="169">
        <f>CG677/CG656*100</f>
        <v>5.5558401997270526</v>
      </c>
      <c r="CH721" s="72">
        <f t="shared" si="3461"/>
        <v>-4.807735000927849</v>
      </c>
      <c r="CI721" s="169">
        <f>CI677/CI656*100</f>
        <v>5.4538947193833573</v>
      </c>
      <c r="CJ721" s="72">
        <f t="shared" si="3462"/>
        <v>-4.4161600635006124</v>
      </c>
      <c r="CK721" s="169">
        <f>CK677/CK656*100</f>
        <v>5.432801193172403</v>
      </c>
      <c r="CL721" s="72">
        <f t="shared" si="3462"/>
        <v>-8.7639605188492027</v>
      </c>
      <c r="CM721" s="169">
        <f>CM677/CM656*100</f>
        <v>4.9720151023583199</v>
      </c>
      <c r="CN721" s="72">
        <f t="shared" si="3462"/>
        <v>-7.7307860935797663</v>
      </c>
      <c r="CO721" s="169">
        <f>CO677/CO656*100</f>
        <v>4.999667329543354</v>
      </c>
      <c r="CP721" s="72">
        <f t="shared" si="3462"/>
        <v>-10.010598760760288</v>
      </c>
      <c r="CQ721" s="169">
        <f>CQ677/CQ656*100</f>
        <v>5.1952692454427876</v>
      </c>
      <c r="CR721" s="72">
        <f t="shared" si="3462"/>
        <v>-4.7420327536100899</v>
      </c>
      <c r="CS721" s="169">
        <f>CS677/CS656*100</f>
        <v>5.0344827586206895</v>
      </c>
      <c r="CT721" s="72">
        <f t="shared" si="3462"/>
        <v>-7.3317322020230478</v>
      </c>
      <c r="CU721" s="169">
        <f>CU677/CU656*100</f>
        <v>4.6909753713666822</v>
      </c>
      <c r="CV721" s="72">
        <f t="shared" si="3463"/>
        <v>-5.6524311613280247</v>
      </c>
      <c r="CW721" s="169">
        <f>CW677/CW656*100</f>
        <v>4.9714919501585708</v>
      </c>
      <c r="CX721" s="72">
        <f t="shared" si="3464"/>
        <v>-0.56354508265566494</v>
      </c>
      <c r="CY721" s="169">
        <f>CY677/CY656*100</f>
        <v>4.6597698430808849</v>
      </c>
      <c r="CZ721" s="72">
        <f t="shared" si="3465"/>
        <v>-10.30744273420737</v>
      </c>
      <c r="DA721" s="169">
        <f>DA677/DA656*100</f>
        <v>4.2262356373534402</v>
      </c>
      <c r="DB721" s="72">
        <f t="shared" si="3466"/>
        <v>-16.054223641609738</v>
      </c>
      <c r="DC721" s="169">
        <f>DC677/DC656*100</f>
        <v>4.0074150726199509</v>
      </c>
      <c r="DD721" s="72">
        <f t="shared" si="3467"/>
        <v>-14.571815979233776</v>
      </c>
      <c r="DE721" s="169">
        <f>DE677/DE656*100</f>
        <v>3.9783867620487365</v>
      </c>
      <c r="DF721" s="72">
        <f t="shared" si="3468"/>
        <v>-19.975999117893736</v>
      </c>
      <c r="DG721" s="169">
        <f>DG677/DG656*100</f>
        <v>3.9798515619625623</v>
      </c>
      <c r="DH721" s="72">
        <f t="shared" si="3469"/>
        <v>-14.591241713963782</v>
      </c>
      <c r="DI721" s="169">
        <f>DI677/DI656*100</f>
        <v>3.8136570497407969</v>
      </c>
      <c r="DJ721" s="72">
        <f t="shared" si="3470"/>
        <v>-9.7623185978103351</v>
      </c>
      <c r="DK721" s="169">
        <f>DK677/DK656*100</f>
        <v>3.858900500739511</v>
      </c>
      <c r="DL721" s="72">
        <f t="shared" si="3471"/>
        <v>-3.7059942429009425</v>
      </c>
      <c r="DM721" s="169">
        <f>DM677/DM656*100</f>
        <v>3.8560981547019737</v>
      </c>
      <c r="DN721" s="72">
        <f t="shared" si="3472"/>
        <v>-3.0738240060850188</v>
      </c>
      <c r="DO721" s="169">
        <f>DO677/DO656*100</f>
        <v>3.8750692105384581</v>
      </c>
      <c r="DP721" s="72">
        <f t="shared" si="3472"/>
        <v>-2.6328205912391667</v>
      </c>
      <c r="DQ721" s="169">
        <f>DQ677/DQ656*100</f>
        <v>3.6074013602313428</v>
      </c>
      <c r="DR721" s="72">
        <f t="shared" si="3472"/>
        <v>-5.4083439286569472</v>
      </c>
      <c r="DS721" s="169">
        <f>DS677/DS656*100</f>
        <v>3.8332329575206754</v>
      </c>
      <c r="DT721" s="72">
        <f t="shared" si="3472"/>
        <v>-0.6651517242778624</v>
      </c>
      <c r="DU721" s="169">
        <f>DU677/DU656*100</f>
        <v>4.0520120542958455</v>
      </c>
      <c r="DV721" s="72">
        <f t="shared" si="3472"/>
        <v>5.0806253299071784</v>
      </c>
      <c r="DW721" s="169">
        <f>DW677/DW656*100</f>
        <v>4.2320121042749728</v>
      </c>
      <c r="DX721" s="72">
        <f t="shared" si="3472"/>
        <v>9.2112649953654824</v>
      </c>
      <c r="DY721" s="169">
        <f>DY677/DY656*100</f>
        <v>4.2581131402451744</v>
      </c>
      <c r="DZ721" s="72">
        <f t="shared" si="3472"/>
        <v>18.038241798858266</v>
      </c>
      <c r="EA721" s="169">
        <f>EA677/EA656*100</f>
        <v>4.2530700722046593</v>
      </c>
      <c r="EB721" s="72">
        <f t="shared" si="3473"/>
        <v>10.952559349680996</v>
      </c>
      <c r="EC721" s="169">
        <f>EC677/EC656*100</f>
        <v>4.1597637496554229</v>
      </c>
      <c r="ED721" s="72">
        <f t="shared" si="3474"/>
        <v>2.6592145807005068</v>
      </c>
      <c r="EE721" s="169">
        <f>EE677/EE656*100</f>
        <v>4.1652564780539398</v>
      </c>
      <c r="EF721" s="72">
        <f t="shared" si="3475"/>
        <v>-1.5773968640968548</v>
      </c>
      <c r="EG721" s="169">
        <f>EG677/EG656*100</f>
        <v>4.3276802819184086</v>
      </c>
      <c r="EH721" s="72">
        <f t="shared" si="3476"/>
        <v>1.6337551253799774</v>
      </c>
      <c r="EI721" s="169">
        <f>EI677/EI656*100</f>
        <v>4.3772786267702983</v>
      </c>
      <c r="EJ721" s="72">
        <f t="shared" si="3477"/>
        <v>2.920444583722869</v>
      </c>
      <c r="EK721" s="169">
        <f>EK677/EK656*100</f>
        <v>4.2846553992240555</v>
      </c>
      <c r="EL721" s="72">
        <f t="shared" si="3478"/>
        <v>3.0023736222754849</v>
      </c>
      <c r="EM721" s="169">
        <f>EM677/EM656*100</f>
        <v>4.4576689723802705</v>
      </c>
      <c r="EN721" s="72">
        <f t="shared" si="3479"/>
        <v>7.0202758429644092</v>
      </c>
      <c r="EO721" s="169">
        <f>EO677/EO656*100</f>
        <v>4.8121198561892227</v>
      </c>
      <c r="EP721" s="72">
        <f t="shared" si="3480"/>
        <v>11.193977898387345</v>
      </c>
      <c r="EQ721" s="171">
        <f t="shared" ref="EQ721" si="3514">EQ677/EQ656*100</f>
        <v>4.9244338910929661</v>
      </c>
      <c r="ER721" s="72">
        <f t="shared" si="3482"/>
        <v>12.499895733765001</v>
      </c>
      <c r="ES721" s="171">
        <f t="shared" ref="ES721" si="3515">ES677/ES656*100</f>
        <v>4.8801981000395092</v>
      </c>
      <c r="ET721" s="72">
        <f t="shared" si="3484"/>
        <v>13.899430533510483</v>
      </c>
      <c r="EU721" s="171">
        <f t="shared" ref="EU721" si="3516">EU677/EU656*100</f>
        <v>4.8339448367272571</v>
      </c>
      <c r="EV721" s="72">
        <f t="shared" si="3486"/>
        <v>8.4410903249746241</v>
      </c>
      <c r="EW721" s="171">
        <f t="shared" ref="EW721" si="3517">EW677/EW656*100</f>
        <v>4.771633671191668</v>
      </c>
      <c r="EX721" s="72">
        <f t="shared" si="3488"/>
        <v>-0.84133783462360157</v>
      </c>
      <c r="EY721" s="72"/>
      <c r="EZ721" s="320"/>
      <c r="FA721" s="72"/>
      <c r="FB721" s="171"/>
      <c r="FC721" s="82"/>
      <c r="FD721" s="170"/>
      <c r="FE721" s="72"/>
      <c r="FF721" s="169">
        <f>FF677/FF656*100</f>
        <v>6.5297348466172984</v>
      </c>
      <c r="FG721" s="72" t="str">
        <f t="shared" si="3489"/>
        <v>NA</v>
      </c>
      <c r="FH721" s="169">
        <f>FH677/FH656*100</f>
        <v>8.2501459112427309</v>
      </c>
      <c r="FI721" s="72">
        <f t="shared" si="3490"/>
        <v>26.34733423389595</v>
      </c>
      <c r="FJ721" s="169">
        <f>FJ677/FJ656*100</f>
        <v>8.3438634225030235</v>
      </c>
      <c r="FK721" s="72">
        <f t="shared" si="3491"/>
        <v>1.1359497428109933</v>
      </c>
      <c r="FL721" s="169">
        <f>FL677/FL656*100</f>
        <v>7.3505769428759233</v>
      </c>
      <c r="FM721" s="72">
        <f t="shared" si="3492"/>
        <v>-11.904395234325762</v>
      </c>
      <c r="FN721" s="169">
        <f>FN677/FN656*100</f>
        <v>5.8897852075031585</v>
      </c>
      <c r="FO721" s="72">
        <f t="shared" si="3493"/>
        <v>-19.873157532056624</v>
      </c>
      <c r="FP721" s="169">
        <f>FP677/FP656*100</f>
        <v>5.9503433335939837</v>
      </c>
      <c r="FQ721" s="72">
        <f t="shared" si="3494"/>
        <v>1.0281890418292221</v>
      </c>
      <c r="FR721" s="171">
        <f>FR677/FR656*100</f>
        <v>5.5734523374365903</v>
      </c>
      <c r="FS721" s="72">
        <f t="shared" si="3495"/>
        <v>-6.3339369684698994</v>
      </c>
      <c r="FT721" s="171">
        <f>FT677/FT656*100</f>
        <v>5.1578643354504878</v>
      </c>
      <c r="FU721" s="72">
        <f t="shared" si="3496"/>
        <v>-7.4565633080706419</v>
      </c>
      <c r="FV721" s="171">
        <f>FV677/FV656*100</f>
        <v>5.1442735745180785</v>
      </c>
      <c r="FW721" s="72">
        <f t="shared" si="3497"/>
        <v>-0.26349589769158399</v>
      </c>
      <c r="FX721" s="171">
        <f>FX677/FX656*100</f>
        <v>5.9546657483908101</v>
      </c>
      <c r="FY721" s="72">
        <f t="shared" si="3497"/>
        <v>15.753286875856915</v>
      </c>
      <c r="FZ721" s="171">
        <f>FZ677/FZ656*100</f>
        <v>5.432801193172403</v>
      </c>
      <c r="GA721" s="72">
        <f t="shared" si="3497"/>
        <v>-8.7639605188492027</v>
      </c>
      <c r="GB721" s="171">
        <f>GB677/GB656*100</f>
        <v>5.0344827586206895</v>
      </c>
      <c r="GC721" s="72">
        <f t="shared" si="3497"/>
        <v>-7.3317322020230478</v>
      </c>
      <c r="GD721" s="171">
        <f>GD677/GD656*100</f>
        <v>4.2262356373534402</v>
      </c>
      <c r="GE721" s="72">
        <f t="shared" si="3497"/>
        <v>-16.054223641609738</v>
      </c>
      <c r="GF721" s="171">
        <f>GF677/GF656*100</f>
        <v>3.8136570497407969</v>
      </c>
      <c r="GG721" s="72">
        <f t="shared" si="3497"/>
        <v>-9.7623185978103351</v>
      </c>
      <c r="GH721" s="171">
        <f>GH677/GH656*100</f>
        <v>3.6074013602313428</v>
      </c>
      <c r="GI721" s="72">
        <f t="shared" si="3498"/>
        <v>-5.4083439286569472</v>
      </c>
      <c r="GJ721" s="171">
        <f>GJ677/GJ656*100</f>
        <v>4.2581131402451744</v>
      </c>
      <c r="GK721" s="72">
        <f t="shared" si="3498"/>
        <v>18.038241798858266</v>
      </c>
      <c r="GL721" s="171">
        <f>GL677/GL656*100</f>
        <v>4.3276802819184086</v>
      </c>
      <c r="GM721" s="72">
        <f t="shared" si="3498"/>
        <v>1.6337551253799774</v>
      </c>
      <c r="GN721" s="171">
        <f>GN677/GN656*100</f>
        <v>4.8121198561892227</v>
      </c>
      <c r="GO721" s="72">
        <f t="shared" si="3498"/>
        <v>11.193977898387345</v>
      </c>
      <c r="GP721" s="171">
        <f>GP677/GP656*100</f>
        <v>4.771633671191668</v>
      </c>
      <c r="GQ721" s="72">
        <f t="shared" si="3498"/>
        <v>-0.84133783462360157</v>
      </c>
      <c r="GR721" s="171">
        <f>GR677/GR656*100</f>
        <v>4.6649025405992663</v>
      </c>
      <c r="GS721" s="72">
        <f t="shared" si="3498"/>
        <v>-2.2367838343664488</v>
      </c>
      <c r="GT721" s="171">
        <f>GT677/GT656*100</f>
        <v>4.5346537650443794</v>
      </c>
      <c r="GU721" s="72">
        <f t="shared" si="3498"/>
        <v>-2.792100679945932</v>
      </c>
      <c r="GV721" s="171">
        <f>GV677/GV656*100</f>
        <v>4.3950635842800807</v>
      </c>
      <c r="GW721" s="72">
        <f t="shared" si="3499"/>
        <v>-3.078298542665749</v>
      </c>
      <c r="GX721" s="171">
        <f>GX677/GX656*100</f>
        <v>4.246431397233482</v>
      </c>
      <c r="GY721" s="72">
        <f t="shared" si="3500"/>
        <v>-3.3817983334351425</v>
      </c>
      <c r="GZ721" s="72">
        <f t="shared" si="3501"/>
        <v>-2.4701547131910861</v>
      </c>
      <c r="HA721" s="72"/>
      <c r="HB721" s="72"/>
      <c r="HC721"/>
      <c r="HD721"/>
      <c r="HE721"/>
      <c r="HF721"/>
      <c r="HG721"/>
      <c r="HH721"/>
      <c r="HI721" s="2"/>
    </row>
    <row r="722" spans="2:217" s="3" customFormat="1" ht="12.75" customHeight="1" x14ac:dyDescent="0.2">
      <c r="B722" s="4" t="s">
        <v>337</v>
      </c>
      <c r="C722" s="169"/>
      <c r="D722" s="188"/>
      <c r="E722" s="169"/>
      <c r="F722" s="11"/>
      <c r="G722" s="169"/>
      <c r="H722" s="11"/>
      <c r="I722" s="169">
        <f>I539/AVERAGE(I656,G656)*100</f>
        <v>4.8331971599212875E-2</v>
      </c>
      <c r="J722" s="11"/>
      <c r="K722" s="169">
        <f>K539/AVERAGE(K656,I656)*100</f>
        <v>0.23115207282032751</v>
      </c>
      <c r="L722" s="72" t="str">
        <f t="shared" si="3436"/>
        <v>NA</v>
      </c>
      <c r="M722" s="169">
        <f>M539/AVERAGE(M656,K656)*200</f>
        <v>0.39864830412230162</v>
      </c>
      <c r="N722" s="72" t="str">
        <f t="shared" si="3437"/>
        <v>NA</v>
      </c>
      <c r="O722" s="169">
        <f>O539/AVERAGE(O656,M656)*200</f>
        <v>0.27668976820623081</v>
      </c>
      <c r="P722" s="72" t="str">
        <f t="shared" si="3438"/>
        <v>NA</v>
      </c>
      <c r="Q722" s="169">
        <f>Q539/AVERAGE(Q656,O656)*100</f>
        <v>0.11340111027598665</v>
      </c>
      <c r="R722" s="72" t="str">
        <f t="shared" si="3439"/>
        <v>NM</v>
      </c>
      <c r="S722" s="169">
        <f>S539/AVERAGE(S656,Q656)*100</f>
        <v>0.21270640917996081</v>
      </c>
      <c r="T722" s="72">
        <f t="shared" si="3439"/>
        <v>-7.9798824277489189</v>
      </c>
      <c r="U722" s="169">
        <f>U539/AVERAGE(U656,S656)*100</f>
        <v>0.2025043177892919</v>
      </c>
      <c r="V722" s="72">
        <f t="shared" si="3439"/>
        <v>-49.202262822830058</v>
      </c>
      <c r="W722" s="169">
        <f>W539/AVERAGE(W656,U656)*200</f>
        <v>0.3890708073659378</v>
      </c>
      <c r="X722" s="72">
        <f t="shared" si="3439"/>
        <v>40.616261269171247</v>
      </c>
      <c r="Y722" s="169">
        <f>Y539/AVERAGE(Y656,W656)*100</f>
        <v>0.16801803512738761</v>
      </c>
      <c r="Z722" s="72">
        <f t="shared" si="3439"/>
        <v>48.16260151111274</v>
      </c>
      <c r="AA722" s="169">
        <f>AA539/AVERAGE(AA656,Y656)*100</f>
        <v>0.20298151354768063</v>
      </c>
      <c r="AB722" s="72">
        <f t="shared" si="3439"/>
        <v>-4.571980538702249</v>
      </c>
      <c r="AC722" s="169">
        <f>AC539/AVERAGE(AC656,AA656)*100</f>
        <v>0.22551797378251048</v>
      </c>
      <c r="AD722" s="72">
        <f t="shared" si="3439"/>
        <v>11.364526072557396</v>
      </c>
      <c r="AE722" s="169">
        <f>AE539/AVERAGE(AE656,AC656)*200</f>
        <v>0.40694711255733718</v>
      </c>
      <c r="AF722" s="72">
        <f t="shared" si="3439"/>
        <v>4.5946148754835576</v>
      </c>
      <c r="AG722" s="169">
        <f>AG539/AVERAGE(AG656,AE656)*200</f>
        <v>0.4486631912566561</v>
      </c>
      <c r="AH722" s="72" t="str">
        <f t="shared" si="3439"/>
        <v>NM</v>
      </c>
      <c r="AI722" s="169">
        <f>AI539/AVERAGE(AI656,AG656)*200</f>
        <v>0.4374169906253938</v>
      </c>
      <c r="AJ722" s="72" t="str">
        <f t="shared" si="3439"/>
        <v>NM</v>
      </c>
      <c r="AK722" s="169">
        <f>AK539/AVERAGE(AK656,AI656)*100</f>
        <v>0.2547905378617682</v>
      </c>
      <c r="AL722" s="72">
        <f t="shared" si="3439"/>
        <v>12.980146809712025</v>
      </c>
      <c r="AM722" s="169">
        <f>AM539/AVERAGE(AM656,AK656)*100</f>
        <v>0.23216268343542079</v>
      </c>
      <c r="AN722" s="72">
        <f t="shared" si="3439"/>
        <v>-42.950158319968409</v>
      </c>
      <c r="AO722" s="169">
        <f>AO539/AVERAGE(AO656,AM656)*100</f>
        <v>0.23875808197674145</v>
      </c>
      <c r="AP722" s="72">
        <f t="shared" si="3439"/>
        <v>-46.784562088098561</v>
      </c>
      <c r="AQ722" s="169">
        <f>AQ539/AVERAGE(AQ656,AO656)*100</f>
        <v>0.26442698126697256</v>
      </c>
      <c r="AR722" s="72">
        <f t="shared" si="3440"/>
        <v>-39.548077250289246</v>
      </c>
      <c r="AS722" s="169">
        <f>AS539/AVERAGE(AS656,AQ656)*100</f>
        <v>0.2430414732699443</v>
      </c>
      <c r="AT722" s="72">
        <f t="shared" si="3441"/>
        <v>-4.6112640957640849</v>
      </c>
      <c r="AU722" s="169">
        <f>AU539/AVERAGE(AU656,AS656)*100</f>
        <v>0.29522256090810461</v>
      </c>
      <c r="AV722" s="72">
        <f t="shared" si="3442"/>
        <v>27.161935130813049</v>
      </c>
      <c r="AW722" s="169">
        <f>AW539/AVERAGE(AW656,AU656)*100</f>
        <v>0.21877471593515996</v>
      </c>
      <c r="AX722" s="72">
        <f t="shared" si="3443"/>
        <v>-8.3697129228606286</v>
      </c>
      <c r="AY722" s="169">
        <f>AY539/AVERAGE(AY656,AW656)*100</f>
        <v>0.17049429183978068</v>
      </c>
      <c r="AZ722" s="72">
        <f t="shared" si="3444"/>
        <v>-35.523110757126148</v>
      </c>
      <c r="BA722" s="169">
        <f>BA539/AVERAGE(BA656,AY656)*100</f>
        <v>0.17740981667652278</v>
      </c>
      <c r="BB722" s="72">
        <f t="shared" si="3445"/>
        <v>-27.004303302805013</v>
      </c>
      <c r="BC722" s="169">
        <f>BC539/AVERAGE(BC656,BA656)*100</f>
        <v>0.20888093921053236</v>
      </c>
      <c r="BD722" s="72">
        <f t="shared" si="3446"/>
        <v>-29.246281663564403</v>
      </c>
      <c r="BE722" s="169">
        <f>BE539/AVERAGE(BE656,BC656)*100</f>
        <v>0.1902732424603896</v>
      </c>
      <c r="BF722" s="72">
        <f t="shared" si="3447"/>
        <v>-13.027773046322949</v>
      </c>
      <c r="BG722" s="169">
        <f>BG539/AVERAGE(BG656,BE656)*100</f>
        <v>0.20442556832708089</v>
      </c>
      <c r="BH722" s="72">
        <f t="shared" si="3448"/>
        <v>19.901708216241403</v>
      </c>
      <c r="BI722" s="169">
        <f>BI539/AVERAGE(BI656,BG656)*100</f>
        <v>0.20611730393413522</v>
      </c>
      <c r="BJ722" s="72">
        <f t="shared" si="3449"/>
        <v>16.181453650874204</v>
      </c>
      <c r="BK722" s="169">
        <f>BK539/AVERAGE(BK656,BI656)*100</f>
        <v>0.23040141661657026</v>
      </c>
      <c r="BL722" s="72">
        <f t="shared" si="3450"/>
        <v>10.302748296409803</v>
      </c>
      <c r="BM722" s="169">
        <f>BM539/AVERAGE(BM656,BK656)*100</f>
        <v>0.19087775625644671</v>
      </c>
      <c r="BN722" s="72">
        <f t="shared" si="3451"/>
        <v>0.31770825379346945</v>
      </c>
      <c r="BO722" s="169">
        <f>BO539/AVERAGE(BO656,BM656)*100</f>
        <v>0.16442686974484516</v>
      </c>
      <c r="BP722" s="72">
        <f t="shared" si="3452"/>
        <v>-19.566387370017139</v>
      </c>
      <c r="BQ722" s="169">
        <f>BQ539/AVERAGE(BQ656,BO656)*100</f>
        <v>0.20463100627051384</v>
      </c>
      <c r="BR722" s="72">
        <f t="shared" si="3453"/>
        <v>-0.72109310341859612</v>
      </c>
      <c r="BS722" s="169">
        <f>BS539/AVERAGE(BS656,BQ656)*100</f>
        <v>0.10447858189071241</v>
      </c>
      <c r="BT722" s="72" t="str">
        <f t="shared" si="3454"/>
        <v>NM</v>
      </c>
      <c r="BU722" s="169">
        <f>BU539/AVERAGE(BU656,BS656)*100</f>
        <v>-0.22711135311030031</v>
      </c>
      <c r="BV722" s="72" t="str">
        <f t="shared" si="3455"/>
        <v>NM</v>
      </c>
      <c r="BW722" s="169">
        <f>BW539/AVERAGE(BW656,BU656)*100</f>
        <v>5.0913410834858709E-2</v>
      </c>
      <c r="BX722" s="72" t="str">
        <f t="shared" si="3456"/>
        <v>NM</v>
      </c>
      <c r="BY722" s="169">
        <f>BY539/AVERAGE(BY656,BW656)*100</f>
        <v>0.23173910644522705</v>
      </c>
      <c r="BZ722" s="72">
        <f t="shared" si="3457"/>
        <v>13.24730824950224</v>
      </c>
      <c r="CA722" s="169">
        <f>CA539/AVERAGE(CA656,BY656)*100</f>
        <v>0.20778351997952574</v>
      </c>
      <c r="CB722" s="72">
        <f t="shared" si="3458"/>
        <v>98.876665647006263</v>
      </c>
      <c r="CC722" s="169">
        <f>CC539/AVERAGE(CC656,CA656)*100</f>
        <v>0.13441903800613378</v>
      </c>
      <c r="CD722" s="72" t="str">
        <f t="shared" si="3459"/>
        <v>NM</v>
      </c>
      <c r="CE722" s="169">
        <f>CE539/AVERAGE(CE656,CC656)*100</f>
        <v>0.15073901346784135</v>
      </c>
      <c r="CF722" s="72" t="str">
        <f t="shared" si="3460"/>
        <v>NM</v>
      </c>
      <c r="CG722" s="169">
        <f>CG539/AVERAGE(CG656,CE656)*100</f>
        <v>8.8623460196608453E-2</v>
      </c>
      <c r="CH722" s="72" t="str">
        <f t="shared" si="3461"/>
        <v>NM</v>
      </c>
      <c r="CI722" s="169">
        <f>CI539/AVERAGE(CI656,CG656)*100</f>
        <v>0.20324264400203243</v>
      </c>
      <c r="CJ722" s="72">
        <f t="shared" si="3462"/>
        <v>-2.1853879354535621</v>
      </c>
      <c r="CK722" s="169">
        <f>CK539/AVERAGE(CK656,CI656)*100</f>
        <v>0.16923224326381392</v>
      </c>
      <c r="CL722" s="72">
        <f t="shared" si="3462"/>
        <v>25.899013840652202</v>
      </c>
      <c r="CM722" s="169">
        <f>CM539/AVERAGE(CM656,CK656)*100</f>
        <v>0.16140348063839768</v>
      </c>
      <c r="CN722" s="72">
        <f t="shared" si="3462"/>
        <v>7.0747890179283246</v>
      </c>
      <c r="CO722" s="169">
        <f>CO539/AVERAGE(CO656,CM656)*100</f>
        <v>0.1482662482469625</v>
      </c>
      <c r="CP722" s="72">
        <f t="shared" si="3462"/>
        <v>67.299096557546193</v>
      </c>
      <c r="CQ722" s="169">
        <f>CQ539/AVERAGE(CQ656,CO656)*100</f>
        <v>8.0479520331302248E-2</v>
      </c>
      <c r="CR722" s="72" t="str">
        <f t="shared" si="3462"/>
        <v>NM</v>
      </c>
      <c r="CS722" s="169">
        <f>CS539/AVERAGE(CS656,CQ656)*100</f>
        <v>0.16834889992511498</v>
      </c>
      <c r="CT722" s="72">
        <f t="shared" si="3462"/>
        <v>-0.52197106276132388</v>
      </c>
      <c r="CU722" s="169">
        <f>CU539/AVERAGE(CU656,CS656)*100</f>
        <v>0.1467687371238833</v>
      </c>
      <c r="CV722" s="72">
        <f t="shared" si="3463"/>
        <v>-9.0671796274960741</v>
      </c>
      <c r="CW722" s="169">
        <f>CW539/AVERAGE(CW656,CU656)*100</f>
        <v>0.11804011826721929</v>
      </c>
      <c r="CX722" s="72">
        <f t="shared" si="3464"/>
        <v>-20.386386205305797</v>
      </c>
      <c r="CY722" s="169">
        <f>CY539/AVERAGE(CY656,CW656)*100</f>
        <v>0.13268184300532612</v>
      </c>
      <c r="CZ722" s="72">
        <f t="shared" si="3465"/>
        <v>64.864107612877945</v>
      </c>
      <c r="DA722" s="169">
        <f>DA539/AVERAGE(DA656,CY656)*100</f>
        <v>0.13512227153849007</v>
      </c>
      <c r="DB722" s="72">
        <f t="shared" si="3466"/>
        <v>-19.736765967229246</v>
      </c>
      <c r="DC722" s="169">
        <f>DC539/AVERAGE(DC656,DA656)*100</f>
        <v>0.16618066102441065</v>
      </c>
      <c r="DD722" s="72">
        <f t="shared" si="3467"/>
        <v>13.226198086137586</v>
      </c>
      <c r="DE722" s="169">
        <f>DE539/AVERAGE(DE656,DC656)*100</f>
        <v>0.17002497905495007</v>
      </c>
      <c r="DF722" s="72">
        <f t="shared" si="3468"/>
        <v>44.039993818074123</v>
      </c>
      <c r="DG722" s="169">
        <f>DG539/AVERAGE(DG656,DE656)*100</f>
        <v>0.21348211920734966</v>
      </c>
      <c r="DH722" s="72">
        <f t="shared" si="3469"/>
        <v>60.897764435469924</v>
      </c>
      <c r="DI722" s="169">
        <f>DI539/AVERAGE(DI656,DG656)*100</f>
        <v>0.16017165531709482</v>
      </c>
      <c r="DJ722" s="72">
        <f t="shared" si="3470"/>
        <v>18.538308669174015</v>
      </c>
      <c r="DK722" s="169">
        <f>DK539/AVERAGE(DK656,DI656)*100</f>
        <v>0.16967895309429046</v>
      </c>
      <c r="DL722" s="72">
        <f t="shared" si="3471"/>
        <v>2.1051138251074519</v>
      </c>
      <c r="DM722" s="169">
        <f>DM539/AVERAGE(DM656,DK656)*100</f>
        <v>0.17154735421757047</v>
      </c>
      <c r="DN722" s="72">
        <f t="shared" si="3472"/>
        <v>0.89538323785258456</v>
      </c>
      <c r="DO722" s="169">
        <f>DO539/AVERAGE(DO656,DM656)*100</f>
        <v>0.14901422192310493</v>
      </c>
      <c r="DP722" s="72">
        <f t="shared" si="3472"/>
        <v>-30.198265561355385</v>
      </c>
      <c r="DQ722" s="169">
        <f>DQ539/AVERAGE(DQ656,DO656)*100</f>
        <v>0.14510904772187433</v>
      </c>
      <c r="DR722" s="72">
        <f t="shared" si="3472"/>
        <v>-9.4040406621263628</v>
      </c>
      <c r="DS722" s="169">
        <f>DS539/AVERAGE(DS656,DQ656)*100</f>
        <v>0.18436360821454925</v>
      </c>
      <c r="DT722" s="72">
        <f t="shared" si="3472"/>
        <v>8.6543763103598081</v>
      </c>
      <c r="DU722" s="169">
        <f>DU539/AVERAGE(DU656,DS656)*100</f>
        <v>0.1913318182687872</v>
      </c>
      <c r="DV722" s="72">
        <f t="shared" si="3472"/>
        <v>11.532946189379544</v>
      </c>
      <c r="DW722" s="169">
        <f>DW539/AVERAGE(DW656,DU656)*100</f>
        <v>0.15969338869370808</v>
      </c>
      <c r="DX722" s="72">
        <f t="shared" si="3472"/>
        <v>7.1665419802103543</v>
      </c>
      <c r="DY722" s="169">
        <f>DY539/AVERAGE(DY656,DW656)*100</f>
        <v>0.12851699893335219</v>
      </c>
      <c r="DZ722" s="72">
        <f t="shared" si="3472"/>
        <v>-11.434193145780654</v>
      </c>
      <c r="EA722" s="169">
        <f>EA539/AVERAGE(EA656,DY656)*100</f>
        <v>0.14194474263439191</v>
      </c>
      <c r="EB722" s="72">
        <f t="shared" si="3473"/>
        <v>-23.008263936119803</v>
      </c>
      <c r="EC722" s="169">
        <f>EC539/AVERAGE(EC656,EA656)*100</f>
        <v>0.11495583768346654</v>
      </c>
      <c r="ED722" s="72">
        <f t="shared" si="3474"/>
        <v>-39.918075977319148</v>
      </c>
      <c r="EE722" s="169">
        <f>EE539/AVERAGE(EE656,EC656)*100</f>
        <v>0.15995358525687256</v>
      </c>
      <c r="EF722" s="72">
        <f t="shared" si="3475"/>
        <v>0.16293508785358313</v>
      </c>
      <c r="EG722" s="169">
        <f>EG539/AVERAGE(EG656,EE656)*100</f>
        <v>0.14746558741699142</v>
      </c>
      <c r="EH722" s="72">
        <f t="shared" si="3476"/>
        <v>14.744032805703625</v>
      </c>
      <c r="EI722" s="169">
        <f>EI539/AVERAGE(EI656,EG656)*100</f>
        <v>0.16989657871966377</v>
      </c>
      <c r="EJ722" s="72">
        <f t="shared" si="3477"/>
        <v>19.692054504102046</v>
      </c>
      <c r="EK722" s="169">
        <f>EK539/AVERAGE(EK656,EI656)*100</f>
        <v>0.12393512218870235</v>
      </c>
      <c r="EL722" s="72">
        <f t="shared" si="3478"/>
        <v>7.8110730922256124</v>
      </c>
      <c r="EM722" s="169">
        <f>EM539/AVERAGE(EM656,EK656)*100</f>
        <v>0.17564496086157635</v>
      </c>
      <c r="EN722" s="72">
        <f t="shared" si="3479"/>
        <v>9.8099555439815447</v>
      </c>
      <c r="EO722" s="169">
        <f>EO539/AVERAGE(EO656,EM656)*100</f>
        <v>0.15368781981446095</v>
      </c>
      <c r="EP722" s="72">
        <f t="shared" si="3480"/>
        <v>4.2194470631814482</v>
      </c>
      <c r="EQ722" s="171">
        <f>EQ539/AVERAGE(EQ656,EO656)*200</f>
        <v>0.34545556185457443</v>
      </c>
      <c r="ER722" s="72" t="str">
        <f t="shared" si="3482"/>
        <v>NM</v>
      </c>
      <c r="ES722" s="171">
        <f>ES539/AVERAGE(ES656,EQ656)*200</f>
        <v>0.3423184657757749</v>
      </c>
      <c r="ET722" s="72" t="str">
        <f t="shared" si="3484"/>
        <v>NM</v>
      </c>
      <c r="EU722" s="171">
        <f>EU539/AVERAGE(EU656,ES656)*200</f>
        <v>0.33357520362538928</v>
      </c>
      <c r="EV722" s="72">
        <f t="shared" si="3486"/>
        <v>89.91447405557841</v>
      </c>
      <c r="EW722" s="171">
        <f>EW539/AVERAGE(EW656,EU656)*200</f>
        <v>0.29655253573507317</v>
      </c>
      <c r="EX722" s="72">
        <f t="shared" si="3488"/>
        <v>92.957734772401068</v>
      </c>
      <c r="EY722" s="72"/>
      <c r="EZ722" s="320"/>
      <c r="FA722" s="72"/>
      <c r="FB722" s="171"/>
      <c r="FC722" s="82"/>
      <c r="FD722" s="170"/>
      <c r="FE722" s="72"/>
      <c r="FF722" s="169">
        <f>FF539/AVERAGE(FF656,FD656)*100</f>
        <v>8.1818898957727343E-2</v>
      </c>
      <c r="FG722" s="72" t="str">
        <f t="shared" si="3489"/>
        <v>NA</v>
      </c>
      <c r="FH722" s="169">
        <f>FH539/AVERAGE(FH656,FF656)*100</f>
        <v>0.22288203330331166</v>
      </c>
      <c r="FI722" s="72" t="str">
        <f t="shared" si="3490"/>
        <v>NM</v>
      </c>
      <c r="FJ722" s="169">
        <f>FJ539/AVERAGE(FJ656,FH656)*100</f>
        <v>0.28250178777710544</v>
      </c>
      <c r="FK722" s="72">
        <f t="shared" si="3491"/>
        <v>26.749466338841017</v>
      </c>
      <c r="FL722" s="169">
        <f>FL539/AVERAGE(FL656,FJ656)*100</f>
        <v>0.43528803383588244</v>
      </c>
      <c r="FM722" s="72">
        <f t="shared" si="3492"/>
        <v>54.083284662016268</v>
      </c>
      <c r="FN722" s="169">
        <f>FN539/AVERAGE(FN656,FL656)*100</f>
        <v>0.55183521088510212</v>
      </c>
      <c r="FO722" s="72">
        <f t="shared" si="3493"/>
        <v>26.774725696494045</v>
      </c>
      <c r="FP722" s="169">
        <f>FP539/AVERAGE(FP656,FN656)*100</f>
        <v>0.61299643163701423</v>
      </c>
      <c r="FQ722" s="72">
        <f t="shared" si="3494"/>
        <v>11.083239986410803</v>
      </c>
      <c r="FR722" s="171">
        <f>FR539/AVERAGE(FR656,FP656)*100</f>
        <v>0.6280821105962584</v>
      </c>
      <c r="FS722" s="72">
        <f t="shared" si="3495"/>
        <v>2.4609733728722745</v>
      </c>
      <c r="FT722" s="171">
        <f>FT539/AVERAGE(FT656,FR656)*100</f>
        <v>0.69287061181525134</v>
      </c>
      <c r="FU722" s="72">
        <f t="shared" si="3496"/>
        <v>10.315291603750197</v>
      </c>
      <c r="FV722" s="171">
        <f>FV539/AVERAGE(FV656,FT656)*100</f>
        <v>-0.1661704500812852</v>
      </c>
      <c r="FW722" s="72" t="str">
        <f t="shared" si="3497"/>
        <v>NM</v>
      </c>
      <c r="FX722" s="171">
        <f>FX539/AVERAGE(FX656,FV656)*100</f>
        <v>0.2791179234542337</v>
      </c>
      <c r="FY722" s="72" t="str">
        <f t="shared" si="3497"/>
        <v>NM</v>
      </c>
      <c r="FZ722" s="171">
        <f>FZ539/AVERAGE(FZ656,FX656)*100</f>
        <v>0.46168571780091183</v>
      </c>
      <c r="GA722" s="72">
        <f t="shared" si="3497"/>
        <v>65.408839420738019</v>
      </c>
      <c r="GB722" s="171">
        <f>GB539/AVERAGE(GB656,FZ656)*100</f>
        <v>0.48156072656942794</v>
      </c>
      <c r="GC722" s="72">
        <f t="shared" si="3497"/>
        <v>4.3048784058524063</v>
      </c>
      <c r="GD722" s="171">
        <f>GD539/AVERAGE(GD656,GB656)*100</f>
        <v>0.43974139777944882</v>
      </c>
      <c r="GE722" s="72">
        <f t="shared" si="3497"/>
        <v>-8.6841236177821628</v>
      </c>
      <c r="GF722" s="171">
        <f>GF539/AVERAGE(GF656,GD656)*100</f>
        <v>0.73743459355884744</v>
      </c>
      <c r="GG722" s="72">
        <f t="shared" si="3497"/>
        <v>67.697332405512071</v>
      </c>
      <c r="GH722" s="171">
        <f>GH539/AVERAGE(GH656,GF656)*100</f>
        <v>0.62745421195562201</v>
      </c>
      <c r="GI722" s="72">
        <f t="shared" si="3498"/>
        <v>-14.913916781753073</v>
      </c>
      <c r="GJ722" s="171">
        <f>GJ539/AVERAGE(GJ656,GH656)*100</f>
        <v>0.66842795780090225</v>
      </c>
      <c r="GK722" s="72">
        <f t="shared" si="3498"/>
        <v>6.5301571117954609</v>
      </c>
      <c r="GL722" s="171">
        <f>GL539/AVERAGE(GL656,GJ656)*100</f>
        <v>0.57960501618716709</v>
      </c>
      <c r="GM722" s="72">
        <f t="shared" si="3498"/>
        <v>-13.288334303962785</v>
      </c>
      <c r="GN722" s="171">
        <f>GN539/AVERAGE(GN656,GL656)*100</f>
        <v>0.62413673048683871</v>
      </c>
      <c r="GO722" s="72">
        <f t="shared" si="3498"/>
        <v>7.6831140269654412</v>
      </c>
      <c r="GP722" s="171">
        <f>GP539/AVERAGE(GP656,GN656)*100</f>
        <v>0.65820833961372005</v>
      </c>
      <c r="GQ722" s="72">
        <f t="shared" si="3498"/>
        <v>5.458997598219355</v>
      </c>
      <c r="GR722" s="171">
        <f>GR539/AVERAGE(GR656,GP656)*100</f>
        <v>0.62849610131243749</v>
      </c>
      <c r="GS722" s="72">
        <f t="shared" si="3498"/>
        <v>-4.5141084536728329</v>
      </c>
      <c r="GT722" s="171">
        <f>GT539/AVERAGE(GT656,GR656)*100</f>
        <v>0.59907903901171711</v>
      </c>
      <c r="GU722" s="72">
        <f t="shared" si="3498"/>
        <v>-4.6805480955714955</v>
      </c>
      <c r="GV722" s="171">
        <f>GV539/AVERAGE(GV656,GT656)*100</f>
        <v>0.57164002647958256</v>
      </c>
      <c r="GW722" s="72">
        <f t="shared" si="3499"/>
        <v>-4.5801990631152592</v>
      </c>
      <c r="GX722" s="171">
        <f>GX539/AVERAGE(GX656,GV656)*100</f>
        <v>0.5445920850258783</v>
      </c>
      <c r="GY722" s="72">
        <f t="shared" si="3500"/>
        <v>-4.7316388287709117</v>
      </c>
      <c r="GZ722" s="72">
        <f t="shared" si="3501"/>
        <v>-2.6898108561569267</v>
      </c>
      <c r="HA722" s="72"/>
      <c r="HB722" s="72"/>
      <c r="HC722"/>
      <c r="HD722"/>
      <c r="HE722"/>
      <c r="HF722"/>
      <c r="HG722"/>
      <c r="HH722"/>
      <c r="HI722" s="2"/>
    </row>
    <row r="723" spans="2:217" s="3" customFormat="1" ht="12.75" customHeight="1" x14ac:dyDescent="0.2">
      <c r="B723" s="4" t="s">
        <v>747</v>
      </c>
      <c r="C723" s="169"/>
      <c r="D723" s="188"/>
      <c r="E723" s="169"/>
      <c r="F723" s="11"/>
      <c r="G723" s="169"/>
      <c r="H723" s="11"/>
      <c r="I723" s="169">
        <f>I675/I637</f>
        <v>23.545236463331047</v>
      </c>
      <c r="J723" s="11"/>
      <c r="K723" s="169">
        <f>K675/K637</f>
        <v>25.121658670322137</v>
      </c>
      <c r="L723" s="72" t="str">
        <f t="shared" si="3436"/>
        <v>NA</v>
      </c>
      <c r="M723" s="169">
        <f>M675/M637</f>
        <v>25.337559972583961</v>
      </c>
      <c r="N723" s="72" t="str">
        <f t="shared" si="3437"/>
        <v>NA</v>
      </c>
      <c r="O723" s="169">
        <f>O675/O637</f>
        <v>25.15935572309801</v>
      </c>
      <c r="P723" s="72" t="str">
        <f t="shared" si="3438"/>
        <v>NA</v>
      </c>
      <c r="Q723" s="169">
        <f>Q675/Q637</f>
        <v>33.594391244870046</v>
      </c>
      <c r="R723" s="72">
        <f t="shared" si="3439"/>
        <v>42.680203263999431</v>
      </c>
      <c r="S723" s="169">
        <f>S675/S637</f>
        <v>33.264363885088919</v>
      </c>
      <c r="T723" s="72">
        <f t="shared" si="3439"/>
        <v>32.413087533850984</v>
      </c>
      <c r="U723" s="169">
        <f>U675/U637</f>
        <v>34.724031539252657</v>
      </c>
      <c r="V723" s="72">
        <f t="shared" si="3439"/>
        <v>37.045680708107483</v>
      </c>
      <c r="W723" s="169">
        <f>W675/W637</f>
        <v>37.033972892096457</v>
      </c>
      <c r="X723" s="72">
        <f t="shared" si="3439"/>
        <v>47.197620239920298</v>
      </c>
      <c r="Y723" s="169">
        <f>Y675/Y637</f>
        <v>36.665477888730386</v>
      </c>
      <c r="Z723" s="72">
        <f t="shared" si="3439"/>
        <v>9.1416648138528274</v>
      </c>
      <c r="AA723" s="169">
        <f>AA675/AA637</f>
        <v>38.115837104072398</v>
      </c>
      <c r="AB723" s="72">
        <f t="shared" si="3439"/>
        <v>14.584596403955885</v>
      </c>
      <c r="AC723" s="169">
        <f>AC675/AC637</f>
        <v>39.831655992680695</v>
      </c>
      <c r="AD723" s="72">
        <f t="shared" si="3439"/>
        <v>14.709191954437344</v>
      </c>
      <c r="AE723" s="169">
        <f>AE675/AE637</f>
        <v>37.807840971838765</v>
      </c>
      <c r="AF723" s="72">
        <f t="shared" si="3439"/>
        <v>2.0896166932915321</v>
      </c>
      <c r="AG723" s="169">
        <f>AG675/AG637</f>
        <v>37.610946745562131</v>
      </c>
      <c r="AH723" s="72">
        <f t="shared" si="3439"/>
        <v>2.5786350302073942</v>
      </c>
      <c r="AI723" s="169">
        <f>AI675/AI637</f>
        <v>38.904032860343541</v>
      </c>
      <c r="AJ723" s="72">
        <f t="shared" si="3439"/>
        <v>2.0678956994150184</v>
      </c>
      <c r="AK723" s="169">
        <f>AK675/AK637</f>
        <v>37.108000756572721</v>
      </c>
      <c r="AL723" s="72">
        <f t="shared" si="3439"/>
        <v>-6.8379161454107305</v>
      </c>
      <c r="AM723" s="169">
        <f>AM675/AM637</f>
        <v>39.189655172413794</v>
      </c>
      <c r="AN723" s="72">
        <f t="shared" si="3439"/>
        <v>3.6548349893988217</v>
      </c>
      <c r="AO723" s="169">
        <f>AO675/AO637</f>
        <v>39.90404515522107</v>
      </c>
      <c r="AP723" s="72">
        <f t="shared" si="3439"/>
        <v>6.0968909535081366</v>
      </c>
      <c r="AQ723" s="169">
        <f>AQ675/AQ637</f>
        <v>40.349477682811013</v>
      </c>
      <c r="AR723" s="72">
        <f t="shared" si="3440"/>
        <v>3.7154112728011768</v>
      </c>
      <c r="AS723" s="169">
        <f>AS675/AS637</f>
        <v>42.822966507177036</v>
      </c>
      <c r="AT723" s="72">
        <f t="shared" si="3441"/>
        <v>15.400899089375102</v>
      </c>
      <c r="AU723" s="169">
        <f>AU675/AU637</f>
        <v>43.794781931464172</v>
      </c>
      <c r="AV723" s="72">
        <f t="shared" si="3442"/>
        <v>11.750873384290458</v>
      </c>
      <c r="AW723" s="169">
        <f>AW675/AW637</f>
        <v>42.701636758035889</v>
      </c>
      <c r="AX723" s="72">
        <f t="shared" si="3443"/>
        <v>7.01079700549802</v>
      </c>
      <c r="AY723" s="169">
        <f>AY675/AY637</f>
        <v>42.432540475714568</v>
      </c>
      <c r="AZ723" s="72">
        <f t="shared" si="3444"/>
        <v>5.1625520639414475</v>
      </c>
      <c r="BA723" s="169">
        <f>BA675/BA637</f>
        <v>41.411192214111921</v>
      </c>
      <c r="BB723" s="72">
        <f t="shared" si="3445"/>
        <v>-3.2967690195598749</v>
      </c>
      <c r="BC723" s="169">
        <f>BC675/BC637</f>
        <v>45.311280049311691</v>
      </c>
      <c r="BD723" s="72">
        <f t="shared" si="3446"/>
        <v>3.4627369996287172</v>
      </c>
      <c r="BE723" s="169">
        <f>BE675/BE637</f>
        <v>45.178087898354505</v>
      </c>
      <c r="BF723" s="72">
        <f t="shared" si="3447"/>
        <v>5.7994290812578413</v>
      </c>
      <c r="BG723" s="188">
        <f>BG675/BG637</f>
        <v>47.051986475063401</v>
      </c>
      <c r="BH723" s="72">
        <f t="shared" si="3448"/>
        <v>10.886564762703003</v>
      </c>
      <c r="BI723" s="188">
        <f>BI675/BI637</f>
        <v>46.26757562846187</v>
      </c>
      <c r="BJ723" s="72">
        <f t="shared" si="3449"/>
        <v>11.727224343700527</v>
      </c>
      <c r="BK723" s="188">
        <f>BK675/BK637</f>
        <v>47.729437229437231</v>
      </c>
      <c r="BL723" s="72">
        <f t="shared" si="3450"/>
        <v>5.3367664243735504</v>
      </c>
      <c r="BM723" s="188">
        <f>BM675/BM637</f>
        <v>47.716483516483514</v>
      </c>
      <c r="BN723" s="72">
        <f t="shared" si="3451"/>
        <v>5.6186433207180215</v>
      </c>
      <c r="BO723" s="188">
        <f>BO675/BO637</f>
        <v>49.519621109607577</v>
      </c>
      <c r="BP723" s="72">
        <f t="shared" si="3452"/>
        <v>5.2444855561028589</v>
      </c>
      <c r="BQ723" s="188">
        <f>BQ675/BQ637</f>
        <v>50.436296124390815</v>
      </c>
      <c r="BR723" s="72">
        <f t="shared" si="3453"/>
        <v>9.0100257886962254</v>
      </c>
      <c r="BS723" s="188">
        <f>BS675/BS637</f>
        <v>49.84565014031805</v>
      </c>
      <c r="BT723" s="72">
        <f t="shared" si="3454"/>
        <v>4.4337688305607088</v>
      </c>
      <c r="BU723" s="188">
        <f>BU675/BU637</f>
        <v>33.691654879773694</v>
      </c>
      <c r="BV723" s="72">
        <f t="shared" si="3455"/>
        <v>-29.391999584095473</v>
      </c>
      <c r="BW723" s="188">
        <f>BW675/BW637</f>
        <v>33.834001414760671</v>
      </c>
      <c r="BX723" s="72">
        <f t="shared" si="3456"/>
        <v>-31.675564843535625</v>
      </c>
      <c r="BY723" s="188">
        <f>BY675/BY637</f>
        <v>40.200129115558425</v>
      </c>
      <c r="BZ723" s="72">
        <f t="shared" si="3457"/>
        <v>-20.295239332378756</v>
      </c>
      <c r="CA723" s="188">
        <f>CA675/CA637</f>
        <v>49.709090909090911</v>
      </c>
      <c r="CB723" s="72">
        <f t="shared" si="3458"/>
        <v>-0.27396418913730258</v>
      </c>
      <c r="CC723" s="188">
        <f>CC675/CC637</f>
        <v>51.523037542662117</v>
      </c>
      <c r="CD723" s="72">
        <f t="shared" si="3459"/>
        <v>52.925220582124751</v>
      </c>
      <c r="CE723" s="188">
        <f>CE675/CE637</f>
        <v>49.407391673746815</v>
      </c>
      <c r="CF723" s="72">
        <f t="shared" si="3460"/>
        <v>46.028816006941412</v>
      </c>
      <c r="CG723" s="188">
        <f>CG675/CG637</f>
        <v>54.908704883227173</v>
      </c>
      <c r="CH723" s="72">
        <f t="shared" si="3461"/>
        <v>36.588379418851616</v>
      </c>
      <c r="CI723" s="188">
        <f>CI675/CI637</f>
        <v>62.457627118644069</v>
      </c>
      <c r="CJ723" s="72">
        <f t="shared" si="3462"/>
        <v>25.64628718088602</v>
      </c>
      <c r="CK723" s="188">
        <f>CK675/CK637</f>
        <v>57.575757575757578</v>
      </c>
      <c r="CL723" s="72">
        <f t="shared" si="3462"/>
        <v>11.747599368697337</v>
      </c>
      <c r="CM723" s="188">
        <f>CM675/CM637</f>
        <v>57.823087847433563</v>
      </c>
      <c r="CN723" s="72">
        <f t="shared" si="3462"/>
        <v>17.033273541858577</v>
      </c>
      <c r="CO723" s="188">
        <f>CO675/CO637</f>
        <v>62.280275415147834</v>
      </c>
      <c r="CP723" s="72">
        <f t="shared" si="3462"/>
        <v>13.42514005310737</v>
      </c>
      <c r="CQ723" s="188">
        <f>CQ675/CQ637</f>
        <v>68.772993311036799</v>
      </c>
      <c r="CR723" s="72">
        <f t="shared" si="3462"/>
        <v>10.111441122148477</v>
      </c>
      <c r="CS723" s="188">
        <f>CS675/CS637</f>
        <v>69.073879183329822</v>
      </c>
      <c r="CT723" s="72">
        <f t="shared" si="3462"/>
        <v>19.970421739467596</v>
      </c>
      <c r="CU723" s="188">
        <f>CU675/CU637</f>
        <v>70.836678639340803</v>
      </c>
      <c r="CV723" s="72">
        <f t="shared" si="3463"/>
        <v>22.505873131928979</v>
      </c>
      <c r="CW723" s="188">
        <f>CW675/CW637</f>
        <v>78.140081144565443</v>
      </c>
      <c r="CX723" s="72">
        <f t="shared" si="3464"/>
        <v>25.465214506036332</v>
      </c>
      <c r="CY723" s="188">
        <f>CY675/CY637</f>
        <v>79.63383297644539</v>
      </c>
      <c r="CZ723" s="72">
        <f t="shared" si="3465"/>
        <v>15.792303261090751</v>
      </c>
      <c r="DA723" s="188">
        <f>DA675/DA637</f>
        <v>79.038872276804781</v>
      </c>
      <c r="DB723" s="72">
        <f t="shared" si="3466"/>
        <v>14.426572260444146</v>
      </c>
      <c r="DC723" s="188">
        <f>DC675/DC637</f>
        <v>81.772097976570819</v>
      </c>
      <c r="DD723" s="72">
        <f t="shared" si="3467"/>
        <v>15.437509983926276</v>
      </c>
      <c r="DE723" s="188">
        <f>DE675/DE637</f>
        <v>71.758312020460366</v>
      </c>
      <c r="DF723" s="72">
        <f t="shared" si="3468"/>
        <v>-8.1670879152253377</v>
      </c>
      <c r="DG723" s="188">
        <f>DG675/DG637</f>
        <v>70.049092849519738</v>
      </c>
      <c r="DH723" s="72">
        <f t="shared" si="3469"/>
        <v>-12.036015056264702</v>
      </c>
      <c r="DI723" s="188">
        <f>DI675/DI637</f>
        <v>72.295711542564547</v>
      </c>
      <c r="DJ723" s="72">
        <f t="shared" si="3470"/>
        <v>-8.5314485644794757</v>
      </c>
      <c r="DK723" s="188">
        <f>DK675/DK637</f>
        <v>78.871728871728877</v>
      </c>
      <c r="DL723" s="72">
        <f t="shared" si="3471"/>
        <v>-3.5468933494563828</v>
      </c>
      <c r="DM723" s="188">
        <f>DM675/DM637</f>
        <v>85.35183989670756</v>
      </c>
      <c r="DN723" s="72">
        <f t="shared" si="3472"/>
        <v>18.943488905328891</v>
      </c>
      <c r="DO723" s="188">
        <f>DO675/DO637</f>
        <v>86.756581786793276</v>
      </c>
      <c r="DP723" s="72">
        <f t="shared" si="3472"/>
        <v>23.851113922581064</v>
      </c>
      <c r="DQ723" s="188">
        <f>DQ675/DQ637</f>
        <v>88.799566630552548</v>
      </c>
      <c r="DR723" s="72">
        <f t="shared" si="3472"/>
        <v>22.828262888416646</v>
      </c>
      <c r="DS723" s="725">
        <f>(DS675+500)/(DS637+5.5)</f>
        <v>98.15517241379311</v>
      </c>
      <c r="DT723" s="72">
        <f t="shared" si="3472"/>
        <v>24.44911987846163</v>
      </c>
      <c r="DU723" s="725">
        <f>(DU675+500)/(DU637+5.5)</f>
        <v>91.17469229108184</v>
      </c>
      <c r="DV723" s="72">
        <f t="shared" si="3472"/>
        <v>6.8221755985823762</v>
      </c>
      <c r="DW723" s="725">
        <f>(DW675+500)/(DW637+5.5)</f>
        <v>93.874891398783674</v>
      </c>
      <c r="DX723" s="72">
        <f t="shared" si="3472"/>
        <v>8.2049217078236723</v>
      </c>
      <c r="DY723" s="725">
        <f>(DY675+500)/(DY637+5.6)</f>
        <v>92.393199651264169</v>
      </c>
      <c r="DZ723" s="72">
        <f t="shared" si="3472"/>
        <v>4.0469037823830831</v>
      </c>
      <c r="EA723" s="725">
        <f>(EA675+500)/(EA637+5.6)</f>
        <v>109.66049382716049</v>
      </c>
      <c r="EB723" s="72">
        <f t="shared" si="3473"/>
        <v>11.721564060693979</v>
      </c>
      <c r="EC723" s="725">
        <f>(EC675+500)/(EC637+5.6)</f>
        <v>123.77446619217081</v>
      </c>
      <c r="ED723" s="72">
        <f t="shared" si="3474"/>
        <v>35.755288097942582</v>
      </c>
      <c r="EE723" s="725">
        <f>(EE675+500)/(EE637+5.6)</f>
        <v>128.3675310033822</v>
      </c>
      <c r="EF723" s="72">
        <f t="shared" si="3475"/>
        <v>36.743200541316867</v>
      </c>
      <c r="EG723" s="725">
        <f>(EG675+500)/(EG637+5.6)</f>
        <v>104.94114984155726</v>
      </c>
      <c r="EH723" s="72">
        <f t="shared" si="3476"/>
        <v>13.581032194636649</v>
      </c>
      <c r="EI723" s="725">
        <f>(EI675+500)/(EI637+5.6)</f>
        <v>107.08640018117993</v>
      </c>
      <c r="EJ723" s="72">
        <f t="shared" si="3477"/>
        <v>-2.3473299783217101</v>
      </c>
      <c r="EK723" s="725">
        <f>(EK675+500)/(EK637+5.7)</f>
        <v>111.35784492173281</v>
      </c>
      <c r="EL723" s="72">
        <f t="shared" si="3478"/>
        <v>-10.031650026395667</v>
      </c>
      <c r="EM723" s="725">
        <f>(EM675+500)/(EM637+5.7)</f>
        <v>116.29709217264082</v>
      </c>
      <c r="EN723" s="72">
        <f t="shared" si="3479"/>
        <v>-9.4030310752205395</v>
      </c>
      <c r="EO723" s="725">
        <f>(EO675+500)/(EO637)</f>
        <v>125.2444342437457</v>
      </c>
      <c r="EP723" s="72">
        <f t="shared" si="3480"/>
        <v>19.347305068452968</v>
      </c>
      <c r="EQ723" s="725">
        <f t="shared" ref="EQ723" si="3518">(EQ675+500)/(EQ637+5.72)</f>
        <v>127.22494829555626</v>
      </c>
      <c r="ER723" s="72">
        <f t="shared" si="3482"/>
        <v>18.805887657353153</v>
      </c>
      <c r="ES723" s="725">
        <f t="shared" ref="ES723" si="3519">(ES675+500)/(ES637+5.72)</f>
        <v>128.6980813064456</v>
      </c>
      <c r="ET723" s="72">
        <f t="shared" si="3484"/>
        <v>15.571634308207265</v>
      </c>
      <c r="EU723" s="725">
        <f t="shared" ref="EU723" si="3520">(EU675+500)/(EU637+5.72)</f>
        <v>130.13916901903735</v>
      </c>
      <c r="EV723" s="72">
        <f t="shared" si="3486"/>
        <v>11.90234131206671</v>
      </c>
      <c r="EW723" s="725">
        <f t="shared" ref="EW723" si="3521">(EW675+500)/(EW637+5.72)</f>
        <v>131.27435251770544</v>
      </c>
      <c r="EX723" s="72">
        <f t="shared" si="3488"/>
        <v>4.8145199508223584</v>
      </c>
      <c r="EY723" s="72"/>
      <c r="EZ723" s="340"/>
      <c r="FA723" s="72"/>
      <c r="FB723" s="13"/>
      <c r="FC723" s="88"/>
      <c r="FD723" s="12"/>
      <c r="FE723" s="88"/>
      <c r="FF723" s="188">
        <f>FF675/FF637</f>
        <v>23.496922024623803</v>
      </c>
      <c r="FG723" s="72" t="str">
        <f t="shared" si="3489"/>
        <v>NA</v>
      </c>
      <c r="FH723" s="188">
        <f>FH675/FH637</f>
        <v>33.594391244870046</v>
      </c>
      <c r="FI723" s="87">
        <f t="shared" si="3490"/>
        <v>42.973582708682045</v>
      </c>
      <c r="FJ723" s="188">
        <f>FJ675/FJ637</f>
        <v>36.665477888730386</v>
      </c>
      <c r="FK723" s="87">
        <f t="shared" si="3491"/>
        <v>9.1416648138528274</v>
      </c>
      <c r="FL723" s="188">
        <f>FL675/FL637</f>
        <v>37.610946745562131</v>
      </c>
      <c r="FM723" s="87">
        <f t="shared" si="3492"/>
        <v>2.5786350302073942</v>
      </c>
      <c r="FN723" s="188">
        <f>FN675/FN637</f>
        <v>39.90404515522107</v>
      </c>
      <c r="FO723" s="87">
        <f t="shared" si="3493"/>
        <v>6.0968909535081366</v>
      </c>
      <c r="FP723" s="188">
        <f>FP675/FP637</f>
        <v>42.701636758035889</v>
      </c>
      <c r="FQ723" s="87">
        <f t="shared" si="3494"/>
        <v>7.01079700549802</v>
      </c>
      <c r="FR723" s="188">
        <f>FR675/FR637</f>
        <v>45.178087898354505</v>
      </c>
      <c r="FS723" s="87">
        <f t="shared" si="3495"/>
        <v>5.7994290812578413</v>
      </c>
      <c r="FT723" s="188">
        <f>FT675/FT637</f>
        <v>47.716483516483514</v>
      </c>
      <c r="FU723" s="87">
        <f t="shared" si="3496"/>
        <v>5.6186433207180215</v>
      </c>
      <c r="FV723" s="188">
        <f>FV675/FV637</f>
        <v>33.691654879773694</v>
      </c>
      <c r="FW723" s="87">
        <f t="shared" si="3497"/>
        <v>-29.391999584095473</v>
      </c>
      <c r="FX723" s="188">
        <f>FX675/FX637</f>
        <v>51.523037542662117</v>
      </c>
      <c r="FY723" s="87">
        <f t="shared" si="3497"/>
        <v>52.925220582124751</v>
      </c>
      <c r="FZ723" s="188">
        <f>FZ675/FZ637</f>
        <v>57.575757575757578</v>
      </c>
      <c r="GA723" s="87">
        <f t="shared" si="3497"/>
        <v>11.747599368697337</v>
      </c>
      <c r="GB723" s="188">
        <f>GB675/GB637</f>
        <v>69.073879183329822</v>
      </c>
      <c r="GC723" s="87">
        <f t="shared" si="3497"/>
        <v>19.970421739467596</v>
      </c>
      <c r="GD723" s="188">
        <f>GD675/GD637</f>
        <v>79.038872276804781</v>
      </c>
      <c r="GE723" s="87">
        <f t="shared" si="3497"/>
        <v>14.426572260444146</v>
      </c>
      <c r="GF723" s="188">
        <f>GF675/GF637</f>
        <v>72.295711542564547</v>
      </c>
      <c r="GG723" s="87">
        <f t="shared" si="3497"/>
        <v>-8.5314485644794757</v>
      </c>
      <c r="GH723" s="188">
        <f>GH675/GH637</f>
        <v>88.799566630552548</v>
      </c>
      <c r="GI723" s="72">
        <f t="shared" si="3498"/>
        <v>22.828262888416646</v>
      </c>
      <c r="GJ723" s="188">
        <f>GJ675/GJ637</f>
        <v>92.431597528684904</v>
      </c>
      <c r="GK723" s="72">
        <f t="shared" si="3498"/>
        <v>4.0901448463631453</v>
      </c>
      <c r="GL723" s="188">
        <f>GL675/GL637</f>
        <v>105.1421366345713</v>
      </c>
      <c r="GM723" s="72">
        <f t="shared" si="3498"/>
        <v>13.751292248239949</v>
      </c>
      <c r="GN723" s="188">
        <f>(GN675+500)/GN637</f>
        <v>125.2444342437457</v>
      </c>
      <c r="GO723" s="72">
        <f t="shared" si="3498"/>
        <v>19.119164069341025</v>
      </c>
      <c r="GP723" s="188">
        <f>GP675/GP637</f>
        <v>131.87637222485344</v>
      </c>
      <c r="GQ723" s="72">
        <f t="shared" si="3498"/>
        <v>5.2951957675028751</v>
      </c>
      <c r="GR723" s="188">
        <f>GR675/GR637</f>
        <v>139.44539265504568</v>
      </c>
      <c r="GS723" s="72">
        <f t="shared" si="3498"/>
        <v>5.7394818362813425</v>
      </c>
      <c r="GT723" s="188">
        <f>GT675/GT637</f>
        <v>147.12605110106702</v>
      </c>
      <c r="GU723" s="72">
        <f t="shared" si="3498"/>
        <v>5.5080044595101469</v>
      </c>
      <c r="GV723" s="188">
        <f>GV675/GV637</f>
        <v>154.8813431334257</v>
      </c>
      <c r="GW723" s="72">
        <f t="shared" si="3499"/>
        <v>5.2711888712565553</v>
      </c>
      <c r="GX723" s="188">
        <f>GX675/GX637</f>
        <v>162.65874003868711</v>
      </c>
      <c r="GY723" s="72">
        <f t="shared" si="3500"/>
        <v>5.0215195374186692</v>
      </c>
      <c r="GZ723" s="72">
        <f t="shared" si="3501"/>
        <v>5.3668007373759652</v>
      </c>
      <c r="HA723" s="72"/>
      <c r="HB723" s="72"/>
      <c r="HC723"/>
      <c r="HD723"/>
      <c r="HE723"/>
      <c r="HF723"/>
      <c r="HG723"/>
      <c r="HH723"/>
      <c r="HI723" s="2"/>
    </row>
    <row r="724" spans="2:217" s="3" customFormat="1" ht="12.75" customHeight="1" x14ac:dyDescent="0.2">
      <c r="B724" s="10"/>
      <c r="C724" s="9"/>
      <c r="D724" s="11"/>
      <c r="E724" s="9"/>
      <c r="F724" s="11"/>
      <c r="G724" s="9"/>
      <c r="H724" s="11"/>
      <c r="I724" s="9"/>
      <c r="J724" s="11"/>
      <c r="K724" s="9"/>
      <c r="L724" s="72"/>
      <c r="M724" s="9"/>
      <c r="N724" s="72"/>
      <c r="O724" s="9"/>
      <c r="P724" s="72"/>
      <c r="Q724" s="9"/>
      <c r="R724" s="72"/>
      <c r="S724" s="9"/>
      <c r="T724" s="72"/>
      <c r="U724" s="9"/>
      <c r="V724" s="72"/>
      <c r="W724" s="9"/>
      <c r="X724" s="72"/>
      <c r="Y724" s="9"/>
      <c r="Z724" s="72"/>
      <c r="AA724" s="9"/>
      <c r="AB724" s="72"/>
      <c r="AC724" s="9"/>
      <c r="AD724" s="72"/>
      <c r="AE724" s="9"/>
      <c r="AF724" s="72"/>
      <c r="AG724" s="9"/>
      <c r="AH724" s="72"/>
      <c r="AI724" s="9"/>
      <c r="AJ724" s="72"/>
      <c r="AK724" s="9"/>
      <c r="AL724" s="72"/>
      <c r="AM724" s="9"/>
      <c r="AN724" s="72"/>
      <c r="AO724" s="9"/>
      <c r="AP724" s="72"/>
      <c r="AQ724" s="9"/>
      <c r="AR724" s="72"/>
      <c r="AS724" s="9"/>
      <c r="AT724" s="72"/>
      <c r="AU724" s="9"/>
      <c r="AV724" s="72"/>
      <c r="AW724" s="9"/>
      <c r="AX724" s="72"/>
      <c r="AY724" s="9"/>
      <c r="AZ724" s="72"/>
      <c r="BA724" s="9"/>
      <c r="BB724" s="72"/>
      <c r="BC724" s="9"/>
      <c r="BD724" s="72"/>
      <c r="BE724" s="9"/>
      <c r="BF724" s="72"/>
      <c r="BG724" s="9"/>
      <c r="BH724" s="72"/>
      <c r="BI724" s="9"/>
      <c r="BJ724" s="72"/>
      <c r="BK724" s="9"/>
      <c r="BL724" s="72"/>
      <c r="BM724" s="9"/>
      <c r="BN724" s="72"/>
      <c r="BO724" s="163"/>
      <c r="BP724" s="72"/>
      <c r="BQ724" s="163"/>
      <c r="BR724" s="72"/>
      <c r="BS724" s="163"/>
      <c r="BT724" s="72"/>
      <c r="BU724" s="163"/>
      <c r="BV724" s="72"/>
      <c r="BW724" s="163"/>
      <c r="BX724" s="72"/>
      <c r="BY724" s="163"/>
      <c r="BZ724" s="72"/>
      <c r="CA724" s="163"/>
      <c r="CB724" s="72"/>
      <c r="CC724" s="163"/>
      <c r="CD724" s="72"/>
      <c r="CE724" s="163"/>
      <c r="CF724" s="72"/>
      <c r="CG724" s="163"/>
      <c r="CH724" s="72"/>
      <c r="CI724" s="163"/>
      <c r="CJ724" s="72"/>
      <c r="CK724" s="163"/>
      <c r="CL724" s="72"/>
      <c r="CM724" s="163"/>
      <c r="CN724" s="72"/>
      <c r="CO724" s="163"/>
      <c r="CP724" s="72"/>
      <c r="CQ724" s="163"/>
      <c r="CR724" s="72"/>
      <c r="CS724" s="163"/>
      <c r="CT724" s="72"/>
      <c r="CU724" s="163"/>
      <c r="CV724" s="72"/>
      <c r="CW724" s="163"/>
      <c r="CX724" s="72"/>
      <c r="CY724" s="163"/>
      <c r="CZ724" s="72"/>
      <c r="DA724" s="163"/>
      <c r="DB724" s="72"/>
      <c r="DC724" s="163"/>
      <c r="DD724" s="72"/>
      <c r="DE724" s="163"/>
      <c r="DF724" s="72"/>
      <c r="DG724" s="163"/>
      <c r="DH724" s="72"/>
      <c r="DI724" s="163"/>
      <c r="DJ724" s="72"/>
      <c r="DK724" s="163"/>
      <c r="DL724" s="72"/>
      <c r="DM724" s="163"/>
      <c r="DN724" s="72"/>
      <c r="DO724" s="163"/>
      <c r="DP724" s="72"/>
      <c r="DQ724" s="163"/>
      <c r="DR724" s="72"/>
      <c r="DS724" s="163"/>
      <c r="DT724" s="72"/>
      <c r="DU724" s="163"/>
      <c r="DV724" s="72"/>
      <c r="DW724" s="9"/>
      <c r="DX724" s="72"/>
      <c r="DY724" s="9"/>
      <c r="DZ724" s="72"/>
      <c r="EA724" s="9"/>
      <c r="EB724" s="72"/>
      <c r="EC724" s="9"/>
      <c r="ED724" s="72"/>
      <c r="EE724" s="9"/>
      <c r="EF724" s="72"/>
      <c r="EG724" s="9"/>
      <c r="EH724" s="72"/>
      <c r="EI724" s="9"/>
      <c r="EJ724" s="72"/>
      <c r="EK724" s="9"/>
      <c r="EL724" s="72"/>
      <c r="EM724" s="9"/>
      <c r="EN724" s="72"/>
      <c r="EO724" s="9"/>
      <c r="EP724" s="72"/>
      <c r="EQ724" s="9"/>
      <c r="ER724" s="72"/>
      <c r="ES724" s="9"/>
      <c r="ET724" s="72"/>
      <c r="EU724" s="9"/>
      <c r="EV724" s="72"/>
      <c r="EW724" s="9"/>
      <c r="EX724" s="72"/>
      <c r="EY724" s="72"/>
      <c r="EZ724" s="296"/>
      <c r="FA724" s="72"/>
      <c r="FB724" s="9"/>
      <c r="FC724" s="11"/>
      <c r="FD724" s="9"/>
      <c r="FE724" s="72"/>
      <c r="FF724" s="16"/>
      <c r="FG724" s="72"/>
      <c r="FH724" s="16"/>
      <c r="FI724" s="72"/>
      <c r="FJ724" s="16"/>
      <c r="FK724" s="72"/>
      <c r="FL724" s="16"/>
      <c r="FM724" s="72"/>
      <c r="FN724" s="16"/>
      <c r="FO724" s="72"/>
      <c r="FP724" s="9"/>
      <c r="FQ724" s="72"/>
      <c r="FR724" s="9"/>
      <c r="FS724" s="72"/>
      <c r="FT724" s="9"/>
      <c r="FU724" s="72"/>
      <c r="FV724" s="9"/>
      <c r="FW724" s="72"/>
      <c r="FX724" s="9"/>
      <c r="FY724" s="72"/>
      <c r="FZ724" s="9"/>
      <c r="GA724" s="72"/>
      <c r="GB724" s="9"/>
      <c r="GC724" s="72"/>
      <c r="GD724" s="9"/>
      <c r="GE724" s="72"/>
      <c r="GF724" s="9"/>
      <c r="GG724" s="72"/>
      <c r="GH724" s="9"/>
      <c r="GI724" s="72"/>
      <c r="GJ724" s="9"/>
      <c r="GK724" s="72"/>
      <c r="GL724" s="9"/>
      <c r="GM724" s="72"/>
      <c r="GN724" s="9"/>
      <c r="GO724" s="72"/>
      <c r="GP724" s="9"/>
      <c r="GQ724" s="72"/>
      <c r="GR724" s="9"/>
      <c r="GS724" s="72"/>
      <c r="GT724" s="9"/>
      <c r="GU724" s="72"/>
      <c r="GV724" s="9"/>
      <c r="GW724" s="72"/>
      <c r="GX724" s="9"/>
      <c r="GY724" s="72"/>
      <c r="GZ724" s="72"/>
      <c r="HA724" s="72"/>
      <c r="HB724" s="72"/>
      <c r="HC724"/>
      <c r="HD724"/>
      <c r="HE724"/>
      <c r="HF724"/>
      <c r="HG724"/>
      <c r="HH724"/>
      <c r="HI724" s="2"/>
    </row>
    <row r="725" spans="2:217" s="295" customFormat="1" ht="12.75" customHeight="1" collapsed="1" x14ac:dyDescent="0.2">
      <c r="B725" s="291" t="s">
        <v>821</v>
      </c>
      <c r="C725" s="292"/>
      <c r="D725" s="293"/>
      <c r="E725" s="292"/>
      <c r="F725" s="293"/>
      <c r="G725" s="292"/>
      <c r="H725" s="293"/>
      <c r="I725" s="292"/>
      <c r="J725" s="293"/>
      <c r="K725" s="292"/>
      <c r="L725" s="293"/>
      <c r="M725" s="292"/>
      <c r="N725" s="293"/>
      <c r="O725" s="292"/>
      <c r="P725" s="293"/>
      <c r="Q725" s="292"/>
      <c r="R725" s="293"/>
      <c r="S725" s="292"/>
      <c r="T725" s="293"/>
      <c r="U725" s="292"/>
      <c r="V725" s="293"/>
      <c r="W725" s="292"/>
      <c r="X725" s="293"/>
      <c r="Y725" s="292"/>
      <c r="Z725" s="293"/>
      <c r="AA725" s="292"/>
      <c r="AB725" s="293"/>
      <c r="AC725" s="292"/>
      <c r="AD725" s="293"/>
      <c r="AE725" s="292"/>
      <c r="AF725" s="293"/>
      <c r="AG725" s="292"/>
      <c r="AH725" s="293"/>
      <c r="AI725" s="292"/>
      <c r="AJ725" s="293"/>
      <c r="AK725" s="292"/>
      <c r="AL725" s="293"/>
      <c r="AM725" s="292"/>
      <c r="AN725" s="293"/>
      <c r="AO725" s="292"/>
      <c r="AP725" s="293"/>
      <c r="AQ725" s="292"/>
      <c r="AR725" s="293"/>
      <c r="AS725" s="292"/>
      <c r="AT725" s="293"/>
      <c r="AU725" s="292"/>
      <c r="AV725" s="293"/>
      <c r="AW725" s="292"/>
      <c r="AX725" s="293"/>
      <c r="AY725" s="292"/>
      <c r="AZ725" s="293"/>
      <c r="BA725" s="292"/>
      <c r="BB725" s="293"/>
      <c r="BC725" s="292"/>
      <c r="BD725" s="293"/>
      <c r="BE725" s="292"/>
      <c r="BF725" s="293"/>
      <c r="BG725" s="292"/>
      <c r="BH725" s="293"/>
      <c r="BI725" s="292"/>
      <c r="BJ725" s="293"/>
      <c r="BK725" s="292"/>
      <c r="BL725" s="293"/>
      <c r="BM725" s="292"/>
      <c r="BN725" s="293"/>
      <c r="BO725" s="292"/>
      <c r="BP725" s="293"/>
      <c r="BQ725" s="294"/>
      <c r="BR725" s="294"/>
      <c r="BS725" s="294"/>
      <c r="BT725" s="293"/>
      <c r="BU725" s="294"/>
      <c r="BV725" s="293"/>
      <c r="BW725" s="294"/>
      <c r="BX725" s="293"/>
      <c r="BY725" s="294"/>
      <c r="BZ725" s="293"/>
      <c r="CA725" s="294"/>
      <c r="CB725" s="293"/>
      <c r="CC725" s="294"/>
      <c r="CD725" s="293"/>
      <c r="CE725" s="294"/>
      <c r="CF725" s="293"/>
      <c r="CG725" s="294"/>
      <c r="CH725" s="293"/>
      <c r="CI725" s="294"/>
      <c r="CJ725" s="293"/>
      <c r="CK725" s="294"/>
      <c r="CL725" s="293"/>
      <c r="CM725" s="294"/>
      <c r="CN725" s="293"/>
      <c r="CO725" s="294"/>
      <c r="CP725" s="293"/>
      <c r="CQ725" s="294"/>
      <c r="CR725" s="293"/>
      <c r="CS725" s="294"/>
      <c r="CT725" s="293"/>
      <c r="CU725" s="294"/>
      <c r="CV725" s="293"/>
      <c r="CW725" s="294"/>
      <c r="CX725" s="293"/>
      <c r="CY725" s="294"/>
      <c r="CZ725" s="293"/>
      <c r="DA725" s="294"/>
      <c r="DB725" s="293"/>
      <c r="DC725" s="294"/>
      <c r="DD725" s="293"/>
      <c r="DE725" s="294"/>
      <c r="DF725" s="293"/>
      <c r="DG725" s="294"/>
      <c r="DH725" s="293"/>
      <c r="DI725" s="294"/>
      <c r="DJ725" s="293"/>
      <c r="DK725" s="294"/>
      <c r="DL725" s="293"/>
      <c r="DM725" s="294"/>
      <c r="DN725" s="293"/>
      <c r="DO725" s="294"/>
      <c r="DP725" s="293"/>
      <c r="DQ725" s="294"/>
      <c r="DR725" s="293"/>
      <c r="DS725" s="294"/>
      <c r="DT725" s="293"/>
      <c r="DU725" s="294"/>
      <c r="DV725" s="293"/>
      <c r="DW725" s="292"/>
      <c r="DX725" s="293"/>
      <c r="DY725" s="292"/>
      <c r="DZ725" s="293"/>
      <c r="EA725" s="292"/>
      <c r="EB725" s="293"/>
      <c r="EC725" s="292"/>
      <c r="ED725" s="293"/>
      <c r="EE725" s="292"/>
      <c r="EF725" s="293"/>
      <c r="EG725" s="292"/>
      <c r="EH725" s="293"/>
      <c r="EI725" s="292"/>
      <c r="EJ725" s="293"/>
      <c r="EK725" s="292"/>
      <c r="EL725" s="293"/>
      <c r="EM725" s="292"/>
      <c r="EN725" s="293"/>
      <c r="EO725" s="292"/>
      <c r="EP725" s="293"/>
      <c r="EQ725" s="292"/>
      <c r="ER725" s="293"/>
      <c r="ES725" s="292"/>
      <c r="ET725" s="293"/>
      <c r="EU725" s="292"/>
      <c r="EV725" s="293"/>
      <c r="EW725" s="292"/>
      <c r="EX725" s="293"/>
      <c r="EY725" s="293"/>
      <c r="EZ725" s="299"/>
      <c r="FA725" s="293"/>
      <c r="FB725" s="292"/>
      <c r="FC725" s="293"/>
      <c r="FD725" s="292"/>
      <c r="FE725" s="293"/>
      <c r="FF725" s="292"/>
      <c r="FG725" s="293"/>
      <c r="FH725" s="292"/>
      <c r="FI725" s="293"/>
      <c r="FJ725" s="292"/>
      <c r="FK725" s="293"/>
      <c r="FL725" s="292"/>
      <c r="FM725" s="293"/>
      <c r="FN725" s="292"/>
      <c r="FO725" s="293"/>
      <c r="FP725" s="292"/>
      <c r="FQ725" s="293"/>
      <c r="FR725" s="294"/>
      <c r="FS725" s="293"/>
      <c r="FT725" s="294"/>
      <c r="FU725" s="293"/>
      <c r="FV725" s="294"/>
      <c r="FW725" s="293"/>
      <c r="FX725" s="294"/>
      <c r="FY725" s="293"/>
      <c r="FZ725" s="294"/>
      <c r="GA725" s="293"/>
      <c r="GB725" s="294"/>
      <c r="GC725" s="293"/>
      <c r="GD725" s="294"/>
      <c r="GE725" s="293"/>
      <c r="GF725" s="294"/>
      <c r="GG725" s="293"/>
      <c r="GH725" s="294"/>
      <c r="GI725" s="293"/>
      <c r="GJ725" s="294"/>
      <c r="GK725" s="293"/>
      <c r="GL725" s="294"/>
      <c r="GM725" s="293"/>
      <c r="GN725" s="294"/>
      <c r="GO725" s="293"/>
      <c r="GP725" s="294"/>
      <c r="GQ725" s="293"/>
      <c r="GR725" s="292"/>
      <c r="GS725" s="293"/>
      <c r="GT725" s="292"/>
      <c r="GU725" s="293"/>
      <c r="GV725" s="292"/>
      <c r="GW725" s="293"/>
      <c r="GX725" s="292"/>
      <c r="GY725" s="293"/>
      <c r="GZ725" s="293"/>
      <c r="HA725" s="293"/>
      <c r="HB725" s="293"/>
      <c r="HC725"/>
      <c r="HD725"/>
      <c r="HE725"/>
      <c r="HF725"/>
      <c r="HG725"/>
      <c r="HH725"/>
      <c r="HI725" s="290"/>
    </row>
    <row r="726" spans="2:217" s="3" customFormat="1" ht="12.75" customHeight="1" x14ac:dyDescent="0.2">
      <c r="B726" s="10"/>
      <c r="C726" s="9"/>
      <c r="D726" s="11"/>
      <c r="E726" s="9"/>
      <c r="F726" s="11"/>
      <c r="G726" s="9"/>
      <c r="H726" s="11"/>
      <c r="I726" s="9"/>
      <c r="J726" s="11"/>
      <c r="K726" s="9"/>
      <c r="L726" s="11"/>
      <c r="M726" s="9"/>
      <c r="N726" s="11"/>
      <c r="O726" s="9"/>
      <c r="P726" s="11"/>
      <c r="Q726" s="9"/>
      <c r="R726" s="11"/>
      <c r="S726" s="9"/>
      <c r="T726" s="11"/>
      <c r="U726" s="9"/>
      <c r="V726" s="11"/>
      <c r="W726" s="9"/>
      <c r="X726" s="11"/>
      <c r="Y726" s="9"/>
      <c r="Z726" s="11"/>
      <c r="AA726" s="9"/>
      <c r="AB726" s="11"/>
      <c r="AC726" s="9"/>
      <c r="AD726" s="11"/>
      <c r="AE726" s="9"/>
      <c r="AF726" s="11"/>
      <c r="AG726" s="9"/>
      <c r="AH726" s="11"/>
      <c r="AI726" s="9"/>
      <c r="AJ726" s="11"/>
      <c r="AK726" s="9"/>
      <c r="AL726" s="11"/>
      <c r="AM726" s="9"/>
      <c r="AN726" s="11"/>
      <c r="AO726" s="9"/>
      <c r="AP726" s="11"/>
      <c r="AQ726" s="9"/>
      <c r="AR726" s="11"/>
      <c r="AS726" s="9"/>
      <c r="AT726" s="11"/>
      <c r="AU726" s="9"/>
      <c r="AV726" s="11"/>
      <c r="AW726" s="9"/>
      <c r="AX726" s="11"/>
      <c r="AY726" s="9"/>
      <c r="AZ726" s="11"/>
      <c r="BA726" s="9"/>
      <c r="BB726" s="11"/>
      <c r="BC726" s="9"/>
      <c r="BD726" s="11"/>
      <c r="BE726" s="9"/>
      <c r="BF726" s="11"/>
      <c r="BG726" s="9"/>
      <c r="BH726" s="11"/>
      <c r="BI726" s="9"/>
      <c r="BJ726" s="11"/>
      <c r="BK726" s="9"/>
      <c r="BL726" s="11"/>
      <c r="BM726" s="9"/>
      <c r="BN726" s="11"/>
      <c r="BO726" s="9"/>
      <c r="BP726" s="11"/>
      <c r="BQ726" s="9"/>
      <c r="BR726" s="11"/>
      <c r="BS726" s="9"/>
      <c r="BT726" s="11"/>
      <c r="BU726" s="9"/>
      <c r="BV726" s="11"/>
      <c r="BW726" s="9"/>
      <c r="BX726" s="11"/>
      <c r="BY726" s="9"/>
      <c r="BZ726" s="11"/>
      <c r="CA726" s="9"/>
      <c r="CB726" s="11"/>
      <c r="CC726" s="9"/>
      <c r="CD726" s="11"/>
      <c r="CE726" s="9"/>
      <c r="CF726" s="11"/>
      <c r="CG726" s="9"/>
      <c r="CH726" s="11"/>
      <c r="CI726" s="9"/>
      <c r="CJ726" s="11"/>
      <c r="CK726" s="9"/>
      <c r="CL726" s="11"/>
      <c r="CM726" s="9"/>
      <c r="CN726" s="11"/>
      <c r="CO726" s="9"/>
      <c r="CP726" s="11"/>
      <c r="CQ726" s="9"/>
      <c r="CR726" s="11"/>
      <c r="CS726" s="9"/>
      <c r="CT726" s="11"/>
      <c r="CU726" s="9"/>
      <c r="CV726" s="11"/>
      <c r="CW726" s="9"/>
      <c r="CX726" s="11"/>
      <c r="CY726" s="9"/>
      <c r="CZ726" s="11"/>
      <c r="DA726" s="9"/>
      <c r="DB726" s="11"/>
      <c r="DC726" s="9"/>
      <c r="DD726" s="11"/>
      <c r="DE726" s="9"/>
      <c r="DF726" s="11"/>
      <c r="DG726" s="9"/>
      <c r="DH726" s="11"/>
      <c r="DI726" s="9"/>
      <c r="DJ726" s="11"/>
      <c r="DK726" s="9"/>
      <c r="DL726" s="11"/>
      <c r="DM726" s="9"/>
      <c r="DN726" s="11"/>
      <c r="DO726" s="9"/>
      <c r="DP726" s="11"/>
      <c r="DQ726" s="9"/>
      <c r="DR726" s="11"/>
      <c r="DS726" s="9"/>
      <c r="DT726" s="11"/>
      <c r="DU726" s="9"/>
      <c r="DV726" s="11"/>
      <c r="DW726" s="9"/>
      <c r="DX726" s="11"/>
      <c r="DY726" s="9"/>
      <c r="DZ726" s="11"/>
      <c r="EA726" s="9"/>
      <c r="EB726" s="11"/>
      <c r="EC726" s="9"/>
      <c r="ED726" s="11"/>
      <c r="EE726" s="9"/>
      <c r="EF726" s="11"/>
      <c r="EG726" s="9"/>
      <c r="EH726" s="11"/>
      <c r="EI726" s="9"/>
      <c r="EJ726" s="11"/>
      <c r="EK726" s="9"/>
      <c r="EL726" s="11"/>
      <c r="EM726" s="9"/>
      <c r="EN726" s="11"/>
      <c r="EO726" s="9"/>
      <c r="EP726" s="11"/>
      <c r="EQ726" s="9"/>
      <c r="ER726" s="11"/>
      <c r="ES726" s="9"/>
      <c r="ET726" s="11"/>
      <c r="EU726" s="9"/>
      <c r="EV726" s="11"/>
      <c r="EW726" s="9"/>
      <c r="EX726" s="11"/>
      <c r="EY726" s="11"/>
      <c r="EZ726" s="296"/>
      <c r="FA726" s="11"/>
      <c r="FB726" s="9"/>
      <c r="FC726" s="11"/>
      <c r="FD726" s="9"/>
      <c r="FE726" s="11"/>
      <c r="FF726" s="16"/>
      <c r="FG726" s="11"/>
      <c r="FH726" s="16"/>
      <c r="FI726" s="11"/>
      <c r="FJ726" s="16"/>
      <c r="FK726" s="11"/>
      <c r="FL726" s="16"/>
      <c r="FM726" s="11"/>
      <c r="FN726" s="16"/>
      <c r="FO726" s="11"/>
      <c r="FP726" s="9"/>
      <c r="FQ726" s="11"/>
      <c r="FR726" s="9"/>
      <c r="FS726" s="11"/>
      <c r="FT726" s="9"/>
      <c r="FU726" s="11"/>
      <c r="FV726" s="9"/>
      <c r="FW726" s="11"/>
      <c r="FX726" s="9"/>
      <c r="FY726" s="11"/>
      <c r="FZ726" s="9"/>
      <c r="GA726" s="11"/>
      <c r="GB726" s="9"/>
      <c r="GC726" s="11"/>
      <c r="GD726" s="9"/>
      <c r="GE726" s="11"/>
      <c r="GF726" s="9"/>
      <c r="GG726" s="11"/>
      <c r="GH726" s="9"/>
      <c r="GI726" s="11"/>
      <c r="GJ726" s="9"/>
      <c r="GK726" s="11"/>
      <c r="GL726" s="9"/>
      <c r="GM726" s="11"/>
      <c r="GN726" s="9"/>
      <c r="GO726" s="11"/>
      <c r="GP726" s="9"/>
      <c r="GQ726" s="11"/>
      <c r="GR726" s="9"/>
      <c r="GS726" s="11"/>
      <c r="GT726" s="9"/>
      <c r="GU726" s="11"/>
      <c r="GV726" s="9"/>
      <c r="GW726" s="11"/>
      <c r="GX726" s="9"/>
      <c r="GY726" s="11"/>
      <c r="GZ726" s="11"/>
      <c r="HA726" s="11"/>
      <c r="HB726" s="11"/>
      <c r="HC726"/>
      <c r="HD726"/>
      <c r="HE726"/>
      <c r="HF726"/>
      <c r="HG726"/>
      <c r="HH726"/>
      <c r="HI726" s="2"/>
    </row>
    <row r="727" spans="2:217" s="269" customFormat="1" ht="12.75" hidden="1" customHeight="1" outlineLevel="1" x14ac:dyDescent="0.2">
      <c r="B727" s="270" t="s">
        <v>375</v>
      </c>
      <c r="C727" s="271"/>
      <c r="D727" s="272"/>
      <c r="E727" s="271"/>
      <c r="F727" s="272"/>
      <c r="G727" s="271"/>
      <c r="H727" s="272"/>
      <c r="I727" s="271"/>
      <c r="J727" s="272"/>
      <c r="K727" s="271"/>
      <c r="L727" s="272"/>
      <c r="M727" s="271"/>
      <c r="N727" s="272"/>
      <c r="O727" s="271"/>
      <c r="P727" s="272"/>
      <c r="Q727" s="271"/>
      <c r="R727" s="272"/>
      <c r="S727" s="271"/>
      <c r="T727" s="272"/>
      <c r="U727" s="271"/>
      <c r="V727" s="272"/>
      <c r="W727" s="271"/>
      <c r="X727" s="272"/>
      <c r="Y727" s="271"/>
      <c r="Z727" s="272"/>
      <c r="AA727" s="271"/>
      <c r="AB727" s="272"/>
      <c r="AC727" s="271"/>
      <c r="AD727" s="272"/>
      <c r="AE727" s="271"/>
      <c r="AF727" s="272"/>
      <c r="AG727" s="271"/>
      <c r="AH727" s="272"/>
      <c r="AI727" s="271"/>
      <c r="AJ727" s="272"/>
      <c r="AK727" s="271"/>
      <c r="AL727" s="272"/>
      <c r="AM727" s="271"/>
      <c r="AN727" s="272"/>
      <c r="AO727" s="271"/>
      <c r="AP727" s="272"/>
      <c r="AQ727" s="271"/>
      <c r="AR727" s="272"/>
      <c r="AS727" s="271"/>
      <c r="AT727" s="272"/>
      <c r="AU727" s="271"/>
      <c r="AV727" s="272"/>
      <c r="AW727" s="271"/>
      <c r="AX727" s="272"/>
      <c r="AY727" s="271"/>
      <c r="AZ727" s="272"/>
      <c r="BA727" s="271"/>
      <c r="BB727" s="272"/>
      <c r="BC727" s="271"/>
      <c r="BD727" s="272"/>
      <c r="BE727" s="271"/>
      <c r="BF727" s="272"/>
      <c r="BG727" s="271"/>
      <c r="BH727" s="272"/>
      <c r="BI727" s="271"/>
      <c r="BJ727" s="272"/>
      <c r="BK727" s="271"/>
      <c r="BL727" s="272"/>
      <c r="BM727" s="271"/>
      <c r="BN727" s="272"/>
      <c r="BO727" s="271"/>
      <c r="BP727" s="272"/>
      <c r="BQ727" s="271"/>
      <c r="BR727" s="272"/>
      <c r="BS727" s="271"/>
      <c r="BT727" s="272"/>
      <c r="BU727" s="271"/>
      <c r="BV727" s="272"/>
      <c r="BW727" s="271"/>
      <c r="BX727" s="272"/>
      <c r="BY727" s="271"/>
      <c r="BZ727" s="272"/>
      <c r="CA727" s="271"/>
      <c r="CB727" s="272"/>
      <c r="CC727" s="271"/>
      <c r="CD727" s="272"/>
      <c r="CE727" s="271"/>
      <c r="CF727" s="272"/>
      <c r="CG727" s="271"/>
      <c r="CH727" s="272"/>
      <c r="CI727" s="271"/>
      <c r="CJ727" s="272"/>
      <c r="CK727" s="271"/>
      <c r="CL727" s="272"/>
      <c r="CM727" s="271"/>
      <c r="CN727" s="272"/>
      <c r="CO727" s="271"/>
      <c r="CP727" s="272"/>
      <c r="CQ727" s="271"/>
      <c r="CR727" s="272"/>
      <c r="CS727" s="271"/>
      <c r="CT727" s="272"/>
      <c r="CU727" s="271"/>
      <c r="CV727" s="272"/>
      <c r="CW727" s="271"/>
      <c r="CX727" s="272"/>
      <c r="CY727" s="271"/>
      <c r="CZ727" s="272"/>
      <c r="DA727" s="271"/>
      <c r="DB727" s="272"/>
      <c r="DC727" s="271"/>
      <c r="DD727" s="272"/>
      <c r="DE727" s="271"/>
      <c r="DF727" s="272"/>
      <c r="DG727" s="271"/>
      <c r="DH727" s="272"/>
      <c r="DI727" s="271"/>
      <c r="DJ727" s="272"/>
      <c r="DK727" s="271"/>
      <c r="DL727" s="272"/>
      <c r="DM727" s="271"/>
      <c r="DN727" s="272"/>
      <c r="DO727" s="271"/>
      <c r="DP727" s="272"/>
      <c r="DQ727" s="271"/>
      <c r="DR727" s="272"/>
      <c r="DS727" s="271"/>
      <c r="DT727" s="272"/>
      <c r="DU727" s="271"/>
      <c r="DV727" s="272"/>
      <c r="DW727" s="271"/>
      <c r="DX727" s="272"/>
      <c r="DY727" s="271"/>
      <c r="DZ727" s="272"/>
      <c r="EA727" s="271"/>
      <c r="EB727" s="272"/>
      <c r="EC727" s="271"/>
      <c r="ED727" s="272"/>
      <c r="EE727" s="271"/>
      <c r="EF727" s="272"/>
      <c r="EG727" s="271"/>
      <c r="EH727" s="272"/>
      <c r="EI727" s="271"/>
      <c r="EJ727" s="272"/>
      <c r="EK727" s="271"/>
      <c r="EL727" s="272"/>
      <c r="EM727" s="271"/>
      <c r="EN727" s="272"/>
      <c r="EO727" s="271"/>
      <c r="EP727" s="272"/>
      <c r="EQ727" s="271"/>
      <c r="ER727" s="272"/>
      <c r="ES727" s="271"/>
      <c r="ET727" s="272"/>
      <c r="EU727" s="271"/>
      <c r="EV727" s="272"/>
      <c r="EW727" s="271"/>
      <c r="EX727" s="272"/>
      <c r="EY727" s="272"/>
      <c r="EZ727" s="296"/>
      <c r="FA727" s="272"/>
      <c r="FB727" s="271"/>
      <c r="FC727" s="272"/>
      <c r="FD727" s="271"/>
      <c r="FE727" s="272"/>
      <c r="FF727" s="274"/>
      <c r="FG727" s="272"/>
      <c r="FH727" s="274"/>
      <c r="FI727" s="272"/>
      <c r="FJ727" s="274"/>
      <c r="FK727" s="272"/>
      <c r="FL727" s="274"/>
      <c r="FM727" s="272"/>
      <c r="FN727" s="274"/>
      <c r="FO727" s="272"/>
      <c r="FP727" s="271"/>
      <c r="FQ727" s="272"/>
      <c r="FR727" s="271"/>
      <c r="FS727" s="272"/>
      <c r="FT727" s="271"/>
      <c r="FU727" s="272"/>
      <c r="FV727" s="271"/>
      <c r="FW727" s="272"/>
      <c r="FX727" s="271"/>
      <c r="FY727" s="272"/>
      <c r="FZ727" s="271"/>
      <c r="GA727" s="272"/>
      <c r="GB727" s="271"/>
      <c r="GC727" s="272"/>
      <c r="GD727" s="271"/>
      <c r="GE727" s="272"/>
      <c r="GF727" s="271"/>
      <c r="GG727" s="272"/>
      <c r="GH727" s="271"/>
      <c r="GI727" s="272"/>
      <c r="GJ727" s="271"/>
      <c r="GK727" s="272"/>
      <c r="GL727" s="271"/>
      <c r="GM727" s="272"/>
      <c r="GN727" s="271"/>
      <c r="GO727" s="272"/>
      <c r="GP727" s="271"/>
      <c r="GQ727" s="272"/>
      <c r="GR727" s="271"/>
      <c r="GS727" s="272"/>
      <c r="GT727" s="271"/>
      <c r="GU727" s="272"/>
      <c r="GV727" s="271"/>
      <c r="GW727" s="272"/>
      <c r="GX727" s="271"/>
      <c r="GY727" s="272"/>
      <c r="GZ727" s="272"/>
      <c r="HA727" s="272"/>
      <c r="HB727" s="272"/>
      <c r="HC727"/>
      <c r="HD727"/>
      <c r="HE727"/>
      <c r="HF727"/>
      <c r="HG727"/>
      <c r="HH727"/>
      <c r="HI727" s="273"/>
    </row>
    <row r="728" spans="2:217" s="269" customFormat="1" ht="12.75" hidden="1" customHeight="1" outlineLevel="1" x14ac:dyDescent="0.2">
      <c r="B728" s="275" t="s">
        <v>431</v>
      </c>
      <c r="C728" s="276"/>
      <c r="D728" s="272"/>
      <c r="E728" s="276"/>
      <c r="F728" s="272"/>
      <c r="G728" s="276"/>
      <c r="H728" s="272"/>
      <c r="I728" s="276"/>
      <c r="J728" s="272"/>
      <c r="K728" s="276"/>
      <c r="L728" s="223" t="str">
        <f>IF(ISERROR(K728/C728),"NA",IF(OR(K728/C728&gt;2,K728/C728&lt;0.5),"NM",K728/C728*100-100))</f>
        <v>NA</v>
      </c>
      <c r="M728" s="276"/>
      <c r="N728" s="223" t="str">
        <f>IF(ISERROR(M728/E728),"NA",IF(OR(M728/E728&gt;2,M728/E728&lt;0.5),"NM",M728/E728*100-100))</f>
        <v>NA</v>
      </c>
      <c r="O728" s="276"/>
      <c r="P728" s="223" t="str">
        <f>IF(ISERROR(O728/G728),"NA",IF(OR(O728/G728&gt;2,O728/G728&lt;0.5),"NM",O728/G728*100-100))</f>
        <v>NA</v>
      </c>
      <c r="Q728" s="276">
        <v>3661</v>
      </c>
      <c r="R728" s="223" t="str">
        <f>IF(ISERROR(Q728/I728),"NA",IF(OR(Q728/I728&gt;2,Q728/I728&lt;0.5),"NM",Q728/I728*100-100))</f>
        <v>NA</v>
      </c>
      <c r="S728" s="276" t="s">
        <v>476</v>
      </c>
      <c r="T728" s="223" t="str">
        <f>IF(ISERROR(S728/K728),"NA",IF(OR(S728/K728&gt;2,S728/K728&lt;0.5),"NM",S728/K728*100-100))</f>
        <v>NA</v>
      </c>
      <c r="U728" s="276">
        <v>3418</v>
      </c>
      <c r="V728" s="223" t="str">
        <f>IF(ISERROR(U728/M728),"NA",IF(OR(U728/M728&gt;2,U728/M728&lt;0.5),"NM",U728/M728*100-100))</f>
        <v>NA</v>
      </c>
      <c r="W728" s="276">
        <v>3285</v>
      </c>
      <c r="X728" s="223" t="str">
        <f>IF(ISERROR(W728/O728),"NA",IF(OR(W728/O728&gt;2,W728/O728&lt;0.5),"NM",W728/O728*100-100))</f>
        <v>NA</v>
      </c>
      <c r="Y728" s="276">
        <v>3128</v>
      </c>
      <c r="Z728" s="223">
        <f>IF(ISERROR(Y728/Q728),"NA",IF(OR(Y728/Q728&gt;2,Y728/Q728&lt;0.5),"NM",Y728/Q728*100-100))</f>
        <v>-14.558863698443048</v>
      </c>
      <c r="AA728" s="276">
        <v>3738</v>
      </c>
      <c r="AB728" s="223" t="str">
        <f>IF(ISERROR(AA728/S728),"NA",IF(OR(AA728/S728&gt;2,AA728/S728&lt;0.5),"NM",AA728/S728*100-100))</f>
        <v>NA</v>
      </c>
      <c r="AC728" s="276">
        <v>3417</v>
      </c>
      <c r="AD728" s="223">
        <f>IF(ISERROR(AC728/U728),"NA",IF(OR(AC728/U728&gt;2,AC728/U728&lt;0.5),"NM",AC728/U728*100-100))</f>
        <v>-2.925687536571786E-2</v>
      </c>
      <c r="AE728" s="276">
        <v>3458</v>
      </c>
      <c r="AF728" s="223">
        <f>IF(ISERROR(AE728/W728),"NA",IF(OR(AE728/W728&gt;2,AE728/W728&lt;0.5),"NM",AE728/W728*100-100))</f>
        <v>5.2663622526636118</v>
      </c>
      <c r="AG728" s="276">
        <v>3778</v>
      </c>
      <c r="AH728" s="223">
        <f>IF(ISERROR(AG728/Y728),"NA",IF(OR(AG728/Y728&gt;2,AG728/Y728&lt;0.5),"NM",AG728/Y728*100-100))</f>
        <v>20.780051150895133</v>
      </c>
      <c r="AI728" s="276">
        <v>3777</v>
      </c>
      <c r="AJ728" s="223">
        <f>IF(ISERROR(AI728/AA728),"NA",IF(OR(AI728/AA728&gt;2,AI728/AA728&lt;0.5),"NM",AI728/AA728*100-100))</f>
        <v>1.0433386837881216</v>
      </c>
      <c r="AK728" s="276">
        <v>5787</v>
      </c>
      <c r="AL728" s="223">
        <f>IF(ISERROR(AK728/AC728),"NA",IF(OR(AK728/AC728&gt;2,AK728/AC728&lt;0.5),"NM",AK728/AC728*100-100))</f>
        <v>69.359086918349419</v>
      </c>
      <c r="AM728" s="276">
        <v>5830</v>
      </c>
      <c r="AN728" s="223">
        <f>IF(ISERROR(AM728/AE728),"NA",IF(OR(AM728/AE728&gt;2,AM728/AE728&lt;0.5),"NM",AM728/AE728*100-100))</f>
        <v>68.594563331405425</v>
      </c>
      <c r="AO728" s="276">
        <v>5688</v>
      </c>
      <c r="AP728" s="223">
        <f>IF(ISERROR(AO728/AG728),"NA",IF(OR(AO728/AG728&gt;2,AO728/AG728&lt;0.5),"NM",AO728/AG728*100-100))</f>
        <v>50.555849655902591</v>
      </c>
      <c r="AQ728" s="276">
        <v>5736</v>
      </c>
      <c r="AR728" s="223">
        <f>IF(ISERROR(AQ728/AI728),"NA",IF(OR(AQ728/AI728&gt;2,AQ728/AI728&lt;0.5),"NM",AQ728/AI728*100-100))</f>
        <v>51.86656076250992</v>
      </c>
      <c r="AS728" s="276">
        <v>5670</v>
      </c>
      <c r="AT728" s="223">
        <f>IF(ISERROR(AS728/AK728),"NA",IF(OR(AS728/AK728&gt;2,AS728/AK728&lt;0.5),"NM",AS728/AK728*100-100))</f>
        <v>-2.0217729393468176</v>
      </c>
      <c r="AU728" s="276">
        <v>5694</v>
      </c>
      <c r="AV728" s="223">
        <f>IF(ISERROR(AU728/AM728),"NA",IF(OR(AU728/AM728&gt;2,AU728/AM728&lt;0.5),"NM",AU728/AM728*100-100))</f>
        <v>-2.3327615780445967</v>
      </c>
      <c r="AW728" s="276">
        <v>5949</v>
      </c>
      <c r="AX728" s="223">
        <f>IF(ISERROR(AW728/AO728),"NA",IF(OR(AW728/AO728&gt;2,AW728/AO728&lt;0.5),"NM",AW728/AO728*100-100))</f>
        <v>4.5886075949367182</v>
      </c>
      <c r="AY728" s="276">
        <v>5938</v>
      </c>
      <c r="AZ728" s="223">
        <f>IF(ISERROR(AY728/AQ728),"NA",IF(OR(AY728/AQ728&gt;2,AY728/AQ728&lt;0.5),"NM",AY728/AQ728*100-100))</f>
        <v>3.521617852161782</v>
      </c>
      <c r="BA728" s="276">
        <v>5964</v>
      </c>
      <c r="BB728" s="223">
        <f>IF(ISERROR(BA728/AS728),"NA",IF(OR(BA728/AS728&gt;2,BA728/AS728&lt;0.5),"NM",BA728/AS728*100-100))</f>
        <v>5.1851851851851762</v>
      </c>
      <c r="BC728" s="276">
        <v>6151</v>
      </c>
      <c r="BD728" s="223">
        <f>IF(ISERROR(BC728/AU728),"NA",IF(OR(BC728/AU728&gt;2,BC728/AU728&lt;0.5),"NM",BC728/AU728*100-100))</f>
        <v>8.0259922725676205</v>
      </c>
      <c r="BE728" s="276">
        <v>6248</v>
      </c>
      <c r="BF728" s="223">
        <f>IF(ISERROR(BE728/AW728),"NA",IF(OR(BE728/AW728&gt;2,BE728/AW728&lt;0.5),"NM",BE728/AW728*100-100))</f>
        <v>5.0260547991259017</v>
      </c>
      <c r="BG728" s="276">
        <v>6288</v>
      </c>
      <c r="BH728" s="223">
        <f>IF(ISERROR(BG728/AY728),"NA",IF(OR(BG728/AY728&gt;2,BG728/AY728&lt;0.5),"NM",BG728/AY728*100-100))</f>
        <v>5.8942404850117924</v>
      </c>
      <c r="BI728" s="276">
        <v>6095</v>
      </c>
      <c r="BJ728" s="223">
        <f>IF(ISERROR(BI728/BA728),"NA",IF(OR(BI728/BA728&gt;2,BI728/BA728&lt;0.5),"NM",BI728/BA728*100-100))</f>
        <v>2.1965124077800056</v>
      </c>
      <c r="BK728" s="276">
        <v>6036</v>
      </c>
      <c r="BL728" s="223">
        <f>IF(ISERROR(BK728/BC728),"NA",IF(OR(BK728/BC728&gt;2,BK728/BC728&lt;0.5),"NM",BK728/BC728*100-100))</f>
        <v>-1.8696146967972709</v>
      </c>
      <c r="BM728" s="276">
        <v>6219</v>
      </c>
      <c r="BN728" s="223">
        <f>IF(ISERROR(BM728/BE728),"NA",IF(OR(BM728/BE728&gt;2,BM728/BE728&lt;0.5),"NM",BM728/BE728*100-100))</f>
        <v>-0.4641485275288062</v>
      </c>
      <c r="BO728" s="276">
        <v>7276</v>
      </c>
      <c r="BP728" s="223">
        <f>IF(ISERROR(BO728/BG728),"NA",IF(OR(BO728/BG728&gt;2,BO728/BG728&lt;0.5),"NM",BO728/BG728*100-100))</f>
        <v>15.71246819338424</v>
      </c>
      <c r="BQ728" s="276">
        <v>7504</v>
      </c>
      <c r="BR728" s="223">
        <f>IF(ISERROR(BQ728/BI728),"NA",IF(OR(BQ728/BI728&gt;2,BQ728/BI728&lt;0.5),"NM",BQ728/BI728*100-100))</f>
        <v>23.117309269893354</v>
      </c>
      <c r="BS728" s="276">
        <v>7684</v>
      </c>
      <c r="BT728" s="223">
        <f>IF(ISERROR(BS728/BK728),"NA",IF(OR(BS728/BK728&gt;2,BS728/BK728&lt;0.5),"NM",BS728/BK728*100-100))</f>
        <v>27.302849569251151</v>
      </c>
      <c r="BU728" s="276">
        <v>9255</v>
      </c>
      <c r="BV728" s="223">
        <f>IF(ISERROR(BU728/BM728),"NA",IF(OR(BU728/BM728&gt;2,BU728/BM728&lt;0.5),"NM",BU728/BM728*100-100))</f>
        <v>48.818137964302935</v>
      </c>
      <c r="BW728" s="276">
        <v>9204</v>
      </c>
      <c r="BX728" s="223">
        <f>IF(ISERROR(BW728/BO728),"NA",IF(OR(BW728/BO728&gt;2,BW728/BO728&lt;0.5),"NM",BW728/BO728*100-100))</f>
        <v>26.498075865860372</v>
      </c>
      <c r="BY728" s="276">
        <v>9804</v>
      </c>
      <c r="BZ728" s="223">
        <f>IF(ISERROR(BY728/BQ728),"NA",IF(OR(BY728/BQ728&gt;2,BY728/BQ728&lt;0.5),"NM",BY728/BQ728*100-100))</f>
        <v>30.650319829424291</v>
      </c>
      <c r="CA728" s="276">
        <v>10150</v>
      </c>
      <c r="CB728" s="223">
        <f>IF(ISERROR(CA728/BS728),"NA",IF(OR(CA728/BS728&gt;2,CA728/BS728&lt;0.5),"NM",CA728/BS728*100-100))</f>
        <v>32.092660072878687</v>
      </c>
      <c r="CC728" s="276">
        <v>10612</v>
      </c>
      <c r="CD728" s="223">
        <f>IF(ISERROR(CC728/BU728),"NA",IF(OR(CC728/BU728&gt;2,CC728/BU728&lt;0.5),"NM",CC728/BU728*100-100))</f>
        <v>14.662344678552145</v>
      </c>
      <c r="CE728" s="276">
        <v>11091</v>
      </c>
      <c r="CF728" s="223">
        <f>IF(ISERROR(CE728/BW728),"NA",IF(OR(CE728/BW728&gt;2,CE728/BW728&lt;0.5),"NM",CE728/BW728*100-100))</f>
        <v>20.501955671447192</v>
      </c>
      <c r="CG728" s="276">
        <v>11091</v>
      </c>
      <c r="CH728" s="223">
        <f>IF(ISERROR(CG728/BY728),"NA",IF(OR(CG728/BY728&gt;2,CG728/BY728&lt;0.5),"NM",CG728/BY728*100-100))</f>
        <v>13.127294981640134</v>
      </c>
      <c r="CI728" s="276">
        <v>11091</v>
      </c>
      <c r="CJ728" s="223">
        <f>IF(ISERROR(CI728/CA728),"NA",IF(OR(CI728/CA728&gt;2,CI728/CA728&lt;0.5),"NM",CI728/CA728*100-100))</f>
        <v>9.2709359605911459</v>
      </c>
      <c r="CK728" s="276">
        <v>11091</v>
      </c>
      <c r="CL728" s="223">
        <f>IF(ISERROR(CK728/CC728),"NA",IF(OR(CK728/CC728&gt;2,CK728/CC728&lt;0.5),"NM",CK728/CC728*100-100))</f>
        <v>4.5137580098002275</v>
      </c>
      <c r="CM728" s="276"/>
      <c r="CN728" s="223"/>
      <c r="CO728" s="276"/>
      <c r="CP728" s="223"/>
      <c r="CQ728" s="276"/>
      <c r="CR728" s="223"/>
      <c r="CS728" s="276"/>
      <c r="CT728" s="223"/>
      <c r="CU728" s="276"/>
      <c r="CV728" s="223"/>
      <c r="CW728" s="276"/>
      <c r="CX728" s="223"/>
      <c r="CY728" s="276"/>
      <c r="CZ728" s="223"/>
      <c r="DA728" s="276"/>
      <c r="DB728" s="223"/>
      <c r="DC728" s="276"/>
      <c r="DD728" s="223"/>
      <c r="DE728" s="276"/>
      <c r="DF728" s="223"/>
      <c r="DG728" s="276"/>
      <c r="DH728" s="223"/>
      <c r="DI728" s="276"/>
      <c r="DJ728" s="223"/>
      <c r="DK728" s="276"/>
      <c r="DL728" s="223"/>
      <c r="DM728" s="276"/>
      <c r="DN728" s="223"/>
      <c r="DO728" s="276"/>
      <c r="DP728" s="223"/>
      <c r="DQ728" s="276"/>
      <c r="DR728" s="223"/>
      <c r="DS728" s="276"/>
      <c r="DT728" s="223"/>
      <c r="DU728" s="276"/>
      <c r="DV728" s="223"/>
      <c r="DW728" s="224"/>
      <c r="DX728" s="223"/>
      <c r="DY728" s="224"/>
      <c r="DZ728" s="223"/>
      <c r="EA728" s="224"/>
      <c r="EB728" s="223"/>
      <c r="EC728" s="224"/>
      <c r="ED728" s="223"/>
      <c r="EE728" s="224"/>
      <c r="EF728" s="223"/>
      <c r="EG728" s="224"/>
      <c r="EH728" s="223"/>
      <c r="EI728" s="224"/>
      <c r="EJ728" s="223"/>
      <c r="EK728" s="224"/>
      <c r="EL728" s="223"/>
      <c r="EM728" s="224"/>
      <c r="EN728" s="223"/>
      <c r="EO728" s="224"/>
      <c r="EP728" s="223"/>
      <c r="EQ728" s="224"/>
      <c r="ER728" s="223"/>
      <c r="ES728" s="224"/>
      <c r="ET728" s="223"/>
      <c r="EU728" s="224"/>
      <c r="EV728" s="223"/>
      <c r="EW728" s="224"/>
      <c r="EX728" s="223"/>
      <c r="EY728" s="223"/>
      <c r="EZ728" s="296"/>
      <c r="FA728" s="223"/>
      <c r="FB728" s="271"/>
      <c r="FC728" s="272"/>
      <c r="FD728" s="276"/>
      <c r="FE728" s="223"/>
      <c r="FF728" s="276">
        <v>2510</v>
      </c>
      <c r="FG728" s="223" t="str">
        <f>IF(ISERROR(FF728/FD728),"NA",IF(OR(FF728/FD728&gt;2,FF728/FD728&lt;0.5),"NM",FF728/FD728*100-100))</f>
        <v>NA</v>
      </c>
      <c r="FH728" s="222">
        <f>Q728</f>
        <v>3661</v>
      </c>
      <c r="FI728" s="223">
        <f>IF(ISERROR(FH728/FF728),"NA",IF(OR(FH728/FF728&gt;2,FH728/FF728&lt;0.5),"NM",FH728/FF728*100-100))</f>
        <v>45.856573705179272</v>
      </c>
      <c r="FJ728" s="222">
        <f>Y728</f>
        <v>3128</v>
      </c>
      <c r="FK728" s="223">
        <f>IF(ISERROR(FJ728/FH728),"NA",IF(OR(FJ728/FH728&gt;2,FJ728/FH728&lt;0.5),"NM",FJ728/FH728*100-100))</f>
        <v>-14.558863698443048</v>
      </c>
      <c r="FL728" s="222">
        <f>AG728</f>
        <v>3778</v>
      </c>
      <c r="FM728" s="223">
        <f>IF(ISERROR(FL728/FJ728),"NA",IF(OR(FL728/FJ728&gt;2,FL728/FJ728&lt;0.5),"NM",FL728/FJ728*100-100))</f>
        <v>20.780051150895133</v>
      </c>
      <c r="FN728" s="222"/>
      <c r="FO728" s="223"/>
      <c r="FP728" s="222"/>
      <c r="FQ728" s="223"/>
      <c r="FR728" s="224"/>
      <c r="FS728" s="223"/>
      <c r="FT728" s="224"/>
      <c r="FU728" s="223"/>
      <c r="FV728" s="224"/>
      <c r="FW728" s="223" t="str">
        <f>IF(ISERROR(FV728/FT728),"NA",IF(OR(FV728/FT728&gt;2,FV728/FT728&lt;0.5),"NM",FV728/FT728*100-100))</f>
        <v>NA</v>
      </c>
      <c r="FX728" s="224"/>
      <c r="FY728" s="223" t="str">
        <f>IF(ISERROR(FX728/FV728),"NA",IF(OR(FX728/FV728&gt;2,FX728/FV728&lt;0.5),"NM",FX728/FV728*100-100))</f>
        <v>NA</v>
      </c>
      <c r="FZ728" s="224"/>
      <c r="GA728" s="223" t="str">
        <f>IF(ISERROR(FZ728/FX728),"NA",IF(OR(FZ728/FX728&gt;2,FZ728/FX728&lt;0.5),"NM",FZ728/FX728*100-100))</f>
        <v>NA</v>
      </c>
      <c r="GB728" s="224"/>
      <c r="GC728" s="223" t="str">
        <f>IF(ISERROR(GB728/FZ728),"NA",IF(OR(GB728/FZ728&gt;2,GB728/FZ728&lt;0.5),"NM",GB728/FZ728*100-100))</f>
        <v>NA</v>
      </c>
      <c r="GD728" s="224"/>
      <c r="GE728" s="223" t="str">
        <f>IF(ISERROR(GD728/GB728),"NA",IF(OR(GD728/GB728&gt;2,GD728/GB728&lt;0.5),"NM",GD728/GB728*100-100))</f>
        <v>NA</v>
      </c>
      <c r="GF728" s="224"/>
      <c r="GG728" s="223" t="str">
        <f>IF(ISERROR(GF728/GD728),"NA",IF(OR(GF728/GD728&gt;2,GF728/GD728&lt;0.5),"NM",GF728/GD728*100-100))</f>
        <v>NA</v>
      </c>
      <c r="GH728" s="224"/>
      <c r="GI728" s="223" t="str">
        <f>IF(ISERROR(GH728/GF728),"NA",IF(OR(GH728/GF728&gt;2,GH728/GF728&lt;0.5),"NM",GH728/GF728*100-100))</f>
        <v>NA</v>
      </c>
      <c r="GJ728" s="224"/>
      <c r="GK728" s="223" t="str">
        <f>IF(ISERROR(GJ728/GH728),"NA",IF(OR(GJ728/GH728&gt;2,GJ728/GH728&lt;0.5),"NM",GJ728/GH728*100-100))</f>
        <v>NA</v>
      </c>
      <c r="GL728" s="224"/>
      <c r="GM728" s="223" t="str">
        <f>IF(ISERROR(GL728/GJ728),"NA",IF(OR(GL728/GJ728&gt;2,GL728/GJ728&lt;0.5),"NM",GL728/GJ728*100-100))</f>
        <v>NA</v>
      </c>
      <c r="GN728" s="224"/>
      <c r="GO728" s="223" t="str">
        <f>IF(ISERROR(GN728/GL728),"NA",IF(OR(GN728/GL728&gt;2,GN728/GL728&lt;0.5),"NM",GN728/GL728*100-100))</f>
        <v>NA</v>
      </c>
      <c r="GP728" s="224"/>
      <c r="GQ728" s="223" t="str">
        <f>IF(ISERROR(GP728/GN728),"NA",IF(OR(GP728/GN728&gt;2,GP728/GN728&lt;0.5),"NM",GP728/GN728*100-100))</f>
        <v>NA</v>
      </c>
      <c r="GR728" s="224"/>
      <c r="GS728" s="223" t="str">
        <f>IF(ISERROR(GR728/GP728),"NA",IF(OR(GR728/GP728&gt;2,GR728/GP728&lt;0.5),"NM",GR728/GP728*100-100))</f>
        <v>NA</v>
      </c>
      <c r="GT728" s="224"/>
      <c r="GU728" s="223" t="str">
        <f>IF(ISERROR(GT728/GR728),"NA",IF(OR(GT728/GR728&gt;2,GT728/GR728&lt;0.5),"NM",GT728/GR728*100-100))</f>
        <v>NA</v>
      </c>
      <c r="GV728" s="224"/>
      <c r="GW728" s="223" t="str">
        <f>IF(ISERROR(GV728/GT728),"NA",IF(OR(GV728/GT728&gt;2,GV728/GT728&lt;0.5),"NM",GV728/GT728*100-100))</f>
        <v>NA</v>
      </c>
      <c r="GX728" s="224"/>
      <c r="GY728" s="223" t="str">
        <f>IF(ISERROR(GX728/GV728),"NA",IF(OR(GX728/GV728&gt;2,GX728/GV728&lt;0.5),"NM",GX728/GV728*100-100))</f>
        <v>NA</v>
      </c>
      <c r="GZ728" s="223"/>
      <c r="HA728" s="223"/>
      <c r="HB728" s="223"/>
      <c r="HC728"/>
      <c r="HD728"/>
      <c r="HE728"/>
      <c r="HF728"/>
      <c r="HG728"/>
      <c r="HH728"/>
      <c r="HI728" s="273"/>
    </row>
    <row r="729" spans="2:217" s="269" customFormat="1" ht="12.75" hidden="1" customHeight="1" outlineLevel="1" x14ac:dyDescent="0.2">
      <c r="B729" s="275" t="s">
        <v>430</v>
      </c>
      <c r="C729" s="276"/>
      <c r="D729" s="272"/>
      <c r="E729" s="276"/>
      <c r="F729" s="272"/>
      <c r="G729" s="276"/>
      <c r="H729" s="272"/>
      <c r="I729" s="276"/>
      <c r="J729" s="272"/>
      <c r="K729" s="276"/>
      <c r="L729" s="223" t="str">
        <f>IF(ISERROR(K729/C729),"NA",IF(OR(K729/C729&gt;2,K729/C729&lt;0.5),"NM",K729/C729*100-100))</f>
        <v>NA</v>
      </c>
      <c r="M729" s="276"/>
      <c r="N729" s="223" t="str">
        <f>IF(ISERROR(M729/E729),"NA",IF(OR(M729/E729&gt;2,M729/E729&lt;0.5),"NM",M729/E729*100-100))</f>
        <v>NA</v>
      </c>
      <c r="O729" s="276"/>
      <c r="P729" s="223" t="str">
        <f>IF(ISERROR(O729/G729),"NA",IF(OR(O729/G729&gt;2,O729/G729&lt;0.5),"NM",O729/G729*100-100))</f>
        <v>NA</v>
      </c>
      <c r="Q729" s="276">
        <v>5737</v>
      </c>
      <c r="R729" s="223" t="str">
        <f>IF(ISERROR(Q729/I729),"NA",IF(OR(Q729/I729&gt;2,Q729/I729&lt;0.5),"NM",Q729/I729*100-100))</f>
        <v>NA</v>
      </c>
      <c r="S729" s="276" t="s">
        <v>476</v>
      </c>
      <c r="T729" s="223" t="str">
        <f>IF(ISERROR(S729/K729),"NA",IF(OR(S729/K729&gt;2,S729/K729&lt;0.5),"NM",S729/K729*100-100))</f>
        <v>NA</v>
      </c>
      <c r="U729" s="276">
        <v>5951</v>
      </c>
      <c r="V729" s="223" t="str">
        <f>IF(ISERROR(U729/M729),"NA",IF(OR(U729/M729&gt;2,U729/M729&lt;0.5),"NM",U729/M729*100-100))</f>
        <v>NA</v>
      </c>
      <c r="W729" s="276">
        <v>5972</v>
      </c>
      <c r="X729" s="223" t="str">
        <f>IF(ISERROR(W729/O729),"NA",IF(OR(W729/O729&gt;2,W729/O729&lt;0.5),"NM",W729/O729*100-100))</f>
        <v>NA</v>
      </c>
      <c r="Y729" s="276">
        <v>4604</v>
      </c>
      <c r="Z729" s="223">
        <f>IF(ISERROR(Y729/Q729),"NA",IF(OR(Y729/Q729&gt;2,Y729/Q729&lt;0.5),"NM",Y729/Q729*100-100))</f>
        <v>-19.748997734007318</v>
      </c>
      <c r="AA729" s="276">
        <v>6083</v>
      </c>
      <c r="AB729" s="223" t="str">
        <f>IF(ISERROR(AA729/S729),"NA",IF(OR(AA729/S729&gt;2,AA729/S729&lt;0.5),"NM",AA729/S729*100-100))</f>
        <v>NA</v>
      </c>
      <c r="AC729" s="276">
        <v>6051</v>
      </c>
      <c r="AD729" s="223">
        <f>IF(ISERROR(AC729/U729),"NA",IF(OR(AC729/U729&gt;2,AC729/U729&lt;0.5),"NM",AC729/U729*100-100))</f>
        <v>1.6803898504452945</v>
      </c>
      <c r="AE729" s="276">
        <v>6054</v>
      </c>
      <c r="AF729" s="223">
        <f>IF(ISERROR(AE729/W729),"NA",IF(OR(AE729/W729&gt;2,AE729/W729&lt;0.5),"NM",AE729/W729*100-100))</f>
        <v>1.3730743469524356</v>
      </c>
      <c r="AG729" s="276">
        <v>5698</v>
      </c>
      <c r="AH729" s="223">
        <f>IF(ISERROR(AG729/Y729),"NA",IF(OR(AG729/Y729&gt;2,AG729/Y729&lt;0.5),"NM",AG729/Y729*100-100))</f>
        <v>23.761946133796698</v>
      </c>
      <c r="AI729" s="276">
        <v>5584</v>
      </c>
      <c r="AJ729" s="223">
        <f>IF(ISERROR(AI729/AA729),"NA",IF(OR(AI729/AA729&gt;2,AI729/AA729&lt;0.5),"NM",AI729/AA729*100-100))</f>
        <v>-8.2031892158474449</v>
      </c>
      <c r="AK729" s="276">
        <v>5623</v>
      </c>
      <c r="AL729" s="223">
        <f>IF(ISERROR(AK729/AC729),"NA",IF(OR(AK729/AC729&gt;2,AK729/AC729&lt;0.5),"NM",AK729/AC729*100-100))</f>
        <v>-7.0732110394976075</v>
      </c>
      <c r="AM729" s="276">
        <v>5426</v>
      </c>
      <c r="AN729" s="223">
        <f>IF(ISERROR(AM729/AE729),"NA",IF(OR(AM729/AE729&gt;2,AM729/AE729&lt;0.5),"NM",AM729/AE729*100-100))</f>
        <v>-10.373306904525933</v>
      </c>
      <c r="AO729" s="276">
        <v>5432</v>
      </c>
      <c r="AP729" s="223">
        <f>IF(ISERROR(AO729/AG729),"NA",IF(OR(AO729/AG729&gt;2,AO729/AG729&lt;0.5),"NM",AO729/AG729*100-100))</f>
        <v>-4.6683046683046712</v>
      </c>
      <c r="AQ729" s="276">
        <v>5362</v>
      </c>
      <c r="AR729" s="223">
        <f>IF(ISERROR(AQ729/AI729),"NA",IF(OR(AQ729/AI729&gt;2,AQ729/AI729&lt;0.5),"NM",AQ729/AI729*100-100))</f>
        <v>-3.9756446991404033</v>
      </c>
      <c r="AS729" s="276">
        <v>5485</v>
      </c>
      <c r="AT729" s="223">
        <f>IF(ISERROR(AS729/AK729),"NA",IF(OR(AS729/AK729&gt;2,AS729/AK729&lt;0.5),"NM",AS729/AK729*100-100))</f>
        <v>-2.4542059398897464</v>
      </c>
      <c r="AU729" s="276">
        <v>5563</v>
      </c>
      <c r="AV729" s="223">
        <f>IF(ISERROR(AU729/AM729),"NA",IF(OR(AU729/AM729&gt;2,AU729/AM729&lt;0.5),"NM",AU729/AM729*100-100))</f>
        <v>2.5248802064135702</v>
      </c>
      <c r="AW729" s="276">
        <v>5736</v>
      </c>
      <c r="AX729" s="223">
        <f>IF(ISERROR(AW729/AO729),"NA",IF(OR(AW729/AO729&gt;2,AW729/AO729&lt;0.5),"NM",AW729/AO729*100-100))</f>
        <v>5.5964653902798318</v>
      </c>
      <c r="AY729" s="276">
        <v>5590</v>
      </c>
      <c r="AZ729" s="223">
        <f>IF(ISERROR(AY729/AQ729),"NA",IF(OR(AY729/AQ729&gt;2,AY729/AQ729&lt;0.5),"NM",AY729/AQ729*100-100))</f>
        <v>4.2521447221186151</v>
      </c>
      <c r="BA729" s="276">
        <v>6212</v>
      </c>
      <c r="BB729" s="223">
        <f>IF(ISERROR(BA729/AS729),"NA",IF(OR(BA729/AS729&gt;2,BA729/AS729&lt;0.5),"NM",BA729/AS729*100-100))</f>
        <v>13.25432999088423</v>
      </c>
      <c r="BC729" s="276">
        <v>6443</v>
      </c>
      <c r="BD729" s="223">
        <f>IF(ISERROR(BC729/AU729),"NA",IF(OR(BC729/AU729&gt;2,BC729/AU729&lt;0.5),"NM",BC729/AU729*100-100))</f>
        <v>15.81880280424231</v>
      </c>
      <c r="BE729" s="276">
        <v>6281</v>
      </c>
      <c r="BF729" s="223">
        <f>IF(ISERROR(BE729/AW729),"NA",IF(OR(BE729/AW729&gt;2,BE729/AW729&lt;0.5),"NM",BE729/AW729*100-100))</f>
        <v>9.5013947001394712</v>
      </c>
      <c r="BG729" s="276">
        <v>6604</v>
      </c>
      <c r="BH729" s="223">
        <f>IF(ISERROR(BG729/AY729),"NA",IF(OR(BG729/AY729&gt;2,BG729/AY729&lt;0.5),"NM",BG729/AY729*100-100))</f>
        <v>18.139534883720927</v>
      </c>
      <c r="BI729" s="276">
        <v>6262</v>
      </c>
      <c r="BJ729" s="223">
        <f>IF(ISERROR(BI729/BA729),"NA",IF(OR(BI729/BA729&gt;2,BI729/BA729&lt;0.5),"NM",BI729/BA729*100-100))</f>
        <v>0.80489375402446228</v>
      </c>
      <c r="BK729" s="276">
        <v>6436</v>
      </c>
      <c r="BL729" s="223">
        <f>IF(ISERROR(BK729/BC729),"NA",IF(OR(BK729/BC729&gt;2,BK729/BC729&lt;0.5),"NM",BK729/BC729*100-100))</f>
        <v>-0.10864504112990403</v>
      </c>
      <c r="BM729" s="276">
        <v>6609</v>
      </c>
      <c r="BN729" s="223">
        <f>IF(ISERROR(BM729/BE729),"NA",IF(OR(BM729/BE729&gt;2,BM729/BE729&lt;0.5),"NM",BM729/BE729*100-100))</f>
        <v>5.2220983919758055</v>
      </c>
      <c r="BO729" s="276">
        <v>6751</v>
      </c>
      <c r="BP729" s="223">
        <f>IF(ISERROR(BO729/BG729),"NA",IF(OR(BO729/BG729&gt;2,BO729/BG729&lt;0.5),"NM",BO729/BG729*100-100))</f>
        <v>2.2259236826166102</v>
      </c>
      <c r="BQ729" s="276">
        <v>6801</v>
      </c>
      <c r="BR729" s="223">
        <f>IF(ISERROR(BQ729/BI729),"NA",IF(OR(BQ729/BI729&gt;2,BQ729/BI729&lt;0.5),"NM",BQ729/BI729*100-100))</f>
        <v>8.6074736505908618</v>
      </c>
      <c r="BS729" s="276">
        <v>6743</v>
      </c>
      <c r="BT729" s="223">
        <f>IF(ISERROR(BS729/BK729),"NA",IF(OR(BS729/BK729&gt;2,BS729/BK729&lt;0.5),"NM",BS729/BK729*100-100))</f>
        <v>4.7700435052827856</v>
      </c>
      <c r="BU729" s="276">
        <v>3347</v>
      </c>
      <c r="BV729" s="223">
        <f>IF(ISERROR(BU729/BM729),"NA",IF(OR(BU729/BM729&gt;2,BU729/BM729&lt;0.5),"NM",BU729/BM729*100-100))</f>
        <v>-49.356937509456799</v>
      </c>
      <c r="BW729" s="276">
        <v>3313</v>
      </c>
      <c r="BX729" s="223" t="str">
        <f>IF(ISERROR(BW729/BO729),"NA",IF(OR(BW729/BO729&gt;2,BW729/BO729&lt;0.5),"NM",BW729/BO729*100-100))</f>
        <v>NM</v>
      </c>
      <c r="BY729" s="276">
        <v>3636</v>
      </c>
      <c r="BZ729" s="223">
        <f>IF(ISERROR(BY729/BQ729),"NA",IF(OR(BY729/BQ729&gt;2,BY729/BQ729&lt;0.5),"NM",BY729/BQ729*100-100))</f>
        <v>-46.537273930304366</v>
      </c>
      <c r="CA729" s="276">
        <v>3603</v>
      </c>
      <c r="CB729" s="223">
        <f>IF(ISERROR(CA729/BS729),"NA",IF(OR(CA729/BS729&gt;2,CA729/BS729&lt;0.5),"NM",CA729/BS729*100-100))</f>
        <v>-46.566810025211325</v>
      </c>
      <c r="CC729" s="276">
        <v>4070</v>
      </c>
      <c r="CD729" s="223">
        <f>IF(ISERROR(CC729/BU729),"NA",IF(OR(CC729/BU729&gt;2,CC729/BU729&lt;0.5),"NM",CC729/BU729*100-100))</f>
        <v>21.601434120107555</v>
      </c>
      <c r="CE729" s="276">
        <v>4356</v>
      </c>
      <c r="CF729" s="223">
        <f>IF(ISERROR(CE729/BW729),"NA",IF(OR(CE729/BW729&gt;2,CE729/BW729&lt;0.5),"NM",CE729/BW729*100-100))</f>
        <v>31.482040446725023</v>
      </c>
      <c r="CG729" s="276">
        <v>4356</v>
      </c>
      <c r="CH729" s="223">
        <f>IF(ISERROR(CG729/BY729),"NA",IF(OR(CG729/BY729&gt;2,CG729/BY729&lt;0.5),"NM",CG729/BY729*100-100))</f>
        <v>19.801980198019791</v>
      </c>
      <c r="CI729" s="276">
        <v>4356</v>
      </c>
      <c r="CJ729" s="223">
        <f>IF(ISERROR(CI729/CA729),"NA",IF(OR(CI729/CA729&gt;2,CI729/CA729&lt;0.5),"NM",CI729/CA729*100-100))</f>
        <v>20.899250624479592</v>
      </c>
      <c r="CK729" s="276">
        <v>4356</v>
      </c>
      <c r="CL729" s="223">
        <f>IF(ISERROR(CK729/CC729),"NA",IF(OR(CK729/CC729&gt;2,CK729/CC729&lt;0.5),"NM",CK729/CC729*100-100))</f>
        <v>7.0270270270270174</v>
      </c>
      <c r="CM729" s="276"/>
      <c r="CN729" s="223"/>
      <c r="CO729" s="276"/>
      <c r="CP729" s="223"/>
      <c r="CQ729" s="276"/>
      <c r="CR729" s="223"/>
      <c r="CS729" s="276"/>
      <c r="CT729" s="223"/>
      <c r="CU729" s="276"/>
      <c r="CV729" s="223"/>
      <c r="CW729" s="276"/>
      <c r="CX729" s="223"/>
      <c r="CY729" s="276"/>
      <c r="CZ729" s="223"/>
      <c r="DA729" s="276"/>
      <c r="DB729" s="223"/>
      <c r="DC729" s="276"/>
      <c r="DD729" s="223"/>
      <c r="DE729" s="276"/>
      <c r="DF729" s="223"/>
      <c r="DG729" s="276"/>
      <c r="DH729" s="223"/>
      <c r="DI729" s="276"/>
      <c r="DJ729" s="223"/>
      <c r="DK729" s="276"/>
      <c r="DL729" s="223"/>
      <c r="DM729" s="276"/>
      <c r="DN729" s="223"/>
      <c r="DO729" s="276"/>
      <c r="DP729" s="223"/>
      <c r="DQ729" s="276"/>
      <c r="DR729" s="223"/>
      <c r="DS729" s="276"/>
      <c r="DT729" s="223"/>
      <c r="DU729" s="276"/>
      <c r="DV729" s="223"/>
      <c r="DW729" s="224"/>
      <c r="DX729" s="223"/>
      <c r="DY729" s="224"/>
      <c r="DZ729" s="223"/>
      <c r="EA729" s="224"/>
      <c r="EB729" s="223"/>
      <c r="EC729" s="224"/>
      <c r="ED729" s="223"/>
      <c r="EE729" s="224"/>
      <c r="EF729" s="223"/>
      <c r="EG729" s="224"/>
      <c r="EH729" s="223"/>
      <c r="EI729" s="224"/>
      <c r="EJ729" s="223"/>
      <c r="EK729" s="224"/>
      <c r="EL729" s="223"/>
      <c r="EM729" s="224"/>
      <c r="EN729" s="223"/>
      <c r="EO729" s="224"/>
      <c r="EP729" s="223"/>
      <c r="EQ729" s="224"/>
      <c r="ER729" s="223"/>
      <c r="ES729" s="224"/>
      <c r="ET729" s="223"/>
      <c r="EU729" s="224"/>
      <c r="EV729" s="223"/>
      <c r="EW729" s="224"/>
      <c r="EX729" s="223"/>
      <c r="EY729" s="223"/>
      <c r="EZ729" s="296"/>
      <c r="FA729" s="223"/>
      <c r="FB729" s="271"/>
      <c r="FC729" s="272"/>
      <c r="FD729" s="276"/>
      <c r="FE729" s="223"/>
      <c r="FF729" s="276">
        <v>5896</v>
      </c>
      <c r="FG729" s="223" t="str">
        <f>IF(ISERROR(FF729/FD729),"NA",IF(OR(FF729/FD729&gt;2,FF729/FD729&lt;0.5),"NM",FF729/FD729*100-100))</f>
        <v>NA</v>
      </c>
      <c r="FH729" s="222">
        <f>Q729</f>
        <v>5737</v>
      </c>
      <c r="FI729" s="223">
        <f>IF(ISERROR(FH729/FF729),"NA",IF(OR(FH729/FF729&gt;2,FH729/FF729&lt;0.5),"NM",FH729/FF729*100-100))</f>
        <v>-2.696743554952505</v>
      </c>
      <c r="FJ729" s="222">
        <f>Y729</f>
        <v>4604</v>
      </c>
      <c r="FK729" s="223">
        <f>IF(ISERROR(FJ729/FH729),"NA",IF(OR(FJ729/FH729&gt;2,FJ729/FH729&lt;0.5),"NM",FJ729/FH729*100-100))</f>
        <v>-19.748997734007318</v>
      </c>
      <c r="FL729" s="222">
        <f>AG729</f>
        <v>5698</v>
      </c>
      <c r="FM729" s="223">
        <f>IF(ISERROR(FL729/FJ729),"NA",IF(OR(FL729/FJ729&gt;2,FL729/FJ729&lt;0.5),"NM",FL729/FJ729*100-100))</f>
        <v>23.761946133796698</v>
      </c>
      <c r="FN729" s="222"/>
      <c r="FO729" s="223"/>
      <c r="FP729" s="222"/>
      <c r="FQ729" s="223"/>
      <c r="FR729" s="224"/>
      <c r="FS729" s="223"/>
      <c r="FT729" s="224"/>
      <c r="FU729" s="223"/>
      <c r="FV729" s="224"/>
      <c r="FW729" s="223" t="str">
        <f>IF(ISERROR(FV729/FT729),"NA",IF(OR(FV729/FT729&gt;2,FV729/FT729&lt;0.5),"NM",FV729/FT729*100-100))</f>
        <v>NA</v>
      </c>
      <c r="FX729" s="224"/>
      <c r="FY729" s="223" t="str">
        <f>IF(ISERROR(FX729/FV729),"NA",IF(OR(FX729/FV729&gt;2,FX729/FV729&lt;0.5),"NM",FX729/FV729*100-100))</f>
        <v>NA</v>
      </c>
      <c r="FZ729" s="224"/>
      <c r="GA729" s="223" t="str">
        <f>IF(ISERROR(FZ729/FX729),"NA",IF(OR(FZ729/FX729&gt;2,FZ729/FX729&lt;0.5),"NM",FZ729/FX729*100-100))</f>
        <v>NA</v>
      </c>
      <c r="GB729" s="224"/>
      <c r="GC729" s="223" t="str">
        <f>IF(ISERROR(GB729/FZ729),"NA",IF(OR(GB729/FZ729&gt;2,GB729/FZ729&lt;0.5),"NM",GB729/FZ729*100-100))</f>
        <v>NA</v>
      </c>
      <c r="GD729" s="224"/>
      <c r="GE729" s="223" t="str">
        <f>IF(ISERROR(GD729/GB729),"NA",IF(OR(GD729/GB729&gt;2,GD729/GB729&lt;0.5),"NM",GD729/GB729*100-100))</f>
        <v>NA</v>
      </c>
      <c r="GF729" s="224"/>
      <c r="GG729" s="223" t="str">
        <f>IF(ISERROR(GF729/GD729),"NA",IF(OR(GF729/GD729&gt;2,GF729/GD729&lt;0.5),"NM",GF729/GD729*100-100))</f>
        <v>NA</v>
      </c>
      <c r="GH729" s="224"/>
      <c r="GI729" s="223" t="str">
        <f>IF(ISERROR(GH729/GF729),"NA",IF(OR(GH729/GF729&gt;2,GH729/GF729&lt;0.5),"NM",GH729/GF729*100-100))</f>
        <v>NA</v>
      </c>
      <c r="GJ729" s="224"/>
      <c r="GK729" s="223" t="str">
        <f>IF(ISERROR(GJ729/GH729),"NA",IF(OR(GJ729/GH729&gt;2,GJ729/GH729&lt;0.5),"NM",GJ729/GH729*100-100))</f>
        <v>NA</v>
      </c>
      <c r="GL729" s="224"/>
      <c r="GM729" s="223" t="str">
        <f>IF(ISERROR(GL729/GJ729),"NA",IF(OR(GL729/GJ729&gt;2,GL729/GJ729&lt;0.5),"NM",GL729/GJ729*100-100))</f>
        <v>NA</v>
      </c>
      <c r="GN729" s="224"/>
      <c r="GO729" s="223" t="str">
        <f>IF(ISERROR(GN729/GL729),"NA",IF(OR(GN729/GL729&gt;2,GN729/GL729&lt;0.5),"NM",GN729/GL729*100-100))</f>
        <v>NA</v>
      </c>
      <c r="GP729" s="224"/>
      <c r="GQ729" s="223" t="str">
        <f>IF(ISERROR(GP729/GN729),"NA",IF(OR(GP729/GN729&gt;2,GP729/GN729&lt;0.5),"NM",GP729/GN729*100-100))</f>
        <v>NA</v>
      </c>
      <c r="GR729" s="224"/>
      <c r="GS729" s="223" t="str">
        <f>IF(ISERROR(GR729/GP729),"NA",IF(OR(GR729/GP729&gt;2,GR729/GP729&lt;0.5),"NM",GR729/GP729*100-100))</f>
        <v>NA</v>
      </c>
      <c r="GT729" s="224"/>
      <c r="GU729" s="223" t="str">
        <f>IF(ISERROR(GT729/GR729),"NA",IF(OR(GT729/GR729&gt;2,GT729/GR729&lt;0.5),"NM",GT729/GR729*100-100))</f>
        <v>NA</v>
      </c>
      <c r="GV729" s="224"/>
      <c r="GW729" s="223" t="str">
        <f>IF(ISERROR(GV729/GT729),"NA",IF(OR(GV729/GT729&gt;2,GV729/GT729&lt;0.5),"NM",GV729/GT729*100-100))</f>
        <v>NA</v>
      </c>
      <c r="GX729" s="224"/>
      <c r="GY729" s="223" t="str">
        <f>IF(ISERROR(GX729/GV729),"NA",IF(OR(GX729/GV729&gt;2,GX729/GV729&lt;0.5),"NM",GX729/GV729*100-100))</f>
        <v>NA</v>
      </c>
      <c r="GZ729" s="223"/>
      <c r="HA729" s="223"/>
      <c r="HB729" s="223"/>
      <c r="HC729"/>
      <c r="HD729"/>
      <c r="HE729"/>
      <c r="HF729"/>
      <c r="HG729"/>
      <c r="HH729"/>
      <c r="HI729" s="273"/>
    </row>
    <row r="730" spans="2:217" s="269" customFormat="1" ht="12.75" hidden="1" customHeight="1" outlineLevel="1" x14ac:dyDescent="0.2">
      <c r="B730" s="275" t="s">
        <v>376</v>
      </c>
      <c r="C730" s="276"/>
      <c r="D730" s="272"/>
      <c r="E730" s="276"/>
      <c r="F730" s="272"/>
      <c r="G730" s="276"/>
      <c r="H730" s="272"/>
      <c r="I730" s="276"/>
      <c r="J730" s="272"/>
      <c r="K730" s="276"/>
      <c r="L730" s="223" t="str">
        <f>IF(ISERROR(K730/C730),"NA",IF(OR(K730/C730&gt;2,K730/C730&lt;0.5),"NM",K730/C730*100-100))</f>
        <v>NA</v>
      </c>
      <c r="M730" s="276"/>
      <c r="N730" s="223" t="str">
        <f>IF(ISERROR(M730/E730),"NA",IF(OR(M730/E730&gt;2,M730/E730&lt;0.5),"NM",M730/E730*100-100))</f>
        <v>NA</v>
      </c>
      <c r="O730" s="276"/>
      <c r="P730" s="223" t="str">
        <f>IF(ISERROR(O730/G730),"NA",IF(OR(O730/G730&gt;2,O730/G730&lt;0.5),"NM",O730/G730*100-100))</f>
        <v>NA</v>
      </c>
      <c r="Q730" s="276">
        <v>2704</v>
      </c>
      <c r="R730" s="223" t="str">
        <f>IF(ISERROR(Q730/I730),"NA",IF(OR(Q730/I730&gt;2,Q730/I730&lt;0.5),"NM",Q730/I730*100-100))</f>
        <v>NA</v>
      </c>
      <c r="S730" s="276" t="s">
        <v>476</v>
      </c>
      <c r="T730" s="223" t="str">
        <f>IF(ISERROR(S730/K730),"NA",IF(OR(S730/K730&gt;2,S730/K730&lt;0.5),"NM",S730/K730*100-100))</f>
        <v>NA</v>
      </c>
      <c r="U730" s="276">
        <v>2889</v>
      </c>
      <c r="V730" s="223" t="str">
        <f>IF(ISERROR(U730/M730),"NA",IF(OR(U730/M730&gt;2,U730/M730&lt;0.5),"NM",U730/M730*100-100))</f>
        <v>NA</v>
      </c>
      <c r="W730" s="276">
        <v>2953</v>
      </c>
      <c r="X730" s="223" t="str">
        <f>IF(ISERROR(W730/O730),"NA",IF(OR(W730/O730&gt;2,W730/O730&lt;0.5),"NM",W730/O730*100-100))</f>
        <v>NA</v>
      </c>
      <c r="Y730" s="276">
        <v>3026</v>
      </c>
      <c r="Z730" s="223">
        <f>IF(ISERROR(Y730/Q730),"NA",IF(OR(Y730/Q730&gt;2,Y730/Q730&lt;0.5),"NM",Y730/Q730*100-100))</f>
        <v>11.908284023668642</v>
      </c>
      <c r="AA730" s="276">
        <v>3164</v>
      </c>
      <c r="AB730" s="223" t="str">
        <f>IF(ISERROR(AA730/S730),"NA",IF(OR(AA730/S730&gt;2,AA730/S730&lt;0.5),"NM",AA730/S730*100-100))</f>
        <v>NA</v>
      </c>
      <c r="AC730" s="276">
        <v>3160</v>
      </c>
      <c r="AD730" s="223">
        <f>IF(ISERROR(AC730/U730),"NA",IF(OR(AC730/U730&gt;2,AC730/U730&lt;0.5),"NM",AC730/U730*100-100))</f>
        <v>9.3804084458290191</v>
      </c>
      <c r="AE730" s="276">
        <v>3358</v>
      </c>
      <c r="AF730" s="223">
        <f>IF(ISERROR(AE730/W730),"NA",IF(OR(AE730/W730&gt;2,AE730/W730&lt;0.5),"NM",AE730/W730*100-100))</f>
        <v>13.714866237724351</v>
      </c>
      <c r="AG730" s="276">
        <v>3193</v>
      </c>
      <c r="AH730" s="223">
        <f>IF(ISERROR(AG730/Y730),"NA",IF(OR(AG730/Y730&gt;2,AG730/Y730&lt;0.5),"NM",AG730/Y730*100-100))</f>
        <v>5.5188367481824088</v>
      </c>
      <c r="AI730" s="276">
        <v>3419</v>
      </c>
      <c r="AJ730" s="223">
        <f>IF(ISERROR(AI730/AA730),"NA",IF(OR(AI730/AA730&gt;2,AI730/AA730&lt;0.5),"NM",AI730/AA730*100-100))</f>
        <v>8.0594184576485475</v>
      </c>
      <c r="AK730" s="276">
        <v>3514</v>
      </c>
      <c r="AL730" s="223">
        <f>IF(ISERROR(AK730/AC730),"NA",IF(OR(AK730/AC730&gt;2,AK730/AC730&lt;0.5),"NM",AK730/AC730*100-100))</f>
        <v>11.202531645569607</v>
      </c>
      <c r="AM730" s="276">
        <v>3665</v>
      </c>
      <c r="AN730" s="223">
        <f>IF(ISERROR(AM730/AE730),"NA",IF(OR(AM730/AE730&gt;2,AM730/AE730&lt;0.5),"NM",AM730/AE730*100-100))</f>
        <v>9.1423466349017275</v>
      </c>
      <c r="AO730" s="276">
        <v>3680</v>
      </c>
      <c r="AP730" s="223">
        <f>IF(ISERROR(AO730/AG730),"NA",IF(OR(AO730/AG730&gt;2,AO730/AG730&lt;0.5),"NM",AO730/AG730*100-100))</f>
        <v>15.252113999373634</v>
      </c>
      <c r="AQ730" s="276">
        <v>3916</v>
      </c>
      <c r="AR730" s="223">
        <f>IF(ISERROR(AQ730/AI730),"NA",IF(OR(AQ730/AI730&gt;2,AQ730/AI730&lt;0.5),"NM",AQ730/AI730*100-100))</f>
        <v>14.536414156186027</v>
      </c>
      <c r="AS730" s="276">
        <v>4201</v>
      </c>
      <c r="AT730" s="223">
        <f>IF(ISERROR(AS730/AK730),"NA",IF(OR(AS730/AK730&gt;2,AS730/AK730&lt;0.5),"NM",AS730/AK730*100-100))</f>
        <v>19.550369948776321</v>
      </c>
      <c r="AU730" s="276">
        <v>4525</v>
      </c>
      <c r="AV730" s="223">
        <f>IF(ISERROR(AU730/AM730),"NA",IF(OR(AU730/AM730&gt;2,AU730/AM730&lt;0.5),"NM",AU730/AM730*100-100))</f>
        <v>23.465211459754443</v>
      </c>
      <c r="AW730" s="276">
        <v>4900</v>
      </c>
      <c r="AX730" s="223">
        <f>IF(ISERROR(AW730/AO730),"NA",IF(OR(AW730/AO730&gt;2,AW730/AO730&lt;0.5),"NM",AW730/AO730*100-100))</f>
        <v>33.15217391304347</v>
      </c>
      <c r="AY730" s="276">
        <v>5227</v>
      </c>
      <c r="AZ730" s="223">
        <f>IF(ISERROR(AY730/AQ730),"NA",IF(OR(AY730/AQ730&gt;2,AY730/AQ730&lt;0.5),"NM",AY730/AQ730*100-100))</f>
        <v>33.478038815117458</v>
      </c>
      <c r="BA730" s="276">
        <v>5425</v>
      </c>
      <c r="BB730" s="223">
        <f>IF(ISERROR(BA730/AS730),"NA",IF(OR(BA730/AS730&gt;2,BA730/AS730&lt;0.5),"NM",BA730/AS730*100-100))</f>
        <v>29.135920019043084</v>
      </c>
      <c r="BC730" s="276">
        <v>6015</v>
      </c>
      <c r="BD730" s="223">
        <f>IF(ISERROR(BC730/AU730),"NA",IF(OR(BC730/AU730&gt;2,BC730/AU730&lt;0.5),"NM",BC730/AU730*100-100))</f>
        <v>32.9281767955801</v>
      </c>
      <c r="BE730" s="276">
        <v>6574</v>
      </c>
      <c r="BF730" s="223">
        <f>IF(ISERROR(BE730/AW730),"NA",IF(OR(BE730/AW730&gt;2,BE730/AW730&lt;0.5),"NM",BE730/AW730*100-100))</f>
        <v>34.163265306122469</v>
      </c>
      <c r="BG730" s="276">
        <v>6733</v>
      </c>
      <c r="BH730" s="223">
        <f>IF(ISERROR(BG730/AY730),"NA",IF(OR(BG730/AY730&gt;2,BG730/AY730&lt;0.5),"NM",BG730/AY730*100-100))</f>
        <v>28.811938014157278</v>
      </c>
      <c r="BI730" s="276">
        <v>6635</v>
      </c>
      <c r="BJ730" s="223">
        <f>IF(ISERROR(BI730/BA730),"NA",IF(OR(BI730/BA730&gt;2,BI730/BA730&lt;0.5),"NM",BI730/BA730*100-100))</f>
        <v>22.304147465437779</v>
      </c>
      <c r="BK730" s="276">
        <v>6368</v>
      </c>
      <c r="BL730" s="223">
        <f>IF(ISERROR(BK730/BC730),"NA",IF(OR(BK730/BC730&gt;2,BK730/BC730&lt;0.5),"NM",BK730/BC730*100-100))</f>
        <v>5.8686616791354851</v>
      </c>
      <c r="BM730" s="276">
        <v>6396</v>
      </c>
      <c r="BN730" s="223">
        <f>IF(ISERROR(BM730/BE730),"NA",IF(OR(BM730/BE730&gt;2,BM730/BE730&lt;0.5),"NM",BM730/BE730*100-100))</f>
        <v>-2.7076361423790729</v>
      </c>
      <c r="BO730" s="276">
        <v>6733</v>
      </c>
      <c r="BP730" s="223">
        <f>IF(ISERROR(BO730/BG730),"NA",IF(OR(BO730/BG730&gt;2,BO730/BG730&lt;0.5),"NM",BO730/BG730*100-100))</f>
        <v>0</v>
      </c>
      <c r="BQ730" s="276">
        <v>6876</v>
      </c>
      <c r="BR730" s="223">
        <f>IF(ISERROR(BQ730/BI730),"NA",IF(OR(BQ730/BI730&gt;2,BQ730/BI730&lt;0.5),"NM",BQ730/BI730*100-100))</f>
        <v>3.6322532027128744</v>
      </c>
      <c r="BS730" s="276">
        <v>7195</v>
      </c>
      <c r="BT730" s="223">
        <f>IF(ISERROR(BS730/BK730),"NA",IF(OR(BS730/BK730&gt;2,BS730/BK730&lt;0.5),"NM",BS730/BK730*100-100))</f>
        <v>12.986809045226138</v>
      </c>
      <c r="BU730" s="276">
        <v>6808</v>
      </c>
      <c r="BV730" s="223">
        <f>IF(ISERROR(BU730/BM730),"NA",IF(OR(BU730/BM730&gt;2,BU730/BM730&lt;0.5),"NM",BU730/BM730*100-100))</f>
        <v>6.4415259537210687</v>
      </c>
      <c r="BW730" s="276">
        <v>7299</v>
      </c>
      <c r="BX730" s="223">
        <f>IF(ISERROR(BW730/BO730),"NA",IF(OR(BW730/BO730&gt;2,BW730/BO730&lt;0.5),"NM",BW730/BO730*100-100))</f>
        <v>8.4063567503341687</v>
      </c>
      <c r="BY730" s="276">
        <v>7327</v>
      </c>
      <c r="BZ730" s="223">
        <f>IF(ISERROR(BY730/BQ730),"NA",IF(OR(BY730/BQ730&gt;2,BY730/BQ730&lt;0.5),"NM",BY730/BQ730*100-100))</f>
        <v>6.5590459569517208</v>
      </c>
      <c r="CA730" s="276">
        <v>7732</v>
      </c>
      <c r="CB730" s="223">
        <f>IF(ISERROR(CA730/BS730),"NA",IF(OR(CA730/BS730&gt;2,CA730/BS730&lt;0.5),"NM",CA730/BS730*100-100))</f>
        <v>7.4635163307852537</v>
      </c>
      <c r="CC730" s="276">
        <v>7948</v>
      </c>
      <c r="CD730" s="223">
        <f>IF(ISERROR(CC730/BU730),"NA",IF(OR(CC730/BU730&gt;2,CC730/BU730&lt;0.5),"NM",CC730/BU730*100-100))</f>
        <v>16.745005875440654</v>
      </c>
      <c r="CE730" s="276">
        <v>7883</v>
      </c>
      <c r="CF730" s="223">
        <f>IF(ISERROR(CE730/BW730),"NA",IF(OR(CE730/BW730&gt;2,CE730/BW730&lt;0.5),"NM",CE730/BW730*100-100))</f>
        <v>8.0010960405535059</v>
      </c>
      <c r="CG730" s="276">
        <v>7883</v>
      </c>
      <c r="CH730" s="223">
        <f>IF(ISERROR(CG730/BY730),"NA",IF(OR(CG730/BY730&gt;2,CG730/BY730&lt;0.5),"NM",CG730/BY730*100-100))</f>
        <v>7.5883717756243954</v>
      </c>
      <c r="CI730" s="276">
        <v>7883</v>
      </c>
      <c r="CJ730" s="223">
        <f>IF(ISERROR(CI730/CA730),"NA",IF(OR(CI730/CA730&gt;2,CI730/CA730&lt;0.5),"NM",CI730/CA730*100-100))</f>
        <v>1.9529229177444449</v>
      </c>
      <c r="CK730" s="276">
        <v>7883</v>
      </c>
      <c r="CL730" s="223">
        <f>IF(ISERROR(CK730/CC730),"NA",IF(OR(CK730/CC730&gt;2,CK730/CC730&lt;0.5),"NM",CK730/CC730*100-100))</f>
        <v>-0.81781580271767496</v>
      </c>
      <c r="CM730" s="276"/>
      <c r="CN730" s="223"/>
      <c r="CO730" s="276"/>
      <c r="CP730" s="223"/>
      <c r="CQ730" s="276"/>
      <c r="CR730" s="223"/>
      <c r="CS730" s="276"/>
      <c r="CT730" s="223"/>
      <c r="CU730" s="276"/>
      <c r="CV730" s="223"/>
      <c r="CW730" s="276"/>
      <c r="CX730" s="223"/>
      <c r="CY730" s="276"/>
      <c r="CZ730" s="223"/>
      <c r="DA730" s="276"/>
      <c r="DB730" s="223"/>
      <c r="DC730" s="276"/>
      <c r="DD730" s="223"/>
      <c r="DE730" s="276"/>
      <c r="DF730" s="223"/>
      <c r="DG730" s="276"/>
      <c r="DH730" s="223"/>
      <c r="DI730" s="276"/>
      <c r="DJ730" s="223"/>
      <c r="DK730" s="276"/>
      <c r="DL730" s="223"/>
      <c r="DM730" s="276"/>
      <c r="DN730" s="223"/>
      <c r="DO730" s="276"/>
      <c r="DP730" s="223"/>
      <c r="DQ730" s="276"/>
      <c r="DR730" s="223"/>
      <c r="DS730" s="276"/>
      <c r="DT730" s="223"/>
      <c r="DU730" s="276"/>
      <c r="DV730" s="223"/>
      <c r="DW730" s="224"/>
      <c r="DX730" s="223"/>
      <c r="DY730" s="224"/>
      <c r="DZ730" s="223"/>
      <c r="EA730" s="224"/>
      <c r="EB730" s="223"/>
      <c r="EC730" s="224"/>
      <c r="ED730" s="223"/>
      <c r="EE730" s="224"/>
      <c r="EF730" s="223"/>
      <c r="EG730" s="224"/>
      <c r="EH730" s="223"/>
      <c r="EI730" s="224"/>
      <c r="EJ730" s="223"/>
      <c r="EK730" s="224"/>
      <c r="EL730" s="223"/>
      <c r="EM730" s="224"/>
      <c r="EN730" s="223"/>
      <c r="EO730" s="224"/>
      <c r="EP730" s="223"/>
      <c r="EQ730" s="224"/>
      <c r="ER730" s="223"/>
      <c r="ES730" s="224"/>
      <c r="ET730" s="223"/>
      <c r="EU730" s="224"/>
      <c r="EV730" s="223"/>
      <c r="EW730" s="224"/>
      <c r="EX730" s="223"/>
      <c r="EY730" s="223"/>
      <c r="EZ730" s="296"/>
      <c r="FA730" s="223"/>
      <c r="FB730" s="271"/>
      <c r="FC730" s="272"/>
      <c r="FD730" s="276"/>
      <c r="FE730" s="223"/>
      <c r="FF730" s="276">
        <v>1213</v>
      </c>
      <c r="FG730" s="223" t="str">
        <f>IF(ISERROR(FF730/FD730),"NA",IF(OR(FF730/FD730&gt;2,FF730/FD730&lt;0.5),"NM",FF730/FD730*100-100))</f>
        <v>NA</v>
      </c>
      <c r="FH730" s="222">
        <f>Q730</f>
        <v>2704</v>
      </c>
      <c r="FI730" s="223" t="str">
        <f>IF(ISERROR(FH730/FF730),"NA",IF(OR(FH730/FF730&gt;2,FH730/FF730&lt;0.5),"NM",FH730/FF730*100-100))</f>
        <v>NM</v>
      </c>
      <c r="FJ730" s="222">
        <f>Y730</f>
        <v>3026</v>
      </c>
      <c r="FK730" s="223">
        <f>IF(ISERROR(FJ730/FH730),"NA",IF(OR(FJ730/FH730&gt;2,FJ730/FH730&lt;0.5),"NM",FJ730/FH730*100-100))</f>
        <v>11.908284023668642</v>
      </c>
      <c r="FL730" s="222">
        <f>AG730</f>
        <v>3193</v>
      </c>
      <c r="FM730" s="223">
        <f>IF(ISERROR(FL730/FJ730),"NA",IF(OR(FL730/FJ730&gt;2,FL730/FJ730&lt;0.5),"NM",FL730/FJ730*100-100))</f>
        <v>5.5188367481824088</v>
      </c>
      <c r="FN730" s="222"/>
      <c r="FO730" s="223"/>
      <c r="FP730" s="222"/>
      <c r="FQ730" s="223"/>
      <c r="FR730" s="224"/>
      <c r="FS730" s="223"/>
      <c r="FT730" s="224"/>
      <c r="FU730" s="223"/>
      <c r="FV730" s="224"/>
      <c r="FW730" s="223" t="str">
        <f>IF(ISERROR(FV730/FT730),"NA",IF(OR(FV730/FT730&gt;2,FV730/FT730&lt;0.5),"NM",FV730/FT730*100-100))</f>
        <v>NA</v>
      </c>
      <c r="FX730" s="224"/>
      <c r="FY730" s="223" t="str">
        <f>IF(ISERROR(FX730/FV730),"NA",IF(OR(FX730/FV730&gt;2,FX730/FV730&lt;0.5),"NM",FX730/FV730*100-100))</f>
        <v>NA</v>
      </c>
      <c r="FZ730" s="224"/>
      <c r="GA730" s="223" t="str">
        <f>IF(ISERROR(FZ730/FX730),"NA",IF(OR(FZ730/FX730&gt;2,FZ730/FX730&lt;0.5),"NM",FZ730/FX730*100-100))</f>
        <v>NA</v>
      </c>
      <c r="GB730" s="224"/>
      <c r="GC730" s="223" t="str">
        <f>IF(ISERROR(GB730/FZ730),"NA",IF(OR(GB730/FZ730&gt;2,GB730/FZ730&lt;0.5),"NM",GB730/FZ730*100-100))</f>
        <v>NA</v>
      </c>
      <c r="GD730" s="224"/>
      <c r="GE730" s="223" t="str">
        <f>IF(ISERROR(GD730/GB730),"NA",IF(OR(GD730/GB730&gt;2,GD730/GB730&lt;0.5),"NM",GD730/GB730*100-100))</f>
        <v>NA</v>
      </c>
      <c r="GF730" s="224"/>
      <c r="GG730" s="223" t="str">
        <f>IF(ISERROR(GF730/GD730),"NA",IF(OR(GF730/GD730&gt;2,GF730/GD730&lt;0.5),"NM",GF730/GD730*100-100))</f>
        <v>NA</v>
      </c>
      <c r="GH730" s="224"/>
      <c r="GI730" s="223" t="str">
        <f>IF(ISERROR(GH730/GF730),"NA",IF(OR(GH730/GF730&gt;2,GH730/GF730&lt;0.5),"NM",GH730/GF730*100-100))</f>
        <v>NA</v>
      </c>
      <c r="GJ730" s="224"/>
      <c r="GK730" s="223" t="str">
        <f>IF(ISERROR(GJ730/GH730),"NA",IF(OR(GJ730/GH730&gt;2,GJ730/GH730&lt;0.5),"NM",GJ730/GH730*100-100))</f>
        <v>NA</v>
      </c>
      <c r="GL730" s="224"/>
      <c r="GM730" s="223" t="str">
        <f>IF(ISERROR(GL730/GJ730),"NA",IF(OR(GL730/GJ730&gt;2,GL730/GJ730&lt;0.5),"NM",GL730/GJ730*100-100))</f>
        <v>NA</v>
      </c>
      <c r="GN730" s="224"/>
      <c r="GO730" s="223" t="str">
        <f>IF(ISERROR(GN730/GL730),"NA",IF(OR(GN730/GL730&gt;2,GN730/GL730&lt;0.5),"NM",GN730/GL730*100-100))</f>
        <v>NA</v>
      </c>
      <c r="GP730" s="224"/>
      <c r="GQ730" s="223" t="str">
        <f>IF(ISERROR(GP730/GN730),"NA",IF(OR(GP730/GN730&gt;2,GP730/GN730&lt;0.5),"NM",GP730/GN730*100-100))</f>
        <v>NA</v>
      </c>
      <c r="GR730" s="224"/>
      <c r="GS730" s="223" t="str">
        <f>IF(ISERROR(GR730/GP730),"NA",IF(OR(GR730/GP730&gt;2,GR730/GP730&lt;0.5),"NM",GR730/GP730*100-100))</f>
        <v>NA</v>
      </c>
      <c r="GT730" s="224"/>
      <c r="GU730" s="223" t="str">
        <f>IF(ISERROR(GT730/GR730),"NA",IF(OR(GT730/GR730&gt;2,GT730/GR730&lt;0.5),"NM",GT730/GR730*100-100))</f>
        <v>NA</v>
      </c>
      <c r="GV730" s="224"/>
      <c r="GW730" s="223" t="str">
        <f>IF(ISERROR(GV730/GT730),"NA",IF(OR(GV730/GT730&gt;2,GV730/GT730&lt;0.5),"NM",GV730/GT730*100-100))</f>
        <v>NA</v>
      </c>
      <c r="GX730" s="224"/>
      <c r="GY730" s="223" t="str">
        <f>IF(ISERROR(GX730/GV730),"NA",IF(OR(GX730/GV730&gt;2,GX730/GV730&lt;0.5),"NM",GX730/GV730*100-100))</f>
        <v>NA</v>
      </c>
      <c r="GZ730" s="223"/>
      <c r="HA730" s="223"/>
      <c r="HB730" s="223"/>
      <c r="HC730"/>
      <c r="HD730"/>
      <c r="HE730"/>
      <c r="HF730"/>
      <c r="HG730"/>
      <c r="HH730"/>
      <c r="HI730" s="273"/>
    </row>
    <row r="731" spans="2:217" s="269" customFormat="1" ht="12.75" hidden="1" customHeight="1" outlineLevel="1" x14ac:dyDescent="0.2">
      <c r="B731" s="275" t="s">
        <v>112</v>
      </c>
      <c r="C731" s="276"/>
      <c r="D731" s="272"/>
      <c r="E731" s="276"/>
      <c r="F731" s="272"/>
      <c r="G731" s="276"/>
      <c r="H731" s="272"/>
      <c r="I731" s="276"/>
      <c r="J731" s="272"/>
      <c r="K731" s="276"/>
      <c r="L731" s="223" t="str">
        <f>IF(ISERROR(K731/C731),"NA",IF(OR(K731/C731&gt;2,K731/C731&lt;0.5),"NM",K731/C731*100-100))</f>
        <v>NA</v>
      </c>
      <c r="M731" s="276"/>
      <c r="N731" s="223" t="str">
        <f>IF(ISERROR(M731/E731),"NA",IF(OR(M731/E731&gt;2,M731/E731&lt;0.5),"NM",M731/E731*100-100))</f>
        <v>NA</v>
      </c>
      <c r="O731" s="276"/>
      <c r="P731" s="223" t="str">
        <f>IF(ISERROR(O731/G731),"NA",IF(OR(O731/G731&gt;2,O731/G731&lt;0.5),"NM",O731/G731*100-100))</f>
        <v>NA</v>
      </c>
      <c r="Q731" s="276">
        <v>6981</v>
      </c>
      <c r="R731" s="223" t="str">
        <f>IF(ISERROR(Q731/I731),"NA",IF(OR(Q731/I731&gt;2,Q731/I731&lt;0.5),"NM",Q731/I731*100-100))</f>
        <v>NA</v>
      </c>
      <c r="S731" s="276" t="s">
        <v>476</v>
      </c>
      <c r="T731" s="223" t="str">
        <f>IF(ISERROR(S731/K731),"NA",IF(OR(S731/K731&gt;2,S731/K731&lt;0.5),"NM",S731/K731*100-100))</f>
        <v>NA</v>
      </c>
      <c r="U731" s="276">
        <v>7063</v>
      </c>
      <c r="V731" s="223" t="str">
        <f>IF(ISERROR(U731/M731),"NA",IF(OR(U731/M731&gt;2,U731/M731&lt;0.5),"NM",U731/M731*100-100))</f>
        <v>NA</v>
      </c>
      <c r="W731" s="276">
        <v>6943</v>
      </c>
      <c r="X731" s="223" t="str">
        <f>IF(ISERROR(W731/O731),"NA",IF(OR(W731/O731&gt;2,W731/O731&lt;0.5),"NM",W731/O731*100-100))</f>
        <v>NA</v>
      </c>
      <c r="Y731" s="276">
        <v>7863</v>
      </c>
      <c r="Z731" s="223">
        <f>IF(ISERROR(Y731/Q731),"NA",IF(OR(Y731/Q731&gt;2,Y731/Q731&lt;0.5),"NM",Y731/Q731*100-100))</f>
        <v>12.634293081220463</v>
      </c>
      <c r="AA731" s="276">
        <v>5611</v>
      </c>
      <c r="AB731" s="223" t="str">
        <f>IF(ISERROR(AA731/S731),"NA",IF(OR(AA731/S731&gt;2,AA731/S731&lt;0.5),"NM",AA731/S731*100-100))</f>
        <v>NA</v>
      </c>
      <c r="AC731" s="276">
        <v>5895</v>
      </c>
      <c r="AD731" s="223">
        <f>IF(ISERROR(AC731/U731),"NA",IF(OR(AC731/U731&gt;2,AC731/U731&lt;0.5),"NM",AC731/U731*100-100))</f>
        <v>-16.536882344612764</v>
      </c>
      <c r="AE731" s="276">
        <v>5694</v>
      </c>
      <c r="AF731" s="223">
        <f>IF(ISERROR(AE731/W731),"NA",IF(OR(AE731/W731&gt;2,AE731/W731&lt;0.5),"NM",AE731/W731*100-100))</f>
        <v>-17.989341783090879</v>
      </c>
      <c r="AG731" s="276">
        <v>5894</v>
      </c>
      <c r="AH731" s="223">
        <f>IF(ISERROR(AG731/Y731),"NA",IF(OR(AG731/Y731&gt;2,AG731/Y731&lt;0.5),"NM",AG731/Y731*100-100))</f>
        <v>-25.041332824621648</v>
      </c>
      <c r="AI731" s="276">
        <v>5774</v>
      </c>
      <c r="AJ731" s="223">
        <f>IF(ISERROR(AI731/AA731),"NA",IF(OR(AI731/AA731&gt;2,AI731/AA731&lt;0.5),"NM",AI731/AA731*100-100))</f>
        <v>2.9050080199607891</v>
      </c>
      <c r="AK731" s="276">
        <v>3831</v>
      </c>
      <c r="AL731" s="223">
        <f>IF(ISERROR(AK731/AC731),"NA",IF(OR(AK731/AC731&gt;2,AK731/AC731&lt;0.5),"NM",AK731/AC731*100-100))</f>
        <v>-35.012722646310436</v>
      </c>
      <c r="AM731" s="276">
        <v>4074</v>
      </c>
      <c r="AN731" s="223">
        <f>IF(ISERROR(AM731/AE731),"NA",IF(OR(AM731/AE731&gt;2,AM731/AE731&lt;0.5),"NM",AM731/AE731*100-100))</f>
        <v>-28.451001053740782</v>
      </c>
      <c r="AO731" s="276">
        <v>4592</v>
      </c>
      <c r="AP731" s="223">
        <f>IF(ISERROR(AO731/AG731),"NA",IF(OR(AO731/AG731&gt;2,AO731/AG731&lt;0.5),"NM",AO731/AG731*100-100))</f>
        <v>-22.090261282660322</v>
      </c>
      <c r="AQ731" s="276">
        <v>4893</v>
      </c>
      <c r="AR731" s="223">
        <f>IF(ISERROR(AQ731/AI731),"NA",IF(OR(AQ731/AI731&gt;2,AQ731/AI731&lt;0.5),"NM",AQ731/AI731*100-100))</f>
        <v>-15.25805334257015</v>
      </c>
      <c r="AS731" s="276">
        <v>4936</v>
      </c>
      <c r="AT731" s="223">
        <f>IF(ISERROR(AS731/AK731),"NA",IF(OR(AS731/AK731&gt;2,AS731/AK731&lt;0.5),"NM",AS731/AK731*100-100))</f>
        <v>28.843643957191318</v>
      </c>
      <c r="AU731" s="276">
        <v>5301</v>
      </c>
      <c r="AV731" s="223">
        <f>IF(ISERROR(AU731/AM731),"NA",IF(OR(AU731/AM731&gt;2,AU731/AM731&lt;0.5),"NM",AU731/AM731*100-100))</f>
        <v>30.117820324005891</v>
      </c>
      <c r="AW731" s="276">
        <v>3961</v>
      </c>
      <c r="AX731" s="223">
        <f>IF(ISERROR(AW731/AO731),"NA",IF(OR(AW731/AO731&gt;2,AW731/AO731&lt;0.5),"NM",AW731/AO731*100-100))</f>
        <v>-13.741289198606282</v>
      </c>
      <c r="AY731" s="276">
        <v>3962</v>
      </c>
      <c r="AZ731" s="223">
        <f>IF(ISERROR(AY731/AQ731),"NA",IF(OR(AY731/AQ731&gt;2,AY731/AQ731&lt;0.5),"NM",AY731/AQ731*100-100))</f>
        <v>-19.027181688125893</v>
      </c>
      <c r="BA731" s="276">
        <v>3003</v>
      </c>
      <c r="BB731" s="223">
        <f>IF(ISERROR(BA731/AS731),"NA",IF(OR(BA731/AS731&gt;2,BA731/AS731&lt;0.5),"NM",BA731/AS731*100-100))</f>
        <v>-39.161264181523507</v>
      </c>
      <c r="BC731" s="276">
        <v>3444</v>
      </c>
      <c r="BD731" s="223">
        <f>IF(ISERROR(BC731/AU731),"NA",IF(OR(BC731/AU731&gt;2,BC731/AU731&lt;0.5),"NM",BC731/AU731*100-100))</f>
        <v>-35.031126202603275</v>
      </c>
      <c r="BE731" s="276">
        <v>2587</v>
      </c>
      <c r="BF731" s="223">
        <f>IF(ISERROR(BE731/AW731),"NA",IF(OR(BE731/AW731&gt;2,BE731/AW731&lt;0.5),"NM",BE731/AW731*100-100))</f>
        <v>-34.688210047967686</v>
      </c>
      <c r="BG731" s="276">
        <v>2640</v>
      </c>
      <c r="BH731" s="223">
        <f>IF(ISERROR(BG731/AY731),"NA",IF(OR(BG731/AY731&gt;2,BG731/AY731&lt;0.5),"NM",BG731/AY731*100-100))</f>
        <v>-33.366986370519939</v>
      </c>
      <c r="BI731" s="276">
        <v>2726</v>
      </c>
      <c r="BJ731" s="223">
        <f>IF(ISERROR(BI731/BA731),"NA",IF(OR(BI731/BA731&gt;2,BI731/BA731&lt;0.5),"NM",BI731/BA731*100-100))</f>
        <v>-9.2241092241092275</v>
      </c>
      <c r="BK731" s="276">
        <v>2911</v>
      </c>
      <c r="BL731" s="223">
        <f>IF(ISERROR(BK731/BC731),"NA",IF(OR(BK731/BC731&gt;2,BK731/BC731&lt;0.5),"NM",BK731/BC731*100-100))</f>
        <v>-15.476190476190482</v>
      </c>
      <c r="BM731" s="276">
        <v>2487</v>
      </c>
      <c r="BN731" s="223">
        <f>IF(ISERROR(BM731/BE731),"NA",IF(OR(BM731/BE731&gt;2,BM731/BE731&lt;0.5),"NM",BM731/BE731*100-100))</f>
        <v>-3.8654812524159183</v>
      </c>
      <c r="BO731" s="276">
        <v>967</v>
      </c>
      <c r="BP731" s="223" t="str">
        <f>IF(ISERROR(BO731/BG731),"NA",IF(OR(BO731/BG731&gt;2,BO731/BG731&lt;0.5),"NM",BO731/BG731*100-100))</f>
        <v>NM</v>
      </c>
      <c r="BQ731" s="276">
        <v>552</v>
      </c>
      <c r="BR731" s="223" t="str">
        <f>IF(ISERROR(BQ731/BI731),"NA",IF(OR(BQ731/BI731&gt;2,BQ731/BI731&lt;0.5),"NM",BQ731/BI731*100-100))</f>
        <v>NM</v>
      </c>
      <c r="BS731" s="276">
        <v>-308</v>
      </c>
      <c r="BT731" s="223" t="str">
        <f>IF(ISERROR(BS731/BK731),"NA",IF(OR(BS731/BK731&gt;2,BS731/BK731&lt;0.5),"NM",BS731/BK731*100-100))</f>
        <v>NM</v>
      </c>
      <c r="BU731" s="276">
        <v>119</v>
      </c>
      <c r="BV731" s="223" t="str">
        <f>IF(ISERROR(BU731/BM731),"NA",IF(OR(BU731/BM731&gt;2,BU731/BM731&lt;0.5),"NM",BU731/BM731*100-100))</f>
        <v>NM</v>
      </c>
      <c r="BW731" s="276">
        <v>422</v>
      </c>
      <c r="BX731" s="223" t="str">
        <f>IF(ISERROR(BW731/BO731),"NA",IF(OR(BW731/BO731&gt;2,BW731/BO731&lt;0.5),"NM",BW731/BO731*100-100))</f>
        <v>NM</v>
      </c>
      <c r="BY731" s="276">
        <v>1427</v>
      </c>
      <c r="BZ731" s="223" t="str">
        <f>IF(ISERROR(BY731/BQ731),"NA",IF(OR(BY731/BQ731&gt;2,BY731/BQ731&lt;0.5),"NM",BY731/BQ731*100-100))</f>
        <v>NM</v>
      </c>
      <c r="CA731" s="276">
        <v>1853</v>
      </c>
      <c r="CB731" s="223" t="str">
        <f>IF(ISERROR(CA731/BS731),"NA",IF(OR(CA731/BS731&gt;2,CA731/BS731&lt;0.5),"NM",CA731/BS731*100-100))</f>
        <v>NM</v>
      </c>
      <c r="CC731" s="276">
        <v>2098</v>
      </c>
      <c r="CD731" s="223" t="str">
        <f>IF(ISERROR(CC731/BU731),"NA",IF(OR(CC731/BU731&gt;2,CC731/BU731&lt;0.5),"NM",CC731/BU731*100-100))</f>
        <v>NM</v>
      </c>
      <c r="CE731" s="276">
        <v>1988</v>
      </c>
      <c r="CF731" s="223" t="str">
        <f>IF(ISERROR(CE731/BW731),"NA",IF(OR(CE731/BW731&gt;2,CE731/BW731&lt;0.5),"NM",CE731/BW731*100-100))</f>
        <v>NM</v>
      </c>
      <c r="CG731" s="276">
        <v>1988</v>
      </c>
      <c r="CH731" s="223">
        <f>IF(ISERROR(CG731/BY731),"NA",IF(OR(CG731/BY731&gt;2,CG731/BY731&lt;0.5),"NM",CG731/BY731*100-100))</f>
        <v>39.313244569025926</v>
      </c>
      <c r="CI731" s="276">
        <v>1988</v>
      </c>
      <c r="CJ731" s="223">
        <f>IF(ISERROR(CI731/CA731),"NA",IF(OR(CI731/CA731&gt;2,CI731/CA731&lt;0.5),"NM",CI731/CA731*100-100))</f>
        <v>7.2854830005396565</v>
      </c>
      <c r="CK731" s="276">
        <v>1988</v>
      </c>
      <c r="CL731" s="223">
        <f>IF(ISERROR(CK731/CC731),"NA",IF(OR(CK731/CC731&gt;2,CK731/CC731&lt;0.5),"NM",CK731/CC731*100-100))</f>
        <v>-5.2430886558627208</v>
      </c>
      <c r="CM731" s="276"/>
      <c r="CN731" s="223"/>
      <c r="CO731" s="276"/>
      <c r="CP731" s="223"/>
      <c r="CQ731" s="276"/>
      <c r="CR731" s="223"/>
      <c r="CS731" s="276"/>
      <c r="CT731" s="223"/>
      <c r="CU731" s="276"/>
      <c r="CV731" s="223"/>
      <c r="CW731" s="276"/>
      <c r="CX731" s="223"/>
      <c r="CY731" s="276"/>
      <c r="CZ731" s="223"/>
      <c r="DA731" s="276"/>
      <c r="DB731" s="223"/>
      <c r="DC731" s="276"/>
      <c r="DD731" s="223"/>
      <c r="DE731" s="276"/>
      <c r="DF731" s="223"/>
      <c r="DG731" s="276"/>
      <c r="DH731" s="223"/>
      <c r="DI731" s="276"/>
      <c r="DJ731" s="223"/>
      <c r="DK731" s="276"/>
      <c r="DL731" s="223"/>
      <c r="DM731" s="276"/>
      <c r="DN731" s="223"/>
      <c r="DO731" s="276"/>
      <c r="DP731" s="223"/>
      <c r="DQ731" s="276"/>
      <c r="DR731" s="223"/>
      <c r="DS731" s="276"/>
      <c r="DT731" s="223"/>
      <c r="DU731" s="276"/>
      <c r="DV731" s="223"/>
      <c r="DW731" s="224"/>
      <c r="DX731" s="223"/>
      <c r="DY731" s="224"/>
      <c r="DZ731" s="223"/>
      <c r="EA731" s="224"/>
      <c r="EB731" s="223"/>
      <c r="EC731" s="224"/>
      <c r="ED731" s="223"/>
      <c r="EE731" s="224"/>
      <c r="EF731" s="223"/>
      <c r="EG731" s="224"/>
      <c r="EH731" s="223"/>
      <c r="EI731" s="224"/>
      <c r="EJ731" s="223"/>
      <c r="EK731" s="224"/>
      <c r="EL731" s="223"/>
      <c r="EM731" s="224"/>
      <c r="EN731" s="223"/>
      <c r="EO731" s="224"/>
      <c r="EP731" s="223"/>
      <c r="EQ731" s="224"/>
      <c r="ER731" s="223"/>
      <c r="ES731" s="224"/>
      <c r="ET731" s="223"/>
      <c r="EU731" s="224"/>
      <c r="EV731" s="223"/>
      <c r="EW731" s="224"/>
      <c r="EX731" s="223"/>
      <c r="EY731" s="223"/>
      <c r="EZ731" s="296"/>
      <c r="FA731" s="223"/>
      <c r="FB731" s="271"/>
      <c r="FC731" s="272"/>
      <c r="FD731" s="276"/>
      <c r="FE731" s="223"/>
      <c r="FF731" s="276">
        <v>3166</v>
      </c>
      <c r="FG731" s="223" t="str">
        <f>IF(ISERROR(FF731/FD731),"NA",IF(OR(FF731/FD731&gt;2,FF731/FD731&lt;0.5),"NM",FF731/FD731*100-100))</f>
        <v>NA</v>
      </c>
      <c r="FH731" s="222">
        <f>Q731</f>
        <v>6981</v>
      </c>
      <c r="FI731" s="223" t="str">
        <f>IF(ISERROR(FH731/FF731),"NA",IF(OR(FH731/FF731&gt;2,FH731/FF731&lt;0.5),"NM",FH731/FF731*100-100))</f>
        <v>NM</v>
      </c>
      <c r="FJ731" s="222">
        <f>Y731</f>
        <v>7863</v>
      </c>
      <c r="FK731" s="223">
        <f>IF(ISERROR(FJ731/FH731),"NA",IF(OR(FJ731/FH731&gt;2,FJ731/FH731&lt;0.5),"NM",FJ731/FH731*100-100))</f>
        <v>12.634293081220463</v>
      </c>
      <c r="FL731" s="222">
        <f>AG731</f>
        <v>5894</v>
      </c>
      <c r="FM731" s="223">
        <f>IF(ISERROR(FL731/FJ731),"NA",IF(OR(FL731/FJ731&gt;2,FL731/FJ731&lt;0.5),"NM",FL731/FJ731*100-100))</f>
        <v>-25.041332824621648</v>
      </c>
      <c r="FN731" s="222"/>
      <c r="FO731" s="223"/>
      <c r="FP731" s="222"/>
      <c r="FQ731" s="223"/>
      <c r="FR731" s="224"/>
      <c r="FS731" s="223"/>
      <c r="FT731" s="224"/>
      <c r="FU731" s="223"/>
      <c r="FV731" s="224"/>
      <c r="FW731" s="223" t="str">
        <f>IF(ISERROR(FV731/FT731),"NA",IF(OR(FV731/FT731&gt;2,FV731/FT731&lt;0.5),"NM",FV731/FT731*100-100))</f>
        <v>NA</v>
      </c>
      <c r="FX731" s="224"/>
      <c r="FY731" s="223" t="str">
        <f>IF(ISERROR(FX731/FV731),"NA",IF(OR(FX731/FV731&gt;2,FX731/FV731&lt;0.5),"NM",FX731/FV731*100-100))</f>
        <v>NA</v>
      </c>
      <c r="FZ731" s="224"/>
      <c r="GA731" s="223" t="str">
        <f>IF(ISERROR(FZ731/FX731),"NA",IF(OR(FZ731/FX731&gt;2,FZ731/FX731&lt;0.5),"NM",FZ731/FX731*100-100))</f>
        <v>NA</v>
      </c>
      <c r="GB731" s="224"/>
      <c r="GC731" s="223" t="str">
        <f>IF(ISERROR(GB731/FZ731),"NA",IF(OR(GB731/FZ731&gt;2,GB731/FZ731&lt;0.5),"NM",GB731/FZ731*100-100))</f>
        <v>NA</v>
      </c>
      <c r="GD731" s="224"/>
      <c r="GE731" s="223" t="str">
        <f>IF(ISERROR(GD731/GB731),"NA",IF(OR(GD731/GB731&gt;2,GD731/GB731&lt;0.5),"NM",GD731/GB731*100-100))</f>
        <v>NA</v>
      </c>
      <c r="GF731" s="224"/>
      <c r="GG731" s="223" t="str">
        <f>IF(ISERROR(GF731/GD731),"NA",IF(OR(GF731/GD731&gt;2,GF731/GD731&lt;0.5),"NM",GF731/GD731*100-100))</f>
        <v>NA</v>
      </c>
      <c r="GH731" s="224"/>
      <c r="GI731" s="223" t="str">
        <f>IF(ISERROR(GH731/GF731),"NA",IF(OR(GH731/GF731&gt;2,GH731/GF731&lt;0.5),"NM",GH731/GF731*100-100))</f>
        <v>NA</v>
      </c>
      <c r="GJ731" s="224"/>
      <c r="GK731" s="223" t="str">
        <f>IF(ISERROR(GJ731/GH731),"NA",IF(OR(GJ731/GH731&gt;2,GJ731/GH731&lt;0.5),"NM",GJ731/GH731*100-100))</f>
        <v>NA</v>
      </c>
      <c r="GL731" s="224"/>
      <c r="GM731" s="223" t="str">
        <f>IF(ISERROR(GL731/GJ731),"NA",IF(OR(GL731/GJ731&gt;2,GL731/GJ731&lt;0.5),"NM",GL731/GJ731*100-100))</f>
        <v>NA</v>
      </c>
      <c r="GN731" s="224"/>
      <c r="GO731" s="223" t="str">
        <f>IF(ISERROR(GN731/GL731),"NA",IF(OR(GN731/GL731&gt;2,GN731/GL731&lt;0.5),"NM",GN731/GL731*100-100))</f>
        <v>NA</v>
      </c>
      <c r="GP731" s="224"/>
      <c r="GQ731" s="223" t="str">
        <f>IF(ISERROR(GP731/GN731),"NA",IF(OR(GP731/GN731&gt;2,GP731/GN731&lt;0.5),"NM",GP731/GN731*100-100))</f>
        <v>NA</v>
      </c>
      <c r="GR731" s="224"/>
      <c r="GS731" s="223" t="str">
        <f>IF(ISERROR(GR731/GP731),"NA",IF(OR(GR731/GP731&gt;2,GR731/GP731&lt;0.5),"NM",GR731/GP731*100-100))</f>
        <v>NA</v>
      </c>
      <c r="GT731" s="224"/>
      <c r="GU731" s="223" t="str">
        <f>IF(ISERROR(GT731/GR731),"NA",IF(OR(GT731/GR731&gt;2,GT731/GR731&lt;0.5),"NM",GT731/GR731*100-100))</f>
        <v>NA</v>
      </c>
      <c r="GV731" s="224"/>
      <c r="GW731" s="223" t="str">
        <f>IF(ISERROR(GV731/GT731),"NA",IF(OR(GV731/GT731&gt;2,GV731/GT731&lt;0.5),"NM",GV731/GT731*100-100))</f>
        <v>NA</v>
      </c>
      <c r="GX731" s="224"/>
      <c r="GY731" s="223" t="str">
        <f>IF(ISERROR(GX731/GV731),"NA",IF(OR(GX731/GV731&gt;2,GX731/GV731&lt;0.5),"NM",GX731/GV731*100-100))</f>
        <v>NA</v>
      </c>
      <c r="GZ731" s="223"/>
      <c r="HA731" s="223"/>
      <c r="HB731" s="223"/>
      <c r="HC731"/>
      <c r="HD731"/>
      <c r="HE731"/>
      <c r="HF731"/>
      <c r="HG731"/>
      <c r="HH731"/>
      <c r="HI731" s="273"/>
    </row>
    <row r="732" spans="2:217" s="269" customFormat="1" ht="12.75" hidden="1" customHeight="1" outlineLevel="1" x14ac:dyDescent="0.2">
      <c r="B732" s="275" t="s">
        <v>113</v>
      </c>
      <c r="C732" s="222"/>
      <c r="D732" s="272"/>
      <c r="E732" s="222"/>
      <c r="F732" s="272"/>
      <c r="G732" s="222"/>
      <c r="H732" s="272"/>
      <c r="I732" s="222"/>
      <c r="J732" s="272"/>
      <c r="K732" s="222"/>
      <c r="L732" s="223" t="str">
        <f>IF(ISERROR(K732/C732),"NA",IF(OR(K732/C732&gt;2,K732/C732&lt;0.5),"NM",K732/C732*100-100))</f>
        <v>NA</v>
      </c>
      <c r="M732" s="222"/>
      <c r="N732" s="223" t="str">
        <f>IF(ISERROR(M732/E732),"NA",IF(OR(M732/E732&gt;2,M732/E732&lt;0.5),"NM",M732/E732*100-100))</f>
        <v>NA</v>
      </c>
      <c r="O732" s="222"/>
      <c r="P732" s="223" t="str">
        <f>IF(ISERROR(O732/G732),"NA",IF(OR(O732/G732&gt;2,O732/G732&lt;0.5),"NM",O732/G732*100-100))</f>
        <v>NA</v>
      </c>
      <c r="Q732" s="222">
        <f>SUM(Q729:Q731)</f>
        <v>15422</v>
      </c>
      <c r="R732" s="223" t="str">
        <f>IF(ISERROR(Q732/I732),"NA",IF(OR(Q732/I732&gt;2,Q732/I732&lt;0.5),"NM",Q732/I732*100-100))</f>
        <v>NA</v>
      </c>
      <c r="S732" s="222" t="s">
        <v>476</v>
      </c>
      <c r="T732" s="223" t="str">
        <f>IF(ISERROR(S732/K732),"NA",IF(OR(S732/K732&gt;2,S732/K732&lt;0.5),"NM",S732/K732*100-100))</f>
        <v>NA</v>
      </c>
      <c r="U732" s="222">
        <f>SUM(U729:U731)</f>
        <v>15903</v>
      </c>
      <c r="V732" s="223" t="str">
        <f>IF(ISERROR(U732/M732),"NA",IF(OR(U732/M732&gt;2,U732/M732&lt;0.5),"NM",U732/M732*100-100))</f>
        <v>NA</v>
      </c>
      <c r="W732" s="222">
        <f>SUM(W729:W731)</f>
        <v>15868</v>
      </c>
      <c r="X732" s="223" t="str">
        <f>IF(ISERROR(W732/O732),"NA",IF(OR(W732/O732&gt;2,W732/O732&lt;0.5),"NM",W732/O732*100-100))</f>
        <v>NA</v>
      </c>
      <c r="Y732" s="222">
        <f>SUM(Y729:Y731)</f>
        <v>15493</v>
      </c>
      <c r="Z732" s="223">
        <f>IF(ISERROR(Y732/Q732),"NA",IF(OR(Y732/Q732&gt;2,Y732/Q732&lt;0.5),"NM",Y732/Q732*100-100))</f>
        <v>0.46038127350539071</v>
      </c>
      <c r="AA732" s="222">
        <f>SUM(AA729:AA731)</f>
        <v>14858</v>
      </c>
      <c r="AB732" s="223" t="str">
        <f>IF(ISERROR(AA732/S732),"NA",IF(OR(AA732/S732&gt;2,AA732/S732&lt;0.5),"NM",AA732/S732*100-100))</f>
        <v>NA</v>
      </c>
      <c r="AC732" s="222">
        <f>SUM(AC729:AC731)</f>
        <v>15106</v>
      </c>
      <c r="AD732" s="223">
        <f>IF(ISERROR(AC732/U732),"NA",IF(OR(AC732/U732&gt;2,AC732/U732&lt;0.5),"NM",AC732/U732*100-100))</f>
        <v>-5.0116330252153602</v>
      </c>
      <c r="AE732" s="222">
        <f>SUM(AE729:AE731)</f>
        <v>15106</v>
      </c>
      <c r="AF732" s="223">
        <f>IF(ISERROR(AE732/W732),"NA",IF(OR(AE732/W732&gt;2,AE732/W732&lt;0.5),"NM",AE732/W732*100-100))</f>
        <v>-4.8021174691202333</v>
      </c>
      <c r="AG732" s="222">
        <f>SUM(AG729:AG731)</f>
        <v>14785</v>
      </c>
      <c r="AH732" s="223">
        <f>IF(ISERROR(AG732/Y732),"NA",IF(OR(AG732/Y732&gt;2,AG732/Y732&lt;0.5),"NM",AG732/Y732*100-100))</f>
        <v>-4.5698057187116774</v>
      </c>
      <c r="AI732" s="222">
        <f>SUM(AI729:AI731)</f>
        <v>14777</v>
      </c>
      <c r="AJ732" s="223">
        <f>IF(ISERROR(AI732/AA732),"NA",IF(OR(AI732/AA732&gt;2,AI732/AA732&lt;0.5),"NM",AI732/AA732*100-100))</f>
        <v>-0.54516085610445941</v>
      </c>
      <c r="AK732" s="222">
        <f>SUM(AK729:AK731)</f>
        <v>12968</v>
      </c>
      <c r="AL732" s="223">
        <f>IF(ISERROR(AK732/AC732),"NA",IF(OR(AK732/AC732&gt;2,AK732/AC732&lt;0.5),"NM",AK732/AC732*100-100))</f>
        <v>-14.153316562955126</v>
      </c>
      <c r="AM732" s="222">
        <f>SUM(AM729:AM731)</f>
        <v>13165</v>
      </c>
      <c r="AN732" s="223">
        <f>IF(ISERROR(AM732/AE732),"NA",IF(OR(AM732/AE732&gt;2,AM732/AE732&lt;0.5),"NM",AM732/AE732*100-100))</f>
        <v>-12.849198993777307</v>
      </c>
      <c r="AO732" s="222">
        <f>SUM(AO729:AO731)</f>
        <v>13704</v>
      </c>
      <c r="AP732" s="223">
        <f>IF(ISERROR(AO732/AG732),"NA",IF(OR(AO732/AG732&gt;2,AO732/AG732&lt;0.5),"NM",AO732/AG732*100-100))</f>
        <v>-7.3114643219479234</v>
      </c>
      <c r="AQ732" s="222">
        <f>SUM(AQ729:AQ731)</f>
        <v>14171</v>
      </c>
      <c r="AR732" s="223">
        <f>IF(ISERROR(AQ732/AI732),"NA",IF(OR(AQ732/AI732&gt;2,AQ732/AI732&lt;0.5),"NM",AQ732/AI732*100-100))</f>
        <v>-4.1009677201055723</v>
      </c>
      <c r="AS732" s="222">
        <f>SUM(AS729:AS731)</f>
        <v>14622</v>
      </c>
      <c r="AT732" s="223">
        <f>IF(ISERROR(AS732/AK732),"NA",IF(OR(AS732/AK732&gt;2,AS732/AK732&lt;0.5),"NM",AS732/AK732*100-100))</f>
        <v>12.754472547809996</v>
      </c>
      <c r="AU732" s="222">
        <f>SUM(AU729:AU731)</f>
        <v>15389</v>
      </c>
      <c r="AV732" s="223">
        <f>IF(ISERROR(AU732/AM732),"NA",IF(OR(AU732/AM732&gt;2,AU732/AM732&lt;0.5),"NM",AU732/AM732*100-100))</f>
        <v>16.893277630079751</v>
      </c>
      <c r="AW732" s="222">
        <f>SUM(AW729:AW731)</f>
        <v>14597</v>
      </c>
      <c r="AX732" s="223">
        <f>IF(ISERROR(AW732/AO732),"NA",IF(OR(AW732/AO732&gt;2,AW732/AO732&lt;0.5),"NM",AW732/AO732*100-100))</f>
        <v>6.5163455925277418</v>
      </c>
      <c r="AY732" s="222">
        <f t="shared" ref="AY732:BT732" si="3522">SUM(AY728:AY731)</f>
        <v>20717</v>
      </c>
      <c r="AZ732" s="222">
        <f t="shared" si="3522"/>
        <v>22.224619701271962</v>
      </c>
      <c r="BA732" s="222">
        <f t="shared" si="3522"/>
        <v>20604</v>
      </c>
      <c r="BB732" s="222">
        <f t="shared" si="3522"/>
        <v>8.4141710135889838</v>
      </c>
      <c r="BC732" s="222">
        <f t="shared" si="3522"/>
        <v>22053</v>
      </c>
      <c r="BD732" s="222">
        <f t="shared" si="3522"/>
        <v>21.741845669786755</v>
      </c>
      <c r="BE732" s="222">
        <f t="shared" si="3522"/>
        <v>21690</v>
      </c>
      <c r="BF732" s="222">
        <f t="shared" si="3522"/>
        <v>14.002504757420155</v>
      </c>
      <c r="BG732" s="222">
        <f t="shared" si="3522"/>
        <v>22265</v>
      </c>
      <c r="BH732" s="222">
        <f t="shared" si="3522"/>
        <v>19.478727012370058</v>
      </c>
      <c r="BI732" s="222">
        <f t="shared" si="3522"/>
        <v>21718</v>
      </c>
      <c r="BJ732" s="222">
        <f t="shared" si="3522"/>
        <v>16.08144440313302</v>
      </c>
      <c r="BK732" s="222">
        <f t="shared" si="3522"/>
        <v>21751</v>
      </c>
      <c r="BL732" s="222">
        <f t="shared" si="3522"/>
        <v>-11.585788534982171</v>
      </c>
      <c r="BM732" s="222">
        <f t="shared" si="3522"/>
        <v>21711</v>
      </c>
      <c r="BN732" s="222">
        <f t="shared" si="3522"/>
        <v>-1.8151675303479919</v>
      </c>
      <c r="BO732" s="222">
        <f t="shared" si="3522"/>
        <v>21727</v>
      </c>
      <c r="BP732" s="222">
        <f t="shared" si="3522"/>
        <v>17.93839187600085</v>
      </c>
      <c r="BQ732" s="222">
        <f t="shared" si="3522"/>
        <v>21733</v>
      </c>
      <c r="BR732" s="222">
        <f t="shared" si="3522"/>
        <v>35.357036123197091</v>
      </c>
      <c r="BS732" s="222">
        <f t="shared" si="3522"/>
        <v>21314</v>
      </c>
      <c r="BT732" s="222">
        <f t="shared" si="3522"/>
        <v>45.059702119760075</v>
      </c>
      <c r="BU732" s="222">
        <f>SUM(BU728:BU731)</f>
        <v>19529</v>
      </c>
      <c r="BV732" s="223">
        <f>IF(ISERROR(BU732/BM732),"NA",IF(OR(BU732/BM732&gt;2,BU732/BM732&lt;0.5),"NM",BU732/BM732*100-100))</f>
        <v>-10.050204965224992</v>
      </c>
      <c r="BW732" s="222">
        <f>SUM(BW728:BW731)</f>
        <v>20238</v>
      </c>
      <c r="BX732" s="223">
        <f>IF(ISERROR(BW732/BO732),"NA",IF(OR(BW732/BO732&gt;2,BW732/BO732&lt;0.5),"NM",BW732/BO732*100-100))</f>
        <v>-6.8532240990472673</v>
      </c>
      <c r="BY732" s="222">
        <f>SUM(BY728:BY731)</f>
        <v>22194</v>
      </c>
      <c r="BZ732" s="223">
        <f>IF(ISERROR(BY732/BQ732),"NA",IF(OR(BY732/BQ732&gt;2,BY732/BQ732&lt;0.5),"NM",BY732/BQ732*100-100))</f>
        <v>2.1211981778861571</v>
      </c>
      <c r="CA732" s="222">
        <f>SUM(CA728:CA731)</f>
        <v>23338</v>
      </c>
      <c r="CB732" s="223">
        <f>IF(ISERROR(CA732/BS732),"NA",IF(OR(CA732/BS732&gt;2,CA732/BS732&lt;0.5),"NM",CA732/BS732*100-100))</f>
        <v>9.4961058459228695</v>
      </c>
      <c r="CC732" s="222">
        <f>SUM(CC728:CC731)</f>
        <v>24728</v>
      </c>
      <c r="CD732" s="223">
        <f>IF(ISERROR(CC732/BU732),"NA",IF(OR(CC732/BU732&gt;2,CC732/BU732&lt;0.5),"NM",CC732/BU732*100-100))</f>
        <v>26.62194684827692</v>
      </c>
      <c r="CE732" s="222">
        <f>SUM(CE728:CE731)</f>
        <v>25318</v>
      </c>
      <c r="CF732" s="223">
        <f>IF(ISERROR(CE732/BW732),"NA",IF(OR(CE732/BW732&gt;2,CE732/BW732&lt;0.5),"NM",CE732/BW732*100-100))</f>
        <v>25.101294594327499</v>
      </c>
      <c r="CG732" s="222">
        <f>SUM(CG728:CG731)</f>
        <v>25318</v>
      </c>
      <c r="CH732" s="223">
        <f>IF(ISERROR(CG732/BY732),"NA",IF(OR(CG732/BY732&gt;2,CG732/BY732&lt;0.5),"NM",CG732/BY732*100-100))</f>
        <v>14.075876362980978</v>
      </c>
      <c r="CI732" s="222">
        <f>SUM(CI728:CI731)</f>
        <v>25318</v>
      </c>
      <c r="CJ732" s="223">
        <f>IF(ISERROR(CI732/CA732),"NA",IF(OR(CI732/CA732&gt;2,CI732/CA732&lt;0.5),"NM",CI732/CA732*100-100))</f>
        <v>8.4840174822178369</v>
      </c>
      <c r="CK732" s="222">
        <f>SUM(CK728:CK731)</f>
        <v>25318</v>
      </c>
      <c r="CL732" s="223">
        <f>IF(ISERROR(CK732/CC732),"NA",IF(OR(CK732/CC732&gt;2,CK732/CC732&lt;0.5),"NM",CK732/CC732*100-100))</f>
        <v>2.3859592364930506</v>
      </c>
      <c r="CM732" s="222"/>
      <c r="CN732" s="223"/>
      <c r="CO732" s="222"/>
      <c r="CP732" s="223"/>
      <c r="CQ732" s="222"/>
      <c r="CR732" s="223"/>
      <c r="CS732" s="222"/>
      <c r="CT732" s="223"/>
      <c r="CU732" s="222"/>
      <c r="CV732" s="223"/>
      <c r="CW732" s="222"/>
      <c r="CX732" s="223"/>
      <c r="CY732" s="222"/>
      <c r="CZ732" s="223"/>
      <c r="DA732" s="222"/>
      <c r="DB732" s="223"/>
      <c r="DC732" s="222"/>
      <c r="DD732" s="223"/>
      <c r="DE732" s="222"/>
      <c r="DF732" s="223"/>
      <c r="DG732" s="222"/>
      <c r="DH732" s="223"/>
      <c r="DI732" s="222"/>
      <c r="DJ732" s="223"/>
      <c r="DK732" s="222"/>
      <c r="DL732" s="223"/>
      <c r="DM732" s="222"/>
      <c r="DN732" s="223"/>
      <c r="DO732" s="222"/>
      <c r="DP732" s="223"/>
      <c r="DQ732" s="222"/>
      <c r="DR732" s="223"/>
      <c r="DS732" s="222"/>
      <c r="DT732" s="223"/>
      <c r="DU732" s="222"/>
      <c r="DV732" s="223"/>
      <c r="DW732" s="224"/>
      <c r="DX732" s="223"/>
      <c r="DY732" s="224"/>
      <c r="DZ732" s="223"/>
      <c r="EA732" s="224"/>
      <c r="EB732" s="223"/>
      <c r="EC732" s="224"/>
      <c r="ED732" s="223"/>
      <c r="EE732" s="224"/>
      <c r="EF732" s="223"/>
      <c r="EG732" s="224"/>
      <c r="EH732" s="223"/>
      <c r="EI732" s="224"/>
      <c r="EJ732" s="223"/>
      <c r="EK732" s="224"/>
      <c r="EL732" s="223"/>
      <c r="EM732" s="224"/>
      <c r="EN732" s="223"/>
      <c r="EO732" s="224"/>
      <c r="EP732" s="223"/>
      <c r="EQ732" s="224"/>
      <c r="ER732" s="223"/>
      <c r="ES732" s="224"/>
      <c r="ET732" s="223"/>
      <c r="EU732" s="224"/>
      <c r="EV732" s="223"/>
      <c r="EW732" s="224"/>
      <c r="EX732" s="223"/>
      <c r="EY732" s="223"/>
      <c r="EZ732" s="296"/>
      <c r="FA732" s="223"/>
      <c r="FB732" s="271"/>
      <c r="FC732" s="272"/>
      <c r="FD732" s="276"/>
      <c r="FE732" s="223"/>
      <c r="FF732" s="222">
        <f>SUM(FF729:FF731)</f>
        <v>10275</v>
      </c>
      <c r="FG732" s="223" t="str">
        <f>IF(ISERROR(FF732/FD732),"NA",IF(OR(FF732/FD732&gt;2,FF732/FD732&lt;0.5),"NM",FF732/FD732*100-100))</f>
        <v>NA</v>
      </c>
      <c r="FH732" s="222">
        <f>SUM(FH729:FH731)</f>
        <v>15422</v>
      </c>
      <c r="FI732" s="223">
        <f>IF(ISERROR(FH732/FF732),"NA",IF(OR(FH732/FF732&gt;2,FH732/FF732&lt;0.5),"NM",FH732/FF732*100-100))</f>
        <v>50.092457420924575</v>
      </c>
      <c r="FJ732" s="222">
        <f>SUM(FJ729:FJ731)</f>
        <v>15493</v>
      </c>
      <c r="FK732" s="223">
        <f>IF(ISERROR(FJ732/FH732),"NA",IF(OR(FJ732/FH732&gt;2,FJ732/FH732&lt;0.5),"NM",FJ732/FH732*100-100))</f>
        <v>0.46038127350539071</v>
      </c>
      <c r="FL732" s="222">
        <f>SUM(FL729:FL731)</f>
        <v>14785</v>
      </c>
      <c r="FM732" s="223">
        <f>IF(ISERROR(FL732/FJ732),"NA",IF(OR(FL732/FJ732&gt;2,FL732/FJ732&lt;0.5),"NM",FL732/FJ732*100-100))</f>
        <v>-4.5698057187116774</v>
      </c>
      <c r="FN732" s="222"/>
      <c r="FO732" s="223"/>
      <c r="FP732" s="222"/>
      <c r="FQ732" s="223"/>
      <c r="FR732" s="224"/>
      <c r="FS732" s="223"/>
      <c r="FT732" s="224"/>
      <c r="FU732" s="223"/>
      <c r="FV732" s="224"/>
      <c r="FW732" s="223" t="str">
        <f>IF(ISERROR(FV732/FT732),"NA",IF(OR(FV732/FT732&gt;2,FV732/FT732&lt;0.5),"NM",FV732/FT732*100-100))</f>
        <v>NA</v>
      </c>
      <c r="FX732" s="224"/>
      <c r="FY732" s="223" t="str">
        <f>IF(ISERROR(FX732/FV732),"NA",IF(OR(FX732/FV732&gt;2,FX732/FV732&lt;0.5),"NM",FX732/FV732*100-100))</f>
        <v>NA</v>
      </c>
      <c r="FZ732" s="224"/>
      <c r="GA732" s="223" t="str">
        <f>IF(ISERROR(FZ732/FX732),"NA",IF(OR(FZ732/FX732&gt;2,FZ732/FX732&lt;0.5),"NM",FZ732/FX732*100-100))</f>
        <v>NA</v>
      </c>
      <c r="GB732" s="224"/>
      <c r="GC732" s="223" t="str">
        <f>IF(ISERROR(GB732/FZ732),"NA",IF(OR(GB732/FZ732&gt;2,GB732/FZ732&lt;0.5),"NM",GB732/FZ732*100-100))</f>
        <v>NA</v>
      </c>
      <c r="GD732" s="224"/>
      <c r="GE732" s="223" t="str">
        <f>IF(ISERROR(GD732/GB732),"NA",IF(OR(GD732/GB732&gt;2,GD732/GB732&lt;0.5),"NM",GD732/GB732*100-100))</f>
        <v>NA</v>
      </c>
      <c r="GF732" s="224"/>
      <c r="GG732" s="223" t="str">
        <f>IF(ISERROR(GF732/GD732),"NA",IF(OR(GF732/GD732&gt;2,GF732/GD732&lt;0.5),"NM",GF732/GD732*100-100))</f>
        <v>NA</v>
      </c>
      <c r="GH732" s="224"/>
      <c r="GI732" s="223" t="str">
        <f>IF(ISERROR(GH732/GF732),"NA",IF(OR(GH732/GF732&gt;2,GH732/GF732&lt;0.5),"NM",GH732/GF732*100-100))</f>
        <v>NA</v>
      </c>
      <c r="GJ732" s="224"/>
      <c r="GK732" s="223" t="str">
        <f>IF(ISERROR(GJ732/GH732),"NA",IF(OR(GJ732/GH732&gt;2,GJ732/GH732&lt;0.5),"NM",GJ732/GH732*100-100))</f>
        <v>NA</v>
      </c>
      <c r="GL732" s="224"/>
      <c r="GM732" s="223" t="str">
        <f>IF(ISERROR(GL732/GJ732),"NA",IF(OR(GL732/GJ732&gt;2,GL732/GJ732&lt;0.5),"NM",GL732/GJ732*100-100))</f>
        <v>NA</v>
      </c>
      <c r="GN732" s="224"/>
      <c r="GO732" s="223" t="str">
        <f>IF(ISERROR(GN732/GL732),"NA",IF(OR(GN732/GL732&gt;2,GN732/GL732&lt;0.5),"NM",GN732/GL732*100-100))</f>
        <v>NA</v>
      </c>
      <c r="GP732" s="224"/>
      <c r="GQ732" s="223" t="str">
        <f>IF(ISERROR(GP732/GN732),"NA",IF(OR(GP732/GN732&gt;2,GP732/GN732&lt;0.5),"NM",GP732/GN732*100-100))</f>
        <v>NA</v>
      </c>
      <c r="GR732" s="224"/>
      <c r="GS732" s="223" t="str">
        <f>IF(ISERROR(GR732/GP732),"NA",IF(OR(GR732/GP732&gt;2,GR732/GP732&lt;0.5),"NM",GR732/GP732*100-100))</f>
        <v>NA</v>
      </c>
      <c r="GT732" s="224"/>
      <c r="GU732" s="223" t="str">
        <f>IF(ISERROR(GT732/GR732),"NA",IF(OR(GT732/GR732&gt;2,GT732/GR732&lt;0.5),"NM",GT732/GR732*100-100))</f>
        <v>NA</v>
      </c>
      <c r="GV732" s="224"/>
      <c r="GW732" s="223" t="str">
        <f>IF(ISERROR(GV732/GT732),"NA",IF(OR(GV732/GT732&gt;2,GV732/GT732&lt;0.5),"NM",GV732/GT732*100-100))</f>
        <v>NA</v>
      </c>
      <c r="GX732" s="224"/>
      <c r="GY732" s="223" t="str">
        <f>IF(ISERROR(GX732/GV732),"NA",IF(OR(GX732/GV732&gt;2,GX732/GV732&lt;0.5),"NM",GX732/GV732*100-100))</f>
        <v>NA</v>
      </c>
      <c r="GZ732" s="223"/>
      <c r="HA732" s="223"/>
      <c r="HB732" s="223"/>
      <c r="HC732"/>
      <c r="HD732"/>
      <c r="HE732"/>
      <c r="HF732"/>
      <c r="HG732"/>
      <c r="HH732"/>
      <c r="HI732" s="273"/>
    </row>
    <row r="733" spans="2:217" s="269" customFormat="1" ht="12.75" hidden="1" customHeight="1" outlineLevel="1" x14ac:dyDescent="0.2">
      <c r="B733" s="275"/>
      <c r="C733" s="274"/>
      <c r="D733" s="272"/>
      <c r="E733" s="274"/>
      <c r="F733" s="272"/>
      <c r="G733" s="274"/>
      <c r="H733" s="272"/>
      <c r="I733" s="274"/>
      <c r="J733" s="272"/>
      <c r="K733" s="274"/>
      <c r="L733" s="223"/>
      <c r="M733" s="274"/>
      <c r="N733" s="223"/>
      <c r="O733" s="274"/>
      <c r="P733" s="223"/>
      <c r="Q733" s="274"/>
      <c r="R733" s="223"/>
      <c r="S733" s="274"/>
      <c r="T733" s="223"/>
      <c r="U733" s="274"/>
      <c r="V733" s="223"/>
      <c r="W733" s="274"/>
      <c r="X733" s="223"/>
      <c r="Y733" s="274"/>
      <c r="Z733" s="223"/>
      <c r="AA733" s="274"/>
      <c r="AB733" s="223"/>
      <c r="AC733" s="274"/>
      <c r="AD733" s="223"/>
      <c r="AE733" s="274"/>
      <c r="AF733" s="223"/>
      <c r="AG733" s="274"/>
      <c r="AH733" s="223"/>
      <c r="AI733" s="274"/>
      <c r="AJ733" s="223"/>
      <c r="AK733" s="274"/>
      <c r="AL733" s="223"/>
      <c r="AM733" s="274"/>
      <c r="AN733" s="223"/>
      <c r="AO733" s="274"/>
      <c r="AP733" s="223"/>
      <c r="AQ733" s="274"/>
      <c r="AR733" s="223"/>
      <c r="AS733" s="274"/>
      <c r="AT733" s="223"/>
      <c r="AU733" s="274"/>
      <c r="AV733" s="223"/>
      <c r="AW733" s="274"/>
      <c r="AX733" s="223"/>
      <c r="AY733" s="274"/>
      <c r="AZ733" s="223"/>
      <c r="BA733" s="274"/>
      <c r="BB733" s="223"/>
      <c r="BC733" s="274"/>
      <c r="BD733" s="223"/>
      <c r="BE733" s="274"/>
      <c r="BF733" s="223"/>
      <c r="BG733" s="274"/>
      <c r="BH733" s="223"/>
      <c r="BI733" s="274"/>
      <c r="BJ733" s="223"/>
      <c r="BK733" s="274"/>
      <c r="BL733" s="223"/>
      <c r="BM733" s="274"/>
      <c r="BN733" s="223"/>
      <c r="BO733" s="274"/>
      <c r="BP733" s="223"/>
      <c r="BQ733" s="274"/>
      <c r="BR733" s="223"/>
      <c r="BS733" s="274"/>
      <c r="BT733" s="223"/>
      <c r="BU733" s="274"/>
      <c r="BV733" s="223"/>
      <c r="BW733" s="274"/>
      <c r="BX733" s="223"/>
      <c r="BY733" s="274"/>
      <c r="BZ733" s="223"/>
      <c r="CA733" s="274"/>
      <c r="CB733" s="223"/>
      <c r="CC733" s="274"/>
      <c r="CD733" s="223"/>
      <c r="CE733" s="274"/>
      <c r="CF733" s="223"/>
      <c r="CG733" s="274"/>
      <c r="CH733" s="223"/>
      <c r="CI733" s="274"/>
      <c r="CJ733" s="223"/>
      <c r="CK733" s="274"/>
      <c r="CL733" s="223"/>
      <c r="CM733" s="274"/>
      <c r="CN733" s="223"/>
      <c r="CO733" s="274"/>
      <c r="CP733" s="223"/>
      <c r="CQ733" s="274"/>
      <c r="CR733" s="223"/>
      <c r="CS733" s="274"/>
      <c r="CT733" s="223"/>
      <c r="CU733" s="274"/>
      <c r="CV733" s="223"/>
      <c r="CW733" s="274"/>
      <c r="CX733" s="223"/>
      <c r="CY733" s="274"/>
      <c r="CZ733" s="223"/>
      <c r="DA733" s="274"/>
      <c r="DB733" s="223"/>
      <c r="DC733" s="274"/>
      <c r="DD733" s="223"/>
      <c r="DE733" s="274"/>
      <c r="DF733" s="223"/>
      <c r="DG733" s="274"/>
      <c r="DH733" s="223"/>
      <c r="DI733" s="274"/>
      <c r="DJ733" s="223"/>
      <c r="DK733" s="274"/>
      <c r="DL733" s="223"/>
      <c r="DM733" s="274"/>
      <c r="DN733" s="223"/>
      <c r="DO733" s="274"/>
      <c r="DP733" s="223"/>
      <c r="DQ733" s="274"/>
      <c r="DR733" s="223"/>
      <c r="DS733" s="274"/>
      <c r="DT733" s="223"/>
      <c r="DU733" s="274"/>
      <c r="DV733" s="223"/>
      <c r="DW733" s="271"/>
      <c r="DX733" s="223"/>
      <c r="DY733" s="271"/>
      <c r="DZ733" s="223"/>
      <c r="EA733" s="271"/>
      <c r="EB733" s="223"/>
      <c r="EC733" s="271"/>
      <c r="ED733" s="223"/>
      <c r="EE733" s="271"/>
      <c r="EF733" s="223"/>
      <c r="EG733" s="271"/>
      <c r="EH733" s="223"/>
      <c r="EI733" s="271"/>
      <c r="EJ733" s="223"/>
      <c r="EK733" s="271"/>
      <c r="EL733" s="223"/>
      <c r="EM733" s="271"/>
      <c r="EN733" s="223"/>
      <c r="EO733" s="271"/>
      <c r="EP733" s="223"/>
      <c r="EQ733" s="271"/>
      <c r="ER733" s="223"/>
      <c r="ES733" s="271"/>
      <c r="ET733" s="223"/>
      <c r="EU733" s="271"/>
      <c r="EV733" s="223"/>
      <c r="EW733" s="271"/>
      <c r="EX733" s="223"/>
      <c r="EY733" s="223"/>
      <c r="EZ733" s="296"/>
      <c r="FA733" s="223"/>
      <c r="FB733" s="271"/>
      <c r="FC733" s="272"/>
      <c r="FD733" s="276"/>
      <c r="FE733" s="223"/>
      <c r="FF733" s="274"/>
      <c r="FG733" s="223"/>
      <c r="FH733" s="274"/>
      <c r="FI733" s="223"/>
      <c r="FJ733" s="274"/>
      <c r="FK733" s="223"/>
      <c r="FL733" s="274"/>
      <c r="FM733" s="223"/>
      <c r="FN733" s="274"/>
      <c r="FO733" s="223"/>
      <c r="FP733" s="271"/>
      <c r="FQ733" s="223"/>
      <c r="FR733" s="271"/>
      <c r="FS733" s="223"/>
      <c r="FT733" s="271"/>
      <c r="FU733" s="223"/>
      <c r="FV733" s="271"/>
      <c r="FW733" s="223"/>
      <c r="FX733" s="271"/>
      <c r="FY733" s="223"/>
      <c r="FZ733" s="271"/>
      <c r="GA733" s="223"/>
      <c r="GB733" s="271"/>
      <c r="GC733" s="223"/>
      <c r="GD733" s="271"/>
      <c r="GE733" s="223"/>
      <c r="GF733" s="271"/>
      <c r="GG733" s="223"/>
      <c r="GH733" s="271"/>
      <c r="GI733" s="223"/>
      <c r="GJ733" s="271"/>
      <c r="GK733" s="223"/>
      <c r="GL733" s="271"/>
      <c r="GM733" s="223"/>
      <c r="GN733" s="271"/>
      <c r="GO733" s="223"/>
      <c r="GP733" s="271"/>
      <c r="GQ733" s="223"/>
      <c r="GR733" s="271"/>
      <c r="GS733" s="223"/>
      <c r="GT733" s="271"/>
      <c r="GU733" s="223"/>
      <c r="GV733" s="271"/>
      <c r="GW733" s="223"/>
      <c r="GX733" s="271"/>
      <c r="GY733" s="223"/>
      <c r="GZ733" s="223"/>
      <c r="HA733" s="223"/>
      <c r="HB733" s="223"/>
      <c r="HC733"/>
      <c r="HD733"/>
      <c r="HE733"/>
      <c r="HF733"/>
      <c r="HG733"/>
      <c r="HH733"/>
      <c r="HI733" s="273"/>
    </row>
    <row r="734" spans="2:217" s="269" customFormat="1" ht="12.75" hidden="1" customHeight="1" outlineLevel="1" x14ac:dyDescent="0.2">
      <c r="B734" s="270" t="s">
        <v>43</v>
      </c>
      <c r="C734" s="274"/>
      <c r="D734" s="272"/>
      <c r="E734" s="274"/>
      <c r="F734" s="272"/>
      <c r="G734" s="274"/>
      <c r="H734" s="272"/>
      <c r="I734" s="274"/>
      <c r="J734" s="272"/>
      <c r="K734" s="274"/>
      <c r="L734" s="223"/>
      <c r="M734" s="274"/>
      <c r="N734" s="223"/>
      <c r="O734" s="274"/>
      <c r="P734" s="223"/>
      <c r="Q734" s="274"/>
      <c r="R734" s="223"/>
      <c r="S734" s="274"/>
      <c r="T734" s="223"/>
      <c r="U734" s="274"/>
      <c r="V734" s="223"/>
      <c r="W734" s="274"/>
      <c r="X734" s="223"/>
      <c r="Y734" s="274"/>
      <c r="Z734" s="223"/>
      <c r="AA734" s="274"/>
      <c r="AB734" s="223"/>
      <c r="AC734" s="274"/>
      <c r="AD734" s="223"/>
      <c r="AE734" s="274"/>
      <c r="AF734" s="223"/>
      <c r="AG734" s="274"/>
      <c r="AH734" s="223"/>
      <c r="AI734" s="274"/>
      <c r="AJ734" s="223"/>
      <c r="AK734" s="274"/>
      <c r="AL734" s="223"/>
      <c r="AM734" s="274"/>
      <c r="AN734" s="223"/>
      <c r="AO734" s="274"/>
      <c r="AP734" s="223"/>
      <c r="AQ734" s="274"/>
      <c r="AR734" s="223"/>
      <c r="AS734" s="274"/>
      <c r="AT734" s="223"/>
      <c r="AU734" s="274"/>
      <c r="AV734" s="223"/>
      <c r="AW734" s="274"/>
      <c r="AX734" s="223"/>
      <c r="AY734" s="274"/>
      <c r="AZ734" s="223"/>
      <c r="BA734" s="274"/>
      <c r="BB734" s="223"/>
      <c r="BC734" s="274"/>
      <c r="BD734" s="223"/>
      <c r="BE734" s="274"/>
      <c r="BF734" s="223"/>
      <c r="BG734" s="274"/>
      <c r="BH734" s="223"/>
      <c r="BI734" s="274"/>
      <c r="BJ734" s="223"/>
      <c r="BK734" s="274"/>
      <c r="BL734" s="223"/>
      <c r="BM734" s="274"/>
      <c r="BN734" s="223"/>
      <c r="BO734" s="274"/>
      <c r="BP734" s="223"/>
      <c r="BQ734" s="274"/>
      <c r="BR734" s="223"/>
      <c r="BS734" s="274"/>
      <c r="BT734" s="223"/>
      <c r="BU734" s="274"/>
      <c r="BV734" s="223"/>
      <c r="BW734" s="274"/>
      <c r="BX734" s="223"/>
      <c r="BY734" s="274"/>
      <c r="BZ734" s="223"/>
      <c r="CA734" s="274"/>
      <c r="CB734" s="223"/>
      <c r="CC734" s="274"/>
      <c r="CD734" s="223"/>
      <c r="CE734" s="274"/>
      <c r="CF734" s="223"/>
      <c r="CG734" s="274"/>
      <c r="CH734" s="223"/>
      <c r="CI734" s="274"/>
      <c r="CJ734" s="223"/>
      <c r="CK734" s="274"/>
      <c r="CL734" s="223"/>
      <c r="CM734" s="274"/>
      <c r="CN734" s="223"/>
      <c r="CO734" s="274"/>
      <c r="CP734" s="223"/>
      <c r="CQ734" s="274"/>
      <c r="CR734" s="223"/>
      <c r="CS734" s="274"/>
      <c r="CT734" s="223"/>
      <c r="CU734" s="274"/>
      <c r="CV734" s="223"/>
      <c r="CW734" s="274"/>
      <c r="CX734" s="223"/>
      <c r="CY734" s="274"/>
      <c r="CZ734" s="223"/>
      <c r="DA734" s="274"/>
      <c r="DB734" s="223"/>
      <c r="DC734" s="274"/>
      <c r="DD734" s="223"/>
      <c r="DE734" s="274"/>
      <c r="DF734" s="223"/>
      <c r="DG734" s="274"/>
      <c r="DH734" s="223"/>
      <c r="DI734" s="274"/>
      <c r="DJ734" s="223"/>
      <c r="DK734" s="274"/>
      <c r="DL734" s="223"/>
      <c r="DM734" s="274"/>
      <c r="DN734" s="223"/>
      <c r="DO734" s="274"/>
      <c r="DP734" s="223"/>
      <c r="DQ734" s="274"/>
      <c r="DR734" s="223"/>
      <c r="DS734" s="274"/>
      <c r="DT734" s="223"/>
      <c r="DU734" s="274"/>
      <c r="DV734" s="223"/>
      <c r="DW734" s="271"/>
      <c r="DX734" s="223"/>
      <c r="DY734" s="271"/>
      <c r="DZ734" s="223"/>
      <c r="EA734" s="271"/>
      <c r="EB734" s="223"/>
      <c r="EC734" s="271"/>
      <c r="ED734" s="223"/>
      <c r="EE734" s="271"/>
      <c r="EF734" s="223"/>
      <c r="EG734" s="271"/>
      <c r="EH734" s="223"/>
      <c r="EI734" s="271"/>
      <c r="EJ734" s="223"/>
      <c r="EK734" s="271"/>
      <c r="EL734" s="223"/>
      <c r="EM734" s="271"/>
      <c r="EN734" s="223"/>
      <c r="EO734" s="271"/>
      <c r="EP734" s="223"/>
      <c r="EQ734" s="271"/>
      <c r="ER734" s="223"/>
      <c r="ES734" s="271"/>
      <c r="ET734" s="223"/>
      <c r="EU734" s="271"/>
      <c r="EV734" s="223"/>
      <c r="EW734" s="271"/>
      <c r="EX734" s="223"/>
      <c r="EY734" s="223"/>
      <c r="EZ734" s="296"/>
      <c r="FA734" s="223"/>
      <c r="FB734" s="271"/>
      <c r="FC734" s="272"/>
      <c r="FD734" s="276"/>
      <c r="FE734" s="223"/>
      <c r="FF734" s="274"/>
      <c r="FG734" s="223"/>
      <c r="FH734" s="274"/>
      <c r="FI734" s="223"/>
      <c r="FJ734" s="274"/>
      <c r="FK734" s="223"/>
      <c r="FL734" s="274"/>
      <c r="FM734" s="223"/>
      <c r="FN734" s="274"/>
      <c r="FO734" s="223"/>
      <c r="FP734" s="271"/>
      <c r="FQ734" s="223"/>
      <c r="FR734" s="271"/>
      <c r="FS734" s="223"/>
      <c r="FT734" s="271"/>
      <c r="FU734" s="223"/>
      <c r="FV734" s="271"/>
      <c r="FW734" s="223"/>
      <c r="FX734" s="271"/>
      <c r="FY734" s="223"/>
      <c r="FZ734" s="271"/>
      <c r="GA734" s="223"/>
      <c r="GB734" s="271"/>
      <c r="GC734" s="223"/>
      <c r="GD734" s="271"/>
      <c r="GE734" s="223"/>
      <c r="GF734" s="271"/>
      <c r="GG734" s="223"/>
      <c r="GH734" s="271"/>
      <c r="GI734" s="223"/>
      <c r="GJ734" s="271"/>
      <c r="GK734" s="223"/>
      <c r="GL734" s="271"/>
      <c r="GM734" s="223"/>
      <c r="GN734" s="271"/>
      <c r="GO734" s="223"/>
      <c r="GP734" s="271"/>
      <c r="GQ734" s="223"/>
      <c r="GR734" s="271"/>
      <c r="GS734" s="223"/>
      <c r="GT734" s="271"/>
      <c r="GU734" s="223"/>
      <c r="GV734" s="271"/>
      <c r="GW734" s="223"/>
      <c r="GX734" s="271"/>
      <c r="GY734" s="223"/>
      <c r="GZ734" s="223"/>
      <c r="HA734" s="223"/>
      <c r="HB734" s="223"/>
      <c r="HC734"/>
      <c r="HD734"/>
      <c r="HE734"/>
      <c r="HF734"/>
      <c r="HG734"/>
      <c r="HH734"/>
      <c r="HI734" s="273"/>
    </row>
    <row r="735" spans="2:217" s="269" customFormat="1" ht="12.75" hidden="1" customHeight="1" outlineLevel="1" x14ac:dyDescent="0.2">
      <c r="B735" s="275" t="s">
        <v>431</v>
      </c>
      <c r="C735" s="277"/>
      <c r="D735" s="272"/>
      <c r="E735" s="277"/>
      <c r="F735" s="272"/>
      <c r="G735" s="277"/>
      <c r="H735" s="272"/>
      <c r="I735" s="277"/>
      <c r="J735" s="272"/>
      <c r="K735" s="277"/>
      <c r="L735" s="223" t="str">
        <f>IF(ISERROR(K735/C735),"NA",IF(OR(K735/C735&gt;2,K735/C735&lt;0.5),"NM",K735/C735*100-100))</f>
        <v>NA</v>
      </c>
      <c r="M735" s="277"/>
      <c r="N735" s="223" t="str">
        <f>IF(ISERROR(M735/E735),"NA",IF(OR(M735/E735&gt;2,M735/E735&lt;0.5),"NM",M735/E735*100-100))</f>
        <v>NA</v>
      </c>
      <c r="O735" s="277"/>
      <c r="P735" s="223" t="str">
        <f>IF(ISERROR(O735/G735),"NA",IF(OR(O735/G735&gt;2,O735/G735&lt;0.5),"NM",O735/G735*100-100))</f>
        <v>NA</v>
      </c>
      <c r="Q735" s="277" t="e">
        <f>(#REF!*(1-Q$538/100))/AVERAGE(O728,Q728)*400</f>
        <v>#REF!</v>
      </c>
      <c r="R735" s="223" t="str">
        <f>IF(ISERROR(Q735/I735),"NA",IF(OR(Q735/I735&gt;2,Q735/I735&lt;0.5),"NM",Q735/I735*100-100))</f>
        <v>NA</v>
      </c>
      <c r="S735" s="277" t="s">
        <v>476</v>
      </c>
      <c r="T735" s="223" t="str">
        <f>IF(ISERROR(S735/K735),"NA",IF(OR(S735/K735&gt;2,S735/K735&lt;0.5),"NM",S735/K735*100-100))</f>
        <v>NA</v>
      </c>
      <c r="U735" s="277" t="e">
        <f>(#REF!*(1-U$538/100))/AVERAGE(S728,U728)*400</f>
        <v>#REF!</v>
      </c>
      <c r="V735" s="223" t="str">
        <f>IF(ISERROR(U735/M735),"NA",IF(OR(U735/M735&gt;2,U735/M735&lt;0.5),"NM",U735/M735*100-100))</f>
        <v>NA</v>
      </c>
      <c r="W735" s="277" t="e">
        <f>(#REF!*(1-W$538/100))/AVERAGE(U728,W728)*400</f>
        <v>#REF!</v>
      </c>
      <c r="X735" s="223" t="str">
        <f>IF(ISERROR(W735/O735),"NA",IF(OR(W735/O735&gt;2,W735/O735&lt;0.5),"NM",W735/O735*100-100))</f>
        <v>NA</v>
      </c>
      <c r="Y735" s="277" t="e">
        <f>(#REF!*(1-Y$538/100))/AVERAGE(W728,Y728)*400</f>
        <v>#REF!</v>
      </c>
      <c r="Z735" s="223" t="str">
        <f>IF(ISERROR(Y735/Q735),"NA",IF(OR(Y735/Q735&gt;2,Y735/Q735&lt;0.5),"NM",Y735/Q735*100-100))</f>
        <v>NA</v>
      </c>
      <c r="AA735" s="277" t="e">
        <f>(#REF!*(1-AA$538/100))/AVERAGE(Y728,AA728)*400</f>
        <v>#REF!</v>
      </c>
      <c r="AB735" s="223" t="str">
        <f>IF(ISERROR(AA735/S735),"NA",IF(OR(AA735/S735&gt;2,AA735/S735&lt;0.5),"NM",AA735/S735*100-100))</f>
        <v>NA</v>
      </c>
      <c r="AC735" s="277" t="e">
        <f>(#REF!*(1-AC$538/100))/AVERAGE(AA728,AC728)*400</f>
        <v>#REF!</v>
      </c>
      <c r="AD735" s="223" t="str">
        <f>IF(ISERROR(AC735/U735),"NA",IF(OR(AC735/U735&gt;2,AC735/U735&lt;0.5),"NM",AC735/U735*100-100))</f>
        <v>NA</v>
      </c>
      <c r="AE735" s="277" t="e">
        <f>(#REF!*(1-AE$538/100))/AVERAGE(AC728,AE728)*400</f>
        <v>#REF!</v>
      </c>
      <c r="AF735" s="223" t="str">
        <f>IF(ISERROR(AE735/W735),"NA",IF(OR(AE735/W735&gt;2,AE735/W735&lt;0.5),"NM",AE735/W735*100-100))</f>
        <v>NA</v>
      </c>
      <c r="AG735" s="277" t="e">
        <f>(#REF!*(1-AG$538/100))/AVERAGE(AE728,AG728)*400</f>
        <v>#REF!</v>
      </c>
      <c r="AH735" s="223" t="str">
        <f>IF(ISERROR(AG735/Y735),"NA",IF(OR(AG735/Y735&gt;2,AG735/Y735&lt;0.5),"NM",AG735/Y735*100-100))</f>
        <v>NA</v>
      </c>
      <c r="AI735" s="277" t="e">
        <f>(#REF!*(1-AI$538/100))/AVERAGE(AG728,AI728)*400</f>
        <v>#REF!</v>
      </c>
      <c r="AJ735" s="223" t="str">
        <f>IF(ISERROR(AI735/AA735),"NA",IF(OR(AI735/AA735&gt;2,AI735/AA735&lt;0.5),"NM",AI735/AA735*100-100))</f>
        <v>NA</v>
      </c>
      <c r="AK735" s="277" t="e">
        <f>(#REF!*(1-AK$538/100))/AVERAGE(AI728,AK728)*400</f>
        <v>#REF!</v>
      </c>
      <c r="AL735" s="223" t="str">
        <f>IF(ISERROR(AK735/AC735),"NA",IF(OR(AK735/AC735&gt;2,AK735/AC735&lt;0.5),"NM",AK735/AC735*100-100))</f>
        <v>NA</v>
      </c>
      <c r="AM735" s="277" t="e">
        <f>(#REF!*(1-AM$538/100))/AVERAGE(AK728,AM728)*400</f>
        <v>#REF!</v>
      </c>
      <c r="AN735" s="223" t="str">
        <f>IF(ISERROR(AM735/AE735),"NA",IF(OR(AM735/AE735&gt;2,AM735/AE735&lt;0.5),"NM",AM735/AE735*100-100))</f>
        <v>NA</v>
      </c>
      <c r="AO735" s="277" t="e">
        <f>(#REF!*(1-AO$538/100))/AVERAGE(AM728,AO728)*400</f>
        <v>#REF!</v>
      </c>
      <c r="AP735" s="223" t="str">
        <f>IF(ISERROR(AO735/AG735),"NA",IF(OR(AO735/AG735&gt;2,AO735/AG735&lt;0.5),"NM",AO735/AG735*100-100))</f>
        <v>NA</v>
      </c>
      <c r="AQ735" s="277" t="e">
        <f>(#REF!*(1-AQ$538/100))/AVERAGE(AO728,AQ728)*400</f>
        <v>#REF!</v>
      </c>
      <c r="AR735" s="223" t="str">
        <f>IF(ISERROR(AQ735/AI735),"NA",IF(OR(AQ735/AI735&gt;2,AQ735/AI735&lt;0.5),"NM",AQ735/AI735*100-100))</f>
        <v>NA</v>
      </c>
      <c r="AS735" s="277" t="e">
        <f>(#REF!*(1-AS$538/100))/AVERAGE(AQ728,AS728)*400</f>
        <v>#REF!</v>
      </c>
      <c r="AT735" s="223" t="str">
        <f>IF(ISERROR(AS735/AK735),"NA",IF(OR(AS735/AK735&gt;2,AS735/AK735&lt;0.5),"NM",AS735/AK735*100-100))</f>
        <v>NA</v>
      </c>
      <c r="AU735" s="277" t="e">
        <f>(#REF!*(1-AU$538/100))/AVERAGE(AS728,AU728)*400</f>
        <v>#REF!</v>
      </c>
      <c r="AV735" s="223" t="str">
        <f>IF(ISERROR(AU735/AM735),"NA",IF(OR(AU735/AM735&gt;2,AU735/AM735&lt;0.5),"NM",AU735/AM735*100-100))</f>
        <v>NA</v>
      </c>
      <c r="AW735" s="277" t="e">
        <f>(#REF!*(1-AW$538/100))/AVERAGE(AU728,AW728)*400</f>
        <v>#REF!</v>
      </c>
      <c r="AX735" s="223" t="str">
        <f>IF(ISERROR(AW735/AO735),"NA",IF(OR(AW735/AO735&gt;2,AW735/AO735&lt;0.5),"NM",AW735/AO735*100-100))</f>
        <v>NA</v>
      </c>
      <c r="AY735" s="277" t="e">
        <f>(#REF!*(1-AY$538/100))/AVERAGE(AW728,AY728)*400</f>
        <v>#REF!</v>
      </c>
      <c r="AZ735" s="223" t="str">
        <f>IF(ISERROR(AY735/AQ735),"NA",IF(OR(AY735/AQ735&gt;2,AY735/AQ735&lt;0.5),"NM",AY735/AQ735*100-100))</f>
        <v>NA</v>
      </c>
      <c r="BA735" s="277" t="e">
        <f>(#REF!*(1-BA$538/100))/AVERAGE(AY728,BA728)*400</f>
        <v>#REF!</v>
      </c>
      <c r="BB735" s="223" t="str">
        <f>IF(ISERROR(BA735/AS735),"NA",IF(OR(BA735/AS735&gt;2,BA735/AS735&lt;0.5),"NM",BA735/AS735*100-100))</f>
        <v>NA</v>
      </c>
      <c r="BC735" s="277" t="e">
        <f>(#REF!*(1-BC$538/100))/AVERAGE(BA728,BC728)*400</f>
        <v>#REF!</v>
      </c>
      <c r="BD735" s="223" t="str">
        <f>IF(ISERROR(BC735/AU735),"NA",IF(OR(BC735/AU735&gt;2,BC735/AU735&lt;0.5),"NM",BC735/AU735*100-100))</f>
        <v>NA</v>
      </c>
      <c r="BE735" s="277" t="e">
        <f>(#REF!*(1-BE$538/100))/AVERAGE(BC728,BE728)*400</f>
        <v>#REF!</v>
      </c>
      <c r="BF735" s="223" t="str">
        <f>IF(ISERROR(BE735/AW735),"NA",IF(OR(BE735/AW735&gt;2,BE735/AW735&lt;0.5),"NM",BE735/AW735*100-100))</f>
        <v>NA</v>
      </c>
      <c r="BG735" s="277" t="e">
        <f>(#REF!*(1-BG$538/100))/AVERAGE(BE728,BG728)*400</f>
        <v>#REF!</v>
      </c>
      <c r="BH735" s="223" t="str">
        <f>IF(ISERROR(BG735/AY735),"NA",IF(OR(BG735/AY735&gt;2,BG735/AY735&lt;0.5),"NM",BG735/AY735*100-100))</f>
        <v>NA</v>
      </c>
      <c r="BI735" s="277" t="e">
        <f>(#REF!*(1-BI$538/100))/AVERAGE(BG728,BI728)*400</f>
        <v>#REF!</v>
      </c>
      <c r="BJ735" s="223" t="str">
        <f>IF(ISERROR(BI735/BA735),"NA",IF(OR(BI735/BA735&gt;2,BI735/BA735&lt;0.5),"NM",BI735/BA735*100-100))</f>
        <v>NA</v>
      </c>
      <c r="BK735" s="277" t="e">
        <f>(#REF!*(1-BK$538/100))/AVERAGE(BI728,BK728)*400</f>
        <v>#REF!</v>
      </c>
      <c r="BL735" s="223" t="str">
        <f>IF(ISERROR(BK735/BC735),"NA",IF(OR(BK735/BC735&gt;2,BK735/BC735&lt;0.5),"NM",BK735/BC735*100-100))</f>
        <v>NA</v>
      </c>
      <c r="BM735" s="277" t="e">
        <f>(#REF!*(1-BM$538/100))/AVERAGE(BK728,BM728)*400</f>
        <v>#REF!</v>
      </c>
      <c r="BN735" s="223" t="str">
        <f>IF(ISERROR(BM735/BE735),"NA",IF(OR(BM735/BE735&gt;2,BM735/BE735&lt;0.5),"NM",BM735/BE735*100-100))</f>
        <v>NA</v>
      </c>
      <c r="BO735" s="277" t="e">
        <f>(#REF!*(1-BO$538/100))/AVERAGE(BM728,BO728)*400</f>
        <v>#REF!</v>
      </c>
      <c r="BP735" s="223" t="str">
        <f>IF(ISERROR(BO735/BG735),"NA",IF(OR(BO735/BG735&gt;2,BO735/BG735&lt;0.5),"NM",BO735/BG735*100-100))</f>
        <v>NA</v>
      </c>
      <c r="BQ735" s="277" t="e">
        <f>(#REF!*(1-BQ$538/100))/AVERAGE(BO728,BQ728)*400</f>
        <v>#REF!</v>
      </c>
      <c r="BR735" s="223" t="str">
        <f>IF(ISERROR(BQ735/BI735),"NA",IF(OR(BQ735/BI735&gt;2,BQ735/BI735&lt;0.5),"NM",BQ735/BI735*100-100))</f>
        <v>NA</v>
      </c>
      <c r="BS735" s="277" t="e">
        <f>(#REF!*(1-BS$538/100))/AVERAGE(BQ728,BS728)*400</f>
        <v>#REF!</v>
      </c>
      <c r="BT735" s="223" t="str">
        <f>IF(ISERROR(BS735/BK735),"NA",IF(OR(BS735/BK735&gt;2,BS735/BK735&lt;0.5),"NM",BS735/BK735*100-100))</f>
        <v>NA</v>
      </c>
      <c r="BU735" s="277" t="e">
        <f>(#REF!*(1-BU$538/100))/AVERAGE(BS728,BU728)*400</f>
        <v>#REF!</v>
      </c>
      <c r="BV735" s="223" t="str">
        <f>IF(ISERROR(BU735/BM735),"NA",IF(OR(BU735/BM735&gt;2,BU735/BM735&lt;0.5),"NM",BU735/BM735*100-100))</f>
        <v>NA</v>
      </c>
      <c r="BW735" s="277" t="e">
        <f>(#REF!*(1-BW$538/100))/AVERAGE(BU728,BW728)*400</f>
        <v>#REF!</v>
      </c>
      <c r="BX735" s="223" t="str">
        <f>IF(ISERROR(BW735/BO735),"NA",IF(OR(BW735/BO735&gt;2,BW735/BO735&lt;0.5),"NM",BW735/BO735*100-100))</f>
        <v>NA</v>
      </c>
      <c r="BY735" s="277" t="e">
        <f>(#REF!*(1-BY$538/100))/AVERAGE(BW728,BY728)*400</f>
        <v>#REF!</v>
      </c>
      <c r="BZ735" s="223" t="str">
        <f>IF(ISERROR(BY735/BQ735),"NA",IF(OR(BY735/BQ735&gt;2,BY735/BQ735&lt;0.5),"NM",BY735/BQ735*100-100))</f>
        <v>NA</v>
      </c>
      <c r="CA735" s="277" t="e">
        <f>(#REF!*(1-CA$538/100))/AVERAGE(BY728,CA728)*400</f>
        <v>#REF!</v>
      </c>
      <c r="CB735" s="223" t="str">
        <f>IF(ISERROR(CA735/BS735),"NA",IF(OR(CA735/BS735&gt;2,CA735/BS735&lt;0.5),"NM",CA735/BS735*100-100))</f>
        <v>NA</v>
      </c>
      <c r="CC735" s="277" t="e">
        <f>(#REF!*(1-CC$538/100))/AVERAGE(CA728,CC728)*400</f>
        <v>#REF!</v>
      </c>
      <c r="CD735" s="223" t="str">
        <f>IF(ISERROR(CC735/BU735),"NA",IF(OR(CC735/BU735&gt;2,CC735/BU735&lt;0.5),"NM",CC735/BU735*100-100))</f>
        <v>NA</v>
      </c>
      <c r="CE735" s="277" t="e">
        <f>(#REF!*(1-CE$538/100))/AVERAGE(CC728,CE728)*400</f>
        <v>#REF!</v>
      </c>
      <c r="CF735" s="223" t="str">
        <f>IF(ISERROR(CE735/BW735),"NA",IF(OR(CE735/BW735&gt;2,CE735/BW735&lt;0.5),"NM",CE735/BW735*100-100))</f>
        <v>NA</v>
      </c>
      <c r="CG735" s="277" t="e">
        <f>(#REF!*(1-CG$538/100))/AVERAGE(CE728,CG728)*400</f>
        <v>#REF!</v>
      </c>
      <c r="CH735" s="223" t="str">
        <f>IF(ISERROR(CG735/BY735),"NA",IF(OR(CG735/BY735&gt;2,CG735/BY735&lt;0.5),"NM",CG735/BY735*100-100))</f>
        <v>NA</v>
      </c>
      <c r="CI735" s="277" t="e">
        <f>(#REF!*(1-CI$538/100))/AVERAGE(CG728,CI728)*400</f>
        <v>#REF!</v>
      </c>
      <c r="CJ735" s="223" t="str">
        <f>IF(ISERROR(CI735/CA735),"NA",IF(OR(CI735/CA735&gt;2,CI735/CA735&lt;0.5),"NM",CI735/CA735*100-100))</f>
        <v>NA</v>
      </c>
      <c r="CK735" s="277" t="e">
        <f>(#REF!*(1-CK$538/100))/AVERAGE(CI728,CK728)*400</f>
        <v>#REF!</v>
      </c>
      <c r="CL735" s="223" t="str">
        <f>IF(ISERROR(CK735/CC735),"NA",IF(OR(CK735/CC735&gt;2,CK735/CC735&lt;0.5),"NM",CK735/CC735*100-100))</f>
        <v>NA</v>
      </c>
      <c r="CM735" s="277"/>
      <c r="CN735" s="223"/>
      <c r="CO735" s="277"/>
      <c r="CP735" s="223"/>
      <c r="CQ735" s="277"/>
      <c r="CR735" s="223"/>
      <c r="CS735" s="277"/>
      <c r="CT735" s="223"/>
      <c r="CU735" s="277"/>
      <c r="CV735" s="223"/>
      <c r="CW735" s="277"/>
      <c r="CX735" s="223"/>
      <c r="CY735" s="277"/>
      <c r="CZ735" s="223"/>
      <c r="DA735" s="277"/>
      <c r="DB735" s="223"/>
      <c r="DC735" s="277"/>
      <c r="DD735" s="223"/>
      <c r="DE735" s="277"/>
      <c r="DF735" s="223"/>
      <c r="DG735" s="277"/>
      <c r="DH735" s="223"/>
      <c r="DI735" s="277"/>
      <c r="DJ735" s="223"/>
      <c r="DK735" s="277"/>
      <c r="DL735" s="223"/>
      <c r="DM735" s="277"/>
      <c r="DN735" s="223"/>
      <c r="DO735" s="277"/>
      <c r="DP735" s="223"/>
      <c r="DQ735" s="277"/>
      <c r="DR735" s="223"/>
      <c r="DS735" s="277"/>
      <c r="DT735" s="223"/>
      <c r="DU735" s="277"/>
      <c r="DV735" s="223"/>
      <c r="DW735" s="278"/>
      <c r="DX735" s="223"/>
      <c r="DY735" s="278"/>
      <c r="DZ735" s="223"/>
      <c r="EA735" s="278"/>
      <c r="EB735" s="223"/>
      <c r="EC735" s="278"/>
      <c r="ED735" s="223"/>
      <c r="EE735" s="278"/>
      <c r="EF735" s="223"/>
      <c r="EG735" s="278"/>
      <c r="EH735" s="223"/>
      <c r="EI735" s="278"/>
      <c r="EJ735" s="223"/>
      <c r="EK735" s="278"/>
      <c r="EL735" s="223"/>
      <c r="EM735" s="278"/>
      <c r="EN735" s="223"/>
      <c r="EO735" s="278"/>
      <c r="EP735" s="223"/>
      <c r="EQ735" s="278"/>
      <c r="ER735" s="223"/>
      <c r="ES735" s="278"/>
      <c r="ET735" s="223"/>
      <c r="EU735" s="278"/>
      <c r="EV735" s="223"/>
      <c r="EW735" s="278"/>
      <c r="EX735" s="223"/>
      <c r="EY735" s="223"/>
      <c r="EZ735" s="296"/>
      <c r="FA735" s="223"/>
      <c r="FB735" s="271"/>
      <c r="FC735" s="272"/>
      <c r="FD735" s="276"/>
      <c r="FE735" s="223"/>
      <c r="FF735" s="279" t="e">
        <f>(#REF!*(1-FF$538/100))/AVERAGE(FD728,FF728)*100</f>
        <v>#REF!</v>
      </c>
      <c r="FG735" s="223" t="str">
        <f>IF(ISERROR(FF735/FD735),"NA",IF(OR(FF735/FD735&gt;2,FF735/FD735&lt;0.5),"NM",FF735/FD735*100-100))</f>
        <v>NA</v>
      </c>
      <c r="FH735" s="279" t="e">
        <f>(#REF!*(1-FH$538/100))/AVERAGE(FF728,FH728)*100</f>
        <v>#REF!</v>
      </c>
      <c r="FI735" s="223" t="str">
        <f>IF(ISERROR(FH735/FF735),"NA",IF(OR(FH735/FF735&gt;2,FH735/FF735&lt;0.5),"NM",FH735/FF735*100-100))</f>
        <v>NA</v>
      </c>
      <c r="FJ735" s="279" t="e">
        <f>(#REF!*(1-FJ$538/100))/AVERAGE(FH728,FJ728)*100</f>
        <v>#REF!</v>
      </c>
      <c r="FK735" s="223" t="str">
        <f>IF(ISERROR(FJ735/FH735),"NA",IF(OR(FJ735/FH735&gt;2,FJ735/FH735&lt;0.5),"NM",FJ735/FH735*100-100))</f>
        <v>NA</v>
      </c>
      <c r="FL735" s="279" t="e">
        <f>(#REF!*(1-FL$538/100))/AVERAGE(FJ728,FL728)*100</f>
        <v>#REF!</v>
      </c>
      <c r="FM735" s="223" t="str">
        <f>IF(ISERROR(FL735/FJ735),"NA",IF(OR(FL735/FJ735&gt;2,FL735/FJ735&lt;0.5),"NM",FL735/FJ735*100-100))</f>
        <v>NA</v>
      </c>
      <c r="FN735" s="279"/>
      <c r="FO735" s="223"/>
      <c r="FP735" s="279"/>
      <c r="FQ735" s="223"/>
      <c r="FR735" s="278"/>
      <c r="FS735" s="223"/>
      <c r="FT735" s="278"/>
      <c r="FU735" s="223"/>
      <c r="FV735" s="278"/>
      <c r="FW735" s="223" t="str">
        <f>IF(ISERROR(FV735/FT735),"NA",IF(OR(FV735/FT735&gt;2,FV735/FT735&lt;0.5),"NM",FV735/FT735*100-100))</f>
        <v>NA</v>
      </c>
      <c r="FX735" s="278"/>
      <c r="FY735" s="223" t="str">
        <f>IF(ISERROR(FX735/FV735),"NA",IF(OR(FX735/FV735&gt;2,FX735/FV735&lt;0.5),"NM",FX735/FV735*100-100))</f>
        <v>NA</v>
      </c>
      <c r="FZ735" s="278"/>
      <c r="GA735" s="223" t="str">
        <f>IF(ISERROR(FZ735/FX735),"NA",IF(OR(FZ735/FX735&gt;2,FZ735/FX735&lt;0.5),"NM",FZ735/FX735*100-100))</f>
        <v>NA</v>
      </c>
      <c r="GB735" s="278"/>
      <c r="GC735" s="223" t="str">
        <f>IF(ISERROR(GB735/FZ735),"NA",IF(OR(GB735/FZ735&gt;2,GB735/FZ735&lt;0.5),"NM",GB735/FZ735*100-100))</f>
        <v>NA</v>
      </c>
      <c r="GD735" s="278"/>
      <c r="GE735" s="223" t="str">
        <f>IF(ISERROR(GD735/GB735),"NA",IF(OR(GD735/GB735&gt;2,GD735/GB735&lt;0.5),"NM",GD735/GB735*100-100))</f>
        <v>NA</v>
      </c>
      <c r="GF735" s="278"/>
      <c r="GG735" s="223" t="str">
        <f>IF(ISERROR(GF735/GD735),"NA",IF(OR(GF735/GD735&gt;2,GF735/GD735&lt;0.5),"NM",GF735/GD735*100-100))</f>
        <v>NA</v>
      </c>
      <c r="GH735" s="278"/>
      <c r="GI735" s="223" t="str">
        <f>IF(ISERROR(GH735/GF735),"NA",IF(OR(GH735/GF735&gt;2,GH735/GF735&lt;0.5),"NM",GH735/GF735*100-100))</f>
        <v>NA</v>
      </c>
      <c r="GJ735" s="278"/>
      <c r="GK735" s="223" t="str">
        <f>IF(ISERROR(GJ735/GH735),"NA",IF(OR(GJ735/GH735&gt;2,GJ735/GH735&lt;0.5),"NM",GJ735/GH735*100-100))</f>
        <v>NA</v>
      </c>
      <c r="GL735" s="278"/>
      <c r="GM735" s="223" t="str">
        <f>IF(ISERROR(GL735/GJ735),"NA",IF(OR(GL735/GJ735&gt;2,GL735/GJ735&lt;0.5),"NM",GL735/GJ735*100-100))</f>
        <v>NA</v>
      </c>
      <c r="GN735" s="278"/>
      <c r="GO735" s="223" t="str">
        <f>IF(ISERROR(GN735/GL735),"NA",IF(OR(GN735/GL735&gt;2,GN735/GL735&lt;0.5),"NM",GN735/GL735*100-100))</f>
        <v>NA</v>
      </c>
      <c r="GP735" s="278"/>
      <c r="GQ735" s="223" t="str">
        <f>IF(ISERROR(GP735/GN735),"NA",IF(OR(GP735/GN735&gt;2,GP735/GN735&lt;0.5),"NM",GP735/GN735*100-100))</f>
        <v>NA</v>
      </c>
      <c r="GR735" s="278"/>
      <c r="GS735" s="223" t="str">
        <f>IF(ISERROR(GR735/GP735),"NA",IF(OR(GR735/GP735&gt;2,GR735/GP735&lt;0.5),"NM",GR735/GP735*100-100))</f>
        <v>NA</v>
      </c>
      <c r="GT735" s="278"/>
      <c r="GU735" s="223" t="str">
        <f>IF(ISERROR(GT735/GR735),"NA",IF(OR(GT735/GR735&gt;2,GT735/GR735&lt;0.5),"NM",GT735/GR735*100-100))</f>
        <v>NA</v>
      </c>
      <c r="GV735" s="278"/>
      <c r="GW735" s="223" t="str">
        <f>IF(ISERROR(GV735/GT735),"NA",IF(OR(GV735/GT735&gt;2,GV735/GT735&lt;0.5),"NM",GV735/GT735*100-100))</f>
        <v>NA</v>
      </c>
      <c r="GX735" s="278"/>
      <c r="GY735" s="223" t="str">
        <f>IF(ISERROR(GX735/GV735),"NA",IF(OR(GX735/GV735&gt;2,GX735/GV735&lt;0.5),"NM",GX735/GV735*100-100))</f>
        <v>NA</v>
      </c>
      <c r="GZ735" s="223"/>
      <c r="HA735" s="223"/>
      <c r="HB735" s="223"/>
      <c r="HC735"/>
      <c r="HD735"/>
      <c r="HE735"/>
      <c r="HF735"/>
      <c r="HG735"/>
      <c r="HH735"/>
      <c r="HI735" s="273"/>
    </row>
    <row r="736" spans="2:217" s="269" customFormat="1" ht="12.75" hidden="1" customHeight="1" outlineLevel="1" x14ac:dyDescent="0.2">
      <c r="B736" s="275" t="s">
        <v>430</v>
      </c>
      <c r="C736" s="277"/>
      <c r="D736" s="272"/>
      <c r="E736" s="277"/>
      <c r="F736" s="272"/>
      <c r="G736" s="277"/>
      <c r="H736" s="272"/>
      <c r="I736" s="277"/>
      <c r="J736" s="272"/>
      <c r="K736" s="277"/>
      <c r="L736" s="223" t="str">
        <f>IF(ISERROR(K736/C736),"NA",IF(OR(K736/C736&gt;2,K736/C736&lt;0.5),"NM",K736/C736*100-100))</f>
        <v>NA</v>
      </c>
      <c r="M736" s="277"/>
      <c r="N736" s="223" t="str">
        <f>IF(ISERROR(M736/E736),"NA",IF(OR(M736/E736&gt;2,M736/E736&lt;0.5),"NM",M736/E736*100-100))</f>
        <v>NA</v>
      </c>
      <c r="O736" s="277"/>
      <c r="P736" s="223" t="str">
        <f>IF(ISERROR(O736/G736),"NA",IF(OR(O736/G736&gt;2,O736/G736&lt;0.5),"NM",O736/G736*100-100))</f>
        <v>NA</v>
      </c>
      <c r="Q736" s="277">
        <f>(Q526*(1-Q$538/100))/AVERAGE(O729,Q729)*400</f>
        <v>2.6494683632560569</v>
      </c>
      <c r="R736" s="223" t="str">
        <f>IF(ISERROR(Q736/I736),"NA",IF(OR(Q736/I736&gt;2,Q736/I736&lt;0.5),"NM",Q736/I736*100-100))</f>
        <v>NA</v>
      </c>
      <c r="S736" s="277" t="s">
        <v>476</v>
      </c>
      <c r="T736" s="223" t="str">
        <f>IF(ISERROR(S736/K736),"NA",IF(OR(S736/K736&gt;2,S736/K736&lt;0.5),"NM",S736/K736*100-100))</f>
        <v>NA</v>
      </c>
      <c r="U736" s="277">
        <f>(U526*(1-U$538/100))/AVERAGE(S729,U729)*400</f>
        <v>3.2263485128549827</v>
      </c>
      <c r="V736" s="223" t="str">
        <f>IF(ISERROR(U736/M736),"NA",IF(OR(U736/M736&gt;2,U736/M736&lt;0.5),"NM",U736/M736*100-100))</f>
        <v>NA</v>
      </c>
      <c r="W736" s="277">
        <f>(W526*(1-W$538/100))/AVERAGE(U729,W729)*400</f>
        <v>2.8180826973077244</v>
      </c>
      <c r="X736" s="223" t="str">
        <f>IF(ISERROR(W736/O736),"NA",IF(OR(W736/O736&gt;2,W736/O736&lt;0.5),"NM",W736/O736*100-100))</f>
        <v>NA</v>
      </c>
      <c r="Y736" s="277">
        <f>(Y526*(1-Y$538/100))/AVERAGE(W729,Y729)*400</f>
        <v>2.344931921331316</v>
      </c>
      <c r="Z736" s="223">
        <f>IF(ISERROR(Y736/Q736),"NA",IF(OR(Y736/Q736&gt;2,Y736/Q736&lt;0.5),"NM",Y736/Q736*100-100))</f>
        <v>-11.494247153435779</v>
      </c>
      <c r="AA736" s="277">
        <f>(AA526*(1-AA$538/100))/AVERAGE(Y729,AA729)*400</f>
        <v>3.3685786469542434</v>
      </c>
      <c r="AB736" s="223" t="str">
        <f>IF(ISERROR(AA736/S736),"NA",IF(OR(AA736/S736&gt;2,AA736/S736&lt;0.5),"NM",AA736/S736*100-100))</f>
        <v>NA</v>
      </c>
      <c r="AC736" s="277">
        <f>(AC526*(1-AC$538/100))/AVERAGE(AA729,AC729)*400</f>
        <v>3.5602439426405139</v>
      </c>
      <c r="AD736" s="223">
        <f>IF(ISERROR(AC736/U736),"NA",IF(OR(AC736/U736&gt;2,AC736/U736&lt;0.5),"NM",AC736/U736*100-100))</f>
        <v>10.349019284654659</v>
      </c>
      <c r="AE736" s="277">
        <f>(AE526*(1-AE$538/100))/AVERAGE(AC729,AE729)*400</f>
        <v>2.7757125154894671</v>
      </c>
      <c r="AF736" s="223">
        <f>IF(ISERROR(AE736/W736),"NA",IF(OR(AE736/W736&gt;2,AE736/W736&lt;0.5),"NM",AE736/W736*100-100))</f>
        <v>-1.5035109458901275</v>
      </c>
      <c r="AG736" s="277">
        <f>(AG526*(1-AG$538/100))/AVERAGE(AE729,AG729)*400</f>
        <v>4.628999319264806</v>
      </c>
      <c r="AH736" s="223">
        <f>IF(ISERROR(AG736/Y736),"NA",IF(OR(AG736/Y736&gt;2,AG736/Y736&lt;0.5),"NM",AG736/Y736*100-100))</f>
        <v>97.404422582841107</v>
      </c>
      <c r="AI736" s="277">
        <f>(AI526*(1-AI$538/100))/AVERAGE(AG729,AI729)*400</f>
        <v>4.1127459670271227</v>
      </c>
      <c r="AJ736" s="223">
        <f>IF(ISERROR(AI736/AA736),"NA",IF(OR(AI736/AA736&gt;2,AI736/AA736&lt;0.5),"NM",AI736/AA736*100-100))</f>
        <v>22.091433748941284</v>
      </c>
      <c r="AK736" s="277">
        <f>(AK526*(1-AK$538/100))/AVERAGE(AI729,AK729)*400</f>
        <v>4.2830373873471936</v>
      </c>
      <c r="AL736" s="223">
        <f>IF(ISERROR(AK736/AC736),"NA",IF(OR(AK736/AC736&gt;2,AK736/AC736&lt;0.5),"NM",AK736/AC736*100-100))</f>
        <v>20.301795504793631</v>
      </c>
      <c r="AM736" s="277">
        <f>(AM526*(1-AM$538/100))/AVERAGE(AK729,AM729)*400</f>
        <v>4.1994750656167978</v>
      </c>
      <c r="AN736" s="223">
        <f>IF(ISERROR(AM736/AE736),"NA",IF(OR(AM736/AE736&gt;2,AM736/AE736&lt;0.5),"NM",AM736/AE736*100-100))</f>
        <v>51.293588301462307</v>
      </c>
      <c r="AO736" s="277">
        <f>(AO526*(1-AO$538/100))/AVERAGE(AM729,AO729)*400</f>
        <v>5.157487566771044</v>
      </c>
      <c r="AP736" s="223">
        <f>IF(ISERROR(AO736/AG736),"NA",IF(OR(AO736/AG736&gt;2,AO736/AG736&lt;0.5),"NM",AO736/AG736*100-100))</f>
        <v>11.416900523333283</v>
      </c>
      <c r="AQ736" s="277">
        <f>(AQ526*(1-AQ$538/100))/AVERAGE(AO729,AQ729)*400</f>
        <v>7.3374096720400228</v>
      </c>
      <c r="AR736" s="223">
        <f>IF(ISERROR(AQ736/AI736),"NA",IF(OR(AQ736/AI736&gt;2,AQ736/AI736&lt;0.5),"NM",AQ736/AI736*100-100))</f>
        <v>78.406586034386947</v>
      </c>
      <c r="AS736" s="277">
        <f>(AS526*(1-AS$538/100))/AVERAGE(AQ729,AS729)*400</f>
        <v>6.0477551396699543</v>
      </c>
      <c r="AT736" s="223">
        <f>IF(ISERROR(AS736/AK736),"NA",IF(OR(AS736/AK736&gt;2,AS736/AK736&lt;0.5),"NM",AS736/AK736*100-100))</f>
        <v>41.202483021419113</v>
      </c>
      <c r="AU736" s="277">
        <f>(AU526*(1-AU$538/100))/AVERAGE(AS729,AU729)*400</f>
        <v>7.0238957277335272</v>
      </c>
      <c r="AV736" s="223">
        <f>IF(ISERROR(AU736/AM736),"NA",IF(OR(AU736/AM736&gt;2,AU736/AM736&lt;0.5),"NM",AU736/AM736*100-100))</f>
        <v>67.256517016654641</v>
      </c>
      <c r="AW736" s="277">
        <f>(AW526*(1-AW$538/100))/AVERAGE(AU729,AW729)*400</f>
        <v>7.7174971236392595</v>
      </c>
      <c r="AX736" s="223">
        <f>IF(ISERROR(AW736/AO736),"NA",IF(OR(AW736/AO736&gt;2,AW736/AO736&lt;0.5),"NM",AW736/AO736*100-100))</f>
        <v>49.636756729419801</v>
      </c>
      <c r="AY736" s="277">
        <f>(AY526*(1-AY$538/100))/AVERAGE(AW729,AY729)*400</f>
        <v>7.6678352144926949</v>
      </c>
      <c r="AZ736" s="223">
        <f>IF(ISERROR(AY736/AQ736),"NA",IF(OR(AY736/AQ736&gt;2,AY736/AQ736&lt;0.5),"NM",AY736/AQ736*100-100))</f>
        <v>4.5032996278208799</v>
      </c>
      <c r="BA736" s="277">
        <f>(BA526*(1-BA$538/100))/AVERAGE(AY729,BA729)*400</f>
        <v>4.9546365353715922</v>
      </c>
      <c r="BB736" s="223">
        <f>IF(ISERROR(BA736/AS736),"NA",IF(OR(BA736/AS736&gt;2,BA736/AS736&lt;0.5),"NM",BA736/AS736*100-100))</f>
        <v>-18.074782775646852</v>
      </c>
      <c r="BC736" s="277">
        <f>(BC526*(1-BC$538/100))/AVERAGE(BA729,BC729)*400</f>
        <v>4.5241250804669484</v>
      </c>
      <c r="BD736" s="223">
        <f>IF(ISERROR(BC736/AU736),"NA",IF(OR(BC736/AU736&gt;2,BC736/AU736&lt;0.5),"NM",BC736/AU736*100-100))</f>
        <v>-35.589518184279839</v>
      </c>
      <c r="BE736" s="277">
        <f>(BE526*(1-BE$538/100))/AVERAGE(BC729,BE729)*400</f>
        <v>5.430813033187686</v>
      </c>
      <c r="BF736" s="223">
        <f>IF(ISERROR(BE736/AW736),"NA",IF(OR(BE736/AW736&gt;2,BE736/AW736&lt;0.5),"NM",BE736/AW736*100-100))</f>
        <v>-29.629866442674697</v>
      </c>
      <c r="BG736" s="277">
        <f>(BG526*(1-BG$538/100))/AVERAGE(BE729,BG729)*400</f>
        <v>6.870488092126922</v>
      </c>
      <c r="BH736" s="223">
        <f>IF(ISERROR(BG736/AY736),"NA",IF(OR(BG736/AY736&gt;2,BG736/AY736&lt;0.5),"NM",BG736/AY736*100-100))</f>
        <v>-10.398594910578367</v>
      </c>
      <c r="BI736" s="277">
        <f>(BI526*(1-BI$538/100))/AVERAGE(BG729,BI729)*400</f>
        <v>6.789256943838728</v>
      </c>
      <c r="BJ736" s="223">
        <f>IF(ISERROR(BI736/BA736),"NA",IF(OR(BI736/BA736&gt;2,BI736/BA736&lt;0.5),"NM",BI736/BA736*100-100))</f>
        <v>37.028355064384982</v>
      </c>
      <c r="BK736" s="277">
        <f>(BK526*(1-BK$538/100))/AVERAGE(BI729,BK729)*400</f>
        <v>9.5366126426135871</v>
      </c>
      <c r="BL736" s="223" t="str">
        <f>IF(ISERROR(BK736/BC736),"NA",IF(OR(BK736/BC736&gt;2,BK736/BC736&lt;0.5),"NM",BK736/BC736*100-100))</f>
        <v>NM</v>
      </c>
      <c r="BM736" s="277">
        <f>(BM526*(1-BM$538/100))/AVERAGE(BK729,BM729)*400</f>
        <v>11.538185128401686</v>
      </c>
      <c r="BN736" s="223" t="str">
        <f>IF(ISERROR(BM736/BE736),"NA",IF(OR(BM736/BE736&gt;2,BM736/BE736&lt;0.5),"NM",BM736/BE736*100-100))</f>
        <v>NM</v>
      </c>
      <c r="BO736" s="277">
        <f>(BO526*(1-BO$538/100))/AVERAGE(BM729,BO729)*400</f>
        <v>6.5767916521830383</v>
      </c>
      <c r="BP736" s="223">
        <f>IF(ISERROR(BO736/BG736),"NA",IF(OR(BO736/BG736&gt;2,BO736/BG736&lt;0.5),"NM",BO736/BG736*100-100))</f>
        <v>-4.2747536420365577</v>
      </c>
      <c r="BQ736" s="277">
        <f>(BQ526*(1-BQ$538/100))/AVERAGE(BO729,BQ729)*400</f>
        <v>6.6132659571536676</v>
      </c>
      <c r="BR736" s="223">
        <f>IF(ISERROR(BQ736/BI736),"NA",IF(OR(BQ736/BI736&gt;2,BQ736/BI736&lt;0.5),"NM",BQ736/BI736*100-100))</f>
        <v>-2.5921980585043656</v>
      </c>
      <c r="BS736" s="277">
        <f>(BS526*(1-BS$538/100))/AVERAGE(BQ729,BS729)*400</f>
        <v>4.169486354017125</v>
      </c>
      <c r="BT736" s="223" t="str">
        <f>IF(ISERROR(BS736/BK736),"NA",IF(OR(BS736/BK736&gt;2,BS736/BK736&lt;0.5),"NM",BS736/BK736*100-100))</f>
        <v>NM</v>
      </c>
      <c r="BU736" s="277">
        <f>(BU526*(1-BU$538/100))/AVERAGE(BS729,BU729)*400</f>
        <v>4.7704668139032966</v>
      </c>
      <c r="BV736" s="223" t="str">
        <f>IF(ISERROR(BU736/BM736),"NA",IF(OR(BU736/BM736&gt;2,BU736/BM736&lt;0.5),"NM",BU736/BM736*100-100))</f>
        <v>NM</v>
      </c>
      <c r="BW736" s="277">
        <f>(BW526*(1-BW$538/100))/AVERAGE(BU729,BW729)*400</f>
        <v>-9.2664092664092673E-2</v>
      </c>
      <c r="BX736" s="223" t="str">
        <f>IF(ISERROR(BW736/BO736),"NA",IF(OR(BW736/BO736&gt;2,BW736/BO736&lt;0.5),"NM",BW736/BO736*100-100))</f>
        <v>NM</v>
      </c>
      <c r="BY736" s="277">
        <f>(BY526*(1-BY$538/100))/AVERAGE(BW729,BY729)*400</f>
        <v>2.8029407053445952</v>
      </c>
      <c r="BZ736" s="223" t="str">
        <f>IF(ISERROR(BY736/BQ736),"NA",IF(OR(BY736/BQ736&gt;2,BY736/BQ736&lt;0.5),"NM",BY736/BQ736*100-100))</f>
        <v>NM</v>
      </c>
      <c r="CA736" s="277">
        <f>(CA526*(1-CA$538/100))/AVERAGE(BY729,CA729)*400</f>
        <v>2.4652788846738289</v>
      </c>
      <c r="CB736" s="223">
        <f>IF(ISERROR(CA736/BS736),"NA",IF(OR(CA736/BS736&gt;2,CA736/BS736&lt;0.5),"NM",CA736/BS736*100-100))</f>
        <v>-40.873319268723918</v>
      </c>
      <c r="CC736" s="277">
        <f>(CC526*(1-CC$538/100))/AVERAGE(CA729,CC729)*400</f>
        <v>-0.45302729458784685</v>
      </c>
      <c r="CD736" s="223" t="str">
        <f>IF(ISERROR(CC736/BU736),"NA",IF(OR(CC736/BU736&gt;2,CC736/BU736&lt;0.5),"NM",CC736/BU736*100-100))</f>
        <v>NM</v>
      </c>
      <c r="CE736" s="277">
        <f>(CE526*(1-CE$538/100))/AVERAGE(CC729,CE729)*400</f>
        <v>5.8366293914474783</v>
      </c>
      <c r="CF736" s="223" t="str">
        <f>IF(ISERROR(CE736/BW736),"NA",IF(OR(CE736/BW736&gt;2,CE736/BW736&lt;0.5),"NM",CE736/BW736*100-100))</f>
        <v>NM</v>
      </c>
      <c r="CG736" s="277">
        <f>(CG526*(1-CG$538/100))/AVERAGE(CE729,CG729)*400</f>
        <v>8.8071812747137415</v>
      </c>
      <c r="CH736" s="223" t="str">
        <f>IF(ISERROR(CG736/BY736),"NA",IF(OR(CG736/BY736&gt;2,CG736/BY736&lt;0.5),"NM",CG736/BY736*100-100))</f>
        <v>NM</v>
      </c>
      <c r="CI736" s="277">
        <f>(CI526*(1-CI$538/100))/AVERAGE(CG729,CI729)*400</f>
        <v>9.9501508592417682</v>
      </c>
      <c r="CJ736" s="223" t="str">
        <f>IF(ISERROR(CI736/CA736),"NA",IF(OR(CI736/CA736&gt;2,CI736/CA736&lt;0.5),"NM",CI736/CA736*100-100))</f>
        <v>NM</v>
      </c>
      <c r="CK736" s="277">
        <f>(CK526*(1-CK$538/100))/AVERAGE(CI729,CK729)*400</f>
        <v>8.788996980878899</v>
      </c>
      <c r="CL736" s="223" t="str">
        <f>IF(ISERROR(CK736/CC736),"NA",IF(OR(CK736/CC736&gt;2,CK736/CC736&lt;0.5),"NM",CK736/CC736*100-100))</f>
        <v>NM</v>
      </c>
      <c r="CM736" s="277"/>
      <c r="CN736" s="223"/>
      <c r="CO736" s="277"/>
      <c r="CP736" s="223"/>
      <c r="CQ736" s="277"/>
      <c r="CR736" s="223"/>
      <c r="CS736" s="277"/>
      <c r="CT736" s="223"/>
      <c r="CU736" s="277"/>
      <c r="CV736" s="223"/>
      <c r="CW736" s="277"/>
      <c r="CX736" s="223"/>
      <c r="CY736" s="277"/>
      <c r="CZ736" s="223"/>
      <c r="DA736" s="277"/>
      <c r="DB736" s="223"/>
      <c r="DC736" s="277"/>
      <c r="DD736" s="223"/>
      <c r="DE736" s="277"/>
      <c r="DF736" s="223"/>
      <c r="DG736" s="277"/>
      <c r="DH736" s="223"/>
      <c r="DI736" s="277"/>
      <c r="DJ736" s="223"/>
      <c r="DK736" s="277"/>
      <c r="DL736" s="223"/>
      <c r="DM736" s="277"/>
      <c r="DN736" s="223"/>
      <c r="DO736" s="277"/>
      <c r="DP736" s="223"/>
      <c r="DQ736" s="277"/>
      <c r="DR736" s="223"/>
      <c r="DS736" s="277"/>
      <c r="DT736" s="223"/>
      <c r="DU736" s="277"/>
      <c r="DV736" s="223"/>
      <c r="DW736" s="278"/>
      <c r="DX736" s="223"/>
      <c r="DY736" s="278"/>
      <c r="DZ736" s="223"/>
      <c r="EA736" s="278"/>
      <c r="EB736" s="223"/>
      <c r="EC736" s="278"/>
      <c r="ED736" s="223"/>
      <c r="EE736" s="278"/>
      <c r="EF736" s="223"/>
      <c r="EG736" s="278"/>
      <c r="EH736" s="223"/>
      <c r="EI736" s="278"/>
      <c r="EJ736" s="223"/>
      <c r="EK736" s="278"/>
      <c r="EL736" s="223"/>
      <c r="EM736" s="278"/>
      <c r="EN736" s="223"/>
      <c r="EO736" s="278"/>
      <c r="EP736" s="223"/>
      <c r="EQ736" s="278"/>
      <c r="ER736" s="223"/>
      <c r="ES736" s="278"/>
      <c r="ET736" s="223"/>
      <c r="EU736" s="278"/>
      <c r="EV736" s="223"/>
      <c r="EW736" s="278"/>
      <c r="EX736" s="223"/>
      <c r="EY736" s="223"/>
      <c r="EZ736" s="296"/>
      <c r="FA736" s="223"/>
      <c r="FB736" s="271"/>
      <c r="FC736" s="272"/>
      <c r="FD736" s="276"/>
      <c r="FE736" s="223"/>
      <c r="FF736" s="279">
        <f>(FF526*(1-FF$538/100))/AVERAGE(FD729,FF729)*100</f>
        <v>0.56984521320372805</v>
      </c>
      <c r="FG736" s="223" t="str">
        <f>IF(ISERROR(FF736/FD736),"NA",IF(OR(FF736/FD736&gt;2,FF736/FD736&lt;0.5),"NM",FF736/FD736*100-100))</f>
        <v>NA</v>
      </c>
      <c r="FH736" s="279">
        <f>(FH526*(1-FH$538/100))/AVERAGE(FF729,FH729)*100</f>
        <v>1.1112968647884918</v>
      </c>
      <c r="FI736" s="223">
        <f>IF(ISERROR(FH736/FF736),"NA",IF(OR(FH736/FF736&gt;2,FH736/FF736&lt;0.5),"NM",FH736/FF736*100-100))</f>
        <v>95.017320324701359</v>
      </c>
      <c r="FJ736" s="279">
        <f>(FJ526*(1-FJ$538/100))/AVERAGE(FH729,FJ729)*100</f>
        <v>1.27695661779058</v>
      </c>
      <c r="FK736" s="223">
        <f>IF(ISERROR(FJ736/FH736),"NA",IF(OR(FJ736/FH736&gt;2,FJ736/FH736&lt;0.5),"NM",FJ736/FH736*100-100))</f>
        <v>14.906885662240896</v>
      </c>
      <c r="FL736" s="279">
        <f>(FL526*(1-FL$538/100))/AVERAGE(FJ729,FL729)*100</f>
        <v>2.0128873706446715</v>
      </c>
      <c r="FM736" s="223">
        <f>IF(ISERROR(FL736/FJ736),"NA",IF(OR(FL736/FJ736&gt;2,FL736/FJ736&lt;0.5),"NM",FL736/FJ736*100-100))</f>
        <v>57.631617441116816</v>
      </c>
      <c r="FN736" s="279"/>
      <c r="FO736" s="223"/>
      <c r="FP736" s="279"/>
      <c r="FQ736" s="223"/>
      <c r="FR736" s="278"/>
      <c r="FS736" s="223"/>
      <c r="FT736" s="278"/>
      <c r="FU736" s="223"/>
      <c r="FV736" s="278"/>
      <c r="FW736" s="223" t="str">
        <f>IF(ISERROR(FV736/FT736),"NA",IF(OR(FV736/FT736&gt;2,FV736/FT736&lt;0.5),"NM",FV736/FT736*100-100))</f>
        <v>NA</v>
      </c>
      <c r="FX736" s="278"/>
      <c r="FY736" s="223" t="str">
        <f>IF(ISERROR(FX736/FV736),"NA",IF(OR(FX736/FV736&gt;2,FX736/FV736&lt;0.5),"NM",FX736/FV736*100-100))</f>
        <v>NA</v>
      </c>
      <c r="FZ736" s="278"/>
      <c r="GA736" s="223" t="str">
        <f>IF(ISERROR(FZ736/FX736),"NA",IF(OR(FZ736/FX736&gt;2,FZ736/FX736&lt;0.5),"NM",FZ736/FX736*100-100))</f>
        <v>NA</v>
      </c>
      <c r="GB736" s="278"/>
      <c r="GC736" s="223" t="str">
        <f>IF(ISERROR(GB736/FZ736),"NA",IF(OR(GB736/FZ736&gt;2,GB736/FZ736&lt;0.5),"NM",GB736/FZ736*100-100))</f>
        <v>NA</v>
      </c>
      <c r="GD736" s="278"/>
      <c r="GE736" s="223" t="str">
        <f>IF(ISERROR(GD736/GB736),"NA",IF(OR(GD736/GB736&gt;2,GD736/GB736&lt;0.5),"NM",GD736/GB736*100-100))</f>
        <v>NA</v>
      </c>
      <c r="GF736" s="278"/>
      <c r="GG736" s="223" t="str">
        <f>IF(ISERROR(GF736/GD736),"NA",IF(OR(GF736/GD736&gt;2,GF736/GD736&lt;0.5),"NM",GF736/GD736*100-100))</f>
        <v>NA</v>
      </c>
      <c r="GH736" s="278"/>
      <c r="GI736" s="223" t="str">
        <f>IF(ISERROR(GH736/GF736),"NA",IF(OR(GH736/GF736&gt;2,GH736/GF736&lt;0.5),"NM",GH736/GF736*100-100))</f>
        <v>NA</v>
      </c>
      <c r="GJ736" s="278"/>
      <c r="GK736" s="223" t="str">
        <f>IF(ISERROR(GJ736/GH736),"NA",IF(OR(GJ736/GH736&gt;2,GJ736/GH736&lt;0.5),"NM",GJ736/GH736*100-100))</f>
        <v>NA</v>
      </c>
      <c r="GL736" s="278"/>
      <c r="GM736" s="223" t="str">
        <f>IF(ISERROR(GL736/GJ736),"NA",IF(OR(GL736/GJ736&gt;2,GL736/GJ736&lt;0.5),"NM",GL736/GJ736*100-100))</f>
        <v>NA</v>
      </c>
      <c r="GN736" s="278"/>
      <c r="GO736" s="223" t="str">
        <f>IF(ISERROR(GN736/GL736),"NA",IF(OR(GN736/GL736&gt;2,GN736/GL736&lt;0.5),"NM",GN736/GL736*100-100))</f>
        <v>NA</v>
      </c>
      <c r="GP736" s="278"/>
      <c r="GQ736" s="223" t="str">
        <f>IF(ISERROR(GP736/GN736),"NA",IF(OR(GP736/GN736&gt;2,GP736/GN736&lt;0.5),"NM",GP736/GN736*100-100))</f>
        <v>NA</v>
      </c>
      <c r="GR736" s="278"/>
      <c r="GS736" s="223" t="str">
        <f>IF(ISERROR(GR736/GP736),"NA",IF(OR(GR736/GP736&gt;2,GR736/GP736&lt;0.5),"NM",GR736/GP736*100-100))</f>
        <v>NA</v>
      </c>
      <c r="GT736" s="278"/>
      <c r="GU736" s="223" t="str">
        <f>IF(ISERROR(GT736/GR736),"NA",IF(OR(GT736/GR736&gt;2,GT736/GR736&lt;0.5),"NM",GT736/GR736*100-100))</f>
        <v>NA</v>
      </c>
      <c r="GV736" s="278"/>
      <c r="GW736" s="223" t="str">
        <f>IF(ISERROR(GV736/GT736),"NA",IF(OR(GV736/GT736&gt;2,GV736/GT736&lt;0.5),"NM",GV736/GT736*100-100))</f>
        <v>NA</v>
      </c>
      <c r="GX736" s="278"/>
      <c r="GY736" s="223" t="str">
        <f>IF(ISERROR(GX736/GV736),"NA",IF(OR(GX736/GV736&gt;2,GX736/GV736&lt;0.5),"NM",GX736/GV736*100-100))</f>
        <v>NA</v>
      </c>
      <c r="GZ736" s="223"/>
      <c r="HA736" s="223"/>
      <c r="HB736" s="223"/>
      <c r="HC736"/>
      <c r="HD736"/>
      <c r="HE736"/>
      <c r="HF736"/>
      <c r="HG736"/>
      <c r="HH736"/>
      <c r="HI736" s="273"/>
    </row>
    <row r="737" spans="2:217" s="269" customFormat="1" ht="12.75" hidden="1" customHeight="1" outlineLevel="1" x14ac:dyDescent="0.2">
      <c r="B737" s="275" t="s">
        <v>376</v>
      </c>
      <c r="C737" s="277"/>
      <c r="D737" s="272"/>
      <c r="E737" s="277"/>
      <c r="F737" s="272"/>
      <c r="G737" s="277"/>
      <c r="H737" s="272"/>
      <c r="I737" s="277"/>
      <c r="J737" s="272"/>
      <c r="K737" s="277"/>
      <c r="L737" s="223" t="str">
        <f>IF(ISERROR(K737/C737),"NA",IF(OR(K737/C737&gt;2,K737/C737&lt;0.5),"NM",K737/C737*100-100))</f>
        <v>NA</v>
      </c>
      <c r="M737" s="277"/>
      <c r="N737" s="223" t="str">
        <f>IF(ISERROR(M737/E737),"NA",IF(OR(M737/E737&gt;2,M737/E737&lt;0.5),"NM",M737/E737*100-100))</f>
        <v>NA</v>
      </c>
      <c r="O737" s="277"/>
      <c r="P737" s="223" t="str">
        <f>IF(ISERROR(O737/G737),"NA",IF(OR(O737/G737&gt;2,O737/G737&lt;0.5),"NM",O737/G737*100-100))</f>
        <v>NA</v>
      </c>
      <c r="Q737" s="277">
        <f>(Q530*(1-Q$538/100))/AVERAGE(O730,Q730)*400</f>
        <v>22.633136094674555</v>
      </c>
      <c r="R737" s="223" t="str">
        <f>IF(ISERROR(Q737/I737),"NA",IF(OR(Q737/I737&gt;2,Q737/I737&lt;0.5),"NM",Q737/I737*100-100))</f>
        <v>NA</v>
      </c>
      <c r="S737" s="277" t="s">
        <v>476</v>
      </c>
      <c r="T737" s="223" t="str">
        <f>IF(ISERROR(S737/K737),"NA",IF(OR(S737/K737&gt;2,S737/K737&lt;0.5),"NM",S737/K737*100-100))</f>
        <v>NA</v>
      </c>
      <c r="U737" s="277">
        <f>(U530*(1-U$538/100))/AVERAGE(S730,U730)*400</f>
        <v>25.337487019730009</v>
      </c>
      <c r="V737" s="223" t="str">
        <f>IF(ISERROR(U737/M737),"NA",IF(OR(U737/M737&gt;2,U737/M737&lt;0.5),"NM",U737/M737*100-100))</f>
        <v>NA</v>
      </c>
      <c r="W737" s="277">
        <f>(W530*(1-W$538/100))/AVERAGE(U730,W730)*400</f>
        <v>25.744608010955151</v>
      </c>
      <c r="X737" s="223" t="str">
        <f>IF(ISERROR(W737/O737),"NA",IF(OR(W737/O737&gt;2,W737/O737&lt;0.5),"NM",W737/O737*100-100))</f>
        <v>NA</v>
      </c>
      <c r="Y737" s="277">
        <f>(Y530*(1-Y$538/100))/AVERAGE(W730,Y730)*400</f>
        <v>23.549088476333836</v>
      </c>
      <c r="Z737" s="223">
        <f>IF(ISERROR(Y737/Q737),"NA",IF(OR(Y737/Q737&gt;2,Y737/Q737&lt;0.5),"NM",Y737/Q737*100-100))</f>
        <v>4.0469530065469002</v>
      </c>
      <c r="AA737" s="277">
        <f>(AA530*(1-AA$538/100))/AVERAGE(Y730,AA730)*400</f>
        <v>22.875605815831985</v>
      </c>
      <c r="AB737" s="223" t="str">
        <f>IF(ISERROR(AA737/S737),"NA",IF(OR(AA737/S737&gt;2,AA737/S737&lt;0.5),"NM",AA737/S737*100-100))</f>
        <v>NA</v>
      </c>
      <c r="AC737" s="277">
        <f>(AC530*(1-AC$538/100))/AVERAGE(AA730,AC730)*400</f>
        <v>27.324478178368121</v>
      </c>
      <c r="AD737" s="223">
        <f>IF(ISERROR(AC737/U737),"NA",IF(OR(AC737/U737&gt;2,AC737/U737&lt;0.5),"NM",AC737/U737*100-100))</f>
        <v>7.8421003515102541</v>
      </c>
      <c r="AE737" s="277">
        <f>(AE530*(1-AE$538/100))/AVERAGE(AC730,AE730)*400</f>
        <v>27.370359005830007</v>
      </c>
      <c r="AF737" s="223">
        <f>IF(ISERROR(AE737/W737),"NA",IF(OR(AE737/W737&gt;2,AE737/W737&lt;0.5),"NM",AE737/W737*100-100))</f>
        <v>6.3149184255710793</v>
      </c>
      <c r="AG737" s="277">
        <f>(AG530*(1-AG$538/100))/AVERAGE(AE730,AG730)*400</f>
        <v>23.324683254464968</v>
      </c>
      <c r="AH737" s="223">
        <f>IF(ISERROR(AG737/Y737),"NA",IF(OR(AG737/Y737&gt;2,AG737/Y737&lt;0.5),"NM",AG737/Y737*100-100))</f>
        <v>-0.9529252993991264</v>
      </c>
      <c r="AI737" s="277">
        <f>(AI530*(1-AI$538/100))/AVERAGE(AG730,AI730)*400</f>
        <v>26.618269812462191</v>
      </c>
      <c r="AJ737" s="223">
        <f>IF(ISERROR(AI737/AA737),"NA",IF(OR(AI737/AA737&gt;2,AI737/AA737&lt;0.5),"NM",AI737/AA737*100-100))</f>
        <v>16.360939363800114</v>
      </c>
      <c r="AK737" s="277">
        <f>(AK530*(1-AK$538/100))/AVERAGE(AI730,AK730)*400</f>
        <v>30.463003028991782</v>
      </c>
      <c r="AL737" s="223">
        <f>IF(ISERROR(AK737/AC737),"NA",IF(OR(AK737/AC737&gt;2,AK737/AC737&lt;0.5),"NM",AK737/AC737*100-100))</f>
        <v>11.48612914082409</v>
      </c>
      <c r="AM737" s="277">
        <f>(AM530*(1-AM$538/100))/AVERAGE(AK730,AM730)*400</f>
        <v>28.750522356874214</v>
      </c>
      <c r="AN737" s="223">
        <f>IF(ISERROR(AM737/AE737),"NA",IF(OR(AM737/AE737&gt;2,AM737/AE737&lt;0.5),"NM",AM737/AE737*100-100))</f>
        <v>5.0425474899698202</v>
      </c>
      <c r="AO737" s="277">
        <f>(AO530*(1-AO$538/100))/AVERAGE(AM730,AO730)*400</f>
        <v>29.081007488087135</v>
      </c>
      <c r="AP737" s="223">
        <f>IF(ISERROR(AO737/AG737),"NA",IF(OR(AO737/AG737&gt;2,AO737/AG737&lt;0.5),"NM",AO737/AG737*100-100))</f>
        <v>24.679109983284548</v>
      </c>
      <c r="AQ737" s="277">
        <f>(AQ530*(1-AQ$538/100))/AVERAGE(AO730,AQ730)*400</f>
        <v>31.911532385466035</v>
      </c>
      <c r="AR737" s="223">
        <f>IF(ISERROR(AQ737/AI737),"NA",IF(OR(AQ737/AI737&gt;2,AQ737/AI737&lt;0.5),"NM",AQ737/AI737*100-100))</f>
        <v>19.885825075398529</v>
      </c>
      <c r="AS737" s="277">
        <f>(AS530*(1-AS$538/100))/AVERAGE(AQ730,AS730)*400</f>
        <v>30.947394357521251</v>
      </c>
      <c r="AT737" s="223">
        <f>IF(ISERROR(AS737/AK737),"NA",IF(OR(AS737/AK737&gt;2,AS737/AK737&lt;0.5),"NM",AS737/AK737*100-100))</f>
        <v>1.5900971026017174</v>
      </c>
      <c r="AU737" s="277">
        <f>(AU530*(1-AU$538/100))/AVERAGE(AS730,AU730)*400</f>
        <v>33.279853311941324</v>
      </c>
      <c r="AV737" s="223">
        <f>IF(ISERROR(AU737/AM737),"NA",IF(OR(AU737/AM737&gt;2,AU737/AM737&lt;0.5),"NM",AU737/AM737*100-100))</f>
        <v>15.753908394586617</v>
      </c>
      <c r="AW737" s="277">
        <f>(AW530*(1-AW$538/100))/AVERAGE(AU730,AW730)*400</f>
        <v>31.23607427055703</v>
      </c>
      <c r="AX737" s="223">
        <f>IF(ISERROR(AW737/AO737),"NA",IF(OR(AW737/AO737&gt;2,AW737/AO737&lt;0.5),"NM",AW737/AO737*100-100))</f>
        <v>7.4105643807309747</v>
      </c>
      <c r="AY737" s="277">
        <f>(AY530*(1-AY$538/100))/AVERAGE(AW730,AY730)*400</f>
        <v>20.492531732246373</v>
      </c>
      <c r="AZ737" s="223">
        <f>IF(ISERROR(AY737/AQ737),"NA",IF(OR(AY737/AQ737&gt;2,AY737/AQ737&lt;0.5),"NM",AY737/AQ737*100-100))</f>
        <v>-35.783304027168541</v>
      </c>
      <c r="BA737" s="277">
        <f>(BA530*(1-BA$538/100))/AVERAGE(AY730,BA730)*400</f>
        <v>20.638573266006485</v>
      </c>
      <c r="BB737" s="223">
        <f>IF(ISERROR(BA737/AS737),"NA",IF(OR(BA737/AS737&gt;2,BA737/AS737&lt;0.5),"NM",BA737/AS737*100-100))</f>
        <v>-33.310788534962327</v>
      </c>
      <c r="BC737" s="277">
        <f>(BC530*(1-BC$538/100))/AVERAGE(BA730,BC730)*400</f>
        <v>19.773138254150915</v>
      </c>
      <c r="BD737" s="223">
        <f>IF(ISERROR(BC737/AU737),"NA",IF(OR(BC737/AU737&gt;2,BC737/AU737&lt;0.5),"NM",BC737/AU737*100-100))</f>
        <v>-40.585260190867466</v>
      </c>
      <c r="BE737" s="277">
        <f>(BE530*(1-BE$538/100))/AVERAGE(BC730,BE730)*400</f>
        <v>17.716693576602367</v>
      </c>
      <c r="BF737" s="223">
        <f>IF(ISERROR(BE737/AW737),"NA",IF(OR(BE737/AW737&gt;2,BE737/AW737&lt;0.5),"NM",BE737/AW737*100-100))</f>
        <v>-43.281305380612324</v>
      </c>
      <c r="BG737" s="277">
        <f>(BG530*(1-BG$538/100))/AVERAGE(BE730,BG730)*400</f>
        <v>19.142339648502585</v>
      </c>
      <c r="BH737" s="223">
        <f>IF(ISERROR(BG737/AY737),"NA",IF(OR(BG737/AY737&gt;2,BG737/AY737&lt;0.5),"NM",BG737/AY737*100-100))</f>
        <v>-6.5887031499342328</v>
      </c>
      <c r="BI737" s="277">
        <f>(BI530*(1-BI$538/100))/AVERAGE(BG730,BI730)*400</f>
        <v>18.876879079602666</v>
      </c>
      <c r="BJ737" s="223">
        <f>IF(ISERROR(BI737/BA737),"NA",IF(OR(BI737/BA737&gt;2,BI737/BA737&lt;0.5),"NM",BI737/BA737*100-100))</f>
        <v>-8.5359300940897924</v>
      </c>
      <c r="BK737" s="277">
        <f>(BK530*(1-BK$538/100))/AVERAGE(BI730,BK730)*400</f>
        <v>22.498971873731545</v>
      </c>
      <c r="BL737" s="223">
        <f>IF(ISERROR(BK737/BC737),"NA",IF(OR(BK737/BC737&gt;2,BK737/BC737&lt;0.5),"NM",BK737/BC737*100-100))</f>
        <v>13.785538666369291</v>
      </c>
      <c r="BM737" s="277">
        <f>(BM530*(1-BM$538/100))/AVERAGE(BK730,BM730)*400</f>
        <v>21.483762926982138</v>
      </c>
      <c r="BN737" s="223">
        <f>IF(ISERROR(BM737/BE737),"NA",IF(OR(BM737/BE737&gt;2,BM737/BE737&lt;0.5),"NM",BM737/BE737*100-100))</f>
        <v>21.262823867737765</v>
      </c>
      <c r="BO737" s="277">
        <f>(BO530*(1-BO$538/100))/AVERAGE(BM730,BO730)*400</f>
        <v>19.718194473793911</v>
      </c>
      <c r="BP737" s="223">
        <f>IF(ISERROR(BO737/BG737),"NA",IF(OR(BO737/BG737&gt;2,BO737/BG737&lt;0.5),"NM",BO737/BG737*100-100))</f>
        <v>3.008278172184518</v>
      </c>
      <c r="BQ737" s="277">
        <f>(BQ530*(1-BQ$538/100))/AVERAGE(BO730,BQ730)*400</f>
        <v>20.459161239928218</v>
      </c>
      <c r="BR737" s="223">
        <f>IF(ISERROR(BQ737/BI737),"NA",IF(OR(BQ737/BI737&gt;2,BQ737/BI737&lt;0.5),"NM",BQ737/BI737*100-100))</f>
        <v>8.3821173704252914</v>
      </c>
      <c r="BS737" s="277">
        <f>(BS530*(1-BS$538/100))/AVERAGE(BQ730,BS730)*400</f>
        <v>18.610819961773807</v>
      </c>
      <c r="BT737" s="223">
        <f>IF(ISERROR(BS737/BK737),"NA",IF(OR(BS737/BK737&gt;2,BS737/BK737&lt;0.5),"NM",BS737/BK737*100-100))</f>
        <v>-17.281464832165554</v>
      </c>
      <c r="BU737" s="277">
        <f>(BU530*(1-BU$538/100))/AVERAGE(BS730,BU730)*400</f>
        <v>18.842082787916006</v>
      </c>
      <c r="BV737" s="223">
        <f>IF(ISERROR(BU737/BM737),"NA",IF(OR(BU737/BM737&gt;2,BU737/BM737&lt;0.5),"NM",BU737/BM737*100-100))</f>
        <v>-12.296170591923456</v>
      </c>
      <c r="BW737" s="277">
        <f>(BW530*(1-BW$538/100))/AVERAGE(BU730,BW730)*400</f>
        <v>19.205055241065732</v>
      </c>
      <c r="BX737" s="223">
        <f>IF(ISERROR(BW737/BO737),"NA",IF(OR(BW737/BO737&gt;2,BW737/BO737&lt;0.5),"NM",BW737/BO737*100-100))</f>
        <v>-2.6023641941971647</v>
      </c>
      <c r="BY737" s="277">
        <f>(BY530*(1-BY$538/100))/AVERAGE(BW730,BY730)*400</f>
        <v>18.522917774699213</v>
      </c>
      <c r="BZ737" s="223">
        <f>IF(ISERROR(BY737/BQ737),"NA",IF(OR(BY737/BQ737&gt;2,BY737/BQ737&lt;0.5),"NM",BY737/BQ737*100-100))</f>
        <v>-9.4639435239907073</v>
      </c>
      <c r="CA737" s="277">
        <f>(CA530*(1-CA$538/100))/AVERAGE(BY730,CA730)*400</f>
        <v>20.105533619047137</v>
      </c>
      <c r="CB737" s="223">
        <f>IF(ISERROR(CA737/BS737),"NA",IF(OR(CA737/BS737&gt;2,CA737/BS737&lt;0.5),"NM",CA737/BS737*100-100))</f>
        <v>8.0314229052961537</v>
      </c>
      <c r="CC737" s="277">
        <f>(CC530*(1-CC$538/100))/AVERAGE(CA730,CC730)*400</f>
        <v>16.922235560891021</v>
      </c>
      <c r="CD737" s="223">
        <f>IF(ISERROR(CC737/BU737),"NA",IF(OR(CC737/BU737&gt;2,CC737/BU737&lt;0.5),"NM",CC737/BU737*100-100))</f>
        <v>-10.189145481603774</v>
      </c>
      <c r="CE737" s="277">
        <f>(CE530*(1-CE$538/100))/AVERAGE(CC730,CE730)*400</f>
        <v>16.992331973762589</v>
      </c>
      <c r="CF737" s="223">
        <f>IF(ISERROR(CE737/BW737),"NA",IF(OR(CE737/BW737&gt;2,CE737/BW737&lt;0.5),"NM",CE737/BW737*100-100))</f>
        <v>-11.521566793370781</v>
      </c>
      <c r="CG737" s="277">
        <f>(CG530*(1-CG$538/100))/AVERAGE(CE730,CG730)*400</f>
        <v>16.797914396000692</v>
      </c>
      <c r="CH737" s="223">
        <f>IF(ISERROR(CG737/BY737),"NA",IF(OR(CG737/BY737&gt;2,CG737/BY737&lt;0.5),"NM",CG737/BY737*100-100))</f>
        <v>-9.3128058963514633</v>
      </c>
      <c r="CI737" s="277">
        <f>(CI530*(1-CI$538/100))/AVERAGE(CG730,CI730)*400</f>
        <v>18.389481886881356</v>
      </c>
      <c r="CJ737" s="223">
        <f>IF(ISERROR(CI737/CA737),"NA",IF(OR(CI737/CA737&gt;2,CI737/CA737&lt;0.5),"NM",CI737/CA737*100-100))</f>
        <v>-8.5352210226346159</v>
      </c>
      <c r="CK737" s="277">
        <f>(CK530*(1-CK$538/100))/AVERAGE(CI730,CK730)*400</f>
        <v>17.366157170388146</v>
      </c>
      <c r="CL737" s="223">
        <f>IF(ISERROR(CK737/CC737),"NA",IF(OR(CK737/CC737&gt;2,CK737/CC737&lt;0.5),"NM",CK737/CC737*100-100))</f>
        <v>2.6233035694354356</v>
      </c>
      <c r="CM737" s="277"/>
      <c r="CN737" s="223"/>
      <c r="CO737" s="277"/>
      <c r="CP737" s="223"/>
      <c r="CQ737" s="277"/>
      <c r="CR737" s="223"/>
      <c r="CS737" s="277"/>
      <c r="CT737" s="223"/>
      <c r="CU737" s="277"/>
      <c r="CV737" s="223"/>
      <c r="CW737" s="277"/>
      <c r="CX737" s="223"/>
      <c r="CY737" s="277"/>
      <c r="CZ737" s="223"/>
      <c r="DA737" s="277"/>
      <c r="DB737" s="223"/>
      <c r="DC737" s="277"/>
      <c r="DD737" s="223"/>
      <c r="DE737" s="277"/>
      <c r="DF737" s="223"/>
      <c r="DG737" s="277"/>
      <c r="DH737" s="223"/>
      <c r="DI737" s="277"/>
      <c r="DJ737" s="223"/>
      <c r="DK737" s="277"/>
      <c r="DL737" s="223"/>
      <c r="DM737" s="277"/>
      <c r="DN737" s="223"/>
      <c r="DO737" s="277"/>
      <c r="DP737" s="223"/>
      <c r="DQ737" s="277"/>
      <c r="DR737" s="223"/>
      <c r="DS737" s="277"/>
      <c r="DT737" s="223"/>
      <c r="DU737" s="277"/>
      <c r="DV737" s="223"/>
      <c r="DW737" s="278"/>
      <c r="DX737" s="223"/>
      <c r="DY737" s="278"/>
      <c r="DZ737" s="223"/>
      <c r="EA737" s="278"/>
      <c r="EB737" s="223"/>
      <c r="EC737" s="278"/>
      <c r="ED737" s="223"/>
      <c r="EE737" s="278"/>
      <c r="EF737" s="223"/>
      <c r="EG737" s="278"/>
      <c r="EH737" s="223"/>
      <c r="EI737" s="278"/>
      <c r="EJ737" s="223"/>
      <c r="EK737" s="278"/>
      <c r="EL737" s="223"/>
      <c r="EM737" s="278"/>
      <c r="EN737" s="223"/>
      <c r="EO737" s="278"/>
      <c r="EP737" s="223"/>
      <c r="EQ737" s="278"/>
      <c r="ER737" s="223"/>
      <c r="ES737" s="278"/>
      <c r="ET737" s="223"/>
      <c r="EU737" s="278"/>
      <c r="EV737" s="223"/>
      <c r="EW737" s="278"/>
      <c r="EX737" s="223"/>
      <c r="EY737" s="223"/>
      <c r="EZ737" s="296"/>
      <c r="FA737" s="223"/>
      <c r="FB737" s="271"/>
      <c r="FC737" s="272"/>
      <c r="FD737" s="276"/>
      <c r="FE737" s="223"/>
      <c r="FF737" s="279">
        <f>(FF530*(1-FF$538/100))/AVERAGE(FD730,FF730)*100</f>
        <v>3.610875353073939</v>
      </c>
      <c r="FG737" s="223" t="str">
        <f>IF(ISERROR(FF737/FD737),"NA",IF(OR(FF737/FD737&gt;2,FF737/FD737&lt;0.5),"NM",FF737/FD737*100-100))</f>
        <v>NA</v>
      </c>
      <c r="FH737" s="279">
        <f>(FH530*(1-FH$538/100))/AVERAGE(FF730,FH730)*100</f>
        <v>10.96208493938383</v>
      </c>
      <c r="FI737" s="223" t="str">
        <f>IF(ISERROR(FH737/FF737),"NA",IF(OR(FH737/FF737&gt;2,FH737/FF737&lt;0.5),"NM",FH737/FF737*100-100))</f>
        <v>NM</v>
      </c>
      <c r="FJ737" s="279">
        <f>(FJ530*(1-FJ$538/100))/AVERAGE(FH730,FJ730)*100</f>
        <v>9.4060259663231847</v>
      </c>
      <c r="FK737" s="223">
        <f>IF(ISERROR(FJ737/FH737),"NA",IF(OR(FJ737/FH737&gt;2,FJ737/FH737&lt;0.5),"NM",FJ737/FH737*100-100))</f>
        <v>-14.194918044013178</v>
      </c>
      <c r="FL737" s="279">
        <f>(FL530*(1-FL$538/100))/AVERAGE(FJ730,FL730)*100</f>
        <v>13.050509925493023</v>
      </c>
      <c r="FM737" s="223">
        <f>IF(ISERROR(FL737/FJ737),"NA",IF(OR(FL737/FJ737&gt;2,FL737/FJ737&lt;0.5),"NM",FL737/FJ737*100-100))</f>
        <v>38.746267256951512</v>
      </c>
      <c r="FN737" s="279"/>
      <c r="FO737" s="223"/>
      <c r="FP737" s="279"/>
      <c r="FQ737" s="223"/>
      <c r="FR737" s="278"/>
      <c r="FS737" s="223"/>
      <c r="FT737" s="278"/>
      <c r="FU737" s="223"/>
      <c r="FV737" s="278"/>
      <c r="FW737" s="223" t="str">
        <f>IF(ISERROR(FV737/FT737),"NA",IF(OR(FV737/FT737&gt;2,FV737/FT737&lt;0.5),"NM",FV737/FT737*100-100))</f>
        <v>NA</v>
      </c>
      <c r="FX737" s="278"/>
      <c r="FY737" s="223" t="str">
        <f>IF(ISERROR(FX737/FV737),"NA",IF(OR(FX737/FV737&gt;2,FX737/FV737&lt;0.5),"NM",FX737/FV737*100-100))</f>
        <v>NA</v>
      </c>
      <c r="FZ737" s="278"/>
      <c r="GA737" s="223" t="str">
        <f>IF(ISERROR(FZ737/FX737),"NA",IF(OR(FZ737/FX737&gt;2,FZ737/FX737&lt;0.5),"NM",FZ737/FX737*100-100))</f>
        <v>NA</v>
      </c>
      <c r="GB737" s="278"/>
      <c r="GC737" s="223" t="str">
        <f>IF(ISERROR(GB737/FZ737),"NA",IF(OR(GB737/FZ737&gt;2,GB737/FZ737&lt;0.5),"NM",GB737/FZ737*100-100))</f>
        <v>NA</v>
      </c>
      <c r="GD737" s="278"/>
      <c r="GE737" s="223" t="str">
        <f>IF(ISERROR(GD737/GB737),"NA",IF(OR(GD737/GB737&gt;2,GD737/GB737&lt;0.5),"NM",GD737/GB737*100-100))</f>
        <v>NA</v>
      </c>
      <c r="GF737" s="278"/>
      <c r="GG737" s="223" t="str">
        <f>IF(ISERROR(GF737/GD737),"NA",IF(OR(GF737/GD737&gt;2,GF737/GD737&lt;0.5),"NM",GF737/GD737*100-100))</f>
        <v>NA</v>
      </c>
      <c r="GH737" s="278"/>
      <c r="GI737" s="223" t="str">
        <f>IF(ISERROR(GH737/GF737),"NA",IF(OR(GH737/GF737&gt;2,GH737/GF737&lt;0.5),"NM",GH737/GF737*100-100))</f>
        <v>NA</v>
      </c>
      <c r="GJ737" s="278"/>
      <c r="GK737" s="223" t="str">
        <f>IF(ISERROR(GJ737/GH737),"NA",IF(OR(GJ737/GH737&gt;2,GJ737/GH737&lt;0.5),"NM",GJ737/GH737*100-100))</f>
        <v>NA</v>
      </c>
      <c r="GL737" s="278"/>
      <c r="GM737" s="223" t="str">
        <f>IF(ISERROR(GL737/GJ737),"NA",IF(OR(GL737/GJ737&gt;2,GL737/GJ737&lt;0.5),"NM",GL737/GJ737*100-100))</f>
        <v>NA</v>
      </c>
      <c r="GN737" s="278"/>
      <c r="GO737" s="223" t="str">
        <f>IF(ISERROR(GN737/GL737),"NA",IF(OR(GN737/GL737&gt;2,GN737/GL737&lt;0.5),"NM",GN737/GL737*100-100))</f>
        <v>NA</v>
      </c>
      <c r="GP737" s="278"/>
      <c r="GQ737" s="223" t="str">
        <f>IF(ISERROR(GP737/GN737),"NA",IF(OR(GP737/GN737&gt;2,GP737/GN737&lt;0.5),"NM",GP737/GN737*100-100))</f>
        <v>NA</v>
      </c>
      <c r="GR737" s="278"/>
      <c r="GS737" s="223" t="str">
        <f>IF(ISERROR(GR737/GP737),"NA",IF(OR(GR737/GP737&gt;2,GR737/GP737&lt;0.5),"NM",GR737/GP737*100-100))</f>
        <v>NA</v>
      </c>
      <c r="GT737" s="278"/>
      <c r="GU737" s="223" t="str">
        <f>IF(ISERROR(GT737/GR737),"NA",IF(OR(GT737/GR737&gt;2,GT737/GR737&lt;0.5),"NM",GT737/GR737*100-100))</f>
        <v>NA</v>
      </c>
      <c r="GV737" s="278"/>
      <c r="GW737" s="223" t="str">
        <f>IF(ISERROR(GV737/GT737),"NA",IF(OR(GV737/GT737&gt;2,GV737/GT737&lt;0.5),"NM",GV737/GT737*100-100))</f>
        <v>NA</v>
      </c>
      <c r="GX737" s="278"/>
      <c r="GY737" s="223" t="str">
        <f>IF(ISERROR(GX737/GV737),"NA",IF(OR(GX737/GV737&gt;2,GX737/GV737&lt;0.5),"NM",GX737/GV737*100-100))</f>
        <v>NA</v>
      </c>
      <c r="GZ737" s="223"/>
      <c r="HA737" s="223"/>
      <c r="HB737" s="223"/>
      <c r="HC737"/>
      <c r="HD737"/>
      <c r="HE737"/>
      <c r="HF737"/>
      <c r="HG737"/>
      <c r="HH737"/>
      <c r="HI737" s="273"/>
    </row>
    <row r="738" spans="2:217" s="269" customFormat="1" ht="12.75" hidden="1" customHeight="1" outlineLevel="1" x14ac:dyDescent="0.2">
      <c r="B738" s="275" t="s">
        <v>112</v>
      </c>
      <c r="C738" s="277"/>
      <c r="D738" s="272"/>
      <c r="E738" s="277"/>
      <c r="F738" s="272"/>
      <c r="G738" s="277"/>
      <c r="H738" s="272"/>
      <c r="I738" s="277"/>
      <c r="J738" s="272"/>
      <c r="K738" s="277"/>
      <c r="L738" s="223" t="str">
        <f>IF(ISERROR(K738/C738),"NA",IF(OR(K738/C738&gt;2,K738/C738&lt;0.5),"NM",K738/C738*100-100))</f>
        <v>NA</v>
      </c>
      <c r="M738" s="277"/>
      <c r="N738" s="223" t="str">
        <f>IF(ISERROR(M738/E738),"NA",IF(OR(M738/E738&gt;2,M738/E738&lt;0.5),"NM",M738/E738*100-100))</f>
        <v>NA</v>
      </c>
      <c r="O738" s="277"/>
      <c r="P738" s="223" t="str">
        <f>IF(ISERROR(O738/G738),"NA",IF(OR(O738/G738&gt;2,O738/G738&lt;0.5),"NM",O738/G738*100-100))</f>
        <v>NA</v>
      </c>
      <c r="Q738" s="277">
        <f>(Q531*(1-Q$538/100))/AVERAGE(O731,Q731)*400</f>
        <v>-0.68758057584873233</v>
      </c>
      <c r="R738" s="223" t="str">
        <f>IF(ISERROR(Q738/I738),"NA",IF(OR(Q738/I738&gt;2,Q738/I738&lt;0.5),"NM",Q738/I738*100-100))</f>
        <v>NA</v>
      </c>
      <c r="S738" s="277" t="s">
        <v>476</v>
      </c>
      <c r="T738" s="223" t="str">
        <f>IF(ISERROR(S738/K738),"NA",IF(OR(S738/K738&gt;2,S738/K738&lt;0.5),"NM",S738/K738*100-100))</f>
        <v>NA</v>
      </c>
      <c r="U738" s="277">
        <f>(U531*(1-U$538/100))/AVERAGE(S731,U731)*400</f>
        <v>2.2086931898626645</v>
      </c>
      <c r="V738" s="223" t="str">
        <f>IF(ISERROR(U738/M738),"NA",IF(OR(U738/M738&gt;2,U738/M738&lt;0.5),"NM",U738/M738*100-100))</f>
        <v>NA</v>
      </c>
      <c r="W738" s="277">
        <f>(W531*(1-W$538/100))/AVERAGE(U731,W731)*400</f>
        <v>6.3972583178637725</v>
      </c>
      <c r="X738" s="223" t="str">
        <f>IF(ISERROR(W738/O738),"NA",IF(OR(W738/O738&gt;2,W738/O738&lt;0.5),"NM",W738/O738*100-100))</f>
        <v>NA</v>
      </c>
      <c r="Y738" s="277">
        <f>(Y531*(1-Y$538/100))/AVERAGE(W731,Y731)*400</f>
        <v>-5.4032149128731589E-2</v>
      </c>
      <c r="Z738" s="223" t="str">
        <f>IF(ISERROR(Y738/Q738),"NA",IF(OR(Y738/Q738&gt;2,Y738/Q738&lt;0.5),"NM",Y738/Q738*100-100))</f>
        <v>NM</v>
      </c>
      <c r="AA738" s="277">
        <f>(AA531*(1-AA$538/100))/AVERAGE(Y731,AA731)*400</f>
        <v>1.068724951758943</v>
      </c>
      <c r="AB738" s="223" t="str">
        <f>IF(ISERROR(AA738/S738),"NA",IF(OR(AA738/S738&gt;2,AA738/S738&lt;0.5),"NM",AA738/S738*100-100))</f>
        <v>NA</v>
      </c>
      <c r="AC738" s="277">
        <f>(AC531*(1-AC$538/100))/AVERAGE(AA731,AC731)*400</f>
        <v>-6.9528941421866858E-2</v>
      </c>
      <c r="AD738" s="223" t="str">
        <f>IF(ISERROR(AC738/U738),"NA",IF(OR(AC738/U738&gt;2,AC738/U738&lt;0.5),"NM",AC738/U738*100-100))</f>
        <v>NM</v>
      </c>
      <c r="AE738" s="277">
        <f>(AE531*(1-AE$538/100))/AVERAGE(AC731,AE731)*400</f>
        <v>2.2089912848390716</v>
      </c>
      <c r="AF738" s="223" t="str">
        <f>IF(ISERROR(AE738/W738),"NA",IF(OR(AE738/W738&gt;2,AE738/W738&lt;0.5),"NM",AE738/W738*100-100))</f>
        <v>NM</v>
      </c>
      <c r="AG738" s="277">
        <f>(AG531*(1-AG$538/100))/AVERAGE(AE731,AG731)*400</f>
        <v>2.8995512599240594</v>
      </c>
      <c r="AH738" s="223" t="str">
        <f>IF(ISERROR(AG738/Y738),"NA",IF(OR(AG738/Y738&gt;2,AG738/Y738&lt;0.5),"NM",AG738/Y738*100-100))</f>
        <v>NM</v>
      </c>
      <c r="AI738" s="277">
        <f>(AI531*(1-AI$538/100))/AVERAGE(AG731,AI731)*400</f>
        <v>1.576962632841961</v>
      </c>
      <c r="AJ738" s="223">
        <f>IF(ISERROR(AI738/AA738),"NA",IF(OR(AI738/AA738&gt;2,AI738/AA738&lt;0.5),"NM",AI738/AA738*100-100))</f>
        <v>47.555517464670714</v>
      </c>
      <c r="AK738" s="277">
        <f>(AK531*(1-AK$538/100))/AVERAGE(AI731,AK731)*400</f>
        <v>5.7470067673086938</v>
      </c>
      <c r="AL738" s="223" t="str">
        <f>IF(ISERROR(AK738/AC738),"NA",IF(OR(AK738/AC738&gt;2,AK738/AC738&lt;0.5),"NM",AK738/AC738*100-100))</f>
        <v>NM</v>
      </c>
      <c r="AM738" s="277">
        <f>(AM531*(1-AM$538/100))/AVERAGE(AK731,AM731)*400</f>
        <v>5.7685009487666035</v>
      </c>
      <c r="AN738" s="223" t="str">
        <f>IF(ISERROR(AM738/AE738),"NA",IF(OR(AM738/AE738&gt;2,AM738/AE738&lt;0.5),"NM",AM738/AE738*100-100))</f>
        <v>NM</v>
      </c>
      <c r="AO738" s="277">
        <f>(AO531*(1-AO$538/100))/AVERAGE(AM731,AO731)*400</f>
        <v>4.1541657050542353</v>
      </c>
      <c r="AP738" s="223">
        <f>IF(ISERROR(AO738/AG738),"NA",IF(OR(AO738/AG738&gt;2,AO738/AG738&lt;0.5),"NM",AO738/AG738*100-100))</f>
        <v>43.269262470739534</v>
      </c>
      <c r="AQ738" s="277">
        <f>(AQ531*(1-AQ$538/100))/AVERAGE(AO731,AQ731)*400</f>
        <v>1.4338429098576699</v>
      </c>
      <c r="AR738" s="223">
        <f>IF(ISERROR(AQ738/AI738),"NA",IF(OR(AQ738/AI738&gt;2,AQ738/AI738&lt;0.5),"NM",AQ738/AI738*100-100))</f>
        <v>-9.0756572161995024</v>
      </c>
      <c r="AS738" s="277">
        <f>(AS531*(1-AS$538/100))/AVERAGE(AQ731,AS731)*400</f>
        <v>4.80211618679418</v>
      </c>
      <c r="AT738" s="223">
        <f>IF(ISERROR(AS738/AK738),"NA",IF(OR(AS738/AK738&gt;2,AS738/AK738&lt;0.5),"NM",AS738/AK738*100-100))</f>
        <v>-16.441438452612147</v>
      </c>
      <c r="AU738" s="277">
        <f>(AU531*(1-AU$538/100))/AVERAGE(AS731,AU731)*400</f>
        <v>3.9073947445540687</v>
      </c>
      <c r="AV738" s="223">
        <f>IF(ISERROR(AU738/AM738),"NA",IF(OR(AU738/AM738&gt;2,AU738/AM738&lt;0.5),"NM",AU738/AM738*100-100))</f>
        <v>-32.263255579605456</v>
      </c>
      <c r="AW738" s="277">
        <f>(AW531*(1-AW$538/100))/AVERAGE(AU731,AW731)*400</f>
        <v>3.9732239257179875</v>
      </c>
      <c r="AX738" s="223">
        <f>IF(ISERROR(AW738/AO738),"NA",IF(OR(AW738/AO738&gt;2,AW738/AO738&lt;0.5),"NM",AW738/AO738*100-100))</f>
        <v>-4.3556707214664527</v>
      </c>
      <c r="AY738" s="277">
        <f>(AY531*(1-AY$538/100))/AVERAGE(AW731,AY731)*400</f>
        <v>1.1388300920954351</v>
      </c>
      <c r="AZ738" s="223">
        <f>IF(ISERROR(AY738/AQ738),"NA",IF(OR(AY738/AQ738&gt;2,AY738/AQ738&lt;0.5),"NM",AY738/AQ738*100-100))</f>
        <v>-20.574974827020583</v>
      </c>
      <c r="BA738" s="277">
        <f>(BA531*(1-BA$538/100))/AVERAGE(AY731,BA731)*400</f>
        <v>3.2290364123063409</v>
      </c>
      <c r="BB738" s="223">
        <f>IF(ISERROR(BA738/AS738),"NA",IF(OR(BA738/AS738&gt;2,BA738/AS738&lt;0.5),"NM",BA738/AS738*100-100))</f>
        <v>-32.758053185256301</v>
      </c>
      <c r="BC738" s="277">
        <f>(BC531*(1-BC$538/100))/AVERAGE(BA731,BC731)*400</f>
        <v>0.34825623648214082</v>
      </c>
      <c r="BD738" s="223" t="str">
        <f>IF(ISERROR(BC738/AU738),"NA",IF(OR(BC738/AU738&gt;2,BC738/AU738&lt;0.5),"NM",BC738/AU738*100-100))</f>
        <v>NM</v>
      </c>
      <c r="BE738" s="277">
        <f>(BE531*(1-BE$538/100))/AVERAGE(BC731,BE731)*400</f>
        <v>-2.9808769610359533</v>
      </c>
      <c r="BF738" s="223" t="str">
        <f>IF(ISERROR(BE738/AW738),"NA",IF(OR(BE738/AW738&gt;2,BE738/AW738&lt;0.5),"NM",BE738/AW738*100-100))</f>
        <v>NM</v>
      </c>
      <c r="BG738" s="277">
        <f>(BG531*(1-BG$538/100))/AVERAGE(BE731,BG731)*400</f>
        <v>-1.9012405311956706</v>
      </c>
      <c r="BH738" s="223" t="str">
        <f>IF(ISERROR(BG738/AY738),"NA",IF(OR(BG738/AY738&gt;2,BG738/AY738&lt;0.5),"NM",BG738/AY738*100-100))</f>
        <v>NM</v>
      </c>
      <c r="BI738" s="277">
        <f>(BI531*(1-BI$538/100))/AVERAGE(BG731,BI731)*400</f>
        <v>-2.8726813654413106</v>
      </c>
      <c r="BJ738" s="223" t="str">
        <f>IF(ISERROR(BI738/BA738),"NA",IF(OR(BI738/BA738&gt;2,BI738/BA738&lt;0.5),"NM",BI738/BA738*100-100))</f>
        <v>NM</v>
      </c>
      <c r="BK738" s="277">
        <f>(BK531*(1-BK$538/100))/AVERAGE(BI731,BK731)*400</f>
        <v>-2.4092335321712648</v>
      </c>
      <c r="BL738" s="223" t="str">
        <f>IF(ISERROR(BK738/BC738),"NA",IF(OR(BK738/BC738&gt;2,BK738/BC738&lt;0.5),"NM",BK738/BC738*100-100))</f>
        <v>NM</v>
      </c>
      <c r="BM738" s="277">
        <f>(BM531*(1-BM$538/100))/AVERAGE(BK731,BM731)*400</f>
        <v>-5.192895516858095</v>
      </c>
      <c r="BN738" s="223">
        <f>IF(ISERROR(BM738/BE738),"NA",IF(OR(BM738/BE738&gt;2,BM738/BE738&lt;0.5),"NM",BM738/BE738*100-100))</f>
        <v>74.206972804855127</v>
      </c>
      <c r="BO738" s="277">
        <f>(BO531*(1-BO$538/100))/AVERAGE(BM731,BO731)*400</f>
        <v>-8.7072721057414899</v>
      </c>
      <c r="BP738" s="223" t="str">
        <f>IF(ISERROR(BO738/BG738),"NA",IF(OR(BO738/BG738&gt;2,BO738/BG738&lt;0.5),"NM",BO738/BG738*100-100))</f>
        <v>NM</v>
      </c>
      <c r="BQ738" s="277">
        <f>(BQ531*(1-BQ$538/100))/AVERAGE(BO731,BQ731)*400</f>
        <v>-7.8668404872807978</v>
      </c>
      <c r="BR738" s="223" t="str">
        <f>IF(ISERROR(BQ738/BI738),"NA",IF(OR(BQ738/BI738&gt;2,BQ738/BI738&lt;0.5),"NM",BQ738/BI738*100-100))</f>
        <v>NM</v>
      </c>
      <c r="BS738" s="277">
        <f>(BS531*(1-BS$538/100))/AVERAGE(BQ731,BS731)*400</f>
        <v>-90.761046574747581</v>
      </c>
      <c r="BT738" s="223" t="str">
        <f>IF(ISERROR(BS738/BK738),"NA",IF(OR(BS738/BK738&gt;2,BS738/BK738&lt;0.5),"NM",BS738/BK738*100-100))</f>
        <v>NM</v>
      </c>
      <c r="BU738" s="277">
        <f>(BU531*(1-BU$538/100))/AVERAGE(BS731,BU731)*400</f>
        <v>701.14862263762438</v>
      </c>
      <c r="BV738" s="223" t="str">
        <f>IF(ISERROR(BU738/BM738),"NA",IF(OR(BU738/BM738&gt;2,BU738/BM738&lt;0.5),"NM",BU738/BM738*100-100))</f>
        <v>NM</v>
      </c>
      <c r="BW738" s="277">
        <f>(BW531*(1-BW$538/100))/AVERAGE(BU731,BW731)*400</f>
        <v>-242.97861103776074</v>
      </c>
      <c r="BX738" s="223" t="str">
        <f>IF(ISERROR(BW738/BO738),"NA",IF(OR(BW738/BO738&gt;2,BW738/BO738&lt;0.5),"NM",BW738/BO738*100-100))</f>
        <v>NM</v>
      </c>
      <c r="BY738" s="277">
        <f>(BY531*(1-BY$538/100))/AVERAGE(BW731,BY731)*400</f>
        <v>-56.182109137017036</v>
      </c>
      <c r="BZ738" s="223" t="str">
        <f>IF(ISERROR(BY738/BQ738),"NA",IF(OR(BY738/BQ738&gt;2,BY738/BQ738&lt;0.5),"NM",BY738/BQ738*100-100))</f>
        <v>NM</v>
      </c>
      <c r="CA738" s="277">
        <f>(CA531*(1-CA$538/100))/AVERAGE(BY731,CA731)*400</f>
        <v>-39.212007504690433</v>
      </c>
      <c r="CB738" s="223" t="str">
        <f>IF(ISERROR(CA738/BS738),"NA",IF(OR(CA738/BS738&gt;2,CA738/BS738&lt;0.5),"NM",CA738/BS738*100-100))</f>
        <v>NM</v>
      </c>
      <c r="CC738" s="277">
        <f>(CC531*(1-CC$538/100))/AVERAGE(CA731,CC731)*400</f>
        <v>-33.139024951075513</v>
      </c>
      <c r="CD738" s="223" t="str">
        <f>IF(ISERROR(CC738/BU738),"NA",IF(OR(CC738/BU738&gt;2,CC738/BU738&lt;0.5),"NM",CC738/BU738*100-100))</f>
        <v>NM</v>
      </c>
      <c r="CE738" s="277">
        <f>(CE531*(1-CE$538/100))/AVERAGE(CC731,CE731)*400</f>
        <v>-30.597755728473334</v>
      </c>
      <c r="CF738" s="223" t="str">
        <f>IF(ISERROR(CE738/BW738),"NA",IF(OR(CE738/BW738&gt;2,CE738/BW738&lt;0.5),"NM",CE738/BW738*100-100))</f>
        <v>NM</v>
      </c>
      <c r="CG738" s="277">
        <f>(CG531*(1-CG$538/100))/AVERAGE(CE731,CG731)*400</f>
        <v>-29.724879891594462</v>
      </c>
      <c r="CH738" s="223">
        <f>IF(ISERROR(CG738/BY738),"NA",IF(OR(CG738/BY738&gt;2,CG738/BY738&lt;0.5),"NM",CG738/BY738*100-100))</f>
        <v>-47.091911734567724</v>
      </c>
      <c r="CI738" s="277">
        <f>(CI531*(1-CI$538/100))/AVERAGE(CG731,CI731)*400</f>
        <v>-43.899108939350391</v>
      </c>
      <c r="CJ738" s="223">
        <f>IF(ISERROR(CI738/CA738),"NA",IF(OR(CI738/CA738&gt;2,CI738/CA738&lt;0.5),"NM",CI738/CA738*100-100))</f>
        <v>11.95322997451558</v>
      </c>
      <c r="CK738" s="277">
        <f>(CK531*(1-CK$538/100))/AVERAGE(CI731,CK731)*400</f>
        <v>-36.327559452656907</v>
      </c>
      <c r="CL738" s="223">
        <f>IF(ISERROR(CK738/CC738),"NA",IF(OR(CK738/CC738&gt;2,CK738/CC738&lt;0.5),"NM",CK738/CC738*100-100))</f>
        <v>9.6216907597274144</v>
      </c>
      <c r="CM738" s="277"/>
      <c r="CN738" s="223"/>
      <c r="CO738" s="277"/>
      <c r="CP738" s="223"/>
      <c r="CQ738" s="277"/>
      <c r="CR738" s="223"/>
      <c r="CS738" s="277"/>
      <c r="CT738" s="223"/>
      <c r="CU738" s="277"/>
      <c r="CV738" s="223"/>
      <c r="CW738" s="277"/>
      <c r="CX738" s="223"/>
      <c r="CY738" s="277"/>
      <c r="CZ738" s="223"/>
      <c r="DA738" s="277"/>
      <c r="DB738" s="223"/>
      <c r="DC738" s="277"/>
      <c r="DD738" s="223"/>
      <c r="DE738" s="277"/>
      <c r="DF738" s="223"/>
      <c r="DG738" s="277"/>
      <c r="DH738" s="223"/>
      <c r="DI738" s="277"/>
      <c r="DJ738" s="223"/>
      <c r="DK738" s="277"/>
      <c r="DL738" s="223"/>
      <c r="DM738" s="277"/>
      <c r="DN738" s="223"/>
      <c r="DO738" s="277"/>
      <c r="DP738" s="223"/>
      <c r="DQ738" s="277"/>
      <c r="DR738" s="223"/>
      <c r="DS738" s="277"/>
      <c r="DT738" s="223"/>
      <c r="DU738" s="277"/>
      <c r="DV738" s="223"/>
      <c r="DW738" s="278"/>
      <c r="DX738" s="223"/>
      <c r="DY738" s="278"/>
      <c r="DZ738" s="223"/>
      <c r="EA738" s="278"/>
      <c r="EB738" s="223"/>
      <c r="EC738" s="278"/>
      <c r="ED738" s="223"/>
      <c r="EE738" s="278"/>
      <c r="EF738" s="223"/>
      <c r="EG738" s="278"/>
      <c r="EH738" s="223"/>
      <c r="EI738" s="278"/>
      <c r="EJ738" s="223"/>
      <c r="EK738" s="278"/>
      <c r="EL738" s="223"/>
      <c r="EM738" s="278"/>
      <c r="EN738" s="223"/>
      <c r="EO738" s="278"/>
      <c r="EP738" s="223"/>
      <c r="EQ738" s="278"/>
      <c r="ER738" s="223"/>
      <c r="ES738" s="278"/>
      <c r="ET738" s="223"/>
      <c r="EU738" s="278"/>
      <c r="EV738" s="223"/>
      <c r="EW738" s="278"/>
      <c r="EX738" s="223"/>
      <c r="EY738" s="223"/>
      <c r="EZ738" s="296"/>
      <c r="FA738" s="223"/>
      <c r="FB738" s="271"/>
      <c r="FC738" s="272"/>
      <c r="FD738" s="276"/>
      <c r="FE738" s="223"/>
      <c r="FF738" s="279">
        <f>(FF531*(1-FF$538/100))/AVERAGE(FD731,FF731)*100</f>
        <v>0.1632638795397823</v>
      </c>
      <c r="FG738" s="223" t="str">
        <f>IF(ISERROR(FF738/FD738),"NA",IF(OR(FF738/FD738&gt;2,FF738/FD738&lt;0.5),"NM",FF738/FD738*100-100))</f>
        <v>NA</v>
      </c>
      <c r="FH738" s="279">
        <f>(FH531*(1-FH$538/100))/AVERAGE(FF731,FH731)*100</f>
        <v>0.40301366772789016</v>
      </c>
      <c r="FI738" s="223" t="str">
        <f>IF(ISERROR(FH738/FF738),"NA",IF(OR(FH738/FF738&gt;2,FH738/FF738&lt;0.5),"NM",FH738/FF738*100-100))</f>
        <v>NM</v>
      </c>
      <c r="FJ738" s="279">
        <f>(FJ531*(1-FJ$538/100))/AVERAGE(FH731,FJ731)*100</f>
        <v>0.77355268031424707</v>
      </c>
      <c r="FK738" s="223">
        <f>IF(ISERROR(FJ738/FH738),"NA",IF(OR(FJ738/FH738&gt;2,FJ738/FH738&lt;0.5),"NM",FJ738/FH738*100-100))</f>
        <v>91.942046202894602</v>
      </c>
      <c r="FL738" s="279">
        <f>(FL531*(1-FL$538/100))/AVERAGE(FJ731,FL731)*100</f>
        <v>0.65631508970177443</v>
      </c>
      <c r="FM738" s="223">
        <f>IF(ISERROR(FL738/FJ738),"NA",IF(OR(FL738/FJ738&gt;2,FL738/FJ738&lt;0.5),"NM",FL738/FJ738*100-100))</f>
        <v>-15.155734521512628</v>
      </c>
      <c r="FN738" s="279"/>
      <c r="FO738" s="223"/>
      <c r="FP738" s="279"/>
      <c r="FQ738" s="223"/>
      <c r="FR738" s="278"/>
      <c r="FS738" s="223"/>
      <c r="FT738" s="278"/>
      <c r="FU738" s="223"/>
      <c r="FV738" s="278"/>
      <c r="FW738" s="223" t="str">
        <f>IF(ISERROR(FV738/FT738),"NA",IF(OR(FV738/FT738&gt;2,FV738/FT738&lt;0.5),"NM",FV738/FT738*100-100))</f>
        <v>NA</v>
      </c>
      <c r="FX738" s="278"/>
      <c r="FY738" s="223" t="str">
        <f>IF(ISERROR(FX738/FV738),"NA",IF(OR(FX738/FV738&gt;2,FX738/FV738&lt;0.5),"NM",FX738/FV738*100-100))</f>
        <v>NA</v>
      </c>
      <c r="FZ738" s="278"/>
      <c r="GA738" s="223" t="str">
        <f>IF(ISERROR(FZ738/FX738),"NA",IF(OR(FZ738/FX738&gt;2,FZ738/FX738&lt;0.5),"NM",FZ738/FX738*100-100))</f>
        <v>NA</v>
      </c>
      <c r="GB738" s="278"/>
      <c r="GC738" s="223" t="str">
        <f>IF(ISERROR(GB738/FZ738),"NA",IF(OR(GB738/FZ738&gt;2,GB738/FZ738&lt;0.5),"NM",GB738/FZ738*100-100))</f>
        <v>NA</v>
      </c>
      <c r="GD738" s="278"/>
      <c r="GE738" s="223" t="str">
        <f>IF(ISERROR(GD738/GB738),"NA",IF(OR(GD738/GB738&gt;2,GD738/GB738&lt;0.5),"NM",GD738/GB738*100-100))</f>
        <v>NA</v>
      </c>
      <c r="GF738" s="278"/>
      <c r="GG738" s="223" t="str">
        <f>IF(ISERROR(GF738/GD738),"NA",IF(OR(GF738/GD738&gt;2,GF738/GD738&lt;0.5),"NM",GF738/GD738*100-100))</f>
        <v>NA</v>
      </c>
      <c r="GH738" s="278"/>
      <c r="GI738" s="223" t="str">
        <f>IF(ISERROR(GH738/GF738),"NA",IF(OR(GH738/GF738&gt;2,GH738/GF738&lt;0.5),"NM",GH738/GF738*100-100))</f>
        <v>NA</v>
      </c>
      <c r="GJ738" s="278"/>
      <c r="GK738" s="223" t="str">
        <f>IF(ISERROR(GJ738/GH738),"NA",IF(OR(GJ738/GH738&gt;2,GJ738/GH738&lt;0.5),"NM",GJ738/GH738*100-100))</f>
        <v>NA</v>
      </c>
      <c r="GL738" s="278"/>
      <c r="GM738" s="223" t="str">
        <f>IF(ISERROR(GL738/GJ738),"NA",IF(OR(GL738/GJ738&gt;2,GL738/GJ738&lt;0.5),"NM",GL738/GJ738*100-100))</f>
        <v>NA</v>
      </c>
      <c r="GN738" s="278"/>
      <c r="GO738" s="223" t="str">
        <f>IF(ISERROR(GN738/GL738),"NA",IF(OR(GN738/GL738&gt;2,GN738/GL738&lt;0.5),"NM",GN738/GL738*100-100))</f>
        <v>NA</v>
      </c>
      <c r="GP738" s="278"/>
      <c r="GQ738" s="223" t="str">
        <f>IF(ISERROR(GP738/GN738),"NA",IF(OR(GP738/GN738&gt;2,GP738/GN738&lt;0.5),"NM",GP738/GN738*100-100))</f>
        <v>NA</v>
      </c>
      <c r="GR738" s="278"/>
      <c r="GS738" s="223" t="str">
        <f>IF(ISERROR(GR738/GP738),"NA",IF(OR(GR738/GP738&gt;2,GR738/GP738&lt;0.5),"NM",GR738/GP738*100-100))</f>
        <v>NA</v>
      </c>
      <c r="GT738" s="278"/>
      <c r="GU738" s="223" t="str">
        <f>IF(ISERROR(GT738/GR738),"NA",IF(OR(GT738/GR738&gt;2,GT738/GR738&lt;0.5),"NM",GT738/GR738*100-100))</f>
        <v>NA</v>
      </c>
      <c r="GV738" s="278"/>
      <c r="GW738" s="223" t="str">
        <f>IF(ISERROR(GV738/GT738),"NA",IF(OR(GV738/GT738&gt;2,GV738/GT738&lt;0.5),"NM",GV738/GT738*100-100))</f>
        <v>NA</v>
      </c>
      <c r="GX738" s="278"/>
      <c r="GY738" s="223" t="str">
        <f>IF(ISERROR(GX738/GV738),"NA",IF(OR(GX738/GV738&gt;2,GX738/GV738&lt;0.5),"NM",GX738/GV738*100-100))</f>
        <v>NA</v>
      </c>
      <c r="GZ738" s="223"/>
      <c r="HA738" s="223"/>
      <c r="HB738" s="223"/>
      <c r="HC738"/>
      <c r="HD738"/>
      <c r="HE738"/>
      <c r="HF738"/>
      <c r="HG738"/>
      <c r="HH738"/>
      <c r="HI738" s="273"/>
    </row>
    <row r="739" spans="2:217" s="269" customFormat="1" ht="12.75" hidden="1" customHeight="1" outlineLevel="1" x14ac:dyDescent="0.2">
      <c r="B739" s="275" t="s">
        <v>114</v>
      </c>
      <c r="C739" s="277"/>
      <c r="D739" s="272"/>
      <c r="E739" s="277"/>
      <c r="F739" s="272"/>
      <c r="G739" s="277"/>
      <c r="H739" s="272"/>
      <c r="I739" s="277"/>
      <c r="J739" s="272"/>
      <c r="K739" s="277"/>
      <c r="L739" s="223" t="str">
        <f>IF(ISERROR(K739/C739),"NA",IF(OR(K739/C739&gt;2,K739/C739&lt;0.5),"NM",K739/C739*100-100))</f>
        <v>NA</v>
      </c>
      <c r="M739" s="277"/>
      <c r="N739" s="223" t="str">
        <f>IF(ISERROR(M739/E739),"NA",IF(OR(M739/E739&gt;2,M739/E739&lt;0.5),"NM",M739/E739*100-100))</f>
        <v>NA</v>
      </c>
      <c r="O739" s="277"/>
      <c r="P739" s="223" t="str">
        <f>IF(ISERROR(O739/G739),"NA",IF(OR(O739/G739&gt;2,O739/G739&lt;0.5),"NM",O739/G739*100-100))</f>
        <v>NA</v>
      </c>
      <c r="Q739" s="277">
        <f>(Q536*(1-Q$538/100))/AVERAGE(O732,Q732)*400</f>
        <v>6.6917390740500586</v>
      </c>
      <c r="R739" s="223" t="str">
        <f>IF(ISERROR(Q739/I739),"NA",IF(OR(Q739/I739&gt;2,Q739/I739&lt;0.5),"NM",Q739/I739*100-100))</f>
        <v>NA</v>
      </c>
      <c r="S739" s="277" t="s">
        <v>476</v>
      </c>
      <c r="T739" s="223" t="str">
        <f>IF(ISERROR(S739/K739),"NA",IF(OR(S739/K739&gt;2,S739/K739&lt;0.5),"NM",S739/K739*100-100))</f>
        <v>NA</v>
      </c>
      <c r="U739" s="277">
        <f>(U536*(1-U$538/100))/AVERAGE(S732,U732)*400</f>
        <v>11.796516380557128</v>
      </c>
      <c r="V739" s="223" t="str">
        <f>IF(ISERROR(U739/M739),"NA",IF(OR(U739/M739&gt;2,U739/M739&lt;0.5),"NM",U739/M739*100-100))</f>
        <v>NA</v>
      </c>
      <c r="W739" s="277">
        <f>(W536*(1-W$538/100))/AVERAGE(U732,W732)*400</f>
        <v>11.129646533001795</v>
      </c>
      <c r="X739" s="223" t="str">
        <f>IF(ISERROR(W739/O739),"NA",IF(OR(W739/O739&gt;2,W739/O739&lt;0.5),"NM",W739/O739*100-100))</f>
        <v>NA</v>
      </c>
      <c r="Y739" s="277">
        <f>(Y536*(1-Y$538/100))/AVERAGE(W732,Y732)*400</f>
        <v>9.5915308823060492</v>
      </c>
      <c r="Z739" s="223">
        <f>IF(ISERROR(Y739/Q739),"NA",IF(OR(Y739/Q739&gt;2,Y739/Q739&lt;0.5),"NM",Y739/Q739*100-100))</f>
        <v>43.333904328414633</v>
      </c>
      <c r="AA739" s="277">
        <f>(AA536*(1-AA$538/100))/AVERAGE(Y732,AA732)*400</f>
        <v>12.019373332015419</v>
      </c>
      <c r="AB739" s="223" t="str">
        <f>IF(ISERROR(AA739/S739),"NA",IF(OR(AA739/S739&gt;2,AA739/S739&lt;0.5),"NM",AA739/S739*100-100))</f>
        <v>NA</v>
      </c>
      <c r="AC739" s="277">
        <f>(AC536*(1-AC$538/100))/AVERAGE(AA732,AC732)*400</f>
        <v>14.684287812041116</v>
      </c>
      <c r="AD739" s="223">
        <f>IF(ISERROR(AC739/U739),"NA",IF(OR(AC739/U739&gt;2,AC739/U739&lt;0.5),"NM",AC739/U739*100-100))</f>
        <v>24.479866244610804</v>
      </c>
      <c r="AE739" s="277">
        <f>(AE536*(1-AE$538/100))/AVERAGE(AC732,AE732)*400</f>
        <v>13.742883622401694</v>
      </c>
      <c r="AF739" s="223">
        <f>IF(ISERROR(AE739/W739),"NA",IF(OR(AE739/W739&gt;2,AE739/W739&lt;0.5),"NM",AE739/W739*100-100))</f>
        <v>23.479964809763615</v>
      </c>
      <c r="AG739" s="277">
        <f>(AG536*(1-AG$538/100))/AVERAGE(AE732,AG732)*400</f>
        <v>15.041316784316351</v>
      </c>
      <c r="AH739" s="223">
        <f>IF(ISERROR(AG739/Y739),"NA",IF(OR(AG739/Y739&gt;2,AG739/Y739&lt;0.5),"NM",AG739/Y739*100-100))</f>
        <v>56.818728614675877</v>
      </c>
      <c r="AI739" s="277">
        <f>(AI536*(1-AI$538/100))/AVERAGE(AG732,AI732)*400</f>
        <v>15.262837426425818</v>
      </c>
      <c r="AJ739" s="223">
        <f>IF(ISERROR(AI739/AA739),"NA",IF(OR(AI739/AA739&gt;2,AI739/AA739&lt;0.5),"NM",AI739/AA739*100-100))</f>
        <v>26.985301186800996</v>
      </c>
      <c r="AK739" s="277">
        <f>(AK536*(1-AK$538/100))/AVERAGE(AI732,AK732)*400</f>
        <v>20.846999459362049</v>
      </c>
      <c r="AL739" s="223">
        <f>IF(ISERROR(AK739/AC739),"NA",IF(OR(AK739/AC739&gt;2,AK739/AC739&lt;0.5),"NM",AK739/AC739*100-100))</f>
        <v>41.968066318255552</v>
      </c>
      <c r="AM739" s="277">
        <f>(AM536*(1-AM$538/100))/AVERAGE(AK732,AM732)*400</f>
        <v>21.796196380055868</v>
      </c>
      <c r="AN739" s="223">
        <f>IF(ISERROR(AM739/AE739),"NA",IF(OR(AM739/AE739&gt;2,AM739/AE739&lt;0.5),"NM",AM739/AE739*100-100))</f>
        <v>58.599875971639676</v>
      </c>
      <c r="AO739" s="277">
        <f>(AO536*(1-AO$538/100))/AVERAGE(AM732,AO732)*400</f>
        <v>22.687855893408763</v>
      </c>
      <c r="AP739" s="223">
        <f>IF(ISERROR(AO739/AG739),"NA",IF(OR(AO739/AG739&gt;2,AO739/AG739&lt;0.5),"NM",AO739/AG739*100-100))</f>
        <v>50.83689957959993</v>
      </c>
      <c r="AQ739" s="277">
        <f>(AQ536*(1-AQ$538/100))/AVERAGE(AO732,AQ732)*400</f>
        <v>24.997309417040359</v>
      </c>
      <c r="AR739" s="223">
        <f>IF(ISERROR(AQ739/AI739),"NA",IF(OR(AQ739/AI739&gt;2,AQ739/AI739&lt;0.5),"NM",AQ739/AI739*100-100))</f>
        <v>63.778914225741801</v>
      </c>
      <c r="AS739" s="277">
        <f>(AS536*(1-AS$538/100))/AVERAGE(AQ732,AS732)*400</f>
        <v>22.477685548570832</v>
      </c>
      <c r="AT739" s="223">
        <f>IF(ISERROR(AS739/AK739),"NA",IF(OR(AS739/AK739&gt;2,AS739/AK739&lt;0.5),"NM",AS739/AK739*100-100))</f>
        <v>7.8221620928592159</v>
      </c>
      <c r="AU739" s="277">
        <f>(AU536*(1-AU$538/100))/AVERAGE(AS732,AU732)*400</f>
        <v>26.656892472759985</v>
      </c>
      <c r="AV739" s="223">
        <f>IF(ISERROR(AU739/AM739),"NA",IF(OR(AU739/AM739&gt;2,AU739/AM739&lt;0.5),"NM",AU739/AM739*100-100))</f>
        <v>22.300662041895492</v>
      </c>
      <c r="AW739" s="277">
        <f>(AW536*(1-AW$538/100))/AVERAGE(AU732,AW732)*400</f>
        <v>20.036016807843659</v>
      </c>
      <c r="AX739" s="223">
        <f>IF(ISERROR(AW739/AO739),"NA",IF(OR(AW739/AO739&gt;2,AW739/AO739&lt;0.5),"NM",AW739/AO739*100-100))</f>
        <v>-11.68836358104474</v>
      </c>
      <c r="AY739" s="277">
        <f>(AY536*(1-AY$538/100))/AVERAGE(AW732,AY732)*400</f>
        <v>13.637650790054936</v>
      </c>
      <c r="AZ739" s="223">
        <f>IF(ISERROR(AY739/AQ739),"NA",IF(OR(AY739/AQ739&gt;2,AY739/AQ739&lt;0.5),"NM",AY739/AQ739*100-100))</f>
        <v>-45.443525290932641</v>
      </c>
      <c r="BA739" s="277">
        <f>(BA536*(1-BA$538/100))/AVERAGE(AY732,BA732)*400</f>
        <v>12.545678952590691</v>
      </c>
      <c r="BB739" s="223">
        <f>IF(ISERROR(BA739/AS739),"NA",IF(OR(BA739/AS739&gt;2,BA739/AS739&lt;0.5),"NM",BA739/AS739*100-100))</f>
        <v>-44.186073225904856</v>
      </c>
      <c r="BC739" s="277">
        <f>(BC536*(1-BC$538/100))/AVERAGE(BA732,BC732)*400</f>
        <v>14.553297231403992</v>
      </c>
      <c r="BD739" s="223">
        <f>IF(ISERROR(BC739/AU739),"NA",IF(OR(BC739/AU739&gt;2,BC739/AU739&lt;0.5),"NM",BC739/AU739*100-100))</f>
        <v>-45.405124598541846</v>
      </c>
      <c r="BE739" s="277">
        <f>(BE536*(1-BE$538/100))/AVERAGE(BC732,BE732)*400</f>
        <v>13.112955215691654</v>
      </c>
      <c r="BF739" s="223">
        <f>IF(ISERROR(BE739/AW739),"NA",IF(OR(BE739/AW739&gt;2,BE739/AW739&lt;0.5),"NM",BE739/AW739*100-100))</f>
        <v>-34.553083372548272</v>
      </c>
      <c r="BG739" s="277">
        <f>(BG536*(1-BG$538/100))/AVERAGE(BE732,BG732)*400</f>
        <v>14.261858719144577</v>
      </c>
      <c r="BH739" s="223">
        <f>IF(ISERROR(BG739/AY739),"NA",IF(OR(BG739/AY739&gt;2,BG739/AY739&lt;0.5),"NM",BG739/AY739*100-100))</f>
        <v>4.5770927757208426</v>
      </c>
      <c r="BI739" s="277">
        <f>(BI536*(1-BI$538/100))/AVERAGE(BG732,BI732)*400</f>
        <v>14.551076552304298</v>
      </c>
      <c r="BJ739" s="223">
        <f>IF(ISERROR(BI739/BA739),"NA",IF(OR(BI739/BA739&gt;2,BI739/BA739&lt;0.5),"NM",BI739/BA739*100-100))</f>
        <v>15.984767403118425</v>
      </c>
      <c r="BK739" s="277">
        <f>(BK536*(1-BK$538/100))/AVERAGE(BI732,BK732)*400</f>
        <v>16.857990752030183</v>
      </c>
      <c r="BL739" s="223">
        <f>IF(ISERROR(BK739/BC739),"NA",IF(OR(BK739/BC739&gt;2,BK739/BC739&lt;0.5),"NM",BK739/BC739*100-100))</f>
        <v>15.836229302408427</v>
      </c>
      <c r="BM739" s="277">
        <f>(BM536*(1-BM$538/100))/AVERAGE(BK732,BM732)*400</f>
        <v>14.357369656251437</v>
      </c>
      <c r="BN739" s="223">
        <f>IF(ISERROR(BM739/BE739),"NA",IF(OR(BM739/BE739&gt;2,BM739/BE739&lt;0.5),"NM",BM739/BE739*100-100))</f>
        <v>9.4899617980137094</v>
      </c>
      <c r="BO739" s="277">
        <f>(BO536*(1-BO$538/100))/AVERAGE(BM732,BO732)*400</f>
        <v>12.39467747133846</v>
      </c>
      <c r="BP739" s="223">
        <f>IF(ISERROR(BO739/BG739),"NA",IF(OR(BO739/BG739&gt;2,BO739/BG739&lt;0.5),"NM",BO739/BG739*100-100))</f>
        <v>-13.092131149074447</v>
      </c>
      <c r="BQ739" s="277">
        <f>(BQ536*(1-BQ$538/100))/AVERAGE(BO732,BQ732)*400</f>
        <v>15.315232397606996</v>
      </c>
      <c r="BR739" s="223">
        <f>IF(ISERROR(BQ739/BI739),"NA",IF(OR(BQ739/BI739&gt;2,BQ739/BI739&lt;0.5),"NM",BQ739/BI739*100-100))</f>
        <v>5.2515416474919476</v>
      </c>
      <c r="BS739" s="277">
        <f>(BS536*(1-BS$538/100))/AVERAGE(BQ732,BS732)*400</f>
        <v>7.7682533045276099</v>
      </c>
      <c r="BT739" s="223" t="str">
        <f>IF(ISERROR(BS739/BK739),"NA",IF(OR(BS739/BK739&gt;2,BS739/BK739&lt;0.5),"NM",BS739/BK739*100-100))</f>
        <v>NM</v>
      </c>
      <c r="BU739" s="277">
        <f>(BU536*(1-BU$538/100))/AVERAGE(BS732,BU732)*400</f>
        <v>-17.197561393629261</v>
      </c>
      <c r="BV739" s="223" t="str">
        <f>IF(ISERROR(BU739/BM739),"NA",IF(OR(BU739/BM739&gt;2,BU739/BM739&lt;0.5),"NM",BU739/BM739*100-100))</f>
        <v>NM</v>
      </c>
      <c r="BW739" s="277">
        <f>(BW536*(1-BW$538/100))/AVERAGE(BU732,BW732)*400</f>
        <v>3.8021475092413306</v>
      </c>
      <c r="BX739" s="223" t="str">
        <f>IF(ISERROR(BW739/BO739),"NA",IF(OR(BW739/BO739&gt;2,BW739/BO739&lt;0.5),"NM",BW739/BO739*100-100))</f>
        <v>NM</v>
      </c>
      <c r="BY739" s="277">
        <f>(BY536*(1-BY$538/100))/AVERAGE(BW732,BY732)*400</f>
        <v>16.233031674208149</v>
      </c>
      <c r="BZ739" s="223">
        <f>IF(ISERROR(BY739/BQ739),"NA",IF(OR(BY739/BQ739&gt;2,BY739/BQ739&lt;0.5),"NM",BY739/BQ739*100-100))</f>
        <v>5.9927218391054851</v>
      </c>
      <c r="CA739" s="277">
        <f>(CA536*(1-CA$538/100))/AVERAGE(BY732,CA732)*400</f>
        <v>14.407449705701483</v>
      </c>
      <c r="CB739" s="223">
        <f>IF(ISERROR(CA739/BS739),"NA",IF(OR(CA739/BS739&gt;2,CA739/BS739&lt;0.5),"NM",CA739/BS739*100-100))</f>
        <v>85.465755825757071</v>
      </c>
      <c r="CC739" s="277">
        <f>(CC536*(1-CC$538/100))/AVERAGE(CA732,CC732)*400</f>
        <v>9.2206549328007323</v>
      </c>
      <c r="CD739" s="223" t="str">
        <f>IF(ISERROR(CC739/BU739),"NA",IF(OR(CC739/BU739&gt;2,CC739/BU739&lt;0.5),"NM",CC739/BU739*100-100))</f>
        <v>NM</v>
      </c>
      <c r="CE739" s="277">
        <f>(CE536*(1-CE$538/100))/AVERAGE(CC732,CE732)*400</f>
        <v>10.13467609798985</v>
      </c>
      <c r="CF739" s="223" t="str">
        <f>IF(ISERROR(CE739/BW739),"NA",IF(OR(CE739/BW739&gt;2,CE739/BW739&lt;0.5),"NM",CE739/BW739*100-100))</f>
        <v>NM</v>
      </c>
      <c r="CG739" s="277">
        <f>(CG536*(1-CG$538/100))/AVERAGE(CE732,CG732)*400</f>
        <v>5.9878347420807332</v>
      </c>
      <c r="CH739" s="223" t="str">
        <f>IF(ISERROR(CG739/BY739),"NA",IF(OR(CG739/BY739&gt;2,CG739/BY739&lt;0.5),"NM",CG739/BY739*100-100))</f>
        <v>NM</v>
      </c>
      <c r="CI739" s="277">
        <f>(CI536*(1-CI$538/100))/AVERAGE(CG732,CI732)*400</f>
        <v>14.250730705426969</v>
      </c>
      <c r="CJ739" s="223">
        <f>IF(ISERROR(CI739/CA739),"NA",IF(OR(CI739/CA739&gt;2,CI739/CA739&lt;0.5),"NM",CI739/CA739*100-100))</f>
        <v>-1.0877636464175566</v>
      </c>
      <c r="CK739" s="277">
        <f>(CK536*(1-CK$538/100))/AVERAGE(CI732,CK732)*400</f>
        <v>12.418042499407537</v>
      </c>
      <c r="CL739" s="223">
        <f>IF(ISERROR(CK739/CC739),"NA",IF(OR(CK739/CC739&gt;2,CK739/CC739&lt;0.5),"NM",CK739/CC739*100-100))</f>
        <v>34.676360734774988</v>
      </c>
      <c r="CM739" s="277"/>
      <c r="CN739" s="223"/>
      <c r="CO739" s="277"/>
      <c r="CP739" s="223"/>
      <c r="CQ739" s="277"/>
      <c r="CR739" s="223"/>
      <c r="CS739" s="277"/>
      <c r="CT739" s="223"/>
      <c r="CU739" s="277"/>
      <c r="CV739" s="223"/>
      <c r="CW739" s="277"/>
      <c r="CX739" s="223"/>
      <c r="CY739" s="277"/>
      <c r="CZ739" s="223"/>
      <c r="DA739" s="277"/>
      <c r="DB739" s="223"/>
      <c r="DC739" s="277"/>
      <c r="DD739" s="223"/>
      <c r="DE739" s="277"/>
      <c r="DF739" s="223"/>
      <c r="DG739" s="277"/>
      <c r="DH739" s="223"/>
      <c r="DI739" s="277"/>
      <c r="DJ739" s="223"/>
      <c r="DK739" s="277"/>
      <c r="DL739" s="223"/>
      <c r="DM739" s="277"/>
      <c r="DN739" s="223"/>
      <c r="DO739" s="277"/>
      <c r="DP739" s="223"/>
      <c r="DQ739" s="277"/>
      <c r="DR739" s="223"/>
      <c r="DS739" s="277"/>
      <c r="DT739" s="223"/>
      <c r="DU739" s="277"/>
      <c r="DV739" s="223"/>
      <c r="DW739" s="278"/>
      <c r="DX739" s="223"/>
      <c r="DY739" s="278"/>
      <c r="DZ739" s="223"/>
      <c r="EA739" s="278"/>
      <c r="EB739" s="223"/>
      <c r="EC739" s="278"/>
      <c r="ED739" s="223"/>
      <c r="EE739" s="278"/>
      <c r="EF739" s="223"/>
      <c r="EG739" s="278"/>
      <c r="EH739" s="223"/>
      <c r="EI739" s="278"/>
      <c r="EJ739" s="223"/>
      <c r="EK739" s="278"/>
      <c r="EL739" s="223"/>
      <c r="EM739" s="278"/>
      <c r="EN739" s="223"/>
      <c r="EO739" s="278"/>
      <c r="EP739" s="223"/>
      <c r="EQ739" s="278"/>
      <c r="ER739" s="223"/>
      <c r="ES739" s="278"/>
      <c r="ET739" s="223"/>
      <c r="EU739" s="278"/>
      <c r="EV739" s="223"/>
      <c r="EW739" s="278"/>
      <c r="EX739" s="223"/>
      <c r="EY739" s="223"/>
      <c r="EZ739" s="296"/>
      <c r="FA739" s="223"/>
      <c r="FB739" s="271"/>
      <c r="FC739" s="272"/>
      <c r="FD739" s="276"/>
      <c r="FE739" s="223"/>
      <c r="FF739" s="279">
        <f>(FF536*(1-FF$538/100))/AVERAGE(FD732,FF732)*100</f>
        <v>1.6150851581508516</v>
      </c>
      <c r="FG739" s="223" t="str">
        <f>IF(ISERROR(FF739/FD739),"NA",IF(OR(FF739/FD739&gt;2,FF739/FD739&lt;0.5),"NM",FF739/FD739*100-100))</f>
        <v>NA</v>
      </c>
      <c r="FH739" s="279">
        <f>(FH536*(1-FH$538/100))/AVERAGE(FF732,FH732)*100</f>
        <v>3.76542008794801</v>
      </c>
      <c r="FI739" s="223" t="str">
        <f>IF(ISERROR(FH739/FF739),"NA",IF(OR(FH739/FF739&gt;2,FH739/FF739&lt;0.5),"NM",FH739/FF739*100-100))</f>
        <v>NM</v>
      </c>
      <c r="FJ739" s="279">
        <f>(FJ536*(1-FJ$538/100))/AVERAGE(FH732,FJ732)*100</f>
        <v>4.1530001617337859</v>
      </c>
      <c r="FK739" s="223">
        <f>IF(ISERROR(FJ739/FH739),"NA",IF(OR(FJ739/FH739&gt;2,FJ739/FH739&lt;0.5),"NM",FJ739/FH739*100-100))</f>
        <v>10.293142988913885</v>
      </c>
      <c r="FL739" s="279">
        <f>(FL536*(1-FL$538/100))/AVERAGE(FJ732,FL732)*100</f>
        <v>6.8389589801175763</v>
      </c>
      <c r="FM739" s="223">
        <f>IF(ISERROR(FL739/FJ739),"NA",IF(OR(FL739/FJ739&gt;2,FL739/FJ739&lt;0.5),"NM",FL739/FJ739*100-100))</f>
        <v>64.675143601787425</v>
      </c>
      <c r="FN739" s="279"/>
      <c r="FO739" s="223"/>
      <c r="FP739" s="279"/>
      <c r="FQ739" s="223"/>
      <c r="FR739" s="278"/>
      <c r="FS739" s="223"/>
      <c r="FT739" s="278"/>
      <c r="FU739" s="223"/>
      <c r="FV739" s="278"/>
      <c r="FW739" s="223" t="str">
        <f>IF(ISERROR(FV739/FT739),"NA",IF(OR(FV739/FT739&gt;2,FV739/FT739&lt;0.5),"NM",FV739/FT739*100-100))</f>
        <v>NA</v>
      </c>
      <c r="FX739" s="278"/>
      <c r="FY739" s="223" t="str">
        <f>IF(ISERROR(FX739/FV739),"NA",IF(OR(FX739/FV739&gt;2,FX739/FV739&lt;0.5),"NM",FX739/FV739*100-100))</f>
        <v>NA</v>
      </c>
      <c r="FZ739" s="278"/>
      <c r="GA739" s="223" t="str">
        <f>IF(ISERROR(FZ739/FX739),"NA",IF(OR(FZ739/FX739&gt;2,FZ739/FX739&lt;0.5),"NM",FZ739/FX739*100-100))</f>
        <v>NA</v>
      </c>
      <c r="GB739" s="278"/>
      <c r="GC739" s="223" t="str">
        <f>IF(ISERROR(GB739/FZ739),"NA",IF(OR(GB739/FZ739&gt;2,GB739/FZ739&lt;0.5),"NM",GB739/FZ739*100-100))</f>
        <v>NA</v>
      </c>
      <c r="GD739" s="278"/>
      <c r="GE739" s="223" t="str">
        <f>IF(ISERROR(GD739/GB739),"NA",IF(OR(GD739/GB739&gt;2,GD739/GB739&lt;0.5),"NM",GD739/GB739*100-100))</f>
        <v>NA</v>
      </c>
      <c r="GF739" s="278"/>
      <c r="GG739" s="223" t="str">
        <f>IF(ISERROR(GF739/GD739),"NA",IF(OR(GF739/GD739&gt;2,GF739/GD739&lt;0.5),"NM",GF739/GD739*100-100))</f>
        <v>NA</v>
      </c>
      <c r="GH739" s="278"/>
      <c r="GI739" s="223" t="str">
        <f>IF(ISERROR(GH739/GF739),"NA",IF(OR(GH739/GF739&gt;2,GH739/GF739&lt;0.5),"NM",GH739/GF739*100-100))</f>
        <v>NA</v>
      </c>
      <c r="GJ739" s="278"/>
      <c r="GK739" s="223" t="str">
        <f>IF(ISERROR(GJ739/GH739),"NA",IF(OR(GJ739/GH739&gt;2,GJ739/GH739&lt;0.5),"NM",GJ739/GH739*100-100))</f>
        <v>NA</v>
      </c>
      <c r="GL739" s="278"/>
      <c r="GM739" s="223" t="str">
        <f>IF(ISERROR(GL739/GJ739),"NA",IF(OR(GL739/GJ739&gt;2,GL739/GJ739&lt;0.5),"NM",GL739/GJ739*100-100))</f>
        <v>NA</v>
      </c>
      <c r="GN739" s="278"/>
      <c r="GO739" s="223" t="str">
        <f>IF(ISERROR(GN739/GL739),"NA",IF(OR(GN739/GL739&gt;2,GN739/GL739&lt;0.5),"NM",GN739/GL739*100-100))</f>
        <v>NA</v>
      </c>
      <c r="GP739" s="278"/>
      <c r="GQ739" s="223" t="str">
        <f>IF(ISERROR(GP739/GN739),"NA",IF(OR(GP739/GN739&gt;2,GP739/GN739&lt;0.5),"NM",GP739/GN739*100-100))</f>
        <v>NA</v>
      </c>
      <c r="GR739" s="278"/>
      <c r="GS739" s="223" t="str">
        <f>IF(ISERROR(GR739/GP739),"NA",IF(OR(GR739/GP739&gt;2,GR739/GP739&lt;0.5),"NM",GR739/GP739*100-100))</f>
        <v>NA</v>
      </c>
      <c r="GT739" s="278"/>
      <c r="GU739" s="223" t="str">
        <f>IF(ISERROR(GT739/GR739),"NA",IF(OR(GT739/GR739&gt;2,GT739/GR739&lt;0.5),"NM",GT739/GR739*100-100))</f>
        <v>NA</v>
      </c>
      <c r="GV739" s="278"/>
      <c r="GW739" s="223" t="str">
        <f>IF(ISERROR(GV739/GT739),"NA",IF(OR(GV739/GT739&gt;2,GV739/GT739&lt;0.5),"NM",GV739/GT739*100-100))</f>
        <v>NA</v>
      </c>
      <c r="GX739" s="278"/>
      <c r="GY739" s="223" t="str">
        <f>IF(ISERROR(GX739/GV739),"NA",IF(OR(GX739/GV739&gt;2,GX739/GV739&lt;0.5),"NM",GX739/GV739*100-100))</f>
        <v>NA</v>
      </c>
      <c r="GZ739" s="223"/>
      <c r="HA739" s="223"/>
      <c r="HB739" s="223"/>
      <c r="HC739"/>
      <c r="HD739"/>
      <c r="HE739"/>
      <c r="HF739"/>
      <c r="HG739"/>
      <c r="HH739"/>
      <c r="HI739" s="273"/>
    </row>
    <row r="740" spans="2:217" s="3" customFormat="1" ht="12.75" hidden="1" customHeight="1" outlineLevel="1" x14ac:dyDescent="0.2">
      <c r="B740" s="10"/>
      <c r="C740" s="9"/>
      <c r="D740" s="11"/>
      <c r="E740" s="9"/>
      <c r="F740" s="11"/>
      <c r="G740" s="9"/>
      <c r="H740" s="11"/>
      <c r="I740" s="9"/>
      <c r="J740" s="11"/>
      <c r="K740" s="9"/>
      <c r="L740" s="11"/>
      <c r="M740" s="9"/>
      <c r="N740" s="11"/>
      <c r="O740" s="9"/>
      <c r="P740" s="11"/>
      <c r="Q740" s="9"/>
      <c r="R740" s="11"/>
      <c r="S740" s="9"/>
      <c r="T740" s="11"/>
      <c r="U740" s="9"/>
      <c r="V740" s="11"/>
      <c r="W740" s="9"/>
      <c r="X740" s="11"/>
      <c r="Y740" s="9"/>
      <c r="Z740" s="11"/>
      <c r="AA740" s="9"/>
      <c r="AB740" s="11"/>
      <c r="AC740" s="9"/>
      <c r="AD740" s="11"/>
      <c r="AE740" s="9"/>
      <c r="AF740" s="11"/>
      <c r="AG740" s="9"/>
      <c r="AH740" s="11"/>
      <c r="AI740" s="9"/>
      <c r="AJ740" s="11"/>
      <c r="AK740" s="9"/>
      <c r="AL740" s="11"/>
      <c r="AM740" s="9"/>
      <c r="AN740" s="11"/>
      <c r="AO740" s="9"/>
      <c r="AP740" s="11"/>
      <c r="AQ740" s="9"/>
      <c r="AR740" s="11"/>
      <c r="AS740" s="9"/>
      <c r="AT740" s="11"/>
      <c r="AU740" s="9"/>
      <c r="AV740" s="11"/>
      <c r="AW740" s="9"/>
      <c r="AX740" s="11"/>
      <c r="AY740" s="9"/>
      <c r="AZ740" s="11"/>
      <c r="BA740" s="9"/>
      <c r="BB740" s="11"/>
      <c r="BC740" s="9"/>
      <c r="BD740" s="11"/>
      <c r="BE740" s="9"/>
      <c r="BF740" s="11"/>
      <c r="BG740" s="9"/>
      <c r="BH740" s="11"/>
      <c r="BI740" s="9"/>
      <c r="BJ740" s="11"/>
      <c r="BK740" s="9"/>
      <c r="BL740" s="11"/>
      <c r="BM740" s="9"/>
      <c r="BN740" s="11"/>
      <c r="BO740" s="9"/>
      <c r="BP740" s="11"/>
      <c r="BQ740" s="9"/>
      <c r="BR740" s="11"/>
      <c r="BS740" s="9"/>
      <c r="BT740" s="11"/>
      <c r="BU740" s="9"/>
      <c r="BV740" s="11"/>
      <c r="BW740" s="9"/>
      <c r="BX740" s="11"/>
      <c r="BY740" s="9"/>
      <c r="BZ740" s="11"/>
      <c r="CA740" s="9"/>
      <c r="CB740" s="11"/>
      <c r="CC740" s="9"/>
      <c r="CD740" s="11"/>
      <c r="CE740" s="9"/>
      <c r="CF740" s="11"/>
      <c r="CG740" s="9"/>
      <c r="CH740" s="11"/>
      <c r="CI740" s="9"/>
      <c r="CJ740" s="11"/>
      <c r="CK740" s="9"/>
      <c r="CL740" s="11"/>
      <c r="CM740" s="9"/>
      <c r="CN740" s="11"/>
      <c r="CO740" s="9"/>
      <c r="CP740" s="11"/>
      <c r="CQ740" s="9"/>
      <c r="CR740" s="11"/>
      <c r="CS740" s="9"/>
      <c r="CT740" s="11"/>
      <c r="CU740" s="9"/>
      <c r="CV740" s="11"/>
      <c r="CW740" s="9"/>
      <c r="CX740" s="11"/>
      <c r="CY740" s="9"/>
      <c r="CZ740" s="11"/>
      <c r="DA740" s="9"/>
      <c r="DB740" s="11"/>
      <c r="DC740" s="9"/>
      <c r="DD740" s="11"/>
      <c r="DE740" s="9"/>
      <c r="DF740" s="11"/>
      <c r="DG740" s="9"/>
      <c r="DH740" s="11"/>
      <c r="DI740" s="9"/>
      <c r="DJ740" s="11"/>
      <c r="DK740" s="9"/>
      <c r="DL740" s="11"/>
      <c r="DM740" s="9"/>
      <c r="DN740" s="11"/>
      <c r="DO740" s="9"/>
      <c r="DP740" s="11"/>
      <c r="DQ740" s="9"/>
      <c r="DR740" s="11"/>
      <c r="DS740" s="9"/>
      <c r="DT740" s="11"/>
      <c r="DU740" s="9"/>
      <c r="DV740" s="11"/>
      <c r="DW740" s="9"/>
      <c r="DX740" s="11"/>
      <c r="DY740" s="9"/>
      <c r="DZ740" s="11"/>
      <c r="EA740" s="9"/>
      <c r="EB740" s="11"/>
      <c r="EC740" s="9"/>
      <c r="ED740" s="11"/>
      <c r="EE740" s="9"/>
      <c r="EF740" s="11"/>
      <c r="EG740" s="9"/>
      <c r="EH740" s="11"/>
      <c r="EI740" s="9"/>
      <c r="EJ740" s="11"/>
      <c r="EK740" s="9"/>
      <c r="EL740" s="11"/>
      <c r="EM740" s="9"/>
      <c r="EN740" s="11"/>
      <c r="EO740" s="9"/>
      <c r="EP740" s="11"/>
      <c r="EQ740" s="9"/>
      <c r="ER740" s="11"/>
      <c r="ES740" s="9"/>
      <c r="ET740" s="11"/>
      <c r="EU740" s="9"/>
      <c r="EV740" s="11"/>
      <c r="EW740" s="9"/>
      <c r="EX740" s="11"/>
      <c r="EY740" s="11"/>
      <c r="EZ740" s="296"/>
      <c r="FA740" s="11"/>
      <c r="FB740" s="9"/>
      <c r="FC740" s="11"/>
      <c r="FD740" s="9"/>
      <c r="FE740" s="11"/>
      <c r="FF740" s="16"/>
      <c r="FG740" s="11"/>
      <c r="FH740" s="16"/>
      <c r="FI740" s="11"/>
      <c r="FJ740" s="16"/>
      <c r="FK740" s="11"/>
      <c r="FL740" s="16"/>
      <c r="FM740" s="11"/>
      <c r="FN740" s="16"/>
      <c r="FO740" s="11"/>
      <c r="FP740" s="9"/>
      <c r="FQ740" s="11"/>
      <c r="FR740" s="9"/>
      <c r="FS740" s="11"/>
      <c r="FT740" s="9"/>
      <c r="FU740" s="11"/>
      <c r="FV740" s="9"/>
      <c r="FW740" s="11"/>
      <c r="FX740" s="9"/>
      <c r="FY740" s="11"/>
      <c r="FZ740" s="9"/>
      <c r="GA740" s="11"/>
      <c r="GB740" s="9"/>
      <c r="GC740" s="11"/>
      <c r="GD740" s="9"/>
      <c r="GE740" s="11"/>
      <c r="GF740" s="9"/>
      <c r="GG740" s="11"/>
      <c r="GH740" s="9"/>
      <c r="GI740" s="11"/>
      <c r="GJ740" s="9"/>
      <c r="GK740" s="11"/>
      <c r="GL740" s="9"/>
      <c r="GM740" s="11"/>
      <c r="GN740" s="9"/>
      <c r="GO740" s="11"/>
      <c r="GP740" s="9"/>
      <c r="GQ740" s="11"/>
      <c r="GR740" s="9"/>
      <c r="GS740" s="11"/>
      <c r="GT740" s="9"/>
      <c r="GU740" s="11"/>
      <c r="GV740" s="9"/>
      <c r="GW740" s="11"/>
      <c r="GX740" s="9"/>
      <c r="GY740" s="11"/>
      <c r="GZ740" s="11"/>
      <c r="HA740" s="11"/>
      <c r="HB740" s="11"/>
      <c r="HC740"/>
      <c r="HD740"/>
      <c r="HE740"/>
      <c r="HF740"/>
      <c r="HG740"/>
      <c r="HH740"/>
      <c r="HI740" s="2"/>
    </row>
    <row r="741" spans="2:217" s="3" customFormat="1" ht="12.75" hidden="1" customHeight="1" outlineLevel="1" x14ac:dyDescent="0.2">
      <c r="B741" s="89" t="s">
        <v>375</v>
      </c>
      <c r="C741" s="9"/>
      <c r="D741" s="11"/>
      <c r="E741" s="9"/>
      <c r="F741" s="11"/>
      <c r="G741" s="9"/>
      <c r="H741" s="11"/>
      <c r="I741" s="9"/>
      <c r="J741" s="11"/>
      <c r="K741" s="9"/>
      <c r="L741" s="11"/>
      <c r="M741" s="9"/>
      <c r="N741" s="11"/>
      <c r="O741" s="9"/>
      <c r="P741" s="11"/>
      <c r="Q741" s="9"/>
      <c r="R741" s="11"/>
      <c r="S741" s="9"/>
      <c r="T741" s="11"/>
      <c r="U741" s="9"/>
      <c r="V741" s="11"/>
      <c r="W741" s="9"/>
      <c r="X741" s="11"/>
      <c r="Y741" s="9"/>
      <c r="Z741" s="11"/>
      <c r="AA741" s="9"/>
      <c r="AB741" s="11"/>
      <c r="AC741" s="9"/>
      <c r="AD741" s="11"/>
      <c r="AE741" s="9"/>
      <c r="AF741" s="11"/>
      <c r="AG741" s="9"/>
      <c r="AH741" s="11"/>
      <c r="AI741" s="9"/>
      <c r="AJ741" s="11"/>
      <c r="AK741" s="9"/>
      <c r="AL741" s="11"/>
      <c r="AM741" s="9"/>
      <c r="AN741" s="11"/>
      <c r="AO741" s="9"/>
      <c r="AP741" s="11"/>
      <c r="AQ741" s="9"/>
      <c r="AR741" s="11"/>
      <c r="AS741" s="9"/>
      <c r="AT741" s="11"/>
      <c r="AU741" s="9"/>
      <c r="AV741" s="11"/>
      <c r="AW741" s="9"/>
      <c r="AX741" s="11"/>
      <c r="AY741" s="9"/>
      <c r="AZ741" s="11"/>
      <c r="BA741" s="9"/>
      <c r="BB741" s="11"/>
      <c r="BC741" s="9"/>
      <c r="BD741" s="11"/>
      <c r="BE741" s="9"/>
      <c r="BF741" s="11"/>
      <c r="BG741" s="9"/>
      <c r="BH741" s="11"/>
      <c r="BI741" s="9"/>
      <c r="BJ741" s="11"/>
      <c r="BK741" s="9"/>
      <c r="BL741" s="11"/>
      <c r="BM741" s="9"/>
      <c r="BN741" s="11"/>
      <c r="BO741" s="9"/>
      <c r="BP741" s="11"/>
      <c r="BQ741" s="9"/>
      <c r="BR741" s="11"/>
      <c r="BS741" s="9"/>
      <c r="BT741" s="11"/>
      <c r="BU741" s="9"/>
      <c r="BV741" s="11"/>
      <c r="BW741" s="9"/>
      <c r="BX741" s="11"/>
      <c r="BY741" s="9"/>
      <c r="BZ741" s="11"/>
      <c r="CA741" s="9"/>
      <c r="CB741" s="11"/>
      <c r="CC741" s="9"/>
      <c r="CD741" s="11"/>
      <c r="CE741" s="9"/>
      <c r="CF741" s="11"/>
      <c r="CG741" s="9"/>
      <c r="CH741" s="11"/>
      <c r="CI741" s="9"/>
      <c r="CJ741" s="11"/>
      <c r="CK741" s="9"/>
      <c r="CL741" s="11"/>
      <c r="CM741" s="9"/>
      <c r="CN741" s="11"/>
      <c r="CO741" s="9"/>
      <c r="CP741" s="11"/>
      <c r="CQ741" s="9"/>
      <c r="CR741" s="11"/>
      <c r="CS741" s="9"/>
      <c r="CT741" s="11"/>
      <c r="CU741" s="9"/>
      <c r="CV741" s="11"/>
      <c r="CW741" s="9"/>
      <c r="CX741" s="11"/>
      <c r="CY741" s="9"/>
      <c r="CZ741" s="11"/>
      <c r="DA741" s="9"/>
      <c r="DB741" s="11"/>
      <c r="DC741" s="9"/>
      <c r="DD741" s="11"/>
      <c r="DE741" s="9"/>
      <c r="DF741" s="11"/>
      <c r="DG741" s="9"/>
      <c r="DH741" s="11"/>
      <c r="DI741" s="9"/>
      <c r="DJ741" s="11"/>
      <c r="DK741" s="9"/>
      <c r="DL741" s="11"/>
      <c r="DM741" s="9"/>
      <c r="DN741" s="11"/>
      <c r="DO741" s="9"/>
      <c r="DP741" s="11"/>
      <c r="DQ741" s="9"/>
      <c r="DR741" s="11"/>
      <c r="DS741" s="9"/>
      <c r="DT741" s="11"/>
      <c r="DU741" s="9"/>
      <c r="DV741" s="11"/>
      <c r="DW741" s="9"/>
      <c r="DX741" s="11"/>
      <c r="DY741" s="9"/>
      <c r="DZ741" s="11"/>
      <c r="EA741" s="9"/>
      <c r="EB741" s="11"/>
      <c r="EC741" s="9"/>
      <c r="ED741" s="11"/>
      <c r="EE741" s="9"/>
      <c r="EF741" s="11"/>
      <c r="EG741" s="9"/>
      <c r="EH741" s="11"/>
      <c r="EI741" s="9"/>
      <c r="EJ741" s="11"/>
      <c r="EK741" s="9"/>
      <c r="EL741" s="11"/>
      <c r="EM741" s="9"/>
      <c r="EN741" s="11"/>
      <c r="EO741" s="9"/>
      <c r="EP741" s="11"/>
      <c r="EQ741" s="9"/>
      <c r="ER741" s="11"/>
      <c r="ES741" s="9"/>
      <c r="ET741" s="11"/>
      <c r="EU741" s="9"/>
      <c r="EV741" s="11"/>
      <c r="EW741" s="9"/>
      <c r="EX741" s="11"/>
      <c r="EY741" s="11"/>
      <c r="EZ741" s="296"/>
      <c r="FA741" s="11"/>
      <c r="FB741" s="9"/>
      <c r="FC741" s="11"/>
      <c r="FD741" s="9"/>
      <c r="FE741" s="11"/>
      <c r="FF741" s="16"/>
      <c r="FG741" s="11"/>
      <c r="FH741" s="16"/>
      <c r="FI741" s="11"/>
      <c r="FJ741" s="16"/>
      <c r="FK741" s="11"/>
      <c r="FL741" s="16"/>
      <c r="FM741" s="11"/>
      <c r="FN741" s="16"/>
      <c r="FO741" s="11"/>
      <c r="FP741" s="9"/>
      <c r="FQ741" s="11"/>
      <c r="FR741" s="9"/>
      <c r="FS741" s="11"/>
      <c r="FT741" s="9"/>
      <c r="FU741" s="11"/>
      <c r="FV741" s="9"/>
      <c r="FW741" s="11"/>
      <c r="FX741" s="9"/>
      <c r="FY741" s="11"/>
      <c r="FZ741" s="9"/>
      <c r="GA741" s="11"/>
      <c r="GB741" s="9"/>
      <c r="GC741" s="11"/>
      <c r="GD741" s="9"/>
      <c r="GE741" s="11"/>
      <c r="GF741" s="9"/>
      <c r="GG741" s="11"/>
      <c r="GH741" s="9"/>
      <c r="GI741" s="11"/>
      <c r="GJ741" s="9"/>
      <c r="GK741" s="11"/>
      <c r="GL741" s="9"/>
      <c r="GM741" s="11"/>
      <c r="GN741" s="9"/>
      <c r="GO741" s="11"/>
      <c r="GP741" s="9"/>
      <c r="GQ741" s="11"/>
      <c r="GR741" s="9"/>
      <c r="GS741" s="11"/>
      <c r="GT741" s="9"/>
      <c r="GU741" s="11"/>
      <c r="GV741" s="9"/>
      <c r="GW741" s="11"/>
      <c r="GX741" s="9"/>
      <c r="GY741" s="11"/>
      <c r="GZ741" s="11"/>
      <c r="HA741" s="11"/>
      <c r="HB741" s="11"/>
      <c r="HC741"/>
      <c r="HD741"/>
      <c r="HE741"/>
      <c r="HF741"/>
      <c r="HG741"/>
      <c r="HH741"/>
      <c r="HI741" s="2"/>
    </row>
    <row r="742" spans="2:217" s="3" customFormat="1" ht="12.75" hidden="1" customHeight="1" outlineLevel="1" x14ac:dyDescent="0.2">
      <c r="B742" s="268" t="s">
        <v>686</v>
      </c>
      <c r="C742" s="9"/>
      <c r="D742" s="11"/>
      <c r="E742" s="9"/>
      <c r="F742" s="11"/>
      <c r="G742" s="9"/>
      <c r="H742" s="11"/>
      <c r="I742" s="9"/>
      <c r="J742" s="11"/>
      <c r="K742" s="9"/>
      <c r="L742" s="11"/>
      <c r="M742" s="9"/>
      <c r="N742" s="11"/>
      <c r="O742" s="9"/>
      <c r="P742" s="11"/>
      <c r="Q742" s="9"/>
      <c r="R742" s="11"/>
      <c r="S742" s="9"/>
      <c r="T742" s="11"/>
      <c r="U742" s="9"/>
      <c r="V742" s="11"/>
      <c r="W742" s="9"/>
      <c r="X742" s="11"/>
      <c r="Y742" s="9"/>
      <c r="Z742" s="11"/>
      <c r="AA742" s="9"/>
      <c r="AB742" s="11"/>
      <c r="AC742" s="9"/>
      <c r="AD742" s="11"/>
      <c r="AE742" s="9"/>
      <c r="AF742" s="11"/>
      <c r="AG742" s="9"/>
      <c r="AH742" s="11"/>
      <c r="AI742" s="9"/>
      <c r="AJ742" s="11"/>
      <c r="AK742" s="9"/>
      <c r="AL742" s="11"/>
      <c r="AM742" s="9"/>
      <c r="AN742" s="11"/>
      <c r="AO742" s="9"/>
      <c r="AP742" s="11"/>
      <c r="AQ742" s="9"/>
      <c r="AR742" s="11"/>
      <c r="AS742" s="9"/>
      <c r="AT742" s="11"/>
      <c r="AU742" s="9"/>
      <c r="AV742" s="11"/>
      <c r="AW742" s="9"/>
      <c r="AX742" s="11"/>
      <c r="AY742" s="9"/>
      <c r="AZ742" s="11"/>
      <c r="BA742" s="9"/>
      <c r="BB742" s="11"/>
      <c r="BC742" s="9"/>
      <c r="BD742" s="11"/>
      <c r="BE742" s="9"/>
      <c r="BF742" s="11"/>
      <c r="BG742" s="9"/>
      <c r="BH742" s="11"/>
      <c r="BI742" s="9"/>
      <c r="BJ742" s="11"/>
      <c r="BK742" s="9"/>
      <c r="BL742" s="11"/>
      <c r="BM742" s="9"/>
      <c r="BN742" s="11"/>
      <c r="BO742" s="9"/>
      <c r="BP742" s="11"/>
      <c r="BQ742" s="9"/>
      <c r="BR742" s="11"/>
      <c r="BS742" s="9"/>
      <c r="BT742" s="11"/>
      <c r="BU742" s="9"/>
      <c r="BV742" s="11"/>
      <c r="BW742" s="9"/>
      <c r="BX742" s="11"/>
      <c r="BY742" s="9"/>
      <c r="BZ742" s="11"/>
      <c r="CA742" s="9"/>
      <c r="CB742" s="11"/>
      <c r="CC742" s="9"/>
      <c r="CD742" s="11"/>
      <c r="CE742" s="185">
        <f>12048-957</f>
        <v>11091</v>
      </c>
      <c r="CF742" s="11"/>
      <c r="CG742" s="185">
        <f>12213-1265</f>
        <v>10948</v>
      </c>
      <c r="CH742" s="11"/>
      <c r="CI742" s="185">
        <f>13492-1831</f>
        <v>11661</v>
      </c>
      <c r="CJ742" s="11"/>
      <c r="CK742" s="185">
        <f>13216-1430</f>
        <v>11786</v>
      </c>
      <c r="CL742" s="11"/>
      <c r="CM742" s="185">
        <f>13433-1439</f>
        <v>11994</v>
      </c>
      <c r="CN742" s="11"/>
      <c r="CO742" s="185">
        <f>13239-1642</f>
        <v>11597</v>
      </c>
      <c r="CP742" s="11"/>
      <c r="CQ742" s="185">
        <f>15298-1892</f>
        <v>13406</v>
      </c>
      <c r="CR742" s="11"/>
      <c r="CS742" s="185">
        <f>14826-2072</f>
        <v>12754</v>
      </c>
      <c r="CT742" s="11"/>
      <c r="CU742" s="185">
        <f>14612-2089</f>
        <v>12523</v>
      </c>
      <c r="CV742" s="185"/>
      <c r="CW742" s="185">
        <f>16200-2244</f>
        <v>13956</v>
      </c>
      <c r="CX742" s="11"/>
      <c r="CY742" s="185">
        <f>16176-2136</f>
        <v>14040</v>
      </c>
      <c r="CZ742" s="11"/>
      <c r="DA742" s="185"/>
      <c r="DB742" s="11"/>
      <c r="DC742" s="185"/>
      <c r="DD742" s="11"/>
      <c r="DE742" s="185"/>
      <c r="DF742" s="11"/>
      <c r="DG742" s="185"/>
      <c r="DH742" s="11"/>
      <c r="DI742" s="185"/>
      <c r="DJ742" s="11"/>
      <c r="DK742" s="185"/>
      <c r="DL742" s="11"/>
      <c r="DM742" s="185"/>
      <c r="DN742" s="11"/>
      <c r="DO742" s="185"/>
      <c r="DP742" s="11"/>
      <c r="DQ742" s="185"/>
      <c r="DR742" s="11"/>
      <c r="DS742" s="185"/>
      <c r="DT742" s="11"/>
      <c r="DU742" s="185"/>
      <c r="DV742" s="11"/>
      <c r="DW742" s="9"/>
      <c r="DX742" s="11"/>
      <c r="DY742" s="9"/>
      <c r="DZ742" s="11"/>
      <c r="EA742" s="9"/>
      <c r="EB742" s="11"/>
      <c r="EC742" s="9"/>
      <c r="ED742" s="11"/>
      <c r="EE742" s="9"/>
      <c r="EF742" s="11"/>
      <c r="EG742" s="9"/>
      <c r="EH742" s="11"/>
      <c r="EI742" s="9"/>
      <c r="EJ742" s="11"/>
      <c r="EK742" s="9"/>
      <c r="EL742" s="11"/>
      <c r="EM742" s="9"/>
      <c r="EN742" s="11"/>
      <c r="EO742" s="9"/>
      <c r="EP742" s="11"/>
      <c r="EQ742" s="9"/>
      <c r="ER742" s="11"/>
      <c r="ES742" s="9"/>
      <c r="ET742" s="11"/>
      <c r="EU742" s="9"/>
      <c r="EV742" s="11"/>
      <c r="EW742" s="9"/>
      <c r="EX742" s="11"/>
      <c r="EY742" s="11"/>
      <c r="EZ742" s="296"/>
      <c r="FA742" s="11"/>
      <c r="FB742" s="9"/>
      <c r="FC742" s="11"/>
      <c r="FD742" s="9"/>
      <c r="FE742" s="11"/>
      <c r="FF742" s="16"/>
      <c r="FG742" s="11"/>
      <c r="FH742" s="16"/>
      <c r="FI742" s="11"/>
      <c r="FJ742" s="16"/>
      <c r="FK742" s="11"/>
      <c r="FL742" s="16"/>
      <c r="FM742" s="11"/>
      <c r="FN742" s="16"/>
      <c r="FO742" s="11"/>
      <c r="FP742" s="9"/>
      <c r="FQ742" s="11"/>
      <c r="FR742" s="9"/>
      <c r="FS742" s="11"/>
      <c r="FT742" s="9"/>
      <c r="FU742" s="11"/>
      <c r="FV742" s="9"/>
      <c r="FW742" s="11"/>
      <c r="FX742" s="9"/>
      <c r="FY742" s="11"/>
      <c r="FZ742" s="186"/>
      <c r="GA742" s="11"/>
      <c r="GB742" s="9"/>
      <c r="GC742" s="11"/>
      <c r="GD742" s="9"/>
      <c r="GE742" s="11"/>
      <c r="GF742" s="9"/>
      <c r="GG742" s="11"/>
      <c r="GH742" s="9"/>
      <c r="GI742" s="11"/>
      <c r="GJ742" s="9"/>
      <c r="GK742" s="11"/>
      <c r="GL742" s="9"/>
      <c r="GM742" s="11"/>
      <c r="GN742" s="9"/>
      <c r="GO742" s="11"/>
      <c r="GP742" s="9"/>
      <c r="GQ742" s="11"/>
      <c r="GR742" s="9"/>
      <c r="GS742" s="11"/>
      <c r="GT742" s="9"/>
      <c r="GU742" s="11"/>
      <c r="GV742" s="9"/>
      <c r="GW742" s="11"/>
      <c r="GX742" s="9"/>
      <c r="GY742" s="11"/>
      <c r="GZ742" s="11"/>
      <c r="HA742" s="11"/>
      <c r="HB742" s="11"/>
      <c r="HC742"/>
      <c r="HD742"/>
      <c r="HE742"/>
      <c r="HF742"/>
      <c r="HG742"/>
      <c r="HH742"/>
      <c r="HI742" s="2"/>
    </row>
    <row r="743" spans="2:217" s="3" customFormat="1" ht="12.75" hidden="1" customHeight="1" outlineLevel="1" x14ac:dyDescent="0.2">
      <c r="B743" s="268" t="s">
        <v>687</v>
      </c>
      <c r="C743" s="9"/>
      <c r="D743" s="11"/>
      <c r="E743" s="9"/>
      <c r="F743" s="11"/>
      <c r="G743" s="9"/>
      <c r="H743" s="11"/>
      <c r="I743" s="9"/>
      <c r="J743" s="11"/>
      <c r="K743" s="9"/>
      <c r="L743" s="11"/>
      <c r="M743" s="9"/>
      <c r="N743" s="11"/>
      <c r="O743" s="9"/>
      <c r="P743" s="11"/>
      <c r="Q743" s="9"/>
      <c r="R743" s="11"/>
      <c r="S743" s="9"/>
      <c r="T743" s="11"/>
      <c r="U743" s="9"/>
      <c r="V743" s="11"/>
      <c r="W743" s="9"/>
      <c r="X743" s="11"/>
      <c r="Y743" s="9"/>
      <c r="Z743" s="11"/>
      <c r="AA743" s="9"/>
      <c r="AB743" s="11"/>
      <c r="AC743" s="9"/>
      <c r="AD743" s="11"/>
      <c r="AE743" s="9"/>
      <c r="AF743" s="11"/>
      <c r="AG743" s="9"/>
      <c r="AH743" s="11"/>
      <c r="AI743" s="9"/>
      <c r="AJ743" s="11"/>
      <c r="AK743" s="9"/>
      <c r="AL743" s="11"/>
      <c r="AM743" s="9"/>
      <c r="AN743" s="11"/>
      <c r="AO743" s="9"/>
      <c r="AP743" s="11"/>
      <c r="AQ743" s="9"/>
      <c r="AR743" s="11"/>
      <c r="AS743" s="9"/>
      <c r="AT743" s="11"/>
      <c r="AU743" s="9"/>
      <c r="AV743" s="11"/>
      <c r="AW743" s="9"/>
      <c r="AX743" s="11"/>
      <c r="AY743" s="9"/>
      <c r="AZ743" s="11"/>
      <c r="BA743" s="9"/>
      <c r="BB743" s="11"/>
      <c r="BC743" s="9"/>
      <c r="BD743" s="11"/>
      <c r="BE743" s="9"/>
      <c r="BF743" s="11"/>
      <c r="BG743" s="9"/>
      <c r="BH743" s="11"/>
      <c r="BI743" s="9"/>
      <c r="BJ743" s="11"/>
      <c r="BK743" s="9"/>
      <c r="BL743" s="11"/>
      <c r="BM743" s="9"/>
      <c r="BN743" s="11"/>
      <c r="BO743" s="9"/>
      <c r="BP743" s="11"/>
      <c r="BQ743" s="9"/>
      <c r="BR743" s="11"/>
      <c r="BS743" s="9"/>
      <c r="BT743" s="11"/>
      <c r="BU743" s="9"/>
      <c r="BV743" s="11"/>
      <c r="BW743" s="9"/>
      <c r="BX743" s="11"/>
      <c r="BY743" s="9"/>
      <c r="BZ743" s="11"/>
      <c r="CA743" s="9"/>
      <c r="CB743" s="11"/>
      <c r="CC743" s="9"/>
      <c r="CD743" s="11"/>
      <c r="CE743" s="185">
        <f>4763-407</f>
        <v>4356</v>
      </c>
      <c r="CF743" s="11"/>
      <c r="CG743" s="185">
        <f>5146-763</f>
        <v>4383</v>
      </c>
      <c r="CH743" s="11"/>
      <c r="CI743" s="185">
        <f>5522-1193</f>
        <v>4329</v>
      </c>
      <c r="CJ743" s="11"/>
      <c r="CK743" s="185">
        <f>5093-765</f>
        <v>4328</v>
      </c>
      <c r="CL743" s="11"/>
      <c r="CM743" s="185">
        <f>5006-728</f>
        <v>4278</v>
      </c>
      <c r="CN743" s="11"/>
      <c r="CO743" s="185">
        <f>5162-921</f>
        <v>4241</v>
      </c>
      <c r="CP743" s="11"/>
      <c r="CQ743" s="185">
        <f>5596-1421</f>
        <v>4175</v>
      </c>
      <c r="CR743" s="11"/>
      <c r="CS743" s="185">
        <f>4235-1333</f>
        <v>2902</v>
      </c>
      <c r="CT743" s="11"/>
      <c r="CU743" s="185">
        <f>5386-1503</f>
        <v>3883</v>
      </c>
      <c r="CV743" s="185"/>
      <c r="CW743" s="185">
        <f>5606-1782</f>
        <v>3824</v>
      </c>
      <c r="CX743" s="11"/>
      <c r="CY743" s="185">
        <f>4383-1809</f>
        <v>2574</v>
      </c>
      <c r="CZ743" s="11"/>
      <c r="DA743" s="185"/>
      <c r="DB743" s="11"/>
      <c r="DC743" s="185"/>
      <c r="DD743" s="11"/>
      <c r="DE743" s="185"/>
      <c r="DF743" s="11"/>
      <c r="DG743" s="185"/>
      <c r="DH743" s="11"/>
      <c r="DI743" s="185"/>
      <c r="DJ743" s="11"/>
      <c r="DK743" s="185"/>
      <c r="DL743" s="11"/>
      <c r="DM743" s="185"/>
      <c r="DN743" s="11"/>
      <c r="DO743" s="185"/>
      <c r="DP743" s="11"/>
      <c r="DQ743" s="185"/>
      <c r="DR743" s="11"/>
      <c r="DS743" s="185"/>
      <c r="DT743" s="11"/>
      <c r="DU743" s="185"/>
      <c r="DV743" s="11"/>
      <c r="DW743" s="9"/>
      <c r="DX743" s="11"/>
      <c r="DY743" s="9"/>
      <c r="DZ743" s="11"/>
      <c r="EA743" s="9"/>
      <c r="EB743" s="11"/>
      <c r="EC743" s="9"/>
      <c r="ED743" s="11"/>
      <c r="EE743" s="9"/>
      <c r="EF743" s="11"/>
      <c r="EG743" s="9"/>
      <c r="EH743" s="11"/>
      <c r="EI743" s="9"/>
      <c r="EJ743" s="11"/>
      <c r="EK743" s="9"/>
      <c r="EL743" s="11"/>
      <c r="EM743" s="9"/>
      <c r="EN743" s="11"/>
      <c r="EO743" s="9"/>
      <c r="EP743" s="11"/>
      <c r="EQ743" s="9"/>
      <c r="ER743" s="11"/>
      <c r="ES743" s="9"/>
      <c r="ET743" s="11"/>
      <c r="EU743" s="9"/>
      <c r="EV743" s="11"/>
      <c r="EW743" s="9"/>
      <c r="EX743" s="11"/>
      <c r="EY743" s="11"/>
      <c r="EZ743" s="296"/>
      <c r="FA743" s="11"/>
      <c r="FB743" s="9"/>
      <c r="FC743" s="11"/>
      <c r="FD743" s="9"/>
      <c r="FE743" s="11"/>
      <c r="FF743" s="16"/>
      <c r="FG743" s="11"/>
      <c r="FH743" s="16"/>
      <c r="FI743" s="11"/>
      <c r="FJ743" s="16"/>
      <c r="FK743" s="11"/>
      <c r="FL743" s="16"/>
      <c r="FM743" s="11"/>
      <c r="FN743" s="16"/>
      <c r="FO743" s="11"/>
      <c r="FP743" s="9"/>
      <c r="FQ743" s="11"/>
      <c r="FR743" s="9"/>
      <c r="FS743" s="11"/>
      <c r="FT743" s="9"/>
      <c r="FU743" s="11"/>
      <c r="FV743" s="9"/>
      <c r="FW743" s="11"/>
      <c r="FX743" s="9"/>
      <c r="FY743" s="11"/>
      <c r="FZ743" s="186"/>
      <c r="GA743" s="11"/>
      <c r="GB743" s="9"/>
      <c r="GC743" s="11"/>
      <c r="GD743" s="9"/>
      <c r="GE743" s="11"/>
      <c r="GF743" s="9"/>
      <c r="GG743" s="11"/>
      <c r="GH743" s="9"/>
      <c r="GI743" s="11"/>
      <c r="GJ743" s="9"/>
      <c r="GK743" s="11"/>
      <c r="GL743" s="9"/>
      <c r="GM743" s="11"/>
      <c r="GN743" s="9"/>
      <c r="GO743" s="11"/>
      <c r="GP743" s="9"/>
      <c r="GQ743" s="11"/>
      <c r="GR743" s="9"/>
      <c r="GS743" s="11"/>
      <c r="GT743" s="9"/>
      <c r="GU743" s="11"/>
      <c r="GV743" s="9"/>
      <c r="GW743" s="11"/>
      <c r="GX743" s="9"/>
      <c r="GY743" s="11"/>
      <c r="GZ743" s="11"/>
      <c r="HA743" s="11"/>
      <c r="HB743" s="11"/>
      <c r="HC743"/>
      <c r="HD743"/>
      <c r="HE743"/>
      <c r="HF743"/>
      <c r="HG743"/>
      <c r="HH743"/>
      <c r="HI743" s="2"/>
    </row>
    <row r="744" spans="2:217" s="3" customFormat="1" ht="12.75" hidden="1" customHeight="1" outlineLevel="1" x14ac:dyDescent="0.2">
      <c r="B744" s="268" t="s">
        <v>688</v>
      </c>
      <c r="C744" s="9"/>
      <c r="D744" s="11"/>
      <c r="E744" s="9"/>
      <c r="F744" s="11"/>
      <c r="G744" s="9"/>
      <c r="H744" s="11"/>
      <c r="I744" s="9"/>
      <c r="J744" s="11"/>
      <c r="K744" s="9"/>
      <c r="L744" s="11"/>
      <c r="M744" s="9"/>
      <c r="N744" s="11"/>
      <c r="O744" s="9"/>
      <c r="P744" s="11"/>
      <c r="Q744" s="9"/>
      <c r="R744" s="11"/>
      <c r="S744" s="9"/>
      <c r="T744" s="11"/>
      <c r="U744" s="9"/>
      <c r="V744" s="11"/>
      <c r="W744" s="9"/>
      <c r="X744" s="11"/>
      <c r="Y744" s="9"/>
      <c r="Z744" s="11"/>
      <c r="AA744" s="9"/>
      <c r="AB744" s="11"/>
      <c r="AC744" s="9"/>
      <c r="AD744" s="11"/>
      <c r="AE744" s="9"/>
      <c r="AF744" s="11"/>
      <c r="AG744" s="9"/>
      <c r="AH744" s="11"/>
      <c r="AI744" s="9"/>
      <c r="AJ744" s="11"/>
      <c r="AK744" s="9"/>
      <c r="AL744" s="11"/>
      <c r="AM744" s="9"/>
      <c r="AN744" s="11"/>
      <c r="AO744" s="9"/>
      <c r="AP744" s="11"/>
      <c r="AQ744" s="9"/>
      <c r="AR744" s="11"/>
      <c r="AS744" s="9"/>
      <c r="AT744" s="11"/>
      <c r="AU744" s="9"/>
      <c r="AV744" s="11"/>
      <c r="AW744" s="9"/>
      <c r="AX744" s="11"/>
      <c r="AY744" s="9"/>
      <c r="AZ744" s="11"/>
      <c r="BA744" s="9"/>
      <c r="BB744" s="11"/>
      <c r="BC744" s="9"/>
      <c r="BD744" s="11"/>
      <c r="BE744" s="9"/>
      <c r="BF744" s="11"/>
      <c r="BG744" s="9"/>
      <c r="BH744" s="11"/>
      <c r="BI744" s="9"/>
      <c r="BJ744" s="11"/>
      <c r="BK744" s="9"/>
      <c r="BL744" s="11"/>
      <c r="BM744" s="9"/>
      <c r="BN744" s="11"/>
      <c r="BO744" s="9"/>
      <c r="BP744" s="11"/>
      <c r="BQ744" s="9"/>
      <c r="BR744" s="11"/>
      <c r="BS744" s="9"/>
      <c r="BT744" s="11"/>
      <c r="BU744" s="9"/>
      <c r="BV744" s="11"/>
      <c r="BW744" s="9"/>
      <c r="BX744" s="11"/>
      <c r="BY744" s="9"/>
      <c r="BZ744" s="11"/>
      <c r="CA744" s="9"/>
      <c r="CB744" s="11"/>
      <c r="CC744" s="9"/>
      <c r="CD744" s="11"/>
      <c r="CE744" s="185">
        <f>8429-546</f>
        <v>7883</v>
      </c>
      <c r="CF744" s="11"/>
      <c r="CG744" s="185">
        <f>9669-1446</f>
        <v>8223</v>
      </c>
      <c r="CH744" s="11"/>
      <c r="CI744" s="185">
        <f>11654-2961</f>
        <v>8693</v>
      </c>
      <c r="CJ744" s="11"/>
      <c r="CK744" s="185">
        <f>10645-1837</f>
        <v>8808</v>
      </c>
      <c r="CL744" s="11"/>
      <c r="CM744" s="185">
        <f>14195-1414</f>
        <v>12781</v>
      </c>
      <c r="CN744" s="11"/>
      <c r="CO744" s="185">
        <f>15571-2478</f>
        <v>13093</v>
      </c>
      <c r="CP744" s="11"/>
      <c r="CQ744" s="185">
        <f>16731-3109</f>
        <v>13622</v>
      </c>
      <c r="CR744" s="11"/>
      <c r="CS744" s="185">
        <f>15387-3089</f>
        <v>12298</v>
      </c>
      <c r="CT744" s="11"/>
      <c r="CU744" s="185">
        <f>16743-4695</f>
        <v>12048</v>
      </c>
      <c r="CV744" s="185"/>
      <c r="CW744" s="185">
        <f>18820-5367</f>
        <v>13453</v>
      </c>
      <c r="CX744" s="11"/>
      <c r="CY744" s="185">
        <f>19380-6708</f>
        <v>12672</v>
      </c>
      <c r="CZ744" s="11"/>
      <c r="DA744" s="185"/>
      <c r="DB744" s="11"/>
      <c r="DC744" s="185"/>
      <c r="DD744" s="11"/>
      <c r="DE744" s="185"/>
      <c r="DF744" s="11"/>
      <c r="DG744" s="185"/>
      <c r="DH744" s="11"/>
      <c r="DI744" s="185"/>
      <c r="DJ744" s="11"/>
      <c r="DK744" s="185"/>
      <c r="DL744" s="11"/>
      <c r="DM744" s="185"/>
      <c r="DN744" s="11"/>
      <c r="DO744" s="185"/>
      <c r="DP744" s="11"/>
      <c r="DQ744" s="185"/>
      <c r="DR744" s="11"/>
      <c r="DS744" s="185"/>
      <c r="DT744" s="11"/>
      <c r="DU744" s="185"/>
      <c r="DV744" s="11"/>
      <c r="DW744" s="9"/>
      <c r="DX744" s="11"/>
      <c r="DY744" s="9"/>
      <c r="DZ744" s="11"/>
      <c r="EA744" s="9"/>
      <c r="EB744" s="11"/>
      <c r="EC744" s="9"/>
      <c r="ED744" s="11"/>
      <c r="EE744" s="9"/>
      <c r="EF744" s="11"/>
      <c r="EG744" s="9"/>
      <c r="EH744" s="11"/>
      <c r="EI744" s="9"/>
      <c r="EJ744" s="11"/>
      <c r="EK744" s="9"/>
      <c r="EL744" s="11"/>
      <c r="EM744" s="9"/>
      <c r="EN744" s="11"/>
      <c r="EO744" s="9"/>
      <c r="EP744" s="11"/>
      <c r="EQ744" s="9"/>
      <c r="ER744" s="11"/>
      <c r="ES744" s="9"/>
      <c r="ET744" s="11"/>
      <c r="EU744" s="9"/>
      <c r="EV744" s="11"/>
      <c r="EW744" s="9"/>
      <c r="EX744" s="11"/>
      <c r="EY744" s="11"/>
      <c r="EZ744" s="296"/>
      <c r="FA744" s="11"/>
      <c r="FB744" s="9"/>
      <c r="FC744" s="11"/>
      <c r="FD744" s="9"/>
      <c r="FE744" s="11"/>
      <c r="FF744" s="16"/>
      <c r="FG744" s="11"/>
      <c r="FH744" s="16"/>
      <c r="FI744" s="11"/>
      <c r="FJ744" s="16"/>
      <c r="FK744" s="11"/>
      <c r="FL744" s="16"/>
      <c r="FM744" s="11"/>
      <c r="FN744" s="16"/>
      <c r="FO744" s="11"/>
      <c r="FP744" s="9"/>
      <c r="FQ744" s="11"/>
      <c r="FR744" s="9"/>
      <c r="FS744" s="11"/>
      <c r="FT744" s="9"/>
      <c r="FU744" s="11"/>
      <c r="FV744" s="9"/>
      <c r="FW744" s="11"/>
      <c r="FX744" s="9"/>
      <c r="FY744" s="11"/>
      <c r="FZ744" s="186"/>
      <c r="GA744" s="11"/>
      <c r="GB744" s="9"/>
      <c r="GC744" s="11"/>
      <c r="GD744" s="9"/>
      <c r="GE744" s="11"/>
      <c r="GF744" s="9"/>
      <c r="GG744" s="11"/>
      <c r="GH744" s="9"/>
      <c r="GI744" s="11"/>
      <c r="GJ744" s="9"/>
      <c r="GK744" s="11"/>
      <c r="GL744" s="9"/>
      <c r="GM744" s="11"/>
      <c r="GN744" s="9"/>
      <c r="GO744" s="11"/>
      <c r="GP744" s="9"/>
      <c r="GQ744" s="11"/>
      <c r="GR744" s="9"/>
      <c r="GS744" s="11"/>
      <c r="GT744" s="9"/>
      <c r="GU744" s="11"/>
      <c r="GV744" s="9"/>
      <c r="GW744" s="11"/>
      <c r="GX744" s="9"/>
      <c r="GY744" s="11"/>
      <c r="GZ744" s="11"/>
      <c r="HA744" s="11"/>
      <c r="HB744" s="11"/>
      <c r="HC744"/>
      <c r="HD744"/>
      <c r="HE744"/>
      <c r="HF744"/>
      <c r="HG744"/>
      <c r="HH744"/>
      <c r="HI744" s="2"/>
    </row>
    <row r="745" spans="2:217" s="3" customFormat="1" ht="12.75" hidden="1" customHeight="1" outlineLevel="1" x14ac:dyDescent="0.2">
      <c r="B745" s="268" t="s">
        <v>689</v>
      </c>
      <c r="C745" s="9"/>
      <c r="D745" s="11"/>
      <c r="E745" s="9"/>
      <c r="F745" s="11"/>
      <c r="G745" s="9"/>
      <c r="H745" s="11"/>
      <c r="I745" s="9"/>
      <c r="J745" s="11"/>
      <c r="K745" s="9"/>
      <c r="L745" s="11"/>
      <c r="M745" s="9"/>
      <c r="N745" s="11"/>
      <c r="O745" s="9"/>
      <c r="P745" s="11"/>
      <c r="Q745" s="9"/>
      <c r="R745" s="11"/>
      <c r="S745" s="9"/>
      <c r="T745" s="11"/>
      <c r="U745" s="9"/>
      <c r="V745" s="11"/>
      <c r="W745" s="9"/>
      <c r="X745" s="11"/>
      <c r="Y745" s="9"/>
      <c r="Z745" s="11"/>
      <c r="AA745" s="9"/>
      <c r="AB745" s="11"/>
      <c r="AC745" s="9"/>
      <c r="AD745" s="11"/>
      <c r="AE745" s="9"/>
      <c r="AF745" s="11"/>
      <c r="AG745" s="9"/>
      <c r="AH745" s="11"/>
      <c r="AI745" s="9"/>
      <c r="AJ745" s="11"/>
      <c r="AK745" s="9"/>
      <c r="AL745" s="11"/>
      <c r="AM745" s="9"/>
      <c r="AN745" s="11"/>
      <c r="AO745" s="9"/>
      <c r="AP745" s="11"/>
      <c r="AQ745" s="9"/>
      <c r="AR745" s="11"/>
      <c r="AS745" s="9"/>
      <c r="AT745" s="11"/>
      <c r="AU745" s="9"/>
      <c r="AV745" s="11"/>
      <c r="AW745" s="9"/>
      <c r="AX745" s="11"/>
      <c r="AY745" s="9"/>
      <c r="AZ745" s="11"/>
      <c r="BA745" s="9"/>
      <c r="BB745" s="11"/>
      <c r="BC745" s="9"/>
      <c r="BD745" s="11"/>
      <c r="BE745" s="9"/>
      <c r="BF745" s="11"/>
      <c r="BG745" s="9"/>
      <c r="BH745" s="11"/>
      <c r="BI745" s="9"/>
      <c r="BJ745" s="11"/>
      <c r="BK745" s="9"/>
      <c r="BL745" s="11"/>
      <c r="BM745" s="9"/>
      <c r="BN745" s="11"/>
      <c r="BO745" s="9"/>
      <c r="BP745" s="11"/>
      <c r="BQ745" s="9"/>
      <c r="BR745" s="11"/>
      <c r="BS745" s="9"/>
      <c r="BT745" s="11"/>
      <c r="BU745" s="9"/>
      <c r="BV745" s="11"/>
      <c r="BW745" s="9"/>
      <c r="BX745" s="11"/>
      <c r="BY745" s="9"/>
      <c r="BZ745" s="11"/>
      <c r="CA745" s="9"/>
      <c r="CB745" s="11"/>
      <c r="CC745" s="9"/>
      <c r="CD745" s="11"/>
      <c r="CE745" s="185">
        <f>481--1507</f>
        <v>1988</v>
      </c>
      <c r="CF745" s="11"/>
      <c r="CG745" s="185">
        <f>1205--1434</f>
        <v>2639</v>
      </c>
      <c r="CH745" s="11"/>
      <c r="CI745" s="185">
        <f>1339--1396</f>
        <v>2735</v>
      </c>
      <c r="CJ745" s="11"/>
      <c r="CK745" s="185">
        <f>2078--1100</f>
        <v>3178</v>
      </c>
      <c r="CL745" s="11"/>
      <c r="CM745" s="185">
        <f>-1334--1066</f>
        <v>-268</v>
      </c>
      <c r="CN745" s="11"/>
      <c r="CO745" s="185">
        <f>-349--1101</f>
        <v>752</v>
      </c>
      <c r="CP745" s="11"/>
      <c r="CQ745" s="185">
        <f>-1974--1261</f>
        <v>-713</v>
      </c>
      <c r="CR745" s="11"/>
      <c r="CS745" s="185">
        <f>-1631--1244</f>
        <v>-387</v>
      </c>
      <c r="CT745" s="11"/>
      <c r="CU745" s="185">
        <f>-3232--1214</f>
        <v>-2018</v>
      </c>
      <c r="CV745" s="185"/>
      <c r="CW745" s="185">
        <f>-4067--1294</f>
        <v>-2773</v>
      </c>
      <c r="CX745" s="11"/>
      <c r="CY745" s="185">
        <f>-2808--1237</f>
        <v>-1571</v>
      </c>
      <c r="CZ745" s="11"/>
      <c r="DA745" s="185"/>
      <c r="DB745" s="11"/>
      <c r="DC745" s="185"/>
      <c r="DD745" s="11"/>
      <c r="DE745" s="185"/>
      <c r="DF745" s="11"/>
      <c r="DG745" s="185"/>
      <c r="DH745" s="11"/>
      <c r="DI745" s="185"/>
      <c r="DJ745" s="11"/>
      <c r="DK745" s="185"/>
      <c r="DL745" s="11"/>
      <c r="DM745" s="185"/>
      <c r="DN745" s="11"/>
      <c r="DO745" s="185"/>
      <c r="DP745" s="11"/>
      <c r="DQ745" s="185"/>
      <c r="DR745" s="11"/>
      <c r="DS745" s="185"/>
      <c r="DT745" s="11"/>
      <c r="DU745" s="185"/>
      <c r="DV745" s="11"/>
      <c r="DW745" s="9"/>
      <c r="DX745" s="11"/>
      <c r="DY745" s="9"/>
      <c r="DZ745" s="11"/>
      <c r="EA745" s="9"/>
      <c r="EB745" s="11"/>
      <c r="EC745" s="9"/>
      <c r="ED745" s="11"/>
      <c r="EE745" s="9"/>
      <c r="EF745" s="11"/>
      <c r="EG745" s="9"/>
      <c r="EH745" s="11"/>
      <c r="EI745" s="9"/>
      <c r="EJ745" s="11"/>
      <c r="EK745" s="9"/>
      <c r="EL745" s="11"/>
      <c r="EM745" s="9"/>
      <c r="EN745" s="11"/>
      <c r="EO745" s="9"/>
      <c r="EP745" s="11"/>
      <c r="EQ745" s="9"/>
      <c r="ER745" s="11"/>
      <c r="ES745" s="9"/>
      <c r="ET745" s="11"/>
      <c r="EU745" s="9"/>
      <c r="EV745" s="11"/>
      <c r="EW745" s="9"/>
      <c r="EX745" s="11"/>
      <c r="EY745" s="11"/>
      <c r="EZ745" s="296"/>
      <c r="FA745" s="11"/>
      <c r="FB745" s="9"/>
      <c r="FC745" s="11"/>
      <c r="FD745" s="9"/>
      <c r="FE745" s="11"/>
      <c r="FF745" s="16"/>
      <c r="FG745" s="11"/>
      <c r="FH745" s="16"/>
      <c r="FI745" s="11"/>
      <c r="FJ745" s="16"/>
      <c r="FK745" s="11"/>
      <c r="FL745" s="16"/>
      <c r="FM745" s="11"/>
      <c r="FN745" s="16"/>
      <c r="FO745" s="11"/>
      <c r="FP745" s="9"/>
      <c r="FQ745" s="11"/>
      <c r="FR745" s="9"/>
      <c r="FS745" s="11"/>
      <c r="FT745" s="9"/>
      <c r="FU745" s="11"/>
      <c r="FV745" s="9"/>
      <c r="FW745" s="11"/>
      <c r="FX745" s="9"/>
      <c r="FY745" s="11"/>
      <c r="FZ745" s="186"/>
      <c r="GA745" s="11"/>
      <c r="GB745" s="9"/>
      <c r="GC745" s="11"/>
      <c r="GD745" s="9"/>
      <c r="GE745" s="11"/>
      <c r="GF745" s="9"/>
      <c r="GG745" s="11"/>
      <c r="GH745" s="9"/>
      <c r="GI745" s="11"/>
      <c r="GJ745" s="9"/>
      <c r="GK745" s="11"/>
      <c r="GL745" s="9"/>
      <c r="GM745" s="11"/>
      <c r="GN745" s="9"/>
      <c r="GO745" s="11"/>
      <c r="GP745" s="9"/>
      <c r="GQ745" s="11"/>
      <c r="GR745" s="9"/>
      <c r="GS745" s="11"/>
      <c r="GT745" s="9"/>
      <c r="GU745" s="11"/>
      <c r="GV745" s="9"/>
      <c r="GW745" s="11"/>
      <c r="GX745" s="9"/>
      <c r="GY745" s="11"/>
      <c r="GZ745" s="11"/>
      <c r="HA745" s="11"/>
      <c r="HB745" s="11"/>
      <c r="HC745"/>
      <c r="HD745"/>
      <c r="HE745"/>
      <c r="HF745"/>
      <c r="HG745"/>
      <c r="HH745"/>
      <c r="HI745" s="2"/>
    </row>
    <row r="746" spans="2:217" s="3" customFormat="1" ht="12.75" hidden="1" customHeight="1" outlineLevel="1" x14ac:dyDescent="0.2">
      <c r="B746" s="18" t="s">
        <v>711</v>
      </c>
      <c r="C746" s="9"/>
      <c r="D746" s="11"/>
      <c r="E746" s="9"/>
      <c r="F746" s="11"/>
      <c r="G746" s="9"/>
      <c r="H746" s="11"/>
      <c r="I746" s="9"/>
      <c r="J746" s="11"/>
      <c r="K746" s="9"/>
      <c r="L746" s="11"/>
      <c r="M746" s="9"/>
      <c r="N746" s="11"/>
      <c r="O746" s="9"/>
      <c r="P746" s="11"/>
      <c r="Q746" s="9"/>
      <c r="R746" s="11"/>
      <c r="S746" s="9"/>
      <c r="T746" s="11"/>
      <c r="U746" s="9"/>
      <c r="V746" s="11"/>
      <c r="W746" s="9"/>
      <c r="X746" s="11"/>
      <c r="Y746" s="9"/>
      <c r="Z746" s="11"/>
      <c r="AA746" s="9"/>
      <c r="AB746" s="11"/>
      <c r="AC746" s="9"/>
      <c r="AD746" s="11"/>
      <c r="AE746" s="9"/>
      <c r="AF746" s="11"/>
      <c r="AG746" s="9"/>
      <c r="AH746" s="11"/>
      <c r="AI746" s="9"/>
      <c r="AJ746" s="11"/>
      <c r="AK746" s="9"/>
      <c r="AL746" s="11"/>
      <c r="AM746" s="9"/>
      <c r="AN746" s="11"/>
      <c r="AO746" s="9"/>
      <c r="AP746" s="11"/>
      <c r="AQ746" s="9"/>
      <c r="AR746" s="11"/>
      <c r="AS746" s="9"/>
      <c r="AT746" s="11"/>
      <c r="AU746" s="9"/>
      <c r="AV746" s="11"/>
      <c r="AW746" s="9"/>
      <c r="AX746" s="11"/>
      <c r="AY746" s="9"/>
      <c r="AZ746" s="11"/>
      <c r="BA746" s="9"/>
      <c r="BB746" s="11"/>
      <c r="BC746" s="9"/>
      <c r="BD746" s="11"/>
      <c r="BE746" s="9"/>
      <c r="BF746" s="11"/>
      <c r="BG746" s="9"/>
      <c r="BH746" s="11"/>
      <c r="BI746" s="9"/>
      <c r="BJ746" s="11"/>
      <c r="BK746" s="9"/>
      <c r="BL746" s="11"/>
      <c r="BM746" s="9"/>
      <c r="BN746" s="11"/>
      <c r="BO746" s="9"/>
      <c r="BP746" s="11"/>
      <c r="BQ746" s="9"/>
      <c r="BR746" s="11"/>
      <c r="BS746" s="9"/>
      <c r="BT746" s="11"/>
      <c r="BU746" s="9"/>
      <c r="BV746" s="11"/>
      <c r="BW746" s="9"/>
      <c r="BX746" s="11"/>
      <c r="BY746" s="9"/>
      <c r="BZ746" s="11"/>
      <c r="CA746" s="9"/>
      <c r="CB746" s="11"/>
      <c r="CC746" s="9"/>
      <c r="CD746" s="11"/>
      <c r="CE746" s="186">
        <f>CE742+CE743+CE744+CE745</f>
        <v>25318</v>
      </c>
      <c r="CF746" s="11"/>
      <c r="CG746" s="186">
        <f>CG742+CG743+CG744+CG745</f>
        <v>26193</v>
      </c>
      <c r="CH746" s="11"/>
      <c r="CI746" s="186">
        <f>CI742+CI743+CI744+CI745</f>
        <v>27418</v>
      </c>
      <c r="CJ746" s="11"/>
      <c r="CK746" s="186">
        <f>CK742+CK743+CK744+CK745</f>
        <v>28100</v>
      </c>
      <c r="CL746" s="11"/>
      <c r="CM746" s="186">
        <f>CM742+CM743+CM744+CM745</f>
        <v>28785</v>
      </c>
      <c r="CN746" s="11"/>
      <c r="CO746" s="186">
        <f>CO742+CO743+CO744+CO745</f>
        <v>29683</v>
      </c>
      <c r="CP746" s="11"/>
      <c r="CQ746" s="186">
        <f>CQ742+CQ743+CQ744+CQ745</f>
        <v>30490</v>
      </c>
      <c r="CR746" s="11"/>
      <c r="CS746" s="186">
        <f>CS742+CS743+CS744+CS745</f>
        <v>27567</v>
      </c>
      <c r="CT746" s="11"/>
      <c r="CU746" s="186">
        <f>CU742+CU743+CU744+CU745</f>
        <v>26436</v>
      </c>
      <c r="CV746" s="11"/>
      <c r="CW746" s="186">
        <f>CW742+CW743+CW744+CW745</f>
        <v>28460</v>
      </c>
      <c r="CX746" s="11"/>
      <c r="CY746" s="186">
        <f>CY742+CY743+CY744+CY745</f>
        <v>27715</v>
      </c>
      <c r="CZ746" s="11"/>
      <c r="DA746" s="186"/>
      <c r="DB746" s="186"/>
      <c r="DC746" s="186"/>
      <c r="DD746" s="11"/>
      <c r="DE746" s="186"/>
      <c r="DF746" s="11"/>
      <c r="DG746" s="186"/>
      <c r="DH746" s="11"/>
      <c r="DI746" s="186"/>
      <c r="DJ746" s="11"/>
      <c r="DK746" s="186"/>
      <c r="DL746" s="11"/>
      <c r="DM746" s="186"/>
      <c r="DN746" s="11"/>
      <c r="DO746" s="186"/>
      <c r="DP746" s="11"/>
      <c r="DQ746" s="186"/>
      <c r="DR746" s="11"/>
      <c r="DS746" s="186"/>
      <c r="DT746" s="11"/>
      <c r="DU746" s="186"/>
      <c r="DV746" s="11"/>
      <c r="DW746" s="186"/>
      <c r="DX746" s="11"/>
      <c r="DY746" s="186"/>
      <c r="DZ746" s="11"/>
      <c r="EA746" s="186"/>
      <c r="EB746" s="11"/>
      <c r="EC746" s="186"/>
      <c r="ED746" s="11"/>
      <c r="EE746" s="186"/>
      <c r="EF746" s="11"/>
      <c r="EG746" s="186"/>
      <c r="EH746" s="11"/>
      <c r="EI746" s="186"/>
      <c r="EJ746" s="11"/>
      <c r="EK746" s="186"/>
      <c r="EL746" s="11"/>
      <c r="EM746" s="186"/>
      <c r="EN746" s="11"/>
      <c r="EO746" s="186"/>
      <c r="EP746" s="11"/>
      <c r="EQ746" s="186"/>
      <c r="ER746" s="11"/>
      <c r="ES746" s="186"/>
      <c r="ET746" s="11"/>
      <c r="EU746" s="186"/>
      <c r="EV746" s="11"/>
      <c r="EW746" s="186"/>
      <c r="EX746" s="11"/>
      <c r="EY746" s="11"/>
      <c r="EZ746" s="296"/>
      <c r="FA746" s="11"/>
      <c r="FB746" s="9"/>
      <c r="FC746" s="11"/>
      <c r="FD746" s="9"/>
      <c r="FE746" s="11"/>
      <c r="FF746" s="16"/>
      <c r="FG746" s="11"/>
      <c r="FH746" s="16"/>
      <c r="FI746" s="11"/>
      <c r="FJ746" s="16"/>
      <c r="FK746" s="11"/>
      <c r="FL746" s="16"/>
      <c r="FM746" s="11"/>
      <c r="FN746" s="16"/>
      <c r="FO746" s="11"/>
      <c r="FP746" s="9"/>
      <c r="FQ746" s="11"/>
      <c r="FR746" s="9"/>
      <c r="FS746" s="11"/>
      <c r="FT746" s="9"/>
      <c r="FU746" s="11"/>
      <c r="FV746" s="9"/>
      <c r="FW746" s="11"/>
      <c r="FX746" s="9"/>
      <c r="FY746" s="11"/>
      <c r="FZ746" s="186"/>
      <c r="GA746" s="11"/>
      <c r="GB746" s="186"/>
      <c r="GC746" s="11"/>
      <c r="GD746" s="186"/>
      <c r="GE746" s="11"/>
      <c r="GF746" s="9"/>
      <c r="GG746" s="11"/>
      <c r="GH746" s="9"/>
      <c r="GI746" s="11"/>
      <c r="GJ746" s="9"/>
      <c r="GK746" s="11"/>
      <c r="GL746" s="9"/>
      <c r="GM746" s="11"/>
      <c r="GN746" s="9"/>
      <c r="GO746" s="11"/>
      <c r="GP746" s="9"/>
      <c r="GQ746" s="11"/>
      <c r="GR746" s="9"/>
      <c r="GS746" s="11"/>
      <c r="GT746" s="9"/>
      <c r="GU746" s="11"/>
      <c r="GV746" s="9"/>
      <c r="GW746" s="11"/>
      <c r="GX746" s="9"/>
      <c r="GY746" s="11"/>
      <c r="GZ746" s="11"/>
      <c r="HA746" s="11"/>
      <c r="HB746" s="11"/>
      <c r="HC746"/>
      <c r="HD746"/>
      <c r="HE746"/>
      <c r="HF746"/>
      <c r="HG746"/>
      <c r="HH746"/>
      <c r="HI746" s="2"/>
    </row>
    <row r="747" spans="2:217" s="3" customFormat="1" ht="12.75" hidden="1" customHeight="1" outlineLevel="1" x14ac:dyDescent="0.2">
      <c r="B747" s="18" t="s">
        <v>381</v>
      </c>
      <c r="C747" s="9"/>
      <c r="D747" s="11"/>
      <c r="E747" s="9"/>
      <c r="F747" s="11"/>
      <c r="G747" s="9"/>
      <c r="H747" s="11"/>
      <c r="I747" s="9"/>
      <c r="J747" s="11"/>
      <c r="K747" s="9"/>
      <c r="L747" s="11"/>
      <c r="M747" s="9"/>
      <c r="N747" s="11"/>
      <c r="O747" s="9"/>
      <c r="P747" s="11"/>
      <c r="Q747" s="9"/>
      <c r="R747" s="11"/>
      <c r="S747" s="9"/>
      <c r="T747" s="11"/>
      <c r="U747" s="9"/>
      <c r="V747" s="11"/>
      <c r="W747" s="9"/>
      <c r="X747" s="11"/>
      <c r="Y747" s="9"/>
      <c r="Z747" s="11"/>
      <c r="AA747" s="9"/>
      <c r="AB747" s="11"/>
      <c r="AC747" s="9"/>
      <c r="AD747" s="11"/>
      <c r="AE747" s="9"/>
      <c r="AF747" s="11"/>
      <c r="AG747" s="9"/>
      <c r="AH747" s="11"/>
      <c r="AI747" s="9"/>
      <c r="AJ747" s="11"/>
      <c r="AK747" s="9"/>
      <c r="AL747" s="11"/>
      <c r="AM747" s="9"/>
      <c r="AN747" s="11"/>
      <c r="AO747" s="9"/>
      <c r="AP747" s="11"/>
      <c r="AQ747" s="9"/>
      <c r="AR747" s="11"/>
      <c r="AS747" s="9"/>
      <c r="AT747" s="11"/>
      <c r="AU747" s="9"/>
      <c r="AV747" s="11"/>
      <c r="AW747" s="9"/>
      <c r="AX747" s="11"/>
      <c r="AY747" s="9"/>
      <c r="AZ747" s="11"/>
      <c r="BA747" s="9"/>
      <c r="BB747" s="11"/>
      <c r="BC747" s="9"/>
      <c r="BD747" s="11"/>
      <c r="BE747" s="9"/>
      <c r="BF747" s="11"/>
      <c r="BG747" s="9"/>
      <c r="BH747" s="11"/>
      <c r="BI747" s="9"/>
      <c r="BJ747" s="11"/>
      <c r="BK747" s="9"/>
      <c r="BL747" s="11"/>
      <c r="BM747" s="9"/>
      <c r="BN747" s="11"/>
      <c r="BO747" s="9"/>
      <c r="BP747" s="11"/>
      <c r="BQ747" s="9"/>
      <c r="BR747" s="11"/>
      <c r="BS747" s="9"/>
      <c r="BT747" s="11"/>
      <c r="BU747" s="9"/>
      <c r="BV747" s="11"/>
      <c r="BW747" s="9"/>
      <c r="BX747" s="11"/>
      <c r="BY747" s="9"/>
      <c r="BZ747" s="11"/>
      <c r="CA747" s="9"/>
      <c r="CB747" s="11"/>
      <c r="CC747" s="9"/>
      <c r="CD747" s="11"/>
      <c r="CE747" s="186">
        <f>CE679</f>
        <v>23839.5</v>
      </c>
      <c r="CF747" s="11"/>
      <c r="CG747" s="186">
        <f>CG679</f>
        <v>23403.5</v>
      </c>
      <c r="CH747" s="11"/>
      <c r="CI747" s="186">
        <f>CI679</f>
        <v>24423.5</v>
      </c>
      <c r="CJ747" s="11"/>
      <c r="CK747" s="186">
        <f>CK679</f>
        <v>25281</v>
      </c>
      <c r="CL747" s="11"/>
      <c r="CM747" s="186">
        <f>CM679</f>
        <v>25888.5</v>
      </c>
      <c r="CN747" s="11"/>
      <c r="CO747" s="186">
        <f>CO679</f>
        <v>26629</v>
      </c>
      <c r="CP747" s="11"/>
      <c r="CQ747" s="186">
        <f>CQ679</f>
        <v>27484</v>
      </c>
      <c r="CR747" s="11"/>
      <c r="CS747" s="186">
        <f>CS679</f>
        <v>27828</v>
      </c>
      <c r="CT747" s="11"/>
      <c r="CU747" s="186">
        <f>CU679</f>
        <v>27188.5</v>
      </c>
      <c r="CV747" s="11"/>
      <c r="CW747" s="186">
        <f>CW679</f>
        <v>27662</v>
      </c>
      <c r="CX747" s="11"/>
      <c r="CY747" s="186">
        <f>CY679</f>
        <v>28331.5</v>
      </c>
      <c r="CZ747" s="11"/>
      <c r="DA747" s="186"/>
      <c r="DB747" s="11"/>
      <c r="DC747" s="186"/>
      <c r="DD747" s="11"/>
      <c r="DE747" s="186"/>
      <c r="DF747" s="11"/>
      <c r="DG747" s="186"/>
      <c r="DH747" s="11"/>
      <c r="DI747" s="186"/>
      <c r="DJ747" s="11"/>
      <c r="DK747" s="186"/>
      <c r="DL747" s="11"/>
      <c r="DM747" s="186"/>
      <c r="DN747" s="11"/>
      <c r="DO747" s="186"/>
      <c r="DP747" s="11"/>
      <c r="DQ747" s="186"/>
      <c r="DR747" s="11"/>
      <c r="DS747" s="186"/>
      <c r="DT747" s="11"/>
      <c r="DU747" s="186"/>
      <c r="DV747" s="11"/>
      <c r="DW747" s="9"/>
      <c r="DX747" s="11"/>
      <c r="DY747" s="9"/>
      <c r="DZ747" s="11"/>
      <c r="EA747" s="9"/>
      <c r="EB747" s="11"/>
      <c r="EC747" s="9"/>
      <c r="ED747" s="11"/>
      <c r="EE747" s="9"/>
      <c r="EF747" s="11"/>
      <c r="EG747" s="9"/>
      <c r="EH747" s="11"/>
      <c r="EI747" s="9"/>
      <c r="EJ747" s="11"/>
      <c r="EK747" s="9"/>
      <c r="EL747" s="11"/>
      <c r="EM747" s="9"/>
      <c r="EN747" s="11"/>
      <c r="EO747" s="9"/>
      <c r="EP747" s="11"/>
      <c r="EQ747" s="9"/>
      <c r="ER747" s="11"/>
      <c r="ES747" s="9"/>
      <c r="ET747" s="11"/>
      <c r="EU747" s="9"/>
      <c r="EV747" s="11"/>
      <c r="EW747" s="9"/>
      <c r="EX747" s="11"/>
      <c r="EY747" s="11"/>
      <c r="EZ747" s="296"/>
      <c r="FA747" s="11"/>
      <c r="FB747" s="9"/>
      <c r="FC747" s="11"/>
      <c r="FD747" s="9"/>
      <c r="FE747" s="11"/>
      <c r="FF747" s="16"/>
      <c r="FG747" s="11"/>
      <c r="FH747" s="16"/>
      <c r="FI747" s="11"/>
      <c r="FJ747" s="16"/>
      <c r="FK747" s="11"/>
      <c r="FL747" s="16"/>
      <c r="FM747" s="11"/>
      <c r="FN747" s="16"/>
      <c r="FO747" s="11"/>
      <c r="FP747" s="9"/>
      <c r="FQ747" s="11"/>
      <c r="FR747" s="9"/>
      <c r="FS747" s="11"/>
      <c r="FT747" s="9"/>
      <c r="FU747" s="11"/>
      <c r="FV747" s="9"/>
      <c r="FW747" s="11"/>
      <c r="FX747" s="9"/>
      <c r="FY747" s="11"/>
      <c r="FZ747" s="9"/>
      <c r="GA747" s="11"/>
      <c r="GB747" s="9"/>
      <c r="GC747" s="11"/>
      <c r="GD747" s="9"/>
      <c r="GE747" s="11"/>
      <c r="GF747" s="9"/>
      <c r="GG747" s="11"/>
      <c r="GH747" s="9"/>
      <c r="GI747" s="11"/>
      <c r="GJ747" s="9"/>
      <c r="GK747" s="11"/>
      <c r="GL747" s="9"/>
      <c r="GM747" s="11"/>
      <c r="GN747" s="9"/>
      <c r="GO747" s="11"/>
      <c r="GP747" s="9"/>
      <c r="GQ747" s="11"/>
      <c r="GR747" s="9"/>
      <c r="GS747" s="11"/>
      <c r="GT747" s="9"/>
      <c r="GU747" s="11"/>
      <c r="GV747" s="9"/>
      <c r="GW747" s="11"/>
      <c r="GX747" s="9"/>
      <c r="GY747" s="11"/>
      <c r="GZ747" s="11"/>
      <c r="HA747" s="11"/>
      <c r="HB747" s="11"/>
      <c r="HC747"/>
      <c r="HD747"/>
      <c r="HE747"/>
      <c r="HF747"/>
      <c r="HG747"/>
      <c r="HH747"/>
      <c r="HI747" s="2"/>
    </row>
    <row r="748" spans="2:217" s="3" customFormat="1" ht="12.75" hidden="1" customHeight="1" outlineLevel="1" x14ac:dyDescent="0.2">
      <c r="B748" s="10"/>
      <c r="C748" s="9"/>
      <c r="D748" s="11"/>
      <c r="E748" s="9"/>
      <c r="F748" s="11"/>
      <c r="G748" s="9"/>
      <c r="H748" s="11"/>
      <c r="I748" s="9"/>
      <c r="J748" s="11"/>
      <c r="K748" s="9"/>
      <c r="L748" s="11"/>
      <c r="M748" s="9"/>
      <c r="N748" s="11"/>
      <c r="O748" s="9"/>
      <c r="P748" s="11"/>
      <c r="Q748" s="9"/>
      <c r="R748" s="11"/>
      <c r="S748" s="9"/>
      <c r="T748" s="11"/>
      <c r="U748" s="9"/>
      <c r="V748" s="11"/>
      <c r="W748" s="9"/>
      <c r="X748" s="11"/>
      <c r="Y748" s="9"/>
      <c r="Z748" s="11"/>
      <c r="AA748" s="9"/>
      <c r="AB748" s="11"/>
      <c r="AC748" s="9"/>
      <c r="AD748" s="11"/>
      <c r="AE748" s="9"/>
      <c r="AF748" s="11"/>
      <c r="AG748" s="9"/>
      <c r="AH748" s="11"/>
      <c r="AI748" s="9"/>
      <c r="AJ748" s="11"/>
      <c r="AK748" s="9"/>
      <c r="AL748" s="11"/>
      <c r="AM748" s="9"/>
      <c r="AN748" s="11"/>
      <c r="AO748" s="9"/>
      <c r="AP748" s="11"/>
      <c r="AQ748" s="9"/>
      <c r="AR748" s="11"/>
      <c r="AS748" s="9"/>
      <c r="AT748" s="11"/>
      <c r="AU748" s="9"/>
      <c r="AV748" s="11"/>
      <c r="AW748" s="9"/>
      <c r="AX748" s="11"/>
      <c r="AY748" s="9"/>
      <c r="AZ748" s="11"/>
      <c r="BA748" s="9"/>
      <c r="BB748" s="11"/>
      <c r="BC748" s="9"/>
      <c r="BD748" s="11"/>
      <c r="BE748" s="9"/>
      <c r="BF748" s="11"/>
      <c r="BG748" s="9"/>
      <c r="BH748" s="11"/>
      <c r="BI748" s="9"/>
      <c r="BJ748" s="11"/>
      <c r="BK748" s="9"/>
      <c r="BL748" s="11"/>
      <c r="BM748" s="9"/>
      <c r="BN748" s="11"/>
      <c r="BO748" s="9"/>
      <c r="BP748" s="11"/>
      <c r="BQ748" s="9"/>
      <c r="BR748" s="11"/>
      <c r="BS748" s="9"/>
      <c r="BT748" s="11"/>
      <c r="BU748" s="9"/>
      <c r="BV748" s="11"/>
      <c r="BW748" s="9"/>
      <c r="BX748" s="11"/>
      <c r="BY748" s="9"/>
      <c r="BZ748" s="11"/>
      <c r="CA748" s="9"/>
      <c r="CB748" s="11"/>
      <c r="CC748" s="9"/>
      <c r="CD748" s="11"/>
      <c r="CE748" s="9"/>
      <c r="CF748" s="11"/>
      <c r="CG748" s="9"/>
      <c r="CH748" s="11"/>
      <c r="CI748" s="9"/>
      <c r="CJ748" s="11"/>
      <c r="CK748" s="9"/>
      <c r="CL748" s="11"/>
      <c r="CM748" s="9"/>
      <c r="CN748" s="11"/>
      <c r="CO748" s="9"/>
      <c r="CP748" s="11"/>
      <c r="CQ748" s="9"/>
      <c r="CR748" s="11"/>
      <c r="CS748" s="9"/>
      <c r="CT748" s="11"/>
      <c r="CU748" s="9"/>
      <c r="CV748" s="11"/>
      <c r="CW748" s="9"/>
      <c r="CX748" s="11"/>
      <c r="CY748" s="9"/>
      <c r="CZ748" s="11"/>
      <c r="DA748" s="9"/>
      <c r="DB748" s="11"/>
      <c r="DC748" s="9"/>
      <c r="DD748" s="11"/>
      <c r="DE748" s="9"/>
      <c r="DF748" s="11"/>
      <c r="DG748" s="9"/>
      <c r="DH748" s="11"/>
      <c r="DI748" s="9"/>
      <c r="DJ748" s="11"/>
      <c r="DK748" s="9"/>
      <c r="DL748" s="11"/>
      <c r="DM748" s="9"/>
      <c r="DN748" s="11"/>
      <c r="DO748" s="9"/>
      <c r="DP748" s="11"/>
      <c r="DQ748" s="9"/>
      <c r="DR748" s="11"/>
      <c r="DS748" s="9"/>
      <c r="DT748" s="11"/>
      <c r="DU748" s="9"/>
      <c r="DV748" s="11"/>
      <c r="DW748" s="9"/>
      <c r="DX748" s="11"/>
      <c r="DY748" s="9"/>
      <c r="DZ748" s="11"/>
      <c r="EA748" s="9"/>
      <c r="EB748" s="11"/>
      <c r="EC748" s="9"/>
      <c r="ED748" s="11"/>
      <c r="EE748" s="9"/>
      <c r="EF748" s="11"/>
      <c r="EG748" s="9"/>
      <c r="EH748" s="11"/>
      <c r="EI748" s="9"/>
      <c r="EJ748" s="11"/>
      <c r="EK748" s="9"/>
      <c r="EL748" s="11"/>
      <c r="EM748" s="9"/>
      <c r="EN748" s="11"/>
      <c r="EO748" s="9"/>
      <c r="EP748" s="11"/>
      <c r="EQ748" s="9"/>
      <c r="ER748" s="11"/>
      <c r="ES748" s="9"/>
      <c r="ET748" s="11"/>
      <c r="EU748" s="9"/>
      <c r="EV748" s="11"/>
      <c r="EW748" s="9"/>
      <c r="EX748" s="11"/>
      <c r="EY748" s="11"/>
      <c r="EZ748" s="296"/>
      <c r="FA748" s="11"/>
      <c r="FB748" s="9"/>
      <c r="FC748" s="11"/>
      <c r="FD748" s="9"/>
      <c r="FE748" s="11"/>
      <c r="FF748" s="16"/>
      <c r="FG748" s="11"/>
      <c r="FH748" s="16"/>
      <c r="FI748" s="11"/>
      <c r="FJ748" s="16"/>
      <c r="FK748" s="11"/>
      <c r="FL748" s="16"/>
      <c r="FM748" s="11"/>
      <c r="FN748" s="16"/>
      <c r="FO748" s="11"/>
      <c r="FP748" s="9"/>
      <c r="FQ748" s="11"/>
      <c r="FR748" s="9"/>
      <c r="FS748" s="11"/>
      <c r="FT748" s="9"/>
      <c r="FU748" s="11"/>
      <c r="FV748" s="9"/>
      <c r="FW748" s="11"/>
      <c r="FX748" s="9"/>
      <c r="FY748" s="11"/>
      <c r="FZ748" s="9"/>
      <c r="GA748" s="11"/>
      <c r="GB748" s="9"/>
      <c r="GC748" s="11"/>
      <c r="GD748" s="9"/>
      <c r="GE748" s="11"/>
      <c r="GF748" s="9"/>
      <c r="GG748" s="11"/>
      <c r="GH748" s="9"/>
      <c r="GI748" s="11"/>
      <c r="GJ748" s="9"/>
      <c r="GK748" s="11"/>
      <c r="GL748" s="9"/>
      <c r="GM748" s="11"/>
      <c r="GN748" s="9"/>
      <c r="GO748" s="11"/>
      <c r="GP748" s="9"/>
      <c r="GQ748" s="11"/>
      <c r="GR748" s="9"/>
      <c r="GS748" s="11"/>
      <c r="GT748" s="9"/>
      <c r="GU748" s="11"/>
      <c r="GV748" s="9"/>
      <c r="GW748" s="11"/>
      <c r="GX748" s="9"/>
      <c r="GY748" s="11"/>
      <c r="GZ748" s="11"/>
      <c r="HA748" s="11"/>
      <c r="HB748" s="11"/>
      <c r="HC748"/>
      <c r="HD748"/>
      <c r="HE748"/>
      <c r="HF748"/>
      <c r="HG748"/>
      <c r="HH748"/>
      <c r="HI748" s="2"/>
    </row>
    <row r="749" spans="2:217" s="3" customFormat="1" ht="12.75" hidden="1" customHeight="1" outlineLevel="1" x14ac:dyDescent="0.2">
      <c r="B749" s="89" t="s">
        <v>43</v>
      </c>
      <c r="C749" s="9"/>
      <c r="D749" s="11"/>
      <c r="E749" s="9"/>
      <c r="F749" s="11"/>
      <c r="G749" s="9"/>
      <c r="H749" s="11"/>
      <c r="I749" s="9"/>
      <c r="J749" s="11"/>
      <c r="K749" s="9"/>
      <c r="L749" s="11"/>
      <c r="M749" s="9"/>
      <c r="N749" s="11"/>
      <c r="O749" s="9"/>
      <c r="P749" s="11"/>
      <c r="Q749" s="9"/>
      <c r="R749" s="11"/>
      <c r="S749" s="9"/>
      <c r="T749" s="11"/>
      <c r="U749" s="9"/>
      <c r="V749" s="11"/>
      <c r="W749" s="9"/>
      <c r="X749" s="11"/>
      <c r="Y749" s="9"/>
      <c r="Z749" s="11"/>
      <c r="AA749" s="9"/>
      <c r="AB749" s="11"/>
      <c r="AC749" s="9"/>
      <c r="AD749" s="11"/>
      <c r="AE749" s="9"/>
      <c r="AF749" s="11"/>
      <c r="AG749" s="9"/>
      <c r="AH749" s="11"/>
      <c r="AI749" s="9"/>
      <c r="AJ749" s="11"/>
      <c r="AK749" s="9"/>
      <c r="AL749" s="11"/>
      <c r="AM749" s="9"/>
      <c r="AN749" s="11"/>
      <c r="AO749" s="9"/>
      <c r="AP749" s="11"/>
      <c r="AQ749" s="9"/>
      <c r="AR749" s="11"/>
      <c r="AS749" s="9"/>
      <c r="AT749" s="11"/>
      <c r="AU749" s="9"/>
      <c r="AV749" s="11"/>
      <c r="AW749" s="9"/>
      <c r="AX749" s="11"/>
      <c r="AY749" s="9"/>
      <c r="AZ749" s="11"/>
      <c r="BA749" s="9"/>
      <c r="BB749" s="11"/>
      <c r="BC749" s="9"/>
      <c r="BD749" s="11"/>
      <c r="BE749" s="9"/>
      <c r="BF749" s="11"/>
      <c r="BG749" s="9"/>
      <c r="BH749" s="11"/>
      <c r="BI749" s="9"/>
      <c r="BJ749" s="11"/>
      <c r="BK749" s="9"/>
      <c r="BL749" s="11"/>
      <c r="BM749" s="9"/>
      <c r="BN749" s="11"/>
      <c r="BO749" s="9"/>
      <c r="BP749" s="11"/>
      <c r="BQ749" s="9"/>
      <c r="BR749" s="11"/>
      <c r="BS749" s="9"/>
      <c r="BT749" s="11"/>
      <c r="BU749" s="9"/>
      <c r="BV749" s="11"/>
      <c r="BW749" s="9"/>
      <c r="BX749" s="11"/>
      <c r="BY749" s="9"/>
      <c r="BZ749" s="11"/>
      <c r="CA749" s="9"/>
      <c r="CB749" s="11"/>
      <c r="CC749" s="9"/>
      <c r="CD749" s="11"/>
      <c r="CE749" s="9"/>
      <c r="CF749" s="11"/>
      <c r="CG749" s="9"/>
      <c r="CH749" s="11"/>
      <c r="CI749" s="9"/>
      <c r="CJ749" s="11"/>
      <c r="CK749" s="9"/>
      <c r="CL749" s="11"/>
      <c r="CM749" s="9"/>
      <c r="CN749" s="11"/>
      <c r="CO749" s="9"/>
      <c r="CP749" s="11"/>
      <c r="CQ749" s="9"/>
      <c r="CR749" s="11"/>
      <c r="CS749" s="9"/>
      <c r="CT749" s="11"/>
      <c r="CU749" s="9"/>
      <c r="CV749" s="11"/>
      <c r="CW749" s="9"/>
      <c r="CX749" s="11"/>
      <c r="CY749" s="9"/>
      <c r="CZ749" s="11"/>
      <c r="DA749" s="9"/>
      <c r="DB749" s="11"/>
      <c r="DC749" s="9"/>
      <c r="DD749" s="11"/>
      <c r="DE749" s="9"/>
      <c r="DF749" s="11"/>
      <c r="DG749" s="9"/>
      <c r="DH749" s="11"/>
      <c r="DI749" s="9"/>
      <c r="DJ749" s="11"/>
      <c r="DK749" s="9"/>
      <c r="DL749" s="11"/>
      <c r="DM749" s="9"/>
      <c r="DN749" s="11"/>
      <c r="DO749" s="9"/>
      <c r="DP749" s="11"/>
      <c r="DQ749" s="9"/>
      <c r="DR749" s="11"/>
      <c r="DS749" s="9"/>
      <c r="DT749" s="11"/>
      <c r="DU749" s="9"/>
      <c r="DV749" s="11"/>
      <c r="DW749" s="9"/>
      <c r="DX749" s="11"/>
      <c r="DY749" s="9"/>
      <c r="DZ749" s="11"/>
      <c r="EA749" s="9"/>
      <c r="EB749" s="11"/>
      <c r="EC749" s="9"/>
      <c r="ED749" s="11"/>
      <c r="EE749" s="9"/>
      <c r="EF749" s="11"/>
      <c r="EG749" s="9"/>
      <c r="EH749" s="11"/>
      <c r="EI749" s="9"/>
      <c r="EJ749" s="11"/>
      <c r="EK749" s="9"/>
      <c r="EL749" s="11"/>
      <c r="EM749" s="9"/>
      <c r="EN749" s="11"/>
      <c r="EO749" s="9"/>
      <c r="EP749" s="11"/>
      <c r="EQ749" s="9"/>
      <c r="ER749" s="11"/>
      <c r="ES749" s="9"/>
      <c r="ET749" s="11"/>
      <c r="EU749" s="9"/>
      <c r="EV749" s="11"/>
      <c r="EW749" s="9"/>
      <c r="EX749" s="11"/>
      <c r="EY749" s="11"/>
      <c r="EZ749" s="296"/>
      <c r="FA749" s="11"/>
      <c r="FB749" s="9"/>
      <c r="FC749" s="11"/>
      <c r="FD749" s="9"/>
      <c r="FE749" s="11"/>
      <c r="FF749" s="16"/>
      <c r="FG749" s="11"/>
      <c r="FH749" s="16"/>
      <c r="FI749" s="11"/>
      <c r="FJ749" s="16"/>
      <c r="FK749" s="11"/>
      <c r="FL749" s="16"/>
      <c r="FM749" s="11"/>
      <c r="FN749" s="16"/>
      <c r="FO749" s="11"/>
      <c r="FP749" s="9"/>
      <c r="FQ749" s="11"/>
      <c r="FR749" s="9"/>
      <c r="FS749" s="11"/>
      <c r="FT749" s="9"/>
      <c r="FU749" s="11"/>
      <c r="FV749" s="9"/>
      <c r="FW749" s="11"/>
      <c r="FX749" s="9"/>
      <c r="FY749" s="11"/>
      <c r="FZ749" s="9"/>
      <c r="GA749" s="11"/>
      <c r="GB749" s="9"/>
      <c r="GC749" s="11"/>
      <c r="GD749" s="9"/>
      <c r="GE749" s="11"/>
      <c r="GF749" s="9"/>
      <c r="GG749" s="11"/>
      <c r="GH749" s="9"/>
      <c r="GI749" s="11"/>
      <c r="GJ749" s="9"/>
      <c r="GK749" s="11"/>
      <c r="GL749" s="9"/>
      <c r="GM749" s="11"/>
      <c r="GN749" s="9"/>
      <c r="GO749" s="11"/>
      <c r="GP749" s="9"/>
      <c r="GQ749" s="11"/>
      <c r="GR749" s="9"/>
      <c r="GS749" s="11"/>
      <c r="GT749" s="9"/>
      <c r="GU749" s="11"/>
      <c r="GV749" s="9"/>
      <c r="GW749" s="11"/>
      <c r="GX749" s="9"/>
      <c r="GY749" s="11"/>
      <c r="GZ749" s="11"/>
      <c r="HA749" s="11"/>
      <c r="HB749" s="11"/>
      <c r="HC749"/>
      <c r="HD749"/>
      <c r="HE749"/>
      <c r="HF749"/>
      <c r="HG749"/>
      <c r="HH749"/>
      <c r="HI749" s="2"/>
    </row>
    <row r="750" spans="2:217" s="3" customFormat="1" ht="12.75" hidden="1" customHeight="1" outlineLevel="1" x14ac:dyDescent="0.2">
      <c r="B750" s="268" t="s">
        <v>686</v>
      </c>
      <c r="C750" s="9"/>
      <c r="D750" s="11"/>
      <c r="E750" s="9"/>
      <c r="F750" s="11"/>
      <c r="G750" s="9"/>
      <c r="H750" s="11"/>
      <c r="I750" s="9"/>
      <c r="J750" s="11"/>
      <c r="K750" s="9"/>
      <c r="L750" s="11"/>
      <c r="M750" s="9"/>
      <c r="N750" s="11"/>
      <c r="O750" s="9"/>
      <c r="P750" s="11"/>
      <c r="Q750" s="9"/>
      <c r="R750" s="11"/>
      <c r="S750" s="9"/>
      <c r="T750" s="11"/>
      <c r="U750" s="9"/>
      <c r="V750" s="11"/>
      <c r="W750" s="9"/>
      <c r="X750" s="11"/>
      <c r="Y750" s="9"/>
      <c r="Z750" s="11"/>
      <c r="AA750" s="9"/>
      <c r="AB750" s="11"/>
      <c r="AC750" s="9"/>
      <c r="AD750" s="11"/>
      <c r="AE750" s="9"/>
      <c r="AF750" s="11"/>
      <c r="AG750" s="9"/>
      <c r="AH750" s="11"/>
      <c r="AI750" s="9"/>
      <c r="AJ750" s="11"/>
      <c r="AK750" s="9"/>
      <c r="AL750" s="11"/>
      <c r="AM750" s="9"/>
      <c r="AN750" s="11"/>
      <c r="AO750" s="9"/>
      <c r="AP750" s="11"/>
      <c r="AQ750" s="9"/>
      <c r="AR750" s="11"/>
      <c r="AS750" s="9"/>
      <c r="AT750" s="11"/>
      <c r="AU750" s="9"/>
      <c r="AV750" s="11"/>
      <c r="AW750" s="9"/>
      <c r="AX750" s="11"/>
      <c r="AY750" s="9"/>
      <c r="AZ750" s="11"/>
      <c r="BA750" s="9"/>
      <c r="BB750" s="11"/>
      <c r="BC750" s="9"/>
      <c r="BD750" s="11"/>
      <c r="BE750" s="9"/>
      <c r="BF750" s="11"/>
      <c r="BG750" s="9"/>
      <c r="BH750" s="11"/>
      <c r="BI750" s="9"/>
      <c r="BJ750" s="11"/>
      <c r="BK750" s="9"/>
      <c r="BL750" s="11"/>
      <c r="BM750" s="9"/>
      <c r="BN750" s="11"/>
      <c r="BO750" s="9"/>
      <c r="BP750" s="11"/>
      <c r="BQ750" s="9"/>
      <c r="BR750" s="11"/>
      <c r="BS750" s="9"/>
      <c r="BT750" s="11"/>
      <c r="BU750" s="9"/>
      <c r="BV750" s="11"/>
      <c r="BW750" s="9"/>
      <c r="BX750" s="11"/>
      <c r="BY750" s="9"/>
      <c r="BZ750" s="11"/>
      <c r="CA750" s="9"/>
      <c r="CB750" s="11"/>
      <c r="CC750" s="9"/>
      <c r="CD750" s="11"/>
      <c r="CE750" s="9"/>
      <c r="CF750" s="11"/>
      <c r="CG750" s="9"/>
      <c r="CH750" s="11"/>
      <c r="CI750" s="9"/>
      <c r="CJ750" s="11"/>
      <c r="CK750" s="9"/>
      <c r="CL750" s="11"/>
      <c r="CM750" s="9"/>
      <c r="CN750" s="11"/>
      <c r="CO750" s="9"/>
      <c r="CP750" s="11"/>
      <c r="CQ750" s="9"/>
      <c r="CR750" s="11"/>
      <c r="CS750" s="9"/>
      <c r="CT750" s="11"/>
      <c r="CU750" s="9"/>
      <c r="CV750" s="11"/>
      <c r="CW750" s="9"/>
      <c r="CX750" s="11"/>
      <c r="CY750" s="280"/>
      <c r="CZ750" s="11"/>
      <c r="DA750" s="280"/>
      <c r="DB750" s="11"/>
      <c r="DC750" s="280"/>
      <c r="DD750" s="11"/>
      <c r="DE750" s="280"/>
      <c r="DF750" s="11"/>
      <c r="DG750" s="280"/>
      <c r="DH750" s="11"/>
      <c r="DI750" s="280"/>
      <c r="DJ750" s="11"/>
      <c r="DK750" s="280"/>
      <c r="DL750" s="11"/>
      <c r="DM750" s="280"/>
      <c r="DN750" s="11"/>
      <c r="DO750" s="280"/>
      <c r="DP750" s="11"/>
      <c r="DQ750" s="280"/>
      <c r="DR750" s="11"/>
      <c r="DS750" s="280"/>
      <c r="DT750" s="11"/>
      <c r="DU750" s="280"/>
      <c r="DV750" s="11"/>
      <c r="DW750" s="9"/>
      <c r="DX750" s="11"/>
      <c r="DY750" s="9"/>
      <c r="DZ750" s="11"/>
      <c r="EA750" s="9"/>
      <c r="EB750" s="11"/>
      <c r="EC750" s="9"/>
      <c r="ED750" s="11"/>
      <c r="EE750" s="9"/>
      <c r="EF750" s="11"/>
      <c r="EG750" s="9"/>
      <c r="EH750" s="11"/>
      <c r="EI750" s="9"/>
      <c r="EJ750" s="11"/>
      <c r="EK750" s="9"/>
      <c r="EL750" s="11"/>
      <c r="EM750" s="9"/>
      <c r="EN750" s="11"/>
      <c r="EO750" s="9"/>
      <c r="EP750" s="11"/>
      <c r="EQ750" s="9"/>
      <c r="ER750" s="11"/>
      <c r="ES750" s="9"/>
      <c r="ET750" s="11"/>
      <c r="EU750" s="9"/>
      <c r="EV750" s="11"/>
      <c r="EW750" s="9"/>
      <c r="EX750" s="11"/>
      <c r="EY750" s="11"/>
      <c r="EZ750" s="296"/>
      <c r="FA750" s="11"/>
      <c r="FB750" s="9"/>
      <c r="FC750" s="11"/>
      <c r="FD750" s="9"/>
      <c r="FE750" s="11"/>
      <c r="FF750" s="16"/>
      <c r="FG750" s="11"/>
      <c r="FH750" s="16"/>
      <c r="FI750" s="11"/>
      <c r="FJ750" s="16"/>
      <c r="FK750" s="11"/>
      <c r="FL750" s="16"/>
      <c r="FM750" s="11"/>
      <c r="FN750" s="16"/>
      <c r="FO750" s="11"/>
      <c r="FP750" s="9"/>
      <c r="FQ750" s="11"/>
      <c r="FR750" s="9"/>
      <c r="FS750" s="11"/>
      <c r="FT750" s="9"/>
      <c r="FU750" s="11"/>
      <c r="FV750" s="9"/>
      <c r="FW750" s="11"/>
      <c r="FX750" s="9"/>
      <c r="FY750" s="11"/>
      <c r="FZ750" s="9"/>
      <c r="GA750" s="11"/>
      <c r="GB750" s="9"/>
      <c r="GC750" s="11"/>
      <c r="GD750" s="9"/>
      <c r="GE750" s="11"/>
      <c r="GF750" s="9"/>
      <c r="GG750" s="11"/>
      <c r="GH750" s="9"/>
      <c r="GI750" s="11"/>
      <c r="GJ750" s="9"/>
      <c r="GK750" s="11"/>
      <c r="GL750" s="9"/>
      <c r="GM750" s="11"/>
      <c r="GN750" s="9"/>
      <c r="GO750" s="11"/>
      <c r="GP750" s="9"/>
      <c r="GQ750" s="11"/>
      <c r="GR750" s="9"/>
      <c r="GS750" s="11"/>
      <c r="GT750" s="9"/>
      <c r="GU750" s="11"/>
      <c r="GV750" s="9"/>
      <c r="GW750" s="11"/>
      <c r="GX750" s="9"/>
      <c r="GY750" s="11"/>
      <c r="GZ750" s="11"/>
      <c r="HA750" s="11"/>
      <c r="HB750" s="11"/>
      <c r="HC750"/>
      <c r="HD750"/>
      <c r="HE750"/>
      <c r="HF750"/>
      <c r="HG750"/>
      <c r="HH750"/>
      <c r="HI750" s="2"/>
    </row>
    <row r="751" spans="2:217" s="3" customFormat="1" ht="12.75" hidden="1" customHeight="1" outlineLevel="1" x14ac:dyDescent="0.2">
      <c r="B751" s="268" t="s">
        <v>687</v>
      </c>
      <c r="C751" s="9"/>
      <c r="D751" s="11"/>
      <c r="E751" s="9"/>
      <c r="F751" s="11"/>
      <c r="G751" s="9"/>
      <c r="H751" s="11"/>
      <c r="I751" s="9"/>
      <c r="J751" s="11"/>
      <c r="K751" s="9"/>
      <c r="L751" s="11"/>
      <c r="M751" s="9"/>
      <c r="N751" s="11"/>
      <c r="O751" s="9"/>
      <c r="P751" s="11"/>
      <c r="Q751" s="9"/>
      <c r="R751" s="11"/>
      <c r="S751" s="9"/>
      <c r="T751" s="11"/>
      <c r="U751" s="9"/>
      <c r="V751" s="11"/>
      <c r="W751" s="9"/>
      <c r="X751" s="11"/>
      <c r="Y751" s="9"/>
      <c r="Z751" s="11"/>
      <c r="AA751" s="9"/>
      <c r="AB751" s="11"/>
      <c r="AC751" s="9"/>
      <c r="AD751" s="11"/>
      <c r="AE751" s="9"/>
      <c r="AF751" s="11"/>
      <c r="AG751" s="9"/>
      <c r="AH751" s="11"/>
      <c r="AI751" s="9"/>
      <c r="AJ751" s="11"/>
      <c r="AK751" s="9"/>
      <c r="AL751" s="11"/>
      <c r="AM751" s="9"/>
      <c r="AN751" s="11"/>
      <c r="AO751" s="9"/>
      <c r="AP751" s="11"/>
      <c r="AQ751" s="9"/>
      <c r="AR751" s="11"/>
      <c r="AS751" s="9"/>
      <c r="AT751" s="11"/>
      <c r="AU751" s="9"/>
      <c r="AV751" s="11"/>
      <c r="AW751" s="9"/>
      <c r="AX751" s="11"/>
      <c r="AY751" s="9"/>
      <c r="AZ751" s="11"/>
      <c r="BA751" s="9"/>
      <c r="BB751" s="11"/>
      <c r="BC751" s="9"/>
      <c r="BD751" s="11"/>
      <c r="BE751" s="9"/>
      <c r="BF751" s="11"/>
      <c r="BG751" s="9"/>
      <c r="BH751" s="11"/>
      <c r="BI751" s="9"/>
      <c r="BJ751" s="11"/>
      <c r="BK751" s="9"/>
      <c r="BL751" s="11"/>
      <c r="BM751" s="9"/>
      <c r="BN751" s="11"/>
      <c r="BO751" s="9"/>
      <c r="BP751" s="11"/>
      <c r="BQ751" s="9"/>
      <c r="BR751" s="11"/>
      <c r="BS751" s="9"/>
      <c r="BT751" s="11"/>
      <c r="BU751" s="9"/>
      <c r="BV751" s="11"/>
      <c r="BW751" s="9"/>
      <c r="BX751" s="11"/>
      <c r="BY751" s="9"/>
      <c r="BZ751" s="11"/>
      <c r="CA751" s="9"/>
      <c r="CB751" s="11"/>
      <c r="CC751" s="9"/>
      <c r="CD751" s="11"/>
      <c r="CE751" s="9"/>
      <c r="CF751" s="11"/>
      <c r="CG751" s="9"/>
      <c r="CH751" s="11"/>
      <c r="CI751" s="9"/>
      <c r="CJ751" s="11"/>
      <c r="CK751" s="9"/>
      <c r="CL751" s="11"/>
      <c r="CM751" s="9"/>
      <c r="CN751" s="11"/>
      <c r="CO751" s="9"/>
      <c r="CP751" s="11"/>
      <c r="CQ751" s="9"/>
      <c r="CR751" s="11"/>
      <c r="CS751" s="9"/>
      <c r="CT751" s="11"/>
      <c r="CU751" s="9"/>
      <c r="CV751" s="11"/>
      <c r="CW751" s="9"/>
      <c r="CX751" s="11"/>
      <c r="CY751" s="9"/>
      <c r="CZ751" s="11"/>
      <c r="DA751" s="9"/>
      <c r="DB751" s="11"/>
      <c r="DC751" s="9"/>
      <c r="DD751" s="11"/>
      <c r="DE751" s="9"/>
      <c r="DF751" s="11"/>
      <c r="DG751" s="9"/>
      <c r="DH751" s="11"/>
      <c r="DI751" s="9"/>
      <c r="DJ751" s="11"/>
      <c r="DK751" s="9"/>
      <c r="DL751" s="11"/>
      <c r="DM751" s="9"/>
      <c r="DN751" s="11"/>
      <c r="DO751" s="9"/>
      <c r="DP751" s="11"/>
      <c r="DQ751" s="9"/>
      <c r="DR751" s="11"/>
      <c r="DS751" s="9"/>
      <c r="DT751" s="11"/>
      <c r="DU751" s="9"/>
      <c r="DV751" s="11"/>
      <c r="DW751" s="9"/>
      <c r="DX751" s="11"/>
      <c r="DY751" s="9"/>
      <c r="DZ751" s="11"/>
      <c r="EA751" s="9"/>
      <c r="EB751" s="11"/>
      <c r="EC751" s="9"/>
      <c r="ED751" s="11"/>
      <c r="EE751" s="9"/>
      <c r="EF751" s="11"/>
      <c r="EG751" s="9"/>
      <c r="EH751" s="11"/>
      <c r="EI751" s="9"/>
      <c r="EJ751" s="11"/>
      <c r="EK751" s="9"/>
      <c r="EL751" s="11"/>
      <c r="EM751" s="9"/>
      <c r="EN751" s="11"/>
      <c r="EO751" s="9"/>
      <c r="EP751" s="11"/>
      <c r="EQ751" s="9"/>
      <c r="ER751" s="11"/>
      <c r="ES751" s="9"/>
      <c r="ET751" s="11"/>
      <c r="EU751" s="9"/>
      <c r="EV751" s="11"/>
      <c r="EW751" s="9"/>
      <c r="EX751" s="11"/>
      <c r="EY751" s="11"/>
      <c r="EZ751" s="296"/>
      <c r="FA751" s="11"/>
      <c r="FB751" s="9"/>
      <c r="FC751" s="11"/>
      <c r="FD751" s="9"/>
      <c r="FE751" s="11"/>
      <c r="FF751" s="16"/>
      <c r="FG751" s="11"/>
      <c r="FH751" s="16"/>
      <c r="FI751" s="11"/>
      <c r="FJ751" s="16"/>
      <c r="FK751" s="11"/>
      <c r="FL751" s="16"/>
      <c r="FM751" s="11"/>
      <c r="FN751" s="16"/>
      <c r="FO751" s="11"/>
      <c r="FP751" s="9"/>
      <c r="FQ751" s="11"/>
      <c r="FR751" s="9"/>
      <c r="FS751" s="11"/>
      <c r="FT751" s="9"/>
      <c r="FU751" s="11"/>
      <c r="FV751" s="9"/>
      <c r="FW751" s="11"/>
      <c r="FX751" s="9"/>
      <c r="FY751" s="11"/>
      <c r="FZ751" s="9"/>
      <c r="GA751" s="11"/>
      <c r="GB751" s="9"/>
      <c r="GC751" s="11"/>
      <c r="GD751" s="9"/>
      <c r="GE751" s="11"/>
      <c r="GF751" s="9"/>
      <c r="GG751" s="11"/>
      <c r="GH751" s="9"/>
      <c r="GI751" s="11"/>
      <c r="GJ751" s="9"/>
      <c r="GK751" s="11"/>
      <c r="GL751" s="9"/>
      <c r="GM751" s="11"/>
      <c r="GN751" s="9"/>
      <c r="GO751" s="11"/>
      <c r="GP751" s="9"/>
      <c r="GQ751" s="11"/>
      <c r="GR751" s="9"/>
      <c r="GS751" s="11"/>
      <c r="GT751" s="9"/>
      <c r="GU751" s="11"/>
      <c r="GV751" s="9"/>
      <c r="GW751" s="11"/>
      <c r="GX751" s="9"/>
      <c r="GY751" s="11"/>
      <c r="GZ751" s="11"/>
      <c r="HA751" s="11"/>
      <c r="HB751" s="11"/>
      <c r="HC751"/>
      <c r="HD751"/>
      <c r="HE751"/>
      <c r="HF751"/>
      <c r="HG751"/>
      <c r="HH751"/>
      <c r="HI751" s="2"/>
    </row>
    <row r="752" spans="2:217" s="3" customFormat="1" ht="12.75" hidden="1" customHeight="1" outlineLevel="1" x14ac:dyDescent="0.2">
      <c r="B752" s="268" t="s">
        <v>688</v>
      </c>
      <c r="C752" s="9"/>
      <c r="D752" s="11"/>
      <c r="E752" s="9"/>
      <c r="F752" s="11"/>
      <c r="G752" s="9"/>
      <c r="H752" s="11"/>
      <c r="I752" s="9"/>
      <c r="J752" s="11"/>
      <c r="K752" s="9"/>
      <c r="L752" s="11"/>
      <c r="M752" s="9"/>
      <c r="N752" s="11"/>
      <c r="O752" s="9"/>
      <c r="P752" s="11"/>
      <c r="Q752" s="9"/>
      <c r="R752" s="11"/>
      <c r="S752" s="9"/>
      <c r="T752" s="11"/>
      <c r="U752" s="9"/>
      <c r="V752" s="11"/>
      <c r="W752" s="9"/>
      <c r="X752" s="11"/>
      <c r="Y752" s="9"/>
      <c r="Z752" s="11"/>
      <c r="AA752" s="9"/>
      <c r="AB752" s="11"/>
      <c r="AC752" s="9"/>
      <c r="AD752" s="11"/>
      <c r="AE752" s="9"/>
      <c r="AF752" s="11"/>
      <c r="AG752" s="9"/>
      <c r="AH752" s="11"/>
      <c r="AI752" s="9"/>
      <c r="AJ752" s="11"/>
      <c r="AK752" s="9"/>
      <c r="AL752" s="11"/>
      <c r="AM752" s="9"/>
      <c r="AN752" s="11"/>
      <c r="AO752" s="9"/>
      <c r="AP752" s="11"/>
      <c r="AQ752" s="9"/>
      <c r="AR752" s="11"/>
      <c r="AS752" s="9"/>
      <c r="AT752" s="11"/>
      <c r="AU752" s="9"/>
      <c r="AV752" s="11"/>
      <c r="AW752" s="9"/>
      <c r="AX752" s="11"/>
      <c r="AY752" s="9"/>
      <c r="AZ752" s="11"/>
      <c r="BA752" s="9"/>
      <c r="BB752" s="11"/>
      <c r="BC752" s="9"/>
      <c r="BD752" s="11"/>
      <c r="BE752" s="9"/>
      <c r="BF752" s="11"/>
      <c r="BG752" s="9"/>
      <c r="BH752" s="11"/>
      <c r="BI752" s="9"/>
      <c r="BJ752" s="11"/>
      <c r="BK752" s="9"/>
      <c r="BL752" s="11"/>
      <c r="BM752" s="9"/>
      <c r="BN752" s="11"/>
      <c r="BO752" s="9"/>
      <c r="BP752" s="11"/>
      <c r="BQ752" s="9"/>
      <c r="BR752" s="11"/>
      <c r="BS752" s="9"/>
      <c r="BT752" s="11"/>
      <c r="BU752" s="9"/>
      <c r="BV752" s="11"/>
      <c r="BW752" s="9"/>
      <c r="BX752" s="11"/>
      <c r="BY752" s="9"/>
      <c r="BZ752" s="11"/>
      <c r="CA752" s="9"/>
      <c r="CB752" s="11"/>
      <c r="CC752" s="9"/>
      <c r="CD752" s="11"/>
      <c r="CE752" s="9"/>
      <c r="CF752" s="11"/>
      <c r="CG752" s="9"/>
      <c r="CH752" s="11"/>
      <c r="CI752" s="9"/>
      <c r="CJ752" s="11"/>
      <c r="CK752" s="9"/>
      <c r="CL752" s="11"/>
      <c r="CM752" s="9"/>
      <c r="CN752" s="11"/>
      <c r="CO752" s="9"/>
      <c r="CP752" s="11"/>
      <c r="CQ752" s="9"/>
      <c r="CR752" s="11"/>
      <c r="CS752" s="9"/>
      <c r="CT752" s="11"/>
      <c r="CU752" s="9"/>
      <c r="CV752" s="11"/>
      <c r="CW752" s="9"/>
      <c r="CX752" s="11"/>
      <c r="CY752" s="9"/>
      <c r="CZ752" s="11"/>
      <c r="DA752" s="9"/>
      <c r="DB752" s="11"/>
      <c r="DC752" s="9"/>
      <c r="DD752" s="11"/>
      <c r="DE752" s="9"/>
      <c r="DF752" s="11"/>
      <c r="DG752" s="9"/>
      <c r="DH752" s="11"/>
      <c r="DI752" s="9"/>
      <c r="DJ752" s="11"/>
      <c r="DK752" s="9"/>
      <c r="DL752" s="11"/>
      <c r="DM752" s="9"/>
      <c r="DN752" s="11"/>
      <c r="DO752" s="9"/>
      <c r="DP752" s="11"/>
      <c r="DQ752" s="9"/>
      <c r="DR752" s="11"/>
      <c r="DS752" s="9"/>
      <c r="DT752" s="11"/>
      <c r="DU752" s="9"/>
      <c r="DV752" s="11"/>
      <c r="DW752" s="9"/>
      <c r="DX752" s="11"/>
      <c r="DY752" s="9"/>
      <c r="DZ752" s="11"/>
      <c r="EA752" s="9"/>
      <c r="EB752" s="11"/>
      <c r="EC752" s="9"/>
      <c r="ED752" s="11"/>
      <c r="EE752" s="9"/>
      <c r="EF752" s="11"/>
      <c r="EG752" s="9"/>
      <c r="EH752" s="11"/>
      <c r="EI752" s="9"/>
      <c r="EJ752" s="11"/>
      <c r="EK752" s="9"/>
      <c r="EL752" s="11"/>
      <c r="EM752" s="9"/>
      <c r="EN752" s="11"/>
      <c r="EO752" s="9"/>
      <c r="EP752" s="11"/>
      <c r="EQ752" s="9"/>
      <c r="ER752" s="11"/>
      <c r="ES752" s="9"/>
      <c r="ET752" s="11"/>
      <c r="EU752" s="9"/>
      <c r="EV752" s="11"/>
      <c r="EW752" s="9"/>
      <c r="EX752" s="11"/>
      <c r="EY752" s="11"/>
      <c r="EZ752" s="296"/>
      <c r="FA752" s="11"/>
      <c r="FB752" s="9"/>
      <c r="FC752" s="11"/>
      <c r="FD752" s="9"/>
      <c r="FE752" s="11"/>
      <c r="FF752" s="16"/>
      <c r="FG752" s="11"/>
      <c r="FH752" s="16"/>
      <c r="FI752" s="11"/>
      <c r="FJ752" s="16"/>
      <c r="FK752" s="11"/>
      <c r="FL752" s="16"/>
      <c r="FM752" s="11"/>
      <c r="FN752" s="16"/>
      <c r="FO752" s="11"/>
      <c r="FP752" s="9"/>
      <c r="FQ752" s="11"/>
      <c r="FR752" s="9"/>
      <c r="FS752" s="11"/>
      <c r="FT752" s="9"/>
      <c r="FU752" s="11"/>
      <c r="FV752" s="9"/>
      <c r="FW752" s="11"/>
      <c r="FX752" s="9"/>
      <c r="FY752" s="11"/>
      <c r="FZ752" s="9"/>
      <c r="GA752" s="11"/>
      <c r="GB752" s="9"/>
      <c r="GC752" s="11"/>
      <c r="GD752" s="9"/>
      <c r="GE752" s="11"/>
      <c r="GF752" s="9"/>
      <c r="GG752" s="11"/>
      <c r="GH752" s="9"/>
      <c r="GI752" s="11"/>
      <c r="GJ752" s="9"/>
      <c r="GK752" s="11"/>
      <c r="GL752" s="9"/>
      <c r="GM752" s="11"/>
      <c r="GN752" s="9"/>
      <c r="GO752" s="11"/>
      <c r="GP752" s="9"/>
      <c r="GQ752" s="11"/>
      <c r="GR752" s="9"/>
      <c r="GS752" s="11"/>
      <c r="GT752" s="9"/>
      <c r="GU752" s="11"/>
      <c r="GV752" s="9"/>
      <c r="GW752" s="11"/>
      <c r="GX752" s="9"/>
      <c r="GY752" s="11"/>
      <c r="GZ752" s="11"/>
      <c r="HA752" s="11"/>
      <c r="HB752" s="11"/>
      <c r="HC752"/>
      <c r="HD752"/>
      <c r="HE752"/>
      <c r="HF752"/>
      <c r="HG752"/>
      <c r="HH752"/>
      <c r="HI752" s="2"/>
    </row>
    <row r="753" spans="2:217" s="3" customFormat="1" ht="12.75" hidden="1" customHeight="1" outlineLevel="1" x14ac:dyDescent="0.2">
      <c r="B753" s="268" t="s">
        <v>689</v>
      </c>
      <c r="C753" s="9"/>
      <c r="D753" s="11"/>
      <c r="E753" s="9"/>
      <c r="F753" s="11"/>
      <c r="G753" s="9"/>
      <c r="H753" s="11"/>
      <c r="I753" s="9"/>
      <c r="J753" s="11"/>
      <c r="K753" s="9"/>
      <c r="L753" s="11"/>
      <c r="M753" s="9"/>
      <c r="N753" s="11"/>
      <c r="O753" s="9"/>
      <c r="P753" s="11"/>
      <c r="Q753" s="9"/>
      <c r="R753" s="11"/>
      <c r="S753" s="9"/>
      <c r="T753" s="11"/>
      <c r="U753" s="9"/>
      <c r="V753" s="11"/>
      <c r="W753" s="9"/>
      <c r="X753" s="11"/>
      <c r="Y753" s="9"/>
      <c r="Z753" s="11"/>
      <c r="AA753" s="9"/>
      <c r="AB753" s="11"/>
      <c r="AC753" s="9"/>
      <c r="AD753" s="11"/>
      <c r="AE753" s="9"/>
      <c r="AF753" s="11"/>
      <c r="AG753" s="9"/>
      <c r="AH753" s="11"/>
      <c r="AI753" s="9"/>
      <c r="AJ753" s="11"/>
      <c r="AK753" s="9"/>
      <c r="AL753" s="11"/>
      <c r="AM753" s="9"/>
      <c r="AN753" s="11"/>
      <c r="AO753" s="9"/>
      <c r="AP753" s="11"/>
      <c r="AQ753" s="9"/>
      <c r="AR753" s="11"/>
      <c r="AS753" s="9"/>
      <c r="AT753" s="11"/>
      <c r="AU753" s="9"/>
      <c r="AV753" s="11"/>
      <c r="AW753" s="9"/>
      <c r="AX753" s="11"/>
      <c r="AY753" s="9"/>
      <c r="AZ753" s="11"/>
      <c r="BA753" s="9"/>
      <c r="BB753" s="11"/>
      <c r="BC753" s="9"/>
      <c r="BD753" s="11"/>
      <c r="BE753" s="9"/>
      <c r="BF753" s="11"/>
      <c r="BG753" s="9"/>
      <c r="BH753" s="11"/>
      <c r="BI753" s="9"/>
      <c r="BJ753" s="11"/>
      <c r="BK753" s="9"/>
      <c r="BL753" s="11"/>
      <c r="BM753" s="9"/>
      <c r="BN753" s="11"/>
      <c r="BO753" s="9"/>
      <c r="BP753" s="11"/>
      <c r="BQ753" s="9"/>
      <c r="BR753" s="11"/>
      <c r="BS753" s="9"/>
      <c r="BT753" s="11"/>
      <c r="BU753" s="9"/>
      <c r="BV753" s="11"/>
      <c r="BW753" s="9"/>
      <c r="BX753" s="11"/>
      <c r="BY753" s="9"/>
      <c r="BZ753" s="11"/>
      <c r="CA753" s="9"/>
      <c r="CB753" s="11"/>
      <c r="CC753" s="9"/>
      <c r="CD753" s="11"/>
      <c r="CE753" s="9"/>
      <c r="CF753" s="11"/>
      <c r="CG753" s="9"/>
      <c r="CH753" s="11"/>
      <c r="CI753" s="9"/>
      <c r="CJ753" s="11"/>
      <c r="CK753" s="9"/>
      <c r="CL753" s="11"/>
      <c r="CM753" s="9"/>
      <c r="CN753" s="11"/>
      <c r="CO753" s="9"/>
      <c r="CP753" s="11"/>
      <c r="CQ753" s="9"/>
      <c r="CR753" s="11"/>
      <c r="CS753" s="9"/>
      <c r="CT753" s="11"/>
      <c r="CU753" s="9"/>
      <c r="CV753" s="11"/>
      <c r="CW753" s="9"/>
      <c r="CX753" s="11"/>
      <c r="CY753" s="9"/>
      <c r="CZ753" s="11"/>
      <c r="DA753" s="9"/>
      <c r="DB753" s="11"/>
      <c r="DC753" s="9"/>
      <c r="DD753" s="11"/>
      <c r="DE753" s="9"/>
      <c r="DF753" s="11"/>
      <c r="DG753" s="9"/>
      <c r="DH753" s="11"/>
      <c r="DI753" s="9"/>
      <c r="DJ753" s="11"/>
      <c r="DK753" s="9"/>
      <c r="DL753" s="11"/>
      <c r="DM753" s="9"/>
      <c r="DN753" s="11"/>
      <c r="DO753" s="9"/>
      <c r="DP753" s="11"/>
      <c r="DQ753" s="9"/>
      <c r="DR753" s="11"/>
      <c r="DS753" s="9"/>
      <c r="DT753" s="11"/>
      <c r="DU753" s="9"/>
      <c r="DV753" s="11"/>
      <c r="DW753" s="9"/>
      <c r="DX753" s="11"/>
      <c r="DY753" s="9"/>
      <c r="DZ753" s="11"/>
      <c r="EA753" s="9"/>
      <c r="EB753" s="11"/>
      <c r="EC753" s="9"/>
      <c r="ED753" s="11"/>
      <c r="EE753" s="9"/>
      <c r="EF753" s="11"/>
      <c r="EG753" s="9"/>
      <c r="EH753" s="11"/>
      <c r="EI753" s="9"/>
      <c r="EJ753" s="11"/>
      <c r="EK753" s="9"/>
      <c r="EL753" s="11"/>
      <c r="EM753" s="9"/>
      <c r="EN753" s="11"/>
      <c r="EO753" s="9"/>
      <c r="EP753" s="11"/>
      <c r="EQ753" s="9"/>
      <c r="ER753" s="11"/>
      <c r="ES753" s="9"/>
      <c r="ET753" s="11"/>
      <c r="EU753" s="9"/>
      <c r="EV753" s="11"/>
      <c r="EW753" s="9"/>
      <c r="EX753" s="11"/>
      <c r="EY753" s="11"/>
      <c r="EZ753" s="296"/>
      <c r="FA753" s="11"/>
      <c r="FB753" s="9"/>
      <c r="FC753" s="11"/>
      <c r="FD753" s="9"/>
      <c r="FE753" s="11"/>
      <c r="FF753" s="16"/>
      <c r="FG753" s="11"/>
      <c r="FH753" s="16"/>
      <c r="FI753" s="11"/>
      <c r="FJ753" s="16"/>
      <c r="FK753" s="11"/>
      <c r="FL753" s="16"/>
      <c r="FM753" s="11"/>
      <c r="FN753" s="16"/>
      <c r="FO753" s="11"/>
      <c r="FP753" s="9"/>
      <c r="FQ753" s="11"/>
      <c r="FR753" s="9"/>
      <c r="FS753" s="11"/>
      <c r="FT753" s="9"/>
      <c r="FU753" s="11"/>
      <c r="FV753" s="9"/>
      <c r="FW753" s="11"/>
      <c r="FX753" s="9"/>
      <c r="FY753" s="11"/>
      <c r="FZ753" s="9"/>
      <c r="GA753" s="11"/>
      <c r="GB753" s="9"/>
      <c r="GC753" s="11"/>
      <c r="GD753" s="9"/>
      <c r="GE753" s="11"/>
      <c r="GF753" s="9"/>
      <c r="GG753" s="11"/>
      <c r="GH753" s="9"/>
      <c r="GI753" s="11"/>
      <c r="GJ753" s="9"/>
      <c r="GK753" s="11"/>
      <c r="GL753" s="9"/>
      <c r="GM753" s="11"/>
      <c r="GN753" s="9"/>
      <c r="GO753" s="11"/>
      <c r="GP753" s="9"/>
      <c r="GQ753" s="11"/>
      <c r="GR753" s="9"/>
      <c r="GS753" s="11"/>
      <c r="GT753" s="9"/>
      <c r="GU753" s="11"/>
      <c r="GV753" s="9"/>
      <c r="GW753" s="11"/>
      <c r="GX753" s="9"/>
      <c r="GY753" s="11"/>
      <c r="GZ753" s="11"/>
      <c r="HA753" s="11"/>
      <c r="HB753" s="11"/>
      <c r="HC753"/>
      <c r="HD753"/>
      <c r="HE753"/>
      <c r="HF753"/>
      <c r="HG753"/>
      <c r="HH753"/>
      <c r="HI753" s="2"/>
    </row>
    <row r="754" spans="2:217" s="3" customFormat="1" ht="12.75" hidden="1" customHeight="1" outlineLevel="1" x14ac:dyDescent="0.2">
      <c r="B754" s="10"/>
      <c r="C754" s="9"/>
      <c r="D754" s="11"/>
      <c r="E754" s="9"/>
      <c r="F754" s="11"/>
      <c r="G754" s="9"/>
      <c r="H754" s="11"/>
      <c r="I754" s="9"/>
      <c r="J754" s="11"/>
      <c r="K754" s="9"/>
      <c r="L754" s="11"/>
      <c r="M754" s="9"/>
      <c r="N754" s="11"/>
      <c r="O754" s="9"/>
      <c r="P754" s="11"/>
      <c r="Q754" s="9"/>
      <c r="R754" s="11"/>
      <c r="S754" s="9"/>
      <c r="T754" s="11"/>
      <c r="U754" s="9"/>
      <c r="V754" s="11"/>
      <c r="W754" s="9"/>
      <c r="X754" s="11"/>
      <c r="Y754" s="9"/>
      <c r="Z754" s="11"/>
      <c r="AA754" s="9"/>
      <c r="AB754" s="11"/>
      <c r="AC754" s="9"/>
      <c r="AD754" s="11"/>
      <c r="AE754" s="9"/>
      <c r="AF754" s="11"/>
      <c r="AG754" s="9"/>
      <c r="AH754" s="11"/>
      <c r="AI754" s="9"/>
      <c r="AJ754" s="11"/>
      <c r="AK754" s="9"/>
      <c r="AL754" s="11"/>
      <c r="AM754" s="9"/>
      <c r="AN754" s="11"/>
      <c r="AO754" s="9"/>
      <c r="AP754" s="11"/>
      <c r="AQ754" s="9"/>
      <c r="AR754" s="11"/>
      <c r="AS754" s="9"/>
      <c r="AT754" s="11"/>
      <c r="AU754" s="9"/>
      <c r="AV754" s="11"/>
      <c r="AW754" s="9"/>
      <c r="AX754" s="11"/>
      <c r="AY754" s="9"/>
      <c r="AZ754" s="11"/>
      <c r="BA754" s="9"/>
      <c r="BB754" s="11"/>
      <c r="BC754" s="9"/>
      <c r="BD754" s="11"/>
      <c r="BE754" s="9"/>
      <c r="BF754" s="11"/>
      <c r="BG754" s="9"/>
      <c r="BH754" s="11"/>
      <c r="BI754" s="9"/>
      <c r="BJ754" s="11"/>
      <c r="BK754" s="9"/>
      <c r="BL754" s="11"/>
      <c r="BM754" s="9"/>
      <c r="BN754" s="11"/>
      <c r="BO754" s="9"/>
      <c r="BP754" s="11"/>
      <c r="BQ754" s="9"/>
      <c r="BR754" s="11"/>
      <c r="BS754" s="9"/>
      <c r="BT754" s="11"/>
      <c r="BU754" s="9"/>
      <c r="BV754" s="11"/>
      <c r="BW754" s="9"/>
      <c r="BX754" s="11"/>
      <c r="BY754" s="9"/>
      <c r="BZ754" s="11"/>
      <c r="CA754" s="9"/>
      <c r="CB754" s="11"/>
      <c r="CC754" s="9"/>
      <c r="CD754" s="11"/>
      <c r="CE754" s="9"/>
      <c r="CF754" s="11"/>
      <c r="CG754" s="9"/>
      <c r="CH754" s="11"/>
      <c r="CI754" s="9"/>
      <c r="CJ754" s="11"/>
      <c r="CK754" s="9"/>
      <c r="CL754" s="11"/>
      <c r="CM754" s="9"/>
      <c r="CN754" s="11"/>
      <c r="CO754" s="9"/>
      <c r="CP754" s="11"/>
      <c r="CQ754" s="9"/>
      <c r="CR754" s="11"/>
      <c r="CS754" s="9"/>
      <c r="CT754" s="11"/>
      <c r="CU754" s="9"/>
      <c r="CV754" s="11"/>
      <c r="CW754" s="9"/>
      <c r="CX754" s="11"/>
      <c r="CY754" s="9"/>
      <c r="CZ754" s="11"/>
      <c r="DA754" s="9"/>
      <c r="DB754" s="11"/>
      <c r="DC754" s="9"/>
      <c r="DD754" s="11"/>
      <c r="DE754" s="9"/>
      <c r="DF754" s="11"/>
      <c r="DG754" s="9"/>
      <c r="DH754" s="11"/>
      <c r="DI754" s="9"/>
      <c r="DJ754" s="11"/>
      <c r="DK754" s="9"/>
      <c r="DL754" s="11"/>
      <c r="DM754" s="9"/>
      <c r="DN754" s="11"/>
      <c r="DO754" s="9"/>
      <c r="DP754" s="11"/>
      <c r="DQ754" s="9"/>
      <c r="DR754" s="11"/>
      <c r="DS754" s="9"/>
      <c r="DT754" s="11"/>
      <c r="DU754" s="9"/>
      <c r="DV754" s="11"/>
      <c r="DW754" s="9"/>
      <c r="DX754" s="11"/>
      <c r="DY754" s="9"/>
      <c r="DZ754" s="11"/>
      <c r="EA754" s="9"/>
      <c r="EB754" s="11"/>
      <c r="EC754" s="9"/>
      <c r="ED754" s="11"/>
      <c r="EE754" s="9"/>
      <c r="EF754" s="11"/>
      <c r="EG754" s="9"/>
      <c r="EH754" s="11"/>
      <c r="EI754" s="9"/>
      <c r="EJ754" s="11"/>
      <c r="EK754" s="9"/>
      <c r="EL754" s="11"/>
      <c r="EM754" s="9"/>
      <c r="EN754" s="11"/>
      <c r="EO754" s="9"/>
      <c r="EP754" s="11"/>
      <c r="EQ754" s="9"/>
      <c r="ER754" s="11"/>
      <c r="ES754" s="9"/>
      <c r="ET754" s="11"/>
      <c r="EU754" s="9"/>
      <c r="EV754" s="11"/>
      <c r="EW754" s="9"/>
      <c r="EX754" s="11"/>
      <c r="EY754" s="11"/>
      <c r="EZ754" s="296"/>
      <c r="FA754" s="11"/>
      <c r="FB754" s="9"/>
      <c r="FC754" s="11"/>
      <c r="FD754" s="9"/>
      <c r="FE754" s="11"/>
      <c r="FF754" s="16"/>
      <c r="FG754" s="11"/>
      <c r="FH754" s="16"/>
      <c r="FI754" s="11"/>
      <c r="FJ754" s="16"/>
      <c r="FK754" s="11"/>
      <c r="FL754" s="16"/>
      <c r="FM754" s="11"/>
      <c r="FN754" s="16"/>
      <c r="FO754" s="11"/>
      <c r="FP754" s="9"/>
      <c r="FQ754" s="11"/>
      <c r="FR754" s="9"/>
      <c r="FS754" s="11"/>
      <c r="FT754" s="9"/>
      <c r="FU754" s="11"/>
      <c r="FV754" s="9"/>
      <c r="FW754" s="11"/>
      <c r="FX754" s="9"/>
      <c r="FY754" s="11"/>
      <c r="FZ754" s="9"/>
      <c r="GA754" s="11"/>
      <c r="GB754" s="9"/>
      <c r="GC754" s="11"/>
      <c r="GD754" s="9"/>
      <c r="GE754" s="11"/>
      <c r="GF754" s="9"/>
      <c r="GG754" s="11"/>
      <c r="GH754" s="9"/>
      <c r="GI754" s="11"/>
      <c r="GJ754" s="9"/>
      <c r="GK754" s="11"/>
      <c r="GL754" s="9"/>
      <c r="GM754" s="11"/>
      <c r="GN754" s="9"/>
      <c r="GO754" s="11"/>
      <c r="GP754" s="9"/>
      <c r="GQ754" s="11"/>
      <c r="GR754" s="9"/>
      <c r="GS754" s="11"/>
      <c r="GT754" s="9"/>
      <c r="GU754" s="11"/>
      <c r="GV754" s="9"/>
      <c r="GW754" s="11"/>
      <c r="GX754" s="9"/>
      <c r="GY754" s="11"/>
      <c r="GZ754" s="11"/>
      <c r="HA754" s="11"/>
      <c r="HB754" s="11"/>
      <c r="HC754"/>
      <c r="HD754"/>
      <c r="HE754"/>
      <c r="HF754"/>
      <c r="HG754"/>
      <c r="HH754"/>
      <c r="HI754" s="2"/>
    </row>
    <row r="755" spans="2:217" s="3" customFormat="1" ht="12.75" hidden="1" customHeight="1" outlineLevel="1" x14ac:dyDescent="0.2">
      <c r="B755" s="10"/>
      <c r="C755" s="9"/>
      <c r="D755" s="11"/>
      <c r="E755" s="9"/>
      <c r="F755" s="11"/>
      <c r="G755" s="9"/>
      <c r="H755" s="11"/>
      <c r="I755" s="9"/>
      <c r="J755" s="11"/>
      <c r="K755" s="9"/>
      <c r="L755" s="11"/>
      <c r="M755" s="9"/>
      <c r="N755" s="11"/>
      <c r="O755" s="9"/>
      <c r="P755" s="11"/>
      <c r="Q755" s="9"/>
      <c r="R755" s="11"/>
      <c r="S755" s="9"/>
      <c r="T755" s="11"/>
      <c r="U755" s="9"/>
      <c r="V755" s="11"/>
      <c r="W755" s="9"/>
      <c r="X755" s="11"/>
      <c r="Y755" s="9"/>
      <c r="Z755" s="11"/>
      <c r="AA755" s="9"/>
      <c r="AB755" s="11"/>
      <c r="AC755" s="9"/>
      <c r="AD755" s="11"/>
      <c r="AE755" s="9"/>
      <c r="AF755" s="11"/>
      <c r="AG755" s="9"/>
      <c r="AH755" s="11"/>
      <c r="AI755" s="9"/>
      <c r="AJ755" s="11"/>
      <c r="AK755" s="9"/>
      <c r="AL755" s="11"/>
      <c r="AM755" s="9"/>
      <c r="AN755" s="11"/>
      <c r="AO755" s="9"/>
      <c r="AP755" s="11"/>
      <c r="AQ755" s="9"/>
      <c r="AR755" s="11"/>
      <c r="AS755" s="9"/>
      <c r="AT755" s="11"/>
      <c r="AU755" s="9"/>
      <c r="AV755" s="11"/>
      <c r="AW755" s="9"/>
      <c r="AX755" s="11"/>
      <c r="AY755" s="9"/>
      <c r="AZ755" s="11"/>
      <c r="BA755" s="9"/>
      <c r="BB755" s="11"/>
      <c r="BC755" s="9"/>
      <c r="BD755" s="11"/>
      <c r="BE755" s="9"/>
      <c r="BF755" s="11"/>
      <c r="BG755" s="9"/>
      <c r="BH755" s="11"/>
      <c r="BI755" s="9"/>
      <c r="BJ755" s="11"/>
      <c r="BK755" s="9"/>
      <c r="BL755" s="11"/>
      <c r="BM755" s="9"/>
      <c r="BN755" s="11"/>
      <c r="BO755" s="9"/>
      <c r="BP755" s="11"/>
      <c r="BQ755" s="9"/>
      <c r="BR755" s="11"/>
      <c r="BS755" s="9"/>
      <c r="BT755" s="11"/>
      <c r="BU755" s="9"/>
      <c r="BV755" s="11"/>
      <c r="BW755" s="9"/>
      <c r="BX755" s="11"/>
      <c r="BY755" s="9"/>
      <c r="BZ755" s="11"/>
      <c r="CA755" s="9"/>
      <c r="CB755" s="11"/>
      <c r="CC755" s="9"/>
      <c r="CD755" s="11"/>
      <c r="CE755" s="9"/>
      <c r="CF755" s="11"/>
      <c r="CG755" s="9"/>
      <c r="CH755" s="11"/>
      <c r="CI755" s="9"/>
      <c r="CJ755" s="11"/>
      <c r="CK755" s="9"/>
      <c r="CL755" s="11"/>
      <c r="CM755" s="9"/>
      <c r="CN755" s="11"/>
      <c r="CO755" s="9"/>
      <c r="CP755" s="11"/>
      <c r="CQ755" s="9"/>
      <c r="CR755" s="11"/>
      <c r="CS755" s="9"/>
      <c r="CT755" s="11"/>
      <c r="CU755" s="9"/>
      <c r="CV755" s="11"/>
      <c r="CW755" s="9"/>
      <c r="CX755" s="11"/>
      <c r="CY755" s="9"/>
      <c r="CZ755" s="11"/>
      <c r="DA755" s="9"/>
      <c r="DB755" s="11"/>
      <c r="DC755" s="9"/>
      <c r="DD755" s="11"/>
      <c r="DE755" s="9"/>
      <c r="DF755" s="11"/>
      <c r="DG755" s="9"/>
      <c r="DH755" s="11"/>
      <c r="DI755" s="9"/>
      <c r="DJ755" s="11"/>
      <c r="DK755" s="9"/>
      <c r="DL755" s="11"/>
      <c r="DM755" s="9"/>
      <c r="DN755" s="11"/>
      <c r="DO755" s="9"/>
      <c r="DP755" s="11"/>
      <c r="DQ755" s="9"/>
      <c r="DR755" s="11"/>
      <c r="DS755" s="9"/>
      <c r="DT755" s="11"/>
      <c r="DU755" s="9"/>
      <c r="DV755" s="11"/>
      <c r="DW755" s="9"/>
      <c r="DX755" s="11"/>
      <c r="DY755" s="9"/>
      <c r="DZ755" s="11"/>
      <c r="EA755" s="9"/>
      <c r="EB755" s="11"/>
      <c r="EC755" s="9"/>
      <c r="ED755" s="11"/>
      <c r="EE755" s="9"/>
      <c r="EF755" s="11"/>
      <c r="EG755" s="9"/>
      <c r="EH755" s="11"/>
      <c r="EI755" s="9"/>
      <c r="EJ755" s="11"/>
      <c r="EK755" s="9"/>
      <c r="EL755" s="11"/>
      <c r="EM755" s="9"/>
      <c r="EN755" s="11"/>
      <c r="EO755" s="9"/>
      <c r="EP755" s="11"/>
      <c r="EQ755" s="9"/>
      <c r="ER755" s="11"/>
      <c r="ES755" s="9"/>
      <c r="ET755" s="11"/>
      <c r="EU755" s="9"/>
      <c r="EV755" s="11"/>
      <c r="EW755" s="9"/>
      <c r="EX755" s="11"/>
      <c r="EY755" s="11"/>
      <c r="EZ755" s="296"/>
      <c r="FA755" s="11"/>
      <c r="FB755" s="9"/>
      <c r="FC755" s="11"/>
      <c r="FD755" s="9"/>
      <c r="FE755" s="11"/>
      <c r="FF755" s="16"/>
      <c r="FG755" s="11"/>
      <c r="FH755" s="16"/>
      <c r="FI755" s="11"/>
      <c r="FJ755" s="16"/>
      <c r="FK755" s="11"/>
      <c r="FL755" s="16"/>
      <c r="FM755" s="11"/>
      <c r="FN755" s="16"/>
      <c r="FO755" s="11"/>
      <c r="FP755" s="9"/>
      <c r="FQ755" s="11"/>
      <c r="FR755" s="9"/>
      <c r="FS755" s="11"/>
      <c r="FT755" s="9"/>
      <c r="FU755" s="11"/>
      <c r="FV755" s="9"/>
      <c r="FW755" s="11"/>
      <c r="FX755" s="9"/>
      <c r="FY755" s="11"/>
      <c r="FZ755" s="9"/>
      <c r="GA755" s="11"/>
      <c r="GB755" s="9"/>
      <c r="GC755" s="11"/>
      <c r="GD755" s="9"/>
      <c r="GE755" s="11"/>
      <c r="GF755" s="9"/>
      <c r="GG755" s="11"/>
      <c r="GH755" s="9"/>
      <c r="GI755" s="11"/>
      <c r="GJ755" s="9"/>
      <c r="GK755" s="11"/>
      <c r="GL755" s="9"/>
      <c r="GM755" s="11"/>
      <c r="GN755" s="9"/>
      <c r="GO755" s="11"/>
      <c r="GP755" s="9"/>
      <c r="GQ755" s="11"/>
      <c r="GR755" s="9"/>
      <c r="GS755" s="11"/>
      <c r="GT755" s="9"/>
      <c r="GU755" s="11"/>
      <c r="GV755" s="9"/>
      <c r="GW755" s="11"/>
      <c r="GX755" s="9"/>
      <c r="GY755" s="11"/>
      <c r="GZ755" s="11"/>
      <c r="HA755" s="11"/>
      <c r="HB755" s="11"/>
      <c r="HC755"/>
      <c r="HD755"/>
      <c r="HE755"/>
      <c r="HF755"/>
      <c r="HG755"/>
      <c r="HH755"/>
      <c r="HI755" s="2"/>
    </row>
    <row r="756" spans="2:217" s="3" customFormat="1" ht="12.75" hidden="1" customHeight="1" outlineLevel="1" x14ac:dyDescent="0.2">
      <c r="B756" s="10"/>
      <c r="C756" s="9"/>
      <c r="D756" s="11"/>
      <c r="E756" s="9"/>
      <c r="F756" s="11"/>
      <c r="G756" s="9"/>
      <c r="H756" s="11"/>
      <c r="I756" s="9"/>
      <c r="J756" s="11"/>
      <c r="K756" s="9"/>
      <c r="L756" s="11"/>
      <c r="M756" s="9"/>
      <c r="N756" s="11"/>
      <c r="O756" s="9"/>
      <c r="P756" s="11"/>
      <c r="Q756" s="9"/>
      <c r="R756" s="11"/>
      <c r="S756" s="9"/>
      <c r="T756" s="11"/>
      <c r="U756" s="9"/>
      <c r="V756" s="11"/>
      <c r="W756" s="9"/>
      <c r="X756" s="11"/>
      <c r="Y756" s="9"/>
      <c r="Z756" s="11"/>
      <c r="AA756" s="9"/>
      <c r="AB756" s="11"/>
      <c r="AC756" s="9"/>
      <c r="AD756" s="11"/>
      <c r="AE756" s="9"/>
      <c r="AF756" s="11"/>
      <c r="AG756" s="9"/>
      <c r="AH756" s="11"/>
      <c r="AI756" s="9"/>
      <c r="AJ756" s="11"/>
      <c r="AK756" s="9"/>
      <c r="AL756" s="11"/>
      <c r="AM756" s="9"/>
      <c r="AN756" s="11"/>
      <c r="AO756" s="9"/>
      <c r="AP756" s="11"/>
      <c r="AQ756" s="9"/>
      <c r="AR756" s="11"/>
      <c r="AS756" s="9"/>
      <c r="AT756" s="11"/>
      <c r="AU756" s="9"/>
      <c r="AV756" s="11"/>
      <c r="AW756" s="9"/>
      <c r="AX756" s="11"/>
      <c r="AY756" s="9"/>
      <c r="AZ756" s="11"/>
      <c r="BA756" s="9"/>
      <c r="BB756" s="11"/>
      <c r="BC756" s="9"/>
      <c r="BD756" s="11"/>
      <c r="BE756" s="9"/>
      <c r="BF756" s="11"/>
      <c r="BG756" s="9"/>
      <c r="BH756" s="11"/>
      <c r="BI756" s="9"/>
      <c r="BJ756" s="11"/>
      <c r="BK756" s="9"/>
      <c r="BL756" s="11"/>
      <c r="BM756" s="9"/>
      <c r="BN756" s="11"/>
      <c r="BO756" s="9"/>
      <c r="BP756" s="11"/>
      <c r="BQ756" s="9"/>
      <c r="BR756" s="11"/>
      <c r="BS756" s="9"/>
      <c r="BT756" s="11"/>
      <c r="BU756" s="9"/>
      <c r="BV756" s="11"/>
      <c r="BW756" s="9"/>
      <c r="BX756" s="11"/>
      <c r="BY756" s="9"/>
      <c r="BZ756" s="11"/>
      <c r="CA756" s="9"/>
      <c r="CB756" s="11"/>
      <c r="CC756" s="9"/>
      <c r="CD756" s="11"/>
      <c r="CE756" s="9"/>
      <c r="CF756" s="11"/>
      <c r="CG756" s="9"/>
      <c r="CH756" s="11"/>
      <c r="CI756" s="9"/>
      <c r="CJ756" s="11"/>
      <c r="CK756" s="9"/>
      <c r="CL756" s="11"/>
      <c r="CM756" s="9"/>
      <c r="CN756" s="11"/>
      <c r="CO756" s="9"/>
      <c r="CP756" s="11"/>
      <c r="CQ756" s="9"/>
      <c r="CR756" s="11"/>
      <c r="CS756" s="9"/>
      <c r="CT756" s="11"/>
      <c r="CU756" s="9"/>
      <c r="CV756" s="11"/>
      <c r="CW756" s="9"/>
      <c r="CX756" s="11"/>
      <c r="CY756" s="9"/>
      <c r="CZ756" s="11"/>
      <c r="DA756" s="9"/>
      <c r="DB756" s="11"/>
      <c r="DC756" s="9"/>
      <c r="DD756" s="11"/>
      <c r="DE756" s="9"/>
      <c r="DF756" s="11"/>
      <c r="DG756" s="9"/>
      <c r="DH756" s="11"/>
      <c r="DI756" s="9"/>
      <c r="DJ756" s="11"/>
      <c r="DK756" s="9"/>
      <c r="DL756" s="11"/>
      <c r="DM756" s="9"/>
      <c r="DN756" s="11"/>
      <c r="DO756" s="9"/>
      <c r="DP756" s="11"/>
      <c r="DQ756" s="9"/>
      <c r="DR756" s="11"/>
      <c r="DS756" s="9"/>
      <c r="DT756" s="11"/>
      <c r="DU756" s="9"/>
      <c r="DV756" s="11"/>
      <c r="DW756" s="9"/>
      <c r="DX756" s="11"/>
      <c r="DY756" s="9"/>
      <c r="DZ756" s="11"/>
      <c r="EA756" s="9"/>
      <c r="EB756" s="11"/>
      <c r="EC756" s="9"/>
      <c r="ED756" s="11"/>
      <c r="EE756" s="9"/>
      <c r="EF756" s="11"/>
      <c r="EG756" s="9"/>
      <c r="EH756" s="11"/>
      <c r="EI756" s="9"/>
      <c r="EJ756" s="11"/>
      <c r="EK756" s="9"/>
      <c r="EL756" s="11"/>
      <c r="EM756" s="9"/>
      <c r="EN756" s="11"/>
      <c r="EO756" s="9"/>
      <c r="EP756" s="11"/>
      <c r="EQ756" s="9"/>
      <c r="ER756" s="11"/>
      <c r="ES756" s="9"/>
      <c r="ET756" s="11"/>
      <c r="EU756" s="9"/>
      <c r="EV756" s="11"/>
      <c r="EW756" s="9"/>
      <c r="EX756" s="11"/>
      <c r="EY756" s="11"/>
      <c r="EZ756" s="296"/>
      <c r="FA756" s="11"/>
      <c r="FB756" s="9"/>
      <c r="FC756" s="11"/>
      <c r="FD756" s="9"/>
      <c r="FE756" s="11"/>
      <c r="FF756" s="16"/>
      <c r="FG756" s="11"/>
      <c r="FH756" s="16"/>
      <c r="FI756" s="11"/>
      <c r="FJ756" s="16"/>
      <c r="FK756" s="11"/>
      <c r="FL756" s="16"/>
      <c r="FM756" s="11"/>
      <c r="FN756" s="16"/>
      <c r="FO756" s="11"/>
      <c r="FP756" s="9"/>
      <c r="FQ756" s="11"/>
      <c r="FR756" s="9"/>
      <c r="FS756" s="11"/>
      <c r="FT756" s="9"/>
      <c r="FU756" s="11"/>
      <c r="FV756" s="9"/>
      <c r="FW756" s="11"/>
      <c r="FX756" s="9"/>
      <c r="FY756" s="11"/>
      <c r="FZ756" s="9"/>
      <c r="GA756" s="11"/>
      <c r="GB756" s="9"/>
      <c r="GC756" s="11"/>
      <c r="GD756" s="9"/>
      <c r="GE756" s="11"/>
      <c r="GF756" s="9"/>
      <c r="GG756" s="11"/>
      <c r="GH756" s="9"/>
      <c r="GI756" s="11"/>
      <c r="GJ756" s="9"/>
      <c r="GK756" s="11"/>
      <c r="GL756" s="9"/>
      <c r="GM756" s="11"/>
      <c r="GN756" s="9"/>
      <c r="GO756" s="11"/>
      <c r="GP756" s="9"/>
      <c r="GQ756" s="11"/>
      <c r="GR756" s="9"/>
      <c r="GS756" s="11"/>
      <c r="GT756" s="9"/>
      <c r="GU756" s="11"/>
      <c r="GV756" s="9"/>
      <c r="GW756" s="11"/>
      <c r="GX756" s="9"/>
      <c r="GY756" s="11"/>
      <c r="GZ756" s="11"/>
      <c r="HA756" s="11"/>
      <c r="HB756" s="11"/>
      <c r="HC756"/>
      <c r="HD756"/>
      <c r="HE756"/>
      <c r="HF756"/>
      <c r="HG756"/>
      <c r="HH756"/>
      <c r="HI756" s="2"/>
    </row>
    <row r="757" spans="2:217" s="3" customFormat="1" ht="12.75" hidden="1" customHeight="1" outlineLevel="1" x14ac:dyDescent="0.2">
      <c r="B757" s="10"/>
      <c r="C757" s="9"/>
      <c r="D757" s="11"/>
      <c r="E757" s="9"/>
      <c r="F757" s="11"/>
      <c r="G757" s="9"/>
      <c r="H757" s="11"/>
      <c r="I757" s="9"/>
      <c r="J757" s="11"/>
      <c r="K757" s="9"/>
      <c r="L757" s="11"/>
      <c r="M757" s="9"/>
      <c r="N757" s="11"/>
      <c r="O757" s="9"/>
      <c r="P757" s="11"/>
      <c r="Q757" s="9"/>
      <c r="R757" s="11"/>
      <c r="S757" s="9"/>
      <c r="T757" s="11"/>
      <c r="U757" s="9"/>
      <c r="V757" s="11"/>
      <c r="W757" s="9"/>
      <c r="X757" s="11"/>
      <c r="Y757" s="9"/>
      <c r="Z757" s="11"/>
      <c r="AA757" s="9"/>
      <c r="AB757" s="11"/>
      <c r="AC757" s="9"/>
      <c r="AD757" s="11"/>
      <c r="AE757" s="9"/>
      <c r="AF757" s="11"/>
      <c r="AG757" s="9"/>
      <c r="AH757" s="11"/>
      <c r="AI757" s="9"/>
      <c r="AJ757" s="11"/>
      <c r="AK757" s="9"/>
      <c r="AL757" s="11"/>
      <c r="AM757" s="9"/>
      <c r="AN757" s="11"/>
      <c r="AO757" s="9"/>
      <c r="AP757" s="11"/>
      <c r="AQ757" s="9"/>
      <c r="AR757" s="11"/>
      <c r="AS757" s="9"/>
      <c r="AT757" s="11"/>
      <c r="AU757" s="9"/>
      <c r="AV757" s="11"/>
      <c r="AW757" s="9"/>
      <c r="AX757" s="11"/>
      <c r="AY757" s="9"/>
      <c r="AZ757" s="11"/>
      <c r="BA757" s="9"/>
      <c r="BB757" s="11"/>
      <c r="BC757" s="9"/>
      <c r="BD757" s="11"/>
      <c r="BE757" s="9"/>
      <c r="BF757" s="11"/>
      <c r="BG757" s="9"/>
      <c r="BH757" s="11"/>
      <c r="BI757" s="9"/>
      <c r="BJ757" s="11"/>
      <c r="BK757" s="9"/>
      <c r="BL757" s="11"/>
      <c r="BM757" s="9"/>
      <c r="BN757" s="11"/>
      <c r="BO757" s="9"/>
      <c r="BP757" s="11"/>
      <c r="BQ757" s="9"/>
      <c r="BR757" s="11"/>
      <c r="BS757" s="9"/>
      <c r="BT757" s="11"/>
      <c r="BU757" s="9"/>
      <c r="BV757" s="11"/>
      <c r="BW757" s="9"/>
      <c r="BX757" s="11"/>
      <c r="BY757" s="9"/>
      <c r="BZ757" s="11"/>
      <c r="CA757" s="9"/>
      <c r="CB757" s="11"/>
      <c r="CC757" s="9"/>
      <c r="CD757" s="11"/>
      <c r="CE757" s="9"/>
      <c r="CF757" s="11"/>
      <c r="CG757" s="9"/>
      <c r="CH757" s="11"/>
      <c r="CI757" s="9"/>
      <c r="CJ757" s="11"/>
      <c r="CK757" s="9"/>
      <c r="CL757" s="11"/>
      <c r="CM757" s="9"/>
      <c r="CN757" s="11"/>
      <c r="CO757" s="9"/>
      <c r="CP757" s="11"/>
      <c r="CQ757" s="9"/>
      <c r="CR757" s="11"/>
      <c r="CS757" s="9"/>
      <c r="CT757" s="11"/>
      <c r="CU757" s="9"/>
      <c r="CV757" s="11"/>
      <c r="CW757" s="9"/>
      <c r="CX757" s="11"/>
      <c r="CY757" s="9"/>
      <c r="CZ757" s="11"/>
      <c r="DA757" s="9"/>
      <c r="DB757" s="11"/>
      <c r="DC757" s="9"/>
      <c r="DD757" s="11"/>
      <c r="DE757" s="9"/>
      <c r="DF757" s="11"/>
      <c r="DG757" s="9"/>
      <c r="DH757" s="11"/>
      <c r="DI757" s="9"/>
      <c r="DJ757" s="11"/>
      <c r="DK757" s="9"/>
      <c r="DL757" s="11"/>
      <c r="DM757" s="9"/>
      <c r="DN757" s="11"/>
      <c r="DO757" s="9"/>
      <c r="DP757" s="11"/>
      <c r="DQ757" s="9"/>
      <c r="DR757" s="11"/>
      <c r="DS757" s="9"/>
      <c r="DT757" s="11"/>
      <c r="DU757" s="9"/>
      <c r="DV757" s="11"/>
      <c r="DW757" s="9"/>
      <c r="DX757" s="11"/>
      <c r="DY757" s="9"/>
      <c r="DZ757" s="11"/>
      <c r="EA757" s="9"/>
      <c r="EB757" s="11"/>
      <c r="EC757" s="9"/>
      <c r="ED757" s="11"/>
      <c r="EE757" s="9"/>
      <c r="EF757" s="11"/>
      <c r="EG757" s="9"/>
      <c r="EH757" s="11"/>
      <c r="EI757" s="9"/>
      <c r="EJ757" s="11"/>
      <c r="EK757" s="9"/>
      <c r="EL757" s="11"/>
      <c r="EM757" s="9"/>
      <c r="EN757" s="11"/>
      <c r="EO757" s="9"/>
      <c r="EP757" s="11"/>
      <c r="EQ757" s="9"/>
      <c r="ER757" s="11"/>
      <c r="ES757" s="9"/>
      <c r="ET757" s="11"/>
      <c r="EU757" s="9"/>
      <c r="EV757" s="11"/>
      <c r="EW757" s="9"/>
      <c r="EX757" s="11"/>
      <c r="EY757" s="11"/>
      <c r="EZ757" s="296"/>
      <c r="FA757" s="11"/>
      <c r="FB757" s="9"/>
      <c r="FC757" s="11"/>
      <c r="FD757" s="9"/>
      <c r="FE757" s="11"/>
      <c r="FF757" s="16"/>
      <c r="FG757" s="11"/>
      <c r="FH757" s="16"/>
      <c r="FI757" s="11"/>
      <c r="FJ757" s="16"/>
      <c r="FK757" s="11"/>
      <c r="FL757" s="16"/>
      <c r="FM757" s="11"/>
      <c r="FN757" s="16"/>
      <c r="FO757" s="11"/>
      <c r="FP757" s="9"/>
      <c r="FQ757" s="11"/>
      <c r="FR757" s="9"/>
      <c r="FS757" s="11"/>
      <c r="FT757" s="9"/>
      <c r="FU757" s="11"/>
      <c r="FV757" s="9"/>
      <c r="FW757" s="11"/>
      <c r="FX757" s="9"/>
      <c r="FY757" s="11"/>
      <c r="FZ757" s="9"/>
      <c r="GA757" s="11"/>
      <c r="GB757" s="9"/>
      <c r="GC757" s="11"/>
      <c r="GD757" s="9"/>
      <c r="GE757" s="11"/>
      <c r="GF757" s="9"/>
      <c r="GG757" s="11"/>
      <c r="GH757" s="9"/>
      <c r="GI757" s="11"/>
      <c r="GJ757" s="9"/>
      <c r="GK757" s="11"/>
      <c r="GL757" s="9"/>
      <c r="GM757" s="11"/>
      <c r="GN757" s="9"/>
      <c r="GO757" s="11"/>
      <c r="GP757" s="9"/>
      <c r="GQ757" s="11"/>
      <c r="GR757" s="9"/>
      <c r="GS757" s="11"/>
      <c r="GT757" s="9"/>
      <c r="GU757" s="11"/>
      <c r="GV757" s="9"/>
      <c r="GW757" s="11"/>
      <c r="GX757" s="9"/>
      <c r="GY757" s="11"/>
      <c r="GZ757" s="11"/>
      <c r="HA757" s="11"/>
      <c r="HB757" s="11"/>
      <c r="HC757"/>
      <c r="HD757"/>
      <c r="HE757"/>
      <c r="HF757"/>
      <c r="HG757"/>
      <c r="HH757"/>
      <c r="HI757" s="2"/>
    </row>
    <row r="758" spans="2:217" s="3" customFormat="1" ht="12.75" hidden="1" customHeight="1" outlineLevel="1" x14ac:dyDescent="0.2">
      <c r="B758" s="10"/>
      <c r="C758" s="9"/>
      <c r="D758" s="11"/>
      <c r="E758" s="9"/>
      <c r="F758" s="11"/>
      <c r="G758" s="9"/>
      <c r="H758" s="11"/>
      <c r="I758" s="9"/>
      <c r="J758" s="11"/>
      <c r="K758" s="9"/>
      <c r="L758" s="11"/>
      <c r="M758" s="9"/>
      <c r="N758" s="11"/>
      <c r="O758" s="9"/>
      <c r="P758" s="11"/>
      <c r="Q758" s="9"/>
      <c r="R758" s="11"/>
      <c r="S758" s="9"/>
      <c r="T758" s="11"/>
      <c r="U758" s="9"/>
      <c r="V758" s="11"/>
      <c r="W758" s="9"/>
      <c r="X758" s="11"/>
      <c r="Y758" s="9"/>
      <c r="Z758" s="11"/>
      <c r="AA758" s="9"/>
      <c r="AB758" s="11"/>
      <c r="AC758" s="9"/>
      <c r="AD758" s="11"/>
      <c r="AE758" s="9"/>
      <c r="AF758" s="11"/>
      <c r="AG758" s="9"/>
      <c r="AH758" s="11"/>
      <c r="AI758" s="9"/>
      <c r="AJ758" s="11"/>
      <c r="AK758" s="9"/>
      <c r="AL758" s="11"/>
      <c r="AM758" s="9"/>
      <c r="AN758" s="11"/>
      <c r="AO758" s="9"/>
      <c r="AP758" s="11"/>
      <c r="AQ758" s="9"/>
      <c r="AR758" s="11"/>
      <c r="AS758" s="9"/>
      <c r="AT758" s="11"/>
      <c r="AU758" s="9"/>
      <c r="AV758" s="11"/>
      <c r="AW758" s="9"/>
      <c r="AX758" s="11"/>
      <c r="AY758" s="9"/>
      <c r="AZ758" s="11"/>
      <c r="BA758" s="9"/>
      <c r="BB758" s="11"/>
      <c r="BC758" s="9"/>
      <c r="BD758" s="11"/>
      <c r="BE758" s="9"/>
      <c r="BF758" s="11"/>
      <c r="BG758" s="9"/>
      <c r="BH758" s="11"/>
      <c r="BI758" s="9"/>
      <c r="BJ758" s="11"/>
      <c r="BK758" s="9"/>
      <c r="BL758" s="11"/>
      <c r="BM758" s="9"/>
      <c r="BN758" s="11"/>
      <c r="BO758" s="9"/>
      <c r="BP758" s="11"/>
      <c r="BQ758" s="9"/>
      <c r="BR758" s="11"/>
      <c r="BS758" s="9"/>
      <c r="BT758" s="11"/>
      <c r="BU758" s="9"/>
      <c r="BV758" s="11"/>
      <c r="BW758" s="9"/>
      <c r="BX758" s="11"/>
      <c r="BY758" s="9"/>
      <c r="BZ758" s="11"/>
      <c r="CA758" s="9"/>
      <c r="CB758" s="11"/>
      <c r="CC758" s="9"/>
      <c r="CD758" s="11"/>
      <c r="CE758" s="9"/>
      <c r="CF758" s="11"/>
      <c r="CG758" s="9"/>
      <c r="CH758" s="11"/>
      <c r="CI758" s="9"/>
      <c r="CJ758" s="11"/>
      <c r="CK758" s="9"/>
      <c r="CL758" s="11"/>
      <c r="CM758" s="9"/>
      <c r="CN758" s="11"/>
      <c r="CO758" s="9"/>
      <c r="CP758" s="11"/>
      <c r="CQ758" s="9"/>
      <c r="CR758" s="11"/>
      <c r="CS758" s="9"/>
      <c r="CT758" s="11"/>
      <c r="CU758" s="9"/>
      <c r="CV758" s="11"/>
      <c r="CW758" s="9"/>
      <c r="CX758" s="11"/>
      <c r="CY758" s="9"/>
      <c r="CZ758" s="11"/>
      <c r="DA758" s="9"/>
      <c r="DB758" s="11"/>
      <c r="DC758" s="9"/>
      <c r="DD758" s="11"/>
      <c r="DE758" s="9"/>
      <c r="DF758" s="11"/>
      <c r="DG758" s="9"/>
      <c r="DH758" s="11"/>
      <c r="DI758" s="9"/>
      <c r="DJ758" s="11"/>
      <c r="DK758" s="9"/>
      <c r="DL758" s="11"/>
      <c r="DM758" s="9"/>
      <c r="DN758" s="11"/>
      <c r="DO758" s="9"/>
      <c r="DP758" s="11"/>
      <c r="DQ758" s="9"/>
      <c r="DR758" s="11"/>
      <c r="DS758" s="9"/>
      <c r="DT758" s="11"/>
      <c r="DU758" s="9"/>
      <c r="DV758" s="11"/>
      <c r="DW758" s="9"/>
      <c r="DX758" s="11"/>
      <c r="DY758" s="9"/>
      <c r="DZ758" s="11"/>
      <c r="EA758" s="9"/>
      <c r="EB758" s="11"/>
      <c r="EC758" s="9"/>
      <c r="ED758" s="11"/>
      <c r="EE758" s="9"/>
      <c r="EF758" s="11"/>
      <c r="EG758" s="9"/>
      <c r="EH758" s="11"/>
      <c r="EI758" s="9"/>
      <c r="EJ758" s="11"/>
      <c r="EK758" s="9"/>
      <c r="EL758" s="11"/>
      <c r="EM758" s="9"/>
      <c r="EN758" s="11"/>
      <c r="EO758" s="9"/>
      <c r="EP758" s="11"/>
      <c r="EQ758" s="9"/>
      <c r="ER758" s="11"/>
      <c r="ES758" s="9"/>
      <c r="ET758" s="11"/>
      <c r="EU758" s="9"/>
      <c r="EV758" s="11"/>
      <c r="EW758" s="9"/>
      <c r="EX758" s="11"/>
      <c r="EY758" s="11"/>
      <c r="EZ758" s="296"/>
      <c r="FA758" s="11"/>
      <c r="FB758" s="9"/>
      <c r="FC758" s="11"/>
      <c r="FD758" s="9"/>
      <c r="FE758" s="11"/>
      <c r="FF758" s="16"/>
      <c r="FG758" s="11"/>
      <c r="FH758" s="16"/>
      <c r="FI758" s="11"/>
      <c r="FJ758" s="16"/>
      <c r="FK758" s="11"/>
      <c r="FL758" s="16"/>
      <c r="FM758" s="11"/>
      <c r="FN758" s="16"/>
      <c r="FO758" s="11"/>
      <c r="FP758" s="9"/>
      <c r="FQ758" s="11"/>
      <c r="FR758" s="9"/>
      <c r="FS758" s="11"/>
      <c r="FT758" s="9"/>
      <c r="FU758" s="11"/>
      <c r="FV758" s="9"/>
      <c r="FW758" s="11"/>
      <c r="FX758" s="9"/>
      <c r="FY758" s="11"/>
      <c r="FZ758" s="9"/>
      <c r="GA758" s="11"/>
      <c r="GB758" s="9"/>
      <c r="GC758" s="11"/>
      <c r="GD758" s="9"/>
      <c r="GE758" s="11"/>
      <c r="GF758" s="9"/>
      <c r="GG758" s="11"/>
      <c r="GH758" s="9"/>
      <c r="GI758" s="11"/>
      <c r="GJ758" s="9"/>
      <c r="GK758" s="11"/>
      <c r="GL758" s="9"/>
      <c r="GM758" s="11"/>
      <c r="GN758" s="9"/>
      <c r="GO758" s="11"/>
      <c r="GP758" s="9"/>
      <c r="GQ758" s="11"/>
      <c r="GR758" s="9"/>
      <c r="GS758" s="11"/>
      <c r="GT758" s="9"/>
      <c r="GU758" s="11"/>
      <c r="GV758" s="9"/>
      <c r="GW758" s="11"/>
      <c r="GX758" s="9"/>
      <c r="GY758" s="11"/>
      <c r="GZ758" s="11"/>
      <c r="HA758" s="11"/>
      <c r="HB758" s="11"/>
      <c r="HC758"/>
      <c r="HD758"/>
      <c r="HE758"/>
      <c r="HF758"/>
      <c r="HG758"/>
      <c r="HH758"/>
      <c r="HI758" s="2"/>
    </row>
    <row r="759" spans="2:217" s="295" customFormat="1" ht="12.75" customHeight="1" collapsed="1" x14ac:dyDescent="0.2">
      <c r="B759" s="291" t="s">
        <v>526</v>
      </c>
      <c r="C759" s="292"/>
      <c r="D759" s="293"/>
      <c r="E759" s="292"/>
      <c r="F759" s="293"/>
      <c r="G759" s="292"/>
      <c r="H759" s="293"/>
      <c r="I759" s="292"/>
      <c r="J759" s="293"/>
      <c r="K759" s="292"/>
      <c r="L759" s="293"/>
      <c r="M759" s="292"/>
      <c r="N759" s="293"/>
      <c r="O759" s="292"/>
      <c r="P759" s="293"/>
      <c r="Q759" s="292"/>
      <c r="R759" s="293"/>
      <c r="S759" s="292"/>
      <c r="T759" s="293"/>
      <c r="U759" s="292"/>
      <c r="V759" s="293"/>
      <c r="W759" s="292"/>
      <c r="X759" s="293"/>
      <c r="Y759" s="292"/>
      <c r="Z759" s="293"/>
      <c r="AA759" s="292"/>
      <c r="AB759" s="293"/>
      <c r="AC759" s="292"/>
      <c r="AD759" s="293"/>
      <c r="AE759" s="292"/>
      <c r="AF759" s="293"/>
      <c r="AG759" s="292"/>
      <c r="AH759" s="293"/>
      <c r="AI759" s="292"/>
      <c r="AJ759" s="293"/>
      <c r="AK759" s="292"/>
      <c r="AL759" s="293"/>
      <c r="AM759" s="292"/>
      <c r="AN759" s="293"/>
      <c r="AO759" s="292"/>
      <c r="AP759" s="293"/>
      <c r="AQ759" s="292"/>
      <c r="AR759" s="293"/>
      <c r="AS759" s="292"/>
      <c r="AT759" s="293"/>
      <c r="AU759" s="292"/>
      <c r="AV759" s="293"/>
      <c r="AW759" s="292"/>
      <c r="AX759" s="293"/>
      <c r="AY759" s="292"/>
      <c r="AZ759" s="293"/>
      <c r="BA759" s="292"/>
      <c r="BB759" s="293"/>
      <c r="BC759" s="292"/>
      <c r="BD759" s="293"/>
      <c r="BE759" s="292"/>
      <c r="BF759" s="293"/>
      <c r="BG759" s="292"/>
      <c r="BH759" s="293"/>
      <c r="BI759" s="292"/>
      <c r="BJ759" s="293"/>
      <c r="BK759" s="292"/>
      <c r="BL759" s="293"/>
      <c r="BM759" s="292"/>
      <c r="BN759" s="293"/>
      <c r="BO759" s="292"/>
      <c r="BP759" s="293"/>
      <c r="BQ759" s="294"/>
      <c r="BR759" s="294"/>
      <c r="BS759" s="294"/>
      <c r="BT759" s="293"/>
      <c r="BU759" s="294"/>
      <c r="BV759" s="293"/>
      <c r="BW759" s="294"/>
      <c r="BX759" s="293"/>
      <c r="BY759" s="294"/>
      <c r="BZ759" s="293"/>
      <c r="CA759" s="294"/>
      <c r="CB759" s="293"/>
      <c r="CC759" s="294"/>
      <c r="CD759" s="293"/>
      <c r="CE759" s="294"/>
      <c r="CF759" s="293"/>
      <c r="CG759" s="294"/>
      <c r="CH759" s="293"/>
      <c r="CI759" s="294"/>
      <c r="CJ759" s="293"/>
      <c r="CK759" s="294"/>
      <c r="CL759" s="293"/>
      <c r="CM759" s="294"/>
      <c r="CN759" s="293"/>
      <c r="CO759" s="294"/>
      <c r="CP759" s="293"/>
      <c r="CQ759" s="294"/>
      <c r="CR759" s="293"/>
      <c r="CS759" s="294"/>
      <c r="CT759" s="293"/>
      <c r="CU759" s="294"/>
      <c r="CV759" s="293"/>
      <c r="CW759" s="294"/>
      <c r="CX759" s="293"/>
      <c r="CY759" s="294"/>
      <c r="CZ759" s="293"/>
      <c r="DA759" s="294"/>
      <c r="DB759" s="293"/>
      <c r="DC759" s="294"/>
      <c r="DD759" s="293"/>
      <c r="DE759" s="294"/>
      <c r="DF759" s="293"/>
      <c r="DG759" s="294"/>
      <c r="DH759" s="293"/>
      <c r="DI759" s="294"/>
      <c r="DJ759" s="293"/>
      <c r="DK759" s="294"/>
      <c r="DL759" s="293"/>
      <c r="DM759" s="294"/>
      <c r="DN759" s="293"/>
      <c r="DO759" s="294"/>
      <c r="DP759" s="293"/>
      <c r="DQ759" s="294"/>
      <c r="DR759" s="293"/>
      <c r="DS759" s="294"/>
      <c r="DT759" s="293"/>
      <c r="DU759" s="294"/>
      <c r="DV759" s="293"/>
      <c r="DW759" s="292"/>
      <c r="DX759" s="293"/>
      <c r="DY759" s="292"/>
      <c r="DZ759" s="293"/>
      <c r="EA759" s="292"/>
      <c r="EB759" s="293"/>
      <c r="EC759" s="292"/>
      <c r="ED759" s="293"/>
      <c r="EE759" s="292"/>
      <c r="EF759" s="293"/>
      <c r="EG759" s="292"/>
      <c r="EH759" s="293"/>
      <c r="EI759" s="292"/>
      <c r="EJ759" s="293"/>
      <c r="EK759" s="292"/>
      <c r="EL759" s="293"/>
      <c r="EM759" s="292"/>
      <c r="EN759" s="293"/>
      <c r="EO759" s="292"/>
      <c r="EP759" s="293"/>
      <c r="EQ759" s="292"/>
      <c r="ER759" s="293"/>
      <c r="ES759" s="292"/>
      <c r="ET759" s="293"/>
      <c r="EU759" s="292"/>
      <c r="EV759" s="293"/>
      <c r="EW759" s="292"/>
      <c r="EX759" s="293"/>
      <c r="EY759" s="293"/>
      <c r="EZ759" s="299"/>
      <c r="FA759" s="293"/>
      <c r="FB759" s="292"/>
      <c r="FC759" s="293"/>
      <c r="FD759" s="292"/>
      <c r="FE759" s="293"/>
      <c r="FF759" s="292"/>
      <c r="FG759" s="293"/>
      <c r="FH759" s="292"/>
      <c r="FI759" s="293"/>
      <c r="FJ759" s="292"/>
      <c r="FK759" s="293"/>
      <c r="FL759" s="292"/>
      <c r="FM759" s="293"/>
      <c r="FN759" s="292"/>
      <c r="FO759" s="293"/>
      <c r="FP759" s="292"/>
      <c r="FQ759" s="293"/>
      <c r="FR759" s="294"/>
      <c r="FS759" s="293"/>
      <c r="FT759" s="294"/>
      <c r="FU759" s="293"/>
      <c r="FV759" s="294"/>
      <c r="FW759" s="293"/>
      <c r="FX759" s="294"/>
      <c r="FY759" s="293"/>
      <c r="FZ759" s="294"/>
      <c r="GA759" s="293"/>
      <c r="GB759" s="294"/>
      <c r="GC759" s="293"/>
      <c r="GD759" s="294"/>
      <c r="GE759" s="293"/>
      <c r="GF759" s="294"/>
      <c r="GG759" s="293"/>
      <c r="GH759" s="294"/>
      <c r="GI759" s="293"/>
      <c r="GJ759" s="294"/>
      <c r="GK759" s="293"/>
      <c r="GL759" s="294"/>
      <c r="GM759" s="293"/>
      <c r="GN759" s="294"/>
      <c r="GO759" s="293"/>
      <c r="GP759" s="294"/>
      <c r="GQ759" s="293"/>
      <c r="GR759" s="292"/>
      <c r="GS759" s="293"/>
      <c r="GT759" s="292"/>
      <c r="GU759" s="293"/>
      <c r="GV759" s="292"/>
      <c r="GW759" s="293"/>
      <c r="GX759" s="292"/>
      <c r="GY759" s="293"/>
      <c r="GZ759" s="293"/>
      <c r="HA759" s="293"/>
      <c r="HB759" s="293"/>
      <c r="HC759"/>
      <c r="HD759"/>
      <c r="HE759"/>
      <c r="HF759"/>
      <c r="HG759"/>
      <c r="HH759"/>
      <c r="HI759" s="290"/>
    </row>
    <row r="760" spans="2:217" s="3" customFormat="1" ht="12.75" customHeight="1" x14ac:dyDescent="0.2">
      <c r="B760" s="10"/>
      <c r="C760" s="9"/>
      <c r="D760" s="11"/>
      <c r="E760" s="9"/>
      <c r="F760" s="11"/>
      <c r="G760" s="9"/>
      <c r="H760" s="11"/>
      <c r="I760" s="9"/>
      <c r="J760" s="11"/>
      <c r="K760" s="9"/>
      <c r="L760" s="11"/>
      <c r="M760" s="9"/>
      <c r="N760" s="11"/>
      <c r="O760" s="9"/>
      <c r="P760" s="11"/>
      <c r="Q760" s="9"/>
      <c r="R760" s="11"/>
      <c r="S760" s="9"/>
      <c r="T760" s="11"/>
      <c r="U760" s="9"/>
      <c r="V760" s="11"/>
      <c r="W760" s="9"/>
      <c r="X760" s="11"/>
      <c r="Y760" s="9"/>
      <c r="Z760" s="11"/>
      <c r="AA760" s="9"/>
      <c r="AB760" s="11"/>
      <c r="AC760" s="9"/>
      <c r="AD760" s="11"/>
      <c r="AE760" s="9"/>
      <c r="AF760" s="11"/>
      <c r="AG760" s="9"/>
      <c r="AH760" s="11"/>
      <c r="AI760" s="9"/>
      <c r="AJ760" s="11"/>
      <c r="AK760" s="9"/>
      <c r="AL760" s="11"/>
      <c r="AM760" s="9"/>
      <c r="AN760" s="11"/>
      <c r="AO760" s="9"/>
      <c r="AP760" s="11"/>
      <c r="AQ760" s="9"/>
      <c r="AR760" s="11"/>
      <c r="AS760" s="9"/>
      <c r="AT760" s="11"/>
      <c r="AU760" s="9"/>
      <c r="AV760" s="11"/>
      <c r="AW760" s="9"/>
      <c r="AX760" s="11"/>
      <c r="AY760" s="9"/>
      <c r="AZ760" s="11"/>
      <c r="BA760" s="9"/>
      <c r="BB760" s="11"/>
      <c r="BC760" s="9"/>
      <c r="BD760" s="11"/>
      <c r="BE760" s="9"/>
      <c r="BF760" s="11"/>
      <c r="BG760" s="9"/>
      <c r="BH760" s="11"/>
      <c r="BI760" s="9"/>
      <c r="BJ760" s="11"/>
      <c r="BK760" s="9"/>
      <c r="BL760" s="11"/>
      <c r="BM760" s="9"/>
      <c r="BN760" s="11"/>
      <c r="BO760" s="9"/>
      <c r="BP760" s="11"/>
      <c r="BQ760" s="9"/>
      <c r="BR760" s="11"/>
      <c r="BS760" s="9"/>
      <c r="BT760" s="11"/>
      <c r="BU760" s="9"/>
      <c r="BV760" s="11"/>
      <c r="BW760" s="9"/>
      <c r="BX760" s="11"/>
      <c r="BY760" s="9"/>
      <c r="BZ760" s="11"/>
      <c r="CA760" s="9"/>
      <c r="CB760" s="11"/>
      <c r="CC760" s="9"/>
      <c r="CD760" s="11"/>
      <c r="CE760" s="9"/>
      <c r="CF760" s="11"/>
      <c r="CG760" s="9"/>
      <c r="CH760" s="11"/>
      <c r="CI760" s="9"/>
      <c r="CJ760" s="11"/>
      <c r="CK760" s="9"/>
      <c r="CL760" s="11"/>
      <c r="CM760" s="9"/>
      <c r="CN760" s="11"/>
      <c r="CO760" s="9"/>
      <c r="CP760" s="11"/>
      <c r="CQ760" s="9"/>
      <c r="CR760" s="11"/>
      <c r="CS760" s="9"/>
      <c r="CT760" s="11"/>
      <c r="CU760" s="9"/>
      <c r="CV760" s="11"/>
      <c r="CW760" s="9"/>
      <c r="CX760" s="11"/>
      <c r="CY760" s="9"/>
      <c r="CZ760" s="11"/>
      <c r="DA760" s="9"/>
      <c r="DB760" s="11"/>
      <c r="DC760" s="9"/>
      <c r="DD760" s="11"/>
      <c r="DE760" s="9"/>
      <c r="DF760" s="11"/>
      <c r="DG760" s="9"/>
      <c r="DH760" s="11"/>
      <c r="DI760" s="9"/>
      <c r="DJ760" s="11"/>
      <c r="DK760" s="9"/>
      <c r="DL760" s="11"/>
      <c r="DM760" s="9"/>
      <c r="DN760" s="11"/>
      <c r="DO760" s="9"/>
      <c r="DP760" s="11"/>
      <c r="DQ760" s="9"/>
      <c r="DR760" s="11"/>
      <c r="DS760" s="9"/>
      <c r="DT760" s="11"/>
      <c r="DU760" s="9"/>
      <c r="DV760" s="11"/>
      <c r="DW760" s="9"/>
      <c r="DX760" s="11"/>
      <c r="DY760" s="9"/>
      <c r="DZ760" s="11"/>
      <c r="EA760" s="9"/>
      <c r="EB760" s="11"/>
      <c r="EC760" s="9"/>
      <c r="ED760" s="11"/>
      <c r="EE760" s="9"/>
      <c r="EF760" s="11"/>
      <c r="EG760" s="9"/>
      <c r="EH760" s="11"/>
      <c r="EI760" s="9"/>
      <c r="EJ760" s="11"/>
      <c r="EK760" s="9"/>
      <c r="EL760" s="11"/>
      <c r="EM760" s="9"/>
      <c r="EN760" s="11"/>
      <c r="EO760" s="9"/>
      <c r="EP760" s="11"/>
      <c r="EQ760" s="9"/>
      <c r="ER760" s="11"/>
      <c r="ES760" s="9"/>
      <c r="ET760" s="11"/>
      <c r="EU760" s="9"/>
      <c r="EV760" s="11"/>
      <c r="EW760" s="9"/>
      <c r="EX760" s="11"/>
      <c r="EY760" s="11"/>
      <c r="EZ760" s="296"/>
      <c r="FA760" s="11"/>
      <c r="FB760" s="9"/>
      <c r="FC760" s="11"/>
      <c r="FD760" s="9"/>
      <c r="FE760" s="11"/>
      <c r="FF760" s="16"/>
      <c r="FG760" s="11"/>
      <c r="FH760" s="16"/>
      <c r="FI760" s="11"/>
      <c r="FJ760" s="16"/>
      <c r="FK760" s="11"/>
      <c r="FL760" s="16"/>
      <c r="FM760" s="11"/>
      <c r="FN760" s="16"/>
      <c r="FO760" s="11"/>
      <c r="FP760" s="9"/>
      <c r="FQ760" s="11"/>
      <c r="FR760" s="9"/>
      <c r="FS760" s="11"/>
      <c r="FT760" s="9"/>
      <c r="FU760" s="11"/>
      <c r="FV760" s="9"/>
      <c r="FW760" s="11"/>
      <c r="FX760" s="9"/>
      <c r="FY760" s="11"/>
      <c r="FZ760" s="9"/>
      <c r="GA760" s="11"/>
      <c r="GB760" s="9"/>
      <c r="GC760" s="11"/>
      <c r="GD760" s="9"/>
      <c r="GE760" s="11"/>
      <c r="GF760" s="9"/>
      <c r="GG760" s="11"/>
      <c r="GH760" s="9"/>
      <c r="GI760" s="11"/>
      <c r="GJ760" s="9"/>
      <c r="GK760" s="11"/>
      <c r="GL760" s="9"/>
      <c r="GM760" s="11"/>
      <c r="GN760" s="9"/>
      <c r="GO760" s="11"/>
      <c r="GP760" s="9"/>
      <c r="GQ760" s="11"/>
      <c r="GR760" s="9"/>
      <c r="GS760" s="11"/>
      <c r="GT760" s="9"/>
      <c r="GU760" s="11"/>
      <c r="GV760" s="9"/>
      <c r="GW760" s="11"/>
      <c r="GX760" s="9"/>
      <c r="GY760" s="11"/>
      <c r="GZ760" s="11"/>
      <c r="HA760" s="11"/>
      <c r="HB760" s="11"/>
      <c r="HC760"/>
      <c r="HD760"/>
      <c r="HE760"/>
      <c r="HF760"/>
      <c r="HG760"/>
      <c r="HH760"/>
      <c r="HI760" s="2"/>
    </row>
    <row r="761" spans="2:217" s="3" customFormat="1" ht="12.75" hidden="1" customHeight="1" outlineLevel="1" x14ac:dyDescent="0.2">
      <c r="B761" s="2" t="s">
        <v>243</v>
      </c>
      <c r="C761" s="9"/>
      <c r="D761" s="11"/>
      <c r="E761" s="9"/>
      <c r="F761" s="11"/>
      <c r="G761" s="9"/>
      <c r="H761" s="11"/>
      <c r="I761" s="9"/>
      <c r="J761" s="11"/>
      <c r="K761" s="9"/>
      <c r="L761" s="11"/>
      <c r="M761" s="9"/>
      <c r="N761" s="11"/>
      <c r="O761" s="9"/>
      <c r="P761" s="11"/>
      <c r="Q761" s="9"/>
      <c r="R761" s="11"/>
      <c r="S761" s="9"/>
      <c r="T761" s="11"/>
      <c r="U761" s="9"/>
      <c r="V761" s="11"/>
      <c r="W761" s="9"/>
      <c r="X761" s="11"/>
      <c r="Y761" s="9"/>
      <c r="Z761" s="11"/>
      <c r="AA761" s="9"/>
      <c r="AB761" s="11"/>
      <c r="AC761" s="9"/>
      <c r="AD761" s="11"/>
      <c r="AE761" s="9"/>
      <c r="AF761" s="11"/>
      <c r="AG761" s="9"/>
      <c r="AH761" s="11"/>
      <c r="AI761" s="9"/>
      <c r="AJ761" s="11"/>
      <c r="AK761" s="9"/>
      <c r="AL761" s="11"/>
      <c r="AM761" s="9"/>
      <c r="AN761" s="11"/>
      <c r="AO761" s="9"/>
      <c r="AP761" s="11"/>
      <c r="AQ761" s="9"/>
      <c r="AR761" s="11"/>
      <c r="AS761" s="9"/>
      <c r="AT761" s="11"/>
      <c r="AU761" s="9"/>
      <c r="AV761" s="11"/>
      <c r="AW761" s="9"/>
      <c r="AX761" s="11"/>
      <c r="AY761" s="9">
        <v>0</v>
      </c>
      <c r="AZ761" s="11"/>
      <c r="BA761" s="9">
        <v>0</v>
      </c>
      <c r="BB761" s="11"/>
      <c r="BC761" s="9">
        <v>0</v>
      </c>
      <c r="BD761" s="11"/>
      <c r="BE761" s="9">
        <v>0</v>
      </c>
      <c r="BF761" s="11"/>
      <c r="BG761" s="9">
        <v>0</v>
      </c>
      <c r="BH761" s="11"/>
      <c r="BI761" s="9">
        <v>0</v>
      </c>
      <c r="BJ761" s="11"/>
      <c r="BK761" s="9">
        <v>0</v>
      </c>
      <c r="BL761" s="11"/>
      <c r="BM761" s="9">
        <v>0</v>
      </c>
      <c r="BN761" s="11"/>
      <c r="BO761" s="9">
        <v>0</v>
      </c>
      <c r="BP761" s="11"/>
      <c r="BQ761" s="9">
        <v>0</v>
      </c>
      <c r="BR761" s="11"/>
      <c r="BS761" s="9">
        <v>0</v>
      </c>
      <c r="BT761" s="11"/>
      <c r="BU761" s="9">
        <v>0</v>
      </c>
      <c r="BV761" s="11"/>
      <c r="BW761" s="9">
        <v>0</v>
      </c>
      <c r="BX761" s="11"/>
      <c r="BY761" s="9">
        <v>0</v>
      </c>
      <c r="BZ761" s="11"/>
      <c r="CA761" s="9">
        <v>0</v>
      </c>
      <c r="CB761" s="11"/>
      <c r="CC761" s="9">
        <v>0</v>
      </c>
      <c r="CD761" s="11"/>
      <c r="CE761" s="9">
        <v>0</v>
      </c>
      <c r="CF761" s="11"/>
      <c r="CG761" s="9">
        <v>0</v>
      </c>
      <c r="CH761" s="11"/>
      <c r="CI761" s="9">
        <v>0</v>
      </c>
      <c r="CJ761" s="11"/>
      <c r="CK761" s="9">
        <v>0</v>
      </c>
      <c r="CL761" s="11"/>
      <c r="CM761" s="9">
        <v>0</v>
      </c>
      <c r="CN761" s="11"/>
      <c r="CO761" s="9">
        <v>0</v>
      </c>
      <c r="CP761" s="11"/>
      <c r="CQ761" s="9">
        <v>0</v>
      </c>
      <c r="CR761" s="11"/>
      <c r="CS761" s="9">
        <v>0</v>
      </c>
      <c r="CT761" s="11"/>
      <c r="CU761" s="9">
        <v>0</v>
      </c>
      <c r="CV761" s="11"/>
      <c r="CW761" s="9">
        <v>0</v>
      </c>
      <c r="CX761" s="11"/>
      <c r="CY761" s="9">
        <v>0</v>
      </c>
      <c r="CZ761" s="11"/>
      <c r="DA761" s="9">
        <v>0</v>
      </c>
      <c r="DB761" s="11"/>
      <c r="DC761" s="9">
        <v>0</v>
      </c>
      <c r="DD761" s="11"/>
      <c r="DE761" s="9">
        <v>0</v>
      </c>
      <c r="DF761" s="11"/>
      <c r="DG761" s="9">
        <v>0</v>
      </c>
      <c r="DH761" s="11"/>
      <c r="DI761" s="9">
        <v>0</v>
      </c>
      <c r="DJ761" s="11"/>
      <c r="DK761" s="9">
        <v>0</v>
      </c>
      <c r="DL761" s="11"/>
      <c r="DM761" s="9">
        <v>0</v>
      </c>
      <c r="DN761" s="11"/>
      <c r="DO761" s="9">
        <v>0</v>
      </c>
      <c r="DP761" s="11"/>
      <c r="DQ761" s="9">
        <v>0</v>
      </c>
      <c r="DR761" s="11"/>
      <c r="DS761" s="9">
        <v>0</v>
      </c>
      <c r="DT761" s="11"/>
      <c r="DU761" s="9">
        <v>0</v>
      </c>
      <c r="DV761" s="11"/>
      <c r="DW761" s="9">
        <v>0</v>
      </c>
      <c r="DX761" s="11"/>
      <c r="DY761" s="9">
        <v>0</v>
      </c>
      <c r="DZ761" s="11"/>
      <c r="EA761" s="9">
        <v>0</v>
      </c>
      <c r="EB761" s="11"/>
      <c r="EC761" s="9">
        <v>0</v>
      </c>
      <c r="ED761" s="11"/>
      <c r="EE761" s="9">
        <v>0</v>
      </c>
      <c r="EF761" s="11"/>
      <c r="EG761" s="9">
        <v>0</v>
      </c>
      <c r="EH761" s="11"/>
      <c r="EI761" s="9">
        <v>0</v>
      </c>
      <c r="EJ761" s="11"/>
      <c r="EK761" s="9">
        <v>0</v>
      </c>
      <c r="EL761" s="11"/>
      <c r="EM761" s="9">
        <v>0</v>
      </c>
      <c r="EN761" s="11"/>
      <c r="EO761" s="9">
        <v>0</v>
      </c>
      <c r="EP761" s="11"/>
      <c r="EQ761" s="9">
        <v>0</v>
      </c>
      <c r="ER761" s="11"/>
      <c r="ES761" s="9">
        <v>0</v>
      </c>
      <c r="ET761" s="11"/>
      <c r="EU761" s="9">
        <v>0</v>
      </c>
      <c r="EV761" s="11"/>
      <c r="EW761" s="9">
        <v>0</v>
      </c>
      <c r="EX761" s="11"/>
      <c r="EY761" s="11"/>
      <c r="EZ761" s="335"/>
      <c r="FA761" s="11"/>
      <c r="FB761" s="9"/>
      <c r="FC761" s="11"/>
      <c r="FD761" s="9"/>
      <c r="FE761" s="11"/>
      <c r="FF761" s="9"/>
      <c r="FG761" s="11"/>
      <c r="FH761" s="9"/>
      <c r="FI761" s="11"/>
      <c r="FJ761" s="9"/>
      <c r="FK761" s="11"/>
      <c r="FL761" s="9"/>
      <c r="FM761" s="11"/>
      <c r="FN761" s="9"/>
      <c r="FO761" s="11"/>
      <c r="FP761" s="9"/>
      <c r="FQ761" s="11"/>
      <c r="FR761" s="9">
        <v>0</v>
      </c>
      <c r="FS761" s="11"/>
      <c r="FT761" s="9">
        <v>0</v>
      </c>
      <c r="FU761" s="11"/>
      <c r="FV761" s="9">
        <v>0</v>
      </c>
      <c r="FW761" s="11"/>
      <c r="FX761" s="9">
        <v>0</v>
      </c>
      <c r="FY761" s="11"/>
      <c r="FZ761" s="9">
        <v>0</v>
      </c>
      <c r="GA761" s="11"/>
      <c r="GB761" s="9">
        <v>0</v>
      </c>
      <c r="GC761" s="11"/>
      <c r="GD761" s="9">
        <v>0</v>
      </c>
      <c r="GE761" s="11"/>
      <c r="GF761" s="9">
        <v>0</v>
      </c>
      <c r="GG761" s="11"/>
      <c r="GH761" s="9">
        <v>0</v>
      </c>
      <c r="GI761" s="11"/>
      <c r="GJ761" s="9">
        <v>0</v>
      </c>
      <c r="GK761" s="11"/>
      <c r="GL761" s="9">
        <v>0</v>
      </c>
      <c r="GM761" s="11"/>
      <c r="GN761" s="9">
        <v>0</v>
      </c>
      <c r="GO761" s="11"/>
      <c r="GP761" s="9">
        <v>0</v>
      </c>
      <c r="GQ761" s="11"/>
      <c r="GR761" s="9">
        <v>0</v>
      </c>
      <c r="GS761" s="11"/>
      <c r="GT761" s="9">
        <v>0</v>
      </c>
      <c r="GU761" s="11"/>
      <c r="GV761" s="9">
        <v>0</v>
      </c>
      <c r="GW761" s="11"/>
      <c r="GX761" s="9">
        <v>0</v>
      </c>
      <c r="GY761" s="11"/>
      <c r="GZ761" s="11"/>
      <c r="HA761" s="11"/>
      <c r="HB761" s="11"/>
      <c r="HC761"/>
      <c r="HD761"/>
      <c r="HE761"/>
      <c r="HF761"/>
      <c r="HG761"/>
      <c r="HH761"/>
      <c r="HI761" s="2"/>
    </row>
    <row r="762" spans="2:217" s="3" customFormat="1" ht="12.75" hidden="1" customHeight="1" outlineLevel="1" x14ac:dyDescent="0.2">
      <c r="B762" s="2" t="s">
        <v>527</v>
      </c>
      <c r="C762" s="9"/>
      <c r="D762" s="11"/>
      <c r="E762" s="9"/>
      <c r="F762" s="11"/>
      <c r="G762" s="9"/>
      <c r="H762" s="11"/>
      <c r="I762" s="9"/>
      <c r="J762" s="11"/>
      <c r="K762" s="9"/>
      <c r="L762" s="11"/>
      <c r="M762" s="9"/>
      <c r="N762" s="11"/>
      <c r="O762" s="9"/>
      <c r="P762" s="11"/>
      <c r="Q762" s="9"/>
      <c r="R762" s="11"/>
      <c r="S762" s="9"/>
      <c r="T762" s="11"/>
      <c r="U762" s="9"/>
      <c r="V762" s="11"/>
      <c r="W762" s="9"/>
      <c r="X762" s="11"/>
      <c r="Y762" s="9"/>
      <c r="Z762" s="11"/>
      <c r="AA762" s="9"/>
      <c r="AB762" s="11"/>
      <c r="AC762" s="9"/>
      <c r="AD762" s="11"/>
      <c r="AE762" s="9"/>
      <c r="AF762" s="11"/>
      <c r="AG762" s="9"/>
      <c r="AH762" s="11"/>
      <c r="AI762" s="9"/>
      <c r="AJ762" s="11"/>
      <c r="AK762" s="9"/>
      <c r="AL762" s="11"/>
      <c r="AM762" s="9"/>
      <c r="AN762" s="11"/>
      <c r="AO762" s="9"/>
      <c r="AP762" s="11"/>
      <c r="AQ762" s="9"/>
      <c r="AR762" s="11"/>
      <c r="AS762" s="9"/>
      <c r="AT762" s="11"/>
      <c r="AU762" s="9"/>
      <c r="AV762" s="11"/>
      <c r="AW762" s="9"/>
      <c r="AX762" s="11"/>
      <c r="AY762" s="9">
        <v>0</v>
      </c>
      <c r="AZ762" s="11"/>
      <c r="BA762" s="9">
        <v>0</v>
      </c>
      <c r="BB762" s="11"/>
      <c r="BC762" s="9">
        <v>0</v>
      </c>
      <c r="BD762" s="11"/>
      <c r="BE762" s="9">
        <v>0</v>
      </c>
      <c r="BF762" s="11"/>
      <c r="BG762" s="9">
        <v>0</v>
      </c>
      <c r="BH762" s="11"/>
      <c r="BI762" s="9">
        <v>0</v>
      </c>
      <c r="BJ762" s="11"/>
      <c r="BK762" s="9">
        <v>0</v>
      </c>
      <c r="BL762" s="11"/>
      <c r="BM762" s="9">
        <v>0</v>
      </c>
      <c r="BN762" s="11"/>
      <c r="BO762" s="9">
        <v>0</v>
      </c>
      <c r="BP762" s="11"/>
      <c r="BQ762" s="9">
        <v>0</v>
      </c>
      <c r="BR762" s="11"/>
      <c r="BS762" s="9">
        <v>0</v>
      </c>
      <c r="BT762" s="11"/>
      <c r="BU762" s="9">
        <v>0</v>
      </c>
      <c r="BV762" s="11"/>
      <c r="BW762" s="9">
        <v>0</v>
      </c>
      <c r="BX762" s="11"/>
      <c r="BY762" s="9">
        <v>0</v>
      </c>
      <c r="BZ762" s="11"/>
      <c r="CA762" s="9">
        <v>0</v>
      </c>
      <c r="CB762" s="11"/>
      <c r="CC762" s="9">
        <v>0</v>
      </c>
      <c r="CD762" s="11"/>
      <c r="CE762" s="9">
        <v>0</v>
      </c>
      <c r="CF762" s="11"/>
      <c r="CG762" s="9">
        <v>0</v>
      </c>
      <c r="CH762" s="11"/>
      <c r="CI762" s="9">
        <v>0</v>
      </c>
      <c r="CJ762" s="11"/>
      <c r="CK762" s="9">
        <v>0</v>
      </c>
      <c r="CL762" s="11"/>
      <c r="CM762" s="9">
        <v>0</v>
      </c>
      <c r="CN762" s="11"/>
      <c r="CO762" s="9">
        <v>0</v>
      </c>
      <c r="CP762" s="11"/>
      <c r="CQ762" s="9">
        <v>0</v>
      </c>
      <c r="CR762" s="11"/>
      <c r="CS762" s="9">
        <v>0</v>
      </c>
      <c r="CT762" s="11"/>
      <c r="CU762" s="9">
        <v>0</v>
      </c>
      <c r="CV762" s="11"/>
      <c r="CW762" s="9">
        <v>0</v>
      </c>
      <c r="CX762" s="11"/>
      <c r="CY762" s="9">
        <v>0</v>
      </c>
      <c r="CZ762" s="11"/>
      <c r="DA762" s="9">
        <v>0</v>
      </c>
      <c r="DB762" s="11"/>
      <c r="DC762" s="9">
        <v>0</v>
      </c>
      <c r="DD762" s="11"/>
      <c r="DE762" s="9">
        <v>0</v>
      </c>
      <c r="DF762" s="11"/>
      <c r="DG762" s="9">
        <v>0</v>
      </c>
      <c r="DH762" s="11"/>
      <c r="DI762" s="9">
        <v>0</v>
      </c>
      <c r="DJ762" s="11"/>
      <c r="DK762" s="9">
        <v>0</v>
      </c>
      <c r="DL762" s="11"/>
      <c r="DM762" s="9">
        <v>0</v>
      </c>
      <c r="DN762" s="11"/>
      <c r="DO762" s="9">
        <v>0</v>
      </c>
      <c r="DP762" s="11"/>
      <c r="DQ762" s="9">
        <v>0</v>
      </c>
      <c r="DR762" s="11"/>
      <c r="DS762" s="9">
        <v>0</v>
      </c>
      <c r="DT762" s="11"/>
      <c r="DU762" s="9">
        <v>0</v>
      </c>
      <c r="DV762" s="11"/>
      <c r="DW762" s="9">
        <v>0</v>
      </c>
      <c r="DX762" s="11"/>
      <c r="DY762" s="9">
        <v>0</v>
      </c>
      <c r="DZ762" s="11"/>
      <c r="EA762" s="9">
        <v>0</v>
      </c>
      <c r="EB762" s="11"/>
      <c r="EC762" s="9">
        <v>0</v>
      </c>
      <c r="ED762" s="11"/>
      <c r="EE762" s="9">
        <v>0</v>
      </c>
      <c r="EF762" s="11"/>
      <c r="EG762" s="9">
        <v>0</v>
      </c>
      <c r="EH762" s="11"/>
      <c r="EI762" s="9">
        <v>0</v>
      </c>
      <c r="EJ762" s="11"/>
      <c r="EK762" s="9">
        <v>0</v>
      </c>
      <c r="EL762" s="11"/>
      <c r="EM762" s="9">
        <v>0</v>
      </c>
      <c r="EN762" s="11"/>
      <c r="EO762" s="9">
        <v>0</v>
      </c>
      <c r="EP762" s="11"/>
      <c r="EQ762" s="9">
        <v>0</v>
      </c>
      <c r="ER762" s="11"/>
      <c r="ES762" s="9">
        <v>0</v>
      </c>
      <c r="ET762" s="11"/>
      <c r="EU762" s="9">
        <v>0</v>
      </c>
      <c r="EV762" s="11"/>
      <c r="EW762" s="9">
        <v>0</v>
      </c>
      <c r="EX762" s="11"/>
      <c r="EY762" s="11"/>
      <c r="EZ762" s="335"/>
      <c r="FA762" s="11"/>
      <c r="FB762" s="195"/>
      <c r="FC762" s="11"/>
      <c r="FD762" s="9"/>
      <c r="FE762" s="11"/>
      <c r="FF762" s="9"/>
      <c r="FG762" s="11"/>
      <c r="FH762" s="9"/>
      <c r="FI762" s="11"/>
      <c r="FJ762" s="9"/>
      <c r="FK762" s="11"/>
      <c r="FL762" s="9"/>
      <c r="FM762" s="11"/>
      <c r="FN762" s="9"/>
      <c r="FO762" s="11"/>
      <c r="FP762" s="9"/>
      <c r="FQ762" s="11"/>
      <c r="FR762" s="9">
        <v>0</v>
      </c>
      <c r="FS762" s="11"/>
      <c r="FT762" s="9">
        <v>0</v>
      </c>
      <c r="FU762" s="11"/>
      <c r="FV762" s="9">
        <v>0</v>
      </c>
      <c r="FW762" s="11"/>
      <c r="FX762" s="9">
        <v>0</v>
      </c>
      <c r="FY762" s="11"/>
      <c r="FZ762" s="9">
        <v>0</v>
      </c>
      <c r="GA762" s="11"/>
      <c r="GB762" s="9">
        <v>0</v>
      </c>
      <c r="GC762" s="11"/>
      <c r="GD762" s="9">
        <v>0</v>
      </c>
      <c r="GE762" s="11"/>
      <c r="GF762" s="9">
        <v>0</v>
      </c>
      <c r="GG762" s="11"/>
      <c r="GH762" s="9">
        <v>0</v>
      </c>
      <c r="GI762" s="11"/>
      <c r="GJ762" s="9">
        <v>0</v>
      </c>
      <c r="GK762" s="11"/>
      <c r="GL762" s="9">
        <v>0</v>
      </c>
      <c r="GM762" s="11"/>
      <c r="GN762" s="9">
        <v>0</v>
      </c>
      <c r="GO762" s="11"/>
      <c r="GP762" s="9">
        <v>0</v>
      </c>
      <c r="GQ762" s="11"/>
      <c r="GR762" s="9">
        <v>0</v>
      </c>
      <c r="GS762" s="11"/>
      <c r="GT762" s="9">
        <v>0</v>
      </c>
      <c r="GU762" s="11"/>
      <c r="GV762" s="9">
        <v>0</v>
      </c>
      <c r="GW762" s="11"/>
      <c r="GX762" s="9">
        <v>0</v>
      </c>
      <c r="GY762" s="11"/>
      <c r="GZ762" s="11"/>
      <c r="HA762" s="11"/>
      <c r="HB762" s="11"/>
      <c r="HC762"/>
      <c r="HD762"/>
      <c r="HE762"/>
      <c r="HF762"/>
      <c r="HG762"/>
      <c r="HH762"/>
      <c r="HI762" s="2"/>
    </row>
    <row r="763" spans="2:217" s="3" customFormat="1" ht="12.75" hidden="1" customHeight="1" outlineLevel="1" x14ac:dyDescent="0.2">
      <c r="B763" s="10" t="s">
        <v>478</v>
      </c>
      <c r="C763" s="195"/>
      <c r="D763" s="11"/>
      <c r="E763" s="195"/>
      <c r="F763" s="11"/>
      <c r="G763" s="195"/>
      <c r="H763" s="11"/>
      <c r="I763" s="195"/>
      <c r="J763" s="11"/>
      <c r="K763" s="195"/>
      <c r="L763" s="11"/>
      <c r="M763" s="195"/>
      <c r="N763" s="11"/>
      <c r="O763" s="195"/>
      <c r="P763" s="11"/>
      <c r="Q763" s="195"/>
      <c r="R763" s="11"/>
      <c r="S763" s="195"/>
      <c r="T763" s="11"/>
      <c r="U763" s="195"/>
      <c r="V763" s="11"/>
      <c r="W763" s="195"/>
      <c r="X763" s="11"/>
      <c r="Y763" s="195"/>
      <c r="Z763" s="11"/>
      <c r="AA763" s="260"/>
      <c r="AB763" s="11"/>
      <c r="AC763" s="195"/>
      <c r="AD763" s="11"/>
      <c r="AE763" s="195"/>
      <c r="AF763" s="11"/>
      <c r="AG763" s="195"/>
      <c r="AH763" s="11"/>
      <c r="AI763" s="195"/>
      <c r="AJ763" s="11"/>
      <c r="AK763" s="195"/>
      <c r="AL763" s="11"/>
      <c r="AM763" s="195"/>
      <c r="AN763" s="11"/>
      <c r="AO763" s="195"/>
      <c r="AP763" s="11"/>
      <c r="AQ763" s="195"/>
      <c r="AR763" s="11"/>
      <c r="AS763" s="195"/>
      <c r="AT763" s="11"/>
      <c r="AU763" s="195"/>
      <c r="AV763" s="11"/>
      <c r="AW763" s="195"/>
      <c r="AX763" s="11"/>
      <c r="AY763" s="195">
        <f>+AY538/100</f>
        <v>0.29508196721311475</v>
      </c>
      <c r="AZ763" s="11"/>
      <c r="BA763" s="195">
        <f>+BA538/100</f>
        <v>0.29718004338394793</v>
      </c>
      <c r="BB763" s="11"/>
      <c r="BC763" s="195">
        <f>+BC538/100</f>
        <v>0.29837251356238698</v>
      </c>
      <c r="BD763" s="11"/>
      <c r="BE763" s="195">
        <f>+BE538/100</f>
        <v>0.29774730656219395</v>
      </c>
      <c r="BF763" s="11"/>
      <c r="BG763" s="195">
        <f>+BG538/100</f>
        <v>0.28607871720116618</v>
      </c>
      <c r="BH763" s="11"/>
      <c r="BI763" s="195">
        <f>+BI538/100</f>
        <v>0.28635147190008919</v>
      </c>
      <c r="BJ763" s="11"/>
      <c r="BK763" s="195">
        <f>+BK538/100</f>
        <v>0.29266409266409266</v>
      </c>
      <c r="BL763" s="11"/>
      <c r="BM763" s="195">
        <f>+BM538/100</f>
        <v>0.23828125</v>
      </c>
      <c r="BN763" s="11"/>
      <c r="BO763" s="195">
        <f>+BO538/100</f>
        <v>0.26286966046002191</v>
      </c>
      <c r="BP763" s="11"/>
      <c r="BQ763" s="195">
        <f>+BQ538/100</f>
        <v>0.25314183123877915</v>
      </c>
      <c r="BR763" s="11"/>
      <c r="BS763" s="195">
        <f>+BS538/100</f>
        <v>0.30794701986754969</v>
      </c>
      <c r="BT763" s="11"/>
      <c r="BU763" s="195">
        <f>+BU538/100</f>
        <v>0.25719120135363788</v>
      </c>
      <c r="BV763" s="11"/>
      <c r="BW763" s="195">
        <f>+BW538/100</f>
        <v>0.22857142857142856</v>
      </c>
      <c r="BX763" s="11"/>
      <c r="BY763" s="195">
        <f>+BY538/100</f>
        <v>0.26221079691516708</v>
      </c>
      <c r="BZ763" s="11"/>
      <c r="CA763" s="195">
        <f>+CA538/100</f>
        <v>0.23076923076923075</v>
      </c>
      <c r="CB763" s="11"/>
      <c r="CC763" s="195">
        <f>+CC538/100</f>
        <v>0.27581699346405231</v>
      </c>
      <c r="CD763" s="11"/>
      <c r="CE763" s="195">
        <f>+CE538/100</f>
        <v>0.25934579439252337</v>
      </c>
      <c r="CF763" s="11"/>
      <c r="CG763" s="195">
        <f>+CG538/100</f>
        <v>0.22653061224489796</v>
      </c>
      <c r="CH763" s="11"/>
      <c r="CI763" s="195">
        <f>+CI538/100</f>
        <v>0.26785714285714285</v>
      </c>
      <c r="CJ763" s="11"/>
      <c r="CK763" s="195">
        <f>+CK538/100</f>
        <v>0.27490774907749077</v>
      </c>
      <c r="CL763" s="11"/>
      <c r="CM763" s="195">
        <f>+CM538/100</f>
        <v>0.27065217391304347</v>
      </c>
      <c r="CN763" s="11"/>
      <c r="CO763" s="195">
        <f>+CO538/100</f>
        <v>0.26748381128584642</v>
      </c>
      <c r="CP763" s="11"/>
      <c r="CQ763" s="195">
        <f>+CQ538/100</f>
        <v>0.21385869565217391</v>
      </c>
      <c r="CR763" s="11"/>
      <c r="CS763" s="195">
        <f>+CS538/100</f>
        <v>0.27293650793650792</v>
      </c>
      <c r="CT763" s="11"/>
      <c r="CU763" s="195">
        <f>+CU538/100</f>
        <v>0.26952846975088968</v>
      </c>
      <c r="CV763" s="11"/>
      <c r="CW763" s="195">
        <f>+CW538/100</f>
        <v>0.24418344519015661</v>
      </c>
      <c r="CX763" s="11"/>
      <c r="CY763" s="195">
        <f>+CY538/100</f>
        <v>0.26519285042333018</v>
      </c>
      <c r="CZ763" s="11"/>
      <c r="DA763" s="195">
        <f>+DA538/100</f>
        <v>0.22882136279926335</v>
      </c>
      <c r="DB763" s="11"/>
      <c r="DC763" s="195">
        <f>+DC538/100</f>
        <v>0.27484807562457797</v>
      </c>
      <c r="DD763" s="11"/>
      <c r="DE763" s="195">
        <f>+DE538/100</f>
        <v>0.27977675640183847</v>
      </c>
      <c r="DF763" s="11"/>
      <c r="DG763" s="195">
        <f>+DG538/100</f>
        <v>0.28256116605934406</v>
      </c>
      <c r="DH763" s="11"/>
      <c r="DI763" s="195">
        <f>+DI538/100</f>
        <v>0.28318614130434783</v>
      </c>
      <c r="DJ763" s="11"/>
      <c r="DK763" s="195">
        <f>+DK538/100</f>
        <v>0.27625716104392106</v>
      </c>
      <c r="DL763" s="11"/>
      <c r="DM763" s="195">
        <f>+DM538/100</f>
        <v>0.2754158964879852</v>
      </c>
      <c r="DN763" s="11"/>
      <c r="DO763" s="195">
        <f>+DO538/100</f>
        <v>0.23577235772357724</v>
      </c>
      <c r="DP763" s="11"/>
      <c r="DQ763" s="195">
        <f>+DQ538/100</f>
        <v>0.25055762081784388</v>
      </c>
      <c r="DR763" s="11"/>
      <c r="DS763" s="195">
        <f>+DS538/100</f>
        <v>0.25616045845272206</v>
      </c>
      <c r="DT763" s="11"/>
      <c r="DU763" s="195">
        <f>+DU538/100</f>
        <v>0.26670287887017924</v>
      </c>
      <c r="DV763" s="11"/>
      <c r="DW763" s="195">
        <f>+DW538/100</f>
        <v>0.24128503075871496</v>
      </c>
      <c r="DX763" s="11"/>
      <c r="DY763" s="195">
        <f>+DY538/100</f>
        <v>0.24619289340101522</v>
      </c>
      <c r="DZ763" s="11"/>
      <c r="EA763" s="195">
        <f>+EA538/100</f>
        <v>0.24754716981132074</v>
      </c>
      <c r="EB763" s="11"/>
      <c r="EC763" s="195">
        <f>+EC538/100</f>
        <v>0.21570482497634816</v>
      </c>
      <c r="ED763" s="11"/>
      <c r="EE763" s="195">
        <f>+EE538/100</f>
        <v>0.2355584082156611</v>
      </c>
      <c r="EF763" s="11"/>
      <c r="EG763" s="195">
        <f>+EG538/100</f>
        <v>0.25291295407813569</v>
      </c>
      <c r="EH763" s="11"/>
      <c r="EI763" s="195">
        <f>+EI538/100</f>
        <v>0.25481927710843372</v>
      </c>
      <c r="EJ763" s="11"/>
      <c r="EK763" s="195">
        <f>+EK538/100</f>
        <v>0.25162866449511401</v>
      </c>
      <c r="EL763" s="11"/>
      <c r="EM763" s="195">
        <f>+EM538/100</f>
        <v>0.25840807174887892</v>
      </c>
      <c r="EN763" s="11"/>
      <c r="EO763" s="195">
        <f>+EO538/100</f>
        <v>0.25381679389312978</v>
      </c>
      <c r="EP763" s="11"/>
      <c r="EQ763" s="195">
        <f>+EQ538/100</f>
        <v>0.22</v>
      </c>
      <c r="ER763" s="11"/>
      <c r="ES763" s="195">
        <f>+ES538/100</f>
        <v>0.22</v>
      </c>
      <c r="ET763" s="11"/>
      <c r="EU763" s="195">
        <f>+EU538/100</f>
        <v>0.22</v>
      </c>
      <c r="EV763" s="11"/>
      <c r="EW763" s="195">
        <f>+EW538/100</f>
        <v>0.22</v>
      </c>
      <c r="EX763" s="11"/>
      <c r="EY763" s="11"/>
      <c r="EZ763" s="335"/>
      <c r="FA763" s="11"/>
      <c r="FB763" s="262"/>
      <c r="FC763" s="11"/>
      <c r="FD763" s="195"/>
      <c r="FE763" s="11"/>
      <c r="FF763" s="195"/>
      <c r="FG763" s="11"/>
      <c r="FH763" s="195"/>
      <c r="FI763" s="11"/>
      <c r="FJ763" s="195"/>
      <c r="FK763" s="11"/>
      <c r="FL763" s="195"/>
      <c r="FM763" s="11"/>
      <c r="FN763" s="195"/>
      <c r="FO763" s="11"/>
      <c r="FP763" s="195"/>
      <c r="FQ763" s="11"/>
      <c r="FR763" s="195">
        <f>+FR538/100</f>
        <v>0.41620548296182419</v>
      </c>
      <c r="FS763" s="11"/>
      <c r="FT763" s="195">
        <f>+FT538/100</f>
        <v>0.39509873060648798</v>
      </c>
      <c r="FU763" s="11"/>
      <c r="FV763" s="195">
        <f>+FV538/100</f>
        <v>1.5660499139414805</v>
      </c>
      <c r="FW763" s="11"/>
      <c r="FX763" s="195">
        <f>+FX538/100</f>
        <v>0.62394915254237293</v>
      </c>
      <c r="FY763" s="11"/>
      <c r="FZ763" s="195">
        <f>+FZ538/100</f>
        <v>0.44152102676133259</v>
      </c>
      <c r="GA763" s="11"/>
      <c r="GB763" s="195">
        <f>+GB538/100</f>
        <v>0.38453840380285215</v>
      </c>
      <c r="GC763" s="11"/>
      <c r="GD763" s="195">
        <f>+GD538/100</f>
        <v>0.37197024238060955</v>
      </c>
      <c r="GE763" s="11"/>
      <c r="GF763" s="195">
        <f>+GF538/100</f>
        <v>0.24917930279818667</v>
      </c>
      <c r="GG763" s="11"/>
      <c r="GH763" s="195">
        <f>+GH538/100</f>
        <v>0.27630685675492195</v>
      </c>
      <c r="GI763" s="11"/>
      <c r="GJ763" s="195">
        <f>+GJ538/100</f>
        <v>0.25389183116674691</v>
      </c>
      <c r="GK763" s="11"/>
      <c r="GL763" s="195">
        <f>+GL538/100</f>
        <v>0.23930357473606223</v>
      </c>
      <c r="GM763" s="11"/>
      <c r="GN763" s="195">
        <f>+GN538/100</f>
        <v>0.25496476617552849</v>
      </c>
      <c r="GO763" s="11"/>
      <c r="GP763" s="195">
        <f>+GP538/100</f>
        <v>0.22000000000000003</v>
      </c>
      <c r="GQ763" s="11"/>
      <c r="GR763" s="195">
        <f>+GR538/100</f>
        <v>0.22000000000000003</v>
      </c>
      <c r="GS763" s="11"/>
      <c r="GT763" s="195">
        <f>+GT538/100</f>
        <v>0.22000000000000003</v>
      </c>
      <c r="GU763" s="11"/>
      <c r="GV763" s="195">
        <f>+GV538/100</f>
        <v>0.22000000000000003</v>
      </c>
      <c r="GW763" s="11"/>
      <c r="GX763" s="195">
        <f>+GX538/100</f>
        <v>0.22000000000000003</v>
      </c>
      <c r="GY763" s="11"/>
      <c r="GZ763" s="11"/>
      <c r="HA763" s="11"/>
      <c r="HB763" s="11"/>
      <c r="HC763"/>
      <c r="HD763"/>
      <c r="HE763"/>
      <c r="HF763"/>
      <c r="HG763"/>
      <c r="HH763"/>
      <c r="HI763" s="2"/>
    </row>
    <row r="764" spans="2:217" s="3" customFormat="1" ht="12.75" hidden="1" customHeight="1" outlineLevel="1" x14ac:dyDescent="0.2">
      <c r="B764" s="10" t="s">
        <v>78</v>
      </c>
      <c r="C764" s="10"/>
      <c r="D764" s="10"/>
      <c r="E764" s="10"/>
      <c r="F764" s="10"/>
      <c r="G764" s="10"/>
      <c r="H764" s="10"/>
      <c r="I764" s="10"/>
      <c r="J764" s="10"/>
      <c r="K764" s="10"/>
      <c r="L764" s="10"/>
      <c r="M764" s="10"/>
      <c r="N764" s="10"/>
      <c r="O764" s="10"/>
      <c r="P764" s="10"/>
      <c r="Q764" s="10"/>
      <c r="R764" s="10"/>
      <c r="S764" s="10"/>
      <c r="T764" s="10"/>
      <c r="U764" s="10"/>
      <c r="V764" s="10"/>
      <c r="W764" s="10"/>
      <c r="X764" s="10"/>
      <c r="Y764" s="10"/>
      <c r="Z764" s="10"/>
      <c r="AA764" s="261"/>
      <c r="AB764" s="10"/>
      <c r="AC764" s="261"/>
      <c r="AD764" s="10"/>
      <c r="AE764" s="261"/>
      <c r="AF764" s="10"/>
      <c r="AG764" s="261"/>
      <c r="AH764" s="10"/>
      <c r="AI764" s="261"/>
      <c r="AJ764" s="10"/>
      <c r="AK764" s="261"/>
      <c r="AL764" s="10"/>
      <c r="AM764" s="261"/>
      <c r="AN764" s="10"/>
      <c r="AO764" s="261"/>
      <c r="AP764" s="10"/>
      <c r="AQ764" s="261"/>
      <c r="AR764" s="10"/>
      <c r="AS764" s="261"/>
      <c r="AT764" s="10"/>
      <c r="AU764" s="261"/>
      <c r="AV764" s="10"/>
      <c r="AW764" s="261"/>
      <c r="AX764" s="10"/>
      <c r="AY764" s="262">
        <f>AY546/AY641</f>
        <v>504.1</v>
      </c>
      <c r="AZ764" s="10"/>
      <c r="BA764" s="262">
        <f>BA546/BA641</f>
        <v>497.1</v>
      </c>
      <c r="BB764" s="10"/>
      <c r="BC764" s="262">
        <f>BC546/BC641</f>
        <v>490.5</v>
      </c>
      <c r="BD764" s="10"/>
      <c r="BE764" s="262">
        <f>BE546/BE641</f>
        <v>482.80000000000007</v>
      </c>
      <c r="BF764" s="10"/>
      <c r="BG764" s="262">
        <f>BG546/BG641</f>
        <v>477</v>
      </c>
      <c r="BH764" s="10"/>
      <c r="BI764" s="262">
        <f>BI546/BI641</f>
        <v>472</v>
      </c>
      <c r="BJ764" s="10"/>
      <c r="BK764" s="262">
        <f>BK546/BK641</f>
        <v>465</v>
      </c>
      <c r="BL764" s="10"/>
      <c r="BM764" s="262">
        <f>BM546/BM641</f>
        <v>459</v>
      </c>
      <c r="BN764" s="10"/>
      <c r="BO764" s="262">
        <f>BO546/BO641</f>
        <v>448</v>
      </c>
      <c r="BP764" s="10"/>
      <c r="BQ764" s="262">
        <f>BQ546/BQ641</f>
        <v>438</v>
      </c>
      <c r="BR764" s="10"/>
      <c r="BS764" s="262">
        <f>BS546/BS641</f>
        <v>430</v>
      </c>
      <c r="BT764" s="10"/>
      <c r="BU764" s="262">
        <f>BU546/BU641</f>
        <v>424.2</v>
      </c>
      <c r="BV764" s="10"/>
      <c r="BW764" s="262">
        <f>BW546/BW641</f>
        <v>424.1</v>
      </c>
      <c r="BX764" s="10"/>
      <c r="BY764" s="262">
        <f>BY546/BY641</f>
        <v>434.3</v>
      </c>
      <c r="BZ764" s="10"/>
      <c r="CA764" s="262">
        <f>CA546/CA641</f>
        <v>464.6</v>
      </c>
      <c r="CB764" s="10"/>
      <c r="CC764" s="262">
        <f>CC546/CC641</f>
        <v>470.29999999999995</v>
      </c>
      <c r="CD764" s="10"/>
      <c r="CE764" s="262">
        <f>CE546/CE641</f>
        <v>471.5</v>
      </c>
      <c r="CF764" s="10"/>
      <c r="CG764" s="262">
        <f>CG546/CG641</f>
        <v>473.3</v>
      </c>
      <c r="CH764" s="10"/>
      <c r="CI764" s="262">
        <f>CI546/CI641</f>
        <v>473.2</v>
      </c>
      <c r="CJ764" s="10"/>
      <c r="CK764" s="262">
        <f>CK546/CK641</f>
        <v>483.5</v>
      </c>
      <c r="CL764" s="10"/>
      <c r="CM764" s="262">
        <f>CM546/CM641</f>
        <v>493.9</v>
      </c>
      <c r="CN764" s="10"/>
      <c r="CO764" s="262">
        <f>CO546/CO641</f>
        <v>494.8</v>
      </c>
      <c r="CP764" s="10"/>
      <c r="CQ764" s="262">
        <f>CQ546/CQ641</f>
        <v>489.3</v>
      </c>
      <c r="CR764" s="10"/>
      <c r="CS764" s="262">
        <f>CS546/CS641</f>
        <v>477</v>
      </c>
      <c r="CT764" s="10"/>
      <c r="CU764" s="262">
        <f>CU546/CU641</f>
        <v>477.5</v>
      </c>
      <c r="CV764" s="10"/>
      <c r="CW764" s="262">
        <f>CW546/CW641</f>
        <v>473.5</v>
      </c>
      <c r="CX764" s="10"/>
      <c r="CY764" s="262">
        <f>CY546/CY641</f>
        <v>471.8</v>
      </c>
      <c r="CZ764" s="10"/>
      <c r="DA764" s="262">
        <f>DA546/DA641</f>
        <v>469.9</v>
      </c>
      <c r="DB764" s="10"/>
      <c r="DC764" s="262">
        <f>DC546/DC641</f>
        <v>471.7</v>
      </c>
      <c r="DD764" s="10"/>
      <c r="DE764" s="262">
        <f>DE546/DE641</f>
        <v>472.2</v>
      </c>
      <c r="DF764" s="10"/>
      <c r="DG764" s="262">
        <f>DG546/DG641</f>
        <v>472</v>
      </c>
      <c r="DH764" s="10"/>
      <c r="DI764" s="262">
        <f>DI546/DI641</f>
        <v>471.20000000000005</v>
      </c>
      <c r="DJ764" s="10"/>
      <c r="DK764" s="262">
        <f>DK546/DK641</f>
        <v>472.3</v>
      </c>
      <c r="DL764" s="10"/>
      <c r="DM764" s="262">
        <f>DM546/DM641</f>
        <v>470.79999999999995</v>
      </c>
      <c r="DN764" s="10"/>
      <c r="DO764" s="262">
        <f>DO546/DO641</f>
        <v>469.00000000000006</v>
      </c>
      <c r="DP764" s="10"/>
      <c r="DQ764" s="262">
        <f>DQ546/DQ641</f>
        <v>466.89999999999992</v>
      </c>
      <c r="DR764" s="10"/>
      <c r="DS764" s="262">
        <f>DS546/DS641</f>
        <v>465.7</v>
      </c>
      <c r="DT764" s="10"/>
      <c r="DU764" s="262">
        <f>DU546/DU641</f>
        <v>463.5</v>
      </c>
      <c r="DV764" s="10"/>
      <c r="DW764" s="262">
        <f>DW546/DW641</f>
        <v>462.2</v>
      </c>
      <c r="DX764" s="10"/>
      <c r="DY764" s="262">
        <f>DY546/DY641</f>
        <v>459.9</v>
      </c>
      <c r="DZ764" s="10"/>
      <c r="EA764" s="262">
        <f>EA546/EA641</f>
        <v>457.6</v>
      </c>
      <c r="EB764" s="10"/>
      <c r="EC764" s="262">
        <f>EC546/EC641</f>
        <v>449.3</v>
      </c>
      <c r="ED764" s="10"/>
      <c r="EE764" s="262">
        <f>EE546/EE641</f>
        <v>444.30000000000007</v>
      </c>
      <c r="EF764" s="10"/>
      <c r="EG764" s="262">
        <f>EG546/EG641</f>
        <v>439.8</v>
      </c>
      <c r="EH764" s="10"/>
      <c r="EI764" s="262">
        <f>EI546/EI641</f>
        <v>439.1</v>
      </c>
      <c r="EJ764" s="10"/>
      <c r="EK764" s="262">
        <f>EK546/EK641</f>
        <v>437.24</v>
      </c>
      <c r="EL764" s="10"/>
      <c r="EM764" s="262">
        <f>EM546/EM641</f>
        <v>435</v>
      </c>
      <c r="EN764" s="10"/>
      <c r="EO764" s="262">
        <f>EO546/EO641</f>
        <v>432.7</v>
      </c>
      <c r="EP764" s="10"/>
      <c r="EQ764" s="262">
        <f>EQ546/EQ641</f>
        <v>428.55462787721513</v>
      </c>
      <c r="ER764" s="10"/>
      <c r="ES764" s="262">
        <f>ES546/ES641</f>
        <v>425.24724105522074</v>
      </c>
      <c r="ET764" s="10"/>
      <c r="EU764" s="262">
        <f>EU546/EU641</f>
        <v>421.9792724262262</v>
      </c>
      <c r="EV764" s="10"/>
      <c r="EW764" s="262">
        <f>EW546/EW641</f>
        <v>418.75055400014276</v>
      </c>
      <c r="EX764" s="10"/>
      <c r="EY764" s="10"/>
      <c r="EZ764" s="341"/>
      <c r="FA764" s="10"/>
      <c r="FB764" s="144"/>
      <c r="FC764" s="10"/>
      <c r="FD764" s="262"/>
      <c r="FE764" s="10"/>
      <c r="FF764" s="262"/>
      <c r="FG764" s="10"/>
      <c r="FH764" s="262"/>
      <c r="FI764" s="10"/>
      <c r="FJ764" s="262"/>
      <c r="FK764" s="10"/>
      <c r="FL764" s="262"/>
      <c r="FM764" s="10"/>
      <c r="FN764" s="262"/>
      <c r="FO764" s="10"/>
      <c r="FP764" s="262"/>
      <c r="FQ764" s="10"/>
      <c r="FR764" s="262">
        <f>FR546/FR641</f>
        <v>493.59999999999997</v>
      </c>
      <c r="FS764" s="10"/>
      <c r="FT764" s="262">
        <f>FT546/FT641</f>
        <v>468.25</v>
      </c>
      <c r="FU764" s="10"/>
      <c r="FV764" s="262">
        <f>FV546/FV641</f>
        <v>433.6</v>
      </c>
      <c r="FW764" s="11"/>
      <c r="FX764" s="262">
        <f>FX546/FX641</f>
        <v>448.09999999999991</v>
      </c>
      <c r="FY764" s="11"/>
      <c r="FZ764" s="262">
        <f>FZ546/FZ641</f>
        <v>475.375</v>
      </c>
      <c r="GA764" s="11"/>
      <c r="GB764" s="262">
        <f>GB546/GB641</f>
        <v>488.74999999999994</v>
      </c>
      <c r="GC764" s="11"/>
      <c r="GD764" s="262">
        <f>GD546/GD641</f>
        <v>473.17500000000001</v>
      </c>
      <c r="GE764" s="11"/>
      <c r="GF764" s="262">
        <f>GF546/GF641</f>
        <v>471.77500000000009</v>
      </c>
      <c r="GG764" s="11"/>
      <c r="GH764" s="262">
        <f>GH546/GH641</f>
        <v>467.7</v>
      </c>
      <c r="GI764" s="11"/>
      <c r="GJ764" s="262">
        <f>GJ546/GJ641</f>
        <v>462.82499999999999</v>
      </c>
      <c r="GK764" s="11"/>
      <c r="GL764" s="262">
        <f>GL546/GL641</f>
        <v>447.75000000000006</v>
      </c>
      <c r="GM764" s="11"/>
      <c r="GN764" s="262">
        <f>GN546/GN641</f>
        <v>436.01</v>
      </c>
      <c r="GO764" s="11"/>
      <c r="GP764" s="262">
        <f>GP546/GP641</f>
        <v>423.63292383970122</v>
      </c>
      <c r="GQ764" s="11"/>
      <c r="GR764" s="262">
        <f>GR546/GR641</f>
        <v>410.27038194757091</v>
      </c>
      <c r="GS764" s="11"/>
      <c r="GT764" s="262">
        <f>GT546/GT641</f>
        <v>397.36243986624044</v>
      </c>
      <c r="GU764" s="11"/>
      <c r="GV764" s="262">
        <f>GV546/GV641</f>
        <v>385.98178455916099</v>
      </c>
      <c r="GW764" s="11"/>
      <c r="GX764" s="262">
        <f>GX546/GX641</f>
        <v>373.70574261116775</v>
      </c>
      <c r="GY764" s="11"/>
      <c r="GZ764" s="11"/>
      <c r="HA764" s="11"/>
      <c r="HB764" s="11"/>
      <c r="HC764"/>
      <c r="HD764"/>
      <c r="HE764"/>
      <c r="HF764"/>
      <c r="HG764"/>
      <c r="HH764"/>
      <c r="HI764" s="2"/>
    </row>
    <row r="765" spans="2:217" s="3" customFormat="1" ht="12.75" hidden="1" customHeight="1" outlineLevel="1" x14ac:dyDescent="0.2">
      <c r="B765" s="4" t="s">
        <v>97</v>
      </c>
      <c r="C765" s="171"/>
      <c r="D765" s="171"/>
      <c r="E765" s="171"/>
      <c r="F765" s="171"/>
      <c r="G765" s="171"/>
      <c r="H765" s="171"/>
      <c r="I765" s="171"/>
      <c r="J765" s="171"/>
      <c r="K765" s="171"/>
      <c r="L765" s="171"/>
      <c r="M765" s="171"/>
      <c r="N765" s="171"/>
      <c r="O765" s="171"/>
      <c r="P765" s="171"/>
      <c r="Q765" s="171"/>
      <c r="R765" s="171"/>
      <c r="S765" s="171"/>
      <c r="T765" s="171"/>
      <c r="U765" s="171"/>
      <c r="V765" s="171"/>
      <c r="W765" s="171"/>
      <c r="X765" s="171"/>
      <c r="Y765" s="171"/>
      <c r="Z765" s="171"/>
      <c r="AA765" s="171"/>
      <c r="AB765" s="171"/>
      <c r="AC765" s="171"/>
      <c r="AD765" s="171"/>
      <c r="AE765" s="171"/>
      <c r="AF765" s="171"/>
      <c r="AG765" s="171"/>
      <c r="AH765" s="171"/>
      <c r="AI765" s="171"/>
      <c r="AJ765" s="171"/>
      <c r="AK765" s="171"/>
      <c r="AL765" s="171"/>
      <c r="AM765" s="171"/>
      <c r="AN765" s="171"/>
      <c r="AO765" s="171"/>
      <c r="AP765" s="171"/>
      <c r="AQ765" s="171"/>
      <c r="AR765" s="171"/>
      <c r="AS765" s="171"/>
      <c r="AT765" s="171"/>
      <c r="AU765" s="171"/>
      <c r="AV765" s="171"/>
      <c r="AW765" s="171"/>
      <c r="AX765" s="171"/>
      <c r="AY765" s="144">
        <f>AY637</f>
        <v>500.3</v>
      </c>
      <c r="AZ765" s="171"/>
      <c r="BA765" s="144">
        <f>BA637</f>
        <v>493.2</v>
      </c>
      <c r="BB765" s="171"/>
      <c r="BC765" s="144">
        <f>BC637</f>
        <v>486.7</v>
      </c>
      <c r="BD765" s="171"/>
      <c r="BE765" s="144">
        <f>BE637</f>
        <v>480.1</v>
      </c>
      <c r="BF765" s="171"/>
      <c r="BG765" s="144">
        <f>BG637</f>
        <v>473.2</v>
      </c>
      <c r="BH765" s="171"/>
      <c r="BI765" s="144">
        <f>BI637</f>
        <v>469.4</v>
      </c>
      <c r="BJ765" s="171"/>
      <c r="BK765" s="144">
        <f>BK637</f>
        <v>462</v>
      </c>
      <c r="BL765" s="171"/>
      <c r="BM765" s="144">
        <f>BM637</f>
        <v>455</v>
      </c>
      <c r="BN765" s="171"/>
      <c r="BO765" s="144">
        <f>BO637</f>
        <v>443.4</v>
      </c>
      <c r="BP765" s="171"/>
      <c r="BQ765" s="144">
        <f>BQ637</f>
        <v>430.9</v>
      </c>
      <c r="BR765" s="171"/>
      <c r="BS765" s="144">
        <f>BS637</f>
        <v>427.6</v>
      </c>
      <c r="BT765" s="171"/>
      <c r="BU765" s="144">
        <f>BU637</f>
        <v>424.2</v>
      </c>
      <c r="BV765" s="171"/>
      <c r="BW765" s="144">
        <f>BW637</f>
        <v>424.1</v>
      </c>
      <c r="BX765" s="171"/>
      <c r="BY765" s="144">
        <f>BY637</f>
        <v>464.7</v>
      </c>
      <c r="BZ765" s="171"/>
      <c r="CA765" s="144">
        <f>CA637</f>
        <v>467.5</v>
      </c>
      <c r="CB765" s="171"/>
      <c r="CC765" s="144">
        <f>CC637</f>
        <v>468.8</v>
      </c>
      <c r="CD765" s="171"/>
      <c r="CE765" s="144">
        <f>CE637</f>
        <v>470.8</v>
      </c>
      <c r="CF765" s="171"/>
      <c r="CG765" s="144">
        <f>CG637</f>
        <v>471</v>
      </c>
      <c r="CH765" s="171"/>
      <c r="CI765" s="144">
        <f>CI637</f>
        <v>472</v>
      </c>
      <c r="CJ765" s="171"/>
      <c r="CK765" s="144">
        <f>CK637</f>
        <v>491.7</v>
      </c>
      <c r="CL765" s="171"/>
      <c r="CM765" s="144">
        <f>CM637</f>
        <v>492.9</v>
      </c>
      <c r="CN765" s="171"/>
      <c r="CO765" s="144">
        <f>CO637</f>
        <v>493.8</v>
      </c>
      <c r="CP765" s="171"/>
      <c r="CQ765" s="144">
        <f>CQ637</f>
        <v>478.4</v>
      </c>
      <c r="CR765" s="171"/>
      <c r="CS765" s="144">
        <f>CS637</f>
        <v>475.1</v>
      </c>
      <c r="CT765" s="171"/>
      <c r="CU765" s="144">
        <f>CU637</f>
        <v>473.3</v>
      </c>
      <c r="CV765" s="171"/>
      <c r="CW765" s="144">
        <f>CW637</f>
        <v>468.3</v>
      </c>
      <c r="CX765" s="171"/>
      <c r="CY765" s="144">
        <f>CY637</f>
        <v>467</v>
      </c>
      <c r="CZ765" s="171"/>
      <c r="DA765" s="144">
        <f>DA637</f>
        <v>468.2</v>
      </c>
      <c r="DB765" s="171"/>
      <c r="DC765" s="144">
        <f>DC637</f>
        <v>469.5</v>
      </c>
      <c r="DD765" s="171"/>
      <c r="DE765" s="144">
        <f>DE637</f>
        <v>469.2</v>
      </c>
      <c r="DF765" s="171"/>
      <c r="DG765" s="144">
        <f>DG637</f>
        <v>468.5</v>
      </c>
      <c r="DH765" s="171"/>
      <c r="DI765" s="144">
        <f>DI637</f>
        <v>468.7</v>
      </c>
      <c r="DJ765" s="171"/>
      <c r="DK765" s="144">
        <f>DK637</f>
        <v>466.2</v>
      </c>
      <c r="DL765" s="171"/>
      <c r="DM765" s="144">
        <f>DM637</f>
        <v>464.7</v>
      </c>
      <c r="DN765" s="171"/>
      <c r="DO765" s="144">
        <f>DO637</f>
        <v>463.4</v>
      </c>
      <c r="DP765" s="171"/>
      <c r="DQ765" s="144">
        <f>DQ637</f>
        <v>461.5</v>
      </c>
      <c r="DR765" s="171"/>
      <c r="DS765" s="144">
        <f>DS637</f>
        <v>458.5</v>
      </c>
      <c r="DT765" s="171"/>
      <c r="DU765" s="144">
        <f>DU637</f>
        <v>457.6</v>
      </c>
      <c r="DV765" s="171"/>
      <c r="DW765" s="144">
        <f>DW637</f>
        <v>454.9</v>
      </c>
      <c r="DX765" s="171"/>
      <c r="DY765" s="144">
        <f>DY637</f>
        <v>453.2</v>
      </c>
      <c r="DZ765" s="171"/>
      <c r="EA765" s="144">
        <f>EA637</f>
        <v>448</v>
      </c>
      <c r="EB765" s="171"/>
      <c r="EC765" s="144">
        <f>EC637</f>
        <v>444</v>
      </c>
      <c r="ED765" s="171"/>
      <c r="EE765" s="144">
        <f>EE637</f>
        <v>437.9</v>
      </c>
      <c r="EF765" s="171"/>
      <c r="EG765" s="144">
        <f>EG637</f>
        <v>436.2</v>
      </c>
      <c r="EH765" s="171"/>
      <c r="EI765" s="144">
        <f>EI637</f>
        <v>435.95</v>
      </c>
      <c r="EJ765" s="171"/>
      <c r="EK765" s="144">
        <f>EK637</f>
        <v>433.82</v>
      </c>
      <c r="EL765" s="171"/>
      <c r="EM765" s="144">
        <f>EM637</f>
        <v>431.74</v>
      </c>
      <c r="EN765" s="171"/>
      <c r="EO765" s="144">
        <f>EO637</f>
        <v>435.7</v>
      </c>
      <c r="EP765" s="171"/>
      <c r="EQ765" s="144">
        <f t="shared" ref="EQ765" si="3523">EQ637</f>
        <v>426.49105933394117</v>
      </c>
      <c r="ER765" s="171"/>
      <c r="ES765" s="144">
        <f t="shared" ref="ES765" si="3524">ES637</f>
        <v>423.20342277650036</v>
      </c>
      <c r="ET765" s="171"/>
      <c r="EU765" s="144">
        <f t="shared" ref="EU765" si="3525">EU637</f>
        <v>419.95512207595209</v>
      </c>
      <c r="EV765" s="171"/>
      <c r="EW765" s="144">
        <f t="shared" ref="EW765" si="3526">EW637</f>
        <v>416.74598592433347</v>
      </c>
      <c r="EX765" s="171"/>
      <c r="EY765" s="171"/>
      <c r="EZ765" s="335"/>
      <c r="FA765" s="171"/>
      <c r="FB765" s="171"/>
      <c r="FC765" s="171"/>
      <c r="FD765" s="144"/>
      <c r="FE765" s="171"/>
      <c r="FF765" s="144"/>
      <c r="FG765" s="171"/>
      <c r="FH765" s="144"/>
      <c r="FI765" s="171"/>
      <c r="FJ765" s="144"/>
      <c r="FK765" s="171"/>
      <c r="FL765" s="144"/>
      <c r="FM765" s="171"/>
      <c r="FN765" s="144"/>
      <c r="FO765" s="171"/>
      <c r="FP765" s="144"/>
      <c r="FQ765" s="171"/>
      <c r="FR765" s="144">
        <f>FR637</f>
        <v>480.1</v>
      </c>
      <c r="FS765" s="171"/>
      <c r="FT765" s="144">
        <f>FT637</f>
        <v>455</v>
      </c>
      <c r="FU765" s="171"/>
      <c r="FV765" s="144">
        <f>FV637</f>
        <v>424.2</v>
      </c>
      <c r="FW765" s="72"/>
      <c r="FX765" s="144">
        <f>FX637</f>
        <v>468.8</v>
      </c>
      <c r="FY765" s="72"/>
      <c r="FZ765" s="144">
        <f>FZ637</f>
        <v>491.7</v>
      </c>
      <c r="GA765" s="72"/>
      <c r="GB765" s="144">
        <f>GB637</f>
        <v>475.1</v>
      </c>
      <c r="GC765" s="72"/>
      <c r="GD765" s="144">
        <f>GD637</f>
        <v>468.2</v>
      </c>
      <c r="GE765" s="72"/>
      <c r="GF765" s="144">
        <f>GF637</f>
        <v>468.7</v>
      </c>
      <c r="GG765" s="72"/>
      <c r="GH765" s="144">
        <f>GH637</f>
        <v>461.5</v>
      </c>
      <c r="GI765" s="72"/>
      <c r="GJ765" s="144">
        <f>GJ637</f>
        <v>453.2</v>
      </c>
      <c r="GK765" s="72"/>
      <c r="GL765" s="144">
        <f>GL637</f>
        <v>436.2</v>
      </c>
      <c r="GM765" s="72"/>
      <c r="GN765" s="144">
        <f>GN637</f>
        <v>435.7</v>
      </c>
      <c r="GO765" s="72"/>
      <c r="GP765" s="144">
        <f>GP637</f>
        <v>416.74598592433347</v>
      </c>
      <c r="GQ765" s="72"/>
      <c r="GR765" s="144">
        <f>GR637</f>
        <v>404.24488778476524</v>
      </c>
      <c r="GS765" s="72"/>
      <c r="GT765" s="144">
        <f>GT637</f>
        <v>391.46866336630075</v>
      </c>
      <c r="GU765" s="72"/>
      <c r="GV765" s="144">
        <f>GV637</f>
        <v>379.204332518093</v>
      </c>
      <c r="GW765" s="72"/>
      <c r="GX765" s="144">
        <f>GX637</f>
        <v>367.40715270424255</v>
      </c>
      <c r="GY765" s="72"/>
      <c r="GZ765" s="72"/>
      <c r="HA765" s="72"/>
      <c r="HB765" s="72"/>
      <c r="HC765"/>
      <c r="HD765"/>
      <c r="HE765"/>
      <c r="HF765"/>
      <c r="HG765"/>
      <c r="HH765"/>
      <c r="HI765" s="2"/>
    </row>
    <row r="766" spans="2:217" s="3" customFormat="1" ht="12.75" hidden="1" customHeight="1" outlineLevel="1" x14ac:dyDescent="0.2">
      <c r="B766" s="4" t="s">
        <v>290</v>
      </c>
      <c r="C766" s="171"/>
      <c r="D766" s="11"/>
      <c r="E766" s="171"/>
      <c r="F766" s="11"/>
      <c r="G766" s="171"/>
      <c r="H766" s="11"/>
      <c r="I766" s="171"/>
      <c r="J766" s="11"/>
      <c r="K766" s="171"/>
      <c r="L766" s="72"/>
      <c r="M766" s="171"/>
      <c r="N766" s="72"/>
      <c r="O766" s="171"/>
      <c r="P766" s="72"/>
      <c r="Q766" s="171"/>
      <c r="R766" s="72"/>
      <c r="S766" s="171"/>
      <c r="T766" s="72"/>
      <c r="U766" s="171"/>
      <c r="V766" s="72"/>
      <c r="W766" s="171"/>
      <c r="X766" s="72"/>
      <c r="Y766" s="171"/>
      <c r="Z766" s="72"/>
      <c r="AA766" s="171"/>
      <c r="AB766" s="72"/>
      <c r="AC766" s="171"/>
      <c r="AD766" s="72"/>
      <c r="AE766" s="171"/>
      <c r="AF766" s="72"/>
      <c r="AG766" s="171"/>
      <c r="AH766" s="72"/>
      <c r="AI766" s="171"/>
      <c r="AJ766" s="72"/>
      <c r="AK766" s="171"/>
      <c r="AL766" s="72"/>
      <c r="AM766" s="171"/>
      <c r="AN766" s="72"/>
      <c r="AO766" s="171"/>
      <c r="AP766" s="72"/>
      <c r="AQ766" s="171"/>
      <c r="AR766" s="72"/>
      <c r="AS766" s="171"/>
      <c r="AT766" s="72"/>
      <c r="AU766" s="171"/>
      <c r="AV766" s="72"/>
      <c r="AW766" s="171"/>
      <c r="AX766" s="72"/>
      <c r="AY766" s="171" t="s">
        <v>269</v>
      </c>
      <c r="AZ766" s="72"/>
      <c r="BA766" s="171" t="s">
        <v>269</v>
      </c>
      <c r="BB766" s="72"/>
      <c r="BC766" s="171" t="s">
        <v>269</v>
      </c>
      <c r="BD766" s="72"/>
      <c r="BE766" s="171" t="s">
        <v>269</v>
      </c>
      <c r="BF766" s="72"/>
      <c r="BG766" s="171" t="s">
        <v>269</v>
      </c>
      <c r="BH766" s="72"/>
      <c r="BI766" s="171" t="s">
        <v>269</v>
      </c>
      <c r="BJ766" s="72"/>
      <c r="BK766" s="171" t="s">
        <v>269</v>
      </c>
      <c r="BL766" s="72"/>
      <c r="BM766" s="171" t="s">
        <v>269</v>
      </c>
      <c r="BN766" s="72"/>
      <c r="BO766" s="171" t="s">
        <v>269</v>
      </c>
      <c r="BP766" s="72"/>
      <c r="BQ766" s="171" t="s">
        <v>269</v>
      </c>
      <c r="BR766" s="72"/>
      <c r="BS766" s="171" t="s">
        <v>269</v>
      </c>
      <c r="BT766" s="72"/>
      <c r="BU766" s="171" t="s">
        <v>269</v>
      </c>
      <c r="BV766" s="72"/>
      <c r="BW766" s="171" t="s">
        <v>269</v>
      </c>
      <c r="BX766" s="72"/>
      <c r="BY766" s="171" t="s">
        <v>269</v>
      </c>
      <c r="BZ766" s="72"/>
      <c r="CA766" s="171" t="s">
        <v>269</v>
      </c>
      <c r="CB766" s="72"/>
      <c r="CC766" s="171" t="s">
        <v>269</v>
      </c>
      <c r="CD766" s="72"/>
      <c r="CE766" s="171" t="s">
        <v>269</v>
      </c>
      <c r="CF766" s="72"/>
      <c r="CG766" s="171" t="s">
        <v>269</v>
      </c>
      <c r="CH766" s="72"/>
      <c r="CI766" s="171" t="s">
        <v>269</v>
      </c>
      <c r="CJ766" s="72"/>
      <c r="CK766" s="171" t="s">
        <v>269</v>
      </c>
      <c r="CL766" s="72"/>
      <c r="CM766" s="171" t="s">
        <v>269</v>
      </c>
      <c r="CN766" s="72"/>
      <c r="CO766" s="171" t="s">
        <v>269</v>
      </c>
      <c r="CP766" s="72"/>
      <c r="CQ766" s="171" t="s">
        <v>269</v>
      </c>
      <c r="CR766" s="72"/>
      <c r="CS766" s="171" t="s">
        <v>269</v>
      </c>
      <c r="CT766" s="72"/>
      <c r="CU766" s="171" t="s">
        <v>269</v>
      </c>
      <c r="CV766" s="72"/>
      <c r="CW766" s="171" t="s">
        <v>269</v>
      </c>
      <c r="CX766" s="72"/>
      <c r="CY766" s="171" t="s">
        <v>269</v>
      </c>
      <c r="CZ766" s="72"/>
      <c r="DA766" s="171" t="s">
        <v>269</v>
      </c>
      <c r="DB766" s="72"/>
      <c r="DC766" s="171" t="s">
        <v>269</v>
      </c>
      <c r="DD766" s="72"/>
      <c r="DE766" s="171" t="s">
        <v>269</v>
      </c>
      <c r="DF766" s="72"/>
      <c r="DG766" s="171" t="s">
        <v>269</v>
      </c>
      <c r="DH766" s="72"/>
      <c r="DI766" s="171" t="s">
        <v>269</v>
      </c>
      <c r="DJ766" s="72"/>
      <c r="DK766" s="171" t="s">
        <v>269</v>
      </c>
      <c r="DL766" s="72"/>
      <c r="DM766" s="171" t="s">
        <v>269</v>
      </c>
      <c r="DN766" s="72"/>
      <c r="DO766" s="171" t="s">
        <v>269</v>
      </c>
      <c r="DP766" s="72"/>
      <c r="DQ766" s="171" t="s">
        <v>269</v>
      </c>
      <c r="DR766" s="72"/>
      <c r="DS766" s="171" t="s">
        <v>269</v>
      </c>
      <c r="DT766" s="72"/>
      <c r="DU766" s="171" t="s">
        <v>269</v>
      </c>
      <c r="DV766" s="72"/>
      <c r="DW766" s="171" t="s">
        <v>269</v>
      </c>
      <c r="DX766" s="72"/>
      <c r="DY766" s="171" t="s">
        <v>269</v>
      </c>
      <c r="DZ766" s="72"/>
      <c r="EA766" s="171" t="s">
        <v>269</v>
      </c>
      <c r="EB766" s="72"/>
      <c r="EC766" s="171" t="s">
        <v>269</v>
      </c>
      <c r="ED766" s="72"/>
      <c r="EE766" s="171" t="s">
        <v>269</v>
      </c>
      <c r="EF766" s="72"/>
      <c r="EG766" s="171" t="s">
        <v>269</v>
      </c>
      <c r="EH766" s="72"/>
      <c r="EI766" s="171" t="s">
        <v>269</v>
      </c>
      <c r="EJ766" s="72"/>
      <c r="EK766" s="171" t="s">
        <v>269</v>
      </c>
      <c r="EL766" s="72"/>
      <c r="EM766" s="171" t="s">
        <v>269</v>
      </c>
      <c r="EN766" s="72"/>
      <c r="EO766" s="171" t="s">
        <v>269</v>
      </c>
      <c r="EP766" s="72"/>
      <c r="EQ766" s="171" t="s">
        <v>269</v>
      </c>
      <c r="ER766" s="72"/>
      <c r="ES766" s="171" t="s">
        <v>269</v>
      </c>
      <c r="ET766" s="72"/>
      <c r="EU766" s="171" t="s">
        <v>269</v>
      </c>
      <c r="EV766" s="72"/>
      <c r="EW766" s="171" t="s">
        <v>269</v>
      </c>
      <c r="EX766" s="72"/>
      <c r="EY766" s="72"/>
      <c r="EZ766" s="335"/>
      <c r="FA766" s="72"/>
      <c r="FB766" s="171"/>
      <c r="FC766" s="11"/>
      <c r="FD766" s="171"/>
      <c r="FE766" s="72"/>
      <c r="FF766" s="171"/>
      <c r="FG766" s="72"/>
      <c r="FH766" s="171"/>
      <c r="FI766" s="72"/>
      <c r="FJ766" s="171"/>
      <c r="FK766" s="72"/>
      <c r="FL766" s="171"/>
      <c r="FM766" s="72"/>
      <c r="FN766" s="171"/>
      <c r="FO766" s="72"/>
      <c r="FP766" s="171"/>
      <c r="FQ766" s="72"/>
      <c r="FR766" s="171" t="s">
        <v>269</v>
      </c>
      <c r="FS766" s="72"/>
      <c r="FT766" s="171" t="s">
        <v>269</v>
      </c>
      <c r="FU766" s="72"/>
      <c r="FV766" s="171" t="s">
        <v>269</v>
      </c>
      <c r="FW766" s="72"/>
      <c r="FX766" s="171" t="s">
        <v>269</v>
      </c>
      <c r="FY766" s="72"/>
      <c r="FZ766" s="171" t="s">
        <v>269</v>
      </c>
      <c r="GA766" s="72"/>
      <c r="GB766" s="171" t="s">
        <v>269</v>
      </c>
      <c r="GC766" s="72"/>
      <c r="GD766" s="171" t="s">
        <v>269</v>
      </c>
      <c r="GE766" s="72"/>
      <c r="GF766" s="171" t="s">
        <v>269</v>
      </c>
      <c r="GG766" s="72"/>
      <c r="GH766" s="171" t="s">
        <v>269</v>
      </c>
      <c r="GI766" s="72"/>
      <c r="GJ766" s="171" t="s">
        <v>269</v>
      </c>
      <c r="GK766" s="72"/>
      <c r="GL766" s="171" t="s">
        <v>269</v>
      </c>
      <c r="GM766" s="72"/>
      <c r="GN766" s="171" t="s">
        <v>269</v>
      </c>
      <c r="GO766" s="72"/>
      <c r="GP766" s="171" t="s">
        <v>269</v>
      </c>
      <c r="GQ766" s="72"/>
      <c r="GR766" s="171" t="s">
        <v>269</v>
      </c>
      <c r="GS766" s="72"/>
      <c r="GT766" s="171" t="s">
        <v>269</v>
      </c>
      <c r="GU766" s="72"/>
      <c r="GV766" s="171" t="s">
        <v>269</v>
      </c>
      <c r="GW766" s="72"/>
      <c r="GX766" s="171" t="s">
        <v>269</v>
      </c>
      <c r="GY766" s="72"/>
      <c r="GZ766" s="72"/>
      <c r="HA766" s="72"/>
      <c r="HB766" s="72"/>
      <c r="HC766"/>
      <c r="HD766"/>
      <c r="HE766"/>
      <c r="HF766"/>
      <c r="HG766"/>
      <c r="HH766"/>
      <c r="HI766" s="2"/>
    </row>
    <row r="767" spans="2:217" s="3" customFormat="1" ht="12.75" hidden="1" customHeight="1" outlineLevel="1" x14ac:dyDescent="0.2">
      <c r="B767" s="4"/>
      <c r="C767" s="171"/>
      <c r="D767" s="11"/>
      <c r="E767" s="171"/>
      <c r="F767" s="11"/>
      <c r="G767" s="171"/>
      <c r="H767" s="11"/>
      <c r="I767" s="171"/>
      <c r="J767" s="11"/>
      <c r="K767" s="171"/>
      <c r="L767" s="72"/>
      <c r="M767" s="171"/>
      <c r="N767" s="72"/>
      <c r="O767" s="171"/>
      <c r="P767" s="72"/>
      <c r="Q767" s="171"/>
      <c r="R767" s="72"/>
      <c r="S767" s="171"/>
      <c r="T767" s="72"/>
      <c r="U767" s="171"/>
      <c r="V767" s="72"/>
      <c r="W767" s="171"/>
      <c r="X767" s="72"/>
      <c r="Y767" s="171"/>
      <c r="Z767" s="72"/>
      <c r="AA767" s="171"/>
      <c r="AB767" s="72"/>
      <c r="AC767" s="171"/>
      <c r="AD767" s="72"/>
      <c r="AE767" s="171"/>
      <c r="AF767" s="72"/>
      <c r="AG767" s="171"/>
      <c r="AH767" s="72"/>
      <c r="AI767" s="171"/>
      <c r="AJ767" s="72"/>
      <c r="AK767" s="171"/>
      <c r="AL767" s="72"/>
      <c r="AM767" s="171"/>
      <c r="AN767" s="72"/>
      <c r="AO767" s="171"/>
      <c r="AP767" s="72"/>
      <c r="AQ767" s="171"/>
      <c r="AR767" s="72"/>
      <c r="AS767" s="171"/>
      <c r="AT767" s="72"/>
      <c r="AU767" s="171"/>
      <c r="AV767" s="72"/>
      <c r="AW767" s="171"/>
      <c r="AX767" s="72"/>
      <c r="AY767" s="171"/>
      <c r="AZ767" s="72"/>
      <c r="BA767" s="171"/>
      <c r="BB767" s="72"/>
      <c r="BC767" s="171"/>
      <c r="BD767" s="72"/>
      <c r="BE767" s="171"/>
      <c r="BF767" s="72"/>
      <c r="BG767" s="171"/>
      <c r="BH767" s="72"/>
      <c r="BI767" s="171"/>
      <c r="BJ767" s="72"/>
      <c r="BK767" s="171"/>
      <c r="BL767" s="72"/>
      <c r="BM767" s="171"/>
      <c r="BN767" s="72"/>
      <c r="BO767" s="171"/>
      <c r="BP767" s="72"/>
      <c r="BQ767" s="171"/>
      <c r="BR767" s="72"/>
      <c r="BS767" s="171"/>
      <c r="BT767" s="72"/>
      <c r="BU767" s="171"/>
      <c r="BV767" s="72"/>
      <c r="BW767" s="171"/>
      <c r="BX767" s="72"/>
      <c r="BY767" s="171"/>
      <c r="BZ767" s="72"/>
      <c r="CA767" s="171"/>
      <c r="CB767" s="72"/>
      <c r="CC767" s="171"/>
      <c r="CD767" s="72"/>
      <c r="CE767" s="171"/>
      <c r="CF767" s="72"/>
      <c r="CG767" s="171"/>
      <c r="CH767" s="72"/>
      <c r="CI767" s="171"/>
      <c r="CJ767" s="72"/>
      <c r="CK767" s="171"/>
      <c r="CL767" s="72"/>
      <c r="CM767" s="171"/>
      <c r="CN767" s="72"/>
      <c r="CO767" s="171"/>
      <c r="CP767" s="72"/>
      <c r="CQ767" s="171"/>
      <c r="CR767" s="72"/>
      <c r="CS767" s="171"/>
      <c r="CT767" s="72"/>
      <c r="CU767" s="171"/>
      <c r="CV767" s="72"/>
      <c r="CW767" s="171"/>
      <c r="CX767" s="72"/>
      <c r="CY767" s="171"/>
      <c r="CZ767" s="72"/>
      <c r="DA767" s="171"/>
      <c r="DB767" s="72"/>
      <c r="DC767" s="171"/>
      <c r="DD767" s="72"/>
      <c r="DE767" s="171"/>
      <c r="DF767" s="72"/>
      <c r="DG767" s="171"/>
      <c r="DH767" s="72"/>
      <c r="DI767" s="171"/>
      <c r="DJ767" s="72"/>
      <c r="DK767" s="171"/>
      <c r="DL767" s="72"/>
      <c r="DM767" s="171"/>
      <c r="DN767" s="72"/>
      <c r="DO767" s="171"/>
      <c r="DP767" s="72"/>
      <c r="DQ767" s="171"/>
      <c r="DR767" s="72"/>
      <c r="DS767" s="171"/>
      <c r="DT767" s="72"/>
      <c r="DU767" s="171"/>
      <c r="DV767" s="72"/>
      <c r="DW767" s="171"/>
      <c r="DX767" s="72"/>
      <c r="DY767" s="171"/>
      <c r="DZ767" s="72"/>
      <c r="EA767" s="171"/>
      <c r="EB767" s="72"/>
      <c r="EC767" s="171"/>
      <c r="ED767" s="72"/>
      <c r="EE767" s="171"/>
      <c r="EF767" s="72"/>
      <c r="EG767" s="171"/>
      <c r="EH767" s="72"/>
      <c r="EI767" s="171"/>
      <c r="EJ767" s="72"/>
      <c r="EK767" s="171"/>
      <c r="EL767" s="72"/>
      <c r="EM767" s="171"/>
      <c r="EN767" s="72"/>
      <c r="EO767" s="171"/>
      <c r="EP767" s="72"/>
      <c r="EQ767" s="171"/>
      <c r="ER767" s="72"/>
      <c r="ES767" s="171"/>
      <c r="ET767" s="72"/>
      <c r="EU767" s="171"/>
      <c r="EV767" s="72"/>
      <c r="EW767" s="171"/>
      <c r="EX767" s="72"/>
      <c r="EY767" s="72"/>
      <c r="EZ767" s="335"/>
      <c r="FA767" s="72"/>
      <c r="FB767" s="171"/>
      <c r="FC767" s="11"/>
      <c r="FD767" s="171"/>
      <c r="FE767" s="72"/>
      <c r="FF767" s="171"/>
      <c r="FG767" s="72"/>
      <c r="FH767" s="171"/>
      <c r="FI767" s="72"/>
      <c r="FJ767" s="171"/>
      <c r="FK767" s="72"/>
      <c r="FL767" s="171"/>
      <c r="FM767" s="72"/>
      <c r="FN767" s="171"/>
      <c r="FO767" s="72"/>
      <c r="FP767" s="171"/>
      <c r="FQ767" s="72"/>
      <c r="FR767" s="171"/>
      <c r="FS767" s="72"/>
      <c r="FT767" s="171"/>
      <c r="FU767" s="72"/>
      <c r="FV767" s="171"/>
      <c r="FW767" s="72"/>
      <c r="FX767" s="171"/>
      <c r="FY767" s="72"/>
      <c r="FZ767" s="171"/>
      <c r="GA767" s="72"/>
      <c r="GB767" s="171"/>
      <c r="GC767" s="72"/>
      <c r="GD767" s="171"/>
      <c r="GE767" s="72"/>
      <c r="GF767" s="171"/>
      <c r="GG767" s="72"/>
      <c r="GH767" s="171"/>
      <c r="GI767" s="72"/>
      <c r="GJ767" s="171"/>
      <c r="GK767" s="72"/>
      <c r="GL767" s="171"/>
      <c r="GM767" s="72"/>
      <c r="GN767" s="171"/>
      <c r="GO767" s="72"/>
      <c r="GP767" s="171"/>
      <c r="GQ767" s="72"/>
      <c r="GR767" s="171"/>
      <c r="GS767" s="72"/>
      <c r="GT767" s="171"/>
      <c r="GU767" s="72"/>
      <c r="GV767" s="171"/>
      <c r="GW767" s="72"/>
      <c r="GX767" s="171"/>
      <c r="GY767" s="72"/>
      <c r="GZ767" s="72"/>
      <c r="HA767" s="72"/>
      <c r="HB767" s="72"/>
      <c r="HC767"/>
      <c r="HD767"/>
      <c r="HE767"/>
      <c r="HF767"/>
      <c r="HG767"/>
      <c r="HH767"/>
      <c r="HI767" s="2"/>
    </row>
    <row r="768" spans="2:217" s="3" customFormat="1" ht="12.75" hidden="1" customHeight="1" outlineLevel="1" x14ac:dyDescent="0.2">
      <c r="B768" s="96" t="s">
        <v>20</v>
      </c>
      <c r="C768" s="171"/>
      <c r="D768" s="11"/>
      <c r="E768" s="171"/>
      <c r="F768" s="11"/>
      <c r="G768" s="171"/>
      <c r="H768" s="11"/>
      <c r="I768" s="171"/>
      <c r="J768" s="11"/>
      <c r="K768" s="171"/>
      <c r="L768" s="72"/>
      <c r="M768" s="171"/>
      <c r="N768" s="72"/>
      <c r="O768" s="171"/>
      <c r="P768" s="72"/>
      <c r="Q768" s="171"/>
      <c r="R768" s="72"/>
      <c r="S768" s="171"/>
      <c r="T768" s="72"/>
      <c r="U768" s="171"/>
      <c r="V768" s="72"/>
      <c r="W768" s="171"/>
      <c r="X768" s="72"/>
      <c r="Y768" s="171"/>
      <c r="Z768" s="72"/>
      <c r="AA768" s="171"/>
      <c r="AB768" s="72"/>
      <c r="AC768" s="171"/>
      <c r="AD768" s="72"/>
      <c r="AE768" s="171"/>
      <c r="AF768" s="72"/>
      <c r="AG768" s="171"/>
      <c r="AH768" s="72"/>
      <c r="AI768" s="171"/>
      <c r="AJ768" s="72"/>
      <c r="AK768" s="171"/>
      <c r="AL768" s="72"/>
      <c r="AM768" s="171"/>
      <c r="AN768" s="72"/>
      <c r="AO768" s="171"/>
      <c r="AP768" s="72"/>
      <c r="AQ768" s="171"/>
      <c r="AR768" s="72"/>
      <c r="AS768" s="171"/>
      <c r="AT768" s="72"/>
      <c r="AU768" s="171"/>
      <c r="AV768" s="72"/>
      <c r="AW768" s="171"/>
      <c r="AX768" s="72"/>
      <c r="AY768" s="171"/>
      <c r="AZ768" s="72"/>
      <c r="BA768" s="171"/>
      <c r="BB768" s="72"/>
      <c r="BC768" s="171"/>
      <c r="BD768" s="72"/>
      <c r="BE768" s="171"/>
      <c r="BF768" s="72"/>
      <c r="BG768" s="171"/>
      <c r="BH768" s="72"/>
      <c r="BI768" s="171"/>
      <c r="BJ768" s="72"/>
      <c r="BK768" s="171"/>
      <c r="BL768" s="72"/>
      <c r="BM768" s="171"/>
      <c r="BN768" s="72"/>
      <c r="BO768" s="171"/>
      <c r="BP768" s="72"/>
      <c r="BQ768" s="171"/>
      <c r="BR768" s="72"/>
      <c r="BS768" s="171"/>
      <c r="BT768" s="72"/>
      <c r="BU768" s="171"/>
      <c r="BV768" s="72"/>
      <c r="BW768" s="171"/>
      <c r="BX768" s="72"/>
      <c r="BY768" s="171"/>
      <c r="BZ768" s="72"/>
      <c r="CA768" s="171"/>
      <c r="CB768" s="72"/>
      <c r="CC768" s="171"/>
      <c r="CD768" s="72"/>
      <c r="CE768" s="171"/>
      <c r="CF768" s="72"/>
      <c r="CG768" s="171"/>
      <c r="CH768" s="72"/>
      <c r="CI768" s="171"/>
      <c r="CJ768" s="72"/>
      <c r="CK768" s="171"/>
      <c r="CL768" s="72"/>
      <c r="CM768" s="171"/>
      <c r="CN768" s="72"/>
      <c r="CO768" s="171"/>
      <c r="CP768" s="72"/>
      <c r="CQ768" s="171"/>
      <c r="CR768" s="72"/>
      <c r="CS768" s="171"/>
      <c r="CT768" s="72"/>
      <c r="CU768" s="171"/>
      <c r="CV768" s="72"/>
      <c r="CW768" s="171"/>
      <c r="CX768" s="72"/>
      <c r="CY768" s="171"/>
      <c r="CZ768" s="72"/>
      <c r="DA768" s="171"/>
      <c r="DB768" s="72"/>
      <c r="DC768" s="171"/>
      <c r="DD768" s="72"/>
      <c r="DE768" s="171"/>
      <c r="DF768" s="72"/>
      <c r="DG768" s="171"/>
      <c r="DH768" s="72"/>
      <c r="DI768" s="171"/>
      <c r="DJ768" s="72"/>
      <c r="DK768" s="171"/>
      <c r="DL768" s="72"/>
      <c r="DM768" s="171"/>
      <c r="DN768" s="72"/>
      <c r="DO768" s="171"/>
      <c r="DP768" s="72"/>
      <c r="DQ768" s="171"/>
      <c r="DR768" s="72"/>
      <c r="DS768" s="171"/>
      <c r="DT768" s="72"/>
      <c r="DU768" s="171"/>
      <c r="DV768" s="72"/>
      <c r="DW768" s="171"/>
      <c r="DX768" s="72"/>
      <c r="DY768" s="171"/>
      <c r="DZ768" s="72"/>
      <c r="EA768" s="171"/>
      <c r="EB768" s="72"/>
      <c r="EC768" s="171"/>
      <c r="ED768" s="72"/>
      <c r="EE768" s="171"/>
      <c r="EF768" s="72"/>
      <c r="EG768" s="171"/>
      <c r="EH768" s="72"/>
      <c r="EI768" s="171"/>
      <c r="EJ768" s="72"/>
      <c r="EK768" s="171"/>
      <c r="EL768" s="72"/>
      <c r="EM768" s="171"/>
      <c r="EN768" s="72"/>
      <c r="EO768" s="171"/>
      <c r="EP768" s="72"/>
      <c r="EQ768" s="171"/>
      <c r="ER768" s="72"/>
      <c r="ES768" s="171"/>
      <c r="ET768" s="72"/>
      <c r="EU768" s="171"/>
      <c r="EV768" s="72"/>
      <c r="EW768" s="171"/>
      <c r="EX768" s="72"/>
      <c r="EY768" s="72"/>
      <c r="EZ768" s="335"/>
      <c r="FA768" s="72"/>
      <c r="FB768" s="171"/>
      <c r="FC768" s="11"/>
      <c r="FD768" s="171"/>
      <c r="FE768" s="72"/>
      <c r="FF768" s="171"/>
      <c r="FG768" s="72"/>
      <c r="FH768" s="171"/>
      <c r="FI768" s="72"/>
      <c r="FJ768" s="171"/>
      <c r="FK768" s="72"/>
      <c r="FL768" s="171"/>
      <c r="FM768" s="72"/>
      <c r="FN768" s="171"/>
      <c r="FO768" s="72"/>
      <c r="FP768" s="171"/>
      <c r="FQ768" s="72"/>
      <c r="FR768" s="171"/>
      <c r="FS768" s="72"/>
      <c r="FT768" s="171"/>
      <c r="FU768" s="72"/>
      <c r="FV768" s="171"/>
      <c r="FW768" s="72"/>
      <c r="FX768" s="171"/>
      <c r="FY768" s="72"/>
      <c r="FZ768" s="171"/>
      <c r="GA768" s="72"/>
      <c r="GB768" s="171"/>
      <c r="GC768" s="72"/>
      <c r="GD768" s="171"/>
      <c r="GE768" s="72"/>
      <c r="GF768" s="171"/>
      <c r="GG768" s="72"/>
      <c r="GH768" s="171"/>
      <c r="GI768" s="72"/>
      <c r="GJ768" s="171"/>
      <c r="GK768" s="72"/>
      <c r="GL768" s="171"/>
      <c r="GM768" s="72"/>
      <c r="GN768" s="171"/>
      <c r="GO768" s="72"/>
      <c r="GP768" s="171"/>
      <c r="GQ768" s="72"/>
      <c r="GR768" s="171"/>
      <c r="GS768" s="72"/>
      <c r="GT768" s="171"/>
      <c r="GU768" s="72"/>
      <c r="GV768" s="171"/>
      <c r="GW768" s="72"/>
      <c r="GX768" s="171"/>
      <c r="GY768" s="72"/>
      <c r="GZ768" s="72"/>
      <c r="HA768" s="72"/>
      <c r="HB768" s="72"/>
      <c r="HC768"/>
      <c r="HD768"/>
      <c r="HE768"/>
      <c r="HF768"/>
      <c r="HG768"/>
      <c r="HH768"/>
      <c r="HI768" s="2"/>
    </row>
    <row r="769" spans="1:217" s="3" customFormat="1" ht="12.75" hidden="1" customHeight="1" outlineLevel="1" x14ac:dyDescent="0.2">
      <c r="A769" s="3" t="s">
        <v>575</v>
      </c>
      <c r="B769" s="4" t="s">
        <v>21</v>
      </c>
      <c r="C769" s="171"/>
      <c r="D769" s="11"/>
      <c r="E769" s="171"/>
      <c r="F769" s="11"/>
      <c r="G769" s="171"/>
      <c r="H769" s="11"/>
      <c r="I769" s="171"/>
      <c r="J769" s="11"/>
      <c r="K769" s="171">
        <f>K132</f>
        <v>79</v>
      </c>
      <c r="L769" s="171"/>
      <c r="M769" s="171">
        <f>M132</f>
        <v>87</v>
      </c>
      <c r="N769" s="171"/>
      <c r="O769" s="171">
        <f>O132</f>
        <v>76</v>
      </c>
      <c r="P769" s="171"/>
      <c r="Q769" s="171">
        <f>Q132</f>
        <v>31</v>
      </c>
      <c r="R769" s="171"/>
      <c r="S769" s="171">
        <f>S132</f>
        <v>117</v>
      </c>
      <c r="T769" s="171"/>
      <c r="U769" s="171">
        <f>U132</f>
        <v>130</v>
      </c>
      <c r="V769" s="171"/>
      <c r="W769" s="171">
        <f>W132</f>
        <v>115</v>
      </c>
      <c r="X769" s="171"/>
      <c r="Y769" s="171">
        <f>Y132</f>
        <v>70</v>
      </c>
      <c r="Z769" s="171"/>
      <c r="AA769" s="171">
        <f>AA132</f>
        <v>106</v>
      </c>
      <c r="AB769" s="72"/>
      <c r="AC769" s="171">
        <f>AC132</f>
        <v>113</v>
      </c>
      <c r="AD769" s="72"/>
      <c r="AE769" s="171">
        <f>AE132</f>
        <v>75</v>
      </c>
      <c r="AF769" s="72"/>
      <c r="AG769" s="171">
        <f>AG132</f>
        <v>63</v>
      </c>
      <c r="AH769" s="72"/>
      <c r="AI769" s="171">
        <f>AI132</f>
        <v>87</v>
      </c>
      <c r="AJ769" s="72"/>
      <c r="AK769" s="171">
        <f>AK132</f>
        <v>98</v>
      </c>
      <c r="AL769" s="72"/>
      <c r="AM769" s="171">
        <f>AM132</f>
        <v>101</v>
      </c>
      <c r="AN769" s="72"/>
      <c r="AO769" s="171">
        <f>AO132</f>
        <v>91</v>
      </c>
      <c r="AP769" s="72"/>
      <c r="AQ769" s="171">
        <f>AQ132</f>
        <v>90</v>
      </c>
      <c r="AR769" s="72"/>
      <c r="AS769" s="171">
        <f>AS132</f>
        <v>103</v>
      </c>
      <c r="AT769" s="72"/>
      <c r="AU769" s="171">
        <f>AU132</f>
        <v>107</v>
      </c>
      <c r="AV769" s="72"/>
      <c r="AW769" s="171">
        <f>AW132</f>
        <v>142</v>
      </c>
      <c r="AX769" s="72"/>
      <c r="AY769" s="171">
        <f>AY132</f>
        <v>117</v>
      </c>
      <c r="AZ769" s="72"/>
      <c r="BA769" s="171">
        <f>BA132</f>
        <v>102</v>
      </c>
      <c r="BB769" s="72"/>
      <c r="BC769" s="171">
        <f>BC132</f>
        <v>112</v>
      </c>
      <c r="BD769" s="72"/>
      <c r="BE769" s="171">
        <f>BE132</f>
        <v>132</v>
      </c>
      <c r="BF769" s="72"/>
      <c r="BG769" s="171">
        <f>BG132</f>
        <v>101</v>
      </c>
      <c r="BH769" s="72"/>
      <c r="BI769" s="171">
        <f>BI132</f>
        <v>141</v>
      </c>
      <c r="BJ769" s="72"/>
      <c r="BK769" s="171">
        <f>BK132</f>
        <v>176</v>
      </c>
      <c r="BL769" s="72"/>
      <c r="BM769" s="171">
        <f>BM132</f>
        <v>133</v>
      </c>
      <c r="BN769" s="72"/>
      <c r="BO769" s="171">
        <f>BO132</f>
        <v>96</v>
      </c>
      <c r="BP769" s="72"/>
      <c r="BQ769" s="171">
        <f>BQ132</f>
        <v>103</v>
      </c>
      <c r="BR769" s="72"/>
      <c r="BS769" s="171">
        <f>BS132</f>
        <v>106</v>
      </c>
      <c r="BT769" s="72"/>
      <c r="BU769" s="171">
        <f>BU132</f>
        <v>9</v>
      </c>
      <c r="BV769" s="72"/>
      <c r="BW769" s="171">
        <f>BW132</f>
        <v>72</v>
      </c>
      <c r="BX769" s="72"/>
      <c r="BY769" s="171">
        <f>BY132</f>
        <v>115</v>
      </c>
      <c r="BZ769" s="72"/>
      <c r="CA769" s="171">
        <f>CA132</f>
        <v>107</v>
      </c>
      <c r="CB769" s="72"/>
      <c r="CC769" s="171">
        <f>CC132</f>
        <v>141</v>
      </c>
      <c r="CD769" s="72"/>
      <c r="CE769" s="171">
        <f>CE132</f>
        <v>86</v>
      </c>
      <c r="CF769" s="72"/>
      <c r="CG769" s="171">
        <f>CG132</f>
        <v>137</v>
      </c>
      <c r="CH769" s="72"/>
      <c r="CI769" s="171">
        <f>CI132</f>
        <v>105</v>
      </c>
      <c r="CJ769" s="72"/>
      <c r="CK769" s="171">
        <f>CK132</f>
        <v>132</v>
      </c>
      <c r="CL769" s="72"/>
      <c r="CM769" s="171">
        <f>CM132</f>
        <v>98</v>
      </c>
      <c r="CN769" s="72"/>
      <c r="CO769" s="171">
        <f>CO132</f>
        <v>135</v>
      </c>
      <c r="CP769" s="72"/>
      <c r="CQ769" s="171">
        <f>CQ132</f>
        <v>84</v>
      </c>
      <c r="CR769" s="72"/>
      <c r="CS769" s="171">
        <f>CS132</f>
        <v>128</v>
      </c>
      <c r="CT769" s="72"/>
      <c r="CU769" s="171">
        <f>CU132</f>
        <v>112</v>
      </c>
      <c r="CV769" s="72"/>
      <c r="CW769" s="171">
        <f>CW132</f>
        <v>61</v>
      </c>
      <c r="CX769" s="72"/>
      <c r="CY769" s="171">
        <f>CY132</f>
        <v>139</v>
      </c>
      <c r="CZ769" s="72"/>
      <c r="DA769" s="171">
        <f>DA132</f>
        <v>114</v>
      </c>
      <c r="DB769" s="72"/>
      <c r="DC769" s="171">
        <f>DC132</f>
        <v>145</v>
      </c>
      <c r="DD769" s="72"/>
      <c r="DE769" s="171">
        <f>DE132</f>
        <v>152</v>
      </c>
      <c r="DF769" s="72"/>
      <c r="DG769" s="171">
        <f>DG132</f>
        <v>145</v>
      </c>
      <c r="DH769" s="72"/>
      <c r="DI769" s="171">
        <f>DI132</f>
        <v>165</v>
      </c>
      <c r="DJ769" s="72"/>
      <c r="DK769" s="171">
        <f>DK132</f>
        <v>133</v>
      </c>
      <c r="DL769" s="72"/>
      <c r="DM769" s="171">
        <f>DM132</f>
        <v>166</v>
      </c>
      <c r="DN769" s="72"/>
      <c r="DO769" s="171">
        <f>DO132</f>
        <v>168</v>
      </c>
      <c r="DP769" s="72"/>
      <c r="DQ769" s="171">
        <f>DQ132</f>
        <v>135</v>
      </c>
      <c r="DR769" s="72"/>
      <c r="DS769" s="171">
        <f>DS132</f>
        <v>125</v>
      </c>
      <c r="DT769" s="72"/>
      <c r="DU769" s="171">
        <f>DU132</f>
        <v>177</v>
      </c>
      <c r="DV769" s="72"/>
      <c r="DW769" s="171">
        <f>DW132</f>
        <v>183</v>
      </c>
      <c r="DX769" s="72"/>
      <c r="DY769" s="171">
        <f>DY132</f>
        <v>119</v>
      </c>
      <c r="DZ769" s="72"/>
      <c r="EA769" s="171">
        <f>EA132</f>
        <v>165</v>
      </c>
      <c r="EB769" s="72"/>
      <c r="EC769" s="171">
        <f>EC132</f>
        <v>130</v>
      </c>
      <c r="ED769" s="72"/>
      <c r="EE769" s="171">
        <f>EE132</f>
        <v>111</v>
      </c>
      <c r="EF769" s="72"/>
      <c r="EG769" s="171">
        <f>EG132</f>
        <v>138</v>
      </c>
      <c r="EH769" s="72"/>
      <c r="EI769" s="171">
        <f>EI132</f>
        <v>118</v>
      </c>
      <c r="EJ769" s="72"/>
      <c r="EK769" s="171">
        <f>EK132</f>
        <v>96</v>
      </c>
      <c r="EL769" s="72"/>
      <c r="EM769" s="171">
        <f>EM132</f>
        <v>150</v>
      </c>
      <c r="EN769" s="72"/>
      <c r="EO769" s="171">
        <f>EO132</f>
        <v>98</v>
      </c>
      <c r="EP769" s="72"/>
      <c r="EQ769" s="171">
        <f>EQ132</f>
        <v>95.528326875000175</v>
      </c>
      <c r="ER769" s="72"/>
      <c r="ES769" s="171">
        <f>ES132</f>
        <v>113.75430471982759</v>
      </c>
      <c r="ET769" s="72"/>
      <c r="EU769" s="171">
        <f>EU132</f>
        <v>113.87967676271569</v>
      </c>
      <c r="EV769" s="72"/>
      <c r="EW769" s="171">
        <f>EW132</f>
        <v>112.9107367140482</v>
      </c>
      <c r="EX769" s="72"/>
      <c r="EY769" s="72"/>
      <c r="EZ769" s="335"/>
      <c r="FA769" s="72"/>
      <c r="FB769" s="171"/>
      <c r="FC769" s="11"/>
      <c r="FD769" s="171"/>
      <c r="FE769" s="72"/>
      <c r="FF769" s="171"/>
      <c r="FG769" s="72"/>
      <c r="FH769" s="171"/>
      <c r="FI769" s="72"/>
      <c r="FJ769" s="171"/>
      <c r="FK769" s="72"/>
      <c r="FL769" s="171">
        <f>FL132</f>
        <v>357</v>
      </c>
      <c r="FM769" s="72"/>
      <c r="FN769" s="171">
        <f>FN132</f>
        <v>377</v>
      </c>
      <c r="FO769" s="72"/>
      <c r="FP769" s="171">
        <f>FP132</f>
        <v>442</v>
      </c>
      <c r="FQ769" s="72"/>
      <c r="FR769" s="171">
        <f>FR132</f>
        <v>463</v>
      </c>
      <c r="FS769" s="72"/>
      <c r="FT769" s="171">
        <f>FT132</f>
        <v>551</v>
      </c>
      <c r="FU769" s="72"/>
      <c r="FV769" s="171">
        <f>FV132</f>
        <v>331</v>
      </c>
      <c r="FW769" s="72"/>
      <c r="FX769" s="171">
        <f>FX132</f>
        <v>387</v>
      </c>
      <c r="FY769" s="72"/>
      <c r="FZ769" s="171">
        <f>FZ132</f>
        <v>460</v>
      </c>
      <c r="GA769" s="72"/>
      <c r="GB769" s="171">
        <f>GB132</f>
        <v>445</v>
      </c>
      <c r="GC769" s="72"/>
      <c r="GD769" s="171">
        <f>GD132</f>
        <v>426</v>
      </c>
      <c r="GE769" s="72"/>
      <c r="GF769" s="171">
        <f>GF132</f>
        <v>607</v>
      </c>
      <c r="GG769" s="72"/>
      <c r="GH769" s="171">
        <f>GH132</f>
        <v>602</v>
      </c>
      <c r="GI769" s="72"/>
      <c r="GJ769" s="171">
        <f>GJ132</f>
        <v>604</v>
      </c>
      <c r="GK769" s="72"/>
      <c r="GL769" s="171">
        <f>GL132</f>
        <v>544</v>
      </c>
      <c r="GM769" s="72"/>
      <c r="GN769" s="171">
        <f>GN132</f>
        <v>462</v>
      </c>
      <c r="GO769" s="72"/>
      <c r="GP769" s="171">
        <f>GP132</f>
        <v>436.07304507159097</v>
      </c>
      <c r="GQ769" s="72"/>
      <c r="GR769" s="171">
        <f>GR132</f>
        <v>432.33203523491011</v>
      </c>
      <c r="GS769" s="72"/>
      <c r="GT769" s="171">
        <f>GT132</f>
        <v>427.44700049098174</v>
      </c>
      <c r="GU769" s="72"/>
      <c r="GV769" s="171">
        <f>GV132</f>
        <v>428.09328543534866</v>
      </c>
      <c r="GW769" s="72"/>
      <c r="GX769" s="171">
        <f>GX132</f>
        <v>427.94359380240439</v>
      </c>
      <c r="GY769" s="72"/>
      <c r="GZ769" s="72"/>
      <c r="HA769" s="72"/>
      <c r="HB769" s="72"/>
      <c r="HC769"/>
      <c r="HD769"/>
      <c r="HE769"/>
      <c r="HF769"/>
      <c r="HG769"/>
      <c r="HH769"/>
      <c r="HI769" s="2"/>
    </row>
    <row r="770" spans="1:217" s="3" customFormat="1" ht="12.75" hidden="1" customHeight="1" outlineLevel="1" x14ac:dyDescent="0.2">
      <c r="A770" s="3" t="s">
        <v>576</v>
      </c>
      <c r="B770" s="4" t="s">
        <v>23</v>
      </c>
      <c r="C770" s="171"/>
      <c r="D770" s="11"/>
      <c r="E770" s="171"/>
      <c r="F770" s="11"/>
      <c r="G770" s="171"/>
      <c r="H770" s="11"/>
      <c r="I770" s="171"/>
      <c r="J770" s="11"/>
      <c r="K770" s="171">
        <f>K97</f>
        <v>35</v>
      </c>
      <c r="L770" s="171"/>
      <c r="M770" s="171">
        <f>M97</f>
        <v>42</v>
      </c>
      <c r="N770" s="171"/>
      <c r="O770" s="171">
        <f>O97</f>
        <v>8</v>
      </c>
      <c r="P770" s="171"/>
      <c r="Q770" s="171">
        <f>Q97</f>
        <v>22</v>
      </c>
      <c r="R770" s="171"/>
      <c r="S770" s="171">
        <f>S97</f>
        <v>29</v>
      </c>
      <c r="T770" s="171"/>
      <c r="U770" s="171">
        <f>U97</f>
        <v>-17</v>
      </c>
      <c r="V770" s="171"/>
      <c r="W770" s="171">
        <f>W97</f>
        <v>-69</v>
      </c>
      <c r="X770" s="171"/>
      <c r="Y770" s="171">
        <f>Y97</f>
        <v>15</v>
      </c>
      <c r="Z770" s="171"/>
      <c r="AA770" s="171">
        <f>AA97</f>
        <v>23</v>
      </c>
      <c r="AB770" s="72"/>
      <c r="AC770" s="171">
        <f>AC97</f>
        <v>65</v>
      </c>
      <c r="AD770" s="72"/>
      <c r="AE770" s="171">
        <f>AE97</f>
        <v>78</v>
      </c>
      <c r="AF770" s="72"/>
      <c r="AG770" s="171">
        <f>AG97</f>
        <v>96</v>
      </c>
      <c r="AH770" s="72"/>
      <c r="AI770" s="171">
        <f>AI97</f>
        <v>98</v>
      </c>
      <c r="AJ770" s="72"/>
      <c r="AK770" s="171">
        <f>AK97</f>
        <v>94</v>
      </c>
      <c r="AL770" s="72"/>
      <c r="AM770" s="171">
        <f>AM97</f>
        <v>96</v>
      </c>
      <c r="AN770" s="72"/>
      <c r="AO770" s="171">
        <f>AO97</f>
        <v>101</v>
      </c>
      <c r="AP770" s="72"/>
      <c r="AQ770" s="171">
        <f>AQ97</f>
        <v>91</v>
      </c>
      <c r="AR770" s="72"/>
      <c r="AS770" s="171">
        <f>AS97</f>
        <v>95</v>
      </c>
      <c r="AT770" s="72"/>
      <c r="AU770" s="171">
        <f>AU97</f>
        <v>104</v>
      </c>
      <c r="AV770" s="72"/>
      <c r="AW770" s="171">
        <f>AW97</f>
        <v>113</v>
      </c>
      <c r="AX770" s="72"/>
      <c r="AY770" s="171">
        <f>AY97</f>
        <v>118</v>
      </c>
      <c r="AZ770" s="72"/>
      <c r="BA770" s="171">
        <f>BA97</f>
        <v>122</v>
      </c>
      <c r="BB770" s="72"/>
      <c r="BC770" s="171">
        <f>BC97</f>
        <v>155</v>
      </c>
      <c r="BD770" s="72"/>
      <c r="BE770" s="171">
        <f>BE97</f>
        <v>154</v>
      </c>
      <c r="BF770" s="72"/>
      <c r="BG770" s="171">
        <f>BG97</f>
        <v>166</v>
      </c>
      <c r="BH770" s="72"/>
      <c r="BI770" s="171">
        <f>BI97</f>
        <v>180</v>
      </c>
      <c r="BJ770" s="72"/>
      <c r="BK770" s="171">
        <f>BK97</f>
        <v>178</v>
      </c>
      <c r="BL770" s="72"/>
      <c r="BM770" s="171">
        <f>BM97</f>
        <v>175</v>
      </c>
      <c r="BN770" s="72"/>
      <c r="BO770" s="171">
        <f>BO97</f>
        <v>115</v>
      </c>
      <c r="BP770" s="72"/>
      <c r="BQ770" s="171">
        <f>BQ97</f>
        <v>154</v>
      </c>
      <c r="BR770" s="72"/>
      <c r="BS770" s="171">
        <f>BS97</f>
        <v>110</v>
      </c>
      <c r="BT770" s="72"/>
      <c r="BU770" s="171">
        <f>BU97</f>
        <v>95</v>
      </c>
      <c r="BV770" s="72"/>
      <c r="BW770" s="171">
        <f>BW97</f>
        <v>83</v>
      </c>
      <c r="BX770" s="72"/>
      <c r="BY770" s="171">
        <f>BY97</f>
        <v>73</v>
      </c>
      <c r="BZ770" s="72"/>
      <c r="CA770" s="171">
        <f>CA97</f>
        <v>235</v>
      </c>
      <c r="CB770" s="72"/>
      <c r="CC770" s="171">
        <f>CC97</f>
        <v>118</v>
      </c>
      <c r="CD770" s="72"/>
      <c r="CE770" s="171">
        <f>CE97</f>
        <v>126</v>
      </c>
      <c r="CF770" s="72"/>
      <c r="CG770" s="171">
        <f>CG97</f>
        <v>140</v>
      </c>
      <c r="CH770" s="72"/>
      <c r="CI770" s="171">
        <f>CI97</f>
        <v>140</v>
      </c>
      <c r="CJ770" s="72"/>
      <c r="CK770" s="171">
        <f>CK97</f>
        <v>171</v>
      </c>
      <c r="CL770" s="72"/>
      <c r="CM770" s="171">
        <f>CM97</f>
        <v>215.6</v>
      </c>
      <c r="CN770" s="72"/>
      <c r="CO770" s="171">
        <f>CO97</f>
        <v>242</v>
      </c>
      <c r="CP770" s="72"/>
      <c r="CQ770" s="171">
        <f>CQ97</f>
        <v>229</v>
      </c>
      <c r="CR770" s="72"/>
      <c r="CS770" s="171">
        <f>CS97</f>
        <v>197</v>
      </c>
      <c r="CT770" s="72"/>
      <c r="CU770" s="171">
        <f>CU97</f>
        <v>225</v>
      </c>
      <c r="CV770" s="72"/>
      <c r="CW770" s="171">
        <f>CW97</f>
        <v>231</v>
      </c>
      <c r="CX770" s="72"/>
      <c r="CY770" s="171">
        <f>CY97</f>
        <v>255</v>
      </c>
      <c r="CZ770" s="72"/>
      <c r="DA770" s="171">
        <f>DA97</f>
        <v>273</v>
      </c>
      <c r="DB770" s="72"/>
      <c r="DC770" s="171">
        <f>DC97</f>
        <v>310</v>
      </c>
      <c r="DD770" s="72"/>
      <c r="DE770" s="171">
        <f>DE97</f>
        <v>325</v>
      </c>
      <c r="DF770" s="72"/>
      <c r="DG770" s="171">
        <f>DG97</f>
        <v>370</v>
      </c>
      <c r="DH770" s="72"/>
      <c r="DI770" s="171">
        <f>DI97</f>
        <v>384</v>
      </c>
      <c r="DJ770" s="72"/>
      <c r="DK770" s="171">
        <f>DK97</f>
        <v>409</v>
      </c>
      <c r="DL770" s="72"/>
      <c r="DM770" s="171">
        <f>DM97</f>
        <v>394</v>
      </c>
      <c r="DN770" s="72"/>
      <c r="DO770" s="171">
        <f>DO97</f>
        <v>403</v>
      </c>
      <c r="DP770" s="72"/>
      <c r="DQ770" s="171">
        <f>DQ97</f>
        <v>390</v>
      </c>
      <c r="DR770" s="72"/>
      <c r="DS770" s="171">
        <f>DS97</f>
        <v>423</v>
      </c>
      <c r="DT770" s="72"/>
      <c r="DU770" s="171">
        <f>DU97</f>
        <v>423</v>
      </c>
      <c r="DV770" s="72"/>
      <c r="DW770" s="171">
        <f>DW97</f>
        <v>414</v>
      </c>
      <c r="DX770" s="72"/>
      <c r="DY770" s="171">
        <f>DY97</f>
        <v>403</v>
      </c>
      <c r="DZ770" s="72"/>
      <c r="EA770" s="171">
        <f>EA97</f>
        <v>381</v>
      </c>
      <c r="EB770" s="72"/>
      <c r="EC770" s="171">
        <f>EC97</f>
        <v>375</v>
      </c>
      <c r="ED770" s="72"/>
      <c r="EE770" s="171">
        <f>EE97</f>
        <v>449</v>
      </c>
      <c r="EF770" s="72"/>
      <c r="EG770" s="171">
        <f>EG97</f>
        <v>422</v>
      </c>
      <c r="EH770" s="72"/>
      <c r="EI770" s="171">
        <f>EI97</f>
        <v>448.1</v>
      </c>
      <c r="EJ770" s="72"/>
      <c r="EK770" s="171">
        <f>EK97</f>
        <v>512</v>
      </c>
      <c r="EL770" s="72"/>
      <c r="EM770" s="171">
        <f>EM97</f>
        <v>529</v>
      </c>
      <c r="EN770" s="72"/>
      <c r="EO770" s="171">
        <f>EO97</f>
        <v>525</v>
      </c>
      <c r="EP770" s="72"/>
      <c r="EQ770" s="171">
        <f>EQ97</f>
        <v>527.21518307284816</v>
      </c>
      <c r="ER770" s="72"/>
      <c r="ES770" s="171">
        <f>ES97</f>
        <v>523.69219613527025</v>
      </c>
      <c r="ET770" s="72"/>
      <c r="EU770" s="171">
        <f>EU97</f>
        <v>524.33437578534028</v>
      </c>
      <c r="EV770" s="72"/>
      <c r="EW770" s="171">
        <f>EW97</f>
        <v>504.2175605180164</v>
      </c>
      <c r="EX770" s="72"/>
      <c r="EY770" s="72"/>
      <c r="EZ770" s="335"/>
      <c r="FA770" s="72"/>
      <c r="FB770" s="171"/>
      <c r="FC770" s="11"/>
      <c r="FD770" s="171"/>
      <c r="FE770" s="72"/>
      <c r="FF770" s="171"/>
      <c r="FG770" s="72"/>
      <c r="FH770" s="171"/>
      <c r="FI770" s="72"/>
      <c r="FJ770" s="171"/>
      <c r="FK770" s="72"/>
      <c r="FL770" s="171">
        <f>FL97</f>
        <v>262</v>
      </c>
      <c r="FM770" s="72"/>
      <c r="FN770" s="171">
        <f>FN97</f>
        <v>389</v>
      </c>
      <c r="FO770" s="72"/>
      <c r="FP770" s="171">
        <f>FP97</f>
        <v>403</v>
      </c>
      <c r="FQ770" s="72"/>
      <c r="FR770" s="171">
        <f>FR97</f>
        <v>549</v>
      </c>
      <c r="FS770" s="72"/>
      <c r="FT770" s="171">
        <f>FT97</f>
        <v>699</v>
      </c>
      <c r="FU770" s="72"/>
      <c r="FV770" s="171">
        <f>FV97</f>
        <v>596</v>
      </c>
      <c r="FW770" s="72"/>
      <c r="FX770" s="171">
        <f>FX97</f>
        <v>424</v>
      </c>
      <c r="FY770" s="72"/>
      <c r="FZ770" s="171">
        <f>FZ97</f>
        <v>577</v>
      </c>
      <c r="GA770" s="72"/>
      <c r="GB770" s="171">
        <f>GB97</f>
        <v>883.6</v>
      </c>
      <c r="GC770" s="72"/>
      <c r="GD770" s="171">
        <f>GD97</f>
        <v>984</v>
      </c>
      <c r="GE770" s="72"/>
      <c r="GF770" s="171">
        <f>GF97</f>
        <v>1389</v>
      </c>
      <c r="GG770" s="72"/>
      <c r="GH770" s="171">
        <f>GH97</f>
        <v>1596</v>
      </c>
      <c r="GI770" s="72"/>
      <c r="GJ770" s="171">
        <f>GJ97</f>
        <v>1663</v>
      </c>
      <c r="GK770" s="72"/>
      <c r="GL770" s="171">
        <f>GL97</f>
        <v>1627</v>
      </c>
      <c r="GM770" s="72"/>
      <c r="GN770" s="171">
        <f>GN97</f>
        <v>2014.1</v>
      </c>
      <c r="GO770" s="72"/>
      <c r="GP770" s="171">
        <f>GP97</f>
        <v>2079.4593155114753</v>
      </c>
      <c r="GQ770" s="72"/>
      <c r="GR770" s="171">
        <f>GR97</f>
        <v>2045.8808109448855</v>
      </c>
      <c r="GS770" s="72"/>
      <c r="GT770" s="171">
        <f>GT97</f>
        <v>2016.1961540738039</v>
      </c>
      <c r="GU770" s="72"/>
      <c r="GV770" s="171">
        <f>GV97</f>
        <v>1990.0737062204503</v>
      </c>
      <c r="GW770" s="72"/>
      <c r="GX770" s="171">
        <f>GX97</f>
        <v>1967.4739029153461</v>
      </c>
      <c r="GY770" s="72"/>
      <c r="GZ770" s="72"/>
      <c r="HA770" s="72"/>
      <c r="HB770" s="72"/>
      <c r="HC770"/>
      <c r="HD770"/>
      <c r="HE770"/>
      <c r="HF770"/>
      <c r="HG770"/>
      <c r="HH770"/>
      <c r="HI770" s="2"/>
    </row>
    <row r="771" spans="1:217" s="3" customFormat="1" ht="12.75" hidden="1" customHeight="1" outlineLevel="1" x14ac:dyDescent="0.2">
      <c r="A771" s="3" t="s">
        <v>577</v>
      </c>
      <c r="B771" s="4" t="s">
        <v>24</v>
      </c>
      <c r="C771" s="171"/>
      <c r="D771" s="11"/>
      <c r="E771" s="171"/>
      <c r="F771" s="11"/>
      <c r="G771" s="171"/>
      <c r="H771" s="11"/>
      <c r="I771" s="171"/>
      <c r="J771" s="11"/>
      <c r="K771" s="171">
        <f>K252</f>
        <v>47</v>
      </c>
      <c r="L771" s="171"/>
      <c r="M771" s="171">
        <f>M252</f>
        <v>9</v>
      </c>
      <c r="N771" s="171"/>
      <c r="O771" s="171">
        <f>O252</f>
        <v>-7</v>
      </c>
      <c r="P771" s="171"/>
      <c r="Q771" s="171">
        <f>Q252</f>
        <v>21</v>
      </c>
      <c r="R771" s="171"/>
      <c r="S771" s="171">
        <f>S252</f>
        <v>37</v>
      </c>
      <c r="T771" s="171"/>
      <c r="U771" s="171">
        <f>U252</f>
        <v>36</v>
      </c>
      <c r="V771" s="171"/>
      <c r="W771" s="171">
        <f>W252</f>
        <v>30</v>
      </c>
      <c r="X771" s="171"/>
      <c r="Y771" s="171">
        <f>Y252</f>
        <v>52</v>
      </c>
      <c r="Z771" s="171"/>
      <c r="AA771" s="171">
        <f>AA252</f>
        <v>34</v>
      </c>
      <c r="AB771" s="72"/>
      <c r="AC771" s="171">
        <f>AC252</f>
        <v>58</v>
      </c>
      <c r="AD771" s="72"/>
      <c r="AE771" s="171">
        <f>AE252</f>
        <v>30</v>
      </c>
      <c r="AF771" s="72"/>
      <c r="AG771" s="171">
        <f>AG252</f>
        <v>47</v>
      </c>
      <c r="AH771" s="72"/>
      <c r="AI771" s="171">
        <f>AI252</f>
        <v>26</v>
      </c>
      <c r="AJ771" s="72"/>
      <c r="AK771" s="171">
        <f>AK252</f>
        <v>46</v>
      </c>
      <c r="AL771" s="72"/>
      <c r="AM771" s="171">
        <f>AM252</f>
        <v>48</v>
      </c>
      <c r="AN771" s="72"/>
      <c r="AO771" s="171">
        <f>AO252</f>
        <v>27</v>
      </c>
      <c r="AP771" s="72"/>
      <c r="AQ771" s="171">
        <f>AQ252</f>
        <v>34</v>
      </c>
      <c r="AR771" s="72"/>
      <c r="AS771" s="171">
        <f>AS252</f>
        <v>46</v>
      </c>
      <c r="AT771" s="72"/>
      <c r="AU771" s="171">
        <f>AU252</f>
        <v>60</v>
      </c>
      <c r="AV771" s="72"/>
      <c r="AW771" s="171">
        <f>AW252</f>
        <v>80</v>
      </c>
      <c r="AX771" s="72"/>
      <c r="AY771" s="171">
        <f>AY252</f>
        <v>47</v>
      </c>
      <c r="AZ771" s="72"/>
      <c r="BA771" s="171">
        <f>BA252</f>
        <v>58</v>
      </c>
      <c r="BB771" s="72"/>
      <c r="BC771" s="171">
        <f>BC252</f>
        <v>58</v>
      </c>
      <c r="BD771" s="72"/>
      <c r="BE771" s="171">
        <f>BE252</f>
        <v>77</v>
      </c>
      <c r="BF771" s="72"/>
      <c r="BG771" s="171">
        <f>BG252</f>
        <v>51</v>
      </c>
      <c r="BH771" s="72"/>
      <c r="BI771" s="171">
        <f>BI252</f>
        <v>69</v>
      </c>
      <c r="BJ771" s="72"/>
      <c r="BK771" s="171">
        <f>BK252</f>
        <v>91</v>
      </c>
      <c r="BL771" s="72"/>
      <c r="BM771" s="171">
        <f>BM252</f>
        <v>70</v>
      </c>
      <c r="BN771" s="72"/>
      <c r="BO771" s="171">
        <f>BO252</f>
        <v>70</v>
      </c>
      <c r="BP771" s="72"/>
      <c r="BQ771" s="171">
        <f>BQ252</f>
        <v>80</v>
      </c>
      <c r="BR771" s="72"/>
      <c r="BS771" s="171">
        <f>BS252</f>
        <v>88</v>
      </c>
      <c r="BT771" s="72"/>
      <c r="BU771" s="171">
        <f>BU252</f>
        <v>69</v>
      </c>
      <c r="BV771" s="72"/>
      <c r="BW771" s="171">
        <f>BW252</f>
        <v>93</v>
      </c>
      <c r="BX771" s="72"/>
      <c r="BY771" s="171">
        <f>BY252</f>
        <v>105</v>
      </c>
      <c r="BZ771" s="72"/>
      <c r="CA771" s="171">
        <f>CA252</f>
        <v>64</v>
      </c>
      <c r="CB771" s="72"/>
      <c r="CC771" s="171">
        <f>CC252</f>
        <v>69</v>
      </c>
      <c r="CD771" s="72"/>
      <c r="CE771" s="171">
        <f>CE252</f>
        <v>52</v>
      </c>
      <c r="CF771" s="72"/>
      <c r="CG771" s="171">
        <f>CG252</f>
        <v>39</v>
      </c>
      <c r="CH771" s="72"/>
      <c r="CI771" s="171">
        <f>CI252</f>
        <v>32</v>
      </c>
      <c r="CJ771" s="72"/>
      <c r="CK771" s="171">
        <f>CK252</f>
        <v>68</v>
      </c>
      <c r="CL771" s="72"/>
      <c r="CM771" s="171">
        <f>CM252</f>
        <v>39</v>
      </c>
      <c r="CN771" s="72"/>
      <c r="CO771" s="171">
        <f>CO252</f>
        <v>49</v>
      </c>
      <c r="CP771" s="72"/>
      <c r="CQ771" s="171">
        <f>CQ252</f>
        <v>23</v>
      </c>
      <c r="CR771" s="72"/>
      <c r="CS771" s="171">
        <f>CS252</f>
        <v>42</v>
      </c>
      <c r="CT771" s="72"/>
      <c r="CU771" s="171">
        <f>CU252</f>
        <v>-40</v>
      </c>
      <c r="CV771" s="72"/>
      <c r="CW771" s="171">
        <f>CW252</f>
        <v>33</v>
      </c>
      <c r="CX771" s="72"/>
      <c r="CY771" s="171">
        <f>CY252</f>
        <v>28</v>
      </c>
      <c r="CZ771" s="72"/>
      <c r="DA771" s="171">
        <f>DA252</f>
        <v>26</v>
      </c>
      <c r="DB771" s="72"/>
      <c r="DC771" s="171">
        <f>DC252</f>
        <v>9</v>
      </c>
      <c r="DD771" s="72"/>
      <c r="DE771" s="171">
        <f>DE252</f>
        <v>22</v>
      </c>
      <c r="DF771" s="72"/>
      <c r="DG771" s="171">
        <f>DG252</f>
        <v>23</v>
      </c>
      <c r="DH771" s="72"/>
      <c r="DI771" s="171">
        <f>DI252</f>
        <v>58</v>
      </c>
      <c r="DJ771" s="72"/>
      <c r="DK771" s="171">
        <f>DK252</f>
        <v>6</v>
      </c>
      <c r="DL771" s="72"/>
      <c r="DM771" s="171">
        <f>DM252</f>
        <v>46</v>
      </c>
      <c r="DN771" s="72"/>
      <c r="DO771" s="171">
        <f>DO252</f>
        <v>34</v>
      </c>
      <c r="DP771" s="72"/>
      <c r="DQ771" s="171">
        <f>DQ252</f>
        <v>44</v>
      </c>
      <c r="DR771" s="72"/>
      <c r="DS771" s="171">
        <f>DS252</f>
        <v>30</v>
      </c>
      <c r="DT771" s="72"/>
      <c r="DU771" s="171">
        <f>DU252</f>
        <v>47</v>
      </c>
      <c r="DV771" s="72"/>
      <c r="DW771" s="171">
        <f>DW252</f>
        <v>44</v>
      </c>
      <c r="DX771" s="72"/>
      <c r="DY771" s="171">
        <f>DY252</f>
        <v>27</v>
      </c>
      <c r="DZ771" s="72"/>
      <c r="EA771" s="171">
        <f>EA252</f>
        <v>26</v>
      </c>
      <c r="EB771" s="72"/>
      <c r="EC771" s="171">
        <f>EC252</f>
        <v>89</v>
      </c>
      <c r="ED771" s="72"/>
      <c r="EE771" s="171">
        <f>EE252</f>
        <v>62</v>
      </c>
      <c r="EF771" s="72"/>
      <c r="EG771" s="171">
        <f>EG252</f>
        <v>43</v>
      </c>
      <c r="EH771" s="72"/>
      <c r="EI771" s="171">
        <f>EI252</f>
        <v>34</v>
      </c>
      <c r="EJ771" s="72"/>
      <c r="EK771" s="171">
        <f>EK252</f>
        <v>81</v>
      </c>
      <c r="EL771" s="72"/>
      <c r="EM771" s="171">
        <f>EM252</f>
        <v>61</v>
      </c>
      <c r="EN771" s="72"/>
      <c r="EO771" s="171">
        <f>EO252</f>
        <v>22</v>
      </c>
      <c r="EP771" s="72"/>
      <c r="EQ771" s="171">
        <f>EQ252</f>
        <v>43.17832414999998</v>
      </c>
      <c r="ER771" s="72"/>
      <c r="ES771" s="171">
        <f>ES252</f>
        <v>49.623395891499513</v>
      </c>
      <c r="ET771" s="72"/>
      <c r="EU771" s="171">
        <f>EU252</f>
        <v>56.192951235414739</v>
      </c>
      <c r="EV771" s="72"/>
      <c r="EW771" s="171">
        <f>EW252</f>
        <v>47.053032785860069</v>
      </c>
      <c r="EX771" s="72"/>
      <c r="EY771" s="72"/>
      <c r="EZ771" s="335"/>
      <c r="FA771" s="72"/>
      <c r="FB771" s="171"/>
      <c r="FC771" s="11"/>
      <c r="FD771" s="171"/>
      <c r="FE771" s="72"/>
      <c r="FF771" s="171"/>
      <c r="FG771" s="72"/>
      <c r="FH771" s="171"/>
      <c r="FI771" s="72"/>
      <c r="FJ771" s="171"/>
      <c r="FK771" s="72"/>
      <c r="FL771" s="171">
        <f>FL252</f>
        <v>169</v>
      </c>
      <c r="FM771" s="72"/>
      <c r="FN771" s="171">
        <f>FN252</f>
        <v>147</v>
      </c>
      <c r="FO771" s="72"/>
      <c r="FP771" s="171">
        <f>FP252</f>
        <v>220</v>
      </c>
      <c r="FQ771" s="72"/>
      <c r="FR771" s="171">
        <f>FR252</f>
        <v>240</v>
      </c>
      <c r="FS771" s="72"/>
      <c r="FT771" s="171">
        <f>FT252</f>
        <v>281</v>
      </c>
      <c r="FU771" s="72"/>
      <c r="FV771" s="171">
        <f>FV252</f>
        <v>303</v>
      </c>
      <c r="FW771" s="72"/>
      <c r="FX771" s="171">
        <f>FX252</f>
        <v>329</v>
      </c>
      <c r="FY771" s="72"/>
      <c r="FZ771" s="171">
        <f>FZ252</f>
        <v>191</v>
      </c>
      <c r="GA771" s="72"/>
      <c r="GB771" s="171">
        <f>GB252</f>
        <v>153</v>
      </c>
      <c r="GC771" s="72"/>
      <c r="GD771" s="171">
        <f>GD252</f>
        <v>47</v>
      </c>
      <c r="GE771" s="72"/>
      <c r="GF771" s="171">
        <f>GF252</f>
        <v>112</v>
      </c>
      <c r="GG771" s="72"/>
      <c r="GH771" s="171">
        <f>GH252</f>
        <v>130</v>
      </c>
      <c r="GI771" s="72"/>
      <c r="GJ771" s="171">
        <f>GJ252</f>
        <v>148</v>
      </c>
      <c r="GK771" s="72"/>
      <c r="GL771" s="171">
        <f>GL252</f>
        <v>220</v>
      </c>
      <c r="GM771" s="72"/>
      <c r="GN771" s="171">
        <f>GN252</f>
        <v>198</v>
      </c>
      <c r="GO771" s="72"/>
      <c r="GP771" s="171">
        <f>GP252</f>
        <v>196.04770406277567</v>
      </c>
      <c r="GQ771" s="72"/>
      <c r="GR771" s="171">
        <f>GR252</f>
        <v>203.70113715293792</v>
      </c>
      <c r="GS771" s="72"/>
      <c r="GT771" s="171">
        <f>GT252</f>
        <v>214.2621481665592</v>
      </c>
      <c r="GU771" s="72"/>
      <c r="GV771" s="171">
        <f>GV252</f>
        <v>222.60749246795876</v>
      </c>
      <c r="GW771" s="72"/>
      <c r="GX771" s="171">
        <f>GX252</f>
        <v>231.26354204389736</v>
      </c>
      <c r="GY771" s="72"/>
      <c r="GZ771" s="72"/>
      <c r="HA771" s="72"/>
      <c r="HB771" s="72"/>
      <c r="HC771"/>
      <c r="HD771"/>
      <c r="HE771"/>
      <c r="HF771"/>
      <c r="HG771"/>
      <c r="HH771"/>
      <c r="HI771" s="2"/>
    </row>
    <row r="772" spans="1:217" s="3" customFormat="1" ht="12.75" hidden="1" customHeight="1" outlineLevel="1" x14ac:dyDescent="0.2">
      <c r="A772" s="3" t="s">
        <v>12</v>
      </c>
      <c r="B772" s="4" t="s">
        <v>25</v>
      </c>
      <c r="C772" s="171"/>
      <c r="D772" s="11"/>
      <c r="E772" s="171"/>
      <c r="F772" s="11"/>
      <c r="G772" s="171"/>
      <c r="H772" s="11"/>
      <c r="I772" s="171"/>
      <c r="J772" s="11"/>
      <c r="K772" s="171">
        <f>K324</f>
        <v>67</v>
      </c>
      <c r="L772" s="171"/>
      <c r="M772" s="171">
        <f>M324</f>
        <v>40</v>
      </c>
      <c r="N772" s="171"/>
      <c r="O772" s="171">
        <f>O324</f>
        <v>51</v>
      </c>
      <c r="P772" s="171"/>
      <c r="Q772" s="171">
        <f>Q324</f>
        <v>38</v>
      </c>
      <c r="R772" s="171"/>
      <c r="S772" s="171">
        <f>S324</f>
        <v>63</v>
      </c>
      <c r="T772" s="171"/>
      <c r="U772" s="171">
        <f>U324</f>
        <v>48</v>
      </c>
      <c r="V772" s="171"/>
      <c r="W772" s="171">
        <f>W324</f>
        <v>42</v>
      </c>
      <c r="X772" s="171"/>
      <c r="Y772" s="171">
        <f>Y324</f>
        <v>31</v>
      </c>
      <c r="Z772" s="171"/>
      <c r="AA772" s="171">
        <f>AA324</f>
        <v>45</v>
      </c>
      <c r="AB772" s="72"/>
      <c r="AC772" s="171">
        <f>AC324</f>
        <v>54</v>
      </c>
      <c r="AD772" s="72"/>
      <c r="AE772" s="171">
        <f>AE324</f>
        <v>42</v>
      </c>
      <c r="AF772" s="72"/>
      <c r="AG772" s="171">
        <f>AG324</f>
        <v>68</v>
      </c>
      <c r="AH772" s="72"/>
      <c r="AI772" s="171">
        <f>AI324</f>
        <v>58</v>
      </c>
      <c r="AJ772" s="72"/>
      <c r="AK772" s="171">
        <f>AK324</f>
        <v>60</v>
      </c>
      <c r="AL772" s="72"/>
      <c r="AM772" s="171">
        <f>AM324</f>
        <v>58</v>
      </c>
      <c r="AN772" s="72"/>
      <c r="AO772" s="171">
        <f>AO324</f>
        <v>70</v>
      </c>
      <c r="AP772" s="72"/>
      <c r="AQ772" s="171">
        <f>AQ324</f>
        <v>99</v>
      </c>
      <c r="AR772" s="72"/>
      <c r="AS772" s="171">
        <f>AS324</f>
        <v>82</v>
      </c>
      <c r="AT772" s="72"/>
      <c r="AU772" s="171">
        <f>AU324</f>
        <v>97</v>
      </c>
      <c r="AV772" s="72"/>
      <c r="AW772" s="171">
        <f>AW324</f>
        <v>109</v>
      </c>
      <c r="AX772" s="72"/>
      <c r="AY772" s="171">
        <f>AY324</f>
        <v>154</v>
      </c>
      <c r="AZ772" s="72"/>
      <c r="BA772" s="171">
        <f>BA324</f>
        <v>104</v>
      </c>
      <c r="BB772" s="72"/>
      <c r="BC772" s="171">
        <f>BC324</f>
        <v>102</v>
      </c>
      <c r="BD772" s="72"/>
      <c r="BE772" s="171">
        <f>BE324</f>
        <v>123</v>
      </c>
      <c r="BF772" s="72"/>
      <c r="BG772" s="171">
        <f>BG324</f>
        <v>155</v>
      </c>
      <c r="BH772" s="72"/>
      <c r="BI772" s="171">
        <f>BI324</f>
        <v>153</v>
      </c>
      <c r="BJ772" s="72"/>
      <c r="BK772" s="171">
        <f>BK324</f>
        <v>214</v>
      </c>
      <c r="BL772" s="72"/>
      <c r="BM772" s="171">
        <f>BM324</f>
        <v>247</v>
      </c>
      <c r="BN772" s="72"/>
      <c r="BO772" s="171">
        <f>BO324</f>
        <v>149</v>
      </c>
      <c r="BP772" s="72"/>
      <c r="BQ772" s="171">
        <f>BQ324</f>
        <v>150</v>
      </c>
      <c r="BR772" s="72"/>
      <c r="BS772" s="171">
        <f>BS324</f>
        <v>102</v>
      </c>
      <c r="BT772" s="72"/>
      <c r="BU772" s="171">
        <f>BU324</f>
        <v>81</v>
      </c>
      <c r="BV772" s="72"/>
      <c r="BW772" s="171">
        <f>BW324</f>
        <v>-1</v>
      </c>
      <c r="BX772" s="72"/>
      <c r="BY772" s="171">
        <f>BY324</f>
        <v>33</v>
      </c>
      <c r="BZ772" s="72"/>
      <c r="CA772" s="171">
        <f>CA324</f>
        <v>29</v>
      </c>
      <c r="CB772" s="72"/>
      <c r="CC772" s="171">
        <f>CC324</f>
        <v>-6</v>
      </c>
      <c r="CD772" s="72"/>
      <c r="CE772" s="171">
        <f>CE324</f>
        <v>83</v>
      </c>
      <c r="CF772" s="72"/>
      <c r="CG772" s="171">
        <f>CG324</f>
        <v>124</v>
      </c>
      <c r="CH772" s="72"/>
      <c r="CI772" s="171">
        <f>CI324</f>
        <v>148</v>
      </c>
      <c r="CJ772" s="72"/>
      <c r="CK772" s="171">
        <f>CK324</f>
        <v>132</v>
      </c>
      <c r="CL772" s="72"/>
      <c r="CM772" s="171">
        <f>CM324</f>
        <v>154</v>
      </c>
      <c r="CN772" s="72"/>
      <c r="CO772" s="171">
        <f>CO324</f>
        <v>166</v>
      </c>
      <c r="CP772" s="72"/>
      <c r="CQ772" s="171">
        <f>CQ324</f>
        <v>123</v>
      </c>
      <c r="CR772" s="72"/>
      <c r="CS772" s="171">
        <f>CS324</f>
        <v>160</v>
      </c>
      <c r="CT772" s="72"/>
      <c r="CU772" s="171">
        <f>CU324</f>
        <v>147</v>
      </c>
      <c r="CV772" s="72"/>
      <c r="CW772" s="171">
        <f>CW324</f>
        <v>130</v>
      </c>
      <c r="CX772" s="72"/>
      <c r="CY772" s="171">
        <f>CY324</f>
        <v>197</v>
      </c>
      <c r="CZ772" s="72"/>
      <c r="DA772" s="171">
        <f>DA324</f>
        <v>202</v>
      </c>
      <c r="DB772" s="72"/>
      <c r="DC772" s="171">
        <f>DC324</f>
        <v>169</v>
      </c>
      <c r="DD772" s="72"/>
      <c r="DE772" s="171">
        <f>DE324</f>
        <v>172</v>
      </c>
      <c r="DF772" s="72"/>
      <c r="DG772" s="171">
        <f>DG324</f>
        <v>173</v>
      </c>
      <c r="DH772" s="72"/>
      <c r="DI772" s="171">
        <f>DI324</f>
        <v>209</v>
      </c>
      <c r="DJ772" s="72"/>
      <c r="DK772" s="171">
        <f>DK324</f>
        <v>193</v>
      </c>
      <c r="DL772" s="72"/>
      <c r="DM772" s="171">
        <f>DM324</f>
        <v>200</v>
      </c>
      <c r="DN772" s="72"/>
      <c r="DO772" s="171">
        <f>DO324</f>
        <v>200</v>
      </c>
      <c r="DP772" s="72"/>
      <c r="DQ772" s="171">
        <f>DQ324</f>
        <v>192</v>
      </c>
      <c r="DR772" s="72"/>
      <c r="DS772" s="171">
        <f>DS324</f>
        <v>205</v>
      </c>
      <c r="DT772" s="72"/>
      <c r="DU772" s="171">
        <f>DU324</f>
        <v>196</v>
      </c>
      <c r="DV772" s="72"/>
      <c r="DW772" s="171">
        <f>DW324</f>
        <v>180</v>
      </c>
      <c r="DX772" s="72"/>
      <c r="DY772" s="171">
        <f>DY324</f>
        <v>198</v>
      </c>
      <c r="DZ772" s="72"/>
      <c r="EA772" s="171">
        <f>EA324</f>
        <v>165</v>
      </c>
      <c r="EB772" s="72"/>
      <c r="EC772" s="171">
        <f>EC324</f>
        <v>207</v>
      </c>
      <c r="ED772" s="72"/>
      <c r="EE772" s="171">
        <f>EE324</f>
        <v>191</v>
      </c>
      <c r="EF772" s="72"/>
      <c r="EG772" s="171">
        <f>EG324</f>
        <v>224</v>
      </c>
      <c r="EH772" s="72"/>
      <c r="EI772" s="171">
        <f>EI324</f>
        <v>196</v>
      </c>
      <c r="EJ772" s="72"/>
      <c r="EK772" s="171">
        <f>EK324</f>
        <v>218</v>
      </c>
      <c r="EL772" s="72"/>
      <c r="EM772" s="171">
        <f>EM324</f>
        <v>259</v>
      </c>
      <c r="EN772" s="72"/>
      <c r="EO772" s="171">
        <f>EO324</f>
        <v>306</v>
      </c>
      <c r="EP772" s="72"/>
      <c r="EQ772" s="171">
        <f>EQ324</f>
        <v>248.7617701489836</v>
      </c>
      <c r="ER772" s="72"/>
      <c r="ES772" s="171">
        <f>ES324</f>
        <v>248.08063873696301</v>
      </c>
      <c r="ET772" s="72"/>
      <c r="EU772" s="171">
        <f>EU324</f>
        <v>251.77587255214337</v>
      </c>
      <c r="EV772" s="72"/>
      <c r="EW772" s="171">
        <f>EW324</f>
        <v>251.08787798307571</v>
      </c>
      <c r="EX772" s="72"/>
      <c r="EY772" s="72"/>
      <c r="EZ772" s="335"/>
      <c r="FA772" s="72"/>
      <c r="FB772" s="171"/>
      <c r="FC772" s="11"/>
      <c r="FD772" s="171"/>
      <c r="FE772" s="72"/>
      <c r="FF772" s="171"/>
      <c r="FG772" s="72"/>
      <c r="FH772" s="171"/>
      <c r="FI772" s="72"/>
      <c r="FJ772" s="171"/>
      <c r="FK772" s="72"/>
      <c r="FL772" s="171">
        <f>FL324</f>
        <v>209</v>
      </c>
      <c r="FM772" s="72"/>
      <c r="FN772" s="171">
        <f>FN324</f>
        <v>246</v>
      </c>
      <c r="FO772" s="72"/>
      <c r="FP772" s="171">
        <f>FP324</f>
        <v>387</v>
      </c>
      <c r="FQ772" s="72"/>
      <c r="FR772" s="171">
        <f>FR324</f>
        <v>483</v>
      </c>
      <c r="FS772" s="72"/>
      <c r="FT772" s="171">
        <f>FT324</f>
        <v>769</v>
      </c>
      <c r="FU772" s="72"/>
      <c r="FV772" s="171">
        <f>FV324</f>
        <v>482</v>
      </c>
      <c r="FW772" s="72"/>
      <c r="FX772" s="171">
        <f>FX324</f>
        <v>55</v>
      </c>
      <c r="FY772" s="72"/>
      <c r="FZ772" s="171">
        <f>FZ324</f>
        <v>487</v>
      </c>
      <c r="GA772" s="72"/>
      <c r="GB772" s="171">
        <f>GB324</f>
        <v>603</v>
      </c>
      <c r="GC772" s="72"/>
      <c r="GD772" s="171">
        <f>GD324</f>
        <v>676</v>
      </c>
      <c r="GE772" s="72"/>
      <c r="GF772" s="171">
        <f>GF324</f>
        <v>723</v>
      </c>
      <c r="GG772" s="72"/>
      <c r="GH772" s="171">
        <f>GH324</f>
        <v>785</v>
      </c>
      <c r="GI772" s="72"/>
      <c r="GJ772" s="171">
        <f>GJ324</f>
        <v>779</v>
      </c>
      <c r="GK772" s="72"/>
      <c r="GL772" s="171">
        <f>GL324</f>
        <v>787</v>
      </c>
      <c r="GM772" s="72"/>
      <c r="GN772" s="171">
        <f>GN324</f>
        <v>979</v>
      </c>
      <c r="GO772" s="72"/>
      <c r="GP772" s="171">
        <f>GP324</f>
        <v>999.70615942116592</v>
      </c>
      <c r="GQ772" s="72"/>
      <c r="GR772" s="171">
        <f>GR324</f>
        <v>1054.0497274759146</v>
      </c>
      <c r="GS772" s="72"/>
      <c r="GT772" s="171">
        <f>GT324</f>
        <v>1100.2812256602492</v>
      </c>
      <c r="GU772" s="72"/>
      <c r="GV772" s="171">
        <f>GV324</f>
        <v>1146.0943113049616</v>
      </c>
      <c r="GW772" s="72"/>
      <c r="GX772" s="171">
        <f>GX324</f>
        <v>1178.6654491965437</v>
      </c>
      <c r="GY772" s="72"/>
      <c r="GZ772" s="72"/>
      <c r="HA772" s="72"/>
      <c r="HB772" s="72"/>
      <c r="HC772"/>
      <c r="HD772"/>
      <c r="HE772"/>
      <c r="HF772"/>
      <c r="HG772"/>
      <c r="HH772"/>
      <c r="HI772" s="2"/>
    </row>
    <row r="773" spans="1:217" s="3" customFormat="1" ht="12.75" hidden="1" customHeight="1" outlineLevel="1" x14ac:dyDescent="0.2">
      <c r="A773" s="3" t="s">
        <v>390</v>
      </c>
      <c r="B773" s="4" t="s">
        <v>124</v>
      </c>
      <c r="C773" s="171"/>
      <c r="D773" s="11"/>
      <c r="E773" s="171"/>
      <c r="F773" s="11"/>
      <c r="G773" s="171"/>
      <c r="H773" s="11"/>
      <c r="I773" s="171"/>
      <c r="J773" s="11"/>
      <c r="K773" s="171">
        <f>K217</f>
        <v>62</v>
      </c>
      <c r="L773" s="171"/>
      <c r="M773" s="171">
        <f>M217</f>
        <v>47</v>
      </c>
      <c r="N773" s="171"/>
      <c r="O773" s="171">
        <f>O217</f>
        <v>-4</v>
      </c>
      <c r="P773" s="171"/>
      <c r="Q773" s="171">
        <f>Q217</f>
        <v>5</v>
      </c>
      <c r="R773" s="171"/>
      <c r="S773" s="171">
        <f>S217</f>
        <v>34</v>
      </c>
      <c r="T773" s="171"/>
      <c r="U773" s="171">
        <f>U217</f>
        <v>50</v>
      </c>
      <c r="V773" s="171"/>
      <c r="W773" s="171">
        <f>W217</f>
        <v>24</v>
      </c>
      <c r="X773" s="171"/>
      <c r="Y773" s="171">
        <f>Y217</f>
        <v>33</v>
      </c>
      <c r="Z773" s="171"/>
      <c r="AA773" s="171">
        <f>AA217</f>
        <v>53</v>
      </c>
      <c r="AB773" s="72"/>
      <c r="AC773" s="171">
        <f>AC217</f>
        <v>45</v>
      </c>
      <c r="AD773" s="72"/>
      <c r="AE773" s="171">
        <f>AE217</f>
        <v>39</v>
      </c>
      <c r="AF773" s="72"/>
      <c r="AG773" s="171">
        <f>AG217</f>
        <v>55</v>
      </c>
      <c r="AH773" s="72"/>
      <c r="AI773" s="171">
        <f>AI217</f>
        <v>52</v>
      </c>
      <c r="AJ773" s="72"/>
      <c r="AK773" s="171">
        <f>AK217</f>
        <v>92</v>
      </c>
      <c r="AL773" s="72"/>
      <c r="AM773" s="171">
        <f>AM217</f>
        <v>94</v>
      </c>
      <c r="AN773" s="72"/>
      <c r="AO773" s="171">
        <f>AO217</f>
        <v>96</v>
      </c>
      <c r="AP773" s="72"/>
      <c r="AQ773" s="171">
        <f>AQ217</f>
        <v>127</v>
      </c>
      <c r="AR773" s="72"/>
      <c r="AS773" s="171">
        <f>AS217</f>
        <v>107</v>
      </c>
      <c r="AT773" s="72"/>
      <c r="AU773" s="171">
        <f>AU217</f>
        <v>95</v>
      </c>
      <c r="AV773" s="72"/>
      <c r="AW773" s="171">
        <f>AW217</f>
        <v>82</v>
      </c>
      <c r="AX773" s="72"/>
      <c r="AY773" s="171">
        <f>AY217</f>
        <v>137</v>
      </c>
      <c r="AZ773" s="72"/>
      <c r="BA773" s="171">
        <f>BA217</f>
        <v>124</v>
      </c>
      <c r="BB773" s="72"/>
      <c r="BC773" s="171">
        <f>BC217</f>
        <v>109</v>
      </c>
      <c r="BD773" s="72"/>
      <c r="BE773" s="171">
        <f>BE217</f>
        <v>121</v>
      </c>
      <c r="BF773" s="72"/>
      <c r="BG773" s="171">
        <f>BG217</f>
        <v>148</v>
      </c>
      <c r="BH773" s="72"/>
      <c r="BI773" s="171">
        <f>BI217</f>
        <v>138</v>
      </c>
      <c r="BJ773" s="72"/>
      <c r="BK773" s="171">
        <f>BK217</f>
        <v>158</v>
      </c>
      <c r="BL773" s="72"/>
      <c r="BM773" s="171">
        <f>BM217</f>
        <v>145</v>
      </c>
      <c r="BN773" s="72"/>
      <c r="BO773" s="171">
        <f>BO217</f>
        <v>124</v>
      </c>
      <c r="BP773" s="72"/>
      <c r="BQ773" s="171">
        <f>BQ217</f>
        <v>141</v>
      </c>
      <c r="BR773" s="72"/>
      <c r="BS773" s="171">
        <f>BS217</f>
        <v>121</v>
      </c>
      <c r="BT773" s="72"/>
      <c r="BU773" s="171">
        <f>BU217</f>
        <v>100</v>
      </c>
      <c r="BV773" s="72"/>
      <c r="BW773" s="171">
        <f>BW217</f>
        <v>140</v>
      </c>
      <c r="BX773" s="72"/>
      <c r="BY773" s="171">
        <f>BY217</f>
        <v>105</v>
      </c>
      <c r="BZ773" s="72"/>
      <c r="CA773" s="171">
        <f>CA217</f>
        <v>117</v>
      </c>
      <c r="CB773" s="72"/>
      <c r="CC773" s="171">
        <f>CC217</f>
        <v>132</v>
      </c>
      <c r="CD773" s="72"/>
      <c r="CE773" s="171">
        <f>CE217</f>
        <v>167</v>
      </c>
      <c r="CF773" s="72"/>
      <c r="CG773" s="171">
        <f>CG217</f>
        <v>134</v>
      </c>
      <c r="CH773" s="72"/>
      <c r="CI773" s="171">
        <f>CI217</f>
        <v>133</v>
      </c>
      <c r="CJ773" s="72"/>
      <c r="CK773" s="171">
        <f>CK217</f>
        <v>146</v>
      </c>
      <c r="CL773" s="72"/>
      <c r="CM773" s="171">
        <f>CM217</f>
        <v>172</v>
      </c>
      <c r="CN773" s="72"/>
      <c r="CO773" s="171">
        <f>CO217</f>
        <v>171</v>
      </c>
      <c r="CP773" s="72"/>
      <c r="CQ773" s="171">
        <f>CQ217</f>
        <v>135</v>
      </c>
      <c r="CR773" s="72"/>
      <c r="CS773" s="171">
        <f>CS217</f>
        <v>140</v>
      </c>
      <c r="CT773" s="72"/>
      <c r="CU773" s="171">
        <f>CU217</f>
        <v>156</v>
      </c>
      <c r="CV773" s="72"/>
      <c r="CW773" s="171">
        <f>CW217</f>
        <v>156</v>
      </c>
      <c r="CX773" s="72"/>
      <c r="CY773" s="171">
        <f>CY217</f>
        <v>152</v>
      </c>
      <c r="CZ773" s="72"/>
      <c r="DA773" s="171">
        <f>DA217</f>
        <v>163</v>
      </c>
      <c r="DB773" s="72"/>
      <c r="DC773" s="171">
        <f>DC217</f>
        <v>228</v>
      </c>
      <c r="DD773" s="72"/>
      <c r="DE773" s="171">
        <f>DE217</f>
        <v>232</v>
      </c>
      <c r="DF773" s="72"/>
      <c r="DG773" s="171">
        <f>DG217</f>
        <v>241</v>
      </c>
      <c r="DH773" s="72"/>
      <c r="DI773" s="171">
        <f>DI217</f>
        <v>295</v>
      </c>
      <c r="DJ773" s="72"/>
      <c r="DK773" s="171">
        <f>DK217</f>
        <v>364</v>
      </c>
      <c r="DL773" s="72"/>
      <c r="DM773" s="171">
        <f>DM217</f>
        <v>286</v>
      </c>
      <c r="DN773" s="72"/>
      <c r="DO773" s="171">
        <f>DO217</f>
        <v>269</v>
      </c>
      <c r="DP773" s="72"/>
      <c r="DQ773" s="171">
        <f>DQ217</f>
        <v>294</v>
      </c>
      <c r="DR773" s="72"/>
      <c r="DS773" s="171">
        <f>DS217</f>
        <v>284</v>
      </c>
      <c r="DT773" s="72"/>
      <c r="DU773" s="171">
        <f>DU217</f>
        <v>237</v>
      </c>
      <c r="DV773" s="72"/>
      <c r="DW773" s="171">
        <f>DW217</f>
        <v>222</v>
      </c>
      <c r="DX773" s="72"/>
      <c r="DY773" s="171">
        <f>DY217</f>
        <v>168</v>
      </c>
      <c r="DZ773" s="72"/>
      <c r="EA773" s="171">
        <f>EA217</f>
        <v>219</v>
      </c>
      <c r="EB773" s="72"/>
      <c r="EC773" s="171">
        <f>EC217</f>
        <v>230</v>
      </c>
      <c r="ED773" s="72"/>
      <c r="EE773" s="171">
        <f>EE217</f>
        <v>273</v>
      </c>
      <c r="EF773" s="72"/>
      <c r="EG773" s="171">
        <f>EG217</f>
        <v>298</v>
      </c>
      <c r="EH773" s="72"/>
      <c r="EI773" s="171">
        <f>EI217</f>
        <v>397</v>
      </c>
      <c r="EJ773" s="72"/>
      <c r="EK773" s="171">
        <f>EK217</f>
        <v>328</v>
      </c>
      <c r="EL773" s="72"/>
      <c r="EM773" s="171">
        <f>EM217</f>
        <v>248</v>
      </c>
      <c r="EN773" s="72"/>
      <c r="EO773" s="171">
        <f>EO217</f>
        <v>291</v>
      </c>
      <c r="EP773" s="72"/>
      <c r="EQ773" s="171">
        <f>EQ217</f>
        <v>307.55725752286753</v>
      </c>
      <c r="ER773" s="72"/>
      <c r="ES773" s="171">
        <f>ES217</f>
        <v>285.4264931648413</v>
      </c>
      <c r="ET773" s="72"/>
      <c r="EU773" s="171">
        <f>EU217</f>
        <v>264.82675395724391</v>
      </c>
      <c r="EV773" s="72"/>
      <c r="EW773" s="171">
        <f>EW217</f>
        <v>252.00711319519451</v>
      </c>
      <c r="EX773" s="72"/>
      <c r="EY773" s="72"/>
      <c r="EZ773" s="335"/>
      <c r="FA773" s="72"/>
      <c r="FB773" s="171"/>
      <c r="FC773" s="11"/>
      <c r="FD773" s="171"/>
      <c r="FE773" s="72"/>
      <c r="FF773" s="171"/>
      <c r="FG773" s="72"/>
      <c r="FH773" s="171"/>
      <c r="FI773" s="72"/>
      <c r="FJ773" s="171"/>
      <c r="FK773" s="72"/>
      <c r="FL773" s="171">
        <f>FL217</f>
        <v>192</v>
      </c>
      <c r="FM773" s="72"/>
      <c r="FN773" s="171">
        <f>FN217</f>
        <v>334</v>
      </c>
      <c r="FO773" s="72"/>
      <c r="FP773" s="171">
        <f>FP217</f>
        <v>411</v>
      </c>
      <c r="FQ773" s="72"/>
      <c r="FR773" s="171">
        <f>FR217</f>
        <v>491</v>
      </c>
      <c r="FS773" s="72"/>
      <c r="FT773" s="171">
        <f>FT217</f>
        <v>589</v>
      </c>
      <c r="FU773" s="72"/>
      <c r="FV773" s="171">
        <f>FV217</f>
        <v>490</v>
      </c>
      <c r="FW773" s="72"/>
      <c r="FX773" s="171">
        <f>FX217</f>
        <v>491</v>
      </c>
      <c r="FY773" s="72"/>
      <c r="FZ773" s="171">
        <f>FZ217</f>
        <v>580</v>
      </c>
      <c r="GA773" s="72"/>
      <c r="GB773" s="171">
        <f>GB217</f>
        <v>618</v>
      </c>
      <c r="GC773" s="72"/>
      <c r="GD773" s="171">
        <f>GD217</f>
        <v>627</v>
      </c>
      <c r="GE773" s="72"/>
      <c r="GF773" s="171">
        <f>GF217</f>
        <v>996</v>
      </c>
      <c r="GG773" s="72"/>
      <c r="GH773" s="171">
        <f>GH217</f>
        <v>1213</v>
      </c>
      <c r="GI773" s="72"/>
      <c r="GJ773" s="171">
        <f>GJ217</f>
        <v>911</v>
      </c>
      <c r="GK773" s="72"/>
      <c r="GL773" s="171">
        <f>GL217</f>
        <v>1020</v>
      </c>
      <c r="GM773" s="72"/>
      <c r="GN773" s="171">
        <f>GN217</f>
        <v>1264</v>
      </c>
      <c r="GO773" s="72"/>
      <c r="GP773" s="171">
        <f>GP217</f>
        <v>1109.8176178401463</v>
      </c>
      <c r="GQ773" s="72"/>
      <c r="GR773" s="171">
        <f>GR217</f>
        <v>1138.8525066855709</v>
      </c>
      <c r="GS773" s="72"/>
      <c r="GT773" s="171">
        <f>GT217</f>
        <v>1162.3174196138971</v>
      </c>
      <c r="GU773" s="72"/>
      <c r="GV773" s="171">
        <f>GV217</f>
        <v>1186.1877959747781</v>
      </c>
      <c r="GW773" s="72"/>
      <c r="GX773" s="171">
        <f>GX217</f>
        <v>1210.4694135748559</v>
      </c>
      <c r="GY773" s="72"/>
      <c r="GZ773" s="72"/>
      <c r="HA773" s="72"/>
      <c r="HB773" s="72"/>
      <c r="HC773"/>
      <c r="HD773"/>
      <c r="HE773"/>
      <c r="HF773"/>
      <c r="HG773"/>
      <c r="HH773"/>
      <c r="HI773" s="2"/>
    </row>
    <row r="774" spans="1:217" s="3" customFormat="1" ht="12.75" hidden="1" customHeight="1" outlineLevel="1" x14ac:dyDescent="0.2">
      <c r="A774" s="3" t="s">
        <v>567</v>
      </c>
      <c r="B774" s="4" t="s">
        <v>125</v>
      </c>
      <c r="C774" s="171"/>
      <c r="D774" s="11"/>
      <c r="E774" s="171"/>
      <c r="F774" s="11"/>
      <c r="G774" s="171"/>
      <c r="H774" s="11"/>
      <c r="I774" s="171"/>
      <c r="J774" s="11"/>
      <c r="K774" s="171"/>
      <c r="L774" s="171"/>
      <c r="M774" s="171"/>
      <c r="N774" s="171"/>
      <c r="O774" s="171"/>
      <c r="P774" s="171"/>
      <c r="Q774" s="171"/>
      <c r="R774" s="171"/>
      <c r="S774" s="171"/>
      <c r="T774" s="171"/>
      <c r="U774" s="171"/>
      <c r="V774" s="171"/>
      <c r="W774" s="171"/>
      <c r="X774" s="171"/>
      <c r="Y774" s="171"/>
      <c r="Z774" s="171"/>
      <c r="AA774" s="171"/>
      <c r="AB774" s="72"/>
      <c r="AC774" s="171"/>
      <c r="AD774" s="72"/>
      <c r="AE774" s="171"/>
      <c r="AF774" s="72"/>
      <c r="AG774" s="171"/>
      <c r="AH774" s="72"/>
      <c r="AI774" s="171"/>
      <c r="AJ774" s="72"/>
      <c r="AK774" s="171"/>
      <c r="AL774" s="72"/>
      <c r="AM774" s="171"/>
      <c r="AN774" s="72"/>
      <c r="AO774" s="171"/>
      <c r="AP774" s="72"/>
      <c r="AQ774" s="171">
        <f>AQ387+AQ428+AQ457</f>
        <v>303</v>
      </c>
      <c r="AR774" s="72"/>
      <c r="AS774" s="171">
        <f>AS387+AS428+AS457</f>
        <v>314</v>
      </c>
      <c r="AT774" s="72"/>
      <c r="AU774" s="171">
        <f>AU387+AU428+AU457</f>
        <v>363</v>
      </c>
      <c r="AV774" s="72"/>
      <c r="AW774" s="171">
        <f>AW387+AW428+AW457</f>
        <v>368</v>
      </c>
      <c r="AX774" s="72"/>
      <c r="AY774" s="171">
        <f>AY387+AY428+AY457</f>
        <v>368</v>
      </c>
      <c r="AZ774" s="72"/>
      <c r="BA774" s="171">
        <f>BA387+BA428+BA457</f>
        <v>391</v>
      </c>
      <c r="BB774" s="72"/>
      <c r="BC774" s="171">
        <f>BC387+BC428+BC457</f>
        <v>403</v>
      </c>
      <c r="BD774" s="72"/>
      <c r="BE774" s="171">
        <f>BE387+BE428+BE457</f>
        <v>397</v>
      </c>
      <c r="BF774" s="72"/>
      <c r="BG774" s="171">
        <f>BG387+BG428+BG457</f>
        <v>446</v>
      </c>
      <c r="BH774" s="171"/>
      <c r="BI774" s="171">
        <f>BI387+BI428+BI457</f>
        <v>442</v>
      </c>
      <c r="BJ774" s="171"/>
      <c r="BK774" s="171">
        <f>BK387+BK428+BK457</f>
        <v>517</v>
      </c>
      <c r="BL774" s="171"/>
      <c r="BM774" s="171">
        <f>BM387+BM428+BM457</f>
        <v>450</v>
      </c>
      <c r="BN774" s="171"/>
      <c r="BO774" s="171">
        <f>BO387+BO428+BO457</f>
        <v>439</v>
      </c>
      <c r="BP774" s="171"/>
      <c r="BQ774" s="171">
        <f>BQ387+BQ428+BQ457</f>
        <v>466</v>
      </c>
      <c r="BR774" s="171"/>
      <c r="BS774" s="171">
        <f>BS387+BS428+BS457</f>
        <v>473</v>
      </c>
      <c r="BT774" s="171"/>
      <c r="BU774" s="171">
        <f>BU387+BU428+BU457</f>
        <v>444</v>
      </c>
      <c r="BV774" s="171"/>
      <c r="BW774" s="171">
        <f>BW387+BW428+BW457</f>
        <v>439</v>
      </c>
      <c r="BX774" s="171"/>
      <c r="BY774" s="171">
        <f>BY387+BY428+BY457</f>
        <v>459</v>
      </c>
      <c r="BZ774" s="171"/>
      <c r="CA774" s="171">
        <f>CA387+CA428+CA457</f>
        <v>492</v>
      </c>
      <c r="CB774" s="171"/>
      <c r="CC774" s="171">
        <f>CC387+CC428+CC457</f>
        <v>458</v>
      </c>
      <c r="CD774" s="171"/>
      <c r="CE774" s="171">
        <f>CE387+CE428</f>
        <v>454</v>
      </c>
      <c r="CF774" s="171"/>
      <c r="CG774" s="171">
        <f>CG387+CG428</f>
        <v>428</v>
      </c>
      <c r="CH774" s="171"/>
      <c r="CI774" s="171">
        <f>CI387+CI428</f>
        <v>495</v>
      </c>
      <c r="CJ774" s="171"/>
      <c r="CK774" s="171">
        <f>CK387+CK428</f>
        <v>472</v>
      </c>
      <c r="CL774" s="171"/>
      <c r="CM774" s="171">
        <f>CM387+CM428</f>
        <v>540.1</v>
      </c>
      <c r="CN774" s="171"/>
      <c r="CO774" s="171">
        <f>CO387+CO428</f>
        <v>579</v>
      </c>
      <c r="CP774" s="171"/>
      <c r="CQ774" s="171">
        <f>CQ387+CQ428</f>
        <v>619</v>
      </c>
      <c r="CR774" s="171"/>
      <c r="CS774" s="171">
        <f>CS387+CS428</f>
        <v>596</v>
      </c>
      <c r="CT774" s="171"/>
      <c r="CU774" s="171">
        <f>CU387+CU428</f>
        <v>654</v>
      </c>
      <c r="CV774" s="171"/>
      <c r="CW774" s="171">
        <f>CW387+CW428</f>
        <v>716</v>
      </c>
      <c r="CX774" s="171"/>
      <c r="CY774" s="171">
        <f>CY387+CY428</f>
        <v>736</v>
      </c>
      <c r="CZ774" s="171"/>
      <c r="DA774" s="171">
        <f>DA387+DA428</f>
        <v>657</v>
      </c>
      <c r="DB774" s="171"/>
      <c r="DC774" s="171">
        <f>DC387+DC428</f>
        <v>814</v>
      </c>
      <c r="DD774" s="171"/>
      <c r="DE774" s="171">
        <f>DE387+DE428</f>
        <v>799</v>
      </c>
      <c r="DF774" s="171"/>
      <c r="DG774" s="171">
        <f>DG387+DG428</f>
        <v>875</v>
      </c>
      <c r="DH774" s="171"/>
      <c r="DI774" s="171">
        <f>DI387+DI428</f>
        <v>759</v>
      </c>
      <c r="DJ774" s="171"/>
      <c r="DK774" s="171">
        <f>DK387+DK428</f>
        <v>853</v>
      </c>
      <c r="DL774" s="171"/>
      <c r="DM774" s="171">
        <f>DM387+DM428</f>
        <v>884</v>
      </c>
      <c r="DN774" s="171"/>
      <c r="DO774" s="171">
        <f>DO387+DO428</f>
        <v>843</v>
      </c>
      <c r="DP774" s="171"/>
      <c r="DQ774" s="171">
        <f>DQ387+DQ428</f>
        <v>767</v>
      </c>
      <c r="DR774" s="171"/>
      <c r="DS774" s="171">
        <f>DS387+DS428</f>
        <v>834</v>
      </c>
      <c r="DT774" s="171"/>
      <c r="DU774" s="171">
        <f>DU387+DU428</f>
        <v>863</v>
      </c>
      <c r="DV774" s="171"/>
      <c r="DW774" s="171">
        <f>DW387+DW428</f>
        <v>812</v>
      </c>
      <c r="DX774" s="171"/>
      <c r="DY774" s="171">
        <f>DY387+DY428</f>
        <v>738</v>
      </c>
      <c r="DZ774" s="171"/>
      <c r="EA774" s="171">
        <f>EA387+EA428</f>
        <v>779</v>
      </c>
      <c r="EB774" s="171"/>
      <c r="EC774" s="171">
        <f>EC387+EC428</f>
        <v>837</v>
      </c>
      <c r="ED774" s="171"/>
      <c r="EE774" s="171">
        <f>EE387+EE428</f>
        <v>780</v>
      </c>
      <c r="EF774" s="171"/>
      <c r="EG774" s="171">
        <f>EG387+EG428</f>
        <v>755</v>
      </c>
      <c r="EH774" s="171"/>
      <c r="EI774" s="171">
        <f>EI387+EI428</f>
        <v>799</v>
      </c>
      <c r="EJ774" s="171"/>
      <c r="EK774" s="171">
        <f>EK387+EK428</f>
        <v>869</v>
      </c>
      <c r="EL774" s="171"/>
      <c r="EM774" s="171">
        <f>EM387+EM428</f>
        <v>799</v>
      </c>
      <c r="EN774" s="171"/>
      <c r="EO774" s="171">
        <f>EO387+EO428</f>
        <v>777</v>
      </c>
      <c r="EP774" s="171"/>
      <c r="EQ774" s="171">
        <f>EQ387+EQ428</f>
        <v>852.70015794827032</v>
      </c>
      <c r="ER774" s="171"/>
      <c r="ES774" s="171">
        <f>ES387+ES428</f>
        <v>843.72876065871833</v>
      </c>
      <c r="ET774" s="171"/>
      <c r="EU774" s="171">
        <f>EU387+EU428</f>
        <v>813.91301517947613</v>
      </c>
      <c r="EV774" s="171"/>
      <c r="EW774" s="171">
        <f>EW387+EW428</f>
        <v>800.66413558558588</v>
      </c>
      <c r="EX774" s="171"/>
      <c r="EY774" s="171"/>
      <c r="EZ774" s="342"/>
      <c r="FA774" s="171"/>
      <c r="FB774" s="171">
        <f>FB387+FB428</f>
        <v>144</v>
      </c>
      <c r="FC774" s="171"/>
      <c r="FD774" s="171">
        <f>FD387+FD428</f>
        <v>218</v>
      </c>
      <c r="FE774" s="171"/>
      <c r="FF774" s="171">
        <f>FF387+FF428</f>
        <v>296</v>
      </c>
      <c r="FG774" s="171"/>
      <c r="FH774" s="171">
        <f>FH387+FH428</f>
        <v>692</v>
      </c>
      <c r="FI774" s="171"/>
      <c r="FJ774" s="171">
        <f>FJ387+FJ428</f>
        <v>757</v>
      </c>
      <c r="FK774" s="171"/>
      <c r="FL774" s="171">
        <f>FL387+FL428</f>
        <v>830</v>
      </c>
      <c r="FM774" s="171"/>
      <c r="FN774" s="171">
        <f>FN387+FN428</f>
        <v>936</v>
      </c>
      <c r="FO774" s="171"/>
      <c r="FP774" s="171">
        <f>FP387+FP428</f>
        <v>1260</v>
      </c>
      <c r="FQ774" s="171"/>
      <c r="FR774" s="171">
        <f>FR387+FR428</f>
        <v>1413</v>
      </c>
      <c r="FS774" s="171"/>
      <c r="FT774" s="171">
        <f>FT387+FT428</f>
        <v>1675</v>
      </c>
      <c r="FU774" s="171"/>
      <c r="FV774" s="171">
        <f>FV387+FV428</f>
        <v>1144</v>
      </c>
      <c r="FW774" s="171"/>
      <c r="FX774" s="171">
        <f>FX387+FX428</f>
        <v>1657</v>
      </c>
      <c r="FY774" s="171"/>
      <c r="FZ774" s="171">
        <f>FZ387+FZ428</f>
        <v>1849</v>
      </c>
      <c r="GA774" s="171"/>
      <c r="GB774" s="171">
        <f>GB387+GB428</f>
        <v>2334.1</v>
      </c>
      <c r="GC774" s="171"/>
      <c r="GD774" s="171">
        <f>GD387+GD428</f>
        <v>2763</v>
      </c>
      <c r="GE774" s="171"/>
      <c r="GF774" s="171">
        <f>GF387+GF428</f>
        <v>3247</v>
      </c>
      <c r="GG774" s="82"/>
      <c r="GH774" s="171">
        <f>GH387+GH428</f>
        <v>3347</v>
      </c>
      <c r="GI774" s="82"/>
      <c r="GJ774" s="171">
        <f>GJ387+GJ428</f>
        <v>3247</v>
      </c>
      <c r="GK774" s="82"/>
      <c r="GL774" s="171">
        <f>GL387+GL428</f>
        <v>3151</v>
      </c>
      <c r="GM774" s="82"/>
      <c r="GN774" s="171">
        <f>GN387+GN428</f>
        <v>3244</v>
      </c>
      <c r="GO774" s="82"/>
      <c r="GP774" s="171">
        <f>GP387+GP428</f>
        <v>3311.0060693720498</v>
      </c>
      <c r="GQ774" s="82"/>
      <c r="GR774" s="171">
        <f>GR387+GR428</f>
        <v>3389.2492724567583</v>
      </c>
      <c r="GS774" s="82"/>
      <c r="GT774" s="171">
        <f>GT387+GT428</f>
        <v>3458.8291229184088</v>
      </c>
      <c r="GU774" s="82"/>
      <c r="GV774" s="171">
        <f>GV387+GV428</f>
        <v>3530.8931708941545</v>
      </c>
      <c r="GW774" s="82"/>
      <c r="GX774" s="171">
        <f>GX387+GX428</f>
        <v>3605.5345196065246</v>
      </c>
      <c r="GY774" s="82"/>
      <c r="GZ774" s="72"/>
      <c r="HA774" s="72"/>
      <c r="HB774" s="72"/>
      <c r="HC774"/>
      <c r="HD774"/>
      <c r="HE774"/>
      <c r="HF774"/>
      <c r="HG774"/>
      <c r="HH774"/>
      <c r="HI774" s="2"/>
    </row>
    <row r="775" spans="1:217" s="3" customFormat="1" ht="12.75" hidden="1" customHeight="1" outlineLevel="1" x14ac:dyDescent="0.2">
      <c r="A775" s="3" t="s">
        <v>391</v>
      </c>
      <c r="B775" s="4" t="s">
        <v>126</v>
      </c>
      <c r="C775" s="171"/>
      <c r="D775" s="11"/>
      <c r="E775" s="171"/>
      <c r="F775" s="11"/>
      <c r="G775" s="171"/>
      <c r="H775" s="11"/>
      <c r="I775" s="171"/>
      <c r="J775" s="11"/>
      <c r="K775" s="171">
        <f>K490+K349</f>
        <v>34</v>
      </c>
      <c r="L775" s="171"/>
      <c r="M775" s="171">
        <f>M490+M349</f>
        <v>-9</v>
      </c>
      <c r="N775" s="171"/>
      <c r="O775" s="171">
        <f>O490+O349</f>
        <v>-48</v>
      </c>
      <c r="P775" s="171"/>
      <c r="Q775" s="171">
        <f>Q490+Q349</f>
        <v>-51</v>
      </c>
      <c r="R775" s="171"/>
      <c r="S775" s="171">
        <f>S490+S349</f>
        <v>17</v>
      </c>
      <c r="T775" s="171"/>
      <c r="U775" s="171">
        <f>U490+U349</f>
        <v>33</v>
      </c>
      <c r="V775" s="171"/>
      <c r="W775" s="171">
        <f>W490+W349</f>
        <v>97</v>
      </c>
      <c r="X775" s="171"/>
      <c r="Y775" s="171">
        <f>Y490+Y349</f>
        <v>-30</v>
      </c>
      <c r="Z775" s="171"/>
      <c r="AA775" s="171">
        <f>AA490+AA349</f>
        <v>-7</v>
      </c>
      <c r="AB775" s="72"/>
      <c r="AC775" s="171">
        <f>AC490+AC349</f>
        <v>-22</v>
      </c>
      <c r="AD775" s="72"/>
      <c r="AE775" s="171">
        <f>AE490+AE349</f>
        <v>34</v>
      </c>
      <c r="AF775" s="72"/>
      <c r="AG775" s="171">
        <f>AG490+AG349</f>
        <v>-25</v>
      </c>
      <c r="AH775" s="72"/>
      <c r="AI775" s="171">
        <f>AI490+AI349</f>
        <v>9</v>
      </c>
      <c r="AJ775" s="72"/>
      <c r="AK775" s="171">
        <f>AK490+AK349</f>
        <v>-11.400000000000006</v>
      </c>
      <c r="AL775" s="72"/>
      <c r="AM775" s="171">
        <f>AM490+AM349</f>
        <v>-19</v>
      </c>
      <c r="AN775" s="72"/>
      <c r="AO775" s="171">
        <f>AO490+AO349</f>
        <v>-30</v>
      </c>
      <c r="AP775" s="72"/>
      <c r="AQ775" s="171">
        <f>AQ490+AQ349</f>
        <v>32</v>
      </c>
      <c r="AR775" s="72"/>
      <c r="AS775" s="171">
        <f>AS490+AS349</f>
        <v>71</v>
      </c>
      <c r="AT775" s="72"/>
      <c r="AU775" s="171">
        <f>AU490+AU349</f>
        <v>81</v>
      </c>
      <c r="AV775" s="72"/>
      <c r="AW775" s="171">
        <f>AW490+AW349</f>
        <v>109</v>
      </c>
      <c r="AX775" s="72"/>
      <c r="AY775" s="171">
        <f>AY490+AY349</f>
        <v>43</v>
      </c>
      <c r="AZ775" s="72"/>
      <c r="BA775" s="171">
        <f>BA490+BA349</f>
        <v>70</v>
      </c>
      <c r="BB775" s="72"/>
      <c r="BC775" s="171">
        <f>BC490+BC349</f>
        <v>55</v>
      </c>
      <c r="BD775" s="72"/>
      <c r="BE775" s="171">
        <f>BE490+BE349</f>
        <v>21</v>
      </c>
      <c r="BF775" s="72"/>
      <c r="BG775" s="171">
        <f>BG490+BG349</f>
        <v>54.599999999999994</v>
      </c>
      <c r="BH775" s="72"/>
      <c r="BI775" s="171">
        <f>BI490+BI349</f>
        <v>58</v>
      </c>
      <c r="BJ775" s="72"/>
      <c r="BK775" s="171">
        <f>BK490+BK349</f>
        <v>-24</v>
      </c>
      <c r="BL775" s="72"/>
      <c r="BM775" s="171">
        <f>BM490+BM349</f>
        <v>-46</v>
      </c>
      <c r="BN775" s="72"/>
      <c r="BO775" s="171">
        <f>BO490+BO349</f>
        <v>-51</v>
      </c>
      <c r="BP775" s="72"/>
      <c r="BQ775" s="171">
        <f>BQ490+BQ349</f>
        <v>-20</v>
      </c>
      <c r="BR775" s="72"/>
      <c r="BS775" s="171">
        <f>BS490+BS349</f>
        <v>-40</v>
      </c>
      <c r="BT775" s="72"/>
      <c r="BU775" s="171">
        <f>BU490+BU349</f>
        <v>-223</v>
      </c>
      <c r="BV775" s="72"/>
      <c r="BW775" s="171">
        <f>BW490+BW349</f>
        <v>-213</v>
      </c>
      <c r="BX775" s="72"/>
      <c r="BY775" s="171">
        <f>BY490+BY349</f>
        <v>-176</v>
      </c>
      <c r="BZ775" s="72"/>
      <c r="CA775" s="171">
        <f>CA490+CA349</f>
        <v>-209</v>
      </c>
      <c r="CB775" s="72"/>
      <c r="CC775" s="171">
        <f>CC490+CC349</f>
        <v>-226</v>
      </c>
      <c r="CD775" s="72"/>
      <c r="CE775" s="171">
        <f>CE490</f>
        <v>-211</v>
      </c>
      <c r="CF775" s="72"/>
      <c r="CG775" s="171">
        <f>CG490</f>
        <v>-191</v>
      </c>
      <c r="CH775" s="72"/>
      <c r="CI775" s="171">
        <f>CI490</f>
        <v>-298</v>
      </c>
      <c r="CJ775" s="72"/>
      <c r="CK775" s="171">
        <f>CK490</f>
        <v>-249</v>
      </c>
      <c r="CL775" s="72"/>
      <c r="CM775" s="171">
        <f>CM490</f>
        <v>-269</v>
      </c>
      <c r="CN775" s="72"/>
      <c r="CO775" s="171">
        <f>CO490</f>
        <v>-237</v>
      </c>
      <c r="CP775" s="72"/>
      <c r="CQ775" s="171">
        <f>CQ490</f>
        <v>-230</v>
      </c>
      <c r="CR775" s="72"/>
      <c r="CS775" s="171">
        <f>CS490</f>
        <v>-285</v>
      </c>
      <c r="CT775" s="72"/>
      <c r="CU775" s="171">
        <f>CU490</f>
        <v>-326</v>
      </c>
      <c r="CV775" s="72"/>
      <c r="CW775" s="171">
        <f>CW490</f>
        <v>-225</v>
      </c>
      <c r="CX775" s="72"/>
      <c r="CY775" s="171">
        <f>CY490</f>
        <v>-320</v>
      </c>
      <c r="CZ775" s="72"/>
      <c r="DA775" s="171">
        <f>DA490</f>
        <v>-303</v>
      </c>
      <c r="DB775" s="72"/>
      <c r="DC775" s="171">
        <f>DC490</f>
        <v>-303</v>
      </c>
      <c r="DD775" s="72"/>
      <c r="DE775" s="171">
        <f>DE490</f>
        <v>-331</v>
      </c>
      <c r="DF775" s="72"/>
      <c r="DG775" s="171">
        <f>DG490</f>
        <v>-312</v>
      </c>
      <c r="DH775" s="72"/>
      <c r="DI775" s="171">
        <f>DI490</f>
        <v>-397</v>
      </c>
      <c r="DJ775" s="72"/>
      <c r="DK775" s="171">
        <f>DK490</f>
        <v>-342</v>
      </c>
      <c r="DL775" s="72"/>
      <c r="DM775" s="171">
        <f>DM490</f>
        <v>-341</v>
      </c>
      <c r="DN775" s="72"/>
      <c r="DO775" s="171">
        <f>DO490</f>
        <v>-320</v>
      </c>
      <c r="DP775" s="72"/>
      <c r="DQ775" s="171">
        <f>DQ490</f>
        <v>-326</v>
      </c>
      <c r="DR775" s="72"/>
      <c r="DS775" s="171">
        <f>DS490</f>
        <v>-253</v>
      </c>
      <c r="DT775" s="72"/>
      <c r="DU775" s="171">
        <f>DU490</f>
        <v>-305</v>
      </c>
      <c r="DV775" s="72"/>
      <c r="DW775" s="171">
        <f>DW490</f>
        <v>-308</v>
      </c>
      <c r="DX775" s="72"/>
      <c r="DY775" s="171">
        <f>DY490</f>
        <v>-378.5</v>
      </c>
      <c r="DZ775" s="72"/>
      <c r="EA775" s="171">
        <f>EA490</f>
        <v>-312</v>
      </c>
      <c r="EB775" s="72"/>
      <c r="EC775" s="171">
        <f>EC490</f>
        <v>-376</v>
      </c>
      <c r="ED775" s="72"/>
      <c r="EE775" s="171">
        <f>EE490</f>
        <v>-413</v>
      </c>
      <c r="EF775" s="72"/>
      <c r="EG775" s="171">
        <f>EG490</f>
        <v>-441</v>
      </c>
      <c r="EH775" s="72"/>
      <c r="EI775" s="171">
        <f>EI490</f>
        <v>-352</v>
      </c>
      <c r="EJ775" s="72"/>
      <c r="EK775" s="171">
        <f>EK490</f>
        <v>-308</v>
      </c>
      <c r="EL775" s="72"/>
      <c r="EM775" s="171">
        <f>EM490</f>
        <v>-310</v>
      </c>
      <c r="EN775" s="72"/>
      <c r="EO775" s="171">
        <f>EO490</f>
        <v>-451</v>
      </c>
      <c r="EP775" s="72"/>
      <c r="EQ775" s="171">
        <f>EQ490</f>
        <v>-360</v>
      </c>
      <c r="ER775" s="72"/>
      <c r="ES775" s="171">
        <f>ES490</f>
        <v>-340</v>
      </c>
      <c r="ET775" s="72"/>
      <c r="EU775" s="171">
        <f>EU490</f>
        <v>-320</v>
      </c>
      <c r="EV775" s="72"/>
      <c r="EW775" s="171">
        <f>EW490</f>
        <v>-430</v>
      </c>
      <c r="EX775" s="72"/>
      <c r="EY775" s="72"/>
      <c r="EZ775" s="335"/>
      <c r="FA775" s="72"/>
      <c r="FB775" s="171"/>
      <c r="FC775" s="11"/>
      <c r="FD775" s="171"/>
      <c r="FE775" s="72"/>
      <c r="FF775" s="171"/>
      <c r="FG775" s="72"/>
      <c r="FH775" s="171"/>
      <c r="FI775" s="72"/>
      <c r="FJ775" s="171"/>
      <c r="FK775" s="72"/>
      <c r="FL775" s="171">
        <f>FL490+FL349</f>
        <v>-20</v>
      </c>
      <c r="FM775" s="72"/>
      <c r="FN775" s="171">
        <f>FN490+FN349</f>
        <v>-51.400000000000006</v>
      </c>
      <c r="FO775" s="72"/>
      <c r="FP775" s="171">
        <f>FP490+FP349</f>
        <v>293</v>
      </c>
      <c r="FQ775" s="72"/>
      <c r="FR775" s="171">
        <f>FR490+FR349</f>
        <v>189</v>
      </c>
      <c r="FS775" s="72"/>
      <c r="FT775" s="171">
        <f>FT490</f>
        <v>-114.39999999999998</v>
      </c>
      <c r="FU775" s="72"/>
      <c r="FV775" s="171">
        <f>FV490</f>
        <v>-182</v>
      </c>
      <c r="FW775" s="72"/>
      <c r="FX775" s="171">
        <f>FX490</f>
        <v>-788</v>
      </c>
      <c r="FY775" s="72"/>
      <c r="FZ775" s="171">
        <f>FZ490</f>
        <v>-949</v>
      </c>
      <c r="GA775" s="72"/>
      <c r="GB775" s="171">
        <f>GB490</f>
        <v>-1021</v>
      </c>
      <c r="GC775" s="72"/>
      <c r="GD775" s="171">
        <f>GD490</f>
        <v>-1174</v>
      </c>
      <c r="GE775" s="72"/>
      <c r="GF775" s="171">
        <f>GF490</f>
        <v>-1343</v>
      </c>
      <c r="GG775" s="72"/>
      <c r="GH775" s="171">
        <f>GH490</f>
        <v>-1329</v>
      </c>
      <c r="GI775" s="72"/>
      <c r="GJ775" s="171">
        <f>GJ490</f>
        <v>-1244.5</v>
      </c>
      <c r="GK775" s="72"/>
      <c r="GL775" s="171">
        <f>GL490</f>
        <v>-1542</v>
      </c>
      <c r="GM775" s="72"/>
      <c r="GN775" s="171">
        <f>GN490</f>
        <v>-1421</v>
      </c>
      <c r="GO775" s="72"/>
      <c r="GP775" s="171">
        <f>GP490</f>
        <v>-1450</v>
      </c>
      <c r="GQ775" s="72"/>
      <c r="GR775" s="171">
        <f>GR490</f>
        <v>-1500.7499999999998</v>
      </c>
      <c r="GS775" s="72"/>
      <c r="GT775" s="171">
        <f>GT490</f>
        <v>-1545.7724999999998</v>
      </c>
      <c r="GU775" s="72"/>
      <c r="GV775" s="171">
        <f>GV490</f>
        <v>-1592.1456749999998</v>
      </c>
      <c r="GW775" s="72"/>
      <c r="GX775" s="171">
        <f>GX490</f>
        <v>-1641.5021909249997</v>
      </c>
      <c r="GY775" s="72"/>
      <c r="GZ775" s="72"/>
      <c r="HA775" s="72"/>
      <c r="HB775" s="72"/>
      <c r="HC775"/>
      <c r="HD775"/>
      <c r="HE775"/>
      <c r="HF775"/>
      <c r="HG775"/>
      <c r="HH775"/>
      <c r="HI775" s="2"/>
    </row>
    <row r="776" spans="1:217" s="3" customFormat="1" ht="12.75" hidden="1" customHeight="1" outlineLevel="1" x14ac:dyDescent="0.2">
      <c r="B776" s="4" t="s">
        <v>539</v>
      </c>
      <c r="C776" s="171"/>
      <c r="D776" s="11"/>
      <c r="E776" s="171"/>
      <c r="F776" s="11"/>
      <c r="G776" s="171"/>
      <c r="H776" s="11"/>
      <c r="I776" s="171"/>
      <c r="J776" s="11"/>
      <c r="K776" s="171"/>
      <c r="L776" s="171"/>
      <c r="M776" s="171"/>
      <c r="N776" s="171"/>
      <c r="O776" s="171"/>
      <c r="P776" s="171"/>
      <c r="Q776" s="171"/>
      <c r="R776" s="171"/>
      <c r="S776" s="171"/>
      <c r="T776" s="171"/>
      <c r="U776" s="171"/>
      <c r="V776" s="171"/>
      <c r="W776" s="171"/>
      <c r="X776" s="171"/>
      <c r="Y776" s="171"/>
      <c r="Z776" s="171"/>
      <c r="AA776" s="171"/>
      <c r="AB776" s="72"/>
      <c r="AC776" s="171"/>
      <c r="AD776" s="72"/>
      <c r="AE776" s="171"/>
      <c r="AF776" s="72"/>
      <c r="AG776" s="171"/>
      <c r="AH776" s="72"/>
      <c r="AI776" s="171"/>
      <c r="AJ776" s="72"/>
      <c r="AK776" s="171"/>
      <c r="AL776" s="72"/>
      <c r="AM776" s="171"/>
      <c r="AN776" s="72"/>
      <c r="AO776" s="171"/>
      <c r="AP776" s="72"/>
      <c r="AQ776" s="171"/>
      <c r="AR776" s="72"/>
      <c r="AS776" s="171"/>
      <c r="AT776" s="72"/>
      <c r="AU776" s="171"/>
      <c r="AV776" s="72"/>
      <c r="AW776" s="171"/>
      <c r="AX776" s="72"/>
      <c r="AY776" s="171"/>
      <c r="AZ776" s="72"/>
      <c r="BA776" s="171"/>
      <c r="BB776" s="72"/>
      <c r="BC776" s="171"/>
      <c r="BD776" s="72"/>
      <c r="BE776" s="171"/>
      <c r="BF776" s="72"/>
      <c r="BG776" s="171"/>
      <c r="BH776" s="72"/>
      <c r="BI776" s="171"/>
      <c r="BJ776" s="72"/>
      <c r="BK776" s="171"/>
      <c r="BL776" s="72"/>
      <c r="BM776" s="171"/>
      <c r="BN776" s="72"/>
      <c r="BO776" s="171"/>
      <c r="BP776" s="72"/>
      <c r="BQ776" s="171"/>
      <c r="BR776" s="72"/>
      <c r="BS776" s="171"/>
      <c r="BT776" s="72"/>
      <c r="BU776" s="171"/>
      <c r="BV776" s="72"/>
      <c r="BW776" s="171"/>
      <c r="BX776" s="72"/>
      <c r="BY776" s="171"/>
      <c r="BZ776" s="72"/>
      <c r="CA776" s="171"/>
      <c r="CB776" s="72"/>
      <c r="CC776" s="171"/>
      <c r="CD776" s="72"/>
      <c r="CE776" s="171">
        <f>CE769+CE770+CE771+CE772+CE773+CE774+CE775</f>
        <v>757</v>
      </c>
      <c r="CF776" s="72"/>
      <c r="CG776" s="171">
        <f>CG769+CG770+CG771+CG772+CG773+CG774+CG775</f>
        <v>811</v>
      </c>
      <c r="CH776" s="72"/>
      <c r="CI776" s="171">
        <f>CI769+CI770+CI771+CI772+CI773+CI774+CI775</f>
        <v>755</v>
      </c>
      <c r="CJ776" s="72"/>
      <c r="CK776" s="171">
        <f>CK769+CK770+CK771+CK772+CK773+CK774+CK775</f>
        <v>872</v>
      </c>
      <c r="CL776" s="72"/>
      <c r="CM776" s="171">
        <f>CM769+CM770+CM771+CM772+CM773+CM774+CM775</f>
        <v>949.7</v>
      </c>
      <c r="CN776" s="72"/>
      <c r="CO776" s="171">
        <f>CO769+CO770+CO771+CO772+CO773+CO774+CO775</f>
        <v>1105</v>
      </c>
      <c r="CP776" s="72"/>
      <c r="CQ776" s="171">
        <f>CQ769+CQ770+CQ771+CQ772+CQ773+CQ774+CQ775</f>
        <v>983</v>
      </c>
      <c r="CR776" s="72"/>
      <c r="CS776" s="171">
        <f>CS769+CS770+CS771+CS772+CS773+CS774+CS775</f>
        <v>978</v>
      </c>
      <c r="CT776" s="72"/>
      <c r="CU776" s="171">
        <f>CU769+CU770+CU771+CU772+CU773+CU774+CU775</f>
        <v>928</v>
      </c>
      <c r="CV776" s="72"/>
      <c r="CW776" s="171">
        <f>CW769+CW770+CW771+CW772+CW773+CW774+CW775</f>
        <v>1102</v>
      </c>
      <c r="CX776" s="72"/>
      <c r="CY776" s="171">
        <f>CY769+CY770+CY771+CY772+CY773+CY774+CY775</f>
        <v>1187</v>
      </c>
      <c r="CZ776" s="72"/>
      <c r="DA776" s="171">
        <f>DA769+DA770+DA771+DA772+DA773+DA774+DA775</f>
        <v>1132</v>
      </c>
      <c r="DB776" s="72"/>
      <c r="DC776" s="171">
        <f>DC769+DC770+DC771+DC772+DC773+DC774+DC775</f>
        <v>1372</v>
      </c>
      <c r="DD776" s="72"/>
      <c r="DE776" s="171">
        <f>DE769+DE770+DE771+DE772+DE773+DE774+DE775</f>
        <v>1371</v>
      </c>
      <c r="DF776" s="72"/>
      <c r="DG776" s="171">
        <f>DG769+DG770+DG771+DG772+DG773+DG774+DG775</f>
        <v>1515</v>
      </c>
      <c r="DH776" s="72"/>
      <c r="DI776" s="171">
        <f>DI769+DI770+DI771+DI772+DI773+DI774+DI775</f>
        <v>1473</v>
      </c>
      <c r="DJ776" s="72"/>
      <c r="DK776" s="171">
        <f>DK769+DK770+DK771+DK772+DK773+DK774+DK775</f>
        <v>1616</v>
      </c>
      <c r="DL776" s="72"/>
      <c r="DM776" s="171">
        <f>DM769+DM770+DM771+DM772+DM773+DM774+DM775</f>
        <v>1635</v>
      </c>
      <c r="DN776" s="72"/>
      <c r="DO776" s="171">
        <f>DO769+DO770+DO771+DO772+DO773+DO774+DO775</f>
        <v>1597</v>
      </c>
      <c r="DP776" s="72"/>
      <c r="DQ776" s="171">
        <f>DQ769+DQ770+DQ771+DQ772+DQ773+DQ774+DQ775</f>
        <v>1496</v>
      </c>
      <c r="DR776" s="72"/>
      <c r="DS776" s="171">
        <f>DS769+DS770+DS771+DS772+DS773+DS774+DS775</f>
        <v>1648</v>
      </c>
      <c r="DT776" s="72"/>
      <c r="DU776" s="171">
        <f>DU769+DU770+DU771+DU772+DU773+DU774+DU775</f>
        <v>1638</v>
      </c>
      <c r="DV776" s="72"/>
      <c r="DW776" s="171">
        <f>DW769+DW770+DW771+DW772+DW773+DW774+DW775</f>
        <v>1547</v>
      </c>
      <c r="DX776" s="72"/>
      <c r="DY776" s="171">
        <f>DY769+DY770+DY771+DY772+DY773+DY774+DY775</f>
        <v>1274.5</v>
      </c>
      <c r="DZ776" s="72"/>
      <c r="EA776" s="171">
        <f>EA769+EA770+EA771+EA772+EA773+EA774+EA775</f>
        <v>1423</v>
      </c>
      <c r="EB776" s="72"/>
      <c r="EC776" s="171">
        <f>EC769+EC770+EC771+EC772+EC773+EC774+EC775</f>
        <v>1492</v>
      </c>
      <c r="ED776" s="72"/>
      <c r="EE776" s="171">
        <f>EE769+EE770+EE771+EE772+EE773+EE774+EE775</f>
        <v>1453</v>
      </c>
      <c r="EF776" s="72"/>
      <c r="EG776" s="171">
        <f>EG769+EG770+EG771+EG772+EG773+EG774+EG775</f>
        <v>1439</v>
      </c>
      <c r="EH776" s="72"/>
      <c r="EI776" s="171">
        <f>EI769+EI770+EI771+EI772+EI773+EI774+EI775</f>
        <v>1640.1</v>
      </c>
      <c r="EJ776" s="72"/>
      <c r="EK776" s="171">
        <f>EK769+EK770+EK771+EK772+EK773+EK774+EK775</f>
        <v>1796</v>
      </c>
      <c r="EL776" s="72"/>
      <c r="EM776" s="171">
        <f>EM769+EM770+EM771+EM772+EM773+EM774+EM775</f>
        <v>1736</v>
      </c>
      <c r="EN776" s="72"/>
      <c r="EO776" s="171">
        <f>EO769+EO770+EO771+EO772+EO773+EO774+EO775</f>
        <v>1568</v>
      </c>
      <c r="EP776" s="72"/>
      <c r="EQ776" s="171">
        <f t="shared" ref="EQ776" si="3527">EQ769+EQ770+EQ771+EQ772+EQ773+EQ774+EQ775</f>
        <v>1714.9410197179695</v>
      </c>
      <c r="ER776" s="72"/>
      <c r="ES776" s="171">
        <f t="shared" ref="ES776" si="3528">ES769+ES770+ES771+ES772+ES773+ES774+ES775</f>
        <v>1724.30578930712</v>
      </c>
      <c r="ET776" s="72"/>
      <c r="EU776" s="171">
        <f t="shared" ref="EU776" si="3529">EU769+EU770+EU771+EU772+EU773+EU774+EU775</f>
        <v>1704.9226454723341</v>
      </c>
      <c r="EV776" s="72"/>
      <c r="EW776" s="171">
        <f t="shared" ref="EW776" si="3530">EW769+EW770+EW771+EW772+EW773+EW774+EW775</f>
        <v>1537.9404567817808</v>
      </c>
      <c r="EX776" s="72"/>
      <c r="EY776" s="72"/>
      <c r="EZ776" s="335"/>
      <c r="FA776" s="72"/>
      <c r="FB776" s="171"/>
      <c r="FC776" s="11"/>
      <c r="FD776" s="171"/>
      <c r="FE776" s="72"/>
      <c r="FF776" s="171"/>
      <c r="FG776" s="72"/>
      <c r="FH776" s="171"/>
      <c r="FI776" s="72"/>
      <c r="FJ776" s="171"/>
      <c r="FK776" s="72"/>
      <c r="FL776" s="171">
        <f>FL769+FL770+FL771+FL772+FL773+FL774+FL775</f>
        <v>1999</v>
      </c>
      <c r="FM776" s="72"/>
      <c r="FN776" s="171">
        <f>FN769+FN770+FN771+FN772+FN773+FN774+FN775</f>
        <v>2377.6</v>
      </c>
      <c r="FO776" s="72"/>
      <c r="FP776" s="171">
        <f>FP769+FP770+FP771+FP772+FP773+FP774+FP775</f>
        <v>3416</v>
      </c>
      <c r="FQ776" s="72"/>
      <c r="FR776" s="171">
        <f>FR769+FR770+FR771+FR772+FR773+FR774+FR775</f>
        <v>3828</v>
      </c>
      <c r="FS776" s="72"/>
      <c r="FT776" s="171">
        <f>FT769+FT770+FT771+FT772+FT773+FT774+FT775</f>
        <v>4449.6000000000004</v>
      </c>
      <c r="FU776" s="72"/>
      <c r="FV776" s="171">
        <f>FV769+FV770+FV771+FV772+FV773+FV774+FV775</f>
        <v>3164</v>
      </c>
      <c r="FW776" s="72"/>
      <c r="FX776" s="171">
        <f>FX769+FX770+FX771+FX772+FX773+FX774+FX775</f>
        <v>2555</v>
      </c>
      <c r="FY776" s="72"/>
      <c r="FZ776" s="171">
        <f>FZ769+FZ770+FZ771+FZ772+FZ773+FZ774+FZ775</f>
        <v>3195</v>
      </c>
      <c r="GA776" s="72"/>
      <c r="GB776" s="171">
        <f>GB769+GB770+GB771+GB772+GB773+GB774+GB775</f>
        <v>4015.7</v>
      </c>
      <c r="GC776" s="72"/>
      <c r="GD776" s="171">
        <f>GD769+GD770+GD771+GD772+GD773+GD774+GD775</f>
        <v>4349</v>
      </c>
      <c r="GE776" s="72"/>
      <c r="GF776" s="171">
        <f>GF769+GF770+GF771+GF772+GF773+GF774+GF775</f>
        <v>5731</v>
      </c>
      <c r="GG776" s="72"/>
      <c r="GH776" s="163">
        <f>GH769+GH770+GH771+GH772+GH773+GH774+GH775</f>
        <v>6344</v>
      </c>
      <c r="GI776" s="72"/>
      <c r="GJ776" s="163">
        <f>GJ769+GJ770+GJ771+GJ772+GJ773+GJ774+GJ775</f>
        <v>6107.5</v>
      </c>
      <c r="GK776" s="72"/>
      <c r="GL776" s="163">
        <f>GL769+GL770+GL771+GL772+GL773+GL774+GL775</f>
        <v>5807</v>
      </c>
      <c r="GM776" s="72"/>
      <c r="GN776" s="163">
        <f>GN769+GN770+GN771+GN772+GN773+GN774+GN775</f>
        <v>6740.1</v>
      </c>
      <c r="GO776" s="72"/>
      <c r="GP776" s="163">
        <f>GP769+GP770+GP771+GP772+GP773+GP774+GP775</f>
        <v>6682.1099112792035</v>
      </c>
      <c r="GQ776" s="72"/>
      <c r="GR776" s="171">
        <f>GR769+GR770+GR771+GR772+GR773+GR774+GR775</f>
        <v>6763.3154899509773</v>
      </c>
      <c r="GS776" s="72"/>
      <c r="GT776" s="171">
        <f>GT769+GT770+GT771+GT772+GT773+GT774+GT775</f>
        <v>6833.5605709238998</v>
      </c>
      <c r="GU776" s="72"/>
      <c r="GV776" s="171">
        <f>GV769+GV770+GV771+GV772+GV773+GV774+GV775</f>
        <v>6911.8040872976526</v>
      </c>
      <c r="GW776" s="72"/>
      <c r="GX776" s="171">
        <f>GX769+GX770+GX771+GX772+GX773+GX774+GX775</f>
        <v>6979.8482302145721</v>
      </c>
      <c r="GY776" s="72"/>
      <c r="GZ776" s="72"/>
      <c r="HA776" s="72"/>
      <c r="HB776" s="72"/>
      <c r="HC776"/>
      <c r="HD776"/>
      <c r="HE776"/>
      <c r="HF776"/>
      <c r="HG776"/>
      <c r="HH776"/>
      <c r="HI776" s="2"/>
    </row>
    <row r="777" spans="1:217" s="168" customFormat="1" ht="12.75" hidden="1" customHeight="1" outlineLevel="1" x14ac:dyDescent="0.2">
      <c r="B777" s="267" t="s">
        <v>683</v>
      </c>
      <c r="C777" s="82"/>
      <c r="D777" s="11"/>
      <c r="E777" s="82"/>
      <c r="F777" s="11"/>
      <c r="G777" s="82"/>
      <c r="H777" s="11"/>
      <c r="I777" s="82"/>
      <c r="J777" s="11"/>
      <c r="K777" s="82"/>
      <c r="L777" s="82"/>
      <c r="M777" s="82"/>
      <c r="N777" s="82"/>
      <c r="O777" s="82"/>
      <c r="P777" s="82"/>
      <c r="Q777" s="82"/>
      <c r="R777" s="82"/>
      <c r="S777" s="82"/>
      <c r="T777" s="82"/>
      <c r="U777" s="82"/>
      <c r="V777" s="82"/>
      <c r="W777" s="82"/>
      <c r="X777" s="82"/>
      <c r="Y777" s="82"/>
      <c r="Z777" s="82"/>
      <c r="AA777" s="82"/>
      <c r="AB777" s="72"/>
      <c r="AC777" s="82"/>
      <c r="AD777" s="72"/>
      <c r="AE777" s="82"/>
      <c r="AF777" s="72"/>
      <c r="AG777" s="82"/>
      <c r="AH777" s="72"/>
      <c r="AI777" s="82"/>
      <c r="AJ777" s="72"/>
      <c r="AK777" s="82"/>
      <c r="AL777" s="72"/>
      <c r="AM777" s="82"/>
      <c r="AN777" s="72"/>
      <c r="AO777" s="82"/>
      <c r="AP777" s="72"/>
      <c r="AQ777" s="82"/>
      <c r="AR777" s="72"/>
      <c r="AS777" s="82"/>
      <c r="AT777" s="72"/>
      <c r="AU777" s="82"/>
      <c r="AV777" s="72"/>
      <c r="AW777" s="82"/>
      <c r="AX777" s="72"/>
      <c r="AY777" s="82"/>
      <c r="AZ777" s="72"/>
      <c r="BA777" s="82"/>
      <c r="BB777" s="72"/>
      <c r="BC777" s="82"/>
      <c r="BD777" s="72"/>
      <c r="BE777" s="82"/>
      <c r="BF777" s="72"/>
      <c r="BG777" s="82"/>
      <c r="BH777" s="72"/>
      <c r="BI777" s="82"/>
      <c r="BJ777" s="72"/>
      <c r="BK777" s="82"/>
      <c r="BL777" s="72"/>
      <c r="BM777" s="82"/>
      <c r="BN777" s="72"/>
      <c r="BO777" s="82"/>
      <c r="BP777" s="72"/>
      <c r="BQ777" s="82"/>
      <c r="BR777" s="72"/>
      <c r="BS777" s="82"/>
      <c r="BT777" s="72"/>
      <c r="BU777" s="82"/>
      <c r="BV777" s="72"/>
      <c r="BW777" s="82"/>
      <c r="BX777" s="72"/>
      <c r="BY777" s="82"/>
      <c r="BZ777" s="72"/>
      <c r="CA777" s="82"/>
      <c r="CB777" s="72"/>
      <c r="CC777" s="82"/>
      <c r="CD777" s="72"/>
      <c r="CE777" s="82" t="b">
        <f>CE776=CE533</f>
        <v>1</v>
      </c>
      <c r="CF777" s="72"/>
      <c r="CG777" s="82" t="b">
        <f>CG776=CG533</f>
        <v>1</v>
      </c>
      <c r="CH777" s="72"/>
      <c r="CI777" s="82" t="b">
        <f>CI776=CI533</f>
        <v>1</v>
      </c>
      <c r="CJ777" s="72"/>
      <c r="CK777" s="82" t="b">
        <f>CK776=CK533</f>
        <v>1</v>
      </c>
      <c r="CL777" s="72"/>
      <c r="CM777" s="82" t="b">
        <f>CM776=CM533</f>
        <v>1</v>
      </c>
      <c r="CN777" s="72"/>
      <c r="CO777" s="82" t="b">
        <f>CO776=CO533</f>
        <v>1</v>
      </c>
      <c r="CP777" s="72"/>
      <c r="CQ777" s="82" t="b">
        <f>CQ776=CQ533</f>
        <v>1</v>
      </c>
      <c r="CR777" s="72"/>
      <c r="CS777" s="82" t="b">
        <f>CS776=CS533</f>
        <v>1</v>
      </c>
      <c r="CT777" s="72"/>
      <c r="CU777" s="82" t="b">
        <f>CU776=CU533</f>
        <v>1</v>
      </c>
      <c r="CV777" s="72"/>
      <c r="CW777" s="82" t="b">
        <f>CW776=CW533</f>
        <v>1</v>
      </c>
      <c r="CX777" s="72"/>
      <c r="CY777" s="82" t="b">
        <f>CY776=CY533</f>
        <v>1</v>
      </c>
      <c r="CZ777" s="72"/>
      <c r="DA777" s="82" t="b">
        <f>DA776=DA533</f>
        <v>1</v>
      </c>
      <c r="DB777" s="72"/>
      <c r="DC777" s="82" t="b">
        <f>DC776=DC533</f>
        <v>1</v>
      </c>
      <c r="DD777" s="72"/>
      <c r="DE777" s="82" t="b">
        <f>DE776=DE533</f>
        <v>1</v>
      </c>
      <c r="DF777" s="72"/>
      <c r="DG777" s="82" t="b">
        <f>DG776=DG533</f>
        <v>1</v>
      </c>
      <c r="DH777" s="72"/>
      <c r="DI777" s="82" t="b">
        <f>DI776=DI533</f>
        <v>1</v>
      </c>
      <c r="DJ777" s="72"/>
      <c r="DK777" s="82" t="b">
        <f>DK776=DK533</f>
        <v>1</v>
      </c>
      <c r="DL777" s="72"/>
      <c r="DM777" s="82" t="b">
        <f>DM776=DM533</f>
        <v>1</v>
      </c>
      <c r="DN777" s="72"/>
      <c r="DO777" s="82" t="b">
        <f>DO776=DO533</f>
        <v>1</v>
      </c>
      <c r="DP777" s="72"/>
      <c r="DQ777" s="82" t="b">
        <f>DQ776=DQ533</f>
        <v>1</v>
      </c>
      <c r="DR777" s="72"/>
      <c r="DS777" s="82" t="b">
        <f>DS776=DS533</f>
        <v>1</v>
      </c>
      <c r="DT777" s="72"/>
      <c r="DU777" s="82" t="b">
        <f>DU776=DU533</f>
        <v>1</v>
      </c>
      <c r="DV777" s="72"/>
      <c r="DW777" s="82" t="b">
        <f>DW776=DW533</f>
        <v>1</v>
      </c>
      <c r="DX777" s="72"/>
      <c r="DY777" s="82" t="b">
        <f>DY776=DY533</f>
        <v>1</v>
      </c>
      <c r="DZ777" s="72"/>
      <c r="EA777" s="82" t="b">
        <f>EA776=EA533</f>
        <v>1</v>
      </c>
      <c r="EB777" s="72"/>
      <c r="EC777" s="82" t="b">
        <f>EC776=EC533</f>
        <v>1</v>
      </c>
      <c r="ED777" s="72"/>
      <c r="EE777" s="82" t="b">
        <f>EE776=EE533</f>
        <v>1</v>
      </c>
      <c r="EF777" s="72"/>
      <c r="EG777" s="82" t="b">
        <f>EG776=EG533</f>
        <v>1</v>
      </c>
      <c r="EH777" s="72"/>
      <c r="EI777" s="82" t="b">
        <f>EI776=EI533</f>
        <v>1</v>
      </c>
      <c r="EJ777" s="72"/>
      <c r="EK777" s="82" t="b">
        <f>EK776=EK533</f>
        <v>1</v>
      </c>
      <c r="EL777" s="72"/>
      <c r="EM777" s="82" t="b">
        <f>EM776=EM533</f>
        <v>1</v>
      </c>
      <c r="EN777" s="72"/>
      <c r="EO777" s="82" t="b">
        <f>EO776=EO533</f>
        <v>1</v>
      </c>
      <c r="EP777" s="72"/>
      <c r="EQ777" s="82" t="b">
        <f>EQ776=EQ533</f>
        <v>1</v>
      </c>
      <c r="ER777" s="72"/>
      <c r="ES777" s="82" t="b">
        <f>ES776=ES533</f>
        <v>1</v>
      </c>
      <c r="ET777" s="72"/>
      <c r="EU777" s="82" t="b">
        <f>EU776=EU533</f>
        <v>1</v>
      </c>
      <c r="EV777" s="72"/>
      <c r="EW777" s="82" t="b">
        <f>EW776=EW533</f>
        <v>1</v>
      </c>
      <c r="EX777" s="72"/>
      <c r="EY777" s="72"/>
      <c r="EZ777" s="343"/>
      <c r="FA777" s="72"/>
      <c r="FB777" s="82"/>
      <c r="FC777" s="11"/>
      <c r="FD777" s="82"/>
      <c r="FE777" s="72"/>
      <c r="FF777" s="82"/>
      <c r="FG777" s="72"/>
      <c r="FH777" s="82"/>
      <c r="FI777" s="72"/>
      <c r="FJ777" s="82"/>
      <c r="FK777" s="72"/>
      <c r="FL777" s="82"/>
      <c r="FM777" s="72"/>
      <c r="FN777" s="82"/>
      <c r="FO777" s="72"/>
      <c r="FP777" s="82"/>
      <c r="FQ777" s="72"/>
      <c r="FR777" s="82"/>
      <c r="FS777" s="72"/>
      <c r="FT777" s="82" t="b">
        <f>FT776=FT533</f>
        <v>0</v>
      </c>
      <c r="FU777" s="72"/>
      <c r="FV777" s="82" t="b">
        <f>FV776=FV533</f>
        <v>0</v>
      </c>
      <c r="FW777" s="72"/>
      <c r="FX777" s="82" t="b">
        <f>FX776=FX533</f>
        <v>1</v>
      </c>
      <c r="FY777" s="72"/>
      <c r="FZ777" s="82" t="b">
        <f>FZ776=FZ533</f>
        <v>1</v>
      </c>
      <c r="GA777" s="72"/>
      <c r="GB777" s="82" t="b">
        <f>GB776=GB533</f>
        <v>1</v>
      </c>
      <c r="GC777" s="72"/>
      <c r="GD777" s="82" t="b">
        <f>GD776=GD533</f>
        <v>1</v>
      </c>
      <c r="GE777" s="72"/>
      <c r="GF777" s="82" t="b">
        <f>GF776=GF533</f>
        <v>1</v>
      </c>
      <c r="GG777" s="72"/>
      <c r="GH777" s="82" t="b">
        <f>GH776=GH533</f>
        <v>1</v>
      </c>
      <c r="GI777" s="72"/>
      <c r="GJ777" s="82" t="b">
        <f>GJ776=GJ533</f>
        <v>1</v>
      </c>
      <c r="GK777" s="72"/>
      <c r="GL777" s="82" t="b">
        <f>GL776=GL533</f>
        <v>1</v>
      </c>
      <c r="GM777" s="72"/>
      <c r="GN777" s="82" t="b">
        <f>GN776=GN533</f>
        <v>1</v>
      </c>
      <c r="GO777" s="72"/>
      <c r="GP777" s="82" t="b">
        <f>GP776=GP533</f>
        <v>1</v>
      </c>
      <c r="GQ777" s="72"/>
      <c r="GR777" s="82" t="b">
        <f>GR776=GR533</f>
        <v>1</v>
      </c>
      <c r="GS777" s="72"/>
      <c r="GT777" s="82" t="b">
        <f>GT776=GT533</f>
        <v>1</v>
      </c>
      <c r="GU777" s="72"/>
      <c r="GV777" s="82" t="b">
        <f>GV776=GV533</f>
        <v>1</v>
      </c>
      <c r="GW777" s="72"/>
      <c r="GX777" s="82" t="b">
        <f>GX776=GX533</f>
        <v>1</v>
      </c>
      <c r="GY777" s="72"/>
      <c r="GZ777" s="72"/>
      <c r="HA777" s="72"/>
      <c r="HB777" s="72"/>
      <c r="HC777"/>
      <c r="HD777"/>
      <c r="HE777"/>
      <c r="HF777"/>
      <c r="HG777"/>
      <c r="HH777"/>
      <c r="HI777" s="263"/>
    </row>
    <row r="778" spans="1:217" s="3" customFormat="1" ht="12.75" hidden="1" customHeight="1" outlineLevel="1" x14ac:dyDescent="0.2">
      <c r="B778" s="4"/>
      <c r="C778" s="171"/>
      <c r="D778" s="11"/>
      <c r="E778" s="171"/>
      <c r="F778" s="11"/>
      <c r="G778" s="171"/>
      <c r="H778" s="11"/>
      <c r="I778" s="171"/>
      <c r="J778" s="11"/>
      <c r="K778" s="171"/>
      <c r="L778" s="171"/>
      <c r="M778" s="171"/>
      <c r="N778" s="171"/>
      <c r="O778" s="171"/>
      <c r="P778" s="171"/>
      <c r="Q778" s="171"/>
      <c r="R778" s="171"/>
      <c r="S778" s="171"/>
      <c r="T778" s="171"/>
      <c r="U778" s="171"/>
      <c r="V778" s="171"/>
      <c r="W778" s="171"/>
      <c r="X778" s="171"/>
      <c r="Y778" s="171"/>
      <c r="Z778" s="171"/>
      <c r="AA778" s="171"/>
      <c r="AB778" s="72"/>
      <c r="AC778" s="171"/>
      <c r="AD778" s="72"/>
      <c r="AE778" s="171"/>
      <c r="AF778" s="72"/>
      <c r="AG778" s="171"/>
      <c r="AH778" s="72"/>
      <c r="AI778" s="171"/>
      <c r="AJ778" s="72"/>
      <c r="AK778" s="171"/>
      <c r="AL778" s="72"/>
      <c r="AM778" s="171"/>
      <c r="AN778" s="72"/>
      <c r="AO778" s="171"/>
      <c r="AP778" s="72"/>
      <c r="AQ778" s="171"/>
      <c r="AR778" s="72"/>
      <c r="AS778" s="171"/>
      <c r="AT778" s="72"/>
      <c r="AU778" s="171"/>
      <c r="AV778" s="72"/>
      <c r="AW778" s="171"/>
      <c r="AX778" s="72"/>
      <c r="AY778" s="171"/>
      <c r="AZ778" s="72"/>
      <c r="BA778" s="171"/>
      <c r="BB778" s="72"/>
      <c r="BC778" s="171"/>
      <c r="BD778" s="72"/>
      <c r="BE778" s="171"/>
      <c r="BF778" s="72"/>
      <c r="BG778" s="171"/>
      <c r="BH778" s="72"/>
      <c r="BI778" s="171"/>
      <c r="BJ778" s="72"/>
      <c r="BK778" s="171"/>
      <c r="BL778" s="72"/>
      <c r="BM778" s="171"/>
      <c r="BN778" s="72"/>
      <c r="BO778" s="171"/>
      <c r="BP778" s="72"/>
      <c r="BQ778" s="171"/>
      <c r="BR778" s="72"/>
      <c r="BS778" s="171"/>
      <c r="BT778" s="72"/>
      <c r="BU778" s="171"/>
      <c r="BV778" s="72"/>
      <c r="BW778" s="171"/>
      <c r="BX778" s="72"/>
      <c r="BY778" s="171"/>
      <c r="BZ778" s="72"/>
      <c r="CA778" s="171"/>
      <c r="CB778" s="72"/>
      <c r="CC778" s="171"/>
      <c r="CD778" s="72"/>
      <c r="CE778" s="171"/>
      <c r="CF778" s="72"/>
      <c r="CG778" s="171"/>
      <c r="CH778" s="72"/>
      <c r="CI778" s="171"/>
      <c r="CJ778" s="72"/>
      <c r="CK778" s="171"/>
      <c r="CL778" s="72"/>
      <c r="CM778" s="171"/>
      <c r="CN778" s="72"/>
      <c r="CO778" s="171"/>
      <c r="CP778" s="72"/>
      <c r="CQ778" s="171"/>
      <c r="CR778" s="72"/>
      <c r="CS778" s="171"/>
      <c r="CT778" s="72"/>
      <c r="CU778" s="171"/>
      <c r="CV778" s="72"/>
      <c r="CW778" s="171"/>
      <c r="CX778" s="72"/>
      <c r="CY778" s="171"/>
      <c r="CZ778" s="72"/>
      <c r="DA778" s="171"/>
      <c r="DB778" s="72"/>
      <c r="DC778" s="171"/>
      <c r="DD778" s="72"/>
      <c r="DE778" s="171"/>
      <c r="DF778" s="72"/>
      <c r="DG778" s="171"/>
      <c r="DH778" s="72"/>
      <c r="DI778" s="171"/>
      <c r="DJ778" s="72"/>
      <c r="DK778" s="171"/>
      <c r="DL778" s="72"/>
      <c r="DM778" s="171"/>
      <c r="DN778" s="72"/>
      <c r="DO778" s="171"/>
      <c r="DP778" s="72"/>
      <c r="DQ778" s="171"/>
      <c r="DR778" s="72"/>
      <c r="DS778" s="171"/>
      <c r="DT778" s="72"/>
      <c r="DU778" s="171"/>
      <c r="DV778" s="72"/>
      <c r="DW778" s="171"/>
      <c r="DX778" s="72"/>
      <c r="DY778" s="171"/>
      <c r="DZ778" s="72"/>
      <c r="EA778" s="171"/>
      <c r="EB778" s="72"/>
      <c r="EC778" s="171"/>
      <c r="ED778" s="72"/>
      <c r="EE778" s="171"/>
      <c r="EF778" s="72"/>
      <c r="EG778" s="171"/>
      <c r="EH778" s="72"/>
      <c r="EI778" s="171"/>
      <c r="EJ778" s="72"/>
      <c r="EK778" s="171"/>
      <c r="EL778" s="72"/>
      <c r="EM778" s="171"/>
      <c r="EN778" s="72"/>
      <c r="EO778" s="171"/>
      <c r="EP778" s="72"/>
      <c r="EQ778" s="171"/>
      <c r="ER778" s="72"/>
      <c r="ES778" s="171"/>
      <c r="ET778" s="72"/>
      <c r="EU778" s="171"/>
      <c r="EV778" s="72"/>
      <c r="EW778" s="171"/>
      <c r="EX778" s="72"/>
      <c r="EY778" s="72"/>
      <c r="EZ778" s="335"/>
      <c r="FA778" s="72"/>
      <c r="FB778" s="171"/>
      <c r="FC778" s="11"/>
      <c r="FD778" s="171"/>
      <c r="FE778" s="72"/>
      <c r="FF778" s="171"/>
      <c r="FG778" s="72"/>
      <c r="FH778" s="171"/>
      <c r="FI778" s="72"/>
      <c r="FJ778" s="171"/>
      <c r="FK778" s="72"/>
      <c r="FL778" s="171"/>
      <c r="FM778" s="72"/>
      <c r="FN778" s="171"/>
      <c r="FO778" s="72"/>
      <c r="FP778" s="171"/>
      <c r="FQ778" s="72"/>
      <c r="FR778" s="171"/>
      <c r="FS778" s="72"/>
      <c r="FT778" s="171"/>
      <c r="FU778" s="72"/>
      <c r="FV778" s="171"/>
      <c r="FW778" s="72"/>
      <c r="FX778" s="171"/>
      <c r="FY778" s="72"/>
      <c r="FZ778" s="171"/>
      <c r="GA778" s="72"/>
      <c r="GB778" s="171"/>
      <c r="GC778" s="72"/>
      <c r="GD778" s="171"/>
      <c r="GE778" s="72"/>
      <c r="GF778" s="171"/>
      <c r="GG778" s="72"/>
      <c r="GH778" s="171"/>
      <c r="GI778" s="72"/>
      <c r="GJ778" s="171"/>
      <c r="GK778" s="72"/>
      <c r="GL778" s="171"/>
      <c r="GM778" s="72"/>
      <c r="GN778" s="171"/>
      <c r="GO778" s="72"/>
      <c r="GP778" s="171"/>
      <c r="GQ778" s="72"/>
      <c r="GR778" s="171"/>
      <c r="GS778" s="72"/>
      <c r="GT778" s="171"/>
      <c r="GU778" s="72"/>
      <c r="GV778" s="171"/>
      <c r="GW778" s="72"/>
      <c r="GX778" s="171"/>
      <c r="GY778" s="72"/>
      <c r="GZ778" s="72"/>
      <c r="HA778" s="72"/>
      <c r="HB778" s="72"/>
      <c r="HC778"/>
      <c r="HD778"/>
      <c r="HE778"/>
      <c r="HF778"/>
      <c r="HG778"/>
      <c r="HH778"/>
      <c r="HI778" s="2"/>
    </row>
    <row r="779" spans="1:217" s="3" customFormat="1" ht="12.75" hidden="1" customHeight="1" outlineLevel="1" x14ac:dyDescent="0.2">
      <c r="B779" s="4" t="s">
        <v>449</v>
      </c>
      <c r="C779" s="171"/>
      <c r="D779" s="11"/>
      <c r="E779" s="171"/>
      <c r="F779" s="11"/>
      <c r="G779" s="171"/>
      <c r="H779" s="11"/>
      <c r="I779" s="171"/>
      <c r="J779" s="11"/>
      <c r="K779" s="171"/>
      <c r="L779" s="171"/>
      <c r="M779" s="171"/>
      <c r="N779" s="171"/>
      <c r="O779" s="171"/>
      <c r="P779" s="171"/>
      <c r="Q779" s="171"/>
      <c r="R779" s="171"/>
      <c r="S779" s="171"/>
      <c r="T779" s="171"/>
      <c r="U779" s="171"/>
      <c r="V779" s="171"/>
      <c r="W779" s="171"/>
      <c r="X779" s="171"/>
      <c r="Y779" s="171"/>
      <c r="Z779" s="171"/>
      <c r="AA779" s="171"/>
      <c r="AB779" s="72"/>
      <c r="AC779" s="171"/>
      <c r="AD779" s="72"/>
      <c r="AE779" s="171"/>
      <c r="AF779" s="72"/>
      <c r="AG779" s="171"/>
      <c r="AH779" s="72"/>
      <c r="AI779" s="171"/>
      <c r="AJ779" s="72"/>
      <c r="AK779" s="171"/>
      <c r="AL779" s="72"/>
      <c r="AM779" s="171"/>
      <c r="AN779" s="72"/>
      <c r="AO779" s="171"/>
      <c r="AP779" s="72"/>
      <c r="AQ779" s="171"/>
      <c r="AR779" s="72"/>
      <c r="AS779" s="171"/>
      <c r="AT779" s="72"/>
      <c r="AU779" s="171"/>
      <c r="AV779" s="72"/>
      <c r="AW779" s="171"/>
      <c r="AX779" s="72"/>
      <c r="AY779" s="171">
        <f>AY774/(AY408+AY370)*100</f>
        <v>18.871794871794872</v>
      </c>
      <c r="AZ779" s="171"/>
      <c r="BA779" s="171">
        <f>BA774/(BA408+BA370)*100</f>
        <v>20.154639175257731</v>
      </c>
      <c r="BB779" s="171"/>
      <c r="BC779" s="171">
        <f>BC774/(BC408+BC370)*100</f>
        <v>20.956838273530941</v>
      </c>
      <c r="BD779" s="171"/>
      <c r="BE779" s="171">
        <f>BE774/(BE408+BE370)*100</f>
        <v>20.65556711758585</v>
      </c>
      <c r="BF779" s="171"/>
      <c r="BG779" s="171">
        <f>BG774/(BG408+BG370)*100</f>
        <v>21.724305893813931</v>
      </c>
      <c r="BH779" s="171"/>
      <c r="BI779" s="171">
        <f>BI774/(BI408+BI370)*100</f>
        <v>21.508515815085158</v>
      </c>
      <c r="BJ779" s="171"/>
      <c r="BK779" s="171">
        <f>BK774/(BK408+BK370)*100</f>
        <v>25.343137254901961</v>
      </c>
      <c r="BL779" s="171"/>
      <c r="BM779" s="171">
        <f>BM774/(BM408+BM370)*100</f>
        <v>21.327014218009481</v>
      </c>
      <c r="BN779" s="171"/>
      <c r="BO779" s="171">
        <f>BO774/(BO408+BO370)*100</f>
        <v>18.881720430107528</v>
      </c>
      <c r="BP779" s="171"/>
      <c r="BQ779" s="171">
        <f>BQ774/(BQ408+BQ370)*100</f>
        <v>20.008587376556459</v>
      </c>
      <c r="BR779" s="171"/>
      <c r="BS779" s="171">
        <f>BS774/(BS408+BS370)*100</f>
        <v>21.248876909254268</v>
      </c>
      <c r="BT779" s="171"/>
      <c r="BU779" s="171">
        <f>BU774/(BU408+BU370)*100</f>
        <v>19.26247288503254</v>
      </c>
      <c r="BV779" s="171"/>
      <c r="BW779" s="171">
        <f>BW774/(BW408+BW370)*100</f>
        <v>17.095015576323988</v>
      </c>
      <c r="BX779" s="171"/>
      <c r="BY779" s="171">
        <f>BY774/(BY408+BY370)*100</f>
        <v>17.901716068642745</v>
      </c>
      <c r="BZ779" s="171"/>
      <c r="CA779" s="171">
        <f>CA774/(CA408+CA370)*100</f>
        <v>18.222222222222221</v>
      </c>
      <c r="CB779" s="171"/>
      <c r="CC779" s="171">
        <f>CC774/(CC408+CC370)*100</f>
        <v>16.594202898550726</v>
      </c>
      <c r="CD779" s="171"/>
      <c r="CE779" s="171">
        <f>CE774/(CE408+CE370)*100</f>
        <v>15.436926215572935</v>
      </c>
      <c r="CF779" s="171"/>
      <c r="CG779" s="171">
        <f>CG774/(CG408+CG370)*100</f>
        <v>14.503558115892917</v>
      </c>
      <c r="CH779" s="171"/>
      <c r="CI779" s="171">
        <f>CI774/(CI408+CI370)*100</f>
        <v>16.282894736842106</v>
      </c>
      <c r="CJ779" s="171"/>
      <c r="CK779" s="171">
        <f>CK774/(CK408+CK370)*100</f>
        <v>14.434250764525993</v>
      </c>
      <c r="CL779" s="171"/>
      <c r="CM779" s="171">
        <f>CM774/(CM408+CM370)*100</f>
        <v>12.499421430224485</v>
      </c>
      <c r="CN779" s="171"/>
      <c r="CO779" s="171">
        <f>CO774/(CO408+CO370)*100</f>
        <v>11.469889064976229</v>
      </c>
      <c r="CP779" s="171"/>
      <c r="CQ779" s="171">
        <f>CQ774/(CQ408+CQ370)*100</f>
        <v>12.066276803118908</v>
      </c>
      <c r="CR779" s="171"/>
      <c r="CS779" s="171">
        <f>CS774/(CS408+CS370)*100</f>
        <v>11.510235612205484</v>
      </c>
      <c r="CT779" s="171"/>
      <c r="CU779" s="171">
        <f>CU774/(CU408+CU370)*100</f>
        <v>11.242908715832904</v>
      </c>
      <c r="CV779" s="171"/>
      <c r="CW779" s="171">
        <f>CW774/(CW408+CW370)*100</f>
        <v>11.17702154230409</v>
      </c>
      <c r="CX779" s="171"/>
      <c r="CY779" s="171">
        <f>CY774/(CY408+CY370)*100</f>
        <v>9.0262447878341927</v>
      </c>
      <c r="CZ779" s="171"/>
      <c r="DA779" s="171">
        <f>DA774/(DA408+DA370)*100</f>
        <v>7.1343251167336312</v>
      </c>
      <c r="DB779" s="171"/>
      <c r="DC779" s="171">
        <f>DC774/(DC408+DC370)*100</f>
        <v>12.818897637795276</v>
      </c>
      <c r="DD779" s="171"/>
      <c r="DE779" s="171">
        <f>DE774/(DE408+DE370)*100</f>
        <v>13.45117845117845</v>
      </c>
      <c r="DF779" s="171"/>
      <c r="DG779" s="171">
        <f>DG774/(DG408+DG370)*100</f>
        <v>16.638144133865755</v>
      </c>
      <c r="DH779" s="171"/>
      <c r="DI779" s="171">
        <f>DI774/(DI408+DI370)*100</f>
        <v>15.207373271889402</v>
      </c>
      <c r="DJ779" s="171"/>
      <c r="DK779" s="171">
        <f>DK774/(DK408+DK370)*100</f>
        <v>16.807881773399014</v>
      </c>
      <c r="DL779" s="171"/>
      <c r="DM779" s="171">
        <f>DM774/(DM408+DM370)*100</f>
        <v>16.831683168316832</v>
      </c>
      <c r="DN779" s="171"/>
      <c r="DO779" s="171">
        <f>DO774/(DO408+DO370)*100</f>
        <v>16.853258696521394</v>
      </c>
      <c r="DP779" s="171"/>
      <c r="DQ779" s="171">
        <f>DQ774/(DQ408+DQ370)*100</f>
        <v>16.19168249947224</v>
      </c>
      <c r="DR779" s="171"/>
      <c r="DS779" s="171">
        <f>DS774/(DS408+DS370)*100</f>
        <v>16.999592335915207</v>
      </c>
      <c r="DT779" s="171"/>
      <c r="DU779" s="171">
        <f>DU774/(DU408+DU370)*100</f>
        <v>17.133214214810401</v>
      </c>
      <c r="DV779" s="171"/>
      <c r="DW779" s="171">
        <f>DW774/(DW408+DW370)*100</f>
        <v>17.094736842105263</v>
      </c>
      <c r="DX779" s="171"/>
      <c r="DY779" s="171">
        <f>DY774/(DY408+DY370)*100</f>
        <v>15.799614643545279</v>
      </c>
      <c r="DZ779" s="171"/>
      <c r="EA779" s="171">
        <f>EA774/(EA408+EA370)*100</f>
        <v>15.444091990483743</v>
      </c>
      <c r="EB779" s="171"/>
      <c r="EC779" s="171">
        <f>EC774/(EC408+EC370)*100</f>
        <v>15.665356541268949</v>
      </c>
      <c r="ED779" s="171"/>
      <c r="EE779" s="171">
        <f>EE774/(EE408+EE370)*100</f>
        <v>14.487369985141161</v>
      </c>
      <c r="EF779" s="171"/>
      <c r="EG779" s="171">
        <f>EG774/(EG408+EG370)*100</f>
        <v>14.413898434516991</v>
      </c>
      <c r="EH779" s="171"/>
      <c r="EI779" s="171">
        <f>EI774/(EI408+EI370)*100</f>
        <v>14.771676834904786</v>
      </c>
      <c r="EJ779" s="171"/>
      <c r="EK779" s="171">
        <f>EK774/(EK408+EK370)*100</f>
        <v>15.848987780412182</v>
      </c>
      <c r="EL779" s="171"/>
      <c r="EM779" s="171">
        <f>EM774/(EM408+EM370)*100</f>
        <v>14.862351190476192</v>
      </c>
      <c r="EN779" s="171"/>
      <c r="EO779" s="171">
        <f>EO774/(EO408+EO370)*100</f>
        <v>14.682539682539684</v>
      </c>
      <c r="EP779" s="171"/>
      <c r="EQ779" s="171">
        <f>EQ774/(EQ408+EQ370)*100</f>
        <v>15.309625281893746</v>
      </c>
      <c r="ER779" s="171"/>
      <c r="ES779" s="171">
        <f>ES774/(ES408+ES370)*100</f>
        <v>15.09341126782572</v>
      </c>
      <c r="ET779" s="171"/>
      <c r="EU779" s="171">
        <f>EU774/(EU408+EU370)*100</f>
        <v>14.827853386223557</v>
      </c>
      <c r="EV779" s="171"/>
      <c r="EW779" s="171">
        <f>EW774/(EW408+EW370)*100</f>
        <v>14.791423698254405</v>
      </c>
      <c r="EX779" s="171"/>
      <c r="EY779" s="171"/>
      <c r="EZ779" s="342"/>
      <c r="FA779" s="171"/>
      <c r="FB779" s="171">
        <f>FB774/(FB408+FB370)*100</f>
        <v>13.211009174311927</v>
      </c>
      <c r="FC779" s="171"/>
      <c r="FD779" s="171">
        <f>FD774/(FD408+FD370)*100</f>
        <v>14.323258869908015</v>
      </c>
      <c r="FE779" s="171"/>
      <c r="FF779" s="171">
        <f>FF774/(FF408+FF370)*100</f>
        <v>15.416666666666668</v>
      </c>
      <c r="FG779" s="171"/>
      <c r="FH779" s="171">
        <f>FH774/(FH408+FH370)*100</f>
        <v>16.370948663354625</v>
      </c>
      <c r="FI779" s="171"/>
      <c r="FJ779" s="171">
        <f>FJ774/(FJ408+FJ370)*100</f>
        <v>14.922136802680861</v>
      </c>
      <c r="FK779" s="171"/>
      <c r="FL779" s="171">
        <f>FL774/(FL408+FL370)*100</f>
        <v>14.677276746242264</v>
      </c>
      <c r="FM779" s="171"/>
      <c r="FN779" s="171">
        <f>FN774/(FN408+FN370)*100</f>
        <v>14.758751182592242</v>
      </c>
      <c r="FO779" s="171"/>
      <c r="FP779" s="171">
        <f>FP774/(FP408+FP370)*100</f>
        <v>16.589861751152075</v>
      </c>
      <c r="FQ779" s="171"/>
      <c r="FR779" s="171">
        <f>FR774/(FR408+FR370)*100</f>
        <v>18.267614738202973</v>
      </c>
      <c r="FS779" s="171"/>
      <c r="FT779" s="171">
        <f>FT774/(FT408+FT370)*100</f>
        <v>20.283361588762414</v>
      </c>
      <c r="FU779" s="171"/>
      <c r="FV779" s="171">
        <f>FV774/(FV408+FV370)*100</f>
        <v>12.742258854978839</v>
      </c>
      <c r="FW779" s="171"/>
      <c r="FX779" s="171">
        <f>FX774/(FX408+FX370)*100</f>
        <v>15.718080060709545</v>
      </c>
      <c r="FY779" s="171"/>
      <c r="FZ779" s="171">
        <f>FZ774/(FZ408+FZ370)*100</f>
        <v>15.153253564989347</v>
      </c>
      <c r="GA779" s="171"/>
      <c r="GB779" s="171">
        <f>GB774/(GB408+GB370)*100</f>
        <v>11.86207247039691</v>
      </c>
      <c r="GC779" s="171"/>
      <c r="GD779" s="171">
        <f>GD774/(GD408+GD370)*100</f>
        <v>9.3388764956398287</v>
      </c>
      <c r="GE779" s="171"/>
      <c r="GF779" s="171">
        <f>GF774/(GF408+GF370)*100</f>
        <v>14.405501330967169</v>
      </c>
      <c r="GG779" s="82"/>
      <c r="GH779" s="171">
        <f>GH774/(GH408+GH370)*100</f>
        <v>16.679956144722414</v>
      </c>
      <c r="GI779" s="82"/>
      <c r="GJ779" s="171">
        <f>GJ774/(GJ408+GJ370)*100</f>
        <v>16.768229704606487</v>
      </c>
      <c r="GK779" s="82"/>
      <c r="GL779" s="171">
        <f>GL774/(GL408+GL370)*100</f>
        <v>14.998334047313055</v>
      </c>
      <c r="GM779" s="82"/>
      <c r="GN779" s="171">
        <f>GN774/(GN408+GN370)*100</f>
        <v>15.046382189239333</v>
      </c>
      <c r="GO779" s="82"/>
      <c r="GP779" s="171">
        <f>GP774/(GP408+GP370)*100</f>
        <v>15.007829651826862</v>
      </c>
      <c r="GQ779" s="82"/>
      <c r="GR779" s="171">
        <f>GR774/(GR408+GR370)*100</f>
        <v>14.986063437628491</v>
      </c>
      <c r="GS779" s="82"/>
      <c r="GT779" s="171">
        <f>GT774/(GT408+GT370)*100</f>
        <v>14.915792465646227</v>
      </c>
      <c r="GU779" s="82"/>
      <c r="GV779" s="171">
        <f>GV774/(GV408+GV370)*100</f>
        <v>14.84711537227868</v>
      </c>
      <c r="GW779" s="82"/>
      <c r="GX779" s="171">
        <f>GX774/(GX408+GX370)*100</f>
        <v>14.780008189930349</v>
      </c>
      <c r="GY779" s="82"/>
      <c r="GZ779" s="72"/>
      <c r="HA779" s="72"/>
      <c r="HB779" s="72"/>
      <c r="HC779"/>
      <c r="HD779"/>
      <c r="HE779"/>
      <c r="HF779"/>
      <c r="HG779"/>
      <c r="HH779"/>
      <c r="HI779" s="2"/>
    </row>
    <row r="780" spans="1:217" s="3" customFormat="1" ht="12.75" hidden="1" customHeight="1" outlineLevel="1" x14ac:dyDescent="0.2">
      <c r="B780" s="4"/>
      <c r="C780" s="171"/>
      <c r="D780" s="11"/>
      <c r="E780" s="171"/>
      <c r="F780" s="11"/>
      <c r="G780" s="171"/>
      <c r="H780" s="11"/>
      <c r="I780" s="171"/>
      <c r="J780" s="11"/>
      <c r="K780" s="171"/>
      <c r="L780" s="171"/>
      <c r="M780" s="171"/>
      <c r="N780" s="171"/>
      <c r="O780" s="171"/>
      <c r="P780" s="171"/>
      <c r="Q780" s="171"/>
      <c r="R780" s="171"/>
      <c r="S780" s="171"/>
      <c r="T780" s="171"/>
      <c r="U780" s="171"/>
      <c r="V780" s="171"/>
      <c r="W780" s="171"/>
      <c r="X780" s="171"/>
      <c r="Y780" s="171"/>
      <c r="Z780" s="171"/>
      <c r="AA780" s="171"/>
      <c r="AB780" s="72"/>
      <c r="AC780" s="171"/>
      <c r="AD780" s="72"/>
      <c r="AE780" s="171"/>
      <c r="AF780" s="72"/>
      <c r="AG780" s="171"/>
      <c r="AH780" s="72"/>
      <c r="AI780" s="171"/>
      <c r="AJ780" s="72"/>
      <c r="AK780" s="171"/>
      <c r="AL780" s="72"/>
      <c r="AM780" s="171"/>
      <c r="AN780" s="72"/>
      <c r="AO780" s="171"/>
      <c r="AP780" s="72"/>
      <c r="AQ780" s="171"/>
      <c r="AR780" s="72"/>
      <c r="AS780" s="171"/>
      <c r="AT780" s="72"/>
      <c r="AU780" s="171"/>
      <c r="AV780" s="72"/>
      <c r="AW780" s="171"/>
      <c r="AX780" s="72"/>
      <c r="AY780" s="171"/>
      <c r="AZ780" s="72"/>
      <c r="BA780" s="171"/>
      <c r="BB780" s="72"/>
      <c r="BC780" s="171"/>
      <c r="BD780" s="72"/>
      <c r="BE780" s="171"/>
      <c r="BF780" s="72"/>
      <c r="BG780" s="171"/>
      <c r="BH780" s="72"/>
      <c r="BI780" s="171"/>
      <c r="BJ780" s="72"/>
      <c r="BK780" s="171"/>
      <c r="BL780" s="72"/>
      <c r="BM780" s="171"/>
      <c r="BN780" s="72"/>
      <c r="BO780" s="171"/>
      <c r="BP780" s="72"/>
      <c r="BQ780" s="171"/>
      <c r="BR780" s="72"/>
      <c r="BS780" s="171"/>
      <c r="BT780" s="72"/>
      <c r="BU780" s="171"/>
      <c r="BV780" s="72"/>
      <c r="BW780" s="171"/>
      <c r="BX780" s="72"/>
      <c r="BY780" s="171"/>
      <c r="BZ780" s="72"/>
      <c r="CA780" s="171"/>
      <c r="CB780" s="72"/>
      <c r="CC780" s="171"/>
      <c r="CD780" s="72"/>
      <c r="CE780" s="171"/>
      <c r="CF780" s="72"/>
      <c r="CG780" s="171"/>
      <c r="CH780" s="72"/>
      <c r="CI780" s="171"/>
      <c r="CJ780" s="72"/>
      <c r="CK780" s="171"/>
      <c r="CL780" s="72"/>
      <c r="CM780" s="171"/>
      <c r="CN780" s="72"/>
      <c r="CO780" s="171"/>
      <c r="CP780" s="72"/>
      <c r="CQ780" s="171"/>
      <c r="CR780" s="72"/>
      <c r="CS780" s="171"/>
      <c r="CT780" s="72"/>
      <c r="CU780" s="171"/>
      <c r="CV780" s="72"/>
      <c r="CW780" s="171"/>
      <c r="CX780" s="72"/>
      <c r="CY780" s="171"/>
      <c r="CZ780" s="72"/>
      <c r="DA780" s="171"/>
      <c r="DB780" s="72"/>
      <c r="DC780" s="171"/>
      <c r="DD780" s="72"/>
      <c r="DE780" s="171"/>
      <c r="DF780" s="72"/>
      <c r="DG780" s="171"/>
      <c r="DH780" s="72"/>
      <c r="DI780" s="171"/>
      <c r="DJ780" s="72"/>
      <c r="DK780" s="171"/>
      <c r="DL780" s="72"/>
      <c r="DM780" s="171"/>
      <c r="DN780" s="72"/>
      <c r="DO780" s="171"/>
      <c r="DP780" s="72"/>
      <c r="DQ780" s="171"/>
      <c r="DR780" s="72"/>
      <c r="DS780" s="171"/>
      <c r="DT780" s="72"/>
      <c r="DU780" s="171"/>
      <c r="DV780" s="72"/>
      <c r="DW780" s="171"/>
      <c r="DX780" s="72"/>
      <c r="DY780" s="171"/>
      <c r="DZ780" s="72"/>
      <c r="EA780" s="171"/>
      <c r="EB780" s="72"/>
      <c r="EC780" s="171"/>
      <c r="ED780" s="72"/>
      <c r="EE780" s="171"/>
      <c r="EF780" s="72"/>
      <c r="EG780" s="171"/>
      <c r="EH780" s="72"/>
      <c r="EI780" s="171"/>
      <c r="EJ780" s="72"/>
      <c r="EK780" s="171"/>
      <c r="EL780" s="72"/>
      <c r="EM780" s="171"/>
      <c r="EN780" s="72"/>
      <c r="EO780" s="171"/>
      <c r="EP780" s="72"/>
      <c r="EQ780" s="171"/>
      <c r="ER780" s="72"/>
      <c r="ES780" s="171"/>
      <c r="ET780" s="72"/>
      <c r="EU780" s="171"/>
      <c r="EV780" s="72"/>
      <c r="EW780" s="171"/>
      <c r="EX780" s="72"/>
      <c r="EY780" s="72"/>
      <c r="EZ780" s="335"/>
      <c r="FA780" s="72"/>
      <c r="FB780" s="171"/>
      <c r="FC780" s="11"/>
      <c r="FD780" s="171"/>
      <c r="FE780" s="72"/>
      <c r="FF780" s="171"/>
      <c r="FG780" s="72"/>
      <c r="FH780" s="171"/>
      <c r="FI780" s="72"/>
      <c r="FJ780" s="171"/>
      <c r="FK780" s="72"/>
      <c r="FL780" s="171"/>
      <c r="FM780" s="72"/>
      <c r="FN780" s="171"/>
      <c r="FO780" s="72"/>
      <c r="FP780" s="171"/>
      <c r="FQ780" s="72"/>
      <c r="FR780" s="171"/>
      <c r="FS780" s="72"/>
      <c r="FT780" s="171"/>
      <c r="FU780" s="72"/>
      <c r="FV780" s="171"/>
      <c r="FW780" s="72"/>
      <c r="FX780" s="171"/>
      <c r="FY780" s="72"/>
      <c r="FZ780" s="171"/>
      <c r="GA780" s="72"/>
      <c r="GB780" s="171"/>
      <c r="GC780" s="72"/>
      <c r="GD780" s="171"/>
      <c r="GE780" s="72"/>
      <c r="GF780" s="171"/>
      <c r="GG780" s="72"/>
      <c r="GH780" s="171"/>
      <c r="GI780" s="72"/>
      <c r="GJ780" s="171"/>
      <c r="GK780" s="72"/>
      <c r="GL780" s="171"/>
      <c r="GM780" s="72"/>
      <c r="GN780" s="171"/>
      <c r="GO780" s="72"/>
      <c r="GP780" s="171"/>
      <c r="GQ780" s="72"/>
      <c r="GR780" s="171"/>
      <c r="GS780" s="72"/>
      <c r="GT780" s="171"/>
      <c r="GU780" s="72"/>
      <c r="GV780" s="171"/>
      <c r="GW780" s="72"/>
      <c r="GX780" s="171"/>
      <c r="GY780" s="72"/>
      <c r="GZ780" s="72"/>
      <c r="HA780" s="72"/>
      <c r="HB780" s="72"/>
      <c r="HC780"/>
      <c r="HD780"/>
      <c r="HE780"/>
      <c r="HF780"/>
      <c r="HG780"/>
      <c r="HH780"/>
      <c r="HI780" s="2"/>
    </row>
    <row r="781" spans="1:217" s="3" customFormat="1" ht="12.75" hidden="1" customHeight="1" outlineLevel="1" x14ac:dyDescent="0.2">
      <c r="A781" s="3" t="s">
        <v>392</v>
      </c>
      <c r="B781" s="4" t="s">
        <v>127</v>
      </c>
      <c r="C781" s="171"/>
      <c r="D781" s="11"/>
      <c r="E781" s="171"/>
      <c r="F781" s="11"/>
      <c r="G781" s="171"/>
      <c r="H781" s="11"/>
      <c r="I781" s="171"/>
      <c r="J781" s="11"/>
      <c r="K781" s="171">
        <f>K533*(1-K543/100)+K545</f>
        <v>467</v>
      </c>
      <c r="L781" s="171"/>
      <c r="M781" s="171">
        <f>M533*(1-M543/100)+M545</f>
        <v>430</v>
      </c>
      <c r="N781" s="171"/>
      <c r="O781" s="171">
        <f>O533*(1-O543/100)+O545</f>
        <v>314</v>
      </c>
      <c r="P781" s="171"/>
      <c r="Q781" s="171">
        <f>Q533*(1-Q543/100)+Q545</f>
        <v>258</v>
      </c>
      <c r="R781" s="171"/>
      <c r="S781" s="171">
        <f>S533*(1-S543/100)+S545</f>
        <v>501</v>
      </c>
      <c r="T781" s="171"/>
      <c r="U781" s="171">
        <f>U533*(1-U543/100)+U545</f>
        <v>483</v>
      </c>
      <c r="V781" s="171"/>
      <c r="W781" s="171">
        <f>W533*(1-W543/100)+W545</f>
        <v>451</v>
      </c>
      <c r="X781" s="171"/>
      <c r="Y781" s="171">
        <f>Y533*(1-Y543/100)+Y545</f>
        <v>389</v>
      </c>
      <c r="Z781" s="171"/>
      <c r="AA781" s="171">
        <f>AA533*(1-AA543/100)+AA545</f>
        <v>474</v>
      </c>
      <c r="AB781" s="72"/>
      <c r="AC781" s="171">
        <f>AC533*(1-AC543/100)+AC545</f>
        <v>558</v>
      </c>
      <c r="AD781" s="72"/>
      <c r="AE781" s="171">
        <f>AE533*(1-AE543/100)+AE545</f>
        <v>538</v>
      </c>
      <c r="AF781" s="72"/>
      <c r="AG781" s="171">
        <f>AG533*(1-AG543/100)+AG545</f>
        <v>577</v>
      </c>
      <c r="AH781" s="72"/>
      <c r="AI781" s="171">
        <f>AI533*(1-AI543/100)+AI545</f>
        <v>583</v>
      </c>
      <c r="AJ781" s="72"/>
      <c r="AK781" s="171">
        <f>AK533*(1-AK543/100)+AK545</f>
        <v>746</v>
      </c>
      <c r="AL781" s="72"/>
      <c r="AM781" s="171">
        <f>AM533*(1-AM543/100)+AM545</f>
        <v>734</v>
      </c>
      <c r="AN781" s="72"/>
      <c r="AO781" s="171">
        <f>AO533*(1-AO543/100)+AO545</f>
        <v>717</v>
      </c>
      <c r="AP781" s="72"/>
      <c r="AQ781" s="171">
        <f>AQ533*(1-AQ543/100)+AQ545</f>
        <v>783</v>
      </c>
      <c r="AR781" s="72"/>
      <c r="AS781" s="171">
        <f>AS533*(1-AS543/100)+AS545</f>
        <v>828</v>
      </c>
      <c r="AT781" s="72"/>
      <c r="AU781" s="171">
        <f>AU533*(1-AU543/100)+AU545</f>
        <v>895</v>
      </c>
      <c r="AV781" s="72"/>
      <c r="AW781" s="171">
        <f>AW533*(1-AW543/100)+AW545</f>
        <v>959</v>
      </c>
      <c r="AX781" s="72"/>
      <c r="AY781" s="171">
        <f>AY533*(1-AY543/100)+AY545</f>
        <v>659.54739509348485</v>
      </c>
      <c r="AZ781" s="72"/>
      <c r="BA781" s="171">
        <f>BA533*(1-BA543/100)+BA545</f>
        <v>671.59080043854487</v>
      </c>
      <c r="BB781" s="72"/>
      <c r="BC781" s="171">
        <f>BC533*(1-BC543/100)+BC545</f>
        <v>719.10175469001888</v>
      </c>
      <c r="BD781" s="72"/>
      <c r="BE781" s="171">
        <f>BE533*(1-BE543/100)+BE545</f>
        <v>713.47904869436252</v>
      </c>
      <c r="BF781" s="72"/>
      <c r="BG781" s="171">
        <f>BG533*(1-BG543/100)+BG545</f>
        <v>777.06304175981086</v>
      </c>
      <c r="BH781" s="72"/>
      <c r="BI781" s="171">
        <f>BI533*(1-BI543/100)+BI545</f>
        <v>803.15792179309756</v>
      </c>
      <c r="BJ781" s="72"/>
      <c r="BK781" s="171">
        <f>BK533*(1-BK543/100)+BK545</f>
        <v>935.16922824644826</v>
      </c>
      <c r="BL781" s="72"/>
      <c r="BM781" s="171">
        <f>BM533*(1-BM543/100)+BM545</f>
        <v>864.27995300292969</v>
      </c>
      <c r="BN781" s="72"/>
      <c r="BO781" s="171">
        <f>BO533*(1-BO543/100)+BO545</f>
        <v>698.5114201703758</v>
      </c>
      <c r="BP781" s="72"/>
      <c r="BQ781" s="171">
        <f>BQ533*(1-BQ543/100)+BQ545</f>
        <v>825.88776756734103</v>
      </c>
      <c r="BR781" s="72"/>
      <c r="BS781" s="171">
        <f>BS533*(1-BS543/100)+BS545</f>
        <v>500.12587167229503</v>
      </c>
      <c r="BT781" s="72"/>
      <c r="BU781" s="171">
        <f>BU533*(1-BU543/100)+BU545</f>
        <v>665.94064377965015</v>
      </c>
      <c r="BV781" s="72"/>
      <c r="BW781" s="171">
        <f>(BW533*(1-BW538/100))+BW545</f>
        <v>483.8857142857143</v>
      </c>
      <c r="BX781" s="171"/>
      <c r="BY781" s="171">
        <f>(BY533*(1-BY538/100))+BY545</f>
        <v>526.78149100257076</v>
      </c>
      <c r="BZ781" s="171"/>
      <c r="CA781" s="171">
        <f>(CA533*(1-CA538/100))+CA545</f>
        <v>642.30769230769238</v>
      </c>
      <c r="CB781" s="171"/>
      <c r="CC781" s="171">
        <f>(CC533*(1-CC538/100))+CC545</f>
        <v>501.78954248366011</v>
      </c>
      <c r="CD781" s="171"/>
      <c r="CE781" s="171">
        <f>(CE533*(1-CE538/100))+CE545</f>
        <v>566.67523364485976</v>
      </c>
      <c r="CF781" s="171"/>
      <c r="CG781" s="171">
        <f>(CG533*(1-CG538/100))+CG545</f>
        <v>637.28367346938774</v>
      </c>
      <c r="CH781" s="171"/>
      <c r="CI781" s="171">
        <f>(CI533*(1-CI538/100))+CI545</f>
        <v>553.76785714285722</v>
      </c>
      <c r="CJ781" s="171"/>
      <c r="CK781" s="171">
        <f>(CK533*(1-CK538/100))+CK545</f>
        <v>633.28044280442805</v>
      </c>
      <c r="CL781" s="171"/>
      <c r="CM781" s="171">
        <f>(CM533*(1-CM538/100))+CM545</f>
        <v>692.66163043478275</v>
      </c>
      <c r="CN781" s="171"/>
      <c r="CO781" s="171">
        <f>(CO533*(1-CO538/100))+CO545</f>
        <v>811.43038852913969</v>
      </c>
      <c r="CP781" s="171"/>
      <c r="CQ781" s="171">
        <f>(CQ533*(1-CQ538/100))+CQ545</f>
        <v>776.77690217391296</v>
      </c>
      <c r="CR781" s="171"/>
      <c r="CS781" s="171">
        <f>(CS533*(1-CS538/100))+CS545</f>
        <v>707.06809523809522</v>
      </c>
      <c r="CT781" s="171"/>
      <c r="CU781" s="171">
        <f>(CU533*(1-CU538/100))+CU545</f>
        <v>683.87758007117429</v>
      </c>
      <c r="CV781" s="171"/>
      <c r="CW781" s="171">
        <f>(CW533*(1-CW538/100))+CW545</f>
        <v>838.90984340044747</v>
      </c>
      <c r="CX781" s="171"/>
      <c r="CY781" s="171">
        <f>(CY533*(1-CY538/100))+CY545</f>
        <v>869.21608654750708</v>
      </c>
      <c r="CZ781" s="171"/>
      <c r="DA781" s="171">
        <f>(DA533*(1-DA538/100))+DA545</f>
        <v>869.97421731123393</v>
      </c>
      <c r="DB781" s="171"/>
      <c r="DC781" s="171">
        <f>(DC533*(1-DC538/100))+DC545</f>
        <v>991.9084402430791</v>
      </c>
      <c r="DD781" s="171"/>
      <c r="DE781" s="171">
        <f>(DE533*(1-DE538/100))+DE545</f>
        <v>982.4260669730794</v>
      </c>
      <c r="DF781" s="171"/>
      <c r="DG781" s="171">
        <f>(DG533*(1-DG538/100))+DG545</f>
        <v>1079.9198334200937</v>
      </c>
      <c r="DH781" s="171"/>
      <c r="DI781" s="171">
        <f>(DI533*(1-DI538/100))+DI545</f>
        <v>1045.8668138586957</v>
      </c>
      <c r="DJ781" s="171"/>
      <c r="DK781" s="171">
        <f>(DK533*(1-DK538/100))+DK545</f>
        <v>1167.5684277530236</v>
      </c>
      <c r="DL781" s="171"/>
      <c r="DM781" s="171">
        <f>(DM533*(1-DM538/100))+DM545</f>
        <v>1181.6950092421444</v>
      </c>
      <c r="DN781" s="171"/>
      <c r="DO781" s="171">
        <f>(DO533*(1-DO538/100))+DO545</f>
        <v>1217.471544715447</v>
      </c>
      <c r="DP781" s="171"/>
      <c r="DQ781" s="171">
        <f>(DQ533*(1-DQ538/100))+DQ545</f>
        <v>1102.1657992565056</v>
      </c>
      <c r="DR781" s="171"/>
      <c r="DS781" s="171">
        <f>(DS533*(1-DS538/100))+DS545</f>
        <v>1225.847564469914</v>
      </c>
      <c r="DT781" s="171"/>
      <c r="DU781" s="171">
        <f>(DU533*(1-DU538/100))+DU545</f>
        <v>1201.1406844106464</v>
      </c>
      <c r="DV781" s="171"/>
      <c r="DW781" s="171">
        <f>(DW533*(1-DW538/100))+DW545</f>
        <v>1173.7320574162679</v>
      </c>
      <c r="DX781" s="171"/>
      <c r="DY781" s="171">
        <f>(DY533*(1-DY538/100))+DY545</f>
        <v>960.72715736040607</v>
      </c>
      <c r="DZ781" s="171"/>
      <c r="EA781" s="171">
        <f>(EA533*(1-EA538/100))+EA545</f>
        <v>1070.7403773584906</v>
      </c>
      <c r="EB781" s="171"/>
      <c r="EC781" s="171">
        <f>(EC533*(1-EC538/100))+EC545</f>
        <v>1170.1684011352886</v>
      </c>
      <c r="ED781" s="171"/>
      <c r="EE781" s="171">
        <f>(EE533*(1-EE538/100))+EE545</f>
        <v>1101.2336328626445</v>
      </c>
      <c r="EF781" s="171"/>
      <c r="EG781" s="171">
        <f>(EG533*(1-EG538/100))+EG545</f>
        <v>1066.0582590815629</v>
      </c>
      <c r="EH781" s="171"/>
      <c r="EI781" s="171">
        <f>(EI533*(1-EI538/100))+EI545</f>
        <v>1212.170903614458</v>
      </c>
      <c r="EJ781" s="171"/>
      <c r="EK781" s="171">
        <f>(EK533*(1-EK538/100))+EK545</f>
        <v>1339.0749185667753</v>
      </c>
      <c r="EL781" s="171"/>
      <c r="EM781" s="171">
        <f>(EM533*(1-EM538/100))+EM545</f>
        <v>1275.4035874439462</v>
      </c>
      <c r="EN781" s="171"/>
      <c r="EO781" s="171">
        <f>(EO533*(1-EO538/100))+EO545</f>
        <v>1159.0152671755725</v>
      </c>
      <c r="EP781" s="171"/>
      <c r="EQ781" s="171">
        <f>(EQ533*(1-EQ538/100))+EQ545</f>
        <v>1326.6539953800166</v>
      </c>
      <c r="ER781" s="171"/>
      <c r="ES781" s="171">
        <f>(ES533*(1-ES538/100))+ES545</f>
        <v>1333.9585156595535</v>
      </c>
      <c r="ET781" s="171"/>
      <c r="EU781" s="171">
        <f>(EU533*(1-EU538/100))+EU545</f>
        <v>1318.8396634684204</v>
      </c>
      <c r="EV781" s="171"/>
      <c r="EW781" s="171">
        <f>(EW533*(1-EW538/100))+EW545</f>
        <v>1188.5935562897891</v>
      </c>
      <c r="EX781" s="171"/>
      <c r="EY781" s="171"/>
      <c r="EZ781" s="342"/>
      <c r="FA781" s="171"/>
      <c r="FB781" s="171" t="e">
        <f>(FB533*(1-FB538/100))+FB545</f>
        <v>#REF!</v>
      </c>
      <c r="FC781" s="171"/>
      <c r="FD781" s="171">
        <f>(FD533*(1-FD538/100))+FD545</f>
        <v>161.1</v>
      </c>
      <c r="FE781" s="171"/>
      <c r="FF781" s="171">
        <f>(FF533*(1-FF538/100))+FF545</f>
        <v>173.95</v>
      </c>
      <c r="FG781" s="171"/>
      <c r="FH781" s="171">
        <f>(FH533*(1-FH538/100))+FH545</f>
        <v>495.8</v>
      </c>
      <c r="FI781" s="171"/>
      <c r="FJ781" s="171">
        <f>(FJ533*(1-FJ538/100))+FJ545</f>
        <v>646.94999999999993</v>
      </c>
      <c r="FK781" s="171"/>
      <c r="FL781" s="171">
        <f>(FL533*(1-FL538/100))+FL545</f>
        <v>1046.8070436032583</v>
      </c>
      <c r="FM781" s="171"/>
      <c r="FN781" s="171">
        <f>(FN533*(1-FN538/100))+FN545</f>
        <v>1566.7844983701555</v>
      </c>
      <c r="FO781" s="171"/>
      <c r="FP781" s="171">
        <f>(FP533*(1-FP538/100))+FP545</f>
        <v>2035.372617312737</v>
      </c>
      <c r="FQ781" s="171"/>
      <c r="FR781" s="171">
        <f>(FR533*(1-FR538/100))+FR545</f>
        <v>2197.5001921598769</v>
      </c>
      <c r="FS781" s="171"/>
      <c r="FT781" s="171">
        <f>(FT533*(1-FT538/100))+FT545</f>
        <v>2760.3283850493658</v>
      </c>
      <c r="FU781" s="171"/>
      <c r="FV781" s="171">
        <f>(FV533*(1-FV538/100))+FV545</f>
        <v>-1862.5301204819286</v>
      </c>
      <c r="FW781" s="171"/>
      <c r="FX781" s="171">
        <f>(FX533*(1-FX538/100))+FX545</f>
        <v>938.80991525423713</v>
      </c>
      <c r="FY781" s="171"/>
      <c r="FZ781" s="171">
        <f>(FZ533*(1-FZ538/100))+FZ545</f>
        <v>1766.3403194975426</v>
      </c>
      <c r="GA781" s="171"/>
      <c r="GB781" s="171">
        <f>(GB533*(1-GB538/100))+GB545</f>
        <v>2444.5091318488867</v>
      </c>
      <c r="GC781" s="171"/>
      <c r="GD781" s="171">
        <f>(GD533*(1-GD538/100))+GD545</f>
        <v>2706.3014158867295</v>
      </c>
      <c r="GE781" s="171"/>
      <c r="GF781" s="171">
        <f>(GF533*(1-GF538/100))+GF545</f>
        <v>4280.9534156635918</v>
      </c>
      <c r="GG781" s="82"/>
      <c r="GH781" s="171">
        <f>(GH533*(1-GH538/100))+GH545</f>
        <v>4572.1093007467753</v>
      </c>
      <c r="GI781" s="82"/>
      <c r="GJ781" s="171">
        <f>(GJ533*(1-GJ538/100))+GJ545</f>
        <v>4556.8556411490936</v>
      </c>
      <c r="GK781" s="82"/>
      <c r="GL781" s="171">
        <f>(GL533*(1-GL538/100))+GL545</f>
        <v>4398.8641415076863</v>
      </c>
      <c r="GM781" s="82"/>
      <c r="GN781" s="171">
        <f>(GN533*(1-GN538/100))+GN545</f>
        <v>4983.6119795003206</v>
      </c>
      <c r="GO781" s="82"/>
      <c r="GP781" s="171">
        <f>(GP533*(1-GP538/100))+GP545</f>
        <v>5168.0457307977795</v>
      </c>
      <c r="GQ781" s="82"/>
      <c r="GR781" s="171">
        <f>(GR533*(1-GR538/100))+GR545+(GR425*(1-(GR538/100)))</f>
        <v>5231.3860821617627</v>
      </c>
      <c r="GS781" s="82"/>
      <c r="GT781" s="171">
        <f>(GT533*(1-GT538/100))+GT545+(GT425*(1-(GT538/100)))</f>
        <v>5286.1772453206422</v>
      </c>
      <c r="GU781" s="82"/>
      <c r="GV781" s="171">
        <f>(GV533*(1-GV538/100))+GV545+(GV425*(1-(GV538/100)))</f>
        <v>5347.2071880921694</v>
      </c>
      <c r="GW781" s="82"/>
      <c r="GX781" s="171">
        <f>(GX533*(1-GX538/100))+GX545+(GX425*(1-(GX538/100)))</f>
        <v>5400.2816195673668</v>
      </c>
      <c r="GY781" s="82"/>
      <c r="GZ781" s="72"/>
      <c r="HA781" s="72"/>
      <c r="HB781" s="72"/>
      <c r="HC781"/>
      <c r="HD781"/>
      <c r="HE781"/>
      <c r="HF781"/>
      <c r="HG781"/>
      <c r="HH781"/>
      <c r="HI781" s="2"/>
    </row>
    <row r="782" spans="1:217" s="3" customFormat="1" ht="12.75" hidden="1" customHeight="1" outlineLevel="1" x14ac:dyDescent="0.2">
      <c r="A782" s="3" t="s">
        <v>393</v>
      </c>
      <c r="B782" s="4" t="s">
        <v>485</v>
      </c>
      <c r="C782" s="171"/>
      <c r="D782" s="11"/>
      <c r="E782" s="171"/>
      <c r="F782" s="11"/>
      <c r="G782" s="171"/>
      <c r="H782" s="11"/>
      <c r="I782" s="171"/>
      <c r="J782" s="11"/>
      <c r="K782" s="171">
        <f>K644</f>
        <v>0</v>
      </c>
      <c r="L782" s="171"/>
      <c r="M782" s="171">
        <f>M644</f>
        <v>0</v>
      </c>
      <c r="N782" s="171"/>
      <c r="O782" s="171">
        <f>O644</f>
        <v>0</v>
      </c>
      <c r="P782" s="171"/>
      <c r="Q782" s="171">
        <f>Q644</f>
        <v>0</v>
      </c>
      <c r="R782" s="171"/>
      <c r="S782" s="171">
        <f>S644</f>
        <v>0</v>
      </c>
      <c r="T782" s="171"/>
      <c r="U782" s="171">
        <f>U644</f>
        <v>0</v>
      </c>
      <c r="V782" s="171"/>
      <c r="W782" s="171">
        <f>W644</f>
        <v>0</v>
      </c>
      <c r="X782" s="171"/>
      <c r="Y782" s="171">
        <f>Y644</f>
        <v>0</v>
      </c>
      <c r="Z782" s="171"/>
      <c r="AA782" s="171">
        <f>AA644</f>
        <v>0</v>
      </c>
      <c r="AB782" s="72"/>
      <c r="AC782" s="171">
        <f>AC644</f>
        <v>0</v>
      </c>
      <c r="AD782" s="72"/>
      <c r="AE782" s="171">
        <f>AE644</f>
        <v>0</v>
      </c>
      <c r="AF782" s="72"/>
      <c r="AG782" s="171">
        <f>AG644</f>
        <v>0</v>
      </c>
      <c r="AH782" s="72"/>
      <c r="AI782" s="171">
        <f>AI644</f>
        <v>0</v>
      </c>
      <c r="AJ782" s="72"/>
      <c r="AK782" s="171">
        <f>AK644</f>
        <v>0</v>
      </c>
      <c r="AL782" s="72"/>
      <c r="AM782" s="171">
        <f>AM644</f>
        <v>0</v>
      </c>
      <c r="AN782" s="72"/>
      <c r="AO782" s="171">
        <f>AO644</f>
        <v>0.87</v>
      </c>
      <c r="AP782" s="72"/>
      <c r="AQ782" s="171">
        <f>AQ644</f>
        <v>1.5549056603773583</v>
      </c>
      <c r="AR782" s="72"/>
      <c r="AS782" s="171">
        <f>AS644</f>
        <v>1.6022543792840822</v>
      </c>
      <c r="AT782" s="72"/>
      <c r="AU782" s="171">
        <f>AU644</f>
        <v>1.7560428323364849</v>
      </c>
      <c r="AV782" s="72"/>
      <c r="AW782" s="171">
        <f>AW644</f>
        <v>1.8092120736965895</v>
      </c>
      <c r="AX782" s="72"/>
      <c r="AY782" s="171">
        <f>AY644</f>
        <v>1.3818984328506247</v>
      </c>
      <c r="AZ782" s="72"/>
      <c r="BA782" s="171">
        <f>BA644</f>
        <v>1.3626102980802755</v>
      </c>
      <c r="BB782" s="72"/>
      <c r="BC782" s="171">
        <f>BC644</f>
        <v>1.3815182868719045</v>
      </c>
      <c r="BD782" s="72"/>
      <c r="BE782" s="171">
        <f>BE644</f>
        <v>1.4490257208399906</v>
      </c>
      <c r="BF782" s="72"/>
      <c r="BG782" s="171">
        <f>BG644</f>
        <v>1.6015341266785239</v>
      </c>
      <c r="BH782" s="72"/>
      <c r="BI782" s="171">
        <f>BI644</f>
        <v>1.6867770906726742</v>
      </c>
      <c r="BJ782" s="72"/>
      <c r="BK782" s="171">
        <f>BK644</f>
        <v>2.0206667496990076</v>
      </c>
      <c r="BL782" s="72"/>
      <c r="BM782" s="171">
        <f>BM644</f>
        <v>1.97223924291939</v>
      </c>
      <c r="BN782" s="72"/>
      <c r="BO782" s="171">
        <f>BO644</f>
        <v>1.5767338835862932</v>
      </c>
      <c r="BP782" s="72"/>
      <c r="BQ782" s="171">
        <f>BQ644</f>
        <v>1.8633006238574228</v>
      </c>
      <c r="BR782" s="72"/>
      <c r="BS782" s="171">
        <f>BS644</f>
        <v>1.5683043277375637</v>
      </c>
      <c r="BT782" s="72"/>
      <c r="BU782" s="171">
        <f>BU644</f>
        <v>-0.59405940594059392</v>
      </c>
      <c r="BV782" s="72"/>
      <c r="BW782" s="171">
        <f>BW644</f>
        <v>0.62706893147236298</v>
      </c>
      <c r="BX782" s="72"/>
      <c r="BY782" s="171">
        <f>BY644</f>
        <v>1.2129437969204944</v>
      </c>
      <c r="BZ782" s="72"/>
      <c r="CA782" s="171">
        <f>CA644</f>
        <v>1.4141196728368488</v>
      </c>
      <c r="CB782" s="72"/>
      <c r="CC782" s="171">
        <f>CC644</f>
        <v>1.0669562885044868</v>
      </c>
      <c r="CD782" s="72"/>
      <c r="CE782" s="171">
        <f>CE644</f>
        <v>1.2018562749625872</v>
      </c>
      <c r="CF782" s="72"/>
      <c r="CG782" s="171">
        <f>CG644</f>
        <v>1.3464687797789727</v>
      </c>
      <c r="CH782" s="72"/>
      <c r="CI782" s="171">
        <f>CI644</f>
        <v>1.1702617437507548</v>
      </c>
      <c r="CJ782" s="72"/>
      <c r="CK782" s="171">
        <f>CK644</f>
        <v>1.3097837493369762</v>
      </c>
      <c r="CL782" s="72"/>
      <c r="CM782" s="171">
        <f>CM644</f>
        <v>1.4272221097388136</v>
      </c>
      <c r="CN782" s="72"/>
      <c r="CO782" s="171">
        <f>CO644</f>
        <v>1.6359135004042038</v>
      </c>
      <c r="CP782" s="72"/>
      <c r="CQ782" s="171">
        <f>CQ644</f>
        <v>1.4676067852033516</v>
      </c>
      <c r="CR782" s="72"/>
      <c r="CS782" s="171">
        <f>CS644</f>
        <v>1.5278825995807126</v>
      </c>
      <c r="CT782" s="72"/>
      <c r="CU782" s="171">
        <f>CU644</f>
        <v>1.4652356020942408</v>
      </c>
      <c r="CV782" s="72"/>
      <c r="CW782" s="171">
        <f>CW644</f>
        <v>1.7252375923970433</v>
      </c>
      <c r="CX782" s="72"/>
      <c r="CY782" s="171">
        <f>CY644</f>
        <v>1.8200508690122934</v>
      </c>
      <c r="CZ782" s="72"/>
      <c r="DA782" s="171">
        <f>DA644</f>
        <v>1.769540327729304</v>
      </c>
      <c r="DB782" s="72"/>
      <c r="DC782" s="171">
        <f>DC644</f>
        <v>2.1202035191859232</v>
      </c>
      <c r="DD782" s="72"/>
      <c r="DE782" s="171">
        <f>DE644</f>
        <v>2.1031342651418892</v>
      </c>
      <c r="DF782" s="72"/>
      <c r="DG782" s="171">
        <f>DG644</f>
        <v>2.3459745762711863</v>
      </c>
      <c r="DH782" s="72"/>
      <c r="DI782" s="171">
        <f>DI644</f>
        <v>2.2194397283531409</v>
      </c>
      <c r="DJ782" s="72"/>
      <c r="DK782" s="171">
        <f>DK644</f>
        <v>2.4650645775989837</v>
      </c>
      <c r="DL782" s="72"/>
      <c r="DM782" s="171">
        <f>DM644</f>
        <v>2.508071367884452</v>
      </c>
      <c r="DN782" s="72"/>
      <c r="DO782" s="171">
        <f>DO644</f>
        <v>2.4567164179104473</v>
      </c>
      <c r="DP782" s="72"/>
      <c r="DQ782" s="171">
        <f>DQ644</f>
        <v>2.3284429213964448</v>
      </c>
      <c r="DR782" s="72"/>
      <c r="DS782" s="171">
        <f>DS644</f>
        <v>2.6478144728365902</v>
      </c>
      <c r="DT782" s="72"/>
      <c r="DU782" s="171">
        <f>DU644</f>
        <v>2.6279395900755125</v>
      </c>
      <c r="DV782" s="72"/>
      <c r="DW782" s="171">
        <f>DW644</f>
        <v>2.5196884465599307</v>
      </c>
      <c r="DX782" s="72"/>
      <c r="DY782" s="171">
        <f>DY644</f>
        <v>2.0681126331811264</v>
      </c>
      <c r="DZ782" s="72"/>
      <c r="EA782" s="171">
        <f>EA644</f>
        <v>2.4898382867132871</v>
      </c>
      <c r="EB782" s="72"/>
      <c r="EC782" s="171">
        <f>EC644</f>
        <v>2.4555975962608501</v>
      </c>
      <c r="ED782" s="72"/>
      <c r="EE782" s="171">
        <f>EE644</f>
        <v>2.5056268287193335</v>
      </c>
      <c r="EF782" s="72"/>
      <c r="EG782" s="171">
        <f>EG644</f>
        <v>2.4283765347885402</v>
      </c>
      <c r="EH782" s="72"/>
      <c r="EI782" s="171">
        <f>EI644</f>
        <v>2.7648941015713961</v>
      </c>
      <c r="EJ782" s="72"/>
      <c r="EK782" s="171">
        <f>EK644</f>
        <v>2.9347726648979964</v>
      </c>
      <c r="EL782" s="72"/>
      <c r="EM782" s="171">
        <f>EM644</f>
        <v>2.9420689655172412</v>
      </c>
      <c r="EN782" s="72"/>
      <c r="EO782" s="171">
        <f>EO644</f>
        <v>2.6794545874740008</v>
      </c>
      <c r="EP782" s="72"/>
      <c r="EQ782" s="171">
        <f t="shared" ref="EQ782" si="3531">EQ644</f>
        <v>3.0956473436103349</v>
      </c>
      <c r="ER782" s="72"/>
      <c r="ES782" s="171">
        <f t="shared" ref="ES782" si="3532">ES644</f>
        <v>3.1369010469049265</v>
      </c>
      <c r="ET782" s="72"/>
      <c r="EU782" s="171">
        <f t="shared" ref="EU782" si="3533">EU644</f>
        <v>3.1253659827544977</v>
      </c>
      <c r="EV782" s="72"/>
      <c r="EW782" s="171">
        <f t="shared" ref="EW782" si="3534">EW644</f>
        <v>2.838428618029682</v>
      </c>
      <c r="EX782" s="72"/>
      <c r="EY782" s="72"/>
      <c r="EZ782" s="335"/>
      <c r="FA782" s="72"/>
      <c r="FB782" s="171"/>
      <c r="FC782" s="11"/>
      <c r="FD782" s="171"/>
      <c r="FE782" s="72"/>
      <c r="FF782" s="171"/>
      <c r="FG782" s="72"/>
      <c r="FH782" s="171"/>
      <c r="FI782" s="72"/>
      <c r="FJ782" s="171"/>
      <c r="FK782" s="72"/>
      <c r="FL782" s="171">
        <f>FL644</f>
        <v>0</v>
      </c>
      <c r="FM782" s="72"/>
      <c r="FN782" s="171">
        <f>FN644</f>
        <v>0</v>
      </c>
      <c r="FO782" s="72"/>
      <c r="FP782" s="171">
        <f>FP644</f>
        <v>3.9052975328746689</v>
      </c>
      <c r="FQ782" s="72"/>
      <c r="FR782" s="171">
        <f>FR644</f>
        <v>4.4519858025929437</v>
      </c>
      <c r="FS782" s="72"/>
      <c r="FT782" s="171">
        <f>FT644</f>
        <v>5.8949885425507</v>
      </c>
      <c r="FU782" s="72"/>
      <c r="FV782" s="171">
        <f>FV644</f>
        <v>-4.295503045391901</v>
      </c>
      <c r="FW782" s="72"/>
      <c r="FX782" s="171">
        <f>FX644</f>
        <v>2.0950901924888137</v>
      </c>
      <c r="FY782" s="72"/>
      <c r="FZ782" s="171">
        <f>FZ644</f>
        <v>3.7156777691244649</v>
      </c>
      <c r="GA782" s="72"/>
      <c r="GB782" s="171">
        <f>GB644</f>
        <v>5.0015532109440137</v>
      </c>
      <c r="GC782" s="72"/>
      <c r="GD782" s="171">
        <f>GD644</f>
        <v>5.6579019390288998</v>
      </c>
      <c r="GE782" s="72"/>
      <c r="GF782" s="171">
        <f>GF644</f>
        <v>9.1956971013724758</v>
      </c>
      <c r="GG782" s="72"/>
      <c r="GH782" s="171">
        <f>GH644</f>
        <v>9.7045114389565974</v>
      </c>
      <c r="GI782" s="72"/>
      <c r="GJ782" s="171">
        <f>GJ644</f>
        <v>9.8713876735267121</v>
      </c>
      <c r="GK782" s="72"/>
      <c r="GL782" s="171">
        <f>GL644</f>
        <v>9.7235064209938571</v>
      </c>
      <c r="GM782" s="72"/>
      <c r="GN782" s="171">
        <f>GN644</f>
        <v>11.321907754409303</v>
      </c>
      <c r="GO782" s="72"/>
      <c r="GP782" s="171">
        <f>GP644</f>
        <v>12.199348634086146</v>
      </c>
      <c r="GQ782" s="72"/>
      <c r="GR782" s="171">
        <f>GR644</f>
        <v>12.751069324888016</v>
      </c>
      <c r="GS782" s="72"/>
      <c r="GT782" s="171">
        <f>GT644</f>
        <v>13.303162843222088</v>
      </c>
      <c r="GU782" s="72"/>
      <c r="GV782" s="171">
        <f>GV644</f>
        <v>13.853522114260759</v>
      </c>
      <c r="GW782" s="72"/>
      <c r="GX782" s="171">
        <f>GX644</f>
        <v>14.450625194663479</v>
      </c>
      <c r="GY782" s="72"/>
      <c r="GZ782" s="72"/>
      <c r="HA782" s="72"/>
      <c r="HB782" s="72"/>
      <c r="HC782"/>
      <c r="HD782"/>
      <c r="HE782"/>
      <c r="HF782"/>
      <c r="HG782"/>
      <c r="HH782"/>
      <c r="HI782" s="2"/>
    </row>
    <row r="783" spans="1:217" s="3" customFormat="1" ht="12.75" hidden="1" customHeight="1" outlineLevel="1" x14ac:dyDescent="0.2">
      <c r="A783" s="9" t="e">
        <f>A781/A679*400</f>
        <v>#VALUE!</v>
      </c>
      <c r="B783" s="198" t="s">
        <v>135</v>
      </c>
      <c r="C783" s="9"/>
      <c r="D783" s="9"/>
      <c r="E783" s="9"/>
      <c r="F783" s="9"/>
      <c r="G783" s="9"/>
      <c r="H783" s="9"/>
      <c r="I783" s="9"/>
      <c r="J783" s="9"/>
      <c r="K783" s="163">
        <f>K781/K679*400</f>
        <v>13.759575721862111</v>
      </c>
      <c r="L783" s="9"/>
      <c r="M783" s="163">
        <f>M781/M679*400</f>
        <v>12.343906990096167</v>
      </c>
      <c r="N783" s="9"/>
      <c r="O783" s="163">
        <f>O781/O679*400</f>
        <v>9.1209469518172916</v>
      </c>
      <c r="P783" s="9"/>
      <c r="Q783" s="163">
        <f>Q781/Q679*400</f>
        <v>6.3188831741366638</v>
      </c>
      <c r="R783" s="9"/>
      <c r="S783" s="163">
        <f>S781/S679*400</f>
        <v>10.445116230584802</v>
      </c>
      <c r="T783" s="9"/>
      <c r="U783" s="163">
        <f>U781/U679*400</f>
        <v>10.007770007770008</v>
      </c>
      <c r="V783" s="9"/>
      <c r="W783" s="163">
        <f>W781/W679*400</f>
        <v>9.3777616052399022</v>
      </c>
      <c r="X783" s="163"/>
      <c r="Y783" s="163">
        <f>Y781/Y679*400</f>
        <v>8.2384709059141201</v>
      </c>
      <c r="Z783" s="9"/>
      <c r="AA783" s="163">
        <f>AA781/AA679*400</f>
        <v>10.188892172931725</v>
      </c>
      <c r="AB783" s="9"/>
      <c r="AC783" s="163">
        <f>AC781/AC679*400</f>
        <v>12.026186050270752</v>
      </c>
      <c r="AD783" s="9"/>
      <c r="AE783" s="163">
        <f>AE781/AE679*400</f>
        <v>11.605144659853856</v>
      </c>
      <c r="AF783" s="9"/>
      <c r="AG783" s="163">
        <f>AG781/AG679*400</f>
        <v>12.433000242411184</v>
      </c>
      <c r="AH783" s="9"/>
      <c r="AI783" s="163">
        <f>AI781/AI679*400</f>
        <v>12.565670716922165</v>
      </c>
      <c r="AJ783" s="9"/>
      <c r="AK783" s="163">
        <f>AK781/AK679*400</f>
        <v>15.996140341472568</v>
      </c>
      <c r="AL783" s="9"/>
      <c r="AM783" s="163">
        <f>AM781/AM679*400</f>
        <v>15.554966887417217</v>
      </c>
      <c r="AN783" s="9"/>
      <c r="AO783" s="163">
        <f>AO781/AO679*400</f>
        <v>14.942558678719358</v>
      </c>
      <c r="AP783" s="9"/>
      <c r="AQ783" s="163">
        <f>AQ781/AQ679*400</f>
        <v>15.939336878800987</v>
      </c>
      <c r="AR783" s="9"/>
      <c r="AS783" s="163">
        <f>AS781/AS679*400</f>
        <v>16.478021841339338</v>
      </c>
      <c r="AT783" s="9"/>
      <c r="AU783" s="163">
        <f>AU781/AU679*400</f>
        <v>17.305135951661633</v>
      </c>
      <c r="AV783" s="9"/>
      <c r="AW783" s="163">
        <f>AW781/AW679*400</f>
        <v>18.429460232049774</v>
      </c>
      <c r="AX783" s="9"/>
      <c r="AY783" s="171">
        <f>AY781/AY679*400</f>
        <v>12.787192304844242</v>
      </c>
      <c r="AZ783" s="9"/>
      <c r="BA783" s="171">
        <f>BA781/BA679*400</f>
        <v>13.002411373171896</v>
      </c>
      <c r="BB783" s="9"/>
      <c r="BC783" s="171">
        <f>BC781/BC679*400</f>
        <v>13.75087015374355</v>
      </c>
      <c r="BD783" s="9"/>
      <c r="BE783" s="171">
        <f>BE781/BE679*400</f>
        <v>13.453618982592985</v>
      </c>
      <c r="BF783" s="9"/>
      <c r="BG783" s="171">
        <f>BG781/BG679*400</f>
        <v>14.531672863036741</v>
      </c>
      <c r="BH783" s="9"/>
      <c r="BI783" s="171">
        <f>BI781/BI679*400</f>
        <v>14.797934993884802</v>
      </c>
      <c r="BJ783" s="9"/>
      <c r="BK783" s="171">
        <f>BK781/BK679*400</f>
        <v>16.931502797201798</v>
      </c>
      <c r="BL783" s="9"/>
      <c r="BM783" s="171">
        <f>BM781/BM679*400</f>
        <v>15.857256665879499</v>
      </c>
      <c r="BN783" s="9"/>
      <c r="BO783" s="171">
        <f>BO781/BO679*400</f>
        <v>12.792663708994567</v>
      </c>
      <c r="BP783" s="9"/>
      <c r="BQ783" s="171">
        <f>BQ781/BQ679*400</f>
        <v>14.555011985149422</v>
      </c>
      <c r="BR783" s="9"/>
      <c r="BS783" s="171">
        <f>BS781/BS679*400</f>
        <v>8.5416771063349639</v>
      </c>
      <c r="BT783" s="9"/>
      <c r="BU783" s="171">
        <f>BU781/BU679*400</f>
        <v>12.273706746157677</v>
      </c>
      <c r="BV783" s="9"/>
      <c r="BW783" s="171">
        <f>BW781/BW679*400</f>
        <v>9.7344172662904285</v>
      </c>
      <c r="BX783" s="11"/>
      <c r="BY783" s="171">
        <f>BY781/BY679*400</f>
        <v>9.9317777338342914</v>
      </c>
      <c r="BZ783" s="11"/>
      <c r="CA783" s="171">
        <f>CA781/CA679*400</f>
        <v>11.285385088424709</v>
      </c>
      <c r="CB783" s="11"/>
      <c r="CC783" s="171">
        <f>CC781/CC679*400</f>
        <v>8.3516754875988859</v>
      </c>
      <c r="CD783" s="11"/>
      <c r="CE783" s="171">
        <f>CE781/CE679*400</f>
        <v>9.5081731352563565</v>
      </c>
      <c r="CF783" s="11"/>
      <c r="CG783" s="171">
        <f>(CG546-(CG534*(1-(CG538/100)))+(CG425*(1-(CG538/100))))/CG679*400</f>
        <v>10.892108846444126</v>
      </c>
      <c r="CH783" s="11"/>
      <c r="CI783" s="171">
        <f>(CI546-(CI534*(1-(CI538/100)))+(CI425*(1-(CI538/100))))/CI679*400</f>
        <v>9.0694266938457968</v>
      </c>
      <c r="CJ783" s="11"/>
      <c r="CK783" s="171">
        <f>(CK546-(CK534*(1-(CK538/100)))+(CK425*(1-(CK538/100))))/CK679*400</f>
        <v>10.019863815583689</v>
      </c>
      <c r="CL783" s="11"/>
      <c r="CM783" s="171">
        <f>(CM546-(CM534*(1-(CM538/100)))+(CM425*(1-(CM538/100))))/CM679*400</f>
        <v>10.612076370992325</v>
      </c>
      <c r="CN783" s="11"/>
      <c r="CO783" s="171">
        <f>(CO546-(CO534*(1-(CO538/100)))+(CO425*(1-(CO538/100))))/CO679*400</f>
        <v>11.86957706344856</v>
      </c>
      <c r="CP783" s="11"/>
      <c r="CQ783" s="171">
        <f>(CQ546-(CQ534*(1-(CQ538/100)))+(CQ425*(1-(CQ538/100))))/CQ679*400</f>
        <v>10.813168768548339</v>
      </c>
      <c r="CR783" s="11"/>
      <c r="CS783" s="171">
        <f>(CS546-(CS534*(1-(CS538/100)))+(CS425*(1-(CS538/100))))/CS679*400</f>
        <v>9.1810281297129084</v>
      </c>
      <c r="CT783" s="11"/>
      <c r="CU783" s="171">
        <f>(CU546-(CU534*(1-(CU538/100)))+(CU425*(1-(CU538/100))))/CU679*400</f>
        <v>9.44871107780091</v>
      </c>
      <c r="CV783" s="11"/>
      <c r="CW783" s="171">
        <f>(CW546-(CW534*(1-(CW538/100)))+(CW425*(1-(CW538/100))))/CW679*400</f>
        <v>11.715549335806138</v>
      </c>
      <c r="CX783" s="11"/>
      <c r="CY783" s="171">
        <f>(CY546-(CY534*(1-(CY538/100)))+(CY425*(1-(CY538/100))))/CY679*400</f>
        <v>11.919349747975227</v>
      </c>
      <c r="CZ783" s="11"/>
      <c r="DA783" s="171">
        <f>(DA546-(DA534*(1-(DA538/100)))+(DA425*(1-(DA538/100))))/DA679*400</f>
        <v>12.543823551632624</v>
      </c>
      <c r="DB783" s="11"/>
      <c r="DC783" s="171">
        <f>(DC546-(DC534*(1-(DC538/100)))+(DC425*(1-(DC538/100))))/DC679*400</f>
        <v>14.884601702715711</v>
      </c>
      <c r="DD783" s="11"/>
      <c r="DE783" s="171">
        <f>(DE546-(DE534*(1-(DE538/100)))+(DE425*(1-(DE538/100))))/DE679*400</f>
        <v>15.187372035425497</v>
      </c>
      <c r="DF783" s="11"/>
      <c r="DG783" s="171">
        <f>(DG546-(DG534*(1-(DG538/100)))+(DG425*(1-(DG538/100))))/DG679*400</f>
        <v>16.726244393383318</v>
      </c>
      <c r="DH783" s="11"/>
      <c r="DI783" s="171">
        <f>(DI546-(DI534*(1-(DI538/100)))+(DI425*(1-(DI538/100))))/DI679*400</f>
        <v>16.176445739201583</v>
      </c>
      <c r="DJ783" s="11"/>
      <c r="DK783" s="171">
        <f>(DK546-(DK534*(1-(DK538/100)))+(DK425*(1-(DK538/100))))/DK679*400</f>
        <v>18.166616271246671</v>
      </c>
      <c r="DL783" s="11"/>
      <c r="DM783" s="171">
        <f>(DM546-(DM534*(1-(DM538/100)))+(DM425*(1-(DM538/100))))/DM679*400</f>
        <v>17.874678705825808</v>
      </c>
      <c r="DN783" s="11"/>
      <c r="DO783" s="171">
        <f>(DO546-(DO534*(1-(DO538/100)))+(DO425*(1-(DO538/100))))/DO679*400</f>
        <v>18.155635756111504</v>
      </c>
      <c r="DP783" s="11"/>
      <c r="DQ783" s="171">
        <f>(DQ546-(DQ534*(1-(DQ538/100)))+(DQ425*(1-(DQ538/100))))/DQ679*400</f>
        <v>16.964879351314206</v>
      </c>
      <c r="DR783" s="11"/>
      <c r="DS783" s="171">
        <f>(DS546-(DS534*(1-(DS538/100)))+(DS425*(1-(DS538/100))))/DS679*400</f>
        <v>18.713801457444685</v>
      </c>
      <c r="DT783" s="11"/>
      <c r="DU783" s="171">
        <f>(DU546-(DU534*(1-(DU538/100)))+(DU425*(1-(DU538/100))))/DU679*400</f>
        <v>17.275764041719409</v>
      </c>
      <c r="DV783" s="11"/>
      <c r="DW783" s="171">
        <f>(DW546-(DW534*(1-(DW538/100)))+(DW425*(1-(DW538/100))))/DW679*400</f>
        <v>16.309195920606772</v>
      </c>
      <c r="DX783" s="11"/>
      <c r="DY783" s="171">
        <f>(DY546-(DY534*(1-(DY538/100)))+(DY425*(1-(DY538/100))))/DY679*400</f>
        <v>13.057349833310539</v>
      </c>
      <c r="DZ783" s="11"/>
      <c r="EA783" s="171">
        <f>(EA546-(EA534*(1-(EA538/100)))+(EA425*(1-(EA538/100))))/EA679*400</f>
        <v>14.328838625763913</v>
      </c>
      <c r="EB783" s="11"/>
      <c r="EC783" s="171">
        <f>(EC546-(EC534*(1-(EC538/100)))+(EC425*(1-(EC538/100))))/EC679*400</f>
        <v>15.432996816713887</v>
      </c>
      <c r="ED783" s="11"/>
      <c r="EE783" s="171">
        <f>(EE546-(EE534*(1-(EE538/100)))+(EE425*(1-(EE538/100))))/EE679*400</f>
        <v>14.212216982159701</v>
      </c>
      <c r="EF783" s="11"/>
      <c r="EG783" s="171">
        <f>(EG546-(EG534*(1-(EG538/100)))+(EG425*(1-(EG538/100))))/EG679*400</f>
        <v>13.591614191133585</v>
      </c>
      <c r="EH783" s="11"/>
      <c r="EI783" s="171">
        <f>(EI546-(EI534*(1-(EI538/100)))+(EI425*(1-(EI538/100))))/EI679*400</f>
        <v>15.299634332416675</v>
      </c>
      <c r="EJ783" s="11"/>
      <c r="EK783" s="171">
        <f>(EK546-(EK534*(1-(EK538/100)))+(EK425*(1-(EK538/100))))/EK679*400</f>
        <v>16.680316006001281</v>
      </c>
      <c r="EL783" s="11"/>
      <c r="EM783" s="171">
        <f>(EM546-(EM534*(1-(EM538/100)))+(EM425*(1-(EM538/100))))/EM679*400</f>
        <v>15.493005602368115</v>
      </c>
      <c r="EN783" s="11"/>
      <c r="EO783" s="171">
        <f>(EO546-(EO534*(1-(EO538/100)))+(EO425*(1-(EO538/100))))/EO679*400</f>
        <v>13.101769305361849</v>
      </c>
      <c r="EP783" s="11"/>
      <c r="EQ783" s="171">
        <f>(EQ546-(EQ534*(1-(EQ538/100)))+(EQ425*(1-(EQ538/100))))/EQ679*400</f>
        <v>14.074218974261111</v>
      </c>
      <c r="ER783" s="11"/>
      <c r="ES783" s="171">
        <f>(ES546-(ES534*(1-(ES538/100)))+(ES425*(1-(ES538/100))))/ES679*400</f>
        <v>13.851816461538952</v>
      </c>
      <c r="ET783" s="11"/>
      <c r="EU783" s="171">
        <f>(EU546-(EU534*(1-(EU538/100)))+(EU425*(1-(EU538/100))))/EU679*400</f>
        <v>13.622507077419744</v>
      </c>
      <c r="EV783" s="11"/>
      <c r="EW783" s="171">
        <f>(EW546-(EW534*(1-(EW538/100)))+(EW425*(1-(EW538/100))))/EW679*400</f>
        <v>12.236518640438623</v>
      </c>
      <c r="EX783" s="11"/>
      <c r="EY783" s="11"/>
      <c r="EZ783" s="335"/>
      <c r="FA783" s="11"/>
      <c r="FB783" s="9"/>
      <c r="FC783" s="11"/>
      <c r="FD783" s="171"/>
      <c r="FE783" s="11"/>
      <c r="FF783" s="171"/>
      <c r="FG783" s="11"/>
      <c r="FH783" s="171"/>
      <c r="FI783" s="11"/>
      <c r="FJ783" s="171"/>
      <c r="FK783" s="11"/>
      <c r="FL783" s="171"/>
      <c r="FM783" s="11"/>
      <c r="FN783" s="171"/>
      <c r="FO783" s="11"/>
      <c r="FP783" s="171"/>
      <c r="FQ783" s="11"/>
      <c r="FR783" s="171">
        <f>FR781/FR679*100</f>
        <v>10.529469056827393</v>
      </c>
      <c r="FS783" s="199"/>
      <c r="FT783" s="171">
        <f>FT781/FT679*100</f>
        <v>13.006306295289855</v>
      </c>
      <c r="FU783" s="199"/>
      <c r="FV783" s="171">
        <f>FV781/FV679*100</f>
        <v>-9.1343033298934735</v>
      </c>
      <c r="FW783" s="171"/>
      <c r="FX783" s="171">
        <f>FX781/FX679*100</f>
        <v>4.242537520637355</v>
      </c>
      <c r="FY783" s="171"/>
      <c r="FZ783" s="171">
        <f>FZ781/FZ679*100</f>
        <v>7.0233615757670824</v>
      </c>
      <c r="GA783" s="171"/>
      <c r="GB783" s="171">
        <f>GB781/GB679*100</f>
        <v>9.1707494957846851</v>
      </c>
      <c r="GC783" s="199"/>
      <c r="GD783" s="171">
        <f>GD781/GD679*100</f>
        <v>9.8849492873355587</v>
      </c>
      <c r="GE783" s="199"/>
      <c r="GF783" s="171">
        <f>GF781/GF679*100</f>
        <v>16.366064859652457</v>
      </c>
      <c r="GG783" s="199"/>
      <c r="GH783" s="171">
        <f>GH781/GH679*100</f>
        <v>18.144010876410871</v>
      </c>
      <c r="GI783" s="199"/>
      <c r="GJ783" s="171">
        <f>GJ781/GJ679*100</f>
        <v>16.660045485335967</v>
      </c>
      <c r="GK783" s="199"/>
      <c r="GL783" s="171">
        <f>GL781/GL679*100</f>
        <v>14.458770823566278</v>
      </c>
      <c r="GM783" s="199"/>
      <c r="GN783" s="171">
        <f>GN781/GN679*100</f>
        <v>14.606773391269606</v>
      </c>
      <c r="GO783" s="199"/>
      <c r="GP783" s="171">
        <f>GP781/GP679*100</f>
        <v>13.621637376011941</v>
      </c>
      <c r="GQ783" s="199"/>
      <c r="GR783" s="171">
        <f>(GR546-(GR534*(1-(GR538/100)))+(GR425*(1-(GR538/100))))/GR679*100</f>
        <v>13.213734891830779</v>
      </c>
      <c r="GS783" s="199"/>
      <c r="GT783" s="171">
        <f>(GT546-(GT534*(1-(GT538/100)))+(GT425*(1-(GT538/100))))/GT679*100</f>
        <v>12.921901813803997</v>
      </c>
      <c r="GU783" s="199"/>
      <c r="GV783" s="171">
        <f>(GV546-(GV534*(1-(GV538/100)))+(GV425*(1-(GV538/100))))/GV679*100</f>
        <v>12.704386112837597</v>
      </c>
      <c r="GW783" s="199"/>
      <c r="GX783" s="171">
        <f>(GX546-(GX534*(1-(GX538/100)))+(GX425*(1-(GX538/100))))/GX679*100</f>
        <v>12.508518816983161</v>
      </c>
      <c r="GY783" s="199"/>
      <c r="GZ783" s="199"/>
      <c r="HA783" s="199"/>
      <c r="HB783" s="199"/>
      <c r="HC783"/>
      <c r="HD783"/>
      <c r="HE783"/>
      <c r="HF783"/>
      <c r="HG783"/>
      <c r="HH783"/>
      <c r="HI783" s="2"/>
    </row>
    <row r="784" spans="1:217" s="3" customFormat="1" ht="12.75" hidden="1" customHeight="1" outlineLevel="1" x14ac:dyDescent="0.2">
      <c r="A784" s="3" t="s">
        <v>394</v>
      </c>
      <c r="B784" s="76" t="s">
        <v>119</v>
      </c>
      <c r="C784" s="9"/>
      <c r="D784" s="11"/>
      <c r="E784" s="9"/>
      <c r="F784" s="11"/>
      <c r="G784" s="9"/>
      <c r="H784" s="11"/>
      <c r="I784" s="9"/>
      <c r="J784" s="11"/>
      <c r="K784" s="9">
        <f>K143</f>
        <v>112</v>
      </c>
      <c r="L784" s="9"/>
      <c r="M784" s="9">
        <f>M143</f>
        <v>97</v>
      </c>
      <c r="N784" s="9"/>
      <c r="O784" s="9">
        <f>O143</f>
        <v>179</v>
      </c>
      <c r="P784" s="9"/>
      <c r="Q784" s="9">
        <f>Q143</f>
        <v>82</v>
      </c>
      <c r="R784" s="9"/>
      <c r="S784" s="9">
        <f>S143</f>
        <v>78</v>
      </c>
      <c r="T784" s="9"/>
      <c r="U784" s="9">
        <f>U143</f>
        <v>148</v>
      </c>
      <c r="V784" s="9"/>
      <c r="W784" s="9">
        <f>W143</f>
        <v>89</v>
      </c>
      <c r="X784" s="9"/>
      <c r="Y784" s="9">
        <f>Y143</f>
        <v>103</v>
      </c>
      <c r="Z784" s="9"/>
      <c r="AA784" s="9">
        <f>AA143</f>
        <v>85</v>
      </c>
      <c r="AB784" s="11"/>
      <c r="AC784" s="9">
        <f>AC143</f>
        <v>93</v>
      </c>
      <c r="AD784" s="11"/>
      <c r="AE784" s="9">
        <f>AE143</f>
        <v>73</v>
      </c>
      <c r="AF784" s="11"/>
      <c r="AG784" s="9">
        <f>AG143</f>
        <v>111</v>
      </c>
      <c r="AH784" s="11"/>
      <c r="AI784" s="9">
        <f>AI143</f>
        <v>96</v>
      </c>
      <c r="AJ784" s="11"/>
      <c r="AK784" s="9">
        <f>AK143</f>
        <v>95</v>
      </c>
      <c r="AL784" s="11"/>
      <c r="AM784" s="9">
        <f>AM143</f>
        <v>105</v>
      </c>
      <c r="AN784" s="11"/>
      <c r="AO784" s="9">
        <f>AO143</f>
        <v>109</v>
      </c>
      <c r="AP784" s="11"/>
      <c r="AQ784" s="9">
        <f>AQ143</f>
        <v>100</v>
      </c>
      <c r="AR784" s="11"/>
      <c r="AS784" s="9">
        <f>AS143</f>
        <v>102</v>
      </c>
      <c r="AT784" s="11"/>
      <c r="AU784" s="9">
        <f>AU143</f>
        <v>106</v>
      </c>
      <c r="AV784" s="11"/>
      <c r="AW784" s="9">
        <f>AW143</f>
        <v>118</v>
      </c>
      <c r="AX784" s="11"/>
      <c r="AY784" s="9">
        <f>AY143</f>
        <v>93</v>
      </c>
      <c r="AZ784" s="11"/>
      <c r="BA784" s="9">
        <f>BA143</f>
        <v>105</v>
      </c>
      <c r="BB784" s="11"/>
      <c r="BC784" s="9">
        <f>BC143</f>
        <v>99</v>
      </c>
      <c r="BD784" s="11"/>
      <c r="BE784" s="9">
        <f>BE143</f>
        <v>145</v>
      </c>
      <c r="BF784" s="11"/>
      <c r="BG784" s="9">
        <f>BG143</f>
        <v>146</v>
      </c>
      <c r="BH784" s="11"/>
      <c r="BI784" s="9">
        <f>BI143</f>
        <v>121</v>
      </c>
      <c r="BJ784" s="11"/>
      <c r="BK784" s="9">
        <f>BK143</f>
        <v>114</v>
      </c>
      <c r="BL784" s="11"/>
      <c r="BM784" s="9">
        <f>BM143</f>
        <v>89</v>
      </c>
      <c r="BN784" s="11"/>
      <c r="BO784" s="9">
        <f>BO143</f>
        <v>79</v>
      </c>
      <c r="BP784" s="11"/>
      <c r="BQ784" s="9">
        <f>BQ143</f>
        <v>84</v>
      </c>
      <c r="BR784" s="11"/>
      <c r="BS784" s="9">
        <f>BS143</f>
        <v>82</v>
      </c>
      <c r="BT784" s="11"/>
      <c r="BU784" s="9">
        <f>BU143</f>
        <v>86</v>
      </c>
      <c r="BV784" s="11"/>
      <c r="BW784" s="9">
        <f>BW143</f>
        <v>84</v>
      </c>
      <c r="BX784" s="11"/>
      <c r="BY784" s="9">
        <f>BY143</f>
        <v>98</v>
      </c>
      <c r="BZ784" s="11"/>
      <c r="CA784" s="9">
        <f>CA143</f>
        <v>86</v>
      </c>
      <c r="CB784" s="11"/>
      <c r="CC784" s="9">
        <f>CC143</f>
        <v>91</v>
      </c>
      <c r="CD784" s="11"/>
      <c r="CE784" s="9">
        <f>CE143</f>
        <v>68</v>
      </c>
      <c r="CF784" s="11"/>
      <c r="CG784" s="9">
        <f>CG143</f>
        <v>61</v>
      </c>
      <c r="CH784" s="11"/>
      <c r="CI784" s="9">
        <f>CI143</f>
        <v>64</v>
      </c>
      <c r="CJ784" s="11"/>
      <c r="CK784" s="9">
        <f>CK143</f>
        <v>67</v>
      </c>
      <c r="CL784" s="11"/>
      <c r="CM784" s="9">
        <f>CM143</f>
        <v>65</v>
      </c>
      <c r="CN784" s="11"/>
      <c r="CO784" s="9">
        <f>CO143</f>
        <v>68</v>
      </c>
      <c r="CP784" s="11"/>
      <c r="CQ784" s="9">
        <f>CQ143</f>
        <v>70</v>
      </c>
      <c r="CR784" s="11"/>
      <c r="CS784" s="9">
        <f>CS143</f>
        <v>75</v>
      </c>
      <c r="CT784" s="11"/>
      <c r="CU784" s="9">
        <f>CU143</f>
        <v>79</v>
      </c>
      <c r="CV784" s="11"/>
      <c r="CW784" s="9">
        <f>CW143</f>
        <v>91</v>
      </c>
      <c r="CX784" s="11"/>
      <c r="CY784" s="9">
        <f>CY143</f>
        <v>98</v>
      </c>
      <c r="CZ784" s="11"/>
      <c r="DA784" s="9">
        <f>DA143</f>
        <v>144</v>
      </c>
      <c r="DB784" s="11"/>
      <c r="DC784" s="9">
        <f>DC143</f>
        <v>216</v>
      </c>
      <c r="DD784" s="11"/>
      <c r="DE784" s="9">
        <f>DE143</f>
        <v>184</v>
      </c>
      <c r="DF784" s="11"/>
      <c r="DG784" s="9">
        <f>DG143</f>
        <v>165</v>
      </c>
      <c r="DH784" s="11"/>
      <c r="DI784" s="9">
        <f>DI143</f>
        <v>166</v>
      </c>
      <c r="DJ784" s="11"/>
      <c r="DK784" s="9">
        <f>DK143</f>
        <v>122</v>
      </c>
      <c r="DL784" s="11"/>
      <c r="DM784" s="9">
        <f>DM143</f>
        <v>103</v>
      </c>
      <c r="DN784" s="11"/>
      <c r="DO784" s="9">
        <f>DO143</f>
        <v>97</v>
      </c>
      <c r="DP784" s="11"/>
      <c r="DQ784" s="9">
        <f>DQ143</f>
        <v>130</v>
      </c>
      <c r="DR784" s="11"/>
      <c r="DS784" s="9">
        <f>DS143</f>
        <v>124</v>
      </c>
      <c r="DT784" s="11"/>
      <c r="DU784" s="9">
        <f>DU143</f>
        <v>130</v>
      </c>
      <c r="DV784" s="11"/>
      <c r="DW784" s="9">
        <f>DW143</f>
        <v>158</v>
      </c>
      <c r="DX784" s="11"/>
      <c r="DY784" s="9">
        <f>DY143</f>
        <v>179</v>
      </c>
      <c r="DZ784" s="11"/>
      <c r="EA784" s="9">
        <f>EA143</f>
        <v>145</v>
      </c>
      <c r="EB784" s="11"/>
      <c r="EC784" s="9">
        <f>EC143</f>
        <v>159</v>
      </c>
      <c r="ED784" s="11"/>
      <c r="EE784" s="9">
        <f>EE143</f>
        <v>143</v>
      </c>
      <c r="EF784" s="11"/>
      <c r="EG784" s="9">
        <f>EG143</f>
        <v>184</v>
      </c>
      <c r="EH784" s="11"/>
      <c r="EI784" s="9">
        <f>EI143</f>
        <v>146</v>
      </c>
      <c r="EJ784" s="11"/>
      <c r="EK784" s="9">
        <f>EK143</f>
        <v>153</v>
      </c>
      <c r="EL784" s="11"/>
      <c r="EM784" s="9">
        <f>EM143</f>
        <v>142</v>
      </c>
      <c r="EN784" s="11"/>
      <c r="EO784" s="9">
        <f>EO143</f>
        <v>183</v>
      </c>
      <c r="EP784" s="11"/>
      <c r="EQ784" s="9">
        <f>EQ143</f>
        <v>0</v>
      </c>
      <c r="ER784" s="11"/>
      <c r="ES784" s="9">
        <f>ES143</f>
        <v>0</v>
      </c>
      <c r="ET784" s="11"/>
      <c r="EU784" s="9">
        <f>EU143</f>
        <v>0</v>
      </c>
      <c r="EV784" s="11"/>
      <c r="EW784" s="9">
        <f>EW143</f>
        <v>0</v>
      </c>
      <c r="EX784" s="11"/>
      <c r="EY784" s="11"/>
      <c r="EZ784" s="335"/>
      <c r="FA784" s="11"/>
      <c r="FB784" s="144"/>
      <c r="FC784" s="11"/>
      <c r="FD784" s="9"/>
      <c r="FE784" s="11"/>
      <c r="FF784" s="9"/>
      <c r="FG784" s="11"/>
      <c r="FH784" s="9"/>
      <c r="FI784" s="11"/>
      <c r="FJ784" s="9"/>
      <c r="FK784" s="11"/>
      <c r="FL784" s="9">
        <f>FL143</f>
        <v>0</v>
      </c>
      <c r="FM784" s="11"/>
      <c r="FN784" s="9">
        <f>FN143</f>
        <v>0</v>
      </c>
      <c r="FO784" s="11"/>
      <c r="FP784" s="9">
        <f>FP143</f>
        <v>0</v>
      </c>
      <c r="FQ784" s="11"/>
      <c r="FR784" s="9">
        <f>FR143</f>
        <v>442</v>
      </c>
      <c r="FS784" s="11"/>
      <c r="FT784" s="9">
        <f>FT143</f>
        <v>470</v>
      </c>
      <c r="FU784" s="11"/>
      <c r="FV784" s="9">
        <f>FV143</f>
        <v>331</v>
      </c>
      <c r="FW784" s="11"/>
      <c r="FX784" s="9">
        <f>FX143</f>
        <v>359</v>
      </c>
      <c r="FY784" s="11"/>
      <c r="FZ784" s="9">
        <f>FZ143</f>
        <v>260</v>
      </c>
      <c r="GA784" s="11"/>
      <c r="GB784" s="9">
        <f>GB143</f>
        <v>278</v>
      </c>
      <c r="GC784" s="11"/>
      <c r="GD784" s="9">
        <f>GD143</f>
        <v>0</v>
      </c>
      <c r="GE784" s="11"/>
      <c r="GF784" s="9">
        <f>GF143</f>
        <v>0</v>
      </c>
      <c r="GG784" s="11"/>
      <c r="GH784" s="9">
        <f>GH143</f>
        <v>0</v>
      </c>
      <c r="GI784" s="11"/>
      <c r="GJ784" s="9">
        <f>GJ143</f>
        <v>0</v>
      </c>
      <c r="GK784" s="11"/>
      <c r="GL784" s="9">
        <f>GL143</f>
        <v>0</v>
      </c>
      <c r="GM784" s="11"/>
      <c r="GN784" s="9">
        <f>GN143</f>
        <v>0</v>
      </c>
      <c r="GO784" s="11"/>
      <c r="GP784" s="9">
        <f>GP143</f>
        <v>0</v>
      </c>
      <c r="GQ784" s="11"/>
      <c r="GR784" s="9">
        <f>GR143</f>
        <v>0</v>
      </c>
      <c r="GS784" s="11"/>
      <c r="GT784" s="9">
        <f>GT143</f>
        <v>0</v>
      </c>
      <c r="GU784" s="11"/>
      <c r="GV784" s="9">
        <f>GV143</f>
        <v>0</v>
      </c>
      <c r="GW784" s="11"/>
      <c r="GX784" s="9">
        <f>GX143</f>
        <v>0</v>
      </c>
      <c r="GY784" s="11"/>
      <c r="GZ784" s="11"/>
      <c r="HA784" s="11"/>
      <c r="HB784" s="11"/>
      <c r="HC784"/>
      <c r="HD784"/>
      <c r="HE784"/>
      <c r="HF784"/>
      <c r="HG784"/>
      <c r="HH784"/>
      <c r="HI784" s="2"/>
    </row>
    <row r="785" spans="1:217" s="3" customFormat="1" ht="12.75" hidden="1" customHeight="1" outlineLevel="1" x14ac:dyDescent="0.2">
      <c r="A785" s="3" t="s">
        <v>395</v>
      </c>
      <c r="B785" s="76" t="s">
        <v>120</v>
      </c>
      <c r="C785" s="9"/>
      <c r="D785" s="11"/>
      <c r="E785" s="9"/>
      <c r="F785" s="11"/>
      <c r="G785" s="9"/>
      <c r="H785" s="11"/>
      <c r="I785" s="9"/>
      <c r="J785" s="11"/>
      <c r="K785" s="144">
        <f>K59</f>
        <v>-39</v>
      </c>
      <c r="L785" s="144"/>
      <c r="M785" s="144">
        <f>M59</f>
        <v>-28</v>
      </c>
      <c r="N785" s="144"/>
      <c r="O785" s="144">
        <f>O59</f>
        <v>-16</v>
      </c>
      <c r="P785" s="144"/>
      <c r="Q785" s="144">
        <f>Q59</f>
        <v>-13</v>
      </c>
      <c r="R785" s="144"/>
      <c r="S785" s="144">
        <f>S59</f>
        <v>-5</v>
      </c>
      <c r="T785" s="144"/>
      <c r="U785" s="144">
        <f>U59</f>
        <v>145</v>
      </c>
      <c r="V785" s="144"/>
      <c r="W785" s="144">
        <f>W59</f>
        <v>193</v>
      </c>
      <c r="X785" s="144"/>
      <c r="Y785" s="144">
        <f>Y59</f>
        <v>129</v>
      </c>
      <c r="Z785" s="144"/>
      <c r="AA785" s="144">
        <f>AA59</f>
        <v>76</v>
      </c>
      <c r="AB785" s="11"/>
      <c r="AC785" s="144">
        <f>AC59</f>
        <v>25</v>
      </c>
      <c r="AD785" s="11"/>
      <c r="AE785" s="144">
        <f>AE59</f>
        <v>14</v>
      </c>
      <c r="AF785" s="11"/>
      <c r="AG785" s="144">
        <f>AG59</f>
        <v>-9</v>
      </c>
      <c r="AH785" s="11"/>
      <c r="AI785" s="144">
        <f>AI59</f>
        <v>41</v>
      </c>
      <c r="AJ785" s="11"/>
      <c r="AK785" s="144">
        <f>AK59</f>
        <v>145</v>
      </c>
      <c r="AL785" s="11"/>
      <c r="AM785" s="144">
        <f>AM59</f>
        <v>131</v>
      </c>
      <c r="AN785" s="11"/>
      <c r="AO785" s="144">
        <f>AO59</f>
        <v>24</v>
      </c>
      <c r="AP785" s="11"/>
      <c r="AQ785" s="144">
        <f>AQ59</f>
        <v>-4</v>
      </c>
      <c r="AR785" s="11"/>
      <c r="AS785" s="144">
        <f>AS59</f>
        <v>190</v>
      </c>
      <c r="AT785" s="11"/>
      <c r="AU785" s="144">
        <f>AU59</f>
        <v>-17</v>
      </c>
      <c r="AV785" s="11"/>
      <c r="AW785" s="144">
        <f>AW59</f>
        <v>-39</v>
      </c>
      <c r="AX785" s="11"/>
      <c r="AY785" s="144">
        <f>AY59</f>
        <v>-41</v>
      </c>
      <c r="AZ785" s="11"/>
      <c r="BA785" s="144">
        <f>BA59</f>
        <v>-60</v>
      </c>
      <c r="BB785" s="11"/>
      <c r="BC785" s="144">
        <f>BC59</f>
        <v>-42</v>
      </c>
      <c r="BD785" s="11"/>
      <c r="BE785" s="144">
        <f>BE59</f>
        <v>-51</v>
      </c>
      <c r="BF785" s="11"/>
      <c r="BG785" s="144">
        <f>BG59</f>
        <v>-60</v>
      </c>
      <c r="BH785" s="11"/>
      <c r="BI785" s="144">
        <f>BI59</f>
        <v>-54</v>
      </c>
      <c r="BJ785" s="11"/>
      <c r="BK785" s="144">
        <f>BK59</f>
        <v>-53</v>
      </c>
      <c r="BL785" s="11"/>
      <c r="BM785" s="144">
        <f>BM59</f>
        <v>-46</v>
      </c>
      <c r="BN785" s="11"/>
      <c r="BO785" s="144">
        <f>BO59</f>
        <v>-36</v>
      </c>
      <c r="BP785" s="11"/>
      <c r="BQ785" s="144">
        <f>BQ59</f>
        <v>-37</v>
      </c>
      <c r="BR785" s="11"/>
      <c r="BS785" s="144">
        <f>BS59</f>
        <v>-38</v>
      </c>
      <c r="BT785" s="11"/>
      <c r="BU785" s="144">
        <f>BU59</f>
        <v>-44</v>
      </c>
      <c r="BV785" s="11"/>
      <c r="BW785" s="144">
        <f>BW59</f>
        <v>-22</v>
      </c>
      <c r="BX785" s="11"/>
      <c r="BY785" s="144">
        <f>BY59</f>
        <v>-34</v>
      </c>
      <c r="BZ785" s="11"/>
      <c r="CA785" s="144">
        <f>CA59</f>
        <v>-3</v>
      </c>
      <c r="CB785" s="11"/>
      <c r="CC785" s="144">
        <f>CC59</f>
        <v>-20</v>
      </c>
      <c r="CD785" s="11"/>
      <c r="CE785" s="144">
        <f>CE59</f>
        <v>-18</v>
      </c>
      <c r="CF785" s="11"/>
      <c r="CG785" s="144">
        <f>CG59</f>
        <v>-46</v>
      </c>
      <c r="CH785" s="11"/>
      <c r="CI785" s="144">
        <f>CI59</f>
        <v>-15</v>
      </c>
      <c r="CJ785" s="11"/>
      <c r="CK785" s="144">
        <f>CK59</f>
        <v>-33</v>
      </c>
      <c r="CL785" s="11"/>
      <c r="CM785" s="144">
        <f>CM59</f>
        <v>-30</v>
      </c>
      <c r="CN785" s="11"/>
      <c r="CO785" s="144">
        <f>CO59</f>
        <v>-25</v>
      </c>
      <c r="CP785" s="11"/>
      <c r="CQ785" s="144">
        <f>CQ59</f>
        <v>-31</v>
      </c>
      <c r="CR785" s="11"/>
      <c r="CS785" s="144">
        <f>CS59</f>
        <v>-28</v>
      </c>
      <c r="CT785" s="11"/>
      <c r="CU785" s="144">
        <f>CU59</f>
        <v>-27</v>
      </c>
      <c r="CV785" s="11"/>
      <c r="CW785" s="144">
        <f>CW59</f>
        <v>-20</v>
      </c>
      <c r="CX785" s="11"/>
      <c r="CY785" s="144">
        <f>CY59</f>
        <v>-21</v>
      </c>
      <c r="CZ785" s="11"/>
      <c r="DA785" s="144">
        <f>DA59</f>
        <v>-37</v>
      </c>
      <c r="DB785" s="11"/>
      <c r="DC785" s="144">
        <f>DC59</f>
        <v>-25</v>
      </c>
      <c r="DD785" s="11"/>
      <c r="DE785" s="144">
        <f>DE59</f>
        <v>-24</v>
      </c>
      <c r="DF785" s="11"/>
      <c r="DG785" s="144">
        <f>DG59</f>
        <v>-24</v>
      </c>
      <c r="DH785" s="11"/>
      <c r="DI785" s="144">
        <f>DI59</f>
        <v>-21</v>
      </c>
      <c r="DJ785" s="11"/>
      <c r="DK785" s="144">
        <f>DK59</f>
        <v>-18</v>
      </c>
      <c r="DL785" s="11"/>
      <c r="DM785" s="144">
        <f>DM59</f>
        <v>-21</v>
      </c>
      <c r="DN785" s="11"/>
      <c r="DO785" s="144">
        <f>DO59</f>
        <v>-17</v>
      </c>
      <c r="DP785" s="11"/>
      <c r="DQ785" s="144">
        <f>DQ59</f>
        <v>-31</v>
      </c>
      <c r="DR785" s="11"/>
      <c r="DS785" s="144">
        <f>DS59</f>
        <v>-17</v>
      </c>
      <c r="DT785" s="11"/>
      <c r="DU785" s="144">
        <f>DU59</f>
        <v>-18</v>
      </c>
      <c r="DV785" s="11"/>
      <c r="DW785" s="144">
        <f>DW59</f>
        <v>-22</v>
      </c>
      <c r="DX785" s="11"/>
      <c r="DY785" s="144">
        <f>DY59</f>
        <v>-19</v>
      </c>
      <c r="DZ785" s="11"/>
      <c r="EA785" s="144">
        <f>EA59</f>
        <v>-15</v>
      </c>
      <c r="EB785" s="11"/>
      <c r="EC785" s="144">
        <f>EC59</f>
        <v>-12</v>
      </c>
      <c r="ED785" s="11"/>
      <c r="EE785" s="144">
        <f>EE59</f>
        <v>-9</v>
      </c>
      <c r="EF785" s="11"/>
      <c r="EG785" s="144">
        <f>EG59</f>
        <v>-9</v>
      </c>
      <c r="EH785" s="11"/>
      <c r="EI785" s="144">
        <f>EI59</f>
        <v>-15</v>
      </c>
      <c r="EJ785" s="11"/>
      <c r="EK785" s="144">
        <f>EK59</f>
        <v>-11</v>
      </c>
      <c r="EL785" s="11"/>
      <c r="EM785" s="144">
        <f>EM59</f>
        <v>-10</v>
      </c>
      <c r="EN785" s="11"/>
      <c r="EO785" s="144">
        <f>EO59</f>
        <v>-26</v>
      </c>
      <c r="EP785" s="11"/>
      <c r="EQ785" s="144">
        <f>EQ59</f>
        <v>-20.822502147151443</v>
      </c>
      <c r="ER785" s="11"/>
      <c r="ES785" s="144">
        <f>ES59</f>
        <v>-20.190649140086233</v>
      </c>
      <c r="ET785" s="11"/>
      <c r="EU785" s="144">
        <f>EU59</f>
        <v>-19.539177273924722</v>
      </c>
      <c r="EV785" s="11"/>
      <c r="EW785" s="144">
        <f>EW59</f>
        <v>-18.867019907234734</v>
      </c>
      <c r="EX785" s="11"/>
      <c r="EY785" s="11"/>
      <c r="EZ785" s="335"/>
      <c r="FA785" s="11"/>
      <c r="FB785" s="144"/>
      <c r="FC785" s="11"/>
      <c r="FD785" s="144"/>
      <c r="FE785" s="11"/>
      <c r="FF785" s="144"/>
      <c r="FG785" s="11"/>
      <c r="FH785" s="144"/>
      <c r="FI785" s="11"/>
      <c r="FJ785" s="144"/>
      <c r="FK785" s="11"/>
      <c r="FL785" s="144">
        <f>FL59</f>
        <v>106</v>
      </c>
      <c r="FM785" s="11"/>
      <c r="FN785" s="144">
        <f>FN59</f>
        <v>341</v>
      </c>
      <c r="FO785" s="11"/>
      <c r="FP785" s="144">
        <f>FP59</f>
        <v>130</v>
      </c>
      <c r="FQ785" s="11"/>
      <c r="FR785" s="144">
        <f>FR59</f>
        <v>-194</v>
      </c>
      <c r="FS785" s="11"/>
      <c r="FT785" s="144">
        <f>FT59</f>
        <v>-213</v>
      </c>
      <c r="FU785" s="11"/>
      <c r="FV785" s="144">
        <f>FV59</f>
        <v>-155</v>
      </c>
      <c r="FW785" s="11"/>
      <c r="FX785" s="144">
        <f>FX59</f>
        <v>-79</v>
      </c>
      <c r="FY785" s="11"/>
      <c r="FZ785" s="144">
        <f>FZ59</f>
        <v>-112</v>
      </c>
      <c r="GA785" s="11"/>
      <c r="GB785" s="144">
        <f>GB59</f>
        <v>-114</v>
      </c>
      <c r="GC785" s="11"/>
      <c r="GD785" s="144">
        <f>GD59</f>
        <v>-105</v>
      </c>
      <c r="GE785" s="11"/>
      <c r="GF785" s="144">
        <f>GF59</f>
        <v>-94</v>
      </c>
      <c r="GG785" s="11"/>
      <c r="GH785" s="144">
        <f>GH59</f>
        <v>-87</v>
      </c>
      <c r="GI785" s="11"/>
      <c r="GJ785" s="144">
        <f>GJ59</f>
        <v>-76</v>
      </c>
      <c r="GK785" s="11"/>
      <c r="GL785" s="144">
        <f>GL59</f>
        <v>-45</v>
      </c>
      <c r="GM785" s="11"/>
      <c r="GN785" s="144">
        <f>GN59</f>
        <v>-62</v>
      </c>
      <c r="GO785" s="11"/>
      <c r="GP785" s="144">
        <f>GP59</f>
        <v>-79.419348468397146</v>
      </c>
      <c r="GQ785" s="11"/>
      <c r="GR785" s="144">
        <f>GR59</f>
        <v>-73.144036663835323</v>
      </c>
      <c r="GS785" s="11"/>
      <c r="GT785" s="144">
        <f>GT59</f>
        <v>-66.645674690934413</v>
      </c>
      <c r="GU785" s="11"/>
      <c r="GV785" s="144">
        <f>GV59</f>
        <v>-59.890450038253789</v>
      </c>
      <c r="GW785" s="11"/>
      <c r="GX785" s="144">
        <f>GX59</f>
        <v>-52.841496331709507</v>
      </c>
      <c r="GY785" s="11"/>
      <c r="GZ785" s="11"/>
      <c r="HA785" s="11"/>
      <c r="HB785" s="11"/>
      <c r="HC785"/>
      <c r="HD785"/>
      <c r="HE785"/>
      <c r="HF785"/>
      <c r="HG785"/>
      <c r="HH785"/>
      <c r="HI785" s="2"/>
    </row>
    <row r="786" spans="1:217" s="3" customFormat="1" ht="12.75" hidden="1" customHeight="1" outlineLevel="1" x14ac:dyDescent="0.2">
      <c r="A786" s="3" t="s">
        <v>396</v>
      </c>
      <c r="B786" s="76" t="s">
        <v>121</v>
      </c>
      <c r="C786" s="9"/>
      <c r="D786" s="11"/>
      <c r="E786" s="9"/>
      <c r="F786" s="11"/>
      <c r="G786" s="9"/>
      <c r="H786" s="11"/>
      <c r="I786" s="9"/>
      <c r="J786" s="11"/>
      <c r="K786" s="144">
        <f>K41</f>
        <v>-326</v>
      </c>
      <c r="L786" s="144"/>
      <c r="M786" s="144">
        <f>M41</f>
        <v>-263</v>
      </c>
      <c r="N786" s="144"/>
      <c r="O786" s="144">
        <f>O41</f>
        <v>-278</v>
      </c>
      <c r="P786" s="144"/>
      <c r="Q786" s="144">
        <f>Q41</f>
        <v>-218</v>
      </c>
      <c r="R786" s="144"/>
      <c r="S786" s="144">
        <f>S41</f>
        <v>-160</v>
      </c>
      <c r="T786" s="144"/>
      <c r="U786" s="144">
        <f>U41</f>
        <v>-157</v>
      </c>
      <c r="V786" s="144"/>
      <c r="W786" s="144">
        <f>W41</f>
        <v>-148</v>
      </c>
      <c r="X786" s="144"/>
      <c r="Y786" s="144">
        <f>Y41</f>
        <v>-171</v>
      </c>
      <c r="Z786" s="144"/>
      <c r="AA786" s="144">
        <f>AA41</f>
        <v>-87</v>
      </c>
      <c r="AB786" s="11"/>
      <c r="AC786" s="144">
        <f>AC41</f>
        <v>146</v>
      </c>
      <c r="AD786" s="11"/>
      <c r="AE786" s="144">
        <f>AE41</f>
        <v>310</v>
      </c>
      <c r="AF786" s="11"/>
      <c r="AG786" s="144">
        <f>AG41</f>
        <v>333</v>
      </c>
      <c r="AH786" s="11"/>
      <c r="AI786" s="144">
        <f>AI41</f>
        <v>371</v>
      </c>
      <c r="AJ786" s="11"/>
      <c r="AK786" s="144">
        <f>AK41</f>
        <v>273</v>
      </c>
      <c r="AL786" s="11"/>
      <c r="AM786" s="144">
        <f>AM41</f>
        <v>-7</v>
      </c>
      <c r="AN786" s="11"/>
      <c r="AO786" s="144">
        <f>AO41</f>
        <v>-55</v>
      </c>
      <c r="AP786" s="11"/>
      <c r="AQ786" s="144">
        <f>AQ41</f>
        <v>45</v>
      </c>
      <c r="AR786" s="11"/>
      <c r="AS786" s="144">
        <f>AS41</f>
        <v>309</v>
      </c>
      <c r="AT786" s="11"/>
      <c r="AU786" s="144">
        <f>AU41</f>
        <v>533</v>
      </c>
      <c r="AV786" s="11"/>
      <c r="AW786" s="144">
        <f>AW41</f>
        <v>528</v>
      </c>
      <c r="AX786" s="11"/>
      <c r="AY786" s="144">
        <f>AY41</f>
        <v>544</v>
      </c>
      <c r="AZ786" s="11"/>
      <c r="BA786" s="144">
        <f>BA41</f>
        <v>743</v>
      </c>
      <c r="BB786" s="11"/>
      <c r="BC786" s="144">
        <f>BC41</f>
        <v>239</v>
      </c>
      <c r="BD786" s="11"/>
      <c r="BE786" s="144">
        <f>BE41</f>
        <v>345</v>
      </c>
      <c r="BF786" s="11"/>
      <c r="BG786" s="144">
        <f>BG41</f>
        <v>469</v>
      </c>
      <c r="BH786" s="11"/>
      <c r="BI786" s="144">
        <f>BI41</f>
        <v>518</v>
      </c>
      <c r="BJ786" s="11"/>
      <c r="BK786" s="144">
        <f>BK41</f>
        <v>497</v>
      </c>
      <c r="BL786" s="11"/>
      <c r="BM786" s="144">
        <f>BM41</f>
        <v>626</v>
      </c>
      <c r="BN786" s="11"/>
      <c r="BO786" s="144">
        <f>BO41</f>
        <v>656</v>
      </c>
      <c r="BP786" s="11"/>
      <c r="BQ786" s="144">
        <f>BQ41</f>
        <v>555</v>
      </c>
      <c r="BR786" s="11"/>
      <c r="BS786" s="144">
        <f>BS41</f>
        <v>519</v>
      </c>
      <c r="BT786" s="11"/>
      <c r="BU786" s="144">
        <f>BU41</f>
        <v>478</v>
      </c>
      <c r="BV786" s="11"/>
      <c r="BW786" s="144">
        <f>BW41</f>
        <v>665</v>
      </c>
      <c r="BX786" s="11"/>
      <c r="BY786" s="144">
        <f>BY41</f>
        <v>2063</v>
      </c>
      <c r="BZ786" s="11"/>
      <c r="CA786" s="144">
        <f>CA41</f>
        <v>4385</v>
      </c>
      <c r="CB786" s="11"/>
      <c r="CC786" s="144">
        <f>CC41</f>
        <v>3228</v>
      </c>
      <c r="CD786" s="11"/>
      <c r="CE786" s="144">
        <f>CE41</f>
        <v>3197</v>
      </c>
      <c r="CF786" s="11"/>
      <c r="CG786" s="144">
        <f>CG41</f>
        <v>3594</v>
      </c>
      <c r="CH786" s="11"/>
      <c r="CI786" s="144">
        <f>CI41</f>
        <v>3708</v>
      </c>
      <c r="CJ786" s="11"/>
      <c r="CK786" s="144">
        <f>CK41</f>
        <v>4229</v>
      </c>
      <c r="CL786" s="11"/>
      <c r="CM786" s="144">
        <f>CM41</f>
        <v>4848</v>
      </c>
      <c r="CN786" s="11"/>
      <c r="CO786" s="144">
        <f>CO41</f>
        <v>2598</v>
      </c>
      <c r="CP786" s="11"/>
      <c r="CQ786" s="144">
        <f>CQ41</f>
        <v>2849</v>
      </c>
      <c r="CR786" s="11"/>
      <c r="CS786" s="144">
        <f>CS41</f>
        <v>2880</v>
      </c>
      <c r="CT786" s="11"/>
      <c r="CU786" s="144">
        <f>CU41</f>
        <v>3267</v>
      </c>
      <c r="CV786" s="11"/>
      <c r="CW786" s="144">
        <f>CW41</f>
        <v>3718</v>
      </c>
      <c r="CX786" s="11"/>
      <c r="CY786" s="144">
        <f>CY41</f>
        <v>4333</v>
      </c>
      <c r="CZ786" s="11"/>
      <c r="DA786" s="144">
        <f>DA41</f>
        <v>2013</v>
      </c>
      <c r="DB786" s="11"/>
      <c r="DC786" s="144">
        <f>DC41</f>
        <v>2432</v>
      </c>
      <c r="DD786" s="11"/>
      <c r="DE786" s="144">
        <f>DE41</f>
        <v>541</v>
      </c>
      <c r="DF786" s="11"/>
      <c r="DG786" s="144">
        <f>DG41</f>
        <v>564</v>
      </c>
      <c r="DH786" s="11"/>
      <c r="DI786" s="144">
        <f>DI41</f>
        <v>343</v>
      </c>
      <c r="DJ786" s="11"/>
      <c r="DK786" s="144">
        <f>DK41</f>
        <v>146</v>
      </c>
      <c r="DL786" s="11"/>
      <c r="DM786" s="144">
        <f>DM41</f>
        <v>464</v>
      </c>
      <c r="DN786" s="11"/>
      <c r="DO786" s="144">
        <f>DO41</f>
        <v>409</v>
      </c>
      <c r="DP786" s="11"/>
      <c r="DQ786" s="144">
        <f>DQ41</f>
        <v>224</v>
      </c>
      <c r="DR786" s="11"/>
      <c r="DS786" s="144">
        <f>DS41</f>
        <v>48</v>
      </c>
      <c r="DT786" s="11"/>
      <c r="DU786" s="144">
        <f>DU41</f>
        <v>156</v>
      </c>
      <c r="DV786" s="11"/>
      <c r="DW786" s="144">
        <f>DW41</f>
        <v>150</v>
      </c>
      <c r="DX786" s="11"/>
      <c r="DY786" s="144">
        <f>DY41</f>
        <v>87</v>
      </c>
      <c r="DZ786" s="11"/>
      <c r="EA786" s="144">
        <f>EA41</f>
        <v>253</v>
      </c>
      <c r="EB786" s="11"/>
      <c r="EC786" s="144">
        <f>EC41</f>
        <v>353</v>
      </c>
      <c r="ED786" s="11"/>
      <c r="EE786" s="144">
        <f>EE41</f>
        <v>96</v>
      </c>
      <c r="EF786" s="11"/>
      <c r="EG786" s="144">
        <f>EG41</f>
        <v>-484</v>
      </c>
      <c r="EH786" s="11"/>
      <c r="EI786" s="144">
        <f>EI41</f>
        <v>-898</v>
      </c>
      <c r="EJ786" s="11"/>
      <c r="EK786" s="144">
        <f>EK41</f>
        <v>-889</v>
      </c>
      <c r="EL786" s="11"/>
      <c r="EM786" s="144">
        <f>EM41</f>
        <v>-970</v>
      </c>
      <c r="EN786" s="11"/>
      <c r="EO786" s="144">
        <f>EO41</f>
        <v>-1108</v>
      </c>
      <c r="EP786" s="11"/>
      <c r="EQ786" s="144">
        <f>EQ41</f>
        <v>-1126.8677489559366</v>
      </c>
      <c r="ER786" s="11"/>
      <c r="ES786" s="144">
        <f>ES41</f>
        <v>-1028.8471538298159</v>
      </c>
      <c r="ET786" s="11"/>
      <c r="EU786" s="144">
        <f>EU41</f>
        <v>-993.53605031029633</v>
      </c>
      <c r="EV786" s="11"/>
      <c r="EW786" s="144">
        <f>EW41</f>
        <v>-958.13636336185687</v>
      </c>
      <c r="EX786" s="11"/>
      <c r="EY786" s="11"/>
      <c r="EZ786" s="335"/>
      <c r="FA786" s="11"/>
      <c r="FB786" s="144"/>
      <c r="FC786" s="11"/>
      <c r="FD786" s="144"/>
      <c r="FE786" s="11"/>
      <c r="FF786" s="144"/>
      <c r="FG786" s="11"/>
      <c r="FH786" s="144"/>
      <c r="FI786" s="11"/>
      <c r="FJ786" s="144"/>
      <c r="FK786" s="11"/>
      <c r="FL786" s="144">
        <f>FL41</f>
        <v>702</v>
      </c>
      <c r="FM786" s="11"/>
      <c r="FN786" s="144">
        <f>FN41</f>
        <v>582</v>
      </c>
      <c r="FO786" s="11"/>
      <c r="FP786" s="144">
        <f>FP41</f>
        <v>1415</v>
      </c>
      <c r="FQ786" s="11"/>
      <c r="FR786" s="144">
        <f>FR41</f>
        <v>1871</v>
      </c>
      <c r="FS786" s="11"/>
      <c r="FT786" s="144">
        <f>FT41</f>
        <v>2110</v>
      </c>
      <c r="FU786" s="11"/>
      <c r="FV786" s="144">
        <f>FV41</f>
        <v>2208</v>
      </c>
      <c r="FW786" s="11"/>
      <c r="FX786" s="144">
        <f>FX41</f>
        <v>10341</v>
      </c>
      <c r="FY786" s="11"/>
      <c r="FZ786" s="144">
        <f>FZ41</f>
        <v>14728</v>
      </c>
      <c r="GA786" s="11"/>
      <c r="GB786" s="144">
        <f>GB41</f>
        <v>13175</v>
      </c>
      <c r="GC786" s="11"/>
      <c r="GD786" s="144">
        <f>GD41</f>
        <v>13331</v>
      </c>
      <c r="GE786" s="11"/>
      <c r="GF786" s="144">
        <f>GF41</f>
        <v>3880</v>
      </c>
      <c r="GG786" s="11"/>
      <c r="GH786" s="144">
        <f>GH41</f>
        <v>1243</v>
      </c>
      <c r="GI786" s="11"/>
      <c r="GJ786" s="144">
        <f>GJ41</f>
        <v>441</v>
      </c>
      <c r="GK786" s="11"/>
      <c r="GL786" s="144">
        <f>GL41</f>
        <v>218</v>
      </c>
      <c r="GM786" s="11"/>
      <c r="GN786" s="144">
        <f>GN41</f>
        <v>-3865</v>
      </c>
      <c r="GO786" s="11"/>
      <c r="GP786" s="144">
        <f>GP41</f>
        <v>-4107.3873164579045</v>
      </c>
      <c r="GQ786" s="11"/>
      <c r="GR786" s="144">
        <f>GR41</f>
        <v>-3401.4004061030791</v>
      </c>
      <c r="GS786" s="11"/>
      <c r="GT786" s="144">
        <f>GT41</f>
        <v>-2923.8738533947053</v>
      </c>
      <c r="GU786" s="11"/>
      <c r="GV786" s="144">
        <f>GV41</f>
        <v>-2407.1977416660648</v>
      </c>
      <c r="GW786" s="11"/>
      <c r="GX786" s="144">
        <f>GX41</f>
        <v>-1849.7426646827989</v>
      </c>
      <c r="GY786" s="11"/>
      <c r="GZ786" s="11"/>
      <c r="HA786" s="11"/>
      <c r="HB786" s="11"/>
      <c r="HC786"/>
      <c r="HD786"/>
      <c r="HE786"/>
      <c r="HF786"/>
      <c r="HG786"/>
      <c r="HH786"/>
      <c r="HI786" s="2"/>
    </row>
    <row r="787" spans="1:217" s="3" customFormat="1" ht="12.75" hidden="1" customHeight="1" outlineLevel="1" x14ac:dyDescent="0.2">
      <c r="A787" s="3" t="s">
        <v>9</v>
      </c>
      <c r="B787" s="76" t="s">
        <v>8</v>
      </c>
      <c r="C787" s="9"/>
      <c r="D787" s="11"/>
      <c r="E787" s="9"/>
      <c r="F787" s="11"/>
      <c r="G787" s="9"/>
      <c r="H787" s="11"/>
      <c r="I787" s="9"/>
      <c r="J787" s="11"/>
      <c r="K787" s="144">
        <f>K242</f>
        <v>89.776357827476033</v>
      </c>
      <c r="L787" s="144"/>
      <c r="M787" s="144">
        <f>M242</f>
        <v>95.107033639143737</v>
      </c>
      <c r="N787" s="144"/>
      <c r="O787" s="144">
        <f>O242</f>
        <v>97.175141242937855</v>
      </c>
      <c r="P787" s="144"/>
      <c r="Q787" s="144">
        <f>Q242</f>
        <v>89.825581395348848</v>
      </c>
      <c r="R787" s="144"/>
      <c r="S787" s="144">
        <f>S242</f>
        <v>90.348525469168905</v>
      </c>
      <c r="T787" s="144"/>
      <c r="U787" s="144">
        <f>U242</f>
        <v>91.957104557640747</v>
      </c>
      <c r="V787" s="144"/>
      <c r="W787" s="144">
        <f>W242</f>
        <v>92.965517241379317</v>
      </c>
      <c r="X787" s="144"/>
      <c r="Y787" s="144">
        <f>Y242</f>
        <v>88.492063492063494</v>
      </c>
      <c r="Z787" s="144"/>
      <c r="AA787" s="144">
        <f>AA242</f>
        <v>92.26932668329178</v>
      </c>
      <c r="AB787" s="11"/>
      <c r="AC787" s="144">
        <f>AC242</f>
        <v>89.243027888446207</v>
      </c>
      <c r="AD787" s="11"/>
      <c r="AE787" s="144">
        <f>AE242</f>
        <v>91.71195652173914</v>
      </c>
      <c r="AF787" s="11"/>
      <c r="AG787" s="144">
        <f>AG242</f>
        <v>91.377091377091375</v>
      </c>
      <c r="AH787" s="11"/>
      <c r="AI787" s="144">
        <f>AI242</f>
        <v>92.242424242424235</v>
      </c>
      <c r="AJ787" s="11"/>
      <c r="AK787" s="144">
        <f>AK242</f>
        <v>88.833746898263016</v>
      </c>
      <c r="AL787" s="11"/>
      <c r="AM787" s="144">
        <f>AM242</f>
        <v>89.221556886227546</v>
      </c>
      <c r="AN787" s="11"/>
      <c r="AO787" s="144">
        <f>AO242</f>
        <v>85.714285714285708</v>
      </c>
      <c r="AP787" s="11"/>
      <c r="AQ787" s="144">
        <f>AQ242</f>
        <v>92.713004484304932</v>
      </c>
      <c r="AR787" s="11"/>
      <c r="AS787" s="144">
        <f>AS242</f>
        <v>90.687361419068736</v>
      </c>
      <c r="AT787" s="11"/>
      <c r="AU787" s="144">
        <f>AU242</f>
        <v>89.863325740318913</v>
      </c>
      <c r="AV787" s="11"/>
      <c r="AW787" s="144">
        <f>AW242</f>
        <v>87.739032620922387</v>
      </c>
      <c r="AX787" s="11"/>
      <c r="AY787" s="144">
        <f>AY242</f>
        <v>91.101694915254242</v>
      </c>
      <c r="AZ787" s="11"/>
      <c r="BA787" s="144">
        <f>BA242</f>
        <v>94.10526315789474</v>
      </c>
      <c r="BB787" s="11"/>
      <c r="BC787" s="144">
        <f>BC242</f>
        <v>87.742594484167512</v>
      </c>
      <c r="BD787" s="11"/>
      <c r="BE787" s="144">
        <f>BE242</f>
        <v>89.292929292929287</v>
      </c>
      <c r="BF787" s="11"/>
      <c r="BG787" s="144">
        <f>BG242</f>
        <v>91.487279843444227</v>
      </c>
      <c r="BH787" s="11"/>
      <c r="BI787" s="144">
        <f>BI242</f>
        <v>89.668615984405449</v>
      </c>
      <c r="BJ787" s="11"/>
      <c r="BK787" s="144">
        <f>BK242</f>
        <v>86.991062562065551</v>
      </c>
      <c r="BL787" s="11"/>
      <c r="BM787" s="144">
        <f>BM242</f>
        <v>90.101010101010104</v>
      </c>
      <c r="BN787" s="11"/>
      <c r="BO787" s="144">
        <f>BO242</f>
        <v>88.070829450139797</v>
      </c>
      <c r="BP787" s="11"/>
      <c r="BQ787" s="144">
        <f>BQ242</f>
        <v>88.792270531400959</v>
      </c>
      <c r="BR787" s="11"/>
      <c r="BS787" s="144">
        <f>BS242</f>
        <v>86.450381679389309</v>
      </c>
      <c r="BT787" s="11"/>
      <c r="BU787" s="144">
        <f>BU242</f>
        <v>89.915966386554629</v>
      </c>
      <c r="BV787" s="11"/>
      <c r="BW787" s="144">
        <f>BW242</f>
        <v>87.532693984306889</v>
      </c>
      <c r="BX787" s="11"/>
      <c r="BY787" s="144">
        <f>BY242</f>
        <v>86.785714285714292</v>
      </c>
      <c r="BZ787" s="11"/>
      <c r="CA787" s="144">
        <f>CA242</f>
        <v>90.807560137457045</v>
      </c>
      <c r="CB787" s="11"/>
      <c r="CC787" s="144">
        <f>CC242</f>
        <v>89.039855072463766</v>
      </c>
      <c r="CD787" s="11"/>
      <c r="CE787" s="144">
        <f>CE242</f>
        <v>90.37433155080214</v>
      </c>
      <c r="CF787" s="11"/>
      <c r="CG787" s="144">
        <f>CG242</f>
        <v>92.266666666666666</v>
      </c>
      <c r="CH787" s="11"/>
      <c r="CI787" s="144">
        <f>CI242</f>
        <v>91.358994501178316</v>
      </c>
      <c r="CJ787" s="11"/>
      <c r="CK787" s="144">
        <f>CK242</f>
        <v>89.527896995708161</v>
      </c>
      <c r="CL787" s="11"/>
      <c r="CM787" s="144">
        <f>CM242</f>
        <v>92.66615737203972</v>
      </c>
      <c r="CN787" s="11"/>
      <c r="CO787" s="144">
        <f>CO242</f>
        <v>92.003105590062106</v>
      </c>
      <c r="CP787" s="11"/>
      <c r="CQ787" s="144">
        <f>CQ242</f>
        <v>90.171606864274565</v>
      </c>
      <c r="CR787" s="11"/>
      <c r="CS787" s="144">
        <f>CS242</f>
        <v>89.206868356500408</v>
      </c>
      <c r="CT787" s="11"/>
      <c r="CU787" s="144">
        <f>CU242</f>
        <v>96.639344262295083</v>
      </c>
      <c r="CV787" s="11"/>
      <c r="CW787" s="144">
        <f>CW242</f>
        <v>90.253890253890262</v>
      </c>
      <c r="CX787" s="11"/>
      <c r="CY787" s="144">
        <f>CY242</f>
        <v>91.377921031426268</v>
      </c>
      <c r="CZ787" s="11"/>
      <c r="DA787" s="144">
        <f>DA242</f>
        <v>90.783034257748767</v>
      </c>
      <c r="DB787" s="11"/>
      <c r="DC787" s="144">
        <f>DC242</f>
        <v>92.58957654723126</v>
      </c>
      <c r="DD787" s="11"/>
      <c r="DE787" s="144">
        <f>DE242</f>
        <v>91.072891072891068</v>
      </c>
      <c r="DF787" s="11"/>
      <c r="DG787" s="144">
        <f>DG242</f>
        <v>86.165670367207511</v>
      </c>
      <c r="DH787" s="11"/>
      <c r="DI787" s="144">
        <f>DI242</f>
        <v>87.185929648241199</v>
      </c>
      <c r="DJ787" s="11"/>
      <c r="DK787" s="144">
        <f>DK242</f>
        <v>91.474850809889176</v>
      </c>
      <c r="DL787" s="11"/>
      <c r="DM787" s="144">
        <f>DM242</f>
        <v>88.412017167381975</v>
      </c>
      <c r="DN787" s="11"/>
      <c r="DO787" s="144">
        <f>DO242</f>
        <v>97.945205479452056</v>
      </c>
      <c r="DP787" s="11"/>
      <c r="DQ787" s="144">
        <f>DQ242</f>
        <v>86.428571428571431</v>
      </c>
      <c r="DR787" s="11"/>
      <c r="DS787" s="144">
        <f>DS242</f>
        <v>89.526411657559208</v>
      </c>
      <c r="DT787" s="11"/>
      <c r="DU787" s="144">
        <f>DU242</f>
        <v>82.608695652173907</v>
      </c>
      <c r="DV787" s="11"/>
      <c r="DW787" s="144">
        <f>DW242</f>
        <v>87.444345503116651</v>
      </c>
      <c r="DX787" s="11"/>
      <c r="DY787" s="144">
        <f>DY242</f>
        <v>86.785714285714292</v>
      </c>
      <c r="DZ787" s="11"/>
      <c r="EA787" s="144">
        <f>EA242</f>
        <v>88.082901554404145</v>
      </c>
      <c r="EB787" s="11"/>
      <c r="EC787" s="144">
        <f>EC242</f>
        <v>83.835845896147404</v>
      </c>
      <c r="ED787" s="11"/>
      <c r="EE787" s="144">
        <f>EE242</f>
        <v>87.065972222222214</v>
      </c>
      <c r="EF787" s="11"/>
      <c r="EG787" s="144">
        <f>EG242</f>
        <v>87.958115183246079</v>
      </c>
      <c r="EH787" s="11"/>
      <c r="EI787" s="144">
        <f>EI242</f>
        <v>89.046822742474916</v>
      </c>
      <c r="EJ787" s="11"/>
      <c r="EK787" s="144">
        <f>EK242</f>
        <v>80</v>
      </c>
      <c r="EL787" s="11"/>
      <c r="EM787" s="144">
        <f>EM242</f>
        <v>85.485232067510552</v>
      </c>
      <c r="EN787" s="11"/>
      <c r="EO787" s="144">
        <f>EO242</f>
        <v>88.615123194562457</v>
      </c>
      <c r="EP787" s="11"/>
      <c r="EQ787" s="144">
        <f>EQ242</f>
        <v>88</v>
      </c>
      <c r="ER787" s="11"/>
      <c r="ES787" s="144">
        <f>ES242</f>
        <v>87.5</v>
      </c>
      <c r="ET787" s="11"/>
      <c r="EU787" s="144">
        <f>EU242</f>
        <v>87</v>
      </c>
      <c r="EV787" s="11"/>
      <c r="EW787" s="144">
        <f>EW242</f>
        <v>86.5</v>
      </c>
      <c r="EX787" s="11"/>
      <c r="EY787" s="11"/>
      <c r="EZ787" s="335"/>
      <c r="FA787" s="11"/>
      <c r="FB787" s="144"/>
      <c r="FC787" s="11"/>
      <c r="FD787" s="144"/>
      <c r="FE787" s="11"/>
      <c r="FF787" s="144"/>
      <c r="FG787" s="11"/>
      <c r="FH787" s="144"/>
      <c r="FI787" s="11"/>
      <c r="FJ787" s="144"/>
      <c r="FK787" s="11"/>
      <c r="FL787" s="144">
        <f>FL242</f>
        <v>91.166883963494129</v>
      </c>
      <c r="FM787" s="11"/>
      <c r="FN787" s="144">
        <f>FN242</f>
        <v>89.003645200486019</v>
      </c>
      <c r="FO787" s="11"/>
      <c r="FP787" s="144">
        <f>FP242</f>
        <v>90.255546194889078</v>
      </c>
      <c r="FQ787" s="11"/>
      <c r="FR787" s="144">
        <f>FR242</f>
        <v>90.525498317369923</v>
      </c>
      <c r="FS787" s="11"/>
      <c r="FT787" s="144">
        <f>FT242</f>
        <v>89.567367119901107</v>
      </c>
      <c r="FU787" s="11"/>
      <c r="FV787" s="144">
        <f>FV242</f>
        <v>88.31322450910811</v>
      </c>
      <c r="FW787" s="11"/>
      <c r="FX787" s="144">
        <f>FX242</f>
        <v>88.55567805953693</v>
      </c>
      <c r="FY787" s="11"/>
      <c r="FZ787" s="144">
        <f>FZ242</f>
        <v>90.885805763073634</v>
      </c>
      <c r="GA787" s="11"/>
      <c r="GB787" s="144">
        <f>GB242</f>
        <v>91.042728341826745</v>
      </c>
      <c r="GC787" s="11"/>
      <c r="GD787" s="144">
        <f>GD242</f>
        <v>92.257538712306442</v>
      </c>
      <c r="GE787" s="11"/>
      <c r="GF787" s="144">
        <f>GF242</f>
        <v>89.302035729123389</v>
      </c>
      <c r="GG787" s="11"/>
      <c r="GH787" s="144">
        <f>GH242</f>
        <v>91.115434500648504</v>
      </c>
      <c r="GI787" s="11"/>
      <c r="GJ787" s="144">
        <f>GJ242</f>
        <v>86.571172784243515</v>
      </c>
      <c r="GK787" s="11"/>
      <c r="GL787" s="144">
        <f>GL242</f>
        <v>86.709677419354833</v>
      </c>
      <c r="GM787" s="11"/>
      <c r="GN787" s="144">
        <f>GN242</f>
        <v>85.783487784330248</v>
      </c>
      <c r="GO787" s="11"/>
      <c r="GP787" s="144">
        <f>GP242</f>
        <v>87.243781217667916</v>
      </c>
      <c r="GQ787" s="11"/>
      <c r="GR787" s="144">
        <f>GR242</f>
        <v>87.243781217667916</v>
      </c>
      <c r="GS787" s="11"/>
      <c r="GT787" s="144">
        <f>GT242</f>
        <v>87.193781217667919</v>
      </c>
      <c r="GU787" s="11"/>
      <c r="GV787" s="144">
        <f>GV242</f>
        <v>87.193781217667919</v>
      </c>
      <c r="GW787" s="11"/>
      <c r="GX787" s="144">
        <f>GX242</f>
        <v>87.193781217667919</v>
      </c>
      <c r="GY787" s="11"/>
      <c r="GZ787" s="11"/>
      <c r="HA787" s="11"/>
      <c r="HB787" s="11"/>
      <c r="HC787"/>
      <c r="HD787"/>
      <c r="HE787"/>
      <c r="HF787"/>
      <c r="HG787"/>
      <c r="HH787"/>
      <c r="HI787" s="2"/>
    </row>
    <row r="788" spans="1:217" s="3" customFormat="1" ht="12.75" hidden="1" customHeight="1" outlineLevel="1" x14ac:dyDescent="0.2">
      <c r="B788" s="76" t="s">
        <v>70</v>
      </c>
      <c r="C788" s="144"/>
      <c r="D788" s="144"/>
      <c r="E788" s="144"/>
      <c r="F788" s="144"/>
      <c r="G788" s="144"/>
      <c r="H788" s="144"/>
      <c r="I788" s="144"/>
      <c r="J788" s="144"/>
      <c r="K788" s="144">
        <f>K274+K172+K156</f>
        <v>0</v>
      </c>
      <c r="L788" s="144"/>
      <c r="M788" s="144">
        <f>M274+M172+M156</f>
        <v>0</v>
      </c>
      <c r="N788" s="144"/>
      <c r="O788" s="144">
        <f>O274+O172+O156</f>
        <v>0</v>
      </c>
      <c r="P788" s="144"/>
      <c r="Q788" s="144">
        <f>Q274+Q172+Q156</f>
        <v>0</v>
      </c>
      <c r="R788" s="144"/>
      <c r="S788" s="144">
        <f>S274+S172+S156</f>
        <v>0</v>
      </c>
      <c r="T788" s="144"/>
      <c r="U788" s="144">
        <f>U274+U172+U156</f>
        <v>0</v>
      </c>
      <c r="V788" s="144"/>
      <c r="W788" s="144">
        <f>W274+W172+W156</f>
        <v>0</v>
      </c>
      <c r="X788" s="144"/>
      <c r="Y788" s="144">
        <f>Y274+Y172+Y156</f>
        <v>0</v>
      </c>
      <c r="Z788" s="144"/>
      <c r="AA788" s="144">
        <f>AA274+AA172+AA156</f>
        <v>0</v>
      </c>
      <c r="AB788" s="144"/>
      <c r="AC788" s="144">
        <f>AC274+AC172+AC156</f>
        <v>0</v>
      </c>
      <c r="AD788" s="144"/>
      <c r="AE788" s="144">
        <f>AE274+AE172+AE156</f>
        <v>0</v>
      </c>
      <c r="AF788" s="144"/>
      <c r="AG788" s="144">
        <f>AG274+AG172+AG156</f>
        <v>0</v>
      </c>
      <c r="AH788" s="144"/>
      <c r="AI788" s="144">
        <f>AI274+AI172+AI156</f>
        <v>-752</v>
      </c>
      <c r="AJ788" s="144"/>
      <c r="AK788" s="144">
        <f>AK274+AK172+AK156</f>
        <v>-884</v>
      </c>
      <c r="AL788" s="144"/>
      <c r="AM788" s="144">
        <f>AM274+AM172+AM156</f>
        <v>-675</v>
      </c>
      <c r="AN788" s="144"/>
      <c r="AO788" s="144">
        <f>AO274+AO172+AO156</f>
        <v>-20</v>
      </c>
      <c r="AP788" s="144"/>
      <c r="AQ788" s="144">
        <f>AQ274+AQ172+AQ156</f>
        <v>497</v>
      </c>
      <c r="AR788" s="144"/>
      <c r="AS788" s="144">
        <f>AS274+AS172+AS156</f>
        <v>-157</v>
      </c>
      <c r="AT788" s="144"/>
      <c r="AU788" s="144">
        <f>AU274+AU172+AU156</f>
        <v>215</v>
      </c>
      <c r="AV788" s="144"/>
      <c r="AW788" s="144">
        <f>AW274+AW172+AW156</f>
        <v>-2928.8</v>
      </c>
      <c r="AX788" s="144"/>
      <c r="AY788" s="144">
        <f>(AY274+AY291)*1000</f>
        <v>3700</v>
      </c>
      <c r="AZ788" s="144"/>
      <c r="BA788" s="144">
        <f>(BA274+BA291)*1000</f>
        <v>1199.9999999999993</v>
      </c>
      <c r="BB788" s="144"/>
      <c r="BC788" s="144">
        <f>(BC274+BC291)*1000</f>
        <v>2499.9999999999995</v>
      </c>
      <c r="BD788" s="144"/>
      <c r="BE788" s="144">
        <f>(BE274+BE291)*1000</f>
        <v>3600.0000000000005</v>
      </c>
      <c r="BF788" s="144"/>
      <c r="BG788" s="144">
        <f>(BG274+BG291)*1000</f>
        <v>1500</v>
      </c>
      <c r="BH788" s="144"/>
      <c r="BI788" s="144">
        <f>(BI274+BI291)*1000</f>
        <v>1000.0000000000014</v>
      </c>
      <c r="BJ788" s="144"/>
      <c r="BK788" s="144">
        <f>(BK274+BK291)*1000</f>
        <v>-299.99999999999937</v>
      </c>
      <c r="BL788" s="144"/>
      <c r="BM788" s="144">
        <f>(BM274+BM291)*1000</f>
        <v>4899.9999999999991</v>
      </c>
      <c r="BN788" s="144"/>
      <c r="BO788" s="144">
        <f>(BO274+BO291)*1000</f>
        <v>3200</v>
      </c>
      <c r="BP788" s="144"/>
      <c r="BQ788" s="144">
        <f>(BQ274+BQ291)*1000</f>
        <v>7200.0000000000009</v>
      </c>
      <c r="BR788" s="144"/>
      <c r="BS788" s="144">
        <f>(BS274+BS291)*1000</f>
        <v>1600.0000000000005</v>
      </c>
      <c r="BT788" s="144"/>
      <c r="BU788" s="144">
        <f>(BU274+BU291)*1000</f>
        <v>-1400.0000000000009</v>
      </c>
      <c r="BV788" s="144"/>
      <c r="BW788" s="144">
        <f>(BW274+BW291)*1000</f>
        <v>500.00000000000091</v>
      </c>
      <c r="BX788" s="144"/>
      <c r="BY788" s="144">
        <f>(BY274+BY291)*1000</f>
        <v>3099.9999999999995</v>
      </c>
      <c r="BZ788" s="144"/>
      <c r="CA788" s="144">
        <f>(CA274+CA291)*1000</f>
        <v>7600.0000000000009</v>
      </c>
      <c r="CB788" s="144"/>
      <c r="CC788" s="144">
        <f>(CC274+CC291)*1000</f>
        <v>7500.0000000000009</v>
      </c>
      <c r="CD788" s="144"/>
      <c r="CE788" s="144">
        <f>(CE274+CE291)*1000</f>
        <v>3099.9999999999995</v>
      </c>
      <c r="CF788" s="144"/>
      <c r="CG788" s="144">
        <f>(CG274+CG291)*1000</f>
        <v>13799.999999999998</v>
      </c>
      <c r="CH788" s="144"/>
      <c r="CI788" s="144">
        <f>(CI274+CI291)*1000</f>
        <v>7000</v>
      </c>
      <c r="CJ788" s="144"/>
      <c r="CK788" s="144">
        <f>(CK274+CK291)*1000</f>
        <v>11100.000000000002</v>
      </c>
      <c r="CL788" s="144"/>
      <c r="CM788" s="144">
        <f>(CM274+CM291)*1000</f>
        <v>8899.9999999999982</v>
      </c>
      <c r="CN788" s="144"/>
      <c r="CO788" s="144">
        <f>(CO274+CO291)*1000</f>
        <v>4899.9999999999991</v>
      </c>
      <c r="CP788" s="144"/>
      <c r="CQ788" s="144">
        <f>(CQ274+CQ291)*1000</f>
        <v>3000.0000000000009</v>
      </c>
      <c r="CR788" s="144"/>
      <c r="CS788" s="144">
        <f>(CS274+CS291)*1000</f>
        <v>5800.0000000000009</v>
      </c>
      <c r="CT788" s="144"/>
      <c r="CU788" s="144">
        <f>(CU274+CU291)*1000</f>
        <v>8700.0000000000018</v>
      </c>
      <c r="CV788" s="144"/>
      <c r="CW788" s="144">
        <f>(CW274+CW291)*1000</f>
        <v>3599.9999999999995</v>
      </c>
      <c r="CX788" s="144"/>
      <c r="CY788" s="144">
        <f>(CY274+CY291)*1000</f>
        <v>5899.9999999999982</v>
      </c>
      <c r="CZ788" s="144"/>
      <c r="DA788" s="144">
        <f>(DA274+DA291)*1000</f>
        <v>11800</v>
      </c>
      <c r="DB788" s="144"/>
      <c r="DC788" s="144">
        <f>(DC274+DC291)*1000</f>
        <v>8700.0000000000018</v>
      </c>
      <c r="DD788" s="144"/>
      <c r="DE788" s="144">
        <f>(DE274+DE291)*1000</f>
        <v>5600.0000000000018</v>
      </c>
      <c r="DF788" s="144"/>
      <c r="DG788" s="144">
        <f>(DG274+DG291)*1000</f>
        <v>2699.9999999999991</v>
      </c>
      <c r="DH788" s="144"/>
      <c r="DI788" s="144">
        <f>(DI274+DI291)*1000</f>
        <v>6800.0000000000009</v>
      </c>
      <c r="DJ788" s="144"/>
      <c r="DK788" s="144">
        <f>(DK274+DK291)*1000</f>
        <v>2100.0000000000005</v>
      </c>
      <c r="DL788" s="144"/>
      <c r="DM788" s="144">
        <f>(DM274+DM291)*1000</f>
        <v>3400.0000000000005</v>
      </c>
      <c r="DN788" s="144"/>
      <c r="DO788" s="144">
        <f>(DO274+DO291)*1000</f>
        <v>-200.00000000000017</v>
      </c>
      <c r="DP788" s="144"/>
      <c r="DQ788" s="144">
        <f>(DQ274+DQ291)*1000</f>
        <v>99.999999999999645</v>
      </c>
      <c r="DR788" s="144"/>
      <c r="DS788" s="144">
        <f>(DS274+DS291)*1000</f>
        <v>7700.0000000000009</v>
      </c>
      <c r="DT788" s="144"/>
      <c r="DU788" s="144">
        <f>(DU274+DU291)*1000</f>
        <v>6400.0000000000018</v>
      </c>
      <c r="DV788" s="144"/>
      <c r="DW788" s="144">
        <f>(DW274+DW291)*1000</f>
        <v>3099.9999999999977</v>
      </c>
      <c r="DX788" s="144"/>
      <c r="DY788" s="144">
        <f>(DY274+DY291)*1000</f>
        <v>4800.0000000000009</v>
      </c>
      <c r="DZ788" s="144"/>
      <c r="EA788" s="144">
        <f>(EA274+EA291)*1000</f>
        <v>-3099.9999999999995</v>
      </c>
      <c r="EB788" s="144"/>
      <c r="EC788" s="144">
        <f>(EC274+EC291)*1000</f>
        <v>3599.9999999999995</v>
      </c>
      <c r="ED788" s="144"/>
      <c r="EE788" s="144">
        <f>(EE274+EE291)*1000</f>
        <v>4299.9999999999991</v>
      </c>
      <c r="EF788" s="144"/>
      <c r="EG788" s="144">
        <f>(EG274+EG291)*1000</f>
        <v>900.00000000000034</v>
      </c>
      <c r="EH788" s="144"/>
      <c r="EI788" s="144">
        <f>(EI274+EI291)*1000</f>
        <v>599.99999999999966</v>
      </c>
      <c r="EJ788" s="144"/>
      <c r="EK788" s="144">
        <f>(EK274+EK291)*1000</f>
        <v>7700.0000000000009</v>
      </c>
      <c r="EL788" s="144"/>
      <c r="EM788" s="144">
        <f>(EM274+EM291)*1000</f>
        <v>6000.0000000000018</v>
      </c>
      <c r="EN788" s="144"/>
      <c r="EO788" s="144">
        <f>(EO274+EO291)*1000</f>
        <v>1399.9999999999986</v>
      </c>
      <c r="EP788" s="144"/>
      <c r="EQ788" s="144">
        <f>(EQ274+EQ291)*1000</f>
        <v>3208.9999999999909</v>
      </c>
      <c r="ER788" s="144"/>
      <c r="ES788" s="144">
        <f>(ES274+ES291)*1000</f>
        <v>3053.2036232662954</v>
      </c>
      <c r="ET788" s="144"/>
      <c r="EU788" s="144">
        <f>(EU274+EU291)*1000</f>
        <v>3477.4384494316787</v>
      </c>
      <c r="EV788" s="144"/>
      <c r="EW788" s="144">
        <f>(EW274+EW291)*1000</f>
        <v>4128.2405737321287</v>
      </c>
      <c r="EX788" s="144"/>
      <c r="EY788" s="144"/>
      <c r="EZ788" s="344"/>
      <c r="FA788" s="144"/>
      <c r="FB788" s="144">
        <f>FB274+FB291</f>
        <v>0</v>
      </c>
      <c r="FC788" s="144"/>
      <c r="FD788" s="144">
        <f>FD274+FD291</f>
        <v>0</v>
      </c>
      <c r="FE788" s="144"/>
      <c r="FF788" s="144">
        <f>FF274+FF291</f>
        <v>0</v>
      </c>
      <c r="FG788" s="144"/>
      <c r="FH788" s="144">
        <f>FH274+FH291</f>
        <v>0</v>
      </c>
      <c r="FI788" s="144"/>
      <c r="FJ788" s="144">
        <f>FJ274+FJ291</f>
        <v>0</v>
      </c>
      <c r="FK788" s="144"/>
      <c r="FL788" s="144">
        <f>FL274+FL291</f>
        <v>0</v>
      </c>
      <c r="FM788" s="144"/>
      <c r="FN788" s="144">
        <f>FN274+FN291</f>
        <v>0</v>
      </c>
      <c r="FO788" s="144"/>
      <c r="FP788" s="144">
        <f>FP274+FP291</f>
        <v>6.8000000000000007</v>
      </c>
      <c r="FQ788" s="144"/>
      <c r="FR788" s="144">
        <f>(FR274+FR291)*1000</f>
        <v>11000</v>
      </c>
      <c r="FS788" s="144"/>
      <c r="FT788" s="144">
        <f>(FT274+FT291)*1000</f>
        <v>7100.0000000000064</v>
      </c>
      <c r="FU788" s="144"/>
      <c r="FV788" s="144">
        <f>(FV274+FV291)*1000</f>
        <v>10599.999999999996</v>
      </c>
      <c r="FW788" s="144"/>
      <c r="FX788" s="144">
        <f>(FX274+FX291)*1000</f>
        <v>18700</v>
      </c>
      <c r="FY788" s="144"/>
      <c r="FZ788" s="144">
        <f>(FZ274+FZ291)*1000</f>
        <v>35000</v>
      </c>
      <c r="GA788" s="144"/>
      <c r="GB788" s="144">
        <f>(GB274+GB291)*1000</f>
        <v>22600.000000000004</v>
      </c>
      <c r="GC788" s="144"/>
      <c r="GD788" s="144">
        <f>(GD274+GD291)*1000</f>
        <v>29999.999999999996</v>
      </c>
      <c r="GE788" s="144"/>
      <c r="GF788" s="144">
        <f>(GF274+GF291)*1000</f>
        <v>23800.000000000011</v>
      </c>
      <c r="GG788" s="87"/>
      <c r="GH788" s="144">
        <f>(GH274+GH291)*1000</f>
        <v>5399.9999999999918</v>
      </c>
      <c r="GI788" s="87"/>
      <c r="GJ788" s="144">
        <f>(GJ274+GJ291)*1000</f>
        <v>22000.000000000007</v>
      </c>
      <c r="GK788" s="87"/>
      <c r="GL788" s="144">
        <f>(GL274+GL291)*1000</f>
        <v>5700.00000000001</v>
      </c>
      <c r="GM788" s="87"/>
      <c r="GN788" s="144">
        <f>(GN274+GN291)*1000</f>
        <v>15700.000000000009</v>
      </c>
      <c r="GO788" s="87"/>
      <c r="GP788" s="144">
        <f>(GP274+GP291)*1000</f>
        <v>13867.882646430089</v>
      </c>
      <c r="GQ788" s="87"/>
      <c r="GR788" s="144">
        <f>(GR274+GR291)*1000</f>
        <v>12444.935985660024</v>
      </c>
      <c r="GS788" s="87"/>
      <c r="GT788" s="144">
        <f>(GT274+GT291)*1000</f>
        <v>11155.580011668362</v>
      </c>
      <c r="GU788" s="87"/>
      <c r="GV788" s="144">
        <f>(GV274+GV291)*1000</f>
        <v>10314.433848322466</v>
      </c>
      <c r="GW788" s="87"/>
      <c r="GX788" s="144">
        <f>(GX274+GX291)*1000</f>
        <v>9819.7544774375838</v>
      </c>
      <c r="GY788" s="87"/>
      <c r="GZ788" s="144"/>
      <c r="HA788" s="144"/>
      <c r="HB788" s="144"/>
      <c r="HC788"/>
      <c r="HD788"/>
      <c r="HE788"/>
      <c r="HF788"/>
      <c r="HG788"/>
      <c r="HH788"/>
      <c r="HI788" s="2"/>
    </row>
    <row r="789" spans="1:217" s="3" customFormat="1" ht="12.75" hidden="1" customHeight="1" outlineLevel="1" x14ac:dyDescent="0.2">
      <c r="B789" s="76" t="s">
        <v>453</v>
      </c>
      <c r="C789" s="9"/>
      <c r="D789" s="11"/>
      <c r="E789" s="9"/>
      <c r="F789" s="11"/>
      <c r="G789" s="9"/>
      <c r="H789" s="11"/>
      <c r="I789" s="9"/>
      <c r="J789" s="11"/>
      <c r="K789" s="9"/>
      <c r="L789" s="11"/>
      <c r="M789" s="9"/>
      <c r="N789" s="11"/>
      <c r="O789" s="9"/>
      <c r="P789" s="11"/>
      <c r="Q789" s="9"/>
      <c r="R789" s="11"/>
      <c r="S789" s="9"/>
      <c r="T789" s="11"/>
      <c r="U789" s="9"/>
      <c r="V789" s="11"/>
      <c r="W789" s="9"/>
      <c r="X789" s="11"/>
      <c r="Y789" s="9"/>
      <c r="Z789" s="11"/>
      <c r="AA789" s="9"/>
      <c r="AB789" s="11"/>
      <c r="AC789" s="9"/>
      <c r="AD789" s="11"/>
      <c r="AE789" s="9"/>
      <c r="AF789" s="11"/>
      <c r="AG789" s="9"/>
      <c r="AH789" s="11"/>
      <c r="AI789" s="9"/>
      <c r="AJ789" s="11"/>
      <c r="AK789" s="9"/>
      <c r="AL789" s="11"/>
      <c r="AM789" s="9"/>
      <c r="AN789" s="11"/>
      <c r="AO789" s="9"/>
      <c r="AP789" s="11"/>
      <c r="AQ789" s="9"/>
      <c r="AR789" s="11"/>
      <c r="AS789" s="9"/>
      <c r="AT789" s="11"/>
      <c r="AU789" s="9"/>
      <c r="AV789" s="11"/>
      <c r="AW789" s="9"/>
      <c r="AX789" s="11"/>
      <c r="AY789" s="144">
        <f>(AY266+AY282)*1000</f>
        <v>10000</v>
      </c>
      <c r="AZ789" s="144"/>
      <c r="BA789" s="144">
        <f>(BA266+BA282)*1000</f>
        <v>8600</v>
      </c>
      <c r="BB789" s="144"/>
      <c r="BC789" s="144">
        <f>(BC266+BC282)*1000</f>
        <v>8700</v>
      </c>
      <c r="BD789" s="144"/>
      <c r="BE789" s="144">
        <f>(BE266+BE282)*1000</f>
        <v>10400</v>
      </c>
      <c r="BF789" s="144"/>
      <c r="BG789" s="144">
        <f>(BG266+BG282)*1000</f>
        <v>8900</v>
      </c>
      <c r="BH789" s="144"/>
      <c r="BI789" s="144">
        <f>(BI266+BI282)*1000</f>
        <v>12600.000000000002</v>
      </c>
      <c r="BJ789" s="144"/>
      <c r="BK789" s="144">
        <f>(BK266+BK282)*1000</f>
        <v>8100.0000000000018</v>
      </c>
      <c r="BL789" s="144"/>
      <c r="BM789" s="144">
        <f>(BM266+BM282)*1000</f>
        <v>13700</v>
      </c>
      <c r="BN789" s="144"/>
      <c r="BO789" s="144">
        <f>(BO266+BO282)*1000</f>
        <v>10000</v>
      </c>
      <c r="BP789" s="144"/>
      <c r="BQ789" s="144">
        <f>(BQ266+BQ282)*1000</f>
        <v>14700</v>
      </c>
      <c r="BR789" s="144"/>
      <c r="BS789" s="144">
        <f>BS266+BS165+BS150</f>
        <v>4334.3</v>
      </c>
      <c r="BT789" s="144"/>
      <c r="BU789" s="144">
        <f>BU266+BU165+BU150</f>
        <v>7825.1</v>
      </c>
      <c r="BV789" s="144"/>
      <c r="BW789" s="144">
        <f>BW266+BW165+BW150</f>
        <v>11120.9</v>
      </c>
      <c r="BX789" s="144"/>
      <c r="BY789" s="144">
        <f>BY266+BY165+BY150</f>
        <v>6240.7</v>
      </c>
      <c r="BZ789" s="144"/>
      <c r="CA789" s="144">
        <f>CA266+CA165+CA150</f>
        <v>6128.4</v>
      </c>
      <c r="CB789" s="144"/>
      <c r="CC789" s="144">
        <f>CC266+CC165+CC150</f>
        <v>7517.8</v>
      </c>
      <c r="CD789" s="144"/>
      <c r="CE789" s="144">
        <f>CE266+CE165+CE150</f>
        <v>7488.7</v>
      </c>
      <c r="CF789" s="144"/>
      <c r="CG789" s="144">
        <f>CG266+CG165+CG150</f>
        <v>7744.2</v>
      </c>
      <c r="CH789" s="144"/>
      <c r="CI789" s="144">
        <f>CI266+CI165+CI150</f>
        <v>8342</v>
      </c>
      <c r="CJ789" s="144"/>
      <c r="CK789" s="144">
        <f>CK266+CK165+CK150</f>
        <v>11039.6</v>
      </c>
      <c r="CL789" s="144"/>
      <c r="CM789" s="144">
        <f>CM266+CM165+CM150</f>
        <v>10646</v>
      </c>
      <c r="CN789" s="144"/>
      <c r="CO789" s="144">
        <f>CO266+CO165+CO150</f>
        <v>9731.1</v>
      </c>
      <c r="CP789" s="144"/>
      <c r="CQ789" s="144">
        <f>CQ266+CQ165+CQ150</f>
        <v>9548</v>
      </c>
      <c r="CR789" s="144"/>
      <c r="CS789" s="144">
        <f>CS266+CS165+CS150</f>
        <v>14718.3</v>
      </c>
      <c r="CT789" s="144"/>
      <c r="CU789" s="144">
        <f>CU266+CU165+CU150</f>
        <v>9059.1</v>
      </c>
      <c r="CV789" s="144"/>
      <c r="CW789" s="144">
        <f>CW266+CW165+CW150</f>
        <v>12831.2</v>
      </c>
      <c r="CX789" s="144"/>
      <c r="CY789" s="144">
        <f>CY266+CY165+CY150</f>
        <v>6447.7</v>
      </c>
      <c r="CZ789" s="144"/>
      <c r="DA789" s="144">
        <f>DA266+DA165+DA150</f>
        <v>43115.8</v>
      </c>
      <c r="DB789" s="144"/>
      <c r="DC789" s="144">
        <f>DC266+DC165+DC150</f>
        <v>9538.4</v>
      </c>
      <c r="DD789" s="144"/>
      <c r="DE789" s="144">
        <f>DE266+DE165+DE150</f>
        <v>8071.8</v>
      </c>
      <c r="DF789" s="144"/>
      <c r="DG789" s="144">
        <f>DG266+DG165+DG150</f>
        <v>10503.1</v>
      </c>
      <c r="DH789" s="144"/>
      <c r="DI789" s="144">
        <f>DI266+DI165+DI150</f>
        <v>9914.7999999999993</v>
      </c>
      <c r="DJ789" s="144"/>
      <c r="DK789" s="144">
        <f>DK266+DK165+DK150</f>
        <v>10330.9</v>
      </c>
      <c r="DL789" s="144"/>
      <c r="DM789" s="144">
        <f>DM266+DM165+DM150</f>
        <v>6613.5</v>
      </c>
      <c r="DN789" s="144"/>
      <c r="DO789" s="144">
        <f>DO266+DO165+DO150</f>
        <v>36162</v>
      </c>
      <c r="DP789" s="144"/>
      <c r="DQ789" s="144">
        <f>DQ266+DQ165+DQ150</f>
        <v>14162.9</v>
      </c>
      <c r="DR789" s="144"/>
      <c r="DS789" s="144">
        <f>DS266+DS165+DS150</f>
        <v>7299.8</v>
      </c>
      <c r="DT789" s="144"/>
      <c r="DU789" s="144">
        <f>DU266+DU165+DU150</f>
        <v>14205.3</v>
      </c>
      <c r="DV789" s="144"/>
      <c r="DW789" s="144">
        <f>DW266+DW165+DW150</f>
        <v>11468.5</v>
      </c>
      <c r="DX789" s="144"/>
      <c r="DY789" s="144">
        <f>DY266+DY165+DY150</f>
        <v>8349.2999999999993</v>
      </c>
      <c r="DZ789" s="144"/>
      <c r="EA789" s="144">
        <f>EA266+EA165+EA150</f>
        <v>8729.5</v>
      </c>
      <c r="EB789" s="144"/>
      <c r="EC789" s="144">
        <f>EC266+EC165+EC150</f>
        <v>8134.8</v>
      </c>
      <c r="ED789" s="144"/>
      <c r="EE789" s="144">
        <f>EE266+EE165+EE150</f>
        <v>12328.4</v>
      </c>
      <c r="EF789" s="144"/>
      <c r="EG789" s="144">
        <f>EG266+EG165+EG150</f>
        <v>8934.7000000000007</v>
      </c>
      <c r="EH789" s="144"/>
      <c r="EI789" s="144">
        <f>EI266+EI165+EI150</f>
        <v>10793.9</v>
      </c>
      <c r="EJ789" s="144"/>
      <c r="EK789" s="144">
        <f>EK266+EK165+EK150</f>
        <v>7345.2</v>
      </c>
      <c r="EL789" s="144"/>
      <c r="EM789" s="144">
        <f>EM266+EM165+EM150</f>
        <v>15967.9</v>
      </c>
      <c r="EN789" s="144"/>
      <c r="EO789" s="144">
        <f>EO266+EO165+EO150</f>
        <v>17115.2</v>
      </c>
      <c r="EP789" s="144"/>
      <c r="EQ789" s="144">
        <f>EQ266+EQ165+EQ150</f>
        <v>13283.344000000001</v>
      </c>
      <c r="ER789" s="144"/>
      <c r="ES789" s="144">
        <f>ES266+ES165+ES150</f>
        <v>12069.099975544199</v>
      </c>
      <c r="ET789" s="144"/>
      <c r="EU789" s="144">
        <f>EU266+EU165+EU150</f>
        <v>11310.470448869706</v>
      </c>
      <c r="EV789" s="144"/>
      <c r="EW789" s="144">
        <f>EW266+EW165+EW150</f>
        <v>12025.944001357275</v>
      </c>
      <c r="EX789" s="144"/>
      <c r="EY789" s="144"/>
      <c r="EZ789" s="344"/>
      <c r="FA789" s="144"/>
      <c r="FB789" s="144">
        <f>FB266+FB165+FB150</f>
        <v>7450</v>
      </c>
      <c r="FC789" s="144"/>
      <c r="FD789" s="144">
        <f>FD266+FD165+FD150</f>
        <v>6687</v>
      </c>
      <c r="FE789" s="144"/>
      <c r="FF789" s="144">
        <f>FF266+FF165+FF150</f>
        <v>7463</v>
      </c>
      <c r="FG789" s="144"/>
      <c r="FH789" s="144">
        <f>FH266+FH165+FH150</f>
        <v>0</v>
      </c>
      <c r="FI789" s="144"/>
      <c r="FJ789" s="144">
        <f>FJ266+FJ165+FJ150</f>
        <v>0</v>
      </c>
      <c r="FK789" s="144"/>
      <c r="FL789" s="144">
        <f>FL266+FL165+FL150</f>
        <v>0</v>
      </c>
      <c r="FM789" s="144"/>
      <c r="FN789" s="144">
        <f>FN266+FN165+FN150</f>
        <v>61426</v>
      </c>
      <c r="FO789" s="144"/>
      <c r="FP789" s="144">
        <f>FP266+FP165+FP150</f>
        <v>17085.400000000001</v>
      </c>
      <c r="FQ789" s="144"/>
      <c r="FR789" s="144">
        <f>FR266+FR165+FR150</f>
        <v>22176.7</v>
      </c>
      <c r="FS789" s="144"/>
      <c r="FT789" s="144">
        <f>FT266+FT165+FT150</f>
        <v>19697.3</v>
      </c>
      <c r="FU789" s="144"/>
      <c r="FV789" s="144">
        <f>FV266+FV165+FV150</f>
        <v>24708.799999999999</v>
      </c>
      <c r="FW789" s="144"/>
      <c r="FX789" s="144">
        <f>FX266+FX165+FX150</f>
        <v>31007.8</v>
      </c>
      <c r="FY789" s="144"/>
      <c r="FZ789" s="144">
        <f>FZ266+FZ165+FZ150</f>
        <v>34614.5</v>
      </c>
      <c r="GA789" s="144"/>
      <c r="GB789" s="144">
        <f>GB266+GB165+GB150</f>
        <v>44643.4</v>
      </c>
      <c r="GC789" s="144"/>
      <c r="GD789" s="144">
        <f>GD266+GD165+GD150</f>
        <v>71453.8</v>
      </c>
      <c r="GE789" s="144"/>
      <c r="GF789" s="144">
        <f>GF266+GF165+GF150</f>
        <v>38028.1</v>
      </c>
      <c r="GG789" s="87"/>
      <c r="GH789" s="144">
        <f>GH266+GH165+GH150</f>
        <v>67269.3</v>
      </c>
      <c r="GI789" s="87"/>
      <c r="GJ789" s="144">
        <f>GJ266+GJ165+GJ150</f>
        <v>41322.9</v>
      </c>
      <c r="GK789" s="87"/>
      <c r="GL789" s="144">
        <f>GL266+GL165+GL150</f>
        <v>38127.4</v>
      </c>
      <c r="GM789" s="87"/>
      <c r="GN789" s="144">
        <f>GN266+GN165+GN150</f>
        <v>51222.2</v>
      </c>
      <c r="GO789" s="87"/>
      <c r="GP789" s="144">
        <f>GP266+GP165+GP150</f>
        <v>48688.858425771177</v>
      </c>
      <c r="GQ789" s="87"/>
      <c r="GR789" s="144">
        <f>GR266+GR165+GR150</f>
        <v>49950.312155165084</v>
      </c>
      <c r="GS789" s="87"/>
      <c r="GT789" s="144">
        <f>GT266+GT165+GT150</f>
        <v>51958.753964350006</v>
      </c>
      <c r="GU789" s="87"/>
      <c r="GV789" s="144">
        <f>GV266+GV165+GV150</f>
        <v>54049.474757755517</v>
      </c>
      <c r="GW789" s="87"/>
      <c r="GX789" s="144">
        <f>GX266+GX165+GX150</f>
        <v>56225.903704341734</v>
      </c>
      <c r="GY789" s="87"/>
      <c r="GZ789" s="144"/>
      <c r="HA789" s="144"/>
      <c r="HB789" s="144"/>
      <c r="HC789"/>
      <c r="HD789"/>
      <c r="HE789"/>
      <c r="HF789"/>
      <c r="HG789"/>
      <c r="HH789"/>
      <c r="HI789" s="2"/>
    </row>
    <row r="790" spans="1:217" s="3" customFormat="1" ht="12.75" hidden="1" customHeight="1" outlineLevel="1" x14ac:dyDescent="0.2">
      <c r="B790" s="76" t="s">
        <v>454</v>
      </c>
      <c r="C790" s="9"/>
      <c r="D790" s="11"/>
      <c r="E790" s="9"/>
      <c r="F790" s="11"/>
      <c r="G790" s="9"/>
      <c r="H790" s="11"/>
      <c r="I790" s="9"/>
      <c r="J790" s="11"/>
      <c r="K790" s="9"/>
      <c r="L790" s="11"/>
      <c r="M790" s="9"/>
      <c r="N790" s="11"/>
      <c r="O790" s="9"/>
      <c r="P790" s="11"/>
      <c r="Q790" s="9"/>
      <c r="R790" s="11"/>
      <c r="S790" s="9"/>
      <c r="T790" s="11"/>
      <c r="U790" s="9"/>
      <c r="V790" s="11"/>
      <c r="W790" s="9"/>
      <c r="X790" s="11"/>
      <c r="Y790" s="9"/>
      <c r="Z790" s="11"/>
      <c r="AA790" s="9"/>
      <c r="AB790" s="11"/>
      <c r="AC790" s="9"/>
      <c r="AD790" s="11"/>
      <c r="AE790" s="9"/>
      <c r="AF790" s="11"/>
      <c r="AG790" s="9"/>
      <c r="AH790" s="11"/>
      <c r="AI790" s="9"/>
      <c r="AJ790" s="11"/>
      <c r="AK790" s="9"/>
      <c r="AL790" s="11"/>
      <c r="AM790" s="9"/>
      <c r="AN790" s="11"/>
      <c r="AO790" s="9"/>
      <c r="AP790" s="11"/>
      <c r="AQ790" s="9"/>
      <c r="AR790" s="11"/>
      <c r="AS790" s="9"/>
      <c r="AT790" s="11"/>
      <c r="AU790" s="9"/>
      <c r="AV790" s="11"/>
      <c r="AW790" s="9"/>
      <c r="AX790" s="11"/>
      <c r="AY790" s="144">
        <f>(AY267+AY283)*1000</f>
        <v>-6300</v>
      </c>
      <c r="AZ790" s="144"/>
      <c r="BA790" s="144">
        <f>(BA267+BA283)*1000</f>
        <v>-7400</v>
      </c>
      <c r="BB790" s="144"/>
      <c r="BC790" s="144">
        <f>(BC267+BC283)*1000</f>
        <v>-6200</v>
      </c>
      <c r="BD790" s="144"/>
      <c r="BE790" s="144">
        <f>(BE267+BE283)*1000</f>
        <v>-6800.0000000000009</v>
      </c>
      <c r="BF790" s="144"/>
      <c r="BG790" s="144">
        <f>(BG267+BG283)*1000</f>
        <v>-7400</v>
      </c>
      <c r="BH790" s="144"/>
      <c r="BI790" s="144">
        <f>(BI267+BI283)*1000</f>
        <v>-11600</v>
      </c>
      <c r="BJ790" s="144"/>
      <c r="BK790" s="144">
        <f>(BK267+BK283)*1000</f>
        <v>-8400</v>
      </c>
      <c r="BL790" s="144"/>
      <c r="BM790" s="144">
        <f>(BM267+BM283)*1000</f>
        <v>-8800</v>
      </c>
      <c r="BN790" s="144"/>
      <c r="BO790" s="144">
        <f>(BO267+BO283)*1000</f>
        <v>-6800</v>
      </c>
      <c r="BP790" s="144"/>
      <c r="BQ790" s="144">
        <f>(BQ267+BQ283)*1000</f>
        <v>-7500</v>
      </c>
      <c r="BR790" s="144"/>
      <c r="BS790" s="144">
        <f>(BS267+BS283)*1000</f>
        <v>-9100</v>
      </c>
      <c r="BT790" s="144"/>
      <c r="BU790" s="144">
        <f>(BU267+BU283)*1000</f>
        <v>-10900</v>
      </c>
      <c r="BV790" s="144"/>
      <c r="BW790" s="144">
        <f>(BW267+BW283)*1000</f>
        <v>-7899.9999999999991</v>
      </c>
      <c r="BX790" s="144"/>
      <c r="BY790" s="144">
        <f>(BY267+BY283)*1000</f>
        <v>-9200</v>
      </c>
      <c r="BZ790" s="144"/>
      <c r="CA790" s="144">
        <f>(CA267+CA283)*1000</f>
        <v>-8899.9999999999982</v>
      </c>
      <c r="CB790" s="144"/>
      <c r="CC790" s="144">
        <f>(CC267+CC283)*1000</f>
        <v>-7700</v>
      </c>
      <c r="CD790" s="144"/>
      <c r="CE790" s="144">
        <f>(CE267+CE283)*1000</f>
        <v>-9400</v>
      </c>
      <c r="CF790" s="144"/>
      <c r="CG790" s="144">
        <f>(CG267+CG283)*1000</f>
        <v>-8200</v>
      </c>
      <c r="CH790" s="144"/>
      <c r="CI790" s="144">
        <f>(CI267+CI283)*1000</f>
        <v>-8100</v>
      </c>
      <c r="CJ790" s="144"/>
      <c r="CK790" s="144">
        <f>(CK267+CK283)*1000</f>
        <v>-10800</v>
      </c>
      <c r="CL790" s="144"/>
      <c r="CM790" s="144">
        <f>(CM267+CM283)*1000</f>
        <v>-12200</v>
      </c>
      <c r="CN790" s="144"/>
      <c r="CO790" s="144">
        <f>(CO267+CO283)*1000</f>
        <v>-12300</v>
      </c>
      <c r="CP790" s="144"/>
      <c r="CQ790" s="144">
        <f>(CQ267+CQ283)*1000</f>
        <v>-15500</v>
      </c>
      <c r="CR790" s="144"/>
      <c r="CS790" s="144">
        <f>(CS267+CS283)*1000</f>
        <v>-16700</v>
      </c>
      <c r="CT790" s="144"/>
      <c r="CU790" s="144">
        <f>(CU267+CU283)*1000</f>
        <v>-14799.999999999998</v>
      </c>
      <c r="CV790" s="144"/>
      <c r="CW790" s="144">
        <f>(CW267+CW283)*1000</f>
        <v>-17100</v>
      </c>
      <c r="CX790" s="144"/>
      <c r="CY790" s="144">
        <f>(CY267+CY283)*1000</f>
        <v>-14800</v>
      </c>
      <c r="CZ790" s="144"/>
      <c r="DA790" s="144">
        <f>(DA267+DA283)*1000</f>
        <v>-19100</v>
      </c>
      <c r="DB790" s="144"/>
      <c r="DC790" s="144">
        <f>(DC267+DC283)*1000</f>
        <v>-16600</v>
      </c>
      <c r="DD790" s="144"/>
      <c r="DE790" s="144">
        <f>(DE267+DE283)*1000</f>
        <v>-21600</v>
      </c>
      <c r="DF790" s="144"/>
      <c r="DG790" s="144">
        <f>(DG267+DG283)*1000</f>
        <v>-18500</v>
      </c>
      <c r="DH790" s="144"/>
      <c r="DI790" s="144">
        <f>(DI267+DI283)*1000</f>
        <v>-16800</v>
      </c>
      <c r="DJ790" s="144"/>
      <c r="DK790" s="144">
        <f>(DK267+DK283)*1000</f>
        <v>-16800</v>
      </c>
      <c r="DL790" s="144"/>
      <c r="DM790" s="144">
        <f>(DM267+DM283)*1000</f>
        <v>-15500</v>
      </c>
      <c r="DN790" s="144"/>
      <c r="DO790" s="144">
        <f>(DO267+DO283)*1000</f>
        <v>-18700</v>
      </c>
      <c r="DP790" s="144"/>
      <c r="DQ790" s="144">
        <f>(DQ267+DQ283)*1000</f>
        <v>-22700.000000000004</v>
      </c>
      <c r="DR790" s="144"/>
      <c r="DS790" s="144">
        <f>(DS267+DS283)*1000</f>
        <v>-22200</v>
      </c>
      <c r="DT790" s="144"/>
      <c r="DU790" s="144">
        <f>(DU267+DU283)*1000</f>
        <v>-22200</v>
      </c>
      <c r="DV790" s="144"/>
      <c r="DW790" s="144">
        <f>(DW267+DW283)*1000</f>
        <v>-20600</v>
      </c>
      <c r="DX790" s="144"/>
      <c r="DY790" s="144">
        <f>(DY267+DY283)*1000</f>
        <v>-20800</v>
      </c>
      <c r="DZ790" s="144"/>
      <c r="EA790" s="144">
        <f>(EA267+EA283)*1000</f>
        <v>-25799.999999999996</v>
      </c>
      <c r="EB790" s="144"/>
      <c r="EC790" s="144">
        <f>(EC267+EC283)*1000</f>
        <v>-22700.000000000004</v>
      </c>
      <c r="ED790" s="144"/>
      <c r="EE790" s="144">
        <f>(EE267+EE283)*1000</f>
        <v>-22600</v>
      </c>
      <c r="EF790" s="144"/>
      <c r="EG790" s="144">
        <f>(EG267+EG283)*1000</f>
        <v>-24700</v>
      </c>
      <c r="EH790" s="144"/>
      <c r="EI790" s="144">
        <f>(EI267+EI283)*1000</f>
        <v>-28300</v>
      </c>
      <c r="EJ790" s="144"/>
      <c r="EK790" s="144">
        <f>(EK267+EK283)*1000</f>
        <v>-20299.999999999996</v>
      </c>
      <c r="EL790" s="144"/>
      <c r="EM790" s="144">
        <f>(EM267+EM283)*1000</f>
        <v>-21799.999999999996</v>
      </c>
      <c r="EN790" s="144"/>
      <c r="EO790" s="144">
        <f>(EO267+EO283)*1000</f>
        <v>-28800</v>
      </c>
      <c r="EP790" s="144"/>
      <c r="EQ790" s="144">
        <f>(EQ267+EQ283)*1000</f>
        <v>-26965.000000000011</v>
      </c>
      <c r="ER790" s="144"/>
      <c r="ES790" s="144">
        <f>(ES267+ES283)*1000</f>
        <v>-25141.276376733706</v>
      </c>
      <c r="ET790" s="144"/>
      <c r="EU790" s="144">
        <f>(EU267+EU283)*1000</f>
        <v>-26209.131150568326</v>
      </c>
      <c r="EV790" s="144"/>
      <c r="EW790" s="144">
        <f>(EW267+EW283)*1000</f>
        <v>-28107.160418267875</v>
      </c>
      <c r="EX790" s="144"/>
      <c r="EY790" s="144"/>
      <c r="EZ790" s="344"/>
      <c r="FA790" s="144"/>
      <c r="FB790" s="144">
        <f>FB267+FB166+FB151</f>
        <v>-12072</v>
      </c>
      <c r="FC790" s="144"/>
      <c r="FD790" s="144">
        <f>FD267+FD166+FD151</f>
        <v>-10531</v>
      </c>
      <c r="FE790" s="144"/>
      <c r="FF790" s="144">
        <f>FF267+FF166+FF151</f>
        <v>-9216</v>
      </c>
      <c r="FG790" s="144"/>
      <c r="FH790" s="144">
        <f>FH267+FH166+FH151</f>
        <v>0</v>
      </c>
      <c r="FI790" s="144"/>
      <c r="FJ790" s="144">
        <f>FJ267+FJ166+FJ151</f>
        <v>0</v>
      </c>
      <c r="FK790" s="144"/>
      <c r="FL790" s="144">
        <f>FL267+FL166+FL151</f>
        <v>0</v>
      </c>
      <c r="FM790" s="144"/>
      <c r="FN790" s="144">
        <f>(FN267+FN283)*1000</f>
        <v>0</v>
      </c>
      <c r="FO790" s="144"/>
      <c r="FP790" s="144">
        <f>(FP267+FP283)*1000</f>
        <v>-16400</v>
      </c>
      <c r="FQ790" s="144"/>
      <c r="FR790" s="144">
        <f>(FR267+FR283)*1000</f>
        <v>-26700</v>
      </c>
      <c r="FS790" s="144"/>
      <c r="FT790" s="144">
        <f>(FT267+FT283)*1000</f>
        <v>-36199.999999999993</v>
      </c>
      <c r="FU790" s="144"/>
      <c r="FV790" s="144">
        <f>(FV267+FV283)*1000</f>
        <v>-34300</v>
      </c>
      <c r="FW790" s="144"/>
      <c r="FX790" s="144">
        <f>(FX267+FX283)*1000</f>
        <v>-33700</v>
      </c>
      <c r="FY790" s="144"/>
      <c r="FZ790" s="144">
        <f>(FZ267+FZ283)*1000</f>
        <v>-36500</v>
      </c>
      <c r="GA790" s="144"/>
      <c r="GB790" s="144">
        <f>(GB267+GB283)*1000</f>
        <v>-56700</v>
      </c>
      <c r="GC790" s="144"/>
      <c r="GD790" s="144">
        <f>(GD267+GD283)*1000</f>
        <v>-65800</v>
      </c>
      <c r="GE790" s="144"/>
      <c r="GF790" s="144">
        <f>(GF267+GF283)*1000</f>
        <v>-73500</v>
      </c>
      <c r="GG790" s="87"/>
      <c r="GH790" s="144">
        <f>(GH267+GH283)*1000</f>
        <v>-73700</v>
      </c>
      <c r="GI790" s="87"/>
      <c r="GJ790" s="144">
        <f>(GJ267+GJ283)*1000</f>
        <v>-85800</v>
      </c>
      <c r="GK790" s="87"/>
      <c r="GL790" s="144">
        <f>(GL267+GL283)*1000</f>
        <v>-95800</v>
      </c>
      <c r="GM790" s="87"/>
      <c r="GN790" s="144">
        <f>(GN267+GN283)*1000</f>
        <v>-99199.999999999985</v>
      </c>
      <c r="GO790" s="87"/>
      <c r="GP790" s="144">
        <f>(GP267+GP283)*1000</f>
        <v>-106422.56794556993</v>
      </c>
      <c r="GQ790" s="87"/>
      <c r="GR790" s="144">
        <f>(GR267+GR283)*1000</f>
        <v>-112975.54164185999</v>
      </c>
      <c r="GS790" s="87"/>
      <c r="GT790" s="144">
        <f>(GT267+GT283)*1000</f>
        <v>-119660.97827350284</v>
      </c>
      <c r="GU790" s="87"/>
      <c r="GV790" s="144">
        <f>(GV267+GV283)*1000</f>
        <v>-126179.38697395903</v>
      </c>
      <c r="GW790" s="87"/>
      <c r="GX790" s="144">
        <f>(GX267+GX283)*1000</f>
        <v>-132648.53001498079</v>
      </c>
      <c r="GY790" s="87"/>
      <c r="GZ790" s="144"/>
      <c r="HA790" s="144"/>
      <c r="HB790" s="144"/>
      <c r="HC790"/>
      <c r="HD790"/>
      <c r="HE790"/>
      <c r="HF790"/>
      <c r="HG790"/>
      <c r="HH790"/>
      <c r="HI790" s="2"/>
    </row>
    <row r="791" spans="1:217" s="3" customFormat="1" ht="12.75" hidden="1" customHeight="1" outlineLevel="1" x14ac:dyDescent="0.2">
      <c r="B791" s="10"/>
      <c r="C791" s="9"/>
      <c r="D791" s="11"/>
      <c r="E791" s="9"/>
      <c r="F791" s="11"/>
      <c r="G791" s="9"/>
      <c r="H791" s="11"/>
      <c r="I791" s="9"/>
      <c r="J791" s="11"/>
      <c r="K791" s="9"/>
      <c r="L791" s="11"/>
      <c r="M791" s="9"/>
      <c r="N791" s="11"/>
      <c r="O791" s="9"/>
      <c r="P791" s="11"/>
      <c r="Q791" s="9"/>
      <c r="R791" s="11"/>
      <c r="S791" s="9"/>
      <c r="T791" s="11"/>
      <c r="U791" s="9"/>
      <c r="V791" s="11"/>
      <c r="W791" s="9"/>
      <c r="X791" s="11"/>
      <c r="Y791" s="9"/>
      <c r="Z791" s="11"/>
      <c r="AA791" s="9"/>
      <c r="AB791" s="11"/>
      <c r="AC791" s="9"/>
      <c r="AD791" s="11"/>
      <c r="AE791" s="9"/>
      <c r="AF791" s="11"/>
      <c r="AG791" s="9"/>
      <c r="AH791" s="11"/>
      <c r="AI791" s="9"/>
      <c r="AJ791" s="11"/>
      <c r="AK791" s="9"/>
      <c r="AL791" s="11"/>
      <c r="AM791" s="9"/>
      <c r="AN791" s="11"/>
      <c r="AO791" s="9"/>
      <c r="AP791" s="11"/>
      <c r="AQ791" s="9"/>
      <c r="AR791" s="11"/>
      <c r="AS791" s="9"/>
      <c r="AT791" s="11"/>
      <c r="AU791" s="9"/>
      <c r="AV791" s="11"/>
      <c r="AW791" s="9"/>
      <c r="AX791" s="11"/>
      <c r="AY791" s="9"/>
      <c r="AZ791" s="11"/>
      <c r="BA791" s="9"/>
      <c r="BB791" s="11"/>
      <c r="BC791" s="9"/>
      <c r="BD791" s="11"/>
      <c r="BE791" s="9"/>
      <c r="BF791" s="11"/>
      <c r="BG791" s="9"/>
      <c r="BH791" s="11"/>
      <c r="BI791" s="9"/>
      <c r="BJ791" s="11"/>
      <c r="BK791" s="9"/>
      <c r="BL791" s="11"/>
      <c r="BM791" s="9"/>
      <c r="BN791" s="11"/>
      <c r="BO791" s="9"/>
      <c r="BP791" s="11"/>
      <c r="BQ791" s="9"/>
      <c r="BR791" s="11"/>
      <c r="BS791" s="9"/>
      <c r="BT791" s="11"/>
      <c r="BU791" s="9"/>
      <c r="BV791" s="11"/>
      <c r="BW791" s="9"/>
      <c r="BX791" s="11"/>
      <c r="BY791" s="9"/>
      <c r="BZ791" s="11"/>
      <c r="CA791" s="9"/>
      <c r="CB791" s="11"/>
      <c r="CC791" s="9"/>
      <c r="CD791" s="11"/>
      <c r="CE791" s="9"/>
      <c r="CF791" s="11"/>
      <c r="CG791" s="9"/>
      <c r="CH791" s="11"/>
      <c r="CI791" s="9"/>
      <c r="CJ791" s="11"/>
      <c r="CK791" s="9"/>
      <c r="CL791" s="11"/>
      <c r="CM791" s="9"/>
      <c r="CN791" s="11"/>
      <c r="CO791" s="9"/>
      <c r="CP791" s="11"/>
      <c r="CQ791" s="9"/>
      <c r="CR791" s="11"/>
      <c r="CS791" s="9"/>
      <c r="CT791" s="11"/>
      <c r="CU791" s="9"/>
      <c r="CV791" s="11"/>
      <c r="CW791" s="9"/>
      <c r="CX791" s="11"/>
      <c r="CY791" s="9"/>
      <c r="CZ791" s="11"/>
      <c r="DA791" s="9"/>
      <c r="DB791" s="11"/>
      <c r="DC791" s="9"/>
      <c r="DD791" s="11"/>
      <c r="DE791" s="9"/>
      <c r="DF791" s="11"/>
      <c r="DG791" s="9"/>
      <c r="DH791" s="11"/>
      <c r="DI791" s="9"/>
      <c r="DJ791" s="11"/>
      <c r="DK791" s="9"/>
      <c r="DL791" s="11"/>
      <c r="DM791" s="9"/>
      <c r="DN791" s="11"/>
      <c r="DO791" s="9"/>
      <c r="DP791" s="11"/>
      <c r="DQ791" s="9"/>
      <c r="DR791" s="11"/>
      <c r="DS791" s="9"/>
      <c r="DT791" s="11"/>
      <c r="DU791" s="9"/>
      <c r="DV791" s="11"/>
      <c r="DW791" s="9"/>
      <c r="DX791" s="11"/>
      <c r="DY791" s="9"/>
      <c r="DZ791" s="11"/>
      <c r="EA791" s="9"/>
      <c r="EB791" s="11"/>
      <c r="EC791" s="9"/>
      <c r="ED791" s="11"/>
      <c r="EE791" s="9"/>
      <c r="EF791" s="11"/>
      <c r="EG791" s="9"/>
      <c r="EH791" s="11"/>
      <c r="EI791" s="9"/>
      <c r="EJ791" s="11"/>
      <c r="EK791" s="9"/>
      <c r="EL791" s="11"/>
      <c r="EM791" s="9"/>
      <c r="EN791" s="11"/>
      <c r="EO791" s="9"/>
      <c r="EP791" s="11"/>
      <c r="EQ791" s="9"/>
      <c r="ER791" s="11"/>
      <c r="ES791" s="9"/>
      <c r="ET791" s="11"/>
      <c r="EU791" s="9"/>
      <c r="EV791" s="11"/>
      <c r="EW791" s="9"/>
      <c r="EX791" s="11"/>
      <c r="EY791" s="11"/>
      <c r="EZ791" s="335"/>
      <c r="FA791" s="11"/>
      <c r="FB791" s="9"/>
      <c r="FC791" s="11"/>
      <c r="FD791" s="9"/>
      <c r="FE791" s="11"/>
      <c r="FF791" s="9"/>
      <c r="FG791" s="11"/>
      <c r="FH791" s="9"/>
      <c r="FI791" s="11"/>
      <c r="FJ791" s="9"/>
      <c r="FK791" s="11"/>
      <c r="FL791" s="9"/>
      <c r="FM791" s="11"/>
      <c r="FN791" s="9"/>
      <c r="FO791" s="11"/>
      <c r="FP791" s="9"/>
      <c r="FQ791" s="11"/>
      <c r="FR791" s="9"/>
      <c r="FS791" s="11"/>
      <c r="FT791" s="9"/>
      <c r="FU791" s="11"/>
      <c r="FV791" s="9"/>
      <c r="FW791" s="11"/>
      <c r="FX791" s="9"/>
      <c r="FY791" s="11"/>
      <c r="FZ791" s="9"/>
      <c r="GA791" s="11"/>
      <c r="GB791" s="9"/>
      <c r="GC791" s="11"/>
      <c r="GD791" s="9"/>
      <c r="GE791" s="11"/>
      <c r="GF791" s="9"/>
      <c r="GG791" s="11"/>
      <c r="GH791" s="9"/>
      <c r="GI791" s="11"/>
      <c r="GJ791" s="9"/>
      <c r="GK791" s="11"/>
      <c r="GL791" s="9"/>
      <c r="GM791" s="11"/>
      <c r="GN791" s="9"/>
      <c r="GO791" s="11"/>
      <c r="GP791" s="9"/>
      <c r="GQ791" s="11"/>
      <c r="GR791" s="9"/>
      <c r="GS791" s="11"/>
      <c r="GT791" s="9"/>
      <c r="GU791" s="11"/>
      <c r="GV791" s="9"/>
      <c r="GW791" s="11"/>
      <c r="GX791" s="9"/>
      <c r="GY791" s="11"/>
      <c r="GZ791" s="11"/>
      <c r="HA791" s="11"/>
      <c r="HB791" s="11"/>
      <c r="HC791"/>
      <c r="HD791"/>
      <c r="HE791"/>
      <c r="HF791"/>
      <c r="HG791"/>
      <c r="HH791"/>
      <c r="HI791" s="2"/>
    </row>
    <row r="792" spans="1:217" s="3" customFormat="1" ht="12.75" hidden="1" customHeight="1" outlineLevel="1" x14ac:dyDescent="0.2">
      <c r="B792" s="76" t="s">
        <v>555</v>
      </c>
      <c r="C792" s="9"/>
      <c r="D792" s="11"/>
      <c r="E792" s="9"/>
      <c r="F792" s="11"/>
      <c r="G792" s="9"/>
      <c r="H792" s="11"/>
      <c r="I792" s="9"/>
      <c r="J792" s="11"/>
      <c r="K792" s="9"/>
      <c r="L792" s="11"/>
      <c r="M792" s="9"/>
      <c r="N792" s="11"/>
      <c r="O792" s="9"/>
      <c r="P792" s="11"/>
      <c r="Q792" s="9"/>
      <c r="R792" s="11"/>
      <c r="S792" s="9"/>
      <c r="T792" s="11"/>
      <c r="U792" s="9"/>
      <c r="V792" s="11"/>
      <c r="W792" s="9"/>
      <c r="X792" s="11"/>
      <c r="Y792" s="9"/>
      <c r="Z792" s="11"/>
      <c r="AA792" s="9"/>
      <c r="AB792" s="11"/>
      <c r="AC792" s="9"/>
      <c r="AD792" s="11"/>
      <c r="AE792" s="9"/>
      <c r="AF792" s="11"/>
      <c r="AG792" s="9"/>
      <c r="AH792" s="11"/>
      <c r="AI792" s="9"/>
      <c r="AJ792" s="11"/>
      <c r="AK792" s="9"/>
      <c r="AL792" s="11"/>
      <c r="AM792" s="9"/>
      <c r="AN792" s="11"/>
      <c r="AO792" s="9"/>
      <c r="AP792" s="11"/>
      <c r="AQ792" s="9"/>
      <c r="AR792" s="11"/>
      <c r="AS792" s="9"/>
      <c r="AT792" s="11"/>
      <c r="AU792" s="9"/>
      <c r="AV792" s="11"/>
      <c r="AW792" s="9"/>
      <c r="AX792" s="11"/>
      <c r="AY792" s="144">
        <f>AY38+AY56</f>
        <v>57122</v>
      </c>
      <c r="AZ792" s="144"/>
      <c r="BA792" s="144">
        <f>BA38+BA56</f>
        <v>72678</v>
      </c>
      <c r="BB792" s="144"/>
      <c r="BC792" s="144">
        <f>BC38+BC56</f>
        <v>74369</v>
      </c>
      <c r="BD792" s="144"/>
      <c r="BE792" s="144">
        <f>BE38+BE56</f>
        <v>78303</v>
      </c>
      <c r="BF792" s="144"/>
      <c r="BG792" s="144">
        <f>BG38+BG56</f>
        <v>79270</v>
      </c>
      <c r="BH792" s="144"/>
      <c r="BI792" s="144">
        <f>BI38+BI56</f>
        <v>82576</v>
      </c>
      <c r="BJ792" s="144"/>
      <c r="BK792" s="144">
        <f>BK38+BK56</f>
        <v>84719</v>
      </c>
      <c r="BL792" s="144"/>
      <c r="BM792" s="144">
        <f>BM38+BM56</f>
        <v>83818</v>
      </c>
      <c r="BN792" s="144"/>
      <c r="BO792" s="144">
        <f>BO38+BO56</f>
        <v>78417</v>
      </c>
      <c r="BP792" s="144"/>
      <c r="BQ792" s="144">
        <f>BQ38+BQ56</f>
        <v>78101</v>
      </c>
      <c r="BR792" s="144"/>
      <c r="BS792" s="144">
        <f>BS38+BS56</f>
        <v>71317</v>
      </c>
      <c r="BT792" s="144"/>
      <c r="BU792" s="144">
        <f>BU38+BU56</f>
        <v>63302</v>
      </c>
      <c r="BV792" s="144"/>
      <c r="BW792" s="144">
        <f>BW38+BW56</f>
        <v>61205</v>
      </c>
      <c r="BX792" s="11"/>
      <c r="BY792" s="144">
        <f>BY38+BY56</f>
        <v>68320</v>
      </c>
      <c r="BZ792" s="11"/>
      <c r="CA792" s="144">
        <f>CA38+CA56</f>
        <v>78824</v>
      </c>
      <c r="CB792" s="11"/>
      <c r="CC792" s="144">
        <f>CC38+CC56</f>
        <v>83971</v>
      </c>
      <c r="CD792" s="11"/>
      <c r="CE792" s="144">
        <f>CE38+CE56</f>
        <v>89118</v>
      </c>
      <c r="CF792" s="11"/>
      <c r="CG792" s="144">
        <f>CG38+CG56</f>
        <v>87359</v>
      </c>
      <c r="CH792" s="11"/>
      <c r="CI792" s="144">
        <f>CI38+CI56</f>
        <v>97203</v>
      </c>
      <c r="CJ792" s="11"/>
      <c r="CK792" s="144">
        <f>CK38+CK56</f>
        <v>106185</v>
      </c>
      <c r="CL792" s="11"/>
      <c r="CM792" s="144">
        <f>CM38+CM56</f>
        <v>113810</v>
      </c>
      <c r="CN792" s="11"/>
      <c r="CO792" s="144">
        <f>CO38+CO56</f>
        <v>116027</v>
      </c>
      <c r="CP792" s="11"/>
      <c r="CQ792" s="144">
        <f>CQ38+CQ56</f>
        <v>106689</v>
      </c>
      <c r="CR792" s="11"/>
      <c r="CS792" s="144"/>
      <c r="CT792" s="11"/>
      <c r="CU792" s="144"/>
      <c r="CV792" s="11"/>
      <c r="CW792" s="144"/>
      <c r="CX792" s="11"/>
      <c r="CY792" s="144"/>
      <c r="CZ792" s="11"/>
      <c r="DA792" s="144"/>
      <c r="DB792" s="11"/>
      <c r="DC792" s="144"/>
      <c r="DD792" s="11"/>
      <c r="DE792" s="144"/>
      <c r="DF792" s="11"/>
      <c r="DG792" s="144"/>
      <c r="DH792" s="11"/>
      <c r="DI792" s="144"/>
      <c r="DJ792" s="11"/>
      <c r="DK792" s="144"/>
      <c r="DL792" s="11"/>
      <c r="DM792" s="144"/>
      <c r="DN792" s="11"/>
      <c r="DO792" s="144"/>
      <c r="DP792" s="11"/>
      <c r="DQ792" s="144"/>
      <c r="DR792" s="11"/>
      <c r="DS792" s="144"/>
      <c r="DT792" s="11"/>
      <c r="DU792" s="144"/>
      <c r="DV792" s="11"/>
      <c r="DW792" s="9"/>
      <c r="DX792" s="11"/>
      <c r="DY792" s="9"/>
      <c r="DZ792" s="11"/>
      <c r="EA792" s="9"/>
      <c r="EB792" s="11"/>
      <c r="EC792" s="9"/>
      <c r="ED792" s="11"/>
      <c r="EE792" s="9"/>
      <c r="EF792" s="11"/>
      <c r="EG792" s="9"/>
      <c r="EH792" s="11"/>
      <c r="EI792" s="9"/>
      <c r="EJ792" s="11"/>
      <c r="EK792" s="9"/>
      <c r="EL792" s="11"/>
      <c r="EM792" s="9"/>
      <c r="EN792" s="11"/>
      <c r="EO792" s="9"/>
      <c r="EP792" s="11"/>
      <c r="EQ792" s="9"/>
      <c r="ER792" s="11"/>
      <c r="ES792" s="9"/>
      <c r="ET792" s="11"/>
      <c r="EU792" s="9"/>
      <c r="EV792" s="11"/>
      <c r="EW792" s="9"/>
      <c r="EX792" s="11"/>
      <c r="EY792" s="11"/>
      <c r="EZ792" s="335"/>
      <c r="FA792" s="11"/>
      <c r="FB792" s="9"/>
      <c r="FC792" s="11"/>
      <c r="FD792" s="9"/>
      <c r="FE792" s="11"/>
      <c r="FF792" s="9"/>
      <c r="FG792" s="11"/>
      <c r="FH792" s="9"/>
      <c r="FI792" s="11"/>
      <c r="FJ792" s="9"/>
      <c r="FK792" s="11"/>
      <c r="FL792" s="9"/>
      <c r="FM792" s="11"/>
      <c r="FN792" s="9"/>
      <c r="FO792" s="11"/>
      <c r="FP792" s="9"/>
      <c r="FQ792" s="11"/>
      <c r="FR792" s="9"/>
      <c r="FS792" s="11"/>
      <c r="FT792" s="9"/>
      <c r="FU792" s="11"/>
      <c r="FV792" s="9"/>
      <c r="FW792" s="11"/>
      <c r="FX792" s="9"/>
      <c r="FY792" s="11"/>
      <c r="FZ792" s="9"/>
      <c r="GA792" s="11"/>
      <c r="GB792" s="9"/>
      <c r="GC792" s="11"/>
      <c r="GD792" s="9"/>
      <c r="GE792" s="11"/>
      <c r="GF792" s="9"/>
      <c r="GG792" s="11"/>
      <c r="GH792" s="9"/>
      <c r="GI792" s="11"/>
      <c r="GJ792" s="9"/>
      <c r="GK792" s="11"/>
      <c r="GL792" s="9"/>
      <c r="GM792" s="11"/>
      <c r="GN792" s="9"/>
      <c r="GO792" s="11"/>
      <c r="GP792" s="9"/>
      <c r="GQ792" s="11"/>
      <c r="GR792" s="9"/>
      <c r="GS792" s="11"/>
      <c r="GT792" s="9"/>
      <c r="GU792" s="11"/>
      <c r="GV792" s="9"/>
      <c r="GW792" s="11"/>
      <c r="GX792" s="9"/>
      <c r="GY792" s="11"/>
      <c r="GZ792" s="11"/>
      <c r="HA792" s="11"/>
      <c r="HB792" s="11"/>
      <c r="HC792"/>
      <c r="HD792"/>
      <c r="HE792"/>
      <c r="HF792"/>
      <c r="HG792"/>
      <c r="HH792"/>
      <c r="HI792" s="2"/>
    </row>
    <row r="793" spans="1:217" s="3" customFormat="1" ht="12.75" hidden="1" customHeight="1" outlineLevel="1" x14ac:dyDescent="0.2">
      <c r="B793" s="76" t="s">
        <v>556</v>
      </c>
      <c r="C793" s="9"/>
      <c r="D793" s="11"/>
      <c r="E793" s="9"/>
      <c r="F793" s="11"/>
      <c r="G793" s="9"/>
      <c r="H793" s="11"/>
      <c r="I793" s="9"/>
      <c r="J793" s="11"/>
      <c r="K793" s="9"/>
      <c r="L793" s="11"/>
      <c r="M793" s="9"/>
      <c r="N793" s="11"/>
      <c r="O793" s="9"/>
      <c r="P793" s="11"/>
      <c r="Q793" s="9"/>
      <c r="R793" s="11"/>
      <c r="S793" s="9"/>
      <c r="T793" s="11"/>
      <c r="U793" s="9"/>
      <c r="V793" s="11"/>
      <c r="W793" s="9"/>
      <c r="X793" s="11"/>
      <c r="Y793" s="9"/>
      <c r="Z793" s="11"/>
      <c r="AA793" s="9"/>
      <c r="AB793" s="11"/>
      <c r="AC793" s="9"/>
      <c r="AD793" s="11"/>
      <c r="AE793" s="9"/>
      <c r="AF793" s="11"/>
      <c r="AG793" s="9"/>
      <c r="AH793" s="11"/>
      <c r="AI793" s="9"/>
      <c r="AJ793" s="11"/>
      <c r="AK793" s="9"/>
      <c r="AL793" s="11"/>
      <c r="AM793" s="9"/>
      <c r="AN793" s="11"/>
      <c r="AO793" s="9"/>
      <c r="AP793" s="11"/>
      <c r="AQ793" s="9"/>
      <c r="AR793" s="11"/>
      <c r="AS793" s="9"/>
      <c r="AT793" s="11"/>
      <c r="AU793" s="9"/>
      <c r="AV793" s="11"/>
      <c r="AW793" s="9"/>
      <c r="AX793" s="11"/>
      <c r="AY793" s="163">
        <f>AY38/AY792*100</f>
        <v>93.100731767094985</v>
      </c>
      <c r="AZ793" s="9"/>
      <c r="BA793" s="163">
        <f>BA38/BA792*100</f>
        <v>94.673766476788018</v>
      </c>
      <c r="BB793" s="9"/>
      <c r="BC793" s="163">
        <f>BC38/BC792*100</f>
        <v>94.871519046914713</v>
      </c>
      <c r="BD793" s="9"/>
      <c r="BE793" s="163">
        <f>BE38/BE792*100</f>
        <v>95.213465639886081</v>
      </c>
      <c r="BF793" s="9"/>
      <c r="BG793" s="163">
        <f>BG38/BG792*100</f>
        <v>95.358899962154666</v>
      </c>
      <c r="BH793" s="9"/>
      <c r="BI793" s="163">
        <f>BI38/BI792*100</f>
        <v>95.630691726409609</v>
      </c>
      <c r="BJ793" s="9"/>
      <c r="BK793" s="163">
        <f>BK38/BK792*100</f>
        <v>95.814398186947443</v>
      </c>
      <c r="BL793" s="9"/>
      <c r="BM793" s="163">
        <f>BM38/BM792*100</f>
        <v>95.838602686773726</v>
      </c>
      <c r="BN793" s="9"/>
      <c r="BO793" s="163">
        <f>BO38/BO792*100</f>
        <v>95.613196118188654</v>
      </c>
      <c r="BP793" s="9"/>
      <c r="BQ793" s="163">
        <f>BQ38/BQ792*100</f>
        <v>95.654345014788547</v>
      </c>
      <c r="BR793" s="9"/>
      <c r="BS793" s="163">
        <f>BS38/BS792*100</f>
        <v>95.304064949451046</v>
      </c>
      <c r="BT793" s="9"/>
      <c r="BU793" s="163">
        <f>BU38/BU792*100</f>
        <v>94.794793213484567</v>
      </c>
      <c r="BV793" s="9"/>
      <c r="BW793" s="163">
        <f>BW38/BW792*100</f>
        <v>94.668736214361573</v>
      </c>
      <c r="BX793" s="11"/>
      <c r="BY793" s="163">
        <f>BY38/BY792*100</f>
        <v>95.285421545667447</v>
      </c>
      <c r="BZ793" s="11"/>
      <c r="CA793" s="163">
        <f>CA38/CA792*100</f>
        <v>95.923830305490711</v>
      </c>
      <c r="CB793" s="11"/>
      <c r="CC793" s="163">
        <f>CC38/CC792*100</f>
        <v>95.889056936323257</v>
      </c>
      <c r="CD793" s="11"/>
      <c r="CE793" s="163">
        <f>CE38/CE792*100</f>
        <v>95.804439058327162</v>
      </c>
      <c r="CF793" s="11"/>
      <c r="CG793" s="163">
        <f>CG38/CG792*100</f>
        <v>95.689053217184266</v>
      </c>
      <c r="CH793" s="11"/>
      <c r="CI793" s="163">
        <f>CI38/CI792*100</f>
        <v>96.061849942902995</v>
      </c>
      <c r="CJ793" s="11"/>
      <c r="CK793" s="163">
        <f>CK38/CK792*100</f>
        <v>96.386495267693178</v>
      </c>
      <c r="CL793" s="11"/>
      <c r="CM793" s="163">
        <f>CM38/CM792*100</f>
        <v>96.625076882523501</v>
      </c>
      <c r="CN793" s="11"/>
      <c r="CO793" s="163">
        <f>CO38/CO792*100</f>
        <v>96.703353529781864</v>
      </c>
      <c r="CP793" s="11"/>
      <c r="CQ793" s="163">
        <f>CQ38/CQ792*100</f>
        <v>96.428872704777433</v>
      </c>
      <c r="CR793" s="11"/>
      <c r="CS793" s="9"/>
      <c r="CT793" s="11"/>
      <c r="CU793" s="9"/>
      <c r="CV793" s="11"/>
      <c r="CW793" s="9"/>
      <c r="CX793" s="11"/>
      <c r="CY793" s="9"/>
      <c r="CZ793" s="11"/>
      <c r="DA793" s="9"/>
      <c r="DB793" s="11"/>
      <c r="DC793" s="9"/>
      <c r="DD793" s="11"/>
      <c r="DE793" s="9"/>
      <c r="DF793" s="11"/>
      <c r="DG793" s="9"/>
      <c r="DH793" s="11"/>
      <c r="DI793" s="9"/>
      <c r="DJ793" s="11"/>
      <c r="DK793" s="9"/>
      <c r="DL793" s="11"/>
      <c r="DM793" s="9"/>
      <c r="DN793" s="11"/>
      <c r="DO793" s="9"/>
      <c r="DP793" s="11"/>
      <c r="DQ793" s="9"/>
      <c r="DR793" s="11"/>
      <c r="DS793" s="9"/>
      <c r="DT793" s="11"/>
      <c r="DU793" s="9"/>
      <c r="DV793" s="11"/>
      <c r="DW793" s="9"/>
      <c r="DX793" s="11"/>
      <c r="DY793" s="9"/>
      <c r="DZ793" s="11"/>
      <c r="EA793" s="9"/>
      <c r="EB793" s="11"/>
      <c r="EC793" s="9"/>
      <c r="ED793" s="11"/>
      <c r="EE793" s="9"/>
      <c r="EF793" s="11"/>
      <c r="EG793" s="9"/>
      <c r="EH793" s="11"/>
      <c r="EI793" s="9"/>
      <c r="EJ793" s="11"/>
      <c r="EK793" s="9"/>
      <c r="EL793" s="11"/>
      <c r="EM793" s="9"/>
      <c r="EN793" s="11"/>
      <c r="EO793" s="9"/>
      <c r="EP793" s="11"/>
      <c r="EQ793" s="9"/>
      <c r="ER793" s="11"/>
      <c r="ES793" s="9"/>
      <c r="ET793" s="11"/>
      <c r="EU793" s="9"/>
      <c r="EV793" s="11"/>
      <c r="EW793" s="9"/>
      <c r="EX793" s="11"/>
      <c r="EY793" s="11"/>
      <c r="EZ793" s="335"/>
      <c r="FA793" s="11"/>
      <c r="FB793" s="9"/>
      <c r="FC793" s="11"/>
      <c r="FD793" s="9"/>
      <c r="FE793" s="11"/>
      <c r="FF793" s="9"/>
      <c r="FG793" s="11"/>
      <c r="FH793" s="9"/>
      <c r="FI793" s="11"/>
      <c r="FJ793" s="9"/>
      <c r="FK793" s="11"/>
      <c r="FL793" s="9"/>
      <c r="FM793" s="11"/>
      <c r="FN793" s="9"/>
      <c r="FO793" s="11"/>
      <c r="FP793" s="9"/>
      <c r="FQ793" s="11"/>
      <c r="FR793" s="9"/>
      <c r="FS793" s="11"/>
      <c r="FT793" s="9"/>
      <c r="FU793" s="11"/>
      <c r="FV793" s="9"/>
      <c r="FW793" s="11"/>
      <c r="FX793" s="9"/>
      <c r="FY793" s="11"/>
      <c r="FZ793" s="9"/>
      <c r="GA793" s="11"/>
      <c r="GB793" s="9"/>
      <c r="GC793" s="11"/>
      <c r="GD793" s="9"/>
      <c r="GE793" s="11"/>
      <c r="GF793" s="9"/>
      <c r="GG793" s="11"/>
      <c r="GH793" s="9"/>
      <c r="GI793" s="11"/>
      <c r="GJ793" s="9"/>
      <c r="GK793" s="11"/>
      <c r="GL793" s="9"/>
      <c r="GM793" s="11"/>
      <c r="GN793" s="9"/>
      <c r="GO793" s="11"/>
      <c r="GP793" s="9"/>
      <c r="GQ793" s="11"/>
      <c r="GR793" s="9"/>
      <c r="GS793" s="11"/>
      <c r="GT793" s="9"/>
      <c r="GU793" s="11"/>
      <c r="GV793" s="9"/>
      <c r="GW793" s="11"/>
      <c r="GX793" s="9"/>
      <c r="GY793" s="11"/>
      <c r="GZ793" s="11"/>
      <c r="HA793" s="11"/>
      <c r="HB793" s="11"/>
      <c r="HC793"/>
      <c r="HD793"/>
      <c r="HE793"/>
      <c r="HF793"/>
      <c r="HG793"/>
      <c r="HH793"/>
      <c r="HI793" s="2"/>
    </row>
    <row r="794" spans="1:217" s="3" customFormat="1" ht="12.75" hidden="1" customHeight="1" outlineLevel="1" x14ac:dyDescent="0.2">
      <c r="B794" s="76" t="s">
        <v>557</v>
      </c>
      <c r="C794" s="9"/>
      <c r="D794" s="11"/>
      <c r="E794" s="9"/>
      <c r="F794" s="11"/>
      <c r="G794" s="9"/>
      <c r="H794" s="11"/>
      <c r="I794" s="9"/>
      <c r="J794" s="11"/>
      <c r="K794" s="9"/>
      <c r="L794" s="11"/>
      <c r="M794" s="9"/>
      <c r="N794" s="11"/>
      <c r="O794" s="9"/>
      <c r="P794" s="11"/>
      <c r="Q794" s="9"/>
      <c r="R794" s="11"/>
      <c r="S794" s="9"/>
      <c r="T794" s="11"/>
      <c r="U794" s="9"/>
      <c r="V794" s="11"/>
      <c r="W794" s="9"/>
      <c r="X794" s="11"/>
      <c r="Y794" s="9"/>
      <c r="Z794" s="11"/>
      <c r="AA794" s="9"/>
      <c r="AB794" s="11"/>
      <c r="AC794" s="9"/>
      <c r="AD794" s="11"/>
      <c r="AE794" s="9"/>
      <c r="AF794" s="11"/>
      <c r="AG794" s="9"/>
      <c r="AH794" s="11"/>
      <c r="AI794" s="9"/>
      <c r="AJ794" s="11"/>
      <c r="AK794" s="9"/>
      <c r="AL794" s="11"/>
      <c r="AM794" s="9"/>
      <c r="AN794" s="11"/>
      <c r="AO794" s="9"/>
      <c r="AP794" s="11"/>
      <c r="AQ794" s="9"/>
      <c r="AR794" s="11"/>
      <c r="AS794" s="9"/>
      <c r="AT794" s="11"/>
      <c r="AU794" s="9"/>
      <c r="AV794" s="11"/>
      <c r="AW794" s="9"/>
      <c r="AX794" s="11"/>
      <c r="AY794" s="196">
        <f>(AY793/100)*AY770</f>
        <v>109.85886348517208</v>
      </c>
      <c r="AZ794" s="9"/>
      <c r="BA794" s="196">
        <f>(BA793/100)*BA770</f>
        <v>115.50199510168137</v>
      </c>
      <c r="BB794" s="9"/>
      <c r="BC794" s="196">
        <f>(BC793/100)*BC770</f>
        <v>147.0508545227178</v>
      </c>
      <c r="BD794" s="9"/>
      <c r="BE794" s="196">
        <f>(BE793/100)*BE770</f>
        <v>146.62873708542458</v>
      </c>
      <c r="BF794" s="9"/>
      <c r="BG794" s="196">
        <f>(BG793/100)*BG770</f>
        <v>158.29577393717673</v>
      </c>
      <c r="BH794" s="9"/>
      <c r="BI794" s="196">
        <f>(BI793/100)*BI770</f>
        <v>172.13524510753729</v>
      </c>
      <c r="BJ794" s="9"/>
      <c r="BK794" s="196">
        <f>(BK793/100)*BK770</f>
        <v>170.54962877276645</v>
      </c>
      <c r="BL794" s="9"/>
      <c r="BM794" s="196">
        <f>(BM793/100)*BM770</f>
        <v>167.71755470185403</v>
      </c>
      <c r="BN794" s="9"/>
      <c r="BO794" s="196">
        <f>(BO793/100)*BO770</f>
        <v>109.95517553591696</v>
      </c>
      <c r="BP794" s="9"/>
      <c r="BQ794" s="196">
        <f>(BQ793/100)*BQ770</f>
        <v>147.30769132277436</v>
      </c>
      <c r="BR794" s="9"/>
      <c r="BS794" s="196">
        <f>(BS793/100)*BS770</f>
        <v>104.83447144439616</v>
      </c>
      <c r="BT794" s="9"/>
      <c r="BU794" s="196">
        <f>(BU793/100)*BU770</f>
        <v>90.055053552810335</v>
      </c>
      <c r="BV794" s="9"/>
      <c r="BW794" s="196">
        <f>(BW793/100)*BW770</f>
        <v>78.575051057920106</v>
      </c>
      <c r="BX794" s="11"/>
      <c r="BY794" s="196">
        <f>(BY793/100)*BY770</f>
        <v>69.558357728337242</v>
      </c>
      <c r="BZ794" s="11"/>
      <c r="CA794" s="196">
        <f>(CA793/100)*CA770</f>
        <v>225.42100121790315</v>
      </c>
      <c r="CB794" s="11"/>
      <c r="CC794" s="196">
        <f>(CC793/100)*CC770</f>
        <v>113.14908718486144</v>
      </c>
      <c r="CD794" s="11"/>
      <c r="CE794" s="196">
        <f>(CE793/100)*CE770</f>
        <v>120.71359321349223</v>
      </c>
      <c r="CF794" s="11"/>
      <c r="CG794" s="196">
        <f>(CG793/100)*CG770</f>
        <v>133.96467450405797</v>
      </c>
      <c r="CH794" s="11"/>
      <c r="CI794" s="196">
        <f>(CI793/100)*CI770</f>
        <v>134.4865899200642</v>
      </c>
      <c r="CJ794" s="11"/>
      <c r="CK794" s="196">
        <f>(CK793/100)*CK770</f>
        <v>164.82090690775533</v>
      </c>
      <c r="CL794" s="11"/>
      <c r="CM794" s="196">
        <f>(CM793/100)*CM770</f>
        <v>208.32366575872067</v>
      </c>
      <c r="CN794" s="11"/>
      <c r="CO794" s="196">
        <f>(CO793/100)*CO770</f>
        <v>234.02211554207213</v>
      </c>
      <c r="CP794" s="11"/>
      <c r="CQ794" s="196">
        <f>(CQ793/100)*CQ770</f>
        <v>220.82211849394034</v>
      </c>
      <c r="CR794" s="11"/>
      <c r="CS794" s="9"/>
      <c r="CT794" s="11"/>
      <c r="CU794" s="9"/>
      <c r="CV794" s="11"/>
      <c r="CW794" s="9"/>
      <c r="CX794" s="11"/>
      <c r="CY794" s="9"/>
      <c r="CZ794" s="11"/>
      <c r="DA794" s="9"/>
      <c r="DB794" s="11"/>
      <c r="DC794" s="9"/>
      <c r="DD794" s="11"/>
      <c r="DE794" s="9"/>
      <c r="DF794" s="11"/>
      <c r="DG794" s="9"/>
      <c r="DH794" s="11"/>
      <c r="DI794" s="9"/>
      <c r="DJ794" s="11"/>
      <c r="DK794" s="9"/>
      <c r="DL794" s="11"/>
      <c r="DM794" s="9"/>
      <c r="DN794" s="11"/>
      <c r="DO794" s="9"/>
      <c r="DP794" s="11"/>
      <c r="DQ794" s="9"/>
      <c r="DR794" s="11"/>
      <c r="DS794" s="9"/>
      <c r="DT794" s="11"/>
      <c r="DU794" s="9"/>
      <c r="DV794" s="11"/>
      <c r="DW794" s="9"/>
      <c r="DX794" s="11"/>
      <c r="DY794" s="9"/>
      <c r="DZ794" s="11"/>
      <c r="EA794" s="9"/>
      <c r="EB794" s="11"/>
      <c r="EC794" s="9"/>
      <c r="ED794" s="11"/>
      <c r="EE794" s="9"/>
      <c r="EF794" s="11"/>
      <c r="EG794" s="9"/>
      <c r="EH794" s="11"/>
      <c r="EI794" s="9"/>
      <c r="EJ794" s="11"/>
      <c r="EK794" s="9"/>
      <c r="EL794" s="11"/>
      <c r="EM794" s="9"/>
      <c r="EN794" s="11"/>
      <c r="EO794" s="9"/>
      <c r="EP794" s="11"/>
      <c r="EQ794" s="9"/>
      <c r="ER794" s="11"/>
      <c r="ES794" s="9"/>
      <c r="ET794" s="11"/>
      <c r="EU794" s="9"/>
      <c r="EV794" s="11"/>
      <c r="EW794" s="9"/>
      <c r="EX794" s="11"/>
      <c r="EY794" s="11"/>
      <c r="EZ794" s="335"/>
      <c r="FA794" s="11"/>
      <c r="FB794" s="9"/>
      <c r="FC794" s="11"/>
      <c r="FD794" s="9"/>
      <c r="FE794" s="11"/>
      <c r="FF794" s="9"/>
      <c r="FG794" s="11"/>
      <c r="FH794" s="9"/>
      <c r="FI794" s="11"/>
      <c r="FJ794" s="9"/>
      <c r="FK794" s="11"/>
      <c r="FL794" s="9"/>
      <c r="FM794" s="11"/>
      <c r="FN794" s="9"/>
      <c r="FO794" s="11"/>
      <c r="FP794" s="9"/>
      <c r="FQ794" s="11"/>
      <c r="FR794" s="9"/>
      <c r="FS794" s="11"/>
      <c r="FT794" s="9"/>
      <c r="FU794" s="11"/>
      <c r="FV794" s="9"/>
      <c r="FW794" s="11"/>
      <c r="FX794" s="9"/>
      <c r="FY794" s="11"/>
      <c r="FZ794" s="9"/>
      <c r="GA794" s="11"/>
      <c r="GB794" s="9"/>
      <c r="GC794" s="11"/>
      <c r="GD794" s="9"/>
      <c r="GE794" s="11"/>
      <c r="GF794" s="9"/>
      <c r="GG794" s="11"/>
      <c r="GH794" s="9"/>
      <c r="GI794" s="11"/>
      <c r="GJ794" s="9"/>
      <c r="GK794" s="11"/>
      <c r="GL794" s="9"/>
      <c r="GM794" s="11"/>
      <c r="GN794" s="9"/>
      <c r="GO794" s="11"/>
      <c r="GP794" s="9"/>
      <c r="GQ794" s="11"/>
      <c r="GR794" s="9"/>
      <c r="GS794" s="11"/>
      <c r="GT794" s="9"/>
      <c r="GU794" s="11"/>
      <c r="GV794" s="9"/>
      <c r="GW794" s="11"/>
      <c r="GX794" s="9"/>
      <c r="GY794" s="11"/>
      <c r="GZ794" s="11"/>
      <c r="HA794" s="11"/>
      <c r="HB794" s="11"/>
      <c r="HC794"/>
      <c r="HD794"/>
      <c r="HE794"/>
      <c r="HF794"/>
      <c r="HG794"/>
      <c r="HH794"/>
      <c r="HI794" s="2"/>
    </row>
    <row r="795" spans="1:217" s="3" customFormat="1" ht="12.75" hidden="1" customHeight="1" outlineLevel="1" x14ac:dyDescent="0.2">
      <c r="B795" s="10"/>
      <c r="C795" s="9"/>
      <c r="D795" s="11"/>
      <c r="E795" s="9"/>
      <c r="F795" s="11"/>
      <c r="G795" s="9"/>
      <c r="H795" s="11"/>
      <c r="I795" s="9"/>
      <c r="J795" s="11"/>
      <c r="K795" s="9"/>
      <c r="L795" s="11"/>
      <c r="M795" s="9"/>
      <c r="N795" s="11"/>
      <c r="O795" s="9"/>
      <c r="P795" s="11"/>
      <c r="Q795" s="9"/>
      <c r="R795" s="11"/>
      <c r="S795" s="9"/>
      <c r="T795" s="11"/>
      <c r="U795" s="9"/>
      <c r="V795" s="11"/>
      <c r="W795" s="9"/>
      <c r="X795" s="11"/>
      <c r="Y795" s="9"/>
      <c r="Z795" s="11"/>
      <c r="AA795" s="9"/>
      <c r="AB795" s="11"/>
      <c r="AC795" s="9"/>
      <c r="AD795" s="11"/>
      <c r="AE795" s="9"/>
      <c r="AF795" s="11"/>
      <c r="AG795" s="9"/>
      <c r="AH795" s="11"/>
      <c r="AI795" s="9"/>
      <c r="AJ795" s="11"/>
      <c r="AK795" s="9"/>
      <c r="AL795" s="11"/>
      <c r="AM795" s="9"/>
      <c r="AN795" s="11"/>
      <c r="AO795" s="9"/>
      <c r="AP795" s="11"/>
      <c r="AQ795" s="9"/>
      <c r="AR795" s="11"/>
      <c r="AS795" s="9"/>
      <c r="AT795" s="11"/>
      <c r="AU795" s="9"/>
      <c r="AV795" s="11"/>
      <c r="AW795" s="9"/>
      <c r="AX795" s="11"/>
      <c r="AY795" s="9"/>
      <c r="AZ795" s="11"/>
      <c r="BA795" s="9"/>
      <c r="BB795" s="11"/>
      <c r="BC795" s="9"/>
      <c r="BD795" s="11"/>
      <c r="BE795" s="9"/>
      <c r="BF795" s="11"/>
      <c r="BG795" s="9"/>
      <c r="BH795" s="11"/>
      <c r="BI795" s="9"/>
      <c r="BJ795" s="11"/>
      <c r="BK795" s="9"/>
      <c r="BL795" s="11"/>
      <c r="BM795" s="9"/>
      <c r="BN795" s="11"/>
      <c r="BO795" s="9"/>
      <c r="BP795" s="11"/>
      <c r="BQ795" s="9"/>
      <c r="BR795" s="11"/>
      <c r="BS795" s="9"/>
      <c r="BT795" s="11"/>
      <c r="BU795" s="9"/>
      <c r="BV795" s="11"/>
      <c r="BW795" s="9"/>
      <c r="BX795" s="11"/>
      <c r="BY795" s="9"/>
      <c r="BZ795" s="11"/>
      <c r="CA795" s="9"/>
      <c r="CB795" s="11"/>
      <c r="CC795" s="9"/>
      <c r="CD795" s="11"/>
      <c r="CE795" s="9"/>
      <c r="CF795" s="11"/>
      <c r="CG795" s="9"/>
      <c r="CH795" s="11"/>
      <c r="CI795" s="9"/>
      <c r="CJ795" s="11"/>
      <c r="CK795" s="9"/>
      <c r="CL795" s="11"/>
      <c r="CM795" s="9"/>
      <c r="CN795" s="11"/>
      <c r="CO795" s="9"/>
      <c r="CP795" s="11"/>
      <c r="CQ795" s="9"/>
      <c r="CR795" s="11"/>
      <c r="CS795" s="9"/>
      <c r="CT795" s="11"/>
      <c r="CU795" s="9"/>
      <c r="CV795" s="11"/>
      <c r="CW795" s="9"/>
      <c r="CX795" s="11"/>
      <c r="CY795" s="9"/>
      <c r="CZ795" s="11"/>
      <c r="DA795" s="9"/>
      <c r="DB795" s="11"/>
      <c r="DC795" s="9"/>
      <c r="DD795" s="11"/>
      <c r="DE795" s="9"/>
      <c r="DF795" s="11"/>
      <c r="DG795" s="9"/>
      <c r="DH795" s="11"/>
      <c r="DI795" s="9"/>
      <c r="DJ795" s="11"/>
      <c r="DK795" s="9"/>
      <c r="DL795" s="11"/>
      <c r="DM795" s="9"/>
      <c r="DN795" s="11"/>
      <c r="DO795" s="9"/>
      <c r="DP795" s="11"/>
      <c r="DQ795" s="9"/>
      <c r="DR795" s="11"/>
      <c r="DS795" s="9"/>
      <c r="DT795" s="11"/>
      <c r="DU795" s="9"/>
      <c r="DV795" s="11"/>
      <c r="DW795" s="9"/>
      <c r="DX795" s="11"/>
      <c r="DY795" s="9"/>
      <c r="DZ795" s="11"/>
      <c r="EA795" s="9"/>
      <c r="EB795" s="11"/>
      <c r="EC795" s="9"/>
      <c r="ED795" s="11"/>
      <c r="EE795" s="9"/>
      <c r="EF795" s="11"/>
      <c r="EG795" s="9"/>
      <c r="EH795" s="11"/>
      <c r="EI795" s="9"/>
      <c r="EJ795" s="11"/>
      <c r="EK795" s="9"/>
      <c r="EL795" s="11"/>
      <c r="EM795" s="9"/>
      <c r="EN795" s="11"/>
      <c r="EO795" s="9"/>
      <c r="EP795" s="11"/>
      <c r="EQ795" s="9"/>
      <c r="ER795" s="11"/>
      <c r="ES795" s="9"/>
      <c r="ET795" s="11"/>
      <c r="EU795" s="9"/>
      <c r="EV795" s="11"/>
      <c r="EW795" s="9"/>
      <c r="EX795" s="11"/>
      <c r="EY795" s="11"/>
      <c r="EZ795" s="335"/>
      <c r="FA795" s="11"/>
      <c r="FB795" s="9"/>
      <c r="FC795" s="11"/>
      <c r="FD795" s="9"/>
      <c r="FE795" s="11"/>
      <c r="FF795" s="9"/>
      <c r="FG795" s="11"/>
      <c r="FH795" s="9"/>
      <c r="FI795" s="11"/>
      <c r="FJ795" s="9"/>
      <c r="FK795" s="11"/>
      <c r="FL795" s="9"/>
      <c r="FM795" s="11"/>
      <c r="FN795" s="9"/>
      <c r="FO795" s="11"/>
      <c r="FP795" s="9"/>
      <c r="FQ795" s="11"/>
      <c r="FR795" s="9"/>
      <c r="FS795" s="11"/>
      <c r="FT795" s="9"/>
      <c r="FU795" s="11"/>
      <c r="FV795" s="9"/>
      <c r="FW795" s="11"/>
      <c r="FX795" s="9"/>
      <c r="FY795" s="11"/>
      <c r="FZ795" s="9"/>
      <c r="GA795" s="11"/>
      <c r="GB795" s="9"/>
      <c r="GC795" s="11"/>
      <c r="GD795" s="9"/>
      <c r="GE795" s="11"/>
      <c r="GF795" s="9"/>
      <c r="GG795" s="11"/>
      <c r="GH795" s="9"/>
      <c r="GI795" s="11"/>
      <c r="GJ795" s="9"/>
      <c r="GK795" s="11"/>
      <c r="GL795" s="9"/>
      <c r="GM795" s="11"/>
      <c r="GN795" s="9"/>
      <c r="GO795" s="11"/>
      <c r="GP795" s="9"/>
      <c r="GQ795" s="11"/>
      <c r="GR795" s="9"/>
      <c r="GS795" s="11"/>
      <c r="GT795" s="9"/>
      <c r="GU795" s="11"/>
      <c r="GV795" s="9"/>
      <c r="GW795" s="11"/>
      <c r="GX795" s="9"/>
      <c r="GY795" s="11"/>
      <c r="GZ795" s="11"/>
      <c r="HA795" s="11"/>
      <c r="HB795" s="11"/>
      <c r="HC795"/>
      <c r="HD795"/>
      <c r="HE795"/>
      <c r="HF795"/>
      <c r="HG795"/>
      <c r="HH795"/>
      <c r="HI795" s="2"/>
    </row>
    <row r="796" spans="1:217" s="3" customFormat="1" ht="12.75" hidden="1" customHeight="1" outlineLevel="1" x14ac:dyDescent="0.2">
      <c r="B796" s="76" t="s">
        <v>609</v>
      </c>
      <c r="C796" s="9"/>
      <c r="D796" s="11"/>
      <c r="E796" s="9"/>
      <c r="F796" s="11"/>
      <c r="G796" s="9"/>
      <c r="H796" s="11"/>
      <c r="I796" s="9"/>
      <c r="J796" s="11"/>
      <c r="K796" s="9"/>
      <c r="L796" s="11"/>
      <c r="M796" s="9"/>
      <c r="N796" s="11"/>
      <c r="O796" s="9"/>
      <c r="P796" s="11"/>
      <c r="Q796" s="9"/>
      <c r="R796" s="11"/>
      <c r="S796" s="9"/>
      <c r="T796" s="11"/>
      <c r="U796" s="9"/>
      <c r="V796" s="11"/>
      <c r="W796" s="9"/>
      <c r="X796" s="11"/>
      <c r="Y796" s="9"/>
      <c r="Z796" s="11"/>
      <c r="AA796" s="9"/>
      <c r="AB796" s="11"/>
      <c r="AC796" s="9"/>
      <c r="AD796" s="11"/>
      <c r="AE796" s="9"/>
      <c r="AF796" s="11"/>
      <c r="AG796" s="9"/>
      <c r="AH796" s="11"/>
      <c r="AI796" s="9"/>
      <c r="AJ796" s="11"/>
      <c r="AK796" s="9"/>
      <c r="AL796" s="11"/>
      <c r="AM796" s="9"/>
      <c r="AN796" s="11"/>
      <c r="AO796" s="9"/>
      <c r="AP796" s="11"/>
      <c r="AQ796" s="9"/>
      <c r="AR796" s="11"/>
      <c r="AS796" s="9"/>
      <c r="AT796" s="11"/>
      <c r="AU796" s="9"/>
      <c r="AV796" s="11"/>
      <c r="AW796" s="9"/>
      <c r="AX796" s="11"/>
      <c r="AY796" s="144">
        <f>AY153+AY169</f>
        <v>139069</v>
      </c>
      <c r="AZ796" s="144"/>
      <c r="BA796" s="144">
        <f>BA153+BA169</f>
        <v>138450</v>
      </c>
      <c r="BB796" s="144"/>
      <c r="BC796" s="144">
        <f>BC153+BC169</f>
        <v>142832</v>
      </c>
      <c r="BD796" s="144"/>
      <c r="BE796" s="144">
        <f>BE153+BE169</f>
        <v>147699</v>
      </c>
      <c r="BF796" s="144"/>
      <c r="BG796" s="144">
        <f>BG153+BG169</f>
        <v>150219</v>
      </c>
      <c r="BH796" s="144"/>
      <c r="BI796" s="144">
        <f>BI153+BI169</f>
        <v>154959</v>
      </c>
      <c r="BJ796" s="144"/>
      <c r="BK796" s="144">
        <f>BK153+BK169</f>
        <v>157228</v>
      </c>
      <c r="BL796" s="144"/>
      <c r="BM796" s="144">
        <f>BM153+BM169</f>
        <v>163783</v>
      </c>
      <c r="BN796" s="144"/>
      <c r="BO796" s="144">
        <f>BO153+BO169</f>
        <v>158727</v>
      </c>
      <c r="BP796" s="144"/>
      <c r="BQ796" s="144">
        <f>BQ153+BQ169</f>
        <v>158430</v>
      </c>
      <c r="BR796" s="144"/>
      <c r="BS796" s="144">
        <f>BS153+BS169</f>
        <v>150504</v>
      </c>
      <c r="BT796" s="144"/>
      <c r="BU796" s="144">
        <f>BU153+BU169</f>
        <v>150229</v>
      </c>
      <c r="BV796" s="144"/>
      <c r="BW796" s="144">
        <f>BW153+BW169</f>
        <v>151189</v>
      </c>
      <c r="BX796" s="11"/>
      <c r="BY796" s="144">
        <f>BY153+BY169</f>
        <v>160425</v>
      </c>
      <c r="BZ796" s="11"/>
      <c r="CA796" s="144">
        <f>CA153+CA169</f>
        <v>171893</v>
      </c>
      <c r="CB796" s="11"/>
      <c r="CC796" s="144">
        <f>CC153+CC169</f>
        <v>178253</v>
      </c>
      <c r="CD796" s="11"/>
      <c r="CE796" s="144">
        <f>CE153+CE169</f>
        <v>183915</v>
      </c>
      <c r="CF796" s="11"/>
      <c r="CG796" s="144">
        <f>CG153+CG169</f>
        <v>181141</v>
      </c>
      <c r="CH796" s="11"/>
      <c r="CI796" s="144">
        <f>CI153+CI169</f>
        <v>194310</v>
      </c>
      <c r="CJ796" s="11"/>
      <c r="CK796" s="144">
        <f>CK153+CK169</f>
        <v>205496</v>
      </c>
      <c r="CL796" s="11"/>
      <c r="CM796" s="144">
        <f>CM153+CM169</f>
        <v>214869</v>
      </c>
      <c r="CN796" s="11"/>
      <c r="CO796" s="144">
        <f>CO153+CO169</f>
        <v>220711</v>
      </c>
      <c r="CP796" s="11"/>
      <c r="CQ796" s="144">
        <f>CQ153+CQ169</f>
        <v>214711</v>
      </c>
      <c r="CR796" s="11"/>
      <c r="CS796" s="144"/>
      <c r="CT796" s="11"/>
      <c r="CU796" s="144"/>
      <c r="CV796" s="11"/>
      <c r="CW796" s="144"/>
      <c r="CX796" s="11"/>
      <c r="CY796" s="144"/>
      <c r="CZ796" s="11"/>
      <c r="DA796" s="144"/>
      <c r="DB796" s="11"/>
      <c r="DC796" s="144"/>
      <c r="DD796" s="11"/>
      <c r="DE796" s="144"/>
      <c r="DF796" s="11"/>
      <c r="DG796" s="144"/>
      <c r="DH796" s="11"/>
      <c r="DI796" s="144"/>
      <c r="DJ796" s="11"/>
      <c r="DK796" s="144"/>
      <c r="DL796" s="11"/>
      <c r="DM796" s="144"/>
      <c r="DN796" s="11"/>
      <c r="DO796" s="144"/>
      <c r="DP796" s="11"/>
      <c r="DQ796" s="144"/>
      <c r="DR796" s="11"/>
      <c r="DS796" s="144"/>
      <c r="DT796" s="11"/>
      <c r="DU796" s="144"/>
      <c r="DV796" s="11"/>
      <c r="DW796" s="9"/>
      <c r="DX796" s="11"/>
      <c r="DY796" s="9"/>
      <c r="DZ796" s="11"/>
      <c r="EA796" s="9"/>
      <c r="EB796" s="11"/>
      <c r="EC796" s="9"/>
      <c r="ED796" s="11"/>
      <c r="EE796" s="9"/>
      <c r="EF796" s="11"/>
      <c r="EG796" s="9"/>
      <c r="EH796" s="11"/>
      <c r="EI796" s="9"/>
      <c r="EJ796" s="11"/>
      <c r="EK796" s="9"/>
      <c r="EL796" s="11"/>
      <c r="EM796" s="9"/>
      <c r="EN796" s="11"/>
      <c r="EO796" s="9"/>
      <c r="EP796" s="11"/>
      <c r="EQ796" s="9"/>
      <c r="ER796" s="11"/>
      <c r="ES796" s="9"/>
      <c r="ET796" s="11"/>
      <c r="EU796" s="9"/>
      <c r="EV796" s="11"/>
      <c r="EW796" s="9"/>
      <c r="EX796" s="11"/>
      <c r="EY796" s="11"/>
      <c r="EZ796" s="335"/>
      <c r="FA796" s="11"/>
      <c r="FB796" s="9"/>
      <c r="FC796" s="11"/>
      <c r="FD796" s="9"/>
      <c r="FE796" s="11"/>
      <c r="FF796" s="9"/>
      <c r="FG796" s="11"/>
      <c r="FH796" s="9"/>
      <c r="FI796" s="11"/>
      <c r="FJ796" s="9"/>
      <c r="FK796" s="11"/>
      <c r="FL796" s="9"/>
      <c r="FM796" s="11"/>
      <c r="FN796" s="9"/>
      <c r="FO796" s="11"/>
      <c r="FP796" s="9"/>
      <c r="FQ796" s="11"/>
      <c r="FR796" s="9"/>
      <c r="FS796" s="11"/>
      <c r="FT796" s="9"/>
      <c r="FU796" s="11"/>
      <c r="FV796" s="9"/>
      <c r="FW796" s="11"/>
      <c r="FX796" s="9"/>
      <c r="FY796" s="11"/>
      <c r="FZ796" s="9"/>
      <c r="GA796" s="11"/>
      <c r="GB796" s="9"/>
      <c r="GC796" s="11"/>
      <c r="GD796" s="9"/>
      <c r="GE796" s="11"/>
      <c r="GF796" s="9"/>
      <c r="GG796" s="11"/>
      <c r="GH796" s="9"/>
      <c r="GI796" s="11"/>
      <c r="GJ796" s="9"/>
      <c r="GK796" s="11"/>
      <c r="GL796" s="9"/>
      <c r="GM796" s="11"/>
      <c r="GN796" s="9"/>
      <c r="GO796" s="11"/>
      <c r="GP796" s="9"/>
      <c r="GQ796" s="11"/>
      <c r="GR796" s="9"/>
      <c r="GS796" s="11"/>
      <c r="GT796" s="9"/>
      <c r="GU796" s="11"/>
      <c r="GV796" s="9"/>
      <c r="GW796" s="11"/>
      <c r="GX796" s="9"/>
      <c r="GY796" s="11"/>
      <c r="GZ796" s="11"/>
      <c r="HA796" s="11"/>
      <c r="HB796" s="11"/>
      <c r="HC796"/>
      <c r="HD796"/>
      <c r="HE796"/>
      <c r="HF796"/>
      <c r="HG796"/>
      <c r="HH796"/>
      <c r="HI796" s="2"/>
    </row>
    <row r="797" spans="1:217" s="3" customFormat="1" ht="12.75" hidden="1" customHeight="1" outlineLevel="1" x14ac:dyDescent="0.2">
      <c r="B797" s="76" t="s">
        <v>610</v>
      </c>
      <c r="C797" s="9"/>
      <c r="D797" s="11"/>
      <c r="E797" s="9"/>
      <c r="F797" s="11"/>
      <c r="G797" s="9"/>
      <c r="H797" s="11"/>
      <c r="I797" s="9"/>
      <c r="J797" s="11"/>
      <c r="K797" s="9"/>
      <c r="L797" s="11"/>
      <c r="M797" s="9"/>
      <c r="N797" s="11"/>
      <c r="O797" s="9"/>
      <c r="P797" s="11"/>
      <c r="Q797" s="9"/>
      <c r="R797" s="11"/>
      <c r="S797" s="9"/>
      <c r="T797" s="11"/>
      <c r="U797" s="9"/>
      <c r="V797" s="11"/>
      <c r="W797" s="9"/>
      <c r="X797" s="11"/>
      <c r="Y797" s="9"/>
      <c r="Z797" s="11"/>
      <c r="AA797" s="9"/>
      <c r="AB797" s="11"/>
      <c r="AC797" s="9"/>
      <c r="AD797" s="11"/>
      <c r="AE797" s="9"/>
      <c r="AF797" s="11"/>
      <c r="AG797" s="9"/>
      <c r="AH797" s="11"/>
      <c r="AI797" s="9"/>
      <c r="AJ797" s="11"/>
      <c r="AK797" s="9"/>
      <c r="AL797" s="11"/>
      <c r="AM797" s="9"/>
      <c r="AN797" s="11"/>
      <c r="AO797" s="9"/>
      <c r="AP797" s="11"/>
      <c r="AQ797" s="9"/>
      <c r="AR797" s="11"/>
      <c r="AS797" s="9"/>
      <c r="AT797" s="11"/>
      <c r="AU797" s="9"/>
      <c r="AV797" s="11"/>
      <c r="AW797" s="9"/>
      <c r="AX797" s="11"/>
      <c r="AY797" s="163">
        <f>AY169/AY796*100</f>
        <v>33.950772638042984</v>
      </c>
      <c r="AZ797" s="9"/>
      <c r="BA797" s="163">
        <f>BA169/BA796*100</f>
        <v>33.884434814012273</v>
      </c>
      <c r="BB797" s="9"/>
      <c r="BC797" s="163">
        <f>BC169/BC796*100</f>
        <v>34.633695530413355</v>
      </c>
      <c r="BD797" s="9"/>
      <c r="BE797" s="163">
        <f>BE169/BE796*100</f>
        <v>34.034759883276124</v>
      </c>
      <c r="BF797" s="9"/>
      <c r="BG797" s="163">
        <f>BG169/BG796*100</f>
        <v>33.724761847702354</v>
      </c>
      <c r="BH797" s="9"/>
      <c r="BI797" s="163">
        <f>BI169/BI796*100</f>
        <v>32.864176975845218</v>
      </c>
      <c r="BJ797" s="9"/>
      <c r="BK797" s="163">
        <f>BK169/BK796*100</f>
        <v>32.83575444577302</v>
      </c>
      <c r="BL797" s="9"/>
      <c r="BM797" s="163">
        <f>BM169/BM796*100</f>
        <v>31.499606186234224</v>
      </c>
      <c r="BN797" s="9"/>
      <c r="BO797" s="163">
        <f>BO169/BO796*100</f>
        <v>32.550857762069462</v>
      </c>
      <c r="BP797" s="9"/>
      <c r="BQ797" s="163">
        <f>BQ169/BQ796*100</f>
        <v>32.514675250899451</v>
      </c>
      <c r="BR797" s="9"/>
      <c r="BS797" s="163">
        <f>BS169/BS796*100</f>
        <v>33.248950194014775</v>
      </c>
      <c r="BT797" s="9"/>
      <c r="BU797" s="163">
        <f>BU169/BU796*100</f>
        <v>33.609356382589247</v>
      </c>
      <c r="BV797" s="9"/>
      <c r="BW797" s="163">
        <f>BW169/BW796*100</f>
        <v>32.429607974125105</v>
      </c>
      <c r="BX797" s="11"/>
      <c r="BY797" s="163">
        <f>BY169/BY796*100</f>
        <v>30.83995636590307</v>
      </c>
      <c r="BZ797" s="11"/>
      <c r="CA797" s="163">
        <f>CA169/CA796*100</f>
        <v>29.16756354243628</v>
      </c>
      <c r="CB797" s="11"/>
      <c r="CC797" s="163">
        <f>CC169/CC796*100</f>
        <v>29.120407510673029</v>
      </c>
      <c r="CD797" s="11"/>
      <c r="CE797" s="163">
        <f>CE169/CE796*100</f>
        <v>28.691515102085202</v>
      </c>
      <c r="CF797" s="11"/>
      <c r="CG797" s="163">
        <f>CG169/CG796*100</f>
        <v>30.89582148712881</v>
      </c>
      <c r="CH797" s="11"/>
      <c r="CI797" s="163">
        <f>CI169/CI796*100</f>
        <v>30.39575935361021</v>
      </c>
      <c r="CJ797" s="11"/>
      <c r="CK797" s="163">
        <f>CK169/CK796*100</f>
        <v>31.233211352045782</v>
      </c>
      <c r="CL797" s="11"/>
      <c r="CM797" s="163">
        <f>CM169/CM796*100</f>
        <v>32.062326347681612</v>
      </c>
      <c r="CN797" s="11"/>
      <c r="CO797" s="163">
        <f>CO169/CO796*100</f>
        <v>33.587360847443037</v>
      </c>
      <c r="CP797" s="11"/>
      <c r="CQ797" s="163">
        <f>CQ169/CQ796*100</f>
        <v>37.49831168407767</v>
      </c>
      <c r="CR797" s="11"/>
      <c r="CS797" s="9"/>
      <c r="CT797" s="11"/>
      <c r="CU797" s="9"/>
      <c r="CV797" s="11"/>
      <c r="CW797" s="9"/>
      <c r="CX797" s="11"/>
      <c r="CY797" s="9"/>
      <c r="CZ797" s="11"/>
      <c r="DA797" s="9"/>
      <c r="DB797" s="11"/>
      <c r="DC797" s="9"/>
      <c r="DD797" s="11"/>
      <c r="DE797" s="9"/>
      <c r="DF797" s="11"/>
      <c r="DG797" s="9"/>
      <c r="DH797" s="11"/>
      <c r="DI797" s="9"/>
      <c r="DJ797" s="11"/>
      <c r="DK797" s="9"/>
      <c r="DL797" s="11"/>
      <c r="DM797" s="9"/>
      <c r="DN797" s="11"/>
      <c r="DO797" s="9"/>
      <c r="DP797" s="11"/>
      <c r="DQ797" s="9"/>
      <c r="DR797" s="11"/>
      <c r="DS797" s="9"/>
      <c r="DT797" s="11"/>
      <c r="DU797" s="9"/>
      <c r="DV797" s="11"/>
      <c r="DW797" s="9"/>
      <c r="DX797" s="11"/>
      <c r="DY797" s="9"/>
      <c r="DZ797" s="11"/>
      <c r="EA797" s="9"/>
      <c r="EB797" s="11"/>
      <c r="EC797" s="9"/>
      <c r="ED797" s="11"/>
      <c r="EE797" s="9"/>
      <c r="EF797" s="11"/>
      <c r="EG797" s="9"/>
      <c r="EH797" s="11"/>
      <c r="EI797" s="9"/>
      <c r="EJ797" s="11"/>
      <c r="EK797" s="9"/>
      <c r="EL797" s="11"/>
      <c r="EM797" s="9"/>
      <c r="EN797" s="11"/>
      <c r="EO797" s="9"/>
      <c r="EP797" s="11"/>
      <c r="EQ797" s="9"/>
      <c r="ER797" s="11"/>
      <c r="ES797" s="9"/>
      <c r="ET797" s="11"/>
      <c r="EU797" s="9"/>
      <c r="EV797" s="11"/>
      <c r="EW797" s="9"/>
      <c r="EX797" s="11"/>
      <c r="EY797" s="11"/>
      <c r="EZ797" s="335"/>
      <c r="FA797" s="11"/>
      <c r="FB797" s="9"/>
      <c r="FC797" s="11"/>
      <c r="FD797" s="9"/>
      <c r="FE797" s="11"/>
      <c r="FF797" s="9"/>
      <c r="FG797" s="11"/>
      <c r="FH797" s="9"/>
      <c r="FI797" s="11"/>
      <c r="FJ797" s="9"/>
      <c r="FK797" s="11"/>
      <c r="FL797" s="9"/>
      <c r="FM797" s="11"/>
      <c r="FN797" s="9"/>
      <c r="FO797" s="11"/>
      <c r="FP797" s="9"/>
      <c r="FQ797" s="11"/>
      <c r="FR797" s="9"/>
      <c r="FS797" s="11"/>
      <c r="FT797" s="9"/>
      <c r="FU797" s="11"/>
      <c r="FV797" s="9"/>
      <c r="FW797" s="11"/>
      <c r="FX797" s="9"/>
      <c r="FY797" s="11"/>
      <c r="FZ797" s="9"/>
      <c r="GA797" s="11"/>
      <c r="GB797" s="9"/>
      <c r="GC797" s="11"/>
      <c r="GD797" s="9"/>
      <c r="GE797" s="11"/>
      <c r="GF797" s="9"/>
      <c r="GG797" s="11"/>
      <c r="GH797" s="9"/>
      <c r="GI797" s="11"/>
      <c r="GJ797" s="9"/>
      <c r="GK797" s="11"/>
      <c r="GL797" s="9"/>
      <c r="GM797" s="11"/>
      <c r="GN797" s="9"/>
      <c r="GO797" s="11"/>
      <c r="GP797" s="9"/>
      <c r="GQ797" s="11"/>
      <c r="GR797" s="9"/>
      <c r="GS797" s="11"/>
      <c r="GT797" s="9"/>
      <c r="GU797" s="11"/>
      <c r="GV797" s="9"/>
      <c r="GW797" s="11"/>
      <c r="GX797" s="9"/>
      <c r="GY797" s="11"/>
      <c r="GZ797" s="11"/>
      <c r="HA797" s="11"/>
      <c r="HB797" s="11"/>
      <c r="HC797"/>
      <c r="HD797"/>
      <c r="HE797"/>
      <c r="HF797"/>
      <c r="HG797"/>
      <c r="HH797"/>
      <c r="HI797" s="2"/>
    </row>
    <row r="798" spans="1:217" s="3" customFormat="1" ht="12.75" hidden="1" customHeight="1" outlineLevel="1" x14ac:dyDescent="0.2">
      <c r="B798" s="76" t="s">
        <v>611</v>
      </c>
      <c r="C798" s="9"/>
      <c r="D798" s="11"/>
      <c r="E798" s="9"/>
      <c r="F798" s="11"/>
      <c r="G798" s="9"/>
      <c r="H798" s="11"/>
      <c r="I798" s="9"/>
      <c r="J798" s="11"/>
      <c r="K798" s="9"/>
      <c r="L798" s="11"/>
      <c r="M798" s="9"/>
      <c r="N798" s="11"/>
      <c r="O798" s="9"/>
      <c r="P798" s="11"/>
      <c r="Q798" s="9"/>
      <c r="R798" s="11"/>
      <c r="S798" s="9"/>
      <c r="T798" s="11"/>
      <c r="U798" s="9"/>
      <c r="V798" s="11"/>
      <c r="W798" s="9"/>
      <c r="X798" s="11"/>
      <c r="Y798" s="9"/>
      <c r="Z798" s="11"/>
      <c r="AA798" s="9"/>
      <c r="AB798" s="11"/>
      <c r="AC798" s="9"/>
      <c r="AD798" s="11"/>
      <c r="AE798" s="9"/>
      <c r="AF798" s="11"/>
      <c r="AG798" s="9"/>
      <c r="AH798" s="11"/>
      <c r="AI798" s="9"/>
      <c r="AJ798" s="11"/>
      <c r="AK798" s="9"/>
      <c r="AL798" s="11"/>
      <c r="AM798" s="9"/>
      <c r="AN798" s="11"/>
      <c r="AO798" s="9"/>
      <c r="AP798" s="11"/>
      <c r="AQ798" s="9"/>
      <c r="AR798" s="11"/>
      <c r="AS798" s="9"/>
      <c r="AT798" s="11"/>
      <c r="AU798" s="9"/>
      <c r="AV798" s="11"/>
      <c r="AW798" s="9"/>
      <c r="AX798" s="11"/>
      <c r="AY798" s="196">
        <f>(AY797/100)*AY773</f>
        <v>46.512558514118894</v>
      </c>
      <c r="AZ798" s="9"/>
      <c r="BA798" s="196">
        <f>(BA797/100)*BA773</f>
        <v>42.016699169375215</v>
      </c>
      <c r="BB798" s="9"/>
      <c r="BC798" s="196">
        <f>(BC797/100)*BC773</f>
        <v>37.750728128150556</v>
      </c>
      <c r="BD798" s="9"/>
      <c r="BE798" s="196">
        <f>(BE797/100)*BE773</f>
        <v>41.182059458764108</v>
      </c>
      <c r="BF798" s="9"/>
      <c r="BG798" s="196">
        <f>(BG797/100)*BG773</f>
        <v>49.912647534599486</v>
      </c>
      <c r="BH798" s="9"/>
      <c r="BI798" s="196">
        <f>(BI797/100)*BI773</f>
        <v>45.352564226666395</v>
      </c>
      <c r="BJ798" s="9"/>
      <c r="BK798" s="196">
        <f>(BK797/100)*BK773</f>
        <v>51.88049202432137</v>
      </c>
      <c r="BL798" s="9"/>
      <c r="BM798" s="196">
        <f>(BM797/100)*BM773</f>
        <v>45.674428970039628</v>
      </c>
      <c r="BN798" s="9"/>
      <c r="BO798" s="196">
        <f>(BO797/100)*BO773</f>
        <v>40.363063624966131</v>
      </c>
      <c r="BP798" s="9"/>
      <c r="BQ798" s="196">
        <f>(BQ797/100)*BQ773</f>
        <v>45.845692103768222</v>
      </c>
      <c r="BR798" s="9"/>
      <c r="BS798" s="196">
        <f>(BS797/100)*BS773</f>
        <v>40.231229734757882</v>
      </c>
      <c r="BT798" s="9"/>
      <c r="BU798" s="196">
        <f>(BU797/100)*BU773</f>
        <v>33.609356382589247</v>
      </c>
      <c r="BV798" s="9"/>
      <c r="BW798" s="196">
        <f>(BW797/100)*BW773</f>
        <v>45.40145116377515</v>
      </c>
      <c r="BX798" s="11"/>
      <c r="BY798" s="196">
        <f>(BY797/100)*BY773</f>
        <v>32.381954184198221</v>
      </c>
      <c r="BZ798" s="11"/>
      <c r="CA798" s="196">
        <f>(CA797/100)*CA773</f>
        <v>34.126049344650447</v>
      </c>
      <c r="CB798" s="11"/>
      <c r="CC798" s="196">
        <f>(CC797/100)*CC773</f>
        <v>38.438937914088399</v>
      </c>
      <c r="CD798" s="11"/>
      <c r="CE798" s="196">
        <f>(CE797/100)*CE773</f>
        <v>47.914830220482287</v>
      </c>
      <c r="CF798" s="11"/>
      <c r="CG798" s="196">
        <f>(CG797/100)*CG773</f>
        <v>41.400400792752606</v>
      </c>
      <c r="CH798" s="11"/>
      <c r="CI798" s="196">
        <f>(CI797/100)*CI773</f>
        <v>40.426359940301573</v>
      </c>
      <c r="CJ798" s="11"/>
      <c r="CK798" s="196">
        <f>(CK797/100)*CK773</f>
        <v>45.600488573986837</v>
      </c>
      <c r="CL798" s="11"/>
      <c r="CM798" s="196">
        <f>(CM797/100)*CM773</f>
        <v>55.147201318012378</v>
      </c>
      <c r="CN798" s="11"/>
      <c r="CO798" s="196">
        <f>(CO797/100)*CO773</f>
        <v>57.434387049127594</v>
      </c>
      <c r="CP798" s="11"/>
      <c r="CQ798" s="196">
        <f>(CQ797/100)*CQ773</f>
        <v>50.622720773504852</v>
      </c>
      <c r="CR798" s="11"/>
      <c r="CS798" s="9"/>
      <c r="CT798" s="11"/>
      <c r="CU798" s="9"/>
      <c r="CV798" s="11"/>
      <c r="CW798" s="9"/>
      <c r="CX798" s="11"/>
      <c r="CY798" s="9"/>
      <c r="CZ798" s="11"/>
      <c r="DA798" s="9"/>
      <c r="DB798" s="11"/>
      <c r="DC798" s="9"/>
      <c r="DD798" s="11"/>
      <c r="DE798" s="9"/>
      <c r="DF798" s="11"/>
      <c r="DG798" s="9"/>
      <c r="DH798" s="11"/>
      <c r="DI798" s="9"/>
      <c r="DJ798" s="11"/>
      <c r="DK798" s="9"/>
      <c r="DL798" s="11"/>
      <c r="DM798" s="9"/>
      <c r="DN798" s="11"/>
      <c r="DO798" s="9"/>
      <c r="DP798" s="11"/>
      <c r="DQ798" s="9"/>
      <c r="DR798" s="11"/>
      <c r="DS798" s="9"/>
      <c r="DT798" s="11"/>
      <c r="DU798" s="9"/>
      <c r="DV798" s="11"/>
      <c r="DW798" s="9"/>
      <c r="DX798" s="11"/>
      <c r="DY798" s="9"/>
      <c r="DZ798" s="11"/>
      <c r="EA798" s="9"/>
      <c r="EB798" s="11"/>
      <c r="EC798" s="9"/>
      <c r="ED798" s="11"/>
      <c r="EE798" s="9"/>
      <c r="EF798" s="11"/>
      <c r="EG798" s="9"/>
      <c r="EH798" s="11"/>
      <c r="EI798" s="9"/>
      <c r="EJ798" s="11"/>
      <c r="EK798" s="9"/>
      <c r="EL798" s="11"/>
      <c r="EM798" s="9"/>
      <c r="EN798" s="11"/>
      <c r="EO798" s="9"/>
      <c r="EP798" s="11"/>
      <c r="EQ798" s="9"/>
      <c r="ER798" s="11"/>
      <c r="ES798" s="9"/>
      <c r="ET798" s="11"/>
      <c r="EU798" s="9"/>
      <c r="EV798" s="11"/>
      <c r="EW798" s="9"/>
      <c r="EX798" s="11"/>
      <c r="EY798" s="11"/>
      <c r="EZ798" s="335"/>
      <c r="FA798" s="11"/>
      <c r="FB798" s="9"/>
      <c r="FC798" s="11"/>
      <c r="FD798" s="9"/>
      <c r="FE798" s="11"/>
      <c r="FF798" s="9"/>
      <c r="FG798" s="11"/>
      <c r="FH798" s="9"/>
      <c r="FI798" s="11"/>
      <c r="FJ798" s="9"/>
      <c r="FK798" s="11"/>
      <c r="FL798" s="9"/>
      <c r="FM798" s="11"/>
      <c r="FN798" s="9"/>
      <c r="FO798" s="11"/>
      <c r="FP798" s="9"/>
      <c r="FQ798" s="11"/>
      <c r="FR798" s="9"/>
      <c r="FS798" s="11"/>
      <c r="FT798" s="9"/>
      <c r="FU798" s="11"/>
      <c r="FV798" s="9"/>
      <c r="FW798" s="11"/>
      <c r="FX798" s="9"/>
      <c r="FY798" s="11"/>
      <c r="FZ798" s="9"/>
      <c r="GA798" s="11"/>
      <c r="GB798" s="9"/>
      <c r="GC798" s="11"/>
      <c r="GD798" s="9"/>
      <c r="GE798" s="11"/>
      <c r="GF798" s="9"/>
      <c r="GG798" s="11"/>
      <c r="GH798" s="9"/>
      <c r="GI798" s="11"/>
      <c r="GJ798" s="9"/>
      <c r="GK798" s="11"/>
      <c r="GL798" s="9"/>
      <c r="GM798" s="11"/>
      <c r="GN798" s="9"/>
      <c r="GO798" s="11"/>
      <c r="GP798" s="9"/>
      <c r="GQ798" s="11"/>
      <c r="GR798" s="9"/>
      <c r="GS798" s="11"/>
      <c r="GT798" s="9"/>
      <c r="GU798" s="11"/>
      <c r="GV798" s="9"/>
      <c r="GW798" s="11"/>
      <c r="GX798" s="9"/>
      <c r="GY798" s="11"/>
      <c r="GZ798" s="11"/>
      <c r="HA798" s="11"/>
      <c r="HB798" s="11"/>
      <c r="HC798"/>
      <c r="HD798"/>
      <c r="HE798"/>
      <c r="HF798"/>
      <c r="HG798"/>
      <c r="HH798"/>
      <c r="HI798" s="2"/>
    </row>
    <row r="799" spans="1:217" s="3" customFormat="1" ht="12.75" hidden="1" customHeight="1" outlineLevel="1" x14ac:dyDescent="0.2">
      <c r="B799" s="10"/>
      <c r="C799" s="9"/>
      <c r="D799" s="11"/>
      <c r="E799" s="9"/>
      <c r="F799" s="11"/>
      <c r="G799" s="9"/>
      <c r="H799" s="11"/>
      <c r="I799" s="9"/>
      <c r="J799" s="11"/>
      <c r="K799" s="9"/>
      <c r="L799" s="11"/>
      <c r="M799" s="9"/>
      <c r="N799" s="11"/>
      <c r="O799" s="9"/>
      <c r="P799" s="11"/>
      <c r="Q799" s="9"/>
      <c r="R799" s="11"/>
      <c r="S799" s="9"/>
      <c r="T799" s="11"/>
      <c r="U799" s="9"/>
      <c r="V799" s="11"/>
      <c r="W799" s="9"/>
      <c r="X799" s="11"/>
      <c r="Y799" s="9"/>
      <c r="Z799" s="11"/>
      <c r="AA799" s="9"/>
      <c r="AB799" s="11"/>
      <c r="AC799" s="9"/>
      <c r="AD799" s="11"/>
      <c r="AE799" s="9"/>
      <c r="AF799" s="11"/>
      <c r="AG799" s="9"/>
      <c r="AH799" s="11"/>
      <c r="AI799" s="9"/>
      <c r="AJ799" s="11"/>
      <c r="AK799" s="9"/>
      <c r="AL799" s="11"/>
      <c r="AM799" s="9"/>
      <c r="AN799" s="11"/>
      <c r="AO799" s="9"/>
      <c r="AP799" s="11"/>
      <c r="AQ799" s="9"/>
      <c r="AR799" s="11"/>
      <c r="AS799" s="9"/>
      <c r="AT799" s="11"/>
      <c r="AU799" s="9"/>
      <c r="AV799" s="11"/>
      <c r="AW799" s="9"/>
      <c r="AX799" s="11"/>
      <c r="AY799" s="9"/>
      <c r="AZ799" s="9"/>
      <c r="BA799" s="9"/>
      <c r="BB799" s="9"/>
      <c r="BC799" s="9"/>
      <c r="BD799" s="9"/>
      <c r="BE799" s="9"/>
      <c r="BF799" s="9"/>
      <c r="BG799" s="9"/>
      <c r="BH799" s="9"/>
      <c r="BI799" s="9"/>
      <c r="BJ799" s="9"/>
      <c r="BK799" s="9"/>
      <c r="BL799" s="9"/>
      <c r="BM799" s="9"/>
      <c r="BN799" s="9"/>
      <c r="BO799" s="9"/>
      <c r="BP799" s="9"/>
      <c r="BQ799" s="9"/>
      <c r="BR799" s="9"/>
      <c r="BS799" s="9"/>
      <c r="BT799" s="9"/>
      <c r="BU799" s="9"/>
      <c r="BV799" s="9"/>
      <c r="BW799" s="9"/>
      <c r="BX799" s="11"/>
      <c r="BY799" s="9"/>
      <c r="BZ799" s="11"/>
      <c r="CA799" s="9"/>
      <c r="CB799" s="11"/>
      <c r="CC799" s="9"/>
      <c r="CD799" s="11"/>
      <c r="CE799" s="9"/>
      <c r="CF799" s="11"/>
      <c r="CG799" s="9"/>
      <c r="CH799" s="11"/>
      <c r="CI799" s="9"/>
      <c r="CJ799" s="11"/>
      <c r="CK799" s="9"/>
      <c r="CL799" s="11"/>
      <c r="CM799" s="9"/>
      <c r="CN799" s="11"/>
      <c r="CO799" s="9"/>
      <c r="CP799" s="11"/>
      <c r="CQ799" s="9"/>
      <c r="CR799" s="11"/>
      <c r="CS799" s="9"/>
      <c r="CT799" s="11"/>
      <c r="CU799" s="9"/>
      <c r="CV799" s="11"/>
      <c r="CW799" s="9"/>
      <c r="CX799" s="11"/>
      <c r="CY799" s="9"/>
      <c r="CZ799" s="11"/>
      <c r="DA799" s="9"/>
      <c r="DB799" s="11"/>
      <c r="DC799" s="9"/>
      <c r="DD799" s="11"/>
      <c r="DE799" s="9"/>
      <c r="DF799" s="11"/>
      <c r="DG799" s="9"/>
      <c r="DH799" s="11"/>
      <c r="DI799" s="9"/>
      <c r="DJ799" s="11"/>
      <c r="DK799" s="9"/>
      <c r="DL799" s="11"/>
      <c r="DM799" s="9"/>
      <c r="DN799" s="11"/>
      <c r="DO799" s="9"/>
      <c r="DP799" s="11"/>
      <c r="DQ799" s="9"/>
      <c r="DR799" s="11"/>
      <c r="DS799" s="9"/>
      <c r="DT799" s="11"/>
      <c r="DU799" s="9"/>
      <c r="DV799" s="11"/>
      <c r="DW799" s="9"/>
      <c r="DX799" s="11"/>
      <c r="DY799" s="9"/>
      <c r="DZ799" s="11"/>
      <c r="EA799" s="9"/>
      <c r="EB799" s="11"/>
      <c r="EC799" s="9"/>
      <c r="ED799" s="11"/>
      <c r="EE799" s="9"/>
      <c r="EF799" s="11"/>
      <c r="EG799" s="9"/>
      <c r="EH799" s="11"/>
      <c r="EI799" s="9"/>
      <c r="EJ799" s="11"/>
      <c r="EK799" s="9"/>
      <c r="EL799" s="11"/>
      <c r="EM799" s="9"/>
      <c r="EN799" s="11"/>
      <c r="EO799" s="9"/>
      <c r="EP799" s="11"/>
      <c r="EQ799" s="9"/>
      <c r="ER799" s="11"/>
      <c r="ES799" s="9"/>
      <c r="ET799" s="11"/>
      <c r="EU799" s="9"/>
      <c r="EV799" s="11"/>
      <c r="EW799" s="9"/>
      <c r="EX799" s="11"/>
      <c r="EY799" s="11"/>
      <c r="EZ799" s="335"/>
      <c r="FA799" s="11"/>
      <c r="FB799" s="9"/>
      <c r="FC799" s="11"/>
      <c r="FD799" s="9"/>
      <c r="FE799" s="11"/>
      <c r="FF799" s="9"/>
      <c r="FG799" s="11"/>
      <c r="FH799" s="9"/>
      <c r="FI799" s="11"/>
      <c r="FJ799" s="9"/>
      <c r="FK799" s="11"/>
      <c r="FL799" s="9"/>
      <c r="FM799" s="11"/>
      <c r="FN799" s="9"/>
      <c r="FO799" s="11"/>
      <c r="FP799" s="9"/>
      <c r="FQ799" s="11"/>
      <c r="FR799" s="9"/>
      <c r="FS799" s="11"/>
      <c r="FT799" s="9"/>
      <c r="FU799" s="11"/>
      <c r="FV799" s="9"/>
      <c r="FW799" s="11"/>
      <c r="FX799" s="9"/>
      <c r="FY799" s="11"/>
      <c r="FZ799" s="9"/>
      <c r="GA799" s="11"/>
      <c r="GB799" s="9"/>
      <c r="GC799" s="11"/>
      <c r="GD799" s="9"/>
      <c r="GE799" s="11"/>
      <c r="GF799" s="9"/>
      <c r="GG799" s="11"/>
      <c r="GH799" s="9"/>
      <c r="GI799" s="11"/>
      <c r="GJ799" s="9"/>
      <c r="GK799" s="11"/>
      <c r="GL799" s="9"/>
      <c r="GM799" s="11"/>
      <c r="GN799" s="9"/>
      <c r="GO799" s="11"/>
      <c r="GP799" s="9"/>
      <c r="GQ799" s="11"/>
      <c r="GR799" s="9"/>
      <c r="GS799" s="11"/>
      <c r="GT799" s="9"/>
      <c r="GU799" s="11"/>
      <c r="GV799" s="9"/>
      <c r="GW799" s="11"/>
      <c r="GX799" s="9"/>
      <c r="GY799" s="11"/>
      <c r="GZ799" s="11"/>
      <c r="HA799" s="11"/>
      <c r="HB799" s="11"/>
      <c r="HC799"/>
      <c r="HD799"/>
      <c r="HE799"/>
      <c r="HF799"/>
      <c r="HG799"/>
      <c r="HH799"/>
      <c r="HI799" s="2"/>
    </row>
    <row r="800" spans="1:217" s="3" customFormat="1" ht="12.75" hidden="1" customHeight="1" outlineLevel="1" x14ac:dyDescent="0.2">
      <c r="B800" s="10" t="s">
        <v>385</v>
      </c>
      <c r="C800" s="9"/>
      <c r="D800" s="11"/>
      <c r="E800" s="9"/>
      <c r="F800" s="11"/>
      <c r="G800" s="9"/>
      <c r="H800" s="11"/>
      <c r="I800" s="9"/>
      <c r="J800" s="11"/>
      <c r="K800" s="9"/>
      <c r="L800" s="11"/>
      <c r="M800" s="9"/>
      <c r="N800" s="11"/>
      <c r="O800" s="9"/>
      <c r="P800" s="11"/>
      <c r="Q800" s="9"/>
      <c r="R800" s="11"/>
      <c r="S800" s="9"/>
      <c r="T800" s="11"/>
      <c r="U800" s="9"/>
      <c r="V800" s="11"/>
      <c r="W800" s="9"/>
      <c r="X800" s="11"/>
      <c r="Y800" s="9"/>
      <c r="Z800" s="11"/>
      <c r="AA800" s="9"/>
      <c r="AB800" s="11"/>
      <c r="AC800" s="9"/>
      <c r="AD800" s="11"/>
      <c r="AE800" s="9"/>
      <c r="AF800" s="11"/>
      <c r="AG800" s="9"/>
      <c r="AH800" s="11"/>
      <c r="AI800" s="9"/>
      <c r="AJ800" s="11"/>
      <c r="AK800" s="9"/>
      <c r="AL800" s="11"/>
      <c r="AM800" s="9"/>
      <c r="AN800" s="11"/>
      <c r="AO800" s="9"/>
      <c r="AP800" s="11"/>
      <c r="AQ800" s="9"/>
      <c r="AR800" s="11"/>
      <c r="AS800" s="9"/>
      <c r="AT800" s="11"/>
      <c r="AU800" s="9"/>
      <c r="AV800" s="11"/>
      <c r="AW800" s="9"/>
      <c r="AX800" s="11"/>
      <c r="AY800" s="9"/>
      <c r="AZ800" s="9"/>
      <c r="BA800" s="9"/>
      <c r="BB800" s="9"/>
      <c r="BC800" s="9"/>
      <c r="BD800" s="9"/>
      <c r="BE800" s="9"/>
      <c r="BF800" s="9"/>
      <c r="BG800" s="144">
        <f>BG443+BG408+BG370</f>
        <v>2230</v>
      </c>
      <c r="BH800" s="144"/>
      <c r="BI800" s="144">
        <f>BI443+BI408+BI370</f>
        <v>2224</v>
      </c>
      <c r="BJ800" s="144"/>
      <c r="BK800" s="144">
        <f>BK443+BK408+BK370</f>
        <v>2291</v>
      </c>
      <c r="BL800" s="144"/>
      <c r="BM800" s="144">
        <f>BM443+BM408+BM370</f>
        <v>2282</v>
      </c>
      <c r="BN800" s="144"/>
      <c r="BO800" s="144">
        <f>BO443+BO408+BO370</f>
        <v>2441</v>
      </c>
      <c r="BP800" s="144"/>
      <c r="BQ800" s="144">
        <f>BQ443+BQ408+BQ370</f>
        <v>2429</v>
      </c>
      <c r="BR800" s="144"/>
      <c r="BS800" s="144">
        <f>BS443+BS408+BS370</f>
        <v>2334</v>
      </c>
      <c r="BT800" s="144"/>
      <c r="BU800" s="144">
        <f>BU443+BU408+BU370</f>
        <v>2074</v>
      </c>
      <c r="BV800" s="144"/>
      <c r="BW800" s="144">
        <f>BW443+BW408+BW370</f>
        <v>2568</v>
      </c>
      <c r="BX800" s="144"/>
      <c r="BY800" s="144">
        <f>BY443+BY408+BY370</f>
        <v>2564</v>
      </c>
      <c r="BZ800" s="144"/>
      <c r="CA800" s="144">
        <f>CA443+CA408+CA370</f>
        <v>2700</v>
      </c>
      <c r="CB800" s="144"/>
      <c r="CC800" s="144">
        <f>CC443+CC408+CC370</f>
        <v>2760</v>
      </c>
      <c r="CD800" s="144"/>
      <c r="CE800" s="144">
        <f>CE443+CE408+CE370</f>
        <v>2941</v>
      </c>
      <c r="CF800" s="144"/>
      <c r="CG800" s="144">
        <f>CG443+CG408+CG370</f>
        <v>2951</v>
      </c>
      <c r="CH800" s="144"/>
      <c r="CI800" s="144">
        <f>CI443+CI408+CI370</f>
        <v>3040</v>
      </c>
      <c r="CJ800" s="144"/>
      <c r="CK800" s="144">
        <f>CK443+CK408+CK370</f>
        <v>3270</v>
      </c>
      <c r="CL800" s="144"/>
      <c r="CM800" s="144">
        <f>CM443+CM408+CM370</f>
        <v>4321</v>
      </c>
      <c r="CN800" s="144"/>
      <c r="CO800" s="144">
        <f>CO443+CO408+CO370</f>
        <v>5048</v>
      </c>
      <c r="CP800" s="144"/>
      <c r="CQ800" s="144">
        <f>CQ443+CQ408+CQ370</f>
        <v>5130</v>
      </c>
      <c r="CR800" s="144"/>
      <c r="CS800" s="144">
        <f>CS443+CS408+CS370</f>
        <v>5178</v>
      </c>
      <c r="CT800" s="144"/>
      <c r="CU800" s="144">
        <f>CU443+CU408+CU370</f>
        <v>5817</v>
      </c>
      <c r="CV800" s="144"/>
      <c r="CW800" s="144">
        <f>CW443+CW408+CW370</f>
        <v>6406</v>
      </c>
      <c r="CX800" s="144"/>
      <c r="CY800" s="144">
        <f>CY443+CY408+CY370</f>
        <v>8154</v>
      </c>
      <c r="CZ800" s="144"/>
      <c r="DA800" s="144">
        <f>DA443+DA408+DA370</f>
        <v>9209</v>
      </c>
      <c r="DB800" s="144"/>
      <c r="DC800" s="144">
        <f>DC443+DC408+DC370</f>
        <v>6350</v>
      </c>
      <c r="DD800" s="144"/>
      <c r="DE800" s="144">
        <f>DE443+DE408+DE370</f>
        <v>5940</v>
      </c>
      <c r="DF800" s="144"/>
      <c r="DG800" s="144">
        <f>DG443+DG408+DG370</f>
        <v>5259</v>
      </c>
      <c r="DH800" s="144"/>
      <c r="DI800" s="144">
        <f>DI443+DI408+DI370</f>
        <v>4991</v>
      </c>
      <c r="DJ800" s="144"/>
      <c r="DK800" s="144">
        <f>DK443+DK408+DK370</f>
        <v>5075</v>
      </c>
      <c r="DL800" s="144"/>
      <c r="DM800" s="144">
        <f>DM443+DM408+DM370</f>
        <v>5252</v>
      </c>
      <c r="DN800" s="144"/>
      <c r="DO800" s="144">
        <f>DO443+DO408+DO370</f>
        <v>5002</v>
      </c>
      <c r="DP800" s="144"/>
      <c r="DQ800" s="144">
        <f>DQ443+DQ408+DQ370</f>
        <v>4737</v>
      </c>
      <c r="DR800" s="144"/>
      <c r="DS800" s="144">
        <f>DS443+DS408+DS370</f>
        <v>4906</v>
      </c>
      <c r="DT800" s="144"/>
      <c r="DU800" s="144">
        <f>DU443+DU408+DU370</f>
        <v>5037</v>
      </c>
      <c r="DV800" s="144"/>
      <c r="DW800" s="144">
        <f>DW443+DW408+DW370</f>
        <v>4750</v>
      </c>
      <c r="DX800" s="144"/>
      <c r="DY800" s="144">
        <f>DY443+DY408+DY370</f>
        <v>4671</v>
      </c>
      <c r="DZ800" s="144"/>
      <c r="EA800" s="144">
        <f>EA443+EA408+EA370</f>
        <v>5044</v>
      </c>
      <c r="EB800" s="144"/>
      <c r="EC800" s="144">
        <f>EC443+EC408+EC370</f>
        <v>5343</v>
      </c>
      <c r="ED800" s="144"/>
      <c r="EE800" s="144">
        <f>EE443+EE408+EE370</f>
        <v>5384</v>
      </c>
      <c r="EF800" s="144"/>
      <c r="EG800" s="144">
        <f>EG443+EG408+EG370</f>
        <v>5238</v>
      </c>
      <c r="EH800" s="144"/>
      <c r="EI800" s="144">
        <f>EI443+EI408+EI370</f>
        <v>5409</v>
      </c>
      <c r="EJ800" s="144"/>
      <c r="EK800" s="144">
        <f>EK443+EK408+EK370</f>
        <v>5483</v>
      </c>
      <c r="EL800" s="144"/>
      <c r="EM800" s="144">
        <f>EM443+EM408+EM370</f>
        <v>5376</v>
      </c>
      <c r="EN800" s="144"/>
      <c r="EO800" s="144">
        <f>EO443+EO408+EO370</f>
        <v>5292</v>
      </c>
      <c r="EP800" s="144"/>
      <c r="EQ800" s="144">
        <f>EQ443+EQ408+EQ370</f>
        <v>5569.6997297297294</v>
      </c>
      <c r="ER800" s="144"/>
      <c r="ES800" s="144">
        <f>ES443+ES408+ES370</f>
        <v>5590.0468468468462</v>
      </c>
      <c r="ET800" s="144"/>
      <c r="EU800" s="144">
        <f>EU443+EU408+EU370</f>
        <v>5489.0818918918922</v>
      </c>
      <c r="EV800" s="144"/>
      <c r="EW800" s="144">
        <f>EW443+EW408+EW370</f>
        <v>5413.0295495495502</v>
      </c>
      <c r="EX800" s="144"/>
      <c r="EY800" s="144"/>
      <c r="EZ800" s="344"/>
      <c r="FA800" s="144"/>
      <c r="FB800" s="144">
        <f>FB443+FB408+FB370</f>
        <v>1622</v>
      </c>
      <c r="FC800" s="144"/>
      <c r="FD800" s="144">
        <f>FD443+FD408+FD370</f>
        <v>2102</v>
      </c>
      <c r="FE800" s="144"/>
      <c r="FF800" s="144">
        <f>FF443+FF408+FF370</f>
        <v>2624</v>
      </c>
      <c r="FG800" s="144"/>
      <c r="FH800" s="144">
        <f>FH443+FH408+FH370</f>
        <v>4530</v>
      </c>
      <c r="FI800" s="144"/>
      <c r="FJ800" s="144">
        <f>FJ443+FJ408+FJ370</f>
        <v>5398</v>
      </c>
      <c r="FK800" s="144"/>
      <c r="FL800" s="144">
        <f>FL443+FL408+FL370</f>
        <v>5893</v>
      </c>
      <c r="FM800" s="144"/>
      <c r="FN800" s="144">
        <f>FN443+FN408+FN370</f>
        <v>6788</v>
      </c>
      <c r="FO800" s="144"/>
      <c r="FP800" s="144">
        <f>FP443+FP408+FP370</f>
        <v>8082</v>
      </c>
      <c r="FQ800" s="144"/>
      <c r="FR800" s="144">
        <f>FR443+FR408+FR370</f>
        <v>8325</v>
      </c>
      <c r="FS800" s="144"/>
      <c r="FT800" s="144">
        <f>FT443+FT408+FT370</f>
        <v>9027</v>
      </c>
      <c r="FU800" s="144"/>
      <c r="FV800" s="144">
        <f>FV443+FV408+FV370</f>
        <v>9071</v>
      </c>
      <c r="FW800" s="144"/>
      <c r="FX800" s="144">
        <f>FX443+FX408+FX370</f>
        <v>10542</v>
      </c>
      <c r="FY800" s="144"/>
      <c r="FZ800" s="144">
        <f>FZ443+FZ408+FZ370</f>
        <v>12202</v>
      </c>
      <c r="GA800" s="144"/>
      <c r="GB800" s="144">
        <f>GB443+GB408+GB370</f>
        <v>19677</v>
      </c>
      <c r="GC800" s="144"/>
      <c r="GD800" s="144">
        <f>GD443+GD408+GD370</f>
        <v>29586</v>
      </c>
      <c r="GE800" s="144"/>
      <c r="GF800" s="144">
        <f>GF443+GF408+GF370</f>
        <v>22540</v>
      </c>
      <c r="GG800" s="87"/>
      <c r="GH800" s="144">
        <f>GH443+GH408+GH370</f>
        <v>20066</v>
      </c>
      <c r="GI800" s="87"/>
      <c r="GJ800" s="144">
        <f>GJ443+GJ408+GJ370</f>
        <v>19364</v>
      </c>
      <c r="GK800" s="87"/>
      <c r="GL800" s="144">
        <f>GL443+GL408+GL370</f>
        <v>21009</v>
      </c>
      <c r="GM800" s="87"/>
      <c r="GN800" s="144">
        <f>GN443+GN408+GN370</f>
        <v>21560</v>
      </c>
      <c r="GO800" s="87"/>
      <c r="GP800" s="144">
        <f>GP443+GP408+GP370</f>
        <v>22061.858018018014</v>
      </c>
      <c r="GQ800" s="87"/>
      <c r="GR800" s="144">
        <f>GR443+GR408+GR370</f>
        <v>22616.007776576575</v>
      </c>
      <c r="GS800" s="87"/>
      <c r="GT800" s="144">
        <f>GT443+GT408+GT370</f>
        <v>23189.040279855857</v>
      </c>
      <c r="GU800" s="87"/>
      <c r="GV800" s="144">
        <f>GV443+GV408+GV370</f>
        <v>23781.678005188467</v>
      </c>
      <c r="GW800" s="87"/>
      <c r="GX800" s="144">
        <f>GX443+GX408+GX370</f>
        <v>24394.672000675768</v>
      </c>
      <c r="GY800" s="87"/>
      <c r="GZ800" s="144"/>
      <c r="HA800" s="144"/>
      <c r="HB800" s="144"/>
      <c r="HC800"/>
      <c r="HD800"/>
      <c r="HE800"/>
      <c r="HF800"/>
      <c r="HG800"/>
      <c r="HH800"/>
      <c r="HI800" s="2"/>
    </row>
    <row r="801" spans="2:217" s="3" customFormat="1" ht="12.75" hidden="1" customHeight="1" outlineLevel="1" x14ac:dyDescent="0.2">
      <c r="B801" s="76" t="s">
        <v>386</v>
      </c>
      <c r="C801" s="9"/>
      <c r="D801" s="11"/>
      <c r="E801" s="9"/>
      <c r="F801" s="11"/>
      <c r="G801" s="9"/>
      <c r="H801" s="11"/>
      <c r="I801" s="9"/>
      <c r="J801" s="11"/>
      <c r="K801" s="9"/>
      <c r="L801" s="11"/>
      <c r="M801" s="9"/>
      <c r="N801" s="11"/>
      <c r="O801" s="9"/>
      <c r="P801" s="11"/>
      <c r="Q801" s="9"/>
      <c r="R801" s="11"/>
      <c r="S801" s="9"/>
      <c r="T801" s="11"/>
      <c r="U801" s="9"/>
      <c r="V801" s="11"/>
      <c r="W801" s="9"/>
      <c r="X801" s="11"/>
      <c r="Y801" s="9"/>
      <c r="Z801" s="11"/>
      <c r="AA801" s="9"/>
      <c r="AB801" s="11"/>
      <c r="AC801" s="9"/>
      <c r="AD801" s="11"/>
      <c r="AE801" s="9"/>
      <c r="AF801" s="11"/>
      <c r="AG801" s="9"/>
      <c r="AH801" s="11"/>
      <c r="AI801" s="9"/>
      <c r="AJ801" s="11"/>
      <c r="AK801" s="9"/>
      <c r="AL801" s="11"/>
      <c r="AM801" s="9"/>
      <c r="AN801" s="11"/>
      <c r="AO801" s="9"/>
      <c r="AP801" s="11"/>
      <c r="AQ801" s="9"/>
      <c r="AR801" s="11"/>
      <c r="AS801" s="9"/>
      <c r="AT801" s="11"/>
      <c r="AU801" s="9"/>
      <c r="AV801" s="11"/>
      <c r="AW801" s="9"/>
      <c r="AX801" s="11"/>
      <c r="AY801" s="9"/>
      <c r="AZ801" s="11"/>
      <c r="BA801" s="9"/>
      <c r="BB801" s="11"/>
      <c r="BC801" s="9"/>
      <c r="BD801" s="11"/>
      <c r="BE801" s="9"/>
      <c r="BF801" s="11"/>
      <c r="BG801" s="144">
        <f>BG442+BG406+BG368</f>
        <v>547</v>
      </c>
      <c r="BH801" s="144"/>
      <c r="BI801" s="144">
        <f>BI442+BI406+BI368</f>
        <v>556</v>
      </c>
      <c r="BJ801" s="144"/>
      <c r="BK801" s="144">
        <f>BK442+BK406+BK368</f>
        <v>648</v>
      </c>
      <c r="BL801" s="144"/>
      <c r="BM801" s="144">
        <f>BM442+BM406+BM368</f>
        <v>590</v>
      </c>
      <c r="BN801" s="144"/>
      <c r="BO801" s="144">
        <f>BO442+BO406+BO368</f>
        <v>558</v>
      </c>
      <c r="BP801" s="144"/>
      <c r="BQ801" s="144">
        <f>BQ442+BQ406+BQ368</f>
        <v>584</v>
      </c>
      <c r="BR801" s="144"/>
      <c r="BS801" s="144">
        <f>BS442+BS406+BS368</f>
        <v>603</v>
      </c>
      <c r="BT801" s="144"/>
      <c r="BU801" s="144">
        <f>BU442+BU406+BU368</f>
        <v>276</v>
      </c>
      <c r="BV801" s="144"/>
      <c r="BW801" s="144">
        <f>BW442+BW406+BW368</f>
        <v>531</v>
      </c>
      <c r="BX801" s="144"/>
      <c r="BY801" s="144">
        <f>BY442+BY406+BY368</f>
        <v>509</v>
      </c>
      <c r="BZ801" s="144"/>
      <c r="CA801" s="144">
        <f>CA442+CA406+CA368</f>
        <v>565</v>
      </c>
      <c r="CB801" s="144"/>
      <c r="CC801" s="144">
        <f>CC442+CC406+CC368</f>
        <v>567</v>
      </c>
      <c r="CD801" s="144"/>
      <c r="CE801" s="144">
        <f>CE442+CE406+CE368</f>
        <v>585</v>
      </c>
      <c r="CF801" s="144"/>
      <c r="CG801" s="144">
        <f>CG442+CG406+CG368</f>
        <v>580</v>
      </c>
      <c r="CH801" s="144"/>
      <c r="CI801" s="144">
        <f>CI442+CI406+CI368</f>
        <v>642</v>
      </c>
      <c r="CJ801" s="144"/>
      <c r="CK801" s="144">
        <f>CK442+CK406+CK368</f>
        <v>662</v>
      </c>
      <c r="CL801" s="144"/>
      <c r="CM801" s="144">
        <f>CM442+CM406+CM368</f>
        <v>765</v>
      </c>
      <c r="CN801" s="144"/>
      <c r="CO801" s="144">
        <f>CO442+CO406+CO368</f>
        <v>961</v>
      </c>
      <c r="CP801" s="144"/>
      <c r="CQ801" s="144">
        <f>CQ442+CQ406+CQ368</f>
        <v>1026</v>
      </c>
      <c r="CR801" s="144"/>
      <c r="CS801" s="144">
        <f>CS442+CS406+CS368</f>
        <v>1018</v>
      </c>
      <c r="CT801" s="144"/>
      <c r="CU801" s="144">
        <f>CU442+CU406+CU368</f>
        <v>1014</v>
      </c>
      <c r="CV801" s="144"/>
      <c r="CW801" s="144">
        <f>CW442+CW406+CW368</f>
        <v>1030</v>
      </c>
      <c r="CX801" s="144"/>
      <c r="CY801" s="144">
        <f>CY442+CY406+CY368</f>
        <v>1119</v>
      </c>
      <c r="CZ801" s="144"/>
      <c r="DA801" s="144">
        <f>DA442+DA406+DA368</f>
        <v>1105</v>
      </c>
      <c r="DB801" s="144"/>
      <c r="DC801" s="144">
        <f>DC442+DC406+DC368</f>
        <v>1093</v>
      </c>
      <c r="DD801" s="144"/>
      <c r="DE801" s="144">
        <f>DE442+DE406+DE368</f>
        <v>1067</v>
      </c>
      <c r="DF801" s="144"/>
      <c r="DG801" s="144">
        <f>DG442+DG406+DG368</f>
        <v>1086</v>
      </c>
      <c r="DH801" s="144"/>
      <c r="DI801" s="144">
        <f>DI442+DI406+DI368</f>
        <v>1060</v>
      </c>
      <c r="DJ801" s="144"/>
      <c r="DK801" s="144">
        <f>DK442+DK406+DK368</f>
        <v>1084</v>
      </c>
      <c r="DL801" s="144"/>
      <c r="DM801" s="144">
        <f>DM442+DM406+DM368</f>
        <v>1128</v>
      </c>
      <c r="DN801" s="144"/>
      <c r="DO801" s="144">
        <f>DO442+DO406+DO368</f>
        <v>1138</v>
      </c>
      <c r="DP801" s="144"/>
      <c r="DQ801" s="144">
        <f>DQ442+DQ406+DQ368</f>
        <v>1084</v>
      </c>
      <c r="DR801" s="144"/>
      <c r="DS801" s="144">
        <f>DS442+DS406+DS368</f>
        <v>1099</v>
      </c>
      <c r="DT801" s="144"/>
      <c r="DU801" s="144">
        <f>DU442+DU406+DU368</f>
        <v>1099</v>
      </c>
      <c r="DV801" s="144"/>
      <c r="DW801" s="144">
        <f>DW442+DW406+DW368</f>
        <v>1081</v>
      </c>
      <c r="DX801" s="144"/>
      <c r="DY801" s="144">
        <f>DY442+DY406+DY368</f>
        <v>1078</v>
      </c>
      <c r="DZ801" s="144"/>
      <c r="EA801" s="144">
        <f>EA442+EA406+EA368</f>
        <v>1120</v>
      </c>
      <c r="EB801" s="144"/>
      <c r="EC801" s="144">
        <f>EC442+EC406+EC368</f>
        <v>1204</v>
      </c>
      <c r="ED801" s="144"/>
      <c r="EE801" s="144">
        <f>EE442+EE406+EE368</f>
        <v>1229</v>
      </c>
      <c r="EF801" s="144"/>
      <c r="EG801" s="144">
        <f>EG442+EG406+EG368</f>
        <v>1206</v>
      </c>
      <c r="EH801" s="144"/>
      <c r="EI801" s="144">
        <f>EI442+EI406+EI368</f>
        <v>1205</v>
      </c>
      <c r="EJ801" s="144"/>
      <c r="EK801" s="144">
        <f>EK442+EK406+EK368</f>
        <v>1260</v>
      </c>
      <c r="EL801" s="144"/>
      <c r="EM801" s="144">
        <f>EM442+EM406+EM368</f>
        <v>1278</v>
      </c>
      <c r="EN801" s="144"/>
      <c r="EO801" s="144">
        <f>EO442+EO406+EO368</f>
        <v>1284</v>
      </c>
      <c r="EP801" s="144"/>
      <c r="EQ801" s="144">
        <f>EQ442+EQ406+EQ368</f>
        <v>1236.6527927927928</v>
      </c>
      <c r="ER801" s="144"/>
      <c r="ES801" s="144">
        <f>ES442+ES406+ES368</f>
        <v>1243.9643243243245</v>
      </c>
      <c r="ET801" s="144"/>
      <c r="EU801" s="144">
        <f>EU442+EU406+EU368</f>
        <v>1269.0324324324324</v>
      </c>
      <c r="EV801" s="144"/>
      <c r="EW801" s="144">
        <f>EW442+EW406+EW368</f>
        <v>1283.6554954954954</v>
      </c>
      <c r="EX801" s="144"/>
      <c r="EY801" s="144"/>
      <c r="EZ801" s="344"/>
      <c r="FA801" s="144"/>
      <c r="FB801" s="144">
        <f>FB442+FB406+FB368</f>
        <v>542</v>
      </c>
      <c r="FC801" s="144"/>
      <c r="FD801" s="144">
        <f>FD442+FD406+FD368</f>
        <v>625</v>
      </c>
      <c r="FE801" s="144"/>
      <c r="FF801" s="144">
        <f>FF442+FF406+FF368</f>
        <v>767</v>
      </c>
      <c r="FG801" s="144"/>
      <c r="FH801" s="144">
        <f>FH442+FH406+FH368</f>
        <v>728</v>
      </c>
      <c r="FI801" s="144"/>
      <c r="FJ801" s="144">
        <f>FJ442+FJ406+FJ368</f>
        <v>970</v>
      </c>
      <c r="FK801" s="144"/>
      <c r="FL801" s="144">
        <f>FL442+FL406+FL368</f>
        <v>1022</v>
      </c>
      <c r="FM801" s="144"/>
      <c r="FN801" s="144">
        <f>FN442+FN406+FN368</f>
        <v>1351</v>
      </c>
      <c r="FO801" s="144"/>
      <c r="FP801" s="144">
        <f>FP442+FP406+FP368</f>
        <v>1761</v>
      </c>
      <c r="FQ801" s="144"/>
      <c r="FR801" s="144">
        <f>FR442+FR406+FR368</f>
        <v>1953</v>
      </c>
      <c r="FS801" s="144"/>
      <c r="FT801" s="144">
        <f>FT442+FT406+FT368</f>
        <v>2341</v>
      </c>
      <c r="FU801" s="144"/>
      <c r="FV801" s="144">
        <f>FV442+FV406+FV368</f>
        <v>2033</v>
      </c>
      <c r="FW801" s="144"/>
      <c r="FX801" s="144">
        <f>FX442+FX406+FX368</f>
        <v>2172</v>
      </c>
      <c r="FY801" s="144"/>
      <c r="FZ801" s="144">
        <f>FZ442+FZ406+FZ368</f>
        <v>2469</v>
      </c>
      <c r="GA801" s="144"/>
      <c r="GB801" s="144">
        <f>GB442+GB406+GB368</f>
        <v>3770</v>
      </c>
      <c r="GC801" s="144"/>
      <c r="GD801" s="144">
        <f>GD442+GD406+GD368</f>
        <v>4268</v>
      </c>
      <c r="GE801" s="144"/>
      <c r="GF801" s="144">
        <f>GF442+GF406+GF368</f>
        <v>4306</v>
      </c>
      <c r="GG801" s="87"/>
      <c r="GH801" s="144">
        <f>GH442+GH406+GH368</f>
        <v>4434</v>
      </c>
      <c r="GI801" s="87"/>
      <c r="GJ801" s="144">
        <f>GJ442+GJ406+GJ368</f>
        <v>4357</v>
      </c>
      <c r="GK801" s="87"/>
      <c r="GL801" s="144">
        <f>GL442+GL406+GL368</f>
        <v>4759</v>
      </c>
      <c r="GM801" s="87"/>
      <c r="GN801" s="144">
        <f>GN442+GN406+GN368</f>
        <v>5027</v>
      </c>
      <c r="GO801" s="87"/>
      <c r="GP801" s="144">
        <f>GP442+GP406+GP368</f>
        <v>5033.3050450450446</v>
      </c>
      <c r="GQ801" s="87"/>
      <c r="GR801" s="144">
        <f>GR442+GR406+GR368</f>
        <v>5150.0372468468468</v>
      </c>
      <c r="GS801" s="87"/>
      <c r="GT801" s="144">
        <f>GT442+GT406+GT368</f>
        <v>5270.5927367207205</v>
      </c>
      <c r="GU801" s="87"/>
      <c r="GV801" s="144">
        <f>GV442+GV406+GV368</f>
        <v>5395.1159861895494</v>
      </c>
      <c r="GW801" s="87"/>
      <c r="GX801" s="144">
        <f>GX442+GX406+GX368</f>
        <v>5523.7571610371315</v>
      </c>
      <c r="GY801" s="87"/>
      <c r="GZ801" s="144"/>
      <c r="HA801" s="144"/>
      <c r="HB801" s="144"/>
      <c r="HC801"/>
      <c r="HD801"/>
      <c r="HE801"/>
      <c r="HF801"/>
      <c r="HG801"/>
      <c r="HH801"/>
      <c r="HI801" s="2"/>
    </row>
    <row r="802" spans="2:217" s="3" customFormat="1" ht="12.75" hidden="1" customHeight="1" outlineLevel="1" x14ac:dyDescent="0.2">
      <c r="B802" s="76" t="s">
        <v>573</v>
      </c>
      <c r="C802" s="9"/>
      <c r="D802" s="11"/>
      <c r="E802" s="9"/>
      <c r="F802" s="11"/>
      <c r="G802" s="9"/>
      <c r="H802" s="11"/>
      <c r="I802" s="9"/>
      <c r="J802" s="11"/>
      <c r="K802" s="9"/>
      <c r="L802" s="11"/>
      <c r="M802" s="9"/>
      <c r="N802" s="11"/>
      <c r="O802" s="9"/>
      <c r="P802" s="11"/>
      <c r="Q802" s="9"/>
      <c r="R802" s="11"/>
      <c r="S802" s="9"/>
      <c r="T802" s="11"/>
      <c r="U802" s="9"/>
      <c r="V802" s="11"/>
      <c r="W802" s="9"/>
      <c r="X802" s="11"/>
      <c r="Y802" s="9"/>
      <c r="Z802" s="11"/>
      <c r="AA802" s="9"/>
      <c r="AB802" s="11"/>
      <c r="AC802" s="9"/>
      <c r="AD802" s="11"/>
      <c r="AE802" s="9"/>
      <c r="AF802" s="11"/>
      <c r="AG802" s="9"/>
      <c r="AH802" s="11"/>
      <c r="AI802" s="9"/>
      <c r="AJ802" s="11"/>
      <c r="AK802" s="9"/>
      <c r="AL802" s="11"/>
      <c r="AM802" s="9"/>
      <c r="AN802" s="11"/>
      <c r="AO802" s="9"/>
      <c r="AP802" s="11"/>
      <c r="AQ802" s="9"/>
      <c r="AR802" s="11"/>
      <c r="AS802" s="9"/>
      <c r="AT802" s="11"/>
      <c r="AU802" s="9"/>
      <c r="AV802" s="11"/>
      <c r="AW802" s="9"/>
      <c r="AX802" s="11"/>
      <c r="AY802" s="9"/>
      <c r="AZ802" s="11"/>
      <c r="BA802" s="9"/>
      <c r="BB802" s="11"/>
      <c r="BC802" s="9"/>
      <c r="BD802" s="11"/>
      <c r="BE802" s="9"/>
      <c r="BF802" s="11"/>
      <c r="BG802" s="171">
        <f>BG538</f>
        <v>28.607871720116616</v>
      </c>
      <c r="BH802" s="171"/>
      <c r="BI802" s="171">
        <f>BI538</f>
        <v>28.635147190008919</v>
      </c>
      <c r="BJ802" s="171"/>
      <c r="BK802" s="171">
        <f>BK538</f>
        <v>29.266409266409266</v>
      </c>
      <c r="BL802" s="171"/>
      <c r="BM802" s="171">
        <f>BM538</f>
        <v>23.828125</v>
      </c>
      <c r="BN802" s="171"/>
      <c r="BO802" s="171">
        <f>BO538</f>
        <v>26.286966046002192</v>
      </c>
      <c r="BP802" s="171"/>
      <c r="BQ802" s="171">
        <f>BQ538</f>
        <v>25.314183123877914</v>
      </c>
      <c r="BR802" s="171"/>
      <c r="BS802" s="171">
        <f>BS538</f>
        <v>30.794701986754969</v>
      </c>
      <c r="BT802" s="171"/>
      <c r="BU802" s="171">
        <f>BU538</f>
        <v>25.719120135363788</v>
      </c>
      <c r="BV802" s="171"/>
      <c r="BW802" s="171">
        <f>BW538</f>
        <v>22.857142857142858</v>
      </c>
      <c r="BX802" s="171"/>
      <c r="BY802" s="171">
        <f>BY538</f>
        <v>26.221079691516707</v>
      </c>
      <c r="BZ802" s="171"/>
      <c r="CA802" s="171">
        <f>CA538</f>
        <v>23.076923076923077</v>
      </c>
      <c r="CB802" s="171"/>
      <c r="CC802" s="171">
        <f>CC538</f>
        <v>27.58169934640523</v>
      </c>
      <c r="CD802" s="171"/>
      <c r="CE802" s="171">
        <f>CE538</f>
        <v>25.934579439252335</v>
      </c>
      <c r="CF802" s="171"/>
      <c r="CG802" s="171">
        <f>CG538</f>
        <v>22.653061224489797</v>
      </c>
      <c r="CH802" s="171"/>
      <c r="CI802" s="171">
        <f>CI538</f>
        <v>26.785714285714285</v>
      </c>
      <c r="CJ802" s="171"/>
      <c r="CK802" s="171">
        <f>CK538</f>
        <v>27.490774907749078</v>
      </c>
      <c r="CL802" s="171"/>
      <c r="CM802" s="171">
        <f>CM538</f>
        <v>27.065217391304348</v>
      </c>
      <c r="CN802" s="171"/>
      <c r="CO802" s="171">
        <f>CO538</f>
        <v>26.74838112858464</v>
      </c>
      <c r="CP802" s="171"/>
      <c r="CQ802" s="171">
        <f>CQ538</f>
        <v>21.385869565217391</v>
      </c>
      <c r="CR802" s="171"/>
      <c r="CS802" s="171">
        <f>CS538</f>
        <v>27.293650793650791</v>
      </c>
      <c r="CT802" s="171"/>
      <c r="CU802" s="171">
        <f>CU538</f>
        <v>26.952846975088967</v>
      </c>
      <c r="CV802" s="171"/>
      <c r="CW802" s="171">
        <f>CW538</f>
        <v>24.418344519015662</v>
      </c>
      <c r="CX802" s="171"/>
      <c r="CY802" s="171">
        <f>CY538</f>
        <v>26.519285042333017</v>
      </c>
      <c r="CZ802" s="171"/>
      <c r="DA802" s="171">
        <f>DA538</f>
        <v>22.882136279926335</v>
      </c>
      <c r="DB802" s="171"/>
      <c r="DC802" s="171">
        <f>DC538</f>
        <v>27.484807562457796</v>
      </c>
      <c r="DD802" s="171"/>
      <c r="DE802" s="171">
        <f>DE538</f>
        <v>27.977675640183847</v>
      </c>
      <c r="DF802" s="171"/>
      <c r="DG802" s="171">
        <f>DG538</f>
        <v>28.256116605934405</v>
      </c>
      <c r="DH802" s="171"/>
      <c r="DI802" s="171">
        <f>DI538</f>
        <v>28.318614130434781</v>
      </c>
      <c r="DJ802" s="171"/>
      <c r="DK802" s="171">
        <f>DK538</f>
        <v>27.625716104392104</v>
      </c>
      <c r="DL802" s="171"/>
      <c r="DM802" s="171">
        <f>DM538</f>
        <v>27.541589648798521</v>
      </c>
      <c r="DN802" s="171"/>
      <c r="DO802" s="171">
        <f>DO538</f>
        <v>23.577235772357724</v>
      </c>
      <c r="DP802" s="171"/>
      <c r="DQ802" s="171">
        <f>DQ538</f>
        <v>25.055762081784387</v>
      </c>
      <c r="DR802" s="171"/>
      <c r="DS802" s="171">
        <f>DS538</f>
        <v>25.616045845272208</v>
      </c>
      <c r="DT802" s="171"/>
      <c r="DU802" s="171">
        <f>DU538</f>
        <v>26.670287887017924</v>
      </c>
      <c r="DV802" s="171"/>
      <c r="DW802" s="171">
        <f>DW538</f>
        <v>24.128503075871496</v>
      </c>
      <c r="DX802" s="171"/>
      <c r="DY802" s="171">
        <f>DY538</f>
        <v>24.61928934010152</v>
      </c>
      <c r="DZ802" s="171"/>
      <c r="EA802" s="171">
        <f>EA538</f>
        <v>24.754716981132074</v>
      </c>
      <c r="EB802" s="171"/>
      <c r="EC802" s="171">
        <f>EC538</f>
        <v>21.570482497634817</v>
      </c>
      <c r="ED802" s="171"/>
      <c r="EE802" s="171">
        <f>EE538</f>
        <v>23.555840821566111</v>
      </c>
      <c r="EF802" s="171"/>
      <c r="EG802" s="171">
        <f>EG538</f>
        <v>25.291295407813568</v>
      </c>
      <c r="EH802" s="171"/>
      <c r="EI802" s="171">
        <f>EI538</f>
        <v>25.481927710843372</v>
      </c>
      <c r="EJ802" s="171"/>
      <c r="EK802" s="171">
        <f>EK538</f>
        <v>25.162866449511402</v>
      </c>
      <c r="EL802" s="171"/>
      <c r="EM802" s="171">
        <f>EM538</f>
        <v>25.840807174887892</v>
      </c>
      <c r="EN802" s="171"/>
      <c r="EO802" s="171">
        <f>EO538</f>
        <v>25.381679389312978</v>
      </c>
      <c r="EP802" s="171"/>
      <c r="EQ802" s="171">
        <f>EQ538</f>
        <v>22</v>
      </c>
      <c r="ER802" s="171"/>
      <c r="ES802" s="171">
        <f>ES538</f>
        <v>22</v>
      </c>
      <c r="ET802" s="171"/>
      <c r="EU802" s="171">
        <f>EU538</f>
        <v>22</v>
      </c>
      <c r="EV802" s="171"/>
      <c r="EW802" s="171">
        <f>EW538</f>
        <v>22</v>
      </c>
      <c r="EX802" s="171"/>
      <c r="EY802" s="171"/>
      <c r="EZ802" s="342"/>
      <c r="FA802" s="171"/>
      <c r="FB802" s="171">
        <f>FB538</f>
        <v>0</v>
      </c>
      <c r="FC802" s="171"/>
      <c r="FD802" s="171">
        <f>FD538</f>
        <v>86.840363937138136</v>
      </c>
      <c r="FE802" s="171"/>
      <c r="FF802" s="171">
        <f>FF538</f>
        <v>86.397540983606561</v>
      </c>
      <c r="FG802" s="171"/>
      <c r="FH802" s="171">
        <f>FH538</f>
        <v>67.021131561008858</v>
      </c>
      <c r="FI802" s="171"/>
      <c r="FJ802" s="171">
        <f>FJ538</f>
        <v>64.116825041922866</v>
      </c>
      <c r="FK802" s="171"/>
      <c r="FL802" s="171">
        <f>FL538</f>
        <v>50.390512697652134</v>
      </c>
      <c r="FM802" s="171"/>
      <c r="FN802" s="171">
        <f>FN538</f>
        <v>41.85983339369794</v>
      </c>
      <c r="FO802" s="171"/>
      <c r="FP802" s="171">
        <f>FP538</f>
        <v>39.742057709122705</v>
      </c>
      <c r="FQ802" s="171"/>
      <c r="FR802" s="171">
        <f>FR538</f>
        <v>41.62054829618242</v>
      </c>
      <c r="FS802" s="171"/>
      <c r="FT802" s="171">
        <f>FT538</f>
        <v>39.5098730606488</v>
      </c>
      <c r="FU802" s="171"/>
      <c r="FV802" s="171">
        <f>FV538</f>
        <v>156.60499139414804</v>
      </c>
      <c r="FW802" s="171"/>
      <c r="FX802" s="171">
        <f>FX538</f>
        <v>62.39491525423729</v>
      </c>
      <c r="FY802" s="171"/>
      <c r="FZ802" s="171">
        <f>FZ538</f>
        <v>44.152102676133261</v>
      </c>
      <c r="GA802" s="171"/>
      <c r="GB802" s="171">
        <f>GB538</f>
        <v>38.453840380285214</v>
      </c>
      <c r="GC802" s="171"/>
      <c r="GD802" s="171">
        <f>GD538</f>
        <v>37.197024238060955</v>
      </c>
      <c r="GE802" s="171"/>
      <c r="GF802" s="171">
        <f>GF538</f>
        <v>24.917930279818666</v>
      </c>
      <c r="GG802" s="82"/>
      <c r="GH802" s="171">
        <f>GH538</f>
        <v>27.630685675492195</v>
      </c>
      <c r="GI802" s="82"/>
      <c r="GJ802" s="171">
        <f>GJ538</f>
        <v>25.38918311667469</v>
      </c>
      <c r="GK802" s="82"/>
      <c r="GL802" s="171">
        <f>GL538</f>
        <v>23.930357473606222</v>
      </c>
      <c r="GM802" s="82"/>
      <c r="GN802" s="171">
        <f>GN538</f>
        <v>25.496476617552847</v>
      </c>
      <c r="GO802" s="82"/>
      <c r="GP802" s="171">
        <f>GP538</f>
        <v>22.000000000000004</v>
      </c>
      <c r="GQ802" s="82"/>
      <c r="GR802" s="171">
        <f>GR538</f>
        <v>22.000000000000004</v>
      </c>
      <c r="GS802" s="82"/>
      <c r="GT802" s="171">
        <f>GT538</f>
        <v>22.000000000000004</v>
      </c>
      <c r="GU802" s="82"/>
      <c r="GV802" s="171">
        <f>GV538</f>
        <v>22.000000000000004</v>
      </c>
      <c r="GW802" s="82"/>
      <c r="GX802" s="171">
        <f>GX538</f>
        <v>22.000000000000004</v>
      </c>
      <c r="GY802" s="82"/>
      <c r="GZ802" s="11"/>
      <c r="HA802" s="11"/>
      <c r="HB802" s="11"/>
      <c r="HC802"/>
      <c r="HD802"/>
      <c r="HE802"/>
      <c r="HF802"/>
      <c r="HG802"/>
      <c r="HH802"/>
      <c r="HI802" s="2"/>
    </row>
    <row r="803" spans="2:217" s="3" customFormat="1" ht="12.75" hidden="1" customHeight="1" outlineLevel="1" x14ac:dyDescent="0.2">
      <c r="B803" s="76"/>
      <c r="C803" s="9"/>
      <c r="D803" s="11"/>
      <c r="E803" s="9"/>
      <c r="F803" s="11"/>
      <c r="G803" s="9"/>
      <c r="H803" s="11"/>
      <c r="I803" s="9"/>
      <c r="J803" s="11"/>
      <c r="K803" s="9"/>
      <c r="L803" s="11"/>
      <c r="M803" s="9"/>
      <c r="N803" s="11"/>
      <c r="O803" s="9"/>
      <c r="P803" s="11"/>
      <c r="Q803" s="9"/>
      <c r="R803" s="11"/>
      <c r="S803" s="9"/>
      <c r="T803" s="11"/>
      <c r="U803" s="9"/>
      <c r="V803" s="11"/>
      <c r="W803" s="9"/>
      <c r="X803" s="11"/>
      <c r="Y803" s="9"/>
      <c r="Z803" s="11"/>
      <c r="AA803" s="9"/>
      <c r="AB803" s="11"/>
      <c r="AC803" s="9"/>
      <c r="AD803" s="11"/>
      <c r="AE803" s="9"/>
      <c r="AF803" s="11"/>
      <c r="AG803" s="9"/>
      <c r="AH803" s="11"/>
      <c r="AI803" s="9"/>
      <c r="AJ803" s="11"/>
      <c r="AK803" s="9"/>
      <c r="AL803" s="11"/>
      <c r="AM803" s="9"/>
      <c r="AN803" s="11"/>
      <c r="AO803" s="9"/>
      <c r="AP803" s="11"/>
      <c r="AQ803" s="9"/>
      <c r="AR803" s="11"/>
      <c r="AS803" s="9"/>
      <c r="AT803" s="11"/>
      <c r="AU803" s="9"/>
      <c r="AV803" s="11"/>
      <c r="AW803" s="9"/>
      <c r="AX803" s="11"/>
      <c r="AY803" s="9"/>
      <c r="AZ803" s="11"/>
      <c r="BA803" s="9"/>
      <c r="BB803" s="11"/>
      <c r="BC803" s="9"/>
      <c r="BD803" s="11"/>
      <c r="BE803" s="9"/>
      <c r="BF803" s="11"/>
      <c r="BG803" s="171"/>
      <c r="BH803" s="171"/>
      <c r="BI803" s="171"/>
      <c r="BJ803" s="171"/>
      <c r="BK803" s="171"/>
      <c r="BL803" s="171"/>
      <c r="BM803" s="171"/>
      <c r="BN803" s="171"/>
      <c r="BO803" s="171"/>
      <c r="BP803" s="171"/>
      <c r="BQ803" s="171"/>
      <c r="BR803" s="171"/>
      <c r="BS803" s="171"/>
      <c r="BT803" s="171"/>
      <c r="BU803" s="171"/>
      <c r="BV803" s="171"/>
      <c r="BW803" s="171"/>
      <c r="BX803" s="11"/>
      <c r="BY803" s="171"/>
      <c r="BZ803" s="11"/>
      <c r="CA803" s="171"/>
      <c r="CB803" s="11"/>
      <c r="CC803" s="171"/>
      <c r="CD803" s="11"/>
      <c r="CE803" s="171"/>
      <c r="CF803" s="11"/>
      <c r="CG803" s="171"/>
      <c r="CH803" s="11"/>
      <c r="CI803" s="171"/>
      <c r="CJ803" s="11"/>
      <c r="CK803" s="171"/>
      <c r="CL803" s="11"/>
      <c r="CM803" s="171"/>
      <c r="CN803" s="11"/>
      <c r="CO803" s="171"/>
      <c r="CP803" s="11"/>
      <c r="CQ803" s="171"/>
      <c r="CR803" s="11"/>
      <c r="CS803" s="171"/>
      <c r="CT803" s="11"/>
      <c r="CU803" s="171"/>
      <c r="CV803" s="11"/>
      <c r="CW803" s="171"/>
      <c r="CX803" s="11"/>
      <c r="CY803" s="171"/>
      <c r="CZ803" s="11"/>
      <c r="DA803" s="171"/>
      <c r="DB803" s="11"/>
      <c r="DC803" s="171"/>
      <c r="DD803" s="11"/>
      <c r="DE803" s="171"/>
      <c r="DF803" s="11"/>
      <c r="DG803" s="171"/>
      <c r="DH803" s="11"/>
      <c r="DI803" s="171"/>
      <c r="DJ803" s="11"/>
      <c r="DK803" s="171"/>
      <c r="DL803" s="11"/>
      <c r="DM803" s="171"/>
      <c r="DN803" s="11"/>
      <c r="DO803" s="171"/>
      <c r="DP803" s="11"/>
      <c r="DQ803" s="171"/>
      <c r="DR803" s="11"/>
      <c r="DS803" s="171"/>
      <c r="DT803" s="11"/>
      <c r="DU803" s="171"/>
      <c r="DV803" s="11"/>
      <c r="DW803" s="9"/>
      <c r="DX803" s="11"/>
      <c r="DY803" s="9"/>
      <c r="DZ803" s="11"/>
      <c r="EA803" s="9"/>
      <c r="EB803" s="11"/>
      <c r="EC803" s="9"/>
      <c r="ED803" s="11"/>
      <c r="EE803" s="9"/>
      <c r="EF803" s="11"/>
      <c r="EG803" s="9"/>
      <c r="EH803" s="11"/>
      <c r="EI803" s="9"/>
      <c r="EJ803" s="11"/>
      <c r="EK803" s="9"/>
      <c r="EL803" s="11"/>
      <c r="EM803" s="9"/>
      <c r="EN803" s="11"/>
      <c r="EO803" s="9"/>
      <c r="EP803" s="11"/>
      <c r="EQ803" s="9"/>
      <c r="ER803" s="11"/>
      <c r="ES803" s="9"/>
      <c r="ET803" s="11"/>
      <c r="EU803" s="9"/>
      <c r="EV803" s="11"/>
      <c r="EW803" s="9"/>
      <c r="EX803" s="11"/>
      <c r="EY803" s="11"/>
      <c r="EZ803" s="335"/>
      <c r="FA803" s="11"/>
      <c r="FB803" s="9"/>
      <c r="FC803" s="11"/>
      <c r="FD803" s="9"/>
      <c r="FE803" s="11"/>
      <c r="FF803" s="9"/>
      <c r="FG803" s="11"/>
      <c r="FH803" s="9"/>
      <c r="FI803" s="11"/>
      <c r="FJ803" s="9"/>
      <c r="FK803" s="11"/>
      <c r="FL803" s="9"/>
      <c r="FM803" s="11"/>
      <c r="FN803" s="9"/>
      <c r="FO803" s="11"/>
      <c r="FP803" s="9"/>
      <c r="FQ803" s="11"/>
      <c r="FR803" s="9"/>
      <c r="FS803" s="11"/>
      <c r="FT803" s="9"/>
      <c r="FU803" s="11"/>
      <c r="FV803" s="9"/>
      <c r="FW803" s="11"/>
      <c r="FX803" s="9"/>
      <c r="FY803" s="11"/>
      <c r="FZ803" s="9"/>
      <c r="GA803" s="11"/>
      <c r="GB803" s="9"/>
      <c r="GC803" s="11"/>
      <c r="GD803" s="9"/>
      <c r="GE803" s="11"/>
      <c r="GF803" s="9"/>
      <c r="GG803" s="11"/>
      <c r="GH803" s="9"/>
      <c r="GI803" s="11"/>
      <c r="GJ803" s="9"/>
      <c r="GK803" s="11"/>
      <c r="GL803" s="9"/>
      <c r="GM803" s="11"/>
      <c r="GN803" s="9"/>
      <c r="GO803" s="11"/>
      <c r="GP803" s="9"/>
      <c r="GQ803" s="11"/>
      <c r="GR803" s="9"/>
      <c r="GS803" s="11"/>
      <c r="GT803" s="9"/>
      <c r="GU803" s="11"/>
      <c r="GV803" s="9"/>
      <c r="GW803" s="11"/>
      <c r="GX803" s="9"/>
      <c r="GY803" s="11"/>
      <c r="GZ803" s="11"/>
      <c r="HA803" s="11"/>
      <c r="HB803" s="11"/>
      <c r="HC803"/>
      <c r="HD803"/>
      <c r="HE803"/>
      <c r="HF803"/>
      <c r="HG803"/>
      <c r="HH803"/>
      <c r="HI803" s="2"/>
    </row>
    <row r="804" spans="2:217" s="78" customFormat="1" ht="12.75" hidden="1" customHeight="1" outlineLevel="1" x14ac:dyDescent="0.2">
      <c r="B804" s="114" t="s">
        <v>299</v>
      </c>
      <c r="C804" s="204"/>
      <c r="D804" s="161"/>
      <c r="E804" s="204"/>
      <c r="F804" s="161"/>
      <c r="G804" s="204"/>
      <c r="H804" s="161"/>
      <c r="I804" s="204"/>
      <c r="J804" s="161"/>
      <c r="K804" s="204"/>
      <c r="L804" s="161"/>
      <c r="M804" s="204"/>
      <c r="N804" s="161"/>
      <c r="O804" s="204"/>
      <c r="P804" s="161"/>
      <c r="Q804" s="204"/>
      <c r="R804" s="161"/>
      <c r="S804" s="204"/>
      <c r="T804" s="161"/>
      <c r="U804" s="204"/>
      <c r="V804" s="161"/>
      <c r="W804" s="204"/>
      <c r="X804" s="161"/>
      <c r="Y804" s="204"/>
      <c r="Z804" s="161"/>
      <c r="AA804" s="204"/>
      <c r="AB804" s="161"/>
      <c r="AC804" s="204"/>
      <c r="AD804" s="161"/>
      <c r="AE804" s="204"/>
      <c r="AF804" s="161"/>
      <c r="AG804" s="204"/>
      <c r="AH804" s="161"/>
      <c r="AI804" s="204"/>
      <c r="AJ804" s="161"/>
      <c r="AK804" s="204"/>
      <c r="AL804" s="161"/>
      <c r="AM804" s="204"/>
      <c r="AN804" s="161"/>
      <c r="AO804" s="204"/>
      <c r="AP804" s="161"/>
      <c r="AQ804" s="204"/>
      <c r="AR804" s="161"/>
      <c r="AS804" s="204"/>
      <c r="AT804" s="161"/>
      <c r="AU804" s="204"/>
      <c r="AV804" s="161"/>
      <c r="AW804" s="204"/>
      <c r="AX804" s="161"/>
      <c r="AY804" s="204"/>
      <c r="AZ804" s="161"/>
      <c r="BA804" s="204"/>
      <c r="BB804" s="161"/>
      <c r="BC804" s="204"/>
      <c r="BD804" s="161"/>
      <c r="BE804" s="204"/>
      <c r="BF804" s="161"/>
      <c r="BG804" s="204"/>
      <c r="BH804" s="161"/>
      <c r="BI804" s="204"/>
      <c r="BJ804" s="161"/>
      <c r="BK804" s="204"/>
      <c r="BL804" s="161"/>
      <c r="BM804" s="204"/>
      <c r="BN804" s="161"/>
      <c r="BO804" s="204"/>
      <c r="BP804" s="161"/>
      <c r="BQ804" s="204"/>
      <c r="BR804" s="161"/>
      <c r="BS804" s="204"/>
      <c r="BT804" s="161"/>
      <c r="BU804" s="204"/>
      <c r="BV804" s="161"/>
      <c r="BW804" s="204"/>
      <c r="BX804" s="161"/>
      <c r="BY804" s="204"/>
      <c r="BZ804" s="161"/>
      <c r="CA804" s="204"/>
      <c r="CB804" s="161"/>
      <c r="CC804" s="204"/>
      <c r="CD804" s="161"/>
      <c r="CE804" s="204"/>
      <c r="CF804" s="161"/>
      <c r="CG804" s="204"/>
      <c r="CH804" s="161"/>
      <c r="CI804" s="204"/>
      <c r="CJ804" s="161"/>
      <c r="CK804" s="204"/>
      <c r="CL804" s="161"/>
      <c r="CM804" s="204"/>
      <c r="CN804" s="161"/>
      <c r="CO804" s="204"/>
      <c r="CP804" s="161"/>
      <c r="CQ804" s="204"/>
      <c r="CR804" s="161"/>
      <c r="CS804" s="204"/>
      <c r="CT804" s="161"/>
      <c r="CU804" s="204"/>
      <c r="CV804" s="161"/>
      <c r="CW804" s="204"/>
      <c r="CX804" s="161"/>
      <c r="CY804" s="204"/>
      <c r="CZ804" s="161"/>
      <c r="DA804" s="204"/>
      <c r="DB804" s="161"/>
      <c r="DC804" s="204"/>
      <c r="DD804" s="161"/>
      <c r="DE804" s="204"/>
      <c r="DF804" s="161"/>
      <c r="DG804" s="204"/>
      <c r="DH804" s="161"/>
      <c r="DI804" s="204"/>
      <c r="DJ804" s="161"/>
      <c r="DK804" s="204"/>
      <c r="DL804" s="161"/>
      <c r="DM804" s="204"/>
      <c r="DN804" s="161"/>
      <c r="DO804" s="204"/>
      <c r="DP804" s="161"/>
      <c r="DQ804" s="204"/>
      <c r="DR804" s="161"/>
      <c r="DS804" s="204"/>
      <c r="DT804" s="161"/>
      <c r="DU804" s="204"/>
      <c r="DV804" s="161"/>
      <c r="DW804" s="204"/>
      <c r="DX804" s="161"/>
      <c r="DY804" s="204"/>
      <c r="DZ804" s="161"/>
      <c r="EA804" s="204"/>
      <c r="EB804" s="161"/>
      <c r="EC804" s="204"/>
      <c r="ED804" s="161"/>
      <c r="EE804" s="204"/>
      <c r="EF804" s="161"/>
      <c r="EG804" s="204"/>
      <c r="EH804" s="161"/>
      <c r="EI804" s="204"/>
      <c r="EJ804" s="161"/>
      <c r="EK804" s="204"/>
      <c r="EL804" s="161"/>
      <c r="EM804" s="204"/>
      <c r="EN804" s="161"/>
      <c r="EO804" s="204"/>
      <c r="EP804" s="161"/>
      <c r="EQ804" s="204"/>
      <c r="ER804" s="161"/>
      <c r="ES804" s="204"/>
      <c r="ET804" s="161"/>
      <c r="EU804" s="204"/>
      <c r="EV804" s="161"/>
      <c r="EW804" s="204"/>
      <c r="EX804" s="161"/>
      <c r="EY804" s="161"/>
      <c r="EZ804" s="345"/>
      <c r="FA804" s="161"/>
      <c r="FB804" s="204"/>
      <c r="FC804" s="161"/>
      <c r="FD804" s="204"/>
      <c r="FE804" s="161"/>
      <c r="FF804" s="204"/>
      <c r="FG804" s="161"/>
      <c r="FH804" s="204"/>
      <c r="FI804" s="161"/>
      <c r="FJ804" s="204"/>
      <c r="FK804" s="161"/>
      <c r="FL804" s="204"/>
      <c r="FM804" s="161"/>
      <c r="FN804" s="204"/>
      <c r="FO804" s="161"/>
      <c r="FP804" s="204"/>
      <c r="FQ804" s="161"/>
      <c r="FR804" s="204"/>
      <c r="FS804" s="161"/>
      <c r="FT804" s="204"/>
      <c r="FU804" s="161"/>
      <c r="FV804" s="204"/>
      <c r="FW804" s="161"/>
      <c r="FX804" s="204"/>
      <c r="FY804" s="161"/>
      <c r="FZ804" s="204"/>
      <c r="GA804" s="161"/>
      <c r="GB804" s="204"/>
      <c r="GC804" s="161"/>
      <c r="GD804" s="204"/>
      <c r="GE804" s="161"/>
      <c r="GF804" s="204"/>
      <c r="GG804" s="161"/>
      <c r="GH804" s="204"/>
      <c r="GI804" s="161"/>
      <c r="GJ804" s="204"/>
      <c r="GK804" s="161"/>
      <c r="GL804" s="204"/>
      <c r="GM804" s="161"/>
      <c r="GN804" s="204"/>
      <c r="GO804" s="161"/>
      <c r="GP804" s="204"/>
      <c r="GQ804" s="161"/>
      <c r="GR804" s="204"/>
      <c r="GS804" s="161"/>
      <c r="GT804" s="204"/>
      <c r="GU804" s="161"/>
      <c r="GV804" s="204"/>
      <c r="GW804" s="161"/>
      <c r="GX804" s="204"/>
      <c r="GY804" s="161"/>
      <c r="GZ804" s="161"/>
      <c r="HA804" s="161"/>
      <c r="HB804" s="161"/>
      <c r="HC804"/>
      <c r="HD804"/>
      <c r="HE804"/>
      <c r="HF804"/>
      <c r="HG804"/>
      <c r="HH804"/>
      <c r="HI804" s="2"/>
    </row>
    <row r="805" spans="2:217" s="3" customFormat="1" ht="12.75" hidden="1" customHeight="1" outlineLevel="1" x14ac:dyDescent="0.2">
      <c r="B805" s="89" t="s">
        <v>117</v>
      </c>
      <c r="C805" s="9"/>
      <c r="D805" s="11"/>
      <c r="E805" s="9"/>
      <c r="F805" s="11"/>
      <c r="G805" s="9"/>
      <c r="H805" s="11"/>
      <c r="I805" s="9"/>
      <c r="J805" s="11"/>
      <c r="K805" s="9"/>
      <c r="L805" s="11"/>
      <c r="M805" s="9"/>
      <c r="N805" s="11"/>
      <c r="O805" s="9"/>
      <c r="P805" s="11"/>
      <c r="Q805" s="9"/>
      <c r="R805" s="11"/>
      <c r="S805" s="9"/>
      <c r="T805" s="11"/>
      <c r="U805" s="9"/>
      <c r="V805" s="11"/>
      <c r="W805" s="9"/>
      <c r="X805" s="11"/>
      <c r="Y805" s="9"/>
      <c r="Z805" s="11"/>
      <c r="AA805" s="9"/>
      <c r="AB805" s="11"/>
      <c r="AC805" s="9"/>
      <c r="AD805" s="11"/>
      <c r="AE805" s="9"/>
      <c r="AF805" s="11"/>
      <c r="AG805" s="9"/>
      <c r="AH805" s="11"/>
      <c r="AI805" s="9"/>
      <c r="AJ805" s="11"/>
      <c r="AK805" s="9"/>
      <c r="AL805" s="11"/>
      <c r="AM805" s="9"/>
      <c r="AN805" s="11"/>
      <c r="AO805" s="9"/>
      <c r="AP805" s="11"/>
      <c r="AQ805" s="9"/>
      <c r="AR805" s="11"/>
      <c r="AS805" s="9"/>
      <c r="AT805" s="11"/>
      <c r="AU805" s="9"/>
      <c r="AV805" s="11"/>
      <c r="AW805" s="9"/>
      <c r="AX805" s="11"/>
      <c r="AY805" s="9"/>
      <c r="AZ805" s="11"/>
      <c r="BA805" s="9"/>
      <c r="BB805" s="11"/>
      <c r="BC805" s="9"/>
      <c r="BD805" s="11"/>
      <c r="BE805" s="9"/>
      <c r="BF805" s="11"/>
      <c r="BG805" s="9"/>
      <c r="BH805" s="11"/>
      <c r="BI805" s="9"/>
      <c r="BJ805" s="11"/>
      <c r="BK805" s="9"/>
      <c r="BL805" s="11"/>
      <c r="BM805" s="9"/>
      <c r="BN805" s="11"/>
      <c r="BO805" s="9"/>
      <c r="BP805" s="11"/>
      <c r="BQ805" s="9"/>
      <c r="BR805" s="11"/>
      <c r="BS805" s="9"/>
      <c r="BT805" s="11"/>
      <c r="BU805" s="9"/>
      <c r="BV805" s="11"/>
      <c r="BW805" s="9"/>
      <c r="BX805" s="11"/>
      <c r="BY805" s="9"/>
      <c r="BZ805" s="11"/>
      <c r="CA805" s="9"/>
      <c r="CB805" s="11"/>
      <c r="CC805" s="9"/>
      <c r="CD805" s="11"/>
      <c r="CE805" s="9"/>
      <c r="CF805" s="11"/>
      <c r="CG805" s="9"/>
      <c r="CH805" s="11"/>
      <c r="CI805" s="9"/>
      <c r="CJ805" s="11"/>
      <c r="CK805" s="9"/>
      <c r="CL805" s="11"/>
      <c r="CM805" s="9"/>
      <c r="CN805" s="11"/>
      <c r="CO805" s="9"/>
      <c r="CP805" s="11"/>
      <c r="CQ805" s="9"/>
      <c r="CR805" s="11"/>
      <c r="CS805" s="9"/>
      <c r="CT805" s="11"/>
      <c r="CU805" s="9"/>
      <c r="CV805" s="11"/>
      <c r="CW805" s="9"/>
      <c r="CX805" s="11"/>
      <c r="CY805" s="9"/>
      <c r="CZ805" s="11"/>
      <c r="DA805" s="9"/>
      <c r="DB805" s="11"/>
      <c r="DC805" s="9"/>
      <c r="DD805" s="11"/>
      <c r="DE805" s="9"/>
      <c r="DF805" s="11"/>
      <c r="DG805" s="9"/>
      <c r="DH805" s="11"/>
      <c r="DI805" s="9"/>
      <c r="DJ805" s="11"/>
      <c r="DK805" s="9"/>
      <c r="DL805" s="11"/>
      <c r="DM805" s="9"/>
      <c r="DN805" s="11"/>
      <c r="DO805" s="9"/>
      <c r="DP805" s="11"/>
      <c r="DQ805" s="9"/>
      <c r="DR805" s="11"/>
      <c r="DS805" s="9"/>
      <c r="DT805" s="11"/>
      <c r="DU805" s="9"/>
      <c r="DV805" s="11"/>
      <c r="DW805" s="9"/>
      <c r="DX805" s="11"/>
      <c r="DY805" s="9"/>
      <c r="DZ805" s="11"/>
      <c r="EA805" s="9"/>
      <c r="EB805" s="11"/>
      <c r="EC805" s="9"/>
      <c r="ED805" s="11"/>
      <c r="EE805" s="9"/>
      <c r="EF805" s="11"/>
      <c r="EG805" s="9"/>
      <c r="EH805" s="11"/>
      <c r="EI805" s="9"/>
      <c r="EJ805" s="11"/>
      <c r="EK805" s="9"/>
      <c r="EL805" s="11"/>
      <c r="EM805" s="9"/>
      <c r="EN805" s="11"/>
      <c r="EO805" s="9"/>
      <c r="EP805" s="11"/>
      <c r="EQ805" s="9"/>
      <c r="ER805" s="11"/>
      <c r="ES805" s="9"/>
      <c r="ET805" s="11"/>
      <c r="EU805" s="9"/>
      <c r="EV805" s="11"/>
      <c r="EW805" s="9"/>
      <c r="EX805" s="11"/>
      <c r="EY805" s="11"/>
      <c r="EZ805" s="335"/>
      <c r="FA805" s="11"/>
      <c r="FB805" s="9"/>
      <c r="FC805" s="11"/>
      <c r="FD805" s="9"/>
      <c r="FE805" s="11"/>
      <c r="FF805" s="9"/>
      <c r="FG805" s="11"/>
      <c r="FH805" s="9"/>
      <c r="FI805" s="11"/>
      <c r="FJ805" s="9"/>
      <c r="FK805" s="11"/>
      <c r="FL805" s="9"/>
      <c r="FM805" s="11"/>
      <c r="FN805" s="9"/>
      <c r="FO805" s="11"/>
      <c r="FP805" s="9"/>
      <c r="FQ805" s="11"/>
      <c r="FR805" s="9"/>
      <c r="FS805" s="11"/>
      <c r="FT805" s="9"/>
      <c r="FU805" s="11"/>
      <c r="FV805" s="9"/>
      <c r="FW805" s="11"/>
      <c r="FX805" s="9"/>
      <c r="FY805" s="11"/>
      <c r="FZ805" s="9"/>
      <c r="GA805" s="11"/>
      <c r="GB805" s="9"/>
      <c r="GC805" s="11"/>
      <c r="GD805" s="9"/>
      <c r="GE805" s="11"/>
      <c r="GF805" s="9"/>
      <c r="GG805" s="11"/>
      <c r="GH805" s="9"/>
      <c r="GI805" s="11"/>
      <c r="GJ805" s="9"/>
      <c r="GK805" s="11"/>
      <c r="GL805" s="9"/>
      <c r="GM805" s="11"/>
      <c r="GN805" s="9"/>
      <c r="GO805" s="11"/>
      <c r="GP805" s="9"/>
      <c r="GQ805" s="11"/>
      <c r="GR805" s="9"/>
      <c r="GS805" s="11"/>
      <c r="GT805" s="9"/>
      <c r="GU805" s="11"/>
      <c r="GV805" s="9"/>
      <c r="GW805" s="11"/>
      <c r="GX805" s="9"/>
      <c r="GY805" s="11"/>
      <c r="GZ805" s="11"/>
      <c r="HA805" s="11"/>
      <c r="HB805" s="11"/>
      <c r="HC805"/>
      <c r="HD805"/>
      <c r="HE805"/>
      <c r="HF805"/>
      <c r="HG805"/>
      <c r="HH805"/>
      <c r="HI805" s="2"/>
    </row>
    <row r="806" spans="2:217" s="3" customFormat="1" ht="12.75" hidden="1" customHeight="1" outlineLevel="1" x14ac:dyDescent="0.2">
      <c r="B806" s="10" t="s">
        <v>151</v>
      </c>
      <c r="C806" s="9"/>
      <c r="D806" s="11"/>
      <c r="E806" s="9"/>
      <c r="F806" s="11"/>
      <c r="G806" s="9"/>
      <c r="H806" s="11"/>
      <c r="I806" s="9"/>
      <c r="J806" s="11"/>
      <c r="K806" s="9"/>
      <c r="L806" s="11"/>
      <c r="M806" s="9"/>
      <c r="N806" s="11"/>
      <c r="O806" s="9"/>
      <c r="P806" s="11"/>
      <c r="Q806" s="9"/>
      <c r="R806" s="11"/>
      <c r="S806" s="9"/>
      <c r="T806" s="11"/>
      <c r="U806" s="9"/>
      <c r="V806" s="11"/>
      <c r="W806" s="9"/>
      <c r="X806" s="11"/>
      <c r="Y806" s="9"/>
      <c r="Z806" s="11"/>
      <c r="AA806" s="9"/>
      <c r="AB806" s="11"/>
      <c r="AC806" s="9"/>
      <c r="AD806" s="11"/>
      <c r="AE806" s="9"/>
      <c r="AF806" s="11"/>
      <c r="AG806" s="9"/>
      <c r="AH806" s="11"/>
      <c r="AI806" s="9"/>
      <c r="AJ806" s="11"/>
      <c r="AK806" s="9"/>
      <c r="AL806" s="11"/>
      <c r="AM806" s="9"/>
      <c r="AN806" s="11"/>
      <c r="AO806" s="9"/>
      <c r="AP806" s="11"/>
      <c r="AQ806" s="9"/>
      <c r="AR806" s="11"/>
      <c r="AS806" s="9"/>
      <c r="AT806" s="11"/>
      <c r="AU806" s="9"/>
      <c r="AV806" s="11"/>
      <c r="AW806" s="9"/>
      <c r="AX806" s="11"/>
      <c r="AY806" s="9"/>
      <c r="AZ806" s="11"/>
      <c r="BA806" s="9"/>
      <c r="BB806" s="11"/>
      <c r="BC806" s="9"/>
      <c r="BD806" s="11"/>
      <c r="BE806" s="9"/>
      <c r="BF806" s="11"/>
      <c r="BG806" s="196">
        <f>BG97*(1-(BG$802/100))</f>
        <v>118.51093294460641</v>
      </c>
      <c r="BH806" s="196"/>
      <c r="BI806" s="196">
        <f>BI97*(1-(BI$802/100))</f>
        <v>128.45673505798393</v>
      </c>
      <c r="BJ806" s="196"/>
      <c r="BK806" s="196">
        <f>BK97*(1-(BK$802/100))</f>
        <v>125.90579150579151</v>
      </c>
      <c r="BL806" s="196"/>
      <c r="BM806" s="196">
        <f>BM97*(1-(BM$802/100))</f>
        <v>133.30078125</v>
      </c>
      <c r="BN806" s="196"/>
      <c r="BO806" s="196">
        <f>BO97*(1-(BO$802/100))</f>
        <v>84.769989047097482</v>
      </c>
      <c r="BP806" s="196"/>
      <c r="BQ806" s="196">
        <f>BQ97*(1-(BQ$802/100))</f>
        <v>115.01615798922801</v>
      </c>
      <c r="BR806" s="196"/>
      <c r="BS806" s="196">
        <f>BS97*(1-(BS$802/100))</f>
        <v>76.125827814569533</v>
      </c>
      <c r="BT806" s="196"/>
      <c r="BU806" s="196">
        <f>BU97*(1-(BU$802/100))</f>
        <v>70.566835871404393</v>
      </c>
      <c r="BV806" s="196"/>
      <c r="BW806" s="196">
        <f>BW97*(1-(BW$802/100))</f>
        <v>64.028571428571425</v>
      </c>
      <c r="BX806" s="196"/>
      <c r="BY806" s="196">
        <f>BY97*(1-(BY$802/100))</f>
        <v>53.85861182519281</v>
      </c>
      <c r="BZ806" s="196"/>
      <c r="CA806" s="196">
        <f>CA97*(1-(CA$802/100))</f>
        <v>180.76923076923077</v>
      </c>
      <c r="CB806" s="196"/>
      <c r="CC806" s="196">
        <f>CC97*(1-(CC$802/100))</f>
        <v>85.453594771241825</v>
      </c>
      <c r="CD806" s="196"/>
      <c r="CE806" s="196">
        <f>CE97*(1-(CE$802/100))</f>
        <v>93.322429906542055</v>
      </c>
      <c r="CF806" s="196"/>
      <c r="CG806" s="196">
        <f>CG97*(1-(CG$802/100))</f>
        <v>108.28571428571428</v>
      </c>
      <c r="CH806" s="196"/>
      <c r="CI806" s="196">
        <f>CI97*(1-(CI$802/100))</f>
        <v>102.50000000000001</v>
      </c>
      <c r="CJ806" s="196"/>
      <c r="CK806" s="196">
        <f>CK97*(1-(CK$802/100))</f>
        <v>123.99077490774908</v>
      </c>
      <c r="CL806" s="196"/>
      <c r="CM806" s="196">
        <f>CM97*(1-(CM$802/100))</f>
        <v>157.24739130434784</v>
      </c>
      <c r="CN806" s="196"/>
      <c r="CO806" s="196">
        <f>CO97*(1-(CO$802/100))</f>
        <v>177.26891766882517</v>
      </c>
      <c r="CP806" s="196"/>
      <c r="CQ806" s="196">
        <f>CQ97*(1-(CQ$802/100))</f>
        <v>180.02635869565216</v>
      </c>
      <c r="CR806" s="196"/>
      <c r="CS806" s="196">
        <f>CS97*(1-(CS$802/100))</f>
        <v>143.23150793650794</v>
      </c>
      <c r="CT806" s="196"/>
      <c r="CU806" s="196">
        <f>CU97*(1-(CU$802/100))</f>
        <v>164.35609430604981</v>
      </c>
      <c r="CV806" s="196"/>
      <c r="CW806" s="196">
        <f>CW97*(1-(CW$802/100))</f>
        <v>174.59362416107385</v>
      </c>
      <c r="CX806" s="196"/>
      <c r="CY806" s="196">
        <f>CY97*(1-(CY$802/100))</f>
        <v>187.37582314205079</v>
      </c>
      <c r="CZ806" s="196"/>
      <c r="DA806" s="196">
        <f>DA97*(1-(DA$802/100))</f>
        <v>210.53176795580112</v>
      </c>
      <c r="DB806" s="196"/>
      <c r="DC806" s="196">
        <f>DC97*(1-(DC$802/100))</f>
        <v>224.79709655638084</v>
      </c>
      <c r="DD806" s="196"/>
      <c r="DE806" s="196">
        <f>DE97*(1-(DE$802/100))</f>
        <v>234.07255416940248</v>
      </c>
      <c r="DF806" s="196"/>
      <c r="DG806" s="196">
        <f>DG97*(1-(DG$802/100))</f>
        <v>265.45236855804268</v>
      </c>
      <c r="DH806" s="196"/>
      <c r="DI806" s="196">
        <f>DI97*(1-(DI$802/100))</f>
        <v>275.25652173913045</v>
      </c>
      <c r="DJ806" s="196"/>
      <c r="DK806" s="196">
        <f>DK97*(1-(DK$802/100))</f>
        <v>296.0108211330363</v>
      </c>
      <c r="DL806" s="196"/>
      <c r="DM806" s="196">
        <f>DM97*(1-(DM$802/100))</f>
        <v>285.48613678373385</v>
      </c>
      <c r="DN806" s="196"/>
      <c r="DO806" s="196">
        <f>DO97*(1-(DO$802/100))</f>
        <v>307.98373983739833</v>
      </c>
      <c r="DP806" s="196"/>
      <c r="DQ806" s="196">
        <f>DQ97*(1-(DQ$802/100))</f>
        <v>292.28252788104089</v>
      </c>
      <c r="DR806" s="196"/>
      <c r="DS806" s="196">
        <f>DS97*(1-(DS$802/100))</f>
        <v>314.64412607449856</v>
      </c>
      <c r="DT806" s="196"/>
      <c r="DU806" s="196">
        <f>DU97*(1-(DU$802/100))</f>
        <v>310.18468223791416</v>
      </c>
      <c r="DV806" s="196"/>
      <c r="DW806" s="196">
        <f>DW97*(1-(DW$802/100))</f>
        <v>314.10799726589198</v>
      </c>
      <c r="DX806" s="196"/>
      <c r="DY806" s="196">
        <f>DY97*(1-(DY$802/100))</f>
        <v>303.78426395939084</v>
      </c>
      <c r="DZ806" s="196"/>
      <c r="EA806" s="196">
        <f>EA97*(1-(EA$802/100))</f>
        <v>286.68452830188681</v>
      </c>
      <c r="EB806" s="196"/>
      <c r="EC806" s="196">
        <f>EC97*(1-(EC$802/100))</f>
        <v>294.11069063386947</v>
      </c>
      <c r="ED806" s="196"/>
      <c r="EE806" s="196">
        <f>EE97*(1-(EE$802/100))</f>
        <v>343.23427471116815</v>
      </c>
      <c r="EF806" s="196"/>
      <c r="EG806" s="196">
        <f>EG97*(1-(EG$802/100))</f>
        <v>315.27073337902675</v>
      </c>
      <c r="EH806" s="196"/>
      <c r="EI806" s="196">
        <f>EI97*(1-(EI$802/100))</f>
        <v>333.91548192771091</v>
      </c>
      <c r="EJ806" s="196"/>
      <c r="EK806" s="196">
        <f>EK97*(1-(EK$802/100))</f>
        <v>383.16612377850163</v>
      </c>
      <c r="EL806" s="196"/>
      <c r="EM806" s="196">
        <f>EM97*(1-(EM$802/100))</f>
        <v>392.30213004484307</v>
      </c>
      <c r="EN806" s="196"/>
      <c r="EO806" s="196">
        <f>EO97*(1-(EO$802/100))</f>
        <v>391.74618320610688</v>
      </c>
      <c r="EP806" s="196"/>
      <c r="EQ806" s="196">
        <f>EQ97*(1-(EQ$802/100))</f>
        <v>411.22784279682156</v>
      </c>
      <c r="ER806" s="196"/>
      <c r="ES806" s="196">
        <f>ES97*(1-(ES$802/100))</f>
        <v>408.47991298551079</v>
      </c>
      <c r="ET806" s="196"/>
      <c r="EU806" s="196">
        <f>EU97*(1-(EU$802/100))</f>
        <v>408.98081311256544</v>
      </c>
      <c r="EV806" s="196"/>
      <c r="EW806" s="196">
        <f>EW97*(1-(EW$802/100))</f>
        <v>393.2896972040528</v>
      </c>
      <c r="EX806" s="196"/>
      <c r="EY806" s="196"/>
      <c r="EZ806" s="346"/>
      <c r="FA806" s="196"/>
      <c r="FB806" s="196">
        <f>FB97*(1-(FB$802/100))</f>
        <v>175</v>
      </c>
      <c r="FC806" s="196"/>
      <c r="FD806" s="196">
        <f>FD97*(1-(FD$802/100))</f>
        <v>13.159636062861868</v>
      </c>
      <c r="FE806" s="196"/>
      <c r="FF806" s="196">
        <f>FF97*(1-(FF$802/100))</f>
        <v>19.995614754098359</v>
      </c>
      <c r="FG806" s="196"/>
      <c r="FH806" s="196">
        <f>FH97*(1-(FH$802/100))</f>
        <v>35.287389229720517</v>
      </c>
      <c r="FI806" s="196"/>
      <c r="FJ806" s="196">
        <f>FJ97*(1-(FJ$802/100))</f>
        <v>-15.070933482392396</v>
      </c>
      <c r="FK806" s="196"/>
      <c r="FL806" s="196">
        <f>FL97*(1-(FL$802/100))</f>
        <v>129.97685673215142</v>
      </c>
      <c r="FM806" s="196"/>
      <c r="FN806" s="196">
        <f>FN97*(1-(FN$802/100))</f>
        <v>226.16524809851501</v>
      </c>
      <c r="FO806" s="196"/>
      <c r="FP806" s="196">
        <f>FP97*(1-(FP$802/100))</f>
        <v>242.83950743223551</v>
      </c>
      <c r="FQ806" s="196"/>
      <c r="FR806" s="196">
        <f>FR97*(1-(FR$802/100))</f>
        <v>320.50318985395847</v>
      </c>
      <c r="FS806" s="196"/>
      <c r="FT806" s="196">
        <f>FT97*(1-(FT$802/100))</f>
        <v>422.82598730606492</v>
      </c>
      <c r="FU806" s="196"/>
      <c r="FV806" s="196">
        <f>FV97*(1-(FV$802/100))</f>
        <v>-337.36574870912239</v>
      </c>
      <c r="FW806" s="196"/>
      <c r="FX806" s="196">
        <f>FX97*(1-(FX$802/100))</f>
        <v>159.44555932203389</v>
      </c>
      <c r="FY806" s="196"/>
      <c r="FZ806" s="196">
        <f>FZ97*(1-(FZ$802/100))</f>
        <v>322.24236755871112</v>
      </c>
      <c r="GA806" s="196"/>
      <c r="GB806" s="196">
        <f>GB97*(1-(GB$802/100))</f>
        <v>543.82186639979989</v>
      </c>
      <c r="GC806" s="196"/>
      <c r="GD806" s="196">
        <f>GD97*(1-(GD$802/100))</f>
        <v>617.98128149748027</v>
      </c>
      <c r="GE806" s="196"/>
      <c r="GF806" s="196">
        <f>GF97*(1-(GF$802/100))</f>
        <v>1042.8899484133187</v>
      </c>
      <c r="GG806" s="17"/>
      <c r="GH806" s="196">
        <f>GH97*(1-(GH$802/100))</f>
        <v>1155.0142566191446</v>
      </c>
      <c r="GI806" s="17"/>
      <c r="GJ806" s="196">
        <f>GJ97*(1-(GJ$802/100))</f>
        <v>1240.7778847697</v>
      </c>
      <c r="GK806" s="17"/>
      <c r="GL806" s="196">
        <f>GL97*(1-(GL$802/100))</f>
        <v>1237.6530839044267</v>
      </c>
      <c r="GM806" s="17"/>
      <c r="GN806" s="196">
        <f>GN97*(1-(GN$802/100))</f>
        <v>1500.575464445868</v>
      </c>
      <c r="GO806" s="17"/>
      <c r="GP806" s="196">
        <f>GP97*(1-(GP$802/100))</f>
        <v>1621.9782660989508</v>
      </c>
      <c r="GQ806" s="17"/>
      <c r="GR806" s="196">
        <f>GR97*(1-(GR$802/100))</f>
        <v>1595.7870325370109</v>
      </c>
      <c r="GS806" s="17"/>
      <c r="GT806" s="196">
        <f>GT97*(1-(GT$802/100))</f>
        <v>1572.6330001775671</v>
      </c>
      <c r="GU806" s="17"/>
      <c r="GV806" s="196">
        <f>GV97*(1-(GV$802/100))</f>
        <v>1552.2574908519512</v>
      </c>
      <c r="GW806" s="17"/>
      <c r="GX806" s="196">
        <f>GX97*(1-(GX$802/100))</f>
        <v>1534.6296442739699</v>
      </c>
      <c r="GY806" s="17"/>
      <c r="GZ806" s="196"/>
      <c r="HA806" s="196"/>
      <c r="HB806" s="196"/>
      <c r="HC806"/>
      <c r="HD806"/>
      <c r="HE806"/>
      <c r="HF806"/>
      <c r="HG806"/>
      <c r="HH806"/>
      <c r="HI806" s="2"/>
    </row>
    <row r="807" spans="2:217" s="3" customFormat="1" ht="12.75" hidden="1" customHeight="1" outlineLevel="1" x14ac:dyDescent="0.2">
      <c r="B807" s="10" t="s">
        <v>117</v>
      </c>
      <c r="C807" s="9"/>
      <c r="D807" s="11"/>
      <c r="E807" s="9"/>
      <c r="F807" s="11"/>
      <c r="G807" s="9"/>
      <c r="H807" s="11"/>
      <c r="I807" s="9"/>
      <c r="J807" s="11"/>
      <c r="K807" s="9"/>
      <c r="L807" s="11"/>
      <c r="M807" s="9"/>
      <c r="N807" s="11"/>
      <c r="O807" s="9"/>
      <c r="P807" s="11"/>
      <c r="Q807" s="9"/>
      <c r="R807" s="11"/>
      <c r="S807" s="9"/>
      <c r="T807" s="11"/>
      <c r="U807" s="9"/>
      <c r="V807" s="11"/>
      <c r="W807" s="9"/>
      <c r="X807" s="11"/>
      <c r="Y807" s="9"/>
      <c r="Z807" s="11"/>
      <c r="AA807" s="9"/>
      <c r="AB807" s="11"/>
      <c r="AC807" s="9"/>
      <c r="AD807" s="11"/>
      <c r="AE807" s="9"/>
      <c r="AF807" s="11"/>
      <c r="AG807" s="9"/>
      <c r="AH807" s="11"/>
      <c r="AI807" s="9"/>
      <c r="AJ807" s="11"/>
      <c r="AK807" s="9"/>
      <c r="AL807" s="11"/>
      <c r="AM807" s="9"/>
      <c r="AN807" s="11"/>
      <c r="AO807" s="9"/>
      <c r="AP807" s="11"/>
      <c r="AQ807" s="9"/>
      <c r="AR807" s="11"/>
      <c r="AS807" s="9"/>
      <c r="AT807" s="11"/>
      <c r="AU807" s="9"/>
      <c r="AV807" s="11"/>
      <c r="AW807" s="9"/>
      <c r="AX807" s="11"/>
      <c r="AY807" s="9"/>
      <c r="AZ807" s="11"/>
      <c r="BA807" s="9"/>
      <c r="BB807" s="11"/>
      <c r="BC807" s="9"/>
      <c r="BD807" s="11"/>
      <c r="BE807" s="9"/>
      <c r="BF807" s="11"/>
      <c r="BG807" s="196">
        <f>BG217*(1-(BG$802/100))</f>
        <v>105.66034985422741</v>
      </c>
      <c r="BH807" s="196"/>
      <c r="BI807" s="196">
        <f>BI217*(1-(BI$802/100))</f>
        <v>98.483496877787687</v>
      </c>
      <c r="BJ807" s="196"/>
      <c r="BK807" s="196">
        <f>BK217*(1-(BK$802/100))</f>
        <v>111.75907335907335</v>
      </c>
      <c r="BL807" s="196"/>
      <c r="BM807" s="196">
        <f>BM217*(1-(BM$802/100))</f>
        <v>110.44921875</v>
      </c>
      <c r="BN807" s="196"/>
      <c r="BO807" s="196">
        <f>BO217*(1-(BO$802/100))</f>
        <v>91.404162102957287</v>
      </c>
      <c r="BP807" s="196"/>
      <c r="BQ807" s="196">
        <f>BQ217*(1-(BQ$802/100))</f>
        <v>105.30700179533213</v>
      </c>
      <c r="BR807" s="196"/>
      <c r="BS807" s="196">
        <f>BS217*(1-(BS$802/100))</f>
        <v>83.738410596026483</v>
      </c>
      <c r="BT807" s="196"/>
      <c r="BU807" s="196">
        <f>BU217*(1-(BU$802/100))</f>
        <v>74.280879864636205</v>
      </c>
      <c r="BV807" s="196"/>
      <c r="BW807" s="196">
        <f>BW217*(1-(BW$802/100))</f>
        <v>108</v>
      </c>
      <c r="BX807" s="196"/>
      <c r="BY807" s="196">
        <f>BY217*(1-(BY$802/100))</f>
        <v>77.467866323907458</v>
      </c>
      <c r="BZ807" s="196"/>
      <c r="CA807" s="196">
        <f>CA217*(1-(CA$802/100))</f>
        <v>90</v>
      </c>
      <c r="CB807" s="196"/>
      <c r="CC807" s="196">
        <f>CC217*(1-(CC$802/100))</f>
        <v>95.592156862745099</v>
      </c>
      <c r="CD807" s="196"/>
      <c r="CE807" s="196">
        <f>CE217*(1-(CE$802/100))</f>
        <v>123.6892523364486</v>
      </c>
      <c r="CF807" s="196"/>
      <c r="CG807" s="196">
        <f>CG217*(1-(CG$802/100))</f>
        <v>103.64489795918367</v>
      </c>
      <c r="CH807" s="196"/>
      <c r="CI807" s="196">
        <f>CI217*(1-(CI$802/100))</f>
        <v>97.375000000000014</v>
      </c>
      <c r="CJ807" s="196"/>
      <c r="CK807" s="196">
        <f>CK217*(1-(CK$802/100))</f>
        <v>105.86346863468636</v>
      </c>
      <c r="CL807" s="196"/>
      <c r="CM807" s="196">
        <f>CM217*(1-(CM$802/100))</f>
        <v>125.44782608695654</v>
      </c>
      <c r="CN807" s="196"/>
      <c r="CO807" s="196">
        <f>CO217*(1-(CO$802/100))</f>
        <v>125.26026827012026</v>
      </c>
      <c r="CP807" s="196"/>
      <c r="CQ807" s="196">
        <f>CQ217*(1-(CQ$802/100))</f>
        <v>106.12907608695652</v>
      </c>
      <c r="CR807" s="196"/>
      <c r="CS807" s="196">
        <f>CS217*(1-(CS$802/100))</f>
        <v>101.78888888888889</v>
      </c>
      <c r="CT807" s="196"/>
      <c r="CU807" s="196">
        <f>CU217*(1-(CU$802/100))</f>
        <v>113.9535587188612</v>
      </c>
      <c r="CV807" s="196"/>
      <c r="CW807" s="196">
        <f>CW217*(1-(CW$802/100))</f>
        <v>117.90738255033558</v>
      </c>
      <c r="CX807" s="196"/>
      <c r="CY807" s="196">
        <f>CY217*(1-(CY$802/100))</f>
        <v>111.69068673565381</v>
      </c>
      <c r="CZ807" s="196"/>
      <c r="DA807" s="196">
        <f>DA217*(1-(DA$802/100))</f>
        <v>125.70211786372008</v>
      </c>
      <c r="DB807" s="196"/>
      <c r="DC807" s="196">
        <f>DC217*(1-(DC$802/100))</f>
        <v>165.33463875759622</v>
      </c>
      <c r="DD807" s="196"/>
      <c r="DE807" s="196">
        <f>DE217*(1-(DE$802/100))</f>
        <v>167.09179251477346</v>
      </c>
      <c r="DF807" s="196"/>
      <c r="DG807" s="196">
        <f>DG217*(1-(DG$802/100))</f>
        <v>172.90275897969806</v>
      </c>
      <c r="DH807" s="196"/>
      <c r="DI807" s="196">
        <f>DI217*(1-(DI$802/100))</f>
        <v>211.4600883152174</v>
      </c>
      <c r="DJ807" s="196"/>
      <c r="DK807" s="196">
        <f>DK217*(1-(DK$802/100))</f>
        <v>263.44239338001273</v>
      </c>
      <c r="DL807" s="196"/>
      <c r="DM807" s="196">
        <f>DM217*(1-(DM$802/100))</f>
        <v>207.23105360443626</v>
      </c>
      <c r="DN807" s="196"/>
      <c r="DO807" s="196">
        <f>DO217*(1-(DO$802/100))</f>
        <v>205.57723577235771</v>
      </c>
      <c r="DP807" s="196"/>
      <c r="DQ807" s="196">
        <f>DQ217*(1-(DQ$802/100))</f>
        <v>220.33605947955388</v>
      </c>
      <c r="DR807" s="196"/>
      <c r="DS807" s="196">
        <f>DS217*(1-(DS$802/100))</f>
        <v>211.25042979942694</v>
      </c>
      <c r="DT807" s="196"/>
      <c r="DU807" s="196">
        <f>DU217*(1-(DU$802/100))</f>
        <v>173.79141770776749</v>
      </c>
      <c r="DV807" s="196"/>
      <c r="DW807" s="196">
        <f>DW217*(1-(DW$802/100))</f>
        <v>168.43472317156528</v>
      </c>
      <c r="DX807" s="196"/>
      <c r="DY807" s="196">
        <f>DY217*(1-(DY$802/100))</f>
        <v>126.63959390862944</v>
      </c>
      <c r="DZ807" s="196"/>
      <c r="EA807" s="196">
        <f>EA217*(1-(EA$802/100))</f>
        <v>164.78716981132075</v>
      </c>
      <c r="EB807" s="196"/>
      <c r="EC807" s="196">
        <f>EC217*(1-(EC$802/100))</f>
        <v>180.38789025543994</v>
      </c>
      <c r="ED807" s="196"/>
      <c r="EE807" s="196">
        <f>EE217*(1-(EE$802/100))</f>
        <v>208.69255455712451</v>
      </c>
      <c r="EF807" s="196"/>
      <c r="EG807" s="196">
        <f>EG217*(1-(EG$802/100))</f>
        <v>222.63193968471558</v>
      </c>
      <c r="EH807" s="196"/>
      <c r="EI807" s="196">
        <f>EI217*(1-(EI$802/100))</f>
        <v>295.83674698795181</v>
      </c>
      <c r="EJ807" s="196"/>
      <c r="EK807" s="196">
        <f>EK217*(1-(EK$802/100))</f>
        <v>245.46579804560261</v>
      </c>
      <c r="EL807" s="196"/>
      <c r="EM807" s="196">
        <f>EM217*(1-(EM$802/100))</f>
        <v>183.91479820627802</v>
      </c>
      <c r="EN807" s="196"/>
      <c r="EO807" s="196">
        <f>EO217*(1-(EO$802/100))</f>
        <v>217.13931297709925</v>
      </c>
      <c r="EP807" s="196"/>
      <c r="EQ807" s="196">
        <f>EQ217*(1-(EQ$802/100))</f>
        <v>239.89466086783668</v>
      </c>
      <c r="ER807" s="196"/>
      <c r="ES807" s="196">
        <f>ES217*(1-(ES$802/100))</f>
        <v>222.63266466857621</v>
      </c>
      <c r="ET807" s="196"/>
      <c r="EU807" s="196">
        <f>EU217*(1-(EU$802/100))</f>
        <v>206.56486808665025</v>
      </c>
      <c r="EV807" s="196"/>
      <c r="EW807" s="196">
        <f>EW217*(1-(EW$802/100))</f>
        <v>196.56554829225172</v>
      </c>
      <c r="EX807" s="196"/>
      <c r="EY807" s="196"/>
      <c r="EZ807" s="346"/>
      <c r="FA807" s="196"/>
      <c r="FB807" s="196">
        <f>FB217*(1-(FB$802/100))</f>
        <v>0</v>
      </c>
      <c r="FC807" s="196"/>
      <c r="FD807" s="196">
        <f>FD217*(1-(FD$802/100))</f>
        <v>28.293217535153016</v>
      </c>
      <c r="FE807" s="196"/>
      <c r="FF807" s="196">
        <f>FF217*(1-(FF$802/100))</f>
        <v>26.388770491803278</v>
      </c>
      <c r="FG807" s="196"/>
      <c r="FH807" s="196">
        <f>FH217*(1-(FH$802/100))</f>
        <v>35.617177914110428</v>
      </c>
      <c r="FI807" s="196"/>
      <c r="FJ807" s="196">
        <f>FJ217*(1-(FJ$802/100))</f>
        <v>53.465930687534929</v>
      </c>
      <c r="FK807" s="196"/>
      <c r="FL807" s="196">
        <f>FL217*(1-(FL$802/100))</f>
        <v>95.250215620507902</v>
      </c>
      <c r="FM807" s="196"/>
      <c r="FN807" s="196">
        <f>FN217*(1-(FN$802/100))</f>
        <v>194.18815646504888</v>
      </c>
      <c r="FO807" s="196"/>
      <c r="FP807" s="196">
        <f>FP217*(1-(FP$802/100))</f>
        <v>247.66014281550568</v>
      </c>
      <c r="FQ807" s="196"/>
      <c r="FR807" s="196">
        <f>FR217*(1-(FR$802/100))</f>
        <v>286.6431078657443</v>
      </c>
      <c r="FS807" s="196"/>
      <c r="FT807" s="196">
        <f>FT217*(1-(FT$802/100))</f>
        <v>356.28684767277861</v>
      </c>
      <c r="FU807" s="196"/>
      <c r="FV807" s="196">
        <f>FV217*(1-(FV$802/100))</f>
        <v>-277.36445783132547</v>
      </c>
      <c r="FW807" s="196"/>
      <c r="FX807" s="196">
        <f>FX217*(1-(FX$802/100))</f>
        <v>184.64096610169489</v>
      </c>
      <c r="FY807" s="196"/>
      <c r="FZ807" s="196">
        <f>FZ217*(1-(FZ$802/100))</f>
        <v>323.91780447842712</v>
      </c>
      <c r="GA807" s="196"/>
      <c r="GB807" s="196">
        <f>GB217*(1-(GB$802/100))</f>
        <v>380.35526644983742</v>
      </c>
      <c r="GC807" s="196"/>
      <c r="GD807" s="196">
        <f>GD217*(1-(GD$802/100))</f>
        <v>393.77465802735787</v>
      </c>
      <c r="GE807" s="196"/>
      <c r="GF807" s="196">
        <f>GF217*(1-(GF$802/100))</f>
        <v>747.81741441300608</v>
      </c>
      <c r="GG807" s="17"/>
      <c r="GH807" s="196">
        <f>GH217*(1-(GH$802/100))</f>
        <v>877.83978275627965</v>
      </c>
      <c r="GI807" s="17"/>
      <c r="GJ807" s="196">
        <f>GJ217*(1-(GJ$802/100))</f>
        <v>679.70454180709362</v>
      </c>
      <c r="GK807" s="17"/>
      <c r="GL807" s="196">
        <f>GL217*(1-(GL$802/100))</f>
        <v>775.9103537692165</v>
      </c>
      <c r="GM807" s="17"/>
      <c r="GN807" s="196">
        <f>GN217*(1-(GN$802/100))</f>
        <v>941.72453555413188</v>
      </c>
      <c r="GO807" s="17"/>
      <c r="GP807" s="196">
        <f>GP217*(1-(GP$802/100))</f>
        <v>865.6577419153142</v>
      </c>
      <c r="GQ807" s="17"/>
      <c r="GR807" s="196">
        <f>GR217*(1-(GR$802/100))</f>
        <v>888.30495521474529</v>
      </c>
      <c r="GS807" s="17"/>
      <c r="GT807" s="196">
        <f>GT217*(1-(GT$802/100))</f>
        <v>906.6075872988398</v>
      </c>
      <c r="GU807" s="17"/>
      <c r="GV807" s="196">
        <f>GV217*(1-(GV$802/100))</f>
        <v>925.22648086032689</v>
      </c>
      <c r="GW807" s="17"/>
      <c r="GX807" s="196">
        <f>GX217*(1-(GX$802/100))</f>
        <v>944.16614258838763</v>
      </c>
      <c r="GY807" s="17"/>
      <c r="GZ807" s="196"/>
      <c r="HA807" s="196"/>
      <c r="HB807" s="196"/>
      <c r="HC807"/>
      <c r="HD807"/>
      <c r="HE807"/>
      <c r="HF807"/>
      <c r="HG807"/>
      <c r="HH807"/>
      <c r="HI807" s="2"/>
    </row>
    <row r="808" spans="2:217" s="3" customFormat="1" ht="12.75" hidden="1" customHeight="1" outlineLevel="1" x14ac:dyDescent="0.2">
      <c r="B808" s="10" t="s">
        <v>554</v>
      </c>
      <c r="C808" s="9"/>
      <c r="D808" s="11"/>
      <c r="E808" s="9"/>
      <c r="F808" s="11"/>
      <c r="G808" s="9"/>
      <c r="H808" s="11"/>
      <c r="I808" s="9"/>
      <c r="J808" s="11"/>
      <c r="K808" s="9"/>
      <c r="L808" s="11"/>
      <c r="M808" s="9"/>
      <c r="N808" s="11"/>
      <c r="O808" s="9"/>
      <c r="P808" s="11"/>
      <c r="Q808" s="9"/>
      <c r="R808" s="11"/>
      <c r="S808" s="9"/>
      <c r="T808" s="11"/>
      <c r="U808" s="9"/>
      <c r="V808" s="11"/>
      <c r="W808" s="9"/>
      <c r="X808" s="11"/>
      <c r="Y808" s="9"/>
      <c r="Z808" s="11"/>
      <c r="AA808" s="9"/>
      <c r="AB808" s="11"/>
      <c r="AC808" s="9"/>
      <c r="AD808" s="11"/>
      <c r="AE808" s="9"/>
      <c r="AF808" s="11"/>
      <c r="AG808" s="9"/>
      <c r="AH808" s="11"/>
      <c r="AI808" s="9"/>
      <c r="AJ808" s="11"/>
      <c r="AK808" s="9"/>
      <c r="AL808" s="11"/>
      <c r="AM808" s="9"/>
      <c r="AN808" s="11"/>
      <c r="AO808" s="9"/>
      <c r="AP808" s="11"/>
      <c r="AQ808" s="9"/>
      <c r="AR808" s="11"/>
      <c r="AS808" s="9"/>
      <c r="AT808" s="11"/>
      <c r="AU808" s="9"/>
      <c r="AV808" s="11"/>
      <c r="AW808" s="9"/>
      <c r="AX808" s="11"/>
      <c r="AY808" s="9"/>
      <c r="AZ808" s="11"/>
      <c r="BA808" s="9"/>
      <c r="BB808" s="11"/>
      <c r="BC808" s="9"/>
      <c r="BD808" s="11"/>
      <c r="BE808" s="9"/>
      <c r="BF808" s="11"/>
      <c r="BG808" s="196">
        <f>BG324*(1-(BG$802/100))</f>
        <v>110.65779883381924</v>
      </c>
      <c r="BH808" s="196"/>
      <c r="BI808" s="196">
        <f>BI324*(1-(BI$802/100))</f>
        <v>109.18822479928635</v>
      </c>
      <c r="BJ808" s="196"/>
      <c r="BK808" s="196">
        <f>BK324*(1-(BK$802/100))</f>
        <v>151.36988416988416</v>
      </c>
      <c r="BL808" s="196"/>
      <c r="BM808" s="196">
        <f>BM324*(1-(BM$802/100))</f>
        <v>188.14453125</v>
      </c>
      <c r="BN808" s="196"/>
      <c r="BO808" s="196">
        <f>BO324*(1-(BO$802/100))</f>
        <v>109.83242059145674</v>
      </c>
      <c r="BP808" s="196"/>
      <c r="BQ808" s="196">
        <f>BQ324*(1-(BQ$802/100))</f>
        <v>112.02872531418312</v>
      </c>
      <c r="BR808" s="196"/>
      <c r="BS808" s="196">
        <f>BS324*(1-(BS$802/100))</f>
        <v>70.589403973509931</v>
      </c>
      <c r="BT808" s="196"/>
      <c r="BU808" s="196">
        <f>BU324*(1-(BU$802/100))</f>
        <v>60.167512690355331</v>
      </c>
      <c r="BV808" s="196"/>
      <c r="BW808" s="196">
        <f>BW324*(1-(BW$802/100))</f>
        <v>-0.77142857142857146</v>
      </c>
      <c r="BX808" s="196"/>
      <c r="BY808" s="196">
        <f>BY324*(1-(BY$802/100))</f>
        <v>24.347043701799489</v>
      </c>
      <c r="BZ808" s="196"/>
      <c r="CA808" s="196">
        <f>CA324*(1-(CA$802/100))</f>
        <v>22.30769230769231</v>
      </c>
      <c r="CB808" s="196"/>
      <c r="CC808" s="196">
        <f>CC324*(1-(CC$802/100))</f>
        <v>-4.3450980392156859</v>
      </c>
      <c r="CD808" s="196"/>
      <c r="CE808" s="196">
        <f>CE324*(1-(CE$802/100))</f>
        <v>61.47429906542056</v>
      </c>
      <c r="CF808" s="196"/>
      <c r="CG808" s="196">
        <f>CG324*(1-(CG$802/100))</f>
        <v>95.910204081632642</v>
      </c>
      <c r="CH808" s="196"/>
      <c r="CI808" s="196">
        <f>CI324*(1-(CI$802/100))</f>
        <v>108.35714285714286</v>
      </c>
      <c r="CJ808" s="196"/>
      <c r="CK808" s="196">
        <f>CK324*(1-(CK$802/100))</f>
        <v>95.712177121771219</v>
      </c>
      <c r="CL808" s="196"/>
      <c r="CM808" s="196">
        <f>CM324*(1-(CM$802/100))</f>
        <v>112.31956521739131</v>
      </c>
      <c r="CN808" s="196"/>
      <c r="CO808" s="196">
        <f>CO324*(1-(CO$802/100))</f>
        <v>121.59768732654949</v>
      </c>
      <c r="CP808" s="196"/>
      <c r="CQ808" s="196">
        <f>CQ324*(1-(CQ$802/100))</f>
        <v>96.695380434782606</v>
      </c>
      <c r="CR808" s="196"/>
      <c r="CS808" s="196">
        <f>CS324*(1-(CS$802/100))</f>
        <v>116.33015873015873</v>
      </c>
      <c r="CT808" s="196"/>
      <c r="CU808" s="196">
        <f>CU324*(1-(CU$802/100))</f>
        <v>107.3793149466192</v>
      </c>
      <c r="CV808" s="196"/>
      <c r="CW808" s="196">
        <f>CW324*(1-(CW$802/100))</f>
        <v>98.256152125279641</v>
      </c>
      <c r="CX808" s="196"/>
      <c r="CY808" s="196">
        <f>CY324*(1-(CY$802/100))</f>
        <v>144.75700846660396</v>
      </c>
      <c r="CZ808" s="196"/>
      <c r="DA808" s="196">
        <f>DA324*(1-(DA$802/100))</f>
        <v>155.77808471454881</v>
      </c>
      <c r="DB808" s="196"/>
      <c r="DC808" s="196">
        <f>DC324*(1-(DC$802/100))</f>
        <v>122.55067521944633</v>
      </c>
      <c r="DD808" s="196"/>
      <c r="DE808" s="196">
        <f>DE324*(1-(DE$802/100))</f>
        <v>123.87839789888378</v>
      </c>
      <c r="DF808" s="196"/>
      <c r="DG808" s="196">
        <f>DG324*(1-(DG$802/100))</f>
        <v>124.11691827173347</v>
      </c>
      <c r="DH808" s="196"/>
      <c r="DI808" s="196">
        <f>DI324*(1-(DI$802/100))</f>
        <v>149.81409646739129</v>
      </c>
      <c r="DJ808" s="196"/>
      <c r="DK808" s="196">
        <f>DK324*(1-(DK$802/100))</f>
        <v>139.68236791852323</v>
      </c>
      <c r="DL808" s="196"/>
      <c r="DM808" s="196">
        <f>DM324*(1-(DM$802/100))</f>
        <v>144.91682070240296</v>
      </c>
      <c r="DN808" s="196"/>
      <c r="DO808" s="196">
        <f>DO324*(1-(DO$802/100))</f>
        <v>152.84552845528455</v>
      </c>
      <c r="DP808" s="196"/>
      <c r="DQ808" s="196">
        <f>DQ324*(1-(DQ$802/100))</f>
        <v>143.89293680297396</v>
      </c>
      <c r="DR808" s="196"/>
      <c r="DS808" s="196">
        <f>DS324*(1-(DS$802/100))</f>
        <v>152.48710601719199</v>
      </c>
      <c r="DT808" s="196"/>
      <c r="DU808" s="196">
        <f>DU324*(1-(DU$802/100))</f>
        <v>143.72623574144487</v>
      </c>
      <c r="DV808" s="196"/>
      <c r="DW808" s="196">
        <f>DW324*(1-(DW$802/100))</f>
        <v>136.56869446343131</v>
      </c>
      <c r="DX808" s="196"/>
      <c r="DY808" s="196">
        <f>DY324*(1-(DY$802/100))</f>
        <v>149.25380710659897</v>
      </c>
      <c r="DZ808" s="196"/>
      <c r="EA808" s="196">
        <f>EA324*(1-(EA$802/100))</f>
        <v>124.15471698113208</v>
      </c>
      <c r="EB808" s="196"/>
      <c r="EC808" s="196">
        <f>EC324*(1-(EC$802/100))</f>
        <v>162.34910122989595</v>
      </c>
      <c r="ED808" s="196"/>
      <c r="EE808" s="196">
        <f>EE324*(1-(EE$802/100))</f>
        <v>146.00834403080873</v>
      </c>
      <c r="EF808" s="196"/>
      <c r="EG808" s="196">
        <f>EG324*(1-(EG$802/100))</f>
        <v>167.34749828649763</v>
      </c>
      <c r="EH808" s="196"/>
      <c r="EI808" s="196">
        <f>EI324*(1-(EI$802/100))</f>
        <v>146.055421686747</v>
      </c>
      <c r="EJ808" s="196"/>
      <c r="EK808" s="196">
        <f>EK324*(1-(EK$802/100))</f>
        <v>163.14495114006516</v>
      </c>
      <c r="EL808" s="196"/>
      <c r="EM808" s="196">
        <f>EM324*(1-(EM$802/100))</f>
        <v>192.07230941704037</v>
      </c>
      <c r="EN808" s="196"/>
      <c r="EO808" s="196">
        <f>EO324*(1-(EO$802/100))</f>
        <v>228.3320610687023</v>
      </c>
      <c r="EP808" s="196"/>
      <c r="EQ808" s="196">
        <f>EQ324*(1-(EQ$802/100))</f>
        <v>194.0341807162072</v>
      </c>
      <c r="ER808" s="196"/>
      <c r="ES808" s="196">
        <f>ES324*(1-(ES$802/100))</f>
        <v>193.50289821483116</v>
      </c>
      <c r="ET808" s="196"/>
      <c r="EU808" s="196">
        <f>EU324*(1-(EU$802/100))</f>
        <v>196.38518059067184</v>
      </c>
      <c r="EV808" s="196"/>
      <c r="EW808" s="196">
        <f>EW324*(1-(EW$802/100))</f>
        <v>195.84854482679907</v>
      </c>
      <c r="EX808" s="196"/>
      <c r="EY808" s="196"/>
      <c r="EZ808" s="346"/>
      <c r="FA808" s="196"/>
      <c r="FB808" s="196">
        <f>FB324*(1-(FB$802/100))</f>
        <v>0</v>
      </c>
      <c r="FC808" s="196"/>
      <c r="FD808" s="196">
        <f>FD324*(1-(FD$802/100))</f>
        <v>30.398759305210916</v>
      </c>
      <c r="FE808" s="196"/>
      <c r="FF808" s="196">
        <f>FF324*(1-(FF$802/100))</f>
        <v>33.598073770491801</v>
      </c>
      <c r="FG808" s="196"/>
      <c r="FH808" s="196">
        <f>FH324*(1-(FH$802/100))</f>
        <v>64.638582140422628</v>
      </c>
      <c r="FI808" s="196"/>
      <c r="FJ808" s="196">
        <f>FJ324*(1-(FJ$802/100))</f>
        <v>66.025041922861931</v>
      </c>
      <c r="FK808" s="196"/>
      <c r="FL808" s="196">
        <f>FL324*(1-(FL$802/100))</f>
        <v>103.68382846190704</v>
      </c>
      <c r="FM808" s="196"/>
      <c r="FN808" s="196">
        <f>FN324*(1-(FN$802/100))</f>
        <v>143.02480985150305</v>
      </c>
      <c r="FO808" s="196"/>
      <c r="FP808" s="196">
        <f>FP324*(1-(FP$802/100))</f>
        <v>233.19823666569513</v>
      </c>
      <c r="FQ808" s="196"/>
      <c r="FR808" s="196">
        <f>FR324*(1-(FR$802/100))</f>
        <v>281.97275172943887</v>
      </c>
      <c r="FS808" s="196"/>
      <c r="FT808" s="196">
        <f>FT324*(1-(FT$802/100))</f>
        <v>465.16907616361078</v>
      </c>
      <c r="FU808" s="196"/>
      <c r="FV808" s="196">
        <f>FV324*(1-(FV$802/100))</f>
        <v>-272.8360585197936</v>
      </c>
      <c r="FW808" s="196"/>
      <c r="FX808" s="196">
        <f>FX324*(1-(FX$802/100))</f>
        <v>20.68279661016949</v>
      </c>
      <c r="FY808" s="196"/>
      <c r="FZ808" s="196">
        <f>FZ324*(1-(FZ$802/100))</f>
        <v>271.97925996723103</v>
      </c>
      <c r="GA808" s="196"/>
      <c r="GB808" s="196">
        <f>GB324*(1-(GB$802/100))</f>
        <v>371.12334250688019</v>
      </c>
      <c r="GC808" s="196"/>
      <c r="GD808" s="196">
        <f>GD324*(1-(GD$802/100))</f>
        <v>424.54811615070798</v>
      </c>
      <c r="GE808" s="196"/>
      <c r="GF808" s="196">
        <f>GF324*(1-(GF$802/100))</f>
        <v>542.84336407691103</v>
      </c>
      <c r="GG808" s="17"/>
      <c r="GH808" s="196">
        <f>GH324*(1-(GH$802/100))</f>
        <v>568.09911744738622</v>
      </c>
      <c r="GI808" s="17"/>
      <c r="GJ808" s="196">
        <f>GJ324*(1-(GJ$802/100))</f>
        <v>581.21826352110418</v>
      </c>
      <c r="GK808" s="17"/>
      <c r="GL808" s="196">
        <f>GL324*(1-(GL$802/100))</f>
        <v>598.66808668271904</v>
      </c>
      <c r="GM808" s="17"/>
      <c r="GN808" s="196">
        <f>GN324*(1-(GN$802/100))</f>
        <v>729.38949391415758</v>
      </c>
      <c r="GO808" s="17"/>
      <c r="GP808" s="196">
        <f>GP324*(1-(GP$802/100))</f>
        <v>779.7708043485095</v>
      </c>
      <c r="GQ808" s="17"/>
      <c r="GR808" s="196">
        <f>GR324*(1-(GR$802/100))</f>
        <v>822.15878743121334</v>
      </c>
      <c r="GS808" s="17"/>
      <c r="GT808" s="196">
        <f>GT324*(1-(GT$802/100))</f>
        <v>858.21935601499445</v>
      </c>
      <c r="GU808" s="17"/>
      <c r="GV808" s="196">
        <f>GV324*(1-(GV$802/100))</f>
        <v>893.95356281787008</v>
      </c>
      <c r="GW808" s="17"/>
      <c r="GX808" s="196">
        <f>GX324*(1-(GX$802/100))</f>
        <v>919.35905037330417</v>
      </c>
      <c r="GY808" s="17"/>
      <c r="GZ808" s="196"/>
      <c r="HA808" s="196"/>
      <c r="HB808" s="196"/>
      <c r="HC808"/>
      <c r="HD808"/>
      <c r="HE808"/>
      <c r="HF808"/>
      <c r="HG808"/>
      <c r="HH808"/>
      <c r="HI808" s="2"/>
    </row>
    <row r="809" spans="2:217" s="3" customFormat="1" ht="12.75" hidden="1" customHeight="1" outlineLevel="1" x14ac:dyDescent="0.2">
      <c r="B809" s="10" t="s">
        <v>574</v>
      </c>
      <c r="C809" s="9"/>
      <c r="D809" s="11"/>
      <c r="E809" s="9"/>
      <c r="F809" s="11"/>
      <c r="G809" s="9"/>
      <c r="H809" s="11"/>
      <c r="I809" s="9"/>
      <c r="J809" s="11"/>
      <c r="K809" s="9"/>
      <c r="L809" s="11"/>
      <c r="M809" s="9"/>
      <c r="N809" s="11"/>
      <c r="O809" s="9"/>
      <c r="P809" s="11"/>
      <c r="Q809" s="9"/>
      <c r="R809" s="11"/>
      <c r="S809" s="9"/>
      <c r="T809" s="11"/>
      <c r="U809" s="9"/>
      <c r="V809" s="11"/>
      <c r="W809" s="9"/>
      <c r="X809" s="11"/>
      <c r="Y809" s="9"/>
      <c r="Z809" s="11"/>
      <c r="AA809" s="9"/>
      <c r="AB809" s="11"/>
      <c r="AC809" s="9"/>
      <c r="AD809" s="11"/>
      <c r="AE809" s="9"/>
      <c r="AF809" s="11"/>
      <c r="AG809" s="9"/>
      <c r="AH809" s="11"/>
      <c r="AI809" s="9"/>
      <c r="AJ809" s="11"/>
      <c r="AK809" s="9"/>
      <c r="AL809" s="11"/>
      <c r="AM809" s="9"/>
      <c r="AN809" s="11"/>
      <c r="AO809" s="9"/>
      <c r="AP809" s="11"/>
      <c r="AQ809" s="9"/>
      <c r="AR809" s="11"/>
      <c r="AS809" s="9"/>
      <c r="AT809" s="11"/>
      <c r="AU809" s="9"/>
      <c r="AV809" s="11"/>
      <c r="AW809" s="9"/>
      <c r="AX809" s="11"/>
      <c r="AY809" s="9"/>
      <c r="AZ809" s="11"/>
      <c r="BA809" s="9"/>
      <c r="BB809" s="11"/>
      <c r="BC809" s="9"/>
      <c r="BD809" s="11"/>
      <c r="BE809" s="9"/>
      <c r="BF809" s="11"/>
      <c r="BG809" s="196">
        <f>BG806+BG807+BG808</f>
        <v>334.82908163265307</v>
      </c>
      <c r="BH809" s="196"/>
      <c r="BI809" s="196">
        <f>BI806+BI807+BI808</f>
        <v>336.12845673505797</v>
      </c>
      <c r="BJ809" s="196"/>
      <c r="BK809" s="196">
        <f>BK806+BK807+BK808</f>
        <v>389.03474903474898</v>
      </c>
      <c r="BL809" s="196"/>
      <c r="BM809" s="196">
        <f>BM806+BM807+BM808</f>
        <v>431.89453125</v>
      </c>
      <c r="BN809" s="196"/>
      <c r="BO809" s="196">
        <f>BO806+BO807+BO808</f>
        <v>286.00657174151149</v>
      </c>
      <c r="BP809" s="196"/>
      <c r="BQ809" s="196">
        <f>BQ806+BQ807+BQ808</f>
        <v>332.35188509874325</v>
      </c>
      <c r="BR809" s="196"/>
      <c r="BS809" s="196">
        <f>BS806+BS807+BS808</f>
        <v>230.45364238410593</v>
      </c>
      <c r="BT809" s="196"/>
      <c r="BU809" s="196">
        <f>BU806+BU807+BU808</f>
        <v>205.01522842639591</v>
      </c>
      <c r="BV809" s="196"/>
      <c r="BW809" s="196">
        <f>BW806+BW807+BW808</f>
        <v>171.25714285714284</v>
      </c>
      <c r="BX809" s="196"/>
      <c r="BY809" s="196">
        <f>BY806+BY807+BY808</f>
        <v>155.67352185089976</v>
      </c>
      <c r="BZ809" s="196"/>
      <c r="CA809" s="196">
        <f>CA806+CA807+CA808</f>
        <v>293.07692307692309</v>
      </c>
      <c r="CB809" s="196"/>
      <c r="CC809" s="196">
        <f>CC806+CC807+CC808</f>
        <v>176.70065359477124</v>
      </c>
      <c r="CD809" s="196"/>
      <c r="CE809" s="196">
        <f>CE806+CE807+CE808</f>
        <v>278.48598130841123</v>
      </c>
      <c r="CF809" s="196"/>
      <c r="CG809" s="196">
        <f>CG806+CG807+CG808</f>
        <v>307.84081632653056</v>
      </c>
      <c r="CH809" s="196"/>
      <c r="CI809" s="196">
        <f>CI806+CI807+CI808</f>
        <v>308.23214285714289</v>
      </c>
      <c r="CJ809" s="196"/>
      <c r="CK809" s="196">
        <f>CK806+CK807+CK808</f>
        <v>325.56642066420665</v>
      </c>
      <c r="CL809" s="196"/>
      <c r="CM809" s="196">
        <f>CM806+CM807+CM808</f>
        <v>395.01478260869567</v>
      </c>
      <c r="CN809" s="196"/>
      <c r="CO809" s="196">
        <f>CO806+CO807+CO808</f>
        <v>424.12687326549491</v>
      </c>
      <c r="CP809" s="196"/>
      <c r="CQ809" s="196">
        <f>CQ806+CQ807+CQ808</f>
        <v>382.8508152173913</v>
      </c>
      <c r="CR809" s="196"/>
      <c r="CS809" s="196">
        <f>CS806+CS807+CS808</f>
        <v>361.35055555555556</v>
      </c>
      <c r="CT809" s="196"/>
      <c r="CU809" s="196">
        <f>CU806+CU807+CU808</f>
        <v>385.68896797153025</v>
      </c>
      <c r="CV809" s="196"/>
      <c r="CW809" s="196">
        <f>CW806+CW807+CW808</f>
        <v>390.75715883668909</v>
      </c>
      <c r="CX809" s="196"/>
      <c r="CY809" s="196">
        <f>CY806+CY807+CY808</f>
        <v>443.82351834430858</v>
      </c>
      <c r="CZ809" s="196"/>
      <c r="DA809" s="196">
        <f>DA806+DA807+DA808</f>
        <v>492.01197053407003</v>
      </c>
      <c r="DB809" s="196"/>
      <c r="DC809" s="196">
        <f>DC806+DC807+DC808</f>
        <v>512.68241053342342</v>
      </c>
      <c r="DD809" s="196"/>
      <c r="DE809" s="196">
        <f>DE806+DE807+DE808</f>
        <v>525.04274458305974</v>
      </c>
      <c r="DF809" s="196"/>
      <c r="DG809" s="196">
        <f>DG806+DG807+DG808</f>
        <v>562.47204580947414</v>
      </c>
      <c r="DH809" s="196"/>
      <c r="DI809" s="196">
        <f>DI806+DI807+DI808</f>
        <v>636.53070652173915</v>
      </c>
      <c r="DJ809" s="196"/>
      <c r="DK809" s="196">
        <f>DK806+DK807+DK808</f>
        <v>699.13558243157229</v>
      </c>
      <c r="DL809" s="196"/>
      <c r="DM809" s="196">
        <f>DM806+DM807+DM808</f>
        <v>637.63401109057304</v>
      </c>
      <c r="DN809" s="196"/>
      <c r="DO809" s="196">
        <f>DO806+DO807+DO808</f>
        <v>666.40650406504062</v>
      </c>
      <c r="DP809" s="196"/>
      <c r="DQ809" s="196">
        <f>DQ806+DQ807+DQ808</f>
        <v>656.51152416356877</v>
      </c>
      <c r="DR809" s="196"/>
      <c r="DS809" s="196">
        <f>DS806+DS807+DS808</f>
        <v>678.38166189111746</v>
      </c>
      <c r="DT809" s="196"/>
      <c r="DU809" s="196">
        <f>DU806+DU807+DU808</f>
        <v>627.70233568712649</v>
      </c>
      <c r="DV809" s="196"/>
      <c r="DW809" s="196">
        <f>DW806+DW807+DW808</f>
        <v>619.11141490088858</v>
      </c>
      <c r="DX809" s="196"/>
      <c r="DY809" s="196">
        <f>DY806+DY807+DY808</f>
        <v>579.67766497461923</v>
      </c>
      <c r="DZ809" s="196"/>
      <c r="EA809" s="196">
        <f>EA806+EA807+EA808</f>
        <v>575.62641509433968</v>
      </c>
      <c r="EB809" s="196"/>
      <c r="EC809" s="196">
        <f>EC806+EC807+EC808</f>
        <v>636.84768211920539</v>
      </c>
      <c r="ED809" s="196"/>
      <c r="EE809" s="196">
        <f>EE806+EE807+EE808</f>
        <v>697.93517329910139</v>
      </c>
      <c r="EF809" s="196"/>
      <c r="EG809" s="196">
        <f>EG806+EG807+EG808</f>
        <v>705.25017135023995</v>
      </c>
      <c r="EH809" s="196"/>
      <c r="EI809" s="196">
        <f>EI806+EI807+EI808</f>
        <v>775.80765060240969</v>
      </c>
      <c r="EJ809" s="196"/>
      <c r="EK809" s="196">
        <f>EK806+EK807+EK808</f>
        <v>791.77687296416934</v>
      </c>
      <c r="EL809" s="196"/>
      <c r="EM809" s="196">
        <f>EM806+EM807+EM808</f>
        <v>768.28923766816149</v>
      </c>
      <c r="EN809" s="196"/>
      <c r="EO809" s="196">
        <f>EO806+EO807+EO808</f>
        <v>837.21755725190837</v>
      </c>
      <c r="EP809" s="196"/>
      <c r="EQ809" s="196">
        <f t="shared" ref="EQ809" si="3535">EQ806+EQ807+EQ808</f>
        <v>845.15668438086539</v>
      </c>
      <c r="ER809" s="196"/>
      <c r="ES809" s="196">
        <f t="shared" ref="ES809" si="3536">ES806+ES807+ES808</f>
        <v>824.61547586891811</v>
      </c>
      <c r="ET809" s="196"/>
      <c r="EU809" s="196">
        <f t="shared" ref="EU809" si="3537">EU806+EU807+EU808</f>
        <v>811.93086178988756</v>
      </c>
      <c r="EV809" s="196"/>
      <c r="EW809" s="196">
        <f t="shared" ref="EW809" si="3538">EW806+EW807+EW808</f>
        <v>785.70379032310359</v>
      </c>
      <c r="EX809" s="196"/>
      <c r="EY809" s="196"/>
      <c r="EZ809" s="346"/>
      <c r="FA809" s="196"/>
      <c r="FB809" s="196">
        <f>FB806+FB807+FB808</f>
        <v>175</v>
      </c>
      <c r="FC809" s="196"/>
      <c r="FD809" s="196">
        <f>FD806+FD807+FD808</f>
        <v>71.851612903225799</v>
      </c>
      <c r="FE809" s="196"/>
      <c r="FF809" s="196">
        <f>FF806+FF807+FF808</f>
        <v>79.982459016393449</v>
      </c>
      <c r="FG809" s="196"/>
      <c r="FH809" s="196">
        <f>FH806+FH807+FH808</f>
        <v>135.54314928425356</v>
      </c>
      <c r="FI809" s="196"/>
      <c r="FJ809" s="196">
        <f>FJ806+FJ807+FJ808</f>
        <v>104.42003912800446</v>
      </c>
      <c r="FK809" s="196"/>
      <c r="FL809" s="196">
        <f>FL806+FL807+FL808</f>
        <v>328.91090081456639</v>
      </c>
      <c r="FM809" s="196"/>
      <c r="FN809" s="196">
        <f>FN806+FN807+FN808</f>
        <v>563.37821441506696</v>
      </c>
      <c r="FO809" s="196"/>
      <c r="FP809" s="196">
        <f>FP806+FP807+FP808</f>
        <v>723.69788691343638</v>
      </c>
      <c r="FQ809" s="196"/>
      <c r="FR809" s="196">
        <f>FR806+FR807+FR808</f>
        <v>889.11904944914158</v>
      </c>
      <c r="FS809" s="196"/>
      <c r="FT809" s="196">
        <f>FT806+FT807+FT808</f>
        <v>1244.2819111424542</v>
      </c>
      <c r="FU809" s="196"/>
      <c r="FV809" s="196">
        <f>FV806+FV807+FV808</f>
        <v>-887.56626506024145</v>
      </c>
      <c r="FW809" s="196"/>
      <c r="FX809" s="196">
        <f>FX806+FX807+FX808</f>
        <v>364.76932203389822</v>
      </c>
      <c r="FY809" s="196"/>
      <c r="FZ809" s="196">
        <f>FZ806+FZ807+FZ808</f>
        <v>918.13943200436916</v>
      </c>
      <c r="GA809" s="196"/>
      <c r="GB809" s="196">
        <f>GB806+GB807+GB808</f>
        <v>1295.3004753565174</v>
      </c>
      <c r="GC809" s="196"/>
      <c r="GD809" s="196">
        <f>GD806+GD807+GD808</f>
        <v>1436.3040556755461</v>
      </c>
      <c r="GE809" s="196"/>
      <c r="GF809" s="196">
        <f>GF806+GF807+GF808</f>
        <v>2333.550726903236</v>
      </c>
      <c r="GG809" s="17"/>
      <c r="GH809" s="196">
        <f>GH806+GH807+GH808</f>
        <v>2600.9531568228103</v>
      </c>
      <c r="GI809" s="17"/>
      <c r="GJ809" s="196">
        <f>GJ806+GJ807+GJ808</f>
        <v>2501.7006900978977</v>
      </c>
      <c r="GK809" s="17"/>
      <c r="GL809" s="196">
        <f>GL806+GL807+GL808</f>
        <v>2612.2315243563621</v>
      </c>
      <c r="GM809" s="17"/>
      <c r="GN809" s="196">
        <f>GN806+GN807+GN808</f>
        <v>3171.6894939141575</v>
      </c>
      <c r="GO809" s="17"/>
      <c r="GP809" s="196">
        <f>GP806+GP807+GP808</f>
        <v>3267.4068123627744</v>
      </c>
      <c r="GQ809" s="17"/>
      <c r="GR809" s="196">
        <f>GR806+GR807+GR808</f>
        <v>3306.2507751829698</v>
      </c>
      <c r="GS809" s="17"/>
      <c r="GT809" s="196">
        <f>GT806+GT807+GT808</f>
        <v>3337.4599434914012</v>
      </c>
      <c r="GU809" s="17"/>
      <c r="GV809" s="196">
        <f>GV806+GV807+GV808</f>
        <v>3371.4375345301482</v>
      </c>
      <c r="GW809" s="17"/>
      <c r="GX809" s="196">
        <f>GX806+GX807+GX808</f>
        <v>3398.1548372356619</v>
      </c>
      <c r="GY809" s="17"/>
      <c r="GZ809" s="196"/>
      <c r="HA809" s="196"/>
      <c r="HB809" s="196"/>
      <c r="HC809"/>
      <c r="HD809"/>
      <c r="HE809"/>
      <c r="HF809"/>
      <c r="HG809"/>
      <c r="HH809"/>
      <c r="HI809" s="2"/>
    </row>
    <row r="810" spans="2:217" s="3" customFormat="1" ht="12.75" hidden="1" customHeight="1" outlineLevel="1" x14ac:dyDescent="0.2">
      <c r="B810" s="10"/>
      <c r="C810" s="9"/>
      <c r="D810" s="11"/>
      <c r="E810" s="9"/>
      <c r="F810" s="11"/>
      <c r="G810" s="9"/>
      <c r="H810" s="11"/>
      <c r="I810" s="9"/>
      <c r="J810" s="11"/>
      <c r="K810" s="9"/>
      <c r="L810" s="11"/>
      <c r="M810" s="9"/>
      <c r="N810" s="11"/>
      <c r="O810" s="9"/>
      <c r="P810" s="11"/>
      <c r="Q810" s="9"/>
      <c r="R810" s="11"/>
      <c r="S810" s="9"/>
      <c r="T810" s="11"/>
      <c r="U810" s="9"/>
      <c r="V810" s="11"/>
      <c r="W810" s="9"/>
      <c r="X810" s="11"/>
      <c r="Y810" s="9"/>
      <c r="Z810" s="11"/>
      <c r="AA810" s="9"/>
      <c r="AB810" s="11"/>
      <c r="AC810" s="9"/>
      <c r="AD810" s="11"/>
      <c r="AE810" s="9"/>
      <c r="AF810" s="11"/>
      <c r="AG810" s="9"/>
      <c r="AH810" s="11"/>
      <c r="AI810" s="9"/>
      <c r="AJ810" s="11"/>
      <c r="AK810" s="9"/>
      <c r="AL810" s="11"/>
      <c r="AM810" s="9"/>
      <c r="AN810" s="11"/>
      <c r="AO810" s="9"/>
      <c r="AP810" s="11"/>
      <c r="AQ810" s="9"/>
      <c r="AR810" s="11"/>
      <c r="AS810" s="9"/>
      <c r="AT810" s="11"/>
      <c r="AU810" s="9"/>
      <c r="AV810" s="11"/>
      <c r="AW810" s="9"/>
      <c r="AX810" s="11"/>
      <c r="AY810" s="9"/>
      <c r="AZ810" s="11"/>
      <c r="BA810" s="9"/>
      <c r="BB810" s="11"/>
      <c r="BC810" s="9"/>
      <c r="BD810" s="11"/>
      <c r="BE810" s="9"/>
      <c r="BF810" s="11"/>
      <c r="BG810" s="9"/>
      <c r="BH810" s="9"/>
      <c r="BI810" s="9"/>
      <c r="BJ810" s="9"/>
      <c r="BK810" s="9"/>
      <c r="BL810" s="9"/>
      <c r="BM810" s="9"/>
      <c r="BN810" s="9"/>
      <c r="BO810" s="9"/>
      <c r="BP810" s="9"/>
      <c r="BQ810" s="9"/>
      <c r="BR810" s="9"/>
      <c r="BS810" s="9"/>
      <c r="BT810" s="9"/>
      <c r="BU810" s="9"/>
      <c r="BV810" s="9"/>
      <c r="BW810" s="9"/>
      <c r="BX810" s="9"/>
      <c r="BY810" s="9"/>
      <c r="BZ810" s="9"/>
      <c r="CA810" s="9"/>
      <c r="CB810" s="9"/>
      <c r="CC810" s="9"/>
      <c r="CD810" s="9"/>
      <c r="CE810" s="9"/>
      <c r="CF810" s="9"/>
      <c r="CG810" s="9"/>
      <c r="CH810" s="9"/>
      <c r="CI810" s="9"/>
      <c r="CJ810" s="9"/>
      <c r="CK810" s="9"/>
      <c r="CL810" s="9"/>
      <c r="CM810" s="9"/>
      <c r="CN810" s="9"/>
      <c r="CO810" s="9"/>
      <c r="CP810" s="9"/>
      <c r="CQ810" s="9"/>
      <c r="CR810" s="9"/>
      <c r="CS810" s="9"/>
      <c r="CT810" s="9"/>
      <c r="CU810" s="9"/>
      <c r="CV810" s="9"/>
      <c r="CW810" s="9"/>
      <c r="CX810" s="9"/>
      <c r="CY810" s="9"/>
      <c r="CZ810" s="9"/>
      <c r="DA810" s="9"/>
      <c r="DB810" s="9"/>
      <c r="DC810" s="9"/>
      <c r="DD810" s="9"/>
      <c r="DE810" s="9"/>
      <c r="DF810" s="9"/>
      <c r="DG810" s="9"/>
      <c r="DH810" s="9"/>
      <c r="DI810" s="9"/>
      <c r="DJ810" s="9"/>
      <c r="DK810" s="9"/>
      <c r="DL810" s="9"/>
      <c r="DM810" s="9"/>
      <c r="DN810" s="9"/>
      <c r="DO810" s="9"/>
      <c r="DP810" s="9"/>
      <c r="DQ810" s="9"/>
      <c r="DR810" s="9"/>
      <c r="DS810" s="9"/>
      <c r="DT810" s="9"/>
      <c r="DU810" s="9"/>
      <c r="DV810" s="9"/>
      <c r="DW810" s="9"/>
      <c r="DX810" s="9"/>
      <c r="DY810" s="9"/>
      <c r="DZ810" s="9"/>
      <c r="EA810" s="9"/>
      <c r="EB810" s="9"/>
      <c r="EC810" s="9"/>
      <c r="ED810" s="9"/>
      <c r="EE810" s="9"/>
      <c r="EF810" s="9"/>
      <c r="EG810" s="9"/>
      <c r="EH810" s="9"/>
      <c r="EI810" s="9"/>
      <c r="EJ810" s="9"/>
      <c r="EK810" s="9"/>
      <c r="EL810" s="9"/>
      <c r="EM810" s="9"/>
      <c r="EN810" s="9"/>
      <c r="EO810" s="9"/>
      <c r="EP810" s="9"/>
      <c r="EQ810" s="9"/>
      <c r="ER810" s="9"/>
      <c r="ES810" s="9"/>
      <c r="ET810" s="9"/>
      <c r="EU810" s="9"/>
      <c r="EV810" s="9"/>
      <c r="EW810" s="9"/>
      <c r="EX810" s="9"/>
      <c r="EY810" s="9"/>
      <c r="EZ810" s="335"/>
      <c r="FA810" s="9"/>
      <c r="FB810" s="9"/>
      <c r="FC810" s="9"/>
      <c r="FD810" s="9"/>
      <c r="FE810" s="9"/>
      <c r="FF810" s="9"/>
      <c r="FG810" s="9"/>
      <c r="FH810" s="9"/>
      <c r="FI810" s="9"/>
      <c r="FJ810" s="9"/>
      <c r="FK810" s="9"/>
      <c r="FL810" s="9"/>
      <c r="FM810" s="9"/>
      <c r="FN810" s="9"/>
      <c r="FO810" s="9"/>
      <c r="FP810" s="9"/>
      <c r="FQ810" s="9"/>
      <c r="FR810" s="9"/>
      <c r="FS810" s="9"/>
      <c r="FT810" s="9"/>
      <c r="FU810" s="9"/>
      <c r="FV810" s="9"/>
      <c r="FW810" s="9"/>
      <c r="FX810" s="9"/>
      <c r="FY810" s="9"/>
      <c r="FZ810" s="9"/>
      <c r="GA810" s="9"/>
      <c r="GB810" s="9"/>
      <c r="GC810" s="9"/>
      <c r="GD810" s="9"/>
      <c r="GE810" s="9"/>
      <c r="GF810" s="9"/>
      <c r="GG810" s="790"/>
      <c r="GH810" s="9"/>
      <c r="GI810" s="790"/>
      <c r="GJ810" s="9"/>
      <c r="GK810" s="790"/>
      <c r="GL810" s="9"/>
      <c r="GM810" s="790"/>
      <c r="GN810" s="9"/>
      <c r="GO810" s="790"/>
      <c r="GP810" s="9"/>
      <c r="GQ810" s="790"/>
      <c r="GR810" s="9"/>
      <c r="GS810" s="790"/>
      <c r="GT810" s="9"/>
      <c r="GU810" s="790"/>
      <c r="GV810" s="9"/>
      <c r="GW810" s="790"/>
      <c r="GX810" s="9"/>
      <c r="GY810" s="790"/>
      <c r="GZ810" s="9"/>
      <c r="HA810" s="9"/>
      <c r="HB810" s="9"/>
      <c r="HC810"/>
      <c r="HD810"/>
      <c r="HE810"/>
      <c r="HF810"/>
      <c r="HG810"/>
      <c r="HH810"/>
      <c r="HI810" s="2"/>
    </row>
    <row r="811" spans="2:217" s="3" customFormat="1" ht="12.75" hidden="1" customHeight="1" outlineLevel="1" x14ac:dyDescent="0.2">
      <c r="B811" s="89" t="s">
        <v>406</v>
      </c>
      <c r="C811" s="9"/>
      <c r="D811" s="11"/>
      <c r="E811" s="9"/>
      <c r="F811" s="11"/>
      <c r="G811" s="9"/>
      <c r="H811" s="11"/>
      <c r="I811" s="9"/>
      <c r="J811" s="11"/>
      <c r="K811" s="9"/>
      <c r="L811" s="11"/>
      <c r="M811" s="9"/>
      <c r="N811" s="11"/>
      <c r="O811" s="9"/>
      <c r="P811" s="11"/>
      <c r="Q811" s="9"/>
      <c r="R811" s="11"/>
      <c r="S811" s="9"/>
      <c r="T811" s="11"/>
      <c r="U811" s="9"/>
      <c r="V811" s="11"/>
      <c r="W811" s="9"/>
      <c r="X811" s="11"/>
      <c r="Y811" s="9"/>
      <c r="Z811" s="11"/>
      <c r="AA811" s="9"/>
      <c r="AB811" s="11"/>
      <c r="AC811" s="9"/>
      <c r="AD811" s="11"/>
      <c r="AE811" s="9"/>
      <c r="AF811" s="11"/>
      <c r="AG811" s="9"/>
      <c r="AH811" s="11"/>
      <c r="AI811" s="9"/>
      <c r="AJ811" s="11"/>
      <c r="AK811" s="9"/>
      <c r="AL811" s="11"/>
      <c r="AM811" s="9"/>
      <c r="AN811" s="11"/>
      <c r="AO811" s="9"/>
      <c r="AP811" s="11"/>
      <c r="AQ811" s="9"/>
      <c r="AR811" s="11"/>
      <c r="AS811" s="9"/>
      <c r="AT811" s="11"/>
      <c r="AU811" s="9"/>
      <c r="AV811" s="11"/>
      <c r="AW811" s="9"/>
      <c r="AX811" s="11"/>
      <c r="AY811" s="9"/>
      <c r="AZ811" s="11"/>
      <c r="BA811" s="9"/>
      <c r="BB811" s="11"/>
      <c r="BC811" s="9"/>
      <c r="BD811" s="11"/>
      <c r="BE811" s="9"/>
      <c r="BF811" s="11"/>
      <c r="BG811" s="9"/>
      <c r="BH811" s="9"/>
      <c r="BI811" s="9"/>
      <c r="BJ811" s="9"/>
      <c r="BK811" s="9"/>
      <c r="BL811" s="9"/>
      <c r="BM811" s="9"/>
      <c r="BN811" s="9"/>
      <c r="BO811" s="9"/>
      <c r="BP811" s="9"/>
      <c r="BQ811" s="9"/>
      <c r="BR811" s="9"/>
      <c r="BS811" s="9"/>
      <c r="BT811" s="9"/>
      <c r="BU811" s="9"/>
      <c r="BV811" s="9"/>
      <c r="BW811" s="9"/>
      <c r="BX811" s="9"/>
      <c r="BY811" s="9"/>
      <c r="BZ811" s="9"/>
      <c r="CA811" s="9"/>
      <c r="CB811" s="9"/>
      <c r="CC811" s="9"/>
      <c r="CD811" s="9"/>
      <c r="CE811" s="9"/>
      <c r="CF811" s="9"/>
      <c r="CG811" s="9"/>
      <c r="CH811" s="9"/>
      <c r="CI811" s="9"/>
      <c r="CJ811" s="9"/>
      <c r="CK811" s="9"/>
      <c r="CL811" s="9"/>
      <c r="CM811" s="9"/>
      <c r="CN811" s="9"/>
      <c r="CO811" s="9"/>
      <c r="CP811" s="9"/>
      <c r="CQ811" s="9"/>
      <c r="CR811" s="9"/>
      <c r="CS811" s="9"/>
      <c r="CT811" s="9"/>
      <c r="CU811" s="9"/>
      <c r="CV811" s="9"/>
      <c r="CW811" s="9"/>
      <c r="CX811" s="9"/>
      <c r="CY811" s="9"/>
      <c r="CZ811" s="9"/>
      <c r="DA811" s="9"/>
      <c r="DB811" s="9"/>
      <c r="DC811" s="9"/>
      <c r="DD811" s="9"/>
      <c r="DE811" s="9"/>
      <c r="DF811" s="9"/>
      <c r="DG811" s="9"/>
      <c r="DH811" s="9"/>
      <c r="DI811" s="9"/>
      <c r="DJ811" s="9"/>
      <c r="DK811" s="9"/>
      <c r="DL811" s="9"/>
      <c r="DM811" s="9"/>
      <c r="DN811" s="9"/>
      <c r="DO811" s="9"/>
      <c r="DP811" s="9"/>
      <c r="DQ811" s="9"/>
      <c r="DR811" s="9"/>
      <c r="DS811" s="9"/>
      <c r="DT811" s="9"/>
      <c r="DU811" s="9"/>
      <c r="DV811" s="9"/>
      <c r="DW811" s="9"/>
      <c r="DX811" s="9"/>
      <c r="DY811" s="9"/>
      <c r="DZ811" s="9"/>
      <c r="EA811" s="9"/>
      <c r="EB811" s="9"/>
      <c r="EC811" s="9"/>
      <c r="ED811" s="9"/>
      <c r="EE811" s="9"/>
      <c r="EF811" s="9"/>
      <c r="EG811" s="9"/>
      <c r="EH811" s="9"/>
      <c r="EI811" s="9"/>
      <c r="EJ811" s="9"/>
      <c r="EK811" s="9"/>
      <c r="EL811" s="9"/>
      <c r="EM811" s="9"/>
      <c r="EN811" s="9"/>
      <c r="EO811" s="9"/>
      <c r="EP811" s="9"/>
      <c r="EQ811" s="9"/>
      <c r="ER811" s="9"/>
      <c r="ES811" s="9"/>
      <c r="ET811" s="9"/>
      <c r="EU811" s="9"/>
      <c r="EV811" s="9"/>
      <c r="EW811" s="9"/>
      <c r="EX811" s="9"/>
      <c r="EY811" s="9"/>
      <c r="EZ811" s="335"/>
      <c r="FA811" s="9"/>
      <c r="FB811" s="9"/>
      <c r="FC811" s="9"/>
      <c r="FD811" s="9"/>
      <c r="FE811" s="9"/>
      <c r="FF811" s="9"/>
      <c r="FG811" s="9"/>
      <c r="FH811" s="9"/>
      <c r="FI811" s="9"/>
      <c r="FJ811" s="9"/>
      <c r="FK811" s="9"/>
      <c r="FL811" s="9"/>
      <c r="FM811" s="9"/>
      <c r="FN811" s="9"/>
      <c r="FO811" s="9"/>
      <c r="FP811" s="9"/>
      <c r="FQ811" s="9"/>
      <c r="FR811" s="9"/>
      <c r="FS811" s="9"/>
      <c r="FT811" s="9"/>
      <c r="FU811" s="9"/>
      <c r="FV811" s="9"/>
      <c r="FW811" s="9"/>
      <c r="FX811" s="9"/>
      <c r="FY811" s="9"/>
      <c r="FZ811" s="9"/>
      <c r="GA811" s="9"/>
      <c r="GB811" s="9"/>
      <c r="GC811" s="9"/>
      <c r="GD811" s="9"/>
      <c r="GE811" s="9"/>
      <c r="GF811" s="9"/>
      <c r="GG811" s="790"/>
      <c r="GH811" s="9"/>
      <c r="GI811" s="790"/>
      <c r="GJ811" s="9"/>
      <c r="GK811" s="790"/>
      <c r="GL811" s="9"/>
      <c r="GM811" s="790"/>
      <c r="GN811" s="9"/>
      <c r="GO811" s="790"/>
      <c r="GP811" s="9"/>
      <c r="GQ811" s="790"/>
      <c r="GR811" s="9"/>
      <c r="GS811" s="790"/>
      <c r="GT811" s="9"/>
      <c r="GU811" s="790"/>
      <c r="GV811" s="9"/>
      <c r="GW811" s="790"/>
      <c r="GX811" s="9"/>
      <c r="GY811" s="790"/>
      <c r="GZ811" s="9"/>
      <c r="HA811" s="9"/>
      <c r="HB811" s="9"/>
      <c r="HC811"/>
      <c r="HD811"/>
      <c r="HE811"/>
      <c r="HF811"/>
      <c r="HG811"/>
      <c r="HH811"/>
      <c r="HI811" s="2"/>
    </row>
    <row r="812" spans="2:217" s="3" customFormat="1" ht="12.75" hidden="1" customHeight="1" outlineLevel="1" x14ac:dyDescent="0.2">
      <c r="B812" s="10" t="s">
        <v>75</v>
      </c>
      <c r="C812" s="9"/>
      <c r="D812" s="11"/>
      <c r="E812" s="9"/>
      <c r="F812" s="11"/>
      <c r="G812" s="9"/>
      <c r="H812" s="11"/>
      <c r="I812" s="9"/>
      <c r="J812" s="11"/>
      <c r="K812" s="9"/>
      <c r="L812" s="11"/>
      <c r="M812" s="9"/>
      <c r="N812" s="11"/>
      <c r="O812" s="9"/>
      <c r="P812" s="11"/>
      <c r="Q812" s="9"/>
      <c r="R812" s="11"/>
      <c r="S812" s="9"/>
      <c r="T812" s="11"/>
      <c r="U812" s="9"/>
      <c r="V812" s="11"/>
      <c r="W812" s="9"/>
      <c r="X812" s="11"/>
      <c r="Y812" s="9"/>
      <c r="Z812" s="11"/>
      <c r="AA812" s="9"/>
      <c r="AB812" s="11"/>
      <c r="AC812" s="9"/>
      <c r="AD812" s="11"/>
      <c r="AE812" s="9"/>
      <c r="AF812" s="11"/>
      <c r="AG812" s="9"/>
      <c r="AH812" s="11"/>
      <c r="AI812" s="9"/>
      <c r="AJ812" s="11"/>
      <c r="AK812" s="9"/>
      <c r="AL812" s="11"/>
      <c r="AM812" s="9"/>
      <c r="AN812" s="11"/>
      <c r="AO812" s="9"/>
      <c r="AP812" s="11"/>
      <c r="AQ812" s="9"/>
      <c r="AR812" s="11"/>
      <c r="AS812" s="9"/>
      <c r="AT812" s="11"/>
      <c r="AU812" s="9"/>
      <c r="AV812" s="11"/>
      <c r="AW812" s="9"/>
      <c r="AX812" s="11"/>
      <c r="AY812" s="9"/>
      <c r="AZ812" s="11"/>
      <c r="BA812" s="9"/>
      <c r="BB812" s="11"/>
      <c r="BC812" s="9"/>
      <c r="BD812" s="11"/>
      <c r="BE812" s="9"/>
      <c r="BF812" s="11"/>
      <c r="BG812" s="196">
        <f>BG132*(1-(BG$802/100))</f>
        <v>72.106049562682216</v>
      </c>
      <c r="BH812" s="196"/>
      <c r="BI812" s="196">
        <f>BI132*(1-(BI$802/100))</f>
        <v>100.62444246208742</v>
      </c>
      <c r="BJ812" s="196"/>
      <c r="BK812" s="196">
        <f>BK132*(1-(BK$802/100))</f>
        <v>124.49111969111969</v>
      </c>
      <c r="BL812" s="196"/>
      <c r="BM812" s="196">
        <f>BM132*(1-(BM$802/100))</f>
        <v>101.30859375</v>
      </c>
      <c r="BN812" s="196"/>
      <c r="BO812" s="196">
        <f>BO132*(1-(BO$802/100))</f>
        <v>70.7645125958379</v>
      </c>
      <c r="BP812" s="196"/>
      <c r="BQ812" s="196">
        <f>BQ132*(1-(BQ$802/100))</f>
        <v>76.92639138240574</v>
      </c>
      <c r="BR812" s="196"/>
      <c r="BS812" s="196">
        <f>BS132*(1-(BS$802/100))</f>
        <v>73.357615894039739</v>
      </c>
      <c r="BT812" s="196"/>
      <c r="BU812" s="196">
        <f>BU132*(1-(BU$802/100))</f>
        <v>6.6852791878172582</v>
      </c>
      <c r="BV812" s="196"/>
      <c r="BW812" s="196">
        <f>BW132*(1-(BW$802/100))</f>
        <v>55.542857142857144</v>
      </c>
      <c r="BX812" s="196"/>
      <c r="BY812" s="196">
        <f>BY132*(1-(BY$802/100))</f>
        <v>84.845758354755787</v>
      </c>
      <c r="BZ812" s="196"/>
      <c r="CA812" s="196">
        <f>CA132*(1-(CA$802/100))</f>
        <v>82.307692307692307</v>
      </c>
      <c r="CB812" s="196"/>
      <c r="CC812" s="196">
        <f>CC132*(1-(CC$802/100))</f>
        <v>102.10980392156863</v>
      </c>
      <c r="CD812" s="196"/>
      <c r="CE812" s="196">
        <f>CE132*(1-(CE$802/100))</f>
        <v>63.696261682242991</v>
      </c>
      <c r="CF812" s="196"/>
      <c r="CG812" s="196">
        <f>CG132*(1-(CG$802/100))</f>
        <v>105.96530612244898</v>
      </c>
      <c r="CH812" s="196"/>
      <c r="CI812" s="196">
        <f>CI132*(1-(CI$802/100))</f>
        <v>76.875</v>
      </c>
      <c r="CJ812" s="196"/>
      <c r="CK812" s="196">
        <f>CK132*(1-(CK$802/100))</f>
        <v>95.712177121771219</v>
      </c>
      <c r="CL812" s="196"/>
      <c r="CM812" s="196">
        <f>CM132*(1-(CM$802/100))</f>
        <v>71.47608695652174</v>
      </c>
      <c r="CN812" s="196"/>
      <c r="CO812" s="196">
        <f>CO132*(1-(CO$802/100))</f>
        <v>98.889685476410733</v>
      </c>
      <c r="CP812" s="196"/>
      <c r="CQ812" s="196">
        <f>CQ132*(1-(CQ$802/100))</f>
        <v>66.035869565217382</v>
      </c>
      <c r="CR812" s="196"/>
      <c r="CS812" s="196">
        <f>CS132*(1-(CS$802/100))</f>
        <v>93.064126984126986</v>
      </c>
      <c r="CT812" s="196"/>
      <c r="CU812" s="196">
        <f>CU132*(1-(CU$802/100))</f>
        <v>81.812811387900354</v>
      </c>
      <c r="CV812" s="196"/>
      <c r="CW812" s="196">
        <f>CW132*(1-(CW$802/100))</f>
        <v>46.104809843400453</v>
      </c>
      <c r="CX812" s="196"/>
      <c r="CY812" s="196">
        <f>CY132*(1-(CY$802/100))</f>
        <v>102.13819379115711</v>
      </c>
      <c r="CZ812" s="196"/>
      <c r="DA812" s="196">
        <f>DA132*(1-(DA$802/100))</f>
        <v>87.914364640883974</v>
      </c>
      <c r="DB812" s="196"/>
      <c r="DC812" s="196">
        <f>DC132*(1-(DC$802/100))</f>
        <v>105.1470290344362</v>
      </c>
      <c r="DD812" s="196"/>
      <c r="DE812" s="196">
        <f>DE132*(1-(DE$802/100))</f>
        <v>109.47393302692055</v>
      </c>
      <c r="DF812" s="196"/>
      <c r="DG812" s="196">
        <f>DG132*(1-(DG$802/100))</f>
        <v>104.02863092139511</v>
      </c>
      <c r="DH812" s="196"/>
      <c r="DI812" s="196">
        <f>DI132*(1-(DI$802/100))</f>
        <v>118.27428668478261</v>
      </c>
      <c r="DJ812" s="196"/>
      <c r="DK812" s="196">
        <f>DK132*(1-(DK$802/100))</f>
        <v>96.257797581158499</v>
      </c>
      <c r="DL812" s="196"/>
      <c r="DM812" s="196">
        <f>DM132*(1-(DM$802/100))</f>
        <v>120.28096118299446</v>
      </c>
      <c r="DN812" s="196"/>
      <c r="DO812" s="196">
        <f>DO132*(1-(DO$802/100))</f>
        <v>128.39024390243901</v>
      </c>
      <c r="DP812" s="196"/>
      <c r="DQ812" s="196">
        <f>DQ132*(1-(DQ$802/100))</f>
        <v>101.17472118959107</v>
      </c>
      <c r="DR812" s="196"/>
      <c r="DS812" s="196">
        <f>DS132*(1-(DS$802/100))</f>
        <v>92.97994269340974</v>
      </c>
      <c r="DT812" s="196"/>
      <c r="DU812" s="196">
        <f>DU132*(1-(DU$802/100))</f>
        <v>129.79359043997826</v>
      </c>
      <c r="DV812" s="196"/>
      <c r="DW812" s="196">
        <f>DW132*(1-(DW$802/100))</f>
        <v>138.84483937115516</v>
      </c>
      <c r="DX812" s="196"/>
      <c r="DY812" s="196">
        <f>DY132*(1-(DY$802/100))</f>
        <v>89.703045685279193</v>
      </c>
      <c r="DZ812" s="196"/>
      <c r="EA812" s="196">
        <f>EA132*(1-(EA$802/100))</f>
        <v>124.15471698113208</v>
      </c>
      <c r="EB812" s="196"/>
      <c r="EC812" s="196">
        <f>EC132*(1-(EC$802/100))</f>
        <v>101.95837275307474</v>
      </c>
      <c r="ED812" s="196"/>
      <c r="EE812" s="196">
        <f>EE132*(1-(EE$802/100))</f>
        <v>84.853016688061615</v>
      </c>
      <c r="EF812" s="196"/>
      <c r="EG812" s="196">
        <f>EG132*(1-(EG$802/100))</f>
        <v>103.09801233721728</v>
      </c>
      <c r="EH812" s="196"/>
      <c r="EI812" s="196">
        <f>EI132*(1-(EI$802/100))</f>
        <v>87.931325301204822</v>
      </c>
      <c r="EJ812" s="196"/>
      <c r="EK812" s="196">
        <f>EK132*(1-(EK$802/100))</f>
        <v>71.843648208469062</v>
      </c>
      <c r="EL812" s="196"/>
      <c r="EM812" s="196">
        <f>EM132*(1-(EM$802/100))</f>
        <v>111.23878923766816</v>
      </c>
      <c r="EN812" s="196"/>
      <c r="EO812" s="196">
        <f>EO132*(1-(EO$802/100))</f>
        <v>73.125954198473281</v>
      </c>
      <c r="EP812" s="196"/>
      <c r="EQ812" s="196">
        <f>EQ132*(1-(EQ$802/100))</f>
        <v>74.512094962500143</v>
      </c>
      <c r="ER812" s="196"/>
      <c r="ES812" s="196">
        <f>ES132*(1-(ES$802/100))</f>
        <v>88.728357681465525</v>
      </c>
      <c r="ET812" s="196"/>
      <c r="EU812" s="196">
        <f>EU132*(1-(EU$802/100))</f>
        <v>88.826147874918234</v>
      </c>
      <c r="EV812" s="196"/>
      <c r="EW812" s="196">
        <f>EW132*(1-(EW$802/100))</f>
        <v>88.070374636957595</v>
      </c>
      <c r="EX812" s="196"/>
      <c r="EY812" s="196"/>
      <c r="EZ812" s="346"/>
      <c r="FA812" s="196"/>
      <c r="FB812" s="196">
        <f>FB132*(1-(FB$802/100))</f>
        <v>178</v>
      </c>
      <c r="FC812" s="196"/>
      <c r="FD812" s="196">
        <f>FD132*(1-(FD$802/100))</f>
        <v>15.396774193548385</v>
      </c>
      <c r="FE812" s="196"/>
      <c r="FF812" s="196">
        <f>FF132*(1-(FF$802/100))</f>
        <v>15.506803278688524</v>
      </c>
      <c r="FG812" s="196"/>
      <c r="FH812" s="196">
        <f>FH132*(1-(FH$802/100))</f>
        <v>90.03231083844581</v>
      </c>
      <c r="FI812" s="196"/>
      <c r="FJ812" s="196">
        <f>FJ132*(1-(FJ$802/100))</f>
        <v>155.01531581889321</v>
      </c>
      <c r="FK812" s="196"/>
      <c r="FL812" s="196">
        <f>FL132*(1-(FL$802/100))</f>
        <v>177.10586966938189</v>
      </c>
      <c r="FM812" s="196"/>
      <c r="FN812" s="196">
        <f>FN132*(1-(FN$802/100))</f>
        <v>219.18842810575876</v>
      </c>
      <c r="FO812" s="196"/>
      <c r="FP812" s="196">
        <f>FP132*(1-(FP$802/100))</f>
        <v>266.34010492567768</v>
      </c>
      <c r="FQ812" s="196"/>
      <c r="FR812" s="196">
        <f>FR132*(1-(FR$802/100))</f>
        <v>270.29686138867538</v>
      </c>
      <c r="FS812" s="196"/>
      <c r="FT812" s="196">
        <f>FT132*(1-(FT$802/100))</f>
        <v>333.30059943582518</v>
      </c>
      <c r="FU812" s="196"/>
      <c r="FV812" s="196">
        <f>FV132*(1-(FV$802/100))</f>
        <v>-187.36252151463006</v>
      </c>
      <c r="FW812" s="196"/>
      <c r="FX812" s="196">
        <f>FX132*(1-(FX$802/100))</f>
        <v>145.53167796610168</v>
      </c>
      <c r="FY812" s="196"/>
      <c r="FZ812" s="196">
        <f>FZ132*(1-(FZ$802/100))</f>
        <v>256.90032768978705</v>
      </c>
      <c r="GA812" s="196"/>
      <c r="GB812" s="196">
        <f>GB132*(1-(GB$802/100))</f>
        <v>273.88041030773081</v>
      </c>
      <c r="GC812" s="196"/>
      <c r="GD812" s="196">
        <f>GD132*(1-(GD$802/100))</f>
        <v>267.54067674586037</v>
      </c>
      <c r="GE812" s="196"/>
      <c r="GF812" s="196">
        <f>GF132*(1-(GF$802/100))</f>
        <v>455.74816320150069</v>
      </c>
      <c r="GG812" s="17"/>
      <c r="GH812" s="196">
        <f>GH132*(1-(GH$802/100))</f>
        <v>435.66327223353699</v>
      </c>
      <c r="GI812" s="17"/>
      <c r="GJ812" s="196">
        <f>GJ132*(1-(GJ$802/100))</f>
        <v>450.64933397528489</v>
      </c>
      <c r="GK812" s="17"/>
      <c r="GL812" s="196">
        <f>GL132*(1-(GL$802/100))</f>
        <v>413.81885534358213</v>
      </c>
      <c r="GM812" s="17"/>
      <c r="GN812" s="196">
        <f>GN132*(1-(GN$802/100))</f>
        <v>344.20627802690581</v>
      </c>
      <c r="GO812" s="17"/>
      <c r="GP812" s="196">
        <f>GP132*(1-(GP$802/100))</f>
        <v>340.13697515584096</v>
      </c>
      <c r="GQ812" s="17"/>
      <c r="GR812" s="196">
        <f>GR132*(1-(GR$802/100))</f>
        <v>337.21898748322991</v>
      </c>
      <c r="GS812" s="17"/>
      <c r="GT812" s="196">
        <f>GT132*(1-(GT$802/100))</f>
        <v>333.40866038296576</v>
      </c>
      <c r="GU812" s="17"/>
      <c r="GV812" s="196">
        <f>GV132*(1-(GV$802/100))</f>
        <v>333.91276263957195</v>
      </c>
      <c r="GW812" s="17"/>
      <c r="GX812" s="196">
        <f>GX132*(1-(GX$802/100))</f>
        <v>333.79600316587545</v>
      </c>
      <c r="GY812" s="17"/>
      <c r="GZ812" s="196"/>
      <c r="HA812" s="196"/>
      <c r="HB812" s="196"/>
      <c r="HC812"/>
      <c r="HD812"/>
      <c r="HE812"/>
      <c r="HF812"/>
      <c r="HG812"/>
      <c r="HH812"/>
      <c r="HI812" s="2"/>
    </row>
    <row r="813" spans="2:217" s="3" customFormat="1" ht="12.75" hidden="1" customHeight="1" outlineLevel="1" x14ac:dyDescent="0.2">
      <c r="B813" s="10" t="s">
        <v>332</v>
      </c>
      <c r="C813" s="9"/>
      <c r="D813" s="11"/>
      <c r="E813" s="9"/>
      <c r="F813" s="11"/>
      <c r="G813" s="9"/>
      <c r="H813" s="11"/>
      <c r="I813" s="9"/>
      <c r="J813" s="11"/>
      <c r="K813" s="9"/>
      <c r="L813" s="11"/>
      <c r="M813" s="9"/>
      <c r="N813" s="11"/>
      <c r="O813" s="9"/>
      <c r="P813" s="11"/>
      <c r="Q813" s="9"/>
      <c r="R813" s="11"/>
      <c r="S813" s="9"/>
      <c r="T813" s="11"/>
      <c r="U813" s="9"/>
      <c r="V813" s="11"/>
      <c r="W813" s="9"/>
      <c r="X813" s="11"/>
      <c r="Y813" s="9"/>
      <c r="Z813" s="11"/>
      <c r="AA813" s="9"/>
      <c r="AB813" s="11"/>
      <c r="AC813" s="9"/>
      <c r="AD813" s="11"/>
      <c r="AE813" s="9"/>
      <c r="AF813" s="11"/>
      <c r="AG813" s="9"/>
      <c r="AH813" s="11"/>
      <c r="AI813" s="9"/>
      <c r="AJ813" s="11"/>
      <c r="AK813" s="9"/>
      <c r="AL813" s="11"/>
      <c r="AM813" s="9"/>
      <c r="AN813" s="11"/>
      <c r="AO813" s="9"/>
      <c r="AP813" s="11"/>
      <c r="AQ813" s="9"/>
      <c r="AR813" s="11"/>
      <c r="AS813" s="9"/>
      <c r="AT813" s="11"/>
      <c r="AU813" s="9"/>
      <c r="AV813" s="11"/>
      <c r="AW813" s="9"/>
      <c r="AX813" s="11"/>
      <c r="AY813" s="9"/>
      <c r="AZ813" s="11"/>
      <c r="BA813" s="9"/>
      <c r="BB813" s="11"/>
      <c r="BC813" s="9"/>
      <c r="BD813" s="11"/>
      <c r="BE813" s="9"/>
      <c r="BF813" s="11"/>
      <c r="BG813" s="196">
        <f>BG252*(1-(BG$802/100))</f>
        <v>36.409985422740526</v>
      </c>
      <c r="BH813" s="196"/>
      <c r="BI813" s="196">
        <f>BI252*(1-(BI$802/100))</f>
        <v>49.241748438893843</v>
      </c>
      <c r="BJ813" s="196"/>
      <c r="BK813" s="196">
        <f>BK252*(1-(BK$802/100))</f>
        <v>64.367567567567562</v>
      </c>
      <c r="BL813" s="196"/>
      <c r="BM813" s="196">
        <f>BM252*(1-(BM$802/100))</f>
        <v>53.3203125</v>
      </c>
      <c r="BN813" s="196"/>
      <c r="BO813" s="196">
        <f>BO252*(1-(BO$802/100))</f>
        <v>51.599123767798467</v>
      </c>
      <c r="BP813" s="196"/>
      <c r="BQ813" s="196">
        <f>BQ252*(1-(BQ$802/100))</f>
        <v>59.74865350089766</v>
      </c>
      <c r="BR813" s="196"/>
      <c r="BS813" s="196">
        <f>BS252*(1-(BS$802/100))</f>
        <v>60.900662251655625</v>
      </c>
      <c r="BT813" s="196"/>
      <c r="BU813" s="196">
        <f>BU252*(1-(BU$802/100))</f>
        <v>51.253807106598984</v>
      </c>
      <c r="BV813" s="196"/>
      <c r="BW813" s="196">
        <f>BW252*(1-(BW$802/100))</f>
        <v>71.742857142857147</v>
      </c>
      <c r="BX813" s="196"/>
      <c r="BY813" s="196">
        <f>BY252*(1-(BY$802/100))</f>
        <v>77.467866323907458</v>
      </c>
      <c r="BZ813" s="196"/>
      <c r="CA813" s="196">
        <f>CA252*(1-(CA$802/100))</f>
        <v>49.230769230769234</v>
      </c>
      <c r="CB813" s="196"/>
      <c r="CC813" s="196">
        <f>CC252*(1-(CC$802/100))</f>
        <v>49.968627450980392</v>
      </c>
      <c r="CD813" s="196"/>
      <c r="CE813" s="196">
        <f>CE252*(1-(CE$802/100))</f>
        <v>38.514018691588788</v>
      </c>
      <c r="CF813" s="196"/>
      <c r="CG813" s="196">
        <f>CG252*(1-(CG$802/100))</f>
        <v>30.165306122448978</v>
      </c>
      <c r="CH813" s="196"/>
      <c r="CI813" s="196">
        <f>CI252*(1-(CI$802/100))</f>
        <v>23.428571428571431</v>
      </c>
      <c r="CJ813" s="196"/>
      <c r="CK813" s="196">
        <f>CK252*(1-(CK$802/100))</f>
        <v>49.306273062730632</v>
      </c>
      <c r="CL813" s="196"/>
      <c r="CM813" s="196">
        <f>CM252*(1-(CM$802/100))</f>
        <v>28.444565217391307</v>
      </c>
      <c r="CN813" s="196"/>
      <c r="CO813" s="196">
        <f>CO252*(1-(CO$802/100))</f>
        <v>35.893293246993522</v>
      </c>
      <c r="CP813" s="196"/>
      <c r="CQ813" s="196">
        <f>CQ252*(1-(CQ$802/100))</f>
        <v>18.081249999999997</v>
      </c>
      <c r="CR813" s="196"/>
      <c r="CS813" s="196">
        <f>CS252*(1-(CS$802/100))</f>
        <v>30.536666666666669</v>
      </c>
      <c r="CT813" s="196"/>
      <c r="CU813" s="196">
        <f>CU252*(1-(CU$802/100))</f>
        <v>-29.218861209964409</v>
      </c>
      <c r="CV813" s="196"/>
      <c r="CW813" s="196">
        <f>CW252*(1-(CW$802/100))</f>
        <v>24.941946308724834</v>
      </c>
      <c r="CX813" s="196"/>
      <c r="CY813" s="196">
        <f>CY252*(1-(CY$802/100))</f>
        <v>20.574600188146754</v>
      </c>
      <c r="CZ813" s="196"/>
      <c r="DA813" s="196">
        <f>DA252*(1-(DA$802/100))</f>
        <v>20.050644567219152</v>
      </c>
      <c r="DB813" s="196"/>
      <c r="DC813" s="196">
        <f>DC252*(1-(DC$802/100))</f>
        <v>6.5263673193787985</v>
      </c>
      <c r="DD813" s="196"/>
      <c r="DE813" s="196">
        <f>DE252*(1-(DE$802/100))</f>
        <v>15.844911359159553</v>
      </c>
      <c r="DF813" s="196"/>
      <c r="DG813" s="196">
        <f>DG252*(1-(DG$802/100))</f>
        <v>16.501093180635085</v>
      </c>
      <c r="DH813" s="196"/>
      <c r="DI813" s="196">
        <f>DI252*(1-(DI$802/100))</f>
        <v>41.575203804347829</v>
      </c>
      <c r="DJ813" s="196"/>
      <c r="DK813" s="196">
        <f>DK252*(1-(DK$802/100))</f>
        <v>4.3424570337364736</v>
      </c>
      <c r="DL813" s="196"/>
      <c r="DM813" s="196">
        <f>DM252*(1-(DM$802/100))</f>
        <v>33.330868761552686</v>
      </c>
      <c r="DN813" s="196"/>
      <c r="DO813" s="196">
        <f>DO252*(1-(DO$802/100))</f>
        <v>25.983739837398371</v>
      </c>
      <c r="DP813" s="196"/>
      <c r="DQ813" s="196">
        <f>DQ252*(1-(DQ$802/100))</f>
        <v>32.975464684014867</v>
      </c>
      <c r="DR813" s="196"/>
      <c r="DS813" s="196">
        <f>DS252*(1-(DS$802/100))</f>
        <v>22.315186246418339</v>
      </c>
      <c r="DT813" s="196"/>
      <c r="DU813" s="196">
        <f>DU252*(1-(DU$802/100))</f>
        <v>34.464964693101571</v>
      </c>
      <c r="DV813" s="196"/>
      <c r="DW813" s="196">
        <f>DW252*(1-(DW$802/100))</f>
        <v>33.383458646616539</v>
      </c>
      <c r="DX813" s="196"/>
      <c r="DY813" s="196">
        <f>DY252*(1-(DY$802/100))</f>
        <v>20.352791878172589</v>
      </c>
      <c r="DZ813" s="196"/>
      <c r="EA813" s="196">
        <f>EA252*(1-(EA$802/100))</f>
        <v>19.563773584905661</v>
      </c>
      <c r="EB813" s="196"/>
      <c r="EC813" s="196">
        <f>EC252*(1-(EC$802/100))</f>
        <v>69.80227057710502</v>
      </c>
      <c r="ED813" s="196"/>
      <c r="EE813" s="196">
        <f>EE252*(1-(EE$802/100))</f>
        <v>47.395378690629009</v>
      </c>
      <c r="EF813" s="196"/>
      <c r="EG813" s="196">
        <f>EG252*(1-(EG$802/100))</f>
        <v>32.124742974640171</v>
      </c>
      <c r="EH813" s="196"/>
      <c r="EI813" s="196">
        <f>EI252*(1-(EI$802/100))</f>
        <v>25.336144578313256</v>
      </c>
      <c r="EJ813" s="196"/>
      <c r="EK813" s="196">
        <f>EK252*(1-(EK$802/100))</f>
        <v>60.618078175895768</v>
      </c>
      <c r="EL813" s="196"/>
      <c r="EM813" s="196">
        <f>EM252*(1-(EM$802/100))</f>
        <v>45.237107623318387</v>
      </c>
      <c r="EN813" s="196"/>
      <c r="EO813" s="196">
        <f>EO252*(1-(EO$802/100))</f>
        <v>16.416030534351147</v>
      </c>
      <c r="EP813" s="196"/>
      <c r="EQ813" s="196">
        <f>EQ252*(1-(EQ$802/100))</f>
        <v>33.679092836999985</v>
      </c>
      <c r="ER813" s="196"/>
      <c r="ES813" s="196">
        <f>ES252*(1-(ES$802/100))</f>
        <v>38.706248795369625</v>
      </c>
      <c r="ET813" s="196"/>
      <c r="EU813" s="196">
        <f>EU252*(1-(EU$802/100))</f>
        <v>43.830501963623497</v>
      </c>
      <c r="EV813" s="196"/>
      <c r="EW813" s="196">
        <f>EW252*(1-(EW$802/100))</f>
        <v>36.701365572970857</v>
      </c>
      <c r="EX813" s="196"/>
      <c r="EY813" s="196"/>
      <c r="EZ813" s="346"/>
      <c r="FA813" s="196"/>
      <c r="FB813" s="196">
        <f>FB252*(1-(FB$802/100))</f>
        <v>98</v>
      </c>
      <c r="FC813" s="196"/>
      <c r="FD813" s="196">
        <f>FD252*(1-(FD$802/100))</f>
        <v>16.844334160463191</v>
      </c>
      <c r="FE813" s="196"/>
      <c r="FF813" s="196">
        <f>FF252*(1-(FF$802/100))</f>
        <v>21.491885245901639</v>
      </c>
      <c r="FG813" s="196"/>
      <c r="FH813" s="196">
        <f>FH252*(1-(FH$802/100))</f>
        <v>23.085207907293796</v>
      </c>
      <c r="FI813" s="196"/>
      <c r="FJ813" s="196">
        <f>FJ252*(1-(FJ$802/100))</f>
        <v>55.618921185019559</v>
      </c>
      <c r="FK813" s="196"/>
      <c r="FL813" s="196">
        <f>FL252*(1-(FL$802/100))</f>
        <v>83.840033540967895</v>
      </c>
      <c r="FM813" s="196"/>
      <c r="FN813" s="196">
        <f>FN252*(1-(FN$802/100))</f>
        <v>85.466044911264021</v>
      </c>
      <c r="FO813" s="196"/>
      <c r="FP813" s="196">
        <f>FP252*(1-(FP$802/100))</f>
        <v>132.56747303993006</v>
      </c>
      <c r="FQ813" s="196"/>
      <c r="FR813" s="196">
        <f>FR252*(1-(FR$802/100))</f>
        <v>140.11068408916219</v>
      </c>
      <c r="FS813" s="196"/>
      <c r="FT813" s="196">
        <f>FT252*(1-(FT$802/100))</f>
        <v>169.97725669957688</v>
      </c>
      <c r="FU813" s="196"/>
      <c r="FV813" s="196">
        <f>FV252*(1-(FV$802/100))</f>
        <v>-171.5131239242686</v>
      </c>
      <c r="FW813" s="196"/>
      <c r="FX813" s="196">
        <f>FX252*(1-(FX$802/100))</f>
        <v>123.7207288135593</v>
      </c>
      <c r="FY813" s="196"/>
      <c r="FZ813" s="196">
        <f>FZ252*(1-(FZ$802/100))</f>
        <v>106.66948388858549</v>
      </c>
      <c r="GA813" s="196"/>
      <c r="GB813" s="196">
        <f>GB252*(1-(GB$802/100))</f>
        <v>94.165624218163629</v>
      </c>
      <c r="GC813" s="196"/>
      <c r="GD813" s="196">
        <f>GD252*(1-(GD$802/100))</f>
        <v>29.517398608111353</v>
      </c>
      <c r="GE813" s="196"/>
      <c r="GF813" s="196">
        <f>GF252*(1-(GF$802/100))</f>
        <v>84.091918086603087</v>
      </c>
      <c r="GG813" s="17"/>
      <c r="GH813" s="196">
        <f>GH252*(1-(GH$802/100))</f>
        <v>94.080108621860148</v>
      </c>
      <c r="GI813" s="17"/>
      <c r="GJ813" s="196">
        <f>GJ252*(1-(GJ$802/100))</f>
        <v>110.42400898732147</v>
      </c>
      <c r="GK813" s="17"/>
      <c r="GL813" s="196">
        <f>GL252*(1-(GL$802/100))</f>
        <v>167.3532135580663</v>
      </c>
      <c r="GM813" s="17"/>
      <c r="GN813" s="196">
        <f>GN252*(1-(GN$802/100))</f>
        <v>147.51697629724535</v>
      </c>
      <c r="GO813" s="17"/>
      <c r="GP813" s="196">
        <f>GP252*(1-(GP$802/100))</f>
        <v>152.91720916896503</v>
      </c>
      <c r="GQ813" s="17"/>
      <c r="GR813" s="196">
        <f>GR252*(1-(GR$802/100))</f>
        <v>158.88688697929157</v>
      </c>
      <c r="GS813" s="17"/>
      <c r="GT813" s="196">
        <f>GT252*(1-(GT$802/100))</f>
        <v>167.12447556991617</v>
      </c>
      <c r="GU813" s="17"/>
      <c r="GV813" s="196">
        <f>GV252*(1-(GV$802/100))</f>
        <v>173.63384412500784</v>
      </c>
      <c r="GW813" s="17"/>
      <c r="GX813" s="196">
        <f>GX252*(1-(GX$802/100))</f>
        <v>180.38556279423995</v>
      </c>
      <c r="GY813" s="17"/>
      <c r="GZ813" s="196"/>
      <c r="HA813" s="196"/>
      <c r="HB813" s="196"/>
      <c r="HC813"/>
      <c r="HD813"/>
      <c r="HE813"/>
      <c r="HF813"/>
      <c r="HG813"/>
      <c r="HH813"/>
      <c r="HI813" s="2"/>
    </row>
    <row r="814" spans="2:217" s="3" customFormat="1" ht="12.75" hidden="1" customHeight="1" outlineLevel="1" x14ac:dyDescent="0.2">
      <c r="B814" s="10" t="s">
        <v>372</v>
      </c>
      <c r="C814" s="9"/>
      <c r="D814" s="11"/>
      <c r="E814" s="9"/>
      <c r="F814" s="11"/>
      <c r="G814" s="9"/>
      <c r="H814" s="11"/>
      <c r="I814" s="9"/>
      <c r="J814" s="11"/>
      <c r="K814" s="9"/>
      <c r="L814" s="11"/>
      <c r="M814" s="9"/>
      <c r="N814" s="11"/>
      <c r="O814" s="9"/>
      <c r="P814" s="11"/>
      <c r="Q814" s="9"/>
      <c r="R814" s="11"/>
      <c r="S814" s="9"/>
      <c r="T814" s="11"/>
      <c r="U814" s="9"/>
      <c r="V814" s="11"/>
      <c r="W814" s="9"/>
      <c r="X814" s="11"/>
      <c r="Y814" s="9"/>
      <c r="Z814" s="11"/>
      <c r="AA814" s="9"/>
      <c r="AB814" s="11"/>
      <c r="AC814" s="9"/>
      <c r="AD814" s="11"/>
      <c r="AE814" s="9"/>
      <c r="AF814" s="11"/>
      <c r="AG814" s="9"/>
      <c r="AH814" s="11"/>
      <c r="AI814" s="9"/>
      <c r="AJ814" s="11"/>
      <c r="AK814" s="9"/>
      <c r="AL814" s="11"/>
      <c r="AM814" s="9"/>
      <c r="AN814" s="11"/>
      <c r="AO814" s="9"/>
      <c r="AP814" s="11"/>
      <c r="AQ814" s="9"/>
      <c r="AR814" s="11"/>
      <c r="AS814" s="9"/>
      <c r="AT814" s="11"/>
      <c r="AU814" s="9"/>
      <c r="AV814" s="11"/>
      <c r="AW814" s="9"/>
      <c r="AX814" s="11"/>
      <c r="AY814" s="9"/>
      <c r="AZ814" s="11"/>
      <c r="BA814" s="9"/>
      <c r="BB814" s="11"/>
      <c r="BC814" s="9"/>
      <c r="BD814" s="11"/>
      <c r="BE814" s="9"/>
      <c r="BF814" s="11"/>
      <c r="BG814" s="196">
        <f>BG812+BG813</f>
        <v>108.51603498542275</v>
      </c>
      <c r="BH814" s="196"/>
      <c r="BI814" s="196">
        <f>BI812+BI813</f>
        <v>149.86619090098125</v>
      </c>
      <c r="BJ814" s="196"/>
      <c r="BK814" s="196">
        <f>BK812+BK813</f>
        <v>188.85868725868727</v>
      </c>
      <c r="BL814" s="196"/>
      <c r="BM814" s="196">
        <f>BM812+BM813</f>
        <v>154.62890625</v>
      </c>
      <c r="BN814" s="196"/>
      <c r="BO814" s="196">
        <f>BO812+BO813</f>
        <v>122.36363636363637</v>
      </c>
      <c r="BP814" s="196"/>
      <c r="BQ814" s="196">
        <f>BQ812+BQ813</f>
        <v>136.6750448833034</v>
      </c>
      <c r="BR814" s="196"/>
      <c r="BS814" s="196">
        <f>BS812+BS813</f>
        <v>134.25827814569536</v>
      </c>
      <c r="BT814" s="196"/>
      <c r="BU814" s="196">
        <f>BU812+BU813</f>
        <v>57.939086294416242</v>
      </c>
      <c r="BV814" s="196"/>
      <c r="BW814" s="196">
        <f>BW812+BW813</f>
        <v>127.28571428571429</v>
      </c>
      <c r="BX814" s="196"/>
      <c r="BY814" s="196">
        <f>BY812+BY813</f>
        <v>162.31362467866325</v>
      </c>
      <c r="BZ814" s="196"/>
      <c r="CA814" s="196">
        <f>CA812+CA813</f>
        <v>131.53846153846155</v>
      </c>
      <c r="CB814" s="196"/>
      <c r="CC814" s="196">
        <f>CC812+CC813</f>
        <v>152.07843137254901</v>
      </c>
      <c r="CD814" s="196"/>
      <c r="CE814" s="196">
        <f>CE812+CE813</f>
        <v>102.21028037383178</v>
      </c>
      <c r="CF814" s="196"/>
      <c r="CG814" s="196">
        <f>CG812+CG813</f>
        <v>136.13061224489795</v>
      </c>
      <c r="CH814" s="196"/>
      <c r="CI814" s="196">
        <f>CI812+CI813</f>
        <v>100.30357142857143</v>
      </c>
      <c r="CJ814" s="196"/>
      <c r="CK814" s="196">
        <f>CK812+CK813</f>
        <v>145.01845018450186</v>
      </c>
      <c r="CL814" s="196"/>
      <c r="CM814" s="196">
        <f>CM812+CM813</f>
        <v>99.920652173913055</v>
      </c>
      <c r="CN814" s="196"/>
      <c r="CO814" s="196">
        <f>CO812+CO813</f>
        <v>134.78297872340426</v>
      </c>
      <c r="CP814" s="196"/>
      <c r="CQ814" s="196">
        <f>CQ812+CQ813</f>
        <v>84.117119565217379</v>
      </c>
      <c r="CR814" s="196"/>
      <c r="CS814" s="196">
        <f>CS812+CS813</f>
        <v>123.60079365079366</v>
      </c>
      <c r="CT814" s="196"/>
      <c r="CU814" s="196">
        <f>CU812+CU813</f>
        <v>52.593950177935945</v>
      </c>
      <c r="CV814" s="196"/>
      <c r="CW814" s="196">
        <f>CW812+CW813</f>
        <v>71.046756152125283</v>
      </c>
      <c r="CX814" s="196"/>
      <c r="CY814" s="196">
        <f>CY812+CY813</f>
        <v>122.71279397930385</v>
      </c>
      <c r="CZ814" s="196"/>
      <c r="DA814" s="196">
        <f>DA812+DA813</f>
        <v>107.96500920810313</v>
      </c>
      <c r="DB814" s="196"/>
      <c r="DC814" s="196">
        <f>DC812+DC813</f>
        <v>111.67339635381499</v>
      </c>
      <c r="DD814" s="196"/>
      <c r="DE814" s="196">
        <f>DE812+DE813</f>
        <v>125.3188443860801</v>
      </c>
      <c r="DF814" s="196"/>
      <c r="DG814" s="196">
        <f>DG812+DG813</f>
        <v>120.52972410203019</v>
      </c>
      <c r="DH814" s="196"/>
      <c r="DI814" s="196">
        <f>DI812+DI813</f>
        <v>159.84949048913043</v>
      </c>
      <c r="DJ814" s="196"/>
      <c r="DK814" s="196">
        <f>DK812+DK813</f>
        <v>100.60025461489498</v>
      </c>
      <c r="DL814" s="196"/>
      <c r="DM814" s="196">
        <f>DM812+DM813</f>
        <v>153.61182994454714</v>
      </c>
      <c r="DN814" s="196"/>
      <c r="DO814" s="196">
        <f>DO812+DO813</f>
        <v>154.37398373983737</v>
      </c>
      <c r="DP814" s="196"/>
      <c r="DQ814" s="196">
        <f>DQ812+DQ813</f>
        <v>134.15018587360595</v>
      </c>
      <c r="DR814" s="196"/>
      <c r="DS814" s="196">
        <f>DS812+DS813</f>
        <v>115.29512893982807</v>
      </c>
      <c r="DT814" s="196"/>
      <c r="DU814" s="196">
        <f>DU812+DU813</f>
        <v>164.25855513307982</v>
      </c>
      <c r="DV814" s="196"/>
      <c r="DW814" s="196">
        <f>DW812+DW813</f>
        <v>172.22829801777169</v>
      </c>
      <c r="DX814" s="196"/>
      <c r="DY814" s="196">
        <f>DY812+DY813</f>
        <v>110.05583756345177</v>
      </c>
      <c r="DZ814" s="196"/>
      <c r="EA814" s="196">
        <f>EA812+EA813</f>
        <v>143.71849056603776</v>
      </c>
      <c r="EB814" s="196"/>
      <c r="EC814" s="196">
        <f>EC812+EC813</f>
        <v>171.76064333017976</v>
      </c>
      <c r="ED814" s="196"/>
      <c r="EE814" s="196">
        <f>EE812+EE813</f>
        <v>132.24839537869062</v>
      </c>
      <c r="EF814" s="196"/>
      <c r="EG814" s="196">
        <f>EG812+EG813</f>
        <v>135.22275531185744</v>
      </c>
      <c r="EH814" s="196"/>
      <c r="EI814" s="196">
        <f>EI812+EI813</f>
        <v>113.26746987951807</v>
      </c>
      <c r="EJ814" s="196"/>
      <c r="EK814" s="196">
        <f>EK812+EK813</f>
        <v>132.46172638436482</v>
      </c>
      <c r="EL814" s="196"/>
      <c r="EM814" s="196">
        <f>EM812+EM813</f>
        <v>156.47589686098655</v>
      </c>
      <c r="EN814" s="196"/>
      <c r="EO814" s="196">
        <f>EO812+EO813</f>
        <v>89.541984732824432</v>
      </c>
      <c r="EP814" s="196"/>
      <c r="EQ814" s="196">
        <f t="shared" ref="EQ814" si="3539">EQ812+EQ813</f>
        <v>108.19118779950013</v>
      </c>
      <c r="ER814" s="196"/>
      <c r="ES814" s="196">
        <f t="shared" ref="ES814" si="3540">ES812+ES813</f>
        <v>127.43460647683514</v>
      </c>
      <c r="ET814" s="196"/>
      <c r="EU814" s="196">
        <f t="shared" ref="EU814" si="3541">EU812+EU813</f>
        <v>132.65664983854174</v>
      </c>
      <c r="EV814" s="196"/>
      <c r="EW814" s="196">
        <f t="shared" ref="EW814" si="3542">EW812+EW813</f>
        <v>124.77174020992845</v>
      </c>
      <c r="EX814" s="196"/>
      <c r="EY814" s="196"/>
      <c r="EZ814" s="346"/>
      <c r="FA814" s="196"/>
      <c r="FB814" s="196">
        <f>FB812+FB813</f>
        <v>276</v>
      </c>
      <c r="FC814" s="196"/>
      <c r="FD814" s="196">
        <f>FD812+FD813</f>
        <v>32.241108354011573</v>
      </c>
      <c r="FE814" s="196"/>
      <c r="FF814" s="196">
        <f>FF812+FF813</f>
        <v>36.998688524590165</v>
      </c>
      <c r="FG814" s="196"/>
      <c r="FH814" s="196">
        <f>FH812+FH813</f>
        <v>113.1175187457396</v>
      </c>
      <c r="FI814" s="196"/>
      <c r="FJ814" s="196">
        <f>FJ812+FJ813</f>
        <v>210.63423700391277</v>
      </c>
      <c r="FK814" s="196"/>
      <c r="FL814" s="196">
        <f>FL812+FL813</f>
        <v>260.9459032103498</v>
      </c>
      <c r="FM814" s="196"/>
      <c r="FN814" s="196">
        <f>FN812+FN813</f>
        <v>304.65447301702278</v>
      </c>
      <c r="FO814" s="196"/>
      <c r="FP814" s="196">
        <f>FP812+FP813</f>
        <v>398.90757796560774</v>
      </c>
      <c r="FQ814" s="196"/>
      <c r="FR814" s="196">
        <f>FR812+FR813</f>
        <v>410.40754547783757</v>
      </c>
      <c r="FS814" s="196"/>
      <c r="FT814" s="196">
        <f>FT812+FT813</f>
        <v>503.27785613540209</v>
      </c>
      <c r="FU814" s="196"/>
      <c r="FV814" s="196">
        <f>FV812+FV813</f>
        <v>-358.87564543889869</v>
      </c>
      <c r="FW814" s="196"/>
      <c r="FX814" s="196">
        <f>FX812+FX813</f>
        <v>269.25240677966099</v>
      </c>
      <c r="FY814" s="196"/>
      <c r="FZ814" s="196">
        <f>FZ812+FZ813</f>
        <v>363.56981157837254</v>
      </c>
      <c r="GA814" s="196"/>
      <c r="GB814" s="196">
        <f>GB812+GB813</f>
        <v>368.04603452589447</v>
      </c>
      <c r="GC814" s="196"/>
      <c r="GD814" s="196">
        <f>GD812+GD813</f>
        <v>297.05807535397173</v>
      </c>
      <c r="GE814" s="196"/>
      <c r="GF814" s="196">
        <f>GF812+GF813</f>
        <v>539.84008128810376</v>
      </c>
      <c r="GG814" s="17"/>
      <c r="GH814" s="196">
        <f>GH812+GH813</f>
        <v>529.74338085539716</v>
      </c>
      <c r="GI814" s="17"/>
      <c r="GJ814" s="196">
        <f>GJ812+GJ813</f>
        <v>561.07334296260638</v>
      </c>
      <c r="GK814" s="17"/>
      <c r="GL814" s="196">
        <f>GL812+GL813</f>
        <v>581.17206890164846</v>
      </c>
      <c r="GM814" s="17"/>
      <c r="GN814" s="196">
        <f>GN812+GN813</f>
        <v>491.72325432415118</v>
      </c>
      <c r="GO814" s="17"/>
      <c r="GP814" s="196">
        <f>GP812+GP813</f>
        <v>493.05418432480599</v>
      </c>
      <c r="GQ814" s="17"/>
      <c r="GR814" s="196">
        <f>GR812+GR813</f>
        <v>496.10587446252146</v>
      </c>
      <c r="GS814" s="17"/>
      <c r="GT814" s="196">
        <f>GT812+GT813</f>
        <v>500.53313595288193</v>
      </c>
      <c r="GU814" s="17"/>
      <c r="GV814" s="196">
        <f>GV812+GV813</f>
        <v>507.54660676457979</v>
      </c>
      <c r="GW814" s="17"/>
      <c r="GX814" s="196">
        <f>GX812+GX813</f>
        <v>514.18156596011545</v>
      </c>
      <c r="GY814" s="17"/>
      <c r="GZ814" s="196"/>
      <c r="HA814" s="196"/>
      <c r="HB814" s="196"/>
      <c r="HC814"/>
      <c r="HD814"/>
      <c r="HE814"/>
      <c r="HF814"/>
      <c r="HG814"/>
      <c r="HH814"/>
      <c r="HI814" s="2"/>
    </row>
    <row r="815" spans="2:217" s="3" customFormat="1" ht="12.75" hidden="1" customHeight="1" outlineLevel="1" x14ac:dyDescent="0.2">
      <c r="B815" s="10"/>
      <c r="C815" s="9"/>
      <c r="D815" s="11"/>
      <c r="E815" s="9"/>
      <c r="F815" s="11"/>
      <c r="G815" s="9"/>
      <c r="H815" s="11"/>
      <c r="I815" s="9"/>
      <c r="J815" s="11"/>
      <c r="K815" s="9"/>
      <c r="L815" s="11"/>
      <c r="M815" s="9"/>
      <c r="N815" s="11"/>
      <c r="O815" s="9"/>
      <c r="P815" s="11"/>
      <c r="Q815" s="9"/>
      <c r="R815" s="11"/>
      <c r="S815" s="9"/>
      <c r="T815" s="11"/>
      <c r="U815" s="9"/>
      <c r="V815" s="11"/>
      <c r="W815" s="9"/>
      <c r="X815" s="11"/>
      <c r="Y815" s="9"/>
      <c r="Z815" s="11"/>
      <c r="AA815" s="9"/>
      <c r="AB815" s="11"/>
      <c r="AC815" s="9"/>
      <c r="AD815" s="11"/>
      <c r="AE815" s="9"/>
      <c r="AF815" s="11"/>
      <c r="AG815" s="9"/>
      <c r="AH815" s="11"/>
      <c r="AI815" s="9"/>
      <c r="AJ815" s="11"/>
      <c r="AK815" s="9"/>
      <c r="AL815" s="11"/>
      <c r="AM815" s="9"/>
      <c r="AN815" s="11"/>
      <c r="AO815" s="9"/>
      <c r="AP815" s="11"/>
      <c r="AQ815" s="9"/>
      <c r="AR815" s="11"/>
      <c r="AS815" s="9"/>
      <c r="AT815" s="11"/>
      <c r="AU815" s="9"/>
      <c r="AV815" s="11"/>
      <c r="AW815" s="9"/>
      <c r="AX815" s="11"/>
      <c r="AY815" s="9"/>
      <c r="AZ815" s="11"/>
      <c r="BA815" s="9"/>
      <c r="BB815" s="11"/>
      <c r="BC815" s="9"/>
      <c r="BD815" s="11"/>
      <c r="BE815" s="9"/>
      <c r="BF815" s="11"/>
      <c r="BG815" s="196"/>
      <c r="BH815" s="196"/>
      <c r="BI815" s="196"/>
      <c r="BJ815" s="196"/>
      <c r="BK815" s="196"/>
      <c r="BL815" s="196"/>
      <c r="BM815" s="196"/>
      <c r="BN815" s="196"/>
      <c r="BO815" s="196"/>
      <c r="BP815" s="196"/>
      <c r="BQ815" s="196"/>
      <c r="BR815" s="196"/>
      <c r="BS815" s="196"/>
      <c r="BT815" s="196"/>
      <c r="BU815" s="196"/>
      <c r="BV815" s="196"/>
      <c r="BW815" s="196"/>
      <c r="BX815" s="196"/>
      <c r="BY815" s="196"/>
      <c r="BZ815" s="196"/>
      <c r="CA815" s="196"/>
      <c r="CB815" s="196"/>
      <c r="CC815" s="196"/>
      <c r="CD815" s="196"/>
      <c r="CE815" s="196"/>
      <c r="CF815" s="196"/>
      <c r="CG815" s="196"/>
      <c r="CH815" s="196"/>
      <c r="CI815" s="196"/>
      <c r="CJ815" s="196"/>
      <c r="CK815" s="196"/>
      <c r="CL815" s="196"/>
      <c r="CM815" s="196"/>
      <c r="CN815" s="196"/>
      <c r="CO815" s="196"/>
      <c r="CP815" s="196"/>
      <c r="CQ815" s="196"/>
      <c r="CR815" s="196"/>
      <c r="CS815" s="196"/>
      <c r="CT815" s="196"/>
      <c r="CU815" s="196"/>
      <c r="CV815" s="196"/>
      <c r="CW815" s="196"/>
      <c r="CX815" s="196"/>
      <c r="CY815" s="196"/>
      <c r="CZ815" s="196"/>
      <c r="DA815" s="196"/>
      <c r="DB815" s="196"/>
      <c r="DC815" s="196"/>
      <c r="DD815" s="196"/>
      <c r="DE815" s="196"/>
      <c r="DF815" s="196"/>
      <c r="DG815" s="196"/>
      <c r="DH815" s="196"/>
      <c r="DI815" s="196"/>
      <c r="DJ815" s="196"/>
      <c r="DK815" s="196"/>
      <c r="DL815" s="196"/>
      <c r="DM815" s="196"/>
      <c r="DN815" s="196"/>
      <c r="DO815" s="196"/>
      <c r="DP815" s="196"/>
      <c r="DQ815" s="196"/>
      <c r="DR815" s="196"/>
      <c r="DS815" s="196"/>
      <c r="DT815" s="196"/>
      <c r="DU815" s="196"/>
      <c r="DV815" s="196"/>
      <c r="DW815" s="196"/>
      <c r="DX815" s="196"/>
      <c r="DY815" s="196"/>
      <c r="DZ815" s="196"/>
      <c r="EA815" s="196"/>
      <c r="EB815" s="196"/>
      <c r="EC815" s="196"/>
      <c r="ED815" s="196"/>
      <c r="EE815" s="196"/>
      <c r="EF815" s="196"/>
      <c r="EG815" s="196"/>
      <c r="EH815" s="196"/>
      <c r="EI815" s="196"/>
      <c r="EJ815" s="196"/>
      <c r="EK815" s="196"/>
      <c r="EL815" s="196"/>
      <c r="EM815" s="196"/>
      <c r="EN815" s="196"/>
      <c r="EO815" s="196"/>
      <c r="EP815" s="196"/>
      <c r="EQ815" s="196"/>
      <c r="ER815" s="196"/>
      <c r="ES815" s="196"/>
      <c r="ET815" s="196"/>
      <c r="EU815" s="196"/>
      <c r="EV815" s="196"/>
      <c r="EW815" s="196"/>
      <c r="EX815" s="196"/>
      <c r="EY815" s="196"/>
      <c r="EZ815" s="346"/>
      <c r="FA815" s="196"/>
      <c r="FB815" s="196"/>
      <c r="FC815" s="196"/>
      <c r="FD815" s="196"/>
      <c r="FE815" s="196"/>
      <c r="FF815" s="196"/>
      <c r="FG815" s="196"/>
      <c r="FH815" s="196"/>
      <c r="FI815" s="196"/>
      <c r="FJ815" s="196"/>
      <c r="FK815" s="196"/>
      <c r="FL815" s="196"/>
      <c r="FM815" s="196"/>
      <c r="FN815" s="196"/>
      <c r="FO815" s="196"/>
      <c r="FP815" s="196"/>
      <c r="FQ815" s="196"/>
      <c r="FR815" s="196"/>
      <c r="FS815" s="196"/>
      <c r="FT815" s="196"/>
      <c r="FU815" s="196"/>
      <c r="FV815" s="196"/>
      <c r="FW815" s="196"/>
      <c r="FX815" s="196"/>
      <c r="FY815" s="196"/>
      <c r="FZ815" s="196"/>
      <c r="GA815" s="196"/>
      <c r="GB815" s="196"/>
      <c r="GC815" s="196"/>
      <c r="GD815" s="196"/>
      <c r="GE815" s="196"/>
      <c r="GF815" s="196"/>
      <c r="GG815" s="17"/>
      <c r="GH815" s="196"/>
      <c r="GI815" s="17"/>
      <c r="GJ815" s="196"/>
      <c r="GK815" s="17"/>
      <c r="GL815" s="196"/>
      <c r="GM815" s="17"/>
      <c r="GN815" s="196"/>
      <c r="GO815" s="17"/>
      <c r="GP815" s="196"/>
      <c r="GQ815" s="17"/>
      <c r="GR815" s="196"/>
      <c r="GS815" s="17"/>
      <c r="GT815" s="196"/>
      <c r="GU815" s="17"/>
      <c r="GV815" s="196"/>
      <c r="GW815" s="17"/>
      <c r="GX815" s="196"/>
      <c r="GY815" s="17"/>
      <c r="GZ815" s="196"/>
      <c r="HA815" s="196"/>
      <c r="HB815" s="196"/>
      <c r="HC815"/>
      <c r="HD815"/>
      <c r="HE815"/>
      <c r="HF815"/>
      <c r="HG815"/>
      <c r="HH815"/>
      <c r="HI815" s="2"/>
    </row>
    <row r="816" spans="2:217" s="3" customFormat="1" ht="12.75" hidden="1" customHeight="1" outlineLevel="1" x14ac:dyDescent="0.2">
      <c r="B816" s="89" t="s">
        <v>95</v>
      </c>
      <c r="C816" s="9"/>
      <c r="D816" s="11"/>
      <c r="E816" s="9"/>
      <c r="F816" s="11"/>
      <c r="G816" s="9"/>
      <c r="H816" s="11"/>
      <c r="I816" s="9"/>
      <c r="J816" s="11"/>
      <c r="K816" s="9"/>
      <c r="L816" s="11"/>
      <c r="M816" s="9"/>
      <c r="N816" s="11"/>
      <c r="O816" s="9"/>
      <c r="P816" s="11"/>
      <c r="Q816" s="9"/>
      <c r="R816" s="11"/>
      <c r="S816" s="9"/>
      <c r="T816" s="11"/>
      <c r="U816" s="9"/>
      <c r="V816" s="11"/>
      <c r="W816" s="9"/>
      <c r="X816" s="11"/>
      <c r="Y816" s="9"/>
      <c r="Z816" s="11"/>
      <c r="AA816" s="9"/>
      <c r="AB816" s="11"/>
      <c r="AC816" s="9"/>
      <c r="AD816" s="11"/>
      <c r="AE816" s="9"/>
      <c r="AF816" s="11"/>
      <c r="AG816" s="9"/>
      <c r="AH816" s="11"/>
      <c r="AI816" s="9"/>
      <c r="AJ816" s="11"/>
      <c r="AK816" s="9"/>
      <c r="AL816" s="11"/>
      <c r="AM816" s="9"/>
      <c r="AN816" s="11"/>
      <c r="AO816" s="9"/>
      <c r="AP816" s="11"/>
      <c r="AQ816" s="9"/>
      <c r="AR816" s="11"/>
      <c r="AS816" s="9"/>
      <c r="AT816" s="11"/>
      <c r="AU816" s="9"/>
      <c r="AV816" s="11"/>
      <c r="AW816" s="9"/>
      <c r="AX816" s="11"/>
      <c r="AY816" s="9"/>
      <c r="AZ816" s="11"/>
      <c r="BA816" s="9"/>
      <c r="BB816" s="11"/>
      <c r="BC816" s="9"/>
      <c r="BD816" s="11"/>
      <c r="BE816" s="9"/>
      <c r="BF816" s="11"/>
      <c r="BG816" s="196"/>
      <c r="BH816" s="196"/>
      <c r="BI816" s="196"/>
      <c r="BJ816" s="196"/>
      <c r="BK816" s="196"/>
      <c r="BL816" s="196"/>
      <c r="BM816" s="196"/>
      <c r="BN816" s="196"/>
      <c r="BO816" s="196"/>
      <c r="BP816" s="196"/>
      <c r="BQ816" s="196"/>
      <c r="BR816" s="196"/>
      <c r="BS816" s="196"/>
      <c r="BT816" s="196"/>
      <c r="BU816" s="196"/>
      <c r="BV816" s="196"/>
      <c r="BW816" s="196"/>
      <c r="BX816" s="196"/>
      <c r="BY816" s="196"/>
      <c r="BZ816" s="196"/>
      <c r="CA816" s="196"/>
      <c r="CB816" s="196"/>
      <c r="CC816" s="196"/>
      <c r="CD816" s="196"/>
      <c r="CE816" s="196"/>
      <c r="CF816" s="196"/>
      <c r="CG816" s="196"/>
      <c r="CH816" s="196"/>
      <c r="CI816" s="196"/>
      <c r="CJ816" s="196"/>
      <c r="CK816" s="196"/>
      <c r="CL816" s="196"/>
      <c r="CM816" s="196"/>
      <c r="CN816" s="196"/>
      <c r="CO816" s="196"/>
      <c r="CP816" s="196"/>
      <c r="CQ816" s="196"/>
      <c r="CR816" s="196"/>
      <c r="CS816" s="196"/>
      <c r="CT816" s="196"/>
      <c r="CU816" s="196"/>
      <c r="CV816" s="196"/>
      <c r="CW816" s="196"/>
      <c r="CX816" s="196"/>
      <c r="CY816" s="196"/>
      <c r="CZ816" s="196"/>
      <c r="DA816" s="196"/>
      <c r="DB816" s="196"/>
      <c r="DC816" s="196"/>
      <c r="DD816" s="196"/>
      <c r="DE816" s="196"/>
      <c r="DF816" s="196"/>
      <c r="DG816" s="196"/>
      <c r="DH816" s="196"/>
      <c r="DI816" s="196"/>
      <c r="DJ816" s="196"/>
      <c r="DK816" s="196"/>
      <c r="DL816" s="196"/>
      <c r="DM816" s="196"/>
      <c r="DN816" s="196"/>
      <c r="DO816" s="196"/>
      <c r="DP816" s="196"/>
      <c r="DQ816" s="196"/>
      <c r="DR816" s="196"/>
      <c r="DS816" s="196"/>
      <c r="DT816" s="196"/>
      <c r="DU816" s="196"/>
      <c r="DV816" s="196"/>
      <c r="DW816" s="196"/>
      <c r="DX816" s="196"/>
      <c r="DY816" s="196"/>
      <c r="DZ816" s="196"/>
      <c r="EA816" s="196"/>
      <c r="EB816" s="196"/>
      <c r="EC816" s="196"/>
      <c r="ED816" s="196"/>
      <c r="EE816" s="196"/>
      <c r="EF816" s="196"/>
      <c r="EG816" s="196"/>
      <c r="EH816" s="196"/>
      <c r="EI816" s="196"/>
      <c r="EJ816" s="196"/>
      <c r="EK816" s="196"/>
      <c r="EL816" s="196"/>
      <c r="EM816" s="196"/>
      <c r="EN816" s="196"/>
      <c r="EO816" s="196"/>
      <c r="EP816" s="196"/>
      <c r="EQ816" s="196"/>
      <c r="ER816" s="196"/>
      <c r="ES816" s="196"/>
      <c r="ET816" s="196"/>
      <c r="EU816" s="196"/>
      <c r="EV816" s="196"/>
      <c r="EW816" s="196"/>
      <c r="EX816" s="196"/>
      <c r="EY816" s="196"/>
      <c r="EZ816" s="346"/>
      <c r="FA816" s="196"/>
      <c r="FB816" s="196"/>
      <c r="FC816" s="196"/>
      <c r="FD816" s="196"/>
      <c r="FE816" s="196"/>
      <c r="FF816" s="196"/>
      <c r="FG816" s="196"/>
      <c r="FH816" s="196"/>
      <c r="FI816" s="196"/>
      <c r="FJ816" s="196"/>
      <c r="FK816" s="196"/>
      <c r="FL816" s="196"/>
      <c r="FM816" s="196"/>
      <c r="FN816" s="196"/>
      <c r="FO816" s="196"/>
      <c r="FP816" s="196"/>
      <c r="FQ816" s="196"/>
      <c r="FR816" s="196"/>
      <c r="FS816" s="196"/>
      <c r="FT816" s="196"/>
      <c r="FU816" s="196"/>
      <c r="FV816" s="196"/>
      <c r="FW816" s="196"/>
      <c r="FX816" s="196"/>
      <c r="FY816" s="196"/>
      <c r="FZ816" s="196"/>
      <c r="GA816" s="196"/>
      <c r="GB816" s="196"/>
      <c r="GC816" s="196"/>
      <c r="GD816" s="196"/>
      <c r="GE816" s="196"/>
      <c r="GF816" s="196"/>
      <c r="GG816" s="17"/>
      <c r="GH816" s="196"/>
      <c r="GI816" s="17"/>
      <c r="GJ816" s="196"/>
      <c r="GK816" s="17"/>
      <c r="GL816" s="196"/>
      <c r="GM816" s="17"/>
      <c r="GN816" s="196"/>
      <c r="GO816" s="17"/>
      <c r="GP816" s="196"/>
      <c r="GQ816" s="17"/>
      <c r="GR816" s="196"/>
      <c r="GS816" s="17"/>
      <c r="GT816" s="196"/>
      <c r="GU816" s="17"/>
      <c r="GV816" s="196"/>
      <c r="GW816" s="17"/>
      <c r="GX816" s="196"/>
      <c r="GY816" s="17"/>
      <c r="GZ816" s="196"/>
      <c r="HA816" s="196"/>
      <c r="HB816" s="196"/>
      <c r="HC816"/>
      <c r="HD816"/>
      <c r="HE816"/>
      <c r="HF816"/>
      <c r="HG816"/>
      <c r="HH816"/>
      <c r="HI816" s="2"/>
    </row>
    <row r="817" spans="2:217" s="3" customFormat="1" ht="12.75" hidden="1" customHeight="1" outlineLevel="1" x14ac:dyDescent="0.2">
      <c r="B817" s="10" t="s">
        <v>302</v>
      </c>
      <c r="C817" s="9"/>
      <c r="D817" s="11"/>
      <c r="E817" s="9"/>
      <c r="F817" s="11"/>
      <c r="G817" s="9"/>
      <c r="H817" s="11"/>
      <c r="I817" s="9"/>
      <c r="J817" s="11"/>
      <c r="K817" s="9"/>
      <c r="L817" s="11"/>
      <c r="M817" s="9"/>
      <c r="N817" s="11"/>
      <c r="O817" s="9"/>
      <c r="P817" s="11"/>
      <c r="Q817" s="9"/>
      <c r="R817" s="11"/>
      <c r="S817" s="9"/>
      <c r="T817" s="11"/>
      <c r="U817" s="9"/>
      <c r="V817" s="11"/>
      <c r="W817" s="9"/>
      <c r="X817" s="11"/>
      <c r="Y817" s="9"/>
      <c r="Z817" s="11"/>
      <c r="AA817" s="9"/>
      <c r="AB817" s="11"/>
      <c r="AC817" s="9"/>
      <c r="AD817" s="11"/>
      <c r="AE817" s="9"/>
      <c r="AF817" s="11"/>
      <c r="AG817" s="9"/>
      <c r="AH817" s="11"/>
      <c r="AI817" s="9"/>
      <c r="AJ817" s="11"/>
      <c r="AK817" s="9"/>
      <c r="AL817" s="11"/>
      <c r="AM817" s="9"/>
      <c r="AN817" s="11"/>
      <c r="AO817" s="9"/>
      <c r="AP817" s="11"/>
      <c r="AQ817" s="9"/>
      <c r="AR817" s="11"/>
      <c r="AS817" s="9"/>
      <c r="AT817" s="11"/>
      <c r="AU817" s="9"/>
      <c r="AV817" s="11"/>
      <c r="AW817" s="9"/>
      <c r="AX817" s="11"/>
      <c r="AY817" s="9"/>
      <c r="AZ817" s="11"/>
      <c r="BA817" s="9"/>
      <c r="BB817" s="11"/>
      <c r="BC817" s="9"/>
      <c r="BD817" s="11"/>
      <c r="BE817" s="9"/>
      <c r="BF817" s="11"/>
      <c r="BG817" s="196">
        <f>+BG528*(1-(BG538/100))</f>
        <v>102.09074344023324</v>
      </c>
      <c r="BH817" s="196"/>
      <c r="BI817" s="196">
        <f>+BI528*(1-(BI538/100))</f>
        <v>104.19268510258696</v>
      </c>
      <c r="BJ817" s="196"/>
      <c r="BK817" s="196">
        <f>+BK528*(1-(BK538/100))</f>
        <v>113.17374517374517</v>
      </c>
      <c r="BL817" s="196"/>
      <c r="BM817" s="196">
        <f>+BM528*(1-(BM538/100))</f>
        <v>98.26171875</v>
      </c>
      <c r="BN817" s="196"/>
      <c r="BO817" s="196">
        <f>+BO528*(1-(BO538/100))</f>
        <v>94.352683461117195</v>
      </c>
      <c r="BP817" s="196"/>
      <c r="BQ817" s="196">
        <f>+BQ528*(1-(BQ538/100))</f>
        <v>124.72531418312387</v>
      </c>
      <c r="BR817" s="196"/>
      <c r="BS817" s="196">
        <f>+BS528*(1-(BS538/100))</f>
        <v>115.5728476821192</v>
      </c>
      <c r="BT817" s="196"/>
      <c r="BU817" s="196">
        <f>+BU528*(1-(BU538/100))</f>
        <v>112.16412859560067</v>
      </c>
      <c r="BV817" s="196"/>
      <c r="BW817" s="196">
        <f>+BW528*(1-(BW538/100))</f>
        <v>108.77142857142857</v>
      </c>
      <c r="BX817" s="196"/>
      <c r="BY817" s="196">
        <f>+BY528*(1-(BY538/100))</f>
        <v>101.07712082262212</v>
      </c>
      <c r="BZ817" s="196"/>
      <c r="CA817" s="196">
        <f>+CA528*(1-(CA538/100))</f>
        <v>151.53846153846155</v>
      </c>
      <c r="CB817" s="196"/>
      <c r="CC817" s="196">
        <f>+CC528*(1-(CC538/100))</f>
        <v>112.97254901960784</v>
      </c>
      <c r="CD817" s="196"/>
      <c r="CE817" s="196">
        <f>+CE528*(1-(CE538/100))</f>
        <v>115.54205607476635</v>
      </c>
      <c r="CF817" s="196"/>
      <c r="CG817" s="196">
        <f>+CG528*(1-(CG538/100))</f>
        <v>126.07551020408162</v>
      </c>
      <c r="CH817" s="196"/>
      <c r="CI817" s="196">
        <f>+CI528*(1-(CI538/100))</f>
        <v>145.69642857142858</v>
      </c>
      <c r="CJ817" s="196"/>
      <c r="CK817" s="196">
        <f>+CK528*(1-(CK538/100))</f>
        <v>131.96678966789668</v>
      </c>
      <c r="CL817" s="196"/>
      <c r="CM817" s="196">
        <f>+CM528*(1-(CM538/100))</f>
        <v>161.62347826086958</v>
      </c>
      <c r="CN817" s="196"/>
      <c r="CO817" s="196">
        <f>+CO528*(1-(CO538/100))</f>
        <v>197.77937095282147</v>
      </c>
      <c r="CP817" s="196"/>
      <c r="CQ817" s="196">
        <f>+CQ528*(1-(CQ538/100))</f>
        <v>226.40869565217389</v>
      </c>
      <c r="CR817" s="196"/>
      <c r="CS817" s="196">
        <f>+CS528*(1-(CS538/100))</f>
        <v>215.21079365079365</v>
      </c>
      <c r="CT817" s="196"/>
      <c r="CU817" s="196">
        <f>+CU528*(1-(CU538/100))</f>
        <v>198.68825622775799</v>
      </c>
      <c r="CV817" s="196"/>
      <c r="CW817" s="196">
        <f>+CW528*(1-(CW538/100))</f>
        <v>258.48926174496648</v>
      </c>
      <c r="CX817" s="196"/>
      <c r="CY817" s="196">
        <f>+CY528*(1-(CY538/100))</f>
        <v>266.73499529633114</v>
      </c>
      <c r="CZ817" s="196"/>
      <c r="DA817" s="196">
        <f>+DA528*(1-(DA538/100))</f>
        <v>250.63305709023942</v>
      </c>
      <c r="DB817" s="196"/>
      <c r="DC817" s="196">
        <f>+DC528*(1-(DC538/100))</f>
        <v>284.25955435516545</v>
      </c>
      <c r="DD817" s="196"/>
      <c r="DE817" s="196">
        <f>+DE528*(1-(DE538/100))</f>
        <v>310.41621799080758</v>
      </c>
      <c r="DF817" s="196"/>
      <c r="DG817" s="196">
        <f>+DG528*(1-(DG538/100))</f>
        <v>337.19625195210824</v>
      </c>
      <c r="DH817" s="196"/>
      <c r="DI817" s="196">
        <f>+DI528*(1-(DI538/100))</f>
        <v>270.95563858695652</v>
      </c>
      <c r="DJ817" s="196"/>
      <c r="DK817" s="196">
        <f>+DK528*(1-(DK538/100))</f>
        <v>302.52450668364099</v>
      </c>
      <c r="DL817" s="196"/>
      <c r="DM817" s="196">
        <f>+DM528*(1-(DM538/100))</f>
        <v>363.74121996303148</v>
      </c>
      <c r="DN817" s="196"/>
      <c r="DO817" s="196">
        <f>+DO528*(1-(DO538/100))</f>
        <v>340.84552845528452</v>
      </c>
      <c r="DP817" s="196"/>
      <c r="DQ817" s="196">
        <f>+DQ528*(1-(DQ538/100))</f>
        <v>288.53531598513007</v>
      </c>
      <c r="DR817" s="196"/>
      <c r="DS817" s="196">
        <f>+DS528*(1-(DS538/100))</f>
        <v>293.81661891117477</v>
      </c>
      <c r="DT817" s="196"/>
      <c r="DU817" s="196">
        <f>+DU528*(1-(DU538/100))</f>
        <v>345.38294405214555</v>
      </c>
      <c r="DV817" s="196"/>
      <c r="DW817" s="196">
        <f>+DW528*(1-(DW538/100))</f>
        <v>314.10799726589198</v>
      </c>
      <c r="DX817" s="196"/>
      <c r="DY817" s="196">
        <f>+DY528*(1-(DY538/100))</f>
        <v>279.66243654822335</v>
      </c>
      <c r="DZ817" s="196"/>
      <c r="EA817" s="196">
        <f>+EA528*(1-(EA538/100))</f>
        <v>277.65509433962262</v>
      </c>
      <c r="EB817" s="196"/>
      <c r="EC817" s="196">
        <f>+EC528*(1-(EC538/100))</f>
        <v>387.44181646168403</v>
      </c>
      <c r="ED817" s="196"/>
      <c r="EE817" s="196">
        <f>+EE528*(1-(EE538/100))</f>
        <v>297.36777920410782</v>
      </c>
      <c r="EF817" s="196"/>
      <c r="EG817" s="196">
        <f>+EG528*(1-(EG538/100))</f>
        <v>268.95133653187116</v>
      </c>
      <c r="EH817" s="196"/>
      <c r="EI817" s="196">
        <f>+EI528*(1-(EI538/100))</f>
        <v>291.36566265060242</v>
      </c>
      <c r="EJ817" s="196"/>
      <c r="EK817" s="196">
        <f>+EK528*(1-(EK538/100))</f>
        <v>353.97964169381106</v>
      </c>
      <c r="EL817" s="196"/>
      <c r="EM817" s="196">
        <f>+EM528*(1-(EM538/100))</f>
        <v>315.91816143497761</v>
      </c>
      <c r="EN817" s="196"/>
      <c r="EO817" s="196">
        <f>+EO528*(1-(EO538/100))</f>
        <v>293.99618320610688</v>
      </c>
      <c r="EP817" s="196"/>
      <c r="EQ817" s="196">
        <f>+EQ528*(1-(EQ538/100))</f>
        <v>326.35265163208345</v>
      </c>
      <c r="ER817" s="196"/>
      <c r="ES817" s="196">
        <f>+ES528*(1-(ES538/100))</f>
        <v>343.54706481650288</v>
      </c>
      <c r="ET817" s="196"/>
      <c r="EU817" s="196">
        <f>+EU528*(1-(EU538/100))</f>
        <v>330.40137804539677</v>
      </c>
      <c r="EV817" s="196"/>
      <c r="EW817" s="196">
        <f>+EW528*(1-(EW538/100))</f>
        <v>313.79884618918936</v>
      </c>
      <c r="EX817" s="196"/>
      <c r="EY817" s="196"/>
      <c r="EZ817" s="346"/>
      <c r="FA817" s="196"/>
      <c r="FB817" s="196">
        <f>+FB528*(1-(FB538/100))</f>
        <v>0</v>
      </c>
      <c r="FC817" s="196"/>
      <c r="FD817" s="196">
        <f>+FD528*(1-(FD538/100))</f>
        <v>0</v>
      </c>
      <c r="FE817" s="196"/>
      <c r="FF817" s="196">
        <f>+FF528*(1-(FF538/100))</f>
        <v>0</v>
      </c>
      <c r="FG817" s="196"/>
      <c r="FH817" s="196">
        <f>+FH528*(1-(FH538/100))</f>
        <v>113.1175187457396</v>
      </c>
      <c r="FI817" s="196"/>
      <c r="FJ817" s="196">
        <f>+FJ528*(1-(FJ538/100))</f>
        <v>135.63840134153156</v>
      </c>
      <c r="FK817" s="196"/>
      <c r="FL817" s="196">
        <f>+FL528*(1-(FL538/100))</f>
        <v>189.01214662194536</v>
      </c>
      <c r="FM817" s="196"/>
      <c r="FN817" s="196">
        <f>+FN528*(1-(FN538/100))</f>
        <v>238.37468308583843</v>
      </c>
      <c r="FO817" s="196"/>
      <c r="FP817" s="196">
        <f>+FP528*(1-(FP538/100))</f>
        <v>297.07165549402509</v>
      </c>
      <c r="FQ817" s="196"/>
      <c r="FR817" s="196">
        <f>+FR528*(1-(FR538/100))</f>
        <v>283.72413528055341</v>
      </c>
      <c r="FS817" s="196"/>
      <c r="FT817" s="196">
        <f>+FT528*(1-(FT538/100))</f>
        <v>334.51040197461219</v>
      </c>
      <c r="FU817" s="196"/>
      <c r="FV817" s="196">
        <f>+FV528*(1-(FV538/100))</f>
        <v>-82.643287435456159</v>
      </c>
      <c r="FW817" s="196"/>
      <c r="FX817" s="196">
        <f>+FX528*(1-(FX538/100))</f>
        <v>226.3826101694915</v>
      </c>
      <c r="FY817" s="196"/>
      <c r="FZ817" s="196">
        <f>+FZ528*(1-(FZ538/100))</f>
        <v>390.93528126706724</v>
      </c>
      <c r="GA817" s="196"/>
      <c r="GB817" s="196">
        <f>+GB528*(1-(GB538/100))</f>
        <v>661.99049286965226</v>
      </c>
      <c r="GC817" s="196"/>
      <c r="GD817" s="196">
        <f>+GD528*(1-(GD538/100))</f>
        <v>817.69474442044645</v>
      </c>
      <c r="GE817" s="196"/>
      <c r="GF817" s="196">
        <f>+GF528*(1-(GF538/100))</f>
        <v>1254.62138502423</v>
      </c>
      <c r="GG817" s="17"/>
      <c r="GH817" s="196">
        <f>+GH528*(1-(GH538/100))</f>
        <v>1267.1866938221317</v>
      </c>
      <c r="GI817" s="17"/>
      <c r="GJ817" s="196">
        <f>+GJ528*(1-(GJ538/100))</f>
        <v>1231.824586743701</v>
      </c>
      <c r="GK817" s="17"/>
      <c r="GL817" s="196">
        <f>+GL528*(1-(GL538/100))</f>
        <v>1226.2426375254677</v>
      </c>
      <c r="GM817" s="17"/>
      <c r="GN817" s="196">
        <f>+GN528*(1-(GN538/100))</f>
        <v>1254.63933376041</v>
      </c>
      <c r="GO817" s="17"/>
      <c r="GP817" s="196">
        <f>+GP528*(1-(GP538/100))</f>
        <v>1314.0999406831718</v>
      </c>
      <c r="GQ817" s="17"/>
      <c r="GR817" s="196">
        <f>+GR528*(1-(GR538/100))</f>
        <v>1324.8750953521642</v>
      </c>
      <c r="GS817" s="17"/>
      <c r="GT817" s="196">
        <f>+GT528*(1-(GT538/100))</f>
        <v>1326.9359865056865</v>
      </c>
      <c r="GU817" s="17"/>
      <c r="GV817" s="196">
        <f>+GV528*(1-(GV538/100))</f>
        <v>1328.9052959727433</v>
      </c>
      <c r="GW817" s="17"/>
      <c r="GX817" s="196">
        <f>+GX528*(1-(GX538/100))</f>
        <v>1330.7809860304903</v>
      </c>
      <c r="GY817" s="17"/>
      <c r="GZ817" s="196"/>
      <c r="HA817" s="196"/>
      <c r="HB817" s="196"/>
      <c r="HC817"/>
      <c r="HD817"/>
      <c r="HE817"/>
      <c r="HF817"/>
      <c r="HG817"/>
      <c r="HH817"/>
      <c r="HI817" s="2"/>
    </row>
    <row r="818" spans="2:217" s="3" customFormat="1" ht="12.75" hidden="1" customHeight="1" outlineLevel="1" x14ac:dyDescent="0.2">
      <c r="B818" s="10" t="s">
        <v>373</v>
      </c>
      <c r="C818" s="9"/>
      <c r="D818" s="11"/>
      <c r="E818" s="9"/>
      <c r="F818" s="11"/>
      <c r="G818" s="9"/>
      <c r="H818" s="11"/>
      <c r="I818" s="9"/>
      <c r="J818" s="11"/>
      <c r="K818" s="9"/>
      <c r="L818" s="11"/>
      <c r="M818" s="9"/>
      <c r="N818" s="11"/>
      <c r="O818" s="9"/>
      <c r="P818" s="11"/>
      <c r="Q818" s="9"/>
      <c r="R818" s="11"/>
      <c r="S818" s="9"/>
      <c r="T818" s="11"/>
      <c r="U818" s="9"/>
      <c r="V818" s="11"/>
      <c r="W818" s="9"/>
      <c r="X818" s="11"/>
      <c r="Y818" s="9"/>
      <c r="Z818" s="11"/>
      <c r="AA818" s="9"/>
      <c r="AB818" s="11"/>
      <c r="AC818" s="9"/>
      <c r="AD818" s="11"/>
      <c r="AE818" s="9"/>
      <c r="AF818" s="11"/>
      <c r="AG818" s="9"/>
      <c r="AH818" s="11"/>
      <c r="AI818" s="9"/>
      <c r="AJ818" s="11"/>
      <c r="AK818" s="9"/>
      <c r="AL818" s="11"/>
      <c r="AM818" s="9"/>
      <c r="AN818" s="11"/>
      <c r="AO818" s="9"/>
      <c r="AP818" s="11"/>
      <c r="AQ818" s="9"/>
      <c r="AR818" s="11"/>
      <c r="AS818" s="9"/>
      <c r="AT818" s="11"/>
      <c r="AU818" s="9"/>
      <c r="AV818" s="11"/>
      <c r="AW818" s="9"/>
      <c r="AX818" s="11"/>
      <c r="AY818" s="9"/>
      <c r="AZ818" s="11"/>
      <c r="BA818" s="9"/>
      <c r="BB818" s="11"/>
      <c r="BC818" s="9"/>
      <c r="BD818" s="11"/>
      <c r="BE818" s="9"/>
      <c r="BF818" s="11"/>
      <c r="BG818" s="196">
        <f>BG387*(1-(BG$802/100))</f>
        <v>192.04482507288631</v>
      </c>
      <c r="BH818" s="196"/>
      <c r="BI818" s="196">
        <f>BI387*(1-(BI$802/100))</f>
        <v>180.55307760927741</v>
      </c>
      <c r="BJ818" s="196"/>
      <c r="BK818" s="196">
        <f>BK387*(1-(BK$802/100))</f>
        <v>225.64015444015445</v>
      </c>
      <c r="BL818" s="196"/>
      <c r="BM818" s="196">
        <f>BM387*(1-(BM$802/100))</f>
        <v>214.04296875</v>
      </c>
      <c r="BN818" s="196"/>
      <c r="BO818" s="196">
        <f>BO387*(1-(BO$802/100))</f>
        <v>210.08214676889375</v>
      </c>
      <c r="BP818" s="196"/>
      <c r="BQ818" s="196">
        <f>BQ387*(1-(BQ$802/100))</f>
        <v>213.60143626570914</v>
      </c>
      <c r="BR818" s="196"/>
      <c r="BS818" s="196">
        <f>BS387*(1-(BS$802/100))</f>
        <v>202.77152317880794</v>
      </c>
      <c r="BT818" s="196"/>
      <c r="BU818" s="196">
        <f>BU387*(1-(BU$802/100))</f>
        <v>193.87309644670049</v>
      </c>
      <c r="BV818" s="196"/>
      <c r="BW818" s="196">
        <f>BW387*(1-(BW$802/100))</f>
        <v>229.8857142857143</v>
      </c>
      <c r="BX818" s="196"/>
      <c r="BY818" s="196">
        <f>BY387*(1-(BY$802/100))</f>
        <v>237.56812339331623</v>
      </c>
      <c r="BZ818" s="196"/>
      <c r="CA818" s="196">
        <f>CA387*(1-(CA$802/100))</f>
        <v>226.92307692307693</v>
      </c>
      <c r="CB818" s="196"/>
      <c r="CC818" s="196">
        <f>CC387*(1-(CC$802/100))</f>
        <v>218.70326797385621</v>
      </c>
      <c r="CD818" s="196"/>
      <c r="CE818" s="196">
        <f>CE387*(1-(CE$802/100))</f>
        <v>220.71495327102804</v>
      </c>
      <c r="CF818" s="196"/>
      <c r="CG818" s="196">
        <f>CG387*(1-(CG$802/100))</f>
        <v>204.96938775510202</v>
      </c>
      <c r="CH818" s="196"/>
      <c r="CI818" s="196">
        <f>CI387*(1-(CI$802/100))</f>
        <v>216.71428571428572</v>
      </c>
      <c r="CJ818" s="196"/>
      <c r="CK818" s="196">
        <f>CK387*(1-(CK$802/100))</f>
        <v>210.27675276752768</v>
      </c>
      <c r="CL818" s="196"/>
      <c r="CM818" s="196">
        <f>CM387*(1-(CM$802/100))</f>
        <v>232.29728260869567</v>
      </c>
      <c r="CN818" s="196"/>
      <c r="CO818" s="196">
        <f>CO387*(1-(CO$802/100))</f>
        <v>226.34750231267347</v>
      </c>
      <c r="CP818" s="196"/>
      <c r="CQ818" s="196">
        <f>CQ387*(1-(CQ$802/100))</f>
        <v>260.2127717391304</v>
      </c>
      <c r="CR818" s="196"/>
      <c r="CS818" s="196">
        <f>CS387*(1-(CS$802/100))</f>
        <v>218.11904761904762</v>
      </c>
      <c r="CT818" s="196"/>
      <c r="CU818" s="196">
        <f>CU387*(1-(CU$802/100))</f>
        <v>279.04012455516011</v>
      </c>
      <c r="CV818" s="196"/>
      <c r="CW818" s="196">
        <f>CW387*(1-(CW$802/100))</f>
        <v>282.67539149888142</v>
      </c>
      <c r="CX818" s="196"/>
      <c r="CY818" s="196">
        <f>CY387*(1-(CY$802/100))</f>
        <v>274.08306679209784</v>
      </c>
      <c r="CZ818" s="196"/>
      <c r="DA818" s="196">
        <f>DA387*(1-(DA$802/100))</f>
        <v>256.03130755064456</v>
      </c>
      <c r="DB818" s="196"/>
      <c r="DC818" s="196">
        <f>DC387*(1-(DC$802/100))</f>
        <v>306.0141120864281</v>
      </c>
      <c r="DD818" s="196"/>
      <c r="DE818" s="196">
        <f>DE387*(1-(DE$802/100))</f>
        <v>265.0421536441234</v>
      </c>
      <c r="DF818" s="196"/>
      <c r="DG818" s="196">
        <f>DG387*(1-(DG$802/100))</f>
        <v>290.56272774596562</v>
      </c>
      <c r="DH818" s="196"/>
      <c r="DI818" s="196">
        <f>DI387*(1-(DI$802/100))</f>
        <v>273.10608016304349</v>
      </c>
      <c r="DJ818" s="196"/>
      <c r="DK818" s="196">
        <f>DK387*(1-(DK$802/100))</f>
        <v>314.82813494589436</v>
      </c>
      <c r="DL818" s="196"/>
      <c r="DM818" s="196">
        <f>DM387*(1-(DM$802/100))</f>
        <v>276.79112754158967</v>
      </c>
      <c r="DN818" s="196"/>
      <c r="DO818" s="196">
        <f>DO387*(1-(DO$802/100))</f>
        <v>303.39837398373982</v>
      </c>
      <c r="DP818" s="196"/>
      <c r="DQ818" s="196">
        <f>DQ387*(1-(DQ$802/100))</f>
        <v>286.28698884758364</v>
      </c>
      <c r="DR818" s="196"/>
      <c r="DS818" s="196">
        <f>DS387*(1-(DS$802/100))</f>
        <v>326.545558739255</v>
      </c>
      <c r="DT818" s="196"/>
      <c r="DU818" s="196">
        <f>DU387*(1-(DU$802/100))</f>
        <v>287.45247148288973</v>
      </c>
      <c r="DV818" s="196"/>
      <c r="DW818" s="196">
        <f>DW387*(1-(DW$802/100))</f>
        <v>301.96855775803141</v>
      </c>
      <c r="DX818" s="196"/>
      <c r="DY818" s="196">
        <f>DY387*(1-(DY$802/100))</f>
        <v>276.64720812182742</v>
      </c>
      <c r="DZ818" s="196"/>
      <c r="EA818" s="196">
        <f>EA387*(1-(EA$802/100))</f>
        <v>308.50566037735848</v>
      </c>
      <c r="EB818" s="196"/>
      <c r="EC818" s="196">
        <f>EC387*(1-(EC$802/100))</f>
        <v>269.01324503311258</v>
      </c>
      <c r="ED818" s="196"/>
      <c r="EE818" s="196">
        <f>EE387*(1-(EE$802/100))</f>
        <v>298.89666238767649</v>
      </c>
      <c r="EF818" s="196"/>
      <c r="EG818" s="196">
        <f>EG387*(1-(EG$802/100))</f>
        <v>295.09938313913642</v>
      </c>
      <c r="EH818" s="196"/>
      <c r="EI818" s="196">
        <f>EI387*(1-(EI$802/100))</f>
        <v>304.03373493975909</v>
      </c>
      <c r="EJ818" s="196"/>
      <c r="EK818" s="196">
        <f>EK387*(1-(EK$802/100))</f>
        <v>296.35504885993487</v>
      </c>
      <c r="EL818" s="196"/>
      <c r="EM818" s="196">
        <f>EM387*(1-(EM$802/100))</f>
        <v>276.61378923766819</v>
      </c>
      <c r="EN818" s="196"/>
      <c r="EO818" s="196">
        <f>EO387*(1-(EO$802/100))</f>
        <v>285.78816793893134</v>
      </c>
      <c r="EP818" s="196"/>
      <c r="EQ818" s="196">
        <f>EQ387*(1-(EQ$802/100))</f>
        <v>338.75347156756737</v>
      </c>
      <c r="ER818" s="196"/>
      <c r="ES818" s="196">
        <f>ES387*(1-(ES$802/100))</f>
        <v>314.56136849729745</v>
      </c>
      <c r="ET818" s="196"/>
      <c r="EU818" s="196">
        <f>EU387*(1-(EU$802/100))</f>
        <v>304.45077379459462</v>
      </c>
      <c r="EV818" s="196"/>
      <c r="EW818" s="196">
        <f>EW387*(1-(EW$802/100))</f>
        <v>310.71917956756761</v>
      </c>
      <c r="EX818" s="196"/>
      <c r="EY818" s="196"/>
      <c r="EZ818" s="346"/>
      <c r="FA818" s="196"/>
      <c r="FB818" s="196">
        <f>FB387*(1-(FB$802/100))</f>
        <v>144</v>
      </c>
      <c r="FC818" s="196"/>
      <c r="FD818" s="196">
        <f>FD387*(1-(FD$802/100))</f>
        <v>28.688006617038873</v>
      </c>
      <c r="FE818" s="196"/>
      <c r="FF818" s="196">
        <f>FF387*(1-(FF$802/100))</f>
        <v>40.263278688524586</v>
      </c>
      <c r="FG818" s="196"/>
      <c r="FH818" s="196">
        <f>FH387*(1-(FH$802/100))</f>
        <v>115.09625085207907</v>
      </c>
      <c r="FI818" s="196"/>
      <c r="FJ818" s="196">
        <f>FJ387*(1-(FJ$802/100))</f>
        <v>135.99723309111235</v>
      </c>
      <c r="FK818" s="196"/>
      <c r="FL818" s="196">
        <f>FL387*(1-(FL$802/100))</f>
        <v>222.74659798754192</v>
      </c>
      <c r="FM818" s="196"/>
      <c r="FN818" s="196">
        <f>FN387*(1-(FN$802/100))</f>
        <v>305.81727634914881</v>
      </c>
      <c r="FO818" s="196"/>
      <c r="FP818" s="196">
        <f>FP387*(1-(FP$802/100))</f>
        <v>462.1784173710289</v>
      </c>
      <c r="FQ818" s="196"/>
      <c r="FR818" s="196">
        <f>FR387*(1-(FR$802/100))</f>
        <v>541.17751729438896</v>
      </c>
      <c r="FS818" s="196"/>
      <c r="FT818" s="196">
        <f>FT387*(1-(FT$802/100))</f>
        <v>678.69922425952052</v>
      </c>
      <c r="FU818" s="196"/>
      <c r="FV818" s="196">
        <f>FV387*(1-(FV$802/100))</f>
        <v>-564.91781411359761</v>
      </c>
      <c r="FW818" s="196"/>
      <c r="FX818" s="196">
        <f>FX387*(1-(FX$802/100))</f>
        <v>396.73364406779655</v>
      </c>
      <c r="FY818" s="196"/>
      <c r="FZ818" s="196">
        <f>FZ387*(1-(FZ$802/100))</f>
        <v>641.69234025122887</v>
      </c>
      <c r="GA818" s="196"/>
      <c r="GB818" s="196">
        <f>GB387*(1-(GB$802/100))</f>
        <v>774.55841881411061</v>
      </c>
      <c r="GC818" s="196"/>
      <c r="GD818" s="196">
        <f>GD387*(1-(GD$802/100))</f>
        <v>917.55147588192949</v>
      </c>
      <c r="GE818" s="196"/>
      <c r="GF818" s="196">
        <f>GF387*(1-(GF$802/100))</f>
        <v>1183.2934187900578</v>
      </c>
      <c r="GG818" s="17"/>
      <c r="GH818" s="196">
        <f>GH387*(1-(GH$802/100))</f>
        <v>1155.0142566191446</v>
      </c>
      <c r="GI818" s="17"/>
      <c r="GJ818" s="196">
        <f>GJ387*(1-(GJ$802/100))</f>
        <v>1190.788637457872</v>
      </c>
      <c r="GK818" s="17"/>
      <c r="GL818" s="196">
        <f>GL387*(1-(GL$802/100))</f>
        <v>1170.7117984812003</v>
      </c>
      <c r="GM818" s="17"/>
      <c r="GN818" s="196">
        <f>GN387*(1-(GN$802/100))</f>
        <v>1162.2549647661754</v>
      </c>
      <c r="GO818" s="17"/>
      <c r="GP818" s="196">
        <f>GP387*(1-(GP$802/100))</f>
        <v>1268.4847934270272</v>
      </c>
      <c r="GQ818" s="17"/>
      <c r="GR818" s="196">
        <f>GR387*(1-(GR$802/100))</f>
        <v>1318.7393371641074</v>
      </c>
      <c r="GS818" s="17"/>
      <c r="GT818" s="196">
        <f>GT387*(1-(GT$802/100))</f>
        <v>1370.9507293706724</v>
      </c>
      <c r="GU818" s="17"/>
      <c r="GV818" s="196">
        <f>GV387*(1-(GV$802/100))</f>
        <v>1425.1913773246974</v>
      </c>
      <c r="GW818" s="17"/>
      <c r="GX818" s="196">
        <f>GX387*(1-(GX$802/100))</f>
        <v>1481.535939262599</v>
      </c>
      <c r="GY818" s="17"/>
      <c r="GZ818" s="196"/>
      <c r="HA818" s="196"/>
      <c r="HB818" s="196"/>
      <c r="HC818"/>
      <c r="HD818"/>
      <c r="HE818"/>
      <c r="HF818"/>
      <c r="HG818"/>
      <c r="HH818"/>
      <c r="HI818" s="2"/>
    </row>
    <row r="819" spans="2:217" s="3" customFormat="1" ht="12.75" hidden="1" customHeight="1" outlineLevel="1" x14ac:dyDescent="0.2">
      <c r="B819" s="10"/>
      <c r="C819" s="9"/>
      <c r="D819" s="11"/>
      <c r="E819" s="9"/>
      <c r="F819" s="11"/>
      <c r="G819" s="9"/>
      <c r="H819" s="11"/>
      <c r="I819" s="9"/>
      <c r="J819" s="11"/>
      <c r="K819" s="9"/>
      <c r="L819" s="11"/>
      <c r="M819" s="9"/>
      <c r="N819" s="11"/>
      <c r="O819" s="9"/>
      <c r="P819" s="11"/>
      <c r="Q819" s="9"/>
      <c r="R819" s="11"/>
      <c r="S819" s="9"/>
      <c r="T819" s="11"/>
      <c r="U819" s="9"/>
      <c r="V819" s="11"/>
      <c r="W819" s="9"/>
      <c r="X819" s="11"/>
      <c r="Y819" s="9"/>
      <c r="Z819" s="11"/>
      <c r="AA819" s="9"/>
      <c r="AB819" s="11"/>
      <c r="AC819" s="9"/>
      <c r="AD819" s="11"/>
      <c r="AE819" s="9"/>
      <c r="AF819" s="11"/>
      <c r="AG819" s="9"/>
      <c r="AH819" s="11"/>
      <c r="AI819" s="9"/>
      <c r="AJ819" s="11"/>
      <c r="AK819" s="9"/>
      <c r="AL819" s="11"/>
      <c r="AM819" s="9"/>
      <c r="AN819" s="11"/>
      <c r="AO819" s="9"/>
      <c r="AP819" s="11"/>
      <c r="AQ819" s="9"/>
      <c r="AR819" s="11"/>
      <c r="AS819" s="9"/>
      <c r="AT819" s="11"/>
      <c r="AU819" s="9"/>
      <c r="AV819" s="11"/>
      <c r="AW819" s="9"/>
      <c r="AX819" s="11"/>
      <c r="AY819" s="9"/>
      <c r="AZ819" s="11"/>
      <c r="BA819" s="9"/>
      <c r="BB819" s="11"/>
      <c r="BC819" s="9"/>
      <c r="BD819" s="11"/>
      <c r="BE819" s="9"/>
      <c r="BF819" s="11"/>
      <c r="BG819" s="196"/>
      <c r="BH819" s="196"/>
      <c r="BI819" s="196"/>
      <c r="BJ819" s="196"/>
      <c r="BK819" s="196"/>
      <c r="BL819" s="196"/>
      <c r="BM819" s="196"/>
      <c r="BN819" s="196"/>
      <c r="BO819" s="196"/>
      <c r="BP819" s="196"/>
      <c r="BQ819" s="196"/>
      <c r="BR819" s="196"/>
      <c r="BS819" s="196"/>
      <c r="BT819" s="196"/>
      <c r="BU819" s="196"/>
      <c r="BV819" s="196"/>
      <c r="BW819" s="196"/>
      <c r="BX819" s="196"/>
      <c r="BY819" s="196"/>
      <c r="BZ819" s="196"/>
      <c r="CA819" s="196"/>
      <c r="CB819" s="196"/>
      <c r="CC819" s="196"/>
      <c r="CD819" s="196"/>
      <c r="CE819" s="196"/>
      <c r="CF819" s="196"/>
      <c r="CG819" s="196"/>
      <c r="CH819" s="196"/>
      <c r="CI819" s="196"/>
      <c r="CJ819" s="196"/>
      <c r="CK819" s="196"/>
      <c r="CL819" s="196"/>
      <c r="CM819" s="196"/>
      <c r="CN819" s="196"/>
      <c r="CO819" s="196"/>
      <c r="CP819" s="196"/>
      <c r="CQ819" s="196"/>
      <c r="CR819" s="196"/>
      <c r="CS819" s="196"/>
      <c r="CT819" s="196"/>
      <c r="CU819" s="196"/>
      <c r="CV819" s="196"/>
      <c r="CW819" s="196"/>
      <c r="CX819" s="196"/>
      <c r="CY819" s="196"/>
      <c r="CZ819" s="196"/>
      <c r="DA819" s="196"/>
      <c r="DB819" s="196"/>
      <c r="DC819" s="196"/>
      <c r="DD819" s="196"/>
      <c r="DE819" s="196"/>
      <c r="DF819" s="196"/>
      <c r="DG819" s="196"/>
      <c r="DH819" s="196"/>
      <c r="DI819" s="196"/>
      <c r="DJ819" s="196"/>
      <c r="DK819" s="196"/>
      <c r="DL819" s="196"/>
      <c r="DM819" s="196"/>
      <c r="DN819" s="196"/>
      <c r="DO819" s="196"/>
      <c r="DP819" s="196"/>
      <c r="DQ819" s="196"/>
      <c r="DR819" s="196"/>
      <c r="DS819" s="196"/>
      <c r="DT819" s="196"/>
      <c r="DU819" s="196"/>
      <c r="DV819" s="196"/>
      <c r="DW819" s="196"/>
      <c r="DX819" s="196"/>
      <c r="DY819" s="196"/>
      <c r="DZ819" s="196"/>
      <c r="EA819" s="196"/>
      <c r="EB819" s="196"/>
      <c r="EC819" s="196"/>
      <c r="ED819" s="196"/>
      <c r="EE819" s="196"/>
      <c r="EF819" s="196"/>
      <c r="EG819" s="196"/>
      <c r="EH819" s="196"/>
      <c r="EI819" s="196"/>
      <c r="EJ819" s="196"/>
      <c r="EK819" s="196"/>
      <c r="EL819" s="196"/>
      <c r="EM819" s="196"/>
      <c r="EN819" s="196"/>
      <c r="EO819" s="196"/>
      <c r="EP819" s="196"/>
      <c r="EQ819" s="196"/>
      <c r="ER819" s="196"/>
      <c r="ES819" s="196"/>
      <c r="ET819" s="196"/>
      <c r="EU819" s="196"/>
      <c r="EV819" s="196"/>
      <c r="EW819" s="196"/>
      <c r="EX819" s="196"/>
      <c r="EY819" s="196"/>
      <c r="EZ819" s="346"/>
      <c r="FA819" s="196"/>
      <c r="FB819" s="196"/>
      <c r="FC819" s="196"/>
      <c r="FD819" s="196"/>
      <c r="FE819" s="196"/>
      <c r="FF819" s="196"/>
      <c r="FG819" s="196"/>
      <c r="FH819" s="196"/>
      <c r="FI819" s="196"/>
      <c r="FJ819" s="196"/>
      <c r="FK819" s="196"/>
      <c r="FL819" s="196"/>
      <c r="FM819" s="196"/>
      <c r="FN819" s="196"/>
      <c r="FO819" s="196"/>
      <c r="FP819" s="196"/>
      <c r="FQ819" s="196"/>
      <c r="FR819" s="196"/>
      <c r="FS819" s="196"/>
      <c r="FT819" s="196"/>
      <c r="FU819" s="196"/>
      <c r="FV819" s="196"/>
      <c r="FW819" s="196"/>
      <c r="FX819" s="196"/>
      <c r="FY819" s="196"/>
      <c r="FZ819" s="196"/>
      <c r="GA819" s="196"/>
      <c r="GB819" s="196"/>
      <c r="GC819" s="196"/>
      <c r="GD819" s="196"/>
      <c r="GE819" s="196"/>
      <c r="GF819" s="196"/>
      <c r="GG819" s="17"/>
      <c r="GH819" s="196"/>
      <c r="GI819" s="17"/>
      <c r="GJ819" s="196"/>
      <c r="GK819" s="17"/>
      <c r="GL819" s="196"/>
      <c r="GM819" s="17"/>
      <c r="GN819" s="196"/>
      <c r="GO819" s="17"/>
      <c r="GP819" s="196"/>
      <c r="GQ819" s="17"/>
      <c r="GR819" s="196"/>
      <c r="GS819" s="17"/>
      <c r="GT819" s="196"/>
      <c r="GU819" s="17"/>
      <c r="GV819" s="196"/>
      <c r="GW819" s="17"/>
      <c r="GX819" s="196"/>
      <c r="GY819" s="17"/>
      <c r="GZ819" s="196"/>
      <c r="HA819" s="196"/>
      <c r="HB819" s="196"/>
      <c r="HC819"/>
      <c r="HD819"/>
      <c r="HE819"/>
      <c r="HF819"/>
      <c r="HG819"/>
      <c r="HH819"/>
      <c r="HI819" s="2"/>
    </row>
    <row r="820" spans="2:217" s="3" customFormat="1" ht="12.75" hidden="1" customHeight="1" outlineLevel="1" x14ac:dyDescent="0.2">
      <c r="B820" s="10" t="s">
        <v>374</v>
      </c>
      <c r="C820" s="9"/>
      <c r="D820" s="11"/>
      <c r="E820" s="9"/>
      <c r="F820" s="11"/>
      <c r="G820" s="9"/>
      <c r="H820" s="11"/>
      <c r="I820" s="9"/>
      <c r="J820" s="11"/>
      <c r="K820" s="9"/>
      <c r="L820" s="11"/>
      <c r="M820" s="9"/>
      <c r="N820" s="11"/>
      <c r="O820" s="9"/>
      <c r="P820" s="11"/>
      <c r="Q820" s="9"/>
      <c r="R820" s="11"/>
      <c r="S820" s="9"/>
      <c r="T820" s="11"/>
      <c r="U820" s="9"/>
      <c r="V820" s="11"/>
      <c r="W820" s="9"/>
      <c r="X820" s="11"/>
      <c r="Y820" s="9"/>
      <c r="Z820" s="11"/>
      <c r="AA820" s="9"/>
      <c r="AB820" s="11"/>
      <c r="AC820" s="9"/>
      <c r="AD820" s="11"/>
      <c r="AE820" s="9"/>
      <c r="AF820" s="11"/>
      <c r="AG820" s="9"/>
      <c r="AH820" s="11"/>
      <c r="AI820" s="9"/>
      <c r="AJ820" s="11"/>
      <c r="AK820" s="9"/>
      <c r="AL820" s="11"/>
      <c r="AM820" s="9"/>
      <c r="AN820" s="11"/>
      <c r="AO820" s="9"/>
      <c r="AP820" s="11"/>
      <c r="AQ820" s="9"/>
      <c r="AR820" s="11"/>
      <c r="AS820" s="9"/>
      <c r="AT820" s="11"/>
      <c r="AU820" s="9"/>
      <c r="AV820" s="11"/>
      <c r="AW820" s="9"/>
      <c r="AX820" s="11"/>
      <c r="AY820" s="9"/>
      <c r="AZ820" s="11"/>
      <c r="BA820" s="9"/>
      <c r="BB820" s="11"/>
      <c r="BC820" s="9"/>
      <c r="BD820" s="11"/>
      <c r="BE820" s="9"/>
      <c r="BF820" s="11"/>
      <c r="BG820" s="196">
        <f>BG817+BG818+BG819</f>
        <v>294.13556851311955</v>
      </c>
      <c r="BH820" s="196"/>
      <c r="BI820" s="196">
        <f>BI817+BI818+BI819</f>
        <v>284.74576271186436</v>
      </c>
      <c r="BJ820" s="196"/>
      <c r="BK820" s="196">
        <f>BK817+BK818+BK819</f>
        <v>338.81389961389959</v>
      </c>
      <c r="BL820" s="196"/>
      <c r="BM820" s="196">
        <f>BM817+BM818+BM819</f>
        <v>312.3046875</v>
      </c>
      <c r="BN820" s="196"/>
      <c r="BO820" s="196">
        <f>BO817+BO818+BO819</f>
        <v>304.43483023001096</v>
      </c>
      <c r="BP820" s="196"/>
      <c r="BQ820" s="196">
        <f>BQ817+BQ818+BQ819</f>
        <v>338.32675044883302</v>
      </c>
      <c r="BR820" s="196"/>
      <c r="BS820" s="196">
        <f>BS817+BS818+BS819</f>
        <v>318.34437086092714</v>
      </c>
      <c r="BT820" s="196"/>
      <c r="BU820" s="196">
        <f>BU817+BU818+BU819</f>
        <v>306.03722504230115</v>
      </c>
      <c r="BV820" s="196"/>
      <c r="BW820" s="196">
        <f>BW817+BW818+BW819</f>
        <v>338.65714285714284</v>
      </c>
      <c r="BX820" s="196"/>
      <c r="BY820" s="196">
        <f>BY817+BY818+BY819</f>
        <v>338.64524421593836</v>
      </c>
      <c r="BZ820" s="196"/>
      <c r="CA820" s="196">
        <f>CA817+CA818+CA819</f>
        <v>378.46153846153845</v>
      </c>
      <c r="CB820" s="196"/>
      <c r="CC820" s="196">
        <f>CC817+CC818+CC819</f>
        <v>331.67581699346408</v>
      </c>
      <c r="CD820" s="196"/>
      <c r="CE820" s="196">
        <f>CE817+CE818+CE819</f>
        <v>336.25700934579436</v>
      </c>
      <c r="CF820" s="196"/>
      <c r="CG820" s="196">
        <f>CG817+CG818+CG819</f>
        <v>331.04489795918363</v>
      </c>
      <c r="CH820" s="196"/>
      <c r="CI820" s="196">
        <f>CI817+CI818+CI819</f>
        <v>362.41071428571433</v>
      </c>
      <c r="CJ820" s="196"/>
      <c r="CK820" s="196">
        <f>CK817+CK818+CK819</f>
        <v>342.24354243542439</v>
      </c>
      <c r="CL820" s="196"/>
      <c r="CM820" s="196">
        <f>CM817+CM818+CM819</f>
        <v>393.92076086956524</v>
      </c>
      <c r="CN820" s="196"/>
      <c r="CO820" s="196">
        <f>CO817+CO818+CO819</f>
        <v>424.12687326549496</v>
      </c>
      <c r="CP820" s="196"/>
      <c r="CQ820" s="196">
        <f>CQ817+CQ818+CQ819</f>
        <v>486.62146739130429</v>
      </c>
      <c r="CR820" s="196"/>
      <c r="CS820" s="196">
        <f>CS817+CS818+CS819</f>
        <v>433.32984126984127</v>
      </c>
      <c r="CT820" s="196"/>
      <c r="CU820" s="196">
        <f>CU817+CU818+CU819</f>
        <v>477.72838078291807</v>
      </c>
      <c r="CV820" s="196"/>
      <c r="CW820" s="196">
        <f>CW817+CW818+CW819</f>
        <v>541.16465324384785</v>
      </c>
      <c r="CX820" s="196"/>
      <c r="CY820" s="196">
        <f>CY817+CY818+CY819</f>
        <v>540.81806208842897</v>
      </c>
      <c r="CZ820" s="196"/>
      <c r="DA820" s="196">
        <f>DA817+DA818+DA819</f>
        <v>506.66436464088395</v>
      </c>
      <c r="DB820" s="196"/>
      <c r="DC820" s="196">
        <f>DC817+DC818+DC819</f>
        <v>590.2736664415936</v>
      </c>
      <c r="DD820" s="196"/>
      <c r="DE820" s="196">
        <f>DE817+DE818+DE819</f>
        <v>575.45837163493093</v>
      </c>
      <c r="DF820" s="196"/>
      <c r="DG820" s="196">
        <f>DG817+DG818+DG819</f>
        <v>627.75897969807386</v>
      </c>
      <c r="DH820" s="196"/>
      <c r="DI820" s="196">
        <f>DI817+DI818+DI819</f>
        <v>544.06171874999995</v>
      </c>
      <c r="DJ820" s="196"/>
      <c r="DK820" s="196">
        <f>DK817+DK818+DK819</f>
        <v>617.35264162953536</v>
      </c>
      <c r="DL820" s="196"/>
      <c r="DM820" s="196">
        <f>DM817+DM818+DM819</f>
        <v>640.53234750462116</v>
      </c>
      <c r="DN820" s="196"/>
      <c r="DO820" s="196">
        <f>DO817+DO818+DO819</f>
        <v>644.2439024390244</v>
      </c>
      <c r="DP820" s="196"/>
      <c r="DQ820" s="196">
        <f>DQ817+DQ818+DQ819</f>
        <v>574.82230483271371</v>
      </c>
      <c r="DR820" s="196"/>
      <c r="DS820" s="196">
        <f>DS817+DS818+DS819</f>
        <v>620.36217765042977</v>
      </c>
      <c r="DT820" s="196"/>
      <c r="DU820" s="196">
        <f>DU817+DU818+DU819</f>
        <v>632.83541553503528</v>
      </c>
      <c r="DV820" s="196"/>
      <c r="DW820" s="196">
        <f>DW817+DW818+DW819</f>
        <v>616.07655502392345</v>
      </c>
      <c r="DX820" s="196"/>
      <c r="DY820" s="196">
        <f>DY817+DY818+DY819</f>
        <v>556.30964467005083</v>
      </c>
      <c r="DZ820" s="196"/>
      <c r="EA820" s="196">
        <f>EA817+EA818+EA819</f>
        <v>586.16075471698105</v>
      </c>
      <c r="EB820" s="196"/>
      <c r="EC820" s="196">
        <f>EC817+EC818+EC819</f>
        <v>656.45506149479661</v>
      </c>
      <c r="ED820" s="196"/>
      <c r="EE820" s="196">
        <f>EE817+EE818+EE819</f>
        <v>596.26444159178436</v>
      </c>
      <c r="EF820" s="196"/>
      <c r="EG820" s="196">
        <f>EG817+EG818+EG819</f>
        <v>564.05071967100753</v>
      </c>
      <c r="EH820" s="196"/>
      <c r="EI820" s="196">
        <f>EI817+EI818+EI819</f>
        <v>595.39939759036156</v>
      </c>
      <c r="EJ820" s="196"/>
      <c r="EK820" s="196">
        <f>EK817+EK818+EK819</f>
        <v>650.33469055374599</v>
      </c>
      <c r="EL820" s="196"/>
      <c r="EM820" s="196">
        <f>EM817+EM818+EM819</f>
        <v>592.53195067264573</v>
      </c>
      <c r="EN820" s="196"/>
      <c r="EO820" s="196">
        <f>EO817+EO818+EO819</f>
        <v>579.78435114503827</v>
      </c>
      <c r="EP820" s="196"/>
      <c r="EQ820" s="196">
        <f t="shared" ref="EQ820" si="3543">EQ817+EQ818+EQ819</f>
        <v>665.10612319965082</v>
      </c>
      <c r="ER820" s="196"/>
      <c r="ES820" s="196">
        <f t="shared" ref="ES820" si="3544">ES817+ES818+ES819</f>
        <v>658.10843331380033</v>
      </c>
      <c r="ET820" s="196"/>
      <c r="EU820" s="196">
        <f t="shared" ref="EU820" si="3545">EU817+EU818+EU819</f>
        <v>634.85215183999139</v>
      </c>
      <c r="EV820" s="196"/>
      <c r="EW820" s="196">
        <f t="shared" ref="EW820" si="3546">EW817+EW818+EW819</f>
        <v>624.51802575675697</v>
      </c>
      <c r="EX820" s="196"/>
      <c r="EY820" s="196"/>
      <c r="EZ820" s="346"/>
      <c r="FA820" s="196"/>
      <c r="FB820" s="196">
        <f>FB817+FB818+FB819</f>
        <v>144</v>
      </c>
      <c r="FC820" s="196"/>
      <c r="FD820" s="196">
        <f>FD817+FD818+FD819</f>
        <v>28.688006617038873</v>
      </c>
      <c r="FE820" s="196"/>
      <c r="FF820" s="196">
        <f>FF817+FF818+FF819</f>
        <v>40.263278688524586</v>
      </c>
      <c r="FG820" s="196"/>
      <c r="FH820" s="196">
        <f>FH817+FH818+FH819</f>
        <v>228.21376959781867</v>
      </c>
      <c r="FI820" s="196"/>
      <c r="FJ820" s="196">
        <f>FJ817+FJ818+FJ819</f>
        <v>271.63563443264388</v>
      </c>
      <c r="FK820" s="196"/>
      <c r="FL820" s="196">
        <f>FL817+FL818+FL819</f>
        <v>411.75874460948728</v>
      </c>
      <c r="FM820" s="196"/>
      <c r="FN820" s="196">
        <f>FN817+FN818+FN819</f>
        <v>544.19195943498721</v>
      </c>
      <c r="FO820" s="196"/>
      <c r="FP820" s="196">
        <f>FP817+FP818+FP819</f>
        <v>759.25007286505399</v>
      </c>
      <c r="FQ820" s="196"/>
      <c r="FR820" s="196">
        <f>FR817+FR818+FR819</f>
        <v>824.90165257494232</v>
      </c>
      <c r="FS820" s="196"/>
      <c r="FT820" s="196">
        <f>FT817+FT818+FT819</f>
        <v>1013.2096262341327</v>
      </c>
      <c r="FU820" s="196"/>
      <c r="FV820" s="196">
        <f>FV817+FV818+FV819</f>
        <v>-647.56110154905377</v>
      </c>
      <c r="FW820" s="196"/>
      <c r="FX820" s="196">
        <f>FX817+FX818+FX819</f>
        <v>623.1162542372881</v>
      </c>
      <c r="FY820" s="196"/>
      <c r="FZ820" s="196">
        <f>FZ817+FZ818+FZ819</f>
        <v>1032.6276215182961</v>
      </c>
      <c r="GA820" s="196"/>
      <c r="GB820" s="196">
        <f>GB817+GB818+GB819</f>
        <v>1436.548911683763</v>
      </c>
      <c r="GC820" s="196"/>
      <c r="GD820" s="196">
        <f>GD817+GD818+GD819</f>
        <v>1735.2462203023761</v>
      </c>
      <c r="GE820" s="196"/>
      <c r="GF820" s="196">
        <f>GF817+GF818+GF819</f>
        <v>2437.9148038142876</v>
      </c>
      <c r="GG820" s="17"/>
      <c r="GH820" s="196">
        <f>GH817+GH818+GH819</f>
        <v>2422.2009504412763</v>
      </c>
      <c r="GI820" s="17"/>
      <c r="GJ820" s="196">
        <f>GJ817+GJ818+GJ819</f>
        <v>2422.6132242015728</v>
      </c>
      <c r="GK820" s="17"/>
      <c r="GL820" s="196">
        <f>GL817+GL818+GL819</f>
        <v>2396.9544360066679</v>
      </c>
      <c r="GM820" s="17"/>
      <c r="GN820" s="196">
        <f>GN817+GN818+GN819</f>
        <v>2416.8942985265853</v>
      </c>
      <c r="GO820" s="17"/>
      <c r="GP820" s="196">
        <f>GP817+GP818+GP819</f>
        <v>2582.584734110199</v>
      </c>
      <c r="GQ820" s="17"/>
      <c r="GR820" s="196">
        <f>GR817+GR818+GR819</f>
        <v>2643.6144325162713</v>
      </c>
      <c r="GS820" s="17"/>
      <c r="GT820" s="196">
        <f>GT817+GT818+GT819</f>
        <v>2697.8867158763587</v>
      </c>
      <c r="GU820" s="17"/>
      <c r="GV820" s="196">
        <f>GV817+GV818+GV819</f>
        <v>2754.0966732974407</v>
      </c>
      <c r="GW820" s="17"/>
      <c r="GX820" s="196">
        <f>GX817+GX818+GX819</f>
        <v>2812.3169252930893</v>
      </c>
      <c r="GY820" s="17"/>
      <c r="GZ820" s="196"/>
      <c r="HA820" s="196"/>
      <c r="HB820" s="196"/>
      <c r="HC820"/>
      <c r="HD820"/>
      <c r="HE820"/>
      <c r="HF820"/>
      <c r="HG820"/>
      <c r="HH820"/>
      <c r="HI820" s="2"/>
    </row>
    <row r="821" spans="2:217" s="3" customFormat="1" ht="12.75" hidden="1" customHeight="1" outlineLevel="1" x14ac:dyDescent="0.2">
      <c r="B821" s="10"/>
      <c r="C821" s="9"/>
      <c r="D821" s="11"/>
      <c r="E821" s="9"/>
      <c r="F821" s="11"/>
      <c r="G821" s="9"/>
      <c r="H821" s="11"/>
      <c r="I821" s="9"/>
      <c r="J821" s="11"/>
      <c r="K821" s="9"/>
      <c r="L821" s="11"/>
      <c r="M821" s="9"/>
      <c r="N821" s="11"/>
      <c r="O821" s="9"/>
      <c r="P821" s="11"/>
      <c r="Q821" s="9"/>
      <c r="R821" s="11"/>
      <c r="S821" s="9"/>
      <c r="T821" s="11"/>
      <c r="U821" s="9"/>
      <c r="V821" s="11"/>
      <c r="W821" s="9"/>
      <c r="X821" s="11"/>
      <c r="Y821" s="9"/>
      <c r="Z821" s="11"/>
      <c r="AA821" s="9"/>
      <c r="AB821" s="11"/>
      <c r="AC821" s="9"/>
      <c r="AD821" s="11"/>
      <c r="AE821" s="9"/>
      <c r="AF821" s="11"/>
      <c r="AG821" s="9"/>
      <c r="AH821" s="11"/>
      <c r="AI821" s="9"/>
      <c r="AJ821" s="11"/>
      <c r="AK821" s="9"/>
      <c r="AL821" s="11"/>
      <c r="AM821" s="9"/>
      <c r="AN821" s="11"/>
      <c r="AO821" s="9"/>
      <c r="AP821" s="11"/>
      <c r="AQ821" s="9"/>
      <c r="AR821" s="11"/>
      <c r="AS821" s="9"/>
      <c r="AT821" s="11"/>
      <c r="AU821" s="9"/>
      <c r="AV821" s="11"/>
      <c r="AW821" s="9"/>
      <c r="AX821" s="11"/>
      <c r="AY821" s="9"/>
      <c r="AZ821" s="11"/>
      <c r="BA821" s="9"/>
      <c r="BB821" s="11"/>
      <c r="BC821" s="9"/>
      <c r="BD821" s="11"/>
      <c r="BE821" s="9"/>
      <c r="BF821" s="11"/>
      <c r="BG821" s="196"/>
      <c r="BH821" s="196"/>
      <c r="BI821" s="196"/>
      <c r="BJ821" s="196"/>
      <c r="BK821" s="196"/>
      <c r="BL821" s="196"/>
      <c r="BM821" s="196"/>
      <c r="BN821" s="196"/>
      <c r="BO821" s="196"/>
      <c r="BP821" s="196"/>
      <c r="BQ821" s="196"/>
      <c r="BR821" s="196"/>
      <c r="BS821" s="196"/>
      <c r="BT821" s="196"/>
      <c r="BU821" s="196"/>
      <c r="BV821" s="196"/>
      <c r="BW821" s="196"/>
      <c r="BX821" s="196"/>
      <c r="BY821" s="196"/>
      <c r="BZ821" s="196"/>
      <c r="CA821" s="196"/>
      <c r="CB821" s="196"/>
      <c r="CC821" s="196"/>
      <c r="CD821" s="196"/>
      <c r="CE821" s="196"/>
      <c r="CF821" s="196"/>
      <c r="CG821" s="196"/>
      <c r="CH821" s="196"/>
      <c r="CI821" s="196"/>
      <c r="CJ821" s="196"/>
      <c r="CK821" s="196"/>
      <c r="CL821" s="196"/>
      <c r="CM821" s="196"/>
      <c r="CN821" s="196"/>
      <c r="CO821" s="196"/>
      <c r="CP821" s="196"/>
      <c r="CQ821" s="196"/>
      <c r="CR821" s="196"/>
      <c r="CS821" s="196"/>
      <c r="CT821" s="196"/>
      <c r="CU821" s="196"/>
      <c r="CV821" s="196"/>
      <c r="CW821" s="196"/>
      <c r="CX821" s="196"/>
      <c r="CY821" s="196"/>
      <c r="CZ821" s="196"/>
      <c r="DA821" s="196"/>
      <c r="DB821" s="196"/>
      <c r="DC821" s="196"/>
      <c r="DD821" s="196"/>
      <c r="DE821" s="196"/>
      <c r="DF821" s="196"/>
      <c r="DG821" s="196"/>
      <c r="DH821" s="196"/>
      <c r="DI821" s="196"/>
      <c r="DJ821" s="196"/>
      <c r="DK821" s="196"/>
      <c r="DL821" s="196"/>
      <c r="DM821" s="196"/>
      <c r="DN821" s="196"/>
      <c r="DO821" s="196"/>
      <c r="DP821" s="196"/>
      <c r="DQ821" s="196"/>
      <c r="DR821" s="196"/>
      <c r="DS821" s="196"/>
      <c r="DT821" s="196"/>
      <c r="DU821" s="196"/>
      <c r="DV821" s="196"/>
      <c r="DW821" s="196"/>
      <c r="DX821" s="196"/>
      <c r="DY821" s="196"/>
      <c r="DZ821" s="196"/>
      <c r="EA821" s="196"/>
      <c r="EB821" s="196"/>
      <c r="EC821" s="196"/>
      <c r="ED821" s="196"/>
      <c r="EE821" s="196"/>
      <c r="EF821" s="196"/>
      <c r="EG821" s="196"/>
      <c r="EH821" s="196"/>
      <c r="EI821" s="196"/>
      <c r="EJ821" s="196"/>
      <c r="EK821" s="196"/>
      <c r="EL821" s="196"/>
      <c r="EM821" s="196"/>
      <c r="EN821" s="196"/>
      <c r="EO821" s="196"/>
      <c r="EP821" s="196"/>
      <c r="EQ821" s="196"/>
      <c r="ER821" s="196"/>
      <c r="ES821" s="196"/>
      <c r="ET821" s="196"/>
      <c r="EU821" s="196"/>
      <c r="EV821" s="196"/>
      <c r="EW821" s="196"/>
      <c r="EX821" s="196"/>
      <c r="EY821" s="196"/>
      <c r="EZ821" s="346"/>
      <c r="FA821" s="196"/>
      <c r="FB821" s="196"/>
      <c r="FC821" s="196"/>
      <c r="FD821" s="196"/>
      <c r="FE821" s="196"/>
      <c r="FF821" s="196"/>
      <c r="FG821" s="196"/>
      <c r="FH821" s="196"/>
      <c r="FI821" s="196"/>
      <c r="FJ821" s="196"/>
      <c r="FK821" s="196"/>
      <c r="FL821" s="196"/>
      <c r="FM821" s="196"/>
      <c r="FN821" s="196"/>
      <c r="FO821" s="196"/>
      <c r="FP821" s="196"/>
      <c r="FQ821" s="196"/>
      <c r="FR821" s="196"/>
      <c r="FS821" s="196"/>
      <c r="FT821" s="196"/>
      <c r="FU821" s="196"/>
      <c r="FV821" s="196"/>
      <c r="FW821" s="196"/>
      <c r="FX821" s="196"/>
      <c r="FY821" s="196"/>
      <c r="FZ821" s="196"/>
      <c r="GA821" s="196"/>
      <c r="GB821" s="196"/>
      <c r="GC821" s="196"/>
      <c r="GD821" s="196"/>
      <c r="GE821" s="196"/>
      <c r="GF821" s="196"/>
      <c r="GG821" s="17"/>
      <c r="GH821" s="196"/>
      <c r="GI821" s="17"/>
      <c r="GJ821" s="196"/>
      <c r="GK821" s="17"/>
      <c r="GL821" s="196"/>
      <c r="GM821" s="17"/>
      <c r="GN821" s="196"/>
      <c r="GO821" s="17"/>
      <c r="GP821" s="196"/>
      <c r="GQ821" s="17"/>
      <c r="GR821" s="196"/>
      <c r="GS821" s="17"/>
      <c r="GT821" s="196"/>
      <c r="GU821" s="17"/>
      <c r="GV821" s="196"/>
      <c r="GW821" s="17"/>
      <c r="GX821" s="196"/>
      <c r="GY821" s="17"/>
      <c r="GZ821" s="196"/>
      <c r="HA821" s="196"/>
      <c r="HB821" s="196"/>
      <c r="HC821"/>
      <c r="HD821"/>
      <c r="HE821"/>
      <c r="HF821"/>
      <c r="HG821"/>
      <c r="HH821"/>
      <c r="HI821" s="2"/>
    </row>
    <row r="822" spans="2:217" s="3" customFormat="1" ht="12.75" hidden="1" customHeight="1" outlineLevel="1" x14ac:dyDescent="0.2">
      <c r="B822" s="10" t="s">
        <v>79</v>
      </c>
      <c r="C822" s="9"/>
      <c r="D822" s="11"/>
      <c r="E822" s="9"/>
      <c r="F822" s="11"/>
      <c r="G822" s="9"/>
      <c r="H822" s="11"/>
      <c r="I822" s="9"/>
      <c r="J822" s="11"/>
      <c r="K822" s="9"/>
      <c r="L822" s="11"/>
      <c r="M822" s="9"/>
      <c r="N822" s="11"/>
      <c r="O822" s="9"/>
      <c r="P822" s="11"/>
      <c r="Q822" s="9"/>
      <c r="R822" s="11"/>
      <c r="S822" s="9"/>
      <c r="T822" s="11"/>
      <c r="U822" s="9"/>
      <c r="V822" s="11"/>
      <c r="W822" s="9"/>
      <c r="X822" s="11"/>
      <c r="Y822" s="9"/>
      <c r="Z822" s="11"/>
      <c r="AA822" s="9"/>
      <c r="AB822" s="11"/>
      <c r="AC822" s="9"/>
      <c r="AD822" s="11"/>
      <c r="AE822" s="9"/>
      <c r="AF822" s="11"/>
      <c r="AG822" s="9"/>
      <c r="AH822" s="11"/>
      <c r="AI822" s="9"/>
      <c r="AJ822" s="11"/>
      <c r="AK822" s="9"/>
      <c r="AL822" s="11"/>
      <c r="AM822" s="9"/>
      <c r="AN822" s="11"/>
      <c r="AO822" s="9"/>
      <c r="AP822" s="11"/>
      <c r="AQ822" s="9"/>
      <c r="AR822" s="11"/>
      <c r="AS822" s="9"/>
      <c r="AT822" s="11"/>
      <c r="AU822" s="9"/>
      <c r="AV822" s="11"/>
      <c r="AW822" s="9"/>
      <c r="AX822" s="11"/>
      <c r="AY822" s="9"/>
      <c r="AZ822" s="11"/>
      <c r="BA822" s="9"/>
      <c r="BB822" s="11"/>
      <c r="BC822" s="9"/>
      <c r="BD822" s="11"/>
      <c r="BE822" s="9"/>
      <c r="BF822" s="11"/>
      <c r="BG822" s="196">
        <f>BG490*(1-(BG$802/100))</f>
        <v>-12.422230320699713</v>
      </c>
      <c r="BH822" s="196"/>
      <c r="BI822" s="196">
        <f>BI490*(1-(BI$802/100))</f>
        <v>-19.268510258697589</v>
      </c>
      <c r="BJ822" s="196"/>
      <c r="BK822" s="196">
        <f>BK490*(1-(BK$802/100))</f>
        <v>-16.976061776061776</v>
      </c>
      <c r="BL822" s="196"/>
      <c r="BM822" s="196">
        <f>BM490*(1-(BM$802/100))</f>
        <v>-35.0390625</v>
      </c>
      <c r="BN822" s="196"/>
      <c r="BO822" s="196">
        <f>BO490*(1-(BO$802/100))</f>
        <v>-37.593647316538885</v>
      </c>
      <c r="BP822" s="196"/>
      <c r="BQ822" s="196">
        <f>BQ490*(1-(BQ$802/100))</f>
        <v>-14.937163375224415</v>
      </c>
      <c r="BR822" s="196"/>
      <c r="BS822" s="196">
        <f>BS490*(1-(BS$802/100))</f>
        <v>-27.682119205298012</v>
      </c>
      <c r="BT822" s="196"/>
      <c r="BU822" s="196">
        <f>BU490*(1-(BU$802/100))</f>
        <v>-165.64636209813875</v>
      </c>
      <c r="BV822" s="196"/>
      <c r="BW822" s="196">
        <f>BW490*(1-(BW$802/100))</f>
        <v>-164.31428571428572</v>
      </c>
      <c r="BX822" s="196"/>
      <c r="BY822" s="196">
        <f>BY490*(1-(BY$802/100))</f>
        <v>-129.85089974293061</v>
      </c>
      <c r="BZ822" s="196"/>
      <c r="CA822" s="196">
        <f>CA490*(1-(CA$802/100))</f>
        <v>-160.76923076923077</v>
      </c>
      <c r="CB822" s="196"/>
      <c r="CC822" s="196">
        <f>CC490*(1-(CC$802/100))</f>
        <v>-163.66535947712418</v>
      </c>
      <c r="CD822" s="196"/>
      <c r="CE822" s="196">
        <f>CE490*(1-(CE$802/100))</f>
        <v>-156.27803738317758</v>
      </c>
      <c r="CF822" s="196"/>
      <c r="CG822" s="196">
        <f>CG490*(1-(CG$802/100))</f>
        <v>-147.73265306122448</v>
      </c>
      <c r="CH822" s="196"/>
      <c r="CI822" s="196">
        <f>CI490*(1-(CI$802/100))</f>
        <v>-218.17857142857144</v>
      </c>
      <c r="CJ822" s="196"/>
      <c r="CK822" s="196">
        <f>CK490*(1-(CK$802/100))</f>
        <v>-180.54797047970482</v>
      </c>
      <c r="CL822" s="196"/>
      <c r="CM822" s="196">
        <f>CM490*(1-(CM$802/100))</f>
        <v>-196.19456521739133</v>
      </c>
      <c r="CN822" s="196"/>
      <c r="CO822" s="196">
        <f>CO490*(1-(CO$802/100))</f>
        <v>-173.60633672525441</v>
      </c>
      <c r="CP822" s="196"/>
      <c r="CQ822" s="196">
        <f>CQ490*(1-(CQ$802/100))</f>
        <v>-180.8125</v>
      </c>
      <c r="CR822" s="196"/>
      <c r="CS822" s="196">
        <f>CS490*(1-(CS$802/100))</f>
        <v>-207.21309523809524</v>
      </c>
      <c r="CT822" s="196"/>
      <c r="CU822" s="196">
        <f>CU490*(1-(CU$802/100))</f>
        <v>-238.13371886120996</v>
      </c>
      <c r="CV822" s="196"/>
      <c r="CW822" s="196">
        <f>CW490*(1-(CW$802/100))</f>
        <v>-170.05872483221478</v>
      </c>
      <c r="CX822" s="196"/>
      <c r="CY822" s="196">
        <f>CY490*(1-(CY$802/100))</f>
        <v>-235.13828786453433</v>
      </c>
      <c r="CZ822" s="196"/>
      <c r="DA822" s="196">
        <f>DA490*(1-(DA$802/100))</f>
        <v>-233.66712707182322</v>
      </c>
      <c r="DB822" s="196"/>
      <c r="DC822" s="196">
        <f>DC490*(1-(DC$802/100))</f>
        <v>-219.72103308575288</v>
      </c>
      <c r="DD822" s="196"/>
      <c r="DE822" s="196">
        <f>DE490*(1-(DE$802/100))</f>
        <v>-238.39389363099144</v>
      </c>
      <c r="DF822" s="196"/>
      <c r="DG822" s="196">
        <f>DG490*(1-(DG$802/100))</f>
        <v>-223.84091618948463</v>
      </c>
      <c r="DH822" s="196"/>
      <c r="DI822" s="196">
        <f>DI490*(1-(DI$802/100))</f>
        <v>-284.57510190217391</v>
      </c>
      <c r="DJ822" s="196"/>
      <c r="DK822" s="196">
        <f>DK490*(1-(DK$802/100))</f>
        <v>-247.52005092297901</v>
      </c>
      <c r="DL822" s="196"/>
      <c r="DM822" s="196">
        <f>DM490*(1-(DM$802/100))</f>
        <v>-247.08317929759707</v>
      </c>
      <c r="DN822" s="196"/>
      <c r="DO822" s="196">
        <f>DO490*(1-(DO$802/100))</f>
        <v>-244.55284552845526</v>
      </c>
      <c r="DP822" s="196"/>
      <c r="DQ822" s="196">
        <f>DQ490*(1-(DQ$802/100))</f>
        <v>-244.31821561338288</v>
      </c>
      <c r="DR822" s="196"/>
      <c r="DS822" s="196">
        <f>DS490*(1-(DS$802/100))</f>
        <v>-188.19140401146132</v>
      </c>
      <c r="DT822" s="196"/>
      <c r="DU822" s="196">
        <f>DU490*(1-(DU$802/100))</f>
        <v>-223.65562194459531</v>
      </c>
      <c r="DV822" s="196"/>
      <c r="DW822" s="196">
        <f>DW490*(1-(DW$802/100))</f>
        <v>-233.68421052631578</v>
      </c>
      <c r="DX822" s="196"/>
      <c r="DY822" s="196">
        <f>DY490*(1-(DY$802/100))</f>
        <v>-285.31598984771574</v>
      </c>
      <c r="DZ822" s="196"/>
      <c r="EA822" s="196">
        <f>EA490*(1-(EA$802/100))</f>
        <v>-234.76528301886793</v>
      </c>
      <c r="EB822" s="196"/>
      <c r="EC822" s="196">
        <f>EC490*(1-(EC$802/100))</f>
        <v>-294.89498580889313</v>
      </c>
      <c r="ED822" s="196"/>
      <c r="EE822" s="196">
        <f>EE490*(1-(EE$802/100))</f>
        <v>-315.71437740693199</v>
      </c>
      <c r="EF822" s="196"/>
      <c r="EG822" s="196">
        <f>EG490*(1-(EG$802/100))</f>
        <v>-329.46538725154221</v>
      </c>
      <c r="EH822" s="196"/>
      <c r="EI822" s="196">
        <f>EI490*(1-(EI$802/100))</f>
        <v>-262.30361445783137</v>
      </c>
      <c r="EJ822" s="196"/>
      <c r="EK822" s="196">
        <f>EK490*(1-(EK$802/100))</f>
        <v>-230.49837133550488</v>
      </c>
      <c r="EL822" s="196"/>
      <c r="EM822" s="196">
        <f>EM490*(1-(EM$802/100))</f>
        <v>-229.89349775784754</v>
      </c>
      <c r="EN822" s="196"/>
      <c r="EO822" s="196">
        <f>EO490*(1-(EO$802/100))</f>
        <v>-336.5286259541985</v>
      </c>
      <c r="EP822" s="196"/>
      <c r="EQ822" s="196">
        <f>EQ490*(1-(EQ$802/100))</f>
        <v>-280.8</v>
      </c>
      <c r="ER822" s="196"/>
      <c r="ES822" s="196">
        <f>ES490*(1-(ES$802/100))</f>
        <v>-265.2</v>
      </c>
      <c r="ET822" s="196"/>
      <c r="EU822" s="196">
        <f>EU490*(1-(EU$802/100))</f>
        <v>-249.60000000000002</v>
      </c>
      <c r="EV822" s="196"/>
      <c r="EW822" s="196">
        <f>EW490*(1-(EW$802/100))</f>
        <v>-335.40000000000003</v>
      </c>
      <c r="EX822" s="196"/>
      <c r="EY822" s="196"/>
      <c r="EZ822" s="346"/>
      <c r="FA822" s="196"/>
      <c r="FB822" s="196">
        <f>FB490*(1-(FB$802/100))</f>
        <v>0</v>
      </c>
      <c r="FC822" s="196"/>
      <c r="FD822" s="196">
        <f>FD490*(1-(FD$802/100))</f>
        <v>24.345326716294455</v>
      </c>
      <c r="FE822" s="196"/>
      <c r="FF822" s="196">
        <f>FF490*(1-(FF$802/100))</f>
        <v>5.1689344262295078</v>
      </c>
      <c r="FG822" s="196"/>
      <c r="FH822" s="196">
        <f>FH490*(1-(FH$802/100))</f>
        <v>20.446898432174507</v>
      </c>
      <c r="FI822" s="196"/>
      <c r="FJ822" s="196">
        <f>FJ490*(1-(FJ$802/100))</f>
        <v>57.413079932923416</v>
      </c>
      <c r="FK822" s="196"/>
      <c r="FL822" s="196">
        <f>FL490*(1-(FL$802/100))</f>
        <v>45.144633445136556</v>
      </c>
      <c r="FM822" s="196"/>
      <c r="FN822" s="196">
        <f>FN490*(1-(FN$802/100))</f>
        <v>112.791923216226</v>
      </c>
      <c r="FO822" s="196"/>
      <c r="FP822" s="196">
        <f>FP490*(1-(FP$802/100))</f>
        <v>103.64366074030895</v>
      </c>
      <c r="FQ822" s="196"/>
      <c r="FR822" s="196">
        <f>FR490*(1-(FR$802/100))</f>
        <v>16.34624647706892</v>
      </c>
      <c r="FS822" s="196"/>
      <c r="FT822" s="196">
        <f>FT490*(1-(FT$802/100))</f>
        <v>-69.20070521861777</v>
      </c>
      <c r="FU822" s="196"/>
      <c r="FV822" s="196">
        <f>FV490*(1-(FV$802/100))</f>
        <v>103.02108433734945</v>
      </c>
      <c r="FW822" s="196"/>
      <c r="FX822" s="196">
        <f>FX490*(1-(FX$802/100))</f>
        <v>-296.32806779661013</v>
      </c>
      <c r="FY822" s="196"/>
      <c r="FZ822" s="196">
        <f>FZ490*(1-(FZ$802/100))</f>
        <v>-529.99654560349541</v>
      </c>
      <c r="GA822" s="196"/>
      <c r="GB822" s="196">
        <f>GB490*(1-(GB$802/100))</f>
        <v>-628.38628971728804</v>
      </c>
      <c r="GC822" s="196"/>
      <c r="GD822" s="196">
        <f>GD490*(1-(GD$802/100))</f>
        <v>-737.30693544516441</v>
      </c>
      <c r="GE822" s="196"/>
      <c r="GF822" s="196">
        <f>GF490*(1-(GF$802/100))</f>
        <v>-1008.3521963420353</v>
      </c>
      <c r="GG822" s="17"/>
      <c r="GH822" s="196">
        <f>GH490*(1-(GH$802/100))</f>
        <v>-961.78818737270876</v>
      </c>
      <c r="GI822" s="17"/>
      <c r="GJ822" s="196">
        <f>GJ490*(1-(GJ$802/100))</f>
        <v>-928.53161611298356</v>
      </c>
      <c r="GK822" s="17"/>
      <c r="GL822" s="196">
        <f>GL490*(1-(GL$802/100))</f>
        <v>-1172.9938877569921</v>
      </c>
      <c r="GM822" s="17"/>
      <c r="GN822" s="196">
        <f>GN490*(1-(GN$802/100))</f>
        <v>-1058.6950672645739</v>
      </c>
      <c r="GO822" s="17"/>
      <c r="GP822" s="196">
        <f>GP490*(1-(GP$802/100))</f>
        <v>-1131</v>
      </c>
      <c r="GQ822" s="17"/>
      <c r="GR822" s="196">
        <f>GR490*(1-(GR$802/100))</f>
        <v>-1170.5849999999998</v>
      </c>
      <c r="GS822" s="17"/>
      <c r="GT822" s="196">
        <f>GT490*(1-(GT$802/100))</f>
        <v>-1205.70255</v>
      </c>
      <c r="GU822" s="17"/>
      <c r="GV822" s="196">
        <f>GV490*(1-(GV$802/100))</f>
        <v>-1241.8736264999998</v>
      </c>
      <c r="GW822" s="17"/>
      <c r="GX822" s="196">
        <f>GX490*(1-(GX$802/100))</f>
        <v>-1280.3717089214997</v>
      </c>
      <c r="GY822" s="17"/>
      <c r="GZ822" s="196"/>
      <c r="HA822" s="196"/>
      <c r="HB822" s="196"/>
      <c r="HC822"/>
      <c r="HD822"/>
      <c r="HE822"/>
      <c r="HF822"/>
      <c r="HG822"/>
      <c r="HH822"/>
      <c r="HI822" s="2"/>
    </row>
    <row r="823" spans="2:217" s="3" customFormat="1" ht="12.75" hidden="1" customHeight="1" outlineLevel="1" x14ac:dyDescent="0.2">
      <c r="B823" s="10"/>
      <c r="C823" s="9"/>
      <c r="D823" s="11"/>
      <c r="E823" s="9"/>
      <c r="F823" s="11"/>
      <c r="G823" s="9"/>
      <c r="H823" s="11"/>
      <c r="I823" s="9"/>
      <c r="J823" s="11"/>
      <c r="K823" s="9"/>
      <c r="L823" s="11"/>
      <c r="M823" s="9"/>
      <c r="N823" s="11"/>
      <c r="O823" s="9"/>
      <c r="P823" s="11"/>
      <c r="Q823" s="9"/>
      <c r="R823" s="11"/>
      <c r="S823" s="9"/>
      <c r="T823" s="11"/>
      <c r="U823" s="9"/>
      <c r="V823" s="11"/>
      <c r="W823" s="9"/>
      <c r="X823" s="11"/>
      <c r="Y823" s="9"/>
      <c r="Z823" s="11"/>
      <c r="AA823" s="9"/>
      <c r="AB823" s="11"/>
      <c r="AC823" s="9"/>
      <c r="AD823" s="11"/>
      <c r="AE823" s="9"/>
      <c r="AF823" s="11"/>
      <c r="AG823" s="9"/>
      <c r="AH823" s="11"/>
      <c r="AI823" s="9"/>
      <c r="AJ823" s="11"/>
      <c r="AK823" s="9"/>
      <c r="AL823" s="11"/>
      <c r="AM823" s="9"/>
      <c r="AN823" s="11"/>
      <c r="AO823" s="9"/>
      <c r="AP823" s="11"/>
      <c r="AQ823" s="9"/>
      <c r="AR823" s="11"/>
      <c r="AS823" s="9"/>
      <c r="AT823" s="11"/>
      <c r="AU823" s="9"/>
      <c r="AV823" s="11"/>
      <c r="AW823" s="9"/>
      <c r="AX823" s="11"/>
      <c r="AY823" s="9"/>
      <c r="AZ823" s="11"/>
      <c r="BA823" s="9"/>
      <c r="BB823" s="11"/>
      <c r="BC823" s="9"/>
      <c r="BD823" s="11"/>
      <c r="BE823" s="9"/>
      <c r="BF823" s="11"/>
      <c r="BG823" s="196"/>
      <c r="BH823" s="196"/>
      <c r="BI823" s="196"/>
      <c r="BJ823" s="196"/>
      <c r="BK823" s="196"/>
      <c r="BL823" s="196"/>
      <c r="BM823" s="196"/>
      <c r="BN823" s="196"/>
      <c r="BO823" s="196"/>
      <c r="BP823" s="196"/>
      <c r="BQ823" s="196"/>
      <c r="BR823" s="196"/>
      <c r="BS823" s="196"/>
      <c r="BT823" s="196"/>
      <c r="BU823" s="196"/>
      <c r="BV823" s="196"/>
      <c r="BW823" s="196"/>
      <c r="BX823" s="196"/>
      <c r="BY823" s="196"/>
      <c r="BZ823" s="196"/>
      <c r="CA823" s="196"/>
      <c r="CB823" s="196"/>
      <c r="CC823" s="196"/>
      <c r="CD823" s="196"/>
      <c r="CE823" s="196"/>
      <c r="CF823" s="196"/>
      <c r="CG823" s="196"/>
      <c r="CH823" s="196"/>
      <c r="CI823" s="196"/>
      <c r="CJ823" s="196"/>
      <c r="CK823" s="196"/>
      <c r="CL823" s="196"/>
      <c r="CM823" s="196"/>
      <c r="CN823" s="196"/>
      <c r="CO823" s="196"/>
      <c r="CP823" s="196"/>
      <c r="CQ823" s="196"/>
      <c r="CR823" s="196"/>
      <c r="CS823" s="196"/>
      <c r="CT823" s="196"/>
      <c r="CU823" s="196"/>
      <c r="CV823" s="196"/>
      <c r="CW823" s="196"/>
      <c r="CX823" s="196"/>
      <c r="CY823" s="196"/>
      <c r="CZ823" s="196"/>
      <c r="DA823" s="196"/>
      <c r="DB823" s="196"/>
      <c r="DC823" s="196"/>
      <c r="DD823" s="196"/>
      <c r="DE823" s="196"/>
      <c r="DF823" s="196"/>
      <c r="DG823" s="196"/>
      <c r="DH823" s="196"/>
      <c r="DI823" s="196"/>
      <c r="DJ823" s="196"/>
      <c r="DK823" s="196"/>
      <c r="DL823" s="196"/>
      <c r="DM823" s="196"/>
      <c r="DN823" s="196"/>
      <c r="DO823" s="196"/>
      <c r="DP823" s="196"/>
      <c r="DQ823" s="196"/>
      <c r="DR823" s="196"/>
      <c r="DS823" s="196"/>
      <c r="DT823" s="196"/>
      <c r="DU823" s="196"/>
      <c r="DV823" s="196"/>
      <c r="DW823" s="196"/>
      <c r="DX823" s="196"/>
      <c r="DY823" s="196"/>
      <c r="DZ823" s="196"/>
      <c r="EA823" s="196"/>
      <c r="EB823" s="196"/>
      <c r="EC823" s="196"/>
      <c r="ED823" s="196"/>
      <c r="EE823" s="196"/>
      <c r="EF823" s="196"/>
      <c r="EG823" s="196"/>
      <c r="EH823" s="196"/>
      <c r="EI823" s="196"/>
      <c r="EJ823" s="196"/>
      <c r="EK823" s="196"/>
      <c r="EL823" s="196"/>
      <c r="EM823" s="196"/>
      <c r="EN823" s="196"/>
      <c r="EO823" s="196"/>
      <c r="EP823" s="196"/>
      <c r="EQ823" s="196"/>
      <c r="ER823" s="196"/>
      <c r="ES823" s="196"/>
      <c r="ET823" s="196"/>
      <c r="EU823" s="196"/>
      <c r="EV823" s="196"/>
      <c r="EW823" s="196"/>
      <c r="EX823" s="196"/>
      <c r="EY823" s="196"/>
      <c r="EZ823" s="346"/>
      <c r="FA823" s="196"/>
      <c r="FB823" s="196"/>
      <c r="FC823" s="196"/>
      <c r="FD823" s="196"/>
      <c r="FE823" s="196"/>
      <c r="FF823" s="196"/>
      <c r="FG823" s="196"/>
      <c r="FH823" s="196"/>
      <c r="FI823" s="196"/>
      <c r="FJ823" s="196"/>
      <c r="FK823" s="196"/>
      <c r="FL823" s="196"/>
      <c r="FM823" s="196"/>
      <c r="FN823" s="196"/>
      <c r="FO823" s="196"/>
      <c r="FP823" s="196"/>
      <c r="FQ823" s="196"/>
      <c r="FR823" s="196"/>
      <c r="FS823" s="196"/>
      <c r="FT823" s="196"/>
      <c r="FU823" s="196"/>
      <c r="FV823" s="196"/>
      <c r="FW823" s="196"/>
      <c r="FX823" s="196"/>
      <c r="FY823" s="196"/>
      <c r="FZ823" s="196"/>
      <c r="GA823" s="196"/>
      <c r="GB823" s="196"/>
      <c r="GC823" s="196"/>
      <c r="GD823" s="196"/>
      <c r="GE823" s="196"/>
      <c r="GF823" s="196"/>
      <c r="GG823" s="17"/>
      <c r="GH823" s="196"/>
      <c r="GI823" s="17"/>
      <c r="GJ823" s="196"/>
      <c r="GK823" s="17"/>
      <c r="GL823" s="196"/>
      <c r="GM823" s="17"/>
      <c r="GN823" s="196"/>
      <c r="GO823" s="17"/>
      <c r="GP823" s="196"/>
      <c r="GQ823" s="17"/>
      <c r="GR823" s="196"/>
      <c r="GS823" s="17"/>
      <c r="GT823" s="196"/>
      <c r="GU823" s="17"/>
      <c r="GV823" s="196"/>
      <c r="GW823" s="17"/>
      <c r="GX823" s="196"/>
      <c r="GY823" s="17"/>
      <c r="GZ823" s="196"/>
      <c r="HA823" s="196"/>
      <c r="HB823" s="196"/>
      <c r="HC823"/>
      <c r="HD823"/>
      <c r="HE823"/>
      <c r="HF823"/>
      <c r="HG823"/>
      <c r="HH823"/>
      <c r="HI823" s="2"/>
    </row>
    <row r="824" spans="2:217" s="3" customFormat="1" ht="12.75" hidden="1" customHeight="1" outlineLevel="1" x14ac:dyDescent="0.2">
      <c r="B824" s="10" t="s">
        <v>26</v>
      </c>
      <c r="C824" s="9"/>
      <c r="D824" s="11"/>
      <c r="E824" s="9"/>
      <c r="F824" s="11"/>
      <c r="G824" s="9"/>
      <c r="H824" s="11"/>
      <c r="I824" s="9"/>
      <c r="J824" s="11"/>
      <c r="K824" s="9"/>
      <c r="L824" s="11"/>
      <c r="M824" s="9"/>
      <c r="N824" s="11"/>
      <c r="O824" s="9"/>
      <c r="P824" s="11"/>
      <c r="Q824" s="9"/>
      <c r="R824" s="11"/>
      <c r="S824" s="9"/>
      <c r="T824" s="11"/>
      <c r="U824" s="9"/>
      <c r="V824" s="11"/>
      <c r="W824" s="9"/>
      <c r="X824" s="11"/>
      <c r="Y824" s="9"/>
      <c r="Z824" s="11"/>
      <c r="AA824" s="9"/>
      <c r="AB824" s="11"/>
      <c r="AC824" s="9"/>
      <c r="AD824" s="11"/>
      <c r="AE824" s="9"/>
      <c r="AF824" s="11"/>
      <c r="AG824" s="9"/>
      <c r="AH824" s="11"/>
      <c r="AI824" s="9"/>
      <c r="AJ824" s="11"/>
      <c r="AK824" s="9"/>
      <c r="AL824" s="11"/>
      <c r="AM824" s="9"/>
      <c r="AN824" s="11"/>
      <c r="AO824" s="9"/>
      <c r="AP824" s="11"/>
      <c r="AQ824" s="9"/>
      <c r="AR824" s="11"/>
      <c r="AS824" s="9"/>
      <c r="AT824" s="11"/>
      <c r="AU824" s="9"/>
      <c r="AV824" s="11"/>
      <c r="AW824" s="9"/>
      <c r="AX824" s="11"/>
      <c r="AY824" s="9"/>
      <c r="AZ824" s="11"/>
      <c r="BA824" s="9"/>
      <c r="BB824" s="11"/>
      <c r="BC824" s="9"/>
      <c r="BD824" s="11"/>
      <c r="BE824" s="9"/>
      <c r="BF824" s="11"/>
      <c r="BG824" s="196">
        <f>BG545</f>
        <v>14.6</v>
      </c>
      <c r="BH824" s="196"/>
      <c r="BI824" s="196">
        <f>BI545</f>
        <v>14</v>
      </c>
      <c r="BJ824" s="196"/>
      <c r="BK824" s="196">
        <f>BK545</f>
        <v>13</v>
      </c>
      <c r="BL824" s="196"/>
      <c r="BM824" s="196">
        <f>BM545</f>
        <v>11</v>
      </c>
      <c r="BN824" s="196"/>
      <c r="BO824" s="196">
        <f>BO545</f>
        <v>12</v>
      </c>
      <c r="BP824" s="196"/>
      <c r="BQ824" s="196">
        <f>BQ545</f>
        <v>14</v>
      </c>
      <c r="BR824" s="196"/>
      <c r="BS824" s="196">
        <f>BS545</f>
        <v>10</v>
      </c>
      <c r="BT824" s="196"/>
      <c r="BU824" s="196">
        <f>BU545</f>
        <v>19</v>
      </c>
      <c r="BV824" s="196"/>
      <c r="BW824" s="196">
        <f>BW545</f>
        <v>11</v>
      </c>
      <c r="BX824" s="196"/>
      <c r="BY824" s="196">
        <f>BY545</f>
        <v>0</v>
      </c>
      <c r="BZ824" s="196"/>
      <c r="CA824" s="196">
        <f>CA545</f>
        <v>0</v>
      </c>
      <c r="CB824" s="196"/>
      <c r="CC824" s="196">
        <f>CC545</f>
        <v>5</v>
      </c>
      <c r="CD824" s="196"/>
      <c r="CE824" s="196">
        <f>CE545</f>
        <v>6</v>
      </c>
      <c r="CF824" s="196"/>
      <c r="CG824" s="196">
        <f>CG545</f>
        <v>10</v>
      </c>
      <c r="CH824" s="196"/>
      <c r="CI824" s="196">
        <f>CI545</f>
        <v>1</v>
      </c>
      <c r="CJ824" s="196"/>
      <c r="CK824" s="196">
        <f>CK545</f>
        <v>1</v>
      </c>
      <c r="CL824" s="196"/>
      <c r="CM824" s="196">
        <f>CM545</f>
        <v>0</v>
      </c>
      <c r="CN824" s="196"/>
      <c r="CO824" s="196">
        <f>CO545</f>
        <v>2</v>
      </c>
      <c r="CP824" s="196"/>
      <c r="CQ824" s="196">
        <f>CQ545</f>
        <v>4</v>
      </c>
      <c r="CR824" s="196"/>
      <c r="CS824" s="196">
        <f>CS545</f>
        <v>-4</v>
      </c>
      <c r="CT824" s="196"/>
      <c r="CU824" s="196">
        <f>CU545</f>
        <v>6</v>
      </c>
      <c r="CV824" s="196"/>
      <c r="CW824" s="196">
        <f>CW545</f>
        <v>6</v>
      </c>
      <c r="CX824" s="196"/>
      <c r="CY824" s="196">
        <f>CY545</f>
        <v>-3</v>
      </c>
      <c r="CZ824" s="196"/>
      <c r="DA824" s="196">
        <f>DA545</f>
        <v>-3</v>
      </c>
      <c r="DB824" s="196"/>
      <c r="DC824" s="196">
        <f>DC545</f>
        <v>-3</v>
      </c>
      <c r="DD824" s="196"/>
      <c r="DE824" s="196">
        <f>DE545</f>
        <v>-5</v>
      </c>
      <c r="DF824" s="196"/>
      <c r="DG824" s="196">
        <f>DG545</f>
        <v>-7</v>
      </c>
      <c r="DH824" s="196"/>
      <c r="DI824" s="196">
        <f>DI545</f>
        <v>-10</v>
      </c>
      <c r="DJ824" s="196"/>
      <c r="DK824" s="196">
        <f>DK545</f>
        <v>-2</v>
      </c>
      <c r="DL824" s="196"/>
      <c r="DM824" s="196">
        <f>DM545</f>
        <v>-3</v>
      </c>
      <c r="DN824" s="196"/>
      <c r="DO824" s="196">
        <f>DO545</f>
        <v>-3</v>
      </c>
      <c r="DP824" s="196"/>
      <c r="DQ824" s="196">
        <f>DQ545</f>
        <v>-19</v>
      </c>
      <c r="DR824" s="196"/>
      <c r="DS824" s="196">
        <f>DS545</f>
        <v>0</v>
      </c>
      <c r="DT824" s="196"/>
      <c r="DU824" s="196">
        <f>DU545</f>
        <v>0</v>
      </c>
      <c r="DV824" s="196"/>
      <c r="DW824" s="196">
        <f>DW545</f>
        <v>0</v>
      </c>
      <c r="DX824" s="196"/>
      <c r="DY824" s="196">
        <f>DY545</f>
        <v>0</v>
      </c>
      <c r="DZ824" s="196"/>
      <c r="EA824" s="196">
        <f>EA545</f>
        <v>0</v>
      </c>
      <c r="EB824" s="196"/>
      <c r="EC824" s="196">
        <f>EC545</f>
        <v>0</v>
      </c>
      <c r="ED824" s="196"/>
      <c r="EE824" s="196">
        <f>EE545</f>
        <v>-9.5</v>
      </c>
      <c r="EF824" s="196"/>
      <c r="EG824" s="196">
        <f>EG545</f>
        <v>-9</v>
      </c>
      <c r="EH824" s="196"/>
      <c r="EI824" s="196">
        <f>EI545</f>
        <v>-10</v>
      </c>
      <c r="EJ824" s="196"/>
      <c r="EK824" s="196">
        <f>EK545</f>
        <v>-5</v>
      </c>
      <c r="EL824" s="196"/>
      <c r="EM824" s="196">
        <f>EM545</f>
        <v>-12</v>
      </c>
      <c r="EN824" s="196"/>
      <c r="EO824" s="196">
        <f>EO545</f>
        <v>-11</v>
      </c>
      <c r="EP824" s="196"/>
      <c r="EQ824" s="196">
        <f>EQ545</f>
        <v>-11</v>
      </c>
      <c r="ER824" s="196"/>
      <c r="ES824" s="196">
        <f>ES545</f>
        <v>-11</v>
      </c>
      <c r="ET824" s="196"/>
      <c r="EU824" s="196">
        <f>EU545</f>
        <v>-11</v>
      </c>
      <c r="EV824" s="196"/>
      <c r="EW824" s="196">
        <f>EW545</f>
        <v>-11</v>
      </c>
      <c r="EX824" s="196"/>
      <c r="EY824" s="196"/>
      <c r="EZ824" s="346"/>
      <c r="FA824" s="196"/>
      <c r="FB824" s="196">
        <f>FB545</f>
        <v>0</v>
      </c>
      <c r="FC824" s="196"/>
      <c r="FD824" s="196">
        <f>FD545</f>
        <v>2</v>
      </c>
      <c r="FE824" s="196"/>
      <c r="FF824" s="196">
        <f>FF545</f>
        <v>8</v>
      </c>
      <c r="FG824" s="196"/>
      <c r="FH824" s="196">
        <f>FH545</f>
        <v>12</v>
      </c>
      <c r="FI824" s="196"/>
      <c r="FJ824" s="196">
        <f>FJ545</f>
        <v>5</v>
      </c>
      <c r="FK824" s="196"/>
      <c r="FL824" s="196">
        <f>FL545</f>
        <v>6</v>
      </c>
      <c r="FM824" s="196"/>
      <c r="FN824" s="196">
        <f>FN545</f>
        <v>-3</v>
      </c>
      <c r="FO824" s="196"/>
      <c r="FP824" s="196">
        <f>FP545</f>
        <v>-14</v>
      </c>
      <c r="FQ824" s="196"/>
      <c r="FR824" s="196">
        <f>FR545</f>
        <v>-18</v>
      </c>
      <c r="FS824" s="196"/>
      <c r="FT824" s="196">
        <f>FT545</f>
        <v>-25</v>
      </c>
      <c r="FU824" s="196"/>
      <c r="FV824" s="196">
        <f>FV545</f>
        <v>-24</v>
      </c>
      <c r="FW824" s="196"/>
      <c r="FX824" s="196">
        <f>FX545</f>
        <v>-22</v>
      </c>
      <c r="FY824" s="196"/>
      <c r="FZ824" s="196">
        <f>FZ545</f>
        <v>-18</v>
      </c>
      <c r="GA824" s="196"/>
      <c r="GB824" s="196">
        <f>GB545</f>
        <v>-27</v>
      </c>
      <c r="GC824" s="196"/>
      <c r="GD824" s="196">
        <f>GD545</f>
        <v>-25</v>
      </c>
      <c r="GE824" s="196"/>
      <c r="GF824" s="196">
        <f>GF545</f>
        <v>-22</v>
      </c>
      <c r="GG824" s="17"/>
      <c r="GH824" s="196">
        <f>GH545</f>
        <v>-19</v>
      </c>
      <c r="GI824" s="17"/>
      <c r="GJ824" s="196">
        <f>GJ545</f>
        <v>0</v>
      </c>
      <c r="GK824" s="17"/>
      <c r="GL824" s="196">
        <f>GL545</f>
        <v>-18.5</v>
      </c>
      <c r="GM824" s="17"/>
      <c r="GN824" s="196">
        <f>GN545</f>
        <v>-38</v>
      </c>
      <c r="GO824" s="17"/>
      <c r="GP824" s="196">
        <f>GP545</f>
        <v>-44</v>
      </c>
      <c r="GQ824" s="17"/>
      <c r="GR824" s="196">
        <f>GR545</f>
        <v>-44</v>
      </c>
      <c r="GS824" s="17"/>
      <c r="GT824" s="196">
        <f>GT545</f>
        <v>-44</v>
      </c>
      <c r="GU824" s="17"/>
      <c r="GV824" s="196">
        <f>GV545</f>
        <v>-44</v>
      </c>
      <c r="GW824" s="17"/>
      <c r="GX824" s="196">
        <f>GX545</f>
        <v>-44</v>
      </c>
      <c r="GY824" s="17"/>
      <c r="GZ824" s="196"/>
      <c r="HA824" s="196"/>
      <c r="HB824" s="196"/>
      <c r="HC824"/>
      <c r="HD824"/>
      <c r="HE824"/>
      <c r="HF824"/>
      <c r="HG824"/>
      <c r="HH824"/>
      <c r="HI824" s="2"/>
    </row>
    <row r="825" spans="2:217" s="3" customFormat="1" ht="12.75" hidden="1" customHeight="1" outlineLevel="1" x14ac:dyDescent="0.2">
      <c r="B825" s="10"/>
      <c r="C825" s="9"/>
      <c r="D825" s="11"/>
      <c r="E825" s="9"/>
      <c r="F825" s="11"/>
      <c r="G825" s="9"/>
      <c r="H825" s="11"/>
      <c r="I825" s="9"/>
      <c r="J825" s="11"/>
      <c r="K825" s="9"/>
      <c r="L825" s="11"/>
      <c r="M825" s="9"/>
      <c r="N825" s="11"/>
      <c r="O825" s="9"/>
      <c r="P825" s="11"/>
      <c r="Q825" s="9"/>
      <c r="R825" s="11"/>
      <c r="S825" s="9"/>
      <c r="T825" s="11"/>
      <c r="U825" s="9"/>
      <c r="V825" s="11"/>
      <c r="W825" s="9"/>
      <c r="X825" s="11"/>
      <c r="Y825" s="9"/>
      <c r="Z825" s="11"/>
      <c r="AA825" s="9"/>
      <c r="AB825" s="11"/>
      <c r="AC825" s="9"/>
      <c r="AD825" s="11"/>
      <c r="AE825" s="9"/>
      <c r="AF825" s="11"/>
      <c r="AG825" s="9"/>
      <c r="AH825" s="11"/>
      <c r="AI825" s="9"/>
      <c r="AJ825" s="11"/>
      <c r="AK825" s="9"/>
      <c r="AL825" s="11"/>
      <c r="AM825" s="9"/>
      <c r="AN825" s="11"/>
      <c r="AO825" s="9"/>
      <c r="AP825" s="11"/>
      <c r="AQ825" s="9"/>
      <c r="AR825" s="11"/>
      <c r="AS825" s="9"/>
      <c r="AT825" s="11"/>
      <c r="AU825" s="9"/>
      <c r="AV825" s="11"/>
      <c r="AW825" s="9"/>
      <c r="AX825" s="11"/>
      <c r="AY825" s="9"/>
      <c r="AZ825" s="11"/>
      <c r="BA825" s="9"/>
      <c r="BB825" s="11"/>
      <c r="BC825" s="9"/>
      <c r="BD825" s="11"/>
      <c r="BE825" s="9"/>
      <c r="BF825" s="11"/>
      <c r="BG825" s="196"/>
      <c r="BH825" s="196"/>
      <c r="BI825" s="196"/>
      <c r="BJ825" s="196"/>
      <c r="BK825" s="196"/>
      <c r="BL825" s="196"/>
      <c r="BM825" s="196"/>
      <c r="BN825" s="196"/>
      <c r="BO825" s="196"/>
      <c r="BP825" s="196"/>
      <c r="BQ825" s="196"/>
      <c r="BR825" s="196"/>
      <c r="BS825" s="196"/>
      <c r="BT825" s="196"/>
      <c r="BU825" s="196"/>
      <c r="BV825" s="196"/>
      <c r="BW825" s="196"/>
      <c r="BX825" s="196"/>
      <c r="BY825" s="196"/>
      <c r="BZ825" s="196"/>
      <c r="CA825" s="196"/>
      <c r="CB825" s="196"/>
      <c r="CC825" s="196"/>
      <c r="CD825" s="196"/>
      <c r="CE825" s="196"/>
      <c r="CF825" s="196"/>
      <c r="CG825" s="196"/>
      <c r="CH825" s="196"/>
      <c r="CI825" s="196"/>
      <c r="CJ825" s="196"/>
      <c r="CK825" s="196"/>
      <c r="CL825" s="196"/>
      <c r="CM825" s="196"/>
      <c r="CN825" s="196"/>
      <c r="CO825" s="196"/>
      <c r="CP825" s="196"/>
      <c r="CQ825" s="196"/>
      <c r="CR825" s="196"/>
      <c r="CS825" s="196"/>
      <c r="CT825" s="196"/>
      <c r="CU825" s="196"/>
      <c r="CV825" s="196"/>
      <c r="CW825" s="196"/>
      <c r="CX825" s="196"/>
      <c r="CY825" s="196"/>
      <c r="CZ825" s="196"/>
      <c r="DA825" s="196"/>
      <c r="DB825" s="196"/>
      <c r="DC825" s="196"/>
      <c r="DD825" s="196"/>
      <c r="DE825" s="196"/>
      <c r="DF825" s="196"/>
      <c r="DG825" s="196"/>
      <c r="DH825" s="196"/>
      <c r="DI825" s="196"/>
      <c r="DJ825" s="196"/>
      <c r="DK825" s="196"/>
      <c r="DL825" s="196"/>
      <c r="DM825" s="196"/>
      <c r="DN825" s="196"/>
      <c r="DO825" s="196"/>
      <c r="DP825" s="196"/>
      <c r="DQ825" s="196"/>
      <c r="DR825" s="196"/>
      <c r="DS825" s="196"/>
      <c r="DT825" s="196"/>
      <c r="DU825" s="196"/>
      <c r="DV825" s="196"/>
      <c r="DW825" s="196"/>
      <c r="DX825" s="196"/>
      <c r="DY825" s="196"/>
      <c r="DZ825" s="196"/>
      <c r="EA825" s="196"/>
      <c r="EB825" s="196"/>
      <c r="EC825" s="196"/>
      <c r="ED825" s="196"/>
      <c r="EE825" s="196"/>
      <c r="EF825" s="196"/>
      <c r="EG825" s="196"/>
      <c r="EH825" s="196"/>
      <c r="EI825" s="196"/>
      <c r="EJ825" s="196"/>
      <c r="EK825" s="196"/>
      <c r="EL825" s="196"/>
      <c r="EM825" s="196"/>
      <c r="EN825" s="196"/>
      <c r="EO825" s="196"/>
      <c r="EP825" s="196"/>
      <c r="EQ825" s="196"/>
      <c r="ER825" s="196"/>
      <c r="ES825" s="196"/>
      <c r="ET825" s="196"/>
      <c r="EU825" s="196"/>
      <c r="EV825" s="196"/>
      <c r="EW825" s="196"/>
      <c r="EX825" s="196"/>
      <c r="EY825" s="196"/>
      <c r="EZ825" s="346"/>
      <c r="FA825" s="196"/>
      <c r="FB825" s="196"/>
      <c r="FC825" s="196"/>
      <c r="FD825" s="196"/>
      <c r="FE825" s="196"/>
      <c r="FF825" s="196"/>
      <c r="FG825" s="196"/>
      <c r="FH825" s="196"/>
      <c r="FI825" s="196"/>
      <c r="FJ825" s="196"/>
      <c r="FK825" s="196"/>
      <c r="FL825" s="196"/>
      <c r="FM825" s="196"/>
      <c r="FN825" s="196"/>
      <c r="FO825" s="196"/>
      <c r="FP825" s="196"/>
      <c r="FQ825" s="196"/>
      <c r="FR825" s="196"/>
      <c r="FS825" s="196"/>
      <c r="FT825" s="196"/>
      <c r="FU825" s="196"/>
      <c r="FV825" s="196"/>
      <c r="FW825" s="196"/>
      <c r="FX825" s="196"/>
      <c r="FY825" s="196"/>
      <c r="FZ825" s="196"/>
      <c r="GA825" s="196"/>
      <c r="GB825" s="196"/>
      <c r="GC825" s="196"/>
      <c r="GD825" s="196"/>
      <c r="GE825" s="196"/>
      <c r="GF825" s="196"/>
      <c r="GG825" s="17"/>
      <c r="GH825" s="196"/>
      <c r="GI825" s="17"/>
      <c r="GJ825" s="196"/>
      <c r="GK825" s="17"/>
      <c r="GL825" s="196"/>
      <c r="GM825" s="17"/>
      <c r="GN825" s="196"/>
      <c r="GO825" s="17"/>
      <c r="GP825" s="196"/>
      <c r="GQ825" s="17"/>
      <c r="GR825" s="196"/>
      <c r="GS825" s="17"/>
      <c r="GT825" s="196"/>
      <c r="GU825" s="17"/>
      <c r="GV825" s="196"/>
      <c r="GW825" s="17"/>
      <c r="GX825" s="196"/>
      <c r="GY825" s="17"/>
      <c r="GZ825" s="196"/>
      <c r="HA825" s="196"/>
      <c r="HB825" s="196"/>
      <c r="HC825"/>
      <c r="HD825"/>
      <c r="HE825"/>
      <c r="HF825"/>
      <c r="HG825"/>
      <c r="HH825"/>
      <c r="HI825" s="2"/>
    </row>
    <row r="826" spans="2:217" s="3" customFormat="1" ht="12.75" hidden="1" customHeight="1" outlineLevel="1" x14ac:dyDescent="0.2">
      <c r="B826" s="10" t="s">
        <v>1</v>
      </c>
      <c r="C826" s="9"/>
      <c r="D826" s="11"/>
      <c r="E826" s="9"/>
      <c r="F826" s="11"/>
      <c r="G826" s="9"/>
      <c r="H826" s="11"/>
      <c r="I826" s="9"/>
      <c r="J826" s="11"/>
      <c r="K826" s="9"/>
      <c r="L826" s="11"/>
      <c r="M826" s="9"/>
      <c r="N826" s="11"/>
      <c r="O826" s="9"/>
      <c r="P826" s="11"/>
      <c r="Q826" s="9"/>
      <c r="R826" s="11"/>
      <c r="S826" s="9"/>
      <c r="T826" s="11"/>
      <c r="U826" s="9"/>
      <c r="V826" s="11"/>
      <c r="W826" s="9"/>
      <c r="X826" s="11"/>
      <c r="Y826" s="9"/>
      <c r="Z826" s="11"/>
      <c r="AA826" s="9"/>
      <c r="AB826" s="11"/>
      <c r="AC826" s="9"/>
      <c r="AD826" s="11"/>
      <c r="AE826" s="9"/>
      <c r="AF826" s="11"/>
      <c r="AG826" s="9"/>
      <c r="AH826" s="11"/>
      <c r="AI826" s="9"/>
      <c r="AJ826" s="11"/>
      <c r="AK826" s="9"/>
      <c r="AL826" s="11"/>
      <c r="AM826" s="9"/>
      <c r="AN826" s="11"/>
      <c r="AO826" s="9"/>
      <c r="AP826" s="11"/>
      <c r="AQ826" s="9"/>
      <c r="AR826" s="11"/>
      <c r="AS826" s="9"/>
      <c r="AT826" s="11"/>
      <c r="AU826" s="9"/>
      <c r="AV826" s="11"/>
      <c r="AW826" s="9"/>
      <c r="AX826" s="11"/>
      <c r="AY826" s="9"/>
      <c r="AZ826" s="11"/>
      <c r="BA826" s="9"/>
      <c r="BB826" s="11"/>
      <c r="BC826" s="9"/>
      <c r="BD826" s="11"/>
      <c r="BE826" s="9"/>
      <c r="BF826" s="11"/>
      <c r="BG826" s="196">
        <f>BG824+BG822+BG820+BG814+BG809</f>
        <v>739.65845481049564</v>
      </c>
      <c r="BH826" s="196"/>
      <c r="BI826" s="196">
        <f>BI824+BI822+BI820+BI814+BI809</f>
        <v>765.47190008920597</v>
      </c>
      <c r="BJ826" s="196"/>
      <c r="BK826" s="196">
        <f>BK824+BK822+BK820+BK814+BK809</f>
        <v>912.73127413127406</v>
      </c>
      <c r="BL826" s="196"/>
      <c r="BM826" s="196">
        <f>BM824+BM822+BM820+BM814+BM809</f>
        <v>874.7890625</v>
      </c>
      <c r="BN826" s="196"/>
      <c r="BO826" s="196">
        <f>BO824+BO822+BO820+BO814+BO809</f>
        <v>687.21139101861991</v>
      </c>
      <c r="BP826" s="196"/>
      <c r="BQ826" s="196">
        <f>BQ824+BQ822+BQ820+BQ814+BQ809</f>
        <v>806.41651705565528</v>
      </c>
      <c r="BR826" s="196"/>
      <c r="BS826" s="196">
        <f>BS824+BS822+BS820+BS814+BS809</f>
        <v>665.37417218543044</v>
      </c>
      <c r="BT826" s="196"/>
      <c r="BU826" s="196">
        <f>BU824+BU822+BU820+BU814+BU809</f>
        <v>422.34517766497459</v>
      </c>
      <c r="BV826" s="196"/>
      <c r="BW826" s="196">
        <f>BW824+BW822+BW820+BW814+BW809</f>
        <v>483.88571428571424</v>
      </c>
      <c r="BX826" s="196"/>
      <c r="BY826" s="196">
        <f>BY824+BY822+BY820+BY814+BY809</f>
        <v>526.78149100257076</v>
      </c>
      <c r="BZ826" s="196"/>
      <c r="CA826" s="196">
        <f>CA824+CA822+CA820+CA814+CA809</f>
        <v>642.30769230769238</v>
      </c>
      <c r="CB826" s="196"/>
      <c r="CC826" s="196">
        <f t="shared" ref="CC826:CI826" si="3547">CC824+CC822+CC820+CC814+CC809</f>
        <v>501.78954248366017</v>
      </c>
      <c r="CD826" s="196"/>
      <c r="CE826" s="196">
        <f t="shared" si="3547"/>
        <v>566.67523364485987</v>
      </c>
      <c r="CF826" s="196"/>
      <c r="CG826" s="196">
        <f t="shared" si="3547"/>
        <v>637.28367346938762</v>
      </c>
      <c r="CH826" s="196"/>
      <c r="CI826" s="196">
        <f t="shared" si="3547"/>
        <v>553.76785714285722</v>
      </c>
      <c r="CJ826" s="196"/>
      <c r="CK826" s="196">
        <f>CK824+CK822+CK820+CK814+CK809</f>
        <v>633.28044280442805</v>
      </c>
      <c r="CL826" s="196"/>
      <c r="CM826" s="196">
        <f>CM824+CM822+CM820+CM814+CM809</f>
        <v>692.66163043478264</v>
      </c>
      <c r="CN826" s="196"/>
      <c r="CO826" s="196">
        <f>CO824+CO822+CO820+CO814+CO809</f>
        <v>811.43038852913969</v>
      </c>
      <c r="CP826" s="196"/>
      <c r="CQ826" s="196">
        <f>CQ824+CQ822+CQ820+CQ814+CQ809</f>
        <v>776.77690217391296</v>
      </c>
      <c r="CR826" s="196"/>
      <c r="CS826" s="196">
        <f>CS824+CS822+CS820+CS814+CS809</f>
        <v>707.06809523809534</v>
      </c>
      <c r="CT826" s="196"/>
      <c r="CU826" s="196">
        <f>CU824+CU822+CU820+CU814+CU809</f>
        <v>683.87758007117429</v>
      </c>
      <c r="CV826" s="196"/>
      <c r="CW826" s="196">
        <f>CW824+CW822+CW820+CW814+CW809</f>
        <v>838.90984340044747</v>
      </c>
      <c r="CX826" s="196"/>
      <c r="CY826" s="196">
        <f>CY824+CY822+CY820+CY814+CY809</f>
        <v>869.21608654750708</v>
      </c>
      <c r="CZ826" s="196"/>
      <c r="DA826" s="196">
        <f>DA824+DA822+DA820+DA814+DA809</f>
        <v>869.97421731123393</v>
      </c>
      <c r="DB826" s="196"/>
      <c r="DC826" s="196">
        <f>DC824+DC822+DC820+DC814+DC809</f>
        <v>991.90844024307921</v>
      </c>
      <c r="DD826" s="196"/>
      <c r="DE826" s="196">
        <f>DE824+DE822+DE820+DE814+DE809</f>
        <v>982.42606697307929</v>
      </c>
      <c r="DF826" s="196"/>
      <c r="DG826" s="196">
        <f>DG824+DG822+DG820+DG814+DG809</f>
        <v>1079.9198334200937</v>
      </c>
      <c r="DH826" s="196"/>
      <c r="DI826" s="196">
        <f>DI824+DI822+DI820+DI814+DI809</f>
        <v>1045.8668138586957</v>
      </c>
      <c r="DJ826" s="196"/>
      <c r="DK826" s="196">
        <f>DK824+DK822+DK820+DK814+DK809</f>
        <v>1167.5684277530236</v>
      </c>
      <c r="DL826" s="196"/>
      <c r="DM826" s="196">
        <f>DM824+DM822+DM820+DM814+DM809</f>
        <v>1181.6950092421444</v>
      </c>
      <c r="DN826" s="196"/>
      <c r="DO826" s="196">
        <f>DO824+DO822+DO820+DO814+DO809</f>
        <v>1217.4715447154472</v>
      </c>
      <c r="DP826" s="196"/>
      <c r="DQ826" s="196">
        <f>DQ824+DQ822+DQ820+DQ814+DQ809</f>
        <v>1102.1657992565056</v>
      </c>
      <c r="DR826" s="196"/>
      <c r="DS826" s="196">
        <f>DS824+DS822+DS820+DS814+DS809</f>
        <v>1225.847564469914</v>
      </c>
      <c r="DT826" s="196"/>
      <c r="DU826" s="196">
        <f>DU824+DU822+DU820+DU814+DU809</f>
        <v>1201.1406844106464</v>
      </c>
      <c r="DV826" s="196"/>
      <c r="DW826" s="196">
        <f>DW824+DW822+DW820+DW814+DW809</f>
        <v>1173.7320574162679</v>
      </c>
      <c r="DX826" s="196"/>
      <c r="DY826" s="196">
        <f>DY824+DY822+DY820+DY814+DY809</f>
        <v>960.72715736040607</v>
      </c>
      <c r="DZ826" s="196"/>
      <c r="EA826" s="196">
        <f>EA824+EA822+EA820+EA814+EA809</f>
        <v>1070.7403773584906</v>
      </c>
      <c r="EB826" s="196"/>
      <c r="EC826" s="196">
        <f>EC824+EC822+EC820+EC814+EC809</f>
        <v>1170.1684011352886</v>
      </c>
      <c r="ED826" s="196"/>
      <c r="EE826" s="196">
        <f>EE824+EE822+EE820+EE814+EE809</f>
        <v>1101.2336328626443</v>
      </c>
      <c r="EF826" s="196"/>
      <c r="EG826" s="196">
        <f>EG824+EG822+EG820+EG814+EG809</f>
        <v>1066.0582590815627</v>
      </c>
      <c r="EH826" s="196"/>
      <c r="EI826" s="196">
        <f>EI824+EI822+EI820+EI814+EI809</f>
        <v>1212.170903614458</v>
      </c>
      <c r="EJ826" s="196"/>
      <c r="EK826" s="196">
        <f>EK824+EK822+EK820+EK814+EK809</f>
        <v>1339.0749185667753</v>
      </c>
      <c r="EL826" s="196"/>
      <c r="EM826" s="196">
        <f>EM824+EM822+EM820+EM814+EM809</f>
        <v>1275.4035874439462</v>
      </c>
      <c r="EN826" s="196"/>
      <c r="EO826" s="196">
        <f>EO824+EO822+EO820+EO814+EO809</f>
        <v>1159.0152671755727</v>
      </c>
      <c r="EP826" s="196"/>
      <c r="EQ826" s="196">
        <f t="shared" ref="EQ826" si="3548">EQ824+EQ822+EQ820+EQ814+EQ809</f>
        <v>1326.6539953800163</v>
      </c>
      <c r="ER826" s="196"/>
      <c r="ES826" s="196">
        <f t="shared" ref="ES826" si="3549">ES824+ES822+ES820+ES814+ES809</f>
        <v>1333.9585156595535</v>
      </c>
      <c r="ET826" s="196"/>
      <c r="EU826" s="196">
        <f t="shared" ref="EU826" si="3550">EU824+EU822+EU820+EU814+EU809</f>
        <v>1318.8396634684207</v>
      </c>
      <c r="EV826" s="196"/>
      <c r="EW826" s="196">
        <f t="shared" ref="EW826" si="3551">EW824+EW822+EW820+EW814+EW809</f>
        <v>1188.5935562897889</v>
      </c>
      <c r="EX826" s="196"/>
      <c r="EY826" s="196"/>
      <c r="EZ826" s="346"/>
      <c r="FA826" s="196"/>
      <c r="FB826" s="196">
        <f>FB824+FB822+FB820+FB814+FB809</f>
        <v>595</v>
      </c>
      <c r="FC826" s="196"/>
      <c r="FD826" s="196">
        <f>FD824+FD822+FD820+FD814+FD809</f>
        <v>159.1260545905707</v>
      </c>
      <c r="FE826" s="196"/>
      <c r="FF826" s="196">
        <f>FF824+FF822+FF820+FF814+FF809</f>
        <v>170.4133606557377</v>
      </c>
      <c r="FG826" s="196"/>
      <c r="FH826" s="196">
        <f>FH824+FH822+FH820+FH814+FH809</f>
        <v>509.32133605998638</v>
      </c>
      <c r="FI826" s="196"/>
      <c r="FJ826" s="196">
        <f>FJ824+FJ822+FJ820+FJ814+FJ809</f>
        <v>649.10299049748448</v>
      </c>
      <c r="FK826" s="196"/>
      <c r="FL826" s="196">
        <f>FL824+FL822+FL820+FL814+FL809</f>
        <v>1052.7601820795398</v>
      </c>
      <c r="FM826" s="196"/>
      <c r="FN826" s="196">
        <f>FN824+FN822+FN820+FN814+FN809</f>
        <v>1522.0165700833031</v>
      </c>
      <c r="FO826" s="196"/>
      <c r="FP826" s="196">
        <f>FP824+FP822+FP820+FP814+FP809</f>
        <v>1971.4991984844071</v>
      </c>
      <c r="FQ826" s="196"/>
      <c r="FR826" s="196">
        <f>FR824+FR822+FR820+FR814+FR809</f>
        <v>2122.7744939789904</v>
      </c>
      <c r="FS826" s="196"/>
      <c r="FT826" s="196">
        <f>FT824+FT822+FT820+FT814+FT809</f>
        <v>2666.5686882933715</v>
      </c>
      <c r="FU826" s="196"/>
      <c r="FV826" s="196">
        <f>FV824+FV822+FV820+FV814+FV809</f>
        <v>-1814.9819277108445</v>
      </c>
      <c r="FW826" s="196"/>
      <c r="FX826" s="196">
        <f>FX824+FX822+FX820+FX814+FX809</f>
        <v>938.80991525423713</v>
      </c>
      <c r="FY826" s="196"/>
      <c r="FZ826" s="196">
        <f>FZ824+FZ822+FZ820+FZ814+FZ809</f>
        <v>1766.3403194975424</v>
      </c>
      <c r="GA826" s="196"/>
      <c r="GB826" s="196">
        <f>GB824+GB822+GB820+GB814+GB809</f>
        <v>2444.5091318488867</v>
      </c>
      <c r="GC826" s="196"/>
      <c r="GD826" s="196">
        <f>GD824+GD822+GD820+GD814+GD809</f>
        <v>2706.3014158867295</v>
      </c>
      <c r="GE826" s="196"/>
      <c r="GF826" s="196">
        <f>GF824+GF822+GF820+GF814+GF809</f>
        <v>4280.9534156635918</v>
      </c>
      <c r="GG826" s="17"/>
      <c r="GH826" s="196">
        <f>GH824+GH822+GH820+GH814+GH809</f>
        <v>4572.1093007467753</v>
      </c>
      <c r="GI826" s="17"/>
      <c r="GJ826" s="196">
        <f>GJ824+GJ822+GJ820+GJ814+GJ809</f>
        <v>4556.8556411490936</v>
      </c>
      <c r="GK826" s="17"/>
      <c r="GL826" s="196">
        <f>GL824+GL822+GL820+GL814+GL809</f>
        <v>4398.8641415076863</v>
      </c>
      <c r="GM826" s="17"/>
      <c r="GN826" s="196">
        <f>GN824+GN822+GN820+GN814+GN809</f>
        <v>4983.6119795003196</v>
      </c>
      <c r="GO826" s="17"/>
      <c r="GP826" s="196">
        <f>GP824+GP822+GP820+GP814+GP809</f>
        <v>5168.0457307977795</v>
      </c>
      <c r="GQ826" s="17"/>
      <c r="GR826" s="196">
        <f>GR824+GR822+GR820+GR814+GR809</f>
        <v>5231.3860821617627</v>
      </c>
      <c r="GS826" s="17"/>
      <c r="GT826" s="196">
        <f>GT824+GT822+GT820+GT814+GT809</f>
        <v>5286.1772453206413</v>
      </c>
      <c r="GU826" s="17"/>
      <c r="GV826" s="196">
        <f>GV824+GV822+GV820+GV814+GV809</f>
        <v>5347.2071880921685</v>
      </c>
      <c r="GW826" s="17"/>
      <c r="GX826" s="196">
        <f>GX824+GX822+GX820+GX814+GX809</f>
        <v>5400.2816195673668</v>
      </c>
      <c r="GY826" s="17"/>
      <c r="GZ826" s="196"/>
      <c r="HA826" s="196"/>
      <c r="HB826" s="196"/>
      <c r="HC826"/>
      <c r="HD826"/>
      <c r="HE826"/>
      <c r="HF826"/>
      <c r="HG826"/>
      <c r="HH826"/>
      <c r="HI826" s="2"/>
    </row>
    <row r="827" spans="2:217" s="3" customFormat="1" ht="12.75" hidden="1" customHeight="1" outlineLevel="1" x14ac:dyDescent="0.2">
      <c r="B827" s="10"/>
      <c r="C827" s="9"/>
      <c r="D827" s="11"/>
      <c r="E827" s="9"/>
      <c r="F827" s="11"/>
      <c r="G827" s="9"/>
      <c r="H827" s="11"/>
      <c r="I827" s="9"/>
      <c r="J827" s="11"/>
      <c r="K827" s="9"/>
      <c r="L827" s="11"/>
      <c r="M827" s="9"/>
      <c r="N827" s="11"/>
      <c r="O827" s="9"/>
      <c r="P827" s="11"/>
      <c r="Q827" s="9"/>
      <c r="R827" s="11"/>
      <c r="S827" s="9"/>
      <c r="T827" s="11"/>
      <c r="U827" s="9"/>
      <c r="V827" s="11"/>
      <c r="W827" s="9"/>
      <c r="X827" s="11"/>
      <c r="Y827" s="9"/>
      <c r="Z827" s="11"/>
      <c r="AA827" s="9"/>
      <c r="AB827" s="11"/>
      <c r="AC827" s="9"/>
      <c r="AD827" s="11"/>
      <c r="AE827" s="9"/>
      <c r="AF827" s="11"/>
      <c r="AG827" s="9"/>
      <c r="AH827" s="11"/>
      <c r="AI827" s="9"/>
      <c r="AJ827" s="11"/>
      <c r="AK827" s="9"/>
      <c r="AL827" s="11"/>
      <c r="AM827" s="9"/>
      <c r="AN827" s="11"/>
      <c r="AO827" s="9"/>
      <c r="AP827" s="11"/>
      <c r="AQ827" s="9"/>
      <c r="AR827" s="11"/>
      <c r="AS827" s="9"/>
      <c r="AT827" s="11"/>
      <c r="AU827" s="9"/>
      <c r="AV827" s="11"/>
      <c r="AW827" s="9"/>
      <c r="AX827" s="11"/>
      <c r="AY827" s="9"/>
      <c r="AZ827" s="11"/>
      <c r="BA827" s="9"/>
      <c r="BB827" s="11"/>
      <c r="BC827" s="9"/>
      <c r="BD827" s="11"/>
      <c r="BE827" s="9"/>
      <c r="BF827" s="11"/>
      <c r="BG827" s="196"/>
      <c r="BH827" s="196"/>
      <c r="BI827" s="196"/>
      <c r="BJ827" s="196"/>
      <c r="BK827" s="196"/>
      <c r="BL827" s="196"/>
      <c r="BM827" s="196"/>
      <c r="BN827" s="196"/>
      <c r="BO827" s="196"/>
      <c r="BP827" s="196"/>
      <c r="BQ827" s="196"/>
      <c r="BR827" s="196"/>
      <c r="BS827" s="196"/>
      <c r="BT827" s="196"/>
      <c r="BU827" s="196"/>
      <c r="BV827" s="196"/>
      <c r="BW827" s="196"/>
      <c r="BX827" s="196"/>
      <c r="BY827" s="196"/>
      <c r="BZ827" s="196"/>
      <c r="CA827" s="196"/>
      <c r="CB827" s="196"/>
      <c r="CC827" s="196"/>
      <c r="CD827" s="196"/>
      <c r="CE827" s="196"/>
      <c r="CF827" s="196"/>
      <c r="CG827" s="196"/>
      <c r="CH827" s="196"/>
      <c r="CI827" s="196"/>
      <c r="CJ827" s="196"/>
      <c r="CK827" s="196"/>
      <c r="CL827" s="196"/>
      <c r="CM827" s="196"/>
      <c r="CN827" s="196"/>
      <c r="CO827" s="196"/>
      <c r="CP827" s="196"/>
      <c r="CQ827" s="196"/>
      <c r="CR827" s="196"/>
      <c r="CS827" s="196"/>
      <c r="CT827" s="196"/>
      <c r="CU827" s="196"/>
      <c r="CV827" s="196"/>
      <c r="CW827" s="196"/>
      <c r="CX827" s="196"/>
      <c r="CY827" s="196"/>
      <c r="CZ827" s="196"/>
      <c r="DA827" s="196"/>
      <c r="DB827" s="196"/>
      <c r="DC827" s="196"/>
      <c r="DD827" s="196"/>
      <c r="DE827" s="196"/>
      <c r="DF827" s="196"/>
      <c r="DG827" s="196"/>
      <c r="DH827" s="196"/>
      <c r="DI827" s="196"/>
      <c r="DJ827" s="196"/>
      <c r="DK827" s="196"/>
      <c r="DL827" s="196"/>
      <c r="DM827" s="196"/>
      <c r="DN827" s="196"/>
      <c r="DO827" s="196"/>
      <c r="DP827" s="196"/>
      <c r="DQ827" s="196"/>
      <c r="DR827" s="196"/>
      <c r="DS827" s="196"/>
      <c r="DT827" s="196"/>
      <c r="DU827" s="196"/>
      <c r="DV827" s="196"/>
      <c r="DW827" s="196"/>
      <c r="DX827" s="196"/>
      <c r="DY827" s="196"/>
      <c r="DZ827" s="196"/>
      <c r="EA827" s="196"/>
      <c r="EB827" s="196"/>
      <c r="EC827" s="196"/>
      <c r="ED827" s="196"/>
      <c r="EE827" s="196"/>
      <c r="EF827" s="196"/>
      <c r="EG827" s="196"/>
      <c r="EH827" s="196"/>
      <c r="EI827" s="196"/>
      <c r="EJ827" s="196"/>
      <c r="EK827" s="196"/>
      <c r="EL827" s="196"/>
      <c r="EM827" s="196"/>
      <c r="EN827" s="196"/>
      <c r="EO827" s="196"/>
      <c r="EP827" s="196"/>
      <c r="EQ827" s="196"/>
      <c r="ER827" s="196"/>
      <c r="ES827" s="196"/>
      <c r="ET827" s="196"/>
      <c r="EU827" s="196"/>
      <c r="EV827" s="196"/>
      <c r="EW827" s="196"/>
      <c r="EX827" s="196"/>
      <c r="EY827" s="196"/>
      <c r="EZ827" s="346"/>
      <c r="FA827" s="196"/>
      <c r="FB827" s="196"/>
      <c r="FC827" s="196"/>
      <c r="FD827" s="196"/>
      <c r="FE827" s="196"/>
      <c r="FF827" s="196"/>
      <c r="FG827" s="196"/>
      <c r="FH827" s="196"/>
      <c r="FI827" s="196"/>
      <c r="FJ827" s="196"/>
      <c r="FK827" s="196"/>
      <c r="FL827" s="196"/>
      <c r="FM827" s="196"/>
      <c r="FN827" s="196"/>
      <c r="FO827" s="196"/>
      <c r="FP827" s="196"/>
      <c r="FQ827" s="196"/>
      <c r="FR827" s="196"/>
      <c r="FS827" s="196"/>
      <c r="FT827" s="196"/>
      <c r="FU827" s="196"/>
      <c r="FV827" s="196"/>
      <c r="FW827" s="196"/>
      <c r="FX827" s="196"/>
      <c r="FY827" s="196"/>
      <c r="FZ827" s="196"/>
      <c r="GA827" s="196"/>
      <c r="GB827" s="196"/>
      <c r="GC827" s="196"/>
      <c r="GD827" s="196"/>
      <c r="GE827" s="196"/>
      <c r="GF827" s="196"/>
      <c r="GG827" s="17"/>
      <c r="GH827" s="196"/>
      <c r="GI827" s="17"/>
      <c r="GJ827" s="196"/>
      <c r="GK827" s="17"/>
      <c r="GL827" s="196"/>
      <c r="GM827" s="17"/>
      <c r="GN827" s="196"/>
      <c r="GO827" s="17"/>
      <c r="GP827" s="196"/>
      <c r="GQ827" s="17"/>
      <c r="GR827" s="196"/>
      <c r="GS827" s="17"/>
      <c r="GT827" s="196"/>
      <c r="GU827" s="17"/>
      <c r="GV827" s="196"/>
      <c r="GW827" s="17"/>
      <c r="GX827" s="196"/>
      <c r="GY827" s="17"/>
      <c r="GZ827" s="196"/>
      <c r="HA827" s="196"/>
      <c r="HB827" s="196"/>
      <c r="HC827"/>
      <c r="HD827"/>
      <c r="HE827"/>
      <c r="HF827"/>
      <c r="HG827"/>
      <c r="HH827"/>
      <c r="HI827" s="2"/>
    </row>
    <row r="828" spans="2:217" s="3" customFormat="1" ht="12.75" hidden="1" customHeight="1" outlineLevel="1" x14ac:dyDescent="0.2">
      <c r="B828" s="114" t="s">
        <v>221</v>
      </c>
      <c r="C828" s="9"/>
      <c r="D828" s="11"/>
      <c r="E828" s="9"/>
      <c r="F828" s="11"/>
      <c r="G828" s="9"/>
      <c r="H828" s="11"/>
      <c r="I828" s="9"/>
      <c r="J828" s="11"/>
      <c r="K828" s="9"/>
      <c r="L828" s="11"/>
      <c r="M828" s="9"/>
      <c r="N828" s="11"/>
      <c r="O828" s="9"/>
      <c r="P828" s="11"/>
      <c r="Q828" s="9"/>
      <c r="R828" s="11"/>
      <c r="S828" s="9"/>
      <c r="T828" s="11"/>
      <c r="U828" s="9"/>
      <c r="V828" s="11"/>
      <c r="W828" s="9"/>
      <c r="X828" s="11"/>
      <c r="Y828" s="9"/>
      <c r="Z828" s="11"/>
      <c r="AA828" s="9"/>
      <c r="AB828" s="11"/>
      <c r="AC828" s="9"/>
      <c r="AD828" s="11"/>
      <c r="AE828" s="9"/>
      <c r="AF828" s="11"/>
      <c r="AG828" s="9"/>
      <c r="AH828" s="11"/>
      <c r="AI828" s="9"/>
      <c r="AJ828" s="11"/>
      <c r="AK828" s="9"/>
      <c r="AL828" s="11"/>
      <c r="AM828" s="9"/>
      <c r="AN828" s="11"/>
      <c r="AO828" s="9"/>
      <c r="AP828" s="11"/>
      <c r="AQ828" s="9"/>
      <c r="AR828" s="11"/>
      <c r="AS828" s="9"/>
      <c r="AT828" s="11"/>
      <c r="AU828" s="9"/>
      <c r="AV828" s="11"/>
      <c r="AW828" s="9"/>
      <c r="AX828" s="11"/>
      <c r="AY828" s="9"/>
      <c r="AZ828" s="11"/>
      <c r="BA828" s="9"/>
      <c r="BB828" s="11"/>
      <c r="BC828" s="9"/>
      <c r="BD828" s="11"/>
      <c r="BE828" s="9"/>
      <c r="BF828" s="11"/>
      <c r="BG828" s="9"/>
      <c r="BH828" s="11"/>
      <c r="BI828" s="9"/>
      <c r="BJ828" s="11"/>
      <c r="BK828" s="9"/>
      <c r="BL828" s="11"/>
      <c r="BM828" s="9"/>
      <c r="BN828" s="11"/>
      <c r="BO828" s="9"/>
      <c r="BP828" s="11"/>
      <c r="BQ828" s="9"/>
      <c r="BR828" s="11"/>
      <c r="BS828" s="9"/>
      <c r="BT828" s="11"/>
      <c r="BU828" s="9"/>
      <c r="BV828" s="11"/>
      <c r="BW828" s="9"/>
      <c r="BX828" s="11"/>
      <c r="BY828" s="9"/>
      <c r="BZ828" s="11"/>
      <c r="CA828" s="9"/>
      <c r="CB828" s="11"/>
      <c r="CC828" s="9"/>
      <c r="CD828" s="11"/>
      <c r="CE828" s="9"/>
      <c r="CF828" s="11"/>
      <c r="CG828" s="9"/>
      <c r="CH828" s="11"/>
      <c r="CI828" s="9"/>
      <c r="CJ828" s="11"/>
      <c r="CK828" s="9"/>
      <c r="CL828" s="11"/>
      <c r="CM828" s="9"/>
      <c r="CN828" s="11"/>
      <c r="CO828" s="9"/>
      <c r="CP828" s="11"/>
      <c r="CQ828" s="9"/>
      <c r="CR828" s="11"/>
      <c r="CS828" s="9"/>
      <c r="CT828" s="11"/>
      <c r="CU828" s="9"/>
      <c r="CV828" s="11"/>
      <c r="CW828" s="9"/>
      <c r="CX828" s="11"/>
      <c r="CY828" s="9"/>
      <c r="CZ828" s="11"/>
      <c r="DA828" s="9"/>
      <c r="DB828" s="11"/>
      <c r="DC828" s="9"/>
      <c r="DD828" s="11"/>
      <c r="DE828" s="9"/>
      <c r="DF828" s="11"/>
      <c r="DG828" s="9"/>
      <c r="DH828" s="11"/>
      <c r="DI828" s="9"/>
      <c r="DJ828" s="11"/>
      <c r="DK828" s="9"/>
      <c r="DL828" s="11"/>
      <c r="DM828" s="9"/>
      <c r="DN828" s="11"/>
      <c r="DO828" s="9"/>
      <c r="DP828" s="11"/>
      <c r="DQ828" s="9"/>
      <c r="DR828" s="11"/>
      <c r="DS828" s="9"/>
      <c r="DT828" s="11"/>
      <c r="DU828" s="9"/>
      <c r="DV828" s="11"/>
      <c r="DW828" s="9"/>
      <c r="DX828" s="11"/>
      <c r="DY828" s="9"/>
      <c r="DZ828" s="11"/>
      <c r="EA828" s="9"/>
      <c r="EB828" s="11"/>
      <c r="EC828" s="9"/>
      <c r="ED828" s="11"/>
      <c r="EE828" s="9"/>
      <c r="EF828" s="11"/>
      <c r="EG828" s="9"/>
      <c r="EH828" s="11"/>
      <c r="EI828" s="9"/>
      <c r="EJ828" s="11"/>
      <c r="EK828" s="9"/>
      <c r="EL828" s="11"/>
      <c r="EM828" s="9"/>
      <c r="EN828" s="11"/>
      <c r="EO828" s="9"/>
      <c r="EP828" s="11"/>
      <c r="EQ828" s="9"/>
      <c r="ER828" s="11"/>
      <c r="ES828" s="9"/>
      <c r="ET828" s="11"/>
      <c r="EU828" s="9"/>
      <c r="EV828" s="11"/>
      <c r="EW828" s="9"/>
      <c r="EX828" s="11"/>
      <c r="EY828" s="11"/>
      <c r="EZ828" s="335"/>
      <c r="FA828" s="11"/>
      <c r="FB828" s="9"/>
      <c r="FC828" s="11"/>
      <c r="FD828" s="9"/>
      <c r="FE828" s="11"/>
      <c r="FF828" s="9"/>
      <c r="FG828" s="11"/>
      <c r="FH828" s="9"/>
      <c r="FI828" s="11"/>
      <c r="FJ828" s="9"/>
      <c r="FK828" s="11"/>
      <c r="FL828" s="9"/>
      <c r="FM828" s="11"/>
      <c r="FN828" s="9"/>
      <c r="FO828" s="11"/>
      <c r="FP828" s="9"/>
      <c r="FQ828" s="11"/>
      <c r="FR828" s="9"/>
      <c r="FS828" s="11"/>
      <c r="FT828" s="9"/>
      <c r="FU828" s="11"/>
      <c r="FV828" s="9"/>
      <c r="FW828" s="11"/>
      <c r="FX828" s="9"/>
      <c r="FY828" s="11"/>
      <c r="FZ828" s="9"/>
      <c r="GA828" s="11"/>
      <c r="GB828" s="9"/>
      <c r="GC828" s="11"/>
      <c r="GD828" s="9"/>
      <c r="GE828" s="11"/>
      <c r="GF828" s="9"/>
      <c r="GG828" s="11"/>
      <c r="GH828" s="9"/>
      <c r="GI828" s="11"/>
      <c r="GJ828" s="9"/>
      <c r="GK828" s="11"/>
      <c r="GL828" s="9"/>
      <c r="GM828" s="11"/>
      <c r="GN828" s="9"/>
      <c r="GO828" s="11"/>
      <c r="GP828" s="9"/>
      <c r="GQ828" s="11"/>
      <c r="GR828" s="9"/>
      <c r="GS828" s="11"/>
      <c r="GT828" s="9"/>
      <c r="GU828" s="11"/>
      <c r="GV828" s="9"/>
      <c r="GW828" s="11"/>
      <c r="GX828" s="9"/>
      <c r="GY828" s="11"/>
      <c r="GZ828" s="11"/>
      <c r="HA828" s="11"/>
      <c r="HB828" s="11"/>
      <c r="HC828"/>
      <c r="HD828"/>
      <c r="HE828"/>
      <c r="HF828"/>
      <c r="HG828"/>
      <c r="HH828"/>
      <c r="HI828" s="2"/>
    </row>
    <row r="829" spans="2:217" s="3" customFormat="1" ht="12.75" hidden="1" customHeight="1" outlineLevel="1" x14ac:dyDescent="0.2">
      <c r="B829" s="89" t="s">
        <v>117</v>
      </c>
      <c r="C829" s="9"/>
      <c r="D829" s="11"/>
      <c r="E829" s="9"/>
      <c r="F829" s="11"/>
      <c r="G829" s="9"/>
      <c r="H829" s="11"/>
      <c r="I829" s="9"/>
      <c r="J829" s="11"/>
      <c r="K829" s="9"/>
      <c r="L829" s="11"/>
      <c r="M829" s="9"/>
      <c r="N829" s="11"/>
      <c r="O829" s="9"/>
      <c r="P829" s="11"/>
      <c r="Q829" s="9"/>
      <c r="R829" s="11"/>
      <c r="S829" s="9"/>
      <c r="T829" s="11"/>
      <c r="U829" s="9"/>
      <c r="V829" s="11"/>
      <c r="W829" s="9"/>
      <c r="X829" s="11"/>
      <c r="Y829" s="9"/>
      <c r="Z829" s="11"/>
      <c r="AA829" s="9"/>
      <c r="AB829" s="11"/>
      <c r="AC829" s="9"/>
      <c r="AD829" s="11"/>
      <c r="AE829" s="9"/>
      <c r="AF829" s="11"/>
      <c r="AG829" s="9"/>
      <c r="AH829" s="11"/>
      <c r="AI829" s="9"/>
      <c r="AJ829" s="11"/>
      <c r="AK829" s="9"/>
      <c r="AL829" s="11"/>
      <c r="AM829" s="9"/>
      <c r="AN829" s="11"/>
      <c r="AO829" s="9"/>
      <c r="AP829" s="11"/>
      <c r="AQ829" s="9"/>
      <c r="AR829" s="11"/>
      <c r="AS829" s="9"/>
      <c r="AT829" s="11"/>
      <c r="AU829" s="9"/>
      <c r="AV829" s="11"/>
      <c r="AW829" s="9"/>
      <c r="AX829" s="11"/>
      <c r="AY829" s="9"/>
      <c r="AZ829" s="11"/>
      <c r="BA829" s="9"/>
      <c r="BB829" s="11"/>
      <c r="BC829" s="9"/>
      <c r="BD829" s="11"/>
      <c r="BE829" s="9"/>
      <c r="BF829" s="11"/>
      <c r="BG829" s="9"/>
      <c r="BH829" s="11"/>
      <c r="BI829" s="9"/>
      <c r="BJ829" s="11"/>
      <c r="BK829" s="9"/>
      <c r="BL829" s="11"/>
      <c r="BM829" s="9"/>
      <c r="BN829" s="11"/>
      <c r="BO829" s="9"/>
      <c r="BP829" s="11"/>
      <c r="BQ829" s="9"/>
      <c r="BR829" s="11"/>
      <c r="BS829" s="9"/>
      <c r="BT829" s="11"/>
      <c r="BU829" s="9"/>
      <c r="BV829" s="11"/>
      <c r="BW829" s="9"/>
      <c r="BX829" s="11"/>
      <c r="BY829" s="9"/>
      <c r="BZ829" s="11"/>
      <c r="CA829" s="9"/>
      <c r="CB829" s="11"/>
      <c r="CC829" s="9"/>
      <c r="CD829" s="11"/>
      <c r="CE829" s="9"/>
      <c r="CF829" s="11"/>
      <c r="CG829" s="9"/>
      <c r="CH829" s="11"/>
      <c r="CI829" s="9"/>
      <c r="CJ829" s="11"/>
      <c r="CK829" s="9"/>
      <c r="CL829" s="11"/>
      <c r="CM829" s="9"/>
      <c r="CN829" s="11"/>
      <c r="CO829" s="9"/>
      <c r="CP829" s="11"/>
      <c r="CQ829" s="9"/>
      <c r="CR829" s="11"/>
      <c r="CS829" s="9"/>
      <c r="CT829" s="11"/>
      <c r="CU829" s="9"/>
      <c r="CV829" s="11"/>
      <c r="CW829" s="9"/>
      <c r="CX829" s="11"/>
      <c r="CY829" s="9"/>
      <c r="CZ829" s="11"/>
      <c r="DA829" s="9"/>
      <c r="DB829" s="11"/>
      <c r="DC829" s="9"/>
      <c r="DD829" s="11"/>
      <c r="DE829" s="9"/>
      <c r="DF829" s="11"/>
      <c r="DG829" s="9"/>
      <c r="DH829" s="11"/>
      <c r="DI829" s="9"/>
      <c r="DJ829" s="11"/>
      <c r="DK829" s="9"/>
      <c r="DL829" s="11"/>
      <c r="DM829" s="9"/>
      <c r="DN829" s="11"/>
      <c r="DO829" s="9"/>
      <c r="DP829" s="11"/>
      <c r="DQ829" s="9"/>
      <c r="DR829" s="11"/>
      <c r="DS829" s="9"/>
      <c r="DT829" s="11"/>
      <c r="DU829" s="9"/>
      <c r="DV829" s="11"/>
      <c r="DW829" s="9"/>
      <c r="DX829" s="11"/>
      <c r="DY829" s="9"/>
      <c r="DZ829" s="11"/>
      <c r="EA829" s="9"/>
      <c r="EB829" s="11"/>
      <c r="EC829" s="9"/>
      <c r="ED829" s="11"/>
      <c r="EE829" s="9"/>
      <c r="EF829" s="11"/>
      <c r="EG829" s="9"/>
      <c r="EH829" s="11"/>
      <c r="EI829" s="9"/>
      <c r="EJ829" s="11"/>
      <c r="EK829" s="9"/>
      <c r="EL829" s="11"/>
      <c r="EM829" s="9"/>
      <c r="EN829" s="11"/>
      <c r="EO829" s="9"/>
      <c r="EP829" s="11"/>
      <c r="EQ829" s="9"/>
      <c r="ER829" s="11"/>
      <c r="ES829" s="9"/>
      <c r="ET829" s="11"/>
      <c r="EU829" s="9"/>
      <c r="EV829" s="11"/>
      <c r="EW829" s="9"/>
      <c r="EX829" s="11"/>
      <c r="EY829" s="11"/>
      <c r="EZ829" s="335"/>
      <c r="FA829" s="11"/>
      <c r="FB829" s="9"/>
      <c r="FC829" s="11"/>
      <c r="FD829" s="9"/>
      <c r="FE829" s="11"/>
      <c r="FF829" s="9"/>
      <c r="FG829" s="11"/>
      <c r="FH829" s="9"/>
      <c r="FI829" s="11"/>
      <c r="FJ829" s="9"/>
      <c r="FK829" s="11"/>
      <c r="FL829" s="9"/>
      <c r="FM829" s="11"/>
      <c r="FN829" s="9"/>
      <c r="FO829" s="11"/>
      <c r="FP829" s="9"/>
      <c r="FQ829" s="11"/>
      <c r="FR829" s="9"/>
      <c r="FS829" s="11"/>
      <c r="FT829" s="9"/>
      <c r="FU829" s="11"/>
      <c r="FV829" s="9"/>
      <c r="FW829" s="11"/>
      <c r="FX829" s="9"/>
      <c r="FY829" s="11"/>
      <c r="FZ829" s="9"/>
      <c r="GA829" s="11"/>
      <c r="GB829" s="9"/>
      <c r="GC829" s="11"/>
      <c r="GD829" s="9"/>
      <c r="GE829" s="11"/>
      <c r="GF829" s="9"/>
      <c r="GG829" s="11"/>
      <c r="GH829" s="9"/>
      <c r="GI829" s="11"/>
      <c r="GJ829" s="9"/>
      <c r="GK829" s="11"/>
      <c r="GL829" s="9"/>
      <c r="GM829" s="11"/>
      <c r="GN829" s="9"/>
      <c r="GO829" s="11"/>
      <c r="GP829" s="9"/>
      <c r="GQ829" s="11"/>
      <c r="GR829" s="9"/>
      <c r="GS829" s="11"/>
      <c r="GT829" s="9"/>
      <c r="GU829" s="11"/>
      <c r="GV829" s="9"/>
      <c r="GW829" s="11"/>
      <c r="GX829" s="9"/>
      <c r="GY829" s="11"/>
      <c r="GZ829" s="11"/>
      <c r="HA829" s="11"/>
      <c r="HB829" s="11"/>
      <c r="HC829"/>
      <c r="HD829"/>
      <c r="HE829"/>
      <c r="HF829"/>
      <c r="HG829"/>
      <c r="HH829"/>
      <c r="HI829" s="2"/>
    </row>
    <row r="830" spans="2:217" s="3" customFormat="1" ht="12.75" hidden="1" customHeight="1" outlineLevel="1" x14ac:dyDescent="0.2">
      <c r="B830" s="10" t="s">
        <v>151</v>
      </c>
      <c r="C830" s="9"/>
      <c r="D830" s="11"/>
      <c r="E830" s="9"/>
      <c r="F830" s="11"/>
      <c r="G830" s="9"/>
      <c r="H830" s="11"/>
      <c r="I830" s="9"/>
      <c r="J830" s="11"/>
      <c r="K830" s="9"/>
      <c r="L830" s="11"/>
      <c r="M830" s="9"/>
      <c r="N830" s="11"/>
      <c r="O830" s="9"/>
      <c r="P830" s="11"/>
      <c r="Q830" s="9"/>
      <c r="R830" s="11"/>
      <c r="S830" s="9"/>
      <c r="T830" s="11"/>
      <c r="U830" s="9"/>
      <c r="V830" s="11"/>
      <c r="W830" s="9"/>
      <c r="X830" s="11"/>
      <c r="Y830" s="9"/>
      <c r="Z830" s="11"/>
      <c r="AA830" s="9"/>
      <c r="AB830" s="11"/>
      <c r="AC830" s="9"/>
      <c r="AD830" s="11"/>
      <c r="AE830" s="9"/>
      <c r="AF830" s="11"/>
      <c r="AG830" s="9"/>
      <c r="AH830" s="11"/>
      <c r="AI830" s="9"/>
      <c r="AJ830" s="11"/>
      <c r="AK830" s="9"/>
      <c r="AL830" s="11"/>
      <c r="AM830" s="9"/>
      <c r="AN830" s="11"/>
      <c r="AO830" s="9"/>
      <c r="AP830" s="11"/>
      <c r="AQ830" s="9"/>
      <c r="AR830" s="11"/>
      <c r="AS830" s="9"/>
      <c r="AT830" s="11"/>
      <c r="AU830" s="9"/>
      <c r="AV830" s="11"/>
      <c r="AW830" s="9"/>
      <c r="AX830" s="11"/>
      <c r="AY830" s="9"/>
      <c r="AZ830" s="11"/>
      <c r="BA830" s="9"/>
      <c r="BB830" s="11"/>
      <c r="BC830" s="9"/>
      <c r="BD830" s="11"/>
      <c r="BE830" s="9"/>
      <c r="BF830" s="11"/>
      <c r="BG830" s="196">
        <f>BG93*(1-(BG$802/100))</f>
        <v>118.51093294460641</v>
      </c>
      <c r="BH830" s="196"/>
      <c r="BI830" s="196">
        <f>BI93*(1-(BI$802/100))</f>
        <v>128.45673505798393</v>
      </c>
      <c r="BJ830" s="196"/>
      <c r="BK830" s="196">
        <f>BK93*(1-(BK$802/100))</f>
        <v>145.003861003861</v>
      </c>
      <c r="BL830" s="196"/>
      <c r="BM830" s="196">
        <f>BM93*(1-(BM$802/100))</f>
        <v>130.25390625</v>
      </c>
      <c r="BN830" s="196"/>
      <c r="BO830" s="196">
        <f>BO93*(1-(BO$802/100))</f>
        <v>84.769989047097482</v>
      </c>
      <c r="BP830" s="196"/>
      <c r="BQ830" s="196">
        <f>BQ93*(1-(BQ$802/100))</f>
        <v>115.01615798922801</v>
      </c>
      <c r="BR830" s="196"/>
      <c r="BS830" s="196">
        <f>BS93*(1-(BS$802/100))</f>
        <v>-212.46026490066225</v>
      </c>
      <c r="BT830" s="196"/>
      <c r="BU830" s="196">
        <f>BU93*(1-(BU$802/100))</f>
        <v>-771.77834179357023</v>
      </c>
      <c r="BV830" s="196"/>
      <c r="BW830" s="196">
        <f>BW93*(1-(BW$802/100))</f>
        <v>-188.22857142857143</v>
      </c>
      <c r="BX830" s="196"/>
      <c r="BY830" s="196">
        <f>BY93*(1-(BY$802/100))</f>
        <v>360.77892030848335</v>
      </c>
      <c r="BZ830" s="196"/>
      <c r="CA830" s="196">
        <f>CA93*(1-(CA$802/100))</f>
        <v>242.30769230769232</v>
      </c>
      <c r="CB830" s="196"/>
      <c r="CC830" s="196">
        <f>CC93*(1-(CC$802/100))</f>
        <v>142.66405228758168</v>
      </c>
      <c r="CD830" s="196"/>
      <c r="CE830" s="196">
        <f>CE93*(1-(CE$802/100))</f>
        <v>166.64719626168224</v>
      </c>
      <c r="CF830" s="196"/>
      <c r="CG830" s="196">
        <f>CG93*(1-(CG$802/100))</f>
        <v>-111.37959183673469</v>
      </c>
      <c r="CH830" s="196"/>
      <c r="CI830" s="196">
        <f>CI93*(1-(CI$802/100))</f>
        <v>404.14285714285717</v>
      </c>
      <c r="CJ830" s="196"/>
      <c r="CK830" s="196">
        <f>CK93*(1-(CK$802/100))</f>
        <v>229.85424354243546</v>
      </c>
      <c r="CL830" s="196"/>
      <c r="CM830" s="196">
        <f>CM93*(1-(CM$802/100))</f>
        <v>199.84130434782611</v>
      </c>
      <c r="CN830" s="196"/>
      <c r="CO830" s="196">
        <f>CO93*(1-(CO$802/100))</f>
        <v>151.63085106382979</v>
      </c>
      <c r="CP830" s="196"/>
      <c r="CQ830" s="196">
        <f>CQ93*(1-(CQ$802/100))</f>
        <v>-150.93913043478261</v>
      </c>
      <c r="CR830" s="196"/>
      <c r="CS830" s="196">
        <f>CS93*(1-(CS$802/100))</f>
        <v>271.19468253968256</v>
      </c>
      <c r="CT830" s="196"/>
      <c r="CU830" s="196">
        <f>CU93*(1-(CU$802/100))</f>
        <v>307.52851423487544</v>
      </c>
      <c r="CV830" s="196"/>
      <c r="CW830" s="196">
        <f>CW93*(1-(CW$802/100))</f>
        <v>80.872371364653247</v>
      </c>
      <c r="CX830" s="196"/>
      <c r="CY830" s="196">
        <f>CY93*(1-(CY$802/100))</f>
        <v>152.10507996237064</v>
      </c>
      <c r="CZ830" s="196"/>
      <c r="DA830" s="196">
        <f>DA93*(1-(DA$802/100))</f>
        <v>234.43830570902395</v>
      </c>
      <c r="DB830" s="196"/>
      <c r="DC830" s="196">
        <f>DC93*(1-(DC$802/100))</f>
        <v>269.75651586765701</v>
      </c>
      <c r="DD830" s="196"/>
      <c r="DE830" s="196">
        <f>DE93*(1-(DE$802/100))</f>
        <v>288.08929743926461</v>
      </c>
      <c r="DF830" s="196"/>
      <c r="DG830" s="196">
        <f>DG93*(1-(DG$802/100))</f>
        <v>589.01728266527846</v>
      </c>
      <c r="DH830" s="196"/>
      <c r="DI830" s="196">
        <f>DI93*(1-(DI$802/100))</f>
        <v>352.67241847826085</v>
      </c>
      <c r="DJ830" s="196"/>
      <c r="DK830" s="196">
        <f>DK93*(1-(DK$802/100))</f>
        <v>280.81222151495865</v>
      </c>
      <c r="DL830" s="196"/>
      <c r="DM830" s="196">
        <f>DM93*(1-(DM$802/100))</f>
        <v>282.58780036968579</v>
      </c>
      <c r="DN830" s="196"/>
      <c r="DO830" s="196">
        <f>DO93*(1-(DO$802/100))</f>
        <v>280.47154471544712</v>
      </c>
      <c r="DP830" s="196"/>
      <c r="DQ830" s="196">
        <f>DQ93*(1-(DQ$802/100))</f>
        <v>241.32044609665425</v>
      </c>
      <c r="DR830" s="196"/>
      <c r="DS830" s="196">
        <f>DS93*(1-(DS$802/100))</f>
        <v>393.49111747851003</v>
      </c>
      <c r="DT830" s="196"/>
      <c r="DU830" s="196">
        <f>DU93*(1-(DU$802/100))</f>
        <v>401.84682237914177</v>
      </c>
      <c r="DV830" s="196"/>
      <c r="DW830" s="196">
        <f>DW93*(1-(DW$802/100))</f>
        <v>235.20164046479834</v>
      </c>
      <c r="DX830" s="196"/>
      <c r="DY830" s="196">
        <f>DY93*(1-(DY$802/100))</f>
        <v>309.06091370558374</v>
      </c>
      <c r="DZ830" s="196"/>
      <c r="EA830" s="196">
        <f>EA93*(1-(EA$802/100))</f>
        <v>246.80452830188679</v>
      </c>
      <c r="EB830" s="196"/>
      <c r="EC830" s="196">
        <f>EC93*(1-(EC$802/100))</f>
        <v>334.89403973509934</v>
      </c>
      <c r="ED830" s="196"/>
      <c r="EE830" s="196">
        <f>EE93*(1-(EE$802/100))</f>
        <v>449.4916559691913</v>
      </c>
      <c r="EF830" s="196"/>
      <c r="EG830" s="196">
        <f>EG93*(1-(EG$802/100))</f>
        <v>315.27073337902675</v>
      </c>
      <c r="EH830" s="196"/>
      <c r="EI830" s="196">
        <f>EI93*(1-(EI$802/100))</f>
        <v>348.74457831325304</v>
      </c>
      <c r="EJ830" s="196"/>
      <c r="EK830" s="196">
        <f>EK93*(1-(EK$802/100))</f>
        <v>458.00325732899023</v>
      </c>
      <c r="EL830" s="196"/>
      <c r="EM830" s="196">
        <f>EM93*(1-(EM$802/100))</f>
        <v>427.89854260089686</v>
      </c>
      <c r="EN830" s="196"/>
      <c r="EO830" s="196">
        <f>EO93*(1-(EO$802/100))</f>
        <v>403.68511450381681</v>
      </c>
      <c r="EP830" s="196"/>
      <c r="EQ830" s="196">
        <f>EQ93*(1-(EQ$802/100))</f>
        <v>411.22784279682156</v>
      </c>
      <c r="ER830" s="196"/>
      <c r="ES830" s="196">
        <f>ES93*(1-(ES$802/100))</f>
        <v>408.47991298551079</v>
      </c>
      <c r="ET830" s="196"/>
      <c r="EU830" s="196">
        <f>EU93*(1-(EU$802/100))</f>
        <v>408.98081311256544</v>
      </c>
      <c r="EV830" s="196"/>
      <c r="EW830" s="196">
        <f>EW93*(1-(EW$802/100))</f>
        <v>393.2896972040528</v>
      </c>
      <c r="EX830" s="196"/>
      <c r="EY830" s="196"/>
      <c r="EZ830" s="346"/>
      <c r="FA830" s="196"/>
      <c r="FB830" s="196">
        <f>FB93*(1-(FB$802/100))</f>
        <v>175</v>
      </c>
      <c r="FC830" s="196"/>
      <c r="FD830" s="196">
        <f>FD93*(1-(FD$802/100))</f>
        <v>13.159636062861868</v>
      </c>
      <c r="FE830" s="196"/>
      <c r="FF830" s="196">
        <f>FF93*(1-(FF$802/100))</f>
        <v>19.995614754098359</v>
      </c>
      <c r="FG830" s="196"/>
      <c r="FH830" s="196">
        <f>FH93*(1-(FH$802/100))</f>
        <v>35.287389229720517</v>
      </c>
      <c r="FI830" s="196"/>
      <c r="FJ830" s="196">
        <f>FJ93*(1-(FJ$802/100))</f>
        <v>-15.070933482392396</v>
      </c>
      <c r="FK830" s="196"/>
      <c r="FL830" s="196">
        <f>FL93*(1-(FL$802/100))</f>
        <v>129.97685673215142</v>
      </c>
      <c r="FM830" s="196"/>
      <c r="FN830" s="196">
        <f>FN93*(1-(FN$802/100))</f>
        <v>248.25851140890978</v>
      </c>
      <c r="FO830" s="196"/>
      <c r="FP830" s="196">
        <f>FP93*(1-(FP$802/100))</f>
        <v>304.30260856893034</v>
      </c>
      <c r="FQ830" s="196"/>
      <c r="FR830" s="196">
        <f>FR93*(1-(FR$802/100))</f>
        <v>342.10358698437096</v>
      </c>
      <c r="FS830" s="196"/>
      <c r="FT830" s="196">
        <f>FT93*(1-(FT$802/100))</f>
        <v>436.73871650211572</v>
      </c>
      <c r="FU830" s="196"/>
      <c r="FV830" s="196">
        <f>FV93*(1-(FV$802/100))</f>
        <v>540.57766781411385</v>
      </c>
      <c r="FW830" s="196"/>
      <c r="FX830" s="196">
        <f>FX93*(1-(FX$802/100))</f>
        <v>252.7061694915254</v>
      </c>
      <c r="FY830" s="196"/>
      <c r="FZ830" s="196">
        <f>FZ93*(1-(FZ$802/100))</f>
        <v>530.55502457673413</v>
      </c>
      <c r="GA830" s="196"/>
      <c r="GB830" s="196">
        <f>GB93*(1-(GB$802/100))</f>
        <v>407.43557668251191</v>
      </c>
      <c r="GC830" s="196"/>
      <c r="GD830" s="196">
        <f>GD93*(1-(GD$802/100))</f>
        <v>652.52291816654679</v>
      </c>
      <c r="GE830" s="196"/>
      <c r="GF830" s="196">
        <f>GF93*(1-(GF$802/100))</f>
        <v>1565.4611536657808</v>
      </c>
      <c r="GG830" s="17"/>
      <c r="GH830" s="196">
        <f>GH93*(1-(GH$802/100))</f>
        <v>1061.6578411405294</v>
      </c>
      <c r="GI830" s="17"/>
      <c r="GJ830" s="196">
        <f>GJ93*(1-(GJ$802/100))</f>
        <v>1340.7563793933559</v>
      </c>
      <c r="GK830" s="17"/>
      <c r="GL830" s="196">
        <f>GL93*(1-(GL$802/100))</f>
        <v>1342.6291905908502</v>
      </c>
      <c r="GM830" s="17"/>
      <c r="GN830" s="196">
        <f>GN93*(1-(GN$802/100))</f>
        <v>1637.5874439461882</v>
      </c>
      <c r="GO830" s="17"/>
      <c r="GP830" s="196">
        <f>GP93*(1-(GP$802/100))</f>
        <v>1621.9782660989508</v>
      </c>
      <c r="GQ830" s="17"/>
      <c r="GR830" s="196">
        <f>GR93*(1-(GR$802/100))</f>
        <v>1595.7870325370109</v>
      </c>
      <c r="GS830" s="17"/>
      <c r="GT830" s="196">
        <f>GT93*(1-(GT$802/100))</f>
        <v>1572.6330001775671</v>
      </c>
      <c r="GU830" s="17"/>
      <c r="GV830" s="196">
        <f>GV93*(1-(GV$802/100))</f>
        <v>1552.2574908519512</v>
      </c>
      <c r="GW830" s="17"/>
      <c r="GX830" s="196">
        <f>GX93*(1-(GX$802/100))</f>
        <v>1534.6296442739699</v>
      </c>
      <c r="GY830" s="17"/>
      <c r="GZ830" s="196"/>
      <c r="HA830" s="196"/>
      <c r="HB830" s="196"/>
      <c r="HC830"/>
      <c r="HD830"/>
      <c r="HE830"/>
      <c r="HF830"/>
      <c r="HG830"/>
      <c r="HH830"/>
      <c r="HI830" s="2"/>
    </row>
    <row r="831" spans="2:217" s="3" customFormat="1" ht="12.75" hidden="1" customHeight="1" outlineLevel="1" x14ac:dyDescent="0.2">
      <c r="B831" s="10" t="s">
        <v>117</v>
      </c>
      <c r="C831" s="9"/>
      <c r="D831" s="11"/>
      <c r="E831" s="9"/>
      <c r="F831" s="11"/>
      <c r="G831" s="9"/>
      <c r="H831" s="11"/>
      <c r="I831" s="9"/>
      <c r="J831" s="11"/>
      <c r="K831" s="9"/>
      <c r="L831" s="11"/>
      <c r="M831" s="9"/>
      <c r="N831" s="11"/>
      <c r="O831" s="9"/>
      <c r="P831" s="11"/>
      <c r="Q831" s="9"/>
      <c r="R831" s="11"/>
      <c r="S831" s="9"/>
      <c r="T831" s="11"/>
      <c r="U831" s="9"/>
      <c r="V831" s="11"/>
      <c r="W831" s="9"/>
      <c r="X831" s="11"/>
      <c r="Y831" s="9"/>
      <c r="Z831" s="11"/>
      <c r="AA831" s="9"/>
      <c r="AB831" s="11"/>
      <c r="AC831" s="9"/>
      <c r="AD831" s="11"/>
      <c r="AE831" s="9"/>
      <c r="AF831" s="11"/>
      <c r="AG831" s="9"/>
      <c r="AH831" s="11"/>
      <c r="AI831" s="9"/>
      <c r="AJ831" s="11"/>
      <c r="AK831" s="9"/>
      <c r="AL831" s="11"/>
      <c r="AM831" s="9"/>
      <c r="AN831" s="11"/>
      <c r="AO831" s="9"/>
      <c r="AP831" s="11"/>
      <c r="AQ831" s="9"/>
      <c r="AR831" s="11"/>
      <c r="AS831" s="9"/>
      <c r="AT831" s="11"/>
      <c r="AU831" s="9"/>
      <c r="AV831" s="11"/>
      <c r="AW831" s="9"/>
      <c r="AX831" s="11"/>
      <c r="AY831" s="9"/>
      <c r="AZ831" s="11"/>
      <c r="BA831" s="9"/>
      <c r="BB831" s="11"/>
      <c r="BC831" s="9"/>
      <c r="BD831" s="11"/>
      <c r="BE831" s="9"/>
      <c r="BF831" s="11"/>
      <c r="BG831" s="196">
        <f>BG213*(1-(BG$802/100))</f>
        <v>105.66034985422741</v>
      </c>
      <c r="BH831" s="196"/>
      <c r="BI831" s="196">
        <f>BI213*(1-(BI$802/100))</f>
        <v>98.483496877787687</v>
      </c>
      <c r="BJ831" s="196"/>
      <c r="BK831" s="196">
        <f>BK213*(1-(BK$802/100))</f>
        <v>45.97683397683398</v>
      </c>
      <c r="BL831" s="196"/>
      <c r="BM831" s="196">
        <f>BM213*(1-(BM$802/100))</f>
        <v>99.78515625</v>
      </c>
      <c r="BN831" s="196"/>
      <c r="BO831" s="196">
        <f>BO213*(1-(BO$802/100))</f>
        <v>91.404162102957287</v>
      </c>
      <c r="BP831" s="196"/>
      <c r="BQ831" s="196">
        <f>BQ213*(1-(BQ$802/100))</f>
        <v>105.30700179533213</v>
      </c>
      <c r="BR831" s="196"/>
      <c r="BS831" s="196">
        <f>BS213*(1-(BS$802/100))</f>
        <v>92.043046357615893</v>
      </c>
      <c r="BT831" s="196"/>
      <c r="BU831" s="196">
        <f>BU213*(1-(BU$802/100))</f>
        <v>98.793570219966156</v>
      </c>
      <c r="BV831" s="196"/>
      <c r="BW831" s="196">
        <f>BW213*(1-(BW$802/100))</f>
        <v>108</v>
      </c>
      <c r="BX831" s="196"/>
      <c r="BY831" s="196">
        <f>BY213*(1-(BY$802/100))</f>
        <v>77.467866323907458</v>
      </c>
      <c r="BZ831" s="196"/>
      <c r="CA831" s="196">
        <f>CA213*(1-(CA$802/100))</f>
        <v>90</v>
      </c>
      <c r="CB831" s="196"/>
      <c r="CC831" s="196">
        <f>CC213*(1-(CC$802/100))</f>
        <v>95.592156862745099</v>
      </c>
      <c r="CD831" s="196"/>
      <c r="CE831" s="196">
        <f>CE213*(1-(CE$802/100))</f>
        <v>123.6892523364486</v>
      </c>
      <c r="CF831" s="196"/>
      <c r="CG831" s="196">
        <f>CG213*(1-(CG$802/100))</f>
        <v>103.64489795918367</v>
      </c>
      <c r="CH831" s="196"/>
      <c r="CI831" s="196">
        <f>CI213*(1-(CI$802/100))</f>
        <v>86.392857142857153</v>
      </c>
      <c r="CJ831" s="196"/>
      <c r="CK831" s="196">
        <f>CK213*(1-(CK$802/100))</f>
        <v>105.86346863468636</v>
      </c>
      <c r="CL831" s="196"/>
      <c r="CM831" s="196">
        <f>CM213*(1-(CM$802/100))</f>
        <v>125.44782608695654</v>
      </c>
      <c r="CN831" s="196"/>
      <c r="CO831" s="196">
        <f>CO213*(1-(CO$802/100))</f>
        <v>125.26026827012026</v>
      </c>
      <c r="CP831" s="196"/>
      <c r="CQ831" s="196">
        <f>CQ213*(1-(CQ$802/100))</f>
        <v>87.261684782608683</v>
      </c>
      <c r="CR831" s="196"/>
      <c r="CS831" s="196">
        <f>CS213*(1-(CS$802/100))</f>
        <v>101.78888888888889</v>
      </c>
      <c r="CT831" s="196"/>
      <c r="CU831" s="196">
        <f>CU213*(1-(CU$802/100))</f>
        <v>113.9535587188612</v>
      </c>
      <c r="CV831" s="196"/>
      <c r="CW831" s="196">
        <f>CW213*(1-(CW$802/100))</f>
        <v>111.10503355704698</v>
      </c>
      <c r="CX831" s="196"/>
      <c r="CY831" s="196">
        <f>CY213*(1-(CY$802/100))</f>
        <v>80.828786453433679</v>
      </c>
      <c r="CZ831" s="196"/>
      <c r="DA831" s="196">
        <f>DA213*(1-(DA$802/100))</f>
        <v>173.51519337016575</v>
      </c>
      <c r="DB831" s="196"/>
      <c r="DC831" s="196">
        <f>DC213*(1-(DC$802/100))</f>
        <v>165.33463875759622</v>
      </c>
      <c r="DD831" s="196"/>
      <c r="DE831" s="196">
        <f>DE213*(1-(DE$802/100))</f>
        <v>200.94228496388706</v>
      </c>
      <c r="DF831" s="196"/>
      <c r="DG831" s="196">
        <f>DG213*(1-(DG$802/100))</f>
        <v>170.03300364393544</v>
      </c>
      <c r="DH831" s="196"/>
      <c r="DI831" s="196">
        <f>DI213*(1-(DI$802/100))</f>
        <v>211.4600883152174</v>
      </c>
      <c r="DJ831" s="196"/>
      <c r="DK831" s="196">
        <f>DK213*(1-(DK$802/100))</f>
        <v>263.44239338001273</v>
      </c>
      <c r="DL831" s="196"/>
      <c r="DM831" s="196">
        <f>DM213*(1-(DM$802/100))</f>
        <v>207.23105360443626</v>
      </c>
      <c r="DN831" s="196"/>
      <c r="DO831" s="196">
        <f>DO213*(1-(DO$802/100))</f>
        <v>195.64227642276421</v>
      </c>
      <c r="DP831" s="196"/>
      <c r="DQ831" s="196">
        <f>DQ213*(1-(DQ$802/100))</f>
        <v>231.57769516728621</v>
      </c>
      <c r="DR831" s="196"/>
      <c r="DS831" s="196">
        <f>DS213*(1-(DS$802/100))</f>
        <v>211.25042979942694</v>
      </c>
      <c r="DT831" s="196"/>
      <c r="DU831" s="196">
        <f>DU213*(1-(DU$802/100))</f>
        <v>173.79141770776749</v>
      </c>
      <c r="DV831" s="196"/>
      <c r="DW831" s="196">
        <f>DW213*(1-(DW$802/100))</f>
        <v>183.60902255639098</v>
      </c>
      <c r="DX831" s="196"/>
      <c r="DY831" s="196">
        <f>DY213*(1-(DY$802/100))</f>
        <v>126.63959390862944</v>
      </c>
      <c r="DZ831" s="196"/>
      <c r="EA831" s="196">
        <f>EA213*(1-(EA$802/100))</f>
        <v>164.78716981132075</v>
      </c>
      <c r="EB831" s="196"/>
      <c r="EC831" s="196">
        <f>EC213*(1-(EC$802/100))</f>
        <v>185.09366130558183</v>
      </c>
      <c r="ED831" s="196"/>
      <c r="EE831" s="196">
        <f>EE213*(1-(EE$802/100))</f>
        <v>182.70154043645701</v>
      </c>
      <c r="EF831" s="196"/>
      <c r="EG831" s="196">
        <f>EG213*(1-(EG$802/100))</f>
        <v>237.57368060315287</v>
      </c>
      <c r="EH831" s="196"/>
      <c r="EI831" s="196">
        <f>EI213*(1-(EI$802/100))</f>
        <v>295.83674698795181</v>
      </c>
      <c r="EJ831" s="196"/>
      <c r="EK831" s="196">
        <f>EK213*(1-(EK$802/100))</f>
        <v>230.49837133550488</v>
      </c>
      <c r="EL831" s="196"/>
      <c r="EM831" s="196">
        <f>EM213*(1-(EM$802/100))</f>
        <v>183.91479820627802</v>
      </c>
      <c r="EN831" s="196"/>
      <c r="EO831" s="196">
        <f>EO213*(1-(EO$802/100))</f>
        <v>217.13931297709925</v>
      </c>
      <c r="EP831" s="196"/>
      <c r="EQ831" s="196">
        <f>EQ213*(1-(EQ$802/100))</f>
        <v>239.89466086783668</v>
      </c>
      <c r="ER831" s="196"/>
      <c r="ES831" s="196">
        <f>ES213*(1-(ES$802/100))</f>
        <v>222.63266466857621</v>
      </c>
      <c r="ET831" s="196"/>
      <c r="EU831" s="196">
        <f>EU213*(1-(EU$802/100))</f>
        <v>206.56486808665025</v>
      </c>
      <c r="EV831" s="196"/>
      <c r="EW831" s="196">
        <f>EW213*(1-(EW$802/100))</f>
        <v>196.56554829225172</v>
      </c>
      <c r="EX831" s="196"/>
      <c r="EY831" s="196"/>
      <c r="EZ831" s="346"/>
      <c r="FA831" s="196"/>
      <c r="FB831" s="196">
        <f>FB213*(1-(FB$802/100))</f>
        <v>0</v>
      </c>
      <c r="FC831" s="196"/>
      <c r="FD831" s="196">
        <f>FD213*(1-(FD$802/100))</f>
        <v>28.293217535153016</v>
      </c>
      <c r="FE831" s="196"/>
      <c r="FF831" s="196">
        <f>FF213*(1-(FF$802/100))</f>
        <v>26.388770491803278</v>
      </c>
      <c r="FG831" s="196"/>
      <c r="FH831" s="196">
        <f>FH213*(1-(FH$802/100))</f>
        <v>35.617177914110428</v>
      </c>
      <c r="FI831" s="196"/>
      <c r="FJ831" s="196">
        <f>FJ213*(1-(FJ$802/100))</f>
        <v>53.465930687534929</v>
      </c>
      <c r="FK831" s="196"/>
      <c r="FL831" s="196">
        <f>FL213*(1-(FL$802/100))</f>
        <v>95.250215620507902</v>
      </c>
      <c r="FM831" s="196"/>
      <c r="FN831" s="196">
        <f>FN213*(1-(FN$802/100))</f>
        <v>194.18815646504888</v>
      </c>
      <c r="FO831" s="196"/>
      <c r="FP831" s="196">
        <f>FP213*(1-(FP$802/100))</f>
        <v>300.08455260856897</v>
      </c>
      <c r="FQ831" s="196"/>
      <c r="FR831" s="196">
        <f>FR213*(1-(FR$802/100))</f>
        <v>297.73520368946964</v>
      </c>
      <c r="FS831" s="196"/>
      <c r="FT831" s="196">
        <f>FT213*(1-(FT$802/100))</f>
        <v>291.56241184767282</v>
      </c>
      <c r="FU831" s="196"/>
      <c r="FV831" s="196">
        <f>FV213*(1-(FV$802/100))</f>
        <v>-302.83670395869206</v>
      </c>
      <c r="FW831" s="196"/>
      <c r="FX831" s="196">
        <f>FX213*(1-(FX$802/100))</f>
        <v>184.64096610169489</v>
      </c>
      <c r="FY831" s="196"/>
      <c r="FZ831" s="196">
        <f>FZ213*(1-(FZ$802/100))</f>
        <v>315.5406198798471</v>
      </c>
      <c r="GA831" s="196"/>
      <c r="GB831" s="196">
        <f>GB213*(1-(GB$802/100))</f>
        <v>365.58418814110587</v>
      </c>
      <c r="GC831" s="196"/>
      <c r="GD831" s="196">
        <f>GD213*(1-(GD$802/100))</f>
        <v>400.68298536117112</v>
      </c>
      <c r="GE831" s="196"/>
      <c r="GF831" s="196">
        <f>GF213*(1-(GF$802/100))</f>
        <v>780.10270439268402</v>
      </c>
      <c r="GG831" s="17"/>
      <c r="GH831" s="196">
        <f>GH213*(1-(GH$802/100))</f>
        <v>879.28716904276985</v>
      </c>
      <c r="GI831" s="17"/>
      <c r="GJ831" s="196">
        <f>GJ213*(1-(GJ$802/100))</f>
        <v>694.62670518375865</v>
      </c>
      <c r="GK831" s="17"/>
      <c r="GL831" s="196">
        <f>GL213*(1-(GL$802/100))</f>
        <v>769.82478236710506</v>
      </c>
      <c r="GM831" s="17"/>
      <c r="GN831" s="196">
        <f>GN213*(1-(GN$802/100))</f>
        <v>926.82383087764254</v>
      </c>
      <c r="GO831" s="17"/>
      <c r="GP831" s="196">
        <f>GP213*(1-(GP$802/100))</f>
        <v>865.6577419153142</v>
      </c>
      <c r="GQ831" s="17"/>
      <c r="GR831" s="196">
        <f>GR213*(1-(GR$802/100))</f>
        <v>888.30495521474529</v>
      </c>
      <c r="GS831" s="17"/>
      <c r="GT831" s="196">
        <f>GT213*(1-(GT$802/100))</f>
        <v>906.6075872988398</v>
      </c>
      <c r="GU831" s="17"/>
      <c r="GV831" s="196">
        <f>GV213*(1-(GV$802/100))</f>
        <v>925.22648086032689</v>
      </c>
      <c r="GW831" s="17"/>
      <c r="GX831" s="196">
        <f>GX213*(1-(GX$802/100))</f>
        <v>944.16614258838763</v>
      </c>
      <c r="GY831" s="17"/>
      <c r="GZ831" s="196"/>
      <c r="HA831" s="196"/>
      <c r="HB831" s="196"/>
      <c r="HC831"/>
      <c r="HD831"/>
      <c r="HE831"/>
      <c r="HF831"/>
      <c r="HG831"/>
      <c r="HH831"/>
      <c r="HI831" s="2"/>
    </row>
    <row r="832" spans="2:217" s="3" customFormat="1" ht="12.75" hidden="1" customHeight="1" outlineLevel="1" x14ac:dyDescent="0.2">
      <c r="B832" s="10" t="s">
        <v>554</v>
      </c>
      <c r="C832" s="9"/>
      <c r="D832" s="11"/>
      <c r="E832" s="9"/>
      <c r="F832" s="11"/>
      <c r="G832" s="9"/>
      <c r="H832" s="11"/>
      <c r="I832" s="9"/>
      <c r="J832" s="11"/>
      <c r="K832" s="9"/>
      <c r="L832" s="11"/>
      <c r="M832" s="9"/>
      <c r="N832" s="11"/>
      <c r="O832" s="9"/>
      <c r="P832" s="11"/>
      <c r="Q832" s="9"/>
      <c r="R832" s="11"/>
      <c r="S832" s="9"/>
      <c r="T832" s="11"/>
      <c r="U832" s="9"/>
      <c r="V832" s="11"/>
      <c r="W832" s="9"/>
      <c r="X832" s="11"/>
      <c r="Y832" s="9"/>
      <c r="Z832" s="11"/>
      <c r="AA832" s="9"/>
      <c r="AB832" s="11"/>
      <c r="AC832" s="9"/>
      <c r="AD832" s="11"/>
      <c r="AE832" s="9"/>
      <c r="AF832" s="11"/>
      <c r="AG832" s="9"/>
      <c r="AH832" s="11"/>
      <c r="AI832" s="9"/>
      <c r="AJ832" s="11"/>
      <c r="AK832" s="9"/>
      <c r="AL832" s="11"/>
      <c r="AM832" s="9"/>
      <c r="AN832" s="11"/>
      <c r="AO832" s="9"/>
      <c r="AP832" s="11"/>
      <c r="AQ832" s="9"/>
      <c r="AR832" s="11"/>
      <c r="AS832" s="9"/>
      <c r="AT832" s="11"/>
      <c r="AU832" s="9"/>
      <c r="AV832" s="11"/>
      <c r="AW832" s="9"/>
      <c r="AX832" s="11"/>
      <c r="AY832" s="9"/>
      <c r="AZ832" s="11"/>
      <c r="BA832" s="9"/>
      <c r="BB832" s="11"/>
      <c r="BC832" s="9"/>
      <c r="BD832" s="11"/>
      <c r="BE832" s="9"/>
      <c r="BF832" s="11"/>
      <c r="BG832" s="196">
        <f>BG316*(1-(BG$802/100))</f>
        <v>124.93622448979592</v>
      </c>
      <c r="BH832" s="196"/>
      <c r="BI832" s="196">
        <f>BI316*(1-(BI$802/100))</f>
        <v>119.17930419268509</v>
      </c>
      <c r="BJ832" s="196"/>
      <c r="BK832" s="196">
        <f>BK316*(1-(BK$802/100))</f>
        <v>113.88108108108108</v>
      </c>
      <c r="BL832" s="196"/>
      <c r="BM832" s="196">
        <f>BM316*(1-(BM$802/100))</f>
        <v>150.8203125</v>
      </c>
      <c r="BN832" s="196"/>
      <c r="BO832" s="196">
        <f>BO316*(1-(BO$802/100))</f>
        <v>87.718510405257391</v>
      </c>
      <c r="BP832" s="196"/>
      <c r="BQ832" s="196">
        <f>BQ316*(1-(BQ$802/100))</f>
        <v>141.90305206463196</v>
      </c>
      <c r="BR832" s="196"/>
      <c r="BS832" s="196">
        <f>BS316*(1-(BS$802/100))</f>
        <v>-5.5364238410596025</v>
      </c>
      <c r="BT832" s="196"/>
      <c r="BU832" s="196">
        <f>BU316*(1-(BU$802/100))</f>
        <v>-51.253807106598984</v>
      </c>
      <c r="BV832" s="196"/>
      <c r="BW832" s="196">
        <f>BW316*(1-(BW$802/100))</f>
        <v>-0.77142857142857146</v>
      </c>
      <c r="BX832" s="196"/>
      <c r="BY832" s="196">
        <f>BY316*(1-(BY$802/100))</f>
        <v>24.347043701799489</v>
      </c>
      <c r="BZ832" s="196"/>
      <c r="CA832" s="196">
        <f>CA316*(1-(CA$802/100))</f>
        <v>22.30769230769231</v>
      </c>
      <c r="CB832" s="196"/>
      <c r="CC832" s="196">
        <f>CC316*(1-(CC$802/100))</f>
        <v>-4.3450980392156859</v>
      </c>
      <c r="CD832" s="196"/>
      <c r="CE832" s="196">
        <f>CE316*(1-(CE$802/100))</f>
        <v>61.47429906542056</v>
      </c>
      <c r="CF832" s="196"/>
      <c r="CG832" s="196">
        <f>CG316*(1-(CG$802/100))</f>
        <v>95.910204081632642</v>
      </c>
      <c r="CH832" s="196"/>
      <c r="CI832" s="196">
        <f>CI316*(1-(CI$802/100))</f>
        <v>108.35714285714286</v>
      </c>
      <c r="CJ832" s="196"/>
      <c r="CK832" s="196">
        <f>CK316*(1-(CK$802/100))</f>
        <v>95.712177121771219</v>
      </c>
      <c r="CL832" s="196"/>
      <c r="CM832" s="196">
        <f>CM316*(1-(CM$802/100))</f>
        <v>112.31956521739131</v>
      </c>
      <c r="CN832" s="196"/>
      <c r="CO832" s="196">
        <f>CO316*(1-(CO$802/100))</f>
        <v>166.28117483811286</v>
      </c>
      <c r="CP832" s="196"/>
      <c r="CQ832" s="196">
        <f>CQ316*(1-(CQ$802/100))</f>
        <v>96.695380434782606</v>
      </c>
      <c r="CR832" s="196"/>
      <c r="CS832" s="196">
        <f>CS316*(1-(CS$802/100))</f>
        <v>186.12825396825397</v>
      </c>
      <c r="CT832" s="196"/>
      <c r="CU832" s="196">
        <f>CU316*(1-(CU$802/100))</f>
        <v>107.3793149466192</v>
      </c>
      <c r="CV832" s="196"/>
      <c r="CW832" s="196">
        <f>CW316*(1-(CW$802/100))</f>
        <v>41.569910514541391</v>
      </c>
      <c r="CX832" s="196"/>
      <c r="CY832" s="196">
        <f>CY316*(1-(CY$802/100))</f>
        <v>144.75700846660396</v>
      </c>
      <c r="CZ832" s="196"/>
      <c r="DA832" s="196">
        <f>DA316*(1-(DA$802/100))</f>
        <v>142.66804788213628</v>
      </c>
      <c r="DB832" s="196"/>
      <c r="DC832" s="196">
        <f>DC316*(1-(DC$802/100))</f>
        <v>122.55067521944633</v>
      </c>
      <c r="DD832" s="196"/>
      <c r="DE832" s="196">
        <f>DE316*(1-(DE$802/100))</f>
        <v>123.87839789888378</v>
      </c>
      <c r="DF832" s="196"/>
      <c r="DG832" s="196">
        <f>DG316*(1-(DG$802/100))</f>
        <v>124.11691827173347</v>
      </c>
      <c r="DH832" s="196"/>
      <c r="DI832" s="196">
        <f>DI316*(1-(DI$802/100))</f>
        <v>149.81409646739129</v>
      </c>
      <c r="DJ832" s="196"/>
      <c r="DK832" s="196">
        <f>DK316*(1-(DK$802/100))</f>
        <v>139.68236791852323</v>
      </c>
      <c r="DL832" s="196"/>
      <c r="DM832" s="196">
        <f>DM316*(1-(DM$802/100))</f>
        <v>144.91682070240296</v>
      </c>
      <c r="DN832" s="196"/>
      <c r="DO832" s="196">
        <f>DO316*(1-(DO$802/100))</f>
        <v>152.84552845528455</v>
      </c>
      <c r="DP832" s="196"/>
      <c r="DQ832" s="196">
        <f>DQ316*(1-(DQ$802/100))</f>
        <v>143.89293680297396</v>
      </c>
      <c r="DR832" s="196"/>
      <c r="DS832" s="196">
        <f>DS316*(1-(DS$802/100))</f>
        <v>152.48710601719199</v>
      </c>
      <c r="DT832" s="196"/>
      <c r="DU832" s="196">
        <f>DU316*(1-(DU$802/100))</f>
        <v>143.72623574144487</v>
      </c>
      <c r="DV832" s="196"/>
      <c r="DW832" s="196">
        <f>DW316*(1-(DW$802/100))</f>
        <v>136.56869446343131</v>
      </c>
      <c r="DX832" s="196"/>
      <c r="DY832" s="196">
        <f>DY316*(1-(DY$802/100))</f>
        <v>149.25380710659897</v>
      </c>
      <c r="DZ832" s="196"/>
      <c r="EA832" s="196">
        <f>EA316*(1-(EA$802/100))</f>
        <v>124.15471698113208</v>
      </c>
      <c r="EB832" s="196"/>
      <c r="EC832" s="196">
        <f>EC316*(1-(EC$802/100))</f>
        <v>162.34910122989595</v>
      </c>
      <c r="ED832" s="196"/>
      <c r="EE832" s="196">
        <f>EE316*(1-(EE$802/100))</f>
        <v>146.00834403080873</v>
      </c>
      <c r="EF832" s="196"/>
      <c r="EG832" s="196">
        <f>EG316*(1-(EG$802/100))</f>
        <v>167.34749828649763</v>
      </c>
      <c r="EH832" s="196"/>
      <c r="EI832" s="196">
        <f>EI316*(1-(EI$802/100))</f>
        <v>146.055421686747</v>
      </c>
      <c r="EJ832" s="196"/>
      <c r="EK832" s="196">
        <f>EK316*(1-(EK$802/100))</f>
        <v>163.14495114006516</v>
      </c>
      <c r="EL832" s="196"/>
      <c r="EM832" s="196">
        <f>EM316*(1-(EM$802/100))</f>
        <v>192.07230941704037</v>
      </c>
      <c r="EN832" s="196"/>
      <c r="EO832" s="196">
        <f>EO316*(1-(EO$802/100))</f>
        <v>228.3320610687023</v>
      </c>
      <c r="EP832" s="196"/>
      <c r="EQ832" s="196">
        <f>EQ316*(1-(EQ$802/100))</f>
        <v>194.0341807162072</v>
      </c>
      <c r="ER832" s="196"/>
      <c r="ES832" s="196">
        <f>ES316*(1-(ES$802/100))</f>
        <v>193.50289821483116</v>
      </c>
      <c r="ET832" s="196"/>
      <c r="EU832" s="196">
        <f>EU316*(1-(EU$802/100))</f>
        <v>196.38518059067184</v>
      </c>
      <c r="EV832" s="196"/>
      <c r="EW832" s="196">
        <f>EW316*(1-(EW$802/100))</f>
        <v>195.84854482679907</v>
      </c>
      <c r="EX832" s="196"/>
      <c r="EY832" s="196"/>
      <c r="EZ832" s="346"/>
      <c r="FA832" s="196"/>
      <c r="FB832" s="196">
        <f>FB316*(1-(FB$802/100))</f>
        <v>0</v>
      </c>
      <c r="FC832" s="196"/>
      <c r="FD832" s="196">
        <f>FD316*(1-(FD$802/100))</f>
        <v>30.398759305210916</v>
      </c>
      <c r="FE832" s="196"/>
      <c r="FF832" s="196">
        <f>FF316*(1-(FF$802/100))</f>
        <v>33.598073770491801</v>
      </c>
      <c r="FG832" s="196"/>
      <c r="FH832" s="196">
        <f>FH316*(1-(FH$802/100))</f>
        <v>64.638582140422628</v>
      </c>
      <c r="FI832" s="196"/>
      <c r="FJ832" s="196">
        <f>FJ316*(1-(FJ$802/100))</f>
        <v>66.025041922861931</v>
      </c>
      <c r="FK832" s="196"/>
      <c r="FL832" s="196">
        <f>FL316*(1-(FL$802/100))</f>
        <v>103.68382846190704</v>
      </c>
      <c r="FM832" s="196"/>
      <c r="FN832" s="196">
        <f>FN316*(1-(FN$802/100))</f>
        <v>154.65284317276348</v>
      </c>
      <c r="FO832" s="196"/>
      <c r="FP832" s="196">
        <f>FP316*(1-(FP$802/100))</f>
        <v>279.59685222967067</v>
      </c>
      <c r="FQ832" s="196"/>
      <c r="FR832" s="196">
        <f>FR316*(1-(FR$802/100))</f>
        <v>321.08698437099667</v>
      </c>
      <c r="FS832" s="196"/>
      <c r="FT832" s="196">
        <f>FT316*(1-(FT$802/100))</f>
        <v>424.03578984485199</v>
      </c>
      <c r="FU832" s="196"/>
      <c r="FV832" s="196">
        <f>FV316*(1-(FV$802/100))</f>
        <v>-131.32358003442349</v>
      </c>
      <c r="FW832" s="196"/>
      <c r="FX832" s="196">
        <f>FX316*(1-(FX$802/100))</f>
        <v>20.68279661016949</v>
      </c>
      <c r="FY832" s="196"/>
      <c r="FZ832" s="196">
        <f>FZ316*(1-(FZ$802/100))</f>
        <v>271.97925996723103</v>
      </c>
      <c r="GA832" s="196"/>
      <c r="GB832" s="196">
        <f>GB316*(1-(GB$802/100))</f>
        <v>467.75081310983239</v>
      </c>
      <c r="GC832" s="196"/>
      <c r="GD832" s="196">
        <f>GD316*(1-(GD$802/100))</f>
        <v>366.76937844972406</v>
      </c>
      <c r="GE832" s="196"/>
      <c r="GF832" s="196">
        <f>GF316*(1-(GF$802/100))</f>
        <v>542.84336407691103</v>
      </c>
      <c r="GG832" s="17"/>
      <c r="GH832" s="196">
        <f>GH316*(1-(GH$802/100))</f>
        <v>568.09911744738622</v>
      </c>
      <c r="GI832" s="17"/>
      <c r="GJ832" s="196">
        <f>GJ316*(1-(GJ$802/100))</f>
        <v>581.21826352110418</v>
      </c>
      <c r="GK832" s="17"/>
      <c r="GL832" s="196">
        <f>GL316*(1-(GL$802/100))</f>
        <v>598.66808668271904</v>
      </c>
      <c r="GM832" s="17"/>
      <c r="GN832" s="196">
        <f>GN316*(1-(GN$802/100))</f>
        <v>729.38949391415758</v>
      </c>
      <c r="GO832" s="17"/>
      <c r="GP832" s="196">
        <f>GP316*(1-(GP$802/100))</f>
        <v>779.7708043485095</v>
      </c>
      <c r="GQ832" s="17"/>
      <c r="GR832" s="196">
        <f>GR316*(1-(GR$802/100))</f>
        <v>822.15878743121334</v>
      </c>
      <c r="GS832" s="17"/>
      <c r="GT832" s="196">
        <f>GT316*(1-(GT$802/100))</f>
        <v>858.21935601499445</v>
      </c>
      <c r="GU832" s="17"/>
      <c r="GV832" s="196">
        <f>GV316*(1-(GV$802/100))</f>
        <v>893.95356281787008</v>
      </c>
      <c r="GW832" s="17"/>
      <c r="GX832" s="196">
        <f>GX316*(1-(GX$802/100))</f>
        <v>919.35905037330417</v>
      </c>
      <c r="GY832" s="17"/>
      <c r="GZ832" s="196"/>
      <c r="HA832" s="196"/>
      <c r="HB832" s="196"/>
      <c r="HC832"/>
      <c r="HD832"/>
      <c r="HE832"/>
      <c r="HF832"/>
      <c r="HG832"/>
      <c r="HH832"/>
      <c r="HI832" s="2"/>
    </row>
    <row r="833" spans="2:217" s="3" customFormat="1" ht="12.75" hidden="1" customHeight="1" outlineLevel="1" x14ac:dyDescent="0.2">
      <c r="B833" s="10" t="s">
        <v>574</v>
      </c>
      <c r="C833" s="9"/>
      <c r="D833" s="11"/>
      <c r="E833" s="9"/>
      <c r="F833" s="11"/>
      <c r="G833" s="9"/>
      <c r="H833" s="11"/>
      <c r="I833" s="9"/>
      <c r="J833" s="11"/>
      <c r="K833" s="9"/>
      <c r="L833" s="11"/>
      <c r="M833" s="9"/>
      <c r="N833" s="11"/>
      <c r="O833" s="9"/>
      <c r="P833" s="11"/>
      <c r="Q833" s="9"/>
      <c r="R833" s="11"/>
      <c r="S833" s="9"/>
      <c r="T833" s="11"/>
      <c r="U833" s="9"/>
      <c r="V833" s="11"/>
      <c r="W833" s="9"/>
      <c r="X833" s="11"/>
      <c r="Y833" s="9"/>
      <c r="Z833" s="11"/>
      <c r="AA833" s="9"/>
      <c r="AB833" s="11"/>
      <c r="AC833" s="9"/>
      <c r="AD833" s="11"/>
      <c r="AE833" s="9"/>
      <c r="AF833" s="11"/>
      <c r="AG833" s="9"/>
      <c r="AH833" s="11"/>
      <c r="AI833" s="9"/>
      <c r="AJ833" s="11"/>
      <c r="AK833" s="9"/>
      <c r="AL833" s="11"/>
      <c r="AM833" s="9"/>
      <c r="AN833" s="11"/>
      <c r="AO833" s="9"/>
      <c r="AP833" s="11"/>
      <c r="AQ833" s="9"/>
      <c r="AR833" s="11"/>
      <c r="AS833" s="9"/>
      <c r="AT833" s="11"/>
      <c r="AU833" s="9"/>
      <c r="AV833" s="11"/>
      <c r="AW833" s="9"/>
      <c r="AX833" s="11"/>
      <c r="AY833" s="9"/>
      <c r="AZ833" s="11"/>
      <c r="BA833" s="9"/>
      <c r="BB833" s="11"/>
      <c r="BC833" s="9"/>
      <c r="BD833" s="11"/>
      <c r="BE833" s="9"/>
      <c r="BF833" s="11"/>
      <c r="BG833" s="196">
        <f>+BG832+BG831+BG830</f>
        <v>349.10750728862973</v>
      </c>
      <c r="BH833" s="196"/>
      <c r="BI833" s="196">
        <f>+BI832+BI831+BI830</f>
        <v>346.11953612845673</v>
      </c>
      <c r="BJ833" s="196"/>
      <c r="BK833" s="196">
        <f>+BK832+BK831+BK830</f>
        <v>304.86177606177603</v>
      </c>
      <c r="BL833" s="196"/>
      <c r="BM833" s="196">
        <f>+BM832+BM831+BM830</f>
        <v>380.859375</v>
      </c>
      <c r="BN833" s="196"/>
      <c r="BO833" s="196">
        <f>+BO832+BO831+BO830</f>
        <v>263.8926615553122</v>
      </c>
      <c r="BP833" s="196"/>
      <c r="BQ833" s="196">
        <f>+BQ832+BQ831+BQ830</f>
        <v>362.22621184919211</v>
      </c>
      <c r="BR833" s="196"/>
      <c r="BS833" s="196">
        <f>+BS832+BS831+BS830</f>
        <v>-125.95364238410596</v>
      </c>
      <c r="BT833" s="196"/>
      <c r="BU833" s="196">
        <f>+BU832+BU831+BU830</f>
        <v>-724.23857868020309</v>
      </c>
      <c r="BV833" s="196"/>
      <c r="BW833" s="196">
        <f>+BW832+BW831+BW830</f>
        <v>-81</v>
      </c>
      <c r="BX833" s="196"/>
      <c r="BY833" s="196">
        <f>+BY832+BY831+BY830</f>
        <v>462.59383033419033</v>
      </c>
      <c r="BZ833" s="196"/>
      <c r="CA833" s="196">
        <f>+CA832+CA831+CA830</f>
        <v>354.61538461538464</v>
      </c>
      <c r="CB833" s="196"/>
      <c r="CC833" s="196">
        <f>+CC832+CC831+CC830</f>
        <v>233.9111111111111</v>
      </c>
      <c r="CD833" s="196"/>
      <c r="CE833" s="196">
        <f>+CE832+CE831+CE830</f>
        <v>351.81074766355141</v>
      </c>
      <c r="CF833" s="196"/>
      <c r="CG833" s="196">
        <f>+CG832+CG831+CG830</f>
        <v>88.175510204081618</v>
      </c>
      <c r="CH833" s="196"/>
      <c r="CI833" s="196">
        <f>+CI832+CI831+CI830</f>
        <v>598.89285714285711</v>
      </c>
      <c r="CJ833" s="196"/>
      <c r="CK833" s="196">
        <f>+CK832+CK831+CK830</f>
        <v>431.42988929889304</v>
      </c>
      <c r="CL833" s="196"/>
      <c r="CM833" s="196">
        <f>+CM832+CM831+CM830</f>
        <v>437.60869565217399</v>
      </c>
      <c r="CN833" s="196"/>
      <c r="CO833" s="196">
        <f>+CO832+CO831+CO830</f>
        <v>443.17229417206295</v>
      </c>
      <c r="CP833" s="196"/>
      <c r="CQ833" s="196">
        <f>+CQ832+CQ831+CQ830</f>
        <v>33.017934782608677</v>
      </c>
      <c r="CR833" s="196"/>
      <c r="CS833" s="196">
        <f>+CS832+CS831+CS830</f>
        <v>559.11182539682545</v>
      </c>
      <c r="CT833" s="196"/>
      <c r="CU833" s="196">
        <f>+CU832+CU831+CU830</f>
        <v>528.86138790035579</v>
      </c>
      <c r="CV833" s="196"/>
      <c r="CW833" s="196">
        <f>+CW832+CW831+CW830</f>
        <v>233.5473154362416</v>
      </c>
      <c r="CX833" s="196"/>
      <c r="CY833" s="196">
        <f>+CY832+CY831+CY830</f>
        <v>377.69087488240825</v>
      </c>
      <c r="CZ833" s="196"/>
      <c r="DA833" s="196">
        <f>+DA832+DA831+DA830</f>
        <v>550.62154696132598</v>
      </c>
      <c r="DB833" s="196"/>
      <c r="DC833" s="196">
        <f>+DC832+DC831+DC830</f>
        <v>557.64182984469949</v>
      </c>
      <c r="DD833" s="196"/>
      <c r="DE833" s="196">
        <f>+DE832+DE831+DE830</f>
        <v>612.90998030203536</v>
      </c>
      <c r="DF833" s="196"/>
      <c r="DG833" s="196">
        <f>+DG832+DG831+DG830</f>
        <v>883.16720458094733</v>
      </c>
      <c r="DH833" s="196"/>
      <c r="DI833" s="196">
        <f>+DI832+DI831+DI830</f>
        <v>713.94660326086955</v>
      </c>
      <c r="DJ833" s="196"/>
      <c r="DK833" s="196">
        <f>+DK832+DK831+DK830</f>
        <v>683.93698281349464</v>
      </c>
      <c r="DL833" s="196"/>
      <c r="DM833" s="196">
        <f>+DM832+DM831+DM830</f>
        <v>634.73567467652492</v>
      </c>
      <c r="DN833" s="196"/>
      <c r="DO833" s="196">
        <f>+DO832+DO831+DO830</f>
        <v>628.95934959349597</v>
      </c>
      <c r="DP833" s="196"/>
      <c r="DQ833" s="196">
        <f>+DQ832+DQ831+DQ830</f>
        <v>616.79107806691445</v>
      </c>
      <c r="DR833" s="196"/>
      <c r="DS833" s="196">
        <f>+DS832+DS831+DS830</f>
        <v>757.22865329512888</v>
      </c>
      <c r="DT833" s="196"/>
      <c r="DU833" s="196">
        <f>+DU832+DU831+DU830</f>
        <v>719.36447582835422</v>
      </c>
      <c r="DV833" s="196"/>
      <c r="DW833" s="196">
        <f>+DW832+DW831+DW830</f>
        <v>555.37935748462064</v>
      </c>
      <c r="DX833" s="196"/>
      <c r="DY833" s="196">
        <f>+DY832+DY831+DY830</f>
        <v>584.95431472081214</v>
      </c>
      <c r="DZ833" s="196"/>
      <c r="EA833" s="196">
        <f>+EA832+EA831+EA830</f>
        <v>535.74641509433957</v>
      </c>
      <c r="EB833" s="196"/>
      <c r="EC833" s="196">
        <f>+EC832+EC831+EC830</f>
        <v>682.3368022705771</v>
      </c>
      <c r="ED833" s="196"/>
      <c r="EE833" s="196">
        <f>+EE832+EE831+EE830</f>
        <v>778.20154043645698</v>
      </c>
      <c r="EF833" s="196"/>
      <c r="EG833" s="196">
        <f>+EG832+EG831+EG830</f>
        <v>720.19191226867724</v>
      </c>
      <c r="EH833" s="196"/>
      <c r="EI833" s="196">
        <f>+EI832+EI831+EI830</f>
        <v>790.63674698795194</v>
      </c>
      <c r="EJ833" s="196"/>
      <c r="EK833" s="196">
        <f>+EK832+EK831+EK830</f>
        <v>851.64657980456025</v>
      </c>
      <c r="EL833" s="196"/>
      <c r="EM833" s="196">
        <f>+EM832+EM831+EM830</f>
        <v>803.88565022421517</v>
      </c>
      <c r="EN833" s="196"/>
      <c r="EO833" s="196">
        <f>+EO832+EO831+EO830</f>
        <v>849.15648854961842</v>
      </c>
      <c r="EP833" s="196"/>
      <c r="EQ833" s="196">
        <f t="shared" ref="EQ833" si="3552">+EQ832+EQ831+EQ830</f>
        <v>845.1566843808655</v>
      </c>
      <c r="ER833" s="196"/>
      <c r="ES833" s="196">
        <f t="shared" ref="ES833" si="3553">+ES832+ES831+ES830</f>
        <v>824.61547586891811</v>
      </c>
      <c r="ET833" s="196"/>
      <c r="EU833" s="196">
        <f t="shared" ref="EU833" si="3554">+EU832+EU831+EU830</f>
        <v>811.93086178988756</v>
      </c>
      <c r="EV833" s="196"/>
      <c r="EW833" s="196">
        <f t="shared" ref="EW833" si="3555">+EW832+EW831+EW830</f>
        <v>785.70379032310359</v>
      </c>
      <c r="EX833" s="196"/>
      <c r="EY833" s="196"/>
      <c r="EZ833" s="346"/>
      <c r="FA833" s="196"/>
      <c r="FB833" s="196">
        <f>+FB832+FB831+FB830</f>
        <v>175</v>
      </c>
      <c r="FC833" s="196"/>
      <c r="FD833" s="196">
        <f>+FD832+FD831+FD830</f>
        <v>71.851612903225799</v>
      </c>
      <c r="FE833" s="196"/>
      <c r="FF833" s="196">
        <f>+FF832+FF831+FF830</f>
        <v>79.982459016393435</v>
      </c>
      <c r="FG833" s="196"/>
      <c r="FH833" s="196">
        <f>+FH832+FH831+FH830</f>
        <v>135.54314928425356</v>
      </c>
      <c r="FI833" s="196"/>
      <c r="FJ833" s="196">
        <f>+FJ832+FJ831+FJ830</f>
        <v>104.42003912800446</v>
      </c>
      <c r="FK833" s="196"/>
      <c r="FL833" s="196">
        <f>+FL832+FL831+FL830</f>
        <v>328.91090081456639</v>
      </c>
      <c r="FM833" s="196"/>
      <c r="FN833" s="196">
        <f>+FN832+FN831+FN830</f>
        <v>597.09951104672223</v>
      </c>
      <c r="FO833" s="196"/>
      <c r="FP833" s="196">
        <f>+FP832+FP831+FP830</f>
        <v>883.98401340716987</v>
      </c>
      <c r="FQ833" s="196"/>
      <c r="FR833" s="196">
        <f>+FR832+FR831+FR830</f>
        <v>960.92577504483722</v>
      </c>
      <c r="FS833" s="196"/>
      <c r="FT833" s="196">
        <f>+FT832+FT831+FT830</f>
        <v>1152.3369181946405</v>
      </c>
      <c r="FU833" s="196"/>
      <c r="FV833" s="196">
        <f>+FV832+FV831+FV830</f>
        <v>106.41738382099834</v>
      </c>
      <c r="FW833" s="196"/>
      <c r="FX833" s="196">
        <f>+FX832+FX831+FX830</f>
        <v>458.02993220338976</v>
      </c>
      <c r="FY833" s="196"/>
      <c r="FZ833" s="196">
        <f>+FZ832+FZ831+FZ830</f>
        <v>1118.0749044238123</v>
      </c>
      <c r="GA833" s="196"/>
      <c r="GB833" s="196">
        <f>+GB832+GB831+GB830</f>
        <v>1240.7705779334501</v>
      </c>
      <c r="GC833" s="196"/>
      <c r="GD833" s="196">
        <f>+GD832+GD831+GD830</f>
        <v>1419.9752819774419</v>
      </c>
      <c r="GE833" s="196"/>
      <c r="GF833" s="196">
        <f>+GF832+GF831+GF830</f>
        <v>2888.4072221353758</v>
      </c>
      <c r="GG833" s="17"/>
      <c r="GH833" s="196">
        <f>+GH832+GH831+GH830</f>
        <v>2509.0441276306856</v>
      </c>
      <c r="GI833" s="17"/>
      <c r="GJ833" s="196">
        <f>+GJ832+GJ831+GJ830</f>
        <v>2616.6013480982188</v>
      </c>
      <c r="GK833" s="17"/>
      <c r="GL833" s="196">
        <f>+GL832+GL831+GL830</f>
        <v>2711.1220596406743</v>
      </c>
      <c r="GM833" s="17"/>
      <c r="GN833" s="196">
        <f>+GN832+GN831+GN830</f>
        <v>3293.8007687379882</v>
      </c>
      <c r="GO833" s="17"/>
      <c r="GP833" s="196">
        <f>+GP832+GP831+GP830</f>
        <v>3267.4068123627744</v>
      </c>
      <c r="GQ833" s="17"/>
      <c r="GR833" s="196">
        <f>+GR832+GR831+GR830</f>
        <v>3306.2507751829694</v>
      </c>
      <c r="GS833" s="17"/>
      <c r="GT833" s="196">
        <f>+GT832+GT831+GT830</f>
        <v>3337.4599434914016</v>
      </c>
      <c r="GU833" s="17"/>
      <c r="GV833" s="196">
        <f>+GV832+GV831+GV830</f>
        <v>3371.4375345301478</v>
      </c>
      <c r="GW833" s="17"/>
      <c r="GX833" s="196">
        <f>+GX832+GX831+GX830</f>
        <v>3398.1548372356619</v>
      </c>
      <c r="GY833" s="17"/>
      <c r="GZ833" s="196"/>
      <c r="HA833" s="196"/>
      <c r="HB833" s="196"/>
      <c r="HC833"/>
      <c r="HD833"/>
      <c r="HE833"/>
      <c r="HF833"/>
      <c r="HG833"/>
      <c r="HH833"/>
      <c r="HI833" s="2"/>
    </row>
    <row r="834" spans="2:217" s="3" customFormat="1" ht="12.75" hidden="1" customHeight="1" outlineLevel="1" x14ac:dyDescent="0.2">
      <c r="B834" s="10"/>
      <c r="C834" s="9"/>
      <c r="D834" s="11"/>
      <c r="E834" s="9"/>
      <c r="F834" s="11"/>
      <c r="G834" s="9"/>
      <c r="H834" s="11"/>
      <c r="I834" s="9"/>
      <c r="J834" s="11"/>
      <c r="K834" s="9"/>
      <c r="L834" s="11"/>
      <c r="M834" s="9"/>
      <c r="N834" s="11"/>
      <c r="O834" s="9"/>
      <c r="P834" s="11"/>
      <c r="Q834" s="9"/>
      <c r="R834" s="11"/>
      <c r="S834" s="9"/>
      <c r="T834" s="11"/>
      <c r="U834" s="9"/>
      <c r="V834" s="11"/>
      <c r="W834" s="9"/>
      <c r="X834" s="11"/>
      <c r="Y834" s="9"/>
      <c r="Z834" s="11"/>
      <c r="AA834" s="9"/>
      <c r="AB834" s="11"/>
      <c r="AC834" s="9"/>
      <c r="AD834" s="11"/>
      <c r="AE834" s="9"/>
      <c r="AF834" s="11"/>
      <c r="AG834" s="9"/>
      <c r="AH834" s="11"/>
      <c r="AI834" s="9"/>
      <c r="AJ834" s="11"/>
      <c r="AK834" s="9"/>
      <c r="AL834" s="11"/>
      <c r="AM834" s="9"/>
      <c r="AN834" s="11"/>
      <c r="AO834" s="9"/>
      <c r="AP834" s="11"/>
      <c r="AQ834" s="9"/>
      <c r="AR834" s="11"/>
      <c r="AS834" s="9"/>
      <c r="AT834" s="11"/>
      <c r="AU834" s="9"/>
      <c r="AV834" s="11"/>
      <c r="AW834" s="9"/>
      <c r="AX834" s="11"/>
      <c r="AY834" s="9"/>
      <c r="AZ834" s="11"/>
      <c r="BA834" s="9"/>
      <c r="BB834" s="11"/>
      <c r="BC834" s="9"/>
      <c r="BD834" s="11"/>
      <c r="BE834" s="9"/>
      <c r="BF834" s="11"/>
      <c r="BG834" s="9"/>
      <c r="BH834" s="9"/>
      <c r="BI834" s="9"/>
      <c r="BJ834" s="9"/>
      <c r="BK834" s="9"/>
      <c r="BL834" s="9"/>
      <c r="BM834" s="9"/>
      <c r="BN834" s="9"/>
      <c r="BO834" s="9"/>
      <c r="BP834" s="9"/>
      <c r="BQ834" s="9"/>
      <c r="BR834" s="9"/>
      <c r="BS834" s="9"/>
      <c r="BT834" s="9"/>
      <c r="BU834" s="9"/>
      <c r="BV834" s="9"/>
      <c r="BW834" s="9"/>
      <c r="BX834" s="9"/>
      <c r="BY834" s="9"/>
      <c r="BZ834" s="9"/>
      <c r="CA834" s="9"/>
      <c r="CB834" s="9"/>
      <c r="CC834" s="9"/>
      <c r="CD834" s="9"/>
      <c r="CE834" s="9"/>
      <c r="CF834" s="9"/>
      <c r="CG834" s="9"/>
      <c r="CH834" s="9"/>
      <c r="CI834" s="9"/>
      <c r="CJ834" s="9"/>
      <c r="CK834" s="9"/>
      <c r="CL834" s="9"/>
      <c r="CM834" s="9"/>
      <c r="CN834" s="9"/>
      <c r="CO834" s="9"/>
      <c r="CP834" s="9"/>
      <c r="CQ834" s="9"/>
      <c r="CR834" s="9"/>
      <c r="CS834" s="9"/>
      <c r="CT834" s="9"/>
      <c r="CU834" s="9"/>
      <c r="CV834" s="9"/>
      <c r="CW834" s="9"/>
      <c r="CX834" s="9"/>
      <c r="CY834" s="9"/>
      <c r="CZ834" s="9"/>
      <c r="DA834" s="9"/>
      <c r="DB834" s="9"/>
      <c r="DC834" s="9"/>
      <c r="DD834" s="9"/>
      <c r="DE834" s="9"/>
      <c r="DF834" s="9"/>
      <c r="DG834" s="9"/>
      <c r="DH834" s="9"/>
      <c r="DI834" s="9"/>
      <c r="DJ834" s="9"/>
      <c r="DK834" s="9"/>
      <c r="DL834" s="9"/>
      <c r="DM834" s="9"/>
      <c r="DN834" s="9"/>
      <c r="DO834" s="9"/>
      <c r="DP834" s="9"/>
      <c r="DQ834" s="9"/>
      <c r="DR834" s="9"/>
      <c r="DS834" s="9"/>
      <c r="DT834" s="9"/>
      <c r="DU834" s="9"/>
      <c r="DV834" s="9"/>
      <c r="DW834" s="9"/>
      <c r="DX834" s="9"/>
      <c r="DY834" s="9"/>
      <c r="DZ834" s="9"/>
      <c r="EA834" s="9"/>
      <c r="EB834" s="9"/>
      <c r="EC834" s="9"/>
      <c r="ED834" s="9"/>
      <c r="EE834" s="9"/>
      <c r="EF834" s="9"/>
      <c r="EG834" s="9"/>
      <c r="EH834" s="9"/>
      <c r="EI834" s="9"/>
      <c r="EJ834" s="9"/>
      <c r="EK834" s="9"/>
      <c r="EL834" s="9"/>
      <c r="EM834" s="9"/>
      <c r="EN834" s="9"/>
      <c r="EO834" s="9"/>
      <c r="EP834" s="9"/>
      <c r="EQ834" s="9"/>
      <c r="ER834" s="9"/>
      <c r="ES834" s="9"/>
      <c r="ET834" s="9"/>
      <c r="EU834" s="9"/>
      <c r="EV834" s="9"/>
      <c r="EW834" s="9"/>
      <c r="EX834" s="9"/>
      <c r="EY834" s="9"/>
      <c r="EZ834" s="335"/>
      <c r="FA834" s="9"/>
      <c r="FB834" s="9"/>
      <c r="FC834" s="9"/>
      <c r="FD834" s="9"/>
      <c r="FE834" s="9"/>
      <c r="FF834" s="9"/>
      <c r="FG834" s="9"/>
      <c r="FH834" s="9"/>
      <c r="FI834" s="9"/>
      <c r="FJ834" s="9"/>
      <c r="FK834" s="9"/>
      <c r="FL834" s="9"/>
      <c r="FM834" s="9"/>
      <c r="FN834" s="9"/>
      <c r="FO834" s="9"/>
      <c r="FP834" s="9"/>
      <c r="FQ834" s="9"/>
      <c r="FR834" s="9"/>
      <c r="FS834" s="9"/>
      <c r="FT834" s="9"/>
      <c r="FU834" s="9"/>
      <c r="FV834" s="9"/>
      <c r="FW834" s="9"/>
      <c r="FX834" s="9"/>
      <c r="FY834" s="9"/>
      <c r="FZ834" s="9"/>
      <c r="GA834" s="9"/>
      <c r="GB834" s="9"/>
      <c r="GC834" s="9"/>
      <c r="GD834" s="9"/>
      <c r="GE834" s="9"/>
      <c r="GF834" s="9"/>
      <c r="GG834" s="790"/>
      <c r="GH834" s="9"/>
      <c r="GI834" s="790"/>
      <c r="GJ834" s="9"/>
      <c r="GK834" s="790"/>
      <c r="GL834" s="9"/>
      <c r="GM834" s="790"/>
      <c r="GN834" s="9"/>
      <c r="GO834" s="790"/>
      <c r="GP834" s="9"/>
      <c r="GQ834" s="790"/>
      <c r="GR834" s="9"/>
      <c r="GS834" s="790"/>
      <c r="GT834" s="9"/>
      <c r="GU834" s="790"/>
      <c r="GV834" s="9"/>
      <c r="GW834" s="790"/>
      <c r="GX834" s="9"/>
      <c r="GY834" s="790"/>
      <c r="GZ834" s="9"/>
      <c r="HA834" s="9"/>
      <c r="HB834" s="9"/>
      <c r="HC834"/>
      <c r="HD834"/>
      <c r="HE834"/>
      <c r="HF834"/>
      <c r="HG834"/>
      <c r="HH834"/>
      <c r="HI834" s="2"/>
    </row>
    <row r="835" spans="2:217" s="3" customFormat="1" ht="12.75" hidden="1" customHeight="1" outlineLevel="1" x14ac:dyDescent="0.2">
      <c r="B835" s="89" t="s">
        <v>406</v>
      </c>
      <c r="C835" s="9"/>
      <c r="D835" s="11"/>
      <c r="E835" s="9"/>
      <c r="F835" s="11"/>
      <c r="G835" s="9"/>
      <c r="H835" s="11"/>
      <c r="I835" s="9"/>
      <c r="J835" s="11"/>
      <c r="K835" s="9"/>
      <c r="L835" s="11"/>
      <c r="M835" s="9"/>
      <c r="N835" s="11"/>
      <c r="O835" s="9"/>
      <c r="P835" s="11"/>
      <c r="Q835" s="9"/>
      <c r="R835" s="11"/>
      <c r="S835" s="9"/>
      <c r="T835" s="11"/>
      <c r="U835" s="9"/>
      <c r="V835" s="11"/>
      <c r="W835" s="9"/>
      <c r="X835" s="11"/>
      <c r="Y835" s="9"/>
      <c r="Z835" s="11"/>
      <c r="AA835" s="9"/>
      <c r="AB835" s="11"/>
      <c r="AC835" s="9"/>
      <c r="AD835" s="11"/>
      <c r="AE835" s="9"/>
      <c r="AF835" s="11"/>
      <c r="AG835" s="9"/>
      <c r="AH835" s="11"/>
      <c r="AI835" s="9"/>
      <c r="AJ835" s="11"/>
      <c r="AK835" s="9"/>
      <c r="AL835" s="11"/>
      <c r="AM835" s="9"/>
      <c r="AN835" s="11"/>
      <c r="AO835" s="9"/>
      <c r="AP835" s="11"/>
      <c r="AQ835" s="9"/>
      <c r="AR835" s="11"/>
      <c r="AS835" s="9"/>
      <c r="AT835" s="11"/>
      <c r="AU835" s="9"/>
      <c r="AV835" s="11"/>
      <c r="AW835" s="9"/>
      <c r="AX835" s="11"/>
      <c r="AY835" s="9"/>
      <c r="AZ835" s="11"/>
      <c r="BA835" s="9"/>
      <c r="BB835" s="11"/>
      <c r="BC835" s="9"/>
      <c r="BD835" s="11"/>
      <c r="BE835" s="9"/>
      <c r="BF835" s="11"/>
      <c r="BG835" s="9"/>
      <c r="BH835" s="9"/>
      <c r="BI835" s="9"/>
      <c r="BJ835" s="9"/>
      <c r="BK835" s="9"/>
      <c r="BL835" s="9"/>
      <c r="BM835" s="9"/>
      <c r="BN835" s="9"/>
      <c r="BO835" s="9"/>
      <c r="BP835" s="9"/>
      <c r="BQ835" s="9"/>
      <c r="BR835" s="9"/>
      <c r="BS835" s="9"/>
      <c r="BT835" s="9"/>
      <c r="BU835" s="9"/>
      <c r="BV835" s="9"/>
      <c r="BW835" s="9"/>
      <c r="BX835" s="9"/>
      <c r="BY835" s="9"/>
      <c r="BZ835" s="9"/>
      <c r="CA835" s="9"/>
      <c r="CB835" s="9"/>
      <c r="CC835" s="9"/>
      <c r="CD835" s="9"/>
      <c r="CE835" s="9"/>
      <c r="CF835" s="9"/>
      <c r="CG835" s="9"/>
      <c r="CH835" s="9"/>
      <c r="CI835" s="9"/>
      <c r="CJ835" s="9"/>
      <c r="CK835" s="9"/>
      <c r="CL835" s="9"/>
      <c r="CM835" s="9"/>
      <c r="CN835" s="9"/>
      <c r="CO835" s="9"/>
      <c r="CP835" s="9"/>
      <c r="CQ835" s="9"/>
      <c r="CR835" s="9"/>
      <c r="CS835" s="9"/>
      <c r="CT835" s="9"/>
      <c r="CU835" s="9"/>
      <c r="CV835" s="9"/>
      <c r="CW835" s="9"/>
      <c r="CX835" s="9"/>
      <c r="CY835" s="9"/>
      <c r="CZ835" s="9"/>
      <c r="DA835" s="9"/>
      <c r="DB835" s="9"/>
      <c r="DC835" s="9"/>
      <c r="DD835" s="9"/>
      <c r="DE835" s="9"/>
      <c r="DF835" s="9"/>
      <c r="DG835" s="9"/>
      <c r="DH835" s="9"/>
      <c r="DI835" s="9"/>
      <c r="DJ835" s="9"/>
      <c r="DK835" s="9"/>
      <c r="DL835" s="9"/>
      <c r="DM835" s="9"/>
      <c r="DN835" s="9"/>
      <c r="DO835" s="9"/>
      <c r="DP835" s="9"/>
      <c r="DQ835" s="9"/>
      <c r="DR835" s="9"/>
      <c r="DS835" s="9"/>
      <c r="DT835" s="9"/>
      <c r="DU835" s="9"/>
      <c r="DV835" s="9"/>
      <c r="DW835" s="9"/>
      <c r="DX835" s="9"/>
      <c r="DY835" s="9"/>
      <c r="DZ835" s="9"/>
      <c r="EA835" s="9"/>
      <c r="EB835" s="9"/>
      <c r="EC835" s="9"/>
      <c r="ED835" s="9"/>
      <c r="EE835" s="9"/>
      <c r="EF835" s="9"/>
      <c r="EG835" s="9"/>
      <c r="EH835" s="9"/>
      <c r="EI835" s="9"/>
      <c r="EJ835" s="9"/>
      <c r="EK835" s="9"/>
      <c r="EL835" s="9"/>
      <c r="EM835" s="9"/>
      <c r="EN835" s="9"/>
      <c r="EO835" s="9"/>
      <c r="EP835" s="9"/>
      <c r="EQ835" s="9"/>
      <c r="ER835" s="9"/>
      <c r="ES835" s="9"/>
      <c r="ET835" s="9"/>
      <c r="EU835" s="9"/>
      <c r="EV835" s="9"/>
      <c r="EW835" s="9"/>
      <c r="EX835" s="9"/>
      <c r="EY835" s="9"/>
      <c r="EZ835" s="335"/>
      <c r="FA835" s="9"/>
      <c r="FB835" s="9"/>
      <c r="FC835" s="9"/>
      <c r="FD835" s="9"/>
      <c r="FE835" s="9"/>
      <c r="FF835" s="9"/>
      <c r="FG835" s="9"/>
      <c r="FH835" s="9"/>
      <c r="FI835" s="9"/>
      <c r="FJ835" s="9"/>
      <c r="FK835" s="9"/>
      <c r="FL835" s="9"/>
      <c r="FM835" s="9"/>
      <c r="FN835" s="9"/>
      <c r="FO835" s="9"/>
      <c r="FP835" s="9"/>
      <c r="FQ835" s="9"/>
      <c r="FR835" s="9"/>
      <c r="FS835" s="9"/>
      <c r="FT835" s="9"/>
      <c r="FU835" s="9"/>
      <c r="FV835" s="9"/>
      <c r="FW835" s="9"/>
      <c r="FX835" s="9"/>
      <c r="FY835" s="9"/>
      <c r="FZ835" s="9"/>
      <c r="GA835" s="9"/>
      <c r="GB835" s="9"/>
      <c r="GC835" s="9"/>
      <c r="GD835" s="9"/>
      <c r="GE835" s="9"/>
      <c r="GF835" s="9"/>
      <c r="GG835" s="790"/>
      <c r="GH835" s="9"/>
      <c r="GI835" s="790"/>
      <c r="GJ835" s="9"/>
      <c r="GK835" s="790"/>
      <c r="GL835" s="9"/>
      <c r="GM835" s="790"/>
      <c r="GN835" s="9"/>
      <c r="GO835" s="790"/>
      <c r="GP835" s="9"/>
      <c r="GQ835" s="790"/>
      <c r="GR835" s="9"/>
      <c r="GS835" s="790"/>
      <c r="GT835" s="9"/>
      <c r="GU835" s="790"/>
      <c r="GV835" s="9"/>
      <c r="GW835" s="790"/>
      <c r="GX835" s="9"/>
      <c r="GY835" s="790"/>
      <c r="GZ835" s="9"/>
      <c r="HA835" s="9"/>
      <c r="HB835" s="9"/>
      <c r="HC835"/>
      <c r="HD835"/>
      <c r="HE835"/>
      <c r="HF835"/>
      <c r="HG835"/>
      <c r="HH835"/>
      <c r="HI835" s="2"/>
    </row>
    <row r="836" spans="2:217" s="3" customFormat="1" ht="12.75" hidden="1" customHeight="1" outlineLevel="1" x14ac:dyDescent="0.2">
      <c r="B836" s="10" t="s">
        <v>75</v>
      </c>
      <c r="C836" s="9"/>
      <c r="D836" s="11"/>
      <c r="E836" s="9"/>
      <c r="F836" s="11"/>
      <c r="G836" s="9"/>
      <c r="H836" s="11"/>
      <c r="I836" s="9"/>
      <c r="J836" s="11"/>
      <c r="K836" s="9"/>
      <c r="L836" s="11"/>
      <c r="M836" s="9"/>
      <c r="N836" s="11"/>
      <c r="O836" s="9"/>
      <c r="P836" s="11"/>
      <c r="Q836" s="9"/>
      <c r="R836" s="11"/>
      <c r="S836" s="9"/>
      <c r="T836" s="11"/>
      <c r="U836" s="9"/>
      <c r="V836" s="11"/>
      <c r="W836" s="9"/>
      <c r="X836" s="11"/>
      <c r="Y836" s="9"/>
      <c r="Z836" s="11"/>
      <c r="AA836" s="9"/>
      <c r="AB836" s="11"/>
      <c r="AC836" s="9"/>
      <c r="AD836" s="11"/>
      <c r="AE836" s="9"/>
      <c r="AF836" s="11"/>
      <c r="AG836" s="9"/>
      <c r="AH836" s="11"/>
      <c r="AI836" s="9"/>
      <c r="AJ836" s="11"/>
      <c r="AK836" s="9"/>
      <c r="AL836" s="11"/>
      <c r="AM836" s="9"/>
      <c r="AN836" s="11"/>
      <c r="AO836" s="9"/>
      <c r="AP836" s="11"/>
      <c r="AQ836" s="9"/>
      <c r="AR836" s="11"/>
      <c r="AS836" s="9"/>
      <c r="AT836" s="11"/>
      <c r="AU836" s="9"/>
      <c r="AV836" s="11"/>
      <c r="AW836" s="9"/>
      <c r="AX836" s="11"/>
      <c r="AY836" s="9"/>
      <c r="AZ836" s="11"/>
      <c r="BA836" s="9"/>
      <c r="BB836" s="11"/>
      <c r="BC836" s="9"/>
      <c r="BD836" s="11"/>
      <c r="BE836" s="9"/>
      <c r="BF836" s="11"/>
      <c r="BG836" s="196">
        <f>BG128*(1-(BG$802/100))</f>
        <v>72.106049562682216</v>
      </c>
      <c r="BH836" s="196"/>
      <c r="BI836" s="196">
        <f>BI128*(1-(BI$802/100))</f>
        <v>100.62444246208742</v>
      </c>
      <c r="BJ836" s="196"/>
      <c r="BK836" s="196">
        <f>BK128*(1-(BK$802/100))</f>
        <v>177.54131274131274</v>
      </c>
      <c r="BL836" s="196"/>
      <c r="BM836" s="196">
        <f>BM128*(1-(BM$802/100))</f>
        <v>98.26171875</v>
      </c>
      <c r="BN836" s="196"/>
      <c r="BO836" s="196">
        <f>BO128*(1-(BO$802/100))</f>
        <v>70.7645125958379</v>
      </c>
      <c r="BP836" s="196"/>
      <c r="BQ836" s="196">
        <f>BQ128*(1-(BQ$802/100))</f>
        <v>76.92639138240574</v>
      </c>
      <c r="BR836" s="196"/>
      <c r="BS836" s="196">
        <f>BS128*(1-(BS$802/100))</f>
        <v>164.70860927152319</v>
      </c>
      <c r="BT836" s="196"/>
      <c r="BU836" s="196">
        <f>BU128*(1-(BU$802/100))</f>
        <v>6.6852791878172582</v>
      </c>
      <c r="BV836" s="196"/>
      <c r="BW836" s="196">
        <f>BW128*(1-(BW$802/100))</f>
        <v>30.857142857142858</v>
      </c>
      <c r="BX836" s="196"/>
      <c r="BY836" s="196">
        <f>BY128*(1-(BY$802/100))</f>
        <v>101.81491002570695</v>
      </c>
      <c r="BZ836" s="196"/>
      <c r="CA836" s="196">
        <f>CA128*(1-(CA$802/100))</f>
        <v>186.92307692307693</v>
      </c>
      <c r="CB836" s="196"/>
      <c r="CC836" s="196">
        <f>CC128*(1-(CC$802/100))</f>
        <v>102.10980392156863</v>
      </c>
      <c r="CD836" s="196"/>
      <c r="CE836" s="196">
        <f>CE128*(1-(CE$802/100))</f>
        <v>63.696261682242991</v>
      </c>
      <c r="CF836" s="196"/>
      <c r="CG836" s="196">
        <f>CG128*(1-(CG$802/100))</f>
        <v>82.761224489795907</v>
      </c>
      <c r="CH836" s="196"/>
      <c r="CI836" s="196">
        <f>CI128*(1-(CI$802/100))</f>
        <v>114.94642857142858</v>
      </c>
      <c r="CJ836" s="196"/>
      <c r="CK836" s="196">
        <f>CK128*(1-(CK$802/100))</f>
        <v>95.712177121771219</v>
      </c>
      <c r="CL836" s="196"/>
      <c r="CM836" s="196">
        <f>CM128*(1-(CM$802/100))</f>
        <v>71.47608695652174</v>
      </c>
      <c r="CN836" s="196"/>
      <c r="CO836" s="196">
        <f>CO128*(1-(CO$802/100))</f>
        <v>98.889685476410733</v>
      </c>
      <c r="CP836" s="196"/>
      <c r="CQ836" s="196">
        <f>CQ128*(1-(CQ$802/100))</f>
        <v>87.261684782608683</v>
      </c>
      <c r="CR836" s="196"/>
      <c r="CS836" s="196">
        <f>CS128*(1-(CS$802/100))</f>
        <v>100.3347619047619</v>
      </c>
      <c r="CT836" s="196"/>
      <c r="CU836" s="196">
        <f>CU128*(1-(CU$802/100))</f>
        <v>81.812811387900354</v>
      </c>
      <c r="CV836" s="196"/>
      <c r="CW836" s="196">
        <f>CW128*(1-(CW$802/100))</f>
        <v>46.104809843400453</v>
      </c>
      <c r="CX836" s="196"/>
      <c r="CY836" s="196">
        <f>CY128*(1-(CY$802/100))</f>
        <v>82.298400752587014</v>
      </c>
      <c r="CZ836" s="196"/>
      <c r="DA836" s="196">
        <f>DA128*(1-(DA$802/100))</f>
        <v>76.346685082872924</v>
      </c>
      <c r="DB836" s="196"/>
      <c r="DC836" s="196">
        <f>DC128*(1-(DC$802/100))</f>
        <v>99.345813639432819</v>
      </c>
      <c r="DD836" s="196"/>
      <c r="DE836" s="196">
        <f>DE128*(1-(DE$802/100))</f>
        <v>101.55147734734076</v>
      </c>
      <c r="DF836" s="196"/>
      <c r="DG836" s="196">
        <f>DG128*(1-(DG$802/100))</f>
        <v>106.18094742321708</v>
      </c>
      <c r="DH836" s="196"/>
      <c r="DI836" s="196">
        <f>DI128*(1-(DI$802/100))</f>
        <v>112.5397758152174</v>
      </c>
      <c r="DJ836" s="196"/>
      <c r="DK836" s="196">
        <f>DK128*(1-(DK$802/100))</f>
        <v>90.467854869509864</v>
      </c>
      <c r="DL836" s="196"/>
      <c r="DM836" s="196">
        <f>DM128*(1-(DM$802/100))</f>
        <v>114.48428835489835</v>
      </c>
      <c r="DN836" s="196"/>
      <c r="DO836" s="196">
        <f>DO128*(1-(DO$802/100))</f>
        <v>74.130081300813004</v>
      </c>
      <c r="DP836" s="196"/>
      <c r="DQ836" s="196">
        <f>DQ128*(1-(DQ$802/100))</f>
        <v>88.434200743494415</v>
      </c>
      <c r="DR836" s="196"/>
      <c r="DS836" s="196">
        <f>DS128*(1-(DS$802/100))</f>
        <v>86.285386819484245</v>
      </c>
      <c r="DT836" s="196"/>
      <c r="DU836" s="196">
        <f>DU128*(1-(DU$802/100))</f>
        <v>173.79141770776749</v>
      </c>
      <c r="DV836" s="196"/>
      <c r="DW836" s="196">
        <f>DW128*(1-(DW$802/100))</f>
        <v>138.84483937115516</v>
      </c>
      <c r="DX836" s="196"/>
      <c r="DY836" s="196">
        <f>DY128*(1-(DY$802/100))</f>
        <v>74.626903553299485</v>
      </c>
      <c r="DZ836" s="196"/>
      <c r="EA836" s="196">
        <f>EA128*(1-(EA$802/100))</f>
        <v>90.294339622641516</v>
      </c>
      <c r="EB836" s="196"/>
      <c r="EC836" s="196">
        <f>EC128*(1-(EC$802/100))</f>
        <v>-227.44560075685905</v>
      </c>
      <c r="ED836" s="196"/>
      <c r="EE836" s="196">
        <f>EE128*(1-(EE$802/100))</f>
        <v>84.853016688061615</v>
      </c>
      <c r="EF836" s="196"/>
      <c r="EG836" s="196">
        <f>EG128*(1-(EG$802/100))</f>
        <v>103.09801233721728</v>
      </c>
      <c r="EH836" s="196"/>
      <c r="EI836" s="196">
        <f>EI128*(1-(EI$802/100))</f>
        <v>87.931325301204822</v>
      </c>
      <c r="EJ836" s="196"/>
      <c r="EK836" s="196">
        <f>EK128*(1-(EK$802/100))</f>
        <v>-416.8428338762215</v>
      </c>
      <c r="EL836" s="196"/>
      <c r="EM836" s="196">
        <f>EM128*(1-(EM$802/100))</f>
        <v>111.23878923766816</v>
      </c>
      <c r="EN836" s="196"/>
      <c r="EO836" s="196">
        <f>EO128*(1-(EO$802/100))</f>
        <v>73.125954198473281</v>
      </c>
      <c r="EP836" s="196"/>
      <c r="EQ836" s="196">
        <f>EQ128*(1-(EQ$802/100))</f>
        <v>74.512094962500143</v>
      </c>
      <c r="ER836" s="196"/>
      <c r="ES836" s="196">
        <f>ES128*(1-(ES$802/100))</f>
        <v>88.728357681465525</v>
      </c>
      <c r="ET836" s="196"/>
      <c r="EU836" s="196">
        <f>EU128*(1-(EU$802/100))</f>
        <v>88.826147874918234</v>
      </c>
      <c r="EV836" s="196"/>
      <c r="EW836" s="196">
        <f>EW128*(1-(EW$802/100))</f>
        <v>88.070374636957595</v>
      </c>
      <c r="EX836" s="196"/>
      <c r="EY836" s="196"/>
      <c r="EZ836" s="346"/>
      <c r="FA836" s="196"/>
      <c r="FB836" s="196">
        <f>FB128*(1-(FB$802/100))</f>
        <v>178</v>
      </c>
      <c r="FC836" s="196"/>
      <c r="FD836" s="196">
        <f>FD128*(1-(FD$802/100))</f>
        <v>15.396774193548385</v>
      </c>
      <c r="FE836" s="196"/>
      <c r="FF836" s="196">
        <f>FF128*(1-(FF$802/100))</f>
        <v>15.506803278688524</v>
      </c>
      <c r="FG836" s="196"/>
      <c r="FH836" s="196">
        <f>FH128*(1-(FH$802/100))</f>
        <v>90.03231083844581</v>
      </c>
      <c r="FI836" s="196"/>
      <c r="FJ836" s="196">
        <f>FJ128*(1-(FJ$802/100))</f>
        <v>155.01531581889321</v>
      </c>
      <c r="FK836" s="196"/>
      <c r="FL836" s="196">
        <f>FL128*(1-(FL$802/100))</f>
        <v>177.10586966938189</v>
      </c>
      <c r="FM836" s="196"/>
      <c r="FN836" s="196">
        <f>FN128*(1-(FN$802/100))</f>
        <v>226.74664976457802</v>
      </c>
      <c r="FO836" s="196"/>
      <c r="FP836" s="196">
        <f>FP128*(1-(FP$802/100))</f>
        <v>300.08455260856897</v>
      </c>
      <c r="FQ836" s="196"/>
      <c r="FR836" s="196">
        <f>FR128*(1-(FR$802/100))</f>
        <v>318.16801178580579</v>
      </c>
      <c r="FS836" s="196"/>
      <c r="FT836" s="196">
        <f>FT128*(1-(FT$802/100))</f>
        <v>376.24858956276449</v>
      </c>
      <c r="FU836" s="196"/>
      <c r="FV836" s="196">
        <f>FV128*(1-(FV$802/100))</f>
        <v>-262.0811101549055</v>
      </c>
      <c r="FW836" s="196"/>
      <c r="FX836" s="196">
        <f>FX128*(1-(FX$802/100))</f>
        <v>193.29013559322033</v>
      </c>
      <c r="FY836" s="196"/>
      <c r="FZ836" s="196">
        <f>FZ128*(1-(FZ$802/100))</f>
        <v>269.18686510103771</v>
      </c>
      <c r="GA836" s="196"/>
      <c r="GB836" s="196">
        <f>GB128*(1-(GB$802/100))</f>
        <v>296.65248936702528</v>
      </c>
      <c r="GC836" s="196"/>
      <c r="GD836" s="196">
        <f>GD128*(1-(GD$802/100))</f>
        <v>241.16342692584595</v>
      </c>
      <c r="GE836" s="196"/>
      <c r="GF836" s="196">
        <f>GF128*(1-(GF$802/100))</f>
        <v>437.72846646865719</v>
      </c>
      <c r="GG836" s="17"/>
      <c r="GH836" s="196">
        <f>GH128*(1-(GH$802/100))</f>
        <v>360.39918533604884</v>
      </c>
      <c r="GI836" s="17"/>
      <c r="GJ836" s="196">
        <f>GJ128*(1-(GJ$802/100))</f>
        <v>473.77868720911573</v>
      </c>
      <c r="GK836" s="17"/>
      <c r="GL836" s="196">
        <f>GL128*(1-(GL$802/100))</f>
        <v>60.095017595851083</v>
      </c>
      <c r="GM836" s="17"/>
      <c r="GN836" s="196">
        <f>GN128*(1-(GN$802/100))</f>
        <v>-142.30172966047405</v>
      </c>
      <c r="GO836" s="17"/>
      <c r="GP836" s="196">
        <f>GP128*(1-(GP$802/100))</f>
        <v>340.13697515584096</v>
      </c>
      <c r="GQ836" s="17"/>
      <c r="GR836" s="196">
        <f>GR128*(1-(GR$802/100))</f>
        <v>337.21898748322991</v>
      </c>
      <c r="GS836" s="17"/>
      <c r="GT836" s="196">
        <f>GT128*(1-(GT$802/100))</f>
        <v>333.40866038296576</v>
      </c>
      <c r="GU836" s="17"/>
      <c r="GV836" s="196">
        <f>GV128*(1-(GV$802/100))</f>
        <v>333.91276263957195</v>
      </c>
      <c r="GW836" s="17"/>
      <c r="GX836" s="196">
        <f>GX128*(1-(GX$802/100))</f>
        <v>333.79600316587545</v>
      </c>
      <c r="GY836" s="17"/>
      <c r="GZ836" s="196"/>
      <c r="HA836" s="196"/>
      <c r="HB836" s="196"/>
      <c r="HC836"/>
      <c r="HD836"/>
      <c r="HE836"/>
      <c r="HF836"/>
      <c r="HG836"/>
      <c r="HH836"/>
      <c r="HI836" s="2"/>
    </row>
    <row r="837" spans="2:217" s="3" customFormat="1" ht="12.75" hidden="1" customHeight="1" outlineLevel="1" x14ac:dyDescent="0.2">
      <c r="B837" s="10" t="s">
        <v>332</v>
      </c>
      <c r="C837" s="9"/>
      <c r="D837" s="11"/>
      <c r="E837" s="9"/>
      <c r="F837" s="11"/>
      <c r="G837" s="9"/>
      <c r="H837" s="11"/>
      <c r="I837" s="9"/>
      <c r="J837" s="11"/>
      <c r="K837" s="9"/>
      <c r="L837" s="11"/>
      <c r="M837" s="9"/>
      <c r="N837" s="11"/>
      <c r="O837" s="9"/>
      <c r="P837" s="11"/>
      <c r="Q837" s="9"/>
      <c r="R837" s="11"/>
      <c r="S837" s="9"/>
      <c r="T837" s="11"/>
      <c r="U837" s="9"/>
      <c r="V837" s="11"/>
      <c r="W837" s="9"/>
      <c r="X837" s="11"/>
      <c r="Y837" s="9"/>
      <c r="Z837" s="11"/>
      <c r="AA837" s="9"/>
      <c r="AB837" s="11"/>
      <c r="AC837" s="9"/>
      <c r="AD837" s="11"/>
      <c r="AE837" s="9"/>
      <c r="AF837" s="11"/>
      <c r="AG837" s="9"/>
      <c r="AH837" s="11"/>
      <c r="AI837" s="9"/>
      <c r="AJ837" s="11"/>
      <c r="AK837" s="9"/>
      <c r="AL837" s="11"/>
      <c r="AM837" s="9"/>
      <c r="AN837" s="11"/>
      <c r="AO837" s="9"/>
      <c r="AP837" s="11"/>
      <c r="AQ837" s="9"/>
      <c r="AR837" s="11"/>
      <c r="AS837" s="9"/>
      <c r="AT837" s="11"/>
      <c r="AU837" s="9"/>
      <c r="AV837" s="11"/>
      <c r="AW837" s="9"/>
      <c r="AX837" s="11"/>
      <c r="AY837" s="9"/>
      <c r="AZ837" s="11"/>
      <c r="BA837" s="9"/>
      <c r="BB837" s="11"/>
      <c r="BC837" s="9"/>
      <c r="BD837" s="11"/>
      <c r="BE837" s="9"/>
      <c r="BF837" s="11"/>
      <c r="BG837" s="196">
        <f>BG248*(1-(BG$802/100))</f>
        <v>36.409985422740526</v>
      </c>
      <c r="BH837" s="196"/>
      <c r="BI837" s="196">
        <f>BI248*(1-(BI$802/100))</f>
        <v>49.241748438893843</v>
      </c>
      <c r="BJ837" s="196"/>
      <c r="BK837" s="196">
        <f>BK248*(1-(BK$802/100))</f>
        <v>70.733590733590731</v>
      </c>
      <c r="BL837" s="196"/>
      <c r="BM837" s="196">
        <f>BM248*(1-(BM$802/100))</f>
        <v>50.2734375</v>
      </c>
      <c r="BN837" s="196"/>
      <c r="BO837" s="196">
        <f>BO248*(1-(BO$802/100))</f>
        <v>66.34173055859803</v>
      </c>
      <c r="BP837" s="196"/>
      <c r="BQ837" s="196">
        <f>BQ248*(1-(BQ$802/100))</f>
        <v>59.74865350089766</v>
      </c>
      <c r="BR837" s="196"/>
      <c r="BS837" s="196">
        <f>BS248*(1-(BS$802/100))</f>
        <v>69.897350993377486</v>
      </c>
      <c r="BT837" s="196"/>
      <c r="BU837" s="196">
        <f>BU248*(1-(BU$802/100))</f>
        <v>51.253807106598984</v>
      </c>
      <c r="BV837" s="196"/>
      <c r="BW837" s="196">
        <f>BW248*(1-(BW$802/100))</f>
        <v>71.742857142857147</v>
      </c>
      <c r="BX837" s="196"/>
      <c r="BY837" s="196">
        <f>BY248*(1-(BY$802/100))</f>
        <v>77.467866323907458</v>
      </c>
      <c r="BZ837" s="196"/>
      <c r="CA837" s="196">
        <f>CA248*(1-(CA$802/100))</f>
        <v>49.230769230769234</v>
      </c>
      <c r="CB837" s="196"/>
      <c r="CC837" s="196">
        <f>CC248*(1-(CC$802/100))</f>
        <v>49.968627450980392</v>
      </c>
      <c r="CD837" s="196"/>
      <c r="CE837" s="196">
        <f>CE248*(1-(CE$802/100))</f>
        <v>38.514018691588788</v>
      </c>
      <c r="CF837" s="196"/>
      <c r="CG837" s="196">
        <f>CG248*(1-(CG$802/100))</f>
        <v>24.751020408163264</v>
      </c>
      <c r="CH837" s="196"/>
      <c r="CI837" s="196">
        <f>CI248*(1-(CI$802/100))</f>
        <v>43.928571428571431</v>
      </c>
      <c r="CJ837" s="196"/>
      <c r="CK837" s="196">
        <f>CK248*(1-(CK$802/100))</f>
        <v>49.306273062730632</v>
      </c>
      <c r="CL837" s="196"/>
      <c r="CM837" s="196">
        <f>CM248*(1-(CM$802/100))</f>
        <v>28.444565217391307</v>
      </c>
      <c r="CN837" s="196"/>
      <c r="CO837" s="196">
        <f>CO248*(1-(CO$802/100))</f>
        <v>35.893293246993522</v>
      </c>
      <c r="CP837" s="196"/>
      <c r="CQ837" s="196">
        <f>CQ248*(1-(CQ$802/100))</f>
        <v>35.376358695652172</v>
      </c>
      <c r="CR837" s="196"/>
      <c r="CS837" s="196">
        <f>CS248*(1-(CS$802/100))</f>
        <v>30.536666666666669</v>
      </c>
      <c r="CT837" s="196"/>
      <c r="CU837" s="196">
        <f>CU248*(1-(CU$802/100))</f>
        <v>-29.218861209964409</v>
      </c>
      <c r="CV837" s="196"/>
      <c r="CW837" s="196">
        <f>CW248*(1-(CW$802/100))</f>
        <v>24.941946308724834</v>
      </c>
      <c r="CX837" s="196"/>
      <c r="CY837" s="196">
        <f>CY248*(1-(CY$802/100))</f>
        <v>25.718250235183444</v>
      </c>
      <c r="CZ837" s="196"/>
      <c r="DA837" s="196">
        <f>DA248*(1-(DA$802/100))</f>
        <v>-9.2541436464088402</v>
      </c>
      <c r="DB837" s="196"/>
      <c r="DC837" s="196">
        <f>DC248*(1-(DC$802/100))</f>
        <v>6.5263673193787985</v>
      </c>
      <c r="DD837" s="196"/>
      <c r="DE837" s="196">
        <f>DE248*(1-(DE$802/100))</f>
        <v>15.844911359159553</v>
      </c>
      <c r="DF837" s="196"/>
      <c r="DG837" s="196">
        <f>DG248*(1-(DG$802/100))</f>
        <v>48.785840707964603</v>
      </c>
      <c r="DH837" s="196"/>
      <c r="DI837" s="196">
        <f>DI248*(1-(DI$802/100))</f>
        <v>41.575203804347829</v>
      </c>
      <c r="DJ837" s="196"/>
      <c r="DK837" s="196">
        <f>DK248*(1-(DK$802/100))</f>
        <v>4.3424570337364736</v>
      </c>
      <c r="DL837" s="196"/>
      <c r="DM837" s="196">
        <f>DM248*(1-(DM$802/100))</f>
        <v>33.330868761552686</v>
      </c>
      <c r="DN837" s="196"/>
      <c r="DO837" s="196">
        <f>DO248*(1-(DO$802/100))</f>
        <v>-55.788617886178855</v>
      </c>
      <c r="DP837" s="196"/>
      <c r="DQ837" s="196">
        <f>DQ248*(1-(DQ$802/100))</f>
        <v>32.975464684014867</v>
      </c>
      <c r="DR837" s="196"/>
      <c r="DS837" s="196">
        <f>DS248*(1-(DS$802/100))</f>
        <v>22.315186246418339</v>
      </c>
      <c r="DT837" s="196"/>
      <c r="DU837" s="196">
        <f>DU248*(1-(DU$802/100))</f>
        <v>54.997284084736556</v>
      </c>
      <c r="DV837" s="196"/>
      <c r="DW837" s="196">
        <f>DW248*(1-(DW$802/100))</f>
        <v>33.383458646616539</v>
      </c>
      <c r="DX837" s="196"/>
      <c r="DY837" s="196">
        <f>DY248*(1-(DY$802/100))</f>
        <v>20.352791878172589</v>
      </c>
      <c r="DZ837" s="196"/>
      <c r="EA837" s="196">
        <f>EA248*(1-(EA$802/100))</f>
        <v>19.563773584905661</v>
      </c>
      <c r="EB837" s="196"/>
      <c r="EC837" s="196">
        <f>EC248*(1-(EC$802/100))</f>
        <v>69.80227057710502</v>
      </c>
      <c r="ED837" s="196"/>
      <c r="EE837" s="196">
        <f>EE248*(1-(EE$802/100))</f>
        <v>47.395378690629009</v>
      </c>
      <c r="EF837" s="196"/>
      <c r="EG837" s="196">
        <f>EG248*(1-(EG$802/100))</f>
        <v>32.124742974640171</v>
      </c>
      <c r="EH837" s="196"/>
      <c r="EI837" s="196">
        <f>EI248*(1-(EI$802/100))</f>
        <v>25.336144578313256</v>
      </c>
      <c r="EJ837" s="196"/>
      <c r="EK837" s="196">
        <f>EK248*(1-(EK$802/100))</f>
        <v>101.7785016286645</v>
      </c>
      <c r="EL837" s="196"/>
      <c r="EM837" s="196">
        <f>EM248*(1-(EM$802/100))</f>
        <v>45.237107623318387</v>
      </c>
      <c r="EN837" s="196"/>
      <c r="EO837" s="196">
        <f>EO248*(1-(EO$802/100))</f>
        <v>16.416030534351147</v>
      </c>
      <c r="EP837" s="196"/>
      <c r="EQ837" s="196">
        <f>EQ248*(1-(EQ$802/100))</f>
        <v>33.679092836999985</v>
      </c>
      <c r="ER837" s="196"/>
      <c r="ES837" s="196">
        <f>ES248*(1-(ES$802/100))</f>
        <v>38.706248795369625</v>
      </c>
      <c r="ET837" s="196"/>
      <c r="EU837" s="196">
        <f>EU248*(1-(EU$802/100))</f>
        <v>43.830501963623497</v>
      </c>
      <c r="EV837" s="196"/>
      <c r="EW837" s="196">
        <f>EW248*(1-(EW$802/100))</f>
        <v>36.701365572970857</v>
      </c>
      <c r="EX837" s="196"/>
      <c r="EY837" s="196"/>
      <c r="EZ837" s="346"/>
      <c r="FA837" s="196"/>
      <c r="FB837" s="196">
        <f>FB248*(1-(FB$802/100))</f>
        <v>98</v>
      </c>
      <c r="FC837" s="196"/>
      <c r="FD837" s="196">
        <f>FD248*(1-(FD$802/100))</f>
        <v>16.844334160463191</v>
      </c>
      <c r="FE837" s="196"/>
      <c r="FF837" s="196">
        <f>FF248*(1-(FF$802/100))</f>
        <v>21.491885245901639</v>
      </c>
      <c r="FG837" s="196"/>
      <c r="FH837" s="196">
        <f>FH248*(1-(FH$802/100))</f>
        <v>23.085207907293796</v>
      </c>
      <c r="FI837" s="196"/>
      <c r="FJ837" s="196">
        <f>FJ248*(1-(FJ$802/100))</f>
        <v>55.618921185019559</v>
      </c>
      <c r="FK837" s="196"/>
      <c r="FL837" s="196">
        <f>FL248*(1-(FL$802/100))</f>
        <v>83.840033540967895</v>
      </c>
      <c r="FM837" s="196"/>
      <c r="FN837" s="196">
        <f>FN248*(1-(FN$802/100))</f>
        <v>101.16388989496558</v>
      </c>
      <c r="FO837" s="196"/>
      <c r="FP837" s="196">
        <f>FP248*(1-(FP$802/100))</f>
        <v>134.97779073156514</v>
      </c>
      <c r="FQ837" s="196"/>
      <c r="FR837" s="196">
        <f>FR248*(1-(FR$802/100))</f>
        <v>133.68894440174225</v>
      </c>
      <c r="FS837" s="196"/>
      <c r="FT837" s="196">
        <f>FT248*(1-(FT$802/100))</f>
        <v>173.00176304654445</v>
      </c>
      <c r="FU837" s="196"/>
      <c r="FV837" s="196">
        <f>FV248*(1-(FV$802/100))</f>
        <v>-190.19277108433747</v>
      </c>
      <c r="FW837" s="196"/>
      <c r="FX837" s="196">
        <f>FX248*(1-(FX$802/100))</f>
        <v>123.7207288135593</v>
      </c>
      <c r="FY837" s="196"/>
      <c r="FZ837" s="196">
        <f>FZ248*(1-(FZ$802/100))</f>
        <v>118.3975423265975</v>
      </c>
      <c r="GA837" s="196"/>
      <c r="GB837" s="196">
        <f>GB248*(1-(GB$802/100))</f>
        <v>107.70577933450089</v>
      </c>
      <c r="GC837" s="196"/>
      <c r="GD837" s="196">
        <f>GD248*(1-(GD$802/100))</f>
        <v>10.048476121910248</v>
      </c>
      <c r="GE837" s="196"/>
      <c r="GF837" s="196">
        <f>GF248*(1-(GF$802/100))</f>
        <v>117.87884946068469</v>
      </c>
      <c r="GG837" s="17"/>
      <c r="GH837" s="196">
        <f>GH248*(1-(GH$802/100))</f>
        <v>16.644942294636795</v>
      </c>
      <c r="GI837" s="17"/>
      <c r="GJ837" s="196">
        <f>GJ248*(1-(GJ$802/100))</f>
        <v>131.31503771465256</v>
      </c>
      <c r="GK837" s="17"/>
      <c r="GL837" s="196">
        <f>GL248*(1-(GL$802/100))</f>
        <v>167.3532135580663</v>
      </c>
      <c r="GM837" s="17"/>
      <c r="GN837" s="196">
        <f>GN248*(1-(GN$802/100))</f>
        <v>188.49391415759129</v>
      </c>
      <c r="GO837" s="17"/>
      <c r="GP837" s="196">
        <f>GP248*(1-(GP$802/100))</f>
        <v>152.91720916896503</v>
      </c>
      <c r="GQ837" s="17"/>
      <c r="GR837" s="196">
        <f>GR248*(1-(GR$802/100))</f>
        <v>158.88688697929157</v>
      </c>
      <c r="GS837" s="17"/>
      <c r="GT837" s="196">
        <f>GT248*(1-(GT$802/100))</f>
        <v>167.12447556991617</v>
      </c>
      <c r="GU837" s="17"/>
      <c r="GV837" s="196">
        <f>GV248*(1-(GV$802/100))</f>
        <v>173.63384412500784</v>
      </c>
      <c r="GW837" s="17"/>
      <c r="GX837" s="196">
        <f>GX248*(1-(GX$802/100))</f>
        <v>180.38556279423995</v>
      </c>
      <c r="GY837" s="17"/>
      <c r="GZ837" s="196"/>
      <c r="HA837" s="196"/>
      <c r="HB837" s="196"/>
      <c r="HC837"/>
      <c r="HD837"/>
      <c r="HE837"/>
      <c r="HF837"/>
      <c r="HG837"/>
      <c r="HH837"/>
      <c r="HI837" s="2"/>
    </row>
    <row r="838" spans="2:217" s="3" customFormat="1" ht="12.75" hidden="1" customHeight="1" outlineLevel="1" x14ac:dyDescent="0.2">
      <c r="B838" s="10" t="s">
        <v>372</v>
      </c>
      <c r="C838" s="9"/>
      <c r="D838" s="11"/>
      <c r="E838" s="9"/>
      <c r="F838" s="11"/>
      <c r="G838" s="9"/>
      <c r="H838" s="11"/>
      <c r="I838" s="9"/>
      <c r="J838" s="11"/>
      <c r="K838" s="9"/>
      <c r="L838" s="11"/>
      <c r="M838" s="9"/>
      <c r="N838" s="11"/>
      <c r="O838" s="9"/>
      <c r="P838" s="11"/>
      <c r="Q838" s="9"/>
      <c r="R838" s="11"/>
      <c r="S838" s="9"/>
      <c r="T838" s="11"/>
      <c r="U838" s="9"/>
      <c r="V838" s="11"/>
      <c r="W838" s="9"/>
      <c r="X838" s="11"/>
      <c r="Y838" s="9"/>
      <c r="Z838" s="11"/>
      <c r="AA838" s="9"/>
      <c r="AB838" s="11"/>
      <c r="AC838" s="9"/>
      <c r="AD838" s="11"/>
      <c r="AE838" s="9"/>
      <c r="AF838" s="11"/>
      <c r="AG838" s="9"/>
      <c r="AH838" s="11"/>
      <c r="AI838" s="9"/>
      <c r="AJ838" s="11"/>
      <c r="AK838" s="9"/>
      <c r="AL838" s="11"/>
      <c r="AM838" s="9"/>
      <c r="AN838" s="11"/>
      <c r="AO838" s="9"/>
      <c r="AP838" s="11"/>
      <c r="AQ838" s="9"/>
      <c r="AR838" s="11"/>
      <c r="AS838" s="9"/>
      <c r="AT838" s="11"/>
      <c r="AU838" s="9"/>
      <c r="AV838" s="11"/>
      <c r="AW838" s="9"/>
      <c r="AX838" s="11"/>
      <c r="AY838" s="9"/>
      <c r="AZ838" s="11"/>
      <c r="BA838" s="9"/>
      <c r="BB838" s="11"/>
      <c r="BC838" s="9"/>
      <c r="BD838" s="11"/>
      <c r="BE838" s="9"/>
      <c r="BF838" s="11"/>
      <c r="BG838" s="196">
        <f>+BG837+BG836</f>
        <v>108.51603498542275</v>
      </c>
      <c r="BH838" s="196"/>
      <c r="BI838" s="196">
        <f>+BI837+BI836</f>
        <v>149.86619090098125</v>
      </c>
      <c r="BJ838" s="196"/>
      <c r="BK838" s="196">
        <f>+BK837+BK836</f>
        <v>248.27490347490345</v>
      </c>
      <c r="BL838" s="196"/>
      <c r="BM838" s="196">
        <f>+BM837+BM836</f>
        <v>148.53515625</v>
      </c>
      <c r="BN838" s="196"/>
      <c r="BO838" s="196">
        <f>+BO837+BO836</f>
        <v>137.10624315443593</v>
      </c>
      <c r="BP838" s="196"/>
      <c r="BQ838" s="196">
        <f>+BQ837+BQ836</f>
        <v>136.6750448833034</v>
      </c>
      <c r="BR838" s="196"/>
      <c r="BS838" s="196">
        <f>+BS837+BS836</f>
        <v>234.60596026490066</v>
      </c>
      <c r="BT838" s="196"/>
      <c r="BU838" s="196">
        <f>+BU837+BU836</f>
        <v>57.939086294416242</v>
      </c>
      <c r="BV838" s="196"/>
      <c r="BW838" s="196">
        <f>+BW837+BW836</f>
        <v>102.60000000000001</v>
      </c>
      <c r="BX838" s="196"/>
      <c r="BY838" s="196">
        <f>+BY837+BY836</f>
        <v>179.28277634961441</v>
      </c>
      <c r="BZ838" s="196"/>
      <c r="CA838" s="196">
        <f>+CA837+CA836</f>
        <v>236.15384615384616</v>
      </c>
      <c r="CB838" s="196"/>
      <c r="CC838" s="196">
        <f>+CC837+CC836</f>
        <v>152.07843137254901</v>
      </c>
      <c r="CD838" s="196"/>
      <c r="CE838" s="196">
        <f>+CE837+CE836</f>
        <v>102.21028037383178</v>
      </c>
      <c r="CF838" s="196"/>
      <c r="CG838" s="196">
        <f>+CG837+CG836</f>
        <v>107.51224489795916</v>
      </c>
      <c r="CH838" s="196"/>
      <c r="CI838" s="196">
        <f>+CI837+CI836</f>
        <v>158.875</v>
      </c>
      <c r="CJ838" s="196"/>
      <c r="CK838" s="196">
        <f>+CK837+CK836</f>
        <v>145.01845018450186</v>
      </c>
      <c r="CL838" s="196"/>
      <c r="CM838" s="196">
        <f>+CM837+CM836</f>
        <v>99.920652173913055</v>
      </c>
      <c r="CN838" s="196"/>
      <c r="CO838" s="196">
        <f>+CO837+CO836</f>
        <v>134.78297872340426</v>
      </c>
      <c r="CP838" s="196"/>
      <c r="CQ838" s="196">
        <f>+CQ837+CQ836</f>
        <v>122.63804347826085</v>
      </c>
      <c r="CR838" s="196"/>
      <c r="CS838" s="196">
        <f>+CS837+CS836</f>
        <v>130.87142857142857</v>
      </c>
      <c r="CT838" s="196"/>
      <c r="CU838" s="196">
        <f>+CU837+CU836</f>
        <v>52.593950177935945</v>
      </c>
      <c r="CV838" s="196"/>
      <c r="CW838" s="196">
        <f>+CW837+CW836</f>
        <v>71.046756152125283</v>
      </c>
      <c r="CX838" s="196"/>
      <c r="CY838" s="196">
        <f>+CY837+CY836</f>
        <v>108.01665098777046</v>
      </c>
      <c r="CZ838" s="196"/>
      <c r="DA838" s="196">
        <f>+DA837+DA836</f>
        <v>67.092541436464089</v>
      </c>
      <c r="DB838" s="196"/>
      <c r="DC838" s="196">
        <f>+DC837+DC836</f>
        <v>105.87218095881161</v>
      </c>
      <c r="DD838" s="196"/>
      <c r="DE838" s="196">
        <f>+DE837+DE836</f>
        <v>117.39638870650032</v>
      </c>
      <c r="DF838" s="196"/>
      <c r="DG838" s="196">
        <f>+DG837+DG836</f>
        <v>154.96678813118169</v>
      </c>
      <c r="DH838" s="196"/>
      <c r="DI838" s="196">
        <f>+DI837+DI836</f>
        <v>154.11497961956522</v>
      </c>
      <c r="DJ838" s="196"/>
      <c r="DK838" s="196">
        <f>+DK837+DK836</f>
        <v>94.810311903246344</v>
      </c>
      <c r="DL838" s="196"/>
      <c r="DM838" s="196">
        <f>+DM837+DM836</f>
        <v>147.81515711645105</v>
      </c>
      <c r="DN838" s="196"/>
      <c r="DO838" s="196">
        <f>+DO837+DO836</f>
        <v>18.341463414634148</v>
      </c>
      <c r="DP838" s="196"/>
      <c r="DQ838" s="196">
        <f>+DQ837+DQ836</f>
        <v>121.40966542750928</v>
      </c>
      <c r="DR838" s="196"/>
      <c r="DS838" s="196">
        <f>+DS837+DS836</f>
        <v>108.60057306590258</v>
      </c>
      <c r="DT838" s="196"/>
      <c r="DU838" s="196">
        <f>+DU837+DU836</f>
        <v>228.78870179250404</v>
      </c>
      <c r="DV838" s="196"/>
      <c r="DW838" s="196">
        <f>+DW837+DW836</f>
        <v>172.22829801777169</v>
      </c>
      <c r="DX838" s="196"/>
      <c r="DY838" s="196">
        <f>+DY837+DY836</f>
        <v>94.979695431472067</v>
      </c>
      <c r="DZ838" s="196"/>
      <c r="EA838" s="196">
        <f>+EA837+EA836</f>
        <v>109.85811320754718</v>
      </c>
      <c r="EB838" s="196"/>
      <c r="EC838" s="196">
        <f>+EC837+EC836</f>
        <v>-157.64333017975403</v>
      </c>
      <c r="ED838" s="196"/>
      <c r="EE838" s="196">
        <f>+EE837+EE836</f>
        <v>132.24839537869062</v>
      </c>
      <c r="EF838" s="196"/>
      <c r="EG838" s="196">
        <f>+EG837+EG836</f>
        <v>135.22275531185744</v>
      </c>
      <c r="EH838" s="196"/>
      <c r="EI838" s="196">
        <f>+EI837+EI836</f>
        <v>113.26746987951807</v>
      </c>
      <c r="EJ838" s="196"/>
      <c r="EK838" s="196">
        <f>+EK837+EK836</f>
        <v>-315.06433224755699</v>
      </c>
      <c r="EL838" s="196"/>
      <c r="EM838" s="196">
        <f>+EM837+EM836</f>
        <v>156.47589686098655</v>
      </c>
      <c r="EN838" s="196"/>
      <c r="EO838" s="196">
        <f>+EO837+EO836</f>
        <v>89.541984732824432</v>
      </c>
      <c r="EP838" s="196"/>
      <c r="EQ838" s="196">
        <f t="shared" ref="EQ838" si="3556">+EQ837+EQ836</f>
        <v>108.19118779950013</v>
      </c>
      <c r="ER838" s="196"/>
      <c r="ES838" s="196">
        <f t="shared" ref="ES838" si="3557">+ES837+ES836</f>
        <v>127.43460647683514</v>
      </c>
      <c r="ET838" s="196"/>
      <c r="EU838" s="196">
        <f t="shared" ref="EU838" si="3558">+EU837+EU836</f>
        <v>132.65664983854174</v>
      </c>
      <c r="EV838" s="196"/>
      <c r="EW838" s="196">
        <f t="shared" ref="EW838" si="3559">+EW837+EW836</f>
        <v>124.77174020992845</v>
      </c>
      <c r="EX838" s="196"/>
      <c r="EY838" s="196"/>
      <c r="EZ838" s="346"/>
      <c r="FA838" s="196"/>
      <c r="FB838" s="196">
        <f>+FB837+FB836</f>
        <v>276</v>
      </c>
      <c r="FC838" s="196"/>
      <c r="FD838" s="196">
        <f>+FD837+FD836</f>
        <v>32.241108354011573</v>
      </c>
      <c r="FE838" s="196"/>
      <c r="FF838" s="196">
        <f>+FF837+FF836</f>
        <v>36.998688524590165</v>
      </c>
      <c r="FG838" s="196"/>
      <c r="FH838" s="196">
        <f>+FH837+FH836</f>
        <v>113.1175187457396</v>
      </c>
      <c r="FI838" s="196"/>
      <c r="FJ838" s="196">
        <f>+FJ837+FJ836</f>
        <v>210.63423700391277</v>
      </c>
      <c r="FK838" s="196"/>
      <c r="FL838" s="196">
        <f>+FL837+FL836</f>
        <v>260.9459032103498</v>
      </c>
      <c r="FM838" s="196"/>
      <c r="FN838" s="196">
        <f>+FN837+FN836</f>
        <v>327.91053965954359</v>
      </c>
      <c r="FO838" s="196"/>
      <c r="FP838" s="196">
        <f>+FP837+FP836</f>
        <v>435.06234334013413</v>
      </c>
      <c r="FQ838" s="196"/>
      <c r="FR838" s="196">
        <f>+FR837+FR836</f>
        <v>451.85695618754801</v>
      </c>
      <c r="FS838" s="196"/>
      <c r="FT838" s="196">
        <f>+FT837+FT836</f>
        <v>549.25035260930895</v>
      </c>
      <c r="FU838" s="196"/>
      <c r="FV838" s="196">
        <f>+FV837+FV836</f>
        <v>-452.273881239243</v>
      </c>
      <c r="FW838" s="196"/>
      <c r="FX838" s="196">
        <f>+FX837+FX836</f>
        <v>317.01086440677966</v>
      </c>
      <c r="FY838" s="196"/>
      <c r="FZ838" s="196">
        <f>+FZ837+FZ836</f>
        <v>387.5844074276352</v>
      </c>
      <c r="GA838" s="196"/>
      <c r="GB838" s="196">
        <f>+GB837+GB836</f>
        <v>404.35826870152619</v>
      </c>
      <c r="GC838" s="196"/>
      <c r="GD838" s="196">
        <f>+GD837+GD836</f>
        <v>251.21190304775621</v>
      </c>
      <c r="GE838" s="196"/>
      <c r="GF838" s="196">
        <f>+GF837+GF836</f>
        <v>555.60731592934189</v>
      </c>
      <c r="GG838" s="17"/>
      <c r="GH838" s="196">
        <f>+GH837+GH836</f>
        <v>377.04412763068564</v>
      </c>
      <c r="GI838" s="17"/>
      <c r="GJ838" s="196">
        <f>+GJ837+GJ836</f>
        <v>605.09372492376826</v>
      </c>
      <c r="GK838" s="17"/>
      <c r="GL838" s="196">
        <f>+GL837+GL836</f>
        <v>227.44823115391739</v>
      </c>
      <c r="GM838" s="17"/>
      <c r="GN838" s="196">
        <f>+GN837+GN836</f>
        <v>46.192184497117239</v>
      </c>
      <c r="GO838" s="17"/>
      <c r="GP838" s="196">
        <f>+GP837+GP836</f>
        <v>493.05418432480599</v>
      </c>
      <c r="GQ838" s="17"/>
      <c r="GR838" s="196">
        <f>+GR837+GR836</f>
        <v>496.10587446252146</v>
      </c>
      <c r="GS838" s="17"/>
      <c r="GT838" s="196">
        <f>+GT837+GT836</f>
        <v>500.53313595288193</v>
      </c>
      <c r="GU838" s="17"/>
      <c r="GV838" s="196">
        <f>+GV837+GV836</f>
        <v>507.54660676457979</v>
      </c>
      <c r="GW838" s="17"/>
      <c r="GX838" s="196">
        <f>+GX837+GX836</f>
        <v>514.18156596011545</v>
      </c>
      <c r="GY838" s="17"/>
      <c r="GZ838" s="196"/>
      <c r="HA838" s="196"/>
      <c r="HB838" s="196"/>
      <c r="HC838"/>
      <c r="HD838"/>
      <c r="HE838"/>
      <c r="HF838"/>
      <c r="HG838"/>
      <c r="HH838"/>
      <c r="HI838" s="2"/>
    </row>
    <row r="839" spans="2:217" s="3" customFormat="1" ht="12.75" hidden="1" customHeight="1" outlineLevel="1" x14ac:dyDescent="0.2">
      <c r="B839" s="10"/>
      <c r="C839" s="9"/>
      <c r="D839" s="11"/>
      <c r="E839" s="9"/>
      <c r="F839" s="11"/>
      <c r="G839" s="9"/>
      <c r="H839" s="11"/>
      <c r="I839" s="9"/>
      <c r="J839" s="11"/>
      <c r="K839" s="9"/>
      <c r="L839" s="11"/>
      <c r="M839" s="9"/>
      <c r="N839" s="11"/>
      <c r="O839" s="9"/>
      <c r="P839" s="11"/>
      <c r="Q839" s="9"/>
      <c r="R839" s="11"/>
      <c r="S839" s="9"/>
      <c r="T839" s="11"/>
      <c r="U839" s="9"/>
      <c r="V839" s="11"/>
      <c r="W839" s="9"/>
      <c r="X839" s="11"/>
      <c r="Y839" s="9"/>
      <c r="Z839" s="11"/>
      <c r="AA839" s="9"/>
      <c r="AB839" s="11"/>
      <c r="AC839" s="9"/>
      <c r="AD839" s="11"/>
      <c r="AE839" s="9"/>
      <c r="AF839" s="11"/>
      <c r="AG839" s="9"/>
      <c r="AH839" s="11"/>
      <c r="AI839" s="9"/>
      <c r="AJ839" s="11"/>
      <c r="AK839" s="9"/>
      <c r="AL839" s="11"/>
      <c r="AM839" s="9"/>
      <c r="AN839" s="11"/>
      <c r="AO839" s="9"/>
      <c r="AP839" s="11"/>
      <c r="AQ839" s="9"/>
      <c r="AR839" s="11"/>
      <c r="AS839" s="9"/>
      <c r="AT839" s="11"/>
      <c r="AU839" s="9"/>
      <c r="AV839" s="11"/>
      <c r="AW839" s="9"/>
      <c r="AX839" s="11"/>
      <c r="AY839" s="9"/>
      <c r="AZ839" s="11"/>
      <c r="BA839" s="9"/>
      <c r="BB839" s="11"/>
      <c r="BC839" s="9"/>
      <c r="BD839" s="11"/>
      <c r="BE839" s="9"/>
      <c r="BF839" s="11"/>
      <c r="BG839" s="9"/>
      <c r="BH839" s="9"/>
      <c r="BI839" s="9"/>
      <c r="BJ839" s="9"/>
      <c r="BK839" s="9"/>
      <c r="BL839" s="9"/>
      <c r="BM839" s="9"/>
      <c r="BN839" s="9"/>
      <c r="BO839" s="9"/>
      <c r="BP839" s="9"/>
      <c r="BQ839" s="9"/>
      <c r="BR839" s="9"/>
      <c r="BS839" s="9"/>
      <c r="BT839" s="9"/>
      <c r="BU839" s="9"/>
      <c r="BV839" s="9"/>
      <c r="BW839" s="9"/>
      <c r="BX839" s="9"/>
      <c r="BY839" s="9"/>
      <c r="BZ839" s="9"/>
      <c r="CA839" s="9"/>
      <c r="CB839" s="9"/>
      <c r="CC839" s="9"/>
      <c r="CD839" s="9"/>
      <c r="CE839" s="9"/>
      <c r="CF839" s="9"/>
      <c r="CG839" s="9"/>
      <c r="CH839" s="9"/>
      <c r="CI839" s="9"/>
      <c r="CJ839" s="9"/>
      <c r="CK839" s="9"/>
      <c r="CL839" s="9"/>
      <c r="CM839" s="9"/>
      <c r="CN839" s="9"/>
      <c r="CO839" s="9"/>
      <c r="CP839" s="9"/>
      <c r="CQ839" s="9"/>
      <c r="CR839" s="9"/>
      <c r="CS839" s="9"/>
      <c r="CT839" s="9"/>
      <c r="CU839" s="9"/>
      <c r="CV839" s="9"/>
      <c r="CW839" s="9"/>
      <c r="CX839" s="9"/>
      <c r="CY839" s="9"/>
      <c r="CZ839" s="9"/>
      <c r="DA839" s="9"/>
      <c r="DB839" s="9"/>
      <c r="DC839" s="9"/>
      <c r="DD839" s="9"/>
      <c r="DE839" s="9"/>
      <c r="DF839" s="9"/>
      <c r="DG839" s="9"/>
      <c r="DH839" s="9"/>
      <c r="DI839" s="9"/>
      <c r="DJ839" s="9"/>
      <c r="DK839" s="9"/>
      <c r="DL839" s="9"/>
      <c r="DM839" s="9"/>
      <c r="DN839" s="9"/>
      <c r="DO839" s="9"/>
      <c r="DP839" s="9"/>
      <c r="DQ839" s="9"/>
      <c r="DR839" s="9"/>
      <c r="DS839" s="9"/>
      <c r="DT839" s="9"/>
      <c r="DU839" s="9"/>
      <c r="DV839" s="9"/>
      <c r="DW839" s="9"/>
      <c r="DX839" s="9"/>
      <c r="DY839" s="9"/>
      <c r="DZ839" s="9"/>
      <c r="EA839" s="9"/>
      <c r="EB839" s="9"/>
      <c r="EC839" s="9"/>
      <c r="ED839" s="9"/>
      <c r="EE839" s="9"/>
      <c r="EF839" s="9"/>
      <c r="EG839" s="9"/>
      <c r="EH839" s="9"/>
      <c r="EI839" s="9"/>
      <c r="EJ839" s="9"/>
      <c r="EK839" s="9"/>
      <c r="EL839" s="9"/>
      <c r="EM839" s="9"/>
      <c r="EN839" s="9"/>
      <c r="EO839" s="9"/>
      <c r="EP839" s="9"/>
      <c r="EQ839" s="9"/>
      <c r="ER839" s="9"/>
      <c r="ES839" s="9"/>
      <c r="ET839" s="9"/>
      <c r="EU839" s="9"/>
      <c r="EV839" s="9"/>
      <c r="EW839" s="9"/>
      <c r="EX839" s="9"/>
      <c r="EY839" s="9"/>
      <c r="EZ839" s="335"/>
      <c r="FA839" s="9"/>
      <c r="FB839" s="9"/>
      <c r="FC839" s="9"/>
      <c r="FD839" s="9"/>
      <c r="FE839" s="9"/>
      <c r="FF839" s="9"/>
      <c r="FG839" s="9"/>
      <c r="FH839" s="9"/>
      <c r="FI839" s="9"/>
      <c r="FJ839" s="9"/>
      <c r="FK839" s="9"/>
      <c r="FL839" s="9"/>
      <c r="FM839" s="9"/>
      <c r="FN839" s="9"/>
      <c r="FO839" s="9"/>
      <c r="FP839" s="9"/>
      <c r="FQ839" s="9"/>
      <c r="FR839" s="9"/>
      <c r="FS839" s="9"/>
      <c r="FT839" s="9"/>
      <c r="FU839" s="9"/>
      <c r="FV839" s="9"/>
      <c r="FW839" s="9"/>
      <c r="FX839" s="9"/>
      <c r="FY839" s="9"/>
      <c r="FZ839" s="9"/>
      <c r="GA839" s="9"/>
      <c r="GB839" s="9"/>
      <c r="GC839" s="9"/>
      <c r="GD839" s="9"/>
      <c r="GE839" s="9"/>
      <c r="GF839" s="9"/>
      <c r="GG839" s="790"/>
      <c r="GH839" s="9"/>
      <c r="GI839" s="790"/>
      <c r="GJ839" s="9"/>
      <c r="GK839" s="790"/>
      <c r="GL839" s="9"/>
      <c r="GM839" s="790"/>
      <c r="GN839" s="9"/>
      <c r="GO839" s="790"/>
      <c r="GP839" s="9"/>
      <c r="GQ839" s="790"/>
      <c r="GR839" s="9"/>
      <c r="GS839" s="790"/>
      <c r="GT839" s="9"/>
      <c r="GU839" s="790"/>
      <c r="GV839" s="9"/>
      <c r="GW839" s="790"/>
      <c r="GX839" s="9"/>
      <c r="GY839" s="790"/>
      <c r="GZ839" s="9"/>
      <c r="HA839" s="9"/>
      <c r="HB839" s="9"/>
      <c r="HC839"/>
      <c r="HD839"/>
      <c r="HE839"/>
      <c r="HF839"/>
      <c r="HG839"/>
      <c r="HH839"/>
      <c r="HI839" s="2"/>
    </row>
    <row r="840" spans="2:217" s="3" customFormat="1" ht="12.75" hidden="1" customHeight="1" outlineLevel="1" x14ac:dyDescent="0.2">
      <c r="B840" s="89" t="s">
        <v>95</v>
      </c>
      <c r="C840" s="9"/>
      <c r="D840" s="11"/>
      <c r="E840" s="9"/>
      <c r="F840" s="11"/>
      <c r="G840" s="9"/>
      <c r="H840" s="11"/>
      <c r="I840" s="9"/>
      <c r="J840" s="11"/>
      <c r="K840" s="9"/>
      <c r="L840" s="11"/>
      <c r="M840" s="9"/>
      <c r="N840" s="11"/>
      <c r="O840" s="9"/>
      <c r="P840" s="11"/>
      <c r="Q840" s="9"/>
      <c r="R840" s="11"/>
      <c r="S840" s="9"/>
      <c r="T840" s="11"/>
      <c r="U840" s="9"/>
      <c r="V840" s="11"/>
      <c r="W840" s="9"/>
      <c r="X840" s="11"/>
      <c r="Y840" s="9"/>
      <c r="Z840" s="11"/>
      <c r="AA840" s="9"/>
      <c r="AB840" s="11"/>
      <c r="AC840" s="9"/>
      <c r="AD840" s="11"/>
      <c r="AE840" s="9"/>
      <c r="AF840" s="11"/>
      <c r="AG840" s="9"/>
      <c r="AH840" s="11"/>
      <c r="AI840" s="9"/>
      <c r="AJ840" s="11"/>
      <c r="AK840" s="9"/>
      <c r="AL840" s="11"/>
      <c r="AM840" s="9"/>
      <c r="AN840" s="11"/>
      <c r="AO840" s="9"/>
      <c r="AP840" s="11"/>
      <c r="AQ840" s="9"/>
      <c r="AR840" s="11"/>
      <c r="AS840" s="9"/>
      <c r="AT840" s="11"/>
      <c r="AU840" s="9"/>
      <c r="AV840" s="11"/>
      <c r="AW840" s="9"/>
      <c r="AX840" s="11"/>
      <c r="AY840" s="9"/>
      <c r="AZ840" s="11"/>
      <c r="BA840" s="9"/>
      <c r="BB840" s="11"/>
      <c r="BC840" s="9"/>
      <c r="BD840" s="11"/>
      <c r="BE840" s="9"/>
      <c r="BF840" s="11"/>
      <c r="BG840" s="9"/>
      <c r="BH840" s="9"/>
      <c r="BI840" s="9"/>
      <c r="BJ840" s="9"/>
      <c r="BK840" s="9"/>
      <c r="BL840" s="9"/>
      <c r="BM840" s="9"/>
      <c r="BN840" s="9"/>
      <c r="BO840" s="9"/>
      <c r="BP840" s="9"/>
      <c r="BQ840" s="9"/>
      <c r="BR840" s="9"/>
      <c r="BS840" s="9"/>
      <c r="BT840" s="9"/>
      <c r="BU840" s="9"/>
      <c r="BV840" s="9"/>
      <c r="BW840" s="9"/>
      <c r="BX840" s="9"/>
      <c r="BY840" s="9"/>
      <c r="BZ840" s="9"/>
      <c r="CA840" s="9"/>
      <c r="CB840" s="9"/>
      <c r="CC840" s="9"/>
      <c r="CD840" s="9"/>
      <c r="CE840" s="9"/>
      <c r="CF840" s="9"/>
      <c r="CG840" s="9"/>
      <c r="CH840" s="9"/>
      <c r="CI840" s="9"/>
      <c r="CJ840" s="9"/>
      <c r="CK840" s="9"/>
      <c r="CL840" s="9"/>
      <c r="CM840" s="9"/>
      <c r="CN840" s="9"/>
      <c r="CO840" s="9"/>
      <c r="CP840" s="9"/>
      <c r="CQ840" s="9"/>
      <c r="CR840" s="9"/>
      <c r="CS840" s="9"/>
      <c r="CT840" s="9"/>
      <c r="CU840" s="9"/>
      <c r="CV840" s="9"/>
      <c r="CW840" s="9"/>
      <c r="CX840" s="9"/>
      <c r="CY840" s="9"/>
      <c r="CZ840" s="9"/>
      <c r="DA840" s="9"/>
      <c r="DB840" s="9"/>
      <c r="DC840" s="9"/>
      <c r="DD840" s="9"/>
      <c r="DE840" s="9"/>
      <c r="DF840" s="9"/>
      <c r="DG840" s="9"/>
      <c r="DH840" s="9"/>
      <c r="DI840" s="9"/>
      <c r="DJ840" s="9"/>
      <c r="DK840" s="9"/>
      <c r="DL840" s="9"/>
      <c r="DM840" s="9"/>
      <c r="DN840" s="9"/>
      <c r="DO840" s="9"/>
      <c r="DP840" s="9"/>
      <c r="DQ840" s="9"/>
      <c r="DR840" s="9"/>
      <c r="DS840" s="9"/>
      <c r="DT840" s="9"/>
      <c r="DU840" s="9"/>
      <c r="DV840" s="9"/>
      <c r="DW840" s="9"/>
      <c r="DX840" s="9"/>
      <c r="DY840" s="9"/>
      <c r="DZ840" s="9"/>
      <c r="EA840" s="9"/>
      <c r="EB840" s="9"/>
      <c r="EC840" s="9"/>
      <c r="ED840" s="9"/>
      <c r="EE840" s="9"/>
      <c r="EF840" s="9"/>
      <c r="EG840" s="9"/>
      <c r="EH840" s="9"/>
      <c r="EI840" s="9"/>
      <c r="EJ840" s="9"/>
      <c r="EK840" s="9"/>
      <c r="EL840" s="9"/>
      <c r="EM840" s="9"/>
      <c r="EN840" s="9"/>
      <c r="EO840" s="9"/>
      <c r="EP840" s="9"/>
      <c r="EQ840" s="9"/>
      <c r="ER840" s="9"/>
      <c r="ES840" s="9"/>
      <c r="ET840" s="9"/>
      <c r="EU840" s="9"/>
      <c r="EV840" s="9"/>
      <c r="EW840" s="9"/>
      <c r="EX840" s="9"/>
      <c r="EY840" s="9"/>
      <c r="EZ840" s="335"/>
      <c r="FA840" s="9"/>
      <c r="FB840" s="9"/>
      <c r="FC840" s="9"/>
      <c r="FD840" s="9"/>
      <c r="FE840" s="9"/>
      <c r="FF840" s="9"/>
      <c r="FG840" s="9"/>
      <c r="FH840" s="9"/>
      <c r="FI840" s="9"/>
      <c r="FJ840" s="9"/>
      <c r="FK840" s="9"/>
      <c r="FL840" s="9"/>
      <c r="FM840" s="9"/>
      <c r="FN840" s="9"/>
      <c r="FO840" s="9"/>
      <c r="FP840" s="9"/>
      <c r="FQ840" s="9"/>
      <c r="FR840" s="9"/>
      <c r="FS840" s="9"/>
      <c r="FT840" s="9"/>
      <c r="FU840" s="9"/>
      <c r="FV840" s="9"/>
      <c r="FW840" s="9"/>
      <c r="FX840" s="9"/>
      <c r="FY840" s="9"/>
      <c r="FZ840" s="9"/>
      <c r="GA840" s="9"/>
      <c r="GB840" s="9"/>
      <c r="GC840" s="9"/>
      <c r="GD840" s="9"/>
      <c r="GE840" s="9"/>
      <c r="GF840" s="9"/>
      <c r="GG840" s="790"/>
      <c r="GH840" s="9"/>
      <c r="GI840" s="790"/>
      <c r="GJ840" s="9"/>
      <c r="GK840" s="790"/>
      <c r="GL840" s="9"/>
      <c r="GM840" s="790"/>
      <c r="GN840" s="9"/>
      <c r="GO840" s="790"/>
      <c r="GP840" s="9"/>
      <c r="GQ840" s="790"/>
      <c r="GR840" s="9"/>
      <c r="GS840" s="790"/>
      <c r="GT840" s="9"/>
      <c r="GU840" s="790"/>
      <c r="GV840" s="9"/>
      <c r="GW840" s="790"/>
      <c r="GX840" s="9"/>
      <c r="GY840" s="790"/>
      <c r="GZ840" s="9"/>
      <c r="HA840" s="9"/>
      <c r="HB840" s="9"/>
      <c r="HC840"/>
      <c r="HD840"/>
      <c r="HE840"/>
      <c r="HF840"/>
      <c r="HG840"/>
      <c r="HH840"/>
      <c r="HI840" s="2"/>
    </row>
    <row r="841" spans="2:217" s="3" customFormat="1" ht="12.75" hidden="1" customHeight="1" outlineLevel="1" x14ac:dyDescent="0.2">
      <c r="B841" s="10" t="s">
        <v>302</v>
      </c>
      <c r="C841" s="9"/>
      <c r="D841" s="11"/>
      <c r="E841" s="9"/>
      <c r="F841" s="11"/>
      <c r="G841" s="9"/>
      <c r="H841" s="11"/>
      <c r="I841" s="9"/>
      <c r="J841" s="11"/>
      <c r="K841" s="9"/>
      <c r="L841" s="11"/>
      <c r="M841" s="9"/>
      <c r="N841" s="11"/>
      <c r="O841" s="9"/>
      <c r="P841" s="11"/>
      <c r="Q841" s="9"/>
      <c r="R841" s="11"/>
      <c r="S841" s="9"/>
      <c r="T841" s="11"/>
      <c r="U841" s="9"/>
      <c r="V841" s="11"/>
      <c r="W841" s="9"/>
      <c r="X841" s="11"/>
      <c r="Y841" s="9"/>
      <c r="Z841" s="11"/>
      <c r="AA841" s="9"/>
      <c r="AB841" s="11"/>
      <c r="AC841" s="9"/>
      <c r="AD841" s="11"/>
      <c r="AE841" s="9"/>
      <c r="AF841" s="11"/>
      <c r="AG841" s="9"/>
      <c r="AH841" s="11"/>
      <c r="AI841" s="9"/>
      <c r="AJ841" s="11"/>
      <c r="AK841" s="9"/>
      <c r="AL841" s="11"/>
      <c r="AM841" s="9"/>
      <c r="AN841" s="11"/>
      <c r="AO841" s="9"/>
      <c r="AP841" s="11"/>
      <c r="AQ841" s="9"/>
      <c r="AR841" s="11"/>
      <c r="AS841" s="9"/>
      <c r="AT841" s="11"/>
      <c r="AU841" s="9"/>
      <c r="AV841" s="11"/>
      <c r="AW841" s="9"/>
      <c r="AX841" s="11"/>
      <c r="AY841" s="9"/>
      <c r="AZ841" s="11"/>
      <c r="BA841" s="9"/>
      <c r="BB841" s="11"/>
      <c r="BC841" s="9"/>
      <c r="BD841" s="11"/>
      <c r="BE841" s="9"/>
      <c r="BF841" s="11"/>
      <c r="BG841" s="196">
        <f>+BG422*(1-(BG$802/100))</f>
        <v>102.09074344023324</v>
      </c>
      <c r="BH841" s="196"/>
      <c r="BI841" s="196">
        <f>+BI422*(1-(BI$802/100))</f>
        <v>112.04281891168598</v>
      </c>
      <c r="BJ841" s="196"/>
      <c r="BK841" s="196">
        <f>+BK422*(1-(BK$802/100))</f>
        <v>111.05173745173745</v>
      </c>
      <c r="BL841" s="196"/>
      <c r="BM841" s="196">
        <f>+BM422*(1-(BM$802/100))</f>
        <v>92.16796875</v>
      </c>
      <c r="BN841" s="196"/>
      <c r="BO841" s="196">
        <f>+BO422*(1-(BO$802/100))</f>
        <v>94.352683461117195</v>
      </c>
      <c r="BP841" s="196"/>
      <c r="BQ841" s="196">
        <f>+BQ422*(1-(BQ$802/100))</f>
        <v>124.72531418312387</v>
      </c>
      <c r="BR841" s="196"/>
      <c r="BS841" s="196">
        <f>+BS422*(1-(BS$802/100))</f>
        <v>115.5728476821192</v>
      </c>
      <c r="BT841" s="196"/>
      <c r="BU841" s="196">
        <f>+BU422*(1-(BU$802/100))</f>
        <v>118.84940778341793</v>
      </c>
      <c r="BV841" s="196"/>
      <c r="BW841" s="196">
        <f>+BW422*(1-(BW$802/100))</f>
        <v>104.91428571428573</v>
      </c>
      <c r="BX841" s="196"/>
      <c r="BY841" s="196">
        <f>+BY422*(1-(BY$802/100))</f>
        <v>116.57069408740361</v>
      </c>
      <c r="BZ841" s="196"/>
      <c r="CA841" s="196">
        <f>+CA422*(1-(CA$802/100))</f>
        <v>151.53846153846155</v>
      </c>
      <c r="CB841" s="196"/>
      <c r="CC841" s="196">
        <f>+CC422*(1-(CC$802/100))</f>
        <v>112.97254901960784</v>
      </c>
      <c r="CD841" s="196"/>
      <c r="CE841" s="196">
        <f>+CE422*(1-(CE$802/100))</f>
        <v>115.54205607476635</v>
      </c>
      <c r="CF841" s="196"/>
      <c r="CG841" s="196">
        <f>+CG422*(1-(CG$802/100))</f>
        <v>126.07551020408162</v>
      </c>
      <c r="CH841" s="196"/>
      <c r="CI841" s="196">
        <f>+CI422*(1-(CI$802/100))</f>
        <v>145.69642857142858</v>
      </c>
      <c r="CJ841" s="196"/>
      <c r="CK841" s="196">
        <f>+CK422*(1-(CK$802/100))</f>
        <v>179.82287822878232</v>
      </c>
      <c r="CL841" s="196"/>
      <c r="CM841" s="196">
        <f>+CM422*(1-(CM$802/100))</f>
        <v>239.22608695652175</v>
      </c>
      <c r="CN841" s="196"/>
      <c r="CO841" s="196">
        <f>+CO422*(1-(CO$802/100))</f>
        <v>135.51549491211841</v>
      </c>
      <c r="CP841" s="196"/>
      <c r="CQ841" s="196">
        <f>+CQ422*(1-(CQ$802/100))</f>
        <v>258.64048913043479</v>
      </c>
      <c r="CR841" s="196"/>
      <c r="CS841" s="196">
        <f>+CS422*(1-(CS$802/100))</f>
        <v>146.86682539682539</v>
      </c>
      <c r="CT841" s="196"/>
      <c r="CU841" s="196">
        <f>+CU422*(1-(CU$802/100))</f>
        <v>157.05137900355871</v>
      </c>
      <c r="CV841" s="196"/>
      <c r="CW841" s="196">
        <f>+CW422*(1-(CW$802/100))</f>
        <v>229.76823266219242</v>
      </c>
      <c r="CX841" s="196"/>
      <c r="CY841" s="196">
        <f>+CY422*(1-(CY$802/100))</f>
        <v>285.83998118532458</v>
      </c>
      <c r="CZ841" s="196"/>
      <c r="DA841" s="196">
        <f>+DA422*(1-(DA$802/100))</f>
        <v>242.92127071823205</v>
      </c>
      <c r="DB841" s="196"/>
      <c r="DC841" s="196">
        <f>+DC422*(1-(DC$802/100))</f>
        <v>329.94412559081707</v>
      </c>
      <c r="DD841" s="196"/>
      <c r="DE841" s="196">
        <f>+DE422*(1-(DE$802/100))</f>
        <v>347.14760341431383</v>
      </c>
      <c r="DF841" s="196"/>
      <c r="DG841" s="196">
        <f>+DG422*(1-(DG$802/100))</f>
        <v>253.97334721499217</v>
      </c>
      <c r="DH841" s="196"/>
      <c r="DI841" s="196">
        <f>+DI422*(1-(DI$802/100))</f>
        <v>246.58396739130436</v>
      </c>
      <c r="DJ841" s="196"/>
      <c r="DK841" s="196">
        <f>+DK422*(1-(DK$802/100))</f>
        <v>302.52450668364099</v>
      </c>
      <c r="DL841" s="196"/>
      <c r="DM841" s="196">
        <f>+DM422*(1-(DM$802/100))</f>
        <v>363.74121996303148</v>
      </c>
      <c r="DN841" s="196"/>
      <c r="DO841" s="196">
        <f>+DO422*(1-(DO$802/100))</f>
        <v>329.3821138211382</v>
      </c>
      <c r="DP841" s="196"/>
      <c r="DQ841" s="196">
        <f>+DQ422*(1-(DQ$802/100))</f>
        <v>233.82602230483269</v>
      </c>
      <c r="DR841" s="196"/>
      <c r="DS841" s="196">
        <f>+DS422*(1-(DS$802/100))</f>
        <v>293.81661891117477</v>
      </c>
      <c r="DT841" s="196"/>
      <c r="DU841" s="196">
        <f>+DU422*(1-(DU$802/100))</f>
        <v>338.04997284084732</v>
      </c>
      <c r="DV841" s="196"/>
      <c r="DW841" s="196">
        <f>+DW422*(1-(DW$802/100))</f>
        <v>314.10799726589198</v>
      </c>
      <c r="DX841" s="196"/>
      <c r="DY841" s="196">
        <f>+DY422*(1-(DY$802/100))</f>
        <v>279.66243654822335</v>
      </c>
      <c r="DZ841" s="196"/>
      <c r="EA841" s="196">
        <f>+EA422*(1-(EA$802/100))</f>
        <v>277.65509433962262</v>
      </c>
      <c r="EB841" s="196"/>
      <c r="EC841" s="196">
        <f>+EC422*(1-(EC$802/100))</f>
        <v>360.77578051087988</v>
      </c>
      <c r="ED841" s="196"/>
      <c r="EE841" s="196">
        <f>+EE422*(1-(EE$802/100))</f>
        <v>297.36777920410782</v>
      </c>
      <c r="EF841" s="196"/>
      <c r="EG841" s="196">
        <f>+EG422*(1-(EG$802/100))</f>
        <v>268.95133653187116</v>
      </c>
      <c r="EH841" s="196"/>
      <c r="EI841" s="196">
        <f>+EI422*(1-(EI$802/100))</f>
        <v>291.36566265060242</v>
      </c>
      <c r="EJ841" s="196"/>
      <c r="EK841" s="196">
        <f>+EK422*(1-(EK$802/100))</f>
        <v>369.6954397394137</v>
      </c>
      <c r="EL841" s="196"/>
      <c r="EM841" s="196">
        <f>+EM422*(1-(EM$802/100))</f>
        <v>315.91816143497761</v>
      </c>
      <c r="EN841" s="196"/>
      <c r="EO841" s="196">
        <f>+EO422*(1-(EO$802/100))</f>
        <v>293.99618320610688</v>
      </c>
      <c r="EP841" s="196"/>
      <c r="EQ841" s="196">
        <f>+EQ422*(1-(EQ$802/100))</f>
        <v>326.35265163208345</v>
      </c>
      <c r="ER841" s="196"/>
      <c r="ES841" s="196">
        <f>+ES422*(1-(ES$802/100))</f>
        <v>343.54706481650288</v>
      </c>
      <c r="ET841" s="196"/>
      <c r="EU841" s="196">
        <f>+EU422*(1-(EU$802/100))</f>
        <v>330.40137804539677</v>
      </c>
      <c r="EV841" s="196"/>
      <c r="EW841" s="196">
        <f>+EW422*(1-(EW$802/100))</f>
        <v>313.79884618918936</v>
      </c>
      <c r="EX841" s="196"/>
      <c r="EY841" s="196"/>
      <c r="EZ841" s="346"/>
      <c r="FA841" s="196"/>
      <c r="FB841" s="196">
        <f>+FB422*(1-(FB$802/100))</f>
        <v>0</v>
      </c>
      <c r="FC841" s="196"/>
      <c r="FD841" s="196">
        <f>+FD422*(1-(FD$802/100))</f>
        <v>0</v>
      </c>
      <c r="FE841" s="196"/>
      <c r="FF841" s="196">
        <f>+FF422*(1-(FF$802/100))</f>
        <v>0</v>
      </c>
      <c r="FG841" s="196"/>
      <c r="FH841" s="196">
        <f>+FH422*(1-(FH$802/100))</f>
        <v>113.1175187457396</v>
      </c>
      <c r="FI841" s="196"/>
      <c r="FJ841" s="196">
        <f>+FJ422*(1-(FJ$802/100))</f>
        <v>135.63840134153156</v>
      </c>
      <c r="FK841" s="196"/>
      <c r="FL841" s="196">
        <f>+FL422*(1-(FL$802/100))</f>
        <v>183.55510301868711</v>
      </c>
      <c r="FM841" s="196"/>
      <c r="FN841" s="196">
        <f>+FN422*(1-(FN$802/100))</f>
        <v>233.72346975733427</v>
      </c>
      <c r="FO841" s="196"/>
      <c r="FP841" s="196">
        <f>+FP422*(1-(FP$802/100))</f>
        <v>302.49487030020401</v>
      </c>
      <c r="FQ841" s="196"/>
      <c r="FR841" s="196">
        <f>+FR422*(1-(FR$802/100))</f>
        <v>286.0593133487061</v>
      </c>
      <c r="FS841" s="196"/>
      <c r="FT841" s="196">
        <f>+FT422*(1-(FT$802/100))</f>
        <v>349.63293370944996</v>
      </c>
      <c r="FU841" s="196"/>
      <c r="FV841" s="196">
        <f>+FV422*(1-(FV$802/100))</f>
        <v>-96.79453528399317</v>
      </c>
      <c r="FW841" s="196"/>
      <c r="FX841" s="196">
        <f>+FX422*(1-(FX$802/100))</f>
        <v>232.39942372881353</v>
      </c>
      <c r="FY841" s="196"/>
      <c r="FZ841" s="196">
        <f>+FZ422*(1-(FZ$802/100))</f>
        <v>427.79489350081928</v>
      </c>
      <c r="GA841" s="196"/>
      <c r="GB841" s="196">
        <f>+GB422*(1-(GB$802/100))</f>
        <v>642.54190642982246</v>
      </c>
      <c r="GC841" s="196"/>
      <c r="GD841" s="196">
        <f>+GD422*(1-(GD$802/100))</f>
        <v>768.08039356851464</v>
      </c>
      <c r="GE841" s="196"/>
      <c r="GF841" s="196">
        <f>+GF422*(1-(GF$802/100))</f>
        <v>1227.5918399249647</v>
      </c>
      <c r="GG841" s="17"/>
      <c r="GH841" s="196">
        <f>+GH422*(1-(GH$802/100))</f>
        <v>1203.5016972165647</v>
      </c>
      <c r="GI841" s="17"/>
      <c r="GJ841" s="196">
        <f>+GJ422*(1-(GJ$802/100))</f>
        <v>1224.3635050553685</v>
      </c>
      <c r="GK841" s="17"/>
      <c r="GL841" s="196">
        <f>+GL422*(1-(GL$802/100))</f>
        <v>1200.3789590664937</v>
      </c>
      <c r="GM841" s="17"/>
      <c r="GN841" s="196">
        <f>+GN422*(1-(GN$802/100))</f>
        <v>1270.2850736707239</v>
      </c>
      <c r="GO841" s="17"/>
      <c r="GP841" s="196">
        <f>+GP422*(1-(GP$802/100))</f>
        <v>1314.0999406831718</v>
      </c>
      <c r="GQ841" s="17"/>
      <c r="GR841" s="196">
        <f>+GR422*(1-(GR$802/100))</f>
        <v>1324.8750953521642</v>
      </c>
      <c r="GS841" s="17"/>
      <c r="GT841" s="196">
        <f>+GT422*(1-(GT$802/100))</f>
        <v>1326.9359865056865</v>
      </c>
      <c r="GU841" s="17"/>
      <c r="GV841" s="196">
        <f>+GV422*(1-(GV$802/100))</f>
        <v>1328.9052959727433</v>
      </c>
      <c r="GW841" s="17"/>
      <c r="GX841" s="196">
        <f>+GX422*(1-(GX$802/100))</f>
        <v>1330.7809860304903</v>
      </c>
      <c r="GY841" s="17"/>
      <c r="GZ841" s="196"/>
      <c r="HA841" s="196"/>
      <c r="HB841" s="196"/>
      <c r="HC841"/>
      <c r="HD841"/>
      <c r="HE841"/>
      <c r="HF841"/>
      <c r="HG841"/>
      <c r="HH841"/>
      <c r="HI841" s="2"/>
    </row>
    <row r="842" spans="2:217" s="3" customFormat="1" ht="12.75" hidden="1" customHeight="1" outlineLevel="1" x14ac:dyDescent="0.2">
      <c r="B842" s="10" t="s">
        <v>373</v>
      </c>
      <c r="C842" s="9"/>
      <c r="D842" s="11"/>
      <c r="E842" s="9"/>
      <c r="F842" s="11"/>
      <c r="G842" s="9"/>
      <c r="H842" s="11"/>
      <c r="I842" s="9"/>
      <c r="J842" s="11"/>
      <c r="K842" s="9"/>
      <c r="L842" s="11"/>
      <c r="M842" s="9"/>
      <c r="N842" s="11"/>
      <c r="O842" s="9"/>
      <c r="P842" s="11"/>
      <c r="Q842" s="9"/>
      <c r="R842" s="11"/>
      <c r="S842" s="9"/>
      <c r="T842" s="11"/>
      <c r="U842" s="9"/>
      <c r="V842" s="11"/>
      <c r="W842" s="9"/>
      <c r="X842" s="11"/>
      <c r="Y842" s="9"/>
      <c r="Z842" s="11"/>
      <c r="AA842" s="9"/>
      <c r="AB842" s="11"/>
      <c r="AC842" s="9"/>
      <c r="AD842" s="11"/>
      <c r="AE842" s="9"/>
      <c r="AF842" s="11"/>
      <c r="AG842" s="9"/>
      <c r="AH842" s="11"/>
      <c r="AI842" s="9"/>
      <c r="AJ842" s="11"/>
      <c r="AK842" s="9"/>
      <c r="AL842" s="11"/>
      <c r="AM842" s="9"/>
      <c r="AN842" s="11"/>
      <c r="AO842" s="9"/>
      <c r="AP842" s="11"/>
      <c r="AQ842" s="9"/>
      <c r="AR842" s="11"/>
      <c r="AS842" s="9"/>
      <c r="AT842" s="11"/>
      <c r="AU842" s="9"/>
      <c r="AV842" s="11"/>
      <c r="AW842" s="9"/>
      <c r="AX842" s="11"/>
      <c r="AY842" s="9"/>
      <c r="AZ842" s="11"/>
      <c r="BA842" s="9"/>
      <c r="BB842" s="11"/>
      <c r="BC842" s="9"/>
      <c r="BD842" s="11"/>
      <c r="BE842" s="9"/>
      <c r="BF842" s="11"/>
      <c r="BG842" s="196">
        <f>BG383*(1-(BG$802/100))</f>
        <v>192.04482507288631</v>
      </c>
      <c r="BH842" s="196"/>
      <c r="BI842" s="196">
        <f>BI383*(1-(BI$802/100))</f>
        <v>180.55307760927741</v>
      </c>
      <c r="BJ842" s="196"/>
      <c r="BK842" s="196">
        <f>BK383*(1-(BK$802/100))</f>
        <v>188.15135135135137</v>
      </c>
      <c r="BL842" s="196"/>
      <c r="BM842" s="196">
        <f>BM383*(1-(BM$802/100))</f>
        <v>176.71875</v>
      </c>
      <c r="BN842" s="196"/>
      <c r="BO842" s="196">
        <f>BO383*(1-(BO$802/100))</f>
        <v>210.08214676889375</v>
      </c>
      <c r="BP842" s="196"/>
      <c r="BQ842" s="196">
        <f>BQ383*(1-(BQ$802/100))</f>
        <v>213.60143626570914</v>
      </c>
      <c r="BR842" s="196"/>
      <c r="BS842" s="196">
        <f>BS383*(1-(BS$802/100))</f>
        <v>202.77152317880794</v>
      </c>
      <c r="BT842" s="196"/>
      <c r="BU842" s="196">
        <f>BU383*(1-(BU$802/100))</f>
        <v>193.87309644670049</v>
      </c>
      <c r="BV842" s="196"/>
      <c r="BW842" s="196">
        <f>BW383*(1-(BW$802/100))</f>
        <v>226.8</v>
      </c>
      <c r="BX842" s="196"/>
      <c r="BY842" s="196">
        <f>BY383*(1-(BY$802/100))</f>
        <v>232.40359897172237</v>
      </c>
      <c r="BZ842" s="196"/>
      <c r="CA842" s="196">
        <f>CA383*(1-(CA$802/100))</f>
        <v>238.46153846153848</v>
      </c>
      <c r="CB842" s="196"/>
      <c r="CC842" s="196">
        <f>CC383*(1-(CC$802/100))</f>
        <v>218.70326797385621</v>
      </c>
      <c r="CD842" s="196"/>
      <c r="CE842" s="196">
        <f>CE383*(1-(CE$802/100))</f>
        <v>220.71495327102804</v>
      </c>
      <c r="CF842" s="196"/>
      <c r="CG842" s="196">
        <f>CG383*(1-(CG$802/100))</f>
        <v>204.96938775510202</v>
      </c>
      <c r="CH842" s="196"/>
      <c r="CI842" s="196">
        <f>CI383*(1-(CI$802/100))</f>
        <v>216.71428571428572</v>
      </c>
      <c r="CJ842" s="196"/>
      <c r="CK842" s="196">
        <f>CK383*(1-(CK$802/100))</f>
        <v>210.27675276752768</v>
      </c>
      <c r="CL842" s="196"/>
      <c r="CM842" s="196">
        <f>CM383*(1-(CM$802/100))</f>
        <v>218.80434782608697</v>
      </c>
      <c r="CN842" s="196"/>
      <c r="CO842" s="196">
        <f>CO383*(1-(CO$802/100))</f>
        <v>230.74259944495839</v>
      </c>
      <c r="CP842" s="196"/>
      <c r="CQ842" s="196">
        <f>CQ383*(1-(CQ$802/100))</f>
        <v>260.2127717391304</v>
      </c>
      <c r="CR842" s="196"/>
      <c r="CS842" s="196">
        <f>CS383*(1-(CS$802/100))</f>
        <v>218.11904761904762</v>
      </c>
      <c r="CT842" s="196"/>
      <c r="CU842" s="196">
        <f>CU383*(1-(CU$802/100))</f>
        <v>279.04012455516011</v>
      </c>
      <c r="CV842" s="196"/>
      <c r="CW842" s="196">
        <f>CW383*(1-(CW$802/100))</f>
        <v>282.67539149888142</v>
      </c>
      <c r="CX842" s="196"/>
      <c r="CY842" s="196">
        <f>CY383*(1-(CY$802/100))</f>
        <v>288.77920978363125</v>
      </c>
      <c r="CZ842" s="196"/>
      <c r="DA842" s="196">
        <f>DA383*(1-(DA$802/100))</f>
        <v>256.03130755064456</v>
      </c>
      <c r="DB842" s="196"/>
      <c r="DC842" s="196">
        <f>DC383*(1-(DC$802/100))</f>
        <v>306.0141120864281</v>
      </c>
      <c r="DD842" s="196"/>
      <c r="DE842" s="196">
        <f>DE383*(1-(DE$802/100))</f>
        <v>265.0421536441234</v>
      </c>
      <c r="DF842" s="196"/>
      <c r="DG842" s="196">
        <f>DG383*(1-(DG$802/100))</f>
        <v>304.19406559083808</v>
      </c>
      <c r="DH842" s="196"/>
      <c r="DI842" s="196">
        <f>DI383*(1-(DI$802/100))</f>
        <v>217.19459918478262</v>
      </c>
      <c r="DJ842" s="196"/>
      <c r="DK842" s="196">
        <f>DK383*(1-(DK$802/100))</f>
        <v>303.24824952259706</v>
      </c>
      <c r="DL842" s="196"/>
      <c r="DM842" s="196">
        <f>DM383*(1-(DM$802/100))</f>
        <v>276.79112754158967</v>
      </c>
      <c r="DN842" s="196"/>
      <c r="DO842" s="196">
        <f>DO383*(1-(DO$802/100))</f>
        <v>316.39024390243901</v>
      </c>
      <c r="DP842" s="196"/>
      <c r="DQ842" s="196">
        <f>DQ383*(1-(DQ$802/100))</f>
        <v>280.29144981412639</v>
      </c>
      <c r="DR842" s="196"/>
      <c r="DS842" s="196">
        <f>DS383*(1-(DS$802/100))</f>
        <v>326.545558739255</v>
      </c>
      <c r="DT842" s="196"/>
      <c r="DU842" s="196">
        <f>DU383*(1-(DU$802/100))</f>
        <v>279.38620315046171</v>
      </c>
      <c r="DV842" s="196"/>
      <c r="DW842" s="196">
        <f>DW383*(1-(DW$802/100))</f>
        <v>301.96855775803141</v>
      </c>
      <c r="DX842" s="196"/>
      <c r="DY842" s="196">
        <f>DY383*(1-(DY$802/100))</f>
        <v>276.64720812182742</v>
      </c>
      <c r="DZ842" s="196"/>
      <c r="EA842" s="196">
        <f>EA383*(1-(EA$802/100))</f>
        <v>308.50566037735848</v>
      </c>
      <c r="EB842" s="196"/>
      <c r="EC842" s="196">
        <f>EC383*(1-(EC$802/100))</f>
        <v>269.01324503311258</v>
      </c>
      <c r="ED842" s="196"/>
      <c r="EE842" s="196">
        <f>EE383*(1-(EE$802/100))</f>
        <v>298.89666238767649</v>
      </c>
      <c r="EF842" s="196"/>
      <c r="EG842" s="196">
        <f>EG383*(1-(EG$802/100))</f>
        <v>295.09938313913642</v>
      </c>
      <c r="EH842" s="196"/>
      <c r="EI842" s="196">
        <f>EI383*(1-(EI$802/100))</f>
        <v>304.03373493975909</v>
      </c>
      <c r="EJ842" s="196"/>
      <c r="EK842" s="196">
        <f>EK383*(1-(EK$802/100))</f>
        <v>246.2141693811075</v>
      </c>
      <c r="EL842" s="196"/>
      <c r="EM842" s="196">
        <f>EM383*(1-(EM$802/100))</f>
        <v>276.61378923766819</v>
      </c>
      <c r="EN842" s="196"/>
      <c r="EO842" s="196">
        <f>EO383*(1-(EO$802/100))</f>
        <v>285.78816793893134</v>
      </c>
      <c r="EP842" s="196"/>
      <c r="EQ842" s="196">
        <f>EQ383*(1-(EQ$802/100))</f>
        <v>338.75347156756737</v>
      </c>
      <c r="ER842" s="196"/>
      <c r="ES842" s="196">
        <f>ES383*(1-(ES$802/100))</f>
        <v>314.56136849729745</v>
      </c>
      <c r="ET842" s="196"/>
      <c r="EU842" s="196">
        <f>EU383*(1-(EU$802/100))</f>
        <v>304.45077379459462</v>
      </c>
      <c r="EV842" s="196"/>
      <c r="EW842" s="196">
        <f>EW383*(1-(EW$802/100))</f>
        <v>310.71917956756761</v>
      </c>
      <c r="EX842" s="196"/>
      <c r="EY842" s="196"/>
      <c r="EZ842" s="346"/>
      <c r="FA842" s="196"/>
      <c r="FB842" s="196">
        <f>FB383*(1-(FB$802/100))</f>
        <v>144</v>
      </c>
      <c r="FC842" s="196"/>
      <c r="FD842" s="196">
        <f>FD383*(1-(FD$802/100))</f>
        <v>28.688006617038873</v>
      </c>
      <c r="FE842" s="196"/>
      <c r="FF842" s="196">
        <f>FF383*(1-(FF$802/100))</f>
        <v>40.263278688524586</v>
      </c>
      <c r="FG842" s="196"/>
      <c r="FH842" s="196">
        <f>FH383*(1-(FH$802/100))</f>
        <v>115.09625085207907</v>
      </c>
      <c r="FI842" s="196"/>
      <c r="FJ842" s="196">
        <f>FJ383*(1-(FJ$802/100))</f>
        <v>135.99723309111235</v>
      </c>
      <c r="FK842" s="196"/>
      <c r="FL842" s="196">
        <f>FL383*(1-(FL$802/100))</f>
        <v>222.74659798754192</v>
      </c>
      <c r="FM842" s="196"/>
      <c r="FN842" s="196">
        <f>FN383*(1-(FN$802/100))</f>
        <v>299.42185802245558</v>
      </c>
      <c r="FO842" s="196"/>
      <c r="FP842" s="196">
        <f>FP383*(1-(FP$802/100))</f>
        <v>486.88417371028856</v>
      </c>
      <c r="FQ842" s="196"/>
      <c r="FR842" s="196">
        <f>FR383*(1-(FR$802/100))</f>
        <v>547.01546246477074</v>
      </c>
      <c r="FS842" s="196"/>
      <c r="FT842" s="196">
        <f>FT383*(1-(FT$802/100))</f>
        <v>616.99929478138233</v>
      </c>
      <c r="FU842" s="196"/>
      <c r="FV842" s="196">
        <f>FV383*(1-(FV$802/100))</f>
        <v>-564.91781411359761</v>
      </c>
      <c r="FW842" s="196"/>
      <c r="FX842" s="196">
        <f>FX383*(1-(FX$802/100))</f>
        <v>398.23784745762708</v>
      </c>
      <c r="FY842" s="196"/>
      <c r="FZ842" s="196">
        <f>FZ383*(1-(FZ$802/100))</f>
        <v>641.69234025122887</v>
      </c>
      <c r="GA842" s="196"/>
      <c r="GB842" s="196">
        <f>GB383*(1-(GB$802/100))</f>
        <v>766.86514886164628</v>
      </c>
      <c r="GC842" s="196"/>
      <c r="GD842" s="196">
        <f>GD383*(1-(GD$802/100))</f>
        <v>930.1120710343173</v>
      </c>
      <c r="GE842" s="196"/>
      <c r="GF842" s="196">
        <f>GF383*(1-(GF$802/100))</f>
        <v>1138.9949976551509</v>
      </c>
      <c r="GG842" s="17"/>
      <c r="GH842" s="196">
        <f>GH383*(1-(GH$802/100))</f>
        <v>1149.9484046164291</v>
      </c>
      <c r="GI842" s="17"/>
      <c r="GJ842" s="196">
        <f>GJ383*(1-(GJ$802/100))</f>
        <v>1182.5814476007063</v>
      </c>
      <c r="GK842" s="17"/>
      <c r="GL842" s="196">
        <f>GL383*(1-(GL$802/100))</f>
        <v>1170.7117984812003</v>
      </c>
      <c r="GM842" s="17"/>
      <c r="GN842" s="196">
        <f>GN383*(1-(GN$802/100))</f>
        <v>1112.3376040999358</v>
      </c>
      <c r="GO842" s="17"/>
      <c r="GP842" s="196">
        <f>GP383*(1-(GP$802/100))</f>
        <v>1268.4847934270272</v>
      </c>
      <c r="GQ842" s="17"/>
      <c r="GR842" s="196">
        <f>GR383*(1-(GR$802/100))</f>
        <v>1318.7393371641074</v>
      </c>
      <c r="GS842" s="17"/>
      <c r="GT842" s="196">
        <f>GT383*(1-(GT$802/100))</f>
        <v>1370.9507293706724</v>
      </c>
      <c r="GU842" s="17"/>
      <c r="GV842" s="196">
        <f>GV383*(1-(GV$802/100))</f>
        <v>1425.1913773246974</v>
      </c>
      <c r="GW842" s="17"/>
      <c r="GX842" s="196">
        <f>GX383*(1-(GX$802/100))</f>
        <v>1481.535939262599</v>
      </c>
      <c r="GY842" s="17"/>
      <c r="GZ842" s="196"/>
      <c r="HA842" s="196"/>
      <c r="HB842" s="196"/>
      <c r="HC842"/>
      <c r="HD842"/>
      <c r="HE842"/>
      <c r="HF842"/>
      <c r="HG842"/>
      <c r="HH842"/>
      <c r="HI842" s="2"/>
    </row>
    <row r="843" spans="2:217" s="3" customFormat="1" ht="12.75" hidden="1" customHeight="1" outlineLevel="1" x14ac:dyDescent="0.2">
      <c r="B843" s="10" t="s">
        <v>590</v>
      </c>
      <c r="C843" s="9"/>
      <c r="D843" s="11"/>
      <c r="E843" s="9"/>
      <c r="F843" s="11"/>
      <c r="G843" s="9"/>
      <c r="H843" s="11"/>
      <c r="I843" s="9"/>
      <c r="J843" s="11"/>
      <c r="K843" s="9"/>
      <c r="L843" s="11"/>
      <c r="M843" s="9"/>
      <c r="N843" s="11"/>
      <c r="O843" s="9"/>
      <c r="P843" s="11"/>
      <c r="Q843" s="9"/>
      <c r="R843" s="11"/>
      <c r="S843" s="9"/>
      <c r="T843" s="11"/>
      <c r="U843" s="9"/>
      <c r="V843" s="11"/>
      <c r="W843" s="9"/>
      <c r="X843" s="11"/>
      <c r="Y843" s="9"/>
      <c r="Z843" s="11"/>
      <c r="AA843" s="9"/>
      <c r="AB843" s="11"/>
      <c r="AC843" s="9"/>
      <c r="AD843" s="11"/>
      <c r="AE843" s="9"/>
      <c r="AF843" s="11"/>
      <c r="AG843" s="9"/>
      <c r="AH843" s="11"/>
      <c r="AI843" s="9"/>
      <c r="AJ843" s="11"/>
      <c r="AK843" s="9"/>
      <c r="AL843" s="11"/>
      <c r="AM843" s="9"/>
      <c r="AN843" s="11"/>
      <c r="AO843" s="9"/>
      <c r="AP843" s="11"/>
      <c r="AQ843" s="9"/>
      <c r="AR843" s="11"/>
      <c r="AS843" s="9"/>
      <c r="AT843" s="11"/>
      <c r="AU843" s="9"/>
      <c r="AV843" s="11"/>
      <c r="AW843" s="9"/>
      <c r="AX843" s="11"/>
      <c r="AY843" s="9"/>
      <c r="AZ843" s="11"/>
      <c r="BA843" s="9"/>
      <c r="BB843" s="11"/>
      <c r="BC843" s="9"/>
      <c r="BD843" s="11"/>
      <c r="BE843" s="9"/>
      <c r="BF843" s="11"/>
      <c r="BG843" s="196">
        <f>BG453*(1-(BG$802/100))</f>
        <v>44.2631195335277</v>
      </c>
      <c r="BH843" s="196"/>
      <c r="BI843" s="196">
        <f>BI453*(1-(BI$802/100))</f>
        <v>30.686886708296161</v>
      </c>
      <c r="BJ843" s="196"/>
      <c r="BK843" s="196">
        <f>BK453*(1-(BK$802/100))</f>
        <v>80.636293436293442</v>
      </c>
      <c r="BL843" s="196"/>
      <c r="BM843" s="196">
        <f>BM453*(1-(BM$802/100))</f>
        <v>30.46875</v>
      </c>
      <c r="BN843" s="196"/>
      <c r="BO843" s="196">
        <f>BO453*(1-(BO$802/100))</f>
        <v>5.1599123767798467</v>
      </c>
      <c r="BP843" s="196"/>
      <c r="BQ843" s="196">
        <f>BQ453*(1-(BQ$802/100))</f>
        <v>9.7091561938958701</v>
      </c>
      <c r="BR843" s="196"/>
      <c r="BS843" s="196">
        <f>BS453*(1-(BS$802/100))</f>
        <v>18.685430463576157</v>
      </c>
      <c r="BT843" s="196"/>
      <c r="BU843" s="196">
        <f>BU453*(1-(BU$802/100))</f>
        <v>-302.32318104906938</v>
      </c>
      <c r="BV843" s="196"/>
      <c r="BW843" s="196">
        <f>BW453*(1-(BW$802/100))</f>
        <v>0</v>
      </c>
      <c r="BX843" s="196"/>
      <c r="BY843" s="196">
        <f>BY453*(1-(BY$802/100))</f>
        <v>0</v>
      </c>
      <c r="BZ843" s="196"/>
      <c r="CA843" s="196">
        <f>CA453*(1-(CA$802/100))</f>
        <v>0</v>
      </c>
      <c r="CB843" s="196"/>
      <c r="CC843" s="196">
        <f>CC453*(1-(CC$802/100))</f>
        <v>0</v>
      </c>
      <c r="CD843" s="196"/>
      <c r="CE843" s="196">
        <f>CE453*(1-(CE$802/100))</f>
        <v>0</v>
      </c>
      <c r="CF843" s="196"/>
      <c r="CG843" s="196">
        <f>CG453*(1-(CG$802/100))</f>
        <v>0</v>
      </c>
      <c r="CH843" s="196"/>
      <c r="CI843" s="196">
        <f>CI453*(1-(CI$802/100))</f>
        <v>0</v>
      </c>
      <c r="CJ843" s="196"/>
      <c r="CK843" s="196">
        <f>CK453*(1-(CK$802/100))</f>
        <v>0</v>
      </c>
      <c r="CL843" s="196"/>
      <c r="CM843" s="196">
        <f>CM453*(1-(CM$802/100))</f>
        <v>0</v>
      </c>
      <c r="CN843" s="196"/>
      <c r="CO843" s="196">
        <f>CO453*(1-(CO$802/100))</f>
        <v>0</v>
      </c>
      <c r="CP843" s="196"/>
      <c r="CQ843" s="196">
        <f>CQ453*(1-(CQ$802/100))</f>
        <v>0</v>
      </c>
      <c r="CR843" s="196"/>
      <c r="CS843" s="196">
        <f>CS453*(1-(CS$802/100))</f>
        <v>0</v>
      </c>
      <c r="CT843" s="196"/>
      <c r="CU843" s="196">
        <f>CU453*(1-(CU$802/100))</f>
        <v>0</v>
      </c>
      <c r="CV843" s="196"/>
      <c r="CW843" s="196">
        <f>CW453*(1-(CW$802/100))</f>
        <v>0</v>
      </c>
      <c r="CX843" s="196"/>
      <c r="CY843" s="196">
        <f>CY453*(1-(CY$802/100))</f>
        <v>0</v>
      </c>
      <c r="CZ843" s="196"/>
      <c r="DA843" s="196">
        <f>DA453*(1-(DA$802/100))</f>
        <v>0</v>
      </c>
      <c r="DB843" s="196"/>
      <c r="DC843" s="196">
        <f>DC453*(1-(DC$802/100))</f>
        <v>0</v>
      </c>
      <c r="DD843" s="196"/>
      <c r="DE843" s="196">
        <f>DE453*(1-(DE$802/100))</f>
        <v>0</v>
      </c>
      <c r="DF843" s="196"/>
      <c r="DG843" s="196">
        <f>DG453*(1-(DG$802/100))</f>
        <v>0</v>
      </c>
      <c r="DH843" s="196"/>
      <c r="DI843" s="196">
        <f>DI453*(1-(DI$802/100))</f>
        <v>0</v>
      </c>
      <c r="DJ843" s="196"/>
      <c r="DK843" s="196">
        <f>DK453*(1-(DK$802/100))</f>
        <v>0</v>
      </c>
      <c r="DL843" s="196"/>
      <c r="DM843" s="196">
        <f>DM453*(1-(DM$802/100))</f>
        <v>0</v>
      </c>
      <c r="DN843" s="196"/>
      <c r="DO843" s="196">
        <f>DO453*(1-(DO$802/100))</f>
        <v>0</v>
      </c>
      <c r="DP843" s="196"/>
      <c r="DQ843" s="196">
        <f>DQ453*(1-(DQ$802/100))</f>
        <v>0</v>
      </c>
      <c r="DR843" s="196"/>
      <c r="DS843" s="196">
        <f>DS453*(1-(DS$802/100))</f>
        <v>0</v>
      </c>
      <c r="DT843" s="196"/>
      <c r="DU843" s="196">
        <f>DU453*(1-(DU$802/100))</f>
        <v>0</v>
      </c>
      <c r="DV843" s="196"/>
      <c r="DW843" s="196">
        <f>DW453*(1-(DW$802/100))</f>
        <v>0</v>
      </c>
      <c r="DX843" s="196"/>
      <c r="DY843" s="196">
        <f>DY453*(1-(DY$802/100))</f>
        <v>0</v>
      </c>
      <c r="DZ843" s="196"/>
      <c r="EA843" s="196">
        <f>EA453*(1-(EA$802/100))</f>
        <v>0</v>
      </c>
      <c r="EB843" s="196"/>
      <c r="EC843" s="196">
        <f>EC453*(1-(EC$802/100))</f>
        <v>0</v>
      </c>
      <c r="ED843" s="196"/>
      <c r="EE843" s="196">
        <f>EE453*(1-(EE$802/100))</f>
        <v>0</v>
      </c>
      <c r="EF843" s="196"/>
      <c r="EG843" s="196">
        <f>EG453*(1-(EG$802/100))</f>
        <v>0</v>
      </c>
      <c r="EH843" s="196"/>
      <c r="EI843" s="196">
        <f>EI453*(1-(EI$802/100))</f>
        <v>0</v>
      </c>
      <c r="EJ843" s="196"/>
      <c r="EK843" s="196">
        <f>EK453*(1-(EK$802/100))</f>
        <v>0</v>
      </c>
      <c r="EL843" s="196"/>
      <c r="EM843" s="196">
        <f>EM453*(1-(EM$802/100))</f>
        <v>0</v>
      </c>
      <c r="EN843" s="196"/>
      <c r="EO843" s="196">
        <f>EO453*(1-(EO$802/100))</f>
        <v>0</v>
      </c>
      <c r="EP843" s="196"/>
      <c r="EQ843" s="196">
        <f>EQ453*(1-(EQ$802/100))</f>
        <v>0</v>
      </c>
      <c r="ER843" s="196"/>
      <c r="ES843" s="196">
        <f>ES453*(1-(ES$802/100))</f>
        <v>0</v>
      </c>
      <c r="ET843" s="196"/>
      <c r="EU843" s="196">
        <f>EU453*(1-(EU$802/100))</f>
        <v>0</v>
      </c>
      <c r="EV843" s="196"/>
      <c r="EW843" s="196">
        <f>EW453*(1-(EW$802/100))</f>
        <v>0</v>
      </c>
      <c r="EX843" s="196"/>
      <c r="EY843" s="196"/>
      <c r="EZ843" s="346"/>
      <c r="FA843" s="196"/>
      <c r="FB843" s="196">
        <f>FB453*(1-(FB$802/100))</f>
        <v>13</v>
      </c>
      <c r="FC843" s="196"/>
      <c r="FD843" s="196">
        <f>FD453*(1-(FD$802/100))</f>
        <v>1.9739454094292803</v>
      </c>
      <c r="FE843" s="196"/>
      <c r="FF843" s="196">
        <f>FF453*(1-(FF$802/100))</f>
        <v>3.5366393442622952</v>
      </c>
      <c r="FG843" s="196"/>
      <c r="FH843" s="196">
        <f>FH453*(1-(FH$802/100))</f>
        <v>-13.521336059986366</v>
      </c>
      <c r="FI843" s="196"/>
      <c r="FJ843" s="196">
        <f>FJ453*(1-(FJ$802/100))</f>
        <v>-2.1529904974846281</v>
      </c>
      <c r="FK843" s="196"/>
      <c r="FL843" s="196">
        <f>FL453*(1-(FL$802/100))</f>
        <v>-5.9531384762817439</v>
      </c>
      <c r="FM843" s="196"/>
      <c r="FN843" s="196">
        <f>FN453*(1-(FN$802/100))</f>
        <v>44.767928286852587</v>
      </c>
      <c r="FO843" s="196"/>
      <c r="FP843" s="196">
        <f>FP453*(1-(FP$802/100))</f>
        <v>63.873418828329939</v>
      </c>
      <c r="FQ843" s="196"/>
      <c r="FR843" s="196">
        <f>FR453*(1-(FR$802/100))</f>
        <v>83.482615936459126</v>
      </c>
      <c r="FS843" s="196"/>
      <c r="FT843" s="196">
        <f>FT453*(1-(FT$802/100))</f>
        <v>156.66942877291962</v>
      </c>
      <c r="FU843" s="196"/>
      <c r="FV843" s="196">
        <f>FV453*(1-(FV$802/100))</f>
        <v>203.77796901893299</v>
      </c>
      <c r="FW843" s="196"/>
      <c r="FX843" s="196">
        <f>FX453*(1-(FX$802/100))</f>
        <v>0</v>
      </c>
      <c r="FY843" s="196"/>
      <c r="FZ843" s="196">
        <f>FZ453*(1-(FZ$802/100))</f>
        <v>0</v>
      </c>
      <c r="GA843" s="196"/>
      <c r="GB843" s="196">
        <f>GB453*(1-(GB$802/100))</f>
        <v>0</v>
      </c>
      <c r="GC843" s="196"/>
      <c r="GD843" s="196">
        <f>GD453*(1-(GD$802/100))</f>
        <v>0</v>
      </c>
      <c r="GE843" s="196"/>
      <c r="GF843" s="196">
        <f>GF453*(1-(GF$802/100))</f>
        <v>0</v>
      </c>
      <c r="GG843" s="17"/>
      <c r="GH843" s="196">
        <f>GH453*(1-(GH$802/100))</f>
        <v>0</v>
      </c>
      <c r="GI843" s="17"/>
      <c r="GJ843" s="196">
        <f>GJ453*(1-(GJ$802/100))</f>
        <v>0</v>
      </c>
      <c r="GK843" s="17"/>
      <c r="GL843" s="196">
        <f>GL453*(1-(GL$802/100))</f>
        <v>0</v>
      </c>
      <c r="GM843" s="17"/>
      <c r="GN843" s="196">
        <f>GN453*(1-(GN$802/100))</f>
        <v>0</v>
      </c>
      <c r="GO843" s="17"/>
      <c r="GP843" s="196">
        <f>GP453*(1-(GP$802/100))</f>
        <v>0</v>
      </c>
      <c r="GQ843" s="17"/>
      <c r="GR843" s="196">
        <f>GR453*(1-(GR$802/100))</f>
        <v>0</v>
      </c>
      <c r="GS843" s="17"/>
      <c r="GT843" s="196">
        <f>GT453*(1-(GT$802/100))</f>
        <v>0</v>
      </c>
      <c r="GU843" s="17"/>
      <c r="GV843" s="196">
        <f>GV453*(1-(GV$802/100))</f>
        <v>0</v>
      </c>
      <c r="GW843" s="17"/>
      <c r="GX843" s="196">
        <f>GX453*(1-(GX$802/100))</f>
        <v>0</v>
      </c>
      <c r="GY843" s="17"/>
      <c r="GZ843" s="196"/>
      <c r="HA843" s="196"/>
      <c r="HB843" s="196"/>
      <c r="HC843"/>
      <c r="HD843"/>
      <c r="HE843"/>
      <c r="HF843"/>
      <c r="HG843"/>
      <c r="HH843"/>
      <c r="HI843" s="2"/>
    </row>
    <row r="844" spans="2:217" s="3" customFormat="1" ht="12.75" hidden="1" customHeight="1" outlineLevel="1" x14ac:dyDescent="0.2">
      <c r="B844" s="10" t="s">
        <v>374</v>
      </c>
      <c r="C844" s="9"/>
      <c r="D844" s="11"/>
      <c r="E844" s="9"/>
      <c r="F844" s="11"/>
      <c r="G844" s="9"/>
      <c r="H844" s="11"/>
      <c r="I844" s="9"/>
      <c r="J844" s="11"/>
      <c r="K844" s="9"/>
      <c r="L844" s="11"/>
      <c r="M844" s="9"/>
      <c r="N844" s="11"/>
      <c r="O844" s="9"/>
      <c r="P844" s="11"/>
      <c r="Q844" s="9"/>
      <c r="R844" s="11"/>
      <c r="S844" s="9"/>
      <c r="T844" s="11"/>
      <c r="U844" s="9"/>
      <c r="V844" s="11"/>
      <c r="W844" s="9"/>
      <c r="X844" s="11"/>
      <c r="Y844" s="9"/>
      <c r="Z844" s="11"/>
      <c r="AA844" s="9"/>
      <c r="AB844" s="11"/>
      <c r="AC844" s="9"/>
      <c r="AD844" s="11"/>
      <c r="AE844" s="9"/>
      <c r="AF844" s="11"/>
      <c r="AG844" s="9"/>
      <c r="AH844" s="11"/>
      <c r="AI844" s="9"/>
      <c r="AJ844" s="11"/>
      <c r="AK844" s="9"/>
      <c r="AL844" s="11"/>
      <c r="AM844" s="9"/>
      <c r="AN844" s="11"/>
      <c r="AO844" s="9"/>
      <c r="AP844" s="11"/>
      <c r="AQ844" s="9"/>
      <c r="AR844" s="11"/>
      <c r="AS844" s="9"/>
      <c r="AT844" s="11"/>
      <c r="AU844" s="9"/>
      <c r="AV844" s="11"/>
      <c r="AW844" s="9"/>
      <c r="AX844" s="11"/>
      <c r="AY844" s="9"/>
      <c r="AZ844" s="11"/>
      <c r="BA844" s="9"/>
      <c r="BB844" s="11"/>
      <c r="BC844" s="9"/>
      <c r="BD844" s="11"/>
      <c r="BE844" s="9"/>
      <c r="BF844" s="11"/>
      <c r="BG844" s="196">
        <f>+BG843+BG842+BG841</f>
        <v>338.39868804664729</v>
      </c>
      <c r="BH844" s="196"/>
      <c r="BI844" s="196">
        <f>+BI843+BI842+BI841</f>
        <v>323.28278322925956</v>
      </c>
      <c r="BJ844" s="196"/>
      <c r="BK844" s="196">
        <f>+BK843+BK842+BK841</f>
        <v>379.83938223938225</v>
      </c>
      <c r="BL844" s="196"/>
      <c r="BM844" s="196">
        <f>+BM843+BM842+BM841</f>
        <v>299.35546875</v>
      </c>
      <c r="BN844" s="196"/>
      <c r="BO844" s="196">
        <f>+BO843+BO842+BO841</f>
        <v>309.59474260679082</v>
      </c>
      <c r="BP844" s="196"/>
      <c r="BQ844" s="196">
        <f>+BQ843+BQ842+BQ841</f>
        <v>348.03590664272889</v>
      </c>
      <c r="BR844" s="196"/>
      <c r="BS844" s="196">
        <f>+BS843+BS842+BS841</f>
        <v>337.0298013245033</v>
      </c>
      <c r="BT844" s="196"/>
      <c r="BU844" s="196">
        <f>+BU843+BU842+BU841</f>
        <v>10.399323181049041</v>
      </c>
      <c r="BV844" s="196"/>
      <c r="BW844" s="196">
        <f>+BW843+BW842+BW841</f>
        <v>331.71428571428572</v>
      </c>
      <c r="BX844" s="196"/>
      <c r="BY844" s="196">
        <f>+BY843+BY842+BY841</f>
        <v>348.97429305912601</v>
      </c>
      <c r="BZ844" s="196"/>
      <c r="CA844" s="196">
        <f>+CA843+CA842+CA841</f>
        <v>390</v>
      </c>
      <c r="CB844" s="196"/>
      <c r="CC844" s="196">
        <f>+CC843+CC842+CC841</f>
        <v>331.67581699346408</v>
      </c>
      <c r="CD844" s="196"/>
      <c r="CE844" s="196">
        <f>+CE843+CE842+CE841</f>
        <v>336.25700934579436</v>
      </c>
      <c r="CF844" s="196"/>
      <c r="CG844" s="196">
        <f>+CG843+CG842+CG841</f>
        <v>331.04489795918363</v>
      </c>
      <c r="CH844" s="196"/>
      <c r="CI844" s="196">
        <f>+CI843+CI842+CI841</f>
        <v>362.41071428571433</v>
      </c>
      <c r="CJ844" s="196"/>
      <c r="CK844" s="196">
        <f>+CK843+CK842+CK841</f>
        <v>390.09963099631</v>
      </c>
      <c r="CL844" s="196"/>
      <c r="CM844" s="196">
        <f>+CM843+CM842+CM841</f>
        <v>458.03043478260872</v>
      </c>
      <c r="CN844" s="196"/>
      <c r="CO844" s="196">
        <f>+CO843+CO842+CO841</f>
        <v>366.2580943570768</v>
      </c>
      <c r="CP844" s="196"/>
      <c r="CQ844" s="196">
        <f>+CQ843+CQ842+CQ841</f>
        <v>518.85326086956525</v>
      </c>
      <c r="CR844" s="196"/>
      <c r="CS844" s="196">
        <f>+CS843+CS842+CS841</f>
        <v>364.98587301587304</v>
      </c>
      <c r="CT844" s="196"/>
      <c r="CU844" s="196">
        <f>+CU843+CU842+CU841</f>
        <v>436.09150355871884</v>
      </c>
      <c r="CV844" s="196"/>
      <c r="CW844" s="196">
        <f>+CW843+CW842+CW841</f>
        <v>512.44362416107379</v>
      </c>
      <c r="CX844" s="196"/>
      <c r="CY844" s="196">
        <f>+CY843+CY842+CY841</f>
        <v>574.61919096895576</v>
      </c>
      <c r="CZ844" s="196"/>
      <c r="DA844" s="196">
        <f>+DA843+DA842+DA841</f>
        <v>498.95257826887661</v>
      </c>
      <c r="DB844" s="196"/>
      <c r="DC844" s="196">
        <f>+DC843+DC842+DC841</f>
        <v>635.95823767724517</v>
      </c>
      <c r="DD844" s="196"/>
      <c r="DE844" s="196">
        <f>+DE843+DE842+DE841</f>
        <v>612.18975705843718</v>
      </c>
      <c r="DF844" s="196"/>
      <c r="DG844" s="196">
        <f>+DG843+DG842+DG841</f>
        <v>558.16741280583028</v>
      </c>
      <c r="DH844" s="196"/>
      <c r="DI844" s="196">
        <f>+DI843+DI842+DI841</f>
        <v>463.77856657608697</v>
      </c>
      <c r="DJ844" s="196"/>
      <c r="DK844" s="196">
        <f>+DK843+DK842+DK841</f>
        <v>605.772756206238</v>
      </c>
      <c r="DL844" s="196"/>
      <c r="DM844" s="196">
        <f>+DM843+DM842+DM841</f>
        <v>640.53234750462116</v>
      </c>
      <c r="DN844" s="196"/>
      <c r="DO844" s="196">
        <f>+DO843+DO842+DO841</f>
        <v>645.77235772357722</v>
      </c>
      <c r="DP844" s="196"/>
      <c r="DQ844" s="196">
        <f>+DQ843+DQ842+DQ841</f>
        <v>514.11747211895909</v>
      </c>
      <c r="DR844" s="196"/>
      <c r="DS844" s="196">
        <f>+DS843+DS842+DS841</f>
        <v>620.36217765042977</v>
      </c>
      <c r="DT844" s="196"/>
      <c r="DU844" s="196">
        <f>+DU843+DU842+DU841</f>
        <v>617.43617599130903</v>
      </c>
      <c r="DV844" s="196"/>
      <c r="DW844" s="196">
        <f>+DW843+DW842+DW841</f>
        <v>616.07655502392345</v>
      </c>
      <c r="DX844" s="196"/>
      <c r="DY844" s="196">
        <f>+DY843+DY842+DY841</f>
        <v>556.30964467005083</v>
      </c>
      <c r="DZ844" s="196"/>
      <c r="EA844" s="196">
        <f>+EA843+EA842+EA841</f>
        <v>586.16075471698105</v>
      </c>
      <c r="EB844" s="196"/>
      <c r="EC844" s="196">
        <f>+EC843+EC842+EC841</f>
        <v>629.78902554399247</v>
      </c>
      <c r="ED844" s="196"/>
      <c r="EE844" s="196">
        <f>+EE843+EE842+EE841</f>
        <v>596.26444159178436</v>
      </c>
      <c r="EF844" s="196"/>
      <c r="EG844" s="196">
        <f>+EG843+EG842+EG841</f>
        <v>564.05071967100753</v>
      </c>
      <c r="EH844" s="196"/>
      <c r="EI844" s="196">
        <f>+EI843+EI842+EI841</f>
        <v>595.39939759036156</v>
      </c>
      <c r="EJ844" s="196"/>
      <c r="EK844" s="196">
        <f>+EK843+EK842+EK841</f>
        <v>615.90960912052117</v>
      </c>
      <c r="EL844" s="196"/>
      <c r="EM844" s="196">
        <f>+EM843+EM842+EM841</f>
        <v>592.53195067264573</v>
      </c>
      <c r="EN844" s="196"/>
      <c r="EO844" s="196">
        <f>+EO843+EO842+EO841</f>
        <v>579.78435114503827</v>
      </c>
      <c r="EP844" s="196"/>
      <c r="EQ844" s="196">
        <f t="shared" ref="EQ844" si="3560">+EQ843+EQ842+EQ841</f>
        <v>665.10612319965082</v>
      </c>
      <c r="ER844" s="196"/>
      <c r="ES844" s="196">
        <f t="shared" ref="ES844" si="3561">+ES843+ES842+ES841</f>
        <v>658.10843331380033</v>
      </c>
      <c r="ET844" s="196"/>
      <c r="EU844" s="196">
        <f t="shared" ref="EU844" si="3562">+EU843+EU842+EU841</f>
        <v>634.85215183999139</v>
      </c>
      <c r="EV844" s="196"/>
      <c r="EW844" s="196">
        <f t="shared" ref="EW844" si="3563">+EW843+EW842+EW841</f>
        <v>624.51802575675697</v>
      </c>
      <c r="EX844" s="196"/>
      <c r="EY844" s="196"/>
      <c r="EZ844" s="346"/>
      <c r="FA844" s="196"/>
      <c r="FB844" s="196">
        <f>+FB843+FB842+FB841</f>
        <v>157</v>
      </c>
      <c r="FC844" s="196"/>
      <c r="FD844" s="196">
        <f>+FD843+FD842+FD841</f>
        <v>30.661952026468153</v>
      </c>
      <c r="FE844" s="196"/>
      <c r="FF844" s="196">
        <f>+FF843+FF842+FF841</f>
        <v>43.799918032786884</v>
      </c>
      <c r="FG844" s="196"/>
      <c r="FH844" s="196">
        <f>+FH843+FH842+FH841</f>
        <v>214.6924335378323</v>
      </c>
      <c r="FI844" s="196"/>
      <c r="FJ844" s="196">
        <f>+FJ843+FJ842+FJ841</f>
        <v>269.48264393515927</v>
      </c>
      <c r="FK844" s="196"/>
      <c r="FL844" s="196">
        <f>+FL843+FL842+FL841</f>
        <v>400.34856252994729</v>
      </c>
      <c r="FM844" s="196"/>
      <c r="FN844" s="196">
        <f>+FN843+FN842+FN841</f>
        <v>577.91325606664236</v>
      </c>
      <c r="FO844" s="196"/>
      <c r="FP844" s="196">
        <f>+FP843+FP842+FP841</f>
        <v>853.25246283882257</v>
      </c>
      <c r="FQ844" s="196"/>
      <c r="FR844" s="196">
        <f>+FR843+FR842+FR841</f>
        <v>916.55739174993596</v>
      </c>
      <c r="FS844" s="196"/>
      <c r="FT844" s="196">
        <f>+FT843+FT842+FT841</f>
        <v>1123.3016572637521</v>
      </c>
      <c r="FU844" s="196"/>
      <c r="FV844" s="196">
        <f>+FV843+FV842+FV841</f>
        <v>-457.93438037865781</v>
      </c>
      <c r="FW844" s="196"/>
      <c r="FX844" s="196">
        <f>+FX843+FX842+FX841</f>
        <v>630.63727118644056</v>
      </c>
      <c r="FY844" s="196"/>
      <c r="FZ844" s="196">
        <f>+FZ843+FZ842+FZ841</f>
        <v>1069.4872337520483</v>
      </c>
      <c r="GA844" s="196"/>
      <c r="GB844" s="196">
        <f>+GB843+GB842+GB841</f>
        <v>1409.4070552914686</v>
      </c>
      <c r="GC844" s="196"/>
      <c r="GD844" s="196">
        <f>+GD843+GD842+GD841</f>
        <v>1698.1924646028319</v>
      </c>
      <c r="GE844" s="196"/>
      <c r="GF844" s="196">
        <f>+GF843+GF842+GF841</f>
        <v>2366.5868375801156</v>
      </c>
      <c r="GG844" s="17"/>
      <c r="GH844" s="196">
        <f>+GH843+GH842+GH841</f>
        <v>2353.4501018329938</v>
      </c>
      <c r="GI844" s="17"/>
      <c r="GJ844" s="196">
        <f>+GJ843+GJ842+GJ841</f>
        <v>2406.9449526560747</v>
      </c>
      <c r="GK844" s="17"/>
      <c r="GL844" s="196">
        <f>+GL843+GL842+GL841</f>
        <v>2371.090757547694</v>
      </c>
      <c r="GM844" s="17"/>
      <c r="GN844" s="196">
        <f>+GN843+GN842+GN841</f>
        <v>2382.6226777706597</v>
      </c>
      <c r="GO844" s="17"/>
      <c r="GP844" s="196">
        <f>+GP843+GP842+GP841</f>
        <v>2582.584734110199</v>
      </c>
      <c r="GQ844" s="17"/>
      <c r="GR844" s="196">
        <f>+GR843+GR842+GR841</f>
        <v>2643.6144325162713</v>
      </c>
      <c r="GS844" s="17"/>
      <c r="GT844" s="196">
        <f>+GT843+GT842+GT841</f>
        <v>2697.8867158763587</v>
      </c>
      <c r="GU844" s="17"/>
      <c r="GV844" s="196">
        <f>+GV843+GV842+GV841</f>
        <v>2754.0966732974407</v>
      </c>
      <c r="GW844" s="17"/>
      <c r="GX844" s="196">
        <f>+GX843+GX842+GX841</f>
        <v>2812.3169252930893</v>
      </c>
      <c r="GY844" s="17"/>
      <c r="GZ844" s="196"/>
      <c r="HA844" s="196"/>
      <c r="HB844" s="196"/>
      <c r="HC844"/>
      <c r="HD844"/>
      <c r="HE844"/>
      <c r="HF844"/>
      <c r="HG844"/>
      <c r="HH844"/>
      <c r="HI844" s="2"/>
    </row>
    <row r="845" spans="2:217" s="3" customFormat="1" ht="12.75" hidden="1" customHeight="1" outlineLevel="1" x14ac:dyDescent="0.2">
      <c r="B845" s="10"/>
      <c r="C845" s="9"/>
      <c r="D845" s="11"/>
      <c r="E845" s="9"/>
      <c r="F845" s="11"/>
      <c r="G845" s="9"/>
      <c r="H845" s="11"/>
      <c r="I845" s="9"/>
      <c r="J845" s="11"/>
      <c r="K845" s="9"/>
      <c r="L845" s="11"/>
      <c r="M845" s="9"/>
      <c r="N845" s="11"/>
      <c r="O845" s="9"/>
      <c r="P845" s="11"/>
      <c r="Q845" s="9"/>
      <c r="R845" s="11"/>
      <c r="S845" s="9"/>
      <c r="T845" s="11"/>
      <c r="U845" s="9"/>
      <c r="V845" s="11"/>
      <c r="W845" s="9"/>
      <c r="X845" s="11"/>
      <c r="Y845" s="9"/>
      <c r="Z845" s="11"/>
      <c r="AA845" s="9"/>
      <c r="AB845" s="11"/>
      <c r="AC845" s="9"/>
      <c r="AD845" s="11"/>
      <c r="AE845" s="9"/>
      <c r="AF845" s="11"/>
      <c r="AG845" s="9"/>
      <c r="AH845" s="11"/>
      <c r="AI845" s="9"/>
      <c r="AJ845" s="11"/>
      <c r="AK845" s="9"/>
      <c r="AL845" s="11"/>
      <c r="AM845" s="9"/>
      <c r="AN845" s="11"/>
      <c r="AO845" s="9"/>
      <c r="AP845" s="11"/>
      <c r="AQ845" s="9"/>
      <c r="AR845" s="11"/>
      <c r="AS845" s="9"/>
      <c r="AT845" s="11"/>
      <c r="AU845" s="9"/>
      <c r="AV845" s="11"/>
      <c r="AW845" s="9"/>
      <c r="AX845" s="11"/>
      <c r="AY845" s="9"/>
      <c r="AZ845" s="11"/>
      <c r="BA845" s="9"/>
      <c r="BB845" s="11"/>
      <c r="BC845" s="9"/>
      <c r="BD845" s="11"/>
      <c r="BE845" s="9"/>
      <c r="BF845" s="11"/>
      <c r="BG845" s="9"/>
      <c r="BH845" s="9"/>
      <c r="BI845" s="9"/>
      <c r="BJ845" s="9"/>
      <c r="BK845" s="9"/>
      <c r="BL845" s="9"/>
      <c r="BM845" s="9"/>
      <c r="BN845" s="9"/>
      <c r="BO845" s="9"/>
      <c r="BP845" s="9"/>
      <c r="BQ845" s="9"/>
      <c r="BR845" s="9"/>
      <c r="BS845" s="9"/>
      <c r="BT845" s="9"/>
      <c r="BU845" s="9"/>
      <c r="BV845" s="9"/>
      <c r="BW845" s="9"/>
      <c r="BX845" s="9"/>
      <c r="BY845" s="9"/>
      <c r="BZ845" s="9"/>
      <c r="CA845" s="9"/>
      <c r="CB845" s="9"/>
      <c r="CC845" s="9"/>
      <c r="CD845" s="9"/>
      <c r="CE845" s="9"/>
      <c r="CF845" s="9"/>
      <c r="CG845" s="9"/>
      <c r="CH845" s="9"/>
      <c r="CI845" s="9"/>
      <c r="CJ845" s="9"/>
      <c r="CK845" s="9"/>
      <c r="CL845" s="9"/>
      <c r="CM845" s="9"/>
      <c r="CN845" s="9"/>
      <c r="CO845" s="9"/>
      <c r="CP845" s="9"/>
      <c r="CQ845" s="9"/>
      <c r="CR845" s="9"/>
      <c r="CS845" s="9"/>
      <c r="CT845" s="9"/>
      <c r="CU845" s="9"/>
      <c r="CV845" s="9"/>
      <c r="CW845" s="9"/>
      <c r="CX845" s="9"/>
      <c r="CY845" s="9"/>
      <c r="CZ845" s="9"/>
      <c r="DA845" s="9"/>
      <c r="DB845" s="9"/>
      <c r="DC845" s="9"/>
      <c r="DD845" s="9"/>
      <c r="DE845" s="9"/>
      <c r="DF845" s="9"/>
      <c r="DG845" s="9"/>
      <c r="DH845" s="9"/>
      <c r="DI845" s="9"/>
      <c r="DJ845" s="9"/>
      <c r="DK845" s="9"/>
      <c r="DL845" s="9"/>
      <c r="DM845" s="9"/>
      <c r="DN845" s="9"/>
      <c r="DO845" s="9"/>
      <c r="DP845" s="9"/>
      <c r="DQ845" s="9"/>
      <c r="DR845" s="9"/>
      <c r="DS845" s="9"/>
      <c r="DT845" s="9"/>
      <c r="DU845" s="9"/>
      <c r="DV845" s="9"/>
      <c r="DW845" s="9"/>
      <c r="DX845" s="9"/>
      <c r="DY845" s="9"/>
      <c r="DZ845" s="9"/>
      <c r="EA845" s="9"/>
      <c r="EB845" s="9"/>
      <c r="EC845" s="9"/>
      <c r="ED845" s="9"/>
      <c r="EE845" s="9"/>
      <c r="EF845" s="9"/>
      <c r="EG845" s="9"/>
      <c r="EH845" s="9"/>
      <c r="EI845" s="9"/>
      <c r="EJ845" s="9"/>
      <c r="EK845" s="9"/>
      <c r="EL845" s="9"/>
      <c r="EM845" s="9"/>
      <c r="EN845" s="9"/>
      <c r="EO845" s="9"/>
      <c r="EP845" s="9"/>
      <c r="EQ845" s="9"/>
      <c r="ER845" s="9"/>
      <c r="ES845" s="9"/>
      <c r="ET845" s="9"/>
      <c r="EU845" s="9"/>
      <c r="EV845" s="9"/>
      <c r="EW845" s="9"/>
      <c r="EX845" s="9"/>
      <c r="EY845" s="9"/>
      <c r="EZ845" s="335"/>
      <c r="FA845" s="9"/>
      <c r="FB845" s="9"/>
      <c r="FC845" s="9"/>
      <c r="FD845" s="9"/>
      <c r="FE845" s="9"/>
      <c r="FF845" s="9"/>
      <c r="FG845" s="9"/>
      <c r="FH845" s="9"/>
      <c r="FI845" s="9"/>
      <c r="FJ845" s="9"/>
      <c r="FK845" s="9"/>
      <c r="FL845" s="9"/>
      <c r="FM845" s="9"/>
      <c r="FN845" s="9"/>
      <c r="FO845" s="9"/>
      <c r="FP845" s="9"/>
      <c r="FQ845" s="9"/>
      <c r="FR845" s="9"/>
      <c r="FS845" s="9"/>
      <c r="FT845" s="9"/>
      <c r="FU845" s="9"/>
      <c r="FV845" s="9"/>
      <c r="FW845" s="9"/>
      <c r="FX845" s="9"/>
      <c r="FY845" s="9"/>
      <c r="FZ845" s="9"/>
      <c r="GA845" s="9"/>
      <c r="GB845" s="9"/>
      <c r="GC845" s="9"/>
      <c r="GD845" s="9"/>
      <c r="GE845" s="9"/>
      <c r="GF845" s="9"/>
      <c r="GG845" s="790"/>
      <c r="GH845" s="9"/>
      <c r="GI845" s="790"/>
      <c r="GJ845" s="9"/>
      <c r="GK845" s="790"/>
      <c r="GL845" s="9"/>
      <c r="GM845" s="790"/>
      <c r="GN845" s="9"/>
      <c r="GO845" s="790"/>
      <c r="GP845" s="9"/>
      <c r="GQ845" s="790"/>
      <c r="GR845" s="9"/>
      <c r="GS845" s="790"/>
      <c r="GT845" s="9"/>
      <c r="GU845" s="790"/>
      <c r="GV845" s="9"/>
      <c r="GW845" s="790"/>
      <c r="GX845" s="9"/>
      <c r="GY845" s="790"/>
      <c r="GZ845" s="9"/>
      <c r="HA845" s="9"/>
      <c r="HB845" s="9"/>
      <c r="HC845"/>
      <c r="HD845"/>
      <c r="HE845"/>
      <c r="HF845"/>
      <c r="HG845"/>
      <c r="HH845"/>
      <c r="HI845" s="2"/>
    </row>
    <row r="846" spans="2:217" s="3" customFormat="1" ht="12.75" hidden="1" customHeight="1" outlineLevel="1" x14ac:dyDescent="0.2">
      <c r="B846" s="10" t="s">
        <v>79</v>
      </c>
      <c r="C846" s="9"/>
      <c r="D846" s="11"/>
      <c r="E846" s="9"/>
      <c r="F846" s="11"/>
      <c r="G846" s="9"/>
      <c r="H846" s="11"/>
      <c r="I846" s="9"/>
      <c r="J846" s="11"/>
      <c r="K846" s="9"/>
      <c r="L846" s="11"/>
      <c r="M846" s="9"/>
      <c r="N846" s="11"/>
      <c r="O846" s="9"/>
      <c r="P846" s="11"/>
      <c r="Q846" s="9"/>
      <c r="R846" s="11"/>
      <c r="S846" s="9"/>
      <c r="T846" s="11"/>
      <c r="U846" s="9"/>
      <c r="V846" s="11"/>
      <c r="W846" s="9"/>
      <c r="X846" s="11"/>
      <c r="Y846" s="9"/>
      <c r="Z846" s="11"/>
      <c r="AA846" s="9"/>
      <c r="AB846" s="11"/>
      <c r="AC846" s="9"/>
      <c r="AD846" s="11"/>
      <c r="AE846" s="9"/>
      <c r="AF846" s="11"/>
      <c r="AG846" s="9"/>
      <c r="AH846" s="11"/>
      <c r="AI846" s="9"/>
      <c r="AJ846" s="11"/>
      <c r="AK846" s="9"/>
      <c r="AL846" s="11"/>
      <c r="AM846" s="9"/>
      <c r="AN846" s="11"/>
      <c r="AO846" s="9"/>
      <c r="AP846" s="11"/>
      <c r="AQ846" s="9"/>
      <c r="AR846" s="11"/>
      <c r="AS846" s="9"/>
      <c r="AT846" s="11"/>
      <c r="AU846" s="9"/>
      <c r="AV846" s="11"/>
      <c r="AW846" s="9"/>
      <c r="AX846" s="11"/>
      <c r="AY846" s="9"/>
      <c r="AZ846" s="11"/>
      <c r="BA846" s="9"/>
      <c r="BB846" s="11"/>
      <c r="BC846" s="9"/>
      <c r="BD846" s="11"/>
      <c r="BE846" s="9"/>
      <c r="BF846" s="11"/>
      <c r="BG846" s="196">
        <f>BG486*(1-(BG$802/100))</f>
        <v>-12.422230320699713</v>
      </c>
      <c r="BH846" s="196"/>
      <c r="BI846" s="196">
        <f>BI486*(1-(BI$802/100))</f>
        <v>-19.268510258697589</v>
      </c>
      <c r="BJ846" s="196"/>
      <c r="BK846" s="196">
        <f>BK486*(1-(BK$802/100))</f>
        <v>-16.976061776061776</v>
      </c>
      <c r="BL846" s="196"/>
      <c r="BM846" s="196">
        <f>BM486*(1-(BM$802/100))</f>
        <v>-48.75</v>
      </c>
      <c r="BN846" s="196"/>
      <c r="BO846" s="196">
        <f>BO486*(1-(BO$802/100))</f>
        <v>-37.593647316538885</v>
      </c>
      <c r="BP846" s="196"/>
      <c r="BQ846" s="196">
        <f>BQ486*(1-(BQ$802/100))</f>
        <v>-14.937163375224415</v>
      </c>
      <c r="BR846" s="196"/>
      <c r="BS846" s="196">
        <f>BS486*(1-(BS$802/100))</f>
        <v>-27.682119205298012</v>
      </c>
      <c r="BT846" s="196"/>
      <c r="BU846" s="196">
        <f>BU486*(1-(BU$802/100))</f>
        <v>-222.09983079526225</v>
      </c>
      <c r="BV846" s="196"/>
      <c r="BW846" s="196">
        <f>BW486*(1-(BW$802/100))</f>
        <v>-164.31428571428572</v>
      </c>
      <c r="BX846" s="196"/>
      <c r="BY846" s="196">
        <f>BY486*(1-(BY$802/100))</f>
        <v>-129.85089974293061</v>
      </c>
      <c r="BZ846" s="196"/>
      <c r="CA846" s="196">
        <f>CA486*(1-(CA$802/100))</f>
        <v>-160.76923076923077</v>
      </c>
      <c r="CB846" s="196"/>
      <c r="CC846" s="196">
        <f>CC486*(1-(CC$802/100))</f>
        <v>-163.66535947712418</v>
      </c>
      <c r="CD846" s="196"/>
      <c r="CE846" s="196">
        <f>CE486*(1-(CE$802/100))</f>
        <v>-156.27803738317758</v>
      </c>
      <c r="CF846" s="196"/>
      <c r="CG846" s="196">
        <f>CG486*(1-(CG$802/100))</f>
        <v>-147.73265306122448</v>
      </c>
      <c r="CH846" s="196"/>
      <c r="CI846" s="196">
        <f>CI486*(1-(CI$802/100))</f>
        <v>-218.17857142857144</v>
      </c>
      <c r="CJ846" s="196"/>
      <c r="CK846" s="196">
        <f>CK486*(1-(CK$802/100))</f>
        <v>-180.54797047970482</v>
      </c>
      <c r="CL846" s="196"/>
      <c r="CM846" s="196">
        <f>CM486*(1-(CM$802/100))</f>
        <v>-196.19456521739133</v>
      </c>
      <c r="CN846" s="196"/>
      <c r="CO846" s="196">
        <f>CO486*(1-(CO$802/100))</f>
        <v>-173.60633672525441</v>
      </c>
      <c r="CP846" s="196"/>
      <c r="CQ846" s="196">
        <f>CQ486*(1-(CQ$802/100))</f>
        <v>-274.36331521739129</v>
      </c>
      <c r="CR846" s="196"/>
      <c r="CS846" s="196">
        <f>CS486*(1-(CS$802/100))</f>
        <v>-207.21309523809524</v>
      </c>
      <c r="CT846" s="196"/>
      <c r="CU846" s="196">
        <f>CU486*(1-(CU$802/100))</f>
        <v>-238.13371886120996</v>
      </c>
      <c r="CV846" s="196"/>
      <c r="CW846" s="196">
        <f>CW486*(1-(CW$802/100))</f>
        <v>-170.05872483221478</v>
      </c>
      <c r="CX846" s="196"/>
      <c r="CY846" s="196">
        <f>CY486*(1-(CY$802/100))</f>
        <v>-304.21015992474128</v>
      </c>
      <c r="CZ846" s="196"/>
      <c r="DA846" s="196">
        <f>DA486*(1-(DA$802/100))</f>
        <v>-286.87845303867402</v>
      </c>
      <c r="DB846" s="196"/>
      <c r="DC846" s="196">
        <f>DC486*(1-(DC$802/100))</f>
        <v>-227.69770425388253</v>
      </c>
      <c r="DD846" s="196"/>
      <c r="DE846" s="196">
        <f>DE486*(1-(DE$802/100))</f>
        <v>-249.91746552856202</v>
      </c>
      <c r="DF846" s="196"/>
      <c r="DG846" s="196">
        <f>DG486*(1-(DG$802/100))</f>
        <v>-223.84091618948463</v>
      </c>
      <c r="DH846" s="196"/>
      <c r="DI846" s="196">
        <f>DI486*(1-(DI$802/100))</f>
        <v>-284.57510190217391</v>
      </c>
      <c r="DJ846" s="196"/>
      <c r="DK846" s="196">
        <f>DK486*(1-(DK$802/100))</f>
        <v>-247.52005092297901</v>
      </c>
      <c r="DL846" s="196"/>
      <c r="DM846" s="196">
        <f>DM486*(1-(DM$802/100))</f>
        <v>-247.08317929759707</v>
      </c>
      <c r="DN846" s="196"/>
      <c r="DO846" s="196">
        <f>DO486*(1-(DO$802/100))</f>
        <v>-259.07317073170731</v>
      </c>
      <c r="DP846" s="196"/>
      <c r="DQ846" s="196">
        <f>DQ486*(1-(DQ$802/100))</f>
        <v>-244.31821561338288</v>
      </c>
      <c r="DR846" s="196"/>
      <c r="DS846" s="196">
        <f>DS486*(1-(DS$802/100))</f>
        <v>-188.19140401146132</v>
      </c>
      <c r="DT846" s="196"/>
      <c r="DU846" s="196">
        <f>DU486*(1-(DU$802/100))</f>
        <v>-215.58935361216729</v>
      </c>
      <c r="DV846" s="196"/>
      <c r="DW846" s="196">
        <f>DW486*(1-(DW$802/100))</f>
        <v>-233.68421052631578</v>
      </c>
      <c r="DX846" s="196"/>
      <c r="DY846" s="196">
        <f>DY486*(1-(DY$802/100))</f>
        <v>-345.24365482233503</v>
      </c>
      <c r="DZ846" s="196"/>
      <c r="EA846" s="196">
        <f>EA486*(1-(EA$802/100))</f>
        <v>-234.76528301886793</v>
      </c>
      <c r="EB846" s="196"/>
      <c r="EC846" s="196">
        <f>EC486*(1-(EC$802/100))</f>
        <v>-325.4824976348155</v>
      </c>
      <c r="ED846" s="196"/>
      <c r="EE846" s="196">
        <f>EE486*(1-(EE$802/100))</f>
        <v>-315.71437740693199</v>
      </c>
      <c r="EF846" s="196"/>
      <c r="EG846" s="196">
        <f>EG486*(1-(EG$802/100))</f>
        <v>-329.46538725154221</v>
      </c>
      <c r="EH846" s="196"/>
      <c r="EI846" s="196">
        <f>EI486*(1-(EI$802/100))</f>
        <v>-262.30361445783137</v>
      </c>
      <c r="EJ846" s="196"/>
      <c r="EK846" s="196">
        <f>EK486*(1-(EK$802/100))</f>
        <v>-233.49185667752442</v>
      </c>
      <c r="EL846" s="196"/>
      <c r="EM846" s="196">
        <f>EM486*(1-(EM$802/100))</f>
        <v>-229.89349775784754</v>
      </c>
      <c r="EN846" s="196"/>
      <c r="EO846" s="196">
        <f>EO486*(1-(EO$802/100))</f>
        <v>-345.48282442748092</v>
      </c>
      <c r="EP846" s="196"/>
      <c r="EQ846" s="196">
        <f>EQ486*(1-(EQ$802/100))</f>
        <v>-280.8</v>
      </c>
      <c r="ER846" s="196"/>
      <c r="ES846" s="196">
        <f>ES486*(1-(ES$802/100))</f>
        <v>-265.2</v>
      </c>
      <c r="ET846" s="196"/>
      <c r="EU846" s="196">
        <f>EU486*(1-(EU$802/100))</f>
        <v>-249.60000000000002</v>
      </c>
      <c r="EV846" s="196"/>
      <c r="EW846" s="196">
        <f>EW486*(1-(EW$802/100))</f>
        <v>-335.40000000000003</v>
      </c>
      <c r="EX846" s="196"/>
      <c r="EY846" s="196"/>
      <c r="EZ846" s="346"/>
      <c r="FA846" s="196"/>
      <c r="FB846" s="196">
        <f>FB486*(1-(FB$802/100))</f>
        <v>0</v>
      </c>
      <c r="FC846" s="196"/>
      <c r="FD846" s="196">
        <f>FD486*(1-(FD$802/100))</f>
        <v>24.345326716294455</v>
      </c>
      <c r="FE846" s="196"/>
      <c r="FF846" s="196">
        <f>FF486*(1-(FF$802/100))</f>
        <v>5.1689344262295078</v>
      </c>
      <c r="FG846" s="196"/>
      <c r="FH846" s="196">
        <f>FH486*(1-(FH$802/100))</f>
        <v>20.446898432174507</v>
      </c>
      <c r="FI846" s="196"/>
      <c r="FJ846" s="196">
        <f>FJ486*(1-(FJ$802/100))</f>
        <v>57.413079932923416</v>
      </c>
      <c r="FK846" s="196"/>
      <c r="FL846" s="196">
        <f>FL486*(1-(FL$802/100))</f>
        <v>45.144633445136556</v>
      </c>
      <c r="FM846" s="196"/>
      <c r="FN846" s="196">
        <f>FN486*(1-(FN$802/100))</f>
        <v>102.32669322709162</v>
      </c>
      <c r="FO846" s="196"/>
      <c r="FP846" s="196">
        <f>FP486*(1-(FP$802/100))</f>
        <v>121.72104342757214</v>
      </c>
      <c r="FQ846" s="196"/>
      <c r="FR846" s="196">
        <f>FR486*(1-(FR$802/100))</f>
        <v>27.438342300794261</v>
      </c>
      <c r="FS846" s="196"/>
      <c r="FT846" s="196">
        <f>FT486*(1-(FT$802/100))</f>
        <v>-80.088928067700991</v>
      </c>
      <c r="FU846" s="196"/>
      <c r="FV846" s="196">
        <f>FV486*(1-(FV$802/100))</f>
        <v>146.04087779690198</v>
      </c>
      <c r="FW846" s="196"/>
      <c r="FX846" s="196">
        <f>FX486*(1-(FX$802/100))</f>
        <v>-296.32806779661013</v>
      </c>
      <c r="FY846" s="196"/>
      <c r="FZ846" s="196">
        <f>FZ486*(1-(FZ$802/100))</f>
        <v>-529.99654560349541</v>
      </c>
      <c r="GA846" s="196"/>
      <c r="GB846" s="196">
        <f>GB486*(1-(GB$802/100))</f>
        <v>-701.62621966474865</v>
      </c>
      <c r="GC846" s="196"/>
      <c r="GD846" s="196">
        <f>GD486*(1-(GD$802/100))</f>
        <v>-839.67578593712506</v>
      </c>
      <c r="GE846" s="196"/>
      <c r="GF846" s="196">
        <f>GF486*(1-(GF$802/100))</f>
        <v>-1028.6243551664843</v>
      </c>
      <c r="GG846" s="17"/>
      <c r="GH846" s="196">
        <f>GH486*(1-(GH$802/100))</f>
        <v>-975.53835709436521</v>
      </c>
      <c r="GI846" s="17"/>
      <c r="GJ846" s="196">
        <f>GJ486*(1-(GJ$802/100))</f>
        <v>-979.64002567806142</v>
      </c>
      <c r="GK846" s="17"/>
      <c r="GL846" s="196">
        <f>GL486*(1-(GL$802/100))</f>
        <v>-1202.6610483422855</v>
      </c>
      <c r="GM846" s="17"/>
      <c r="GN846" s="196">
        <f>GN486*(1-(GN$802/100))</f>
        <v>-1070.6156310057654</v>
      </c>
      <c r="GO846" s="17"/>
      <c r="GP846" s="196">
        <f>GP486*(1-(GP$802/100))</f>
        <v>-1131</v>
      </c>
      <c r="GQ846" s="17"/>
      <c r="GR846" s="196">
        <f>GR486*(1-(GR$802/100))</f>
        <v>-1170.5849999999998</v>
      </c>
      <c r="GS846" s="17"/>
      <c r="GT846" s="196">
        <f>GT486*(1-(GT$802/100))</f>
        <v>-1205.70255</v>
      </c>
      <c r="GU846" s="17"/>
      <c r="GV846" s="196">
        <f>GV486*(1-(GV$802/100))</f>
        <v>-1241.8736264999998</v>
      </c>
      <c r="GW846" s="17"/>
      <c r="GX846" s="196">
        <f>GX486*(1-(GX$802/100))</f>
        <v>-1280.3717089214997</v>
      </c>
      <c r="GY846" s="17"/>
      <c r="GZ846" s="196"/>
      <c r="HA846" s="196"/>
      <c r="HB846" s="196"/>
      <c r="HC846"/>
      <c r="HD846"/>
      <c r="HE846"/>
      <c r="HF846"/>
      <c r="HG846"/>
      <c r="HH846"/>
      <c r="HI846" s="2"/>
    </row>
    <row r="847" spans="2:217" s="3" customFormat="1" ht="12.75" hidden="1" customHeight="1" outlineLevel="1" x14ac:dyDescent="0.2">
      <c r="B847" s="10"/>
      <c r="C847" s="9"/>
      <c r="D847" s="11"/>
      <c r="E847" s="9"/>
      <c r="F847" s="11"/>
      <c r="G847" s="9"/>
      <c r="H847" s="11"/>
      <c r="I847" s="9"/>
      <c r="J847" s="11"/>
      <c r="K847" s="9"/>
      <c r="L847" s="11"/>
      <c r="M847" s="9"/>
      <c r="N847" s="11"/>
      <c r="O847" s="9"/>
      <c r="P847" s="11"/>
      <c r="Q847" s="9"/>
      <c r="R847" s="11"/>
      <c r="S847" s="9"/>
      <c r="T847" s="11"/>
      <c r="U847" s="9"/>
      <c r="V847" s="11"/>
      <c r="W847" s="9"/>
      <c r="X847" s="11"/>
      <c r="Y847" s="9"/>
      <c r="Z847" s="11"/>
      <c r="AA847" s="9"/>
      <c r="AB847" s="11"/>
      <c r="AC847" s="9"/>
      <c r="AD847" s="11"/>
      <c r="AE847" s="9"/>
      <c r="AF847" s="11"/>
      <c r="AG847" s="9"/>
      <c r="AH847" s="11"/>
      <c r="AI847" s="9"/>
      <c r="AJ847" s="11"/>
      <c r="AK847" s="9"/>
      <c r="AL847" s="11"/>
      <c r="AM847" s="9"/>
      <c r="AN847" s="11"/>
      <c r="AO847" s="9"/>
      <c r="AP847" s="11"/>
      <c r="AQ847" s="9"/>
      <c r="AR847" s="11"/>
      <c r="AS847" s="9"/>
      <c r="AT847" s="11"/>
      <c r="AU847" s="9"/>
      <c r="AV847" s="11"/>
      <c r="AW847" s="9"/>
      <c r="AX847" s="11"/>
      <c r="AY847" s="9"/>
      <c r="AZ847" s="11"/>
      <c r="BA847" s="9"/>
      <c r="BB847" s="11"/>
      <c r="BC847" s="9"/>
      <c r="BD847" s="11"/>
      <c r="BE847" s="9"/>
      <c r="BF847" s="11"/>
      <c r="BG847" s="9"/>
      <c r="BH847" s="11"/>
      <c r="BI847" s="9"/>
      <c r="BJ847" s="11"/>
      <c r="BK847" s="9"/>
      <c r="BL847" s="11"/>
      <c r="BM847" s="9"/>
      <c r="BN847" s="11"/>
      <c r="BO847" s="9"/>
      <c r="BP847" s="11"/>
      <c r="BQ847" s="9"/>
      <c r="BR847" s="11"/>
      <c r="BS847" s="9"/>
      <c r="BT847" s="11"/>
      <c r="BU847" s="9"/>
      <c r="BV847" s="11"/>
      <c r="BW847" s="9"/>
      <c r="BX847" s="11"/>
      <c r="BY847" s="9"/>
      <c r="BZ847" s="11"/>
      <c r="CA847" s="9"/>
      <c r="CB847" s="11"/>
      <c r="CC847" s="9"/>
      <c r="CD847" s="11"/>
      <c r="CE847" s="9"/>
      <c r="CF847" s="11"/>
      <c r="CG847" s="9"/>
      <c r="CH847" s="11"/>
      <c r="CI847" s="9"/>
      <c r="CJ847" s="11"/>
      <c r="CK847" s="9"/>
      <c r="CL847" s="11"/>
      <c r="CM847" s="9"/>
      <c r="CN847" s="11"/>
      <c r="CO847" s="9"/>
      <c r="CP847" s="11"/>
      <c r="CQ847" s="9"/>
      <c r="CR847" s="11"/>
      <c r="CS847" s="9"/>
      <c r="CT847" s="11"/>
      <c r="CU847" s="9"/>
      <c r="CV847" s="11"/>
      <c r="CW847" s="9"/>
      <c r="CX847" s="11"/>
      <c r="CY847" s="9"/>
      <c r="CZ847" s="11"/>
      <c r="DA847" s="9"/>
      <c r="DB847" s="11"/>
      <c r="DC847" s="9"/>
      <c r="DD847" s="11"/>
      <c r="DE847" s="9"/>
      <c r="DF847" s="11"/>
      <c r="DG847" s="9"/>
      <c r="DH847" s="11"/>
      <c r="DI847" s="9"/>
      <c r="DJ847" s="11"/>
      <c r="DK847" s="9"/>
      <c r="DL847" s="11"/>
      <c r="DM847" s="9"/>
      <c r="DN847" s="11"/>
      <c r="DO847" s="9"/>
      <c r="DP847" s="11"/>
      <c r="DQ847" s="9"/>
      <c r="DR847" s="11"/>
      <c r="DS847" s="9"/>
      <c r="DT847" s="11"/>
      <c r="DU847" s="9"/>
      <c r="DV847" s="11"/>
      <c r="DW847" s="9"/>
      <c r="DX847" s="11"/>
      <c r="DY847" s="9"/>
      <c r="DZ847" s="11"/>
      <c r="EA847" s="9"/>
      <c r="EB847" s="11"/>
      <c r="EC847" s="9"/>
      <c r="ED847" s="11"/>
      <c r="EE847" s="9"/>
      <c r="EF847" s="11"/>
      <c r="EG847" s="9"/>
      <c r="EH847" s="11"/>
      <c r="EI847" s="9"/>
      <c r="EJ847" s="11"/>
      <c r="EK847" s="9"/>
      <c r="EL847" s="11"/>
      <c r="EM847" s="9"/>
      <c r="EN847" s="11"/>
      <c r="EO847" s="9"/>
      <c r="EP847" s="11"/>
      <c r="EQ847" s="9"/>
      <c r="ER847" s="11"/>
      <c r="ES847" s="9"/>
      <c r="ET847" s="11"/>
      <c r="EU847" s="9"/>
      <c r="EV847" s="11"/>
      <c r="EW847" s="9"/>
      <c r="EX847" s="11"/>
      <c r="EY847" s="11"/>
      <c r="EZ847" s="335"/>
      <c r="FA847" s="11"/>
      <c r="FB847" s="9"/>
      <c r="FC847" s="11"/>
      <c r="FD847" s="9"/>
      <c r="FE847" s="11"/>
      <c r="FF847" s="9"/>
      <c r="FG847" s="11"/>
      <c r="FH847" s="9"/>
      <c r="FI847" s="11"/>
      <c r="FJ847" s="9"/>
      <c r="FK847" s="11"/>
      <c r="FL847" s="9"/>
      <c r="FM847" s="11"/>
      <c r="FN847" s="9"/>
      <c r="FO847" s="11"/>
      <c r="FP847" s="9"/>
      <c r="FQ847" s="11"/>
      <c r="FR847" s="9"/>
      <c r="FS847" s="11"/>
      <c r="FT847" s="9"/>
      <c r="FU847" s="11"/>
      <c r="FV847" s="9"/>
      <c r="FW847" s="11"/>
      <c r="FX847" s="9"/>
      <c r="FY847" s="11"/>
      <c r="FZ847" s="9"/>
      <c r="GA847" s="11"/>
      <c r="GB847" s="9"/>
      <c r="GC847" s="11"/>
      <c r="GD847" s="9"/>
      <c r="GE847" s="11"/>
      <c r="GF847" s="9"/>
      <c r="GG847" s="11"/>
      <c r="GH847" s="9"/>
      <c r="GI847" s="11"/>
      <c r="GJ847" s="9"/>
      <c r="GK847" s="11"/>
      <c r="GL847" s="9"/>
      <c r="GM847" s="11"/>
      <c r="GN847" s="9"/>
      <c r="GO847" s="11"/>
      <c r="GP847" s="9"/>
      <c r="GQ847" s="11"/>
      <c r="GR847" s="9"/>
      <c r="GS847" s="11"/>
      <c r="GT847" s="9"/>
      <c r="GU847" s="11"/>
      <c r="GV847" s="9"/>
      <c r="GW847" s="11"/>
      <c r="GX847" s="9"/>
      <c r="GY847" s="11"/>
      <c r="GZ847" s="11"/>
      <c r="HA847" s="11"/>
      <c r="HB847" s="11"/>
      <c r="HC847"/>
      <c r="HD847"/>
      <c r="HE847"/>
      <c r="HF847"/>
      <c r="HG847"/>
      <c r="HH847"/>
      <c r="HI847" s="2"/>
    </row>
    <row r="848" spans="2:217" s="3" customFormat="1" ht="12.75" hidden="1" customHeight="1" outlineLevel="1" x14ac:dyDescent="0.2">
      <c r="B848" s="10" t="s">
        <v>26</v>
      </c>
      <c r="C848" s="9"/>
      <c r="D848" s="11"/>
      <c r="E848" s="9"/>
      <c r="F848" s="11"/>
      <c r="G848" s="9"/>
      <c r="H848" s="11"/>
      <c r="I848" s="9"/>
      <c r="J848" s="11"/>
      <c r="K848" s="9"/>
      <c r="L848" s="11"/>
      <c r="M848" s="9"/>
      <c r="N848" s="11"/>
      <c r="O848" s="9"/>
      <c r="P848" s="11"/>
      <c r="Q848" s="9"/>
      <c r="R848" s="11"/>
      <c r="S848" s="9"/>
      <c r="T848" s="11"/>
      <c r="U848" s="9"/>
      <c r="V848" s="11"/>
      <c r="W848" s="9"/>
      <c r="X848" s="11"/>
      <c r="Y848" s="9"/>
      <c r="Z848" s="11"/>
      <c r="AA848" s="9"/>
      <c r="AB848" s="11"/>
      <c r="AC848" s="9"/>
      <c r="AD848" s="11"/>
      <c r="AE848" s="9"/>
      <c r="AF848" s="11"/>
      <c r="AG848" s="9"/>
      <c r="AH848" s="11"/>
      <c r="AI848" s="9"/>
      <c r="AJ848" s="11"/>
      <c r="AK848" s="9"/>
      <c r="AL848" s="11"/>
      <c r="AM848" s="9"/>
      <c r="AN848" s="11"/>
      <c r="AO848" s="9"/>
      <c r="AP848" s="11"/>
      <c r="AQ848" s="9"/>
      <c r="AR848" s="11"/>
      <c r="AS848" s="9"/>
      <c r="AT848" s="11"/>
      <c r="AU848" s="9"/>
      <c r="AV848" s="11"/>
      <c r="AW848" s="9"/>
      <c r="AX848" s="11"/>
      <c r="AY848" s="9"/>
      <c r="AZ848" s="11"/>
      <c r="BA848" s="9"/>
      <c r="BB848" s="11"/>
      <c r="BC848" s="9"/>
      <c r="BD848" s="11"/>
      <c r="BE848" s="9"/>
      <c r="BF848" s="11"/>
      <c r="BG848" s="196">
        <f>+BG824</f>
        <v>14.6</v>
      </c>
      <c r="BH848" s="196"/>
      <c r="BI848" s="196">
        <f>+BI824</f>
        <v>14</v>
      </c>
      <c r="BJ848" s="196"/>
      <c r="BK848" s="196">
        <f>+BK824</f>
        <v>13</v>
      </c>
      <c r="BL848" s="196"/>
      <c r="BM848" s="196">
        <f>+BM824</f>
        <v>11</v>
      </c>
      <c r="BN848" s="196"/>
      <c r="BO848" s="196">
        <f>+BO824</f>
        <v>12</v>
      </c>
      <c r="BP848" s="196"/>
      <c r="BQ848" s="196">
        <f>+BQ824</f>
        <v>14</v>
      </c>
      <c r="BR848" s="196"/>
      <c r="BS848" s="196">
        <f>+BS824</f>
        <v>10</v>
      </c>
      <c r="BT848" s="196"/>
      <c r="BU848" s="196">
        <f>+BU824</f>
        <v>19</v>
      </c>
      <c r="BV848" s="196"/>
      <c r="BW848" s="196">
        <f>+BW824</f>
        <v>11</v>
      </c>
      <c r="BX848" s="196"/>
      <c r="BY848" s="196">
        <f>+BY824</f>
        <v>0</v>
      </c>
      <c r="BZ848" s="196"/>
      <c r="CA848" s="196">
        <f>+CA824</f>
        <v>0</v>
      </c>
      <c r="CB848" s="196"/>
      <c r="CC848" s="196">
        <f t="shared" ref="CC848:CI848" si="3564">+CC824</f>
        <v>5</v>
      </c>
      <c r="CD848" s="196"/>
      <c r="CE848" s="196">
        <f t="shared" si="3564"/>
        <v>6</v>
      </c>
      <c r="CF848" s="196"/>
      <c r="CG848" s="196">
        <f t="shared" si="3564"/>
        <v>10</v>
      </c>
      <c r="CH848" s="196"/>
      <c r="CI848" s="196">
        <f t="shared" si="3564"/>
        <v>1</v>
      </c>
      <c r="CJ848" s="196"/>
      <c r="CK848" s="196">
        <f>+CK824</f>
        <v>1</v>
      </c>
      <c r="CL848" s="196"/>
      <c r="CM848" s="196">
        <f>+CM824</f>
        <v>0</v>
      </c>
      <c r="CN848" s="196"/>
      <c r="CO848" s="196">
        <f>+CO824</f>
        <v>2</v>
      </c>
      <c r="CP848" s="196"/>
      <c r="CQ848" s="196">
        <f>+CQ824</f>
        <v>4</v>
      </c>
      <c r="CR848" s="196"/>
      <c r="CS848" s="196">
        <f>+CS824</f>
        <v>-4</v>
      </c>
      <c r="CT848" s="196"/>
      <c r="CU848" s="196">
        <f>+CU824</f>
        <v>6</v>
      </c>
      <c r="CV848" s="196"/>
      <c r="CW848" s="196">
        <f>+CW824</f>
        <v>6</v>
      </c>
      <c r="CX848" s="196"/>
      <c r="CY848" s="196">
        <f>+CY824</f>
        <v>-3</v>
      </c>
      <c r="CZ848" s="196"/>
      <c r="DA848" s="196">
        <f>+DA824</f>
        <v>-3</v>
      </c>
      <c r="DB848" s="196"/>
      <c r="DC848" s="196">
        <f>+DC824</f>
        <v>-3</v>
      </c>
      <c r="DD848" s="196"/>
      <c r="DE848" s="196">
        <f>+DE824</f>
        <v>-5</v>
      </c>
      <c r="DF848" s="196"/>
      <c r="DG848" s="196">
        <f>+DG824</f>
        <v>-7</v>
      </c>
      <c r="DH848" s="196"/>
      <c r="DI848" s="196">
        <f>+DI824</f>
        <v>-10</v>
      </c>
      <c r="DJ848" s="196"/>
      <c r="DK848" s="196">
        <f>+DK824</f>
        <v>-2</v>
      </c>
      <c r="DL848" s="196"/>
      <c r="DM848" s="196">
        <f>+DM824</f>
        <v>-3</v>
      </c>
      <c r="DN848" s="196"/>
      <c r="DO848" s="196">
        <f>+DO824</f>
        <v>-3</v>
      </c>
      <c r="DP848" s="196"/>
      <c r="DQ848" s="196">
        <f>+DQ824</f>
        <v>-19</v>
      </c>
      <c r="DR848" s="196"/>
      <c r="DS848" s="196">
        <f>+DS824</f>
        <v>0</v>
      </c>
      <c r="DT848" s="196"/>
      <c r="DU848" s="196">
        <f>+DU824</f>
        <v>0</v>
      </c>
      <c r="DV848" s="196"/>
      <c r="DW848" s="196">
        <f>+DW824</f>
        <v>0</v>
      </c>
      <c r="DX848" s="196"/>
      <c r="DY848" s="196">
        <f>+DY824</f>
        <v>0</v>
      </c>
      <c r="DZ848" s="196"/>
      <c r="EA848" s="196">
        <f>+EA824</f>
        <v>0</v>
      </c>
      <c r="EB848" s="196"/>
      <c r="EC848" s="196">
        <f>+EC824</f>
        <v>0</v>
      </c>
      <c r="ED848" s="196"/>
      <c r="EE848" s="196">
        <f>+EE824</f>
        <v>-9.5</v>
      </c>
      <c r="EF848" s="196"/>
      <c r="EG848" s="196">
        <f>+EG824</f>
        <v>-9</v>
      </c>
      <c r="EH848" s="196"/>
      <c r="EI848" s="196">
        <f>+EI824</f>
        <v>-10</v>
      </c>
      <c r="EJ848" s="196"/>
      <c r="EK848" s="196">
        <f>+EK824</f>
        <v>-5</v>
      </c>
      <c r="EL848" s="196"/>
      <c r="EM848" s="196">
        <f>+EM824</f>
        <v>-12</v>
      </c>
      <c r="EN848" s="196"/>
      <c r="EO848" s="196">
        <f>+EO824</f>
        <v>-11</v>
      </c>
      <c r="EP848" s="196"/>
      <c r="EQ848" s="196">
        <f t="shared" ref="EQ848" si="3565">+EQ824</f>
        <v>-11</v>
      </c>
      <c r="ER848" s="196"/>
      <c r="ES848" s="196">
        <f t="shared" ref="ES848" si="3566">+ES824</f>
        <v>-11</v>
      </c>
      <c r="ET848" s="196"/>
      <c r="EU848" s="196">
        <f t="shared" ref="EU848" si="3567">+EU824</f>
        <v>-11</v>
      </c>
      <c r="EV848" s="196"/>
      <c r="EW848" s="196">
        <f t="shared" ref="EW848" si="3568">+EW824</f>
        <v>-11</v>
      </c>
      <c r="EX848" s="196"/>
      <c r="EY848" s="196"/>
      <c r="EZ848" s="346"/>
      <c r="FA848" s="196"/>
      <c r="FB848" s="196">
        <f>+FB824</f>
        <v>0</v>
      </c>
      <c r="FC848" s="196"/>
      <c r="FD848" s="196">
        <f>+FD824</f>
        <v>2</v>
      </c>
      <c r="FE848" s="196"/>
      <c r="FF848" s="196">
        <f>+FF824</f>
        <v>8</v>
      </c>
      <c r="FG848" s="196"/>
      <c r="FH848" s="196">
        <f>+FH824</f>
        <v>12</v>
      </c>
      <c r="FI848" s="196"/>
      <c r="FJ848" s="196">
        <f>+FJ824</f>
        <v>5</v>
      </c>
      <c r="FK848" s="196"/>
      <c r="FL848" s="196">
        <f>+FL824</f>
        <v>6</v>
      </c>
      <c r="FM848" s="196"/>
      <c r="FN848" s="196">
        <f>+FN824</f>
        <v>-3</v>
      </c>
      <c r="FO848" s="196"/>
      <c r="FP848" s="196">
        <f>+FP824</f>
        <v>-14</v>
      </c>
      <c r="FQ848" s="196"/>
      <c r="FR848" s="196">
        <f>+FR824</f>
        <v>-18</v>
      </c>
      <c r="FS848" s="196"/>
      <c r="FT848" s="196">
        <f>+FT824</f>
        <v>-25</v>
      </c>
      <c r="FU848" s="196"/>
      <c r="FV848" s="196">
        <f>+FV824</f>
        <v>-24</v>
      </c>
      <c r="FW848" s="196"/>
      <c r="FX848" s="196">
        <f>+FX824</f>
        <v>-22</v>
      </c>
      <c r="FY848" s="196"/>
      <c r="FZ848" s="196">
        <f>+FZ824</f>
        <v>-18</v>
      </c>
      <c r="GA848" s="196"/>
      <c r="GB848" s="196">
        <f>+GB824</f>
        <v>-27</v>
      </c>
      <c r="GC848" s="196"/>
      <c r="GD848" s="196">
        <f>+GD824</f>
        <v>-25</v>
      </c>
      <c r="GE848" s="196"/>
      <c r="GF848" s="196">
        <f>+GF824</f>
        <v>-22</v>
      </c>
      <c r="GG848" s="17"/>
      <c r="GH848" s="196">
        <f>+GH824</f>
        <v>-19</v>
      </c>
      <c r="GI848" s="17"/>
      <c r="GJ848" s="196">
        <f>+GJ824</f>
        <v>0</v>
      </c>
      <c r="GK848" s="17"/>
      <c r="GL848" s="196">
        <f>+GL824</f>
        <v>-18.5</v>
      </c>
      <c r="GM848" s="17"/>
      <c r="GN848" s="196">
        <f>+GN824</f>
        <v>-38</v>
      </c>
      <c r="GO848" s="17"/>
      <c r="GP848" s="196">
        <f>+GP824</f>
        <v>-44</v>
      </c>
      <c r="GQ848" s="17"/>
      <c r="GR848" s="196">
        <f>+GR824</f>
        <v>-44</v>
      </c>
      <c r="GS848" s="17"/>
      <c r="GT848" s="196">
        <f>+GT824</f>
        <v>-44</v>
      </c>
      <c r="GU848" s="17"/>
      <c r="GV848" s="196">
        <f>+GV824</f>
        <v>-44</v>
      </c>
      <c r="GW848" s="17"/>
      <c r="GX848" s="196">
        <f>+GX824</f>
        <v>-44</v>
      </c>
      <c r="GY848" s="17"/>
      <c r="GZ848" s="196"/>
      <c r="HA848" s="196"/>
      <c r="HB848" s="196"/>
      <c r="HC848"/>
      <c r="HD848"/>
      <c r="HE848"/>
      <c r="HF848"/>
      <c r="HG848"/>
      <c r="HH848"/>
      <c r="HI848" s="2"/>
    </row>
    <row r="849" spans="2:217" s="3" customFormat="1" ht="12.75" hidden="1" customHeight="1" outlineLevel="1" x14ac:dyDescent="0.2">
      <c r="B849" s="10"/>
      <c r="C849" s="9"/>
      <c r="D849" s="11"/>
      <c r="E849" s="9"/>
      <c r="F849" s="11"/>
      <c r="G849" s="9"/>
      <c r="H849" s="11"/>
      <c r="I849" s="9"/>
      <c r="J849" s="11"/>
      <c r="K849" s="9"/>
      <c r="L849" s="11"/>
      <c r="M849" s="9"/>
      <c r="N849" s="11"/>
      <c r="O849" s="9"/>
      <c r="P849" s="11"/>
      <c r="Q849" s="9"/>
      <c r="R849" s="11"/>
      <c r="S849" s="9"/>
      <c r="T849" s="11"/>
      <c r="U849" s="9"/>
      <c r="V849" s="11"/>
      <c r="W849" s="9"/>
      <c r="X849" s="11"/>
      <c r="Y849" s="9"/>
      <c r="Z849" s="11"/>
      <c r="AA849" s="9"/>
      <c r="AB849" s="11"/>
      <c r="AC849" s="9"/>
      <c r="AD849" s="11"/>
      <c r="AE849" s="9"/>
      <c r="AF849" s="11"/>
      <c r="AG849" s="9"/>
      <c r="AH849" s="11"/>
      <c r="AI849" s="9"/>
      <c r="AJ849" s="11"/>
      <c r="AK849" s="9"/>
      <c r="AL849" s="11"/>
      <c r="AM849" s="9"/>
      <c r="AN849" s="11"/>
      <c r="AO849" s="9"/>
      <c r="AP849" s="11"/>
      <c r="AQ849" s="9"/>
      <c r="AR849" s="11"/>
      <c r="AS849" s="9"/>
      <c r="AT849" s="11"/>
      <c r="AU849" s="9"/>
      <c r="AV849" s="11"/>
      <c r="AW849" s="9"/>
      <c r="AX849" s="11"/>
      <c r="AY849" s="9"/>
      <c r="AZ849" s="11"/>
      <c r="BA849" s="9"/>
      <c r="BB849" s="11"/>
      <c r="BC849" s="9"/>
      <c r="BD849" s="11"/>
      <c r="BE849" s="9"/>
      <c r="BF849" s="11"/>
      <c r="BG849" s="9"/>
      <c r="BH849" s="11"/>
      <c r="BI849" s="9"/>
      <c r="BJ849" s="11"/>
      <c r="BK849" s="9"/>
      <c r="BL849" s="11"/>
      <c r="BM849" s="9"/>
      <c r="BN849" s="11"/>
      <c r="BO849" s="9"/>
      <c r="BP849" s="11"/>
      <c r="BQ849" s="9"/>
      <c r="BR849" s="11"/>
      <c r="BS849" s="9"/>
      <c r="BT849" s="11"/>
      <c r="BU849" s="9"/>
      <c r="BV849" s="11"/>
      <c r="BW849" s="9"/>
      <c r="BX849" s="11"/>
      <c r="BY849" s="9"/>
      <c r="BZ849" s="11"/>
      <c r="CA849" s="9"/>
      <c r="CB849" s="11"/>
      <c r="CC849" s="9"/>
      <c r="CD849" s="11"/>
      <c r="CE849" s="9"/>
      <c r="CF849" s="11"/>
      <c r="CG849" s="9"/>
      <c r="CH849" s="11"/>
      <c r="CI849" s="9"/>
      <c r="CJ849" s="11"/>
      <c r="CK849" s="9"/>
      <c r="CL849" s="11"/>
      <c r="CM849" s="9"/>
      <c r="CN849" s="11"/>
      <c r="CO849" s="9"/>
      <c r="CP849" s="11"/>
      <c r="CQ849" s="9"/>
      <c r="CR849" s="11"/>
      <c r="CS849" s="9"/>
      <c r="CT849" s="11"/>
      <c r="CU849" s="9"/>
      <c r="CV849" s="11"/>
      <c r="CW849" s="9"/>
      <c r="CX849" s="11"/>
      <c r="CY849" s="9"/>
      <c r="CZ849" s="11"/>
      <c r="DA849" s="9"/>
      <c r="DB849" s="11"/>
      <c r="DC849" s="9"/>
      <c r="DD849" s="11"/>
      <c r="DE849" s="9"/>
      <c r="DF849" s="11"/>
      <c r="DG849" s="9"/>
      <c r="DH849" s="11"/>
      <c r="DI849" s="9"/>
      <c r="DJ849" s="11"/>
      <c r="DK849" s="9"/>
      <c r="DL849" s="11"/>
      <c r="DM849" s="9"/>
      <c r="DN849" s="11"/>
      <c r="DO849" s="9"/>
      <c r="DP849" s="11"/>
      <c r="DQ849" s="9"/>
      <c r="DR849" s="11"/>
      <c r="DS849" s="9"/>
      <c r="DT849" s="11"/>
      <c r="DU849" s="9"/>
      <c r="DV849" s="11"/>
      <c r="DW849" s="9"/>
      <c r="DX849" s="11"/>
      <c r="DY849" s="9"/>
      <c r="DZ849" s="11"/>
      <c r="EA849" s="9"/>
      <c r="EB849" s="11"/>
      <c r="EC849" s="9"/>
      <c r="ED849" s="11"/>
      <c r="EE849" s="9"/>
      <c r="EF849" s="11"/>
      <c r="EG849" s="9"/>
      <c r="EH849" s="11"/>
      <c r="EI849" s="9"/>
      <c r="EJ849" s="11"/>
      <c r="EK849" s="9"/>
      <c r="EL849" s="11"/>
      <c r="EM849" s="9"/>
      <c r="EN849" s="11"/>
      <c r="EO849" s="9"/>
      <c r="EP849" s="11"/>
      <c r="EQ849" s="9"/>
      <c r="ER849" s="11"/>
      <c r="ES849" s="9"/>
      <c r="ET849" s="11"/>
      <c r="EU849" s="9"/>
      <c r="EV849" s="11"/>
      <c r="EW849" s="9"/>
      <c r="EX849" s="11"/>
      <c r="EY849" s="11"/>
      <c r="EZ849" s="335"/>
      <c r="FA849" s="11"/>
      <c r="FB849" s="9"/>
      <c r="FC849" s="11"/>
      <c r="FD849" s="9"/>
      <c r="FE849" s="11"/>
      <c r="FF849" s="9"/>
      <c r="FG849" s="11"/>
      <c r="FH849" s="9"/>
      <c r="FI849" s="11"/>
      <c r="FJ849" s="9"/>
      <c r="FK849" s="11"/>
      <c r="FL849" s="9"/>
      <c r="FM849" s="11"/>
      <c r="FN849" s="9"/>
      <c r="FO849" s="11"/>
      <c r="FP849" s="9"/>
      <c r="FQ849" s="11"/>
      <c r="FR849" s="9"/>
      <c r="FS849" s="11"/>
      <c r="FT849" s="9"/>
      <c r="FU849" s="11"/>
      <c r="FV849" s="9"/>
      <c r="FW849" s="11"/>
      <c r="FX849" s="9"/>
      <c r="FY849" s="11"/>
      <c r="FZ849" s="9"/>
      <c r="GA849" s="11"/>
      <c r="GB849" s="9"/>
      <c r="GC849" s="11"/>
      <c r="GD849" s="9"/>
      <c r="GE849" s="11"/>
      <c r="GF849" s="9"/>
      <c r="GG849" s="11"/>
      <c r="GH849" s="9"/>
      <c r="GI849" s="11"/>
      <c r="GJ849" s="9"/>
      <c r="GK849" s="11"/>
      <c r="GL849" s="9"/>
      <c r="GM849" s="11"/>
      <c r="GN849" s="9"/>
      <c r="GO849" s="11"/>
      <c r="GP849" s="9"/>
      <c r="GQ849" s="11"/>
      <c r="GR849" s="9"/>
      <c r="GS849" s="11"/>
      <c r="GT849" s="9"/>
      <c r="GU849" s="11"/>
      <c r="GV849" s="9"/>
      <c r="GW849" s="11"/>
      <c r="GX849" s="9"/>
      <c r="GY849" s="11"/>
      <c r="GZ849" s="11"/>
      <c r="HA849" s="11"/>
      <c r="HB849" s="11"/>
      <c r="HC849"/>
      <c r="HD849"/>
      <c r="HE849"/>
      <c r="HF849"/>
      <c r="HG849"/>
      <c r="HH849"/>
      <c r="HI849" s="2"/>
    </row>
    <row r="850" spans="2:217" s="3" customFormat="1" ht="12.75" hidden="1" customHeight="1" outlineLevel="1" x14ac:dyDescent="0.2">
      <c r="B850" s="10" t="s">
        <v>1</v>
      </c>
      <c r="C850" s="9"/>
      <c r="D850" s="11"/>
      <c r="E850" s="9"/>
      <c r="F850" s="11"/>
      <c r="G850" s="9"/>
      <c r="H850" s="11"/>
      <c r="I850" s="9"/>
      <c r="J850" s="11"/>
      <c r="K850" s="9"/>
      <c r="L850" s="11"/>
      <c r="M850" s="9"/>
      <c r="N850" s="11"/>
      <c r="O850" s="9"/>
      <c r="P850" s="11"/>
      <c r="Q850" s="9"/>
      <c r="R850" s="11"/>
      <c r="S850" s="9"/>
      <c r="T850" s="11"/>
      <c r="U850" s="9"/>
      <c r="V850" s="11"/>
      <c r="W850" s="9"/>
      <c r="X850" s="11"/>
      <c r="Y850" s="9"/>
      <c r="Z850" s="11"/>
      <c r="AA850" s="9"/>
      <c r="AB850" s="11"/>
      <c r="AC850" s="9"/>
      <c r="AD850" s="11"/>
      <c r="AE850" s="9"/>
      <c r="AF850" s="11"/>
      <c r="AG850" s="9"/>
      <c r="AH850" s="11"/>
      <c r="AI850" s="9"/>
      <c r="AJ850" s="11"/>
      <c r="AK850" s="9"/>
      <c r="AL850" s="11"/>
      <c r="AM850" s="9"/>
      <c r="AN850" s="11"/>
      <c r="AO850" s="9"/>
      <c r="AP850" s="11"/>
      <c r="AQ850" s="9"/>
      <c r="AR850" s="11"/>
      <c r="AS850" s="9"/>
      <c r="AT850" s="11"/>
      <c r="AU850" s="9"/>
      <c r="AV850" s="11"/>
      <c r="AW850" s="9"/>
      <c r="AX850" s="11"/>
      <c r="AY850" s="9"/>
      <c r="AZ850" s="11"/>
      <c r="BA850" s="9"/>
      <c r="BB850" s="11"/>
      <c r="BC850" s="9"/>
      <c r="BD850" s="11"/>
      <c r="BE850" s="9"/>
      <c r="BF850" s="11"/>
      <c r="BG850" s="196">
        <f>+BG848+BG846+BG844+BG838+BG833</f>
        <v>798.2</v>
      </c>
      <c r="BH850" s="196"/>
      <c r="BI850" s="196">
        <f>+BI848+BI846+BI844+BI838+BI833</f>
        <v>814</v>
      </c>
      <c r="BJ850" s="196"/>
      <c r="BK850" s="196">
        <f>+BK848+BK846+BK844+BK838+BK833</f>
        <v>929</v>
      </c>
      <c r="BL850" s="196"/>
      <c r="BM850" s="196">
        <f>+BM848+BM846+BM844+BM838+BM833</f>
        <v>791</v>
      </c>
      <c r="BN850" s="196"/>
      <c r="BO850" s="196">
        <f>+BO848+BO846+BO844+BO838+BO833</f>
        <v>685.00000000000011</v>
      </c>
      <c r="BP850" s="196"/>
      <c r="BQ850" s="196">
        <f>+BQ848+BQ846+BQ844+BQ838+BQ833</f>
        <v>846</v>
      </c>
      <c r="BR850" s="196"/>
      <c r="BS850" s="196">
        <f>+BS848+BS846+BS844+BS838+BS833</f>
        <v>428</v>
      </c>
      <c r="BT850" s="196"/>
      <c r="BU850" s="196">
        <f>+BU848+BU846+BU844+BU838+BU833</f>
        <v>-859</v>
      </c>
      <c r="BV850" s="196"/>
      <c r="BW850" s="196">
        <f>+BW848+BW846+BW844+BW838+BW833</f>
        <v>200</v>
      </c>
      <c r="BX850" s="196"/>
      <c r="BY850" s="196">
        <f>+BY848+BY846+BY844+BY838+BY833</f>
        <v>861.00000000000011</v>
      </c>
      <c r="BZ850" s="196"/>
      <c r="CA850" s="196">
        <f>+CA848+CA846+CA844+CA838+CA833</f>
        <v>820</v>
      </c>
      <c r="CB850" s="196"/>
      <c r="CC850" s="196">
        <f t="shared" ref="CC850:CI850" si="3569">+CC848+CC846+CC844+CC838+CC833</f>
        <v>559</v>
      </c>
      <c r="CD850" s="196"/>
      <c r="CE850" s="196">
        <f t="shared" si="3569"/>
        <v>640</v>
      </c>
      <c r="CF850" s="196"/>
      <c r="CG850" s="196">
        <f t="shared" si="3569"/>
        <v>388.99999999999994</v>
      </c>
      <c r="CH850" s="196"/>
      <c r="CI850" s="196">
        <f t="shared" si="3569"/>
        <v>903</v>
      </c>
      <c r="CJ850" s="196"/>
      <c r="CK850" s="196">
        <f>+CK848+CK846+CK844+CK838+CK833</f>
        <v>787.00000000000011</v>
      </c>
      <c r="CL850" s="196"/>
      <c r="CM850" s="196">
        <f>+CM848+CM846+CM844+CM838+CM833</f>
        <v>799.36521739130444</v>
      </c>
      <c r="CN850" s="196"/>
      <c r="CO850" s="196">
        <f>+CO848+CO846+CO844+CO838+CO833</f>
        <v>772.60703052728957</v>
      </c>
      <c r="CP850" s="196"/>
      <c r="CQ850" s="196">
        <f>+CQ848+CQ846+CQ844+CQ838+CQ833</f>
        <v>404.14592391304348</v>
      </c>
      <c r="CR850" s="196"/>
      <c r="CS850" s="196">
        <f>+CS848+CS846+CS844+CS838+CS833</f>
        <v>843.75603174603179</v>
      </c>
      <c r="CT850" s="196"/>
      <c r="CU850" s="196">
        <f>+CU848+CU846+CU844+CU838+CU833</f>
        <v>785.41312277580062</v>
      </c>
      <c r="CV850" s="196"/>
      <c r="CW850" s="196">
        <f>+CW848+CW846+CW844+CW838+CW833</f>
        <v>652.97897091722587</v>
      </c>
      <c r="CX850" s="196"/>
      <c r="CY850" s="196">
        <f>+CY848+CY846+CY844+CY838+CY833</f>
        <v>753.11655691439319</v>
      </c>
      <c r="CZ850" s="196"/>
      <c r="DA850" s="196">
        <f>+DA848+DA846+DA844+DA838+DA833</f>
        <v>826.78821362799272</v>
      </c>
      <c r="DB850" s="196"/>
      <c r="DC850" s="196">
        <f>+DC848+DC846+DC844+DC838+DC833</f>
        <v>1068.7745442268738</v>
      </c>
      <c r="DD850" s="196"/>
      <c r="DE850" s="196">
        <f>+DE848+DE846+DE844+DE838+DE833</f>
        <v>1087.5786605384108</v>
      </c>
      <c r="DF850" s="196"/>
      <c r="DG850" s="196">
        <f>+DG848+DG846+DG844+DG838+DG833</f>
        <v>1365.4604893284745</v>
      </c>
      <c r="DH850" s="196"/>
      <c r="DI850" s="196">
        <f>+DI848+DI846+DI844+DI838+DI833</f>
        <v>1037.2650475543478</v>
      </c>
      <c r="DJ850" s="196"/>
      <c r="DK850" s="196">
        <f>+DK848+DK846+DK844+DK838+DK833</f>
        <v>1135</v>
      </c>
      <c r="DL850" s="196"/>
      <c r="DM850" s="196">
        <f>+DM848+DM846+DM844+DM838+DM833</f>
        <v>1173</v>
      </c>
      <c r="DN850" s="196"/>
      <c r="DO850" s="196">
        <f>+DO848+DO846+DO844+DO838+DO833</f>
        <v>1031</v>
      </c>
      <c r="DP850" s="196"/>
      <c r="DQ850" s="196">
        <f>+DQ848+DQ846+DQ844+DQ838+DQ833</f>
        <v>988.99999999999989</v>
      </c>
      <c r="DR850" s="196"/>
      <c r="DS850" s="196">
        <f>+DS848+DS846+DS844+DS838+DS833</f>
        <v>1298</v>
      </c>
      <c r="DT850" s="196"/>
      <c r="DU850" s="196">
        <f>+DU848+DU846+DU844+DU838+DU833</f>
        <v>1350</v>
      </c>
      <c r="DV850" s="196"/>
      <c r="DW850" s="196">
        <f>+DW848+DW846+DW844+DW838+DW833</f>
        <v>1110</v>
      </c>
      <c r="DX850" s="196"/>
      <c r="DY850" s="196">
        <f>+DY848+DY846+DY844+DY838+DY833</f>
        <v>891</v>
      </c>
      <c r="DZ850" s="196"/>
      <c r="EA850" s="196">
        <f>+EA848+EA846+EA844+EA838+EA833</f>
        <v>996.99999999999989</v>
      </c>
      <c r="EB850" s="196"/>
      <c r="EC850" s="196">
        <f>+EC848+EC846+EC844+EC838+EC833</f>
        <v>829</v>
      </c>
      <c r="ED850" s="196"/>
      <c r="EE850" s="196">
        <f>+EE848+EE846+EE844+EE838+EE833</f>
        <v>1181.5</v>
      </c>
      <c r="EF850" s="196"/>
      <c r="EG850" s="196">
        <f>+EG848+EG846+EG844+EG838+EG833</f>
        <v>1081</v>
      </c>
      <c r="EH850" s="196"/>
      <c r="EI850" s="196">
        <f>+EI848+EI846+EI844+EI838+EI833</f>
        <v>1227.0000000000002</v>
      </c>
      <c r="EJ850" s="196"/>
      <c r="EK850" s="196">
        <f>+EK848+EK846+EK844+EK838+EK833</f>
        <v>914</v>
      </c>
      <c r="EL850" s="196"/>
      <c r="EM850" s="196">
        <f>+EM848+EM846+EM844+EM838+EM833</f>
        <v>1311</v>
      </c>
      <c r="EN850" s="196"/>
      <c r="EO850" s="196">
        <f>+EO848+EO846+EO844+EO838+EO833</f>
        <v>1162.0000000000002</v>
      </c>
      <c r="EP850" s="196"/>
      <c r="EQ850" s="196">
        <f t="shared" ref="EQ850" si="3570">+EQ848+EQ846+EQ844+EQ838+EQ833</f>
        <v>1326.6539953800166</v>
      </c>
      <c r="ER850" s="196"/>
      <c r="ES850" s="196">
        <f t="shared" ref="ES850" si="3571">+ES848+ES846+ES844+ES838+ES833</f>
        <v>1333.9585156595535</v>
      </c>
      <c r="ET850" s="196"/>
      <c r="EU850" s="196">
        <f t="shared" ref="EU850" si="3572">+EU848+EU846+EU844+EU838+EU833</f>
        <v>1318.8396634684207</v>
      </c>
      <c r="EV850" s="196"/>
      <c r="EW850" s="196">
        <f t="shared" ref="EW850" si="3573">+EW848+EW846+EW844+EW838+EW833</f>
        <v>1188.5935562897889</v>
      </c>
      <c r="EX850" s="196"/>
      <c r="EY850" s="196"/>
      <c r="EZ850" s="346"/>
      <c r="FA850" s="196"/>
      <c r="FB850" s="196">
        <f>+FB848+FB846+FB844+FB838+FB833</f>
        <v>608</v>
      </c>
      <c r="FC850" s="196"/>
      <c r="FD850" s="196">
        <f>+FD848+FD846+FD844+FD838+FD833</f>
        <v>161.09999999999997</v>
      </c>
      <c r="FE850" s="196"/>
      <c r="FF850" s="196">
        <f>+FF848+FF846+FF844+FF838+FF833</f>
        <v>173.95</v>
      </c>
      <c r="FG850" s="196"/>
      <c r="FH850" s="196">
        <f>+FH848+FH846+FH844+FH838+FH833</f>
        <v>495.79999999999995</v>
      </c>
      <c r="FI850" s="196"/>
      <c r="FJ850" s="196">
        <f>+FJ848+FJ846+FJ844+FJ838+FJ833</f>
        <v>646.94999999999993</v>
      </c>
      <c r="FK850" s="196"/>
      <c r="FL850" s="196">
        <f>+FL848+FL846+FL844+FL838+FL833</f>
        <v>1041.3499999999999</v>
      </c>
      <c r="FM850" s="196"/>
      <c r="FN850" s="196">
        <f>+FN848+FN846+FN844+FN838+FN833</f>
        <v>1602.2499999999998</v>
      </c>
      <c r="FO850" s="196"/>
      <c r="FP850" s="196">
        <f>+FP848+FP846+FP844+FP838+FP833</f>
        <v>2280.0198630136983</v>
      </c>
      <c r="FQ850" s="196"/>
      <c r="FR850" s="196">
        <f>+FR848+FR846+FR844+FR838+FR833</f>
        <v>2338.7784652831156</v>
      </c>
      <c r="FS850" s="196"/>
      <c r="FT850" s="196">
        <f>+FT848+FT846+FT844+FT838+FT833</f>
        <v>2719.8000000000006</v>
      </c>
      <c r="FU850" s="196"/>
      <c r="FV850" s="196">
        <f>+FV848+FV846+FV844+FV838+FV833</f>
        <v>-681.75000000000045</v>
      </c>
      <c r="FW850" s="196"/>
      <c r="FX850" s="196">
        <f>+FX848+FX846+FX844+FX838+FX833</f>
        <v>1087.3499999999999</v>
      </c>
      <c r="FY850" s="196"/>
      <c r="FZ850" s="196">
        <f>+FZ848+FZ846+FZ844+FZ838+FZ833</f>
        <v>2027.1500000000003</v>
      </c>
      <c r="GA850" s="196"/>
      <c r="GB850" s="196">
        <f>+GB848+GB846+GB844+GB838+GB833</f>
        <v>2325.9096822616962</v>
      </c>
      <c r="GC850" s="196"/>
      <c r="GD850" s="196">
        <f>+GD848+GD846+GD844+GD838+GD833</f>
        <v>2504.7038636909047</v>
      </c>
      <c r="GE850" s="196"/>
      <c r="GF850" s="196">
        <f>+GF848+GF846+GF844+GF838+GF833</f>
        <v>4759.977020478349</v>
      </c>
      <c r="GG850" s="17"/>
      <c r="GH850" s="196">
        <f>+GH848+GH846+GH844+GH838+GH833</f>
        <v>4245</v>
      </c>
      <c r="GI850" s="17"/>
      <c r="GJ850" s="196">
        <f>+GJ848+GJ846+GJ844+GJ838+GJ833</f>
        <v>4649</v>
      </c>
      <c r="GK850" s="17"/>
      <c r="GL850" s="196">
        <f>+GL848+GL846+GL844+GL838+GL833</f>
        <v>4088.5</v>
      </c>
      <c r="GM850" s="17"/>
      <c r="GN850" s="196">
        <f>+GN848+GN846+GN844+GN838+GN833</f>
        <v>4614</v>
      </c>
      <c r="GO850" s="17"/>
      <c r="GP850" s="196">
        <f>+GP848+GP846+GP844+GP838+GP833</f>
        <v>5168.0457307977795</v>
      </c>
      <c r="GQ850" s="17"/>
      <c r="GR850" s="196">
        <f>+GR848+GR846+GR844+GR838+GR833</f>
        <v>5231.3860821617618</v>
      </c>
      <c r="GS850" s="17"/>
      <c r="GT850" s="196">
        <f>+GT848+GT846+GT844+GT838+GT833</f>
        <v>5286.1772453206422</v>
      </c>
      <c r="GU850" s="17"/>
      <c r="GV850" s="196">
        <f>+GV848+GV846+GV844+GV838+GV833</f>
        <v>5347.2071880921685</v>
      </c>
      <c r="GW850" s="17"/>
      <c r="GX850" s="196">
        <f>+GX848+GX846+GX844+GX838+GX833</f>
        <v>5400.2816195673668</v>
      </c>
      <c r="GY850" s="17"/>
      <c r="GZ850" s="196"/>
      <c r="HA850" s="196"/>
      <c r="HB850" s="196"/>
      <c r="HC850"/>
      <c r="HD850"/>
      <c r="HE850"/>
      <c r="HF850"/>
      <c r="HG850"/>
      <c r="HH850"/>
      <c r="HI850" s="2"/>
    </row>
    <row r="851" spans="2:217" ht="12.75" hidden="1" customHeight="1" outlineLevel="1" x14ac:dyDescent="0.2">
      <c r="HB851" s="111"/>
    </row>
    <row r="852" spans="2:217" ht="12.75" hidden="1" customHeight="1" outlineLevel="1" x14ac:dyDescent="0.2">
      <c r="B852" s="2" t="s">
        <v>450</v>
      </c>
      <c r="BG852" s="247">
        <f>BG498+BG499+BG501</f>
        <v>4745</v>
      </c>
      <c r="BH852" s="247"/>
      <c r="BI852" s="247">
        <f>BI498+BI499+BI501</f>
        <v>4727</v>
      </c>
      <c r="BJ852" s="247"/>
      <c r="BK852" s="247">
        <f>BK498+BK499+BK501</f>
        <v>4797</v>
      </c>
      <c r="BL852" s="247"/>
      <c r="BM852" s="247">
        <f>BM498+BM499+BM501</f>
        <v>4776</v>
      </c>
      <c r="BN852" s="247"/>
      <c r="BO852" s="247">
        <f>BO498+BO499+BO501</f>
        <v>4939</v>
      </c>
      <c r="BP852" s="247"/>
      <c r="BQ852" s="247">
        <f>BQ498+BQ499+BQ501</f>
        <v>4803</v>
      </c>
      <c r="BR852" s="247"/>
      <c r="BS852" s="247">
        <f>BS498+BS499+BS501</f>
        <v>4373</v>
      </c>
      <c r="BT852" s="247"/>
      <c r="BU852" s="247">
        <f>BU498+BU499+BU501</f>
        <v>3859</v>
      </c>
      <c r="BV852" s="247"/>
      <c r="BW852" s="247">
        <f>BW498+BW499+BW501</f>
        <v>4516</v>
      </c>
      <c r="BX852" s="247"/>
      <c r="BY852" s="247">
        <f>BY498+BY499+BY501</f>
        <v>4777</v>
      </c>
      <c r="BZ852" s="247"/>
      <c r="CA852" s="247">
        <f>CA498+CA499+CA501</f>
        <v>4762</v>
      </c>
      <c r="CB852" s="247"/>
      <c r="CC852" s="247">
        <f>CC498+CC499+CC501</f>
        <v>4960</v>
      </c>
      <c r="CD852" s="247"/>
      <c r="CE852" s="247">
        <f>CE498+CE499+CE501</f>
        <v>5133</v>
      </c>
      <c r="CF852" s="247"/>
      <c r="CG852" s="247">
        <f>CG498+CG499+CG501</f>
        <v>5587</v>
      </c>
      <c r="CH852" s="247"/>
      <c r="CI852" s="247">
        <f>CI498+CI499+CI501</f>
        <v>5646</v>
      </c>
      <c r="CJ852" s="247"/>
      <c r="CK852" s="247">
        <f>CK498+CK499+CK501</f>
        <v>5865</v>
      </c>
      <c r="CL852" s="247"/>
      <c r="CM852" s="247">
        <f>CM498+CM499+CM501</f>
        <v>6931</v>
      </c>
      <c r="CN852" s="247"/>
      <c r="CO852" s="247">
        <f>CO498+CO499+CO501</f>
        <v>7686</v>
      </c>
      <c r="CP852" s="247"/>
      <c r="CQ852" s="247">
        <f>CQ498+CQ499+CQ501</f>
        <v>7353</v>
      </c>
      <c r="CR852" s="247"/>
      <c r="CS852" s="247">
        <f>CS498+CS499+CS501</f>
        <v>7717</v>
      </c>
      <c r="CT852" s="247"/>
      <c r="CU852" s="247">
        <f>CU498+CU499+CU501</f>
        <v>8078</v>
      </c>
      <c r="CV852" s="247"/>
      <c r="CW852" s="247">
        <f>CW498+CW499+CW501</f>
        <v>8820</v>
      </c>
      <c r="CX852" s="247"/>
      <c r="CY852" s="247">
        <f>CY498+CY499+CY501</f>
        <v>10698</v>
      </c>
      <c r="CZ852" s="247"/>
      <c r="DA852" s="247">
        <f>DA498+DA499+DA501</f>
        <v>43542</v>
      </c>
      <c r="DB852" s="247"/>
      <c r="DC852" s="247">
        <f>DC498+DC499+DC501</f>
        <v>9074</v>
      </c>
      <c r="DD852" s="247"/>
      <c r="DE852" s="247">
        <f>DE498+DE499+DE501</f>
        <v>8913</v>
      </c>
      <c r="DF852" s="247"/>
      <c r="DG852" s="247">
        <f>DG498+DG499+DG501</f>
        <v>8004</v>
      </c>
      <c r="DH852" s="247"/>
      <c r="DI852" s="247">
        <f>DI498+DI499+DI501</f>
        <v>8146</v>
      </c>
      <c r="DJ852" s="247"/>
      <c r="DK852" s="247">
        <f>DK498+DK499+DK501</f>
        <v>8018</v>
      </c>
      <c r="DL852" s="247"/>
      <c r="DM852" s="247">
        <f>DM498+DM499+DM501</f>
        <v>8252</v>
      </c>
      <c r="DN852" s="247"/>
      <c r="DO852" s="247">
        <f>DO498+DO499+DO501</f>
        <v>8829</v>
      </c>
      <c r="DP852" s="247"/>
      <c r="DQ852" s="247">
        <f>DQ498+DQ499+DQ501</f>
        <v>12919</v>
      </c>
      <c r="DR852" s="247"/>
      <c r="DS852" s="247">
        <f>DS498+DS499+DS501</f>
        <v>8942</v>
      </c>
      <c r="DT852" s="247"/>
      <c r="DU852" s="247">
        <f>DU498+DU499+DU501</f>
        <v>9664</v>
      </c>
      <c r="DV852" s="247"/>
      <c r="DW852" s="247">
        <f>DW498+DW499+DW501</f>
        <v>8199</v>
      </c>
      <c r="DX852" s="247"/>
      <c r="DY852" s="247">
        <f>DY498+DY499+DY501</f>
        <v>10417</v>
      </c>
      <c r="DZ852" s="247"/>
      <c r="EA852" s="247">
        <f>EA498+EA499+EA501</f>
        <v>8392</v>
      </c>
      <c r="EB852" s="247"/>
      <c r="EC852" s="247">
        <f>EC498+EC499+EC501</f>
        <v>8821</v>
      </c>
      <c r="ED852" s="247"/>
      <c r="EE852" s="247">
        <f>EE498+EE499+EE501</f>
        <v>11871</v>
      </c>
      <c r="EF852" s="247"/>
      <c r="EG852" s="247">
        <f>EG498+EG499+EG501</f>
        <v>10260</v>
      </c>
      <c r="EH852" s="247"/>
      <c r="EI852" s="247">
        <f>EI498+EI499+EI501</f>
        <v>8785</v>
      </c>
      <c r="EJ852" s="247"/>
      <c r="EK852" s="247">
        <f>EK498+EK499+EK501</f>
        <v>9807</v>
      </c>
      <c r="EL852" s="247"/>
      <c r="EM852" s="247">
        <f>EM498+EM499+EM501</f>
        <v>10136</v>
      </c>
      <c r="EN852" s="247"/>
      <c r="EO852" s="247">
        <f>EO498+EO499+EO501</f>
        <v>11912</v>
      </c>
      <c r="EP852" s="247"/>
      <c r="EQ852" s="247">
        <f>EQ498+EQ499+EQ501</f>
        <v>10575.887492557849</v>
      </c>
      <c r="ER852" s="247"/>
      <c r="ES852" s="247">
        <f>ES498+ES499+ES501</f>
        <v>10391.406646692327</v>
      </c>
      <c r="ET852" s="247"/>
      <c r="EU852" s="247">
        <f>EU498+EU499+EU501</f>
        <v>10448.64052575968</v>
      </c>
      <c r="EV852" s="247"/>
      <c r="EW852" s="247">
        <f>EW498+EW499+EW501</f>
        <v>10445.277579908869</v>
      </c>
      <c r="EX852" s="247"/>
      <c r="EY852" s="247"/>
      <c r="EZ852" s="328"/>
      <c r="FA852" s="247"/>
      <c r="FB852" s="247">
        <f>FB498+FB499+FB501</f>
        <v>0</v>
      </c>
      <c r="FC852" s="247"/>
      <c r="FD852" s="247">
        <f>FD498+FD499+FD501</f>
        <v>0</v>
      </c>
      <c r="FE852" s="247"/>
      <c r="FF852" s="247">
        <f>FF498+FF499+FF501</f>
        <v>0</v>
      </c>
      <c r="FG852" s="247"/>
      <c r="FH852" s="247">
        <f>FH498+FH499+FH501</f>
        <v>0</v>
      </c>
      <c r="FI852" s="247"/>
      <c r="FJ852" s="247">
        <f>FJ498+FJ499+FJ501</f>
        <v>11478</v>
      </c>
      <c r="FK852" s="247"/>
      <c r="FL852" s="247">
        <f>FL498+FL499+FL501</f>
        <v>12363</v>
      </c>
      <c r="FM852" s="247"/>
      <c r="FN852" s="247">
        <f>FN498+FN499+FN501</f>
        <v>14080.6</v>
      </c>
      <c r="FO852" s="247"/>
      <c r="FP852" s="247">
        <f>FP498+FP499+FP501</f>
        <v>16102</v>
      </c>
      <c r="FQ852" s="247"/>
      <c r="FR852" s="247">
        <f>FR498+FR499+FR501</f>
        <v>17416</v>
      </c>
      <c r="FS852" s="247"/>
      <c r="FT852" s="247">
        <f>FT498+FT499+FT501</f>
        <v>19202</v>
      </c>
      <c r="FU852" s="247"/>
      <c r="FV852" s="247">
        <f>FV498+FV499+FV501</f>
        <v>18009</v>
      </c>
      <c r="FW852" s="247"/>
      <c r="FX852" s="247">
        <f>FX498+FX499+FX501</f>
        <v>18794</v>
      </c>
      <c r="FY852" s="247"/>
      <c r="FZ852" s="247">
        <f>FZ498+FZ499+FZ501</f>
        <v>22231</v>
      </c>
      <c r="GA852" s="247"/>
      <c r="GB852" s="247">
        <f>GB498+GB499+GB501</f>
        <v>29687</v>
      </c>
      <c r="GC852" s="247"/>
      <c r="GD852" s="247">
        <f>GD498+GD499+GD501</f>
        <v>71138</v>
      </c>
      <c r="GE852" s="247"/>
      <c r="GF852" s="247">
        <f>GF498+GF499+GF501</f>
        <v>34137</v>
      </c>
      <c r="GG852" s="791"/>
      <c r="GH852" s="247">
        <f>GH498+GH499+GH501</f>
        <v>38018</v>
      </c>
      <c r="GI852" s="791"/>
      <c r="GJ852" s="247">
        <f>GJ498+GJ499+GJ501</f>
        <v>37222</v>
      </c>
      <c r="GK852" s="791"/>
      <c r="GL852" s="247">
        <f>GL498+GL499+GL501</f>
        <v>39344</v>
      </c>
      <c r="GM852" s="791"/>
      <c r="GN852" s="247">
        <f>GN498+GN499+GN501</f>
        <v>40640</v>
      </c>
      <c r="GO852" s="791"/>
      <c r="GP852" s="247">
        <f>GP498+GP499+GP501</f>
        <v>41861.212244918723</v>
      </c>
      <c r="GQ852" s="791"/>
      <c r="GR852" s="247">
        <f>GR498+GR499+GR501</f>
        <v>43257.255563497769</v>
      </c>
      <c r="GS852" s="791"/>
      <c r="GT852" s="247">
        <f>GT498+GT499+GT501</f>
        <v>44701.146253655461</v>
      </c>
      <c r="GU852" s="791"/>
      <c r="GV852" s="247">
        <f>GV498+GV499+GV501</f>
        <v>46208.180458451003</v>
      </c>
      <c r="GW852" s="791"/>
      <c r="GX852" s="247">
        <f>GX498+GX499+GX501</f>
        <v>47736.817693487195</v>
      </c>
      <c r="GY852" s="791"/>
      <c r="GZ852" s="247"/>
      <c r="HA852" s="247"/>
      <c r="HB852" s="152"/>
    </row>
    <row r="853" spans="2:217" ht="12.75" hidden="1" customHeight="1" outlineLevel="1" x14ac:dyDescent="0.2">
      <c r="HB853" s="111"/>
    </row>
    <row r="854" spans="2:217" ht="12.75" hidden="1" customHeight="1" outlineLevel="1" x14ac:dyDescent="0.2">
      <c r="B854" s="2" t="s">
        <v>270</v>
      </c>
      <c r="S854" s="247">
        <f>S500</f>
        <v>1236</v>
      </c>
      <c r="U854" s="247">
        <f>U500</f>
        <v>1313</v>
      </c>
      <c r="W854" s="247">
        <f>W500</f>
        <v>1273</v>
      </c>
      <c r="Y854" s="247">
        <f>Y500</f>
        <v>1258</v>
      </c>
      <c r="AA854" s="247">
        <f>AA500</f>
        <v>1079</v>
      </c>
      <c r="AC854" s="247">
        <f>AC500</f>
        <v>1097</v>
      </c>
      <c r="AE854" s="247">
        <f>AE500</f>
        <v>1072</v>
      </c>
      <c r="AG854" s="247">
        <f>AG500</f>
        <v>1083</v>
      </c>
      <c r="AI854" s="247">
        <f>AI500</f>
        <v>1125</v>
      </c>
      <c r="AK854" s="247">
        <f>AK500</f>
        <v>1317</v>
      </c>
      <c r="AM854" s="247">
        <f>AM500</f>
        <v>1356</v>
      </c>
      <c r="AO854" s="247">
        <f>AO500</f>
        <v>1406</v>
      </c>
      <c r="AQ854" s="247">
        <f>AQ500</f>
        <v>1507</v>
      </c>
      <c r="AS854" s="247">
        <f>AS500</f>
        <v>1497</v>
      </c>
      <c r="AU854" s="247">
        <f>AU500</f>
        <v>1569</v>
      </c>
      <c r="AW854" s="247">
        <f>AW500</f>
        <v>1616</v>
      </c>
      <c r="AY854" s="247">
        <f>AY500</f>
        <v>1585</v>
      </c>
      <c r="BA854" s="247">
        <f>BA500</f>
        <v>1675</v>
      </c>
      <c r="BC854" s="247">
        <f>BC500</f>
        <v>1753</v>
      </c>
      <c r="BE854" s="247">
        <f>BE500</f>
        <v>1794</v>
      </c>
      <c r="BG854" s="247">
        <f>BG500</f>
        <v>1790</v>
      </c>
      <c r="BI854" s="247">
        <f>BI500</f>
        <v>1851</v>
      </c>
      <c r="BK854" s="247">
        <f>BK500</f>
        <v>1876</v>
      </c>
      <c r="BM854" s="247">
        <f>BM500</f>
        <v>1926</v>
      </c>
      <c r="BO854" s="247">
        <f>BO500</f>
        <v>1922</v>
      </c>
      <c r="BQ854" s="247">
        <f>BQ500</f>
        <v>1998</v>
      </c>
      <c r="BS854" s="247">
        <f>BS500</f>
        <v>1930</v>
      </c>
      <c r="BU854" s="247">
        <f>BU500</f>
        <v>1981</v>
      </c>
      <c r="BW854" s="247">
        <f>BW500</f>
        <v>2030</v>
      </c>
      <c r="BY854" s="247">
        <f>BY500</f>
        <v>1973</v>
      </c>
      <c r="CA854" s="247">
        <f>CA500</f>
        <v>1990</v>
      </c>
      <c r="CC854" s="247">
        <f>CC500</f>
        <v>1989</v>
      </c>
      <c r="CE854" s="247">
        <f>CE500</f>
        <v>2005</v>
      </c>
      <c r="CG854" s="247">
        <f>CG500</f>
        <v>2019</v>
      </c>
      <c r="CI854" s="247">
        <f>CI500</f>
        <v>2107</v>
      </c>
      <c r="CK854" s="247">
        <f>CK500</f>
        <v>2146</v>
      </c>
      <c r="CM854" s="247">
        <f>CM500</f>
        <v>2216</v>
      </c>
      <c r="CO854" s="247">
        <f>CO500</f>
        <v>2413</v>
      </c>
      <c r="CQ854" s="247">
        <f>CQ500</f>
        <v>2418</v>
      </c>
      <c r="CS854" s="247">
        <f>CS500</f>
        <v>2418</v>
      </c>
      <c r="CU854" s="247">
        <f>CU500</f>
        <v>2413</v>
      </c>
      <c r="CW854" s="247">
        <f>CW500</f>
        <v>2415</v>
      </c>
      <c r="CY854" s="247">
        <f>CY500</f>
        <v>2530</v>
      </c>
      <c r="DA854" s="247">
        <f>DA500</f>
        <v>2609</v>
      </c>
      <c r="DC854" s="247">
        <f>DC500</f>
        <v>2726</v>
      </c>
      <c r="DE854" s="247">
        <f>DE500</f>
        <v>2807</v>
      </c>
      <c r="DG854" s="247">
        <f>DG500</f>
        <v>2779</v>
      </c>
      <c r="DI854" s="247">
        <f>DI500</f>
        <v>2832</v>
      </c>
      <c r="DK854" s="247">
        <f>DK500</f>
        <v>2918</v>
      </c>
      <c r="DM854" s="247">
        <f>DM500</f>
        <v>2861</v>
      </c>
      <c r="DO854" s="247">
        <f>DO500</f>
        <v>2937</v>
      </c>
      <c r="DQ854" s="247">
        <f>DQ500</f>
        <v>2910</v>
      </c>
      <c r="DS854" s="247">
        <f>DS500</f>
        <v>2865</v>
      </c>
      <c r="DU854" s="247">
        <f>DU500</f>
        <v>2836</v>
      </c>
      <c r="DW854" s="247">
        <f>DW500</f>
        <v>2879</v>
      </c>
      <c r="DY854" s="247">
        <f>DY500</f>
        <v>2828</v>
      </c>
      <c r="EA854" s="247">
        <f>EA500</f>
        <v>2900</v>
      </c>
      <c r="EC854" s="247">
        <f>EC500</f>
        <v>2991</v>
      </c>
      <c r="EE854" s="247">
        <f>EE500</f>
        <v>3179</v>
      </c>
      <c r="EG854" s="247">
        <f>EG500</f>
        <v>3160</v>
      </c>
      <c r="EI854" s="247">
        <f>EI500</f>
        <v>3222</v>
      </c>
      <c r="EK854" s="247">
        <f>EK500</f>
        <v>3221</v>
      </c>
      <c r="EM854" s="247">
        <f>EM500</f>
        <v>3225</v>
      </c>
      <c r="EO854" s="247">
        <f>EO500</f>
        <v>3338</v>
      </c>
      <c r="EQ854" s="247">
        <f>EQ500</f>
        <v>3242.9784272266988</v>
      </c>
      <c r="ES854" s="247">
        <f>ES500</f>
        <v>3264.406037382053</v>
      </c>
      <c r="EU854" s="247">
        <f>EU500</f>
        <v>3305.8341886623948</v>
      </c>
      <c r="EW854" s="247">
        <f>EW500</f>
        <v>3337.0055228214142</v>
      </c>
      <c r="FJ854" s="247">
        <f>FJ500</f>
        <v>4264</v>
      </c>
      <c r="FL854" s="247">
        <f>FL500</f>
        <v>4331</v>
      </c>
      <c r="FN854" s="247">
        <f>FN500</f>
        <v>5204</v>
      </c>
      <c r="FP854" s="247">
        <f>FP500</f>
        <v>6189</v>
      </c>
      <c r="FR854" s="247">
        <f>FR500</f>
        <v>6807</v>
      </c>
      <c r="FT854" s="247">
        <f>FT500</f>
        <v>7443</v>
      </c>
      <c r="FV854" s="247">
        <f>FV500</f>
        <v>7843</v>
      </c>
      <c r="FX854" s="247">
        <f>FX500</f>
        <v>7982</v>
      </c>
      <c r="FZ854" s="247">
        <f>FZ500</f>
        <v>8277</v>
      </c>
      <c r="GB854" s="247">
        <f>GB500</f>
        <v>9465</v>
      </c>
      <c r="GD854" s="247">
        <f>GD500</f>
        <v>9967</v>
      </c>
      <c r="GF854" s="247">
        <f>GF500</f>
        <v>11144</v>
      </c>
      <c r="GH854" s="247">
        <f>GH500</f>
        <v>11626</v>
      </c>
      <c r="GJ854" s="247">
        <f>GJ500</f>
        <v>11408</v>
      </c>
      <c r="GL854" s="247">
        <f>GL500</f>
        <v>12230</v>
      </c>
      <c r="GN854" s="247">
        <f>GN500</f>
        <v>13006</v>
      </c>
      <c r="GP854" s="247">
        <f>GP500</f>
        <v>13150.224176092561</v>
      </c>
      <c r="GR854" s="247">
        <f>GR500</f>
        <v>13514.672565439952</v>
      </c>
      <c r="GT854" s="247">
        <f>GT500</f>
        <v>13887.845483147896</v>
      </c>
      <c r="GV854" s="247">
        <f>GV500</f>
        <v>14276.039210039637</v>
      </c>
      <c r="GX854" s="247">
        <f>GX500</f>
        <v>14679.860530966362</v>
      </c>
      <c r="GZ854" s="247"/>
      <c r="HB854" s="111"/>
    </row>
    <row r="855" spans="2:217" ht="12.75" hidden="1" customHeight="1" outlineLevel="1" x14ac:dyDescent="0.2">
      <c r="B855" s="2" t="s">
        <v>668</v>
      </c>
      <c r="S855" s="247">
        <f>S506</f>
        <v>414</v>
      </c>
      <c r="U855" s="247">
        <f>U506</f>
        <v>415</v>
      </c>
      <c r="W855" s="247">
        <f>W506</f>
        <v>434</v>
      </c>
      <c r="Y855" s="247">
        <f>Y506</f>
        <v>444</v>
      </c>
      <c r="AA855" s="247">
        <f>AA506</f>
        <v>418</v>
      </c>
      <c r="AC855" s="247">
        <f>AC506</f>
        <v>421</v>
      </c>
      <c r="AE855" s="247">
        <f>AE506</f>
        <v>424</v>
      </c>
      <c r="AG855" s="247">
        <f>AG506</f>
        <v>428</v>
      </c>
      <c r="AI855" s="247">
        <f>AI506</f>
        <v>434</v>
      </c>
      <c r="AK855" s="247">
        <f>AK506</f>
        <v>593</v>
      </c>
      <c r="AM855" s="247">
        <f>AM506</f>
        <v>589</v>
      </c>
      <c r="AO855" s="247">
        <f>AO506</f>
        <v>608</v>
      </c>
      <c r="AQ855" s="247">
        <f>AQ506</f>
        <v>609</v>
      </c>
      <c r="AS855" s="247">
        <f>AS506</f>
        <v>635</v>
      </c>
      <c r="AU855" s="247">
        <f>AU506</f>
        <v>665</v>
      </c>
      <c r="AW855" s="247">
        <f>AW506</f>
        <v>646</v>
      </c>
      <c r="AY855" s="247">
        <f>AY506</f>
        <v>666</v>
      </c>
      <c r="BA855" s="247">
        <f>BA506</f>
        <v>694</v>
      </c>
      <c r="BC855" s="247">
        <f>BC506</f>
        <v>737</v>
      </c>
      <c r="BE855" s="247">
        <f>BE506</f>
        <v>770</v>
      </c>
      <c r="BG855" s="247">
        <f>BG506</f>
        <v>771</v>
      </c>
      <c r="BI855" s="247">
        <f>BI506</f>
        <v>792</v>
      </c>
      <c r="BK855" s="247">
        <f>BK506</f>
        <v>813</v>
      </c>
      <c r="BM855" s="247">
        <f>BM506</f>
        <v>844</v>
      </c>
      <c r="BO855" s="247">
        <f>BO506</f>
        <v>849</v>
      </c>
      <c r="BQ855" s="247">
        <f>BQ506</f>
        <v>849</v>
      </c>
      <c r="BS855" s="247">
        <f>BS506</f>
        <v>904</v>
      </c>
      <c r="BU855" s="247">
        <f>BU506</f>
        <v>933</v>
      </c>
      <c r="BW855" s="247">
        <f>BW506</f>
        <v>900</v>
      </c>
      <c r="BY855" s="247">
        <f>BY506</f>
        <v>851</v>
      </c>
      <c r="CA855" s="247">
        <f>CA506</f>
        <v>872</v>
      </c>
      <c r="CC855" s="247">
        <f>CC506</f>
        <v>874</v>
      </c>
      <c r="CE855" s="247">
        <f>CE506</f>
        <v>868</v>
      </c>
      <c r="CG855" s="247">
        <f>CG506</f>
        <v>894</v>
      </c>
      <c r="CI855" s="247">
        <f>CI506</f>
        <v>836</v>
      </c>
      <c r="CK855" s="247">
        <f>CK506</f>
        <v>890</v>
      </c>
      <c r="CM855" s="247">
        <f>CM506</f>
        <v>839</v>
      </c>
      <c r="CO855" s="247">
        <f>CO506</f>
        <v>942</v>
      </c>
      <c r="CQ855" s="247">
        <f>CQ506</f>
        <v>1049</v>
      </c>
      <c r="CS855" s="247">
        <f>CS506</f>
        <v>960</v>
      </c>
      <c r="CU855" s="247">
        <f>CU506</f>
        <v>955</v>
      </c>
      <c r="CW855" s="247">
        <f>CW506</f>
        <v>977</v>
      </c>
      <c r="CY855" s="247">
        <f>CY506</f>
        <v>946</v>
      </c>
      <c r="DA855" s="247">
        <f>DA506</f>
        <v>948</v>
      </c>
      <c r="DC855" s="247">
        <f>DC506</f>
        <v>966</v>
      </c>
      <c r="DE855" s="247">
        <f>DE506</f>
        <v>929</v>
      </c>
      <c r="DG855" s="247">
        <f>DG506</f>
        <v>886</v>
      </c>
      <c r="DI855" s="247">
        <f>DI506</f>
        <v>921</v>
      </c>
      <c r="DK855" s="247">
        <f>DK506</f>
        <v>925</v>
      </c>
      <c r="DM855" s="247">
        <f>DM506</f>
        <v>934</v>
      </c>
      <c r="DO855" s="247">
        <f>DO506</f>
        <v>942</v>
      </c>
      <c r="DQ855" s="247">
        <f>DQ506</f>
        <v>919</v>
      </c>
      <c r="DS855" s="247">
        <f>DS506</f>
        <v>884</v>
      </c>
      <c r="DU855" s="247">
        <f>DU506</f>
        <v>907</v>
      </c>
      <c r="DW855" s="247">
        <f>DW506</f>
        <v>915</v>
      </c>
      <c r="DY855" s="247">
        <f>DY506</f>
        <v>879</v>
      </c>
      <c r="EA855" s="247">
        <f>EA506</f>
        <v>907</v>
      </c>
      <c r="EC855" s="247">
        <f>EC506</f>
        <v>914</v>
      </c>
      <c r="EE855" s="247">
        <f>EE506</f>
        <v>932</v>
      </c>
      <c r="EG855" s="247">
        <f>EG506</f>
        <v>945</v>
      </c>
      <c r="EI855" s="247">
        <f>EI506</f>
        <v>920</v>
      </c>
      <c r="EK855" s="247">
        <f>EK506</f>
        <v>953</v>
      </c>
      <c r="EM855" s="247">
        <f>EM506</f>
        <v>927</v>
      </c>
      <c r="EO855" s="247">
        <f>EO506</f>
        <v>929</v>
      </c>
      <c r="EQ855" s="247">
        <f>EQ506</f>
        <v>950.72700720643184</v>
      </c>
      <c r="ES855" s="247">
        <f>ES506</f>
        <v>952.73718868243463</v>
      </c>
      <c r="EU855" s="247">
        <f>EU506</f>
        <v>966.9516749242465</v>
      </c>
      <c r="EW855" s="247">
        <f>EW506</f>
        <v>964.52624410977569</v>
      </c>
      <c r="FJ855" s="247">
        <f>FJ506</f>
        <v>1707</v>
      </c>
      <c r="FL855" s="247">
        <f>FL506</f>
        <v>1691</v>
      </c>
      <c r="FN855" s="247">
        <f>FN506</f>
        <v>2224</v>
      </c>
      <c r="FP855" s="247">
        <f>FP506</f>
        <v>2555</v>
      </c>
      <c r="FR855" s="247">
        <f>FR506</f>
        <v>2867</v>
      </c>
      <c r="FT855" s="247">
        <f>FT506</f>
        <v>3220</v>
      </c>
      <c r="FV855" s="247">
        <f>FV506</f>
        <v>3591</v>
      </c>
      <c r="FX855" s="247">
        <f>FX506</f>
        <v>3497</v>
      </c>
      <c r="FZ855" s="247">
        <f>FZ506</f>
        <v>3488</v>
      </c>
      <c r="GB855" s="247">
        <f>GB506</f>
        <v>3790</v>
      </c>
      <c r="GD855" s="247">
        <f>GD506</f>
        <v>3826</v>
      </c>
      <c r="GF855" s="247">
        <f>GF506</f>
        <v>3702</v>
      </c>
      <c r="GH855" s="247">
        <f>GH506</f>
        <v>3720</v>
      </c>
      <c r="GJ855" s="247">
        <f>GJ506</f>
        <v>3585</v>
      </c>
      <c r="GL855" s="247">
        <f>GL506</f>
        <v>3698</v>
      </c>
      <c r="GN855" s="247">
        <f>GN506</f>
        <v>3729</v>
      </c>
      <c r="GP855" s="247">
        <f>GP506</f>
        <v>3834.9421149228883</v>
      </c>
      <c r="GR855" s="247">
        <f>GR506</f>
        <v>3999.9664165284621</v>
      </c>
      <c r="GT855" s="247">
        <f>GT506</f>
        <v>4180.7361025543205</v>
      </c>
      <c r="GV855" s="247">
        <f>GV506</f>
        <v>4362.7942911314112</v>
      </c>
      <c r="GX855" s="247">
        <f>GX506</f>
        <v>4552.9332977478143</v>
      </c>
      <c r="GZ855" s="247"/>
      <c r="HB855" s="111"/>
    </row>
    <row r="856" spans="2:217" ht="12.75" hidden="1" customHeight="1" outlineLevel="1" x14ac:dyDescent="0.2">
      <c r="B856" s="2" t="s">
        <v>741</v>
      </c>
      <c r="S856" s="247">
        <f>S854-S855</f>
        <v>822</v>
      </c>
      <c r="U856" s="247">
        <f>U854-U855</f>
        <v>898</v>
      </c>
      <c r="W856" s="247">
        <f>W854-W855</f>
        <v>839</v>
      </c>
      <c r="Y856" s="247">
        <f>Y854-Y855</f>
        <v>814</v>
      </c>
      <c r="AA856" s="247">
        <f>AA854-AA855</f>
        <v>661</v>
      </c>
      <c r="AC856" s="247">
        <f>AC854-AC855</f>
        <v>676</v>
      </c>
      <c r="AE856" s="247">
        <f>AE854-AE855</f>
        <v>648</v>
      </c>
      <c r="AG856" s="247">
        <f>AG854-AG855</f>
        <v>655</v>
      </c>
      <c r="AI856" s="247">
        <f>AI854-AI855</f>
        <v>691</v>
      </c>
      <c r="AK856" s="247">
        <f>AK854-AK855</f>
        <v>724</v>
      </c>
      <c r="AM856" s="247">
        <f>AM854-AM855</f>
        <v>767</v>
      </c>
      <c r="AO856" s="247">
        <f>AO854-AO855</f>
        <v>798</v>
      </c>
      <c r="AQ856" s="247">
        <f>AQ854-AQ855</f>
        <v>898</v>
      </c>
      <c r="AS856" s="247">
        <f>AS854-AS855</f>
        <v>862</v>
      </c>
      <c r="AU856" s="247">
        <f>AU854-AU855</f>
        <v>904</v>
      </c>
      <c r="AW856" s="247">
        <f>AW854-AW855</f>
        <v>970</v>
      </c>
      <c r="AY856" s="247">
        <f>AY854-AY855</f>
        <v>919</v>
      </c>
      <c r="BA856" s="247">
        <f>BA854-BA855</f>
        <v>981</v>
      </c>
      <c r="BC856" s="247">
        <f>BC854-BC855</f>
        <v>1016</v>
      </c>
      <c r="BE856" s="247">
        <f>BE854-BE855</f>
        <v>1024</v>
      </c>
      <c r="BG856" s="247">
        <f>BG854-BG855</f>
        <v>1019</v>
      </c>
      <c r="BI856" s="247">
        <f>BI854-BI855</f>
        <v>1059</v>
      </c>
      <c r="BK856" s="247">
        <f>BK854-BK855</f>
        <v>1063</v>
      </c>
      <c r="BM856" s="247">
        <f>BM854-BM855</f>
        <v>1082</v>
      </c>
      <c r="BO856" s="247">
        <f>BO854-BO855</f>
        <v>1073</v>
      </c>
      <c r="BQ856" s="247">
        <f>BQ854-BQ855</f>
        <v>1149</v>
      </c>
      <c r="BS856" s="247">
        <f>BS854-BS855</f>
        <v>1026</v>
      </c>
      <c r="BU856" s="247">
        <f>BU854-BU855</f>
        <v>1048</v>
      </c>
      <c r="BW856" s="247">
        <f>BW854-BW855</f>
        <v>1130</v>
      </c>
      <c r="BY856" s="247">
        <f>BY854-BY855</f>
        <v>1122</v>
      </c>
      <c r="CA856" s="247">
        <f>CA854-CA855</f>
        <v>1118</v>
      </c>
      <c r="CC856" s="247">
        <f>CC854-CC855</f>
        <v>1115</v>
      </c>
      <c r="CE856" s="247">
        <f>CE854-CE855</f>
        <v>1137</v>
      </c>
      <c r="CG856" s="247">
        <f>CG854-CG855</f>
        <v>1125</v>
      </c>
      <c r="CI856" s="247">
        <f>CI854-CI855</f>
        <v>1271</v>
      </c>
      <c r="CK856" s="247">
        <f>CK854-CK855</f>
        <v>1256</v>
      </c>
      <c r="CM856" s="247">
        <f>CM854-CM855</f>
        <v>1377</v>
      </c>
      <c r="CO856" s="247">
        <f>CO854-CO855</f>
        <v>1471</v>
      </c>
      <c r="CQ856" s="247">
        <f>CQ854-CQ855</f>
        <v>1369</v>
      </c>
      <c r="CS856" s="247">
        <f>CS854-CS855</f>
        <v>1458</v>
      </c>
      <c r="CU856" s="247">
        <f>CU854-CU855</f>
        <v>1458</v>
      </c>
      <c r="CW856" s="247">
        <f>CW854-CW855</f>
        <v>1438</v>
      </c>
      <c r="CY856" s="247">
        <f>CY854-CY855</f>
        <v>1584</v>
      </c>
      <c r="DA856" s="247">
        <f>DA854-DA855</f>
        <v>1661</v>
      </c>
      <c r="DC856" s="247">
        <f>DC854-DC855</f>
        <v>1760</v>
      </c>
      <c r="DE856" s="247">
        <f>DE854-DE855</f>
        <v>1878</v>
      </c>
      <c r="DG856" s="247">
        <f>DG854-DG855</f>
        <v>1893</v>
      </c>
      <c r="DI856" s="247">
        <f>DI854-DI855</f>
        <v>1911</v>
      </c>
      <c r="DK856" s="247">
        <f>DK854-DK855</f>
        <v>1993</v>
      </c>
      <c r="DM856" s="247">
        <f>DM854-DM855</f>
        <v>1927</v>
      </c>
      <c r="DO856" s="247">
        <f>DO854-DO855</f>
        <v>1995</v>
      </c>
      <c r="DQ856" s="247">
        <f>DQ854-DQ855</f>
        <v>1991</v>
      </c>
      <c r="DS856" s="247">
        <f>DS854-DS855</f>
        <v>1981</v>
      </c>
      <c r="DU856" s="247">
        <f>DU854-DU855</f>
        <v>1929</v>
      </c>
      <c r="DW856" s="247">
        <f>DW854-DW855</f>
        <v>1964</v>
      </c>
      <c r="DY856" s="247">
        <f>DY854-DY855</f>
        <v>1949</v>
      </c>
      <c r="EA856" s="247">
        <f>EA854-EA855</f>
        <v>1993</v>
      </c>
      <c r="EC856" s="247">
        <f>EC854-EC855</f>
        <v>2077</v>
      </c>
      <c r="EE856" s="247">
        <f>EE854-EE855</f>
        <v>2247</v>
      </c>
      <c r="EG856" s="247">
        <f>EG854-EG855</f>
        <v>2215</v>
      </c>
      <c r="EI856" s="247">
        <f>EI854-EI855</f>
        <v>2302</v>
      </c>
      <c r="EK856" s="247">
        <f>EK854-EK855</f>
        <v>2268</v>
      </c>
      <c r="EM856" s="247">
        <f>EM854-EM855</f>
        <v>2298</v>
      </c>
      <c r="EO856" s="247">
        <f>EO854-EO855</f>
        <v>2409</v>
      </c>
      <c r="EQ856" s="247">
        <f t="shared" ref="EQ856" si="3574">EQ854-EQ855</f>
        <v>2292.2514200202668</v>
      </c>
      <c r="ES856" s="247">
        <f t="shared" ref="ES856" si="3575">ES854-ES855</f>
        <v>2311.6688486996181</v>
      </c>
      <c r="EU856" s="247">
        <f t="shared" ref="EU856" si="3576">EU854-EU855</f>
        <v>2338.8825137381482</v>
      </c>
      <c r="EW856" s="247">
        <f t="shared" ref="EW856" si="3577">EW854-EW855</f>
        <v>2372.4792787116385</v>
      </c>
      <c r="FJ856" s="247">
        <f>FJ854-FJ855</f>
        <v>2557</v>
      </c>
      <c r="FL856" s="247">
        <f>FL854-FL855</f>
        <v>2640</v>
      </c>
      <c r="FN856" s="247">
        <f>FN854-FN855</f>
        <v>2980</v>
      </c>
      <c r="FP856" s="247">
        <f>FP854-FP855</f>
        <v>3634</v>
      </c>
      <c r="FR856" s="247">
        <f>FR854-FR855</f>
        <v>3940</v>
      </c>
      <c r="FT856" s="247">
        <f>FT854-FT855</f>
        <v>4223</v>
      </c>
      <c r="FV856" s="247">
        <f>FV854-FV855</f>
        <v>4252</v>
      </c>
      <c r="FX856" s="247">
        <f>FX854-FX855</f>
        <v>4485</v>
      </c>
      <c r="FZ856" s="247">
        <f>FZ854-FZ855</f>
        <v>4789</v>
      </c>
      <c r="GB856" s="247">
        <f>GB854-GB855</f>
        <v>5675</v>
      </c>
      <c r="GD856" s="247">
        <f>GD854-GD855</f>
        <v>6141</v>
      </c>
      <c r="GF856" s="247">
        <f>GF854-GF855</f>
        <v>7442</v>
      </c>
      <c r="GH856" s="247">
        <f>GH854-GH855</f>
        <v>7906</v>
      </c>
      <c r="GJ856" s="247">
        <f>GJ854-GJ855</f>
        <v>7823</v>
      </c>
      <c r="GL856" s="247">
        <f>GL854-GL855</f>
        <v>8532</v>
      </c>
      <c r="GN856" s="247">
        <f>GN854-GN855</f>
        <v>9277</v>
      </c>
      <c r="GP856" s="247">
        <f>GP854-GP855</f>
        <v>9315.2820611696734</v>
      </c>
      <c r="GR856" s="247">
        <f>GR854-GR855</f>
        <v>9514.7061489114894</v>
      </c>
      <c r="GT856" s="247">
        <f>GT854-GT855</f>
        <v>9707.1093805935743</v>
      </c>
      <c r="GV856" s="247">
        <f>GV854-GV855</f>
        <v>9913.2449189082254</v>
      </c>
      <c r="GX856" s="247">
        <f>GX854-GX855</f>
        <v>10126.927233218546</v>
      </c>
      <c r="GZ856" s="247"/>
      <c r="HB856" s="111"/>
    </row>
    <row r="857" spans="2:217" ht="12.75" hidden="1" customHeight="1" outlineLevel="1" x14ac:dyDescent="0.2">
      <c r="HB857" s="111"/>
    </row>
    <row r="858" spans="2:217" ht="12.75" hidden="1" customHeight="1" outlineLevel="1" x14ac:dyDescent="0.2">
      <c r="B858" s="2" t="s">
        <v>742</v>
      </c>
      <c r="S858" s="247">
        <f>S502</f>
        <v>4957</v>
      </c>
      <c r="U858" s="247">
        <f>U502</f>
        <v>4571</v>
      </c>
      <c r="W858" s="247">
        <f>W502</f>
        <v>4536</v>
      </c>
      <c r="Y858" s="247">
        <f>Y502</f>
        <v>4624</v>
      </c>
      <c r="AA858" s="247">
        <f>AA502</f>
        <v>3944</v>
      </c>
      <c r="AC858" s="247">
        <f>AC502</f>
        <v>4015</v>
      </c>
      <c r="AE858" s="247">
        <f>AE502</f>
        <v>4092</v>
      </c>
      <c r="AG858" s="247">
        <f>AG502</f>
        <v>4240</v>
      </c>
      <c r="AI858" s="247">
        <f>AI502</f>
        <v>4445</v>
      </c>
      <c r="AK858" s="247">
        <f>AK502</f>
        <v>4771.6000000000004</v>
      </c>
      <c r="AM858" s="247">
        <f>AM502</f>
        <v>4795</v>
      </c>
      <c r="AO858" s="247">
        <f>AO502</f>
        <v>4939</v>
      </c>
      <c r="AQ858" s="247">
        <f>AQ502</f>
        <v>5429</v>
      </c>
      <c r="AS858" s="247">
        <f>AS502</f>
        <v>5397</v>
      </c>
      <c r="AU858" s="247">
        <f>AU502</f>
        <v>5710</v>
      </c>
      <c r="AW858" s="247">
        <f>AW502</f>
        <v>5393</v>
      </c>
      <c r="AY858" s="247">
        <f>AY502</f>
        <v>5668</v>
      </c>
      <c r="BA858" s="247">
        <f>BA502</f>
        <v>5833</v>
      </c>
      <c r="BC858" s="247">
        <f>BC502</f>
        <v>5867</v>
      </c>
      <c r="BE858" s="247">
        <f>BE502</f>
        <v>6274</v>
      </c>
      <c r="BG858" s="247">
        <f>BG502</f>
        <v>6535</v>
      </c>
      <c r="BI858" s="247">
        <f>BI502</f>
        <v>6578</v>
      </c>
      <c r="BK858" s="247">
        <f>BK502</f>
        <v>6673</v>
      </c>
      <c r="BM858" s="247">
        <f>BM502</f>
        <v>6702</v>
      </c>
      <c r="BO858" s="247">
        <f>BO502</f>
        <v>6861</v>
      </c>
      <c r="BQ858" s="247">
        <f>BQ502</f>
        <v>6801</v>
      </c>
      <c r="BS858" s="247">
        <f>BS502</f>
        <v>6303</v>
      </c>
      <c r="BU858" s="247">
        <f>BU502</f>
        <v>5840</v>
      </c>
      <c r="BW858" s="247">
        <f>BW502</f>
        <v>6546</v>
      </c>
      <c r="BY858" s="247">
        <f>BY502</f>
        <v>6750</v>
      </c>
      <c r="CA858" s="247">
        <f>CA502</f>
        <v>6752</v>
      </c>
      <c r="CC858" s="247">
        <f>CC502</f>
        <v>6949</v>
      </c>
      <c r="CE858" s="247">
        <f>CE502</f>
        <v>7138</v>
      </c>
      <c r="CG858" s="247">
        <f>CG502</f>
        <v>7606</v>
      </c>
      <c r="CI858" s="247">
        <f>CI502</f>
        <v>7753</v>
      </c>
      <c r="CK858" s="247">
        <f>CK502</f>
        <v>8011</v>
      </c>
      <c r="CM858" s="247">
        <f>CM502</f>
        <v>9147</v>
      </c>
      <c r="CO858" s="247">
        <f>CO502</f>
        <v>10099</v>
      </c>
      <c r="CQ858" s="247">
        <f>CQ502</f>
        <v>9771</v>
      </c>
      <c r="CS858" s="247">
        <f>CS502</f>
        <v>10135</v>
      </c>
      <c r="CU858" s="247">
        <f>CU502</f>
        <v>10491</v>
      </c>
      <c r="CW858" s="247">
        <f>CW502</f>
        <v>11235</v>
      </c>
      <c r="CY858" s="247">
        <f>CY502</f>
        <v>13228</v>
      </c>
      <c r="DA858" s="247">
        <f>DA502</f>
        <v>46151</v>
      </c>
      <c r="DC858" s="247">
        <f>DC502</f>
        <v>11800</v>
      </c>
      <c r="DE858" s="247">
        <f>DE502</f>
        <v>11720</v>
      </c>
      <c r="DG858" s="247">
        <f>DG502</f>
        <v>10783</v>
      </c>
      <c r="DI858" s="247">
        <f>DI502</f>
        <v>10978</v>
      </c>
      <c r="DK858" s="247">
        <f>DK502</f>
        <v>10936</v>
      </c>
      <c r="DM858" s="247">
        <f>DM502</f>
        <v>11113</v>
      </c>
      <c r="DO858" s="247">
        <f>DO502</f>
        <v>11766</v>
      </c>
      <c r="DQ858" s="247">
        <f>DQ502</f>
        <v>15829</v>
      </c>
      <c r="DS858" s="247">
        <f>DS502</f>
        <v>11807</v>
      </c>
      <c r="DU858" s="247">
        <f>DU502</f>
        <v>12500</v>
      </c>
      <c r="DW858" s="247">
        <f>DW502</f>
        <v>11078</v>
      </c>
      <c r="DY858" s="247">
        <f>DY502</f>
        <v>13245</v>
      </c>
      <c r="EA858" s="247">
        <f>EA502</f>
        <v>11292</v>
      </c>
      <c r="EC858" s="247">
        <f>EC502</f>
        <v>11812</v>
      </c>
      <c r="EE858" s="247">
        <f>EE502</f>
        <v>15050</v>
      </c>
      <c r="EG858" s="247">
        <f>EG502</f>
        <v>13420</v>
      </c>
      <c r="EI858" s="247">
        <f>EI502</f>
        <v>12007</v>
      </c>
      <c r="EK858" s="247">
        <f>EK502</f>
        <v>13028</v>
      </c>
      <c r="EM858" s="247">
        <f>EM502</f>
        <v>13361</v>
      </c>
      <c r="EO858" s="247">
        <f>EO502</f>
        <v>15250</v>
      </c>
      <c r="EQ858" s="247">
        <f>EQ502</f>
        <v>13818.865919784548</v>
      </c>
      <c r="ES858" s="247">
        <f>ES502</f>
        <v>13655.812684074379</v>
      </c>
      <c r="EU858" s="247">
        <f>EU502</f>
        <v>13754.474714422075</v>
      </c>
      <c r="EW858" s="247">
        <f>EW502</f>
        <v>13782.283102730282</v>
      </c>
      <c r="FJ858" s="247">
        <f>FJ502</f>
        <v>15742</v>
      </c>
      <c r="FL858" s="247">
        <f>FL502</f>
        <v>16694</v>
      </c>
      <c r="FN858" s="247">
        <f>FN502</f>
        <v>19284.599999999999</v>
      </c>
      <c r="FP858" s="247">
        <f>FP502</f>
        <v>22291</v>
      </c>
      <c r="FR858" s="247">
        <f>FR502</f>
        <v>24223</v>
      </c>
      <c r="FT858" s="247">
        <f>FT502</f>
        <v>26645</v>
      </c>
      <c r="FV858" s="247">
        <f>FV502</f>
        <v>25852</v>
      </c>
      <c r="FX858" s="247">
        <f>FX502</f>
        <v>26776</v>
      </c>
      <c r="FZ858" s="247">
        <f>FZ502</f>
        <v>30508</v>
      </c>
      <c r="GB858" s="247">
        <f>GB502</f>
        <v>39152</v>
      </c>
      <c r="GD858" s="247">
        <f>GD502</f>
        <v>81105</v>
      </c>
      <c r="GF858" s="247">
        <f>GF502</f>
        <v>45281</v>
      </c>
      <c r="GH858" s="247">
        <f>GH502</f>
        <v>49644</v>
      </c>
      <c r="GJ858" s="247">
        <f>GJ502</f>
        <v>48630</v>
      </c>
      <c r="GL858" s="247">
        <f>GL502</f>
        <v>51574</v>
      </c>
      <c r="GN858" s="247">
        <f>GN502</f>
        <v>53646</v>
      </c>
      <c r="GP858" s="247">
        <f>GP502</f>
        <v>55011.436421011284</v>
      </c>
      <c r="GR858" s="247">
        <f>GR502</f>
        <v>56771.928128937718</v>
      </c>
      <c r="GT858" s="247">
        <f>GT502</f>
        <v>58588.991736803357</v>
      </c>
      <c r="GV858" s="247">
        <f>GV502</f>
        <v>60484.219668490638</v>
      </c>
      <c r="GX858" s="247">
        <f>GX502</f>
        <v>62416.678224453557</v>
      </c>
      <c r="GZ858" s="247"/>
      <c r="HB858" s="111"/>
    </row>
    <row r="859" spans="2:217" ht="12.75" hidden="1" customHeight="1" outlineLevel="1" x14ac:dyDescent="0.2">
      <c r="B859" s="2" t="s">
        <v>743</v>
      </c>
      <c r="S859" s="247">
        <f>S858-S855</f>
        <v>4543</v>
      </c>
      <c r="U859" s="247">
        <f>U858-U855</f>
        <v>4156</v>
      </c>
      <c r="W859" s="247">
        <f>W858-W855</f>
        <v>4102</v>
      </c>
      <c r="Y859" s="247">
        <f>Y858-Y855</f>
        <v>4180</v>
      </c>
      <c r="AA859" s="247">
        <f>AA858-AA855</f>
        <v>3526</v>
      </c>
      <c r="AC859" s="247">
        <f>AC858-AC855</f>
        <v>3594</v>
      </c>
      <c r="AE859" s="247">
        <f>AE858-AE855</f>
        <v>3668</v>
      </c>
      <c r="AG859" s="247">
        <f>AG858-AG855</f>
        <v>3812</v>
      </c>
      <c r="AI859" s="247">
        <f>AI858-AI855</f>
        <v>4011</v>
      </c>
      <c r="AK859" s="247">
        <f>AK858-AK855</f>
        <v>4178.6000000000004</v>
      </c>
      <c r="AM859" s="247">
        <f>AM858-AM855</f>
        <v>4206</v>
      </c>
      <c r="AO859" s="247">
        <f>AO858-AO855</f>
        <v>4331</v>
      </c>
      <c r="AQ859" s="247">
        <f>AQ858-AQ855</f>
        <v>4820</v>
      </c>
      <c r="AS859" s="247">
        <f>AS858-AS855</f>
        <v>4762</v>
      </c>
      <c r="AU859" s="247">
        <f>AU858-AU855</f>
        <v>5045</v>
      </c>
      <c r="AW859" s="247">
        <f>AW858-AW855</f>
        <v>4747</v>
      </c>
      <c r="AY859" s="247">
        <f>AY858-AY855</f>
        <v>5002</v>
      </c>
      <c r="BA859" s="247">
        <f>BA858-BA855</f>
        <v>5139</v>
      </c>
      <c r="BC859" s="247">
        <f>BC858-BC855</f>
        <v>5130</v>
      </c>
      <c r="BE859" s="247">
        <f>BE858-BE855</f>
        <v>5504</v>
      </c>
      <c r="BG859" s="247">
        <f>BG858-BG855</f>
        <v>5764</v>
      </c>
      <c r="BI859" s="247">
        <f>BI858-BI855</f>
        <v>5786</v>
      </c>
      <c r="BK859" s="247">
        <f>BK858-BK855</f>
        <v>5860</v>
      </c>
      <c r="BM859" s="247">
        <f>BM858-BM855</f>
        <v>5858</v>
      </c>
      <c r="BO859" s="247">
        <f>BO858-BO855</f>
        <v>6012</v>
      </c>
      <c r="BQ859" s="247">
        <f>BQ858-BQ855</f>
        <v>5952</v>
      </c>
      <c r="BS859" s="247">
        <f>BS858-BS855</f>
        <v>5399</v>
      </c>
      <c r="BU859" s="247">
        <f>BU858-BU855</f>
        <v>4907</v>
      </c>
      <c r="BW859" s="247">
        <f>BW858-BW855</f>
        <v>5646</v>
      </c>
      <c r="BY859" s="247">
        <f>BY858-BY855</f>
        <v>5899</v>
      </c>
      <c r="CA859" s="247">
        <f>CA858-CA855</f>
        <v>5880</v>
      </c>
      <c r="CC859" s="247">
        <f>CC858-CC855</f>
        <v>6075</v>
      </c>
      <c r="CE859" s="247">
        <f>CE858-CE855</f>
        <v>6270</v>
      </c>
      <c r="CG859" s="247">
        <f>CG858-CG855</f>
        <v>6712</v>
      </c>
      <c r="CI859" s="247">
        <f>CI858-CI855</f>
        <v>6917</v>
      </c>
      <c r="CK859" s="247">
        <f>CK858-CK855</f>
        <v>7121</v>
      </c>
      <c r="CM859" s="247">
        <f>CM858-CM855</f>
        <v>8308</v>
      </c>
      <c r="CO859" s="247">
        <f>CO858-CO855</f>
        <v>9157</v>
      </c>
      <c r="CQ859" s="247">
        <f>CQ858-CQ855</f>
        <v>8722</v>
      </c>
      <c r="CS859" s="247">
        <f>CS858-CS855</f>
        <v>9175</v>
      </c>
      <c r="CU859" s="247">
        <f>CU858-CU855</f>
        <v>9536</v>
      </c>
      <c r="CW859" s="247">
        <f>CW858-CW855</f>
        <v>10258</v>
      </c>
      <c r="CY859" s="247">
        <f>CY858-CY855</f>
        <v>12282</v>
      </c>
      <c r="DA859" s="247">
        <f>DA858-DA855</f>
        <v>45203</v>
      </c>
      <c r="DC859" s="247">
        <f>DC858-DC855</f>
        <v>10834</v>
      </c>
      <c r="DE859" s="247">
        <f>DE858-DE855</f>
        <v>10791</v>
      </c>
      <c r="DG859" s="247">
        <f>DG858-DG855</f>
        <v>9897</v>
      </c>
      <c r="DI859" s="247">
        <f>DI858-DI855</f>
        <v>10057</v>
      </c>
      <c r="DK859" s="247">
        <f>DK858-DK855</f>
        <v>10011</v>
      </c>
      <c r="DM859" s="247">
        <f>DM858-DM855</f>
        <v>10179</v>
      </c>
      <c r="DO859" s="247">
        <f>DO858-DO855</f>
        <v>10824</v>
      </c>
      <c r="DQ859" s="247">
        <f>DQ858-DQ855</f>
        <v>14910</v>
      </c>
      <c r="DS859" s="247">
        <f>DS858-DS855</f>
        <v>10923</v>
      </c>
      <c r="DU859" s="247">
        <f>DU858-DU855</f>
        <v>11593</v>
      </c>
      <c r="DW859" s="247">
        <f>DW858-DW855</f>
        <v>10163</v>
      </c>
      <c r="DY859" s="247">
        <f>DY858-DY855</f>
        <v>12366</v>
      </c>
      <c r="EA859" s="247">
        <f>EA858-EA855</f>
        <v>10385</v>
      </c>
      <c r="EC859" s="247">
        <f>EC858-EC855</f>
        <v>10898</v>
      </c>
      <c r="EE859" s="247">
        <f>EE858-EE855</f>
        <v>14118</v>
      </c>
      <c r="EG859" s="247">
        <f>EG858-EG855</f>
        <v>12475</v>
      </c>
      <c r="EI859" s="247">
        <f>EI858-EI855</f>
        <v>11087</v>
      </c>
      <c r="EK859" s="247">
        <f>EK858-EK855</f>
        <v>12075</v>
      </c>
      <c r="EM859" s="247">
        <f>EM858-EM855</f>
        <v>12434</v>
      </c>
      <c r="EO859" s="247">
        <f>EO858-EO855</f>
        <v>14321</v>
      </c>
      <c r="EQ859" s="247">
        <f t="shared" ref="EQ859" si="3578">EQ858-EQ855</f>
        <v>12868.138912578117</v>
      </c>
      <c r="ES859" s="247">
        <f t="shared" ref="ES859" si="3579">ES858-ES855</f>
        <v>12703.075495391944</v>
      </c>
      <c r="EU859" s="247">
        <f t="shared" ref="EU859" si="3580">EU858-EU855</f>
        <v>12787.523039497828</v>
      </c>
      <c r="EW859" s="247">
        <f t="shared" ref="EW859" si="3581">EW858-EW855</f>
        <v>12817.756858620505</v>
      </c>
      <c r="FJ859" s="247">
        <f>FJ858-FJ855</f>
        <v>14035</v>
      </c>
      <c r="FL859" s="247">
        <f>FL858-FL855</f>
        <v>15003</v>
      </c>
      <c r="FN859" s="247">
        <f>FN858-FN855</f>
        <v>17060.599999999999</v>
      </c>
      <c r="FP859" s="247">
        <f>FP858-FP855</f>
        <v>19736</v>
      </c>
      <c r="FR859" s="247">
        <f>FR858-FR855</f>
        <v>21356</v>
      </c>
      <c r="FT859" s="247">
        <f>FT858-FT855</f>
        <v>23425</v>
      </c>
      <c r="FV859" s="247">
        <f>FV858-FV855</f>
        <v>22261</v>
      </c>
      <c r="FX859" s="247">
        <f>FX858-FX855</f>
        <v>23279</v>
      </c>
      <c r="FZ859" s="247">
        <f>FZ858-FZ855</f>
        <v>27020</v>
      </c>
      <c r="GB859" s="247">
        <f>GB858-GB855</f>
        <v>35362</v>
      </c>
      <c r="GD859" s="247">
        <f>GD858-GD855</f>
        <v>77279</v>
      </c>
      <c r="GF859" s="247">
        <f>GF858-GF855</f>
        <v>41579</v>
      </c>
      <c r="GH859" s="247">
        <f>GH858-GH855</f>
        <v>45924</v>
      </c>
      <c r="GJ859" s="247">
        <f>GJ858-GJ855</f>
        <v>45045</v>
      </c>
      <c r="GL859" s="247">
        <f>GL858-GL855</f>
        <v>47876</v>
      </c>
      <c r="GN859" s="247">
        <f>GN858-GN855</f>
        <v>49917</v>
      </c>
      <c r="GP859" s="247">
        <f>GP858-GP855</f>
        <v>51176.494306088396</v>
      </c>
      <c r="GR859" s="247">
        <f>GR858-GR855</f>
        <v>52771.961712409255</v>
      </c>
      <c r="GT859" s="247">
        <f>GT858-GT855</f>
        <v>54408.255634249035</v>
      </c>
      <c r="GV859" s="247">
        <f>GV858-GV855</f>
        <v>56121.425377359228</v>
      </c>
      <c r="GX859" s="247">
        <f>GX858-GX855</f>
        <v>57863.744926705745</v>
      </c>
      <c r="GZ859" s="247"/>
      <c r="HB859" s="111"/>
    </row>
    <row r="860" spans="2:217" ht="12.75" hidden="1" customHeight="1" outlineLevel="1" x14ac:dyDescent="0.2">
      <c r="HB860" s="111"/>
    </row>
    <row r="861" spans="2:217" ht="12.75" customHeight="1" collapsed="1" x14ac:dyDescent="0.2"/>
    <row r="862" spans="2:217" s="295" customFormat="1" ht="12.75" customHeight="1" x14ac:dyDescent="0.2">
      <c r="B862" s="291" t="s">
        <v>612</v>
      </c>
      <c r="C862" s="292"/>
      <c r="D862" s="293"/>
      <c r="E862" s="292"/>
      <c r="F862" s="293"/>
      <c r="G862" s="292"/>
      <c r="H862" s="293"/>
      <c r="I862" s="292"/>
      <c r="J862" s="293"/>
      <c r="K862" s="292"/>
      <c r="L862" s="293"/>
      <c r="M862" s="292"/>
      <c r="N862" s="293"/>
      <c r="O862" s="292"/>
      <c r="P862" s="293"/>
      <c r="Q862" s="292"/>
      <c r="R862" s="293"/>
      <c r="S862" s="292"/>
      <c r="T862" s="293"/>
      <c r="U862" s="292"/>
      <c r="V862" s="293"/>
      <c r="W862" s="292"/>
      <c r="X862" s="293"/>
      <c r="Y862" s="292"/>
      <c r="Z862" s="293"/>
      <c r="AA862" s="292"/>
      <c r="AB862" s="293"/>
      <c r="AC862" s="292"/>
      <c r="AD862" s="293"/>
      <c r="AE862" s="292"/>
      <c r="AF862" s="293"/>
      <c r="AG862" s="292"/>
      <c r="AH862" s="293"/>
      <c r="AI862" s="292"/>
      <c r="AJ862" s="293"/>
      <c r="AK862" s="292"/>
      <c r="AL862" s="293"/>
      <c r="AM862" s="292"/>
      <c r="AN862" s="293"/>
      <c r="AO862" s="292"/>
      <c r="AP862" s="293"/>
      <c r="AQ862" s="292"/>
      <c r="AR862" s="293"/>
      <c r="AS862" s="292"/>
      <c r="AT862" s="293"/>
      <c r="AU862" s="292"/>
      <c r="AV862" s="293"/>
      <c r="AW862" s="292"/>
      <c r="AX862" s="293"/>
      <c r="AY862" s="292"/>
      <c r="AZ862" s="293"/>
      <c r="BA862" s="292"/>
      <c r="BB862" s="293"/>
      <c r="BC862" s="292"/>
      <c r="BD862" s="293"/>
      <c r="BE862" s="292"/>
      <c r="BF862" s="293"/>
      <c r="BG862" s="292"/>
      <c r="BH862" s="293"/>
      <c r="BI862" s="292"/>
      <c r="BJ862" s="293"/>
      <c r="BK862" s="292"/>
      <c r="BL862" s="293"/>
      <c r="BM862" s="292"/>
      <c r="BN862" s="293"/>
      <c r="BO862" s="292"/>
      <c r="BP862" s="293"/>
      <c r="BQ862" s="294"/>
      <c r="BR862" s="294"/>
      <c r="BS862" s="294"/>
      <c r="BT862" s="293"/>
      <c r="BU862" s="294"/>
      <c r="BV862" s="293"/>
      <c r="BW862" s="294"/>
      <c r="BX862" s="293"/>
      <c r="BY862" s="294"/>
      <c r="BZ862" s="293"/>
      <c r="CA862" s="294"/>
      <c r="CB862" s="293"/>
      <c r="CC862" s="294"/>
      <c r="CD862" s="293"/>
      <c r="CE862" s="294"/>
      <c r="CF862" s="293"/>
      <c r="CG862" s="294"/>
      <c r="CH862" s="293"/>
      <c r="CI862" s="294"/>
      <c r="CJ862" s="293"/>
      <c r="CK862" s="294"/>
      <c r="CL862" s="293"/>
      <c r="CM862" s="294"/>
      <c r="CN862" s="293"/>
      <c r="CO862" s="294"/>
      <c r="CP862" s="293"/>
      <c r="CQ862" s="294"/>
      <c r="CR862" s="293"/>
      <c r="CS862" s="294"/>
      <c r="CT862" s="293"/>
      <c r="CU862" s="294"/>
      <c r="CV862" s="293"/>
      <c r="CW862" s="294"/>
      <c r="CX862" s="293"/>
      <c r="CY862" s="294"/>
      <c r="CZ862" s="293"/>
      <c r="DA862" s="294"/>
      <c r="DB862" s="293"/>
      <c r="DC862" s="294"/>
      <c r="DD862" s="293"/>
      <c r="DE862" s="294"/>
      <c r="DF862" s="293"/>
      <c r="DG862" s="294"/>
      <c r="DH862" s="293"/>
      <c r="DI862" s="294"/>
      <c r="DJ862" s="293"/>
      <c r="DK862" s="294"/>
      <c r="DL862" s="293"/>
      <c r="DM862" s="294"/>
      <c r="DN862" s="293"/>
      <c r="DO862" s="294"/>
      <c r="DP862" s="293"/>
      <c r="DQ862" s="294"/>
      <c r="DR862" s="293"/>
      <c r="DS862" s="294"/>
      <c r="DT862" s="293"/>
      <c r="DU862" s="294"/>
      <c r="DV862" s="293"/>
      <c r="DW862" s="292"/>
      <c r="DX862" s="293"/>
      <c r="DY862" s="292"/>
      <c r="DZ862" s="293"/>
      <c r="EA862" s="292"/>
      <c r="EB862" s="293"/>
      <c r="EC862" s="292"/>
      <c r="ED862" s="293"/>
      <c r="EE862" s="292"/>
      <c r="EF862" s="293"/>
      <c r="EG862" s="292"/>
      <c r="EH862" s="293"/>
      <c r="EI862" s="292"/>
      <c r="EJ862" s="293"/>
      <c r="EK862" s="292"/>
      <c r="EL862" s="293"/>
      <c r="EM862" s="292"/>
      <c r="EN862" s="293"/>
      <c r="EO862" s="292"/>
      <c r="EP862" s="293"/>
      <c r="EQ862" s="292"/>
      <c r="ER862" s="293"/>
      <c r="ES862" s="292"/>
      <c r="ET862" s="293"/>
      <c r="EU862" s="292"/>
      <c r="EV862" s="293"/>
      <c r="EW862" s="292"/>
      <c r="EX862" s="293"/>
      <c r="EY862" s="293"/>
      <c r="EZ862" s="299"/>
      <c r="FA862" s="293"/>
      <c r="FB862" s="292"/>
      <c r="FC862" s="293"/>
      <c r="FD862" s="292"/>
      <c r="FE862" s="293"/>
      <c r="FF862" s="292"/>
      <c r="FG862" s="293"/>
      <c r="FH862" s="292"/>
      <c r="FI862" s="293"/>
      <c r="FJ862" s="292"/>
      <c r="FK862" s="293"/>
      <c r="FL862" s="292"/>
      <c r="FM862" s="293"/>
      <c r="FN862" s="292"/>
      <c r="FO862" s="293"/>
      <c r="FP862" s="292"/>
      <c r="FQ862" s="293"/>
      <c r="FR862" s="294"/>
      <c r="FS862" s="293"/>
      <c r="FT862" s="294"/>
      <c r="FU862" s="293"/>
      <c r="FV862" s="294"/>
      <c r="FW862" s="293"/>
      <c r="FX862" s="294"/>
      <c r="FY862" s="293"/>
      <c r="FZ862" s="294"/>
      <c r="GA862" s="293"/>
      <c r="GB862" s="294"/>
      <c r="GC862" s="293"/>
      <c r="GD862" s="294"/>
      <c r="GE862" s="293"/>
      <c r="GF862" s="294"/>
      <c r="GG862" s="293"/>
      <c r="GH862" s="294"/>
      <c r="GI862" s="293"/>
      <c r="GJ862" s="294"/>
      <c r="GK862" s="293"/>
      <c r="GL862" s="294"/>
      <c r="GM862" s="293"/>
      <c r="GN862" s="294"/>
      <c r="GO862" s="293"/>
      <c r="GP862" s="294"/>
      <c r="GQ862" s="293"/>
      <c r="GR862" s="292"/>
      <c r="GS862" s="293"/>
      <c r="GT862" s="292"/>
      <c r="GU862" s="293"/>
      <c r="GV862" s="292"/>
      <c r="GW862" s="293"/>
      <c r="GX862" s="292"/>
      <c r="GY862" s="293"/>
      <c r="GZ862" s="293"/>
      <c r="HA862" s="293"/>
      <c r="HB862" s="293"/>
      <c r="HC862"/>
      <c r="HD862"/>
      <c r="HE862"/>
      <c r="HF862"/>
      <c r="HG862"/>
      <c r="HH862"/>
      <c r="HI862" s="290"/>
    </row>
    <row r="863" spans="2:217" s="22" customFormat="1" ht="12.75" hidden="1" customHeight="1" outlineLevel="1" x14ac:dyDescent="0.2">
      <c r="B863" s="24"/>
      <c r="C863" s="25"/>
      <c r="D863" s="25"/>
      <c r="E863" s="26"/>
      <c r="F863" s="26"/>
      <c r="G863" s="26"/>
      <c r="H863" s="26"/>
      <c r="I863" s="26"/>
      <c r="J863" s="26"/>
      <c r="K863" s="26"/>
      <c r="L863" s="26"/>
      <c r="M863" s="26"/>
      <c r="N863" s="25"/>
      <c r="O863" s="26"/>
      <c r="P863" s="25"/>
      <c r="Q863" s="26"/>
      <c r="R863" s="25"/>
      <c r="S863" s="26"/>
      <c r="T863" s="25"/>
      <c r="U863" s="26"/>
      <c r="V863" s="25"/>
      <c r="W863" s="26"/>
      <c r="X863" s="25"/>
      <c r="Y863" s="26"/>
      <c r="Z863" s="25"/>
      <c r="AA863" s="27"/>
      <c r="AB863" s="25"/>
      <c r="AC863" s="26"/>
      <c r="AD863" s="25"/>
      <c r="AE863" s="27"/>
      <c r="AF863" s="25"/>
      <c r="AG863" s="27"/>
      <c r="AH863" s="25"/>
      <c r="AI863" s="27"/>
      <c r="AJ863" s="25"/>
      <c r="AK863" s="27"/>
      <c r="AL863" s="25"/>
      <c r="AM863" s="27"/>
      <c r="AN863" s="25"/>
      <c r="AO863" s="27"/>
      <c r="AP863" s="25"/>
      <c r="AQ863" s="27"/>
      <c r="AR863" s="27"/>
      <c r="AS863" s="27"/>
      <c r="AT863" s="25"/>
      <c r="AU863" s="27"/>
      <c r="AV863" s="25"/>
      <c r="AW863" s="27"/>
      <c r="AX863" s="25"/>
      <c r="AY863" s="28"/>
      <c r="AZ863" s="29"/>
      <c r="BA863" s="28"/>
      <c r="BB863" s="29"/>
      <c r="BC863" s="28"/>
      <c r="BD863" s="29"/>
      <c r="BE863" s="28"/>
      <c r="BF863" s="29"/>
      <c r="BG863" s="28"/>
      <c r="BH863" s="29"/>
      <c r="BI863" s="28"/>
      <c r="BJ863" s="30"/>
      <c r="BK863" s="30"/>
      <c r="BL863" s="29"/>
      <c r="BM863" s="30"/>
      <c r="BN863" s="29"/>
      <c r="BO863" s="30"/>
      <c r="BP863" s="29"/>
      <c r="BQ863" s="30"/>
      <c r="BR863" s="29"/>
      <c r="BS863" s="30"/>
      <c r="BT863" s="29"/>
      <c r="BU863" s="30"/>
      <c r="BV863" s="29"/>
      <c r="BW863" s="30"/>
      <c r="BX863" s="29"/>
      <c r="BY863" s="30"/>
      <c r="BZ863" s="29"/>
      <c r="CA863" s="30"/>
      <c r="CB863" s="29"/>
      <c r="CC863" s="30"/>
      <c r="CD863" s="29"/>
      <c r="CE863" s="30"/>
      <c r="CF863" s="29"/>
      <c r="CG863" s="30"/>
      <c r="CH863" s="29"/>
      <c r="CI863" s="30"/>
      <c r="CJ863" s="29"/>
      <c r="CK863" s="30"/>
      <c r="CL863" s="29"/>
      <c r="CM863" s="30"/>
      <c r="CN863" s="29"/>
      <c r="CO863" s="30"/>
      <c r="CP863" s="29"/>
      <c r="CQ863" s="30"/>
      <c r="CR863" s="29"/>
      <c r="CS863" s="30"/>
      <c r="CT863" s="29"/>
      <c r="CU863" s="30"/>
      <c r="CV863" s="29"/>
      <c r="CW863" s="30"/>
      <c r="CX863" s="29"/>
      <c r="CY863" s="30"/>
      <c r="CZ863" s="29"/>
      <c r="DA863" s="30"/>
      <c r="DB863" s="29"/>
      <c r="DC863" s="30"/>
      <c r="DD863" s="29"/>
      <c r="DE863" s="30"/>
      <c r="DF863" s="29"/>
      <c r="DG863" s="30"/>
      <c r="DH863" s="29"/>
      <c r="DI863" s="30"/>
      <c r="DJ863" s="29"/>
      <c r="DK863" s="30"/>
      <c r="DL863" s="29"/>
      <c r="DM863" s="30"/>
      <c r="DN863" s="29"/>
      <c r="DO863" s="30"/>
      <c r="DP863" s="29"/>
      <c r="DQ863" s="30"/>
      <c r="DR863" s="29"/>
      <c r="DS863" s="30"/>
      <c r="DT863" s="29"/>
      <c r="DU863" s="30"/>
      <c r="DV863" s="29"/>
      <c r="DW863" s="30"/>
      <c r="DX863" s="29"/>
      <c r="DY863" s="30"/>
      <c r="DZ863" s="29"/>
      <c r="EA863" s="30"/>
      <c r="EB863" s="29"/>
      <c r="EC863" s="30"/>
      <c r="ED863" s="29"/>
      <c r="EE863" s="30"/>
      <c r="EF863" s="29"/>
      <c r="EG863" s="30"/>
      <c r="EH863" s="29"/>
      <c r="EI863" s="30"/>
      <c r="EJ863" s="29"/>
      <c r="EK863" s="30"/>
      <c r="EL863" s="29"/>
      <c r="EM863" s="30"/>
      <c r="EN863" s="29"/>
      <c r="EO863" s="30"/>
      <c r="EP863" s="29"/>
      <c r="EQ863" s="30"/>
      <c r="ER863" s="29"/>
      <c r="ES863" s="30"/>
      <c r="ET863" s="29"/>
      <c r="EU863" s="30"/>
      <c r="EV863" s="29"/>
      <c r="EW863" s="30"/>
      <c r="EX863" s="29"/>
      <c r="EY863" s="29"/>
      <c r="EZ863" s="300"/>
      <c r="FA863" s="29"/>
      <c r="FB863" s="30"/>
      <c r="FC863" s="29"/>
      <c r="FD863" s="30"/>
      <c r="FE863" s="29"/>
      <c r="FF863" s="30"/>
      <c r="FG863" s="29"/>
      <c r="FH863" s="30"/>
      <c r="FI863" s="29"/>
      <c r="FJ863" s="30"/>
      <c r="FK863" s="29"/>
      <c r="FL863" s="28"/>
      <c r="FM863" s="29"/>
      <c r="FN863" s="28"/>
      <c r="FO863" s="29"/>
      <c r="FP863" s="28"/>
      <c r="FQ863" s="29"/>
      <c r="FR863" s="28"/>
      <c r="FS863" s="29"/>
      <c r="FT863" s="28"/>
      <c r="FU863" s="29"/>
      <c r="FV863" s="28"/>
      <c r="FW863" s="29"/>
      <c r="FX863" s="29"/>
      <c r="FY863" s="29"/>
      <c r="FZ863" s="29"/>
      <c r="GA863" s="29"/>
      <c r="GB863" s="28"/>
      <c r="GC863" s="29"/>
      <c r="GD863" s="28"/>
      <c r="GE863" s="29"/>
      <c r="GF863" s="28"/>
      <c r="GG863" s="29"/>
      <c r="GH863" s="28"/>
      <c r="GI863" s="29"/>
      <c r="GJ863" s="28"/>
      <c r="GK863" s="29"/>
      <c r="GL863" s="28"/>
      <c r="GM863" s="29"/>
      <c r="GN863" s="28"/>
      <c r="GO863" s="29"/>
      <c r="GP863" s="28"/>
      <c r="GQ863" s="29"/>
      <c r="GR863" s="28"/>
      <c r="GS863" s="29"/>
      <c r="GT863" s="28"/>
      <c r="GU863" s="29"/>
      <c r="GV863" s="28"/>
      <c r="GW863" s="29"/>
      <c r="GX863" s="28"/>
      <c r="GY863" s="29"/>
      <c r="GZ863" s="29"/>
      <c r="HA863" s="29"/>
      <c r="HB863" s="240"/>
      <c r="HC863"/>
      <c r="HD863"/>
      <c r="HE863"/>
      <c r="HF863"/>
      <c r="HG863"/>
      <c r="HH863"/>
      <c r="HI863" s="2"/>
    </row>
    <row r="864" spans="2:217" s="22" customFormat="1" ht="12.75" hidden="1" customHeight="1" outlineLevel="1" x14ac:dyDescent="0.2">
      <c r="B864" s="31"/>
      <c r="D864" s="32"/>
      <c r="F864" s="32"/>
      <c r="H864" s="32"/>
      <c r="J864" s="32"/>
      <c r="L864" s="32"/>
      <c r="N864" s="32"/>
      <c r="P864" s="32"/>
      <c r="R864" s="32"/>
      <c r="T864" s="32"/>
      <c r="V864" s="32"/>
      <c r="X864" s="32"/>
      <c r="Z864" s="32"/>
      <c r="AB864" s="32"/>
      <c r="AD864" s="32"/>
      <c r="AF864" s="32"/>
      <c r="AH864" s="32"/>
      <c r="AJ864" s="32"/>
      <c r="AL864" s="32"/>
      <c r="AN864" s="32"/>
      <c r="AP864" s="32"/>
      <c r="AR864" s="32"/>
      <c r="AT864" s="32"/>
      <c r="AV864" s="32"/>
      <c r="AX864" s="32"/>
      <c r="AY864" s="28"/>
      <c r="AZ864" s="29"/>
      <c r="BA864" s="28"/>
      <c r="BB864" s="29"/>
      <c r="BC864" s="28"/>
      <c r="BD864" s="29"/>
      <c r="BE864" s="28"/>
      <c r="BF864" s="29"/>
      <c r="BG864" s="28"/>
      <c r="BH864" s="29"/>
      <c r="BI864" s="28"/>
      <c r="BJ864" s="29"/>
      <c r="BK864" s="28"/>
      <c r="BL864" s="29"/>
      <c r="BM864" s="28"/>
      <c r="BN864" s="29"/>
      <c r="BO864" s="28"/>
      <c r="BP864" s="29"/>
      <c r="BQ864" s="28"/>
      <c r="BR864" s="29"/>
      <c r="BS864" s="28"/>
      <c r="BT864" s="29"/>
      <c r="BU864" s="28"/>
      <c r="BV864" s="29"/>
      <c r="BW864" s="28"/>
      <c r="BX864" s="29"/>
      <c r="BY864" s="28"/>
      <c r="BZ864" s="29"/>
      <c r="CA864" s="28"/>
      <c r="CB864" s="29"/>
      <c r="CC864" s="28"/>
      <c r="CD864" s="29"/>
      <c r="CE864" s="28"/>
      <c r="CF864" s="29"/>
      <c r="CG864" s="28"/>
      <c r="CH864" s="29"/>
      <c r="CI864" s="28"/>
      <c r="CJ864" s="29"/>
      <c r="CK864" s="28"/>
      <c r="CL864" s="29"/>
      <c r="CM864" s="28"/>
      <c r="CN864" s="29"/>
      <c r="CO864" s="28"/>
      <c r="CP864" s="29"/>
      <c r="CQ864" s="28"/>
      <c r="CR864" s="29"/>
      <c r="CS864" s="28"/>
      <c r="CT864" s="29"/>
      <c r="CU864" s="28"/>
      <c r="CV864" s="29"/>
      <c r="CW864" s="28"/>
      <c r="CX864" s="29"/>
      <c r="CY864" s="28"/>
      <c r="CZ864" s="29"/>
      <c r="DA864" s="28"/>
      <c r="DB864" s="29"/>
      <c r="DC864" s="28"/>
      <c r="DD864" s="29"/>
      <c r="DE864" s="28"/>
      <c r="DF864" s="29"/>
      <c r="DG864" s="28"/>
      <c r="DH864" s="29"/>
      <c r="DI864" s="28"/>
      <c r="DJ864" s="29"/>
      <c r="DK864" s="28"/>
      <c r="DL864" s="29"/>
      <c r="DM864" s="28"/>
      <c r="DN864" s="29"/>
      <c r="DO864" s="28"/>
      <c r="DP864" s="29"/>
      <c r="DQ864" s="28"/>
      <c r="DR864" s="29"/>
      <c r="DS864" s="28"/>
      <c r="DT864" s="29"/>
      <c r="DU864" s="28"/>
      <c r="DV864" s="29"/>
      <c r="DW864" s="28"/>
      <c r="DX864" s="29"/>
      <c r="DY864" s="28"/>
      <c r="DZ864" s="29"/>
      <c r="EA864" s="28"/>
      <c r="EB864" s="29"/>
      <c r="EC864" s="28"/>
      <c r="ED864" s="29"/>
      <c r="EE864" s="28"/>
      <c r="EF864" s="29"/>
      <c r="EG864" s="28"/>
      <c r="EH864" s="29"/>
      <c r="EI864" s="28"/>
      <c r="EJ864" s="29"/>
      <c r="EK864" s="28"/>
      <c r="EL864" s="29"/>
      <c r="EM864" s="28"/>
      <c r="EN864" s="29"/>
      <c r="EO864" s="28"/>
      <c r="EP864" s="29"/>
      <c r="EQ864" s="28"/>
      <c r="ER864" s="29"/>
      <c r="ES864" s="28"/>
      <c r="ET864" s="29"/>
      <c r="EU864" s="28"/>
      <c r="EV864" s="29"/>
      <c r="EW864" s="28"/>
      <c r="EX864" s="29"/>
      <c r="EY864" s="29"/>
      <c r="EZ864" s="300"/>
      <c r="FA864" s="29"/>
      <c r="FB864" s="30"/>
      <c r="FC864" s="29"/>
      <c r="FD864" s="30"/>
      <c r="FE864" s="29"/>
      <c r="FF864" s="33"/>
      <c r="FG864" s="29"/>
      <c r="FH864" s="33"/>
      <c r="FI864" s="29"/>
      <c r="FJ864" s="33"/>
      <c r="FK864" s="29"/>
      <c r="FL864" s="33"/>
      <c r="FM864" s="29"/>
      <c r="FN864" s="33"/>
      <c r="FO864" s="29"/>
      <c r="FP864" s="30"/>
      <c r="FQ864" s="29"/>
      <c r="FR864" s="30"/>
      <c r="FS864" s="29"/>
      <c r="FT864" s="30"/>
      <c r="FU864" s="29"/>
      <c r="FV864" s="30"/>
      <c r="FW864" s="29"/>
      <c r="FX864" s="30"/>
      <c r="FY864" s="29"/>
      <c r="FZ864" s="30"/>
      <c r="GA864" s="29"/>
      <c r="GB864" s="30"/>
      <c r="GC864" s="29"/>
      <c r="GD864" s="30"/>
      <c r="GE864" s="29"/>
      <c r="GF864" s="30"/>
      <c r="GG864" s="29"/>
      <c r="GH864" s="30"/>
      <c r="GI864" s="29"/>
      <c r="GJ864" s="30"/>
      <c r="GK864" s="29"/>
      <c r="GL864" s="30"/>
      <c r="GM864" s="29"/>
      <c r="GN864" s="30"/>
      <c r="GO864" s="29"/>
      <c r="GP864" s="30"/>
      <c r="GQ864" s="29"/>
      <c r="GR864" s="30"/>
      <c r="GS864" s="29"/>
      <c r="GT864" s="30"/>
      <c r="GU864" s="29"/>
      <c r="GV864" s="30"/>
      <c r="GW864" s="29"/>
      <c r="GX864" s="30"/>
      <c r="GY864" s="29"/>
      <c r="GZ864" s="29"/>
      <c r="HA864" s="29"/>
      <c r="HB864" s="240"/>
      <c r="HC864"/>
      <c r="HD864"/>
      <c r="HE864"/>
      <c r="HF864"/>
      <c r="HG864"/>
      <c r="HH864"/>
      <c r="HI864" s="2"/>
    </row>
    <row r="865" spans="2:217" s="22" customFormat="1" ht="12.75" hidden="1" customHeight="1" outlineLevel="1" x14ac:dyDescent="0.2">
      <c r="B865" s="34" t="s">
        <v>613</v>
      </c>
      <c r="D865" s="32"/>
      <c r="F865" s="32"/>
      <c r="H865" s="32"/>
      <c r="J865" s="32"/>
      <c r="L865" s="32"/>
      <c r="N865" s="32"/>
      <c r="P865" s="32"/>
      <c r="R865" s="32"/>
      <c r="T865" s="32"/>
      <c r="V865" s="32"/>
      <c r="X865" s="32"/>
      <c r="Z865" s="32"/>
      <c r="AB865" s="32"/>
      <c r="AD865" s="32"/>
      <c r="AF865" s="32"/>
      <c r="AH865" s="32"/>
      <c r="AJ865" s="32"/>
      <c r="AL865" s="32"/>
      <c r="AN865" s="32"/>
      <c r="AP865" s="32"/>
      <c r="AR865" s="32"/>
      <c r="AT865" s="32"/>
      <c r="AV865" s="32"/>
      <c r="AX865" s="32"/>
      <c r="AY865" s="28"/>
      <c r="AZ865" s="29"/>
      <c r="BA865" s="28"/>
      <c r="BB865" s="29"/>
      <c r="BC865" s="28"/>
      <c r="BD865" s="29"/>
      <c r="BE865" s="28"/>
      <c r="BF865" s="29"/>
      <c r="BG865" s="28"/>
      <c r="BH865" s="29"/>
      <c r="BI865" s="28"/>
      <c r="BJ865" s="29"/>
      <c r="BK865" s="28"/>
      <c r="BL865" s="29"/>
      <c r="BM865" s="28"/>
      <c r="BN865" s="29"/>
      <c r="BO865" s="28"/>
      <c r="BP865" s="29"/>
      <c r="BQ865" s="28"/>
      <c r="BR865" s="29"/>
      <c r="BS865" s="28"/>
      <c r="BT865" s="35"/>
      <c r="BU865" s="28"/>
      <c r="BV865" s="29"/>
      <c r="BW865" s="28"/>
      <c r="BX865" s="29"/>
      <c r="BY865" s="28"/>
      <c r="BZ865" s="29"/>
      <c r="CA865" s="28"/>
      <c r="CB865" s="29"/>
      <c r="CC865" s="28"/>
      <c r="CD865" s="29"/>
      <c r="CE865" s="28"/>
      <c r="CF865" s="29"/>
      <c r="CG865" s="28"/>
      <c r="CH865" s="29"/>
      <c r="CI865" s="28"/>
      <c r="CJ865" s="29"/>
      <c r="CK865" s="28"/>
      <c r="CL865" s="29"/>
      <c r="CM865" s="28"/>
      <c r="CN865" s="29"/>
      <c r="CO865" s="28"/>
      <c r="CP865" s="29"/>
      <c r="CQ865" s="28"/>
      <c r="CR865" s="29"/>
      <c r="CS865" s="28"/>
      <c r="CT865" s="29"/>
      <c r="CU865" s="28"/>
      <c r="CV865" s="29"/>
      <c r="CW865" s="28"/>
      <c r="CX865" s="29"/>
      <c r="CY865" s="28"/>
      <c r="CZ865" s="29"/>
      <c r="DA865" s="28"/>
      <c r="DB865" s="29"/>
      <c r="DC865" s="28"/>
      <c r="DD865" s="29"/>
      <c r="DE865" s="28"/>
      <c r="DF865" s="29"/>
      <c r="DG865" s="28"/>
      <c r="DH865" s="29"/>
      <c r="DI865" s="28"/>
      <c r="DJ865" s="29"/>
      <c r="DK865" s="28"/>
      <c r="DL865" s="29"/>
      <c r="DM865" s="28"/>
      <c r="DN865" s="29"/>
      <c r="DO865" s="28"/>
      <c r="DP865" s="29"/>
      <c r="DQ865" s="28"/>
      <c r="DR865" s="29"/>
      <c r="DS865" s="28"/>
      <c r="DT865" s="29"/>
      <c r="DU865" s="28"/>
      <c r="DV865" s="29"/>
      <c r="DW865" s="28"/>
      <c r="DX865" s="29"/>
      <c r="DY865" s="28"/>
      <c r="DZ865" s="29"/>
      <c r="EA865" s="28"/>
      <c r="EB865" s="29"/>
      <c r="EC865" s="28"/>
      <c r="ED865" s="29"/>
      <c r="EE865" s="28"/>
      <c r="EF865" s="29"/>
      <c r="EG865" s="28"/>
      <c r="EH865" s="29"/>
      <c r="EI865" s="28"/>
      <c r="EJ865" s="29"/>
      <c r="EK865" s="28"/>
      <c r="EL865" s="29"/>
      <c r="EM865" s="28"/>
      <c r="EN865" s="29"/>
      <c r="EO865" s="28"/>
      <c r="EP865" s="29"/>
      <c r="EQ865" s="28"/>
      <c r="ER865" s="29"/>
      <c r="ES865" s="28"/>
      <c r="ET865" s="29"/>
      <c r="EU865" s="28"/>
      <c r="EV865" s="29"/>
      <c r="EW865" s="28"/>
      <c r="EX865" s="29"/>
      <c r="EY865" s="29"/>
      <c r="EZ865" s="300"/>
      <c r="FA865" s="29"/>
      <c r="FB865" s="30"/>
      <c r="FC865" s="29"/>
      <c r="FD865" s="30"/>
      <c r="FE865" s="29"/>
      <c r="FF865" s="33"/>
      <c r="FG865" s="29"/>
      <c r="FH865" s="33"/>
      <c r="FI865" s="29"/>
      <c r="FJ865" s="33"/>
      <c r="FK865" s="29"/>
      <c r="FL865" s="33"/>
      <c r="FM865" s="29"/>
      <c r="FN865" s="33"/>
      <c r="FO865" s="29"/>
      <c r="FP865" s="30"/>
      <c r="FQ865" s="29"/>
      <c r="FR865" s="30"/>
      <c r="FS865" s="29"/>
      <c r="FT865" s="30"/>
      <c r="FU865" s="29"/>
      <c r="FV865" s="30"/>
      <c r="FW865" s="29"/>
      <c r="FX865" s="30"/>
      <c r="FY865" s="29"/>
      <c r="FZ865" s="30"/>
      <c r="GA865" s="29"/>
      <c r="GB865" s="30"/>
      <c r="GC865" s="29"/>
      <c r="GD865" s="30"/>
      <c r="GE865" s="29"/>
      <c r="GF865" s="30"/>
      <c r="GG865" s="29"/>
      <c r="GH865" s="30"/>
      <c r="GI865" s="29"/>
      <c r="GJ865" s="30"/>
      <c r="GK865" s="29"/>
      <c r="GL865" s="30"/>
      <c r="GM865" s="29"/>
      <c r="GN865" s="30"/>
      <c r="GO865" s="29"/>
      <c r="GP865" s="30"/>
      <c r="GQ865" s="29"/>
      <c r="GR865" s="30"/>
      <c r="GS865" s="29"/>
      <c r="GT865" s="30"/>
      <c r="GU865" s="29"/>
      <c r="GV865" s="30"/>
      <c r="GW865" s="29"/>
      <c r="GX865" s="30"/>
      <c r="GY865" s="29"/>
      <c r="GZ865" s="29"/>
      <c r="HA865" s="29"/>
      <c r="HB865" s="240"/>
      <c r="HC865"/>
      <c r="HD865"/>
      <c r="HE865"/>
      <c r="HF865"/>
      <c r="HG865"/>
      <c r="HH865"/>
      <c r="HI865" s="2"/>
    </row>
    <row r="866" spans="2:217" s="22" customFormat="1" ht="12.75" hidden="1" customHeight="1" outlineLevel="1" x14ac:dyDescent="0.2">
      <c r="B866" s="24" t="s">
        <v>614</v>
      </c>
      <c r="D866" s="32"/>
      <c r="F866" s="32"/>
      <c r="H866" s="32"/>
      <c r="J866" s="32"/>
      <c r="L866" s="32"/>
      <c r="N866" s="32"/>
      <c r="P866" s="32"/>
      <c r="R866" s="32"/>
      <c r="T866" s="32"/>
      <c r="V866" s="32"/>
      <c r="X866" s="32"/>
      <c r="Z866" s="32"/>
      <c r="AB866" s="32"/>
      <c r="AD866" s="32"/>
      <c r="AF866" s="32"/>
      <c r="AH866" s="32"/>
      <c r="AJ866" s="32"/>
      <c r="AL866" s="32"/>
      <c r="AN866" s="32"/>
      <c r="AP866" s="32"/>
      <c r="AR866" s="32"/>
      <c r="AT866" s="32"/>
      <c r="AV866" s="32"/>
      <c r="AX866" s="32"/>
      <c r="AY866" s="28"/>
      <c r="AZ866" s="29"/>
      <c r="BA866" s="28"/>
      <c r="BB866" s="29"/>
      <c r="BC866" s="28"/>
      <c r="BD866" s="29"/>
      <c r="BE866" s="28"/>
      <c r="BF866" s="29"/>
      <c r="BG866" s="28"/>
      <c r="BH866" s="36"/>
      <c r="BI866" s="28"/>
      <c r="BJ866" s="36"/>
      <c r="BK866" s="28"/>
      <c r="BL866" s="36"/>
      <c r="BM866" s="28"/>
      <c r="BN866" s="36"/>
      <c r="BO866" s="28"/>
      <c r="BP866" s="38"/>
      <c r="BQ866" s="28"/>
      <c r="BR866" s="28"/>
      <c r="BS866" s="28"/>
      <c r="BT866" s="37"/>
      <c r="BU866" s="28"/>
      <c r="BV866" s="38"/>
      <c r="BW866" s="28"/>
      <c r="BX866" s="38"/>
      <c r="BY866" s="28"/>
      <c r="BZ866" s="38"/>
      <c r="CA866" s="28"/>
      <c r="CB866" s="38"/>
      <c r="CC866" s="28"/>
      <c r="CD866" s="38"/>
      <c r="CE866" s="28"/>
      <c r="CF866" s="38"/>
      <c r="CG866" s="28"/>
      <c r="CH866" s="38"/>
      <c r="CI866" s="28"/>
      <c r="CJ866" s="38"/>
      <c r="CK866" s="28"/>
      <c r="CL866" s="38"/>
      <c r="CM866" s="28"/>
      <c r="CN866" s="38"/>
      <c r="CO866" s="28"/>
      <c r="CP866" s="38"/>
      <c r="CQ866" s="28"/>
      <c r="CR866" s="38"/>
      <c r="CS866" s="28"/>
      <c r="CT866" s="38"/>
      <c r="CU866" s="28"/>
      <c r="CV866" s="38"/>
      <c r="CW866" s="28"/>
      <c r="CX866" s="38"/>
      <c r="CY866" s="28"/>
      <c r="CZ866" s="38"/>
      <c r="DA866" s="28"/>
      <c r="DB866" s="38"/>
      <c r="DC866" s="28"/>
      <c r="DD866" s="38"/>
      <c r="DE866" s="28"/>
      <c r="DF866" s="38"/>
      <c r="DG866" s="28"/>
      <c r="DH866" s="38"/>
      <c r="DI866" s="28"/>
      <c r="DJ866" s="38"/>
      <c r="DK866" s="28"/>
      <c r="DL866" s="38"/>
      <c r="DM866" s="28"/>
      <c r="DN866" s="38"/>
      <c r="DO866" s="28"/>
      <c r="DP866" s="38"/>
      <c r="DQ866" s="28"/>
      <c r="DR866" s="38"/>
      <c r="DS866" s="28"/>
      <c r="DT866" s="38"/>
      <c r="DU866" s="28"/>
      <c r="DV866" s="38"/>
      <c r="DW866" s="207">
        <f>DW23</f>
        <v>0</v>
      </c>
      <c r="DX866" s="38"/>
      <c r="DY866" s="207">
        <f>DY23</f>
        <v>0</v>
      </c>
      <c r="DZ866" s="38"/>
      <c r="EA866" s="207">
        <f>EA23</f>
        <v>0</v>
      </c>
      <c r="EB866" s="38"/>
      <c r="EC866" s="207">
        <f>EC23</f>
        <v>0</v>
      </c>
      <c r="ED866" s="38"/>
      <c r="EE866" s="207">
        <f>EE23</f>
        <v>0</v>
      </c>
      <c r="EF866" s="38"/>
      <c r="EG866" s="207">
        <f>EG23</f>
        <v>0</v>
      </c>
      <c r="EH866" s="38"/>
      <c r="EI866" s="207">
        <f>EI23</f>
        <v>2</v>
      </c>
      <c r="EJ866" s="38"/>
      <c r="EK866" s="207">
        <f>EK23</f>
        <v>2</v>
      </c>
      <c r="EL866" s="38"/>
      <c r="EM866" s="207">
        <f>EM23</f>
        <v>2</v>
      </c>
      <c r="EN866" s="38"/>
      <c r="EO866" s="207">
        <f>EO23</f>
        <v>2</v>
      </c>
      <c r="EP866" s="38"/>
      <c r="EQ866" s="207">
        <f>EQ23</f>
        <v>-1.2</v>
      </c>
      <c r="ER866" s="38"/>
      <c r="ES866" s="207">
        <f>ES23</f>
        <v>2</v>
      </c>
      <c r="ET866" s="38"/>
      <c r="EU866" s="207">
        <f>EU23</f>
        <v>2</v>
      </c>
      <c r="EV866" s="38"/>
      <c r="EW866" s="207">
        <f>EW23</f>
        <v>2</v>
      </c>
      <c r="EX866" s="38"/>
      <c r="EY866" s="38"/>
      <c r="EZ866" s="301"/>
      <c r="FA866" s="38"/>
      <c r="FB866" s="39"/>
      <c r="FC866" s="38"/>
      <c r="FD866" s="39"/>
      <c r="FE866" s="38"/>
      <c r="FF866" s="40"/>
      <c r="FG866" s="38"/>
      <c r="FH866" s="40"/>
      <c r="FI866" s="38"/>
      <c r="FJ866" s="40"/>
      <c r="FK866" s="38"/>
      <c r="FL866" s="40"/>
      <c r="FM866" s="38"/>
      <c r="FN866" s="40"/>
      <c r="FO866" s="38"/>
      <c r="FP866" s="39"/>
      <c r="FQ866" s="38"/>
      <c r="FR866" s="39"/>
      <c r="FS866" s="38"/>
      <c r="FT866" s="41"/>
      <c r="FU866" s="38"/>
      <c r="FV866" s="41"/>
      <c r="FW866" s="38"/>
      <c r="FX866" s="41"/>
      <c r="FY866" s="38"/>
      <c r="FZ866" s="41"/>
      <c r="GA866" s="38"/>
      <c r="GB866" s="41"/>
      <c r="GC866" s="38"/>
      <c r="GD866" s="41"/>
      <c r="GE866" s="38"/>
      <c r="GF866" s="41"/>
      <c r="GG866" s="38"/>
      <c r="GH866" s="41"/>
      <c r="GI866" s="38"/>
      <c r="GJ866" s="41"/>
      <c r="GK866" s="38"/>
      <c r="GL866" s="41">
        <f>GL23</f>
        <v>8</v>
      </c>
      <c r="GM866" s="38"/>
      <c r="GN866" s="41">
        <f>GN23</f>
        <v>8</v>
      </c>
      <c r="GO866" s="38"/>
      <c r="GP866" s="41">
        <f>GP23</f>
        <v>8</v>
      </c>
      <c r="GQ866" s="38"/>
      <c r="GR866" s="42">
        <f>GR23</f>
        <v>8</v>
      </c>
      <c r="GS866" s="38"/>
      <c r="GT866" s="42">
        <f>GT23</f>
        <v>8</v>
      </c>
      <c r="GU866" s="38"/>
      <c r="GV866" s="42">
        <f>GV23</f>
        <v>8</v>
      </c>
      <c r="GW866" s="38"/>
      <c r="GX866" s="42">
        <f>GX23</f>
        <v>8</v>
      </c>
      <c r="GY866" s="38"/>
      <c r="GZ866" s="38"/>
      <c r="HA866" s="38"/>
      <c r="HB866" s="241"/>
      <c r="HC866"/>
      <c r="HD866"/>
      <c r="HE866"/>
      <c r="HF866"/>
      <c r="HG866"/>
      <c r="HH866"/>
      <c r="HI866" s="2"/>
    </row>
    <row r="867" spans="2:217" s="22" customFormat="1" ht="12.75" hidden="1" customHeight="1" outlineLevel="1" x14ac:dyDescent="0.2">
      <c r="B867" s="24" t="s">
        <v>615</v>
      </c>
      <c r="D867" s="32"/>
      <c r="F867" s="32"/>
      <c r="H867" s="32"/>
      <c r="J867" s="32"/>
      <c r="L867" s="32"/>
      <c r="N867" s="32"/>
      <c r="P867" s="32"/>
      <c r="R867" s="32"/>
      <c r="T867" s="32"/>
      <c r="V867" s="32"/>
      <c r="X867" s="32"/>
      <c r="Z867" s="32"/>
      <c r="AB867" s="32"/>
      <c r="AD867" s="32"/>
      <c r="AF867" s="32"/>
      <c r="AH867" s="32"/>
      <c r="AJ867" s="32"/>
      <c r="AL867" s="32"/>
      <c r="AN867" s="32"/>
      <c r="AP867" s="32"/>
      <c r="AR867" s="32"/>
      <c r="AT867" s="32"/>
      <c r="AV867" s="32"/>
      <c r="AX867" s="32"/>
      <c r="AY867" s="28"/>
      <c r="AZ867" s="29"/>
      <c r="BA867" s="28"/>
      <c r="BB867" s="29"/>
      <c r="BC867" s="28"/>
      <c r="BD867" s="29"/>
      <c r="BE867" s="28"/>
      <c r="BF867" s="29"/>
      <c r="BG867" s="28"/>
      <c r="BH867" s="36"/>
      <c r="BI867" s="28"/>
      <c r="BJ867" s="36"/>
      <c r="BK867" s="28"/>
      <c r="BL867" s="36"/>
      <c r="BM867" s="28"/>
      <c r="BN867" s="36"/>
      <c r="BO867" s="28"/>
      <c r="BP867" s="38"/>
      <c r="BQ867" s="28"/>
      <c r="BR867" s="28"/>
      <c r="BS867" s="28"/>
      <c r="BT867" s="43"/>
      <c r="BU867" s="28"/>
      <c r="BV867" s="38"/>
      <c r="BW867" s="28"/>
      <c r="BX867" s="38"/>
      <c r="BY867" s="28"/>
      <c r="BZ867" s="38"/>
      <c r="CA867" s="28"/>
      <c r="CB867" s="38"/>
      <c r="CC867" s="28"/>
      <c r="CD867" s="38"/>
      <c r="CE867" s="28"/>
      <c r="CF867" s="38"/>
      <c r="CG867" s="28"/>
      <c r="CH867" s="38"/>
      <c r="CI867" s="28"/>
      <c r="CJ867" s="38"/>
      <c r="CK867" s="28"/>
      <c r="CL867" s="38"/>
      <c r="CM867" s="28"/>
      <c r="CN867" s="38"/>
      <c r="CO867" s="28"/>
      <c r="CP867" s="38"/>
      <c r="CQ867" s="28"/>
      <c r="CR867" s="38"/>
      <c r="CS867" s="28"/>
      <c r="CT867" s="38"/>
      <c r="CU867" s="28"/>
      <c r="CV867" s="38"/>
      <c r="CW867" s="28"/>
      <c r="CX867" s="38"/>
      <c r="CY867" s="28"/>
      <c r="CZ867" s="38"/>
      <c r="DA867" s="28"/>
      <c r="DB867" s="38"/>
      <c r="DC867" s="28"/>
      <c r="DD867" s="38"/>
      <c r="DE867" s="28"/>
      <c r="DF867" s="38"/>
      <c r="DG867" s="28"/>
      <c r="DH867" s="38"/>
      <c r="DI867" s="28"/>
      <c r="DJ867" s="38"/>
      <c r="DK867" s="28"/>
      <c r="DL867" s="38"/>
      <c r="DM867" s="28"/>
      <c r="DN867" s="38"/>
      <c r="DO867" s="28"/>
      <c r="DP867" s="38"/>
      <c r="DQ867" s="28"/>
      <c r="DR867" s="38"/>
      <c r="DS867" s="28"/>
      <c r="DT867" s="38"/>
      <c r="DU867" s="28"/>
      <c r="DV867" s="38"/>
      <c r="DW867" s="44">
        <v>2</v>
      </c>
      <c r="DX867" s="38"/>
      <c r="DY867" s="44">
        <v>2</v>
      </c>
      <c r="DZ867" s="38"/>
      <c r="EA867" s="44">
        <v>2</v>
      </c>
      <c r="EB867" s="38"/>
      <c r="EC867" s="44">
        <v>2</v>
      </c>
      <c r="ED867" s="38"/>
      <c r="EE867" s="44">
        <v>2</v>
      </c>
      <c r="EF867" s="38"/>
      <c r="EG867" s="44">
        <v>2</v>
      </c>
      <c r="EH867" s="38"/>
      <c r="EI867" s="44">
        <v>2</v>
      </c>
      <c r="EJ867" s="38"/>
      <c r="EK867" s="44">
        <v>2</v>
      </c>
      <c r="EL867" s="38"/>
      <c r="EM867" s="44">
        <v>2</v>
      </c>
      <c r="EN867" s="38"/>
      <c r="EO867" s="44">
        <v>2</v>
      </c>
      <c r="EP867" s="38"/>
      <c r="EQ867" s="44">
        <v>2</v>
      </c>
      <c r="ER867" s="38"/>
      <c r="ES867" s="44">
        <v>2</v>
      </c>
      <c r="ET867" s="38"/>
      <c r="EU867" s="44">
        <v>2</v>
      </c>
      <c r="EV867" s="38"/>
      <c r="EW867" s="44">
        <v>2</v>
      </c>
      <c r="EX867" s="38"/>
      <c r="EY867" s="38"/>
      <c r="EZ867" s="301"/>
      <c r="FA867" s="38"/>
      <c r="FB867" s="39"/>
      <c r="FC867" s="38"/>
      <c r="FD867" s="39"/>
      <c r="FE867" s="38"/>
      <c r="FF867" s="40"/>
      <c r="FG867" s="38"/>
      <c r="FH867" s="40"/>
      <c r="FI867" s="38"/>
      <c r="FJ867" s="40"/>
      <c r="FK867" s="38"/>
      <c r="FL867" s="40"/>
      <c r="FM867" s="38"/>
      <c r="FN867" s="40"/>
      <c r="FO867" s="38"/>
      <c r="FP867" s="39"/>
      <c r="FQ867" s="38"/>
      <c r="FR867" s="39"/>
      <c r="FS867" s="38"/>
      <c r="FT867" s="39"/>
      <c r="FU867" s="38"/>
      <c r="FV867" s="39"/>
      <c r="FW867" s="45"/>
      <c r="FX867" s="45"/>
      <c r="FY867" s="45"/>
      <c r="FZ867" s="45"/>
      <c r="GA867" s="45"/>
      <c r="GB867" s="210"/>
      <c r="GC867" s="45"/>
      <c r="GD867" s="210"/>
      <c r="GE867" s="45"/>
      <c r="GF867" s="210"/>
      <c r="GG867" s="792"/>
      <c r="GH867" s="210"/>
      <c r="GI867" s="792"/>
      <c r="GJ867" s="210"/>
      <c r="GK867" s="792"/>
      <c r="GL867" s="210">
        <v>12</v>
      </c>
      <c r="GM867" s="792"/>
      <c r="GN867" s="210">
        <v>12</v>
      </c>
      <c r="GO867" s="792"/>
      <c r="GP867" s="210">
        <v>12</v>
      </c>
      <c r="GQ867" s="792"/>
      <c r="GR867" s="44">
        <v>12</v>
      </c>
      <c r="GS867" s="792"/>
      <c r="GT867" s="44">
        <v>12</v>
      </c>
      <c r="GU867" s="792"/>
      <c r="GV867" s="44">
        <v>12</v>
      </c>
      <c r="GW867" s="792"/>
      <c r="GX867" s="44">
        <v>12</v>
      </c>
      <c r="GY867" s="792"/>
      <c r="GZ867" s="45"/>
      <c r="HA867" s="45"/>
      <c r="HB867" s="242"/>
      <c r="HC867"/>
      <c r="HD867"/>
      <c r="HE867"/>
      <c r="HF867"/>
      <c r="HG867"/>
      <c r="HH867"/>
      <c r="HI867" s="2"/>
    </row>
    <row r="868" spans="2:217" s="22" customFormat="1" ht="12.75" hidden="1" customHeight="1" outlineLevel="1" x14ac:dyDescent="0.2">
      <c r="B868" s="24" t="s">
        <v>617</v>
      </c>
      <c r="D868" s="32"/>
      <c r="F868" s="32"/>
      <c r="H868" s="32"/>
      <c r="J868" s="32"/>
      <c r="L868" s="32"/>
      <c r="N868" s="32"/>
      <c r="P868" s="32"/>
      <c r="R868" s="32"/>
      <c r="T868" s="32"/>
      <c r="V868" s="32"/>
      <c r="X868" s="32"/>
      <c r="Z868" s="32"/>
      <c r="AB868" s="32"/>
      <c r="AD868" s="32"/>
      <c r="AF868" s="32"/>
      <c r="AH868" s="32"/>
      <c r="AJ868" s="32"/>
      <c r="AL868" s="32"/>
      <c r="AN868" s="32"/>
      <c r="AP868" s="32"/>
      <c r="AR868" s="32"/>
      <c r="AT868" s="32"/>
      <c r="AV868" s="32"/>
      <c r="AX868" s="32"/>
      <c r="AY868" s="28"/>
      <c r="AZ868" s="29"/>
      <c r="BA868" s="28"/>
      <c r="BB868" s="29"/>
      <c r="BC868" s="28"/>
      <c r="BD868" s="29"/>
      <c r="BE868" s="28"/>
      <c r="BF868" s="29"/>
      <c r="BG868" s="28"/>
      <c r="BH868" s="36"/>
      <c r="BI868" s="28"/>
      <c r="BJ868" s="36"/>
      <c r="BK868" s="28"/>
      <c r="BL868" s="36"/>
      <c r="BM868" s="28"/>
      <c r="BN868" s="36"/>
      <c r="BO868" s="28"/>
      <c r="BP868" s="38"/>
      <c r="BQ868" s="28"/>
      <c r="BR868" s="28"/>
      <c r="BS868" s="28"/>
      <c r="BT868" s="43"/>
      <c r="BU868" s="28"/>
      <c r="BV868" s="38"/>
      <c r="BW868" s="28"/>
      <c r="BX868" s="38"/>
      <c r="BY868" s="28"/>
      <c r="BZ868" s="38"/>
      <c r="CA868" s="28"/>
      <c r="CB868" s="38"/>
      <c r="CC868" s="28"/>
      <c r="CD868" s="38"/>
      <c r="CE868" s="28"/>
      <c r="CF868" s="38"/>
      <c r="CG868" s="28"/>
      <c r="CH868" s="38"/>
      <c r="CI868" s="28"/>
      <c r="CJ868" s="38"/>
      <c r="CK868" s="28"/>
      <c r="CL868" s="38"/>
      <c r="CM868" s="28"/>
      <c r="CN868" s="38"/>
      <c r="CO868" s="28"/>
      <c r="CP868" s="38"/>
      <c r="CQ868" s="28"/>
      <c r="CR868" s="38"/>
      <c r="CS868" s="28"/>
      <c r="CT868" s="38"/>
      <c r="CU868" s="28"/>
      <c r="CV868" s="38"/>
      <c r="CW868" s="28"/>
      <c r="CX868" s="38"/>
      <c r="CY868" s="28"/>
      <c r="CZ868" s="38"/>
      <c r="DA868" s="28"/>
      <c r="DB868" s="38"/>
      <c r="DC868" s="28"/>
      <c r="DD868" s="38"/>
      <c r="DE868" s="28"/>
      <c r="DF868" s="38"/>
      <c r="DG868" s="28"/>
      <c r="DH868" s="38"/>
      <c r="DI868" s="28"/>
      <c r="DJ868" s="38"/>
      <c r="DK868" s="28"/>
      <c r="DL868" s="38"/>
      <c r="DM868" s="28"/>
      <c r="DN868" s="38"/>
      <c r="DO868" s="28"/>
      <c r="DP868" s="38"/>
      <c r="DQ868" s="28"/>
      <c r="DR868" s="38"/>
      <c r="DS868" s="28"/>
      <c r="DT868" s="38"/>
      <c r="DU868" s="28"/>
      <c r="DV868" s="38"/>
      <c r="DW868" s="46">
        <v>-2</v>
      </c>
      <c r="DX868" s="38"/>
      <c r="DY868" s="46">
        <v>-2</v>
      </c>
      <c r="DZ868" s="38"/>
      <c r="EA868" s="46">
        <v>-2</v>
      </c>
      <c r="EB868" s="38"/>
      <c r="EC868" s="46">
        <v>-2</v>
      </c>
      <c r="ED868" s="38"/>
      <c r="EE868" s="46">
        <v>-2</v>
      </c>
      <c r="EF868" s="38"/>
      <c r="EG868" s="46">
        <v>-2</v>
      </c>
      <c r="EH868" s="38"/>
      <c r="EI868" s="46">
        <v>-2</v>
      </c>
      <c r="EJ868" s="38"/>
      <c r="EK868" s="46">
        <v>-2</v>
      </c>
      <c r="EL868" s="38"/>
      <c r="EM868" s="46">
        <v>-2</v>
      </c>
      <c r="EN868" s="38"/>
      <c r="EO868" s="46">
        <v>-2</v>
      </c>
      <c r="EP868" s="38"/>
      <c r="EQ868" s="46">
        <v>-2</v>
      </c>
      <c r="ER868" s="38"/>
      <c r="ES868" s="46">
        <v>-2</v>
      </c>
      <c r="ET868" s="38"/>
      <c r="EU868" s="46">
        <v>-2</v>
      </c>
      <c r="EV868" s="38"/>
      <c r="EW868" s="46">
        <v>-2</v>
      </c>
      <c r="EX868" s="38"/>
      <c r="EY868" s="38"/>
      <c r="EZ868" s="301"/>
      <c r="FA868" s="38"/>
      <c r="FB868" s="39"/>
      <c r="FC868" s="38"/>
      <c r="FD868" s="39"/>
      <c r="FE868" s="38"/>
      <c r="FF868" s="40"/>
      <c r="FG868" s="38"/>
      <c r="FH868" s="40"/>
      <c r="FI868" s="38"/>
      <c r="FJ868" s="40"/>
      <c r="FK868" s="38"/>
      <c r="FL868" s="40"/>
      <c r="FM868" s="38"/>
      <c r="FN868" s="40"/>
      <c r="FO868" s="38"/>
      <c r="FP868" s="39"/>
      <c r="FQ868" s="38"/>
      <c r="FR868" s="39"/>
      <c r="FS868" s="38"/>
      <c r="FT868" s="39"/>
      <c r="FU868" s="38"/>
      <c r="FV868" s="39"/>
      <c r="FW868" s="45"/>
      <c r="FX868" s="45"/>
      <c r="FY868" s="45"/>
      <c r="FZ868" s="45"/>
      <c r="GA868" s="45"/>
      <c r="GB868" s="210"/>
      <c r="GC868" s="45"/>
      <c r="GD868" s="210"/>
      <c r="GE868" s="45"/>
      <c r="GF868" s="210"/>
      <c r="GG868" s="792"/>
      <c r="GH868" s="210"/>
      <c r="GI868" s="792"/>
      <c r="GJ868" s="210"/>
      <c r="GK868" s="792"/>
      <c r="GL868" s="210">
        <v>4</v>
      </c>
      <c r="GM868" s="792"/>
      <c r="GN868" s="210">
        <v>4</v>
      </c>
      <c r="GO868" s="792"/>
      <c r="GP868" s="210">
        <v>4</v>
      </c>
      <c r="GQ868" s="792"/>
      <c r="GR868" s="46">
        <v>4</v>
      </c>
      <c r="GS868" s="792"/>
      <c r="GT868" s="46">
        <v>4</v>
      </c>
      <c r="GU868" s="792"/>
      <c r="GV868" s="46">
        <v>4</v>
      </c>
      <c r="GW868" s="792"/>
      <c r="GX868" s="46">
        <v>4</v>
      </c>
      <c r="GY868" s="792"/>
      <c r="GZ868" s="45"/>
      <c r="HA868" s="45"/>
      <c r="HB868" s="242"/>
      <c r="HC868"/>
      <c r="HD868"/>
      <c r="HE868"/>
      <c r="HF868"/>
      <c r="HG868"/>
      <c r="HH868"/>
      <c r="HI868" s="2"/>
    </row>
    <row r="869" spans="2:217" s="22" customFormat="1" ht="12.75" hidden="1" customHeight="1" outlineLevel="1" x14ac:dyDescent="0.2">
      <c r="B869" s="31"/>
      <c r="D869" s="32"/>
      <c r="F869" s="32"/>
      <c r="H869" s="32"/>
      <c r="J869" s="32"/>
      <c r="L869" s="32"/>
      <c r="N869" s="32"/>
      <c r="P869" s="32"/>
      <c r="R869" s="32"/>
      <c r="T869" s="32"/>
      <c r="V869" s="32"/>
      <c r="X869" s="32"/>
      <c r="Z869" s="32"/>
      <c r="AB869" s="32"/>
      <c r="AD869" s="32"/>
      <c r="AF869" s="32"/>
      <c r="AH869" s="32"/>
      <c r="AJ869" s="32"/>
      <c r="AL869" s="32"/>
      <c r="AN869" s="32"/>
      <c r="AP869" s="32"/>
      <c r="AR869" s="32"/>
      <c r="AT869" s="32"/>
      <c r="AV869" s="32"/>
      <c r="AX869" s="32"/>
      <c r="AY869" s="28"/>
      <c r="AZ869" s="29"/>
      <c r="BA869" s="28"/>
      <c r="BB869" s="29"/>
      <c r="BC869" s="28"/>
      <c r="BD869" s="29"/>
      <c r="BE869" s="28"/>
      <c r="BF869" s="29"/>
      <c r="BG869" s="28"/>
      <c r="BH869" s="36"/>
      <c r="BI869" s="28"/>
      <c r="BJ869" s="36"/>
      <c r="BK869" s="28"/>
      <c r="BL869" s="36"/>
      <c r="BM869" s="28"/>
      <c r="BN869" s="36"/>
      <c r="BO869" s="28"/>
      <c r="BP869" s="36"/>
      <c r="BQ869" s="28"/>
      <c r="BR869" s="28"/>
      <c r="BS869" s="28"/>
      <c r="BT869" s="47"/>
      <c r="BU869" s="28"/>
      <c r="BV869" s="36"/>
      <c r="BW869" s="28"/>
      <c r="BX869" s="36"/>
      <c r="BY869" s="28"/>
      <c r="BZ869" s="36"/>
      <c r="CA869" s="28"/>
      <c r="CB869" s="36"/>
      <c r="CC869" s="28"/>
      <c r="CD869" s="36"/>
      <c r="CE869" s="28"/>
      <c r="CF869" s="36"/>
      <c r="CG869" s="28"/>
      <c r="CH869" s="36"/>
      <c r="CI869" s="28"/>
      <c r="CJ869" s="36"/>
      <c r="CK869" s="28"/>
      <c r="CL869" s="36"/>
      <c r="CM869" s="28"/>
      <c r="CN869" s="36"/>
      <c r="CO869" s="28"/>
      <c r="CP869" s="36"/>
      <c r="CQ869" s="28"/>
      <c r="CR869" s="36"/>
      <c r="CS869" s="28"/>
      <c r="CT869" s="36"/>
      <c r="CU869" s="28"/>
      <c r="CV869" s="36"/>
      <c r="CW869" s="28"/>
      <c r="CX869" s="36"/>
      <c r="CY869" s="28"/>
      <c r="CZ869" s="36"/>
      <c r="DA869" s="28"/>
      <c r="DB869" s="36"/>
      <c r="DC869" s="28"/>
      <c r="DD869" s="36"/>
      <c r="DE869" s="28"/>
      <c r="DF869" s="36"/>
      <c r="DG869" s="28"/>
      <c r="DH869" s="36"/>
      <c r="DI869" s="28"/>
      <c r="DJ869" s="36"/>
      <c r="DK869" s="28"/>
      <c r="DL869" s="36"/>
      <c r="DM869" s="28"/>
      <c r="DN869" s="36"/>
      <c r="DO869" s="28"/>
      <c r="DP869" s="36"/>
      <c r="DQ869" s="28"/>
      <c r="DR869" s="36"/>
      <c r="DS869" s="28"/>
      <c r="DT869" s="36"/>
      <c r="DU869" s="28"/>
      <c r="DV869" s="36"/>
      <c r="DW869" s="48"/>
      <c r="DX869" s="36"/>
      <c r="DY869" s="48"/>
      <c r="DZ869" s="36"/>
      <c r="EA869" s="48"/>
      <c r="EB869" s="36"/>
      <c r="EC869" s="48"/>
      <c r="ED869" s="36"/>
      <c r="EE869" s="48"/>
      <c r="EF869" s="36"/>
      <c r="EG869" s="48"/>
      <c r="EH869" s="36"/>
      <c r="EI869" s="48"/>
      <c r="EJ869" s="36"/>
      <c r="EK869" s="48"/>
      <c r="EL869" s="36"/>
      <c r="EM869" s="48"/>
      <c r="EN869" s="36"/>
      <c r="EO869" s="48"/>
      <c r="EP869" s="36"/>
      <c r="EQ869" s="48"/>
      <c r="ER869" s="36"/>
      <c r="ES869" s="48"/>
      <c r="ET869" s="36"/>
      <c r="EU869" s="48"/>
      <c r="EV869" s="36"/>
      <c r="EW869" s="48"/>
      <c r="EX869" s="36"/>
      <c r="EY869" s="36"/>
      <c r="EZ869" s="302"/>
      <c r="FA869" s="36"/>
      <c r="FB869" s="49"/>
      <c r="FC869" s="36"/>
      <c r="FD869" s="49"/>
      <c r="FE869" s="36"/>
      <c r="FF869" s="50"/>
      <c r="FG869" s="36"/>
      <c r="FH869" s="50"/>
      <c r="FI869" s="36"/>
      <c r="FJ869" s="50"/>
      <c r="FK869" s="36"/>
      <c r="FL869" s="50"/>
      <c r="FM869" s="36"/>
      <c r="FN869" s="50"/>
      <c r="FO869" s="36"/>
      <c r="FP869" s="49"/>
      <c r="FQ869" s="36"/>
      <c r="FR869" s="49"/>
      <c r="FS869" s="36"/>
      <c r="FT869" s="49"/>
      <c r="FU869" s="36"/>
      <c r="FV869" s="49"/>
      <c r="FW869" s="36"/>
      <c r="FX869" s="49"/>
      <c r="FY869" s="36"/>
      <c r="FZ869" s="49"/>
      <c r="GA869" s="36"/>
      <c r="GB869" s="49"/>
      <c r="GC869" s="36"/>
      <c r="GD869" s="49"/>
      <c r="GE869" s="36"/>
      <c r="GF869" s="49"/>
      <c r="GG869" s="36"/>
      <c r="GH869" s="49"/>
      <c r="GI869" s="36"/>
      <c r="GJ869" s="49"/>
      <c r="GK869" s="36"/>
      <c r="GL869" s="49"/>
      <c r="GM869" s="36"/>
      <c r="GN869" s="49"/>
      <c r="GO869" s="36"/>
      <c r="GP869" s="49"/>
      <c r="GQ869" s="36"/>
      <c r="GR869" s="49"/>
      <c r="GS869" s="36"/>
      <c r="GT869" s="49"/>
      <c r="GU869" s="36"/>
      <c r="GV869" s="49"/>
      <c r="GW869" s="36"/>
      <c r="GX869" s="49"/>
      <c r="GY869" s="36"/>
      <c r="GZ869" s="36"/>
      <c r="HA869" s="36"/>
      <c r="HB869" s="155"/>
      <c r="HC869"/>
      <c r="HD869"/>
      <c r="HE869"/>
      <c r="HF869"/>
      <c r="HG869"/>
      <c r="HH869"/>
      <c r="HI869" s="2"/>
    </row>
    <row r="870" spans="2:217" s="22" customFormat="1" ht="12.75" hidden="1" customHeight="1" outlineLevel="1" x14ac:dyDescent="0.2">
      <c r="B870" s="34" t="s">
        <v>39</v>
      </c>
      <c r="D870" s="32"/>
      <c r="F870" s="32"/>
      <c r="H870" s="32"/>
      <c r="J870" s="32"/>
      <c r="L870" s="32"/>
      <c r="N870" s="32"/>
      <c r="P870" s="32"/>
      <c r="R870" s="32"/>
      <c r="T870" s="32"/>
      <c r="V870" s="32"/>
      <c r="X870" s="32"/>
      <c r="Z870" s="32"/>
      <c r="AB870" s="32"/>
      <c r="AD870" s="32"/>
      <c r="AF870" s="32"/>
      <c r="AH870" s="32"/>
      <c r="AJ870" s="32"/>
      <c r="AL870" s="32"/>
      <c r="AN870" s="32"/>
      <c r="AP870" s="32"/>
      <c r="AR870" s="32"/>
      <c r="AT870" s="32"/>
      <c r="AV870" s="32"/>
      <c r="AX870" s="32"/>
      <c r="AY870" s="28"/>
      <c r="AZ870" s="29"/>
      <c r="BA870" s="28"/>
      <c r="BB870" s="29"/>
      <c r="BC870" s="28"/>
      <c r="BD870" s="29"/>
      <c r="BE870" s="28"/>
      <c r="BF870" s="29"/>
      <c r="BG870" s="28"/>
      <c r="BH870" s="36"/>
      <c r="BI870" s="28"/>
      <c r="BJ870" s="36"/>
      <c r="BK870" s="28"/>
      <c r="BL870" s="36"/>
      <c r="BM870" s="28"/>
      <c r="BN870" s="36"/>
      <c r="BO870" s="28"/>
      <c r="BP870" s="36"/>
      <c r="BQ870" s="28"/>
      <c r="BR870" s="28"/>
      <c r="BS870" s="28"/>
      <c r="BT870" s="47"/>
      <c r="BU870" s="28"/>
      <c r="BV870" s="36"/>
      <c r="BW870" s="28"/>
      <c r="BX870" s="36"/>
      <c r="BY870" s="28"/>
      <c r="BZ870" s="36"/>
      <c r="CA870" s="28"/>
      <c r="CB870" s="36"/>
      <c r="CC870" s="28"/>
      <c r="CD870" s="36"/>
      <c r="CE870" s="28"/>
      <c r="CF870" s="36"/>
      <c r="CG870" s="28"/>
      <c r="CH870" s="36"/>
      <c r="CI870" s="28"/>
      <c r="CJ870" s="36"/>
      <c r="CK870" s="28"/>
      <c r="CL870" s="36"/>
      <c r="CM870" s="28"/>
      <c r="CN870" s="36"/>
      <c r="CO870" s="28"/>
      <c r="CP870" s="36"/>
      <c r="CQ870" s="28"/>
      <c r="CR870" s="36"/>
      <c r="CS870" s="28"/>
      <c r="CT870" s="36"/>
      <c r="CU870" s="28"/>
      <c r="CV870" s="36"/>
      <c r="CW870" s="28"/>
      <c r="CX870" s="36"/>
      <c r="CY870" s="28"/>
      <c r="CZ870" s="36"/>
      <c r="DA870" s="28"/>
      <c r="DB870" s="36"/>
      <c r="DC870" s="28"/>
      <c r="DD870" s="36"/>
      <c r="DE870" s="28"/>
      <c r="DF870" s="36"/>
      <c r="DG870" s="28"/>
      <c r="DH870" s="36"/>
      <c r="DI870" s="28"/>
      <c r="DJ870" s="36"/>
      <c r="DK870" s="28"/>
      <c r="DL870" s="36"/>
      <c r="DM870" s="28"/>
      <c r="DN870" s="36"/>
      <c r="DO870" s="28"/>
      <c r="DP870" s="36"/>
      <c r="DQ870" s="28"/>
      <c r="DR870" s="36"/>
      <c r="DS870" s="28"/>
      <c r="DT870" s="36"/>
      <c r="DU870" s="28"/>
      <c r="DV870" s="36"/>
      <c r="DW870" s="48"/>
      <c r="DX870" s="36"/>
      <c r="DY870" s="48"/>
      <c r="DZ870" s="36"/>
      <c r="EA870" s="48"/>
      <c r="EB870" s="36"/>
      <c r="EC870" s="48"/>
      <c r="ED870" s="36"/>
      <c r="EE870" s="48"/>
      <c r="EF870" s="36"/>
      <c r="EG870" s="48"/>
      <c r="EH870" s="36"/>
      <c r="EI870" s="48"/>
      <c r="EJ870" s="36"/>
      <c r="EK870" s="48"/>
      <c r="EL870" s="36"/>
      <c r="EM870" s="48"/>
      <c r="EN870" s="36"/>
      <c r="EO870" s="48"/>
      <c r="EP870" s="36"/>
      <c r="EQ870" s="48"/>
      <c r="ER870" s="36"/>
      <c r="ES870" s="48"/>
      <c r="ET870" s="36"/>
      <c r="EU870" s="48"/>
      <c r="EV870" s="36"/>
      <c r="EW870" s="48"/>
      <c r="EX870" s="36"/>
      <c r="EY870" s="36"/>
      <c r="EZ870" s="302"/>
      <c r="FA870" s="36"/>
      <c r="FB870" s="49"/>
      <c r="FC870" s="36"/>
      <c r="FD870" s="49"/>
      <c r="FE870" s="36"/>
      <c r="FF870" s="50"/>
      <c r="FG870" s="36"/>
      <c r="FH870" s="50"/>
      <c r="FI870" s="36"/>
      <c r="FJ870" s="50"/>
      <c r="FK870" s="36"/>
      <c r="FL870" s="50"/>
      <c r="FM870" s="36"/>
      <c r="FN870" s="50"/>
      <c r="FO870" s="36"/>
      <c r="FP870" s="49"/>
      <c r="FQ870" s="36"/>
      <c r="FR870" s="49"/>
      <c r="FS870" s="36"/>
      <c r="FT870" s="49"/>
      <c r="FU870" s="36"/>
      <c r="FV870" s="49"/>
      <c r="FW870" s="36"/>
      <c r="FX870" s="49"/>
      <c r="FY870" s="36"/>
      <c r="FZ870" s="49"/>
      <c r="GA870" s="36"/>
      <c r="GB870" s="49"/>
      <c r="GC870" s="36"/>
      <c r="GD870" s="49"/>
      <c r="GE870" s="36"/>
      <c r="GF870" s="49"/>
      <c r="GG870" s="36"/>
      <c r="GH870" s="49"/>
      <c r="GI870" s="36"/>
      <c r="GJ870" s="49"/>
      <c r="GK870" s="36"/>
      <c r="GL870" s="49"/>
      <c r="GM870" s="36"/>
      <c r="GN870" s="49"/>
      <c r="GO870" s="36"/>
      <c r="GP870" s="49"/>
      <c r="GQ870" s="36"/>
      <c r="GR870" s="49"/>
      <c r="GS870" s="36"/>
      <c r="GT870" s="49"/>
      <c r="GU870" s="36"/>
      <c r="GV870" s="49"/>
      <c r="GW870" s="36"/>
      <c r="GX870" s="49"/>
      <c r="GY870" s="36"/>
      <c r="GZ870" s="36"/>
      <c r="HA870" s="36"/>
      <c r="HB870" s="155"/>
      <c r="HC870"/>
      <c r="HD870"/>
      <c r="HE870"/>
      <c r="HF870"/>
      <c r="HG870"/>
      <c r="HH870"/>
      <c r="HI870" s="2"/>
    </row>
    <row r="871" spans="2:217" s="22" customFormat="1" ht="12.75" hidden="1" customHeight="1" outlineLevel="1" x14ac:dyDescent="0.2">
      <c r="B871" s="24" t="s">
        <v>614</v>
      </c>
      <c r="D871" s="32"/>
      <c r="F871" s="32"/>
      <c r="H871" s="32"/>
      <c r="J871" s="32"/>
      <c r="L871" s="32"/>
      <c r="N871" s="32"/>
      <c r="P871" s="32"/>
      <c r="R871" s="32"/>
      <c r="T871" s="32"/>
      <c r="V871" s="32"/>
      <c r="X871" s="32"/>
      <c r="Z871" s="32"/>
      <c r="AB871" s="32"/>
      <c r="AD871" s="32"/>
      <c r="AF871" s="32"/>
      <c r="AH871" s="32"/>
      <c r="AJ871" s="32"/>
      <c r="AL871" s="32"/>
      <c r="AN871" s="32"/>
      <c r="AP871" s="32"/>
      <c r="AR871" s="32"/>
      <c r="AT871" s="32"/>
      <c r="AV871" s="32"/>
      <c r="AX871" s="32"/>
      <c r="AY871" s="28"/>
      <c r="AZ871" s="29"/>
      <c r="BA871" s="28"/>
      <c r="BB871" s="29"/>
      <c r="BC871" s="28"/>
      <c r="BD871" s="29"/>
      <c r="BE871" s="28"/>
      <c r="BF871" s="29"/>
      <c r="BG871" s="28"/>
      <c r="BH871" s="36"/>
      <c r="BI871" s="28"/>
      <c r="BJ871" s="36"/>
      <c r="BK871" s="28"/>
      <c r="BL871" s="36"/>
      <c r="BM871" s="28"/>
      <c r="BN871" s="36"/>
      <c r="BO871" s="28"/>
      <c r="BP871" s="36"/>
      <c r="BQ871" s="28"/>
      <c r="BR871" s="28"/>
      <c r="BS871" s="28"/>
      <c r="BT871" s="47"/>
      <c r="BU871" s="28"/>
      <c r="BV871" s="36"/>
      <c r="BW871" s="28"/>
      <c r="BX871" s="36"/>
      <c r="BY871" s="28"/>
      <c r="BZ871" s="36"/>
      <c r="CA871" s="28"/>
      <c r="CB871" s="36"/>
      <c r="CC871" s="28"/>
      <c r="CD871" s="36"/>
      <c r="CE871" s="28"/>
      <c r="CF871" s="36"/>
      <c r="CG871" s="28"/>
      <c r="CH871" s="36"/>
      <c r="CI871" s="28"/>
      <c r="CJ871" s="36"/>
      <c r="CK871" s="28"/>
      <c r="CL871" s="36"/>
      <c r="CM871" s="28"/>
      <c r="CN871" s="36"/>
      <c r="CO871" s="28"/>
      <c r="CP871" s="36"/>
      <c r="CQ871" s="28"/>
      <c r="CR871" s="36"/>
      <c r="CS871" s="28"/>
      <c r="CT871" s="36"/>
      <c r="CU871" s="28"/>
      <c r="CV871" s="36"/>
      <c r="CW871" s="28"/>
      <c r="CX871" s="36"/>
      <c r="CY871" s="28"/>
      <c r="CZ871" s="36"/>
      <c r="DA871" s="28"/>
      <c r="DB871" s="36"/>
      <c r="DC871" s="28"/>
      <c r="DD871" s="36"/>
      <c r="DE871" s="28"/>
      <c r="DF871" s="36"/>
      <c r="DG871" s="28"/>
      <c r="DH871" s="36"/>
      <c r="DI871" s="28"/>
      <c r="DJ871" s="36"/>
      <c r="DK871" s="28"/>
      <c r="DL871" s="36"/>
      <c r="DM871" s="28"/>
      <c r="DN871" s="36"/>
      <c r="DO871" s="28"/>
      <c r="DP871" s="36"/>
      <c r="DQ871" s="28"/>
      <c r="DR871" s="36"/>
      <c r="DS871" s="28"/>
      <c r="DT871" s="36"/>
      <c r="DU871" s="28"/>
      <c r="DV871" s="36"/>
      <c r="DW871" s="51">
        <f>DW624</f>
        <v>250</v>
      </c>
      <c r="DX871" s="36"/>
      <c r="DY871" s="51">
        <f>DY624</f>
        <v>250</v>
      </c>
      <c r="DZ871" s="36"/>
      <c r="EA871" s="51">
        <f>EA624</f>
        <v>375</v>
      </c>
      <c r="EB871" s="36"/>
      <c r="EC871" s="51">
        <f>EC624</f>
        <v>375</v>
      </c>
      <c r="ED871" s="36"/>
      <c r="EE871" s="51">
        <f>EE624</f>
        <v>625</v>
      </c>
      <c r="EF871" s="36"/>
      <c r="EG871" s="51">
        <f>EG624</f>
        <v>625</v>
      </c>
      <c r="EH871" s="36"/>
      <c r="EI871" s="51">
        <f>EI624</f>
        <v>312.5</v>
      </c>
      <c r="EJ871" s="36"/>
      <c r="EK871" s="51">
        <f>EK624</f>
        <v>312.5</v>
      </c>
      <c r="EL871" s="36"/>
      <c r="EM871" s="51">
        <f>EM624</f>
        <v>312.5</v>
      </c>
      <c r="EN871" s="36"/>
      <c r="EO871" s="51">
        <f>EO624</f>
        <v>312.5</v>
      </c>
      <c r="EP871" s="36"/>
      <c r="EQ871" s="51">
        <f t="shared" ref="EQ871" si="3582">EQ624</f>
        <v>375</v>
      </c>
      <c r="ER871" s="36"/>
      <c r="ES871" s="51">
        <f t="shared" ref="ES871" si="3583">ES624</f>
        <v>375</v>
      </c>
      <c r="ET871" s="36"/>
      <c r="EU871" s="51">
        <f t="shared" ref="EU871" si="3584">EU624</f>
        <v>375</v>
      </c>
      <c r="EV871" s="36"/>
      <c r="EW871" s="51">
        <f t="shared" ref="EW871" si="3585">EW624</f>
        <v>375</v>
      </c>
      <c r="EX871" s="36"/>
      <c r="EY871" s="36"/>
      <c r="EZ871" s="302"/>
      <c r="FA871" s="36"/>
      <c r="FB871" s="49"/>
      <c r="FC871" s="36"/>
      <c r="FD871" s="49"/>
      <c r="FE871" s="36"/>
      <c r="FF871" s="50"/>
      <c r="FG871" s="36"/>
      <c r="FH871" s="50"/>
      <c r="FI871" s="36"/>
      <c r="FJ871" s="50"/>
      <c r="FK871" s="36"/>
      <c r="FL871" s="50"/>
      <c r="FM871" s="36"/>
      <c r="FN871" s="50"/>
      <c r="FO871" s="36"/>
      <c r="FP871" s="49"/>
      <c r="FQ871" s="36"/>
      <c r="FR871" s="49"/>
      <c r="FS871" s="36"/>
      <c r="FT871" s="48"/>
      <c r="FU871" s="36"/>
      <c r="FV871" s="48"/>
      <c r="FW871" s="36"/>
      <c r="FX871" s="48"/>
      <c r="FY871" s="36"/>
      <c r="FZ871" s="48"/>
      <c r="GA871" s="36"/>
      <c r="GB871" s="48"/>
      <c r="GC871" s="36"/>
      <c r="GD871" s="48"/>
      <c r="GE871" s="36"/>
      <c r="GF871" s="48"/>
      <c r="GG871" s="36"/>
      <c r="GH871" s="48"/>
      <c r="GI871" s="36"/>
      <c r="GJ871" s="48"/>
      <c r="GK871" s="36"/>
      <c r="GL871" s="48">
        <f>GL624</f>
        <v>2000</v>
      </c>
      <c r="GM871" s="36"/>
      <c r="GN871" s="48">
        <f>GN624</f>
        <v>1250</v>
      </c>
      <c r="GO871" s="36"/>
      <c r="GP871" s="48">
        <f>GP624</f>
        <v>1500</v>
      </c>
      <c r="GQ871" s="36"/>
      <c r="GR871" s="51">
        <f>GR624</f>
        <v>1500</v>
      </c>
      <c r="GS871" s="36"/>
      <c r="GT871" s="51">
        <f>GT624</f>
        <v>1600</v>
      </c>
      <c r="GU871" s="36"/>
      <c r="GV871" s="51">
        <f>GV624</f>
        <v>1600</v>
      </c>
      <c r="GW871" s="36"/>
      <c r="GX871" s="51">
        <f>GX624</f>
        <v>1600</v>
      </c>
      <c r="GY871" s="36"/>
      <c r="GZ871" s="36"/>
      <c r="HA871" s="36"/>
      <c r="HB871" s="155"/>
      <c r="HC871"/>
      <c r="HD871"/>
      <c r="HE871"/>
      <c r="HF871"/>
      <c r="HG871"/>
      <c r="HH871"/>
      <c r="HI871" s="2"/>
    </row>
    <row r="872" spans="2:217" s="22" customFormat="1" ht="12.75" hidden="1" customHeight="1" outlineLevel="1" x14ac:dyDescent="0.2">
      <c r="B872" s="24" t="s">
        <v>618</v>
      </c>
      <c r="D872" s="32"/>
      <c r="F872" s="32"/>
      <c r="H872" s="32"/>
      <c r="J872" s="32"/>
      <c r="L872" s="32"/>
      <c r="N872" s="32"/>
      <c r="P872" s="32"/>
      <c r="R872" s="32"/>
      <c r="T872" s="32"/>
      <c r="V872" s="32"/>
      <c r="X872" s="32"/>
      <c r="Z872" s="32"/>
      <c r="AB872" s="32"/>
      <c r="AD872" s="32"/>
      <c r="AF872" s="32"/>
      <c r="AH872" s="32"/>
      <c r="AJ872" s="32"/>
      <c r="AL872" s="32"/>
      <c r="AN872" s="32"/>
      <c r="AP872" s="32"/>
      <c r="AR872" s="32"/>
      <c r="AT872" s="32"/>
      <c r="AV872" s="32"/>
      <c r="AX872" s="32"/>
      <c r="AY872" s="28"/>
      <c r="AZ872" s="29"/>
      <c r="BA872" s="28"/>
      <c r="BB872" s="29"/>
      <c r="BC872" s="28"/>
      <c r="BD872" s="29"/>
      <c r="BE872" s="28"/>
      <c r="BF872" s="29"/>
      <c r="BG872" s="28"/>
      <c r="BH872" s="36"/>
      <c r="BI872" s="28"/>
      <c r="BJ872" s="36"/>
      <c r="BK872" s="28"/>
      <c r="BL872" s="36"/>
      <c r="BM872" s="28"/>
      <c r="BN872" s="36"/>
      <c r="BO872" s="28"/>
      <c r="BP872" s="36"/>
      <c r="BQ872" s="28"/>
      <c r="BR872" s="28"/>
      <c r="BS872" s="28"/>
      <c r="BT872" s="52"/>
      <c r="BU872" s="28"/>
      <c r="BV872" s="36"/>
      <c r="BW872" s="28"/>
      <c r="BX872" s="36"/>
      <c r="BY872" s="28"/>
      <c r="BZ872" s="36"/>
      <c r="CA872" s="28"/>
      <c r="CB872" s="36"/>
      <c r="CC872" s="28"/>
      <c r="CD872" s="36"/>
      <c r="CE872" s="28"/>
      <c r="CF872" s="36"/>
      <c r="CG872" s="28"/>
      <c r="CH872" s="36"/>
      <c r="CI872" s="28"/>
      <c r="CJ872" s="36"/>
      <c r="CK872" s="28"/>
      <c r="CL872" s="36"/>
      <c r="CM872" s="28"/>
      <c r="CN872" s="36"/>
      <c r="CO872" s="28"/>
      <c r="CP872" s="36"/>
      <c r="CQ872" s="28"/>
      <c r="CR872" s="36"/>
      <c r="CS872" s="28"/>
      <c r="CT872" s="36"/>
      <c r="CU872" s="28"/>
      <c r="CV872" s="36"/>
      <c r="CW872" s="28"/>
      <c r="CX872" s="36"/>
      <c r="CY872" s="28"/>
      <c r="CZ872" s="36"/>
      <c r="DA872" s="28"/>
      <c r="DB872" s="36"/>
      <c r="DC872" s="28"/>
      <c r="DD872" s="36"/>
      <c r="DE872" s="28"/>
      <c r="DF872" s="36"/>
      <c r="DG872" s="28"/>
      <c r="DH872" s="36"/>
      <c r="DI872" s="28"/>
      <c r="DJ872" s="36"/>
      <c r="DK872" s="28"/>
      <c r="DL872" s="36"/>
      <c r="DM872" s="28"/>
      <c r="DN872" s="36"/>
      <c r="DO872" s="28"/>
      <c r="DP872" s="36"/>
      <c r="DQ872" s="28"/>
      <c r="DR872" s="36"/>
      <c r="DS872" s="28"/>
      <c r="DT872" s="36"/>
      <c r="DU872" s="28"/>
      <c r="DV872" s="36"/>
      <c r="DW872" s="53">
        <v>250</v>
      </c>
      <c r="DX872" s="36"/>
      <c r="DY872" s="53">
        <v>250</v>
      </c>
      <c r="DZ872" s="36"/>
      <c r="EA872" s="53">
        <v>250</v>
      </c>
      <c r="EB872" s="36"/>
      <c r="EC872" s="53">
        <v>250</v>
      </c>
      <c r="ED872" s="36"/>
      <c r="EE872" s="53">
        <v>250</v>
      </c>
      <c r="EF872" s="36"/>
      <c r="EG872" s="53">
        <v>250</v>
      </c>
      <c r="EH872" s="36"/>
      <c r="EI872" s="53">
        <v>250</v>
      </c>
      <c r="EJ872" s="36"/>
      <c r="EK872" s="53">
        <v>250</v>
      </c>
      <c r="EL872" s="36"/>
      <c r="EM872" s="53">
        <v>250</v>
      </c>
      <c r="EN872" s="36"/>
      <c r="EO872" s="53">
        <v>250</v>
      </c>
      <c r="EP872" s="36"/>
      <c r="EQ872" s="53">
        <v>250</v>
      </c>
      <c r="ER872" s="36"/>
      <c r="ES872" s="53">
        <v>250</v>
      </c>
      <c r="ET872" s="36"/>
      <c r="EU872" s="53">
        <v>250</v>
      </c>
      <c r="EV872" s="36"/>
      <c r="EW872" s="53">
        <v>250</v>
      </c>
      <c r="EX872" s="36"/>
      <c r="EY872" s="36"/>
      <c r="EZ872" s="302"/>
      <c r="FA872" s="36"/>
      <c r="FB872" s="49"/>
      <c r="FC872" s="36"/>
      <c r="FD872" s="49"/>
      <c r="FE872" s="36"/>
      <c r="FF872" s="50"/>
      <c r="FG872" s="36"/>
      <c r="FH872" s="50"/>
      <c r="FI872" s="36"/>
      <c r="FJ872" s="50"/>
      <c r="FK872" s="36"/>
      <c r="FL872" s="50"/>
      <c r="FM872" s="36"/>
      <c r="FN872" s="50"/>
      <c r="FO872" s="36"/>
      <c r="FP872" s="49"/>
      <c r="FQ872" s="36"/>
      <c r="FR872" s="49"/>
      <c r="FS872" s="36"/>
      <c r="FT872" s="49"/>
      <c r="FU872" s="36"/>
      <c r="FV872" s="49"/>
      <c r="FW872" s="54"/>
      <c r="FX872" s="54"/>
      <c r="FY872" s="54"/>
      <c r="FZ872" s="54"/>
      <c r="GA872" s="54"/>
      <c r="GB872" s="211"/>
      <c r="GC872" s="54"/>
      <c r="GD872" s="211"/>
      <c r="GE872" s="54"/>
      <c r="GF872" s="211"/>
      <c r="GG872" s="793"/>
      <c r="GH872" s="211"/>
      <c r="GI872" s="793"/>
      <c r="GJ872" s="211"/>
      <c r="GK872" s="793"/>
      <c r="GL872" s="211">
        <v>1000</v>
      </c>
      <c r="GM872" s="793"/>
      <c r="GN872" s="211">
        <v>1000</v>
      </c>
      <c r="GO872" s="793"/>
      <c r="GP872" s="211">
        <v>1000</v>
      </c>
      <c r="GQ872" s="793"/>
      <c r="GR872" s="53">
        <v>1000</v>
      </c>
      <c r="GS872" s="793"/>
      <c r="GT872" s="53">
        <v>1000</v>
      </c>
      <c r="GU872" s="793"/>
      <c r="GV872" s="53">
        <v>1000</v>
      </c>
      <c r="GW872" s="793"/>
      <c r="GX872" s="53">
        <v>1000</v>
      </c>
      <c r="GY872" s="793"/>
      <c r="GZ872" s="54"/>
      <c r="HA872" s="54"/>
      <c r="HB872" s="243"/>
      <c r="HC872"/>
      <c r="HD872"/>
      <c r="HE872"/>
      <c r="HF872"/>
      <c r="HG872"/>
      <c r="HH872"/>
      <c r="HI872" s="2"/>
    </row>
    <row r="873" spans="2:217" s="22" customFormat="1" ht="12.75" hidden="1" customHeight="1" outlineLevel="1" x14ac:dyDescent="0.2">
      <c r="B873" s="24" t="s">
        <v>46</v>
      </c>
      <c r="D873" s="32"/>
      <c r="F873" s="32"/>
      <c r="H873" s="32"/>
      <c r="J873" s="32"/>
      <c r="L873" s="32"/>
      <c r="N873" s="32"/>
      <c r="P873" s="32"/>
      <c r="R873" s="32"/>
      <c r="T873" s="32"/>
      <c r="V873" s="32"/>
      <c r="X873" s="32"/>
      <c r="Z873" s="32"/>
      <c r="AB873" s="32"/>
      <c r="AD873" s="32"/>
      <c r="AF873" s="32"/>
      <c r="AH873" s="32"/>
      <c r="AJ873" s="32"/>
      <c r="AL873" s="32"/>
      <c r="AN873" s="32"/>
      <c r="AP873" s="32"/>
      <c r="AR873" s="32"/>
      <c r="AT873" s="32"/>
      <c r="AV873" s="32"/>
      <c r="AX873" s="32"/>
      <c r="AY873" s="28"/>
      <c r="AZ873" s="29"/>
      <c r="BA873" s="28"/>
      <c r="BB873" s="29"/>
      <c r="BC873" s="28"/>
      <c r="BD873" s="29"/>
      <c r="BE873" s="28"/>
      <c r="BF873" s="29"/>
      <c r="BG873" s="28"/>
      <c r="BH873" s="36"/>
      <c r="BI873" s="28"/>
      <c r="BJ873" s="36"/>
      <c r="BK873" s="28"/>
      <c r="BL873" s="36"/>
      <c r="BM873" s="28"/>
      <c r="BN873" s="36"/>
      <c r="BO873" s="28"/>
      <c r="BP873" s="36"/>
      <c r="BQ873" s="28"/>
      <c r="BR873" s="28"/>
      <c r="BS873" s="28"/>
      <c r="BT873" s="52"/>
      <c r="BU873" s="28"/>
      <c r="BV873" s="36"/>
      <c r="BW873" s="28"/>
      <c r="BX873" s="36"/>
      <c r="BY873" s="28"/>
      <c r="BZ873" s="36"/>
      <c r="CA873" s="28"/>
      <c r="CB873" s="36"/>
      <c r="CC873" s="28"/>
      <c r="CD873" s="36"/>
      <c r="CE873" s="28"/>
      <c r="CF873" s="36"/>
      <c r="CG873" s="28"/>
      <c r="CH873" s="36"/>
      <c r="CI873" s="28"/>
      <c r="CJ873" s="36"/>
      <c r="CK873" s="28"/>
      <c r="CL873" s="36"/>
      <c r="CM873" s="28"/>
      <c r="CN873" s="36"/>
      <c r="CO873" s="28"/>
      <c r="CP873" s="36"/>
      <c r="CQ873" s="28"/>
      <c r="CR873" s="36"/>
      <c r="CS873" s="28"/>
      <c r="CT873" s="36"/>
      <c r="CU873" s="28"/>
      <c r="CV873" s="36"/>
      <c r="CW873" s="28"/>
      <c r="CX873" s="36"/>
      <c r="CY873" s="28"/>
      <c r="CZ873" s="36"/>
      <c r="DA873" s="28"/>
      <c r="DB873" s="36"/>
      <c r="DC873" s="28"/>
      <c r="DD873" s="36"/>
      <c r="DE873" s="28"/>
      <c r="DF873" s="36"/>
      <c r="DG873" s="28"/>
      <c r="DH873" s="36"/>
      <c r="DI873" s="28"/>
      <c r="DJ873" s="36"/>
      <c r="DK873" s="28"/>
      <c r="DL873" s="36"/>
      <c r="DM873" s="28"/>
      <c r="DN873" s="36"/>
      <c r="DO873" s="28"/>
      <c r="DP873" s="36"/>
      <c r="DQ873" s="28"/>
      <c r="DR873" s="36"/>
      <c r="DS873" s="28"/>
      <c r="DT873" s="36"/>
      <c r="DU873" s="28"/>
      <c r="DV873" s="36"/>
      <c r="DW873" s="55">
        <v>-250</v>
      </c>
      <c r="DX873" s="36"/>
      <c r="DY873" s="55">
        <v>-250</v>
      </c>
      <c r="DZ873" s="36"/>
      <c r="EA873" s="55">
        <v>-250</v>
      </c>
      <c r="EB873" s="36"/>
      <c r="EC873" s="55">
        <v>-250</v>
      </c>
      <c r="ED873" s="36"/>
      <c r="EE873" s="55">
        <v>-250</v>
      </c>
      <c r="EF873" s="36"/>
      <c r="EG873" s="55">
        <v>-250</v>
      </c>
      <c r="EH873" s="36"/>
      <c r="EI873" s="55">
        <v>-250</v>
      </c>
      <c r="EJ873" s="36"/>
      <c r="EK873" s="55">
        <v>-250</v>
      </c>
      <c r="EL873" s="36"/>
      <c r="EM873" s="55">
        <v>-250</v>
      </c>
      <c r="EN873" s="36"/>
      <c r="EO873" s="55">
        <v>-250</v>
      </c>
      <c r="EP873" s="36"/>
      <c r="EQ873" s="55">
        <v>-250</v>
      </c>
      <c r="ER873" s="36"/>
      <c r="ES873" s="55">
        <v>-250</v>
      </c>
      <c r="ET873" s="36"/>
      <c r="EU873" s="55">
        <v>-250</v>
      </c>
      <c r="EV873" s="36"/>
      <c r="EW873" s="55">
        <v>-250</v>
      </c>
      <c r="EX873" s="36"/>
      <c r="EY873" s="36"/>
      <c r="EZ873" s="302"/>
      <c r="FA873" s="36"/>
      <c r="FB873" s="49"/>
      <c r="FC873" s="36"/>
      <c r="FD873" s="49"/>
      <c r="FE873" s="36"/>
      <c r="FF873" s="50"/>
      <c r="FG873" s="36"/>
      <c r="FH873" s="50"/>
      <c r="FI873" s="36"/>
      <c r="FJ873" s="50"/>
      <c r="FK873" s="36"/>
      <c r="FL873" s="50"/>
      <c r="FM873" s="36"/>
      <c r="FN873" s="50"/>
      <c r="FO873" s="36"/>
      <c r="FP873" s="49"/>
      <c r="FQ873" s="36"/>
      <c r="FR873" s="49"/>
      <c r="FS873" s="36"/>
      <c r="FT873" s="49"/>
      <c r="FU873" s="36"/>
      <c r="FV873" s="49"/>
      <c r="FW873" s="54"/>
      <c r="FX873" s="54"/>
      <c r="FY873" s="54"/>
      <c r="FZ873" s="54"/>
      <c r="GA873" s="54"/>
      <c r="GB873" s="211"/>
      <c r="GC873" s="54"/>
      <c r="GD873" s="211"/>
      <c r="GE873" s="54"/>
      <c r="GF873" s="211"/>
      <c r="GG873" s="793"/>
      <c r="GH873" s="211"/>
      <c r="GI873" s="793"/>
      <c r="GJ873" s="211"/>
      <c r="GK873" s="793"/>
      <c r="GL873" s="211">
        <v>-1000</v>
      </c>
      <c r="GM873" s="793"/>
      <c r="GN873" s="211">
        <v>-1000</v>
      </c>
      <c r="GO873" s="793"/>
      <c r="GP873" s="211">
        <v>-1000</v>
      </c>
      <c r="GQ873" s="793"/>
      <c r="GR873" s="55">
        <v>-1000</v>
      </c>
      <c r="GS873" s="793"/>
      <c r="GT873" s="55">
        <v>-1000</v>
      </c>
      <c r="GU873" s="793"/>
      <c r="GV873" s="55">
        <v>-1000</v>
      </c>
      <c r="GW873" s="793"/>
      <c r="GX873" s="55">
        <v>-1000</v>
      </c>
      <c r="GY873" s="793"/>
      <c r="GZ873" s="54"/>
      <c r="HA873" s="54"/>
      <c r="HB873" s="243"/>
      <c r="HC873"/>
      <c r="HD873"/>
      <c r="HE873"/>
      <c r="HF873"/>
      <c r="HG873"/>
      <c r="HH873"/>
      <c r="HI873" s="2"/>
    </row>
    <row r="874" spans="2:217" s="22" customFormat="1" ht="12.75" hidden="1" customHeight="1" outlineLevel="1" x14ac:dyDescent="0.2">
      <c r="B874" s="31"/>
      <c r="D874" s="32"/>
      <c r="F874" s="32"/>
      <c r="H874" s="32"/>
      <c r="J874" s="32"/>
      <c r="L874" s="32"/>
      <c r="N874" s="32"/>
      <c r="P874" s="32"/>
      <c r="R874" s="32"/>
      <c r="T874" s="32"/>
      <c r="V874" s="32"/>
      <c r="X874" s="32"/>
      <c r="Z874" s="32"/>
      <c r="AB874" s="32"/>
      <c r="AD874" s="32"/>
      <c r="AF874" s="32"/>
      <c r="AH874" s="32"/>
      <c r="AJ874" s="32"/>
      <c r="AL874" s="32"/>
      <c r="AN874" s="32"/>
      <c r="AP874" s="32"/>
      <c r="AR874" s="32"/>
      <c r="AT874" s="32"/>
      <c r="AV874" s="32"/>
      <c r="AX874" s="32"/>
      <c r="AY874" s="28"/>
      <c r="AZ874" s="29"/>
      <c r="BA874" s="28"/>
      <c r="BB874" s="29"/>
      <c r="BC874" s="28"/>
      <c r="BD874" s="29"/>
      <c r="BE874" s="28"/>
      <c r="BF874" s="29"/>
      <c r="BG874" s="28"/>
      <c r="BH874" s="36"/>
      <c r="BI874" s="28"/>
      <c r="BJ874" s="36"/>
      <c r="BK874" s="28"/>
      <c r="BL874" s="36"/>
      <c r="BM874" s="28"/>
      <c r="BN874" s="36"/>
      <c r="BO874" s="28"/>
      <c r="BP874" s="36"/>
      <c r="BQ874" s="28"/>
      <c r="BR874" s="28"/>
      <c r="BS874" s="28"/>
      <c r="BT874" s="47"/>
      <c r="BU874" s="28"/>
      <c r="BV874" s="36"/>
      <c r="BW874" s="28"/>
      <c r="BX874" s="36"/>
      <c r="BY874" s="28"/>
      <c r="BZ874" s="36"/>
      <c r="CA874" s="28"/>
      <c r="CB874" s="36"/>
      <c r="CC874" s="28"/>
      <c r="CD874" s="36"/>
      <c r="CE874" s="28"/>
      <c r="CF874" s="36"/>
      <c r="CG874" s="28"/>
      <c r="CH874" s="36"/>
      <c r="CI874" s="28"/>
      <c r="CJ874" s="36"/>
      <c r="CK874" s="28"/>
      <c r="CL874" s="36"/>
      <c r="CM874" s="28"/>
      <c r="CN874" s="36"/>
      <c r="CO874" s="28"/>
      <c r="CP874" s="36"/>
      <c r="CQ874" s="28"/>
      <c r="CR874" s="36"/>
      <c r="CS874" s="28"/>
      <c r="CT874" s="36"/>
      <c r="CU874" s="28"/>
      <c r="CV874" s="36"/>
      <c r="CW874" s="28"/>
      <c r="CX874" s="36"/>
      <c r="CY874" s="28"/>
      <c r="CZ874" s="36"/>
      <c r="DA874" s="28"/>
      <c r="DB874" s="36"/>
      <c r="DC874" s="28"/>
      <c r="DD874" s="36"/>
      <c r="DE874" s="28"/>
      <c r="DF874" s="36"/>
      <c r="DG874" s="28"/>
      <c r="DH874" s="36"/>
      <c r="DI874" s="28"/>
      <c r="DJ874" s="36"/>
      <c r="DK874" s="28"/>
      <c r="DL874" s="36"/>
      <c r="DM874" s="28"/>
      <c r="DN874" s="36"/>
      <c r="DO874" s="28"/>
      <c r="DP874" s="36"/>
      <c r="DQ874" s="28"/>
      <c r="DR874" s="36"/>
      <c r="DS874" s="28"/>
      <c r="DT874" s="36"/>
      <c r="DU874" s="28"/>
      <c r="DV874" s="36"/>
      <c r="DW874" s="48"/>
      <c r="DX874" s="36"/>
      <c r="DY874" s="48"/>
      <c r="DZ874" s="36"/>
      <c r="EA874" s="48"/>
      <c r="EB874" s="36"/>
      <c r="EC874" s="48"/>
      <c r="ED874" s="36"/>
      <c r="EE874" s="48"/>
      <c r="EF874" s="36"/>
      <c r="EG874" s="48"/>
      <c r="EH874" s="36"/>
      <c r="EI874" s="48"/>
      <c r="EJ874" s="36"/>
      <c r="EK874" s="48"/>
      <c r="EL874" s="36"/>
      <c r="EM874" s="48"/>
      <c r="EN874" s="36"/>
      <c r="EO874" s="48"/>
      <c r="EP874" s="36"/>
      <c r="EQ874" s="48"/>
      <c r="ER874" s="36"/>
      <c r="ES874" s="48"/>
      <c r="ET874" s="36"/>
      <c r="EU874" s="48"/>
      <c r="EV874" s="36"/>
      <c r="EW874" s="48"/>
      <c r="EX874" s="36"/>
      <c r="EY874" s="36"/>
      <c r="EZ874" s="302"/>
      <c r="FA874" s="36"/>
      <c r="FB874" s="49"/>
      <c r="FC874" s="36"/>
      <c r="FD874" s="49"/>
      <c r="FE874" s="36"/>
      <c r="FF874" s="50"/>
      <c r="FG874" s="36"/>
      <c r="FH874" s="50"/>
      <c r="FI874" s="36"/>
      <c r="FJ874" s="50"/>
      <c r="FK874" s="36"/>
      <c r="FL874" s="50"/>
      <c r="FM874" s="36"/>
      <c r="FN874" s="50"/>
      <c r="FO874" s="36"/>
      <c r="FP874" s="49"/>
      <c r="FQ874" s="36"/>
      <c r="FR874" s="49"/>
      <c r="FS874" s="36"/>
      <c r="FT874" s="49"/>
      <c r="FU874" s="36"/>
      <c r="FV874" s="49"/>
      <c r="FW874" s="36"/>
      <c r="FX874" s="49"/>
      <c r="FY874" s="36"/>
      <c r="FZ874" s="49"/>
      <c r="GA874" s="36"/>
      <c r="GB874" s="49"/>
      <c r="GC874" s="36"/>
      <c r="GD874" s="49"/>
      <c r="GE874" s="36"/>
      <c r="GF874" s="49"/>
      <c r="GG874" s="36"/>
      <c r="GH874" s="49"/>
      <c r="GI874" s="36"/>
      <c r="GJ874" s="49"/>
      <c r="GK874" s="36"/>
      <c r="GL874" s="49"/>
      <c r="GM874" s="36"/>
      <c r="GN874" s="49"/>
      <c r="GO874" s="36"/>
      <c r="GP874" s="49"/>
      <c r="GQ874" s="36"/>
      <c r="GR874" s="49"/>
      <c r="GS874" s="36"/>
      <c r="GT874" s="49"/>
      <c r="GU874" s="36"/>
      <c r="GV874" s="49"/>
      <c r="GW874" s="36"/>
      <c r="GX874" s="49"/>
      <c r="GY874" s="36"/>
      <c r="GZ874" s="36"/>
      <c r="HA874" s="36"/>
      <c r="HB874" s="155"/>
      <c r="HC874"/>
      <c r="HD874"/>
      <c r="HE874"/>
      <c r="HF874"/>
      <c r="HG874"/>
      <c r="HH874"/>
      <c r="HI874" s="2"/>
    </row>
    <row r="875" spans="2:217" s="22" customFormat="1" ht="12.75" hidden="1" customHeight="1" outlineLevel="1" x14ac:dyDescent="0.2">
      <c r="B875" s="56" t="s">
        <v>490</v>
      </c>
      <c r="D875" s="32"/>
      <c r="F875" s="32"/>
      <c r="H875" s="32"/>
      <c r="J875" s="32"/>
      <c r="L875" s="32"/>
      <c r="N875" s="32"/>
      <c r="P875" s="32"/>
      <c r="R875" s="32"/>
      <c r="T875" s="32"/>
      <c r="V875" s="32"/>
      <c r="X875" s="32"/>
      <c r="Z875" s="32"/>
      <c r="AB875" s="32"/>
      <c r="AD875" s="32"/>
      <c r="AF875" s="32"/>
      <c r="AH875" s="32"/>
      <c r="AJ875" s="32"/>
      <c r="AL875" s="32"/>
      <c r="AN875" s="32"/>
      <c r="AP875" s="32"/>
      <c r="AR875" s="32"/>
      <c r="AT875" s="32"/>
      <c r="AV875" s="32"/>
      <c r="AX875" s="32"/>
      <c r="AY875" s="28"/>
      <c r="AZ875" s="29"/>
      <c r="BA875" s="28"/>
      <c r="BB875" s="29"/>
      <c r="BC875" s="28"/>
      <c r="BD875" s="29"/>
      <c r="BE875" s="28"/>
      <c r="BF875" s="29"/>
      <c r="BG875" s="28"/>
      <c r="BH875" s="36"/>
      <c r="BI875" s="28"/>
      <c r="BJ875" s="36"/>
      <c r="BK875" s="28"/>
      <c r="BL875" s="36"/>
      <c r="BM875" s="28"/>
      <c r="BN875" s="36"/>
      <c r="BO875" s="28"/>
      <c r="BP875" s="36"/>
      <c r="BQ875" s="28"/>
      <c r="BR875" s="28"/>
      <c r="BS875" s="28"/>
      <c r="BT875" s="47"/>
      <c r="BU875" s="28"/>
      <c r="BV875" s="36"/>
      <c r="BW875" s="28"/>
      <c r="BX875" s="36"/>
      <c r="BY875" s="28"/>
      <c r="BZ875" s="36"/>
      <c r="CA875" s="28"/>
      <c r="CB875" s="36"/>
      <c r="CC875" s="28"/>
      <c r="CD875" s="36"/>
      <c r="CE875" s="28"/>
      <c r="CF875" s="36"/>
      <c r="CG875" s="28"/>
      <c r="CH875" s="36"/>
      <c r="CI875" s="28"/>
      <c r="CJ875" s="36"/>
      <c r="CK875" s="28"/>
      <c r="CL875" s="36"/>
      <c r="CM875" s="28"/>
      <c r="CN875" s="36"/>
      <c r="CO875" s="28"/>
      <c r="CP875" s="36"/>
      <c r="CQ875" s="28"/>
      <c r="CR875" s="36"/>
      <c r="CS875" s="28"/>
      <c r="CT875" s="36"/>
      <c r="CU875" s="28"/>
      <c r="CV875" s="36"/>
      <c r="CW875" s="28"/>
      <c r="CX875" s="36"/>
      <c r="CY875" s="28"/>
      <c r="CZ875" s="36"/>
      <c r="DA875" s="28"/>
      <c r="DB875" s="36"/>
      <c r="DC875" s="28"/>
      <c r="DD875" s="36"/>
      <c r="DE875" s="28"/>
      <c r="DF875" s="36"/>
      <c r="DG875" s="28"/>
      <c r="DH875" s="36"/>
      <c r="DI875" s="28"/>
      <c r="DJ875" s="36"/>
      <c r="DK875" s="28"/>
      <c r="DL875" s="36"/>
      <c r="DM875" s="28"/>
      <c r="DN875" s="36"/>
      <c r="DO875" s="28"/>
      <c r="DP875" s="36"/>
      <c r="DQ875" s="28"/>
      <c r="DR875" s="36"/>
      <c r="DS875" s="28"/>
      <c r="DT875" s="36"/>
      <c r="DU875" s="28"/>
      <c r="DV875" s="36"/>
      <c r="DW875" s="48"/>
      <c r="DX875" s="36"/>
      <c r="DY875" s="48"/>
      <c r="DZ875" s="36"/>
      <c r="EA875" s="48"/>
      <c r="EB875" s="36"/>
      <c r="EC875" s="48"/>
      <c r="ED875" s="36"/>
      <c r="EE875" s="48"/>
      <c r="EF875" s="36"/>
      <c r="EG875" s="48"/>
      <c r="EH875" s="36"/>
      <c r="EI875" s="48"/>
      <c r="EJ875" s="36"/>
      <c r="EK875" s="48"/>
      <c r="EL875" s="36"/>
      <c r="EM875" s="48"/>
      <c r="EN875" s="36"/>
      <c r="EO875" s="48"/>
      <c r="EP875" s="36"/>
      <c r="EQ875" s="48"/>
      <c r="ER875" s="36"/>
      <c r="ES875" s="48"/>
      <c r="ET875" s="36"/>
      <c r="EU875" s="48"/>
      <c r="EV875" s="36"/>
      <c r="EW875" s="48"/>
      <c r="EX875" s="36"/>
      <c r="EY875" s="36"/>
      <c r="EZ875" s="302"/>
      <c r="FA875" s="36"/>
      <c r="FB875" s="49"/>
      <c r="FC875" s="36"/>
      <c r="FD875" s="49"/>
      <c r="FE875" s="36"/>
      <c r="FF875" s="50"/>
      <c r="FG875" s="36"/>
      <c r="FH875" s="50"/>
      <c r="FI875" s="36"/>
      <c r="FJ875" s="50"/>
      <c r="FK875" s="36"/>
      <c r="FL875" s="50"/>
      <c r="FM875" s="36"/>
      <c r="FN875" s="50"/>
      <c r="FO875" s="36"/>
      <c r="FP875" s="49"/>
      <c r="FQ875" s="36"/>
      <c r="FR875" s="49"/>
      <c r="FS875" s="36"/>
      <c r="FT875" s="49"/>
      <c r="FU875" s="36"/>
      <c r="FV875" s="49"/>
      <c r="FW875" s="36"/>
      <c r="FX875" s="49"/>
      <c r="FY875" s="36"/>
      <c r="FZ875" s="49"/>
      <c r="GA875" s="36"/>
      <c r="GB875" s="49"/>
      <c r="GC875" s="36"/>
      <c r="GD875" s="49"/>
      <c r="GE875" s="36"/>
      <c r="GF875" s="49"/>
      <c r="GG875" s="36"/>
      <c r="GH875" s="49"/>
      <c r="GI875" s="36"/>
      <c r="GJ875" s="49"/>
      <c r="GK875" s="36"/>
      <c r="GL875" s="49"/>
      <c r="GM875" s="36"/>
      <c r="GN875" s="49"/>
      <c r="GO875" s="36"/>
      <c r="GP875" s="49"/>
      <c r="GQ875" s="36"/>
      <c r="GR875" s="49"/>
      <c r="GS875" s="36"/>
      <c r="GT875" s="49"/>
      <c r="GU875" s="36"/>
      <c r="GV875" s="49"/>
      <c r="GW875" s="36"/>
      <c r="GX875" s="49"/>
      <c r="GY875" s="36"/>
      <c r="GZ875" s="36"/>
      <c r="HA875" s="36"/>
      <c r="HB875" s="155"/>
      <c r="HC875"/>
      <c r="HD875"/>
      <c r="HE875"/>
      <c r="HF875"/>
      <c r="HG875"/>
      <c r="HH875"/>
      <c r="HI875" s="2"/>
    </row>
    <row r="876" spans="2:217" s="22" customFormat="1" ht="12.75" hidden="1" customHeight="1" outlineLevel="1" x14ac:dyDescent="0.2">
      <c r="B876" s="56" t="s">
        <v>491</v>
      </c>
      <c r="D876" s="32"/>
      <c r="F876" s="32"/>
      <c r="H876" s="32"/>
      <c r="J876" s="32"/>
      <c r="L876" s="32"/>
      <c r="N876" s="32"/>
      <c r="P876" s="32"/>
      <c r="R876" s="32"/>
      <c r="T876" s="32"/>
      <c r="V876" s="32"/>
      <c r="X876" s="32"/>
      <c r="Z876" s="32"/>
      <c r="AB876" s="32"/>
      <c r="AD876" s="32"/>
      <c r="AF876" s="32"/>
      <c r="AH876" s="32"/>
      <c r="AJ876" s="32"/>
      <c r="AL876" s="32"/>
      <c r="AN876" s="32"/>
      <c r="AP876" s="32"/>
      <c r="AR876" s="32"/>
      <c r="AT876" s="32"/>
      <c r="AV876" s="32"/>
      <c r="AX876" s="32"/>
      <c r="AY876" s="28"/>
      <c r="AZ876" s="29"/>
      <c r="BA876" s="28"/>
      <c r="BB876" s="29"/>
      <c r="BC876" s="28"/>
      <c r="BD876" s="29"/>
      <c r="BE876" s="28"/>
      <c r="BF876" s="29"/>
      <c r="BG876" s="28"/>
      <c r="BH876" s="36"/>
      <c r="BI876" s="28"/>
      <c r="BJ876" s="36"/>
      <c r="BK876" s="28"/>
      <c r="BL876" s="36"/>
      <c r="BM876" s="28"/>
      <c r="BN876" s="36"/>
      <c r="BO876" s="28"/>
      <c r="BP876" s="36"/>
      <c r="BQ876" s="28"/>
      <c r="BR876" s="28"/>
      <c r="BS876" s="28"/>
      <c r="BT876" s="47"/>
      <c r="BU876" s="28"/>
      <c r="BV876" s="36"/>
      <c r="BW876" s="28"/>
      <c r="BX876" s="36"/>
      <c r="BY876" s="28"/>
      <c r="BZ876" s="36"/>
      <c r="CA876" s="28"/>
      <c r="CB876" s="36"/>
      <c r="CC876" s="28"/>
      <c r="CD876" s="36"/>
      <c r="CE876" s="28"/>
      <c r="CF876" s="36"/>
      <c r="CG876" s="28"/>
      <c r="CH876" s="36"/>
      <c r="CI876" s="28"/>
      <c r="CJ876" s="36"/>
      <c r="CK876" s="28"/>
      <c r="CL876" s="36"/>
      <c r="CM876" s="28"/>
      <c r="CN876" s="36"/>
      <c r="CO876" s="28"/>
      <c r="CP876" s="36"/>
      <c r="CQ876" s="28"/>
      <c r="CR876" s="36"/>
      <c r="CS876" s="28"/>
      <c r="CT876" s="36"/>
      <c r="CU876" s="28"/>
      <c r="CV876" s="36"/>
      <c r="CW876" s="28"/>
      <c r="CX876" s="36"/>
      <c r="CY876" s="28"/>
      <c r="CZ876" s="36"/>
      <c r="DA876" s="28"/>
      <c r="DB876" s="36"/>
      <c r="DC876" s="28"/>
      <c r="DD876" s="36"/>
      <c r="DE876" s="28"/>
      <c r="DF876" s="36"/>
      <c r="DG876" s="28"/>
      <c r="DH876" s="36"/>
      <c r="DI876" s="28"/>
      <c r="DJ876" s="36"/>
      <c r="DK876" s="28"/>
      <c r="DL876" s="36"/>
      <c r="DM876" s="28"/>
      <c r="DN876" s="36"/>
      <c r="DO876" s="28"/>
      <c r="DP876" s="36"/>
      <c r="DQ876" s="28"/>
      <c r="DR876" s="36"/>
      <c r="DS876" s="28"/>
      <c r="DT876" s="36"/>
      <c r="DU876" s="28"/>
      <c r="DV876" s="36"/>
      <c r="DW876" s="48"/>
      <c r="DX876" s="36"/>
      <c r="DY876" s="48"/>
      <c r="DZ876" s="36"/>
      <c r="EA876" s="48"/>
      <c r="EB876" s="36"/>
      <c r="EC876" s="48"/>
      <c r="ED876" s="36"/>
      <c r="EE876" s="48"/>
      <c r="EF876" s="36"/>
      <c r="EG876" s="48"/>
      <c r="EH876" s="36"/>
      <c r="EI876" s="48"/>
      <c r="EJ876" s="36"/>
      <c r="EK876" s="48"/>
      <c r="EL876" s="36"/>
      <c r="EM876" s="48"/>
      <c r="EN876" s="36"/>
      <c r="EO876" s="48"/>
      <c r="EP876" s="36"/>
      <c r="EQ876" s="48"/>
      <c r="ER876" s="36"/>
      <c r="ES876" s="48"/>
      <c r="ET876" s="36"/>
      <c r="EU876" s="48"/>
      <c r="EV876" s="36"/>
      <c r="EW876" s="48"/>
      <c r="EX876" s="36"/>
      <c r="EY876" s="36"/>
      <c r="EZ876" s="302"/>
      <c r="FA876" s="36"/>
      <c r="FB876" s="49"/>
      <c r="FC876" s="36"/>
      <c r="FD876" s="49"/>
      <c r="FE876" s="36"/>
      <c r="FF876" s="50"/>
      <c r="FG876" s="36"/>
      <c r="FH876" s="50"/>
      <c r="FI876" s="36"/>
      <c r="FJ876" s="50"/>
      <c r="FK876" s="36"/>
      <c r="FL876" s="50"/>
      <c r="FM876" s="36"/>
      <c r="FN876" s="50"/>
      <c r="FO876" s="36"/>
      <c r="FP876" s="49"/>
      <c r="FQ876" s="36"/>
      <c r="FR876" s="49"/>
      <c r="FS876" s="36"/>
      <c r="FT876" s="49"/>
      <c r="FU876" s="36"/>
      <c r="FV876" s="49"/>
      <c r="FW876" s="36"/>
      <c r="FX876" s="49"/>
      <c r="FY876" s="36"/>
      <c r="FZ876" s="49"/>
      <c r="GA876" s="36"/>
      <c r="GB876" s="49"/>
      <c r="GC876" s="36"/>
      <c r="GD876" s="49"/>
      <c r="GE876" s="36"/>
      <c r="GF876" s="49"/>
      <c r="GG876" s="36"/>
      <c r="GH876" s="49"/>
      <c r="GI876" s="36"/>
      <c r="GJ876" s="49"/>
      <c r="GK876" s="36"/>
      <c r="GL876" s="49"/>
      <c r="GM876" s="36"/>
      <c r="GN876" s="49"/>
      <c r="GO876" s="36"/>
      <c r="GP876" s="49"/>
      <c r="GQ876" s="36"/>
      <c r="GR876" s="49"/>
      <c r="GS876" s="36"/>
      <c r="GT876" s="49"/>
      <c r="GU876" s="36"/>
      <c r="GV876" s="49"/>
      <c r="GW876" s="36"/>
      <c r="GX876" s="49"/>
      <c r="GY876" s="36"/>
      <c r="GZ876" s="36"/>
      <c r="HA876" s="36"/>
      <c r="HB876" s="155"/>
      <c r="HC876"/>
      <c r="HD876"/>
      <c r="HE876"/>
      <c r="HF876"/>
      <c r="HG876"/>
      <c r="HH876"/>
      <c r="HI876" s="2"/>
    </row>
    <row r="877" spans="2:217" s="22" customFormat="1" ht="12.75" hidden="1" customHeight="1" outlineLevel="1" x14ac:dyDescent="0.2">
      <c r="B877" s="24" t="s">
        <v>614</v>
      </c>
      <c r="D877" s="32"/>
      <c r="F877" s="32"/>
      <c r="H877" s="32"/>
      <c r="J877" s="32"/>
      <c r="L877" s="32"/>
      <c r="N877" s="32"/>
      <c r="P877" s="32"/>
      <c r="R877" s="32"/>
      <c r="T877" s="32"/>
      <c r="V877" s="32"/>
      <c r="X877" s="32"/>
      <c r="Z877" s="32"/>
      <c r="AB877" s="32"/>
      <c r="AD877" s="32"/>
      <c r="AF877" s="32"/>
      <c r="AH877" s="32"/>
      <c r="AJ877" s="32"/>
      <c r="AL877" s="32"/>
      <c r="AN877" s="32"/>
      <c r="AP877" s="32"/>
      <c r="AR877" s="32"/>
      <c r="AT877" s="32"/>
      <c r="AV877" s="32"/>
      <c r="AX877" s="32"/>
      <c r="AY877" s="28"/>
      <c r="AZ877" s="29"/>
      <c r="BA877" s="28"/>
      <c r="BB877" s="29"/>
      <c r="BC877" s="28"/>
      <c r="BD877" s="29"/>
      <c r="BE877" s="28"/>
      <c r="BF877" s="29"/>
      <c r="BG877" s="28"/>
      <c r="BH877" s="38"/>
      <c r="BI877" s="28"/>
      <c r="BJ877" s="38"/>
      <c r="BK877" s="28"/>
      <c r="BL877" s="38"/>
      <c r="BM877" s="28"/>
      <c r="BN877" s="38"/>
      <c r="BO877" s="28"/>
      <c r="BP877" s="38"/>
      <c r="BQ877" s="28"/>
      <c r="BR877" s="28"/>
      <c r="BS877" s="28"/>
      <c r="BT877" s="57"/>
      <c r="BU877" s="28"/>
      <c r="BV877" s="38"/>
      <c r="BW877" s="28"/>
      <c r="BX877" s="38"/>
      <c r="BY877" s="28"/>
      <c r="BZ877" s="38"/>
      <c r="CA877" s="28"/>
      <c r="CB877" s="38"/>
      <c r="CC877" s="28"/>
      <c r="CD877" s="38"/>
      <c r="CE877" s="28"/>
      <c r="CF877" s="38"/>
      <c r="CG877" s="28"/>
      <c r="CH877" s="38"/>
      <c r="CI877" s="28"/>
      <c r="CJ877" s="38"/>
      <c r="CK877" s="28"/>
      <c r="CL877" s="38"/>
      <c r="CM877" s="28"/>
      <c r="CN877" s="38"/>
      <c r="CO877" s="28"/>
      <c r="CP877" s="38"/>
      <c r="CQ877" s="28"/>
      <c r="CR877" s="38"/>
      <c r="CS877" s="28"/>
      <c r="CT877" s="38"/>
      <c r="CU877" s="28"/>
      <c r="CV877" s="38"/>
      <c r="CW877" s="28"/>
      <c r="CX877" s="38"/>
      <c r="CY877" s="28"/>
      <c r="CZ877" s="38"/>
      <c r="DA877" s="28"/>
      <c r="DB877" s="38"/>
      <c r="DC877" s="28"/>
      <c r="DD877" s="38"/>
      <c r="DE877" s="28"/>
      <c r="DF877" s="38"/>
      <c r="DG877" s="28"/>
      <c r="DH877" s="38"/>
      <c r="DI877" s="28"/>
      <c r="DJ877" s="38"/>
      <c r="DK877" s="28"/>
      <c r="DL877" s="38"/>
      <c r="DM877" s="28"/>
      <c r="DN877" s="38"/>
      <c r="DO877" s="28"/>
      <c r="DP877" s="38"/>
      <c r="DQ877" s="28"/>
      <c r="DR877" s="38"/>
      <c r="DS877" s="28"/>
      <c r="DT877" s="38"/>
      <c r="DU877" s="28"/>
      <c r="DV877" s="38"/>
      <c r="DW877" s="42">
        <f>DW122</f>
        <v>65.872020075282308</v>
      </c>
      <c r="DX877" s="38"/>
      <c r="DY877" s="42">
        <f>DY122</f>
        <v>77.763328998699606</v>
      </c>
      <c r="DZ877" s="38"/>
      <c r="EA877" s="42">
        <f>EA122</f>
        <v>78.717948717948715</v>
      </c>
      <c r="EB877" s="38"/>
      <c r="EC877" s="42">
        <f>EC122</f>
        <v>174.12844036697248</v>
      </c>
      <c r="ED877" s="38"/>
      <c r="EE877" s="42">
        <f>EE122</f>
        <v>80.285343709468222</v>
      </c>
      <c r="EF877" s="38"/>
      <c r="EG877" s="42">
        <f>EG122</f>
        <v>76.91326530612244</v>
      </c>
      <c r="EH877" s="38"/>
      <c r="EI877" s="42">
        <f>EI122</f>
        <v>81.368821292775664</v>
      </c>
      <c r="EJ877" s="38"/>
      <c r="EK877" s="42">
        <f>EK122</f>
        <v>-2890</v>
      </c>
      <c r="EL877" s="38"/>
      <c r="EM877" s="42">
        <f>EM122</f>
        <v>74.797843665768198</v>
      </c>
      <c r="EN877" s="38"/>
      <c r="EO877" s="42">
        <f>EO122</f>
        <v>83.762886597938149</v>
      </c>
      <c r="EP877" s="38"/>
      <c r="EQ877" s="42">
        <f>EQ122</f>
        <v>82</v>
      </c>
      <c r="ER877" s="38"/>
      <c r="ES877" s="42">
        <f>ES122</f>
        <v>81</v>
      </c>
      <c r="ET877" s="38"/>
      <c r="EU877" s="42">
        <f>EU122</f>
        <v>80</v>
      </c>
      <c r="EV877" s="38"/>
      <c r="EW877" s="42">
        <f>EW122</f>
        <v>79</v>
      </c>
      <c r="EX877" s="38"/>
      <c r="EY877" s="38"/>
      <c r="EZ877" s="301"/>
      <c r="FA877" s="38"/>
      <c r="FB877" s="39"/>
      <c r="FC877" s="38"/>
      <c r="FD877" s="39"/>
      <c r="FE877" s="38"/>
      <c r="FF877" s="40"/>
      <c r="FG877" s="38"/>
      <c r="FH877" s="40"/>
      <c r="FI877" s="38"/>
      <c r="FJ877" s="40"/>
      <c r="FK877" s="38"/>
      <c r="FL877" s="40"/>
      <c r="FM877" s="38"/>
      <c r="FN877" s="40"/>
      <c r="FO877" s="38"/>
      <c r="FP877" s="39"/>
      <c r="FQ877" s="38"/>
      <c r="FR877" s="39"/>
      <c r="FS877" s="38"/>
      <c r="FT877" s="39"/>
      <c r="FU877" s="38"/>
      <c r="FV877" s="39"/>
      <c r="FW877" s="38"/>
      <c r="FX877" s="41"/>
      <c r="FY877" s="38"/>
      <c r="FZ877" s="41"/>
      <c r="GA877" s="38"/>
      <c r="GB877" s="41"/>
      <c r="GC877" s="38"/>
      <c r="GD877" s="41"/>
      <c r="GE877" s="38"/>
      <c r="GF877" s="41"/>
      <c r="GG877" s="38"/>
      <c r="GH877" s="41"/>
      <c r="GI877" s="38"/>
      <c r="GJ877" s="41"/>
      <c r="GK877" s="38"/>
      <c r="GL877" s="41">
        <f>GL122</f>
        <v>96.701388888888886</v>
      </c>
      <c r="GM877" s="38"/>
      <c r="GN877" s="41">
        <f>GN122</f>
        <v>92.99085764040052</v>
      </c>
      <c r="GO877" s="38"/>
      <c r="GP877" s="41">
        <f>GP122</f>
        <v>80.483150128492071</v>
      </c>
      <c r="GQ877" s="38"/>
      <c r="GR877" s="42">
        <f>GR122</f>
        <v>80.483150128492071</v>
      </c>
      <c r="GS877" s="38"/>
      <c r="GT877" s="42">
        <f>GT122</f>
        <v>80.483150128492071</v>
      </c>
      <c r="GU877" s="38"/>
      <c r="GV877" s="42">
        <f>GV122</f>
        <v>80.483150128492071</v>
      </c>
      <c r="GW877" s="38"/>
      <c r="GX877" s="42">
        <f>GX122</f>
        <v>80.483150128492071</v>
      </c>
      <c r="GY877" s="38"/>
      <c r="GZ877" s="38"/>
      <c r="HA877" s="38"/>
      <c r="HB877" s="241"/>
      <c r="HC877"/>
      <c r="HD877"/>
      <c r="HE877"/>
      <c r="HF877"/>
      <c r="HG877"/>
      <c r="HH877"/>
      <c r="HI877" s="2"/>
    </row>
    <row r="878" spans="2:217" s="22" customFormat="1" ht="12.75" hidden="1" customHeight="1" outlineLevel="1" x14ac:dyDescent="0.2">
      <c r="B878" s="24" t="s">
        <v>615</v>
      </c>
      <c r="D878" s="32"/>
      <c r="F878" s="32"/>
      <c r="H878" s="32"/>
      <c r="J878" s="32"/>
      <c r="L878" s="32"/>
      <c r="N878" s="32"/>
      <c r="P878" s="32"/>
      <c r="R878" s="32"/>
      <c r="T878" s="32"/>
      <c r="V878" s="32"/>
      <c r="X878" s="32"/>
      <c r="Z878" s="32"/>
      <c r="AB878" s="32"/>
      <c r="AD878" s="32"/>
      <c r="AF878" s="32"/>
      <c r="AH878" s="32"/>
      <c r="AJ878" s="32"/>
      <c r="AL878" s="32"/>
      <c r="AN878" s="32"/>
      <c r="AP878" s="32"/>
      <c r="AR878" s="32"/>
      <c r="AT878" s="32"/>
      <c r="AV878" s="32"/>
      <c r="AX878" s="32"/>
      <c r="AY878" s="28"/>
      <c r="AZ878" s="29"/>
      <c r="BA878" s="28"/>
      <c r="BB878" s="29"/>
      <c r="BC878" s="28"/>
      <c r="BD878" s="29"/>
      <c r="BE878" s="28"/>
      <c r="BF878" s="29"/>
      <c r="BG878" s="28"/>
      <c r="BH878" s="38"/>
      <c r="BI878" s="28"/>
      <c r="BJ878" s="38"/>
      <c r="BK878" s="28"/>
      <c r="BL878" s="38"/>
      <c r="BM878" s="28"/>
      <c r="BN878" s="38"/>
      <c r="BO878" s="28"/>
      <c r="BP878" s="58"/>
      <c r="BQ878" s="28"/>
      <c r="BR878" s="28"/>
      <c r="BS878" s="28"/>
      <c r="BT878" s="43"/>
      <c r="BU878" s="28"/>
      <c r="BV878" s="58"/>
      <c r="BW878" s="28"/>
      <c r="BX878" s="58"/>
      <c r="BY878" s="28"/>
      <c r="BZ878" s="58"/>
      <c r="CA878" s="28"/>
      <c r="CB878" s="58"/>
      <c r="CC878" s="28"/>
      <c r="CD878" s="58"/>
      <c r="CE878" s="28"/>
      <c r="CF878" s="58"/>
      <c r="CG878" s="28"/>
      <c r="CH878" s="58"/>
      <c r="CI878" s="28"/>
      <c r="CJ878" s="58"/>
      <c r="CK878" s="28"/>
      <c r="CL878" s="58"/>
      <c r="CM878" s="28"/>
      <c r="CN878" s="58"/>
      <c r="CO878" s="28"/>
      <c r="CP878" s="58"/>
      <c r="CQ878" s="28"/>
      <c r="CR878" s="58"/>
      <c r="CS878" s="28"/>
      <c r="CT878" s="58"/>
      <c r="CU878" s="28"/>
      <c r="CV878" s="58"/>
      <c r="CW878" s="28"/>
      <c r="CX878" s="58"/>
      <c r="CY878" s="28"/>
      <c r="CZ878" s="58"/>
      <c r="DA878" s="28"/>
      <c r="DB878" s="58"/>
      <c r="DC878" s="28"/>
      <c r="DD878" s="58"/>
      <c r="DE878" s="28"/>
      <c r="DF878" s="58"/>
      <c r="DG878" s="28"/>
      <c r="DH878" s="58"/>
      <c r="DI878" s="28"/>
      <c r="DJ878" s="58"/>
      <c r="DK878" s="28"/>
      <c r="DL878" s="58"/>
      <c r="DM878" s="28"/>
      <c r="DN878" s="58"/>
      <c r="DO878" s="28"/>
      <c r="DP878" s="58"/>
      <c r="DQ878" s="28"/>
      <c r="DR878" s="58"/>
      <c r="DS878" s="28"/>
      <c r="DT878" s="58"/>
      <c r="DU878" s="28"/>
      <c r="DV878" s="58"/>
      <c r="DW878" s="44">
        <v>-2</v>
      </c>
      <c r="DX878" s="58"/>
      <c r="DY878" s="44">
        <v>-2</v>
      </c>
      <c r="DZ878" s="58"/>
      <c r="EA878" s="44">
        <v>-2</v>
      </c>
      <c r="EB878" s="58"/>
      <c r="EC878" s="44">
        <v>-2</v>
      </c>
      <c r="ED878" s="58"/>
      <c r="EE878" s="44">
        <v>-2</v>
      </c>
      <c r="EF878" s="58"/>
      <c r="EG878" s="44">
        <v>-2</v>
      </c>
      <c r="EH878" s="58"/>
      <c r="EI878" s="44">
        <v>-2</v>
      </c>
      <c r="EJ878" s="58"/>
      <c r="EK878" s="44">
        <v>-2</v>
      </c>
      <c r="EL878" s="58"/>
      <c r="EM878" s="44">
        <v>-2</v>
      </c>
      <c r="EN878" s="58"/>
      <c r="EO878" s="44">
        <v>-2</v>
      </c>
      <c r="EP878" s="58"/>
      <c r="EQ878" s="44">
        <v>-2</v>
      </c>
      <c r="ER878" s="58"/>
      <c r="ES878" s="44">
        <v>-2</v>
      </c>
      <c r="ET878" s="58"/>
      <c r="EU878" s="44">
        <v>-2</v>
      </c>
      <c r="EV878" s="58"/>
      <c r="EW878" s="44">
        <v>-2</v>
      </c>
      <c r="EX878" s="58"/>
      <c r="EY878" s="58"/>
      <c r="EZ878" s="303"/>
      <c r="FA878" s="58"/>
      <c r="FB878" s="59"/>
      <c r="FC878" s="58"/>
      <c r="FD878" s="59"/>
      <c r="FE878" s="58"/>
      <c r="FF878" s="60"/>
      <c r="FG878" s="58"/>
      <c r="FH878" s="60"/>
      <c r="FI878" s="58"/>
      <c r="FJ878" s="60"/>
      <c r="FK878" s="58"/>
      <c r="FL878" s="60"/>
      <c r="FM878" s="58"/>
      <c r="FN878" s="60"/>
      <c r="FO878" s="58"/>
      <c r="FP878" s="59"/>
      <c r="FQ878" s="58"/>
      <c r="FR878" s="59"/>
      <c r="FS878" s="58"/>
      <c r="FT878" s="59"/>
      <c r="FU878" s="58"/>
      <c r="FV878" s="59"/>
      <c r="FW878" s="45"/>
      <c r="FX878" s="45"/>
      <c r="FY878" s="45"/>
      <c r="FZ878" s="45"/>
      <c r="GA878" s="45"/>
      <c r="GB878" s="210"/>
      <c r="GC878" s="45"/>
      <c r="GD878" s="210"/>
      <c r="GE878" s="45"/>
      <c r="GF878" s="210"/>
      <c r="GG878" s="792"/>
      <c r="GH878" s="210"/>
      <c r="GI878" s="792"/>
      <c r="GJ878" s="210"/>
      <c r="GK878" s="792"/>
      <c r="GL878" s="210">
        <f>GJ878</f>
        <v>0</v>
      </c>
      <c r="GM878" s="792"/>
      <c r="GN878" s="210">
        <f>GL878</f>
        <v>0</v>
      </c>
      <c r="GO878" s="792"/>
      <c r="GP878" s="210">
        <f>GN878</f>
        <v>0</v>
      </c>
      <c r="GQ878" s="792"/>
      <c r="GR878" s="44">
        <f>GP878</f>
        <v>0</v>
      </c>
      <c r="GS878" s="792"/>
      <c r="GT878" s="44">
        <f>GR878</f>
        <v>0</v>
      </c>
      <c r="GU878" s="792"/>
      <c r="GV878" s="44">
        <f>GT878</f>
        <v>0</v>
      </c>
      <c r="GW878" s="792"/>
      <c r="GX878" s="44">
        <f>GV878</f>
        <v>0</v>
      </c>
      <c r="GY878" s="792"/>
      <c r="GZ878" s="45"/>
      <c r="HA878" s="45"/>
      <c r="HB878" s="242"/>
      <c r="HC878"/>
      <c r="HD878"/>
      <c r="HE878"/>
      <c r="HF878"/>
      <c r="HG878"/>
      <c r="HH878"/>
      <c r="HI878" s="2"/>
    </row>
    <row r="879" spans="2:217" s="22" customFormat="1" ht="12.75" hidden="1" customHeight="1" outlineLevel="1" x14ac:dyDescent="0.2">
      <c r="B879" s="24" t="s">
        <v>617</v>
      </c>
      <c r="D879" s="32"/>
      <c r="F879" s="32"/>
      <c r="H879" s="32"/>
      <c r="J879" s="32"/>
      <c r="L879" s="32"/>
      <c r="N879" s="32"/>
      <c r="P879" s="32"/>
      <c r="R879" s="32"/>
      <c r="T879" s="32"/>
      <c r="V879" s="32"/>
      <c r="X879" s="32"/>
      <c r="Z879" s="32"/>
      <c r="AB879" s="32"/>
      <c r="AD879" s="32"/>
      <c r="AF879" s="32"/>
      <c r="AH879" s="32"/>
      <c r="AJ879" s="32"/>
      <c r="AL879" s="32"/>
      <c r="AN879" s="32"/>
      <c r="AP879" s="32"/>
      <c r="AR879" s="32"/>
      <c r="AT879" s="32"/>
      <c r="AV879" s="32"/>
      <c r="AX879" s="32"/>
      <c r="AY879" s="28"/>
      <c r="AZ879" s="29"/>
      <c r="BA879" s="28"/>
      <c r="BB879" s="29"/>
      <c r="BC879" s="28"/>
      <c r="BD879" s="29"/>
      <c r="BE879" s="28"/>
      <c r="BF879" s="29"/>
      <c r="BG879" s="28"/>
      <c r="BH879" s="38"/>
      <c r="BI879" s="28"/>
      <c r="BJ879" s="38"/>
      <c r="BK879" s="28"/>
      <c r="BL879" s="38"/>
      <c r="BM879" s="28"/>
      <c r="BN879" s="38"/>
      <c r="BO879" s="28"/>
      <c r="BP879" s="58"/>
      <c r="BQ879" s="28"/>
      <c r="BR879" s="28"/>
      <c r="BS879" s="28"/>
      <c r="BT879" s="43"/>
      <c r="BU879" s="28"/>
      <c r="BV879" s="58"/>
      <c r="BW879" s="28"/>
      <c r="BX879" s="58"/>
      <c r="BY879" s="28"/>
      <c r="BZ879" s="58"/>
      <c r="CA879" s="28"/>
      <c r="CB879" s="58"/>
      <c r="CC879" s="28"/>
      <c r="CD879" s="58"/>
      <c r="CE879" s="28"/>
      <c r="CF879" s="58"/>
      <c r="CG879" s="28"/>
      <c r="CH879" s="58"/>
      <c r="CI879" s="28"/>
      <c r="CJ879" s="58"/>
      <c r="CK879" s="28"/>
      <c r="CL879" s="58"/>
      <c r="CM879" s="28"/>
      <c r="CN879" s="58"/>
      <c r="CO879" s="28"/>
      <c r="CP879" s="58"/>
      <c r="CQ879" s="28"/>
      <c r="CR879" s="58"/>
      <c r="CS879" s="28"/>
      <c r="CT879" s="58"/>
      <c r="CU879" s="28"/>
      <c r="CV879" s="58"/>
      <c r="CW879" s="28"/>
      <c r="CX879" s="58"/>
      <c r="CY879" s="28"/>
      <c r="CZ879" s="58"/>
      <c r="DA879" s="28"/>
      <c r="DB879" s="58"/>
      <c r="DC879" s="28"/>
      <c r="DD879" s="58"/>
      <c r="DE879" s="28"/>
      <c r="DF879" s="58"/>
      <c r="DG879" s="28"/>
      <c r="DH879" s="58"/>
      <c r="DI879" s="28"/>
      <c r="DJ879" s="58"/>
      <c r="DK879" s="28"/>
      <c r="DL879" s="58"/>
      <c r="DM879" s="28"/>
      <c r="DN879" s="58"/>
      <c r="DO879" s="28"/>
      <c r="DP879" s="58"/>
      <c r="DQ879" s="28"/>
      <c r="DR879" s="58"/>
      <c r="DS879" s="28"/>
      <c r="DT879" s="58"/>
      <c r="DU879" s="28"/>
      <c r="DV879" s="58"/>
      <c r="DW879" s="46">
        <v>2</v>
      </c>
      <c r="DX879" s="58"/>
      <c r="DY879" s="46">
        <v>2</v>
      </c>
      <c r="DZ879" s="58"/>
      <c r="EA879" s="46">
        <v>2</v>
      </c>
      <c r="EB879" s="58"/>
      <c r="EC879" s="46">
        <v>2</v>
      </c>
      <c r="ED879" s="58"/>
      <c r="EE879" s="46">
        <v>2</v>
      </c>
      <c r="EF879" s="58"/>
      <c r="EG879" s="46">
        <v>2</v>
      </c>
      <c r="EH879" s="58"/>
      <c r="EI879" s="46">
        <v>2</v>
      </c>
      <c r="EJ879" s="58"/>
      <c r="EK879" s="46">
        <v>2</v>
      </c>
      <c r="EL879" s="58"/>
      <c r="EM879" s="46">
        <v>2</v>
      </c>
      <c r="EN879" s="58"/>
      <c r="EO879" s="46">
        <v>2</v>
      </c>
      <c r="EP879" s="58"/>
      <c r="EQ879" s="46">
        <v>2</v>
      </c>
      <c r="ER879" s="58"/>
      <c r="ES879" s="46">
        <v>2</v>
      </c>
      <c r="ET879" s="58"/>
      <c r="EU879" s="46">
        <v>2</v>
      </c>
      <c r="EV879" s="58"/>
      <c r="EW879" s="46">
        <v>2</v>
      </c>
      <c r="EX879" s="58"/>
      <c r="EY879" s="58"/>
      <c r="EZ879" s="303"/>
      <c r="FA879" s="58"/>
      <c r="FB879" s="59"/>
      <c r="FC879" s="58"/>
      <c r="FD879" s="59"/>
      <c r="FE879" s="58"/>
      <c r="FF879" s="60"/>
      <c r="FG879" s="58"/>
      <c r="FH879" s="60"/>
      <c r="FI879" s="58"/>
      <c r="FJ879" s="60"/>
      <c r="FK879" s="58"/>
      <c r="FL879" s="60"/>
      <c r="FM879" s="58"/>
      <c r="FN879" s="60"/>
      <c r="FO879" s="58"/>
      <c r="FP879" s="59"/>
      <c r="FQ879" s="58"/>
      <c r="FR879" s="59"/>
      <c r="FS879" s="58"/>
      <c r="FT879" s="59"/>
      <c r="FU879" s="58"/>
      <c r="FV879" s="59"/>
      <c r="FW879" s="45"/>
      <c r="FX879" s="45"/>
      <c r="FY879" s="45"/>
      <c r="FZ879" s="45"/>
      <c r="GA879" s="45"/>
      <c r="GB879" s="210"/>
      <c r="GC879" s="45"/>
      <c r="GD879" s="210"/>
      <c r="GE879" s="45"/>
      <c r="GF879" s="210"/>
      <c r="GG879" s="792"/>
      <c r="GH879" s="210"/>
      <c r="GI879" s="792"/>
      <c r="GJ879" s="210"/>
      <c r="GK879" s="792"/>
      <c r="GL879" s="210">
        <f>GJ879</f>
        <v>0</v>
      </c>
      <c r="GM879" s="792"/>
      <c r="GN879" s="210">
        <f>GL879</f>
        <v>0</v>
      </c>
      <c r="GO879" s="792"/>
      <c r="GP879" s="210">
        <f>GN879</f>
        <v>0</v>
      </c>
      <c r="GQ879" s="792"/>
      <c r="GR879" s="46">
        <f>GP879</f>
        <v>0</v>
      </c>
      <c r="GS879" s="792"/>
      <c r="GT879" s="46">
        <f>GR879</f>
        <v>0</v>
      </c>
      <c r="GU879" s="792"/>
      <c r="GV879" s="46">
        <f>GT879</f>
        <v>0</v>
      </c>
      <c r="GW879" s="792"/>
      <c r="GX879" s="46">
        <f>GV879</f>
        <v>0</v>
      </c>
      <c r="GY879" s="792"/>
      <c r="GZ879" s="45"/>
      <c r="HA879" s="45"/>
      <c r="HB879" s="242"/>
      <c r="HC879"/>
      <c r="HD879"/>
      <c r="HE879"/>
      <c r="HF879"/>
      <c r="HG879"/>
      <c r="HH879"/>
      <c r="HI879" s="2"/>
    </row>
    <row r="880" spans="2:217" s="22" customFormat="1" ht="12.75" hidden="1" customHeight="1" outlineLevel="1" x14ac:dyDescent="0.2">
      <c r="B880" s="31"/>
      <c r="D880" s="32"/>
      <c r="F880" s="32"/>
      <c r="H880" s="32"/>
      <c r="J880" s="32"/>
      <c r="L880" s="32"/>
      <c r="N880" s="32"/>
      <c r="P880" s="32"/>
      <c r="R880" s="32"/>
      <c r="T880" s="32"/>
      <c r="V880" s="32"/>
      <c r="X880" s="32"/>
      <c r="Z880" s="32"/>
      <c r="AB880" s="32"/>
      <c r="AD880" s="32"/>
      <c r="AF880" s="32"/>
      <c r="AH880" s="32"/>
      <c r="AJ880" s="32"/>
      <c r="AL880" s="32"/>
      <c r="AN880" s="32"/>
      <c r="AP880" s="32"/>
      <c r="AR880" s="32"/>
      <c r="AT880" s="32"/>
      <c r="AV880" s="32"/>
      <c r="AX880" s="32"/>
      <c r="AY880" s="28"/>
      <c r="AZ880" s="29"/>
      <c r="BA880" s="28"/>
      <c r="BB880" s="29"/>
      <c r="BC880" s="28"/>
      <c r="BD880" s="29"/>
      <c r="BE880" s="28"/>
      <c r="BF880" s="29"/>
      <c r="BG880" s="28"/>
      <c r="BH880" s="38"/>
      <c r="BI880" s="28"/>
      <c r="BJ880" s="38"/>
      <c r="BK880" s="28"/>
      <c r="BL880" s="38"/>
      <c r="BM880" s="28"/>
      <c r="BN880" s="38"/>
      <c r="BO880" s="28"/>
      <c r="BP880" s="38"/>
      <c r="BQ880" s="28"/>
      <c r="BR880" s="28"/>
      <c r="BS880" s="28"/>
      <c r="BT880" s="57"/>
      <c r="BU880" s="28"/>
      <c r="BV880" s="38"/>
      <c r="BW880" s="28"/>
      <c r="BX880" s="38"/>
      <c r="BY880" s="28"/>
      <c r="BZ880" s="38"/>
      <c r="CA880" s="28"/>
      <c r="CB880" s="38"/>
      <c r="CC880" s="28"/>
      <c r="CD880" s="38"/>
      <c r="CE880" s="28"/>
      <c r="CF880" s="38"/>
      <c r="CG880" s="28"/>
      <c r="CH880" s="38"/>
      <c r="CI880" s="28"/>
      <c r="CJ880" s="38"/>
      <c r="CK880" s="28"/>
      <c r="CL880" s="38"/>
      <c r="CM880" s="28"/>
      <c r="CN880" s="38"/>
      <c r="CO880" s="28"/>
      <c r="CP880" s="38"/>
      <c r="CQ880" s="28"/>
      <c r="CR880" s="38"/>
      <c r="CS880" s="28"/>
      <c r="CT880" s="38"/>
      <c r="CU880" s="28"/>
      <c r="CV880" s="38"/>
      <c r="CW880" s="28"/>
      <c r="CX880" s="38"/>
      <c r="CY880" s="28"/>
      <c r="CZ880" s="38"/>
      <c r="DA880" s="28"/>
      <c r="DB880" s="38"/>
      <c r="DC880" s="28"/>
      <c r="DD880" s="38"/>
      <c r="DE880" s="28"/>
      <c r="DF880" s="38"/>
      <c r="DG880" s="28"/>
      <c r="DH880" s="38"/>
      <c r="DI880" s="28"/>
      <c r="DJ880" s="38"/>
      <c r="DK880" s="28"/>
      <c r="DL880" s="38"/>
      <c r="DM880" s="28"/>
      <c r="DN880" s="38"/>
      <c r="DO880" s="28"/>
      <c r="DP880" s="38"/>
      <c r="DQ880" s="28"/>
      <c r="DR880" s="38"/>
      <c r="DS880" s="28"/>
      <c r="DT880" s="38"/>
      <c r="DU880" s="28"/>
      <c r="DV880" s="38"/>
      <c r="DW880" s="41"/>
      <c r="DX880" s="38"/>
      <c r="DY880" s="41"/>
      <c r="DZ880" s="38"/>
      <c r="EA880" s="41"/>
      <c r="EB880" s="38"/>
      <c r="EC880" s="41"/>
      <c r="ED880" s="38"/>
      <c r="EE880" s="41"/>
      <c r="EF880" s="38"/>
      <c r="EG880" s="41"/>
      <c r="EH880" s="38"/>
      <c r="EI880" s="41"/>
      <c r="EJ880" s="38"/>
      <c r="EK880" s="41"/>
      <c r="EL880" s="38"/>
      <c r="EM880" s="41"/>
      <c r="EN880" s="38"/>
      <c r="EO880" s="41"/>
      <c r="EP880" s="38"/>
      <c r="EQ880" s="41"/>
      <c r="ER880" s="38"/>
      <c r="ES880" s="41"/>
      <c r="ET880" s="38"/>
      <c r="EU880" s="41"/>
      <c r="EV880" s="38"/>
      <c r="EW880" s="41"/>
      <c r="EX880" s="38"/>
      <c r="EY880" s="38"/>
      <c r="EZ880" s="301"/>
      <c r="FA880" s="38"/>
      <c r="FB880" s="39"/>
      <c r="FC880" s="38"/>
      <c r="FD880" s="39"/>
      <c r="FE880" s="38"/>
      <c r="FF880" s="40"/>
      <c r="FG880" s="38"/>
      <c r="FH880" s="40"/>
      <c r="FI880" s="38"/>
      <c r="FJ880" s="40"/>
      <c r="FK880" s="38"/>
      <c r="FL880" s="40"/>
      <c r="FM880" s="38"/>
      <c r="FN880" s="40"/>
      <c r="FO880" s="38"/>
      <c r="FP880" s="39"/>
      <c r="FQ880" s="38"/>
      <c r="FR880" s="39"/>
      <c r="FS880" s="38"/>
      <c r="FT880" s="39"/>
      <c r="FU880" s="38"/>
      <c r="FV880" s="39"/>
      <c r="FW880" s="38"/>
      <c r="FX880" s="39"/>
      <c r="FY880" s="38"/>
      <c r="FZ880" s="39"/>
      <c r="GA880" s="38"/>
      <c r="GB880" s="39"/>
      <c r="GC880" s="38"/>
      <c r="GD880" s="39"/>
      <c r="GE880" s="38"/>
      <c r="GF880" s="39"/>
      <c r="GG880" s="38"/>
      <c r="GH880" s="39"/>
      <c r="GI880" s="38"/>
      <c r="GJ880" s="39"/>
      <c r="GK880" s="38"/>
      <c r="GL880" s="39"/>
      <c r="GM880" s="38"/>
      <c r="GN880" s="39"/>
      <c r="GO880" s="38"/>
      <c r="GP880" s="39"/>
      <c r="GQ880" s="38"/>
      <c r="GR880" s="39"/>
      <c r="GS880" s="38"/>
      <c r="GT880" s="39"/>
      <c r="GU880" s="38"/>
      <c r="GV880" s="39"/>
      <c r="GW880" s="38"/>
      <c r="GX880" s="39"/>
      <c r="GY880" s="38"/>
      <c r="GZ880" s="38"/>
      <c r="HA880" s="38"/>
      <c r="HB880" s="241"/>
      <c r="HC880"/>
      <c r="HD880"/>
      <c r="HE880"/>
      <c r="HF880"/>
      <c r="HG880"/>
      <c r="HH880"/>
      <c r="HI880" s="2"/>
    </row>
    <row r="881" spans="2:217" s="22" customFormat="1" ht="12.75" hidden="1" customHeight="1" outlineLevel="1" x14ac:dyDescent="0.2">
      <c r="B881" s="56" t="s">
        <v>167</v>
      </c>
      <c r="D881" s="32"/>
      <c r="F881" s="32"/>
      <c r="H881" s="32"/>
      <c r="J881" s="32"/>
      <c r="L881" s="32"/>
      <c r="N881" s="32"/>
      <c r="P881" s="32"/>
      <c r="R881" s="32"/>
      <c r="T881" s="32"/>
      <c r="V881" s="32"/>
      <c r="X881" s="32"/>
      <c r="Z881" s="32"/>
      <c r="AB881" s="32"/>
      <c r="AD881" s="32"/>
      <c r="AF881" s="32"/>
      <c r="AH881" s="32"/>
      <c r="AJ881" s="32"/>
      <c r="AL881" s="32"/>
      <c r="AN881" s="32"/>
      <c r="AP881" s="32"/>
      <c r="AR881" s="32"/>
      <c r="AT881" s="32"/>
      <c r="AV881" s="32"/>
      <c r="AX881" s="32"/>
      <c r="AY881" s="28"/>
      <c r="AZ881" s="29"/>
      <c r="BA881" s="28"/>
      <c r="BB881" s="29"/>
      <c r="BC881" s="28"/>
      <c r="BD881" s="29"/>
      <c r="BE881" s="28"/>
      <c r="BF881" s="29"/>
      <c r="BG881" s="28"/>
      <c r="BH881" s="38"/>
      <c r="BI881" s="28"/>
      <c r="BJ881" s="38"/>
      <c r="BK881" s="28"/>
      <c r="BL881" s="38"/>
      <c r="BM881" s="28"/>
      <c r="BN881" s="38"/>
      <c r="BO881" s="28"/>
      <c r="BP881" s="38"/>
      <c r="BQ881" s="28"/>
      <c r="BR881" s="28"/>
      <c r="BS881" s="28"/>
      <c r="BT881" s="57"/>
      <c r="BU881" s="28"/>
      <c r="BV881" s="38"/>
      <c r="BW881" s="28"/>
      <c r="BX881" s="38"/>
      <c r="BY881" s="28"/>
      <c r="BZ881" s="38"/>
      <c r="CA881" s="28"/>
      <c r="CB881" s="38"/>
      <c r="CC881" s="28"/>
      <c r="CD881" s="38"/>
      <c r="CE881" s="28"/>
      <c r="CF881" s="38"/>
      <c r="CG881" s="28"/>
      <c r="CH881" s="38"/>
      <c r="CI881" s="28"/>
      <c r="CJ881" s="38"/>
      <c r="CK881" s="28"/>
      <c r="CL881" s="38"/>
      <c r="CM881" s="28"/>
      <c r="CN881" s="38"/>
      <c r="CO881" s="28"/>
      <c r="CP881" s="38"/>
      <c r="CQ881" s="28"/>
      <c r="CR881" s="38"/>
      <c r="CS881" s="28"/>
      <c r="CT881" s="38"/>
      <c r="CU881" s="28"/>
      <c r="CV881" s="38"/>
      <c r="CW881" s="28"/>
      <c r="CX881" s="38"/>
      <c r="CY881" s="28"/>
      <c r="CZ881" s="38"/>
      <c r="DA881" s="28"/>
      <c r="DB881" s="38"/>
      <c r="DC881" s="28"/>
      <c r="DD881" s="38"/>
      <c r="DE881" s="28"/>
      <c r="DF881" s="38"/>
      <c r="DG881" s="28"/>
      <c r="DH881" s="38"/>
      <c r="DI881" s="28"/>
      <c r="DJ881" s="38"/>
      <c r="DK881" s="28"/>
      <c r="DL881" s="38"/>
      <c r="DM881" s="28"/>
      <c r="DN881" s="38"/>
      <c r="DO881" s="28"/>
      <c r="DP881" s="38"/>
      <c r="DQ881" s="28"/>
      <c r="DR881" s="38"/>
      <c r="DS881" s="28"/>
      <c r="DT881" s="38"/>
      <c r="DU881" s="28"/>
      <c r="DV881" s="38"/>
      <c r="DW881" s="41"/>
      <c r="DX881" s="38"/>
      <c r="DY881" s="41"/>
      <c r="DZ881" s="38"/>
      <c r="EA881" s="41"/>
      <c r="EB881" s="38"/>
      <c r="EC881" s="41"/>
      <c r="ED881" s="38"/>
      <c r="EE881" s="41"/>
      <c r="EF881" s="38"/>
      <c r="EG881" s="41"/>
      <c r="EH881" s="38"/>
      <c r="EI881" s="41"/>
      <c r="EJ881" s="38"/>
      <c r="EK881" s="41"/>
      <c r="EL881" s="38"/>
      <c r="EM881" s="41"/>
      <c r="EN881" s="38"/>
      <c r="EO881" s="41"/>
      <c r="EP881" s="38"/>
      <c r="EQ881" s="41"/>
      <c r="ER881" s="38"/>
      <c r="ES881" s="41"/>
      <c r="ET881" s="38"/>
      <c r="EU881" s="41"/>
      <c r="EV881" s="38"/>
      <c r="EW881" s="41"/>
      <c r="EX881" s="38"/>
      <c r="EY881" s="38"/>
      <c r="EZ881" s="301"/>
      <c r="FA881" s="38"/>
      <c r="FB881" s="39"/>
      <c r="FC881" s="38"/>
      <c r="FD881" s="39"/>
      <c r="FE881" s="38"/>
      <c r="FF881" s="40"/>
      <c r="FG881" s="38"/>
      <c r="FH881" s="40"/>
      <c r="FI881" s="38"/>
      <c r="FJ881" s="40"/>
      <c r="FK881" s="38"/>
      <c r="FL881" s="40"/>
      <c r="FM881" s="38"/>
      <c r="FN881" s="40"/>
      <c r="FO881" s="38"/>
      <c r="FP881" s="39"/>
      <c r="FQ881" s="38"/>
      <c r="FR881" s="39"/>
      <c r="FS881" s="38"/>
      <c r="FT881" s="39"/>
      <c r="FU881" s="38"/>
      <c r="FV881" s="39"/>
      <c r="FW881" s="38"/>
      <c r="FX881" s="39"/>
      <c r="FY881" s="38"/>
      <c r="FZ881" s="39"/>
      <c r="GA881" s="38"/>
      <c r="GB881" s="39"/>
      <c r="GC881" s="38"/>
      <c r="GD881" s="39"/>
      <c r="GE881" s="38"/>
      <c r="GF881" s="39"/>
      <c r="GG881" s="38"/>
      <c r="GH881" s="39"/>
      <c r="GI881" s="38"/>
      <c r="GJ881" s="39"/>
      <c r="GK881" s="38"/>
      <c r="GL881" s="39"/>
      <c r="GM881" s="38"/>
      <c r="GN881" s="39"/>
      <c r="GO881" s="38"/>
      <c r="GP881" s="39"/>
      <c r="GQ881" s="38"/>
      <c r="GR881" s="39"/>
      <c r="GS881" s="38"/>
      <c r="GT881" s="39"/>
      <c r="GU881" s="38"/>
      <c r="GV881" s="39"/>
      <c r="GW881" s="38"/>
      <c r="GX881" s="39"/>
      <c r="GY881" s="38"/>
      <c r="GZ881" s="38"/>
      <c r="HA881" s="38"/>
      <c r="HB881" s="241"/>
      <c r="HC881"/>
      <c r="HD881"/>
      <c r="HE881"/>
      <c r="HF881"/>
      <c r="HG881"/>
      <c r="HH881"/>
      <c r="HI881" s="2"/>
    </row>
    <row r="882" spans="2:217" s="22" customFormat="1" ht="12.75" hidden="1" customHeight="1" outlineLevel="1" x14ac:dyDescent="0.2">
      <c r="B882" s="56" t="s">
        <v>491</v>
      </c>
      <c r="D882" s="32"/>
      <c r="F882" s="32"/>
      <c r="H882" s="32"/>
      <c r="J882" s="32"/>
      <c r="L882" s="32"/>
      <c r="N882" s="32"/>
      <c r="P882" s="32"/>
      <c r="R882" s="32"/>
      <c r="T882" s="32"/>
      <c r="V882" s="32"/>
      <c r="X882" s="32"/>
      <c r="Z882" s="32"/>
      <c r="AB882" s="32"/>
      <c r="AD882" s="32"/>
      <c r="AF882" s="32"/>
      <c r="AH882" s="32"/>
      <c r="AJ882" s="32"/>
      <c r="AL882" s="32"/>
      <c r="AN882" s="32"/>
      <c r="AP882" s="32"/>
      <c r="AR882" s="32"/>
      <c r="AT882" s="32"/>
      <c r="AV882" s="32"/>
      <c r="AX882" s="32"/>
      <c r="AY882" s="28"/>
      <c r="AZ882" s="29"/>
      <c r="BA882" s="28"/>
      <c r="BB882" s="29"/>
      <c r="BC882" s="28"/>
      <c r="BD882" s="29"/>
      <c r="BE882" s="28"/>
      <c r="BF882" s="29"/>
      <c r="BG882" s="28"/>
      <c r="BH882" s="38"/>
      <c r="BI882" s="28"/>
      <c r="BJ882" s="38"/>
      <c r="BK882" s="28"/>
      <c r="BL882" s="38"/>
      <c r="BM882" s="28"/>
      <c r="BN882" s="38"/>
      <c r="BO882" s="28"/>
      <c r="BP882" s="38"/>
      <c r="BQ882" s="28"/>
      <c r="BR882" s="28"/>
      <c r="BS882" s="28"/>
      <c r="BT882" s="57"/>
      <c r="BU882" s="28"/>
      <c r="BV882" s="38"/>
      <c r="BW882" s="28"/>
      <c r="BX882" s="38"/>
      <c r="BY882" s="28"/>
      <c r="BZ882" s="38"/>
      <c r="CA882" s="28"/>
      <c r="CB882" s="38"/>
      <c r="CC882" s="28"/>
      <c r="CD882" s="38"/>
      <c r="CE882" s="28"/>
      <c r="CF882" s="38"/>
      <c r="CG882" s="28"/>
      <c r="CH882" s="38"/>
      <c r="CI882" s="28"/>
      <c r="CJ882" s="38"/>
      <c r="CK882" s="28"/>
      <c r="CL882" s="38"/>
      <c r="CM882" s="28"/>
      <c r="CN882" s="38"/>
      <c r="CO882" s="28"/>
      <c r="CP882" s="38"/>
      <c r="CQ882" s="28"/>
      <c r="CR882" s="38"/>
      <c r="CS882" s="28"/>
      <c r="CT882" s="38"/>
      <c r="CU882" s="28"/>
      <c r="CV882" s="38"/>
      <c r="CW882" s="28"/>
      <c r="CX882" s="38"/>
      <c r="CY882" s="28"/>
      <c r="CZ882" s="38"/>
      <c r="DA882" s="28"/>
      <c r="DB882" s="38"/>
      <c r="DC882" s="28"/>
      <c r="DD882" s="38"/>
      <c r="DE882" s="28"/>
      <c r="DF882" s="38"/>
      <c r="DG882" s="28"/>
      <c r="DH882" s="38"/>
      <c r="DI882" s="28"/>
      <c r="DJ882" s="38"/>
      <c r="DK882" s="28"/>
      <c r="DL882" s="38"/>
      <c r="DM882" s="28"/>
      <c r="DN882" s="38"/>
      <c r="DO882" s="28"/>
      <c r="DP882" s="38"/>
      <c r="DQ882" s="28"/>
      <c r="DR882" s="38"/>
      <c r="DS882" s="28"/>
      <c r="DT882" s="38"/>
      <c r="DU882" s="28"/>
      <c r="DV882" s="38"/>
      <c r="DW882" s="41"/>
      <c r="DX882" s="38"/>
      <c r="DY882" s="41"/>
      <c r="DZ882" s="38"/>
      <c r="EA882" s="41"/>
      <c r="EB882" s="38"/>
      <c r="EC882" s="41"/>
      <c r="ED882" s="38"/>
      <c r="EE882" s="41"/>
      <c r="EF882" s="38"/>
      <c r="EG882" s="41"/>
      <c r="EH882" s="38"/>
      <c r="EI882" s="41"/>
      <c r="EJ882" s="38"/>
      <c r="EK882" s="41"/>
      <c r="EL882" s="38"/>
      <c r="EM882" s="41"/>
      <c r="EN882" s="38"/>
      <c r="EO882" s="41"/>
      <c r="EP882" s="38"/>
      <c r="EQ882" s="41"/>
      <c r="ER882" s="38"/>
      <c r="ES882" s="41"/>
      <c r="ET882" s="38"/>
      <c r="EU882" s="41"/>
      <c r="EV882" s="38"/>
      <c r="EW882" s="41"/>
      <c r="EX882" s="38"/>
      <c r="EY882" s="38"/>
      <c r="EZ882" s="301"/>
      <c r="FA882" s="38"/>
      <c r="FB882" s="39"/>
      <c r="FC882" s="38"/>
      <c r="FD882" s="39"/>
      <c r="FE882" s="38"/>
      <c r="FF882" s="40"/>
      <c r="FG882" s="38"/>
      <c r="FH882" s="40"/>
      <c r="FI882" s="38"/>
      <c r="FJ882" s="40"/>
      <c r="FK882" s="38"/>
      <c r="FL882" s="40"/>
      <c r="FM882" s="38"/>
      <c r="FN882" s="40"/>
      <c r="FO882" s="38"/>
      <c r="FP882" s="39"/>
      <c r="FQ882" s="38"/>
      <c r="FR882" s="39"/>
      <c r="FS882" s="38"/>
      <c r="FT882" s="39"/>
      <c r="FU882" s="38"/>
      <c r="FV882" s="39"/>
      <c r="FW882" s="38"/>
      <c r="FX882" s="39"/>
      <c r="FY882" s="38"/>
      <c r="FZ882" s="39"/>
      <c r="GA882" s="38"/>
      <c r="GB882" s="39"/>
      <c r="GC882" s="38"/>
      <c r="GD882" s="39"/>
      <c r="GE882" s="38"/>
      <c r="GF882" s="39"/>
      <c r="GG882" s="38"/>
      <c r="GH882" s="39"/>
      <c r="GI882" s="38"/>
      <c r="GJ882" s="39"/>
      <c r="GK882" s="38"/>
      <c r="GL882" s="39"/>
      <c r="GM882" s="38"/>
      <c r="GN882" s="39"/>
      <c r="GO882" s="38"/>
      <c r="GP882" s="39"/>
      <c r="GQ882" s="38"/>
      <c r="GR882" s="39"/>
      <c r="GS882" s="38"/>
      <c r="GT882" s="39"/>
      <c r="GU882" s="38"/>
      <c r="GV882" s="39"/>
      <c r="GW882" s="38"/>
      <c r="GX882" s="39"/>
      <c r="GY882" s="38"/>
      <c r="GZ882" s="38"/>
      <c r="HA882" s="38"/>
      <c r="HB882" s="241"/>
      <c r="HC882"/>
      <c r="HD882"/>
      <c r="HE882"/>
      <c r="HF882"/>
      <c r="HG882"/>
      <c r="HH882"/>
      <c r="HI882" s="2"/>
    </row>
    <row r="883" spans="2:217" s="22" customFormat="1" ht="12.75" hidden="1" customHeight="1" outlineLevel="1" x14ac:dyDescent="0.2">
      <c r="B883" s="24" t="s">
        <v>614</v>
      </c>
      <c r="D883" s="32"/>
      <c r="F883" s="32"/>
      <c r="H883" s="32"/>
      <c r="J883" s="32"/>
      <c r="L883" s="32"/>
      <c r="N883" s="32"/>
      <c r="P883" s="32"/>
      <c r="R883" s="32"/>
      <c r="T883" s="32"/>
      <c r="V883" s="32"/>
      <c r="X883" s="32"/>
      <c r="Z883" s="32"/>
      <c r="AB883" s="32"/>
      <c r="AD883" s="32"/>
      <c r="AF883" s="32"/>
      <c r="AH883" s="32"/>
      <c r="AJ883" s="32"/>
      <c r="AL883" s="32"/>
      <c r="AN883" s="32"/>
      <c r="AP883" s="32"/>
      <c r="AR883" s="32"/>
      <c r="AT883" s="32"/>
      <c r="AV883" s="32"/>
      <c r="AX883" s="32"/>
      <c r="AY883" s="28"/>
      <c r="AZ883" s="29"/>
      <c r="BA883" s="28"/>
      <c r="BB883" s="29"/>
      <c r="BC883" s="28"/>
      <c r="BD883" s="29"/>
      <c r="BE883" s="28"/>
      <c r="BF883" s="29"/>
      <c r="BG883" s="28"/>
      <c r="BH883" s="38"/>
      <c r="BI883" s="28"/>
      <c r="BJ883" s="38"/>
      <c r="BK883" s="28"/>
      <c r="BL883" s="38"/>
      <c r="BM883" s="28"/>
      <c r="BN883" s="38"/>
      <c r="BO883" s="28"/>
      <c r="BP883" s="38"/>
      <c r="BQ883" s="28"/>
      <c r="BR883" s="28"/>
      <c r="BS883" s="28"/>
      <c r="BT883" s="57"/>
      <c r="BU883" s="28"/>
      <c r="BV883" s="38"/>
      <c r="BW883" s="28"/>
      <c r="BX883" s="38"/>
      <c r="BY883" s="28"/>
      <c r="BZ883" s="38"/>
      <c r="CA883" s="28"/>
      <c r="CB883" s="38"/>
      <c r="CC883" s="28"/>
      <c r="CD883" s="38"/>
      <c r="CE883" s="28"/>
      <c r="CF883" s="38"/>
      <c r="CG883" s="28"/>
      <c r="CH883" s="38"/>
      <c r="CI883" s="28"/>
      <c r="CJ883" s="38"/>
      <c r="CK883" s="28"/>
      <c r="CL883" s="38"/>
      <c r="CM883" s="28"/>
      <c r="CN883" s="38"/>
      <c r="CO883" s="28"/>
      <c r="CP883" s="38"/>
      <c r="CQ883" s="28"/>
      <c r="CR883" s="38"/>
      <c r="CS883" s="28"/>
      <c r="CT883" s="38"/>
      <c r="CU883" s="28"/>
      <c r="CV883" s="38"/>
      <c r="CW883" s="28"/>
      <c r="CX883" s="38"/>
      <c r="CY883" s="28"/>
      <c r="CZ883" s="38"/>
      <c r="DA883" s="28"/>
      <c r="DB883" s="38"/>
      <c r="DC883" s="28"/>
      <c r="DD883" s="38"/>
      <c r="DE883" s="28"/>
      <c r="DF883" s="38"/>
      <c r="DG883" s="28"/>
      <c r="DH883" s="38"/>
      <c r="DI883" s="28"/>
      <c r="DJ883" s="38"/>
      <c r="DK883" s="28"/>
      <c r="DL883" s="38"/>
      <c r="DM883" s="28"/>
      <c r="DN883" s="38"/>
      <c r="DO883" s="28"/>
      <c r="DP883" s="38"/>
      <c r="DQ883" s="28"/>
      <c r="DR883" s="38"/>
      <c r="DS883" s="28"/>
      <c r="DT883" s="38"/>
      <c r="DU883" s="28"/>
      <c r="DV883" s="38"/>
      <c r="DW883" s="42">
        <f>DW242</f>
        <v>87.444345503116651</v>
      </c>
      <c r="DX883" s="38"/>
      <c r="DY883" s="42">
        <f>DY242</f>
        <v>86.785714285714292</v>
      </c>
      <c r="DZ883" s="38"/>
      <c r="EA883" s="42">
        <f>EA242</f>
        <v>88.082901554404145</v>
      </c>
      <c r="EB883" s="38"/>
      <c r="EC883" s="42">
        <f>EC242</f>
        <v>83.835845896147404</v>
      </c>
      <c r="ED883" s="38"/>
      <c r="EE883" s="42">
        <f>EE242</f>
        <v>87.065972222222214</v>
      </c>
      <c r="EF883" s="38"/>
      <c r="EG883" s="42">
        <f>EG242</f>
        <v>87.958115183246079</v>
      </c>
      <c r="EH883" s="38"/>
      <c r="EI883" s="42">
        <f>EI242</f>
        <v>89.046822742474916</v>
      </c>
      <c r="EJ883" s="38"/>
      <c r="EK883" s="42">
        <f>EK242</f>
        <v>80</v>
      </c>
      <c r="EL883" s="38"/>
      <c r="EM883" s="42">
        <f>EM242</f>
        <v>85.485232067510552</v>
      </c>
      <c r="EN883" s="38"/>
      <c r="EO883" s="42">
        <f>EO242</f>
        <v>88.615123194562457</v>
      </c>
      <c r="EP883" s="38"/>
      <c r="EQ883" s="42">
        <f>EQ242</f>
        <v>88</v>
      </c>
      <c r="ER883" s="38"/>
      <c r="ES883" s="42">
        <f>ES242</f>
        <v>87.5</v>
      </c>
      <c r="ET883" s="38"/>
      <c r="EU883" s="42">
        <f>EU242</f>
        <v>87</v>
      </c>
      <c r="EV883" s="38"/>
      <c r="EW883" s="42">
        <f>EW242</f>
        <v>86.5</v>
      </c>
      <c r="EX883" s="38"/>
      <c r="EY883" s="38"/>
      <c r="EZ883" s="301"/>
      <c r="FA883" s="38"/>
      <c r="FB883" s="39"/>
      <c r="FC883" s="38"/>
      <c r="FD883" s="39"/>
      <c r="FE883" s="38"/>
      <c r="FF883" s="40"/>
      <c r="FG883" s="38"/>
      <c r="FH883" s="40"/>
      <c r="FI883" s="38"/>
      <c r="FJ883" s="40"/>
      <c r="FK883" s="38"/>
      <c r="FL883" s="40"/>
      <c r="FM883" s="38"/>
      <c r="FN883" s="40"/>
      <c r="FO883" s="38"/>
      <c r="FP883" s="39"/>
      <c r="FQ883" s="38"/>
      <c r="FR883" s="39"/>
      <c r="FS883" s="38"/>
      <c r="FT883" s="39"/>
      <c r="FU883" s="38"/>
      <c r="FV883" s="39"/>
      <c r="FW883" s="38"/>
      <c r="FX883" s="41"/>
      <c r="FY883" s="38"/>
      <c r="FZ883" s="41"/>
      <c r="GA883" s="38"/>
      <c r="GB883" s="41"/>
      <c r="GC883" s="38"/>
      <c r="GD883" s="41"/>
      <c r="GE883" s="38"/>
      <c r="GF883" s="41"/>
      <c r="GG883" s="38"/>
      <c r="GH883" s="41"/>
      <c r="GI883" s="38"/>
      <c r="GJ883" s="41"/>
      <c r="GK883" s="38"/>
      <c r="GL883" s="41">
        <f>GL242</f>
        <v>86.709677419354833</v>
      </c>
      <c r="GM883" s="38"/>
      <c r="GN883" s="41">
        <f>GN242</f>
        <v>85.783487784330248</v>
      </c>
      <c r="GO883" s="38"/>
      <c r="GP883" s="41">
        <f>GP242</f>
        <v>87.243781217667916</v>
      </c>
      <c r="GQ883" s="38"/>
      <c r="GR883" s="42">
        <f>GR242</f>
        <v>87.243781217667916</v>
      </c>
      <c r="GS883" s="38"/>
      <c r="GT883" s="42">
        <f>GT242</f>
        <v>87.193781217667919</v>
      </c>
      <c r="GU883" s="38"/>
      <c r="GV883" s="42">
        <f>GV242</f>
        <v>87.193781217667919</v>
      </c>
      <c r="GW883" s="38"/>
      <c r="GX883" s="42">
        <f>GX242</f>
        <v>87.193781217667919</v>
      </c>
      <c r="GY883" s="38"/>
      <c r="GZ883" s="38"/>
      <c r="HA883" s="38"/>
      <c r="HB883" s="241"/>
      <c r="HC883"/>
      <c r="HD883"/>
      <c r="HE883"/>
      <c r="HF883"/>
      <c r="HG883"/>
      <c r="HH883"/>
      <c r="HI883" s="2"/>
    </row>
    <row r="884" spans="2:217" s="22" customFormat="1" ht="12.75" hidden="1" customHeight="1" outlineLevel="1" x14ac:dyDescent="0.2">
      <c r="B884" s="24" t="s">
        <v>615</v>
      </c>
      <c r="D884" s="32"/>
      <c r="F884" s="32"/>
      <c r="H884" s="32"/>
      <c r="J884" s="32"/>
      <c r="L884" s="32"/>
      <c r="N884" s="32"/>
      <c r="P884" s="32"/>
      <c r="R884" s="32"/>
      <c r="T884" s="32"/>
      <c r="V884" s="32"/>
      <c r="X884" s="32"/>
      <c r="Z884" s="32"/>
      <c r="AB884" s="32"/>
      <c r="AD884" s="32"/>
      <c r="AF884" s="32"/>
      <c r="AH884" s="32"/>
      <c r="AJ884" s="32"/>
      <c r="AL884" s="32"/>
      <c r="AN884" s="32"/>
      <c r="AP884" s="32"/>
      <c r="AR884" s="32"/>
      <c r="AT884" s="32"/>
      <c r="AV884" s="32"/>
      <c r="AX884" s="32"/>
      <c r="AY884" s="28"/>
      <c r="AZ884" s="29"/>
      <c r="BA884" s="28"/>
      <c r="BB884" s="29"/>
      <c r="BC884" s="28"/>
      <c r="BD884" s="29"/>
      <c r="BE884" s="28"/>
      <c r="BF884" s="29"/>
      <c r="BG884" s="28"/>
      <c r="BH884" s="38"/>
      <c r="BI884" s="28"/>
      <c r="BJ884" s="38"/>
      <c r="BK884" s="28"/>
      <c r="BL884" s="38"/>
      <c r="BM884" s="28"/>
      <c r="BN884" s="38"/>
      <c r="BO884" s="28"/>
      <c r="BP884" s="58"/>
      <c r="BQ884" s="28"/>
      <c r="BR884" s="28"/>
      <c r="BS884" s="28"/>
      <c r="BT884" s="43"/>
      <c r="BU884" s="28"/>
      <c r="BV884" s="58"/>
      <c r="BW884" s="28"/>
      <c r="BX884" s="58"/>
      <c r="BY884" s="28"/>
      <c r="BZ884" s="58"/>
      <c r="CA884" s="28"/>
      <c r="CB884" s="58"/>
      <c r="CC884" s="28"/>
      <c r="CD884" s="58"/>
      <c r="CE884" s="28"/>
      <c r="CF884" s="58"/>
      <c r="CG884" s="28"/>
      <c r="CH884" s="58"/>
      <c r="CI884" s="28"/>
      <c r="CJ884" s="58"/>
      <c r="CK884" s="28"/>
      <c r="CL884" s="58"/>
      <c r="CM884" s="28"/>
      <c r="CN884" s="58"/>
      <c r="CO884" s="28"/>
      <c r="CP884" s="58"/>
      <c r="CQ884" s="28"/>
      <c r="CR884" s="58"/>
      <c r="CS884" s="28"/>
      <c r="CT884" s="58"/>
      <c r="CU884" s="28"/>
      <c r="CV884" s="58"/>
      <c r="CW884" s="28"/>
      <c r="CX884" s="58"/>
      <c r="CY884" s="28"/>
      <c r="CZ884" s="58"/>
      <c r="DA884" s="28"/>
      <c r="DB884" s="58"/>
      <c r="DC884" s="28"/>
      <c r="DD884" s="58"/>
      <c r="DE884" s="28"/>
      <c r="DF884" s="58"/>
      <c r="DG884" s="28"/>
      <c r="DH884" s="58"/>
      <c r="DI884" s="28"/>
      <c r="DJ884" s="58"/>
      <c r="DK884" s="28"/>
      <c r="DL884" s="58"/>
      <c r="DM884" s="28"/>
      <c r="DN884" s="58"/>
      <c r="DO884" s="28"/>
      <c r="DP884" s="58"/>
      <c r="DQ884" s="28"/>
      <c r="DR884" s="58"/>
      <c r="DS884" s="28"/>
      <c r="DT884" s="58"/>
      <c r="DU884" s="28"/>
      <c r="DV884" s="58"/>
      <c r="DW884" s="44">
        <v>-2</v>
      </c>
      <c r="DX884" s="58"/>
      <c r="DY884" s="44">
        <v>-2</v>
      </c>
      <c r="DZ884" s="58"/>
      <c r="EA884" s="44">
        <v>-2</v>
      </c>
      <c r="EB884" s="58"/>
      <c r="EC884" s="44">
        <v>-2</v>
      </c>
      <c r="ED884" s="58"/>
      <c r="EE884" s="44">
        <v>-2</v>
      </c>
      <c r="EF884" s="58"/>
      <c r="EG884" s="44">
        <v>-2</v>
      </c>
      <c r="EH884" s="58"/>
      <c r="EI884" s="44">
        <v>-2</v>
      </c>
      <c r="EJ884" s="58"/>
      <c r="EK884" s="44">
        <v>-2</v>
      </c>
      <c r="EL884" s="58"/>
      <c r="EM884" s="44">
        <v>-2</v>
      </c>
      <c r="EN884" s="58"/>
      <c r="EO884" s="44">
        <v>-2</v>
      </c>
      <c r="EP884" s="58"/>
      <c r="EQ884" s="44">
        <v>-2</v>
      </c>
      <c r="ER884" s="58"/>
      <c r="ES884" s="44">
        <v>-2</v>
      </c>
      <c r="ET884" s="58"/>
      <c r="EU884" s="44">
        <v>-2</v>
      </c>
      <c r="EV884" s="58"/>
      <c r="EW884" s="44">
        <v>-2</v>
      </c>
      <c r="EX884" s="58"/>
      <c r="EY884" s="58"/>
      <c r="EZ884" s="303"/>
      <c r="FA884" s="58"/>
      <c r="FB884" s="59"/>
      <c r="FC884" s="58"/>
      <c r="FD884" s="59"/>
      <c r="FE884" s="58"/>
      <c r="FF884" s="60"/>
      <c r="FG884" s="58"/>
      <c r="FH884" s="60"/>
      <c r="FI884" s="58"/>
      <c r="FJ884" s="60"/>
      <c r="FK884" s="58"/>
      <c r="FL884" s="60"/>
      <c r="FM884" s="58"/>
      <c r="FN884" s="60"/>
      <c r="FO884" s="58"/>
      <c r="FP884" s="59"/>
      <c r="FQ884" s="58"/>
      <c r="FR884" s="59"/>
      <c r="FS884" s="58"/>
      <c r="FT884" s="59"/>
      <c r="FU884" s="58"/>
      <c r="FV884" s="59"/>
      <c r="FW884" s="45"/>
      <c r="FX884" s="45"/>
      <c r="FY884" s="45"/>
      <c r="FZ884" s="45"/>
      <c r="GA884" s="45"/>
      <c r="GB884" s="210"/>
      <c r="GC884" s="45"/>
      <c r="GD884" s="210"/>
      <c r="GE884" s="45"/>
      <c r="GF884" s="210"/>
      <c r="GG884" s="792"/>
      <c r="GH884" s="210"/>
      <c r="GI884" s="792"/>
      <c r="GJ884" s="210"/>
      <c r="GK884" s="792"/>
      <c r="GL884" s="210">
        <f>GJ884</f>
        <v>0</v>
      </c>
      <c r="GM884" s="792"/>
      <c r="GN884" s="210">
        <f>GL884</f>
        <v>0</v>
      </c>
      <c r="GO884" s="792"/>
      <c r="GP884" s="210">
        <f>GN884</f>
        <v>0</v>
      </c>
      <c r="GQ884" s="792"/>
      <c r="GR884" s="44">
        <f>GP884</f>
        <v>0</v>
      </c>
      <c r="GS884" s="792"/>
      <c r="GT884" s="44">
        <f>GR884</f>
        <v>0</v>
      </c>
      <c r="GU884" s="792"/>
      <c r="GV884" s="44">
        <f>GT884</f>
        <v>0</v>
      </c>
      <c r="GW884" s="792"/>
      <c r="GX884" s="44">
        <f>GV884</f>
        <v>0</v>
      </c>
      <c r="GY884" s="792"/>
      <c r="GZ884" s="45"/>
      <c r="HA884" s="45"/>
      <c r="HB884" s="242"/>
      <c r="HC884"/>
      <c r="HD884"/>
      <c r="HE884"/>
      <c r="HF884"/>
      <c r="HG884"/>
      <c r="HH884"/>
      <c r="HI884" s="2"/>
    </row>
    <row r="885" spans="2:217" s="22" customFormat="1" ht="12.75" hidden="1" customHeight="1" outlineLevel="1" x14ac:dyDescent="0.2">
      <c r="B885" s="24" t="s">
        <v>617</v>
      </c>
      <c r="D885" s="32"/>
      <c r="F885" s="32"/>
      <c r="H885" s="32"/>
      <c r="J885" s="32"/>
      <c r="L885" s="32"/>
      <c r="N885" s="32"/>
      <c r="P885" s="32"/>
      <c r="R885" s="32"/>
      <c r="T885" s="32"/>
      <c r="V885" s="32"/>
      <c r="X885" s="32"/>
      <c r="Z885" s="32"/>
      <c r="AB885" s="32"/>
      <c r="AD885" s="32"/>
      <c r="AF885" s="32"/>
      <c r="AH885" s="32"/>
      <c r="AJ885" s="32"/>
      <c r="AL885" s="32"/>
      <c r="AN885" s="32"/>
      <c r="AP885" s="32"/>
      <c r="AR885" s="32"/>
      <c r="AT885" s="32"/>
      <c r="AV885" s="32"/>
      <c r="AX885" s="32"/>
      <c r="AY885" s="28"/>
      <c r="AZ885" s="29"/>
      <c r="BA885" s="28"/>
      <c r="BB885" s="29"/>
      <c r="BC885" s="28"/>
      <c r="BD885" s="29"/>
      <c r="BE885" s="28"/>
      <c r="BF885" s="29"/>
      <c r="BG885" s="28"/>
      <c r="BH885" s="38"/>
      <c r="BI885" s="28"/>
      <c r="BJ885" s="38"/>
      <c r="BK885" s="28"/>
      <c r="BL885" s="38"/>
      <c r="BM885" s="28"/>
      <c r="BN885" s="38"/>
      <c r="BO885" s="28"/>
      <c r="BP885" s="58"/>
      <c r="BQ885" s="28"/>
      <c r="BR885" s="28"/>
      <c r="BS885" s="28"/>
      <c r="BT885" s="43"/>
      <c r="BU885" s="28"/>
      <c r="BV885" s="58"/>
      <c r="BW885" s="28"/>
      <c r="BX885" s="58"/>
      <c r="BY885" s="28"/>
      <c r="BZ885" s="58"/>
      <c r="CA885" s="28"/>
      <c r="CB885" s="58"/>
      <c r="CC885" s="28"/>
      <c r="CD885" s="58"/>
      <c r="CE885" s="28"/>
      <c r="CF885" s="58"/>
      <c r="CG885" s="28"/>
      <c r="CH885" s="58"/>
      <c r="CI885" s="28"/>
      <c r="CJ885" s="58"/>
      <c r="CK885" s="28"/>
      <c r="CL885" s="58"/>
      <c r="CM885" s="28"/>
      <c r="CN885" s="58"/>
      <c r="CO885" s="28"/>
      <c r="CP885" s="58"/>
      <c r="CQ885" s="28"/>
      <c r="CR885" s="58"/>
      <c r="CS885" s="28"/>
      <c r="CT885" s="58"/>
      <c r="CU885" s="28"/>
      <c r="CV885" s="58"/>
      <c r="CW885" s="28"/>
      <c r="CX885" s="58"/>
      <c r="CY885" s="28"/>
      <c r="CZ885" s="58"/>
      <c r="DA885" s="28"/>
      <c r="DB885" s="58"/>
      <c r="DC885" s="28"/>
      <c r="DD885" s="58"/>
      <c r="DE885" s="28"/>
      <c r="DF885" s="58"/>
      <c r="DG885" s="28"/>
      <c r="DH885" s="58"/>
      <c r="DI885" s="28"/>
      <c r="DJ885" s="58"/>
      <c r="DK885" s="28"/>
      <c r="DL885" s="58"/>
      <c r="DM885" s="28"/>
      <c r="DN885" s="58"/>
      <c r="DO885" s="28"/>
      <c r="DP885" s="58"/>
      <c r="DQ885" s="28"/>
      <c r="DR885" s="58"/>
      <c r="DS885" s="28"/>
      <c r="DT885" s="58"/>
      <c r="DU885" s="28"/>
      <c r="DV885" s="58"/>
      <c r="DW885" s="46">
        <v>2</v>
      </c>
      <c r="DX885" s="58"/>
      <c r="DY885" s="46">
        <v>2</v>
      </c>
      <c r="DZ885" s="58"/>
      <c r="EA885" s="46">
        <v>2</v>
      </c>
      <c r="EB885" s="58"/>
      <c r="EC885" s="46">
        <v>2</v>
      </c>
      <c r="ED885" s="58"/>
      <c r="EE885" s="46">
        <v>2</v>
      </c>
      <c r="EF885" s="58"/>
      <c r="EG885" s="46">
        <v>2</v>
      </c>
      <c r="EH885" s="58"/>
      <c r="EI885" s="46">
        <v>2</v>
      </c>
      <c r="EJ885" s="58"/>
      <c r="EK885" s="46">
        <v>2</v>
      </c>
      <c r="EL885" s="58"/>
      <c r="EM885" s="46">
        <v>2</v>
      </c>
      <c r="EN885" s="58"/>
      <c r="EO885" s="46">
        <v>2</v>
      </c>
      <c r="EP885" s="58"/>
      <c r="EQ885" s="46">
        <v>2</v>
      </c>
      <c r="ER885" s="58"/>
      <c r="ES885" s="46">
        <v>2</v>
      </c>
      <c r="ET885" s="58"/>
      <c r="EU885" s="46">
        <v>2</v>
      </c>
      <c r="EV885" s="58"/>
      <c r="EW885" s="46">
        <v>2</v>
      </c>
      <c r="EX885" s="58"/>
      <c r="EY885" s="58"/>
      <c r="EZ885" s="303"/>
      <c r="FA885" s="58"/>
      <c r="FB885" s="59"/>
      <c r="FC885" s="58"/>
      <c r="FD885" s="59"/>
      <c r="FE885" s="58"/>
      <c r="FF885" s="60"/>
      <c r="FG885" s="58"/>
      <c r="FH885" s="60"/>
      <c r="FI885" s="58"/>
      <c r="FJ885" s="60"/>
      <c r="FK885" s="58"/>
      <c r="FL885" s="60"/>
      <c r="FM885" s="58"/>
      <c r="FN885" s="60"/>
      <c r="FO885" s="58"/>
      <c r="FP885" s="59"/>
      <c r="FQ885" s="58"/>
      <c r="FR885" s="59"/>
      <c r="FS885" s="58"/>
      <c r="FT885" s="59"/>
      <c r="FU885" s="58"/>
      <c r="FV885" s="59"/>
      <c r="FW885" s="45"/>
      <c r="FX885" s="45"/>
      <c r="FY885" s="45"/>
      <c r="FZ885" s="45"/>
      <c r="GA885" s="45"/>
      <c r="GB885" s="210"/>
      <c r="GC885" s="45"/>
      <c r="GD885" s="210"/>
      <c r="GE885" s="45"/>
      <c r="GF885" s="210"/>
      <c r="GG885" s="792"/>
      <c r="GH885" s="210"/>
      <c r="GI885" s="792"/>
      <c r="GJ885" s="210"/>
      <c r="GK885" s="792"/>
      <c r="GL885" s="210">
        <f>GJ885</f>
        <v>0</v>
      </c>
      <c r="GM885" s="792"/>
      <c r="GN885" s="210">
        <f>GL885</f>
        <v>0</v>
      </c>
      <c r="GO885" s="792"/>
      <c r="GP885" s="210">
        <f>GN885</f>
        <v>0</v>
      </c>
      <c r="GQ885" s="792"/>
      <c r="GR885" s="46">
        <f>GP885</f>
        <v>0</v>
      </c>
      <c r="GS885" s="792"/>
      <c r="GT885" s="46">
        <f>GR885</f>
        <v>0</v>
      </c>
      <c r="GU885" s="792"/>
      <c r="GV885" s="46">
        <f>GT885</f>
        <v>0</v>
      </c>
      <c r="GW885" s="792"/>
      <c r="GX885" s="46">
        <f>GV885</f>
        <v>0</v>
      </c>
      <c r="GY885" s="792"/>
      <c r="GZ885" s="45"/>
      <c r="HA885" s="45"/>
      <c r="HB885" s="242"/>
      <c r="HC885"/>
      <c r="HD885"/>
      <c r="HE885"/>
      <c r="HF885"/>
      <c r="HG885"/>
      <c r="HH885"/>
      <c r="HI885" s="2"/>
    </row>
    <row r="886" spans="2:217" s="22" customFormat="1" ht="12.75" hidden="1" customHeight="1" outlineLevel="1" x14ac:dyDescent="0.2">
      <c r="B886" s="24"/>
      <c r="D886" s="32"/>
      <c r="F886" s="32"/>
      <c r="H886" s="32"/>
      <c r="J886" s="32"/>
      <c r="L886" s="32"/>
      <c r="N886" s="32"/>
      <c r="P886" s="32"/>
      <c r="R886" s="32"/>
      <c r="T886" s="32"/>
      <c r="V886" s="32"/>
      <c r="X886" s="32"/>
      <c r="Z886" s="32"/>
      <c r="AB886" s="32"/>
      <c r="AD886" s="32"/>
      <c r="AF886" s="32"/>
      <c r="AH886" s="32"/>
      <c r="AJ886" s="32"/>
      <c r="AL886" s="32"/>
      <c r="AN886" s="32"/>
      <c r="AP886" s="32"/>
      <c r="AR886" s="32"/>
      <c r="AT886" s="32"/>
      <c r="AV886" s="32"/>
      <c r="AX886" s="32"/>
      <c r="AY886" s="28"/>
      <c r="AZ886" s="29"/>
      <c r="BA886" s="28"/>
      <c r="BB886" s="29"/>
      <c r="BC886" s="28"/>
      <c r="BD886" s="29"/>
      <c r="BE886" s="28"/>
      <c r="BF886" s="29"/>
      <c r="BG886" s="28"/>
      <c r="BH886" s="36"/>
      <c r="BI886" s="28"/>
      <c r="BJ886" s="36"/>
      <c r="BK886" s="28"/>
      <c r="BL886" s="36"/>
      <c r="BM886" s="28"/>
      <c r="BN886" s="36"/>
      <c r="BO886" s="28"/>
      <c r="BP886" s="36"/>
      <c r="BQ886" s="28"/>
      <c r="BR886" s="28"/>
      <c r="BS886" s="28"/>
      <c r="BT886" s="47"/>
      <c r="BU886" s="28"/>
      <c r="BV886" s="36"/>
      <c r="BW886" s="28"/>
      <c r="BX886" s="36"/>
      <c r="BY886" s="28"/>
      <c r="BZ886" s="36"/>
      <c r="CA886" s="28"/>
      <c r="CB886" s="36"/>
      <c r="CC886" s="28"/>
      <c r="CD886" s="36"/>
      <c r="CE886" s="28"/>
      <c r="CF886" s="36"/>
      <c r="CG886" s="28"/>
      <c r="CH886" s="36"/>
      <c r="CI886" s="28"/>
      <c r="CJ886" s="36"/>
      <c r="CK886" s="28"/>
      <c r="CL886" s="36"/>
      <c r="CM886" s="28"/>
      <c r="CN886" s="36"/>
      <c r="CO886" s="28"/>
      <c r="CP886" s="36"/>
      <c r="CQ886" s="28"/>
      <c r="CR886" s="36"/>
      <c r="CS886" s="28"/>
      <c r="CT886" s="36"/>
      <c r="CU886" s="28"/>
      <c r="CV886" s="36"/>
      <c r="CW886" s="28"/>
      <c r="CX886" s="36"/>
      <c r="CY886" s="28"/>
      <c r="CZ886" s="36"/>
      <c r="DA886" s="28"/>
      <c r="DB886" s="36"/>
      <c r="DC886" s="28"/>
      <c r="DD886" s="36"/>
      <c r="DE886" s="28"/>
      <c r="DF886" s="36"/>
      <c r="DG886" s="28"/>
      <c r="DH886" s="36"/>
      <c r="DI886" s="28"/>
      <c r="DJ886" s="36"/>
      <c r="DK886" s="28"/>
      <c r="DL886" s="36"/>
      <c r="DM886" s="28"/>
      <c r="DN886" s="36"/>
      <c r="DO886" s="28"/>
      <c r="DP886" s="36"/>
      <c r="DQ886" s="28"/>
      <c r="DR886" s="36"/>
      <c r="DS886" s="28"/>
      <c r="DT886" s="36"/>
      <c r="DU886" s="28"/>
      <c r="DV886" s="36"/>
      <c r="DW886" s="48"/>
      <c r="DX886" s="36"/>
      <c r="DY886" s="48"/>
      <c r="DZ886" s="36"/>
      <c r="EA886" s="48"/>
      <c r="EB886" s="36"/>
      <c r="EC886" s="48"/>
      <c r="ED886" s="36"/>
      <c r="EE886" s="48"/>
      <c r="EF886" s="36"/>
      <c r="EG886" s="48"/>
      <c r="EH886" s="36"/>
      <c r="EI886" s="48"/>
      <c r="EJ886" s="36"/>
      <c r="EK886" s="48"/>
      <c r="EL886" s="36"/>
      <c r="EM886" s="48"/>
      <c r="EN886" s="36"/>
      <c r="EO886" s="48"/>
      <c r="EP886" s="36"/>
      <c r="EQ886" s="48"/>
      <c r="ER886" s="36"/>
      <c r="ES886" s="48"/>
      <c r="ET886" s="36"/>
      <c r="EU886" s="48"/>
      <c r="EV886" s="36"/>
      <c r="EW886" s="48"/>
      <c r="EX886" s="36"/>
      <c r="EY886" s="36"/>
      <c r="EZ886" s="302"/>
      <c r="FA886" s="36"/>
      <c r="FB886" s="49"/>
      <c r="FC886" s="36"/>
      <c r="FD886" s="49"/>
      <c r="FE886" s="36"/>
      <c r="FF886" s="50"/>
      <c r="FG886" s="36"/>
      <c r="FH886" s="50"/>
      <c r="FI886" s="36"/>
      <c r="FJ886" s="50"/>
      <c r="FK886" s="36"/>
      <c r="FL886" s="50"/>
      <c r="FM886" s="36"/>
      <c r="FN886" s="50"/>
      <c r="FO886" s="36"/>
      <c r="FP886" s="49"/>
      <c r="FQ886" s="36"/>
      <c r="FR886" s="49"/>
      <c r="FS886" s="36"/>
      <c r="FT886" s="49"/>
      <c r="FU886" s="36"/>
      <c r="FV886" s="49"/>
      <c r="FW886" s="36"/>
      <c r="FX886" s="49"/>
      <c r="FY886" s="36"/>
      <c r="FZ886" s="49"/>
      <c r="GA886" s="36"/>
      <c r="GB886" s="49"/>
      <c r="GC886" s="36"/>
      <c r="GD886" s="49"/>
      <c r="GE886" s="36"/>
      <c r="GF886" s="49"/>
      <c r="GG886" s="36"/>
      <c r="GH886" s="49"/>
      <c r="GI886" s="36"/>
      <c r="GJ886" s="49"/>
      <c r="GK886" s="36"/>
      <c r="GL886" s="49"/>
      <c r="GM886" s="36"/>
      <c r="GN886" s="49"/>
      <c r="GO886" s="36"/>
      <c r="GP886" s="49"/>
      <c r="GQ886" s="36"/>
      <c r="GR886" s="49"/>
      <c r="GS886" s="36"/>
      <c r="GT886" s="49"/>
      <c r="GU886" s="36"/>
      <c r="GV886" s="49"/>
      <c r="GW886" s="36"/>
      <c r="GX886" s="49"/>
      <c r="GY886" s="36"/>
      <c r="GZ886" s="36"/>
      <c r="HA886" s="36"/>
      <c r="HB886" s="155"/>
      <c r="HC886"/>
      <c r="HD886"/>
      <c r="HE886"/>
      <c r="HF886"/>
      <c r="HG886"/>
      <c r="HH886"/>
      <c r="HI886" s="2"/>
    </row>
    <row r="887" spans="2:217" s="22" customFormat="1" ht="12.75" hidden="1" customHeight="1" outlineLevel="1" x14ac:dyDescent="0.2">
      <c r="B887" s="34" t="s">
        <v>50</v>
      </c>
      <c r="D887" s="32"/>
      <c r="F887" s="32"/>
      <c r="H887" s="32"/>
      <c r="J887" s="32"/>
      <c r="L887" s="32"/>
      <c r="N887" s="32"/>
      <c r="P887" s="32"/>
      <c r="R887" s="32"/>
      <c r="T887" s="32"/>
      <c r="V887" s="32"/>
      <c r="X887" s="32"/>
      <c r="Z887" s="32"/>
      <c r="AB887" s="32"/>
      <c r="AD887" s="32"/>
      <c r="AF887" s="32"/>
      <c r="AH887" s="32"/>
      <c r="AJ887" s="32"/>
      <c r="AL887" s="32"/>
      <c r="AN887" s="32"/>
      <c r="AP887" s="32"/>
      <c r="AR887" s="32"/>
      <c r="AT887" s="32"/>
      <c r="AV887" s="32"/>
      <c r="AX887" s="32"/>
      <c r="AY887" s="28"/>
      <c r="AZ887" s="29"/>
      <c r="BA887" s="28"/>
      <c r="BB887" s="29"/>
      <c r="BC887" s="28"/>
      <c r="BD887" s="29"/>
      <c r="BE887" s="28"/>
      <c r="BF887" s="29"/>
      <c r="BG887" s="28"/>
      <c r="BH887" s="36"/>
      <c r="BI887" s="28"/>
      <c r="BJ887" s="36"/>
      <c r="BK887" s="28"/>
      <c r="BL887" s="36"/>
      <c r="BM887" s="28"/>
      <c r="BN887" s="36"/>
      <c r="BO887" s="28"/>
      <c r="BP887" s="36"/>
      <c r="BQ887" s="28"/>
      <c r="BR887" s="28"/>
      <c r="BS887" s="28"/>
      <c r="BT887" s="47"/>
      <c r="BU887" s="28"/>
      <c r="BV887" s="36"/>
      <c r="BW887" s="28"/>
      <c r="BX887" s="36"/>
      <c r="BY887" s="28"/>
      <c r="BZ887" s="36"/>
      <c r="CA887" s="28"/>
      <c r="CB887" s="36"/>
      <c r="CC887" s="28"/>
      <c r="CD887" s="36"/>
      <c r="CE887" s="28"/>
      <c r="CF887" s="36"/>
      <c r="CG887" s="28"/>
      <c r="CH887" s="36"/>
      <c r="CI887" s="28"/>
      <c r="CJ887" s="36"/>
      <c r="CK887" s="28"/>
      <c r="CL887" s="36"/>
      <c r="CM887" s="28"/>
      <c r="CN887" s="36"/>
      <c r="CO887" s="28"/>
      <c r="CP887" s="36"/>
      <c r="CQ887" s="28"/>
      <c r="CR887" s="36"/>
      <c r="CS887" s="28"/>
      <c r="CT887" s="36"/>
      <c r="CU887" s="28"/>
      <c r="CV887" s="36"/>
      <c r="CW887" s="28"/>
      <c r="CX887" s="36"/>
      <c r="CY887" s="28"/>
      <c r="CZ887" s="36"/>
      <c r="DA887" s="28"/>
      <c r="DB887" s="36"/>
      <c r="DC887" s="28"/>
      <c r="DD887" s="36"/>
      <c r="DE887" s="28"/>
      <c r="DF887" s="36"/>
      <c r="DG887" s="28"/>
      <c r="DH887" s="36"/>
      <c r="DI887" s="28"/>
      <c r="DJ887" s="36"/>
      <c r="DK887" s="28"/>
      <c r="DL887" s="36"/>
      <c r="DM887" s="28"/>
      <c r="DN887" s="36"/>
      <c r="DO887" s="28"/>
      <c r="DP887" s="36"/>
      <c r="DQ887" s="28"/>
      <c r="DR887" s="36"/>
      <c r="DS887" s="28"/>
      <c r="DT887" s="36"/>
      <c r="DU887" s="28"/>
      <c r="DV887" s="36"/>
      <c r="DW887" s="48"/>
      <c r="DX887" s="36"/>
      <c r="DY887" s="48"/>
      <c r="DZ887" s="36"/>
      <c r="EA887" s="48"/>
      <c r="EB887" s="36"/>
      <c r="EC887" s="48"/>
      <c r="ED887" s="36"/>
      <c r="EE887" s="48"/>
      <c r="EF887" s="36"/>
      <c r="EG887" s="48"/>
      <c r="EH887" s="36"/>
      <c r="EI887" s="48"/>
      <c r="EJ887" s="36"/>
      <c r="EK887" s="48"/>
      <c r="EL887" s="36"/>
      <c r="EM887" s="48"/>
      <c r="EN887" s="36"/>
      <c r="EO887" s="48"/>
      <c r="EP887" s="36"/>
      <c r="EQ887" s="48"/>
      <c r="ER887" s="36"/>
      <c r="ES887" s="48"/>
      <c r="ET887" s="36"/>
      <c r="EU887" s="48"/>
      <c r="EV887" s="36"/>
      <c r="EW887" s="48"/>
      <c r="EX887" s="36"/>
      <c r="EY887" s="36"/>
      <c r="EZ887" s="302"/>
      <c r="FA887" s="36"/>
      <c r="FB887" s="49"/>
      <c r="FC887" s="36"/>
      <c r="FD887" s="49"/>
      <c r="FE887" s="36"/>
      <c r="FF887" s="50"/>
      <c r="FG887" s="36"/>
      <c r="FH887" s="50"/>
      <c r="FI887" s="36"/>
      <c r="FJ887" s="50"/>
      <c r="FK887" s="36"/>
      <c r="FL887" s="50"/>
      <c r="FM887" s="36"/>
      <c r="FN887" s="50"/>
      <c r="FO887" s="36"/>
      <c r="FP887" s="49"/>
      <c r="FQ887" s="36"/>
      <c r="FR887" s="49"/>
      <c r="FS887" s="36"/>
      <c r="FT887" s="49"/>
      <c r="FU887" s="36"/>
      <c r="FV887" s="49"/>
      <c r="FW887" s="36"/>
      <c r="FX887" s="49"/>
      <c r="FY887" s="36"/>
      <c r="FZ887" s="49"/>
      <c r="GA887" s="36"/>
      <c r="GB887" s="49"/>
      <c r="GC887" s="36"/>
      <c r="GD887" s="49"/>
      <c r="GE887" s="36"/>
      <c r="GF887" s="49"/>
      <c r="GG887" s="36"/>
      <c r="GH887" s="49"/>
      <c r="GI887" s="36"/>
      <c r="GJ887" s="49"/>
      <c r="GK887" s="36"/>
      <c r="GL887" s="49"/>
      <c r="GM887" s="36"/>
      <c r="GN887" s="49"/>
      <c r="GO887" s="36"/>
      <c r="GP887" s="49"/>
      <c r="GQ887" s="36"/>
      <c r="GR887" s="49"/>
      <c r="GS887" s="36"/>
      <c r="GT887" s="49"/>
      <c r="GU887" s="36"/>
      <c r="GV887" s="49"/>
      <c r="GW887" s="36"/>
      <c r="GX887" s="49"/>
      <c r="GY887" s="36"/>
      <c r="GZ887" s="36"/>
      <c r="HA887" s="36"/>
      <c r="HB887" s="155"/>
      <c r="HC887"/>
      <c r="HD887"/>
      <c r="HE887"/>
      <c r="HF887"/>
      <c r="HG887"/>
      <c r="HH887"/>
      <c r="HI887" s="2"/>
    </row>
    <row r="888" spans="2:217" s="22" customFormat="1" ht="12.75" hidden="1" customHeight="1" outlineLevel="1" x14ac:dyDescent="0.2">
      <c r="B888" s="34" t="s">
        <v>402</v>
      </c>
      <c r="D888" s="32"/>
      <c r="F888" s="32"/>
      <c r="H888" s="32"/>
      <c r="J888" s="32"/>
      <c r="L888" s="32"/>
      <c r="N888" s="32"/>
      <c r="P888" s="32"/>
      <c r="R888" s="32"/>
      <c r="T888" s="32"/>
      <c r="V888" s="32"/>
      <c r="X888" s="32"/>
      <c r="Z888" s="32"/>
      <c r="AB888" s="32"/>
      <c r="AD888" s="32"/>
      <c r="AF888" s="32"/>
      <c r="AH888" s="32"/>
      <c r="AJ888" s="32"/>
      <c r="AL888" s="32"/>
      <c r="AN888" s="32"/>
      <c r="AP888" s="32"/>
      <c r="AR888" s="32"/>
      <c r="AT888" s="32"/>
      <c r="AV888" s="32"/>
      <c r="AX888" s="32"/>
      <c r="AY888" s="28"/>
      <c r="AZ888" s="29"/>
      <c r="BA888" s="28"/>
      <c r="BB888" s="29"/>
      <c r="BC888" s="28"/>
      <c r="BD888" s="29"/>
      <c r="BE888" s="28"/>
      <c r="BF888" s="29"/>
      <c r="BG888" s="28"/>
      <c r="BH888" s="36"/>
      <c r="BI888" s="28"/>
      <c r="BJ888" s="36"/>
      <c r="BK888" s="28"/>
      <c r="BL888" s="36"/>
      <c r="BM888" s="28"/>
      <c r="BN888" s="36"/>
      <c r="BO888" s="28"/>
      <c r="BP888" s="36"/>
      <c r="BQ888" s="28"/>
      <c r="BR888" s="28"/>
      <c r="BS888" s="28"/>
      <c r="BT888" s="47"/>
      <c r="BU888" s="28"/>
      <c r="BV888" s="36"/>
      <c r="BW888" s="28"/>
      <c r="BX888" s="36"/>
      <c r="BY888" s="28"/>
      <c r="BZ888" s="36"/>
      <c r="CA888" s="28"/>
      <c r="CB888" s="36"/>
      <c r="CC888" s="28"/>
      <c r="CD888" s="36"/>
      <c r="CE888" s="28"/>
      <c r="CF888" s="36"/>
      <c r="CG888" s="28"/>
      <c r="CH888" s="36"/>
      <c r="CI888" s="28"/>
      <c r="CJ888" s="36"/>
      <c r="CK888" s="28"/>
      <c r="CL888" s="36"/>
      <c r="CM888" s="28"/>
      <c r="CN888" s="36"/>
      <c r="CO888" s="28"/>
      <c r="CP888" s="36"/>
      <c r="CQ888" s="28"/>
      <c r="CR888" s="36"/>
      <c r="CS888" s="28"/>
      <c r="CT888" s="36"/>
      <c r="CU888" s="28"/>
      <c r="CV888" s="36"/>
      <c r="CW888" s="28"/>
      <c r="CX888" s="36"/>
      <c r="CY888" s="28"/>
      <c r="CZ888" s="36"/>
      <c r="DA888" s="28"/>
      <c r="DB888" s="36"/>
      <c r="DC888" s="28"/>
      <c r="DD888" s="36"/>
      <c r="DE888" s="28"/>
      <c r="DF888" s="36"/>
      <c r="DG888" s="28"/>
      <c r="DH888" s="36"/>
      <c r="DI888" s="28"/>
      <c r="DJ888" s="36"/>
      <c r="DK888" s="28"/>
      <c r="DL888" s="36"/>
      <c r="DM888" s="28"/>
      <c r="DN888" s="36"/>
      <c r="DO888" s="28"/>
      <c r="DP888" s="36"/>
      <c r="DQ888" s="28"/>
      <c r="DR888" s="36"/>
      <c r="DS888" s="28"/>
      <c r="DT888" s="36"/>
      <c r="DU888" s="28"/>
      <c r="DV888" s="36"/>
      <c r="DW888" s="48"/>
      <c r="DX888" s="36"/>
      <c r="DY888" s="48"/>
      <c r="DZ888" s="36"/>
      <c r="EA888" s="48"/>
      <c r="EB888" s="36"/>
      <c r="EC888" s="48"/>
      <c r="ED888" s="36"/>
      <c r="EE888" s="48"/>
      <c r="EF888" s="36"/>
      <c r="EG888" s="48"/>
      <c r="EH888" s="36"/>
      <c r="EI888" s="48"/>
      <c r="EJ888" s="36"/>
      <c r="EK888" s="48"/>
      <c r="EL888" s="36"/>
      <c r="EM888" s="48"/>
      <c r="EN888" s="36"/>
      <c r="EO888" s="48"/>
      <c r="EP888" s="36"/>
      <c r="EQ888" s="48"/>
      <c r="ER888" s="36"/>
      <c r="ES888" s="48"/>
      <c r="ET888" s="36"/>
      <c r="EU888" s="48"/>
      <c r="EV888" s="36"/>
      <c r="EW888" s="48"/>
      <c r="EX888" s="36"/>
      <c r="EY888" s="36"/>
      <c r="EZ888" s="302"/>
      <c r="FA888" s="36"/>
      <c r="FB888" s="49"/>
      <c r="FC888" s="36"/>
      <c r="FD888" s="49"/>
      <c r="FE888" s="36"/>
      <c r="FF888" s="50"/>
      <c r="FG888" s="36"/>
      <c r="FH888" s="50"/>
      <c r="FI888" s="36"/>
      <c r="FJ888" s="50"/>
      <c r="FK888" s="36"/>
      <c r="FL888" s="50"/>
      <c r="FM888" s="36"/>
      <c r="FN888" s="50"/>
      <c r="FO888" s="36"/>
      <c r="FP888" s="49"/>
      <c r="FQ888" s="36"/>
      <c r="FR888" s="49"/>
      <c r="FS888" s="36"/>
      <c r="FT888" s="49"/>
      <c r="FU888" s="36"/>
      <c r="FV888" s="49"/>
      <c r="FW888" s="36"/>
      <c r="FX888" s="49"/>
      <c r="FY888" s="36"/>
      <c r="FZ888" s="49"/>
      <c r="GA888" s="36"/>
      <c r="GB888" s="49"/>
      <c r="GC888" s="36"/>
      <c r="GD888" s="49"/>
      <c r="GE888" s="36"/>
      <c r="GF888" s="49"/>
      <c r="GG888" s="36"/>
      <c r="GH888" s="49"/>
      <c r="GI888" s="36"/>
      <c r="GJ888" s="49"/>
      <c r="GK888" s="36"/>
      <c r="GL888" s="49"/>
      <c r="GM888" s="36"/>
      <c r="GN888" s="49"/>
      <c r="GO888" s="36"/>
      <c r="GP888" s="49"/>
      <c r="GQ888" s="36"/>
      <c r="GR888" s="49"/>
      <c r="GS888" s="36"/>
      <c r="GT888" s="49"/>
      <c r="GU888" s="36"/>
      <c r="GV888" s="49"/>
      <c r="GW888" s="36"/>
      <c r="GX888" s="49"/>
      <c r="GY888" s="36"/>
      <c r="GZ888" s="36"/>
      <c r="HA888" s="36"/>
      <c r="HB888" s="155"/>
      <c r="HC888"/>
      <c r="HD888"/>
      <c r="HE888"/>
      <c r="HF888"/>
      <c r="HG888"/>
      <c r="HH888"/>
      <c r="HI888" s="2"/>
    </row>
    <row r="889" spans="2:217" s="22" customFormat="1" ht="12.75" hidden="1" customHeight="1" outlineLevel="1" x14ac:dyDescent="0.2">
      <c r="B889" s="24" t="s">
        <v>614</v>
      </c>
      <c r="D889" s="32"/>
      <c r="F889" s="32"/>
      <c r="H889" s="32"/>
      <c r="J889" s="32"/>
      <c r="L889" s="32"/>
      <c r="N889" s="32"/>
      <c r="P889" s="32"/>
      <c r="R889" s="32"/>
      <c r="T889" s="32"/>
      <c r="V889" s="32"/>
      <c r="X889" s="32"/>
      <c r="Z889" s="32"/>
      <c r="AB889" s="32"/>
      <c r="AD889" s="32"/>
      <c r="AF889" s="32"/>
      <c r="AH889" s="32"/>
      <c r="AJ889" s="32"/>
      <c r="AL889" s="32"/>
      <c r="AN889" s="32"/>
      <c r="AP889" s="32"/>
      <c r="AR889" s="32"/>
      <c r="AT889" s="32"/>
      <c r="AV889" s="32"/>
      <c r="AX889" s="32"/>
      <c r="AY889" s="28"/>
      <c r="AZ889" s="29"/>
      <c r="BA889" s="28"/>
      <c r="BB889" s="29"/>
      <c r="BC889" s="28"/>
      <c r="BD889" s="29"/>
      <c r="BE889" s="28"/>
      <c r="BF889" s="29"/>
      <c r="BG889" s="28"/>
      <c r="BH889" s="36"/>
      <c r="BI889" s="28"/>
      <c r="BJ889" s="36"/>
      <c r="BK889" s="28"/>
      <c r="BL889" s="36"/>
      <c r="BM889" s="28"/>
      <c r="BN889" s="36"/>
      <c r="BO889" s="28"/>
      <c r="BP889" s="36"/>
      <c r="BQ889" s="28"/>
      <c r="BR889" s="28"/>
      <c r="BS889" s="28"/>
      <c r="BT889" s="47"/>
      <c r="BU889" s="28"/>
      <c r="BV889" s="36"/>
      <c r="BW889" s="28"/>
      <c r="BX889" s="36"/>
      <c r="BY889" s="28"/>
      <c r="BZ889" s="36"/>
      <c r="CA889" s="28"/>
      <c r="CB889" s="36"/>
      <c r="CC889" s="28"/>
      <c r="CD889" s="36"/>
      <c r="CE889" s="28"/>
      <c r="CF889" s="36"/>
      <c r="CG889" s="28"/>
      <c r="CH889" s="36"/>
      <c r="CI889" s="28"/>
      <c r="CJ889" s="36"/>
      <c r="CK889" s="28"/>
      <c r="CL889" s="36"/>
      <c r="CM889" s="28"/>
      <c r="CN889" s="36"/>
      <c r="CO889" s="28"/>
      <c r="CP889" s="36"/>
      <c r="CQ889" s="28"/>
      <c r="CR889" s="36"/>
      <c r="CS889" s="28"/>
      <c r="CT889" s="36"/>
      <c r="CU889" s="28"/>
      <c r="CV889" s="36"/>
      <c r="CW889" s="28"/>
      <c r="CX889" s="36"/>
      <c r="CY889" s="28"/>
      <c r="CZ889" s="36"/>
      <c r="DA889" s="28"/>
      <c r="DB889" s="36"/>
      <c r="DC889" s="28"/>
      <c r="DD889" s="36"/>
      <c r="DE889" s="28"/>
      <c r="DF889" s="36"/>
      <c r="DG889" s="28"/>
      <c r="DH889" s="36"/>
      <c r="DI889" s="28"/>
      <c r="DJ889" s="36"/>
      <c r="DK889" s="28"/>
      <c r="DL889" s="36"/>
      <c r="DM889" s="28"/>
      <c r="DN889" s="36"/>
      <c r="DO889" s="28"/>
      <c r="DP889" s="36"/>
      <c r="DQ889" s="28"/>
      <c r="DR889" s="36"/>
      <c r="DS889" s="28"/>
      <c r="DT889" s="36"/>
      <c r="DU889" s="28"/>
      <c r="DV889" s="36"/>
      <c r="DW889" s="51">
        <f>DW41</f>
        <v>150</v>
      </c>
      <c r="DX889" s="36"/>
      <c r="DY889" s="51">
        <f>DY41</f>
        <v>87</v>
      </c>
      <c r="DZ889" s="36"/>
      <c r="EA889" s="51">
        <f>EA41</f>
        <v>253</v>
      </c>
      <c r="EB889" s="36"/>
      <c r="EC889" s="51">
        <f>EC41</f>
        <v>353</v>
      </c>
      <c r="ED889" s="36"/>
      <c r="EE889" s="51">
        <f>EE41</f>
        <v>96</v>
      </c>
      <c r="EF889" s="36"/>
      <c r="EG889" s="51">
        <f>EG41</f>
        <v>-484</v>
      </c>
      <c r="EH889" s="36"/>
      <c r="EI889" s="51">
        <f>EI41</f>
        <v>-898</v>
      </c>
      <c r="EJ889" s="36"/>
      <c r="EK889" s="51">
        <f>EK41</f>
        <v>-889</v>
      </c>
      <c r="EL889" s="36"/>
      <c r="EM889" s="51">
        <f>EM41</f>
        <v>-970</v>
      </c>
      <c r="EN889" s="36"/>
      <c r="EO889" s="51">
        <f>EO41</f>
        <v>-1108</v>
      </c>
      <c r="EP889" s="36"/>
      <c r="EQ889" s="51">
        <f>EQ41</f>
        <v>-1126.8677489559366</v>
      </c>
      <c r="ER889" s="36"/>
      <c r="ES889" s="51">
        <f>ES41</f>
        <v>-1028.8471538298159</v>
      </c>
      <c r="ET889" s="36"/>
      <c r="EU889" s="51">
        <f>EU41</f>
        <v>-993.53605031029633</v>
      </c>
      <c r="EV889" s="36"/>
      <c r="EW889" s="51">
        <f>EW41</f>
        <v>-958.13636336185687</v>
      </c>
      <c r="EX889" s="36"/>
      <c r="EY889" s="36"/>
      <c r="EZ889" s="302"/>
      <c r="FA889" s="36"/>
      <c r="FB889" s="49"/>
      <c r="FC889" s="36"/>
      <c r="FD889" s="49"/>
      <c r="FE889" s="36"/>
      <c r="FF889" s="50"/>
      <c r="FG889" s="36"/>
      <c r="FH889" s="50"/>
      <c r="FI889" s="36"/>
      <c r="FJ889" s="50"/>
      <c r="FK889" s="36"/>
      <c r="FL889" s="50"/>
      <c r="FM889" s="36"/>
      <c r="FN889" s="50"/>
      <c r="FO889" s="36"/>
      <c r="FP889" s="49"/>
      <c r="FQ889" s="36"/>
      <c r="FR889" s="49"/>
      <c r="FS889" s="36"/>
      <c r="FT889" s="49"/>
      <c r="FU889" s="36"/>
      <c r="FV889" s="49"/>
      <c r="FW889" s="36"/>
      <c r="FX889" s="48"/>
      <c r="FY889" s="36"/>
      <c r="FZ889" s="48"/>
      <c r="GA889" s="36"/>
      <c r="GB889" s="48"/>
      <c r="GC889" s="36"/>
      <c r="GD889" s="48"/>
      <c r="GE889" s="36"/>
      <c r="GF889" s="48"/>
      <c r="GG889" s="36"/>
      <c r="GH889" s="48"/>
      <c r="GI889" s="36"/>
      <c r="GJ889" s="48"/>
      <c r="GK889" s="36"/>
      <c r="GL889" s="48">
        <f>GL41</f>
        <v>218</v>
      </c>
      <c r="GM889" s="36"/>
      <c r="GN889" s="48">
        <f>GN41</f>
        <v>-3865</v>
      </c>
      <c r="GO889" s="36"/>
      <c r="GP889" s="48">
        <f>GP41</f>
        <v>-4107.3873164579045</v>
      </c>
      <c r="GQ889" s="36"/>
      <c r="GR889" s="51">
        <f>GR41</f>
        <v>-3401.4004061030791</v>
      </c>
      <c r="GS889" s="36"/>
      <c r="GT889" s="51">
        <f>GT41</f>
        <v>-2923.8738533947053</v>
      </c>
      <c r="GU889" s="36"/>
      <c r="GV889" s="51">
        <f>GV41</f>
        <v>-2407.1977416660648</v>
      </c>
      <c r="GW889" s="36"/>
      <c r="GX889" s="51">
        <f>GX41</f>
        <v>-1849.7426646827989</v>
      </c>
      <c r="GY889" s="36"/>
      <c r="GZ889" s="36"/>
      <c r="HA889" s="36"/>
      <c r="HB889" s="155"/>
      <c r="HC889"/>
      <c r="HD889"/>
      <c r="HE889"/>
      <c r="HF889"/>
      <c r="HG889"/>
      <c r="HH889"/>
      <c r="HI889" s="2"/>
    </row>
    <row r="890" spans="2:217" s="22" customFormat="1" ht="12.75" hidden="1" customHeight="1" outlineLevel="1" x14ac:dyDescent="0.2">
      <c r="B890" s="24" t="s">
        <v>618</v>
      </c>
      <c r="D890" s="32"/>
      <c r="E890" s="8"/>
      <c r="F890" s="248"/>
      <c r="G890" s="249"/>
      <c r="H890" s="250"/>
      <c r="I890" s="249"/>
      <c r="J890" s="250"/>
      <c r="K890" s="249"/>
      <c r="L890" s="250"/>
      <c r="M890" s="249"/>
      <c r="N890" s="250"/>
      <c r="O890" s="249"/>
      <c r="P890" s="251"/>
      <c r="Q890" s="249"/>
      <c r="R890" s="251"/>
      <c r="S890" s="249"/>
      <c r="T890" s="251"/>
      <c r="U890" s="249"/>
      <c r="V890" s="251"/>
      <c r="W890" s="249"/>
      <c r="X890" s="251"/>
      <c r="Y890" s="249"/>
      <c r="Z890" s="251"/>
      <c r="AA890" s="249"/>
      <c r="AB890" s="251"/>
      <c r="AC890" s="249"/>
      <c r="AD890" s="251"/>
      <c r="AE890" s="249"/>
      <c r="AF890" s="251"/>
      <c r="AG890" s="249"/>
      <c r="AH890" s="251"/>
      <c r="AI890" s="249"/>
      <c r="AJ890" s="251"/>
      <c r="AK890" s="249"/>
      <c r="AL890" s="251"/>
      <c r="AM890" s="249"/>
      <c r="AN890" s="251"/>
      <c r="AO890" s="249"/>
      <c r="AP890" s="251"/>
      <c r="AQ890" s="249"/>
      <c r="AR890" s="251"/>
      <c r="AS890" s="249"/>
      <c r="AT890" s="251"/>
      <c r="AU890" s="249"/>
      <c r="AV890" s="251"/>
      <c r="AW890" s="249"/>
      <c r="AX890" s="251"/>
      <c r="AY890" s="249"/>
      <c r="AZ890" s="251"/>
      <c r="BA890" s="249"/>
      <c r="BB890" s="251"/>
      <c r="BC890" s="249"/>
      <c r="BD890" s="251"/>
      <c r="BE890" s="249"/>
      <c r="BF890" s="251"/>
      <c r="BG890" s="249"/>
      <c r="BH890" s="251"/>
      <c r="BI890" s="249"/>
      <c r="BJ890" s="251"/>
      <c r="BK890" s="249"/>
      <c r="BL890" s="252"/>
      <c r="BM890" s="249"/>
      <c r="BN890" s="252"/>
      <c r="BO890" s="249"/>
      <c r="BP890" s="252"/>
      <c r="BQ890" s="249"/>
      <c r="BR890" s="251"/>
      <c r="BS890" s="249"/>
      <c r="BT890" s="251"/>
      <c r="BU890" s="249"/>
      <c r="BV890" s="251"/>
      <c r="BW890" s="249"/>
      <c r="BX890" s="251"/>
      <c r="BY890" s="249"/>
      <c r="BZ890" s="251"/>
      <c r="CA890" s="249"/>
      <c r="CB890" s="250"/>
      <c r="CC890" s="249"/>
      <c r="CD890" s="250"/>
      <c r="CE890" s="249"/>
      <c r="CF890" s="250"/>
      <c r="CG890" s="249"/>
      <c r="CH890" s="250"/>
      <c r="CI890" s="249"/>
      <c r="CJ890" s="250"/>
      <c r="CK890" s="249"/>
      <c r="CL890" s="250"/>
      <c r="CM890" s="249"/>
      <c r="CN890" s="250"/>
      <c r="CO890" s="249"/>
      <c r="CP890" s="250"/>
      <c r="CQ890" s="249"/>
      <c r="CR890" s="250"/>
      <c r="CS890" s="249"/>
      <c r="CT890" s="36"/>
      <c r="CU890" s="249"/>
      <c r="CV890" s="36"/>
      <c r="CW890" s="249"/>
      <c r="CX890" s="36"/>
      <c r="CY890" s="249"/>
      <c r="CZ890" s="36"/>
      <c r="DA890" s="249"/>
      <c r="DB890" s="36"/>
      <c r="DC890" s="249"/>
      <c r="DD890" s="36"/>
      <c r="DE890" s="249"/>
      <c r="DF890" s="36"/>
      <c r="DG890" s="249"/>
      <c r="DH890" s="36"/>
      <c r="DI890" s="249"/>
      <c r="DJ890" s="36"/>
      <c r="DK890" s="249"/>
      <c r="DL890" s="36"/>
      <c r="DM890" s="249"/>
      <c r="DN890" s="36"/>
      <c r="DO890" s="249"/>
      <c r="DP890" s="36"/>
      <c r="DQ890" s="249"/>
      <c r="DR890" s="36"/>
      <c r="DS890" s="249"/>
      <c r="DT890" s="36"/>
      <c r="DU890" s="249"/>
      <c r="DV890" s="36"/>
      <c r="DW890" s="53">
        <v>200</v>
      </c>
      <c r="DX890" s="36"/>
      <c r="DY890" s="53">
        <v>200</v>
      </c>
      <c r="DZ890" s="36"/>
      <c r="EA890" s="53">
        <v>200</v>
      </c>
      <c r="EB890" s="36"/>
      <c r="EC890" s="53">
        <v>200</v>
      </c>
      <c r="ED890" s="36"/>
      <c r="EE890" s="53">
        <v>200</v>
      </c>
      <c r="EF890" s="36"/>
      <c r="EG890" s="53">
        <v>200</v>
      </c>
      <c r="EH890" s="36"/>
      <c r="EI890" s="53">
        <v>200</v>
      </c>
      <c r="EJ890" s="36"/>
      <c r="EK890" s="53">
        <v>200</v>
      </c>
      <c r="EL890" s="36"/>
      <c r="EM890" s="53">
        <v>200</v>
      </c>
      <c r="EN890" s="36"/>
      <c r="EO890" s="53">
        <v>200</v>
      </c>
      <c r="EP890" s="36"/>
      <c r="EQ890" s="53">
        <v>200</v>
      </c>
      <c r="ER890" s="36"/>
      <c r="ES890" s="53">
        <v>200</v>
      </c>
      <c r="ET890" s="36"/>
      <c r="EU890" s="53">
        <v>200</v>
      </c>
      <c r="EV890" s="36"/>
      <c r="EW890" s="53">
        <v>200</v>
      </c>
      <c r="EX890" s="36"/>
      <c r="EY890" s="36"/>
      <c r="EZ890" s="302"/>
      <c r="FA890" s="36"/>
      <c r="FB890" s="49"/>
      <c r="FC890" s="36"/>
      <c r="FD890" s="49"/>
      <c r="FE890" s="36"/>
      <c r="FF890" s="50"/>
      <c r="FG890" s="36"/>
      <c r="FH890" s="50"/>
      <c r="FI890" s="36"/>
      <c r="FJ890" s="50"/>
      <c r="FK890" s="36"/>
      <c r="FL890" s="50"/>
      <c r="FM890" s="36"/>
      <c r="FN890" s="50"/>
      <c r="FO890" s="36"/>
      <c r="FP890" s="49"/>
      <c r="FQ890" s="36"/>
      <c r="FR890" s="49"/>
      <c r="FS890" s="36"/>
      <c r="FT890" s="49"/>
      <c r="FU890" s="36"/>
      <c r="FV890" s="49"/>
      <c r="FW890" s="54"/>
      <c r="FX890" s="54"/>
      <c r="FY890" s="54"/>
      <c r="FZ890" s="54"/>
      <c r="GA890" s="54"/>
      <c r="GB890" s="211"/>
      <c r="GC890" s="54"/>
      <c r="GD890" s="211"/>
      <c r="GE890" s="54"/>
      <c r="GF890" s="211"/>
      <c r="GG890" s="793"/>
      <c r="GH890" s="211"/>
      <c r="GI890" s="793"/>
      <c r="GJ890" s="211"/>
      <c r="GK890" s="793"/>
      <c r="GL890" s="211">
        <v>800</v>
      </c>
      <c r="GM890" s="793"/>
      <c r="GN890" s="211">
        <v>800</v>
      </c>
      <c r="GO890" s="793"/>
      <c r="GP890" s="211">
        <v>800</v>
      </c>
      <c r="GQ890" s="793"/>
      <c r="GR890" s="53">
        <v>800</v>
      </c>
      <c r="GS890" s="793"/>
      <c r="GT890" s="53">
        <v>800</v>
      </c>
      <c r="GU890" s="793"/>
      <c r="GV890" s="53">
        <v>800</v>
      </c>
      <c r="GW890" s="793"/>
      <c r="GX890" s="53">
        <v>800</v>
      </c>
      <c r="GY890" s="793"/>
      <c r="GZ890" s="54"/>
      <c r="HA890" s="54"/>
      <c r="HB890" s="243"/>
      <c r="HC890"/>
      <c r="HD890"/>
      <c r="HE890"/>
      <c r="HF890"/>
      <c r="HG890"/>
      <c r="HH890"/>
      <c r="HI890" s="2"/>
    </row>
    <row r="891" spans="2:217" s="22" customFormat="1" ht="12.75" hidden="1" customHeight="1" outlineLevel="1" x14ac:dyDescent="0.2">
      <c r="B891" s="24" t="s">
        <v>46</v>
      </c>
      <c r="D891" s="32"/>
      <c r="F891" s="32"/>
      <c r="H891" s="32"/>
      <c r="J891" s="32"/>
      <c r="L891" s="32"/>
      <c r="N891" s="32"/>
      <c r="P891" s="32"/>
      <c r="R891" s="32"/>
      <c r="T891" s="32"/>
      <c r="V891" s="32"/>
      <c r="X891" s="32"/>
      <c r="Z891" s="32"/>
      <c r="AB891" s="32"/>
      <c r="AD891" s="32"/>
      <c r="AF891" s="32"/>
      <c r="AH891" s="32"/>
      <c r="AJ891" s="32"/>
      <c r="AL891" s="32"/>
      <c r="AN891" s="32"/>
      <c r="AP891" s="32"/>
      <c r="AR891" s="32"/>
      <c r="AT891" s="32"/>
      <c r="AV891" s="32"/>
      <c r="AX891" s="32"/>
      <c r="AY891" s="28"/>
      <c r="AZ891" s="29"/>
      <c r="BA891" s="28"/>
      <c r="BB891" s="29"/>
      <c r="BC891" s="28"/>
      <c r="BD891" s="29"/>
      <c r="BE891" s="28"/>
      <c r="BF891" s="29"/>
      <c r="BG891" s="28"/>
      <c r="BH891" s="36"/>
      <c r="BI891" s="28"/>
      <c r="BJ891" s="36"/>
      <c r="BK891" s="28"/>
      <c r="BL891" s="36"/>
      <c r="BM891" s="28"/>
      <c r="BN891" s="36"/>
      <c r="BO891" s="28"/>
      <c r="BP891" s="36"/>
      <c r="BQ891" s="28"/>
      <c r="BR891" s="28"/>
      <c r="BS891" s="28"/>
      <c r="BT891" s="61"/>
      <c r="BU891" s="28"/>
      <c r="BV891" s="36"/>
      <c r="BW891" s="28"/>
      <c r="BX891" s="36"/>
      <c r="BY891" s="28"/>
      <c r="BZ891" s="36"/>
      <c r="CA891" s="28"/>
      <c r="CB891" s="36"/>
      <c r="CC891" s="28"/>
      <c r="CD891" s="36"/>
      <c r="CE891" s="28"/>
      <c r="CF891" s="36"/>
      <c r="CG891" s="28"/>
      <c r="CH891" s="36"/>
      <c r="CI891" s="28"/>
      <c r="CJ891" s="36"/>
      <c r="CK891" s="28"/>
      <c r="CL891" s="36"/>
      <c r="CM891" s="28"/>
      <c r="CN891" s="36"/>
      <c r="CO891" s="28"/>
      <c r="CP891" s="36"/>
      <c r="CQ891" s="28"/>
      <c r="CR891" s="36"/>
      <c r="CS891" s="28"/>
      <c r="CT891" s="36"/>
      <c r="CU891" s="28"/>
      <c r="CV891" s="36"/>
      <c r="CW891" s="28"/>
      <c r="CX891" s="36"/>
      <c r="CY891" s="28"/>
      <c r="CZ891" s="36"/>
      <c r="DA891" s="28"/>
      <c r="DB891" s="36"/>
      <c r="DC891" s="28"/>
      <c r="DD891" s="36"/>
      <c r="DE891" s="28"/>
      <c r="DF891" s="36"/>
      <c r="DG891" s="28"/>
      <c r="DH891" s="36"/>
      <c r="DI891" s="28"/>
      <c r="DJ891" s="36"/>
      <c r="DK891" s="28"/>
      <c r="DL891" s="36"/>
      <c r="DM891" s="28"/>
      <c r="DN891" s="36"/>
      <c r="DO891" s="28"/>
      <c r="DP891" s="36"/>
      <c r="DQ891" s="28"/>
      <c r="DR891" s="36"/>
      <c r="DS891" s="28"/>
      <c r="DT891" s="36"/>
      <c r="DU891" s="28"/>
      <c r="DV891" s="36"/>
      <c r="DW891" s="55">
        <v>-200</v>
      </c>
      <c r="DX891" s="36"/>
      <c r="DY891" s="55">
        <v>-200</v>
      </c>
      <c r="DZ891" s="36"/>
      <c r="EA891" s="55">
        <v>-200</v>
      </c>
      <c r="EB891" s="36"/>
      <c r="EC891" s="55">
        <v>-200</v>
      </c>
      <c r="ED891" s="36"/>
      <c r="EE891" s="55">
        <v>-200</v>
      </c>
      <c r="EF891" s="36"/>
      <c r="EG891" s="55">
        <v>-200</v>
      </c>
      <c r="EH891" s="36"/>
      <c r="EI891" s="55">
        <v>-200</v>
      </c>
      <c r="EJ891" s="36"/>
      <c r="EK891" s="55">
        <v>-200</v>
      </c>
      <c r="EL891" s="36"/>
      <c r="EM891" s="55">
        <v>-200</v>
      </c>
      <c r="EN891" s="36"/>
      <c r="EO891" s="55">
        <v>-200</v>
      </c>
      <c r="EP891" s="36"/>
      <c r="EQ891" s="55">
        <v>-200</v>
      </c>
      <c r="ER891" s="36"/>
      <c r="ES891" s="55">
        <v>-200</v>
      </c>
      <c r="ET891" s="36"/>
      <c r="EU891" s="55">
        <v>-200</v>
      </c>
      <c r="EV891" s="36"/>
      <c r="EW891" s="55">
        <v>-200</v>
      </c>
      <c r="EX891" s="36"/>
      <c r="EY891" s="36"/>
      <c r="EZ891" s="302"/>
      <c r="FA891" s="36"/>
      <c r="FB891" s="49"/>
      <c r="FC891" s="36"/>
      <c r="FD891" s="49"/>
      <c r="FE891" s="36"/>
      <c r="FF891" s="50"/>
      <c r="FG891" s="36"/>
      <c r="FH891" s="50"/>
      <c r="FI891" s="36"/>
      <c r="FJ891" s="50"/>
      <c r="FK891" s="36"/>
      <c r="FL891" s="50"/>
      <c r="FM891" s="36"/>
      <c r="FN891" s="50"/>
      <c r="FO891" s="36"/>
      <c r="FP891" s="49"/>
      <c r="FQ891" s="36"/>
      <c r="FR891" s="49"/>
      <c r="FS891" s="36"/>
      <c r="FT891" s="49"/>
      <c r="FU891" s="36"/>
      <c r="FV891" s="49"/>
      <c r="FW891" s="54"/>
      <c r="FX891" s="54"/>
      <c r="FY891" s="54"/>
      <c r="FZ891" s="54"/>
      <c r="GA891" s="54"/>
      <c r="GB891" s="211"/>
      <c r="GC891" s="54"/>
      <c r="GD891" s="211"/>
      <c r="GE891" s="54"/>
      <c r="GF891" s="211"/>
      <c r="GG891" s="793"/>
      <c r="GH891" s="211"/>
      <c r="GI891" s="793"/>
      <c r="GJ891" s="211"/>
      <c r="GK891" s="793"/>
      <c r="GL891" s="211">
        <v>-800</v>
      </c>
      <c r="GM891" s="793"/>
      <c r="GN891" s="211">
        <v>-800</v>
      </c>
      <c r="GO891" s="793"/>
      <c r="GP891" s="211">
        <v>-800</v>
      </c>
      <c r="GQ891" s="793"/>
      <c r="GR891" s="55">
        <v>-800</v>
      </c>
      <c r="GS891" s="793"/>
      <c r="GT891" s="55">
        <v>-800</v>
      </c>
      <c r="GU891" s="793"/>
      <c r="GV891" s="55">
        <v>-800</v>
      </c>
      <c r="GW891" s="793"/>
      <c r="GX891" s="55">
        <v>-800</v>
      </c>
      <c r="GY891" s="793"/>
      <c r="GZ891" s="54"/>
      <c r="HA891" s="54"/>
      <c r="HB891" s="243"/>
      <c r="HC891"/>
      <c r="HD891"/>
      <c r="HE891"/>
      <c r="HF891"/>
      <c r="HG891"/>
      <c r="HH891"/>
      <c r="HI891" s="2"/>
    </row>
    <row r="892" spans="2:217" s="22" customFormat="1" ht="12.75" hidden="1" customHeight="1" outlineLevel="1" x14ac:dyDescent="0.2">
      <c r="B892" s="56" t="s">
        <v>659</v>
      </c>
      <c r="D892" s="32"/>
      <c r="F892" s="32"/>
      <c r="H892" s="32"/>
      <c r="J892" s="32"/>
      <c r="L892" s="32"/>
      <c r="N892" s="32"/>
      <c r="P892" s="32"/>
      <c r="R892" s="32"/>
      <c r="T892" s="32"/>
      <c r="V892" s="32"/>
      <c r="X892" s="32"/>
      <c r="Z892" s="32"/>
      <c r="AB892" s="32"/>
      <c r="AD892" s="32"/>
      <c r="AF892" s="32"/>
      <c r="AH892" s="32"/>
      <c r="AJ892" s="32"/>
      <c r="AL892" s="32"/>
      <c r="AN892" s="32"/>
      <c r="AP892" s="32"/>
      <c r="AR892" s="32"/>
      <c r="AT892" s="32"/>
      <c r="AV892" s="32"/>
      <c r="AX892" s="32"/>
      <c r="AY892" s="28"/>
      <c r="AZ892" s="29"/>
      <c r="BA892" s="28"/>
      <c r="BB892" s="29"/>
      <c r="BC892" s="28"/>
      <c r="BD892" s="29"/>
      <c r="BE892" s="28"/>
      <c r="BF892" s="29"/>
      <c r="BG892" s="28"/>
      <c r="BH892" s="38"/>
      <c r="BI892" s="28"/>
      <c r="BJ892" s="38"/>
      <c r="BK892" s="28"/>
      <c r="BL892" s="38"/>
      <c r="BM892" s="28"/>
      <c r="BN892" s="38"/>
      <c r="BO892" s="28"/>
      <c r="BP892" s="38"/>
      <c r="BQ892" s="28"/>
      <c r="BR892" s="28"/>
      <c r="BS892" s="28"/>
      <c r="BT892" s="57"/>
      <c r="BU892" s="28"/>
      <c r="BV892" s="38"/>
      <c r="BW892" s="28"/>
      <c r="BX892" s="38"/>
      <c r="BY892" s="28"/>
      <c r="BZ892" s="38"/>
      <c r="CA892" s="28"/>
      <c r="CB892" s="38"/>
      <c r="CC892" s="28"/>
      <c r="CD892" s="38"/>
      <c r="CE892" s="28"/>
      <c r="CF892" s="38"/>
      <c r="CG892" s="28"/>
      <c r="CH892" s="38"/>
      <c r="CI892" s="28"/>
      <c r="CJ892" s="38"/>
      <c r="CK892" s="28"/>
      <c r="CL892" s="38"/>
      <c r="CM892" s="28"/>
      <c r="CN892" s="38"/>
      <c r="CO892" s="28"/>
      <c r="CP892" s="38"/>
      <c r="CQ892" s="28"/>
      <c r="CR892" s="38"/>
      <c r="CS892" s="28"/>
      <c r="CT892" s="38"/>
      <c r="CU892" s="28"/>
      <c r="CV892" s="38"/>
      <c r="CW892" s="28"/>
      <c r="CX892" s="38"/>
      <c r="CY892" s="28"/>
      <c r="CZ892" s="38"/>
      <c r="DA892" s="28"/>
      <c r="DB892" s="38"/>
      <c r="DC892" s="28"/>
      <c r="DD892" s="38"/>
      <c r="DE892" s="28"/>
      <c r="DF892" s="38"/>
      <c r="DG892" s="28"/>
      <c r="DH892" s="38"/>
      <c r="DI892" s="28"/>
      <c r="DJ892" s="38"/>
      <c r="DK892" s="28"/>
      <c r="DL892" s="38"/>
      <c r="DM892" s="28"/>
      <c r="DN892" s="38"/>
      <c r="DO892" s="28"/>
      <c r="DP892" s="38"/>
      <c r="DQ892" s="28"/>
      <c r="DR892" s="38"/>
      <c r="DS892" s="28"/>
      <c r="DT892" s="38"/>
      <c r="DU892" s="28"/>
      <c r="DV892" s="38"/>
      <c r="DW892" s="41"/>
      <c r="DX892" s="38"/>
      <c r="DY892" s="41"/>
      <c r="DZ892" s="38"/>
      <c r="EA892" s="41"/>
      <c r="EB892" s="38"/>
      <c r="EC892" s="41"/>
      <c r="ED892" s="38"/>
      <c r="EE892" s="41"/>
      <c r="EF892" s="38"/>
      <c r="EG892" s="41"/>
      <c r="EH892" s="38"/>
      <c r="EI892" s="41"/>
      <c r="EJ892" s="38"/>
      <c r="EK892" s="41"/>
      <c r="EL892" s="38"/>
      <c r="EM892" s="41"/>
      <c r="EN892" s="38"/>
      <c r="EO892" s="41"/>
      <c r="EP892" s="38"/>
      <c r="EQ892" s="41"/>
      <c r="ER892" s="38"/>
      <c r="ES892" s="41"/>
      <c r="ET892" s="38"/>
      <c r="EU892" s="41"/>
      <c r="EV892" s="38"/>
      <c r="EW892" s="41"/>
      <c r="EX892" s="38"/>
      <c r="EY892" s="38"/>
      <c r="EZ892" s="301"/>
      <c r="FA892" s="38"/>
      <c r="FB892" s="39"/>
      <c r="FC892" s="38"/>
      <c r="FD892" s="39"/>
      <c r="FE892" s="38"/>
      <c r="FF892" s="40"/>
      <c r="FG892" s="38"/>
      <c r="FH892" s="40"/>
      <c r="FI892" s="38"/>
      <c r="FJ892" s="40"/>
      <c r="FK892" s="38"/>
      <c r="FL892" s="40"/>
      <c r="FM892" s="38"/>
      <c r="FN892" s="40"/>
      <c r="FO892" s="38"/>
      <c r="FP892" s="39"/>
      <c r="FQ892" s="38"/>
      <c r="FR892" s="39"/>
      <c r="FS892" s="38"/>
      <c r="FT892" s="39"/>
      <c r="FU892" s="38"/>
      <c r="FV892" s="39"/>
      <c r="FW892" s="38"/>
      <c r="FX892" s="39"/>
      <c r="FY892" s="38"/>
      <c r="FZ892" s="39"/>
      <c r="GA892" s="38"/>
      <c r="GB892" s="39"/>
      <c r="GC892" s="38"/>
      <c r="GD892" s="39"/>
      <c r="GE892" s="38"/>
      <c r="GF892" s="39"/>
      <c r="GG892" s="38"/>
      <c r="GH892" s="39"/>
      <c r="GI892" s="38"/>
      <c r="GJ892" s="39"/>
      <c r="GK892" s="38"/>
      <c r="GL892" s="39"/>
      <c r="GM892" s="38"/>
      <c r="GN892" s="39"/>
      <c r="GO892" s="38"/>
      <c r="GP892" s="39"/>
      <c r="GQ892" s="38"/>
      <c r="GR892" s="39"/>
      <c r="GS892" s="38"/>
      <c r="GT892" s="39"/>
      <c r="GU892" s="38"/>
      <c r="GV892" s="39"/>
      <c r="GW892" s="38"/>
      <c r="GX892" s="39"/>
      <c r="GY892" s="38"/>
      <c r="GZ892" s="38"/>
      <c r="HA892" s="38"/>
      <c r="HB892" s="241"/>
      <c r="HC892"/>
      <c r="HD892"/>
      <c r="HE892"/>
      <c r="HF892"/>
      <c r="HG892"/>
      <c r="HH892"/>
      <c r="HI892" s="2"/>
    </row>
    <row r="893" spans="2:217" s="22" customFormat="1" ht="12.75" hidden="1" customHeight="1" outlineLevel="1" x14ac:dyDescent="0.2">
      <c r="B893" s="24" t="s">
        <v>614</v>
      </c>
      <c r="D893" s="32"/>
      <c r="F893" s="32"/>
      <c r="H893" s="32"/>
      <c r="J893" s="32"/>
      <c r="L893" s="32"/>
      <c r="N893" s="32"/>
      <c r="P893" s="32"/>
      <c r="R893" s="32"/>
      <c r="T893" s="32"/>
      <c r="V893" s="32"/>
      <c r="X893" s="32"/>
      <c r="Z893" s="32"/>
      <c r="AB893" s="32"/>
      <c r="AD893" s="32"/>
      <c r="AF893" s="32"/>
      <c r="AH893" s="32"/>
      <c r="AJ893" s="32"/>
      <c r="AL893" s="32"/>
      <c r="AN893" s="32"/>
      <c r="AP893" s="32"/>
      <c r="AR893" s="32"/>
      <c r="AT893" s="32"/>
      <c r="AV893" s="32"/>
      <c r="AX893" s="32"/>
      <c r="AY893" s="28"/>
      <c r="AZ893" s="29"/>
      <c r="BA893" s="28"/>
      <c r="BB893" s="29"/>
      <c r="BC893" s="28"/>
      <c r="BD893" s="29"/>
      <c r="BE893" s="28"/>
      <c r="BF893" s="29"/>
      <c r="BG893" s="28"/>
      <c r="BH893" s="38"/>
      <c r="BI893" s="28"/>
      <c r="BJ893" s="38"/>
      <c r="BK893" s="28"/>
      <c r="BL893" s="38"/>
      <c r="BM893" s="28"/>
      <c r="BN893" s="38"/>
      <c r="BO893" s="28"/>
      <c r="BP893" s="38"/>
      <c r="BQ893" s="28"/>
      <c r="BR893" s="28"/>
      <c r="BS893" s="28"/>
      <c r="BT893" s="57"/>
      <c r="BU893" s="28"/>
      <c r="BV893" s="38"/>
      <c r="BW893" s="28"/>
      <c r="BX893" s="38"/>
      <c r="BY893" s="28"/>
      <c r="BZ893" s="38"/>
      <c r="CA893" s="28"/>
      <c r="CB893" s="38"/>
      <c r="CC893" s="28"/>
      <c r="CD893" s="38"/>
      <c r="CE893" s="28"/>
      <c r="CF893" s="38"/>
      <c r="CG893" s="28"/>
      <c r="CH893" s="38"/>
      <c r="CI893" s="28"/>
      <c r="CJ893" s="38"/>
      <c r="CK893" s="28"/>
      <c r="CL893" s="38"/>
      <c r="CM893" s="28"/>
      <c r="CN893" s="38"/>
      <c r="CO893" s="28"/>
      <c r="CP893" s="38"/>
      <c r="CQ893" s="28"/>
      <c r="CR893" s="38"/>
      <c r="CS893" s="28"/>
      <c r="CT893" s="38"/>
      <c r="CU893" s="28"/>
      <c r="CV893" s="38"/>
      <c r="CW893" s="28"/>
      <c r="CX893" s="38"/>
      <c r="CY893" s="28"/>
      <c r="CZ893" s="38"/>
      <c r="DA893" s="28"/>
      <c r="DB893" s="38"/>
      <c r="DC893" s="28"/>
      <c r="DD893" s="38"/>
      <c r="DE893" s="28"/>
      <c r="DF893" s="38"/>
      <c r="DG893" s="28"/>
      <c r="DH893" s="38"/>
      <c r="DI893" s="28"/>
      <c r="DJ893" s="38"/>
      <c r="DK893" s="28"/>
      <c r="DL893" s="38"/>
      <c r="DM893" s="28"/>
      <c r="DN893" s="38"/>
      <c r="DO893" s="28"/>
      <c r="DP893" s="38"/>
      <c r="DQ893" s="28"/>
      <c r="DR893" s="38"/>
      <c r="DS893" s="28"/>
      <c r="DT893" s="38"/>
      <c r="DU893" s="28"/>
      <c r="DV893" s="38"/>
      <c r="DW893" s="42">
        <f>DW88</f>
        <v>44.815766923736078</v>
      </c>
      <c r="DX893" s="38"/>
      <c r="DY893" s="42">
        <f>DY88</f>
        <v>46.187554776511831</v>
      </c>
      <c r="DZ893" s="38"/>
      <c r="EA893" s="42">
        <f>EA88</f>
        <v>45.807033363390445</v>
      </c>
      <c r="EB893" s="38"/>
      <c r="EC893" s="42">
        <f>EC88</f>
        <v>46.981627296587924</v>
      </c>
      <c r="ED893" s="38"/>
      <c r="EE893" s="42">
        <f>EE88</f>
        <v>42.833742833742832</v>
      </c>
      <c r="EF893" s="38"/>
      <c r="EG893" s="42">
        <f>EG88</f>
        <v>43.419949706621964</v>
      </c>
      <c r="EH893" s="38"/>
      <c r="EI893" s="42">
        <f>EI88</f>
        <v>41.89300411522634</v>
      </c>
      <c r="EJ893" s="38"/>
      <c r="EK893" s="42">
        <f>EK88</f>
        <v>38.820826952526801</v>
      </c>
      <c r="EL893" s="38"/>
      <c r="EM893" s="42">
        <f>EM88</f>
        <v>37.883435582822081</v>
      </c>
      <c r="EN893" s="38"/>
      <c r="EO893" s="42">
        <f>EO88</f>
        <v>41.556420233463037</v>
      </c>
      <c r="EP893" s="38"/>
      <c r="EQ893" s="42">
        <f>EQ88</f>
        <v>40</v>
      </c>
      <c r="ER893" s="38"/>
      <c r="ES893" s="42">
        <f>ES88</f>
        <v>40</v>
      </c>
      <c r="ET893" s="38"/>
      <c r="EU893" s="42">
        <f>EU88</f>
        <v>40</v>
      </c>
      <c r="EV893" s="38"/>
      <c r="EW893" s="42">
        <f>EW88</f>
        <v>41.5</v>
      </c>
      <c r="EX893" s="38"/>
      <c r="EY893" s="38"/>
      <c r="EZ893" s="301"/>
      <c r="FA893" s="38"/>
      <c r="FB893" s="39"/>
      <c r="FC893" s="38"/>
      <c r="FD893" s="39"/>
      <c r="FE893" s="38"/>
      <c r="FF893" s="40"/>
      <c r="FG893" s="38"/>
      <c r="FH893" s="40"/>
      <c r="FI893" s="38"/>
      <c r="FJ893" s="40"/>
      <c r="FK893" s="38"/>
      <c r="FL893" s="40"/>
      <c r="FM893" s="38"/>
      <c r="FN893" s="40"/>
      <c r="FO893" s="38"/>
      <c r="FP893" s="39"/>
      <c r="FQ893" s="38"/>
      <c r="FR893" s="39"/>
      <c r="FS893" s="38"/>
      <c r="FT893" s="39"/>
      <c r="FU893" s="38"/>
      <c r="FV893" s="39"/>
      <c r="FW893" s="38"/>
      <c r="FX893" s="41"/>
      <c r="FY893" s="38"/>
      <c r="FZ893" s="41"/>
      <c r="GA893" s="38"/>
      <c r="GB893" s="41"/>
      <c r="GC893" s="38"/>
      <c r="GD893" s="41"/>
      <c r="GE893" s="38"/>
      <c r="GF893" s="41"/>
      <c r="GG893" s="38"/>
      <c r="GH893" s="41"/>
      <c r="GI893" s="38"/>
      <c r="GJ893" s="41"/>
      <c r="GK893" s="38"/>
      <c r="GL893" s="41">
        <f>GL88</f>
        <v>44.706386626660951</v>
      </c>
      <c r="GM893" s="38"/>
      <c r="GN893" s="41">
        <f>GN88</f>
        <v>40</v>
      </c>
      <c r="GO893" s="38"/>
      <c r="GP893" s="41">
        <f>GP88</f>
        <v>40.374644231959849</v>
      </c>
      <c r="GQ893" s="38"/>
      <c r="GR893" s="42">
        <f>GR88</f>
        <v>40.47464423195985</v>
      </c>
      <c r="GS893" s="38"/>
      <c r="GT893" s="42">
        <f>GT88</f>
        <v>40.574644231959851</v>
      </c>
      <c r="GU893" s="38"/>
      <c r="GV893" s="42">
        <f>GV88</f>
        <v>40.674644231959853</v>
      </c>
      <c r="GW893" s="38"/>
      <c r="GX893" s="42">
        <f>GX88</f>
        <v>40.774644231959854</v>
      </c>
      <c r="GY893" s="38"/>
      <c r="GZ893" s="38"/>
      <c r="HA893" s="38"/>
      <c r="HB893" s="241"/>
      <c r="HC893"/>
      <c r="HD893"/>
      <c r="HE893"/>
      <c r="HF893"/>
      <c r="HG893"/>
      <c r="HH893"/>
      <c r="HI893" s="2"/>
    </row>
    <row r="894" spans="2:217" s="22" customFormat="1" ht="12.75" hidden="1" customHeight="1" outlineLevel="1" x14ac:dyDescent="0.2">
      <c r="B894" s="24" t="s">
        <v>615</v>
      </c>
      <c r="D894" s="32"/>
      <c r="F894" s="32"/>
      <c r="H894" s="32"/>
      <c r="J894" s="32"/>
      <c r="L894" s="32"/>
      <c r="N894" s="32"/>
      <c r="P894" s="32"/>
      <c r="R894" s="32"/>
      <c r="T894" s="32"/>
      <c r="V894" s="32"/>
      <c r="X894" s="32"/>
      <c r="Z894" s="32"/>
      <c r="AB894" s="32"/>
      <c r="AD894" s="32"/>
      <c r="AF894" s="32"/>
      <c r="AH894" s="32"/>
      <c r="AJ894" s="32"/>
      <c r="AL894" s="32"/>
      <c r="AN894" s="32"/>
      <c r="AP894" s="32"/>
      <c r="AR894" s="32"/>
      <c r="AT894" s="32"/>
      <c r="AV894" s="32"/>
      <c r="AX894" s="32"/>
      <c r="AY894" s="28"/>
      <c r="AZ894" s="29"/>
      <c r="BA894" s="28"/>
      <c r="BB894" s="29"/>
      <c r="BC894" s="28"/>
      <c r="BD894" s="29"/>
      <c r="BE894" s="28"/>
      <c r="BF894" s="29"/>
      <c r="BG894" s="28"/>
      <c r="BH894" s="38"/>
      <c r="BI894" s="28"/>
      <c r="BJ894" s="38"/>
      <c r="BK894" s="28"/>
      <c r="BL894" s="38"/>
      <c r="BM894" s="28"/>
      <c r="BN894" s="38"/>
      <c r="BO894" s="28"/>
      <c r="BP894" s="58"/>
      <c r="BQ894" s="28"/>
      <c r="BR894" s="28"/>
      <c r="BS894" s="28"/>
      <c r="BT894" s="43"/>
      <c r="BU894" s="28"/>
      <c r="BV894" s="58"/>
      <c r="BW894" s="28"/>
      <c r="BX894" s="58"/>
      <c r="BY894" s="28"/>
      <c r="BZ894" s="58"/>
      <c r="CA894" s="28"/>
      <c r="CB894" s="58"/>
      <c r="CC894" s="28"/>
      <c r="CD894" s="58"/>
      <c r="CE894" s="28"/>
      <c r="CF894" s="58"/>
      <c r="CG894" s="28"/>
      <c r="CH894" s="58"/>
      <c r="CI894" s="28"/>
      <c r="CJ894" s="58"/>
      <c r="CK894" s="28"/>
      <c r="CL894" s="58"/>
      <c r="CM894" s="28"/>
      <c r="CN894" s="58"/>
      <c r="CO894" s="28"/>
      <c r="CP894" s="58"/>
      <c r="CQ894" s="28"/>
      <c r="CR894" s="58"/>
      <c r="CS894" s="28"/>
      <c r="CT894" s="58"/>
      <c r="CU894" s="28"/>
      <c r="CV894" s="58"/>
      <c r="CW894" s="28"/>
      <c r="CX894" s="58"/>
      <c r="CY894" s="28"/>
      <c r="CZ894" s="58"/>
      <c r="DA894" s="28"/>
      <c r="DB894" s="58"/>
      <c r="DC894" s="28"/>
      <c r="DD894" s="58"/>
      <c r="DE894" s="28"/>
      <c r="DF894" s="58"/>
      <c r="DG894" s="28"/>
      <c r="DH894" s="58"/>
      <c r="DI894" s="28"/>
      <c r="DJ894" s="58"/>
      <c r="DK894" s="28"/>
      <c r="DL894" s="58"/>
      <c r="DM894" s="28"/>
      <c r="DN894" s="58"/>
      <c r="DO894" s="28"/>
      <c r="DP894" s="58"/>
      <c r="DQ894" s="28"/>
      <c r="DR894" s="58"/>
      <c r="DS894" s="28"/>
      <c r="DT894" s="58"/>
      <c r="DU894" s="28"/>
      <c r="DV894" s="58"/>
      <c r="DW894" s="44">
        <v>-1</v>
      </c>
      <c r="DX894" s="58"/>
      <c r="DY894" s="44">
        <v>-1</v>
      </c>
      <c r="DZ894" s="58"/>
      <c r="EA894" s="44">
        <v>-1</v>
      </c>
      <c r="EB894" s="58"/>
      <c r="EC894" s="44">
        <v>-1</v>
      </c>
      <c r="ED894" s="58"/>
      <c r="EE894" s="44">
        <v>-1</v>
      </c>
      <c r="EF894" s="58"/>
      <c r="EG894" s="44">
        <v>-1</v>
      </c>
      <c r="EH894" s="58"/>
      <c r="EI894" s="44">
        <v>-1</v>
      </c>
      <c r="EJ894" s="58"/>
      <c r="EK894" s="44">
        <v>-1</v>
      </c>
      <c r="EL894" s="58"/>
      <c r="EM894" s="44">
        <v>-1</v>
      </c>
      <c r="EN894" s="58"/>
      <c r="EO894" s="44">
        <v>-1</v>
      </c>
      <c r="EP894" s="58"/>
      <c r="EQ894" s="44">
        <v>-1</v>
      </c>
      <c r="ER894" s="58"/>
      <c r="ES894" s="44">
        <v>-1</v>
      </c>
      <c r="ET894" s="58"/>
      <c r="EU894" s="44">
        <v>-1</v>
      </c>
      <c r="EV894" s="58"/>
      <c r="EW894" s="44">
        <v>-1</v>
      </c>
      <c r="EX894" s="58"/>
      <c r="EY894" s="58"/>
      <c r="EZ894" s="303"/>
      <c r="FA894" s="58"/>
      <c r="FB894" s="59"/>
      <c r="FC894" s="58"/>
      <c r="FD894" s="59"/>
      <c r="FE894" s="58"/>
      <c r="FF894" s="60"/>
      <c r="FG894" s="58"/>
      <c r="FH894" s="60"/>
      <c r="FI894" s="58"/>
      <c r="FJ894" s="60"/>
      <c r="FK894" s="58"/>
      <c r="FL894" s="60"/>
      <c r="FM894" s="58"/>
      <c r="FN894" s="60"/>
      <c r="FO894" s="58"/>
      <c r="FP894" s="59"/>
      <c r="FQ894" s="58"/>
      <c r="FR894" s="59"/>
      <c r="FS894" s="58"/>
      <c r="FT894" s="59"/>
      <c r="FU894" s="58"/>
      <c r="FV894" s="59"/>
      <c r="FW894" s="45"/>
      <c r="FX894" s="45"/>
      <c r="FY894" s="45"/>
      <c r="FZ894" s="45"/>
      <c r="GA894" s="45"/>
      <c r="GB894" s="210"/>
      <c r="GC894" s="45"/>
      <c r="GD894" s="210"/>
      <c r="GE894" s="45"/>
      <c r="GF894" s="210"/>
      <c r="GG894" s="792"/>
      <c r="GH894" s="210"/>
      <c r="GI894" s="792"/>
      <c r="GJ894" s="210"/>
      <c r="GK894" s="792"/>
      <c r="GL894" s="210">
        <v>-2</v>
      </c>
      <c r="GM894" s="792"/>
      <c r="GN894" s="210">
        <v>-2</v>
      </c>
      <c r="GO894" s="792"/>
      <c r="GP894" s="210">
        <v>-2</v>
      </c>
      <c r="GQ894" s="792"/>
      <c r="GR894" s="44">
        <v>-2</v>
      </c>
      <c r="GS894" s="792"/>
      <c r="GT894" s="44">
        <v>-2</v>
      </c>
      <c r="GU894" s="792"/>
      <c r="GV894" s="44">
        <v>-2</v>
      </c>
      <c r="GW894" s="792"/>
      <c r="GX894" s="44">
        <v>-2</v>
      </c>
      <c r="GY894" s="792"/>
      <c r="GZ894" s="45"/>
      <c r="HA894" s="45"/>
      <c r="HB894" s="242"/>
      <c r="HC894"/>
      <c r="HD894"/>
      <c r="HE894"/>
      <c r="HF894"/>
      <c r="HG894"/>
      <c r="HH894"/>
      <c r="HI894" s="2"/>
    </row>
    <row r="895" spans="2:217" s="22" customFormat="1" ht="12.75" hidden="1" customHeight="1" outlineLevel="1" x14ac:dyDescent="0.2">
      <c r="B895" s="24" t="s">
        <v>617</v>
      </c>
      <c r="D895" s="32"/>
      <c r="F895" s="32"/>
      <c r="H895" s="32"/>
      <c r="J895" s="32"/>
      <c r="L895" s="32"/>
      <c r="N895" s="32"/>
      <c r="P895" s="32"/>
      <c r="R895" s="32"/>
      <c r="T895" s="32"/>
      <c r="V895" s="32"/>
      <c r="X895" s="32"/>
      <c r="Z895" s="32"/>
      <c r="AB895" s="32"/>
      <c r="AD895" s="32"/>
      <c r="AF895" s="32"/>
      <c r="AH895" s="32"/>
      <c r="AJ895" s="32"/>
      <c r="AL895" s="32"/>
      <c r="AN895" s="32"/>
      <c r="AP895" s="32"/>
      <c r="AR895" s="32"/>
      <c r="AT895" s="32"/>
      <c r="AV895" s="32"/>
      <c r="AX895" s="32"/>
      <c r="AY895" s="28"/>
      <c r="AZ895" s="29"/>
      <c r="BA895" s="28"/>
      <c r="BB895" s="29"/>
      <c r="BC895" s="28"/>
      <c r="BD895" s="29"/>
      <c r="BE895" s="28"/>
      <c r="BF895" s="29"/>
      <c r="BG895" s="28"/>
      <c r="BH895" s="38"/>
      <c r="BI895" s="28"/>
      <c r="BJ895" s="38"/>
      <c r="BK895" s="28"/>
      <c r="BL895" s="38"/>
      <c r="BM895" s="28"/>
      <c r="BN895" s="38"/>
      <c r="BO895" s="28"/>
      <c r="BP895" s="58"/>
      <c r="BQ895" s="28"/>
      <c r="BR895" s="28"/>
      <c r="BS895" s="28"/>
      <c r="BT895" s="43"/>
      <c r="BU895" s="28"/>
      <c r="BV895" s="58"/>
      <c r="BW895" s="28"/>
      <c r="BX895" s="58"/>
      <c r="BY895" s="28"/>
      <c r="BZ895" s="58"/>
      <c r="CA895" s="28"/>
      <c r="CB895" s="58"/>
      <c r="CC895" s="28"/>
      <c r="CD895" s="58"/>
      <c r="CE895" s="28"/>
      <c r="CF895" s="58"/>
      <c r="CG895" s="28"/>
      <c r="CH895" s="58"/>
      <c r="CI895" s="28"/>
      <c r="CJ895" s="58"/>
      <c r="CK895" s="28"/>
      <c r="CL895" s="58"/>
      <c r="CM895" s="28"/>
      <c r="CN895" s="58"/>
      <c r="CO895" s="28"/>
      <c r="CP895" s="58"/>
      <c r="CQ895" s="28"/>
      <c r="CR895" s="58"/>
      <c r="CS895" s="28"/>
      <c r="CT895" s="58"/>
      <c r="CU895" s="28"/>
      <c r="CV895" s="58"/>
      <c r="CW895" s="28"/>
      <c r="CX895" s="58"/>
      <c r="CY895" s="28"/>
      <c r="CZ895" s="58"/>
      <c r="DA895" s="28"/>
      <c r="DB895" s="58"/>
      <c r="DC895" s="28"/>
      <c r="DD895" s="58"/>
      <c r="DE895" s="28"/>
      <c r="DF895" s="58"/>
      <c r="DG895" s="28"/>
      <c r="DH895" s="58"/>
      <c r="DI895" s="28"/>
      <c r="DJ895" s="58"/>
      <c r="DK895" s="28"/>
      <c r="DL895" s="58"/>
      <c r="DM895" s="28"/>
      <c r="DN895" s="58"/>
      <c r="DO895" s="28"/>
      <c r="DP895" s="58"/>
      <c r="DQ895" s="28"/>
      <c r="DR895" s="58"/>
      <c r="DS895" s="28"/>
      <c r="DT895" s="58"/>
      <c r="DU895" s="28"/>
      <c r="DV895" s="58"/>
      <c r="DW895" s="46">
        <v>2</v>
      </c>
      <c r="DX895" s="58"/>
      <c r="DY895" s="46">
        <v>2</v>
      </c>
      <c r="DZ895" s="58"/>
      <c r="EA895" s="46">
        <v>2</v>
      </c>
      <c r="EB895" s="58"/>
      <c r="EC895" s="46">
        <v>2</v>
      </c>
      <c r="ED895" s="58"/>
      <c r="EE895" s="46">
        <v>2</v>
      </c>
      <c r="EF895" s="58"/>
      <c r="EG895" s="46">
        <v>2</v>
      </c>
      <c r="EH895" s="58"/>
      <c r="EI895" s="46">
        <v>2</v>
      </c>
      <c r="EJ895" s="58"/>
      <c r="EK895" s="46">
        <v>2</v>
      </c>
      <c r="EL895" s="58"/>
      <c r="EM895" s="46">
        <v>2</v>
      </c>
      <c r="EN895" s="58"/>
      <c r="EO895" s="46">
        <v>2</v>
      </c>
      <c r="EP895" s="58"/>
      <c r="EQ895" s="46">
        <v>2</v>
      </c>
      <c r="ER895" s="58"/>
      <c r="ES895" s="46">
        <v>2</v>
      </c>
      <c r="ET895" s="58"/>
      <c r="EU895" s="46">
        <v>2</v>
      </c>
      <c r="EV895" s="58"/>
      <c r="EW895" s="46">
        <v>2</v>
      </c>
      <c r="EX895" s="58"/>
      <c r="EY895" s="58"/>
      <c r="EZ895" s="303"/>
      <c r="FA895" s="58"/>
      <c r="FB895" s="59"/>
      <c r="FC895" s="58"/>
      <c r="FD895" s="59"/>
      <c r="FE895" s="58"/>
      <c r="FF895" s="60"/>
      <c r="FG895" s="58"/>
      <c r="FH895" s="60"/>
      <c r="FI895" s="58"/>
      <c r="FJ895" s="60"/>
      <c r="FK895" s="58"/>
      <c r="FL895" s="60"/>
      <c r="FM895" s="58"/>
      <c r="FN895" s="60"/>
      <c r="FO895" s="58"/>
      <c r="FP895" s="59"/>
      <c r="FQ895" s="58"/>
      <c r="FR895" s="59"/>
      <c r="FS895" s="58"/>
      <c r="FT895" s="59"/>
      <c r="FU895" s="58"/>
      <c r="FV895" s="59"/>
      <c r="FW895" s="45"/>
      <c r="FX895" s="45"/>
      <c r="FY895" s="45"/>
      <c r="FZ895" s="45"/>
      <c r="GA895" s="45"/>
      <c r="GB895" s="210"/>
      <c r="GC895" s="45"/>
      <c r="GD895" s="210"/>
      <c r="GE895" s="45"/>
      <c r="GF895" s="210"/>
      <c r="GG895" s="792"/>
      <c r="GH895" s="210"/>
      <c r="GI895" s="792"/>
      <c r="GJ895" s="210"/>
      <c r="GK895" s="792"/>
      <c r="GL895" s="210">
        <v>2</v>
      </c>
      <c r="GM895" s="792"/>
      <c r="GN895" s="210">
        <v>2</v>
      </c>
      <c r="GO895" s="792"/>
      <c r="GP895" s="210">
        <v>2</v>
      </c>
      <c r="GQ895" s="792"/>
      <c r="GR895" s="46">
        <v>2</v>
      </c>
      <c r="GS895" s="792"/>
      <c r="GT895" s="46">
        <v>2</v>
      </c>
      <c r="GU895" s="792"/>
      <c r="GV895" s="46">
        <v>2</v>
      </c>
      <c r="GW895" s="792"/>
      <c r="GX895" s="46">
        <v>2</v>
      </c>
      <c r="GY895" s="792"/>
      <c r="GZ895" s="45"/>
      <c r="HA895" s="45"/>
      <c r="HB895" s="242"/>
      <c r="HC895"/>
      <c r="HD895"/>
      <c r="HE895"/>
      <c r="HF895"/>
      <c r="HG895"/>
      <c r="HH895"/>
      <c r="HI895" s="2"/>
    </row>
    <row r="896" spans="2:217" s="22" customFormat="1" ht="12.75" hidden="1" customHeight="1" outlineLevel="1" x14ac:dyDescent="0.2">
      <c r="B896" s="24"/>
      <c r="D896" s="32"/>
      <c r="F896" s="32"/>
      <c r="H896" s="32"/>
      <c r="J896" s="32"/>
      <c r="L896" s="32"/>
      <c r="N896" s="32"/>
      <c r="P896" s="32"/>
      <c r="R896" s="32"/>
      <c r="T896" s="32"/>
      <c r="V896" s="32"/>
      <c r="X896" s="32"/>
      <c r="Z896" s="32"/>
      <c r="AB896" s="32"/>
      <c r="AD896" s="32"/>
      <c r="AF896" s="32"/>
      <c r="AH896" s="32"/>
      <c r="AJ896" s="32"/>
      <c r="AL896" s="32"/>
      <c r="AN896" s="32"/>
      <c r="AP896" s="32"/>
      <c r="AR896" s="32"/>
      <c r="AT896" s="32"/>
      <c r="AV896" s="32"/>
      <c r="AX896" s="32"/>
      <c r="AY896" s="28"/>
      <c r="AZ896" s="29"/>
      <c r="BA896" s="28"/>
      <c r="BB896" s="29"/>
      <c r="BC896" s="28"/>
      <c r="BD896" s="29"/>
      <c r="BE896" s="28"/>
      <c r="BF896" s="29"/>
      <c r="BG896" s="28"/>
      <c r="BH896" s="36"/>
      <c r="BI896" s="28"/>
      <c r="BJ896" s="36"/>
      <c r="BK896" s="28"/>
      <c r="BL896" s="36"/>
      <c r="BM896" s="28"/>
      <c r="BN896" s="36"/>
      <c r="BO896" s="28"/>
      <c r="BP896" s="36"/>
      <c r="BQ896" s="28"/>
      <c r="BR896" s="28"/>
      <c r="BS896" s="28"/>
      <c r="BT896" s="47"/>
      <c r="BU896" s="28"/>
      <c r="BV896" s="36"/>
      <c r="BW896" s="28"/>
      <c r="BX896" s="36"/>
      <c r="BY896" s="28"/>
      <c r="BZ896" s="36"/>
      <c r="CA896" s="28"/>
      <c r="CB896" s="36"/>
      <c r="CC896" s="28"/>
      <c r="CD896" s="36"/>
      <c r="CE896" s="28"/>
      <c r="CF896" s="36"/>
      <c r="CG896" s="28"/>
      <c r="CH896" s="36"/>
      <c r="CI896" s="28"/>
      <c r="CJ896" s="36"/>
      <c r="CK896" s="28"/>
      <c r="CL896" s="36"/>
      <c r="CM896" s="28"/>
      <c r="CN896" s="36"/>
      <c r="CO896" s="28"/>
      <c r="CP896" s="36"/>
      <c r="CQ896" s="28"/>
      <c r="CR896" s="36"/>
      <c r="CS896" s="28"/>
      <c r="CT896" s="36"/>
      <c r="CU896" s="28"/>
      <c r="CV896" s="36"/>
      <c r="CW896" s="28"/>
      <c r="CX896" s="36"/>
      <c r="CY896" s="28"/>
      <c r="CZ896" s="36"/>
      <c r="DA896" s="28"/>
      <c r="DB896" s="36"/>
      <c r="DC896" s="28"/>
      <c r="DD896" s="36"/>
      <c r="DE896" s="28"/>
      <c r="DF896" s="36"/>
      <c r="DG896" s="28"/>
      <c r="DH896" s="36"/>
      <c r="DI896" s="28"/>
      <c r="DJ896" s="36"/>
      <c r="DK896" s="28"/>
      <c r="DL896" s="36"/>
      <c r="DM896" s="28"/>
      <c r="DN896" s="36"/>
      <c r="DO896" s="28"/>
      <c r="DP896" s="36"/>
      <c r="DQ896" s="28"/>
      <c r="DR896" s="36"/>
      <c r="DS896" s="28"/>
      <c r="DT896" s="36"/>
      <c r="DU896" s="28"/>
      <c r="DV896" s="36"/>
      <c r="DW896" s="48"/>
      <c r="DX896" s="36"/>
      <c r="DY896" s="48"/>
      <c r="DZ896" s="36"/>
      <c r="EA896" s="48"/>
      <c r="EB896" s="36"/>
      <c r="EC896" s="48"/>
      <c r="ED896" s="36"/>
      <c r="EE896" s="48"/>
      <c r="EF896" s="36"/>
      <c r="EG896" s="48"/>
      <c r="EH896" s="36"/>
      <c r="EI896" s="48"/>
      <c r="EJ896" s="36"/>
      <c r="EK896" s="48"/>
      <c r="EL896" s="36"/>
      <c r="EM896" s="48"/>
      <c r="EN896" s="36"/>
      <c r="EO896" s="48"/>
      <c r="EP896" s="36"/>
      <c r="EQ896" s="48"/>
      <c r="ER896" s="36"/>
      <c r="ES896" s="48"/>
      <c r="ET896" s="36"/>
      <c r="EU896" s="48"/>
      <c r="EV896" s="36"/>
      <c r="EW896" s="48"/>
      <c r="EX896" s="36"/>
      <c r="EY896" s="36"/>
      <c r="EZ896" s="302"/>
      <c r="FA896" s="36"/>
      <c r="FB896" s="49"/>
      <c r="FC896" s="36"/>
      <c r="FD896" s="49"/>
      <c r="FE896" s="36"/>
      <c r="FF896" s="50"/>
      <c r="FG896" s="36"/>
      <c r="FH896" s="50"/>
      <c r="FI896" s="36"/>
      <c r="FJ896" s="50"/>
      <c r="FK896" s="36"/>
      <c r="FL896" s="50"/>
      <c r="FM896" s="36"/>
      <c r="FN896" s="50"/>
      <c r="FO896" s="36"/>
      <c r="FP896" s="49"/>
      <c r="FQ896" s="36"/>
      <c r="FR896" s="49"/>
      <c r="FS896" s="36"/>
      <c r="FT896" s="49"/>
      <c r="FU896" s="36"/>
      <c r="FV896" s="49"/>
      <c r="FW896" s="36"/>
      <c r="FX896" s="49"/>
      <c r="FY896" s="36"/>
      <c r="FZ896" s="49"/>
      <c r="GA896" s="36"/>
      <c r="GB896" s="49"/>
      <c r="GC896" s="36"/>
      <c r="GD896" s="49"/>
      <c r="GE896" s="36"/>
      <c r="GF896" s="49"/>
      <c r="GG896" s="36"/>
      <c r="GH896" s="49"/>
      <c r="GI896" s="36"/>
      <c r="GJ896" s="49"/>
      <c r="GK896" s="36"/>
      <c r="GL896" s="49"/>
      <c r="GM896" s="36"/>
      <c r="GN896" s="49"/>
      <c r="GO896" s="36"/>
      <c r="GP896" s="49"/>
      <c r="GQ896" s="36"/>
      <c r="GR896" s="49"/>
      <c r="GS896" s="36"/>
      <c r="GT896" s="49"/>
      <c r="GU896" s="36"/>
      <c r="GV896" s="49"/>
      <c r="GW896" s="36"/>
      <c r="GX896" s="49"/>
      <c r="GY896" s="36"/>
      <c r="GZ896" s="36"/>
      <c r="HA896" s="36"/>
      <c r="HB896" s="155"/>
      <c r="HC896"/>
      <c r="HD896"/>
      <c r="HE896"/>
      <c r="HF896"/>
      <c r="HG896"/>
      <c r="HH896"/>
      <c r="HI896" s="2"/>
    </row>
    <row r="897" spans="2:217" s="22" customFormat="1" ht="12.75" hidden="1" customHeight="1" outlineLevel="1" x14ac:dyDescent="0.2">
      <c r="B897" s="56" t="s">
        <v>319</v>
      </c>
      <c r="D897" s="32"/>
      <c r="F897" s="32"/>
      <c r="H897" s="32"/>
      <c r="J897" s="32"/>
      <c r="L897" s="32"/>
      <c r="N897" s="32"/>
      <c r="P897" s="32"/>
      <c r="R897" s="32"/>
      <c r="T897" s="32"/>
      <c r="V897" s="32"/>
      <c r="X897" s="32"/>
      <c r="Z897" s="32"/>
      <c r="AB897" s="32"/>
      <c r="AD897" s="32"/>
      <c r="AF897" s="32"/>
      <c r="AH897" s="32"/>
      <c r="AJ897" s="32"/>
      <c r="AL897" s="32"/>
      <c r="AN897" s="32"/>
      <c r="AP897" s="32"/>
      <c r="AR897" s="32"/>
      <c r="AT897" s="32"/>
      <c r="AV897" s="32"/>
      <c r="AX897" s="32"/>
      <c r="AY897" s="28"/>
      <c r="AZ897" s="29"/>
      <c r="BA897" s="28"/>
      <c r="BB897" s="29"/>
      <c r="BC897" s="28"/>
      <c r="BD897" s="29"/>
      <c r="BE897" s="28"/>
      <c r="BF897" s="29"/>
      <c r="BG897" s="28"/>
      <c r="BH897" s="38"/>
      <c r="BI897" s="28"/>
      <c r="BJ897" s="38"/>
      <c r="BK897" s="28"/>
      <c r="BL897" s="38"/>
      <c r="BM897" s="28"/>
      <c r="BN897" s="38"/>
      <c r="BO897" s="28"/>
      <c r="BP897" s="38"/>
      <c r="BQ897" s="28"/>
      <c r="BR897" s="28"/>
      <c r="BS897" s="28"/>
      <c r="BT897" s="57"/>
      <c r="BU897" s="28"/>
      <c r="BV897" s="38"/>
      <c r="BW897" s="28"/>
      <c r="BX897" s="38"/>
      <c r="BY897" s="28"/>
      <c r="BZ897" s="38"/>
      <c r="CA897" s="28"/>
      <c r="CB897" s="38"/>
      <c r="CC897" s="28"/>
      <c r="CD897" s="38"/>
      <c r="CE897" s="28"/>
      <c r="CF897" s="38"/>
      <c r="CG897" s="28"/>
      <c r="CH897" s="38"/>
      <c r="CI897" s="28"/>
      <c r="CJ897" s="38"/>
      <c r="CK897" s="28"/>
      <c r="CL897" s="38"/>
      <c r="CM897" s="28"/>
      <c r="CN897" s="38"/>
      <c r="CO897" s="28"/>
      <c r="CP897" s="38"/>
      <c r="CQ897" s="28"/>
      <c r="CR897" s="38"/>
      <c r="CS897" s="28"/>
      <c r="CT897" s="38"/>
      <c r="CU897" s="28"/>
      <c r="CV897" s="38"/>
      <c r="CW897" s="28"/>
      <c r="CX897" s="38"/>
      <c r="CY897" s="28"/>
      <c r="CZ897" s="38"/>
      <c r="DA897" s="28"/>
      <c r="DB897" s="38"/>
      <c r="DC897" s="28"/>
      <c r="DD897" s="38"/>
      <c r="DE897" s="28"/>
      <c r="DF897" s="38"/>
      <c r="DG897" s="28"/>
      <c r="DH897" s="38"/>
      <c r="DI897" s="28"/>
      <c r="DJ897" s="38"/>
      <c r="DK897" s="28"/>
      <c r="DL897" s="38"/>
      <c r="DM897" s="28"/>
      <c r="DN897" s="38"/>
      <c r="DO897" s="28"/>
      <c r="DP897" s="38"/>
      <c r="DQ897" s="28"/>
      <c r="DR897" s="38"/>
      <c r="DS897" s="28"/>
      <c r="DT897" s="38"/>
      <c r="DU897" s="28"/>
      <c r="DV897" s="38"/>
      <c r="DW897" s="41"/>
      <c r="DX897" s="38"/>
      <c r="DY897" s="41"/>
      <c r="DZ897" s="38"/>
      <c r="EA897" s="41"/>
      <c r="EB897" s="38"/>
      <c r="EC897" s="41"/>
      <c r="ED897" s="38"/>
      <c r="EE897" s="41"/>
      <c r="EF897" s="38"/>
      <c r="EG897" s="41"/>
      <c r="EH897" s="38"/>
      <c r="EI897" s="41"/>
      <c r="EJ897" s="38"/>
      <c r="EK897" s="41"/>
      <c r="EL897" s="38"/>
      <c r="EM897" s="41"/>
      <c r="EN897" s="38"/>
      <c r="EO897" s="41"/>
      <c r="EP897" s="38"/>
      <c r="EQ897" s="41"/>
      <c r="ER897" s="38"/>
      <c r="ES897" s="41"/>
      <c r="ET897" s="38"/>
      <c r="EU897" s="41"/>
      <c r="EV897" s="38"/>
      <c r="EW897" s="41"/>
      <c r="EX897" s="38"/>
      <c r="EY897" s="38"/>
      <c r="EZ897" s="301"/>
      <c r="FA897" s="38"/>
      <c r="FB897" s="39"/>
      <c r="FC897" s="38"/>
      <c r="FD897" s="39"/>
      <c r="FE897" s="38"/>
      <c r="FF897" s="40"/>
      <c r="FG897" s="38"/>
      <c r="FH897" s="40"/>
      <c r="FI897" s="38"/>
      <c r="FJ897" s="40"/>
      <c r="FK897" s="38"/>
      <c r="FL897" s="40"/>
      <c r="FM897" s="38"/>
      <c r="FN897" s="40"/>
      <c r="FO897" s="38"/>
      <c r="FP897" s="39"/>
      <c r="FQ897" s="38"/>
      <c r="FR897" s="39"/>
      <c r="FS897" s="38"/>
      <c r="FT897" s="39"/>
      <c r="FU897" s="38"/>
      <c r="FV897" s="39"/>
      <c r="FW897" s="38"/>
      <c r="FX897" s="39"/>
      <c r="FY897" s="38"/>
      <c r="FZ897" s="39"/>
      <c r="GA897" s="38"/>
      <c r="GB897" s="39"/>
      <c r="GC897" s="38"/>
      <c r="GD897" s="39"/>
      <c r="GE897" s="38"/>
      <c r="GF897" s="39"/>
      <c r="GG897" s="38"/>
      <c r="GH897" s="39"/>
      <c r="GI897" s="38"/>
      <c r="GJ897" s="39"/>
      <c r="GK897" s="38"/>
      <c r="GL897" s="39"/>
      <c r="GM897" s="38"/>
      <c r="GN897" s="39"/>
      <c r="GO897" s="38"/>
      <c r="GP897" s="39"/>
      <c r="GQ897" s="38"/>
      <c r="GR897" s="39"/>
      <c r="GS897" s="38"/>
      <c r="GT897" s="39"/>
      <c r="GU897" s="38"/>
      <c r="GV897" s="39"/>
      <c r="GW897" s="38"/>
      <c r="GX897" s="39"/>
      <c r="GY897" s="38"/>
      <c r="GZ897" s="38"/>
      <c r="HA897" s="38"/>
      <c r="HB897" s="241"/>
      <c r="HC897"/>
      <c r="HD897"/>
      <c r="HE897"/>
      <c r="HF897"/>
      <c r="HG897"/>
      <c r="HH897"/>
      <c r="HI897" s="2"/>
    </row>
    <row r="898" spans="2:217" s="22" customFormat="1" ht="12.75" hidden="1" customHeight="1" outlineLevel="1" x14ac:dyDescent="0.2">
      <c r="B898" s="56" t="s">
        <v>491</v>
      </c>
      <c r="D898" s="32"/>
      <c r="F898" s="32"/>
      <c r="H898" s="32"/>
      <c r="J898" s="32"/>
      <c r="L898" s="32"/>
      <c r="N898" s="32"/>
      <c r="P898" s="32"/>
      <c r="R898" s="32"/>
      <c r="T898" s="32"/>
      <c r="V898" s="32"/>
      <c r="X898" s="32"/>
      <c r="Z898" s="32"/>
      <c r="AB898" s="32"/>
      <c r="AD898" s="32"/>
      <c r="AF898" s="32"/>
      <c r="AH898" s="32"/>
      <c r="AJ898" s="32"/>
      <c r="AL898" s="32"/>
      <c r="AN898" s="32"/>
      <c r="AP898" s="32"/>
      <c r="AR898" s="32"/>
      <c r="AT898" s="32"/>
      <c r="AV898" s="32"/>
      <c r="AX898" s="32"/>
      <c r="AY898" s="28"/>
      <c r="AZ898" s="29"/>
      <c r="BA898" s="28"/>
      <c r="BB898" s="29"/>
      <c r="BC898" s="28"/>
      <c r="BD898" s="29"/>
      <c r="BE898" s="28"/>
      <c r="BF898" s="29"/>
      <c r="BG898" s="28"/>
      <c r="BH898" s="38"/>
      <c r="BI898" s="28"/>
      <c r="BJ898" s="38"/>
      <c r="BK898" s="28"/>
      <c r="BL898" s="38"/>
      <c r="BM898" s="28"/>
      <c r="BN898" s="38"/>
      <c r="BO898" s="28"/>
      <c r="BP898" s="38"/>
      <c r="BQ898" s="28"/>
      <c r="BR898" s="28"/>
      <c r="BS898" s="28"/>
      <c r="BT898" s="57"/>
      <c r="BU898" s="28"/>
      <c r="BV898" s="38"/>
      <c r="BW898" s="28"/>
      <c r="BX898" s="38"/>
      <c r="BY898" s="28"/>
      <c r="BZ898" s="38"/>
      <c r="CA898" s="28"/>
      <c r="CB898" s="38"/>
      <c r="CC898" s="28"/>
      <c r="CD898" s="38"/>
      <c r="CE898" s="28"/>
      <c r="CF898" s="38"/>
      <c r="CG898" s="28"/>
      <c r="CH898" s="38"/>
      <c r="CI898" s="28"/>
      <c r="CJ898" s="38"/>
      <c r="CK898" s="28"/>
      <c r="CL898" s="38"/>
      <c r="CM898" s="28"/>
      <c r="CN898" s="38"/>
      <c r="CO898" s="28"/>
      <c r="CP898" s="38"/>
      <c r="CQ898" s="28"/>
      <c r="CR898" s="38"/>
      <c r="CS898" s="28"/>
      <c r="CT898" s="38"/>
      <c r="CU898" s="28"/>
      <c r="CV898" s="38"/>
      <c r="CW898" s="28"/>
      <c r="CX898" s="38"/>
      <c r="CY898" s="28"/>
      <c r="CZ898" s="38"/>
      <c r="DA898" s="28"/>
      <c r="DB898" s="38"/>
      <c r="DC898" s="28"/>
      <c r="DD898" s="38"/>
      <c r="DE898" s="28"/>
      <c r="DF898" s="38"/>
      <c r="DG898" s="28"/>
      <c r="DH898" s="38"/>
      <c r="DI898" s="28"/>
      <c r="DJ898" s="38"/>
      <c r="DK898" s="28"/>
      <c r="DL898" s="38"/>
      <c r="DM898" s="28"/>
      <c r="DN898" s="38"/>
      <c r="DO898" s="28"/>
      <c r="DP898" s="38"/>
      <c r="DQ898" s="28"/>
      <c r="DR898" s="38"/>
      <c r="DS898" s="28"/>
      <c r="DT898" s="38"/>
      <c r="DU898" s="28"/>
      <c r="DV898" s="38"/>
      <c r="DW898" s="41"/>
      <c r="DX898" s="38"/>
      <c r="DY898" s="41"/>
      <c r="DZ898" s="38"/>
      <c r="EA898" s="41"/>
      <c r="EB898" s="38"/>
      <c r="EC898" s="41"/>
      <c r="ED898" s="38"/>
      <c r="EE898" s="41"/>
      <c r="EF898" s="38"/>
      <c r="EG898" s="41"/>
      <c r="EH898" s="38"/>
      <c r="EI898" s="41"/>
      <c r="EJ898" s="38"/>
      <c r="EK898" s="41"/>
      <c r="EL898" s="38"/>
      <c r="EM898" s="41"/>
      <c r="EN898" s="38"/>
      <c r="EO898" s="41"/>
      <c r="EP898" s="38"/>
      <c r="EQ898" s="41"/>
      <c r="ER898" s="38"/>
      <c r="ES898" s="41"/>
      <c r="ET898" s="38"/>
      <c r="EU898" s="41"/>
      <c r="EV898" s="38"/>
      <c r="EW898" s="41"/>
      <c r="EX898" s="38"/>
      <c r="EY898" s="38"/>
      <c r="EZ898" s="301"/>
      <c r="FA898" s="38"/>
      <c r="FB898" s="39"/>
      <c r="FC898" s="38"/>
      <c r="FD898" s="39"/>
      <c r="FE898" s="38"/>
      <c r="FF898" s="40"/>
      <c r="FG898" s="38"/>
      <c r="FH898" s="40"/>
      <c r="FI898" s="38"/>
      <c r="FJ898" s="40"/>
      <c r="FK898" s="38"/>
      <c r="FL898" s="40"/>
      <c r="FM898" s="38"/>
      <c r="FN898" s="40"/>
      <c r="FO898" s="38"/>
      <c r="FP898" s="39"/>
      <c r="FQ898" s="38"/>
      <c r="FR898" s="39"/>
      <c r="FS898" s="38"/>
      <c r="FT898" s="39"/>
      <c r="FU898" s="38"/>
      <c r="FV898" s="39"/>
      <c r="FW898" s="38"/>
      <c r="FX898" s="39"/>
      <c r="FY898" s="38"/>
      <c r="FZ898" s="39"/>
      <c r="GA898" s="38"/>
      <c r="GB898" s="39"/>
      <c r="GC898" s="38"/>
      <c r="GD898" s="39"/>
      <c r="GE898" s="38"/>
      <c r="GF898" s="39"/>
      <c r="GG898" s="38"/>
      <c r="GH898" s="39"/>
      <c r="GI898" s="38"/>
      <c r="GJ898" s="39"/>
      <c r="GK898" s="38"/>
      <c r="GL898" s="39"/>
      <c r="GM898" s="38"/>
      <c r="GN898" s="39"/>
      <c r="GO898" s="38"/>
      <c r="GP898" s="39"/>
      <c r="GQ898" s="38"/>
      <c r="GR898" s="39"/>
      <c r="GS898" s="38"/>
      <c r="GT898" s="39"/>
      <c r="GU898" s="38"/>
      <c r="GV898" s="39"/>
      <c r="GW898" s="38"/>
      <c r="GX898" s="39"/>
      <c r="GY898" s="38"/>
      <c r="GZ898" s="38"/>
      <c r="HA898" s="38"/>
      <c r="HB898" s="241"/>
      <c r="HC898"/>
      <c r="HD898"/>
      <c r="HE898"/>
      <c r="HF898"/>
      <c r="HG898"/>
      <c r="HH898"/>
      <c r="HI898" s="2"/>
    </row>
    <row r="899" spans="2:217" s="22" customFormat="1" ht="12.75" hidden="1" customHeight="1" outlineLevel="1" x14ac:dyDescent="0.2">
      <c r="B899" s="24" t="s">
        <v>614</v>
      </c>
      <c r="D899" s="32"/>
      <c r="F899" s="32"/>
      <c r="H899" s="32"/>
      <c r="J899" s="32"/>
      <c r="L899" s="32"/>
      <c r="N899" s="32"/>
      <c r="P899" s="32"/>
      <c r="R899" s="32"/>
      <c r="T899" s="32"/>
      <c r="V899" s="32"/>
      <c r="X899" s="32"/>
      <c r="Z899" s="32"/>
      <c r="AB899" s="32"/>
      <c r="AD899" s="32"/>
      <c r="AF899" s="32"/>
      <c r="AH899" s="32"/>
      <c r="AJ899" s="32"/>
      <c r="AL899" s="32"/>
      <c r="AN899" s="32"/>
      <c r="AP899" s="32"/>
      <c r="AR899" s="32"/>
      <c r="AT899" s="32"/>
      <c r="AV899" s="32"/>
      <c r="AX899" s="32"/>
      <c r="AY899" s="28"/>
      <c r="AZ899" s="29"/>
      <c r="BA899" s="28"/>
      <c r="BB899" s="29"/>
      <c r="BC899" s="28"/>
      <c r="BD899" s="29"/>
      <c r="BE899" s="28"/>
      <c r="BF899" s="29"/>
      <c r="BG899" s="28"/>
      <c r="BH899" s="38"/>
      <c r="BI899" s="28"/>
      <c r="BJ899" s="38"/>
      <c r="BK899" s="28"/>
      <c r="BL899" s="38"/>
      <c r="BM899" s="28"/>
      <c r="BN899" s="38"/>
      <c r="BO899" s="28"/>
      <c r="BP899" s="38"/>
      <c r="BQ899" s="28"/>
      <c r="BR899" s="28"/>
      <c r="BS899" s="28"/>
      <c r="BT899" s="57"/>
      <c r="BU899" s="28"/>
      <c r="BV899" s="38"/>
      <c r="BW899" s="28"/>
      <c r="BX899" s="38"/>
      <c r="BY899" s="28"/>
      <c r="BZ899" s="38"/>
      <c r="CA899" s="28"/>
      <c r="CB899" s="38"/>
      <c r="CC899" s="28"/>
      <c r="CD899" s="38"/>
      <c r="CE899" s="28"/>
      <c r="CF899" s="38"/>
      <c r="CG899" s="28"/>
      <c r="CH899" s="38"/>
      <c r="CI899" s="28"/>
      <c r="CJ899" s="38"/>
      <c r="CK899" s="28"/>
      <c r="CL899" s="38"/>
      <c r="CM899" s="28"/>
      <c r="CN899" s="38"/>
      <c r="CO899" s="28"/>
      <c r="CP899" s="38"/>
      <c r="CQ899" s="28"/>
      <c r="CR899" s="38"/>
      <c r="CS899" s="28"/>
      <c r="CT899" s="38"/>
      <c r="CU899" s="28"/>
      <c r="CV899" s="38"/>
      <c r="CW899" s="28"/>
      <c r="CX899" s="38"/>
      <c r="CY899" s="28"/>
      <c r="CZ899" s="38"/>
      <c r="DA899" s="28"/>
      <c r="DB899" s="38"/>
      <c r="DC899" s="28"/>
      <c r="DD899" s="38"/>
      <c r="DE899" s="28"/>
      <c r="DF899" s="38"/>
      <c r="DG899" s="28"/>
      <c r="DH899" s="38"/>
      <c r="DI899" s="28"/>
      <c r="DJ899" s="38"/>
      <c r="DK899" s="28"/>
      <c r="DL899" s="38"/>
      <c r="DM899" s="28"/>
      <c r="DN899" s="38"/>
      <c r="DO899" s="28"/>
      <c r="DP899" s="38"/>
      <c r="DQ899" s="28"/>
      <c r="DR899" s="38"/>
      <c r="DS899" s="28"/>
      <c r="DT899" s="38"/>
      <c r="DU899" s="28"/>
      <c r="DV899" s="38"/>
      <c r="DW899" s="42">
        <f>DW207</f>
        <v>54.827052142488384</v>
      </c>
      <c r="DX899" s="38"/>
      <c r="DY899" s="42">
        <f>DY207</f>
        <v>80.998580217699953</v>
      </c>
      <c r="DZ899" s="38"/>
      <c r="EA899" s="42">
        <f>EA207</f>
        <v>55.995773903856318</v>
      </c>
      <c r="EB899" s="38"/>
      <c r="EC899" s="42">
        <f>EC207</f>
        <v>62.605979473449359</v>
      </c>
      <c r="ED899" s="38"/>
      <c r="EE899" s="42">
        <f>EE207</f>
        <v>81.904947409427336</v>
      </c>
      <c r="EF899" s="38"/>
      <c r="EG899" s="42">
        <f>EG207</f>
        <v>73.725055432372514</v>
      </c>
      <c r="EH899" s="38"/>
      <c r="EI899" s="42">
        <f>EI207</f>
        <v>47.341249354672172</v>
      </c>
      <c r="EJ899" s="38"/>
      <c r="EK899" s="42">
        <f>EK207</f>
        <v>73.440532298308852</v>
      </c>
      <c r="EL899" s="38"/>
      <c r="EM899" s="42">
        <f>EM207</f>
        <v>72.9671678428966</v>
      </c>
      <c r="EN899" s="38"/>
      <c r="EO899" s="42">
        <f>EO207</f>
        <v>81.170634920634924</v>
      </c>
      <c r="EP899" s="38"/>
      <c r="EQ899" s="42">
        <f>EQ207</f>
        <v>71.5</v>
      </c>
      <c r="ER899" s="38"/>
      <c r="ES899" s="42">
        <f>ES207</f>
        <v>72.25</v>
      </c>
      <c r="ET899" s="38"/>
      <c r="EU899" s="42">
        <f>EU207</f>
        <v>72.95</v>
      </c>
      <c r="EV899" s="38"/>
      <c r="EW899" s="42">
        <f>EW207</f>
        <v>73.350000000000009</v>
      </c>
      <c r="EX899" s="38"/>
      <c r="EY899" s="38"/>
      <c r="EZ899" s="301"/>
      <c r="FA899" s="38"/>
      <c r="FB899" s="39"/>
      <c r="FC899" s="38"/>
      <c r="FD899" s="39"/>
      <c r="FE899" s="38"/>
      <c r="FF899" s="40"/>
      <c r="FG899" s="38"/>
      <c r="FH899" s="40"/>
      <c r="FI899" s="38"/>
      <c r="FJ899" s="40"/>
      <c r="FK899" s="38"/>
      <c r="FL899" s="40"/>
      <c r="FM899" s="38"/>
      <c r="FN899" s="40"/>
      <c r="FO899" s="38"/>
      <c r="FP899" s="39"/>
      <c r="FQ899" s="38"/>
      <c r="FR899" s="39"/>
      <c r="FS899" s="38"/>
      <c r="FT899" s="39"/>
      <c r="FU899" s="38"/>
      <c r="FV899" s="39"/>
      <c r="FW899" s="38"/>
      <c r="FX899" s="41"/>
      <c r="FY899" s="38"/>
      <c r="FZ899" s="41"/>
      <c r="GA899" s="38"/>
      <c r="GB899" s="41"/>
      <c r="GC899" s="38"/>
      <c r="GD899" s="41"/>
      <c r="GE899" s="38"/>
      <c r="GF899" s="41"/>
      <c r="GG899" s="38"/>
      <c r="GH899" s="41"/>
      <c r="GI899" s="38"/>
      <c r="GJ899" s="41"/>
      <c r="GK899" s="38"/>
      <c r="GL899" s="41">
        <f>GL207</f>
        <v>72.444858651755212</v>
      </c>
      <c r="GM899" s="38"/>
      <c r="GN899" s="41">
        <f>GN207</f>
        <v>72.491511955500982</v>
      </c>
      <c r="GO899" s="38"/>
      <c r="GP899" s="41">
        <f>GP207</f>
        <v>72.519892584143719</v>
      </c>
      <c r="GQ899" s="38"/>
      <c r="GR899" s="42">
        <f>GR207</f>
        <v>72.519892584143719</v>
      </c>
      <c r="GS899" s="38"/>
      <c r="GT899" s="42">
        <f>GT207</f>
        <v>72.519892584143719</v>
      </c>
      <c r="GU899" s="38"/>
      <c r="GV899" s="42">
        <f>GV207</f>
        <v>72.519892584143719</v>
      </c>
      <c r="GW899" s="38"/>
      <c r="GX899" s="42">
        <f>GX207</f>
        <v>72.519892584143719</v>
      </c>
      <c r="GY899" s="38"/>
      <c r="GZ899" s="38"/>
      <c r="HA899" s="38"/>
      <c r="HB899" s="241"/>
      <c r="HC899"/>
      <c r="HD899"/>
      <c r="HE899"/>
      <c r="HF899"/>
      <c r="HG899"/>
      <c r="HH899"/>
      <c r="HI899" s="2"/>
    </row>
    <row r="900" spans="2:217" s="22" customFormat="1" ht="12.75" hidden="1" customHeight="1" outlineLevel="1" x14ac:dyDescent="0.2">
      <c r="B900" s="24" t="s">
        <v>615</v>
      </c>
      <c r="D900" s="32"/>
      <c r="F900" s="32"/>
      <c r="H900" s="32"/>
      <c r="J900" s="32"/>
      <c r="L900" s="32"/>
      <c r="N900" s="32"/>
      <c r="P900" s="32"/>
      <c r="R900" s="32"/>
      <c r="T900" s="32"/>
      <c r="V900" s="32"/>
      <c r="X900" s="32"/>
      <c r="Z900" s="32"/>
      <c r="AB900" s="32"/>
      <c r="AD900" s="32"/>
      <c r="AF900" s="32"/>
      <c r="AH900" s="32"/>
      <c r="AJ900" s="32"/>
      <c r="AL900" s="32"/>
      <c r="AN900" s="32"/>
      <c r="AP900" s="32"/>
      <c r="AR900" s="32"/>
      <c r="AT900" s="32"/>
      <c r="AV900" s="32"/>
      <c r="AX900" s="32"/>
      <c r="AY900" s="28"/>
      <c r="AZ900" s="29"/>
      <c r="BA900" s="28"/>
      <c r="BB900" s="29"/>
      <c r="BC900" s="28"/>
      <c r="BD900" s="29"/>
      <c r="BE900" s="28"/>
      <c r="BF900" s="29"/>
      <c r="BG900" s="28"/>
      <c r="BH900" s="38"/>
      <c r="BI900" s="28"/>
      <c r="BJ900" s="38"/>
      <c r="BK900" s="28"/>
      <c r="BL900" s="38"/>
      <c r="BM900" s="28"/>
      <c r="BN900" s="38"/>
      <c r="BO900" s="28"/>
      <c r="BP900" s="58"/>
      <c r="BQ900" s="28"/>
      <c r="BR900" s="28"/>
      <c r="BS900" s="28"/>
      <c r="BT900" s="43"/>
      <c r="BU900" s="28"/>
      <c r="BV900" s="58"/>
      <c r="BW900" s="28"/>
      <c r="BX900" s="58"/>
      <c r="BY900" s="28"/>
      <c r="BZ900" s="58"/>
      <c r="CA900" s="28"/>
      <c r="CB900" s="58"/>
      <c r="CC900" s="28"/>
      <c r="CD900" s="58"/>
      <c r="CE900" s="28"/>
      <c r="CF900" s="58"/>
      <c r="CG900" s="28"/>
      <c r="CH900" s="58"/>
      <c r="CI900" s="28"/>
      <c r="CJ900" s="58"/>
      <c r="CK900" s="28"/>
      <c r="CL900" s="58"/>
      <c r="CM900" s="28"/>
      <c r="CN900" s="58"/>
      <c r="CO900" s="28"/>
      <c r="CP900" s="58"/>
      <c r="CQ900" s="28"/>
      <c r="CR900" s="58"/>
      <c r="CS900" s="28"/>
      <c r="CT900" s="58"/>
      <c r="CU900" s="28"/>
      <c r="CV900" s="58"/>
      <c r="CW900" s="28"/>
      <c r="CX900" s="58"/>
      <c r="CY900" s="28"/>
      <c r="CZ900" s="58"/>
      <c r="DA900" s="28"/>
      <c r="DB900" s="58"/>
      <c r="DC900" s="28"/>
      <c r="DD900" s="58"/>
      <c r="DE900" s="28"/>
      <c r="DF900" s="58"/>
      <c r="DG900" s="28"/>
      <c r="DH900" s="58"/>
      <c r="DI900" s="28"/>
      <c r="DJ900" s="58"/>
      <c r="DK900" s="28"/>
      <c r="DL900" s="58"/>
      <c r="DM900" s="28"/>
      <c r="DN900" s="58"/>
      <c r="DO900" s="28"/>
      <c r="DP900" s="58"/>
      <c r="DQ900" s="28"/>
      <c r="DR900" s="58"/>
      <c r="DS900" s="28"/>
      <c r="DT900" s="58"/>
      <c r="DU900" s="28"/>
      <c r="DV900" s="58"/>
      <c r="DW900" s="44">
        <v>-1</v>
      </c>
      <c r="DX900" s="58"/>
      <c r="DY900" s="44">
        <v>-1</v>
      </c>
      <c r="DZ900" s="58"/>
      <c r="EA900" s="44">
        <v>-1</v>
      </c>
      <c r="EB900" s="58"/>
      <c r="EC900" s="44">
        <v>-1</v>
      </c>
      <c r="ED900" s="58"/>
      <c r="EE900" s="44">
        <v>-1</v>
      </c>
      <c r="EF900" s="58"/>
      <c r="EG900" s="44">
        <v>-1</v>
      </c>
      <c r="EH900" s="58"/>
      <c r="EI900" s="44">
        <v>-1</v>
      </c>
      <c r="EJ900" s="58"/>
      <c r="EK900" s="44">
        <v>-1</v>
      </c>
      <c r="EL900" s="58"/>
      <c r="EM900" s="44">
        <v>-1</v>
      </c>
      <c r="EN900" s="58"/>
      <c r="EO900" s="44">
        <v>-1</v>
      </c>
      <c r="EP900" s="58"/>
      <c r="EQ900" s="44">
        <v>-1</v>
      </c>
      <c r="ER900" s="58"/>
      <c r="ES900" s="44">
        <v>-1</v>
      </c>
      <c r="ET900" s="58"/>
      <c r="EU900" s="44">
        <v>-1</v>
      </c>
      <c r="EV900" s="58"/>
      <c r="EW900" s="44">
        <v>-1</v>
      </c>
      <c r="EX900" s="58"/>
      <c r="EY900" s="58"/>
      <c r="EZ900" s="303"/>
      <c r="FA900" s="58"/>
      <c r="FB900" s="59"/>
      <c r="FC900" s="58"/>
      <c r="FD900" s="59"/>
      <c r="FE900" s="58"/>
      <c r="FF900" s="60"/>
      <c r="FG900" s="58"/>
      <c r="FH900" s="60"/>
      <c r="FI900" s="58"/>
      <c r="FJ900" s="60"/>
      <c r="FK900" s="58"/>
      <c r="FL900" s="60"/>
      <c r="FM900" s="58"/>
      <c r="FN900" s="60"/>
      <c r="FO900" s="58"/>
      <c r="FP900" s="59"/>
      <c r="FQ900" s="58"/>
      <c r="FR900" s="59"/>
      <c r="FS900" s="58"/>
      <c r="FT900" s="59"/>
      <c r="FU900" s="58"/>
      <c r="FV900" s="59"/>
      <c r="FW900" s="45"/>
      <c r="FX900" s="45"/>
      <c r="FY900" s="45"/>
      <c r="FZ900" s="45"/>
      <c r="GA900" s="45"/>
      <c r="GB900" s="210"/>
      <c r="GC900" s="45"/>
      <c r="GD900" s="210"/>
      <c r="GE900" s="45"/>
      <c r="GF900" s="210"/>
      <c r="GG900" s="792"/>
      <c r="GH900" s="210"/>
      <c r="GI900" s="792"/>
      <c r="GJ900" s="210"/>
      <c r="GK900" s="792"/>
      <c r="GL900" s="210">
        <f>GJ900</f>
        <v>0</v>
      </c>
      <c r="GM900" s="792"/>
      <c r="GN900" s="210">
        <f>GL900</f>
        <v>0</v>
      </c>
      <c r="GO900" s="792"/>
      <c r="GP900" s="210">
        <f>GN900</f>
        <v>0</v>
      </c>
      <c r="GQ900" s="792"/>
      <c r="GR900" s="44">
        <f>GP900</f>
        <v>0</v>
      </c>
      <c r="GS900" s="792"/>
      <c r="GT900" s="44">
        <f>GR900</f>
        <v>0</v>
      </c>
      <c r="GU900" s="792"/>
      <c r="GV900" s="44">
        <f>GT900</f>
        <v>0</v>
      </c>
      <c r="GW900" s="792"/>
      <c r="GX900" s="44">
        <f>GV900</f>
        <v>0</v>
      </c>
      <c r="GY900" s="792"/>
      <c r="GZ900" s="45"/>
      <c r="HA900" s="45"/>
      <c r="HB900" s="242"/>
      <c r="HC900"/>
      <c r="HD900"/>
      <c r="HE900"/>
      <c r="HF900"/>
      <c r="HG900"/>
      <c r="HH900"/>
      <c r="HI900" s="2"/>
    </row>
    <row r="901" spans="2:217" s="22" customFormat="1" ht="12.75" hidden="1" customHeight="1" outlineLevel="1" x14ac:dyDescent="0.2">
      <c r="B901" s="24" t="s">
        <v>617</v>
      </c>
      <c r="D901" s="32"/>
      <c r="F901" s="32"/>
      <c r="H901" s="32"/>
      <c r="J901" s="32"/>
      <c r="L901" s="32"/>
      <c r="N901" s="32"/>
      <c r="P901" s="32"/>
      <c r="R901" s="32"/>
      <c r="T901" s="32"/>
      <c r="V901" s="32"/>
      <c r="X901" s="32"/>
      <c r="Z901" s="32"/>
      <c r="AB901" s="32"/>
      <c r="AD901" s="32"/>
      <c r="AF901" s="32"/>
      <c r="AH901" s="32"/>
      <c r="AJ901" s="32"/>
      <c r="AL901" s="32"/>
      <c r="AN901" s="32"/>
      <c r="AP901" s="32"/>
      <c r="AR901" s="32"/>
      <c r="AT901" s="32"/>
      <c r="AV901" s="32"/>
      <c r="AX901" s="32"/>
      <c r="AY901" s="28"/>
      <c r="AZ901" s="29"/>
      <c r="BA901" s="28"/>
      <c r="BB901" s="29"/>
      <c r="BC901" s="28"/>
      <c r="BD901" s="29"/>
      <c r="BE901" s="28"/>
      <c r="BF901" s="29"/>
      <c r="BG901" s="28"/>
      <c r="BH901" s="38"/>
      <c r="BI901" s="28"/>
      <c r="BJ901" s="38"/>
      <c r="BK901" s="28"/>
      <c r="BL901" s="38"/>
      <c r="BM901" s="28"/>
      <c r="BN901" s="38"/>
      <c r="BO901" s="28"/>
      <c r="BP901" s="58"/>
      <c r="BQ901" s="28"/>
      <c r="BR901" s="28"/>
      <c r="BS901" s="28"/>
      <c r="BT901" s="43"/>
      <c r="BU901" s="28"/>
      <c r="BV901" s="58"/>
      <c r="BW901" s="28"/>
      <c r="BX901" s="58"/>
      <c r="BY901" s="28"/>
      <c r="BZ901" s="58"/>
      <c r="CA901" s="28"/>
      <c r="CB901" s="58"/>
      <c r="CC901" s="28"/>
      <c r="CD901" s="58"/>
      <c r="CE901" s="28"/>
      <c r="CF901" s="58"/>
      <c r="CG901" s="28"/>
      <c r="CH901" s="58"/>
      <c r="CI901" s="28"/>
      <c r="CJ901" s="58"/>
      <c r="CK901" s="28"/>
      <c r="CL901" s="58"/>
      <c r="CM901" s="28"/>
      <c r="CN901" s="58"/>
      <c r="CO901" s="28"/>
      <c r="CP901" s="58"/>
      <c r="CQ901" s="28"/>
      <c r="CR901" s="58"/>
      <c r="CS901" s="28"/>
      <c r="CT901" s="58"/>
      <c r="CU901" s="28"/>
      <c r="CV901" s="58"/>
      <c r="CW901" s="28"/>
      <c r="CX901" s="58"/>
      <c r="CY901" s="28"/>
      <c r="CZ901" s="58"/>
      <c r="DA901" s="28"/>
      <c r="DB901" s="58"/>
      <c r="DC901" s="28"/>
      <c r="DD901" s="58"/>
      <c r="DE901" s="28"/>
      <c r="DF901" s="58"/>
      <c r="DG901" s="28"/>
      <c r="DH901" s="58"/>
      <c r="DI901" s="28"/>
      <c r="DJ901" s="58"/>
      <c r="DK901" s="28"/>
      <c r="DL901" s="58"/>
      <c r="DM901" s="28"/>
      <c r="DN901" s="58"/>
      <c r="DO901" s="28"/>
      <c r="DP901" s="58"/>
      <c r="DQ901" s="28"/>
      <c r="DR901" s="58"/>
      <c r="DS901" s="28"/>
      <c r="DT901" s="58"/>
      <c r="DU901" s="28"/>
      <c r="DV901" s="58"/>
      <c r="DW901" s="46">
        <v>2</v>
      </c>
      <c r="DX901" s="58"/>
      <c r="DY901" s="46">
        <v>2</v>
      </c>
      <c r="DZ901" s="58"/>
      <c r="EA901" s="46">
        <v>2</v>
      </c>
      <c r="EB901" s="58"/>
      <c r="EC901" s="46">
        <v>2</v>
      </c>
      <c r="ED901" s="58"/>
      <c r="EE901" s="46">
        <v>2</v>
      </c>
      <c r="EF901" s="58"/>
      <c r="EG901" s="46">
        <v>2</v>
      </c>
      <c r="EH901" s="58"/>
      <c r="EI901" s="46">
        <v>2</v>
      </c>
      <c r="EJ901" s="58"/>
      <c r="EK901" s="46">
        <v>2</v>
      </c>
      <c r="EL901" s="58"/>
      <c r="EM901" s="46">
        <v>2</v>
      </c>
      <c r="EN901" s="58"/>
      <c r="EO901" s="46">
        <v>2</v>
      </c>
      <c r="EP901" s="58"/>
      <c r="EQ901" s="46">
        <v>2</v>
      </c>
      <c r="ER901" s="58"/>
      <c r="ES901" s="46">
        <v>2</v>
      </c>
      <c r="ET901" s="58"/>
      <c r="EU901" s="46">
        <v>2</v>
      </c>
      <c r="EV901" s="58"/>
      <c r="EW901" s="46">
        <v>2</v>
      </c>
      <c r="EX901" s="58"/>
      <c r="EY901" s="58"/>
      <c r="EZ901" s="303"/>
      <c r="FA901" s="58"/>
      <c r="FB901" s="59"/>
      <c r="FC901" s="58"/>
      <c r="FD901" s="59"/>
      <c r="FE901" s="58"/>
      <c r="FF901" s="60"/>
      <c r="FG901" s="58"/>
      <c r="FH901" s="60"/>
      <c r="FI901" s="58"/>
      <c r="FJ901" s="60"/>
      <c r="FK901" s="58"/>
      <c r="FL901" s="60"/>
      <c r="FM901" s="58"/>
      <c r="FN901" s="60"/>
      <c r="FO901" s="58"/>
      <c r="FP901" s="59"/>
      <c r="FQ901" s="58"/>
      <c r="FR901" s="59"/>
      <c r="FS901" s="58"/>
      <c r="FT901" s="59"/>
      <c r="FU901" s="58"/>
      <c r="FV901" s="59"/>
      <c r="FW901" s="45"/>
      <c r="FX901" s="45"/>
      <c r="FY901" s="45"/>
      <c r="FZ901" s="45"/>
      <c r="GA901" s="45"/>
      <c r="GB901" s="210"/>
      <c r="GC901" s="45"/>
      <c r="GD901" s="210"/>
      <c r="GE901" s="45"/>
      <c r="GF901" s="210"/>
      <c r="GG901" s="792"/>
      <c r="GH901" s="210"/>
      <c r="GI901" s="792"/>
      <c r="GJ901" s="210"/>
      <c r="GK901" s="792"/>
      <c r="GL901" s="210">
        <f>GJ901</f>
        <v>0</v>
      </c>
      <c r="GM901" s="792"/>
      <c r="GN901" s="210">
        <f>GL901</f>
        <v>0</v>
      </c>
      <c r="GO901" s="792"/>
      <c r="GP901" s="210">
        <f>GN901</f>
        <v>0</v>
      </c>
      <c r="GQ901" s="792"/>
      <c r="GR901" s="46">
        <f>GP901</f>
        <v>0</v>
      </c>
      <c r="GS901" s="792"/>
      <c r="GT901" s="46">
        <f>GR901</f>
        <v>0</v>
      </c>
      <c r="GU901" s="792"/>
      <c r="GV901" s="46">
        <f>GT901</f>
        <v>0</v>
      </c>
      <c r="GW901" s="792"/>
      <c r="GX901" s="46">
        <f>GV901</f>
        <v>0</v>
      </c>
      <c r="GY901" s="792"/>
      <c r="GZ901" s="45"/>
      <c r="HA901" s="45"/>
      <c r="HB901" s="242"/>
      <c r="HC901"/>
      <c r="HD901"/>
      <c r="HE901"/>
      <c r="HF901"/>
      <c r="HG901"/>
      <c r="HH901"/>
      <c r="HI901" s="2"/>
    </row>
    <row r="902" spans="2:217" s="22" customFormat="1" ht="12.75" hidden="1" customHeight="1" outlineLevel="1" x14ac:dyDescent="0.2">
      <c r="B902" s="56" t="s">
        <v>659</v>
      </c>
      <c r="D902" s="32"/>
      <c r="F902" s="32"/>
      <c r="H902" s="32"/>
      <c r="J902" s="32"/>
      <c r="L902" s="32"/>
      <c r="N902" s="32"/>
      <c r="P902" s="32"/>
      <c r="R902" s="32"/>
      <c r="T902" s="32"/>
      <c r="V902" s="32"/>
      <c r="X902" s="32"/>
      <c r="Z902" s="32"/>
      <c r="AB902" s="32"/>
      <c r="AD902" s="32"/>
      <c r="AF902" s="32"/>
      <c r="AH902" s="32"/>
      <c r="AJ902" s="32"/>
      <c r="AL902" s="32"/>
      <c r="AN902" s="32"/>
      <c r="AP902" s="32"/>
      <c r="AR902" s="32"/>
      <c r="AT902" s="32"/>
      <c r="AV902" s="32"/>
      <c r="AX902" s="32"/>
      <c r="AY902" s="28"/>
      <c r="AZ902" s="29"/>
      <c r="BA902" s="28"/>
      <c r="BB902" s="29"/>
      <c r="BC902" s="28"/>
      <c r="BD902" s="29"/>
      <c r="BE902" s="28"/>
      <c r="BF902" s="29"/>
      <c r="BG902" s="28"/>
      <c r="BH902" s="38"/>
      <c r="BI902" s="28"/>
      <c r="BJ902" s="38"/>
      <c r="BK902" s="28"/>
      <c r="BL902" s="38"/>
      <c r="BM902" s="28"/>
      <c r="BN902" s="38"/>
      <c r="BO902" s="28"/>
      <c r="BP902" s="38"/>
      <c r="BQ902" s="28"/>
      <c r="BR902" s="28"/>
      <c r="BS902" s="28"/>
      <c r="BT902" s="57"/>
      <c r="BU902" s="28"/>
      <c r="BV902" s="38"/>
      <c r="BW902" s="28"/>
      <c r="BX902" s="38"/>
      <c r="BY902" s="28"/>
      <c r="BZ902" s="38"/>
      <c r="CA902" s="28"/>
      <c r="CB902" s="38"/>
      <c r="CC902" s="28"/>
      <c r="CD902" s="38"/>
      <c r="CE902" s="28"/>
      <c r="CF902" s="38"/>
      <c r="CG902" s="28"/>
      <c r="CH902" s="38"/>
      <c r="CI902" s="28"/>
      <c r="CJ902" s="38"/>
      <c r="CK902" s="28"/>
      <c r="CL902" s="38"/>
      <c r="CM902" s="28"/>
      <c r="CN902" s="38"/>
      <c r="CO902" s="28"/>
      <c r="CP902" s="38"/>
      <c r="CQ902" s="28"/>
      <c r="CR902" s="38"/>
      <c r="CS902" s="28"/>
      <c r="CT902" s="38"/>
      <c r="CU902" s="28"/>
      <c r="CV902" s="38"/>
      <c r="CW902" s="28"/>
      <c r="CX902" s="38"/>
      <c r="CY902" s="28"/>
      <c r="CZ902" s="38"/>
      <c r="DA902" s="28"/>
      <c r="DB902" s="38"/>
      <c r="DC902" s="28"/>
      <c r="DD902" s="38"/>
      <c r="DE902" s="28"/>
      <c r="DF902" s="38"/>
      <c r="DG902" s="28"/>
      <c r="DH902" s="38"/>
      <c r="DI902" s="28"/>
      <c r="DJ902" s="38"/>
      <c r="DK902" s="28"/>
      <c r="DL902" s="38"/>
      <c r="DM902" s="28"/>
      <c r="DN902" s="38"/>
      <c r="DO902" s="28"/>
      <c r="DP902" s="38"/>
      <c r="DQ902" s="28"/>
      <c r="DR902" s="38"/>
      <c r="DS902" s="28"/>
      <c r="DT902" s="38"/>
      <c r="DU902" s="28"/>
      <c r="DV902" s="38"/>
      <c r="DW902" s="41"/>
      <c r="DX902" s="38"/>
      <c r="DY902" s="41"/>
      <c r="DZ902" s="38"/>
      <c r="EA902" s="41"/>
      <c r="EB902" s="38"/>
      <c r="EC902" s="41"/>
      <c r="ED902" s="38"/>
      <c r="EE902" s="41"/>
      <c r="EF902" s="38"/>
      <c r="EG902" s="41"/>
      <c r="EH902" s="38"/>
      <c r="EI902" s="41"/>
      <c r="EJ902" s="38"/>
      <c r="EK902" s="41"/>
      <c r="EL902" s="38"/>
      <c r="EM902" s="41"/>
      <c r="EN902" s="38"/>
      <c r="EO902" s="41"/>
      <c r="EP902" s="38"/>
      <c r="EQ902" s="41"/>
      <c r="ER902" s="38"/>
      <c r="ES902" s="41"/>
      <c r="ET902" s="38"/>
      <c r="EU902" s="41"/>
      <c r="EV902" s="38"/>
      <c r="EW902" s="41"/>
      <c r="EX902" s="38"/>
      <c r="EY902" s="38"/>
      <c r="EZ902" s="301"/>
      <c r="FA902" s="38"/>
      <c r="FB902" s="39"/>
      <c r="FC902" s="38"/>
      <c r="FD902" s="39"/>
      <c r="FE902" s="38"/>
      <c r="FF902" s="40"/>
      <c r="FG902" s="38"/>
      <c r="FH902" s="40"/>
      <c r="FI902" s="38"/>
      <c r="FJ902" s="40"/>
      <c r="FK902" s="38"/>
      <c r="FL902" s="40"/>
      <c r="FM902" s="38"/>
      <c r="FN902" s="40"/>
      <c r="FO902" s="38"/>
      <c r="FP902" s="39"/>
      <c r="FQ902" s="38"/>
      <c r="FR902" s="39"/>
      <c r="FS902" s="38"/>
      <c r="FT902" s="39"/>
      <c r="FU902" s="38"/>
      <c r="FV902" s="39"/>
      <c r="FW902" s="38"/>
      <c r="FX902" s="39"/>
      <c r="FY902" s="38"/>
      <c r="FZ902" s="39"/>
      <c r="GA902" s="38"/>
      <c r="GB902" s="39"/>
      <c r="GC902" s="38"/>
      <c r="GD902" s="39"/>
      <c r="GE902" s="38"/>
      <c r="GF902" s="39"/>
      <c r="GG902" s="38"/>
      <c r="GH902" s="39"/>
      <c r="GI902" s="38"/>
      <c r="GJ902" s="39"/>
      <c r="GK902" s="38"/>
      <c r="GL902" s="39"/>
      <c r="GM902" s="38"/>
      <c r="GN902" s="39"/>
      <c r="GO902" s="38"/>
      <c r="GP902" s="39"/>
      <c r="GQ902" s="38"/>
      <c r="GR902" s="39"/>
      <c r="GS902" s="38"/>
      <c r="GT902" s="39"/>
      <c r="GU902" s="38"/>
      <c r="GV902" s="39"/>
      <c r="GW902" s="38"/>
      <c r="GX902" s="39"/>
      <c r="GY902" s="38"/>
      <c r="GZ902" s="38"/>
      <c r="HA902" s="38"/>
      <c r="HB902" s="241"/>
      <c r="HC902"/>
      <c r="HD902"/>
      <c r="HE902"/>
      <c r="HF902"/>
      <c r="HG902"/>
      <c r="HH902"/>
      <c r="HI902" s="2"/>
    </row>
    <row r="903" spans="2:217" s="22" customFormat="1" ht="12.75" hidden="1" customHeight="1" outlineLevel="1" x14ac:dyDescent="0.2">
      <c r="B903" s="24" t="s">
        <v>614</v>
      </c>
      <c r="D903" s="32"/>
      <c r="F903" s="32"/>
      <c r="H903" s="32"/>
      <c r="J903" s="32"/>
      <c r="L903" s="32"/>
      <c r="N903" s="32"/>
      <c r="P903" s="32"/>
      <c r="R903" s="32"/>
      <c r="T903" s="32"/>
      <c r="V903" s="32"/>
      <c r="X903" s="32"/>
      <c r="Z903" s="32"/>
      <c r="AB903" s="32"/>
      <c r="AD903" s="32"/>
      <c r="AF903" s="32"/>
      <c r="AH903" s="32"/>
      <c r="AJ903" s="32"/>
      <c r="AL903" s="32"/>
      <c r="AN903" s="32"/>
      <c r="AP903" s="32"/>
      <c r="AR903" s="32"/>
      <c r="AT903" s="32"/>
      <c r="AV903" s="32"/>
      <c r="AX903" s="32"/>
      <c r="AY903" s="28"/>
      <c r="AZ903" s="29"/>
      <c r="BA903" s="28"/>
      <c r="BB903" s="29"/>
      <c r="BC903" s="28"/>
      <c r="BD903" s="29"/>
      <c r="BE903" s="28"/>
      <c r="BF903" s="29"/>
      <c r="BG903" s="28"/>
      <c r="BH903" s="38"/>
      <c r="BI903" s="28"/>
      <c r="BJ903" s="38"/>
      <c r="BK903" s="28"/>
      <c r="BL903" s="38"/>
      <c r="BM903" s="28"/>
      <c r="BN903" s="38"/>
      <c r="BO903" s="28"/>
      <c r="BP903" s="38"/>
      <c r="BQ903" s="28"/>
      <c r="BR903" s="28"/>
      <c r="BS903" s="28"/>
      <c r="BT903" s="57"/>
      <c r="BU903" s="28"/>
      <c r="BV903" s="38"/>
      <c r="BW903" s="28"/>
      <c r="BX903" s="38"/>
      <c r="BY903" s="28"/>
      <c r="BZ903" s="38"/>
      <c r="CA903" s="28"/>
      <c r="CB903" s="38"/>
      <c r="CC903" s="28"/>
      <c r="CD903" s="38"/>
      <c r="CE903" s="28"/>
      <c r="CF903" s="38"/>
      <c r="CG903" s="28"/>
      <c r="CH903" s="38"/>
      <c r="CI903" s="28"/>
      <c r="CJ903" s="38"/>
      <c r="CK903" s="28"/>
      <c r="CL903" s="38"/>
      <c r="CM903" s="28"/>
      <c r="CN903" s="38"/>
      <c r="CO903" s="28"/>
      <c r="CP903" s="38"/>
      <c r="CQ903" s="28"/>
      <c r="CR903" s="38"/>
      <c r="CS903" s="28"/>
      <c r="CT903" s="38"/>
      <c r="CU903" s="28"/>
      <c r="CV903" s="38"/>
      <c r="CW903" s="28"/>
      <c r="CX903" s="38"/>
      <c r="CY903" s="28"/>
      <c r="CZ903" s="38"/>
      <c r="DA903" s="28"/>
      <c r="DB903" s="38"/>
      <c r="DC903" s="28"/>
      <c r="DD903" s="38"/>
      <c r="DE903" s="28"/>
      <c r="DF903" s="38"/>
      <c r="DG903" s="28"/>
      <c r="DH903" s="38"/>
      <c r="DI903" s="28"/>
      <c r="DJ903" s="38"/>
      <c r="DK903" s="28"/>
      <c r="DL903" s="38"/>
      <c r="DM903" s="28"/>
      <c r="DN903" s="38"/>
      <c r="DO903" s="28"/>
      <c r="DP903" s="38"/>
      <c r="DQ903" s="28"/>
      <c r="DR903" s="38"/>
      <c r="DS903" s="28"/>
      <c r="DT903" s="38"/>
      <c r="DU903" s="28"/>
      <c r="DV903" s="38"/>
      <c r="DW903" s="42">
        <f>DW209</f>
        <v>13.57769747031492</v>
      </c>
      <c r="DX903" s="38"/>
      <c r="DY903" s="42">
        <f>DY209</f>
        <v>6.7676289635589209</v>
      </c>
      <c r="DZ903" s="38"/>
      <c r="EA903" s="42">
        <f>EA209</f>
        <v>13.576333861595351</v>
      </c>
      <c r="EB903" s="38"/>
      <c r="EC903" s="42">
        <f>EC209</f>
        <v>11.021865238732708</v>
      </c>
      <c r="ED903" s="38"/>
      <c r="EE903" s="42">
        <f>EE209</f>
        <v>5.7654850019477992</v>
      </c>
      <c r="EF903" s="38"/>
      <c r="EG903" s="42">
        <f>EG209</f>
        <v>6.7073170731707323</v>
      </c>
      <c r="EH903" s="38"/>
      <c r="EI903" s="42">
        <f>EI209</f>
        <v>13.216313887454827</v>
      </c>
      <c r="EJ903" s="38"/>
      <c r="EK903" s="42">
        <f>EK209</f>
        <v>6.6537288605489326</v>
      </c>
      <c r="EL903" s="38"/>
      <c r="EM903" s="42">
        <f>EM209</f>
        <v>8.0699601104633327</v>
      </c>
      <c r="EN903" s="38"/>
      <c r="EO903" s="42">
        <f>EO209</f>
        <v>5.5952380952380958</v>
      </c>
      <c r="EP903" s="38"/>
      <c r="EQ903" s="42">
        <f>EQ209</f>
        <v>7.5</v>
      </c>
      <c r="ER903" s="38"/>
      <c r="ES903" s="42">
        <f>ES209</f>
        <v>7.5</v>
      </c>
      <c r="ET903" s="38"/>
      <c r="EU903" s="42">
        <f>EU209</f>
        <v>7.5</v>
      </c>
      <c r="EV903" s="38"/>
      <c r="EW903" s="42">
        <f>EW209</f>
        <v>7.5</v>
      </c>
      <c r="EX903" s="38"/>
      <c r="EY903" s="38"/>
      <c r="EZ903" s="301"/>
      <c r="FA903" s="38"/>
      <c r="FB903" s="39"/>
      <c r="FC903" s="38"/>
      <c r="FD903" s="39"/>
      <c r="FE903" s="38"/>
      <c r="FF903" s="40"/>
      <c r="FG903" s="38"/>
      <c r="FH903" s="40"/>
      <c r="FI903" s="38"/>
      <c r="FJ903" s="40"/>
      <c r="FK903" s="38"/>
      <c r="FL903" s="40"/>
      <c r="FM903" s="38"/>
      <c r="FN903" s="40"/>
      <c r="FO903" s="38"/>
      <c r="FP903" s="39"/>
      <c r="FQ903" s="38"/>
      <c r="FR903" s="39"/>
      <c r="FS903" s="38"/>
      <c r="FT903" s="39"/>
      <c r="FU903" s="38"/>
      <c r="FV903" s="39"/>
      <c r="FW903" s="38"/>
      <c r="FX903" s="41"/>
      <c r="FY903" s="38"/>
      <c r="FZ903" s="41"/>
      <c r="GA903" s="38"/>
      <c r="GB903" s="41"/>
      <c r="GC903" s="38"/>
      <c r="GD903" s="41"/>
      <c r="GE903" s="38"/>
      <c r="GF903" s="41"/>
      <c r="GG903" s="38"/>
      <c r="GH903" s="41"/>
      <c r="GI903" s="38"/>
      <c r="GJ903" s="41"/>
      <c r="GK903" s="38"/>
      <c r="GL903" s="41">
        <f>GL209</f>
        <v>8.0925753339546453</v>
      </c>
      <c r="GM903" s="38"/>
      <c r="GN903" s="41">
        <f>GN209</f>
        <v>7.5200462327530166</v>
      </c>
      <c r="GO903" s="38"/>
      <c r="GP903" s="41">
        <f>GP209</f>
        <v>7.5000000000000009</v>
      </c>
      <c r="GQ903" s="38"/>
      <c r="GR903" s="42">
        <f>GR209</f>
        <v>7.5000000000000009</v>
      </c>
      <c r="GS903" s="38"/>
      <c r="GT903" s="42">
        <f>GT209</f>
        <v>7.5500000000000007</v>
      </c>
      <c r="GU903" s="38"/>
      <c r="GV903" s="42">
        <f>GV209</f>
        <v>7.6000000000000005</v>
      </c>
      <c r="GW903" s="38"/>
      <c r="GX903" s="42">
        <f>GX209</f>
        <v>7.65</v>
      </c>
      <c r="GY903" s="38"/>
      <c r="GZ903" s="38"/>
      <c r="HA903" s="38"/>
      <c r="HB903" s="241"/>
      <c r="HC903"/>
      <c r="HD903"/>
      <c r="HE903"/>
      <c r="HF903"/>
      <c r="HG903"/>
      <c r="HH903"/>
      <c r="HI903" s="2"/>
    </row>
    <row r="904" spans="2:217" s="22" customFormat="1" ht="12.75" hidden="1" customHeight="1" outlineLevel="1" x14ac:dyDescent="0.2">
      <c r="B904" s="24" t="s">
        <v>615</v>
      </c>
      <c r="D904" s="32"/>
      <c r="F904" s="32"/>
      <c r="H904" s="32"/>
      <c r="J904" s="32"/>
      <c r="L904" s="32"/>
      <c r="N904" s="32"/>
      <c r="P904" s="32"/>
      <c r="R904" s="32"/>
      <c r="T904" s="32"/>
      <c r="V904" s="32"/>
      <c r="X904" s="32"/>
      <c r="Z904" s="32"/>
      <c r="AB904" s="32"/>
      <c r="AD904" s="32"/>
      <c r="AF904" s="32"/>
      <c r="AH904" s="32"/>
      <c r="AJ904" s="32"/>
      <c r="AL904" s="32"/>
      <c r="AN904" s="32"/>
      <c r="AP904" s="32"/>
      <c r="AR904" s="32"/>
      <c r="AT904" s="32"/>
      <c r="AV904" s="32"/>
      <c r="AX904" s="32"/>
      <c r="AY904" s="28"/>
      <c r="AZ904" s="29"/>
      <c r="BA904" s="28"/>
      <c r="BB904" s="29"/>
      <c r="BC904" s="28"/>
      <c r="BD904" s="29"/>
      <c r="BE904" s="28"/>
      <c r="BF904" s="29"/>
      <c r="BG904" s="28"/>
      <c r="BH904" s="38"/>
      <c r="BI904" s="28"/>
      <c r="BJ904" s="38"/>
      <c r="BK904" s="28"/>
      <c r="BL904" s="38"/>
      <c r="BM904" s="28"/>
      <c r="BN904" s="38"/>
      <c r="BO904" s="28"/>
      <c r="BP904" s="58"/>
      <c r="BQ904" s="28"/>
      <c r="BR904" s="28"/>
      <c r="BS904" s="28"/>
      <c r="BT904" s="43"/>
      <c r="BU904" s="28"/>
      <c r="BV904" s="58"/>
      <c r="BW904" s="28"/>
      <c r="BX904" s="58"/>
      <c r="BY904" s="28"/>
      <c r="BZ904" s="58"/>
      <c r="CA904" s="28"/>
      <c r="CB904" s="58"/>
      <c r="CC904" s="28"/>
      <c r="CD904" s="58"/>
      <c r="CE904" s="28"/>
      <c r="CF904" s="58"/>
      <c r="CG904" s="28"/>
      <c r="CH904" s="58"/>
      <c r="CI904" s="28"/>
      <c r="CJ904" s="58"/>
      <c r="CK904" s="28"/>
      <c r="CL904" s="58"/>
      <c r="CM904" s="28"/>
      <c r="CN904" s="58"/>
      <c r="CO904" s="28"/>
      <c r="CP904" s="58"/>
      <c r="CQ904" s="28"/>
      <c r="CR904" s="58"/>
      <c r="CS904" s="28"/>
      <c r="CT904" s="58"/>
      <c r="CU904" s="28"/>
      <c r="CV904" s="58"/>
      <c r="CW904" s="28"/>
      <c r="CX904" s="58"/>
      <c r="CY904" s="28"/>
      <c r="CZ904" s="58"/>
      <c r="DA904" s="28"/>
      <c r="DB904" s="58"/>
      <c r="DC904" s="28"/>
      <c r="DD904" s="58"/>
      <c r="DE904" s="28"/>
      <c r="DF904" s="58"/>
      <c r="DG904" s="28"/>
      <c r="DH904" s="58"/>
      <c r="DI904" s="28"/>
      <c r="DJ904" s="58"/>
      <c r="DK904" s="28"/>
      <c r="DL904" s="58"/>
      <c r="DM904" s="28"/>
      <c r="DN904" s="58"/>
      <c r="DO904" s="28"/>
      <c r="DP904" s="58"/>
      <c r="DQ904" s="28"/>
      <c r="DR904" s="58"/>
      <c r="DS904" s="28"/>
      <c r="DT904" s="58"/>
      <c r="DU904" s="28"/>
      <c r="DV904" s="58"/>
      <c r="DW904" s="44">
        <v>-1</v>
      </c>
      <c r="DX904" s="58"/>
      <c r="DY904" s="44">
        <v>-1</v>
      </c>
      <c r="DZ904" s="58"/>
      <c r="EA904" s="44">
        <v>-1</v>
      </c>
      <c r="EB904" s="58"/>
      <c r="EC904" s="44">
        <v>-1</v>
      </c>
      <c r="ED904" s="58"/>
      <c r="EE904" s="44">
        <v>-1</v>
      </c>
      <c r="EF904" s="58"/>
      <c r="EG904" s="44">
        <v>-1</v>
      </c>
      <c r="EH904" s="58"/>
      <c r="EI904" s="44">
        <v>-1</v>
      </c>
      <c r="EJ904" s="58"/>
      <c r="EK904" s="44">
        <v>-1</v>
      </c>
      <c r="EL904" s="58"/>
      <c r="EM904" s="44">
        <v>-1</v>
      </c>
      <c r="EN904" s="58"/>
      <c r="EO904" s="44">
        <v>-1</v>
      </c>
      <c r="EP904" s="58"/>
      <c r="EQ904" s="44">
        <v>-1</v>
      </c>
      <c r="ER904" s="58"/>
      <c r="ES904" s="44">
        <v>-1</v>
      </c>
      <c r="ET904" s="58"/>
      <c r="EU904" s="44">
        <v>-1</v>
      </c>
      <c r="EV904" s="58"/>
      <c r="EW904" s="44">
        <v>-1</v>
      </c>
      <c r="EX904" s="58"/>
      <c r="EY904" s="58"/>
      <c r="EZ904" s="303"/>
      <c r="FA904" s="58"/>
      <c r="FB904" s="59"/>
      <c r="FC904" s="58"/>
      <c r="FD904" s="59"/>
      <c r="FE904" s="58"/>
      <c r="FF904" s="60"/>
      <c r="FG904" s="58"/>
      <c r="FH904" s="60"/>
      <c r="FI904" s="58"/>
      <c r="FJ904" s="60"/>
      <c r="FK904" s="58"/>
      <c r="FL904" s="60"/>
      <c r="FM904" s="58"/>
      <c r="FN904" s="60"/>
      <c r="FO904" s="58"/>
      <c r="FP904" s="59"/>
      <c r="FQ904" s="58"/>
      <c r="FR904" s="59"/>
      <c r="FS904" s="58"/>
      <c r="FT904" s="59"/>
      <c r="FU904" s="58"/>
      <c r="FV904" s="59"/>
      <c r="FW904" s="45"/>
      <c r="FX904" s="45"/>
      <c r="FY904" s="45"/>
      <c r="FZ904" s="45"/>
      <c r="GA904" s="45"/>
      <c r="GB904" s="210"/>
      <c r="GC904" s="45"/>
      <c r="GD904" s="210"/>
      <c r="GE904" s="45"/>
      <c r="GF904" s="210"/>
      <c r="GG904" s="792"/>
      <c r="GH904" s="210"/>
      <c r="GI904" s="792"/>
      <c r="GJ904" s="210"/>
      <c r="GK904" s="792"/>
      <c r="GL904" s="210">
        <f>GJ904</f>
        <v>0</v>
      </c>
      <c r="GM904" s="792"/>
      <c r="GN904" s="210">
        <f>GL904</f>
        <v>0</v>
      </c>
      <c r="GO904" s="792"/>
      <c r="GP904" s="210">
        <f>GN904</f>
        <v>0</v>
      </c>
      <c r="GQ904" s="792"/>
      <c r="GR904" s="44">
        <f>GP904</f>
        <v>0</v>
      </c>
      <c r="GS904" s="792"/>
      <c r="GT904" s="44">
        <f>GR904</f>
        <v>0</v>
      </c>
      <c r="GU904" s="792"/>
      <c r="GV904" s="44">
        <f>GT904</f>
        <v>0</v>
      </c>
      <c r="GW904" s="792"/>
      <c r="GX904" s="44">
        <f>GV904</f>
        <v>0</v>
      </c>
      <c r="GY904" s="792"/>
      <c r="GZ904" s="45"/>
      <c r="HA904" s="45"/>
      <c r="HB904" s="242"/>
      <c r="HC904"/>
      <c r="HD904"/>
      <c r="HE904"/>
      <c r="HF904"/>
      <c r="HG904"/>
      <c r="HH904"/>
      <c r="HI904" s="2"/>
    </row>
    <row r="905" spans="2:217" s="22" customFormat="1" ht="12.75" hidden="1" customHeight="1" outlineLevel="1" x14ac:dyDescent="0.2">
      <c r="B905" s="24" t="s">
        <v>617</v>
      </c>
      <c r="D905" s="32"/>
      <c r="F905" s="32"/>
      <c r="H905" s="32"/>
      <c r="J905" s="32"/>
      <c r="L905" s="32"/>
      <c r="N905" s="32"/>
      <c r="P905" s="32"/>
      <c r="R905" s="32"/>
      <c r="T905" s="32"/>
      <c r="V905" s="32"/>
      <c r="X905" s="32"/>
      <c r="Z905" s="32"/>
      <c r="AB905" s="32"/>
      <c r="AD905" s="32"/>
      <c r="AF905" s="32"/>
      <c r="AH905" s="32"/>
      <c r="AJ905" s="32"/>
      <c r="AL905" s="32"/>
      <c r="AN905" s="32"/>
      <c r="AP905" s="32"/>
      <c r="AR905" s="32"/>
      <c r="AT905" s="32"/>
      <c r="AV905" s="32"/>
      <c r="AX905" s="32"/>
      <c r="AY905" s="28"/>
      <c r="AZ905" s="29"/>
      <c r="BA905" s="28"/>
      <c r="BB905" s="29"/>
      <c r="BC905" s="28"/>
      <c r="BD905" s="29"/>
      <c r="BE905" s="28"/>
      <c r="BF905" s="29"/>
      <c r="BG905" s="28"/>
      <c r="BH905" s="38"/>
      <c r="BI905" s="28"/>
      <c r="BJ905" s="38"/>
      <c r="BK905" s="28"/>
      <c r="BL905" s="38"/>
      <c r="BM905" s="28"/>
      <c r="BN905" s="38"/>
      <c r="BO905" s="28"/>
      <c r="BP905" s="58"/>
      <c r="BQ905" s="28"/>
      <c r="BR905" s="28"/>
      <c r="BS905" s="28"/>
      <c r="BT905" s="43"/>
      <c r="BU905" s="28"/>
      <c r="BV905" s="58"/>
      <c r="BW905" s="28"/>
      <c r="BX905" s="58"/>
      <c r="BY905" s="28"/>
      <c r="BZ905" s="58"/>
      <c r="CA905" s="28"/>
      <c r="CB905" s="58"/>
      <c r="CC905" s="28"/>
      <c r="CD905" s="58"/>
      <c r="CE905" s="28"/>
      <c r="CF905" s="58"/>
      <c r="CG905" s="28"/>
      <c r="CH905" s="58"/>
      <c r="CI905" s="28"/>
      <c r="CJ905" s="58"/>
      <c r="CK905" s="28"/>
      <c r="CL905" s="58"/>
      <c r="CM905" s="28"/>
      <c r="CN905" s="58"/>
      <c r="CO905" s="28"/>
      <c r="CP905" s="58"/>
      <c r="CQ905" s="28"/>
      <c r="CR905" s="58"/>
      <c r="CS905" s="28"/>
      <c r="CT905" s="58"/>
      <c r="CU905" s="28"/>
      <c r="CV905" s="58"/>
      <c r="CW905" s="28"/>
      <c r="CX905" s="58"/>
      <c r="CY905" s="28"/>
      <c r="CZ905" s="58"/>
      <c r="DA905" s="28"/>
      <c r="DB905" s="58"/>
      <c r="DC905" s="28"/>
      <c r="DD905" s="58"/>
      <c r="DE905" s="28"/>
      <c r="DF905" s="58"/>
      <c r="DG905" s="28"/>
      <c r="DH905" s="58"/>
      <c r="DI905" s="28"/>
      <c r="DJ905" s="58"/>
      <c r="DK905" s="28"/>
      <c r="DL905" s="58"/>
      <c r="DM905" s="28"/>
      <c r="DN905" s="58"/>
      <c r="DO905" s="28"/>
      <c r="DP905" s="58"/>
      <c r="DQ905" s="28"/>
      <c r="DR905" s="58"/>
      <c r="DS905" s="28"/>
      <c r="DT905" s="58"/>
      <c r="DU905" s="28"/>
      <c r="DV905" s="58"/>
      <c r="DW905" s="46">
        <v>2</v>
      </c>
      <c r="DX905" s="58"/>
      <c r="DY905" s="46">
        <v>2</v>
      </c>
      <c r="DZ905" s="58"/>
      <c r="EA905" s="46">
        <v>2</v>
      </c>
      <c r="EB905" s="58"/>
      <c r="EC905" s="46">
        <v>2</v>
      </c>
      <c r="ED905" s="58"/>
      <c r="EE905" s="46">
        <v>2</v>
      </c>
      <c r="EF905" s="58"/>
      <c r="EG905" s="46">
        <v>2</v>
      </c>
      <c r="EH905" s="58"/>
      <c r="EI905" s="46">
        <v>2</v>
      </c>
      <c r="EJ905" s="58"/>
      <c r="EK905" s="46">
        <v>2</v>
      </c>
      <c r="EL905" s="58"/>
      <c r="EM905" s="46">
        <v>2</v>
      </c>
      <c r="EN905" s="58"/>
      <c r="EO905" s="46">
        <v>2</v>
      </c>
      <c r="EP905" s="58"/>
      <c r="EQ905" s="46">
        <v>2</v>
      </c>
      <c r="ER905" s="58"/>
      <c r="ES905" s="46">
        <v>2</v>
      </c>
      <c r="ET905" s="58"/>
      <c r="EU905" s="46">
        <v>2</v>
      </c>
      <c r="EV905" s="58"/>
      <c r="EW905" s="46">
        <v>2</v>
      </c>
      <c r="EX905" s="58"/>
      <c r="EY905" s="58"/>
      <c r="EZ905" s="303"/>
      <c r="FA905" s="58"/>
      <c r="FB905" s="59"/>
      <c r="FC905" s="58"/>
      <c r="FD905" s="59"/>
      <c r="FE905" s="58"/>
      <c r="FF905" s="60"/>
      <c r="FG905" s="58"/>
      <c r="FH905" s="60"/>
      <c r="FI905" s="58"/>
      <c r="FJ905" s="60"/>
      <c r="FK905" s="58"/>
      <c r="FL905" s="60"/>
      <c r="FM905" s="58"/>
      <c r="FN905" s="60"/>
      <c r="FO905" s="58"/>
      <c r="FP905" s="59"/>
      <c r="FQ905" s="58"/>
      <c r="FR905" s="59"/>
      <c r="FS905" s="58"/>
      <c r="FT905" s="59"/>
      <c r="FU905" s="58"/>
      <c r="FV905" s="59"/>
      <c r="FW905" s="45"/>
      <c r="FX905" s="45"/>
      <c r="FY905" s="45"/>
      <c r="FZ905" s="45"/>
      <c r="GA905" s="45"/>
      <c r="GB905" s="210"/>
      <c r="GC905" s="45"/>
      <c r="GD905" s="210"/>
      <c r="GE905" s="45"/>
      <c r="GF905" s="210"/>
      <c r="GG905" s="792"/>
      <c r="GH905" s="210"/>
      <c r="GI905" s="792"/>
      <c r="GJ905" s="210"/>
      <c r="GK905" s="792"/>
      <c r="GL905" s="210">
        <f>GJ905</f>
        <v>0</v>
      </c>
      <c r="GM905" s="792"/>
      <c r="GN905" s="210">
        <f>GL905</f>
        <v>0</v>
      </c>
      <c r="GO905" s="792"/>
      <c r="GP905" s="210">
        <f>GN905</f>
        <v>0</v>
      </c>
      <c r="GQ905" s="792"/>
      <c r="GR905" s="46">
        <f>GP905</f>
        <v>0</v>
      </c>
      <c r="GS905" s="792"/>
      <c r="GT905" s="46">
        <f>GR905</f>
        <v>0</v>
      </c>
      <c r="GU905" s="792"/>
      <c r="GV905" s="46">
        <f>GT905</f>
        <v>0</v>
      </c>
      <c r="GW905" s="792"/>
      <c r="GX905" s="46">
        <f>GV905</f>
        <v>0</v>
      </c>
      <c r="GY905" s="792"/>
      <c r="GZ905" s="45"/>
      <c r="HA905" s="45"/>
      <c r="HB905" s="242"/>
      <c r="HC905"/>
      <c r="HD905"/>
      <c r="HE905"/>
      <c r="HF905"/>
      <c r="HG905"/>
      <c r="HH905"/>
      <c r="HI905" s="2"/>
    </row>
    <row r="906" spans="2:217" s="22" customFormat="1" ht="12.75" hidden="1" customHeight="1" outlineLevel="1" x14ac:dyDescent="0.2">
      <c r="B906" s="24"/>
      <c r="D906" s="32"/>
      <c r="F906" s="32"/>
      <c r="H906" s="32"/>
      <c r="J906" s="32"/>
      <c r="L906" s="32"/>
      <c r="N906" s="32"/>
      <c r="P906" s="32"/>
      <c r="R906" s="32"/>
      <c r="T906" s="32"/>
      <c r="V906" s="32"/>
      <c r="X906" s="32"/>
      <c r="Z906" s="32"/>
      <c r="AB906" s="32"/>
      <c r="AD906" s="32"/>
      <c r="AF906" s="32"/>
      <c r="AH906" s="32"/>
      <c r="AJ906" s="32"/>
      <c r="AL906" s="32"/>
      <c r="AN906" s="32"/>
      <c r="AP906" s="32"/>
      <c r="AR906" s="32"/>
      <c r="AT906" s="32"/>
      <c r="AV906" s="32"/>
      <c r="AX906" s="32"/>
      <c r="AY906" s="28"/>
      <c r="AZ906" s="29"/>
      <c r="BA906" s="28"/>
      <c r="BB906" s="29"/>
      <c r="BC906" s="28"/>
      <c r="BD906" s="29"/>
      <c r="BE906" s="28"/>
      <c r="BF906" s="29"/>
      <c r="BG906" s="28"/>
      <c r="BH906" s="36"/>
      <c r="BI906" s="28"/>
      <c r="BJ906" s="36"/>
      <c r="BK906" s="28"/>
      <c r="BL906" s="36"/>
      <c r="BM906" s="28"/>
      <c r="BN906" s="36"/>
      <c r="BO906" s="28"/>
      <c r="BP906" s="36"/>
      <c r="BQ906" s="28"/>
      <c r="BR906" s="28"/>
      <c r="BS906" s="28"/>
      <c r="BT906" s="47"/>
      <c r="BU906" s="28"/>
      <c r="BV906" s="36"/>
      <c r="BW906" s="28"/>
      <c r="BX906" s="36"/>
      <c r="BY906" s="28"/>
      <c r="BZ906" s="36"/>
      <c r="CA906" s="28"/>
      <c r="CB906" s="36"/>
      <c r="CC906" s="28"/>
      <c r="CD906" s="36"/>
      <c r="CE906" s="28"/>
      <c r="CF906" s="36"/>
      <c r="CG906" s="28"/>
      <c r="CH906" s="36"/>
      <c r="CI906" s="28"/>
      <c r="CJ906" s="36"/>
      <c r="CK906" s="28"/>
      <c r="CL906" s="36"/>
      <c r="CM906" s="28"/>
      <c r="CN906" s="36"/>
      <c r="CO906" s="28"/>
      <c r="CP906" s="36"/>
      <c r="CQ906" s="28"/>
      <c r="CR906" s="36"/>
      <c r="CS906" s="28"/>
      <c r="CT906" s="36"/>
      <c r="CU906" s="28"/>
      <c r="CV906" s="36"/>
      <c r="CW906" s="28"/>
      <c r="CX906" s="36"/>
      <c r="CY906" s="28"/>
      <c r="CZ906" s="36"/>
      <c r="DA906" s="28"/>
      <c r="DB906" s="36"/>
      <c r="DC906" s="28"/>
      <c r="DD906" s="36"/>
      <c r="DE906" s="28"/>
      <c r="DF906" s="36"/>
      <c r="DG906" s="28"/>
      <c r="DH906" s="36"/>
      <c r="DI906" s="28"/>
      <c r="DJ906" s="36"/>
      <c r="DK906" s="28"/>
      <c r="DL906" s="36"/>
      <c r="DM906" s="28"/>
      <c r="DN906" s="36"/>
      <c r="DO906" s="28"/>
      <c r="DP906" s="36"/>
      <c r="DQ906" s="28"/>
      <c r="DR906" s="36"/>
      <c r="DS906" s="28"/>
      <c r="DT906" s="36"/>
      <c r="DU906" s="28"/>
      <c r="DV906" s="36"/>
      <c r="DW906" s="48"/>
      <c r="DX906" s="36"/>
      <c r="DY906" s="48"/>
      <c r="DZ906" s="36"/>
      <c r="EA906" s="48"/>
      <c r="EB906" s="36"/>
      <c r="EC906" s="48"/>
      <c r="ED906" s="36"/>
      <c r="EE906" s="48"/>
      <c r="EF906" s="36"/>
      <c r="EG906" s="48"/>
      <c r="EH906" s="36"/>
      <c r="EI906" s="48"/>
      <c r="EJ906" s="36"/>
      <c r="EK906" s="48"/>
      <c r="EL906" s="36"/>
      <c r="EM906" s="48"/>
      <c r="EN906" s="36"/>
      <c r="EO906" s="48"/>
      <c r="EP906" s="36"/>
      <c r="EQ906" s="48"/>
      <c r="ER906" s="36"/>
      <c r="ES906" s="48"/>
      <c r="ET906" s="36"/>
      <c r="EU906" s="48"/>
      <c r="EV906" s="36"/>
      <c r="EW906" s="48"/>
      <c r="EX906" s="36"/>
      <c r="EY906" s="36"/>
      <c r="EZ906" s="302"/>
      <c r="FA906" s="36"/>
      <c r="FB906" s="49"/>
      <c r="FC906" s="36"/>
      <c r="FD906" s="49"/>
      <c r="FE906" s="36"/>
      <c r="FF906" s="50"/>
      <c r="FG906" s="36"/>
      <c r="FH906" s="50"/>
      <c r="FI906" s="36"/>
      <c r="FJ906" s="50"/>
      <c r="FK906" s="36"/>
      <c r="FL906" s="50"/>
      <c r="FM906" s="36"/>
      <c r="FN906" s="50"/>
      <c r="FO906" s="36"/>
      <c r="FP906" s="49"/>
      <c r="FQ906" s="36"/>
      <c r="FR906" s="49"/>
      <c r="FS906" s="36"/>
      <c r="FT906" s="49"/>
      <c r="FU906" s="36"/>
      <c r="FV906" s="49"/>
      <c r="FW906" s="36"/>
      <c r="FX906" s="49"/>
      <c r="FY906" s="36"/>
      <c r="FZ906" s="49"/>
      <c r="GA906" s="36"/>
      <c r="GB906" s="49"/>
      <c r="GC906" s="36"/>
      <c r="GD906" s="49"/>
      <c r="GE906" s="36"/>
      <c r="GF906" s="49"/>
      <c r="GG906" s="36"/>
      <c r="GH906" s="49"/>
      <c r="GI906" s="36"/>
      <c r="GJ906" s="49"/>
      <c r="GK906" s="36"/>
      <c r="GL906" s="49"/>
      <c r="GM906" s="36"/>
      <c r="GN906" s="49"/>
      <c r="GO906" s="36"/>
      <c r="GP906" s="49"/>
      <c r="GQ906" s="36"/>
      <c r="GR906" s="49"/>
      <c r="GS906" s="36"/>
      <c r="GT906" s="49"/>
      <c r="GU906" s="36"/>
      <c r="GV906" s="49"/>
      <c r="GW906" s="36"/>
      <c r="GX906" s="49"/>
      <c r="GY906" s="36"/>
      <c r="GZ906" s="36"/>
      <c r="HA906" s="36"/>
      <c r="HB906" s="155"/>
      <c r="HC906"/>
      <c r="HD906"/>
      <c r="HE906"/>
      <c r="HF906"/>
      <c r="HG906"/>
      <c r="HH906"/>
      <c r="HI906" s="2"/>
    </row>
    <row r="907" spans="2:217" s="22" customFormat="1" ht="12.75" hidden="1" customHeight="1" outlineLevel="1" x14ac:dyDescent="0.2">
      <c r="B907" s="56" t="s">
        <v>492</v>
      </c>
      <c r="D907" s="32"/>
      <c r="F907" s="32"/>
      <c r="H907" s="32"/>
      <c r="J907" s="32"/>
      <c r="L907" s="32"/>
      <c r="N907" s="32"/>
      <c r="P907" s="32"/>
      <c r="R907" s="32"/>
      <c r="T907" s="32"/>
      <c r="V907" s="32"/>
      <c r="X907" s="32"/>
      <c r="Z907" s="32"/>
      <c r="AB907" s="32"/>
      <c r="AD907" s="32"/>
      <c r="AF907" s="32"/>
      <c r="AH907" s="32"/>
      <c r="AJ907" s="32"/>
      <c r="AL907" s="32"/>
      <c r="AN907" s="32"/>
      <c r="AP907" s="32"/>
      <c r="AR907" s="32"/>
      <c r="AT907" s="32"/>
      <c r="AV907" s="32"/>
      <c r="AX907" s="32"/>
      <c r="AY907" s="28"/>
      <c r="AZ907" s="29"/>
      <c r="BA907" s="28"/>
      <c r="BB907" s="29"/>
      <c r="BC907" s="28"/>
      <c r="BD907" s="29"/>
      <c r="BE907" s="28"/>
      <c r="BF907" s="29"/>
      <c r="BG907" s="28"/>
      <c r="BH907" s="36"/>
      <c r="BI907" s="28"/>
      <c r="BJ907" s="36"/>
      <c r="BK907" s="28"/>
      <c r="BL907" s="36"/>
      <c r="BM907" s="28"/>
      <c r="BN907" s="36"/>
      <c r="BO907" s="28"/>
      <c r="BP907" s="36"/>
      <c r="BQ907" s="28"/>
      <c r="BR907" s="28"/>
      <c r="BS907" s="28"/>
      <c r="BT907" s="47"/>
      <c r="BU907" s="28"/>
      <c r="BV907" s="36"/>
      <c r="BW907" s="28"/>
      <c r="BX907" s="36"/>
      <c r="BY907" s="28"/>
      <c r="BZ907" s="36"/>
      <c r="CA907" s="28"/>
      <c r="CB907" s="36"/>
      <c r="CC907" s="28"/>
      <c r="CD907" s="36"/>
      <c r="CE907" s="28"/>
      <c r="CF907" s="36"/>
      <c r="CG907" s="28"/>
      <c r="CH907" s="36"/>
      <c r="CI907" s="28"/>
      <c r="CJ907" s="36"/>
      <c r="CK907" s="28"/>
      <c r="CL907" s="36"/>
      <c r="CM907" s="28"/>
      <c r="CN907" s="36"/>
      <c r="CO907" s="28"/>
      <c r="CP907" s="36"/>
      <c r="CQ907" s="28"/>
      <c r="CR907" s="36"/>
      <c r="CS907" s="28"/>
      <c r="CT907" s="36"/>
      <c r="CU907" s="28"/>
      <c r="CV907" s="36"/>
      <c r="CW907" s="28"/>
      <c r="CX907" s="36"/>
      <c r="CY907" s="28"/>
      <c r="CZ907" s="36"/>
      <c r="DA907" s="28"/>
      <c r="DB907" s="36"/>
      <c r="DC907" s="28"/>
      <c r="DD907" s="36"/>
      <c r="DE907" s="28"/>
      <c r="DF907" s="36"/>
      <c r="DG907" s="28"/>
      <c r="DH907" s="36"/>
      <c r="DI907" s="28"/>
      <c r="DJ907" s="36"/>
      <c r="DK907" s="28"/>
      <c r="DL907" s="36"/>
      <c r="DM907" s="28"/>
      <c r="DN907" s="36"/>
      <c r="DO907" s="28"/>
      <c r="DP907" s="36"/>
      <c r="DQ907" s="28"/>
      <c r="DR907" s="36"/>
      <c r="DS907" s="28"/>
      <c r="DT907" s="36"/>
      <c r="DU907" s="28"/>
      <c r="DV907" s="36"/>
      <c r="DW907" s="48"/>
      <c r="DX907" s="36"/>
      <c r="DY907" s="48"/>
      <c r="DZ907" s="36"/>
      <c r="EA907" s="48"/>
      <c r="EB907" s="36"/>
      <c r="EC907" s="48"/>
      <c r="ED907" s="36"/>
      <c r="EE907" s="48"/>
      <c r="EF907" s="36"/>
      <c r="EG907" s="48"/>
      <c r="EH907" s="36"/>
      <c r="EI907" s="48"/>
      <c r="EJ907" s="36"/>
      <c r="EK907" s="48"/>
      <c r="EL907" s="36"/>
      <c r="EM907" s="48"/>
      <c r="EN907" s="36"/>
      <c r="EO907" s="48"/>
      <c r="EP907" s="36"/>
      <c r="EQ907" s="48"/>
      <c r="ER907" s="36"/>
      <c r="ES907" s="48"/>
      <c r="ET907" s="36"/>
      <c r="EU907" s="48"/>
      <c r="EV907" s="36"/>
      <c r="EW907" s="48"/>
      <c r="EX907" s="36"/>
      <c r="EY907" s="36"/>
      <c r="EZ907" s="302"/>
      <c r="FA907" s="36"/>
      <c r="FB907" s="49"/>
      <c r="FC907" s="36"/>
      <c r="FD907" s="49"/>
      <c r="FE907" s="36"/>
      <c r="FF907" s="50"/>
      <c r="FG907" s="36"/>
      <c r="FH907" s="50"/>
      <c r="FI907" s="36"/>
      <c r="FJ907" s="50"/>
      <c r="FK907" s="36"/>
      <c r="FL907" s="50"/>
      <c r="FM907" s="36"/>
      <c r="FN907" s="50"/>
      <c r="FO907" s="36"/>
      <c r="FP907" s="49"/>
      <c r="FQ907" s="36"/>
      <c r="FR907" s="49"/>
      <c r="FS907" s="36"/>
      <c r="FT907" s="49"/>
      <c r="FU907" s="36"/>
      <c r="FV907" s="49"/>
      <c r="FW907" s="36"/>
      <c r="FX907" s="49"/>
      <c r="FY907" s="36"/>
      <c r="FZ907" s="49"/>
      <c r="GA907" s="36"/>
      <c r="GB907" s="49"/>
      <c r="GC907" s="36"/>
      <c r="GD907" s="49"/>
      <c r="GE907" s="36"/>
      <c r="GF907" s="49"/>
      <c r="GG907" s="36"/>
      <c r="GH907" s="49"/>
      <c r="GI907" s="36"/>
      <c r="GJ907" s="49"/>
      <c r="GK907" s="36"/>
      <c r="GL907" s="49"/>
      <c r="GM907" s="36"/>
      <c r="GN907" s="49"/>
      <c r="GO907" s="36"/>
      <c r="GP907" s="49"/>
      <c r="GQ907" s="36"/>
      <c r="GR907" s="49"/>
      <c r="GS907" s="36"/>
      <c r="GT907" s="49"/>
      <c r="GU907" s="36"/>
      <c r="GV907" s="49"/>
      <c r="GW907" s="36"/>
      <c r="GX907" s="49"/>
      <c r="GY907" s="36"/>
      <c r="GZ907" s="36"/>
      <c r="HA907" s="36"/>
      <c r="HB907" s="155"/>
      <c r="HC907"/>
      <c r="HD907"/>
      <c r="HE907"/>
      <c r="HF907"/>
      <c r="HG907"/>
      <c r="HH907"/>
      <c r="HI907" s="2"/>
    </row>
    <row r="908" spans="2:217" s="22" customFormat="1" ht="12.75" hidden="1" customHeight="1" outlineLevel="1" x14ac:dyDescent="0.2">
      <c r="B908" s="56" t="s">
        <v>534</v>
      </c>
      <c r="D908" s="32"/>
      <c r="F908" s="32"/>
      <c r="H908" s="32"/>
      <c r="J908" s="32"/>
      <c r="L908" s="32"/>
      <c r="N908" s="32"/>
      <c r="P908" s="32"/>
      <c r="R908" s="32"/>
      <c r="T908" s="32"/>
      <c r="V908" s="32"/>
      <c r="X908" s="32"/>
      <c r="Z908" s="32"/>
      <c r="AB908" s="32"/>
      <c r="AD908" s="32"/>
      <c r="AF908" s="32"/>
      <c r="AH908" s="32"/>
      <c r="AJ908" s="32"/>
      <c r="AL908" s="32"/>
      <c r="AN908" s="32"/>
      <c r="AP908" s="32"/>
      <c r="AR908" s="32"/>
      <c r="AT908" s="32"/>
      <c r="AV908" s="32"/>
      <c r="AX908" s="32"/>
      <c r="AY908" s="28"/>
      <c r="AZ908" s="29"/>
      <c r="BA908" s="28"/>
      <c r="BB908" s="29"/>
      <c r="BC908" s="28"/>
      <c r="BD908" s="29"/>
      <c r="BE908" s="28"/>
      <c r="BF908" s="29"/>
      <c r="BG908" s="28"/>
      <c r="BH908" s="36"/>
      <c r="BI908" s="28"/>
      <c r="BJ908" s="36"/>
      <c r="BK908" s="28"/>
      <c r="BL908" s="36"/>
      <c r="BM908" s="28"/>
      <c r="BN908" s="36"/>
      <c r="BO908" s="28"/>
      <c r="BP908" s="36"/>
      <c r="BQ908" s="28"/>
      <c r="BR908" s="28"/>
      <c r="BS908" s="28"/>
      <c r="BT908" s="47"/>
      <c r="BU908" s="28"/>
      <c r="BV908" s="36"/>
      <c r="BW908" s="28"/>
      <c r="BX908" s="36"/>
      <c r="BY908" s="28"/>
      <c r="BZ908" s="36"/>
      <c r="CA908" s="28"/>
      <c r="CB908" s="36"/>
      <c r="CC908" s="28"/>
      <c r="CD908" s="36"/>
      <c r="CE908" s="28"/>
      <c r="CF908" s="36"/>
      <c r="CG908" s="28"/>
      <c r="CH908" s="36"/>
      <c r="CI908" s="28"/>
      <c r="CJ908" s="36"/>
      <c r="CK908" s="28"/>
      <c r="CL908" s="36"/>
      <c r="CM908" s="28"/>
      <c r="CN908" s="36"/>
      <c r="CO908" s="28"/>
      <c r="CP908" s="36"/>
      <c r="CQ908" s="28"/>
      <c r="CR908" s="36"/>
      <c r="CS908" s="28"/>
      <c r="CT908" s="36"/>
      <c r="CU908" s="28"/>
      <c r="CV908" s="36"/>
      <c r="CW908" s="28"/>
      <c r="CX908" s="36"/>
      <c r="CY908" s="28"/>
      <c r="CZ908" s="36"/>
      <c r="DA908" s="28"/>
      <c r="DB908" s="36"/>
      <c r="DC908" s="28"/>
      <c r="DD908" s="36"/>
      <c r="DE908" s="28"/>
      <c r="DF908" s="36"/>
      <c r="DG908" s="28"/>
      <c r="DH908" s="36"/>
      <c r="DI908" s="28"/>
      <c r="DJ908" s="36"/>
      <c r="DK908" s="28"/>
      <c r="DL908" s="36"/>
      <c r="DM908" s="28"/>
      <c r="DN908" s="36"/>
      <c r="DO908" s="28"/>
      <c r="DP908" s="36"/>
      <c r="DQ908" s="28"/>
      <c r="DR908" s="36"/>
      <c r="DS908" s="28"/>
      <c r="DT908" s="36"/>
      <c r="DU908" s="28"/>
      <c r="DV908" s="36"/>
      <c r="DW908" s="48"/>
      <c r="DX908" s="36"/>
      <c r="DY908" s="48"/>
      <c r="DZ908" s="36"/>
      <c r="EA908" s="48"/>
      <c r="EB908" s="36"/>
      <c r="EC908" s="48"/>
      <c r="ED908" s="36"/>
      <c r="EE908" s="48"/>
      <c r="EF908" s="36"/>
      <c r="EG908" s="48"/>
      <c r="EH908" s="36"/>
      <c r="EI908" s="48"/>
      <c r="EJ908" s="36"/>
      <c r="EK908" s="48"/>
      <c r="EL908" s="36"/>
      <c r="EM908" s="48"/>
      <c r="EN908" s="36"/>
      <c r="EO908" s="48"/>
      <c r="EP908" s="36"/>
      <c r="EQ908" s="48"/>
      <c r="ER908" s="36"/>
      <c r="ES908" s="48"/>
      <c r="ET908" s="36"/>
      <c r="EU908" s="48"/>
      <c r="EV908" s="36"/>
      <c r="EW908" s="48"/>
      <c r="EX908" s="36"/>
      <c r="EY908" s="36"/>
      <c r="EZ908" s="302"/>
      <c r="FA908" s="36"/>
      <c r="FB908" s="49"/>
      <c r="FC908" s="36"/>
      <c r="FD908" s="49"/>
      <c r="FE908" s="36"/>
      <c r="FF908" s="50"/>
      <c r="FG908" s="36"/>
      <c r="FH908" s="50"/>
      <c r="FI908" s="36"/>
      <c r="FJ908" s="50"/>
      <c r="FK908" s="36"/>
      <c r="FL908" s="50"/>
      <c r="FM908" s="36"/>
      <c r="FN908" s="50"/>
      <c r="FO908" s="36"/>
      <c r="FP908" s="49"/>
      <c r="FQ908" s="36"/>
      <c r="FR908" s="49"/>
      <c r="FS908" s="36"/>
      <c r="FT908" s="49"/>
      <c r="FU908" s="36"/>
      <c r="FV908" s="49"/>
      <c r="FW908" s="36"/>
      <c r="FX908" s="49"/>
      <c r="FY908" s="36"/>
      <c r="FZ908" s="49"/>
      <c r="GA908" s="36"/>
      <c r="GB908" s="49"/>
      <c r="GC908" s="36"/>
      <c r="GD908" s="49"/>
      <c r="GE908" s="36"/>
      <c r="GF908" s="49"/>
      <c r="GG908" s="36"/>
      <c r="GH908" s="49"/>
      <c r="GI908" s="36"/>
      <c r="GJ908" s="49"/>
      <c r="GK908" s="36"/>
      <c r="GL908" s="49"/>
      <c r="GM908" s="36"/>
      <c r="GN908" s="49"/>
      <c r="GO908" s="36"/>
      <c r="GP908" s="49"/>
      <c r="GQ908" s="36"/>
      <c r="GR908" s="49"/>
      <c r="GS908" s="36"/>
      <c r="GT908" s="49"/>
      <c r="GU908" s="36"/>
      <c r="GV908" s="49"/>
      <c r="GW908" s="36"/>
      <c r="GX908" s="49"/>
      <c r="GY908" s="36"/>
      <c r="GZ908" s="36"/>
      <c r="HA908" s="36"/>
      <c r="HB908" s="155"/>
      <c r="HC908"/>
      <c r="HD908"/>
      <c r="HE908"/>
      <c r="HF908"/>
      <c r="HG908"/>
      <c r="HH908"/>
      <c r="HI908" s="2"/>
    </row>
    <row r="909" spans="2:217" s="22" customFormat="1" ht="12.75" hidden="1" customHeight="1" outlineLevel="1" x14ac:dyDescent="0.2">
      <c r="B909" s="24" t="s">
        <v>350</v>
      </c>
      <c r="D909" s="32"/>
      <c r="F909" s="32"/>
      <c r="H909" s="32"/>
      <c r="J909" s="32"/>
      <c r="L909" s="32"/>
      <c r="N909" s="32"/>
      <c r="P909" s="32"/>
      <c r="R909" s="32"/>
      <c r="T909" s="32"/>
      <c r="V909" s="32"/>
      <c r="X909" s="32"/>
      <c r="Z909" s="32"/>
      <c r="AB909" s="32"/>
      <c r="AD909" s="32"/>
      <c r="AF909" s="32"/>
      <c r="AH909" s="32"/>
      <c r="AJ909" s="32"/>
      <c r="AL909" s="32"/>
      <c r="AN909" s="32"/>
      <c r="AP909" s="32"/>
      <c r="AR909" s="32"/>
      <c r="AT909" s="32"/>
      <c r="AV909" s="32"/>
      <c r="AX909" s="32"/>
      <c r="AY909" s="28"/>
      <c r="AZ909" s="29"/>
      <c r="BA909" s="28"/>
      <c r="BB909" s="29"/>
      <c r="BC909" s="28"/>
      <c r="BD909" s="29"/>
      <c r="BE909" s="28"/>
      <c r="BF909" s="29"/>
      <c r="BG909" s="28"/>
      <c r="BH909" s="36"/>
      <c r="BI909" s="28"/>
      <c r="BJ909" s="36"/>
      <c r="BK909" s="28"/>
      <c r="BL909" s="36"/>
      <c r="BM909" s="28"/>
      <c r="BN909" s="36"/>
      <c r="BO909" s="28"/>
      <c r="BP909" s="36"/>
      <c r="BQ909" s="28"/>
      <c r="BR909" s="28"/>
      <c r="BS909" s="28"/>
      <c r="BT909" s="47"/>
      <c r="BU909" s="28"/>
      <c r="BV909" s="36"/>
      <c r="BW909" s="28"/>
      <c r="BX909" s="36"/>
      <c r="BY909" s="28"/>
      <c r="BZ909" s="36"/>
      <c r="CA909" s="28"/>
      <c r="CB909" s="36"/>
      <c r="CC909" s="28"/>
      <c r="CD909" s="36"/>
      <c r="CE909" s="28"/>
      <c r="CF909" s="36"/>
      <c r="CG909" s="28"/>
      <c r="CH909" s="36"/>
      <c r="CI909" s="28"/>
      <c r="CJ909" s="36"/>
      <c r="CK909" s="28"/>
      <c r="CL909" s="36"/>
      <c r="CM909" s="28"/>
      <c r="CN909" s="36"/>
      <c r="CO909" s="28"/>
      <c r="CP909" s="36"/>
      <c r="CQ909" s="28"/>
      <c r="CR909" s="36"/>
      <c r="CS909" s="28"/>
      <c r="CT909" s="36"/>
      <c r="CU909" s="28"/>
      <c r="CV909" s="36"/>
      <c r="CW909" s="28"/>
      <c r="CX909" s="36"/>
      <c r="CY909" s="28"/>
      <c r="CZ909" s="36"/>
      <c r="DA909" s="28"/>
      <c r="DB909" s="36"/>
      <c r="DC909" s="28"/>
      <c r="DD909" s="36"/>
      <c r="DE909" s="28"/>
      <c r="DF909" s="36"/>
      <c r="DG909" s="28"/>
      <c r="DH909" s="36"/>
      <c r="DI909" s="28"/>
      <c r="DJ909" s="36"/>
      <c r="DK909" s="28"/>
      <c r="DL909" s="36"/>
      <c r="DM909" s="28"/>
      <c r="DN909" s="36"/>
      <c r="DO909" s="28"/>
      <c r="DP909" s="36"/>
      <c r="DQ909" s="28"/>
      <c r="DR909" s="36"/>
      <c r="DS909" s="28"/>
      <c r="DT909" s="36"/>
      <c r="DU909" s="28"/>
      <c r="DV909" s="36"/>
      <c r="DW909" s="51">
        <f>DW364</f>
        <v>1643</v>
      </c>
      <c r="DX909" s="36"/>
      <c r="DY909" s="51">
        <f>DY364</f>
        <v>1628</v>
      </c>
      <c r="DZ909" s="36"/>
      <c r="EA909" s="51">
        <f>EA364</f>
        <v>1940</v>
      </c>
      <c r="EB909" s="36"/>
      <c r="EC909" s="51">
        <f>EC364</f>
        <v>1818</v>
      </c>
      <c r="ED909" s="36"/>
      <c r="EE909" s="51">
        <f>EE364</f>
        <v>1882</v>
      </c>
      <c r="EF909" s="36"/>
      <c r="EG909" s="51">
        <f>EG364</f>
        <v>1831</v>
      </c>
      <c r="EH909" s="36"/>
      <c r="EI909" s="51">
        <f>EI364</f>
        <v>2116</v>
      </c>
      <c r="EJ909" s="36"/>
      <c r="EK909" s="51">
        <f>EK364</f>
        <v>1933</v>
      </c>
      <c r="EL909" s="36"/>
      <c r="EM909" s="51">
        <f>EM364</f>
        <v>1938</v>
      </c>
      <c r="EN909" s="36"/>
      <c r="EO909" s="51">
        <f>EO364</f>
        <v>1966</v>
      </c>
      <c r="EP909" s="36"/>
      <c r="EQ909" s="51">
        <f>EQ364</f>
        <v>2210.1715315315314</v>
      </c>
      <c r="ER909" s="36"/>
      <c r="ES909" s="51">
        <f>ES364</f>
        <v>2019.0272072072071</v>
      </c>
      <c r="ET909" s="36"/>
      <c r="EU909" s="51">
        <f>EU364</f>
        <v>2024.2497297297298</v>
      </c>
      <c r="EV909" s="36"/>
      <c r="EW909" s="51">
        <f>EW364</f>
        <v>2053.495855855856</v>
      </c>
      <c r="EX909" s="36"/>
      <c r="EY909" s="36"/>
      <c r="EZ909" s="302"/>
      <c r="FA909" s="36"/>
      <c r="FB909" s="49"/>
      <c r="FC909" s="36"/>
      <c r="FD909" s="49"/>
      <c r="FE909" s="36"/>
      <c r="FF909" s="50"/>
      <c r="FG909" s="36"/>
      <c r="FH909" s="50"/>
      <c r="FI909" s="36"/>
      <c r="FJ909" s="50"/>
      <c r="FK909" s="36"/>
      <c r="FL909" s="50"/>
      <c r="FM909" s="36"/>
      <c r="FN909" s="50"/>
      <c r="FO909" s="36"/>
      <c r="FP909" s="49"/>
      <c r="FQ909" s="36"/>
      <c r="FR909" s="49"/>
      <c r="FS909" s="36"/>
      <c r="FT909" s="49"/>
      <c r="FU909" s="36"/>
      <c r="FV909" s="49"/>
      <c r="FW909" s="36"/>
      <c r="FX909" s="48"/>
      <c r="FY909" s="36"/>
      <c r="FZ909" s="48"/>
      <c r="GA909" s="36"/>
      <c r="GB909" s="48"/>
      <c r="GC909" s="36"/>
      <c r="GD909" s="48"/>
      <c r="GE909" s="36"/>
      <c r="GF909" s="48"/>
      <c r="GG909" s="36"/>
      <c r="GH909" s="48"/>
      <c r="GI909" s="36"/>
      <c r="GJ909" s="48"/>
      <c r="GK909" s="36"/>
      <c r="GL909" s="48">
        <f>GL364</f>
        <v>7471</v>
      </c>
      <c r="GM909" s="36"/>
      <c r="GN909" s="48">
        <f>GN364</f>
        <v>7953</v>
      </c>
      <c r="GO909" s="36"/>
      <c r="GP909" s="48">
        <f>GP364</f>
        <v>8306.944324324324</v>
      </c>
      <c r="GQ909" s="36"/>
      <c r="GR909" s="51">
        <f>GR364</f>
        <v>8639.2220972972973</v>
      </c>
      <c r="GS909" s="36"/>
      <c r="GT909" s="51">
        <f>GT364</f>
        <v>8984.7909811891896</v>
      </c>
      <c r="GU909" s="36"/>
      <c r="GV909" s="51">
        <f>GV364</f>
        <v>9344.1826204367571</v>
      </c>
      <c r="GW909" s="36"/>
      <c r="GX909" s="51">
        <f>GX364</f>
        <v>9717.9499252542282</v>
      </c>
      <c r="GY909" s="36"/>
      <c r="GZ909" s="36"/>
      <c r="HA909" s="36"/>
      <c r="HB909" s="155"/>
      <c r="HC909"/>
      <c r="HD909"/>
      <c r="HE909"/>
      <c r="HF909"/>
      <c r="HG909"/>
      <c r="HH909"/>
      <c r="HI909" s="2"/>
    </row>
    <row r="910" spans="2:217" s="22" customFormat="1" ht="12.75" hidden="1" customHeight="1" outlineLevel="1" x14ac:dyDescent="0.2">
      <c r="B910" s="24" t="s">
        <v>615</v>
      </c>
      <c r="D910" s="32"/>
      <c r="F910" s="32"/>
      <c r="H910" s="32"/>
      <c r="J910" s="32"/>
      <c r="L910" s="32"/>
      <c r="N910" s="32"/>
      <c r="P910" s="32"/>
      <c r="R910" s="32"/>
      <c r="T910" s="32"/>
      <c r="V910" s="32"/>
      <c r="X910" s="32"/>
      <c r="Z910" s="32"/>
      <c r="AB910" s="32"/>
      <c r="AD910" s="32"/>
      <c r="AF910" s="32"/>
      <c r="AH910" s="32"/>
      <c r="AJ910" s="32"/>
      <c r="AL910" s="32"/>
      <c r="AN910" s="32"/>
      <c r="AP910" s="32"/>
      <c r="AR910" s="32"/>
      <c r="AT910" s="32"/>
      <c r="AV910" s="32"/>
      <c r="AX910" s="32"/>
      <c r="AY910" s="28"/>
      <c r="AZ910" s="29"/>
      <c r="BA910" s="28"/>
      <c r="BB910" s="29"/>
      <c r="BC910" s="28"/>
      <c r="BD910" s="29"/>
      <c r="BE910" s="28"/>
      <c r="BF910" s="29"/>
      <c r="BG910" s="28"/>
      <c r="BH910" s="36"/>
      <c r="BI910" s="28"/>
      <c r="BJ910" s="36"/>
      <c r="BK910" s="28"/>
      <c r="BL910" s="36"/>
      <c r="BM910" s="28"/>
      <c r="BN910" s="36"/>
      <c r="BO910" s="28"/>
      <c r="BP910" s="58"/>
      <c r="BQ910" s="28"/>
      <c r="BR910" s="28"/>
      <c r="BS910" s="28"/>
      <c r="BT910" s="61"/>
      <c r="BU910" s="28"/>
      <c r="BV910" s="58"/>
      <c r="BW910" s="28"/>
      <c r="BX910" s="58"/>
      <c r="BY910" s="28"/>
      <c r="BZ910" s="58"/>
      <c r="CA910" s="28"/>
      <c r="CB910" s="58"/>
      <c r="CC910" s="28"/>
      <c r="CD910" s="58"/>
      <c r="CE910" s="28"/>
      <c r="CF910" s="58"/>
      <c r="CG910" s="28"/>
      <c r="CH910" s="58"/>
      <c r="CI910" s="28"/>
      <c r="CJ910" s="58"/>
      <c r="CK910" s="28"/>
      <c r="CL910" s="58"/>
      <c r="CM910" s="28"/>
      <c r="CN910" s="58"/>
      <c r="CO910" s="28"/>
      <c r="CP910" s="58"/>
      <c r="CQ910" s="28"/>
      <c r="CR910" s="58"/>
      <c r="CS910" s="28"/>
      <c r="CT910" s="58"/>
      <c r="CU910" s="28"/>
      <c r="CV910" s="58"/>
      <c r="CW910" s="28"/>
      <c r="CX910" s="58"/>
      <c r="CY910" s="28"/>
      <c r="CZ910" s="58"/>
      <c r="DA910" s="28"/>
      <c r="DB910" s="58"/>
      <c r="DC910" s="28"/>
      <c r="DD910" s="58"/>
      <c r="DE910" s="28"/>
      <c r="DF910" s="58"/>
      <c r="DG910" s="28"/>
      <c r="DH910" s="58"/>
      <c r="DI910" s="28"/>
      <c r="DJ910" s="58"/>
      <c r="DK910" s="28"/>
      <c r="DL910" s="58"/>
      <c r="DM910" s="28"/>
      <c r="DN910" s="58"/>
      <c r="DO910" s="28"/>
      <c r="DP910" s="58"/>
      <c r="DQ910" s="28"/>
      <c r="DR910" s="58"/>
      <c r="DS910" s="28"/>
      <c r="DT910" s="58"/>
      <c r="DU910" s="28"/>
      <c r="DV910" s="58"/>
      <c r="DW910" s="53">
        <v>2</v>
      </c>
      <c r="DX910" s="58"/>
      <c r="DY910" s="53">
        <v>2</v>
      </c>
      <c r="DZ910" s="58"/>
      <c r="EA910" s="53">
        <v>2</v>
      </c>
      <c r="EB910" s="58"/>
      <c r="EC910" s="53">
        <v>2</v>
      </c>
      <c r="ED910" s="58"/>
      <c r="EE910" s="53">
        <v>2</v>
      </c>
      <c r="EF910" s="58"/>
      <c r="EG910" s="53">
        <v>2</v>
      </c>
      <c r="EH910" s="58"/>
      <c r="EI910" s="53">
        <v>2</v>
      </c>
      <c r="EJ910" s="58"/>
      <c r="EK910" s="53">
        <v>2</v>
      </c>
      <c r="EL910" s="58"/>
      <c r="EM910" s="53">
        <v>2</v>
      </c>
      <c r="EN910" s="58"/>
      <c r="EO910" s="53">
        <v>2</v>
      </c>
      <c r="EP910" s="58"/>
      <c r="EQ910" s="53">
        <v>2</v>
      </c>
      <c r="ER910" s="58"/>
      <c r="ES910" s="53">
        <v>2</v>
      </c>
      <c r="ET910" s="58"/>
      <c r="EU910" s="53">
        <v>2</v>
      </c>
      <c r="EV910" s="58"/>
      <c r="EW910" s="53">
        <v>2</v>
      </c>
      <c r="EX910" s="58"/>
      <c r="EY910" s="58"/>
      <c r="EZ910" s="303"/>
      <c r="FA910" s="58"/>
      <c r="FB910" s="59"/>
      <c r="FC910" s="58"/>
      <c r="FD910" s="59"/>
      <c r="FE910" s="58"/>
      <c r="FF910" s="60"/>
      <c r="FG910" s="58"/>
      <c r="FH910" s="60"/>
      <c r="FI910" s="58"/>
      <c r="FJ910" s="60"/>
      <c r="FK910" s="58"/>
      <c r="FL910" s="60"/>
      <c r="FM910" s="58"/>
      <c r="FN910" s="60"/>
      <c r="FO910" s="58"/>
      <c r="FP910" s="59"/>
      <c r="FQ910" s="58"/>
      <c r="FR910" s="59"/>
      <c r="FS910" s="58"/>
      <c r="FT910" s="59"/>
      <c r="FU910" s="58"/>
      <c r="FV910" s="59"/>
      <c r="FW910" s="54"/>
      <c r="FX910" s="54"/>
      <c r="FY910" s="54"/>
      <c r="FZ910" s="54"/>
      <c r="GA910" s="54"/>
      <c r="GB910" s="211"/>
      <c r="GC910" s="54"/>
      <c r="GD910" s="211"/>
      <c r="GE910" s="54"/>
      <c r="GF910" s="211"/>
      <c r="GG910" s="793"/>
      <c r="GH910" s="211"/>
      <c r="GI910" s="793"/>
      <c r="GJ910" s="211"/>
      <c r="GK910" s="793"/>
      <c r="GL910" s="211">
        <v>2</v>
      </c>
      <c r="GM910" s="793"/>
      <c r="GN910" s="211">
        <v>2</v>
      </c>
      <c r="GO910" s="793"/>
      <c r="GP910" s="211">
        <v>2</v>
      </c>
      <c r="GQ910" s="793"/>
      <c r="GR910" s="53">
        <v>2</v>
      </c>
      <c r="GS910" s="793"/>
      <c r="GT910" s="53">
        <v>2</v>
      </c>
      <c r="GU910" s="793"/>
      <c r="GV910" s="53">
        <v>2</v>
      </c>
      <c r="GW910" s="793"/>
      <c r="GX910" s="53">
        <v>2</v>
      </c>
      <c r="GY910" s="793"/>
      <c r="GZ910" s="54"/>
      <c r="HA910" s="54"/>
      <c r="HB910" s="243"/>
      <c r="HC910"/>
      <c r="HD910"/>
      <c r="HE910"/>
      <c r="HF910"/>
      <c r="HG910"/>
      <c r="HH910"/>
      <c r="HI910" s="2"/>
    </row>
    <row r="911" spans="2:217" s="22" customFormat="1" ht="12.75" hidden="1" customHeight="1" outlineLevel="1" x14ac:dyDescent="0.2">
      <c r="B911" s="24" t="s">
        <v>617</v>
      </c>
      <c r="D911" s="32"/>
      <c r="F911" s="32"/>
      <c r="H911" s="32"/>
      <c r="J911" s="32"/>
      <c r="L911" s="32"/>
      <c r="N911" s="32"/>
      <c r="P911" s="32"/>
      <c r="R911" s="32"/>
      <c r="T911" s="32"/>
      <c r="V911" s="32"/>
      <c r="X911" s="32"/>
      <c r="Z911" s="32"/>
      <c r="AB911" s="32"/>
      <c r="AD911" s="32"/>
      <c r="AF911" s="32"/>
      <c r="AH911" s="32"/>
      <c r="AJ911" s="32"/>
      <c r="AL911" s="32"/>
      <c r="AN911" s="32"/>
      <c r="AP911" s="32"/>
      <c r="AR911" s="32"/>
      <c r="AT911" s="32"/>
      <c r="AV911" s="32"/>
      <c r="AX911" s="32"/>
      <c r="AY911" s="28"/>
      <c r="AZ911" s="29"/>
      <c r="BA911" s="28"/>
      <c r="BB911" s="29"/>
      <c r="BC911" s="28"/>
      <c r="BD911" s="29"/>
      <c r="BE911" s="28"/>
      <c r="BF911" s="29"/>
      <c r="BG911" s="28"/>
      <c r="BH911" s="36"/>
      <c r="BI911" s="28"/>
      <c r="BJ911" s="36"/>
      <c r="BK911" s="28"/>
      <c r="BL911" s="36"/>
      <c r="BM911" s="28"/>
      <c r="BN911" s="36"/>
      <c r="BO911" s="28"/>
      <c r="BP911" s="58"/>
      <c r="BQ911" s="28"/>
      <c r="BR911" s="28"/>
      <c r="BS911" s="28"/>
      <c r="BT911" s="61"/>
      <c r="BU911" s="28"/>
      <c r="BV911" s="58"/>
      <c r="BW911" s="28"/>
      <c r="BX911" s="58"/>
      <c r="BY911" s="28"/>
      <c r="BZ911" s="58"/>
      <c r="CA911" s="28"/>
      <c r="CB911" s="58"/>
      <c r="CC911" s="28"/>
      <c r="CD911" s="58"/>
      <c r="CE911" s="28"/>
      <c r="CF911" s="58"/>
      <c r="CG911" s="28"/>
      <c r="CH911" s="58"/>
      <c r="CI911" s="28"/>
      <c r="CJ911" s="58"/>
      <c r="CK911" s="28"/>
      <c r="CL911" s="58"/>
      <c r="CM911" s="28"/>
      <c r="CN911" s="58"/>
      <c r="CO911" s="28"/>
      <c r="CP911" s="58"/>
      <c r="CQ911" s="28"/>
      <c r="CR911" s="58"/>
      <c r="CS911" s="28"/>
      <c r="CT911" s="58"/>
      <c r="CU911" s="28"/>
      <c r="CV911" s="58"/>
      <c r="CW911" s="28"/>
      <c r="CX911" s="58"/>
      <c r="CY911" s="28"/>
      <c r="CZ911" s="58"/>
      <c r="DA911" s="28"/>
      <c r="DB911" s="58"/>
      <c r="DC911" s="28"/>
      <c r="DD911" s="58"/>
      <c r="DE911" s="28"/>
      <c r="DF911" s="58"/>
      <c r="DG911" s="28"/>
      <c r="DH911" s="58"/>
      <c r="DI911" s="28"/>
      <c r="DJ911" s="58"/>
      <c r="DK911" s="28"/>
      <c r="DL911" s="58"/>
      <c r="DM911" s="28"/>
      <c r="DN911" s="58"/>
      <c r="DO911" s="28"/>
      <c r="DP911" s="58"/>
      <c r="DQ911" s="28"/>
      <c r="DR911" s="58"/>
      <c r="DS911" s="28"/>
      <c r="DT911" s="58"/>
      <c r="DU911" s="28"/>
      <c r="DV911" s="58"/>
      <c r="DW911" s="55">
        <v>-7</v>
      </c>
      <c r="DX911" s="58"/>
      <c r="DY911" s="55">
        <v>-7</v>
      </c>
      <c r="DZ911" s="58"/>
      <c r="EA911" s="55">
        <v>-7</v>
      </c>
      <c r="EB911" s="58"/>
      <c r="EC911" s="55">
        <v>-7</v>
      </c>
      <c r="ED911" s="58"/>
      <c r="EE911" s="55">
        <v>-7</v>
      </c>
      <c r="EF911" s="58"/>
      <c r="EG911" s="55">
        <v>-7</v>
      </c>
      <c r="EH911" s="58"/>
      <c r="EI911" s="55">
        <v>-7</v>
      </c>
      <c r="EJ911" s="58"/>
      <c r="EK911" s="55">
        <v>-7</v>
      </c>
      <c r="EL911" s="58"/>
      <c r="EM911" s="55">
        <v>-7</v>
      </c>
      <c r="EN911" s="58"/>
      <c r="EO911" s="55">
        <v>-7</v>
      </c>
      <c r="EP911" s="58"/>
      <c r="EQ911" s="55">
        <v>-7</v>
      </c>
      <c r="ER911" s="58"/>
      <c r="ES911" s="55">
        <v>-7</v>
      </c>
      <c r="ET911" s="58"/>
      <c r="EU911" s="55">
        <v>-7</v>
      </c>
      <c r="EV911" s="58"/>
      <c r="EW911" s="55">
        <v>-7</v>
      </c>
      <c r="EX911" s="58"/>
      <c r="EY911" s="58"/>
      <c r="EZ911" s="303"/>
      <c r="FA911" s="58"/>
      <c r="FB911" s="59"/>
      <c r="FC911" s="58"/>
      <c r="FD911" s="59"/>
      <c r="FE911" s="58"/>
      <c r="FF911" s="60"/>
      <c r="FG911" s="58"/>
      <c r="FH911" s="60"/>
      <c r="FI911" s="58"/>
      <c r="FJ911" s="60"/>
      <c r="FK911" s="58"/>
      <c r="FL911" s="60"/>
      <c r="FM911" s="58"/>
      <c r="FN911" s="60"/>
      <c r="FO911" s="58"/>
      <c r="FP911" s="59"/>
      <c r="FQ911" s="58"/>
      <c r="FR911" s="59"/>
      <c r="FS911" s="58"/>
      <c r="FT911" s="59"/>
      <c r="FU911" s="58"/>
      <c r="FV911" s="59"/>
      <c r="FW911" s="54"/>
      <c r="FX911" s="54"/>
      <c r="FY911" s="54"/>
      <c r="FZ911" s="54"/>
      <c r="GA911" s="54"/>
      <c r="GB911" s="211"/>
      <c r="GC911" s="54"/>
      <c r="GD911" s="211"/>
      <c r="GE911" s="54"/>
      <c r="GF911" s="211"/>
      <c r="GG911" s="793"/>
      <c r="GH911" s="211"/>
      <c r="GI911" s="793"/>
      <c r="GJ911" s="211"/>
      <c r="GK911" s="793"/>
      <c r="GL911" s="211">
        <v>-7</v>
      </c>
      <c r="GM911" s="793"/>
      <c r="GN911" s="211">
        <v>-7</v>
      </c>
      <c r="GO911" s="793"/>
      <c r="GP911" s="211">
        <v>-7</v>
      </c>
      <c r="GQ911" s="793"/>
      <c r="GR911" s="55">
        <v>-7</v>
      </c>
      <c r="GS911" s="793"/>
      <c r="GT911" s="55">
        <v>-7</v>
      </c>
      <c r="GU911" s="793"/>
      <c r="GV911" s="55">
        <v>-7</v>
      </c>
      <c r="GW911" s="793"/>
      <c r="GX911" s="55">
        <v>-7</v>
      </c>
      <c r="GY911" s="793"/>
      <c r="GZ911" s="54"/>
      <c r="HA911" s="54"/>
      <c r="HB911" s="243"/>
      <c r="HC911"/>
      <c r="HD911"/>
      <c r="HE911"/>
      <c r="HF911"/>
      <c r="HG911"/>
      <c r="HH911"/>
      <c r="HI911" s="2"/>
    </row>
    <row r="912" spans="2:217" s="22" customFormat="1" ht="12.75" hidden="1" customHeight="1" outlineLevel="1" x14ac:dyDescent="0.2">
      <c r="B912" s="31"/>
      <c r="D912" s="32"/>
      <c r="F912" s="32"/>
      <c r="H912" s="32"/>
      <c r="J912" s="32"/>
      <c r="L912" s="32"/>
      <c r="N912" s="32"/>
      <c r="P912" s="32"/>
      <c r="R912" s="32"/>
      <c r="T912" s="32"/>
      <c r="V912" s="32"/>
      <c r="X912" s="32"/>
      <c r="Z912" s="32"/>
      <c r="AB912" s="32"/>
      <c r="AD912" s="32"/>
      <c r="AF912" s="32"/>
      <c r="AH912" s="32"/>
      <c r="AJ912" s="32"/>
      <c r="AL912" s="32"/>
      <c r="AN912" s="32"/>
      <c r="AP912" s="32"/>
      <c r="AR912" s="32"/>
      <c r="AT912" s="32"/>
      <c r="AV912" s="32"/>
      <c r="AX912" s="32"/>
      <c r="AY912" s="28"/>
      <c r="AZ912" s="29"/>
      <c r="BA912" s="28"/>
      <c r="BB912" s="29"/>
      <c r="BC912" s="28"/>
      <c r="BD912" s="29"/>
      <c r="BE912" s="28"/>
      <c r="BF912" s="29"/>
      <c r="BG912" s="28"/>
      <c r="BH912" s="36"/>
      <c r="BI912" s="28"/>
      <c r="BJ912" s="36"/>
      <c r="BK912" s="28"/>
      <c r="BL912" s="36"/>
      <c r="BM912" s="28"/>
      <c r="BN912" s="36"/>
      <c r="BO912" s="28"/>
      <c r="BP912" s="36"/>
      <c r="BQ912" s="28"/>
      <c r="BR912" s="36"/>
      <c r="BS912" s="28"/>
      <c r="BT912" s="47"/>
      <c r="BU912" s="28"/>
      <c r="BV912" s="36"/>
      <c r="BW912" s="28"/>
      <c r="BX912" s="36"/>
      <c r="BY912" s="28"/>
      <c r="BZ912" s="36"/>
      <c r="CA912" s="28"/>
      <c r="CB912" s="36"/>
      <c r="CC912" s="28"/>
      <c r="CD912" s="36"/>
      <c r="CE912" s="28"/>
      <c r="CF912" s="36"/>
      <c r="CG912" s="28"/>
      <c r="CH912" s="36"/>
      <c r="CI912" s="28"/>
      <c r="CJ912" s="36"/>
      <c r="CK912" s="28"/>
      <c r="CL912" s="36"/>
      <c r="CM912" s="28"/>
      <c r="CN912" s="36"/>
      <c r="CO912" s="28"/>
      <c r="CP912" s="36"/>
      <c r="CQ912" s="28"/>
      <c r="CR912" s="36"/>
      <c r="CS912" s="28"/>
      <c r="CT912" s="36"/>
      <c r="CU912" s="28"/>
      <c r="CV912" s="36"/>
      <c r="CW912" s="28"/>
      <c r="CX912" s="36"/>
      <c r="CY912" s="28"/>
      <c r="CZ912" s="36"/>
      <c r="DA912" s="28"/>
      <c r="DB912" s="36"/>
      <c r="DC912" s="28"/>
      <c r="DD912" s="36"/>
      <c r="DE912" s="28"/>
      <c r="DF912" s="36"/>
      <c r="DG912" s="28"/>
      <c r="DH912" s="36"/>
      <c r="DI912" s="28"/>
      <c r="DJ912" s="36"/>
      <c r="DK912" s="28"/>
      <c r="DL912" s="36"/>
      <c r="DM912" s="28"/>
      <c r="DN912" s="36"/>
      <c r="DO912" s="28"/>
      <c r="DP912" s="36"/>
      <c r="DQ912" s="28"/>
      <c r="DR912" s="36"/>
      <c r="DS912" s="28"/>
      <c r="DT912" s="36"/>
      <c r="DU912" s="28"/>
      <c r="DV912" s="36"/>
      <c r="DW912" s="48"/>
      <c r="DX912" s="36"/>
      <c r="DY912" s="48"/>
      <c r="DZ912" s="36"/>
      <c r="EA912" s="48"/>
      <c r="EB912" s="36"/>
      <c r="EC912" s="48"/>
      <c r="ED912" s="36"/>
      <c r="EE912" s="48"/>
      <c r="EF912" s="36"/>
      <c r="EG912" s="48"/>
      <c r="EH912" s="36"/>
      <c r="EI912" s="48"/>
      <c r="EJ912" s="36"/>
      <c r="EK912" s="48"/>
      <c r="EL912" s="36"/>
      <c r="EM912" s="48"/>
      <c r="EN912" s="36"/>
      <c r="EO912" s="48"/>
      <c r="EP912" s="36"/>
      <c r="EQ912" s="48"/>
      <c r="ER912" s="36"/>
      <c r="ES912" s="48"/>
      <c r="ET912" s="36"/>
      <c r="EU912" s="48"/>
      <c r="EV912" s="36"/>
      <c r="EW912" s="48"/>
      <c r="EX912" s="36"/>
      <c r="EY912" s="36"/>
      <c r="EZ912" s="302"/>
      <c r="FA912" s="36"/>
      <c r="FB912" s="49"/>
      <c r="FC912" s="36"/>
      <c r="FD912" s="49"/>
      <c r="FE912" s="36"/>
      <c r="FF912" s="50"/>
      <c r="FG912" s="36"/>
      <c r="FH912" s="50"/>
      <c r="FI912" s="36"/>
      <c r="FJ912" s="50"/>
      <c r="FK912" s="36"/>
      <c r="FL912" s="50"/>
      <c r="FM912" s="36"/>
      <c r="FN912" s="50"/>
      <c r="FO912" s="36"/>
      <c r="FP912" s="49"/>
      <c r="FQ912" s="36"/>
      <c r="FR912" s="49"/>
      <c r="FS912" s="36"/>
      <c r="FT912" s="49"/>
      <c r="FU912" s="36"/>
      <c r="FV912" s="49"/>
      <c r="FW912" s="36"/>
      <c r="FX912" s="49"/>
      <c r="FY912" s="36"/>
      <c r="FZ912" s="49"/>
      <c r="GA912" s="36"/>
      <c r="GB912" s="49"/>
      <c r="GC912" s="36"/>
      <c r="GD912" s="49"/>
      <c r="GE912" s="36"/>
      <c r="GF912" s="49"/>
      <c r="GG912" s="36"/>
      <c r="GH912" s="49"/>
      <c r="GI912" s="36"/>
      <c r="GJ912" s="49"/>
      <c r="GK912" s="36"/>
      <c r="GL912" s="49"/>
      <c r="GM912" s="36"/>
      <c r="GN912" s="49"/>
      <c r="GO912" s="36"/>
      <c r="GP912" s="49"/>
      <c r="GQ912" s="36"/>
      <c r="GR912" s="49"/>
      <c r="GS912" s="36"/>
      <c r="GT912" s="49"/>
      <c r="GU912" s="36"/>
      <c r="GV912" s="49"/>
      <c r="GW912" s="36"/>
      <c r="GX912" s="49"/>
      <c r="GY912" s="36"/>
      <c r="GZ912" s="36"/>
      <c r="HA912" s="36"/>
      <c r="HB912" s="155"/>
      <c r="HC912"/>
      <c r="HD912"/>
      <c r="HE912"/>
      <c r="HF912"/>
      <c r="HG912"/>
      <c r="HH912"/>
      <c r="HI912" s="2"/>
    </row>
    <row r="913" spans="2:217" s="22" customFormat="1" ht="12.75" hidden="1" customHeight="1" outlineLevel="1" x14ac:dyDescent="0.2">
      <c r="B913" s="56" t="s">
        <v>277</v>
      </c>
      <c r="D913" s="32"/>
      <c r="F913" s="32"/>
      <c r="H913" s="32"/>
      <c r="J913" s="32"/>
      <c r="L913" s="32"/>
      <c r="N913" s="32"/>
      <c r="P913" s="32"/>
      <c r="R913" s="32"/>
      <c r="T913" s="32"/>
      <c r="V913" s="32"/>
      <c r="X913" s="32"/>
      <c r="Z913" s="32"/>
      <c r="AB913" s="32"/>
      <c r="AD913" s="32"/>
      <c r="AF913" s="32"/>
      <c r="AH913" s="32"/>
      <c r="AJ913" s="32"/>
      <c r="AL913" s="32"/>
      <c r="AN913" s="32"/>
      <c r="AP913" s="32"/>
      <c r="AR913" s="32"/>
      <c r="AT913" s="32"/>
      <c r="AV913" s="32"/>
      <c r="AX913" s="32"/>
      <c r="AY913" s="28"/>
      <c r="AZ913" s="29"/>
      <c r="BA913" s="28"/>
      <c r="BB913" s="29"/>
      <c r="BC913" s="28"/>
      <c r="BD913" s="29"/>
      <c r="BE913" s="28"/>
      <c r="BF913" s="29"/>
      <c r="BG913" s="28"/>
      <c r="BH913" s="36"/>
      <c r="BI913" s="28"/>
      <c r="BJ913" s="36"/>
      <c r="BK913" s="28"/>
      <c r="BL913" s="36"/>
      <c r="BM913" s="28"/>
      <c r="BN913" s="36"/>
      <c r="BO913" s="28"/>
      <c r="BP913" s="36"/>
      <c r="BQ913" s="28"/>
      <c r="BR913" s="36"/>
      <c r="BS913" s="28"/>
      <c r="BT913" s="47"/>
      <c r="BU913" s="28"/>
      <c r="BV913" s="36"/>
      <c r="BW913" s="28"/>
      <c r="BX913" s="36"/>
      <c r="BY913" s="28"/>
      <c r="BZ913" s="36"/>
      <c r="CA913" s="28"/>
      <c r="CB913" s="36"/>
      <c r="CC913" s="28"/>
      <c r="CD913" s="36"/>
      <c r="CE913" s="28"/>
      <c r="CF913" s="36"/>
      <c r="CG913" s="28"/>
      <c r="CH913" s="36"/>
      <c r="CI913" s="28"/>
      <c r="CJ913" s="36"/>
      <c r="CK913" s="28"/>
      <c r="CL913" s="36"/>
      <c r="CM913" s="28"/>
      <c r="CN913" s="36"/>
      <c r="CO913" s="28"/>
      <c r="CP913" s="36"/>
      <c r="CQ913" s="28"/>
      <c r="CR913" s="36"/>
      <c r="CS913" s="28"/>
      <c r="CT913" s="36"/>
      <c r="CU913" s="28"/>
      <c r="CV913" s="36"/>
      <c r="CW913" s="28"/>
      <c r="CX913" s="36"/>
      <c r="CY913" s="28"/>
      <c r="CZ913" s="36"/>
      <c r="DA913" s="28"/>
      <c r="DB913" s="36"/>
      <c r="DC913" s="28"/>
      <c r="DD913" s="36"/>
      <c r="DE913" s="28"/>
      <c r="DF913" s="36"/>
      <c r="DG913" s="28"/>
      <c r="DH913" s="36"/>
      <c r="DI913" s="28"/>
      <c r="DJ913" s="36"/>
      <c r="DK913" s="28"/>
      <c r="DL913" s="36"/>
      <c r="DM913" s="28"/>
      <c r="DN913" s="36"/>
      <c r="DO913" s="28"/>
      <c r="DP913" s="36"/>
      <c r="DQ913" s="28"/>
      <c r="DR913" s="36"/>
      <c r="DS913" s="28"/>
      <c r="DT913" s="36"/>
      <c r="DU913" s="28"/>
      <c r="DV913" s="36"/>
      <c r="DW913" s="48"/>
      <c r="DX913" s="36"/>
      <c r="DY913" s="48"/>
      <c r="DZ913" s="36"/>
      <c r="EA913" s="48"/>
      <c r="EB913" s="36"/>
      <c r="EC913" s="48"/>
      <c r="ED913" s="36"/>
      <c r="EE913" s="48"/>
      <c r="EF913" s="36"/>
      <c r="EG913" s="48"/>
      <c r="EH913" s="36"/>
      <c r="EI913" s="48"/>
      <c r="EJ913" s="36"/>
      <c r="EK913" s="48"/>
      <c r="EL913" s="36"/>
      <c r="EM913" s="48"/>
      <c r="EN913" s="36"/>
      <c r="EO913" s="48"/>
      <c r="EP913" s="36"/>
      <c r="EQ913" s="48"/>
      <c r="ER913" s="36"/>
      <c r="ES913" s="48"/>
      <c r="ET913" s="36"/>
      <c r="EU913" s="48"/>
      <c r="EV913" s="36"/>
      <c r="EW913" s="48"/>
      <c r="EX913" s="36"/>
      <c r="EY913" s="36"/>
      <c r="EZ913" s="302"/>
      <c r="FA913" s="36"/>
      <c r="FB913" s="49"/>
      <c r="FC913" s="36"/>
      <c r="FD913" s="49"/>
      <c r="FE913" s="36"/>
      <c r="FF913" s="50"/>
      <c r="FG913" s="36"/>
      <c r="FH913" s="50"/>
      <c r="FI913" s="36"/>
      <c r="FJ913" s="50"/>
      <c r="FK913" s="36"/>
      <c r="FL913" s="50"/>
      <c r="FM913" s="36"/>
      <c r="FN913" s="50"/>
      <c r="FO913" s="36"/>
      <c r="FP913" s="49"/>
      <c r="FQ913" s="36"/>
      <c r="FR913" s="49"/>
      <c r="FS913" s="36"/>
      <c r="FT913" s="49"/>
      <c r="FU913" s="36"/>
      <c r="FV913" s="49"/>
      <c r="FW913" s="36"/>
      <c r="FX913" s="49"/>
      <c r="FY913" s="36"/>
      <c r="FZ913" s="49"/>
      <c r="GA913" s="36"/>
      <c r="GB913" s="49"/>
      <c r="GC913" s="36"/>
      <c r="GD913" s="49"/>
      <c r="GE913" s="36"/>
      <c r="GF913" s="49"/>
      <c r="GG913" s="36"/>
      <c r="GH913" s="49"/>
      <c r="GI913" s="36"/>
      <c r="GJ913" s="49"/>
      <c r="GK913" s="36"/>
      <c r="GL913" s="49"/>
      <c r="GM913" s="36"/>
      <c r="GN913" s="49"/>
      <c r="GO913" s="36"/>
      <c r="GP913" s="49"/>
      <c r="GQ913" s="36"/>
      <c r="GR913" s="49"/>
      <c r="GS913" s="36"/>
      <c r="GT913" s="49"/>
      <c r="GU913" s="36"/>
      <c r="GV913" s="49"/>
      <c r="GW913" s="36"/>
      <c r="GX913" s="49"/>
      <c r="GY913" s="36"/>
      <c r="GZ913" s="36"/>
      <c r="HA913" s="36"/>
      <c r="HB913" s="155"/>
      <c r="HC913"/>
      <c r="HD913"/>
      <c r="HE913"/>
      <c r="HF913"/>
      <c r="HG913"/>
      <c r="HH913"/>
      <c r="HI913" s="2"/>
    </row>
    <row r="914" spans="2:217" s="22" customFormat="1" ht="12.75" hidden="1" customHeight="1" outlineLevel="1" x14ac:dyDescent="0.2">
      <c r="B914" s="56" t="s">
        <v>534</v>
      </c>
      <c r="D914" s="32"/>
      <c r="F914" s="32"/>
      <c r="H914" s="32"/>
      <c r="J914" s="32"/>
      <c r="L914" s="32"/>
      <c r="N914" s="32"/>
      <c r="P914" s="32"/>
      <c r="R914" s="32"/>
      <c r="T914" s="32"/>
      <c r="V914" s="32"/>
      <c r="X914" s="32"/>
      <c r="Z914" s="32"/>
      <c r="AB914" s="32"/>
      <c r="AD914" s="32"/>
      <c r="AF914" s="32"/>
      <c r="AH914" s="32"/>
      <c r="AJ914" s="32"/>
      <c r="AL914" s="32"/>
      <c r="AN914" s="32"/>
      <c r="AP914" s="32"/>
      <c r="AR914" s="32"/>
      <c r="AT914" s="32"/>
      <c r="AV914" s="32"/>
      <c r="AX914" s="32"/>
      <c r="AY914" s="28"/>
      <c r="AZ914" s="29"/>
      <c r="BA914" s="28"/>
      <c r="BB914" s="29"/>
      <c r="BC914" s="28"/>
      <c r="BD914" s="29"/>
      <c r="BE914" s="28"/>
      <c r="BF914" s="29"/>
      <c r="BG914" s="28"/>
      <c r="BH914" s="36"/>
      <c r="BI914" s="28"/>
      <c r="BJ914" s="36"/>
      <c r="BK914" s="28"/>
      <c r="BL914" s="36"/>
      <c r="BM914" s="28"/>
      <c r="BN914" s="36"/>
      <c r="BO914" s="28"/>
      <c r="BP914" s="36"/>
      <c r="BQ914" s="28"/>
      <c r="BR914" s="36"/>
      <c r="BS914" s="28"/>
      <c r="BT914" s="47"/>
      <c r="BU914" s="28"/>
      <c r="BV914" s="36"/>
      <c r="BW914" s="28"/>
      <c r="BX914" s="36"/>
      <c r="BY914" s="28"/>
      <c r="BZ914" s="36"/>
      <c r="CA914" s="28"/>
      <c r="CB914" s="36"/>
      <c r="CC914" s="28"/>
      <c r="CD914" s="36"/>
      <c r="CE914" s="28"/>
      <c r="CF914" s="36"/>
      <c r="CG914" s="28"/>
      <c r="CH914" s="36"/>
      <c r="CI914" s="28"/>
      <c r="CJ914" s="36"/>
      <c r="CK914" s="28"/>
      <c r="CL914" s="36"/>
      <c r="CM914" s="28"/>
      <c r="CN914" s="36"/>
      <c r="CO914" s="28"/>
      <c r="CP914" s="36"/>
      <c r="CQ914" s="28"/>
      <c r="CR914" s="36"/>
      <c r="CS914" s="28"/>
      <c r="CT914" s="36"/>
      <c r="CU914" s="28"/>
      <c r="CV914" s="36"/>
      <c r="CW914" s="28"/>
      <c r="CX914" s="36"/>
      <c r="CY914" s="28"/>
      <c r="CZ914" s="36"/>
      <c r="DA914" s="28"/>
      <c r="DB914" s="36"/>
      <c r="DC914" s="28"/>
      <c r="DD914" s="36"/>
      <c r="DE914" s="28"/>
      <c r="DF914" s="36"/>
      <c r="DG914" s="28"/>
      <c r="DH914" s="36"/>
      <c r="DI914" s="28"/>
      <c r="DJ914" s="36"/>
      <c r="DK914" s="28"/>
      <c r="DL914" s="36"/>
      <c r="DM914" s="28"/>
      <c r="DN914" s="36"/>
      <c r="DO914" s="28"/>
      <c r="DP914" s="36"/>
      <c r="DQ914" s="28"/>
      <c r="DR914" s="36"/>
      <c r="DS914" s="28"/>
      <c r="DT914" s="36"/>
      <c r="DU914" s="28"/>
      <c r="DV914" s="36"/>
      <c r="DW914" s="48"/>
      <c r="DX914" s="36"/>
      <c r="DY914" s="48"/>
      <c r="DZ914" s="36"/>
      <c r="EA914" s="48"/>
      <c r="EB914" s="36"/>
      <c r="EC914" s="48"/>
      <c r="ED914" s="36"/>
      <c r="EE914" s="48"/>
      <c r="EF914" s="36"/>
      <c r="EG914" s="48"/>
      <c r="EH914" s="36"/>
      <c r="EI914" s="48"/>
      <c r="EJ914" s="36"/>
      <c r="EK914" s="48"/>
      <c r="EL914" s="36"/>
      <c r="EM914" s="48"/>
      <c r="EN914" s="36"/>
      <c r="EO914" s="48"/>
      <c r="EP914" s="36"/>
      <c r="EQ914" s="48"/>
      <c r="ER914" s="36"/>
      <c r="ES914" s="48"/>
      <c r="ET914" s="36"/>
      <c r="EU914" s="48"/>
      <c r="EV914" s="36"/>
      <c r="EW914" s="48"/>
      <c r="EX914" s="36"/>
      <c r="EY914" s="36"/>
      <c r="EZ914" s="302"/>
      <c r="FA914" s="36"/>
      <c r="FB914" s="49"/>
      <c r="FC914" s="36"/>
      <c r="FD914" s="49"/>
      <c r="FE914" s="36"/>
      <c r="FF914" s="50"/>
      <c r="FG914" s="36"/>
      <c r="FH914" s="50"/>
      <c r="FI914" s="36"/>
      <c r="FJ914" s="50"/>
      <c r="FK914" s="36"/>
      <c r="FL914" s="50"/>
      <c r="FM914" s="36"/>
      <c r="FN914" s="50"/>
      <c r="FO914" s="36"/>
      <c r="FP914" s="49"/>
      <c r="FQ914" s="36"/>
      <c r="FR914" s="49"/>
      <c r="FS914" s="36"/>
      <c r="FT914" s="49"/>
      <c r="FU914" s="36"/>
      <c r="FV914" s="49"/>
      <c r="FW914" s="36"/>
      <c r="FX914" s="49"/>
      <c r="FY914" s="36"/>
      <c r="FZ914" s="49"/>
      <c r="GA914" s="36"/>
      <c r="GB914" s="49"/>
      <c r="GC914" s="36"/>
      <c r="GD914" s="49"/>
      <c r="GE914" s="36"/>
      <c r="GF914" s="49"/>
      <c r="GG914" s="36"/>
      <c r="GH914" s="49"/>
      <c r="GI914" s="36"/>
      <c r="GJ914" s="49"/>
      <c r="GK914" s="36"/>
      <c r="GL914" s="49"/>
      <c r="GM914" s="36"/>
      <c r="GN914" s="49"/>
      <c r="GO914" s="36"/>
      <c r="GP914" s="49"/>
      <c r="GQ914" s="36"/>
      <c r="GR914" s="49"/>
      <c r="GS914" s="36"/>
      <c r="GT914" s="49"/>
      <c r="GU914" s="36"/>
      <c r="GV914" s="49"/>
      <c r="GW914" s="36"/>
      <c r="GX914" s="49"/>
      <c r="GY914" s="36"/>
      <c r="GZ914" s="36"/>
      <c r="HA914" s="36"/>
      <c r="HB914" s="155"/>
      <c r="HC914"/>
      <c r="HD914"/>
      <c r="HE914"/>
      <c r="HF914"/>
      <c r="HG914"/>
      <c r="HH914"/>
      <c r="HI914" s="2"/>
    </row>
    <row r="915" spans="2:217" s="22" customFormat="1" ht="12.75" hidden="1" customHeight="1" outlineLevel="1" x14ac:dyDescent="0.2">
      <c r="B915" s="24" t="s">
        <v>350</v>
      </c>
      <c r="D915" s="32"/>
      <c r="F915" s="32"/>
      <c r="H915" s="32"/>
      <c r="J915" s="32"/>
      <c r="L915" s="32"/>
      <c r="N915" s="32"/>
      <c r="P915" s="32"/>
      <c r="R915" s="32"/>
      <c r="T915" s="32"/>
      <c r="V915" s="32"/>
      <c r="X915" s="32"/>
      <c r="Z915" s="32"/>
      <c r="AB915" s="32"/>
      <c r="AD915" s="32"/>
      <c r="AF915" s="32"/>
      <c r="AH915" s="32"/>
      <c r="AJ915" s="32"/>
      <c r="AL915" s="32"/>
      <c r="AN915" s="32"/>
      <c r="AP915" s="32"/>
      <c r="AR915" s="32"/>
      <c r="AT915" s="32"/>
      <c r="AV915" s="32"/>
      <c r="AX915" s="32"/>
      <c r="AY915" s="28"/>
      <c r="AZ915" s="29"/>
      <c r="BA915" s="28"/>
      <c r="BB915" s="29"/>
      <c r="BC915" s="28"/>
      <c r="BD915" s="29"/>
      <c r="BE915" s="28"/>
      <c r="BF915" s="29"/>
      <c r="BG915" s="28"/>
      <c r="BH915" s="36"/>
      <c r="BI915" s="28"/>
      <c r="BJ915" s="36"/>
      <c r="BK915" s="28"/>
      <c r="BL915" s="36"/>
      <c r="BM915" s="28"/>
      <c r="BN915" s="36"/>
      <c r="BO915" s="28"/>
      <c r="BP915" s="36"/>
      <c r="BQ915" s="28"/>
      <c r="BR915" s="28"/>
      <c r="BS915" s="28"/>
      <c r="BT915" s="47"/>
      <c r="BU915" s="28"/>
      <c r="BV915" s="36"/>
      <c r="BW915" s="28"/>
      <c r="BX915" s="36"/>
      <c r="BY915" s="28"/>
      <c r="BZ915" s="36"/>
      <c r="CA915" s="28"/>
      <c r="CB915" s="36"/>
      <c r="CC915" s="28"/>
      <c r="CD915" s="36"/>
      <c r="CE915" s="28"/>
      <c r="CF915" s="36"/>
      <c r="CG915" s="28"/>
      <c r="CH915" s="36"/>
      <c r="CI915" s="28"/>
      <c r="CJ915" s="36"/>
      <c r="CK915" s="28"/>
      <c r="CL915" s="36"/>
      <c r="CM915" s="28"/>
      <c r="CN915" s="36"/>
      <c r="CO915" s="28"/>
      <c r="CP915" s="36"/>
      <c r="CQ915" s="28"/>
      <c r="CR915" s="36"/>
      <c r="CS915" s="28"/>
      <c r="CT915" s="36"/>
      <c r="CU915" s="28"/>
      <c r="CV915" s="36"/>
      <c r="CW915" s="28"/>
      <c r="CX915" s="36"/>
      <c r="CY915" s="28"/>
      <c r="CZ915" s="36"/>
      <c r="DA915" s="28"/>
      <c r="DB915" s="36"/>
      <c r="DC915" s="28"/>
      <c r="DD915" s="36"/>
      <c r="DE915" s="28"/>
      <c r="DF915" s="36"/>
      <c r="DG915" s="28"/>
      <c r="DH915" s="36"/>
      <c r="DI915" s="28"/>
      <c r="DJ915" s="36"/>
      <c r="DK915" s="28"/>
      <c r="DL915" s="36"/>
      <c r="DM915" s="28"/>
      <c r="DN915" s="36"/>
      <c r="DO915" s="28"/>
      <c r="DP915" s="36"/>
      <c r="DQ915" s="28"/>
      <c r="DR915" s="36"/>
      <c r="DS915" s="28"/>
      <c r="DT915" s="36"/>
      <c r="DU915" s="28"/>
      <c r="DV915" s="36"/>
      <c r="DW915" s="51">
        <f>DW402</f>
        <v>1742</v>
      </c>
      <c r="DX915" s="36"/>
      <c r="DY915" s="51">
        <f>DY402</f>
        <v>1679</v>
      </c>
      <c r="DZ915" s="36"/>
      <c r="EA915" s="51">
        <f>EA402</f>
        <v>1756</v>
      </c>
      <c r="EB915" s="36"/>
      <c r="EC915" s="51">
        <f>EC402</f>
        <v>2081</v>
      </c>
      <c r="ED915" s="36"/>
      <c r="EE915" s="51">
        <f>EE402</f>
        <v>2057</v>
      </c>
      <c r="EF915" s="36"/>
      <c r="EG915" s="51">
        <f>EG402</f>
        <v>1983</v>
      </c>
      <c r="EH915" s="36"/>
      <c r="EI915" s="51">
        <f>EI402</f>
        <v>1846</v>
      </c>
      <c r="EJ915" s="36"/>
      <c r="EK915" s="51">
        <f>EK402</f>
        <v>2099</v>
      </c>
      <c r="EL915" s="36"/>
      <c r="EM915" s="51">
        <f>EM402</f>
        <v>1953</v>
      </c>
      <c r="EN915" s="36"/>
      <c r="EO915" s="51">
        <f>EO402</f>
        <v>1856</v>
      </c>
      <c r="EP915" s="36"/>
      <c r="EQ915" s="51">
        <f>EQ402</f>
        <v>1872.7753153153153</v>
      </c>
      <c r="ER915" s="36"/>
      <c r="ES915" s="51">
        <f>ES402</f>
        <v>2129.4449549549549</v>
      </c>
      <c r="ET915" s="36"/>
      <c r="EU915" s="51">
        <f>EU402</f>
        <v>1981.3272972972973</v>
      </c>
      <c r="EV915" s="36"/>
      <c r="EW915" s="51">
        <f>EW402</f>
        <v>1882.9203603603603</v>
      </c>
      <c r="EX915" s="36"/>
      <c r="EY915" s="36"/>
      <c r="EZ915" s="302"/>
      <c r="FA915" s="36"/>
      <c r="FB915" s="49"/>
      <c r="FC915" s="36"/>
      <c r="FD915" s="49"/>
      <c r="FE915" s="36"/>
      <c r="FF915" s="50"/>
      <c r="FG915" s="36"/>
      <c r="FH915" s="50"/>
      <c r="FI915" s="36"/>
      <c r="FJ915" s="50"/>
      <c r="FK915" s="36"/>
      <c r="FL915" s="50"/>
      <c r="FM915" s="36"/>
      <c r="FN915" s="50"/>
      <c r="FO915" s="36"/>
      <c r="FP915" s="49"/>
      <c r="FQ915" s="36"/>
      <c r="FR915" s="49"/>
      <c r="FS915" s="36"/>
      <c r="FT915" s="49"/>
      <c r="FU915" s="36"/>
      <c r="FV915" s="49"/>
      <c r="FW915" s="36"/>
      <c r="FX915" s="48"/>
      <c r="FY915" s="36"/>
      <c r="FZ915" s="48"/>
      <c r="GA915" s="36"/>
      <c r="GB915" s="48"/>
      <c r="GC915" s="36"/>
      <c r="GD915" s="48"/>
      <c r="GE915" s="36"/>
      <c r="GF915" s="48"/>
      <c r="GG915" s="36"/>
      <c r="GH915" s="48"/>
      <c r="GI915" s="36"/>
      <c r="GJ915" s="48"/>
      <c r="GK915" s="36"/>
      <c r="GL915" s="48">
        <f>GL402</f>
        <v>7877</v>
      </c>
      <c r="GM915" s="36"/>
      <c r="GN915" s="48">
        <f>GN402</f>
        <v>7754</v>
      </c>
      <c r="GO915" s="36"/>
      <c r="GP915" s="48">
        <f>GP402</f>
        <v>7866.467927927928</v>
      </c>
      <c r="GQ915" s="36"/>
      <c r="GR915" s="51">
        <f>GR402</f>
        <v>7945.132607207207</v>
      </c>
      <c r="GS915" s="36"/>
      <c r="GT915" s="51">
        <f>GT402</f>
        <v>8024.5839332792793</v>
      </c>
      <c r="GU915" s="36"/>
      <c r="GV915" s="51">
        <f>GV402</f>
        <v>8104.8297726120718</v>
      </c>
      <c r="GW915" s="36"/>
      <c r="GX915" s="51">
        <f>GX402</f>
        <v>8185.8780703381926</v>
      </c>
      <c r="GY915" s="36"/>
      <c r="GZ915" s="36"/>
      <c r="HA915" s="36"/>
      <c r="HB915" s="155"/>
      <c r="HC915"/>
      <c r="HD915"/>
      <c r="HE915"/>
      <c r="HF915"/>
      <c r="HG915"/>
      <c r="HH915"/>
      <c r="HI915" s="2"/>
    </row>
    <row r="916" spans="2:217" s="22" customFormat="1" ht="12.75" hidden="1" customHeight="1" outlineLevel="1" x14ac:dyDescent="0.2">
      <c r="B916" s="24" t="s">
        <v>615</v>
      </c>
      <c r="D916" s="32"/>
      <c r="F916" s="32"/>
      <c r="H916" s="32"/>
      <c r="J916" s="32"/>
      <c r="L916" s="32"/>
      <c r="N916" s="32"/>
      <c r="P916" s="32"/>
      <c r="R916" s="32"/>
      <c r="T916" s="32"/>
      <c r="V916" s="32"/>
      <c r="X916" s="32"/>
      <c r="Z916" s="32"/>
      <c r="AB916" s="32"/>
      <c r="AD916" s="32"/>
      <c r="AF916" s="32"/>
      <c r="AH916" s="32"/>
      <c r="AJ916" s="32"/>
      <c r="AL916" s="32"/>
      <c r="AN916" s="32"/>
      <c r="AP916" s="32"/>
      <c r="AR916" s="32"/>
      <c r="AT916" s="32"/>
      <c r="AV916" s="32"/>
      <c r="AX916" s="32"/>
      <c r="AY916" s="28"/>
      <c r="AZ916" s="29"/>
      <c r="BA916" s="28"/>
      <c r="BB916" s="29"/>
      <c r="BC916" s="28"/>
      <c r="BD916" s="29"/>
      <c r="BE916" s="28"/>
      <c r="BF916" s="29"/>
      <c r="BG916" s="28"/>
      <c r="BH916" s="36"/>
      <c r="BI916" s="28"/>
      <c r="BJ916" s="36"/>
      <c r="BK916" s="28"/>
      <c r="BL916" s="36"/>
      <c r="BM916" s="28"/>
      <c r="BN916" s="36"/>
      <c r="BO916" s="28"/>
      <c r="BP916" s="58"/>
      <c r="BQ916" s="28"/>
      <c r="BR916" s="28"/>
      <c r="BS916" s="28"/>
      <c r="BT916" s="61"/>
      <c r="BU916" s="28"/>
      <c r="BV916" s="58"/>
      <c r="BW916" s="28"/>
      <c r="BX916" s="58"/>
      <c r="BY916" s="28"/>
      <c r="BZ916" s="58"/>
      <c r="CA916" s="28"/>
      <c r="CB916" s="58"/>
      <c r="CC916" s="28"/>
      <c r="CD916" s="58"/>
      <c r="CE916" s="28"/>
      <c r="CF916" s="58"/>
      <c r="CG916" s="28"/>
      <c r="CH916" s="58"/>
      <c r="CI916" s="28"/>
      <c r="CJ916" s="58"/>
      <c r="CK916" s="28"/>
      <c r="CL916" s="58"/>
      <c r="CM916" s="28"/>
      <c r="CN916" s="58"/>
      <c r="CO916" s="28"/>
      <c r="CP916" s="58"/>
      <c r="CQ916" s="28"/>
      <c r="CR916" s="58"/>
      <c r="CS916" s="28"/>
      <c r="CT916" s="58"/>
      <c r="CU916" s="28"/>
      <c r="CV916" s="58"/>
      <c r="CW916" s="28"/>
      <c r="CX916" s="58"/>
      <c r="CY916" s="28"/>
      <c r="CZ916" s="58"/>
      <c r="DA916" s="28"/>
      <c r="DB916" s="58"/>
      <c r="DC916" s="28"/>
      <c r="DD916" s="58"/>
      <c r="DE916" s="28"/>
      <c r="DF916" s="58"/>
      <c r="DG916" s="28"/>
      <c r="DH916" s="58"/>
      <c r="DI916" s="28"/>
      <c r="DJ916" s="58"/>
      <c r="DK916" s="28"/>
      <c r="DL916" s="58"/>
      <c r="DM916" s="28"/>
      <c r="DN916" s="58"/>
      <c r="DO916" s="28"/>
      <c r="DP916" s="58"/>
      <c r="DQ916" s="28"/>
      <c r="DR916" s="58"/>
      <c r="DS916" s="28"/>
      <c r="DT916" s="58"/>
      <c r="DU916" s="28"/>
      <c r="DV916" s="58"/>
      <c r="DW916" s="53">
        <v>1</v>
      </c>
      <c r="DX916" s="58"/>
      <c r="DY916" s="53">
        <v>1</v>
      </c>
      <c r="DZ916" s="58"/>
      <c r="EA916" s="53">
        <v>1</v>
      </c>
      <c r="EB916" s="58"/>
      <c r="EC916" s="53">
        <v>1</v>
      </c>
      <c r="ED916" s="58"/>
      <c r="EE916" s="53">
        <v>1</v>
      </c>
      <c r="EF916" s="58"/>
      <c r="EG916" s="53">
        <v>1</v>
      </c>
      <c r="EH916" s="58"/>
      <c r="EI916" s="53">
        <v>1</v>
      </c>
      <c r="EJ916" s="58"/>
      <c r="EK916" s="53">
        <v>1</v>
      </c>
      <c r="EL916" s="58"/>
      <c r="EM916" s="53">
        <v>1</v>
      </c>
      <c r="EN916" s="58"/>
      <c r="EO916" s="53">
        <v>1</v>
      </c>
      <c r="EP916" s="58"/>
      <c r="EQ916" s="53">
        <v>1</v>
      </c>
      <c r="ER916" s="58"/>
      <c r="ES916" s="53">
        <v>1</v>
      </c>
      <c r="ET916" s="58"/>
      <c r="EU916" s="53">
        <v>1</v>
      </c>
      <c r="EV916" s="58"/>
      <c r="EW916" s="53">
        <v>1</v>
      </c>
      <c r="EX916" s="58"/>
      <c r="EY916" s="58"/>
      <c r="EZ916" s="303"/>
      <c r="FA916" s="58"/>
      <c r="FB916" s="59"/>
      <c r="FC916" s="58"/>
      <c r="FD916" s="59"/>
      <c r="FE916" s="58"/>
      <c r="FF916" s="60"/>
      <c r="FG916" s="58"/>
      <c r="FH916" s="60"/>
      <c r="FI916" s="58"/>
      <c r="FJ916" s="60"/>
      <c r="FK916" s="58"/>
      <c r="FL916" s="60"/>
      <c r="FM916" s="58"/>
      <c r="FN916" s="60"/>
      <c r="FO916" s="58"/>
      <c r="FP916" s="59"/>
      <c r="FQ916" s="58"/>
      <c r="FR916" s="59"/>
      <c r="FS916" s="58"/>
      <c r="FT916" s="59"/>
      <c r="FU916" s="58"/>
      <c r="FV916" s="59"/>
      <c r="FW916" s="54"/>
      <c r="FX916" s="54"/>
      <c r="FY916" s="54"/>
      <c r="FZ916" s="54"/>
      <c r="GA916" s="54"/>
      <c r="GB916" s="211"/>
      <c r="GC916" s="54"/>
      <c r="GD916" s="211"/>
      <c r="GE916" s="54"/>
      <c r="GF916" s="211"/>
      <c r="GG916" s="793"/>
      <c r="GH916" s="211"/>
      <c r="GI916" s="793"/>
      <c r="GJ916" s="211"/>
      <c r="GK916" s="793"/>
      <c r="GL916" s="211">
        <v>1</v>
      </c>
      <c r="GM916" s="793"/>
      <c r="GN916" s="211">
        <v>1</v>
      </c>
      <c r="GO916" s="793"/>
      <c r="GP916" s="211">
        <v>1</v>
      </c>
      <c r="GQ916" s="793"/>
      <c r="GR916" s="53">
        <v>1</v>
      </c>
      <c r="GS916" s="793"/>
      <c r="GT916" s="53">
        <v>1</v>
      </c>
      <c r="GU916" s="793"/>
      <c r="GV916" s="53">
        <v>1</v>
      </c>
      <c r="GW916" s="793"/>
      <c r="GX916" s="53">
        <v>1</v>
      </c>
      <c r="GY916" s="793"/>
      <c r="GZ916" s="54"/>
      <c r="HA916" s="54"/>
      <c r="HB916" s="243"/>
      <c r="HC916"/>
      <c r="HD916"/>
      <c r="HE916"/>
      <c r="HF916"/>
      <c r="HG916"/>
      <c r="HH916"/>
      <c r="HI916" s="2"/>
    </row>
    <row r="917" spans="2:217" s="22" customFormat="1" ht="12.75" hidden="1" customHeight="1" outlineLevel="1" x14ac:dyDescent="0.2">
      <c r="B917" s="24" t="s">
        <v>617</v>
      </c>
      <c r="D917" s="32"/>
      <c r="F917" s="32"/>
      <c r="H917" s="32"/>
      <c r="J917" s="32"/>
      <c r="L917" s="32"/>
      <c r="N917" s="32"/>
      <c r="P917" s="32"/>
      <c r="R917" s="32"/>
      <c r="T917" s="32"/>
      <c r="V917" s="32"/>
      <c r="X917" s="32"/>
      <c r="Z917" s="32"/>
      <c r="AB917" s="32"/>
      <c r="AD917" s="32"/>
      <c r="AF917" s="32"/>
      <c r="AH917" s="32"/>
      <c r="AJ917" s="32"/>
      <c r="AL917" s="32"/>
      <c r="AN917" s="32"/>
      <c r="AP917" s="32"/>
      <c r="AR917" s="32"/>
      <c r="AT917" s="32"/>
      <c r="AV917" s="32"/>
      <c r="AX917" s="32"/>
      <c r="AY917" s="28"/>
      <c r="AZ917" s="29"/>
      <c r="BA917" s="28"/>
      <c r="BB917" s="29"/>
      <c r="BC917" s="28"/>
      <c r="BD917" s="29"/>
      <c r="BE917" s="28"/>
      <c r="BF917" s="29"/>
      <c r="BG917" s="28"/>
      <c r="BH917" s="36"/>
      <c r="BI917" s="28"/>
      <c r="BJ917" s="36"/>
      <c r="BK917" s="28"/>
      <c r="BL917" s="36"/>
      <c r="BM917" s="28"/>
      <c r="BN917" s="36"/>
      <c r="BO917" s="28"/>
      <c r="BP917" s="58"/>
      <c r="BQ917" s="28"/>
      <c r="BR917" s="28"/>
      <c r="BS917" s="28"/>
      <c r="BT917" s="61"/>
      <c r="BU917" s="28"/>
      <c r="BV917" s="58"/>
      <c r="BW917" s="28"/>
      <c r="BX917" s="58"/>
      <c r="BY917" s="28"/>
      <c r="BZ917" s="58"/>
      <c r="CA917" s="28"/>
      <c r="CB917" s="58"/>
      <c r="CC917" s="28"/>
      <c r="CD917" s="58"/>
      <c r="CE917" s="28"/>
      <c r="CF917" s="58"/>
      <c r="CG917" s="28"/>
      <c r="CH917" s="58"/>
      <c r="CI917" s="28"/>
      <c r="CJ917" s="58"/>
      <c r="CK917" s="28"/>
      <c r="CL917" s="58"/>
      <c r="CM917" s="28"/>
      <c r="CN917" s="58"/>
      <c r="CO917" s="28"/>
      <c r="CP917" s="58"/>
      <c r="CQ917" s="28"/>
      <c r="CR917" s="58"/>
      <c r="CS917" s="28"/>
      <c r="CT917" s="58"/>
      <c r="CU917" s="28"/>
      <c r="CV917" s="58"/>
      <c r="CW917" s="28"/>
      <c r="CX917" s="58"/>
      <c r="CY917" s="28"/>
      <c r="CZ917" s="58"/>
      <c r="DA917" s="28"/>
      <c r="DB917" s="58"/>
      <c r="DC917" s="28"/>
      <c r="DD917" s="58"/>
      <c r="DE917" s="28"/>
      <c r="DF917" s="58"/>
      <c r="DG917" s="28"/>
      <c r="DH917" s="58"/>
      <c r="DI917" s="28"/>
      <c r="DJ917" s="58"/>
      <c r="DK917" s="28"/>
      <c r="DL917" s="58"/>
      <c r="DM917" s="28"/>
      <c r="DN917" s="58"/>
      <c r="DO917" s="28"/>
      <c r="DP917" s="58"/>
      <c r="DQ917" s="28"/>
      <c r="DR917" s="58"/>
      <c r="DS917" s="28"/>
      <c r="DT917" s="58"/>
      <c r="DU917" s="28"/>
      <c r="DV917" s="58"/>
      <c r="DW917" s="55">
        <v>-1</v>
      </c>
      <c r="DX917" s="58"/>
      <c r="DY917" s="55">
        <v>-1</v>
      </c>
      <c r="DZ917" s="58"/>
      <c r="EA917" s="55">
        <v>-1</v>
      </c>
      <c r="EB917" s="58"/>
      <c r="EC917" s="55">
        <v>-1</v>
      </c>
      <c r="ED917" s="58"/>
      <c r="EE917" s="55">
        <v>-1</v>
      </c>
      <c r="EF917" s="58"/>
      <c r="EG917" s="55">
        <v>-1</v>
      </c>
      <c r="EH917" s="58"/>
      <c r="EI917" s="55">
        <v>-1</v>
      </c>
      <c r="EJ917" s="58"/>
      <c r="EK917" s="55">
        <v>-1</v>
      </c>
      <c r="EL917" s="58"/>
      <c r="EM917" s="55">
        <v>-1</v>
      </c>
      <c r="EN917" s="58"/>
      <c r="EO917" s="55">
        <v>-1</v>
      </c>
      <c r="EP917" s="58"/>
      <c r="EQ917" s="55">
        <v>-1</v>
      </c>
      <c r="ER917" s="58"/>
      <c r="ES917" s="55">
        <v>-1</v>
      </c>
      <c r="ET917" s="58"/>
      <c r="EU917" s="55">
        <v>-1</v>
      </c>
      <c r="EV917" s="58"/>
      <c r="EW917" s="55">
        <v>-1</v>
      </c>
      <c r="EX917" s="58"/>
      <c r="EY917" s="58"/>
      <c r="EZ917" s="303"/>
      <c r="FA917" s="58"/>
      <c r="FB917" s="59"/>
      <c r="FC917" s="58"/>
      <c r="FD917" s="59"/>
      <c r="FE917" s="58"/>
      <c r="FF917" s="60"/>
      <c r="FG917" s="58"/>
      <c r="FH917" s="60"/>
      <c r="FI917" s="58"/>
      <c r="FJ917" s="60"/>
      <c r="FK917" s="58"/>
      <c r="FL917" s="60"/>
      <c r="FM917" s="58"/>
      <c r="FN917" s="60"/>
      <c r="FO917" s="58"/>
      <c r="FP917" s="59"/>
      <c r="FQ917" s="58"/>
      <c r="FR917" s="59"/>
      <c r="FS917" s="58"/>
      <c r="FT917" s="59"/>
      <c r="FU917" s="58"/>
      <c r="FV917" s="59"/>
      <c r="FW917" s="54"/>
      <c r="FX917" s="54"/>
      <c r="FY917" s="54"/>
      <c r="FZ917" s="54"/>
      <c r="GA917" s="54"/>
      <c r="GB917" s="211"/>
      <c r="GC917" s="54"/>
      <c r="GD917" s="211"/>
      <c r="GE917" s="54"/>
      <c r="GF917" s="211"/>
      <c r="GG917" s="793"/>
      <c r="GH917" s="211"/>
      <c r="GI917" s="793"/>
      <c r="GJ917" s="211"/>
      <c r="GK917" s="793"/>
      <c r="GL917" s="211">
        <v>-1</v>
      </c>
      <c r="GM917" s="793"/>
      <c r="GN917" s="211">
        <v>-1</v>
      </c>
      <c r="GO917" s="793"/>
      <c r="GP917" s="211">
        <v>-1</v>
      </c>
      <c r="GQ917" s="793"/>
      <c r="GR917" s="55">
        <v>-1</v>
      </c>
      <c r="GS917" s="793"/>
      <c r="GT917" s="55">
        <v>-1</v>
      </c>
      <c r="GU917" s="793"/>
      <c r="GV917" s="55">
        <v>-1</v>
      </c>
      <c r="GW917" s="793"/>
      <c r="GX917" s="55">
        <v>-1</v>
      </c>
      <c r="GY917" s="793"/>
      <c r="GZ917" s="54"/>
      <c r="HA917" s="54"/>
      <c r="HB917" s="243"/>
      <c r="HC917"/>
      <c r="HD917"/>
      <c r="HE917"/>
      <c r="HF917"/>
      <c r="HG917"/>
      <c r="HH917"/>
      <c r="HI917" s="2"/>
    </row>
    <row r="918" spans="2:217" s="22" customFormat="1" ht="12.75" hidden="1" customHeight="1" outlineLevel="1" x14ac:dyDescent="0.2">
      <c r="B918" s="31"/>
      <c r="D918" s="32"/>
      <c r="F918" s="32"/>
      <c r="H918" s="32"/>
      <c r="J918" s="32"/>
      <c r="L918" s="32"/>
      <c r="N918" s="32"/>
      <c r="P918" s="32"/>
      <c r="R918" s="32"/>
      <c r="T918" s="32"/>
      <c r="V918" s="32"/>
      <c r="X918" s="32"/>
      <c r="Z918" s="32"/>
      <c r="AB918" s="32"/>
      <c r="AD918" s="32"/>
      <c r="AF918" s="32"/>
      <c r="AH918" s="32"/>
      <c r="AJ918" s="32"/>
      <c r="AL918" s="32"/>
      <c r="AN918" s="32"/>
      <c r="AP918" s="32"/>
      <c r="AR918" s="32"/>
      <c r="AT918" s="32"/>
      <c r="AV918" s="32"/>
      <c r="AX918" s="32"/>
      <c r="AY918" s="28"/>
      <c r="AZ918" s="29"/>
      <c r="BA918" s="28"/>
      <c r="BB918" s="29"/>
      <c r="BC918" s="28"/>
      <c r="BD918" s="29"/>
      <c r="BE918" s="28"/>
      <c r="BF918" s="29"/>
      <c r="BG918" s="28"/>
      <c r="BH918" s="36"/>
      <c r="BI918" s="28"/>
      <c r="BJ918" s="36"/>
      <c r="BK918" s="28"/>
      <c r="BL918" s="36"/>
      <c r="BM918" s="28"/>
      <c r="BN918" s="36"/>
      <c r="BO918" s="28"/>
      <c r="BP918" s="36"/>
      <c r="BQ918" s="28"/>
      <c r="BR918" s="28"/>
      <c r="BS918" s="28"/>
      <c r="BT918" s="47"/>
      <c r="BU918" s="28"/>
      <c r="BV918" s="36"/>
      <c r="BW918" s="28"/>
      <c r="BX918" s="36"/>
      <c r="BY918" s="28"/>
      <c r="BZ918" s="36"/>
      <c r="CA918" s="28"/>
      <c r="CB918" s="36"/>
      <c r="CC918" s="28"/>
      <c r="CD918" s="36"/>
      <c r="CE918" s="28"/>
      <c r="CF918" s="36"/>
      <c r="CG918" s="28"/>
      <c r="CH918" s="36"/>
      <c r="CI918" s="28"/>
      <c r="CJ918" s="36"/>
      <c r="CK918" s="28"/>
      <c r="CL918" s="36"/>
      <c r="CM918" s="28"/>
      <c r="CN918" s="36"/>
      <c r="CO918" s="28"/>
      <c r="CP918" s="36"/>
      <c r="CQ918" s="28"/>
      <c r="CR918" s="36"/>
      <c r="CS918" s="28"/>
      <c r="CT918" s="36"/>
      <c r="CU918" s="28"/>
      <c r="CV918" s="36"/>
      <c r="CW918" s="28"/>
      <c r="CX918" s="36"/>
      <c r="CY918" s="28"/>
      <c r="CZ918" s="36"/>
      <c r="DA918" s="28"/>
      <c r="DB918" s="36"/>
      <c r="DC918" s="28"/>
      <c r="DD918" s="36"/>
      <c r="DE918" s="28"/>
      <c r="DF918" s="36"/>
      <c r="DG918" s="28"/>
      <c r="DH918" s="36"/>
      <c r="DI918" s="28"/>
      <c r="DJ918" s="36"/>
      <c r="DK918" s="28"/>
      <c r="DL918" s="36"/>
      <c r="DM918" s="28"/>
      <c r="DN918" s="36"/>
      <c r="DO918" s="28"/>
      <c r="DP918" s="36"/>
      <c r="DQ918" s="28"/>
      <c r="DR918" s="36"/>
      <c r="DS918" s="28"/>
      <c r="DT918" s="36"/>
      <c r="DU918" s="28"/>
      <c r="DV918" s="36"/>
      <c r="DW918" s="48"/>
      <c r="DX918" s="36"/>
      <c r="DY918" s="48"/>
      <c r="DZ918" s="36"/>
      <c r="EA918" s="48"/>
      <c r="EB918" s="36"/>
      <c r="EC918" s="48"/>
      <c r="ED918" s="36"/>
      <c r="EE918" s="48"/>
      <c r="EF918" s="36"/>
      <c r="EG918" s="48"/>
      <c r="EH918" s="36"/>
      <c r="EI918" s="48"/>
      <c r="EJ918" s="36"/>
      <c r="EK918" s="48"/>
      <c r="EL918" s="36"/>
      <c r="EM918" s="48"/>
      <c r="EN918" s="36"/>
      <c r="EO918" s="48"/>
      <c r="EP918" s="36"/>
      <c r="EQ918" s="48"/>
      <c r="ER918" s="36"/>
      <c r="ES918" s="48"/>
      <c r="ET918" s="36"/>
      <c r="EU918" s="48"/>
      <c r="EV918" s="36"/>
      <c r="EW918" s="48"/>
      <c r="EX918" s="36"/>
      <c r="EY918" s="36"/>
      <c r="EZ918" s="302"/>
      <c r="FA918" s="36"/>
      <c r="FB918" s="49"/>
      <c r="FC918" s="36"/>
      <c r="FD918" s="49"/>
      <c r="FE918" s="36"/>
      <c r="FF918" s="50"/>
      <c r="FG918" s="36"/>
      <c r="FH918" s="50"/>
      <c r="FI918" s="36"/>
      <c r="FJ918" s="50"/>
      <c r="FK918" s="36"/>
      <c r="FL918" s="50"/>
      <c r="FM918" s="36"/>
      <c r="FN918" s="50"/>
      <c r="FO918" s="36"/>
      <c r="FP918" s="49"/>
      <c r="FQ918" s="36"/>
      <c r="FR918" s="49"/>
      <c r="FS918" s="36"/>
      <c r="FT918" s="49"/>
      <c r="FU918" s="36"/>
      <c r="FV918" s="49"/>
      <c r="FW918" s="36"/>
      <c r="FX918" s="49"/>
      <c r="FY918" s="36"/>
      <c r="FZ918" s="49"/>
      <c r="GA918" s="36"/>
      <c r="GB918" s="49"/>
      <c r="GC918" s="36"/>
      <c r="GD918" s="49"/>
      <c r="GE918" s="36"/>
      <c r="GF918" s="49"/>
      <c r="GG918" s="36"/>
      <c r="GH918" s="49"/>
      <c r="GI918" s="36"/>
      <c r="GJ918" s="49"/>
      <c r="GK918" s="36"/>
      <c r="GL918" s="49"/>
      <c r="GM918" s="36"/>
      <c r="GN918" s="49"/>
      <c r="GO918" s="36"/>
      <c r="GP918" s="49"/>
      <c r="GQ918" s="36"/>
      <c r="GR918" s="49"/>
      <c r="GS918" s="36"/>
      <c r="GT918" s="49"/>
      <c r="GU918" s="36"/>
      <c r="GV918" s="49"/>
      <c r="GW918" s="36"/>
      <c r="GX918" s="49"/>
      <c r="GY918" s="36"/>
      <c r="GZ918" s="36"/>
      <c r="HA918" s="36"/>
      <c r="HB918" s="155"/>
      <c r="HC918"/>
      <c r="HD918"/>
      <c r="HE918"/>
      <c r="HF918"/>
      <c r="HG918"/>
      <c r="HH918"/>
      <c r="HI918" s="2"/>
    </row>
    <row r="919" spans="2:217" s="22" customFormat="1" ht="12.75" hidden="1" customHeight="1" outlineLevel="1" x14ac:dyDescent="0.2">
      <c r="B919" s="62" t="s">
        <v>166</v>
      </c>
      <c r="D919" s="32"/>
      <c r="F919" s="32"/>
      <c r="H919" s="32"/>
      <c r="J919" s="32"/>
      <c r="L919" s="32"/>
      <c r="N919" s="32"/>
      <c r="P919" s="32"/>
      <c r="R919" s="32"/>
      <c r="T919" s="32"/>
      <c r="V919" s="32"/>
      <c r="X919" s="32"/>
      <c r="Z919" s="32"/>
      <c r="AB919" s="32"/>
      <c r="AD919" s="32"/>
      <c r="AF919" s="32"/>
      <c r="AH919" s="32"/>
      <c r="AJ919" s="32"/>
      <c r="AL919" s="32"/>
      <c r="AN919" s="32"/>
      <c r="AP919" s="32"/>
      <c r="AR919" s="32"/>
      <c r="AT919" s="32"/>
      <c r="AV919" s="32"/>
      <c r="AX919" s="32"/>
      <c r="AY919" s="28"/>
      <c r="AZ919" s="29"/>
      <c r="BA919" s="28"/>
      <c r="BB919" s="29"/>
      <c r="BC919" s="28"/>
      <c r="BD919" s="29"/>
      <c r="BE919" s="28"/>
      <c r="BF919" s="29"/>
      <c r="BG919" s="28"/>
      <c r="BH919" s="36"/>
      <c r="BI919" s="28"/>
      <c r="BJ919" s="36"/>
      <c r="BK919" s="28"/>
      <c r="BL919" s="36"/>
      <c r="BM919" s="28"/>
      <c r="BN919" s="36"/>
      <c r="BO919" s="28"/>
      <c r="BP919" s="36"/>
      <c r="BQ919" s="28"/>
      <c r="BR919" s="28"/>
      <c r="BS919" s="28"/>
      <c r="BT919" s="47"/>
      <c r="BU919" s="28"/>
      <c r="BV919" s="36"/>
      <c r="BW919" s="28"/>
      <c r="BX919" s="36"/>
      <c r="BY919" s="28"/>
      <c r="BZ919" s="36"/>
      <c r="CA919" s="28"/>
      <c r="CB919" s="36"/>
      <c r="CC919" s="28"/>
      <c r="CD919" s="36"/>
      <c r="CE919" s="28"/>
      <c r="CF919" s="36"/>
      <c r="CG919" s="28"/>
      <c r="CH919" s="36"/>
      <c r="CI919" s="28"/>
      <c r="CJ919" s="36"/>
      <c r="CK919" s="28"/>
      <c r="CL919" s="36"/>
      <c r="CM919" s="28"/>
      <c r="CN919" s="36"/>
      <c r="CO919" s="28"/>
      <c r="CP919" s="36"/>
      <c r="CQ919" s="28"/>
      <c r="CR919" s="36"/>
      <c r="CS919" s="28"/>
      <c r="CT919" s="36"/>
      <c r="CU919" s="28"/>
      <c r="CV919" s="36"/>
      <c r="CW919" s="28"/>
      <c r="CX919" s="36"/>
      <c r="CY919" s="28"/>
      <c r="CZ919" s="36"/>
      <c r="DA919" s="28"/>
      <c r="DB919" s="36"/>
      <c r="DC919" s="28"/>
      <c r="DD919" s="36"/>
      <c r="DE919" s="28"/>
      <c r="DF919" s="36"/>
      <c r="DG919" s="28"/>
      <c r="DH919" s="36"/>
      <c r="DI919" s="28"/>
      <c r="DJ919" s="36"/>
      <c r="DK919" s="28"/>
      <c r="DL919" s="36"/>
      <c r="DM919" s="28"/>
      <c r="DN919" s="36"/>
      <c r="DO919" s="28"/>
      <c r="DP919" s="36"/>
      <c r="DQ919" s="28"/>
      <c r="DR919" s="36"/>
      <c r="DS919" s="28"/>
      <c r="DT919" s="36"/>
      <c r="DU919" s="28"/>
      <c r="DV919" s="36"/>
      <c r="DW919" s="48"/>
      <c r="DX919" s="36"/>
      <c r="DY919" s="48"/>
      <c r="DZ919" s="36"/>
      <c r="EA919" s="48"/>
      <c r="EB919" s="36"/>
      <c r="EC919" s="48"/>
      <c r="ED919" s="36"/>
      <c r="EE919" s="48"/>
      <c r="EF919" s="36"/>
      <c r="EG919" s="48"/>
      <c r="EH919" s="36"/>
      <c r="EI919" s="48"/>
      <c r="EJ919" s="36"/>
      <c r="EK919" s="48"/>
      <c r="EL919" s="36"/>
      <c r="EM919" s="48"/>
      <c r="EN919" s="36"/>
      <c r="EO919" s="48"/>
      <c r="EP919" s="36"/>
      <c r="EQ919" s="48"/>
      <c r="ER919" s="36"/>
      <c r="ES919" s="48"/>
      <c r="ET919" s="36"/>
      <c r="EU919" s="48"/>
      <c r="EV919" s="36"/>
      <c r="EW919" s="48"/>
      <c r="EX919" s="36"/>
      <c r="EY919" s="36"/>
      <c r="EZ919" s="302"/>
      <c r="FA919" s="36"/>
      <c r="FB919" s="49"/>
      <c r="FC919" s="36"/>
      <c r="FD919" s="49"/>
      <c r="FE919" s="36"/>
      <c r="FF919" s="50"/>
      <c r="FG919" s="36"/>
      <c r="FH919" s="50"/>
      <c r="FI919" s="36"/>
      <c r="FJ919" s="50"/>
      <c r="FK919" s="36"/>
      <c r="FL919" s="50"/>
      <c r="FM919" s="36"/>
      <c r="FN919" s="50"/>
      <c r="FO919" s="36"/>
      <c r="FP919" s="49"/>
      <c r="FQ919" s="36"/>
      <c r="FR919" s="49"/>
      <c r="FS919" s="36"/>
      <c r="FT919" s="49"/>
      <c r="FU919" s="36"/>
      <c r="FV919" s="49"/>
      <c r="FW919" s="36"/>
      <c r="FX919" s="49"/>
      <c r="FY919" s="36"/>
      <c r="FZ919" s="49"/>
      <c r="GA919" s="36"/>
      <c r="GB919" s="49"/>
      <c r="GC919" s="36"/>
      <c r="GD919" s="49"/>
      <c r="GE919" s="36"/>
      <c r="GF919" s="49"/>
      <c r="GG919" s="36"/>
      <c r="GH919" s="49"/>
      <c r="GI919" s="36"/>
      <c r="GJ919" s="49"/>
      <c r="GK919" s="36"/>
      <c r="GL919" s="49"/>
      <c r="GM919" s="36"/>
      <c r="GN919" s="49"/>
      <c r="GO919" s="36"/>
      <c r="GP919" s="49"/>
      <c r="GQ919" s="36"/>
      <c r="GR919" s="49"/>
      <c r="GS919" s="36"/>
      <c r="GT919" s="49"/>
      <c r="GU919" s="36"/>
      <c r="GV919" s="49"/>
      <c r="GW919" s="36"/>
      <c r="GX919" s="49"/>
      <c r="GY919" s="36"/>
      <c r="GZ919" s="36"/>
      <c r="HA919" s="36"/>
      <c r="HB919" s="155"/>
      <c r="HC919"/>
      <c r="HD919"/>
      <c r="HE919"/>
      <c r="HF919"/>
      <c r="HG919"/>
      <c r="HH919"/>
      <c r="HI919" s="2"/>
    </row>
    <row r="920" spans="2:217" s="22" customFormat="1" ht="12.75" hidden="1" customHeight="1" outlineLevel="1" x14ac:dyDescent="0.2">
      <c r="B920" s="63" t="s">
        <v>51</v>
      </c>
      <c r="D920" s="32"/>
      <c r="F920" s="32"/>
      <c r="H920" s="32"/>
      <c r="J920" s="32"/>
      <c r="L920" s="32"/>
      <c r="N920" s="32"/>
      <c r="P920" s="32"/>
      <c r="R920" s="32"/>
      <c r="T920" s="32"/>
      <c r="V920" s="32"/>
      <c r="X920" s="32"/>
      <c r="Z920" s="32"/>
      <c r="AB920" s="32"/>
      <c r="AD920" s="32"/>
      <c r="AF920" s="32"/>
      <c r="AH920" s="32"/>
      <c r="AJ920" s="32"/>
      <c r="AL920" s="32"/>
      <c r="AN920" s="32"/>
      <c r="AP920" s="32"/>
      <c r="AR920" s="32"/>
      <c r="AT920" s="32"/>
      <c r="AV920" s="32"/>
      <c r="AX920" s="32"/>
      <c r="AY920" s="28"/>
      <c r="AZ920" s="29"/>
      <c r="BA920" s="28"/>
      <c r="BB920" s="29"/>
      <c r="BC920" s="28"/>
      <c r="BD920" s="29"/>
      <c r="BE920" s="28"/>
      <c r="BF920" s="29"/>
      <c r="BG920" s="28"/>
      <c r="BH920" s="58"/>
      <c r="BI920" s="28"/>
      <c r="BJ920" s="58"/>
      <c r="BK920" s="28"/>
      <c r="BL920" s="58"/>
      <c r="BM920" s="28"/>
      <c r="BN920" s="36"/>
      <c r="BO920" s="28"/>
      <c r="BP920" s="36"/>
      <c r="BQ920" s="28"/>
      <c r="BR920" s="28"/>
      <c r="BS920" s="28"/>
      <c r="BT920" s="64"/>
      <c r="BU920" s="28"/>
      <c r="BV920" s="36"/>
      <c r="BW920" s="28"/>
      <c r="BX920" s="213"/>
      <c r="BY920" s="28"/>
      <c r="BZ920" s="213"/>
      <c r="CA920" s="28"/>
      <c r="CB920" s="213"/>
      <c r="CC920" s="28"/>
      <c r="CD920" s="213"/>
      <c r="CE920" s="28"/>
      <c r="CF920" s="213"/>
      <c r="CG920" s="28"/>
      <c r="CH920" s="213"/>
      <c r="CI920" s="28"/>
      <c r="CJ920" s="213"/>
      <c r="CK920" s="28"/>
      <c r="CL920" s="213"/>
      <c r="CM920" s="28"/>
      <c r="CN920" s="213"/>
      <c r="CO920" s="28"/>
      <c r="CP920" s="213"/>
      <c r="CQ920" s="28"/>
      <c r="CR920" s="213"/>
      <c r="CS920" s="28"/>
      <c r="CT920" s="213"/>
      <c r="CU920" s="28"/>
      <c r="CV920" s="213"/>
      <c r="CW920" s="28"/>
      <c r="CX920" s="213"/>
      <c r="CY920" s="28"/>
      <c r="CZ920" s="213"/>
      <c r="DA920" s="28"/>
      <c r="DB920" s="213"/>
      <c r="DC920" s="28"/>
      <c r="DD920" s="213"/>
      <c r="DE920" s="28"/>
      <c r="DF920" s="213"/>
      <c r="DG920" s="28"/>
      <c r="DH920" s="213"/>
      <c r="DI920" s="28"/>
      <c r="DJ920" s="213"/>
      <c r="DK920" s="28"/>
      <c r="DL920" s="213"/>
      <c r="DM920" s="28"/>
      <c r="DN920" s="213"/>
      <c r="DO920" s="28"/>
      <c r="DP920" s="213"/>
      <c r="DQ920" s="28"/>
      <c r="DR920" s="213"/>
      <c r="DS920" s="28"/>
      <c r="DT920" s="213"/>
      <c r="DU920" s="28"/>
      <c r="DV920" s="213"/>
      <c r="DW920" s="212">
        <v>1.95</v>
      </c>
      <c r="DX920" s="213"/>
      <c r="DY920" s="212">
        <v>1.95</v>
      </c>
      <c r="DZ920" s="213"/>
      <c r="EA920" s="212">
        <v>1.95</v>
      </c>
      <c r="EB920" s="213"/>
      <c r="EC920" s="212">
        <v>1.95</v>
      </c>
      <c r="ED920" s="213"/>
      <c r="EE920" s="212">
        <v>1.95</v>
      </c>
      <c r="EF920" s="213"/>
      <c r="EG920" s="212">
        <v>1.95</v>
      </c>
      <c r="EH920" s="213"/>
      <c r="EI920" s="212">
        <v>1.95</v>
      </c>
      <c r="EJ920" s="213"/>
      <c r="EK920" s="212">
        <v>1.95</v>
      </c>
      <c r="EL920" s="213"/>
      <c r="EM920" s="212">
        <v>1.95</v>
      </c>
      <c r="EN920" s="213"/>
      <c r="EO920" s="212">
        <v>1.95</v>
      </c>
      <c r="EP920" s="213"/>
      <c r="EQ920" s="212">
        <v>1.95</v>
      </c>
      <c r="ER920" s="213"/>
      <c r="ES920" s="212">
        <v>1.95</v>
      </c>
      <c r="ET920" s="213"/>
      <c r="EU920" s="212">
        <v>1.95</v>
      </c>
      <c r="EV920" s="213"/>
      <c r="EW920" s="212">
        <v>1.95</v>
      </c>
      <c r="EX920" s="213"/>
      <c r="EY920" s="213"/>
      <c r="EZ920" s="302"/>
      <c r="FA920" s="213"/>
      <c r="FB920" s="49"/>
      <c r="FC920" s="36"/>
      <c r="FD920" s="49"/>
      <c r="FE920" s="36"/>
      <c r="FF920" s="50"/>
      <c r="FG920" s="36"/>
      <c r="FH920" s="50"/>
      <c r="FI920" s="36"/>
      <c r="FJ920" s="50"/>
      <c r="FK920" s="36"/>
      <c r="FL920" s="50"/>
      <c r="FM920" s="36"/>
      <c r="FN920" s="50"/>
      <c r="FO920" s="36"/>
      <c r="FP920" s="49"/>
      <c r="FQ920" s="36"/>
      <c r="FR920" s="49"/>
      <c r="FS920" s="36"/>
      <c r="FT920" s="59"/>
      <c r="FU920" s="58"/>
      <c r="FV920" s="65"/>
      <c r="FW920" s="65"/>
      <c r="FX920" s="65"/>
      <c r="FY920" s="65"/>
      <c r="FZ920" s="65"/>
      <c r="GA920" s="65"/>
      <c r="GB920" s="65"/>
      <c r="GC920" s="65"/>
      <c r="GD920" s="65"/>
      <c r="GE920" s="65"/>
      <c r="GF920" s="65"/>
      <c r="GG920" s="794"/>
      <c r="GH920" s="65"/>
      <c r="GI920" s="794"/>
      <c r="GJ920" s="65"/>
      <c r="GK920" s="794"/>
      <c r="GL920" s="65">
        <v>16.260000000000002</v>
      </c>
      <c r="GM920" s="794"/>
      <c r="GN920" s="65">
        <v>16.260000000000002</v>
      </c>
      <c r="GO920" s="794"/>
      <c r="GP920" s="65">
        <v>16.260000000000002</v>
      </c>
      <c r="GQ920" s="794"/>
      <c r="GR920" s="212">
        <v>16.260000000000002</v>
      </c>
      <c r="GS920" s="794"/>
      <c r="GT920" s="212">
        <v>16.260000000000002</v>
      </c>
      <c r="GU920" s="794"/>
      <c r="GV920" s="212">
        <v>16.260000000000002</v>
      </c>
      <c r="GW920" s="794"/>
      <c r="GX920" s="212">
        <v>16.260000000000002</v>
      </c>
      <c r="GY920" s="794"/>
      <c r="GZ920" s="65"/>
      <c r="HA920" s="65"/>
      <c r="HB920" s="244"/>
      <c r="HC920"/>
      <c r="HD920"/>
      <c r="HE920"/>
      <c r="HF920"/>
      <c r="HG920"/>
      <c r="HH920"/>
      <c r="HI920" s="2"/>
    </row>
    <row r="921" spans="2:217" s="22" customFormat="1" ht="12.75" hidden="1" customHeight="1" outlineLevel="1" x14ac:dyDescent="0.2">
      <c r="B921" s="63" t="s">
        <v>52</v>
      </c>
      <c r="D921" s="32"/>
      <c r="F921" s="32"/>
      <c r="H921" s="32"/>
      <c r="J921" s="32"/>
      <c r="L921" s="32"/>
      <c r="N921" s="32"/>
      <c r="P921" s="32"/>
      <c r="R921" s="32"/>
      <c r="T921" s="32"/>
      <c r="V921" s="32"/>
      <c r="X921" s="32"/>
      <c r="Z921" s="32"/>
      <c r="AB921" s="32"/>
      <c r="AD921" s="32"/>
      <c r="AF921" s="32"/>
      <c r="AH921" s="32"/>
      <c r="AJ921" s="32"/>
      <c r="AL921" s="32"/>
      <c r="AN921" s="32"/>
      <c r="AP921" s="32"/>
      <c r="AR921" s="32"/>
      <c r="AT921" s="32"/>
      <c r="AV921" s="32"/>
      <c r="AX921" s="32"/>
      <c r="AY921" s="28"/>
      <c r="AZ921" s="29"/>
      <c r="BA921" s="28"/>
      <c r="BB921" s="29"/>
      <c r="BC921" s="28"/>
      <c r="BD921" s="29"/>
      <c r="BE921" s="28"/>
      <c r="BF921" s="29"/>
      <c r="BG921" s="28"/>
      <c r="BH921" s="58"/>
      <c r="BI921" s="28"/>
      <c r="BJ921" s="58"/>
      <c r="BK921" s="28"/>
      <c r="BL921" s="58"/>
      <c r="BM921" s="28"/>
      <c r="BN921" s="36"/>
      <c r="BO921" s="28"/>
      <c r="BP921" s="36"/>
      <c r="BQ921" s="28"/>
      <c r="BR921" s="28"/>
      <c r="BS921" s="28"/>
      <c r="BT921" s="64"/>
      <c r="BU921" s="28"/>
      <c r="BV921" s="36"/>
      <c r="BW921" s="28"/>
      <c r="BX921" s="213"/>
      <c r="BY921" s="28"/>
      <c r="BZ921" s="213"/>
      <c r="CA921" s="28"/>
      <c r="CB921" s="213"/>
      <c r="CC921" s="28"/>
      <c r="CD921" s="213"/>
      <c r="CE921" s="28"/>
      <c r="CF921" s="213"/>
      <c r="CG921" s="28"/>
      <c r="CH921" s="213"/>
      <c r="CI921" s="28"/>
      <c r="CJ921" s="213"/>
      <c r="CK921" s="28"/>
      <c r="CL921" s="213"/>
      <c r="CM921" s="28"/>
      <c r="CN921" s="213"/>
      <c r="CO921" s="28"/>
      <c r="CP921" s="213"/>
      <c r="CQ921" s="28"/>
      <c r="CR921" s="213"/>
      <c r="CS921" s="28"/>
      <c r="CT921" s="213"/>
      <c r="CU921" s="28"/>
      <c r="CV921" s="213"/>
      <c r="CW921" s="28"/>
      <c r="CX921" s="213"/>
      <c r="CY921" s="28"/>
      <c r="CZ921" s="213"/>
      <c r="DA921" s="28"/>
      <c r="DB921" s="213"/>
      <c r="DC921" s="28"/>
      <c r="DD921" s="213"/>
      <c r="DE921" s="28"/>
      <c r="DF921" s="213"/>
      <c r="DG921" s="28"/>
      <c r="DH921" s="213"/>
      <c r="DI921" s="28"/>
      <c r="DJ921" s="213"/>
      <c r="DK921" s="28"/>
      <c r="DL921" s="213"/>
      <c r="DM921" s="28"/>
      <c r="DN921" s="213"/>
      <c r="DO921" s="28"/>
      <c r="DP921" s="213"/>
      <c r="DQ921" s="28"/>
      <c r="DR921" s="213"/>
      <c r="DS921" s="28"/>
      <c r="DT921" s="213"/>
      <c r="DU921" s="28"/>
      <c r="DV921" s="213"/>
      <c r="DW921" s="214">
        <v>1.53</v>
      </c>
      <c r="DX921" s="213"/>
      <c r="DY921" s="214">
        <v>1.53</v>
      </c>
      <c r="DZ921" s="213"/>
      <c r="EA921" s="214">
        <v>1.53</v>
      </c>
      <c r="EB921" s="213"/>
      <c r="EC921" s="214">
        <v>1.53</v>
      </c>
      <c r="ED921" s="213"/>
      <c r="EE921" s="214">
        <v>1.53</v>
      </c>
      <c r="EF921" s="213"/>
      <c r="EG921" s="214">
        <v>1.53</v>
      </c>
      <c r="EH921" s="213"/>
      <c r="EI921" s="214">
        <v>1.53</v>
      </c>
      <c r="EJ921" s="213"/>
      <c r="EK921" s="214">
        <v>1.53</v>
      </c>
      <c r="EL921" s="213"/>
      <c r="EM921" s="214">
        <v>1.53</v>
      </c>
      <c r="EN921" s="213"/>
      <c r="EO921" s="214">
        <v>1.53</v>
      </c>
      <c r="EP921" s="213"/>
      <c r="EQ921" s="214">
        <v>1.53</v>
      </c>
      <c r="ER921" s="213"/>
      <c r="ES921" s="214">
        <v>1.53</v>
      </c>
      <c r="ET921" s="213"/>
      <c r="EU921" s="214">
        <v>1.53</v>
      </c>
      <c r="EV921" s="213"/>
      <c r="EW921" s="214">
        <v>1.53</v>
      </c>
      <c r="EX921" s="213"/>
      <c r="EY921" s="213"/>
      <c r="EZ921" s="302"/>
      <c r="FA921" s="213"/>
      <c r="FB921" s="49"/>
      <c r="FC921" s="36"/>
      <c r="FD921" s="49"/>
      <c r="FE921" s="36"/>
      <c r="FF921" s="50"/>
      <c r="FG921" s="36"/>
      <c r="FH921" s="50"/>
      <c r="FI921" s="36"/>
      <c r="FJ921" s="50"/>
      <c r="FK921" s="36"/>
      <c r="FL921" s="50"/>
      <c r="FM921" s="36"/>
      <c r="FN921" s="50"/>
      <c r="FO921" s="36"/>
      <c r="FP921" s="49"/>
      <c r="FQ921" s="36"/>
      <c r="FR921" s="49"/>
      <c r="FS921" s="36"/>
      <c r="FT921" s="59"/>
      <c r="FU921" s="58"/>
      <c r="FV921" s="65"/>
      <c r="FW921" s="65"/>
      <c r="FX921" s="65"/>
      <c r="FY921" s="65"/>
      <c r="FZ921" s="65"/>
      <c r="GA921" s="65"/>
      <c r="GB921" s="65"/>
      <c r="GC921" s="65"/>
      <c r="GD921" s="65"/>
      <c r="GE921" s="65"/>
      <c r="GF921" s="65"/>
      <c r="GG921" s="794"/>
      <c r="GH921" s="65"/>
      <c r="GI921" s="794"/>
      <c r="GJ921" s="65"/>
      <c r="GK921" s="794"/>
      <c r="GL921" s="65">
        <v>8.57</v>
      </c>
      <c r="GM921" s="794"/>
      <c r="GN921" s="65">
        <v>8.57</v>
      </c>
      <c r="GO921" s="794"/>
      <c r="GP921" s="65">
        <v>8.57</v>
      </c>
      <c r="GQ921" s="794"/>
      <c r="GR921" s="214">
        <v>8.57</v>
      </c>
      <c r="GS921" s="794"/>
      <c r="GT921" s="214">
        <v>8.57</v>
      </c>
      <c r="GU921" s="794"/>
      <c r="GV921" s="214">
        <v>8.57</v>
      </c>
      <c r="GW921" s="794"/>
      <c r="GX921" s="214">
        <v>8.57</v>
      </c>
      <c r="GY921" s="794"/>
      <c r="GZ921" s="65"/>
      <c r="HA921" s="65"/>
      <c r="HB921" s="244"/>
      <c r="HC921"/>
      <c r="HD921"/>
      <c r="HE921"/>
      <c r="HF921"/>
      <c r="HG921"/>
      <c r="HH921"/>
      <c r="HI921" s="2"/>
    </row>
    <row r="922" spans="2:217" s="22" customFormat="1" ht="12.75" hidden="1" customHeight="1" outlineLevel="1" x14ac:dyDescent="0.2">
      <c r="B922" s="63" t="s">
        <v>53</v>
      </c>
      <c r="C922" s="66">
        <f>C641</f>
        <v>0.38</v>
      </c>
      <c r="D922" s="32"/>
      <c r="E922" s="66">
        <f>E641</f>
        <v>0.4</v>
      </c>
      <c r="F922" s="32"/>
      <c r="G922" s="66">
        <f>G641</f>
        <v>0.31</v>
      </c>
      <c r="H922" s="32"/>
      <c r="I922" s="66">
        <f>I641</f>
        <v>0.18</v>
      </c>
      <c r="J922" s="32"/>
      <c r="K922" s="66">
        <f>K641</f>
        <v>0.8</v>
      </c>
      <c r="L922" s="32"/>
      <c r="M922" s="66">
        <f>M641</f>
        <v>0.74</v>
      </c>
      <c r="N922" s="32"/>
      <c r="O922" s="66">
        <f>O641</f>
        <v>0.54</v>
      </c>
      <c r="P922" s="32"/>
      <c r="Q922" s="66">
        <f>Q641</f>
        <v>0.44</v>
      </c>
      <c r="R922" s="32"/>
      <c r="S922" s="66">
        <f>S641</f>
        <v>0.86</v>
      </c>
      <c r="T922" s="32"/>
      <c r="U922" s="66">
        <f>U641</f>
        <v>0.83</v>
      </c>
      <c r="V922" s="32"/>
      <c r="W922" s="66">
        <f>W641</f>
        <v>0.78</v>
      </c>
      <c r="X922" s="32"/>
      <c r="Y922" s="66">
        <f>Y641</f>
        <v>0.69</v>
      </c>
      <c r="Z922" s="32"/>
      <c r="AA922" s="66">
        <f>AA641</f>
        <v>0.85</v>
      </c>
      <c r="AB922" s="32"/>
      <c r="AC922" s="66">
        <f>AC641</f>
        <v>1.02</v>
      </c>
      <c r="AD922" s="32"/>
      <c r="AE922" s="66">
        <f>AE641</f>
        <v>0.99</v>
      </c>
      <c r="AF922" s="32"/>
      <c r="AG922" s="66">
        <f>AG641</f>
        <v>1.06</v>
      </c>
      <c r="AH922" s="32"/>
      <c r="AI922" s="66">
        <f>AI641</f>
        <v>1.08</v>
      </c>
      <c r="AJ922" s="32"/>
      <c r="AK922" s="66">
        <f>AK641</f>
        <v>1.4</v>
      </c>
      <c r="AL922" s="32"/>
      <c r="AM922" s="66">
        <f>AM641</f>
        <v>1.4</v>
      </c>
      <c r="AN922" s="32"/>
      <c r="AO922" s="66">
        <f>AO641</f>
        <v>1.4830267399962072</v>
      </c>
      <c r="AP922" s="32"/>
      <c r="AQ922" s="66">
        <f>AQ641</f>
        <v>1.6849056603773584</v>
      </c>
      <c r="AR922" s="32"/>
      <c r="AS922" s="66">
        <f>AS641</f>
        <v>1.5822543792840822</v>
      </c>
      <c r="AT922" s="32"/>
      <c r="AU922" s="66">
        <f>AU641</f>
        <v>1.9660428323364849</v>
      </c>
      <c r="AV922" s="32"/>
      <c r="AW922" s="66">
        <f>AW641</f>
        <v>1.5092120736965895</v>
      </c>
      <c r="AX922" s="32"/>
      <c r="AY922" s="66">
        <f>AY641</f>
        <v>1.2318984328506248</v>
      </c>
      <c r="AZ922" s="29"/>
      <c r="BA922" s="66">
        <f>BA641</f>
        <v>1.3357473345403339</v>
      </c>
      <c r="BB922" s="29"/>
      <c r="BC922" s="66">
        <f>BC641</f>
        <v>1.6146788990825689</v>
      </c>
      <c r="BD922" s="29"/>
      <c r="BE922" s="66">
        <f>BE641</f>
        <v>1.5202982601491299</v>
      </c>
      <c r="BF922" s="29"/>
      <c r="BG922" s="66">
        <f>BG641</f>
        <v>1.6733752620545073</v>
      </c>
      <c r="BH922" s="58"/>
      <c r="BI922" s="66">
        <f>BI641</f>
        <v>1.7245762711864407</v>
      </c>
      <c r="BJ922" s="58"/>
      <c r="BK922" s="66">
        <f>BK641</f>
        <v>1.9978494623655914</v>
      </c>
      <c r="BL922" s="58"/>
      <c r="BM922" s="66">
        <f>BM641</f>
        <v>1.7233115468409586</v>
      </c>
      <c r="BN922" s="58"/>
      <c r="BO922" s="66">
        <f>BO641</f>
        <v>1.5290178571428572</v>
      </c>
      <c r="BP922" s="58"/>
      <c r="BQ922" s="66">
        <f>BQ641</f>
        <v>1.9315068493150684</v>
      </c>
      <c r="BR922" s="28"/>
      <c r="BS922" s="66">
        <f>BS641</f>
        <v>0.99534883720930234</v>
      </c>
      <c r="BT922" s="64"/>
      <c r="BU922" s="66">
        <f>BU641</f>
        <v>-2.0249882131070249</v>
      </c>
      <c r="BV922" s="58"/>
      <c r="BW922" s="66">
        <f>BW641</f>
        <v>0.47158688988446118</v>
      </c>
      <c r="BX922" s="58"/>
      <c r="BY922" s="66">
        <f>BY641</f>
        <v>1.9825005756389591</v>
      </c>
      <c r="BZ922" s="58"/>
      <c r="CA922" s="66">
        <f>CA641</f>
        <v>1.7649591046061126</v>
      </c>
      <c r="CB922" s="58"/>
      <c r="CC922" s="66">
        <f>CC641</f>
        <v>1.1886030193493515</v>
      </c>
      <c r="CD922" s="58"/>
      <c r="CE922" s="66">
        <f>CE641</f>
        <v>1.3573700954400849</v>
      </c>
      <c r="CF922" s="58"/>
      <c r="CG922" s="66">
        <f>CG641</f>
        <v>0.82188886541305728</v>
      </c>
      <c r="CH922" s="58"/>
      <c r="CI922" s="66">
        <f>CI641</f>
        <v>1.9082840236686391</v>
      </c>
      <c r="CJ922" s="58"/>
      <c r="CK922" s="66">
        <f>CK641</f>
        <v>1.6277145811789038</v>
      </c>
      <c r="CL922" s="58"/>
      <c r="CM922" s="66">
        <f>CM641</f>
        <v>1.6302895322939868</v>
      </c>
      <c r="CN922" s="58"/>
      <c r="CO922" s="66">
        <f>CO641</f>
        <v>1.6043856103476153</v>
      </c>
      <c r="CP922" s="58"/>
      <c r="CQ922" s="66">
        <f>CQ641</f>
        <v>0.89505415900265684</v>
      </c>
      <c r="CR922" s="58"/>
      <c r="CS922" s="66">
        <f>CS641</f>
        <v>1.9121593291404613</v>
      </c>
      <c r="CT922" s="58"/>
      <c r="CU922" s="66">
        <f>CU641</f>
        <v>1.7320418848167538</v>
      </c>
      <c r="CV922" s="58"/>
      <c r="CW922" s="66">
        <f>CW641</f>
        <v>1.4397043294614573</v>
      </c>
      <c r="CX922" s="58"/>
      <c r="CY922" s="66">
        <f>CY641</f>
        <v>1.649215769393811</v>
      </c>
      <c r="CZ922" s="58"/>
      <c r="DA922" s="66">
        <f>DA641</f>
        <v>1.7759097680357523</v>
      </c>
      <c r="DB922" s="58"/>
      <c r="DC922" s="66">
        <f>DC641</f>
        <v>2.2704049183803265</v>
      </c>
      <c r="DD922" s="58"/>
      <c r="DE922" s="66">
        <f>DE641</f>
        <v>2.312367640830157</v>
      </c>
      <c r="DF922" s="58"/>
      <c r="DG922" s="66">
        <f>DG641</f>
        <v>2.905084745762712</v>
      </c>
      <c r="DH922" s="58"/>
      <c r="DI922" s="66">
        <f>DI641</f>
        <v>2.2180602716468591</v>
      </c>
      <c r="DJ922" s="58"/>
      <c r="DK922" s="66">
        <f>DK641</f>
        <v>2.4031336015244547</v>
      </c>
      <c r="DL922" s="58"/>
      <c r="DM922" s="66">
        <f>DM641</f>
        <v>2.4915038232795244</v>
      </c>
      <c r="DN922" s="58"/>
      <c r="DO922" s="66">
        <f>DO641</f>
        <v>2.1982942430703623</v>
      </c>
      <c r="DP922" s="58"/>
      <c r="DQ922" s="66">
        <f>DQ641</f>
        <v>2.118226600985222</v>
      </c>
      <c r="DR922" s="58"/>
      <c r="DS922" s="66">
        <f>DS641</f>
        <v>2.7872020614129269</v>
      </c>
      <c r="DT922" s="58"/>
      <c r="DU922" s="66">
        <f>DU641</f>
        <v>2.912621359223301</v>
      </c>
      <c r="DV922" s="58"/>
      <c r="DW922" s="67">
        <f>DW641</f>
        <v>2.4015577672003463</v>
      </c>
      <c r="DX922" s="58"/>
      <c r="DY922" s="67">
        <f>DY641</f>
        <v>1.9373776908023483</v>
      </c>
      <c r="DZ922" s="58"/>
      <c r="EA922" s="67">
        <f>EA641</f>
        <v>2.1787587412587412</v>
      </c>
      <c r="EB922" s="58"/>
      <c r="EC922" s="67">
        <f>EC641</f>
        <v>1.8450923659025149</v>
      </c>
      <c r="ED922" s="58"/>
      <c r="EE922" s="67">
        <f>EE641</f>
        <v>2.6592392527571458</v>
      </c>
      <c r="EF922" s="58"/>
      <c r="EG922" s="67">
        <f>EG641</f>
        <v>2.4579354251932695</v>
      </c>
      <c r="EH922" s="58"/>
      <c r="EI922" s="67">
        <f>EI641</f>
        <v>2.7943520838077887</v>
      </c>
      <c r="EJ922" s="58"/>
      <c r="EK922" s="67">
        <f>EK641</f>
        <v>2.0903851431707987</v>
      </c>
      <c r="EL922" s="58"/>
      <c r="EM922" s="67">
        <f>EM641</f>
        <v>3.0137931034482759</v>
      </c>
      <c r="EN922" s="58"/>
      <c r="EO922" s="67">
        <f>EO641</f>
        <v>2.6854633695400971</v>
      </c>
      <c r="EP922" s="58"/>
      <c r="EQ922" s="67">
        <f t="shared" ref="EQ922" si="3586">EQ641</f>
        <v>3.0956473436103349</v>
      </c>
      <c r="ER922" s="58"/>
      <c r="ES922" s="67">
        <f t="shared" ref="ES922" si="3587">ES641</f>
        <v>3.1369010469049265</v>
      </c>
      <c r="ET922" s="58"/>
      <c r="EU922" s="67">
        <f t="shared" ref="EU922" si="3588">EU641</f>
        <v>3.1253659827544977</v>
      </c>
      <c r="EV922" s="58"/>
      <c r="EW922" s="67">
        <f t="shared" ref="EW922" si="3589">EW641</f>
        <v>2.838428618029682</v>
      </c>
      <c r="EX922" s="58"/>
      <c r="EY922" s="58"/>
      <c r="EZ922" s="303"/>
      <c r="FA922" s="58"/>
      <c r="FB922" s="68">
        <f>FB641</f>
        <v>0</v>
      </c>
      <c r="FC922" s="58"/>
      <c r="FD922" s="68">
        <f>FD641</f>
        <v>0.27</v>
      </c>
      <c r="FE922" s="58"/>
      <c r="FF922" s="68">
        <f>FF641</f>
        <v>0.28000000000000003</v>
      </c>
      <c r="FG922" s="58"/>
      <c r="FH922" s="68">
        <f>FH641</f>
        <v>2.52</v>
      </c>
      <c r="FI922" s="58"/>
      <c r="FJ922" s="68">
        <f>FJ641</f>
        <v>3.1599999999999997</v>
      </c>
      <c r="FK922" s="58"/>
      <c r="FL922" s="68">
        <f>FL641</f>
        <v>3.9200000000000004</v>
      </c>
      <c r="FM922" s="58"/>
      <c r="FN922" s="68">
        <f>FN641</f>
        <v>5.363026739996207</v>
      </c>
      <c r="FO922" s="58"/>
      <c r="FP922" s="68">
        <f>FP641</f>
        <v>3.94</v>
      </c>
      <c r="FQ922" s="58"/>
      <c r="FR922" s="68">
        <f>FR641</f>
        <v>4.5797204213938416</v>
      </c>
      <c r="FS922" s="58"/>
      <c r="FT922" s="68">
        <f>FT641</f>
        <v>5.8084356647090232</v>
      </c>
      <c r="FU922" s="58"/>
      <c r="FV922" s="65">
        <f>FV641</f>
        <v>-1.5723016605166051</v>
      </c>
      <c r="FW922" s="65"/>
      <c r="FX922" s="65">
        <f>FX641</f>
        <v>2.4265788886409285</v>
      </c>
      <c r="FY922" s="65"/>
      <c r="FZ922" s="65">
        <f>FZ641</f>
        <v>4.264317643965291</v>
      </c>
      <c r="GA922" s="65"/>
      <c r="GB922" s="65">
        <f>GB641</f>
        <v>4.9780051150895144</v>
      </c>
      <c r="GC922" s="65"/>
      <c r="GD922" s="65">
        <f>GD641</f>
        <v>5.477888730385164</v>
      </c>
      <c r="GE922" s="65"/>
      <c r="GF922" s="65">
        <f>GF641</f>
        <v>10.134068146892055</v>
      </c>
      <c r="GG922" s="794"/>
      <c r="GH922" s="65">
        <f>GH641</f>
        <v>9.0763309813983319</v>
      </c>
      <c r="GI922" s="794"/>
      <c r="GJ922" s="65">
        <f>GJ641</f>
        <v>10.044833360341382</v>
      </c>
      <c r="GK922" s="794"/>
      <c r="GL922" s="65">
        <f>GL641</f>
        <v>9.1312116136236732</v>
      </c>
      <c r="GM922" s="794"/>
      <c r="GN922" s="65">
        <f>GN641</f>
        <v>10.582326093438224</v>
      </c>
      <c r="GO922" s="794"/>
      <c r="GP922" s="65">
        <f>GP641</f>
        <v>12.199348634086146</v>
      </c>
      <c r="GQ922" s="794"/>
      <c r="GR922" s="67">
        <f>GR641</f>
        <v>12.751069324888016</v>
      </c>
      <c r="GS922" s="794"/>
      <c r="GT922" s="67">
        <f>GT641</f>
        <v>13.303162843222088</v>
      </c>
      <c r="GU922" s="794"/>
      <c r="GV922" s="67">
        <f>GV641</f>
        <v>13.853522114260759</v>
      </c>
      <c r="GW922" s="794"/>
      <c r="GX922" s="67">
        <f>GX641</f>
        <v>14.450625194663479</v>
      </c>
      <c r="GY922" s="794"/>
      <c r="GZ922" s="65"/>
      <c r="HA922" s="65"/>
      <c r="HB922" s="244"/>
      <c r="HC922"/>
      <c r="HD922"/>
      <c r="HE922"/>
      <c r="HF922"/>
      <c r="HG922"/>
      <c r="HH922"/>
      <c r="HI922" s="2"/>
    </row>
    <row r="923" spans="2:217" s="22" customFormat="1" ht="12.75" hidden="1" customHeight="1" outlineLevel="1" x14ac:dyDescent="0.2">
      <c r="B923" s="31"/>
      <c r="D923" s="32"/>
      <c r="F923" s="32"/>
      <c r="H923" s="32"/>
      <c r="J923" s="32"/>
      <c r="L923" s="32"/>
      <c r="N923" s="32"/>
      <c r="P923" s="32"/>
      <c r="R923" s="32"/>
      <c r="T923" s="32"/>
      <c r="V923" s="32"/>
      <c r="X923" s="32"/>
      <c r="Z923" s="32"/>
      <c r="AB923" s="32"/>
      <c r="AD923" s="32"/>
      <c r="AF923" s="32"/>
      <c r="AH923" s="32"/>
      <c r="AJ923" s="32"/>
      <c r="AL923" s="32"/>
      <c r="AN923" s="32"/>
      <c r="AP923" s="32"/>
      <c r="AR923" s="32"/>
      <c r="AT923" s="32"/>
      <c r="AV923" s="32"/>
      <c r="AX923" s="32"/>
      <c r="AY923" s="28"/>
      <c r="AZ923" s="29"/>
      <c r="BA923" s="28"/>
      <c r="BB923" s="29"/>
      <c r="BC923" s="28"/>
      <c r="BD923" s="29"/>
      <c r="BE923" s="28"/>
      <c r="BF923" s="29"/>
      <c r="BG923" s="28"/>
      <c r="BH923" s="29"/>
      <c r="BI923" s="28"/>
      <c r="BJ923" s="29"/>
      <c r="BK923" s="28"/>
      <c r="BL923" s="29"/>
      <c r="BM923" s="28"/>
      <c r="BN923" s="29"/>
      <c r="BO923" s="28"/>
      <c r="BP923" s="29"/>
      <c r="BQ923" s="28"/>
      <c r="BR923" s="29"/>
      <c r="BS923" s="28"/>
      <c r="BT923" s="29"/>
      <c r="BU923" s="28"/>
      <c r="BV923" s="29"/>
      <c r="BW923" s="28"/>
      <c r="BX923" s="29"/>
      <c r="BY923" s="28"/>
      <c r="BZ923" s="29"/>
      <c r="CA923" s="28"/>
      <c r="CB923" s="29"/>
      <c r="CC923" s="28"/>
      <c r="CD923" s="29"/>
      <c r="CE923" s="28"/>
      <c r="CF923" s="29"/>
      <c r="CG923" s="28"/>
      <c r="CH923" s="29"/>
      <c r="CI923" s="28"/>
      <c r="CJ923" s="29"/>
      <c r="CK923" s="28"/>
      <c r="CL923" s="29"/>
      <c r="CM923" s="28"/>
      <c r="CN923" s="29"/>
      <c r="CO923" s="28"/>
      <c r="CP923" s="29"/>
      <c r="CQ923" s="28"/>
      <c r="CR923" s="29"/>
      <c r="CS923" s="28"/>
      <c r="CT923" s="29"/>
      <c r="CU923" s="28"/>
      <c r="CV923" s="29"/>
      <c r="CW923" s="28"/>
      <c r="CX923" s="29"/>
      <c r="CY923" s="28"/>
      <c r="CZ923" s="29"/>
      <c r="DA923" s="28"/>
      <c r="DB923" s="29"/>
      <c r="DC923" s="28"/>
      <c r="DD923" s="29"/>
      <c r="DE923" s="28"/>
      <c r="DF923" s="29"/>
      <c r="DG923" s="28"/>
      <c r="DH923" s="29"/>
      <c r="DI923" s="28"/>
      <c r="DJ923" s="29"/>
      <c r="DK923" s="28"/>
      <c r="DL923" s="29"/>
      <c r="DM923" s="28"/>
      <c r="DN923" s="29"/>
      <c r="DO923" s="28"/>
      <c r="DP923" s="29"/>
      <c r="DQ923" s="28"/>
      <c r="DR923" s="29"/>
      <c r="DS923" s="28"/>
      <c r="DT923" s="29"/>
      <c r="DU923" s="28"/>
      <c r="DV923" s="29"/>
      <c r="DW923" s="28"/>
      <c r="DX923" s="29"/>
      <c r="DY923" s="28"/>
      <c r="DZ923" s="29"/>
      <c r="EA923" s="28"/>
      <c r="EB923" s="29"/>
      <c r="EC923" s="28"/>
      <c r="ED923" s="29"/>
      <c r="EE923" s="28"/>
      <c r="EF923" s="29"/>
      <c r="EG923" s="28"/>
      <c r="EH923" s="29"/>
      <c r="EI923" s="28"/>
      <c r="EJ923" s="29"/>
      <c r="EK923" s="28"/>
      <c r="EL923" s="29"/>
      <c r="EM923" s="28"/>
      <c r="EN923" s="29"/>
      <c r="EO923" s="28"/>
      <c r="EP923" s="29"/>
      <c r="EQ923" s="28"/>
      <c r="ER923" s="29"/>
      <c r="ES923" s="28"/>
      <c r="ET923" s="29"/>
      <c r="EU923" s="28"/>
      <c r="EV923" s="29"/>
      <c r="EW923" s="28"/>
      <c r="EX923" s="29"/>
      <c r="EY923" s="29"/>
      <c r="EZ923" s="300"/>
      <c r="FA923" s="29"/>
      <c r="FB923" s="30"/>
      <c r="FC923" s="29"/>
      <c r="FD923" s="30"/>
      <c r="FE923" s="29"/>
      <c r="FF923" s="33"/>
      <c r="FG923" s="29"/>
      <c r="FH923" s="33"/>
      <c r="FI923" s="29"/>
      <c r="FJ923" s="33"/>
      <c r="FK923" s="29"/>
      <c r="FL923" s="33"/>
      <c r="FM923" s="29"/>
      <c r="FN923" s="33"/>
      <c r="FO923" s="29"/>
      <c r="FP923" s="30"/>
      <c r="FQ923" s="29"/>
      <c r="FR923" s="30"/>
      <c r="FS923" s="29"/>
      <c r="FT923" s="30"/>
      <c r="FU923" s="29"/>
      <c r="FV923" s="30"/>
      <c r="FW923" s="29"/>
      <c r="FX923" s="30"/>
      <c r="FY923" s="29"/>
      <c r="FZ923" s="30"/>
      <c r="GA923" s="29"/>
      <c r="GB923" s="30"/>
      <c r="GC923" s="29"/>
      <c r="GD923" s="30"/>
      <c r="GE923" s="29"/>
      <c r="GF923" s="30"/>
      <c r="GG923" s="29"/>
      <c r="GH923" s="30"/>
      <c r="GI923" s="29"/>
      <c r="GJ923" s="30"/>
      <c r="GK923" s="29"/>
      <c r="GL923" s="30"/>
      <c r="GM923" s="29"/>
      <c r="GN923" s="30"/>
      <c r="GO923" s="29"/>
      <c r="GP923" s="30"/>
      <c r="GQ923" s="29"/>
      <c r="GR923" s="30"/>
      <c r="GS923" s="29"/>
      <c r="GT923" s="30"/>
      <c r="GU923" s="29"/>
      <c r="GV923" s="30"/>
      <c r="GW923" s="29"/>
      <c r="GX923" s="30"/>
      <c r="GY923" s="29"/>
      <c r="GZ923" s="29"/>
      <c r="HA923" s="29"/>
      <c r="HB923" s="240"/>
      <c r="HC923"/>
      <c r="HD923"/>
      <c r="HE923"/>
      <c r="HF923"/>
      <c r="HG923"/>
      <c r="HH923"/>
      <c r="HI923" s="2"/>
    </row>
    <row r="924" spans="2:217" s="22" customFormat="1" ht="12.75" hidden="1" customHeight="1" outlineLevel="1" x14ac:dyDescent="0.2">
      <c r="B924" s="31"/>
      <c r="D924" s="32"/>
      <c r="F924" s="32"/>
      <c r="H924" s="32"/>
      <c r="J924" s="32"/>
      <c r="L924" s="32"/>
      <c r="N924" s="32"/>
      <c r="P924" s="32"/>
      <c r="R924" s="32"/>
      <c r="T924" s="32"/>
      <c r="V924" s="32"/>
      <c r="X924" s="32"/>
      <c r="Z924" s="32"/>
      <c r="AB924" s="32"/>
      <c r="AD924" s="32"/>
      <c r="AF924" s="32"/>
      <c r="AH924" s="32"/>
      <c r="AJ924" s="32"/>
      <c r="AL924" s="32"/>
      <c r="AN924" s="32"/>
      <c r="AP924" s="32"/>
      <c r="AR924" s="32"/>
      <c r="AT924" s="32"/>
      <c r="AV924" s="32"/>
      <c r="AX924" s="32"/>
      <c r="AY924" s="28"/>
      <c r="AZ924" s="29"/>
      <c r="BA924" s="28"/>
      <c r="BB924" s="29"/>
      <c r="BC924" s="28"/>
      <c r="BD924" s="29"/>
      <c r="BE924" s="28"/>
      <c r="BF924" s="29"/>
      <c r="BG924" s="28"/>
      <c r="BH924" s="29"/>
      <c r="BI924" s="28"/>
      <c r="BJ924" s="29"/>
      <c r="BK924" s="28"/>
      <c r="BL924" s="29"/>
      <c r="BM924" s="28"/>
      <c r="BN924" s="29"/>
      <c r="BO924" s="28"/>
      <c r="BP924" s="29"/>
      <c r="BQ924" s="28"/>
      <c r="BR924" s="29"/>
      <c r="BS924" s="28"/>
      <c r="BT924" s="29"/>
      <c r="BU924" s="28"/>
      <c r="BV924" s="29"/>
      <c r="BW924" s="28"/>
      <c r="BX924" s="29"/>
      <c r="BY924" s="28"/>
      <c r="BZ924" s="29"/>
      <c r="CA924" s="28"/>
      <c r="CB924" s="29"/>
      <c r="CC924" s="28"/>
      <c r="CD924" s="29"/>
      <c r="CE924" s="28"/>
      <c r="CF924" s="29"/>
      <c r="CG924" s="28"/>
      <c r="CH924" s="29"/>
      <c r="CI924" s="28"/>
      <c r="CJ924" s="29"/>
      <c r="CK924" s="28"/>
      <c r="CL924" s="29"/>
      <c r="CM924" s="28"/>
      <c r="CN924" s="29"/>
      <c r="CO924" s="28"/>
      <c r="CP924" s="29"/>
      <c r="CQ924" s="28"/>
      <c r="CR924" s="29"/>
      <c r="CS924" s="28"/>
      <c r="CT924" s="29"/>
      <c r="CU924" s="28"/>
      <c r="CV924" s="29"/>
      <c r="CW924" s="28"/>
      <c r="CX924" s="29"/>
      <c r="CY924" s="28"/>
      <c r="CZ924" s="29"/>
      <c r="DA924" s="28"/>
      <c r="DB924" s="29"/>
      <c r="DC924" s="28"/>
      <c r="DD924" s="29"/>
      <c r="DE924" s="28"/>
      <c r="DF924" s="29"/>
      <c r="DG924" s="28"/>
      <c r="DH924" s="29"/>
      <c r="DI924" s="28"/>
      <c r="DJ924" s="29"/>
      <c r="DK924" s="28"/>
      <c r="DL924" s="29"/>
      <c r="DM924" s="28"/>
      <c r="DN924" s="29"/>
      <c r="DO924" s="28"/>
      <c r="DP924" s="29"/>
      <c r="DQ924" s="28"/>
      <c r="DR924" s="29"/>
      <c r="DS924" s="28"/>
      <c r="DT924" s="29"/>
      <c r="DU924" s="28"/>
      <c r="DV924" s="29"/>
      <c r="DW924" s="28"/>
      <c r="DX924" s="29"/>
      <c r="DY924" s="28"/>
      <c r="DZ924" s="29"/>
      <c r="EA924" s="28"/>
      <c r="EB924" s="29"/>
      <c r="EC924" s="28"/>
      <c r="ED924" s="29"/>
      <c r="EE924" s="28"/>
      <c r="EF924" s="29"/>
      <c r="EG924" s="28"/>
      <c r="EH924" s="29"/>
      <c r="EI924" s="28"/>
      <c r="EJ924" s="29"/>
      <c r="EK924" s="28"/>
      <c r="EL924" s="29"/>
      <c r="EM924" s="28"/>
      <c r="EN924" s="29"/>
      <c r="EO924" s="28"/>
      <c r="EP924" s="29"/>
      <c r="EQ924" s="28"/>
      <c r="ER924" s="29"/>
      <c r="ES924" s="28"/>
      <c r="ET924" s="29"/>
      <c r="EU924" s="28"/>
      <c r="EV924" s="29"/>
      <c r="EW924" s="28"/>
      <c r="EX924" s="29"/>
      <c r="EY924" s="29"/>
      <c r="EZ924" s="300"/>
      <c r="FA924" s="29"/>
      <c r="FB924" s="30"/>
      <c r="FC924" s="29"/>
      <c r="FD924" s="30"/>
      <c r="FE924" s="29"/>
      <c r="FF924" s="33"/>
      <c r="FG924" s="29"/>
      <c r="FH924" s="33"/>
      <c r="FI924" s="29"/>
      <c r="FJ924" s="33"/>
      <c r="FK924" s="29"/>
      <c r="FL924" s="33"/>
      <c r="FM924" s="29"/>
      <c r="FN924" s="33"/>
      <c r="FO924" s="29"/>
      <c r="FP924" s="30"/>
      <c r="FQ924" s="29"/>
      <c r="FR924" s="30"/>
      <c r="FS924" s="29"/>
      <c r="FT924" s="30"/>
      <c r="FU924" s="29"/>
      <c r="FV924" s="30"/>
      <c r="FW924" s="29"/>
      <c r="FX924" s="30"/>
      <c r="FY924" s="29"/>
      <c r="FZ924" s="30"/>
      <c r="GA924" s="29"/>
      <c r="GB924" s="30"/>
      <c r="GC924" s="29"/>
      <c r="GD924" s="30"/>
      <c r="GE924" s="29"/>
      <c r="GF924" s="30"/>
      <c r="GG924" s="29"/>
      <c r="GH924" s="30"/>
      <c r="GI924" s="29"/>
      <c r="GJ924" s="30"/>
      <c r="GK924" s="29"/>
      <c r="GL924" s="30"/>
      <c r="GM924" s="29"/>
      <c r="GN924" s="30"/>
      <c r="GO924" s="29"/>
      <c r="GP924" s="30"/>
      <c r="GQ924" s="29"/>
      <c r="GR924" s="30"/>
      <c r="GS924" s="29"/>
      <c r="GT924" s="30"/>
      <c r="GU924" s="29"/>
      <c r="GV924" s="30"/>
      <c r="GW924" s="29"/>
      <c r="GX924" s="30"/>
      <c r="GY924" s="29"/>
      <c r="GZ924" s="29"/>
      <c r="HA924" s="29"/>
      <c r="HB924" s="240"/>
      <c r="HC924"/>
      <c r="HD924"/>
      <c r="HE924"/>
      <c r="HF924"/>
      <c r="HG924"/>
      <c r="HH924"/>
      <c r="HI924" s="2"/>
    </row>
    <row r="925" spans="2:217" ht="12.75" customHeight="1" collapsed="1" x14ac:dyDescent="0.2"/>
  </sheetData>
  <mergeCells count="1">
    <mergeCell ref="B4:B5"/>
  </mergeCells>
  <phoneticPr fontId="5" type="noConversion"/>
  <dataValidations disablePrompts="1" count="1">
    <dataValidation type="list" errorStyle="warning" allowBlank="1" showInputMessage="1" showErrorMessage="1" error="Please use the numbers in a drop down list." prompt="1=Base_x000a_2=Bull_x000a_3=Bear" sqref="B6">
      <formula1>"1,2,3"</formula1>
    </dataValidation>
  </dataValidations>
  <printOptions horizontalCentered="1"/>
  <pageMargins left="0.16" right="0.12" top="0.49" bottom="0.38" header="0.5" footer="0.5"/>
  <pageSetup scale="69" orientation="landscape" horizontalDpi="300" r:id="rId1"/>
  <headerFooter alignWithMargins="0"/>
  <ignoredErrors>
    <ignoredError sqref="DK21:ED22 EF4:EF5 DK23:EB24 ED23:ED24 DK25:DR25 DK715:DR925 EG26:EG100 EJ25 EJ4 EH29:EK30 EK32:EK100 EL4 EL25 EH26:EN28 EH4:EH5 GT29:HB73 GX13:HA20 GZ22:HB28 GT13:GW28 GR48:GR49 GR46 EQ6:GI6 EP5:EY5 EY21:GO103 EZ4:GM4 EZ5:GQ5 EQ13:EX21 GP13:GS45 GP46:GQ49 GP50:GS73 GX21:GY28 JP11:JW73 GR75:HB79 GT80:HB86 GP87:HB103 GU4 GW4 GY4:HB4 GK6:GM6 GS46:GS49 EN25 EJ5:EL5 ER22:EX22 EQ24:EX46 EQ89:EW90 EQ92:EW93 ER91:EW91 EX89:EX93 GP75:GQ81 GR80:GS81 GP82:GS86 GP74:HB74 EE13:EN24 GZ21:HA21 HK11:JO21 EQ94:EX103 EL29:EN103 EK102:EK103 EH31:EJ103 EG102:EG103 DK26:EF103 DK262:EH517 HL7:JW9 EO13:EP103 DS9:FY9 C7:CL8 B11:CL12 B10:CL10 B9:CL9 EN4:EN5 EL262:EL420 DK146:EF223 EI223:EJ223 EK222:EK223 EL146:EP223 GP207:HB209 GP146:HB148 GT314:GW355 GP356:HB418 EQ219:GQ223 GP149:GW173 GP195:GS206 GX193:GZ194 GY195:GZ196 GP210:GQ218 GX197:GZ197 GT195:GX195 GT196:GW206 GX196 EQ146:GO157 GP314:GS355 GU313 GX314 JP635:JW925 JP489:JW490 JP481:JW488 GX315:HB355 GY313:HB314 GP262:HB292 GR210:HB223 GX198:HB206 HA193:HB197 GX149:HB173 EK421:EL421 EK146:EK220 EK422:EK430 EI431:EI436 EI390:EI391 EI221:EI222 DK682:DR694 EI220:EJ220 EJ432:EJ436 EJ222 EJ391 EJ221:EK221 EJ390:EK390 EJ431:EK431 EG146:EJ219 DK696:DR714 DL524 DS112:HB121 EI262:EK389 DS224:HB241 EG220:EH223 EI392:EJ430 EK391:EK420 EM262:GO275 EI437:EJ518 EK432:EK518 EL422:EL518 JP491:JW518 DL527:DL532 DL521 DL526 JP526:JW526 DL533 JP533:JW533 DK544:DR548 DL594 DL598:DL606 JP598:JW606 DK608:DR679 DL607 JP608:JW634 JP607:JW607 JP524:JW524 JP527:JW532 JP521:JW521 JP534:JW590 JP594:JW594 EP607 EN607 EL607 EK608:EP610 EI607:EJ607 EI608:EJ681 EH607 EF607 ED607 EB607 DZ607 DX607 DV607 DT607 DS608:EH639 EK598:EP606 EI598:EJ606 DS598:EH606 DS594:EP594 DS534:EP537 EP533 EN533 EL533 EJ533 EH533 EF533 ED533 EB533 DZ533 DX533 DV533 DT533 EP526 EN526 EL526 EJ526 EH526 EF526 ED526 EB526 DZ526 DX526 DV526 DT526 DS521:EP521 DS527:EP532 DS680:EH681 DS695:EH695 DS524:EP524 EF715:EF723 DS696:EF714 EG696:EH723 EI695:EJ723 EF724:EJ925 DS682:EJ694 DS715:EE925 DS519:EP520 DS926:HB935 DS525:EP525 DS591:EP593 DS523:EP523 DS526 DU526 DW526 DY526 EA526 EC526 EE526 EG526 EI526 EK526 EM526 EO526 DS533 DU533 DW533 DY533 EA533 EC533 EE533 EG533 EI533 EK533 EM533 EO533 DS595:EP597 DS607 DU607 DW607 DY607 EA607 EC607 EE607 EG607 EK607 EM607 EO607 GO6:HB6 GO4 DS539:EP590 DS538:EP538 EQ187:GO194 EQ197:GO206 ER195:GO195 ER196:GO196 EQ214:GO218 ER209:ET209 EQ208:ET208 ER207:ET207 EX207:GO207 DS109:EP111 HK109:JO111 EQ109:HB109 EQ107:HB108 EQ110:HB111 DS125:EV125 DS124:EP124 ER124:HB124 DS127:HB145 DS126:EQ126 ER126:HB126 DS123:HB123 DS122:EP122 ER122:EW122 EX122:HB122 DS247:HB261 DS245:EP245 DS246:EP246 ER246 DS243:EP243 DS242:EP242 EX242:HB242 DS244:EP244 EX244:HB244 EX243:HB243 ER244 ER242 EQ243:ER243 ER245 EM306:GO357 EM305:EP305 ER305:ET305 EX305:GO305 EV305 EU305 EW305 GP306:HB312 GP305:GR305 GS305:GX305 EM416:GO417 EM415:EP415 ER415 EM491:EP497 EM490:EP490 EK612:EP925 EK611:EP611 GV10:GW10 GT10:GU10 GX10 GY305:HB305 GS4 GS5:HB5 DS7:DZ7 EB7:FY7 DS8:DZ8 EB8:FY8 DS641:EH679 DT640:EH640 DK550:DR589 DK549:DP549 DR549 DL13:DL20 DR13:ED20 DR7:DR8 DR11:FY12 DR10:ER10 DR9 DP7:DP8 DP11:DP12 DP10 DP9 DP13:DP20 DN7:DN8 DN11:DN12 DN10 DN9 DN13:DN20 DL7:DL8 DL11:DL12 DL10 DL9 DJ7:DJ8 DJ11:DJ12 DJ10 DJ9 DH7:DH8 DH11:DH12 DH10 DH9 DF7:DF8 DF11:DF12 DF10 DF9 DD7:DD8 DD11:DD12 DD10 DD9 DB7:DB8 DB11:DB12 DB10 DB9 CZ7:CZ8 CZ11:CZ12 CZ10 CZ9 CX7:CX8 CX11:CX12 CX10 CX9 CV7:CV8 CV11:CV12 CV10 CV9 CT7:CT8 CT11:CT12 CT10 CT9 CR7:CR8 CR11:CR12 CR10 CR9 CP7:CP8 CP11:CP12 CP10 CP9 CN7:CN8 CN11:CN12 CN10 CN9 DR533 DP533 DN533 DL518 DR518:EH518 DR524 DR527:DR532 DR521 DR526 DL534:DL543 DR534:DR543 DP524 DP527:DP532 DP521 DP526 DP518 DP534:DP543 DN524 DN527:DN532 DN521 DN526 DN518 DN534:DN543 DR607 DP607 DR594 DR598:DR606 DL590 DR590 DP594 DP598:DP606 DP590 DN594 DN598:DN606 DN607 DN590 EY13:FY20 GI13:GO20 GI9:HA9 GI7:HA7 GI8:HA8 GI11:HA12 GI10:GS10 GG9 GG7 GG8 GG11:GG12 GG10 GG13:GG20 GE9 GE7 GE8 GE11:GE12 GE10 GE13:GE20 GC9 GC7 GC8 GC11:GC12 GC10 GC13:GC20 GA9 GA7 GA8 GA11:GA12 GA10 GA13:GA20 EM514:EP517 EM498:EP513 EM518:EP518 DS522:EP522 EQ48:EX50 ER47:EX47 EQ52:EX73 ER51:EX51 EQ76:EX81 ER75:EX75 ER88:EV88 EX88 ER87:EX87 EQ86:EX86 EX82 EX125:HB125 EQ160:GO173 EQ158:ET158 EV158:GO158 ER159 ET159 EV159:GO159 EQ176:GO176 ER174 ER175 ET174 ET175 EV174 EV175 EX174:GO174 EX175:GO175 GP176:GW176 GP174:GQ175 GS174:GS175 GU174:GU175 GW174:GW175 GX176:HB192 GY174:HB175 EQ178:GO186 ER177:GO177 GP178:GW194 GP177:GQ177 GS177:GW177 EX245:HB245 EM279:GO292 EM276:EP276 ER276 EX276:GO276 EM294:GO294 EM293:EP293 ER293:GO293 EM296:GO304 EM295:EP295 ER295:GO295 GP296:HB304 GP295:GQ295 GS295:HB295 GP294:HB294 GP293:GQ293 GS293 GU293 GW293 GY293:HB293 GP313:GQ313 GS313 GW313 EM382:GO414 EM380:EP380 EM381:EP381 EW381:GO381 EX380:GO380 EM421:EP489 EM418:EP418 EM419:EP419 EW418:GO418 EM420:EP420 ET415 EV415 EX415:GO415 ER74:EX74 EX83:EX85 EV82 ET82 ER82 EQ83:EW85 EQ82 ES82 EU82 EW82 EX246:HB246 ES245 ES243 ES244 ET243:EW243 ET244:EW244 EV242 ET242 ES246:EW246 ET245:EV245 EW245 ES242 EU242 EW242 EM277:ER278 EX277:GO278 ET276 EV276 ES277:EW278 ES276 EW276 EU276 EV380 ET380 EU381:EV381 ET381 ER381 ER380 EQ381 ES380 JP419:JW480 GP490:GQ490 EX419:GO419 EX420:GO420 EQ421:GO489 FE538 FE539:FE590 FE595:FE597 FE591:FE593 FE525 FE527:FE532 FE526 FE533 FE534:FE537 FE594 FE598:FE606 FE607 FG538 FG539:FG590 FG595:FG597 FG591:FG593 FG525 FG527:FG532 FG526 FG533 FG534:FG537 FG594 FG598:FG606 FG607 FI538 FI539:FI590 FI595:FI597 FI591:FI593 FI525 FI527:FI532 FI526 FI533 FI534:FI537 FI594 FI598:FI606 FI607 FK538 FK539:FK590 FK595:FK597 FK591:FK593 FK525 FK527:FK532 FK526 FK533 FK534:FK537 FK594 FK598:FK606 FK607 FM538 FM539:FM590 FM595:FM597 FM591:FM593 FM525 FM527:FM532 FM526 FM533 FM534:FM537 FM594 FM598:FM606 FM607 FO538 FO539:FO590 FO595:FO597 FO591:FO593 FO525 FO527:FO532 FO526 FO533 FO534:FO537 FO594 FO598:FO606 FO607 FQ538 FQ539:FQ590 FQ595:FQ597 FQ591:FQ593 FQ525 FQ527:FQ532 FQ526 FQ533 FQ534:FQ537 FQ594 FQ598:FQ606 FQ607 FS538 FS539:FS590 FS595:FS597 FS591:FS593 FS525 FS527:FS532 FS526 FS533 FS534:FS537 FS594 FS598:FS606 FS607 FE522 FE518 FE523 FE519:FE520 FE521 FG522 FG518 FG523 FG519:FG520 FG521 FI522 FI518 FI523 FI519:FI520 FI521 FK522 FK518 FK523 FK519:FK520 FK521 FM522 FM518 FM523 FM519:FM520 FM521 FO523 FQ523 FS523 FS518 FS522 EQ522:FC522 FS519:FS520 FS521 FU518 FU538 FU539:FU590 FU595:FU597 FU522:FU523 FU591:FU593 FU525 FU519:FU520 FU524 FU527:FU532 FU521 FU526 FU533 FU534:FU537 FU594 FU598:FU606 FU607 FW518 FW538 FW539:FW590 FW595:FW597 FW522:FW523 FW591:FW593 FW525 FW519:FW520 FW524 FW527:FW532 FW521 FW526 FW533 FW534:FW537 FW594 FW598:FW606 FW607 FY518 FY538 FY539:FY590 FY595:FY597 FY522:FY523 FY591:FY593 FY525 FY519:FY520 FY524 FY527:FY532 FY521 FY526 FY533 FY534:FY537 FY594 FY598:FY606 FY607 GA518 GA538 GA539:GA590 GA595:GA597 GA522:GA523 GA591:GA593 GA525 GA519:GA520 GA524 GA527:GA532 GA521 GA526 GA533 GA534:GA537 GA594 GA598:GA606 GA607 GC518 GC538 GC539:GC590 GC595:GC597 GC522:GC523 GC591:GC593 GC525 GC519:GC520 GC524 GC527:GC532 GC521 GC526 GC533 GC534:GC537 GC594 GC598:GC606 GC607 GE518 GE538 GE539:GE590 GE595:GE597 GE522:GE523 GE591:GE593 GE525 GE519:GE520 GE524 GE527:GE532 GE521 GE526 GE533 GE534:GE537 GE594 GE598:GE606 GE607 GG518 GG538 GG539:GG590 GG595:GG597 GG522:GG523 GG591:GG593 GG525 GG519:GG520 GG524 GG527:GG532 GG521 GG526 GG533 GG534:GG537 GG594 GG598:GG606 GG607 GI518:GO518 EQ518:FC518 GI538:HB538 GI539:HB566 GI595:HB597 GI522:HB523 GI591:HB593 GI525:HB525 GI519:HB520 GI524:HB524 GI527:HB532 GI521:HB521 GI534:HB537 GI594:HB594 GI598:GW606 FK498:FK513 FM498:FM513 FO498:FO513 FQ498:FQ513 FS498:FS513 FU498:FU513 FW498:FW513 FY498:FY513 GA498:GA513 GC498:GC513 GE498:GO513 EQ498:FI513 EQ514:GO517 GQ715:HB715 GP716:HB925 GY490:GZ490 GY623:HB623 GX624:HB634 GW623 GU623 GS623 GP623:GQ623 GP624:GW634 EX611 EV611 ET611:EU611 EQ612:EX621 EX490:GO490 EV490 ET490 ER490 EQ491:GO497 ER538:FC538 EQ539:FC569 GX607 GV607 GT607 GR607 GP607 GN607 GL607 GJ607 EW607 EU607 ES607 EQ607 EQ595:FC597 GX533 GV533 GT533 GR533 GP533 GN533 GL533 GJ533 EW533 EU533 ES533 EQ533 GX526 GV526 GT526 GR526 GP526 GN526 GL526 GJ526 EW526 EU526 ES526 EQ526 EQ523:FC523 EQ591:FC593 EQ525:FC525 EQ519:FC520 EY611:GO706 GP635:HB641 EQ524:FS524 GP611:GW622 EQ527:FC532 EQ521:FC521 ER526 ET526 EV526 EX526:FC526 GI526 GK526 GM526 GO526 GQ526 GS526 GU526 GW526 GY526:HB526 ER533 ET533 EV533 EX533:FC533 GI533 GK533 GM533 GO533 GQ533 GS533 GU533 GW533 GY533:HB533 EQ534:FC537 EQ594:FC594 EQ598:EX606 EY598:FC606 GX598:HB606 EQ608:EX610 ER607 ET607 EV607 EX607 EY608:GW610 EY607:FC607 GI607 GK607 GM607 GO607 GQ607 GS607 GU607 GW607 GX608:HB622 GY607:HB607 GS491:HB518 GP491:GR518 GX481:HB488 HA489:HB490 GX489:GZ489 GP419:HB480 GS490:GX490 GP481:GW489 FD519:FD520 EQ490 FJ498:FJ513 EQ611:ES611 FD607 FD598:FD606 FD595:FD597 FD594 EQ538 FD534:FD537 FD533 FD527:FD532 FD526 FD522 FD521 FD525 FT524 GP715 FD591:FD593 FD523 FD539:FD590 FD538 GR490 EW611 FD518 GD498:GD513 GB498:GB513 FZ498:FZ513 FX498:FX513 FV498:FV513 FT498:FT513 FR498:FR513 FP498:FP513 FN498:FN513 FL498:FL513 GH607 GH598:GH606 GH594 GH534:GH537 GH533 GH526 GH521 GH527:GH532 GH524 GH519:GH520 GH525 GH591:GH593 GH522 GH523 GH595:GH597 GH539:GH590 GH538 GH518 GF607 GF598:GF606 GF594 GF534:GF537 GF533 GF526 GF521 GF527:GF532 GF524 GF519:GF520 GF525 GF591:GF593 GF522 GF523 GF595:GF597 GF539:GF590 GF538 GF518 GD607 GD598:GD606 GD594 GD534:GD537 GD533 GD526 GD521 GD527:GD532 GD524 GD519:GD520 GD525 GD591:GD593 GD522 GD523 GD595:GD597 GD539:GD590 GD538 GD518 GB607 GB598:GB606 GB594 GB534:GB537 GB533 GB526 GB521 GB527:GB532 GB524 GB519:GB520 GB525 GB591:GB593 GB522 GB523 GB595:GB597 GB539:GB590 GB538 GB518 FZ607 FZ598:FZ606 FZ594 FZ534:FZ537 FZ533 FZ526 FZ521 FZ527:FZ532 FZ524 FZ519:FZ520 FZ525 FZ591:FZ593 FZ522 FZ523 FZ595:FZ597 FZ539:FZ590 FZ538 FZ518 FX607 FX598:FX606 FX594 FX534:FX537 FX533 FX526 FX521 FX527:FX532 FX524 FX519:FX520 FX525 FX591:FX593 FX522 FX523 FX595:FX597 FX539:FX590 FX538 FX518 FV607 FV598:FV606 FV594 FV534:FV537 FV533 FV526 FV521 FV527:FV532 FV524 FV519:FV520 FV525 FV591:FV593 FV522 FV523 FV595:FV597 FV539:FV590 FV538 FV518 FT521 FT519:FT520 FT522 FT518 FT523 FR523 FP523 FN521:FR521 FN519:FR520 FN523 FN518:FR518 FN522:FR522 FL521 FL519:FL520 FL523 FL518 FL522 FJ521 FJ519:FJ520 FJ523 FJ518 FJ522 FH521 FH519:FH520 FH523 FH518 FH522 FF521 FF519:FF520 FF523 FF518 FF522 FT607 FT598:FT606 FT594 FT534:FT537 FT533 FT526 FT527:FT532 FT525 FT591:FT593 FT595:FT597 FT539:FT590 FT538 FR607 FR598:FR606 FR594 FR534:FR537 FR533 FR526 FR527:FR532 FR525 FR591:FR593 FR595:FR597 FR539:FR590 FR538 FP607 FP598:FP606 FP594 FP534:FP537 FP533 FP526 FP527:FP532 FP525 FP591:FP593 FP595:FP597 FP539:FP590 FP538 FN607 FN598:FN606 FN594 FN534:FN537 FN533 FN526 FN527:FN532 FN525 FN591:FN593 FN595:FN597 FN539:FN590 FN538 FL607 FL598:FL606 FL594 FL534:FL537 FL533 FL526 FL527:FL532 FL525 FL591:FL593 FL595:FL597 FL539:FL590 FL538 FJ607 FJ598:FJ606 FJ594 FJ534:FJ537 FJ533 FJ526 FJ527:FJ532 FJ525 FJ591:FJ593 FJ595:FJ597 FJ539:FJ590 FJ538 FH607 FH598:FH606 FH594 FH534:FH537 FH533 FH526 FH527:FH532 FH525 FH591:FH593 FH595:FH597 FH539:FH590 FH538 FF607 FF598:FF606 FF594 FF534:FF537 FF533 FF526 FF527:FF532 FF525 FF591:FF593 FF595:FF597 FF539:FF590 FF538 EQ587:FC590 ER586 ET586:FC586 EQ570:FC585 EQ676:EX925 EA7:EA8 GP648:HB714 GP647:HB647 HI647:JO647 EY708:GM713 EY707:GM707 GO707 EY715:GM722 EY714:GM714 GO714 EY724:GO925 EY723:GM723 GO723 GO708:GO713 GO715:GO722 GN715:GN722 GN708:GN713 GN707 GN714 GN723 GP643:HB646 GP642:GR642 GS642:HB642 GI583:HB590 GI582:HB582 HI582:JO582 GI568:HB581 GI567:HB567 HI567:JO567 ER23:EX23 EQ210:ET213 EX210:GO213 EX209:GO209 EX208:GO208 EV207 EU208:EW208 EU209:EW209 EU210:EW213 EU207 EW207 EQ623:EX675 ER622:EX622 ES10:FY10 EQ419 EQ420 ER419 ER420 ER418:ES418 EQ418 EW420 EU420:EV420 EU418:EV418 EV419 EU419 EW419 ET418 ES420:ET420 ET419 ES419 EP4 ER4 ET4 EV4 EX4:EY4 GQ4 EM359:GO379 EM358:GG358 GI358 GK358 GM358:GO358 HI29:JO73 HI22:JO28 HI75:JW79 HI80:JW86 HI87:JW103 HI4:JW4 HI74:JW74 HI11:HI21 HI7:HI9 HI207:JW209 HI146:JW148 HI356:JW418 HI315:JW355 HI313:JW314 HI262:JW292 HI210:JW223 HI198:JW206 HI193:JW197 HI149:JW173 HI112:JO121 HI224:JO241 HI926:JO935 HI6:JW6 HI109:HJ109 HI107:HJ108 HI110:HJ111 HI124:JO124 HI127:JO145 HI126:JO126 HI123:JO123 HI122:JO122 HI247:JO261 HI242:JO242 HI244:JO244 HI243:JO243 HI306:JW312 HI305:JW305 HI5:JW5 HI125:JO125 HI176:JW192 HI174:JW175 HI245:JO245 HI296:JW304 HI295:JW295 HI294:JW294 HI293:JW293 HI246:JO246 HI538:JO538 HI539:JO566 HI595:JO597 HI522:JO523 HI591:JO593 HI525:JO525 HI519:JO520 HI524:JO524 HI527:JO532 HI521:JO521 HI534:JO537 HI594:JO594 HI715:JO715 HI716:JO925 HI623:JO623 HI624:JO634 HI635:JO641 HI526:JO526 HI533:JO533 HI598:JO606 HI608:JO622 HI607:JO607 HI491:JO518 HI481:JO488 HI489:JO490 HI419:JO480 HI648:JO714 HI643:JO646 HI642:JO642 HI583:JO590 HI568:JO581" formula="1"/>
    <ignoredError sqref="GJ6" numberStoredAsText="1"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2510" r:id="rId4" name="Button 462">
              <controlPr defaultSize="0" print="0" autoFill="0" autoLine="0" autoPict="0" macro="[0]!Decimalization">
                <anchor moveWithCells="1" sizeWithCells="1">
                  <from>
                    <xdr:col>157</xdr:col>
                    <xdr:colOff>0</xdr:colOff>
                    <xdr:row>437</xdr:row>
                    <xdr:rowOff>0</xdr:rowOff>
                  </from>
                  <to>
                    <xdr:col>190</xdr:col>
                    <xdr:colOff>0</xdr:colOff>
                    <xdr:row>437</xdr:row>
                    <xdr:rowOff>0</xdr:rowOff>
                  </to>
                </anchor>
              </controlPr>
            </control>
          </mc:Choice>
        </mc:AlternateContent>
        <mc:AlternateContent xmlns:mc="http://schemas.openxmlformats.org/markup-compatibility/2006">
          <mc:Choice Requires="x14">
            <control shapeId="2511" r:id="rId5" name="Button 463">
              <controlPr defaultSize="0" print="0" autoFill="0" autoLine="0" autoPict="0" macro="[0]!ColorCellsBlue">
                <anchor moveWithCells="1" sizeWithCells="1">
                  <from>
                    <xdr:col>157</xdr:col>
                    <xdr:colOff>0</xdr:colOff>
                    <xdr:row>214</xdr:row>
                    <xdr:rowOff>0</xdr:rowOff>
                  </from>
                  <to>
                    <xdr:col>157</xdr:col>
                    <xdr:colOff>0</xdr:colOff>
                    <xdr:row>214</xdr:row>
                    <xdr:rowOff>0</xdr:rowOff>
                  </to>
                </anchor>
              </controlPr>
            </control>
          </mc:Choice>
        </mc:AlternateContent>
        <mc:AlternateContent xmlns:mc="http://schemas.openxmlformats.org/markup-compatibility/2006">
          <mc:Choice Requires="x14">
            <control shapeId="2512" r:id="rId6" name="Button 464">
              <controlPr defaultSize="0" print="0" autoFill="0" autoLine="0" autoPict="0" macro="[0]!ColorCellsBlack">
                <anchor moveWithCells="1" sizeWithCells="1">
                  <from>
                    <xdr:col>157</xdr:col>
                    <xdr:colOff>0</xdr:colOff>
                    <xdr:row>214</xdr:row>
                    <xdr:rowOff>0</xdr:rowOff>
                  </from>
                  <to>
                    <xdr:col>157</xdr:col>
                    <xdr:colOff>0</xdr:colOff>
                    <xdr:row>214</xdr:row>
                    <xdr:rowOff>0</xdr:rowOff>
                  </to>
                </anchor>
              </controlPr>
            </control>
          </mc:Choice>
        </mc:AlternateContent>
        <mc:AlternateContent xmlns:mc="http://schemas.openxmlformats.org/markup-compatibility/2006">
          <mc:Choice Requires="x14">
            <control shapeId="41448" r:id="rId7" name="Button 1512">
              <controlPr defaultSize="0" print="0" autoFill="0" autoLine="0" autoPict="0" macro="[0]!Decimalization">
                <anchor moveWithCells="1" sizeWithCells="1">
                  <from>
                    <xdr:col>157</xdr:col>
                    <xdr:colOff>0</xdr:colOff>
                    <xdr:row>437</xdr:row>
                    <xdr:rowOff>0</xdr:rowOff>
                  </from>
                  <to>
                    <xdr:col>190</xdr:col>
                    <xdr:colOff>0</xdr:colOff>
                    <xdr:row>437</xdr:row>
                    <xdr:rowOff>0</xdr:rowOff>
                  </to>
                </anchor>
              </controlPr>
            </control>
          </mc:Choice>
        </mc:AlternateContent>
        <mc:AlternateContent xmlns:mc="http://schemas.openxmlformats.org/markup-compatibility/2006">
          <mc:Choice Requires="x14">
            <control shapeId="41449" r:id="rId8" name="Button 1513">
              <controlPr defaultSize="0" print="0" autoFill="0" autoLine="0" autoPict="0" macro="[0]!ColorCellsBlue">
                <anchor moveWithCells="1" sizeWithCells="1">
                  <from>
                    <xdr:col>157</xdr:col>
                    <xdr:colOff>0</xdr:colOff>
                    <xdr:row>214</xdr:row>
                    <xdr:rowOff>0</xdr:rowOff>
                  </from>
                  <to>
                    <xdr:col>157</xdr:col>
                    <xdr:colOff>0</xdr:colOff>
                    <xdr:row>214</xdr:row>
                    <xdr:rowOff>0</xdr:rowOff>
                  </to>
                </anchor>
              </controlPr>
            </control>
          </mc:Choice>
        </mc:AlternateContent>
        <mc:AlternateContent xmlns:mc="http://schemas.openxmlformats.org/markup-compatibility/2006">
          <mc:Choice Requires="x14">
            <control shapeId="41450" r:id="rId9" name="Button 1514">
              <controlPr defaultSize="0" print="0" autoFill="0" autoLine="0" autoPict="0" macro="[0]!ColorCellsBlack">
                <anchor moveWithCells="1" sizeWithCells="1">
                  <from>
                    <xdr:col>157</xdr:col>
                    <xdr:colOff>0</xdr:colOff>
                    <xdr:row>214</xdr:row>
                    <xdr:rowOff>0</xdr:rowOff>
                  </from>
                  <to>
                    <xdr:col>157</xdr:col>
                    <xdr:colOff>0</xdr:colOff>
                    <xdr:row>214</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JE570"/>
  <sheetViews>
    <sheetView showGridLines="0" zoomScaleNormal="100" workbookViewId="0">
      <pane xSplit="1" ySplit="5" topLeftCell="DJ6" activePane="bottomRight" state="frozen"/>
      <selection activeCell="A86" sqref="A86"/>
      <selection pane="topRight" activeCell="A86" sqref="A86"/>
      <selection pane="bottomLeft" activeCell="A86" sqref="A86"/>
      <selection pane="bottomRight" activeCell="A86" sqref="A86"/>
    </sheetView>
  </sheetViews>
  <sheetFormatPr defaultRowHeight="12.75" customHeight="1" outlineLevelRow="2" outlineLevelCol="1" x14ac:dyDescent="0.2"/>
  <cols>
    <col min="1" max="1" width="30.7109375" style="2" customWidth="1"/>
    <col min="2" max="57" width="7.42578125" style="2" hidden="1" customWidth="1" outlineLevel="1"/>
    <col min="58" max="58" width="7.42578125" style="2" hidden="1" customWidth="1" outlineLevel="1" collapsed="1"/>
    <col min="59" max="65" width="7.42578125" style="2" hidden="1" customWidth="1" outlineLevel="1"/>
    <col min="66" max="66" width="7.42578125" style="2" hidden="1" customWidth="1" outlineLevel="1" collapsed="1"/>
    <col min="67" max="73" width="7.42578125" style="2" hidden="1" customWidth="1" outlineLevel="1"/>
    <col min="74" max="74" width="7.42578125" style="2" hidden="1" customWidth="1" outlineLevel="1" collapsed="1"/>
    <col min="75" max="75" width="7.42578125" style="2" hidden="1" customWidth="1" outlineLevel="1"/>
    <col min="76" max="76" width="7.42578125" style="2" hidden="1" customWidth="1" outlineLevel="1" collapsed="1"/>
    <col min="77" max="77" width="7.42578125" style="2" hidden="1" customWidth="1" outlineLevel="1"/>
    <col min="78" max="78" width="7.42578125" style="2" hidden="1" customWidth="1" outlineLevel="1" collapsed="1"/>
    <col min="79" max="79" width="7.42578125" style="2" hidden="1" customWidth="1" outlineLevel="1"/>
    <col min="80" max="80" width="7.42578125" style="2" hidden="1" customWidth="1" outlineLevel="1" collapsed="1"/>
    <col min="81" max="81" width="7.42578125" style="2" hidden="1" customWidth="1" outlineLevel="1"/>
    <col min="82" max="82" width="7.42578125" style="2" hidden="1" customWidth="1" outlineLevel="1" collapsed="1"/>
    <col min="83" max="83" width="7.42578125" style="2" hidden="1" customWidth="1" outlineLevel="1"/>
    <col min="84" max="84" width="7.42578125" style="2" hidden="1" customWidth="1" outlineLevel="1" collapsed="1"/>
    <col min="85" max="85" width="7.42578125" style="2" hidden="1" customWidth="1" outlineLevel="1"/>
    <col min="86" max="86" width="7.42578125" style="2" hidden="1" customWidth="1" outlineLevel="1" collapsed="1"/>
    <col min="87" max="87" width="7.42578125" style="2" hidden="1" customWidth="1" outlineLevel="1"/>
    <col min="88" max="88" width="7.42578125" style="2" hidden="1" customWidth="1" outlineLevel="1" collapsed="1"/>
    <col min="89" max="99" width="7.42578125" style="2" hidden="1" customWidth="1" outlineLevel="1"/>
    <col min="100" max="100" width="7.42578125" style="2" hidden="1" customWidth="1" outlineLevel="1" collapsed="1"/>
    <col min="101" max="101" width="7.42578125" style="2" hidden="1" customWidth="1" outlineLevel="1"/>
    <col min="102" max="102" width="7.42578125" style="2" hidden="1" customWidth="1" outlineLevel="1" collapsed="1"/>
    <col min="103" max="103" width="7.42578125" style="2" hidden="1" customWidth="1" outlineLevel="1"/>
    <col min="104" max="104" width="7.42578125" style="2" hidden="1" customWidth="1" outlineLevel="1" collapsed="1"/>
    <col min="105" max="105" width="7.42578125" style="2" hidden="1" customWidth="1" outlineLevel="1"/>
    <col min="106" max="106" width="7.42578125" style="2" hidden="1" customWidth="1" outlineLevel="1" collapsed="1"/>
    <col min="107" max="107" width="7.42578125" style="2" hidden="1" customWidth="1" outlineLevel="1"/>
    <col min="108" max="108" width="7.42578125" style="2" hidden="1" customWidth="1" outlineLevel="1" collapsed="1"/>
    <col min="109" max="109" width="7.42578125" style="2" hidden="1" customWidth="1" outlineLevel="1"/>
    <col min="110" max="110" width="7.42578125" style="2" hidden="1" customWidth="1" outlineLevel="1" collapsed="1"/>
    <col min="111" max="111" width="7.42578125" style="2" hidden="1" customWidth="1" outlineLevel="1"/>
    <col min="112" max="112" width="7.42578125" style="2" hidden="1" customWidth="1" outlineLevel="1" collapsed="1"/>
    <col min="113" max="113" width="7.42578125" style="2" hidden="1" customWidth="1" outlineLevel="1"/>
    <col min="114" max="114" width="7.42578125" style="2" customWidth="1" collapsed="1"/>
    <col min="115" max="115" width="7.42578125" style="2" hidden="1" customWidth="1" outlineLevel="1"/>
    <col min="116" max="116" width="7.42578125" style="2" customWidth="1" collapsed="1"/>
    <col min="117" max="117" width="7.42578125" style="2" hidden="1" customWidth="1" outlineLevel="1"/>
    <col min="118" max="118" width="7.42578125" style="2" customWidth="1" collapsed="1"/>
    <col min="119" max="119" width="7.42578125" style="2" hidden="1" customWidth="1" outlineLevel="1"/>
    <col min="120" max="120" width="7.42578125" style="2" customWidth="1" collapsed="1"/>
    <col min="121" max="121" width="7.42578125" style="2" hidden="1" customWidth="1" outlineLevel="1"/>
    <col min="122" max="122" width="7.42578125" style="2" customWidth="1" collapsed="1"/>
    <col min="123" max="123" width="7.42578125" style="2" customWidth="1" outlineLevel="1"/>
    <col min="124" max="124" width="7.42578125" style="2" customWidth="1"/>
    <col min="125" max="125" width="7.42578125" style="2" hidden="1" customWidth="1" outlineLevel="1"/>
    <col min="126" max="126" width="7.42578125" style="2" customWidth="1" collapsed="1"/>
    <col min="127" max="127" width="7.42578125" style="2" hidden="1" customWidth="1" outlineLevel="1"/>
    <col min="128" max="128" width="7.42578125" style="2" customWidth="1" collapsed="1"/>
    <col min="129" max="129" width="7.42578125" style="2" hidden="1" customWidth="1" outlineLevel="1"/>
    <col min="130" max="130" width="0.85546875" style="2" customWidth="1" collapsed="1"/>
    <col min="131" max="136" width="7.42578125" style="2" hidden="1" customWidth="1" outlineLevel="1"/>
    <col min="137" max="137" width="7.42578125" style="2" hidden="1" customWidth="1" outlineLevel="1" collapsed="1"/>
    <col min="138" max="148" width="7.42578125" style="2" hidden="1" customWidth="1" outlineLevel="1"/>
    <col min="149" max="149" width="7.42578125" style="2" hidden="1" customWidth="1" outlineLevel="1" collapsed="1"/>
    <col min="150" max="152" width="7.42578125" style="2" hidden="1" customWidth="1" outlineLevel="1"/>
    <col min="153" max="153" width="7.42578125" style="2" hidden="1" customWidth="1" collapsed="1"/>
    <col min="154" max="156" width="7.42578125" style="2" hidden="1" customWidth="1" outlineLevel="1"/>
    <col min="157" max="157" width="7.42578125" style="2" hidden="1" customWidth="1" outlineLevel="1" collapsed="1"/>
    <col min="158" max="158" width="7.42578125" style="2" hidden="1" customWidth="1" outlineLevel="1"/>
    <col min="159" max="159" width="7.42578125" style="2" customWidth="1" collapsed="1"/>
    <col min="160" max="160" width="7.42578125" style="2" hidden="1" customWidth="1" outlineLevel="1"/>
    <col min="161" max="161" width="7.42578125" style="2" customWidth="1" collapsed="1"/>
    <col min="162" max="162" width="7.42578125" style="2" hidden="1" customWidth="1" outlineLevel="1"/>
    <col min="163" max="163" width="7.42578125" style="2" customWidth="1" collapsed="1"/>
    <col min="164" max="164" width="7.42578125" style="2" customWidth="1" outlineLevel="1"/>
    <col min="165" max="165" width="7.42578125" style="2" customWidth="1"/>
    <col min="166" max="166" width="7.42578125" style="2" customWidth="1" outlineLevel="1"/>
    <col min="167" max="167" width="7.42578125" style="2" customWidth="1"/>
    <col min="168" max="168" width="7.42578125" style="2" hidden="1" customWidth="1" outlineLevel="1"/>
    <col min="169" max="169" width="7.42578125" style="2" customWidth="1" collapsed="1"/>
    <col min="170" max="170" width="7.42578125" style="2" hidden="1" customWidth="1" outlineLevel="1"/>
    <col min="171" max="171" width="7.42578125" style="2" customWidth="1" collapsed="1"/>
    <col min="172" max="172" width="7.42578125" style="2" hidden="1" customWidth="1" outlineLevel="1"/>
    <col min="173" max="173" width="7.42578125" style="2" customWidth="1" collapsed="1"/>
    <col min="174" max="174" width="7.42578125" style="2" hidden="1" customWidth="1" outlineLevel="1"/>
    <col min="175" max="175" width="7.42578125" style="2" customWidth="1" collapsed="1"/>
    <col min="176" max="176" width="7.42578125" style="2" customWidth="1"/>
    <col min="177" max="16384" width="9.140625" style="2"/>
  </cols>
  <sheetData>
    <row r="1" spans="1:176" s="528" customFormat="1" ht="21.95" customHeight="1" x14ac:dyDescent="0.25">
      <c r="A1" s="434" t="str">
        <f>INPUT!B4</f>
        <v>Prudential Financial, Inc.</v>
      </c>
      <c r="B1" s="435"/>
      <c r="C1" s="436"/>
      <c r="D1" s="435"/>
      <c r="E1" s="436"/>
      <c r="F1" s="435"/>
      <c r="G1" s="436"/>
      <c r="H1" s="435"/>
      <c r="I1" s="436"/>
      <c r="J1" s="435"/>
      <c r="K1" s="436"/>
      <c r="L1" s="435"/>
      <c r="M1" s="436"/>
      <c r="N1" s="435"/>
      <c r="O1" s="436"/>
      <c r="P1" s="435"/>
      <c r="Q1" s="436"/>
      <c r="R1" s="435"/>
      <c r="S1" s="436"/>
      <c r="T1" s="435"/>
      <c r="U1" s="436"/>
      <c r="V1" s="435"/>
      <c r="W1" s="436"/>
      <c r="X1" s="435"/>
      <c r="Y1" s="436"/>
      <c r="Z1" s="435"/>
      <c r="AA1" s="436"/>
      <c r="AB1" s="435"/>
      <c r="AC1" s="436"/>
      <c r="AD1" s="435"/>
      <c r="AE1" s="436"/>
      <c r="AF1" s="435"/>
      <c r="AG1" s="436"/>
      <c r="AH1" s="435"/>
      <c r="AI1" s="435"/>
      <c r="AJ1" s="435"/>
      <c r="AK1" s="435"/>
      <c r="AL1" s="435"/>
      <c r="AM1" s="435"/>
      <c r="AN1" s="435"/>
      <c r="AO1" s="435"/>
      <c r="AP1" s="435"/>
      <c r="AQ1" s="435"/>
      <c r="AR1" s="435"/>
      <c r="AS1" s="435"/>
      <c r="AT1" s="435"/>
      <c r="AU1" s="435"/>
      <c r="AV1" s="435"/>
      <c r="AW1" s="435"/>
      <c r="AX1" s="435"/>
      <c r="AY1" s="435"/>
      <c r="AZ1" s="435"/>
      <c r="BA1" s="435"/>
      <c r="BB1" s="435"/>
      <c r="BC1" s="435"/>
      <c r="BD1" s="435"/>
      <c r="BE1" s="435"/>
      <c r="BF1" s="435"/>
      <c r="BG1" s="435"/>
      <c r="BH1" s="435"/>
      <c r="BI1" s="435"/>
      <c r="BJ1" s="435"/>
      <c r="BK1" s="435"/>
      <c r="BL1" s="435"/>
      <c r="BM1" s="435"/>
      <c r="BN1" s="435"/>
      <c r="BO1" s="435"/>
      <c r="BP1" s="435"/>
      <c r="BQ1" s="435"/>
      <c r="BR1" s="435"/>
      <c r="BS1" s="435"/>
      <c r="BT1" s="435"/>
      <c r="BU1" s="435"/>
      <c r="BV1" s="435"/>
      <c r="BW1" s="435"/>
      <c r="BX1" s="435"/>
      <c r="BY1" s="435"/>
      <c r="BZ1" s="435"/>
      <c r="CA1" s="435"/>
      <c r="CB1" s="435"/>
      <c r="CC1" s="435"/>
      <c r="CD1" s="435"/>
      <c r="CE1" s="435"/>
      <c r="CF1" s="435"/>
      <c r="CG1" s="435"/>
      <c r="CH1" s="435"/>
      <c r="CI1" s="435"/>
      <c r="CJ1" s="435"/>
      <c r="CK1" s="435"/>
      <c r="CL1" s="435"/>
      <c r="CM1" s="435"/>
      <c r="CN1" s="435"/>
      <c r="CO1" s="435"/>
      <c r="CP1" s="435"/>
      <c r="CQ1" s="435"/>
      <c r="CR1" s="435"/>
      <c r="CS1" s="435"/>
      <c r="CT1" s="435"/>
      <c r="CU1" s="435"/>
      <c r="CV1" s="435"/>
      <c r="CW1" s="435"/>
      <c r="CX1" s="435"/>
      <c r="CY1" s="435"/>
      <c r="CZ1" s="435"/>
      <c r="DA1" s="435"/>
      <c r="DB1" s="435"/>
      <c r="DC1" s="435"/>
      <c r="DD1" s="435"/>
      <c r="DE1" s="435"/>
      <c r="DF1" s="435"/>
      <c r="DG1" s="435"/>
      <c r="DH1" s="435"/>
      <c r="DI1" s="435"/>
      <c r="DJ1" s="435"/>
      <c r="DK1" s="435"/>
      <c r="DL1" s="435"/>
      <c r="DM1" s="435"/>
      <c r="DN1" s="435"/>
      <c r="DO1" s="435"/>
      <c r="DP1" s="435"/>
      <c r="DQ1" s="435"/>
      <c r="DR1" s="435"/>
      <c r="DS1" s="435"/>
      <c r="DT1" s="435"/>
      <c r="DU1" s="435"/>
      <c r="DV1" s="435"/>
      <c r="DW1" s="435"/>
      <c r="DX1" s="435"/>
      <c r="DY1" s="435"/>
      <c r="DZ1" s="435"/>
      <c r="EA1" s="435"/>
      <c r="EB1" s="436"/>
      <c r="EC1" s="435"/>
      <c r="ED1" s="436"/>
      <c r="EE1" s="435"/>
      <c r="EF1" s="436"/>
      <c r="EG1" s="435"/>
      <c r="EH1" s="436"/>
      <c r="EI1" s="435"/>
      <c r="EJ1" s="435"/>
      <c r="EK1" s="435"/>
      <c r="EL1" s="435"/>
      <c r="EM1" s="435"/>
      <c r="EN1" s="435"/>
      <c r="EO1" s="435"/>
      <c r="EP1" s="435"/>
      <c r="EQ1" s="435"/>
      <c r="ER1" s="435"/>
      <c r="ES1" s="435"/>
      <c r="ET1" s="435"/>
      <c r="EU1" s="435"/>
      <c r="EV1" s="435"/>
      <c r="EW1" s="435"/>
      <c r="EX1" s="435"/>
      <c r="EY1" s="435"/>
      <c r="EZ1" s="435"/>
      <c r="FA1" s="435"/>
      <c r="FB1" s="435"/>
      <c r="FC1" s="435"/>
      <c r="FD1" s="435"/>
      <c r="FE1" s="435"/>
      <c r="FF1" s="435"/>
      <c r="FG1" s="435"/>
      <c r="FH1" s="435"/>
      <c r="FI1" s="435"/>
      <c r="FJ1" s="435"/>
      <c r="FK1" s="435"/>
      <c r="FL1" s="435"/>
      <c r="FM1" s="435"/>
      <c r="FN1" s="435"/>
      <c r="FO1" s="435"/>
      <c r="FP1" s="435"/>
      <c r="FQ1" s="435"/>
      <c r="FR1" s="435"/>
      <c r="FS1" s="435"/>
    </row>
    <row r="2" spans="1:176" s="529" customFormat="1" ht="12.75" customHeight="1" x14ac:dyDescent="0.2">
      <c r="A2" s="437" t="s">
        <v>0</v>
      </c>
      <c r="B2" s="438"/>
      <c r="C2" s="439"/>
      <c r="D2" s="438"/>
      <c r="E2" s="439"/>
      <c r="F2" s="438"/>
      <c r="G2" s="439"/>
      <c r="H2" s="438"/>
      <c r="I2" s="439"/>
      <c r="J2" s="438"/>
      <c r="K2" s="439"/>
      <c r="L2" s="438"/>
      <c r="M2" s="439"/>
      <c r="N2" s="438"/>
      <c r="O2" s="439"/>
      <c r="P2" s="438"/>
      <c r="Q2" s="439"/>
      <c r="R2" s="438"/>
      <c r="S2" s="439"/>
      <c r="T2" s="438"/>
      <c r="U2" s="439"/>
      <c r="V2" s="438"/>
      <c r="W2" s="439"/>
      <c r="X2" s="438"/>
      <c r="Y2" s="439"/>
      <c r="Z2" s="438"/>
      <c r="AA2" s="439"/>
      <c r="AB2" s="438"/>
      <c r="AC2" s="439"/>
      <c r="AD2" s="438"/>
      <c r="AE2" s="439"/>
      <c r="AF2" s="438"/>
      <c r="AG2" s="439"/>
      <c r="AH2" s="438"/>
      <c r="AI2" s="438"/>
      <c r="AJ2" s="438"/>
      <c r="AK2" s="438"/>
      <c r="AL2" s="438"/>
      <c r="AM2" s="438"/>
      <c r="AN2" s="438"/>
      <c r="AO2" s="438"/>
      <c r="AP2" s="438"/>
      <c r="AQ2" s="438"/>
      <c r="AR2" s="438"/>
      <c r="AS2" s="438"/>
      <c r="AT2" s="438"/>
      <c r="AU2" s="438"/>
      <c r="AV2" s="438"/>
      <c r="AW2" s="438"/>
      <c r="AX2" s="438"/>
      <c r="AY2" s="438"/>
      <c r="AZ2" s="438"/>
      <c r="BA2" s="438"/>
      <c r="BB2" s="438"/>
      <c r="BC2" s="438"/>
      <c r="BD2" s="438"/>
      <c r="BE2" s="438"/>
      <c r="BF2" s="438"/>
      <c r="BG2" s="438"/>
      <c r="BH2" s="438"/>
      <c r="BI2" s="438"/>
      <c r="BJ2" s="438"/>
      <c r="BK2" s="438"/>
      <c r="BL2" s="438"/>
      <c r="BM2" s="438"/>
      <c r="BN2" s="438"/>
      <c r="BO2" s="438"/>
      <c r="BP2" s="438"/>
      <c r="BQ2" s="438"/>
      <c r="BR2" s="438"/>
      <c r="BS2" s="438"/>
      <c r="BT2" s="438"/>
      <c r="BU2" s="438"/>
      <c r="BV2" s="438"/>
      <c r="BW2" s="438"/>
      <c r="BX2" s="438"/>
      <c r="BY2" s="438"/>
      <c r="BZ2" s="438"/>
      <c r="CA2" s="438"/>
      <c r="CB2" s="438"/>
      <c r="CC2" s="438"/>
      <c r="CD2" s="438"/>
      <c r="CE2" s="438"/>
      <c r="CF2" s="438"/>
      <c r="CG2" s="438"/>
      <c r="CH2" s="438"/>
      <c r="CI2" s="438"/>
      <c r="CJ2" s="438"/>
      <c r="CK2" s="438"/>
      <c r="CL2" s="438"/>
      <c r="CM2" s="438"/>
      <c r="CN2" s="438"/>
      <c r="CO2" s="438"/>
      <c r="CP2" s="438"/>
      <c r="CQ2" s="438"/>
      <c r="CR2" s="438"/>
      <c r="CS2" s="438"/>
      <c r="CT2" s="438"/>
      <c r="CU2" s="438"/>
      <c r="CV2" s="438"/>
      <c r="CW2" s="438"/>
      <c r="CX2" s="438"/>
      <c r="CY2" s="438"/>
      <c r="CZ2" s="438"/>
      <c r="DA2" s="438"/>
      <c r="DB2" s="438"/>
      <c r="DC2" s="438"/>
      <c r="DD2" s="438"/>
      <c r="DE2" s="438"/>
      <c r="DF2" s="438"/>
      <c r="DG2" s="438"/>
      <c r="DH2" s="438"/>
      <c r="DI2" s="438"/>
      <c r="DJ2" s="438"/>
      <c r="DK2" s="438"/>
      <c r="DL2" s="438"/>
      <c r="DM2" s="438"/>
      <c r="DN2" s="438"/>
      <c r="DO2" s="438"/>
      <c r="DP2" s="438"/>
      <c r="DQ2" s="438"/>
      <c r="DR2" s="438"/>
      <c r="DS2" s="438"/>
      <c r="DT2" s="438"/>
      <c r="DU2" s="438"/>
      <c r="DV2" s="438"/>
      <c r="DW2" s="438"/>
      <c r="DX2" s="438"/>
      <c r="DY2" s="438"/>
      <c r="DZ2" s="438"/>
      <c r="EA2" s="438"/>
      <c r="EB2" s="439"/>
      <c r="EC2" s="438"/>
      <c r="ED2" s="439"/>
      <c r="EE2" s="438"/>
      <c r="EF2" s="439"/>
      <c r="EG2" s="438"/>
      <c r="EH2" s="439"/>
      <c r="EI2" s="438"/>
      <c r="EJ2" s="438"/>
      <c r="EK2" s="438"/>
      <c r="EL2" s="438"/>
      <c r="EM2" s="438"/>
      <c r="EN2" s="438"/>
      <c r="EO2" s="438"/>
      <c r="EP2" s="438"/>
      <c r="EQ2" s="438"/>
      <c r="ER2" s="438"/>
      <c r="ES2" s="438"/>
      <c r="ET2" s="438"/>
      <c r="EU2" s="438"/>
      <c r="EV2" s="438"/>
      <c r="EW2" s="438"/>
      <c r="EX2" s="438"/>
      <c r="EY2" s="438"/>
      <c r="EZ2" s="438"/>
      <c r="FA2" s="438"/>
      <c r="FB2" s="438"/>
      <c r="FC2" s="438"/>
      <c r="FD2" s="438"/>
      <c r="FE2" s="438"/>
      <c r="FF2" s="438"/>
      <c r="FG2" s="438"/>
      <c r="FH2" s="438"/>
      <c r="FI2" s="438"/>
      <c r="FJ2" s="438"/>
      <c r="FK2" s="438"/>
      <c r="FL2" s="438"/>
      <c r="FM2" s="438"/>
      <c r="FN2" s="438"/>
      <c r="FO2" s="438"/>
      <c r="FP2" s="438"/>
      <c r="FQ2" s="438"/>
      <c r="FR2" s="438"/>
      <c r="FS2" s="438"/>
    </row>
    <row r="3" spans="1:176" s="529" customFormat="1" ht="12.75" customHeight="1" x14ac:dyDescent="0.2">
      <c r="A3" s="821" t="s">
        <v>672</v>
      </c>
      <c r="B3" s="822"/>
      <c r="C3" s="823" t="str">
        <f>INPUT!AB$4</f>
        <v>1Q03/</v>
      </c>
      <c r="D3" s="822"/>
      <c r="E3" s="823" t="str">
        <f>INPUT!AD$4</f>
        <v>2Q03/</v>
      </c>
      <c r="F3" s="822"/>
      <c r="G3" s="823" t="str">
        <f>INPUT!AF$4</f>
        <v>3Q03/</v>
      </c>
      <c r="H3" s="822"/>
      <c r="I3" s="823" t="str">
        <f>INPUT!AH$4</f>
        <v>4Q03/</v>
      </c>
      <c r="J3" s="822"/>
      <c r="K3" s="823" t="str">
        <f>INPUT!AJ$4</f>
        <v>1Q04/</v>
      </c>
      <c r="L3" s="822"/>
      <c r="M3" s="823" t="str">
        <f>INPUT!AL$4</f>
        <v>2Q04/</v>
      </c>
      <c r="N3" s="822"/>
      <c r="O3" s="823" t="str">
        <f>INPUT!AN$4</f>
        <v>3Q04/</v>
      </c>
      <c r="P3" s="822"/>
      <c r="Q3" s="823" t="str">
        <f>INPUT!AP$4</f>
        <v>4Q04/</v>
      </c>
      <c r="R3" s="822"/>
      <c r="S3" s="823" t="str">
        <f>INPUT!AR$4</f>
        <v>1Q05/</v>
      </c>
      <c r="T3" s="822"/>
      <c r="U3" s="823" t="str">
        <f>INPUT!AT$4</f>
        <v>2Q05/</v>
      </c>
      <c r="V3" s="822"/>
      <c r="W3" s="823" t="str">
        <f>INPUT!AV$4</f>
        <v>3Q05/</v>
      </c>
      <c r="X3" s="822"/>
      <c r="Y3" s="823" t="str">
        <f>INPUT!AX$4</f>
        <v>4Q05/</v>
      </c>
      <c r="Z3" s="822"/>
      <c r="AA3" s="823" t="str">
        <f>INPUT!AZ$4</f>
        <v>1Q06/</v>
      </c>
      <c r="AB3" s="822"/>
      <c r="AC3" s="823" t="str">
        <f>INPUT!BB$4</f>
        <v>2Q06/</v>
      </c>
      <c r="AD3" s="822"/>
      <c r="AE3" s="823" t="str">
        <f>INPUT!BD$4</f>
        <v>3Q06/</v>
      </c>
      <c r="AF3" s="822"/>
      <c r="AG3" s="823" t="str">
        <f>INPUT!BF$4</f>
        <v>4Q06/</v>
      </c>
      <c r="AH3" s="822"/>
      <c r="AI3" s="824" t="str">
        <f>INPUT!BH$4</f>
        <v>1Q07/</v>
      </c>
      <c r="AJ3" s="822"/>
      <c r="AK3" s="824" t="str">
        <f>INPUT!BJ$4</f>
        <v>2Q07/</v>
      </c>
      <c r="AL3" s="822"/>
      <c r="AM3" s="824" t="str">
        <f>INPUT!BL$4</f>
        <v>3Q07/</v>
      </c>
      <c r="AN3" s="822"/>
      <c r="AO3" s="824" t="str">
        <f>INPUT!BN$4</f>
        <v>4Q07/</v>
      </c>
      <c r="AP3" s="822"/>
      <c r="AQ3" s="824" t="str">
        <f>INPUT!BP$4</f>
        <v>1Q08/</v>
      </c>
      <c r="AR3" s="822"/>
      <c r="AS3" s="824" t="str">
        <f>INPUT!BR$4</f>
        <v>2Q08/</v>
      </c>
      <c r="AT3" s="822"/>
      <c r="AU3" s="824" t="str">
        <f>INPUT!BT$4</f>
        <v>3Q08/</v>
      </c>
      <c r="AV3" s="822"/>
      <c r="AW3" s="824" t="str">
        <f>INPUT!BV$4</f>
        <v>4Q08/</v>
      </c>
      <c r="AX3" s="822"/>
      <c r="AY3" s="824" t="str">
        <f>INPUT!BX$4</f>
        <v>1Q09/</v>
      </c>
      <c r="AZ3" s="822"/>
      <c r="BA3" s="824" t="str">
        <f>INPUT!BZ$4</f>
        <v>2Q09/</v>
      </c>
      <c r="BB3" s="822"/>
      <c r="BC3" s="824" t="str">
        <f>INPUT!CB$4</f>
        <v>3Q09/</v>
      </c>
      <c r="BD3" s="822"/>
      <c r="BE3" s="824" t="str">
        <f>INPUT!CD$4</f>
        <v>4Q09/</v>
      </c>
      <c r="BF3" s="822"/>
      <c r="BG3" s="824" t="str">
        <f>INPUT!CF$4</f>
        <v>1Q10/</v>
      </c>
      <c r="BH3" s="822"/>
      <c r="BI3" s="824" t="str">
        <f>INPUT!CH$4</f>
        <v>2Q10/</v>
      </c>
      <c r="BJ3" s="822"/>
      <c r="BK3" s="824" t="str">
        <f>INPUT!CJ$4</f>
        <v>3Q10/</v>
      </c>
      <c r="BL3" s="822"/>
      <c r="BM3" s="824" t="str">
        <f>INPUT!CL$4</f>
        <v>4Q10/</v>
      </c>
      <c r="BN3" s="822"/>
      <c r="BO3" s="824" t="str">
        <f>INPUT!CN$4</f>
        <v>1Q11/</v>
      </c>
      <c r="BP3" s="822"/>
      <c r="BQ3" s="824" t="str">
        <f>INPUT!CP$4</f>
        <v>2Q11/</v>
      </c>
      <c r="BR3" s="822"/>
      <c r="BS3" s="824" t="str">
        <f>INPUT!CR$4</f>
        <v>3Q11/</v>
      </c>
      <c r="BT3" s="822"/>
      <c r="BU3" s="824" t="str">
        <f>INPUT!CT$4</f>
        <v>4Q11/</v>
      </c>
      <c r="BV3" s="822"/>
      <c r="BW3" s="824" t="str">
        <f>INPUT!CV$4</f>
        <v>1Q12/</v>
      </c>
      <c r="BX3" s="822"/>
      <c r="BY3" s="824" t="str">
        <f>INPUT!CX$4</f>
        <v>2Q12/</v>
      </c>
      <c r="BZ3" s="822"/>
      <c r="CA3" s="824" t="str">
        <f>INPUT!CZ$4</f>
        <v>3Q12/</v>
      </c>
      <c r="CB3" s="822"/>
      <c r="CC3" s="824" t="str">
        <f>INPUT!DB$4</f>
        <v>4Q12/</v>
      </c>
      <c r="CD3" s="822"/>
      <c r="CE3" s="824" t="str">
        <f>INPUT!DD$4</f>
        <v>1Q13/</v>
      </c>
      <c r="CF3" s="822"/>
      <c r="CG3" s="824" t="str">
        <f>INPUT!DF$4</f>
        <v>2Q13/</v>
      </c>
      <c r="CH3" s="822"/>
      <c r="CI3" s="824" t="str">
        <f>INPUT!DH$4</f>
        <v>3Q13/</v>
      </c>
      <c r="CJ3" s="822"/>
      <c r="CK3" s="824" t="str">
        <f>INPUT!DJ$4</f>
        <v>4Q13/</v>
      </c>
      <c r="CL3" s="822"/>
      <c r="CM3" s="824" t="str">
        <f>INPUT!DL$4</f>
        <v>1Q14/</v>
      </c>
      <c r="CN3" s="822"/>
      <c r="CO3" s="824" t="str">
        <f>INPUT!DN$4</f>
        <v>2Q14/</v>
      </c>
      <c r="CP3" s="822"/>
      <c r="CQ3" s="824" t="str">
        <f>INPUT!DP$4</f>
        <v>3Q14/</v>
      </c>
      <c r="CR3" s="822"/>
      <c r="CS3" s="824" t="str">
        <f>INPUT!DR$4</f>
        <v>4Q14/</v>
      </c>
      <c r="CT3" s="822"/>
      <c r="CU3" s="824" t="str">
        <f>INPUT!DT$4</f>
        <v>1Q15/</v>
      </c>
      <c r="CV3" s="822"/>
      <c r="CW3" s="824" t="str">
        <f>INPUT!DV$4</f>
        <v>2Q15/</v>
      </c>
      <c r="CX3" s="822"/>
      <c r="CY3" s="824" t="str">
        <f>INPUT!DX$4</f>
        <v>3Q15/</v>
      </c>
      <c r="CZ3" s="822"/>
      <c r="DA3" s="824" t="str">
        <f>INPUT!DZ$4</f>
        <v>4Q15/</v>
      </c>
      <c r="DB3" s="822"/>
      <c r="DC3" s="824" t="str">
        <f>INPUT!EB$4</f>
        <v>1Q16/</v>
      </c>
      <c r="DD3" s="822"/>
      <c r="DE3" s="824" t="str">
        <f>INPUT!ED$4</f>
        <v>2Q16/</v>
      </c>
      <c r="DF3" s="822"/>
      <c r="DG3" s="824" t="str">
        <f>INPUT!EF$4</f>
        <v>3Q16/</v>
      </c>
      <c r="DH3" s="822"/>
      <c r="DI3" s="824" t="str">
        <f>INPUT!EH$4</f>
        <v>4Q16/</v>
      </c>
      <c r="DJ3" s="822"/>
      <c r="DK3" s="824" t="str">
        <f>INPUT!EJ$4</f>
        <v>1Q17/</v>
      </c>
      <c r="DL3" s="822"/>
      <c r="DM3" s="824" t="str">
        <f>INPUT!EL$4</f>
        <v>2Q17/</v>
      </c>
      <c r="DN3" s="822"/>
      <c r="DO3" s="824" t="str">
        <f>INPUT!EN$4</f>
        <v>3Q17/</v>
      </c>
      <c r="DP3" s="822"/>
      <c r="DQ3" s="824" t="str">
        <f>INPUT!EP$4</f>
        <v>4Q17/</v>
      </c>
      <c r="DR3" s="822"/>
      <c r="DS3" s="824" t="str">
        <f>INPUT!ER$4</f>
        <v>1Q18E/</v>
      </c>
      <c r="DT3" s="822"/>
      <c r="DU3" s="824" t="str">
        <f>INPUT!ET$4</f>
        <v>2Q18E/</v>
      </c>
      <c r="DV3" s="822"/>
      <c r="DW3" s="824" t="str">
        <f>INPUT!EV$4</f>
        <v>3Q18E/</v>
      </c>
      <c r="DX3" s="822"/>
      <c r="DY3" s="824" t="str">
        <f>INPUT!EX$4</f>
        <v>4Q18E/</v>
      </c>
      <c r="DZ3" s="822"/>
      <c r="EA3" s="824"/>
      <c r="EB3" s="823" t="str">
        <f>INPUT!FI$4</f>
        <v>2001/</v>
      </c>
      <c r="EC3" s="822"/>
      <c r="ED3" s="823" t="str">
        <f>INPUT!FK$4</f>
        <v>2002/</v>
      </c>
      <c r="EE3" s="822"/>
      <c r="EF3" s="823" t="str">
        <f>INPUT!FM$4</f>
        <v>2003/</v>
      </c>
      <c r="EG3" s="822"/>
      <c r="EH3" s="823" t="str">
        <f>INPUT!FO$4</f>
        <v>2004/</v>
      </c>
      <c r="EI3" s="822"/>
      <c r="EJ3" s="824" t="str">
        <f>INPUT!FQ$4</f>
        <v>2005/</v>
      </c>
      <c r="EK3" s="822"/>
      <c r="EL3" s="824" t="str">
        <f>INPUT!FS$4</f>
        <v>2006/</v>
      </c>
      <c r="EM3" s="822"/>
      <c r="EN3" s="824" t="str">
        <f>INPUT!FU$4</f>
        <v>2007/</v>
      </c>
      <c r="EO3" s="822"/>
      <c r="EP3" s="824" t="str">
        <f>INPUT!FW$4</f>
        <v>2008/</v>
      </c>
      <c r="EQ3" s="822"/>
      <c r="ER3" s="824" t="str">
        <f>INPUT!FY$4</f>
        <v>2009/</v>
      </c>
      <c r="ES3" s="822"/>
      <c r="ET3" s="824" t="str">
        <f>INPUT!GA$4</f>
        <v>2010/</v>
      </c>
      <c r="EU3" s="822"/>
      <c r="EV3" s="824" t="str">
        <f>INPUT!GC$4</f>
        <v>2011/</v>
      </c>
      <c r="EW3" s="822"/>
      <c r="EX3" s="824" t="str">
        <f>INPUT!GE$4</f>
        <v>2012/</v>
      </c>
      <c r="EY3" s="822"/>
      <c r="EZ3" s="824" t="str">
        <f>INPUT!GG$4</f>
        <v>2013/</v>
      </c>
      <c r="FA3" s="822"/>
      <c r="FB3" s="824" t="str">
        <f>INPUT!GI$4</f>
        <v>2014/</v>
      </c>
      <c r="FC3" s="822"/>
      <c r="FD3" s="824" t="str">
        <f>INPUT!GK$4</f>
        <v>2015/</v>
      </c>
      <c r="FE3" s="822"/>
      <c r="FF3" s="824" t="str">
        <f>INPUT!GM$4</f>
        <v>2016/</v>
      </c>
      <c r="FG3" s="822"/>
      <c r="FH3" s="824" t="str">
        <f>INPUT!GO$4</f>
        <v>2017/</v>
      </c>
      <c r="FI3" s="822"/>
      <c r="FJ3" s="824" t="str">
        <f>INPUT!GQ$4</f>
        <v>2018E/</v>
      </c>
      <c r="FK3" s="822"/>
      <c r="FL3" s="824" t="str">
        <f>INPUT!GS$4</f>
        <v>2019E/</v>
      </c>
      <c r="FM3" s="822"/>
      <c r="FN3" s="824" t="str">
        <f>INPUT!GU$4</f>
        <v>2020E/</v>
      </c>
      <c r="FO3" s="822"/>
      <c r="FP3" s="824" t="str">
        <f>INPUT!GW$4</f>
        <v>2021E/</v>
      </c>
      <c r="FQ3" s="822"/>
      <c r="FR3" s="824" t="str">
        <f>INPUT!GY$4</f>
        <v>2022E/</v>
      </c>
      <c r="FS3" s="825" t="str">
        <f>INPUT!GZ$4</f>
        <v>5-Yr</v>
      </c>
      <c r="FT3" s="453"/>
    </row>
    <row r="4" spans="1:176" s="529" customFormat="1" ht="12.75" customHeight="1" x14ac:dyDescent="0.2">
      <c r="A4" s="826"/>
      <c r="B4" s="440"/>
      <c r="C4" s="439" t="str">
        <f>INPUT!AB$5</f>
        <v>1Q02</v>
      </c>
      <c r="D4" s="440"/>
      <c r="E4" s="439" t="str">
        <f>INPUT!AD$5</f>
        <v>2Q02</v>
      </c>
      <c r="F4" s="440"/>
      <c r="G4" s="439" t="str">
        <f>INPUT!AF$5</f>
        <v>3Q02</v>
      </c>
      <c r="H4" s="440"/>
      <c r="I4" s="439" t="str">
        <f>INPUT!AH$5</f>
        <v>4Q02</v>
      </c>
      <c r="J4" s="440"/>
      <c r="K4" s="439" t="str">
        <f>INPUT!AJ$5</f>
        <v>1Q03</v>
      </c>
      <c r="L4" s="440"/>
      <c r="M4" s="439" t="str">
        <f>INPUT!AL$5</f>
        <v>2Q03</v>
      </c>
      <c r="N4" s="440"/>
      <c r="O4" s="439" t="str">
        <f>INPUT!AN$5</f>
        <v>3Q03</v>
      </c>
      <c r="P4" s="440"/>
      <c r="Q4" s="439" t="str">
        <f>INPUT!AP$5</f>
        <v>4Q03</v>
      </c>
      <c r="R4" s="440"/>
      <c r="S4" s="439" t="str">
        <f>INPUT!AR$5</f>
        <v>1Q04</v>
      </c>
      <c r="T4" s="440"/>
      <c r="U4" s="439" t="str">
        <f>INPUT!AT$5</f>
        <v>2Q04</v>
      </c>
      <c r="V4" s="440"/>
      <c r="W4" s="439" t="str">
        <f>INPUT!AV$5</f>
        <v>3Q04</v>
      </c>
      <c r="X4" s="440"/>
      <c r="Y4" s="439" t="str">
        <f>INPUT!AX$5</f>
        <v>4Q04</v>
      </c>
      <c r="Z4" s="440"/>
      <c r="AA4" s="439" t="str">
        <f>INPUT!AZ$5</f>
        <v>1Q05</v>
      </c>
      <c r="AB4" s="440"/>
      <c r="AC4" s="439" t="str">
        <f>INPUT!BB$5</f>
        <v>2Q05</v>
      </c>
      <c r="AD4" s="440"/>
      <c r="AE4" s="439" t="str">
        <f>INPUT!BD$5</f>
        <v>3Q05</v>
      </c>
      <c r="AF4" s="440"/>
      <c r="AG4" s="439" t="str">
        <f>INPUT!BF$5</f>
        <v>4Q05</v>
      </c>
      <c r="AH4" s="440"/>
      <c r="AI4" s="438" t="str">
        <f>INPUT!BH$5</f>
        <v>1Q06</v>
      </c>
      <c r="AJ4" s="440"/>
      <c r="AK4" s="438" t="str">
        <f>INPUT!BJ$5</f>
        <v>2Q06</v>
      </c>
      <c r="AL4" s="440"/>
      <c r="AM4" s="438" t="str">
        <f>INPUT!BL$5</f>
        <v>3Q06</v>
      </c>
      <c r="AN4" s="440"/>
      <c r="AO4" s="438" t="str">
        <f>INPUT!BN$5</f>
        <v>4Q06</v>
      </c>
      <c r="AP4" s="440"/>
      <c r="AQ4" s="438" t="str">
        <f>INPUT!BP$5</f>
        <v>1Q07</v>
      </c>
      <c r="AR4" s="440"/>
      <c r="AS4" s="438" t="str">
        <f>INPUT!BR$5</f>
        <v>2Q07</v>
      </c>
      <c r="AT4" s="440"/>
      <c r="AU4" s="438" t="str">
        <f>INPUT!BT$5</f>
        <v>3Q07</v>
      </c>
      <c r="AV4" s="440"/>
      <c r="AW4" s="438" t="str">
        <f>INPUT!BV$5</f>
        <v>4Q07</v>
      </c>
      <c r="AX4" s="440"/>
      <c r="AY4" s="438" t="str">
        <f>INPUT!BX$5</f>
        <v>1Q08</v>
      </c>
      <c r="AZ4" s="440"/>
      <c r="BA4" s="438" t="str">
        <f>INPUT!BZ$5</f>
        <v>2Q08</v>
      </c>
      <c r="BB4" s="440"/>
      <c r="BC4" s="438" t="str">
        <f>INPUT!CB$5</f>
        <v>3Q08</v>
      </c>
      <c r="BD4" s="440"/>
      <c r="BE4" s="438" t="str">
        <f>INPUT!CD$5</f>
        <v>4Q08</v>
      </c>
      <c r="BF4" s="440"/>
      <c r="BG4" s="438" t="str">
        <f>INPUT!CF$5</f>
        <v>1Q09</v>
      </c>
      <c r="BH4" s="440"/>
      <c r="BI4" s="438" t="str">
        <f>INPUT!CH$5</f>
        <v>2Q09</v>
      </c>
      <c r="BJ4" s="440"/>
      <c r="BK4" s="438" t="str">
        <f>INPUT!CJ$5</f>
        <v>3Q09</v>
      </c>
      <c r="BL4" s="440"/>
      <c r="BM4" s="438" t="str">
        <f>INPUT!CL$5</f>
        <v>4Q09</v>
      </c>
      <c r="BN4" s="440"/>
      <c r="BO4" s="438" t="str">
        <f>INPUT!CN$5</f>
        <v>1Q10</v>
      </c>
      <c r="BP4" s="440"/>
      <c r="BQ4" s="438" t="str">
        <f>INPUT!CP$5</f>
        <v>2Q10</v>
      </c>
      <c r="BR4" s="440"/>
      <c r="BS4" s="438" t="str">
        <f>INPUT!CR$5</f>
        <v>3Q10</v>
      </c>
      <c r="BT4" s="440"/>
      <c r="BU4" s="438" t="str">
        <f>INPUT!CT$5</f>
        <v>4Q10</v>
      </c>
      <c r="BV4" s="440"/>
      <c r="BW4" s="438" t="str">
        <f>INPUT!CV$5</f>
        <v>1Q11</v>
      </c>
      <c r="BX4" s="440"/>
      <c r="BY4" s="438" t="str">
        <f>INPUT!CX$5</f>
        <v>2Q11</v>
      </c>
      <c r="BZ4" s="440"/>
      <c r="CA4" s="438" t="str">
        <f>INPUT!CZ$5</f>
        <v>3Q11</v>
      </c>
      <c r="CB4" s="440"/>
      <c r="CC4" s="438" t="str">
        <f>INPUT!DB$5</f>
        <v>4Q11</v>
      </c>
      <c r="CD4" s="440"/>
      <c r="CE4" s="438" t="str">
        <f>INPUT!DD$5</f>
        <v>1Q12</v>
      </c>
      <c r="CF4" s="440"/>
      <c r="CG4" s="438" t="str">
        <f>INPUT!DF$5</f>
        <v>2Q12</v>
      </c>
      <c r="CH4" s="440"/>
      <c r="CI4" s="438" t="str">
        <f>INPUT!DH$5</f>
        <v>3Q12</v>
      </c>
      <c r="CJ4" s="440"/>
      <c r="CK4" s="438" t="str">
        <f>INPUT!DJ$5</f>
        <v>4Q12</v>
      </c>
      <c r="CL4" s="440"/>
      <c r="CM4" s="438" t="str">
        <f>INPUT!DL$5</f>
        <v>1Q13</v>
      </c>
      <c r="CN4" s="440"/>
      <c r="CO4" s="438" t="str">
        <f>INPUT!DN$5</f>
        <v>2Q13</v>
      </c>
      <c r="CP4" s="440"/>
      <c r="CQ4" s="438" t="str">
        <f>INPUT!DP$5</f>
        <v>3Q13</v>
      </c>
      <c r="CR4" s="440"/>
      <c r="CS4" s="438" t="str">
        <f>INPUT!DR$5</f>
        <v>4Q13</v>
      </c>
      <c r="CT4" s="440"/>
      <c r="CU4" s="438" t="str">
        <f>INPUT!DT$5</f>
        <v>1Q14</v>
      </c>
      <c r="CV4" s="440"/>
      <c r="CW4" s="438" t="str">
        <f>INPUT!DV$5</f>
        <v>2Q14</v>
      </c>
      <c r="CX4" s="440"/>
      <c r="CY4" s="438" t="str">
        <f>INPUT!DX$5</f>
        <v>3Q14</v>
      </c>
      <c r="CZ4" s="440"/>
      <c r="DA4" s="438" t="str">
        <f>INPUT!DZ$5</f>
        <v>4Q14</v>
      </c>
      <c r="DB4" s="440"/>
      <c r="DC4" s="438" t="str">
        <f>INPUT!EB$5</f>
        <v>1Q15</v>
      </c>
      <c r="DD4" s="440"/>
      <c r="DE4" s="438" t="str">
        <f>INPUT!ED$5</f>
        <v>2Q15</v>
      </c>
      <c r="DF4" s="440"/>
      <c r="DG4" s="438" t="str">
        <f>INPUT!EF$5</f>
        <v>3Q15</v>
      </c>
      <c r="DH4" s="440"/>
      <c r="DI4" s="438" t="str">
        <f>INPUT!EH$5</f>
        <v>4Q15</v>
      </c>
      <c r="DJ4" s="440"/>
      <c r="DK4" s="438" t="str">
        <f>INPUT!EJ$5</f>
        <v>1Q16</v>
      </c>
      <c r="DL4" s="440"/>
      <c r="DM4" s="438" t="str">
        <f>INPUT!EL$5</f>
        <v>2Q16</v>
      </c>
      <c r="DN4" s="440"/>
      <c r="DO4" s="438" t="str">
        <f>INPUT!EN$5</f>
        <v>3Q16</v>
      </c>
      <c r="DP4" s="440"/>
      <c r="DQ4" s="438" t="str">
        <f>INPUT!EP$5</f>
        <v>4Q16</v>
      </c>
      <c r="DR4" s="440"/>
      <c r="DS4" s="438" t="str">
        <f>INPUT!ER$5</f>
        <v>1Q17</v>
      </c>
      <c r="DT4" s="440"/>
      <c r="DU4" s="438" t="str">
        <f>INPUT!ET$5</f>
        <v>2Q17</v>
      </c>
      <c r="DV4" s="440"/>
      <c r="DW4" s="438" t="str">
        <f>INPUT!EV$5</f>
        <v>3Q17</v>
      </c>
      <c r="DX4" s="440"/>
      <c r="DY4" s="438" t="str">
        <f>INPUT!EX$5</f>
        <v>4Q17</v>
      </c>
      <c r="DZ4" s="440"/>
      <c r="EA4" s="438"/>
      <c r="EB4" s="439" t="str">
        <f>INPUT!FI$5</f>
        <v>2000</v>
      </c>
      <c r="EC4" s="440"/>
      <c r="ED4" s="439" t="str">
        <f>INPUT!FK$5</f>
        <v>2001</v>
      </c>
      <c r="EE4" s="440"/>
      <c r="EF4" s="439" t="str">
        <f>INPUT!FM$5</f>
        <v>2002</v>
      </c>
      <c r="EG4" s="440"/>
      <c r="EH4" s="439" t="str">
        <f>INPUT!FO$5</f>
        <v>2003</v>
      </c>
      <c r="EI4" s="440"/>
      <c r="EJ4" s="438">
        <f>INPUT!FQ$5</f>
        <v>2004</v>
      </c>
      <c r="EK4" s="440"/>
      <c r="EL4" s="438" t="str">
        <f>INPUT!FS$5</f>
        <v>2005</v>
      </c>
      <c r="EM4" s="440"/>
      <c r="EN4" s="438" t="str">
        <f>INPUT!FU$5</f>
        <v>2006</v>
      </c>
      <c r="EO4" s="440"/>
      <c r="EP4" s="438">
        <f>INPUT!FW$5</f>
        <v>2007</v>
      </c>
      <c r="EQ4" s="440"/>
      <c r="ER4" s="438" t="str">
        <f>INPUT!FY$5</f>
        <v>2008</v>
      </c>
      <c r="ES4" s="440"/>
      <c r="ET4" s="438" t="str">
        <f>INPUT!GA$5</f>
        <v>2009</v>
      </c>
      <c r="EU4" s="440"/>
      <c r="EV4" s="438" t="str">
        <f>INPUT!GC$5</f>
        <v>2010</v>
      </c>
      <c r="EW4" s="440"/>
      <c r="EX4" s="438" t="str">
        <f>INPUT!GE$5</f>
        <v>2011</v>
      </c>
      <c r="EY4" s="440"/>
      <c r="EZ4" s="438" t="str">
        <f>INPUT!GG$5</f>
        <v>2012</v>
      </c>
      <c r="FA4" s="440"/>
      <c r="FB4" s="438" t="str">
        <f>INPUT!GI$5</f>
        <v>2013</v>
      </c>
      <c r="FC4" s="440"/>
      <c r="FD4" s="438">
        <f>INPUT!GK$5</f>
        <v>2014</v>
      </c>
      <c r="FE4" s="440"/>
      <c r="FF4" s="438" t="str">
        <f>INPUT!GM$5</f>
        <v>2015</v>
      </c>
      <c r="FG4" s="440"/>
      <c r="FH4" s="438">
        <f>INPUT!GO$5</f>
        <v>2016</v>
      </c>
      <c r="FI4" s="440"/>
      <c r="FJ4" s="438">
        <f>INPUT!GQ$5</f>
        <v>2017</v>
      </c>
      <c r="FK4" s="440"/>
      <c r="FL4" s="438" t="str">
        <f>INPUT!GS$5</f>
        <v>2018E</v>
      </c>
      <c r="FM4" s="440"/>
      <c r="FN4" s="438" t="str">
        <f>INPUT!GU$5</f>
        <v>2019E</v>
      </c>
      <c r="FO4" s="440"/>
      <c r="FP4" s="438" t="str">
        <f>INPUT!GW$5</f>
        <v>2020E</v>
      </c>
      <c r="FQ4" s="440"/>
      <c r="FR4" s="438" t="str">
        <f>INPUT!GY$5</f>
        <v>2021E</v>
      </c>
      <c r="FS4" s="860" t="str">
        <f>INPUT!GZ$5</f>
        <v>CAGR</v>
      </c>
      <c r="FT4" s="453"/>
    </row>
    <row r="5" spans="1:176" s="529" customFormat="1" ht="12.75" customHeight="1" x14ac:dyDescent="0.2">
      <c r="A5" s="828"/>
      <c r="B5" s="443" t="str">
        <f>INPUT!AA$6</f>
        <v>1Q03</v>
      </c>
      <c r="C5" s="444" t="str">
        <f>INPUT!AB$6</f>
        <v>% Chg</v>
      </c>
      <c r="D5" s="443" t="str">
        <f>INPUT!AC$6</f>
        <v>2Q03</v>
      </c>
      <c r="E5" s="444" t="str">
        <f>INPUT!AD$6</f>
        <v>% Chg</v>
      </c>
      <c r="F5" s="443" t="str">
        <f>INPUT!AE$6</f>
        <v>3Q03</v>
      </c>
      <c r="G5" s="444" t="str">
        <f>INPUT!AF$6</f>
        <v>% Chg</v>
      </c>
      <c r="H5" s="443" t="str">
        <f>INPUT!AG$6</f>
        <v>4Q03</v>
      </c>
      <c r="I5" s="444" t="str">
        <f>INPUT!AH$6</f>
        <v>% Chg</v>
      </c>
      <c r="J5" s="443" t="str">
        <f>INPUT!AI$6</f>
        <v>1Q04</v>
      </c>
      <c r="K5" s="444" t="str">
        <f>INPUT!AJ$6</f>
        <v>% Chg</v>
      </c>
      <c r="L5" s="443" t="str">
        <f>INPUT!AK$6</f>
        <v>2Q04</v>
      </c>
      <c r="M5" s="444" t="str">
        <f>INPUT!AL$6</f>
        <v>% Chg</v>
      </c>
      <c r="N5" s="443" t="str">
        <f>INPUT!AM$6</f>
        <v>3Q04</v>
      </c>
      <c r="O5" s="444" t="str">
        <f>INPUT!AN$6</f>
        <v>% Chg</v>
      </c>
      <c r="P5" s="443" t="str">
        <f>INPUT!AO$6</f>
        <v>4Q04</v>
      </c>
      <c r="Q5" s="444" t="str">
        <f>INPUT!AP$6</f>
        <v>% Chg</v>
      </c>
      <c r="R5" s="443" t="str">
        <f>INPUT!AQ$6</f>
        <v>1Q05</v>
      </c>
      <c r="S5" s="444" t="str">
        <f>INPUT!AR$6</f>
        <v>% Chg</v>
      </c>
      <c r="T5" s="443" t="str">
        <f>INPUT!AS$6</f>
        <v>2Q05</v>
      </c>
      <c r="U5" s="444" t="str">
        <f>INPUT!AT$6</f>
        <v>% Chg</v>
      </c>
      <c r="V5" s="443" t="str">
        <f>INPUT!AU$6</f>
        <v>3Q05</v>
      </c>
      <c r="W5" s="444" t="str">
        <f>INPUT!AV$6</f>
        <v>% Chg</v>
      </c>
      <c r="X5" s="443" t="str">
        <f>INPUT!AW$6</f>
        <v>4Q05</v>
      </c>
      <c r="Y5" s="444" t="str">
        <f>INPUT!AX$6</f>
        <v>% Chg</v>
      </c>
      <c r="Z5" s="443" t="str">
        <f>INPUT!AY$6</f>
        <v>1Q06</v>
      </c>
      <c r="AA5" s="444" t="str">
        <f>INPUT!AZ$6</f>
        <v>% Chg</v>
      </c>
      <c r="AB5" s="443" t="str">
        <f>INPUT!BA$6</f>
        <v>2Q06</v>
      </c>
      <c r="AC5" s="444" t="str">
        <f>INPUT!BB$6</f>
        <v>% Chg</v>
      </c>
      <c r="AD5" s="443" t="str">
        <f>INPUT!BC$6</f>
        <v>3Q06</v>
      </c>
      <c r="AE5" s="444" t="str">
        <f>INPUT!BD$6</f>
        <v>% Chg</v>
      </c>
      <c r="AF5" s="443" t="str">
        <f>INPUT!BE$6</f>
        <v>4Q06</v>
      </c>
      <c r="AG5" s="444" t="str">
        <f>INPUT!BF$6</f>
        <v>% Chg</v>
      </c>
      <c r="AH5" s="443" t="str">
        <f>INPUT!BG$6</f>
        <v>1Q07</v>
      </c>
      <c r="AI5" s="445" t="str">
        <f>INPUT!BH$6</f>
        <v>% Chg</v>
      </c>
      <c r="AJ5" s="443" t="str">
        <f>INPUT!BI$6</f>
        <v>2Q07</v>
      </c>
      <c r="AK5" s="445" t="str">
        <f>INPUT!BJ$6</f>
        <v>% Chg</v>
      </c>
      <c r="AL5" s="443" t="str">
        <f>INPUT!BK$6</f>
        <v>3Q07</v>
      </c>
      <c r="AM5" s="445" t="str">
        <f>INPUT!BL$6</f>
        <v>% Chg</v>
      </c>
      <c r="AN5" s="443" t="str">
        <f>INPUT!BM$6</f>
        <v>4Q07</v>
      </c>
      <c r="AO5" s="445" t="str">
        <f>INPUT!BN$6</f>
        <v>% Chg</v>
      </c>
      <c r="AP5" s="443" t="str">
        <f>INPUT!BO$6</f>
        <v>1Q08</v>
      </c>
      <c r="AQ5" s="445" t="str">
        <f>INPUT!BP$6</f>
        <v>% Chg</v>
      </c>
      <c r="AR5" s="443" t="str">
        <f>INPUT!BQ$6</f>
        <v>2Q08</v>
      </c>
      <c r="AS5" s="445" t="str">
        <f>INPUT!BR$6</f>
        <v>% Chg</v>
      </c>
      <c r="AT5" s="443" t="str">
        <f>INPUT!BS$6</f>
        <v>3Q08</v>
      </c>
      <c r="AU5" s="445" t="str">
        <f>INPUT!BT$6</f>
        <v>% Chg</v>
      </c>
      <c r="AV5" s="443" t="str">
        <f>INPUT!BU$6</f>
        <v>4Q08</v>
      </c>
      <c r="AW5" s="445" t="str">
        <f>INPUT!BV$6</f>
        <v>% Chg</v>
      </c>
      <c r="AX5" s="443" t="str">
        <f>INPUT!BW$6</f>
        <v>1Q09</v>
      </c>
      <c r="AY5" s="445" t="str">
        <f>INPUT!BX$6</f>
        <v>% Chg</v>
      </c>
      <c r="AZ5" s="443" t="str">
        <f>INPUT!BY$6</f>
        <v>2Q09</v>
      </c>
      <c r="BA5" s="445" t="str">
        <f>INPUT!BZ$6</f>
        <v>% Chg</v>
      </c>
      <c r="BB5" s="443" t="str">
        <f>INPUT!CA$6</f>
        <v>3Q09</v>
      </c>
      <c r="BC5" s="445" t="str">
        <f>INPUT!CB$6</f>
        <v>% Chg</v>
      </c>
      <c r="BD5" s="443" t="str">
        <f>INPUT!CC$6</f>
        <v>4Q09</v>
      </c>
      <c r="BE5" s="445" t="str">
        <f>INPUT!CD$6</f>
        <v>% Chg</v>
      </c>
      <c r="BF5" s="443" t="str">
        <f>INPUT!CE$6</f>
        <v>1Q10</v>
      </c>
      <c r="BG5" s="445" t="str">
        <f>INPUT!CF$6</f>
        <v>% Chg</v>
      </c>
      <c r="BH5" s="443" t="str">
        <f>INPUT!CG$6</f>
        <v>2Q10</v>
      </c>
      <c r="BI5" s="445" t="str">
        <f>INPUT!CH$6</f>
        <v>% Chg</v>
      </c>
      <c r="BJ5" s="443" t="str">
        <f>INPUT!CI$6</f>
        <v>3Q10</v>
      </c>
      <c r="BK5" s="445" t="str">
        <f>INPUT!CJ$6</f>
        <v>% Chg</v>
      </c>
      <c r="BL5" s="443" t="str">
        <f>INPUT!CK$6</f>
        <v>4Q10</v>
      </c>
      <c r="BM5" s="445" t="str">
        <f>INPUT!CL$6</f>
        <v>% Chg</v>
      </c>
      <c r="BN5" s="443" t="str">
        <f>INPUT!CM$6</f>
        <v>1Q11</v>
      </c>
      <c r="BO5" s="445" t="str">
        <f>INPUT!CN$6</f>
        <v>% Chg</v>
      </c>
      <c r="BP5" s="443" t="str">
        <f>INPUT!CO$6</f>
        <v>2Q11</v>
      </c>
      <c r="BQ5" s="445" t="str">
        <f>INPUT!CP$6</f>
        <v>% Chg</v>
      </c>
      <c r="BR5" s="443" t="str">
        <f>INPUT!CQ$6</f>
        <v>3Q11</v>
      </c>
      <c r="BS5" s="445" t="str">
        <f>INPUT!CR$6</f>
        <v>% Chg</v>
      </c>
      <c r="BT5" s="443" t="str">
        <f>INPUT!CS$6</f>
        <v>4Q11</v>
      </c>
      <c r="BU5" s="445" t="str">
        <f>INPUT!CT$6</f>
        <v>% Chg</v>
      </c>
      <c r="BV5" s="443" t="str">
        <f>INPUT!CU$6</f>
        <v>1Q12</v>
      </c>
      <c r="BW5" s="445" t="str">
        <f>INPUT!CV$6</f>
        <v>% Chg</v>
      </c>
      <c r="BX5" s="443" t="str">
        <f>INPUT!CW$6</f>
        <v>2Q12</v>
      </c>
      <c r="BY5" s="445" t="str">
        <f>INPUT!CX$6</f>
        <v>% Chg</v>
      </c>
      <c r="BZ5" s="443" t="str">
        <f>INPUT!CY$6</f>
        <v>3Q12</v>
      </c>
      <c r="CA5" s="445" t="str">
        <f>INPUT!CZ$6</f>
        <v>% Chg</v>
      </c>
      <c r="CB5" s="443" t="str">
        <f>INPUT!DA$6</f>
        <v>4Q12</v>
      </c>
      <c r="CC5" s="445" t="str">
        <f>INPUT!DB$6</f>
        <v>% Chg</v>
      </c>
      <c r="CD5" s="443" t="str">
        <f>INPUT!DC$6</f>
        <v>1Q13</v>
      </c>
      <c r="CE5" s="445" t="str">
        <f>INPUT!DD$6</f>
        <v>% Chg</v>
      </c>
      <c r="CF5" s="443" t="str">
        <f>INPUT!DE$6</f>
        <v>2Q13</v>
      </c>
      <c r="CG5" s="445" t="str">
        <f>INPUT!DF$6</f>
        <v>% Chg</v>
      </c>
      <c r="CH5" s="443" t="str">
        <f>INPUT!DG$6</f>
        <v>3Q13</v>
      </c>
      <c r="CI5" s="445" t="str">
        <f>INPUT!DH$6</f>
        <v>% Chg</v>
      </c>
      <c r="CJ5" s="443" t="str">
        <f>INPUT!DI$6</f>
        <v>4Q13</v>
      </c>
      <c r="CK5" s="445" t="str">
        <f>INPUT!DJ$6</f>
        <v>% Chg</v>
      </c>
      <c r="CL5" s="443" t="str">
        <f>INPUT!DK$6</f>
        <v>1Q14</v>
      </c>
      <c r="CM5" s="445" t="str">
        <f>INPUT!DL$6</f>
        <v>% Chg</v>
      </c>
      <c r="CN5" s="443" t="str">
        <f>INPUT!DM$6</f>
        <v>2Q14</v>
      </c>
      <c r="CO5" s="445" t="str">
        <f>INPUT!DN$6</f>
        <v>% Chg</v>
      </c>
      <c r="CP5" s="443" t="str">
        <f>INPUT!DO$6</f>
        <v>3Q14</v>
      </c>
      <c r="CQ5" s="445" t="str">
        <f>INPUT!DP$6</f>
        <v>% Chg</v>
      </c>
      <c r="CR5" s="443" t="str">
        <f>INPUT!DQ$6</f>
        <v>4Q14</v>
      </c>
      <c r="CS5" s="445" t="str">
        <f>INPUT!DR$6</f>
        <v>% Chg</v>
      </c>
      <c r="CT5" s="443" t="str">
        <f>INPUT!DS$6</f>
        <v>1Q15</v>
      </c>
      <c r="CU5" s="445" t="str">
        <f>INPUT!DT$6</f>
        <v>% Chg</v>
      </c>
      <c r="CV5" s="443" t="str">
        <f>INPUT!DU$6</f>
        <v>2Q15</v>
      </c>
      <c r="CW5" s="445" t="str">
        <f>INPUT!DV$6</f>
        <v>% Chg</v>
      </c>
      <c r="CX5" s="443" t="str">
        <f>INPUT!DW$6</f>
        <v>3Q15</v>
      </c>
      <c r="CY5" s="445" t="str">
        <f>INPUT!DX$6</f>
        <v>% Chg</v>
      </c>
      <c r="CZ5" s="443" t="str">
        <f>INPUT!DY$6</f>
        <v>4Q15</v>
      </c>
      <c r="DA5" s="445" t="str">
        <f>INPUT!DZ$6</f>
        <v>% Chg</v>
      </c>
      <c r="DB5" s="443" t="str">
        <f>INPUT!EA$6</f>
        <v>1Q16</v>
      </c>
      <c r="DC5" s="445" t="str">
        <f>INPUT!EB$6</f>
        <v>% Chg</v>
      </c>
      <c r="DD5" s="443" t="str">
        <f>INPUT!EC$6</f>
        <v>2Q16</v>
      </c>
      <c r="DE5" s="445" t="str">
        <f>INPUT!ED$6</f>
        <v>% Chg</v>
      </c>
      <c r="DF5" s="443" t="str">
        <f>INPUT!EE$6</f>
        <v>3Q16</v>
      </c>
      <c r="DG5" s="445" t="str">
        <f>INPUT!EF$6</f>
        <v>% Chg</v>
      </c>
      <c r="DH5" s="443" t="str">
        <f>INPUT!EG$6</f>
        <v>4Q16</v>
      </c>
      <c r="DI5" s="445" t="str">
        <f>INPUT!EH$6</f>
        <v>% Chg</v>
      </c>
      <c r="DJ5" s="443" t="str">
        <f>INPUT!EI$6</f>
        <v>1Q17</v>
      </c>
      <c r="DK5" s="445" t="str">
        <f>INPUT!EJ$6</f>
        <v>% Chg</v>
      </c>
      <c r="DL5" s="443" t="str">
        <f>INPUT!EK$6</f>
        <v>2Q17</v>
      </c>
      <c r="DM5" s="445" t="str">
        <f>INPUT!EL$6</f>
        <v>% Chg</v>
      </c>
      <c r="DN5" s="443" t="str">
        <f>INPUT!EM$6</f>
        <v>3Q17</v>
      </c>
      <c r="DO5" s="445" t="str">
        <f>INPUT!EN$6</f>
        <v>% Chg</v>
      </c>
      <c r="DP5" s="443" t="str">
        <f>INPUT!EO$6</f>
        <v>4Q17</v>
      </c>
      <c r="DQ5" s="445" t="str">
        <f>INPUT!EP$6</f>
        <v>% Chg</v>
      </c>
      <c r="DR5" s="443" t="str">
        <f>INPUT!EQ$6</f>
        <v>1Q18E</v>
      </c>
      <c r="DS5" s="445" t="str">
        <f>INPUT!ER$6</f>
        <v>% Chg</v>
      </c>
      <c r="DT5" s="443" t="str">
        <f>INPUT!ES$6</f>
        <v>2Q18E</v>
      </c>
      <c r="DU5" s="445" t="str">
        <f>INPUT!ET$6</f>
        <v>% Chg</v>
      </c>
      <c r="DV5" s="443" t="str">
        <f>INPUT!EU$6</f>
        <v>3Q18E</v>
      </c>
      <c r="DW5" s="445" t="str">
        <f>INPUT!EV$6</f>
        <v>% Chg</v>
      </c>
      <c r="DX5" s="443" t="str">
        <f>INPUT!EW$6</f>
        <v>4Q18E</v>
      </c>
      <c r="DY5" s="445" t="str">
        <f>INPUT!EX$6</f>
        <v>% Chg</v>
      </c>
      <c r="DZ5" s="443"/>
      <c r="EA5" s="445"/>
      <c r="EB5" s="444" t="str">
        <f>INPUT!FI$6</f>
        <v>% Chg</v>
      </c>
      <c r="EC5" s="443" t="str">
        <f>INPUT!FJ$6</f>
        <v>2002</v>
      </c>
      <c r="ED5" s="444" t="str">
        <f>INPUT!FK$6</f>
        <v>% Chg</v>
      </c>
      <c r="EE5" s="443" t="str">
        <f>INPUT!FL$6</f>
        <v>2003</v>
      </c>
      <c r="EF5" s="444" t="str">
        <f>INPUT!FM$6</f>
        <v>% Chg</v>
      </c>
      <c r="EG5" s="443">
        <f>INPUT!FN$6</f>
        <v>2004</v>
      </c>
      <c r="EH5" s="444" t="str">
        <f>INPUT!FO$6</f>
        <v>% Chg</v>
      </c>
      <c r="EI5" s="443" t="str">
        <f>INPUT!FP$6</f>
        <v>2005</v>
      </c>
      <c r="EJ5" s="445" t="str">
        <f>INPUT!FQ$6</f>
        <v>% Chg</v>
      </c>
      <c r="EK5" s="443" t="str">
        <f>INPUT!FR$6</f>
        <v>2006</v>
      </c>
      <c r="EL5" s="445" t="str">
        <f>INPUT!FS$6</f>
        <v>% Chg</v>
      </c>
      <c r="EM5" s="443">
        <f>INPUT!FT$6</f>
        <v>2007</v>
      </c>
      <c r="EN5" s="445" t="str">
        <f>INPUT!FU$6</f>
        <v>% Chg</v>
      </c>
      <c r="EO5" s="443" t="str">
        <f>INPUT!FV$6</f>
        <v>2008</v>
      </c>
      <c r="EP5" s="445" t="str">
        <f>INPUT!FW$6</f>
        <v>% Chg</v>
      </c>
      <c r="EQ5" s="443" t="str">
        <f>INPUT!FX$6</f>
        <v>2009</v>
      </c>
      <c r="ER5" s="445" t="str">
        <f>INPUT!FY$6</f>
        <v>% Chg</v>
      </c>
      <c r="ES5" s="443" t="str">
        <f>INPUT!FZ$6</f>
        <v>2010</v>
      </c>
      <c r="ET5" s="445" t="str">
        <f>INPUT!GA$6</f>
        <v>% Chg</v>
      </c>
      <c r="EU5" s="443" t="str">
        <f>INPUT!GB$6</f>
        <v>2011</v>
      </c>
      <c r="EV5" s="445" t="str">
        <f>INPUT!GC$6</f>
        <v>% Chg</v>
      </c>
      <c r="EW5" s="443" t="str">
        <f>INPUT!GD$6</f>
        <v>2012</v>
      </c>
      <c r="EX5" s="445" t="str">
        <f>INPUT!GE$6</f>
        <v>% Chg</v>
      </c>
      <c r="EY5" s="443" t="str">
        <f>INPUT!GF$6</f>
        <v>2013</v>
      </c>
      <c r="EZ5" s="445" t="str">
        <f>INPUT!GG$6</f>
        <v>% Chg</v>
      </c>
      <c r="FA5" s="443">
        <f>INPUT!GH$6</f>
        <v>2014</v>
      </c>
      <c r="FB5" s="445" t="str">
        <f>INPUT!GI$6</f>
        <v>% Chg</v>
      </c>
      <c r="FC5" s="443" t="str">
        <f>INPUT!GJ$6</f>
        <v>2015</v>
      </c>
      <c r="FD5" s="445" t="str">
        <f>INPUT!GK$6</f>
        <v>% Chg</v>
      </c>
      <c r="FE5" s="443">
        <f>INPUT!GL$6</f>
        <v>2016</v>
      </c>
      <c r="FF5" s="445" t="str">
        <f>INPUT!GM$6</f>
        <v>% Chg</v>
      </c>
      <c r="FG5" s="443">
        <f>INPUT!GN$6</f>
        <v>2017</v>
      </c>
      <c r="FH5" s="445" t="str">
        <f>INPUT!GO$6</f>
        <v>% Chg</v>
      </c>
      <c r="FI5" s="443" t="str">
        <f>INPUT!GP$6</f>
        <v>2018E</v>
      </c>
      <c r="FJ5" s="445" t="str">
        <f>INPUT!GQ$6</f>
        <v>% Chg</v>
      </c>
      <c r="FK5" s="443" t="str">
        <f>INPUT!GR$6</f>
        <v>2019E</v>
      </c>
      <c r="FL5" s="445" t="str">
        <f>INPUT!GS$6</f>
        <v>% Chg</v>
      </c>
      <c r="FM5" s="443" t="str">
        <f>INPUT!GT$6</f>
        <v>2020E</v>
      </c>
      <c r="FN5" s="445" t="str">
        <f>INPUT!GU$6</f>
        <v>% Chg</v>
      </c>
      <c r="FO5" s="443" t="str">
        <f>INPUT!GV$6</f>
        <v>2021E</v>
      </c>
      <c r="FP5" s="445" t="str">
        <f>INPUT!GW$6</f>
        <v>% Chg</v>
      </c>
      <c r="FQ5" s="443" t="str">
        <f>INPUT!GX$6</f>
        <v>2022E</v>
      </c>
      <c r="FR5" s="445" t="str">
        <f>INPUT!GY$6</f>
        <v>% Chg</v>
      </c>
      <c r="FS5" s="861" t="str">
        <f>INPUT!GZ$6</f>
        <v>(%)</v>
      </c>
      <c r="FT5" s="453"/>
    </row>
    <row r="6" spans="1:176" s="529" customFormat="1" ht="6" customHeight="1" x14ac:dyDescent="0.2">
      <c r="A6" s="829"/>
      <c r="B6" s="447"/>
      <c r="C6" s="439"/>
      <c r="D6" s="447"/>
      <c r="E6" s="439"/>
      <c r="F6" s="447"/>
      <c r="G6" s="439"/>
      <c r="H6" s="447"/>
      <c r="I6" s="439"/>
      <c r="J6" s="447"/>
      <c r="K6" s="439"/>
      <c r="L6" s="447"/>
      <c r="M6" s="439"/>
      <c r="N6" s="447"/>
      <c r="O6" s="439"/>
      <c r="P6" s="447"/>
      <c r="Q6" s="439"/>
      <c r="R6" s="447"/>
      <c r="S6" s="439"/>
      <c r="T6" s="447"/>
      <c r="U6" s="439"/>
      <c r="V6" s="447"/>
      <c r="W6" s="439"/>
      <c r="X6" s="447"/>
      <c r="Y6" s="439"/>
      <c r="Z6" s="447"/>
      <c r="AA6" s="439"/>
      <c r="AB6" s="447"/>
      <c r="AC6" s="439"/>
      <c r="AD6" s="447"/>
      <c r="AE6" s="439"/>
      <c r="AF6" s="447"/>
      <c r="AG6" s="439"/>
      <c r="AH6" s="447"/>
      <c r="AI6" s="438"/>
      <c r="AJ6" s="447"/>
      <c r="AK6" s="438"/>
      <c r="AL6" s="447"/>
      <c r="AM6" s="438"/>
      <c r="AN6" s="447"/>
      <c r="AO6" s="438"/>
      <c r="AP6" s="447"/>
      <c r="AQ6" s="438"/>
      <c r="AR6" s="447"/>
      <c r="AS6" s="438"/>
      <c r="AT6" s="447"/>
      <c r="AU6" s="438"/>
      <c r="AV6" s="447"/>
      <c r="AW6" s="438"/>
      <c r="AX6" s="447"/>
      <c r="AY6" s="438"/>
      <c r="AZ6" s="447"/>
      <c r="BA6" s="438"/>
      <c r="BB6" s="447"/>
      <c r="BC6" s="438"/>
      <c r="BD6" s="447"/>
      <c r="BE6" s="438"/>
      <c r="BF6" s="447"/>
      <c r="BG6" s="438"/>
      <c r="BH6" s="447"/>
      <c r="BI6" s="438"/>
      <c r="BJ6" s="447"/>
      <c r="BK6" s="438"/>
      <c r="BL6" s="447"/>
      <c r="BM6" s="438"/>
      <c r="BN6" s="447"/>
      <c r="BO6" s="438"/>
      <c r="BP6" s="447"/>
      <c r="BQ6" s="438"/>
      <c r="BR6" s="447"/>
      <c r="BS6" s="438"/>
      <c r="BT6" s="447"/>
      <c r="BU6" s="438"/>
      <c r="BV6" s="447"/>
      <c r="BW6" s="438"/>
      <c r="BX6" s="447"/>
      <c r="BY6" s="438"/>
      <c r="BZ6" s="447"/>
      <c r="CA6" s="438"/>
      <c r="CB6" s="447"/>
      <c r="CC6" s="438"/>
      <c r="CD6" s="447"/>
      <c r="CE6" s="438"/>
      <c r="CF6" s="447"/>
      <c r="CG6" s="438"/>
      <c r="CH6" s="447"/>
      <c r="CI6" s="438"/>
      <c r="CJ6" s="447"/>
      <c r="CK6" s="438"/>
      <c r="CL6" s="447"/>
      <c r="CM6" s="438"/>
      <c r="CN6" s="447"/>
      <c r="CO6" s="438"/>
      <c r="CP6" s="447"/>
      <c r="CQ6" s="438"/>
      <c r="CR6" s="447"/>
      <c r="CS6" s="438"/>
      <c r="CT6" s="447"/>
      <c r="CU6" s="438"/>
      <c r="CV6" s="447"/>
      <c r="CW6" s="438"/>
      <c r="CX6" s="447"/>
      <c r="CY6" s="438"/>
      <c r="CZ6" s="447"/>
      <c r="DA6" s="438"/>
      <c r="DB6" s="447"/>
      <c r="DC6" s="438"/>
      <c r="DD6" s="447"/>
      <c r="DE6" s="438"/>
      <c r="DF6" s="447"/>
      <c r="DG6" s="438"/>
      <c r="DH6" s="447"/>
      <c r="DI6" s="438"/>
      <c r="DJ6" s="447"/>
      <c r="DK6" s="438"/>
      <c r="DL6" s="447"/>
      <c r="DM6" s="438"/>
      <c r="DN6" s="447"/>
      <c r="DO6" s="438"/>
      <c r="DP6" s="447"/>
      <c r="DQ6" s="438"/>
      <c r="DR6" s="447"/>
      <c r="DS6" s="438"/>
      <c r="DT6" s="447"/>
      <c r="DU6" s="438"/>
      <c r="DV6" s="447"/>
      <c r="DW6" s="438"/>
      <c r="DX6" s="447"/>
      <c r="DY6" s="438"/>
      <c r="DZ6" s="447"/>
      <c r="EA6" s="438"/>
      <c r="EB6" s="439"/>
      <c r="EC6" s="447"/>
      <c r="ED6" s="439"/>
      <c r="EE6" s="447"/>
      <c r="EF6" s="439"/>
      <c r="EG6" s="447"/>
      <c r="EH6" s="439"/>
      <c r="EI6" s="447"/>
      <c r="EJ6" s="438"/>
      <c r="EK6" s="447"/>
      <c r="EL6" s="438"/>
      <c r="EM6" s="447"/>
      <c r="EN6" s="438"/>
      <c r="EO6" s="447"/>
      <c r="EP6" s="438"/>
      <c r="EQ6" s="447"/>
      <c r="ER6" s="438"/>
      <c r="ES6" s="447"/>
      <c r="ET6" s="438"/>
      <c r="EU6" s="447"/>
      <c r="EV6" s="438"/>
      <c r="EW6" s="447"/>
      <c r="EX6" s="438"/>
      <c r="EY6" s="447"/>
      <c r="EZ6" s="438"/>
      <c r="FA6" s="447"/>
      <c r="FB6" s="438"/>
      <c r="FC6" s="447"/>
      <c r="FD6" s="438"/>
      <c r="FE6" s="447"/>
      <c r="FF6" s="438"/>
      <c r="FG6" s="447"/>
      <c r="FH6" s="438"/>
      <c r="FI6" s="447"/>
      <c r="FJ6" s="438"/>
      <c r="FK6" s="447"/>
      <c r="FL6" s="438"/>
      <c r="FM6" s="447"/>
      <c r="FN6" s="438"/>
      <c r="FO6" s="447"/>
      <c r="FP6" s="438"/>
      <c r="FQ6" s="447"/>
      <c r="FR6" s="438"/>
      <c r="FS6" s="860"/>
    </row>
    <row r="7" spans="1:176" s="529" customFormat="1" ht="12.75" customHeight="1" x14ac:dyDescent="0.2">
      <c r="A7" s="829" t="s">
        <v>159</v>
      </c>
      <c r="B7" s="448"/>
      <c r="C7" s="439"/>
      <c r="D7" s="448"/>
      <c r="E7" s="439"/>
      <c r="F7" s="448"/>
      <c r="G7" s="439"/>
      <c r="H7" s="448"/>
      <c r="I7" s="439"/>
      <c r="J7" s="448"/>
      <c r="K7" s="439"/>
      <c r="L7" s="448"/>
      <c r="M7" s="439"/>
      <c r="N7" s="448"/>
      <c r="O7" s="439"/>
      <c r="P7" s="448"/>
      <c r="Q7" s="439"/>
      <c r="R7" s="448"/>
      <c r="S7" s="439"/>
      <c r="T7" s="448"/>
      <c r="U7" s="439"/>
      <c r="V7" s="448"/>
      <c r="W7" s="439"/>
      <c r="X7" s="448"/>
      <c r="Y7" s="439"/>
      <c r="Z7" s="448"/>
      <c r="AA7" s="439"/>
      <c r="AB7" s="448"/>
      <c r="AC7" s="439"/>
      <c r="AD7" s="448"/>
      <c r="AE7" s="439"/>
      <c r="AF7" s="448"/>
      <c r="AG7" s="439"/>
      <c r="AH7" s="448"/>
      <c r="AI7" s="438"/>
      <c r="AJ7" s="448"/>
      <c r="AK7" s="438"/>
      <c r="AL7" s="448"/>
      <c r="AM7" s="438"/>
      <c r="AN7" s="448"/>
      <c r="AO7" s="438"/>
      <c r="AP7" s="448"/>
      <c r="AQ7" s="438"/>
      <c r="AR7" s="448"/>
      <c r="AS7" s="438"/>
      <c r="AT7" s="448"/>
      <c r="AU7" s="438"/>
      <c r="AV7" s="448"/>
      <c r="AW7" s="438"/>
      <c r="AX7" s="448"/>
      <c r="AY7" s="438"/>
      <c r="AZ7" s="448"/>
      <c r="BA7" s="438"/>
      <c r="BB7" s="448"/>
      <c r="BC7" s="438"/>
      <c r="BD7" s="448"/>
      <c r="BE7" s="438"/>
      <c r="BF7" s="448"/>
      <c r="BG7" s="438"/>
      <c r="BH7" s="448"/>
      <c r="BI7" s="438"/>
      <c r="BJ7" s="448"/>
      <c r="BK7" s="438"/>
      <c r="BL7" s="448"/>
      <c r="BM7" s="438"/>
      <c r="BN7" s="448"/>
      <c r="BO7" s="438"/>
      <c r="BP7" s="448"/>
      <c r="BQ7" s="438"/>
      <c r="BR7" s="448"/>
      <c r="BS7" s="438"/>
      <c r="BT7" s="448"/>
      <c r="BU7" s="438"/>
      <c r="BV7" s="448"/>
      <c r="BW7" s="438"/>
      <c r="BX7" s="448"/>
      <c r="BY7" s="438"/>
      <c r="BZ7" s="448"/>
      <c r="CA7" s="438"/>
      <c r="CB7" s="448"/>
      <c r="CC7" s="438"/>
      <c r="CD7" s="448"/>
      <c r="CE7" s="438"/>
      <c r="CF7" s="448"/>
      <c r="CG7" s="438"/>
      <c r="CH7" s="448"/>
      <c r="CI7" s="438"/>
      <c r="CJ7" s="448"/>
      <c r="CK7" s="438"/>
      <c r="CL7" s="448"/>
      <c r="CM7" s="438"/>
      <c r="CN7" s="448"/>
      <c r="CO7" s="438"/>
      <c r="CP7" s="448"/>
      <c r="CQ7" s="438"/>
      <c r="CR7" s="448"/>
      <c r="CS7" s="438"/>
      <c r="CT7" s="448"/>
      <c r="CU7" s="438"/>
      <c r="CV7" s="448"/>
      <c r="CW7" s="438"/>
      <c r="CX7" s="448"/>
      <c r="CY7" s="438"/>
      <c r="CZ7" s="448"/>
      <c r="DA7" s="438"/>
      <c r="DB7" s="448"/>
      <c r="DC7" s="438"/>
      <c r="DD7" s="448"/>
      <c r="DE7" s="438"/>
      <c r="DF7" s="448"/>
      <c r="DG7" s="438"/>
      <c r="DH7" s="448"/>
      <c r="DI7" s="438"/>
      <c r="DJ7" s="448"/>
      <c r="DK7" s="438"/>
      <c r="DL7" s="448"/>
      <c r="DM7" s="438"/>
      <c r="DN7" s="448"/>
      <c r="DO7" s="438"/>
      <c r="DP7" s="448"/>
      <c r="DQ7" s="438"/>
      <c r="DR7" s="448"/>
      <c r="DS7" s="438"/>
      <c r="DT7" s="448"/>
      <c r="DU7" s="438"/>
      <c r="DV7" s="448"/>
      <c r="DW7" s="438"/>
      <c r="DX7" s="448"/>
      <c r="DY7" s="438"/>
      <c r="DZ7" s="448"/>
      <c r="EA7" s="438"/>
      <c r="EB7" s="439"/>
      <c r="EC7" s="448"/>
      <c r="ED7" s="439"/>
      <c r="EE7" s="448"/>
      <c r="EF7" s="439"/>
      <c r="EG7" s="448"/>
      <c r="EH7" s="439"/>
      <c r="EI7" s="448"/>
      <c r="EJ7" s="438"/>
      <c r="EK7" s="448"/>
      <c r="EL7" s="438"/>
      <c r="EM7" s="448"/>
      <c r="EN7" s="438"/>
      <c r="EO7" s="448"/>
      <c r="EP7" s="438"/>
      <c r="EQ7" s="448"/>
      <c r="ER7" s="438"/>
      <c r="ES7" s="448"/>
      <c r="ET7" s="438"/>
      <c r="EU7" s="448"/>
      <c r="EV7" s="438"/>
      <c r="EW7" s="448"/>
      <c r="EX7" s="438"/>
      <c r="EY7" s="448"/>
      <c r="EZ7" s="438"/>
      <c r="FA7" s="448"/>
      <c r="FB7" s="438"/>
      <c r="FC7" s="448"/>
      <c r="FD7" s="438"/>
      <c r="FE7" s="448"/>
      <c r="FF7" s="438"/>
      <c r="FG7" s="448"/>
      <c r="FH7" s="438"/>
      <c r="FI7" s="448"/>
      <c r="FJ7" s="438"/>
      <c r="FK7" s="448"/>
      <c r="FL7" s="438"/>
      <c r="FM7" s="448"/>
      <c r="FN7" s="438"/>
      <c r="FO7" s="448"/>
      <c r="FP7" s="438"/>
      <c r="FQ7" s="448"/>
      <c r="FR7" s="438"/>
      <c r="FS7" s="860"/>
    </row>
    <row r="8" spans="1:176" s="529" customFormat="1" ht="12.75" customHeight="1" x14ac:dyDescent="0.2">
      <c r="A8" s="826" t="str">
        <f>INPUT!B518</f>
        <v>Individual Annuities</v>
      </c>
      <c r="B8" s="450">
        <f>INPUT!AA518</f>
        <v>23</v>
      </c>
      <c r="C8" s="450">
        <f>INPUT!AB518</f>
        <v>-20.689655172413794</v>
      </c>
      <c r="D8" s="450">
        <f>INPUT!AC518</f>
        <v>65</v>
      </c>
      <c r="E8" s="450" t="str">
        <f>INPUT!AD518</f>
        <v>NM</v>
      </c>
      <c r="F8" s="450">
        <f>INPUT!AE518</f>
        <v>78</v>
      </c>
      <c r="G8" s="450" t="str">
        <f>INPUT!AF518</f>
        <v>NM</v>
      </c>
      <c r="H8" s="450">
        <f>INPUT!AG518</f>
        <v>96</v>
      </c>
      <c r="I8" s="450" t="str">
        <f>INPUT!AH518</f>
        <v>NM</v>
      </c>
      <c r="J8" s="450">
        <f>INPUT!AI518</f>
        <v>98</v>
      </c>
      <c r="K8" s="450" t="str">
        <f>INPUT!AJ518</f>
        <v>NM</v>
      </c>
      <c r="L8" s="450">
        <f>INPUT!AK518</f>
        <v>94</v>
      </c>
      <c r="M8" s="450">
        <f>INPUT!AL518</f>
        <v>44.615384615384613</v>
      </c>
      <c r="N8" s="450">
        <f>INPUT!AM518</f>
        <v>96</v>
      </c>
      <c r="O8" s="450">
        <f>INPUT!AN518</f>
        <v>23.07692307692308</v>
      </c>
      <c r="P8" s="450">
        <f>INPUT!AO518</f>
        <v>101</v>
      </c>
      <c r="Q8" s="450">
        <f>INPUT!AP518</f>
        <v>5.2083333333333286</v>
      </c>
      <c r="R8" s="450">
        <f>INPUT!AQ518</f>
        <v>91</v>
      </c>
      <c r="S8" s="450">
        <f>INPUT!AR518</f>
        <v>-7.1428571428571388</v>
      </c>
      <c r="T8" s="450">
        <f>INPUT!AS518</f>
        <v>95</v>
      </c>
      <c r="U8" s="450">
        <f>INPUT!AT518</f>
        <v>1.0638297872340559</v>
      </c>
      <c r="V8" s="450">
        <f>INPUT!AU518</f>
        <v>104</v>
      </c>
      <c r="W8" s="450">
        <f>INPUT!AV518</f>
        <v>8.3333333333333286</v>
      </c>
      <c r="X8" s="450">
        <f>INPUT!AW518</f>
        <v>113</v>
      </c>
      <c r="Y8" s="450">
        <f>INPUT!AX518</f>
        <v>11.881188118811892</v>
      </c>
      <c r="Z8" s="450">
        <f>INPUT!AY518</f>
        <v>118</v>
      </c>
      <c r="AA8" s="450">
        <f>INPUT!AZ518</f>
        <v>29.670329670329664</v>
      </c>
      <c r="AB8" s="450">
        <f>INPUT!BA518</f>
        <v>122</v>
      </c>
      <c r="AC8" s="450">
        <f>INPUT!BB518</f>
        <v>28.421052631578959</v>
      </c>
      <c r="AD8" s="450">
        <f>INPUT!BC518</f>
        <v>155</v>
      </c>
      <c r="AE8" s="450">
        <f>INPUT!BD518</f>
        <v>49.038461538461547</v>
      </c>
      <c r="AF8" s="450">
        <f>INPUT!BE518</f>
        <v>154</v>
      </c>
      <c r="AG8" s="450">
        <f>INPUT!BF518</f>
        <v>36.283185840707944</v>
      </c>
      <c r="AH8" s="450">
        <f>INPUT!BG518</f>
        <v>166</v>
      </c>
      <c r="AI8" s="450">
        <f>INPUT!BH518</f>
        <v>40.677966101694921</v>
      </c>
      <c r="AJ8" s="450">
        <f>INPUT!BI518</f>
        <v>180</v>
      </c>
      <c r="AK8" s="450">
        <f>INPUT!BJ518</f>
        <v>47.540983606557376</v>
      </c>
      <c r="AL8" s="450">
        <f>INPUT!BK518</f>
        <v>178</v>
      </c>
      <c r="AM8" s="450">
        <f>INPUT!BL518</f>
        <v>14.838709677419359</v>
      </c>
      <c r="AN8" s="450">
        <f>INPUT!BM518</f>
        <v>175</v>
      </c>
      <c r="AO8" s="450">
        <f>INPUT!BN518</f>
        <v>13.63636363636364</v>
      </c>
      <c r="AP8" s="450">
        <f>INPUT!BO518</f>
        <v>115</v>
      </c>
      <c r="AQ8" s="450">
        <f>INPUT!BP518</f>
        <v>-30.722891566265062</v>
      </c>
      <c r="AR8" s="450">
        <f>INPUT!BQ518</f>
        <v>154</v>
      </c>
      <c r="AS8" s="450">
        <f>INPUT!BR518</f>
        <v>-14.444444444444443</v>
      </c>
      <c r="AT8" s="450">
        <f>INPUT!BS518</f>
        <v>110</v>
      </c>
      <c r="AU8" s="450">
        <f>INPUT!BT518</f>
        <v>-38.202247191011239</v>
      </c>
      <c r="AV8" s="450">
        <f>INPUT!BU518</f>
        <v>95</v>
      </c>
      <c r="AW8" s="450">
        <f>INPUT!BV518</f>
        <v>-45.714285714285715</v>
      </c>
      <c r="AX8" s="450">
        <f>INPUT!BW518</f>
        <v>83</v>
      </c>
      <c r="AY8" s="450">
        <f>INPUT!BX518</f>
        <v>-27.826086956521735</v>
      </c>
      <c r="AZ8" s="450">
        <f>INPUT!BY518</f>
        <v>73</v>
      </c>
      <c r="BA8" s="450" t="str">
        <f>INPUT!BZ518</f>
        <v>NM</v>
      </c>
      <c r="BB8" s="450">
        <f>INPUT!CA518</f>
        <v>235</v>
      </c>
      <c r="BC8" s="450" t="str">
        <f>INPUT!CB518</f>
        <v>NM</v>
      </c>
      <c r="BD8" s="450">
        <f>INPUT!CC518</f>
        <v>118</v>
      </c>
      <c r="BE8" s="450">
        <f>INPUT!CD518</f>
        <v>24.21052631578948</v>
      </c>
      <c r="BF8" s="450">
        <f>INPUT!CE518</f>
        <v>126</v>
      </c>
      <c r="BG8" s="450">
        <f>INPUT!CF518</f>
        <v>51.807228915662648</v>
      </c>
      <c r="BH8" s="450">
        <f>INPUT!CG518</f>
        <v>140</v>
      </c>
      <c r="BI8" s="450">
        <f>INPUT!CH518</f>
        <v>91.780821917808197</v>
      </c>
      <c r="BJ8" s="450">
        <f>INPUT!CI518</f>
        <v>140</v>
      </c>
      <c r="BK8" s="450">
        <f>INPUT!CJ518</f>
        <v>-40.425531914893618</v>
      </c>
      <c r="BL8" s="450">
        <f>INPUT!CK518</f>
        <v>171</v>
      </c>
      <c r="BM8" s="450">
        <f>INPUT!CL518</f>
        <v>44.915254237288138</v>
      </c>
      <c r="BN8" s="450">
        <f>INPUT!CM518</f>
        <v>215.6</v>
      </c>
      <c r="BO8" s="450">
        <f>INPUT!CN518</f>
        <v>71.111111111111114</v>
      </c>
      <c r="BP8" s="450">
        <f>INPUT!CO518</f>
        <v>242</v>
      </c>
      <c r="BQ8" s="450">
        <f>INPUT!CP518</f>
        <v>72.857142857142861</v>
      </c>
      <c r="BR8" s="450">
        <f>INPUT!CQ518</f>
        <v>229</v>
      </c>
      <c r="BS8" s="450">
        <f>INPUT!CR518</f>
        <v>63.571428571428555</v>
      </c>
      <c r="BT8" s="450">
        <f>INPUT!CS518</f>
        <v>197</v>
      </c>
      <c r="BU8" s="450">
        <f>INPUT!CT518</f>
        <v>15.204678362573105</v>
      </c>
      <c r="BV8" s="450">
        <f>INPUT!CU518</f>
        <v>225</v>
      </c>
      <c r="BW8" s="450">
        <f>INPUT!CV518</f>
        <v>4.3599257884972218</v>
      </c>
      <c r="BX8" s="450">
        <f>INPUT!CW518</f>
        <v>231</v>
      </c>
      <c r="BY8" s="450">
        <f>INPUT!CX518</f>
        <v>-4.5454545454545467</v>
      </c>
      <c r="BZ8" s="450">
        <f>INPUT!CY518</f>
        <v>255</v>
      </c>
      <c r="CA8" s="450">
        <f>INPUT!CZ518</f>
        <v>11.353711790393021</v>
      </c>
      <c r="CB8" s="450">
        <f>INPUT!DA518</f>
        <v>273</v>
      </c>
      <c r="CC8" s="450">
        <f>INPUT!DB518</f>
        <v>38.578680203045678</v>
      </c>
      <c r="CD8" s="450">
        <f>INPUT!DC518</f>
        <v>310</v>
      </c>
      <c r="CE8" s="450">
        <f>INPUT!DD518</f>
        <v>37.777777777777771</v>
      </c>
      <c r="CF8" s="450">
        <f>INPUT!DE518</f>
        <v>325</v>
      </c>
      <c r="CG8" s="450">
        <f>INPUT!DF518</f>
        <v>40.69264069264068</v>
      </c>
      <c r="CH8" s="450">
        <f>INPUT!DG518</f>
        <v>370</v>
      </c>
      <c r="CI8" s="450">
        <f>INPUT!DH518</f>
        <v>45.098039215686271</v>
      </c>
      <c r="CJ8" s="450">
        <f>INPUT!DI518</f>
        <v>384</v>
      </c>
      <c r="CK8" s="450">
        <f>INPUT!DJ518</f>
        <v>40.659340659340671</v>
      </c>
      <c r="CL8" s="450">
        <f>INPUT!DK518</f>
        <v>409</v>
      </c>
      <c r="CM8" s="450">
        <f>INPUT!DL518</f>
        <v>31.935483870967744</v>
      </c>
      <c r="CN8" s="450">
        <f>INPUT!DM518</f>
        <v>394</v>
      </c>
      <c r="CO8" s="450">
        <f>INPUT!DN518</f>
        <v>21.230769230769226</v>
      </c>
      <c r="CP8" s="450">
        <f>INPUT!DO518</f>
        <v>403</v>
      </c>
      <c r="CQ8" s="450">
        <f>INPUT!DP518</f>
        <v>8.9189189189189193</v>
      </c>
      <c r="CR8" s="450">
        <f>INPUT!DQ518</f>
        <v>390</v>
      </c>
      <c r="CS8" s="450">
        <f>INPUT!DR518</f>
        <v>1.5625</v>
      </c>
      <c r="CT8" s="450">
        <f>INPUT!DS518</f>
        <v>423</v>
      </c>
      <c r="CU8" s="450">
        <f>INPUT!DT518</f>
        <v>3.4229828850855739</v>
      </c>
      <c r="CV8" s="450">
        <f>INPUT!DU518</f>
        <v>423</v>
      </c>
      <c r="CW8" s="450">
        <f>INPUT!DV518</f>
        <v>7.3604060913705638</v>
      </c>
      <c r="CX8" s="450">
        <f>INPUT!DW518</f>
        <v>414</v>
      </c>
      <c r="CY8" s="450">
        <f>INPUT!DX518</f>
        <v>2.7295285359801369</v>
      </c>
      <c r="CZ8" s="450">
        <f>INPUT!DY518</f>
        <v>403</v>
      </c>
      <c r="DA8" s="450">
        <f>INPUT!DZ518</f>
        <v>3.3333333333333428</v>
      </c>
      <c r="DB8" s="450">
        <f>INPUT!EA518</f>
        <v>381</v>
      </c>
      <c r="DC8" s="450">
        <f>INPUT!EB518</f>
        <v>-9.9290780141843982</v>
      </c>
      <c r="DD8" s="450">
        <f>INPUT!EC518</f>
        <v>375</v>
      </c>
      <c r="DE8" s="450">
        <f>INPUT!ED518</f>
        <v>-11.347517730496463</v>
      </c>
      <c r="DF8" s="450">
        <f>INPUT!EE518</f>
        <v>449</v>
      </c>
      <c r="DG8" s="450">
        <f>INPUT!EF518</f>
        <v>8.4541062801932298</v>
      </c>
      <c r="DH8" s="450">
        <f>INPUT!EG518</f>
        <v>422</v>
      </c>
      <c r="DI8" s="450">
        <f>INPUT!EH518</f>
        <v>4.7146401985111481</v>
      </c>
      <c r="DJ8" s="450">
        <f>INPUT!EI518</f>
        <v>448.1</v>
      </c>
      <c r="DK8" s="450">
        <f>INPUT!EJ518</f>
        <v>17.611548556430449</v>
      </c>
      <c r="DL8" s="450">
        <f>INPUT!EK518</f>
        <v>512</v>
      </c>
      <c r="DM8" s="450">
        <f>INPUT!EL518</f>
        <v>36.533333333333331</v>
      </c>
      <c r="DN8" s="450">
        <f>INPUT!EM518</f>
        <v>529</v>
      </c>
      <c r="DO8" s="450">
        <f>INPUT!EN518</f>
        <v>17.817371937639194</v>
      </c>
      <c r="DP8" s="450">
        <f>INPUT!EO518</f>
        <v>525</v>
      </c>
      <c r="DQ8" s="450">
        <f>INPUT!EP518</f>
        <v>24.407582938388629</v>
      </c>
      <c r="DR8" s="450">
        <f>INPUT!EQ518</f>
        <v>527.21518307284816</v>
      </c>
      <c r="DS8" s="450">
        <f>INPUT!ER518</f>
        <v>17.655698074726203</v>
      </c>
      <c r="DT8" s="450">
        <f>INPUT!ES518</f>
        <v>523.69219613527025</v>
      </c>
      <c r="DU8" s="450">
        <f>INPUT!ET518</f>
        <v>2.2836320576699762</v>
      </c>
      <c r="DV8" s="450">
        <f>INPUT!EU518</f>
        <v>524.33437578534028</v>
      </c>
      <c r="DW8" s="450">
        <f>INPUT!EV518</f>
        <v>-0.88197055097538168</v>
      </c>
      <c r="DX8" s="450">
        <f>INPUT!EW518</f>
        <v>504.2175605180164</v>
      </c>
      <c r="DY8" s="450">
        <f>INPUT!EX518</f>
        <v>-3.9585599013302044</v>
      </c>
      <c r="DZ8" s="450">
        <f>INPUT!EY518</f>
        <v>0</v>
      </c>
      <c r="EA8" s="438"/>
      <c r="EB8" s="439">
        <f>INPUT!FI518</f>
        <v>-27.210884353741491</v>
      </c>
      <c r="EC8" s="449">
        <f>INPUT!FJ518</f>
        <v>-42</v>
      </c>
      <c r="ED8" s="439" t="str">
        <f>INPUT!FK518</f>
        <v>NM</v>
      </c>
      <c r="EE8" s="449">
        <f>INPUT!FL518</f>
        <v>262</v>
      </c>
      <c r="EF8" s="439" t="str">
        <f>INPUT!FM518</f>
        <v>NM</v>
      </c>
      <c r="EG8" s="449">
        <f>INPUT!FN518</f>
        <v>389</v>
      </c>
      <c r="EH8" s="439">
        <f>INPUT!FO518</f>
        <v>48.473282442748086</v>
      </c>
      <c r="EI8" s="450">
        <f>INPUT!FP518</f>
        <v>403</v>
      </c>
      <c r="EJ8" s="438">
        <f>INPUT!FQ518</f>
        <v>3.5989717223650359</v>
      </c>
      <c r="EK8" s="450">
        <f>INPUT!FR518</f>
        <v>549</v>
      </c>
      <c r="EL8" s="438">
        <f>INPUT!FS518</f>
        <v>36.228287841191076</v>
      </c>
      <c r="EM8" s="450">
        <f>INPUT!FT518</f>
        <v>699</v>
      </c>
      <c r="EN8" s="438">
        <f>INPUT!FU518</f>
        <v>27.32240437158471</v>
      </c>
      <c r="EO8" s="450">
        <f>INPUT!FV518</f>
        <v>596</v>
      </c>
      <c r="EP8" s="438">
        <f>INPUT!FW518</f>
        <v>-14.735336194563658</v>
      </c>
      <c r="EQ8" s="450">
        <f>INPUT!FX518</f>
        <v>424</v>
      </c>
      <c r="ER8" s="438">
        <f>INPUT!FY518</f>
        <v>-28.859060402684563</v>
      </c>
      <c r="ES8" s="450">
        <f>INPUT!FZ518</f>
        <v>577</v>
      </c>
      <c r="ET8" s="438">
        <f>INPUT!GA518</f>
        <v>36.084905660377359</v>
      </c>
      <c r="EU8" s="450">
        <f>INPUT!GB518</f>
        <v>883.6</v>
      </c>
      <c r="EV8" s="438">
        <f>INPUT!GC518</f>
        <v>53.136915077989613</v>
      </c>
      <c r="EW8" s="450">
        <f>INPUT!GD518</f>
        <v>984</v>
      </c>
      <c r="EX8" s="450">
        <f>INPUT!GE518</f>
        <v>11.362607514712536</v>
      </c>
      <c r="EY8" s="450">
        <f>INPUT!GF518</f>
        <v>1389</v>
      </c>
      <c r="EZ8" s="450">
        <f>INPUT!GG518</f>
        <v>41.158536585365852</v>
      </c>
      <c r="FA8" s="450">
        <f>INPUT!GH518</f>
        <v>1596</v>
      </c>
      <c r="FB8" s="450">
        <f>INPUT!GI518</f>
        <v>14.90280777537798</v>
      </c>
      <c r="FC8" s="450">
        <f>INPUT!GJ518</f>
        <v>1663</v>
      </c>
      <c r="FD8" s="450">
        <f>INPUT!GK518</f>
        <v>4.1979949874686611</v>
      </c>
      <c r="FE8" s="450">
        <f>INPUT!GL518</f>
        <v>1627</v>
      </c>
      <c r="FF8" s="450">
        <f>INPUT!GM518</f>
        <v>-2.1647624774503811</v>
      </c>
      <c r="FG8" s="450">
        <f>INPUT!GN518</f>
        <v>2014.1</v>
      </c>
      <c r="FH8" s="450">
        <f>INPUT!GO518</f>
        <v>23.79225568531038</v>
      </c>
      <c r="FI8" s="450">
        <f>INPUT!GP518</f>
        <v>2079.4593155114753</v>
      </c>
      <c r="FJ8" s="450">
        <f>INPUT!GQ518</f>
        <v>3.2450879058376216</v>
      </c>
      <c r="FK8" s="450">
        <f>INPUT!GR518</f>
        <v>2045.8808109448855</v>
      </c>
      <c r="FL8" s="450">
        <f>INPUT!GS518</f>
        <v>-1.6147709318530588</v>
      </c>
      <c r="FM8" s="450">
        <f>INPUT!GT518</f>
        <v>2016.1961540738039</v>
      </c>
      <c r="FN8" s="450">
        <f>INPUT!GU518</f>
        <v>-1.4509475191456573</v>
      </c>
      <c r="FO8" s="450">
        <f>INPUT!GV518</f>
        <v>1990.0737062204503</v>
      </c>
      <c r="FP8" s="450">
        <f>INPUT!GW518</f>
        <v>-1.2956302788581411</v>
      </c>
      <c r="FQ8" s="450">
        <f>INPUT!GX518</f>
        <v>1967.4739029153461</v>
      </c>
      <c r="FR8" s="450">
        <f>INPUT!GY518</f>
        <v>-1.135626446119204</v>
      </c>
      <c r="FS8" s="862">
        <f>INPUT!GZ518</f>
        <v>-0.46734469743515694</v>
      </c>
    </row>
    <row r="9" spans="1:176" s="529" customFormat="1" ht="12.75" customHeight="1" x14ac:dyDescent="0.2">
      <c r="A9" s="826" t="str">
        <f>INPUT!B519</f>
        <v>Individual Life</v>
      </c>
      <c r="B9" s="450">
        <f>INPUT!AA519</f>
        <v>106</v>
      </c>
      <c r="C9" s="450">
        <f>INPUT!AB519</f>
        <v>-9.4017094017093967</v>
      </c>
      <c r="D9" s="450">
        <f>INPUT!AC519</f>
        <v>113</v>
      </c>
      <c r="E9" s="450">
        <f>INPUT!AD519</f>
        <v>-13.07692307692308</v>
      </c>
      <c r="F9" s="450">
        <f>INPUT!AE519</f>
        <v>75</v>
      </c>
      <c r="G9" s="450">
        <f>INPUT!AF519</f>
        <v>-34.782608695652172</v>
      </c>
      <c r="H9" s="450">
        <f>INPUT!AG519</f>
        <v>63</v>
      </c>
      <c r="I9" s="450">
        <f>INPUT!AH519</f>
        <v>-10</v>
      </c>
      <c r="J9" s="450">
        <f>INPUT!AI519</f>
        <v>87</v>
      </c>
      <c r="K9" s="450">
        <f>INPUT!AJ519</f>
        <v>-17.924528301886795</v>
      </c>
      <c r="L9" s="450">
        <f>INPUT!AK519</f>
        <v>98</v>
      </c>
      <c r="M9" s="450">
        <f>INPUT!AL519</f>
        <v>-13.274336283185846</v>
      </c>
      <c r="N9" s="450">
        <f>INPUT!AM519</f>
        <v>101</v>
      </c>
      <c r="O9" s="450">
        <f>INPUT!AN519</f>
        <v>34.666666666666657</v>
      </c>
      <c r="P9" s="450">
        <f>INPUT!AO519</f>
        <v>91</v>
      </c>
      <c r="Q9" s="450">
        <f>INPUT!AP519</f>
        <v>44.444444444444429</v>
      </c>
      <c r="R9" s="450">
        <f>INPUT!AQ519</f>
        <v>90</v>
      </c>
      <c r="S9" s="450">
        <f>INPUT!AR519</f>
        <v>3.448275862068968</v>
      </c>
      <c r="T9" s="450">
        <f>INPUT!AS519</f>
        <v>103</v>
      </c>
      <c r="U9" s="450">
        <f>INPUT!AT519</f>
        <v>5.1020408163265216</v>
      </c>
      <c r="V9" s="450">
        <f>INPUT!AU519</f>
        <v>107</v>
      </c>
      <c r="W9" s="450">
        <f>INPUT!AV519</f>
        <v>5.940594059405953</v>
      </c>
      <c r="X9" s="450">
        <f>INPUT!AW519</f>
        <v>142</v>
      </c>
      <c r="Y9" s="450">
        <f>INPUT!AX519</f>
        <v>56.043956043956058</v>
      </c>
      <c r="Z9" s="450">
        <f>INPUT!AY519</f>
        <v>117</v>
      </c>
      <c r="AA9" s="450">
        <f>INPUT!AZ519</f>
        <v>30</v>
      </c>
      <c r="AB9" s="450">
        <f>INPUT!BA519</f>
        <v>102</v>
      </c>
      <c r="AC9" s="450">
        <f>INPUT!BB519</f>
        <v>-0.97087378640776478</v>
      </c>
      <c r="AD9" s="450">
        <f>INPUT!BC519</f>
        <v>112</v>
      </c>
      <c r="AE9" s="450">
        <f>INPUT!BD519</f>
        <v>4.6728971962616725</v>
      </c>
      <c r="AF9" s="450">
        <f>INPUT!BE519</f>
        <v>132</v>
      </c>
      <c r="AG9" s="450">
        <f>INPUT!BF519</f>
        <v>-7.0422535211267672</v>
      </c>
      <c r="AH9" s="450">
        <f>INPUT!BG519</f>
        <v>101</v>
      </c>
      <c r="AI9" s="450">
        <f>INPUT!BH519</f>
        <v>-13.675213675213669</v>
      </c>
      <c r="AJ9" s="450">
        <f>INPUT!BI519</f>
        <v>141</v>
      </c>
      <c r="AK9" s="450">
        <f>INPUT!BJ519</f>
        <v>38.235294117647044</v>
      </c>
      <c r="AL9" s="450">
        <f>INPUT!BK519</f>
        <v>176</v>
      </c>
      <c r="AM9" s="450">
        <f>INPUT!BL519</f>
        <v>57.142857142857139</v>
      </c>
      <c r="AN9" s="450">
        <f>INPUT!BM519</f>
        <v>133</v>
      </c>
      <c r="AO9" s="450">
        <f>INPUT!BN519</f>
        <v>0.75757575757575069</v>
      </c>
      <c r="AP9" s="450">
        <f>INPUT!BO519</f>
        <v>96</v>
      </c>
      <c r="AQ9" s="450">
        <f>INPUT!BP519</f>
        <v>-4.9504950495049513</v>
      </c>
      <c r="AR9" s="450">
        <f>INPUT!BQ519</f>
        <v>103</v>
      </c>
      <c r="AS9" s="450">
        <f>INPUT!BR519</f>
        <v>-26.950354609929079</v>
      </c>
      <c r="AT9" s="450">
        <f>INPUT!BS519</f>
        <v>106</v>
      </c>
      <c r="AU9" s="450">
        <f>INPUT!BT519</f>
        <v>-39.772727272727273</v>
      </c>
      <c r="AV9" s="450">
        <f>INPUT!BU519</f>
        <v>9</v>
      </c>
      <c r="AW9" s="450" t="str">
        <f>INPUT!BV519</f>
        <v>NM</v>
      </c>
      <c r="AX9" s="450">
        <f>INPUT!BW519</f>
        <v>72</v>
      </c>
      <c r="AY9" s="450">
        <f>INPUT!BX519</f>
        <v>-25</v>
      </c>
      <c r="AZ9" s="450">
        <f>INPUT!BY519</f>
        <v>115</v>
      </c>
      <c r="BA9" s="450">
        <f>INPUT!BZ519</f>
        <v>11.650485436893206</v>
      </c>
      <c r="BB9" s="450">
        <f>INPUT!CA519</f>
        <v>107</v>
      </c>
      <c r="BC9" s="450">
        <f>INPUT!CB519</f>
        <v>0.94339622641510346</v>
      </c>
      <c r="BD9" s="450">
        <f>INPUT!CC519</f>
        <v>141</v>
      </c>
      <c r="BE9" s="450" t="str">
        <f>INPUT!CD519</f>
        <v>NM</v>
      </c>
      <c r="BF9" s="450">
        <f>INPUT!CE519</f>
        <v>86</v>
      </c>
      <c r="BG9" s="450">
        <f>INPUT!CF519</f>
        <v>19.444444444444443</v>
      </c>
      <c r="BH9" s="450">
        <f>INPUT!CG519</f>
        <v>137</v>
      </c>
      <c r="BI9" s="450">
        <f>INPUT!CH519</f>
        <v>19.130434782608702</v>
      </c>
      <c r="BJ9" s="450">
        <f>INPUT!CI519</f>
        <v>105</v>
      </c>
      <c r="BK9" s="450">
        <f>INPUT!CJ519</f>
        <v>-1.8691588785046775</v>
      </c>
      <c r="BL9" s="450">
        <f>INPUT!CK519</f>
        <v>132</v>
      </c>
      <c r="BM9" s="450">
        <f>INPUT!CL519</f>
        <v>-6.3829787234042499</v>
      </c>
      <c r="BN9" s="450">
        <f>INPUT!CM519</f>
        <v>98</v>
      </c>
      <c r="BO9" s="450">
        <f>INPUT!CN519</f>
        <v>13.95348837209302</v>
      </c>
      <c r="BP9" s="450">
        <f>INPUT!CO519</f>
        <v>135</v>
      </c>
      <c r="BQ9" s="450">
        <f>INPUT!CP519</f>
        <v>-1.4598540145985339</v>
      </c>
      <c r="BR9" s="450">
        <f>INPUT!CQ519</f>
        <v>84</v>
      </c>
      <c r="BS9" s="450">
        <f>INPUT!CR519</f>
        <v>-20</v>
      </c>
      <c r="BT9" s="450">
        <f>INPUT!CS519</f>
        <v>128</v>
      </c>
      <c r="BU9" s="450">
        <f>INPUT!CT519</f>
        <v>-3.0303030303030312</v>
      </c>
      <c r="BV9" s="450">
        <f>INPUT!CU519</f>
        <v>112</v>
      </c>
      <c r="BW9" s="450">
        <f>INPUT!CV519</f>
        <v>14.285714285714278</v>
      </c>
      <c r="BX9" s="450">
        <f>INPUT!CW519</f>
        <v>61</v>
      </c>
      <c r="BY9" s="450" t="str">
        <f>INPUT!CX519</f>
        <v>NM</v>
      </c>
      <c r="BZ9" s="450">
        <f>INPUT!CY519</f>
        <v>139</v>
      </c>
      <c r="CA9" s="450">
        <f>INPUT!CZ519</f>
        <v>65.476190476190453</v>
      </c>
      <c r="CB9" s="450">
        <f>INPUT!DA519</f>
        <v>114</v>
      </c>
      <c r="CC9" s="450">
        <f>INPUT!DB519</f>
        <v>-10.9375</v>
      </c>
      <c r="CD9" s="450">
        <f>INPUT!DC519</f>
        <v>145</v>
      </c>
      <c r="CE9" s="450">
        <f>INPUT!DD519</f>
        <v>29.464285714285722</v>
      </c>
      <c r="CF9" s="450">
        <f>INPUT!DE519</f>
        <v>152</v>
      </c>
      <c r="CG9" s="450" t="str">
        <f>INPUT!DF519</f>
        <v>NM</v>
      </c>
      <c r="CH9" s="450">
        <f>INPUT!DG519</f>
        <v>145</v>
      </c>
      <c r="CI9" s="450">
        <f>INPUT!DH519</f>
        <v>4.3165467625899225</v>
      </c>
      <c r="CJ9" s="450">
        <f>INPUT!DI519</f>
        <v>165</v>
      </c>
      <c r="CK9" s="450">
        <f>INPUT!DJ519</f>
        <v>44.73684210526315</v>
      </c>
      <c r="CL9" s="450">
        <f>INPUT!DK519</f>
        <v>133</v>
      </c>
      <c r="CM9" s="450">
        <f>INPUT!DL519</f>
        <v>-8.2758620689655231</v>
      </c>
      <c r="CN9" s="450">
        <f>INPUT!DM519</f>
        <v>166</v>
      </c>
      <c r="CO9" s="450">
        <f>INPUT!DN519</f>
        <v>9.2105263157894655</v>
      </c>
      <c r="CP9" s="450">
        <f>INPUT!DO519</f>
        <v>168</v>
      </c>
      <c r="CQ9" s="450">
        <f>INPUT!DP519</f>
        <v>15.862068965517253</v>
      </c>
      <c r="CR9" s="450">
        <f>INPUT!DQ519</f>
        <v>135</v>
      </c>
      <c r="CS9" s="450">
        <f>INPUT!DR519</f>
        <v>-18.181818181818173</v>
      </c>
      <c r="CT9" s="450">
        <f>INPUT!DS519</f>
        <v>125</v>
      </c>
      <c r="CU9" s="450">
        <f>INPUT!DT519</f>
        <v>-6.0150375939849567</v>
      </c>
      <c r="CV9" s="450">
        <f>INPUT!DU519</f>
        <v>177</v>
      </c>
      <c r="CW9" s="450">
        <f>INPUT!DV519</f>
        <v>6.6265060240963862</v>
      </c>
      <c r="CX9" s="450">
        <f>INPUT!DW519</f>
        <v>183</v>
      </c>
      <c r="CY9" s="450">
        <f>INPUT!DX519</f>
        <v>8.9285714285714164</v>
      </c>
      <c r="CZ9" s="450">
        <f>INPUT!DY519</f>
        <v>119</v>
      </c>
      <c r="DA9" s="450">
        <f>INPUT!DZ519</f>
        <v>-11.851851851851848</v>
      </c>
      <c r="DB9" s="450">
        <f>INPUT!EA519</f>
        <v>165</v>
      </c>
      <c r="DC9" s="450">
        <f>INPUT!EB519</f>
        <v>32</v>
      </c>
      <c r="DD9" s="450">
        <f>INPUT!EC519</f>
        <v>130</v>
      </c>
      <c r="DE9" s="450">
        <f>INPUT!ED519</f>
        <v>-26.55367231638418</v>
      </c>
      <c r="DF9" s="450">
        <f>INPUT!EE519</f>
        <v>111</v>
      </c>
      <c r="DG9" s="450">
        <f>INPUT!EF519</f>
        <v>-39.344262295081968</v>
      </c>
      <c r="DH9" s="450">
        <f>INPUT!EG519</f>
        <v>138</v>
      </c>
      <c r="DI9" s="450">
        <f>INPUT!EH519</f>
        <v>15.966386554621863</v>
      </c>
      <c r="DJ9" s="450">
        <f>INPUT!EI519</f>
        <v>118</v>
      </c>
      <c r="DK9" s="450">
        <f>INPUT!EJ519</f>
        <v>-28.484848484848484</v>
      </c>
      <c r="DL9" s="450">
        <f>INPUT!EK519</f>
        <v>96</v>
      </c>
      <c r="DM9" s="450">
        <f>INPUT!EL519</f>
        <v>-26.153846153846146</v>
      </c>
      <c r="DN9" s="450">
        <f>INPUT!EM519</f>
        <v>150</v>
      </c>
      <c r="DO9" s="450">
        <f>INPUT!EN519</f>
        <v>35.13513513513513</v>
      </c>
      <c r="DP9" s="450">
        <f>INPUT!EO519</f>
        <v>98</v>
      </c>
      <c r="DQ9" s="450">
        <f>INPUT!EP519</f>
        <v>-28.985507246376812</v>
      </c>
      <c r="DR9" s="450">
        <f>INPUT!EQ519</f>
        <v>95.528326875000175</v>
      </c>
      <c r="DS9" s="450">
        <f>INPUT!ER519</f>
        <v>-19.043790783898146</v>
      </c>
      <c r="DT9" s="450">
        <f>INPUT!ES519</f>
        <v>113.75430471982759</v>
      </c>
      <c r="DU9" s="450">
        <f>INPUT!ET519</f>
        <v>18.49406741648707</v>
      </c>
      <c r="DV9" s="450">
        <f>INPUT!EU519</f>
        <v>113.87967676271569</v>
      </c>
      <c r="DW9" s="450">
        <f>INPUT!EV519</f>
        <v>-24.080215491522878</v>
      </c>
      <c r="DX9" s="450">
        <f>INPUT!EW519</f>
        <v>112.9107367140482</v>
      </c>
      <c r="DY9" s="450">
        <f>INPUT!EX519</f>
        <v>15.215037463314502</v>
      </c>
      <c r="DZ9" s="450">
        <f>INPUT!EY519</f>
        <v>0</v>
      </c>
      <c r="EA9" s="438"/>
      <c r="EB9" s="439">
        <f>INPUT!FI521</f>
        <v>-44.329896907216494</v>
      </c>
      <c r="EC9" s="449">
        <f>INPUT!FJ521</f>
        <v>149</v>
      </c>
      <c r="ED9" s="439">
        <f>INPUT!FK521</f>
        <v>37.962962962962962</v>
      </c>
      <c r="EE9" s="449">
        <f>INPUT!FL521</f>
        <v>192</v>
      </c>
      <c r="EF9" s="439">
        <f>INPUT!FM521</f>
        <v>28.859060402684548</v>
      </c>
      <c r="EG9" s="449">
        <f>INPUT!FN521</f>
        <v>334</v>
      </c>
      <c r="EH9" s="439">
        <f>INPUT!FO521</f>
        <v>73.958333333333314</v>
      </c>
      <c r="EI9" s="450">
        <f>INPUT!FP521</f>
        <v>411</v>
      </c>
      <c r="EJ9" s="438">
        <f>INPUT!FQ521</f>
        <v>23.053892215568865</v>
      </c>
      <c r="EK9" s="450">
        <f>INPUT!FR521</f>
        <v>491</v>
      </c>
      <c r="EL9" s="438">
        <f>INPUT!FS521</f>
        <v>19.464720194647199</v>
      </c>
      <c r="EM9" s="450">
        <f>INPUT!FT521</f>
        <v>589</v>
      </c>
      <c r="EN9" s="438">
        <f>INPUT!FU521</f>
        <v>19.959266802443992</v>
      </c>
      <c r="EO9" s="450">
        <f>INPUT!FV521</f>
        <v>490</v>
      </c>
      <c r="EP9" s="438">
        <f>INPUT!FW521</f>
        <v>-16.808149405772497</v>
      </c>
      <c r="EQ9" s="450">
        <f>INPUT!FX521</f>
        <v>491</v>
      </c>
      <c r="ER9" s="438">
        <f>INPUT!FY521</f>
        <v>0.20408163265305745</v>
      </c>
      <c r="ES9" s="450">
        <f>INPUT!FZ521</f>
        <v>580</v>
      </c>
      <c r="ET9" s="438">
        <f>INPUT!GA521</f>
        <v>18.12627291242363</v>
      </c>
      <c r="EU9" s="450">
        <f>INPUT!GB521</f>
        <v>618</v>
      </c>
      <c r="EV9" s="438">
        <f>INPUT!GC521</f>
        <v>6.551724137931032</v>
      </c>
      <c r="EW9" s="450">
        <f>INPUT!GD521</f>
        <v>627</v>
      </c>
      <c r="EX9" s="450">
        <f>INPUT!GE519</f>
        <v>-4.2696629213483135</v>
      </c>
      <c r="EY9" s="450">
        <f>INPUT!GF519</f>
        <v>607</v>
      </c>
      <c r="EZ9" s="450">
        <f>INPUT!GG519</f>
        <v>42.488262910798113</v>
      </c>
      <c r="FA9" s="450">
        <f>INPUT!GH519</f>
        <v>602</v>
      </c>
      <c r="FB9" s="450">
        <f>INPUT!GI519</f>
        <v>-0.82372322899504979</v>
      </c>
      <c r="FC9" s="450">
        <f>INPUT!GJ519</f>
        <v>604</v>
      </c>
      <c r="FD9" s="450">
        <f>INPUT!GK519</f>
        <v>0.33222591362125797</v>
      </c>
      <c r="FE9" s="450">
        <f>INPUT!GL519</f>
        <v>544</v>
      </c>
      <c r="FF9" s="450">
        <f>INPUT!GM519</f>
        <v>-9.933774834437088</v>
      </c>
      <c r="FG9" s="450">
        <f>INPUT!GN519</f>
        <v>462</v>
      </c>
      <c r="FH9" s="450">
        <f>INPUT!GO519</f>
        <v>-15.07352941176471</v>
      </c>
      <c r="FI9" s="450">
        <f>INPUT!GP519</f>
        <v>436.07304507159097</v>
      </c>
      <c r="FJ9" s="450">
        <f>INPUT!GQ519</f>
        <v>-5.6118950061491404</v>
      </c>
      <c r="FK9" s="450">
        <f>INPUT!GR519</f>
        <v>432.33203523491011</v>
      </c>
      <c r="FL9" s="450">
        <f>INPUT!GS519</f>
        <v>-0.85788605348598423</v>
      </c>
      <c r="FM9" s="450">
        <f>INPUT!GT519</f>
        <v>427.44700049098174</v>
      </c>
      <c r="FN9" s="450">
        <f>INPUT!GU519</f>
        <v>-1.1299266179232035</v>
      </c>
      <c r="FO9" s="450">
        <f>INPUT!GV519</f>
        <v>428.09328543534866</v>
      </c>
      <c r="FP9" s="450">
        <f>INPUT!GW519</f>
        <v>0.15119650942094154</v>
      </c>
      <c r="FQ9" s="450">
        <f>INPUT!GX519</f>
        <v>427.94359380240439</v>
      </c>
      <c r="FR9" s="450">
        <f>INPUT!GY519</f>
        <v>-3.4967059292227987E-2</v>
      </c>
      <c r="FS9" s="862">
        <f>INPUT!GZ519</f>
        <v>-1.5198025239019808</v>
      </c>
    </row>
    <row r="10" spans="1:176" s="529" customFormat="1" ht="12.75" customHeight="1" x14ac:dyDescent="0.2">
      <c r="A10" s="829" t="str">
        <f>INPUT!B520</f>
        <v>US Individual Solutions Division</v>
      </c>
      <c r="B10" s="450">
        <f>INPUT!AA520</f>
        <v>129</v>
      </c>
      <c r="C10" s="450">
        <f>INPUT!AB520</f>
        <v>0</v>
      </c>
      <c r="D10" s="450">
        <f>INPUT!AC520</f>
        <v>178</v>
      </c>
      <c r="E10" s="450">
        <f>INPUT!AD520</f>
        <v>0</v>
      </c>
      <c r="F10" s="450">
        <f>INPUT!AE520</f>
        <v>153</v>
      </c>
      <c r="G10" s="450">
        <f>INPUT!AF520</f>
        <v>0</v>
      </c>
      <c r="H10" s="450">
        <f>INPUT!AG520</f>
        <v>159</v>
      </c>
      <c r="I10" s="450">
        <f>INPUT!AH520</f>
        <v>0</v>
      </c>
      <c r="J10" s="450">
        <f>INPUT!AI520</f>
        <v>185</v>
      </c>
      <c r="K10" s="450">
        <f>INPUT!AJ520</f>
        <v>0</v>
      </c>
      <c r="L10" s="450">
        <f>INPUT!AK520</f>
        <v>192</v>
      </c>
      <c r="M10" s="450">
        <f>INPUT!AL520</f>
        <v>0</v>
      </c>
      <c r="N10" s="450">
        <f>INPUT!AM520</f>
        <v>197</v>
      </c>
      <c r="O10" s="450">
        <f>INPUT!AN520</f>
        <v>0</v>
      </c>
      <c r="P10" s="450">
        <f>INPUT!AO520</f>
        <v>192</v>
      </c>
      <c r="Q10" s="450">
        <f>INPUT!AP520</f>
        <v>0</v>
      </c>
      <c r="R10" s="450">
        <f>INPUT!AQ520</f>
        <v>181</v>
      </c>
      <c r="S10" s="450">
        <f>INPUT!AR520</f>
        <v>0</v>
      </c>
      <c r="T10" s="450">
        <f>INPUT!AS520</f>
        <v>198</v>
      </c>
      <c r="U10" s="450">
        <f>INPUT!AT520</f>
        <v>0</v>
      </c>
      <c r="V10" s="450">
        <f>INPUT!AU520</f>
        <v>211</v>
      </c>
      <c r="W10" s="450">
        <f>INPUT!AV520</f>
        <v>0</v>
      </c>
      <c r="X10" s="450">
        <f>INPUT!AW520</f>
        <v>255</v>
      </c>
      <c r="Y10" s="450">
        <f>INPUT!AX520</f>
        <v>0</v>
      </c>
      <c r="Z10" s="450">
        <f>INPUT!AY520</f>
        <v>235</v>
      </c>
      <c r="AA10" s="450">
        <f>INPUT!AZ520</f>
        <v>0</v>
      </c>
      <c r="AB10" s="450">
        <f>INPUT!BA520</f>
        <v>224</v>
      </c>
      <c r="AC10" s="450">
        <f>INPUT!BB520</f>
        <v>0</v>
      </c>
      <c r="AD10" s="450">
        <f>INPUT!BC520</f>
        <v>267</v>
      </c>
      <c r="AE10" s="450">
        <f>INPUT!BD520</f>
        <v>0</v>
      </c>
      <c r="AF10" s="450">
        <f>INPUT!BE520</f>
        <v>286</v>
      </c>
      <c r="AG10" s="450">
        <f>INPUT!BF520</f>
        <v>0</v>
      </c>
      <c r="AH10" s="450">
        <f>INPUT!BG520</f>
        <v>267</v>
      </c>
      <c r="AI10" s="450">
        <f>INPUT!BH520</f>
        <v>0</v>
      </c>
      <c r="AJ10" s="450">
        <f>INPUT!BI520</f>
        <v>321</v>
      </c>
      <c r="AK10" s="450">
        <f>INPUT!BJ520</f>
        <v>0</v>
      </c>
      <c r="AL10" s="450">
        <f>INPUT!BK520</f>
        <v>354</v>
      </c>
      <c r="AM10" s="450">
        <f>INPUT!BL520</f>
        <v>0</v>
      </c>
      <c r="AN10" s="450">
        <f>INPUT!BM520</f>
        <v>308</v>
      </c>
      <c r="AO10" s="450">
        <f>INPUT!BN520</f>
        <v>0</v>
      </c>
      <c r="AP10" s="450">
        <f>INPUT!BO520</f>
        <v>211</v>
      </c>
      <c r="AQ10" s="450">
        <f>INPUT!BP520</f>
        <v>0</v>
      </c>
      <c r="AR10" s="450">
        <f>INPUT!BQ520</f>
        <v>257</v>
      </c>
      <c r="AS10" s="450">
        <f>INPUT!BR520</f>
        <v>0</v>
      </c>
      <c r="AT10" s="450">
        <f>INPUT!BS520</f>
        <v>216</v>
      </c>
      <c r="AU10" s="450">
        <f>INPUT!BT520</f>
        <v>0</v>
      </c>
      <c r="AV10" s="450">
        <f>INPUT!BU520</f>
        <v>104</v>
      </c>
      <c r="AW10" s="450">
        <f>INPUT!BV520</f>
        <v>0</v>
      </c>
      <c r="AX10" s="450">
        <f>INPUT!BW520</f>
        <v>155</v>
      </c>
      <c r="AY10" s="450">
        <f>INPUT!BX520</f>
        <v>0</v>
      </c>
      <c r="AZ10" s="450">
        <f>INPUT!BY520</f>
        <v>188</v>
      </c>
      <c r="BA10" s="450">
        <f>INPUT!BZ520</f>
        <v>0</v>
      </c>
      <c r="BB10" s="450">
        <f>INPUT!CA520</f>
        <v>342</v>
      </c>
      <c r="BC10" s="450">
        <f>INPUT!CB520</f>
        <v>0</v>
      </c>
      <c r="BD10" s="450">
        <f>INPUT!CC520</f>
        <v>259</v>
      </c>
      <c r="BE10" s="450">
        <f>INPUT!CD520</f>
        <v>0</v>
      </c>
      <c r="BF10" s="450">
        <f>INPUT!CE520</f>
        <v>212</v>
      </c>
      <c r="BG10" s="450">
        <f>INPUT!CF520</f>
        <v>0</v>
      </c>
      <c r="BH10" s="450">
        <f>INPUT!CG520</f>
        <v>277</v>
      </c>
      <c r="BI10" s="450">
        <f>INPUT!CH520</f>
        <v>0</v>
      </c>
      <c r="BJ10" s="450">
        <f>INPUT!CI520</f>
        <v>245</v>
      </c>
      <c r="BK10" s="450">
        <f>INPUT!CJ520</f>
        <v>0</v>
      </c>
      <c r="BL10" s="450">
        <f>INPUT!CK520</f>
        <v>303</v>
      </c>
      <c r="BM10" s="450">
        <f>INPUT!CL520</f>
        <v>0</v>
      </c>
      <c r="BN10" s="450">
        <f>INPUT!CM520</f>
        <v>313.60000000000002</v>
      </c>
      <c r="BO10" s="450">
        <f>INPUT!CN520</f>
        <v>0</v>
      </c>
      <c r="BP10" s="450">
        <f>INPUT!CO520</f>
        <v>377</v>
      </c>
      <c r="BQ10" s="450">
        <f>INPUT!CP520</f>
        <v>0</v>
      </c>
      <c r="BR10" s="450">
        <f>INPUT!CQ520</f>
        <v>313</v>
      </c>
      <c r="BS10" s="450">
        <f>INPUT!CR520</f>
        <v>0</v>
      </c>
      <c r="BT10" s="450">
        <f>INPUT!CS520</f>
        <v>325</v>
      </c>
      <c r="BU10" s="450">
        <f>INPUT!CT520</f>
        <v>0</v>
      </c>
      <c r="BV10" s="450">
        <f>INPUT!CU520</f>
        <v>337</v>
      </c>
      <c r="BW10" s="450">
        <f>INPUT!CV520</f>
        <v>0</v>
      </c>
      <c r="BX10" s="450">
        <f>INPUT!CW520</f>
        <v>292</v>
      </c>
      <c r="BY10" s="450">
        <f>INPUT!CX520</f>
        <v>0</v>
      </c>
      <c r="BZ10" s="450">
        <f>INPUT!CY520</f>
        <v>394</v>
      </c>
      <c r="CA10" s="450">
        <f>INPUT!CZ520</f>
        <v>0</v>
      </c>
      <c r="CB10" s="450">
        <f>INPUT!DA520</f>
        <v>387</v>
      </c>
      <c r="CC10" s="450">
        <f>INPUT!DB520</f>
        <v>0</v>
      </c>
      <c r="CD10" s="450">
        <f>INPUT!DC520</f>
        <v>455</v>
      </c>
      <c r="CE10" s="450">
        <f>INPUT!DD520</f>
        <v>0</v>
      </c>
      <c r="CF10" s="450">
        <f>INPUT!DE520</f>
        <v>477</v>
      </c>
      <c r="CG10" s="450">
        <f>INPUT!DF520</f>
        <v>0</v>
      </c>
      <c r="CH10" s="450">
        <f>INPUT!DG520</f>
        <v>515</v>
      </c>
      <c r="CI10" s="450">
        <f>INPUT!DH520</f>
        <v>0</v>
      </c>
      <c r="CJ10" s="450">
        <f>INPUT!DI520</f>
        <v>549</v>
      </c>
      <c r="CK10" s="450">
        <f>INPUT!DJ520</f>
        <v>0</v>
      </c>
      <c r="CL10" s="450">
        <f>INPUT!DK520</f>
        <v>542</v>
      </c>
      <c r="CM10" s="450">
        <f>INPUT!DL520</f>
        <v>0</v>
      </c>
      <c r="CN10" s="450">
        <f>INPUT!DM520</f>
        <v>560</v>
      </c>
      <c r="CO10" s="450">
        <f>INPUT!DN520</f>
        <v>0</v>
      </c>
      <c r="CP10" s="450">
        <f>INPUT!DO520</f>
        <v>571</v>
      </c>
      <c r="CQ10" s="450">
        <f>INPUT!DP520</f>
        <v>0</v>
      </c>
      <c r="CR10" s="450">
        <f>INPUT!DQ520</f>
        <v>525</v>
      </c>
      <c r="CS10" s="450">
        <f>INPUT!DR520</f>
        <v>0</v>
      </c>
      <c r="CT10" s="450">
        <f>INPUT!DS520</f>
        <v>548</v>
      </c>
      <c r="CU10" s="450">
        <f>INPUT!DT520</f>
        <v>0</v>
      </c>
      <c r="CV10" s="450">
        <f>INPUT!DU520</f>
        <v>600</v>
      </c>
      <c r="CW10" s="450">
        <f>INPUT!DV520</f>
        <v>0</v>
      </c>
      <c r="CX10" s="450">
        <f>INPUT!DW520</f>
        <v>597</v>
      </c>
      <c r="CY10" s="450">
        <f>INPUT!DX520</f>
        <v>0</v>
      </c>
      <c r="CZ10" s="450">
        <f>INPUT!DY520</f>
        <v>522</v>
      </c>
      <c r="DA10" s="450">
        <f>INPUT!DZ520</f>
        <v>0</v>
      </c>
      <c r="DB10" s="450">
        <f>INPUT!EA520</f>
        <v>546</v>
      </c>
      <c r="DC10" s="450">
        <f>INPUT!EB520</f>
        <v>0</v>
      </c>
      <c r="DD10" s="450">
        <f>INPUT!EC520</f>
        <v>505</v>
      </c>
      <c r="DE10" s="450">
        <f>INPUT!ED520</f>
        <v>0</v>
      </c>
      <c r="DF10" s="450">
        <f>INPUT!EE520</f>
        <v>560</v>
      </c>
      <c r="DG10" s="450">
        <f>INPUT!EF520</f>
        <v>0</v>
      </c>
      <c r="DH10" s="450">
        <f>INPUT!EG520</f>
        <v>560</v>
      </c>
      <c r="DI10" s="450">
        <f>INPUT!EH520</f>
        <v>0</v>
      </c>
      <c r="DJ10" s="450">
        <f>INPUT!EI520</f>
        <v>566.1</v>
      </c>
      <c r="DK10" s="450">
        <f>INPUT!EJ520</f>
        <v>0</v>
      </c>
      <c r="DL10" s="450">
        <f>INPUT!EK520</f>
        <v>608</v>
      </c>
      <c r="DM10" s="450">
        <f>INPUT!EL520</f>
        <v>0</v>
      </c>
      <c r="DN10" s="450">
        <f>INPUT!EM520</f>
        <v>679</v>
      </c>
      <c r="DO10" s="450">
        <f>INPUT!EN520</f>
        <v>0</v>
      </c>
      <c r="DP10" s="450">
        <f>INPUT!EO520</f>
        <v>623</v>
      </c>
      <c r="DQ10" s="450">
        <f>INPUT!EP520</f>
        <v>0</v>
      </c>
      <c r="DR10" s="450">
        <f>INPUT!EQ520</f>
        <v>622.74350994784834</v>
      </c>
      <c r="DS10" s="450">
        <f>INPUT!ER520</f>
        <v>0</v>
      </c>
      <c r="DT10" s="450">
        <f>INPUT!ES520</f>
        <v>637.44650085509784</v>
      </c>
      <c r="DU10" s="450">
        <f>INPUT!ET520</f>
        <v>0</v>
      </c>
      <c r="DV10" s="450">
        <f>INPUT!EU520</f>
        <v>638.21405254805597</v>
      </c>
      <c r="DW10" s="450">
        <f>INPUT!EV520</f>
        <v>0</v>
      </c>
      <c r="DX10" s="450">
        <f>INPUT!EW520</f>
        <v>617.1282972320646</v>
      </c>
      <c r="DY10" s="450">
        <f>INPUT!EX520</f>
        <v>0</v>
      </c>
      <c r="DZ10" s="450">
        <f>INPUT!EY520</f>
        <v>0</v>
      </c>
      <c r="EA10" s="438"/>
      <c r="EB10" s="439">
        <f>INPUT!FI525</f>
        <v>-20.647773279352222</v>
      </c>
      <c r="EC10" s="449">
        <f>INPUT!FJ525</f>
        <v>184</v>
      </c>
      <c r="ED10" s="439">
        <f>INPUT!FK525</f>
        <v>-6.1224489795918373</v>
      </c>
      <c r="EE10" s="449">
        <f>INPUT!FL525</f>
        <v>209</v>
      </c>
      <c r="EF10" s="439">
        <f>INPUT!FM525</f>
        <v>13.58695652173914</v>
      </c>
      <c r="EG10" s="449">
        <f>INPUT!FN525</f>
        <v>246</v>
      </c>
      <c r="EH10" s="439">
        <f>INPUT!FO525</f>
        <v>17.703349282296642</v>
      </c>
      <c r="EI10" s="450">
        <f>INPUT!FP525</f>
        <v>387</v>
      </c>
      <c r="EJ10" s="438">
        <f>INPUT!FQ525</f>
        <v>57.317073170731703</v>
      </c>
      <c r="EK10" s="450">
        <f>INPUT!FR525</f>
        <v>483</v>
      </c>
      <c r="EL10" s="438">
        <f>INPUT!FS525</f>
        <v>24.806201550387598</v>
      </c>
      <c r="EM10" s="450">
        <f>INPUT!FT525</f>
        <v>769</v>
      </c>
      <c r="EN10" s="438">
        <f>INPUT!FU525</f>
        <v>59.21325051759834</v>
      </c>
      <c r="EO10" s="450">
        <f>INPUT!FV525</f>
        <v>482</v>
      </c>
      <c r="EP10" s="438">
        <f>INPUT!FW525</f>
        <v>-37.32119635890767</v>
      </c>
      <c r="EQ10" s="450">
        <f>INPUT!FX525</f>
        <v>55</v>
      </c>
      <c r="ER10" s="438" t="str">
        <f>INPUT!FY525</f>
        <v>NM</v>
      </c>
      <c r="ES10" s="450">
        <f>INPUT!FZ525</f>
        <v>487</v>
      </c>
      <c r="ET10" s="438" t="str">
        <f>INPUT!GA525</f>
        <v>NM</v>
      </c>
      <c r="EU10" s="450">
        <f>INPUT!GB525</f>
        <v>603</v>
      </c>
      <c r="EV10" s="438">
        <f>INPUT!GC525</f>
        <v>23.819301848049278</v>
      </c>
      <c r="EW10" s="450">
        <f>INPUT!GD525</f>
        <v>676</v>
      </c>
      <c r="EX10" s="450">
        <f>INPUT!GE520</f>
        <v>0</v>
      </c>
      <c r="EY10" s="450">
        <f>INPUT!GF520</f>
        <v>1996</v>
      </c>
      <c r="EZ10" s="450">
        <f>INPUT!GG520</f>
        <v>0</v>
      </c>
      <c r="FA10" s="450">
        <f>INPUT!GH520</f>
        <v>2198</v>
      </c>
      <c r="FB10" s="450">
        <f>INPUT!GI520</f>
        <v>0</v>
      </c>
      <c r="FC10" s="450">
        <f>INPUT!GJ520</f>
        <v>2267</v>
      </c>
      <c r="FD10" s="450">
        <f>INPUT!GK520</f>
        <v>0</v>
      </c>
      <c r="FE10" s="450">
        <f>INPUT!GL520</f>
        <v>2171</v>
      </c>
      <c r="FF10" s="450">
        <f>INPUT!GM520</f>
        <v>0</v>
      </c>
      <c r="FG10" s="450">
        <f>INPUT!GN520</f>
        <v>2476.1</v>
      </c>
      <c r="FH10" s="450">
        <f>INPUT!GO520</f>
        <v>0</v>
      </c>
      <c r="FI10" s="450">
        <f>INPUT!GP520</f>
        <v>2515.5323605830663</v>
      </c>
      <c r="FJ10" s="450">
        <f>INPUT!GQ520</f>
        <v>0</v>
      </c>
      <c r="FK10" s="450">
        <f>INPUT!GR520</f>
        <v>2478.2128461797956</v>
      </c>
      <c r="FL10" s="450">
        <f>INPUT!GS520</f>
        <v>0</v>
      </c>
      <c r="FM10" s="450">
        <f>INPUT!GT520</f>
        <v>2443.6431545647856</v>
      </c>
      <c r="FN10" s="450">
        <f>INPUT!GU520</f>
        <v>0</v>
      </c>
      <c r="FO10" s="450">
        <f>INPUT!GV520</f>
        <v>2418.1669916557989</v>
      </c>
      <c r="FP10" s="450">
        <f>INPUT!GW520</f>
        <v>0</v>
      </c>
      <c r="FQ10" s="450">
        <f>INPUT!GX520</f>
        <v>2395.4174967177505</v>
      </c>
      <c r="FR10" s="450">
        <f>INPUT!GY520</f>
        <v>0</v>
      </c>
      <c r="FS10" s="862">
        <f>INPUT!GZ520</f>
        <v>-0.66035413416896116</v>
      </c>
    </row>
    <row r="11" spans="1:176" s="529" customFormat="1" ht="12.75" customHeight="1" x14ac:dyDescent="0.2">
      <c r="A11" s="826" t="str">
        <f>INPUT!B521</f>
        <v>Retirement</v>
      </c>
      <c r="B11" s="450">
        <f>INPUT!AA521</f>
        <v>53</v>
      </c>
      <c r="C11" s="450">
        <f>INPUT!AB521</f>
        <v>55.882352941176464</v>
      </c>
      <c r="D11" s="450">
        <f>INPUT!AC521</f>
        <v>45</v>
      </c>
      <c r="E11" s="450">
        <f>INPUT!AD521</f>
        <v>-10</v>
      </c>
      <c r="F11" s="450">
        <f>INPUT!AE521</f>
        <v>39</v>
      </c>
      <c r="G11" s="450">
        <f>INPUT!AF521</f>
        <v>62.5</v>
      </c>
      <c r="H11" s="450">
        <f>INPUT!AG521</f>
        <v>55</v>
      </c>
      <c r="I11" s="450">
        <f>INPUT!AH521</f>
        <v>66.666666666666686</v>
      </c>
      <c r="J11" s="450">
        <f>INPUT!AI521</f>
        <v>52</v>
      </c>
      <c r="K11" s="450">
        <f>INPUT!AJ521</f>
        <v>-1.8867924528301927</v>
      </c>
      <c r="L11" s="450">
        <f>INPUT!AK521</f>
        <v>92</v>
      </c>
      <c r="M11" s="450" t="str">
        <f>INPUT!AL521</f>
        <v>NM</v>
      </c>
      <c r="N11" s="450">
        <f>INPUT!AM521</f>
        <v>94</v>
      </c>
      <c r="O11" s="450" t="str">
        <f>INPUT!AN521</f>
        <v>NM</v>
      </c>
      <c r="P11" s="450">
        <f>INPUT!AO521</f>
        <v>96</v>
      </c>
      <c r="Q11" s="450">
        <f>INPUT!AP521</f>
        <v>74.545454545454533</v>
      </c>
      <c r="R11" s="450">
        <f>INPUT!AQ521</f>
        <v>127</v>
      </c>
      <c r="S11" s="450" t="str">
        <f>INPUT!AR521</f>
        <v>NM</v>
      </c>
      <c r="T11" s="450">
        <f>INPUT!AS521</f>
        <v>107</v>
      </c>
      <c r="U11" s="450">
        <f>INPUT!AT521</f>
        <v>16.304347826086968</v>
      </c>
      <c r="V11" s="450">
        <f>INPUT!AU521</f>
        <v>95</v>
      </c>
      <c r="W11" s="450">
        <f>INPUT!AV521</f>
        <v>1.0638297872340559</v>
      </c>
      <c r="X11" s="450">
        <f>INPUT!AW521</f>
        <v>82</v>
      </c>
      <c r="Y11" s="450">
        <f>INPUT!AX521</f>
        <v>-14.583333333333343</v>
      </c>
      <c r="Z11" s="450">
        <f>INPUT!AY521</f>
        <v>137</v>
      </c>
      <c r="AA11" s="450">
        <f>INPUT!AZ521</f>
        <v>7.8740157480315105</v>
      </c>
      <c r="AB11" s="450">
        <f>INPUT!BA521</f>
        <v>124</v>
      </c>
      <c r="AC11" s="450">
        <f>INPUT!BB521</f>
        <v>15.887850467289709</v>
      </c>
      <c r="AD11" s="450">
        <f>INPUT!BC521</f>
        <v>109</v>
      </c>
      <c r="AE11" s="450">
        <f>INPUT!BD521</f>
        <v>14.736842105263165</v>
      </c>
      <c r="AF11" s="450">
        <f>INPUT!BE521</f>
        <v>121</v>
      </c>
      <c r="AG11" s="450">
        <f>INPUT!BF521</f>
        <v>47.560975609756099</v>
      </c>
      <c r="AH11" s="450">
        <f>INPUT!BG521</f>
        <v>148</v>
      </c>
      <c r="AI11" s="450">
        <f>INPUT!BH521</f>
        <v>8.029197080291965</v>
      </c>
      <c r="AJ11" s="450">
        <f>INPUT!BI521</f>
        <v>138</v>
      </c>
      <c r="AK11" s="450">
        <f>INPUT!BJ521</f>
        <v>11.290322580645153</v>
      </c>
      <c r="AL11" s="450">
        <f>INPUT!BK521</f>
        <v>158</v>
      </c>
      <c r="AM11" s="450">
        <f>INPUT!BL521</f>
        <v>44.954128440366958</v>
      </c>
      <c r="AN11" s="450">
        <f>INPUT!BM521</f>
        <v>145</v>
      </c>
      <c r="AO11" s="450">
        <f>INPUT!BN521</f>
        <v>19.834710743801651</v>
      </c>
      <c r="AP11" s="450">
        <f>INPUT!BO521</f>
        <v>124</v>
      </c>
      <c r="AQ11" s="450">
        <f>INPUT!BP521</f>
        <v>-16.21621621621621</v>
      </c>
      <c r="AR11" s="450">
        <f>INPUT!BQ521</f>
        <v>141</v>
      </c>
      <c r="AS11" s="450">
        <f>INPUT!BR521</f>
        <v>2.1739130434782652</v>
      </c>
      <c r="AT11" s="450">
        <f>INPUT!BS521</f>
        <v>121</v>
      </c>
      <c r="AU11" s="450">
        <f>INPUT!BT521</f>
        <v>-23.417721518987349</v>
      </c>
      <c r="AV11" s="450">
        <f>INPUT!BU521</f>
        <v>100</v>
      </c>
      <c r="AW11" s="450">
        <f>INPUT!BV521</f>
        <v>-31.034482758620683</v>
      </c>
      <c r="AX11" s="450">
        <f>INPUT!BW521</f>
        <v>140</v>
      </c>
      <c r="AY11" s="450">
        <f>INPUT!BX521</f>
        <v>12.90322580645163</v>
      </c>
      <c r="AZ11" s="450">
        <f>INPUT!BY521</f>
        <v>105</v>
      </c>
      <c r="BA11" s="450">
        <f>INPUT!BZ521</f>
        <v>-25.531914893617028</v>
      </c>
      <c r="BB11" s="450">
        <f>INPUT!CA521</f>
        <v>117</v>
      </c>
      <c r="BC11" s="450">
        <f>INPUT!CB521</f>
        <v>-3.3057851239669418</v>
      </c>
      <c r="BD11" s="450">
        <f>INPUT!CC521</f>
        <v>132</v>
      </c>
      <c r="BE11" s="450">
        <f>INPUT!CD521</f>
        <v>32</v>
      </c>
      <c r="BF11" s="450">
        <f>INPUT!CE521</f>
        <v>167</v>
      </c>
      <c r="BG11" s="450">
        <f>INPUT!CF521</f>
        <v>19.285714285714278</v>
      </c>
      <c r="BH11" s="450">
        <f>INPUT!CG521</f>
        <v>134</v>
      </c>
      <c r="BI11" s="450">
        <f>INPUT!CH521</f>
        <v>27.619047619047606</v>
      </c>
      <c r="BJ11" s="450">
        <f>INPUT!CI521</f>
        <v>133</v>
      </c>
      <c r="BK11" s="450">
        <f>INPUT!CJ521</f>
        <v>13.675213675213669</v>
      </c>
      <c r="BL11" s="450">
        <f>INPUT!CK521</f>
        <v>146</v>
      </c>
      <c r="BM11" s="450">
        <f>INPUT!CL521</f>
        <v>10.606060606060595</v>
      </c>
      <c r="BN11" s="450">
        <f>INPUT!CM521</f>
        <v>172</v>
      </c>
      <c r="BO11" s="450">
        <f>INPUT!CN521</f>
        <v>2.9940119760479007</v>
      </c>
      <c r="BP11" s="450">
        <f>INPUT!CO521</f>
        <v>171</v>
      </c>
      <c r="BQ11" s="450">
        <f>INPUT!CP521</f>
        <v>27.611940298507463</v>
      </c>
      <c r="BR11" s="450">
        <f>INPUT!CQ521</f>
        <v>135</v>
      </c>
      <c r="BS11" s="450">
        <f>INPUT!CR521</f>
        <v>1.5037593984962569</v>
      </c>
      <c r="BT11" s="450">
        <f>INPUT!CS521</f>
        <v>140</v>
      </c>
      <c r="BU11" s="450">
        <f>INPUT!CT521</f>
        <v>-4.1095890410959015</v>
      </c>
      <c r="BV11" s="450">
        <f>INPUT!CU521</f>
        <v>156</v>
      </c>
      <c r="BW11" s="450">
        <f>INPUT!CV521</f>
        <v>-9.3023255813953512</v>
      </c>
      <c r="BX11" s="450">
        <f>INPUT!CW521</f>
        <v>156</v>
      </c>
      <c r="BY11" s="450">
        <f>INPUT!CX521</f>
        <v>-8.7719298245614112</v>
      </c>
      <c r="BZ11" s="450">
        <f>INPUT!CY521</f>
        <v>152</v>
      </c>
      <c r="CA11" s="450">
        <f>INPUT!CZ521</f>
        <v>12.592592592592595</v>
      </c>
      <c r="CB11" s="450">
        <f>INPUT!DA521</f>
        <v>163</v>
      </c>
      <c r="CC11" s="450">
        <f>INPUT!DB521</f>
        <v>16.428571428571431</v>
      </c>
      <c r="CD11" s="450">
        <f>INPUT!DC521</f>
        <v>228</v>
      </c>
      <c r="CE11" s="450">
        <f>INPUT!DD521</f>
        <v>46.153846153846132</v>
      </c>
      <c r="CF11" s="450">
        <f>INPUT!DE521</f>
        <v>232</v>
      </c>
      <c r="CG11" s="450">
        <f>INPUT!DF521</f>
        <v>48.71794871794873</v>
      </c>
      <c r="CH11" s="450">
        <f>INPUT!DG521</f>
        <v>241</v>
      </c>
      <c r="CI11" s="450">
        <f>INPUT!DH521</f>
        <v>58.55263157894737</v>
      </c>
      <c r="CJ11" s="450">
        <f>INPUT!DI521</f>
        <v>295</v>
      </c>
      <c r="CK11" s="450">
        <f>INPUT!DJ521</f>
        <v>80.981595092024548</v>
      </c>
      <c r="CL11" s="450">
        <f>INPUT!DK521</f>
        <v>364</v>
      </c>
      <c r="CM11" s="450">
        <f>INPUT!DL521</f>
        <v>59.649122807017562</v>
      </c>
      <c r="CN11" s="450">
        <f>INPUT!DM521</f>
        <v>286</v>
      </c>
      <c r="CO11" s="450">
        <f>INPUT!DN521</f>
        <v>23.275862068965523</v>
      </c>
      <c r="CP11" s="450">
        <f>INPUT!DO521</f>
        <v>269</v>
      </c>
      <c r="CQ11" s="450">
        <f>INPUT!DP521</f>
        <v>11.61825726141079</v>
      </c>
      <c r="CR11" s="450">
        <f>INPUT!DQ521</f>
        <v>294</v>
      </c>
      <c r="CS11" s="450">
        <f>INPUT!DR521</f>
        <v>-0.33898305084744607</v>
      </c>
      <c r="CT11" s="450">
        <f>INPUT!DS521</f>
        <v>284</v>
      </c>
      <c r="CU11" s="450">
        <f>INPUT!DT521</f>
        <v>-21.978021978021971</v>
      </c>
      <c r="CV11" s="450">
        <f>INPUT!DU521</f>
        <v>237</v>
      </c>
      <c r="CW11" s="450">
        <f>INPUT!DV521</f>
        <v>-17.132867132867133</v>
      </c>
      <c r="CX11" s="450">
        <f>INPUT!DW521</f>
        <v>222</v>
      </c>
      <c r="CY11" s="450">
        <f>INPUT!DX521</f>
        <v>-17.472118959107803</v>
      </c>
      <c r="CZ11" s="450">
        <f>INPUT!DY521</f>
        <v>168</v>
      </c>
      <c r="DA11" s="450">
        <f>INPUT!DZ521</f>
        <v>-42.857142857142861</v>
      </c>
      <c r="DB11" s="450">
        <f>INPUT!EA521</f>
        <v>219</v>
      </c>
      <c r="DC11" s="450">
        <f>INPUT!EB521</f>
        <v>-22.887323943661968</v>
      </c>
      <c r="DD11" s="450">
        <f>INPUT!EC521</f>
        <v>230</v>
      </c>
      <c r="DE11" s="450">
        <f>INPUT!ED521</f>
        <v>-2.9535864978902993</v>
      </c>
      <c r="DF11" s="450">
        <f>INPUT!EE521</f>
        <v>273</v>
      </c>
      <c r="DG11" s="450">
        <f>INPUT!EF521</f>
        <v>22.972972972972983</v>
      </c>
      <c r="DH11" s="450">
        <f>INPUT!EG521</f>
        <v>298</v>
      </c>
      <c r="DI11" s="450">
        <f>INPUT!EH521</f>
        <v>77.38095238095238</v>
      </c>
      <c r="DJ11" s="450">
        <f>INPUT!EI521</f>
        <v>397</v>
      </c>
      <c r="DK11" s="450">
        <f>INPUT!EJ521</f>
        <v>81.278538812785399</v>
      </c>
      <c r="DL11" s="450">
        <f>INPUT!EK521</f>
        <v>328</v>
      </c>
      <c r="DM11" s="450">
        <f>INPUT!EL521</f>
        <v>42.608695652173907</v>
      </c>
      <c r="DN11" s="450">
        <f>INPUT!EM521</f>
        <v>248</v>
      </c>
      <c r="DO11" s="450">
        <f>INPUT!EN521</f>
        <v>-9.1575091575091534</v>
      </c>
      <c r="DP11" s="450">
        <f>INPUT!EO521</f>
        <v>291</v>
      </c>
      <c r="DQ11" s="450">
        <f>INPUT!EP521</f>
        <v>-2.3489932885906057</v>
      </c>
      <c r="DR11" s="450">
        <f>INPUT!EQ521</f>
        <v>307.55725752286753</v>
      </c>
      <c r="DS11" s="450">
        <f>INPUT!ER521</f>
        <v>-22.529658054693314</v>
      </c>
      <c r="DT11" s="450">
        <f>INPUT!ES521</f>
        <v>285.4264931648413</v>
      </c>
      <c r="DU11" s="450">
        <f>INPUT!ET521</f>
        <v>-12.979727693645941</v>
      </c>
      <c r="DV11" s="450">
        <f>INPUT!EU521</f>
        <v>264.82675395724391</v>
      </c>
      <c r="DW11" s="450">
        <f>INPUT!EV521</f>
        <v>6.7849814343725399</v>
      </c>
      <c r="DX11" s="450">
        <f>INPUT!EW521</f>
        <v>252.00711319519451</v>
      </c>
      <c r="DY11" s="450">
        <f>INPUT!EX521</f>
        <v>-13.399617458696042</v>
      </c>
      <c r="DZ11" s="450">
        <f>INPUT!EY521</f>
        <v>0</v>
      </c>
      <c r="EA11" s="438"/>
      <c r="EB11" s="439" t="e">
        <f>INPUT!#REF!</f>
        <v>#REF!</v>
      </c>
      <c r="EC11" s="449" t="e">
        <f>INPUT!#REF!</f>
        <v>#REF!</v>
      </c>
      <c r="ED11" s="439" t="e">
        <f>INPUT!#REF!</f>
        <v>#REF!</v>
      </c>
      <c r="EE11" s="449" t="e">
        <f>INPUT!#REF!</f>
        <v>#REF!</v>
      </c>
      <c r="EF11" s="439" t="e">
        <f>INPUT!#REF!</f>
        <v>#REF!</v>
      </c>
      <c r="EG11" s="449" t="e">
        <f>INPUT!#REF!</f>
        <v>#REF!</v>
      </c>
      <c r="EH11" s="439" t="e">
        <f>INPUT!#REF!</f>
        <v>#REF!</v>
      </c>
      <c r="EI11" s="450" t="e">
        <f>INPUT!#REF!</f>
        <v>#REF!</v>
      </c>
      <c r="EJ11" s="438" t="e">
        <f>INPUT!#REF!</f>
        <v>#REF!</v>
      </c>
      <c r="EK11" s="450" t="e">
        <f>INPUT!#REF!</f>
        <v>#REF!</v>
      </c>
      <c r="EL11" s="438" t="e">
        <f>INPUT!#REF!</f>
        <v>#REF!</v>
      </c>
      <c r="EM11" s="450" t="e">
        <f>INPUT!#REF!</f>
        <v>#REF!</v>
      </c>
      <c r="EN11" s="438" t="e">
        <f>INPUT!#REF!</f>
        <v>#REF!</v>
      </c>
      <c r="EO11" s="450" t="e">
        <f>INPUT!#REF!</f>
        <v>#REF!</v>
      </c>
      <c r="EP11" s="438" t="e">
        <f>INPUT!#REF!</f>
        <v>#REF!</v>
      </c>
      <c r="EQ11" s="450" t="e">
        <f>INPUT!#REF!</f>
        <v>#REF!</v>
      </c>
      <c r="ER11" s="438" t="e">
        <f>INPUT!#REF!</f>
        <v>#REF!</v>
      </c>
      <c r="ES11" s="450" t="e">
        <f>INPUT!#REF!</f>
        <v>#REF!</v>
      </c>
      <c r="ET11" s="438" t="e">
        <f>INPUT!#REF!</f>
        <v>#REF!</v>
      </c>
      <c r="EU11" s="450" t="e">
        <f>INPUT!#REF!</f>
        <v>#REF!</v>
      </c>
      <c r="EV11" s="438" t="e">
        <f>INPUT!#REF!</f>
        <v>#REF!</v>
      </c>
      <c r="EW11" s="450" t="e">
        <f>INPUT!#REF!</f>
        <v>#REF!</v>
      </c>
      <c r="EX11" s="450">
        <f>INPUT!GE521</f>
        <v>1.4563106796116472</v>
      </c>
      <c r="EY11" s="450">
        <f>INPUT!GF521</f>
        <v>996</v>
      </c>
      <c r="EZ11" s="450">
        <f>INPUT!GG521</f>
        <v>58.851674641148321</v>
      </c>
      <c r="FA11" s="450">
        <f>INPUT!GH521</f>
        <v>1213</v>
      </c>
      <c r="FB11" s="450">
        <f>INPUT!GI521</f>
        <v>21.787148594377513</v>
      </c>
      <c r="FC11" s="450">
        <f>INPUT!GJ521</f>
        <v>911</v>
      </c>
      <c r="FD11" s="450">
        <f>INPUT!GK521</f>
        <v>-24.8969497114592</v>
      </c>
      <c r="FE11" s="450">
        <f>INPUT!GL521</f>
        <v>1020</v>
      </c>
      <c r="FF11" s="450">
        <f>INPUT!GM521</f>
        <v>11.964873765093301</v>
      </c>
      <c r="FG11" s="450">
        <f>INPUT!GN521</f>
        <v>1264</v>
      </c>
      <c r="FH11" s="450">
        <f>INPUT!GO521</f>
        <v>23.921568627450981</v>
      </c>
      <c r="FI11" s="450">
        <f>INPUT!GP521</f>
        <v>1109.8176178401463</v>
      </c>
      <c r="FJ11" s="450">
        <f>INPUT!GQ521</f>
        <v>-12.197973272140317</v>
      </c>
      <c r="FK11" s="450">
        <f>INPUT!GR521</f>
        <v>1138.8525066855709</v>
      </c>
      <c r="FL11" s="450">
        <f>INPUT!GS521</f>
        <v>2.6161856127253031</v>
      </c>
      <c r="FM11" s="450">
        <f>INPUT!GT521</f>
        <v>1162.3174196138971</v>
      </c>
      <c r="FN11" s="450">
        <f>INPUT!GU521</f>
        <v>2.0603996382829735</v>
      </c>
      <c r="FO11" s="450">
        <f>INPUT!GV521</f>
        <v>1186.1877959747781</v>
      </c>
      <c r="FP11" s="450">
        <f>INPUT!GW521</f>
        <v>2.0536882574478028</v>
      </c>
      <c r="FQ11" s="450">
        <f>INPUT!GX521</f>
        <v>1210.4694135748559</v>
      </c>
      <c r="FR11" s="450">
        <f>INPUT!GY521</f>
        <v>2.0470297943104185</v>
      </c>
      <c r="FS11" s="862">
        <f>INPUT!GZ521</f>
        <v>-0.86172698919942947</v>
      </c>
    </row>
    <row r="12" spans="1:176" s="529" customFormat="1" ht="12.75" customHeight="1" x14ac:dyDescent="0.2">
      <c r="A12" s="826" t="str">
        <f>INPUT!B522</f>
        <v>Group Insurance</v>
      </c>
      <c r="B12" s="450">
        <f>INPUT!AA522</f>
        <v>34</v>
      </c>
      <c r="C12" s="450">
        <f>INPUT!AB522</f>
        <v>-8.1081081081080981</v>
      </c>
      <c r="D12" s="450">
        <f>INPUT!AC522</f>
        <v>58</v>
      </c>
      <c r="E12" s="450">
        <f>INPUT!AD522</f>
        <v>61.111111111111114</v>
      </c>
      <c r="F12" s="450">
        <f>INPUT!AE522</f>
        <v>30</v>
      </c>
      <c r="G12" s="450">
        <f>INPUT!AF522</f>
        <v>0</v>
      </c>
      <c r="H12" s="450">
        <f>INPUT!AG522</f>
        <v>47</v>
      </c>
      <c r="I12" s="450">
        <f>INPUT!AH522</f>
        <v>-9.6153846153846132</v>
      </c>
      <c r="J12" s="450">
        <f>INPUT!AI522</f>
        <v>26</v>
      </c>
      <c r="K12" s="450">
        <f>INPUT!AJ522</f>
        <v>-23.529411764705884</v>
      </c>
      <c r="L12" s="450">
        <f>INPUT!AK522</f>
        <v>46</v>
      </c>
      <c r="M12" s="450">
        <f>INPUT!AL522</f>
        <v>-20.689655172413794</v>
      </c>
      <c r="N12" s="450">
        <f>INPUT!AM522</f>
        <v>48</v>
      </c>
      <c r="O12" s="450">
        <f>INPUT!AN522</f>
        <v>60</v>
      </c>
      <c r="P12" s="450">
        <f>INPUT!AO522</f>
        <v>27</v>
      </c>
      <c r="Q12" s="450">
        <f>INPUT!AP522</f>
        <v>-42.553191489361694</v>
      </c>
      <c r="R12" s="450">
        <f>INPUT!AQ522</f>
        <v>34</v>
      </c>
      <c r="S12" s="450">
        <f>INPUT!AR522</f>
        <v>30.769230769230774</v>
      </c>
      <c r="T12" s="450">
        <f>INPUT!AS522</f>
        <v>46</v>
      </c>
      <c r="U12" s="450">
        <f>INPUT!AT522</f>
        <v>0</v>
      </c>
      <c r="V12" s="450">
        <f>INPUT!AU522</f>
        <v>60</v>
      </c>
      <c r="W12" s="450">
        <f>INPUT!AV522</f>
        <v>25</v>
      </c>
      <c r="X12" s="450">
        <f>INPUT!AW522</f>
        <v>80</v>
      </c>
      <c r="Y12" s="450" t="str">
        <f>INPUT!AX522</f>
        <v>NM</v>
      </c>
      <c r="Z12" s="450">
        <f>INPUT!AY522</f>
        <v>47</v>
      </c>
      <c r="AA12" s="450">
        <f>INPUT!AZ522</f>
        <v>38.235294117647044</v>
      </c>
      <c r="AB12" s="450">
        <f>INPUT!BA522</f>
        <v>58</v>
      </c>
      <c r="AC12" s="450">
        <f>INPUT!BB522</f>
        <v>26.08695652173914</v>
      </c>
      <c r="AD12" s="450">
        <f>INPUT!BC522</f>
        <v>58</v>
      </c>
      <c r="AE12" s="450">
        <f>INPUT!BD522</f>
        <v>-3.3333333333333286</v>
      </c>
      <c r="AF12" s="450">
        <f>INPUT!BE522</f>
        <v>77</v>
      </c>
      <c r="AG12" s="450">
        <f>INPUT!BF522</f>
        <v>-3.75</v>
      </c>
      <c r="AH12" s="450">
        <f>INPUT!BG522</f>
        <v>51</v>
      </c>
      <c r="AI12" s="450">
        <f>INPUT!BH522</f>
        <v>8.5106382978723332</v>
      </c>
      <c r="AJ12" s="450">
        <f>INPUT!BI522</f>
        <v>69</v>
      </c>
      <c r="AK12" s="450">
        <f>INPUT!BJ522</f>
        <v>18.965517241379317</v>
      </c>
      <c r="AL12" s="450">
        <f>INPUT!BK522</f>
        <v>91</v>
      </c>
      <c r="AM12" s="450">
        <f>INPUT!BL522</f>
        <v>56.896551724137936</v>
      </c>
      <c r="AN12" s="450">
        <f>INPUT!BM522</f>
        <v>70</v>
      </c>
      <c r="AO12" s="450">
        <f>INPUT!BN522</f>
        <v>-9.0909090909090935</v>
      </c>
      <c r="AP12" s="450">
        <f>INPUT!BO522</f>
        <v>70</v>
      </c>
      <c r="AQ12" s="450">
        <f>INPUT!BP522</f>
        <v>37.254901960784309</v>
      </c>
      <c r="AR12" s="450">
        <f>INPUT!BQ522</f>
        <v>80</v>
      </c>
      <c r="AS12" s="450">
        <f>INPUT!BR522</f>
        <v>15.94202898550725</v>
      </c>
      <c r="AT12" s="450">
        <f>INPUT!BS522</f>
        <v>88</v>
      </c>
      <c r="AU12" s="450">
        <f>INPUT!BT522</f>
        <v>-3.2967032967032992</v>
      </c>
      <c r="AV12" s="450">
        <f>INPUT!BU522</f>
        <v>69</v>
      </c>
      <c r="AW12" s="450">
        <f>INPUT!BV522</f>
        <v>-1.4285714285714164</v>
      </c>
      <c r="AX12" s="450">
        <f>INPUT!BW522</f>
        <v>93</v>
      </c>
      <c r="AY12" s="450">
        <f>INPUT!BX522</f>
        <v>32.857142857142861</v>
      </c>
      <c r="AZ12" s="450">
        <f>INPUT!BY522</f>
        <v>105</v>
      </c>
      <c r="BA12" s="450">
        <f>INPUT!BZ522</f>
        <v>31.25</v>
      </c>
      <c r="BB12" s="450">
        <f>INPUT!CA522</f>
        <v>64</v>
      </c>
      <c r="BC12" s="450">
        <f>INPUT!CB522</f>
        <v>-27.272727272727266</v>
      </c>
      <c r="BD12" s="450">
        <f>INPUT!CC522</f>
        <v>69</v>
      </c>
      <c r="BE12" s="450">
        <f>INPUT!CD522</f>
        <v>0</v>
      </c>
      <c r="BF12" s="450">
        <f>INPUT!CE522</f>
        <v>52</v>
      </c>
      <c r="BG12" s="450">
        <f>INPUT!CF522</f>
        <v>-44.086021505376351</v>
      </c>
      <c r="BH12" s="450">
        <f>INPUT!CG522</f>
        <v>39</v>
      </c>
      <c r="BI12" s="450" t="str">
        <f>INPUT!CH522</f>
        <v>NM</v>
      </c>
      <c r="BJ12" s="450">
        <f>INPUT!CI522</f>
        <v>32</v>
      </c>
      <c r="BK12" s="450">
        <f>INPUT!CJ522</f>
        <v>-50</v>
      </c>
      <c r="BL12" s="450">
        <f>INPUT!CK522</f>
        <v>68</v>
      </c>
      <c r="BM12" s="450">
        <f>INPUT!CL522</f>
        <v>-1.4492753623188293</v>
      </c>
      <c r="BN12" s="450">
        <f>INPUT!CM522</f>
        <v>39</v>
      </c>
      <c r="BO12" s="450">
        <f>INPUT!CN522</f>
        <v>-25</v>
      </c>
      <c r="BP12" s="450">
        <f>INPUT!CO522</f>
        <v>49</v>
      </c>
      <c r="BQ12" s="450">
        <f>INPUT!CP522</f>
        <v>25.641025641025635</v>
      </c>
      <c r="BR12" s="450">
        <f>INPUT!CQ522</f>
        <v>23</v>
      </c>
      <c r="BS12" s="450">
        <f>INPUT!CR522</f>
        <v>-28.125</v>
      </c>
      <c r="BT12" s="450">
        <f>INPUT!CS522</f>
        <v>42</v>
      </c>
      <c r="BU12" s="450">
        <f>INPUT!CT522</f>
        <v>-38.235294117647058</v>
      </c>
      <c r="BV12" s="450">
        <f>INPUT!CU522</f>
        <v>-40</v>
      </c>
      <c r="BW12" s="450" t="str">
        <f>INPUT!CV522</f>
        <v>NM</v>
      </c>
      <c r="BX12" s="450">
        <f>INPUT!CW522</f>
        <v>33</v>
      </c>
      <c r="BY12" s="450">
        <f>INPUT!CX522</f>
        <v>-32.653061224489804</v>
      </c>
      <c r="BZ12" s="450">
        <f>INPUT!CY522</f>
        <v>28</v>
      </c>
      <c r="CA12" s="450">
        <f>INPUT!CZ522</f>
        <v>21.739130434782624</v>
      </c>
      <c r="CB12" s="450">
        <f>INPUT!DA522</f>
        <v>26</v>
      </c>
      <c r="CC12" s="450">
        <f>INPUT!DB522</f>
        <v>-38.095238095238095</v>
      </c>
      <c r="CD12" s="450">
        <f>INPUT!DC522</f>
        <v>9</v>
      </c>
      <c r="CE12" s="450" t="str">
        <f>INPUT!DD522</f>
        <v>NM</v>
      </c>
      <c r="CF12" s="450">
        <f>INPUT!DE522</f>
        <v>22</v>
      </c>
      <c r="CG12" s="450">
        <f>INPUT!DF522</f>
        <v>-33.333333333333343</v>
      </c>
      <c r="CH12" s="450">
        <f>INPUT!DG522</f>
        <v>23</v>
      </c>
      <c r="CI12" s="450">
        <f>INPUT!DH522</f>
        <v>-17.857142857142861</v>
      </c>
      <c r="CJ12" s="450">
        <f>INPUT!DI522</f>
        <v>58</v>
      </c>
      <c r="CK12" s="450" t="str">
        <f>INPUT!DJ522</f>
        <v>NM</v>
      </c>
      <c r="CL12" s="450">
        <f>INPUT!DK522</f>
        <v>6</v>
      </c>
      <c r="CM12" s="450">
        <f>INPUT!DL522</f>
        <v>-33.333333333333343</v>
      </c>
      <c r="CN12" s="450">
        <f>INPUT!DM522</f>
        <v>46</v>
      </c>
      <c r="CO12" s="450" t="str">
        <f>INPUT!DN522</f>
        <v>NM</v>
      </c>
      <c r="CP12" s="450">
        <f>INPUT!DO522</f>
        <v>34</v>
      </c>
      <c r="CQ12" s="450">
        <f>INPUT!DP522</f>
        <v>47.826086956521721</v>
      </c>
      <c r="CR12" s="450">
        <f>INPUT!DQ522</f>
        <v>44</v>
      </c>
      <c r="CS12" s="450">
        <f>INPUT!DR522</f>
        <v>-24.137931034482762</v>
      </c>
      <c r="CT12" s="450">
        <f>INPUT!DS522</f>
        <v>30</v>
      </c>
      <c r="CU12" s="450" t="str">
        <f>INPUT!DT522</f>
        <v>NM</v>
      </c>
      <c r="CV12" s="450">
        <f>INPUT!DU522</f>
        <v>47</v>
      </c>
      <c r="CW12" s="450">
        <f>INPUT!DV522</f>
        <v>2.1739130434782652</v>
      </c>
      <c r="CX12" s="450">
        <f>INPUT!DW522</f>
        <v>44</v>
      </c>
      <c r="CY12" s="450">
        <f>INPUT!DX522</f>
        <v>29.411764705882348</v>
      </c>
      <c r="CZ12" s="450">
        <f>INPUT!DY522</f>
        <v>27</v>
      </c>
      <c r="DA12" s="450">
        <f>INPUT!DZ522</f>
        <v>-38.636363636363633</v>
      </c>
      <c r="DB12" s="450">
        <f>INPUT!EA522</f>
        <v>26</v>
      </c>
      <c r="DC12" s="450">
        <f>INPUT!EB522</f>
        <v>-13.333333333333329</v>
      </c>
      <c r="DD12" s="450">
        <f>INPUT!EC522</f>
        <v>89</v>
      </c>
      <c r="DE12" s="450">
        <f>INPUT!ED522</f>
        <v>89.361702127659584</v>
      </c>
      <c r="DF12" s="450">
        <f>INPUT!EE522</f>
        <v>62</v>
      </c>
      <c r="DG12" s="450">
        <f>INPUT!EF522</f>
        <v>40.909090909090907</v>
      </c>
      <c r="DH12" s="450">
        <f>INPUT!EG522</f>
        <v>43</v>
      </c>
      <c r="DI12" s="450">
        <f>INPUT!EH522</f>
        <v>59.259259259259267</v>
      </c>
      <c r="DJ12" s="450">
        <f>INPUT!EI522</f>
        <v>34</v>
      </c>
      <c r="DK12" s="450">
        <f>INPUT!EJ522</f>
        <v>30.769230769230774</v>
      </c>
      <c r="DL12" s="450">
        <f>INPUT!EK522</f>
        <v>81</v>
      </c>
      <c r="DM12" s="450">
        <f>INPUT!EL522</f>
        <v>-8.9887640449438209</v>
      </c>
      <c r="DN12" s="450">
        <f>INPUT!EM522</f>
        <v>61</v>
      </c>
      <c r="DO12" s="450">
        <f>INPUT!EN522</f>
        <v>-1.6129032258064484</v>
      </c>
      <c r="DP12" s="450">
        <f>INPUT!EO522</f>
        <v>22</v>
      </c>
      <c r="DQ12" s="450">
        <f>INPUT!EP522</f>
        <v>-48.837209302325576</v>
      </c>
      <c r="DR12" s="450">
        <f>INPUT!EQ522</f>
        <v>43.17832414999998</v>
      </c>
      <c r="DS12" s="450">
        <f>INPUT!ER522</f>
        <v>26.995071029411704</v>
      </c>
      <c r="DT12" s="450">
        <f>INPUT!ES522</f>
        <v>49.623395891499513</v>
      </c>
      <c r="DU12" s="450">
        <f>INPUT!ET522</f>
        <v>-38.736548282099371</v>
      </c>
      <c r="DV12" s="450">
        <f>INPUT!EU522</f>
        <v>56.192951235414739</v>
      </c>
      <c r="DW12" s="450">
        <f>INPUT!EV522</f>
        <v>-7.8804078107955036</v>
      </c>
      <c r="DX12" s="450">
        <f>INPUT!EW522</f>
        <v>47.053032785860069</v>
      </c>
      <c r="DY12" s="450" t="str">
        <f>INPUT!EX522</f>
        <v>NM</v>
      </c>
      <c r="DZ12" s="450">
        <f>INPUT!EY522</f>
        <v>0</v>
      </c>
      <c r="EA12" s="438"/>
      <c r="EB12" s="439" t="str">
        <f>INPUT!FI519</f>
        <v>NM</v>
      </c>
      <c r="EC12" s="449">
        <f>INPUT!FJ519</f>
        <v>432</v>
      </c>
      <c r="ED12" s="439">
        <f>INPUT!FK519</f>
        <v>58.241758241758248</v>
      </c>
      <c r="EE12" s="449">
        <f>INPUT!FL519</f>
        <v>357</v>
      </c>
      <c r="EF12" s="439">
        <f>INPUT!FM519</f>
        <v>-17.361111111111114</v>
      </c>
      <c r="EG12" s="449">
        <f>INPUT!FN519</f>
        <v>377</v>
      </c>
      <c r="EH12" s="439">
        <f>INPUT!FO519</f>
        <v>5.6022408963585519</v>
      </c>
      <c r="EI12" s="450">
        <f>INPUT!FP519</f>
        <v>442</v>
      </c>
      <c r="EJ12" s="438">
        <f>INPUT!FQ519</f>
        <v>17.241379310344811</v>
      </c>
      <c r="EK12" s="450">
        <f>INPUT!FR519</f>
        <v>463</v>
      </c>
      <c r="EL12" s="438">
        <f>INPUT!FS519</f>
        <v>4.7511312217194615</v>
      </c>
      <c r="EM12" s="450">
        <f>INPUT!FT519</f>
        <v>551</v>
      </c>
      <c r="EN12" s="438">
        <f>INPUT!FU519</f>
        <v>19.006479481641463</v>
      </c>
      <c r="EO12" s="450">
        <f>INPUT!FV519</f>
        <v>331</v>
      </c>
      <c r="EP12" s="438">
        <f>INPUT!FW519</f>
        <v>-39.927404718693282</v>
      </c>
      <c r="EQ12" s="450">
        <f>INPUT!FX519</f>
        <v>387</v>
      </c>
      <c r="ER12" s="438">
        <f>INPUT!FY519</f>
        <v>16.918429003021146</v>
      </c>
      <c r="ES12" s="450">
        <f>INPUT!FZ519</f>
        <v>460</v>
      </c>
      <c r="ET12" s="438">
        <f>INPUT!GA519</f>
        <v>18.863049095607238</v>
      </c>
      <c r="EU12" s="450">
        <f>INPUT!GB519</f>
        <v>445</v>
      </c>
      <c r="EV12" s="438">
        <f>INPUT!GC519</f>
        <v>-3.2608695652173907</v>
      </c>
      <c r="EW12" s="450">
        <f>INPUT!GD519</f>
        <v>426</v>
      </c>
      <c r="EX12" s="450" t="str">
        <f>INPUT!GE522</f>
        <v>NM</v>
      </c>
      <c r="EY12" s="450">
        <f>INPUT!GF522</f>
        <v>112</v>
      </c>
      <c r="EZ12" s="450" t="str">
        <f>INPUT!GG522</f>
        <v>NM</v>
      </c>
      <c r="FA12" s="450">
        <f>INPUT!GH522</f>
        <v>130</v>
      </c>
      <c r="FB12" s="450">
        <f>INPUT!GI522</f>
        <v>16.071428571428584</v>
      </c>
      <c r="FC12" s="450">
        <f>INPUT!GJ522</f>
        <v>148</v>
      </c>
      <c r="FD12" s="450">
        <f>INPUT!GK522</f>
        <v>13.84615384615384</v>
      </c>
      <c r="FE12" s="450">
        <f>INPUT!GL522</f>
        <v>220</v>
      </c>
      <c r="FF12" s="450">
        <f>INPUT!GM522</f>
        <v>48.648648648648646</v>
      </c>
      <c r="FG12" s="450">
        <f>INPUT!GN522</f>
        <v>198</v>
      </c>
      <c r="FH12" s="450">
        <f>INPUT!GO522</f>
        <v>-10</v>
      </c>
      <c r="FI12" s="450">
        <f>INPUT!GP522</f>
        <v>196.04770406277567</v>
      </c>
      <c r="FJ12" s="450">
        <f>INPUT!GQ522</f>
        <v>-0.98600804910320505</v>
      </c>
      <c r="FK12" s="450">
        <f>INPUT!GR522</f>
        <v>203.70113715293792</v>
      </c>
      <c r="FL12" s="450">
        <f>INPUT!GS522</f>
        <v>3.9038626474868607</v>
      </c>
      <c r="FM12" s="450">
        <f>INPUT!GT522</f>
        <v>214.2621481665592</v>
      </c>
      <c r="FN12" s="450">
        <f>INPUT!GU522</f>
        <v>5.1845616383045154</v>
      </c>
      <c r="FO12" s="450">
        <f>INPUT!GV522</f>
        <v>222.60749246795876</v>
      </c>
      <c r="FP12" s="450">
        <f>INPUT!GW522</f>
        <v>3.894922352272971</v>
      </c>
      <c r="FQ12" s="450">
        <f>INPUT!GX522</f>
        <v>231.26354204389736</v>
      </c>
      <c r="FR12" s="450">
        <f>INPUT!GY522</f>
        <v>3.8884807874040916</v>
      </c>
      <c r="FS12" s="862">
        <f>INPUT!GZ522</f>
        <v>3.1545518319895161</v>
      </c>
    </row>
    <row r="13" spans="1:176" s="529" customFormat="1" ht="12.75" customHeight="1" x14ac:dyDescent="0.2">
      <c r="A13" s="829" t="str">
        <f>INPUT!B523</f>
        <v>US Workplace Solutions Division</v>
      </c>
      <c r="B13" s="450">
        <f>INPUT!AA523</f>
        <v>87</v>
      </c>
      <c r="C13" s="450">
        <f>INPUT!AB523</f>
        <v>0</v>
      </c>
      <c r="D13" s="450">
        <f>INPUT!AC523</f>
        <v>103</v>
      </c>
      <c r="E13" s="450">
        <f>INPUT!AD523</f>
        <v>0</v>
      </c>
      <c r="F13" s="450">
        <f>INPUT!AE523</f>
        <v>69</v>
      </c>
      <c r="G13" s="450">
        <f>INPUT!AF523</f>
        <v>0</v>
      </c>
      <c r="H13" s="450">
        <f>INPUT!AG523</f>
        <v>102</v>
      </c>
      <c r="I13" s="450">
        <f>INPUT!AH523</f>
        <v>0</v>
      </c>
      <c r="J13" s="450">
        <f>INPUT!AI523</f>
        <v>78</v>
      </c>
      <c r="K13" s="450">
        <f>INPUT!AJ523</f>
        <v>0</v>
      </c>
      <c r="L13" s="450">
        <f>INPUT!AK523</f>
        <v>138</v>
      </c>
      <c r="M13" s="450">
        <f>INPUT!AL523</f>
        <v>0</v>
      </c>
      <c r="N13" s="450">
        <f>INPUT!AM523</f>
        <v>142</v>
      </c>
      <c r="O13" s="450">
        <f>INPUT!AN523</f>
        <v>0</v>
      </c>
      <c r="P13" s="450">
        <f>INPUT!AO523</f>
        <v>123</v>
      </c>
      <c r="Q13" s="450">
        <f>INPUT!AP523</f>
        <v>0</v>
      </c>
      <c r="R13" s="450">
        <f>INPUT!AQ523</f>
        <v>161</v>
      </c>
      <c r="S13" s="450">
        <f>INPUT!AR523</f>
        <v>0</v>
      </c>
      <c r="T13" s="450">
        <f>INPUT!AS523</f>
        <v>153</v>
      </c>
      <c r="U13" s="450">
        <f>INPUT!AT523</f>
        <v>0</v>
      </c>
      <c r="V13" s="450">
        <f>INPUT!AU523</f>
        <v>155</v>
      </c>
      <c r="W13" s="450">
        <f>INPUT!AV523</f>
        <v>0</v>
      </c>
      <c r="X13" s="450">
        <f>INPUT!AW523</f>
        <v>162</v>
      </c>
      <c r="Y13" s="450">
        <f>INPUT!AX523</f>
        <v>0</v>
      </c>
      <c r="Z13" s="450">
        <f>INPUT!AY523</f>
        <v>184</v>
      </c>
      <c r="AA13" s="450">
        <f>INPUT!AZ523</f>
        <v>0</v>
      </c>
      <c r="AB13" s="450">
        <f>INPUT!BA523</f>
        <v>182</v>
      </c>
      <c r="AC13" s="450">
        <f>INPUT!BB523</f>
        <v>0</v>
      </c>
      <c r="AD13" s="450">
        <f>INPUT!BC523</f>
        <v>167</v>
      </c>
      <c r="AE13" s="450">
        <f>INPUT!BD523</f>
        <v>0</v>
      </c>
      <c r="AF13" s="450">
        <f>INPUT!BE523</f>
        <v>198</v>
      </c>
      <c r="AG13" s="450">
        <f>INPUT!BF523</f>
        <v>0</v>
      </c>
      <c r="AH13" s="450">
        <f>INPUT!BG523</f>
        <v>199</v>
      </c>
      <c r="AI13" s="450">
        <f>INPUT!BH523</f>
        <v>0</v>
      </c>
      <c r="AJ13" s="450">
        <f>INPUT!BI523</f>
        <v>207</v>
      </c>
      <c r="AK13" s="450">
        <f>INPUT!BJ523</f>
        <v>0</v>
      </c>
      <c r="AL13" s="450">
        <f>INPUT!BK523</f>
        <v>249</v>
      </c>
      <c r="AM13" s="450">
        <f>INPUT!BL523</f>
        <v>0</v>
      </c>
      <c r="AN13" s="450">
        <f>INPUT!BM523</f>
        <v>215</v>
      </c>
      <c r="AO13" s="450">
        <f>INPUT!BN523</f>
        <v>0</v>
      </c>
      <c r="AP13" s="450">
        <f>INPUT!BO523</f>
        <v>194</v>
      </c>
      <c r="AQ13" s="450">
        <f>INPUT!BP523</f>
        <v>0</v>
      </c>
      <c r="AR13" s="450">
        <f>INPUT!BQ523</f>
        <v>221</v>
      </c>
      <c r="AS13" s="450">
        <f>INPUT!BR523</f>
        <v>0</v>
      </c>
      <c r="AT13" s="450">
        <f>INPUT!BS523</f>
        <v>209</v>
      </c>
      <c r="AU13" s="450">
        <f>INPUT!BT523</f>
        <v>0</v>
      </c>
      <c r="AV13" s="450">
        <f>INPUT!BU523</f>
        <v>169</v>
      </c>
      <c r="AW13" s="450">
        <f>INPUT!BV523</f>
        <v>0</v>
      </c>
      <c r="AX13" s="450">
        <f>INPUT!BW523</f>
        <v>233</v>
      </c>
      <c r="AY13" s="450">
        <f>INPUT!BX523</f>
        <v>0</v>
      </c>
      <c r="AZ13" s="450">
        <f>INPUT!BY523</f>
        <v>210</v>
      </c>
      <c r="BA13" s="450">
        <f>INPUT!BZ523</f>
        <v>0</v>
      </c>
      <c r="BB13" s="450">
        <f>INPUT!CA523</f>
        <v>181</v>
      </c>
      <c r="BC13" s="450">
        <f>INPUT!CB523</f>
        <v>0</v>
      </c>
      <c r="BD13" s="450">
        <f>INPUT!CC523</f>
        <v>201</v>
      </c>
      <c r="BE13" s="450">
        <f>INPUT!CD523</f>
        <v>0</v>
      </c>
      <c r="BF13" s="450">
        <f>INPUT!CE523</f>
        <v>219</v>
      </c>
      <c r="BG13" s="450">
        <f>INPUT!CF523</f>
        <v>0</v>
      </c>
      <c r="BH13" s="450">
        <f>INPUT!CG523</f>
        <v>173</v>
      </c>
      <c r="BI13" s="450">
        <f>INPUT!CH523</f>
        <v>0</v>
      </c>
      <c r="BJ13" s="450">
        <f>INPUT!CI523</f>
        <v>165</v>
      </c>
      <c r="BK13" s="450">
        <f>INPUT!CJ523</f>
        <v>0</v>
      </c>
      <c r="BL13" s="450">
        <f>INPUT!CK523</f>
        <v>214</v>
      </c>
      <c r="BM13" s="450">
        <f>INPUT!CL523</f>
        <v>0</v>
      </c>
      <c r="BN13" s="450">
        <f>INPUT!CM523</f>
        <v>211</v>
      </c>
      <c r="BO13" s="450">
        <f>INPUT!CN523</f>
        <v>0</v>
      </c>
      <c r="BP13" s="450">
        <f>INPUT!CO523</f>
        <v>220</v>
      </c>
      <c r="BQ13" s="450">
        <f>INPUT!CP523</f>
        <v>0</v>
      </c>
      <c r="BR13" s="450">
        <f>INPUT!CQ523</f>
        <v>158</v>
      </c>
      <c r="BS13" s="450">
        <f>INPUT!CR523</f>
        <v>0</v>
      </c>
      <c r="BT13" s="450">
        <f>INPUT!CS523</f>
        <v>182</v>
      </c>
      <c r="BU13" s="450">
        <f>INPUT!CT523</f>
        <v>0</v>
      </c>
      <c r="BV13" s="450">
        <f>INPUT!CU523</f>
        <v>116</v>
      </c>
      <c r="BW13" s="450">
        <f>INPUT!CV523</f>
        <v>0</v>
      </c>
      <c r="BX13" s="450">
        <f>INPUT!CW523</f>
        <v>189</v>
      </c>
      <c r="BY13" s="450">
        <f>INPUT!CX523</f>
        <v>0</v>
      </c>
      <c r="BZ13" s="450">
        <f>INPUT!CY523</f>
        <v>180</v>
      </c>
      <c r="CA13" s="450">
        <f>INPUT!CZ523</f>
        <v>0</v>
      </c>
      <c r="CB13" s="450">
        <f>INPUT!DA523</f>
        <v>189</v>
      </c>
      <c r="CC13" s="450">
        <f>INPUT!DB523</f>
        <v>0</v>
      </c>
      <c r="CD13" s="450">
        <f>INPUT!DC523</f>
        <v>237</v>
      </c>
      <c r="CE13" s="450">
        <f>INPUT!DD523</f>
        <v>0</v>
      </c>
      <c r="CF13" s="450">
        <f>INPUT!DE523</f>
        <v>254</v>
      </c>
      <c r="CG13" s="450">
        <f>INPUT!DF523</f>
        <v>0</v>
      </c>
      <c r="CH13" s="450">
        <f>INPUT!DG523</f>
        <v>264</v>
      </c>
      <c r="CI13" s="450">
        <f>INPUT!DH523</f>
        <v>0</v>
      </c>
      <c r="CJ13" s="450">
        <f>INPUT!DI523</f>
        <v>353</v>
      </c>
      <c r="CK13" s="450">
        <f>INPUT!DJ523</f>
        <v>0</v>
      </c>
      <c r="CL13" s="450">
        <f>INPUT!DK523</f>
        <v>370</v>
      </c>
      <c r="CM13" s="450">
        <f>INPUT!DL523</f>
        <v>0</v>
      </c>
      <c r="CN13" s="450">
        <f>INPUT!DM523</f>
        <v>332</v>
      </c>
      <c r="CO13" s="450">
        <f>INPUT!DN523</f>
        <v>0</v>
      </c>
      <c r="CP13" s="450">
        <f>INPUT!DO523</f>
        <v>303</v>
      </c>
      <c r="CQ13" s="450">
        <f>INPUT!DP523</f>
        <v>0</v>
      </c>
      <c r="CR13" s="450">
        <f>INPUT!DQ523</f>
        <v>338</v>
      </c>
      <c r="CS13" s="450">
        <f>INPUT!DR523</f>
        <v>0</v>
      </c>
      <c r="CT13" s="450">
        <f>INPUT!DS523</f>
        <v>314</v>
      </c>
      <c r="CU13" s="450">
        <f>INPUT!DT523</f>
        <v>0</v>
      </c>
      <c r="CV13" s="450">
        <f>INPUT!DU523</f>
        <v>284</v>
      </c>
      <c r="CW13" s="450">
        <f>INPUT!DV523</f>
        <v>0</v>
      </c>
      <c r="CX13" s="450">
        <f>INPUT!DW523</f>
        <v>266</v>
      </c>
      <c r="CY13" s="450">
        <f>INPUT!DX523</f>
        <v>0</v>
      </c>
      <c r="CZ13" s="450">
        <f>INPUT!DY523</f>
        <v>195</v>
      </c>
      <c r="DA13" s="450">
        <f>INPUT!DZ523</f>
        <v>0</v>
      </c>
      <c r="DB13" s="450">
        <f>INPUT!EA523</f>
        <v>245</v>
      </c>
      <c r="DC13" s="450">
        <f>INPUT!EB523</f>
        <v>0</v>
      </c>
      <c r="DD13" s="450">
        <f>INPUT!EC523</f>
        <v>319</v>
      </c>
      <c r="DE13" s="450">
        <f>INPUT!ED523</f>
        <v>0</v>
      </c>
      <c r="DF13" s="450">
        <f>INPUT!EE523</f>
        <v>335</v>
      </c>
      <c r="DG13" s="450">
        <f>INPUT!EF523</f>
        <v>0</v>
      </c>
      <c r="DH13" s="450">
        <f>INPUT!EG523</f>
        <v>341</v>
      </c>
      <c r="DI13" s="450">
        <f>INPUT!EH523</f>
        <v>0</v>
      </c>
      <c r="DJ13" s="450">
        <f>INPUT!EI523</f>
        <v>431</v>
      </c>
      <c r="DK13" s="450">
        <f>INPUT!EJ523</f>
        <v>0</v>
      </c>
      <c r="DL13" s="450">
        <f>INPUT!EK523</f>
        <v>409</v>
      </c>
      <c r="DM13" s="450">
        <f>INPUT!EL523</f>
        <v>0</v>
      </c>
      <c r="DN13" s="450">
        <f>INPUT!EM523</f>
        <v>309</v>
      </c>
      <c r="DO13" s="450">
        <f>INPUT!EN523</f>
        <v>0</v>
      </c>
      <c r="DP13" s="450">
        <f>INPUT!EO523</f>
        <v>313</v>
      </c>
      <c r="DQ13" s="450">
        <f>INPUT!EP523</f>
        <v>0</v>
      </c>
      <c r="DR13" s="450">
        <f>INPUT!EQ523</f>
        <v>350.73558167286751</v>
      </c>
      <c r="DS13" s="450">
        <f>INPUT!ER523</f>
        <v>0</v>
      </c>
      <c r="DT13" s="450">
        <f>INPUT!ES523</f>
        <v>335.04988905634082</v>
      </c>
      <c r="DU13" s="450">
        <f>INPUT!ET523</f>
        <v>0</v>
      </c>
      <c r="DV13" s="450">
        <f>INPUT!EU523</f>
        <v>321.01970519265865</v>
      </c>
      <c r="DW13" s="450">
        <f>INPUT!EV523</f>
        <v>0</v>
      </c>
      <c r="DX13" s="450">
        <f>INPUT!EW523</f>
        <v>299.06014598105457</v>
      </c>
      <c r="DY13" s="450">
        <f>INPUT!EX523</f>
        <v>0</v>
      </c>
      <c r="DZ13" s="450">
        <f>INPUT!EY523</f>
        <v>0</v>
      </c>
      <c r="EA13" s="438"/>
      <c r="EB13" s="439" t="str">
        <f>INPUT!FI522</f>
        <v>NM</v>
      </c>
      <c r="EC13" s="449">
        <f>INPUT!FJ522</f>
        <v>155</v>
      </c>
      <c r="ED13" s="439" t="str">
        <f>INPUT!FK522</f>
        <v>NM</v>
      </c>
      <c r="EE13" s="449">
        <f>INPUT!FL522</f>
        <v>169</v>
      </c>
      <c r="EF13" s="439">
        <f>INPUT!FM522</f>
        <v>9.0322580645161281</v>
      </c>
      <c r="EG13" s="449">
        <f>INPUT!FN522</f>
        <v>147</v>
      </c>
      <c r="EH13" s="439">
        <f>INPUT!FO522</f>
        <v>-13.017751479289942</v>
      </c>
      <c r="EI13" s="450">
        <f>INPUT!FP522</f>
        <v>220</v>
      </c>
      <c r="EJ13" s="438">
        <f>INPUT!FQ522</f>
        <v>49.659863945578252</v>
      </c>
      <c r="EK13" s="450">
        <f>INPUT!FR522</f>
        <v>240</v>
      </c>
      <c r="EL13" s="438">
        <f>INPUT!FS522</f>
        <v>9.0909090909090793</v>
      </c>
      <c r="EM13" s="450">
        <f>INPUT!FT522</f>
        <v>281</v>
      </c>
      <c r="EN13" s="438">
        <f>INPUT!FU522</f>
        <v>17.083333333333343</v>
      </c>
      <c r="EO13" s="450">
        <f>INPUT!FV522</f>
        <v>303</v>
      </c>
      <c r="EP13" s="438">
        <f>INPUT!FW522</f>
        <v>7.829181494661924</v>
      </c>
      <c r="EQ13" s="450">
        <f>INPUT!FX522</f>
        <v>329</v>
      </c>
      <c r="ER13" s="438">
        <f>INPUT!FY522</f>
        <v>8.5808580858085719</v>
      </c>
      <c r="ES13" s="450">
        <f>INPUT!FZ522</f>
        <v>191</v>
      </c>
      <c r="ET13" s="438">
        <f>INPUT!GA522</f>
        <v>-41.945288753799389</v>
      </c>
      <c r="EU13" s="450">
        <f>INPUT!GB522</f>
        <v>153</v>
      </c>
      <c r="EV13" s="438">
        <f>INPUT!GC522</f>
        <v>-19.895287958115176</v>
      </c>
      <c r="EW13" s="450">
        <f>INPUT!GD522</f>
        <v>47</v>
      </c>
      <c r="EX13" s="450">
        <f>INPUT!GE523</f>
        <v>0</v>
      </c>
      <c r="EY13" s="450">
        <f>INPUT!GF523</f>
        <v>1108</v>
      </c>
      <c r="EZ13" s="450">
        <f>INPUT!GG523</f>
        <v>0</v>
      </c>
      <c r="FA13" s="450">
        <f>INPUT!GH523</f>
        <v>1343</v>
      </c>
      <c r="FB13" s="450">
        <f>INPUT!GI523</f>
        <v>0</v>
      </c>
      <c r="FC13" s="450">
        <f>INPUT!GJ523</f>
        <v>1059</v>
      </c>
      <c r="FD13" s="450">
        <f>INPUT!GK523</f>
        <v>0</v>
      </c>
      <c r="FE13" s="450">
        <f>INPUT!GL523</f>
        <v>1240</v>
      </c>
      <c r="FF13" s="450">
        <f>INPUT!GM523</f>
        <v>0</v>
      </c>
      <c r="FG13" s="450">
        <f>INPUT!GN523</f>
        <v>1462</v>
      </c>
      <c r="FH13" s="450">
        <f>INPUT!GO523</f>
        <v>0</v>
      </c>
      <c r="FI13" s="450">
        <f>INPUT!GP523</f>
        <v>1305.865321902922</v>
      </c>
      <c r="FJ13" s="450">
        <f>INPUT!GQ523</f>
        <v>0</v>
      </c>
      <c r="FK13" s="450">
        <f>INPUT!GR523</f>
        <v>1342.5536438385088</v>
      </c>
      <c r="FL13" s="450">
        <f>INPUT!GS523</f>
        <v>0</v>
      </c>
      <c r="FM13" s="450">
        <f>INPUT!GT523</f>
        <v>1376.5795677804563</v>
      </c>
      <c r="FN13" s="450">
        <f>INPUT!GU523</f>
        <v>0</v>
      </c>
      <c r="FO13" s="450">
        <f>INPUT!GV523</f>
        <v>1408.7952884427368</v>
      </c>
      <c r="FP13" s="450">
        <f>INPUT!GW523</f>
        <v>0</v>
      </c>
      <c r="FQ13" s="450">
        <f>INPUT!GX523</f>
        <v>1441.7329556187533</v>
      </c>
      <c r="FR13" s="450">
        <f>INPUT!GY523</f>
        <v>0</v>
      </c>
      <c r="FS13" s="862">
        <f>INPUT!GZ523</f>
        <v>-0.27880122335876001</v>
      </c>
    </row>
    <row r="14" spans="1:176" s="529" customFormat="1" ht="12.75" customHeight="1" x14ac:dyDescent="0.2">
      <c r="A14" s="826" t="str">
        <f>INPUT!B525</f>
        <v>Asset Management</v>
      </c>
      <c r="B14" s="450">
        <f>INPUT!AA525</f>
        <v>45</v>
      </c>
      <c r="C14" s="450">
        <f>INPUT!AB525</f>
        <v>-28.571428571428569</v>
      </c>
      <c r="D14" s="450">
        <f>INPUT!AC525</f>
        <v>54</v>
      </c>
      <c r="E14" s="450">
        <f>INPUT!AD525</f>
        <v>12.5</v>
      </c>
      <c r="F14" s="450">
        <f>INPUT!AE525</f>
        <v>42</v>
      </c>
      <c r="G14" s="450">
        <f>INPUT!AF525</f>
        <v>0</v>
      </c>
      <c r="H14" s="450">
        <f>INPUT!AG525</f>
        <v>68</v>
      </c>
      <c r="I14" s="450" t="str">
        <f>INPUT!AH525</f>
        <v>NM</v>
      </c>
      <c r="J14" s="450">
        <f>INPUT!AI525</f>
        <v>58</v>
      </c>
      <c r="K14" s="450">
        <f>INPUT!AJ525</f>
        <v>28.888888888888886</v>
      </c>
      <c r="L14" s="450">
        <f>INPUT!AK525</f>
        <v>60</v>
      </c>
      <c r="M14" s="450">
        <f>INPUT!AL525</f>
        <v>11.111111111111114</v>
      </c>
      <c r="N14" s="450">
        <f>INPUT!AM525</f>
        <v>58</v>
      </c>
      <c r="O14" s="450">
        <f>INPUT!AN525</f>
        <v>38.095238095238102</v>
      </c>
      <c r="P14" s="450">
        <f>INPUT!AO525</f>
        <v>70</v>
      </c>
      <c r="Q14" s="450">
        <f>INPUT!AP525</f>
        <v>2.941176470588232</v>
      </c>
      <c r="R14" s="450">
        <f>INPUT!AQ525</f>
        <v>99</v>
      </c>
      <c r="S14" s="450">
        <f>INPUT!AR525</f>
        <v>70.689655172413779</v>
      </c>
      <c r="T14" s="450">
        <f>INPUT!AS525</f>
        <v>82</v>
      </c>
      <c r="U14" s="450">
        <f>INPUT!AT525</f>
        <v>36.666666666666657</v>
      </c>
      <c r="V14" s="450">
        <f>INPUT!AU525</f>
        <v>97</v>
      </c>
      <c r="W14" s="450">
        <f>INPUT!AV525</f>
        <v>67.241379310344826</v>
      </c>
      <c r="X14" s="450">
        <f>INPUT!AW525</f>
        <v>109</v>
      </c>
      <c r="Y14" s="450">
        <f>INPUT!AX525</f>
        <v>55.714285714285722</v>
      </c>
      <c r="Z14" s="450">
        <f>INPUT!AY525</f>
        <v>154</v>
      </c>
      <c r="AA14" s="450">
        <f>INPUT!AZ525</f>
        <v>55.555555555555571</v>
      </c>
      <c r="AB14" s="450">
        <f>INPUT!BA525</f>
        <v>104</v>
      </c>
      <c r="AC14" s="450">
        <f>INPUT!BB525</f>
        <v>26.829268292682926</v>
      </c>
      <c r="AD14" s="450">
        <f>INPUT!BC525</f>
        <v>102</v>
      </c>
      <c r="AE14" s="450">
        <f>INPUT!BD525</f>
        <v>5.1546391752577421</v>
      </c>
      <c r="AF14" s="450">
        <f>INPUT!BE525</f>
        <v>123</v>
      </c>
      <c r="AG14" s="450">
        <f>INPUT!BF525</f>
        <v>12.844036697247702</v>
      </c>
      <c r="AH14" s="450">
        <f>INPUT!BG525</f>
        <v>155</v>
      </c>
      <c r="AI14" s="450">
        <f>INPUT!BH525</f>
        <v>0.64935064935065157</v>
      </c>
      <c r="AJ14" s="450">
        <f>INPUT!BI525</f>
        <v>153</v>
      </c>
      <c r="AK14" s="450">
        <f>INPUT!BJ525</f>
        <v>47.115384615384613</v>
      </c>
      <c r="AL14" s="450">
        <f>INPUT!BK525</f>
        <v>214</v>
      </c>
      <c r="AM14" s="450" t="str">
        <f>INPUT!BL525</f>
        <v>NM</v>
      </c>
      <c r="AN14" s="450">
        <f>INPUT!BM525</f>
        <v>247</v>
      </c>
      <c r="AO14" s="450" t="str">
        <f>INPUT!BN525</f>
        <v>NM</v>
      </c>
      <c r="AP14" s="450">
        <f>INPUT!BO525</f>
        <v>149</v>
      </c>
      <c r="AQ14" s="450">
        <f>INPUT!BP525</f>
        <v>-3.8709677419354875</v>
      </c>
      <c r="AR14" s="450">
        <f>INPUT!BQ525</f>
        <v>150</v>
      </c>
      <c r="AS14" s="450">
        <f>INPUT!BR525</f>
        <v>-1.9607843137254974</v>
      </c>
      <c r="AT14" s="450">
        <f>INPUT!BS525</f>
        <v>102</v>
      </c>
      <c r="AU14" s="450" t="str">
        <f>INPUT!BT525</f>
        <v>NM</v>
      </c>
      <c r="AV14" s="450">
        <f>INPUT!BU525</f>
        <v>81</v>
      </c>
      <c r="AW14" s="450" t="str">
        <f>INPUT!BV525</f>
        <v>NM</v>
      </c>
      <c r="AX14" s="450">
        <f>INPUT!BW525</f>
        <v>-1</v>
      </c>
      <c r="AY14" s="450" t="str">
        <f>INPUT!BX525</f>
        <v>NM</v>
      </c>
      <c r="AZ14" s="450">
        <f>INPUT!BY525</f>
        <v>33</v>
      </c>
      <c r="BA14" s="450" t="str">
        <f>INPUT!BZ525</f>
        <v>NM</v>
      </c>
      <c r="BB14" s="450">
        <f>INPUT!CA525</f>
        <v>29</v>
      </c>
      <c r="BC14" s="450" t="str">
        <f>INPUT!CB525</f>
        <v>NM</v>
      </c>
      <c r="BD14" s="450">
        <f>INPUT!CC525</f>
        <v>-6</v>
      </c>
      <c r="BE14" s="450" t="str">
        <f>INPUT!CD525</f>
        <v>NM</v>
      </c>
      <c r="BF14" s="450">
        <f>INPUT!CE525</f>
        <v>83</v>
      </c>
      <c r="BG14" s="450" t="str">
        <f>INPUT!CF525</f>
        <v>NM</v>
      </c>
      <c r="BH14" s="450">
        <f>INPUT!CG525</f>
        <v>124</v>
      </c>
      <c r="BI14" s="450" t="str">
        <f>INPUT!CH525</f>
        <v>NM</v>
      </c>
      <c r="BJ14" s="450">
        <f>INPUT!CI525</f>
        <v>148</v>
      </c>
      <c r="BK14" s="450" t="str">
        <f>INPUT!CJ525</f>
        <v>NM</v>
      </c>
      <c r="BL14" s="450">
        <f>INPUT!CK525</f>
        <v>132</v>
      </c>
      <c r="BM14" s="450" t="str">
        <f>INPUT!CL525</f>
        <v>NM</v>
      </c>
      <c r="BN14" s="450">
        <f>INPUT!CM525</f>
        <v>154</v>
      </c>
      <c r="BO14" s="450">
        <f>INPUT!CN525</f>
        <v>85.542168674698786</v>
      </c>
      <c r="BP14" s="450">
        <f>INPUT!CO525</f>
        <v>166</v>
      </c>
      <c r="BQ14" s="450">
        <f>INPUT!CP525</f>
        <v>33.870967741935488</v>
      </c>
      <c r="BR14" s="450">
        <f>INPUT!CQ525</f>
        <v>123</v>
      </c>
      <c r="BS14" s="450">
        <f>INPUT!CR525</f>
        <v>-16.891891891891902</v>
      </c>
      <c r="BT14" s="450">
        <f>INPUT!CS525</f>
        <v>160</v>
      </c>
      <c r="BU14" s="450">
        <f>INPUT!CT525</f>
        <v>21.212121212121218</v>
      </c>
      <c r="BV14" s="450">
        <f>INPUT!CU525</f>
        <v>147</v>
      </c>
      <c r="BW14" s="450">
        <f>INPUT!CV525</f>
        <v>-4.5454545454545467</v>
      </c>
      <c r="BX14" s="450">
        <f>INPUT!CW525</f>
        <v>130</v>
      </c>
      <c r="BY14" s="450">
        <f>INPUT!CX525</f>
        <v>-21.686746987951807</v>
      </c>
      <c r="BZ14" s="450">
        <f>INPUT!CY525</f>
        <v>197</v>
      </c>
      <c r="CA14" s="450">
        <f>INPUT!CZ525</f>
        <v>60.162601626016254</v>
      </c>
      <c r="CB14" s="450">
        <f>INPUT!DA525</f>
        <v>202</v>
      </c>
      <c r="CC14" s="450">
        <f>INPUT!DB525</f>
        <v>26.25</v>
      </c>
      <c r="CD14" s="450">
        <f>INPUT!DC525</f>
        <v>169</v>
      </c>
      <c r="CE14" s="450">
        <f>INPUT!DD525</f>
        <v>14.965986394557817</v>
      </c>
      <c r="CF14" s="450">
        <f>INPUT!DE525</f>
        <v>172</v>
      </c>
      <c r="CG14" s="450">
        <f>INPUT!DF525</f>
        <v>32.307692307692292</v>
      </c>
      <c r="CH14" s="450">
        <f>INPUT!DG525</f>
        <v>173</v>
      </c>
      <c r="CI14" s="450">
        <f>INPUT!DH525</f>
        <v>-12.182741116751274</v>
      </c>
      <c r="CJ14" s="450">
        <f>INPUT!DI525</f>
        <v>209</v>
      </c>
      <c r="CK14" s="450">
        <f>INPUT!DJ525</f>
        <v>3.4653465346534631</v>
      </c>
      <c r="CL14" s="450">
        <f>INPUT!DK525</f>
        <v>193</v>
      </c>
      <c r="CM14" s="450">
        <f>INPUT!DL525</f>
        <v>14.201183431952671</v>
      </c>
      <c r="CN14" s="450">
        <f>INPUT!DM525</f>
        <v>200</v>
      </c>
      <c r="CO14" s="450">
        <f>INPUT!DN525</f>
        <v>16.279069767441868</v>
      </c>
      <c r="CP14" s="450">
        <f>INPUT!DO525</f>
        <v>200</v>
      </c>
      <c r="CQ14" s="450">
        <f>INPUT!DP525</f>
        <v>15.606936416184979</v>
      </c>
      <c r="CR14" s="450">
        <f>INPUT!DQ525</f>
        <v>192</v>
      </c>
      <c r="CS14" s="450">
        <f>INPUT!DR525</f>
        <v>-8.1339712918660325</v>
      </c>
      <c r="CT14" s="450">
        <f>INPUT!DS525</f>
        <v>205</v>
      </c>
      <c r="CU14" s="450">
        <f>INPUT!DT525</f>
        <v>6.2176165803108745</v>
      </c>
      <c r="CV14" s="450">
        <f>INPUT!DU525</f>
        <v>196</v>
      </c>
      <c r="CW14" s="450">
        <f>INPUT!DV525</f>
        <v>-2</v>
      </c>
      <c r="CX14" s="450">
        <f>INPUT!DW525</f>
        <v>180</v>
      </c>
      <c r="CY14" s="450">
        <f>INPUT!DX525</f>
        <v>-10</v>
      </c>
      <c r="CZ14" s="450">
        <f>INPUT!DY525</f>
        <v>198</v>
      </c>
      <c r="DA14" s="450">
        <f>INPUT!DZ525</f>
        <v>3.125</v>
      </c>
      <c r="DB14" s="450">
        <f>INPUT!EA525</f>
        <v>165</v>
      </c>
      <c r="DC14" s="450">
        <f>INPUT!EB525</f>
        <v>-19.512195121951208</v>
      </c>
      <c r="DD14" s="450">
        <f>INPUT!EC525</f>
        <v>207</v>
      </c>
      <c r="DE14" s="450">
        <f>INPUT!ED525</f>
        <v>5.6122448979591724</v>
      </c>
      <c r="DF14" s="450">
        <f>INPUT!EE525</f>
        <v>191</v>
      </c>
      <c r="DG14" s="450">
        <f>INPUT!EF525</f>
        <v>6.1111111111111143</v>
      </c>
      <c r="DH14" s="450">
        <f>INPUT!EG525</f>
        <v>224</v>
      </c>
      <c r="DI14" s="450">
        <f>INPUT!EH525</f>
        <v>13.131313131313121</v>
      </c>
      <c r="DJ14" s="450">
        <f>INPUT!EI525</f>
        <v>196</v>
      </c>
      <c r="DK14" s="450">
        <f>INPUT!EJ525</f>
        <v>18.787878787878796</v>
      </c>
      <c r="DL14" s="450">
        <f>INPUT!EK525</f>
        <v>218</v>
      </c>
      <c r="DM14" s="450">
        <f>INPUT!EL525</f>
        <v>5.3140096618357546</v>
      </c>
      <c r="DN14" s="450">
        <f>INPUT!EM525</f>
        <v>259</v>
      </c>
      <c r="DO14" s="450">
        <f>INPUT!EN525</f>
        <v>35.602094240837687</v>
      </c>
      <c r="DP14" s="450">
        <f>INPUT!EO525</f>
        <v>306</v>
      </c>
      <c r="DQ14" s="450">
        <f>INPUT!EP525</f>
        <v>36.607142857142861</v>
      </c>
      <c r="DR14" s="450">
        <f>INPUT!EQ525</f>
        <v>248.7617701489836</v>
      </c>
      <c r="DS14" s="450">
        <f>INPUT!ER525</f>
        <v>26.9192704841753</v>
      </c>
      <c r="DT14" s="450">
        <f>INPUT!ES525</f>
        <v>248.08063873696301</v>
      </c>
      <c r="DU14" s="450">
        <f>INPUT!ET525</f>
        <v>13.798458136221555</v>
      </c>
      <c r="DV14" s="450">
        <f>INPUT!EU525</f>
        <v>251.77587255214337</v>
      </c>
      <c r="DW14" s="450">
        <f>INPUT!EV525</f>
        <v>-2.7892383968558363</v>
      </c>
      <c r="DX14" s="450">
        <f>INPUT!EW525</f>
        <v>251.08787798307571</v>
      </c>
      <c r="DY14" s="450">
        <f>INPUT!EX525</f>
        <v>-17.945137914027541</v>
      </c>
      <c r="DZ14" s="450">
        <f>INPUT!EY525</f>
        <v>0</v>
      </c>
      <c r="EA14" s="438"/>
      <c r="EB14" s="439">
        <f>INPUT!FI526</f>
        <v>-20.647773279352222</v>
      </c>
      <c r="EC14" s="449">
        <f>INPUT!FJ526</f>
        <v>184</v>
      </c>
      <c r="ED14" s="439">
        <f>INPUT!FK526</f>
        <v>-6.1224489795918373</v>
      </c>
      <c r="EE14" s="449">
        <f>INPUT!FL526</f>
        <v>209</v>
      </c>
      <c r="EF14" s="439">
        <f>INPUT!FM526</f>
        <v>13.58695652173914</v>
      </c>
      <c r="EG14" s="449">
        <f>INPUT!FN526</f>
        <v>246</v>
      </c>
      <c r="EH14" s="439">
        <f>INPUT!FO526</f>
        <v>17.703349282296642</v>
      </c>
      <c r="EI14" s="450">
        <f>INPUT!FP526</f>
        <v>387</v>
      </c>
      <c r="EJ14" s="438">
        <f>INPUT!FQ526</f>
        <v>57.317073170731703</v>
      </c>
      <c r="EK14" s="450">
        <f>INPUT!FR526</f>
        <v>483</v>
      </c>
      <c r="EL14" s="438">
        <f>INPUT!FS526</f>
        <v>24.806201550387598</v>
      </c>
      <c r="EM14" s="450">
        <f>INPUT!FT526</f>
        <v>769</v>
      </c>
      <c r="EN14" s="438">
        <f>INPUT!FU526</f>
        <v>59.21325051759834</v>
      </c>
      <c r="EO14" s="450">
        <f>INPUT!FV526</f>
        <v>482</v>
      </c>
      <c r="EP14" s="438">
        <f>INPUT!FW526</f>
        <v>-37.32119635890767</v>
      </c>
      <c r="EQ14" s="450">
        <f>INPUT!FX526</f>
        <v>55</v>
      </c>
      <c r="ER14" s="438" t="str">
        <f>INPUT!FY526</f>
        <v>NM</v>
      </c>
      <c r="ES14" s="450">
        <f>INPUT!FZ526</f>
        <v>487</v>
      </c>
      <c r="ET14" s="438" t="str">
        <f>INPUT!GA526</f>
        <v>NM</v>
      </c>
      <c r="EU14" s="450">
        <f>INPUT!GB526</f>
        <v>603</v>
      </c>
      <c r="EV14" s="438">
        <f>INPUT!GC526</f>
        <v>23.819301848049278</v>
      </c>
      <c r="EW14" s="450">
        <f>INPUT!GD526</f>
        <v>676</v>
      </c>
      <c r="EX14" s="450">
        <f>INPUT!GE525</f>
        <v>12.106135986733008</v>
      </c>
      <c r="EY14" s="450">
        <f>INPUT!GF525</f>
        <v>723</v>
      </c>
      <c r="EZ14" s="450">
        <f>INPUT!GG525</f>
        <v>6.9526627218935033</v>
      </c>
      <c r="FA14" s="450">
        <f>INPUT!GH525</f>
        <v>785</v>
      </c>
      <c r="FB14" s="450">
        <f>INPUT!GI525</f>
        <v>8.5753803596127227</v>
      </c>
      <c r="FC14" s="450">
        <f>INPUT!GJ525</f>
        <v>779</v>
      </c>
      <c r="FD14" s="450">
        <f>INPUT!GK525</f>
        <v>-0.76433121019108796</v>
      </c>
      <c r="FE14" s="450">
        <f>INPUT!GL525</f>
        <v>787</v>
      </c>
      <c r="FF14" s="450">
        <f>INPUT!GM525</f>
        <v>1.0269576379974268</v>
      </c>
      <c r="FG14" s="450">
        <f>INPUT!GN525</f>
        <v>979</v>
      </c>
      <c r="FH14" s="450">
        <f>INPUT!GO525</f>
        <v>24.396442185514616</v>
      </c>
      <c r="FI14" s="450">
        <f>INPUT!GP525</f>
        <v>999.70615942116592</v>
      </c>
      <c r="FJ14" s="450">
        <f>INPUT!GQ525</f>
        <v>2.1150316058392065</v>
      </c>
      <c r="FK14" s="450">
        <f>INPUT!GR525</f>
        <v>1054.0497274759146</v>
      </c>
      <c r="FL14" s="450">
        <f>INPUT!GS525</f>
        <v>5.4359541093768655</v>
      </c>
      <c r="FM14" s="450">
        <f>INPUT!GT525</f>
        <v>1100.2812256602492</v>
      </c>
      <c r="FN14" s="450">
        <f>INPUT!GU525</f>
        <v>4.3860832159259928</v>
      </c>
      <c r="FO14" s="450">
        <f>INPUT!GV525</f>
        <v>1146.0943113049616</v>
      </c>
      <c r="FP14" s="450">
        <f>INPUT!GW525</f>
        <v>4.1637614617318519</v>
      </c>
      <c r="FQ14" s="450">
        <f>INPUT!GX525</f>
        <v>1178.6654491965437</v>
      </c>
      <c r="FR14" s="450">
        <f>INPUT!GY525</f>
        <v>2.8419247500230682</v>
      </c>
      <c r="FS14" s="862">
        <f>INPUT!GZ525</f>
        <v>3.7818892258121739</v>
      </c>
    </row>
    <row r="15" spans="1:176" s="529" customFormat="1" ht="12.75" customHeight="1" x14ac:dyDescent="0.2">
      <c r="A15" s="829" t="str">
        <f>INPUT!B526</f>
        <v>Investment Management Division</v>
      </c>
      <c r="B15" s="450">
        <f>INPUT!AA526</f>
        <v>45</v>
      </c>
      <c r="C15" s="450">
        <f>INPUT!AB526</f>
        <v>-28.571428571428569</v>
      </c>
      <c r="D15" s="450">
        <f>INPUT!AC526</f>
        <v>54</v>
      </c>
      <c r="E15" s="450">
        <f>INPUT!AD526</f>
        <v>12.5</v>
      </c>
      <c r="F15" s="450">
        <f>INPUT!AE526</f>
        <v>42</v>
      </c>
      <c r="G15" s="450">
        <f>INPUT!AF526</f>
        <v>0</v>
      </c>
      <c r="H15" s="450">
        <f>INPUT!AG526</f>
        <v>68</v>
      </c>
      <c r="I15" s="450" t="str">
        <f>INPUT!AH526</f>
        <v>NM</v>
      </c>
      <c r="J15" s="450">
        <f>INPUT!AI526</f>
        <v>58</v>
      </c>
      <c r="K15" s="450">
        <f>INPUT!AJ526</f>
        <v>28.888888888888886</v>
      </c>
      <c r="L15" s="450">
        <f>INPUT!AK526</f>
        <v>60</v>
      </c>
      <c r="M15" s="450">
        <f>INPUT!AL526</f>
        <v>11.111111111111114</v>
      </c>
      <c r="N15" s="450">
        <f>INPUT!AM526</f>
        <v>58</v>
      </c>
      <c r="O15" s="450">
        <f>INPUT!AN526</f>
        <v>38.095238095238102</v>
      </c>
      <c r="P15" s="450">
        <f>INPUT!AO526</f>
        <v>70</v>
      </c>
      <c r="Q15" s="450">
        <f>INPUT!AP526</f>
        <v>2.941176470588232</v>
      </c>
      <c r="R15" s="450">
        <f>INPUT!AQ526</f>
        <v>99</v>
      </c>
      <c r="S15" s="450">
        <f>INPUT!AR526</f>
        <v>70.689655172413779</v>
      </c>
      <c r="T15" s="450">
        <f>INPUT!AS526</f>
        <v>82</v>
      </c>
      <c r="U15" s="450">
        <f>INPUT!AT526</f>
        <v>36.666666666666657</v>
      </c>
      <c r="V15" s="450">
        <f>INPUT!AU526</f>
        <v>97</v>
      </c>
      <c r="W15" s="450">
        <f>INPUT!AV526</f>
        <v>67.241379310344826</v>
      </c>
      <c r="X15" s="450">
        <f>INPUT!AW526</f>
        <v>109</v>
      </c>
      <c r="Y15" s="450">
        <f>INPUT!AX526</f>
        <v>55.714285714285722</v>
      </c>
      <c r="Z15" s="450">
        <f>INPUT!AY526</f>
        <v>154</v>
      </c>
      <c r="AA15" s="450">
        <f>INPUT!AZ526</f>
        <v>55.555555555555571</v>
      </c>
      <c r="AB15" s="450">
        <f>INPUT!BA526</f>
        <v>104</v>
      </c>
      <c r="AC15" s="450">
        <f>INPUT!BB526</f>
        <v>26.829268292682926</v>
      </c>
      <c r="AD15" s="450">
        <f>INPUT!BC526</f>
        <v>102</v>
      </c>
      <c r="AE15" s="450">
        <f>INPUT!BD526</f>
        <v>5.1546391752577421</v>
      </c>
      <c r="AF15" s="450">
        <f>INPUT!BE526</f>
        <v>123</v>
      </c>
      <c r="AG15" s="450">
        <f>INPUT!BF526</f>
        <v>12.844036697247702</v>
      </c>
      <c r="AH15" s="450">
        <f>INPUT!BG526</f>
        <v>155</v>
      </c>
      <c r="AI15" s="450">
        <f>INPUT!BH526</f>
        <v>0.64935064935065157</v>
      </c>
      <c r="AJ15" s="450">
        <f>INPUT!BI526</f>
        <v>153</v>
      </c>
      <c r="AK15" s="450">
        <f>INPUT!BJ526</f>
        <v>47.115384615384613</v>
      </c>
      <c r="AL15" s="450">
        <f>INPUT!BK526</f>
        <v>214</v>
      </c>
      <c r="AM15" s="450" t="str">
        <f>INPUT!BL526</f>
        <v>NM</v>
      </c>
      <c r="AN15" s="450">
        <f>INPUT!BM526</f>
        <v>247</v>
      </c>
      <c r="AO15" s="450" t="str">
        <f>INPUT!BN526</f>
        <v>NM</v>
      </c>
      <c r="AP15" s="450">
        <f>INPUT!BO526</f>
        <v>149</v>
      </c>
      <c r="AQ15" s="450">
        <f>INPUT!BP526</f>
        <v>-3.8709677419354875</v>
      </c>
      <c r="AR15" s="450">
        <f>INPUT!BQ526</f>
        <v>150</v>
      </c>
      <c r="AS15" s="450">
        <f>INPUT!BR526</f>
        <v>-1.9607843137254974</v>
      </c>
      <c r="AT15" s="450">
        <f>INPUT!BS526</f>
        <v>102</v>
      </c>
      <c r="AU15" s="450" t="str">
        <f>INPUT!BT526</f>
        <v>NM</v>
      </c>
      <c r="AV15" s="450">
        <f>INPUT!BU526</f>
        <v>81</v>
      </c>
      <c r="AW15" s="450" t="str">
        <f>INPUT!BV526</f>
        <v>NM</v>
      </c>
      <c r="AX15" s="450">
        <f>INPUT!BW526</f>
        <v>-1</v>
      </c>
      <c r="AY15" s="450" t="str">
        <f>INPUT!BX526</f>
        <v>NM</v>
      </c>
      <c r="AZ15" s="450">
        <f>INPUT!BY526</f>
        <v>33</v>
      </c>
      <c r="BA15" s="450" t="str">
        <f>INPUT!BZ526</f>
        <v>NM</v>
      </c>
      <c r="BB15" s="450">
        <f>INPUT!CA526</f>
        <v>29</v>
      </c>
      <c r="BC15" s="450" t="str">
        <f>INPUT!CB526</f>
        <v>NM</v>
      </c>
      <c r="BD15" s="450">
        <f>INPUT!CC526</f>
        <v>-6</v>
      </c>
      <c r="BE15" s="450" t="str">
        <f>INPUT!CD526</f>
        <v>NM</v>
      </c>
      <c r="BF15" s="450">
        <f>INPUT!CE526</f>
        <v>83</v>
      </c>
      <c r="BG15" s="450" t="str">
        <f>INPUT!CF526</f>
        <v>NM</v>
      </c>
      <c r="BH15" s="450">
        <f>INPUT!CG526</f>
        <v>124</v>
      </c>
      <c r="BI15" s="450" t="str">
        <f>INPUT!CH526</f>
        <v>NM</v>
      </c>
      <c r="BJ15" s="450">
        <f>INPUT!CI526</f>
        <v>148</v>
      </c>
      <c r="BK15" s="450" t="str">
        <f>INPUT!CJ526</f>
        <v>NM</v>
      </c>
      <c r="BL15" s="450">
        <f>INPUT!CK526</f>
        <v>132</v>
      </c>
      <c r="BM15" s="450" t="str">
        <f>INPUT!CL526</f>
        <v>NM</v>
      </c>
      <c r="BN15" s="450">
        <f>INPUT!CM526</f>
        <v>154</v>
      </c>
      <c r="BO15" s="450">
        <f>INPUT!CN526</f>
        <v>85.542168674698786</v>
      </c>
      <c r="BP15" s="450">
        <f>INPUT!CO526</f>
        <v>166</v>
      </c>
      <c r="BQ15" s="450">
        <f>INPUT!CP526</f>
        <v>33.870967741935488</v>
      </c>
      <c r="BR15" s="450">
        <f>INPUT!CQ526</f>
        <v>123</v>
      </c>
      <c r="BS15" s="450">
        <f>INPUT!CR526</f>
        <v>-16.891891891891902</v>
      </c>
      <c r="BT15" s="450">
        <f>INPUT!CS526</f>
        <v>160</v>
      </c>
      <c r="BU15" s="450">
        <f>INPUT!CT526</f>
        <v>21.212121212121218</v>
      </c>
      <c r="BV15" s="450">
        <f>INPUT!CU526</f>
        <v>147</v>
      </c>
      <c r="BW15" s="450">
        <f>INPUT!CV526</f>
        <v>-4.5454545454545467</v>
      </c>
      <c r="BX15" s="450">
        <f>INPUT!CW526</f>
        <v>130</v>
      </c>
      <c r="BY15" s="450">
        <f>INPUT!CX526</f>
        <v>-21.686746987951807</v>
      </c>
      <c r="BZ15" s="450">
        <f>INPUT!CY526</f>
        <v>197</v>
      </c>
      <c r="CA15" s="450">
        <f>INPUT!CZ526</f>
        <v>60.162601626016254</v>
      </c>
      <c r="CB15" s="450">
        <f>INPUT!DA526</f>
        <v>202</v>
      </c>
      <c r="CC15" s="450">
        <f>INPUT!DB526</f>
        <v>26.25</v>
      </c>
      <c r="CD15" s="450">
        <f>INPUT!DC526</f>
        <v>169</v>
      </c>
      <c r="CE15" s="450">
        <f>INPUT!DD526</f>
        <v>14.965986394557817</v>
      </c>
      <c r="CF15" s="450">
        <f>INPUT!DE526</f>
        <v>172</v>
      </c>
      <c r="CG15" s="450">
        <f>INPUT!DF526</f>
        <v>32.307692307692292</v>
      </c>
      <c r="CH15" s="450">
        <f>INPUT!DG526</f>
        <v>173</v>
      </c>
      <c r="CI15" s="450">
        <f>INPUT!DH526</f>
        <v>-12.182741116751274</v>
      </c>
      <c r="CJ15" s="450">
        <f>INPUT!DI526</f>
        <v>209</v>
      </c>
      <c r="CK15" s="450">
        <f>INPUT!DJ526</f>
        <v>3.4653465346534631</v>
      </c>
      <c r="CL15" s="450">
        <f>INPUT!DK526</f>
        <v>193</v>
      </c>
      <c r="CM15" s="450">
        <f>INPUT!DL526</f>
        <v>14.201183431952671</v>
      </c>
      <c r="CN15" s="450">
        <f>INPUT!DM526</f>
        <v>200</v>
      </c>
      <c r="CO15" s="450">
        <f>INPUT!DN526</f>
        <v>16.279069767441868</v>
      </c>
      <c r="CP15" s="450">
        <f>INPUT!DO526</f>
        <v>200</v>
      </c>
      <c r="CQ15" s="450">
        <f>INPUT!DP526</f>
        <v>15.606936416184979</v>
      </c>
      <c r="CR15" s="450">
        <f>INPUT!DQ526</f>
        <v>192</v>
      </c>
      <c r="CS15" s="450">
        <f>INPUT!DR526</f>
        <v>-8.1339712918660325</v>
      </c>
      <c r="CT15" s="450">
        <f>INPUT!DS526</f>
        <v>205</v>
      </c>
      <c r="CU15" s="450">
        <f>INPUT!DT526</f>
        <v>6.2176165803108745</v>
      </c>
      <c r="CV15" s="450">
        <f>INPUT!DU526</f>
        <v>196</v>
      </c>
      <c r="CW15" s="450">
        <f>INPUT!DV526</f>
        <v>-2</v>
      </c>
      <c r="CX15" s="450">
        <f>INPUT!DW526</f>
        <v>180</v>
      </c>
      <c r="CY15" s="450">
        <f>INPUT!DX526</f>
        <v>-10</v>
      </c>
      <c r="CZ15" s="450">
        <f>INPUT!DY526</f>
        <v>198</v>
      </c>
      <c r="DA15" s="450">
        <f>INPUT!DZ526</f>
        <v>3.125</v>
      </c>
      <c r="DB15" s="450">
        <f>INPUT!EA526</f>
        <v>165</v>
      </c>
      <c r="DC15" s="450">
        <f>INPUT!EB526</f>
        <v>-19.512195121951208</v>
      </c>
      <c r="DD15" s="450">
        <f>INPUT!EC526</f>
        <v>207</v>
      </c>
      <c r="DE15" s="450">
        <f>INPUT!ED526</f>
        <v>5.6122448979591724</v>
      </c>
      <c r="DF15" s="450">
        <f>INPUT!EE526</f>
        <v>191</v>
      </c>
      <c r="DG15" s="450">
        <f>INPUT!EF526</f>
        <v>6.1111111111111143</v>
      </c>
      <c r="DH15" s="450">
        <f>INPUT!EG526</f>
        <v>224</v>
      </c>
      <c r="DI15" s="450">
        <f>INPUT!EH526</f>
        <v>13.131313131313121</v>
      </c>
      <c r="DJ15" s="450">
        <f>INPUT!EI526</f>
        <v>196</v>
      </c>
      <c r="DK15" s="450">
        <f>INPUT!EJ526</f>
        <v>18.787878787878796</v>
      </c>
      <c r="DL15" s="450">
        <f>INPUT!EK526</f>
        <v>218</v>
      </c>
      <c r="DM15" s="450">
        <f>INPUT!EL526</f>
        <v>5.3140096618357546</v>
      </c>
      <c r="DN15" s="450">
        <f>INPUT!EM526</f>
        <v>259</v>
      </c>
      <c r="DO15" s="450">
        <f>INPUT!EN526</f>
        <v>35.602094240837687</v>
      </c>
      <c r="DP15" s="450">
        <f>INPUT!EO526</f>
        <v>306</v>
      </c>
      <c r="DQ15" s="450">
        <f>INPUT!EP526</f>
        <v>36.607142857142861</v>
      </c>
      <c r="DR15" s="450">
        <f>INPUT!EQ526</f>
        <v>248.7617701489836</v>
      </c>
      <c r="DS15" s="450">
        <f>INPUT!ER526</f>
        <v>26.9192704841753</v>
      </c>
      <c r="DT15" s="450">
        <f>INPUT!ES526</f>
        <v>248.08063873696301</v>
      </c>
      <c r="DU15" s="450">
        <f>INPUT!ET526</f>
        <v>13.798458136221555</v>
      </c>
      <c r="DV15" s="450">
        <f>INPUT!EU526</f>
        <v>251.77587255214337</v>
      </c>
      <c r="DW15" s="450">
        <f>INPUT!EV526</f>
        <v>-2.7892383968558363</v>
      </c>
      <c r="DX15" s="450">
        <f>INPUT!EW526</f>
        <v>251.08787798307571</v>
      </c>
      <c r="DY15" s="450">
        <f>INPUT!EX526</f>
        <v>-17.945137914027541</v>
      </c>
      <c r="DZ15" s="450">
        <f>INPUT!EY526</f>
        <v>0</v>
      </c>
      <c r="EA15" s="438"/>
      <c r="EB15" s="439">
        <f>INPUT!FI527</f>
        <v>17.905405405405389</v>
      </c>
      <c r="EC15" s="449">
        <f>INPUT!FJ527</f>
        <v>379</v>
      </c>
      <c r="ED15" s="439">
        <f>INPUT!FK527</f>
        <v>8.5959885386819508</v>
      </c>
      <c r="EE15" s="449">
        <f>INPUT!FL527</f>
        <v>449</v>
      </c>
      <c r="EF15" s="439">
        <f>INPUT!FM527</f>
        <v>18.469656992084424</v>
      </c>
      <c r="EG15" s="449">
        <f>INPUT!FN527</f>
        <v>526</v>
      </c>
      <c r="EH15" s="439">
        <f>INPUT!FO527</f>
        <v>17.149220489977736</v>
      </c>
      <c r="EI15" s="450">
        <f>INPUT!FP527</f>
        <v>767</v>
      </c>
      <c r="EJ15" s="438">
        <f>INPUT!FQ527</f>
        <v>45.817490494296578</v>
      </c>
      <c r="EK15" s="450">
        <f>INPUT!FR527</f>
        <v>927</v>
      </c>
      <c r="EL15" s="438">
        <f>INPUT!FS527</f>
        <v>20.860495436766627</v>
      </c>
      <c r="EM15" s="450">
        <f>INPUT!FT527</f>
        <v>1122</v>
      </c>
      <c r="EN15" s="438">
        <f>INPUT!FU527</f>
        <v>21.035598705501627</v>
      </c>
      <c r="EO15" s="450">
        <f>INPUT!FV527</f>
        <v>998</v>
      </c>
      <c r="EP15" s="438">
        <f>INPUT!FW527</f>
        <v>-11.051693404634577</v>
      </c>
      <c r="EQ15" s="450">
        <f>INPUT!FX527</f>
        <v>1055</v>
      </c>
      <c r="ER15" s="438">
        <f>INPUT!FY527</f>
        <v>5.7114228456913736</v>
      </c>
      <c r="ES15" s="450">
        <f>INPUT!FZ527</f>
        <v>1149</v>
      </c>
      <c r="ET15" s="438">
        <f>INPUT!GA527</f>
        <v>8.9099526066350734</v>
      </c>
      <c r="EU15" s="450">
        <f>INPUT!GB527</f>
        <v>1258.5</v>
      </c>
      <c r="EV15" s="438">
        <f>INPUT!GC527</f>
        <v>9.5300261096605823</v>
      </c>
      <c r="EW15" s="450">
        <f>INPUT!GD527</f>
        <v>1461</v>
      </c>
      <c r="EX15" s="450">
        <f>INPUT!GE526</f>
        <v>12.106135986733008</v>
      </c>
      <c r="EY15" s="450">
        <f>INPUT!GF526</f>
        <v>723</v>
      </c>
      <c r="EZ15" s="450">
        <f>INPUT!GG526</f>
        <v>6.9526627218935033</v>
      </c>
      <c r="FA15" s="450">
        <f>INPUT!GH526</f>
        <v>785</v>
      </c>
      <c r="FB15" s="450">
        <f>INPUT!GI526</f>
        <v>8.5753803596127227</v>
      </c>
      <c r="FC15" s="450">
        <f>INPUT!GJ526</f>
        <v>779</v>
      </c>
      <c r="FD15" s="450">
        <f>INPUT!GK526</f>
        <v>-0.76433121019108796</v>
      </c>
      <c r="FE15" s="450">
        <f>INPUT!GL526</f>
        <v>787</v>
      </c>
      <c r="FF15" s="450">
        <f>INPUT!GM526</f>
        <v>1.0269576379974268</v>
      </c>
      <c r="FG15" s="450">
        <f>INPUT!GN526</f>
        <v>979</v>
      </c>
      <c r="FH15" s="450">
        <f>INPUT!GO526</f>
        <v>24.396442185514616</v>
      </c>
      <c r="FI15" s="450">
        <f>INPUT!GP526</f>
        <v>999.70615942116592</v>
      </c>
      <c r="FJ15" s="450">
        <f>INPUT!GQ526</f>
        <v>2.1150316058392065</v>
      </c>
      <c r="FK15" s="450">
        <f>INPUT!GR526</f>
        <v>1054.0497274759146</v>
      </c>
      <c r="FL15" s="450">
        <f>INPUT!GS526</f>
        <v>5.4359541093768655</v>
      </c>
      <c r="FM15" s="450">
        <f>INPUT!GT526</f>
        <v>1100.2812256602492</v>
      </c>
      <c r="FN15" s="450">
        <f>INPUT!GU526</f>
        <v>4.3860832159259928</v>
      </c>
      <c r="FO15" s="450">
        <f>INPUT!GV526</f>
        <v>1146.0943113049616</v>
      </c>
      <c r="FP15" s="450">
        <f>INPUT!GW526</f>
        <v>4.1637614617318519</v>
      </c>
      <c r="FQ15" s="450">
        <f>INPUT!GX526</f>
        <v>1178.6654491965437</v>
      </c>
      <c r="FR15" s="450">
        <f>INPUT!GY526</f>
        <v>2.8419247500230682</v>
      </c>
      <c r="FS15" s="862">
        <f>INPUT!GZ526</f>
        <v>3.7818892258121739</v>
      </c>
    </row>
    <row r="16" spans="1:176" s="529" customFormat="1" ht="12.75" customHeight="1" x14ac:dyDescent="0.2">
      <c r="A16" s="826" t="str">
        <f>INPUT!B527</f>
        <v>International Insurance  - Life Planner</v>
      </c>
      <c r="B16" s="450">
        <f>INPUT!AA527</f>
        <v>100</v>
      </c>
      <c r="C16" s="450">
        <f>INPUT!AB527</f>
        <v>0</v>
      </c>
      <c r="D16" s="450">
        <f>INPUT!AC527</f>
        <v>109</v>
      </c>
      <c r="E16" s="450">
        <f>INPUT!AD527</f>
        <v>26.744186046511629</v>
      </c>
      <c r="F16" s="450">
        <f>INPUT!AE527</f>
        <v>111</v>
      </c>
      <c r="G16" s="450">
        <f>INPUT!AF527</f>
        <v>32.142857142857139</v>
      </c>
      <c r="H16" s="450">
        <f>INPUT!AG527</f>
        <v>129</v>
      </c>
      <c r="I16" s="450">
        <f>INPUT!AH527</f>
        <v>18.348623853211009</v>
      </c>
      <c r="J16" s="450">
        <f>INPUT!AI527</f>
        <v>121</v>
      </c>
      <c r="K16" s="450">
        <f>INPUT!AJ527</f>
        <v>21</v>
      </c>
      <c r="L16" s="450">
        <f>INPUT!AK527</f>
        <v>129</v>
      </c>
      <c r="M16" s="450">
        <f>INPUT!AL527</f>
        <v>18.348623853211009</v>
      </c>
      <c r="N16" s="450">
        <f>INPUT!AM527</f>
        <v>139</v>
      </c>
      <c r="O16" s="450">
        <f>INPUT!AN527</f>
        <v>25.22522522522523</v>
      </c>
      <c r="P16" s="450">
        <f>INPUT!AO527</f>
        <v>137</v>
      </c>
      <c r="Q16" s="450">
        <f>INPUT!AP527</f>
        <v>6.2015503875969102</v>
      </c>
      <c r="R16" s="450">
        <f>INPUT!AQ527</f>
        <v>172</v>
      </c>
      <c r="S16" s="450">
        <f>INPUT!AR527</f>
        <v>42.148760330578511</v>
      </c>
      <c r="T16" s="450">
        <f>INPUT!AS527</f>
        <v>183</v>
      </c>
      <c r="U16" s="450">
        <f>INPUT!AT527</f>
        <v>41.860465116279073</v>
      </c>
      <c r="V16" s="450">
        <f>INPUT!AU527</f>
        <v>207</v>
      </c>
      <c r="W16" s="450">
        <f>INPUT!AV527</f>
        <v>48.920863309352512</v>
      </c>
      <c r="X16" s="450">
        <f>INPUT!AW527</f>
        <v>205</v>
      </c>
      <c r="Y16" s="450">
        <f>INPUT!AX527</f>
        <v>49.635036496350381</v>
      </c>
      <c r="Z16" s="450">
        <f>INPUT!AY527</f>
        <v>230</v>
      </c>
      <c r="AA16" s="450">
        <f>INPUT!AZ527</f>
        <v>33.720930232558146</v>
      </c>
      <c r="AB16" s="450">
        <f>INPUT!BA527</f>
        <v>228</v>
      </c>
      <c r="AC16" s="450">
        <f>INPUT!BB527</f>
        <v>24.590163934426229</v>
      </c>
      <c r="AD16" s="450">
        <f>INPUT!BC527</f>
        <v>237</v>
      </c>
      <c r="AE16" s="450">
        <f>INPUT!BD527</f>
        <v>14.492753623188406</v>
      </c>
      <c r="AF16" s="450">
        <f>INPUT!BE527</f>
        <v>232</v>
      </c>
      <c r="AG16" s="450">
        <f>INPUT!BF527</f>
        <v>13.17073170731706</v>
      </c>
      <c r="AH16" s="450">
        <f>INPUT!BG527</f>
        <v>269</v>
      </c>
      <c r="AI16" s="450">
        <f>INPUT!BH527</f>
        <v>16.956521739130423</v>
      </c>
      <c r="AJ16" s="450">
        <f>INPUT!BI527</f>
        <v>253</v>
      </c>
      <c r="AK16" s="450">
        <f>INPUT!BJ527</f>
        <v>10.964912280701753</v>
      </c>
      <c r="AL16" s="450">
        <f>INPUT!BK527</f>
        <v>319</v>
      </c>
      <c r="AM16" s="450">
        <f>INPUT!BL527</f>
        <v>34.599156118143469</v>
      </c>
      <c r="AN16" s="450">
        <f>INPUT!BM527</f>
        <v>281</v>
      </c>
      <c r="AO16" s="450">
        <f>INPUT!BN527</f>
        <v>21.120689655172413</v>
      </c>
      <c r="AP16" s="450">
        <f>INPUT!BO527</f>
        <v>285</v>
      </c>
      <c r="AQ16" s="450">
        <f>INPUT!BP527</f>
        <v>5.9479553903345703</v>
      </c>
      <c r="AR16" s="450">
        <f>INPUT!BQ527</f>
        <v>286</v>
      </c>
      <c r="AS16" s="450">
        <f>INPUT!BR527</f>
        <v>13.043478260869563</v>
      </c>
      <c r="AT16" s="450">
        <f>INPUT!BS527</f>
        <v>293</v>
      </c>
      <c r="AU16" s="450">
        <f>INPUT!BT527</f>
        <v>-8.1504702194357321</v>
      </c>
      <c r="AV16" s="450">
        <f>INPUT!BU527</f>
        <v>261</v>
      </c>
      <c r="AW16" s="450">
        <f>INPUT!BV527</f>
        <v>-7.1174377224199219</v>
      </c>
      <c r="AX16" s="450">
        <f>INPUT!BW527</f>
        <v>298</v>
      </c>
      <c r="AY16" s="450">
        <f>INPUT!BX527</f>
        <v>4.5614035087719174</v>
      </c>
      <c r="AZ16" s="450">
        <f>INPUT!BY527</f>
        <v>322</v>
      </c>
      <c r="BA16" s="450">
        <f>INPUT!BZ527</f>
        <v>12.587412587412587</v>
      </c>
      <c r="BB16" s="450">
        <f>INPUT!CA527</f>
        <v>295</v>
      </c>
      <c r="BC16" s="450">
        <f>INPUT!CB527</f>
        <v>0.68259385665530203</v>
      </c>
      <c r="BD16" s="450">
        <f>INPUT!CC527</f>
        <v>302</v>
      </c>
      <c r="BE16" s="450">
        <f>INPUT!CD527</f>
        <v>15.708812260536405</v>
      </c>
      <c r="BF16" s="450">
        <f>INPUT!CE527</f>
        <v>298</v>
      </c>
      <c r="BG16" s="450">
        <f>INPUT!CF527</f>
        <v>0</v>
      </c>
      <c r="BH16" s="450">
        <f>INPUT!CG527</f>
        <v>265</v>
      </c>
      <c r="BI16" s="450">
        <f>INPUT!CH527</f>
        <v>-17.701863354037258</v>
      </c>
      <c r="BJ16" s="450">
        <f>INPUT!CI527</f>
        <v>296</v>
      </c>
      <c r="BK16" s="450">
        <f>INPUT!CJ527</f>
        <v>0.33898305084744607</v>
      </c>
      <c r="BL16" s="450">
        <f>INPUT!CK527</f>
        <v>290</v>
      </c>
      <c r="BM16" s="450">
        <f>INPUT!CL527</f>
        <v>-3.9735099337748352</v>
      </c>
      <c r="BN16" s="450">
        <f>INPUT!CM527</f>
        <v>318.5</v>
      </c>
      <c r="BO16" s="450">
        <f>INPUT!CN527</f>
        <v>6.8791946308724761</v>
      </c>
      <c r="BP16" s="450">
        <f>INPUT!CO527</f>
        <v>309</v>
      </c>
      <c r="BQ16" s="450">
        <f>INPUT!CP527</f>
        <v>16.603773584905653</v>
      </c>
      <c r="BR16" s="450">
        <f>INPUT!CQ527</f>
        <v>331</v>
      </c>
      <c r="BS16" s="450">
        <f>INPUT!CR527</f>
        <v>11.824324324324323</v>
      </c>
      <c r="BT16" s="450">
        <f>INPUT!CS527</f>
        <v>300</v>
      </c>
      <c r="BU16" s="450">
        <f>INPUT!CT527</f>
        <v>3.448275862068968</v>
      </c>
      <c r="BV16" s="450">
        <f>INPUT!CU527</f>
        <v>382</v>
      </c>
      <c r="BW16" s="450">
        <f>INPUT!CV527</f>
        <v>19.937205651491368</v>
      </c>
      <c r="BX16" s="450">
        <f>INPUT!CW527</f>
        <v>374</v>
      </c>
      <c r="BY16" s="450">
        <f>INPUT!CX527</f>
        <v>21.035598705501627</v>
      </c>
      <c r="BZ16" s="450">
        <f>INPUT!CY527</f>
        <v>373</v>
      </c>
      <c r="CA16" s="450">
        <f>INPUT!CZ527</f>
        <v>12.688821752265866</v>
      </c>
      <c r="CB16" s="450">
        <f>INPUT!DA527</f>
        <v>332</v>
      </c>
      <c r="CC16" s="450">
        <f>INPUT!DB527</f>
        <v>10.666666666666671</v>
      </c>
      <c r="CD16" s="450">
        <f>INPUT!DC527</f>
        <v>422</v>
      </c>
      <c r="CE16" s="450">
        <f>INPUT!DD527</f>
        <v>10.471204188481693</v>
      </c>
      <c r="CF16" s="450">
        <f>INPUT!DE527</f>
        <v>368</v>
      </c>
      <c r="CG16" s="450">
        <f>INPUT!DF527</f>
        <v>-1.6042780748663006</v>
      </c>
      <c r="CH16" s="450">
        <f>INPUT!DG527</f>
        <v>405</v>
      </c>
      <c r="CI16" s="450">
        <f>INPUT!DH527</f>
        <v>8.5790884718498717</v>
      </c>
      <c r="CJ16" s="450">
        <f>INPUT!DI527</f>
        <v>381</v>
      </c>
      <c r="CK16" s="450">
        <f>INPUT!DJ527</f>
        <v>14.759036144578317</v>
      </c>
      <c r="CL16" s="450">
        <f>INPUT!DK527</f>
        <v>435</v>
      </c>
      <c r="CM16" s="450">
        <f>INPUT!DL527</f>
        <v>3.0805687203791337</v>
      </c>
      <c r="CN16" s="450">
        <f>INPUT!DM527</f>
        <v>382</v>
      </c>
      <c r="CO16" s="450">
        <f>INPUT!DN527</f>
        <v>3.8043478260869676</v>
      </c>
      <c r="CP16" s="450">
        <f>INPUT!DO527</f>
        <v>397</v>
      </c>
      <c r="CQ16" s="450">
        <f>INPUT!DP527</f>
        <v>-1.9753086419753032</v>
      </c>
      <c r="CR16" s="450">
        <f>INPUT!DQ527</f>
        <v>382</v>
      </c>
      <c r="CS16" s="450">
        <f>INPUT!DR527</f>
        <v>0.26246719160106124</v>
      </c>
      <c r="CT16" s="450">
        <f>INPUT!DS527</f>
        <v>439</v>
      </c>
      <c r="CU16" s="450">
        <f>INPUT!DT527</f>
        <v>0.91954022988505812</v>
      </c>
      <c r="CV16" s="450">
        <f>INPUT!DU527</f>
        <v>392</v>
      </c>
      <c r="CW16" s="450">
        <f>INPUT!DV527</f>
        <v>2.6178010471204232</v>
      </c>
      <c r="CX16" s="450">
        <f>INPUT!DW527</f>
        <v>398</v>
      </c>
      <c r="CY16" s="450">
        <f>INPUT!DX527</f>
        <v>0.25188916876575718</v>
      </c>
      <c r="CZ16" s="450">
        <f>INPUT!DY527</f>
        <v>367</v>
      </c>
      <c r="DA16" s="450">
        <f>INPUT!DZ527</f>
        <v>-3.9267015706806205</v>
      </c>
      <c r="DB16" s="450">
        <f>INPUT!EA527</f>
        <v>410</v>
      </c>
      <c r="DC16" s="450">
        <f>INPUT!EB527</f>
        <v>-6.6059225512528457</v>
      </c>
      <c r="DD16" s="450">
        <f>INPUT!EC527</f>
        <v>343</v>
      </c>
      <c r="DE16" s="450">
        <f>INPUT!ED527</f>
        <v>-12.5</v>
      </c>
      <c r="DF16" s="450">
        <f>INPUT!EE527</f>
        <v>391</v>
      </c>
      <c r="DG16" s="450">
        <f>INPUT!EF527</f>
        <v>-1.7587939698492505</v>
      </c>
      <c r="DH16" s="450">
        <f>INPUT!EG527</f>
        <v>395</v>
      </c>
      <c r="DI16" s="450">
        <f>INPUT!EH527</f>
        <v>7.6294277929155356</v>
      </c>
      <c r="DJ16" s="450">
        <f>INPUT!EI527</f>
        <v>408</v>
      </c>
      <c r="DK16" s="450">
        <f>INPUT!EJ527</f>
        <v>-0.48780487804877737</v>
      </c>
      <c r="DL16" s="450">
        <f>INPUT!EK527</f>
        <v>396</v>
      </c>
      <c r="DM16" s="450">
        <f>INPUT!EL527</f>
        <v>15.451895043731795</v>
      </c>
      <c r="DN16" s="450">
        <f>INPUT!EM527</f>
        <v>373</v>
      </c>
      <c r="DO16" s="450">
        <f>INPUT!EN527</f>
        <v>-4.6035805626598432</v>
      </c>
      <c r="DP16" s="450">
        <f>INPUT!EO527</f>
        <v>383</v>
      </c>
      <c r="DQ16" s="450">
        <f>INPUT!EP527</f>
        <v>-3.0379746835443058</v>
      </c>
      <c r="DR16" s="450">
        <f>INPUT!EQ527</f>
        <v>434.29932252252229</v>
      </c>
      <c r="DS16" s="450">
        <f>INPUT!ER527</f>
        <v>6.4459123829711444</v>
      </c>
      <c r="DT16" s="450">
        <f>INPUT!ES527</f>
        <v>403.28380576576592</v>
      </c>
      <c r="DU16" s="450">
        <f>INPUT!ET527</f>
        <v>1.8393448903449183</v>
      </c>
      <c r="DV16" s="450">
        <f>INPUT!EU527</f>
        <v>390.32150486486489</v>
      </c>
      <c r="DW16" s="450">
        <f>INPUT!EV527</f>
        <v>4.643835084414178</v>
      </c>
      <c r="DX16" s="450">
        <f>INPUT!EW527</f>
        <v>398.35792252252259</v>
      </c>
      <c r="DY16" s="450">
        <f>INPUT!EX527</f>
        <v>4.0099014419119072</v>
      </c>
      <c r="DZ16" s="450">
        <f>INPUT!EY527</f>
        <v>0</v>
      </c>
      <c r="EA16" s="438"/>
      <c r="EB16" s="439" t="str">
        <f>INPUT!FI528</f>
        <v>NA</v>
      </c>
      <c r="EC16" s="449">
        <f>INPUT!FJ528</f>
        <v>378</v>
      </c>
      <c r="ED16" s="439">
        <f>INPUT!FK528</f>
        <v>10.204081632653043</v>
      </c>
      <c r="EE16" s="449">
        <f>INPUT!FL528</f>
        <v>381</v>
      </c>
      <c r="EF16" s="439">
        <f>INPUT!FM528</f>
        <v>0.79365079365078373</v>
      </c>
      <c r="EG16" s="449">
        <f>INPUT!FN528</f>
        <v>410</v>
      </c>
      <c r="EH16" s="439">
        <f>INPUT!FO528</f>
        <v>7.6115485564304493</v>
      </c>
      <c r="EI16" s="450">
        <f>INPUT!FP528</f>
        <v>493</v>
      </c>
      <c r="EJ16" s="438">
        <f>INPUT!FQ528</f>
        <v>20.243902439024382</v>
      </c>
      <c r="EK16" s="450">
        <f>INPUT!FR528</f>
        <v>486</v>
      </c>
      <c r="EL16" s="438">
        <f>INPUT!FS528</f>
        <v>-1.4198782961460523</v>
      </c>
      <c r="EM16" s="450">
        <f>INPUT!FT528</f>
        <v>553</v>
      </c>
      <c r="EN16" s="438">
        <f>INPUT!FU528</f>
        <v>13.78600823045268</v>
      </c>
      <c r="EO16" s="450">
        <f>INPUT!FV528</f>
        <v>146</v>
      </c>
      <c r="EP16" s="438" t="str">
        <f>INPUT!FW528</f>
        <v>NM</v>
      </c>
      <c r="EQ16" s="450">
        <f>INPUT!FX528</f>
        <v>602</v>
      </c>
      <c r="ER16" s="438" t="str">
        <f>INPUT!FY528</f>
        <v>NM</v>
      </c>
      <c r="ES16" s="450">
        <f>INPUT!FZ528</f>
        <v>700</v>
      </c>
      <c r="ET16" s="438">
        <f>INPUT!GA528</f>
        <v>16.279069767441868</v>
      </c>
      <c r="EU16" s="450">
        <f>INPUT!GB528</f>
        <v>1075.5999999999999</v>
      </c>
      <c r="EV16" s="438">
        <f>INPUT!GC528</f>
        <v>53.657142857142844</v>
      </c>
      <c r="EW16" s="450">
        <f>INPUT!GD528</f>
        <v>1302</v>
      </c>
      <c r="EX16" s="450">
        <f>INPUT!GE527</f>
        <v>16.090584028605477</v>
      </c>
      <c r="EY16" s="450">
        <f>INPUT!GF527</f>
        <v>1576</v>
      </c>
      <c r="EZ16" s="450">
        <f>INPUT!GG527</f>
        <v>7.8713210130047884</v>
      </c>
      <c r="FA16" s="450">
        <f>INPUT!GH527</f>
        <v>1596</v>
      </c>
      <c r="FB16" s="450">
        <f>INPUT!GI527</f>
        <v>1.2690355329949341</v>
      </c>
      <c r="FC16" s="450">
        <f>INPUT!GJ527</f>
        <v>1596</v>
      </c>
      <c r="FD16" s="450">
        <f>INPUT!GK527</f>
        <v>0</v>
      </c>
      <c r="FE16" s="450">
        <f>INPUT!GL527</f>
        <v>1539</v>
      </c>
      <c r="FF16" s="450">
        <f>INPUT!GM527</f>
        <v>-3.5714285714285694</v>
      </c>
      <c r="FG16" s="450">
        <f>INPUT!GN527</f>
        <v>1560</v>
      </c>
      <c r="FH16" s="450">
        <f>INPUT!GO527</f>
        <v>1.3645224171539923</v>
      </c>
      <c r="FI16" s="450">
        <f>INPUT!GP527</f>
        <v>1626.2625556756757</v>
      </c>
      <c r="FJ16" s="450">
        <f>INPUT!GQ527</f>
        <v>4.247599722799734</v>
      </c>
      <c r="FK16" s="450">
        <f>INPUT!GR527</f>
        <v>1690.6914579027016</v>
      </c>
      <c r="FL16" s="450">
        <f>INPUT!GS527</f>
        <v>3.9617773896452491</v>
      </c>
      <c r="FM16" s="450">
        <f>INPUT!GT527</f>
        <v>1757.6291402188108</v>
      </c>
      <c r="FN16" s="450">
        <f>INPUT!GU527</f>
        <v>3.9591897151444471</v>
      </c>
      <c r="FO16" s="450">
        <f>INPUT!GV527</f>
        <v>1827.1684324675607</v>
      </c>
      <c r="FP16" s="450">
        <f>INPUT!GW527</f>
        <v>3.95642577023348</v>
      </c>
      <c r="FQ16" s="450">
        <f>INPUT!GX527</f>
        <v>1899.4050503366652</v>
      </c>
      <c r="FR16" s="450">
        <f>INPUT!GY527</f>
        <v>3.9534733955287322</v>
      </c>
      <c r="FS16" s="862">
        <f>INPUT!GZ527</f>
        <v>4.0156286032805966</v>
      </c>
    </row>
    <row r="17" spans="1:175" s="529" customFormat="1" ht="12.75" customHeight="1" x14ac:dyDescent="0.2">
      <c r="A17" s="826" t="str">
        <f>INPUT!B528</f>
        <v>Gibraltar Life</v>
      </c>
      <c r="B17" s="450">
        <f>INPUT!AA528</f>
        <v>75</v>
      </c>
      <c r="C17" s="450">
        <f>INPUT!AB528</f>
        <v>-27.884615384615387</v>
      </c>
      <c r="D17" s="450">
        <f>INPUT!AC528</f>
        <v>98</v>
      </c>
      <c r="E17" s="450">
        <f>INPUT!AD528</f>
        <v>-2.9702970297029765</v>
      </c>
      <c r="F17" s="450">
        <f>INPUT!AE528</f>
        <v>104</v>
      </c>
      <c r="G17" s="450">
        <f>INPUT!AF528</f>
        <v>1.9607843137254832</v>
      </c>
      <c r="H17" s="450">
        <f>INPUT!AG528</f>
        <v>93</v>
      </c>
      <c r="I17" s="450">
        <f>INPUT!AH528</f>
        <v>30.985915492957758</v>
      </c>
      <c r="J17" s="450">
        <f>INPUT!AI528</f>
        <v>94</v>
      </c>
      <c r="K17" s="450">
        <f>INPUT!AJ528</f>
        <v>25.333333333333343</v>
      </c>
      <c r="L17" s="450">
        <f>INPUT!AK528</f>
        <v>115</v>
      </c>
      <c r="M17" s="450">
        <f>INPUT!AL528</f>
        <v>17.34693877551021</v>
      </c>
      <c r="N17" s="450">
        <f>INPUT!AM528</f>
        <v>100</v>
      </c>
      <c r="O17" s="450">
        <f>INPUT!AN528</f>
        <v>-3.8461538461538396</v>
      </c>
      <c r="P17" s="450">
        <f>INPUT!AO528</f>
        <v>97</v>
      </c>
      <c r="Q17" s="450">
        <f>INPUT!AP528</f>
        <v>4.3010752688172005</v>
      </c>
      <c r="R17" s="450">
        <f>INPUT!AQ528</f>
        <v>106</v>
      </c>
      <c r="S17" s="450">
        <f>INPUT!AR528</f>
        <v>12.7659574468085</v>
      </c>
      <c r="T17" s="450">
        <f>INPUT!AS528</f>
        <v>112</v>
      </c>
      <c r="U17" s="450">
        <f>INPUT!AT528</f>
        <v>-2.6086956521739069</v>
      </c>
      <c r="V17" s="450">
        <f>INPUT!AU528</f>
        <v>131</v>
      </c>
      <c r="W17" s="450">
        <f>INPUT!AV528</f>
        <v>31</v>
      </c>
      <c r="X17" s="450">
        <f>INPUT!AW528</f>
        <v>126</v>
      </c>
      <c r="Y17" s="450">
        <f>INPUT!AX528</f>
        <v>29.896907216494839</v>
      </c>
      <c r="Z17" s="450">
        <f>INPUT!AY528</f>
        <v>109</v>
      </c>
      <c r="AA17" s="450">
        <f>INPUT!AZ528</f>
        <v>2.8301886792452962</v>
      </c>
      <c r="AB17" s="450">
        <f>INPUT!BA528</f>
        <v>129</v>
      </c>
      <c r="AC17" s="450">
        <f>INPUT!BB528</f>
        <v>15.178571428571416</v>
      </c>
      <c r="AD17" s="450">
        <f>INPUT!BC528</f>
        <v>135</v>
      </c>
      <c r="AE17" s="450">
        <f>INPUT!BD528</f>
        <v>3.0534351145038272</v>
      </c>
      <c r="AF17" s="450">
        <f>INPUT!BE528</f>
        <v>131</v>
      </c>
      <c r="AG17" s="450">
        <f>INPUT!BF528</f>
        <v>3.9682539682539755</v>
      </c>
      <c r="AH17" s="450">
        <f>INPUT!BG528</f>
        <v>143</v>
      </c>
      <c r="AI17" s="450">
        <f>INPUT!BH528</f>
        <v>31.192660550458697</v>
      </c>
      <c r="AJ17" s="450">
        <f>INPUT!BI528</f>
        <v>146</v>
      </c>
      <c r="AK17" s="450">
        <f>INPUT!BJ528</f>
        <v>13.178294573643413</v>
      </c>
      <c r="AL17" s="450">
        <f>INPUT!BK528</f>
        <v>160</v>
      </c>
      <c r="AM17" s="450">
        <f>INPUT!BL528</f>
        <v>18.518518518518505</v>
      </c>
      <c r="AN17" s="450">
        <f>INPUT!BM528</f>
        <v>129</v>
      </c>
      <c r="AO17" s="450">
        <f>INPUT!BN528</f>
        <v>-1.5267175572519136</v>
      </c>
      <c r="AP17" s="450">
        <f>INPUT!BO528</f>
        <v>128</v>
      </c>
      <c r="AQ17" s="450">
        <f>INPUT!BP528</f>
        <v>-10.489510489510494</v>
      </c>
      <c r="AR17" s="450">
        <f>INPUT!BQ528</f>
        <v>167</v>
      </c>
      <c r="AS17" s="450">
        <f>INPUT!BR528</f>
        <v>14.383561643835606</v>
      </c>
      <c r="AT17" s="450">
        <f>INPUT!BS528</f>
        <v>167</v>
      </c>
      <c r="AU17" s="450">
        <f>INPUT!BT528</f>
        <v>4.375</v>
      </c>
      <c r="AV17" s="450">
        <f>INPUT!BU528</f>
        <v>151</v>
      </c>
      <c r="AW17" s="450">
        <f>INPUT!BV528</f>
        <v>17.054263565891475</v>
      </c>
      <c r="AX17" s="450">
        <f>INPUT!BW528</f>
        <v>141</v>
      </c>
      <c r="AY17" s="450">
        <f>INPUT!BX528</f>
        <v>10.15625</v>
      </c>
      <c r="AZ17" s="450">
        <f>INPUT!BY528</f>
        <v>137</v>
      </c>
      <c r="BA17" s="450">
        <f>INPUT!BZ528</f>
        <v>-17.964071856287418</v>
      </c>
      <c r="BB17" s="450">
        <f>INPUT!CA528</f>
        <v>197</v>
      </c>
      <c r="BC17" s="450">
        <f>INPUT!CB528</f>
        <v>17.964071856287433</v>
      </c>
      <c r="BD17" s="450">
        <f>INPUT!CC528</f>
        <v>156</v>
      </c>
      <c r="BE17" s="450">
        <f>INPUT!CD528</f>
        <v>3.3112582781456865</v>
      </c>
      <c r="BF17" s="450">
        <f>INPUT!CE528</f>
        <v>156</v>
      </c>
      <c r="BG17" s="450">
        <f>INPUT!CF528</f>
        <v>10.638297872340431</v>
      </c>
      <c r="BH17" s="450">
        <f>INPUT!CG528</f>
        <v>163</v>
      </c>
      <c r="BI17" s="450">
        <f>INPUT!CH528</f>
        <v>18.978102189781026</v>
      </c>
      <c r="BJ17" s="450">
        <f>INPUT!CI528</f>
        <v>199</v>
      </c>
      <c r="BK17" s="450">
        <f>INPUT!CJ528</f>
        <v>1.0152284263959359</v>
      </c>
      <c r="BL17" s="450">
        <f>INPUT!CK528</f>
        <v>182</v>
      </c>
      <c r="BM17" s="450">
        <f>INPUT!CL528</f>
        <v>16.666666666666671</v>
      </c>
      <c r="BN17" s="450">
        <f>INPUT!CM528</f>
        <v>221.6</v>
      </c>
      <c r="BO17" s="450">
        <f>INPUT!CN528</f>
        <v>42.051282051282044</v>
      </c>
      <c r="BP17" s="450">
        <f>INPUT!CO528</f>
        <v>270</v>
      </c>
      <c r="BQ17" s="450">
        <f>INPUT!CP528</f>
        <v>65.644171779141089</v>
      </c>
      <c r="BR17" s="450">
        <f>INPUT!CQ528</f>
        <v>288</v>
      </c>
      <c r="BS17" s="450">
        <f>INPUT!CR528</f>
        <v>44.723618090452277</v>
      </c>
      <c r="BT17" s="450">
        <f>INPUT!CS528</f>
        <v>296</v>
      </c>
      <c r="BU17" s="450">
        <f>INPUT!CT528</f>
        <v>62.637362637362628</v>
      </c>
      <c r="BV17" s="450">
        <f>INPUT!CU528</f>
        <v>272</v>
      </c>
      <c r="BW17" s="450">
        <f>INPUT!CV528</f>
        <v>22.743682310469325</v>
      </c>
      <c r="BX17" s="450">
        <f>INPUT!CW528</f>
        <v>342</v>
      </c>
      <c r="BY17" s="450">
        <f>INPUT!CX528</f>
        <v>26.666666666666657</v>
      </c>
      <c r="BZ17" s="450">
        <f>INPUT!CY528</f>
        <v>363</v>
      </c>
      <c r="CA17" s="450">
        <f>INPUT!CZ528</f>
        <v>26.041666666666671</v>
      </c>
      <c r="CB17" s="450">
        <f>INPUT!DA528</f>
        <v>325</v>
      </c>
      <c r="CC17" s="450">
        <f>INPUT!DB528</f>
        <v>9.7972972972973054</v>
      </c>
      <c r="CD17" s="450">
        <f>INPUT!DC528</f>
        <v>392</v>
      </c>
      <c r="CE17" s="450">
        <f>INPUT!DD528</f>
        <v>44.117647058823536</v>
      </c>
      <c r="CF17" s="450">
        <f>INPUT!DE528</f>
        <v>431</v>
      </c>
      <c r="CG17" s="450">
        <f>INPUT!DF528</f>
        <v>26.023391812865498</v>
      </c>
      <c r="CH17" s="450">
        <f>INPUT!DG528</f>
        <v>470</v>
      </c>
      <c r="CI17" s="450">
        <f>INPUT!DH528</f>
        <v>29.476584022038566</v>
      </c>
      <c r="CJ17" s="450">
        <f>INPUT!DI528</f>
        <v>378</v>
      </c>
      <c r="CK17" s="450">
        <f>INPUT!DJ528</f>
        <v>16.307692307692307</v>
      </c>
      <c r="CL17" s="450">
        <f>INPUT!DK528</f>
        <v>418</v>
      </c>
      <c r="CM17" s="450">
        <f>INPUT!DL528</f>
        <v>6.6326530612244881</v>
      </c>
      <c r="CN17" s="450">
        <f>INPUT!DM528</f>
        <v>502</v>
      </c>
      <c r="CO17" s="450">
        <f>INPUT!DN528</f>
        <v>16.473317865429223</v>
      </c>
      <c r="CP17" s="450">
        <f>INPUT!DO528</f>
        <v>446</v>
      </c>
      <c r="CQ17" s="450">
        <f>INPUT!DP528</f>
        <v>-5.1063829787234027</v>
      </c>
      <c r="CR17" s="450">
        <f>INPUT!DQ528</f>
        <v>385</v>
      </c>
      <c r="CS17" s="450">
        <f>INPUT!DR528</f>
        <v>1.8518518518518619</v>
      </c>
      <c r="CT17" s="450">
        <f>INPUT!DS528</f>
        <v>395</v>
      </c>
      <c r="CU17" s="450">
        <f>INPUT!DT528</f>
        <v>-5.5023923444976077</v>
      </c>
      <c r="CV17" s="450">
        <f>INPUT!DU528</f>
        <v>471</v>
      </c>
      <c r="CW17" s="450">
        <f>INPUT!DV528</f>
        <v>-6.1752988047808657</v>
      </c>
      <c r="CX17" s="450">
        <f>INPUT!DW528</f>
        <v>414</v>
      </c>
      <c r="CY17" s="450">
        <f>INPUT!DX528</f>
        <v>-7.1748878923766739</v>
      </c>
      <c r="CZ17" s="450">
        <f>INPUT!DY528</f>
        <v>371</v>
      </c>
      <c r="DA17" s="450">
        <f>INPUT!DZ528</f>
        <v>-3.6363636363636402</v>
      </c>
      <c r="DB17" s="450">
        <f>INPUT!EA528</f>
        <v>369</v>
      </c>
      <c r="DC17" s="450">
        <f>INPUT!EB528</f>
        <v>-6.5822784810126649</v>
      </c>
      <c r="DD17" s="450">
        <f>INPUT!EC528</f>
        <v>494</v>
      </c>
      <c r="DE17" s="450">
        <f>INPUT!ED528</f>
        <v>4.8832271762207995</v>
      </c>
      <c r="DF17" s="450">
        <f>INPUT!EE528</f>
        <v>389</v>
      </c>
      <c r="DG17" s="450">
        <f>INPUT!EF528</f>
        <v>-6.0386473429951764</v>
      </c>
      <c r="DH17" s="450">
        <f>INPUT!EG528</f>
        <v>360</v>
      </c>
      <c r="DI17" s="450">
        <f>INPUT!EH528</f>
        <v>-2.9649595687331498</v>
      </c>
      <c r="DJ17" s="450">
        <f>INPUT!EI528</f>
        <v>391</v>
      </c>
      <c r="DK17" s="450">
        <f>INPUT!EJ528</f>
        <v>5.9620596205962215</v>
      </c>
      <c r="DL17" s="450">
        <f>INPUT!EK528</f>
        <v>473</v>
      </c>
      <c r="DM17" s="450">
        <f>INPUT!EL528</f>
        <v>-4.2510121457489873</v>
      </c>
      <c r="DN17" s="450">
        <f>INPUT!EM528</f>
        <v>426</v>
      </c>
      <c r="DO17" s="450">
        <f>INPUT!EN528</f>
        <v>9.5115681233933174</v>
      </c>
      <c r="DP17" s="450">
        <f>INPUT!EO528</f>
        <v>394</v>
      </c>
      <c r="DQ17" s="450">
        <f>INPUT!EP528</f>
        <v>9.4444444444444571</v>
      </c>
      <c r="DR17" s="450">
        <f>INPUT!EQ528</f>
        <v>418.40083542574803</v>
      </c>
      <c r="DS17" s="450">
        <f>INPUT!ER528</f>
        <v>7.0078862981452801</v>
      </c>
      <c r="DT17" s="450">
        <f>INPUT!ES528</f>
        <v>440.44495489295241</v>
      </c>
      <c r="DU17" s="450">
        <f>INPUT!ET528</f>
        <v>-6.8826733841538328</v>
      </c>
      <c r="DV17" s="450">
        <f>INPUT!EU528</f>
        <v>423.59151031461124</v>
      </c>
      <c r="DW17" s="450">
        <f>INPUT!EV528</f>
        <v>-0.56537316558421935</v>
      </c>
      <c r="DX17" s="450">
        <f>INPUT!EW528</f>
        <v>402.3062130630633</v>
      </c>
      <c r="DY17" s="450">
        <f>INPUT!EX528</f>
        <v>2.1081759043307926</v>
      </c>
      <c r="DZ17" s="450">
        <f>INPUT!EY528</f>
        <v>0</v>
      </c>
      <c r="EA17" s="438"/>
      <c r="EB17" s="439" t="str">
        <f>INPUT!FI530</f>
        <v>NM</v>
      </c>
      <c r="EC17" s="449">
        <f>INPUT!FJ530</f>
        <v>751</v>
      </c>
      <c r="ED17" s="439">
        <f>INPUT!FK530</f>
        <v>15.360983102918581</v>
      </c>
      <c r="EE17" s="449">
        <f>INPUT!FL530</f>
        <v>818</v>
      </c>
      <c r="EF17" s="439">
        <f>INPUT!FM530</f>
        <v>8.9214380825565911</v>
      </c>
      <c r="EG17" s="449">
        <f>INPUT!FN530</f>
        <v>1013</v>
      </c>
      <c r="EH17" s="439">
        <f>INPUT!FO530</f>
        <v>23.838630806845956</v>
      </c>
      <c r="EI17" s="450">
        <f>INPUT!FP530</f>
        <v>1366</v>
      </c>
      <c r="EJ17" s="438">
        <f>INPUT!FQ530</f>
        <v>34.846989141164869</v>
      </c>
      <c r="EK17" s="450">
        <f>INPUT!FR530</f>
        <v>1541</v>
      </c>
      <c r="EL17" s="438">
        <f>INPUT!FS530</f>
        <v>12.811127379209381</v>
      </c>
      <c r="EM17" s="450">
        <f>INPUT!FT530</f>
        <v>1830</v>
      </c>
      <c r="EN17" s="438">
        <f>INPUT!FU530</f>
        <v>18.754055807916941</v>
      </c>
      <c r="EO17" s="450">
        <f>INPUT!FV530</f>
        <v>1228</v>
      </c>
      <c r="EP17" s="438">
        <f>INPUT!FW530</f>
        <v>-32.896174863387984</v>
      </c>
      <c r="EQ17" s="450">
        <f>INPUT!FX530</f>
        <v>1657</v>
      </c>
      <c r="ER17" s="438">
        <f>INPUT!FY530</f>
        <v>34.934853420195452</v>
      </c>
      <c r="ES17" s="450">
        <f>INPUT!FZ530</f>
        <v>1849</v>
      </c>
      <c r="ET17" s="438">
        <f>INPUT!GA530</f>
        <v>11.587205793602905</v>
      </c>
      <c r="EU17" s="450">
        <f>INPUT!GB530</f>
        <v>2334.1</v>
      </c>
      <c r="EV17" s="438">
        <f>INPUT!GC530</f>
        <v>26.235803136830711</v>
      </c>
      <c r="EW17" s="450">
        <f>INPUT!GD530</f>
        <v>2763</v>
      </c>
      <c r="EX17" s="450">
        <f>INPUT!GE528</f>
        <v>21.048716995165506</v>
      </c>
      <c r="EY17" s="450">
        <f>INPUT!GF528</f>
        <v>1671</v>
      </c>
      <c r="EZ17" s="450">
        <f>INPUT!GG528</f>
        <v>28.341013824884783</v>
      </c>
      <c r="FA17" s="450">
        <f>INPUT!GH528</f>
        <v>1751</v>
      </c>
      <c r="FB17" s="450">
        <f>INPUT!GI528</f>
        <v>4.7875523638539761</v>
      </c>
      <c r="FC17" s="450">
        <f>INPUT!GJ528</f>
        <v>1651</v>
      </c>
      <c r="FD17" s="450">
        <f>INPUT!GK528</f>
        <v>-5.7110222729868667</v>
      </c>
      <c r="FE17" s="450">
        <f>INPUT!GL528</f>
        <v>1612</v>
      </c>
      <c r="FF17" s="450">
        <f>INPUT!GM528</f>
        <v>-2.3622047244094517</v>
      </c>
      <c r="FG17" s="450">
        <f>INPUT!GN528</f>
        <v>1684</v>
      </c>
      <c r="FH17" s="450">
        <f>INPUT!GO528</f>
        <v>4.4665012406947824</v>
      </c>
      <c r="FI17" s="450">
        <f>INPUT!GP528</f>
        <v>1684.7435136963741</v>
      </c>
      <c r="FJ17" s="450">
        <f>INPUT!GQ528</f>
        <v>4.4151644677796753E-2</v>
      </c>
      <c r="FK17" s="450">
        <f>INPUT!GR528</f>
        <v>1698.5578145540567</v>
      </c>
      <c r="FL17" s="450">
        <f>INPUT!GS528</f>
        <v>0.8199646263883551</v>
      </c>
      <c r="FM17" s="450">
        <f>INPUT!GT528</f>
        <v>1701.199982699598</v>
      </c>
      <c r="FN17" s="450">
        <f>INPUT!GU528</f>
        <v>0.1555536186582458</v>
      </c>
      <c r="FO17" s="450">
        <f>INPUT!GV528</f>
        <v>1703.7247384265938</v>
      </c>
      <c r="FP17" s="450">
        <f>INPUT!GW528</f>
        <v>0.14841028407425938</v>
      </c>
      <c r="FQ17" s="450">
        <f>INPUT!GX528</f>
        <v>1706.1294692698593</v>
      </c>
      <c r="FR17" s="450">
        <f>INPUT!GY528</f>
        <v>0.14114550249979629</v>
      </c>
      <c r="FS17" s="862">
        <f>INPUT!GZ528</f>
        <v>0.26144960321734523</v>
      </c>
    </row>
    <row r="18" spans="1:175" s="529" customFormat="1" ht="12.75" customHeight="1" x14ac:dyDescent="0.2">
      <c r="A18" s="829" t="str">
        <f>INPUT!B530</f>
        <v>International Division</v>
      </c>
      <c r="B18" s="450">
        <f>INPUT!AA530</f>
        <v>177</v>
      </c>
      <c r="C18" s="450">
        <f>INPUT!AB530</f>
        <v>-13.235294117647058</v>
      </c>
      <c r="D18" s="450">
        <f>INPUT!AC530</f>
        <v>216</v>
      </c>
      <c r="E18" s="450">
        <f>INPUT!AD530</f>
        <v>18.032786885245898</v>
      </c>
      <c r="F18" s="450">
        <f>INPUT!AE530</f>
        <v>223</v>
      </c>
      <c r="G18" s="450">
        <f>INPUT!AF530</f>
        <v>18.61702127659575</v>
      </c>
      <c r="H18" s="450">
        <f>INPUT!AG530</f>
        <v>191</v>
      </c>
      <c r="I18" s="450">
        <f>INPUT!AH530</f>
        <v>8.5227272727272663</v>
      </c>
      <c r="J18" s="450">
        <f>INPUT!AI530</f>
        <v>220</v>
      </c>
      <c r="K18" s="450">
        <f>INPUT!AJ530</f>
        <v>24.293785310734478</v>
      </c>
      <c r="L18" s="450">
        <f>INPUT!AK530</f>
        <v>264</v>
      </c>
      <c r="M18" s="450">
        <f>INPUT!AL530</f>
        <v>22.222222222222229</v>
      </c>
      <c r="N18" s="450">
        <f>INPUT!AM530</f>
        <v>258</v>
      </c>
      <c r="O18" s="450">
        <f>INPUT!AN530</f>
        <v>15.695067264573993</v>
      </c>
      <c r="P18" s="450">
        <f>INPUT!AO530</f>
        <v>267</v>
      </c>
      <c r="Q18" s="450">
        <f>INPUT!AP530</f>
        <v>39.790575916230353</v>
      </c>
      <c r="R18" s="450">
        <f>INPUT!AQ530</f>
        <v>303</v>
      </c>
      <c r="S18" s="450">
        <f>INPUT!AR530</f>
        <v>37.72727272727272</v>
      </c>
      <c r="T18" s="450">
        <f>INPUT!AS530</f>
        <v>314</v>
      </c>
      <c r="U18" s="450">
        <f>INPUT!AT530</f>
        <v>18.939393939393938</v>
      </c>
      <c r="V18" s="450">
        <f>INPUT!AU530</f>
        <v>363</v>
      </c>
      <c r="W18" s="450">
        <f>INPUT!AV530</f>
        <v>40.697674418604663</v>
      </c>
      <c r="X18" s="450">
        <f>INPUT!AW530</f>
        <v>368</v>
      </c>
      <c r="Y18" s="450">
        <f>INPUT!AX530</f>
        <v>37.827715355805253</v>
      </c>
      <c r="Z18" s="450">
        <f>INPUT!AY530</f>
        <v>368</v>
      </c>
      <c r="AA18" s="450">
        <f>INPUT!AZ530</f>
        <v>21.452145214521451</v>
      </c>
      <c r="AB18" s="450">
        <f>INPUT!BA530</f>
        <v>391</v>
      </c>
      <c r="AC18" s="450">
        <f>INPUT!BB530</f>
        <v>24.522292993630572</v>
      </c>
      <c r="AD18" s="450">
        <f>INPUT!BC530</f>
        <v>403</v>
      </c>
      <c r="AE18" s="450">
        <f>INPUT!BD530</f>
        <v>11.019283746556468</v>
      </c>
      <c r="AF18" s="450">
        <f>INPUT!BE530</f>
        <v>397</v>
      </c>
      <c r="AG18" s="450">
        <f>INPUT!BF530</f>
        <v>7.8804347826086882</v>
      </c>
      <c r="AH18" s="450">
        <f>INPUT!BG530</f>
        <v>446</v>
      </c>
      <c r="AI18" s="450">
        <f>INPUT!BH530</f>
        <v>21.195652173913032</v>
      </c>
      <c r="AJ18" s="450">
        <f>INPUT!BI530</f>
        <v>442</v>
      </c>
      <c r="AK18" s="450">
        <f>INPUT!BJ530</f>
        <v>13.043478260869563</v>
      </c>
      <c r="AL18" s="450">
        <f>INPUT!BK530</f>
        <v>517</v>
      </c>
      <c r="AM18" s="450">
        <f>INPUT!BL530</f>
        <v>28.287841191067002</v>
      </c>
      <c r="AN18" s="450">
        <f>INPUT!BM530</f>
        <v>450</v>
      </c>
      <c r="AO18" s="450">
        <f>INPUT!BN530</f>
        <v>13.350125944584377</v>
      </c>
      <c r="AP18" s="450">
        <f>INPUT!BO530</f>
        <v>439</v>
      </c>
      <c r="AQ18" s="450">
        <f>INPUT!BP530</f>
        <v>-1.569506726457405</v>
      </c>
      <c r="AR18" s="450">
        <f>INPUT!BQ530</f>
        <v>466</v>
      </c>
      <c r="AS18" s="450">
        <f>INPUT!BR530</f>
        <v>5.4298642533936743</v>
      </c>
      <c r="AT18" s="450">
        <f>INPUT!BS530</f>
        <v>473</v>
      </c>
      <c r="AU18" s="450">
        <f>INPUT!BT530</f>
        <v>-8.5106382978723474</v>
      </c>
      <c r="AV18" s="450">
        <f>INPUT!BU530</f>
        <v>444</v>
      </c>
      <c r="AW18" s="450">
        <f>INPUT!BV530</f>
        <v>-1.3333333333333286</v>
      </c>
      <c r="AX18" s="450">
        <f>INPUT!BW530</f>
        <v>439</v>
      </c>
      <c r="AY18" s="450">
        <f>INPUT!BX530</f>
        <v>0</v>
      </c>
      <c r="AZ18" s="450">
        <f>INPUT!BY530</f>
        <v>459</v>
      </c>
      <c r="BA18" s="450">
        <f>INPUT!BZ530</f>
        <v>-1.5021459227467773</v>
      </c>
      <c r="BB18" s="450">
        <f>INPUT!CA530</f>
        <v>492</v>
      </c>
      <c r="BC18" s="450">
        <f>INPUT!CB530</f>
        <v>4.0169133192388955</v>
      </c>
      <c r="BD18" s="450">
        <f>INPUT!CC530</f>
        <v>458</v>
      </c>
      <c r="BE18" s="450">
        <f>INPUT!CD530</f>
        <v>3.1531531531531414</v>
      </c>
      <c r="BF18" s="450">
        <f>INPUT!CE530</f>
        <v>454</v>
      </c>
      <c r="BG18" s="450">
        <f>INPUT!CF530</f>
        <v>3.4168564920273354</v>
      </c>
      <c r="BH18" s="450">
        <f>INPUT!CG530</f>
        <v>428</v>
      </c>
      <c r="BI18" s="450">
        <f>INPUT!CH530</f>
        <v>-6.753812636165577</v>
      </c>
      <c r="BJ18" s="450">
        <f>INPUT!CI530</f>
        <v>495</v>
      </c>
      <c r="BK18" s="450">
        <f>INPUT!CJ530</f>
        <v>0.60975609756097526</v>
      </c>
      <c r="BL18" s="450">
        <f>INPUT!CK530</f>
        <v>472</v>
      </c>
      <c r="BM18" s="450">
        <f>INPUT!CL530</f>
        <v>3.0567685589519584</v>
      </c>
      <c r="BN18" s="450">
        <f>INPUT!CM530</f>
        <v>540.1</v>
      </c>
      <c r="BO18" s="450">
        <f>INPUT!CN530</f>
        <v>18.964757709251103</v>
      </c>
      <c r="BP18" s="450">
        <f>INPUT!CO530</f>
        <v>579</v>
      </c>
      <c r="BQ18" s="450">
        <f>INPUT!CP530</f>
        <v>35.280373831775705</v>
      </c>
      <c r="BR18" s="450">
        <f>INPUT!CQ530</f>
        <v>619</v>
      </c>
      <c r="BS18" s="450">
        <f>INPUT!CR530</f>
        <v>25.050505050505052</v>
      </c>
      <c r="BT18" s="450">
        <f>INPUT!CS530</f>
        <v>596</v>
      </c>
      <c r="BU18" s="450">
        <f>INPUT!CT530</f>
        <v>26.271186440677965</v>
      </c>
      <c r="BV18" s="450">
        <f>INPUT!CU530</f>
        <v>654</v>
      </c>
      <c r="BW18" s="450">
        <f>INPUT!CV530</f>
        <v>21.088687280133314</v>
      </c>
      <c r="BX18" s="450">
        <f>INPUT!CW530</f>
        <v>716</v>
      </c>
      <c r="BY18" s="450">
        <f>INPUT!CX530</f>
        <v>23.661485319516416</v>
      </c>
      <c r="BZ18" s="450">
        <f>INPUT!CY530</f>
        <v>736</v>
      </c>
      <c r="CA18" s="450">
        <f>INPUT!CZ530</f>
        <v>18.901453957996765</v>
      </c>
      <c r="CB18" s="450">
        <f>INPUT!DA530</f>
        <v>657</v>
      </c>
      <c r="CC18" s="450">
        <f>INPUT!DB530</f>
        <v>10.234899328859058</v>
      </c>
      <c r="CD18" s="450">
        <f>INPUT!DC530</f>
        <v>814</v>
      </c>
      <c r="CE18" s="450">
        <f>INPUT!DD530</f>
        <v>24.464831804281346</v>
      </c>
      <c r="CF18" s="450">
        <f>INPUT!DE530</f>
        <v>799</v>
      </c>
      <c r="CG18" s="450">
        <f>INPUT!DF530</f>
        <v>11.592178770949715</v>
      </c>
      <c r="CH18" s="450">
        <f>INPUT!DG530</f>
        <v>875</v>
      </c>
      <c r="CI18" s="450">
        <f>INPUT!DH530</f>
        <v>18.885869565217376</v>
      </c>
      <c r="CJ18" s="450">
        <f>INPUT!DI530</f>
        <v>759</v>
      </c>
      <c r="CK18" s="450">
        <f>INPUT!DJ530</f>
        <v>15.525114155251146</v>
      </c>
      <c r="CL18" s="450">
        <f>INPUT!DK530</f>
        <v>853</v>
      </c>
      <c r="CM18" s="450">
        <f>INPUT!DL530</f>
        <v>4.7911547911547956</v>
      </c>
      <c r="CN18" s="450">
        <f>INPUT!DM530</f>
        <v>884</v>
      </c>
      <c r="CO18" s="450">
        <f>INPUT!DN530</f>
        <v>10.638297872340431</v>
      </c>
      <c r="CP18" s="450">
        <f>INPUT!DO530</f>
        <v>843</v>
      </c>
      <c r="CQ18" s="450">
        <f>INPUT!DP530</f>
        <v>-3.6571428571428584</v>
      </c>
      <c r="CR18" s="450">
        <f>INPUT!DQ530</f>
        <v>767</v>
      </c>
      <c r="CS18" s="450">
        <f>INPUT!DR530</f>
        <v>1.0540184453227965</v>
      </c>
      <c r="CT18" s="450">
        <f>INPUT!DS530</f>
        <v>834</v>
      </c>
      <c r="CU18" s="450">
        <f>INPUT!DT530</f>
        <v>-2.2274325908557984</v>
      </c>
      <c r="CV18" s="450">
        <f>INPUT!DU530</f>
        <v>863</v>
      </c>
      <c r="CW18" s="450">
        <f>INPUT!DV530</f>
        <v>-2.3755656108597378</v>
      </c>
      <c r="CX18" s="450">
        <f>INPUT!DW530</f>
        <v>812</v>
      </c>
      <c r="CY18" s="450">
        <f>INPUT!DX530</f>
        <v>-3.6773428232502994</v>
      </c>
      <c r="CZ18" s="450">
        <f>INPUT!DY530</f>
        <v>738</v>
      </c>
      <c r="DA18" s="450">
        <f>INPUT!DZ530</f>
        <v>-3.7809647979139527</v>
      </c>
      <c r="DB18" s="450">
        <f>INPUT!EA530</f>
        <v>779</v>
      </c>
      <c r="DC18" s="450">
        <f>INPUT!EB530</f>
        <v>-6.5947242206235046</v>
      </c>
      <c r="DD18" s="450">
        <f>INPUT!EC530</f>
        <v>837</v>
      </c>
      <c r="DE18" s="450">
        <f>INPUT!ED530</f>
        <v>-3.0127462340672082</v>
      </c>
      <c r="DF18" s="450">
        <f>INPUT!EE530</f>
        <v>780</v>
      </c>
      <c r="DG18" s="450">
        <f>INPUT!EF530</f>
        <v>-3.9408866995073879</v>
      </c>
      <c r="DH18" s="450">
        <f>INPUT!EG530</f>
        <v>755</v>
      </c>
      <c r="DI18" s="450">
        <f>INPUT!EH530</f>
        <v>2.3035230352303557</v>
      </c>
      <c r="DJ18" s="450">
        <f>INPUT!EI530</f>
        <v>799</v>
      </c>
      <c r="DK18" s="450">
        <f>INPUT!EJ530</f>
        <v>2.5673940949935741</v>
      </c>
      <c r="DL18" s="450">
        <f>INPUT!EK530</f>
        <v>869</v>
      </c>
      <c r="DM18" s="450">
        <f>INPUT!EL530</f>
        <v>3.823178016726402</v>
      </c>
      <c r="DN18" s="450">
        <f>INPUT!EM530</f>
        <v>799</v>
      </c>
      <c r="DO18" s="450">
        <f>INPUT!EN530</f>
        <v>2.4358974358974308</v>
      </c>
      <c r="DP18" s="450">
        <f>INPUT!EO530</f>
        <v>777</v>
      </c>
      <c r="DQ18" s="450">
        <f>INPUT!EP530</f>
        <v>2.9139072847682144</v>
      </c>
      <c r="DR18" s="450">
        <f>INPUT!EQ530</f>
        <v>852.70015794827032</v>
      </c>
      <c r="DS18" s="450">
        <f>INPUT!ER530</f>
        <v>6.7209208946521102</v>
      </c>
      <c r="DT18" s="450">
        <f>INPUT!ES530</f>
        <v>843.72876065871833</v>
      </c>
      <c r="DU18" s="450">
        <f>INPUT!ET530</f>
        <v>-2.908082778053128</v>
      </c>
      <c r="DV18" s="450">
        <f>INPUT!EU530</f>
        <v>813.91301517947613</v>
      </c>
      <c r="DW18" s="450">
        <f>INPUT!EV530</f>
        <v>1.8664599724000226</v>
      </c>
      <c r="DX18" s="450">
        <f>INPUT!EW530</f>
        <v>800.66413558558588</v>
      </c>
      <c r="DY18" s="450">
        <f>INPUT!EX530</f>
        <v>3.045577295442186</v>
      </c>
      <c r="DZ18" s="450">
        <f>INPUT!EY530</f>
        <v>0</v>
      </c>
      <c r="EA18" s="438"/>
      <c r="EB18" s="439">
        <f>INPUT!FI531</f>
        <v>63.15789473684211</v>
      </c>
      <c r="EC18" s="449">
        <f>INPUT!FJ531</f>
        <v>160</v>
      </c>
      <c r="ED18" s="439" t="str">
        <f>INPUT!FK531</f>
        <v>NM</v>
      </c>
      <c r="EE18" s="449">
        <f>INPUT!FL531</f>
        <v>91</v>
      </c>
      <c r="EF18" s="439">
        <f>INPUT!FM531</f>
        <v>-43.125</v>
      </c>
      <c r="EG18" s="449">
        <f>INPUT!FN531</f>
        <v>194</v>
      </c>
      <c r="EH18" s="439" t="str">
        <f>INPUT!FO531</f>
        <v>NM</v>
      </c>
      <c r="EI18" s="450">
        <f>INPUT!FP531</f>
        <v>172</v>
      </c>
      <c r="EJ18" s="438">
        <f>INPUT!FQ531</f>
        <v>-11.340206185567013</v>
      </c>
      <c r="EK18" s="450">
        <f>INPUT!FR531</f>
        <v>28</v>
      </c>
      <c r="EL18" s="438" t="str">
        <f>INPUT!FS531</f>
        <v>NM</v>
      </c>
      <c r="EM18" s="450">
        <f>INPUT!FT531</f>
        <v>-114.39999999999998</v>
      </c>
      <c r="EN18" s="438" t="str">
        <f>INPUT!FU531</f>
        <v>NM</v>
      </c>
      <c r="EO18" s="450">
        <f>INPUT!FV531</f>
        <v>-182</v>
      </c>
      <c r="EP18" s="438">
        <f>INPUT!FW531</f>
        <v>59.090909090909122</v>
      </c>
      <c r="EQ18" s="450">
        <f>INPUT!FX531</f>
        <v>-788</v>
      </c>
      <c r="ER18" s="438" t="str">
        <f>INPUT!FY531</f>
        <v>NM</v>
      </c>
      <c r="ES18" s="450">
        <f>INPUT!FZ531</f>
        <v>-949</v>
      </c>
      <c r="ET18" s="438">
        <f>INPUT!GA531</f>
        <v>20.431472081218274</v>
      </c>
      <c r="EU18" s="450">
        <f>INPUT!GB531</f>
        <v>-1021</v>
      </c>
      <c r="EV18" s="438">
        <f>INPUT!GC531</f>
        <v>7.5869336143308743</v>
      </c>
      <c r="EW18" s="450">
        <f>INPUT!GD531</f>
        <v>-1174</v>
      </c>
      <c r="EX18" s="450">
        <f>INPUT!GE530</f>
        <v>18.375390942975883</v>
      </c>
      <c r="EY18" s="450">
        <f>INPUT!GF530</f>
        <v>3247</v>
      </c>
      <c r="EZ18" s="450">
        <f>INPUT!GG530</f>
        <v>17.517191458559552</v>
      </c>
      <c r="FA18" s="450">
        <f>INPUT!GH530</f>
        <v>3347</v>
      </c>
      <c r="FB18" s="450">
        <f>INPUT!GI530</f>
        <v>3.0797659377887356</v>
      </c>
      <c r="FC18" s="450">
        <f>INPUT!GJ530</f>
        <v>3247</v>
      </c>
      <c r="FD18" s="450">
        <f>INPUT!GK530</f>
        <v>-2.9877502240812674</v>
      </c>
      <c r="FE18" s="450">
        <f>INPUT!GL530</f>
        <v>3151</v>
      </c>
      <c r="FF18" s="450">
        <f>INPUT!GM530</f>
        <v>-2.95657530027718</v>
      </c>
      <c r="FG18" s="450">
        <f>INPUT!GN530</f>
        <v>3244</v>
      </c>
      <c r="FH18" s="450">
        <f>INPUT!GO530</f>
        <v>2.9514439860361676</v>
      </c>
      <c r="FI18" s="450">
        <f>INPUT!GP530</f>
        <v>3311.0060693720498</v>
      </c>
      <c r="FJ18" s="450">
        <f>INPUT!GQ530</f>
        <v>2.0655385133184296</v>
      </c>
      <c r="FK18" s="450">
        <f>INPUT!GR530</f>
        <v>3389.2492724567583</v>
      </c>
      <c r="FL18" s="450">
        <f>INPUT!GS530</f>
        <v>2.3631247253964602</v>
      </c>
      <c r="FM18" s="450">
        <f>INPUT!GT530</f>
        <v>3458.8291229184088</v>
      </c>
      <c r="FN18" s="450">
        <f>INPUT!GU530</f>
        <v>2.0529575982239265</v>
      </c>
      <c r="FO18" s="450">
        <f>INPUT!GV530</f>
        <v>3530.8931708941545</v>
      </c>
      <c r="FP18" s="450">
        <f>INPUT!GW530</f>
        <v>2.0834810109075619</v>
      </c>
      <c r="FQ18" s="450">
        <f>INPUT!GX530</f>
        <v>3605.5345196065246</v>
      </c>
      <c r="FR18" s="450">
        <f>INPUT!GY530</f>
        <v>2.1139509211905079</v>
      </c>
      <c r="FS18" s="862">
        <f>INPUT!GZ530</f>
        <v>2.135745325800964</v>
      </c>
    </row>
    <row r="19" spans="1:175" s="529" customFormat="1" hidden="1" outlineLevel="1" x14ac:dyDescent="0.2">
      <c r="A19" s="829"/>
      <c r="B19" s="450">
        <f>INPUT!AA531</f>
        <v>18</v>
      </c>
      <c r="C19" s="450">
        <f>INPUT!AB531</f>
        <v>80</v>
      </c>
      <c r="D19" s="450">
        <f>INPUT!AC531</f>
        <v>-1</v>
      </c>
      <c r="E19" s="450" t="str">
        <f>INPUT!AD531</f>
        <v>NM</v>
      </c>
      <c r="F19" s="450">
        <f>INPUT!AE531</f>
        <v>32</v>
      </c>
      <c r="G19" s="450" t="str">
        <f>INPUT!AF531</f>
        <v>NM</v>
      </c>
      <c r="H19" s="450">
        <f>INPUT!AG531</f>
        <v>42</v>
      </c>
      <c r="I19" s="450" t="str">
        <f>INPUT!AH531</f>
        <v>NM</v>
      </c>
      <c r="J19" s="450">
        <f>INPUT!AI531</f>
        <v>23</v>
      </c>
      <c r="K19" s="450">
        <f>INPUT!AJ531</f>
        <v>27.777777777777771</v>
      </c>
      <c r="L19" s="450">
        <f>INPUT!AK531</f>
        <v>69</v>
      </c>
      <c r="M19" s="450" t="str">
        <f>INPUT!AL531</f>
        <v>NM</v>
      </c>
      <c r="N19" s="450">
        <f>INPUT!AM531</f>
        <v>57</v>
      </c>
      <c r="O19" s="450">
        <f>INPUT!AN531</f>
        <v>78.125</v>
      </c>
      <c r="P19" s="450">
        <f>INPUT!AO531</f>
        <v>45</v>
      </c>
      <c r="Q19" s="450">
        <f>INPUT!AP531</f>
        <v>7.1428571428571388</v>
      </c>
      <c r="R19" s="450">
        <f>INPUT!AQ531</f>
        <v>17</v>
      </c>
      <c r="S19" s="450">
        <f>INPUT!AR531</f>
        <v>-26.08695652173914</v>
      </c>
      <c r="T19" s="450">
        <f>INPUT!AS531</f>
        <v>59</v>
      </c>
      <c r="U19" s="450">
        <f>INPUT!AT531</f>
        <v>-14.492753623188406</v>
      </c>
      <c r="V19" s="450">
        <f>INPUT!AU531</f>
        <v>50</v>
      </c>
      <c r="W19" s="450">
        <f>INPUT!AV531</f>
        <v>-12.280701754385973</v>
      </c>
      <c r="X19" s="450">
        <f>INPUT!AW531</f>
        <v>46</v>
      </c>
      <c r="Y19" s="450">
        <f>INPUT!AX531</f>
        <v>2.2222222222222143</v>
      </c>
      <c r="Z19" s="450">
        <f>INPUT!AY531</f>
        <v>16</v>
      </c>
      <c r="AA19" s="450">
        <f>INPUT!AZ531</f>
        <v>-5.8823529411764781</v>
      </c>
      <c r="AB19" s="450">
        <f>INPUT!BA531</f>
        <v>40</v>
      </c>
      <c r="AC19" s="450">
        <f>INPUT!BB531</f>
        <v>-32.203389830508485</v>
      </c>
      <c r="AD19" s="450">
        <f>INPUT!BC531</f>
        <v>4</v>
      </c>
      <c r="AE19" s="450" t="str">
        <f>INPUT!BD531</f>
        <v>NM</v>
      </c>
      <c r="AF19" s="450">
        <f>INPUT!BE531</f>
        <v>-32</v>
      </c>
      <c r="AG19" s="450" t="str">
        <f>INPUT!BF531</f>
        <v>NM</v>
      </c>
      <c r="AH19" s="450">
        <f>INPUT!BG531</f>
        <v>-17.400000000000006</v>
      </c>
      <c r="AI19" s="450" t="str">
        <f>INPUT!BH531</f>
        <v>NM</v>
      </c>
      <c r="AJ19" s="450">
        <f>INPUT!BI531</f>
        <v>-27</v>
      </c>
      <c r="AK19" s="450" t="str">
        <f>INPUT!BJ531</f>
        <v>NM</v>
      </c>
      <c r="AL19" s="450">
        <f>INPUT!BK531</f>
        <v>-24</v>
      </c>
      <c r="AM19" s="450" t="str">
        <f>INPUT!BL531</f>
        <v>NM</v>
      </c>
      <c r="AN19" s="450">
        <f>INPUT!BM531</f>
        <v>-46</v>
      </c>
      <c r="AO19" s="450">
        <f>INPUT!BN531</f>
        <v>43.75</v>
      </c>
      <c r="AP19" s="450">
        <f>INPUT!BO531</f>
        <v>-51</v>
      </c>
      <c r="AQ19" s="450" t="str">
        <f>INPUT!BP531</f>
        <v>NM</v>
      </c>
      <c r="AR19" s="450">
        <f>INPUT!BQ531</f>
        <v>-20</v>
      </c>
      <c r="AS19" s="450">
        <f>INPUT!BR531</f>
        <v>-25.925925925925924</v>
      </c>
      <c r="AT19" s="450">
        <f>INPUT!BS531</f>
        <v>-40</v>
      </c>
      <c r="AU19" s="450">
        <f>INPUT!BT531</f>
        <v>66.666666666666686</v>
      </c>
      <c r="AV19" s="450">
        <f>INPUT!BU531</f>
        <v>-223</v>
      </c>
      <c r="AW19" s="450" t="str">
        <f>INPUT!BV531</f>
        <v>NM</v>
      </c>
      <c r="AX19" s="450">
        <f>INPUT!BW531</f>
        <v>-213</v>
      </c>
      <c r="AY19" s="450" t="str">
        <f>INPUT!BX531</f>
        <v>NM</v>
      </c>
      <c r="AZ19" s="450">
        <f>INPUT!BY531</f>
        <v>-176</v>
      </c>
      <c r="BA19" s="450" t="str">
        <f>INPUT!BZ531</f>
        <v>NM</v>
      </c>
      <c r="BB19" s="450">
        <f>INPUT!CA531</f>
        <v>-209</v>
      </c>
      <c r="BC19" s="450" t="str">
        <f>INPUT!CB531</f>
        <v>NM</v>
      </c>
      <c r="BD19" s="450">
        <f>INPUT!CC531</f>
        <v>-226</v>
      </c>
      <c r="BE19" s="450">
        <f>INPUT!CD531</f>
        <v>1.3452914798206308</v>
      </c>
      <c r="BF19" s="450">
        <f>INPUT!CE531</f>
        <v>-211</v>
      </c>
      <c r="BG19" s="450">
        <f>INPUT!CF531</f>
        <v>-0.93896713615023941</v>
      </c>
      <c r="BH19" s="450">
        <f>INPUT!CG531</f>
        <v>-191</v>
      </c>
      <c r="BI19" s="450">
        <f>INPUT!CH531</f>
        <v>8.5227272727272663</v>
      </c>
      <c r="BJ19" s="450">
        <f>INPUT!CI531</f>
        <v>-298</v>
      </c>
      <c r="BK19" s="450">
        <f>INPUT!CJ531</f>
        <v>42.583732057416256</v>
      </c>
      <c r="BL19" s="450">
        <f>INPUT!CK531</f>
        <v>-249</v>
      </c>
      <c r="BM19" s="450">
        <f>INPUT!CL531</f>
        <v>10.17699115044249</v>
      </c>
      <c r="BN19" s="450">
        <f>INPUT!CM531</f>
        <v>-269</v>
      </c>
      <c r="BO19" s="450">
        <f>INPUT!CN531</f>
        <v>27.488151658767762</v>
      </c>
      <c r="BP19" s="450">
        <f>INPUT!CO531</f>
        <v>-237</v>
      </c>
      <c r="BQ19" s="450">
        <f>INPUT!CP531</f>
        <v>24.083769633507842</v>
      </c>
      <c r="BR19" s="450">
        <f>INPUT!CQ531</f>
        <v>-230</v>
      </c>
      <c r="BS19" s="450">
        <f>INPUT!CR531</f>
        <v>-22.818791946308721</v>
      </c>
      <c r="BT19" s="450">
        <f>INPUT!CS531</f>
        <v>-285</v>
      </c>
      <c r="BU19" s="450">
        <f>INPUT!CT531</f>
        <v>14.457831325301214</v>
      </c>
      <c r="BV19" s="450">
        <f>INPUT!CU531</f>
        <v>-326</v>
      </c>
      <c r="BW19" s="450">
        <f>INPUT!CV531</f>
        <v>21.189591078066911</v>
      </c>
      <c r="BX19" s="450">
        <f>INPUT!CW531</f>
        <v>-225</v>
      </c>
      <c r="BY19" s="450">
        <f>INPUT!CX531</f>
        <v>-5.0632911392405049</v>
      </c>
      <c r="BZ19" s="450">
        <f>INPUT!CY531</f>
        <v>-320</v>
      </c>
      <c r="CA19" s="450">
        <f>INPUT!CZ531</f>
        <v>39.130434782608688</v>
      </c>
      <c r="CB19" s="450">
        <f>INPUT!DA531</f>
        <v>-303</v>
      </c>
      <c r="CC19" s="450">
        <f>INPUT!DB531</f>
        <v>6.3157894736842053</v>
      </c>
      <c r="CD19" s="450">
        <f>INPUT!DC531</f>
        <v>-303</v>
      </c>
      <c r="CE19" s="450">
        <f>INPUT!DD531</f>
        <v>-7.0552147239263832</v>
      </c>
      <c r="CF19" s="450">
        <f>INPUT!DE531</f>
        <v>-331</v>
      </c>
      <c r="CG19" s="450">
        <f>INPUT!DF531</f>
        <v>47.111111111111114</v>
      </c>
      <c r="CH19" s="450">
        <f>INPUT!DG531</f>
        <v>-312</v>
      </c>
      <c r="CI19" s="450">
        <f>INPUT!DH531</f>
        <v>-2.5</v>
      </c>
      <c r="CJ19" s="450">
        <f>INPUT!DI531</f>
        <v>-397</v>
      </c>
      <c r="CK19" s="450">
        <f>INPUT!DJ531</f>
        <v>31.023102310231025</v>
      </c>
      <c r="CL19" s="450">
        <f>INPUT!DK531</f>
        <v>-342</v>
      </c>
      <c r="CM19" s="450">
        <f>INPUT!DL531</f>
        <v>12.871287128712865</v>
      </c>
      <c r="CN19" s="450">
        <f>INPUT!DM531</f>
        <v>-341</v>
      </c>
      <c r="CO19" s="450">
        <f>INPUT!DN531</f>
        <v>3.021148036253777</v>
      </c>
      <c r="CP19" s="450">
        <f>INPUT!DO531</f>
        <v>-320</v>
      </c>
      <c r="CQ19" s="450">
        <f>INPUT!DP531</f>
        <v>2.564102564102555</v>
      </c>
      <c r="CR19" s="450">
        <f>INPUT!DQ531</f>
        <v>-326</v>
      </c>
      <c r="CS19" s="450">
        <f>INPUT!DR531</f>
        <v>-17.884130982367765</v>
      </c>
      <c r="CT19" s="450">
        <f>INPUT!DS531</f>
        <v>-253</v>
      </c>
      <c r="CU19" s="450">
        <f>INPUT!DT531</f>
        <v>-26.023391812865498</v>
      </c>
      <c r="CV19" s="450">
        <f>INPUT!DU531</f>
        <v>-305</v>
      </c>
      <c r="CW19" s="450">
        <f>INPUT!DV531</f>
        <v>-10.557184750733143</v>
      </c>
      <c r="CX19" s="450">
        <f>INPUT!DW531</f>
        <v>-308</v>
      </c>
      <c r="CY19" s="450">
        <f>INPUT!DX531</f>
        <v>-3.75</v>
      </c>
      <c r="CZ19" s="450">
        <f>INPUT!DY531</f>
        <v>-378.5</v>
      </c>
      <c r="DA19" s="450">
        <f>INPUT!DZ531</f>
        <v>16.104294478527621</v>
      </c>
      <c r="DB19" s="450">
        <f>INPUT!EA531</f>
        <v>-312</v>
      </c>
      <c r="DC19" s="450">
        <f>INPUT!EB531</f>
        <v>23.320158102766797</v>
      </c>
      <c r="DD19" s="450">
        <f>INPUT!EC531</f>
        <v>-376</v>
      </c>
      <c r="DE19" s="450">
        <f>INPUT!ED531</f>
        <v>23.278688524590166</v>
      </c>
      <c r="DF19" s="450">
        <f>INPUT!EE531</f>
        <v>-413</v>
      </c>
      <c r="DG19" s="450">
        <f>INPUT!EF531</f>
        <v>34.090909090909093</v>
      </c>
      <c r="DH19" s="450">
        <f>INPUT!EG531</f>
        <v>-441</v>
      </c>
      <c r="DI19" s="450">
        <f>INPUT!EH531</f>
        <v>16.512549537648596</v>
      </c>
      <c r="DJ19" s="450">
        <f>INPUT!EI531</f>
        <v>-352</v>
      </c>
      <c r="DK19" s="450">
        <f>INPUT!EJ531</f>
        <v>12.820512820512818</v>
      </c>
      <c r="DL19" s="450">
        <f>INPUT!EK531</f>
        <v>-308</v>
      </c>
      <c r="DM19" s="450">
        <f>INPUT!EL531</f>
        <v>-18.085106382978722</v>
      </c>
      <c r="DN19" s="450">
        <f>INPUT!EM531</f>
        <v>-310</v>
      </c>
      <c r="DO19" s="450">
        <f>INPUT!EN531</f>
        <v>-24.939467312348668</v>
      </c>
      <c r="DP19" s="450">
        <f>INPUT!EO531</f>
        <v>-451</v>
      </c>
      <c r="DQ19" s="450">
        <f>INPUT!EP531</f>
        <v>2.2675736961451207</v>
      </c>
      <c r="DR19" s="450">
        <f>INPUT!EQ531</f>
        <v>-360</v>
      </c>
      <c r="DS19" s="450">
        <f>INPUT!ER531</f>
        <v>2.2727272727272663</v>
      </c>
      <c r="DT19" s="450">
        <f>INPUT!ES531</f>
        <v>-340</v>
      </c>
      <c r="DU19" s="450">
        <f>INPUT!ET531</f>
        <v>10.389610389610397</v>
      </c>
      <c r="DV19" s="450">
        <f>INPUT!EU531</f>
        <v>-320</v>
      </c>
      <c r="DW19" s="450">
        <f>INPUT!EV531</f>
        <v>3.2258064516128968</v>
      </c>
      <c r="DX19" s="450">
        <f>INPUT!EW531</f>
        <v>-430</v>
      </c>
      <c r="DY19" s="450">
        <f>INPUT!EX531</f>
        <v>-4.6563192904656319</v>
      </c>
      <c r="DZ19" s="450">
        <f>INPUT!EY531</f>
        <v>0</v>
      </c>
      <c r="EA19" s="438"/>
      <c r="EB19" s="439"/>
      <c r="EC19" s="449"/>
      <c r="ED19" s="439"/>
      <c r="EE19" s="449"/>
      <c r="EF19" s="439"/>
      <c r="EG19" s="449"/>
      <c r="EH19" s="439"/>
      <c r="EI19" s="450"/>
      <c r="EJ19" s="438"/>
      <c r="EK19" s="450"/>
      <c r="EL19" s="438"/>
      <c r="EM19" s="450"/>
      <c r="EN19" s="438"/>
      <c r="EO19" s="450"/>
      <c r="EP19" s="438"/>
      <c r="EQ19" s="450"/>
      <c r="ER19" s="438"/>
      <c r="ES19" s="450"/>
      <c r="ET19" s="438"/>
      <c r="EU19" s="450"/>
      <c r="EV19" s="438"/>
      <c r="EW19" s="450"/>
      <c r="EX19" s="450">
        <f>INPUT!GE530</f>
        <v>18.375390942975883</v>
      </c>
      <c r="EY19" s="450">
        <f>INPUT!GF530</f>
        <v>3247</v>
      </c>
      <c r="EZ19" s="450">
        <f>INPUT!GG530</f>
        <v>17.517191458559552</v>
      </c>
      <c r="FA19" s="450">
        <f>INPUT!GH530</f>
        <v>3347</v>
      </c>
      <c r="FB19" s="450">
        <f>INPUT!GI530</f>
        <v>3.0797659377887356</v>
      </c>
      <c r="FC19" s="450">
        <f>INPUT!GJ530</f>
        <v>3247</v>
      </c>
      <c r="FD19" s="450">
        <f>INPUT!GK530</f>
        <v>-2.9877502240812674</v>
      </c>
      <c r="FE19" s="450">
        <f>INPUT!GL530</f>
        <v>3151</v>
      </c>
      <c r="FF19" s="450">
        <f>INPUT!GM530</f>
        <v>-2.95657530027718</v>
      </c>
      <c r="FG19" s="450">
        <f>INPUT!GN530</f>
        <v>3244</v>
      </c>
      <c r="FH19" s="450">
        <f>INPUT!GO530</f>
        <v>2.9514439860361676</v>
      </c>
      <c r="FI19" s="450">
        <f>INPUT!GP530</f>
        <v>3311.0060693720498</v>
      </c>
      <c r="FJ19" s="450">
        <f>INPUT!GQ530</f>
        <v>2.0655385133184296</v>
      </c>
      <c r="FK19" s="450">
        <f>INPUT!GR530</f>
        <v>3389.2492724567583</v>
      </c>
      <c r="FL19" s="450">
        <f>INPUT!GS530</f>
        <v>2.3631247253964602</v>
      </c>
      <c r="FM19" s="450">
        <f>INPUT!GT530</f>
        <v>3458.8291229184088</v>
      </c>
      <c r="FN19" s="450">
        <f>INPUT!GU530</f>
        <v>2.0529575982239265</v>
      </c>
      <c r="FO19" s="450">
        <f>INPUT!GV530</f>
        <v>3530.8931708941545</v>
      </c>
      <c r="FP19" s="450">
        <f>INPUT!GW530</f>
        <v>2.0834810109075619</v>
      </c>
      <c r="FQ19" s="450">
        <f>INPUT!GX530</f>
        <v>3605.5345196065246</v>
      </c>
      <c r="FR19" s="450">
        <f>INPUT!GY530</f>
        <v>2.1139509211905079</v>
      </c>
      <c r="FS19" s="862">
        <f>INPUT!GZ530</f>
        <v>2.135745325800964</v>
      </c>
    </row>
    <row r="20" spans="1:175" s="529" customFormat="1" ht="12.75" customHeight="1" collapsed="1" x14ac:dyDescent="0.2">
      <c r="A20" s="826" t="str">
        <f>INPUT!B531</f>
        <v>Corporate and Other Division</v>
      </c>
      <c r="B20" s="450">
        <f>INPUT!AA531</f>
        <v>18</v>
      </c>
      <c r="C20" s="450">
        <f>INPUT!AB531</f>
        <v>80</v>
      </c>
      <c r="D20" s="450">
        <f>INPUT!AC531</f>
        <v>-1</v>
      </c>
      <c r="E20" s="450" t="str">
        <f>INPUT!AD531</f>
        <v>NM</v>
      </c>
      <c r="F20" s="450">
        <f>INPUT!AE531</f>
        <v>32</v>
      </c>
      <c r="G20" s="450" t="str">
        <f>INPUT!AF531</f>
        <v>NM</v>
      </c>
      <c r="H20" s="450">
        <f>INPUT!AG531</f>
        <v>42</v>
      </c>
      <c r="I20" s="450" t="str">
        <f>INPUT!AH531</f>
        <v>NM</v>
      </c>
      <c r="J20" s="450">
        <f>INPUT!AI531</f>
        <v>23</v>
      </c>
      <c r="K20" s="450">
        <f>INPUT!AJ531</f>
        <v>27.777777777777771</v>
      </c>
      <c r="L20" s="450">
        <f>INPUT!AK531</f>
        <v>69</v>
      </c>
      <c r="M20" s="450" t="str">
        <f>INPUT!AL531</f>
        <v>NM</v>
      </c>
      <c r="N20" s="450">
        <f>INPUT!AM531</f>
        <v>57</v>
      </c>
      <c r="O20" s="450">
        <f>INPUT!AN531</f>
        <v>78.125</v>
      </c>
      <c r="P20" s="450">
        <f>INPUT!AO531</f>
        <v>45</v>
      </c>
      <c r="Q20" s="450">
        <f>INPUT!AP531</f>
        <v>7.1428571428571388</v>
      </c>
      <c r="R20" s="450">
        <f>INPUT!AQ531</f>
        <v>17</v>
      </c>
      <c r="S20" s="450">
        <f>INPUT!AR531</f>
        <v>-26.08695652173914</v>
      </c>
      <c r="T20" s="450">
        <f>INPUT!AS531</f>
        <v>59</v>
      </c>
      <c r="U20" s="450">
        <f>INPUT!AT531</f>
        <v>-14.492753623188406</v>
      </c>
      <c r="V20" s="450">
        <f>INPUT!AU531</f>
        <v>50</v>
      </c>
      <c r="W20" s="450">
        <f>INPUT!AV531</f>
        <v>-12.280701754385973</v>
      </c>
      <c r="X20" s="450">
        <f>INPUT!AW531</f>
        <v>46</v>
      </c>
      <c r="Y20" s="450">
        <f>INPUT!AX531</f>
        <v>2.2222222222222143</v>
      </c>
      <c r="Z20" s="450">
        <f>INPUT!AY531</f>
        <v>16</v>
      </c>
      <c r="AA20" s="450">
        <f>INPUT!AZ531</f>
        <v>-5.8823529411764781</v>
      </c>
      <c r="AB20" s="450">
        <f>INPUT!BA531</f>
        <v>40</v>
      </c>
      <c r="AC20" s="450">
        <f>INPUT!BB531</f>
        <v>-32.203389830508485</v>
      </c>
      <c r="AD20" s="450">
        <f>INPUT!BC531</f>
        <v>4</v>
      </c>
      <c r="AE20" s="450" t="str">
        <f>INPUT!BD531</f>
        <v>NM</v>
      </c>
      <c r="AF20" s="450">
        <f>INPUT!BE531</f>
        <v>-32</v>
      </c>
      <c r="AG20" s="450" t="str">
        <f>INPUT!BF531</f>
        <v>NM</v>
      </c>
      <c r="AH20" s="450">
        <f>INPUT!BG531</f>
        <v>-17.400000000000006</v>
      </c>
      <c r="AI20" s="450" t="str">
        <f>INPUT!BH531</f>
        <v>NM</v>
      </c>
      <c r="AJ20" s="450">
        <f>INPUT!BI531</f>
        <v>-27</v>
      </c>
      <c r="AK20" s="450" t="str">
        <f>INPUT!BJ531</f>
        <v>NM</v>
      </c>
      <c r="AL20" s="450">
        <f>INPUT!BK531</f>
        <v>-24</v>
      </c>
      <c r="AM20" s="450" t="str">
        <f>INPUT!BL531</f>
        <v>NM</v>
      </c>
      <c r="AN20" s="450">
        <f>INPUT!BM531</f>
        <v>-46</v>
      </c>
      <c r="AO20" s="450">
        <f>INPUT!BN531</f>
        <v>43.75</v>
      </c>
      <c r="AP20" s="450">
        <f>INPUT!BO531</f>
        <v>-51</v>
      </c>
      <c r="AQ20" s="450" t="str">
        <f>INPUT!BP531</f>
        <v>NM</v>
      </c>
      <c r="AR20" s="450">
        <f>INPUT!BQ531</f>
        <v>-20</v>
      </c>
      <c r="AS20" s="450">
        <f>INPUT!BR531</f>
        <v>-25.925925925925924</v>
      </c>
      <c r="AT20" s="450">
        <f>INPUT!BS531</f>
        <v>-40</v>
      </c>
      <c r="AU20" s="450">
        <f>INPUT!BT531</f>
        <v>66.666666666666686</v>
      </c>
      <c r="AV20" s="450">
        <f>INPUT!BU531</f>
        <v>-223</v>
      </c>
      <c r="AW20" s="450" t="str">
        <f>INPUT!BV531</f>
        <v>NM</v>
      </c>
      <c r="AX20" s="450">
        <f>INPUT!BW531</f>
        <v>-213</v>
      </c>
      <c r="AY20" s="450" t="str">
        <f>INPUT!BX531</f>
        <v>NM</v>
      </c>
      <c r="AZ20" s="450">
        <f>INPUT!BY531</f>
        <v>-176</v>
      </c>
      <c r="BA20" s="450" t="str">
        <f>INPUT!BZ531</f>
        <v>NM</v>
      </c>
      <c r="BB20" s="450">
        <f>INPUT!CA531</f>
        <v>-209</v>
      </c>
      <c r="BC20" s="450" t="str">
        <f>INPUT!CB531</f>
        <v>NM</v>
      </c>
      <c r="BD20" s="450">
        <f>INPUT!CC531</f>
        <v>-226</v>
      </c>
      <c r="BE20" s="450">
        <f>INPUT!CD531</f>
        <v>1.3452914798206308</v>
      </c>
      <c r="BF20" s="450">
        <f>INPUT!CE531</f>
        <v>-211</v>
      </c>
      <c r="BG20" s="450">
        <f>INPUT!CF531</f>
        <v>-0.93896713615023941</v>
      </c>
      <c r="BH20" s="450">
        <f>INPUT!CG531</f>
        <v>-191</v>
      </c>
      <c r="BI20" s="450">
        <f>INPUT!CH531</f>
        <v>8.5227272727272663</v>
      </c>
      <c r="BJ20" s="450">
        <f>INPUT!CI531</f>
        <v>-298</v>
      </c>
      <c r="BK20" s="450">
        <f>INPUT!CJ531</f>
        <v>42.583732057416256</v>
      </c>
      <c r="BL20" s="450">
        <f>INPUT!CK531</f>
        <v>-249</v>
      </c>
      <c r="BM20" s="450">
        <f>INPUT!CL531</f>
        <v>10.17699115044249</v>
      </c>
      <c r="BN20" s="450">
        <f>INPUT!CM531</f>
        <v>-269</v>
      </c>
      <c r="BO20" s="450">
        <f>INPUT!CN531</f>
        <v>27.488151658767762</v>
      </c>
      <c r="BP20" s="450">
        <f>INPUT!CO531</f>
        <v>-237</v>
      </c>
      <c r="BQ20" s="450">
        <f>INPUT!CP531</f>
        <v>24.083769633507842</v>
      </c>
      <c r="BR20" s="450">
        <f>INPUT!CQ531</f>
        <v>-230</v>
      </c>
      <c r="BS20" s="450">
        <f>INPUT!CR531</f>
        <v>-22.818791946308721</v>
      </c>
      <c r="BT20" s="450">
        <f>INPUT!CS531</f>
        <v>-285</v>
      </c>
      <c r="BU20" s="450">
        <f>INPUT!CT531</f>
        <v>14.457831325301214</v>
      </c>
      <c r="BV20" s="450">
        <f>INPUT!CU531</f>
        <v>-326</v>
      </c>
      <c r="BW20" s="450">
        <f>INPUT!CV531</f>
        <v>21.189591078066911</v>
      </c>
      <c r="BX20" s="450">
        <f>INPUT!CW531</f>
        <v>-225</v>
      </c>
      <c r="BY20" s="450">
        <f>INPUT!CX531</f>
        <v>-5.0632911392405049</v>
      </c>
      <c r="BZ20" s="450">
        <f>INPUT!CY531</f>
        <v>-320</v>
      </c>
      <c r="CA20" s="450">
        <f>INPUT!CZ531</f>
        <v>39.130434782608688</v>
      </c>
      <c r="CB20" s="450">
        <f>INPUT!DA531</f>
        <v>-303</v>
      </c>
      <c r="CC20" s="450">
        <f>INPUT!DB531</f>
        <v>6.3157894736842053</v>
      </c>
      <c r="CD20" s="450">
        <f>INPUT!DC531</f>
        <v>-303</v>
      </c>
      <c r="CE20" s="450">
        <f>INPUT!DD531</f>
        <v>-7.0552147239263832</v>
      </c>
      <c r="CF20" s="450">
        <f>INPUT!DE531</f>
        <v>-331</v>
      </c>
      <c r="CG20" s="450">
        <f>INPUT!DF531</f>
        <v>47.111111111111114</v>
      </c>
      <c r="CH20" s="450">
        <f>INPUT!DG531</f>
        <v>-312</v>
      </c>
      <c r="CI20" s="450">
        <f>INPUT!DH531</f>
        <v>-2.5</v>
      </c>
      <c r="CJ20" s="450">
        <f>INPUT!DI531</f>
        <v>-397</v>
      </c>
      <c r="CK20" s="450">
        <f>INPUT!DJ531</f>
        <v>31.023102310231025</v>
      </c>
      <c r="CL20" s="450">
        <f>INPUT!DK531</f>
        <v>-342</v>
      </c>
      <c r="CM20" s="450">
        <f>INPUT!DL531</f>
        <v>12.871287128712865</v>
      </c>
      <c r="CN20" s="450">
        <f>INPUT!DM531</f>
        <v>-341</v>
      </c>
      <c r="CO20" s="450">
        <f>INPUT!DN531</f>
        <v>3.021148036253777</v>
      </c>
      <c r="CP20" s="450">
        <f>INPUT!DO531</f>
        <v>-320</v>
      </c>
      <c r="CQ20" s="450">
        <f>INPUT!DP531</f>
        <v>2.564102564102555</v>
      </c>
      <c r="CR20" s="450">
        <f>INPUT!DQ531</f>
        <v>-326</v>
      </c>
      <c r="CS20" s="450">
        <f>INPUT!DR531</f>
        <v>-17.884130982367765</v>
      </c>
      <c r="CT20" s="450">
        <f>INPUT!DS531</f>
        <v>-253</v>
      </c>
      <c r="CU20" s="450">
        <f>INPUT!DT531</f>
        <v>-26.023391812865498</v>
      </c>
      <c r="CV20" s="450">
        <f>INPUT!DU531</f>
        <v>-305</v>
      </c>
      <c r="CW20" s="450">
        <f>INPUT!DV531</f>
        <v>-10.557184750733143</v>
      </c>
      <c r="CX20" s="450">
        <f>INPUT!DW531</f>
        <v>-308</v>
      </c>
      <c r="CY20" s="450">
        <f>INPUT!DX531</f>
        <v>-3.75</v>
      </c>
      <c r="CZ20" s="450">
        <f>INPUT!DY531</f>
        <v>-378.5</v>
      </c>
      <c r="DA20" s="450">
        <f>INPUT!DZ531</f>
        <v>16.104294478527621</v>
      </c>
      <c r="DB20" s="450">
        <f>INPUT!EA531</f>
        <v>-312</v>
      </c>
      <c r="DC20" s="450">
        <f>INPUT!EB531</f>
        <v>23.320158102766797</v>
      </c>
      <c r="DD20" s="450">
        <f>INPUT!EC531</f>
        <v>-376</v>
      </c>
      <c r="DE20" s="450">
        <f>INPUT!ED531</f>
        <v>23.278688524590166</v>
      </c>
      <c r="DF20" s="450">
        <f>INPUT!EE531</f>
        <v>-413</v>
      </c>
      <c r="DG20" s="450">
        <f>INPUT!EF531</f>
        <v>34.090909090909093</v>
      </c>
      <c r="DH20" s="450">
        <f>INPUT!EG531</f>
        <v>-441</v>
      </c>
      <c r="DI20" s="450">
        <f>INPUT!EH531</f>
        <v>16.512549537648596</v>
      </c>
      <c r="DJ20" s="450">
        <f>INPUT!EI531</f>
        <v>-352</v>
      </c>
      <c r="DK20" s="450">
        <f>INPUT!EJ531</f>
        <v>12.820512820512818</v>
      </c>
      <c r="DL20" s="450">
        <f>INPUT!EK531</f>
        <v>-308</v>
      </c>
      <c r="DM20" s="450">
        <f>INPUT!EL531</f>
        <v>-18.085106382978722</v>
      </c>
      <c r="DN20" s="450">
        <f>INPUT!EM531</f>
        <v>-310</v>
      </c>
      <c r="DO20" s="450">
        <f>INPUT!EN531</f>
        <v>-24.939467312348668</v>
      </c>
      <c r="DP20" s="450">
        <f>INPUT!EO531</f>
        <v>-451</v>
      </c>
      <c r="DQ20" s="450">
        <f>INPUT!EP531</f>
        <v>2.2675736961451207</v>
      </c>
      <c r="DR20" s="450">
        <f>INPUT!EQ531</f>
        <v>-360</v>
      </c>
      <c r="DS20" s="450">
        <f>INPUT!ER531</f>
        <v>2.2727272727272663</v>
      </c>
      <c r="DT20" s="450">
        <f>INPUT!ES531</f>
        <v>-340</v>
      </c>
      <c r="DU20" s="450">
        <f>INPUT!ET531</f>
        <v>10.389610389610397</v>
      </c>
      <c r="DV20" s="450">
        <f>INPUT!EU531</f>
        <v>-320</v>
      </c>
      <c r="DW20" s="450">
        <f>INPUT!EV531</f>
        <v>3.2258064516128968</v>
      </c>
      <c r="DX20" s="450">
        <f>INPUT!EW531</f>
        <v>-430</v>
      </c>
      <c r="DY20" s="450">
        <f>INPUT!EX531</f>
        <v>-4.6563192904656319</v>
      </c>
      <c r="DZ20" s="450">
        <f>INPUT!EY531</f>
        <v>0</v>
      </c>
      <c r="EA20" s="438"/>
      <c r="EB20" s="439">
        <f>INPUT!FI533</f>
        <v>20.245901639344254</v>
      </c>
      <c r="EC20" s="449">
        <f>INPUT!FJ533</f>
        <v>1789</v>
      </c>
      <c r="ED20" s="439">
        <f>INPUT!FK533</f>
        <v>21.949556918882081</v>
      </c>
      <c r="EE20" s="449">
        <f>INPUT!FL533</f>
        <v>2098</v>
      </c>
      <c r="EF20" s="439">
        <f>INPUT!FM533</f>
        <v>17.272219116825042</v>
      </c>
      <c r="EG20" s="449">
        <f>INPUT!FN533</f>
        <v>2700</v>
      </c>
      <c r="EH20" s="439">
        <f>INPUT!FO533</f>
        <v>28.693994280266907</v>
      </c>
      <c r="EI20" s="450">
        <f>INPUT!FP533</f>
        <v>3401</v>
      </c>
      <c r="EJ20" s="438">
        <f>INPUT!FQ533</f>
        <v>25.962962962962962</v>
      </c>
      <c r="EK20" s="450">
        <f>INPUT!FR533</f>
        <v>3795</v>
      </c>
      <c r="EL20" s="438">
        <f>INPUT!FS533</f>
        <v>11.584827991767128</v>
      </c>
      <c r="EM20" s="450">
        <f>INPUT!FT533</f>
        <v>4604.6000000000004</v>
      </c>
      <c r="EN20" s="438">
        <f>INPUT!FU533</f>
        <v>21.333333333333343</v>
      </c>
      <c r="EO20" s="450">
        <f>INPUT!FV533</f>
        <v>3248</v>
      </c>
      <c r="EP20" s="438">
        <f>INPUT!FW533</f>
        <v>-29.461842505320774</v>
      </c>
      <c r="EQ20" s="450">
        <f>INPUT!FX533</f>
        <v>2555</v>
      </c>
      <c r="ER20" s="438">
        <f>INPUT!FY533</f>
        <v>-21.33620689655173</v>
      </c>
      <c r="ES20" s="450">
        <f>INPUT!FZ533</f>
        <v>3195</v>
      </c>
      <c r="ET20" s="438">
        <f>INPUT!GA533</f>
        <v>25.048923679060664</v>
      </c>
      <c r="EU20" s="450">
        <f>INPUT!GB533</f>
        <v>4015.7</v>
      </c>
      <c r="EV20" s="438">
        <f>INPUT!GC533</f>
        <v>25.687010954616582</v>
      </c>
      <c r="EW20" s="450">
        <f>INPUT!GD533</f>
        <v>4349</v>
      </c>
      <c r="EX20" s="450">
        <f>INPUT!GE531</f>
        <v>14.985308521057789</v>
      </c>
      <c r="EY20" s="450">
        <f>INPUT!GF531</f>
        <v>-1343</v>
      </c>
      <c r="EZ20" s="450">
        <f>INPUT!GG531</f>
        <v>14.395229982964224</v>
      </c>
      <c r="FA20" s="450">
        <f>INPUT!GH531</f>
        <v>-1329</v>
      </c>
      <c r="FB20" s="450">
        <f>INPUT!GI531</f>
        <v>-1.0424422933730426</v>
      </c>
      <c r="FC20" s="450">
        <f>INPUT!GJ531</f>
        <v>-1244.5</v>
      </c>
      <c r="FD20" s="450">
        <f>INPUT!GK531</f>
        <v>-6.3581640331075988</v>
      </c>
      <c r="FE20" s="450">
        <f>INPUT!GL531</f>
        <v>-1542</v>
      </c>
      <c r="FF20" s="450">
        <f>INPUT!GM531</f>
        <v>23.905182804339091</v>
      </c>
      <c r="FG20" s="450">
        <f>INPUT!GN531</f>
        <v>-1421</v>
      </c>
      <c r="FH20" s="450">
        <f>INPUT!GO531</f>
        <v>-7.8469520103761425</v>
      </c>
      <c r="FI20" s="450">
        <f>INPUT!GP531</f>
        <v>-1450</v>
      </c>
      <c r="FJ20" s="450">
        <f>INPUT!GQ531</f>
        <v>2.0408163265306172</v>
      </c>
      <c r="FK20" s="450">
        <f>INPUT!GR531</f>
        <v>-1500.7499999999998</v>
      </c>
      <c r="FL20" s="450">
        <f>INPUT!GS531</f>
        <v>3.4999999999999858</v>
      </c>
      <c r="FM20" s="450">
        <f>INPUT!GT531</f>
        <v>-1545.7724999999998</v>
      </c>
      <c r="FN20" s="450">
        <f>INPUT!GU531</f>
        <v>3</v>
      </c>
      <c r="FO20" s="450">
        <f>INPUT!GV531</f>
        <v>-1592.1456749999998</v>
      </c>
      <c r="FP20" s="450">
        <f>INPUT!GW531</f>
        <v>3</v>
      </c>
      <c r="FQ20" s="450">
        <f>INPUT!GX531</f>
        <v>-1641.5021909249997</v>
      </c>
      <c r="FR20" s="450">
        <f>INPUT!GY531</f>
        <v>3.0999999999999943</v>
      </c>
      <c r="FS20" s="862">
        <f>INPUT!GZ531</f>
        <v>2.9270386600572351</v>
      </c>
    </row>
    <row r="21" spans="1:175" s="529" customFormat="1" ht="12.75" hidden="1" customHeight="1" outlineLevel="1" x14ac:dyDescent="0.2">
      <c r="A21" s="826" t="s">
        <v>222</v>
      </c>
      <c r="B21" s="450">
        <f>INPUT!AA425</f>
        <v>0</v>
      </c>
      <c r="C21" s="450">
        <f>INPUT!AB425</f>
        <v>0</v>
      </c>
      <c r="D21" s="450">
        <f>INPUT!AC425</f>
        <v>0</v>
      </c>
      <c r="E21" s="450">
        <f>INPUT!AD425</f>
        <v>0</v>
      </c>
      <c r="F21" s="450">
        <f>INPUT!AE425</f>
        <v>0</v>
      </c>
      <c r="G21" s="450">
        <f>INPUT!AF425</f>
        <v>0</v>
      </c>
      <c r="H21" s="450">
        <f>INPUT!AG425</f>
        <v>0</v>
      </c>
      <c r="I21" s="450">
        <f>INPUT!AH425</f>
        <v>0</v>
      </c>
      <c r="J21" s="450">
        <f>INPUT!AI425</f>
        <v>0</v>
      </c>
      <c r="K21" s="450">
        <f>INPUT!AJ425</f>
        <v>0</v>
      </c>
      <c r="L21" s="450">
        <f>INPUT!AK425</f>
        <v>0</v>
      </c>
      <c r="M21" s="450">
        <f>INPUT!AL425</f>
        <v>0</v>
      </c>
      <c r="N21" s="450">
        <f>INPUT!AM425</f>
        <v>0</v>
      </c>
      <c r="O21" s="450">
        <f>INPUT!AN425</f>
        <v>0</v>
      </c>
      <c r="P21" s="450">
        <f>INPUT!AO425</f>
        <v>0</v>
      </c>
      <c r="Q21" s="450">
        <f>INPUT!AP425</f>
        <v>0</v>
      </c>
      <c r="R21" s="450">
        <f>INPUT!AQ425</f>
        <v>0</v>
      </c>
      <c r="S21" s="450">
        <f>INPUT!AR425</f>
        <v>0</v>
      </c>
      <c r="T21" s="450">
        <f>INPUT!AS425</f>
        <v>0</v>
      </c>
      <c r="U21" s="450">
        <f>INPUT!AT425</f>
        <v>0</v>
      </c>
      <c r="V21" s="450">
        <f>INPUT!AU425</f>
        <v>0</v>
      </c>
      <c r="W21" s="450">
        <f>INPUT!AV425</f>
        <v>0</v>
      </c>
      <c r="X21" s="450">
        <f>INPUT!AW425</f>
        <v>0</v>
      </c>
      <c r="Y21" s="450">
        <f>INPUT!AX425</f>
        <v>0</v>
      </c>
      <c r="Z21" s="450">
        <f>INPUT!AY425</f>
        <v>0</v>
      </c>
      <c r="AA21" s="450">
        <f>INPUT!AZ425</f>
        <v>0</v>
      </c>
      <c r="AB21" s="450">
        <f>INPUT!BA425</f>
        <v>0</v>
      </c>
      <c r="AC21" s="450">
        <f>INPUT!BB425</f>
        <v>0</v>
      </c>
      <c r="AD21" s="450">
        <f>INPUT!BC425</f>
        <v>0</v>
      </c>
      <c r="AE21" s="450">
        <f>INPUT!BD425</f>
        <v>0</v>
      </c>
      <c r="AF21" s="450">
        <f>INPUT!BE425</f>
        <v>0</v>
      </c>
      <c r="AG21" s="450">
        <f>INPUT!BF425</f>
        <v>0</v>
      </c>
      <c r="AH21" s="450">
        <f>INPUT!BG425</f>
        <v>0</v>
      </c>
      <c r="AI21" s="450">
        <f>INPUT!BH425</f>
        <v>0</v>
      </c>
      <c r="AJ21" s="450">
        <f>INPUT!BI425</f>
        <v>0</v>
      </c>
      <c r="AK21" s="450">
        <f>INPUT!BJ425</f>
        <v>0</v>
      </c>
      <c r="AL21" s="450">
        <f>INPUT!BK425</f>
        <v>0</v>
      </c>
      <c r="AM21" s="450">
        <f>INPUT!BL425</f>
        <v>0</v>
      </c>
      <c r="AN21" s="450">
        <f>INPUT!BM425</f>
        <v>0</v>
      </c>
      <c r="AO21" s="450">
        <f>INPUT!BN425</f>
        <v>0</v>
      </c>
      <c r="AP21" s="450">
        <f>INPUT!BO425</f>
        <v>0</v>
      </c>
      <c r="AQ21" s="450">
        <f>INPUT!BP425</f>
        <v>0</v>
      </c>
      <c r="AR21" s="450">
        <f>INPUT!BQ425</f>
        <v>0</v>
      </c>
      <c r="AS21" s="450">
        <f>INPUT!BR425</f>
        <v>0</v>
      </c>
      <c r="AT21" s="450">
        <f>INPUT!BS425</f>
        <v>0</v>
      </c>
      <c r="AU21" s="450">
        <f>INPUT!BT425</f>
        <v>0</v>
      </c>
      <c r="AV21" s="450">
        <f>INPUT!BU425</f>
        <v>0</v>
      </c>
      <c r="AW21" s="450">
        <f>INPUT!BV425</f>
        <v>0</v>
      </c>
      <c r="AX21" s="450">
        <f>INPUT!BW425</f>
        <v>0</v>
      </c>
      <c r="AY21" s="450">
        <f>INPUT!BX425</f>
        <v>0</v>
      </c>
      <c r="AZ21" s="450">
        <f>INPUT!BY425</f>
        <v>0</v>
      </c>
      <c r="BA21" s="450">
        <f>INPUT!BZ425</f>
        <v>0</v>
      </c>
      <c r="BB21" s="450">
        <f>INPUT!CA425</f>
        <v>0</v>
      </c>
      <c r="BC21" s="450">
        <f>INPUT!CB425</f>
        <v>0</v>
      </c>
      <c r="BD21" s="450">
        <f>INPUT!CC425</f>
        <v>0</v>
      </c>
      <c r="BE21" s="450">
        <f>INPUT!CD425</f>
        <v>0</v>
      </c>
      <c r="BF21" s="450">
        <f>INPUT!CE425</f>
        <v>0</v>
      </c>
      <c r="BG21" s="450">
        <f>INPUT!CF425</f>
        <v>0</v>
      </c>
      <c r="BH21" s="450">
        <f>INPUT!CG425</f>
        <v>0</v>
      </c>
      <c r="BI21" s="450">
        <f>INPUT!CH425</f>
        <v>0</v>
      </c>
      <c r="BJ21" s="450">
        <f>INPUT!CI425</f>
        <v>0</v>
      </c>
      <c r="BK21" s="450">
        <f>INPUT!CJ425</f>
        <v>0</v>
      </c>
      <c r="BL21" s="450">
        <f>INPUT!CK425</f>
        <v>0</v>
      </c>
      <c r="BM21" s="450">
        <f>INPUT!CL425</f>
        <v>0</v>
      </c>
      <c r="BN21" s="450">
        <f>INPUT!CM425</f>
        <v>-8</v>
      </c>
      <c r="BO21" s="450" t="str">
        <f>INPUT!CN425</f>
        <v>NA</v>
      </c>
      <c r="BP21" s="450">
        <f>INPUT!CO425</f>
        <v>-29</v>
      </c>
      <c r="BQ21" s="450" t="str">
        <f>INPUT!CP425</f>
        <v>NA</v>
      </c>
      <c r="BR21" s="450">
        <f>INPUT!CQ425</f>
        <v>-43</v>
      </c>
      <c r="BS21" s="450" t="str">
        <f>INPUT!CR425</f>
        <v>NA</v>
      </c>
      <c r="BT21" s="450">
        <f>INPUT!CS425</f>
        <v>-94</v>
      </c>
      <c r="BU21" s="450" t="str">
        <f>INPUT!CT425</f>
        <v>NA</v>
      </c>
      <c r="BV21" s="450">
        <f>INPUT!CU425</f>
        <v>-57</v>
      </c>
      <c r="BW21" s="450" t="str">
        <f>INPUT!CV425</f>
        <v>NM</v>
      </c>
      <c r="BX21" s="450">
        <f>INPUT!CW425</f>
        <v>-38</v>
      </c>
      <c r="BY21" s="450">
        <f>INPUT!CX425</f>
        <v>31.034482758620697</v>
      </c>
      <c r="BZ21" s="450">
        <f>INPUT!CY425</f>
        <v>-34</v>
      </c>
      <c r="CA21" s="450">
        <f>INPUT!CZ425</f>
        <v>-20.930232558139537</v>
      </c>
      <c r="CB21" s="450">
        <f>INPUT!DA425</f>
        <v>-10</v>
      </c>
      <c r="CC21" s="450" t="str">
        <f>INPUT!DB425</f>
        <v>NM</v>
      </c>
      <c r="CD21" s="450">
        <f>INPUT!DC425</f>
        <v>-3</v>
      </c>
      <c r="CE21" s="450" t="str">
        <f>INPUT!DD425</f>
        <v>NM</v>
      </c>
      <c r="CF21" s="450">
        <f>INPUT!DE425</f>
        <v>-6</v>
      </c>
      <c r="CG21" s="450" t="str">
        <f>INPUT!DF425</f>
        <v>NM</v>
      </c>
      <c r="CH21" s="450">
        <f>INPUT!DG425</f>
        <v>-8</v>
      </c>
      <c r="CI21" s="450" t="str">
        <f>INPUT!DH425</f>
        <v>NM</v>
      </c>
      <c r="CJ21" s="450">
        <f>INPUT!DI425</f>
        <v>-11</v>
      </c>
      <c r="CK21" s="450">
        <f>INPUT!DJ425</f>
        <v>10.000000000000014</v>
      </c>
      <c r="CL21" s="450">
        <f>INPUT!DK425</f>
        <v>0</v>
      </c>
      <c r="CM21" s="450" t="str">
        <f>INPUT!DL425</f>
        <v>NM</v>
      </c>
      <c r="CN21" s="450">
        <f>INPUT!DM425</f>
        <v>0</v>
      </c>
      <c r="CO21" s="450" t="str">
        <f>INPUT!DN425</f>
        <v>NM</v>
      </c>
      <c r="CP21" s="450">
        <f>INPUT!DO425</f>
        <v>0</v>
      </c>
      <c r="CQ21" s="450" t="str">
        <f>INPUT!DP425</f>
        <v>NM</v>
      </c>
      <c r="CR21" s="450">
        <f>INPUT!DQ425</f>
        <v>0</v>
      </c>
      <c r="CS21" s="450" t="str">
        <f>INPUT!DR425</f>
        <v>NM</v>
      </c>
      <c r="CT21" s="450">
        <f>INPUT!DS425</f>
        <v>0</v>
      </c>
      <c r="CU21" s="450" t="str">
        <f>INPUT!DT425</f>
        <v>NA</v>
      </c>
      <c r="CV21" s="450">
        <f>INPUT!DU425</f>
        <v>0</v>
      </c>
      <c r="CW21" s="450" t="str">
        <f>INPUT!DV425</f>
        <v>NA</v>
      </c>
      <c r="CX21" s="450">
        <f>INPUT!DW425</f>
        <v>0</v>
      </c>
      <c r="CY21" s="450" t="str">
        <f>INPUT!DX425</f>
        <v>NA</v>
      </c>
      <c r="CZ21" s="450">
        <f>INPUT!DY425</f>
        <v>0</v>
      </c>
      <c r="DA21" s="450" t="str">
        <f>INPUT!DZ425</f>
        <v>NA</v>
      </c>
      <c r="DB21" s="450">
        <f>INPUT!EA425</f>
        <v>0</v>
      </c>
      <c r="DC21" s="450" t="str">
        <f>INPUT!EB425</f>
        <v>NA</v>
      </c>
      <c r="DD21" s="450">
        <f>INPUT!EC425</f>
        <v>0</v>
      </c>
      <c r="DE21" s="450" t="str">
        <f>INPUT!ED425</f>
        <v>NA</v>
      </c>
      <c r="DF21" s="450">
        <f>INPUT!EE425</f>
        <v>0</v>
      </c>
      <c r="DG21" s="450" t="str">
        <f>INPUT!EF425</f>
        <v>NA</v>
      </c>
      <c r="DH21" s="450">
        <f>INPUT!EG425</f>
        <v>0</v>
      </c>
      <c r="DI21" s="450" t="str">
        <f>INPUT!EH425</f>
        <v>NA</v>
      </c>
      <c r="DJ21" s="450">
        <f>INPUT!EI425</f>
        <v>0</v>
      </c>
      <c r="DK21" s="450" t="str">
        <f>INPUT!EJ425</f>
        <v>NA</v>
      </c>
      <c r="DL21" s="450">
        <f>INPUT!EK425</f>
        <v>0</v>
      </c>
      <c r="DM21" s="450" t="str">
        <f>INPUT!EL425</f>
        <v>NA</v>
      </c>
      <c r="DN21" s="450">
        <f>INPUT!EM425</f>
        <v>0</v>
      </c>
      <c r="DO21" s="450" t="str">
        <f>INPUT!EN425</f>
        <v>NA</v>
      </c>
      <c r="DP21" s="450">
        <f>INPUT!EO425</f>
        <v>0</v>
      </c>
      <c r="DQ21" s="450" t="str">
        <f>INPUT!EP425</f>
        <v>NA</v>
      </c>
      <c r="DR21" s="450">
        <f>INPUT!EQ425</f>
        <v>0</v>
      </c>
      <c r="DS21" s="450" t="str">
        <f>INPUT!ER425</f>
        <v>NA</v>
      </c>
      <c r="DT21" s="450">
        <f>INPUT!ES425</f>
        <v>0</v>
      </c>
      <c r="DU21" s="450" t="str">
        <f>INPUT!ET425</f>
        <v>NA</v>
      </c>
      <c r="DV21" s="450">
        <f>INPUT!EU425</f>
        <v>0</v>
      </c>
      <c r="DW21" s="450" t="str">
        <f>INPUT!EV425</f>
        <v>NA</v>
      </c>
      <c r="DX21" s="450">
        <f>INPUT!EW425</f>
        <v>0</v>
      </c>
      <c r="DY21" s="450" t="str">
        <f>INPUT!EX425</f>
        <v>NA</v>
      </c>
      <c r="DZ21" s="450">
        <f>INPUT!EY425</f>
        <v>0</v>
      </c>
      <c r="EA21" s="438"/>
      <c r="EB21" s="439" t="str">
        <f>INPUT!FI425</f>
        <v>NA</v>
      </c>
      <c r="EC21" s="449">
        <f>INPUT!FJ425</f>
        <v>0</v>
      </c>
      <c r="ED21" s="439" t="str">
        <f>INPUT!FK425</f>
        <v>NA</v>
      </c>
      <c r="EE21" s="449">
        <f>INPUT!FL425</f>
        <v>0</v>
      </c>
      <c r="EF21" s="439" t="str">
        <f>INPUT!FM425</f>
        <v>NA</v>
      </c>
      <c r="EG21" s="449">
        <f>INPUT!FN425</f>
        <v>0</v>
      </c>
      <c r="EH21" s="439" t="str">
        <f>INPUT!FO425</f>
        <v>NA</v>
      </c>
      <c r="EI21" s="450">
        <f>INPUT!FP425</f>
        <v>0</v>
      </c>
      <c r="EJ21" s="438" t="str">
        <f>INPUT!FQ425</f>
        <v>NA</v>
      </c>
      <c r="EK21" s="450">
        <f>INPUT!FR425</f>
        <v>0</v>
      </c>
      <c r="EL21" s="438" t="str">
        <f>INPUT!FS425</f>
        <v>NA</v>
      </c>
      <c r="EM21" s="450">
        <f>INPUT!FT425</f>
        <v>0</v>
      </c>
      <c r="EN21" s="438" t="str">
        <f>INPUT!FU425</f>
        <v>NA</v>
      </c>
      <c r="EO21" s="450">
        <f>INPUT!FV425</f>
        <v>0</v>
      </c>
      <c r="EP21" s="438" t="str">
        <f>INPUT!FW425</f>
        <v>NA</v>
      </c>
      <c r="EQ21" s="450">
        <f>INPUT!FX425</f>
        <v>0</v>
      </c>
      <c r="ER21" s="438" t="str">
        <f>INPUT!FY425</f>
        <v>NA</v>
      </c>
      <c r="ES21" s="450">
        <f>INPUT!FZ425</f>
        <v>0</v>
      </c>
      <c r="ET21" s="438" t="str">
        <f>INPUT!GA425</f>
        <v>NA</v>
      </c>
      <c r="EU21" s="450">
        <f>INPUT!GB425</f>
        <v>-174</v>
      </c>
      <c r="EV21" s="438" t="str">
        <f>INPUT!GC425</f>
        <v>NA</v>
      </c>
      <c r="EW21" s="450">
        <f>INPUT!GD425</f>
        <v>-139</v>
      </c>
      <c r="EX21" s="450">
        <f>INPUT!GE425</f>
        <v>-20.114942528735639</v>
      </c>
      <c r="EY21" s="450">
        <f>INPUT!GF425</f>
        <v>-28</v>
      </c>
      <c r="EZ21" s="450" t="str">
        <f>INPUT!GG425</f>
        <v>NM</v>
      </c>
      <c r="FA21" s="450">
        <f>INPUT!GH425</f>
        <v>0</v>
      </c>
      <c r="FB21" s="450" t="str">
        <f>INPUT!GI425</f>
        <v>NM</v>
      </c>
      <c r="FC21" s="450">
        <f>INPUT!GJ425</f>
        <v>0</v>
      </c>
      <c r="FD21" s="450" t="str">
        <f>INPUT!GK425</f>
        <v>NA</v>
      </c>
      <c r="FE21" s="450">
        <f>INPUT!GL425</f>
        <v>0</v>
      </c>
      <c r="FF21" s="450" t="str">
        <f>INPUT!GM425</f>
        <v>NA</v>
      </c>
      <c r="FG21" s="450">
        <f>INPUT!GN425</f>
        <v>0</v>
      </c>
      <c r="FH21" s="450" t="str">
        <f>INPUT!GO425</f>
        <v>NA</v>
      </c>
      <c r="FI21" s="450">
        <f>INPUT!GP425</f>
        <v>0</v>
      </c>
      <c r="FJ21" s="450" t="str">
        <f>INPUT!GQ425</f>
        <v>NA</v>
      </c>
      <c r="FK21" s="450">
        <f>INPUT!GR425</f>
        <v>0</v>
      </c>
      <c r="FL21" s="450" t="str">
        <f>INPUT!GS425</f>
        <v>NA</v>
      </c>
      <c r="FM21" s="450">
        <f>INPUT!GT425</f>
        <v>0</v>
      </c>
      <c r="FN21" s="450" t="str">
        <f>INPUT!GU425</f>
        <v>NA</v>
      </c>
      <c r="FO21" s="450">
        <f>INPUT!GV425</f>
        <v>0</v>
      </c>
      <c r="FP21" s="450" t="str">
        <f>INPUT!GW425</f>
        <v>NA</v>
      </c>
      <c r="FQ21" s="450">
        <f>INPUT!GX425</f>
        <v>0</v>
      </c>
      <c r="FR21" s="450" t="str">
        <f>INPUT!GY425</f>
        <v>NA</v>
      </c>
      <c r="FS21" s="862" t="str">
        <f>INPUT!GZ425</f>
        <v>NA</v>
      </c>
    </row>
    <row r="22" spans="1:175" s="529" customFormat="1" ht="12.75" hidden="1" customHeight="1" outlineLevel="1" x14ac:dyDescent="0.2">
      <c r="A22" s="829" t="s">
        <v>696</v>
      </c>
      <c r="B22" s="451">
        <f t="shared" ref="B22:BM22" si="0">B20-B21</f>
        <v>18</v>
      </c>
      <c r="C22" s="451">
        <f t="shared" si="0"/>
        <v>80</v>
      </c>
      <c r="D22" s="451">
        <f t="shared" si="0"/>
        <v>-1</v>
      </c>
      <c r="E22" s="451" t="e">
        <f t="shared" si="0"/>
        <v>#VALUE!</v>
      </c>
      <c r="F22" s="451">
        <f t="shared" si="0"/>
        <v>32</v>
      </c>
      <c r="G22" s="451" t="e">
        <f t="shared" si="0"/>
        <v>#VALUE!</v>
      </c>
      <c r="H22" s="451">
        <f t="shared" si="0"/>
        <v>42</v>
      </c>
      <c r="I22" s="451" t="e">
        <f t="shared" si="0"/>
        <v>#VALUE!</v>
      </c>
      <c r="J22" s="451">
        <f t="shared" si="0"/>
        <v>23</v>
      </c>
      <c r="K22" s="451">
        <f t="shared" si="0"/>
        <v>27.777777777777771</v>
      </c>
      <c r="L22" s="451">
        <f t="shared" si="0"/>
        <v>69</v>
      </c>
      <c r="M22" s="451" t="e">
        <f t="shared" si="0"/>
        <v>#VALUE!</v>
      </c>
      <c r="N22" s="451">
        <f t="shared" si="0"/>
        <v>57</v>
      </c>
      <c r="O22" s="451">
        <f t="shared" si="0"/>
        <v>78.125</v>
      </c>
      <c r="P22" s="451">
        <f t="shared" si="0"/>
        <v>45</v>
      </c>
      <c r="Q22" s="451">
        <f t="shared" si="0"/>
        <v>7.1428571428571388</v>
      </c>
      <c r="R22" s="451">
        <f t="shared" si="0"/>
        <v>17</v>
      </c>
      <c r="S22" s="451">
        <f t="shared" si="0"/>
        <v>-26.08695652173914</v>
      </c>
      <c r="T22" s="451">
        <f t="shared" si="0"/>
        <v>59</v>
      </c>
      <c r="U22" s="451">
        <f t="shared" si="0"/>
        <v>-14.492753623188406</v>
      </c>
      <c r="V22" s="451">
        <f t="shared" si="0"/>
        <v>50</v>
      </c>
      <c r="W22" s="451">
        <f t="shared" si="0"/>
        <v>-12.280701754385973</v>
      </c>
      <c r="X22" s="451">
        <f t="shared" si="0"/>
        <v>46</v>
      </c>
      <c r="Y22" s="451">
        <f t="shared" si="0"/>
        <v>2.2222222222222143</v>
      </c>
      <c r="Z22" s="451">
        <f t="shared" si="0"/>
        <v>16</v>
      </c>
      <c r="AA22" s="451">
        <f t="shared" si="0"/>
        <v>-5.8823529411764781</v>
      </c>
      <c r="AB22" s="451">
        <f t="shared" si="0"/>
        <v>40</v>
      </c>
      <c r="AC22" s="451">
        <f t="shared" si="0"/>
        <v>-32.203389830508485</v>
      </c>
      <c r="AD22" s="451">
        <f t="shared" si="0"/>
        <v>4</v>
      </c>
      <c r="AE22" s="451" t="e">
        <f t="shared" si="0"/>
        <v>#VALUE!</v>
      </c>
      <c r="AF22" s="451">
        <f t="shared" si="0"/>
        <v>-32</v>
      </c>
      <c r="AG22" s="451" t="e">
        <f t="shared" si="0"/>
        <v>#VALUE!</v>
      </c>
      <c r="AH22" s="451">
        <f t="shared" si="0"/>
        <v>-17.400000000000006</v>
      </c>
      <c r="AI22" s="451" t="e">
        <f t="shared" si="0"/>
        <v>#VALUE!</v>
      </c>
      <c r="AJ22" s="451">
        <f t="shared" si="0"/>
        <v>-27</v>
      </c>
      <c r="AK22" s="451" t="e">
        <f t="shared" si="0"/>
        <v>#VALUE!</v>
      </c>
      <c r="AL22" s="451">
        <f t="shared" si="0"/>
        <v>-24</v>
      </c>
      <c r="AM22" s="451" t="e">
        <f t="shared" si="0"/>
        <v>#VALUE!</v>
      </c>
      <c r="AN22" s="451">
        <f t="shared" si="0"/>
        <v>-46</v>
      </c>
      <c r="AO22" s="451">
        <f t="shared" si="0"/>
        <v>43.75</v>
      </c>
      <c r="AP22" s="451">
        <f t="shared" si="0"/>
        <v>-51</v>
      </c>
      <c r="AQ22" s="451" t="e">
        <f t="shared" si="0"/>
        <v>#VALUE!</v>
      </c>
      <c r="AR22" s="451">
        <f t="shared" si="0"/>
        <v>-20</v>
      </c>
      <c r="AS22" s="451">
        <f t="shared" si="0"/>
        <v>-25.925925925925924</v>
      </c>
      <c r="AT22" s="451">
        <f t="shared" si="0"/>
        <v>-40</v>
      </c>
      <c r="AU22" s="451">
        <f t="shared" si="0"/>
        <v>66.666666666666686</v>
      </c>
      <c r="AV22" s="451">
        <f t="shared" si="0"/>
        <v>-223</v>
      </c>
      <c r="AW22" s="451" t="e">
        <f t="shared" si="0"/>
        <v>#VALUE!</v>
      </c>
      <c r="AX22" s="451">
        <f t="shared" si="0"/>
        <v>-213</v>
      </c>
      <c r="AY22" s="451" t="e">
        <f t="shared" si="0"/>
        <v>#VALUE!</v>
      </c>
      <c r="AZ22" s="451">
        <f t="shared" si="0"/>
        <v>-176</v>
      </c>
      <c r="BA22" s="451" t="e">
        <f t="shared" si="0"/>
        <v>#VALUE!</v>
      </c>
      <c r="BB22" s="451">
        <f t="shared" si="0"/>
        <v>-209</v>
      </c>
      <c r="BC22" s="451" t="e">
        <f t="shared" si="0"/>
        <v>#VALUE!</v>
      </c>
      <c r="BD22" s="451">
        <f t="shared" si="0"/>
        <v>-226</v>
      </c>
      <c r="BE22" s="451">
        <f t="shared" si="0"/>
        <v>1.3452914798206308</v>
      </c>
      <c r="BF22" s="451">
        <f t="shared" si="0"/>
        <v>-211</v>
      </c>
      <c r="BG22" s="451">
        <f t="shared" si="0"/>
        <v>-0.93896713615023941</v>
      </c>
      <c r="BH22" s="451">
        <f t="shared" si="0"/>
        <v>-191</v>
      </c>
      <c r="BI22" s="451">
        <f t="shared" si="0"/>
        <v>8.5227272727272663</v>
      </c>
      <c r="BJ22" s="451">
        <f t="shared" si="0"/>
        <v>-298</v>
      </c>
      <c r="BK22" s="451">
        <f t="shared" si="0"/>
        <v>42.583732057416256</v>
      </c>
      <c r="BL22" s="451">
        <f t="shared" si="0"/>
        <v>-249</v>
      </c>
      <c r="BM22" s="451">
        <f t="shared" si="0"/>
        <v>10.17699115044249</v>
      </c>
      <c r="BN22" s="451">
        <f t="shared" ref="BN22:DI22" si="1">BN20-BN21</f>
        <v>-261</v>
      </c>
      <c r="BO22" s="451" t="e">
        <f t="shared" si="1"/>
        <v>#VALUE!</v>
      </c>
      <c r="BP22" s="451">
        <f t="shared" si="1"/>
        <v>-208</v>
      </c>
      <c r="BQ22" s="451" t="e">
        <f t="shared" si="1"/>
        <v>#VALUE!</v>
      </c>
      <c r="BR22" s="451">
        <f t="shared" si="1"/>
        <v>-187</v>
      </c>
      <c r="BS22" s="451" t="e">
        <f t="shared" si="1"/>
        <v>#VALUE!</v>
      </c>
      <c r="BT22" s="451">
        <f t="shared" si="1"/>
        <v>-191</v>
      </c>
      <c r="BU22" s="451" t="e">
        <f t="shared" si="1"/>
        <v>#VALUE!</v>
      </c>
      <c r="BV22" s="451">
        <f t="shared" si="1"/>
        <v>-269</v>
      </c>
      <c r="BW22" s="451" t="e">
        <f t="shared" si="1"/>
        <v>#VALUE!</v>
      </c>
      <c r="BX22" s="451">
        <f t="shared" si="1"/>
        <v>-187</v>
      </c>
      <c r="BY22" s="451">
        <f t="shared" si="1"/>
        <v>-36.097773897861202</v>
      </c>
      <c r="BZ22" s="451">
        <f t="shared" si="1"/>
        <v>-286</v>
      </c>
      <c r="CA22" s="451">
        <f t="shared" si="1"/>
        <v>60.060667340748225</v>
      </c>
      <c r="CB22" s="451">
        <f t="shared" si="1"/>
        <v>-293</v>
      </c>
      <c r="CC22" s="451" t="e">
        <f t="shared" si="1"/>
        <v>#VALUE!</v>
      </c>
      <c r="CD22" s="451">
        <f t="shared" si="1"/>
        <v>-300</v>
      </c>
      <c r="CE22" s="451" t="e">
        <f t="shared" si="1"/>
        <v>#VALUE!</v>
      </c>
      <c r="CF22" s="451">
        <f t="shared" si="1"/>
        <v>-325</v>
      </c>
      <c r="CG22" s="451" t="e">
        <f t="shared" si="1"/>
        <v>#VALUE!</v>
      </c>
      <c r="CH22" s="451">
        <f t="shared" si="1"/>
        <v>-304</v>
      </c>
      <c r="CI22" s="451" t="e">
        <f t="shared" si="1"/>
        <v>#VALUE!</v>
      </c>
      <c r="CJ22" s="451">
        <f t="shared" si="1"/>
        <v>-386</v>
      </c>
      <c r="CK22" s="451">
        <f t="shared" si="1"/>
        <v>21.02310231023101</v>
      </c>
      <c r="CL22" s="451">
        <f t="shared" si="1"/>
        <v>-342</v>
      </c>
      <c r="CM22" s="451" t="e">
        <f t="shared" si="1"/>
        <v>#VALUE!</v>
      </c>
      <c r="CN22" s="451">
        <f t="shared" si="1"/>
        <v>-341</v>
      </c>
      <c r="CO22" s="451" t="e">
        <f t="shared" si="1"/>
        <v>#VALUE!</v>
      </c>
      <c r="CP22" s="451">
        <f t="shared" si="1"/>
        <v>-320</v>
      </c>
      <c r="CQ22" s="451" t="e">
        <f t="shared" si="1"/>
        <v>#VALUE!</v>
      </c>
      <c r="CR22" s="451">
        <f t="shared" si="1"/>
        <v>-326</v>
      </c>
      <c r="CS22" s="451" t="e">
        <f t="shared" si="1"/>
        <v>#VALUE!</v>
      </c>
      <c r="CT22" s="451">
        <f t="shared" si="1"/>
        <v>-253</v>
      </c>
      <c r="CU22" s="451" t="e">
        <f t="shared" si="1"/>
        <v>#VALUE!</v>
      </c>
      <c r="CV22" s="451">
        <f t="shared" si="1"/>
        <v>-305</v>
      </c>
      <c r="CW22" s="451" t="e">
        <f t="shared" si="1"/>
        <v>#VALUE!</v>
      </c>
      <c r="CX22" s="451">
        <f t="shared" si="1"/>
        <v>-308</v>
      </c>
      <c r="CY22" s="451" t="e">
        <f t="shared" si="1"/>
        <v>#VALUE!</v>
      </c>
      <c r="CZ22" s="451">
        <f t="shared" si="1"/>
        <v>-378.5</v>
      </c>
      <c r="DA22" s="451" t="e">
        <f t="shared" si="1"/>
        <v>#VALUE!</v>
      </c>
      <c r="DB22" s="451">
        <f t="shared" si="1"/>
        <v>-312</v>
      </c>
      <c r="DC22" s="451" t="e">
        <f t="shared" si="1"/>
        <v>#VALUE!</v>
      </c>
      <c r="DD22" s="451">
        <f t="shared" si="1"/>
        <v>-376</v>
      </c>
      <c r="DE22" s="451" t="e">
        <f t="shared" si="1"/>
        <v>#VALUE!</v>
      </c>
      <c r="DF22" s="451">
        <f t="shared" si="1"/>
        <v>-413</v>
      </c>
      <c r="DG22" s="451" t="e">
        <f t="shared" si="1"/>
        <v>#VALUE!</v>
      </c>
      <c r="DH22" s="451">
        <f t="shared" si="1"/>
        <v>-441</v>
      </c>
      <c r="DI22" s="451" t="e">
        <f t="shared" si="1"/>
        <v>#VALUE!</v>
      </c>
      <c r="DJ22" s="451">
        <f>DJ20-DJ21</f>
        <v>-352</v>
      </c>
      <c r="DK22" s="451" t="e">
        <f t="shared" ref="DK22:DZ22" si="2">DK20-DK21</f>
        <v>#VALUE!</v>
      </c>
      <c r="DL22" s="451">
        <f t="shared" si="2"/>
        <v>-308</v>
      </c>
      <c r="DM22" s="451" t="e">
        <f t="shared" si="2"/>
        <v>#VALUE!</v>
      </c>
      <c r="DN22" s="451">
        <f t="shared" si="2"/>
        <v>-310</v>
      </c>
      <c r="DO22" s="451" t="e">
        <f t="shared" si="2"/>
        <v>#VALUE!</v>
      </c>
      <c r="DP22" s="451">
        <f t="shared" si="2"/>
        <v>-451</v>
      </c>
      <c r="DQ22" s="451" t="e">
        <f t="shared" si="2"/>
        <v>#VALUE!</v>
      </c>
      <c r="DR22" s="451">
        <f t="shared" si="2"/>
        <v>-360</v>
      </c>
      <c r="DS22" s="451" t="e">
        <f t="shared" si="2"/>
        <v>#VALUE!</v>
      </c>
      <c r="DT22" s="451">
        <f t="shared" si="2"/>
        <v>-340</v>
      </c>
      <c r="DU22" s="451" t="e">
        <f t="shared" si="2"/>
        <v>#VALUE!</v>
      </c>
      <c r="DV22" s="451">
        <f t="shared" si="2"/>
        <v>-320</v>
      </c>
      <c r="DW22" s="451" t="e">
        <f t="shared" si="2"/>
        <v>#VALUE!</v>
      </c>
      <c r="DX22" s="451">
        <f t="shared" si="2"/>
        <v>-430</v>
      </c>
      <c r="DY22" s="451" t="e">
        <f t="shared" si="2"/>
        <v>#VALUE!</v>
      </c>
      <c r="DZ22" s="451">
        <f t="shared" si="2"/>
        <v>0</v>
      </c>
      <c r="EA22" s="439"/>
      <c r="EB22" s="439"/>
      <c r="EC22" s="452"/>
      <c r="ED22" s="439"/>
      <c r="EE22" s="452"/>
      <c r="EF22" s="439"/>
      <c r="EG22" s="452"/>
      <c r="EH22" s="439"/>
      <c r="EI22" s="451"/>
      <c r="EJ22" s="438"/>
      <c r="EK22" s="451"/>
      <c r="EL22" s="438"/>
      <c r="EM22" s="451"/>
      <c r="EN22" s="438"/>
      <c r="EO22" s="451"/>
      <c r="EP22" s="438"/>
      <c r="EQ22" s="451">
        <f>EQ20-EQ21</f>
        <v>2555</v>
      </c>
      <c r="ER22" s="438" t="str">
        <f>IF(ISERROR(EQ22/EO22),"NA",IF(OR(EQ22/EO22&gt;2,EQ22/EO22&lt;0.5),"NM",EQ22/EO22*100-100))</f>
        <v>NA</v>
      </c>
      <c r="ES22" s="451">
        <f>ES20-ES21</f>
        <v>3195</v>
      </c>
      <c r="ET22" s="438">
        <f>IF(ISERROR(ES22/EQ22),"NA",IF(OR(ES22/EQ22&gt;2,ES22/EQ22&lt;0.5),"NM",ES22/EQ22*100-100))</f>
        <v>25.048923679060664</v>
      </c>
      <c r="EU22" s="451">
        <f>EU20-EU21</f>
        <v>4189.7</v>
      </c>
      <c r="EV22" s="438">
        <f>IF(ISERROR(EU22/ES22),"NA",IF(OR(EU22/ES22&gt;2,EU22/ES22&lt;0.5),"NM",EU22/ES22*100-100))</f>
        <v>31.133020344287957</v>
      </c>
      <c r="EW22" s="451">
        <f>EW20-EW21</f>
        <v>4488</v>
      </c>
      <c r="EX22" s="451">
        <f t="shared" ref="EX22:FB22" si="3">EX20-EX21</f>
        <v>35.100251049793428</v>
      </c>
      <c r="EY22" s="451">
        <f t="shared" si="3"/>
        <v>-1315</v>
      </c>
      <c r="EZ22" s="451" t="e">
        <f t="shared" si="3"/>
        <v>#VALUE!</v>
      </c>
      <c r="FA22" s="451">
        <f t="shared" si="3"/>
        <v>-1329</v>
      </c>
      <c r="FB22" s="451" t="e">
        <f t="shared" si="3"/>
        <v>#VALUE!</v>
      </c>
      <c r="FC22" s="451">
        <f>FC20-FC21</f>
        <v>-1244.5</v>
      </c>
      <c r="FD22" s="451" t="e">
        <f t="shared" ref="FD22:FS22" si="4">FD20-FD21</f>
        <v>#VALUE!</v>
      </c>
      <c r="FE22" s="451">
        <f t="shared" si="4"/>
        <v>-1542</v>
      </c>
      <c r="FF22" s="451" t="e">
        <f t="shared" si="4"/>
        <v>#VALUE!</v>
      </c>
      <c r="FG22" s="451">
        <f t="shared" si="4"/>
        <v>-1421</v>
      </c>
      <c r="FH22" s="451" t="e">
        <f t="shared" si="4"/>
        <v>#VALUE!</v>
      </c>
      <c r="FI22" s="451">
        <f t="shared" si="4"/>
        <v>-1450</v>
      </c>
      <c r="FJ22" s="451" t="e">
        <f t="shared" si="4"/>
        <v>#VALUE!</v>
      </c>
      <c r="FK22" s="451">
        <f t="shared" si="4"/>
        <v>-1500.7499999999998</v>
      </c>
      <c r="FL22" s="451" t="e">
        <f t="shared" si="4"/>
        <v>#VALUE!</v>
      </c>
      <c r="FM22" s="451">
        <f t="shared" si="4"/>
        <v>-1545.7724999999998</v>
      </c>
      <c r="FN22" s="451" t="e">
        <f t="shared" si="4"/>
        <v>#VALUE!</v>
      </c>
      <c r="FO22" s="451">
        <f t="shared" si="4"/>
        <v>-1592.1456749999998</v>
      </c>
      <c r="FP22" s="451" t="e">
        <f t="shared" si="4"/>
        <v>#VALUE!</v>
      </c>
      <c r="FQ22" s="451">
        <f t="shared" si="4"/>
        <v>-1641.5021909249997</v>
      </c>
      <c r="FR22" s="451" t="e">
        <f t="shared" si="4"/>
        <v>#VALUE!</v>
      </c>
      <c r="FS22" s="863" t="e">
        <f t="shared" si="4"/>
        <v>#VALUE!</v>
      </c>
    </row>
    <row r="23" spans="1:175" s="529" customFormat="1" ht="7.5" customHeight="1" collapsed="1" x14ac:dyDescent="0.2">
      <c r="A23" s="830"/>
      <c r="B23" s="453"/>
      <c r="C23" s="453"/>
      <c r="D23" s="453"/>
      <c r="E23" s="453"/>
      <c r="F23" s="453"/>
      <c r="G23" s="453"/>
      <c r="H23" s="453"/>
      <c r="I23" s="453"/>
      <c r="J23" s="453"/>
      <c r="K23" s="453"/>
      <c r="L23" s="453"/>
      <c r="M23" s="453"/>
      <c r="N23" s="453"/>
      <c r="O23" s="453"/>
      <c r="P23" s="453"/>
      <c r="Q23" s="453"/>
      <c r="R23" s="453"/>
      <c r="S23" s="453"/>
      <c r="T23" s="453"/>
      <c r="U23" s="453"/>
      <c r="V23" s="453"/>
      <c r="W23" s="453"/>
      <c r="X23" s="453"/>
      <c r="Y23" s="453"/>
      <c r="Z23" s="453"/>
      <c r="AA23" s="453"/>
      <c r="AB23" s="453"/>
      <c r="AC23" s="453"/>
      <c r="AD23" s="453"/>
      <c r="AE23" s="453"/>
      <c r="AF23" s="453"/>
      <c r="AG23" s="453"/>
      <c r="AH23" s="453"/>
      <c r="AI23" s="453"/>
      <c r="AJ23" s="453"/>
      <c r="AK23" s="453"/>
      <c r="AL23" s="453"/>
      <c r="AM23" s="453"/>
      <c r="AN23" s="453"/>
      <c r="AO23" s="453"/>
      <c r="AP23" s="453"/>
      <c r="AQ23" s="453"/>
      <c r="AR23" s="453"/>
      <c r="AS23" s="453"/>
      <c r="AT23" s="453"/>
      <c r="AU23" s="453"/>
      <c r="AV23" s="453"/>
      <c r="AW23" s="453"/>
      <c r="AX23" s="453"/>
      <c r="AY23" s="453"/>
      <c r="AZ23" s="453"/>
      <c r="BA23" s="453"/>
      <c r="BB23" s="453"/>
      <c r="BC23" s="453"/>
      <c r="BD23" s="453"/>
      <c r="BE23" s="453"/>
      <c r="BF23" s="453"/>
      <c r="BG23" s="453"/>
      <c r="BH23" s="453"/>
      <c r="BI23" s="453"/>
      <c r="BJ23" s="453"/>
      <c r="BK23" s="453"/>
      <c r="BL23" s="453"/>
      <c r="BM23" s="453"/>
      <c r="BN23" s="453"/>
      <c r="BO23" s="453"/>
      <c r="BP23" s="453"/>
      <c r="BQ23" s="453"/>
      <c r="BR23" s="453"/>
      <c r="BS23" s="453"/>
      <c r="BT23" s="453"/>
      <c r="BU23" s="453"/>
      <c r="BV23" s="453"/>
      <c r="BW23" s="453"/>
      <c r="BX23" s="453"/>
      <c r="BY23" s="453"/>
      <c r="BZ23" s="453"/>
      <c r="CA23" s="453"/>
      <c r="CB23" s="453"/>
      <c r="CC23" s="453"/>
      <c r="CD23" s="453"/>
      <c r="CE23" s="453"/>
      <c r="CF23" s="453"/>
      <c r="CG23" s="453"/>
      <c r="CH23" s="453"/>
      <c r="CI23" s="453"/>
      <c r="CJ23" s="453"/>
      <c r="CK23" s="453"/>
      <c r="CL23" s="453"/>
      <c r="CM23" s="453"/>
      <c r="CN23" s="453"/>
      <c r="CO23" s="453"/>
      <c r="CP23" s="453"/>
      <c r="CQ23" s="453"/>
      <c r="CR23" s="453"/>
      <c r="CS23" s="453"/>
      <c r="CT23" s="453"/>
      <c r="CU23" s="453"/>
      <c r="CV23" s="453"/>
      <c r="CW23" s="453"/>
      <c r="CX23" s="453"/>
      <c r="CY23" s="453"/>
      <c r="CZ23" s="453"/>
      <c r="DA23" s="453"/>
      <c r="DB23" s="453"/>
      <c r="DC23" s="453"/>
      <c r="DD23" s="453"/>
      <c r="DE23" s="453"/>
      <c r="DF23" s="453"/>
      <c r="DG23" s="453"/>
      <c r="DH23" s="453"/>
      <c r="DI23" s="453"/>
      <c r="DJ23" s="453"/>
      <c r="DK23" s="453"/>
      <c r="DL23" s="453"/>
      <c r="DM23" s="453"/>
      <c r="DN23" s="453"/>
      <c r="DO23" s="453"/>
      <c r="DP23" s="453"/>
      <c r="DQ23" s="453"/>
      <c r="DR23" s="453"/>
      <c r="DS23" s="453"/>
      <c r="DT23" s="453"/>
      <c r="DU23" s="453"/>
      <c r="DV23" s="453"/>
      <c r="DW23" s="453"/>
      <c r="DX23" s="453"/>
      <c r="DY23" s="453"/>
      <c r="DZ23" s="453"/>
      <c r="EA23" s="454"/>
      <c r="EB23" s="454"/>
      <c r="EC23" s="453"/>
      <c r="ED23" s="454"/>
      <c r="EE23" s="453"/>
      <c r="EF23" s="454"/>
      <c r="EG23" s="453"/>
      <c r="EH23" s="454"/>
      <c r="EI23" s="453"/>
      <c r="EJ23" s="454"/>
      <c r="EK23" s="453"/>
      <c r="EL23" s="454"/>
      <c r="EM23" s="453"/>
      <c r="EN23" s="454"/>
      <c r="EO23" s="453"/>
      <c r="EP23" s="454"/>
      <c r="EQ23" s="453"/>
      <c r="ER23" s="454"/>
      <c r="ES23" s="453"/>
      <c r="ET23" s="454"/>
      <c r="EU23" s="453"/>
      <c r="EV23" s="454"/>
      <c r="EW23" s="453"/>
      <c r="EX23" s="453"/>
      <c r="EY23" s="453"/>
      <c r="EZ23" s="453"/>
      <c r="FA23" s="453"/>
      <c r="FB23" s="453"/>
      <c r="FC23" s="453"/>
      <c r="FD23" s="453"/>
      <c r="FE23" s="453"/>
      <c r="FF23" s="453"/>
      <c r="FG23" s="453"/>
      <c r="FH23" s="453"/>
      <c r="FI23" s="453"/>
      <c r="FJ23" s="453"/>
      <c r="FK23" s="453"/>
      <c r="FL23" s="453"/>
      <c r="FM23" s="453"/>
      <c r="FN23" s="453"/>
      <c r="FO23" s="453"/>
      <c r="FP23" s="453"/>
      <c r="FQ23" s="453"/>
      <c r="FR23" s="453"/>
      <c r="FS23" s="864"/>
    </row>
    <row r="24" spans="1:175" s="529" customFormat="1" ht="12.75" customHeight="1" x14ac:dyDescent="0.2">
      <c r="A24" s="829" t="str">
        <f>INPUT!B533</f>
        <v>Core Pretax Earnings</v>
      </c>
      <c r="B24" s="451">
        <f>INPUT!AA533</f>
        <v>456</v>
      </c>
      <c r="C24" s="451">
        <f>INPUT!AB533</f>
        <v>-7.6923076923076934</v>
      </c>
      <c r="D24" s="451">
        <f>INPUT!AC533</f>
        <v>550</v>
      </c>
      <c r="E24" s="451">
        <f>INPUT!AD533</f>
        <v>17.27078891257996</v>
      </c>
      <c r="F24" s="451">
        <f>INPUT!AE533</f>
        <v>519</v>
      </c>
      <c r="G24" s="451">
        <f>INPUT!AF533</f>
        <v>17.420814479638011</v>
      </c>
      <c r="H24" s="451">
        <f>INPUT!AG533</f>
        <v>562</v>
      </c>
      <c r="I24" s="451">
        <f>INPUT!AH533</f>
        <v>49.468085106383</v>
      </c>
      <c r="J24" s="451">
        <f>INPUT!AI533</f>
        <v>564</v>
      </c>
      <c r="K24" s="451">
        <f>INPUT!AJ533</f>
        <v>23.684210526315795</v>
      </c>
      <c r="L24" s="451">
        <f>INPUT!AK533</f>
        <v>723</v>
      </c>
      <c r="M24" s="451">
        <f>INPUT!AL533</f>
        <v>31.454545454545439</v>
      </c>
      <c r="N24" s="451">
        <f>INPUT!AM533</f>
        <v>712</v>
      </c>
      <c r="O24" s="451">
        <f>INPUT!AN533</f>
        <v>37.186897880539505</v>
      </c>
      <c r="P24" s="451">
        <f>INPUT!AO533</f>
        <v>697</v>
      </c>
      <c r="Q24" s="451">
        <f>INPUT!AP533</f>
        <v>24.02135231316727</v>
      </c>
      <c r="R24" s="451">
        <f>INPUT!AQ533</f>
        <v>761</v>
      </c>
      <c r="S24" s="451">
        <f>INPUT!AR533</f>
        <v>34.929078014184398</v>
      </c>
      <c r="T24" s="451">
        <f>INPUT!AS533</f>
        <v>806</v>
      </c>
      <c r="U24" s="451">
        <f>INPUT!AT533</f>
        <v>11.479944674965424</v>
      </c>
      <c r="V24" s="451">
        <f>INPUT!AU533</f>
        <v>876</v>
      </c>
      <c r="W24" s="451">
        <f>INPUT!AV533</f>
        <v>23.033707865168537</v>
      </c>
      <c r="X24" s="451">
        <f>INPUT!AW533</f>
        <v>940</v>
      </c>
      <c r="Y24" s="451">
        <f>INPUT!AX533</f>
        <v>34.863701578192263</v>
      </c>
      <c r="Z24" s="451">
        <f>INPUT!AY533</f>
        <v>957</v>
      </c>
      <c r="AA24" s="451">
        <f>INPUT!AZ533</f>
        <v>25.755584756898813</v>
      </c>
      <c r="AB24" s="451">
        <f>INPUT!BA533</f>
        <v>941</v>
      </c>
      <c r="AC24" s="451">
        <f>INPUT!BB533</f>
        <v>16.749379652605455</v>
      </c>
      <c r="AD24" s="451">
        <f>INPUT!BC533</f>
        <v>943</v>
      </c>
      <c r="AE24" s="451">
        <f>INPUT!BD533</f>
        <v>7.6484018264840046</v>
      </c>
      <c r="AF24" s="451">
        <f>INPUT!BE533</f>
        <v>972</v>
      </c>
      <c r="AG24" s="451">
        <f>INPUT!BF533</f>
        <v>3.4042553191489446</v>
      </c>
      <c r="AH24" s="451">
        <f>INPUT!BG533</f>
        <v>1049.5999999999999</v>
      </c>
      <c r="AI24" s="451">
        <f>INPUT!BH533</f>
        <v>9.6760710553813993</v>
      </c>
      <c r="AJ24" s="451">
        <f>INPUT!BI533</f>
        <v>1096</v>
      </c>
      <c r="AK24" s="451">
        <f>INPUT!BJ533</f>
        <v>16.471838469713077</v>
      </c>
      <c r="AL24" s="451">
        <f>INPUT!BK533</f>
        <v>1310</v>
      </c>
      <c r="AM24" s="451">
        <f>INPUT!BL533</f>
        <v>38.918345705196202</v>
      </c>
      <c r="AN24" s="451">
        <f>INPUT!BM533</f>
        <v>1174</v>
      </c>
      <c r="AO24" s="451">
        <f>INPUT!BN533</f>
        <v>20.781893004115233</v>
      </c>
      <c r="AP24" s="451">
        <f>INPUT!BO533</f>
        <v>942</v>
      </c>
      <c r="AQ24" s="451">
        <f>INPUT!BP533</f>
        <v>-10.251524390243887</v>
      </c>
      <c r="AR24" s="451">
        <f>INPUT!BQ533</f>
        <v>1074</v>
      </c>
      <c r="AS24" s="451">
        <f>INPUT!BR533</f>
        <v>-2.0072992700729912</v>
      </c>
      <c r="AT24" s="451">
        <f>INPUT!BS533</f>
        <v>960</v>
      </c>
      <c r="AU24" s="451">
        <f>INPUT!BT533</f>
        <v>-26.717557251908403</v>
      </c>
      <c r="AV24" s="451">
        <f>INPUT!BU533</f>
        <v>575</v>
      </c>
      <c r="AW24" s="451" t="str">
        <f>INPUT!BV533</f>
        <v>NM</v>
      </c>
      <c r="AX24" s="451">
        <f>INPUT!BW533</f>
        <v>613</v>
      </c>
      <c r="AY24" s="451">
        <f>INPUT!BX533</f>
        <v>-34.925690021231432</v>
      </c>
      <c r="AZ24" s="451">
        <f>INPUT!BY533</f>
        <v>714</v>
      </c>
      <c r="BA24" s="451">
        <f>INPUT!BZ533</f>
        <v>-33.519553072625698</v>
      </c>
      <c r="BB24" s="451">
        <f>INPUT!CA533</f>
        <v>835</v>
      </c>
      <c r="BC24" s="451">
        <f>INPUT!CB533</f>
        <v>-13.020833333333343</v>
      </c>
      <c r="BD24" s="451">
        <f>INPUT!CC533</f>
        <v>686</v>
      </c>
      <c r="BE24" s="451">
        <f>INPUT!CD533</f>
        <v>19.304347826086968</v>
      </c>
      <c r="BF24" s="451">
        <f>INPUT!CE533</f>
        <v>757</v>
      </c>
      <c r="BG24" s="451">
        <f>INPUT!CF533</f>
        <v>23.491027732463294</v>
      </c>
      <c r="BH24" s="451">
        <f>INPUT!CG533</f>
        <v>811</v>
      </c>
      <c r="BI24" s="451">
        <f>INPUT!CH533</f>
        <v>13.585434173669469</v>
      </c>
      <c r="BJ24" s="451">
        <f>INPUT!CI533</f>
        <v>755</v>
      </c>
      <c r="BK24" s="451">
        <f>INPUT!CJ533</f>
        <v>-9.5808383233532908</v>
      </c>
      <c r="BL24" s="451">
        <f>INPUT!CK533</f>
        <v>872</v>
      </c>
      <c r="BM24" s="451">
        <f>INPUT!CL533</f>
        <v>27.113702623906704</v>
      </c>
      <c r="BN24" s="451">
        <f>INPUT!CM533</f>
        <v>949.7</v>
      </c>
      <c r="BO24" s="451">
        <f>INPUT!CN533</f>
        <v>25.455746367239101</v>
      </c>
      <c r="BP24" s="451">
        <f>INPUT!CO533</f>
        <v>1105</v>
      </c>
      <c r="BQ24" s="451">
        <f>INPUT!CP533</f>
        <v>36.251541307028361</v>
      </c>
      <c r="BR24" s="451">
        <f>INPUT!CQ533</f>
        <v>983</v>
      </c>
      <c r="BS24" s="451">
        <f>INPUT!CR533</f>
        <v>30.198675496688736</v>
      </c>
      <c r="BT24" s="451">
        <f>INPUT!CS533</f>
        <v>978</v>
      </c>
      <c r="BU24" s="451">
        <f>INPUT!CT533</f>
        <v>12.155963302752298</v>
      </c>
      <c r="BV24" s="451">
        <f>INPUT!CU533</f>
        <v>928</v>
      </c>
      <c r="BW24" s="451">
        <f>INPUT!CV533</f>
        <v>-2.2849320838159457</v>
      </c>
      <c r="BX24" s="451">
        <f>INPUT!CW533</f>
        <v>1102</v>
      </c>
      <c r="BY24" s="451">
        <f>INPUT!CX533</f>
        <v>-0.27149321266968229</v>
      </c>
      <c r="BZ24" s="451">
        <f>INPUT!CY533</f>
        <v>1187</v>
      </c>
      <c r="CA24" s="451">
        <f>INPUT!CZ533</f>
        <v>20.752797558494393</v>
      </c>
      <c r="CB24" s="451">
        <f>INPUT!DA533</f>
        <v>1132</v>
      </c>
      <c r="CC24" s="451">
        <f>INPUT!DB533</f>
        <v>15.746421267893652</v>
      </c>
      <c r="CD24" s="451">
        <f>INPUT!DC533</f>
        <v>1372</v>
      </c>
      <c r="CE24" s="451">
        <f>INPUT!DD533</f>
        <v>47.84482758620689</v>
      </c>
      <c r="CF24" s="451">
        <f>INPUT!DE533</f>
        <v>1371</v>
      </c>
      <c r="CG24" s="451">
        <f>INPUT!DF533</f>
        <v>24.410163339382947</v>
      </c>
      <c r="CH24" s="451">
        <f>INPUT!DG533</f>
        <v>1515</v>
      </c>
      <c r="CI24" s="451">
        <f>INPUT!DH533</f>
        <v>27.632687447346257</v>
      </c>
      <c r="CJ24" s="451">
        <f>INPUT!DI533</f>
        <v>1473</v>
      </c>
      <c r="CK24" s="451">
        <f>INPUT!DJ533</f>
        <v>30.123674911660771</v>
      </c>
      <c r="CL24" s="451">
        <f>INPUT!DK533</f>
        <v>1616</v>
      </c>
      <c r="CM24" s="451">
        <f>INPUT!DL533</f>
        <v>17.78425655976676</v>
      </c>
      <c r="CN24" s="451">
        <f>INPUT!DM533</f>
        <v>1635</v>
      </c>
      <c r="CO24" s="451">
        <f>INPUT!DN533</f>
        <v>19.256017505470453</v>
      </c>
      <c r="CP24" s="451">
        <f>INPUT!DO533</f>
        <v>1597</v>
      </c>
      <c r="CQ24" s="451">
        <f>INPUT!DP533</f>
        <v>5.4125412541254008</v>
      </c>
      <c r="CR24" s="451">
        <f>INPUT!DQ533</f>
        <v>1496</v>
      </c>
      <c r="CS24" s="451">
        <f>INPUT!DR533</f>
        <v>1.5614392396469725</v>
      </c>
      <c r="CT24" s="451">
        <f>INPUT!DS533</f>
        <v>1648</v>
      </c>
      <c r="CU24" s="451">
        <f>INPUT!DT533</f>
        <v>1.9801980198019749</v>
      </c>
      <c r="CV24" s="451">
        <f>INPUT!DU533</f>
        <v>1638</v>
      </c>
      <c r="CW24" s="451">
        <f>INPUT!DV533</f>
        <v>0.18348623853211166</v>
      </c>
      <c r="CX24" s="451">
        <f>INPUT!DW533</f>
        <v>1547</v>
      </c>
      <c r="CY24" s="451">
        <f>INPUT!DX533</f>
        <v>-3.1308703819661901</v>
      </c>
      <c r="CZ24" s="451">
        <f>INPUT!DY533</f>
        <v>1274.5</v>
      </c>
      <c r="DA24" s="451">
        <f>INPUT!DZ533</f>
        <v>-14.806149732620327</v>
      </c>
      <c r="DB24" s="451">
        <f>INPUT!EA533</f>
        <v>1423</v>
      </c>
      <c r="DC24" s="451">
        <f>INPUT!EB533</f>
        <v>-13.652912621359221</v>
      </c>
      <c r="DD24" s="451">
        <f>INPUT!EC533</f>
        <v>1492</v>
      </c>
      <c r="DE24" s="451">
        <f>INPUT!ED533</f>
        <v>-8.9133089133089101</v>
      </c>
      <c r="DF24" s="451">
        <f>INPUT!EE533</f>
        <v>1453</v>
      </c>
      <c r="DG24" s="451">
        <f>INPUT!EF533</f>
        <v>-6.0762766645119655</v>
      </c>
      <c r="DH24" s="451">
        <f>INPUT!EG533</f>
        <v>1439</v>
      </c>
      <c r="DI24" s="451">
        <f>INPUT!EH533</f>
        <v>12.907022361710489</v>
      </c>
      <c r="DJ24" s="451">
        <f>INPUT!EI533</f>
        <v>1640.1</v>
      </c>
      <c r="DK24" s="451">
        <f>INPUT!EJ533</f>
        <v>15.256500351370335</v>
      </c>
      <c r="DL24" s="451">
        <f>INPUT!EK533</f>
        <v>1796</v>
      </c>
      <c r="DM24" s="451">
        <f>INPUT!EL533</f>
        <v>20.375335120643427</v>
      </c>
      <c r="DN24" s="451">
        <f>INPUT!EM533</f>
        <v>1736</v>
      </c>
      <c r="DO24" s="451">
        <f>INPUT!EN533</f>
        <v>19.476944253269096</v>
      </c>
      <c r="DP24" s="451">
        <f>INPUT!EO533</f>
        <v>1568</v>
      </c>
      <c r="DQ24" s="451">
        <f>INPUT!EP533</f>
        <v>8.9645587213342566</v>
      </c>
      <c r="DR24" s="451">
        <f>INPUT!EQ533</f>
        <v>1714.94101971797</v>
      </c>
      <c r="DS24" s="451">
        <f>INPUT!ER533</f>
        <v>4.5631985682561975</v>
      </c>
      <c r="DT24" s="451">
        <f>INPUT!ES533</f>
        <v>1724.30578930712</v>
      </c>
      <c r="DU24" s="451">
        <f>INPUT!ET533</f>
        <v>-3.9918825552828565</v>
      </c>
      <c r="DV24" s="451">
        <f>INPUT!EU533</f>
        <v>1704.9226454723339</v>
      </c>
      <c r="DW24" s="451">
        <f>INPUT!EV533</f>
        <v>-1.7901701916858315</v>
      </c>
      <c r="DX24" s="451">
        <f>INPUT!EW533</f>
        <v>1537.9404567817808</v>
      </c>
      <c r="DY24" s="451">
        <f>INPUT!EX533</f>
        <v>-1.9170627052435805</v>
      </c>
      <c r="DZ24" s="451">
        <f>INPUT!EY533</f>
        <v>0</v>
      </c>
      <c r="EX24" s="451">
        <f>INPUT!GE533</f>
        <v>8.2999228029982248</v>
      </c>
      <c r="EY24" s="451">
        <f>INPUT!GF533</f>
        <v>5731</v>
      </c>
      <c r="EZ24" s="451">
        <f>INPUT!GG533</f>
        <v>31.777420096573906</v>
      </c>
      <c r="FA24" s="451">
        <f>INPUT!GH533</f>
        <v>6344</v>
      </c>
      <c r="FB24" s="451">
        <f>INPUT!GI533</f>
        <v>10.696213575292262</v>
      </c>
      <c r="FC24" s="451">
        <f>INPUT!GJ533</f>
        <v>6107.5</v>
      </c>
      <c r="FD24" s="451">
        <f>INPUT!GK533</f>
        <v>-3.7279319041614087</v>
      </c>
      <c r="FE24" s="451">
        <f>INPUT!GL533</f>
        <v>5807</v>
      </c>
      <c r="FF24" s="451">
        <f>INPUT!GM533</f>
        <v>-4.920180106426514</v>
      </c>
      <c r="FG24" s="451">
        <f>INPUT!GN533</f>
        <v>6740.1</v>
      </c>
      <c r="FH24" s="451">
        <f>INPUT!GO533</f>
        <v>16.068537971413804</v>
      </c>
      <c r="FI24" s="451">
        <f>INPUT!GP533</f>
        <v>6682.1099112792044</v>
      </c>
      <c r="FJ24" s="451">
        <f>INPUT!GQ533</f>
        <v>-0.8603743078113979</v>
      </c>
      <c r="FK24" s="451">
        <f>INPUT!GR533</f>
        <v>6763.3154899509773</v>
      </c>
      <c r="FL24" s="451">
        <f>INPUT!GS533</f>
        <v>1.215268526707419</v>
      </c>
      <c r="FM24" s="451">
        <f>INPUT!GT533</f>
        <v>6833.5605709238998</v>
      </c>
      <c r="FN24" s="451">
        <f>INPUT!GU533</f>
        <v>1.0386190186942201</v>
      </c>
      <c r="FO24" s="451">
        <f>INPUT!GV533</f>
        <v>6911.8040872976526</v>
      </c>
      <c r="FP24" s="451">
        <f>INPUT!GW533</f>
        <v>1.1449889930978543</v>
      </c>
      <c r="FQ24" s="451">
        <f>INPUT!GX533</f>
        <v>6979.8482302145721</v>
      </c>
      <c r="FR24" s="451">
        <f>INPUT!GY533</f>
        <v>0.98446284150284669</v>
      </c>
      <c r="FS24" s="862">
        <f>INPUT!GZ533</f>
        <v>0.70149727359427594</v>
      </c>
    </row>
    <row r="25" spans="1:175" s="529" customFormat="1" ht="5.25" customHeight="1" x14ac:dyDescent="0.2">
      <c r="A25" s="826"/>
      <c r="B25" s="450"/>
      <c r="C25" s="450"/>
      <c r="D25" s="450"/>
      <c r="E25" s="450"/>
      <c r="F25" s="450"/>
      <c r="G25" s="450"/>
      <c r="H25" s="450"/>
      <c r="I25" s="450"/>
      <c r="J25" s="450"/>
      <c r="K25" s="450"/>
      <c r="L25" s="450"/>
      <c r="M25" s="450"/>
      <c r="N25" s="450"/>
      <c r="O25" s="450"/>
      <c r="P25" s="450"/>
      <c r="Q25" s="450"/>
      <c r="R25" s="450"/>
      <c r="S25" s="450"/>
      <c r="T25" s="450"/>
      <c r="U25" s="450"/>
      <c r="V25" s="450"/>
      <c r="W25" s="450"/>
      <c r="X25" s="450"/>
      <c r="Y25" s="450"/>
      <c r="Z25" s="450"/>
      <c r="AA25" s="450"/>
      <c r="AB25" s="450"/>
      <c r="AC25" s="450"/>
      <c r="AD25" s="450"/>
      <c r="AE25" s="450"/>
      <c r="AF25" s="450"/>
      <c r="AG25" s="450"/>
      <c r="AH25" s="450"/>
      <c r="AI25" s="450"/>
      <c r="AJ25" s="450"/>
      <c r="AK25" s="450"/>
      <c r="AL25" s="450"/>
      <c r="AM25" s="450"/>
      <c r="AN25" s="450"/>
      <c r="AO25" s="450"/>
      <c r="AP25" s="450"/>
      <c r="AQ25" s="450"/>
      <c r="AR25" s="450"/>
      <c r="AS25" s="450"/>
      <c r="AT25" s="450"/>
      <c r="AU25" s="450"/>
      <c r="AV25" s="450"/>
      <c r="AW25" s="450"/>
      <c r="AX25" s="450"/>
      <c r="AY25" s="450"/>
      <c r="AZ25" s="450"/>
      <c r="BA25" s="450"/>
      <c r="BB25" s="450"/>
      <c r="BC25" s="450"/>
      <c r="BD25" s="450"/>
      <c r="BE25" s="450"/>
      <c r="BF25" s="450"/>
      <c r="BG25" s="450"/>
      <c r="BH25" s="450"/>
      <c r="BI25" s="450"/>
      <c r="BJ25" s="450"/>
      <c r="BK25" s="450"/>
      <c r="BL25" s="450"/>
      <c r="BM25" s="450"/>
      <c r="BN25" s="450"/>
      <c r="BO25" s="450"/>
      <c r="BP25" s="450"/>
      <c r="BQ25" s="450"/>
      <c r="BR25" s="450"/>
      <c r="BS25" s="450"/>
      <c r="BT25" s="450"/>
      <c r="BU25" s="450"/>
      <c r="BV25" s="450"/>
      <c r="BW25" s="450"/>
      <c r="BX25" s="450"/>
      <c r="BY25" s="450"/>
      <c r="BZ25" s="450"/>
      <c r="CA25" s="450"/>
      <c r="CB25" s="450"/>
      <c r="CC25" s="450"/>
      <c r="CD25" s="450"/>
      <c r="CE25" s="450"/>
      <c r="CF25" s="450"/>
      <c r="CG25" s="450"/>
      <c r="CH25" s="450"/>
      <c r="CI25" s="450"/>
      <c r="CJ25" s="450"/>
      <c r="CK25" s="450"/>
      <c r="CL25" s="450"/>
      <c r="CM25" s="450"/>
      <c r="CN25" s="450"/>
      <c r="CO25" s="450"/>
      <c r="CP25" s="450"/>
      <c r="CQ25" s="450"/>
      <c r="CR25" s="450"/>
      <c r="CS25" s="450"/>
      <c r="CT25" s="450"/>
      <c r="CU25" s="450"/>
      <c r="CV25" s="450"/>
      <c r="CW25" s="450"/>
      <c r="CX25" s="450"/>
      <c r="CY25" s="450"/>
      <c r="CZ25" s="450"/>
      <c r="DA25" s="450"/>
      <c r="DB25" s="450"/>
      <c r="DC25" s="450"/>
      <c r="DD25" s="450"/>
      <c r="DE25" s="450"/>
      <c r="DF25" s="450"/>
      <c r="DG25" s="450"/>
      <c r="DH25" s="450"/>
      <c r="DI25" s="450"/>
      <c r="DJ25" s="450"/>
      <c r="DK25" s="450"/>
      <c r="DL25" s="450"/>
      <c r="DM25" s="450"/>
      <c r="DN25" s="450"/>
      <c r="DO25" s="450"/>
      <c r="DP25" s="450"/>
      <c r="DQ25" s="450"/>
      <c r="DR25" s="450"/>
      <c r="DS25" s="450"/>
      <c r="DT25" s="450"/>
      <c r="DU25" s="450"/>
      <c r="DV25" s="450"/>
      <c r="DW25" s="450"/>
      <c r="DX25" s="450"/>
      <c r="DY25" s="450"/>
      <c r="DZ25" s="450"/>
      <c r="EA25" s="438"/>
      <c r="EB25" s="439"/>
      <c r="EC25" s="449"/>
      <c r="ED25" s="439"/>
      <c r="EE25" s="449"/>
      <c r="EF25" s="439"/>
      <c r="EG25" s="449"/>
      <c r="EH25" s="439"/>
      <c r="EI25" s="449"/>
      <c r="EJ25" s="438"/>
      <c r="EK25" s="449"/>
      <c r="EL25" s="439"/>
      <c r="EM25" s="449"/>
      <c r="EN25" s="439"/>
      <c r="EO25" s="449"/>
      <c r="EP25" s="439"/>
      <c r="EQ25" s="449"/>
      <c r="ER25" s="438"/>
      <c r="ES25" s="449"/>
      <c r="ET25" s="439"/>
      <c r="EU25" s="449"/>
      <c r="EV25" s="439"/>
      <c r="EW25" s="449"/>
      <c r="EX25" s="449"/>
      <c r="EY25" s="449"/>
      <c r="EZ25" s="449"/>
      <c r="FA25" s="449"/>
      <c r="FB25" s="449"/>
      <c r="FC25" s="449"/>
      <c r="FD25" s="449"/>
      <c r="FE25" s="449"/>
      <c r="FF25" s="449"/>
      <c r="FG25" s="449"/>
      <c r="FH25" s="449"/>
      <c r="FI25" s="449"/>
      <c r="FJ25" s="449"/>
      <c r="FK25" s="449"/>
      <c r="FL25" s="449"/>
      <c r="FM25" s="449"/>
      <c r="FN25" s="449"/>
      <c r="FO25" s="449"/>
      <c r="FP25" s="449"/>
      <c r="FQ25" s="449"/>
      <c r="FR25" s="449"/>
      <c r="FS25" s="865"/>
    </row>
    <row r="26" spans="1:175" s="529" customFormat="1" ht="12.75" customHeight="1" x14ac:dyDescent="0.2">
      <c r="A26" s="826" t="s">
        <v>656</v>
      </c>
      <c r="B26" s="450">
        <f>INPUT!AA534+B21</f>
        <v>0</v>
      </c>
      <c r="C26" s="450" t="e">
        <f>INPUT!AB534+C21</f>
        <v>#VALUE!</v>
      </c>
      <c r="D26" s="450">
        <f>INPUT!AC534+D21</f>
        <v>0</v>
      </c>
      <c r="E26" s="450" t="e">
        <f>INPUT!AD534+E21</f>
        <v>#VALUE!</v>
      </c>
      <c r="F26" s="450">
        <f>INPUT!AE534+F21</f>
        <v>0</v>
      </c>
      <c r="G26" s="450" t="e">
        <f>INPUT!AF534+G21</f>
        <v>#VALUE!</v>
      </c>
      <c r="H26" s="450">
        <f>INPUT!AG534+H21</f>
        <v>0</v>
      </c>
      <c r="I26" s="450" t="e">
        <f>INPUT!AH534+I21</f>
        <v>#VALUE!</v>
      </c>
      <c r="J26" s="450">
        <f>INPUT!AI534+J21</f>
        <v>0</v>
      </c>
      <c r="K26" s="450" t="e">
        <f>INPUT!AJ534+K21</f>
        <v>#VALUE!</v>
      </c>
      <c r="L26" s="450">
        <f>INPUT!AK534+L21</f>
        <v>0</v>
      </c>
      <c r="M26" s="450" t="e">
        <f>INPUT!AL534+M21</f>
        <v>#VALUE!</v>
      </c>
      <c r="N26" s="450">
        <f>INPUT!AM534+N21</f>
        <v>0</v>
      </c>
      <c r="O26" s="450" t="e">
        <f>INPUT!AN534+O21</f>
        <v>#VALUE!</v>
      </c>
      <c r="P26" s="450">
        <f>INPUT!AO534+P21</f>
        <v>65</v>
      </c>
      <c r="Q26" s="450" t="e">
        <f>INPUT!AP534+Q21</f>
        <v>#VALUE!</v>
      </c>
      <c r="R26" s="450">
        <f>INPUT!AQ534+R21</f>
        <v>110</v>
      </c>
      <c r="S26" s="450" t="e">
        <f>INPUT!AR534+S21</f>
        <v>#VALUE!</v>
      </c>
      <c r="T26" s="450">
        <f>INPUT!AS534+T21</f>
        <v>3</v>
      </c>
      <c r="U26" s="450" t="e">
        <f>INPUT!AT534+U21</f>
        <v>#VALUE!</v>
      </c>
      <c r="V26" s="450">
        <f>INPUT!AU534+V21</f>
        <v>124</v>
      </c>
      <c r="W26" s="450" t="e">
        <f>INPUT!AV534+W21</f>
        <v>#VALUE!</v>
      </c>
      <c r="X26" s="450">
        <f>INPUT!AW534+X21</f>
        <v>-189</v>
      </c>
      <c r="Y26" s="450" t="e">
        <f>INPUT!AX534+Y21</f>
        <v>#VALUE!</v>
      </c>
      <c r="Z26" s="450">
        <f>INPUT!AY534+Z21</f>
        <v>-103</v>
      </c>
      <c r="AA26" s="450" t="e">
        <f>INPUT!AZ534+AA21</f>
        <v>#VALUE!</v>
      </c>
      <c r="AB26" s="450">
        <f>INPUT!BA534+AB21</f>
        <v>-19</v>
      </c>
      <c r="AC26" s="450" t="e">
        <f>INPUT!BB534+AC21</f>
        <v>#VALUE!</v>
      </c>
      <c r="AD26" s="450">
        <f>INPUT!BC534+AD21</f>
        <v>163</v>
      </c>
      <c r="AE26" s="450">
        <f>INPUT!BD534+AE21</f>
        <v>31.451612903225794</v>
      </c>
      <c r="AF26" s="450">
        <f>INPUT!BE534+AF21</f>
        <v>49</v>
      </c>
      <c r="AG26" s="450" t="e">
        <f>INPUT!BF534+AG21</f>
        <v>#VALUE!</v>
      </c>
      <c r="AH26" s="450">
        <f>INPUT!BG534+AH21</f>
        <v>48</v>
      </c>
      <c r="AI26" s="450" t="e">
        <f>INPUT!BH534+AI21</f>
        <v>#VALUE!</v>
      </c>
      <c r="AJ26" s="450">
        <f>INPUT!BI534+AJ21</f>
        <v>25</v>
      </c>
      <c r="AK26" s="450" t="e">
        <f>INPUT!BJ534+AK21</f>
        <v>#VALUE!</v>
      </c>
      <c r="AL26" s="450">
        <f>INPUT!BK534+AL21</f>
        <v>-15</v>
      </c>
      <c r="AM26" s="450" t="e">
        <f>INPUT!BL534+AM21</f>
        <v>#VALUE!</v>
      </c>
      <c r="AN26" s="450">
        <f>INPUT!BM534+AN21</f>
        <v>-150</v>
      </c>
      <c r="AO26" s="450" t="e">
        <f>INPUT!BN534+AO21</f>
        <v>#VALUE!</v>
      </c>
      <c r="AP26" s="450">
        <f>INPUT!BO534+AP21</f>
        <v>-29</v>
      </c>
      <c r="AQ26" s="450" t="e">
        <f>INPUT!BP534+AQ21</f>
        <v>#VALUE!</v>
      </c>
      <c r="AR26" s="450">
        <f>INPUT!BQ534+AR21</f>
        <v>40</v>
      </c>
      <c r="AS26" s="450">
        <f>INPUT!BR534+AS21</f>
        <v>60</v>
      </c>
      <c r="AT26" s="450">
        <f>INPUT!BS534+AT21</f>
        <v>-356</v>
      </c>
      <c r="AU26" s="450" t="e">
        <f>INPUT!BT534+AU21</f>
        <v>#VALUE!</v>
      </c>
      <c r="AV26" s="450">
        <f>INPUT!BU534+AV21</f>
        <v>-1757</v>
      </c>
      <c r="AW26" s="450" t="e">
        <f>INPUT!BV534+AW21</f>
        <v>#VALUE!</v>
      </c>
      <c r="AX26" s="450">
        <f>INPUT!BW534+AX21</f>
        <v>-368</v>
      </c>
      <c r="AY26" s="450" t="e">
        <f>INPUT!BX534+AY21</f>
        <v>#VALUE!</v>
      </c>
      <c r="AZ26" s="450">
        <f>INPUT!BY534+AZ21</f>
        <v>453</v>
      </c>
      <c r="BA26" s="450" t="e">
        <f>INPUT!BZ534+BA21</f>
        <v>#VALUE!</v>
      </c>
      <c r="BB26" s="450">
        <f>INPUT!CA534+BB21</f>
        <v>231</v>
      </c>
      <c r="BC26" s="450" t="e">
        <f>INPUT!CB534+BC21</f>
        <v>#VALUE!</v>
      </c>
      <c r="BD26" s="450">
        <f>INPUT!CC534+BD21</f>
        <v>79</v>
      </c>
      <c r="BE26" s="450" t="e">
        <f>INPUT!CD534+BE21</f>
        <v>#VALUE!</v>
      </c>
      <c r="BF26" s="450">
        <f>INPUT!CE534+BF21</f>
        <v>99</v>
      </c>
      <c r="BG26" s="450" t="e">
        <f>INPUT!CF534+BG21</f>
        <v>#VALUE!</v>
      </c>
      <c r="BH26" s="450">
        <f>INPUT!CG534+BH21</f>
        <v>-321</v>
      </c>
      <c r="BI26" s="450" t="e">
        <f>INPUT!CH534+BI21</f>
        <v>#VALUE!</v>
      </c>
      <c r="BJ26" s="450">
        <f>INPUT!CI534+BJ21</f>
        <v>477</v>
      </c>
      <c r="BK26" s="450" t="e">
        <f>INPUT!CJ534+BK21</f>
        <v>#VALUE!</v>
      </c>
      <c r="BL26" s="450">
        <f>INPUT!CK534+BL21</f>
        <v>212</v>
      </c>
      <c r="BM26" s="450" t="e">
        <f>INPUT!CL534+BM21</f>
        <v>#VALUE!</v>
      </c>
      <c r="BN26" s="450">
        <f>INPUT!CM534+BN21</f>
        <v>146.30000000000001</v>
      </c>
      <c r="BO26" s="450" t="e">
        <f>INPUT!CN534+BO21</f>
        <v>#VALUE!</v>
      </c>
      <c r="BP26" s="450">
        <f>INPUT!CO534+BP21</f>
        <v>-53</v>
      </c>
      <c r="BQ26" s="450" t="e">
        <f>INPUT!CP534+BQ21</f>
        <v>#VALUE!</v>
      </c>
      <c r="BR26" s="450">
        <f>INPUT!CQ534+BR21</f>
        <v>-474</v>
      </c>
      <c r="BS26" s="450" t="e">
        <f>INPUT!CR534+BS21</f>
        <v>#VALUE!</v>
      </c>
      <c r="BT26" s="450">
        <f>INPUT!CS534+BT21</f>
        <v>188</v>
      </c>
      <c r="BU26" s="450" t="e">
        <f>INPUT!CT534+BU21</f>
        <v>#VALUE!</v>
      </c>
      <c r="BV26" s="450">
        <f>INPUT!CU534+BV21</f>
        <v>139</v>
      </c>
      <c r="BW26" s="450" t="e">
        <f>INPUT!CV534+BW21</f>
        <v>#VALUE!</v>
      </c>
      <c r="BX26" s="450">
        <f>INPUT!CW534+BX21</f>
        <v>-246</v>
      </c>
      <c r="BY26" s="450" t="e">
        <f>INPUT!CX534+BY21</f>
        <v>#VALUE!</v>
      </c>
      <c r="BZ26" s="450">
        <f>INPUT!CY534+BZ21</f>
        <v>-158</v>
      </c>
      <c r="CA26" s="450" t="e">
        <f>INPUT!CZ534+CA21</f>
        <v>#VALUE!</v>
      </c>
      <c r="CB26" s="450">
        <f>INPUT!DA534+CB21</f>
        <v>-56</v>
      </c>
      <c r="CC26" s="450" t="e">
        <f>INPUT!DB534+CC21</f>
        <v>#VALUE!</v>
      </c>
      <c r="CD26" s="450">
        <f>INPUT!DC534+CD21</f>
        <v>106</v>
      </c>
      <c r="CE26" s="450" t="e">
        <f>INPUT!DD534+CE21</f>
        <v>#VALUE!</v>
      </c>
      <c r="CF26" s="450">
        <f>INPUT!DE534+CF21</f>
        <v>146</v>
      </c>
      <c r="CG26" s="450" t="e">
        <f>INPUT!DF534+CG21</f>
        <v>#VALUE!</v>
      </c>
      <c r="CH26" s="450">
        <f>INPUT!DG534+CH21</f>
        <v>398</v>
      </c>
      <c r="CI26" s="450" t="e">
        <f>INPUT!DH534+CI21</f>
        <v>#VALUE!</v>
      </c>
      <c r="CJ26" s="450">
        <f>INPUT!DI534+CJ21</f>
        <v>-12</v>
      </c>
      <c r="CK26" s="450" t="e">
        <f>INPUT!DJ534+CK21</f>
        <v>#VALUE!</v>
      </c>
      <c r="CL26" s="450">
        <f>INPUT!DK534+CL21</f>
        <v>-45</v>
      </c>
      <c r="CM26" s="450" t="e">
        <f>INPUT!DL534+CM21</f>
        <v>#VALUE!</v>
      </c>
      <c r="CN26" s="450">
        <f>INPUT!DM534+CN21</f>
        <v>-12</v>
      </c>
      <c r="CO26" s="450" t="e">
        <f>INPUT!DN534+CO21</f>
        <v>#VALUE!</v>
      </c>
      <c r="CP26" s="450">
        <f>INPUT!DO534+CP21</f>
        <v>-244</v>
      </c>
      <c r="CQ26" s="450" t="e">
        <f>INPUT!DP534+CQ21</f>
        <v>#VALUE!</v>
      </c>
      <c r="CR26" s="450">
        <f>INPUT!DQ534+CR21</f>
        <v>-151</v>
      </c>
      <c r="CS26" s="450" t="e">
        <f>INPUT!DR534+CS21</f>
        <v>#VALUE!</v>
      </c>
      <c r="CT26" s="450">
        <f>INPUT!DS534+CT21</f>
        <v>97</v>
      </c>
      <c r="CU26" s="450" t="e">
        <f>INPUT!DT534+CU21</f>
        <v>#VALUE!</v>
      </c>
      <c r="CV26" s="450">
        <f>INPUT!DU534+CV21</f>
        <v>203</v>
      </c>
      <c r="CW26" s="450" t="e">
        <f>INPUT!DV534+CW21</f>
        <v>#VALUE!</v>
      </c>
      <c r="CX26" s="450">
        <f>INPUT!DW534+CX21</f>
        <v>-84</v>
      </c>
      <c r="CY26" s="450" t="e">
        <f>INPUT!DX534+CY21</f>
        <v>#VALUE!</v>
      </c>
      <c r="CZ26" s="450">
        <f>INPUT!DY534+CZ21</f>
        <v>-92.5</v>
      </c>
      <c r="DA26" s="450" t="e">
        <f>INPUT!DZ534+DA21</f>
        <v>#VALUE!</v>
      </c>
      <c r="DB26" s="450">
        <f>INPUT!EA534+DB21</f>
        <v>-98</v>
      </c>
      <c r="DC26" s="450" t="e">
        <f>INPUT!EB534+DC21</f>
        <v>#VALUE!</v>
      </c>
      <c r="DD26" s="450">
        <f>INPUT!EC534+DD21</f>
        <v>-435</v>
      </c>
      <c r="DE26" s="450" t="e">
        <f>INPUT!ED534+DE21</f>
        <v>#VALUE!</v>
      </c>
      <c r="DF26" s="450">
        <f>INPUT!EE534+DF21</f>
        <v>105</v>
      </c>
      <c r="DG26" s="450" t="e">
        <f>INPUT!EF534+DG21</f>
        <v>#VALUE!</v>
      </c>
      <c r="DH26" s="450">
        <f>INPUT!EG534+DH21</f>
        <v>20</v>
      </c>
      <c r="DI26" s="450" t="e">
        <f>INPUT!EH534+DI21</f>
        <v>#VALUE!</v>
      </c>
      <c r="DJ26" s="450">
        <f>INPUT!EI534+DJ21</f>
        <v>19.899999999999999</v>
      </c>
      <c r="DK26" s="450" t="str">
        <f>INPUT!EJ534</f>
        <v>NM</v>
      </c>
      <c r="DL26" s="450">
        <f>INPUT!EK534+DL21</f>
        <v>-568</v>
      </c>
      <c r="DM26" s="450">
        <f>INPUT!EL534</f>
        <v>30.574712643678168</v>
      </c>
      <c r="DN26" s="450">
        <f>INPUT!EM534+DN21</f>
        <v>48</v>
      </c>
      <c r="DO26" s="450" t="str">
        <f>INPUT!EN534</f>
        <v>NM</v>
      </c>
      <c r="DP26" s="450">
        <f>INPUT!EO534+DP21</f>
        <v>4</v>
      </c>
      <c r="DQ26" s="450" t="str">
        <f>INPUT!EP534</f>
        <v>NM</v>
      </c>
      <c r="DR26" s="450">
        <f>INPUT!EQ534+DR21</f>
        <v>0</v>
      </c>
      <c r="DS26" s="450" t="str">
        <f>INPUT!ER534</f>
        <v>NM</v>
      </c>
      <c r="DT26" s="450">
        <f>INPUT!ES534+DT21</f>
        <v>0</v>
      </c>
      <c r="DU26" s="450" t="str">
        <f>INPUT!ET534</f>
        <v>NM</v>
      </c>
      <c r="DV26" s="450">
        <f>INPUT!EU534+DV21</f>
        <v>0</v>
      </c>
      <c r="DW26" s="450" t="str">
        <f>INPUT!EV534</f>
        <v>NM</v>
      </c>
      <c r="DX26" s="450">
        <f>INPUT!EW534+DX21</f>
        <v>0</v>
      </c>
      <c r="DY26" s="450" t="str">
        <f>INPUT!EX534</f>
        <v>NM</v>
      </c>
      <c r="DZ26" s="450">
        <f>INPUT!EY534+DZ21</f>
        <v>0</v>
      </c>
      <c r="EA26" s="438"/>
      <c r="EB26" s="439" t="str">
        <f>INPUT!FI534</f>
        <v>NA</v>
      </c>
      <c r="EC26" s="449">
        <f>INPUT!FJ534+EC21</f>
        <v>0</v>
      </c>
      <c r="ED26" s="439" t="str">
        <f>INPUT!FK534</f>
        <v>NA</v>
      </c>
      <c r="EE26" s="449">
        <f>INPUT!FL534+EE21</f>
        <v>-11</v>
      </c>
      <c r="EF26" s="439" t="str">
        <f>INPUT!FM534</f>
        <v>NA</v>
      </c>
      <c r="EG26" s="449">
        <f>INPUT!FN534+EG21</f>
        <v>61</v>
      </c>
      <c r="EH26" s="439" t="str">
        <f>INPUT!FO534</f>
        <v>NM</v>
      </c>
      <c r="EI26" s="449">
        <f>INPUT!FP534+EI21</f>
        <v>30</v>
      </c>
      <c r="EJ26" s="438" t="str">
        <f>INPUT!FQ534</f>
        <v>NM</v>
      </c>
      <c r="EK26" s="449">
        <f>INPUT!FR534+EK21</f>
        <v>108</v>
      </c>
      <c r="EL26" s="439" t="str">
        <f>INPUT!FS534</f>
        <v>NM</v>
      </c>
      <c r="EM26" s="449">
        <f>INPUT!FT534+EM21</f>
        <v>-67</v>
      </c>
      <c r="EN26" s="439" t="str">
        <f>INPUT!FU534</f>
        <v>NM</v>
      </c>
      <c r="EO26" s="449">
        <f>INPUT!FV534+EO21</f>
        <v>-2086</v>
      </c>
      <c r="EP26" s="439" t="str">
        <f>INPUT!FW534</f>
        <v>NM</v>
      </c>
      <c r="EQ26" s="449">
        <f>INPUT!FX534+EQ21</f>
        <v>395</v>
      </c>
      <c r="ER26" s="438" t="str">
        <f>INPUT!FY534</f>
        <v>NM</v>
      </c>
      <c r="ES26" s="449">
        <f>INPUT!FZ534+ES21</f>
        <v>467</v>
      </c>
      <c r="ET26" s="439">
        <f>INPUT!GA534</f>
        <v>18.227848101265835</v>
      </c>
      <c r="EU26" s="449">
        <f>INPUT!GB534+EU21</f>
        <v>-192.70000000000002</v>
      </c>
      <c r="EV26" s="439" t="str">
        <f>INPUT!GC534</f>
        <v>NM</v>
      </c>
      <c r="EW26" s="449">
        <f>INPUT!GD534+EW21</f>
        <v>-321</v>
      </c>
      <c r="EX26" s="449" t="str">
        <f>INPUT!GE534</f>
        <v>NM</v>
      </c>
      <c r="EY26" s="449">
        <f>INPUT!GF534+EY21</f>
        <v>638</v>
      </c>
      <c r="EZ26" s="449" t="str">
        <f>INPUT!GG534</f>
        <v>NM</v>
      </c>
      <c r="FA26" s="449">
        <f>INPUT!GH534+FA21</f>
        <v>-452</v>
      </c>
      <c r="FB26" s="449" t="str">
        <f>INPUT!GI534</f>
        <v>NM</v>
      </c>
      <c r="FC26" s="449">
        <f>INPUT!GJ534+FC21</f>
        <v>123.5</v>
      </c>
      <c r="FD26" s="449" t="str">
        <f>INPUT!GK534</f>
        <v>NM</v>
      </c>
      <c r="FE26" s="449">
        <f>INPUT!GL534+FE21</f>
        <v>-408</v>
      </c>
      <c r="FF26" s="449" t="str">
        <f>INPUT!GM534</f>
        <v>NM</v>
      </c>
      <c r="FG26" s="449">
        <f>INPUT!GN534+FG21</f>
        <v>-496.1</v>
      </c>
      <c r="FH26" s="449">
        <f>INPUT!GO534</f>
        <v>21.593137254901976</v>
      </c>
      <c r="FI26" s="449">
        <f>INPUT!GP534+FI21</f>
        <v>0</v>
      </c>
      <c r="FJ26" s="449" t="str">
        <f>INPUT!GQ534</f>
        <v>NM</v>
      </c>
      <c r="FK26" s="449">
        <f>INPUT!GR534+FK21</f>
        <v>0</v>
      </c>
      <c r="FL26" s="449" t="str">
        <f>INPUT!GS534</f>
        <v>NA</v>
      </c>
      <c r="FM26" s="449">
        <f>INPUT!GT534+FM21</f>
        <v>0</v>
      </c>
      <c r="FN26" s="449" t="str">
        <f>INPUT!GU534</f>
        <v>NA</v>
      </c>
      <c r="FO26" s="449">
        <f>INPUT!GV534+FO21</f>
        <v>0</v>
      </c>
      <c r="FP26" s="449" t="str">
        <f>INPUT!GW534</f>
        <v>NA</v>
      </c>
      <c r="FQ26" s="449">
        <f>INPUT!GX534+FQ21</f>
        <v>0</v>
      </c>
      <c r="FR26" s="449" t="str">
        <f>INPUT!GY534</f>
        <v>NA</v>
      </c>
      <c r="FS26" s="865" t="str">
        <f>INPUT!GZ534</f>
        <v>NM</v>
      </c>
    </row>
    <row r="27" spans="1:175" s="529" customFormat="1" ht="12.75" customHeight="1" x14ac:dyDescent="0.2">
      <c r="A27" s="829" t="str">
        <f>INPUT!B549</f>
        <v>Reported Pretax Earnings</v>
      </c>
      <c r="B27" s="870">
        <f>INPUT!AA549</f>
        <v>0</v>
      </c>
      <c r="C27" s="870">
        <f>INPUT!AB549</f>
        <v>0</v>
      </c>
      <c r="D27" s="870">
        <f>INPUT!AC549</f>
        <v>0</v>
      </c>
      <c r="E27" s="870">
        <f>INPUT!AD549</f>
        <v>0</v>
      </c>
      <c r="F27" s="870">
        <f>INPUT!AE549</f>
        <v>0</v>
      </c>
      <c r="G27" s="870">
        <f>INPUT!AF549</f>
        <v>0</v>
      </c>
      <c r="H27" s="870">
        <f>INPUT!AG549</f>
        <v>0</v>
      </c>
      <c r="I27" s="870">
        <f>INPUT!AH549</f>
        <v>0</v>
      </c>
      <c r="J27" s="870">
        <f>INPUT!AI549</f>
        <v>0</v>
      </c>
      <c r="K27" s="870">
        <f>INPUT!AJ549</f>
        <v>0</v>
      </c>
      <c r="L27" s="870">
        <f>INPUT!AK549</f>
        <v>0</v>
      </c>
      <c r="M27" s="870">
        <f>INPUT!AL549</f>
        <v>0</v>
      </c>
      <c r="N27" s="870">
        <f>INPUT!AM549</f>
        <v>0</v>
      </c>
      <c r="O27" s="870">
        <f>INPUT!AN549</f>
        <v>0</v>
      </c>
      <c r="P27" s="870">
        <f>INPUT!AO549</f>
        <v>0</v>
      </c>
      <c r="Q27" s="870">
        <f>INPUT!AP549</f>
        <v>0</v>
      </c>
      <c r="R27" s="870">
        <f>INPUT!AQ549</f>
        <v>0</v>
      </c>
      <c r="S27" s="870">
        <f>INPUT!AR549</f>
        <v>0</v>
      </c>
      <c r="T27" s="870">
        <f>INPUT!AS549</f>
        <v>0</v>
      </c>
      <c r="U27" s="870">
        <f>INPUT!AT549</f>
        <v>0</v>
      </c>
      <c r="V27" s="870">
        <f>INPUT!AU549</f>
        <v>0</v>
      </c>
      <c r="W27" s="870">
        <f>INPUT!AV549</f>
        <v>0</v>
      </c>
      <c r="X27" s="870">
        <f>INPUT!AW549</f>
        <v>0</v>
      </c>
      <c r="Y27" s="870">
        <f>INPUT!AX549</f>
        <v>0</v>
      </c>
      <c r="Z27" s="870">
        <f>INPUT!AY549</f>
        <v>854</v>
      </c>
      <c r="AA27" s="870" t="str">
        <f>INPUT!AZ549</f>
        <v>NA</v>
      </c>
      <c r="AB27" s="870">
        <f>INPUT!BA549</f>
        <v>922</v>
      </c>
      <c r="AC27" s="870" t="str">
        <f>INPUT!BB549</f>
        <v>NA</v>
      </c>
      <c r="AD27" s="870">
        <f>INPUT!BC549</f>
        <v>1106</v>
      </c>
      <c r="AE27" s="870" t="str">
        <f>INPUT!BD549</f>
        <v>NA</v>
      </c>
      <c r="AF27" s="870">
        <f>INPUT!BE549</f>
        <v>1021</v>
      </c>
      <c r="AG27" s="870" t="str">
        <f>INPUT!BF549</f>
        <v>NA</v>
      </c>
      <c r="AH27" s="870">
        <f>INPUT!BG549</f>
        <v>1097.5999999999999</v>
      </c>
      <c r="AI27" s="870">
        <f>INPUT!BH549</f>
        <v>28.524590163934391</v>
      </c>
      <c r="AJ27" s="870">
        <f>INPUT!BI549</f>
        <v>1121</v>
      </c>
      <c r="AK27" s="870">
        <f>INPUT!BJ549</f>
        <v>21.583514099783073</v>
      </c>
      <c r="AL27" s="870">
        <f>INPUT!BK549</f>
        <v>1295</v>
      </c>
      <c r="AM27" s="870">
        <f>INPUT!BL549</f>
        <v>17.088607594936718</v>
      </c>
      <c r="AN27" s="870">
        <f>INPUT!BM549</f>
        <v>1024</v>
      </c>
      <c r="AO27" s="870">
        <f>INPUT!BN549</f>
        <v>0.2938295788442673</v>
      </c>
      <c r="AP27" s="870">
        <f>INPUT!BO549</f>
        <v>913</v>
      </c>
      <c r="AQ27" s="870">
        <f>INPUT!BP549</f>
        <v>-16.81851311953352</v>
      </c>
      <c r="AR27" s="870">
        <f>INPUT!BQ549</f>
        <v>1114</v>
      </c>
      <c r="AS27" s="870">
        <f>INPUT!BR549</f>
        <v>-0.62444246208742982</v>
      </c>
      <c r="AT27" s="870">
        <f>INPUT!BS549</f>
        <v>604</v>
      </c>
      <c r="AU27" s="870" t="str">
        <f>INPUT!BT549</f>
        <v>NM</v>
      </c>
      <c r="AV27" s="870">
        <f>INPUT!BU549</f>
        <v>-1182</v>
      </c>
      <c r="AW27" s="870" t="str">
        <f>INPUT!BV549</f>
        <v>NM</v>
      </c>
      <c r="AX27" s="870">
        <f>INPUT!BW549</f>
        <v>245</v>
      </c>
      <c r="AY27" s="870" t="str">
        <f>INPUT!BX549</f>
        <v>NM</v>
      </c>
      <c r="AZ27" s="870">
        <f>INPUT!BY549</f>
        <v>1167</v>
      </c>
      <c r="BA27" s="870">
        <f>INPUT!BZ549</f>
        <v>4.7576301615798826</v>
      </c>
      <c r="BB27" s="870">
        <f>INPUT!CA549</f>
        <v>1066</v>
      </c>
      <c r="BC27" s="870">
        <f>INPUT!CB549</f>
        <v>76.490066225165577</v>
      </c>
      <c r="BD27" s="870">
        <f>INPUT!CC549</f>
        <v>765</v>
      </c>
      <c r="BE27" s="870" t="str">
        <f>INPUT!CD549</f>
        <v>NM</v>
      </c>
      <c r="BF27" s="870">
        <f>INPUT!CE549</f>
        <v>856</v>
      </c>
      <c r="BG27" s="870" t="str">
        <f>INPUT!CF549</f>
        <v>NM</v>
      </c>
      <c r="BH27" s="870">
        <f>INPUT!CG549</f>
        <v>490</v>
      </c>
      <c r="BI27" s="870" t="str">
        <f>INPUT!CH549</f>
        <v>NM</v>
      </c>
      <c r="BJ27" s="870">
        <f>INPUT!CI549</f>
        <v>1232</v>
      </c>
      <c r="BK27" s="870">
        <f>INPUT!CJ549</f>
        <v>15.572232645403375</v>
      </c>
      <c r="BL27" s="870">
        <f>INPUT!CK549</f>
        <v>1084</v>
      </c>
      <c r="BM27" s="870">
        <f>INPUT!CL549</f>
        <v>41.699346405228766</v>
      </c>
      <c r="BN27" s="870">
        <f>INPUT!CM549</f>
        <v>1096</v>
      </c>
      <c r="BO27" s="870">
        <f>INPUT!CN549</f>
        <v>28.037383177570092</v>
      </c>
      <c r="BP27" s="870">
        <f>INPUT!CO549</f>
        <v>1052</v>
      </c>
      <c r="BQ27" s="870" t="str">
        <f>INPUT!CP549</f>
        <v>NM</v>
      </c>
      <c r="BR27" s="870">
        <f>INPUT!CQ549</f>
        <v>509</v>
      </c>
      <c r="BS27" s="870" t="str">
        <f>INPUT!CR549</f>
        <v>NM</v>
      </c>
      <c r="BT27" s="870">
        <f>INPUT!CS549</f>
        <v>1166</v>
      </c>
      <c r="BU27" s="870">
        <f>INPUT!CT549</f>
        <v>7.5645756457564488</v>
      </c>
      <c r="BV27" s="870">
        <f>INPUT!CU549</f>
        <v>1067</v>
      </c>
      <c r="BW27" s="870">
        <f>INPUT!CV549</f>
        <v>-2.6459854014598534</v>
      </c>
      <c r="BX27" s="870">
        <f>INPUT!CW549</f>
        <v>856</v>
      </c>
      <c r="BY27" s="870">
        <f>INPUT!CX549</f>
        <v>-18.631178707224336</v>
      </c>
      <c r="BZ27" s="870">
        <f>INPUT!CY549</f>
        <v>1029</v>
      </c>
      <c r="CA27" s="870" t="str">
        <f>INPUT!CZ549</f>
        <v>NM</v>
      </c>
      <c r="CB27" s="870">
        <f>INPUT!DA549</f>
        <v>1076</v>
      </c>
      <c r="CC27" s="870">
        <f>INPUT!DB549</f>
        <v>-7.7186963979416845</v>
      </c>
      <c r="CD27" s="870">
        <f>INPUT!DC549</f>
        <v>1478</v>
      </c>
      <c r="CE27" s="870">
        <f>INPUT!DD549</f>
        <v>38.519212746016876</v>
      </c>
      <c r="CF27" s="870">
        <f>INPUT!DE549</f>
        <v>1517</v>
      </c>
      <c r="CG27" s="870">
        <f>INPUT!DF549</f>
        <v>77.219626168224295</v>
      </c>
      <c r="CH27" s="870">
        <f>INPUT!DG549</f>
        <v>1913</v>
      </c>
      <c r="CI27" s="870">
        <f>INPUT!DH549</f>
        <v>85.908649173955297</v>
      </c>
      <c r="CJ27" s="870">
        <f>INPUT!DI549</f>
        <v>1461</v>
      </c>
      <c r="CK27" s="870">
        <f>INPUT!DJ549</f>
        <v>35.780669144981402</v>
      </c>
      <c r="CL27" s="870">
        <f>INPUT!DK549</f>
        <v>1571</v>
      </c>
      <c r="CM27" s="870">
        <f>INPUT!DL549</f>
        <v>6.2922868741542572</v>
      </c>
      <c r="CN27" s="870">
        <f>INPUT!DM549</f>
        <v>1623</v>
      </c>
      <c r="CO27" s="870">
        <f>INPUT!DN549</f>
        <v>6.9874752801582218</v>
      </c>
      <c r="CP27" s="870">
        <f>INPUT!DO549</f>
        <v>1353</v>
      </c>
      <c r="CQ27" s="870">
        <f>INPUT!DP549</f>
        <v>-29.273392577104033</v>
      </c>
      <c r="CR27" s="870">
        <f>INPUT!DQ549</f>
        <v>1345</v>
      </c>
      <c r="CS27" s="870">
        <f>INPUT!DR549</f>
        <v>-7.9397672826830927</v>
      </c>
      <c r="CT27" s="870">
        <f>INPUT!DS549</f>
        <v>1745</v>
      </c>
      <c r="CU27" s="870">
        <f>INPUT!DT549</f>
        <v>11.075747931253986</v>
      </c>
      <c r="CV27" s="870">
        <f>INPUT!DU549</f>
        <v>1841</v>
      </c>
      <c r="CW27" s="870">
        <f>INPUT!DV549</f>
        <v>13.431916204559457</v>
      </c>
      <c r="CX27" s="870">
        <f>INPUT!DW549</f>
        <v>1463</v>
      </c>
      <c r="CY27" s="870">
        <f>INPUT!DX549</f>
        <v>8.1300813008130035</v>
      </c>
      <c r="CZ27" s="870">
        <f>INPUT!DY549</f>
        <v>1182</v>
      </c>
      <c r="DA27" s="870">
        <f>INPUT!DZ549</f>
        <v>-12.118959107806688</v>
      </c>
      <c r="DB27" s="870">
        <f>INPUT!EA549</f>
        <v>1325</v>
      </c>
      <c r="DC27" s="870">
        <f>INPUT!EB549</f>
        <v>-24.068767908309454</v>
      </c>
      <c r="DD27" s="870">
        <f>INPUT!EC549</f>
        <v>1057</v>
      </c>
      <c r="DE27" s="870">
        <f>INPUT!ED549</f>
        <v>-42.585551330798474</v>
      </c>
      <c r="DF27" s="870">
        <f>INPUT!EE549</f>
        <v>1558</v>
      </c>
      <c r="DG27" s="870">
        <f>INPUT!EF549</f>
        <v>6.4935064935064872</v>
      </c>
      <c r="DH27" s="870">
        <f>INPUT!EG549</f>
        <v>1459</v>
      </c>
      <c r="DI27" s="870">
        <f>INPUT!EH549</f>
        <v>23.434856175972925</v>
      </c>
      <c r="DJ27" s="870">
        <f>INPUT!EI549</f>
        <v>1660</v>
      </c>
      <c r="DK27" s="870">
        <f>INPUT!EJ549</f>
        <v>25.283018867924525</v>
      </c>
      <c r="DL27" s="870">
        <f>INPUT!EK549</f>
        <v>1228</v>
      </c>
      <c r="DM27" s="870">
        <f>INPUT!EL549</f>
        <v>16.177861873226121</v>
      </c>
      <c r="DN27" s="870">
        <f>INPUT!EM549</f>
        <v>1784</v>
      </c>
      <c r="DO27" s="870">
        <f>INPUT!EN549</f>
        <v>14.505776636713733</v>
      </c>
      <c r="DP27" s="870">
        <f>INPUT!EO549</f>
        <v>1572</v>
      </c>
      <c r="DQ27" s="870">
        <f>INPUT!EP549</f>
        <v>7.7450308430431818</v>
      </c>
      <c r="DR27" s="870">
        <f>INPUT!EQ549</f>
        <v>1714.94101971797</v>
      </c>
      <c r="DS27" s="870">
        <f>INPUT!ER549</f>
        <v>3.3096999830102476</v>
      </c>
      <c r="DT27" s="870">
        <f>INPUT!ES549</f>
        <v>1724.30578930712</v>
      </c>
      <c r="DU27" s="870">
        <f>INPUT!ET549</f>
        <v>40.415780888201937</v>
      </c>
      <c r="DV27" s="870">
        <f>INPUT!EU549</f>
        <v>1704.9226454723339</v>
      </c>
      <c r="DW27" s="870">
        <f>INPUT!EV549</f>
        <v>-4.4325871372010113</v>
      </c>
      <c r="DX27" s="870">
        <f>INPUT!EW549</f>
        <v>1537.9404567817808</v>
      </c>
      <c r="DY27" s="870">
        <f>INPUT!EX549</f>
        <v>-2.1666376093014748</v>
      </c>
      <c r="DZ27" s="870">
        <f>INPUT!EY549</f>
        <v>0</v>
      </c>
      <c r="EA27" s="240"/>
      <c r="EB27" s="155">
        <f>INPUT!FI549</f>
        <v>0</v>
      </c>
      <c r="EC27" s="91">
        <f>INPUT!FJ549</f>
        <v>1789</v>
      </c>
      <c r="ED27" s="155">
        <f>INPUT!FK549</f>
        <v>0</v>
      </c>
      <c r="EE27" s="91">
        <f>INPUT!FL549</f>
        <v>2087</v>
      </c>
      <c r="EF27" s="155">
        <f>INPUT!FM549</f>
        <v>0</v>
      </c>
      <c r="EG27" s="91">
        <f>INPUT!FN549</f>
        <v>2761</v>
      </c>
      <c r="EH27" s="155">
        <f>INPUT!FO549</f>
        <v>0</v>
      </c>
      <c r="EI27" s="870">
        <f>INPUT!FP549</f>
        <v>3431</v>
      </c>
      <c r="EJ27" s="240">
        <f>INPUT!FQ549</f>
        <v>0</v>
      </c>
      <c r="EK27" s="870">
        <f>INPUT!FR549</f>
        <v>3903</v>
      </c>
      <c r="EL27" s="240">
        <f>INPUT!FS549</f>
        <v>13.756922180122416</v>
      </c>
      <c r="EM27" s="870">
        <f>INPUT!FT549</f>
        <v>4537.6000000000004</v>
      </c>
      <c r="EN27" s="240">
        <f>INPUT!FU549</f>
        <v>16.259287727389207</v>
      </c>
      <c r="EO27" s="870">
        <f>INPUT!FV549</f>
        <v>1162</v>
      </c>
      <c r="EP27" s="240" t="str">
        <f>INPUT!FW549</f>
        <v>NM</v>
      </c>
      <c r="EQ27" s="870">
        <f>INPUT!FX549</f>
        <v>2950</v>
      </c>
      <c r="ER27" s="240" t="str">
        <f>INPUT!FY549</f>
        <v>NM</v>
      </c>
      <c r="ES27" s="870">
        <f>INPUT!FZ549</f>
        <v>3662</v>
      </c>
      <c r="ET27" s="240">
        <f>INPUT!GA549</f>
        <v>24.135593220338976</v>
      </c>
      <c r="EU27" s="870">
        <f>INPUT!GB549</f>
        <v>3823</v>
      </c>
      <c r="EV27" s="240">
        <f>INPUT!GC549</f>
        <v>4.3965046422719922</v>
      </c>
      <c r="EW27" s="870">
        <f>INPUT!GD549</f>
        <v>4028</v>
      </c>
      <c r="EX27" s="870">
        <f>INPUT!GE549</f>
        <v>5.3622809312058592</v>
      </c>
      <c r="EY27" s="870">
        <f>INPUT!GF549</f>
        <v>6369</v>
      </c>
      <c r="EZ27" s="870">
        <f>INPUT!GG549</f>
        <v>58.11817279046673</v>
      </c>
      <c r="FA27" s="870">
        <f>INPUT!GH549</f>
        <v>5892</v>
      </c>
      <c r="FB27" s="870">
        <f>INPUT!GI549</f>
        <v>-7.4894017899199241</v>
      </c>
      <c r="FC27" s="870">
        <f>INPUT!GJ549</f>
        <v>6231</v>
      </c>
      <c r="FD27" s="870">
        <f>INPUT!GK549</f>
        <v>5.7535641547861616</v>
      </c>
      <c r="FE27" s="870">
        <f>INPUT!GL549</f>
        <v>5399</v>
      </c>
      <c r="FF27" s="870">
        <f>INPUT!GM549</f>
        <v>-13.35259187931311</v>
      </c>
      <c r="FG27" s="870">
        <f>INPUT!GN549</f>
        <v>6244</v>
      </c>
      <c r="FH27" s="870">
        <f>INPUT!GO549</f>
        <v>15.651046490090749</v>
      </c>
      <c r="FI27" s="870">
        <f>INPUT!GP549</f>
        <v>6682.1099112792044</v>
      </c>
      <c r="FJ27" s="870">
        <f>INPUT!GQ549</f>
        <v>7.0164944151057682</v>
      </c>
      <c r="FK27" s="870">
        <f>INPUT!GR549</f>
        <v>6763.3154899509773</v>
      </c>
      <c r="FL27" s="870">
        <f>INPUT!GS549</f>
        <v>1.215268526707419</v>
      </c>
      <c r="FM27" s="870">
        <f>INPUT!GT549</f>
        <v>6833.5605709238998</v>
      </c>
      <c r="FN27" s="870">
        <f>INPUT!GU549</f>
        <v>1.0386190186942201</v>
      </c>
      <c r="FO27" s="870">
        <f>INPUT!GV549</f>
        <v>6911.8040872976526</v>
      </c>
      <c r="FP27" s="870">
        <f>INPUT!GW549</f>
        <v>1.1449889930978543</v>
      </c>
      <c r="FQ27" s="870">
        <f>INPUT!GX549</f>
        <v>6979.8482302145721</v>
      </c>
      <c r="FR27" s="870">
        <f>INPUT!GY549</f>
        <v>0.98446284150284669</v>
      </c>
      <c r="FS27" s="871">
        <f>INPUT!GZ549</f>
        <v>2.2531314682770365</v>
      </c>
    </row>
    <row r="28" spans="1:175" s="529" customFormat="1" ht="8.25" customHeight="1" x14ac:dyDescent="0.2">
      <c r="A28" s="826"/>
      <c r="B28" s="449"/>
      <c r="C28" s="439"/>
      <c r="D28" s="449"/>
      <c r="E28" s="439"/>
      <c r="F28" s="449"/>
      <c r="G28" s="439"/>
      <c r="H28" s="449"/>
      <c r="I28" s="439"/>
      <c r="J28" s="449"/>
      <c r="K28" s="439"/>
      <c r="L28" s="449"/>
      <c r="M28" s="439"/>
      <c r="N28" s="449"/>
      <c r="O28" s="439"/>
      <c r="P28" s="449"/>
      <c r="Q28" s="439"/>
      <c r="R28" s="449"/>
      <c r="S28" s="439"/>
      <c r="T28" s="449"/>
      <c r="U28" s="439"/>
      <c r="V28" s="449"/>
      <c r="W28" s="439"/>
      <c r="X28" s="449"/>
      <c r="Y28" s="439"/>
      <c r="Z28" s="449"/>
      <c r="AA28" s="439"/>
      <c r="AB28" s="449"/>
      <c r="AC28" s="439"/>
      <c r="AD28" s="449"/>
      <c r="AE28" s="439"/>
      <c r="AF28" s="449"/>
      <c r="AG28" s="439"/>
      <c r="AH28" s="450"/>
      <c r="AI28" s="438"/>
      <c r="AJ28" s="450"/>
      <c r="AK28" s="438"/>
      <c r="AL28" s="450"/>
      <c r="AM28" s="438"/>
      <c r="AN28" s="450"/>
      <c r="AO28" s="438"/>
      <c r="AP28" s="450"/>
      <c r="AQ28" s="438"/>
      <c r="AR28" s="450"/>
      <c r="AS28" s="438"/>
      <c r="AT28" s="450"/>
      <c r="AU28" s="438"/>
      <c r="AV28" s="450"/>
      <c r="AW28" s="438"/>
      <c r="AX28" s="450"/>
      <c r="AY28" s="438"/>
      <c r="AZ28" s="450"/>
      <c r="BA28" s="438"/>
      <c r="BB28" s="450"/>
      <c r="BC28" s="438"/>
      <c r="BD28" s="450"/>
      <c r="BE28" s="438"/>
      <c r="BF28" s="450"/>
      <c r="BG28" s="438"/>
      <c r="BH28" s="450"/>
      <c r="BI28" s="438"/>
      <c r="BJ28" s="450"/>
      <c r="BK28" s="438"/>
      <c r="BL28" s="450"/>
      <c r="BM28" s="438"/>
      <c r="BN28" s="450"/>
      <c r="BO28" s="438"/>
      <c r="BP28" s="450"/>
      <c r="BQ28" s="438"/>
      <c r="BR28" s="450"/>
      <c r="BS28" s="438"/>
      <c r="BT28" s="450"/>
      <c r="BU28" s="438"/>
      <c r="BV28" s="450"/>
      <c r="BW28" s="438"/>
      <c r="BX28" s="450"/>
      <c r="BY28" s="438"/>
      <c r="BZ28" s="450"/>
      <c r="CA28" s="438"/>
      <c r="CB28" s="450"/>
      <c r="CC28" s="438"/>
      <c r="CD28" s="450"/>
      <c r="CE28" s="438"/>
      <c r="CF28" s="450"/>
      <c r="CG28" s="438"/>
      <c r="CH28" s="450"/>
      <c r="CI28" s="438"/>
      <c r="CJ28" s="450"/>
      <c r="CK28" s="438"/>
      <c r="CL28" s="450"/>
      <c r="CM28" s="438"/>
      <c r="CN28" s="450"/>
      <c r="CO28" s="438"/>
      <c r="CP28" s="450"/>
      <c r="CQ28" s="438"/>
      <c r="CR28" s="450"/>
      <c r="CS28" s="438"/>
      <c r="CT28" s="450"/>
      <c r="CU28" s="438"/>
      <c r="CV28" s="450"/>
      <c r="CW28" s="438"/>
      <c r="CX28" s="450"/>
      <c r="CY28" s="438"/>
      <c r="CZ28" s="450"/>
      <c r="DA28" s="438"/>
      <c r="DB28" s="450"/>
      <c r="DC28" s="438"/>
      <c r="DD28" s="450"/>
      <c r="DE28" s="438"/>
      <c r="DF28" s="450"/>
      <c r="DG28" s="438"/>
      <c r="DH28" s="450"/>
      <c r="DI28" s="438"/>
      <c r="DJ28" s="450"/>
      <c r="DK28" s="450"/>
      <c r="DL28" s="450"/>
      <c r="DM28" s="450"/>
      <c r="DN28" s="450"/>
      <c r="DO28" s="450"/>
      <c r="DP28" s="450"/>
      <c r="DQ28" s="450"/>
      <c r="DR28" s="450"/>
      <c r="DS28" s="450"/>
      <c r="DT28" s="450"/>
      <c r="DU28" s="450"/>
      <c r="DV28" s="450"/>
      <c r="DW28" s="450"/>
      <c r="DX28" s="450"/>
      <c r="DY28" s="450"/>
      <c r="DZ28" s="450"/>
      <c r="EA28" s="438"/>
      <c r="EB28" s="439"/>
      <c r="EC28" s="449"/>
      <c r="ED28" s="439"/>
      <c r="EE28" s="449"/>
      <c r="EF28" s="439"/>
      <c r="EG28" s="449"/>
      <c r="EH28" s="439"/>
      <c r="EI28" s="450"/>
      <c r="EJ28" s="438"/>
      <c r="EK28" s="450"/>
      <c r="EL28" s="438"/>
      <c r="EM28" s="450"/>
      <c r="EN28" s="438"/>
      <c r="EO28" s="450"/>
      <c r="EP28" s="438"/>
      <c r="EQ28" s="450"/>
      <c r="ER28" s="438"/>
      <c r="ES28" s="450"/>
      <c r="ET28" s="438"/>
      <c r="EU28" s="450"/>
      <c r="EV28" s="438"/>
      <c r="EW28" s="450"/>
      <c r="EX28" s="450"/>
      <c r="EY28" s="450"/>
      <c r="EZ28" s="450"/>
      <c r="FA28" s="450"/>
      <c r="FB28" s="450"/>
      <c r="FC28" s="450"/>
      <c r="FD28" s="450"/>
      <c r="FE28" s="450"/>
      <c r="FF28" s="450"/>
      <c r="FG28" s="450"/>
      <c r="FH28" s="450"/>
      <c r="FI28" s="450"/>
      <c r="FJ28" s="450"/>
      <c r="FK28" s="450"/>
      <c r="FL28" s="450"/>
      <c r="FM28" s="450"/>
      <c r="FN28" s="450"/>
      <c r="FO28" s="450"/>
      <c r="FP28" s="450"/>
      <c r="FQ28" s="450"/>
      <c r="FR28" s="450"/>
      <c r="FS28" s="862"/>
    </row>
    <row r="29" spans="1:175" s="529" customFormat="1" ht="12.75" customHeight="1" x14ac:dyDescent="0.2">
      <c r="A29" s="826" t="str">
        <f>INPUT!B550</f>
        <v>Tax</v>
      </c>
      <c r="B29" s="449">
        <f>INPUT!AA550</f>
        <v>0</v>
      </c>
      <c r="C29" s="439">
        <f>INPUT!AB550</f>
        <v>0</v>
      </c>
      <c r="D29" s="449">
        <f>INPUT!AC550</f>
        <v>0</v>
      </c>
      <c r="E29" s="439">
        <f>INPUT!AD550</f>
        <v>0</v>
      </c>
      <c r="F29" s="449">
        <f>INPUT!AE550</f>
        <v>0</v>
      </c>
      <c r="G29" s="439">
        <f>INPUT!AF550</f>
        <v>0</v>
      </c>
      <c r="H29" s="449">
        <f>INPUT!AG550</f>
        <v>0</v>
      </c>
      <c r="I29" s="439">
        <f>INPUT!AH550</f>
        <v>0</v>
      </c>
      <c r="J29" s="449">
        <f>INPUT!AI550</f>
        <v>0</v>
      </c>
      <c r="K29" s="439">
        <f>INPUT!AJ550</f>
        <v>0</v>
      </c>
      <c r="L29" s="449">
        <f>INPUT!AK550</f>
        <v>0</v>
      </c>
      <c r="M29" s="439">
        <f>INPUT!AL550</f>
        <v>0</v>
      </c>
      <c r="N29" s="449">
        <f>INPUT!AM550</f>
        <v>0</v>
      </c>
      <c r="O29" s="439">
        <f>INPUT!AN550</f>
        <v>0</v>
      </c>
      <c r="P29" s="449">
        <f>INPUT!AO550</f>
        <v>0</v>
      </c>
      <c r="Q29" s="439">
        <f>INPUT!AP550</f>
        <v>0</v>
      </c>
      <c r="R29" s="449">
        <f>INPUT!AQ550</f>
        <v>0</v>
      </c>
      <c r="S29" s="439">
        <f>INPUT!AR550</f>
        <v>0</v>
      </c>
      <c r="T29" s="449">
        <f>INPUT!AS550</f>
        <v>0</v>
      </c>
      <c r="U29" s="439">
        <f>INPUT!AT550</f>
        <v>0</v>
      </c>
      <c r="V29" s="449">
        <f>INPUT!AU550</f>
        <v>0</v>
      </c>
      <c r="W29" s="439">
        <f>INPUT!AV550</f>
        <v>0</v>
      </c>
      <c r="X29" s="449">
        <f>INPUT!AW550</f>
        <v>0</v>
      </c>
      <c r="Y29" s="439">
        <f>INPUT!AX550</f>
        <v>0</v>
      </c>
      <c r="Z29" s="449">
        <f>INPUT!AY550</f>
        <v>252</v>
      </c>
      <c r="AA29" s="439" t="str">
        <f>INPUT!AZ550</f>
        <v>NA</v>
      </c>
      <c r="AB29" s="449">
        <f>INPUT!BA550</f>
        <v>274</v>
      </c>
      <c r="AC29" s="439" t="str">
        <f>INPUT!BB550</f>
        <v>NA</v>
      </c>
      <c r="AD29" s="449">
        <f>INPUT!BC550</f>
        <v>330</v>
      </c>
      <c r="AE29" s="439" t="str">
        <f>INPUT!BD550</f>
        <v>NA</v>
      </c>
      <c r="AF29" s="449">
        <f>INPUT!BE550</f>
        <v>304</v>
      </c>
      <c r="AG29" s="439" t="str">
        <f>INPUT!BF550</f>
        <v>NA</v>
      </c>
      <c r="AH29" s="450">
        <f>INPUT!BG550</f>
        <v>314</v>
      </c>
      <c r="AI29" s="438">
        <f>INPUT!BH550</f>
        <v>24.603174603174608</v>
      </c>
      <c r="AJ29" s="450">
        <f>INPUT!BI550</f>
        <v>321</v>
      </c>
      <c r="AK29" s="438">
        <f>INPUT!BJ550</f>
        <v>17.153284671532859</v>
      </c>
      <c r="AL29" s="450">
        <f>INPUT!BK550</f>
        <v>379</v>
      </c>
      <c r="AM29" s="438">
        <f>INPUT!BL550</f>
        <v>14.848484848484844</v>
      </c>
      <c r="AN29" s="450">
        <f>INPUT!BM550</f>
        <v>244</v>
      </c>
      <c r="AO29" s="438">
        <f>INPUT!BN550</f>
        <v>-19.73684210526315</v>
      </c>
      <c r="AP29" s="450">
        <f>INPUT!BO550</f>
        <v>240</v>
      </c>
      <c r="AQ29" s="438">
        <f>INPUT!BP550</f>
        <v>-23.566878980891715</v>
      </c>
      <c r="AR29" s="450">
        <f>INPUT!BQ550</f>
        <v>282</v>
      </c>
      <c r="AS29" s="438">
        <f>INPUT!BR550</f>
        <v>-12.149532710280369</v>
      </c>
      <c r="AT29" s="450">
        <f>INPUT!BS550</f>
        <v>186</v>
      </c>
      <c r="AU29" s="438" t="str">
        <f>INPUT!BT550</f>
        <v>NM</v>
      </c>
      <c r="AV29" s="450">
        <f>INPUT!BU550</f>
        <v>-304</v>
      </c>
      <c r="AW29" s="438" t="str">
        <f>INPUT!BV550</f>
        <v>NM</v>
      </c>
      <c r="AX29" s="450">
        <f>INPUT!BW550</f>
        <v>56</v>
      </c>
      <c r="AY29" s="438" t="str">
        <f>INPUT!BX550</f>
        <v>NM</v>
      </c>
      <c r="AZ29" s="450">
        <f>INPUT!BY550</f>
        <v>306</v>
      </c>
      <c r="BA29" s="438">
        <f>INPUT!BZ550</f>
        <v>8.5106382978723332</v>
      </c>
      <c r="BB29" s="450">
        <f>INPUT!CA550</f>
        <v>246</v>
      </c>
      <c r="BC29" s="438">
        <f>INPUT!CB550</f>
        <v>32.258064516129025</v>
      </c>
      <c r="BD29" s="450">
        <f>INPUT!CC550</f>
        <v>211</v>
      </c>
      <c r="BE29" s="438" t="str">
        <f>INPUT!CD550</f>
        <v>NM</v>
      </c>
      <c r="BF29" s="450">
        <f>INPUT!CE550</f>
        <v>222</v>
      </c>
      <c r="BG29" s="438" t="str">
        <f>INPUT!CF550</f>
        <v>NM</v>
      </c>
      <c r="BH29" s="450">
        <f>INPUT!CG550</f>
        <v>111</v>
      </c>
      <c r="BI29" s="438" t="str">
        <f>INPUT!CH550</f>
        <v>NM</v>
      </c>
      <c r="BJ29" s="450">
        <f>INPUT!CI550</f>
        <v>330</v>
      </c>
      <c r="BK29" s="438">
        <f>INPUT!CJ550</f>
        <v>34.146341463414643</v>
      </c>
      <c r="BL29" s="450">
        <f>INPUT!CK550</f>
        <v>298</v>
      </c>
      <c r="BM29" s="438">
        <f>INPUT!CL550</f>
        <v>41.232227488151665</v>
      </c>
      <c r="BN29" s="450">
        <f>INPUT!CM550</f>
        <v>296</v>
      </c>
      <c r="BO29" s="438">
        <f>INPUT!CN550</f>
        <v>33.333333333333314</v>
      </c>
      <c r="BP29" s="450">
        <f>INPUT!CO550</f>
        <v>279</v>
      </c>
      <c r="BQ29" s="438" t="str">
        <f>INPUT!CP550</f>
        <v>NM</v>
      </c>
      <c r="BR29" s="450">
        <f>INPUT!CQ550</f>
        <v>103</v>
      </c>
      <c r="BS29" s="438" t="str">
        <f>INPUT!CR550</f>
        <v>NM</v>
      </c>
      <c r="BT29" s="450">
        <f>INPUT!CS550</f>
        <v>311</v>
      </c>
      <c r="BU29" s="438">
        <f>INPUT!CT550</f>
        <v>4.3624161073825434</v>
      </c>
      <c r="BV29" s="450">
        <f>INPUT!CU550</f>
        <v>283</v>
      </c>
      <c r="BW29" s="438">
        <f>INPUT!CV550</f>
        <v>-4.3918918918919019</v>
      </c>
      <c r="BX29" s="450">
        <f>INPUT!CW550</f>
        <v>205</v>
      </c>
      <c r="BY29" s="438">
        <f>INPUT!CX550</f>
        <v>-26.523297491039415</v>
      </c>
      <c r="BZ29" s="450">
        <f>INPUT!CY550</f>
        <v>270</v>
      </c>
      <c r="CA29" s="438" t="str">
        <f>INPUT!CZ550</f>
        <v>NM</v>
      </c>
      <c r="CB29" s="450">
        <f>INPUT!DA550</f>
        <v>245</v>
      </c>
      <c r="CC29" s="438">
        <f>INPUT!DB550</f>
        <v>-21.221864951768481</v>
      </c>
      <c r="CD29" s="450">
        <f>INPUT!DC550</f>
        <v>406</v>
      </c>
      <c r="CE29" s="438">
        <f>INPUT!DD550</f>
        <v>43.462897526501763</v>
      </c>
      <c r="CF29" s="450">
        <f>INPUT!DE550</f>
        <v>424</v>
      </c>
      <c r="CG29" s="438" t="str">
        <f>INPUT!DF550</f>
        <v>NM</v>
      </c>
      <c r="CH29" s="450">
        <f>INPUT!DG550</f>
        <v>540</v>
      </c>
      <c r="CI29" s="438">
        <f>INPUT!DH550</f>
        <v>100</v>
      </c>
      <c r="CJ29" s="450">
        <f>INPUT!DI550</f>
        <v>413</v>
      </c>
      <c r="CK29" s="438">
        <f>INPUT!DJ550</f>
        <v>68.571428571428584</v>
      </c>
      <c r="CL29" s="450">
        <f>INPUT!DK550</f>
        <v>434</v>
      </c>
      <c r="CM29" s="438">
        <f>INPUT!DL550</f>
        <v>6.8965517241379217</v>
      </c>
      <c r="CN29" s="450">
        <f>INPUT!DM550</f>
        <v>447</v>
      </c>
      <c r="CO29" s="438">
        <f>INPUT!DN550</f>
        <v>5.4245283018867951</v>
      </c>
      <c r="CP29" s="450">
        <f>INPUT!DO550</f>
        <v>319</v>
      </c>
      <c r="CQ29" s="438">
        <f>INPUT!DP550</f>
        <v>-40.925925925925924</v>
      </c>
      <c r="CR29" s="450">
        <f>INPUT!DQ550</f>
        <v>337</v>
      </c>
      <c r="CS29" s="438">
        <f>INPUT!DR550</f>
        <v>-18.401937046004846</v>
      </c>
      <c r="CT29" s="450">
        <f>INPUT!DS550</f>
        <v>447</v>
      </c>
      <c r="CU29" s="438">
        <f>INPUT!DT550</f>
        <v>2.9953917050691246</v>
      </c>
      <c r="CV29" s="450">
        <f>INPUT!DU550</f>
        <v>491</v>
      </c>
      <c r="CW29" s="438">
        <f>INPUT!DV550</f>
        <v>9.8434004474272854</v>
      </c>
      <c r="CX29" s="450">
        <f>INPUT!DW550</f>
        <v>353</v>
      </c>
      <c r="CY29" s="438">
        <f>INPUT!DX550</f>
        <v>10.658307210031339</v>
      </c>
      <c r="CZ29" s="450">
        <f>INPUT!DY550</f>
        <v>291</v>
      </c>
      <c r="DA29" s="438">
        <f>INPUT!DZ550</f>
        <v>-13.649851632047486</v>
      </c>
      <c r="DB29" s="450">
        <f>INPUT!EA550</f>
        <v>328</v>
      </c>
      <c r="DC29" s="438">
        <f>INPUT!EB550</f>
        <v>-26.621923937360179</v>
      </c>
      <c r="DD29" s="450">
        <f>INPUT!EC550</f>
        <v>228</v>
      </c>
      <c r="DE29" s="438" t="str">
        <f>INPUT!ED550</f>
        <v>NM</v>
      </c>
      <c r="DF29" s="450">
        <f>INPUT!EE550</f>
        <v>367</v>
      </c>
      <c r="DG29" s="438">
        <f>INPUT!EF550</f>
        <v>3.9660056657223777</v>
      </c>
      <c r="DH29" s="450">
        <f>INPUT!EG550</f>
        <v>369</v>
      </c>
      <c r="DI29" s="438">
        <f>INPUT!EH550</f>
        <v>26.804123711340196</v>
      </c>
      <c r="DJ29" s="450">
        <f>INPUT!EI550</f>
        <v>423</v>
      </c>
      <c r="DK29" s="450">
        <f>INPUT!EJ550</f>
        <v>28.963414634146346</v>
      </c>
      <c r="DL29" s="450">
        <f>INPUT!EK550</f>
        <v>309</v>
      </c>
      <c r="DM29" s="450">
        <f>INPUT!EL550</f>
        <v>35.526315789473699</v>
      </c>
      <c r="DN29" s="450">
        <f>INPUT!EM550</f>
        <v>461</v>
      </c>
      <c r="DO29" s="450">
        <f>INPUT!EN550</f>
        <v>25.613079019073567</v>
      </c>
      <c r="DP29" s="450">
        <f>INPUT!EO550</f>
        <v>399</v>
      </c>
      <c r="DQ29" s="450">
        <f>INPUT!EP550</f>
        <v>8.1300813008130035</v>
      </c>
      <c r="DR29" s="450">
        <f>INPUT!EQ550</f>
        <v>377.28702433795343</v>
      </c>
      <c r="DS29" s="450">
        <f>INPUT!ER550</f>
        <v>-10.80685003830888</v>
      </c>
      <c r="DT29" s="450">
        <f>INPUT!ES550</f>
        <v>379.3472736475664</v>
      </c>
      <c r="DU29" s="450">
        <f>INPUT!ET550</f>
        <v>22.766107976558715</v>
      </c>
      <c r="DV29" s="450">
        <f>INPUT!EU550</f>
        <v>375.08298200391351</v>
      </c>
      <c r="DW29" s="450">
        <f>INPUT!EV550</f>
        <v>-18.637097179194456</v>
      </c>
      <c r="DX29" s="450">
        <f>INPUT!EW550</f>
        <v>338.34690049199179</v>
      </c>
      <c r="DY29" s="450">
        <f>INPUT!EX550</f>
        <v>-15.201278072182518</v>
      </c>
      <c r="DZ29" s="450">
        <f>INPUT!EY550</f>
        <v>0</v>
      </c>
      <c r="EA29" s="438"/>
      <c r="EB29" s="455">
        <f>INPUT!FI550</f>
        <v>0</v>
      </c>
      <c r="EC29" s="456">
        <f>INPUT!FJ550</f>
        <v>1069</v>
      </c>
      <c r="ED29" s="455">
        <f>INPUT!FK550</f>
        <v>0</v>
      </c>
      <c r="EE29" s="456">
        <f>INPUT!FL550</f>
        <v>1003</v>
      </c>
      <c r="EF29" s="455">
        <f>INPUT!FM550</f>
        <v>0</v>
      </c>
      <c r="EG29" s="456">
        <f>INPUT!FN550</f>
        <v>1126</v>
      </c>
      <c r="EH29" s="455">
        <f>INPUT!FO550</f>
        <v>0</v>
      </c>
      <c r="EI29" s="450">
        <f>INPUT!FP550</f>
        <v>1345</v>
      </c>
      <c r="EJ29" s="438">
        <f>INPUT!FQ550</f>
        <v>0</v>
      </c>
      <c r="EK29" s="450">
        <f>INPUT!FR550</f>
        <v>1615</v>
      </c>
      <c r="EL29" s="438">
        <f>INPUT!FS550</f>
        <v>20.074349442379173</v>
      </c>
      <c r="EM29" s="450">
        <f>INPUT!FT550</f>
        <v>1783</v>
      </c>
      <c r="EN29" s="438">
        <f>INPUT!FU550</f>
        <v>10.402476780185751</v>
      </c>
      <c r="EO29" s="450">
        <f>INPUT!FV550</f>
        <v>1811</v>
      </c>
      <c r="EP29" s="438">
        <f>INPUT!FW550</f>
        <v>1.5703869882220971</v>
      </c>
      <c r="EQ29" s="450">
        <f>INPUT!FX550</f>
        <v>1834</v>
      </c>
      <c r="ER29" s="438">
        <f>INPUT!FY550</f>
        <v>1.2700165654334654</v>
      </c>
      <c r="ES29" s="450">
        <f>INPUT!FZ550</f>
        <v>1613</v>
      </c>
      <c r="ET29" s="438">
        <f>INPUT!GA550</f>
        <v>-12.050163576881133</v>
      </c>
      <c r="EU29" s="450">
        <f>INPUT!GB550</f>
        <v>1537</v>
      </c>
      <c r="EV29" s="438">
        <f>INPUT!GC550</f>
        <v>-4.7117172969621777</v>
      </c>
      <c r="EW29" s="450">
        <f>INPUT!GD550</f>
        <v>1550</v>
      </c>
      <c r="EX29" s="450">
        <f>INPUT!GE550</f>
        <v>0.84580351333767112</v>
      </c>
      <c r="EY29" s="450">
        <f>INPUT!GF550</f>
        <v>1594</v>
      </c>
      <c r="EZ29" s="450">
        <f>INPUT!GG550</f>
        <v>2.8387096774193452</v>
      </c>
      <c r="FA29" s="450">
        <f>INPUT!GH550</f>
        <v>1628</v>
      </c>
      <c r="FB29" s="450">
        <f>INPUT!GI550</f>
        <v>2.1329987452948416</v>
      </c>
      <c r="FC29" s="450">
        <f>INPUT!GJ550</f>
        <v>1582</v>
      </c>
      <c r="FD29" s="450">
        <f>INPUT!GK550</f>
        <v>-2.8255528255528191</v>
      </c>
      <c r="FE29" s="450">
        <f>INPUT!GL550</f>
        <v>1292</v>
      </c>
      <c r="FF29" s="450">
        <f>INPUT!GM550</f>
        <v>-18.33122629582806</v>
      </c>
      <c r="FG29" s="450">
        <f>INPUT!GN550</f>
        <v>1592</v>
      </c>
      <c r="FH29" s="450">
        <f>INPUT!GO550</f>
        <v>23.219814241486063</v>
      </c>
      <c r="FI29" s="450">
        <f>INPUT!GP550</f>
        <v>1470.0641804814252</v>
      </c>
      <c r="FJ29" s="450">
        <f>INPUT!GQ550</f>
        <v>-7.6592851456391173</v>
      </c>
      <c r="FK29" s="450">
        <f>INPUT!GR550</f>
        <v>1487.9294077892152</v>
      </c>
      <c r="FL29" s="450">
        <f>INPUT!GS550</f>
        <v>1.215268526707419</v>
      </c>
      <c r="FM29" s="450">
        <f>INPUT!GT550</f>
        <v>1503.3833256032583</v>
      </c>
      <c r="FN29" s="450">
        <f>INPUT!GU550</f>
        <v>1.0386190186942201</v>
      </c>
      <c r="FO29" s="450">
        <f>INPUT!GV550</f>
        <v>1520.5968992054839</v>
      </c>
      <c r="FP29" s="450">
        <f>INPUT!GW550</f>
        <v>1.1449889930978259</v>
      </c>
      <c r="FQ29" s="450">
        <f>INPUT!GX550</f>
        <v>1535.5666106472063</v>
      </c>
      <c r="FR29" s="450">
        <f>INPUT!GY550</f>
        <v>0.98446284150284669</v>
      </c>
      <c r="FS29" s="862">
        <f>INPUT!GZ550</f>
        <v>-0.71923398389063253</v>
      </c>
    </row>
    <row r="30" spans="1:175" s="529" customFormat="1" ht="12.75" customHeight="1" x14ac:dyDescent="0.2">
      <c r="A30" s="831" t="str">
        <f>INPUT!B551</f>
        <v>Tax Rate (%)</v>
      </c>
      <c r="B30" s="457">
        <f>INPUT!AA551</f>
        <v>0</v>
      </c>
      <c r="C30" s="439">
        <f>INPUT!AB551</f>
        <v>0</v>
      </c>
      <c r="D30" s="457">
        <f>INPUT!AC551</f>
        <v>0</v>
      </c>
      <c r="E30" s="439">
        <f>INPUT!AD551</f>
        <v>0</v>
      </c>
      <c r="F30" s="457">
        <f>INPUT!AE551</f>
        <v>0</v>
      </c>
      <c r="G30" s="439">
        <f>INPUT!AF551</f>
        <v>0</v>
      </c>
      <c r="H30" s="457">
        <f>INPUT!AG551</f>
        <v>0</v>
      </c>
      <c r="I30" s="439">
        <f>INPUT!AH551</f>
        <v>0</v>
      </c>
      <c r="J30" s="457">
        <f>INPUT!AI551</f>
        <v>0</v>
      </c>
      <c r="K30" s="439">
        <f>INPUT!AJ551</f>
        <v>0</v>
      </c>
      <c r="L30" s="457">
        <f>INPUT!AK551</f>
        <v>0</v>
      </c>
      <c r="M30" s="439">
        <f>INPUT!AL551</f>
        <v>0</v>
      </c>
      <c r="N30" s="457">
        <f>INPUT!AM551</f>
        <v>0</v>
      </c>
      <c r="O30" s="439">
        <f>INPUT!AN551</f>
        <v>0</v>
      </c>
      <c r="P30" s="457">
        <f>INPUT!AO551</f>
        <v>0</v>
      </c>
      <c r="Q30" s="439">
        <f>INPUT!AP551</f>
        <v>0</v>
      </c>
      <c r="R30" s="457">
        <f>INPUT!AQ551</f>
        <v>0</v>
      </c>
      <c r="S30" s="439">
        <f>INPUT!AR551</f>
        <v>0</v>
      </c>
      <c r="T30" s="457">
        <f>INPUT!AS551</f>
        <v>0</v>
      </c>
      <c r="U30" s="439">
        <f>INPUT!AT551</f>
        <v>0</v>
      </c>
      <c r="V30" s="457">
        <f>INPUT!AU551</f>
        <v>0</v>
      </c>
      <c r="W30" s="439">
        <f>INPUT!AV551</f>
        <v>0</v>
      </c>
      <c r="X30" s="457">
        <f>INPUT!AW551</f>
        <v>0</v>
      </c>
      <c r="Y30" s="439">
        <f>INPUT!AX551</f>
        <v>0</v>
      </c>
      <c r="Z30" s="457">
        <f>INPUT!AY551</f>
        <v>29.508196721311474</v>
      </c>
      <c r="AA30" s="439" t="str">
        <f>INPUT!AZ551</f>
        <v>NA</v>
      </c>
      <c r="AB30" s="457">
        <f>INPUT!BA551</f>
        <v>29.718004338394792</v>
      </c>
      <c r="AC30" s="439" t="str">
        <f>INPUT!BB551</f>
        <v>NA</v>
      </c>
      <c r="AD30" s="457">
        <f>INPUT!BC551</f>
        <v>29.837251356238699</v>
      </c>
      <c r="AE30" s="439" t="str">
        <f>INPUT!BD551</f>
        <v>NA</v>
      </c>
      <c r="AF30" s="457">
        <f>INPUT!BE551</f>
        <v>29.774730656219393</v>
      </c>
      <c r="AG30" s="439" t="str">
        <f>INPUT!BF551</f>
        <v>NA</v>
      </c>
      <c r="AH30" s="456">
        <f>INPUT!BG551</f>
        <v>28.607871720116616</v>
      </c>
      <c r="AI30" s="438">
        <f>INPUT!BH551</f>
        <v>-3.0511013929381221</v>
      </c>
      <c r="AJ30" s="456">
        <f>INPUT!BI551</f>
        <v>28.635147190008919</v>
      </c>
      <c r="AK30" s="438">
        <f>INPUT!BJ551</f>
        <v>-3.6437747839845827</v>
      </c>
      <c r="AL30" s="456">
        <f>INPUT!BK551</f>
        <v>29.266409266409266</v>
      </c>
      <c r="AM30" s="438">
        <f>INPUT!BL551</f>
        <v>-1.9131859131859272</v>
      </c>
      <c r="AN30" s="456">
        <f>INPUT!BM551</f>
        <v>23.828125</v>
      </c>
      <c r="AO30" s="438">
        <f>INPUT!BN551</f>
        <v>-19.971988075657904</v>
      </c>
      <c r="AP30" s="456">
        <f>INPUT!BO551</f>
        <v>26.286966046002192</v>
      </c>
      <c r="AQ30" s="438">
        <f>INPUT!BP551</f>
        <v>-8.1128218723184489</v>
      </c>
      <c r="AR30" s="456">
        <f>INPUT!BQ551</f>
        <v>25.314183123877914</v>
      </c>
      <c r="AS30" s="438">
        <f>INPUT!BR551</f>
        <v>-11.597510025335993</v>
      </c>
      <c r="AT30" s="456">
        <f>INPUT!BS551</f>
        <v>30.794701986754969</v>
      </c>
      <c r="AU30" s="438">
        <f>INPUT!BT551</f>
        <v>5.2220028307326913</v>
      </c>
      <c r="AV30" s="456">
        <f>INPUT!BU551</f>
        <v>25.719120135363788</v>
      </c>
      <c r="AW30" s="438">
        <f>INPUT!BV551</f>
        <v>7.9359795844775363</v>
      </c>
      <c r="AX30" s="456">
        <f>INPUT!BW551</f>
        <v>22.857142857142858</v>
      </c>
      <c r="AY30" s="438">
        <f>INPUT!BX551</f>
        <v>-13.047619047619051</v>
      </c>
      <c r="AZ30" s="456">
        <f>INPUT!BY551</f>
        <v>26.221079691516707</v>
      </c>
      <c r="BA30" s="438">
        <f>INPUT!BZ551</f>
        <v>3.5825630367007761</v>
      </c>
      <c r="BB30" s="456">
        <f>INPUT!CA551</f>
        <v>23.076923076923077</v>
      </c>
      <c r="BC30" s="438">
        <f>INPUT!CB551</f>
        <v>-25.062034739454091</v>
      </c>
      <c r="BD30" s="456">
        <f>INPUT!CC551</f>
        <v>27.58169934640523</v>
      </c>
      <c r="BE30" s="438">
        <f>INPUT!CD551</f>
        <v>7.2420020639835059</v>
      </c>
      <c r="BF30" s="456">
        <f>INPUT!CE551</f>
        <v>25.934579439252335</v>
      </c>
      <c r="BG30" s="438">
        <f>INPUT!CF551</f>
        <v>13.463785046728958</v>
      </c>
      <c r="BH30" s="456">
        <f>INPUT!CG551</f>
        <v>22.653061224489797</v>
      </c>
      <c r="BI30" s="438">
        <f>INPUT!CH551</f>
        <v>-13.607442977190871</v>
      </c>
      <c r="BJ30" s="456">
        <f>INPUT!CI551</f>
        <v>26.785714285714285</v>
      </c>
      <c r="BK30" s="438">
        <f>INPUT!CJ551</f>
        <v>16.071428571428555</v>
      </c>
      <c r="BL30" s="456">
        <f>INPUT!CK551</f>
        <v>27.490774907749078</v>
      </c>
      <c r="BM30" s="438">
        <f>INPUT!CL551</f>
        <v>-0.32965495531732358</v>
      </c>
      <c r="BN30" s="456">
        <f>INPUT!CM551</f>
        <v>27.007299270072991</v>
      </c>
      <c r="BO30" s="438">
        <f>INPUT!CN551</f>
        <v>4.1362530413625365</v>
      </c>
      <c r="BP30" s="456">
        <f>INPUT!CO551</f>
        <v>26.520912547528518</v>
      </c>
      <c r="BQ30" s="438">
        <f>INPUT!CP551</f>
        <v>17.074298633233994</v>
      </c>
      <c r="BR30" s="456">
        <f>INPUT!CQ551</f>
        <v>20.235756385068761</v>
      </c>
      <c r="BS30" s="438">
        <f>INPUT!CR551</f>
        <v>-24.453176162409946</v>
      </c>
      <c r="BT30" s="456">
        <f>INPUT!CS551</f>
        <v>26.672384219554029</v>
      </c>
      <c r="BU30" s="438">
        <f>INPUT!CT551</f>
        <v>-2.9769647852464232</v>
      </c>
      <c r="BV30" s="456">
        <f>INPUT!CU551</f>
        <v>26.522961574507963</v>
      </c>
      <c r="BW30" s="438">
        <f>INPUT!CV551</f>
        <v>-1.7933584943894232</v>
      </c>
      <c r="BX30" s="456">
        <f>INPUT!CW551</f>
        <v>23.948598130841123</v>
      </c>
      <c r="BY30" s="438">
        <f>INPUT!CX551</f>
        <v>-9.699192710950328</v>
      </c>
      <c r="BZ30" s="456">
        <f>INPUT!CY551</f>
        <v>26.239067055393583</v>
      </c>
      <c r="CA30" s="438">
        <f>INPUT!CZ551</f>
        <v>29.666845933935292</v>
      </c>
      <c r="CB30" s="456">
        <f>INPUT!DA551</f>
        <v>22.769516728624538</v>
      </c>
      <c r="CC30" s="438">
        <f>INPUT!DB551</f>
        <v>-14.632615737697066</v>
      </c>
      <c r="CD30" s="456">
        <f>INPUT!DC551</f>
        <v>27.469553450608931</v>
      </c>
      <c r="CE30" s="438">
        <f>INPUT!DD551</f>
        <v>3.5689524091863376</v>
      </c>
      <c r="CF30" s="456">
        <f>INPUT!DE551</f>
        <v>27.94990112063283</v>
      </c>
      <c r="CG30" s="438">
        <f>INPUT!DF551</f>
        <v>16.70787980127659</v>
      </c>
      <c r="CH30" s="456">
        <f>INPUT!DG551</f>
        <v>28.227914270778882</v>
      </c>
      <c r="CI30" s="438">
        <f>INPUT!DH551</f>
        <v>7.5797177208573032</v>
      </c>
      <c r="CJ30" s="456">
        <f>INPUT!DI551</f>
        <v>28.268309377138944</v>
      </c>
      <c r="CK30" s="438">
        <f>INPUT!DJ551</f>
        <v>24.149799550210219</v>
      </c>
      <c r="CL30" s="456">
        <f>INPUT!DK551</f>
        <v>27.625716104392104</v>
      </c>
      <c r="CM30" s="438">
        <f>INPUT!DL551</f>
        <v>0.56849360170328112</v>
      </c>
      <c r="CN30" s="456">
        <f>INPUT!DM551</f>
        <v>27.541589648798521</v>
      </c>
      <c r="CO30" s="438">
        <f>INPUT!DN551</f>
        <v>-1.4608691103128422</v>
      </c>
      <c r="CP30" s="456">
        <f>INPUT!DO551</f>
        <v>23.577235772357724</v>
      </c>
      <c r="CQ30" s="438">
        <f>INPUT!DP551</f>
        <v>-16.475459199036436</v>
      </c>
      <c r="CR30" s="456">
        <f>INPUT!DQ551</f>
        <v>25.055762081784387</v>
      </c>
      <c r="CS30" s="438">
        <f>INPUT!DR551</f>
        <v>-11.364483289377745</v>
      </c>
      <c r="CT30" s="456">
        <f>INPUT!DS551</f>
        <v>25.616045845272208</v>
      </c>
      <c r="CU30" s="438">
        <f>INPUT!DT551</f>
        <v>-7.2746358918833209</v>
      </c>
      <c r="CV30" s="456">
        <f>INPUT!DU551</f>
        <v>26.670287887017924</v>
      </c>
      <c r="CW30" s="438">
        <f>INPUT!DV551</f>
        <v>-3.1635855914315556</v>
      </c>
      <c r="CX30" s="456">
        <f>INPUT!DW551</f>
        <v>24.128503075871496</v>
      </c>
      <c r="CY30" s="438">
        <f>INPUT!DX551</f>
        <v>2.3381337355928906</v>
      </c>
      <c r="CZ30" s="456">
        <f>INPUT!DY551</f>
        <v>24.61928934010152</v>
      </c>
      <c r="DA30" s="438">
        <f>INPUT!DZ551</f>
        <v>-1.7420054527105435</v>
      </c>
      <c r="DB30" s="456">
        <f>INPUT!EA551</f>
        <v>24.754716981132074</v>
      </c>
      <c r="DC30" s="438">
        <f>INPUT!EB551</f>
        <v>-3.3624583175045473</v>
      </c>
      <c r="DD30" s="456">
        <f>INPUT!EC551</f>
        <v>21.570482497634817</v>
      </c>
      <c r="DE30" s="438">
        <f>INPUT!ED551</f>
        <v>-19.121673567931367</v>
      </c>
      <c r="DF30" s="456">
        <f>INPUT!EE551</f>
        <v>23.555840821566111</v>
      </c>
      <c r="DG30" s="438">
        <f>INPUT!EF551</f>
        <v>-2.3733849236509315</v>
      </c>
      <c r="DH30" s="456">
        <f>INPUT!EG551</f>
        <v>25.291295407813568</v>
      </c>
      <c r="DI30" s="438">
        <f>INPUT!EH551</f>
        <v>2.7295916564798546</v>
      </c>
      <c r="DJ30" s="456">
        <f>INPUT!EI551</f>
        <v>25.481927710843372</v>
      </c>
      <c r="DK30" s="456">
        <f>INPUT!EJ551</f>
        <v>2.9376652953276619</v>
      </c>
      <c r="DL30" s="456">
        <f>INPUT!EK551</f>
        <v>25.162866449511402</v>
      </c>
      <c r="DM30" s="456">
        <f>INPUT!EL551</f>
        <v>16.654165952340122</v>
      </c>
      <c r="DN30" s="456">
        <f>INPUT!EM551</f>
        <v>25.840807174887892</v>
      </c>
      <c r="DO30" s="456">
        <f>INPUT!EN551</f>
        <v>9.7002113854913716</v>
      </c>
      <c r="DP30" s="456">
        <f>INPUT!EO551</f>
        <v>25.381679389312978</v>
      </c>
      <c r="DQ30" s="456">
        <f>INPUT!EP551</f>
        <v>0.35737189432964556</v>
      </c>
      <c r="DR30" s="456">
        <f>INPUT!EQ551</f>
        <v>22</v>
      </c>
      <c r="DS30" s="456">
        <f>INPUT!ER551</f>
        <v>-13.664302600472809</v>
      </c>
      <c r="DT30" s="456">
        <f>INPUT!ES551</f>
        <v>22</v>
      </c>
      <c r="DU30" s="456">
        <f>INPUT!ET551</f>
        <v>-12.569579288025892</v>
      </c>
      <c r="DV30" s="456">
        <f>INPUT!EU551</f>
        <v>22</v>
      </c>
      <c r="DW30" s="456">
        <f>INPUT!EV551</f>
        <v>-14.863340563991329</v>
      </c>
      <c r="DX30" s="456">
        <f>INPUT!EW551</f>
        <v>22</v>
      </c>
      <c r="DY30" s="456">
        <f>INPUT!EX551</f>
        <v>-13.323308270676691</v>
      </c>
      <c r="DZ30" s="456">
        <f>INPUT!EY551</f>
        <v>0</v>
      </c>
      <c r="EA30" s="438"/>
      <c r="EB30" s="455">
        <f>INPUT!FI551</f>
        <v>0</v>
      </c>
      <c r="EC30" s="456">
        <f>INPUT!FJ551</f>
        <v>59.754052543320292</v>
      </c>
      <c r="ED30" s="455">
        <f>INPUT!FK551</f>
        <v>0</v>
      </c>
      <c r="EE30" s="456">
        <f>INPUT!FL551</f>
        <v>48.059415428845234</v>
      </c>
      <c r="EF30" s="455">
        <f>INPUT!FM551</f>
        <v>0</v>
      </c>
      <c r="EG30" s="456">
        <f>INPUT!FN551</f>
        <v>40.782325244476638</v>
      </c>
      <c r="EH30" s="455">
        <f>INPUT!FO551</f>
        <v>0</v>
      </c>
      <c r="EI30" s="456">
        <f>INPUT!FP551</f>
        <v>39.201399009035264</v>
      </c>
      <c r="EJ30" s="438">
        <f>INPUT!FQ551</f>
        <v>0</v>
      </c>
      <c r="EK30" s="456">
        <f>INPUT!FR551</f>
        <v>41.378426851140148</v>
      </c>
      <c r="EL30" s="438">
        <f>INPUT!FS551</f>
        <v>5.5534442574437577</v>
      </c>
      <c r="EM30" s="456">
        <f>INPUT!FT551</f>
        <v>39.293899858956273</v>
      </c>
      <c r="EN30" s="438">
        <f>INPUT!FU551</f>
        <v>-5.0377144585100098</v>
      </c>
      <c r="EO30" s="456">
        <f>INPUT!FV551</f>
        <v>155.85197934595524</v>
      </c>
      <c r="EP30" s="438" t="str">
        <f>INPUT!FW551</f>
        <v>NM</v>
      </c>
      <c r="EQ30" s="456">
        <f>INPUT!FX551</f>
        <v>62.169491525423723</v>
      </c>
      <c r="ER30" s="438" t="str">
        <f>INPUT!FY551</f>
        <v>NM</v>
      </c>
      <c r="ES30" s="456">
        <f>INPUT!FZ551</f>
        <v>44.046968869470234</v>
      </c>
      <c r="ET30" s="438">
        <f>INPUT!GA551</f>
        <v>-29.150186387711457</v>
      </c>
      <c r="EU30" s="456">
        <f>INPUT!GB551</f>
        <v>40.204028250065392</v>
      </c>
      <c r="EV30" s="438">
        <f>INPUT!GC551</f>
        <v>-8.7246426213642536</v>
      </c>
      <c r="EW30" s="456">
        <f>INPUT!GD551</f>
        <v>38.480635551142008</v>
      </c>
      <c r="EX30" s="456">
        <f>INPUT!GE551</f>
        <v>-4.2866169733143096</v>
      </c>
      <c r="EY30" s="456">
        <f>INPUT!GF551</f>
        <v>25.027476840948342</v>
      </c>
      <c r="EZ30" s="456">
        <f>INPUT!GG551</f>
        <v>-34.960853732038771</v>
      </c>
      <c r="FA30" s="456">
        <f>INPUT!GH551</f>
        <v>27.630685675492195</v>
      </c>
      <c r="FB30" s="456">
        <f>INPUT!GI551</f>
        <v>10.401403429868125</v>
      </c>
      <c r="FC30" s="456">
        <f>INPUT!GJ551</f>
        <v>25.38918311667469</v>
      </c>
      <c r="FD30" s="456">
        <f>INPUT!GK551</f>
        <v>-8.1123667546392824</v>
      </c>
      <c r="FE30" s="456">
        <f>INPUT!GL551</f>
        <v>23.930357473606222</v>
      </c>
      <c r="FF30" s="456">
        <f>INPUT!GM551</f>
        <v>-5.7458549822753611</v>
      </c>
      <c r="FG30" s="456">
        <f>INPUT!GN551</f>
        <v>25.496476617552847</v>
      </c>
      <c r="FH30" s="456">
        <f>INPUT!GO551</f>
        <v>6.5444870419255636</v>
      </c>
      <c r="FI30" s="456">
        <f>INPUT!GP551</f>
        <v>22.000000000000004</v>
      </c>
      <c r="FJ30" s="456">
        <f>INPUT!GQ551</f>
        <v>-13.713567839195946</v>
      </c>
      <c r="FK30" s="456">
        <f>INPUT!GR551</f>
        <v>22.000000000000004</v>
      </c>
      <c r="FL30" s="456">
        <f>INPUT!GS551</f>
        <v>0</v>
      </c>
      <c r="FM30" s="456">
        <f>INPUT!GT551</f>
        <v>22.000000000000004</v>
      </c>
      <c r="FN30" s="456">
        <f>INPUT!GU551</f>
        <v>0</v>
      </c>
      <c r="FO30" s="456">
        <f>INPUT!GV551</f>
        <v>22.000000000000004</v>
      </c>
      <c r="FP30" s="456">
        <f>INPUT!GW551</f>
        <v>0</v>
      </c>
      <c r="FQ30" s="456">
        <f>INPUT!GX551</f>
        <v>22.000000000000004</v>
      </c>
      <c r="FR30" s="456">
        <f>INPUT!GY551</f>
        <v>0</v>
      </c>
      <c r="FS30" s="866">
        <f>INPUT!GZ551</f>
        <v>-2.9068698527729753</v>
      </c>
    </row>
    <row r="31" spans="1:175" s="529" customFormat="1" ht="12.75" customHeight="1" x14ac:dyDescent="0.2">
      <c r="A31" s="831" t="str">
        <f>INPUT!B545</f>
        <v>Direct Equity Adjustment</v>
      </c>
      <c r="B31" s="449">
        <f>INPUT!AA545</f>
        <v>18</v>
      </c>
      <c r="C31" s="439" t="str">
        <f>INPUT!AB545</f>
        <v>NM</v>
      </c>
      <c r="D31" s="449">
        <f>INPUT!AC545</f>
        <v>8</v>
      </c>
      <c r="E31" s="439">
        <f>INPUT!AD545</f>
        <v>-42.857142857142861</v>
      </c>
      <c r="F31" s="449">
        <f>INPUT!AE545</f>
        <v>19</v>
      </c>
      <c r="G31" s="439" t="str">
        <f>INPUT!AF545</f>
        <v>NM</v>
      </c>
      <c r="H31" s="449">
        <f>INPUT!AG545</f>
        <v>15</v>
      </c>
      <c r="I31" s="439">
        <f>INPUT!AH545</f>
        <v>15.384615384615373</v>
      </c>
      <c r="J31" s="449">
        <f>INPUT!AI545</f>
        <v>19</v>
      </c>
      <c r="K31" s="439">
        <f>INPUT!AJ545</f>
        <v>5.5555555555555571</v>
      </c>
      <c r="L31" s="449">
        <f>INPUT!AK545</f>
        <v>23</v>
      </c>
      <c r="M31" s="439" t="str">
        <f>INPUT!AL545</f>
        <v>NM</v>
      </c>
      <c r="N31" s="449">
        <f>INPUT!AM545</f>
        <v>22</v>
      </c>
      <c r="O31" s="439">
        <f>INPUT!AN545</f>
        <v>15.789473684210535</v>
      </c>
      <c r="P31" s="449">
        <f>INPUT!AO545</f>
        <v>20</v>
      </c>
      <c r="Q31" s="439">
        <f>INPUT!AP545</f>
        <v>33.333333333333314</v>
      </c>
      <c r="R31" s="449">
        <f>INPUT!AQ545</f>
        <v>22</v>
      </c>
      <c r="S31" s="439">
        <f>INPUT!AR545</f>
        <v>15.789473684210535</v>
      </c>
      <c r="T31" s="449">
        <f>INPUT!AS545</f>
        <v>22</v>
      </c>
      <c r="U31" s="439">
        <f>INPUT!AT545</f>
        <v>-4.3478260869565162</v>
      </c>
      <c r="V31" s="449">
        <f>INPUT!AU545</f>
        <v>19</v>
      </c>
      <c r="W31" s="439">
        <f>INPUT!AV545</f>
        <v>-13.63636363636364</v>
      </c>
      <c r="X31" s="449">
        <f>INPUT!AW545</f>
        <v>19</v>
      </c>
      <c r="Y31" s="439">
        <f>INPUT!AX545</f>
        <v>-5</v>
      </c>
      <c r="Z31" s="449">
        <f>INPUT!AY545</f>
        <v>19</v>
      </c>
      <c r="AA31" s="439">
        <f>INPUT!AZ545</f>
        <v>-13.63636363636364</v>
      </c>
      <c r="AB31" s="449">
        <f>INPUT!BA545</f>
        <v>16</v>
      </c>
      <c r="AC31" s="439">
        <f>INPUT!BB545</f>
        <v>-27.272727272727266</v>
      </c>
      <c r="AD31" s="449">
        <f>INPUT!BC545</f>
        <v>16</v>
      </c>
      <c r="AE31" s="439">
        <f>INPUT!BD545</f>
        <v>-15.789473684210535</v>
      </c>
      <c r="AF31" s="449">
        <f>INPUT!BE545</f>
        <v>17</v>
      </c>
      <c r="AG31" s="439">
        <f>INPUT!BF545</f>
        <v>-10.526315789473685</v>
      </c>
      <c r="AH31" s="450">
        <f>INPUT!BG545</f>
        <v>14.6</v>
      </c>
      <c r="AI31" s="438">
        <f>INPUT!BH545</f>
        <v>-23.15789473684211</v>
      </c>
      <c r="AJ31" s="450">
        <f>INPUT!BI545</f>
        <v>14</v>
      </c>
      <c r="AK31" s="438">
        <f>INPUT!BJ545</f>
        <v>-12.5</v>
      </c>
      <c r="AL31" s="450">
        <f>INPUT!BK545</f>
        <v>13</v>
      </c>
      <c r="AM31" s="438">
        <f>INPUT!BL545</f>
        <v>-18.75</v>
      </c>
      <c r="AN31" s="450">
        <f>INPUT!BM545</f>
        <v>11</v>
      </c>
      <c r="AO31" s="438">
        <f>INPUT!BN545</f>
        <v>-35.294117647058826</v>
      </c>
      <c r="AP31" s="450">
        <f>INPUT!BO545</f>
        <v>12</v>
      </c>
      <c r="AQ31" s="438">
        <f>INPUT!BP545</f>
        <v>-17.808219178082183</v>
      </c>
      <c r="AR31" s="450">
        <f>INPUT!BQ545</f>
        <v>14</v>
      </c>
      <c r="AS31" s="438">
        <f>INPUT!BR545</f>
        <v>0</v>
      </c>
      <c r="AT31" s="450">
        <f>INPUT!BS545</f>
        <v>10</v>
      </c>
      <c r="AU31" s="438">
        <f>INPUT!BT545</f>
        <v>-23.076923076923066</v>
      </c>
      <c r="AV31" s="450">
        <f>INPUT!BU545</f>
        <v>19</v>
      </c>
      <c r="AW31" s="438">
        <f>INPUT!BV545</f>
        <v>72.72727272727272</v>
      </c>
      <c r="AX31" s="450">
        <f>INPUT!BW545</f>
        <v>11</v>
      </c>
      <c r="AY31" s="438">
        <f>INPUT!BX545</f>
        <v>-8.3333333333333428</v>
      </c>
      <c r="AZ31" s="450">
        <f>INPUT!BY545</f>
        <v>0</v>
      </c>
      <c r="BA31" s="438" t="str">
        <f>INPUT!BZ545</f>
        <v>NM</v>
      </c>
      <c r="BB31" s="450">
        <f>INPUT!CA545</f>
        <v>0</v>
      </c>
      <c r="BC31" s="438" t="str">
        <f>INPUT!CB545</f>
        <v>NM</v>
      </c>
      <c r="BD31" s="450">
        <f>INPUT!CC545</f>
        <v>5</v>
      </c>
      <c r="BE31" s="438" t="str">
        <f>INPUT!CD545</f>
        <v>NM</v>
      </c>
      <c r="BF31" s="450">
        <f>INPUT!CE545</f>
        <v>6</v>
      </c>
      <c r="BG31" s="438">
        <f>INPUT!CF545</f>
        <v>-45.45454545454546</v>
      </c>
      <c r="BH31" s="450">
        <f>INPUT!CG545</f>
        <v>10</v>
      </c>
      <c r="BI31" s="438" t="str">
        <f>INPUT!CH545</f>
        <v>NA</v>
      </c>
      <c r="BJ31" s="450">
        <f>INPUT!CI545</f>
        <v>1</v>
      </c>
      <c r="BK31" s="438" t="str">
        <f>INPUT!CJ545</f>
        <v>NA</v>
      </c>
      <c r="BL31" s="450">
        <f>INPUT!CK545</f>
        <v>1</v>
      </c>
      <c r="BM31" s="438" t="str">
        <f>INPUT!CL545</f>
        <v>NM</v>
      </c>
      <c r="BN31" s="450">
        <f>INPUT!CM545</f>
        <v>0</v>
      </c>
      <c r="BO31" s="438" t="str">
        <f>INPUT!CN545</f>
        <v>NM</v>
      </c>
      <c r="BP31" s="450">
        <f>INPUT!CO545</f>
        <v>2</v>
      </c>
      <c r="BQ31" s="438" t="str">
        <f>INPUT!CP545</f>
        <v>NM</v>
      </c>
      <c r="BR31" s="450">
        <f>INPUT!CQ545</f>
        <v>4</v>
      </c>
      <c r="BS31" s="438" t="str">
        <f>INPUT!CR545</f>
        <v>NM</v>
      </c>
      <c r="BT31" s="450">
        <f>INPUT!CS545</f>
        <v>-4</v>
      </c>
      <c r="BU31" s="438" t="str">
        <f>INPUT!CT545</f>
        <v>NM</v>
      </c>
      <c r="BV31" s="450">
        <f>INPUT!CU545</f>
        <v>6</v>
      </c>
      <c r="BW31" s="438" t="str">
        <f>INPUT!CV545</f>
        <v>NA</v>
      </c>
      <c r="BX31" s="450">
        <f>INPUT!CW545</f>
        <v>6</v>
      </c>
      <c r="BY31" s="438" t="str">
        <f>INPUT!CX545</f>
        <v>NM</v>
      </c>
      <c r="BZ31" s="450">
        <f>INPUT!CY545</f>
        <v>-3</v>
      </c>
      <c r="CA31" s="438" t="str">
        <f>INPUT!CZ545</f>
        <v>NM</v>
      </c>
      <c r="CB31" s="450">
        <f>INPUT!DA545</f>
        <v>-3</v>
      </c>
      <c r="CC31" s="438">
        <f>INPUT!DB545</f>
        <v>-25</v>
      </c>
      <c r="CD31" s="450">
        <f>INPUT!DC545</f>
        <v>-3</v>
      </c>
      <c r="CE31" s="438" t="str">
        <f>INPUT!DD545</f>
        <v>NM</v>
      </c>
      <c r="CF31" s="450">
        <f>INPUT!DE545</f>
        <v>-5</v>
      </c>
      <c r="CG31" s="438" t="str">
        <f>INPUT!DF545</f>
        <v>NM</v>
      </c>
      <c r="CH31" s="450">
        <f>INPUT!DG545</f>
        <v>-7</v>
      </c>
      <c r="CI31" s="438" t="str">
        <f>INPUT!DH545</f>
        <v>NM</v>
      </c>
      <c r="CJ31" s="450">
        <f>INPUT!DI545</f>
        <v>-10</v>
      </c>
      <c r="CK31" s="438" t="str">
        <f>INPUT!DJ545</f>
        <v>NM</v>
      </c>
      <c r="CL31" s="450">
        <f>INPUT!DK545</f>
        <v>-2</v>
      </c>
      <c r="CM31" s="438">
        <f>INPUT!DL545</f>
        <v>-33.333333333333343</v>
      </c>
      <c r="CN31" s="450">
        <f>INPUT!DM545</f>
        <v>-3</v>
      </c>
      <c r="CO31" s="438">
        <f>INPUT!DN545</f>
        <v>-40</v>
      </c>
      <c r="CP31" s="450">
        <f>INPUT!DO545</f>
        <v>-3</v>
      </c>
      <c r="CQ31" s="438" t="str">
        <f>INPUT!DP545</f>
        <v>NM</v>
      </c>
      <c r="CR31" s="450">
        <f>INPUT!DQ545</f>
        <v>-19</v>
      </c>
      <c r="CS31" s="438">
        <f>INPUT!DR545</f>
        <v>90</v>
      </c>
      <c r="CT31" s="450">
        <f>INPUT!DS545</f>
        <v>0</v>
      </c>
      <c r="CU31" s="438" t="str">
        <f>INPUT!DT545</f>
        <v>NM</v>
      </c>
      <c r="CV31" s="450">
        <f>INPUT!DU545</f>
        <v>0</v>
      </c>
      <c r="CW31" s="438" t="str">
        <f>INPUT!DV545</f>
        <v>NM</v>
      </c>
      <c r="CX31" s="450">
        <f>INPUT!DW545</f>
        <v>0</v>
      </c>
      <c r="CY31" s="438" t="str">
        <f>INPUT!DX545</f>
        <v>NM</v>
      </c>
      <c r="CZ31" s="450">
        <f>INPUT!DY545</f>
        <v>0</v>
      </c>
      <c r="DA31" s="438" t="str">
        <f>INPUT!DZ545</f>
        <v>NM</v>
      </c>
      <c r="DB31" s="450">
        <f>INPUT!EA545</f>
        <v>0</v>
      </c>
      <c r="DC31" s="438" t="str">
        <f>INPUT!EB545</f>
        <v>NA</v>
      </c>
      <c r="DD31" s="450">
        <f>INPUT!EC545</f>
        <v>0</v>
      </c>
      <c r="DE31" s="438" t="str">
        <f>INPUT!ED545</f>
        <v>NA</v>
      </c>
      <c r="DF31" s="450">
        <f>INPUT!EE545</f>
        <v>-9.5</v>
      </c>
      <c r="DG31" s="438" t="str">
        <f>INPUT!EF545</f>
        <v>NA</v>
      </c>
      <c r="DH31" s="450">
        <f>INPUT!EG545</f>
        <v>-9</v>
      </c>
      <c r="DI31" s="438" t="str">
        <f>INPUT!EH545</f>
        <v>NA</v>
      </c>
      <c r="DJ31" s="450">
        <f>INPUT!EI545</f>
        <v>-10</v>
      </c>
      <c r="DK31" s="450" t="str">
        <f>INPUT!EJ545</f>
        <v>NA</v>
      </c>
      <c r="DL31" s="450">
        <f>INPUT!EK545</f>
        <v>-5</v>
      </c>
      <c r="DM31" s="450" t="str">
        <f>INPUT!EL545</f>
        <v>NA</v>
      </c>
      <c r="DN31" s="450">
        <f>INPUT!EM545</f>
        <v>-12</v>
      </c>
      <c r="DO31" s="450">
        <f>INPUT!EN545</f>
        <v>26.315789473684205</v>
      </c>
      <c r="DP31" s="450">
        <f>INPUT!EO545</f>
        <v>-11</v>
      </c>
      <c r="DQ31" s="450">
        <f>INPUT!EP545</f>
        <v>22.222222222222229</v>
      </c>
      <c r="DR31" s="450">
        <f>INPUT!EQ545</f>
        <v>-11</v>
      </c>
      <c r="DS31" s="450">
        <f>INPUT!ER545</f>
        <v>10.000000000000014</v>
      </c>
      <c r="DT31" s="450">
        <f>INPUT!ES545</f>
        <v>-11</v>
      </c>
      <c r="DU31" s="450" t="str">
        <f>INPUT!ET545</f>
        <v>NM</v>
      </c>
      <c r="DV31" s="450">
        <f>INPUT!EU545</f>
        <v>-11</v>
      </c>
      <c r="DW31" s="450">
        <f>INPUT!EV545</f>
        <v>-8.3333333333333428</v>
      </c>
      <c r="DX31" s="450">
        <f>INPUT!EW545</f>
        <v>-11</v>
      </c>
      <c r="DY31" s="450">
        <f>INPUT!EX545</f>
        <v>0</v>
      </c>
      <c r="DZ31" s="450">
        <f>INPUT!EY545</f>
        <v>0</v>
      </c>
      <c r="EA31" s="438"/>
      <c r="EB31" s="450">
        <f>INPUT!FI545</f>
        <v>50</v>
      </c>
      <c r="EC31" s="456">
        <f>INPUT!FJ545</f>
        <v>5</v>
      </c>
      <c r="ED31" s="455" t="str">
        <f>INPUT!FK545</f>
        <v>NM</v>
      </c>
      <c r="EE31" s="456">
        <f>INPUT!FL545</f>
        <v>6</v>
      </c>
      <c r="EF31" s="455">
        <f>INPUT!FM545</f>
        <v>20</v>
      </c>
      <c r="EG31" s="456">
        <f>INPUT!FN545</f>
        <v>-3</v>
      </c>
      <c r="EH31" s="455" t="str">
        <f>INPUT!FO545</f>
        <v>NM</v>
      </c>
      <c r="EI31" s="450">
        <f>INPUT!FP545</f>
        <v>-14</v>
      </c>
      <c r="EJ31" s="438" t="str">
        <f>INPUT!FQ545</f>
        <v>NM</v>
      </c>
      <c r="EK31" s="450">
        <f>INPUT!FR545</f>
        <v>-18</v>
      </c>
      <c r="EL31" s="438">
        <f>INPUT!FS545</f>
        <v>28.571428571428584</v>
      </c>
      <c r="EM31" s="450">
        <f>INPUT!FT545</f>
        <v>-25</v>
      </c>
      <c r="EN31" s="438">
        <f>INPUT!FU545</f>
        <v>38.888888888888886</v>
      </c>
      <c r="EO31" s="450">
        <f>INPUT!FV545</f>
        <v>-24</v>
      </c>
      <c r="EP31" s="438">
        <f>INPUT!FW545</f>
        <v>-4</v>
      </c>
      <c r="EQ31" s="450">
        <f>INPUT!FX545</f>
        <v>-22</v>
      </c>
      <c r="ER31" s="438">
        <f>INPUT!FY545</f>
        <v>-8.3333333333333428</v>
      </c>
      <c r="ES31" s="450">
        <f>INPUT!FZ545</f>
        <v>-18</v>
      </c>
      <c r="ET31" s="438">
        <f>INPUT!GA545</f>
        <v>-18.181818181818173</v>
      </c>
      <c r="EU31" s="450">
        <f>INPUT!GB545</f>
        <v>-27</v>
      </c>
      <c r="EV31" s="438">
        <f>INPUT!GC545</f>
        <v>50</v>
      </c>
      <c r="EW31" s="450">
        <f>INPUT!GD545</f>
        <v>-25</v>
      </c>
      <c r="EX31" s="450">
        <f>INPUT!GE545</f>
        <v>-7.4074074074074048</v>
      </c>
      <c r="EY31" s="450">
        <f>INPUT!GF545</f>
        <v>-22</v>
      </c>
      <c r="EZ31" s="450">
        <f>INPUT!GG545</f>
        <v>-12</v>
      </c>
      <c r="FA31" s="450">
        <f>INPUT!GH545</f>
        <v>-19</v>
      </c>
      <c r="FB31" s="450">
        <f>INPUT!GI545</f>
        <v>-13.63636363636364</v>
      </c>
      <c r="FC31" s="450">
        <f>INPUT!GJ545</f>
        <v>0</v>
      </c>
      <c r="FD31" s="450" t="str">
        <f>INPUT!GK545</f>
        <v>NM</v>
      </c>
      <c r="FE31" s="450">
        <f>INPUT!GL545</f>
        <v>-18.5</v>
      </c>
      <c r="FF31" s="450" t="str">
        <f>INPUT!GM545</f>
        <v>NA</v>
      </c>
      <c r="FG31" s="450">
        <f>INPUT!GN545</f>
        <v>-38</v>
      </c>
      <c r="FH31" s="450" t="str">
        <f>INPUT!GO545</f>
        <v>NM</v>
      </c>
      <c r="FI31" s="450">
        <f>INPUT!GP545</f>
        <v>-44</v>
      </c>
      <c r="FJ31" s="450">
        <f>INPUT!GQ545</f>
        <v>15.789473684210535</v>
      </c>
      <c r="FK31" s="450">
        <f>INPUT!GR545</f>
        <v>-44</v>
      </c>
      <c r="FL31" s="450">
        <f>INPUT!GS545</f>
        <v>0</v>
      </c>
      <c r="FM31" s="450">
        <f>INPUT!GT545</f>
        <v>-44</v>
      </c>
      <c r="FN31" s="450">
        <f>INPUT!GU545</f>
        <v>0</v>
      </c>
      <c r="FO31" s="450">
        <f>INPUT!GV545</f>
        <v>-44</v>
      </c>
      <c r="FP31" s="450">
        <f>INPUT!GW545</f>
        <v>0</v>
      </c>
      <c r="FQ31" s="450">
        <f>INPUT!GX545</f>
        <v>-44</v>
      </c>
      <c r="FR31" s="450">
        <f>INPUT!GY545</f>
        <v>0</v>
      </c>
      <c r="FS31" s="862">
        <f>INPUT!GZ545</f>
        <v>2.9754778570413087</v>
      </c>
    </row>
    <row r="32" spans="1:175" s="529" customFormat="1" ht="12.75" customHeight="1" x14ac:dyDescent="0.2">
      <c r="A32" s="829" t="s">
        <v>638</v>
      </c>
      <c r="B32" s="452">
        <f>INPUT!AA554</f>
        <v>0</v>
      </c>
      <c r="C32" s="439">
        <f>INPUT!AB554</f>
        <v>0</v>
      </c>
      <c r="D32" s="452">
        <f>INPUT!AC554</f>
        <v>0</v>
      </c>
      <c r="E32" s="439">
        <f>INPUT!AD554</f>
        <v>0</v>
      </c>
      <c r="F32" s="452">
        <f>INPUT!AE554</f>
        <v>0</v>
      </c>
      <c r="G32" s="439">
        <f>INPUT!AF554</f>
        <v>0</v>
      </c>
      <c r="H32" s="452">
        <f>INPUT!AG554</f>
        <v>0</v>
      </c>
      <c r="I32" s="439">
        <f>INPUT!AH554</f>
        <v>0</v>
      </c>
      <c r="J32" s="452">
        <f>INPUT!AI554</f>
        <v>0</v>
      </c>
      <c r="K32" s="439">
        <f>INPUT!AJ554</f>
        <v>0</v>
      </c>
      <c r="L32" s="452">
        <f>INPUT!AK554</f>
        <v>0</v>
      </c>
      <c r="M32" s="439">
        <f>INPUT!AL554</f>
        <v>0</v>
      </c>
      <c r="N32" s="452">
        <f>INPUT!AM554</f>
        <v>0</v>
      </c>
      <c r="O32" s="439">
        <f>INPUT!AN554</f>
        <v>0</v>
      </c>
      <c r="P32" s="452">
        <f>INPUT!AO554</f>
        <v>0</v>
      </c>
      <c r="Q32" s="439">
        <f>INPUT!AP554</f>
        <v>0</v>
      </c>
      <c r="R32" s="452">
        <f>INPUT!AQ554</f>
        <v>0</v>
      </c>
      <c r="S32" s="439">
        <f>INPUT!AR554</f>
        <v>0</v>
      </c>
      <c r="T32" s="452">
        <f>INPUT!AS554</f>
        <v>0</v>
      </c>
      <c r="U32" s="439">
        <f>INPUT!AT554</f>
        <v>0</v>
      </c>
      <c r="V32" s="452">
        <f>INPUT!AU554</f>
        <v>0</v>
      </c>
      <c r="W32" s="439">
        <f>INPUT!AV554</f>
        <v>0</v>
      </c>
      <c r="X32" s="452">
        <f>INPUT!AW554</f>
        <v>0</v>
      </c>
      <c r="Y32" s="439">
        <f>INPUT!AX554</f>
        <v>0</v>
      </c>
      <c r="Z32" s="452">
        <f>INPUT!AY554</f>
        <v>621</v>
      </c>
      <c r="AA32" s="439" t="str">
        <f>INPUT!AZ554</f>
        <v>NA</v>
      </c>
      <c r="AB32" s="452">
        <f>INPUT!BA554</f>
        <v>664</v>
      </c>
      <c r="AC32" s="439" t="str">
        <f>INPUT!BB554</f>
        <v>NA</v>
      </c>
      <c r="AD32" s="452">
        <f>INPUT!BC554</f>
        <v>792</v>
      </c>
      <c r="AE32" s="439" t="str">
        <f>INPUT!BD554</f>
        <v>NA</v>
      </c>
      <c r="AF32" s="452">
        <f>INPUT!BE554</f>
        <v>734</v>
      </c>
      <c r="AG32" s="439" t="str">
        <f>INPUT!BF554</f>
        <v>NA</v>
      </c>
      <c r="AH32" s="451">
        <f>INPUT!BG554</f>
        <v>798.19999999999993</v>
      </c>
      <c r="AI32" s="438">
        <f>INPUT!BH554</f>
        <v>28.534621578099831</v>
      </c>
      <c r="AJ32" s="451">
        <f>INPUT!BI554</f>
        <v>814</v>
      </c>
      <c r="AK32" s="438">
        <f>INPUT!BJ554</f>
        <v>22.590361445783131</v>
      </c>
      <c r="AL32" s="451">
        <f>INPUT!BK554</f>
        <v>929</v>
      </c>
      <c r="AM32" s="438">
        <f>INPUT!BL554</f>
        <v>17.297979797979806</v>
      </c>
      <c r="AN32" s="451">
        <f>INPUT!BM554</f>
        <v>791</v>
      </c>
      <c r="AO32" s="438">
        <f>INPUT!BN554</f>
        <v>7.7656675749318822</v>
      </c>
      <c r="AP32" s="451">
        <f>INPUT!BO554</f>
        <v>685</v>
      </c>
      <c r="AQ32" s="438">
        <f>INPUT!BP554</f>
        <v>-14.181909295915801</v>
      </c>
      <c r="AR32" s="451">
        <f>INPUT!BQ554</f>
        <v>846</v>
      </c>
      <c r="AS32" s="438">
        <f>INPUT!BR554</f>
        <v>3.9312039312039389</v>
      </c>
      <c r="AT32" s="451">
        <f>INPUT!BS554</f>
        <v>428</v>
      </c>
      <c r="AU32" s="438" t="str">
        <f>INPUT!BT554</f>
        <v>NM</v>
      </c>
      <c r="AV32" s="451">
        <f>INPUT!BU554</f>
        <v>-859</v>
      </c>
      <c r="AW32" s="438" t="str">
        <f>INPUT!BV554</f>
        <v>NM</v>
      </c>
      <c r="AX32" s="451">
        <f>INPUT!BW554</f>
        <v>200</v>
      </c>
      <c r="AY32" s="438" t="str">
        <f>INPUT!BX554</f>
        <v>NM</v>
      </c>
      <c r="AZ32" s="451">
        <f>INPUT!BY554</f>
        <v>861</v>
      </c>
      <c r="BA32" s="438">
        <f>INPUT!BZ554</f>
        <v>1.7730496453900741</v>
      </c>
      <c r="BB32" s="451">
        <f>INPUT!CA554</f>
        <v>820</v>
      </c>
      <c r="BC32" s="438">
        <f>INPUT!CB554</f>
        <v>91.588785046728987</v>
      </c>
      <c r="BD32" s="451">
        <f>INPUT!CC554</f>
        <v>559</v>
      </c>
      <c r="BE32" s="438" t="str">
        <f>INPUT!CD554</f>
        <v>NM</v>
      </c>
      <c r="BF32" s="451">
        <f>INPUT!CE554</f>
        <v>640</v>
      </c>
      <c r="BG32" s="438" t="str">
        <f>INPUT!CF554</f>
        <v>NM</v>
      </c>
      <c r="BH32" s="451">
        <f>INPUT!CG554</f>
        <v>389</v>
      </c>
      <c r="BI32" s="438" t="str">
        <f>INPUT!CH554</f>
        <v>NM</v>
      </c>
      <c r="BJ32" s="451">
        <f>INPUT!CI554</f>
        <v>903</v>
      </c>
      <c r="BK32" s="438">
        <f>INPUT!CJ554</f>
        <v>10.121951219512198</v>
      </c>
      <c r="BL32" s="451">
        <f>INPUT!CK554</f>
        <v>787</v>
      </c>
      <c r="BM32" s="438">
        <f>INPUT!CL554</f>
        <v>40.787119856887301</v>
      </c>
      <c r="BN32" s="451">
        <f>INPUT!CM554</f>
        <v>800</v>
      </c>
      <c r="BO32" s="438">
        <f>INPUT!CN554</f>
        <v>25</v>
      </c>
      <c r="BP32" s="451">
        <f>INPUT!CO554</f>
        <v>775</v>
      </c>
      <c r="BQ32" s="438">
        <f>INPUT!CP554</f>
        <v>99.228791773778937</v>
      </c>
      <c r="BR32" s="451">
        <f>INPUT!CQ554</f>
        <v>410</v>
      </c>
      <c r="BS32" s="438" t="str">
        <f>INPUT!CR554</f>
        <v>NM</v>
      </c>
      <c r="BT32" s="451">
        <f>INPUT!CS554</f>
        <v>851</v>
      </c>
      <c r="BU32" s="438">
        <f>INPUT!CT554</f>
        <v>8.1321473951715433</v>
      </c>
      <c r="BV32" s="451">
        <f>INPUT!CU554</f>
        <v>790</v>
      </c>
      <c r="BW32" s="438">
        <f>INPUT!CV554</f>
        <v>-1.25</v>
      </c>
      <c r="BX32" s="451">
        <f>INPUT!CW554</f>
        <v>657</v>
      </c>
      <c r="BY32" s="438">
        <f>INPUT!CX554</f>
        <v>-15.225806451612897</v>
      </c>
      <c r="BZ32" s="451">
        <f>INPUT!CY554</f>
        <v>756</v>
      </c>
      <c r="CA32" s="438">
        <f>INPUT!CZ554</f>
        <v>84.390243902439039</v>
      </c>
      <c r="CB32" s="451">
        <f>INPUT!DA554</f>
        <v>828</v>
      </c>
      <c r="CC32" s="438">
        <f>INPUT!DB554</f>
        <v>-2.7027027027026946</v>
      </c>
      <c r="CD32" s="451">
        <f>INPUT!DC554</f>
        <v>1069</v>
      </c>
      <c r="CE32" s="438">
        <f>INPUT!DD554</f>
        <v>35.316455696202553</v>
      </c>
      <c r="CF32" s="451">
        <f>INPUT!DE554</f>
        <v>1088</v>
      </c>
      <c r="CG32" s="438">
        <f>INPUT!DF554</f>
        <v>65.601217656012182</v>
      </c>
      <c r="CH32" s="451">
        <f>INPUT!DG554</f>
        <v>1366</v>
      </c>
      <c r="CI32" s="438">
        <f>INPUT!DH554</f>
        <v>80.687830687830683</v>
      </c>
      <c r="CJ32" s="451">
        <f>INPUT!DI554</f>
        <v>1038</v>
      </c>
      <c r="CK32" s="438">
        <f>INPUT!DJ554</f>
        <v>25.362318840579718</v>
      </c>
      <c r="CL32" s="451">
        <f>INPUT!DK554</f>
        <v>1135</v>
      </c>
      <c r="CM32" s="438">
        <f>INPUT!DL554</f>
        <v>6.173994387277844</v>
      </c>
      <c r="CN32" s="451">
        <f>INPUT!DM554</f>
        <v>1173</v>
      </c>
      <c r="CO32" s="438">
        <f>INPUT!DN554</f>
        <v>7.8125</v>
      </c>
      <c r="CP32" s="451">
        <f>INPUT!DO554</f>
        <v>1031</v>
      </c>
      <c r="CQ32" s="438">
        <f>INPUT!DP554</f>
        <v>-24.524158125915079</v>
      </c>
      <c r="CR32" s="451">
        <f>INPUT!DQ554</f>
        <v>989</v>
      </c>
      <c r="CS32" s="438">
        <f>INPUT!DR554</f>
        <v>-4.7206165703275502</v>
      </c>
      <c r="CT32" s="451">
        <f>INPUT!DS554</f>
        <v>1298</v>
      </c>
      <c r="CU32" s="438">
        <f>INPUT!DT554</f>
        <v>14.36123348017621</v>
      </c>
      <c r="CV32" s="451">
        <f>INPUT!DU554</f>
        <v>1350</v>
      </c>
      <c r="CW32" s="438">
        <f>INPUT!DV554</f>
        <v>15.089514066496164</v>
      </c>
      <c r="CX32" s="451">
        <f>INPUT!DW554</f>
        <v>1110</v>
      </c>
      <c r="CY32" s="438">
        <f>INPUT!DX554</f>
        <v>7.6624636275460745</v>
      </c>
      <c r="CZ32" s="451">
        <f>INPUT!DY554</f>
        <v>891</v>
      </c>
      <c r="DA32" s="438">
        <f>INPUT!DZ554</f>
        <v>-9.9089989888776557</v>
      </c>
      <c r="DB32" s="451">
        <f>INPUT!EA554</f>
        <v>997</v>
      </c>
      <c r="DC32" s="438">
        <f>INPUT!EB554</f>
        <v>-23.18952234206472</v>
      </c>
      <c r="DD32" s="451">
        <f>INPUT!EC554</f>
        <v>829</v>
      </c>
      <c r="DE32" s="438">
        <f>INPUT!ED554</f>
        <v>-38.592592592592588</v>
      </c>
      <c r="DF32" s="451">
        <f>INPUT!EE554</f>
        <v>1181.5</v>
      </c>
      <c r="DG32" s="438">
        <f>INPUT!EF554</f>
        <v>6.4414414414414267</v>
      </c>
      <c r="DH32" s="451">
        <f>INPUT!EG554</f>
        <v>1081</v>
      </c>
      <c r="DI32" s="438">
        <f>INPUT!EH554</f>
        <v>21.324354657687977</v>
      </c>
      <c r="DJ32" s="451">
        <f>INPUT!EI554</f>
        <v>1227</v>
      </c>
      <c r="DK32" s="451">
        <f>INPUT!EJ554</f>
        <v>23.069207622868618</v>
      </c>
      <c r="DL32" s="451">
        <f>INPUT!EK554</f>
        <v>914</v>
      </c>
      <c r="DM32" s="451">
        <f>INPUT!EL554</f>
        <v>10.253317249698426</v>
      </c>
      <c r="DN32" s="451">
        <f>INPUT!EM554</f>
        <v>1311</v>
      </c>
      <c r="DO32" s="451">
        <f>INPUT!EN554</f>
        <v>10.96064325010579</v>
      </c>
      <c r="DP32" s="451">
        <f>INPUT!EO554</f>
        <v>1162</v>
      </c>
      <c r="DQ32" s="451">
        <f>INPUT!EP554</f>
        <v>7.4930619796484734</v>
      </c>
      <c r="DR32" s="451">
        <f>INPUT!EQ554</f>
        <v>1326.6539953800166</v>
      </c>
      <c r="DS32" s="451">
        <f>INPUT!ER554</f>
        <v>8.1217600146712812</v>
      </c>
      <c r="DT32" s="451">
        <f>INPUT!ES554</f>
        <v>1333.9585156595535</v>
      </c>
      <c r="DU32" s="451">
        <f>INPUT!ET554</f>
        <v>45.947321188134964</v>
      </c>
      <c r="DV32" s="451">
        <f>INPUT!EU554</f>
        <v>1318.8396634684204</v>
      </c>
      <c r="DW32" s="451">
        <f>INPUT!EV554</f>
        <v>0.59799111124488036</v>
      </c>
      <c r="DX32" s="451">
        <f>INPUT!EW554</f>
        <v>1188.5935562897889</v>
      </c>
      <c r="DY32" s="451">
        <f>INPUT!EX554</f>
        <v>2.2886020903432751</v>
      </c>
      <c r="DZ32" s="451">
        <f>INPUT!EY554</f>
        <v>0</v>
      </c>
      <c r="EA32" s="438"/>
      <c r="EB32" s="439">
        <f>INPUT!FI554</f>
        <v>0</v>
      </c>
      <c r="EC32" s="452">
        <f>INPUT!FJ554</f>
        <v>725</v>
      </c>
      <c r="ED32" s="439">
        <f>INPUT!FK554</f>
        <v>0</v>
      </c>
      <c r="EE32" s="452">
        <f>INPUT!FL554</f>
        <v>1090</v>
      </c>
      <c r="EF32" s="439">
        <f>INPUT!FM554</f>
        <v>0</v>
      </c>
      <c r="EG32" s="452">
        <f>INPUT!FN554</f>
        <v>1632</v>
      </c>
      <c r="EH32" s="439">
        <f>INPUT!FO554</f>
        <v>0</v>
      </c>
      <c r="EI32" s="451">
        <f>INPUT!FP554</f>
        <v>2072</v>
      </c>
      <c r="EJ32" s="438">
        <f>INPUT!FQ554</f>
        <v>0</v>
      </c>
      <c r="EK32" s="451">
        <f>INPUT!FR554</f>
        <v>2270</v>
      </c>
      <c r="EL32" s="438">
        <f>INPUT!FS554</f>
        <v>9.5559845559845655</v>
      </c>
      <c r="EM32" s="451">
        <f>INPUT!FT554</f>
        <v>2729.6000000000004</v>
      </c>
      <c r="EN32" s="438">
        <f>INPUT!FU554</f>
        <v>20.246696035242323</v>
      </c>
      <c r="EO32" s="451">
        <f>INPUT!FV554</f>
        <v>-673</v>
      </c>
      <c r="EP32" s="438" t="str">
        <f>INPUT!FW554</f>
        <v>NM</v>
      </c>
      <c r="EQ32" s="451">
        <f>INPUT!FX554</f>
        <v>1094</v>
      </c>
      <c r="ER32" s="438" t="str">
        <f>INPUT!FY554</f>
        <v>NM</v>
      </c>
      <c r="ES32" s="451">
        <f>INPUT!FZ554</f>
        <v>2031</v>
      </c>
      <c r="ET32" s="438">
        <f>INPUT!GA554</f>
        <v>85.6489945155393</v>
      </c>
      <c r="EU32" s="451">
        <f>INPUT!GB554</f>
        <v>2259</v>
      </c>
      <c r="EV32" s="438">
        <f>INPUT!GC554</f>
        <v>11.225997045790265</v>
      </c>
      <c r="EW32" s="451">
        <f>INPUT!GD554</f>
        <v>2453</v>
      </c>
      <c r="EX32" s="451">
        <f>INPUT!GE554</f>
        <v>8.5878707392651705</v>
      </c>
      <c r="EY32" s="451">
        <f>INPUT!GF554</f>
        <v>4753</v>
      </c>
      <c r="EZ32" s="451">
        <f>INPUT!GG554</f>
        <v>93.762739502649822</v>
      </c>
      <c r="FA32" s="451">
        <f>INPUT!GH554</f>
        <v>4245</v>
      </c>
      <c r="FB32" s="451">
        <f>INPUT!GI554</f>
        <v>-10.687986534820112</v>
      </c>
      <c r="FC32" s="451">
        <f>INPUT!GJ554</f>
        <v>4649</v>
      </c>
      <c r="FD32" s="451">
        <f>INPUT!GK554</f>
        <v>9.5170789163722134</v>
      </c>
      <c r="FE32" s="451">
        <f>INPUT!GL554</f>
        <v>4088.5</v>
      </c>
      <c r="FF32" s="451">
        <f>INPUT!GM554</f>
        <v>-12.056356205635623</v>
      </c>
      <c r="FG32" s="451">
        <f>INPUT!GN554</f>
        <v>4614</v>
      </c>
      <c r="FH32" s="451">
        <f>INPUT!GO554</f>
        <v>12.853124617830503</v>
      </c>
      <c r="FI32" s="451">
        <f>INPUT!GP554</f>
        <v>5168.0457307977795</v>
      </c>
      <c r="FJ32" s="451">
        <f>INPUT!GQ554</f>
        <v>12.007926545248807</v>
      </c>
      <c r="FK32" s="451">
        <f>INPUT!GR554</f>
        <v>5231.3860821617618</v>
      </c>
      <c r="FL32" s="451">
        <f>INPUT!GS554</f>
        <v>1.2256151486144944</v>
      </c>
      <c r="FM32" s="451">
        <f>INPUT!GT554</f>
        <v>5286.1772453206413</v>
      </c>
      <c r="FN32" s="451">
        <f>INPUT!GU554</f>
        <v>1.0473546073326361</v>
      </c>
      <c r="FO32" s="451">
        <f>INPUT!GV554</f>
        <v>5347.2071880921685</v>
      </c>
      <c r="FP32" s="451">
        <f>INPUT!GW554</f>
        <v>1.1545194180832823</v>
      </c>
      <c r="FQ32" s="451">
        <f>INPUT!GX554</f>
        <v>5400.2816195673659</v>
      </c>
      <c r="FR32" s="451">
        <f>INPUT!GY554</f>
        <v>0.99256358708879588</v>
      </c>
      <c r="FS32" s="863">
        <f>INPUT!GZ554</f>
        <v>3.1971642873517059</v>
      </c>
    </row>
    <row r="33" spans="1:176" s="529" customFormat="1" ht="12.75" hidden="1" customHeight="1" outlineLevel="1" x14ac:dyDescent="0.2">
      <c r="A33" s="832" t="s">
        <v>683</v>
      </c>
      <c r="B33" s="458"/>
      <c r="C33" s="459"/>
      <c r="D33" s="458"/>
      <c r="E33" s="459"/>
      <c r="F33" s="458"/>
      <c r="G33" s="459"/>
      <c r="H33" s="458"/>
      <c r="I33" s="459"/>
      <c r="J33" s="458"/>
      <c r="K33" s="459"/>
      <c r="L33" s="458"/>
      <c r="M33" s="459"/>
      <c r="N33" s="458"/>
      <c r="O33" s="459"/>
      <c r="P33" s="458"/>
      <c r="Q33" s="459"/>
      <c r="R33" s="458"/>
      <c r="S33" s="459"/>
      <c r="T33" s="458"/>
      <c r="U33" s="459"/>
      <c r="V33" s="458"/>
      <c r="W33" s="459"/>
      <c r="X33" s="458"/>
      <c r="Y33" s="459"/>
      <c r="Z33" s="458"/>
      <c r="AA33" s="459"/>
      <c r="AB33" s="458"/>
      <c r="AC33" s="459"/>
      <c r="AD33" s="458"/>
      <c r="AE33" s="459"/>
      <c r="AF33" s="458"/>
      <c r="AG33" s="459"/>
      <c r="AH33" s="458"/>
      <c r="AI33" s="459"/>
      <c r="AJ33" s="458"/>
      <c r="AK33" s="459"/>
      <c r="AL33" s="458"/>
      <c r="AM33" s="459"/>
      <c r="AN33" s="458"/>
      <c r="AO33" s="459"/>
      <c r="AP33" s="458"/>
      <c r="AQ33" s="459"/>
      <c r="AR33" s="458"/>
      <c r="AS33" s="459"/>
      <c r="AT33" s="458"/>
      <c r="AU33" s="459"/>
      <c r="AV33" s="458"/>
      <c r="AW33" s="459"/>
      <c r="AX33" s="458"/>
      <c r="AY33" s="459"/>
      <c r="AZ33" s="458"/>
      <c r="BA33" s="459"/>
      <c r="BB33" s="458"/>
      <c r="BC33" s="459"/>
      <c r="BD33" s="458"/>
      <c r="BE33" s="459"/>
      <c r="BF33" s="458"/>
      <c r="BG33" s="459"/>
      <c r="BH33" s="458"/>
      <c r="BI33" s="459"/>
      <c r="BJ33" s="458"/>
      <c r="BK33" s="459"/>
      <c r="BL33" s="458"/>
      <c r="BM33" s="459"/>
      <c r="BN33" s="460" t="e">
        <f>(BN8+BN9+BN10+#REF!+BN12+BN13+BN15+BN16+#REF!+BN18+BN24-BN29+BN31)-BN32</f>
        <v>#REF!</v>
      </c>
      <c r="BO33" s="459"/>
      <c r="BP33" s="460" t="e">
        <f>(BP8+BP9+BP10+#REF!+BP12+BP13+BP15+BP16+#REF!+BP18+BP24-BP29+BP31)-BP32</f>
        <v>#REF!</v>
      </c>
      <c r="BQ33" s="459"/>
      <c r="BR33" s="460" t="e">
        <f>(BR8+BR9+BR10+#REF!+BR12+BR13+BR15+BR16+#REF!+BR18+BR24-BR29+BR31)-BR32</f>
        <v>#REF!</v>
      </c>
      <c r="BS33" s="459"/>
      <c r="BT33" s="460" t="e">
        <f>(BT8+BT9+BT10+#REF!+BT12+BT13+BT15+BT16+#REF!+BT18+BT24-BT29+BT31)-BT32</f>
        <v>#REF!</v>
      </c>
      <c r="BU33" s="459"/>
      <c r="BV33" s="460" t="e">
        <f>(BV8+BV9+BV10+#REF!+BV12+BV13+BV15+BV16+#REF!+BV18+BV24-BV29+BV31)-BV32</f>
        <v>#REF!</v>
      </c>
      <c r="BW33" s="459"/>
      <c r="BX33" s="460" t="e">
        <f>(BX8+BX9+BX10+#REF!+BX12+BX13+BX15+BX16+#REF!+BX18+BX24-BX29+BX31)-BX32</f>
        <v>#REF!</v>
      </c>
      <c r="BY33" s="459"/>
      <c r="BZ33" s="460" t="e">
        <f>(BZ8+BZ9+BZ10+#REF!+BZ12+BZ13+BZ15+BZ16+#REF!+BZ18+BZ24-BZ29+BZ31)-BZ32</f>
        <v>#REF!</v>
      </c>
      <c r="CA33" s="459"/>
      <c r="CB33" s="460" t="e">
        <f>(CB8+CB9+CB10+#REF!+CB12+CB13+CB15+CB16+#REF!+CB18+CB24-CB29+CB31)-CB32</f>
        <v>#REF!</v>
      </c>
      <c r="CC33" s="459"/>
      <c r="CD33" s="460" t="e">
        <f>(CD8+CD9+CD10+#REF!+CD12+CD13+CD15+CD16+#REF!+CD18+CD24-CD29+CD31)-CD32</f>
        <v>#REF!</v>
      </c>
      <c r="CE33" s="459"/>
      <c r="CF33" s="460" t="e">
        <f>(CF8+CF9+CF10+#REF!+CF12+CF13+CF15+CF16+#REF!+CF18+CF24-CF29+CF31)-CF32</f>
        <v>#REF!</v>
      </c>
      <c r="CG33" s="459"/>
      <c r="CH33" s="460" t="e">
        <f>(CH8+CH9+CH10+#REF!+CH12+CH13+CH15+CH16+#REF!+CH18+CH24-CH29+CH31)-CH32</f>
        <v>#REF!</v>
      </c>
      <c r="CI33" s="459"/>
      <c r="CJ33" s="460" t="e">
        <f>(CJ8+CJ9+CJ10+#REF!+CJ12+CJ13+CJ15+CJ16+#REF!+CJ18+CJ24-CJ29+CJ31)-CJ32</f>
        <v>#REF!</v>
      </c>
      <c r="CK33" s="459"/>
      <c r="CL33" s="460" t="e">
        <f>(CL8+CL9+CL10+#REF!+CL12+CL13+CL15+CL16+#REF!+CL18+CL24-CL29+CL31)-CL32</f>
        <v>#REF!</v>
      </c>
      <c r="CM33" s="459"/>
      <c r="CN33" s="460" t="e">
        <f>(CN8+CN9+CN10+#REF!+CN12+CN13+CN15+CN16+#REF!+CN18+CN24-CN29+CN31)-CN32</f>
        <v>#REF!</v>
      </c>
      <c r="CO33" s="459"/>
      <c r="CP33" s="460" t="e">
        <f>(CP8+CP9+CP10+#REF!+CP12+CP13+CP15+CP16+#REF!+CP18+CP24-CP29+CP31)-CP32</f>
        <v>#REF!</v>
      </c>
      <c r="CQ33" s="459"/>
      <c r="CR33" s="460" t="e">
        <f>(CR8+CR9+CR10+#REF!+CR12+CR13+CR15+CR16+#REF!+CR18+CR24-CR29+CR31)-CR32</f>
        <v>#REF!</v>
      </c>
      <c r="CS33" s="459"/>
      <c r="CT33" s="460" t="e">
        <f>(CT8+CT9+CT10+#REF!+CT12+CT13+CT15+CT16+#REF!+CT18+CT24-CT29+CT31)-CT32</f>
        <v>#REF!</v>
      </c>
      <c r="CU33" s="459"/>
      <c r="CV33" s="460" t="e">
        <f>(CV8+CV9+CV10+#REF!+CV12+CV13+CV15+CV16+#REF!+CV18+CV24-CV29+CV31)-CV32</f>
        <v>#REF!</v>
      </c>
      <c r="CW33" s="459"/>
      <c r="CX33" s="460" t="e">
        <f>(CX8+CX9+CX10+#REF!+CX12+CX13+CX15+CX16+#REF!+CX18+CX24-CX29+CX31)-CX32</f>
        <v>#REF!</v>
      </c>
      <c r="CY33" s="459"/>
      <c r="CZ33" s="460" t="e">
        <f>(CZ8+CZ9+CZ10+#REF!+CZ12+CZ13+CZ15+CZ16+#REF!+CZ18+CZ24-CZ29+CZ31)-CZ32</f>
        <v>#REF!</v>
      </c>
      <c r="DA33" s="459"/>
      <c r="DB33" s="460" t="e">
        <f>(DB8+DB9+DB10+#REF!+DB12+DB13+DB15+DB16+#REF!+DB18+DB24-DB29+DB31)-DB32</f>
        <v>#REF!</v>
      </c>
      <c r="DC33" s="459"/>
      <c r="DD33" s="460" t="e">
        <f>(DD8+DD9+DD10+#REF!+DD12+DD13+DD15+DD16+#REF!+DD18+DD24-DD29+DD31)-DD32</f>
        <v>#REF!</v>
      </c>
      <c r="DE33" s="459"/>
      <c r="DF33" s="460" t="e">
        <f>(DF8+DF9+DF10+#REF!+DF12+DF13+DF15+DF16+#REF!+DF18+DF24-DF29+DF31)-DF32</f>
        <v>#REF!</v>
      </c>
      <c r="DG33" s="459"/>
      <c r="DH33" s="460" t="e">
        <f>(DH8+DH9+DH10+#REF!+DH12+DH13+DH15+DH16+#REF!+DH18+DH24-DH29+DH31)-DH32</f>
        <v>#REF!</v>
      </c>
      <c r="DI33" s="459"/>
      <c r="DJ33" s="460" t="e">
        <f>(DJ8+DJ9+DJ10+#REF!+DJ12+DJ13+DJ15+DJ16+#REF!+DJ18+DJ26-DJ29+DJ31)-DJ32</f>
        <v>#REF!</v>
      </c>
      <c r="DK33" s="460" t="e">
        <f>(DK8+DK9+DK10+#REF!+DK12+DK13+DK15+DK16+#REF!+DK18+DK26-DK29+DK31)-DK32</f>
        <v>#REF!</v>
      </c>
      <c r="DL33" s="460" t="e">
        <f>(DL8+DL9+DL10+#REF!+DL12+DL13+DL15+DL16+#REF!+DL18+DL26-DL29+DL31)-DL32</f>
        <v>#REF!</v>
      </c>
      <c r="DM33" s="460" t="e">
        <f>(DM8+DM9+DM10+#REF!+DM12+DM13+DM15+DM16+#REF!+DM18+DM26-DM29+DM31)-DM32</f>
        <v>#REF!</v>
      </c>
      <c r="DN33" s="460" t="e">
        <f>(DN8+DN9+DN10+#REF!+DN12+DN13+DN15+DN16+#REF!+DN18+DN26-DN29+DN31)-DN32</f>
        <v>#REF!</v>
      </c>
      <c r="DO33" s="460" t="e">
        <f>(DO8+DO9+DO10+#REF!+DO12+DO13+DO15+DO16+#REF!+DO18+DO26-DO29+DO31)-DO32</f>
        <v>#REF!</v>
      </c>
      <c r="DP33" s="460" t="e">
        <f>(DP8+DP9+DP10+#REF!+DP12+DP13+DP15+DP16+#REF!+DP18+DP26-DP29+DP31)-DP32</f>
        <v>#REF!</v>
      </c>
      <c r="DQ33" s="460" t="e">
        <f>(DQ8+DQ9+DQ10+#REF!+DQ12+DQ13+DQ15+DQ16+#REF!+DQ18+DQ26-DQ29+DQ31)-DQ32</f>
        <v>#REF!</v>
      </c>
      <c r="DR33" s="460" t="e">
        <f>(DR8+DR9+DR10+#REF!+DR12+DR13+DR15+DR16+#REF!+DR18+DR26-DR29+DR31)-DR32</f>
        <v>#REF!</v>
      </c>
      <c r="DS33" s="460" t="e">
        <f>(DS8+DS9+DS10+#REF!+DS12+DS13+DS15+DS16+#REF!+DS18+DS26-DS29+DS31)-DS32</f>
        <v>#REF!</v>
      </c>
      <c r="DT33" s="460" t="e">
        <f>(DT8+DT9+DT10+#REF!+DT12+DT13+DT15+DT16+#REF!+DT18+DT26-DT29+DT31)-DT32</f>
        <v>#REF!</v>
      </c>
      <c r="DU33" s="460" t="e">
        <f>(DU8+DU9+DU10+#REF!+DU12+DU13+DU15+DU16+#REF!+DU18+DU26-DU29+DU31)-DU32</f>
        <v>#REF!</v>
      </c>
      <c r="DV33" s="460" t="e">
        <f>(DV8+DV9+DV10+#REF!+DV12+DV13+DV15+DV16+#REF!+DV18+DV26-DV29+DV31)-DV32</f>
        <v>#REF!</v>
      </c>
      <c r="DW33" s="460" t="e">
        <f>(DW8+DW9+DW10+#REF!+DW12+DW13+DW15+DW16+#REF!+DW18+DW26-DW29+DW31)-DW32</f>
        <v>#REF!</v>
      </c>
      <c r="DX33" s="460" t="e">
        <f>(DX8+DX9+DX10+#REF!+DX12+DX13+DX15+DX16+#REF!+DX18+DX26-DX29+DX31)-DX32</f>
        <v>#REF!</v>
      </c>
      <c r="DY33" s="460" t="e">
        <f>(DY8+DY9+DY10+#REF!+DY12+DY13+DY15+DY16+#REF!+DY18+DY26-DY29+DY31)-DY32</f>
        <v>#REF!</v>
      </c>
      <c r="DZ33" s="460" t="e">
        <f>(DZ8+DZ9+DZ10+#REF!+DZ12+DZ13+DZ15+DZ16+#REF!+DZ18+DZ26-DZ29+DZ31)-DZ32</f>
        <v>#REF!</v>
      </c>
      <c r="EA33" s="459"/>
      <c r="EB33" s="459"/>
      <c r="EC33" s="458"/>
      <c r="ED33" s="459"/>
      <c r="EE33" s="458"/>
      <c r="EF33" s="459"/>
      <c r="EG33" s="458"/>
      <c r="EH33" s="459"/>
      <c r="EI33" s="458"/>
      <c r="EJ33" s="459"/>
      <c r="EK33" s="458"/>
      <c r="EL33" s="459"/>
      <c r="EM33" s="458"/>
      <c r="EN33" s="459"/>
      <c r="EO33" s="458"/>
      <c r="EP33" s="459"/>
      <c r="EQ33" s="458"/>
      <c r="ER33" s="459"/>
      <c r="ES33" s="460" t="e">
        <f>(ES8+ES9+ES10+#REF!+ES12+ES13+ES15+ES16+#REF!+ES18+ES26-ES29+ES31)-ES32</f>
        <v>#REF!</v>
      </c>
      <c r="ET33" s="459"/>
      <c r="EU33" s="460" t="e">
        <f>(EU8+EU9+EU10+#REF!+EU12+EU13+EU15+EU16+#REF!+EU18+EU26-EU29+EU31)-EU32</f>
        <v>#REF!</v>
      </c>
      <c r="EV33" s="459"/>
      <c r="EW33" s="460" t="e">
        <f>(EW8+EW9+EW10+#REF!+EW12+EW13+EW15+EW16+#REF!+EW18+EW26-EW29+EW31)-EW32</f>
        <v>#REF!</v>
      </c>
      <c r="EX33" s="460" t="e">
        <f>(EX8+EX9+EX10+#REF!+EX12+EX13+EX15+EX16+#REF!+EX18+EX26-EX29+EX31)-EX32</f>
        <v>#REF!</v>
      </c>
      <c r="EY33" s="460" t="e">
        <f>(EY8+EY9+EY10+#REF!+EY12+EY13+EY15+EY16+#REF!+EY18+EY26-EY29+EY31)-EY32</f>
        <v>#REF!</v>
      </c>
      <c r="EZ33" s="460" t="e">
        <f>(EZ8+EZ9+EZ10+#REF!+EZ12+EZ13+EZ15+EZ16+#REF!+EZ18+EZ26-EZ29+EZ31)-EZ32</f>
        <v>#REF!</v>
      </c>
      <c r="FA33" s="460" t="e">
        <f>(FA8+FA9+FA10+#REF!+FA12+FA13+FA15+FA16+#REF!+FA18+FA26-FA29+FA31)-FA32</f>
        <v>#REF!</v>
      </c>
      <c r="FB33" s="460" t="e">
        <f>(FB8+FB9+FB10+#REF!+FB12+FB13+FB15+FB16+#REF!+FB18+FB26-FB29+FB31)-FB32</f>
        <v>#REF!</v>
      </c>
      <c r="FC33" s="460" t="e">
        <f>(FC8+FC9+FC10+#REF!+FC12+FC13+FC15+FC16+#REF!+FC18+FC26-FC29+FC31)-FC32</f>
        <v>#REF!</v>
      </c>
      <c r="FD33" s="460" t="e">
        <f>(FD8+FD9+FD10+#REF!+FD12+FD13+FD15+FD16+#REF!+FD18+FD26-FD29+FD31)-FD32</f>
        <v>#REF!</v>
      </c>
      <c r="FE33" s="460" t="e">
        <f>(FE8+FE9+FE10+#REF!+FE12+FE13+FE15+FE16+#REF!+FE18+FE26-FE29+FE31)-FE32</f>
        <v>#REF!</v>
      </c>
      <c r="FF33" s="460" t="e">
        <f>(FF8+FF9+FF10+#REF!+FF12+FF13+FF15+FF16+#REF!+FF18+FF26-FF29+FF31)-FF32</f>
        <v>#REF!</v>
      </c>
      <c r="FG33" s="460" t="e">
        <f>(FG8+FG9+FG10+#REF!+FG12+FG13+FG15+FG16+#REF!+FG18+FG26-FG29+FG31)-FG32</f>
        <v>#REF!</v>
      </c>
      <c r="FH33" s="460" t="e">
        <f>(FH8+FH9+FH10+#REF!+FH12+FH13+FH15+FH16+#REF!+FH18+FH26-FH29+FH31)-FH32</f>
        <v>#REF!</v>
      </c>
      <c r="FI33" s="460" t="e">
        <f>(FI8+FI9+FI10+#REF!+FI12+FI13+FI15+FI16+#REF!+FI18+FI26-FI29+FI31)-FI32</f>
        <v>#REF!</v>
      </c>
      <c r="FJ33" s="460" t="e">
        <f>(FJ8+FJ9+FJ10+#REF!+FJ12+FJ13+FJ15+FJ16+#REF!+FJ18+FJ26-FJ29+FJ31)-FJ32</f>
        <v>#REF!</v>
      </c>
      <c r="FK33" s="460" t="e">
        <f>(FK8+FK9+FK10+#REF!+FK12+FK13+FK15+FK16+#REF!+FK18+FK26-FK29+FK31)-FK32</f>
        <v>#REF!</v>
      </c>
      <c r="FL33" s="460" t="e">
        <f>(FL8+FL9+FL10+#REF!+FL12+FL13+FL15+FL16+#REF!+FL18+FL26-FL29+FL31)-FL32</f>
        <v>#REF!</v>
      </c>
      <c r="FM33" s="460" t="e">
        <f>(FM8+FM9+FM10+#REF!+FM12+FM13+FM15+FM16+#REF!+FM18+FM26-FM29+FM31)-FM32</f>
        <v>#REF!</v>
      </c>
      <c r="FN33" s="460" t="e">
        <f>(FN8+FN9+FN10+#REF!+FN12+FN13+FN15+FN16+#REF!+FN18+FN26-FN29+FN31)-FN32</f>
        <v>#REF!</v>
      </c>
      <c r="FO33" s="460" t="e">
        <f>(FO8+FO9+FO10+#REF!+FO12+FO13+FO15+FO16+#REF!+FO18+FO26-FO29+FO31)-FO32</f>
        <v>#REF!</v>
      </c>
      <c r="FP33" s="460" t="e">
        <f>(FP8+FP9+FP10+#REF!+FP12+FP13+FP15+FP16+#REF!+FP18+FP26-FP29+FP31)-FP32</f>
        <v>#REF!</v>
      </c>
      <c r="FQ33" s="460" t="e">
        <f>(FQ8+FQ9+FQ10+#REF!+FQ12+FQ13+FQ15+FQ16+#REF!+FQ18+FQ26-FQ29+FQ31)-FQ32</f>
        <v>#REF!</v>
      </c>
      <c r="FR33" s="460" t="e">
        <f>(FR8+FR9+FR10+#REF!+FR12+FR13+FR15+FR16+#REF!+FR18+FR26-FR29+FR31)-FR32</f>
        <v>#REF!</v>
      </c>
      <c r="FS33" s="867" t="e">
        <f>(FS8+FS9+FS10+#REF!+FS12+FS13+FS15+FS16+#REF!+FS18+FS26-FS29+FS31)-FS32</f>
        <v>#REF!</v>
      </c>
      <c r="FT33" s="530"/>
    </row>
    <row r="34" spans="1:176" s="529" customFormat="1" ht="6" customHeight="1" collapsed="1" x14ac:dyDescent="0.2">
      <c r="A34" s="834"/>
      <c r="B34" s="462"/>
      <c r="C34" s="463"/>
      <c r="D34" s="462"/>
      <c r="E34" s="463"/>
      <c r="F34" s="462"/>
      <c r="G34" s="463"/>
      <c r="H34" s="462"/>
      <c r="I34" s="463"/>
      <c r="J34" s="462"/>
      <c r="K34" s="463"/>
      <c r="L34" s="462"/>
      <c r="M34" s="463"/>
      <c r="N34" s="462"/>
      <c r="O34" s="463"/>
      <c r="P34" s="462"/>
      <c r="Q34" s="463"/>
      <c r="R34" s="462"/>
      <c r="S34" s="463"/>
      <c r="T34" s="462"/>
      <c r="U34" s="463"/>
      <c r="V34" s="462"/>
      <c r="W34" s="463"/>
      <c r="X34" s="462"/>
      <c r="Y34" s="463"/>
      <c r="Z34" s="462"/>
      <c r="AA34" s="463"/>
      <c r="AB34" s="462"/>
      <c r="AC34" s="463"/>
      <c r="AD34" s="462"/>
      <c r="AE34" s="463"/>
      <c r="AF34" s="462"/>
      <c r="AG34" s="463"/>
      <c r="AH34" s="462"/>
      <c r="AI34" s="464"/>
      <c r="AJ34" s="462"/>
      <c r="AK34" s="464"/>
      <c r="AL34" s="462"/>
      <c r="AM34" s="464"/>
      <c r="AN34" s="462"/>
      <c r="AO34" s="464"/>
      <c r="AP34" s="462"/>
      <c r="AQ34" s="438"/>
      <c r="AR34" s="462"/>
      <c r="AS34" s="438"/>
      <c r="AT34" s="462"/>
      <c r="AU34" s="438"/>
      <c r="AV34" s="462"/>
      <c r="AW34" s="438"/>
      <c r="AX34" s="462"/>
      <c r="AY34" s="438"/>
      <c r="AZ34" s="462"/>
      <c r="BA34" s="438"/>
      <c r="BB34" s="462"/>
      <c r="BC34" s="438"/>
      <c r="BD34" s="462"/>
      <c r="BE34" s="438"/>
      <c r="BF34" s="462"/>
      <c r="BG34" s="438"/>
      <c r="BH34" s="462"/>
      <c r="BI34" s="438"/>
      <c r="BJ34" s="462"/>
      <c r="BK34" s="438"/>
      <c r="BL34" s="462"/>
      <c r="BM34" s="438"/>
      <c r="BN34" s="462"/>
      <c r="BO34" s="438"/>
      <c r="BP34" s="462"/>
      <c r="BQ34" s="438"/>
      <c r="BR34" s="462"/>
      <c r="BS34" s="438"/>
      <c r="BT34" s="462"/>
      <c r="BU34" s="438"/>
      <c r="BV34" s="462"/>
      <c r="BW34" s="438"/>
      <c r="BX34" s="462"/>
      <c r="BY34" s="438"/>
      <c r="BZ34" s="462"/>
      <c r="CA34" s="438"/>
      <c r="CB34" s="462"/>
      <c r="CC34" s="438"/>
      <c r="CD34" s="462"/>
      <c r="CE34" s="438"/>
      <c r="CF34" s="462"/>
      <c r="CG34" s="438"/>
      <c r="CH34" s="462"/>
      <c r="CI34" s="438"/>
      <c r="CJ34" s="462"/>
      <c r="CK34" s="438"/>
      <c r="CL34" s="462"/>
      <c r="CM34" s="438"/>
      <c r="CN34" s="462"/>
      <c r="CO34" s="438"/>
      <c r="CP34" s="462"/>
      <c r="CQ34" s="438"/>
      <c r="CR34" s="462"/>
      <c r="CS34" s="438"/>
      <c r="CT34" s="462"/>
      <c r="CU34" s="438"/>
      <c r="CV34" s="462"/>
      <c r="CW34" s="438"/>
      <c r="CX34" s="462"/>
      <c r="CY34" s="438"/>
      <c r="CZ34" s="462"/>
      <c r="DA34" s="438"/>
      <c r="DB34" s="462"/>
      <c r="DC34" s="438"/>
      <c r="DD34" s="462"/>
      <c r="DE34" s="438"/>
      <c r="DF34" s="462"/>
      <c r="DG34" s="438"/>
      <c r="DH34" s="462"/>
      <c r="DI34" s="438"/>
      <c r="DJ34" s="462"/>
      <c r="DK34" s="462"/>
      <c r="DL34" s="462"/>
      <c r="DM34" s="462"/>
      <c r="DN34" s="462"/>
      <c r="DO34" s="462"/>
      <c r="DP34" s="462"/>
      <c r="DQ34" s="462"/>
      <c r="DR34" s="462"/>
      <c r="DS34" s="462"/>
      <c r="DT34" s="462"/>
      <c r="DU34" s="462"/>
      <c r="DV34" s="462"/>
      <c r="DW34" s="462"/>
      <c r="DX34" s="462"/>
      <c r="DY34" s="462"/>
      <c r="DZ34" s="462"/>
      <c r="EA34" s="438"/>
      <c r="EB34" s="463"/>
      <c r="EC34" s="462"/>
      <c r="ED34" s="463"/>
      <c r="EE34" s="462"/>
      <c r="EF34" s="463"/>
      <c r="EG34" s="462"/>
      <c r="EH34" s="463"/>
      <c r="EI34" s="462"/>
      <c r="EJ34" s="438"/>
      <c r="EK34" s="462"/>
      <c r="EL34" s="438"/>
      <c r="EM34" s="462"/>
      <c r="EN34" s="438"/>
      <c r="EO34" s="462"/>
      <c r="EP34" s="438"/>
      <c r="EQ34" s="462"/>
      <c r="ER34" s="438"/>
      <c r="ES34" s="462"/>
      <c r="ET34" s="438"/>
      <c r="EU34" s="462"/>
      <c r="EV34" s="438"/>
      <c r="EW34" s="462"/>
      <c r="EX34" s="462"/>
      <c r="EY34" s="462"/>
      <c r="EZ34" s="462"/>
      <c r="FA34" s="462"/>
      <c r="FB34" s="462"/>
      <c r="FC34" s="462"/>
      <c r="FD34" s="462"/>
      <c r="FE34" s="462"/>
      <c r="FF34" s="462"/>
      <c r="FG34" s="462"/>
      <c r="FH34" s="462"/>
      <c r="FI34" s="462"/>
      <c r="FJ34" s="462"/>
      <c r="FK34" s="462"/>
      <c r="FL34" s="462"/>
      <c r="FM34" s="462"/>
      <c r="FN34" s="462"/>
      <c r="FO34" s="462"/>
      <c r="FP34" s="462"/>
      <c r="FQ34" s="462"/>
      <c r="FR34" s="462"/>
      <c r="FS34" s="868"/>
    </row>
    <row r="35" spans="1:176" s="529" customFormat="1" ht="12.75" customHeight="1" x14ac:dyDescent="0.2">
      <c r="A35" s="826" t="str">
        <f>INPUT!B636</f>
        <v>Avg Shares Outstanding (FD)</v>
      </c>
      <c r="B35" s="456">
        <f>INPUT!AA636</f>
        <v>556.5</v>
      </c>
      <c r="C35" s="439">
        <f>INPUT!AB636</f>
        <v>-4.8880533242180917</v>
      </c>
      <c r="D35" s="456">
        <f>INPUT!AC636</f>
        <v>549.4</v>
      </c>
      <c r="E35" s="439">
        <f>INPUT!AD636</f>
        <v>-6.1175666438824408</v>
      </c>
      <c r="F35" s="456">
        <f>INPUT!AE636</f>
        <v>545.9</v>
      </c>
      <c r="G35" s="439">
        <f>INPUT!AF636</f>
        <v>-5.357142857142847</v>
      </c>
      <c r="H35" s="456">
        <f>INPUT!AG636</f>
        <v>541.9</v>
      </c>
      <c r="I35" s="439">
        <f>INPUT!AH636</f>
        <v>-4.0884955752212448</v>
      </c>
      <c r="J35" s="456">
        <f>INPUT!AI636</f>
        <v>539.9</v>
      </c>
      <c r="K35" s="439">
        <f>INPUT!AJ636</f>
        <v>-2.9829290206648693</v>
      </c>
      <c r="L35" s="456">
        <f>INPUT!AK636</f>
        <v>532.20000000000005</v>
      </c>
      <c r="M35" s="439">
        <f>INPUT!AL636</f>
        <v>-3.1306880232981342</v>
      </c>
      <c r="N35" s="456">
        <f>INPUT!AM636</f>
        <v>525.70000000000005</v>
      </c>
      <c r="O35" s="439">
        <f>INPUT!AN636</f>
        <v>-3.700311412346565</v>
      </c>
      <c r="P35" s="456">
        <f>INPUT!AO636</f>
        <v>527.29999999999995</v>
      </c>
      <c r="Q35" s="439">
        <f>INPUT!AP636</f>
        <v>-2.6942240265731812</v>
      </c>
      <c r="R35" s="456">
        <f>INPUT!AQ636</f>
        <v>530</v>
      </c>
      <c r="S35" s="439">
        <f>INPUT!AR636</f>
        <v>-1.8336729023893241</v>
      </c>
      <c r="T35" s="456">
        <f>INPUT!AS636</f>
        <v>525.20000000000005</v>
      </c>
      <c r="U35" s="439">
        <f>INPUT!AT636</f>
        <v>-1.3152950018789937</v>
      </c>
      <c r="V35" s="456">
        <f>INPUT!AU636</f>
        <v>518.29999999999995</v>
      </c>
      <c r="W35" s="439">
        <f>INPUT!AV636</f>
        <v>-1.407646946927926</v>
      </c>
      <c r="X35" s="456">
        <f>INPUT!AW636</f>
        <v>510.2</v>
      </c>
      <c r="Y35" s="439">
        <f>INPUT!AX636</f>
        <v>-3.2429357102218859</v>
      </c>
      <c r="Z35" s="456">
        <f>INPUT!AY636</f>
        <v>504.1</v>
      </c>
      <c r="AA35" s="439">
        <f>INPUT!AZ636</f>
        <v>-4.8867924528301785</v>
      </c>
      <c r="AB35" s="456">
        <f>INPUT!BA636</f>
        <v>497.1</v>
      </c>
      <c r="AC35" s="439">
        <f>INPUT!BB636</f>
        <v>-5.3503427265803651</v>
      </c>
      <c r="AD35" s="456">
        <f>INPUT!BC636</f>
        <v>490.5</v>
      </c>
      <c r="AE35" s="439">
        <f>INPUT!BD636</f>
        <v>-5.3636889832143453</v>
      </c>
      <c r="AF35" s="456">
        <f>INPUT!BE636</f>
        <v>482.8</v>
      </c>
      <c r="AG35" s="439">
        <f>INPUT!BF636</f>
        <v>-5.3704429635437094</v>
      </c>
      <c r="AH35" s="449">
        <f>INPUT!BG636</f>
        <v>477</v>
      </c>
      <c r="AI35" s="438">
        <f>INPUT!BH636</f>
        <v>-5.3759174766911428</v>
      </c>
      <c r="AJ35" s="449">
        <f>INPUT!BI636</f>
        <v>472</v>
      </c>
      <c r="AK35" s="438">
        <f>INPUT!BJ636</f>
        <v>-5.0492858579762725</v>
      </c>
      <c r="AL35" s="449">
        <f>INPUT!BK636</f>
        <v>465</v>
      </c>
      <c r="AM35" s="438">
        <f>INPUT!BL636</f>
        <v>-5.1987767584097782</v>
      </c>
      <c r="AN35" s="449">
        <f>INPUT!BM636</f>
        <v>459</v>
      </c>
      <c r="AO35" s="438">
        <f>INPUT!BN636</f>
        <v>-4.9295774647887356</v>
      </c>
      <c r="AP35" s="449">
        <f>INPUT!BO636</f>
        <v>448</v>
      </c>
      <c r="AQ35" s="438">
        <f>INPUT!BP636</f>
        <v>-6.0796645702306051</v>
      </c>
      <c r="AR35" s="449">
        <f>INPUT!BQ636</f>
        <v>438</v>
      </c>
      <c r="AS35" s="438">
        <f>INPUT!BR636</f>
        <v>-7.2033898305084847</v>
      </c>
      <c r="AT35" s="449">
        <f>INPUT!BS636</f>
        <v>430</v>
      </c>
      <c r="AU35" s="438">
        <f>INPUT!BT636</f>
        <v>-7.5268817204301115</v>
      </c>
      <c r="AV35" s="449">
        <f>INPUT!BU636</f>
        <v>423.4</v>
      </c>
      <c r="AW35" s="438">
        <f>INPUT!BV636</f>
        <v>-7.7559912854030557</v>
      </c>
      <c r="AX35" s="449">
        <f>INPUT!BW636</f>
        <v>423.2</v>
      </c>
      <c r="AY35" s="438">
        <f>INPUT!BX636</f>
        <v>-5.5357142857142918</v>
      </c>
      <c r="AZ35" s="449">
        <f>INPUT!BY636</f>
        <v>434.3</v>
      </c>
      <c r="BA35" s="438">
        <f>INPUT!BZ636</f>
        <v>-0.84474885844748826</v>
      </c>
      <c r="BB35" s="449">
        <f>INPUT!CA636</f>
        <v>464.6</v>
      </c>
      <c r="BC35" s="438">
        <f>INPUT!CB636</f>
        <v>8.0465116279069662</v>
      </c>
      <c r="BD35" s="449">
        <f>INPUT!CC636</f>
        <v>470.3</v>
      </c>
      <c r="BE35" s="438">
        <f>INPUT!CD636</f>
        <v>11.076995748700995</v>
      </c>
      <c r="BF35" s="449">
        <f>INPUT!CE636</f>
        <v>471.5</v>
      </c>
      <c r="BG35" s="438">
        <f>INPUT!CF636</f>
        <v>11.41304347826086</v>
      </c>
      <c r="BH35" s="449">
        <f>INPUT!CG636</f>
        <v>473.3</v>
      </c>
      <c r="BI35" s="438">
        <f>INPUT!CH636</f>
        <v>8.9799677642182729</v>
      </c>
      <c r="BJ35" s="449">
        <f>INPUT!CI636</f>
        <v>473.2</v>
      </c>
      <c r="BK35" s="438">
        <f>INPUT!CJ636</f>
        <v>1.851054670684448</v>
      </c>
      <c r="BL35" s="449">
        <f>INPUT!CK636</f>
        <v>483.5</v>
      </c>
      <c r="BM35" s="438">
        <f>INPUT!CL636</f>
        <v>2.8067191154582218</v>
      </c>
      <c r="BN35" s="449">
        <f>INPUT!CM636</f>
        <v>493.9</v>
      </c>
      <c r="BO35" s="438">
        <f>INPUT!CN636</f>
        <v>4.7507953340403049</v>
      </c>
      <c r="BP35" s="449">
        <f>INPUT!CO636</f>
        <v>494.8</v>
      </c>
      <c r="BQ35" s="438">
        <f>INPUT!CP636</f>
        <v>4.5425734206634161</v>
      </c>
      <c r="BR35" s="449">
        <f>INPUT!CQ636</f>
        <v>489.3</v>
      </c>
      <c r="BS35" s="438">
        <f>INPUT!CR636</f>
        <v>3.4023668639053426</v>
      </c>
      <c r="BT35" s="449">
        <f>INPUT!CS636</f>
        <v>477</v>
      </c>
      <c r="BU35" s="438">
        <f>INPUT!CT636</f>
        <v>-1.344364012409514</v>
      </c>
      <c r="BV35" s="449">
        <f>INPUT!CU636</f>
        <v>477.5</v>
      </c>
      <c r="BW35" s="438">
        <f>INPUT!CV636</f>
        <v>-3.3205102247418523</v>
      </c>
      <c r="BX35" s="449">
        <f>INPUT!CW636</f>
        <v>473.5</v>
      </c>
      <c r="BY35" s="438">
        <f>INPUT!CX636</f>
        <v>-4.3047696038803593</v>
      </c>
      <c r="BZ35" s="449">
        <f>INPUT!CY636</f>
        <v>471.8</v>
      </c>
      <c r="CA35" s="438">
        <f>INPUT!CZ636</f>
        <v>-3.5765379113018554</v>
      </c>
      <c r="CB35" s="449">
        <f>INPUT!DA636</f>
        <v>469.9</v>
      </c>
      <c r="CC35" s="438">
        <f>INPUT!DB636</f>
        <v>-1.4884696016771528</v>
      </c>
      <c r="CD35" s="449">
        <f>INPUT!DC636</f>
        <v>471.7</v>
      </c>
      <c r="CE35" s="438">
        <f>INPUT!DD636</f>
        <v>-1.2146596858638787</v>
      </c>
      <c r="CF35" s="449">
        <f>INPUT!DE636</f>
        <v>472.2</v>
      </c>
      <c r="CG35" s="438">
        <f>INPUT!DF636</f>
        <v>-0.27455121436113927</v>
      </c>
      <c r="CH35" s="449">
        <f>INPUT!DG636</f>
        <v>472</v>
      </c>
      <c r="CI35" s="438">
        <f>INPUT!DH636</f>
        <v>4.2390843577777559E-2</v>
      </c>
      <c r="CJ35" s="449">
        <f>INPUT!DI636</f>
        <v>471.2</v>
      </c>
      <c r="CK35" s="438">
        <f>INPUT!DJ636</f>
        <v>0.27665460736328384</v>
      </c>
      <c r="CL35" s="449">
        <f>INPUT!DK636</f>
        <v>472.3</v>
      </c>
      <c r="CM35" s="438">
        <f>INPUT!DL636</f>
        <v>0.12719949120203466</v>
      </c>
      <c r="CN35" s="449">
        <f>INPUT!DM636</f>
        <v>470.8</v>
      </c>
      <c r="CO35" s="438">
        <f>INPUT!DN636</f>
        <v>-0.296484540448958</v>
      </c>
      <c r="CP35" s="449">
        <f>INPUT!DO636</f>
        <v>469</v>
      </c>
      <c r="CQ35" s="438">
        <f>INPUT!DP636</f>
        <v>-0.63559322033897558</v>
      </c>
      <c r="CR35" s="449">
        <f>INPUT!DQ636</f>
        <v>466.9</v>
      </c>
      <c r="CS35" s="438">
        <f>INPUT!DR636</f>
        <v>-0.91256366723260385</v>
      </c>
      <c r="CT35" s="449">
        <f>INPUT!DS636</f>
        <v>465.7</v>
      </c>
      <c r="CU35" s="438">
        <f>INPUT!DT636</f>
        <v>-1.397416896040653</v>
      </c>
      <c r="CV35" s="449">
        <f>INPUT!DU636</f>
        <v>463.5</v>
      </c>
      <c r="CW35" s="438">
        <f>INPUT!DV636</f>
        <v>-1.5505522514868346</v>
      </c>
      <c r="CX35" s="449">
        <f>INPUT!DW636</f>
        <v>462.2</v>
      </c>
      <c r="CY35" s="438">
        <f>INPUT!DX636</f>
        <v>-1.4498933901919031</v>
      </c>
      <c r="CZ35" s="449">
        <f>INPUT!DY636</f>
        <v>459.9</v>
      </c>
      <c r="DA35" s="438">
        <f>INPUT!DZ636</f>
        <v>-1.4992503748125898</v>
      </c>
      <c r="DB35" s="449">
        <f>INPUT!EA636</f>
        <v>457.59999999999997</v>
      </c>
      <c r="DC35" s="438">
        <f>INPUT!EB636</f>
        <v>-1.7393171569680135</v>
      </c>
      <c r="DD35" s="449">
        <f>INPUT!EC636</f>
        <v>449.3</v>
      </c>
      <c r="DE35" s="438">
        <f>INPUT!ED636</f>
        <v>-3.0636461704422828</v>
      </c>
      <c r="DF35" s="449">
        <f>INPUT!EE636</f>
        <v>444.3</v>
      </c>
      <c r="DG35" s="438">
        <f>INPUT!EF636</f>
        <v>-3.8727823453050547</v>
      </c>
      <c r="DH35" s="449">
        <f>INPUT!EG636</f>
        <v>439.8</v>
      </c>
      <c r="DI35" s="438">
        <f>INPUT!EH636</f>
        <v>-4.3705153294194332</v>
      </c>
      <c r="DJ35" s="449">
        <f>INPUT!EI636</f>
        <v>439.1</v>
      </c>
      <c r="DK35" s="449">
        <f>INPUT!EJ636</f>
        <v>-4.0428321678321595</v>
      </c>
      <c r="DL35" s="449">
        <f>INPUT!EK636</f>
        <v>437.24</v>
      </c>
      <c r="DM35" s="449">
        <f>INPUT!EL636</f>
        <v>-2.6841753839305511</v>
      </c>
      <c r="DN35" s="449">
        <f>INPUT!EM636</f>
        <v>435</v>
      </c>
      <c r="DO35" s="449">
        <f>INPUT!EN636</f>
        <v>-2.0931802835921616</v>
      </c>
      <c r="DP35" s="449">
        <f>INPUT!EO636</f>
        <v>432.7</v>
      </c>
      <c r="DQ35" s="449">
        <f>INPUT!EP636</f>
        <v>-1.6143701682583043</v>
      </c>
      <c r="DR35" s="449">
        <f>INPUT!EQ636</f>
        <v>428.55462787721513</v>
      </c>
      <c r="DS35" s="449">
        <f>INPUT!ER636</f>
        <v>-2.4015878211762498</v>
      </c>
      <c r="DT35" s="449">
        <f>INPUT!ES636</f>
        <v>425.24724105522074</v>
      </c>
      <c r="DU35" s="449">
        <f>INPUT!ET636</f>
        <v>-2.7428320704371174</v>
      </c>
      <c r="DV35" s="449">
        <f>INPUT!EU636</f>
        <v>421.9792724262262</v>
      </c>
      <c r="DW35" s="449">
        <f>INPUT!EV636</f>
        <v>-2.9932707066146662</v>
      </c>
      <c r="DX35" s="449">
        <f>INPUT!EW636</f>
        <v>418.75055400014276</v>
      </c>
      <c r="DY35" s="449">
        <f>INPUT!EX636</f>
        <v>-3.2238146521509634</v>
      </c>
      <c r="DZ35" s="449">
        <f>INPUT!EY636</f>
        <v>0</v>
      </c>
      <c r="EA35" s="438"/>
      <c r="EB35" s="465">
        <f>INPUT!FI636</f>
        <v>0</v>
      </c>
      <c r="EC35" s="449">
        <f>INPUT!FJ636</f>
        <v>578.02499999999998</v>
      </c>
      <c r="ED35" s="465">
        <f>INPUT!FK636</f>
        <v>-0.95952023988006374</v>
      </c>
      <c r="EE35" s="449">
        <f>INPUT!FL636</f>
        <v>548.42499999999995</v>
      </c>
      <c r="EF35" s="465">
        <f>INPUT!FM636</f>
        <v>-5.1208857748367365</v>
      </c>
      <c r="EG35" s="449">
        <f>INPUT!FN636</f>
        <v>531.27499999999998</v>
      </c>
      <c r="EH35" s="465">
        <f>INPUT!FO636</f>
        <v>-3.1271368008387554</v>
      </c>
      <c r="EI35" s="449">
        <f>INPUT!FP636</f>
        <v>520.92499999999995</v>
      </c>
      <c r="EJ35" s="438">
        <f>INPUT!FQ636</f>
        <v>-1.9481436167709774</v>
      </c>
      <c r="EK35" s="449">
        <f>INPUT!FR636</f>
        <v>493.6</v>
      </c>
      <c r="EL35" s="438">
        <f>INPUT!FS636</f>
        <v>-5.245476796083878</v>
      </c>
      <c r="EM35" s="449">
        <f>INPUT!FT636</f>
        <v>468.25</v>
      </c>
      <c r="EN35" s="438">
        <f>INPUT!FU636</f>
        <v>-5.1357374392220407</v>
      </c>
      <c r="EO35" s="449">
        <f>INPUT!FV636</f>
        <v>433.6</v>
      </c>
      <c r="EP35" s="438">
        <f>INPUT!FW636</f>
        <v>-7.3998932194340625</v>
      </c>
      <c r="EQ35" s="449">
        <f>INPUT!FX636</f>
        <v>448.09999999999997</v>
      </c>
      <c r="ER35" s="438">
        <f>INPUT!FY636</f>
        <v>3.3440959409593916</v>
      </c>
      <c r="ES35" s="449">
        <f>INPUT!FZ636</f>
        <v>475.375</v>
      </c>
      <c r="ET35" s="438">
        <f>INPUT!GA636</f>
        <v>6.0868109796920322</v>
      </c>
      <c r="EU35" s="449">
        <f>INPUT!GB636</f>
        <v>488.75</v>
      </c>
      <c r="EV35" s="438">
        <f>INPUT!GC636</f>
        <v>2.8135682356034835</v>
      </c>
      <c r="EW35" s="449">
        <f>INPUT!GD636</f>
        <v>473.17500000000001</v>
      </c>
      <c r="EX35" s="449">
        <f>INPUT!GE636</f>
        <v>-3.1867007672634315</v>
      </c>
      <c r="EY35" s="449">
        <f>INPUT!GF636</f>
        <v>471.77500000000003</v>
      </c>
      <c r="EZ35" s="449">
        <f>INPUT!GG636</f>
        <v>-0.29587361969673509</v>
      </c>
      <c r="FA35" s="449">
        <f>INPUT!GH636</f>
        <v>467.7</v>
      </c>
      <c r="FB35" s="449">
        <f>INPUT!GI636</f>
        <v>-0.86375920724923105</v>
      </c>
      <c r="FC35" s="449">
        <f>INPUT!GJ636</f>
        <v>462.82499999999999</v>
      </c>
      <c r="FD35" s="449">
        <f>INPUT!GK636</f>
        <v>-1.042334830019243</v>
      </c>
      <c r="FE35" s="449">
        <f>INPUT!GL636</f>
        <v>447.75</v>
      </c>
      <c r="FF35" s="449">
        <f>INPUT!GM636</f>
        <v>-3.2571706368497786</v>
      </c>
      <c r="FG35" s="449">
        <f>INPUT!GN636</f>
        <v>436.01</v>
      </c>
      <c r="FH35" s="449">
        <f>INPUT!GO636</f>
        <v>-2.6219988833054231</v>
      </c>
      <c r="FI35" s="449">
        <f>INPUT!GP636</f>
        <v>423.63292383970122</v>
      </c>
      <c r="FJ35" s="449">
        <f>INPUT!GQ636</f>
        <v>-2.8387138277330308</v>
      </c>
      <c r="FK35" s="449">
        <f>INPUT!GR636</f>
        <v>410.27038194757091</v>
      </c>
      <c r="FL35" s="449">
        <f>INPUT!GS636</f>
        <v>-3.1542736978551318</v>
      </c>
      <c r="FM35" s="449">
        <f>INPUT!GT636</f>
        <v>397.36243986624044</v>
      </c>
      <c r="FN35" s="449">
        <f>INPUT!GU636</f>
        <v>-3.1462037352186911</v>
      </c>
      <c r="FO35" s="449">
        <f>INPUT!GV636</f>
        <v>385.98178455916099</v>
      </c>
      <c r="FP35" s="449">
        <f>INPUT!GW636</f>
        <v>-2.8640490809625589</v>
      </c>
      <c r="FQ35" s="449">
        <f>INPUT!GX636</f>
        <v>373.70574261116775</v>
      </c>
      <c r="FR35" s="449">
        <f>INPUT!GY636</f>
        <v>-3.1804718354815549</v>
      </c>
      <c r="FS35" s="865">
        <f>INPUT!GZ636</f>
        <v>-3.0368614947009931</v>
      </c>
    </row>
    <row r="36" spans="1:176" s="352" customFormat="1" ht="12.75" customHeight="1" x14ac:dyDescent="0.2">
      <c r="A36" s="836" t="str">
        <f>INPUT!B644</f>
        <v>Core EPS</v>
      </c>
      <c r="B36" s="466"/>
      <c r="C36" s="467"/>
      <c r="D36" s="466"/>
      <c r="E36" s="467"/>
      <c r="F36" s="466"/>
      <c r="G36" s="467"/>
      <c r="H36" s="466"/>
      <c r="I36" s="467"/>
      <c r="J36" s="466"/>
      <c r="K36" s="467"/>
      <c r="L36" s="466"/>
      <c r="M36" s="467"/>
      <c r="N36" s="466"/>
      <c r="O36" s="467"/>
      <c r="P36" s="466">
        <f>INPUT!AO644</f>
        <v>0.87</v>
      </c>
      <c r="Q36" s="467" t="str">
        <f>INPUT!AP644</f>
        <v>NA</v>
      </c>
      <c r="R36" s="466">
        <f>INPUT!AQ644</f>
        <v>1.5549056603773583</v>
      </c>
      <c r="S36" s="468" t="str">
        <f>INPUT!AR644</f>
        <v>NA</v>
      </c>
      <c r="T36" s="466">
        <f>INPUT!AS644</f>
        <v>1.6022543792840822</v>
      </c>
      <c r="U36" s="468" t="str">
        <f>INPUT!AT644</f>
        <v>NA</v>
      </c>
      <c r="V36" s="466">
        <f>INPUT!AU644</f>
        <v>1.7560428323364849</v>
      </c>
      <c r="W36" s="468" t="str">
        <f>INPUT!AV644</f>
        <v>NA</v>
      </c>
      <c r="X36" s="466">
        <f>INPUT!AW644</f>
        <v>1.8092120736965895</v>
      </c>
      <c r="Y36" s="469" t="str">
        <f>INPUT!AX644</f>
        <v>NM</v>
      </c>
      <c r="Z36" s="466">
        <f>INPUT!AY644</f>
        <v>1.3818984328506247</v>
      </c>
      <c r="AA36" s="469">
        <f>INPUT!AZ644</f>
        <v>-11.126541753327118</v>
      </c>
      <c r="AB36" s="466">
        <f>INPUT!BA644</f>
        <v>1.3626102980802755</v>
      </c>
      <c r="AC36" s="469">
        <f>INPUT!BB644</f>
        <v>-14.956681304930143</v>
      </c>
      <c r="AD36" s="466">
        <f>INPUT!BC644</f>
        <v>1.3815182868719045</v>
      </c>
      <c r="AE36" s="469">
        <f>INPUT!BD644</f>
        <v>-21.327756850114</v>
      </c>
      <c r="AF36" s="466">
        <f>INPUT!BE644</f>
        <v>1.4490257208399906</v>
      </c>
      <c r="AG36" s="469">
        <f>INPUT!BF644</f>
        <v>-19.908465021497719</v>
      </c>
      <c r="AH36" s="466">
        <f>INPUT!BG644</f>
        <v>1.6015341266785239</v>
      </c>
      <c r="AI36" s="469">
        <f>INPUT!BH644</f>
        <v>15.893765316371884</v>
      </c>
      <c r="AJ36" s="466">
        <f>INPUT!BI644</f>
        <v>1.6867770906726742</v>
      </c>
      <c r="AK36" s="469">
        <f>INPUT!BJ644</f>
        <v>23.790132296013297</v>
      </c>
      <c r="AL36" s="466">
        <f>INPUT!BK644</f>
        <v>2.0206667496990076</v>
      </c>
      <c r="AM36" s="469">
        <f>INPUT!BL644</f>
        <v>46.264205758310425</v>
      </c>
      <c r="AN36" s="466">
        <f>INPUT!BM644</f>
        <v>1.97223924291939</v>
      </c>
      <c r="AO36" s="469">
        <f>INPUT!BN644</f>
        <v>36.10795271295089</v>
      </c>
      <c r="AP36" s="466">
        <f>INPUT!BO644</f>
        <v>1.5767338835862932</v>
      </c>
      <c r="AQ36" s="469">
        <f>INPUT!BP644</f>
        <v>-1.5485304171235441</v>
      </c>
      <c r="AR36" s="466">
        <f>INPUT!BQ644</f>
        <v>1.8633006238574228</v>
      </c>
      <c r="AS36" s="469">
        <f>INPUT!BR644</f>
        <v>10.46513698584512</v>
      </c>
      <c r="AT36" s="466">
        <f>INPUT!BS644</f>
        <v>1.5683043277375637</v>
      </c>
      <c r="AU36" s="469">
        <f>INPUT!BT644</f>
        <v>-22.386790005270612</v>
      </c>
      <c r="AV36" s="466">
        <f>INPUT!BU644</f>
        <v>-0.59405940594059392</v>
      </c>
      <c r="AW36" s="469" t="str">
        <f>INPUT!BV644</f>
        <v>NM</v>
      </c>
      <c r="AX36" s="466">
        <f>INPUT!BW644</f>
        <v>0.62706893147236298</v>
      </c>
      <c r="AY36" s="469" t="str">
        <f>INPUT!BX644</f>
        <v>NM</v>
      </c>
      <c r="AZ36" s="466">
        <f>INPUT!BY644</f>
        <v>1.2129437969204944</v>
      </c>
      <c r="BA36" s="469">
        <f>INPUT!BZ644</f>
        <v>-34.903483560830537</v>
      </c>
      <c r="BB36" s="466">
        <f>INPUT!CA644</f>
        <v>1.4141196728368488</v>
      </c>
      <c r="BC36" s="469">
        <f>INPUT!CB644</f>
        <v>-9.8312969092638838</v>
      </c>
      <c r="BD36" s="466">
        <f>INPUT!CC644</f>
        <v>1.0669562885044868</v>
      </c>
      <c r="BE36" s="469" t="str">
        <f>INPUT!CD644</f>
        <v>NM</v>
      </c>
      <c r="BF36" s="466">
        <f>INPUT!CE644</f>
        <v>1.2018562749625872</v>
      </c>
      <c r="BG36" s="469">
        <f>INPUT!CF644</f>
        <v>91.662545318681111</v>
      </c>
      <c r="BH36" s="466">
        <f>INPUT!CG644</f>
        <v>1.3464687797789727</v>
      </c>
      <c r="BI36" s="469">
        <f>INPUT!CH644</f>
        <v>11.008340468658218</v>
      </c>
      <c r="BJ36" s="466">
        <f>INPUT!CI644</f>
        <v>1.1702617437507548</v>
      </c>
      <c r="BK36" s="469">
        <f>INPUT!CJ644</f>
        <v>-17.244504391689404</v>
      </c>
      <c r="BL36" s="466">
        <f>INPUT!CK644</f>
        <v>1.3097837493369762</v>
      </c>
      <c r="BM36" s="469">
        <f>INPUT!CL644</f>
        <v>22.758894947125881</v>
      </c>
      <c r="BN36" s="466">
        <f>INPUT!CM644</f>
        <v>1.4272221097388136</v>
      </c>
      <c r="BO36" s="469">
        <f>INPUT!CN644</f>
        <v>18.751479646203279</v>
      </c>
      <c r="BP36" s="466">
        <f>INPUT!CO644</f>
        <v>1.6359135004042038</v>
      </c>
      <c r="BQ36" s="469">
        <f>INPUT!CP644</f>
        <v>21.496578678396432</v>
      </c>
      <c r="BR36" s="466">
        <f>INPUT!CQ644</f>
        <v>1.4676067852033516</v>
      </c>
      <c r="BS36" s="469">
        <f>INPUT!CR644</f>
        <v>25.408421922739194</v>
      </c>
      <c r="BT36" s="466">
        <f>INPUT!CS644</f>
        <v>1.5278825995807126</v>
      </c>
      <c r="BU36" s="469">
        <f>INPUT!CT644</f>
        <v>16.651515973849882</v>
      </c>
      <c r="BV36" s="466">
        <f>INPUT!CU644</f>
        <v>1.4652356020942408</v>
      </c>
      <c r="BW36" s="469">
        <f>INPUT!CV644</f>
        <v>2.6634601647520526</v>
      </c>
      <c r="BX36" s="466">
        <f>INPUT!CW644</f>
        <v>1.7252375923970433</v>
      </c>
      <c r="BY36" s="469">
        <f>INPUT!CX644</f>
        <v>5.4601965183837251</v>
      </c>
      <c r="BZ36" s="466">
        <f>INPUT!CY644</f>
        <v>1.8200508690122934</v>
      </c>
      <c r="CA36" s="469">
        <f>INPUT!CZ644</f>
        <v>24.014885142419601</v>
      </c>
      <c r="CB36" s="466">
        <f>INPUT!DA644</f>
        <v>1.769540327729304</v>
      </c>
      <c r="CC36" s="469">
        <f>INPUT!DB644</f>
        <v>15.816511570647378</v>
      </c>
      <c r="CD36" s="466">
        <f>INPUT!DC644</f>
        <v>2.1202035191859232</v>
      </c>
      <c r="CE36" s="469">
        <f>INPUT!DD644</f>
        <v>44.70051888962746</v>
      </c>
      <c r="CF36" s="466">
        <f>INPUT!DE644</f>
        <v>2.1031342651418892</v>
      </c>
      <c r="CG36" s="469">
        <f>INPUT!DF644</f>
        <v>21.904036546050236</v>
      </c>
      <c r="CH36" s="466">
        <f>INPUT!DG644</f>
        <v>2.3459745762711863</v>
      </c>
      <c r="CI36" s="469">
        <f>INPUT!DH644</f>
        <v>28.896099346074948</v>
      </c>
      <c r="CJ36" s="466">
        <f>INPUT!DI644</f>
        <v>2.2194397283531409</v>
      </c>
      <c r="CK36" s="469">
        <f>INPUT!DJ644</f>
        <v>25.424648061067543</v>
      </c>
      <c r="CL36" s="466">
        <f>INPUT!DK644</f>
        <v>2.4650645775989837</v>
      </c>
      <c r="CM36" s="469">
        <f>INPUT!DL644</f>
        <v>16.265469578386217</v>
      </c>
      <c r="CN36" s="466">
        <f>INPUT!DM644</f>
        <v>2.508071367884452</v>
      </c>
      <c r="CO36" s="469">
        <f>INPUT!DN644</f>
        <v>19.253982470550611</v>
      </c>
      <c r="CP36" s="466">
        <f>INPUT!DO644</f>
        <v>2.4567164179104473</v>
      </c>
      <c r="CQ36" s="469">
        <f>INPUT!DP644</f>
        <v>4.7205047641769369</v>
      </c>
      <c r="CR36" s="466">
        <f>INPUT!DQ644</f>
        <v>2.3284429213964448</v>
      </c>
      <c r="CS36" s="469">
        <f>INPUT!DR644</f>
        <v>4.9112932264299758</v>
      </c>
      <c r="CT36" s="466">
        <f>INPUT!DS644</f>
        <v>2.6478144728365902</v>
      </c>
      <c r="CU36" s="469">
        <f>INPUT!DT644</f>
        <v>7.4135946335169791</v>
      </c>
      <c r="CV36" s="466">
        <f>INPUT!DU644</f>
        <v>2.6279395900755125</v>
      </c>
      <c r="CW36" s="469">
        <f>INPUT!DV644</f>
        <v>4.779298696438957</v>
      </c>
      <c r="CX36" s="466">
        <f>INPUT!DW644</f>
        <v>2.5196884465599307</v>
      </c>
      <c r="CY36" s="469">
        <f>INPUT!DX644</f>
        <v>2.5632599754042502</v>
      </c>
      <c r="CZ36" s="466">
        <f>INPUT!DY644</f>
        <v>2.0681126331811264</v>
      </c>
      <c r="DA36" s="469">
        <f>INPUT!DZ644</f>
        <v>-11.180445344959949</v>
      </c>
      <c r="DB36" s="466">
        <f>INPUT!EA644</f>
        <v>2.4898382867132871</v>
      </c>
      <c r="DC36" s="469">
        <f>INPUT!EB644</f>
        <v>-5.9662860726818252</v>
      </c>
      <c r="DD36" s="466">
        <f>INPUT!EC644</f>
        <v>2.4555975962608501</v>
      </c>
      <c r="DE36" s="469">
        <f>INPUT!ED644</f>
        <v>-6.5580652791836087</v>
      </c>
      <c r="DF36" s="466">
        <f>INPUT!EE644</f>
        <v>2.5056268287193335</v>
      </c>
      <c r="DG36" s="469">
        <f>INPUT!EF644</f>
        <v>-0.55806970341095052</v>
      </c>
      <c r="DH36" s="466">
        <f>INPUT!EG644</f>
        <v>2.4283765347885402</v>
      </c>
      <c r="DI36" s="469">
        <f>INPUT!EH644</f>
        <v>17.419936217558103</v>
      </c>
      <c r="DJ36" s="466">
        <f>INPUT!EI644</f>
        <v>2.7648941015713961</v>
      </c>
      <c r="DK36" s="466">
        <f>INPUT!EJ644</f>
        <v>11.04713572467378</v>
      </c>
      <c r="DL36" s="466">
        <f>INPUT!EK644</f>
        <v>2.9347726648979964</v>
      </c>
      <c r="DM36" s="466">
        <f>INPUT!EL644</f>
        <v>19.513582737122249</v>
      </c>
      <c r="DN36" s="466">
        <f>INPUT!EM644</f>
        <v>2.9420689655172412</v>
      </c>
      <c r="DO36" s="466">
        <f>INPUT!EN644</f>
        <v>17.418481147928162</v>
      </c>
      <c r="DP36" s="466">
        <f>INPUT!EO644</f>
        <v>2.6794545874740008</v>
      </c>
      <c r="DQ36" s="466">
        <f>INPUT!EP644</f>
        <v>10.339337787552964</v>
      </c>
      <c r="DR36" s="466">
        <f>INPUT!EQ644</f>
        <v>3.0956473436103349</v>
      </c>
      <c r="DS36" s="466">
        <f>INPUT!ER644</f>
        <v>11.962600732192925</v>
      </c>
      <c r="DT36" s="466">
        <f>INPUT!ES644</f>
        <v>3.1369010469049265</v>
      </c>
      <c r="DU36" s="466">
        <f>INPUT!ET644</f>
        <v>6.8873607971251687</v>
      </c>
      <c r="DV36" s="466">
        <f>INPUT!EU644</f>
        <v>3.1253659827544977</v>
      </c>
      <c r="DW36" s="466">
        <f>INPUT!EV644</f>
        <v>6.2302080401786668</v>
      </c>
      <c r="DX36" s="466">
        <f>INPUT!EW644</f>
        <v>2.838428618029682</v>
      </c>
      <c r="DY36" s="466">
        <f>INPUT!EX644</f>
        <v>5.9330742643991101</v>
      </c>
      <c r="DZ36" s="466">
        <f>INPUT!EY644</f>
        <v>0</v>
      </c>
      <c r="EA36" s="469"/>
      <c r="EB36" s="469"/>
      <c r="EC36" s="466"/>
      <c r="ED36" s="469"/>
      <c r="EE36" s="466"/>
      <c r="EF36" s="469"/>
      <c r="EG36" s="466"/>
      <c r="EH36" s="470"/>
      <c r="EI36" s="466">
        <f>INPUT!FP644</f>
        <v>3.9052975328746689</v>
      </c>
      <c r="EJ36" s="469" t="str">
        <f>INPUT!FQ644</f>
        <v>NA</v>
      </c>
      <c r="EK36" s="466">
        <f>INPUT!FR644</f>
        <v>4.4519858025929437</v>
      </c>
      <c r="EL36" s="469">
        <f>INPUT!FS644</f>
        <v>13.99863301365059</v>
      </c>
      <c r="EM36" s="466">
        <f>INPUT!FT644</f>
        <v>5.8949885425507</v>
      </c>
      <c r="EN36" s="469">
        <f>INPUT!FU644</f>
        <v>32.412563829770448</v>
      </c>
      <c r="EO36" s="466">
        <f>INPUT!FV644</f>
        <v>-4.295503045391901</v>
      </c>
      <c r="EP36" s="469" t="str">
        <f>INPUT!FW644</f>
        <v>NM</v>
      </c>
      <c r="EQ36" s="466">
        <f>INPUT!FX644</f>
        <v>2.0950901924888137</v>
      </c>
      <c r="ER36" s="469" t="str">
        <f>INPUT!FY644</f>
        <v>NM</v>
      </c>
      <c r="ES36" s="466">
        <f>INPUT!FZ644</f>
        <v>3.7156777691244649</v>
      </c>
      <c r="ET36" s="469">
        <f>INPUT!GA644</f>
        <v>77.351685500017169</v>
      </c>
      <c r="EU36" s="466">
        <f>INPUT!GB644</f>
        <v>5.0015532109440137</v>
      </c>
      <c r="EV36" s="469">
        <f>INPUT!GC644</f>
        <v>34.606753376317215</v>
      </c>
      <c r="EW36" s="466">
        <f>INPUT!GD644</f>
        <v>5.6579019390288998</v>
      </c>
      <c r="EX36" s="466">
        <f>INPUT!GE644</f>
        <v>13.122898035928415</v>
      </c>
      <c r="EY36" s="466">
        <f>INPUT!GF644</f>
        <v>9.1956971013724758</v>
      </c>
      <c r="EZ36" s="466">
        <f>INPUT!GG644</f>
        <v>62.528393041587236</v>
      </c>
      <c r="FA36" s="466">
        <f>INPUT!GH644</f>
        <v>9.7045114389565974</v>
      </c>
      <c r="FB36" s="466">
        <f>INPUT!GI644</f>
        <v>5.5331785287727797</v>
      </c>
      <c r="FC36" s="466">
        <f>INPUT!GJ644</f>
        <v>9.8713876735267121</v>
      </c>
      <c r="FD36" s="466">
        <f>INPUT!GK644</f>
        <v>1.7195737840055187</v>
      </c>
      <c r="FE36" s="466">
        <f>INPUT!GL644</f>
        <v>9.7235064209938571</v>
      </c>
      <c r="FF36" s="466">
        <f>INPUT!GM644</f>
        <v>-1.4980796765731981</v>
      </c>
      <c r="FG36" s="466">
        <f>INPUT!GN644</f>
        <v>11.321907754409303</v>
      </c>
      <c r="FH36" s="466">
        <f>INPUT!GO644</f>
        <v>16.438528080408972</v>
      </c>
      <c r="FI36" s="466">
        <f>INPUT!GP644</f>
        <v>12.199348634086146</v>
      </c>
      <c r="FJ36" s="466">
        <f>INPUT!GQ644</f>
        <v>7.7499384265441051</v>
      </c>
      <c r="FK36" s="466">
        <f>INPUT!GR644</f>
        <v>12.751069324888016</v>
      </c>
      <c r="FL36" s="466">
        <f>INPUT!GS644</f>
        <v>4.5225422057396685</v>
      </c>
      <c r="FM36" s="466">
        <f>INPUT!GT644</f>
        <v>13.303162843222088</v>
      </c>
      <c r="FN36" s="466">
        <f>INPUT!GU644</f>
        <v>4.3297821089912389</v>
      </c>
      <c r="FO36" s="466">
        <f>INPUT!GV644</f>
        <v>13.853522114260759</v>
      </c>
      <c r="FP36" s="466">
        <f>INPUT!GW644</f>
        <v>4.1370558078906612</v>
      </c>
      <c r="FQ36" s="466">
        <f>INPUT!GX644</f>
        <v>14.450625194663479</v>
      </c>
      <c r="FR36" s="466">
        <f>INPUT!GY644</f>
        <v>4.3101174955938717</v>
      </c>
      <c r="FS36" s="872">
        <f>INPUT!GZ644</f>
        <v>5.0009926899179602</v>
      </c>
    </row>
    <row r="37" spans="1:176" s="351" customFormat="1" ht="12.75" hidden="1" customHeight="1" outlineLevel="1" x14ac:dyDescent="0.2">
      <c r="A37" s="837" t="s">
        <v>683</v>
      </c>
      <c r="B37" s="472"/>
      <c r="C37" s="473"/>
      <c r="D37" s="472"/>
      <c r="E37" s="473"/>
      <c r="F37" s="472"/>
      <c r="G37" s="473"/>
      <c r="H37" s="472"/>
      <c r="I37" s="473"/>
      <c r="J37" s="472"/>
      <c r="K37" s="473"/>
      <c r="L37" s="472"/>
      <c r="M37" s="473"/>
      <c r="N37" s="472"/>
      <c r="O37" s="473"/>
      <c r="P37" s="472"/>
      <c r="Q37" s="473"/>
      <c r="R37" s="472"/>
      <c r="S37" s="473"/>
      <c r="T37" s="472"/>
      <c r="U37" s="473"/>
      <c r="V37" s="472"/>
      <c r="W37" s="473"/>
      <c r="X37" s="472"/>
      <c r="Y37" s="473"/>
      <c r="Z37" s="472"/>
      <c r="AA37" s="473"/>
      <c r="AB37" s="472"/>
      <c r="AC37" s="473"/>
      <c r="AD37" s="472"/>
      <c r="AE37" s="473"/>
      <c r="AF37" s="472"/>
      <c r="AG37" s="473"/>
      <c r="AH37" s="472"/>
      <c r="AI37" s="474"/>
      <c r="AJ37" s="472"/>
      <c r="AK37" s="474"/>
      <c r="AL37" s="472"/>
      <c r="AM37" s="474"/>
      <c r="AN37" s="472"/>
      <c r="AO37" s="474"/>
      <c r="AP37" s="472"/>
      <c r="AQ37" s="474"/>
      <c r="AR37" s="472"/>
      <c r="AS37" s="474"/>
      <c r="AT37" s="472"/>
      <c r="AU37" s="474"/>
      <c r="AV37" s="472"/>
      <c r="AW37" s="474"/>
      <c r="AX37" s="472"/>
      <c r="AY37" s="474"/>
      <c r="AZ37" s="472"/>
      <c r="BA37" s="474"/>
      <c r="BB37" s="472"/>
      <c r="BC37" s="474"/>
      <c r="BD37" s="472"/>
      <c r="BE37" s="474"/>
      <c r="BF37" s="472"/>
      <c r="BG37" s="474"/>
      <c r="BH37" s="472"/>
      <c r="BI37" s="474"/>
      <c r="BJ37" s="472"/>
      <c r="BK37" s="474"/>
      <c r="BL37" s="472"/>
      <c r="BM37" s="474"/>
      <c r="BN37" s="475">
        <f>((BN32-BN24*(1-BN30/100))/BN71)-BN36</f>
        <v>-1.2110076510065131</v>
      </c>
      <c r="BO37" s="474"/>
      <c r="BP37" s="475">
        <f>((BP32-BP24*(1-BP30/100))/BP71)-BP36</f>
        <v>-1.7105778422591147</v>
      </c>
      <c r="BQ37" s="474"/>
      <c r="BR37" s="475">
        <f>((BR32-BR24*(1-BR30/100))/BR71)-BR36</f>
        <v>-2.2321326685770981</v>
      </c>
      <c r="BS37" s="474"/>
      <c r="BT37" s="475">
        <f>((BT32-BT24*(1-BT30/100))/BT71)-BT36</f>
        <v>-1.2472622271127076</v>
      </c>
      <c r="BU37" s="474"/>
      <c r="BV37" s="475">
        <f>((BV32-BV24*(1-BV30/100))/BV71)-BV36</f>
        <v>-1.2387788829079918</v>
      </c>
      <c r="BW37" s="474"/>
      <c r="BX37" s="475">
        <f>((BX32-BX24*0.65)/BX71)-BX36</f>
        <v>-1.8504751847940868</v>
      </c>
      <c r="BY37" s="474"/>
      <c r="BZ37" s="475">
        <f>((BZ32-BZ24*0.65)/BZ71)-BZ36</f>
        <v>-1.853009749894023</v>
      </c>
      <c r="CA37" s="474"/>
      <c r="CB37" s="475">
        <f>((CB32-CB24*0.65)/CB71)-CB36</f>
        <v>-1.5733283677378167</v>
      </c>
      <c r="CC37" s="474"/>
      <c r="CD37" s="475">
        <f>((CD32-CD24*0.65)/CD71)-CD36</f>
        <v>-1.7445410218359128</v>
      </c>
      <c r="CE37" s="474"/>
      <c r="CF37" s="475">
        <f>((CF32-CF24*0.65)/CF71)-CF36</f>
        <v>-1.6862558238034731</v>
      </c>
      <c r="CG37" s="474"/>
      <c r="CH37" s="475">
        <f>((CH32-CH24*0.65)/CH71)-CH36</f>
        <v>-1.5382415254237287</v>
      </c>
      <c r="CI37" s="474"/>
      <c r="CJ37" s="475">
        <f>((CJ32-CJ24*0.65)/CJ71)-CJ36</f>
        <v>-2.048493208828523</v>
      </c>
      <c r="CK37" s="474"/>
      <c r="CL37" s="475">
        <f>((CL32-CL24*0.65)/CL71)-CL36</f>
        <v>-2.2859411391065003</v>
      </c>
      <c r="CM37" s="474"/>
      <c r="CN37" s="475">
        <f>((CN32-CN24*0.65)/CN71)-CN36</f>
        <v>-2.2738954970263383</v>
      </c>
      <c r="CO37" s="474"/>
      <c r="CP37" s="475">
        <f>((CP32-CP24*0.65)/CP71)-CP36</f>
        <v>-2.4717484008528778</v>
      </c>
      <c r="CQ37" s="474"/>
      <c r="CR37" s="475">
        <f>((CR32-CR24*0.65)/CR71)-CR36</f>
        <v>-2.2928892696508889</v>
      </c>
      <c r="CS37" s="474"/>
      <c r="CT37" s="475">
        <f>((CT32-CT24*0.65)/CT71)-CT36</f>
        <v>-2.160805668885549</v>
      </c>
      <c r="CU37" s="474"/>
      <c r="CV37" s="475">
        <f>((CV32-CV24*0.65)/CV71)-CV36</f>
        <v>-2.0124056094929883</v>
      </c>
      <c r="CW37" s="474"/>
      <c r="CX37" s="475">
        <f>((CX32-CX24*0.65)/CX71)-CX36</f>
        <v>-2.2937040242319342</v>
      </c>
      <c r="CY37" s="474"/>
      <c r="CZ37" s="475">
        <f>((CZ32-CZ24*0.65)/CZ71)-CZ36</f>
        <v>-1.9320504457490761</v>
      </c>
      <c r="DA37" s="474"/>
      <c r="DB37" s="475">
        <f>((DB32-DB24*0.65)/DB71)-DB36</f>
        <v>-2.3323863636363642</v>
      </c>
      <c r="DC37" s="474"/>
      <c r="DD37" s="475">
        <f>((DD32-DD24*0.65)/DD71)-DD36</f>
        <v>-2.768973959492544</v>
      </c>
      <c r="DE37" s="474"/>
      <c r="DF37" s="475">
        <f>((DF32-DF24*0.65)/DF71)-DF36</f>
        <v>-1.9720909295521043</v>
      </c>
      <c r="DG37" s="474"/>
      <c r="DH37" s="475">
        <f>((DH32-DH24*0.65)/DH71)-DH36</f>
        <v>-2.0972032742155524</v>
      </c>
      <c r="DI37" s="474"/>
      <c r="DJ37" s="475">
        <f>((DJ32-DJ26*0.65)/DJ71)-DJ36</f>
        <v>0</v>
      </c>
      <c r="DK37" s="475" t="e">
        <f t="shared" ref="DK37:DZ37" si="5">((DK32-DK26*0.65)/DK71)-DK36</f>
        <v>#VALUE!</v>
      </c>
      <c r="DL37" s="475">
        <f t="shared" si="5"/>
        <v>0</v>
      </c>
      <c r="DM37" s="475">
        <f t="shared" si="5"/>
        <v>-15.929522609648368</v>
      </c>
      <c r="DN37" s="475">
        <f t="shared" si="5"/>
        <v>0</v>
      </c>
      <c r="DO37" s="475" t="e">
        <f t="shared" si="5"/>
        <v>#VALUE!</v>
      </c>
      <c r="DP37" s="475">
        <f t="shared" si="5"/>
        <v>0</v>
      </c>
      <c r="DQ37" s="475" t="e">
        <f t="shared" si="5"/>
        <v>#VALUE!</v>
      </c>
      <c r="DR37" s="475">
        <f t="shared" si="5"/>
        <v>0</v>
      </c>
      <c r="DS37" s="475" t="e">
        <f t="shared" si="5"/>
        <v>#VALUE!</v>
      </c>
      <c r="DT37" s="475">
        <f t="shared" si="5"/>
        <v>0</v>
      </c>
      <c r="DU37" s="475" t="e">
        <f t="shared" si="5"/>
        <v>#VALUE!</v>
      </c>
      <c r="DV37" s="475">
        <f t="shared" si="5"/>
        <v>0</v>
      </c>
      <c r="DW37" s="475" t="e">
        <f t="shared" si="5"/>
        <v>#VALUE!</v>
      </c>
      <c r="DX37" s="475">
        <f t="shared" si="5"/>
        <v>0</v>
      </c>
      <c r="DY37" s="475" t="e">
        <f t="shared" si="5"/>
        <v>#VALUE!</v>
      </c>
      <c r="DZ37" s="475" t="e">
        <f t="shared" si="5"/>
        <v>#DIV/0!</v>
      </c>
      <c r="EA37" s="474"/>
      <c r="EB37" s="473"/>
      <c r="EC37" s="472"/>
      <c r="ED37" s="473"/>
      <c r="EE37" s="472"/>
      <c r="EF37" s="473"/>
      <c r="EG37" s="472"/>
      <c r="EH37" s="473"/>
      <c r="EI37" s="472"/>
      <c r="EJ37" s="474"/>
      <c r="EK37" s="472"/>
      <c r="EL37" s="474"/>
      <c r="EM37" s="472"/>
      <c r="EN37" s="474"/>
      <c r="EO37" s="472"/>
      <c r="EP37" s="474"/>
      <c r="EQ37" s="472"/>
      <c r="ER37" s="474"/>
      <c r="ES37" s="475">
        <f>((ES32-ES26*(1-ES30/100))/ES71)-ES36</f>
        <v>7.0660533744590914E-3</v>
      </c>
      <c r="ET37" s="474"/>
      <c r="EU37" s="475">
        <f>((EU32-EU26*(1-EU30/100))/EU71)-EU36</f>
        <v>-0.14380009061230226</v>
      </c>
      <c r="EV37" s="474"/>
      <c r="EW37" s="475">
        <f>((EW32-EW26*0.65)/EW71)-EW36</f>
        <v>-3.281608284461246E-2</v>
      </c>
      <c r="EX37" s="475" t="e">
        <f t="shared" ref="EX37:FB37" si="6">((EX32-EX26*0.65)/EX71)-EX36</f>
        <v>#VALUE!</v>
      </c>
      <c r="EY37" s="475">
        <f t="shared" si="6"/>
        <v>0</v>
      </c>
      <c r="EZ37" s="475" t="e">
        <f t="shared" si="6"/>
        <v>#VALUE!</v>
      </c>
      <c r="FA37" s="475">
        <f t="shared" si="6"/>
        <v>0</v>
      </c>
      <c r="FB37" s="475" t="e">
        <f t="shared" si="6"/>
        <v>#VALUE!</v>
      </c>
      <c r="FC37" s="475">
        <f>((FC32-FC26*0.65)/FC71)-FC36</f>
        <v>0</v>
      </c>
      <c r="FD37" s="475" t="e">
        <f t="shared" ref="FD37:FS37" si="7">((FD32-FD26*0.65)/FD71)-FD36</f>
        <v>#VALUE!</v>
      </c>
      <c r="FE37" s="475">
        <f t="shared" si="7"/>
        <v>0</v>
      </c>
      <c r="FF37" s="475" t="e">
        <f t="shared" si="7"/>
        <v>#VALUE!</v>
      </c>
      <c r="FG37" s="475">
        <f t="shared" si="7"/>
        <v>0</v>
      </c>
      <c r="FH37" s="475">
        <f t="shared" si="7"/>
        <v>-15.987568850264232</v>
      </c>
      <c r="FI37" s="475">
        <f t="shared" si="7"/>
        <v>0</v>
      </c>
      <c r="FJ37" s="475" t="e">
        <f t="shared" si="7"/>
        <v>#VALUE!</v>
      </c>
      <c r="FK37" s="475">
        <f t="shared" si="7"/>
        <v>0</v>
      </c>
      <c r="FL37" s="475" t="e">
        <f t="shared" si="7"/>
        <v>#VALUE!</v>
      </c>
      <c r="FM37" s="475">
        <f t="shared" si="7"/>
        <v>0</v>
      </c>
      <c r="FN37" s="475" t="e">
        <f t="shared" si="7"/>
        <v>#VALUE!</v>
      </c>
      <c r="FO37" s="475">
        <f t="shared" si="7"/>
        <v>0</v>
      </c>
      <c r="FP37" s="475" t="e">
        <f t="shared" si="7"/>
        <v>#VALUE!</v>
      </c>
      <c r="FQ37" s="475">
        <f t="shared" si="7"/>
        <v>0</v>
      </c>
      <c r="FR37" s="475" t="e">
        <f t="shared" si="7"/>
        <v>#VALUE!</v>
      </c>
      <c r="FS37" s="869" t="e">
        <f t="shared" si="7"/>
        <v>#VALUE!</v>
      </c>
    </row>
    <row r="38" spans="1:176" s="529" customFormat="1" ht="6" customHeight="1" collapsed="1" x14ac:dyDescent="0.2">
      <c r="A38" s="834"/>
      <c r="B38" s="462"/>
      <c r="C38" s="463"/>
      <c r="D38" s="462"/>
      <c r="E38" s="463"/>
      <c r="F38" s="462"/>
      <c r="G38" s="463"/>
      <c r="H38" s="462"/>
      <c r="I38" s="463"/>
      <c r="J38" s="462"/>
      <c r="K38" s="463"/>
      <c r="L38" s="462"/>
      <c r="M38" s="463"/>
      <c r="N38" s="462"/>
      <c r="O38" s="463"/>
      <c r="P38" s="462"/>
      <c r="Q38" s="463"/>
      <c r="R38" s="462"/>
      <c r="S38" s="463"/>
      <c r="T38" s="462"/>
      <c r="U38" s="463"/>
      <c r="V38" s="462"/>
      <c r="W38" s="463"/>
      <c r="X38" s="462"/>
      <c r="Y38" s="463"/>
      <c r="Z38" s="462"/>
      <c r="AA38" s="463"/>
      <c r="AB38" s="462"/>
      <c r="AC38" s="463"/>
      <c r="AD38" s="462"/>
      <c r="AE38" s="463"/>
      <c r="AF38" s="462"/>
      <c r="AG38" s="463"/>
      <c r="AH38" s="462"/>
      <c r="AI38" s="464"/>
      <c r="AJ38" s="462"/>
      <c r="AK38" s="464"/>
      <c r="AL38" s="462"/>
      <c r="AM38" s="464"/>
      <c r="AN38" s="462"/>
      <c r="AO38" s="464"/>
      <c r="AP38" s="462"/>
      <c r="AQ38" s="438"/>
      <c r="AR38" s="462"/>
      <c r="AS38" s="438"/>
      <c r="AT38" s="462"/>
      <c r="AU38" s="438"/>
      <c r="AV38" s="462"/>
      <c r="AW38" s="438"/>
      <c r="AX38" s="462"/>
      <c r="AY38" s="438"/>
      <c r="AZ38" s="462"/>
      <c r="BA38" s="438"/>
      <c r="BB38" s="462"/>
      <c r="BC38" s="438"/>
      <c r="BD38" s="462"/>
      <c r="BE38" s="438"/>
      <c r="BF38" s="462"/>
      <c r="BG38" s="438"/>
      <c r="BH38" s="462"/>
      <c r="BI38" s="438"/>
      <c r="BJ38" s="462"/>
      <c r="BK38" s="438"/>
      <c r="BL38" s="462"/>
      <c r="BM38" s="438"/>
      <c r="BN38" s="462"/>
      <c r="BO38" s="438"/>
      <c r="BP38" s="462"/>
      <c r="BQ38" s="438"/>
      <c r="BR38" s="462"/>
      <c r="BS38" s="438"/>
      <c r="BT38" s="462"/>
      <c r="BU38" s="438"/>
      <c r="BV38" s="462"/>
      <c r="BW38" s="438"/>
      <c r="BX38" s="462"/>
      <c r="BY38" s="438"/>
      <c r="BZ38" s="462"/>
      <c r="CA38" s="438"/>
      <c r="CB38" s="462"/>
      <c r="CC38" s="438"/>
      <c r="CD38" s="462"/>
      <c r="CE38" s="438"/>
      <c r="CF38" s="462"/>
      <c r="CG38" s="438"/>
      <c r="CH38" s="462"/>
      <c r="CI38" s="438"/>
      <c r="CJ38" s="462"/>
      <c r="CK38" s="438"/>
      <c r="CL38" s="462"/>
      <c r="CM38" s="438"/>
      <c r="CN38" s="462"/>
      <c r="CO38" s="438"/>
      <c r="CP38" s="462"/>
      <c r="CQ38" s="438"/>
      <c r="CR38" s="462"/>
      <c r="CS38" s="438"/>
      <c r="CT38" s="462"/>
      <c r="CU38" s="438"/>
      <c r="CV38" s="462"/>
      <c r="CW38" s="438"/>
      <c r="CX38" s="462"/>
      <c r="CY38" s="438"/>
      <c r="CZ38" s="462"/>
      <c r="DA38" s="438"/>
      <c r="DB38" s="462"/>
      <c r="DC38" s="438"/>
      <c r="DD38" s="462"/>
      <c r="DE38" s="438"/>
      <c r="DF38" s="462"/>
      <c r="DG38" s="438"/>
      <c r="DH38" s="462"/>
      <c r="DI38" s="438"/>
      <c r="DJ38" s="462"/>
      <c r="DK38" s="462"/>
      <c r="DL38" s="462"/>
      <c r="DM38" s="462"/>
      <c r="DN38" s="462"/>
      <c r="DO38" s="462"/>
      <c r="DP38" s="462"/>
      <c r="DQ38" s="462"/>
      <c r="DR38" s="462"/>
      <c r="DS38" s="462"/>
      <c r="DT38" s="462"/>
      <c r="DU38" s="462"/>
      <c r="DV38" s="462"/>
      <c r="DW38" s="462"/>
      <c r="DX38" s="462"/>
      <c r="DY38" s="462"/>
      <c r="DZ38" s="462"/>
      <c r="EA38" s="438"/>
      <c r="EB38" s="463"/>
      <c r="EC38" s="462"/>
      <c r="ED38" s="463"/>
      <c r="EE38" s="462"/>
      <c r="EF38" s="463"/>
      <c r="EG38" s="462"/>
      <c r="EH38" s="463"/>
      <c r="EI38" s="462"/>
      <c r="EJ38" s="438"/>
      <c r="EK38" s="462"/>
      <c r="EL38" s="438"/>
      <c r="EM38" s="462"/>
      <c r="EN38" s="438"/>
      <c r="EO38" s="462"/>
      <c r="EP38" s="438"/>
      <c r="EQ38" s="462"/>
      <c r="ER38" s="438"/>
      <c r="ES38" s="462"/>
      <c r="ET38" s="438"/>
      <c r="EU38" s="462"/>
      <c r="EV38" s="438"/>
      <c r="EW38" s="462"/>
      <c r="EX38" s="462"/>
      <c r="EY38" s="462"/>
      <c r="EZ38" s="462"/>
      <c r="FA38" s="462"/>
      <c r="FB38" s="462"/>
      <c r="FC38" s="462"/>
      <c r="FD38" s="462"/>
      <c r="FE38" s="462"/>
      <c r="FF38" s="462"/>
      <c r="FG38" s="462"/>
      <c r="FH38" s="462"/>
      <c r="FI38" s="462"/>
      <c r="FJ38" s="462"/>
      <c r="FK38" s="462"/>
      <c r="FL38" s="462"/>
      <c r="FM38" s="462"/>
      <c r="FN38" s="462"/>
      <c r="FO38" s="462"/>
      <c r="FP38" s="462"/>
      <c r="FQ38" s="462"/>
      <c r="FR38" s="462"/>
      <c r="FS38" s="868"/>
    </row>
    <row r="39" spans="1:176" s="529" customFormat="1" ht="12.75" customHeight="1" x14ac:dyDescent="0.2">
      <c r="A39" s="826" t="s">
        <v>329</v>
      </c>
      <c r="B39" s="457"/>
      <c r="C39" s="439"/>
      <c r="D39" s="457"/>
      <c r="E39" s="439"/>
      <c r="F39" s="457"/>
      <c r="G39" s="439"/>
      <c r="H39" s="457"/>
      <c r="I39" s="439"/>
      <c r="J39" s="457"/>
      <c r="K39" s="439"/>
      <c r="L39" s="457"/>
      <c r="M39" s="439"/>
      <c r="N39" s="457"/>
      <c r="O39" s="439"/>
      <c r="P39" s="457"/>
      <c r="Q39" s="439"/>
      <c r="R39" s="457"/>
      <c r="S39" s="439"/>
      <c r="T39" s="457"/>
      <c r="U39" s="439"/>
      <c r="V39" s="457"/>
      <c r="W39" s="439"/>
      <c r="X39" s="457"/>
      <c r="Y39" s="439"/>
      <c r="Z39" s="457"/>
      <c r="AA39" s="439"/>
      <c r="AB39" s="457"/>
      <c r="AC39" s="439"/>
      <c r="AD39" s="457"/>
      <c r="AE39" s="439"/>
      <c r="AF39" s="457"/>
      <c r="AG39" s="439"/>
      <c r="AH39" s="457"/>
      <c r="AI39" s="438"/>
      <c r="AJ39" s="457"/>
      <c r="AK39" s="438"/>
      <c r="AL39" s="457"/>
      <c r="AM39" s="438"/>
      <c r="AN39" s="457"/>
      <c r="AO39" s="438"/>
      <c r="AP39" s="457"/>
      <c r="AQ39" s="438"/>
      <c r="AR39" s="457"/>
      <c r="AS39" s="438"/>
      <c r="AT39" s="457"/>
      <c r="AU39" s="438"/>
      <c r="AV39" s="457"/>
      <c r="AW39" s="438"/>
      <c r="AX39" s="457"/>
      <c r="AY39" s="438"/>
      <c r="AZ39" s="457"/>
      <c r="BA39" s="438"/>
      <c r="BB39" s="457"/>
      <c r="BC39" s="438"/>
      <c r="BD39" s="457"/>
      <c r="BE39" s="438"/>
      <c r="BF39" s="457"/>
      <c r="BG39" s="438"/>
      <c r="BH39" s="457"/>
      <c r="BI39" s="438"/>
      <c r="BJ39" s="457"/>
      <c r="BK39" s="438"/>
      <c r="BL39" s="457"/>
      <c r="BM39" s="438"/>
      <c r="BN39" s="457"/>
      <c r="BO39" s="438"/>
      <c r="BP39" s="457"/>
      <c r="BQ39" s="438"/>
      <c r="BR39" s="457"/>
      <c r="BS39" s="438"/>
      <c r="BT39" s="457"/>
      <c r="BU39" s="438"/>
      <c r="BV39" s="457"/>
      <c r="BW39" s="438"/>
      <c r="BX39" s="457"/>
      <c r="BY39" s="438"/>
      <c r="BZ39" s="457"/>
      <c r="CA39" s="438"/>
      <c r="CB39" s="457"/>
      <c r="CC39" s="438"/>
      <c r="CD39" s="457">
        <f>CD41-CD36</f>
        <v>0.14606741573033721</v>
      </c>
      <c r="CE39" s="438"/>
      <c r="CF39" s="457">
        <f>CF41-CF36</f>
        <v>0.20097416349004638</v>
      </c>
      <c r="CG39" s="438"/>
      <c r="CH39" s="457">
        <f>CH41-CH36</f>
        <v>0.54809322033898322</v>
      </c>
      <c r="CI39" s="438"/>
      <c r="CJ39" s="457">
        <f>CJ41-CJ36</f>
        <v>-1.6553480475381743E-2</v>
      </c>
      <c r="CK39" s="438"/>
      <c r="CL39" s="457">
        <f>CL41-CL36</f>
        <v>-6.1930976074529021E-2</v>
      </c>
      <c r="CM39" s="438"/>
      <c r="CN39" s="457">
        <f>CN41-CN36</f>
        <v>-1.6567544604927598E-2</v>
      </c>
      <c r="CO39" s="438"/>
      <c r="CP39" s="457">
        <f>CP41-CP36</f>
        <v>-0.25842217484008501</v>
      </c>
      <c r="CQ39" s="438"/>
      <c r="CR39" s="457">
        <f>CR41-CR36</f>
        <v>-0.21021632041122285</v>
      </c>
      <c r="CS39" s="438"/>
      <c r="CT39" s="457">
        <f>CT41-CT36</f>
        <v>0.13938758857633671</v>
      </c>
      <c r="CU39" s="438"/>
      <c r="CV39" s="457">
        <f>CV41-CV36</f>
        <v>0.28468176914778853</v>
      </c>
      <c r="CW39" s="438"/>
      <c r="CX39" s="457">
        <f>CX41-CX36</f>
        <v>-0.11813067935958443</v>
      </c>
      <c r="CY39" s="438"/>
      <c r="CZ39" s="457">
        <f>CZ41-CZ36</f>
        <v>-0.13073494237877803</v>
      </c>
      <c r="DA39" s="438"/>
      <c r="DB39" s="457">
        <f>DB41-DB36</f>
        <v>-0.31107954545454586</v>
      </c>
      <c r="DC39" s="438"/>
      <c r="DD39" s="457">
        <f>DD41-DD36</f>
        <v>-0.61050523035833515</v>
      </c>
      <c r="DE39" s="438"/>
      <c r="DF39" s="457">
        <f>DF41-DF36</f>
        <v>0.15361242403781228</v>
      </c>
      <c r="DG39" s="438"/>
      <c r="DH39" s="457">
        <f>DH41-DH36</f>
        <v>2.9558890404729254E-2</v>
      </c>
      <c r="DI39" s="438"/>
      <c r="DJ39" s="457">
        <f>DJ41-DJ36</f>
        <v>2.945798223639251E-2</v>
      </c>
      <c r="DK39" s="457">
        <f t="shared" ref="DK39:DZ39" si="8">DK41-DK36</f>
        <v>17.207178573264457</v>
      </c>
      <c r="DL39" s="457">
        <f t="shared" si="8"/>
        <v>-0.84438752172719767</v>
      </c>
      <c r="DM39" s="457">
        <f t="shared" si="8"/>
        <v>-6.2192468111101959</v>
      </c>
      <c r="DN39" s="457">
        <f t="shared" si="8"/>
        <v>7.1724137931034715E-2</v>
      </c>
      <c r="DO39" s="457">
        <f t="shared" si="8"/>
        <v>-4.0855758697166493</v>
      </c>
      <c r="DP39" s="457">
        <f t="shared" si="8"/>
        <v>6.0087820660963409E-3</v>
      </c>
      <c r="DQ39" s="457">
        <f t="shared" si="8"/>
        <v>-1.082465454182497</v>
      </c>
      <c r="DR39" s="457">
        <f t="shared" si="8"/>
        <v>0</v>
      </c>
      <c r="DS39" s="457">
        <f t="shared" si="8"/>
        <v>-1.1803066344506306</v>
      </c>
      <c r="DT39" s="457">
        <f t="shared" si="8"/>
        <v>0</v>
      </c>
      <c r="DU39" s="457">
        <f t="shared" si="8"/>
        <v>43.175944864659314</v>
      </c>
      <c r="DV39" s="457">
        <f t="shared" si="8"/>
        <v>0</v>
      </c>
      <c r="DW39" s="457">
        <f t="shared" si="8"/>
        <v>-2.5281330975237069</v>
      </c>
      <c r="DX39" s="457">
        <f t="shared" si="8"/>
        <v>0</v>
      </c>
      <c r="DY39" s="457">
        <f t="shared" si="8"/>
        <v>-0.2370275327774749</v>
      </c>
      <c r="DZ39" s="457">
        <f t="shared" si="8"/>
        <v>0</v>
      </c>
      <c r="EA39" s="438"/>
      <c r="EB39" s="439"/>
      <c r="EC39" s="457"/>
      <c r="ED39" s="439"/>
      <c r="EE39" s="457"/>
      <c r="EF39" s="439"/>
      <c r="EG39" s="457"/>
      <c r="EH39" s="439"/>
      <c r="EI39" s="457"/>
      <c r="EJ39" s="438"/>
      <c r="EK39" s="457"/>
      <c r="EL39" s="438"/>
      <c r="EM39" s="457"/>
      <c r="EN39" s="438"/>
      <c r="EO39" s="457"/>
      <c r="EP39" s="438"/>
      <c r="EQ39" s="457"/>
      <c r="ER39" s="438"/>
      <c r="ES39" s="457"/>
      <c r="ET39" s="438"/>
      <c r="EU39" s="457">
        <f>EU41-EU36</f>
        <v>-0.37955832603352757</v>
      </c>
      <c r="EV39" s="438"/>
      <c r="EW39" s="457">
        <f>EW41-EW36</f>
        <v>-0.47377344534263166</v>
      </c>
      <c r="EX39" s="457">
        <f t="shared" ref="EX39:FB39" si="9">EX41-EX36</f>
        <v>-13.122898035928415</v>
      </c>
      <c r="EY39" s="457">
        <f t="shared" si="9"/>
        <v>0.87902071962270156</v>
      </c>
      <c r="EZ39" s="457">
        <f t="shared" si="9"/>
        <v>31.809340547870278</v>
      </c>
      <c r="FA39" s="457">
        <f t="shared" si="9"/>
        <v>-0.50335317009703395</v>
      </c>
      <c r="FB39" s="457">
        <f t="shared" si="9"/>
        <v>-14.203987653720802</v>
      </c>
      <c r="FC39" s="457">
        <f>FC41-FC36</f>
        <v>0.1734456868146701</v>
      </c>
      <c r="FD39" s="457">
        <f t="shared" ref="FD39:FS39" si="10">FD41-FD36</f>
        <v>7.4496532505642108</v>
      </c>
      <c r="FE39" s="457">
        <f t="shared" si="10"/>
        <v>-0.59229480737018392</v>
      </c>
      <c r="FF39" s="457">
        <f t="shared" si="10"/>
        <v>-7.5973598786994074</v>
      </c>
      <c r="FG39" s="457">
        <f t="shared" si="10"/>
        <v>-0.73958166097107814</v>
      </c>
      <c r="FH39" s="457">
        <f t="shared" si="10"/>
        <v>-0.54672159057247427</v>
      </c>
      <c r="FI39" s="457">
        <f t="shared" si="10"/>
        <v>0</v>
      </c>
      <c r="FJ39" s="457">
        <f t="shared" si="10"/>
        <v>7.53046898455041</v>
      </c>
      <c r="FK39" s="457">
        <f t="shared" si="10"/>
        <v>0</v>
      </c>
      <c r="FL39" s="457">
        <f t="shared" si="10"/>
        <v>0</v>
      </c>
      <c r="FM39" s="457">
        <f t="shared" si="10"/>
        <v>0</v>
      </c>
      <c r="FN39" s="457">
        <f t="shared" si="10"/>
        <v>0</v>
      </c>
      <c r="FO39" s="457">
        <f t="shared" si="10"/>
        <v>0</v>
      </c>
      <c r="FP39" s="457">
        <f t="shared" si="10"/>
        <v>0</v>
      </c>
      <c r="FQ39" s="457">
        <f t="shared" si="10"/>
        <v>0</v>
      </c>
      <c r="FR39" s="457">
        <f t="shared" si="10"/>
        <v>0</v>
      </c>
      <c r="FS39" s="865">
        <f t="shared" si="10"/>
        <v>1.4282812363916708</v>
      </c>
    </row>
    <row r="40" spans="1:176" s="529" customFormat="1" ht="6" customHeight="1" x14ac:dyDescent="0.2">
      <c r="A40" s="829"/>
      <c r="B40" s="457"/>
      <c r="C40" s="439"/>
      <c r="D40" s="457"/>
      <c r="E40" s="439"/>
      <c r="F40" s="457"/>
      <c r="G40" s="439"/>
      <c r="H40" s="457"/>
      <c r="I40" s="439"/>
      <c r="J40" s="457"/>
      <c r="K40" s="439"/>
      <c r="L40" s="457"/>
      <c r="M40" s="439"/>
      <c r="N40" s="457"/>
      <c r="O40" s="439"/>
      <c r="P40" s="457"/>
      <c r="Q40" s="439"/>
      <c r="R40" s="457"/>
      <c r="S40" s="439"/>
      <c r="T40" s="457"/>
      <c r="U40" s="439"/>
      <c r="V40" s="457"/>
      <c r="W40" s="439"/>
      <c r="X40" s="457"/>
      <c r="Y40" s="439"/>
      <c r="Z40" s="457"/>
      <c r="AA40" s="439"/>
      <c r="AB40" s="457"/>
      <c r="AC40" s="439"/>
      <c r="AD40" s="457"/>
      <c r="AE40" s="439"/>
      <c r="AF40" s="457"/>
      <c r="AG40" s="439"/>
      <c r="AH40" s="457"/>
      <c r="AI40" s="438"/>
      <c r="AJ40" s="457"/>
      <c r="AK40" s="438"/>
      <c r="AL40" s="457"/>
      <c r="AM40" s="438"/>
      <c r="AN40" s="457"/>
      <c r="AO40" s="438"/>
      <c r="AP40" s="457"/>
      <c r="AQ40" s="438"/>
      <c r="AR40" s="457"/>
      <c r="AS40" s="438"/>
      <c r="AT40" s="457"/>
      <c r="AU40" s="438"/>
      <c r="AV40" s="457"/>
      <c r="AW40" s="438"/>
      <c r="AX40" s="457"/>
      <c r="AY40" s="438"/>
      <c r="AZ40" s="457"/>
      <c r="BA40" s="438"/>
      <c r="BB40" s="457"/>
      <c r="BC40" s="438"/>
      <c r="BD40" s="457"/>
      <c r="BE40" s="438"/>
      <c r="BF40" s="457"/>
      <c r="BG40" s="438"/>
      <c r="BH40" s="457"/>
      <c r="BI40" s="438"/>
      <c r="BJ40" s="457"/>
      <c r="BK40" s="438"/>
      <c r="BL40" s="457"/>
      <c r="BM40" s="438"/>
      <c r="BN40" s="457"/>
      <c r="BO40" s="438"/>
      <c r="BP40" s="457"/>
      <c r="BQ40" s="438"/>
      <c r="BR40" s="457"/>
      <c r="BS40" s="438"/>
      <c r="BT40" s="457"/>
      <c r="BU40" s="438"/>
      <c r="BV40" s="457"/>
      <c r="BW40" s="438"/>
      <c r="BX40" s="457"/>
      <c r="BY40" s="438"/>
      <c r="BZ40" s="457"/>
      <c r="CA40" s="438"/>
      <c r="CB40" s="457"/>
      <c r="CC40" s="438"/>
      <c r="CD40" s="457"/>
      <c r="CE40" s="438"/>
      <c r="CF40" s="457"/>
      <c r="CG40" s="438"/>
      <c r="CH40" s="457"/>
      <c r="CI40" s="438"/>
      <c r="CJ40" s="457"/>
      <c r="CK40" s="438"/>
      <c r="CL40" s="457"/>
      <c r="CM40" s="438"/>
      <c r="CN40" s="457"/>
      <c r="CO40" s="438"/>
      <c r="CP40" s="457"/>
      <c r="CQ40" s="438"/>
      <c r="CR40" s="457"/>
      <c r="CS40" s="438"/>
      <c r="CT40" s="457"/>
      <c r="CU40" s="438"/>
      <c r="CV40" s="457"/>
      <c r="CW40" s="438"/>
      <c r="CX40" s="457"/>
      <c r="CY40" s="438"/>
      <c r="CZ40" s="457"/>
      <c r="DA40" s="438"/>
      <c r="DB40" s="457"/>
      <c r="DC40" s="438"/>
      <c r="DD40" s="457"/>
      <c r="DE40" s="438"/>
      <c r="DF40" s="457"/>
      <c r="DG40" s="438"/>
      <c r="DH40" s="457"/>
      <c r="DI40" s="438"/>
      <c r="DJ40" s="457"/>
      <c r="DK40" s="438"/>
      <c r="DL40" s="457"/>
      <c r="DM40" s="438"/>
      <c r="DN40" s="457"/>
      <c r="DO40" s="438"/>
      <c r="DP40" s="457"/>
      <c r="DQ40" s="438"/>
      <c r="DR40" s="457"/>
      <c r="DS40" s="438"/>
      <c r="DT40" s="457"/>
      <c r="DU40" s="438"/>
      <c r="DV40" s="457"/>
      <c r="DW40" s="438"/>
      <c r="DX40" s="457"/>
      <c r="DY40" s="438"/>
      <c r="DZ40" s="457"/>
      <c r="EA40" s="438"/>
      <c r="EB40" s="439"/>
      <c r="EC40" s="457"/>
      <c r="ED40" s="439"/>
      <c r="EE40" s="457"/>
      <c r="EF40" s="439"/>
      <c r="EG40" s="457"/>
      <c r="EH40" s="439"/>
      <c r="EI40" s="457"/>
      <c r="EJ40" s="438"/>
      <c r="EK40" s="457"/>
      <c r="EL40" s="438"/>
      <c r="EM40" s="457"/>
      <c r="EN40" s="438"/>
      <c r="EO40" s="457"/>
      <c r="EP40" s="438"/>
      <c r="EQ40" s="457"/>
      <c r="ER40" s="438"/>
      <c r="ES40" s="457"/>
      <c r="ET40" s="438"/>
      <c r="EU40" s="457"/>
      <c r="EV40" s="438"/>
      <c r="EW40" s="457"/>
      <c r="EX40" s="457"/>
      <c r="EY40" s="457"/>
      <c r="EZ40" s="457"/>
      <c r="FA40" s="457"/>
      <c r="FB40" s="457"/>
      <c r="FC40" s="457"/>
      <c r="FD40" s="438"/>
      <c r="FE40" s="457"/>
      <c r="FF40" s="438"/>
      <c r="FG40" s="457"/>
      <c r="FH40" s="438"/>
      <c r="FI40" s="457"/>
      <c r="FJ40" s="438"/>
      <c r="FK40" s="457"/>
      <c r="FL40" s="438"/>
      <c r="FM40" s="457"/>
      <c r="FN40" s="438"/>
      <c r="FO40" s="457"/>
      <c r="FP40" s="438"/>
      <c r="FQ40" s="457"/>
      <c r="FR40" s="438"/>
      <c r="FS40" s="827"/>
    </row>
    <row r="41" spans="1:176" s="350" customFormat="1" ht="12.75" customHeight="1" x14ac:dyDescent="0.2">
      <c r="A41" s="839" t="str">
        <f>INPUT!B640</f>
        <v>Operating EPS Incl Restructuring</v>
      </c>
      <c r="B41" s="476">
        <f>INPUT!AA640</f>
        <v>0</v>
      </c>
      <c r="C41" s="477">
        <f>INPUT!AB640</f>
        <v>0</v>
      </c>
      <c r="D41" s="476">
        <f>INPUT!AC640</f>
        <v>0</v>
      </c>
      <c r="E41" s="477">
        <f>INPUT!AD640</f>
        <v>0</v>
      </c>
      <c r="F41" s="476">
        <f>INPUT!AE640</f>
        <v>0</v>
      </c>
      <c r="G41" s="477">
        <f>INPUT!AF640</f>
        <v>0</v>
      </c>
      <c r="H41" s="476">
        <f>INPUT!AG640</f>
        <v>0</v>
      </c>
      <c r="I41" s="477">
        <f>INPUT!AH640</f>
        <v>0</v>
      </c>
      <c r="J41" s="476">
        <f>INPUT!AI640</f>
        <v>0</v>
      </c>
      <c r="K41" s="477">
        <f>INPUT!AJ640</f>
        <v>0</v>
      </c>
      <c r="L41" s="476">
        <f>INPUT!AK640</f>
        <v>0</v>
      </c>
      <c r="M41" s="477">
        <f>INPUT!AL640</f>
        <v>0</v>
      </c>
      <c r="N41" s="476">
        <f>INPUT!AM640</f>
        <v>0</v>
      </c>
      <c r="O41" s="477">
        <f>INPUT!AN640</f>
        <v>0</v>
      </c>
      <c r="P41" s="476">
        <f>INPUT!AO640</f>
        <v>0</v>
      </c>
      <c r="Q41" s="477">
        <f>INPUT!AP640</f>
        <v>0</v>
      </c>
      <c r="R41" s="476">
        <f>INPUT!AQ640</f>
        <v>0</v>
      </c>
      <c r="S41" s="477">
        <f>INPUT!AR640</f>
        <v>0</v>
      </c>
      <c r="T41" s="476">
        <f>INPUT!AS640</f>
        <v>0</v>
      </c>
      <c r="U41" s="477">
        <f>INPUT!AT640</f>
        <v>0</v>
      </c>
      <c r="V41" s="476">
        <f>INPUT!AU640</f>
        <v>0</v>
      </c>
      <c r="W41" s="477">
        <f>INPUT!AV640</f>
        <v>0</v>
      </c>
      <c r="X41" s="476">
        <f>INPUT!AW640</f>
        <v>0</v>
      </c>
      <c r="Y41" s="477">
        <f>INPUT!AX640</f>
        <v>0</v>
      </c>
      <c r="Z41" s="476">
        <f>INPUT!AY640</f>
        <v>1.2318984328506248</v>
      </c>
      <c r="AA41" s="477">
        <f>INPUT!AZ640</f>
        <v>0</v>
      </c>
      <c r="AB41" s="476">
        <f>INPUT!BA640</f>
        <v>1.3357473345403339</v>
      </c>
      <c r="AC41" s="477">
        <f>INPUT!BB640</f>
        <v>0</v>
      </c>
      <c r="AD41" s="476">
        <f>INPUT!BC640</f>
        <v>1.6146788990825689</v>
      </c>
      <c r="AE41" s="477">
        <f>INPUT!BD640</f>
        <v>0</v>
      </c>
      <c r="AF41" s="476">
        <f>INPUT!BE640</f>
        <v>1.5202982601491299</v>
      </c>
      <c r="AG41" s="477">
        <f>INPUT!BF640</f>
        <v>0</v>
      </c>
      <c r="AH41" s="476">
        <f>INPUT!BG640</f>
        <v>1.6733752620545073</v>
      </c>
      <c r="AI41" s="478">
        <f>INPUT!BH640</f>
        <v>0</v>
      </c>
      <c r="AJ41" s="476">
        <f>INPUT!BI640</f>
        <v>1.7245762711864407</v>
      </c>
      <c r="AK41" s="478">
        <f>INPUT!BJ640</f>
        <v>0</v>
      </c>
      <c r="AL41" s="476">
        <f>INPUT!BK640</f>
        <v>1.9978494623655914</v>
      </c>
      <c r="AM41" s="478">
        <f>INPUT!BL640</f>
        <v>0</v>
      </c>
      <c r="AN41" s="476">
        <f>INPUT!BM640</f>
        <v>1.7233115468409586</v>
      </c>
      <c r="AO41" s="478">
        <f>INPUT!BN640</f>
        <v>0</v>
      </c>
      <c r="AP41" s="476">
        <f>INPUT!BO640</f>
        <v>1.5290178571428572</v>
      </c>
      <c r="AQ41" s="478">
        <f>INPUT!BP640</f>
        <v>0</v>
      </c>
      <c r="AR41" s="476">
        <f>INPUT!BQ640</f>
        <v>1.9315068493150684</v>
      </c>
      <c r="AS41" s="478">
        <f>INPUT!BR640</f>
        <v>0</v>
      </c>
      <c r="AT41" s="476">
        <f>INPUT!BS640</f>
        <v>0.99534883720930234</v>
      </c>
      <c r="AU41" s="478">
        <f>INPUT!BT640</f>
        <v>0</v>
      </c>
      <c r="AV41" s="476">
        <f>INPUT!BU640</f>
        <v>-2.0249882131070249</v>
      </c>
      <c r="AW41" s="478">
        <f>INPUT!BV640</f>
        <v>0</v>
      </c>
      <c r="AX41" s="476">
        <f>INPUT!BW640</f>
        <v>0.47258979206049151</v>
      </c>
      <c r="AY41" s="478">
        <f>INPUT!BX640</f>
        <v>0</v>
      </c>
      <c r="AZ41" s="476">
        <f>INPUT!BY640</f>
        <v>1.9825005756389591</v>
      </c>
      <c r="BA41" s="478">
        <f>INPUT!BZ640</f>
        <v>0</v>
      </c>
      <c r="BB41" s="476">
        <f>INPUT!CA640</f>
        <v>1.7649591046061126</v>
      </c>
      <c r="BC41" s="478">
        <f>INPUT!CB640</f>
        <v>0</v>
      </c>
      <c r="BD41" s="476">
        <f>INPUT!CC640</f>
        <v>1.1886030193493515</v>
      </c>
      <c r="BE41" s="478">
        <f>INPUT!CD640</f>
        <v>0</v>
      </c>
      <c r="BF41" s="476">
        <f>INPUT!CE640</f>
        <v>1.3573700954400849</v>
      </c>
      <c r="BG41" s="478">
        <f>INPUT!CF640</f>
        <v>0</v>
      </c>
      <c r="BH41" s="476">
        <f>INPUT!CG640</f>
        <v>0.82188886541305728</v>
      </c>
      <c r="BI41" s="478">
        <f>INPUT!CH640</f>
        <v>0</v>
      </c>
      <c r="BJ41" s="476">
        <f>INPUT!CI640</f>
        <v>1.9082840236686391</v>
      </c>
      <c r="BK41" s="478">
        <f>INPUT!CJ640</f>
        <v>0</v>
      </c>
      <c r="BL41" s="476">
        <f>INPUT!CK640</f>
        <v>1.6277145811789038</v>
      </c>
      <c r="BM41" s="478">
        <f>INPUT!CL640</f>
        <v>0</v>
      </c>
      <c r="BN41" s="476">
        <f>INPUT!CM640</f>
        <v>1.6197610852399271</v>
      </c>
      <c r="BO41" s="478">
        <f>INPUT!CN640</f>
        <v>0</v>
      </c>
      <c r="BP41" s="476">
        <f>INPUT!CO640</f>
        <v>1.5662894098625706</v>
      </c>
      <c r="BQ41" s="478">
        <f>INPUT!CP640</f>
        <v>0</v>
      </c>
      <c r="BR41" s="476">
        <f>INPUT!CQ640</f>
        <v>0.83793173921929287</v>
      </c>
      <c r="BS41" s="478">
        <f>INPUT!CR640</f>
        <v>0</v>
      </c>
      <c r="BT41" s="476">
        <f>INPUT!CS640</f>
        <v>1.7840670859538783</v>
      </c>
      <c r="BU41" s="478">
        <f>INPUT!CT640</f>
        <v>0</v>
      </c>
      <c r="BV41" s="476">
        <f>INPUT!CU640</f>
        <v>1.6544502617801047</v>
      </c>
      <c r="BW41" s="478">
        <f>INPUT!CV640</f>
        <v>0</v>
      </c>
      <c r="BX41" s="476">
        <f>INPUT!CW640</f>
        <v>1.3875395987328405</v>
      </c>
      <c r="BY41" s="478">
        <f>INPUT!CX640</f>
        <v>0</v>
      </c>
      <c r="BZ41" s="476">
        <f>INPUT!CY640</f>
        <v>1.6023738872403561</v>
      </c>
      <c r="CA41" s="478">
        <f>INPUT!CZ640</f>
        <v>0</v>
      </c>
      <c r="CB41" s="476">
        <f>INPUT!DA640</f>
        <v>1.7620770376675889</v>
      </c>
      <c r="CC41" s="478">
        <f>INPUT!DB640</f>
        <v>0</v>
      </c>
      <c r="CD41" s="476">
        <f>INPUT!DC640</f>
        <v>2.2662709349162604</v>
      </c>
      <c r="CE41" s="478">
        <f>INPUT!DD640</f>
        <v>0</v>
      </c>
      <c r="CF41" s="476">
        <f>INPUT!DE640</f>
        <v>2.3041084286319355</v>
      </c>
      <c r="CG41" s="478">
        <f>INPUT!DF640</f>
        <v>0</v>
      </c>
      <c r="CH41" s="476">
        <f>INPUT!DG640</f>
        <v>2.8940677966101696</v>
      </c>
      <c r="CI41" s="478">
        <f>INPUT!DH640</f>
        <v>0</v>
      </c>
      <c r="CJ41" s="476">
        <f>INPUT!DI640</f>
        <v>2.2028862478777591</v>
      </c>
      <c r="CK41" s="478">
        <f>INPUT!DJ640</f>
        <v>0</v>
      </c>
      <c r="CL41" s="476">
        <f>INPUT!DK640</f>
        <v>2.4031336015244547</v>
      </c>
      <c r="CM41" s="478">
        <f>INPUT!DL640</f>
        <v>0</v>
      </c>
      <c r="CN41" s="476">
        <f>INPUT!DM640</f>
        <v>2.4915038232795244</v>
      </c>
      <c r="CO41" s="478">
        <f>INPUT!DN640</f>
        <v>8.1330979184367038</v>
      </c>
      <c r="CP41" s="476">
        <f>INPUT!DO640</f>
        <v>2.1982942430703623</v>
      </c>
      <c r="CQ41" s="478">
        <f>INPUT!DP640</f>
        <v>-24.04137022480154</v>
      </c>
      <c r="CR41" s="476">
        <f>INPUT!DQ640</f>
        <v>2.118226600985222</v>
      </c>
      <c r="CS41" s="478">
        <f>INPUT!DR640</f>
        <v>-3.8431238550831921</v>
      </c>
      <c r="CT41" s="476">
        <f>INPUT!DS640</f>
        <v>2.7872020614129269</v>
      </c>
      <c r="CU41" s="478">
        <f>INPUT!DT640</f>
        <v>15.981985339676257</v>
      </c>
      <c r="CV41" s="476">
        <f>INPUT!DU640</f>
        <v>2.912621359223301</v>
      </c>
      <c r="CW41" s="478">
        <f>INPUT!DV640</f>
        <v>16.902142874878948</v>
      </c>
      <c r="CX41" s="476">
        <f>INPUT!DW640</f>
        <v>2.4015577672003463</v>
      </c>
      <c r="CY41" s="478">
        <f>INPUT!DX640</f>
        <v>9.2464202538276083</v>
      </c>
      <c r="CZ41" s="476">
        <f>INPUT!DY640</f>
        <v>1.9373776908023483</v>
      </c>
      <c r="DA41" s="478">
        <f>INPUT!DZ640</f>
        <v>-8.5377508760751937</v>
      </c>
      <c r="DB41" s="476">
        <f>INPUT!EA640</f>
        <v>2.1787587412587412</v>
      </c>
      <c r="DC41" s="478">
        <f>INPUT!EB640</f>
        <v>-21.829896317088156</v>
      </c>
      <c r="DD41" s="476">
        <f>INPUT!EC640</f>
        <v>1.8450923659025149</v>
      </c>
      <c r="DE41" s="478">
        <f>INPUT!ED640</f>
        <v>-36.651828770680318</v>
      </c>
      <c r="DF41" s="476">
        <f>INPUT!EE640</f>
        <v>2.6592392527571458</v>
      </c>
      <c r="DG41" s="478">
        <f>INPUT!EF640</f>
        <v>10.72976420039214</v>
      </c>
      <c r="DH41" s="476">
        <f>INPUT!EG640</f>
        <v>2.4579354251932695</v>
      </c>
      <c r="DI41" s="478">
        <f>INPUT!EH640</f>
        <v>26.869192148864713</v>
      </c>
      <c r="DJ41" s="476">
        <f>INPUT!EI640</f>
        <v>2.7943520838077887</v>
      </c>
      <c r="DK41" s="478">
        <f>INPUT!EJ640</f>
        <v>28.254314297938237</v>
      </c>
      <c r="DL41" s="476">
        <f>INPUT!EK640</f>
        <v>2.0903851431707987</v>
      </c>
      <c r="DM41" s="478">
        <f>INPUT!EL640</f>
        <v>13.294335926012053</v>
      </c>
      <c r="DN41" s="476">
        <f>INPUT!EM640</f>
        <v>3.0137931034482759</v>
      </c>
      <c r="DO41" s="478">
        <f>INPUT!EN640</f>
        <v>13.332905278211513</v>
      </c>
      <c r="DP41" s="476">
        <f>INPUT!EO640</f>
        <v>2.6854633695400971</v>
      </c>
      <c r="DQ41" s="478">
        <f>INPUT!EP640</f>
        <v>9.2568723333704668</v>
      </c>
      <c r="DR41" s="476">
        <f>INPUT!EQ640</f>
        <v>3.0956473436103349</v>
      </c>
      <c r="DS41" s="478">
        <f>INPUT!ER640</f>
        <v>10.782294097742295</v>
      </c>
      <c r="DT41" s="476">
        <f>INPUT!ES640</f>
        <v>3.1369010469049265</v>
      </c>
      <c r="DU41" s="478">
        <f>INPUT!ET640</f>
        <v>50.063305661784483</v>
      </c>
      <c r="DV41" s="476">
        <f>INPUT!EU640</f>
        <v>3.1253659827544977</v>
      </c>
      <c r="DW41" s="478">
        <f>INPUT!EV640</f>
        <v>3.70207494265496</v>
      </c>
      <c r="DX41" s="476">
        <f>INPUT!EW640</f>
        <v>2.838428618029682</v>
      </c>
      <c r="DY41" s="478">
        <f>INPUT!EX640</f>
        <v>5.6960467316216352</v>
      </c>
      <c r="DZ41" s="476"/>
      <c r="EA41" s="478"/>
      <c r="EB41" s="477">
        <f>INPUT!FI640</f>
        <v>0</v>
      </c>
      <c r="EC41" s="476">
        <f>INPUT!FJ640</f>
        <v>0</v>
      </c>
      <c r="ED41" s="477">
        <f>INPUT!FK640</f>
        <v>0</v>
      </c>
      <c r="EE41" s="476">
        <f>INPUT!FL640</f>
        <v>0</v>
      </c>
      <c r="EF41" s="477">
        <f>INPUT!FM640</f>
        <v>0</v>
      </c>
      <c r="EG41" s="476">
        <f>INPUT!FN640</f>
        <v>0</v>
      </c>
      <c r="EH41" s="477">
        <f>INPUT!FO640</f>
        <v>0</v>
      </c>
      <c r="EI41" s="476">
        <f>INPUT!FP640</f>
        <v>0</v>
      </c>
      <c r="EJ41" s="478">
        <f>INPUT!FQ640</f>
        <v>0</v>
      </c>
      <c r="EK41" s="476">
        <f>INPUT!FR640</f>
        <v>4.5988654781199347</v>
      </c>
      <c r="EL41" s="478" t="str">
        <f>INPUT!FS640</f>
        <v>NA</v>
      </c>
      <c r="EM41" s="476">
        <f>INPUT!FT640</f>
        <v>5.8293646556326753</v>
      </c>
      <c r="EN41" s="478">
        <f>INPUT!FU640</f>
        <v>26.75658123437394</v>
      </c>
      <c r="EO41" s="476">
        <f>INPUT!FV640</f>
        <v>-1.552121771217712</v>
      </c>
      <c r="EP41" s="478" t="str">
        <f>INPUT!FW640</f>
        <v>NM</v>
      </c>
      <c r="EQ41" s="476">
        <f>INPUT!FX640</f>
        <v>2.4414193260432939</v>
      </c>
      <c r="ER41" s="478" t="str">
        <f>INPUT!FY640</f>
        <v>NM</v>
      </c>
      <c r="ES41" s="476">
        <f>INPUT!FZ640</f>
        <v>4.2724165132789906</v>
      </c>
      <c r="ET41" s="478">
        <f>INPUT!GA640</f>
        <v>74.997243107889915</v>
      </c>
      <c r="EU41" s="476">
        <f>INPUT!GB640</f>
        <v>4.6219948849104862</v>
      </c>
      <c r="EV41" s="478">
        <f>INPUT!GC640</f>
        <v>0</v>
      </c>
      <c r="EW41" s="476">
        <f>INPUT!GD640</f>
        <v>5.1841284936862682</v>
      </c>
      <c r="EX41" s="476">
        <f>INPUT!GE640</f>
        <v>0</v>
      </c>
      <c r="EY41" s="476">
        <f>INPUT!GF640</f>
        <v>10.074717820995177</v>
      </c>
      <c r="EZ41" s="476">
        <f>INPUT!GG640</f>
        <v>94.337733589457514</v>
      </c>
      <c r="FA41" s="476">
        <f>INPUT!GH640</f>
        <v>9.2011582688595634</v>
      </c>
      <c r="FB41" s="476">
        <f>INPUT!GI640</f>
        <v>-8.6708091249480219</v>
      </c>
      <c r="FC41" s="476">
        <f>INPUT!GJ640</f>
        <v>10.044833360341382</v>
      </c>
      <c r="FD41" s="478">
        <f>INPUT!GK640</f>
        <v>9.1692270345697295</v>
      </c>
      <c r="FE41" s="476">
        <f>INPUT!GL640</f>
        <v>9.1312116136236732</v>
      </c>
      <c r="FF41" s="478">
        <f>INPUT!GM640</f>
        <v>-9.0954395552726055</v>
      </c>
      <c r="FG41" s="476">
        <f>INPUT!GN640</f>
        <v>10.582326093438224</v>
      </c>
      <c r="FH41" s="478">
        <f>INPUT!GO640</f>
        <v>15.891806489836497</v>
      </c>
      <c r="FI41" s="476">
        <f>INPUT!GP640</f>
        <v>12.199348634086146</v>
      </c>
      <c r="FJ41" s="478">
        <f>INPUT!GQ640</f>
        <v>15.280407411094515</v>
      </c>
      <c r="FK41" s="476">
        <f>INPUT!GR640</f>
        <v>12.751069324888016</v>
      </c>
      <c r="FL41" s="478">
        <f>INPUT!GS640</f>
        <v>4.5225422057396685</v>
      </c>
      <c r="FM41" s="476">
        <f>INPUT!GT640</f>
        <v>13.303162843222088</v>
      </c>
      <c r="FN41" s="478">
        <f>INPUT!GU640</f>
        <v>4.3297821089912389</v>
      </c>
      <c r="FO41" s="476">
        <f>INPUT!GV640</f>
        <v>13.853522114260759</v>
      </c>
      <c r="FP41" s="478">
        <f>INPUT!GW640</f>
        <v>4.1370558078906612</v>
      </c>
      <c r="FQ41" s="476">
        <f>INPUT!GX640</f>
        <v>14.450625194663479</v>
      </c>
      <c r="FR41" s="478">
        <f>INPUT!GY640</f>
        <v>4.3101174955938717</v>
      </c>
      <c r="FS41" s="840">
        <f>INPUT!GZ640</f>
        <v>6.429273926309631</v>
      </c>
    </row>
    <row r="42" spans="1:176" s="351" customFormat="1" ht="12.75" hidden="1" customHeight="1" outlineLevel="1" x14ac:dyDescent="0.2">
      <c r="A42" s="837" t="s">
        <v>683</v>
      </c>
      <c r="B42" s="472"/>
      <c r="C42" s="473"/>
      <c r="D42" s="472"/>
      <c r="E42" s="473"/>
      <c r="F42" s="472"/>
      <c r="G42" s="473"/>
      <c r="H42" s="472"/>
      <c r="I42" s="473"/>
      <c r="J42" s="472"/>
      <c r="K42" s="473"/>
      <c r="L42" s="472"/>
      <c r="M42" s="473"/>
      <c r="N42" s="472"/>
      <c r="O42" s="473"/>
      <c r="P42" s="472"/>
      <c r="Q42" s="473"/>
      <c r="R42" s="472"/>
      <c r="S42" s="473"/>
      <c r="T42" s="472"/>
      <c r="U42" s="473"/>
      <c r="V42" s="472"/>
      <c r="W42" s="473"/>
      <c r="X42" s="472"/>
      <c r="Y42" s="473"/>
      <c r="Z42" s="472"/>
      <c r="AA42" s="473"/>
      <c r="AB42" s="472"/>
      <c r="AC42" s="473"/>
      <c r="AD42" s="472"/>
      <c r="AE42" s="473"/>
      <c r="AF42" s="472"/>
      <c r="AG42" s="473"/>
      <c r="AH42" s="472"/>
      <c r="AI42" s="474"/>
      <c r="AJ42" s="472"/>
      <c r="AK42" s="474"/>
      <c r="AL42" s="472"/>
      <c r="AM42" s="474"/>
      <c r="AN42" s="472"/>
      <c r="AO42" s="474"/>
      <c r="AP42" s="472"/>
      <c r="AQ42" s="474"/>
      <c r="AR42" s="472"/>
      <c r="AS42" s="474"/>
      <c r="AT42" s="472"/>
      <c r="AU42" s="474"/>
      <c r="AV42" s="472"/>
      <c r="AW42" s="474"/>
      <c r="AX42" s="472"/>
      <c r="AY42" s="474"/>
      <c r="AZ42" s="472"/>
      <c r="BA42" s="474"/>
      <c r="BB42" s="472"/>
      <c r="BC42" s="474"/>
      <c r="BD42" s="472"/>
      <c r="BE42" s="474"/>
      <c r="BF42" s="472"/>
      <c r="BG42" s="474"/>
      <c r="BH42" s="472"/>
      <c r="BI42" s="474"/>
      <c r="BJ42" s="472"/>
      <c r="BK42" s="474"/>
      <c r="BL42" s="472"/>
      <c r="BM42" s="474"/>
      <c r="BN42" s="475">
        <f>(BN32/BN71)-BN41</f>
        <v>0</v>
      </c>
      <c r="BO42" s="474"/>
      <c r="BP42" s="475">
        <f>(BP32/BP71)-BP41</f>
        <v>0</v>
      </c>
      <c r="BQ42" s="474"/>
      <c r="BR42" s="475">
        <f>(BR32/BR71)-BR41</f>
        <v>0</v>
      </c>
      <c r="BS42" s="474"/>
      <c r="BT42" s="475">
        <f>(BT32/BT71)-BT41</f>
        <v>0</v>
      </c>
      <c r="BU42" s="474"/>
      <c r="BV42" s="475">
        <f>(BV32/BV71)-BV41</f>
        <v>0</v>
      </c>
      <c r="BW42" s="474"/>
      <c r="BX42" s="475">
        <f>(BX32/BX71)-BX41</f>
        <v>0</v>
      </c>
      <c r="BY42" s="474"/>
      <c r="BZ42" s="475">
        <f>(BZ32/BZ71)-BZ41</f>
        <v>0</v>
      </c>
      <c r="CA42" s="474"/>
      <c r="CB42" s="475">
        <f>(CB32/CB71)-CB41</f>
        <v>0</v>
      </c>
      <c r="CC42" s="474"/>
      <c r="CD42" s="475">
        <f>(CD32/CD71)-CD41</f>
        <v>0</v>
      </c>
      <c r="CE42" s="474"/>
      <c r="CF42" s="475">
        <f>(CF32/CF71)-CF41</f>
        <v>0</v>
      </c>
      <c r="CG42" s="474"/>
      <c r="CH42" s="475">
        <f>(CH32/CH71)-CH41</f>
        <v>0</v>
      </c>
      <c r="CI42" s="474"/>
      <c r="CJ42" s="475">
        <f>(CJ32/CJ71)-CJ41</f>
        <v>0</v>
      </c>
      <c r="CK42" s="474"/>
      <c r="CL42" s="475">
        <f>(CL32/CL71)-CL41</f>
        <v>0</v>
      </c>
      <c r="CM42" s="474"/>
      <c r="CN42" s="475">
        <f>(CN32/CN71)-CN41</f>
        <v>0</v>
      </c>
      <c r="CO42" s="474"/>
      <c r="CP42" s="475">
        <f>(CP32/CP71)-CP41</f>
        <v>0</v>
      </c>
      <c r="CQ42" s="474"/>
      <c r="CR42" s="475">
        <f>(CR32/CR71)-CR41</f>
        <v>0</v>
      </c>
      <c r="CS42" s="474"/>
      <c r="CT42" s="475">
        <f>(CT32/CT71)-CT41</f>
        <v>0</v>
      </c>
      <c r="CU42" s="474"/>
      <c r="CV42" s="475">
        <f>(CV32/CV71)-CV41</f>
        <v>0</v>
      </c>
      <c r="CW42" s="474"/>
      <c r="CX42" s="475">
        <f>(CX32/CX71)-CX41</f>
        <v>0</v>
      </c>
      <c r="CY42" s="474"/>
      <c r="CZ42" s="475">
        <f>(CZ32/CZ71)-CZ41</f>
        <v>0</v>
      </c>
      <c r="DA42" s="474"/>
      <c r="DB42" s="475">
        <f>(DB32/DB71)-DB41</f>
        <v>0</v>
      </c>
      <c r="DC42" s="474"/>
      <c r="DD42" s="475">
        <f>(DD32/DD71)-DD41</f>
        <v>0</v>
      </c>
      <c r="DE42" s="474"/>
      <c r="DF42" s="475">
        <f>(DF32/DF71)-DF41</f>
        <v>0</v>
      </c>
      <c r="DG42" s="474"/>
      <c r="DH42" s="475">
        <f>(DH32/DH71)-DH41</f>
        <v>0</v>
      </c>
      <c r="DI42" s="474"/>
      <c r="DJ42" s="475">
        <f>(DJ32/DJ71)-DJ41</f>
        <v>0</v>
      </c>
      <c r="DK42" s="474"/>
      <c r="DL42" s="475">
        <f>(DL32/DL71)-DL41</f>
        <v>0</v>
      </c>
      <c r="DM42" s="474"/>
      <c r="DN42" s="475">
        <f>(DN32/DN71)-DN41</f>
        <v>0</v>
      </c>
      <c r="DO42" s="474"/>
      <c r="DP42" s="475">
        <f>(DP32/DP71)-DP41</f>
        <v>0</v>
      </c>
      <c r="DQ42" s="474"/>
      <c r="DR42" s="475">
        <f>(DR32/DR71)-DR41</f>
        <v>0</v>
      </c>
      <c r="DS42" s="474"/>
      <c r="DT42" s="475">
        <f>(DT32/DT71)-DT41</f>
        <v>0</v>
      </c>
      <c r="DU42" s="474"/>
      <c r="DV42" s="475">
        <f>(DV32/DV71)-DV41</f>
        <v>0</v>
      </c>
      <c r="DW42" s="474"/>
      <c r="DX42" s="475">
        <f>(DX32/DX71)-DX41</f>
        <v>0</v>
      </c>
      <c r="DY42" s="474"/>
      <c r="DZ42" s="475"/>
      <c r="EA42" s="474"/>
      <c r="EB42" s="473"/>
      <c r="EC42" s="472"/>
      <c r="ED42" s="473"/>
      <c r="EE42" s="472"/>
      <c r="EF42" s="473"/>
      <c r="EG42" s="472"/>
      <c r="EH42" s="473"/>
      <c r="EI42" s="472"/>
      <c r="EJ42" s="474"/>
      <c r="EK42" s="472"/>
      <c r="EL42" s="474"/>
      <c r="EM42" s="472"/>
      <c r="EN42" s="474"/>
      <c r="EO42" s="472"/>
      <c r="EP42" s="474"/>
      <c r="EQ42" s="472"/>
      <c r="ER42" s="474"/>
      <c r="ES42" s="475">
        <f>(ES32/ES71)-ES41</f>
        <v>0</v>
      </c>
      <c r="ET42" s="474"/>
      <c r="EU42" s="475">
        <f>(EU32/EU71)-EU41</f>
        <v>0</v>
      </c>
      <c r="EV42" s="474"/>
      <c r="EW42" s="475">
        <f>(EW32/EW71)-EW41</f>
        <v>0</v>
      </c>
      <c r="EX42" s="474"/>
      <c r="EY42" s="475">
        <f>(EY32/EY71)-EY41</f>
        <v>0</v>
      </c>
      <c r="EZ42" s="474"/>
      <c r="FA42" s="475">
        <f>(FA32/FA71)-FA41</f>
        <v>-0.12482728746123151</v>
      </c>
      <c r="FB42" s="474"/>
      <c r="FC42" s="475">
        <f>(FC32/FC71)-FC41</f>
        <v>0</v>
      </c>
      <c r="FD42" s="474"/>
      <c r="FE42" s="475">
        <f>(FE32/FE71)-FE41</f>
        <v>0</v>
      </c>
      <c r="FF42" s="474"/>
      <c r="FG42" s="475">
        <f>(FG32/FG71)-FG41</f>
        <v>0</v>
      </c>
      <c r="FH42" s="474"/>
      <c r="FI42" s="475">
        <f>(FI32/FI71)-FI41</f>
        <v>0</v>
      </c>
      <c r="FJ42" s="474"/>
      <c r="FK42" s="475">
        <f>(FK32/FK71)-FK41</f>
        <v>0</v>
      </c>
      <c r="FL42" s="474"/>
      <c r="FM42" s="475">
        <f>(FM32/FM71)-FM41</f>
        <v>0</v>
      </c>
      <c r="FN42" s="474"/>
      <c r="FO42" s="475">
        <f>(FO32/FO71)-FO41</f>
        <v>0</v>
      </c>
      <c r="FP42" s="474"/>
      <c r="FQ42" s="475">
        <f>(FQ32/FQ71)-FQ41</f>
        <v>0</v>
      </c>
      <c r="FR42" s="474"/>
      <c r="FS42" s="838"/>
    </row>
    <row r="43" spans="1:176" s="529" customFormat="1" ht="12.75" customHeight="1" collapsed="1" x14ac:dyDescent="0.2">
      <c r="A43" s="829" t="str">
        <f>INPUT!B641</f>
        <v>Operating EPS Excl Restructuring</v>
      </c>
      <c r="B43" s="479"/>
      <c r="C43" s="439"/>
      <c r="D43" s="479"/>
      <c r="E43" s="439"/>
      <c r="F43" s="479"/>
      <c r="G43" s="439"/>
      <c r="H43" s="479"/>
      <c r="I43" s="439"/>
      <c r="J43" s="479"/>
      <c r="K43" s="439"/>
      <c r="L43" s="479"/>
      <c r="M43" s="439"/>
      <c r="N43" s="479"/>
      <c r="O43" s="439"/>
      <c r="P43" s="479"/>
      <c r="Q43" s="439"/>
      <c r="R43" s="479"/>
      <c r="S43" s="439"/>
      <c r="T43" s="479"/>
      <c r="U43" s="439"/>
      <c r="V43" s="479"/>
      <c r="W43" s="439"/>
      <c r="X43" s="479"/>
      <c r="Y43" s="439"/>
      <c r="Z43" s="479"/>
      <c r="AA43" s="439"/>
      <c r="AB43" s="479"/>
      <c r="AC43" s="439"/>
      <c r="AD43" s="479"/>
      <c r="AE43" s="439"/>
      <c r="AF43" s="479"/>
      <c r="AG43" s="439"/>
      <c r="AH43" s="479"/>
      <c r="AI43" s="438"/>
      <c r="AJ43" s="479"/>
      <c r="AK43" s="438"/>
      <c r="AL43" s="479"/>
      <c r="AM43" s="438"/>
      <c r="AN43" s="479"/>
      <c r="AO43" s="438"/>
      <c r="AP43" s="479"/>
      <c r="AQ43" s="438"/>
      <c r="AR43" s="479"/>
      <c r="AS43" s="438"/>
      <c r="AT43" s="479"/>
      <c r="AU43" s="438"/>
      <c r="AV43" s="479"/>
      <c r="AW43" s="438"/>
      <c r="AX43" s="479"/>
      <c r="AY43" s="438"/>
      <c r="AZ43" s="479"/>
      <c r="BA43" s="438"/>
      <c r="BB43" s="479"/>
      <c r="BC43" s="438"/>
      <c r="BD43" s="479"/>
      <c r="BE43" s="438"/>
      <c r="BF43" s="479"/>
      <c r="BG43" s="438"/>
      <c r="BH43" s="479"/>
      <c r="BI43" s="438"/>
      <c r="BJ43" s="479"/>
      <c r="BK43" s="438"/>
      <c r="BL43" s="479"/>
      <c r="BM43" s="438"/>
      <c r="BN43" s="479"/>
      <c r="BO43" s="438"/>
      <c r="BP43" s="479"/>
      <c r="BQ43" s="438"/>
      <c r="BR43" s="479"/>
      <c r="BS43" s="438"/>
      <c r="BT43" s="479"/>
      <c r="BU43" s="438"/>
      <c r="BV43" s="480">
        <f>INPUT!CU641</f>
        <v>1.7320418848167538</v>
      </c>
      <c r="BW43" s="481">
        <f>INPUT!CV641</f>
        <v>6.2413669785139803</v>
      </c>
      <c r="BX43" s="480">
        <f>INPUT!CW641</f>
        <v>1.4397043294614573</v>
      </c>
      <c r="BY43" s="481">
        <f>INPUT!CX641</f>
        <v>-10.264445144859977</v>
      </c>
      <c r="BZ43" s="480">
        <f>INPUT!CY641</f>
        <v>1.649215769393811</v>
      </c>
      <c r="CA43" s="481">
        <f>INPUT!CZ641</f>
        <v>84.258768344420986</v>
      </c>
      <c r="CB43" s="480">
        <f>INPUT!DA641</f>
        <v>1.7759097680357523</v>
      </c>
      <c r="CC43" s="481">
        <f>INPUT!DB641</f>
        <v>-7.1254293001804854</v>
      </c>
      <c r="CD43" s="480">
        <f>INPUT!DC641</f>
        <v>2.2704049183803265</v>
      </c>
      <c r="CE43" s="481">
        <f>INPUT!DD641</f>
        <v>31.082564358455471</v>
      </c>
      <c r="CF43" s="480">
        <f>INPUT!DE641</f>
        <v>2.312367640830157</v>
      </c>
      <c r="CG43" s="481">
        <f>INPUT!DF641</f>
        <v>60.614064534704312</v>
      </c>
      <c r="CH43" s="480">
        <f>INPUT!DG641</f>
        <v>2.905084745762712</v>
      </c>
      <c r="CI43" s="481">
        <f>INPUT!DH641</f>
        <v>76.149464471256579</v>
      </c>
      <c r="CJ43" s="480">
        <f>INPUT!DI641</f>
        <v>2.2180602716468591</v>
      </c>
      <c r="CK43" s="481">
        <f>INPUT!DJ641</f>
        <v>24.897126620354598</v>
      </c>
      <c r="CL43" s="480">
        <f>INPUT!DK641</f>
        <v>2.4031336015244547</v>
      </c>
      <c r="CM43" s="481">
        <f>INPUT!DL641</f>
        <v>5.8460357476152183</v>
      </c>
      <c r="CN43" s="480">
        <f>INPUT!DM641</f>
        <v>2.4915038232795244</v>
      </c>
      <c r="CO43" s="481">
        <f>INPUT!DN641</f>
        <v>7.7468729144235908</v>
      </c>
      <c r="CP43" s="480">
        <f>INPUT!DO641</f>
        <v>2.1982942430703623</v>
      </c>
      <c r="CQ43" s="481">
        <f>INPUT!DP641</f>
        <v>-24.329428039001527</v>
      </c>
      <c r="CR43" s="480">
        <f>INPUT!DQ641</f>
        <v>2.118226600985222</v>
      </c>
      <c r="CS43" s="481">
        <f>INPUT!DR641</f>
        <v>-4.5009448993697987</v>
      </c>
      <c r="CT43" s="480">
        <f>INPUT!DS641</f>
        <v>2.7872020614129269</v>
      </c>
      <c r="CU43" s="481">
        <f>INPUT!DT641</f>
        <v>15.981985339676257</v>
      </c>
      <c r="CV43" s="480">
        <f>INPUT!DU641</f>
        <v>2.912621359223301</v>
      </c>
      <c r="CW43" s="732">
        <f>INPUT!DV641</f>
        <v>16.902142874878948</v>
      </c>
      <c r="CX43" s="480">
        <f>INPUT!DW641</f>
        <v>2.4015577672003463</v>
      </c>
      <c r="CY43" s="732">
        <f>INPUT!DX641</f>
        <v>9.2464202538276083</v>
      </c>
      <c r="CZ43" s="480">
        <f>INPUT!DY641</f>
        <v>1.9373776908023483</v>
      </c>
      <c r="DA43" s="481">
        <f>INPUT!DZ641</f>
        <v>-8.5377508760751937</v>
      </c>
      <c r="DB43" s="480">
        <f>INPUT!EA641</f>
        <v>2.1787587412587412</v>
      </c>
      <c r="DC43" s="481">
        <f>INPUT!EB641</f>
        <v>-21.829896317088156</v>
      </c>
      <c r="DD43" s="480">
        <f>INPUT!EC641</f>
        <v>1.8450923659025149</v>
      </c>
      <c r="DE43" s="481">
        <f>INPUT!ED641</f>
        <v>-36.651828770680318</v>
      </c>
      <c r="DF43" s="480">
        <f>INPUT!EE641</f>
        <v>2.6592392527571458</v>
      </c>
      <c r="DG43" s="481">
        <f>INPUT!EF641</f>
        <v>10.72976420039214</v>
      </c>
      <c r="DH43" s="480">
        <f>INPUT!EG641</f>
        <v>2.4579354251932695</v>
      </c>
      <c r="DI43" s="481">
        <f>INPUT!EH641</f>
        <v>26.869192148864713</v>
      </c>
      <c r="DJ43" s="480">
        <f>INPUT!EI641</f>
        <v>2.7943520838077887</v>
      </c>
      <c r="DK43" s="481">
        <f>INPUT!EJ641</f>
        <v>28.254314297938237</v>
      </c>
      <c r="DL43" s="480">
        <f>INPUT!EK641</f>
        <v>2.0903851431707987</v>
      </c>
      <c r="DM43" s="481">
        <f>INPUT!EL641</f>
        <v>13.294335926012053</v>
      </c>
      <c r="DN43" s="480">
        <f>INPUT!EM641</f>
        <v>3.0137931034482759</v>
      </c>
      <c r="DO43" s="481">
        <f>INPUT!EN641</f>
        <v>13.332905278211513</v>
      </c>
      <c r="DP43" s="480">
        <f>INPUT!EO641</f>
        <v>2.6854633695400971</v>
      </c>
      <c r="DQ43" s="481">
        <f>INPUT!EP641</f>
        <v>9.2568723333704668</v>
      </c>
      <c r="DR43" s="480">
        <f>INPUT!EQ641</f>
        <v>3.0956473436103349</v>
      </c>
      <c r="DS43" s="481">
        <f>INPUT!ER641</f>
        <v>10.782294097742295</v>
      </c>
      <c r="DT43" s="480">
        <f>INPUT!ES641</f>
        <v>3.1369010469049265</v>
      </c>
      <c r="DU43" s="481">
        <f>INPUT!ET641</f>
        <v>50.063305661784483</v>
      </c>
      <c r="DV43" s="480">
        <f>INPUT!EU641</f>
        <v>3.1253659827544977</v>
      </c>
      <c r="DW43" s="481">
        <f>INPUT!EV641</f>
        <v>3.70207494265496</v>
      </c>
      <c r="DX43" s="480">
        <f>INPUT!EW641</f>
        <v>2.838428618029682</v>
      </c>
      <c r="DY43" s="481">
        <f>INPUT!EX641</f>
        <v>5.6960467316216352</v>
      </c>
      <c r="DZ43" s="480"/>
      <c r="EA43" s="481"/>
      <c r="EB43" s="481" t="str">
        <f>INPUT!FI641</f>
        <v>NM</v>
      </c>
      <c r="EC43" s="482">
        <f>INPUT!FJ641</f>
        <v>3.1599999999999997</v>
      </c>
      <c r="ED43" s="481">
        <f>INPUT!FK641</f>
        <v>25.396825396825378</v>
      </c>
      <c r="EE43" s="482">
        <f>INPUT!FL641</f>
        <v>3.9200000000000004</v>
      </c>
      <c r="EF43" s="481">
        <f>INPUT!FM641</f>
        <v>24.050632911392427</v>
      </c>
      <c r="EG43" s="482">
        <f>INPUT!FN641</f>
        <v>5.363026739996207</v>
      </c>
      <c r="EH43" s="481">
        <f>INPUT!FO641</f>
        <v>36.811906632556287</v>
      </c>
      <c r="EI43" s="480">
        <f>INPUT!FP641</f>
        <v>3.94</v>
      </c>
      <c r="EJ43" s="481">
        <f>INPUT!FQ641</f>
        <v>-26.534022837954623</v>
      </c>
      <c r="EK43" s="480">
        <f>INPUT!FR641</f>
        <v>4.5797204213938416</v>
      </c>
      <c r="EL43" s="481">
        <f>INPUT!FS641</f>
        <v>16.236558918625434</v>
      </c>
      <c r="EM43" s="480">
        <f>INPUT!FT641</f>
        <v>5.8084356647090232</v>
      </c>
      <c r="EN43" s="481">
        <f>INPUT!FU641</f>
        <v>26.829481502305796</v>
      </c>
      <c r="EO43" s="480">
        <f>INPUT!FV641</f>
        <v>-1.5723016605166051</v>
      </c>
      <c r="EP43" s="481" t="str">
        <f>INPUT!FW641</f>
        <v>NM</v>
      </c>
      <c r="EQ43" s="480">
        <f>INPUT!FX641</f>
        <v>2.4265788886409285</v>
      </c>
      <c r="ER43" s="481" t="str">
        <f>INPUT!FY641</f>
        <v>NM</v>
      </c>
      <c r="ES43" s="480">
        <f>INPUT!FZ641</f>
        <v>4.264317643965291</v>
      </c>
      <c r="ET43" s="481">
        <f>INPUT!GA641</f>
        <v>75.733732124968668</v>
      </c>
      <c r="EU43" s="480">
        <f>INPUT!GB641</f>
        <v>4.9780051150895144</v>
      </c>
      <c r="EV43" s="481">
        <f>INPUT!GC641</f>
        <v>16.73626429152641</v>
      </c>
      <c r="EW43" s="480">
        <f>INPUT!GD641</f>
        <v>5.477888730385164</v>
      </c>
      <c r="EX43" s="481">
        <f>INPUT!GE641</f>
        <v>10.041846156011047</v>
      </c>
      <c r="EY43" s="480">
        <f>INPUT!GF641</f>
        <v>10.134068146892055</v>
      </c>
      <c r="EZ43" s="438">
        <f>INPUT!GG641</f>
        <v>84.999525285711741</v>
      </c>
      <c r="FA43" s="480">
        <f>INPUT!GH641</f>
        <v>9.0763309813983319</v>
      </c>
      <c r="FB43" s="438">
        <f>INPUT!GI641</f>
        <v>-10.437438846492398</v>
      </c>
      <c r="FC43" s="480">
        <f>INPUT!GJ641</f>
        <v>10.044833360341382</v>
      </c>
      <c r="FD43" s="438">
        <f>INPUT!GK641</f>
        <v>10.670637517824844</v>
      </c>
      <c r="FE43" s="480">
        <f>INPUT!GL641</f>
        <v>9.1312116136236732</v>
      </c>
      <c r="FF43" s="732">
        <f>INPUT!GM641</f>
        <v>-9.0954395552726055</v>
      </c>
      <c r="FG43" s="480">
        <f>INPUT!GN641</f>
        <v>10.582326093438224</v>
      </c>
      <c r="FH43" s="732">
        <f>INPUT!GO641</f>
        <v>15.891806489836497</v>
      </c>
      <c r="FI43" s="480">
        <f>INPUT!GP641</f>
        <v>12.199348634086146</v>
      </c>
      <c r="FJ43" s="732">
        <f>INPUT!GQ641</f>
        <v>15.280407411094515</v>
      </c>
      <c r="FK43" s="480">
        <f>INPUT!GR641</f>
        <v>12.751069324888016</v>
      </c>
      <c r="FL43" s="481">
        <f>INPUT!GS641</f>
        <v>4.5225422057396685</v>
      </c>
      <c r="FM43" s="480">
        <f>INPUT!GT641</f>
        <v>13.303162843222088</v>
      </c>
      <c r="FN43" s="481">
        <f>INPUT!GU641</f>
        <v>4.3297821089912389</v>
      </c>
      <c r="FO43" s="480">
        <f>INPUT!GV641</f>
        <v>13.853522114260759</v>
      </c>
      <c r="FP43" s="481">
        <f>INPUT!GW641</f>
        <v>4.1370558078906612</v>
      </c>
      <c r="FQ43" s="480">
        <f>INPUT!GX641</f>
        <v>14.450625194663479</v>
      </c>
      <c r="FR43" s="481">
        <f>INPUT!GY641</f>
        <v>4.3101174955938717</v>
      </c>
      <c r="FS43" s="827">
        <f>INPUT!GZ641</f>
        <v>6.429273926309631</v>
      </c>
    </row>
    <row r="44" spans="1:176" s="529" customFormat="1" ht="12.75" hidden="1" customHeight="1" outlineLevel="1" x14ac:dyDescent="0.2">
      <c r="A44" s="829" t="str">
        <f>INPUT!B582</f>
        <v>Net Income</v>
      </c>
      <c r="B44" s="452">
        <f>INPUT!AA582</f>
        <v>361</v>
      </c>
      <c r="C44" s="439">
        <f>INPUT!AB582</f>
        <v>-18.325791855203619</v>
      </c>
      <c r="D44" s="452">
        <f>INPUT!AC582</f>
        <v>320</v>
      </c>
      <c r="E44" s="439">
        <f>INPUT!AD582</f>
        <v>15.94202898550725</v>
      </c>
      <c r="F44" s="452">
        <f>INPUT!AE582</f>
        <v>388</v>
      </c>
      <c r="G44" s="439">
        <f>INPUT!AF582</f>
        <v>-26.930320150659142</v>
      </c>
      <c r="H44" s="452">
        <f>INPUT!AG582</f>
        <v>712</v>
      </c>
      <c r="I44" s="439" t="str">
        <f>INPUT!AH582</f>
        <v>NM</v>
      </c>
      <c r="J44" s="452">
        <f>INPUT!AI582</f>
        <v>475</v>
      </c>
      <c r="K44" s="439">
        <f>INPUT!AJ582</f>
        <v>31.578947368421069</v>
      </c>
      <c r="L44" s="452">
        <f>INPUT!AK582</f>
        <v>741</v>
      </c>
      <c r="M44" s="439" t="str">
        <f>INPUT!AL582</f>
        <v>NM</v>
      </c>
      <c r="N44" s="452">
        <f>INPUT!AM582</f>
        <v>793</v>
      </c>
      <c r="O44" s="439" t="str">
        <f>INPUT!AN582</f>
        <v>NM</v>
      </c>
      <c r="P44" s="452">
        <f>INPUT!AO582</f>
        <v>591</v>
      </c>
      <c r="Q44" s="439">
        <f>INPUT!AP582</f>
        <v>-16.99438202247191</v>
      </c>
      <c r="R44" s="452">
        <f>INPUT!AQ582</f>
        <v>1036</v>
      </c>
      <c r="S44" s="439" t="str">
        <f>INPUT!AR582</f>
        <v>NM</v>
      </c>
      <c r="T44" s="452">
        <f>INPUT!AS582</f>
        <v>995</v>
      </c>
      <c r="U44" s="439">
        <f>INPUT!AT582</f>
        <v>34.278002699055321</v>
      </c>
      <c r="V44" s="452">
        <f>INPUT!AU582</f>
        <v>1582</v>
      </c>
      <c r="W44" s="439">
        <f>INPUT!AV582</f>
        <v>99.495586380832293</v>
      </c>
      <c r="X44" s="452">
        <f>INPUT!AW582</f>
        <v>571</v>
      </c>
      <c r="Y44" s="439">
        <f>INPUT!AX582</f>
        <v>-3.3840947546531339</v>
      </c>
      <c r="Z44" s="452">
        <f>INPUT!AY582</f>
        <v>604</v>
      </c>
      <c r="AA44" s="439">
        <f>INPUT!AZ582</f>
        <v>-41.698841698841704</v>
      </c>
      <c r="AB44" s="452">
        <f>INPUT!BA582</f>
        <v>388</v>
      </c>
      <c r="AC44" s="439" t="str">
        <f>INPUT!BB582</f>
        <v>NM</v>
      </c>
      <c r="AD44" s="452">
        <f>INPUT!BC582</f>
        <v>1098</v>
      </c>
      <c r="AE44" s="439">
        <f>INPUT!BD582</f>
        <v>-30.594184576485461</v>
      </c>
      <c r="AF44" s="452">
        <f>INPUT!BE582</f>
        <v>819</v>
      </c>
      <c r="AG44" s="439">
        <f>INPUT!BF582</f>
        <v>43.432574430823109</v>
      </c>
      <c r="AH44" s="451">
        <f>INPUT!BG582</f>
        <v>833.59999999999991</v>
      </c>
      <c r="AI44" s="438">
        <f>INPUT!BH582</f>
        <v>38.013245033112554</v>
      </c>
      <c r="AJ44" s="451">
        <f>INPUT!BI582</f>
        <v>769</v>
      </c>
      <c r="AK44" s="438">
        <f>INPUT!BJ582</f>
        <v>98.195876288659804</v>
      </c>
      <c r="AL44" s="451">
        <f>INPUT!BK582</f>
        <v>800</v>
      </c>
      <c r="AM44" s="438">
        <f>INPUT!BL582</f>
        <v>-27.140255009107477</v>
      </c>
      <c r="AN44" s="451">
        <f>INPUT!BM582</f>
        <v>785</v>
      </c>
      <c r="AO44" s="438">
        <f>INPUT!BN582</f>
        <v>-4.1514041514041509</v>
      </c>
      <c r="AP44" s="451">
        <f>INPUT!BO582</f>
        <v>64</v>
      </c>
      <c r="AQ44" s="438" t="str">
        <f>INPUT!BP582</f>
        <v>NM</v>
      </c>
      <c r="AR44" s="451">
        <f>INPUT!BQ582</f>
        <v>550</v>
      </c>
      <c r="AS44" s="438">
        <f>INPUT!BR582</f>
        <v>-28.478543563068925</v>
      </c>
      <c r="AT44" s="451">
        <f>INPUT!BS582</f>
        <v>-136</v>
      </c>
      <c r="AU44" s="438" t="str">
        <f>INPUT!BT582</f>
        <v>NM</v>
      </c>
      <c r="AV44" s="451">
        <f>INPUT!BU582</f>
        <v>-1268</v>
      </c>
      <c r="AW44" s="438" t="str">
        <f>INPUT!BV582</f>
        <v>NM</v>
      </c>
      <c r="AX44" s="451">
        <f>INPUT!BW582</f>
        <v>-5</v>
      </c>
      <c r="AY44" s="438" t="str">
        <f>INPUT!BX582</f>
        <v>NM</v>
      </c>
      <c r="AZ44" s="451">
        <f>INPUT!BY582</f>
        <v>538</v>
      </c>
      <c r="BA44" s="438">
        <f>INPUT!BZ582</f>
        <v>-2.181818181818187</v>
      </c>
      <c r="BB44" s="451">
        <f>INPUT!CA582</f>
        <v>1090</v>
      </c>
      <c r="BC44" s="438" t="str">
        <f>INPUT!CB582</f>
        <v>NM</v>
      </c>
      <c r="BD44" s="451">
        <f>INPUT!CC582</f>
        <v>1788</v>
      </c>
      <c r="BE44" s="438" t="str">
        <f>INPUT!CD582</f>
        <v>NM</v>
      </c>
      <c r="BF44" s="451">
        <f>INPUT!CE582</f>
        <v>486</v>
      </c>
      <c r="BG44" s="438" t="str">
        <f>INPUT!CF582</f>
        <v>NM</v>
      </c>
      <c r="BH44" s="451">
        <f>INPUT!CG582</f>
        <v>827</v>
      </c>
      <c r="BI44" s="438">
        <f>INPUT!CH582</f>
        <v>53.717472118959108</v>
      </c>
      <c r="BJ44" s="451">
        <f>INPUT!CI582</f>
        <v>1076</v>
      </c>
      <c r="BK44" s="438">
        <f>INPUT!CJ582</f>
        <v>-1.2844036697247674</v>
      </c>
      <c r="BL44" s="451">
        <f>INPUT!CK582</f>
        <v>111</v>
      </c>
      <c r="BM44" s="438" t="str">
        <f>INPUT!CL582</f>
        <v>NM</v>
      </c>
      <c r="BN44" s="451">
        <f>INPUT!CM582</f>
        <v>539</v>
      </c>
      <c r="BO44" s="438">
        <f>INPUT!CN582</f>
        <v>10.905349794238674</v>
      </c>
      <c r="BP44" s="451">
        <f>INPUT!CO582</f>
        <v>779</v>
      </c>
      <c r="BQ44" s="438">
        <f>INPUT!CP582</f>
        <v>-5.8041112454655348</v>
      </c>
      <c r="BR44" s="451">
        <f>INPUT!CQ582</f>
        <v>1562</v>
      </c>
      <c r="BS44" s="438">
        <f>INPUT!CR582</f>
        <v>45.167286245353154</v>
      </c>
      <c r="BT44" s="451">
        <f>INPUT!CS582</f>
        <v>522</v>
      </c>
      <c r="BU44" s="438" t="str">
        <f>INPUT!CT582</f>
        <v>NM</v>
      </c>
      <c r="BV44" s="451">
        <f>INPUT!CU582</f>
        <v>-941</v>
      </c>
      <c r="BW44" s="438" t="str">
        <f>INPUT!CV582</f>
        <v>NM</v>
      </c>
      <c r="BX44" s="451">
        <f>INPUT!CW582</f>
        <v>2232</v>
      </c>
      <c r="BY44" s="438" t="str">
        <f>INPUT!CX582</f>
        <v>NM</v>
      </c>
      <c r="BZ44" s="451">
        <f>INPUT!CY582</f>
        <v>-619</v>
      </c>
      <c r="CA44" s="438" t="str">
        <f>INPUT!CZ582</f>
        <v>NM</v>
      </c>
      <c r="CB44" s="451">
        <f>INPUT!DA582</f>
        <v>-185</v>
      </c>
      <c r="CC44" s="438" t="str">
        <f>INPUT!DB582</f>
        <v>NM</v>
      </c>
      <c r="CD44" s="451">
        <f>INPUT!DC582</f>
        <v>-735</v>
      </c>
      <c r="CE44" s="438">
        <f>INPUT!DD582</f>
        <v>-21.891604675876735</v>
      </c>
      <c r="CF44" s="451">
        <f>INPUT!DE582</f>
        <v>-517</v>
      </c>
      <c r="CG44" s="438" t="str">
        <f>INPUT!DF582</f>
        <v>NM</v>
      </c>
      <c r="CH44" s="451">
        <f>INPUT!DG582</f>
        <v>966</v>
      </c>
      <c r="CI44" s="438" t="str">
        <f>INPUT!DH582</f>
        <v>NM</v>
      </c>
      <c r="CJ44" s="451">
        <f>INPUT!DI582</f>
        <v>-427</v>
      </c>
      <c r="CK44" s="438" t="str">
        <f>INPUT!DJ582</f>
        <v>NM</v>
      </c>
      <c r="CL44" s="451">
        <f>INPUT!DK582</f>
        <v>1225</v>
      </c>
      <c r="CM44" s="438" t="str">
        <f>INPUT!DL582</f>
        <v>NM</v>
      </c>
      <c r="CN44" s="451">
        <f>INPUT!DM582</f>
        <v>1049</v>
      </c>
      <c r="CO44" s="438" t="str">
        <f>INPUT!DN582</f>
        <v>NM</v>
      </c>
      <c r="CP44" s="451">
        <f>INPUT!DO582</f>
        <v>465</v>
      </c>
      <c r="CQ44" s="438" t="str">
        <f>INPUT!DP582</f>
        <v>NM</v>
      </c>
      <c r="CR44" s="451">
        <f>INPUT!DQ582</f>
        <v>-1206</v>
      </c>
      <c r="CS44" s="438" t="str">
        <f>INPUT!DR582</f>
        <v>NM</v>
      </c>
      <c r="CT44" s="451">
        <f>INPUT!DS582</f>
        <v>2036</v>
      </c>
      <c r="CU44" s="438">
        <f>INPUT!DT582</f>
        <v>66.204081632653043</v>
      </c>
      <c r="CV44" s="451">
        <f>INPUT!DU582</f>
        <v>1406</v>
      </c>
      <c r="CW44" s="438">
        <f>INPUT!DV582</f>
        <v>34.032411820781704</v>
      </c>
      <c r="CX44" s="451">
        <f>INPUT!DW582</f>
        <v>1465</v>
      </c>
      <c r="CY44" s="438" t="str">
        <f>INPUT!DX582</f>
        <v>NM</v>
      </c>
      <c r="CZ44" s="451">
        <f>INPUT!DY582</f>
        <v>735</v>
      </c>
      <c r="DA44" s="438" t="str">
        <f>INPUT!DZ582</f>
        <v>NM</v>
      </c>
      <c r="DB44" s="451">
        <f>INPUT!EA582</f>
        <v>1336</v>
      </c>
      <c r="DC44" s="438">
        <f>INPUT!EB582</f>
        <v>-34.381139489194496</v>
      </c>
      <c r="DD44" s="451">
        <f>INPUT!EC582</f>
        <v>921</v>
      </c>
      <c r="DE44" s="438">
        <f>INPUT!ED582</f>
        <v>-34.495021337126602</v>
      </c>
      <c r="DF44" s="451">
        <f>INPUT!EE582</f>
        <v>1827</v>
      </c>
      <c r="DG44" s="438">
        <f>INPUT!EF582</f>
        <v>24.709897610921502</v>
      </c>
      <c r="DH44" s="451">
        <f>INPUT!EG582</f>
        <v>284</v>
      </c>
      <c r="DI44" s="438" t="str">
        <f>INPUT!EH582</f>
        <v>NM</v>
      </c>
      <c r="DJ44" s="451">
        <f>INPUT!EI582</f>
        <v>1369</v>
      </c>
      <c r="DK44" s="438">
        <f>INPUT!EJ582</f>
        <v>2.4700598802395177</v>
      </c>
      <c r="DL44" s="451">
        <f>INPUT!EK582</f>
        <v>491</v>
      </c>
      <c r="DM44" s="438">
        <f>INPUT!EL582</f>
        <v>-46.688382193268183</v>
      </c>
      <c r="DN44" s="451">
        <f>INPUT!EM582</f>
        <v>2238</v>
      </c>
      <c r="DO44" s="438">
        <f>INPUT!EN582</f>
        <v>22.495894909688019</v>
      </c>
      <c r="DP44" s="451">
        <f>INPUT!EO582</f>
        <v>3765</v>
      </c>
      <c r="DQ44" s="438" t="str">
        <f>INPUT!EP582</f>
        <v>NM</v>
      </c>
      <c r="DR44" s="451">
        <f>INPUT!EQ582</f>
        <v>2169.5916299288165</v>
      </c>
      <c r="DS44" s="438">
        <f>INPUT!ER582</f>
        <v>58.480031404588487</v>
      </c>
      <c r="DT44" s="451">
        <f>INPUT!ES582</f>
        <v>961.19494269956499</v>
      </c>
      <c r="DU44" s="438">
        <f>INPUT!ET582</f>
        <v>95.762717454086555</v>
      </c>
      <c r="DV44" s="451">
        <f>INPUT!EU582</f>
        <v>940.06473018106681</v>
      </c>
      <c r="DW44" s="438" t="str">
        <f>INPUT!EV582</f>
        <v>NM</v>
      </c>
      <c r="DX44" s="451">
        <f>INPUT!EW582</f>
        <v>803.73349126113294</v>
      </c>
      <c r="DY44" s="438" t="str">
        <f>INPUT!EX582</f>
        <v>NM</v>
      </c>
      <c r="DZ44" s="451"/>
      <c r="EA44" s="438"/>
      <c r="EB44" s="439" t="str">
        <f>INPUT!FI582</f>
        <v>NM</v>
      </c>
      <c r="EC44" s="452">
        <f>INPUT!FJ582</f>
        <v>-1135</v>
      </c>
      <c r="ED44" s="439" t="str">
        <f>INPUT!FK582</f>
        <v>NM</v>
      </c>
      <c r="EE44" s="452">
        <f>INPUT!FL582</f>
        <v>-1454</v>
      </c>
      <c r="EF44" s="439">
        <f>INPUT!FM582</f>
        <v>28.105726872246692</v>
      </c>
      <c r="EG44" s="452">
        <f>INPUT!FN582</f>
        <v>-985</v>
      </c>
      <c r="EH44" s="439">
        <f>INPUT!FO582</f>
        <v>-32.255845942228333</v>
      </c>
      <c r="EI44" s="451">
        <f>INPUT!FP582</f>
        <v>-3725</v>
      </c>
      <c r="EJ44" s="438" t="str">
        <f>INPUT!FQ582</f>
        <v>NM</v>
      </c>
      <c r="EK44" s="451">
        <f>INPUT!FR582</f>
        <v>-2552</v>
      </c>
      <c r="EL44" s="438">
        <f>INPUT!FS582</f>
        <v>-31.489932885906029</v>
      </c>
      <c r="EM44" s="451">
        <f>INPUT!FT582</f>
        <v>-2544.3999999999996</v>
      </c>
      <c r="EN44" s="438">
        <f>INPUT!FU582</f>
        <v>-0.29780564263323583</v>
      </c>
      <c r="EO44" s="451">
        <f>INPUT!FV582</f>
        <v>-4053</v>
      </c>
      <c r="EP44" s="438">
        <f>INPUT!FW582</f>
        <v>59.29099198239274</v>
      </c>
      <c r="EQ44" s="451">
        <f>INPUT!FX582</f>
        <v>-805</v>
      </c>
      <c r="ER44" s="438" t="str">
        <f>INPUT!FY582</f>
        <v>NM</v>
      </c>
      <c r="ES44" s="451">
        <f>INPUT!FZ582</f>
        <v>-34</v>
      </c>
      <c r="ET44" s="438" t="str">
        <f>INPUT!GA582</f>
        <v>NM</v>
      </c>
      <c r="EU44" s="451">
        <f>INPUT!GB582</f>
        <v>-536</v>
      </c>
      <c r="EV44" s="438" t="str">
        <f>INPUT!GC582</f>
        <v>NM</v>
      </c>
      <c r="EW44" s="451">
        <f>INPUT!GD582</f>
        <v>306</v>
      </c>
      <c r="EX44" s="438" t="str">
        <f>INPUT!GE582</f>
        <v>NM</v>
      </c>
      <c r="EY44" s="451">
        <f>INPUT!GF582</f>
        <v>2786</v>
      </c>
      <c r="EZ44" s="438" t="str">
        <f>INPUT!GG582</f>
        <v>NM</v>
      </c>
      <c r="FA44" s="451">
        <f>INPUT!GH582</f>
        <v>3199</v>
      </c>
      <c r="FB44" s="438">
        <f>INPUT!GI582</f>
        <v>14.824120603015075</v>
      </c>
      <c r="FC44" s="451">
        <f>INPUT!GJ582</f>
        <v>5642</v>
      </c>
      <c r="FD44" s="438">
        <f>INPUT!GK582</f>
        <v>76.367614879649892</v>
      </c>
      <c r="FE44" s="451">
        <f>INPUT!GL582</f>
        <v>4368</v>
      </c>
      <c r="FF44" s="438">
        <f>INPUT!GM582</f>
        <v>-22.58064516129032</v>
      </c>
      <c r="FG44" s="451">
        <f>INPUT!GN582</f>
        <v>7863</v>
      </c>
      <c r="FH44" s="438">
        <f>INPUT!GO582</f>
        <v>80.013736263736263</v>
      </c>
      <c r="FI44" s="451">
        <f>INPUT!GP582</f>
        <v>4874.5847940705817</v>
      </c>
      <c r="FJ44" s="438">
        <f>INPUT!GQ582</f>
        <v>-38.006043570258406</v>
      </c>
      <c r="FK44" s="451">
        <f>INPUT!GR582</f>
        <v>4475.5160985982038</v>
      </c>
      <c r="FL44" s="438">
        <f>INPUT!GS582</f>
        <v>-8.1867217892650643</v>
      </c>
      <c r="FM44" s="451">
        <f>INPUT!GT582</f>
        <v>4490.313762578905</v>
      </c>
      <c r="FN44" s="438">
        <f>INPUT!GU582</f>
        <v>0.33063592342648462</v>
      </c>
      <c r="FO44" s="451">
        <f>INPUT!GV582</f>
        <v>4509.3505312133457</v>
      </c>
      <c r="FP44" s="438">
        <f>INPUT!GW582</f>
        <v>0.42395185817723302</v>
      </c>
      <c r="FQ44" s="451">
        <f>INPUT!GX582</f>
        <v>4518.3321298446017</v>
      </c>
      <c r="FR44" s="438">
        <f>INPUT!GY582</f>
        <v>0.19917721119895759</v>
      </c>
      <c r="FS44" s="827">
        <f>INPUT!GZ582</f>
        <v>-10.488677203523466</v>
      </c>
    </row>
    <row r="45" spans="1:176" s="529" customFormat="1" ht="12.75" hidden="1" customHeight="1" outlineLevel="1" x14ac:dyDescent="0.2">
      <c r="A45" s="829"/>
      <c r="B45" s="479"/>
      <c r="C45" s="439"/>
      <c r="D45" s="479"/>
      <c r="E45" s="439"/>
      <c r="F45" s="479"/>
      <c r="G45" s="439"/>
      <c r="H45" s="479"/>
      <c r="I45" s="439"/>
      <c r="J45" s="479"/>
      <c r="K45" s="439"/>
      <c r="L45" s="479"/>
      <c r="M45" s="439"/>
      <c r="N45" s="479"/>
      <c r="O45" s="439"/>
      <c r="P45" s="479"/>
      <c r="Q45" s="439"/>
      <c r="R45" s="479"/>
      <c r="S45" s="439"/>
      <c r="T45" s="479"/>
      <c r="U45" s="439"/>
      <c r="V45" s="479"/>
      <c r="W45" s="439"/>
      <c r="X45" s="479"/>
      <c r="Y45" s="439"/>
      <c r="Z45" s="479"/>
      <c r="AA45" s="439"/>
      <c r="AB45" s="479"/>
      <c r="AC45" s="439"/>
      <c r="AD45" s="479"/>
      <c r="AE45" s="439"/>
      <c r="AF45" s="479"/>
      <c r="AG45" s="439"/>
      <c r="AH45" s="479"/>
      <c r="AI45" s="438"/>
      <c r="AJ45" s="479"/>
      <c r="AK45" s="438"/>
      <c r="AL45" s="479"/>
      <c r="AM45" s="438"/>
      <c r="AN45" s="479"/>
      <c r="AO45" s="438"/>
      <c r="AP45" s="479"/>
      <c r="AQ45" s="438"/>
      <c r="AR45" s="479"/>
      <c r="AS45" s="438"/>
      <c r="AT45" s="479"/>
      <c r="AU45" s="438"/>
      <c r="AV45" s="479"/>
      <c r="AW45" s="438"/>
      <c r="AX45" s="479"/>
      <c r="AY45" s="438"/>
      <c r="AZ45" s="479"/>
      <c r="BA45" s="438"/>
      <c r="BB45" s="479"/>
      <c r="BC45" s="438"/>
      <c r="BD45" s="479"/>
      <c r="BE45" s="438"/>
      <c r="BF45" s="479"/>
      <c r="BG45" s="438"/>
      <c r="BH45" s="479"/>
      <c r="BI45" s="438"/>
      <c r="BJ45" s="479"/>
      <c r="BK45" s="438"/>
      <c r="BL45" s="479"/>
      <c r="BM45" s="438"/>
      <c r="BN45" s="479"/>
      <c r="BO45" s="438"/>
      <c r="BP45" s="479"/>
      <c r="BQ45" s="438"/>
      <c r="BR45" s="479"/>
      <c r="BS45" s="438"/>
      <c r="BT45" s="479"/>
      <c r="BU45" s="438"/>
      <c r="BV45" s="479"/>
      <c r="BW45" s="438"/>
      <c r="BX45" s="479"/>
      <c r="BY45" s="438"/>
      <c r="BZ45" s="479"/>
      <c r="CA45" s="438"/>
      <c r="CB45" s="479"/>
      <c r="CC45" s="438"/>
      <c r="CD45" s="479"/>
      <c r="CE45" s="438"/>
      <c r="CF45" s="479"/>
      <c r="CG45" s="438"/>
      <c r="CH45" s="479"/>
      <c r="CI45" s="438"/>
      <c r="CJ45" s="479"/>
      <c r="CK45" s="438"/>
      <c r="CL45" s="479"/>
      <c r="CM45" s="438"/>
      <c r="CN45" s="479"/>
      <c r="CO45" s="438"/>
      <c r="CP45" s="479"/>
      <c r="CQ45" s="438"/>
      <c r="CR45" s="479"/>
      <c r="CS45" s="438"/>
      <c r="CT45" s="479"/>
      <c r="CU45" s="438"/>
      <c r="CV45" s="479"/>
      <c r="CW45" s="438"/>
      <c r="CX45" s="479"/>
      <c r="CY45" s="438"/>
      <c r="CZ45" s="479"/>
      <c r="DA45" s="438"/>
      <c r="DB45" s="479"/>
      <c r="DC45" s="438"/>
      <c r="DD45" s="479"/>
      <c r="DE45" s="438"/>
      <c r="DF45" s="479"/>
      <c r="DG45" s="438"/>
      <c r="DH45" s="479"/>
      <c r="DI45" s="438"/>
      <c r="DJ45" s="479"/>
      <c r="DK45" s="438"/>
      <c r="DL45" s="479"/>
      <c r="DM45" s="438"/>
      <c r="DN45" s="479"/>
      <c r="DO45" s="438"/>
      <c r="DP45" s="479"/>
      <c r="DQ45" s="438"/>
      <c r="DR45" s="479"/>
      <c r="DS45" s="438"/>
      <c r="DT45" s="479"/>
      <c r="DU45" s="438"/>
      <c r="DV45" s="479"/>
      <c r="DW45" s="438"/>
      <c r="DX45" s="479"/>
      <c r="DY45" s="438"/>
      <c r="DZ45" s="479"/>
      <c r="EA45" s="438"/>
      <c r="EB45" s="439"/>
      <c r="EC45" s="479"/>
      <c r="ED45" s="439"/>
      <c r="EE45" s="479"/>
      <c r="EF45" s="439"/>
      <c r="EG45" s="479"/>
      <c r="EH45" s="439"/>
      <c r="EI45" s="479"/>
      <c r="EJ45" s="438"/>
      <c r="EK45" s="479"/>
      <c r="EL45" s="438"/>
      <c r="EM45" s="479"/>
      <c r="EN45" s="438"/>
      <c r="EO45" s="479"/>
      <c r="EP45" s="438"/>
      <c r="EQ45" s="479"/>
      <c r="ER45" s="438"/>
      <c r="ES45" s="479"/>
      <c r="ET45" s="438"/>
      <c r="EU45" s="479"/>
      <c r="EV45" s="438"/>
      <c r="EW45" s="479"/>
      <c r="EX45" s="438"/>
      <c r="EY45" s="479"/>
      <c r="EZ45" s="438"/>
      <c r="FA45" s="479"/>
      <c r="FB45" s="438"/>
      <c r="FC45" s="479"/>
      <c r="FD45" s="438"/>
      <c r="FE45" s="479"/>
      <c r="FF45" s="438"/>
      <c r="FG45" s="479"/>
      <c r="FH45" s="438"/>
      <c r="FI45" s="479"/>
      <c r="FJ45" s="438"/>
      <c r="FK45" s="479"/>
      <c r="FL45" s="438"/>
      <c r="FM45" s="479"/>
      <c r="FN45" s="438"/>
      <c r="FO45" s="479"/>
      <c r="FP45" s="438"/>
      <c r="FQ45" s="479"/>
      <c r="FR45" s="438"/>
      <c r="FS45" s="827"/>
    </row>
    <row r="46" spans="1:176" s="529" customFormat="1" ht="12.75" hidden="1" customHeight="1" outlineLevel="1" x14ac:dyDescent="0.2">
      <c r="A46" s="829" t="str">
        <f>INPUT!B642</f>
        <v xml:space="preserve">Reported EPS </v>
      </c>
      <c r="B46" s="479">
        <f>INPUT!AA642</f>
        <v>0.68</v>
      </c>
      <c r="C46" s="439">
        <f>INPUT!AB642</f>
        <v>-11.688311688311686</v>
      </c>
      <c r="D46" s="479">
        <f>INPUT!AC642</f>
        <v>0.6</v>
      </c>
      <c r="E46" s="439">
        <f>INPUT!AD642</f>
        <v>20</v>
      </c>
      <c r="F46" s="479">
        <f>INPUT!AE642</f>
        <v>0.75</v>
      </c>
      <c r="G46" s="439">
        <f>INPUT!AF642</f>
        <v>-20.212765957446805</v>
      </c>
      <c r="H46" s="479">
        <f>INPUT!AG642</f>
        <v>1.34</v>
      </c>
      <c r="I46" s="439" t="str">
        <f>INPUT!AH642</f>
        <v>NM</v>
      </c>
      <c r="J46" s="479">
        <f>INPUT!AI642</f>
        <v>0.91</v>
      </c>
      <c r="K46" s="439">
        <f>INPUT!AJ642</f>
        <v>33.823529411764696</v>
      </c>
      <c r="L46" s="479">
        <f>INPUT!AK642</f>
        <v>1.44</v>
      </c>
      <c r="M46" s="439" t="str">
        <f>INPUT!AL642</f>
        <v>NM</v>
      </c>
      <c r="N46" s="479">
        <f>INPUT!AM642</f>
        <v>1.55</v>
      </c>
      <c r="O46" s="439" t="str">
        <f>INPUT!AN642</f>
        <v>NM</v>
      </c>
      <c r="P46" s="479">
        <f>INPUT!AO642</f>
        <v>1.1599999999999999</v>
      </c>
      <c r="Q46" s="439">
        <f>INPUT!AP642</f>
        <v>-13.432835820895534</v>
      </c>
      <c r="R46" s="479">
        <f>INPUT!AQ642</f>
        <v>2</v>
      </c>
      <c r="S46" s="439" t="str">
        <f>INPUT!AR642</f>
        <v>NM</v>
      </c>
      <c r="T46" s="479">
        <f>INPUT!AS642</f>
        <v>1.94</v>
      </c>
      <c r="U46" s="439">
        <f>INPUT!AT642</f>
        <v>34.722222222222229</v>
      </c>
      <c r="V46" s="479">
        <f>INPUT!AU642</f>
        <v>3.09</v>
      </c>
      <c r="W46" s="439">
        <f>INPUT!AV642</f>
        <v>99.354838709677409</v>
      </c>
      <c r="X46" s="479">
        <f>INPUT!AW642</f>
        <v>1.1599999999999999</v>
      </c>
      <c r="Y46" s="439">
        <f>INPUT!AX642</f>
        <v>0</v>
      </c>
      <c r="Z46" s="479">
        <f>INPUT!AY642</f>
        <v>1.24</v>
      </c>
      <c r="AA46" s="439">
        <f>INPUT!AZ642</f>
        <v>-38</v>
      </c>
      <c r="AB46" s="479">
        <f>INPUT!BA642</f>
        <v>0.81</v>
      </c>
      <c r="AC46" s="439" t="str">
        <f>INPUT!BB642</f>
        <v>NM</v>
      </c>
      <c r="AD46" s="479">
        <f>INPUT!BC642</f>
        <v>2.27</v>
      </c>
      <c r="AE46" s="439">
        <f>INPUT!BD642</f>
        <v>-26.537216828478961</v>
      </c>
      <c r="AF46" s="479">
        <f>INPUT!BE642</f>
        <v>1.73</v>
      </c>
      <c r="AG46" s="439">
        <f>INPUT!BF642</f>
        <v>49.137931034482762</v>
      </c>
      <c r="AH46" s="479">
        <f>INPUT!BG642</f>
        <v>1.78</v>
      </c>
      <c r="AI46" s="438">
        <f>INPUT!BH642</f>
        <v>43.548387096774206</v>
      </c>
      <c r="AJ46" s="479">
        <f>INPUT!BI642</f>
        <v>1.66</v>
      </c>
      <c r="AK46" s="438" t="str">
        <f>INPUT!BJ642</f>
        <v>NM</v>
      </c>
      <c r="AL46" s="479">
        <f>INPUT!BK642</f>
        <v>1.75</v>
      </c>
      <c r="AM46" s="438">
        <f>INPUT!BL642</f>
        <v>-22.907488986784145</v>
      </c>
      <c r="AN46" s="479">
        <f>INPUT!BM642</f>
        <v>1.73</v>
      </c>
      <c r="AO46" s="438">
        <f>INPUT!BN642</f>
        <v>0</v>
      </c>
      <c r="AP46" s="479">
        <f>INPUT!BO642</f>
        <v>0.17</v>
      </c>
      <c r="AQ46" s="438" t="str">
        <f>INPUT!BP642</f>
        <v>NM</v>
      </c>
      <c r="AR46" s="479">
        <f>INPUT!BQ642</f>
        <v>1.29</v>
      </c>
      <c r="AS46" s="438">
        <f>INPUT!BR642</f>
        <v>-22.289156626506028</v>
      </c>
      <c r="AT46" s="479">
        <f>INPUT!BS642</f>
        <v>-0.28999999999999998</v>
      </c>
      <c r="AU46" s="438" t="str">
        <f>INPUT!BT642</f>
        <v>NM</v>
      </c>
      <c r="AV46" s="479">
        <f>INPUT!BU642</f>
        <v>-2.94</v>
      </c>
      <c r="AW46" s="438" t="str">
        <f>INPUT!BV642</f>
        <v>NM</v>
      </c>
      <c r="AX46" s="479">
        <f>INPUT!BW642</f>
        <v>0.01</v>
      </c>
      <c r="AY46" s="438" t="str">
        <f>INPUT!BX642</f>
        <v>NM</v>
      </c>
      <c r="AZ46" s="479">
        <f>INPUT!BY642</f>
        <v>1.2387750402947271</v>
      </c>
      <c r="BA46" s="438">
        <f>INPUT!BZ642</f>
        <v>-3.9709271089358822</v>
      </c>
      <c r="BB46" s="479">
        <f>INPUT!CA642</f>
        <v>2.3461041756349545</v>
      </c>
      <c r="BC46" s="438" t="str">
        <f>INPUT!CB642</f>
        <v>NM</v>
      </c>
      <c r="BD46" s="479">
        <f>INPUT!CC642</f>
        <v>3.801828620029768</v>
      </c>
      <c r="BE46" s="438" t="str">
        <f>INPUT!CD642</f>
        <v>NM</v>
      </c>
      <c r="BF46" s="479">
        <f>INPUT!CE642</f>
        <v>1.04</v>
      </c>
      <c r="BG46" s="438" t="str">
        <f>INPUT!CF642</f>
        <v>NM</v>
      </c>
      <c r="BH46" s="479">
        <f>INPUT!CG642</f>
        <v>1.77</v>
      </c>
      <c r="BI46" s="438">
        <f>INPUT!CH642</f>
        <v>42.883085501858744</v>
      </c>
      <c r="BJ46" s="479">
        <f>INPUT!CI642</f>
        <v>2.2799999999999998</v>
      </c>
      <c r="BK46" s="438">
        <f>INPUT!CJ642</f>
        <v>-2.8176146788990764</v>
      </c>
      <c r="BL46" s="479">
        <f>INPUT!CK642</f>
        <v>0.23</v>
      </c>
      <c r="BM46" s="438" t="str">
        <f>INPUT!CL642</f>
        <v>NM</v>
      </c>
      <c r="BN46" s="479">
        <f>INPUT!CM642</f>
        <v>1.0900000000000001</v>
      </c>
      <c r="BO46" s="438">
        <f>INPUT!CN642</f>
        <v>4.8076923076923066</v>
      </c>
      <c r="BP46" s="479">
        <f>INPUT!CO642</f>
        <v>1.58</v>
      </c>
      <c r="BQ46" s="438">
        <f>INPUT!CP642</f>
        <v>-10.734463276836152</v>
      </c>
      <c r="BR46" s="479">
        <f>INPUT!CQ642</f>
        <v>3.2</v>
      </c>
      <c r="BS46" s="438">
        <f>INPUT!CR642</f>
        <v>40.350877192982466</v>
      </c>
      <c r="BT46" s="479">
        <f>INPUT!CS642</f>
        <v>1.0900000000000001</v>
      </c>
      <c r="BU46" s="438" t="str">
        <f>INPUT!CT642</f>
        <v>NM</v>
      </c>
      <c r="BV46" s="479">
        <f>INPUT!CU642</f>
        <v>-1.96</v>
      </c>
      <c r="BW46" s="438" t="str">
        <f>INPUT!CV642</f>
        <v>NM</v>
      </c>
      <c r="BX46" s="479">
        <f>INPUT!CW642</f>
        <v>4.7300000000000004</v>
      </c>
      <c r="BY46" s="438" t="str">
        <f>INPUT!CX642</f>
        <v>NM</v>
      </c>
      <c r="BZ46" s="479">
        <f>INPUT!CY642</f>
        <v>-1.32</v>
      </c>
      <c r="CA46" s="438" t="str">
        <f>INPUT!CZ642</f>
        <v>NM</v>
      </c>
      <c r="CB46" s="479">
        <f>INPUT!DA642</f>
        <v>-0.4</v>
      </c>
      <c r="CC46" s="438" t="str">
        <f>INPUT!DB642</f>
        <v>NM</v>
      </c>
      <c r="CD46" s="479">
        <f>INPUT!DC642</f>
        <v>-1.56</v>
      </c>
      <c r="CE46" s="438">
        <f>INPUT!DD642</f>
        <v>-20.408163265306129</v>
      </c>
      <c r="CF46" s="479">
        <f>INPUT!DE642</f>
        <v>-1.1100000000000001</v>
      </c>
      <c r="CG46" s="438" t="str">
        <f>INPUT!DF642</f>
        <v>NM</v>
      </c>
      <c r="CH46" s="479">
        <f>INPUT!DG642</f>
        <v>2.0299999999999998</v>
      </c>
      <c r="CI46" s="438" t="str">
        <f>INPUT!DH642</f>
        <v>NM</v>
      </c>
      <c r="CJ46" s="479">
        <f>INPUT!DI642</f>
        <v>-0.93</v>
      </c>
      <c r="CK46" s="438" t="str">
        <f>INPUT!DJ642</f>
        <v>NM</v>
      </c>
      <c r="CL46" s="479">
        <f>INPUT!DK642</f>
        <v>2.59</v>
      </c>
      <c r="CM46" s="438" t="str">
        <f>INPUT!DL642</f>
        <v>NM</v>
      </c>
      <c r="CN46" s="479">
        <f>INPUT!DM642</f>
        <v>2.2200000000000002</v>
      </c>
      <c r="CO46" s="438" t="str">
        <f>INPUT!DN642</f>
        <v>NM</v>
      </c>
      <c r="CP46" s="479">
        <f>INPUT!DO642</f>
        <v>0.99</v>
      </c>
      <c r="CQ46" s="438" t="str">
        <f>INPUT!DP642</f>
        <v>NM</v>
      </c>
      <c r="CR46" s="479">
        <f>INPUT!DQ642</f>
        <v>-2.62</v>
      </c>
      <c r="CS46" s="438" t="str">
        <f>INPUT!DR642</f>
        <v>NM</v>
      </c>
      <c r="CT46" s="479">
        <f>INPUT!DS642</f>
        <v>4.37</v>
      </c>
      <c r="CU46" s="438">
        <f>INPUT!DT642</f>
        <v>68.725868725868736</v>
      </c>
      <c r="CV46" s="479">
        <f>INPUT!DU642</f>
        <v>3.03</v>
      </c>
      <c r="CW46" s="438">
        <f>INPUT!DV642</f>
        <v>36.486486486486456</v>
      </c>
      <c r="CX46" s="479">
        <f>INPUT!DW642</f>
        <v>3.17</v>
      </c>
      <c r="CY46" s="438" t="str">
        <f>INPUT!DX642</f>
        <v>NM</v>
      </c>
      <c r="CZ46" s="479">
        <f>INPUT!DY642</f>
        <v>1.6</v>
      </c>
      <c r="DA46" s="438" t="str">
        <f>INPUT!DZ642</f>
        <v>NM</v>
      </c>
      <c r="DB46" s="479">
        <f>INPUT!EA642</f>
        <v>2.92</v>
      </c>
      <c r="DC46" s="438">
        <f>INPUT!EB642</f>
        <v>-33.180778032036613</v>
      </c>
      <c r="DD46" s="479">
        <f>INPUT!EC642</f>
        <v>2.0499999999999998</v>
      </c>
      <c r="DE46" s="438">
        <f>INPUT!ED642</f>
        <v>-32.343234323432341</v>
      </c>
      <c r="DF46" s="479">
        <f>INPUT!EE642</f>
        <v>4.09</v>
      </c>
      <c r="DG46" s="438">
        <f>INPUT!EF642</f>
        <v>29.022082018927449</v>
      </c>
      <c r="DH46" s="479">
        <f>INPUT!EG642</f>
        <v>0.65</v>
      </c>
      <c r="DI46" s="438" t="str">
        <f>INPUT!EH642</f>
        <v>NM</v>
      </c>
      <c r="DJ46" s="479">
        <f>INPUT!EI642</f>
        <v>3.12</v>
      </c>
      <c r="DK46" s="438">
        <f>INPUT!EJ642</f>
        <v>6.849315068493155</v>
      </c>
      <c r="DL46" s="479">
        <f>INPUT!EK642</f>
        <v>1.1200000000000001</v>
      </c>
      <c r="DM46" s="438">
        <f>INPUT!EL642</f>
        <v>-45.365853658536572</v>
      </c>
      <c r="DN46" s="479">
        <f>INPUT!EM642</f>
        <v>5.14</v>
      </c>
      <c r="DO46" s="438">
        <f>INPUT!EN642</f>
        <v>25.672371638141797</v>
      </c>
      <c r="DP46" s="479">
        <f>INPUT!EO642</f>
        <v>8.6999999999999993</v>
      </c>
      <c r="DQ46" s="438" t="str">
        <f>INPUT!EP642</f>
        <v>NM</v>
      </c>
      <c r="DR46" s="479">
        <f>INPUT!EQ642</f>
        <v>5.04</v>
      </c>
      <c r="DS46" s="438">
        <f>INPUT!ER642</f>
        <v>61.538461538461547</v>
      </c>
      <c r="DT46" s="479">
        <f>INPUT!ES642</f>
        <v>2.23</v>
      </c>
      <c r="DU46" s="438">
        <f>INPUT!ET642</f>
        <v>99.107142857142833</v>
      </c>
      <c r="DV46" s="479">
        <f>INPUT!EU642</f>
        <v>2.2000000000000002</v>
      </c>
      <c r="DW46" s="438" t="str">
        <f>INPUT!EV642</f>
        <v>NM</v>
      </c>
      <c r="DX46" s="479">
        <f>INPUT!EW642</f>
        <v>1.89</v>
      </c>
      <c r="DY46" s="438" t="str">
        <f>INPUT!EX642</f>
        <v>NM</v>
      </c>
      <c r="DZ46" s="479"/>
      <c r="EA46" s="438"/>
      <c r="EB46" s="439" t="str">
        <f>INPUT!FI642</f>
        <v>NM</v>
      </c>
      <c r="EC46" s="479">
        <f>INPUT!FJ642</f>
        <v>2.33</v>
      </c>
      <c r="ED46" s="439">
        <f>INPUT!FK642</f>
        <v>30.167597765363126</v>
      </c>
      <c r="EE46" s="479">
        <f>INPUT!FL642</f>
        <v>3.37</v>
      </c>
      <c r="EF46" s="439">
        <f>INPUT!FM642</f>
        <v>44.63519313304721</v>
      </c>
      <c r="EG46" s="479">
        <f>INPUT!FN642</f>
        <v>5.0600000000000005</v>
      </c>
      <c r="EH46" s="439">
        <f>INPUT!FO642</f>
        <v>50.148367952522278</v>
      </c>
      <c r="EI46" s="479">
        <f>INPUT!FP642</f>
        <v>-7.18</v>
      </c>
      <c r="EJ46" s="438" t="str">
        <f>INPUT!FQ642</f>
        <v>NM</v>
      </c>
      <c r="EK46" s="479">
        <f>INPUT!FR642</f>
        <v>-5.21</v>
      </c>
      <c r="EL46" s="438">
        <f>INPUT!FS642</f>
        <v>-27.437325905292482</v>
      </c>
      <c r="EM46" s="479">
        <f>INPUT!FT642</f>
        <v>-5.49</v>
      </c>
      <c r="EN46" s="438">
        <f>INPUT!FU642</f>
        <v>5.374280230326292</v>
      </c>
      <c r="EO46" s="479">
        <f>INPUT!FV642</f>
        <v>-9.4</v>
      </c>
      <c r="EP46" s="438">
        <f>INPUT!FW642</f>
        <v>71.220400728597468</v>
      </c>
      <c r="EQ46" s="479">
        <f>INPUT!FX642</f>
        <v>-1.85</v>
      </c>
      <c r="ER46" s="438" t="str">
        <f>INPUT!FY642</f>
        <v>NM</v>
      </c>
      <c r="ES46" s="479">
        <f>INPUT!FZ642</f>
        <v>-0.11</v>
      </c>
      <c r="ET46" s="438" t="str">
        <f>INPUT!GA642</f>
        <v>NM</v>
      </c>
      <c r="EU46" s="479">
        <f>INPUT!GB642</f>
        <v>-1.1499999999999999</v>
      </c>
      <c r="EV46" s="438" t="str">
        <f>INPUT!GC642</f>
        <v>NM</v>
      </c>
      <c r="EW46" s="479">
        <f>INPUT!GD642</f>
        <v>0.59</v>
      </c>
      <c r="EX46" s="438" t="str">
        <f>INPUT!GE642</f>
        <v>NM</v>
      </c>
      <c r="EY46" s="479">
        <f>INPUT!GF642</f>
        <v>5.86</v>
      </c>
      <c r="EZ46" s="438" t="str">
        <f>INPUT!GG642</f>
        <v>NM</v>
      </c>
      <c r="FA46" s="479">
        <f>INPUT!GH642</f>
        <v>6.8</v>
      </c>
      <c r="FB46" s="438">
        <f>INPUT!GI642</f>
        <v>16.040955631399314</v>
      </c>
      <c r="FC46" s="479">
        <f>INPUT!GJ642</f>
        <v>12.19</v>
      </c>
      <c r="FD46" s="438">
        <f>INPUT!GK642</f>
        <v>79.264705882352956</v>
      </c>
      <c r="FE46" s="479">
        <f>INPUT!GL642</f>
        <v>9.7100000000000009</v>
      </c>
      <c r="FF46" s="438">
        <f>INPUT!GM642</f>
        <v>-20.344544708777676</v>
      </c>
      <c r="FG46" s="479">
        <f>INPUT!GN642</f>
        <v>17.95</v>
      </c>
      <c r="FH46" s="438">
        <f>INPUT!GO642</f>
        <v>84.860968074150321</v>
      </c>
      <c r="FI46" s="479">
        <f>INPUT!GP642</f>
        <v>11.4</v>
      </c>
      <c r="FJ46" s="438">
        <f>INPUT!GQ642</f>
        <v>-36.490250696378823</v>
      </c>
      <c r="FK46" s="479">
        <f>INPUT!GR642</f>
        <v>10.8</v>
      </c>
      <c r="FL46" s="438">
        <f>INPUT!GS642</f>
        <v>-5.2631578947368354</v>
      </c>
      <c r="FM46" s="479">
        <f>INPUT!GT642</f>
        <v>11.19</v>
      </c>
      <c r="FN46" s="438">
        <f>INPUT!GU642</f>
        <v>3.6111111111111001</v>
      </c>
      <c r="FO46" s="479">
        <f>INPUT!GV642</f>
        <v>11.57</v>
      </c>
      <c r="FP46" s="438">
        <f>INPUT!GW642</f>
        <v>3.395889186773914</v>
      </c>
      <c r="FQ46" s="479">
        <f>INPUT!GX642</f>
        <v>11.97</v>
      </c>
      <c r="FR46" s="438">
        <f>INPUT!GY642</f>
        <v>3.4572169403630113</v>
      </c>
      <c r="FS46" s="827">
        <f>INPUT!GZ642</f>
        <v>-7.7840723326805801</v>
      </c>
    </row>
    <row r="47" spans="1:176" s="530" customFormat="1" ht="12.75" hidden="1" customHeight="1" outlineLevel="1" x14ac:dyDescent="0.2">
      <c r="A47" s="832" t="s">
        <v>683</v>
      </c>
      <c r="B47" s="458"/>
      <c r="C47" s="459"/>
      <c r="D47" s="458"/>
      <c r="E47" s="459"/>
      <c r="F47" s="458"/>
      <c r="G47" s="459"/>
      <c r="H47" s="458"/>
      <c r="I47" s="459"/>
      <c r="J47" s="458"/>
      <c r="K47" s="459"/>
      <c r="L47" s="458"/>
      <c r="M47" s="459"/>
      <c r="N47" s="458"/>
      <c r="O47" s="459"/>
      <c r="P47" s="458"/>
      <c r="Q47" s="459"/>
      <c r="R47" s="458"/>
      <c r="S47" s="459"/>
      <c r="T47" s="458"/>
      <c r="U47" s="459"/>
      <c r="V47" s="458"/>
      <c r="W47" s="459"/>
      <c r="X47" s="458"/>
      <c r="Y47" s="459"/>
      <c r="Z47" s="458"/>
      <c r="AA47" s="459"/>
      <c r="AB47" s="458"/>
      <c r="AC47" s="459"/>
      <c r="AD47" s="458"/>
      <c r="AE47" s="459"/>
      <c r="AF47" s="458"/>
      <c r="AG47" s="459"/>
      <c r="AH47" s="458"/>
      <c r="AI47" s="461"/>
      <c r="AJ47" s="458"/>
      <c r="AK47" s="461"/>
      <c r="AL47" s="458"/>
      <c r="AM47" s="461"/>
      <c r="AN47" s="458"/>
      <c r="AO47" s="461"/>
      <c r="AP47" s="458"/>
      <c r="AQ47" s="461"/>
      <c r="AR47" s="458"/>
      <c r="AS47" s="461"/>
      <c r="AT47" s="458"/>
      <c r="AU47" s="461"/>
      <c r="AV47" s="458"/>
      <c r="AW47" s="461"/>
      <c r="AX47" s="458"/>
      <c r="AY47" s="461"/>
      <c r="AZ47" s="458"/>
      <c r="BA47" s="461"/>
      <c r="BB47" s="458"/>
      <c r="BC47" s="461"/>
      <c r="BD47" s="458"/>
      <c r="BE47" s="461"/>
      <c r="BF47" s="458"/>
      <c r="BG47" s="461"/>
      <c r="BH47" s="458"/>
      <c r="BI47" s="461"/>
      <c r="BJ47" s="458"/>
      <c r="BK47" s="461"/>
      <c r="BL47" s="458"/>
      <c r="BM47" s="461"/>
      <c r="BN47" s="460">
        <f>((BN44+BN31)/BN71)-BN46</f>
        <v>1.3140311804009652E-3</v>
      </c>
      <c r="BO47" s="461"/>
      <c r="BP47" s="460">
        <f>((BP44+BP31)/BP71)-BP46</f>
        <v>-1.5844785772030079E-3</v>
      </c>
      <c r="BQ47" s="461"/>
      <c r="BR47" s="460">
        <f>((BR44+BR31)/BR71)-BR46</f>
        <v>4.9049662783540171E-4</v>
      </c>
      <c r="BS47" s="461"/>
      <c r="BT47" s="460">
        <f>((BT44+BT31)/BT71)-BT46</f>
        <v>-4.0461215932914296E-3</v>
      </c>
      <c r="BU47" s="461"/>
      <c r="BV47" s="460">
        <f>((BV44+BV31)/BV71)-BV46</f>
        <v>1.8848167539267102E-3</v>
      </c>
      <c r="BW47" s="461"/>
      <c r="BX47" s="460">
        <f>((BX44+BX31)/BX71)-BX46</f>
        <v>-3.4952481520598155E-3</v>
      </c>
      <c r="BY47" s="461"/>
      <c r="BZ47" s="460">
        <f>((BZ44+BZ31)/BZ71)-BZ46</f>
        <v>1.6447647308182045E-3</v>
      </c>
      <c r="CA47" s="461"/>
      <c r="CB47" s="460">
        <f>((CB44+CB31)/CB71)-CB46</f>
        <v>-8.5124494573318721E-5</v>
      </c>
      <c r="CC47" s="461"/>
      <c r="CD47" s="460">
        <f>((CD44+CD31)/CD71)-CD46</f>
        <v>-4.5537417850327611E-3</v>
      </c>
      <c r="CE47" s="461"/>
      <c r="CF47" s="460">
        <f>((CF44+CF31)/CF71)-CF46</f>
        <v>4.5362134688691214E-3</v>
      </c>
      <c r="CG47" s="461"/>
      <c r="CH47" s="460">
        <f>((CH44+CH31)/CH71)-CH46</f>
        <v>1.7796610169491522E-3</v>
      </c>
      <c r="CI47" s="461"/>
      <c r="CJ47" s="460">
        <f>((CJ44+CJ31)/CJ71)-CJ46</f>
        <v>2.580645161290307E-3</v>
      </c>
      <c r="CK47" s="461"/>
      <c r="CL47" s="460">
        <f>((CL44+CL31)/CL71)-CL46</f>
        <v>-5.4414567012495141E-4</v>
      </c>
      <c r="CM47" s="461"/>
      <c r="CN47" s="460">
        <f>((CN44+CN31)/CN71)-CN46</f>
        <v>1.7502124044179723E-3</v>
      </c>
      <c r="CO47" s="461"/>
      <c r="CP47" s="460">
        <f>((CP44+CP31)/CP71)-CP46</f>
        <v>-4.9253731343283924E-3</v>
      </c>
      <c r="CQ47" s="461"/>
      <c r="CR47" s="460">
        <f>((CR44+CR31)/CR71)-CR46</f>
        <v>-3.6881559220391935E-3</v>
      </c>
      <c r="CS47" s="461"/>
      <c r="CT47" s="460">
        <f>((CT44+CT31)/CT71)-CT46</f>
        <v>1.9132488726647523E-3</v>
      </c>
      <c r="CU47" s="461"/>
      <c r="CV47" s="460">
        <f>((CV44+CV31)/CV71)-CV46</f>
        <v>3.4412081984900311E-3</v>
      </c>
      <c r="CW47" s="461"/>
      <c r="CX47" s="460">
        <f>((CX44+CX31)/CX71)-CX46</f>
        <v>-3.7646040675021197E-4</v>
      </c>
      <c r="CY47" s="461"/>
      <c r="CZ47" s="460">
        <f>((CZ44+CZ31)/CZ71)-CZ46</f>
        <v>-1.8264840182649067E-3</v>
      </c>
      <c r="DA47" s="461"/>
      <c r="DB47" s="460">
        <f>((DB44+DB31)/DB71)-DB46</f>
        <v>-4.1958041958034542E-4</v>
      </c>
      <c r="DC47" s="461"/>
      <c r="DD47" s="460">
        <f>((DD44+DD31)/DD71)-DD46</f>
        <v>-1.4466948586688844E-4</v>
      </c>
      <c r="DE47" s="461"/>
      <c r="DF47" s="460">
        <f>((DF44+DF31)/DF71)-DF46</f>
        <v>7.044789556607256E-4</v>
      </c>
      <c r="DG47" s="461"/>
      <c r="DH47" s="460">
        <f>((DH44+DH31)/DH71)-DH46</f>
        <v>-2.4715779899954549E-2</v>
      </c>
      <c r="DI47" s="461"/>
      <c r="DJ47" s="460">
        <f>((DJ44+DJ31)/DJ71)-DJ46</f>
        <v>-2.5033022090640067E-2</v>
      </c>
      <c r="DK47" s="461"/>
      <c r="DL47" s="460">
        <f>((DL44+DL31)/DL71)-DL46</f>
        <v>-8.4822980514136503E-3</v>
      </c>
      <c r="DM47" s="461"/>
      <c r="DN47" s="460">
        <f>((DN44+DN31)/DN71)-DN46</f>
        <v>-2.275862068965484E-2</v>
      </c>
      <c r="DO47" s="461"/>
      <c r="DP47" s="460">
        <f>((DP44+DP31)/DP71)-DP46</f>
        <v>-2.4243124566673657E-2</v>
      </c>
      <c r="DQ47" s="461"/>
      <c r="DR47" s="460">
        <f>((DR44+DR31)/DR71)-DR46</f>
        <v>-3.0887417524914085E-3</v>
      </c>
      <c r="DS47" s="461"/>
      <c r="DT47" s="460">
        <f>((DT44+DT31)/DT71)-DT46</f>
        <v>4.452927529227324E-3</v>
      </c>
      <c r="DU47" s="461"/>
      <c r="DV47" s="460">
        <f>((DV44+DV31)/DV71)-DV46</f>
        <v>1.6833311249744298E-3</v>
      </c>
      <c r="DW47" s="461"/>
      <c r="DX47" s="460">
        <f>((DX44+DX31)/DX71)-DX46</f>
        <v>3.0923999705627647E-3</v>
      </c>
      <c r="DY47" s="461"/>
      <c r="DZ47" s="460"/>
      <c r="EA47" s="461"/>
      <c r="EB47" s="459"/>
      <c r="EC47" s="458"/>
      <c r="ED47" s="459"/>
      <c r="EE47" s="458"/>
      <c r="EF47" s="459"/>
      <c r="EG47" s="458"/>
      <c r="EH47" s="459"/>
      <c r="EI47" s="458"/>
      <c r="EJ47" s="461"/>
      <c r="EK47" s="458"/>
      <c r="EL47" s="461"/>
      <c r="EM47" s="458"/>
      <c r="EN47" s="461"/>
      <c r="EO47" s="458"/>
      <c r="EP47" s="461"/>
      <c r="EQ47" s="458"/>
      <c r="ER47" s="461"/>
      <c r="ES47" s="460">
        <f>(ES36/ES74)-ES46</f>
        <v>0.31574680194718657</v>
      </c>
      <c r="ET47" s="461"/>
      <c r="EU47" s="460">
        <f>((EU44+EU31)/EU71)-EU46</f>
        <v>-1.9181585677749968E-3</v>
      </c>
      <c r="EV47" s="461"/>
      <c r="EW47" s="460">
        <f>((EW44+EW31)/EW71)-EW46</f>
        <v>3.8606223912929227E-3</v>
      </c>
      <c r="EX47" s="461"/>
      <c r="EY47" s="460">
        <f>((EY44+EY31)/EY71)-EY46</f>
        <v>-1.2749721795355384E-3</v>
      </c>
      <c r="EZ47" s="461"/>
      <c r="FA47" s="460">
        <f>((FA44+FA31)/FA71)-FA46</f>
        <v>-7.6972418216758598E-4</v>
      </c>
      <c r="FB47" s="461"/>
      <c r="FC47" s="460">
        <f>((FC44+FC31)/FC71)-FC46</f>
        <v>3.5272511208361834E-4</v>
      </c>
      <c r="FD47" s="461"/>
      <c r="FE47" s="460">
        <f>((FE44+FE31)/FE71)-FE46</f>
        <v>4.1261864879942323E-3</v>
      </c>
      <c r="FF47" s="461"/>
      <c r="FG47" s="460">
        <f>((FG44+FG31)/FG71)-FG46</f>
        <v>-3.1639182587532844E-3</v>
      </c>
      <c r="FH47" s="461"/>
      <c r="FI47" s="460">
        <f>((FI44+FI31)/FI71)-FI46</f>
        <v>2.7605557362910815E-3</v>
      </c>
      <c r="FJ47" s="461"/>
      <c r="FK47" s="460">
        <f>((FK44+FK31)/FK71)-FK46</f>
        <v>1.4526360923454718E-3</v>
      </c>
      <c r="FL47" s="461"/>
      <c r="FM47" s="460">
        <f>((FM44+FM31)/FM71)-FM46</f>
        <v>-4.3270200470679754E-4</v>
      </c>
      <c r="FN47" s="461"/>
      <c r="FO47" s="460">
        <f>((FO44+FO31)/FO71)-FO46</f>
        <v>-1.1884398551895714E-3</v>
      </c>
      <c r="FP47" s="461"/>
      <c r="FQ47" s="460">
        <f>((FQ44+FQ31)/FQ71)-FQ46</f>
        <v>2.8749646216734703E-3</v>
      </c>
      <c r="FR47" s="461"/>
      <c r="FS47" s="833"/>
    </row>
    <row r="48" spans="1:176" s="529" customFormat="1" ht="6" customHeight="1" collapsed="1" x14ac:dyDescent="0.2">
      <c r="A48" s="841"/>
      <c r="B48" s="479"/>
      <c r="C48" s="439"/>
      <c r="D48" s="479"/>
      <c r="E48" s="439"/>
      <c r="F48" s="479"/>
      <c r="G48" s="439"/>
      <c r="H48" s="479"/>
      <c r="I48" s="439"/>
      <c r="J48" s="479"/>
      <c r="K48" s="439"/>
      <c r="L48" s="479"/>
      <c r="M48" s="439"/>
      <c r="N48" s="479"/>
      <c r="O48" s="439"/>
      <c r="P48" s="479"/>
      <c r="Q48" s="439"/>
      <c r="R48" s="479"/>
      <c r="S48" s="439"/>
      <c r="T48" s="479"/>
      <c r="U48" s="439"/>
      <c r="V48" s="479"/>
      <c r="W48" s="439"/>
      <c r="X48" s="479"/>
      <c r="Y48" s="439"/>
      <c r="Z48" s="479"/>
      <c r="AA48" s="439"/>
      <c r="AB48" s="479"/>
      <c r="AC48" s="439"/>
      <c r="AD48" s="479"/>
      <c r="AE48" s="439"/>
      <c r="AF48" s="479"/>
      <c r="AG48" s="439"/>
      <c r="AH48" s="479"/>
      <c r="AI48" s="438"/>
      <c r="AJ48" s="479"/>
      <c r="AK48" s="438"/>
      <c r="AL48" s="479"/>
      <c r="AM48" s="438"/>
      <c r="AN48" s="479"/>
      <c r="AO48" s="438"/>
      <c r="AP48" s="479"/>
      <c r="AQ48" s="438"/>
      <c r="AR48" s="479"/>
      <c r="AS48" s="438"/>
      <c r="AT48" s="479"/>
      <c r="AU48" s="438"/>
      <c r="AV48" s="479"/>
      <c r="AW48" s="438"/>
      <c r="AX48" s="479"/>
      <c r="AY48" s="438"/>
      <c r="AZ48" s="479"/>
      <c r="BA48" s="438"/>
      <c r="BB48" s="479"/>
      <c r="BC48" s="438"/>
      <c r="BD48" s="479"/>
      <c r="BE48" s="438"/>
      <c r="BF48" s="479"/>
      <c r="BG48" s="438"/>
      <c r="BH48" s="479"/>
      <c r="BI48" s="438"/>
      <c r="BJ48" s="479"/>
      <c r="BK48" s="438"/>
      <c r="BL48" s="479"/>
      <c r="BM48" s="438"/>
      <c r="BN48" s="479"/>
      <c r="BO48" s="438"/>
      <c r="BP48" s="479"/>
      <c r="BQ48" s="438"/>
      <c r="BR48" s="479"/>
      <c r="BS48" s="438"/>
      <c r="BT48" s="479"/>
      <c r="BU48" s="438"/>
      <c r="BV48" s="479"/>
      <c r="BW48" s="438"/>
      <c r="BX48" s="479"/>
      <c r="BY48" s="438"/>
      <c r="BZ48" s="479"/>
      <c r="CA48" s="438"/>
      <c r="CB48" s="479"/>
      <c r="CC48" s="438"/>
      <c r="CD48" s="479"/>
      <c r="CE48" s="438"/>
      <c r="CF48" s="479"/>
      <c r="CG48" s="438"/>
      <c r="CH48" s="479"/>
      <c r="CI48" s="438"/>
      <c r="CJ48" s="479"/>
      <c r="CK48" s="438"/>
      <c r="CL48" s="479"/>
      <c r="CM48" s="438"/>
      <c r="CN48" s="479"/>
      <c r="CO48" s="438"/>
      <c r="CP48" s="479"/>
      <c r="CQ48" s="438"/>
      <c r="CR48" s="479"/>
      <c r="CS48" s="438"/>
      <c r="CT48" s="479"/>
      <c r="CU48" s="438"/>
      <c r="CV48" s="479"/>
      <c r="CW48" s="438"/>
      <c r="CX48" s="479"/>
      <c r="CY48" s="438"/>
      <c r="CZ48" s="479"/>
      <c r="DA48" s="438"/>
      <c r="DB48" s="479"/>
      <c r="DC48" s="438"/>
      <c r="DD48" s="479"/>
      <c r="DE48" s="438"/>
      <c r="DF48" s="479"/>
      <c r="DG48" s="438"/>
      <c r="DH48" s="479"/>
      <c r="DI48" s="438"/>
      <c r="DJ48" s="479"/>
      <c r="DK48" s="438"/>
      <c r="DL48" s="479"/>
      <c r="DM48" s="438"/>
      <c r="DN48" s="479"/>
      <c r="DO48" s="438"/>
      <c r="DP48" s="479"/>
      <c r="DQ48" s="438"/>
      <c r="DR48" s="479"/>
      <c r="DS48" s="438"/>
      <c r="DT48" s="479"/>
      <c r="DU48" s="438"/>
      <c r="DV48" s="479"/>
      <c r="DW48" s="438"/>
      <c r="DX48" s="479"/>
      <c r="DY48" s="438"/>
      <c r="DZ48" s="479"/>
      <c r="EA48" s="438"/>
      <c r="EB48" s="439"/>
      <c r="EC48" s="479"/>
      <c r="ED48" s="439"/>
      <c r="EE48" s="479"/>
      <c r="EF48" s="439"/>
      <c r="EG48" s="479"/>
      <c r="EH48" s="439"/>
      <c r="EI48" s="479"/>
      <c r="EJ48" s="438"/>
      <c r="EK48" s="479"/>
      <c r="EL48" s="438"/>
      <c r="EM48" s="479"/>
      <c r="EN48" s="438"/>
      <c r="EO48" s="479"/>
      <c r="EP48" s="438"/>
      <c r="EQ48" s="479"/>
      <c r="ER48" s="438"/>
      <c r="ES48" s="479"/>
      <c r="ET48" s="438"/>
      <c r="EU48" s="479"/>
      <c r="EV48" s="438"/>
      <c r="EW48" s="479"/>
      <c r="EX48" s="438"/>
      <c r="EY48" s="479"/>
      <c r="EZ48" s="438"/>
      <c r="FA48" s="479"/>
      <c r="FB48" s="438"/>
      <c r="FC48" s="479"/>
      <c r="FD48" s="438"/>
      <c r="FE48" s="479"/>
      <c r="FF48" s="438"/>
      <c r="FG48" s="479"/>
      <c r="FH48" s="438"/>
      <c r="FI48" s="479"/>
      <c r="FJ48" s="438"/>
      <c r="FK48" s="479"/>
      <c r="FL48" s="438"/>
      <c r="FM48" s="479"/>
      <c r="FN48" s="438"/>
      <c r="FO48" s="479"/>
      <c r="FP48" s="438"/>
      <c r="FQ48" s="479"/>
      <c r="FR48" s="438"/>
      <c r="FS48" s="827"/>
    </row>
    <row r="49" spans="1:175" s="529" customFormat="1" ht="12.75" customHeight="1" x14ac:dyDescent="0.2">
      <c r="A49" s="841" t="str">
        <f>INPUT!B689</f>
        <v>Profitability</v>
      </c>
      <c r="B49" s="462"/>
      <c r="C49" s="483"/>
      <c r="D49" s="462"/>
      <c r="E49" s="483"/>
      <c r="F49" s="462"/>
      <c r="G49" s="483"/>
      <c r="H49" s="462"/>
      <c r="I49" s="483"/>
      <c r="J49" s="462"/>
      <c r="K49" s="483"/>
      <c r="L49" s="462"/>
      <c r="M49" s="483"/>
      <c r="N49" s="462"/>
      <c r="O49" s="483"/>
      <c r="P49" s="462"/>
      <c r="Q49" s="483"/>
      <c r="R49" s="462"/>
      <c r="S49" s="483"/>
      <c r="T49" s="462"/>
      <c r="U49" s="483"/>
      <c r="V49" s="462"/>
      <c r="W49" s="483"/>
      <c r="X49" s="462"/>
      <c r="Y49" s="483"/>
      <c r="Z49" s="462"/>
      <c r="AA49" s="483"/>
      <c r="AB49" s="462"/>
      <c r="AC49" s="483"/>
      <c r="AD49" s="462"/>
      <c r="AE49" s="483"/>
      <c r="AF49" s="462"/>
      <c r="AG49" s="483"/>
      <c r="AH49" s="462"/>
      <c r="AI49" s="464"/>
      <c r="AJ49" s="462"/>
      <c r="AK49" s="464"/>
      <c r="AL49" s="462"/>
      <c r="AM49" s="464"/>
      <c r="AN49" s="462"/>
      <c r="AO49" s="464"/>
      <c r="AP49" s="462"/>
      <c r="AQ49" s="438"/>
      <c r="AR49" s="462"/>
      <c r="AS49" s="438"/>
      <c r="AT49" s="462"/>
      <c r="AU49" s="438"/>
      <c r="AV49" s="462"/>
      <c r="AW49" s="438"/>
      <c r="AX49" s="462"/>
      <c r="AY49" s="438"/>
      <c r="AZ49" s="462"/>
      <c r="BA49" s="438"/>
      <c r="BB49" s="462"/>
      <c r="BC49" s="438"/>
      <c r="BD49" s="462"/>
      <c r="BE49" s="438"/>
      <c r="BF49" s="462"/>
      <c r="BG49" s="438"/>
      <c r="BH49" s="462"/>
      <c r="BI49" s="438"/>
      <c r="BJ49" s="462"/>
      <c r="BK49" s="438"/>
      <c r="BL49" s="462"/>
      <c r="BM49" s="438"/>
      <c r="BN49" s="462"/>
      <c r="BO49" s="438"/>
      <c r="BP49" s="462"/>
      <c r="BQ49" s="438"/>
      <c r="BR49" s="462"/>
      <c r="BS49" s="438"/>
      <c r="BT49" s="462"/>
      <c r="BU49" s="438"/>
      <c r="BV49" s="462"/>
      <c r="BW49" s="438"/>
      <c r="BX49" s="462"/>
      <c r="BY49" s="438"/>
      <c r="BZ49" s="462"/>
      <c r="CA49" s="438"/>
      <c r="CB49" s="462"/>
      <c r="CC49" s="438"/>
      <c r="CD49" s="462"/>
      <c r="CE49" s="438"/>
      <c r="CF49" s="462"/>
      <c r="CG49" s="438"/>
      <c r="CH49" s="462"/>
      <c r="CI49" s="438"/>
      <c r="CJ49" s="462"/>
      <c r="CK49" s="438"/>
      <c r="CL49" s="462"/>
      <c r="CM49" s="438"/>
      <c r="CN49" s="462"/>
      <c r="CO49" s="438"/>
      <c r="CP49" s="462"/>
      <c r="CQ49" s="438"/>
      <c r="CR49" s="462"/>
      <c r="CS49" s="438"/>
      <c r="CT49" s="462"/>
      <c r="CU49" s="438"/>
      <c r="CV49" s="462"/>
      <c r="CW49" s="438"/>
      <c r="CX49" s="462"/>
      <c r="CY49" s="438"/>
      <c r="CZ49" s="462"/>
      <c r="DA49" s="438"/>
      <c r="DB49" s="462"/>
      <c r="DC49" s="438"/>
      <c r="DD49" s="462"/>
      <c r="DE49" s="438"/>
      <c r="DF49" s="462"/>
      <c r="DG49" s="438"/>
      <c r="DH49" s="462"/>
      <c r="DI49" s="438"/>
      <c r="DJ49" s="462"/>
      <c r="DK49" s="438"/>
      <c r="DL49" s="462"/>
      <c r="DM49" s="438"/>
      <c r="DN49" s="462"/>
      <c r="DO49" s="438"/>
      <c r="DP49" s="462"/>
      <c r="DQ49" s="438"/>
      <c r="DR49" s="462"/>
      <c r="DS49" s="438"/>
      <c r="DT49" s="462"/>
      <c r="DU49" s="438"/>
      <c r="DV49" s="462"/>
      <c r="DW49" s="438"/>
      <c r="DX49" s="462"/>
      <c r="DY49" s="438"/>
      <c r="DZ49" s="462"/>
      <c r="EA49" s="438"/>
      <c r="EB49" s="483"/>
      <c r="EC49" s="462"/>
      <c r="ED49" s="483"/>
      <c r="EE49" s="462"/>
      <c r="EF49" s="483"/>
      <c r="EG49" s="462"/>
      <c r="EH49" s="483"/>
      <c r="EI49" s="462"/>
      <c r="EJ49" s="438"/>
      <c r="EK49" s="462"/>
      <c r="EL49" s="438"/>
      <c r="EM49" s="462"/>
      <c r="EN49" s="438"/>
      <c r="EO49" s="462"/>
      <c r="EP49" s="438"/>
      <c r="EQ49" s="462"/>
      <c r="ER49" s="438"/>
      <c r="ES49" s="462"/>
      <c r="ET49" s="438"/>
      <c r="EU49" s="462"/>
      <c r="EV49" s="438"/>
      <c r="EW49" s="462"/>
      <c r="EX49" s="438"/>
      <c r="EY49" s="462"/>
      <c r="EZ49" s="438"/>
      <c r="FA49" s="462"/>
      <c r="FB49" s="438"/>
      <c r="FC49" s="462"/>
      <c r="FD49" s="438"/>
      <c r="FE49" s="462"/>
      <c r="FF49" s="438"/>
      <c r="FG49" s="462"/>
      <c r="FH49" s="438"/>
      <c r="FI49" s="462"/>
      <c r="FJ49" s="438"/>
      <c r="FK49" s="462"/>
      <c r="FL49" s="438"/>
      <c r="FM49" s="462"/>
      <c r="FN49" s="438"/>
      <c r="FO49" s="462"/>
      <c r="FP49" s="438"/>
      <c r="FQ49" s="462"/>
      <c r="FR49" s="438"/>
      <c r="FS49" s="835"/>
    </row>
    <row r="50" spans="1:175" s="529" customFormat="1" ht="12.75" customHeight="1" x14ac:dyDescent="0.2">
      <c r="A50" s="831" t="str">
        <f>INPUT!B690</f>
        <v>Operating ROE (Excl FAS 115)(%)</v>
      </c>
      <c r="B50" s="457">
        <f>INPUT!AA690</f>
        <v>9.8019722169976085</v>
      </c>
      <c r="C50" s="439">
        <f>INPUT!AB690</f>
        <v>-4.8276118647185626</v>
      </c>
      <c r="D50" s="457">
        <f>INPUT!AC690</f>
        <v>11.853767612274039</v>
      </c>
      <c r="E50" s="439">
        <f>INPUT!AD690</f>
        <v>21.981334624173954</v>
      </c>
      <c r="F50" s="457">
        <f>INPUT!AE690</f>
        <v>11.195297543613664</v>
      </c>
      <c r="G50" s="439">
        <f>INPUT!AF690</f>
        <v>21.812182605484182</v>
      </c>
      <c r="H50" s="457">
        <f>INPUT!AG690</f>
        <v>12.109785331429956</v>
      </c>
      <c r="I50" s="439">
        <f>INPUT!AH690</f>
        <v>52.072816193296234</v>
      </c>
      <c r="J50" s="457">
        <f>INPUT!AI690</f>
        <v>12.15615486165369</v>
      </c>
      <c r="K50" s="439">
        <f>INPUT!AJ690</f>
        <v>24.017438455637446</v>
      </c>
      <c r="L50" s="457">
        <f>INPUT!AK690</f>
        <v>15.50296175185612</v>
      </c>
      <c r="M50" s="439">
        <f>INPUT!AL690</f>
        <v>30.785099378897115</v>
      </c>
      <c r="N50" s="457">
        <f>INPUT!AM690</f>
        <v>15.088741721854305</v>
      </c>
      <c r="O50" s="439">
        <f>INPUT!AN690</f>
        <v>34.777496203856117</v>
      </c>
      <c r="P50" s="457">
        <f>INPUT!AO690</f>
        <v>15.880376169015554</v>
      </c>
      <c r="Q50" s="439">
        <f>INPUT!AP690</f>
        <v>31.136727319181603</v>
      </c>
      <c r="R50" s="457">
        <f>INPUT!AQ690</f>
        <v>17.730731061859082</v>
      </c>
      <c r="S50" s="439">
        <f>INPUT!AR690</f>
        <v>45.858055146946697</v>
      </c>
      <c r="T50" s="457">
        <f>INPUT!AS690</f>
        <v>16.099902982661259</v>
      </c>
      <c r="U50" s="439">
        <f>INPUT!AT690</f>
        <v>3.8504979910285186</v>
      </c>
      <c r="V50" s="457">
        <f>INPUT!AU690</f>
        <v>19.335347432024168</v>
      </c>
      <c r="W50" s="439">
        <f>INPUT!AV690</f>
        <v>28.144200414134872</v>
      </c>
      <c r="X50" s="457">
        <f>INPUT!AW690</f>
        <v>14.43224675106296</v>
      </c>
      <c r="Y50" s="439">
        <f>INPUT!AX690</f>
        <v>-9.1189868712181976</v>
      </c>
      <c r="Z50" s="457">
        <f>INPUT!AY690</f>
        <v>11.671473232678187</v>
      </c>
      <c r="AA50" s="439">
        <f>INPUT!AZ690</f>
        <v>-34.173761973160154</v>
      </c>
      <c r="AB50" s="457">
        <f>INPUT!BA690</f>
        <v>12.545678952590691</v>
      </c>
      <c r="AC50" s="439">
        <f>INPUT!BB690</f>
        <v>-22.076058681212416</v>
      </c>
      <c r="AD50" s="457">
        <f>INPUT!BC690</f>
        <v>14.838894731809923</v>
      </c>
      <c r="AE50" s="439">
        <f>INPUT!BD690</f>
        <v>-23.255091308920555</v>
      </c>
      <c r="AF50" s="457">
        <f>INPUT!BE690</f>
        <v>13.520011313816999</v>
      </c>
      <c r="AG50" s="439">
        <f>INPUT!BF690</f>
        <v>-6.3208137511837776</v>
      </c>
      <c r="AH50" s="456">
        <f>INPUT!BG690</f>
        <v>14.653918978938263</v>
      </c>
      <c r="AI50" s="438">
        <f>INPUT!BH690</f>
        <v>25.553292945998663</v>
      </c>
      <c r="AJ50" s="456">
        <f>INPUT!BI690</f>
        <v>14.739751266697374</v>
      </c>
      <c r="AK50" s="438">
        <f>INPUT!BJ690</f>
        <v>17.488669384876971</v>
      </c>
      <c r="AL50" s="456">
        <f>INPUT!BK690</f>
        <v>16.819807178744398</v>
      </c>
      <c r="AM50" s="438">
        <f>INPUT!BL690</f>
        <v>13.349460877891545</v>
      </c>
      <c r="AN50" s="456">
        <f>INPUT!BM690</f>
        <v>14.512762883287847</v>
      </c>
      <c r="AO50" s="438">
        <f>INPUT!BN690</f>
        <v>7.3428309076656575</v>
      </c>
      <c r="AP50" s="456">
        <f>INPUT!BO690</f>
        <v>12.545213131266882</v>
      </c>
      <c r="AQ50" s="438">
        <f>INPUT!BP690</f>
        <v>-14.390047131434088</v>
      </c>
      <c r="AR50" s="456">
        <f>INPUT!BQ690</f>
        <v>14.909459399920694</v>
      </c>
      <c r="AS50" s="438">
        <f>INPUT!BR690</f>
        <v>1.1513636163369654</v>
      </c>
      <c r="AT50" s="456">
        <f>INPUT!BS690</f>
        <v>7.3098354006105755</v>
      </c>
      <c r="AU50" s="438" t="str">
        <f>INPUT!BT690</f>
        <v>NM</v>
      </c>
      <c r="AV50" s="456">
        <f>INPUT!BU690</f>
        <v>-15.831912638805695</v>
      </c>
      <c r="AW50" s="438" t="str">
        <f>INPUT!BV690</f>
        <v>NM</v>
      </c>
      <c r="AX50" s="456">
        <f>INPUT!BW690</f>
        <v>4.0234365177156937</v>
      </c>
      <c r="AY50" s="438" t="str">
        <f>INPUT!BX690</f>
        <v>NM</v>
      </c>
      <c r="AZ50" s="456">
        <f>INPUT!BY690</f>
        <v>16.233031674208146</v>
      </c>
      <c r="BA50" s="438">
        <f>INPUT!BZ690</f>
        <v>8.8773995004439428</v>
      </c>
      <c r="BB50" s="456">
        <f>INPUT!CA690</f>
        <v>14.407449705701483</v>
      </c>
      <c r="BC50" s="438">
        <f>INPUT!CB690</f>
        <v>97.096773266578055</v>
      </c>
      <c r="BD50" s="456">
        <f>INPUT!CC690</f>
        <v>9.3038738401364789</v>
      </c>
      <c r="BE50" s="438" t="str">
        <f>INPUT!CD690</f>
        <v>NM</v>
      </c>
      <c r="BF50" s="456">
        <f>INPUT!CE690</f>
        <v>10.738480253361018</v>
      </c>
      <c r="BG50" s="438" t="str">
        <f>INPUT!CF690</f>
        <v>NM</v>
      </c>
      <c r="BH50" s="456">
        <f>INPUT!CG690</f>
        <v>6.6485782041147692</v>
      </c>
      <c r="BI50" s="438" t="str">
        <f>INPUT!CH690</f>
        <v>NM</v>
      </c>
      <c r="BJ50" s="456">
        <f>INPUT!CI690</f>
        <v>14.789035150572193</v>
      </c>
      <c r="BK50" s="438">
        <f>INPUT!CJ690</f>
        <v>2.6485287310751744</v>
      </c>
      <c r="BL50" s="456">
        <f>INPUT!CK690</f>
        <v>12.452039080732566</v>
      </c>
      <c r="BM50" s="438">
        <f>INPUT!CL690</f>
        <v>33.837144556013328</v>
      </c>
      <c r="BN50" s="456">
        <f>INPUT!CM690</f>
        <v>12.44104525175271</v>
      </c>
      <c r="BO50" s="438">
        <f>INPUT!CN690</f>
        <v>15.854804015296381</v>
      </c>
      <c r="BP50" s="456">
        <f>INPUT!CO690</f>
        <v>11.924593488302229</v>
      </c>
      <c r="BQ50" s="438">
        <f>INPUT!CP690</f>
        <v>79.35554222588766</v>
      </c>
      <c r="BR50" s="456">
        <f>INPUT!CQ690</f>
        <v>6.3738902634259933</v>
      </c>
      <c r="BS50" s="438" t="str">
        <f>INPUT!CR690</f>
        <v>NM</v>
      </c>
      <c r="BT50" s="456">
        <f>INPUT!CS690</f>
        <v>13.110536150639643</v>
      </c>
      <c r="BU50" s="438">
        <f>INPUT!CT690</f>
        <v>5.2882669708770038</v>
      </c>
      <c r="BV50" s="456">
        <f>INPUT!CU690</f>
        <v>12.167644408481525</v>
      </c>
      <c r="BW50" s="438">
        <f>INPUT!CV690</f>
        <v>-2.1975713273180872</v>
      </c>
      <c r="BX50" s="456">
        <f>INPUT!CW690</f>
        <v>9.8575663364904926</v>
      </c>
      <c r="BY50" s="438">
        <f>INPUT!CX690</f>
        <v>-17.334151925928921</v>
      </c>
      <c r="BZ50" s="456">
        <f>INPUT!CY690</f>
        <v>10.985652012777297</v>
      </c>
      <c r="CA50" s="438">
        <f>INPUT!CZ690</f>
        <v>72.35395588490195</v>
      </c>
      <c r="CB50" s="456">
        <f>INPUT!DA690</f>
        <v>12.139947628745999</v>
      </c>
      <c r="CC50" s="438">
        <f>INPUT!DB690</f>
        <v>-7.4031184593949035</v>
      </c>
      <c r="CD50" s="456">
        <f>INPUT!DC690</f>
        <v>16.106025002349845</v>
      </c>
      <c r="CE50" s="438">
        <f>INPUT!DD690</f>
        <v>32.367650316301564</v>
      </c>
      <c r="CF50" s="456">
        <f>INPUT!DE690</f>
        <v>16.954310779861032</v>
      </c>
      <c r="CG50" s="438">
        <f>INPUT!DF690</f>
        <v>71.992865187221611</v>
      </c>
      <c r="CH50" s="456">
        <f>INPUT!DG690</f>
        <v>21.351188274909006</v>
      </c>
      <c r="CI50" s="438">
        <f>INPUT!DH690</f>
        <v>94.355221247456797</v>
      </c>
      <c r="CJ50" s="456">
        <f>INPUT!DI690</f>
        <v>16.288157715309843</v>
      </c>
      <c r="CK50" s="438">
        <f>INPUT!DJ690</f>
        <v>34.169917477579219</v>
      </c>
      <c r="CL50" s="456">
        <f>INPUT!DK690</f>
        <v>17.659872413256576</v>
      </c>
      <c r="CM50" s="438">
        <f>INPUT!DL690</f>
        <v>9.6476157877566209</v>
      </c>
      <c r="CN50" s="456">
        <f>INPUT!DM690</f>
        <v>17.743155347148694</v>
      </c>
      <c r="CO50" s="438">
        <f>INPUT!DN690</f>
        <v>4.6527669424620797</v>
      </c>
      <c r="CP50" s="456">
        <f>INPUT!DO690</f>
        <v>15.3748648547888</v>
      </c>
      <c r="CQ50" s="438">
        <f>INPUT!DP690</f>
        <v>-27.990589297286675</v>
      </c>
      <c r="CR50" s="456">
        <f>INPUT!DQ690</f>
        <v>15.222996113441337</v>
      </c>
      <c r="CS50" s="438">
        <f>INPUT!DR690</f>
        <v>-6.5394848237951493</v>
      </c>
      <c r="CT50" s="456">
        <f>INPUT!DS690</f>
        <v>19.815281276238455</v>
      </c>
      <c r="CU50" s="438">
        <f>INPUT!DT690</f>
        <v>12.205121376550252</v>
      </c>
      <c r="CV50" s="456">
        <f>INPUT!DU690</f>
        <v>19.416777534069254</v>
      </c>
      <c r="CW50" s="438">
        <f>INPUT!DV690</f>
        <v>9.4324946954235571</v>
      </c>
      <c r="CX50" s="456">
        <f>INPUT!DW690</f>
        <v>15.423628721297808</v>
      </c>
      <c r="CY50" s="438">
        <f>INPUT!DX690</f>
        <v>0.31716614727719161</v>
      </c>
      <c r="CZ50" s="456">
        <f>INPUT!DY690</f>
        <v>12.109680269104006</v>
      </c>
      <c r="DA50" s="438">
        <f>INPUT!DZ690</f>
        <v>-20.451400112940902</v>
      </c>
      <c r="DB50" s="456">
        <f>INPUT!EA690</f>
        <v>13.342031749217979</v>
      </c>
      <c r="DC50" s="438">
        <f>INPUT!EB690</f>
        <v>-32.667966892717743</v>
      </c>
      <c r="DD50" s="456">
        <f>INPUT!EC690</f>
        <v>10.933430050446766</v>
      </c>
      <c r="DE50" s="438">
        <f>INPUT!ED690</f>
        <v>-43.690810530930555</v>
      </c>
      <c r="DF50" s="456">
        <f>INPUT!EE690</f>
        <v>15.248112537910563</v>
      </c>
      <c r="DG50" s="438">
        <f>INPUT!EF690</f>
        <v>-1.1379694529659048</v>
      </c>
      <c r="DH50" s="456">
        <f>INPUT!EG690</f>
        <v>13.782112577293301</v>
      </c>
      <c r="DI50" s="438">
        <f>INPUT!EH690</f>
        <v>13.810705741391445</v>
      </c>
      <c r="DJ50" s="456">
        <f>INPUT!EI690</f>
        <v>15.486802454916933</v>
      </c>
      <c r="DK50" s="438">
        <f>INPUT!EJ690</f>
        <v>16.075293073895352</v>
      </c>
      <c r="DL50" s="456">
        <f>INPUT!EK690</f>
        <v>11.385329243417468</v>
      </c>
      <c r="DM50" s="438">
        <f>INPUT!EL690</f>
        <v>4.133187763452483</v>
      </c>
      <c r="DN50" s="456">
        <f>INPUT!EM690</f>
        <v>15.925414154911399</v>
      </c>
      <c r="DO50" s="438">
        <f>INPUT!EN690</f>
        <v>4.4418718403139934</v>
      </c>
      <c r="DP50" s="456">
        <f>INPUT!EO690</f>
        <v>13.135509396636994</v>
      </c>
      <c r="DQ50" s="438">
        <f>INPUT!EP690</f>
        <v>-4.6916115147805186</v>
      </c>
      <c r="DR50" s="456">
        <f>INPUT!EQ690</f>
        <v>14.074218974261111</v>
      </c>
      <c r="DS50" s="438">
        <f>INPUT!ER690</f>
        <v>-9.1212081045647864</v>
      </c>
      <c r="DT50" s="456">
        <f>INPUT!ES690</f>
        <v>13.851816461538952</v>
      </c>
      <c r="DU50" s="438">
        <f>INPUT!ET690</f>
        <v>21.663732030828228</v>
      </c>
      <c r="DV50" s="456">
        <f>INPUT!EU690</f>
        <v>13.622507077419744</v>
      </c>
      <c r="DW50" s="438">
        <f>INPUT!EV690</f>
        <v>-14.46057889038596</v>
      </c>
      <c r="DX50" s="456">
        <f>INPUT!EW690</f>
        <v>12.236518640438623</v>
      </c>
      <c r="DY50" s="438">
        <f>INPUT!EX690</f>
        <v>-6.8439733020824747</v>
      </c>
      <c r="DZ50" s="456"/>
      <c r="EA50" s="438"/>
      <c r="EB50" s="455" t="str">
        <f>INPUT!FI690</f>
        <v>NM</v>
      </c>
      <c r="EC50" s="456">
        <f>INPUT!FJ690</f>
        <v>3.4052089963929562</v>
      </c>
      <c r="ED50" s="455">
        <f>INPUT!FK690</f>
        <v>13.766216645716312</v>
      </c>
      <c r="EE50" s="456">
        <f>INPUT!FL690</f>
        <v>5.5687930292598962</v>
      </c>
      <c r="EF50" s="455">
        <f>INPUT!FM690</f>
        <v>63.537481404482492</v>
      </c>
      <c r="EG50" s="456">
        <f>INPUT!FN690</f>
        <v>8.4587010934000784</v>
      </c>
      <c r="EH50" s="455">
        <f>INPUT!FO690</f>
        <v>51.89469331964483</v>
      </c>
      <c r="EI50" s="456">
        <f>INPUT!FP690</f>
        <v>10.35329761129751</v>
      </c>
      <c r="EJ50" s="438">
        <f>INPUT!FQ690</f>
        <v>22.398196803238449</v>
      </c>
      <c r="EK50" s="456">
        <f>INPUT!FR690</f>
        <v>10.91782462865357</v>
      </c>
      <c r="EL50" s="438">
        <f>INPUT!FS690</f>
        <v>5.4526300561479815</v>
      </c>
      <c r="EM50" s="456">
        <f>INPUT!FT690</f>
        <v>12.93313857607313</v>
      </c>
      <c r="EN50" s="438">
        <f>INPUT!FU690</f>
        <v>18.458933129686102</v>
      </c>
      <c r="EO50" s="456">
        <f>INPUT!FV690</f>
        <v>-3.3434687722223586</v>
      </c>
      <c r="EP50" s="438" t="str">
        <f>INPUT!FW690</f>
        <v>NM</v>
      </c>
      <c r="EQ50" s="456">
        <f>INPUT!FX690</f>
        <v>4.913798947059222</v>
      </c>
      <c r="ER50" s="438" t="str">
        <f>INPUT!FY690</f>
        <v>NM</v>
      </c>
      <c r="ES50" s="456">
        <f>INPUT!FZ690</f>
        <v>8.0603988150857866</v>
      </c>
      <c r="ET50" s="438">
        <f>INPUT!GA690</f>
        <v>64.035991336391987</v>
      </c>
      <c r="EU50" s="456">
        <f>INPUT!GB690</f>
        <v>9.1275721708465412</v>
      </c>
      <c r="EV50" s="438">
        <f>INPUT!GC690</f>
        <v>13.239709104262204</v>
      </c>
      <c r="EW50" s="456">
        <f>INPUT!GD690</f>
        <v>9.4674556213017755</v>
      </c>
      <c r="EX50" s="438">
        <f>INPUT!GE690</f>
        <v>3.7237004988119651</v>
      </c>
      <c r="EY50" s="456">
        <f>INPUT!GF690</f>
        <v>18.277740609767754</v>
      </c>
      <c r="EZ50" s="438">
        <f>INPUT!GG690</f>
        <v>93.058635190671907</v>
      </c>
      <c r="FA50" s="456">
        <f>INPUT!GH690</f>
        <v>16.845906583594587</v>
      </c>
      <c r="FB50" s="438">
        <f>INPUT!GI690</f>
        <v>-7.8337583224481477</v>
      </c>
      <c r="FC50" s="456">
        <f>INPUT!GJ690</f>
        <v>16.996928926586722</v>
      </c>
      <c r="FD50" s="438">
        <f>INPUT!GK690</f>
        <v>0.89649282003740893</v>
      </c>
      <c r="FE50" s="456">
        <f>INPUT!GL690</f>
        <v>13.438624747317041</v>
      </c>
      <c r="FF50" s="438">
        <f>INPUT!GM690</f>
        <v>-20.934982988037063</v>
      </c>
      <c r="FG50" s="456">
        <f>INPUT!GN690</f>
        <v>13.52345501707285</v>
      </c>
      <c r="FH50" s="438">
        <f>INPUT!GO690</f>
        <v>0.63124219442724439</v>
      </c>
      <c r="FI50" s="456">
        <f>INPUT!GP690</f>
        <v>13.621637376011941</v>
      </c>
      <c r="FJ50" s="438">
        <f>INPUT!GQ690</f>
        <v>0.72601534752132579</v>
      </c>
      <c r="FK50" s="456">
        <f>INPUT!GR690</f>
        <v>13.213734891830779</v>
      </c>
      <c r="FL50" s="438">
        <f>INPUT!GS690</f>
        <v>-2.9945187419207713</v>
      </c>
      <c r="FM50" s="456">
        <f>INPUT!GT690</f>
        <v>12.921901813803997</v>
      </c>
      <c r="FN50" s="438">
        <f>INPUT!GU690</f>
        <v>-2.2085585976694802</v>
      </c>
      <c r="FO50" s="456">
        <f>INPUT!GV690</f>
        <v>12.704386112837597</v>
      </c>
      <c r="FP50" s="438">
        <f>INPUT!GW690</f>
        <v>-1.6833102750714062</v>
      </c>
      <c r="FQ50" s="456">
        <f>INPUT!GX690</f>
        <v>12.508518816983161</v>
      </c>
      <c r="FR50" s="438">
        <f>INPUT!GY690</f>
        <v>-1.5417297153501579</v>
      </c>
      <c r="FS50" s="827">
        <f>INPUT!GZ690</f>
        <v>-1.5482035567239816</v>
      </c>
    </row>
    <row r="51" spans="1:175" s="529" customFormat="1" ht="12.75" customHeight="1" x14ac:dyDescent="0.2">
      <c r="A51" s="831" t="s">
        <v>227</v>
      </c>
      <c r="B51" s="457"/>
      <c r="C51" s="439"/>
      <c r="D51" s="457"/>
      <c r="E51" s="439"/>
      <c r="F51" s="457"/>
      <c r="G51" s="439"/>
      <c r="H51" s="457"/>
      <c r="I51" s="439"/>
      <c r="J51" s="457"/>
      <c r="K51" s="439"/>
      <c r="L51" s="457"/>
      <c r="M51" s="439"/>
      <c r="N51" s="457"/>
      <c r="O51" s="439"/>
      <c r="P51" s="457"/>
      <c r="Q51" s="439"/>
      <c r="R51" s="457"/>
      <c r="S51" s="439"/>
      <c r="T51" s="457"/>
      <c r="U51" s="439"/>
      <c r="V51" s="457"/>
      <c r="W51" s="439"/>
      <c r="X51" s="457"/>
      <c r="Y51" s="439"/>
      <c r="Z51" s="457"/>
      <c r="AA51" s="439"/>
      <c r="AB51" s="457"/>
      <c r="AC51" s="439"/>
      <c r="AD51" s="457"/>
      <c r="AE51" s="439"/>
      <c r="AF51" s="457"/>
      <c r="AG51" s="439"/>
      <c r="AH51" s="456"/>
      <c r="AI51" s="438"/>
      <c r="AJ51" s="456"/>
      <c r="AK51" s="438"/>
      <c r="AL51" s="456"/>
      <c r="AM51" s="438"/>
      <c r="AN51" s="456"/>
      <c r="AO51" s="438"/>
      <c r="AP51" s="456"/>
      <c r="AQ51" s="438"/>
      <c r="AR51" s="456"/>
      <c r="AS51" s="438"/>
      <c r="AT51" s="456"/>
      <c r="AU51" s="438"/>
      <c r="AV51" s="456"/>
      <c r="AW51" s="438"/>
      <c r="AX51" s="456"/>
      <c r="AY51" s="438"/>
      <c r="AZ51" s="456"/>
      <c r="BA51" s="438"/>
      <c r="BB51" s="456"/>
      <c r="BC51" s="438"/>
      <c r="BD51" s="456"/>
      <c r="BE51" s="438"/>
      <c r="BF51" s="456"/>
      <c r="BG51" s="438"/>
      <c r="BH51" s="456"/>
      <c r="BI51" s="438"/>
      <c r="BJ51" s="456"/>
      <c r="BK51" s="438"/>
      <c r="BL51" s="456"/>
      <c r="BM51" s="438"/>
      <c r="BN51" s="456"/>
      <c r="BO51" s="438"/>
      <c r="BP51" s="456"/>
      <c r="BQ51" s="438"/>
      <c r="BR51" s="456"/>
      <c r="BS51" s="438"/>
      <c r="BT51" s="456"/>
      <c r="BU51" s="438"/>
      <c r="BV51" s="456">
        <f>INPUT!CU691</f>
        <v>10.293322544458135</v>
      </c>
      <c r="BW51" s="438">
        <f>INPUT!CV691</f>
        <v>0</v>
      </c>
      <c r="BX51" s="456">
        <f>INPUT!CW691</f>
        <v>11.812594895524546</v>
      </c>
      <c r="BY51" s="438">
        <f>INPUT!CX691</f>
        <v>0</v>
      </c>
      <c r="BZ51" s="456">
        <f>INPUT!CY691</f>
        <v>12.123607998164587</v>
      </c>
      <c r="CA51" s="438">
        <f>INPUT!CZ691</f>
        <v>0</v>
      </c>
      <c r="CB51" s="456">
        <f>INPUT!DA691</f>
        <v>12.574919988361943</v>
      </c>
      <c r="CC51" s="438">
        <f>INPUT!DB691</f>
        <v>0</v>
      </c>
      <c r="CD51" s="456">
        <f>INPUT!DC691</f>
        <v>15.040511326252467</v>
      </c>
      <c r="CE51" s="438">
        <f>INPUT!DD691</f>
        <v>0</v>
      </c>
      <c r="CF51" s="456">
        <f>INPUT!DE691</f>
        <v>15.420208842824424</v>
      </c>
      <c r="CG51" s="438">
        <f>INPUT!DF691</f>
        <v>0</v>
      </c>
      <c r="CH51" s="456">
        <f>INPUT!DG691</f>
        <v>17.241956517507834</v>
      </c>
      <c r="CI51" s="438">
        <f>INPUT!DH691</f>
        <v>0</v>
      </c>
      <c r="CJ51" s="456">
        <f>INPUT!DI691</f>
        <v>16.298287651218516</v>
      </c>
      <c r="CK51" s="438">
        <f>INPUT!DJ691</f>
        <v>0</v>
      </c>
      <c r="CL51" s="456">
        <f>INPUT!DK691</f>
        <v>18.114983662673097</v>
      </c>
      <c r="CM51" s="438">
        <f>INPUT!DL691</f>
        <v>0</v>
      </c>
      <c r="CN51" s="456">
        <f>INPUT!DM691</f>
        <v>17.861140523370139</v>
      </c>
      <c r="CO51" s="438">
        <f>INPUT!DN691</f>
        <v>15.829433345720005</v>
      </c>
      <c r="CP51" s="456">
        <f>INPUT!DO691</f>
        <v>17.182268948290645</v>
      </c>
      <c r="CQ51" s="438">
        <f>INPUT!DP691</f>
        <v>-0.34617631216377731</v>
      </c>
      <c r="CR51" s="456">
        <f>INPUT!DQ691</f>
        <v>16.733751491130182</v>
      </c>
      <c r="CS51" s="438">
        <f>INPUT!DR691</f>
        <v>2.6718379821889329</v>
      </c>
      <c r="CT51" s="456">
        <f>INPUT!DS691</f>
        <v>18.852759331348754</v>
      </c>
      <c r="CU51" s="438">
        <f>INPUT!DT691</f>
        <v>4.0727371462988486</v>
      </c>
      <c r="CV51" s="456">
        <f>INPUT!DU691</f>
        <v>17.51896731509115</v>
      </c>
      <c r="CW51" s="438">
        <f>INPUT!DV691</f>
        <v>-1.9157410907286589</v>
      </c>
      <c r="CX51" s="456">
        <f>INPUT!DW691</f>
        <v>16.182304512453538</v>
      </c>
      <c r="CY51" s="438">
        <f>INPUT!DX691</f>
        <v>-5.8197461513753552</v>
      </c>
      <c r="CZ51" s="456">
        <f>INPUT!DY691</f>
        <v>12.926845842818796</v>
      </c>
      <c r="DA51" s="438">
        <f>INPUT!DZ691</f>
        <v>-22.749863653283356</v>
      </c>
      <c r="DB51" s="456">
        <f>INPUT!EA691</f>
        <v>14.194476505913251</v>
      </c>
      <c r="DC51" s="438">
        <f>INPUT!EB691</f>
        <v>-24.708758774051788</v>
      </c>
      <c r="DD51" s="456">
        <f>INPUT!EC691</f>
        <v>14.662534208183587</v>
      </c>
      <c r="DE51" s="438">
        <f>INPUT!ED691</f>
        <v>-16.304802991709337</v>
      </c>
      <c r="DF51" s="456">
        <f>INPUT!EE691</f>
        <v>14.367296896173453</v>
      </c>
      <c r="DG51" s="438">
        <f>INPUT!EF691</f>
        <v>-11.216002114428719</v>
      </c>
      <c r="DH51" s="456">
        <f>INPUT!EG691</f>
        <v>13.616370242876267</v>
      </c>
      <c r="DI51" s="438">
        <f>INPUT!EH691</f>
        <v>5.3340498404761121</v>
      </c>
      <c r="DJ51" s="456">
        <f>INPUT!EI691</f>
        <v>15.323541012574349</v>
      </c>
      <c r="DK51" s="438">
        <f>INPUT!EJ691</f>
        <v>7.9542525304877785</v>
      </c>
      <c r="DL51" s="456">
        <f>INPUT!EK691</f>
        <v>15.984304688351525</v>
      </c>
      <c r="DM51" s="438">
        <f>INPUT!EL691</f>
        <v>9.0146113993733792</v>
      </c>
      <c r="DN51" s="456">
        <f>INPUT!EM691</f>
        <v>15.5464111635817</v>
      </c>
      <c r="DO51" s="438">
        <f>INPUT!EN691</f>
        <v>8.2069318670674249</v>
      </c>
      <c r="DP51" s="456">
        <f>INPUT!EO691</f>
        <v>13.106118411756396</v>
      </c>
      <c r="DQ51" s="438">
        <f>INPUT!EP691</f>
        <v>-3.7473410462441024</v>
      </c>
      <c r="DR51" s="456">
        <f>INPUT!EQ691</f>
        <v>14.074218974261109</v>
      </c>
      <c r="DS51" s="438">
        <f>INPUT!ER691</f>
        <v>-8.1529591449395298</v>
      </c>
      <c r="DT51" s="456">
        <f>INPUT!ES691</f>
        <v>13.851816461538952</v>
      </c>
      <c r="DU51" s="438">
        <f>INPUT!ET691</f>
        <v>-13.341138500485499</v>
      </c>
      <c r="DV51" s="456">
        <f>INPUT!EU691</f>
        <v>13.622507077419744</v>
      </c>
      <c r="DW51" s="438">
        <f>INPUT!EV691</f>
        <v>-12.375229665022658</v>
      </c>
      <c r="DX51" s="456">
        <f>INPUT!EW691</f>
        <v>12.236518640438623</v>
      </c>
      <c r="DY51" s="438">
        <f>INPUT!EX691</f>
        <v>-6.6350672563566064</v>
      </c>
      <c r="DZ51" s="456"/>
      <c r="EA51" s="438"/>
      <c r="EB51" s="455">
        <f>INPUT!FI691</f>
        <v>0</v>
      </c>
      <c r="EC51" s="456">
        <f>INPUT!FJ691</f>
        <v>0</v>
      </c>
      <c r="ED51" s="455">
        <f>INPUT!FK691</f>
        <v>0</v>
      </c>
      <c r="EE51" s="456">
        <f>INPUT!FL691</f>
        <v>0</v>
      </c>
      <c r="EF51" s="455">
        <f>INPUT!FM691</f>
        <v>0</v>
      </c>
      <c r="EG51" s="456">
        <f>INPUT!FN691</f>
        <v>0</v>
      </c>
      <c r="EH51" s="455">
        <f>INPUT!FO691</f>
        <v>0</v>
      </c>
      <c r="EI51" s="456">
        <f>INPUT!FP691</f>
        <v>0</v>
      </c>
      <c r="EJ51" s="438">
        <f>INPUT!FQ691</f>
        <v>0</v>
      </c>
      <c r="EK51" s="456">
        <f>INPUT!FR691</f>
        <v>10.615717259989827</v>
      </c>
      <c r="EL51" s="438">
        <f>INPUT!FS691</f>
        <v>0</v>
      </c>
      <c r="EM51" s="456">
        <f>INPUT!FT691</f>
        <v>13.124103025252632</v>
      </c>
      <c r="EN51" s="438">
        <f>INPUT!FU691</f>
        <v>0</v>
      </c>
      <c r="EO51" s="456">
        <f>INPUT!FV691</f>
        <v>-9.0166014589241499</v>
      </c>
      <c r="EP51" s="438">
        <f>INPUT!FW691</f>
        <v>0</v>
      </c>
      <c r="EQ51" s="456">
        <f>INPUT!FX691</f>
        <v>4.3419568215389077</v>
      </c>
      <c r="ER51" s="438">
        <f>INPUT!FY691</f>
        <v>0</v>
      </c>
      <c r="ES51" s="456">
        <f>INPUT!FZ691</f>
        <v>7.0949335752104119</v>
      </c>
      <c r="ET51" s="438">
        <f>INPUT!GA691</f>
        <v>63.404056438676747</v>
      </c>
      <c r="EU51" s="456">
        <f>INPUT!GB691</f>
        <v>8.944701843897132</v>
      </c>
      <c r="EV51" s="438">
        <f>INPUT!GC691</f>
        <v>26.071678460102589</v>
      </c>
      <c r="EW51" s="456">
        <f>INPUT!GD691</f>
        <v>9.7218569654467082</v>
      </c>
      <c r="EX51" s="438">
        <f>INPUT!GE691</f>
        <v>8.6884407676463837</v>
      </c>
      <c r="EY51" s="456">
        <f>INPUT!GF691</f>
        <v>16.585300583006784</v>
      </c>
      <c r="EZ51" s="438">
        <f>INPUT!GG691</f>
        <v>70.59807238425779</v>
      </c>
      <c r="FA51" s="456">
        <f>INPUT!GH691</f>
        <v>18.011825866105799</v>
      </c>
      <c r="FB51" s="438">
        <f>INPUT!GI691</f>
        <v>8.6011421738152052</v>
      </c>
      <c r="FC51" s="456">
        <f>INPUT!GJ691</f>
        <v>16.70344033343083</v>
      </c>
      <c r="FD51" s="438">
        <f>INPUT!GK691</f>
        <v>-7.2640360971791011</v>
      </c>
      <c r="FE51" s="456">
        <f>INPUT!GL691</f>
        <v>14.310319325521389</v>
      </c>
      <c r="FF51" s="438">
        <f>INPUT!GM691</f>
        <v>-14.327114415583992</v>
      </c>
      <c r="FG51" s="456">
        <f>INPUT!GN691</f>
        <v>14.468587423245454</v>
      </c>
      <c r="FH51" s="438">
        <f>INPUT!GO691</f>
        <v>1.1059718104389731</v>
      </c>
      <c r="FI51" s="456">
        <f>INPUT!GP691</f>
        <v>13.621637376011941</v>
      </c>
      <c r="FJ51" s="438">
        <f>INPUT!GQ691</f>
        <v>-5.8537162091773354</v>
      </c>
      <c r="FK51" s="456">
        <f>INPUT!GR691</f>
        <v>13.213734891830779</v>
      </c>
      <c r="FL51" s="438">
        <f>INPUT!GS691</f>
        <v>-2.9945187419207713</v>
      </c>
      <c r="FM51" s="456">
        <f>INPUT!GT691</f>
        <v>12.921901813803997</v>
      </c>
      <c r="FN51" s="438">
        <f>INPUT!GU691</f>
        <v>-2.2085585976694802</v>
      </c>
      <c r="FO51" s="456">
        <f>INPUT!GV691</f>
        <v>12.704386112837597</v>
      </c>
      <c r="FP51" s="438">
        <f>INPUT!GW691</f>
        <v>-1.6833102750714062</v>
      </c>
      <c r="FQ51" s="456">
        <f>INPUT!GX691</f>
        <v>12.508518816983161</v>
      </c>
      <c r="FR51" s="438">
        <f>INPUT!GY691</f>
        <v>-1.5417297153501579</v>
      </c>
      <c r="FS51" s="827">
        <f>INPUT!GZ691</f>
        <v>-2.8694270167876623</v>
      </c>
    </row>
    <row r="52" spans="1:175" s="529" customFormat="1" ht="6" customHeight="1" x14ac:dyDescent="0.2">
      <c r="A52" s="829"/>
      <c r="B52" s="457"/>
      <c r="C52" s="439"/>
      <c r="D52" s="457"/>
      <c r="E52" s="439"/>
      <c r="F52" s="457"/>
      <c r="G52" s="439"/>
      <c r="H52" s="457"/>
      <c r="I52" s="439"/>
      <c r="J52" s="457"/>
      <c r="K52" s="439"/>
      <c r="L52" s="457"/>
      <c r="M52" s="439"/>
      <c r="N52" s="457"/>
      <c r="O52" s="439"/>
      <c r="P52" s="457"/>
      <c r="Q52" s="439"/>
      <c r="R52" s="457"/>
      <c r="S52" s="439"/>
      <c r="T52" s="457"/>
      <c r="U52" s="439"/>
      <c r="V52" s="457"/>
      <c r="W52" s="439"/>
      <c r="X52" s="457"/>
      <c r="Y52" s="439"/>
      <c r="Z52" s="457"/>
      <c r="AA52" s="439"/>
      <c r="AB52" s="457"/>
      <c r="AC52" s="439"/>
      <c r="AD52" s="457"/>
      <c r="AE52" s="439"/>
      <c r="AF52" s="457"/>
      <c r="AG52" s="439"/>
      <c r="AH52" s="457"/>
      <c r="AI52" s="438"/>
      <c r="AJ52" s="457"/>
      <c r="AK52" s="438"/>
      <c r="AL52" s="457"/>
      <c r="AM52" s="438"/>
      <c r="AN52" s="457"/>
      <c r="AO52" s="438"/>
      <c r="AP52" s="457"/>
      <c r="AQ52" s="438"/>
      <c r="AR52" s="457"/>
      <c r="AS52" s="438"/>
      <c r="AT52" s="457"/>
      <c r="AU52" s="438"/>
      <c r="AV52" s="457"/>
      <c r="AW52" s="438"/>
      <c r="AX52" s="457"/>
      <c r="AY52" s="438"/>
      <c r="AZ52" s="457"/>
      <c r="BA52" s="438"/>
      <c r="BB52" s="457"/>
      <c r="BC52" s="438"/>
      <c r="BD52" s="457"/>
      <c r="BE52" s="438"/>
      <c r="BF52" s="457"/>
      <c r="BG52" s="438"/>
      <c r="BH52" s="457"/>
      <c r="BI52" s="438"/>
      <c r="BJ52" s="457"/>
      <c r="BK52" s="438"/>
      <c r="BL52" s="457"/>
      <c r="BM52" s="438"/>
      <c r="BN52" s="457"/>
      <c r="BO52" s="438"/>
      <c r="BP52" s="457"/>
      <c r="BQ52" s="438"/>
      <c r="BR52" s="457"/>
      <c r="BS52" s="438"/>
      <c r="BT52" s="457"/>
      <c r="BU52" s="438"/>
      <c r="BV52" s="457"/>
      <c r="BW52" s="438"/>
      <c r="BX52" s="457"/>
      <c r="BY52" s="438"/>
      <c r="BZ52" s="457"/>
      <c r="CA52" s="438"/>
      <c r="CB52" s="457"/>
      <c r="CC52" s="438"/>
      <c r="CD52" s="457"/>
      <c r="CE52" s="438"/>
      <c r="CF52" s="457"/>
      <c r="CG52" s="438"/>
      <c r="CH52" s="457"/>
      <c r="CI52" s="438"/>
      <c r="CJ52" s="457"/>
      <c r="CK52" s="438"/>
      <c r="CL52" s="457"/>
      <c r="CM52" s="438"/>
      <c r="CN52" s="457"/>
      <c r="CO52" s="438"/>
      <c r="CP52" s="457"/>
      <c r="CQ52" s="438"/>
      <c r="CR52" s="457"/>
      <c r="CS52" s="438"/>
      <c r="CT52" s="457"/>
      <c r="CU52" s="438"/>
      <c r="CV52" s="457"/>
      <c r="CW52" s="438"/>
      <c r="CX52" s="457"/>
      <c r="CY52" s="438"/>
      <c r="CZ52" s="457"/>
      <c r="DA52" s="438"/>
      <c r="DB52" s="457"/>
      <c r="DC52" s="438"/>
      <c r="DD52" s="457"/>
      <c r="DE52" s="438"/>
      <c r="DF52" s="457"/>
      <c r="DG52" s="438"/>
      <c r="DH52" s="457"/>
      <c r="DI52" s="438"/>
      <c r="DJ52" s="457"/>
      <c r="DK52" s="438"/>
      <c r="DL52" s="457"/>
      <c r="DM52" s="438"/>
      <c r="DN52" s="457"/>
      <c r="DO52" s="438"/>
      <c r="DP52" s="457"/>
      <c r="DQ52" s="438"/>
      <c r="DR52" s="457"/>
      <c r="DS52" s="438"/>
      <c r="DT52" s="457"/>
      <c r="DU52" s="438"/>
      <c r="DV52" s="457"/>
      <c r="DW52" s="438"/>
      <c r="DX52" s="457"/>
      <c r="DY52" s="438"/>
      <c r="DZ52" s="457"/>
      <c r="EA52" s="438"/>
      <c r="EB52" s="439"/>
      <c r="EC52" s="457"/>
      <c r="ED52" s="439"/>
      <c r="EE52" s="457"/>
      <c r="EF52" s="439"/>
      <c r="EG52" s="457"/>
      <c r="EH52" s="439"/>
      <c r="EI52" s="457"/>
      <c r="EJ52" s="438"/>
      <c r="EK52" s="457"/>
      <c r="EL52" s="438"/>
      <c r="EM52" s="457"/>
      <c r="EN52" s="438"/>
      <c r="EO52" s="457"/>
      <c r="EP52" s="438"/>
      <c r="EQ52" s="457"/>
      <c r="ER52" s="438"/>
      <c r="ES52" s="457"/>
      <c r="ET52" s="438"/>
      <c r="EU52" s="457"/>
      <c r="EV52" s="438"/>
      <c r="EW52" s="457"/>
      <c r="EX52" s="438"/>
      <c r="EY52" s="457"/>
      <c r="EZ52" s="438"/>
      <c r="FA52" s="457"/>
      <c r="FB52" s="438"/>
      <c r="FC52" s="457"/>
      <c r="FD52" s="438"/>
      <c r="FE52" s="457"/>
      <c r="FF52" s="438"/>
      <c r="FG52" s="457"/>
      <c r="FH52" s="438"/>
      <c r="FI52" s="457"/>
      <c r="FJ52" s="438"/>
      <c r="FK52" s="457"/>
      <c r="FL52" s="438"/>
      <c r="FM52" s="457"/>
      <c r="FN52" s="438"/>
      <c r="FO52" s="457"/>
      <c r="FP52" s="438"/>
      <c r="FQ52" s="457"/>
      <c r="FR52" s="438"/>
      <c r="FS52" s="827"/>
    </row>
    <row r="53" spans="1:175" s="529" customFormat="1" ht="12.75" hidden="1" customHeight="1" outlineLevel="1" x14ac:dyDescent="0.2">
      <c r="A53" s="831" t="str">
        <f>INPUT!B697</f>
        <v>Pro Forma Operating ROE (Excl FAS 115) (%)</v>
      </c>
      <c r="B53" s="457">
        <f>INPUT!AA697</f>
        <v>9.8019722169976085</v>
      </c>
      <c r="C53" s="439">
        <f>INPUT!AB697</f>
        <v>-4.8276118647185626</v>
      </c>
      <c r="D53" s="457">
        <f>INPUT!AC697</f>
        <v>11.853767612274039</v>
      </c>
      <c r="E53" s="439">
        <f>INPUT!AD697</f>
        <v>21.981334624173954</v>
      </c>
      <c r="F53" s="457">
        <f>INPUT!AE697</f>
        <v>11.195297543613664</v>
      </c>
      <c r="G53" s="439">
        <f>INPUT!AF697</f>
        <v>21.812182605484182</v>
      </c>
      <c r="H53" s="457">
        <f>INPUT!AG697</f>
        <v>12.109785331429956</v>
      </c>
      <c r="I53" s="439">
        <f>INPUT!AH697</f>
        <v>52.072816193296234</v>
      </c>
      <c r="J53" s="457">
        <f>INPUT!AI697</f>
        <v>12.15615486165369</v>
      </c>
      <c r="K53" s="439">
        <f>INPUT!AJ697</f>
        <v>24.017438455637446</v>
      </c>
      <c r="L53" s="457">
        <f>INPUT!AK696</f>
        <v>0</v>
      </c>
      <c r="M53" s="439">
        <f>INPUT!AL697</f>
        <v>30.785099378897115</v>
      </c>
      <c r="N53" s="457">
        <f>INPUT!AM697</f>
        <v>15.088741721854305</v>
      </c>
      <c r="O53" s="439">
        <f>INPUT!AN697</f>
        <v>34.777496203856117</v>
      </c>
      <c r="P53" s="457">
        <f>INPUT!AO697</f>
        <v>15.880376169015554</v>
      </c>
      <c r="Q53" s="439">
        <f>INPUT!AP697</f>
        <v>31.136727319181603</v>
      </c>
      <c r="R53" s="457">
        <f>INPUT!AQ697</f>
        <v>17.730731061859082</v>
      </c>
      <c r="S53" s="439">
        <f>INPUT!AR697</f>
        <v>45.858055146946697</v>
      </c>
      <c r="T53" s="457">
        <f>INPUT!AS697</f>
        <v>16.099902982661259</v>
      </c>
      <c r="U53" s="439">
        <f>INPUT!AT697</f>
        <v>3.8504979910285186</v>
      </c>
      <c r="V53" s="457">
        <f>INPUT!AU697</f>
        <v>19.335347432024168</v>
      </c>
      <c r="W53" s="439">
        <f>INPUT!AV697</f>
        <v>28.144200414134872</v>
      </c>
      <c r="X53" s="457">
        <f>INPUT!AW697</f>
        <v>14.43224675106296</v>
      </c>
      <c r="Y53" s="439">
        <f>INPUT!AX697</f>
        <v>-9.1189868712181976</v>
      </c>
      <c r="Z53" s="457">
        <f>INPUT!AY697</f>
        <v>11.671473232678187</v>
      </c>
      <c r="AA53" s="439">
        <f>INPUT!AZ697</f>
        <v>-34.173761973160154</v>
      </c>
      <c r="AB53" s="457">
        <f>INPUT!BA697</f>
        <v>12.545678952590691</v>
      </c>
      <c r="AC53" s="439">
        <f>INPUT!BB697</f>
        <v>-22.076058681212416</v>
      </c>
      <c r="AD53" s="457">
        <f>INPUT!BC697</f>
        <v>14.838894731809923</v>
      </c>
      <c r="AE53" s="439">
        <f>INPUT!BD697</f>
        <v>-23.255091308920555</v>
      </c>
      <c r="AF53" s="457">
        <f>INPUT!BE697</f>
        <v>13.520011313816999</v>
      </c>
      <c r="AG53" s="439">
        <f>INPUT!BF697</f>
        <v>-6.3208137511837776</v>
      </c>
      <c r="AH53" s="456">
        <f>INPUT!BG697</f>
        <v>14.653918978938263</v>
      </c>
      <c r="AI53" s="438">
        <f>INPUT!BH697</f>
        <v>25.553292945998663</v>
      </c>
      <c r="AJ53" s="456">
        <f>INPUT!BI697</f>
        <v>14.739751266697374</v>
      </c>
      <c r="AK53" s="438">
        <f>INPUT!BJ697</f>
        <v>17.488669384876971</v>
      </c>
      <c r="AL53" s="456">
        <f>INPUT!BK697</f>
        <v>16.584438509935275</v>
      </c>
      <c r="AM53" s="438">
        <f>INPUT!BL697</f>
        <v>11.76330049962182</v>
      </c>
      <c r="AN53" s="456">
        <f>INPUT!BM697</f>
        <v>14.310941907666905</v>
      </c>
      <c r="AO53" s="438">
        <f>INPUT!BN697</f>
        <v>5.8500734614149508</v>
      </c>
      <c r="AP53" s="456">
        <f>INPUT!BO697</f>
        <v>12.325442974222792</v>
      </c>
      <c r="AQ53" s="438">
        <f>INPUT!BP697</f>
        <v>-15.889783532051297</v>
      </c>
      <c r="AR53" s="456">
        <f>INPUT!BQ697</f>
        <v>14.662730757368816</v>
      </c>
      <c r="AS53" s="438">
        <f>INPUT!BR697</f>
        <v>-0.52253601797592353</v>
      </c>
      <c r="AT53" s="456">
        <f>INPUT!BS697</f>
        <v>7.1390448538673379</v>
      </c>
      <c r="AU53" s="438" t="str">
        <f>INPUT!BT697</f>
        <v>NM</v>
      </c>
      <c r="AV53" s="456">
        <f>INPUT!BU697</f>
        <v>-16.18209464129383</v>
      </c>
      <c r="AW53" s="438" t="str">
        <f>INPUT!BV697</f>
        <v>NM</v>
      </c>
      <c r="AX53" s="456">
        <f>INPUT!BW697</f>
        <v>3.8021475092413306</v>
      </c>
      <c r="AY53" s="438" t="str">
        <f>INPUT!BX697</f>
        <v>NM</v>
      </c>
      <c r="AZ53" s="456">
        <f>INPUT!BY697</f>
        <v>16.233031674208146</v>
      </c>
      <c r="BA53" s="438">
        <f>INPUT!BZ697</f>
        <v>10.709471126653327</v>
      </c>
      <c r="BB53" s="456">
        <f>INPUT!CA697</f>
        <v>14.407449705701483</v>
      </c>
      <c r="BC53" s="438" t="str">
        <f>INPUT!CB697</f>
        <v>NM</v>
      </c>
      <c r="BD53" s="456">
        <f>INPUT!CC697</f>
        <v>9.2206549328007323</v>
      </c>
      <c r="BE53" s="438" t="str">
        <f>INPUT!CD697</f>
        <v>NM</v>
      </c>
      <c r="BF53" s="456">
        <f>INPUT!CE697</f>
        <v>10.637807000985759</v>
      </c>
      <c r="BG53" s="438" t="str">
        <f>INPUT!CF697</f>
        <v>NM</v>
      </c>
      <c r="BH53" s="456">
        <f>INPUT!CG697</f>
        <v>6.4776635973251864</v>
      </c>
      <c r="BI53" s="438" t="str">
        <f>INPUT!CH697</f>
        <v>NM</v>
      </c>
      <c r="BJ53" s="456">
        <f>INPUT!CI697</f>
        <v>14.772657481523943</v>
      </c>
      <c r="BK53" s="438">
        <f>INPUT!CJ697</f>
        <v>2.5348537269433251</v>
      </c>
      <c r="BL53" s="456">
        <f>INPUT!CK697</f>
        <v>12.43621692179898</v>
      </c>
      <c r="BM53" s="438">
        <f>INPUT!CL697</f>
        <v>34.873466282308158</v>
      </c>
      <c r="BN53" s="456">
        <f>INPUT!CM697</f>
        <v>12.44104525175271</v>
      </c>
      <c r="BO53" s="438">
        <f>INPUT!CN697</f>
        <v>16.951221718911171</v>
      </c>
      <c r="BP53" s="456">
        <f>INPUT!CO697</f>
        <v>11.894551053362875</v>
      </c>
      <c r="BQ53" s="438">
        <f>INPUT!CP697</f>
        <v>83.624093388771797</v>
      </c>
      <c r="BR53" s="456">
        <f>INPUT!CQ697</f>
        <v>6.3156745742977733</v>
      </c>
      <c r="BS53" s="438" t="str">
        <f>INPUT!CR697</f>
        <v>NM</v>
      </c>
      <c r="BT53" s="456">
        <f>INPUT!CS697</f>
        <v>13.168032197786403</v>
      </c>
      <c r="BU53" s="438">
        <f>INPUT!CT697</f>
        <v>5.884548979719483</v>
      </c>
      <c r="BV53" s="456">
        <f>INPUT!CU697</f>
        <v>12.079371793221398</v>
      </c>
      <c r="BW53" s="438">
        <f>INPUT!CV697</f>
        <v>-2.9070986497726921</v>
      </c>
      <c r="BX53" s="456">
        <f>INPUT!CW697</f>
        <v>9.770804714048154</v>
      </c>
      <c r="BY53" s="438">
        <f>INPUT!CX697</f>
        <v>-17.854783503697575</v>
      </c>
      <c r="BZ53" s="456">
        <f>INPUT!CY697</f>
        <v>11.028007694615534</v>
      </c>
      <c r="CA53" s="438">
        <f>INPUT!CZ697</f>
        <v>74.61329846688173</v>
      </c>
      <c r="CB53" s="456">
        <f>INPUT!DA697</f>
        <v>12.183590340413151</v>
      </c>
      <c r="CC53" s="438">
        <f>INPUT!DB697</f>
        <v>-7.4759982553713797</v>
      </c>
      <c r="CD53" s="456">
        <f>INPUT!DC697</f>
        <v>16.151142024626374</v>
      </c>
      <c r="CE53" s="438">
        <f>INPUT!DD697</f>
        <v>33.708460184079598</v>
      </c>
      <c r="CF53" s="456">
        <f>INPUT!DE697</f>
        <v>17.031947517565314</v>
      </c>
      <c r="CG53" s="438">
        <f>INPUT!DF697</f>
        <v>74.314685596748433</v>
      </c>
      <c r="CH53" s="456">
        <f>INPUT!DG697</f>
        <v>21.460186464760497</v>
      </c>
      <c r="CI53" s="438">
        <f>INPUT!DH697</f>
        <v>94.597129953386883</v>
      </c>
      <c r="CJ53" s="456">
        <f>INPUT!DI697</f>
        <v>16.444002883135607</v>
      </c>
      <c r="CK53" s="438">
        <f>INPUT!DJ697</f>
        <v>34.968448738715409</v>
      </c>
      <c r="CL53" s="456">
        <f>INPUT!DK697</f>
        <v>17.690991131165397</v>
      </c>
      <c r="CM53" s="438">
        <f>INPUT!DL697</f>
        <v>9.5339952072190641</v>
      </c>
      <c r="CN53" s="456">
        <f>INPUT!DM697</f>
        <v>0</v>
      </c>
      <c r="CO53" s="438">
        <f>INPUT!DN697</f>
        <v>0</v>
      </c>
      <c r="CP53" s="456">
        <f>INPUT!DO697</f>
        <v>0</v>
      </c>
      <c r="CQ53" s="438">
        <f>INPUT!DP697</f>
        <v>0</v>
      </c>
      <c r="CR53" s="456">
        <f>INPUT!DQ697</f>
        <v>0</v>
      </c>
      <c r="CS53" s="438">
        <f>INPUT!DR697</f>
        <v>0</v>
      </c>
      <c r="CT53" s="456">
        <f>INPUT!DS697</f>
        <v>0</v>
      </c>
      <c r="CU53" s="438" t="str">
        <f>INPUT!DT697</f>
        <v>NM</v>
      </c>
      <c r="CV53" s="456">
        <f>INPUT!DU697</f>
        <v>0</v>
      </c>
      <c r="CW53" s="438" t="str">
        <f>INPUT!DV697</f>
        <v>NA</v>
      </c>
      <c r="CX53" s="456">
        <f>INPUT!DW697</f>
        <v>0</v>
      </c>
      <c r="CY53" s="438" t="str">
        <f>INPUT!DX697</f>
        <v>NA</v>
      </c>
      <c r="CZ53" s="456">
        <f>INPUT!DY697</f>
        <v>0</v>
      </c>
      <c r="DA53" s="438" t="str">
        <f>INPUT!DZ697</f>
        <v>NA</v>
      </c>
      <c r="DB53" s="456">
        <f>INPUT!EA697</f>
        <v>0</v>
      </c>
      <c r="DC53" s="438" t="str">
        <f>INPUT!EB697</f>
        <v>NA</v>
      </c>
      <c r="DD53" s="456">
        <f>INPUT!EC697</f>
        <v>10.933430050446766</v>
      </c>
      <c r="DE53" s="438" t="str">
        <f>INPUT!ED697</f>
        <v>NA</v>
      </c>
      <c r="DF53" s="456">
        <f>INPUT!EE697</f>
        <v>15.370716912950893</v>
      </c>
      <c r="DG53" s="438" t="str">
        <f>INPUT!EF697</f>
        <v>NA</v>
      </c>
      <c r="DH53" s="456">
        <f>INPUT!EG697</f>
        <v>13.896857270351246</v>
      </c>
      <c r="DI53" s="438" t="str">
        <f>INPUT!EH697</f>
        <v>NA</v>
      </c>
      <c r="DJ53" s="456">
        <f>INPUT!EI697</f>
        <v>15.61301926384046</v>
      </c>
      <c r="DK53" s="438" t="str">
        <f>INPUT!EJ697</f>
        <v>NA</v>
      </c>
      <c r="DL53" s="456">
        <f>INPUT!EK697</f>
        <v>11.447612226149511</v>
      </c>
      <c r="DM53" s="438">
        <f>INPUT!EL697</f>
        <v>4.7028441516551567</v>
      </c>
      <c r="DN53" s="456">
        <f>INPUT!EM697</f>
        <v>16.07118453619205</v>
      </c>
      <c r="DO53" s="438">
        <f>INPUT!EN697</f>
        <v>4.5571564892393752</v>
      </c>
      <c r="DP53" s="456">
        <f>INPUT!EO697</f>
        <v>13.259855871131835</v>
      </c>
      <c r="DQ53" s="438">
        <f>INPUT!EP697</f>
        <v>-4.5837802520894115</v>
      </c>
      <c r="DR53" s="456">
        <f>INPUT!EQ697</f>
        <v>14.190915874323981</v>
      </c>
      <c r="DS53" s="438">
        <f>INPUT!ER697</f>
        <v>-9.1084457495678066</v>
      </c>
      <c r="DT53" s="456">
        <f>INPUT!ES697</f>
        <v>13.966040389261018</v>
      </c>
      <c r="DU53" s="438">
        <f>INPUT!ET697</f>
        <v>21.999593569030225</v>
      </c>
      <c r="DV53" s="456">
        <f>INPUT!EU697</f>
        <v>13.736127847254293</v>
      </c>
      <c r="DW53" s="438">
        <f>INPUT!EV697</f>
        <v>-14.529462241437443</v>
      </c>
      <c r="DX53" s="456">
        <f>INPUT!EW697</f>
        <v>12.349763158998009</v>
      </c>
      <c r="DY53" s="438">
        <f>INPUT!EX697</f>
        <v>-6.8635188872241031</v>
      </c>
      <c r="DZ53" s="456"/>
      <c r="EA53" s="438"/>
      <c r="EB53" s="455" t="str">
        <f>INPUT!FI697</f>
        <v>NM</v>
      </c>
      <c r="EC53" s="456">
        <f>INPUT!FJ697</f>
        <v>3.4052089963929562</v>
      </c>
      <c r="ED53" s="455">
        <f>INPUT!FK697</f>
        <v>34.231134997229304</v>
      </c>
      <c r="EE53" s="456">
        <f>INPUT!FL697</f>
        <v>5.5687930292598962</v>
      </c>
      <c r="EF53" s="455">
        <f>INPUT!FM697</f>
        <v>63.537481404482492</v>
      </c>
      <c r="EG53" s="456">
        <f>INPUT!FN697</f>
        <v>8.4587010934000784</v>
      </c>
      <c r="EH53" s="455">
        <f>INPUT!FO697</f>
        <v>51.89469331964483</v>
      </c>
      <c r="EI53" s="456">
        <f>INPUT!FP697</f>
        <v>10.35329761129751</v>
      </c>
      <c r="EJ53" s="438">
        <f>INPUT!FQ697</f>
        <v>22.398196803238449</v>
      </c>
      <c r="EK53" s="456">
        <f>INPUT!FR697</f>
        <v>10.91782462865357</v>
      </c>
      <c r="EL53" s="438">
        <f>INPUT!FS697</f>
        <v>5.4526300561479815</v>
      </c>
      <c r="EM53" s="456">
        <f>INPUT!FT697</f>
        <v>12.93313857607313</v>
      </c>
      <c r="EN53" s="438">
        <f>INPUT!FU697</f>
        <v>18.458933129686102</v>
      </c>
      <c r="EO53" s="456">
        <f>INPUT!FV697</f>
        <v>-3.2257669012530346</v>
      </c>
      <c r="EP53" s="438" t="str">
        <f>INPUT!FW697</f>
        <v>NM</v>
      </c>
      <c r="EQ53" s="456">
        <f>INPUT!FX697</f>
        <v>5.0132182479607739</v>
      </c>
      <c r="ER53" s="438" t="str">
        <f>INPUT!FY697</f>
        <v>NM</v>
      </c>
      <c r="ES53" s="456">
        <f>INPUT!FZ697</f>
        <v>8.1319708145291152</v>
      </c>
      <c r="ET53" s="438">
        <f>INPUT!GA697</f>
        <v>62.210588334887603</v>
      </c>
      <c r="EU53" s="456">
        <f>INPUT!GB697</f>
        <v>9.228864587045825</v>
      </c>
      <c r="EV53" s="438">
        <f>INPUT!GC697</f>
        <v>13.488658500310009</v>
      </c>
      <c r="EW53" s="456">
        <f>INPUT!GD697</f>
        <v>9.5587698151800709</v>
      </c>
      <c r="EX53" s="438">
        <f>INPUT!GE697</f>
        <v>3.5747108977773934</v>
      </c>
      <c r="EY53" s="456">
        <f>INPUT!GF697</f>
        <v>18.361846506738029</v>
      </c>
      <c r="EZ53" s="438">
        <f>INPUT!GG697</f>
        <v>92.09424289700948</v>
      </c>
      <c r="FA53" s="456">
        <f>INPUT!GH697</f>
        <v>16.921306401047662</v>
      </c>
      <c r="FB53" s="438">
        <f>INPUT!GI697</f>
        <v>-7.8452899884646712</v>
      </c>
      <c r="FC53" s="456">
        <f>INPUT!GJ697</f>
        <v>16.996928926586722</v>
      </c>
      <c r="FD53" s="438">
        <f>INPUT!GK697</f>
        <v>0.44690713439466379</v>
      </c>
      <c r="FE53" s="456">
        <f>INPUT!GL697</f>
        <v>13.499433004092232</v>
      </c>
      <c r="FF53" s="438">
        <f>INPUT!GM697</f>
        <v>-20.577222730064378</v>
      </c>
      <c r="FG53" s="456">
        <f>INPUT!GN697</f>
        <v>13.634831543004527</v>
      </c>
      <c r="FH53" s="438">
        <f>INPUT!GO697</f>
        <v>1.0029942655461923</v>
      </c>
      <c r="FI53" s="456">
        <f>INPUT!GP697</f>
        <v>13.737610042618357</v>
      </c>
      <c r="FJ53" s="438">
        <f>INPUT!GQ697</f>
        <v>0.75379368853707263</v>
      </c>
      <c r="FK53" s="456">
        <f>INPUT!GR697</f>
        <v>13.324872614436083</v>
      </c>
      <c r="FL53" s="438">
        <f>INPUT!GS697</f>
        <v>-3.004434009276963</v>
      </c>
      <c r="FM53" s="456">
        <f>INPUT!GT697</f>
        <v>13.029458494827256</v>
      </c>
      <c r="FN53" s="438">
        <f>INPUT!GU697</f>
        <v>-2.2170127111667597</v>
      </c>
      <c r="FO53" s="456">
        <f>INPUT!GV697</f>
        <v>12.808925355343421</v>
      </c>
      <c r="FP53" s="438">
        <f>INPUT!GW697</f>
        <v>-1.6925733296697416</v>
      </c>
      <c r="FQ53" s="456">
        <f>INPUT!GX697</f>
        <v>12.610434766320511</v>
      </c>
      <c r="FR53" s="438">
        <f>INPUT!GY697</f>
        <v>-1.5496271819564242</v>
      </c>
      <c r="FS53" s="827">
        <f>INPUT!GZ697</f>
        <v>-1.5499237932785848</v>
      </c>
    </row>
    <row r="54" spans="1:175" s="529" customFormat="1" ht="12.75" hidden="1" customHeight="1" outlineLevel="1" x14ac:dyDescent="0.2">
      <c r="A54" s="831" t="str">
        <f>INPUT!B698</f>
        <v>Pro Forma Reporting ROE (Excl FAS 115) (%)</v>
      </c>
      <c r="B54" s="457">
        <f>INPUT!AA698</f>
        <v>7.7598946717897732</v>
      </c>
      <c r="C54" s="439">
        <f>INPUT!AB698</f>
        <v>-15.791097752851485</v>
      </c>
      <c r="D54" s="457">
        <f>INPUT!AC698</f>
        <v>6.8967375198685312</v>
      </c>
      <c r="E54" s="439">
        <f>INPUT!AD698</f>
        <v>20.599200924874992</v>
      </c>
      <c r="F54" s="457">
        <f>INPUT!AE698</f>
        <v>8.3695095316418158</v>
      </c>
      <c r="G54" s="439">
        <f>INPUT!AF698</f>
        <v>-24.197620122319393</v>
      </c>
      <c r="H54" s="457">
        <f>INPUT!AG698</f>
        <v>15.341934441242222</v>
      </c>
      <c r="I54" s="439" t="str">
        <f>INPUT!AH698</f>
        <v>NM</v>
      </c>
      <c r="J54" s="457">
        <f>INPUT!AI698</f>
        <v>10.237896381711883</v>
      </c>
      <c r="K54" s="439">
        <f>INPUT!AJ698</f>
        <v>31.933445165571726</v>
      </c>
      <c r="L54" s="457">
        <f>INPUT!AK697</f>
        <v>15.50296175185612</v>
      </c>
      <c r="M54" s="439" t="str">
        <f>INPUT!AL698</f>
        <v>NM</v>
      </c>
      <c r="N54" s="457">
        <f>INPUT!AM698</f>
        <v>16.805298013245032</v>
      </c>
      <c r="O54" s="439" t="str">
        <f>INPUT!AN698</f>
        <v>NM</v>
      </c>
      <c r="P54" s="457">
        <f>INPUT!AO698</f>
        <v>12.316669705890016</v>
      </c>
      <c r="Q54" s="439">
        <f>INPUT!AP698</f>
        <v>-19.71892623409785</v>
      </c>
      <c r="R54" s="457">
        <f>INPUT!AQ698</f>
        <v>21.089595155093004</v>
      </c>
      <c r="S54" s="439" t="str">
        <f>INPUT!AR698</f>
        <v>NM</v>
      </c>
      <c r="T54" s="457">
        <f>INPUT!AS698</f>
        <v>19.801487599194008</v>
      </c>
      <c r="U54" s="439">
        <f>INPUT!AT698</f>
        <v>24.624443461256632</v>
      </c>
      <c r="V54" s="457">
        <f>INPUT!AU698</f>
        <v>30.588519637462237</v>
      </c>
      <c r="W54" s="439">
        <f>INPUT!AV698</f>
        <v>82.017121108795635</v>
      </c>
      <c r="X54" s="457">
        <f>INPUT!AW698</f>
        <v>10.973119700208988</v>
      </c>
      <c r="Y54" s="439">
        <f>INPUT!AX698</f>
        <v>-10.908387070236387</v>
      </c>
      <c r="Z54" s="457">
        <f>INPUT!AY698</f>
        <v>11.710248891258512</v>
      </c>
      <c r="AA54" s="439">
        <f>INPUT!AZ698</f>
        <v>-44.473808979540507</v>
      </c>
      <c r="AB54" s="457">
        <f>INPUT!BA698</f>
        <v>7.511918879020353</v>
      </c>
      <c r="AC54" s="439" t="str">
        <f>INPUT!BB698</f>
        <v>NM</v>
      </c>
      <c r="AD54" s="457">
        <f>INPUT!BC698</f>
        <v>20.996271154030023</v>
      </c>
      <c r="AE54" s="439">
        <f>INPUT!BD698</f>
        <v>-31.358982380057512</v>
      </c>
      <c r="AF54" s="457">
        <f>INPUT!BE698</f>
        <v>15.443360203648707</v>
      </c>
      <c r="AG54" s="439">
        <f>INPUT!BF698</f>
        <v>40.738100244678662</v>
      </c>
      <c r="AH54" s="456">
        <f>INPUT!BG698</f>
        <v>15.588957198625492</v>
      </c>
      <c r="AI54" s="438">
        <f>INPUT!BH698</f>
        <v>33.122338759702728</v>
      </c>
      <c r="AJ54" s="456">
        <f>INPUT!BI698</f>
        <v>14.168585905112852</v>
      </c>
      <c r="AK54" s="438">
        <f>INPUT!BJ698</f>
        <v>88.614735240067063</v>
      </c>
      <c r="AL54" s="456">
        <f>INPUT!BK698</f>
        <v>14.484225772869236</v>
      </c>
      <c r="AM54" s="438">
        <f>INPUT!BL698</f>
        <v>-31.015247104535831</v>
      </c>
      <c r="AN54" s="456">
        <f>INPUT!BM698</f>
        <v>14.402678714767333</v>
      </c>
      <c r="AO54" s="438">
        <f>INPUT!BN698</f>
        <v>-6.7386985420148307</v>
      </c>
      <c r="AP54" s="456">
        <f>INPUT!BO698</f>
        <v>1.1721075042351541</v>
      </c>
      <c r="AQ54" s="438" t="str">
        <f>INPUT!BP698</f>
        <v>NM</v>
      </c>
      <c r="AR54" s="456">
        <f>INPUT!BQ698</f>
        <v>9.6929109573952505</v>
      </c>
      <c r="AS54" s="438">
        <f>INPUT!BR698</f>
        <v>-31.588720128396986</v>
      </c>
      <c r="AT54" s="456">
        <f>INPUT!BS698</f>
        <v>-2.3227514357080334</v>
      </c>
      <c r="AU54" s="438" t="str">
        <f>INPUT!BT698</f>
        <v>NM</v>
      </c>
      <c r="AV54" s="456">
        <f>INPUT!BU698</f>
        <v>-23.370041008155553</v>
      </c>
      <c r="AW54" s="438" t="str">
        <f>INPUT!BV698</f>
        <v>NM</v>
      </c>
      <c r="AX54" s="456">
        <f>INPUT!BW698</f>
        <v>-0.10058591294289235</v>
      </c>
      <c r="AY54" s="438" t="str">
        <f>INPUT!BX698</f>
        <v>NM</v>
      </c>
      <c r="AZ54" s="456">
        <f>INPUT!BY698</f>
        <v>10.143288084464555</v>
      </c>
      <c r="BA54" s="438">
        <f>INPUT!BZ698</f>
        <v>4.6464589332236415</v>
      </c>
      <c r="BB54" s="456">
        <f>INPUT!CA698</f>
        <v>19.151366072212952</v>
      </c>
      <c r="BC54" s="438" t="str">
        <f>INPUT!CB698</f>
        <v>NM</v>
      </c>
      <c r="BD54" s="456">
        <f>INPUT!CC698</f>
        <v>29.759081263263017</v>
      </c>
      <c r="BE54" s="438" t="str">
        <f>INPUT!CD698</f>
        <v>NM</v>
      </c>
      <c r="BF54" s="456">
        <f>INPUT!CE698</f>
        <v>8.1545334423960245</v>
      </c>
      <c r="BG54" s="438" t="str">
        <f>INPUT!CF698</f>
        <v>NM</v>
      </c>
      <c r="BH54" s="456">
        <f>INPUT!CG698</f>
        <v>14.134637981498493</v>
      </c>
      <c r="BI54" s="438">
        <f>INPUT!CH698</f>
        <v>39.349665155888488</v>
      </c>
      <c r="BJ54" s="456">
        <f>INPUT!CI698</f>
        <v>17.622371895919915</v>
      </c>
      <c r="BK54" s="438">
        <f>INPUT!CJ698</f>
        <v>-7.9837342700658951</v>
      </c>
      <c r="BL54" s="456">
        <f>INPUT!CK698</f>
        <v>1.7562596416281002</v>
      </c>
      <c r="BM54" s="438" t="str">
        <f>INPUT!CL698</f>
        <v>NM</v>
      </c>
      <c r="BN54" s="456">
        <f>INPUT!CM698</f>
        <v>8.3280220947524963</v>
      </c>
      <c r="BO54" s="438">
        <f>INPUT!CN698</f>
        <v>2.1275116912819527</v>
      </c>
      <c r="BP54" s="456">
        <f>INPUT!CO698</f>
        <v>11.70152840887754</v>
      </c>
      <c r="BQ54" s="438">
        <f>INPUT!CP698</f>
        <v>-17.213808912586003</v>
      </c>
      <c r="BR54" s="456">
        <f>INPUT!CQ698</f>
        <v>22.733226604569932</v>
      </c>
      <c r="BS54" s="438">
        <f>INPUT!CR698</f>
        <v>29.002081778976219</v>
      </c>
      <c r="BT54" s="456">
        <f>INPUT!CS698</f>
        <v>7.5032341526520057</v>
      </c>
      <c r="BU54" s="438" t="str">
        <f>INPUT!CT698</f>
        <v>NM</v>
      </c>
      <c r="BV54" s="456">
        <f>INPUT!CU698</f>
        <v>-13.8440884932968</v>
      </c>
      <c r="BW54" s="438" t="str">
        <f>INPUT!CV698</f>
        <v>NM</v>
      </c>
      <c r="BX54" s="456">
        <f>INPUT!CW698</f>
        <v>32.275323548550354</v>
      </c>
      <c r="BY54" s="438" t="str">
        <f>INPUT!CX698</f>
        <v>NM</v>
      </c>
      <c r="BZ54" s="456">
        <f>INPUT!CY698</f>
        <v>-8.7393890192894848</v>
      </c>
      <c r="CA54" s="438" t="str">
        <f>INPUT!CZ698</f>
        <v>NM</v>
      </c>
      <c r="CB54" s="456">
        <f>INPUT!DA698</f>
        <v>-2.691300552807681</v>
      </c>
      <c r="CC54" s="438" t="str">
        <f>INPUT!DB698</f>
        <v>NM</v>
      </c>
      <c r="CD54" s="456">
        <f>INPUT!DC698</f>
        <v>-11.053670457749789</v>
      </c>
      <c r="CE54" s="438">
        <f>INPUT!DD698</f>
        <v>-20.156025706554175</v>
      </c>
      <c r="CF54" s="456">
        <f>INPUT!DE698</f>
        <v>-8.0276386786227238</v>
      </c>
      <c r="CG54" s="438" t="str">
        <f>INPUT!DF698</f>
        <v>NM</v>
      </c>
      <c r="CH54" s="456">
        <f>INPUT!DG698</f>
        <v>15.041750199505616</v>
      </c>
      <c r="CI54" s="438" t="str">
        <f>INPUT!DH698</f>
        <v>NM</v>
      </c>
      <c r="CJ54" s="456">
        <f>INPUT!DI698</f>
        <v>-6.6545886661601701</v>
      </c>
      <c r="CK54" s="438" t="str">
        <f>INPUT!DJ698</f>
        <v>NM</v>
      </c>
      <c r="CL54" s="456">
        <f>INPUT!DK698</f>
        <v>19.060214719153571</v>
      </c>
      <c r="CM54" s="438" t="str">
        <f>INPUT!DL698</f>
        <v>NM</v>
      </c>
      <c r="CN54" s="456">
        <f>INPUT!DM698</f>
        <v>0</v>
      </c>
      <c r="CO54" s="438">
        <f>INPUT!DN698</f>
        <v>0</v>
      </c>
      <c r="CP54" s="456">
        <f>INPUT!DO698</f>
        <v>0</v>
      </c>
      <c r="CQ54" s="438">
        <f>INPUT!DP698</f>
        <v>0</v>
      </c>
      <c r="CR54" s="456">
        <f>INPUT!DQ698</f>
        <v>0</v>
      </c>
      <c r="CS54" s="438">
        <f>INPUT!DR698</f>
        <v>0</v>
      </c>
      <c r="CT54" s="456">
        <f>INPUT!DS698</f>
        <v>0</v>
      </c>
      <c r="CU54" s="438" t="str">
        <f>INPUT!DT698</f>
        <v>NM</v>
      </c>
      <c r="CV54" s="456">
        <f>INPUT!DU698</f>
        <v>0</v>
      </c>
      <c r="CW54" s="438" t="str">
        <f>INPUT!DV698</f>
        <v>NA</v>
      </c>
      <c r="CX54" s="456">
        <f>INPUT!DW698</f>
        <v>0</v>
      </c>
      <c r="CY54" s="438" t="str">
        <f>INPUT!DX698</f>
        <v>NA</v>
      </c>
      <c r="CZ54" s="456">
        <f>INPUT!DY698</f>
        <v>0</v>
      </c>
      <c r="DA54" s="438" t="str">
        <f>INPUT!DZ698</f>
        <v>NA</v>
      </c>
      <c r="DB54" s="456">
        <f>INPUT!EA698</f>
        <v>0</v>
      </c>
      <c r="DC54" s="438" t="str">
        <f>INPUT!EB698</f>
        <v>NA</v>
      </c>
      <c r="DD54" s="456">
        <f>INPUT!EC698</f>
        <v>12.146790200797916</v>
      </c>
      <c r="DE54" s="438" t="str">
        <f>INPUT!ED698</f>
        <v>NA</v>
      </c>
      <c r="DF54" s="456">
        <f>INPUT!EE698</f>
        <v>23.5787571788088</v>
      </c>
      <c r="DG54" s="438" t="str">
        <f>INPUT!EF698</f>
        <v>NA</v>
      </c>
      <c r="DH54" s="456">
        <f>INPUT!EG698</f>
        <v>3.6208325364951874</v>
      </c>
      <c r="DI54" s="438" t="str">
        <f>INPUT!EH698</f>
        <v>NA</v>
      </c>
      <c r="DJ54" s="456">
        <f>INPUT!EI698</f>
        <v>17.279081141631035</v>
      </c>
      <c r="DK54" s="438" t="str">
        <f>INPUT!EJ698</f>
        <v>NA</v>
      </c>
      <c r="DL54" s="456">
        <f>INPUT!EK698</f>
        <v>6.1161889042866262</v>
      </c>
      <c r="DM54" s="438">
        <f>INPUT!EL698</f>
        <v>-49.647694549916096</v>
      </c>
      <c r="DN54" s="456">
        <f>INPUT!EM698</f>
        <v>27.186176108841885</v>
      </c>
      <c r="DO54" s="438">
        <f>INPUT!EN698</f>
        <v>15.299444761555208</v>
      </c>
      <c r="DP54" s="456">
        <f>INPUT!EO698</f>
        <v>42.560406952098347</v>
      </c>
      <c r="DQ54" s="438" t="str">
        <f>INPUT!EP698</f>
        <v>NM</v>
      </c>
      <c r="DR54" s="456">
        <f>INPUT!EQ698</f>
        <v>23.016783419549782</v>
      </c>
      <c r="DS54" s="438">
        <f>INPUT!ER698</f>
        <v>33.206061311296935</v>
      </c>
      <c r="DT54" s="456">
        <f>INPUT!ES698</f>
        <v>9.9810419692480412</v>
      </c>
      <c r="DU54" s="438">
        <f>INPUT!ET698</f>
        <v>63.190544396898417</v>
      </c>
      <c r="DV54" s="456">
        <f>INPUT!EU698</f>
        <v>9.7100798488617084</v>
      </c>
      <c r="DW54" s="438" t="str">
        <f>INPUT!EV698</f>
        <v>NM</v>
      </c>
      <c r="DX54" s="456">
        <f>INPUT!EW698</f>
        <v>8.2744011152655421</v>
      </c>
      <c r="DY54" s="438" t="str">
        <f>INPUT!EX698</f>
        <v>NM</v>
      </c>
      <c r="DZ54" s="456"/>
      <c r="EA54" s="438"/>
      <c r="EB54" s="455" t="str">
        <f>INPUT!FI698</f>
        <v>NM</v>
      </c>
      <c r="EC54" s="456">
        <f>INPUT!FJ698</f>
        <v>-6.0205813706768518</v>
      </c>
      <c r="ED54" s="455" t="str">
        <f>INPUT!FK698</f>
        <v>NM</v>
      </c>
      <c r="EE54" s="456">
        <f>INPUT!FL698</f>
        <v>-7.8205679862306363</v>
      </c>
      <c r="EF54" s="455">
        <f>INPUT!FM698</f>
        <v>29.897222622396413</v>
      </c>
      <c r="EG54" s="456">
        <f>INPUT!FN698</f>
        <v>-5.1903570017125542</v>
      </c>
      <c r="EH54" s="455">
        <f>INPUT!FO698</f>
        <v>-33.631968792407292</v>
      </c>
      <c r="EI54" s="456">
        <f>INPUT!FP698</f>
        <v>-18.653913566027342</v>
      </c>
      <c r="EJ54" s="438" t="str">
        <f>INPUT!FQ698</f>
        <v>NM</v>
      </c>
      <c r="EK54" s="456">
        <f>INPUT!FR698</f>
        <v>-12.228078581696215</v>
      </c>
      <c r="EL54" s="438">
        <f>INPUT!FS698</f>
        <v>-34.447650685129744</v>
      </c>
      <c r="EM54" s="456">
        <f>INPUT!FT698</f>
        <v>-11.988879988691513</v>
      </c>
      <c r="EN54" s="438">
        <f>INPUT!FU698</f>
        <v>-1.9561420987492539</v>
      </c>
      <c r="EO54" s="456">
        <f>INPUT!FV698</f>
        <v>-19.876903459944582</v>
      </c>
      <c r="EP54" s="438">
        <f>INPUT!FW698</f>
        <v>65.794498557775455</v>
      </c>
      <c r="EQ54" s="456">
        <f>INPUT!FX698</f>
        <v>-3.6378426011704366</v>
      </c>
      <c r="ER54" s="438" t="str">
        <f>INPUT!FY698</f>
        <v>NM</v>
      </c>
      <c r="ES54" s="456">
        <f>INPUT!FZ698</f>
        <v>-0.1351915545040657</v>
      </c>
      <c r="ET54" s="438" t="str">
        <f>INPUT!GA698</f>
        <v>NM</v>
      </c>
      <c r="EU54" s="456">
        <f>INPUT!GB698</f>
        <v>-2.0108420401042935</v>
      </c>
      <c r="EV54" s="438" t="str">
        <f>INPUT!GC698</f>
        <v>NM</v>
      </c>
      <c r="EW54" s="456">
        <f>INPUT!GD698</f>
        <v>1.1176857330703485</v>
      </c>
      <c r="EX54" s="438" t="str">
        <f>INPUT!GE698</f>
        <v>NM</v>
      </c>
      <c r="EY54" s="456">
        <f>INPUT!GF698</f>
        <v>10.650864952690432</v>
      </c>
      <c r="EZ54" s="438" t="str">
        <f>INPUT!GG698</f>
        <v>NM</v>
      </c>
      <c r="FA54" s="456">
        <f>INPUT!GH698</f>
        <v>12.694948212230644</v>
      </c>
      <c r="FB54" s="438">
        <f>INPUT!GI698</f>
        <v>19.191711364473491</v>
      </c>
      <c r="FC54" s="456">
        <f>INPUT!GJ698</f>
        <v>20.627376425855513</v>
      </c>
      <c r="FD54" s="438">
        <f>INPUT!GK698</f>
        <v>62.484919835927798</v>
      </c>
      <c r="FE54" s="456">
        <f>INPUT!GL698</f>
        <v>14.357322464542213</v>
      </c>
      <c r="FF54" s="438">
        <f>INPUT!GM698</f>
        <v>-30.396759296320695</v>
      </c>
      <c r="FG54" s="456">
        <f>INPUT!GN698</f>
        <v>23.046147984231428</v>
      </c>
      <c r="FH54" s="438">
        <f>INPUT!GO698</f>
        <v>60.518425640628379</v>
      </c>
      <c r="FI54" s="456">
        <f>INPUT!GP698</f>
        <v>12.848149935623987</v>
      </c>
      <c r="FJ54" s="438">
        <f>INPUT!GQ698</f>
        <v>-44.250336566375815</v>
      </c>
      <c r="FK54" s="456">
        <f>INPUT!GR698</f>
        <v>11.30451515185432</v>
      </c>
      <c r="FL54" s="438">
        <f>INPUT!GS698</f>
        <v>-12.014451819943659</v>
      </c>
      <c r="FM54" s="456">
        <f>INPUT!GT698</f>
        <v>10.976437387637745</v>
      </c>
      <c r="FN54" s="438">
        <f>INPUT!GU698</f>
        <v>-2.9021834179483506</v>
      </c>
      <c r="FO54" s="456">
        <f>INPUT!GV698</f>
        <v>10.71372928923363</v>
      </c>
      <c r="FP54" s="438">
        <f>INPUT!GW698</f>
        <v>-2.3933821979433105</v>
      </c>
      <c r="FQ54" s="456">
        <f>INPUT!GX698</f>
        <v>10.465684282603879</v>
      </c>
      <c r="FR54" s="438">
        <f>INPUT!GY698</f>
        <v>-2.3152069641988646</v>
      </c>
      <c r="FS54" s="827">
        <f>INPUT!GZ698</f>
        <v>-14.604722017471305</v>
      </c>
    </row>
    <row r="55" spans="1:175" s="529" customFormat="1" ht="12.75" hidden="1" customHeight="1" outlineLevel="1" x14ac:dyDescent="0.2">
      <c r="A55" s="826"/>
      <c r="B55" s="484"/>
      <c r="C55" s="439"/>
      <c r="D55" s="484"/>
      <c r="E55" s="439"/>
      <c r="F55" s="484"/>
      <c r="G55" s="439"/>
      <c r="H55" s="484"/>
      <c r="I55" s="439"/>
      <c r="J55" s="484"/>
      <c r="K55" s="439"/>
      <c r="L55" s="484"/>
      <c r="M55" s="439"/>
      <c r="N55" s="484"/>
      <c r="O55" s="439"/>
      <c r="P55" s="484"/>
      <c r="Q55" s="439"/>
      <c r="R55" s="484"/>
      <c r="S55" s="439"/>
      <c r="T55" s="484"/>
      <c r="U55" s="439"/>
      <c r="V55" s="484"/>
      <c r="W55" s="439"/>
      <c r="X55" s="484"/>
      <c r="Y55" s="439"/>
      <c r="Z55" s="484"/>
      <c r="AA55" s="439"/>
      <c r="AB55" s="484"/>
      <c r="AC55" s="439"/>
      <c r="AD55" s="484"/>
      <c r="AE55" s="439"/>
      <c r="AF55" s="484"/>
      <c r="AG55" s="439"/>
      <c r="AH55" s="484"/>
      <c r="AI55" s="438"/>
      <c r="AJ55" s="484"/>
      <c r="AK55" s="438"/>
      <c r="AL55" s="484"/>
      <c r="AM55" s="438"/>
      <c r="AN55" s="484"/>
      <c r="AO55" s="438"/>
      <c r="AP55" s="484"/>
      <c r="AQ55" s="438"/>
      <c r="AR55" s="484"/>
      <c r="AS55" s="438"/>
      <c r="AT55" s="484"/>
      <c r="AU55" s="438"/>
      <c r="AV55" s="484"/>
      <c r="AW55" s="438"/>
      <c r="AX55" s="484"/>
      <c r="AY55" s="438"/>
      <c r="AZ55" s="484"/>
      <c r="BA55" s="438"/>
      <c r="BB55" s="484"/>
      <c r="BC55" s="438"/>
      <c r="BD55" s="484"/>
      <c r="BE55" s="438"/>
      <c r="BF55" s="484"/>
      <c r="BG55" s="438"/>
      <c r="BH55" s="484"/>
      <c r="BI55" s="438"/>
      <c r="BJ55" s="484"/>
      <c r="BK55" s="438"/>
      <c r="BL55" s="484"/>
      <c r="BM55" s="438"/>
      <c r="BN55" s="484"/>
      <c r="BO55" s="438"/>
      <c r="BP55" s="484"/>
      <c r="BQ55" s="438"/>
      <c r="BR55" s="484"/>
      <c r="BS55" s="438"/>
      <c r="BT55" s="484"/>
      <c r="BU55" s="438"/>
      <c r="BV55" s="484"/>
      <c r="BW55" s="438"/>
      <c r="BX55" s="484"/>
      <c r="BY55" s="438"/>
      <c r="BZ55" s="484"/>
      <c r="CA55" s="438"/>
      <c r="CB55" s="484"/>
      <c r="CC55" s="438"/>
      <c r="CD55" s="484"/>
      <c r="CE55" s="438"/>
      <c r="CF55" s="484"/>
      <c r="CG55" s="438"/>
      <c r="CH55" s="484"/>
      <c r="CI55" s="438"/>
      <c r="CJ55" s="484"/>
      <c r="CK55" s="438"/>
      <c r="CL55" s="484"/>
      <c r="CM55" s="438"/>
      <c r="CN55" s="484"/>
      <c r="CO55" s="438"/>
      <c r="CP55" s="484"/>
      <c r="CQ55" s="438"/>
      <c r="CR55" s="484"/>
      <c r="CS55" s="438"/>
      <c r="CT55" s="484"/>
      <c r="CU55" s="438"/>
      <c r="CV55" s="484"/>
      <c r="CW55" s="438"/>
      <c r="CX55" s="484"/>
      <c r="CY55" s="438"/>
      <c r="CZ55" s="484"/>
      <c r="DA55" s="438"/>
      <c r="DB55" s="484"/>
      <c r="DC55" s="438"/>
      <c r="DD55" s="484"/>
      <c r="DE55" s="438"/>
      <c r="DF55" s="484"/>
      <c r="DG55" s="438"/>
      <c r="DH55" s="484"/>
      <c r="DI55" s="438"/>
      <c r="DJ55" s="484"/>
      <c r="DK55" s="438"/>
      <c r="DL55" s="484"/>
      <c r="DM55" s="438"/>
      <c r="DN55" s="484"/>
      <c r="DO55" s="438"/>
      <c r="DP55" s="484"/>
      <c r="DQ55" s="438"/>
      <c r="DR55" s="484"/>
      <c r="DS55" s="438"/>
      <c r="DT55" s="484"/>
      <c r="DU55" s="438"/>
      <c r="DV55" s="484"/>
      <c r="DW55" s="438"/>
      <c r="DX55" s="484"/>
      <c r="DY55" s="438"/>
      <c r="DZ55" s="484"/>
      <c r="EA55" s="438"/>
      <c r="EB55" s="439"/>
      <c r="EC55" s="484"/>
      <c r="ED55" s="439"/>
      <c r="EE55" s="484"/>
      <c r="EF55" s="439"/>
      <c r="EG55" s="484"/>
      <c r="EH55" s="439"/>
      <c r="EI55" s="484"/>
      <c r="EJ55" s="438"/>
      <c r="EK55" s="484"/>
      <c r="EL55" s="438"/>
      <c r="EM55" s="484"/>
      <c r="EN55" s="438"/>
      <c r="EO55" s="484"/>
      <c r="EP55" s="438"/>
      <c r="EQ55" s="484"/>
      <c r="ER55" s="438"/>
      <c r="ES55" s="484"/>
      <c r="ET55" s="438"/>
      <c r="EU55" s="484"/>
      <c r="EV55" s="438"/>
      <c r="EW55" s="484"/>
      <c r="EX55" s="438"/>
      <c r="EY55" s="484"/>
      <c r="EZ55" s="438"/>
      <c r="FA55" s="484"/>
      <c r="FB55" s="438"/>
      <c r="FC55" s="484"/>
      <c r="FD55" s="438"/>
      <c r="FE55" s="484"/>
      <c r="FF55" s="438"/>
      <c r="FG55" s="484"/>
      <c r="FH55" s="438"/>
      <c r="FI55" s="484"/>
      <c r="FJ55" s="438"/>
      <c r="FK55" s="484"/>
      <c r="FL55" s="438"/>
      <c r="FM55" s="484"/>
      <c r="FN55" s="438"/>
      <c r="FO55" s="484"/>
      <c r="FP55" s="438"/>
      <c r="FQ55" s="484"/>
      <c r="FR55" s="438"/>
      <c r="FS55" s="827"/>
    </row>
    <row r="56" spans="1:175" s="529" customFormat="1" ht="12.75" customHeight="1" collapsed="1" x14ac:dyDescent="0.2">
      <c r="A56" s="829" t="s">
        <v>223</v>
      </c>
      <c r="B56" s="484"/>
      <c r="C56" s="439"/>
      <c r="D56" s="484"/>
      <c r="E56" s="439"/>
      <c r="F56" s="484"/>
      <c r="G56" s="439"/>
      <c r="H56" s="484"/>
      <c r="I56" s="439"/>
      <c r="J56" s="484"/>
      <c r="K56" s="439"/>
      <c r="L56" s="484"/>
      <c r="M56" s="439"/>
      <c r="N56" s="484"/>
      <c r="O56" s="439"/>
      <c r="P56" s="484"/>
      <c r="Q56" s="439"/>
      <c r="R56" s="484"/>
      <c r="S56" s="439"/>
      <c r="T56" s="484"/>
      <c r="U56" s="439"/>
      <c r="V56" s="484"/>
      <c r="W56" s="439"/>
      <c r="X56" s="484"/>
      <c r="Y56" s="439"/>
      <c r="Z56" s="484"/>
      <c r="AA56" s="439"/>
      <c r="AB56" s="484"/>
      <c r="AC56" s="439"/>
      <c r="AD56" s="484"/>
      <c r="AE56" s="439"/>
      <c r="AF56" s="484"/>
      <c r="AG56" s="439"/>
      <c r="AH56" s="484"/>
      <c r="AI56" s="438"/>
      <c r="AJ56" s="484"/>
      <c r="AK56" s="438"/>
      <c r="AL56" s="484"/>
      <c r="AM56" s="438"/>
      <c r="AN56" s="484"/>
      <c r="AO56" s="438"/>
      <c r="AP56" s="484"/>
      <c r="AQ56" s="438"/>
      <c r="AR56" s="484"/>
      <c r="AS56" s="438"/>
      <c r="AT56" s="484"/>
      <c r="AU56" s="438"/>
      <c r="AV56" s="484"/>
      <c r="AW56" s="438"/>
      <c r="AX56" s="484"/>
      <c r="AY56" s="438"/>
      <c r="AZ56" s="484"/>
      <c r="BA56" s="438"/>
      <c r="BB56" s="484"/>
      <c r="BC56" s="438"/>
      <c r="BD56" s="484"/>
      <c r="BE56" s="438"/>
      <c r="BF56" s="484"/>
      <c r="BG56" s="438"/>
      <c r="BH56" s="484"/>
      <c r="BI56" s="438"/>
      <c r="BJ56" s="484"/>
      <c r="BK56" s="438"/>
      <c r="BL56" s="484"/>
      <c r="BM56" s="438"/>
      <c r="BN56" s="484"/>
      <c r="BO56" s="438"/>
      <c r="BP56" s="484"/>
      <c r="BQ56" s="438"/>
      <c r="BR56" s="484"/>
      <c r="BS56" s="438"/>
      <c r="BT56" s="484"/>
      <c r="BU56" s="438"/>
      <c r="BV56" s="484"/>
      <c r="BW56" s="438"/>
      <c r="BX56" s="484"/>
      <c r="BY56" s="438"/>
      <c r="BZ56" s="484"/>
      <c r="CA56" s="438"/>
      <c r="CB56" s="484"/>
      <c r="CC56" s="438"/>
      <c r="CD56" s="484"/>
      <c r="CE56" s="438"/>
      <c r="CF56" s="484"/>
      <c r="CG56" s="438"/>
      <c r="CH56" s="484"/>
      <c r="CI56" s="438"/>
      <c r="CJ56" s="484"/>
      <c r="CK56" s="438"/>
      <c r="CL56" s="484"/>
      <c r="CM56" s="438"/>
      <c r="CN56" s="484"/>
      <c r="CO56" s="438"/>
      <c r="CP56" s="484"/>
      <c r="CQ56" s="438"/>
      <c r="CR56" s="484"/>
      <c r="CS56" s="438"/>
      <c r="CT56" s="484"/>
      <c r="CU56" s="438"/>
      <c r="CV56" s="484"/>
      <c r="CW56" s="438"/>
      <c r="CX56" s="484"/>
      <c r="CY56" s="438"/>
      <c r="CZ56" s="484"/>
      <c r="DA56" s="438"/>
      <c r="DB56" s="484"/>
      <c r="DC56" s="438"/>
      <c r="DD56" s="484"/>
      <c r="DE56" s="438"/>
      <c r="DF56" s="484"/>
      <c r="DG56" s="438"/>
      <c r="DH56" s="484"/>
      <c r="DI56" s="438"/>
      <c r="DJ56" s="484"/>
      <c r="DK56" s="438"/>
      <c r="DL56" s="484"/>
      <c r="DM56" s="438"/>
      <c r="DN56" s="484"/>
      <c r="DO56" s="438"/>
      <c r="DP56" s="484"/>
      <c r="DQ56" s="438"/>
      <c r="DR56" s="484"/>
      <c r="DS56" s="438"/>
      <c r="DT56" s="484"/>
      <c r="DU56" s="438"/>
      <c r="DV56" s="484"/>
      <c r="DW56" s="438"/>
      <c r="DX56" s="484"/>
      <c r="DY56" s="438"/>
      <c r="DZ56" s="484"/>
      <c r="EA56" s="438"/>
      <c r="EB56" s="439"/>
      <c r="EC56" s="484"/>
      <c r="ED56" s="439"/>
      <c r="EE56" s="484"/>
      <c r="EF56" s="439"/>
      <c r="EG56" s="484"/>
      <c r="EH56" s="439"/>
      <c r="EI56" s="484"/>
      <c r="EJ56" s="438"/>
      <c r="EK56" s="484"/>
      <c r="EL56" s="438"/>
      <c r="EM56" s="484"/>
      <c r="EN56" s="438"/>
      <c r="EO56" s="484"/>
      <c r="EP56" s="438"/>
      <c r="EQ56" s="484"/>
      <c r="ER56" s="438"/>
      <c r="ES56" s="484"/>
      <c r="ET56" s="438"/>
      <c r="EU56" s="484"/>
      <c r="EV56" s="438"/>
      <c r="EW56" s="484"/>
      <c r="EX56" s="438"/>
      <c r="EY56" s="484"/>
      <c r="EZ56" s="438"/>
      <c r="FA56" s="484"/>
      <c r="FB56" s="438"/>
      <c r="FC56" s="484"/>
      <c r="FD56" s="438"/>
      <c r="FE56" s="484"/>
      <c r="FF56" s="438"/>
      <c r="FG56" s="484"/>
      <c r="FH56" s="438"/>
      <c r="FI56" s="484"/>
      <c r="FJ56" s="438"/>
      <c r="FK56" s="484"/>
      <c r="FL56" s="438"/>
      <c r="FM56" s="484"/>
      <c r="FN56" s="438"/>
      <c r="FO56" s="484"/>
      <c r="FP56" s="438"/>
      <c r="FQ56" s="484"/>
      <c r="FR56" s="438"/>
      <c r="FS56" s="827"/>
    </row>
    <row r="57" spans="1:175" s="529" customFormat="1" ht="12.75" customHeight="1" x14ac:dyDescent="0.2">
      <c r="A57" s="842" t="str">
        <f>INPUT!B611</f>
        <v>Dividends Per Share</v>
      </c>
      <c r="B57" s="457">
        <f>INPUT!AA611</f>
        <v>0</v>
      </c>
      <c r="C57" s="439" t="str">
        <f>INPUT!AB611</f>
        <v>NA</v>
      </c>
      <c r="D57" s="457">
        <f>INPUT!AC611</f>
        <v>0</v>
      </c>
      <c r="E57" s="439" t="str">
        <f>INPUT!AD611</f>
        <v>NA</v>
      </c>
      <c r="F57" s="457">
        <f>INPUT!AE611</f>
        <v>0</v>
      </c>
      <c r="G57" s="439" t="str">
        <f>INPUT!AF611</f>
        <v>NA</v>
      </c>
      <c r="H57" s="457">
        <f>INPUT!AG611</f>
        <v>0.5</v>
      </c>
      <c r="I57" s="439">
        <f>INPUT!AH611</f>
        <v>25</v>
      </c>
      <c r="J57" s="457">
        <f>INPUT!AI611</f>
        <v>0</v>
      </c>
      <c r="K57" s="439" t="str">
        <f>INPUT!AJ611</f>
        <v>NA</v>
      </c>
      <c r="L57" s="457">
        <f>INPUT!AK611</f>
        <v>0</v>
      </c>
      <c r="M57" s="439" t="str">
        <f>INPUT!AL611</f>
        <v>NA</v>
      </c>
      <c r="N57" s="457">
        <f>INPUT!AM611</f>
        <v>0</v>
      </c>
      <c r="O57" s="439" t="str">
        <f>INPUT!AN611</f>
        <v>NA</v>
      </c>
      <c r="P57" s="457">
        <f>INPUT!AO611</f>
        <v>0.625</v>
      </c>
      <c r="Q57" s="439">
        <f>INPUT!AP611</f>
        <v>25</v>
      </c>
      <c r="R57" s="457">
        <f>INPUT!AQ611</f>
        <v>0</v>
      </c>
      <c r="S57" s="439" t="str">
        <f>INPUT!AR611</f>
        <v>NA</v>
      </c>
      <c r="T57" s="457">
        <f>INPUT!AS611</f>
        <v>0</v>
      </c>
      <c r="U57" s="439" t="str">
        <f>INPUT!AT611</f>
        <v>NA</v>
      </c>
      <c r="V57" s="457">
        <f>INPUT!AU611</f>
        <v>0</v>
      </c>
      <c r="W57" s="439" t="str">
        <f>INPUT!AV611</f>
        <v>NA</v>
      </c>
      <c r="X57" s="457">
        <f>INPUT!AW611</f>
        <v>0.78</v>
      </c>
      <c r="Y57" s="439">
        <f>INPUT!AX611</f>
        <v>24.799999999999997</v>
      </c>
      <c r="Z57" s="457">
        <f>INPUT!AY611</f>
        <v>0</v>
      </c>
      <c r="AA57" s="439" t="str">
        <f>INPUT!AZ611</f>
        <v>NA</v>
      </c>
      <c r="AB57" s="457">
        <f>INPUT!BA611</f>
        <v>0</v>
      </c>
      <c r="AC57" s="439" t="str">
        <f>INPUT!BB611</f>
        <v>NA</v>
      </c>
      <c r="AD57" s="457">
        <f>INPUT!BC611</f>
        <v>0</v>
      </c>
      <c r="AE57" s="439" t="str">
        <f>INPUT!BD611</f>
        <v>NA</v>
      </c>
      <c r="AF57" s="457">
        <f>INPUT!BE611</f>
        <v>0.95</v>
      </c>
      <c r="AG57" s="439">
        <f>INPUT!BF611</f>
        <v>21.794871794871781</v>
      </c>
      <c r="AH57" s="456">
        <f>INPUT!BG611</f>
        <v>0</v>
      </c>
      <c r="AI57" s="438" t="str">
        <f>INPUT!BH611</f>
        <v>NA</v>
      </c>
      <c r="AJ57" s="456">
        <f>INPUT!BI611</f>
        <v>0</v>
      </c>
      <c r="AK57" s="438" t="str">
        <f>INPUT!BJ611</f>
        <v>NA</v>
      </c>
      <c r="AL57" s="456">
        <f>INPUT!BK611</f>
        <v>0</v>
      </c>
      <c r="AM57" s="438" t="str">
        <f>INPUT!BL611</f>
        <v>NA</v>
      </c>
      <c r="AN57" s="456">
        <f>INPUT!BM611</f>
        <v>1.1499999999999999</v>
      </c>
      <c r="AO57" s="438">
        <f>INPUT!BN611</f>
        <v>21.05263157894737</v>
      </c>
      <c r="AP57" s="457">
        <f>INPUT!BO611</f>
        <v>0</v>
      </c>
      <c r="AQ57" s="438" t="str">
        <f>INPUT!BP611</f>
        <v>NA</v>
      </c>
      <c r="AR57" s="457">
        <f>INPUT!BQ611</f>
        <v>0</v>
      </c>
      <c r="AS57" s="438" t="str">
        <f>INPUT!BR611</f>
        <v>NA</v>
      </c>
      <c r="AT57" s="457">
        <f>INPUT!BS611</f>
        <v>0</v>
      </c>
      <c r="AU57" s="438" t="str">
        <f>INPUT!BT611</f>
        <v>NA</v>
      </c>
      <c r="AV57" s="457">
        <f>INPUT!BU611</f>
        <v>0.57999999999999996</v>
      </c>
      <c r="AW57" s="438">
        <f>INPUT!BV611</f>
        <v>-49.565217391304351</v>
      </c>
      <c r="AX57" s="457">
        <f>INPUT!BW611</f>
        <v>0</v>
      </c>
      <c r="AY57" s="438" t="str">
        <f>INPUT!BX611</f>
        <v>NA</v>
      </c>
      <c r="AZ57" s="457">
        <f>INPUT!BY611</f>
        <v>0</v>
      </c>
      <c r="BA57" s="438" t="str">
        <f>INPUT!BZ611</f>
        <v>NA</v>
      </c>
      <c r="BB57" s="457">
        <f>INPUT!CA611</f>
        <v>0</v>
      </c>
      <c r="BC57" s="438" t="str">
        <f>INPUT!CB611</f>
        <v>NA</v>
      </c>
      <c r="BD57" s="457">
        <f>INPUT!CC611</f>
        <v>0.7</v>
      </c>
      <c r="BE57" s="438">
        <f>INPUT!CD611</f>
        <v>20.689655172413794</v>
      </c>
      <c r="BF57" s="457">
        <f>INPUT!CE611</f>
        <v>0</v>
      </c>
      <c r="BG57" s="438" t="str">
        <f>INPUT!CF611</f>
        <v>NA</v>
      </c>
      <c r="BH57" s="457">
        <f>INPUT!CG611</f>
        <v>0</v>
      </c>
      <c r="BI57" s="438" t="str">
        <f>INPUT!CH611</f>
        <v>NA</v>
      </c>
      <c r="BJ57" s="457">
        <f>INPUT!CI611</f>
        <v>0</v>
      </c>
      <c r="BK57" s="438" t="str">
        <f>INPUT!CJ611</f>
        <v>NA</v>
      </c>
      <c r="BL57" s="457">
        <f>INPUT!CK611</f>
        <v>1.1499999999999999</v>
      </c>
      <c r="BM57" s="438">
        <f>INPUT!CL611</f>
        <v>64.285714285714278</v>
      </c>
      <c r="BN57" s="457">
        <f>INPUT!CM611</f>
        <v>0</v>
      </c>
      <c r="BO57" s="438" t="str">
        <f>INPUT!CN611</f>
        <v>NA</v>
      </c>
      <c r="BP57" s="457">
        <f>INPUT!CO611</f>
        <v>0</v>
      </c>
      <c r="BQ57" s="438" t="str">
        <f>INPUT!CP611</f>
        <v>NA</v>
      </c>
      <c r="BR57" s="457">
        <f>INPUT!CQ611</f>
        <v>0</v>
      </c>
      <c r="BS57" s="438" t="str">
        <f>INPUT!CR611</f>
        <v>NA</v>
      </c>
      <c r="BT57" s="457">
        <f>INPUT!CS611</f>
        <v>1.45</v>
      </c>
      <c r="BU57" s="438">
        <f>INPUT!CT611</f>
        <v>26.08695652173914</v>
      </c>
      <c r="BV57" s="457">
        <f>INPUT!CU611</f>
        <v>0</v>
      </c>
      <c r="BW57" s="438" t="str">
        <f>INPUT!CV611</f>
        <v>NA</v>
      </c>
      <c r="BX57" s="457">
        <f>INPUT!CW611</f>
        <v>0</v>
      </c>
      <c r="BY57" s="438" t="str">
        <f>INPUT!CX611</f>
        <v>NA</v>
      </c>
      <c r="BZ57" s="457">
        <f>INPUT!CY611</f>
        <v>0</v>
      </c>
      <c r="CA57" s="438" t="str">
        <f>INPUT!CZ611</f>
        <v>NA</v>
      </c>
      <c r="CB57" s="457">
        <f>INPUT!DA611</f>
        <v>1.6</v>
      </c>
      <c r="CC57" s="438">
        <f>INPUT!DB611</f>
        <v>10.34482758620689</v>
      </c>
      <c r="CD57" s="457">
        <f>INPUT!DC611</f>
        <v>0.4</v>
      </c>
      <c r="CE57" s="438" t="str">
        <f>INPUT!DD611</f>
        <v>NA</v>
      </c>
      <c r="CF57" s="457">
        <f>INPUT!DE611</f>
        <v>0.4</v>
      </c>
      <c r="CG57" s="438" t="str">
        <f>INPUT!DF611</f>
        <v>NA</v>
      </c>
      <c r="CH57" s="457">
        <f>INPUT!DG611</f>
        <v>0.4</v>
      </c>
      <c r="CI57" s="438" t="str">
        <f>INPUT!DH611</f>
        <v>NA</v>
      </c>
      <c r="CJ57" s="457">
        <f>INPUT!DI611</f>
        <v>0.53</v>
      </c>
      <c r="CK57" s="438" t="str">
        <f>INPUT!DJ611</f>
        <v>NM</v>
      </c>
      <c r="CL57" s="457">
        <f>INPUT!DK611</f>
        <v>0.53</v>
      </c>
      <c r="CM57" s="438">
        <f>INPUT!DL611</f>
        <v>32.5</v>
      </c>
      <c r="CN57" s="457">
        <f>INPUT!DM611</f>
        <v>0.53</v>
      </c>
      <c r="CO57" s="438">
        <f>INPUT!DN611</f>
        <v>32.5</v>
      </c>
      <c r="CP57" s="457">
        <f>INPUT!DO611</f>
        <v>0.53</v>
      </c>
      <c r="CQ57" s="438">
        <f>INPUT!DP611</f>
        <v>32.5</v>
      </c>
      <c r="CR57" s="457">
        <f>INPUT!DQ611</f>
        <v>0.57999999999999996</v>
      </c>
      <c r="CS57" s="438">
        <f>INPUT!DR611</f>
        <v>9.4339622641509351</v>
      </c>
      <c r="CT57" s="457">
        <f>INPUT!DS611</f>
        <v>0.57999999999999996</v>
      </c>
      <c r="CU57" s="438">
        <f>INPUT!DT611</f>
        <v>9.4339622641509351</v>
      </c>
      <c r="CV57" s="457">
        <f>INPUT!DU611</f>
        <v>0.57999999999999996</v>
      </c>
      <c r="CW57" s="438">
        <f>INPUT!DV611</f>
        <v>9.4339622641509351</v>
      </c>
      <c r="CX57" s="457">
        <f>INPUT!DW611</f>
        <v>0.57999999999999996</v>
      </c>
      <c r="CY57" s="438">
        <f>INPUT!DX611</f>
        <v>9.4339622641509351</v>
      </c>
      <c r="CZ57" s="457">
        <f>INPUT!DY611</f>
        <v>0.7</v>
      </c>
      <c r="DA57" s="438">
        <f>INPUT!DZ611</f>
        <v>20.689655172413794</v>
      </c>
      <c r="DB57" s="457">
        <f>INPUT!EA611</f>
        <v>0.7</v>
      </c>
      <c r="DC57" s="438">
        <f>INPUT!EB611</f>
        <v>20.689655172413794</v>
      </c>
      <c r="DD57" s="457">
        <f>INPUT!EC611</f>
        <v>0.7</v>
      </c>
      <c r="DE57" s="438">
        <f>INPUT!ED611</f>
        <v>20.689655172413794</v>
      </c>
      <c r="DF57" s="457">
        <f>INPUT!EE611</f>
        <v>0.7</v>
      </c>
      <c r="DG57" s="438">
        <f>INPUT!EF611</f>
        <v>20.689655172413794</v>
      </c>
      <c r="DH57" s="457">
        <f>INPUT!EG611</f>
        <v>0.75</v>
      </c>
      <c r="DI57" s="438">
        <f>INPUT!EH611</f>
        <v>7.1428571428571388</v>
      </c>
      <c r="DJ57" s="457">
        <f>INPUT!EI611</f>
        <v>0.75</v>
      </c>
      <c r="DK57" s="438">
        <f>INPUT!EJ611</f>
        <v>7.1428571428571388</v>
      </c>
      <c r="DL57" s="457">
        <f>INPUT!EK611</f>
        <v>0.75</v>
      </c>
      <c r="DM57" s="438">
        <f>INPUT!EL611</f>
        <v>7.1428571428571388</v>
      </c>
      <c r="DN57" s="457">
        <f>INPUT!EM611</f>
        <v>0.75</v>
      </c>
      <c r="DO57" s="438">
        <f>INPUT!EN611</f>
        <v>7.1428571428571388</v>
      </c>
      <c r="DP57" s="457">
        <f>INPUT!EO611</f>
        <v>0.75</v>
      </c>
      <c r="DQ57" s="438">
        <f>INPUT!EP611</f>
        <v>0</v>
      </c>
      <c r="DR57" s="457">
        <f>INPUT!EQ611</f>
        <v>0.9</v>
      </c>
      <c r="DS57" s="438">
        <f>INPUT!ER611</f>
        <v>20</v>
      </c>
      <c r="DT57" s="457">
        <f>INPUT!ES611</f>
        <v>0.9</v>
      </c>
      <c r="DU57" s="438">
        <f>INPUT!ET611</f>
        <v>20.2</v>
      </c>
      <c r="DV57" s="457">
        <f>INPUT!EU611</f>
        <v>0.9</v>
      </c>
      <c r="DW57" s="438">
        <f>INPUT!EV611</f>
        <v>20.402000000000001</v>
      </c>
      <c r="DX57" s="457">
        <f>INPUT!EW611</f>
        <v>0.9</v>
      </c>
      <c r="DY57" s="438">
        <f>INPUT!EX611</f>
        <v>20</v>
      </c>
      <c r="DZ57" s="457"/>
      <c r="EA57" s="438"/>
      <c r="EB57" s="455" t="str">
        <f>INPUT!FI611</f>
        <v>NA</v>
      </c>
      <c r="EC57" s="456">
        <f>INPUT!FJ611</f>
        <v>0.4</v>
      </c>
      <c r="ED57" s="455" t="str">
        <f>INPUT!FK611</f>
        <v>NA</v>
      </c>
      <c r="EE57" s="456">
        <f>INPUT!FL611</f>
        <v>0.5</v>
      </c>
      <c r="EF57" s="455">
        <f>INPUT!FM611</f>
        <v>25</v>
      </c>
      <c r="EG57" s="456">
        <f>INPUT!FN611</f>
        <v>0.625</v>
      </c>
      <c r="EH57" s="455">
        <f>INPUT!FO611</f>
        <v>25</v>
      </c>
      <c r="EI57" s="456">
        <f>INPUT!FP611</f>
        <v>0.78</v>
      </c>
      <c r="EJ57" s="438">
        <f>INPUT!FQ611</f>
        <v>24.799999999999997</v>
      </c>
      <c r="EK57" s="457">
        <f>INPUT!FR611</f>
        <v>0.95</v>
      </c>
      <c r="EL57" s="438">
        <f>INPUT!FS611</f>
        <v>21.794871794871781</v>
      </c>
      <c r="EM57" s="457">
        <f>INPUT!FT611</f>
        <v>1.1499999999999999</v>
      </c>
      <c r="EN57" s="438">
        <f>INPUT!FU611</f>
        <v>21.05263157894737</v>
      </c>
      <c r="EO57" s="457">
        <f>INPUT!FV611</f>
        <v>0.57999999999999996</v>
      </c>
      <c r="EP57" s="438">
        <f>INPUT!FW611</f>
        <v>-49.565217391304351</v>
      </c>
      <c r="EQ57" s="457">
        <f>INPUT!FX611</f>
        <v>0.7</v>
      </c>
      <c r="ER57" s="438">
        <f>INPUT!FY611</f>
        <v>20.689655172413794</v>
      </c>
      <c r="ES57" s="457">
        <f>INPUT!FZ611</f>
        <v>1.1499999999999999</v>
      </c>
      <c r="ET57" s="438">
        <f>INPUT!GA611</f>
        <v>64.285714285714278</v>
      </c>
      <c r="EU57" s="457">
        <f>INPUT!GB611</f>
        <v>1.45</v>
      </c>
      <c r="EV57" s="438">
        <f>INPUT!GC611</f>
        <v>26.08695652173914</v>
      </c>
      <c r="EW57" s="457">
        <f>INPUT!GD611</f>
        <v>1.6</v>
      </c>
      <c r="EX57" s="438">
        <f>INPUT!GE611</f>
        <v>10.34482758620689</v>
      </c>
      <c r="EY57" s="457">
        <f>INPUT!GF611</f>
        <v>1.7300000000000002</v>
      </c>
      <c r="EZ57" s="438">
        <f>INPUT!GG611</f>
        <v>8.125</v>
      </c>
      <c r="FA57" s="457">
        <f>INPUT!GH611</f>
        <v>2.17</v>
      </c>
      <c r="FB57" s="438">
        <f>INPUT!GI611</f>
        <v>25.433526011560687</v>
      </c>
      <c r="FC57" s="457">
        <f>INPUT!GJ611</f>
        <v>2.4399999999999995</v>
      </c>
      <c r="FD57" s="438">
        <f>INPUT!GK611</f>
        <v>12.442396313364029</v>
      </c>
      <c r="FE57" s="457">
        <f>INPUT!GL611</f>
        <v>2.8499999999999996</v>
      </c>
      <c r="FF57" s="438">
        <f>INPUT!GM611</f>
        <v>16.8032786885246</v>
      </c>
      <c r="FG57" s="457">
        <f>INPUT!GN611</f>
        <v>3</v>
      </c>
      <c r="FH57" s="438">
        <f>INPUT!GO611</f>
        <v>5.2631578947368638</v>
      </c>
      <c r="FI57" s="457">
        <f>INPUT!GP611</f>
        <v>3.6</v>
      </c>
      <c r="FJ57" s="438">
        <f>INPUT!GQ611</f>
        <v>20</v>
      </c>
      <c r="FK57" s="457">
        <f>INPUT!GR611</f>
        <v>3.9600000000000004</v>
      </c>
      <c r="FL57" s="438">
        <f>INPUT!GS611</f>
        <v>10.000000000000014</v>
      </c>
      <c r="FM57" s="457">
        <f>INPUT!GT611</f>
        <v>4.3560000000000008</v>
      </c>
      <c r="FN57" s="438">
        <f>INPUT!GU611</f>
        <v>10.000000000000014</v>
      </c>
      <c r="FO57" s="457">
        <f>INPUT!GV611</f>
        <v>4.7916000000000016</v>
      </c>
      <c r="FP57" s="438">
        <f>INPUT!GW611</f>
        <v>10.000000000000014</v>
      </c>
      <c r="FQ57" s="457">
        <f>INPUT!GX611</f>
        <v>5.2707600000000019</v>
      </c>
      <c r="FR57" s="438">
        <f>INPUT!GY611</f>
        <v>10.000000000000014</v>
      </c>
      <c r="FS57" s="827">
        <f>INPUT!GZ611</f>
        <v>11.931003489314641</v>
      </c>
    </row>
    <row r="58" spans="1:175" s="529" customFormat="1" ht="12.75" customHeight="1" x14ac:dyDescent="0.2">
      <c r="A58" s="843" t="str">
        <f>INPUT!B612</f>
        <v>Dividend Payout Ratio (%)</v>
      </c>
      <c r="B58" s="844">
        <f>INPUT!AA612</f>
        <v>0</v>
      </c>
      <c r="C58" s="845" t="str">
        <f>INPUT!AB612</f>
        <v>NA</v>
      </c>
      <c r="D58" s="844">
        <f>INPUT!AC612</f>
        <v>0</v>
      </c>
      <c r="E58" s="845" t="str">
        <f>INPUT!AD612</f>
        <v>NA</v>
      </c>
      <c r="F58" s="844">
        <f>INPUT!AE612</f>
        <v>0</v>
      </c>
      <c r="G58" s="845" t="str">
        <f>INPUT!AF612</f>
        <v>NA</v>
      </c>
      <c r="H58" s="844">
        <f>INPUT!AG612</f>
        <v>37.31343283582089</v>
      </c>
      <c r="I58" s="845" t="str">
        <f>INPUT!AH612</f>
        <v>NM</v>
      </c>
      <c r="J58" s="844">
        <f>INPUT!AI612</f>
        <v>0</v>
      </c>
      <c r="K58" s="845" t="str">
        <f>INPUT!AJ612</f>
        <v>NA</v>
      </c>
      <c r="L58" s="844">
        <f>INPUT!AK612</f>
        <v>0</v>
      </c>
      <c r="M58" s="845" t="str">
        <f>INPUT!AL612</f>
        <v>NA</v>
      </c>
      <c r="N58" s="844">
        <f>INPUT!AM612</f>
        <v>0</v>
      </c>
      <c r="O58" s="845" t="str">
        <f>INPUT!AN612</f>
        <v>NA</v>
      </c>
      <c r="P58" s="844">
        <f>INPUT!AO612</f>
        <v>53.879310344827594</v>
      </c>
      <c r="Q58" s="845">
        <f>INPUT!AP612</f>
        <v>44.396551724137964</v>
      </c>
      <c r="R58" s="844">
        <f>INPUT!AQ612</f>
        <v>0</v>
      </c>
      <c r="S58" s="845" t="str">
        <f>INPUT!AR612</f>
        <v>NA</v>
      </c>
      <c r="T58" s="844">
        <f>INPUT!AS612</f>
        <v>0</v>
      </c>
      <c r="U58" s="845" t="str">
        <f>INPUT!AT612</f>
        <v>NA</v>
      </c>
      <c r="V58" s="844">
        <f>INPUT!AU612</f>
        <v>0</v>
      </c>
      <c r="W58" s="845" t="str">
        <f>INPUT!AV612</f>
        <v>NA</v>
      </c>
      <c r="X58" s="844">
        <f>INPUT!AW612</f>
        <v>67.24137931034484</v>
      </c>
      <c r="Y58" s="845">
        <f>INPUT!AX612</f>
        <v>24.799999999999997</v>
      </c>
      <c r="Z58" s="844">
        <f>INPUT!AY612</f>
        <v>0</v>
      </c>
      <c r="AA58" s="845" t="str">
        <f>INPUT!AZ612</f>
        <v>NA</v>
      </c>
      <c r="AB58" s="844">
        <f>INPUT!BA612</f>
        <v>0</v>
      </c>
      <c r="AC58" s="845" t="str">
        <f>INPUT!BB612</f>
        <v>NA</v>
      </c>
      <c r="AD58" s="844">
        <f>INPUT!BC612</f>
        <v>0</v>
      </c>
      <c r="AE58" s="845" t="str">
        <f>INPUT!BD612</f>
        <v>NA</v>
      </c>
      <c r="AF58" s="844">
        <f>INPUT!BE612</f>
        <v>54.913294797687861</v>
      </c>
      <c r="AG58" s="845">
        <f>INPUT!BF612</f>
        <v>-18.334074403438578</v>
      </c>
      <c r="AH58" s="846">
        <f>INPUT!BG612</f>
        <v>0</v>
      </c>
      <c r="AI58" s="847" t="str">
        <f>INPUT!BH612</f>
        <v>NA</v>
      </c>
      <c r="AJ58" s="846">
        <f>INPUT!BI612</f>
        <v>0</v>
      </c>
      <c r="AK58" s="847" t="str">
        <f>INPUT!BJ612</f>
        <v>NA</v>
      </c>
      <c r="AL58" s="846">
        <f>INPUT!BK612</f>
        <v>0</v>
      </c>
      <c r="AM58" s="847" t="str">
        <f>INPUT!BL612</f>
        <v>NA</v>
      </c>
      <c r="AN58" s="846">
        <f>INPUT!BM612</f>
        <v>66.473988439306353</v>
      </c>
      <c r="AO58" s="847">
        <f>INPUT!BN612</f>
        <v>21.05263157894737</v>
      </c>
      <c r="AP58" s="846">
        <f>INPUT!BO612</f>
        <v>0</v>
      </c>
      <c r="AQ58" s="847" t="str">
        <f>INPUT!BP612</f>
        <v>NA</v>
      </c>
      <c r="AR58" s="846">
        <f>INPUT!BQ612</f>
        <v>0</v>
      </c>
      <c r="AS58" s="847" t="str">
        <f>INPUT!BR612</f>
        <v>NA</v>
      </c>
      <c r="AT58" s="846">
        <f>INPUT!BS612</f>
        <v>0</v>
      </c>
      <c r="AU58" s="847" t="str">
        <f>INPUT!BT612</f>
        <v>NA</v>
      </c>
      <c r="AV58" s="846">
        <f>INPUT!BU612</f>
        <v>-19.727891156462583</v>
      </c>
      <c r="AW58" s="847" t="str">
        <f>INPUT!BV612</f>
        <v>NM</v>
      </c>
      <c r="AX58" s="846">
        <f>INPUT!BW612</f>
        <v>0</v>
      </c>
      <c r="AY58" s="847" t="str">
        <f>INPUT!BX612</f>
        <v>NA</v>
      </c>
      <c r="AZ58" s="846">
        <f>INPUT!BY612</f>
        <v>0</v>
      </c>
      <c r="BA58" s="847" t="str">
        <f>INPUT!BZ612</f>
        <v>NA</v>
      </c>
      <c r="BB58" s="846">
        <f>INPUT!CA612</f>
        <v>0</v>
      </c>
      <c r="BC58" s="847" t="str">
        <f>INPUT!CB612</f>
        <v>NA</v>
      </c>
      <c r="BD58" s="846">
        <f>INPUT!CC612</f>
        <v>18.412192393736017</v>
      </c>
      <c r="BE58" s="847" t="str">
        <f>INPUT!CD612</f>
        <v>NM</v>
      </c>
      <c r="BF58" s="846">
        <f>INPUT!CE612</f>
        <v>0</v>
      </c>
      <c r="BG58" s="847" t="str">
        <f>INPUT!CF612</f>
        <v>NA</v>
      </c>
      <c r="BH58" s="846">
        <f>INPUT!CG612</f>
        <v>0</v>
      </c>
      <c r="BI58" s="847" t="str">
        <f>INPUT!CH612</f>
        <v>NA</v>
      </c>
      <c r="BJ58" s="846">
        <f>INPUT!CI612</f>
        <v>0</v>
      </c>
      <c r="BK58" s="847" t="str">
        <f>INPUT!CJ612</f>
        <v>NA</v>
      </c>
      <c r="BL58" s="846">
        <f>INPUT!CK612</f>
        <v>499.99999999999989</v>
      </c>
      <c r="BM58" s="847" t="str">
        <f>INPUT!CL612</f>
        <v>NM</v>
      </c>
      <c r="BN58" s="846">
        <f>INPUT!CM612</f>
        <v>0</v>
      </c>
      <c r="BO58" s="847" t="str">
        <f>INPUT!CN612</f>
        <v>NA</v>
      </c>
      <c r="BP58" s="846">
        <f>INPUT!CO612</f>
        <v>0</v>
      </c>
      <c r="BQ58" s="847" t="str">
        <f>INPUT!CP612</f>
        <v>NA</v>
      </c>
      <c r="BR58" s="846">
        <f>INPUT!CQ612</f>
        <v>0</v>
      </c>
      <c r="BS58" s="847" t="str">
        <f>INPUT!CR612</f>
        <v>NA</v>
      </c>
      <c r="BT58" s="846">
        <f>INPUT!CS612</f>
        <v>133.02752293577979</v>
      </c>
      <c r="BU58" s="847" t="str">
        <f>INPUT!CT612</f>
        <v>NM</v>
      </c>
      <c r="BV58" s="846">
        <f>INPUT!CU612</f>
        <v>0</v>
      </c>
      <c r="BW58" s="847" t="str">
        <f>INPUT!CV612</f>
        <v>NA</v>
      </c>
      <c r="BX58" s="846">
        <f>INPUT!CW612</f>
        <v>0</v>
      </c>
      <c r="BY58" s="847" t="str">
        <f>INPUT!CX612</f>
        <v>NA</v>
      </c>
      <c r="BZ58" s="846">
        <f>INPUT!CY612</f>
        <v>0</v>
      </c>
      <c r="CA58" s="847" t="str">
        <f>INPUT!CZ612</f>
        <v>NA</v>
      </c>
      <c r="CB58" s="846">
        <f>INPUT!DA612</f>
        <v>-400</v>
      </c>
      <c r="CC58" s="847" t="str">
        <f>INPUT!DB612</f>
        <v>NM</v>
      </c>
      <c r="CD58" s="846">
        <f>INPUT!DC612</f>
        <v>-25.641025641025646</v>
      </c>
      <c r="CE58" s="847" t="str">
        <f>INPUT!DD612</f>
        <v>NA</v>
      </c>
      <c r="CF58" s="846">
        <f>INPUT!DE612</f>
        <v>-36.036036036036037</v>
      </c>
      <c r="CG58" s="847" t="str">
        <f>INPUT!DF612</f>
        <v>NA</v>
      </c>
      <c r="CH58" s="846">
        <f>INPUT!DG612</f>
        <v>19.70443349753695</v>
      </c>
      <c r="CI58" s="847" t="str">
        <f>INPUT!DH612</f>
        <v>NA</v>
      </c>
      <c r="CJ58" s="846">
        <f>INPUT!DI612</f>
        <v>-56.98924731182796</v>
      </c>
      <c r="CK58" s="847" t="str">
        <f>INPUT!DJ612</f>
        <v>NM</v>
      </c>
      <c r="CL58" s="846">
        <f>INPUT!DK612</f>
        <v>20.463320463320468</v>
      </c>
      <c r="CM58" s="847" t="str">
        <f>INPUT!DL612</f>
        <v>NM</v>
      </c>
      <c r="CN58" s="846">
        <f>INPUT!DM612</f>
        <v>23.873873873873876</v>
      </c>
      <c r="CO58" s="847" t="str">
        <f>INPUT!DN612</f>
        <v>NM</v>
      </c>
      <c r="CP58" s="846">
        <f>INPUT!DO612</f>
        <v>53.535353535353536</v>
      </c>
      <c r="CQ58" s="847" t="str">
        <f>INPUT!DP612</f>
        <v>NM</v>
      </c>
      <c r="CR58" s="846">
        <f>INPUT!DQ612</f>
        <v>-22.137404580152669</v>
      </c>
      <c r="CS58" s="847" t="str">
        <f>INPUT!DR612</f>
        <v>NM</v>
      </c>
      <c r="CT58" s="846">
        <f>INPUT!DS612</f>
        <v>13.272311212814644</v>
      </c>
      <c r="CU58" s="847">
        <f>INPUT!DT612</f>
        <v>-35.140969733603924</v>
      </c>
      <c r="CV58" s="846">
        <f>INPUT!DU612</f>
        <v>19.141914191419144</v>
      </c>
      <c r="CW58" s="847">
        <f>INPUT!DV612</f>
        <v>-19.820661311414156</v>
      </c>
      <c r="CX58" s="846">
        <f>INPUT!DW612</f>
        <v>24.150990990990991</v>
      </c>
      <c r="CY58" s="847" t="str">
        <f>INPUT!DX612</f>
        <v>NM</v>
      </c>
      <c r="CZ58" s="846">
        <f>INPUT!DY612</f>
        <v>36.131313131313128</v>
      </c>
      <c r="DA58" s="847" t="str">
        <f>INPUT!DZ612</f>
        <v>NM</v>
      </c>
      <c r="DB58" s="846">
        <f>INPUT!EA612</f>
        <v>32.128385155466397</v>
      </c>
      <c r="DC58" s="847" t="str">
        <f>INPUT!EB612</f>
        <v>NM</v>
      </c>
      <c r="DD58" s="846">
        <f>INPUT!EC612</f>
        <v>37.938480096501806</v>
      </c>
      <c r="DE58" s="847">
        <f>INPUT!ED612</f>
        <v>98.19585291793183</v>
      </c>
      <c r="DF58" s="846">
        <f>INPUT!EE612</f>
        <v>26.32331781633517</v>
      </c>
      <c r="DG58" s="847">
        <f>INPUT!EF612</f>
        <v>8.9947730350051387</v>
      </c>
      <c r="DH58" s="846">
        <f>INPUT!EG612</f>
        <v>30.513413506012952</v>
      </c>
      <c r="DI58" s="847">
        <f>INPUT!EH612</f>
        <v>-15.548562004604904</v>
      </c>
      <c r="DJ58" s="846">
        <f>INPUT!EI612</f>
        <v>26.839853300733495</v>
      </c>
      <c r="DK58" s="847">
        <f>INPUT!EJ612</f>
        <v>-16.460621438463747</v>
      </c>
      <c r="DL58" s="846">
        <f>INPUT!EK612</f>
        <v>35.878555798687088</v>
      </c>
      <c r="DM58" s="847">
        <f>INPUT!EL612</f>
        <v>-5.4296437089071929</v>
      </c>
      <c r="DN58" s="846">
        <f>INPUT!EM612</f>
        <v>24.88558352402746</v>
      </c>
      <c r="DO58" s="847">
        <f>INPUT!EN612</f>
        <v>-5.4618278073424023</v>
      </c>
      <c r="DP58" s="846">
        <f>INPUT!EO612</f>
        <v>27.92814113597246</v>
      </c>
      <c r="DQ58" s="847">
        <f>INPUT!EP612</f>
        <v>-8.4725767227945283</v>
      </c>
      <c r="DR58" s="846">
        <f>INPUT!EQ612</f>
        <v>29.073079072061368</v>
      </c>
      <c r="DS58" s="847">
        <f>INPUT!ER612</f>
        <v>8.3205587836310713</v>
      </c>
      <c r="DT58" s="846">
        <f>INPUT!ES612</f>
        <v>28.690736065391654</v>
      </c>
      <c r="DU58" s="847">
        <f>INPUT!ET612</f>
        <v>-20.033748776360895</v>
      </c>
      <c r="DV58" s="846">
        <f>INPUT!EU612</f>
        <v>28.796627497903383</v>
      </c>
      <c r="DW58" s="847">
        <f>INPUT!EV612</f>
        <v>15.716103141000275</v>
      </c>
      <c r="DX58" s="846">
        <f>INPUT!EW612</f>
        <v>31.707684818395826</v>
      </c>
      <c r="DY58" s="847">
        <f>INPUT!EX612</f>
        <v>13.533101483632848</v>
      </c>
      <c r="DZ58" s="846"/>
      <c r="EA58" s="847"/>
      <c r="EB58" s="848" t="str">
        <f>INPUT!FI612</f>
        <v>NA</v>
      </c>
      <c r="EC58" s="846">
        <f>INPUT!FJ612</f>
        <v>12.658227848101266</v>
      </c>
      <c r="ED58" s="848" t="str">
        <f>INPUT!FK612</f>
        <v>NA</v>
      </c>
      <c r="EE58" s="846">
        <f>INPUT!FL612</f>
        <v>12.755102040816324</v>
      </c>
      <c r="EF58" s="848">
        <f>INPUT!FM612</f>
        <v>0.7653061224489619</v>
      </c>
      <c r="EG58" s="846">
        <f>INPUT!FN612</f>
        <v>11.653866935603645</v>
      </c>
      <c r="EH58" s="848">
        <f>INPUT!FO612</f>
        <v>-8.6336832248674114</v>
      </c>
      <c r="EI58" s="846">
        <f>INPUT!FP612</f>
        <v>19.796954314720814</v>
      </c>
      <c r="EJ58" s="847">
        <f>INPUT!FQ612</f>
        <v>69.874552576529624</v>
      </c>
      <c r="EK58" s="846">
        <f>INPUT!FR612</f>
        <v>20.743624339209482</v>
      </c>
      <c r="EL58" s="847">
        <f>INPUT!FS612</f>
        <v>4.7818973031863408</v>
      </c>
      <c r="EM58" s="846">
        <f>INPUT!FT612</f>
        <v>19.79879035223178</v>
      </c>
      <c r="EN58" s="847">
        <f>INPUT!FU612</f>
        <v>-4.5548163210407893</v>
      </c>
      <c r="EO58" s="846">
        <f>INPUT!FV612</f>
        <v>-36.888595526219284</v>
      </c>
      <c r="EP58" s="847" t="str">
        <f>INPUT!FW612</f>
        <v>NM</v>
      </c>
      <c r="EQ58" s="846">
        <f>INPUT!FX612</f>
        <v>28.847197314572121</v>
      </c>
      <c r="ER58" s="847" t="str">
        <f>INPUT!FY612</f>
        <v>NM</v>
      </c>
      <c r="ES58" s="846">
        <f>INPUT!FZ612</f>
        <v>26.967972276348561</v>
      </c>
      <c r="ET58" s="847">
        <f>INPUT!GA612</f>
        <v>-6.5144111496553307</v>
      </c>
      <c r="EU58" s="846">
        <f>INPUT!GB612</f>
        <v>29.128133990957661</v>
      </c>
      <c r="EV58" s="847">
        <f>INPUT!GC612</f>
        <v>8.010100620370352</v>
      </c>
      <c r="EW58" s="846">
        <f>INPUT!GD612</f>
        <v>29.208333333333336</v>
      </c>
      <c r="EX58" s="847">
        <f>INPUT!GE612</f>
        <v>0.27533292177443514</v>
      </c>
      <c r="EY58" s="846">
        <f>INPUT!GF612</f>
        <v>17.071130516628326</v>
      </c>
      <c r="EZ58" s="847">
        <f>INPUT!GG612</f>
        <v>-41.553904080017148</v>
      </c>
      <c r="FA58" s="846">
        <f>INPUT!GH612</f>
        <v>23.908339222614842</v>
      </c>
      <c r="FB58" s="847">
        <f>INPUT!GI612</f>
        <v>40.051294197104625</v>
      </c>
      <c r="FC58" s="846">
        <f>INPUT!GJ612</f>
        <v>24.291094859109482</v>
      </c>
      <c r="FD58" s="847">
        <f>INPUT!GK612</f>
        <v>1.6009294201940776</v>
      </c>
      <c r="FE58" s="846">
        <f>INPUT!GL612</f>
        <v>31.211630182218414</v>
      </c>
      <c r="FF58" s="847">
        <f>INPUT!GM612</f>
        <v>28.490009870895705</v>
      </c>
      <c r="FG58" s="846">
        <f>INPUT!GN612</f>
        <v>28.349154746423928</v>
      </c>
      <c r="FH58" s="847">
        <f>INPUT!GO612</f>
        <v>-9.1711820852768682</v>
      </c>
      <c r="FI58" s="846">
        <f>INPUT!GP612</f>
        <v>29.509772267195117</v>
      </c>
      <c r="FJ58" s="847">
        <f>INPUT!GQ612</f>
        <v>4.094011024852847</v>
      </c>
      <c r="FK58" s="846">
        <f>INPUT!GR612</f>
        <v>31.056218887232646</v>
      </c>
      <c r="FL58" s="847">
        <f>INPUT!GS612</f>
        <v>5.2404559616227715</v>
      </c>
      <c r="FM58" s="846">
        <f>INPUT!GT612</f>
        <v>32.744092899827706</v>
      </c>
      <c r="FN58" s="847">
        <f>INPUT!GU612</f>
        <v>5.4348986227970926</v>
      </c>
      <c r="FO58" s="846">
        <f>INPUT!GV612</f>
        <v>34.587594118520578</v>
      </c>
      <c r="FP58" s="847">
        <f>INPUT!GW612</f>
        <v>5.6300268397496893</v>
      </c>
      <c r="FQ58" s="846">
        <f>INPUT!GX612</f>
        <v>36.474269652682288</v>
      </c>
      <c r="FR58" s="847">
        <f>INPUT!GY612</f>
        <v>5.4547752806878691</v>
      </c>
      <c r="FS58" s="849">
        <f>INPUT!GZ612</f>
        <v>5.1693762064132232</v>
      </c>
    </row>
    <row r="59" spans="1:175" s="529" customFormat="1" ht="12.75" customHeight="1" x14ac:dyDescent="0.2">
      <c r="A59" s="441"/>
      <c r="B59" s="484"/>
      <c r="C59" s="439"/>
      <c r="D59" s="484"/>
      <c r="E59" s="439"/>
      <c r="F59" s="484"/>
      <c r="G59" s="439"/>
      <c r="H59" s="484"/>
      <c r="I59" s="439"/>
      <c r="J59" s="484"/>
      <c r="K59" s="439"/>
      <c r="L59" s="484"/>
      <c r="M59" s="439"/>
      <c r="N59" s="484"/>
      <c r="O59" s="439"/>
      <c r="P59" s="484"/>
      <c r="Q59" s="439"/>
      <c r="R59" s="484"/>
      <c r="S59" s="439"/>
      <c r="T59" s="484"/>
      <c r="U59" s="439"/>
      <c r="V59" s="484"/>
      <c r="W59" s="439"/>
      <c r="X59" s="484"/>
      <c r="Y59" s="439"/>
      <c r="Z59" s="484"/>
      <c r="AA59" s="439"/>
      <c r="AB59" s="484"/>
      <c r="AC59" s="439"/>
      <c r="AD59" s="484"/>
      <c r="AE59" s="439"/>
      <c r="AF59" s="484"/>
      <c r="AG59" s="439"/>
      <c r="AH59" s="484"/>
      <c r="AI59" s="438"/>
      <c r="AJ59" s="484"/>
      <c r="AK59" s="438"/>
      <c r="AL59" s="484"/>
      <c r="AM59" s="438"/>
      <c r="AN59" s="484"/>
      <c r="AO59" s="438"/>
      <c r="AP59" s="484"/>
      <c r="AQ59" s="438"/>
      <c r="AR59" s="484"/>
      <c r="AS59" s="438"/>
      <c r="AT59" s="484"/>
      <c r="AU59" s="438"/>
      <c r="AV59" s="484"/>
      <c r="AW59" s="438"/>
      <c r="AX59" s="484"/>
      <c r="AY59" s="438"/>
      <c r="AZ59" s="484"/>
      <c r="BA59" s="438"/>
      <c r="BB59" s="484"/>
      <c r="BC59" s="438"/>
      <c r="BD59" s="484"/>
      <c r="BE59" s="438"/>
      <c r="BF59" s="484"/>
      <c r="BG59" s="438"/>
      <c r="BH59" s="484"/>
      <c r="BI59" s="438"/>
      <c r="BJ59" s="484"/>
      <c r="BK59" s="438"/>
      <c r="BL59" s="484"/>
      <c r="BM59" s="438"/>
      <c r="BN59" s="484"/>
      <c r="BO59" s="438"/>
      <c r="BP59" s="484"/>
      <c r="BQ59" s="438"/>
      <c r="BR59" s="484"/>
      <c r="BS59" s="438"/>
      <c r="BT59" s="484"/>
      <c r="BU59" s="438"/>
      <c r="BV59" s="484"/>
      <c r="BW59" s="438"/>
      <c r="BX59" s="484"/>
      <c r="BY59" s="438"/>
      <c r="BZ59" s="484"/>
      <c r="CA59" s="438"/>
      <c r="CB59" s="484"/>
      <c r="CC59" s="438"/>
      <c r="CD59" s="484"/>
      <c r="CE59" s="438"/>
      <c r="CF59" s="484"/>
      <c r="CG59" s="438"/>
      <c r="CH59" s="484"/>
      <c r="CI59" s="438"/>
      <c r="CJ59" s="484"/>
      <c r="CK59" s="438"/>
      <c r="CL59" s="484"/>
      <c r="CM59" s="438"/>
      <c r="CN59" s="484"/>
      <c r="CO59" s="438"/>
      <c r="CP59" s="484"/>
      <c r="CQ59" s="438"/>
      <c r="CR59" s="484"/>
      <c r="CS59" s="438"/>
      <c r="CT59" s="484"/>
      <c r="CU59" s="438"/>
      <c r="CV59" s="484"/>
      <c r="CW59" s="438"/>
      <c r="CX59" s="484"/>
      <c r="CY59" s="438"/>
      <c r="CZ59" s="484"/>
      <c r="DA59" s="438"/>
      <c r="DB59" s="484"/>
      <c r="DC59" s="438"/>
      <c r="DD59" s="484"/>
      <c r="DE59" s="438"/>
      <c r="DF59" s="484"/>
      <c r="DG59" s="438"/>
      <c r="DH59" s="484"/>
      <c r="DI59" s="438"/>
      <c r="DJ59" s="484"/>
      <c r="DK59" s="438"/>
      <c r="DL59" s="484"/>
      <c r="DM59" s="438"/>
      <c r="DN59" s="484"/>
      <c r="DO59" s="438"/>
      <c r="DP59" s="484"/>
      <c r="DQ59" s="438"/>
      <c r="DR59" s="484"/>
      <c r="DS59" s="438"/>
      <c r="DT59" s="484"/>
      <c r="DU59" s="438"/>
      <c r="DV59" s="484"/>
      <c r="DW59" s="438"/>
      <c r="DX59" s="484"/>
      <c r="DY59" s="438"/>
      <c r="DZ59" s="484"/>
      <c r="EA59" s="438"/>
      <c r="EB59" s="439"/>
      <c r="EC59" s="484"/>
      <c r="ED59" s="439"/>
      <c r="EE59" s="484"/>
      <c r="EF59" s="439"/>
      <c r="EG59" s="484"/>
      <c r="EH59" s="439"/>
      <c r="EI59" s="484"/>
      <c r="EJ59" s="438"/>
      <c r="EK59" s="484"/>
      <c r="EL59" s="438"/>
      <c r="EM59" s="484"/>
      <c r="EN59" s="438"/>
      <c r="EO59" s="484"/>
      <c r="EP59" s="438"/>
      <c r="EQ59" s="484"/>
      <c r="ER59" s="438"/>
      <c r="ES59" s="484"/>
      <c r="ET59" s="438"/>
      <c r="EU59" s="484"/>
      <c r="EV59" s="438"/>
      <c r="EW59" s="484"/>
      <c r="EX59" s="438"/>
      <c r="EY59" s="484"/>
      <c r="EZ59" s="438"/>
      <c r="FA59" s="484"/>
      <c r="FB59" s="438"/>
      <c r="FC59" s="484"/>
      <c r="FD59" s="438"/>
      <c r="FE59" s="484"/>
      <c r="FF59" s="438"/>
      <c r="FG59" s="484"/>
      <c r="FH59" s="438"/>
      <c r="FI59" s="484"/>
      <c r="FJ59" s="438"/>
      <c r="FK59" s="484"/>
      <c r="FL59" s="438"/>
      <c r="FM59" s="484"/>
      <c r="FN59" s="438"/>
      <c r="FO59" s="484"/>
      <c r="FP59" s="438"/>
      <c r="FQ59" s="484"/>
      <c r="FR59" s="438"/>
      <c r="FS59" s="438"/>
    </row>
    <row r="60" spans="1:175" s="529" customFormat="1" ht="12.75" customHeight="1" x14ac:dyDescent="0.2">
      <c r="A60" s="485" t="s">
        <v>507</v>
      </c>
      <c r="B60" s="457"/>
      <c r="C60" s="439"/>
      <c r="D60" s="457"/>
      <c r="E60" s="439"/>
      <c r="F60" s="457"/>
      <c r="G60" s="439"/>
      <c r="H60" s="457"/>
      <c r="I60" s="439"/>
      <c r="J60" s="457"/>
      <c r="K60" s="439"/>
      <c r="L60" s="457"/>
      <c r="M60" s="439"/>
      <c r="N60" s="457"/>
      <c r="O60" s="439"/>
      <c r="P60" s="457"/>
      <c r="Q60" s="439"/>
      <c r="R60" s="457"/>
      <c r="S60" s="439"/>
      <c r="T60" s="457"/>
      <c r="U60" s="439"/>
      <c r="V60" s="457"/>
      <c r="W60" s="439"/>
      <c r="X60" s="457"/>
      <c r="Y60" s="439"/>
      <c r="Z60" s="457"/>
      <c r="AA60" s="439"/>
      <c r="AB60" s="457"/>
      <c r="AC60" s="439"/>
      <c r="AD60" s="457"/>
      <c r="AE60" s="439"/>
      <c r="AF60" s="457"/>
      <c r="AG60" s="439"/>
      <c r="AH60" s="457"/>
      <c r="AI60" s="438"/>
      <c r="AJ60" s="457"/>
      <c r="AK60" s="438"/>
      <c r="AL60" s="457"/>
      <c r="AM60" s="438"/>
      <c r="AN60" s="457"/>
      <c r="AO60" s="438"/>
      <c r="AP60" s="457"/>
      <c r="AQ60" s="438"/>
      <c r="AR60" s="457"/>
      <c r="AS60" s="438"/>
      <c r="AT60" s="457"/>
      <c r="AU60" s="438"/>
      <c r="AV60" s="457"/>
      <c r="AW60" s="438"/>
      <c r="AX60" s="457"/>
      <c r="AY60" s="438"/>
      <c r="AZ60" s="457"/>
      <c r="BA60" s="438"/>
      <c r="BB60" s="457"/>
      <c r="BC60" s="438"/>
      <c r="BD60" s="457"/>
      <c r="BE60" s="438"/>
      <c r="BF60" s="457"/>
      <c r="BG60" s="438"/>
      <c r="BH60" s="457"/>
      <c r="BI60" s="438"/>
      <c r="BJ60" s="457"/>
      <c r="BK60" s="438"/>
      <c r="BL60" s="457"/>
      <c r="BM60" s="438"/>
      <c r="BN60" s="457"/>
      <c r="BO60" s="438"/>
      <c r="BP60" s="457"/>
      <c r="BQ60" s="438"/>
      <c r="BR60" s="457"/>
      <c r="BS60" s="438"/>
      <c r="BT60" s="457"/>
      <c r="BU60" s="438"/>
      <c r="BV60" s="457"/>
      <c r="BW60" s="438"/>
      <c r="BX60" s="457"/>
      <c r="BY60" s="438"/>
      <c r="BZ60" s="457"/>
      <c r="CA60" s="438"/>
      <c r="CB60" s="457"/>
      <c r="CC60" s="438"/>
      <c r="CD60" s="457"/>
      <c r="CE60" s="438"/>
      <c r="CF60" s="457"/>
      <c r="CG60" s="438"/>
      <c r="CH60" s="457"/>
      <c r="CI60" s="438"/>
      <c r="CJ60" s="457"/>
      <c r="CK60" s="438"/>
      <c r="CL60" s="457"/>
      <c r="CM60" s="438"/>
      <c r="CN60" s="457"/>
      <c r="CO60" s="438"/>
      <c r="CP60" s="457"/>
      <c r="CQ60" s="438"/>
      <c r="CR60" s="457"/>
      <c r="CS60" s="438"/>
      <c r="CT60" s="457"/>
      <c r="CU60" s="438"/>
      <c r="CV60" s="457"/>
      <c r="CW60" s="438"/>
      <c r="CX60" s="457"/>
      <c r="CY60" s="438"/>
      <c r="CZ60" s="457"/>
      <c r="DA60" s="438"/>
      <c r="DB60" s="457"/>
      <c r="DC60" s="438"/>
      <c r="DD60" s="457"/>
      <c r="DE60" s="438"/>
      <c r="DF60" s="457"/>
      <c r="DG60" s="438"/>
      <c r="DH60" s="457"/>
      <c r="DI60" s="438"/>
      <c r="DJ60" s="457"/>
      <c r="DK60" s="438"/>
      <c r="DL60" s="457"/>
      <c r="DM60" s="438"/>
      <c r="DN60" s="457"/>
      <c r="DO60" s="438"/>
      <c r="DP60" s="457"/>
      <c r="DQ60" s="438"/>
      <c r="DR60" s="457"/>
      <c r="DS60" s="438"/>
      <c r="DT60" s="457"/>
      <c r="DU60" s="438"/>
      <c r="DV60" s="457"/>
      <c r="DW60" s="438"/>
      <c r="DX60" s="457"/>
      <c r="DY60" s="438"/>
      <c r="DZ60" s="457"/>
      <c r="EA60" s="438"/>
      <c r="EB60" s="439"/>
      <c r="EC60" s="457"/>
      <c r="ED60" s="439"/>
      <c r="EE60" s="457"/>
      <c r="EF60" s="439"/>
      <c r="EG60" s="457"/>
      <c r="EH60" s="439"/>
      <c r="EI60" s="457"/>
      <c r="EJ60" s="438"/>
      <c r="EK60" s="457"/>
      <c r="EL60" s="438"/>
      <c r="EM60" s="457"/>
      <c r="EN60" s="438"/>
      <c r="EO60" s="457"/>
      <c r="EP60" s="438"/>
      <c r="EQ60" s="457"/>
      <c r="ER60" s="438"/>
      <c r="ES60" s="457"/>
      <c r="ET60" s="438"/>
      <c r="EU60" s="457"/>
      <c r="EV60" s="438"/>
      <c r="EW60" s="457"/>
      <c r="EX60" s="438"/>
      <c r="EY60" s="457"/>
      <c r="EZ60" s="438"/>
      <c r="FA60" s="457"/>
      <c r="FB60" s="438"/>
      <c r="FC60" s="457"/>
      <c r="FD60" s="438"/>
      <c r="FE60" s="457"/>
      <c r="FF60" s="438"/>
      <c r="FG60" s="457"/>
      <c r="FH60" s="438"/>
      <c r="FI60" s="457"/>
      <c r="FJ60" s="438"/>
      <c r="FK60" s="457"/>
      <c r="FL60" s="438"/>
      <c r="FM60" s="457"/>
      <c r="FN60" s="438"/>
      <c r="FO60" s="457"/>
      <c r="FP60" s="438"/>
      <c r="FQ60" s="457"/>
      <c r="FR60" s="438"/>
      <c r="FS60" s="438"/>
    </row>
    <row r="61" spans="1:175" s="529" customFormat="1" ht="12.75" customHeight="1" x14ac:dyDescent="0.2">
      <c r="A61" s="485" t="s">
        <v>13</v>
      </c>
      <c r="B61" s="457"/>
      <c r="C61" s="439"/>
      <c r="D61" s="457"/>
      <c r="E61" s="439"/>
      <c r="F61" s="457"/>
      <c r="G61" s="439"/>
      <c r="H61" s="457"/>
      <c r="I61" s="439"/>
      <c r="J61" s="457"/>
      <c r="K61" s="439"/>
      <c r="L61" s="457"/>
      <c r="M61" s="439"/>
      <c r="N61" s="457"/>
      <c r="O61" s="439"/>
      <c r="P61" s="457"/>
      <c r="Q61" s="439"/>
      <c r="R61" s="457"/>
      <c r="S61" s="439"/>
      <c r="T61" s="457"/>
      <c r="U61" s="439"/>
      <c r="V61" s="457"/>
      <c r="W61" s="439"/>
      <c r="X61" s="457"/>
      <c r="Y61" s="439"/>
      <c r="Z61" s="457"/>
      <c r="AA61" s="439"/>
      <c r="AB61" s="457"/>
      <c r="AC61" s="439"/>
      <c r="AD61" s="457"/>
      <c r="AE61" s="439"/>
      <c r="AF61" s="457"/>
      <c r="AG61" s="439"/>
      <c r="AH61" s="457"/>
      <c r="AI61" s="438"/>
      <c r="AJ61" s="457"/>
      <c r="AK61" s="438"/>
      <c r="AL61" s="457"/>
      <c r="AM61" s="438"/>
      <c r="AN61" s="457"/>
      <c r="AO61" s="438"/>
      <c r="AP61" s="457"/>
      <c r="AQ61" s="438"/>
      <c r="AR61" s="457"/>
      <c r="AS61" s="438"/>
      <c r="AT61" s="457"/>
      <c r="AU61" s="438"/>
      <c r="AV61" s="457"/>
      <c r="AW61" s="438"/>
      <c r="AX61" s="457"/>
      <c r="AY61" s="438"/>
      <c r="AZ61" s="457"/>
      <c r="BA61" s="438"/>
      <c r="BB61" s="457"/>
      <c r="BC61" s="438"/>
      <c r="BD61" s="457"/>
      <c r="BE61" s="438"/>
      <c r="BF61" s="457"/>
      <c r="BG61" s="438"/>
      <c r="BH61" s="457"/>
      <c r="BI61" s="438"/>
      <c r="BJ61" s="457"/>
      <c r="BK61" s="438"/>
      <c r="BL61" s="457"/>
      <c r="BM61" s="438"/>
      <c r="BN61" s="457"/>
      <c r="BO61" s="438"/>
      <c r="BP61" s="457"/>
      <c r="BQ61" s="438"/>
      <c r="BR61" s="457"/>
      <c r="BS61" s="438"/>
      <c r="BT61" s="457"/>
      <c r="BU61" s="438"/>
      <c r="BV61" s="457"/>
      <c r="BW61" s="438"/>
      <c r="BX61" s="457"/>
      <c r="BY61" s="438"/>
      <c r="BZ61" s="457"/>
      <c r="CA61" s="438"/>
      <c r="CB61" s="457"/>
      <c r="CC61" s="438"/>
      <c r="CD61" s="457"/>
      <c r="CE61" s="438"/>
      <c r="CF61" s="457"/>
      <c r="CG61" s="438"/>
      <c r="CH61" s="457"/>
      <c r="CI61" s="438"/>
      <c r="CJ61" s="457"/>
      <c r="CK61" s="438"/>
      <c r="CL61" s="457"/>
      <c r="CM61" s="438"/>
      <c r="CN61" s="457"/>
      <c r="CO61" s="438"/>
      <c r="CP61" s="457"/>
      <c r="CQ61" s="438"/>
      <c r="CR61" s="457"/>
      <c r="CS61" s="438"/>
      <c r="CT61" s="457"/>
      <c r="CU61" s="438"/>
      <c r="CV61" s="457"/>
      <c r="CW61" s="438"/>
      <c r="CX61" s="457"/>
      <c r="CY61" s="438"/>
      <c r="CZ61" s="457"/>
      <c r="DA61" s="438"/>
      <c r="DB61" s="457"/>
      <c r="DC61" s="438"/>
      <c r="DD61" s="457"/>
      <c r="DE61" s="438"/>
      <c r="DF61" s="457"/>
      <c r="DG61" s="438"/>
      <c r="DH61" s="457"/>
      <c r="DI61" s="438"/>
      <c r="DJ61" s="457"/>
      <c r="DK61" s="438"/>
      <c r="DL61" s="457"/>
      <c r="DM61" s="438"/>
      <c r="DN61" s="457"/>
      <c r="DO61" s="438"/>
      <c r="DP61" s="457"/>
      <c r="DQ61" s="438"/>
      <c r="DR61" s="457"/>
      <c r="DS61" s="438"/>
      <c r="DT61" s="457"/>
      <c r="DU61" s="438"/>
      <c r="DV61" s="457"/>
      <c r="DW61" s="438"/>
      <c r="DX61" s="457"/>
      <c r="DY61" s="438"/>
      <c r="DZ61" s="457"/>
      <c r="EA61" s="438"/>
      <c r="EB61" s="439"/>
      <c r="EC61" s="457"/>
      <c r="ED61" s="439"/>
      <c r="EE61" s="457"/>
      <c r="EF61" s="439"/>
      <c r="EG61" s="457"/>
      <c r="EH61" s="439"/>
      <c r="EI61" s="457"/>
      <c r="EJ61" s="438"/>
      <c r="EK61" s="457"/>
      <c r="EL61" s="438"/>
      <c r="EM61" s="457"/>
      <c r="EN61" s="438"/>
      <c r="EO61" s="457"/>
      <c r="EP61" s="438"/>
      <c r="EQ61" s="457"/>
      <c r="ER61" s="438"/>
      <c r="ES61" s="457"/>
      <c r="ET61" s="438"/>
      <c r="EU61" s="457"/>
      <c r="EV61" s="438"/>
      <c r="EW61" s="457"/>
      <c r="EX61" s="438"/>
      <c r="EY61" s="457"/>
      <c r="EZ61" s="438"/>
      <c r="FA61" s="457"/>
      <c r="FB61" s="438"/>
      <c r="FC61" s="457"/>
      <c r="FD61" s="438"/>
      <c r="FE61" s="457"/>
      <c r="FF61" s="438"/>
      <c r="FG61" s="457"/>
      <c r="FH61" s="438"/>
      <c r="FI61" s="457"/>
      <c r="FJ61" s="438"/>
      <c r="FK61" s="457"/>
      <c r="FL61" s="438"/>
      <c r="FM61" s="457"/>
      <c r="FN61" s="438"/>
      <c r="FO61" s="457"/>
      <c r="FP61" s="438"/>
      <c r="FQ61" s="457"/>
      <c r="FR61" s="438"/>
      <c r="FS61" s="438"/>
    </row>
    <row r="62" spans="1:175" s="529" customFormat="1" ht="12.75" customHeight="1" x14ac:dyDescent="0.2">
      <c r="A62" s="441"/>
      <c r="B62" s="449"/>
      <c r="C62" s="439"/>
      <c r="D62" s="449"/>
      <c r="E62" s="439"/>
      <c r="F62" s="449"/>
      <c r="G62" s="439"/>
      <c r="H62" s="449"/>
      <c r="I62" s="439"/>
      <c r="J62" s="449"/>
      <c r="K62" s="439"/>
      <c r="L62" s="449"/>
      <c r="M62" s="439"/>
      <c r="N62" s="449"/>
      <c r="O62" s="439"/>
      <c r="P62" s="449"/>
      <c r="Q62" s="439"/>
      <c r="R62" s="449"/>
      <c r="S62" s="439"/>
      <c r="T62" s="449"/>
      <c r="U62" s="439"/>
      <c r="V62" s="449"/>
      <c r="W62" s="439"/>
      <c r="X62" s="449"/>
      <c r="Y62" s="439"/>
      <c r="Z62" s="449"/>
      <c r="AA62" s="439"/>
      <c r="AB62" s="449"/>
      <c r="AC62" s="439"/>
      <c r="AD62" s="449"/>
      <c r="AE62" s="439"/>
      <c r="AF62" s="449"/>
      <c r="AG62" s="439"/>
      <c r="AH62" s="449"/>
      <c r="AI62" s="438"/>
      <c r="AJ62" s="449"/>
      <c r="AK62" s="438"/>
      <c r="AL62" s="449"/>
      <c r="AM62" s="438"/>
      <c r="AN62" s="449"/>
      <c r="AO62" s="438"/>
      <c r="AP62" s="449"/>
      <c r="AQ62" s="438"/>
      <c r="AR62" s="449"/>
      <c r="AS62" s="438"/>
      <c r="AT62" s="449"/>
      <c r="AU62" s="438"/>
      <c r="AV62" s="449"/>
      <c r="AW62" s="438"/>
      <c r="AX62" s="449"/>
      <c r="AY62" s="438"/>
      <c r="AZ62" s="449"/>
      <c r="BA62" s="438"/>
      <c r="BB62" s="449"/>
      <c r="BC62" s="438"/>
      <c r="BD62" s="449"/>
      <c r="BE62" s="438"/>
      <c r="BF62" s="449"/>
      <c r="BG62" s="438"/>
      <c r="BH62" s="449"/>
      <c r="BI62" s="438"/>
      <c r="BJ62" s="449"/>
      <c r="BK62" s="438"/>
      <c r="BL62" s="449"/>
      <c r="BM62" s="438"/>
      <c r="BN62" s="449"/>
      <c r="BO62" s="438"/>
      <c r="BP62" s="449"/>
      <c r="BQ62" s="438"/>
      <c r="BR62" s="449"/>
      <c r="BS62" s="438"/>
      <c r="BT62" s="449"/>
      <c r="BU62" s="438"/>
      <c r="BV62" s="449"/>
      <c r="BW62" s="438"/>
      <c r="BX62" s="449"/>
      <c r="BY62" s="438"/>
      <c r="BZ62" s="449"/>
      <c r="CA62" s="438"/>
      <c r="CB62" s="449"/>
      <c r="CC62" s="438"/>
      <c r="CD62" s="449"/>
      <c r="CE62" s="438"/>
      <c r="CF62" s="449"/>
      <c r="CG62" s="438"/>
      <c r="CH62" s="449"/>
      <c r="CI62" s="438"/>
      <c r="CJ62" s="449"/>
      <c r="CK62" s="438"/>
      <c r="CL62" s="449"/>
      <c r="CM62" s="438"/>
      <c r="CN62" s="449"/>
      <c r="CO62" s="438"/>
      <c r="CP62" s="449"/>
      <c r="CQ62" s="438"/>
      <c r="CR62" s="449"/>
      <c r="CS62" s="438"/>
      <c r="CT62" s="449"/>
      <c r="CU62" s="438"/>
      <c r="CV62" s="449"/>
      <c r="CW62" s="438"/>
      <c r="CX62" s="449"/>
      <c r="CY62" s="438"/>
      <c r="CZ62" s="449"/>
      <c r="DA62" s="438"/>
      <c r="DB62" s="449"/>
      <c r="DC62" s="438"/>
      <c r="DD62" s="449"/>
      <c r="DE62" s="438"/>
      <c r="DF62" s="449"/>
      <c r="DG62" s="438"/>
      <c r="DH62" s="449"/>
      <c r="DI62" s="438"/>
      <c r="DJ62" s="449"/>
      <c r="DK62" s="438"/>
      <c r="DL62" s="449"/>
      <c r="DM62" s="438"/>
      <c r="DN62" s="449"/>
      <c r="DO62" s="438"/>
      <c r="DP62" s="449"/>
      <c r="DQ62" s="438"/>
      <c r="DR62" s="449"/>
      <c r="DS62" s="438"/>
      <c r="DT62" s="449"/>
      <c r="DU62" s="438"/>
      <c r="DV62" s="449"/>
      <c r="DW62" s="438"/>
      <c r="DX62" s="449"/>
      <c r="DY62" s="438"/>
      <c r="DZ62" s="449"/>
      <c r="EA62" s="438"/>
      <c r="EB62" s="439"/>
      <c r="EC62" s="449"/>
      <c r="ED62" s="439"/>
      <c r="EE62" s="449"/>
      <c r="EF62" s="439"/>
      <c r="EG62" s="449"/>
      <c r="EH62" s="439"/>
      <c r="EI62" s="449"/>
      <c r="EJ62" s="438"/>
      <c r="EK62" s="449"/>
      <c r="EL62" s="438"/>
      <c r="EM62" s="449"/>
      <c r="EN62" s="438"/>
      <c r="EO62" s="449"/>
      <c r="EP62" s="438"/>
      <c r="EQ62" s="449"/>
      <c r="ER62" s="438"/>
      <c r="ES62" s="449"/>
      <c r="ET62" s="438"/>
      <c r="EU62" s="449"/>
      <c r="EV62" s="438"/>
      <c r="EW62" s="449"/>
      <c r="EX62" s="438"/>
      <c r="EY62" s="449"/>
      <c r="EZ62" s="438"/>
      <c r="FA62" s="449"/>
      <c r="FB62" s="438"/>
      <c r="FC62" s="449"/>
      <c r="FD62" s="438"/>
      <c r="FE62" s="449"/>
      <c r="FF62" s="438"/>
      <c r="FG62" s="449"/>
      <c r="FH62" s="438"/>
      <c r="FI62" s="449"/>
      <c r="FJ62" s="438"/>
      <c r="FK62" s="449"/>
      <c r="FL62" s="438"/>
      <c r="FM62" s="449"/>
      <c r="FN62" s="438"/>
      <c r="FO62" s="449"/>
      <c r="FP62" s="438"/>
      <c r="FQ62" s="449"/>
      <c r="FR62" s="438"/>
      <c r="FS62" s="438"/>
    </row>
    <row r="63" spans="1:175" s="529" customFormat="1" ht="21.95" customHeight="1" x14ac:dyDescent="0.25">
      <c r="A63" s="434" t="str">
        <f>$A$1</f>
        <v>Prudential Financial, Inc.</v>
      </c>
      <c r="B63" s="531"/>
      <c r="C63" s="532"/>
      <c r="D63" s="531"/>
      <c r="E63" s="532"/>
      <c r="F63" s="531"/>
      <c r="G63" s="532"/>
      <c r="H63" s="531"/>
      <c r="I63" s="532"/>
      <c r="J63" s="531"/>
      <c r="K63" s="532"/>
      <c r="L63" s="531"/>
      <c r="M63" s="532"/>
      <c r="N63" s="531"/>
      <c r="O63" s="532"/>
      <c r="P63" s="531"/>
      <c r="Q63" s="532"/>
      <c r="R63" s="531"/>
      <c r="S63" s="532"/>
      <c r="T63" s="531"/>
      <c r="U63" s="532"/>
      <c r="V63" s="531"/>
      <c r="W63" s="532"/>
      <c r="X63" s="531"/>
      <c r="Y63" s="532"/>
      <c r="Z63" s="531"/>
      <c r="AA63" s="532"/>
      <c r="AB63" s="531"/>
      <c r="AC63" s="532"/>
      <c r="AD63" s="531"/>
      <c r="AE63" s="532"/>
      <c r="AF63" s="531"/>
      <c r="AG63" s="532"/>
      <c r="AH63" s="531"/>
      <c r="AI63" s="531"/>
      <c r="AJ63" s="531"/>
      <c r="AK63" s="531"/>
      <c r="AL63" s="531"/>
      <c r="AM63" s="531"/>
      <c r="AN63" s="531"/>
      <c r="AO63" s="531"/>
      <c r="AP63" s="531"/>
      <c r="AQ63" s="531"/>
      <c r="AR63" s="531"/>
      <c r="AS63" s="531"/>
      <c r="AT63" s="531"/>
      <c r="AU63" s="531"/>
      <c r="AV63" s="531"/>
      <c r="AW63" s="531"/>
      <c r="AX63" s="531"/>
      <c r="AY63" s="531"/>
      <c r="AZ63" s="531"/>
      <c r="BA63" s="531"/>
      <c r="BB63" s="531"/>
      <c r="BC63" s="531"/>
      <c r="BD63" s="531"/>
      <c r="BE63" s="531"/>
      <c r="BF63" s="531"/>
      <c r="BG63" s="531"/>
      <c r="BH63" s="531"/>
      <c r="BI63" s="531"/>
      <c r="BJ63" s="531"/>
      <c r="BK63" s="531"/>
      <c r="BL63" s="531"/>
      <c r="BM63" s="531"/>
      <c r="BN63" s="531"/>
      <c r="BO63" s="531"/>
      <c r="BP63" s="531"/>
      <c r="BQ63" s="531"/>
      <c r="BR63" s="531"/>
      <c r="BS63" s="531"/>
      <c r="BT63" s="531"/>
      <c r="BU63" s="531"/>
      <c r="BV63" s="531"/>
      <c r="BW63" s="531"/>
      <c r="BX63" s="531"/>
      <c r="BY63" s="531"/>
      <c r="BZ63" s="531"/>
      <c r="CA63" s="531"/>
      <c r="CB63" s="531"/>
      <c r="CC63" s="531"/>
      <c r="CD63" s="531"/>
      <c r="CE63" s="531"/>
      <c r="CF63" s="531"/>
      <c r="CG63" s="531"/>
      <c r="CH63" s="531"/>
      <c r="CI63" s="531"/>
      <c r="CJ63" s="531"/>
      <c r="CK63" s="531"/>
      <c r="CL63" s="531"/>
      <c r="CM63" s="531"/>
      <c r="CN63" s="531"/>
      <c r="CO63" s="531"/>
      <c r="CP63" s="531"/>
      <c r="CQ63" s="531"/>
      <c r="CR63" s="531"/>
      <c r="CS63" s="531"/>
      <c r="CT63" s="531"/>
      <c r="CU63" s="531"/>
      <c r="CV63" s="531"/>
      <c r="CW63" s="531"/>
      <c r="CX63" s="531"/>
      <c r="CY63" s="531"/>
      <c r="CZ63" s="531"/>
      <c r="DA63" s="531"/>
      <c r="DB63" s="531"/>
      <c r="DC63" s="531"/>
      <c r="DD63" s="531"/>
      <c r="DE63" s="531"/>
      <c r="DF63" s="531"/>
      <c r="DG63" s="531"/>
      <c r="DH63" s="531"/>
      <c r="DI63" s="531"/>
      <c r="DJ63" s="531"/>
      <c r="DK63" s="531"/>
      <c r="DL63" s="531"/>
      <c r="DM63" s="531"/>
      <c r="DN63" s="531"/>
      <c r="DO63" s="531"/>
      <c r="DP63" s="531"/>
      <c r="DQ63" s="531"/>
      <c r="DR63" s="531"/>
      <c r="DS63" s="531"/>
      <c r="DT63" s="531"/>
      <c r="DU63" s="531"/>
      <c r="DV63" s="531"/>
      <c r="DW63" s="531"/>
      <c r="DX63" s="531"/>
      <c r="DY63" s="531"/>
      <c r="DZ63" s="531"/>
      <c r="EA63" s="531"/>
      <c r="EB63" s="532"/>
      <c r="EC63" s="531"/>
      <c r="ED63" s="532"/>
      <c r="EE63" s="531"/>
      <c r="EF63" s="532"/>
      <c r="EG63" s="531"/>
      <c r="EH63" s="532"/>
      <c r="EI63" s="531"/>
      <c r="EJ63" s="531"/>
      <c r="EK63" s="531"/>
      <c r="EL63" s="531"/>
      <c r="EM63" s="531"/>
      <c r="EN63" s="531"/>
      <c r="EO63" s="531"/>
      <c r="EP63" s="531"/>
      <c r="EQ63" s="531"/>
      <c r="ER63" s="531"/>
      <c r="ES63" s="531"/>
      <c r="ET63" s="531"/>
      <c r="EU63" s="531"/>
      <c r="EV63" s="531"/>
      <c r="EW63" s="531"/>
      <c r="EX63" s="531"/>
      <c r="EY63" s="531"/>
      <c r="EZ63" s="531"/>
      <c r="FA63" s="531"/>
      <c r="FB63" s="531"/>
      <c r="FC63" s="531"/>
      <c r="FD63" s="531"/>
      <c r="FE63" s="531"/>
      <c r="FF63" s="531"/>
      <c r="FG63" s="531"/>
      <c r="FH63" s="531"/>
      <c r="FI63" s="531"/>
      <c r="FJ63" s="531"/>
      <c r="FK63" s="531"/>
      <c r="FL63" s="531"/>
      <c r="FM63" s="531"/>
      <c r="FN63" s="531"/>
      <c r="FO63" s="531"/>
      <c r="FP63" s="531"/>
      <c r="FQ63" s="531"/>
      <c r="FR63" s="531"/>
      <c r="FS63" s="531"/>
    </row>
    <row r="64" spans="1:175" s="529" customFormat="1" ht="12.75" customHeight="1" x14ac:dyDescent="0.2">
      <c r="A64" s="437" t="s">
        <v>140</v>
      </c>
      <c r="B64" s="438"/>
      <c r="C64" s="439"/>
      <c r="D64" s="438"/>
      <c r="E64" s="439"/>
      <c r="F64" s="438"/>
      <c r="G64" s="439"/>
      <c r="H64" s="438"/>
      <c r="I64" s="439"/>
      <c r="J64" s="438"/>
      <c r="K64" s="439"/>
      <c r="L64" s="438"/>
      <c r="M64" s="439"/>
      <c r="N64" s="438"/>
      <c r="O64" s="439"/>
      <c r="P64" s="438"/>
      <c r="Q64" s="439"/>
      <c r="R64" s="438"/>
      <c r="S64" s="439"/>
      <c r="T64" s="438"/>
      <c r="U64" s="439"/>
      <c r="V64" s="438"/>
      <c r="W64" s="439"/>
      <c r="X64" s="438"/>
      <c r="Y64" s="439"/>
      <c r="Z64" s="438"/>
      <c r="AA64" s="439"/>
      <c r="AB64" s="438"/>
      <c r="AC64" s="439"/>
      <c r="AD64" s="438"/>
      <c r="AE64" s="439"/>
      <c r="AF64" s="438"/>
      <c r="AG64" s="439"/>
      <c r="AH64" s="438"/>
      <c r="AI64" s="438"/>
      <c r="AJ64" s="438"/>
      <c r="AK64" s="438"/>
      <c r="AL64" s="438"/>
      <c r="AM64" s="438"/>
      <c r="AN64" s="438"/>
      <c r="AO64" s="438"/>
      <c r="AP64" s="438"/>
      <c r="AQ64" s="438"/>
      <c r="AR64" s="438"/>
      <c r="AS64" s="438"/>
      <c r="AT64" s="438"/>
      <c r="AU64" s="438"/>
      <c r="AV64" s="438"/>
      <c r="AW64" s="438"/>
      <c r="AX64" s="438"/>
      <c r="AY64" s="438"/>
      <c r="AZ64" s="438"/>
      <c r="BA64" s="438"/>
      <c r="BB64" s="438"/>
      <c r="BC64" s="438"/>
      <c r="BD64" s="438"/>
      <c r="BE64" s="438"/>
      <c r="BF64" s="438"/>
      <c r="BG64" s="438"/>
      <c r="BH64" s="438"/>
      <c r="BI64" s="438"/>
      <c r="BJ64" s="438"/>
      <c r="BK64" s="438"/>
      <c r="BL64" s="438"/>
      <c r="BM64" s="438"/>
      <c r="BN64" s="438"/>
      <c r="BO64" s="438"/>
      <c r="BP64" s="438"/>
      <c r="BQ64" s="438"/>
      <c r="BR64" s="438"/>
      <c r="BS64" s="438"/>
      <c r="BT64" s="438"/>
      <c r="BU64" s="438"/>
      <c r="BV64" s="438"/>
      <c r="BW64" s="438"/>
      <c r="BX64" s="438"/>
      <c r="BY64" s="438"/>
      <c r="BZ64" s="438"/>
      <c r="CA64" s="438"/>
      <c r="CB64" s="438"/>
      <c r="CC64" s="438"/>
      <c r="CD64" s="438"/>
      <c r="CE64" s="438"/>
      <c r="CF64" s="438"/>
      <c r="CG64" s="438"/>
      <c r="CH64" s="438"/>
      <c r="CI64" s="438"/>
      <c r="CJ64" s="438"/>
      <c r="CK64" s="438"/>
      <c r="CL64" s="438"/>
      <c r="CM64" s="438"/>
      <c r="CN64" s="438"/>
      <c r="CO64" s="438"/>
      <c r="CP64" s="438"/>
      <c r="CQ64" s="438"/>
      <c r="CR64" s="438"/>
      <c r="CS64" s="438"/>
      <c r="CT64" s="438"/>
      <c r="CU64" s="438"/>
      <c r="CV64" s="438"/>
      <c r="CW64" s="438"/>
      <c r="CX64" s="438"/>
      <c r="CY64" s="438"/>
      <c r="CZ64" s="438"/>
      <c r="DA64" s="438"/>
      <c r="DB64" s="438"/>
      <c r="DC64" s="438"/>
      <c r="DD64" s="438"/>
      <c r="DE64" s="438"/>
      <c r="DF64" s="438"/>
      <c r="DG64" s="438"/>
      <c r="DH64" s="438"/>
      <c r="DI64" s="438"/>
      <c r="DJ64" s="438"/>
      <c r="DK64" s="438"/>
      <c r="DL64" s="438"/>
      <c r="DM64" s="438"/>
      <c r="DN64" s="438"/>
      <c r="DO64" s="438"/>
      <c r="DP64" s="438"/>
      <c r="DQ64" s="438"/>
      <c r="DR64" s="438"/>
      <c r="DS64" s="438"/>
      <c r="DT64" s="438"/>
      <c r="DU64" s="438"/>
      <c r="DV64" s="438"/>
      <c r="DW64" s="438"/>
      <c r="DX64" s="438"/>
      <c r="DY64" s="438"/>
      <c r="DZ64" s="438"/>
      <c r="EA64" s="438"/>
      <c r="EB64" s="439"/>
      <c r="EC64" s="438"/>
      <c r="ED64" s="439"/>
      <c r="EE64" s="438"/>
      <c r="EF64" s="439"/>
      <c r="EG64" s="438"/>
      <c r="EH64" s="439"/>
      <c r="EI64" s="438"/>
      <c r="EJ64" s="438"/>
      <c r="EK64" s="438"/>
      <c r="EL64" s="438"/>
      <c r="EM64" s="438"/>
      <c r="EN64" s="438"/>
      <c r="EO64" s="438"/>
      <c r="EP64" s="438"/>
      <c r="EQ64" s="438"/>
      <c r="ER64" s="438"/>
      <c r="ES64" s="438"/>
      <c r="ET64" s="438"/>
      <c r="EU64" s="438"/>
      <c r="EV64" s="438"/>
      <c r="EW64" s="438"/>
      <c r="EX64" s="438"/>
      <c r="EY64" s="438"/>
      <c r="EZ64" s="438"/>
      <c r="FA64" s="438"/>
      <c r="FB64" s="438"/>
      <c r="FC64" s="438"/>
      <c r="FD64" s="438"/>
      <c r="FE64" s="438"/>
      <c r="FF64" s="438"/>
      <c r="FG64" s="438"/>
      <c r="FH64" s="438"/>
      <c r="FI64" s="438"/>
      <c r="FJ64" s="438"/>
      <c r="FK64" s="438"/>
      <c r="FL64" s="438"/>
      <c r="FM64" s="438"/>
      <c r="FN64" s="438"/>
      <c r="FO64" s="438"/>
      <c r="FP64" s="438"/>
      <c r="FQ64" s="438"/>
      <c r="FR64" s="438"/>
      <c r="FS64" s="438"/>
    </row>
    <row r="65" spans="1:176" s="529" customFormat="1" ht="12.75" customHeight="1" x14ac:dyDescent="0.2">
      <c r="A65" s="800" t="str">
        <f>+A$3</f>
        <v>($Millions Except Per Share Data)</v>
      </c>
      <c r="B65" s="801"/>
      <c r="C65" s="802" t="str">
        <f>+C$3</f>
        <v>1Q03/</v>
      </c>
      <c r="D65" s="801"/>
      <c r="E65" s="802" t="str">
        <f>+E$3</f>
        <v>2Q03/</v>
      </c>
      <c r="F65" s="801"/>
      <c r="G65" s="802" t="str">
        <f>+G$3</f>
        <v>3Q03/</v>
      </c>
      <c r="H65" s="801"/>
      <c r="I65" s="802" t="str">
        <f>+I$3</f>
        <v>4Q03/</v>
      </c>
      <c r="J65" s="801"/>
      <c r="K65" s="802" t="str">
        <f>+K$3</f>
        <v>1Q04/</v>
      </c>
      <c r="L65" s="801"/>
      <c r="M65" s="802" t="str">
        <f>+M$3</f>
        <v>2Q04/</v>
      </c>
      <c r="N65" s="801"/>
      <c r="O65" s="802" t="str">
        <f>+O$3</f>
        <v>3Q04/</v>
      </c>
      <c r="P65" s="801"/>
      <c r="Q65" s="802" t="str">
        <f>+Q$3</f>
        <v>4Q04/</v>
      </c>
      <c r="R65" s="801"/>
      <c r="S65" s="802" t="str">
        <f>+S$3</f>
        <v>1Q05/</v>
      </c>
      <c r="T65" s="801"/>
      <c r="U65" s="802" t="str">
        <f>+U$3</f>
        <v>2Q05/</v>
      </c>
      <c r="V65" s="801"/>
      <c r="W65" s="802" t="str">
        <f>+W$3</f>
        <v>3Q05/</v>
      </c>
      <c r="X65" s="801"/>
      <c r="Y65" s="802" t="str">
        <f>+Y$3</f>
        <v>4Q05/</v>
      </c>
      <c r="Z65" s="801"/>
      <c r="AA65" s="802" t="str">
        <f>+AA$3</f>
        <v>1Q06/</v>
      </c>
      <c r="AB65" s="801"/>
      <c r="AC65" s="802" t="str">
        <f>+AC$3</f>
        <v>2Q06/</v>
      </c>
      <c r="AD65" s="801"/>
      <c r="AE65" s="802" t="str">
        <f>+AE$3</f>
        <v>3Q06/</v>
      </c>
      <c r="AF65" s="801"/>
      <c r="AG65" s="802" t="str">
        <f>+AG$3</f>
        <v>4Q06/</v>
      </c>
      <c r="AH65" s="801"/>
      <c r="AI65" s="803" t="str">
        <f>+AI$3</f>
        <v>1Q07/</v>
      </c>
      <c r="AJ65" s="801"/>
      <c r="AK65" s="803" t="str">
        <f>+AK$3</f>
        <v>2Q07/</v>
      </c>
      <c r="AL65" s="801"/>
      <c r="AM65" s="803" t="str">
        <f>+AM$3</f>
        <v>3Q07/</v>
      </c>
      <c r="AN65" s="801"/>
      <c r="AO65" s="803" t="str">
        <f>+AO$3</f>
        <v>4Q07/</v>
      </c>
      <c r="AP65" s="801"/>
      <c r="AQ65" s="803" t="str">
        <f>+AQ$3</f>
        <v>1Q08/</v>
      </c>
      <c r="AR65" s="801"/>
      <c r="AS65" s="803" t="str">
        <f>+AS$3</f>
        <v>2Q08/</v>
      </c>
      <c r="AT65" s="801"/>
      <c r="AU65" s="803" t="str">
        <f>+AU$3</f>
        <v>3Q08/</v>
      </c>
      <c r="AV65" s="801"/>
      <c r="AW65" s="803" t="str">
        <f>+AW$3</f>
        <v>4Q08/</v>
      </c>
      <c r="AX65" s="801"/>
      <c r="AY65" s="803" t="str">
        <f>+AY$3</f>
        <v>1Q09/</v>
      </c>
      <c r="AZ65" s="801"/>
      <c r="BA65" s="803" t="str">
        <f>+BA$3</f>
        <v>2Q09/</v>
      </c>
      <c r="BB65" s="801"/>
      <c r="BC65" s="803" t="str">
        <f>+BC$3</f>
        <v>3Q09/</v>
      </c>
      <c r="BD65" s="801"/>
      <c r="BE65" s="803" t="str">
        <f>+BE$3</f>
        <v>4Q09/</v>
      </c>
      <c r="BF65" s="801"/>
      <c r="BG65" s="803" t="str">
        <f>+BG$3</f>
        <v>1Q10/</v>
      </c>
      <c r="BH65" s="801"/>
      <c r="BI65" s="803" t="str">
        <f>+BI$3</f>
        <v>2Q10/</v>
      </c>
      <c r="BJ65" s="801"/>
      <c r="BK65" s="803" t="str">
        <f>+BK$3</f>
        <v>3Q10/</v>
      </c>
      <c r="BL65" s="801"/>
      <c r="BM65" s="803" t="str">
        <f>+BM$3</f>
        <v>4Q10/</v>
      </c>
      <c r="BN65" s="801"/>
      <c r="BO65" s="803" t="str">
        <f>+BO$3</f>
        <v>1Q11/</v>
      </c>
      <c r="BP65" s="801"/>
      <c r="BQ65" s="803" t="str">
        <f>+BQ$3</f>
        <v>2Q11/</v>
      </c>
      <c r="BR65" s="801"/>
      <c r="BS65" s="803" t="str">
        <f>+BS$3</f>
        <v>3Q11/</v>
      </c>
      <c r="BT65" s="801"/>
      <c r="BU65" s="803" t="str">
        <f>+BU$3</f>
        <v>4Q11/</v>
      </c>
      <c r="BV65" s="801"/>
      <c r="BW65" s="803" t="str">
        <f>+BW$3</f>
        <v>1Q12/</v>
      </c>
      <c r="BX65" s="801"/>
      <c r="BY65" s="803" t="str">
        <f>+BY$3</f>
        <v>2Q12/</v>
      </c>
      <c r="BZ65" s="801"/>
      <c r="CA65" s="803" t="str">
        <f>+CA$3</f>
        <v>3Q12/</v>
      </c>
      <c r="CB65" s="801"/>
      <c r="CC65" s="803" t="str">
        <f>+CC$3</f>
        <v>4Q12/</v>
      </c>
      <c r="CD65" s="801"/>
      <c r="CE65" s="803" t="str">
        <f>+CE$3</f>
        <v>1Q13/</v>
      </c>
      <c r="CF65" s="801"/>
      <c r="CG65" s="803" t="str">
        <f>+CG$3</f>
        <v>2Q13/</v>
      </c>
      <c r="CH65" s="801"/>
      <c r="CI65" s="803" t="str">
        <f>+CI$3</f>
        <v>3Q13/</v>
      </c>
      <c r="CJ65" s="801"/>
      <c r="CK65" s="803" t="str">
        <f>+CK$3</f>
        <v>4Q13/</v>
      </c>
      <c r="CL65" s="801"/>
      <c r="CM65" s="803" t="str">
        <f>+CM$3</f>
        <v>1Q14/</v>
      </c>
      <c r="CN65" s="801"/>
      <c r="CO65" s="803" t="str">
        <f>+CO$3</f>
        <v>2Q14/</v>
      </c>
      <c r="CP65" s="801"/>
      <c r="CQ65" s="803" t="str">
        <f>+CQ$3</f>
        <v>3Q14/</v>
      </c>
      <c r="CR65" s="801"/>
      <c r="CS65" s="803" t="str">
        <f>+CS$3</f>
        <v>4Q14/</v>
      </c>
      <c r="CT65" s="801"/>
      <c r="CU65" s="803" t="str">
        <f>+CU$3</f>
        <v>1Q15/</v>
      </c>
      <c r="CV65" s="801"/>
      <c r="CW65" s="803" t="str">
        <f>+CW$3</f>
        <v>2Q15/</v>
      </c>
      <c r="CX65" s="801"/>
      <c r="CY65" s="803" t="str">
        <f>+CY$3</f>
        <v>3Q15/</v>
      </c>
      <c r="CZ65" s="801"/>
      <c r="DA65" s="803" t="str">
        <f>+DA$3</f>
        <v>4Q15/</v>
      </c>
      <c r="DB65" s="801"/>
      <c r="DC65" s="803" t="str">
        <f>+DC$3</f>
        <v>1Q16/</v>
      </c>
      <c r="DD65" s="801"/>
      <c r="DE65" s="803" t="str">
        <f>+DE$3</f>
        <v>2Q16/</v>
      </c>
      <c r="DF65" s="801"/>
      <c r="DG65" s="803" t="str">
        <f>+DG$3</f>
        <v>3Q16/</v>
      </c>
      <c r="DH65" s="801"/>
      <c r="DI65" s="803" t="str">
        <f>+DI$3</f>
        <v>4Q16/</v>
      </c>
      <c r="DJ65" s="801"/>
      <c r="DK65" s="803" t="str">
        <f>+DK$3</f>
        <v>1Q17/</v>
      </c>
      <c r="DL65" s="801"/>
      <c r="DM65" s="803" t="str">
        <f>+DM$3</f>
        <v>2Q17/</v>
      </c>
      <c r="DN65" s="801"/>
      <c r="DO65" s="803" t="str">
        <f>+DO$3</f>
        <v>3Q17/</v>
      </c>
      <c r="DP65" s="801"/>
      <c r="DQ65" s="803" t="str">
        <f>+DQ$3</f>
        <v>4Q17/</v>
      </c>
      <c r="DR65" s="801"/>
      <c r="DS65" s="803" t="str">
        <f>+DS$3</f>
        <v>1Q18E/</v>
      </c>
      <c r="DT65" s="801"/>
      <c r="DU65" s="803" t="str">
        <f>+DU$3</f>
        <v>2Q18E/</v>
      </c>
      <c r="DV65" s="801"/>
      <c r="DW65" s="803" t="str">
        <f>+DW$3</f>
        <v>3Q18E/</v>
      </c>
      <c r="DX65" s="801"/>
      <c r="DY65" s="803" t="str">
        <f>+DY$3</f>
        <v>4Q18E/</v>
      </c>
      <c r="DZ65" s="801"/>
      <c r="EA65" s="803"/>
      <c r="EB65" s="802" t="str">
        <f>+EB$3</f>
        <v>2001/</v>
      </c>
      <c r="EC65" s="801"/>
      <c r="ED65" s="802" t="str">
        <f>+ED$3</f>
        <v>2002/</v>
      </c>
      <c r="EE65" s="801"/>
      <c r="EF65" s="802" t="str">
        <f>+EF$3</f>
        <v>2003/</v>
      </c>
      <c r="EG65" s="801"/>
      <c r="EH65" s="802" t="str">
        <f>+EH$3</f>
        <v>2004/</v>
      </c>
      <c r="EI65" s="801"/>
      <c r="EJ65" s="803" t="str">
        <f>+EJ$3</f>
        <v>2005/</v>
      </c>
      <c r="EK65" s="801"/>
      <c r="EL65" s="803" t="str">
        <f>+EL$3</f>
        <v>2006/</v>
      </c>
      <c r="EM65" s="801"/>
      <c r="EN65" s="803" t="str">
        <f>+EN$3</f>
        <v>2007/</v>
      </c>
      <c r="EO65" s="801"/>
      <c r="EP65" s="803" t="str">
        <f>+EP$3</f>
        <v>2008/</v>
      </c>
      <c r="EQ65" s="801"/>
      <c r="ER65" s="803" t="str">
        <f>+ER$3</f>
        <v>2009/</v>
      </c>
      <c r="ES65" s="801"/>
      <c r="ET65" s="803" t="str">
        <f>+ET$3</f>
        <v>2010/</v>
      </c>
      <c r="EU65" s="801"/>
      <c r="EV65" s="803" t="str">
        <f>+EV$3</f>
        <v>2011/</v>
      </c>
      <c r="EW65" s="801"/>
      <c r="EX65" s="803" t="str">
        <f>+EX$3</f>
        <v>2012/</v>
      </c>
      <c r="EY65" s="801"/>
      <c r="EZ65" s="803" t="str">
        <f>+EZ$3</f>
        <v>2013/</v>
      </c>
      <c r="FA65" s="801"/>
      <c r="FB65" s="803" t="str">
        <f>+FB$3</f>
        <v>2014/</v>
      </c>
      <c r="FC65" s="801"/>
      <c r="FD65" s="803" t="str">
        <f>+FD$3</f>
        <v>2015/</v>
      </c>
      <c r="FE65" s="801"/>
      <c r="FF65" s="803" t="str">
        <f>+FF$3</f>
        <v>2016/</v>
      </c>
      <c r="FG65" s="801"/>
      <c r="FH65" s="803" t="str">
        <f>+FH$3</f>
        <v>2017/</v>
      </c>
      <c r="FI65" s="801"/>
      <c r="FJ65" s="803" t="str">
        <f>+FJ$3</f>
        <v>2018E/</v>
      </c>
      <c r="FK65" s="801"/>
      <c r="FL65" s="803" t="str">
        <f>+FL$3</f>
        <v>2019E/</v>
      </c>
      <c r="FM65" s="801"/>
      <c r="FN65" s="803" t="str">
        <f>+FN$3</f>
        <v>2020E/</v>
      </c>
      <c r="FO65" s="801"/>
      <c r="FP65" s="803" t="str">
        <f>+FP$3</f>
        <v>2021E/</v>
      </c>
      <c r="FQ65" s="801"/>
      <c r="FR65" s="803" t="str">
        <f>+FR$3</f>
        <v>2022E/</v>
      </c>
      <c r="FS65" s="804" t="str">
        <f>+FS$3</f>
        <v>5-Yr</v>
      </c>
      <c r="FT65" s="453"/>
    </row>
    <row r="66" spans="1:176" s="529" customFormat="1" ht="12.75" customHeight="1" x14ac:dyDescent="0.2">
      <c r="A66" s="805"/>
      <c r="B66" s="440"/>
      <c r="C66" s="439" t="str">
        <f>+C$4</f>
        <v>1Q02</v>
      </c>
      <c r="D66" s="440"/>
      <c r="E66" s="439" t="str">
        <f>+E$4</f>
        <v>2Q02</v>
      </c>
      <c r="F66" s="440"/>
      <c r="G66" s="439" t="str">
        <f>+G$4</f>
        <v>3Q02</v>
      </c>
      <c r="H66" s="440"/>
      <c r="I66" s="439" t="str">
        <f>+I$4</f>
        <v>4Q02</v>
      </c>
      <c r="J66" s="440"/>
      <c r="K66" s="439" t="str">
        <f>+K$4</f>
        <v>1Q03</v>
      </c>
      <c r="L66" s="440"/>
      <c r="M66" s="439" t="str">
        <f>+M$4</f>
        <v>2Q03</v>
      </c>
      <c r="N66" s="440"/>
      <c r="O66" s="439" t="str">
        <f>+O$4</f>
        <v>3Q03</v>
      </c>
      <c r="P66" s="440"/>
      <c r="Q66" s="439" t="str">
        <f>+Q$4</f>
        <v>4Q03</v>
      </c>
      <c r="R66" s="440"/>
      <c r="S66" s="439" t="str">
        <f>+S$4</f>
        <v>1Q04</v>
      </c>
      <c r="T66" s="440"/>
      <c r="U66" s="439" t="str">
        <f>+U$4</f>
        <v>2Q04</v>
      </c>
      <c r="V66" s="440"/>
      <c r="W66" s="439" t="str">
        <f>+W$4</f>
        <v>3Q04</v>
      </c>
      <c r="X66" s="440"/>
      <c r="Y66" s="439" t="str">
        <f>+Y$4</f>
        <v>4Q04</v>
      </c>
      <c r="Z66" s="440"/>
      <c r="AA66" s="439" t="str">
        <f>+AA$4</f>
        <v>1Q05</v>
      </c>
      <c r="AB66" s="440"/>
      <c r="AC66" s="439" t="str">
        <f>+AC$4</f>
        <v>2Q05</v>
      </c>
      <c r="AD66" s="440"/>
      <c r="AE66" s="439" t="str">
        <f>+AE$4</f>
        <v>3Q05</v>
      </c>
      <c r="AF66" s="440"/>
      <c r="AG66" s="439" t="str">
        <f>+AG$4</f>
        <v>4Q05</v>
      </c>
      <c r="AH66" s="440"/>
      <c r="AI66" s="438" t="str">
        <f>+AI$4</f>
        <v>1Q06</v>
      </c>
      <c r="AJ66" s="440"/>
      <c r="AK66" s="438" t="str">
        <f>+AK$4</f>
        <v>2Q06</v>
      </c>
      <c r="AL66" s="440"/>
      <c r="AM66" s="438" t="str">
        <f>+AM$4</f>
        <v>3Q06</v>
      </c>
      <c r="AN66" s="440"/>
      <c r="AO66" s="438" t="str">
        <f>+AO$4</f>
        <v>4Q06</v>
      </c>
      <c r="AP66" s="440"/>
      <c r="AQ66" s="438" t="str">
        <f>+AQ$4</f>
        <v>1Q07</v>
      </c>
      <c r="AR66" s="440"/>
      <c r="AS66" s="438" t="str">
        <f>+AS$4</f>
        <v>2Q07</v>
      </c>
      <c r="AT66" s="440"/>
      <c r="AU66" s="438" t="str">
        <f>+AU$4</f>
        <v>3Q07</v>
      </c>
      <c r="AV66" s="440"/>
      <c r="AW66" s="438" t="str">
        <f>+AW$4</f>
        <v>4Q07</v>
      </c>
      <c r="AX66" s="440"/>
      <c r="AY66" s="438" t="str">
        <f>+AY$4</f>
        <v>1Q08</v>
      </c>
      <c r="AZ66" s="440"/>
      <c r="BA66" s="438" t="str">
        <f>+BA$4</f>
        <v>2Q08</v>
      </c>
      <c r="BB66" s="440"/>
      <c r="BC66" s="438" t="str">
        <f>+BC$4</f>
        <v>3Q08</v>
      </c>
      <c r="BD66" s="440"/>
      <c r="BE66" s="438" t="str">
        <f>+BE$4</f>
        <v>4Q08</v>
      </c>
      <c r="BF66" s="440"/>
      <c r="BG66" s="438" t="str">
        <f>+BG$4</f>
        <v>1Q09</v>
      </c>
      <c r="BH66" s="440"/>
      <c r="BI66" s="438" t="str">
        <f>+BI$4</f>
        <v>2Q09</v>
      </c>
      <c r="BJ66" s="440"/>
      <c r="BK66" s="438" t="str">
        <f>+BK$4</f>
        <v>3Q09</v>
      </c>
      <c r="BL66" s="440"/>
      <c r="BM66" s="438" t="str">
        <f>+BM$4</f>
        <v>4Q09</v>
      </c>
      <c r="BN66" s="440"/>
      <c r="BO66" s="438" t="str">
        <f>+BO$4</f>
        <v>1Q10</v>
      </c>
      <c r="BP66" s="440"/>
      <c r="BQ66" s="438" t="str">
        <f>+BQ$4</f>
        <v>2Q10</v>
      </c>
      <c r="BR66" s="440"/>
      <c r="BS66" s="438" t="str">
        <f>+BS$4</f>
        <v>3Q10</v>
      </c>
      <c r="BT66" s="440"/>
      <c r="BU66" s="438" t="str">
        <f>+BU$4</f>
        <v>4Q10</v>
      </c>
      <c r="BV66" s="440"/>
      <c r="BW66" s="438" t="str">
        <f>+BW$4</f>
        <v>1Q11</v>
      </c>
      <c r="BX66" s="440"/>
      <c r="BY66" s="438" t="str">
        <f>+BY$4</f>
        <v>2Q11</v>
      </c>
      <c r="BZ66" s="440"/>
      <c r="CA66" s="438" t="str">
        <f>+CA$4</f>
        <v>3Q11</v>
      </c>
      <c r="CB66" s="440"/>
      <c r="CC66" s="438" t="str">
        <f>+CC$4</f>
        <v>4Q11</v>
      </c>
      <c r="CD66" s="440"/>
      <c r="CE66" s="438" t="str">
        <f>+CE$4</f>
        <v>1Q12</v>
      </c>
      <c r="CF66" s="440"/>
      <c r="CG66" s="438" t="str">
        <f>+CG$4</f>
        <v>2Q12</v>
      </c>
      <c r="CH66" s="440"/>
      <c r="CI66" s="438" t="str">
        <f>+CI$4</f>
        <v>3Q12</v>
      </c>
      <c r="CJ66" s="440"/>
      <c r="CK66" s="438" t="str">
        <f>+CK$4</f>
        <v>4Q12</v>
      </c>
      <c r="CL66" s="440"/>
      <c r="CM66" s="438" t="str">
        <f>+CM$4</f>
        <v>1Q13</v>
      </c>
      <c r="CN66" s="440"/>
      <c r="CO66" s="438" t="str">
        <f>+CO$4</f>
        <v>2Q13</v>
      </c>
      <c r="CP66" s="440"/>
      <c r="CQ66" s="438" t="str">
        <f>+CQ$4</f>
        <v>3Q13</v>
      </c>
      <c r="CR66" s="440"/>
      <c r="CS66" s="438" t="str">
        <f>+CS$4</f>
        <v>4Q13</v>
      </c>
      <c r="CT66" s="440"/>
      <c r="CU66" s="438" t="str">
        <f>+CU$4</f>
        <v>1Q14</v>
      </c>
      <c r="CV66" s="440"/>
      <c r="CW66" s="438" t="str">
        <f>+CW$4</f>
        <v>2Q14</v>
      </c>
      <c r="CX66" s="440"/>
      <c r="CY66" s="438" t="str">
        <f>+CY$4</f>
        <v>3Q14</v>
      </c>
      <c r="CZ66" s="440"/>
      <c r="DA66" s="438" t="str">
        <f>+DA$4</f>
        <v>4Q14</v>
      </c>
      <c r="DB66" s="440"/>
      <c r="DC66" s="438" t="str">
        <f>+DC$4</f>
        <v>1Q15</v>
      </c>
      <c r="DD66" s="440"/>
      <c r="DE66" s="438" t="str">
        <f>+DE$4</f>
        <v>2Q15</v>
      </c>
      <c r="DF66" s="440"/>
      <c r="DG66" s="438" t="str">
        <f>+DG$4</f>
        <v>3Q15</v>
      </c>
      <c r="DH66" s="440"/>
      <c r="DI66" s="438" t="str">
        <f>+DI$4</f>
        <v>4Q15</v>
      </c>
      <c r="DJ66" s="440"/>
      <c r="DK66" s="438" t="str">
        <f>+DK$4</f>
        <v>1Q16</v>
      </c>
      <c r="DL66" s="440"/>
      <c r="DM66" s="438" t="str">
        <f>+DM$4</f>
        <v>2Q16</v>
      </c>
      <c r="DN66" s="440"/>
      <c r="DO66" s="438" t="str">
        <f>+DO$4</f>
        <v>3Q16</v>
      </c>
      <c r="DP66" s="440"/>
      <c r="DQ66" s="438" t="str">
        <f>+DQ$4</f>
        <v>4Q16</v>
      </c>
      <c r="DR66" s="440"/>
      <c r="DS66" s="438" t="str">
        <f>+DS$4</f>
        <v>1Q17</v>
      </c>
      <c r="DT66" s="440"/>
      <c r="DU66" s="438" t="str">
        <f>+DU$4</f>
        <v>2Q17</v>
      </c>
      <c r="DV66" s="440"/>
      <c r="DW66" s="438" t="str">
        <f>+DW$4</f>
        <v>3Q17</v>
      </c>
      <c r="DX66" s="440"/>
      <c r="DY66" s="438" t="str">
        <f>+DY$4</f>
        <v>4Q17</v>
      </c>
      <c r="DZ66" s="440"/>
      <c r="EA66" s="438"/>
      <c r="EB66" s="439" t="str">
        <f>+EB$4</f>
        <v>2000</v>
      </c>
      <c r="EC66" s="440"/>
      <c r="ED66" s="439" t="str">
        <f>+ED$4</f>
        <v>2001</v>
      </c>
      <c r="EE66" s="440"/>
      <c r="EF66" s="439" t="str">
        <f>+EF$4</f>
        <v>2002</v>
      </c>
      <c r="EG66" s="440"/>
      <c r="EH66" s="439" t="str">
        <f>+EH$4</f>
        <v>2003</v>
      </c>
      <c r="EI66" s="440"/>
      <c r="EJ66" s="438">
        <f>+EJ$4</f>
        <v>2004</v>
      </c>
      <c r="EK66" s="440"/>
      <c r="EL66" s="438" t="str">
        <f>+EL$4</f>
        <v>2005</v>
      </c>
      <c r="EM66" s="440"/>
      <c r="EN66" s="438" t="str">
        <f>+EN$4</f>
        <v>2006</v>
      </c>
      <c r="EO66" s="440"/>
      <c r="EP66" s="438">
        <f>+EP$4</f>
        <v>2007</v>
      </c>
      <c r="EQ66" s="440"/>
      <c r="ER66" s="438" t="str">
        <f>+ER$4</f>
        <v>2008</v>
      </c>
      <c r="ES66" s="440"/>
      <c r="ET66" s="438" t="str">
        <f>+ET$4</f>
        <v>2009</v>
      </c>
      <c r="EU66" s="440"/>
      <c r="EV66" s="438" t="str">
        <f>+EV$4</f>
        <v>2010</v>
      </c>
      <c r="EW66" s="440"/>
      <c r="EX66" s="438" t="str">
        <f>+EX$4</f>
        <v>2011</v>
      </c>
      <c r="EY66" s="440"/>
      <c r="EZ66" s="438" t="str">
        <f>+EZ$4</f>
        <v>2012</v>
      </c>
      <c r="FA66" s="440"/>
      <c r="FB66" s="438" t="str">
        <f>+FB$4</f>
        <v>2013</v>
      </c>
      <c r="FC66" s="440"/>
      <c r="FD66" s="438">
        <f>+FD$4</f>
        <v>2014</v>
      </c>
      <c r="FE66" s="440"/>
      <c r="FF66" s="438" t="str">
        <f>+FF$4</f>
        <v>2015</v>
      </c>
      <c r="FG66" s="440"/>
      <c r="FH66" s="438">
        <f>+FH$4</f>
        <v>2016</v>
      </c>
      <c r="FI66" s="440"/>
      <c r="FJ66" s="438">
        <f>+FJ$4</f>
        <v>2017</v>
      </c>
      <c r="FK66" s="440"/>
      <c r="FL66" s="438" t="str">
        <f>+FL$4</f>
        <v>2018E</v>
      </c>
      <c r="FM66" s="440"/>
      <c r="FN66" s="438" t="str">
        <f>+FN$4</f>
        <v>2019E</v>
      </c>
      <c r="FO66" s="440"/>
      <c r="FP66" s="438" t="str">
        <f>+FP$4</f>
        <v>2020E</v>
      </c>
      <c r="FQ66" s="440"/>
      <c r="FR66" s="438" t="str">
        <f>+FR$4</f>
        <v>2021E</v>
      </c>
      <c r="FS66" s="806" t="str">
        <f>+FS$4</f>
        <v>CAGR</v>
      </c>
      <c r="FT66" s="453"/>
    </row>
    <row r="67" spans="1:176" s="529" customFormat="1" ht="12.75" customHeight="1" x14ac:dyDescent="0.2">
      <c r="A67" s="807"/>
      <c r="B67" s="443" t="str">
        <f t="shared" ref="B67:DJ67" si="11">+B$5</f>
        <v>1Q03</v>
      </c>
      <c r="C67" s="444" t="str">
        <f t="shared" si="11"/>
        <v>% Chg</v>
      </c>
      <c r="D67" s="443" t="str">
        <f t="shared" si="11"/>
        <v>2Q03</v>
      </c>
      <c r="E67" s="444" t="str">
        <f t="shared" si="11"/>
        <v>% Chg</v>
      </c>
      <c r="F67" s="443" t="str">
        <f t="shared" si="11"/>
        <v>3Q03</v>
      </c>
      <c r="G67" s="444" t="str">
        <f t="shared" si="11"/>
        <v>% Chg</v>
      </c>
      <c r="H67" s="443" t="str">
        <f t="shared" si="11"/>
        <v>4Q03</v>
      </c>
      <c r="I67" s="444" t="str">
        <f t="shared" si="11"/>
        <v>% Chg</v>
      </c>
      <c r="J67" s="443" t="str">
        <f t="shared" si="11"/>
        <v>1Q04</v>
      </c>
      <c r="K67" s="444" t="str">
        <f t="shared" si="11"/>
        <v>% Chg</v>
      </c>
      <c r="L67" s="443" t="str">
        <f t="shared" si="11"/>
        <v>2Q04</v>
      </c>
      <c r="M67" s="444" t="str">
        <f t="shared" si="11"/>
        <v>% Chg</v>
      </c>
      <c r="N67" s="443" t="str">
        <f t="shared" si="11"/>
        <v>3Q04</v>
      </c>
      <c r="O67" s="444" t="str">
        <f t="shared" si="11"/>
        <v>% Chg</v>
      </c>
      <c r="P67" s="443" t="str">
        <f t="shared" si="11"/>
        <v>4Q04</v>
      </c>
      <c r="Q67" s="444" t="str">
        <f t="shared" si="11"/>
        <v>% Chg</v>
      </c>
      <c r="R67" s="443" t="str">
        <f t="shared" si="11"/>
        <v>1Q05</v>
      </c>
      <c r="S67" s="444" t="str">
        <f t="shared" si="11"/>
        <v>% Chg</v>
      </c>
      <c r="T67" s="443" t="str">
        <f t="shared" si="11"/>
        <v>2Q05</v>
      </c>
      <c r="U67" s="444" t="str">
        <f t="shared" si="11"/>
        <v>% Chg</v>
      </c>
      <c r="V67" s="443" t="str">
        <f t="shared" si="11"/>
        <v>3Q05</v>
      </c>
      <c r="W67" s="444" t="str">
        <f t="shared" si="11"/>
        <v>% Chg</v>
      </c>
      <c r="X67" s="443" t="str">
        <f t="shared" si="11"/>
        <v>4Q05</v>
      </c>
      <c r="Y67" s="444" t="str">
        <f t="shared" si="11"/>
        <v>% Chg</v>
      </c>
      <c r="Z67" s="443" t="str">
        <f t="shared" si="11"/>
        <v>1Q06</v>
      </c>
      <c r="AA67" s="444" t="str">
        <f t="shared" si="11"/>
        <v>% Chg</v>
      </c>
      <c r="AB67" s="443" t="str">
        <f t="shared" si="11"/>
        <v>2Q06</v>
      </c>
      <c r="AC67" s="444" t="str">
        <f t="shared" si="11"/>
        <v>% Chg</v>
      </c>
      <c r="AD67" s="443" t="str">
        <f t="shared" si="11"/>
        <v>3Q06</v>
      </c>
      <c r="AE67" s="444" t="str">
        <f t="shared" si="11"/>
        <v>% Chg</v>
      </c>
      <c r="AF67" s="443" t="str">
        <f t="shared" si="11"/>
        <v>4Q06</v>
      </c>
      <c r="AG67" s="444" t="str">
        <f t="shared" si="11"/>
        <v>% Chg</v>
      </c>
      <c r="AH67" s="443" t="str">
        <f t="shared" si="11"/>
        <v>1Q07</v>
      </c>
      <c r="AI67" s="445" t="str">
        <f t="shared" si="11"/>
        <v>% Chg</v>
      </c>
      <c r="AJ67" s="443" t="str">
        <f t="shared" si="11"/>
        <v>2Q07</v>
      </c>
      <c r="AK67" s="445" t="str">
        <f t="shared" si="11"/>
        <v>% Chg</v>
      </c>
      <c r="AL67" s="443" t="str">
        <f t="shared" si="11"/>
        <v>3Q07</v>
      </c>
      <c r="AM67" s="445" t="str">
        <f t="shared" si="11"/>
        <v>% Chg</v>
      </c>
      <c r="AN67" s="443" t="str">
        <f t="shared" si="11"/>
        <v>4Q07</v>
      </c>
      <c r="AO67" s="445" t="str">
        <f t="shared" si="11"/>
        <v>% Chg</v>
      </c>
      <c r="AP67" s="443" t="str">
        <f t="shared" si="11"/>
        <v>1Q08</v>
      </c>
      <c r="AQ67" s="445" t="str">
        <f t="shared" si="11"/>
        <v>% Chg</v>
      </c>
      <c r="AR67" s="443" t="str">
        <f t="shared" si="11"/>
        <v>2Q08</v>
      </c>
      <c r="AS67" s="445" t="str">
        <f t="shared" si="11"/>
        <v>% Chg</v>
      </c>
      <c r="AT67" s="443" t="str">
        <f t="shared" si="11"/>
        <v>3Q08</v>
      </c>
      <c r="AU67" s="445" t="str">
        <f t="shared" si="11"/>
        <v>% Chg</v>
      </c>
      <c r="AV67" s="443" t="str">
        <f t="shared" si="11"/>
        <v>4Q08</v>
      </c>
      <c r="AW67" s="445" t="str">
        <f t="shared" si="11"/>
        <v>% Chg</v>
      </c>
      <c r="AX67" s="443" t="str">
        <f t="shared" si="11"/>
        <v>1Q09</v>
      </c>
      <c r="AY67" s="445" t="str">
        <f t="shared" si="11"/>
        <v>% Chg</v>
      </c>
      <c r="AZ67" s="443" t="str">
        <f t="shared" si="11"/>
        <v>2Q09</v>
      </c>
      <c r="BA67" s="445" t="str">
        <f t="shared" si="11"/>
        <v>% Chg</v>
      </c>
      <c r="BB67" s="443" t="str">
        <f t="shared" si="11"/>
        <v>3Q09</v>
      </c>
      <c r="BC67" s="445" t="str">
        <f t="shared" si="11"/>
        <v>% Chg</v>
      </c>
      <c r="BD67" s="443" t="str">
        <f t="shared" si="11"/>
        <v>4Q09</v>
      </c>
      <c r="BE67" s="445" t="str">
        <f t="shared" si="11"/>
        <v>% Chg</v>
      </c>
      <c r="BF67" s="443" t="str">
        <f t="shared" si="11"/>
        <v>1Q10</v>
      </c>
      <c r="BG67" s="445" t="str">
        <f t="shared" si="11"/>
        <v>% Chg</v>
      </c>
      <c r="BH67" s="443" t="str">
        <f t="shared" si="11"/>
        <v>2Q10</v>
      </c>
      <c r="BI67" s="445" t="str">
        <f t="shared" si="11"/>
        <v>% Chg</v>
      </c>
      <c r="BJ67" s="443" t="str">
        <f t="shared" si="11"/>
        <v>3Q10</v>
      </c>
      <c r="BK67" s="445" t="str">
        <f t="shared" si="11"/>
        <v>% Chg</v>
      </c>
      <c r="BL67" s="443" t="str">
        <f t="shared" si="11"/>
        <v>4Q10</v>
      </c>
      <c r="BM67" s="445" t="str">
        <f t="shared" si="11"/>
        <v>% Chg</v>
      </c>
      <c r="BN67" s="443" t="str">
        <f t="shared" si="11"/>
        <v>1Q11</v>
      </c>
      <c r="BO67" s="445" t="str">
        <f t="shared" si="11"/>
        <v>% Chg</v>
      </c>
      <c r="BP67" s="443" t="str">
        <f t="shared" si="11"/>
        <v>2Q11</v>
      </c>
      <c r="BQ67" s="445" t="str">
        <f t="shared" si="11"/>
        <v>% Chg</v>
      </c>
      <c r="BR67" s="443" t="str">
        <f t="shared" si="11"/>
        <v>3Q11</v>
      </c>
      <c r="BS67" s="445" t="str">
        <f t="shared" si="11"/>
        <v>% Chg</v>
      </c>
      <c r="BT67" s="443" t="str">
        <f t="shared" si="11"/>
        <v>4Q11</v>
      </c>
      <c r="BU67" s="445" t="str">
        <f>+BU$5</f>
        <v>% Chg</v>
      </c>
      <c r="BV67" s="443" t="str">
        <f t="shared" si="11"/>
        <v>1Q12</v>
      </c>
      <c r="BW67" s="445" t="str">
        <f>+BW$5</f>
        <v>% Chg</v>
      </c>
      <c r="BX67" s="443" t="str">
        <f t="shared" si="11"/>
        <v>2Q12</v>
      </c>
      <c r="BY67" s="445" t="str">
        <f>+BY$5</f>
        <v>% Chg</v>
      </c>
      <c r="BZ67" s="443" t="str">
        <f t="shared" si="11"/>
        <v>3Q12</v>
      </c>
      <c r="CA67" s="445" t="str">
        <f>+CA$5</f>
        <v>% Chg</v>
      </c>
      <c r="CB67" s="443" t="str">
        <f t="shared" si="11"/>
        <v>4Q12</v>
      </c>
      <c r="CC67" s="445" t="str">
        <f>+CC$5</f>
        <v>% Chg</v>
      </c>
      <c r="CD67" s="443" t="str">
        <f t="shared" si="11"/>
        <v>1Q13</v>
      </c>
      <c r="CE67" s="445" t="str">
        <f>+CE$5</f>
        <v>% Chg</v>
      </c>
      <c r="CF67" s="443" t="str">
        <f t="shared" si="11"/>
        <v>2Q13</v>
      </c>
      <c r="CG67" s="445" t="str">
        <f>+CG$5</f>
        <v>% Chg</v>
      </c>
      <c r="CH67" s="443" t="str">
        <f t="shared" si="11"/>
        <v>3Q13</v>
      </c>
      <c r="CI67" s="445" t="str">
        <f>+CI$5</f>
        <v>% Chg</v>
      </c>
      <c r="CJ67" s="443" t="str">
        <f t="shared" si="11"/>
        <v>4Q13</v>
      </c>
      <c r="CK67" s="445" t="str">
        <f>+CK$5</f>
        <v>% Chg</v>
      </c>
      <c r="CL67" s="443" t="str">
        <f t="shared" si="11"/>
        <v>1Q14</v>
      </c>
      <c r="CM67" s="445" t="str">
        <f>+CM$5</f>
        <v>% Chg</v>
      </c>
      <c r="CN67" s="443" t="str">
        <f t="shared" si="11"/>
        <v>2Q14</v>
      </c>
      <c r="CO67" s="445" t="str">
        <f>+CO$5</f>
        <v>% Chg</v>
      </c>
      <c r="CP67" s="443" t="str">
        <f t="shared" si="11"/>
        <v>3Q14</v>
      </c>
      <c r="CQ67" s="445" t="str">
        <f>+CQ$5</f>
        <v>% Chg</v>
      </c>
      <c r="CR67" s="443" t="str">
        <f t="shared" si="11"/>
        <v>4Q14</v>
      </c>
      <c r="CS67" s="445" t="str">
        <f>+CS$5</f>
        <v>% Chg</v>
      </c>
      <c r="CT67" s="443" t="str">
        <f t="shared" si="11"/>
        <v>1Q15</v>
      </c>
      <c r="CU67" s="445" t="str">
        <f>+CU$5</f>
        <v>% Chg</v>
      </c>
      <c r="CV67" s="443" t="str">
        <f t="shared" si="11"/>
        <v>2Q15</v>
      </c>
      <c r="CW67" s="445" t="str">
        <f>+CW$5</f>
        <v>% Chg</v>
      </c>
      <c r="CX67" s="443" t="str">
        <f t="shared" si="11"/>
        <v>3Q15</v>
      </c>
      <c r="CY67" s="445" t="str">
        <f>+CY$5</f>
        <v>% Chg</v>
      </c>
      <c r="CZ67" s="443" t="str">
        <f t="shared" si="11"/>
        <v>4Q15</v>
      </c>
      <c r="DA67" s="445" t="str">
        <f>+DA$5</f>
        <v>% Chg</v>
      </c>
      <c r="DB67" s="443" t="str">
        <f t="shared" si="11"/>
        <v>1Q16</v>
      </c>
      <c r="DC67" s="445" t="str">
        <f>+DC$5</f>
        <v>% Chg</v>
      </c>
      <c r="DD67" s="443" t="str">
        <f t="shared" si="11"/>
        <v>2Q16</v>
      </c>
      <c r="DE67" s="445" t="str">
        <f>+DE$5</f>
        <v>% Chg</v>
      </c>
      <c r="DF67" s="443" t="str">
        <f t="shared" si="11"/>
        <v>3Q16</v>
      </c>
      <c r="DG67" s="445" t="str">
        <f>+DG$5</f>
        <v>% Chg</v>
      </c>
      <c r="DH67" s="443" t="str">
        <f t="shared" si="11"/>
        <v>4Q16</v>
      </c>
      <c r="DI67" s="445" t="str">
        <f>+DI$5</f>
        <v>% Chg</v>
      </c>
      <c r="DJ67" s="443" t="str">
        <f t="shared" si="11"/>
        <v>1Q17</v>
      </c>
      <c r="DK67" s="445" t="str">
        <f t="shared" ref="DK67:DY67" si="12">+DK$5</f>
        <v>% Chg</v>
      </c>
      <c r="DL67" s="443" t="str">
        <f t="shared" si="12"/>
        <v>2Q17</v>
      </c>
      <c r="DM67" s="445" t="str">
        <f t="shared" si="12"/>
        <v>% Chg</v>
      </c>
      <c r="DN67" s="443" t="str">
        <f t="shared" si="12"/>
        <v>3Q17</v>
      </c>
      <c r="DO67" s="445" t="str">
        <f t="shared" si="12"/>
        <v>% Chg</v>
      </c>
      <c r="DP67" s="443" t="str">
        <f t="shared" si="12"/>
        <v>4Q17</v>
      </c>
      <c r="DQ67" s="445" t="str">
        <f t="shared" si="12"/>
        <v>% Chg</v>
      </c>
      <c r="DR67" s="443" t="str">
        <f t="shared" si="12"/>
        <v>1Q18E</v>
      </c>
      <c r="DS67" s="445" t="str">
        <f t="shared" si="12"/>
        <v>% Chg</v>
      </c>
      <c r="DT67" s="443" t="str">
        <f t="shared" si="12"/>
        <v>2Q18E</v>
      </c>
      <c r="DU67" s="445" t="str">
        <f t="shared" si="12"/>
        <v>% Chg</v>
      </c>
      <c r="DV67" s="443" t="str">
        <f t="shared" si="12"/>
        <v>3Q18E</v>
      </c>
      <c r="DW67" s="445" t="str">
        <f t="shared" si="12"/>
        <v>% Chg</v>
      </c>
      <c r="DX67" s="443" t="str">
        <f t="shared" si="12"/>
        <v>4Q18E</v>
      </c>
      <c r="DY67" s="445" t="str">
        <f t="shared" si="12"/>
        <v>% Chg</v>
      </c>
      <c r="DZ67" s="443"/>
      <c r="EA67" s="445"/>
      <c r="EB67" s="444" t="str">
        <f t="shared" ref="EB67:FS67" si="13">+EB$5</f>
        <v>% Chg</v>
      </c>
      <c r="EC67" s="443" t="str">
        <f t="shared" si="13"/>
        <v>2002</v>
      </c>
      <c r="ED67" s="444" t="str">
        <f t="shared" si="13"/>
        <v>% Chg</v>
      </c>
      <c r="EE67" s="443" t="str">
        <f t="shared" si="13"/>
        <v>2003</v>
      </c>
      <c r="EF67" s="444" t="str">
        <f t="shared" si="13"/>
        <v>% Chg</v>
      </c>
      <c r="EG67" s="443">
        <f t="shared" si="13"/>
        <v>2004</v>
      </c>
      <c r="EH67" s="444" t="str">
        <f t="shared" si="13"/>
        <v>% Chg</v>
      </c>
      <c r="EI67" s="443" t="str">
        <f t="shared" si="13"/>
        <v>2005</v>
      </c>
      <c r="EJ67" s="445" t="str">
        <f t="shared" si="13"/>
        <v>% Chg</v>
      </c>
      <c r="EK67" s="443" t="str">
        <f t="shared" si="13"/>
        <v>2006</v>
      </c>
      <c r="EL67" s="445" t="str">
        <f t="shared" si="13"/>
        <v>% Chg</v>
      </c>
      <c r="EM67" s="443" t="s">
        <v>481</v>
      </c>
      <c r="EN67" s="445" t="str">
        <f t="shared" si="13"/>
        <v>% Chg</v>
      </c>
      <c r="EO67" s="443" t="str">
        <f t="shared" si="13"/>
        <v>2008</v>
      </c>
      <c r="EP67" s="445" t="str">
        <f t="shared" si="13"/>
        <v>% Chg</v>
      </c>
      <c r="EQ67" s="443" t="str">
        <f t="shared" si="13"/>
        <v>2009</v>
      </c>
      <c r="ER67" s="445" t="str">
        <f t="shared" si="13"/>
        <v>% Chg</v>
      </c>
      <c r="ES67" s="443" t="str">
        <f t="shared" si="13"/>
        <v>2010</v>
      </c>
      <c r="ET67" s="445" t="str">
        <f t="shared" si="13"/>
        <v>% Chg</v>
      </c>
      <c r="EU67" s="443" t="str">
        <f t="shared" si="13"/>
        <v>2011</v>
      </c>
      <c r="EV67" s="445" t="str">
        <f t="shared" si="13"/>
        <v>% Chg</v>
      </c>
      <c r="EW67" s="443" t="str">
        <f t="shared" si="13"/>
        <v>2012</v>
      </c>
      <c r="EX67" s="445" t="str">
        <f t="shared" si="13"/>
        <v>% Chg</v>
      </c>
      <c r="EY67" s="443" t="str">
        <f t="shared" si="13"/>
        <v>2013</v>
      </c>
      <c r="EZ67" s="445" t="str">
        <f t="shared" si="13"/>
        <v>% Chg</v>
      </c>
      <c r="FA67" s="443">
        <f t="shared" si="13"/>
        <v>2014</v>
      </c>
      <c r="FB67" s="445" t="str">
        <f t="shared" si="13"/>
        <v>% Chg</v>
      </c>
      <c r="FC67" s="443" t="str">
        <f t="shared" si="13"/>
        <v>2015</v>
      </c>
      <c r="FD67" s="445" t="str">
        <f t="shared" si="13"/>
        <v>% Chg</v>
      </c>
      <c r="FE67" s="443">
        <f t="shared" si="13"/>
        <v>2016</v>
      </c>
      <c r="FF67" s="445" t="str">
        <f t="shared" si="13"/>
        <v>% Chg</v>
      </c>
      <c r="FG67" s="443">
        <f t="shared" si="13"/>
        <v>2017</v>
      </c>
      <c r="FH67" s="445" t="str">
        <f t="shared" si="13"/>
        <v>% Chg</v>
      </c>
      <c r="FI67" s="443" t="str">
        <f t="shared" si="13"/>
        <v>2018E</v>
      </c>
      <c r="FJ67" s="445" t="str">
        <f t="shared" si="13"/>
        <v>% Chg</v>
      </c>
      <c r="FK67" s="443" t="str">
        <f t="shared" si="13"/>
        <v>2019E</v>
      </c>
      <c r="FL67" s="445" t="str">
        <f t="shared" si="13"/>
        <v>% Chg</v>
      </c>
      <c r="FM67" s="443" t="str">
        <f t="shared" si="13"/>
        <v>2020E</v>
      </c>
      <c r="FN67" s="445" t="str">
        <f t="shared" si="13"/>
        <v>% Chg</v>
      </c>
      <c r="FO67" s="443" t="str">
        <f t="shared" si="13"/>
        <v>2021E</v>
      </c>
      <c r="FP67" s="445" t="str">
        <f t="shared" si="13"/>
        <v>% Chg</v>
      </c>
      <c r="FQ67" s="443" t="str">
        <f t="shared" si="13"/>
        <v>2022E</v>
      </c>
      <c r="FR67" s="445" t="str">
        <f t="shared" si="13"/>
        <v>% Chg</v>
      </c>
      <c r="FS67" s="808" t="str">
        <f t="shared" si="13"/>
        <v>(%)</v>
      </c>
      <c r="FT67" s="453"/>
    </row>
    <row r="68" spans="1:176" s="529" customFormat="1" ht="12.75" customHeight="1" x14ac:dyDescent="0.2">
      <c r="A68" s="809"/>
      <c r="B68" s="447"/>
      <c r="C68" s="439"/>
      <c r="D68" s="447"/>
      <c r="E68" s="439"/>
      <c r="F68" s="447"/>
      <c r="G68" s="439"/>
      <c r="H68" s="447"/>
      <c r="I68" s="439"/>
      <c r="J68" s="447"/>
      <c r="K68" s="439"/>
      <c r="L68" s="447"/>
      <c r="M68" s="439"/>
      <c r="N68" s="447"/>
      <c r="O68" s="439"/>
      <c r="P68" s="447"/>
      <c r="Q68" s="439"/>
      <c r="R68" s="447"/>
      <c r="S68" s="439"/>
      <c r="T68" s="447"/>
      <c r="U68" s="439"/>
      <c r="V68" s="447"/>
      <c r="W68" s="439"/>
      <c r="X68" s="447"/>
      <c r="Y68" s="439"/>
      <c r="Z68" s="447"/>
      <c r="AA68" s="439"/>
      <c r="AB68" s="447"/>
      <c r="AC68" s="439"/>
      <c r="AD68" s="447"/>
      <c r="AE68" s="439"/>
      <c r="AF68" s="447"/>
      <c r="AG68" s="439"/>
      <c r="AH68" s="447"/>
      <c r="AI68" s="438"/>
      <c r="AJ68" s="447"/>
      <c r="AK68" s="438"/>
      <c r="AL68" s="447"/>
      <c r="AM68" s="438"/>
      <c r="AN68" s="447"/>
      <c r="AO68" s="438"/>
      <c r="AP68" s="447"/>
      <c r="AQ68" s="438"/>
      <c r="AR68" s="447"/>
      <c r="AS68" s="438"/>
      <c r="AT68" s="447"/>
      <c r="AU68" s="438"/>
      <c r="AV68" s="447"/>
      <c r="AW68" s="438"/>
      <c r="AX68" s="447"/>
      <c r="AY68" s="438"/>
      <c r="AZ68" s="447"/>
      <c r="BA68" s="438"/>
      <c r="BB68" s="447"/>
      <c r="BC68" s="438"/>
      <c r="BD68" s="447"/>
      <c r="BE68" s="438"/>
      <c r="BF68" s="447"/>
      <c r="BG68" s="438"/>
      <c r="BH68" s="447"/>
      <c r="BI68" s="438"/>
      <c r="BJ68" s="447"/>
      <c r="BK68" s="438"/>
      <c r="BL68" s="447"/>
      <c r="BM68" s="438"/>
      <c r="BN68" s="447"/>
      <c r="BO68" s="438"/>
      <c r="BP68" s="447"/>
      <c r="BQ68" s="438"/>
      <c r="BR68" s="447"/>
      <c r="BS68" s="438"/>
      <c r="BT68" s="447"/>
      <c r="BU68" s="438"/>
      <c r="BV68" s="447"/>
      <c r="BW68" s="438"/>
      <c r="BX68" s="447"/>
      <c r="BY68" s="438"/>
      <c r="BZ68" s="447"/>
      <c r="CA68" s="438"/>
      <c r="CB68" s="447"/>
      <c r="CC68" s="438"/>
      <c r="CD68" s="447"/>
      <c r="CE68" s="438"/>
      <c r="CF68" s="447"/>
      <c r="CG68" s="438"/>
      <c r="CH68" s="447"/>
      <c r="CI68" s="438"/>
      <c r="CJ68" s="447"/>
      <c r="CK68" s="438"/>
      <c r="CL68" s="447"/>
      <c r="CM68" s="438"/>
      <c r="CN68" s="447"/>
      <c r="CO68" s="438"/>
      <c r="CP68" s="447"/>
      <c r="CQ68" s="438"/>
      <c r="CR68" s="447"/>
      <c r="CS68" s="438"/>
      <c r="CT68" s="447"/>
      <c r="CU68" s="438"/>
      <c r="CV68" s="447"/>
      <c r="CW68" s="438"/>
      <c r="CX68" s="447"/>
      <c r="CY68" s="438"/>
      <c r="CZ68" s="447"/>
      <c r="DA68" s="438"/>
      <c r="DB68" s="447"/>
      <c r="DC68" s="438"/>
      <c r="DD68" s="447"/>
      <c r="DE68" s="438"/>
      <c r="DF68" s="447"/>
      <c r="DG68" s="438"/>
      <c r="DH68" s="447"/>
      <c r="DI68" s="438"/>
      <c r="DJ68" s="447"/>
      <c r="DK68" s="438"/>
      <c r="DL68" s="447"/>
      <c r="DM68" s="438"/>
      <c r="DN68" s="447"/>
      <c r="DO68" s="438"/>
      <c r="DP68" s="447"/>
      <c r="DQ68" s="438"/>
      <c r="DR68" s="447"/>
      <c r="DS68" s="438"/>
      <c r="DT68" s="447"/>
      <c r="DU68" s="438"/>
      <c r="DV68" s="447"/>
      <c r="DW68" s="438"/>
      <c r="DX68" s="447"/>
      <c r="DY68" s="438"/>
      <c r="DZ68" s="447"/>
      <c r="EA68" s="438"/>
      <c r="EB68" s="439"/>
      <c r="EC68" s="447"/>
      <c r="ED68" s="439"/>
      <c r="EE68" s="447"/>
      <c r="EF68" s="439"/>
      <c r="EG68" s="447"/>
      <c r="EH68" s="439"/>
      <c r="EI68" s="447"/>
      <c r="EJ68" s="438"/>
      <c r="EK68" s="447"/>
      <c r="EL68" s="438"/>
      <c r="EM68" s="447"/>
      <c r="EN68" s="438"/>
      <c r="EO68" s="447"/>
      <c r="EP68" s="438"/>
      <c r="EQ68" s="447"/>
      <c r="ER68" s="438"/>
      <c r="ES68" s="447"/>
      <c r="ET68" s="438"/>
      <c r="EU68" s="447"/>
      <c r="EV68" s="438"/>
      <c r="EW68" s="447"/>
      <c r="EX68" s="438"/>
      <c r="EY68" s="447"/>
      <c r="EZ68" s="438"/>
      <c r="FA68" s="447"/>
      <c r="FB68" s="438"/>
      <c r="FC68" s="447"/>
      <c r="FD68" s="438"/>
      <c r="FE68" s="447"/>
      <c r="FF68" s="438"/>
      <c r="FG68" s="447"/>
      <c r="FH68" s="438"/>
      <c r="FI68" s="447"/>
      <c r="FJ68" s="438"/>
      <c r="FK68" s="447"/>
      <c r="FL68" s="438"/>
      <c r="FM68" s="447"/>
      <c r="FN68" s="438"/>
      <c r="FO68" s="447"/>
      <c r="FP68" s="438"/>
      <c r="FQ68" s="447"/>
      <c r="FR68" s="438"/>
      <c r="FS68" s="806"/>
    </row>
    <row r="69" spans="1:176" s="529" customFormat="1" ht="12.75" customHeight="1" x14ac:dyDescent="0.2">
      <c r="A69" s="809" t="s">
        <v>118</v>
      </c>
      <c r="B69" s="449"/>
      <c r="C69" s="439"/>
      <c r="D69" s="449"/>
      <c r="E69" s="439"/>
      <c r="F69" s="449"/>
      <c r="G69" s="439"/>
      <c r="H69" s="449"/>
      <c r="I69" s="439"/>
      <c r="J69" s="449"/>
      <c r="K69" s="439"/>
      <c r="L69" s="449"/>
      <c r="M69" s="439"/>
      <c r="N69" s="449"/>
      <c r="O69" s="439"/>
      <c r="P69" s="449"/>
      <c r="Q69" s="439"/>
      <c r="R69" s="449"/>
      <c r="S69" s="439"/>
      <c r="T69" s="449"/>
      <c r="U69" s="439"/>
      <c r="V69" s="449"/>
      <c r="W69" s="439"/>
      <c r="X69" s="449"/>
      <c r="Y69" s="439"/>
      <c r="Z69" s="449"/>
      <c r="AA69" s="439"/>
      <c r="AB69" s="449"/>
      <c r="AC69" s="439"/>
      <c r="AD69" s="449"/>
      <c r="AE69" s="439"/>
      <c r="AF69" s="449"/>
      <c r="AG69" s="439"/>
      <c r="AH69" s="449"/>
      <c r="AI69" s="438"/>
      <c r="AJ69" s="449"/>
      <c r="AK69" s="438"/>
      <c r="AL69" s="449"/>
      <c r="AM69" s="438"/>
      <c r="AN69" s="449"/>
      <c r="AO69" s="438"/>
      <c r="AP69" s="449"/>
      <c r="AQ69" s="438"/>
      <c r="AR69" s="449"/>
      <c r="AS69" s="438"/>
      <c r="AT69" s="449"/>
      <c r="AU69" s="438"/>
      <c r="AV69" s="449"/>
      <c r="AW69" s="438"/>
      <c r="AX69" s="449"/>
      <c r="AY69" s="438"/>
      <c r="AZ69" s="449"/>
      <c r="BA69" s="438"/>
      <c r="BB69" s="449"/>
      <c r="BC69" s="438"/>
      <c r="BD69" s="449"/>
      <c r="BE69" s="438"/>
      <c r="BF69" s="449"/>
      <c r="BG69" s="438"/>
      <c r="BH69" s="449"/>
      <c r="BI69" s="438"/>
      <c r="BJ69" s="449"/>
      <c r="BK69" s="438"/>
      <c r="BL69" s="449"/>
      <c r="BM69" s="438"/>
      <c r="BN69" s="449"/>
      <c r="BO69" s="438"/>
      <c r="BP69" s="449"/>
      <c r="BQ69" s="438"/>
      <c r="BR69" s="449"/>
      <c r="BS69" s="438"/>
      <c r="BT69" s="449"/>
      <c r="BU69" s="438"/>
      <c r="BV69" s="449"/>
      <c r="BW69" s="438"/>
      <c r="BX69" s="449"/>
      <c r="BY69" s="438"/>
      <c r="BZ69" s="449"/>
      <c r="CA69" s="438"/>
      <c r="CB69" s="449"/>
      <c r="CC69" s="438"/>
      <c r="CD69" s="449"/>
      <c r="CE69" s="438"/>
      <c r="CF69" s="449"/>
      <c r="CG69" s="438"/>
      <c r="CH69" s="449"/>
      <c r="CI69" s="438"/>
      <c r="CJ69" s="449"/>
      <c r="CK69" s="438"/>
      <c r="CL69" s="449"/>
      <c r="CM69" s="438"/>
      <c r="CN69" s="449"/>
      <c r="CO69" s="438"/>
      <c r="CP69" s="449"/>
      <c r="CQ69" s="438"/>
      <c r="CR69" s="449"/>
      <c r="CS69" s="438"/>
      <c r="CT69" s="449"/>
      <c r="CU69" s="438"/>
      <c r="CV69" s="449"/>
      <c r="CW69" s="438"/>
      <c r="CX69" s="449"/>
      <c r="CY69" s="438"/>
      <c r="CZ69" s="449"/>
      <c r="DA69" s="438"/>
      <c r="DB69" s="449"/>
      <c r="DC69" s="438"/>
      <c r="DD69" s="449"/>
      <c r="DE69" s="438"/>
      <c r="DF69" s="449"/>
      <c r="DG69" s="438"/>
      <c r="DH69" s="449"/>
      <c r="DI69" s="438"/>
      <c r="DJ69" s="449"/>
      <c r="DK69" s="438"/>
      <c r="DL69" s="449"/>
      <c r="DM69" s="438"/>
      <c r="DN69" s="449"/>
      <c r="DO69" s="438"/>
      <c r="DP69" s="449"/>
      <c r="DQ69" s="438"/>
      <c r="DR69" s="449"/>
      <c r="DS69" s="438"/>
      <c r="DT69" s="449"/>
      <c r="DU69" s="438"/>
      <c r="DV69" s="449"/>
      <c r="DW69" s="438"/>
      <c r="DX69" s="449"/>
      <c r="DY69" s="438"/>
      <c r="DZ69" s="449"/>
      <c r="EA69" s="438"/>
      <c r="EB69" s="439"/>
      <c r="EC69" s="449"/>
      <c r="ED69" s="439"/>
      <c r="EE69" s="449"/>
      <c r="EF69" s="439"/>
      <c r="EG69" s="449"/>
      <c r="EH69" s="439"/>
      <c r="EI69" s="449"/>
      <c r="EJ69" s="438"/>
      <c r="EK69" s="449"/>
      <c r="EL69" s="438"/>
      <c r="EM69" s="449"/>
      <c r="EN69" s="438"/>
      <c r="EO69" s="449"/>
      <c r="EP69" s="438"/>
      <c r="EQ69" s="449"/>
      <c r="ER69" s="438"/>
      <c r="ES69" s="449"/>
      <c r="ET69" s="438"/>
      <c r="EU69" s="449"/>
      <c r="EV69" s="438"/>
      <c r="EW69" s="449"/>
      <c r="EX69" s="438"/>
      <c r="EY69" s="449"/>
      <c r="EZ69" s="438"/>
      <c r="FA69" s="449"/>
      <c r="FB69" s="438"/>
      <c r="FC69" s="449"/>
      <c r="FD69" s="438"/>
      <c r="FE69" s="449"/>
      <c r="FF69" s="438"/>
      <c r="FG69" s="449"/>
      <c r="FH69" s="438"/>
      <c r="FI69" s="449"/>
      <c r="FJ69" s="438"/>
      <c r="FK69" s="449"/>
      <c r="FL69" s="438"/>
      <c r="FM69" s="449"/>
      <c r="FN69" s="438"/>
      <c r="FO69" s="449"/>
      <c r="FP69" s="438"/>
      <c r="FQ69" s="449"/>
      <c r="FR69" s="438"/>
      <c r="FS69" s="806"/>
    </row>
    <row r="70" spans="1:176" s="529" customFormat="1" ht="12.75" customHeight="1" x14ac:dyDescent="0.2">
      <c r="A70" s="805" t="str">
        <f>INPUT!B637</f>
        <v>Fully Diluted Shares (EOP)</v>
      </c>
      <c r="B70" s="456">
        <f>INPUT!AA637</f>
        <v>552.5</v>
      </c>
      <c r="C70" s="439">
        <f>INPUT!AB637</f>
        <v>-5.5232558139534831</v>
      </c>
      <c r="D70" s="456">
        <f>INPUT!AC637</f>
        <v>546.5</v>
      </c>
      <c r="E70" s="439">
        <f>INPUT!AD637</f>
        <v>-6.3249914295509058</v>
      </c>
      <c r="F70" s="456">
        <f>INPUT!AE637</f>
        <v>543.29999999999995</v>
      </c>
      <c r="G70" s="439">
        <f>INPUT!AF637</f>
        <v>-4.3654286217215343</v>
      </c>
      <c r="H70" s="456">
        <f>INPUT!AG637</f>
        <v>540.79999999999995</v>
      </c>
      <c r="I70" s="439">
        <f>INPUT!AH637</f>
        <v>-3.5663338088445187</v>
      </c>
      <c r="J70" s="456">
        <f>INPUT!AI637</f>
        <v>535.6</v>
      </c>
      <c r="K70" s="439">
        <f>INPUT!AJ637</f>
        <v>-3.0588235294117538</v>
      </c>
      <c r="L70" s="456">
        <f>INPUT!AK637</f>
        <v>528.70000000000005</v>
      </c>
      <c r="M70" s="439">
        <f>INPUT!AL637</f>
        <v>-3.2570905763952425</v>
      </c>
      <c r="N70" s="456">
        <f>INPUT!AM637</f>
        <v>522</v>
      </c>
      <c r="O70" s="439">
        <f>INPUT!AN637</f>
        <v>-3.920485919381548</v>
      </c>
      <c r="P70" s="456">
        <f>INPUT!AO637</f>
        <v>531.5</v>
      </c>
      <c r="Q70" s="439">
        <f>INPUT!AP637</f>
        <v>-1.7196745562130076</v>
      </c>
      <c r="R70" s="456">
        <f>INPUT!AQ637</f>
        <v>526.5</v>
      </c>
      <c r="S70" s="439">
        <f>INPUT!AR637</f>
        <v>-1.6990291262135884</v>
      </c>
      <c r="T70" s="456">
        <f>INPUT!AS637</f>
        <v>522.5</v>
      </c>
      <c r="U70" s="439">
        <f>INPUT!AT637</f>
        <v>-1.1726877246075418</v>
      </c>
      <c r="V70" s="456">
        <f>INPUT!AU637</f>
        <v>513.6</v>
      </c>
      <c r="W70" s="439">
        <f>INPUT!AV637</f>
        <v>-1.6091954022988517</v>
      </c>
      <c r="X70" s="456">
        <f>INPUT!AW637</f>
        <v>507.1</v>
      </c>
      <c r="Y70" s="439">
        <f>INPUT!AX637</f>
        <v>-4.5907808090310311</v>
      </c>
      <c r="Z70" s="456">
        <f>INPUT!AY637</f>
        <v>500.3</v>
      </c>
      <c r="AA70" s="439">
        <f>INPUT!AZ637</f>
        <v>-4.9762583095916426</v>
      </c>
      <c r="AB70" s="456">
        <f>INPUT!BA637</f>
        <v>493.2</v>
      </c>
      <c r="AC70" s="439">
        <f>INPUT!BB637</f>
        <v>-5.6076555023923476</v>
      </c>
      <c r="AD70" s="456">
        <f>INPUT!BC637</f>
        <v>486.7</v>
      </c>
      <c r="AE70" s="439">
        <f>INPUT!BD637</f>
        <v>-5.2375389408099693</v>
      </c>
      <c r="AF70" s="456">
        <f>INPUT!BE637</f>
        <v>480.1</v>
      </c>
      <c r="AG70" s="439">
        <f>INPUT!BF637</f>
        <v>-5.3243936107276681</v>
      </c>
      <c r="AH70" s="449">
        <f>INPUT!BG637</f>
        <v>473.2</v>
      </c>
      <c r="AI70" s="438">
        <f>INPUT!BH637</f>
        <v>-5.4167499500299812</v>
      </c>
      <c r="AJ70" s="449">
        <f>INPUT!BI637</f>
        <v>469.4</v>
      </c>
      <c r="AK70" s="438">
        <f>INPUT!BJ637</f>
        <v>-4.8256285482562902</v>
      </c>
      <c r="AL70" s="449">
        <f>INPUT!BK637</f>
        <v>462</v>
      </c>
      <c r="AM70" s="438">
        <f>INPUT!BL637</f>
        <v>-5.074994863365518</v>
      </c>
      <c r="AN70" s="449">
        <f>INPUT!BM637</f>
        <v>455</v>
      </c>
      <c r="AO70" s="438">
        <f>INPUT!BN637</f>
        <v>-5.2280774838575326</v>
      </c>
      <c r="AP70" s="449">
        <f>INPUT!BO637</f>
        <v>443.4</v>
      </c>
      <c r="AQ70" s="438">
        <f>INPUT!BP637</f>
        <v>-6.2975486052409053</v>
      </c>
      <c r="AR70" s="449">
        <f>INPUT!BQ637</f>
        <v>430.9</v>
      </c>
      <c r="AS70" s="438">
        <f>INPUT!BR637</f>
        <v>-8.2019599488708934</v>
      </c>
      <c r="AT70" s="449">
        <f>INPUT!BS637</f>
        <v>427.6</v>
      </c>
      <c r="AU70" s="438">
        <f>INPUT!BT637</f>
        <v>-7.4458874458874504</v>
      </c>
      <c r="AV70" s="449">
        <f>INPUT!BU637</f>
        <v>424.2</v>
      </c>
      <c r="AW70" s="438">
        <f>INPUT!BV637</f>
        <v>-6.7692307692307736</v>
      </c>
      <c r="AX70" s="449">
        <f>INPUT!BW637</f>
        <v>424.1</v>
      </c>
      <c r="AY70" s="438">
        <f>INPUT!BX637</f>
        <v>-4.352728912945409</v>
      </c>
      <c r="AZ70" s="449">
        <f>INPUT!BY637</f>
        <v>464.7</v>
      </c>
      <c r="BA70" s="438">
        <f>INPUT!BZ637</f>
        <v>7.8440473427709492</v>
      </c>
      <c r="BB70" s="449">
        <f>INPUT!CA637</f>
        <v>467.5</v>
      </c>
      <c r="BC70" s="438">
        <f>INPUT!CB637</f>
        <v>9.3311506080449078</v>
      </c>
      <c r="BD70" s="449">
        <f>INPUT!CC637</f>
        <v>468.8</v>
      </c>
      <c r="BE70" s="438">
        <f>INPUT!CD637</f>
        <v>10.51390853371052</v>
      </c>
      <c r="BF70" s="449">
        <f>INPUT!CE637</f>
        <v>470.8</v>
      </c>
      <c r="BG70" s="438">
        <f>INPUT!CF637</f>
        <v>11.011553878802175</v>
      </c>
      <c r="BH70" s="449">
        <f>INPUT!CG637</f>
        <v>471</v>
      </c>
      <c r="BI70" s="438">
        <f>INPUT!CH637</f>
        <v>1.3557133634602963</v>
      </c>
      <c r="BJ70" s="449">
        <f>INPUT!CI637</f>
        <v>472</v>
      </c>
      <c r="BK70" s="438">
        <f>INPUT!CJ637</f>
        <v>0.96256684491977751</v>
      </c>
      <c r="BL70" s="449">
        <f>INPUT!CK637</f>
        <v>491.7</v>
      </c>
      <c r="BM70" s="438">
        <f>INPUT!CL637</f>
        <v>4.8848122866894244</v>
      </c>
      <c r="BN70" s="449">
        <f>INPUT!CM637</f>
        <v>492.9</v>
      </c>
      <c r="BO70" s="438">
        <f>INPUT!CN637</f>
        <v>4.6941376380628554</v>
      </c>
      <c r="BP70" s="449">
        <f>INPUT!CO637</f>
        <v>493.8</v>
      </c>
      <c r="BQ70" s="438">
        <f>INPUT!CP637</f>
        <v>4.8407643312101953</v>
      </c>
      <c r="BR70" s="449">
        <f>INPUT!CQ637</f>
        <v>478.4</v>
      </c>
      <c r="BS70" s="438">
        <f>INPUT!CR637</f>
        <v>1.3559322033898269</v>
      </c>
      <c r="BT70" s="449">
        <f>INPUT!CS637</f>
        <v>475.1</v>
      </c>
      <c r="BU70" s="438">
        <f>INPUT!CT637</f>
        <v>-3.3760423022168027</v>
      </c>
      <c r="BV70" s="449">
        <f>INPUT!CU637</f>
        <v>473.3</v>
      </c>
      <c r="BW70" s="438">
        <f>INPUT!CV637</f>
        <v>-3.9764658145668363</v>
      </c>
      <c r="BX70" s="449">
        <f>INPUT!CW637</f>
        <v>468.3</v>
      </c>
      <c r="BY70" s="438">
        <f>INPUT!CX637</f>
        <v>-5.1640340218712026</v>
      </c>
      <c r="BZ70" s="449">
        <f>INPUT!CY637</f>
        <v>467</v>
      </c>
      <c r="CA70" s="438">
        <f>INPUT!CZ637</f>
        <v>-2.382943143812696</v>
      </c>
      <c r="CB70" s="449">
        <f>INPUT!DA637</f>
        <v>468.2</v>
      </c>
      <c r="CC70" s="438">
        <f>INPUT!DB637</f>
        <v>-1.4523258261418732</v>
      </c>
      <c r="CD70" s="449">
        <f>INPUT!DC637</f>
        <v>469.5</v>
      </c>
      <c r="CE70" s="438">
        <f>INPUT!DD637</f>
        <v>-0.80287344179167519</v>
      </c>
      <c r="CF70" s="449">
        <f>INPUT!DE637</f>
        <v>469.2</v>
      </c>
      <c r="CG70" s="438">
        <f>INPUT!DF637</f>
        <v>0.19218449711722485</v>
      </c>
      <c r="CH70" s="449">
        <f>INPUT!DG637</f>
        <v>468.5</v>
      </c>
      <c r="CI70" s="438">
        <f>INPUT!DH637</f>
        <v>0.32119914346895939</v>
      </c>
      <c r="CJ70" s="449">
        <f>INPUT!DI637</f>
        <v>468.7</v>
      </c>
      <c r="CK70" s="438">
        <f>INPUT!DJ637</f>
        <v>0.10679196924390055</v>
      </c>
      <c r="CL70" s="449">
        <f>INPUT!DK637</f>
        <v>466.2</v>
      </c>
      <c r="CM70" s="438">
        <f>INPUT!DL637</f>
        <v>-0.7028753993610195</v>
      </c>
      <c r="CN70" s="449">
        <f>INPUT!DM637</f>
        <v>464.7</v>
      </c>
      <c r="CO70" s="438">
        <f>INPUT!DN637</f>
        <v>-0.959079283887462</v>
      </c>
      <c r="CP70" s="449">
        <f>INPUT!DO637</f>
        <v>463.4</v>
      </c>
      <c r="CQ70" s="438">
        <f>INPUT!DP637</f>
        <v>-1.088580576307379</v>
      </c>
      <c r="CR70" s="449">
        <f>INPUT!DQ637</f>
        <v>461.5</v>
      </c>
      <c r="CS70" s="438">
        <f>INPUT!DR637</f>
        <v>-1.5361638574781296</v>
      </c>
      <c r="CT70" s="449">
        <f>INPUT!DS637</f>
        <v>458.5</v>
      </c>
      <c r="CU70" s="438">
        <f>INPUT!DT637</f>
        <v>-1.6516516516516475</v>
      </c>
      <c r="CV70" s="449">
        <f>INPUT!DU637</f>
        <v>457.6</v>
      </c>
      <c r="CW70" s="438">
        <f>INPUT!DV637</f>
        <v>-1.5278674413600157</v>
      </c>
      <c r="CX70" s="449">
        <f>INPUT!DW637</f>
        <v>454.9</v>
      </c>
      <c r="CY70" s="438">
        <f>INPUT!DX637</f>
        <v>-1.8342684505826554</v>
      </c>
      <c r="CZ70" s="449">
        <f>INPUT!DY637</f>
        <v>453.2</v>
      </c>
      <c r="DA70" s="438">
        <f>INPUT!DZ637</f>
        <v>-1.7984832069339092</v>
      </c>
      <c r="DB70" s="449">
        <f>INPUT!EA637</f>
        <v>448</v>
      </c>
      <c r="DC70" s="438">
        <f>INPUT!EB637</f>
        <v>-2.2900763358778704</v>
      </c>
      <c r="DD70" s="449">
        <f>INPUT!EC637</f>
        <v>444</v>
      </c>
      <c r="DE70" s="438">
        <f>INPUT!ED637</f>
        <v>-2.9720279720279734</v>
      </c>
      <c r="DF70" s="449">
        <f>INPUT!EE637</f>
        <v>437.9</v>
      </c>
      <c r="DG70" s="438">
        <f>INPUT!EF637</f>
        <v>-3.7370850736425609</v>
      </c>
      <c r="DH70" s="449">
        <f>INPUT!EG637</f>
        <v>436.2</v>
      </c>
      <c r="DI70" s="438">
        <f>INPUT!EH637</f>
        <v>-3.751103265666373</v>
      </c>
      <c r="DJ70" s="449">
        <f>INPUT!EI637</f>
        <v>435.95</v>
      </c>
      <c r="DK70" s="438">
        <f>INPUT!EJ637</f>
        <v>-2.689732142857153</v>
      </c>
      <c r="DL70" s="449">
        <f>INPUT!EK637</f>
        <v>433.82</v>
      </c>
      <c r="DM70" s="438">
        <f>INPUT!EL637</f>
        <v>-2.2927927927927954</v>
      </c>
      <c r="DN70" s="449">
        <f>INPUT!EM637</f>
        <v>431.74</v>
      </c>
      <c r="DO70" s="438">
        <f>INPUT!EN637</f>
        <v>-1.4067138616122321</v>
      </c>
      <c r="DP70" s="449">
        <f>INPUT!EO637</f>
        <v>435.7</v>
      </c>
      <c r="DQ70" s="438">
        <f>INPUT!EP637</f>
        <v>-0.11462631820265301</v>
      </c>
      <c r="DR70" s="449">
        <f>INPUT!EQ637</f>
        <v>426.49105933394117</v>
      </c>
      <c r="DS70" s="438">
        <f>INPUT!ER637</f>
        <v>-2.1697306264614724</v>
      </c>
      <c r="DT70" s="449">
        <f>INPUT!ES637</f>
        <v>423.20342277650036</v>
      </c>
      <c r="DU70" s="438">
        <f>INPUT!ET637</f>
        <v>-2.4472309306854498</v>
      </c>
      <c r="DV70" s="449">
        <f>INPUT!EU637</f>
        <v>419.95512207595209</v>
      </c>
      <c r="DW70" s="438">
        <f>INPUT!EV637</f>
        <v>-2.7296238300940132</v>
      </c>
      <c r="DX70" s="449">
        <f>INPUT!EW637</f>
        <v>416.74598592433347</v>
      </c>
      <c r="DY70" s="438">
        <f>INPUT!EX637</f>
        <v>-4.3502442220946733</v>
      </c>
      <c r="DZ70" s="449"/>
      <c r="EA70" s="438"/>
      <c r="EB70" s="465">
        <f>INPUT!FI637</f>
        <v>0</v>
      </c>
      <c r="EC70" s="449">
        <f>INPUT!FJ637</f>
        <v>560.79999999999995</v>
      </c>
      <c r="ED70" s="465">
        <f>INPUT!FK637</f>
        <v>-4.1039671682626562</v>
      </c>
      <c r="EE70" s="449">
        <f>INPUT!FL637</f>
        <v>540.79999999999995</v>
      </c>
      <c r="EF70" s="465">
        <f>INPUT!FM637</f>
        <v>-3.5663338088445187</v>
      </c>
      <c r="EG70" s="449">
        <f>INPUT!FN637</f>
        <v>531.5</v>
      </c>
      <c r="EH70" s="465">
        <f>INPUT!FO637</f>
        <v>-1.7196745562130076</v>
      </c>
      <c r="EI70" s="449">
        <f>INPUT!FP637</f>
        <v>507.1</v>
      </c>
      <c r="EJ70" s="438">
        <f>INPUT!FQ637</f>
        <v>-4.5907808090310311</v>
      </c>
      <c r="EK70" s="449">
        <f>INPUT!FR637</f>
        <v>480.1</v>
      </c>
      <c r="EL70" s="438">
        <f>INPUT!FS637</f>
        <v>-5.3243936107276681</v>
      </c>
      <c r="EM70" s="449">
        <f>INPUT!FT637</f>
        <v>455</v>
      </c>
      <c r="EN70" s="438">
        <f>INPUT!FU637</f>
        <v>-5.2280774838575326</v>
      </c>
      <c r="EO70" s="449">
        <f>INPUT!FV637</f>
        <v>424.2</v>
      </c>
      <c r="EP70" s="438">
        <f>INPUT!FW637</f>
        <v>-6.7692307692307736</v>
      </c>
      <c r="EQ70" s="449">
        <f>INPUT!FX637</f>
        <v>468.8</v>
      </c>
      <c r="ER70" s="438">
        <f>INPUT!FY637</f>
        <v>10.51390853371052</v>
      </c>
      <c r="ES70" s="449">
        <f>INPUT!FZ637</f>
        <v>491.7</v>
      </c>
      <c r="ET70" s="438">
        <f>INPUT!GA637</f>
        <v>4.8848122866894244</v>
      </c>
      <c r="EU70" s="449">
        <f>INPUT!GB637</f>
        <v>475.1</v>
      </c>
      <c r="EV70" s="438">
        <f>INPUT!GC637</f>
        <v>-3.3760423022168027</v>
      </c>
      <c r="EW70" s="449">
        <f>INPUT!GD637</f>
        <v>468.2</v>
      </c>
      <c r="EX70" s="438">
        <f>INPUT!GE637</f>
        <v>-1.4523258261418732</v>
      </c>
      <c r="EY70" s="449">
        <f>INPUT!GF637</f>
        <v>468.7</v>
      </c>
      <c r="EZ70" s="438">
        <f>INPUT!GG637</f>
        <v>0.10679196924390055</v>
      </c>
      <c r="FA70" s="449">
        <f>INPUT!GH637</f>
        <v>461.5</v>
      </c>
      <c r="FB70" s="438">
        <f>INPUT!GI637</f>
        <v>-1.5361638574781296</v>
      </c>
      <c r="FC70" s="449">
        <f>INPUT!GJ637</f>
        <v>453.2</v>
      </c>
      <c r="FD70" s="438">
        <f>INPUT!GK637</f>
        <v>-1.7984832069339092</v>
      </c>
      <c r="FE70" s="449">
        <f>INPUT!GL637</f>
        <v>436.2</v>
      </c>
      <c r="FF70" s="438">
        <f>INPUT!GM637</f>
        <v>-3.751103265666373</v>
      </c>
      <c r="FG70" s="449">
        <f>INPUT!GN637</f>
        <v>435.7</v>
      </c>
      <c r="FH70" s="438">
        <f>INPUT!GO637</f>
        <v>-0.11462631820265301</v>
      </c>
      <c r="FI70" s="449">
        <f>INPUT!GP637</f>
        <v>416.74598592433347</v>
      </c>
      <c r="FJ70" s="438">
        <f>INPUT!GQ637</f>
        <v>-4.3502442220946733</v>
      </c>
      <c r="FK70" s="449">
        <f>INPUT!GR637</f>
        <v>404.24488778476524</v>
      </c>
      <c r="FL70" s="438">
        <f>INPUT!GS637</f>
        <v>-2.999692513376246</v>
      </c>
      <c r="FM70" s="449">
        <f>INPUT!GT637</f>
        <v>391.46866336630075</v>
      </c>
      <c r="FN70" s="438">
        <f>INPUT!GU637</f>
        <v>-3.1605160150515133</v>
      </c>
      <c r="FO70" s="449">
        <f>INPUT!GV637</f>
        <v>379.204332518093</v>
      </c>
      <c r="FP70" s="438">
        <f>INPUT!GW637</f>
        <v>-3.1329023229458102</v>
      </c>
      <c r="FQ70" s="449">
        <f>INPUT!GX637</f>
        <v>367.40715270424255</v>
      </c>
      <c r="FR70" s="438">
        <f>INPUT!GY637</f>
        <v>-3.1110350811425889</v>
      </c>
      <c r="FS70" s="806">
        <f>INPUT!GZ637</f>
        <v>-3.3521918120580696</v>
      </c>
    </row>
    <row r="71" spans="1:176" s="529" customFormat="1" ht="12.75" customHeight="1" x14ac:dyDescent="0.2">
      <c r="A71" s="805" t="str">
        <f>INPUT!B636</f>
        <v>Avg Shares Outstanding (FD)</v>
      </c>
      <c r="B71" s="456">
        <f>INPUT!AA636</f>
        <v>556.5</v>
      </c>
      <c r="C71" s="439">
        <f>INPUT!AB636</f>
        <v>-4.8880533242180917</v>
      </c>
      <c r="D71" s="456">
        <f>INPUT!AC636</f>
        <v>549.4</v>
      </c>
      <c r="E71" s="439">
        <f>INPUT!AD636</f>
        <v>-6.1175666438824408</v>
      </c>
      <c r="F71" s="456">
        <f>INPUT!AE636</f>
        <v>545.9</v>
      </c>
      <c r="G71" s="439">
        <f>INPUT!AF636</f>
        <v>-5.357142857142847</v>
      </c>
      <c r="H71" s="456">
        <f>INPUT!AG636</f>
        <v>541.9</v>
      </c>
      <c r="I71" s="439">
        <f>INPUT!AH636</f>
        <v>-4.0884955752212448</v>
      </c>
      <c r="J71" s="456">
        <f>INPUT!AI636</f>
        <v>539.9</v>
      </c>
      <c r="K71" s="439">
        <f>INPUT!AJ636</f>
        <v>-2.9829290206648693</v>
      </c>
      <c r="L71" s="456">
        <f>INPUT!AK636</f>
        <v>532.20000000000005</v>
      </c>
      <c r="M71" s="439">
        <f>INPUT!AL636</f>
        <v>-3.1306880232981342</v>
      </c>
      <c r="N71" s="456">
        <f>INPUT!AM636</f>
        <v>525.70000000000005</v>
      </c>
      <c r="O71" s="439">
        <f>INPUT!AN636</f>
        <v>-3.700311412346565</v>
      </c>
      <c r="P71" s="456">
        <f>INPUT!AO636</f>
        <v>527.29999999999995</v>
      </c>
      <c r="Q71" s="439">
        <f>INPUT!AP636</f>
        <v>-2.6942240265731812</v>
      </c>
      <c r="R71" s="456">
        <f>INPUT!AQ636</f>
        <v>530</v>
      </c>
      <c r="S71" s="439">
        <f>INPUT!AR636</f>
        <v>-1.8336729023893241</v>
      </c>
      <c r="T71" s="456">
        <f>INPUT!AS636</f>
        <v>525.20000000000005</v>
      </c>
      <c r="U71" s="439">
        <f>INPUT!AT636</f>
        <v>-1.3152950018789937</v>
      </c>
      <c r="V71" s="456">
        <f>INPUT!AU636</f>
        <v>518.29999999999995</v>
      </c>
      <c r="W71" s="439">
        <f>INPUT!AV636</f>
        <v>-1.407646946927926</v>
      </c>
      <c r="X71" s="456">
        <f>INPUT!AW636</f>
        <v>510.2</v>
      </c>
      <c r="Y71" s="439">
        <f>INPUT!AX636</f>
        <v>-3.2429357102218859</v>
      </c>
      <c r="Z71" s="456">
        <f>INPUT!AY636</f>
        <v>504.1</v>
      </c>
      <c r="AA71" s="439">
        <f>INPUT!AZ636</f>
        <v>-4.8867924528301785</v>
      </c>
      <c r="AB71" s="456">
        <f>INPUT!BA636</f>
        <v>497.1</v>
      </c>
      <c r="AC71" s="439">
        <f>INPUT!BB636</f>
        <v>-5.3503427265803651</v>
      </c>
      <c r="AD71" s="456">
        <f>INPUT!BC636</f>
        <v>490.5</v>
      </c>
      <c r="AE71" s="439">
        <f>INPUT!BD636</f>
        <v>-5.3636889832143453</v>
      </c>
      <c r="AF71" s="456">
        <f>INPUT!BE636</f>
        <v>482.8</v>
      </c>
      <c r="AG71" s="439">
        <f>INPUT!BF636</f>
        <v>-5.3704429635437094</v>
      </c>
      <c r="AH71" s="449">
        <f>INPUT!BG636</f>
        <v>477</v>
      </c>
      <c r="AI71" s="438">
        <f>INPUT!BH636</f>
        <v>-5.3759174766911428</v>
      </c>
      <c r="AJ71" s="449">
        <f>INPUT!BI636</f>
        <v>472</v>
      </c>
      <c r="AK71" s="438">
        <f>INPUT!BJ636</f>
        <v>-5.0492858579762725</v>
      </c>
      <c r="AL71" s="449">
        <f>INPUT!BK636</f>
        <v>465</v>
      </c>
      <c r="AM71" s="438">
        <f>INPUT!BL636</f>
        <v>-5.1987767584097782</v>
      </c>
      <c r="AN71" s="449">
        <f>INPUT!BM636</f>
        <v>459</v>
      </c>
      <c r="AO71" s="438">
        <f>INPUT!BN636</f>
        <v>-4.9295774647887356</v>
      </c>
      <c r="AP71" s="449">
        <f>INPUT!BO636</f>
        <v>448</v>
      </c>
      <c r="AQ71" s="438">
        <f>INPUT!BP636</f>
        <v>-6.0796645702306051</v>
      </c>
      <c r="AR71" s="449">
        <f>INPUT!BQ636</f>
        <v>438</v>
      </c>
      <c r="AS71" s="438">
        <f>INPUT!BR636</f>
        <v>-7.2033898305084847</v>
      </c>
      <c r="AT71" s="449">
        <f>INPUT!BS636</f>
        <v>430</v>
      </c>
      <c r="AU71" s="438">
        <f>INPUT!BT636</f>
        <v>-7.5268817204301115</v>
      </c>
      <c r="AV71" s="449">
        <f>INPUT!BU636</f>
        <v>423.4</v>
      </c>
      <c r="AW71" s="438">
        <f>INPUT!BV636</f>
        <v>-7.7559912854030557</v>
      </c>
      <c r="AX71" s="449">
        <f>INPUT!BW636</f>
        <v>423.2</v>
      </c>
      <c r="AY71" s="438">
        <f>INPUT!BX636</f>
        <v>-5.5357142857142918</v>
      </c>
      <c r="AZ71" s="449">
        <f>INPUT!BY636</f>
        <v>434.3</v>
      </c>
      <c r="BA71" s="438">
        <f>INPUT!BZ636</f>
        <v>-0.84474885844748826</v>
      </c>
      <c r="BB71" s="449">
        <f>INPUT!CA636</f>
        <v>464.6</v>
      </c>
      <c r="BC71" s="438">
        <f>INPUT!CB636</f>
        <v>8.0465116279069662</v>
      </c>
      <c r="BD71" s="449">
        <f>INPUT!CC636</f>
        <v>470.3</v>
      </c>
      <c r="BE71" s="438">
        <f>INPUT!CD636</f>
        <v>11.076995748700995</v>
      </c>
      <c r="BF71" s="449">
        <f>INPUT!CE636</f>
        <v>471.5</v>
      </c>
      <c r="BG71" s="438">
        <f>INPUT!CF636</f>
        <v>11.41304347826086</v>
      </c>
      <c r="BH71" s="449">
        <f>INPUT!CG636</f>
        <v>473.3</v>
      </c>
      <c r="BI71" s="438">
        <f>INPUT!CH636</f>
        <v>8.9799677642182729</v>
      </c>
      <c r="BJ71" s="449">
        <f>INPUT!CI636</f>
        <v>473.2</v>
      </c>
      <c r="BK71" s="438">
        <f>INPUT!CJ636</f>
        <v>1.851054670684448</v>
      </c>
      <c r="BL71" s="449">
        <f>INPUT!CK636</f>
        <v>483.5</v>
      </c>
      <c r="BM71" s="438">
        <f>INPUT!CL636</f>
        <v>2.8067191154582218</v>
      </c>
      <c r="BN71" s="449">
        <f>INPUT!CM636</f>
        <v>493.9</v>
      </c>
      <c r="BO71" s="438">
        <f>INPUT!CN636</f>
        <v>4.7507953340403049</v>
      </c>
      <c r="BP71" s="449">
        <f>INPUT!CO636</f>
        <v>494.8</v>
      </c>
      <c r="BQ71" s="438">
        <f>INPUT!CP636</f>
        <v>4.5425734206634161</v>
      </c>
      <c r="BR71" s="449">
        <f>INPUT!CQ636</f>
        <v>489.3</v>
      </c>
      <c r="BS71" s="438">
        <f>INPUT!CR636</f>
        <v>3.4023668639053426</v>
      </c>
      <c r="BT71" s="449">
        <f>INPUT!CS636</f>
        <v>477</v>
      </c>
      <c r="BU71" s="438">
        <f>INPUT!CT636</f>
        <v>-1.344364012409514</v>
      </c>
      <c r="BV71" s="449">
        <f>INPUT!CU636</f>
        <v>477.5</v>
      </c>
      <c r="BW71" s="438">
        <f>INPUT!CV636</f>
        <v>-3.3205102247418523</v>
      </c>
      <c r="BX71" s="449">
        <f>INPUT!CW636</f>
        <v>473.5</v>
      </c>
      <c r="BY71" s="438">
        <f>INPUT!CX636</f>
        <v>-4.3047696038803593</v>
      </c>
      <c r="BZ71" s="449">
        <f>INPUT!CY636</f>
        <v>471.8</v>
      </c>
      <c r="CA71" s="438">
        <f>INPUT!CZ636</f>
        <v>-3.5765379113018554</v>
      </c>
      <c r="CB71" s="449">
        <f>INPUT!DA636</f>
        <v>469.9</v>
      </c>
      <c r="CC71" s="438">
        <f>INPUT!DB636</f>
        <v>-1.4884696016771528</v>
      </c>
      <c r="CD71" s="449">
        <f>INPUT!DC636</f>
        <v>471.7</v>
      </c>
      <c r="CE71" s="438">
        <f>INPUT!DD636</f>
        <v>-1.2146596858638787</v>
      </c>
      <c r="CF71" s="449">
        <f>INPUT!DE636</f>
        <v>472.2</v>
      </c>
      <c r="CG71" s="438">
        <f>INPUT!DF636</f>
        <v>-0.27455121436113927</v>
      </c>
      <c r="CH71" s="449">
        <f>INPUT!DG636</f>
        <v>472</v>
      </c>
      <c r="CI71" s="438">
        <f>INPUT!DH636</f>
        <v>4.2390843577777559E-2</v>
      </c>
      <c r="CJ71" s="449">
        <f>INPUT!DI636</f>
        <v>471.2</v>
      </c>
      <c r="CK71" s="438">
        <f>INPUT!DJ636</f>
        <v>0.27665460736328384</v>
      </c>
      <c r="CL71" s="449">
        <f>INPUT!DK636</f>
        <v>472.3</v>
      </c>
      <c r="CM71" s="438">
        <f>INPUT!DL636</f>
        <v>0.12719949120203466</v>
      </c>
      <c r="CN71" s="449">
        <f>INPUT!DM636</f>
        <v>470.8</v>
      </c>
      <c r="CO71" s="438">
        <f>INPUT!DN636</f>
        <v>-0.296484540448958</v>
      </c>
      <c r="CP71" s="449">
        <f>INPUT!DO636</f>
        <v>469</v>
      </c>
      <c r="CQ71" s="438">
        <f>INPUT!DP636</f>
        <v>-0.63559322033897558</v>
      </c>
      <c r="CR71" s="449">
        <f>INPUT!DQ636</f>
        <v>466.9</v>
      </c>
      <c r="CS71" s="438">
        <f>INPUT!DR636</f>
        <v>-0.91256366723260385</v>
      </c>
      <c r="CT71" s="449">
        <f>INPUT!DS636</f>
        <v>465.7</v>
      </c>
      <c r="CU71" s="438">
        <f>INPUT!DT636</f>
        <v>-1.397416896040653</v>
      </c>
      <c r="CV71" s="449">
        <f>INPUT!DU636</f>
        <v>463.5</v>
      </c>
      <c r="CW71" s="438">
        <f>INPUT!DV636</f>
        <v>-1.5505522514868346</v>
      </c>
      <c r="CX71" s="449">
        <f>INPUT!DW636</f>
        <v>462.2</v>
      </c>
      <c r="CY71" s="438">
        <f>INPUT!DX636</f>
        <v>-1.4498933901919031</v>
      </c>
      <c r="CZ71" s="449">
        <f>INPUT!DY636</f>
        <v>459.9</v>
      </c>
      <c r="DA71" s="438">
        <f>INPUT!DZ636</f>
        <v>-1.4992503748125898</v>
      </c>
      <c r="DB71" s="449">
        <f>INPUT!EA636</f>
        <v>457.59999999999997</v>
      </c>
      <c r="DC71" s="438">
        <f>INPUT!EB636</f>
        <v>-1.7393171569680135</v>
      </c>
      <c r="DD71" s="449">
        <f>INPUT!EC636</f>
        <v>449.3</v>
      </c>
      <c r="DE71" s="438">
        <f>INPUT!ED636</f>
        <v>-3.0636461704422828</v>
      </c>
      <c r="DF71" s="449">
        <f>INPUT!EE636</f>
        <v>444.3</v>
      </c>
      <c r="DG71" s="438">
        <f>INPUT!EF636</f>
        <v>-3.8727823453050547</v>
      </c>
      <c r="DH71" s="449">
        <f>INPUT!EG636</f>
        <v>439.8</v>
      </c>
      <c r="DI71" s="438">
        <f>INPUT!EH636</f>
        <v>-4.3705153294194332</v>
      </c>
      <c r="DJ71" s="449">
        <f>INPUT!EI636</f>
        <v>439.1</v>
      </c>
      <c r="DK71" s="438">
        <f>INPUT!EJ636</f>
        <v>-4.0428321678321595</v>
      </c>
      <c r="DL71" s="449">
        <f>INPUT!EK636</f>
        <v>437.24</v>
      </c>
      <c r="DM71" s="438">
        <f>INPUT!EL636</f>
        <v>-2.6841753839305511</v>
      </c>
      <c r="DN71" s="449">
        <f>INPUT!EM636</f>
        <v>435</v>
      </c>
      <c r="DO71" s="438">
        <f>INPUT!EN636</f>
        <v>-2.0931802835921616</v>
      </c>
      <c r="DP71" s="449">
        <f>INPUT!EO636</f>
        <v>432.7</v>
      </c>
      <c r="DQ71" s="438">
        <f>INPUT!EP636</f>
        <v>-1.6143701682583043</v>
      </c>
      <c r="DR71" s="449">
        <f>INPUT!EQ636</f>
        <v>428.55462787721513</v>
      </c>
      <c r="DS71" s="438">
        <f>INPUT!ER636</f>
        <v>-2.4015878211762498</v>
      </c>
      <c r="DT71" s="449">
        <f>INPUT!ES636</f>
        <v>425.24724105522074</v>
      </c>
      <c r="DU71" s="438">
        <f>INPUT!ET636</f>
        <v>-2.7428320704371174</v>
      </c>
      <c r="DV71" s="449">
        <f>INPUT!EU636</f>
        <v>421.9792724262262</v>
      </c>
      <c r="DW71" s="438">
        <f>INPUT!EV636</f>
        <v>-2.9932707066146662</v>
      </c>
      <c r="DX71" s="449">
        <f>INPUT!EW636</f>
        <v>418.75055400014276</v>
      </c>
      <c r="DY71" s="438">
        <f>INPUT!EX636</f>
        <v>-3.2238146521509634</v>
      </c>
      <c r="DZ71" s="449"/>
      <c r="EA71" s="438"/>
      <c r="EB71" s="465">
        <f>INPUT!FI636</f>
        <v>0</v>
      </c>
      <c r="EC71" s="449">
        <f>INPUT!FJ636</f>
        <v>578.02499999999998</v>
      </c>
      <c r="ED71" s="465">
        <f>INPUT!FK636</f>
        <v>-0.95952023988006374</v>
      </c>
      <c r="EE71" s="449">
        <f>INPUT!FL636</f>
        <v>548.42499999999995</v>
      </c>
      <c r="EF71" s="465">
        <f>INPUT!FM636</f>
        <v>-5.1208857748367365</v>
      </c>
      <c r="EG71" s="449">
        <f>INPUT!FN636</f>
        <v>531.27499999999998</v>
      </c>
      <c r="EH71" s="465">
        <f>INPUT!FO636</f>
        <v>-3.1271368008387554</v>
      </c>
      <c r="EI71" s="449">
        <f>INPUT!FP636</f>
        <v>520.92499999999995</v>
      </c>
      <c r="EJ71" s="438">
        <f>INPUT!FQ636</f>
        <v>-1.9481436167709774</v>
      </c>
      <c r="EK71" s="449">
        <f>INPUT!FR636</f>
        <v>493.6</v>
      </c>
      <c r="EL71" s="438">
        <f>INPUT!FS636</f>
        <v>-5.245476796083878</v>
      </c>
      <c r="EM71" s="449">
        <f>INPUT!FT636</f>
        <v>468.25</v>
      </c>
      <c r="EN71" s="438">
        <f>INPUT!FU636</f>
        <v>-5.1357374392220407</v>
      </c>
      <c r="EO71" s="449">
        <f>INPUT!FV636</f>
        <v>433.6</v>
      </c>
      <c r="EP71" s="438">
        <f>INPUT!FW636</f>
        <v>-7.3998932194340625</v>
      </c>
      <c r="EQ71" s="449">
        <f>INPUT!FX636</f>
        <v>448.09999999999997</v>
      </c>
      <c r="ER71" s="438">
        <f>INPUT!FY636</f>
        <v>3.3440959409593916</v>
      </c>
      <c r="ES71" s="449">
        <f>INPUT!FZ636</f>
        <v>475.375</v>
      </c>
      <c r="ET71" s="438">
        <f>INPUT!GA636</f>
        <v>6.0868109796920322</v>
      </c>
      <c r="EU71" s="449">
        <f>INPUT!GB636</f>
        <v>488.75</v>
      </c>
      <c r="EV71" s="438">
        <f>INPUT!GC636</f>
        <v>2.8135682356034835</v>
      </c>
      <c r="EW71" s="449">
        <f>INPUT!GD636</f>
        <v>473.17500000000001</v>
      </c>
      <c r="EX71" s="438">
        <f>INPUT!GE636</f>
        <v>-3.1867007672634315</v>
      </c>
      <c r="EY71" s="449">
        <f>INPUT!GF636</f>
        <v>471.77500000000003</v>
      </c>
      <c r="EZ71" s="438">
        <f>INPUT!GG636</f>
        <v>-0.29587361969673509</v>
      </c>
      <c r="FA71" s="449">
        <f>INPUT!GH636</f>
        <v>467.7</v>
      </c>
      <c r="FB71" s="438">
        <f>INPUT!GI636</f>
        <v>-0.86375920724923105</v>
      </c>
      <c r="FC71" s="449">
        <f>INPUT!GJ636</f>
        <v>462.82499999999999</v>
      </c>
      <c r="FD71" s="438">
        <f>INPUT!GK636</f>
        <v>-1.042334830019243</v>
      </c>
      <c r="FE71" s="449">
        <f>INPUT!GL636</f>
        <v>447.75</v>
      </c>
      <c r="FF71" s="438">
        <f>INPUT!GM636</f>
        <v>-3.2571706368497786</v>
      </c>
      <c r="FG71" s="449">
        <f>INPUT!GN636</f>
        <v>436.01</v>
      </c>
      <c r="FH71" s="438">
        <f>INPUT!GO636</f>
        <v>-2.6219988833054231</v>
      </c>
      <c r="FI71" s="449">
        <f>INPUT!GP636</f>
        <v>423.63292383970122</v>
      </c>
      <c r="FJ71" s="438">
        <f>INPUT!GQ636</f>
        <v>-2.8387138277330308</v>
      </c>
      <c r="FK71" s="449">
        <f>INPUT!GR636</f>
        <v>410.27038194757091</v>
      </c>
      <c r="FL71" s="438">
        <f>INPUT!GS636</f>
        <v>-3.1542736978551318</v>
      </c>
      <c r="FM71" s="449">
        <f>INPUT!GT636</f>
        <v>397.36243986624044</v>
      </c>
      <c r="FN71" s="438">
        <f>INPUT!GU636</f>
        <v>-3.1462037352186911</v>
      </c>
      <c r="FO71" s="449">
        <f>INPUT!GV636</f>
        <v>385.98178455916099</v>
      </c>
      <c r="FP71" s="438">
        <f>INPUT!GW636</f>
        <v>-2.8640490809625589</v>
      </c>
      <c r="FQ71" s="449">
        <f>INPUT!GX636</f>
        <v>373.70574261116775</v>
      </c>
      <c r="FR71" s="438">
        <f>INPUT!GY636</f>
        <v>-3.1804718354815549</v>
      </c>
      <c r="FS71" s="806">
        <f>INPUT!GZ636</f>
        <v>-3.0368614947009931</v>
      </c>
    </row>
    <row r="72" spans="1:176" s="529" customFormat="1" ht="12.75" customHeight="1" x14ac:dyDescent="0.2">
      <c r="A72" s="805"/>
      <c r="B72" s="456"/>
      <c r="C72" s="439"/>
      <c r="D72" s="533"/>
      <c r="E72" s="439"/>
      <c r="F72" s="533"/>
      <c r="G72" s="439"/>
      <c r="H72" s="456"/>
      <c r="I72" s="439"/>
      <c r="J72" s="456"/>
      <c r="K72" s="439"/>
      <c r="L72" s="533"/>
      <c r="M72" s="439"/>
      <c r="N72" s="533"/>
      <c r="O72" s="439"/>
      <c r="P72" s="456"/>
      <c r="Q72" s="439"/>
      <c r="R72" s="456"/>
      <c r="S72" s="439"/>
      <c r="T72" s="456"/>
      <c r="U72" s="439"/>
      <c r="V72" s="456"/>
      <c r="W72" s="439"/>
      <c r="X72" s="456"/>
      <c r="Y72" s="439"/>
      <c r="Z72" s="456"/>
      <c r="AA72" s="439"/>
      <c r="AB72" s="456"/>
      <c r="AC72" s="439"/>
      <c r="AD72" s="456"/>
      <c r="AE72" s="439"/>
      <c r="AF72" s="456"/>
      <c r="AG72" s="439"/>
      <c r="AH72" s="456"/>
      <c r="AI72" s="438"/>
      <c r="AJ72" s="456"/>
      <c r="AK72" s="438"/>
      <c r="AL72" s="456"/>
      <c r="AM72" s="438"/>
      <c r="AN72" s="456"/>
      <c r="AO72" s="438"/>
      <c r="AP72" s="456"/>
      <c r="AQ72" s="438"/>
      <c r="AR72" s="456"/>
      <c r="AS72" s="438"/>
      <c r="AT72" s="456"/>
      <c r="AU72" s="438"/>
      <c r="AV72" s="456"/>
      <c r="AW72" s="438"/>
      <c r="AX72" s="456"/>
      <c r="AY72" s="438"/>
      <c r="AZ72" s="456"/>
      <c r="BA72" s="438"/>
      <c r="BB72" s="456"/>
      <c r="BC72" s="438"/>
      <c r="BD72" s="456"/>
      <c r="BE72" s="438"/>
      <c r="BF72" s="456"/>
      <c r="BG72" s="438"/>
      <c r="BH72" s="456"/>
      <c r="BI72" s="438"/>
      <c r="BJ72" s="456"/>
      <c r="BK72" s="438"/>
      <c r="BL72" s="456"/>
      <c r="BM72" s="438"/>
      <c r="BN72" s="456"/>
      <c r="BO72" s="438"/>
      <c r="BP72" s="456"/>
      <c r="BQ72" s="438"/>
      <c r="BR72" s="456"/>
      <c r="BS72" s="438"/>
      <c r="BT72" s="456"/>
      <c r="BU72" s="438"/>
      <c r="BV72" s="456"/>
      <c r="BW72" s="438"/>
      <c r="BX72" s="456"/>
      <c r="BY72" s="438"/>
      <c r="BZ72" s="456"/>
      <c r="CA72" s="438"/>
      <c r="CB72" s="456"/>
      <c r="CC72" s="438"/>
      <c r="CD72" s="456"/>
      <c r="CE72" s="438"/>
      <c r="CF72" s="456"/>
      <c r="CG72" s="438"/>
      <c r="CH72" s="456"/>
      <c r="CI72" s="438"/>
      <c r="CJ72" s="456"/>
      <c r="CK72" s="438"/>
      <c r="CL72" s="456"/>
      <c r="CM72" s="438"/>
      <c r="CN72" s="456"/>
      <c r="CO72" s="438"/>
      <c r="CP72" s="456"/>
      <c r="CQ72" s="438"/>
      <c r="CR72" s="456"/>
      <c r="CS72" s="438"/>
      <c r="CT72" s="456"/>
      <c r="CU72" s="438"/>
      <c r="CV72" s="456"/>
      <c r="CW72" s="438"/>
      <c r="CX72" s="456"/>
      <c r="CY72" s="438"/>
      <c r="CZ72" s="456"/>
      <c r="DA72" s="438"/>
      <c r="DB72" s="456"/>
      <c r="DC72" s="438"/>
      <c r="DD72" s="456"/>
      <c r="DE72" s="438"/>
      <c r="DF72" s="456"/>
      <c r="DG72" s="438"/>
      <c r="DH72" s="456"/>
      <c r="DI72" s="438"/>
      <c r="DJ72" s="456"/>
      <c r="DK72" s="438"/>
      <c r="DL72" s="456"/>
      <c r="DM72" s="438"/>
      <c r="DN72" s="456"/>
      <c r="DO72" s="438"/>
      <c r="DP72" s="456"/>
      <c r="DQ72" s="438"/>
      <c r="DR72" s="456"/>
      <c r="DS72" s="438"/>
      <c r="DT72" s="456"/>
      <c r="DU72" s="438"/>
      <c r="DV72" s="456"/>
      <c r="DW72" s="438"/>
      <c r="DX72" s="456"/>
      <c r="DY72" s="438"/>
      <c r="DZ72" s="456"/>
      <c r="EA72" s="438"/>
      <c r="EB72" s="439"/>
      <c r="EC72" s="456"/>
      <c r="ED72" s="439"/>
      <c r="EE72" s="456"/>
      <c r="EF72" s="439"/>
      <c r="EG72" s="456"/>
      <c r="EH72" s="439"/>
      <c r="EI72" s="456"/>
      <c r="EJ72" s="438"/>
      <c r="EK72" s="456"/>
      <c r="EL72" s="438"/>
      <c r="EM72" s="456"/>
      <c r="EN72" s="438"/>
      <c r="EO72" s="456"/>
      <c r="EP72" s="438"/>
      <c r="EQ72" s="456"/>
      <c r="ER72" s="438"/>
      <c r="ES72" s="456"/>
      <c r="ET72" s="438"/>
      <c r="EU72" s="456"/>
      <c r="EV72" s="438"/>
      <c r="EW72" s="456"/>
      <c r="EX72" s="438"/>
      <c r="EY72" s="456"/>
      <c r="EZ72" s="438"/>
      <c r="FA72" s="456"/>
      <c r="FB72" s="438"/>
      <c r="FC72" s="456"/>
      <c r="FD72" s="438"/>
      <c r="FE72" s="456"/>
      <c r="FF72" s="438"/>
      <c r="FG72" s="456"/>
      <c r="FH72" s="438"/>
      <c r="FI72" s="456"/>
      <c r="FJ72" s="438"/>
      <c r="FK72" s="456"/>
      <c r="FL72" s="438"/>
      <c r="FM72" s="456"/>
      <c r="FN72" s="438"/>
      <c r="FO72" s="456"/>
      <c r="FP72" s="438"/>
      <c r="FQ72" s="456"/>
      <c r="FR72" s="438"/>
      <c r="FS72" s="806"/>
    </row>
    <row r="73" spans="1:176" s="529" customFormat="1" ht="12.75" customHeight="1" x14ac:dyDescent="0.2">
      <c r="A73" s="809" t="s">
        <v>137</v>
      </c>
      <c r="B73" s="449"/>
      <c r="C73" s="439"/>
      <c r="D73" s="449"/>
      <c r="E73" s="439"/>
      <c r="F73" s="449"/>
      <c r="G73" s="439"/>
      <c r="H73" s="449"/>
      <c r="I73" s="439"/>
      <c r="J73" s="449"/>
      <c r="K73" s="439"/>
      <c r="L73" s="449"/>
      <c r="M73" s="439"/>
      <c r="N73" s="449"/>
      <c r="O73" s="439"/>
      <c r="P73" s="449"/>
      <c r="Q73" s="439"/>
      <c r="R73" s="449"/>
      <c r="S73" s="439"/>
      <c r="T73" s="449"/>
      <c r="U73" s="439"/>
      <c r="V73" s="449"/>
      <c r="W73" s="439"/>
      <c r="X73" s="449"/>
      <c r="Y73" s="439"/>
      <c r="Z73" s="449"/>
      <c r="AA73" s="439"/>
      <c r="AB73" s="449"/>
      <c r="AC73" s="439"/>
      <c r="AD73" s="449"/>
      <c r="AE73" s="439"/>
      <c r="AF73" s="449"/>
      <c r="AG73" s="439"/>
      <c r="AH73" s="449"/>
      <c r="AI73" s="438"/>
      <c r="AJ73" s="449"/>
      <c r="AK73" s="438"/>
      <c r="AL73" s="449"/>
      <c r="AM73" s="438"/>
      <c r="AN73" s="449"/>
      <c r="AO73" s="438"/>
      <c r="AP73" s="449"/>
      <c r="AQ73" s="438"/>
      <c r="AR73" s="449"/>
      <c r="AS73" s="438"/>
      <c r="AT73" s="449"/>
      <c r="AU73" s="438"/>
      <c r="AV73" s="449"/>
      <c r="AW73" s="438"/>
      <c r="AX73" s="449"/>
      <c r="AY73" s="438"/>
      <c r="AZ73" s="449"/>
      <c r="BA73" s="438"/>
      <c r="BB73" s="449"/>
      <c r="BC73" s="438"/>
      <c r="BD73" s="449"/>
      <c r="BE73" s="438"/>
      <c r="BF73" s="449"/>
      <c r="BG73" s="438"/>
      <c r="BH73" s="449"/>
      <c r="BI73" s="438"/>
      <c r="BJ73" s="449"/>
      <c r="BK73" s="438"/>
      <c r="BL73" s="449"/>
      <c r="BM73" s="438"/>
      <c r="BN73" s="449"/>
      <c r="BO73" s="438"/>
      <c r="BP73" s="449"/>
      <c r="BQ73" s="438"/>
      <c r="BR73" s="449"/>
      <c r="BS73" s="438"/>
      <c r="BT73" s="449"/>
      <c r="BU73" s="438"/>
      <c r="BV73" s="449"/>
      <c r="BW73" s="438"/>
      <c r="BX73" s="449"/>
      <c r="BY73" s="438"/>
      <c r="BZ73" s="449"/>
      <c r="CA73" s="438"/>
      <c r="CB73" s="449"/>
      <c r="CC73" s="438"/>
      <c r="CD73" s="449"/>
      <c r="CE73" s="438"/>
      <c r="CF73" s="449"/>
      <c r="CG73" s="438"/>
      <c r="CH73" s="449"/>
      <c r="CI73" s="438"/>
      <c r="CJ73" s="449"/>
      <c r="CK73" s="438"/>
      <c r="CL73" s="449"/>
      <c r="CM73" s="438"/>
      <c r="CN73" s="449"/>
      <c r="CO73" s="438"/>
      <c r="CP73" s="449"/>
      <c r="CQ73" s="438"/>
      <c r="CR73" s="449"/>
      <c r="CS73" s="438"/>
      <c r="CT73" s="449"/>
      <c r="CU73" s="438"/>
      <c r="CV73" s="449"/>
      <c r="CW73" s="438"/>
      <c r="CX73" s="449"/>
      <c r="CY73" s="438"/>
      <c r="CZ73" s="449"/>
      <c r="DA73" s="438"/>
      <c r="DB73" s="449"/>
      <c r="DC73" s="438"/>
      <c r="DD73" s="449"/>
      <c r="DE73" s="438"/>
      <c r="DF73" s="449"/>
      <c r="DG73" s="438"/>
      <c r="DH73" s="449"/>
      <c r="DI73" s="438"/>
      <c r="DJ73" s="449"/>
      <c r="DK73" s="438"/>
      <c r="DL73" s="449"/>
      <c r="DM73" s="438"/>
      <c r="DN73" s="449"/>
      <c r="DO73" s="438"/>
      <c r="DP73" s="449"/>
      <c r="DQ73" s="438"/>
      <c r="DR73" s="449"/>
      <c r="DS73" s="438"/>
      <c r="DT73" s="449"/>
      <c r="DU73" s="438"/>
      <c r="DV73" s="449"/>
      <c r="DW73" s="438"/>
      <c r="DX73" s="449"/>
      <c r="DY73" s="438"/>
      <c r="DZ73" s="449"/>
      <c r="EA73" s="438"/>
      <c r="EB73" s="439"/>
      <c r="EC73" s="449"/>
      <c r="ED73" s="439"/>
      <c r="EE73" s="449"/>
      <c r="EF73" s="439"/>
      <c r="EG73" s="449"/>
      <c r="EH73" s="439"/>
      <c r="EI73" s="449"/>
      <c r="EJ73" s="438"/>
      <c r="EK73" s="449"/>
      <c r="EL73" s="438"/>
      <c r="EM73" s="449"/>
      <c r="EN73" s="438"/>
      <c r="EO73" s="449"/>
      <c r="EP73" s="438"/>
      <c r="EQ73" s="449"/>
      <c r="ER73" s="438"/>
      <c r="ES73" s="449"/>
      <c r="ET73" s="438"/>
      <c r="EU73" s="449"/>
      <c r="EV73" s="438"/>
      <c r="EW73" s="449"/>
      <c r="EX73" s="438"/>
      <c r="EY73" s="449"/>
      <c r="EZ73" s="438"/>
      <c r="FA73" s="449"/>
      <c r="FB73" s="438"/>
      <c r="FC73" s="449"/>
      <c r="FD73" s="438"/>
      <c r="FE73" s="449"/>
      <c r="FF73" s="438"/>
      <c r="FG73" s="449"/>
      <c r="FH73" s="438"/>
      <c r="FI73" s="449"/>
      <c r="FJ73" s="438"/>
      <c r="FK73" s="449"/>
      <c r="FL73" s="438"/>
      <c r="FM73" s="449"/>
      <c r="FN73" s="438"/>
      <c r="FO73" s="449"/>
      <c r="FP73" s="438"/>
      <c r="FQ73" s="449"/>
      <c r="FR73" s="438"/>
      <c r="FS73" s="806"/>
    </row>
    <row r="74" spans="1:176" s="529" customFormat="1" ht="12.75" customHeight="1" x14ac:dyDescent="0.2">
      <c r="A74" s="810" t="str">
        <f>INPUT!B590</f>
        <v>Individual Annuities</v>
      </c>
      <c r="B74" s="456">
        <f>INPUT!AA590</f>
        <v>5.0438596491228065</v>
      </c>
      <c r="C74" s="456">
        <f>INPUT!AB590</f>
        <v>-14.080459770114956</v>
      </c>
      <c r="D74" s="456">
        <f>INPUT!AC590</f>
        <v>11.818181818181818</v>
      </c>
      <c r="E74" s="456" t="str">
        <f>INPUT!AD590</f>
        <v>NM</v>
      </c>
      <c r="F74" s="456">
        <f>INPUT!AE590</f>
        <v>15.028901734104046</v>
      </c>
      <c r="G74" s="456" t="str">
        <f>INPUT!AF590</f>
        <v>NM</v>
      </c>
      <c r="H74" s="456">
        <f>INPUT!AG590</f>
        <v>17.081850533807831</v>
      </c>
      <c r="I74" s="456" t="str">
        <f>INPUT!AH590</f>
        <v>NM</v>
      </c>
      <c r="J74" s="456">
        <f>INPUT!AI590</f>
        <v>17.375886524822697</v>
      </c>
      <c r="K74" s="456" t="str">
        <f>INPUT!AJ590</f>
        <v>NM</v>
      </c>
      <c r="L74" s="456">
        <f>INPUT!AK590</f>
        <v>13.001383125864455</v>
      </c>
      <c r="M74" s="456">
        <f>INPUT!AL590</f>
        <v>10.01170337269923</v>
      </c>
      <c r="N74" s="456">
        <f>INPUT!AM590</f>
        <v>13.48314606741573</v>
      </c>
      <c r="O74" s="456">
        <f>INPUT!AN590</f>
        <v>-10.285220397579948</v>
      </c>
      <c r="P74" s="456">
        <f>INPUT!AO590</f>
        <v>14.490674318507891</v>
      </c>
      <c r="Q74" s="456">
        <f>INPUT!AP590</f>
        <v>-15.169177427068405</v>
      </c>
      <c r="R74" s="456">
        <f>INPUT!AQ590</f>
        <v>11.957950065703022</v>
      </c>
      <c r="S74" s="456">
        <f>INPUT!AR590</f>
        <v>-31.180777172892817</v>
      </c>
      <c r="T74" s="456">
        <f>INPUT!AS590</f>
        <v>11.786600496277917</v>
      </c>
      <c r="U74" s="456">
        <f>INPUT!AT590</f>
        <v>-9.3434876722454021</v>
      </c>
      <c r="V74" s="456">
        <f>INPUT!AU590</f>
        <v>11.87214611872146</v>
      </c>
      <c r="W74" s="456">
        <f>INPUT!AV590</f>
        <v>-11.948249619482496</v>
      </c>
      <c r="X74" s="456">
        <f>INPUT!AW590</f>
        <v>12.021276595744681</v>
      </c>
      <c r="Y74" s="456">
        <f>INPUT!AX590</f>
        <v>-17.041289235306508</v>
      </c>
      <c r="Z74" s="456">
        <f>INPUT!AY590</f>
        <v>12.330198537095088</v>
      </c>
      <c r="AA74" s="456">
        <f>INPUT!AZ590</f>
        <v>3.1129789750479375</v>
      </c>
      <c r="AB74" s="456">
        <f>INPUT!BA590</f>
        <v>12.964930924548353</v>
      </c>
      <c r="AC74" s="456">
        <f>INPUT!BB590</f>
        <v>9.9972034230102196</v>
      </c>
      <c r="AD74" s="456">
        <f>INPUT!BC590</f>
        <v>16.436903499469775</v>
      </c>
      <c r="AE74" s="456">
        <f>INPUT!BD590</f>
        <v>38.449302553226175</v>
      </c>
      <c r="AF74" s="456">
        <f>INPUT!BE590</f>
        <v>15.843621399176955</v>
      </c>
      <c r="AG74" s="456">
        <f>INPUT!BF590</f>
        <v>31.796496594923326</v>
      </c>
      <c r="AH74" s="456">
        <f>INPUT!BG590</f>
        <v>15.815548780487806</v>
      </c>
      <c r="AI74" s="456">
        <f>INPUT!BH590</f>
        <v>28.266781211244336</v>
      </c>
      <c r="AJ74" s="456">
        <f>INPUT!BI590</f>
        <v>16.423357664233578</v>
      </c>
      <c r="AK74" s="456">
        <f>INPUT!BJ590</f>
        <v>26.675242311834396</v>
      </c>
      <c r="AL74" s="456">
        <f>INPUT!BK590</f>
        <v>13.587786259541984</v>
      </c>
      <c r="AM74" s="456">
        <f>INPUT!BL590</f>
        <v>-17.333661659689724</v>
      </c>
      <c r="AN74" s="456">
        <f>INPUT!BM590</f>
        <v>14.906303236797275</v>
      </c>
      <c r="AO74" s="456">
        <f>INPUT!BN590</f>
        <v>-5.9160600898249953</v>
      </c>
      <c r="AP74" s="456">
        <f>INPUT!BO590</f>
        <v>12.208067940552016</v>
      </c>
      <c r="AQ74" s="456">
        <f>INPUT!BP590</f>
        <v>-22.809710178292804</v>
      </c>
      <c r="AR74" s="456">
        <f>INPUT!BQ590</f>
        <v>14.338919925512103</v>
      </c>
      <c r="AS74" s="456">
        <f>INPUT!BR590</f>
        <v>-12.691909786881865</v>
      </c>
      <c r="AT74" s="456">
        <f>INPUT!BS590</f>
        <v>11.458333333333332</v>
      </c>
      <c r="AU74" s="456">
        <f>INPUT!BT590</f>
        <v>-15.671816479400761</v>
      </c>
      <c r="AV74" s="456">
        <f>INPUT!BU590</f>
        <v>16.521739130434781</v>
      </c>
      <c r="AW74" s="456">
        <f>INPUT!BV590</f>
        <v>10.837267080745335</v>
      </c>
      <c r="AX74" s="456">
        <f>INPUT!BW590</f>
        <v>13.539967373572596</v>
      </c>
      <c r="AY74" s="456">
        <f>INPUT!BX590</f>
        <v>10.90999361656857</v>
      </c>
      <c r="AZ74" s="456">
        <f>INPUT!BY590</f>
        <v>10.224089635854341</v>
      </c>
      <c r="BA74" s="456">
        <f>INPUT!BZ590</f>
        <v>-28.696933318782058</v>
      </c>
      <c r="BB74" s="456">
        <f>INPUT!CA590</f>
        <v>28.143712574850298</v>
      </c>
      <c r="BC74" s="456" t="str">
        <f>INPUT!CB590</f>
        <v>NM</v>
      </c>
      <c r="BD74" s="456">
        <f>INPUT!CC590</f>
        <v>17.201166180758019</v>
      </c>
      <c r="BE74" s="456">
        <f>INPUT!CD590</f>
        <v>4.1123216203774859</v>
      </c>
      <c r="BF74" s="456">
        <f>INPUT!CE590</f>
        <v>16.6446499339498</v>
      </c>
      <c r="BG74" s="456">
        <f>INPUT!CF590</f>
        <v>22.92976397001479</v>
      </c>
      <c r="BH74" s="456">
        <f>INPUT!CG590</f>
        <v>17.262638717632552</v>
      </c>
      <c r="BI74" s="456">
        <f>INPUT!CH590</f>
        <v>68.842795128625227</v>
      </c>
      <c r="BJ74" s="456">
        <f>INPUT!CI590</f>
        <v>18.543046357615893</v>
      </c>
      <c r="BK74" s="456">
        <f>INPUT!CJ590</f>
        <v>-34.113005495279694</v>
      </c>
      <c r="BL74" s="456">
        <f>INPUT!CK590</f>
        <v>19.610091743119266</v>
      </c>
      <c r="BM74" s="456">
        <f>INPUT!CL590</f>
        <v>14.004431659150967</v>
      </c>
      <c r="BN74" s="456">
        <f>INPUT!CM590</f>
        <v>22.701905865010001</v>
      </c>
      <c r="BO74" s="456">
        <f>INPUT!CN590</f>
        <v>36.391609046131521</v>
      </c>
      <c r="BP74" s="456">
        <f>INPUT!CO590</f>
        <v>21.900452488687783</v>
      </c>
      <c r="BQ74" s="456">
        <f>INPUT!CP590</f>
        <v>26.86619263089851</v>
      </c>
      <c r="BR74" s="456">
        <f>INPUT!CQ590</f>
        <v>23.296032553407937</v>
      </c>
      <c r="BS74" s="456">
        <f>INPUT!CR590</f>
        <v>25.632175555878533</v>
      </c>
      <c r="BT74" s="456">
        <f>INPUT!CS590</f>
        <v>20.143149284253578</v>
      </c>
      <c r="BU74" s="456">
        <f>INPUT!CT590</f>
        <v>2.7182817302287674</v>
      </c>
      <c r="BV74" s="456">
        <f>INPUT!CU590</f>
        <v>24.245689655172413</v>
      </c>
      <c r="BW74" s="456">
        <f>INPUT!CV590</f>
        <v>6.8002387083359963</v>
      </c>
      <c r="BX74" s="456">
        <f>INPUT!CW590</f>
        <v>20.961887477313976</v>
      </c>
      <c r="BY74" s="456">
        <f>INPUT!CX590</f>
        <v>-4.2855964362316428</v>
      </c>
      <c r="BZ74" s="456">
        <f>INPUT!CY590</f>
        <v>21.482729570345409</v>
      </c>
      <c r="CA74" s="456">
        <f>INPUT!CZ590</f>
        <v>-7.7837416259845611</v>
      </c>
      <c r="CB74" s="456">
        <f>INPUT!DA590</f>
        <v>24.116607773851591</v>
      </c>
      <c r="CC74" s="456">
        <f>INPUT!DB590</f>
        <v>19.726103567649005</v>
      </c>
      <c r="CD74" s="456">
        <f>INPUT!DC590</f>
        <v>22.59475218658892</v>
      </c>
      <c r="CE74" s="456">
        <f>INPUT!DD590</f>
        <v>-6.809199870424365</v>
      </c>
      <c r="CF74" s="456">
        <f>INPUT!DE590</f>
        <v>23.705324580598102</v>
      </c>
      <c r="CG74" s="456">
        <f>INPUT!DF590</f>
        <v>13.087738908307827</v>
      </c>
      <c r="CH74" s="456">
        <f>INPUT!DG590</f>
        <v>24.422442244224424</v>
      </c>
      <c r="CI74" s="456">
        <f>INPUT!DH590</f>
        <v>13.684074289781933</v>
      </c>
      <c r="CJ74" s="456">
        <f>INPUT!DI590</f>
        <v>26.069246435845212</v>
      </c>
      <c r="CK74" s="456">
        <f>INPUT!DJ590</f>
        <v>8.0966555508307039</v>
      </c>
      <c r="CL74" s="456">
        <f>INPUT!DK590</f>
        <v>25.309405940594061</v>
      </c>
      <c r="CM74" s="456">
        <f>INPUT!DL590</f>
        <v>12.014532098371134</v>
      </c>
      <c r="CN74" s="456">
        <f>INPUT!DM590</f>
        <v>24.097859327217126</v>
      </c>
      <c r="CO74" s="456">
        <f>INPUT!DN590</f>
        <v>1.6558927311220941</v>
      </c>
      <c r="CP74" s="456">
        <f>INPUT!DO590</f>
        <v>25.234815278647467</v>
      </c>
      <c r="CQ74" s="456">
        <f>INPUT!DP590</f>
        <v>3.3263382355430053</v>
      </c>
      <c r="CR74" s="456">
        <f>INPUT!DQ590</f>
        <v>26.069518716577537</v>
      </c>
      <c r="CS74" s="456">
        <f>INPUT!DR590</f>
        <v>1.0444518716496987E-3</v>
      </c>
      <c r="CT74" s="456">
        <f>INPUT!DS590</f>
        <v>25.667475728155342</v>
      </c>
      <c r="CU74" s="456">
        <f>INPUT!DT590</f>
        <v>1.4147696251810089</v>
      </c>
      <c r="CV74" s="456">
        <f>INPUT!DU590</f>
        <v>25.824175824175828</v>
      </c>
      <c r="CW74" s="456">
        <f>INPUT!DV590</f>
        <v>7.1637753109834392</v>
      </c>
      <c r="CX74" s="456">
        <f>INPUT!DW590</f>
        <v>26.761473820297351</v>
      </c>
      <c r="CY74" s="456">
        <f>INPUT!DX590</f>
        <v>6.0498106476795499</v>
      </c>
      <c r="CZ74" s="456">
        <f>INPUT!DY590</f>
        <v>31.620243232640249</v>
      </c>
      <c r="DA74" s="456">
        <f>INPUT!DZ590</f>
        <v>21.292009938537987</v>
      </c>
      <c r="DB74" s="456">
        <f>INPUT!EA590</f>
        <v>26.774420238931835</v>
      </c>
      <c r="DC74" s="456">
        <f>INPUT!EB590</f>
        <v>4.3126348788644435</v>
      </c>
      <c r="DD74" s="456">
        <f>INPUT!EC590</f>
        <v>25.134048257372655</v>
      </c>
      <c r="DE74" s="456">
        <f>INPUT!ED590</f>
        <v>-2.6724088757058979</v>
      </c>
      <c r="DF74" s="456">
        <f>INPUT!EE590</f>
        <v>30.901582931865107</v>
      </c>
      <c r="DG74" s="456">
        <f>INPUT!EF590</f>
        <v>15.470407718829279</v>
      </c>
      <c r="DH74" s="456">
        <f>INPUT!EG590</f>
        <v>29.325920778318277</v>
      </c>
      <c r="DI74" s="456">
        <f>INPUT!EH590</f>
        <v>-7.2558659256410749</v>
      </c>
      <c r="DJ74" s="456">
        <f>INPUT!EI590</f>
        <v>27.32150478629352</v>
      </c>
      <c r="DK74" s="456">
        <f>INPUT!EJ590</f>
        <v>2.0433105272852288</v>
      </c>
      <c r="DL74" s="456">
        <f>INPUT!EK590</f>
        <v>28.507795100222715</v>
      </c>
      <c r="DM74" s="456">
        <f>INPUT!EL590</f>
        <v>13.423014105419441</v>
      </c>
      <c r="DN74" s="456">
        <f>INPUT!EM590</f>
        <v>30.472350230414747</v>
      </c>
      <c r="DO74" s="456">
        <f>INPUT!EN590</f>
        <v>-1.3890314369874659</v>
      </c>
      <c r="DP74" s="456">
        <f>INPUT!EO590</f>
        <v>33.482142857142854</v>
      </c>
      <c r="DQ74" s="456">
        <f>INPUT!EP590</f>
        <v>14.172520311442099</v>
      </c>
      <c r="DR74" s="456">
        <f>INPUT!EQ590</f>
        <v>30.742467350833508</v>
      </c>
      <c r="DS74" s="456">
        <f>INPUT!ER590</f>
        <v>12.521135242361154</v>
      </c>
      <c r="DT74" s="456">
        <f>INPUT!ES590</f>
        <v>30.371190503611668</v>
      </c>
      <c r="DU74" s="456">
        <f>INPUT!ET590</f>
        <v>6.53644168845031</v>
      </c>
      <c r="DV74" s="456">
        <f>INPUT!EU590</f>
        <v>30.754144604612137</v>
      </c>
      <c r="DW74" s="456">
        <f>INPUT!EV590</f>
        <v>0.92475431683681109</v>
      </c>
      <c r="DX74" s="456">
        <f>INPUT!EW590</f>
        <v>32.785245897823472</v>
      </c>
      <c r="DY74" s="456">
        <f>INPUT!EX590</f>
        <v>-2.0813989185005539</v>
      </c>
      <c r="DZ74" s="456">
        <f>INPUT!EY590</f>
        <v>0</v>
      </c>
      <c r="EA74" s="438"/>
      <c r="EB74" s="439">
        <f>INPUT!FI590</f>
        <v>-39.466447792477588</v>
      </c>
      <c r="EC74" s="456">
        <f>INPUT!FJ590</f>
        <v>-2.3476802683063163</v>
      </c>
      <c r="ED74" s="439" t="str">
        <f>INPUT!FK590</f>
        <v>NM</v>
      </c>
      <c r="EE74" s="456">
        <f>INPUT!FL590</f>
        <v>12.488083889418494</v>
      </c>
      <c r="EF74" s="439" t="str">
        <f>INPUT!FM590</f>
        <v>NM</v>
      </c>
      <c r="EG74" s="456">
        <f>INPUT!FN590</f>
        <v>14.407407407407408</v>
      </c>
      <c r="EH74" s="439">
        <f>INPUT!FO590</f>
        <v>15.369239468476124</v>
      </c>
      <c r="EI74" s="456">
        <f>INPUT!FP590</f>
        <v>11.849456042340488</v>
      </c>
      <c r="EJ74" s="438">
        <f>INPUT!FQ590</f>
        <v>-17.75441821511744</v>
      </c>
      <c r="EK74" s="456">
        <f>INPUT!FR590</f>
        <v>14.466403162055336</v>
      </c>
      <c r="EL74" s="438">
        <f>INPUT!FS590</f>
        <v>22.084955717494296</v>
      </c>
      <c r="EM74" s="456">
        <f>INPUT!FT590</f>
        <v>15.180471702210832</v>
      </c>
      <c r="EN74" s="438">
        <f>INPUT!FU590</f>
        <v>4.9360475589983679</v>
      </c>
      <c r="EO74" s="456">
        <f>INPUT!FV590</f>
        <v>18.349753694581281</v>
      </c>
      <c r="EP74" s="438">
        <f>INPUT!FW590</f>
        <v>20.877361748310406</v>
      </c>
      <c r="EQ74" s="456">
        <f>INPUT!FX590</f>
        <v>16.594911937377692</v>
      </c>
      <c r="ER74" s="438">
        <f>INPUT!FY590</f>
        <v>-9.5632987036866695</v>
      </c>
      <c r="ES74" s="456">
        <f>INPUT!FZ590</f>
        <v>18.059467918622847</v>
      </c>
      <c r="ET74" s="438">
        <f>INPUT!GA590</f>
        <v>8.8253314435881407</v>
      </c>
      <c r="EU74" s="456">
        <f>INPUT!GB590</f>
        <v>22.003635729760688</v>
      </c>
      <c r="EV74" s="438">
        <f>INPUT!GC590</f>
        <v>21.839889352834319</v>
      </c>
      <c r="EW74" s="456">
        <f>INPUT!GD590</f>
        <v>22.625891009427455</v>
      </c>
      <c r="EX74" s="456">
        <f>INPUT!GE590</f>
        <v>2.8279657385217831</v>
      </c>
      <c r="EY74" s="456">
        <f>INPUT!GF590</f>
        <v>24.23660792182865</v>
      </c>
      <c r="EZ74" s="456">
        <f>INPUT!GG590</f>
        <v>7.1189104187325114</v>
      </c>
      <c r="FA74" s="456">
        <f>INPUT!GH590</f>
        <v>25.15762925598991</v>
      </c>
      <c r="FB74" s="456">
        <f>INPUT!GI590</f>
        <v>3.8001247415969601</v>
      </c>
      <c r="FC74" s="456">
        <f>INPUT!GJ590</f>
        <v>27.228817028243963</v>
      </c>
      <c r="FD74" s="438">
        <f>INPUT!GK590</f>
        <v>8.232841621039924</v>
      </c>
      <c r="FE74" s="456">
        <f>INPUT!GL590</f>
        <v>28.017909419665919</v>
      </c>
      <c r="FF74" s="438">
        <f>INPUT!GM590</f>
        <v>2.8980046786588218</v>
      </c>
      <c r="FG74" s="456">
        <f>INPUT!GN590</f>
        <v>29.88234595925876</v>
      </c>
      <c r="FH74" s="438">
        <f>INPUT!GO590</f>
        <v>6.6544455964447735</v>
      </c>
      <c r="FI74" s="456">
        <f>INPUT!GP590</f>
        <v>31.119801127506292</v>
      </c>
      <c r="FJ74" s="438">
        <f>INPUT!GQ590</f>
        <v>4.1410910975151012</v>
      </c>
      <c r="FK74" s="456">
        <f>INPUT!GR590</f>
        <v>30.249672871015438</v>
      </c>
      <c r="FL74" s="438">
        <f>INPUT!GS590</f>
        <v>-2.7960598235371208</v>
      </c>
      <c r="FM74" s="456">
        <f>INPUT!GT590</f>
        <v>29.504328426567433</v>
      </c>
      <c r="FN74" s="438">
        <f>INPUT!GU590</f>
        <v>-2.4639752225624107</v>
      </c>
      <c r="FO74" s="456">
        <f>INPUT!GV590</f>
        <v>28.79239169810614</v>
      </c>
      <c r="FP74" s="438">
        <f>INPUT!GW590</f>
        <v>-2.4129907929719963</v>
      </c>
      <c r="FQ74" s="456">
        <f>INPUT!GX590</f>
        <v>28.187918103985233</v>
      </c>
      <c r="FR74" s="438">
        <f>INPUT!GY590</f>
        <v>-2.0994212653777851</v>
      </c>
      <c r="FS74" s="806">
        <f>INPUT!GZ590</f>
        <v>-1.1606996943191672</v>
      </c>
    </row>
    <row r="75" spans="1:176" s="529" customFormat="1" ht="12.75" customHeight="1" x14ac:dyDescent="0.2">
      <c r="A75" s="810" t="str">
        <f>INPUT!B591</f>
        <v>Individual Life</v>
      </c>
      <c r="B75" s="456">
        <f>INPUT!AA591</f>
        <v>23.245614035087719</v>
      </c>
      <c r="C75" s="456">
        <f>INPUT!AB591</f>
        <v>-1.8518518518518476</v>
      </c>
      <c r="D75" s="456">
        <f>INPUT!AC591</f>
        <v>20.545454545454543</v>
      </c>
      <c r="E75" s="456">
        <f>INPUT!AD591</f>
        <v>-25.878321678321683</v>
      </c>
      <c r="F75" s="456">
        <f>INPUT!AE591</f>
        <v>14.450867052023122</v>
      </c>
      <c r="G75" s="456">
        <f>INPUT!AF591</f>
        <v>-44.458406634832883</v>
      </c>
      <c r="H75" s="456">
        <f>INPUT!AG591</f>
        <v>11.209964412811388</v>
      </c>
      <c r="I75" s="456">
        <f>INPUT!AH591</f>
        <v>-39.786476868327391</v>
      </c>
      <c r="J75" s="456">
        <f>INPUT!AI591</f>
        <v>15.425531914893616</v>
      </c>
      <c r="K75" s="456">
        <f>INPUT!AJ591</f>
        <v>-33.641107988759529</v>
      </c>
      <c r="L75" s="456">
        <f>INPUT!AK591</f>
        <v>13.55463347164592</v>
      </c>
      <c r="M75" s="456">
        <f>INPUT!AL591</f>
        <v>-34.026120270749942</v>
      </c>
      <c r="N75" s="456">
        <f>INPUT!AM591</f>
        <v>14.185393258426968</v>
      </c>
      <c r="O75" s="456">
        <f>INPUT!AN591</f>
        <v>-1.8370786516853883</v>
      </c>
      <c r="P75" s="456">
        <f>INPUT!AO591</f>
        <v>13.055954088952653</v>
      </c>
      <c r="Q75" s="456">
        <f>INPUT!AP591</f>
        <v>16.46739996811732</v>
      </c>
      <c r="R75" s="456">
        <f>INPUT!AQ591</f>
        <v>11.826544021024969</v>
      </c>
      <c r="S75" s="456">
        <f>INPUT!AR591</f>
        <v>-23.331369794734684</v>
      </c>
      <c r="T75" s="456">
        <f>INPUT!AS591</f>
        <v>12.779156327543426</v>
      </c>
      <c r="U75" s="456">
        <f>INPUT!AT591</f>
        <v>-5.7211221957765588</v>
      </c>
      <c r="V75" s="456">
        <f>INPUT!AU591</f>
        <v>12.214611872146119</v>
      </c>
      <c r="W75" s="456">
        <f>INPUT!AV591</f>
        <v>-13.893033138930349</v>
      </c>
      <c r="X75" s="456">
        <f>INPUT!AW591</f>
        <v>15.106382978723405</v>
      </c>
      <c r="Y75" s="456">
        <f>INPUT!AX591</f>
        <v>15.704933364507838</v>
      </c>
      <c r="Z75" s="456">
        <f>INPUT!AY591</f>
        <v>12.225705329153605</v>
      </c>
      <c r="AA75" s="456">
        <f>INPUT!AZ591</f>
        <v>3.3751306165099209</v>
      </c>
      <c r="AB75" s="456">
        <f>INPUT!BA591</f>
        <v>10.839532412327312</v>
      </c>
      <c r="AC75" s="456">
        <f>INPUT!BB591</f>
        <v>-15.178027919069777</v>
      </c>
      <c r="AD75" s="456">
        <f>INPUT!BC591</f>
        <v>11.876988335100743</v>
      </c>
      <c r="AE75" s="456">
        <f>INPUT!BD591</f>
        <v>-2.7640954995490574</v>
      </c>
      <c r="AF75" s="456">
        <f>INPUT!BE591</f>
        <v>13.580246913580247</v>
      </c>
      <c r="AG75" s="456">
        <f>INPUT!BF591</f>
        <v>-10.102590853764568</v>
      </c>
      <c r="AH75" s="456">
        <f>INPUT!BG591</f>
        <v>9.6227134146341466</v>
      </c>
      <c r="AI75" s="456">
        <f>INPUT!BH591</f>
        <v>-21.291138993120697</v>
      </c>
      <c r="AJ75" s="456">
        <f>INPUT!BI591</f>
        <v>12.864963503649635</v>
      </c>
      <c r="AK75" s="456">
        <f>INPUT!BJ591</f>
        <v>18.685594675826536</v>
      </c>
      <c r="AL75" s="456">
        <f>INPUT!BK591</f>
        <v>13.435114503816795</v>
      </c>
      <c r="AM75" s="456">
        <f>INPUT!BL591</f>
        <v>13.118865866957478</v>
      </c>
      <c r="AN75" s="456">
        <f>INPUT!BM591</f>
        <v>11.328790459965928</v>
      </c>
      <c r="AO75" s="456">
        <f>INPUT!BN591</f>
        <v>-16.578906612978159</v>
      </c>
      <c r="AP75" s="456">
        <f>INPUT!BO591</f>
        <v>10.191082802547772</v>
      </c>
      <c r="AQ75" s="456">
        <f>INPUT!BP591</f>
        <v>5.9065396985558607</v>
      </c>
      <c r="AR75" s="456">
        <f>INPUT!BQ591</f>
        <v>9.5903165735567963</v>
      </c>
      <c r="AS75" s="456">
        <f>INPUT!BR591</f>
        <v>-25.453993158735827</v>
      </c>
      <c r="AT75" s="456">
        <f>INPUT!BS591</f>
        <v>11.041666666666666</v>
      </c>
      <c r="AU75" s="456">
        <f>INPUT!BT591</f>
        <v>-17.814867424242436</v>
      </c>
      <c r="AV75" s="456">
        <f>INPUT!BU591</f>
        <v>1.5652173913043479</v>
      </c>
      <c r="AW75" s="456" t="str">
        <f>INPUT!BV591</f>
        <v>NM</v>
      </c>
      <c r="AX75" s="456">
        <f>INPUT!BW591</f>
        <v>11.745513866231647</v>
      </c>
      <c r="AY75" s="456">
        <f>INPUT!BX591</f>
        <v>15.252854812398027</v>
      </c>
      <c r="AZ75" s="456">
        <f>INPUT!BY591</f>
        <v>16.106442577030812</v>
      </c>
      <c r="BA75" s="456">
        <f>INPUT!BZ591</f>
        <v>67.944847842049427</v>
      </c>
      <c r="BB75" s="456">
        <f>INPUT!CA591</f>
        <v>12.81437125748503</v>
      </c>
      <c r="BC75" s="456">
        <f>INPUT!CB591</f>
        <v>16.05468308665688</v>
      </c>
      <c r="BD75" s="456">
        <f>INPUT!CC591</f>
        <v>20.55393586005831</v>
      </c>
      <c r="BE75" s="456" t="str">
        <f>INPUT!CD591</f>
        <v>NM</v>
      </c>
      <c r="BF75" s="456">
        <f>INPUT!CE591</f>
        <v>11.360634081902246</v>
      </c>
      <c r="BG75" s="456">
        <f>INPUT!CF591</f>
        <v>-3.2768237193600385</v>
      </c>
      <c r="BH75" s="456">
        <f>INPUT!CG591</f>
        <v>16.892725030826142</v>
      </c>
      <c r="BI75" s="456">
        <f>INPUT!CH591</f>
        <v>4.8817884522597126</v>
      </c>
      <c r="BJ75" s="456">
        <f>INPUT!CI591</f>
        <v>13.90728476821192</v>
      </c>
      <c r="BK75" s="456">
        <f>INPUT!CJ591</f>
        <v>8.5288110416537677</v>
      </c>
      <c r="BL75" s="456">
        <f>INPUT!CK591</f>
        <v>15.137614678899084</v>
      </c>
      <c r="BM75" s="456">
        <f>INPUT!CL591</f>
        <v>-26.351747023228583</v>
      </c>
      <c r="BN75" s="456">
        <f>INPUT!CM591</f>
        <v>10.319048120459092</v>
      </c>
      <c r="BO75" s="456">
        <f>INPUT!CN591</f>
        <v>-9.1683787536333483</v>
      </c>
      <c r="BP75" s="456">
        <f>INPUT!CO591</f>
        <v>12.217194570135746</v>
      </c>
      <c r="BQ75" s="456">
        <f>INPUT!CP591</f>
        <v>-27.677775208904464</v>
      </c>
      <c r="BR75" s="456">
        <f>INPUT!CQ591</f>
        <v>8.5452695829094605</v>
      </c>
      <c r="BS75" s="456">
        <f>INPUT!CR591</f>
        <v>-38.555442522889116</v>
      </c>
      <c r="BT75" s="456">
        <f>INPUT!CS591</f>
        <v>13.0879345603272</v>
      </c>
      <c r="BU75" s="456">
        <f>INPUT!CT591</f>
        <v>-13.540311086323356</v>
      </c>
      <c r="BV75" s="456">
        <f>INPUT!CU591</f>
        <v>12.068965517241379</v>
      </c>
      <c r="BW75" s="456">
        <f>INPUT!CV591</f>
        <v>16.958128078817737</v>
      </c>
      <c r="BX75" s="456">
        <f>INPUT!CW591</f>
        <v>5.5353901996370229</v>
      </c>
      <c r="BY75" s="456" t="str">
        <f>INPUT!CX591</f>
        <v>NM</v>
      </c>
      <c r="BZ75" s="456">
        <f>INPUT!CY591</f>
        <v>11.710193765796124</v>
      </c>
      <c r="CA75" s="456">
        <f>INPUT!CZ591</f>
        <v>37.037148473542743</v>
      </c>
      <c r="CB75" s="456">
        <f>INPUT!DA591</f>
        <v>10.070671378091872</v>
      </c>
      <c r="CC75" s="456">
        <f>INPUT!DB591</f>
        <v>-23.053776501766805</v>
      </c>
      <c r="CD75" s="456">
        <f>INPUT!DC591</f>
        <v>10.568513119533527</v>
      </c>
      <c r="CE75" s="456">
        <f>INPUT!DD591</f>
        <v>-12.432319866722196</v>
      </c>
      <c r="CF75" s="456">
        <f>INPUT!DE591</f>
        <v>11.086797957695113</v>
      </c>
      <c r="CG75" s="456" t="str">
        <f>INPUT!DF591</f>
        <v>NM</v>
      </c>
      <c r="CH75" s="456">
        <f>INPUT!DG591</f>
        <v>9.5709570957095718</v>
      </c>
      <c r="CI75" s="456">
        <f>INPUT!DH591</f>
        <v>-18.268157751026891</v>
      </c>
      <c r="CJ75" s="456">
        <f>INPUT!DI591</f>
        <v>11.201629327902241</v>
      </c>
      <c r="CK75" s="456">
        <f>INPUT!DJ591</f>
        <v>11.230214027941557</v>
      </c>
      <c r="CL75" s="456">
        <f>INPUT!DK591</f>
        <v>8.2301980198019802</v>
      </c>
      <c r="CM75" s="456">
        <f>INPUT!DL591</f>
        <v>-22.125298736770233</v>
      </c>
      <c r="CN75" s="456">
        <f>INPUT!DM591</f>
        <v>10.152905198776759</v>
      </c>
      <c r="CO75" s="456">
        <f>INPUT!DN591</f>
        <v>-8.423466924191203</v>
      </c>
      <c r="CP75" s="456">
        <f>INPUT!DO591</f>
        <v>10.519724483406387</v>
      </c>
      <c r="CQ75" s="456">
        <f>INPUT!DP591</f>
        <v>9.9129833955908566</v>
      </c>
      <c r="CR75" s="456">
        <f>INPUT!DQ591</f>
        <v>9.0240641711229941</v>
      </c>
      <c r="CS75" s="456">
        <f>INPUT!DR591</f>
        <v>-19.439718035974735</v>
      </c>
      <c r="CT75" s="456">
        <f>INPUT!DS591</f>
        <v>7.5849514563106792</v>
      </c>
      <c r="CU75" s="456">
        <f>INPUT!DT591</f>
        <v>-7.8399883203153564</v>
      </c>
      <c r="CV75" s="456">
        <f>INPUT!DU591</f>
        <v>10.805860805860807</v>
      </c>
      <c r="CW75" s="456">
        <f>INPUT!DV591</f>
        <v>6.4312193830266153</v>
      </c>
      <c r="CX75" s="456">
        <f>INPUT!DW591</f>
        <v>11.829347123464769</v>
      </c>
      <c r="CY75" s="456">
        <f>INPUT!DX591</f>
        <v>12.449210453412121</v>
      </c>
      <c r="CZ75" s="456">
        <f>INPUT!DY591</f>
        <v>9.3369948999607679</v>
      </c>
      <c r="DA75" s="456">
        <f>INPUT!DZ591</f>
        <v>3.4677360766022929</v>
      </c>
      <c r="DB75" s="456">
        <f>INPUT!EA591</f>
        <v>11.595221363316936</v>
      </c>
      <c r="DC75" s="456">
        <f>INPUT!EB591</f>
        <v>52.8713984539705</v>
      </c>
      <c r="DD75" s="456">
        <f>INPUT!EC591</f>
        <v>8.713136729222521</v>
      </c>
      <c r="DE75" s="456">
        <f>INPUT!ED591</f>
        <v>-19.36656518380515</v>
      </c>
      <c r="DF75" s="456">
        <f>INPUT!EE591</f>
        <v>7.6393668272539568</v>
      </c>
      <c r="DG75" s="456">
        <f>INPUT!EF591</f>
        <v>-35.420215946656427</v>
      </c>
      <c r="DH75" s="456">
        <f>INPUT!EG591</f>
        <v>9.5899930507296745</v>
      </c>
      <c r="DI75" s="456">
        <f>INPUT!EH591</f>
        <v>2.7096314550837803</v>
      </c>
      <c r="DJ75" s="456">
        <f>INPUT!EI591</f>
        <v>7.1946832510212788</v>
      </c>
      <c r="DK75" s="456">
        <f>INPUT!EJ591</f>
        <v>-37.951307477555886</v>
      </c>
      <c r="DL75" s="456">
        <f>INPUT!EK591</f>
        <v>5.3452115812917596</v>
      </c>
      <c r="DM75" s="456">
        <f>INPUT!EL591</f>
        <v>-38.653417851636121</v>
      </c>
      <c r="DN75" s="456">
        <f>INPUT!EM591</f>
        <v>8.6405529953917046</v>
      </c>
      <c r="DO75" s="456">
        <f>INPUT!EN591</f>
        <v>13.105617137875214</v>
      </c>
      <c r="DP75" s="456">
        <f>INPUT!EO591</f>
        <v>6.25</v>
      </c>
      <c r="DQ75" s="456">
        <f>INPUT!EP591</f>
        <v>-34.82789855072464</v>
      </c>
      <c r="DR75" s="456">
        <f>INPUT!EQ591</f>
        <v>5.5703564015694402</v>
      </c>
      <c r="DS75" s="456">
        <f>INPUT!ER591</f>
        <v>-22.576766659203045</v>
      </c>
      <c r="DT75" s="456">
        <f>INPUT!ES591</f>
        <v>6.5971073939001048</v>
      </c>
      <c r="DU75" s="456">
        <f>INPUT!ET591</f>
        <v>23.42088416088113</v>
      </c>
      <c r="DV75" s="456">
        <f>INPUT!EU591</f>
        <v>6.6794629694865906</v>
      </c>
      <c r="DW75" s="456">
        <f>INPUT!EV591</f>
        <v>-22.696348566475194</v>
      </c>
      <c r="DX75" s="456">
        <f>INPUT!EW591</f>
        <v>7.3416845376653734</v>
      </c>
      <c r="DY75" s="456">
        <f>INPUT!EX591</f>
        <v>17.466952602645975</v>
      </c>
      <c r="DZ75" s="456">
        <f>INPUT!EY591</f>
        <v>0</v>
      </c>
      <c r="EA75" s="438"/>
      <c r="EB75" s="439" t="str">
        <f>INPUT!FI594</f>
        <v>NM</v>
      </c>
      <c r="EC75" s="456">
        <f>INPUT!FJ594</f>
        <v>8.3286752375628836</v>
      </c>
      <c r="ED75" s="439">
        <f>INPUT!FK594</f>
        <v>13.131171976895843</v>
      </c>
      <c r="EE75" s="456">
        <f>INPUT!FL594</f>
        <v>9.1515729265967583</v>
      </c>
      <c r="EF75" s="439">
        <f>INPUT!FM594</f>
        <v>9.8802950716885931</v>
      </c>
      <c r="EG75" s="456">
        <f>INPUT!FN594</f>
        <v>12.37037037037037</v>
      </c>
      <c r="EH75" s="439">
        <f>INPUT!FO594</f>
        <v>35.172067901234584</v>
      </c>
      <c r="EI75" s="456">
        <f>INPUT!FP594</f>
        <v>12.084680976183476</v>
      </c>
      <c r="EJ75" s="438">
        <f>INPUT!FQ594</f>
        <v>-2.3094651625886655</v>
      </c>
      <c r="EK75" s="456">
        <f>INPUT!FR594</f>
        <v>12.938076416337285</v>
      </c>
      <c r="EL75" s="438">
        <f>INPUT!FS594</f>
        <v>7.0617953575744679</v>
      </c>
      <c r="EM75" s="456">
        <f>INPUT!FT594</f>
        <v>12.791556269817139</v>
      </c>
      <c r="EN75" s="438">
        <f>INPUT!FU594</f>
        <v>-1.1324724155681309</v>
      </c>
      <c r="EO75" s="456">
        <f>INPUT!FV594</f>
        <v>15.086206896551724</v>
      </c>
      <c r="EP75" s="438">
        <f>INPUT!FW594</f>
        <v>17.938791639833738</v>
      </c>
      <c r="EQ75" s="456">
        <f>INPUT!FX594</f>
        <v>19.217221135029355</v>
      </c>
      <c r="ER75" s="438">
        <f>INPUT!FY594</f>
        <v>27.38272295219457</v>
      </c>
      <c r="ES75" s="456">
        <f>INPUT!FZ594</f>
        <v>18.153364632237874</v>
      </c>
      <c r="ET75" s="438">
        <f>INPUT!GA594</f>
        <v>-5.535953899454654</v>
      </c>
      <c r="EU75" s="456">
        <f>INPUT!GB594</f>
        <v>15.389595836342357</v>
      </c>
      <c r="EV75" s="438">
        <f>INPUT!GC594</f>
        <v>-15.224553970493403</v>
      </c>
      <c r="EW75" s="456">
        <f>INPUT!GD594</f>
        <v>14.417107381007128</v>
      </c>
      <c r="EX75" s="456">
        <f>INPUT!GE591</f>
        <v>-11.606273946483896</v>
      </c>
      <c r="EY75" s="456">
        <f>INPUT!GF591</f>
        <v>10.591519804571629</v>
      </c>
      <c r="EZ75" s="456">
        <f>INPUT!GG591</f>
        <v>8.127980352305201</v>
      </c>
      <c r="FA75" s="456">
        <f>INPUT!GH591</f>
        <v>9.4892812105926865</v>
      </c>
      <c r="FB75" s="456">
        <f>INPUT!GI591</f>
        <v>-10.406802935903329</v>
      </c>
      <c r="FC75" s="456">
        <f>INPUT!GJ591</f>
        <v>9.8894801473598033</v>
      </c>
      <c r="FD75" s="438">
        <f>INPUT!GK591</f>
        <v>4.2173788286554696</v>
      </c>
      <c r="FE75" s="456">
        <f>INPUT!GL591</f>
        <v>9.3680041329429997</v>
      </c>
      <c r="FF75" s="438">
        <f>INPUT!GM591</f>
        <v>-5.2730376788917681</v>
      </c>
      <c r="FG75" s="456">
        <f>INPUT!GN591</f>
        <v>6.8544977077491422</v>
      </c>
      <c r="FH75" s="438">
        <f>INPUT!GO591</f>
        <v>-26.830757005699866</v>
      </c>
      <c r="FI75" s="456">
        <f>INPUT!GP591</f>
        <v>6.5259783341113948</v>
      </c>
      <c r="FJ75" s="438">
        <f>INPUT!GQ591</f>
        <v>-4.7927563425449762</v>
      </c>
      <c r="FK75" s="456">
        <f>INPUT!GR591</f>
        <v>6.392309154840917</v>
      </c>
      <c r="FL75" s="438">
        <f>INPUT!GS591</f>
        <v>-2.0482626883970312</v>
      </c>
      <c r="FM75" s="456">
        <f>INPUT!GT591</f>
        <v>6.2551139490842438</v>
      </c>
      <c r="FN75" s="438">
        <f>INPUT!GU591</f>
        <v>-2.1462542319746092</v>
      </c>
      <c r="FO75" s="456">
        <f>INPUT!GV591</f>
        <v>6.1936547973355935</v>
      </c>
      <c r="FP75" s="438">
        <f>INPUT!GW591</f>
        <v>-0.98254248042351833</v>
      </c>
      <c r="FQ75" s="456">
        <f>INPUT!GX591</f>
        <v>6.1311303582491892</v>
      </c>
      <c r="FR75" s="438">
        <f>INPUT!GY591</f>
        <v>-1.0094918288520205</v>
      </c>
      <c r="FS75" s="806">
        <f>INPUT!GZ591</f>
        <v>-2.205825988327903</v>
      </c>
    </row>
    <row r="76" spans="1:176" s="529" customFormat="1" ht="12.75" customHeight="1" x14ac:dyDescent="0.2">
      <c r="A76" s="811" t="str">
        <f>INPUT!B592</f>
        <v>US Individual Solutions Division</v>
      </c>
      <c r="B76" s="456">
        <f>INPUT!AA592</f>
        <v>28.289473684210524</v>
      </c>
      <c r="C76" s="456">
        <f>INPUT!AB592</f>
        <v>-4.2808219178082254</v>
      </c>
      <c r="D76" s="456">
        <f>INPUT!AC592</f>
        <v>32.36363636363636</v>
      </c>
      <c r="E76" s="456">
        <f>INPUT!AD592</f>
        <v>34.323411102172145</v>
      </c>
      <c r="F76" s="456">
        <f>INPUT!AE592</f>
        <v>29.47976878612717</v>
      </c>
      <c r="G76" s="456" t="str">
        <f>INPUT!AF592</f>
        <v>NM</v>
      </c>
      <c r="H76" s="456">
        <f>INPUT!AG592</f>
        <v>28.291814946619215</v>
      </c>
      <c r="I76" s="456">
        <f>INPUT!AH592</f>
        <v>25.149675528574406</v>
      </c>
      <c r="J76" s="456">
        <f>INPUT!AI592</f>
        <v>32.801418439716315</v>
      </c>
      <c r="K76" s="456">
        <f>INPUT!AJ592</f>
        <v>15.949200065973955</v>
      </c>
      <c r="L76" s="456">
        <f>INPUT!AK592</f>
        <v>26.556016597510375</v>
      </c>
      <c r="M76" s="456">
        <f>INPUT!AL592</f>
        <v>-17.944892535782543</v>
      </c>
      <c r="N76" s="456">
        <f>INPUT!AM592</f>
        <v>27.668539325842694</v>
      </c>
      <c r="O76" s="456">
        <f>INPUT!AN592</f>
        <v>-6.1439744437100927</v>
      </c>
      <c r="P76" s="456">
        <f>INPUT!AO592</f>
        <v>27.546628407460545</v>
      </c>
      <c r="Q76" s="456">
        <f>INPUT!AP592</f>
        <v>-2.6339297799193133</v>
      </c>
      <c r="R76" s="456">
        <f>INPUT!AQ592</f>
        <v>23.784494086727989</v>
      </c>
      <c r="S76" s="456">
        <f>INPUT!AR592</f>
        <v>-27.489434243704949</v>
      </c>
      <c r="T76" s="456">
        <f>INPUT!AS592</f>
        <v>24.565756823821339</v>
      </c>
      <c r="U76" s="456">
        <f>INPUT!AT592</f>
        <v>-7.4945719602977761</v>
      </c>
      <c r="V76" s="456">
        <f>INPUT!AU592</f>
        <v>24.086757990867579</v>
      </c>
      <c r="W76" s="456">
        <f>INPUT!AV592</f>
        <v>-12.94532137310803</v>
      </c>
      <c r="X76" s="456">
        <f>INPUT!AW592</f>
        <v>27.127659574468083</v>
      </c>
      <c r="Y76" s="456">
        <f>INPUT!AX592</f>
        <v>-1.5209441489361808</v>
      </c>
      <c r="Z76" s="456">
        <f>INPUT!AY592</f>
        <v>24.555903866248695</v>
      </c>
      <c r="AA76" s="456">
        <f>INPUT!AZ592</f>
        <v>3.2433306199737899</v>
      </c>
      <c r="AB76" s="456">
        <f>INPUT!BA592</f>
        <v>23.804463336875664</v>
      </c>
      <c r="AC76" s="456">
        <f>INPUT!BB592</f>
        <v>-3.099002780193004</v>
      </c>
      <c r="AD76" s="456">
        <f>INPUT!BC592</f>
        <v>28.313891834570519</v>
      </c>
      <c r="AE76" s="456">
        <f>INPUT!BD592</f>
        <v>17.549617284757232</v>
      </c>
      <c r="AF76" s="456">
        <f>INPUT!BE592</f>
        <v>29.4238683127572</v>
      </c>
      <c r="AG76" s="456">
        <f>INPUT!BF592</f>
        <v>8.4644557411442065</v>
      </c>
      <c r="AH76" s="456">
        <f>INPUT!BG592</f>
        <v>25.438262195121951</v>
      </c>
      <c r="AI76" s="456">
        <f>INPUT!BH592</f>
        <v>3.5932634924753586</v>
      </c>
      <c r="AJ76" s="456">
        <f>INPUT!BI592</f>
        <v>29.288321167883215</v>
      </c>
      <c r="AK76" s="456">
        <f>INPUT!BJ592</f>
        <v>23.037099191866545</v>
      </c>
      <c r="AL76" s="456">
        <f>INPUT!BK592</f>
        <v>27.022900763358777</v>
      </c>
      <c r="AM76" s="456">
        <f>INPUT!BL592</f>
        <v>-4.5595677159276136</v>
      </c>
      <c r="AN76" s="456">
        <f>INPUT!BM592</f>
        <v>26.235093696763201</v>
      </c>
      <c r="AO76" s="456">
        <f>INPUT!BN592</f>
        <v>-10.837373869741839</v>
      </c>
      <c r="AP76" s="456">
        <f>INPUT!BO592</f>
        <v>22.399150743099788</v>
      </c>
      <c r="AQ76" s="456">
        <f>INPUT!BP592</f>
        <v>-11.947008914016706</v>
      </c>
      <c r="AR76" s="456">
        <f>INPUT!BQ592</f>
        <v>23.929236499068899</v>
      </c>
      <c r="AS76" s="456">
        <f>INPUT!BR592</f>
        <v>-18.297684725920533</v>
      </c>
      <c r="AT76" s="456">
        <f>INPUT!BS592</f>
        <v>22.5</v>
      </c>
      <c r="AU76" s="456">
        <f>INPUT!BT592</f>
        <v>-16.737288135593218</v>
      </c>
      <c r="AV76" s="456">
        <f>INPUT!BU592</f>
        <v>18.086956521739133</v>
      </c>
      <c r="AW76" s="456">
        <f>INPUT!BV592</f>
        <v>-31.058159232072256</v>
      </c>
      <c r="AX76" s="456">
        <f>INPUT!BW592</f>
        <v>25.285481239804241</v>
      </c>
      <c r="AY76" s="456">
        <f>INPUT!BX592</f>
        <v>12.88589254926822</v>
      </c>
      <c r="AZ76" s="456">
        <f>INPUT!BY592</f>
        <v>26.330532212885156</v>
      </c>
      <c r="BA76" s="456">
        <f>INPUT!BZ592</f>
        <v>10.034986757348861</v>
      </c>
      <c r="BB76" s="456">
        <f>INPUT!CA592</f>
        <v>40.958083832335326</v>
      </c>
      <c r="BC76" s="456">
        <f>INPUT!CB592</f>
        <v>82.035928143712567</v>
      </c>
      <c r="BD76" s="456">
        <f>INPUT!CC592</f>
        <v>37.755102040816325</v>
      </c>
      <c r="BE76" s="456" t="str">
        <f>INPUT!CD592</f>
        <v>NM</v>
      </c>
      <c r="BF76" s="456">
        <f>INPUT!CE592</f>
        <v>28.005284015852048</v>
      </c>
      <c r="BG76" s="456">
        <f>INPUT!CF592</f>
        <v>10.756381301401973</v>
      </c>
      <c r="BH76" s="456">
        <f>INPUT!CG592</f>
        <v>34.155363748458697</v>
      </c>
      <c r="BI76" s="456">
        <f>INPUT!CH592</f>
        <v>29.717711257444194</v>
      </c>
      <c r="BJ76" s="456">
        <f>INPUT!CI592</f>
        <v>32.450331125827816</v>
      </c>
      <c r="BK76" s="456">
        <f>INPUT!CJ592</f>
        <v>-20.7718523682274</v>
      </c>
      <c r="BL76" s="456">
        <f>INPUT!CK592</f>
        <v>34.747706422018346</v>
      </c>
      <c r="BM76" s="456">
        <f>INPUT!CL592</f>
        <v>-7.9655343416811348</v>
      </c>
      <c r="BN76" s="456">
        <f>INPUT!CM592</f>
        <v>33.020953985469099</v>
      </c>
      <c r="BO76" s="456">
        <f>INPUT!CN592</f>
        <v>17.909727202830709</v>
      </c>
      <c r="BP76" s="456">
        <f>INPUT!CO592</f>
        <v>34.117647058823529</v>
      </c>
      <c r="BQ76" s="456">
        <f>INPUT!CP592</f>
        <v>-0.11042684221705201</v>
      </c>
      <c r="BR76" s="456">
        <f>INPUT!CQ592</f>
        <v>31.841302136317395</v>
      </c>
      <c r="BS76" s="456">
        <f>INPUT!CR592</f>
        <v>-1.8768036207361831</v>
      </c>
      <c r="BT76" s="456">
        <f>INPUT!CS592</f>
        <v>33.23108384458078</v>
      </c>
      <c r="BU76" s="456">
        <f>INPUT!CT592</f>
        <v>-4.3646695957939272</v>
      </c>
      <c r="BV76" s="456">
        <f>INPUT!CU592</f>
        <v>36.314655172413794</v>
      </c>
      <c r="BW76" s="456">
        <f>INPUT!CV592</f>
        <v>9.9745791366115242</v>
      </c>
      <c r="BX76" s="456">
        <f>INPUT!CW592</f>
        <v>26.497277676950997</v>
      </c>
      <c r="BY76" s="456">
        <f>INPUT!CX592</f>
        <v>-22.335565429626385</v>
      </c>
      <c r="BZ76" s="456">
        <f>INPUT!CY592</f>
        <v>33.192923336141533</v>
      </c>
      <c r="CA76" s="456">
        <f>INPUT!CZ592</f>
        <v>4.2448678575946559</v>
      </c>
      <c r="CB76" s="456">
        <f>INPUT!DA592</f>
        <v>34.187279151943464</v>
      </c>
      <c r="CC76" s="456">
        <f>INPUT!DB592</f>
        <v>2.8774123403098741</v>
      </c>
      <c r="CD76" s="456">
        <f>INPUT!DC592</f>
        <v>33.163265306122447</v>
      </c>
      <c r="CE76" s="456">
        <f>INPUT!DD592</f>
        <v>-8.6780112638527243</v>
      </c>
      <c r="CF76" s="456">
        <f>INPUT!DE592</f>
        <v>34.792122538293221</v>
      </c>
      <c r="CG76" s="456">
        <f>INPUT!DF592</f>
        <v>31.304517250681954</v>
      </c>
      <c r="CH76" s="456">
        <f>INPUT!DG592</f>
        <v>33.993399339933994</v>
      </c>
      <c r="CI76" s="456">
        <f>INPUT!DH592</f>
        <v>2.4115863362986119</v>
      </c>
      <c r="CJ76" s="456">
        <f>INPUT!DI592</f>
        <v>37.270875763747455</v>
      </c>
      <c r="CK76" s="456">
        <f>INPUT!DJ592</f>
        <v>9.019719288274203</v>
      </c>
      <c r="CL76" s="456">
        <f>INPUT!DK592</f>
        <v>33.539603960396043</v>
      </c>
      <c r="CM76" s="456">
        <f>INPUT!DL592</f>
        <v>1.1348057882711373</v>
      </c>
      <c r="CN76" s="456">
        <f>INPUT!DM592</f>
        <v>34.25076452599388</v>
      </c>
      <c r="CO76" s="456">
        <f>INPUT!DN592</f>
        <v>-1.5559786894389873</v>
      </c>
      <c r="CP76" s="456">
        <f>INPUT!DO592</f>
        <v>35.754539762053852</v>
      </c>
      <c r="CQ76" s="456">
        <f>INPUT!DP592</f>
        <v>5.1808305621584054</v>
      </c>
      <c r="CR76" s="456">
        <f>INPUT!DQ592</f>
        <v>35.093582887700535</v>
      </c>
      <c r="CS76" s="456">
        <f>INPUT!DR592</f>
        <v>-5.8418076619619512</v>
      </c>
      <c r="CT76" s="456">
        <f>INPUT!DS592</f>
        <v>33.252427184466022</v>
      </c>
      <c r="CU76" s="456">
        <f>INPUT!DT592</f>
        <v>-0.85623186328950851</v>
      </c>
      <c r="CV76" s="456">
        <f>INPUT!DU592</f>
        <v>36.630036630036628</v>
      </c>
      <c r="CW76" s="456">
        <f>INPUT!DV592</f>
        <v>6.9466248037676621</v>
      </c>
      <c r="CX76" s="456">
        <f>INPUT!DW592</f>
        <v>38.590820943762125</v>
      </c>
      <c r="CY76" s="456">
        <f>INPUT!DX592</f>
        <v>7.9326463173171788</v>
      </c>
      <c r="CZ76" s="456">
        <f>INPUT!DY592</f>
        <v>40.95723813260102</v>
      </c>
      <c r="DA76" s="456">
        <f>INPUT!DZ592</f>
        <v>16.708625231183106</v>
      </c>
      <c r="DB76" s="456">
        <f>INPUT!EA592</f>
        <v>38.36964160224877</v>
      </c>
      <c r="DC76" s="456">
        <f>INPUT!EB592</f>
        <v>15.388995183405044</v>
      </c>
      <c r="DD76" s="456">
        <f>INPUT!EC592</f>
        <v>33.847184986595174</v>
      </c>
      <c r="DE76" s="456">
        <f>INPUT!ED592</f>
        <v>-7.5971849865951668</v>
      </c>
      <c r="DF76" s="456">
        <f>INPUT!EE592</f>
        <v>38.540949759119066</v>
      </c>
      <c r="DG76" s="456">
        <f>INPUT!EF592</f>
        <v>-0.12923069119399599</v>
      </c>
      <c r="DH76" s="456">
        <f>INPUT!EG592</f>
        <v>38.915913829047952</v>
      </c>
      <c r="DI76" s="456">
        <f>INPUT!EH592</f>
        <v>-4.9840379786942179</v>
      </c>
      <c r="DJ76" s="456">
        <f>INPUT!EI592</f>
        <v>34.516188037314798</v>
      </c>
      <c r="DK76" s="456">
        <f>INPUT!EJ592</f>
        <v>-10.042975133518397</v>
      </c>
      <c r="DL76" s="456">
        <f>INPUT!EK592</f>
        <v>33.853006681514472</v>
      </c>
      <c r="DM76" s="456">
        <f>INPUT!EL592</f>
        <v>1.7199938256624137E-2</v>
      </c>
      <c r="DN76" s="456">
        <f>INPUT!EM592</f>
        <v>39.112903225806448</v>
      </c>
      <c r="DO76" s="456">
        <f>INPUT!EN592</f>
        <v>1.4840149769585196</v>
      </c>
      <c r="DP76" s="456">
        <f>INPUT!EO592</f>
        <v>39.732142857142854</v>
      </c>
      <c r="DQ76" s="456">
        <f>INPUT!EP592</f>
        <v>2.0974170918367321</v>
      </c>
      <c r="DR76" s="456">
        <f>INPUT!EQ592</f>
        <v>36.312823752402949</v>
      </c>
      <c r="DS76" s="456">
        <f>INPUT!ER592</f>
        <v>5.2051973791133577</v>
      </c>
      <c r="DT76" s="456">
        <f>INPUT!ES592</f>
        <v>36.968297897511775</v>
      </c>
      <c r="DU76" s="456">
        <f>INPUT!ET592</f>
        <v>9.2024062893604679</v>
      </c>
      <c r="DV76" s="456">
        <f>INPUT!EU592</f>
        <v>37.43360757409873</v>
      </c>
      <c r="DW76" s="456">
        <f>INPUT!EV592</f>
        <v>-4.2934569239537552</v>
      </c>
      <c r="DX76" s="456">
        <f>INPUT!EW592</f>
        <v>40.126930435488852</v>
      </c>
      <c r="DY76" s="456">
        <f>INPUT!EX592</f>
        <v>0.99362266909554364</v>
      </c>
      <c r="DZ76" s="456">
        <f>INPUT!EY592</f>
        <v>0</v>
      </c>
      <c r="EA76" s="438"/>
      <c r="EB76" s="439">
        <f>INPUT!FI597</f>
        <v>0</v>
      </c>
      <c r="EC76" s="456">
        <f>INPUT!FJ597</f>
        <v>0</v>
      </c>
      <c r="ED76" s="439">
        <f>INPUT!FK597</f>
        <v>0</v>
      </c>
      <c r="EE76" s="456">
        <f>INPUT!FL597</f>
        <v>0</v>
      </c>
      <c r="EF76" s="439">
        <f>INPUT!FM597</f>
        <v>0</v>
      </c>
      <c r="EG76" s="456">
        <f>INPUT!FN597</f>
        <v>0</v>
      </c>
      <c r="EH76" s="439">
        <f>INPUT!FO597</f>
        <v>0</v>
      </c>
      <c r="EI76" s="456">
        <f>INPUT!FP597</f>
        <v>0</v>
      </c>
      <c r="EJ76" s="438">
        <f>INPUT!FQ597</f>
        <v>0</v>
      </c>
      <c r="EK76" s="456">
        <f>INPUT!FR597</f>
        <v>0</v>
      </c>
      <c r="EL76" s="438">
        <f>INPUT!FS597</f>
        <v>0</v>
      </c>
      <c r="EM76" s="456">
        <f>INPUT!FT597</f>
        <v>0</v>
      </c>
      <c r="EN76" s="438">
        <f>INPUT!FU597</f>
        <v>0</v>
      </c>
      <c r="EO76" s="456">
        <f>INPUT!FV597</f>
        <v>0</v>
      </c>
      <c r="EP76" s="438">
        <f>INPUT!FW597</f>
        <v>0</v>
      </c>
      <c r="EQ76" s="456">
        <f>INPUT!FX597</f>
        <v>0</v>
      </c>
      <c r="ER76" s="438">
        <f>INPUT!FY597</f>
        <v>0</v>
      </c>
      <c r="ES76" s="456">
        <f>INPUT!FZ597</f>
        <v>0</v>
      </c>
      <c r="ET76" s="438">
        <f>INPUT!GA597</f>
        <v>0</v>
      </c>
      <c r="EU76" s="456">
        <f>INPUT!GB597</f>
        <v>0</v>
      </c>
      <c r="EV76" s="438">
        <f>INPUT!GC597</f>
        <v>0</v>
      </c>
      <c r="EW76" s="456">
        <f>INPUT!GD597</f>
        <v>0</v>
      </c>
      <c r="EX76" s="456">
        <f>INPUT!GE592</f>
        <v>-2.0066245518798098</v>
      </c>
      <c r="EY76" s="456">
        <f>INPUT!GF592</f>
        <v>34.828127726400275</v>
      </c>
      <c r="EZ76" s="456">
        <f>INPUT!GG592</f>
        <v>7.4237783561097928</v>
      </c>
      <c r="FA76" s="456">
        <f>INPUT!GH592</f>
        <v>34.646910466582597</v>
      </c>
      <c r="FB76" s="456">
        <f>INPUT!GI592</f>
        <v>-0.52031869539835895</v>
      </c>
      <c r="FC76" s="456">
        <f>INPUT!GJ592</f>
        <v>37.118297175603765</v>
      </c>
      <c r="FD76" s="438">
        <f>INPUT!GK592</f>
        <v>7.1330651874569071</v>
      </c>
      <c r="FE76" s="456">
        <f>INPUT!GL592</f>
        <v>37.385913552608919</v>
      </c>
      <c r="FF76" s="438">
        <f>INPUT!GM592</f>
        <v>0.72098236548698935</v>
      </c>
      <c r="FG76" s="456">
        <f>INPUT!GN592</f>
        <v>36.736843667007903</v>
      </c>
      <c r="FH76" s="438">
        <f>INPUT!GO592</f>
        <v>-1.7361348805550847</v>
      </c>
      <c r="FI76" s="456">
        <f>INPUT!GP592</f>
        <v>37.645779461617686</v>
      </c>
      <c r="FJ76" s="438">
        <f>INPUT!GQ592</f>
        <v>2.4741804245585399</v>
      </c>
      <c r="FK76" s="456">
        <f>INPUT!GR592</f>
        <v>36.64198202585635</v>
      </c>
      <c r="FL76" s="438">
        <f>INPUT!GS592</f>
        <v>-2.6664275520839453</v>
      </c>
      <c r="FM76" s="456">
        <f>INPUT!GT592</f>
        <v>35.759442375651673</v>
      </c>
      <c r="FN76" s="438">
        <f>INPUT!GU592</f>
        <v>-2.4085477952090883</v>
      </c>
      <c r="FO76" s="456">
        <f>INPUT!GV592</f>
        <v>34.986046495441734</v>
      </c>
      <c r="FP76" s="438">
        <f>INPUT!GW592</f>
        <v>-2.1627738824488461</v>
      </c>
      <c r="FQ76" s="456">
        <f>INPUT!GX592</f>
        <v>34.31904846223442</v>
      </c>
      <c r="FR76" s="438">
        <f>INPUT!GY592</f>
        <v>-1.9064687211634919</v>
      </c>
      <c r="FS76" s="806">
        <f>INPUT!GZ592</f>
        <v>-1.3523646069166673</v>
      </c>
    </row>
    <row r="77" spans="1:176" s="529" customFormat="1" ht="12.75" hidden="1" customHeight="1" outlineLevel="1" x14ac:dyDescent="0.2">
      <c r="A77" s="810" t="e">
        <f>INPUT!#REF!</f>
        <v>#REF!</v>
      </c>
      <c r="B77" s="456" t="e">
        <f>INPUT!#REF!</f>
        <v>#REF!</v>
      </c>
      <c r="C77" s="456" t="e">
        <f>INPUT!#REF!</f>
        <v>#REF!</v>
      </c>
      <c r="D77" s="456" t="e">
        <f>INPUT!#REF!</f>
        <v>#REF!</v>
      </c>
      <c r="E77" s="456" t="e">
        <f>INPUT!#REF!</f>
        <v>#REF!</v>
      </c>
      <c r="F77" s="456" t="e">
        <f>INPUT!#REF!</f>
        <v>#REF!</v>
      </c>
      <c r="G77" s="456" t="e">
        <f>INPUT!#REF!</f>
        <v>#REF!</v>
      </c>
      <c r="H77" s="456" t="e">
        <f>INPUT!#REF!</f>
        <v>#REF!</v>
      </c>
      <c r="I77" s="456" t="e">
        <f>INPUT!#REF!</f>
        <v>#REF!</v>
      </c>
      <c r="J77" s="456" t="e">
        <f>INPUT!#REF!</f>
        <v>#REF!</v>
      </c>
      <c r="K77" s="456" t="e">
        <f>INPUT!#REF!</f>
        <v>#REF!</v>
      </c>
      <c r="L77" s="456" t="e">
        <f>INPUT!#REF!</f>
        <v>#REF!</v>
      </c>
      <c r="M77" s="456" t="e">
        <f>INPUT!#REF!</f>
        <v>#REF!</v>
      </c>
      <c r="N77" s="456" t="e">
        <f>INPUT!#REF!</f>
        <v>#REF!</v>
      </c>
      <c r="O77" s="456" t="e">
        <f>INPUT!#REF!</f>
        <v>#REF!</v>
      </c>
      <c r="P77" s="456" t="e">
        <f>INPUT!#REF!</f>
        <v>#REF!</v>
      </c>
      <c r="Q77" s="456" t="e">
        <f>INPUT!#REF!</f>
        <v>#REF!</v>
      </c>
      <c r="R77" s="456" t="e">
        <f>INPUT!#REF!</f>
        <v>#REF!</v>
      </c>
      <c r="S77" s="456" t="e">
        <f>INPUT!#REF!</f>
        <v>#REF!</v>
      </c>
      <c r="T77" s="456" t="e">
        <f>INPUT!#REF!</f>
        <v>#REF!</v>
      </c>
      <c r="U77" s="456" t="e">
        <f>INPUT!#REF!</f>
        <v>#REF!</v>
      </c>
      <c r="V77" s="456" t="e">
        <f>INPUT!#REF!</f>
        <v>#REF!</v>
      </c>
      <c r="W77" s="456" t="e">
        <f>INPUT!#REF!</f>
        <v>#REF!</v>
      </c>
      <c r="X77" s="456" t="e">
        <f>INPUT!#REF!</f>
        <v>#REF!</v>
      </c>
      <c r="Y77" s="456" t="e">
        <f>INPUT!#REF!</f>
        <v>#REF!</v>
      </c>
      <c r="Z77" s="456" t="e">
        <f>INPUT!#REF!</f>
        <v>#REF!</v>
      </c>
      <c r="AA77" s="456" t="e">
        <f>INPUT!#REF!</f>
        <v>#REF!</v>
      </c>
      <c r="AB77" s="456" t="e">
        <f>INPUT!#REF!</f>
        <v>#REF!</v>
      </c>
      <c r="AC77" s="456" t="e">
        <f>INPUT!#REF!</f>
        <v>#REF!</v>
      </c>
      <c r="AD77" s="456" t="e">
        <f>INPUT!#REF!</f>
        <v>#REF!</v>
      </c>
      <c r="AE77" s="456" t="e">
        <f>INPUT!#REF!</f>
        <v>#REF!</v>
      </c>
      <c r="AF77" s="456" t="e">
        <f>INPUT!#REF!</f>
        <v>#REF!</v>
      </c>
      <c r="AG77" s="456" t="e">
        <f>INPUT!#REF!</f>
        <v>#REF!</v>
      </c>
      <c r="AH77" s="456" t="e">
        <f>INPUT!#REF!</f>
        <v>#REF!</v>
      </c>
      <c r="AI77" s="456" t="e">
        <f>INPUT!#REF!</f>
        <v>#REF!</v>
      </c>
      <c r="AJ77" s="456" t="e">
        <f>INPUT!#REF!</f>
        <v>#REF!</v>
      </c>
      <c r="AK77" s="456" t="e">
        <f>INPUT!#REF!</f>
        <v>#REF!</v>
      </c>
      <c r="AL77" s="456" t="e">
        <f>INPUT!#REF!</f>
        <v>#REF!</v>
      </c>
      <c r="AM77" s="456" t="e">
        <f>INPUT!#REF!</f>
        <v>#REF!</v>
      </c>
      <c r="AN77" s="456" t="e">
        <f>INPUT!#REF!</f>
        <v>#REF!</v>
      </c>
      <c r="AO77" s="456" t="e">
        <f>INPUT!#REF!</f>
        <v>#REF!</v>
      </c>
      <c r="AP77" s="456" t="e">
        <f>INPUT!#REF!</f>
        <v>#REF!</v>
      </c>
      <c r="AQ77" s="456" t="e">
        <f>INPUT!#REF!</f>
        <v>#REF!</v>
      </c>
      <c r="AR77" s="456" t="e">
        <f>INPUT!#REF!</f>
        <v>#REF!</v>
      </c>
      <c r="AS77" s="456" t="e">
        <f>INPUT!#REF!</f>
        <v>#REF!</v>
      </c>
      <c r="AT77" s="456" t="e">
        <f>INPUT!#REF!</f>
        <v>#REF!</v>
      </c>
      <c r="AU77" s="456" t="e">
        <f>INPUT!#REF!</f>
        <v>#REF!</v>
      </c>
      <c r="AV77" s="456" t="e">
        <f>INPUT!#REF!</f>
        <v>#REF!</v>
      </c>
      <c r="AW77" s="456" t="e">
        <f>INPUT!#REF!</f>
        <v>#REF!</v>
      </c>
      <c r="AX77" s="456" t="e">
        <f>INPUT!#REF!</f>
        <v>#REF!</v>
      </c>
      <c r="AY77" s="456" t="e">
        <f>INPUT!#REF!</f>
        <v>#REF!</v>
      </c>
      <c r="AZ77" s="456" t="e">
        <f>INPUT!#REF!</f>
        <v>#REF!</v>
      </c>
      <c r="BA77" s="456" t="e">
        <f>INPUT!#REF!</f>
        <v>#REF!</v>
      </c>
      <c r="BB77" s="456" t="e">
        <f>INPUT!#REF!</f>
        <v>#REF!</v>
      </c>
      <c r="BC77" s="456" t="e">
        <f>INPUT!#REF!</f>
        <v>#REF!</v>
      </c>
      <c r="BD77" s="456" t="e">
        <f>INPUT!#REF!</f>
        <v>#REF!</v>
      </c>
      <c r="BE77" s="456" t="e">
        <f>INPUT!#REF!</f>
        <v>#REF!</v>
      </c>
      <c r="BF77" s="456" t="e">
        <f>INPUT!#REF!</f>
        <v>#REF!</v>
      </c>
      <c r="BG77" s="456" t="e">
        <f>INPUT!#REF!</f>
        <v>#REF!</v>
      </c>
      <c r="BH77" s="456" t="e">
        <f>INPUT!#REF!</f>
        <v>#REF!</v>
      </c>
      <c r="BI77" s="456" t="e">
        <f>INPUT!#REF!</f>
        <v>#REF!</v>
      </c>
      <c r="BJ77" s="456" t="e">
        <f>INPUT!#REF!</f>
        <v>#REF!</v>
      </c>
      <c r="BK77" s="456" t="e">
        <f>INPUT!#REF!</f>
        <v>#REF!</v>
      </c>
      <c r="BL77" s="456" t="e">
        <f>INPUT!#REF!</f>
        <v>#REF!</v>
      </c>
      <c r="BM77" s="456" t="e">
        <f>INPUT!#REF!</f>
        <v>#REF!</v>
      </c>
      <c r="BN77" s="456" t="e">
        <f>INPUT!#REF!</f>
        <v>#REF!</v>
      </c>
      <c r="BO77" s="456" t="e">
        <f>INPUT!#REF!</f>
        <v>#REF!</v>
      </c>
      <c r="BP77" s="456" t="e">
        <f>INPUT!#REF!</f>
        <v>#REF!</v>
      </c>
      <c r="BQ77" s="456" t="e">
        <f>INPUT!#REF!</f>
        <v>#REF!</v>
      </c>
      <c r="BR77" s="456" t="e">
        <f>INPUT!#REF!</f>
        <v>#REF!</v>
      </c>
      <c r="BS77" s="456" t="e">
        <f>INPUT!#REF!</f>
        <v>#REF!</v>
      </c>
      <c r="BT77" s="456" t="e">
        <f>INPUT!#REF!</f>
        <v>#REF!</v>
      </c>
      <c r="BU77" s="456" t="e">
        <f>INPUT!#REF!</f>
        <v>#REF!</v>
      </c>
      <c r="BV77" s="456" t="e">
        <f>INPUT!#REF!</f>
        <v>#REF!</v>
      </c>
      <c r="BW77" s="456" t="e">
        <f>INPUT!#REF!</f>
        <v>#REF!</v>
      </c>
      <c r="BX77" s="456" t="e">
        <f>INPUT!#REF!</f>
        <v>#REF!</v>
      </c>
      <c r="BY77" s="456" t="e">
        <f>INPUT!#REF!</f>
        <v>#REF!</v>
      </c>
      <c r="BZ77" s="456" t="e">
        <f>INPUT!#REF!</f>
        <v>#REF!</v>
      </c>
      <c r="CA77" s="456" t="e">
        <f>INPUT!#REF!</f>
        <v>#REF!</v>
      </c>
      <c r="CB77" s="456" t="e">
        <f>INPUT!#REF!</f>
        <v>#REF!</v>
      </c>
      <c r="CC77" s="456" t="e">
        <f>INPUT!#REF!</f>
        <v>#REF!</v>
      </c>
      <c r="CD77" s="456" t="e">
        <f>INPUT!#REF!</f>
        <v>#REF!</v>
      </c>
      <c r="CE77" s="456" t="e">
        <f>INPUT!#REF!</f>
        <v>#REF!</v>
      </c>
      <c r="CF77" s="456" t="e">
        <f>INPUT!#REF!</f>
        <v>#REF!</v>
      </c>
      <c r="CG77" s="456" t="e">
        <f>INPUT!#REF!</f>
        <v>#REF!</v>
      </c>
      <c r="CH77" s="456" t="e">
        <f>INPUT!#REF!</f>
        <v>#REF!</v>
      </c>
      <c r="CI77" s="456" t="e">
        <f>INPUT!#REF!</f>
        <v>#REF!</v>
      </c>
      <c r="CJ77" s="456" t="e">
        <f>INPUT!#REF!</f>
        <v>#REF!</v>
      </c>
      <c r="CK77" s="456" t="e">
        <f>INPUT!#REF!</f>
        <v>#REF!</v>
      </c>
      <c r="CL77" s="456" t="e">
        <f>INPUT!#REF!</f>
        <v>#REF!</v>
      </c>
      <c r="CM77" s="456" t="e">
        <f>INPUT!#REF!</f>
        <v>#REF!</v>
      </c>
      <c r="CN77" s="456" t="e">
        <f>INPUT!#REF!</f>
        <v>#REF!</v>
      </c>
      <c r="CO77" s="456" t="e">
        <f>INPUT!#REF!</f>
        <v>#REF!</v>
      </c>
      <c r="CP77" s="456" t="e">
        <f>INPUT!#REF!</f>
        <v>#REF!</v>
      </c>
      <c r="CQ77" s="456" t="e">
        <f>INPUT!#REF!</f>
        <v>#REF!</v>
      </c>
      <c r="CR77" s="456" t="e">
        <f>INPUT!#REF!</f>
        <v>#REF!</v>
      </c>
      <c r="CS77" s="456" t="e">
        <f>INPUT!#REF!</f>
        <v>#REF!</v>
      </c>
      <c r="CT77" s="456" t="e">
        <f>INPUT!#REF!</f>
        <v>#REF!</v>
      </c>
      <c r="CU77" s="456" t="e">
        <f>INPUT!#REF!</f>
        <v>#REF!</v>
      </c>
      <c r="CV77" s="456" t="e">
        <f>INPUT!#REF!</f>
        <v>#REF!</v>
      </c>
      <c r="CW77" s="456" t="e">
        <f>INPUT!#REF!</f>
        <v>#REF!</v>
      </c>
      <c r="CX77" s="456" t="e">
        <f>INPUT!#REF!</f>
        <v>#REF!</v>
      </c>
      <c r="CY77" s="456" t="e">
        <f>INPUT!#REF!</f>
        <v>#REF!</v>
      </c>
      <c r="CZ77" s="456" t="e">
        <f>INPUT!#REF!</f>
        <v>#REF!</v>
      </c>
      <c r="DA77" s="456" t="e">
        <f>INPUT!#REF!</f>
        <v>#REF!</v>
      </c>
      <c r="DB77" s="456" t="e">
        <f>INPUT!#REF!</f>
        <v>#REF!</v>
      </c>
      <c r="DC77" s="456" t="e">
        <f>INPUT!#REF!</f>
        <v>#REF!</v>
      </c>
      <c r="DD77" s="456" t="e">
        <f>INPUT!#REF!</f>
        <v>#REF!</v>
      </c>
      <c r="DE77" s="456" t="e">
        <f>INPUT!#REF!</f>
        <v>#REF!</v>
      </c>
      <c r="DF77" s="456" t="e">
        <f>INPUT!#REF!</f>
        <v>#REF!</v>
      </c>
      <c r="DG77" s="456" t="e">
        <f>INPUT!#REF!</f>
        <v>#REF!</v>
      </c>
      <c r="DH77" s="456" t="e">
        <f>INPUT!#REF!</f>
        <v>#REF!</v>
      </c>
      <c r="DI77" s="456" t="e">
        <f>INPUT!#REF!</f>
        <v>#REF!</v>
      </c>
      <c r="DJ77" s="456" t="e">
        <f>INPUT!#REF!</f>
        <v>#REF!</v>
      </c>
      <c r="DK77" s="456" t="e">
        <f>INPUT!#REF!</f>
        <v>#REF!</v>
      </c>
      <c r="DL77" s="456" t="e">
        <f>INPUT!#REF!</f>
        <v>#REF!</v>
      </c>
      <c r="DM77" s="456" t="e">
        <f>INPUT!#REF!</f>
        <v>#REF!</v>
      </c>
      <c r="DN77" s="456" t="e">
        <f>INPUT!#REF!</f>
        <v>#REF!</v>
      </c>
      <c r="DO77" s="456" t="e">
        <f>INPUT!#REF!</f>
        <v>#REF!</v>
      </c>
      <c r="DP77" s="456" t="e">
        <f>INPUT!#REF!</f>
        <v>#REF!</v>
      </c>
      <c r="DQ77" s="456" t="e">
        <f>INPUT!#REF!</f>
        <v>#REF!</v>
      </c>
      <c r="DR77" s="456" t="e">
        <f>INPUT!#REF!</f>
        <v>#REF!</v>
      </c>
      <c r="DS77" s="456" t="e">
        <f>INPUT!#REF!</f>
        <v>#REF!</v>
      </c>
      <c r="DT77" s="456" t="e">
        <f>INPUT!#REF!</f>
        <v>#REF!</v>
      </c>
      <c r="DU77" s="456" t="e">
        <f>INPUT!#REF!</f>
        <v>#REF!</v>
      </c>
      <c r="DV77" s="456" t="e">
        <f>INPUT!#REF!</f>
        <v>#REF!</v>
      </c>
      <c r="DW77" s="456" t="e">
        <f>INPUT!#REF!</f>
        <v>#REF!</v>
      </c>
      <c r="DX77" s="456" t="e">
        <f>INPUT!#REF!</f>
        <v>#REF!</v>
      </c>
      <c r="DY77" s="456" t="e">
        <f>INPUT!#REF!</f>
        <v>#REF!</v>
      </c>
      <c r="DZ77" s="456" t="e">
        <f>INPUT!#REF!</f>
        <v>#REF!</v>
      </c>
      <c r="EA77" s="438"/>
      <c r="EB77" s="439" t="e">
        <f>INPUT!#REF!</f>
        <v>#REF!</v>
      </c>
      <c r="EC77" s="456" t="e">
        <f>INPUT!#REF!</f>
        <v>#REF!</v>
      </c>
      <c r="ED77" s="439" t="e">
        <f>INPUT!#REF!</f>
        <v>#REF!</v>
      </c>
      <c r="EE77" s="456" t="e">
        <f>INPUT!#REF!</f>
        <v>#REF!</v>
      </c>
      <c r="EF77" s="439" t="e">
        <f>INPUT!#REF!</f>
        <v>#REF!</v>
      </c>
      <c r="EG77" s="456" t="e">
        <f>INPUT!#REF!</f>
        <v>#REF!</v>
      </c>
      <c r="EH77" s="439" t="e">
        <f>INPUT!#REF!</f>
        <v>#REF!</v>
      </c>
      <c r="EI77" s="456" t="e">
        <f>INPUT!#REF!</f>
        <v>#REF!</v>
      </c>
      <c r="EJ77" s="438" t="e">
        <f>INPUT!#REF!</f>
        <v>#REF!</v>
      </c>
      <c r="EK77" s="456" t="e">
        <f>INPUT!#REF!</f>
        <v>#REF!</v>
      </c>
      <c r="EL77" s="438" t="e">
        <f>INPUT!#REF!</f>
        <v>#REF!</v>
      </c>
      <c r="EM77" s="456" t="e">
        <f>INPUT!#REF!</f>
        <v>#REF!</v>
      </c>
      <c r="EN77" s="438" t="e">
        <f>INPUT!#REF!</f>
        <v>#REF!</v>
      </c>
      <c r="EO77" s="456" t="e">
        <f>INPUT!#REF!</f>
        <v>#REF!</v>
      </c>
      <c r="EP77" s="438" t="e">
        <f>INPUT!#REF!</f>
        <v>#REF!</v>
      </c>
      <c r="EQ77" s="456" t="e">
        <f>INPUT!#REF!</f>
        <v>#REF!</v>
      </c>
      <c r="ER77" s="438" t="e">
        <f>INPUT!#REF!</f>
        <v>#REF!</v>
      </c>
      <c r="ES77" s="456" t="e">
        <f>INPUT!#REF!</f>
        <v>#REF!</v>
      </c>
      <c r="ET77" s="438" t="e">
        <f>INPUT!#REF!</f>
        <v>#REF!</v>
      </c>
      <c r="EU77" s="456" t="e">
        <f>INPUT!#REF!</f>
        <v>#REF!</v>
      </c>
      <c r="EV77" s="438" t="e">
        <f>INPUT!#REF!</f>
        <v>#REF!</v>
      </c>
      <c r="EW77" s="456" t="e">
        <f>INPUT!#REF!</f>
        <v>#REF!</v>
      </c>
      <c r="EX77" s="456">
        <f>INPUT!GE593</f>
        <v>0</v>
      </c>
      <c r="EY77" s="456">
        <f>INPUT!GF593</f>
        <v>0</v>
      </c>
      <c r="EZ77" s="456">
        <f>INPUT!GG593</f>
        <v>0</v>
      </c>
      <c r="FA77" s="456">
        <f>INPUT!GH593</f>
        <v>0</v>
      </c>
      <c r="FB77" s="456">
        <f>INPUT!GI593</f>
        <v>0</v>
      </c>
      <c r="FC77" s="456">
        <f>INPUT!GJ593</f>
        <v>0</v>
      </c>
      <c r="FD77" s="438">
        <f>INPUT!GK593</f>
        <v>0</v>
      </c>
      <c r="FE77" s="456">
        <f>INPUT!GL593</f>
        <v>0</v>
      </c>
      <c r="FF77" s="438">
        <f>INPUT!GM593</f>
        <v>0</v>
      </c>
      <c r="FG77" s="456">
        <f>INPUT!GN593</f>
        <v>0</v>
      </c>
      <c r="FH77" s="438">
        <f>INPUT!GO593</f>
        <v>0</v>
      </c>
      <c r="FI77" s="456">
        <f>INPUT!GP593</f>
        <v>0</v>
      </c>
      <c r="FJ77" s="438">
        <f>INPUT!GQ593</f>
        <v>0</v>
      </c>
      <c r="FK77" s="456">
        <f>INPUT!GR593</f>
        <v>0</v>
      </c>
      <c r="FL77" s="438">
        <f>INPUT!GS593</f>
        <v>0</v>
      </c>
      <c r="FM77" s="456">
        <f>INPUT!GT593</f>
        <v>0</v>
      </c>
      <c r="FN77" s="438">
        <f>INPUT!GU593</f>
        <v>0</v>
      </c>
      <c r="FO77" s="456">
        <f>INPUT!GV593</f>
        <v>0</v>
      </c>
      <c r="FP77" s="438">
        <f>INPUT!GW593</f>
        <v>0</v>
      </c>
      <c r="FQ77" s="456">
        <f>INPUT!GX593</f>
        <v>0</v>
      </c>
      <c r="FR77" s="438">
        <f>INPUT!GY593</f>
        <v>0</v>
      </c>
      <c r="FS77" s="806">
        <f>INPUT!GZ593</f>
        <v>0</v>
      </c>
    </row>
    <row r="78" spans="1:176" s="529" customFormat="1" ht="12.75" customHeight="1" collapsed="1" x14ac:dyDescent="0.2">
      <c r="A78" s="810" t="str">
        <f>INPUT!B594</f>
        <v>Retirement</v>
      </c>
      <c r="B78" s="456">
        <f>INPUT!AA594</f>
        <v>11.62280701754386</v>
      </c>
      <c r="C78" s="456">
        <f>INPUT!AB594</f>
        <v>68.872549019607845</v>
      </c>
      <c r="D78" s="456">
        <f>INPUT!AC594</f>
        <v>8.1818181818181817</v>
      </c>
      <c r="E78" s="456">
        <f>INPUT!AD594</f>
        <v>-23.25454545454545</v>
      </c>
      <c r="F78" s="456">
        <f>INPUT!AE594</f>
        <v>7.5144508670520231</v>
      </c>
      <c r="G78" s="456">
        <f>INPUT!AF594</f>
        <v>38.391136801541421</v>
      </c>
      <c r="H78" s="456">
        <f>INPUT!AG594</f>
        <v>9.7864768683274033</v>
      </c>
      <c r="I78" s="456">
        <f>INPUT!AH594</f>
        <v>11.506524317912238</v>
      </c>
      <c r="J78" s="456">
        <f>INPUT!AI594</f>
        <v>9.2198581560283674</v>
      </c>
      <c r="K78" s="456">
        <f>INPUT!AJ594</f>
        <v>-20.674427940586128</v>
      </c>
      <c r="L78" s="456">
        <f>INPUT!AK594</f>
        <v>12.72475795297372</v>
      </c>
      <c r="M78" s="456">
        <f>INPUT!AL594</f>
        <v>55.524819425234341</v>
      </c>
      <c r="N78" s="456">
        <f>INPUT!AM594</f>
        <v>13.202247191011235</v>
      </c>
      <c r="O78" s="456">
        <f>INPUT!AN594</f>
        <v>75.691443388072599</v>
      </c>
      <c r="P78" s="456">
        <f>INPUT!AO594</f>
        <v>13.773314203730273</v>
      </c>
      <c r="Q78" s="456">
        <f>INPUT!AP594</f>
        <v>40.73822877266204</v>
      </c>
      <c r="R78" s="456">
        <f>INPUT!AQ594</f>
        <v>16.68856767411301</v>
      </c>
      <c r="S78" s="456">
        <f>INPUT!AR594</f>
        <v>81.006772465379584</v>
      </c>
      <c r="T78" s="456">
        <f>INPUT!AS594</f>
        <v>13.275434243176178</v>
      </c>
      <c r="U78" s="456">
        <f>INPUT!AT594</f>
        <v>4.3275973675693109</v>
      </c>
      <c r="V78" s="456">
        <f>INPUT!AU594</f>
        <v>10.844748858447488</v>
      </c>
      <c r="W78" s="456">
        <f>INPUT!AV594</f>
        <v>-17.856795880695614</v>
      </c>
      <c r="X78" s="456">
        <f>INPUT!AW594</f>
        <v>8.7234042553191493</v>
      </c>
      <c r="Y78" s="456">
        <f>INPUT!AX594</f>
        <v>-36.664450354609926</v>
      </c>
      <c r="Z78" s="456">
        <f>INPUT!AY594</f>
        <v>14.315569487983282</v>
      </c>
      <c r="AA78" s="456">
        <f>INPUT!AZ594</f>
        <v>-14.219304091690731</v>
      </c>
      <c r="AB78" s="456">
        <f>INPUT!BA594</f>
        <v>13.177470775770455</v>
      </c>
      <c r="AC78" s="456">
        <f>INPUT!BB594</f>
        <v>-0.73793041802815651</v>
      </c>
      <c r="AD78" s="456">
        <f>INPUT!BC594</f>
        <v>11.558854718981973</v>
      </c>
      <c r="AE78" s="456">
        <f>INPUT!BD594</f>
        <v>6.5848077245074705</v>
      </c>
      <c r="AF78" s="456">
        <f>INPUT!BE594</f>
        <v>12.448559670781894</v>
      </c>
      <c r="AG78" s="456">
        <f>INPUT!BF594</f>
        <v>42.703001104085104</v>
      </c>
      <c r="AH78" s="456">
        <f>INPUT!BG594</f>
        <v>14.100609756097562</v>
      </c>
      <c r="AI78" s="456">
        <f>INPUT!BH594</f>
        <v>-1.501580024924337</v>
      </c>
      <c r="AJ78" s="456">
        <f>INPUT!BI594</f>
        <v>12.59124087591241</v>
      </c>
      <c r="AK78" s="456">
        <f>INPUT!BJ594</f>
        <v>-4.4487285142453317</v>
      </c>
      <c r="AL78" s="456">
        <f>INPUT!BK594</f>
        <v>12.061068702290076</v>
      </c>
      <c r="AM78" s="456">
        <f>INPUT!BL594</f>
        <v>4.3448420757756168</v>
      </c>
      <c r="AN78" s="456">
        <f>INPUT!BM594</f>
        <v>12.350936967632027</v>
      </c>
      <c r="AO78" s="456">
        <f>INPUT!BN594</f>
        <v>-0.78420882199728226</v>
      </c>
      <c r="AP78" s="456">
        <f>INPUT!BO594</f>
        <v>13.163481953290871</v>
      </c>
      <c r="AQ78" s="456">
        <f>INPUT!BP594</f>
        <v>-6.6460090663912297</v>
      </c>
      <c r="AR78" s="456">
        <f>INPUT!BQ594</f>
        <v>13.128491620111731</v>
      </c>
      <c r="AS78" s="456">
        <f>INPUT!BR594</f>
        <v>4.2668609829163557</v>
      </c>
      <c r="AT78" s="456">
        <f>INPUT!BS594</f>
        <v>12.604166666666666</v>
      </c>
      <c r="AU78" s="456">
        <f>INPUT!BT594</f>
        <v>4.5029008438818465</v>
      </c>
      <c r="AV78" s="456">
        <f>INPUT!BU594</f>
        <v>17.391304347826086</v>
      </c>
      <c r="AW78" s="456">
        <f>INPUT!BV594</f>
        <v>40.809595202398782</v>
      </c>
      <c r="AX78" s="456">
        <f>INPUT!BW594</f>
        <v>22.838499184339316</v>
      </c>
      <c r="AY78" s="456">
        <f>INPUT!BX594</f>
        <v>73.49892122296481</v>
      </c>
      <c r="AZ78" s="456">
        <f>INPUT!BY594</f>
        <v>14.705882352941178</v>
      </c>
      <c r="BA78" s="456">
        <f>INPUT!BZ594</f>
        <v>12.015018773466849</v>
      </c>
      <c r="BB78" s="456">
        <f>INPUT!CA594</f>
        <v>14.011976047904193</v>
      </c>
      <c r="BC78" s="456">
        <f>INPUT!CB594</f>
        <v>11.169396743702691</v>
      </c>
      <c r="BD78" s="456">
        <f>INPUT!CC594</f>
        <v>19.241982507288629</v>
      </c>
      <c r="BE78" s="456">
        <f>INPUT!CD594</f>
        <v>10.641399416909621</v>
      </c>
      <c r="BF78" s="456">
        <f>INPUT!CE594</f>
        <v>22.060766182298547</v>
      </c>
      <c r="BG78" s="456">
        <f>INPUT!CF594</f>
        <v>-3.4053595017927876</v>
      </c>
      <c r="BH78" s="456">
        <f>INPUT!CG594</f>
        <v>16.522811344019729</v>
      </c>
      <c r="BI78" s="456">
        <f>INPUT!CH594</f>
        <v>12.355117139334155</v>
      </c>
      <c r="BJ78" s="456">
        <f>INPUT!CI594</f>
        <v>17.6158940397351</v>
      </c>
      <c r="BK78" s="456">
        <f>INPUT!CJ594</f>
        <v>25.72026942887868</v>
      </c>
      <c r="BL78" s="456">
        <f>INPUT!CK594</f>
        <v>16.743119266055047</v>
      </c>
      <c r="BM78" s="456">
        <f>INPUT!CL594</f>
        <v>-12.986516541562409</v>
      </c>
      <c r="BN78" s="456">
        <f>INPUT!CM594</f>
        <v>18.110982415499631</v>
      </c>
      <c r="BO78" s="456">
        <f>INPUT!CN594</f>
        <v>-17.904109649501677</v>
      </c>
      <c r="BP78" s="456">
        <f>INPUT!CO594</f>
        <v>15.475113122171946</v>
      </c>
      <c r="BQ78" s="456">
        <f>INPUT!CP594</f>
        <v>-6.3409198352130716</v>
      </c>
      <c r="BR78" s="456">
        <f>INPUT!CQ594</f>
        <v>13.733468972533061</v>
      </c>
      <c r="BS78" s="456">
        <f>INPUT!CR594</f>
        <v>-22.03933026870331</v>
      </c>
      <c r="BT78" s="456">
        <f>INPUT!CS594</f>
        <v>14.314928425357873</v>
      </c>
      <c r="BU78" s="456">
        <f>INPUT!CT594</f>
        <v>-14.502619267725578</v>
      </c>
      <c r="BV78" s="456">
        <f>INPUT!CU594</f>
        <v>16.810344827586206</v>
      </c>
      <c r="BW78" s="456">
        <f>INPUT!CV594</f>
        <v>-7.1814855653568657</v>
      </c>
      <c r="BX78" s="456">
        <f>INPUT!CW594</f>
        <v>14.156079854809436</v>
      </c>
      <c r="BY78" s="456">
        <f>INPUT!CX594</f>
        <v>-8.5235775464068553</v>
      </c>
      <c r="BZ78" s="456">
        <f>INPUT!CY594</f>
        <v>12.805391743892164</v>
      </c>
      <c r="CA78" s="456">
        <f>INPUT!CZ594</f>
        <v>-6.7577771537333433</v>
      </c>
      <c r="CB78" s="456">
        <f>INPUT!DA594</f>
        <v>14.399293286219081</v>
      </c>
      <c r="CC78" s="456">
        <f>INPUT!DB594</f>
        <v>0.58934881373042458</v>
      </c>
      <c r="CD78" s="456">
        <f>INPUT!DC594</f>
        <v>16.618075801749271</v>
      </c>
      <c r="CE78" s="456">
        <f>INPUT!DD594</f>
        <v>-1.1437542049786913</v>
      </c>
      <c r="CF78" s="456">
        <f>INPUT!DE594</f>
        <v>16.921954777534644</v>
      </c>
      <c r="CG78" s="456">
        <f>INPUT!DF594</f>
        <v>19.538424133610135</v>
      </c>
      <c r="CH78" s="456">
        <f>INPUT!DG594</f>
        <v>15.907590759075907</v>
      </c>
      <c r="CI78" s="456">
        <f>INPUT!DH594</f>
        <v>24.225725204099362</v>
      </c>
      <c r="CJ78" s="456">
        <f>INPUT!DI594</f>
        <v>20.027155465037339</v>
      </c>
      <c r="CK78" s="456">
        <f>INPUT!DJ594</f>
        <v>39.084294395228653</v>
      </c>
      <c r="CL78" s="456">
        <f>INPUT!DK594</f>
        <v>22.524752475247524</v>
      </c>
      <c r="CM78" s="456">
        <f>INPUT!DL594</f>
        <v>35.543685947542116</v>
      </c>
      <c r="CN78" s="456">
        <f>INPUT!DM594</f>
        <v>17.49235474006116</v>
      </c>
      <c r="CO78" s="456">
        <f>INPUT!DN594</f>
        <v>3.3707687440683429</v>
      </c>
      <c r="CP78" s="456">
        <f>INPUT!DO594</f>
        <v>16.844082654978084</v>
      </c>
      <c r="CQ78" s="456">
        <f>INPUT!DP594</f>
        <v>5.8870756111693083</v>
      </c>
      <c r="CR78" s="456">
        <f>INPUT!DQ594</f>
        <v>19.652406417112299</v>
      </c>
      <c r="CS78" s="456">
        <f>INPUT!DR594</f>
        <v>-1.8712045681138392</v>
      </c>
      <c r="CT78" s="456">
        <f>INPUT!DS594</f>
        <v>17.233009708737864</v>
      </c>
      <c r="CU78" s="456">
        <f>INPUT!DT594</f>
        <v>-23.4930118425264</v>
      </c>
      <c r="CV78" s="456">
        <f>INPUT!DU594</f>
        <v>14.468864468864471</v>
      </c>
      <c r="CW78" s="456">
        <f>INPUT!DV594</f>
        <v>-17.284638438484563</v>
      </c>
      <c r="CX78" s="456">
        <f>INPUT!DW594</f>
        <v>14.350355526826114</v>
      </c>
      <c r="CY78" s="456">
        <f>INPUT!DX594</f>
        <v>-14.804766630701465</v>
      </c>
      <c r="CZ78" s="456">
        <f>INPUT!DY594</f>
        <v>13.181639858768143</v>
      </c>
      <c r="DA78" s="456">
        <f>INPUT!DZ594</f>
        <v>-32.926077453343055</v>
      </c>
      <c r="DB78" s="456">
        <f>INPUT!EA594</f>
        <v>15.390021082220661</v>
      </c>
      <c r="DC78" s="456">
        <f>INPUT!EB594</f>
        <v>-10.694525551057566</v>
      </c>
      <c r="DD78" s="456">
        <f>INPUT!EC594</f>
        <v>15.415549597855227</v>
      </c>
      <c r="DE78" s="456">
        <f>INPUT!ED594</f>
        <v>6.5429124104930736</v>
      </c>
      <c r="DF78" s="456">
        <f>INPUT!EE594</f>
        <v>18.788713007570543</v>
      </c>
      <c r="DG78" s="456">
        <f>INPUT!EF594</f>
        <v>30.9285541563587</v>
      </c>
      <c r="DH78" s="456">
        <f>INPUT!EG594</f>
        <v>20.708825573314801</v>
      </c>
      <c r="DI78" s="456">
        <f>INPUT!EH594</f>
        <v>57.103560673748319</v>
      </c>
      <c r="DJ78" s="456">
        <f>INPUT!EI594</f>
        <v>24.205841107249558</v>
      </c>
      <c r="DK78" s="456">
        <f>INPUT!EJ594</f>
        <v>57.282702719708311</v>
      </c>
      <c r="DL78" s="456">
        <f>INPUT!EK594</f>
        <v>18.262806236080177</v>
      </c>
      <c r="DM78" s="456">
        <f>INPUT!EL594</f>
        <v>18.470030018398376</v>
      </c>
      <c r="DN78" s="456">
        <f>INPUT!EM594</f>
        <v>14.285714285714285</v>
      </c>
      <c r="DO78" s="456">
        <f>INPUT!EN594</f>
        <v>-23.966509680795397</v>
      </c>
      <c r="DP78" s="456">
        <f>INPUT!EO594</f>
        <v>18.558673469387756</v>
      </c>
      <c r="DQ78" s="456">
        <f>INPUT!EP594</f>
        <v>-10.382781468291995</v>
      </c>
      <c r="DR78" s="456">
        <f>INPUT!EQ594</f>
        <v>17.933984550293559</v>
      </c>
      <c r="DS78" s="456">
        <f>INPUT!ER594</f>
        <v>-25.910508662628544</v>
      </c>
      <c r="DT78" s="456">
        <f>INPUT!ES594</f>
        <v>16.553125027755929</v>
      </c>
      <c r="DU78" s="456">
        <f>INPUT!ET594</f>
        <v>-9.3615471041169229</v>
      </c>
      <c r="DV78" s="456">
        <f>INPUT!EU594</f>
        <v>15.533065659050823</v>
      </c>
      <c r="DW78" s="456">
        <f>INPUT!EV594</f>
        <v>8.7314596133557814</v>
      </c>
      <c r="DX78" s="456">
        <f>INPUT!EW594</f>
        <v>16.386012350733807</v>
      </c>
      <c r="DY78" s="456">
        <f>INPUT!EX594</f>
        <v>-11.706984996733311</v>
      </c>
      <c r="DZ78" s="456">
        <f>INPUT!EY594</f>
        <v>0</v>
      </c>
      <c r="EA78" s="438"/>
      <c r="EB78" s="439" t="e">
        <f>INPUT!#REF!</f>
        <v>#REF!</v>
      </c>
      <c r="EC78" s="456" t="e">
        <f>INPUT!#REF!</f>
        <v>#REF!</v>
      </c>
      <c r="ED78" s="439" t="e">
        <f>INPUT!#REF!</f>
        <v>#REF!</v>
      </c>
      <c r="EE78" s="456" t="e">
        <f>INPUT!#REF!</f>
        <v>#REF!</v>
      </c>
      <c r="EF78" s="439" t="e">
        <f>INPUT!#REF!</f>
        <v>#REF!</v>
      </c>
      <c r="EG78" s="456" t="e">
        <f>INPUT!#REF!</f>
        <v>#REF!</v>
      </c>
      <c r="EH78" s="439" t="e">
        <f>INPUT!#REF!</f>
        <v>#REF!</v>
      </c>
      <c r="EI78" s="456" t="e">
        <f>INPUT!#REF!</f>
        <v>#REF!</v>
      </c>
      <c r="EJ78" s="438" t="e">
        <f>INPUT!#REF!</f>
        <v>#REF!</v>
      </c>
      <c r="EK78" s="456" t="e">
        <f>INPUT!#REF!</f>
        <v>#REF!</v>
      </c>
      <c r="EL78" s="438" t="e">
        <f>INPUT!#REF!</f>
        <v>#REF!</v>
      </c>
      <c r="EM78" s="456" t="e">
        <f>INPUT!#REF!</f>
        <v>#REF!</v>
      </c>
      <c r="EN78" s="438" t="e">
        <f>INPUT!#REF!</f>
        <v>#REF!</v>
      </c>
      <c r="EO78" s="456" t="e">
        <f>INPUT!#REF!</f>
        <v>#REF!</v>
      </c>
      <c r="EP78" s="438" t="e">
        <f>INPUT!#REF!</f>
        <v>#REF!</v>
      </c>
      <c r="EQ78" s="456" t="e">
        <f>INPUT!#REF!</f>
        <v>#REF!</v>
      </c>
      <c r="ER78" s="438" t="e">
        <f>INPUT!#REF!</f>
        <v>#REF!</v>
      </c>
      <c r="ES78" s="456" t="e">
        <f>INPUT!#REF!</f>
        <v>#REF!</v>
      </c>
      <c r="ET78" s="438" t="e">
        <f>INPUT!#REF!</f>
        <v>#REF!</v>
      </c>
      <c r="EU78" s="456" t="e">
        <f>INPUT!#REF!</f>
        <v>#REF!</v>
      </c>
      <c r="EV78" s="438" t="e">
        <f>INPUT!#REF!</f>
        <v>#REF!</v>
      </c>
      <c r="EW78" s="456" t="e">
        <f>INPUT!#REF!</f>
        <v>#REF!</v>
      </c>
      <c r="EX78" s="456">
        <f>INPUT!GE594</f>
        <v>-6.3191292719897802</v>
      </c>
      <c r="EY78" s="456">
        <f>INPUT!GF594</f>
        <v>17.379165939626592</v>
      </c>
      <c r="EZ78" s="456">
        <f>INPUT!GG594</f>
        <v>20.545442857154782</v>
      </c>
      <c r="FA78" s="456">
        <f>INPUT!GH594</f>
        <v>19.120428751576295</v>
      </c>
      <c r="FB78" s="456">
        <f>INPUT!GI594</f>
        <v>10.01925419205196</v>
      </c>
      <c r="FC78" s="456">
        <f>INPUT!GJ594</f>
        <v>14.916086778550962</v>
      </c>
      <c r="FD78" s="438">
        <f>INPUT!GK594</f>
        <v>-21.988743179614772</v>
      </c>
      <c r="FE78" s="456">
        <f>INPUT!GL594</f>
        <v>17.565007749268126</v>
      </c>
      <c r="FF78" s="438">
        <f>INPUT!GM594</f>
        <v>17.758819789961677</v>
      </c>
      <c r="FG78" s="456">
        <f>INPUT!GN594</f>
        <v>18.753430957997654</v>
      </c>
      <c r="FH78" s="438">
        <f>INPUT!GO594</f>
        <v>6.7658564442081968</v>
      </c>
      <c r="FI78" s="456">
        <f>INPUT!GP594</f>
        <v>16.608790226075254</v>
      </c>
      <c r="FJ78" s="438">
        <f>INPUT!GQ594</f>
        <v>-11.435991295277034</v>
      </c>
      <c r="FK78" s="456">
        <f>INPUT!GR594</f>
        <v>16.838671926183142</v>
      </c>
      <c r="FL78" s="438">
        <f>INPUT!GS594</f>
        <v>1.3840965957109859</v>
      </c>
      <c r="FM78" s="456">
        <f>INPUT!GT594</f>
        <v>17.008957593197294</v>
      </c>
      <c r="FN78" s="438">
        <f>INPUT!GU594</f>
        <v>1.0112773012066896</v>
      </c>
      <c r="FO78" s="456">
        <f>INPUT!GV594</f>
        <v>17.161768201079735</v>
      </c>
      <c r="FP78" s="438">
        <f>INPUT!GW594</f>
        <v>0.89841253965825274</v>
      </c>
      <c r="FQ78" s="456">
        <f>INPUT!GX594</f>
        <v>17.34234575953873</v>
      </c>
      <c r="FR78" s="438">
        <f>INPUT!GY594</f>
        <v>1.0522083525614505</v>
      </c>
      <c r="FS78" s="806">
        <f>INPUT!GZ594</f>
        <v>-1.5523346773550051</v>
      </c>
    </row>
    <row r="79" spans="1:176" s="529" customFormat="1" ht="12.75" customHeight="1" x14ac:dyDescent="0.2">
      <c r="A79" s="810" t="str">
        <f>INPUT!B595</f>
        <v>Group Insurance</v>
      </c>
      <c r="B79" s="456">
        <f>INPUT!AA595</f>
        <v>7.4561403508771926</v>
      </c>
      <c r="C79" s="456">
        <f>INPUT!AB595</f>
        <v>-0.45045045045046095</v>
      </c>
      <c r="D79" s="456">
        <f>INPUT!AC595</f>
        <v>10.545454545454545</v>
      </c>
      <c r="E79" s="456">
        <f>INPUT!AD595</f>
        <v>37.383838383838366</v>
      </c>
      <c r="F79" s="456">
        <f>INPUT!AE595</f>
        <v>5.7803468208092488</v>
      </c>
      <c r="G79" s="456">
        <f>INPUT!AF595</f>
        <v>-14.836223506743735</v>
      </c>
      <c r="H79" s="456">
        <f>INPUT!AG595</f>
        <v>8.362989323843415</v>
      </c>
      <c r="I79" s="456">
        <f>INPUT!AH595</f>
        <v>-39.529154119901463</v>
      </c>
      <c r="J79" s="456">
        <f>INPUT!AI595</f>
        <v>4.6099290780141837</v>
      </c>
      <c r="K79" s="456">
        <f>INPUT!AJ595</f>
        <v>-38.172715894868588</v>
      </c>
      <c r="L79" s="456">
        <f>INPUT!AK595</f>
        <v>6.3623789764868599</v>
      </c>
      <c r="M79" s="456">
        <f>INPUT!AL595</f>
        <v>-39.667095912624603</v>
      </c>
      <c r="N79" s="456">
        <f>INPUT!AM595</f>
        <v>6.7415730337078648</v>
      </c>
      <c r="O79" s="456">
        <f>INPUT!AN595</f>
        <v>16.62921348314606</v>
      </c>
      <c r="P79" s="456">
        <f>INPUT!AO595</f>
        <v>3.873744619799139</v>
      </c>
      <c r="Q79" s="456" t="str">
        <f>INPUT!AP595</f>
        <v>NM</v>
      </c>
      <c r="R79" s="456">
        <f>INPUT!AQ595</f>
        <v>4.4678055190538766</v>
      </c>
      <c r="S79" s="456">
        <f>INPUT!AR595</f>
        <v>-3.0829879712928232</v>
      </c>
      <c r="T79" s="456">
        <f>INPUT!AS595</f>
        <v>5.7071960297766751</v>
      </c>
      <c r="U79" s="456">
        <f>INPUT!AT595</f>
        <v>-10.297766749379647</v>
      </c>
      <c r="V79" s="456">
        <f>INPUT!AU595</f>
        <v>6.8493150684931505</v>
      </c>
      <c r="W79" s="456">
        <f>INPUT!AV595</f>
        <v>1.5981735159817561</v>
      </c>
      <c r="X79" s="456">
        <f>INPUT!AW595</f>
        <v>8.5106382978723403</v>
      </c>
      <c r="Y79" s="456" t="str">
        <f>INPUT!AX595</f>
        <v>NM</v>
      </c>
      <c r="Z79" s="456">
        <f>INPUT!AY595</f>
        <v>4.9111807732497388</v>
      </c>
      <c r="AA79" s="456">
        <f>INPUT!AZ595</f>
        <v>9.9237814247956209</v>
      </c>
      <c r="AB79" s="456">
        <f>INPUT!BA595</f>
        <v>6.1636556854410207</v>
      </c>
      <c r="AC79" s="456">
        <f>INPUT!BB595</f>
        <v>7.9979670101187423</v>
      </c>
      <c r="AD79" s="456">
        <f>INPUT!BC595</f>
        <v>6.1505832449628848</v>
      </c>
      <c r="AE79" s="456">
        <f>INPUT!BD595</f>
        <v>-10.201484623541873</v>
      </c>
      <c r="AF79" s="456">
        <f>INPUT!BE595</f>
        <v>7.9218106995884776</v>
      </c>
      <c r="AG79" s="456">
        <f>INPUT!BF595</f>
        <v>-6.9187242798353878</v>
      </c>
      <c r="AH79" s="456">
        <f>INPUT!BG595</f>
        <v>4.8589939024390247</v>
      </c>
      <c r="AI79" s="456">
        <f>INPUT!BH595</f>
        <v>-1.0626135184224097</v>
      </c>
      <c r="AJ79" s="456">
        <f>INPUT!BI595</f>
        <v>6.2956204379562051</v>
      </c>
      <c r="AK79" s="456">
        <f>INPUT!BJ595</f>
        <v>2.1410143468411746</v>
      </c>
      <c r="AL79" s="456">
        <f>INPUT!BK595</f>
        <v>6.9465648854961826</v>
      </c>
      <c r="AM79" s="456">
        <f>INPUT!BL595</f>
        <v>12.941563569360341</v>
      </c>
      <c r="AN79" s="456">
        <f>INPUT!BM595</f>
        <v>5.9625212947189095</v>
      </c>
      <c r="AO79" s="456">
        <f>INPUT!BN595</f>
        <v>-24.732848071860005</v>
      </c>
      <c r="AP79" s="456">
        <f>INPUT!BO595</f>
        <v>7.4309978768577496</v>
      </c>
      <c r="AQ79" s="456">
        <f>INPUT!BP595</f>
        <v>52.932850422546949</v>
      </c>
      <c r="AR79" s="456">
        <f>INPUT!BQ595</f>
        <v>7.4487895716945998</v>
      </c>
      <c r="AS79" s="456">
        <f>INPUT!BR595</f>
        <v>18.317005370685209</v>
      </c>
      <c r="AT79" s="456">
        <f>INPUT!BS595</f>
        <v>9.1666666666666661</v>
      </c>
      <c r="AU79" s="456">
        <f>INPUT!BT595</f>
        <v>31.959706959706949</v>
      </c>
      <c r="AV79" s="456">
        <f>INPUT!BU595</f>
        <v>12</v>
      </c>
      <c r="AW79" s="456" t="str">
        <f>INPUT!BV595</f>
        <v>NM</v>
      </c>
      <c r="AX79" s="456">
        <f>INPUT!BW595</f>
        <v>15.171288743882544</v>
      </c>
      <c r="AY79" s="456" t="str">
        <f>INPUT!BX595</f>
        <v>NM</v>
      </c>
      <c r="AZ79" s="456">
        <f>INPUT!BY595</f>
        <v>14.705882352941178</v>
      </c>
      <c r="BA79" s="456">
        <f>INPUT!BZ595</f>
        <v>97.426470588235304</v>
      </c>
      <c r="BB79" s="456">
        <f>INPUT!CA595</f>
        <v>7.6646706586826348</v>
      </c>
      <c r="BC79" s="456">
        <f>INPUT!CB595</f>
        <v>-16.385410996189435</v>
      </c>
      <c r="BD79" s="456">
        <f>INPUT!CC595</f>
        <v>10.058309037900875</v>
      </c>
      <c r="BE79" s="456">
        <f>INPUT!CD595</f>
        <v>-16.180758017492707</v>
      </c>
      <c r="BF79" s="456">
        <f>INPUT!CE595</f>
        <v>6.8692206076618234</v>
      </c>
      <c r="BG79" s="456" t="str">
        <f>INPUT!CF595</f>
        <v>NM</v>
      </c>
      <c r="BH79" s="456">
        <f>INPUT!CG595</f>
        <v>4.808877928483354</v>
      </c>
      <c r="BI79" s="456" t="str">
        <f>INPUT!CH595</f>
        <v>NM</v>
      </c>
      <c r="BJ79" s="456">
        <f>INPUT!CI595</f>
        <v>4.2384105960264904</v>
      </c>
      <c r="BK79" s="456">
        <f>INPUT!CJ595</f>
        <v>-44.701986754966882</v>
      </c>
      <c r="BL79" s="456">
        <f>INPUT!CK595</f>
        <v>7.7981651376146797</v>
      </c>
      <c r="BM79" s="456">
        <f>INPUT!CL595</f>
        <v>-22.470416168062755</v>
      </c>
      <c r="BN79" s="456">
        <f>INPUT!CM595</f>
        <v>4.1065599663051486</v>
      </c>
      <c r="BO79" s="456">
        <f>INPUT!CN595</f>
        <v>-40.217963567442361</v>
      </c>
      <c r="BP79" s="456">
        <f>INPUT!CO595</f>
        <v>4.4343891402714934</v>
      </c>
      <c r="BQ79" s="456">
        <f>INPUT!CP595</f>
        <v>-7.7874463394825426</v>
      </c>
      <c r="BR79" s="456">
        <f>INPUT!CQ595</f>
        <v>2.3397761953204474</v>
      </c>
      <c r="BS79" s="456">
        <f>INPUT!CR595</f>
        <v>-44.795905391658195</v>
      </c>
      <c r="BT79" s="456">
        <f>INPUT!CS595</f>
        <v>4.294478527607362</v>
      </c>
      <c r="BU79" s="456">
        <f>INPUT!CT595</f>
        <v>-44.929628293035009</v>
      </c>
      <c r="BV79" s="456">
        <f>INPUT!CU595</f>
        <v>-4.3103448275862073</v>
      </c>
      <c r="BW79" s="456" t="str">
        <f>INPUT!CV595</f>
        <v>NM</v>
      </c>
      <c r="BX79" s="456">
        <f>INPUT!CW595</f>
        <v>2.9945553539019962</v>
      </c>
      <c r="BY79" s="456">
        <f>INPUT!CX595</f>
        <v>-32.469721100781513</v>
      </c>
      <c r="BZ79" s="456">
        <f>INPUT!CY595</f>
        <v>2.3588879528222408</v>
      </c>
      <c r="CA79" s="456">
        <f>INPUT!CZ595</f>
        <v>0.81681989670707367</v>
      </c>
      <c r="CB79" s="456">
        <f>INPUT!DA595</f>
        <v>2.2968197879858656</v>
      </c>
      <c r="CC79" s="456">
        <f>INPUT!DB595</f>
        <v>-46.516910651186272</v>
      </c>
      <c r="CD79" s="456">
        <f>INPUT!DC595</f>
        <v>0.6559766763848397</v>
      </c>
      <c r="CE79" s="456" t="str">
        <f>INPUT!DD595</f>
        <v>NM</v>
      </c>
      <c r="CF79" s="456">
        <f>INPUT!DE595</f>
        <v>1.6046681254558719</v>
      </c>
      <c r="CG79" s="456">
        <f>INPUT!DF595</f>
        <v>-46.413809871140273</v>
      </c>
      <c r="CH79" s="456">
        <f>INPUT!DG595</f>
        <v>1.5181518151815181</v>
      </c>
      <c r="CI79" s="456">
        <f>INPUT!DH595</f>
        <v>-35.641206977840639</v>
      </c>
      <c r="CJ79" s="456">
        <f>INPUT!DI595</f>
        <v>3.9375424304141213</v>
      </c>
      <c r="CK79" s="456">
        <f>INPUT!DJ595</f>
        <v>71.434539662645591</v>
      </c>
      <c r="CL79" s="456">
        <f>INPUT!DK595</f>
        <v>0.37128712871287128</v>
      </c>
      <c r="CM79" s="456">
        <f>INPUT!DL595</f>
        <v>-43.39933993399341</v>
      </c>
      <c r="CN79" s="456">
        <f>INPUT!DM595</f>
        <v>2.8134556574923546</v>
      </c>
      <c r="CO79" s="456">
        <f>INPUT!DN595</f>
        <v>75.329441201000805</v>
      </c>
      <c r="CP79" s="456">
        <f>INPUT!DO595</f>
        <v>2.128991859737007</v>
      </c>
      <c r="CQ79" s="456">
        <f>INPUT!DP595</f>
        <v>40.235768152242002</v>
      </c>
      <c r="CR79" s="456">
        <f>INPUT!DQ595</f>
        <v>2.9411764705882351</v>
      </c>
      <c r="CS79" s="456">
        <f>INPUT!DR595</f>
        <v>-25.304259634888453</v>
      </c>
      <c r="CT79" s="456">
        <f>INPUT!DS595</f>
        <v>1.820388349514563</v>
      </c>
      <c r="CU79" s="456" t="str">
        <f>INPUT!DT595</f>
        <v>NM</v>
      </c>
      <c r="CV79" s="456">
        <f>INPUT!DU595</f>
        <v>2.8693528693528694</v>
      </c>
      <c r="CW79" s="456">
        <f>INPUT!DV595</f>
        <v>1.9867813346074286</v>
      </c>
      <c r="CX79" s="456">
        <f>INPUT!DW595</f>
        <v>2.8442146089204914</v>
      </c>
      <c r="CY79" s="456">
        <f>INPUT!DX595</f>
        <v>33.594433248412486</v>
      </c>
      <c r="CZ79" s="456">
        <f>INPUT!DY595</f>
        <v>2.1184778344448802</v>
      </c>
      <c r="DA79" s="456">
        <f>INPUT!DZ595</f>
        <v>-27.971753628874069</v>
      </c>
      <c r="DB79" s="456">
        <f>INPUT!EA595</f>
        <v>1.8271257905832747</v>
      </c>
      <c r="DC79" s="456">
        <f>INPUT!EB595</f>
        <v>0.37011009604124467</v>
      </c>
      <c r="DD79" s="456">
        <f>INPUT!EC595</f>
        <v>5.9651474530831097</v>
      </c>
      <c r="DE79" s="456" t="str">
        <f>INPUT!ED595</f>
        <v>NM</v>
      </c>
      <c r="DF79" s="456">
        <f>INPUT!EE595</f>
        <v>4.2670337233310391</v>
      </c>
      <c r="DG79" s="456">
        <f>INPUT!EF595</f>
        <v>50.025026590752674</v>
      </c>
      <c r="DH79" s="456">
        <f>INPUT!EG595</f>
        <v>2.9881862404447532</v>
      </c>
      <c r="DI79" s="456">
        <f>INPUT!EH595</f>
        <v>41.053457905438449</v>
      </c>
      <c r="DJ79" s="456">
        <f>INPUT!EI595</f>
        <v>2.0730443265654532</v>
      </c>
      <c r="DK79" s="456">
        <f>INPUT!EJ595</f>
        <v>13.459310642409235</v>
      </c>
      <c r="DL79" s="456">
        <f>INPUT!EK595</f>
        <v>4.5100222717149219</v>
      </c>
      <c r="DM79" s="456">
        <f>INPUT!EL595</f>
        <v>-24.39378393934085</v>
      </c>
      <c r="DN79" s="456">
        <f>INPUT!EM595</f>
        <v>3.5138248847926268</v>
      </c>
      <c r="DO79" s="456">
        <f>INPUT!EN595</f>
        <v>-17.65181358703731</v>
      </c>
      <c r="DP79" s="456">
        <f>INPUT!EO595</f>
        <v>1.403061224489796</v>
      </c>
      <c r="DQ79" s="456" t="str">
        <f>INPUT!EP595</f>
        <v>NM</v>
      </c>
      <c r="DR79" s="456">
        <f>INPUT!EQ595</f>
        <v>2.5177731276788085</v>
      </c>
      <c r="DS79" s="456">
        <f>INPUT!ER595</f>
        <v>21.452932550176882</v>
      </c>
      <c r="DT79" s="456">
        <f>INPUT!ES595</f>
        <v>2.8778767779605809</v>
      </c>
      <c r="DU79" s="456">
        <f>INPUT!ET595</f>
        <v>-36.189300083738232</v>
      </c>
      <c r="DV79" s="456">
        <f>INPUT!EU595</f>
        <v>3.2959237995133188</v>
      </c>
      <c r="DW79" s="456">
        <f>INPUT!EV595</f>
        <v>-6.2012505581127613</v>
      </c>
      <c r="DX79" s="456">
        <f>INPUT!EW595</f>
        <v>3.0594833875637129</v>
      </c>
      <c r="DY79" s="456" t="str">
        <f>INPUT!EX595</f>
        <v>NM</v>
      </c>
      <c r="DZ79" s="456">
        <f>INPUT!EY595</f>
        <v>0</v>
      </c>
      <c r="EA79" s="438"/>
      <c r="EB79" s="439">
        <f>INPUT!FI591</f>
        <v>99.153302479101626</v>
      </c>
      <c r="EC79" s="456">
        <f>INPUT!FJ591</f>
        <v>24.147568474007823</v>
      </c>
      <c r="ED79" s="439">
        <f>INPUT!FK591</f>
        <v>29.760010810877191</v>
      </c>
      <c r="EE79" s="456">
        <f>INPUT!FL591</f>
        <v>17.016205910390848</v>
      </c>
      <c r="EF79" s="439">
        <f>INPUT!FM591</f>
        <v>-29.532425060904558</v>
      </c>
      <c r="EG79" s="456">
        <f>INPUT!FN591</f>
        <v>13.962962962962964</v>
      </c>
      <c r="EH79" s="439">
        <f>INPUT!FO591</f>
        <v>-17.943147629422128</v>
      </c>
      <c r="EI79" s="456">
        <f>INPUT!FP591</f>
        <v>12.996177594825051</v>
      </c>
      <c r="EJ79" s="438">
        <f>INPUT!FQ591</f>
        <v>-6.9239270397144992</v>
      </c>
      <c r="EK79" s="456">
        <f>INPUT!FR591</f>
        <v>12.20026350461133</v>
      </c>
      <c r="EL79" s="438">
        <f>INPUT!FS591</f>
        <v>-6.1242167891784334</v>
      </c>
      <c r="EM79" s="456">
        <f>INPUT!FT591</f>
        <v>11.966294574990226</v>
      </c>
      <c r="EN79" s="438">
        <f>INPUT!FU591</f>
        <v>-1.9177366909548397</v>
      </c>
      <c r="EO79" s="456">
        <f>INPUT!FV591</f>
        <v>10.190886699507388</v>
      </c>
      <c r="EP79" s="438">
        <f>INPUT!FW591</f>
        <v>-14.836738844733716</v>
      </c>
      <c r="EQ79" s="456">
        <f>INPUT!FX591</f>
        <v>15.146771037181997</v>
      </c>
      <c r="ER79" s="438">
        <f>INPUT!FY591</f>
        <v>48.630550842196783</v>
      </c>
      <c r="ES79" s="456">
        <f>INPUT!FZ591</f>
        <v>14.397496087636933</v>
      </c>
      <c r="ET79" s="438">
        <f>INPUT!GA591</f>
        <v>-4.9467635557820131</v>
      </c>
      <c r="EU79" s="456">
        <f>INPUT!GB591</f>
        <v>11.081505092511891</v>
      </c>
      <c r="EV79" s="438">
        <f>INPUT!GC591</f>
        <v>-23.031720063966318</v>
      </c>
      <c r="EW79" s="456">
        <f>INPUT!GD591</f>
        <v>9.7953552540813984</v>
      </c>
      <c r="EX79" s="456" t="str">
        <f>INPUT!GE595</f>
        <v>NM</v>
      </c>
      <c r="EY79" s="456">
        <f>INPUT!GF595</f>
        <v>1.9542837201186529</v>
      </c>
      <c r="EZ79" s="456">
        <f>INPUT!GG595</f>
        <v>80.833614868000467</v>
      </c>
      <c r="FA79" s="456">
        <f>INPUT!GH595</f>
        <v>2.0491803278688523</v>
      </c>
      <c r="FB79" s="456">
        <f>INPUT!GI595</f>
        <v>4.8558255269320654</v>
      </c>
      <c r="FC79" s="456">
        <f>INPUT!GJ595</f>
        <v>2.4232501023331969</v>
      </c>
      <c r="FD79" s="438">
        <f>INPUT!GK595</f>
        <v>18.254604993860028</v>
      </c>
      <c r="FE79" s="456">
        <f>INPUT!GL595</f>
        <v>3.7885310831754779</v>
      </c>
      <c r="FF79" s="438">
        <f>INPUT!GM595</f>
        <v>56.340902638474546</v>
      </c>
      <c r="FG79" s="456">
        <f>INPUT!GN595</f>
        <v>2.9376418747496325</v>
      </c>
      <c r="FH79" s="438">
        <f>INPUT!GO595</f>
        <v>-22.459607424222199</v>
      </c>
      <c r="FI79" s="456">
        <f>INPUT!GP595</f>
        <v>2.9339191762148795</v>
      </c>
      <c r="FJ79" s="438">
        <f>INPUT!GQ595</f>
        <v>-0.12672404239438606</v>
      </c>
      <c r="FK79" s="456">
        <f>INPUT!GR595</f>
        <v>3.0118532464676493</v>
      </c>
      <c r="FL79" s="438">
        <f>INPUT!GS595</f>
        <v>2.6563127875020314</v>
      </c>
      <c r="FM79" s="456">
        <f>INPUT!GT595</f>
        <v>3.1354393649223313</v>
      </c>
      <c r="FN79" s="438">
        <f>INPUT!GU595</f>
        <v>4.1033247087860474</v>
      </c>
      <c r="FO79" s="456">
        <f>INPUT!GV595</f>
        <v>3.2206857957253372</v>
      </c>
      <c r="FP79" s="438">
        <f>INPUT!GW595</f>
        <v>2.7188033599596366</v>
      </c>
      <c r="FQ79" s="456">
        <f>INPUT!GX595</f>
        <v>3.3133033042580631</v>
      </c>
      <c r="FR79" s="438">
        <f>INPUT!GY595</f>
        <v>2.8757076724358797</v>
      </c>
      <c r="FS79" s="806">
        <f>INPUT!GZ595</f>
        <v>2.4359663210672622</v>
      </c>
    </row>
    <row r="80" spans="1:176" s="529" customFormat="1" ht="12.75" customHeight="1" x14ac:dyDescent="0.2">
      <c r="A80" s="811" t="str">
        <f>INPUT!B596</f>
        <v>US Workplace Solutions Division</v>
      </c>
      <c r="B80" s="456">
        <f>INPUT!AA596</f>
        <v>19.078947368421055</v>
      </c>
      <c r="C80" s="456">
        <f>INPUT!AB596</f>
        <v>32.746478873239454</v>
      </c>
      <c r="D80" s="456">
        <f>INPUT!AC596</f>
        <v>18.72727272727273</v>
      </c>
      <c r="E80" s="456">
        <f>INPUT!AD596</f>
        <v>2.128964059196619</v>
      </c>
      <c r="F80" s="456">
        <f>INPUT!AE596</f>
        <v>13.294797687861271</v>
      </c>
      <c r="G80" s="456">
        <f>INPUT!AF596</f>
        <v>8.8203810747163374</v>
      </c>
      <c r="H80" s="456">
        <f>INPUT!AG596</f>
        <v>18.14946619217082</v>
      </c>
      <c r="I80" s="456">
        <f>INPUT!AH596</f>
        <v>-19.715302491103202</v>
      </c>
      <c r="J80" s="456">
        <f>INPUT!AI596</f>
        <v>13.829787234042554</v>
      </c>
      <c r="K80" s="456">
        <f>INPUT!AJ596</f>
        <v>-27.512839325018348</v>
      </c>
      <c r="L80" s="456">
        <f>INPUT!AK596</f>
        <v>19.087136929460581</v>
      </c>
      <c r="M80" s="456">
        <f>INPUT!AL596</f>
        <v>1.9216049631390035</v>
      </c>
      <c r="N80" s="456">
        <f>INPUT!AM596</f>
        <v>19.943820224719101</v>
      </c>
      <c r="O80" s="456">
        <f>INPUT!AN596</f>
        <v>50.012212994626282</v>
      </c>
      <c r="P80" s="456">
        <f>INPUT!AO596</f>
        <v>17.647058823529413</v>
      </c>
      <c r="Q80" s="456">
        <f>INPUT!AP596</f>
        <v>-2.7681660899653906</v>
      </c>
      <c r="R80" s="456">
        <f>INPUT!AQ596</f>
        <v>21.156373193166885</v>
      </c>
      <c r="S80" s="456">
        <f>INPUT!AR596</f>
        <v>52.976852319822086</v>
      </c>
      <c r="T80" s="456">
        <f>INPUT!AS596</f>
        <v>18.982630272952854</v>
      </c>
      <c r="U80" s="456">
        <f>INPUT!AT596</f>
        <v>-0.5475240047470038</v>
      </c>
      <c r="V80" s="456">
        <f>INPUT!AU596</f>
        <v>17.69406392694064</v>
      </c>
      <c r="W80" s="456">
        <f>INPUT!AV596</f>
        <v>-11.28046819731172</v>
      </c>
      <c r="X80" s="456">
        <f>INPUT!AW596</f>
        <v>17.23404255319149</v>
      </c>
      <c r="Y80" s="456">
        <f>INPUT!AX596</f>
        <v>-2.340425531914903</v>
      </c>
      <c r="Z80" s="456">
        <f>INPUT!AY596</f>
        <v>19.226750261233018</v>
      </c>
      <c r="AA80" s="456">
        <f>INPUT!AZ596</f>
        <v>-9.1207642931780981</v>
      </c>
      <c r="AB80" s="456">
        <f>INPUT!BA596</f>
        <v>19.341126461211477</v>
      </c>
      <c r="AC80" s="456">
        <f>INPUT!BB596</f>
        <v>1.8885485472970487</v>
      </c>
      <c r="AD80" s="456">
        <f>INPUT!BC596</f>
        <v>17.709437963944858</v>
      </c>
      <c r="AE80" s="456">
        <f>INPUT!BD596</f>
        <v>8.6888105907718227E-2</v>
      </c>
      <c r="AF80" s="456">
        <f>INPUT!BE596</f>
        <v>20.37037037037037</v>
      </c>
      <c r="AG80" s="456">
        <f>INPUT!BF596</f>
        <v>18.198445358939182</v>
      </c>
      <c r="AH80" s="456">
        <f>INPUT!BG596</f>
        <v>18.959603658536587</v>
      </c>
      <c r="AI80" s="456">
        <f>INPUT!BH596</f>
        <v>-1.3894527107635071</v>
      </c>
      <c r="AJ80" s="456">
        <f>INPUT!BI596</f>
        <v>18.886861313868614</v>
      </c>
      <c r="AK80" s="456">
        <f>INPUT!BJ596</f>
        <v>-2.3487005695034782</v>
      </c>
      <c r="AL80" s="456">
        <f>INPUT!BK596</f>
        <v>19.007633587786259</v>
      </c>
      <c r="AM80" s="456">
        <f>INPUT!BL596</f>
        <v>7.3305297801343698</v>
      </c>
      <c r="AN80" s="456">
        <f>INPUT!BM596</f>
        <v>18.313458262350938</v>
      </c>
      <c r="AO80" s="456">
        <f>INPUT!BN596</f>
        <v>-10.097568530277215</v>
      </c>
      <c r="AP80" s="456">
        <f>INPUT!BO596</f>
        <v>20.594479830148622</v>
      </c>
      <c r="AQ80" s="456">
        <f>INPUT!BP596</f>
        <v>8.6229448729848883</v>
      </c>
      <c r="AR80" s="456">
        <f>INPUT!BQ596</f>
        <v>20.577281191806332</v>
      </c>
      <c r="AS80" s="456">
        <f>INPUT!BR596</f>
        <v>8.9502424455059781</v>
      </c>
      <c r="AT80" s="456">
        <f>INPUT!BS596</f>
        <v>21.770833333333332</v>
      </c>
      <c r="AU80" s="456">
        <f>INPUT!BT596</f>
        <v>14.537315930388203</v>
      </c>
      <c r="AV80" s="456">
        <f>INPUT!BU596</f>
        <v>29.391304347826086</v>
      </c>
      <c r="AW80" s="456">
        <f>INPUT!BV596</f>
        <v>60.490192113245683</v>
      </c>
      <c r="AX80" s="456">
        <f>INPUT!BW596</f>
        <v>38.009787928221861</v>
      </c>
      <c r="AY80" s="456">
        <f>INPUT!BX596</f>
        <v>84.562990867963862</v>
      </c>
      <c r="AZ80" s="456">
        <f>INPUT!BY596</f>
        <v>29.411764705882355</v>
      </c>
      <c r="BA80" s="456">
        <f>INPUT!BZ596</f>
        <v>42.933191376097966</v>
      </c>
      <c r="BB80" s="456">
        <f>INPUT!CA596</f>
        <v>21.676646706586826</v>
      </c>
      <c r="BC80" s="456">
        <f>INPUT!CB596</f>
        <v>-0.4326275678308491</v>
      </c>
      <c r="BD80" s="456">
        <f>INPUT!CC596</f>
        <v>29.300291545189506</v>
      </c>
      <c r="BE80" s="456">
        <f>INPUT!CD596</f>
        <v>-0.30965894388185689</v>
      </c>
      <c r="BF80" s="456">
        <f>INPUT!CE596</f>
        <v>28.92998678996037</v>
      </c>
      <c r="BG80" s="456">
        <f>INPUT!CF596</f>
        <v>-23.888060505383237</v>
      </c>
      <c r="BH80" s="456">
        <f>INPUT!CG596</f>
        <v>21.33168927250308</v>
      </c>
      <c r="BI80" s="456">
        <f>INPUT!CH596</f>
        <v>-27.472256473489537</v>
      </c>
      <c r="BJ80" s="456">
        <f>INPUT!CI596</f>
        <v>21.85430463576159</v>
      </c>
      <c r="BK80" s="456">
        <f>INPUT!CJ596</f>
        <v>0.81958215945263646</v>
      </c>
      <c r="BL80" s="456">
        <f>INPUT!CK596</f>
        <v>24.541284403669724</v>
      </c>
      <c r="BM80" s="456">
        <f>INPUT!CL596</f>
        <v>-16.242183577525225</v>
      </c>
      <c r="BN80" s="456">
        <f>INPUT!CM596</f>
        <v>22.21754238180478</v>
      </c>
      <c r="BO80" s="456">
        <f>INPUT!CN596</f>
        <v>-23.202376333213621</v>
      </c>
      <c r="BP80" s="456">
        <f>INPUT!CO596</f>
        <v>19.909502262443439</v>
      </c>
      <c r="BQ80" s="456">
        <f>INPUT!CP596</f>
        <v>-6.6670154055397148</v>
      </c>
      <c r="BR80" s="456">
        <f>INPUT!CQ596</f>
        <v>16.073245167853507</v>
      </c>
      <c r="BS80" s="456">
        <f>INPUT!CR596</f>
        <v>-26.452726656185462</v>
      </c>
      <c r="BT80" s="456">
        <f>INPUT!CS596</f>
        <v>18.609406952965234</v>
      </c>
      <c r="BU80" s="456">
        <f>INPUT!CT596</f>
        <v>-24.171014658945396</v>
      </c>
      <c r="BV80" s="456">
        <f>INPUT!CU596</f>
        <v>12.5</v>
      </c>
      <c r="BW80" s="456">
        <f>INPUT!CV596</f>
        <v>-43.738151658767762</v>
      </c>
      <c r="BX80" s="456">
        <f>INPUT!CW596</f>
        <v>17.150635208711435</v>
      </c>
      <c r="BY80" s="456">
        <f>INPUT!CX596</f>
        <v>-13.857036792608483</v>
      </c>
      <c r="BZ80" s="456">
        <f>INPUT!CY596</f>
        <v>15.164279696714406</v>
      </c>
      <c r="CA80" s="456">
        <f>INPUT!CZ596</f>
        <v>-5.65514593752998</v>
      </c>
      <c r="CB80" s="456">
        <f>INPUT!DA596</f>
        <v>16.696113074204945</v>
      </c>
      <c r="CC80" s="456">
        <f>INPUT!DB596</f>
        <v>-10.281326447404197</v>
      </c>
      <c r="CD80" s="456">
        <f>INPUT!DC596</f>
        <v>17.274052478134109</v>
      </c>
      <c r="CE80" s="456">
        <f>INPUT!DD596</f>
        <v>38.192419825072875</v>
      </c>
      <c r="CF80" s="456">
        <f>INPUT!DE596</f>
        <v>18.526622902990518</v>
      </c>
      <c r="CG80" s="456">
        <f>INPUT!DF596</f>
        <v>8.022954704209269</v>
      </c>
      <c r="CH80" s="456">
        <f>INPUT!DG596</f>
        <v>17.425742574257423</v>
      </c>
      <c r="CI80" s="456">
        <f>INPUT!DH596</f>
        <v>14.913091309130905</v>
      </c>
      <c r="CJ80" s="456">
        <f>INPUT!DI596</f>
        <v>23.964697895451458</v>
      </c>
      <c r="CK80" s="456">
        <f>INPUT!DJ596</f>
        <v>43.534592685984421</v>
      </c>
      <c r="CL80" s="456">
        <f>INPUT!DK596</f>
        <v>22.896039603960396</v>
      </c>
      <c r="CM80" s="456">
        <f>INPUT!DL596</f>
        <v>32.54584952166104</v>
      </c>
      <c r="CN80" s="456">
        <f>INPUT!DM596</f>
        <v>20.305810397553518</v>
      </c>
      <c r="CO80" s="456">
        <f>INPUT!DN596</f>
        <v>9.6034096655349401</v>
      </c>
      <c r="CP80" s="456">
        <f>INPUT!DO596</f>
        <v>18.973074514715091</v>
      </c>
      <c r="CQ80" s="456">
        <f>INPUT!DP596</f>
        <v>8.8795753401263795</v>
      </c>
      <c r="CR80" s="456">
        <f>INPUT!DQ596</f>
        <v>22.593582887700535</v>
      </c>
      <c r="CS80" s="456">
        <f>INPUT!DR596</f>
        <v>-5.7213949190286399</v>
      </c>
      <c r="CT80" s="456">
        <f>INPUT!DS596</f>
        <v>19.053398058252426</v>
      </c>
      <c r="CU80" s="456">
        <f>INPUT!DT596</f>
        <v>-16.782996588821845</v>
      </c>
      <c r="CV80" s="456">
        <f>INPUT!DU596</f>
        <v>17.338217338217337</v>
      </c>
      <c r="CW80" s="456">
        <f>INPUT!DV596</f>
        <v>-14.614501963899556</v>
      </c>
      <c r="CX80" s="456">
        <f>INPUT!DW596</f>
        <v>17.194570135746606</v>
      </c>
      <c r="CY80" s="456">
        <f>INPUT!DX596</f>
        <v>-9.3738333109329091</v>
      </c>
      <c r="CZ80" s="456">
        <f>INPUT!DY596</f>
        <v>15.300117693213025</v>
      </c>
      <c r="DA80" s="456">
        <f>INPUT!DZ596</f>
        <v>-32.281135890394424</v>
      </c>
      <c r="DB80" s="456">
        <f>INPUT!EA596</f>
        <v>17.217146872803934</v>
      </c>
      <c r="DC80" s="456">
        <f>INPUT!EB596</f>
        <v>-9.6373947567487761</v>
      </c>
      <c r="DD80" s="456">
        <f>INPUT!EC596</f>
        <v>21.380697050938338</v>
      </c>
      <c r="DE80" s="456">
        <f>INPUT!ED596</f>
        <v>23.315428765623253</v>
      </c>
      <c r="DF80" s="456">
        <f>INPUT!EE596</f>
        <v>23.055746730901582</v>
      </c>
      <c r="DG80" s="456">
        <f>INPUT!EF596</f>
        <v>34.087369145506585</v>
      </c>
      <c r="DH80" s="456">
        <f>INPUT!EG596</f>
        <v>23.697011813759556</v>
      </c>
      <c r="DI80" s="456">
        <f>INPUT!EH596</f>
        <v>54.881238751982323</v>
      </c>
      <c r="DJ80" s="456">
        <f>INPUT!EI596</f>
        <v>26.278885433815013</v>
      </c>
      <c r="DK80" s="456">
        <f>INPUT!EJ596</f>
        <v>52.632057029872527</v>
      </c>
      <c r="DL80" s="456">
        <f>INPUT!EK596</f>
        <v>22.772828507795101</v>
      </c>
      <c r="DM80" s="456">
        <f>INPUT!EL596</f>
        <v>6.5111602935118924</v>
      </c>
      <c r="DN80" s="456">
        <f>INPUT!EM596</f>
        <v>17.799539170506911</v>
      </c>
      <c r="DO80" s="456">
        <f>INPUT!EN596</f>
        <v>-22.797819657473013</v>
      </c>
      <c r="DP80" s="456">
        <f>INPUT!EO596</f>
        <v>19.961734693877549</v>
      </c>
      <c r="DQ80" s="456">
        <f>INPUT!EP596</f>
        <v>-15.762650368065124</v>
      </c>
      <c r="DR80" s="456">
        <f>INPUT!EQ596</f>
        <v>20.451757677972367</v>
      </c>
      <c r="DS80" s="456">
        <f>INPUT!ER596</f>
        <v>-22.17418151359054</v>
      </c>
      <c r="DT80" s="456">
        <f>INPUT!ES596</f>
        <v>19.431001805716512</v>
      </c>
      <c r="DU80" s="456">
        <f>INPUT!ET596</f>
        <v>-14.674622877587154</v>
      </c>
      <c r="DV80" s="456">
        <f>INPUT!EU596</f>
        <v>18.828989458564141</v>
      </c>
      <c r="DW80" s="456">
        <f>INPUT!EV596</f>
        <v>5.7835783173700577</v>
      </c>
      <c r="DX80" s="456">
        <f>INPUT!EW596</f>
        <v>19.44549573829752</v>
      </c>
      <c r="DY80" s="456">
        <f>INPUT!EX596</f>
        <v>-2.5861427551101741</v>
      </c>
      <c r="DZ80" s="456">
        <f>INPUT!EY596</f>
        <v>0</v>
      </c>
      <c r="EA80" s="438"/>
      <c r="EB80" s="439" t="str">
        <f>INPUT!FI595</f>
        <v>NM</v>
      </c>
      <c r="EC80" s="456">
        <f>INPUT!FJ595</f>
        <v>8.6640581330352155</v>
      </c>
      <c r="ED80" s="439">
        <f>INPUT!FK595</f>
        <v>81.573904016609418</v>
      </c>
      <c r="EE80" s="456">
        <f>INPUT!FL595</f>
        <v>8.0552907530981894</v>
      </c>
      <c r="EF80" s="439">
        <f>INPUT!FM595</f>
        <v>-7.0263538239183134</v>
      </c>
      <c r="EG80" s="456">
        <f>INPUT!FN595</f>
        <v>5.4444444444444438</v>
      </c>
      <c r="EH80" s="439">
        <f>INPUT!FO595</f>
        <v>-32.411571334648272</v>
      </c>
      <c r="EI80" s="456">
        <f>INPUT!FP595</f>
        <v>6.4686856806821531</v>
      </c>
      <c r="EJ80" s="438">
        <f>INPUT!FQ595</f>
        <v>18.812594134978326</v>
      </c>
      <c r="EK80" s="456">
        <f>INPUT!FR595</f>
        <v>6.3241106719367588</v>
      </c>
      <c r="EL80" s="438">
        <f>INPUT!FS595</f>
        <v>-2.234998203377657</v>
      </c>
      <c r="EM80" s="456">
        <f>INPUT!FT595</f>
        <v>6.1025930591147981</v>
      </c>
      <c r="EN80" s="438">
        <f>INPUT!FU595</f>
        <v>-3.5027472527472554</v>
      </c>
      <c r="EO80" s="456">
        <f>INPUT!FV595</f>
        <v>9.3288177339901477</v>
      </c>
      <c r="EP80" s="438">
        <f>INPUT!FW595</f>
        <v>52.866456006871999</v>
      </c>
      <c r="EQ80" s="456">
        <f>INPUT!FX595</f>
        <v>12.876712328767123</v>
      </c>
      <c r="ER80" s="438">
        <f>INPUT!FY595</f>
        <v>38.031556580315566</v>
      </c>
      <c r="ES80" s="456">
        <f>INPUT!FZ595</f>
        <v>5.9780907668231613</v>
      </c>
      <c r="ET80" s="438" t="str">
        <f>INPUT!GA595</f>
        <v>NM</v>
      </c>
      <c r="EU80" s="456">
        <f>INPUT!GB595</f>
        <v>3.8100455711333017</v>
      </c>
      <c r="EV80" s="438">
        <f>INPUT!GC595</f>
        <v>-36.266515184445559</v>
      </c>
      <c r="EW80" s="456">
        <f>INPUT!GD595</f>
        <v>1.0807082087836284</v>
      </c>
      <c r="EX80" s="456">
        <f>INPUT!GE596</f>
        <v>-19.280702900229912</v>
      </c>
      <c r="EY80" s="456">
        <f>INPUT!GF596</f>
        <v>19.333449659745245</v>
      </c>
      <c r="EZ80" s="456">
        <f>INPUT!GG596</f>
        <v>24.749514199157389</v>
      </c>
      <c r="FA80" s="456">
        <f>INPUT!GH596</f>
        <v>21.169609079445145</v>
      </c>
      <c r="FB80" s="456">
        <f>INPUT!GI596</f>
        <v>9.4973191645308077</v>
      </c>
      <c r="FC80" s="456">
        <f>INPUT!GJ596</f>
        <v>17.339336880884161</v>
      </c>
      <c r="FD80" s="438">
        <f>INPUT!GK596</f>
        <v>-18.093258993053524</v>
      </c>
      <c r="FE80" s="456">
        <f>INPUT!GL596</f>
        <v>21.353538832443604</v>
      </c>
      <c r="FF80" s="438">
        <f>INPUT!GM596</f>
        <v>23.15083892270944</v>
      </c>
      <c r="FG80" s="456">
        <f>INPUT!GN596</f>
        <v>21.691072832747288</v>
      </c>
      <c r="FH80" s="438">
        <f>INPUT!GO596</f>
        <v>1.5806934998092714</v>
      </c>
      <c r="FI80" s="456">
        <f>INPUT!GP596</f>
        <v>19.542709402290136</v>
      </c>
      <c r="FJ80" s="438">
        <f>INPUT!GQ596</f>
        <v>-9.9043668656800605</v>
      </c>
      <c r="FK80" s="456">
        <f>INPUT!GR596</f>
        <v>19.850525172650791</v>
      </c>
      <c r="FL80" s="438">
        <f>INPUT!GS596</f>
        <v>1.5750926037132871</v>
      </c>
      <c r="FM80" s="456">
        <f>INPUT!GT596</f>
        <v>20.144396958119625</v>
      </c>
      <c r="FN80" s="438">
        <f>INPUT!GU596</f>
        <v>1.480423227662115</v>
      </c>
      <c r="FO80" s="456">
        <f>INPUT!GV596</f>
        <v>20.382453996805072</v>
      </c>
      <c r="FP80" s="438">
        <f>INPUT!GW596</f>
        <v>1.1817531156696788</v>
      </c>
      <c r="FQ80" s="456">
        <f>INPUT!GX596</f>
        <v>20.655649063796794</v>
      </c>
      <c r="FR80" s="438">
        <f>INPUT!GY596</f>
        <v>1.3403443326036353</v>
      </c>
      <c r="FS80" s="806">
        <f>INPUT!GZ596</f>
        <v>-0.97346963401118147</v>
      </c>
    </row>
    <row r="81" spans="1:175" s="529" customFormat="1" ht="12.75" customHeight="1" x14ac:dyDescent="0.2">
      <c r="A81" s="811" t="str">
        <f>INPUT!B598</f>
        <v>Investment Management Division</v>
      </c>
      <c r="B81" s="456">
        <f>INPUT!AA598</f>
        <v>9.8684210526315788</v>
      </c>
      <c r="C81" s="456">
        <f>INPUT!AB598</f>
        <v>-22.61904761904762</v>
      </c>
      <c r="D81" s="456">
        <f>INPUT!AC598</f>
        <v>9.8181818181818183</v>
      </c>
      <c r="E81" s="456">
        <f>INPUT!AD598</f>
        <v>-4.068181818181813</v>
      </c>
      <c r="F81" s="456">
        <f>INPUT!AE598</f>
        <v>8.0924855491329488</v>
      </c>
      <c r="G81" s="456">
        <f>INPUT!AF598</f>
        <v>-14.836223506743735</v>
      </c>
      <c r="H81" s="456">
        <f>INPUT!AG598</f>
        <v>12.099644128113878</v>
      </c>
      <c r="I81" s="456">
        <f>INPUT!AH598</f>
        <v>46.756973940994129</v>
      </c>
      <c r="J81" s="456">
        <f>INPUT!AI598</f>
        <v>10.283687943262411</v>
      </c>
      <c r="K81" s="456">
        <f>INPUT!AJ598</f>
        <v>4.208037825059094</v>
      </c>
      <c r="L81" s="456">
        <f>INPUT!AK598</f>
        <v>8.2987551867219906</v>
      </c>
      <c r="M81" s="456">
        <f>INPUT!AL598</f>
        <v>-15.475641616720466</v>
      </c>
      <c r="N81" s="456">
        <f>INPUT!AM598</f>
        <v>8.1460674157303377</v>
      </c>
      <c r="O81" s="456">
        <f>INPUT!AN598</f>
        <v>0.66211878009629288</v>
      </c>
      <c r="P81" s="456">
        <f>INPUT!AO598</f>
        <v>10.043041606886657</v>
      </c>
      <c r="Q81" s="456">
        <f>INPUT!AP598</f>
        <v>-16.997214954848502</v>
      </c>
      <c r="R81" s="456">
        <f>INPUT!AQ598</f>
        <v>13.009198423127463</v>
      </c>
      <c r="S81" s="456">
        <f>INPUT!AR598</f>
        <v>26.503239838687747</v>
      </c>
      <c r="T81" s="456">
        <f>INPUT!AS598</f>
        <v>10.173697270471465</v>
      </c>
      <c r="U81" s="456">
        <f>INPUT!AT598</f>
        <v>22.593052109181173</v>
      </c>
      <c r="V81" s="456">
        <f>INPUT!AU598</f>
        <v>11.073059360730593</v>
      </c>
      <c r="W81" s="456">
        <f>INPUT!AV598</f>
        <v>35.931349393796239</v>
      </c>
      <c r="X81" s="456">
        <f>INPUT!AW598</f>
        <v>11.595744680851064</v>
      </c>
      <c r="Y81" s="456">
        <f>INPUT!AX598</f>
        <v>15.460486322188459</v>
      </c>
      <c r="Z81" s="456">
        <f>INPUT!AY598</f>
        <v>16.091954022988507</v>
      </c>
      <c r="AA81" s="456">
        <f>INPUT!AZ598</f>
        <v>23.696737489840956</v>
      </c>
      <c r="AB81" s="456">
        <f>INPUT!BA598</f>
        <v>11.052072263549416</v>
      </c>
      <c r="AC81" s="456">
        <f>INPUT!BB598</f>
        <v>8.6337834685466817</v>
      </c>
      <c r="AD81" s="456">
        <f>INPUT!BC598</f>
        <v>10.816542948038176</v>
      </c>
      <c r="AE81" s="456">
        <f>INPUT!BD598</f>
        <v>-2.3165812115315276</v>
      </c>
      <c r="AF81" s="456">
        <f>INPUT!BE598</f>
        <v>12.654320987654321</v>
      </c>
      <c r="AG81" s="456">
        <f>INPUT!BF598</f>
        <v>9.1290066825234959</v>
      </c>
      <c r="AH81" s="456">
        <f>INPUT!BG598</f>
        <v>14.767530487804878</v>
      </c>
      <c r="AI81" s="456">
        <f>INPUT!BH598</f>
        <v>-8.2303462543553962</v>
      </c>
      <c r="AJ81" s="456">
        <f>INPUT!BI598</f>
        <v>13.959854014598541</v>
      </c>
      <c r="AK81" s="456">
        <f>INPUT!BJ598</f>
        <v>26.309832959011786</v>
      </c>
      <c r="AL81" s="456">
        <f>INPUT!BK598</f>
        <v>16.335877862595417</v>
      </c>
      <c r="AM81" s="456">
        <f>INPUT!BL598</f>
        <v>51.026792396347815</v>
      </c>
      <c r="AN81" s="456">
        <f>INPUT!BM598</f>
        <v>21.039182282793867</v>
      </c>
      <c r="AO81" s="456">
        <f>INPUT!BN598</f>
        <v>66.260855112810049</v>
      </c>
      <c r="AP81" s="456">
        <f>INPUT!BO598</f>
        <v>15.817409766454352</v>
      </c>
      <c r="AQ81" s="456">
        <f>INPUT!BP598</f>
        <v>7.1093760701321855</v>
      </c>
      <c r="AR81" s="456">
        <f>INPUT!BQ598</f>
        <v>13.966480446927374</v>
      </c>
      <c r="AS81" s="456">
        <f>INPUT!BR598</f>
        <v>4.7467776682367457E-2</v>
      </c>
      <c r="AT81" s="456">
        <f>INPUT!BS598</f>
        <v>10.625</v>
      </c>
      <c r="AU81" s="456">
        <f>INPUT!BT598</f>
        <v>-34.9591121495327</v>
      </c>
      <c r="AV81" s="456">
        <f>INPUT!BU598</f>
        <v>14.086956521739131</v>
      </c>
      <c r="AW81" s="456">
        <f>INPUT!BV598</f>
        <v>-33.044182362260159</v>
      </c>
      <c r="AX81" s="456">
        <f>INPUT!BW598</f>
        <v>-0.16313213703099511</v>
      </c>
      <c r="AY81" s="456" t="str">
        <f>INPUT!BX598</f>
        <v>NM</v>
      </c>
      <c r="AZ81" s="456">
        <f>INPUT!BY598</f>
        <v>4.6218487394957988</v>
      </c>
      <c r="BA81" s="456" t="str">
        <f>INPUT!BZ598</f>
        <v>NM</v>
      </c>
      <c r="BB81" s="456">
        <f>INPUT!CA598</f>
        <v>3.4730538922155691</v>
      </c>
      <c r="BC81" s="456" t="str">
        <f>INPUT!CB598</f>
        <v>NM</v>
      </c>
      <c r="BD81" s="456">
        <f>INPUT!CC598</f>
        <v>-0.87463556851311952</v>
      </c>
      <c r="BE81" s="456" t="str">
        <f>INPUT!CD598</f>
        <v>NM</v>
      </c>
      <c r="BF81" s="456">
        <f>INPUT!CE598</f>
        <v>10.96433289299868</v>
      </c>
      <c r="BG81" s="456" t="str">
        <f>INPUT!CF598</f>
        <v>NM</v>
      </c>
      <c r="BH81" s="456">
        <f>INPUT!CG598</f>
        <v>15.289765721331689</v>
      </c>
      <c r="BI81" s="456" t="str">
        <f>INPUT!CH598</f>
        <v>NM</v>
      </c>
      <c r="BJ81" s="456">
        <f>INPUT!CI598</f>
        <v>19.602649006622517</v>
      </c>
      <c r="BK81" s="456" t="str">
        <f>INPUT!CJ598</f>
        <v>NM</v>
      </c>
      <c r="BL81" s="456">
        <f>INPUT!CK598</f>
        <v>15.137614678899084</v>
      </c>
      <c r="BM81" s="456" t="str">
        <f>INPUT!CL598</f>
        <v>NM</v>
      </c>
      <c r="BN81" s="456">
        <f>INPUT!CM598</f>
        <v>16.215647046435716</v>
      </c>
      <c r="BO81" s="456">
        <f>INPUT!CN598</f>
        <v>47.894515833154657</v>
      </c>
      <c r="BP81" s="456">
        <f>INPUT!CO598</f>
        <v>15.02262443438914</v>
      </c>
      <c r="BQ81" s="456">
        <f>INPUT!CP598</f>
        <v>-1.747190191212951</v>
      </c>
      <c r="BR81" s="456">
        <f>INPUT!CQ598</f>
        <v>12.512716174974567</v>
      </c>
      <c r="BS81" s="456">
        <f>INPUT!CR598</f>
        <v>-36.168238431717583</v>
      </c>
      <c r="BT81" s="456">
        <f>INPUT!CS598</f>
        <v>16.359918200408998</v>
      </c>
      <c r="BU81" s="456">
        <f>INPUT!CT598</f>
        <v>8.0746111420958044</v>
      </c>
      <c r="BV81" s="456">
        <f>INPUT!CU598</f>
        <v>15.84051724137931</v>
      </c>
      <c r="BW81" s="456">
        <f>INPUT!CV598</f>
        <v>-2.3133816614420084</v>
      </c>
      <c r="BX81" s="456">
        <f>INPUT!CW598</f>
        <v>11.796733212341199</v>
      </c>
      <c r="BY81" s="456">
        <f>INPUT!CX598</f>
        <v>-21.473553014234795</v>
      </c>
      <c r="BZ81" s="456">
        <f>INPUT!CY598</f>
        <v>16.596461668070766</v>
      </c>
      <c r="CA81" s="456">
        <f>INPUT!CZ598</f>
        <v>32.636762761898893</v>
      </c>
      <c r="CB81" s="456">
        <f>INPUT!DA598</f>
        <v>17.844522968197879</v>
      </c>
      <c r="CC81" s="456">
        <f>INPUT!DB598</f>
        <v>9.0746466431095314</v>
      </c>
      <c r="CD81" s="456">
        <f>INPUT!DC598</f>
        <v>12.317784256559767</v>
      </c>
      <c r="CE81" s="456">
        <f>INPUT!DD598</f>
        <v>-22.238749727296153</v>
      </c>
      <c r="CF81" s="456">
        <f>INPUT!DE598</f>
        <v>12.545587162654998</v>
      </c>
      <c r="CG81" s="456">
        <f>INPUT!DF598</f>
        <v>6.347977332660065</v>
      </c>
      <c r="CH81" s="456">
        <f>INPUT!DG598</f>
        <v>11.419141914191419</v>
      </c>
      <c r="CI81" s="456">
        <f>INPUT!DH598</f>
        <v>-31.195322577943074</v>
      </c>
      <c r="CJ81" s="456">
        <f>INPUT!DI598</f>
        <v>14.188730482009504</v>
      </c>
      <c r="CK81" s="456">
        <f>INPUT!DJ598</f>
        <v>-20.486916308738813</v>
      </c>
      <c r="CL81" s="456">
        <f>INPUT!DK598</f>
        <v>11.943069306930692</v>
      </c>
      <c r="CM81" s="456">
        <f>INPUT!DL598</f>
        <v>-3.0420645614857449</v>
      </c>
      <c r="CN81" s="456">
        <f>INPUT!DM598</f>
        <v>12.232415902140673</v>
      </c>
      <c r="CO81" s="456">
        <f>INPUT!DN598</f>
        <v>-2.4962662684019818</v>
      </c>
      <c r="CP81" s="456">
        <f>INPUT!DO598</f>
        <v>12.523481527864746</v>
      </c>
      <c r="CQ81" s="456">
        <f>INPUT!DP598</f>
        <v>9.6709509521103456</v>
      </c>
      <c r="CR81" s="456">
        <f>INPUT!DQ598</f>
        <v>12.834224598930483</v>
      </c>
      <c r="CS81" s="456">
        <f>INPUT!DR598</f>
        <v>-9.5463500754803761</v>
      </c>
      <c r="CT81" s="456">
        <f>INPUT!DS598</f>
        <v>12.439320388349515</v>
      </c>
      <c r="CU81" s="456">
        <f>INPUT!DT598</f>
        <v>4.1551385884601899</v>
      </c>
      <c r="CV81" s="456">
        <f>INPUT!DU598</f>
        <v>11.965811965811966</v>
      </c>
      <c r="CW81" s="456">
        <f>INPUT!DV598</f>
        <v>-2.1794871794871824</v>
      </c>
      <c r="CX81" s="456">
        <f>INPUT!DW598</f>
        <v>11.635423400129282</v>
      </c>
      <c r="CY81" s="456">
        <f>INPUT!DX598</f>
        <v>-7.0911441499676755</v>
      </c>
      <c r="CZ81" s="456">
        <f>INPUT!DY598</f>
        <v>15.535504119262455</v>
      </c>
      <c r="DA81" s="456">
        <f>INPUT!DZ598</f>
        <v>21.047469595919949</v>
      </c>
      <c r="DB81" s="456">
        <f>INPUT!EA598</f>
        <v>11.595221363316936</v>
      </c>
      <c r="DC81" s="456">
        <f>INPUT!EB598</f>
        <v>-6.7857326500179909</v>
      </c>
      <c r="DD81" s="456">
        <f>INPUT!EC598</f>
        <v>13.873994638069705</v>
      </c>
      <c r="DE81" s="456">
        <f>INPUT!ED598</f>
        <v>15.946955189582539</v>
      </c>
      <c r="DF81" s="456">
        <f>INPUT!EE598</f>
        <v>13.145216792842396</v>
      </c>
      <c r="DG81" s="456">
        <f>INPUT!EF598</f>
        <v>12.975835436262145</v>
      </c>
      <c r="DH81" s="456">
        <f>INPUT!EG598</f>
        <v>15.56636553161918</v>
      </c>
      <c r="DI81" s="456">
        <f>INPUT!EH598</f>
        <v>0.19865085883155587</v>
      </c>
      <c r="DJ81" s="456">
        <f>INPUT!EI598</f>
        <v>11.950490823730261</v>
      </c>
      <c r="DK81" s="456">
        <f>INPUT!EJ598</f>
        <v>3.0639299525343091</v>
      </c>
      <c r="DL81" s="456">
        <f>INPUT!EK598</f>
        <v>12.138084632516703</v>
      </c>
      <c r="DM81" s="456">
        <f>INPUT!EL598</f>
        <v>-12.511969701860281</v>
      </c>
      <c r="DN81" s="456">
        <f>INPUT!EM598</f>
        <v>14.919354838709678</v>
      </c>
      <c r="DO81" s="456">
        <f>INPUT!EN598</f>
        <v>13.496453301807136</v>
      </c>
      <c r="DP81" s="456">
        <f>INPUT!EO598</f>
        <v>19.51530612244898</v>
      </c>
      <c r="DQ81" s="456">
        <f>INPUT!EP598</f>
        <v>25.368417456268205</v>
      </c>
      <c r="DR81" s="456">
        <f>INPUT!EQ598</f>
        <v>14.505558342169319</v>
      </c>
      <c r="DS81" s="456">
        <f>INPUT!ER598</f>
        <v>21.380439984652554</v>
      </c>
      <c r="DT81" s="456">
        <f>INPUT!ES598</f>
        <v>14.387276333198972</v>
      </c>
      <c r="DU81" s="456">
        <f>INPUT!ET598</f>
        <v>18.530038047822742</v>
      </c>
      <c r="DV81" s="456">
        <f>INPUT!EU598</f>
        <v>14.76758333996972</v>
      </c>
      <c r="DW81" s="456">
        <f>INPUT!EV598</f>
        <v>-1.0172792347975559</v>
      </c>
      <c r="DX81" s="456">
        <f>INPUT!EW598</f>
        <v>16.326241817481669</v>
      </c>
      <c r="DY81" s="456">
        <f>INPUT!EX598</f>
        <v>-16.341349118263864</v>
      </c>
      <c r="DZ81" s="456">
        <f>INPUT!EY598</f>
        <v>0</v>
      </c>
      <c r="EA81" s="438"/>
      <c r="EB81" s="439">
        <f>INPUT!FI598</f>
        <v>-34.008373143019583</v>
      </c>
      <c r="EC81" s="456">
        <f>INPUT!FJ598</f>
        <v>10.285075461151481</v>
      </c>
      <c r="ED81" s="439">
        <f>INPUT!FK598</f>
        <v>-23.019358665769289</v>
      </c>
      <c r="EE81" s="456">
        <f>INPUT!FL598</f>
        <v>9.9618684461391798</v>
      </c>
      <c r="EF81" s="439">
        <f>INPUT!FM598</f>
        <v>-3.142485597048946</v>
      </c>
      <c r="EG81" s="456">
        <f>INPUT!FN598</f>
        <v>9.1111111111111107</v>
      </c>
      <c r="EH81" s="439">
        <f>INPUT!FO598</f>
        <v>-8.5401382243487518</v>
      </c>
      <c r="EI81" s="456">
        <f>INPUT!FP598</f>
        <v>11.379006174654513</v>
      </c>
      <c r="EJ81" s="438">
        <f>INPUT!FQ598</f>
        <v>24.891531185232466</v>
      </c>
      <c r="EK81" s="456">
        <f>INPUT!FR598</f>
        <v>12.727272727272727</v>
      </c>
      <c r="EL81" s="438">
        <f>INPUT!FS598</f>
        <v>11.848719755696507</v>
      </c>
      <c r="EM81" s="456">
        <f>INPUT!FT598</f>
        <v>16.700690613734089</v>
      </c>
      <c r="EN81" s="438">
        <f>INPUT!FU598</f>
        <v>31.219711965053563</v>
      </c>
      <c r="EO81" s="456">
        <f>INPUT!FV598</f>
        <v>14.839901477832512</v>
      </c>
      <c r="EP81" s="438">
        <f>INPUT!FW598</f>
        <v>-11.141989148468667</v>
      </c>
      <c r="EQ81" s="456">
        <f>INPUT!FX598</f>
        <v>2.152641878669276</v>
      </c>
      <c r="ER81" s="438" t="str">
        <f>INPUT!FY598</f>
        <v>NM</v>
      </c>
      <c r="ES81" s="456">
        <f>INPUT!FZ598</f>
        <v>15.242566510172145</v>
      </c>
      <c r="ET81" s="438" t="str">
        <f>INPUT!GA598</f>
        <v>NM</v>
      </c>
      <c r="EU81" s="456">
        <f>INPUT!GB598</f>
        <v>15.016061956819485</v>
      </c>
      <c r="EV81" s="438">
        <f>INPUT!GC598</f>
        <v>-1.4860000984840838</v>
      </c>
      <c r="EW81" s="456">
        <f>INPUT!GD598</f>
        <v>15.54380317314325</v>
      </c>
      <c r="EX81" s="456">
        <f>INPUT!GE598</f>
        <v>3.5145114467518113</v>
      </c>
      <c r="EY81" s="456">
        <f>INPUT!GF598</f>
        <v>12.615599371837375</v>
      </c>
      <c r="EZ81" s="456">
        <f>INPUT!GG598</f>
        <v>-18.838399899229657</v>
      </c>
      <c r="FA81" s="456">
        <f>INPUT!GH598</f>
        <v>12.373896595208072</v>
      </c>
      <c r="FB81" s="456">
        <f>INPUT!GI598</f>
        <v>-1.9159040288555076</v>
      </c>
      <c r="FC81" s="456">
        <f>INPUT!GJ598</f>
        <v>12.754809660253786</v>
      </c>
      <c r="FD81" s="438">
        <f>INPUT!GK598</f>
        <v>3.0783598530573357</v>
      </c>
      <c r="FE81" s="456">
        <f>INPUT!GL598</f>
        <v>13.552608920268641</v>
      </c>
      <c r="FF81" s="438">
        <f>INPUT!GM598</f>
        <v>6.2548895770740955</v>
      </c>
      <c r="FG81" s="456">
        <f>INPUT!GN598</f>
        <v>14.525007047373183</v>
      </c>
      <c r="FH81" s="438">
        <f>INPUT!GO598</f>
        <v>7.1749884677205529</v>
      </c>
      <c r="FI81" s="456">
        <f>INPUT!GP598</f>
        <v>14.960935583141058</v>
      </c>
      <c r="FJ81" s="438">
        <f>INPUT!GQ598</f>
        <v>3.0012277057497982</v>
      </c>
      <c r="FK81" s="456">
        <f>INPUT!GR598</f>
        <v>15.584807910292451</v>
      </c>
      <c r="FL81" s="438">
        <f>INPUT!GS598</f>
        <v>4.1700087784243323</v>
      </c>
      <c r="FM81" s="456">
        <f>INPUT!GT598</f>
        <v>16.101141041199416</v>
      </c>
      <c r="FN81" s="438">
        <f>INPUT!GU598</f>
        <v>3.3130541863526588</v>
      </c>
      <c r="FO81" s="456">
        <f>INPUT!GV598</f>
        <v>16.581695557766547</v>
      </c>
      <c r="FP81" s="438">
        <f>INPUT!GW598</f>
        <v>2.9845991370269616</v>
      </c>
      <c r="FQ81" s="456">
        <f>INPUT!GX598</f>
        <v>16.886691663212705</v>
      </c>
      <c r="FR81" s="438">
        <f>INPUT!GY598</f>
        <v>1.8393541503860575</v>
      </c>
      <c r="FS81" s="806">
        <f>INPUT!GZ598</f>
        <v>3.0589336162984981</v>
      </c>
    </row>
    <row r="82" spans="1:175" s="529" customFormat="1" ht="12.75" customHeight="1" x14ac:dyDescent="0.2">
      <c r="A82" s="810" t="str">
        <f>INPUT!B600</f>
        <v>International Insurance - Life Planner</v>
      </c>
      <c r="B82" s="456">
        <f>INPUT!AA600</f>
        <v>21.929824561403507</v>
      </c>
      <c r="C82" s="456">
        <f>INPUT!AB600</f>
        <v>8.3333333333333286</v>
      </c>
      <c r="D82" s="456">
        <f>INPUT!AC600</f>
        <v>19.818181818181817</v>
      </c>
      <c r="E82" s="456">
        <f>INPUT!AD600</f>
        <v>8.0782241014798899</v>
      </c>
      <c r="F82" s="456">
        <f>INPUT!AE600</f>
        <v>21.387283236994222</v>
      </c>
      <c r="G82" s="456">
        <f>INPUT!AF600</f>
        <v>12.537847508945774</v>
      </c>
      <c r="H82" s="456">
        <f>INPUT!AG600</f>
        <v>22.953736654804271</v>
      </c>
      <c r="I82" s="456">
        <f>INPUT!AH600</f>
        <v>-20.820137777922881</v>
      </c>
      <c r="J82" s="456">
        <f>INPUT!AI600</f>
        <v>21.453900709219859</v>
      </c>
      <c r="K82" s="456">
        <f>INPUT!AJ600</f>
        <v>-2.1702127659574302</v>
      </c>
      <c r="L82" s="456">
        <f>INPUT!AK600</f>
        <v>17.842323651452283</v>
      </c>
      <c r="M82" s="456">
        <f>INPUT!AL600</f>
        <v>-9.9699265293692179</v>
      </c>
      <c r="N82" s="456">
        <f>INPUT!AM600</f>
        <v>19.522471910112358</v>
      </c>
      <c r="O82" s="456">
        <f>INPUT!AN600</f>
        <v>-8.7192529608260116</v>
      </c>
      <c r="P82" s="456">
        <f>INPUT!AO600</f>
        <v>19.655667144906744</v>
      </c>
      <c r="Q82" s="456">
        <f>INPUT!AP600</f>
        <v>-14.368333833817132</v>
      </c>
      <c r="R82" s="456">
        <f>INPUT!AQ600</f>
        <v>22.601839684625492</v>
      </c>
      <c r="S82" s="456">
        <f>INPUT!AR600</f>
        <v>5.3507238192460846</v>
      </c>
      <c r="T82" s="456">
        <f>INPUT!AS600</f>
        <v>22.70471464019851</v>
      </c>
      <c r="U82" s="456">
        <f>INPUT!AT600</f>
        <v>27.252005309019552</v>
      </c>
      <c r="V82" s="456">
        <f>INPUT!AU600</f>
        <v>23.63013698630137</v>
      </c>
      <c r="W82" s="456">
        <f>INPUT!AV600</f>
        <v>21.040701685227162</v>
      </c>
      <c r="X82" s="456">
        <f>INPUT!AW600</f>
        <v>21.808510638297875</v>
      </c>
      <c r="Y82" s="456">
        <f>INPUT!AX600</f>
        <v>10.952787699953433</v>
      </c>
      <c r="Z82" s="456">
        <f>INPUT!AY600</f>
        <v>24.033437826541274</v>
      </c>
      <c r="AA82" s="456">
        <f>INPUT!AZ600</f>
        <v>6.3339894534762351</v>
      </c>
      <c r="AB82" s="456">
        <f>INPUT!BA600</f>
        <v>24.229543039319871</v>
      </c>
      <c r="AC82" s="456">
        <f>INPUT!BB600</f>
        <v>6.7159108726328753</v>
      </c>
      <c r="AD82" s="456">
        <f>INPUT!BC600</f>
        <v>25.132555673382821</v>
      </c>
      <c r="AE82" s="456">
        <f>INPUT!BD600</f>
        <v>6.3580616902577418</v>
      </c>
      <c r="AF82" s="456">
        <f>INPUT!BE600</f>
        <v>23.868312757201647</v>
      </c>
      <c r="AG82" s="456">
        <f>INPUT!BF600</f>
        <v>9.4449463013148431</v>
      </c>
      <c r="AH82" s="456">
        <f>INPUT!BG600</f>
        <v>25.628810975609756</v>
      </c>
      <c r="AI82" s="456">
        <f>INPUT!BH600</f>
        <v>6.6381395811240651</v>
      </c>
      <c r="AJ82" s="456">
        <f>INPUT!BI600</f>
        <v>23.083941605839417</v>
      </c>
      <c r="AK82" s="456">
        <f>INPUT!BJ600</f>
        <v>-4.7281181969522237</v>
      </c>
      <c r="AL82" s="456">
        <f>INPUT!BK600</f>
        <v>24.351145038167939</v>
      </c>
      <c r="AM82" s="456">
        <f>INPUT!BL600</f>
        <v>-3.1091570844204028</v>
      </c>
      <c r="AN82" s="456">
        <f>INPUT!BM600</f>
        <v>23.93526405451448</v>
      </c>
      <c r="AO82" s="456">
        <f>INPUT!BN600</f>
        <v>0.2805028490865169</v>
      </c>
      <c r="AP82" s="456">
        <f>INPUT!BO600</f>
        <v>30.254777070063692</v>
      </c>
      <c r="AQ82" s="456">
        <f>INPUT!BP600</f>
        <v>18.049866218360052</v>
      </c>
      <c r="AR82" s="456">
        <f>INPUT!BQ600</f>
        <v>26.629422718808193</v>
      </c>
      <c r="AS82" s="456">
        <f>INPUT!BR600</f>
        <v>15.359080236418095</v>
      </c>
      <c r="AT82" s="456">
        <f>INPUT!BS600</f>
        <v>30.520833333333336</v>
      </c>
      <c r="AU82" s="456">
        <f>INPUT!BT600</f>
        <v>25.336337513061665</v>
      </c>
      <c r="AV82" s="456">
        <f>INPUT!BU600</f>
        <v>45.391304347826086</v>
      </c>
      <c r="AW82" s="456">
        <f>INPUT!BV600</f>
        <v>89.641961937180895</v>
      </c>
      <c r="AX82" s="456">
        <f>INPUT!BW600</f>
        <v>48.613376835236544</v>
      </c>
      <c r="AY82" s="456">
        <f>INPUT!BX600</f>
        <v>60.680003434360799</v>
      </c>
      <c r="AZ82" s="456">
        <f>INPUT!BY600</f>
        <v>45.098039215686278</v>
      </c>
      <c r="BA82" s="456">
        <f>INPUT!BZ600</f>
        <v>69.354175236528192</v>
      </c>
      <c r="BB82" s="456">
        <f>INPUT!CA600</f>
        <v>35.32934131736527</v>
      </c>
      <c r="BC82" s="456">
        <f>INPUT!CB600</f>
        <v>15.75483844597494</v>
      </c>
      <c r="BD82" s="456">
        <f>INPUT!CC600</f>
        <v>44.023323615160351</v>
      </c>
      <c r="BE82" s="456">
        <f>INPUT!CD600</f>
        <v>-3.0137506562559366</v>
      </c>
      <c r="BF82" s="456">
        <f>INPUT!CE600</f>
        <v>39.365918097754296</v>
      </c>
      <c r="BG82" s="456">
        <f>INPUT!CF600</f>
        <v>-19.022457067371207</v>
      </c>
      <c r="BH82" s="456">
        <f>INPUT!CG600</f>
        <v>32.675709001233045</v>
      </c>
      <c r="BI82" s="456">
        <f>INPUT!CH600</f>
        <v>-27.545166997265852</v>
      </c>
      <c r="BJ82" s="456">
        <f>INPUT!CI600</f>
        <v>39.205298013245034</v>
      </c>
      <c r="BK82" s="456">
        <f>INPUT!CJ600</f>
        <v>10.970928274778331</v>
      </c>
      <c r="BL82" s="456">
        <f>INPUT!CK600</f>
        <v>33.256880733944953</v>
      </c>
      <c r="BM82" s="456">
        <f>INPUT!CL600</f>
        <v>-24.456224557992584</v>
      </c>
      <c r="BN82" s="456">
        <f>INPUT!CM600</f>
        <v>33.536906391492053</v>
      </c>
      <c r="BO82" s="456">
        <f>INPUT!CN600</f>
        <v>-14.807254569263478</v>
      </c>
      <c r="BP82" s="456">
        <f>INPUT!CO600</f>
        <v>27.963800904977376</v>
      </c>
      <c r="BQ82" s="456">
        <f>INPUT!CP600</f>
        <v>-14.420216853069235</v>
      </c>
      <c r="BR82" s="456">
        <f>INPUT!CQ600</f>
        <v>33.672431332655137</v>
      </c>
      <c r="BS82" s="456">
        <f>INPUT!CR600</f>
        <v>-14.11254845893707</v>
      </c>
      <c r="BT82" s="456">
        <f>INPUT!CS600</f>
        <v>30.674846625766872</v>
      </c>
      <c r="BU82" s="456">
        <f>INPUT!CT600</f>
        <v>-7.7639094563147921</v>
      </c>
      <c r="BV82" s="456">
        <f>INPUT!CU600</f>
        <v>41.163793103448278</v>
      </c>
      <c r="BW82" s="456">
        <f>INPUT!CV600</f>
        <v>22.741771775022983</v>
      </c>
      <c r="BX82" s="456">
        <f>INPUT!CW600</f>
        <v>33.938294010889294</v>
      </c>
      <c r="BY82" s="456">
        <f>INPUT!CX600</f>
        <v>21.365096705607328</v>
      </c>
      <c r="BZ82" s="456">
        <f>INPUT!CY600</f>
        <v>31.42375737152485</v>
      </c>
      <c r="CA82" s="456">
        <f>INPUT!CZ600</f>
        <v>-6.6780861141724159</v>
      </c>
      <c r="CB82" s="456">
        <f>INPUT!DA600</f>
        <v>29.328621908127207</v>
      </c>
      <c r="CC82" s="456">
        <f>INPUT!DB600</f>
        <v>-4.3886925795053031</v>
      </c>
      <c r="CD82" s="456">
        <f>INPUT!DC600</f>
        <v>30.758017492711371</v>
      </c>
      <c r="CE82" s="456">
        <f>INPUT!DD600</f>
        <v>-25.278952269015306</v>
      </c>
      <c r="CF82" s="456">
        <f>INPUT!DE600</f>
        <v>26.841721371261851</v>
      </c>
      <c r="CG82" s="456">
        <f>INPUT!DF600</f>
        <v>-20.910222055800645</v>
      </c>
      <c r="CH82" s="456">
        <f>INPUT!DG600</f>
        <v>26.732673267326735</v>
      </c>
      <c r="CI82" s="456">
        <f>INPUT!DH600</f>
        <v>-14.928463355718932</v>
      </c>
      <c r="CJ82" s="456">
        <f>INPUT!DI600</f>
        <v>25.865580448065174</v>
      </c>
      <c r="CK82" s="456">
        <f>INPUT!DJ600</f>
        <v>-11.807719677078993</v>
      </c>
      <c r="CL82" s="456">
        <f>INPUT!DK600</f>
        <v>26.918316831683171</v>
      </c>
      <c r="CM82" s="456">
        <f>INPUT!DL600</f>
        <v>-12.483576556707803</v>
      </c>
      <c r="CN82" s="456">
        <f>INPUT!DM600</f>
        <v>23.363914373088683</v>
      </c>
      <c r="CO82" s="456">
        <f>INPUT!DN600</f>
        <v>-12.956721180694061</v>
      </c>
      <c r="CP82" s="456">
        <f>INPUT!DO600</f>
        <v>24.85911083281152</v>
      </c>
      <c r="CQ82" s="456">
        <f>INPUT!DP600</f>
        <v>-7.0085113291124657</v>
      </c>
      <c r="CR82" s="456">
        <f>INPUT!DQ600</f>
        <v>25.534759358288774</v>
      </c>
      <c r="CS82" s="456">
        <f>INPUT!DR600</f>
        <v>-1.2790012211040391</v>
      </c>
      <c r="CT82" s="456">
        <f>INPUT!DS600</f>
        <v>26.63834951456311</v>
      </c>
      <c r="CU82" s="456">
        <f>INPUT!DT600</f>
        <v>-1.0400624930253315</v>
      </c>
      <c r="CV82" s="456">
        <f>INPUT!DU600</f>
        <v>23.931623931623932</v>
      </c>
      <c r="CW82" s="456">
        <f>INPUT!DV600</f>
        <v>2.4298563565579485</v>
      </c>
      <c r="CX82" s="456">
        <f>INPUT!DW600</f>
        <v>25.727213962508078</v>
      </c>
      <c r="CY82" s="456">
        <f>INPUT!DX600</f>
        <v>3.4920924386030237</v>
      </c>
      <c r="CZ82" s="456">
        <f>INPUT!DY600</f>
        <v>28.795606120047079</v>
      </c>
      <c r="DA82" s="456">
        <f>INPUT!DZ600</f>
        <v>12.77022710887546</v>
      </c>
      <c r="DB82" s="456">
        <f>INPUT!EA600</f>
        <v>28.812368236120872</v>
      </c>
      <c r="DC82" s="456">
        <f>INPUT!EB600</f>
        <v>8.1612365674879044</v>
      </c>
      <c r="DD82" s="456">
        <f>INPUT!EC600</f>
        <v>22.989276139410187</v>
      </c>
      <c r="DE82" s="456">
        <f>INPUT!ED600</f>
        <v>-3.9376675603217279</v>
      </c>
      <c r="DF82" s="456">
        <f>INPUT!EE600</f>
        <v>26.909841706813491</v>
      </c>
      <c r="DG82" s="456">
        <f>INPUT!EF600</f>
        <v>4.5967967850263136</v>
      </c>
      <c r="DH82" s="456">
        <f>INPUT!EG600</f>
        <v>27.449617790132034</v>
      </c>
      <c r="DI82" s="456">
        <f>INPUT!EH600</f>
        <v>-4.6742837233698253</v>
      </c>
      <c r="DJ82" s="456">
        <f>INPUT!EI600</f>
        <v>24.876531918785442</v>
      </c>
      <c r="DK82" s="456">
        <f>INPUT!EJ600</f>
        <v>-13.660231901386126</v>
      </c>
      <c r="DL82" s="456">
        <f>INPUT!EK600</f>
        <v>22.048997772828507</v>
      </c>
      <c r="DM82" s="456">
        <f>INPUT!EL600</f>
        <v>-4.0900738278130291</v>
      </c>
      <c r="DN82" s="456">
        <f>INPUT!EM600</f>
        <v>21.486175115207374</v>
      </c>
      <c r="DO82" s="456">
        <f>INPUT!EN600</f>
        <v>-20.154955390290766</v>
      </c>
      <c r="DP82" s="456">
        <f>INPUT!EO600</f>
        <v>24.426020408163264</v>
      </c>
      <c r="DQ82" s="456">
        <f>INPUT!EP600</f>
        <v>-11.015080082665975</v>
      </c>
      <c r="DR82" s="456">
        <f>INPUT!EQ600</f>
        <v>25.324446586154014</v>
      </c>
      <c r="DS82" s="456">
        <f>INPUT!ER600</f>
        <v>1.8005510930176456</v>
      </c>
      <c r="DT82" s="456">
        <f>INPUT!ES600</f>
        <v>23.388183712345938</v>
      </c>
      <c r="DU82" s="456">
        <f>INPUT!ET600</f>
        <v>6.0736816852861182</v>
      </c>
      <c r="DV82" s="456">
        <f>INPUT!EU600</f>
        <v>22.893795557318658</v>
      </c>
      <c r="DW82" s="456">
        <f>INPUT!EV600</f>
        <v>6.5512844169039965</v>
      </c>
      <c r="DX82" s="456">
        <f>INPUT!EW600</f>
        <v>25.902038064341383</v>
      </c>
      <c r="DY82" s="456">
        <f>INPUT!EX600</f>
        <v>6.0428085767292146</v>
      </c>
      <c r="DZ82" s="456">
        <f>INPUT!EY600</f>
        <v>0</v>
      </c>
      <c r="EA82" s="438"/>
      <c r="EB82" s="439">
        <f>INPUT!FI600</f>
        <v>-1.9464249525599229</v>
      </c>
      <c r="EC82" s="456">
        <f>INPUT!FJ600</f>
        <v>21.185019564002236</v>
      </c>
      <c r="ED82" s="439">
        <f>INPUT!FK600</f>
        <v>-10.950075357045037</v>
      </c>
      <c r="EE82" s="456">
        <f>INPUT!FL600</f>
        <v>21.401334604385127</v>
      </c>
      <c r="EF82" s="439">
        <f>INPUT!FM600</f>
        <v>1.0210754808575047</v>
      </c>
      <c r="EG82" s="456">
        <f>INPUT!FN600</f>
        <v>19.481481481481481</v>
      </c>
      <c r="EH82" s="439">
        <f>INPUT!FO600</f>
        <v>-8.9707168192691569</v>
      </c>
      <c r="EI82" s="456">
        <f>INPUT!FP600</f>
        <v>22.552190532196413</v>
      </c>
      <c r="EJ82" s="438">
        <f>INPUT!FQ600</f>
        <v>15.762194747015812</v>
      </c>
      <c r="EK82" s="456">
        <f>INPUT!FR600</f>
        <v>24.426877470355731</v>
      </c>
      <c r="EL82" s="438">
        <f>INPUT!FS600</f>
        <v>8.3126600738981011</v>
      </c>
      <c r="EM82" s="456">
        <f>INPUT!FT600</f>
        <v>24.36693741041567</v>
      </c>
      <c r="EN82" s="438">
        <f>INPUT!FU600</f>
        <v>-0.24538568227889357</v>
      </c>
      <c r="EO82" s="456">
        <f>INPUT!FV600</f>
        <v>30.726600985221676</v>
      </c>
      <c r="EP82" s="438">
        <f>INPUT!FW600</f>
        <v>26.099560513860737</v>
      </c>
      <c r="EQ82" s="456">
        <f>INPUT!FX600</f>
        <v>41.291585127201564</v>
      </c>
      <c r="ER82" s="438">
        <f>INPUT!FY600</f>
        <v>34.383836165481654</v>
      </c>
      <c r="ES82" s="456">
        <f>INPUT!FZ600</f>
        <v>35.962441314553992</v>
      </c>
      <c r="ET82" s="438">
        <f>INPUT!GA600</f>
        <v>-12.906125536791038</v>
      </c>
      <c r="EU82" s="456">
        <f>INPUT!GB600</f>
        <v>31.339492491969022</v>
      </c>
      <c r="EV82" s="438">
        <f>INPUT!GC600</f>
        <v>-12.854936021026091</v>
      </c>
      <c r="EW82" s="456">
        <f>INPUT!GD600</f>
        <v>33.593929638997473</v>
      </c>
      <c r="EX82" s="456">
        <f>INPUT!GE600</f>
        <v>7.1935981337482247</v>
      </c>
      <c r="EY82" s="456">
        <f>INPUT!GF600</f>
        <v>27.499563775955334</v>
      </c>
      <c r="EZ82" s="456">
        <f>INPUT!GG600</f>
        <v>-18.14127114193721</v>
      </c>
      <c r="FA82" s="456">
        <f>INPUT!GH600</f>
        <v>25.15762925598991</v>
      </c>
      <c r="FB82" s="456">
        <f>INPUT!GI600</f>
        <v>-8.5162606179707154</v>
      </c>
      <c r="FC82" s="456">
        <f>INPUT!GJ600</f>
        <v>26.131805157593124</v>
      </c>
      <c r="FD82" s="438">
        <f>INPUT!GK600</f>
        <v>3.8722881702824452</v>
      </c>
      <c r="FE82" s="456">
        <f>INPUT!GL600</f>
        <v>26.50249698639573</v>
      </c>
      <c r="FF82" s="438">
        <f>INPUT!GM600</f>
        <v>1.4185465817117233</v>
      </c>
      <c r="FG82" s="456">
        <f>INPUT!GN600</f>
        <v>23.145057194997108</v>
      </c>
      <c r="FH82" s="438">
        <f>INPUT!GO600</f>
        <v>-12.668390427973875</v>
      </c>
      <c r="FI82" s="456">
        <f>INPUT!GP600</f>
        <v>24.33756069966153</v>
      </c>
      <c r="FJ82" s="438">
        <f>INPUT!GQ600</f>
        <v>5.1523031229414613</v>
      </c>
      <c r="FK82" s="456">
        <f>INPUT!GR600</f>
        <v>24.997968236359121</v>
      </c>
      <c r="FL82" s="438">
        <f>INPUT!GS600</f>
        <v>2.7135321606276364</v>
      </c>
      <c r="FM82" s="456">
        <f>INPUT!GT600</f>
        <v>25.720546733679988</v>
      </c>
      <c r="FN82" s="438">
        <f>INPUT!GU600</f>
        <v>2.8905489057702312</v>
      </c>
      <c r="FO82" s="456">
        <f>INPUT!GV600</f>
        <v>26.435477762245707</v>
      </c>
      <c r="FP82" s="438">
        <f>INPUT!GW600</f>
        <v>2.7796105423744564</v>
      </c>
      <c r="FQ82" s="456">
        <f>INPUT!GX600</f>
        <v>27.212698438262095</v>
      </c>
      <c r="FR82" s="438">
        <f>INPUT!GY600</f>
        <v>2.9400666899479688</v>
      </c>
      <c r="FS82" s="806">
        <f>INPUT!GZ600</f>
        <v>3.2910447405585241</v>
      </c>
    </row>
    <row r="83" spans="1:175" s="529" customFormat="1" ht="12.75" customHeight="1" x14ac:dyDescent="0.2">
      <c r="A83" s="810" t="str">
        <f>INPUT!B601</f>
        <v>Gibraltar Life</v>
      </c>
      <c r="B83" s="456">
        <f>INPUT!AA601</f>
        <v>16.447368421052634</v>
      </c>
      <c r="C83" s="456">
        <f>INPUT!AB601</f>
        <v>-21.874999999999972</v>
      </c>
      <c r="D83" s="456">
        <f>INPUT!AC601</f>
        <v>17.81818181818182</v>
      </c>
      <c r="E83" s="456">
        <f>INPUT!AD601</f>
        <v>-17.260126012601233</v>
      </c>
      <c r="F83" s="456">
        <f>INPUT!AE601</f>
        <v>20.038535645472059</v>
      </c>
      <c r="G83" s="456">
        <f>INPUT!AF601</f>
        <v>-13.166345536287736</v>
      </c>
      <c r="H83" s="456">
        <f>INPUT!AG601</f>
        <v>16.548042704626333</v>
      </c>
      <c r="I83" s="456">
        <f>INPUT!AH601</f>
        <v>-12.365294972683088</v>
      </c>
      <c r="J83" s="456">
        <f>INPUT!AI601</f>
        <v>16.666666666666664</v>
      </c>
      <c r="K83" s="456">
        <f>INPUT!AJ601</f>
        <v>1.3333333333333002</v>
      </c>
      <c r="L83" s="456">
        <f>INPUT!AK601</f>
        <v>15.905947441217149</v>
      </c>
      <c r="M83" s="456">
        <f>INPUT!AL601</f>
        <v>-10.731927625822138</v>
      </c>
      <c r="N83" s="456">
        <f>INPUT!AM601</f>
        <v>14.04494382022472</v>
      </c>
      <c r="O83" s="456">
        <f>INPUT!AN601</f>
        <v>-29.91032843560933</v>
      </c>
      <c r="P83" s="456">
        <f>INPUT!AO601</f>
        <v>13.916786226685796</v>
      </c>
      <c r="Q83" s="456">
        <f>INPUT!AP601</f>
        <v>-15.900711189275071</v>
      </c>
      <c r="R83" s="456">
        <f>INPUT!AQ601</f>
        <v>13.929040735873849</v>
      </c>
      <c r="S83" s="456">
        <f>INPUT!AR601</f>
        <v>-16.425755584756899</v>
      </c>
      <c r="T83" s="456">
        <f>INPUT!AS601</f>
        <v>13.895781637717123</v>
      </c>
      <c r="U83" s="456">
        <f>INPUT!AT601</f>
        <v>-12.637825008091468</v>
      </c>
      <c r="V83" s="456">
        <f>INPUT!AU601</f>
        <v>14.954337899543379</v>
      </c>
      <c r="W83" s="456">
        <f>INPUT!AV601</f>
        <v>6.4748858447488402</v>
      </c>
      <c r="X83" s="456">
        <f>INPUT!AW601</f>
        <v>13.404255319148936</v>
      </c>
      <c r="Y83" s="456">
        <f>INPUT!AX601</f>
        <v>-3.6828251809607337</v>
      </c>
      <c r="Z83" s="456">
        <f>INPUT!AY601</f>
        <v>11.389759665621735</v>
      </c>
      <c r="AA83" s="456">
        <f>INPUT!AZ601</f>
        <v>-18.230121645866589</v>
      </c>
      <c r="AB83" s="456">
        <f>INPUT!BA601</f>
        <v>13.708820403825717</v>
      </c>
      <c r="AC83" s="456">
        <f>INPUT!BB601</f>
        <v>-1.345453165325651</v>
      </c>
      <c r="AD83" s="456">
        <f>INPUT!BC601</f>
        <v>14.316012725344645</v>
      </c>
      <c r="AE83" s="456">
        <f>INPUT!BD601</f>
        <v>-4.2684950580006813</v>
      </c>
      <c r="AF83" s="456">
        <f>INPUT!BE601</f>
        <v>13.477366255144032</v>
      </c>
      <c r="AG83" s="456">
        <f>INPUT!BF601</f>
        <v>0.54543079234437641</v>
      </c>
      <c r="AH83" s="456">
        <f>INPUT!BG601</f>
        <v>13.624237804878051</v>
      </c>
      <c r="AI83" s="456">
        <f>INPUT!BH601</f>
        <v>19.618308066681593</v>
      </c>
      <c r="AJ83" s="456">
        <f>INPUT!BI601</f>
        <v>13.321167883211679</v>
      </c>
      <c r="AK83" s="456">
        <f>INPUT!BJ601</f>
        <v>-2.8277598596729376</v>
      </c>
      <c r="AL83" s="456">
        <f>INPUT!BK601</f>
        <v>12.213740458015266</v>
      </c>
      <c r="AM83" s="456">
        <f>INPUT!BL601</f>
        <v>-14.684761096974853</v>
      </c>
      <c r="AN83" s="456">
        <f>INPUT!BM601</f>
        <v>10.988074957410563</v>
      </c>
      <c r="AO83" s="456">
        <f>INPUT!BN601</f>
        <v>-18.470161384709399</v>
      </c>
      <c r="AP83" s="456">
        <f>INPUT!BO601</f>
        <v>13.588110403397028</v>
      </c>
      <c r="AQ83" s="456">
        <f>INPUT!BP601</f>
        <v>-0.26517007408727977</v>
      </c>
      <c r="AR83" s="456">
        <f>INPUT!BQ601</f>
        <v>15.549348230912477</v>
      </c>
      <c r="AS83" s="456">
        <f>INPUT!BR601</f>
        <v>16.726614116986809</v>
      </c>
      <c r="AT83" s="456">
        <f>INPUT!BS601</f>
        <v>17.395833333333332</v>
      </c>
      <c r="AU83" s="456">
        <f>INPUT!BT601</f>
        <v>42.428385416666657</v>
      </c>
      <c r="AV83" s="456">
        <f>INPUT!BU601</f>
        <v>26.260869565217394</v>
      </c>
      <c r="AW83" s="456" t="str">
        <f>INPUT!BV601</f>
        <v>NM</v>
      </c>
      <c r="AX83" s="456">
        <f>INPUT!BW601</f>
        <v>23.001631321370311</v>
      </c>
      <c r="AY83" s="456">
        <f>INPUT!BX601</f>
        <v>69.277630505709624</v>
      </c>
      <c r="AZ83" s="456">
        <f>INPUT!BY601</f>
        <v>19.187675070028014</v>
      </c>
      <c r="BA83" s="456">
        <f>INPUT!BZ601</f>
        <v>23.398580989281953</v>
      </c>
      <c r="BB83" s="456">
        <f>INPUT!CA601</f>
        <v>23.592814371257482</v>
      </c>
      <c r="BC83" s="456">
        <f>INPUT!CB601</f>
        <v>35.623364050342445</v>
      </c>
      <c r="BD83" s="456">
        <f>INPUT!CC601</f>
        <v>22.740524781341108</v>
      </c>
      <c r="BE83" s="456">
        <f>INPUT!CD601</f>
        <v>-13.405286428667978</v>
      </c>
      <c r="BF83" s="456">
        <f>INPUT!CE601</f>
        <v>20.607661822985467</v>
      </c>
      <c r="BG83" s="456">
        <f>INPUT!CF601</f>
        <v>-10.40782484049582</v>
      </c>
      <c r="BH83" s="456">
        <f>INPUT!CG601</f>
        <v>20.098643649815042</v>
      </c>
      <c r="BI83" s="456">
        <f>INPUT!CH601</f>
        <v>4.7476756639995443</v>
      </c>
      <c r="BJ83" s="456">
        <f>INPUT!CI601</f>
        <v>26.357615894039739</v>
      </c>
      <c r="BK83" s="456">
        <f>INPUT!CJ601</f>
        <v>11.718828789457774</v>
      </c>
      <c r="BL83" s="456">
        <f>INPUT!CK601</f>
        <v>20.871559633027523</v>
      </c>
      <c r="BM83" s="456">
        <f>INPUT!CL601</f>
        <v>-8.2186544342507659</v>
      </c>
      <c r="BN83" s="456">
        <f>INPUT!CM601</f>
        <v>23.33368432136464</v>
      </c>
      <c r="BO83" s="456">
        <f>INPUT!CN601</f>
        <v>13.228198918416894</v>
      </c>
      <c r="BP83" s="456">
        <f>INPUT!CO601</f>
        <v>24.434389140271492</v>
      </c>
      <c r="BQ83" s="456">
        <f>INPUT!CP601</f>
        <v>21.57232878993976</v>
      </c>
      <c r="BR83" s="456">
        <f>INPUT!CQ601</f>
        <v>29.298067141403866</v>
      </c>
      <c r="BS83" s="456">
        <f>INPUT!CR601</f>
        <v>11.155983375677962</v>
      </c>
      <c r="BT83" s="456">
        <f>INPUT!CS601</f>
        <v>30.265848670756647</v>
      </c>
      <c r="BU83" s="456">
        <f>INPUT!CT601</f>
        <v>45.010000224724138</v>
      </c>
      <c r="BV83" s="456">
        <f>INPUT!CU601</f>
        <v>29.310344827586203</v>
      </c>
      <c r="BW83" s="456">
        <f>INPUT!CV601</f>
        <v>25.613874019668856</v>
      </c>
      <c r="BX83" s="456">
        <f>INPUT!CW601</f>
        <v>31.03448275862069</v>
      </c>
      <c r="BY83" s="456">
        <f>INPUT!CX601</f>
        <v>27.011494252873575</v>
      </c>
      <c r="BZ83" s="456">
        <f>INPUT!CY601</f>
        <v>30.58129738837405</v>
      </c>
      <c r="CA83" s="456">
        <f>INPUT!CZ601</f>
        <v>4.3799143499016964</v>
      </c>
      <c r="CB83" s="456">
        <f>INPUT!DA601</f>
        <v>28.710247349823319</v>
      </c>
      <c r="CC83" s="456">
        <f>INPUT!DB601</f>
        <v>-5.1397908509215995</v>
      </c>
      <c r="CD83" s="456">
        <f>INPUT!DC601</f>
        <v>28.571428571428569</v>
      </c>
      <c r="CE83" s="456">
        <f>INPUT!DD601</f>
        <v>-2.5210084033613356</v>
      </c>
      <c r="CF83" s="456">
        <f>INPUT!DE601</f>
        <v>31.436907366885485</v>
      </c>
      <c r="CG83" s="456">
        <f>INPUT!DF601</f>
        <v>1.2967015155198993</v>
      </c>
      <c r="CH83" s="456">
        <f>INPUT!DG601</f>
        <v>31.023102310231021</v>
      </c>
      <c r="CI83" s="456">
        <f>INPUT!DH601</f>
        <v>1.4446899235378083</v>
      </c>
      <c r="CJ83" s="456">
        <f>INPUT!DI601</f>
        <v>25.661914460285136</v>
      </c>
      <c r="CK83" s="456">
        <f>INPUT!DJ601</f>
        <v>-10.617577941406836</v>
      </c>
      <c r="CL83" s="456">
        <f>INPUT!DK601</f>
        <v>25.866336633663366</v>
      </c>
      <c r="CM83" s="456">
        <f>INPUT!DL601</f>
        <v>-9.4678217821782056</v>
      </c>
      <c r="CN83" s="456">
        <f>INPUT!DM601</f>
        <v>30.703363914373089</v>
      </c>
      <c r="CO83" s="456">
        <f>INPUT!DN601</f>
        <v>-2.3333830009153047</v>
      </c>
      <c r="CP83" s="456">
        <f>INPUT!DO601</f>
        <v>27.927363807138384</v>
      </c>
      <c r="CQ83" s="456">
        <f>INPUT!DP601</f>
        <v>-9.9788166642241407</v>
      </c>
      <c r="CR83" s="456">
        <f>INPUT!DQ601</f>
        <v>25.735294117647058</v>
      </c>
      <c r="CS83" s="456">
        <f>INPUT!DR601</f>
        <v>0.28594771241827743</v>
      </c>
      <c r="CT83" s="456">
        <f>INPUT!DS601</f>
        <v>23.968446601941746</v>
      </c>
      <c r="CU83" s="456">
        <f>INPUT!DT601</f>
        <v>-7.3372973475170653</v>
      </c>
      <c r="CV83" s="456">
        <f>INPUT!DU601</f>
        <v>28.754578754578752</v>
      </c>
      <c r="CW83" s="456">
        <f>INPUT!DV601</f>
        <v>-6.3471389168600467</v>
      </c>
      <c r="CX83" s="456">
        <f>INPUT!DW601</f>
        <v>26.761473820297351</v>
      </c>
      <c r="CY83" s="456">
        <f>INPUT!DX601</f>
        <v>-4.1747226658859375</v>
      </c>
      <c r="CZ83" s="456">
        <f>INPUT!DY601</f>
        <v>29.109454688112983</v>
      </c>
      <c r="DA83" s="456">
        <f>INPUT!DZ601</f>
        <v>13.111023930953309</v>
      </c>
      <c r="DB83" s="456">
        <f>INPUT!EA601</f>
        <v>25.931131412508783</v>
      </c>
      <c r="DC83" s="456">
        <f>INPUT!EB601</f>
        <v>8.1886191590240003</v>
      </c>
      <c r="DD83" s="456">
        <f>INPUT!EC601</f>
        <v>33.109919571045573</v>
      </c>
      <c r="DE83" s="456">
        <f>INPUT!ED601</f>
        <v>15.146599272553402</v>
      </c>
      <c r="DF83" s="456">
        <f>INPUT!EE601</f>
        <v>26.772195457673782</v>
      </c>
      <c r="DG83" s="456">
        <f>INPUT!EF601</f>
        <v>4.0063702950092761E-2</v>
      </c>
      <c r="DH83" s="456">
        <f>INPUT!EG601</f>
        <v>25.017373175816537</v>
      </c>
      <c r="DI83" s="456">
        <f>INPUT!EH601</f>
        <v>-14.057568429708411</v>
      </c>
      <c r="DJ83" s="456">
        <f>INPUT!EI601</f>
        <v>23.840009755502713</v>
      </c>
      <c r="DK83" s="456">
        <f>INPUT!EJ601</f>
        <v>-8.064135820920427</v>
      </c>
      <c r="DL83" s="456">
        <f>INPUT!EK601</f>
        <v>26.336302895322937</v>
      </c>
      <c r="DM83" s="456">
        <f>INPUT!EL601</f>
        <v>-20.457967773640036</v>
      </c>
      <c r="DN83" s="456">
        <f>INPUT!EM601</f>
        <v>24.539170506912441</v>
      </c>
      <c r="DO83" s="456">
        <f>INPUT!EN601</f>
        <v>-8.340836127136825</v>
      </c>
      <c r="DP83" s="456">
        <f>INPUT!EO601</f>
        <v>25.127551020408163</v>
      </c>
      <c r="DQ83" s="456">
        <f>INPUT!EP601</f>
        <v>0.44040532879819239</v>
      </c>
      <c r="DR83" s="456">
        <f>INPUT!EQ601</f>
        <v>24.397389217184624</v>
      </c>
      <c r="DS83" s="456">
        <f>INPUT!ER601</f>
        <v>2.3380001409322375</v>
      </c>
      <c r="DT83" s="456">
        <f>INPUT!ES601</f>
        <v>25.543320542346322</v>
      </c>
      <c r="DU83" s="456">
        <f>INPUT!ET601</f>
        <v>-3.0109858476659639</v>
      </c>
      <c r="DV83" s="456">
        <f>INPUT!EU601</f>
        <v>24.845204058935995</v>
      </c>
      <c r="DW83" s="456">
        <f>INPUT!EV601</f>
        <v>1.2471226439269714</v>
      </c>
      <c r="DX83" s="456">
        <f>INPUT!EW601</f>
        <v>26.158763903311943</v>
      </c>
      <c r="DY83" s="456">
        <f>INPUT!EX601</f>
        <v>4.1039131989673194</v>
      </c>
      <c r="DZ83" s="456">
        <f>INPUT!EY601</f>
        <v>0</v>
      </c>
      <c r="EA83" s="438"/>
      <c r="EB83" s="439" t="str">
        <f>INPUT!FI601</f>
        <v>NA</v>
      </c>
      <c r="EC83" s="456">
        <f>INPUT!FJ601</f>
        <v>21.12912241475685</v>
      </c>
      <c r="ED83" s="439">
        <f>INPUT!FK601</f>
        <v>-9.6314210424247761</v>
      </c>
      <c r="EE83" s="456">
        <f>INPUT!FL601</f>
        <v>18.160152526215441</v>
      </c>
      <c r="EF83" s="439">
        <f>INPUT!FM601</f>
        <v>-14.051553255557096</v>
      </c>
      <c r="EG83" s="456">
        <f>INPUT!FN601</f>
        <v>15.185185185185185</v>
      </c>
      <c r="EH83" s="439">
        <f>INPUT!FO601</f>
        <v>-16.381841158744038</v>
      </c>
      <c r="EI83" s="456">
        <f>INPUT!FP601</f>
        <v>14.495736548074095</v>
      </c>
      <c r="EJ83" s="438">
        <f>INPUT!FQ601</f>
        <v>-4.5402715126827786</v>
      </c>
      <c r="EK83" s="456">
        <f>INPUT!FR601</f>
        <v>12.806324110671937</v>
      </c>
      <c r="EL83" s="438">
        <f>INPUT!FS601</f>
        <v>-11.654547058021777</v>
      </c>
      <c r="EM83" s="456">
        <f>INPUT!FT601</f>
        <v>12.009729401033747</v>
      </c>
      <c r="EN83" s="438">
        <f>INPUT!FU601</f>
        <v>-6.2203228869895781</v>
      </c>
      <c r="EO83" s="456">
        <f>INPUT!FV601</f>
        <v>4.4950738916256157</v>
      </c>
      <c r="EP83" s="438" t="str">
        <f>INPUT!FW601</f>
        <v>NM</v>
      </c>
      <c r="EQ83" s="456">
        <f>INPUT!FX601</f>
        <v>23.56164383561644</v>
      </c>
      <c r="ER83" s="438" t="str">
        <f>INPUT!FY601</f>
        <v>NM</v>
      </c>
      <c r="ES83" s="456">
        <f>INPUT!FZ601</f>
        <v>21.909233176838811</v>
      </c>
      <c r="ET83" s="438">
        <f>INPUT!GA601</f>
        <v>-7.0131382610911004</v>
      </c>
      <c r="EU83" s="456">
        <f>INPUT!GB601</f>
        <v>26.784869387653458</v>
      </c>
      <c r="EV83" s="438">
        <f>INPUT!GC601</f>
        <v>22.25379670507543</v>
      </c>
      <c r="EW83" s="456">
        <f>INPUT!GD601</f>
        <v>29.937916762474131</v>
      </c>
      <c r="EX83" s="456">
        <f>INPUT!GE601</f>
        <v>11.771748180613045</v>
      </c>
      <c r="EY83" s="456">
        <f>INPUT!GF601</f>
        <v>29.157215145698828</v>
      </c>
      <c r="EZ83" s="456">
        <f>INPUT!GG601</f>
        <v>-2.6077352775390068</v>
      </c>
      <c r="FA83" s="456">
        <f>INPUT!GH601</f>
        <v>27.600882723833543</v>
      </c>
      <c r="FB83" s="456">
        <f>INPUT!GI601</f>
        <v>-5.3377265767264817</v>
      </c>
      <c r="FC83" s="456">
        <f>INPUT!GJ601</f>
        <v>27.032337290216944</v>
      </c>
      <c r="FD83" s="438">
        <f>INPUT!GK601</f>
        <v>-2.059881342583509</v>
      </c>
      <c r="FE83" s="456">
        <f>INPUT!GL601</f>
        <v>27.759600482176683</v>
      </c>
      <c r="FF83" s="438">
        <f>INPUT!GM601</f>
        <v>2.6903452119285873</v>
      </c>
      <c r="FG83" s="456">
        <f>INPUT!GN601</f>
        <v>24.984792510496874</v>
      </c>
      <c r="FH83" s="438">
        <f>INPUT!GO601</f>
        <v>-9.9958498086505188</v>
      </c>
      <c r="FI83" s="456">
        <f>INPUT!GP601</f>
        <v>25.21274771090755</v>
      </c>
      <c r="FJ83" s="438">
        <f>INPUT!GQ601</f>
        <v>0.91237579945844516</v>
      </c>
      <c r="FK83" s="456">
        <f>INPUT!GR601</f>
        <v>25.114277414350937</v>
      </c>
      <c r="FL83" s="438">
        <f>INPUT!GS601</f>
        <v>-0.39055757700701577</v>
      </c>
      <c r="FM83" s="456">
        <f>INPUT!GT601</f>
        <v>24.894781644843096</v>
      </c>
      <c r="FN83" s="438">
        <f>INPUT!GU601</f>
        <v>-0.87398799450393483</v>
      </c>
      <c r="FO83" s="456">
        <f>INPUT!GV601</f>
        <v>24.649494067079509</v>
      </c>
      <c r="FP83" s="438">
        <f>INPUT!GW601</f>
        <v>-0.98529716493575847</v>
      </c>
      <c r="FQ83" s="456">
        <f>INPUT!GX601</f>
        <v>24.443647096570324</v>
      </c>
      <c r="FR83" s="438">
        <f>INPUT!GY601</f>
        <v>-0.83509612793271515</v>
      </c>
      <c r="FS83" s="806">
        <f>INPUT!GZ601</f>
        <v>-0.43698225179450434</v>
      </c>
    </row>
    <row r="84" spans="1:175" s="529" customFormat="1" ht="12.75" customHeight="1" x14ac:dyDescent="0.2">
      <c r="A84" s="811" t="str">
        <f>INPUT!B603</f>
        <v>International Division</v>
      </c>
      <c r="B84" s="456">
        <f>INPUT!AA603</f>
        <v>38.815789473684212</v>
      </c>
      <c r="C84" s="456">
        <f>INPUT!AB603</f>
        <v>-6.0049019607843093</v>
      </c>
      <c r="D84" s="456">
        <f>INPUT!AC603</f>
        <v>39.272727272727273</v>
      </c>
      <c r="E84" s="456">
        <f>INPUT!AD603</f>
        <v>0.64977645305515352</v>
      </c>
      <c r="F84" s="456">
        <f>INPUT!AE603</f>
        <v>42.967244701348747</v>
      </c>
      <c r="G84" s="456">
        <f>INPUT!AF603</f>
        <v>1.0187348829582277</v>
      </c>
      <c r="H84" s="456">
        <f>INPUT!AG603</f>
        <v>33.985765124555165</v>
      </c>
      <c r="I84" s="456">
        <f>INPUT!AH603</f>
        <v>-27.394047233904885</v>
      </c>
      <c r="J84" s="456">
        <f>INPUT!AI603</f>
        <v>39.00709219858156</v>
      </c>
      <c r="K84" s="456">
        <f>INPUT!AJ603</f>
        <v>0.49284769804063444</v>
      </c>
      <c r="L84" s="456">
        <f>INPUT!AK603</f>
        <v>36.514522821576762</v>
      </c>
      <c r="M84" s="456">
        <f>INPUT!AL603</f>
        <v>-7.0232057783925086</v>
      </c>
      <c r="N84" s="456">
        <f>INPUT!AM603</f>
        <v>36.235955056179776</v>
      </c>
      <c r="O84" s="456">
        <f>INPUT!AN603</f>
        <v>-15.666095631581598</v>
      </c>
      <c r="P84" s="456">
        <f>INPUT!AO603</f>
        <v>38.307030129124819</v>
      </c>
      <c r="Q84" s="456">
        <f>INPUT!AP603</f>
        <v>12.714926348524315</v>
      </c>
      <c r="R84" s="456">
        <f>INPUT!AQ603</f>
        <v>39.816031537450726</v>
      </c>
      <c r="S84" s="456">
        <f>INPUT!AR603</f>
        <v>2.0738263051009511</v>
      </c>
      <c r="T84" s="456">
        <f>INPUT!AS603</f>
        <v>38.95781637717122</v>
      </c>
      <c r="U84" s="456">
        <f>INPUT!AT603</f>
        <v>6.6912925783893655</v>
      </c>
      <c r="V84" s="456">
        <f>INPUT!AU603</f>
        <v>41.438356164383563</v>
      </c>
      <c r="W84" s="456">
        <f>INPUT!AV603</f>
        <v>14.357013911012004</v>
      </c>
      <c r="X84" s="456">
        <f>INPUT!AW603</f>
        <v>39.148936170212764</v>
      </c>
      <c r="Y84" s="456">
        <f>INPUT!AX603</f>
        <v>2.1977846840385666</v>
      </c>
      <c r="Z84" s="456">
        <f>INPUT!AY603</f>
        <v>38.453500522466037</v>
      </c>
      <c r="AA84" s="456">
        <f>INPUT!AZ603</f>
        <v>-3.4220663445655077</v>
      </c>
      <c r="AB84" s="456">
        <f>INPUT!BA603</f>
        <v>41.551540913921357</v>
      </c>
      <c r="AC84" s="456">
        <f>INPUT!BB603</f>
        <v>6.657776995607037</v>
      </c>
      <c r="AD84" s="456">
        <f>INPUT!BC603</f>
        <v>42.735949098621425</v>
      </c>
      <c r="AE84" s="456">
        <f>INPUT!BD603</f>
        <v>3.1313812958467366</v>
      </c>
      <c r="AF84" s="456">
        <f>INPUT!BE603</f>
        <v>40.843621399176953</v>
      </c>
      <c r="AG84" s="456">
        <f>INPUT!BF603</f>
        <v>4.3288155305063469</v>
      </c>
      <c r="AH84" s="456">
        <f>INPUT!BG603</f>
        <v>42.492378048780495</v>
      </c>
      <c r="AI84" s="456">
        <f>INPUT!BH603</f>
        <v>10.503276610551467</v>
      </c>
      <c r="AJ84" s="456">
        <f>INPUT!BI603</f>
        <v>40.32846715328467</v>
      </c>
      <c r="AK84" s="456">
        <f>INPUT!BJ603</f>
        <v>-2.9435099968263927</v>
      </c>
      <c r="AL84" s="456">
        <f>INPUT!BK603</f>
        <v>39.465648854961835</v>
      </c>
      <c r="AM84" s="456">
        <f>INPUT!BL603</f>
        <v>-7.6523402723846061</v>
      </c>
      <c r="AN84" s="456">
        <f>INPUT!BM603</f>
        <v>38.330494037478708</v>
      </c>
      <c r="AO84" s="456">
        <f>INPUT!BN603</f>
        <v>-6.1530473440067937</v>
      </c>
      <c r="AP84" s="456">
        <f>INPUT!BO603</f>
        <v>46.602972399150744</v>
      </c>
      <c r="AQ84" s="456">
        <f>INPUT!BP603</f>
        <v>9.6737215922614581</v>
      </c>
      <c r="AR84" s="456">
        <f>INPUT!BQ603</f>
        <v>43.389199255121042</v>
      </c>
      <c r="AS84" s="456">
        <f>INPUT!BR603</f>
        <v>7.5895076552322678</v>
      </c>
      <c r="AT84" s="456">
        <f>INPUT!BS603</f>
        <v>49.270833333333336</v>
      </c>
      <c r="AU84" s="456">
        <f>INPUT!BT603</f>
        <v>24.844858156028366</v>
      </c>
      <c r="AV84" s="456">
        <f>INPUT!BU603</f>
        <v>77.217391304347828</v>
      </c>
      <c r="AW84" s="456" t="str">
        <f>INPUT!BV603</f>
        <v>NM</v>
      </c>
      <c r="AX84" s="456">
        <f>INPUT!BW603</f>
        <v>71.615008156606848</v>
      </c>
      <c r="AY84" s="456">
        <f>INPUT!BX603</f>
        <v>53.670473083197379</v>
      </c>
      <c r="AZ84" s="456">
        <f>INPUT!BY603</f>
        <v>64.285714285714292</v>
      </c>
      <c r="BA84" s="456">
        <f>INPUT!BZ603</f>
        <v>48.160637645616191</v>
      </c>
      <c r="BB84" s="456">
        <f>INPUT!CA603</f>
        <v>58.922155688622759</v>
      </c>
      <c r="BC84" s="456">
        <f>INPUT!CB603</f>
        <v>19.588307528705798</v>
      </c>
      <c r="BD84" s="456">
        <f>INPUT!CC603</f>
        <v>66.763848396501459</v>
      </c>
      <c r="BE84" s="456">
        <f>INPUT!CD603</f>
        <v>-13.537808945972202</v>
      </c>
      <c r="BF84" s="456">
        <f>INPUT!CE603</f>
        <v>59.973579920739759</v>
      </c>
      <c r="BG84" s="456">
        <f>INPUT!CF603</f>
        <v>-16.255570634593454</v>
      </c>
      <c r="BH84" s="456">
        <f>INPUT!CG603</f>
        <v>52.774352651048083</v>
      </c>
      <c r="BI84" s="456">
        <f>INPUT!CH603</f>
        <v>-17.9065625428141</v>
      </c>
      <c r="BJ84" s="456">
        <f>INPUT!CI603</f>
        <v>65.562913907284766</v>
      </c>
      <c r="BK84" s="456">
        <f>INPUT!CJ603</f>
        <v>11.270392505249546</v>
      </c>
      <c r="BL84" s="456">
        <f>INPUT!CK603</f>
        <v>54.128440366972477</v>
      </c>
      <c r="BM84" s="456">
        <f>INPUT!CL603</f>
        <v>-18.925523817154769</v>
      </c>
      <c r="BN84" s="456">
        <f>INPUT!CM603</f>
        <v>56.870590712856696</v>
      </c>
      <c r="BO84" s="456">
        <f>INPUT!CN603</f>
        <v>-5.173926939135427</v>
      </c>
      <c r="BP84" s="456">
        <f>INPUT!CO603</f>
        <v>52.398190045248874</v>
      </c>
      <c r="BQ84" s="456">
        <f>INPUT!CP603</f>
        <v>-0.71277540491392699</v>
      </c>
      <c r="BR84" s="456">
        <f>INPUT!CQ603</f>
        <v>62.970498474058999</v>
      </c>
      <c r="BS84" s="456">
        <f>INPUT!CR603</f>
        <v>-3.9540881860312282</v>
      </c>
      <c r="BT84" s="456">
        <f>INPUT!CS603</f>
        <v>60.940695296523515</v>
      </c>
      <c r="BU84" s="456">
        <f>INPUT!CT603</f>
        <v>12.585352327475647</v>
      </c>
      <c r="BV84" s="456">
        <f>INPUT!CU603</f>
        <v>70.474137931034491</v>
      </c>
      <c r="BW84" s="456">
        <f>INPUT!CV603</f>
        <v>23.92017921330023</v>
      </c>
      <c r="BX84" s="456">
        <f>INPUT!CW603</f>
        <v>64.972776769509977</v>
      </c>
      <c r="BY84" s="456">
        <f>INPUT!CX603</f>
        <v>23.998131831275501</v>
      </c>
      <c r="BZ84" s="456">
        <f>INPUT!CY603</f>
        <v>62.005054759898904</v>
      </c>
      <c r="CA84" s="456">
        <f>INPUT!CZ603</f>
        <v>-1.5331682892073815</v>
      </c>
      <c r="CB84" s="456">
        <f>INPUT!DA603</f>
        <v>58.03886925795053</v>
      </c>
      <c r="CC84" s="456">
        <f>INPUT!DB603</f>
        <v>-4.7617212512154055</v>
      </c>
      <c r="CD84" s="456">
        <f>INPUT!DC603</f>
        <v>59.329446064139944</v>
      </c>
      <c r="CE84" s="456">
        <f>INPUT!DD603</f>
        <v>-15.813874697978804</v>
      </c>
      <c r="CF84" s="456">
        <f>INPUT!DE603</f>
        <v>58.27862873814734</v>
      </c>
      <c r="CG84" s="456">
        <f>INPUT!DF603</f>
        <v>-10.303004372292776</v>
      </c>
      <c r="CH84" s="456">
        <f>INPUT!DG603</f>
        <v>57.755775577557756</v>
      </c>
      <c r="CI84" s="456">
        <f>INPUT!DH603</f>
        <v>-6.8531173769550833</v>
      </c>
      <c r="CJ84" s="456">
        <f>INPUT!DI603</f>
        <v>51.527494908350299</v>
      </c>
      <c r="CK84" s="456">
        <f>INPUT!DJ603</f>
        <v>-11.218988985916994</v>
      </c>
      <c r="CL84" s="456">
        <f>INPUT!DK603</f>
        <v>52.78465346534653</v>
      </c>
      <c r="CM84" s="456">
        <f>INPUT!DL603</f>
        <v>-11.031272046123547</v>
      </c>
      <c r="CN84" s="456">
        <f>INPUT!DM603</f>
        <v>54.067278287461775</v>
      </c>
      <c r="CO84" s="456">
        <f>INPUT!DN603</f>
        <v>-7.2262346281475658</v>
      </c>
      <c r="CP84" s="456">
        <f>INPUT!DO603</f>
        <v>52.786474639949908</v>
      </c>
      <c r="CQ84" s="456">
        <f>INPUT!DP603</f>
        <v>-8.60398962340102</v>
      </c>
      <c r="CR84" s="456">
        <f>INPUT!DQ603</f>
        <v>51.270053475935825</v>
      </c>
      <c r="CS84" s="456">
        <f>INPUT!DR603</f>
        <v>-0.49961953879646614</v>
      </c>
      <c r="CT84" s="456">
        <f>INPUT!DS603</f>
        <v>50.60679611650486</v>
      </c>
      <c r="CU84" s="456">
        <f>INPUT!DT603</f>
        <v>-4.1259290454022732</v>
      </c>
      <c r="CV84" s="456">
        <f>INPUT!DU603</f>
        <v>52.686202686202691</v>
      </c>
      <c r="CW84" s="456">
        <f>INPUT!DV603</f>
        <v>-2.5543649412427527</v>
      </c>
      <c r="CX84" s="456">
        <f>INPUT!DW603</f>
        <v>52.488687782805435</v>
      </c>
      <c r="CY84" s="456">
        <f>INPUT!DX603</f>
        <v>-0.56413476970311649</v>
      </c>
      <c r="CZ84" s="456">
        <f>INPUT!DY603</f>
        <v>57.905060808160059</v>
      </c>
      <c r="DA84" s="456">
        <f>INPUT!DZ603</f>
        <v>12.941292006528627</v>
      </c>
      <c r="DB84" s="456">
        <f>INPUT!EA603</f>
        <v>54.743499648629658</v>
      </c>
      <c r="DC84" s="456">
        <f>INPUT!EB603</f>
        <v>8.1742055406974288</v>
      </c>
      <c r="DD84" s="456">
        <f>INPUT!EC603</f>
        <v>56.09919571045576</v>
      </c>
      <c r="DE84" s="456">
        <f>INPUT!ED603</f>
        <v>6.4779635848511248</v>
      </c>
      <c r="DF84" s="456">
        <f>INPUT!EE603</f>
        <v>53.682037164487269</v>
      </c>
      <c r="DG84" s="456">
        <f>INPUT!EF603</f>
        <v>2.2735363219972982</v>
      </c>
      <c r="DH84" s="456">
        <f>INPUT!EG603</f>
        <v>52.466990965948582</v>
      </c>
      <c r="DI84" s="456">
        <f>INPUT!EH603</f>
        <v>-9.3913550323828332</v>
      </c>
      <c r="DJ84" s="456">
        <f>INPUT!EI603</f>
        <v>48.716541674288152</v>
      </c>
      <c r="DK84" s="456">
        <f>INPUT!EJ603</f>
        <v>-11.009449547481339</v>
      </c>
      <c r="DL84" s="456">
        <f>INPUT!EK603</f>
        <v>48.385300668151451</v>
      </c>
      <c r="DM84" s="456">
        <f>INPUT!EL603</f>
        <v>-13.750455678755117</v>
      </c>
      <c r="DN84" s="456">
        <f>INPUT!EM603</f>
        <v>46.025345622119815</v>
      </c>
      <c r="DO84" s="456">
        <f>INPUT!EN603</f>
        <v>-14.263042065461434</v>
      </c>
      <c r="DP84" s="456">
        <f>INPUT!EO603</f>
        <v>49.553571428571431</v>
      </c>
      <c r="DQ84" s="456">
        <f>INPUT!EP603</f>
        <v>-5.5528618732261208</v>
      </c>
      <c r="DR84" s="456">
        <f>INPUT!EQ603</f>
        <v>49.721835803338635</v>
      </c>
      <c r="DS84" s="456">
        <f>INPUT!ER603</f>
        <v>2.0635580739120059</v>
      </c>
      <c r="DT84" s="456">
        <f>INPUT!ES603</f>
        <v>48.931504254692257</v>
      </c>
      <c r="DU84" s="456">
        <f>INPUT!ET603</f>
        <v>1.1288626483627979</v>
      </c>
      <c r="DV84" s="456">
        <f>INPUT!EU603</f>
        <v>47.738999616254652</v>
      </c>
      <c r="DW84" s="456">
        <f>INPUT!EV603</f>
        <v>3.7232832713617938</v>
      </c>
      <c r="DX84" s="456">
        <f>INPUT!EW603</f>
        <v>52.060801967653326</v>
      </c>
      <c r="DY84" s="456">
        <f>INPUT!EX603</f>
        <v>5.059636403192286</v>
      </c>
      <c r="DZ84" s="456">
        <f>INPUT!EY603</f>
        <v>0</v>
      </c>
      <c r="EA84" s="438"/>
      <c r="EB84" s="439">
        <f>INPUT!FI603</f>
        <v>68.133724548768555</v>
      </c>
      <c r="EC84" s="456">
        <f>INPUT!FJ603</f>
        <v>41.978759083286754</v>
      </c>
      <c r="ED84" s="439">
        <f>INPUT!FK603</f>
        <v>-5.4027041855888314</v>
      </c>
      <c r="EE84" s="456">
        <f>INPUT!FL603</f>
        <v>38.989513822688274</v>
      </c>
      <c r="EF84" s="439">
        <f>INPUT!FM603</f>
        <v>-7.1208518924243407</v>
      </c>
      <c r="EG84" s="456">
        <f>INPUT!FN603</f>
        <v>37.518518518518519</v>
      </c>
      <c r="EH84" s="439">
        <f>INPUT!FO603</f>
        <v>-3.7727972471248705</v>
      </c>
      <c r="EI84" s="456">
        <f>INPUT!FP603</f>
        <v>40.16465745369009</v>
      </c>
      <c r="EJ84" s="438">
        <f>INPUT!FQ603</f>
        <v>7.052887586340816</v>
      </c>
      <c r="EK84" s="456">
        <f>INPUT!FR603</f>
        <v>40.606060606060609</v>
      </c>
      <c r="EL84" s="438">
        <f>INPUT!FS603</f>
        <v>1.0989839833178223</v>
      </c>
      <c r="EM84" s="456">
        <f>INPUT!FT603</f>
        <v>39.74286582982235</v>
      </c>
      <c r="EN84" s="438">
        <f>INPUT!FU603</f>
        <v>-2.1257781802882505</v>
      </c>
      <c r="EO84" s="456">
        <f>INPUT!FV603</f>
        <v>37.807881773399018</v>
      </c>
      <c r="EP84" s="438">
        <f>INPUT!FW603</f>
        <v>-4.8687582438288928</v>
      </c>
      <c r="EQ84" s="456">
        <f>INPUT!FX603</f>
        <v>64.853228962817994</v>
      </c>
      <c r="ER84" s="438">
        <f>INPUT!FY603</f>
        <v>71.533621882111419</v>
      </c>
      <c r="ES84" s="456">
        <f>INPUT!FZ603</f>
        <v>57.871674491392803</v>
      </c>
      <c r="ET84" s="438">
        <f>INPUT!GA603</f>
        <v>-10.765160938136006</v>
      </c>
      <c r="EU84" s="456">
        <f>INPUT!GB603</f>
        <v>58.124361879622477</v>
      </c>
      <c r="EV84" s="438">
        <f>INPUT!GC603</f>
        <v>0.4366339672221784</v>
      </c>
      <c r="EW84" s="456">
        <f>INPUT!GD603</f>
        <v>63.531846401471604</v>
      </c>
      <c r="EX84" s="456">
        <f>INPUT!GE603</f>
        <v>9.3033013128784177</v>
      </c>
      <c r="EY84" s="456">
        <f>INPUT!GF603</f>
        <v>56.656778921654158</v>
      </c>
      <c r="EZ84" s="456">
        <f>INPUT!GG603</f>
        <v>-10.821450767182796</v>
      </c>
      <c r="FA84" s="456">
        <f>INPUT!GH603</f>
        <v>52.758511979823453</v>
      </c>
      <c r="FB84" s="456">
        <f>INPUT!GI603</f>
        <v>-6.8804951782050523</v>
      </c>
      <c r="FC84" s="456">
        <f>INPUT!GJ603</f>
        <v>53.164142447810072</v>
      </c>
      <c r="FD84" s="438">
        <f>INPUT!GK603</f>
        <v>0.76884364771649416</v>
      </c>
      <c r="FE84" s="456">
        <f>INPUT!GL603</f>
        <v>54.262097468572414</v>
      </c>
      <c r="FF84" s="438">
        <f>INPUT!GM603</f>
        <v>2.0652172125980854</v>
      </c>
      <c r="FG84" s="456">
        <f>INPUT!GN603</f>
        <v>48.129849705493982</v>
      </c>
      <c r="FH84" s="438">
        <f>INPUT!GO603</f>
        <v>-11.301162411995065</v>
      </c>
      <c r="FI84" s="456">
        <f>INPUT!GP603</f>
        <v>49.55030841056908</v>
      </c>
      <c r="FJ84" s="438">
        <f>INPUT!GQ603</f>
        <v>2.9513050918855299</v>
      </c>
      <c r="FK84" s="456">
        <f>INPUT!GR603</f>
        <v>50.112245650710065</v>
      </c>
      <c r="FL84" s="438">
        <f>INPUT!GS603</f>
        <v>1.1340741524448816</v>
      </c>
      <c r="FM84" s="456">
        <f>INPUT!GT603</f>
        <v>50.615328378523081</v>
      </c>
      <c r="FN84" s="438">
        <f>INPUT!GU603</f>
        <v>1.003911761048542</v>
      </c>
      <c r="FO84" s="456">
        <f>INPUT!GV603</f>
        <v>51.084971829325212</v>
      </c>
      <c r="FP84" s="438">
        <f>INPUT!GW603</f>
        <v>0.92786803098448445</v>
      </c>
      <c r="FQ84" s="456">
        <f>INPUT!GX603</f>
        <v>51.656345534832418</v>
      </c>
      <c r="FR84" s="438">
        <f>INPUT!GY603</f>
        <v>1.1184770883620416</v>
      </c>
      <c r="FS84" s="806">
        <f>INPUT!GZ603</f>
        <v>1.4242569286829987</v>
      </c>
    </row>
    <row r="85" spans="1:175" s="529" customFormat="1" ht="12.75" customHeight="1" x14ac:dyDescent="0.2">
      <c r="A85" s="810" t="s">
        <v>79</v>
      </c>
      <c r="B85" s="456">
        <f>INPUT!AA605</f>
        <v>3.9473684210526314</v>
      </c>
      <c r="C85" s="456">
        <f>INPUT!AB605</f>
        <v>95</v>
      </c>
      <c r="D85" s="456">
        <f>INPUT!AC605</f>
        <v>-0.18181818181818182</v>
      </c>
      <c r="E85" s="456" t="str">
        <f>INPUT!AD605</f>
        <v>NM</v>
      </c>
      <c r="F85" s="456">
        <f>INPUT!AE605</f>
        <v>6.1657032755298653</v>
      </c>
      <c r="G85" s="456" t="str">
        <f>INPUT!AF605</f>
        <v>NM</v>
      </c>
      <c r="H85" s="456">
        <f>INPUT!AG605</f>
        <v>7.4733096085409247</v>
      </c>
      <c r="I85" s="456" t="str">
        <f>INPUT!AH605</f>
        <v>NM</v>
      </c>
      <c r="J85" s="456">
        <f>INPUT!AI605</f>
        <v>4.0780141843971638</v>
      </c>
      <c r="K85" s="456">
        <f>INPUT!AJ605</f>
        <v>3.3096926713948278</v>
      </c>
      <c r="L85" s="456">
        <f>INPUT!AK605</f>
        <v>9.5435684647302903</v>
      </c>
      <c r="M85" s="456" t="str">
        <f>INPUT!AL605</f>
        <v>NM</v>
      </c>
      <c r="N85" s="456">
        <f>INPUT!AM605</f>
        <v>8.0056179775280896</v>
      </c>
      <c r="O85" s="456">
        <f>INPUT!AN605</f>
        <v>29.841116573033702</v>
      </c>
      <c r="P85" s="456">
        <f>INPUT!AO605</f>
        <v>6.4562410329985651</v>
      </c>
      <c r="Q85" s="456">
        <f>INPUT!AP605</f>
        <v>-13.609346177495382</v>
      </c>
      <c r="R85" s="456">
        <f>INPUT!AQ605</f>
        <v>2.2339027595269383</v>
      </c>
      <c r="S85" s="456">
        <f>INPUT!AR605</f>
        <v>-45.220819288122051</v>
      </c>
      <c r="T85" s="456">
        <f>INPUT!AS605</f>
        <v>7.3200992555831261</v>
      </c>
      <c r="U85" s="456">
        <f>INPUT!AT605</f>
        <v>-23.298090408889848</v>
      </c>
      <c r="V85" s="456">
        <f>INPUT!AU605</f>
        <v>5.7077625570776256</v>
      </c>
      <c r="W85" s="456">
        <f>INPUT!AV605</f>
        <v>-28.703036129135612</v>
      </c>
      <c r="X85" s="456">
        <f>INPUT!AW605</f>
        <v>4.8936170212765955</v>
      </c>
      <c r="Y85" s="456">
        <f>INPUT!AX605</f>
        <v>-24.203309692671397</v>
      </c>
      <c r="Z85" s="456">
        <f>INPUT!AY605</f>
        <v>1.671891327063741</v>
      </c>
      <c r="AA85" s="456">
        <f>INPUT!AZ605</f>
        <v>-25.158276476734883</v>
      </c>
      <c r="AB85" s="456">
        <f>INPUT!BA605</f>
        <v>4.2507970244420834</v>
      </c>
      <c r="AC85" s="456">
        <f>INPUT!BB605</f>
        <v>-41.929789801689502</v>
      </c>
      <c r="AD85" s="456">
        <f>INPUT!BC605</f>
        <v>0.42417815482502658</v>
      </c>
      <c r="AE85" s="456" t="str">
        <f>INPUT!BD605</f>
        <v>NM</v>
      </c>
      <c r="AF85" s="456">
        <f>INPUT!BE605</f>
        <v>-3.2921810699588478</v>
      </c>
      <c r="AG85" s="456" t="str">
        <f>INPUT!BF605</f>
        <v>NM</v>
      </c>
      <c r="AH85" s="456">
        <f>INPUT!BG605</f>
        <v>-1.6577743902439033</v>
      </c>
      <c r="AI85" s="456" t="str">
        <f>INPUT!BH605</f>
        <v>NM</v>
      </c>
      <c r="AJ85" s="456">
        <f>INPUT!BI605</f>
        <v>-2.4635036496350367</v>
      </c>
      <c r="AK85" s="456" t="str">
        <f>INPUT!BJ605</f>
        <v>NM</v>
      </c>
      <c r="AL85" s="456">
        <f>INPUT!BK605</f>
        <v>-1.8320610687022902</v>
      </c>
      <c r="AM85" s="456" t="str">
        <f>INPUT!BL605</f>
        <v>NM</v>
      </c>
      <c r="AN85" s="456">
        <f>INPUT!BM605</f>
        <v>-3.9182282793867125</v>
      </c>
      <c r="AO85" s="456">
        <f>INPUT!BN605</f>
        <v>19.016183986371388</v>
      </c>
      <c r="AP85" s="456">
        <f>INPUT!BO605</f>
        <v>-5.4140127388535033</v>
      </c>
      <c r="AQ85" s="456" t="str">
        <f>INPUT!BP605</f>
        <v>NM</v>
      </c>
      <c r="AR85" s="456">
        <f>INPUT!BQ605</f>
        <v>-1.8621973929236499</v>
      </c>
      <c r="AS85" s="456">
        <f>INPUT!BR605</f>
        <v>-24.408579902062215</v>
      </c>
      <c r="AT85" s="456">
        <f>INPUT!BS605</f>
        <v>-4.1666666666666661</v>
      </c>
      <c r="AU85" s="456" t="str">
        <f>INPUT!BT605</f>
        <v>NM</v>
      </c>
      <c r="AV85" s="456">
        <f>INPUT!BU605</f>
        <v>-38.782608695652179</v>
      </c>
      <c r="AW85" s="456" t="str">
        <f>INPUT!BV605</f>
        <v>NM</v>
      </c>
      <c r="AX85" s="456">
        <f>INPUT!BW605</f>
        <v>-34.747145187601959</v>
      </c>
      <c r="AY85" s="456" t="str">
        <f>INPUT!BX605</f>
        <v>NM</v>
      </c>
      <c r="AZ85" s="456">
        <f>INPUT!BY605</f>
        <v>-24.649859943977592</v>
      </c>
      <c r="BA85" s="456" t="str">
        <f>INPUT!BZ605</f>
        <v>NM</v>
      </c>
      <c r="BB85" s="456">
        <f>INPUT!CA605</f>
        <v>-25.029940119760479</v>
      </c>
      <c r="BC85" s="456" t="str">
        <f>INPUT!CB605</f>
        <v>NM</v>
      </c>
      <c r="BD85" s="456">
        <f>INPUT!CC605</f>
        <v>-32.944606413994173</v>
      </c>
      <c r="BE85" s="456">
        <f>INPUT!CD605</f>
        <v>-15.053144896651801</v>
      </c>
      <c r="BF85" s="456">
        <f>INPUT!CE605</f>
        <v>-27.873183619550858</v>
      </c>
      <c r="BG85" s="456">
        <f>INPUT!CF605</f>
        <v>-19.782809583170533</v>
      </c>
      <c r="BH85" s="456">
        <f>INPUT!CG605</f>
        <v>-23.551171393341551</v>
      </c>
      <c r="BI85" s="456">
        <f>INPUT!CH605</f>
        <v>-4.45717968837576</v>
      </c>
      <c r="BJ85" s="456">
        <f>INPUT!CI605</f>
        <v>-39.47019867549669</v>
      </c>
      <c r="BK85" s="456">
        <f>INPUT!CJ605</f>
        <v>57.691942076745164</v>
      </c>
      <c r="BL85" s="456">
        <f>INPUT!CK605</f>
        <v>-28.555045871559631</v>
      </c>
      <c r="BM85" s="456">
        <f>INPUT!CL605</f>
        <v>-13.32406430137209</v>
      </c>
      <c r="BN85" s="456">
        <f>INPUT!CM605</f>
        <v>-28.32473412656628</v>
      </c>
      <c r="BO85" s="456">
        <f>INPUT!CN605</f>
        <v>1.6200176957851937</v>
      </c>
      <c r="BP85" s="456">
        <f>INPUT!CO605</f>
        <v>-21.447963800904976</v>
      </c>
      <c r="BQ85" s="456">
        <f>INPUT!CP605</f>
        <v>-8.9303735992987612</v>
      </c>
      <c r="BR85" s="456">
        <f>INPUT!CQ605</f>
        <v>-23.397761953204476</v>
      </c>
      <c r="BS85" s="456">
        <f>INPUT!CR605</f>
        <v>-40.720435319901412</v>
      </c>
      <c r="BT85" s="456">
        <f>INPUT!CS605</f>
        <v>-29.141104294478527</v>
      </c>
      <c r="BU85" s="456">
        <f>INPUT!CT605</f>
        <v>2.0523813043585477</v>
      </c>
      <c r="BV85" s="456">
        <f>INPUT!CU605</f>
        <v>-35.129310344827587</v>
      </c>
      <c r="BW85" s="456">
        <f>INPUT!CV605</f>
        <v>24.023442507370873</v>
      </c>
      <c r="BX85" s="456">
        <f>INPUT!CW605</f>
        <v>-20.417422867513611</v>
      </c>
      <c r="BY85" s="456">
        <f>INPUT!CX605</f>
        <v>-4.8048427485124847</v>
      </c>
      <c r="BZ85" s="456">
        <f>INPUT!CY605</f>
        <v>-26.958719460825609</v>
      </c>
      <c r="CA85" s="456">
        <f>INPUT!CZ605</f>
        <v>15.219222739093794</v>
      </c>
      <c r="CB85" s="456">
        <f>INPUT!DA605</f>
        <v>-26.766784452296822</v>
      </c>
      <c r="CC85" s="456">
        <f>INPUT!DB605</f>
        <v>-8.1476659847498496</v>
      </c>
      <c r="CD85" s="456">
        <f>INPUT!DC605</f>
        <v>-22.084548104956266</v>
      </c>
      <c r="CE85" s="456">
        <f>INPUT!DD605</f>
        <v>-37.133556314725723</v>
      </c>
      <c r="CF85" s="456">
        <f>INPUT!DE605</f>
        <v>-24.142961342086071</v>
      </c>
      <c r="CG85" s="456">
        <f>INPUT!DF605</f>
        <v>18.246859551017124</v>
      </c>
      <c r="CH85" s="456">
        <f>INPUT!DG605</f>
        <v>-20.594059405940595</v>
      </c>
      <c r="CI85" s="456">
        <f>INPUT!DH605</f>
        <v>-23.60891089108911</v>
      </c>
      <c r="CJ85" s="456">
        <f>INPUT!DI605</f>
        <v>-26.951799049558723</v>
      </c>
      <c r="CK85" s="456">
        <f>INPUT!DJ605</f>
        <v>0.69120965049660299</v>
      </c>
      <c r="CL85" s="456">
        <f>INPUT!DK605</f>
        <v>-21.163366336633661</v>
      </c>
      <c r="CM85" s="456">
        <f>INPUT!DL605</f>
        <v>-4.1711596902264461</v>
      </c>
      <c r="CN85" s="456">
        <f>INPUT!DM605</f>
        <v>-20.856269113149846</v>
      </c>
      <c r="CO85" s="456">
        <f>INPUT!DN605</f>
        <v>-13.613459353086299</v>
      </c>
      <c r="CP85" s="456">
        <f>INPUT!DO605</f>
        <v>-20.037570444583594</v>
      </c>
      <c r="CQ85" s="456">
        <f>INPUT!DP605</f>
        <v>-2.7021819758200536</v>
      </c>
      <c r="CR85" s="456">
        <f>INPUT!DQ605</f>
        <v>-21.791443850267381</v>
      </c>
      <c r="CS85" s="456">
        <f>INPUT!DR605</f>
        <v>-19.146607578227076</v>
      </c>
      <c r="CT85" s="456">
        <f>INPUT!DS605</f>
        <v>-15.351941747572814</v>
      </c>
      <c r="CU85" s="456">
        <f>INPUT!DT605</f>
        <v>-27.459830806790436</v>
      </c>
      <c r="CV85" s="456">
        <f>INPUT!DU605</f>
        <v>-18.620268620268622</v>
      </c>
      <c r="CW85" s="456">
        <f>INPUT!DV605</f>
        <v>-10.720999430676841</v>
      </c>
      <c r="CX85" s="456">
        <f>INPUT!DW605</f>
        <v>-19.909502262443439</v>
      </c>
      <c r="CY85" s="456">
        <f>INPUT!DX605</f>
        <v>-0.63914027149320418</v>
      </c>
      <c r="CZ85" s="456">
        <f>INPUT!DY605</f>
        <v>-29.697920753236563</v>
      </c>
      <c r="DA85" s="456">
        <f>INPUT!DZ605</f>
        <v>36.282482965772687</v>
      </c>
      <c r="DB85" s="456">
        <f>INPUT!EA605</f>
        <v>-21.925509486999299</v>
      </c>
      <c r="DC85" s="456">
        <f>INPUT!EB605</f>
        <v>42.819128990414413</v>
      </c>
      <c r="DD85" s="456">
        <f>INPUT!EC605</f>
        <v>-25.201072386058982</v>
      </c>
      <c r="DE85" s="456">
        <f>INPUT!ED605</f>
        <v>35.342152683162652</v>
      </c>
      <c r="DF85" s="456">
        <f>INPUT!EE605</f>
        <v>-28.423950447350311</v>
      </c>
      <c r="DG85" s="456">
        <f>INPUT!EF605</f>
        <v>42.765751110554959</v>
      </c>
      <c r="DH85" s="456">
        <f>INPUT!EG605</f>
        <v>-30.646282140375259</v>
      </c>
      <c r="DI85" s="456">
        <f>INPUT!EH605</f>
        <v>3.1933595453322852</v>
      </c>
      <c r="DJ85" s="456">
        <f>INPUT!EI605</f>
        <v>-21.462105969148222</v>
      </c>
      <c r="DK85" s="456">
        <f>INPUT!EJ605</f>
        <v>-2.1135359163528307</v>
      </c>
      <c r="DL85" s="456">
        <f>INPUT!EK605</f>
        <v>-17.149220489977729</v>
      </c>
      <c r="DM85" s="456">
        <f>INPUT!EL605</f>
        <v>-31.950433587641569</v>
      </c>
      <c r="DN85" s="456">
        <f>INPUT!EM605</f>
        <v>-17.857142857142858</v>
      </c>
      <c r="DO85" s="456">
        <f>INPUT!EN605</f>
        <v>-37.175717744725013</v>
      </c>
      <c r="DP85" s="456">
        <f>INPUT!EO605</f>
        <v>-28.762755102040817</v>
      </c>
      <c r="DQ85" s="456">
        <f>INPUT!EP605</f>
        <v>-6.1460213337035441</v>
      </c>
      <c r="DR85" s="456">
        <f>INPUT!EQ605</f>
        <v>-20.991975575883284</v>
      </c>
      <c r="DS85" s="456">
        <f>INPUT!ER605</f>
        <v>-2.1905138011188257</v>
      </c>
      <c r="DT85" s="456">
        <f>INPUT!ES605</f>
        <v>-19.718080291119513</v>
      </c>
      <c r="DU85" s="456">
        <f>INPUT!ET605</f>
        <v>14.979455204060514</v>
      </c>
      <c r="DV85" s="456">
        <f>INPUT!EU605</f>
        <v>-18.769179988887227</v>
      </c>
      <c r="DW85" s="456">
        <f>INPUT!EV605</f>
        <v>5.1074079377684711</v>
      </c>
      <c r="DX85" s="456">
        <f>INPUT!EW605</f>
        <v>-27.959469958921364</v>
      </c>
      <c r="DY85" s="456">
        <f>INPUT!EX605</f>
        <v>-2.792796240379829</v>
      </c>
      <c r="DZ85" s="456">
        <f>INPUT!EY605</f>
        <v>0</v>
      </c>
      <c r="EA85" s="438"/>
      <c r="EB85" s="439">
        <f>INPUT!FI605</f>
        <v>35.686865425321969</v>
      </c>
      <c r="EC85" s="456">
        <f>INPUT!FJ605</f>
        <v>8.9435438792621564</v>
      </c>
      <c r="ED85" s="439" t="str">
        <f>INPUT!FK605</f>
        <v>NM</v>
      </c>
      <c r="EE85" s="456">
        <f>INPUT!FL605</f>
        <v>4.3374642516682558</v>
      </c>
      <c r="EF85" s="439" t="str">
        <f>INPUT!FM605</f>
        <v>NM</v>
      </c>
      <c r="EG85" s="456">
        <f>INPUT!FN605</f>
        <v>7.1851851851851851</v>
      </c>
      <c r="EH85" s="439">
        <f>INPUT!FO605</f>
        <v>65.654049654049629</v>
      </c>
      <c r="EI85" s="456">
        <f>INPUT!FP605</f>
        <v>5.0573360776242282</v>
      </c>
      <c r="EJ85" s="438">
        <f>INPUT!FQ605</f>
        <v>-29.614394795951455</v>
      </c>
      <c r="EK85" s="456">
        <f>INPUT!FR605</f>
        <v>0.7378129117259552</v>
      </c>
      <c r="EL85" s="438" t="str">
        <f>INPUT!FS605</f>
        <v>NM</v>
      </c>
      <c r="EM85" s="456">
        <f>INPUT!FT605</f>
        <v>-2.4844720496894404</v>
      </c>
      <c r="EN85" s="438" t="str">
        <f>INPUT!FU605</f>
        <v>NM</v>
      </c>
      <c r="EO85" s="456">
        <f>INPUT!FV605</f>
        <v>-5.6034482758620694</v>
      </c>
      <c r="EP85" s="438" t="str">
        <f>INPUT!FW605</f>
        <v>NM</v>
      </c>
      <c r="EQ85" s="456">
        <f>INPUT!FX605</f>
        <v>-30.841487279843445</v>
      </c>
      <c r="ER85" s="438" t="str">
        <f>INPUT!FY605</f>
        <v>NM</v>
      </c>
      <c r="ES85" s="456">
        <f>INPUT!FZ605</f>
        <v>-29.702660406885762</v>
      </c>
      <c r="ET85" s="438">
        <f>INPUT!GA605</f>
        <v>-3.6925160665061867</v>
      </c>
      <c r="EU85" s="456">
        <f>INPUT!GB605</f>
        <v>-25.425206066190203</v>
      </c>
      <c r="EV85" s="438">
        <f>INPUT!GC605</f>
        <v>-14.400913191277468</v>
      </c>
      <c r="EW85" s="456">
        <f>INPUT!GD605</f>
        <v>-26.994711427914464</v>
      </c>
      <c r="EX85" s="456">
        <f>INPUT!GE605</f>
        <v>6.1730290705936568</v>
      </c>
      <c r="EY85" s="456">
        <f>INPUT!GF605</f>
        <v>-23.433955679637062</v>
      </c>
      <c r="EZ85" s="456">
        <f>INPUT!GG605</f>
        <v>-13.190567929521649</v>
      </c>
      <c r="FA85" s="456">
        <f>INPUT!GH605</f>
        <v>-20.948928121059268</v>
      </c>
      <c r="FB85" s="456">
        <f>INPUT!GI605</f>
        <v>-10.604387891444034</v>
      </c>
      <c r="FC85" s="456">
        <f>INPUT!GJ605</f>
        <v>-20.376586164551782</v>
      </c>
      <c r="FD85" s="438">
        <f>INPUT!GK605</f>
        <v>-2.7320822965263289</v>
      </c>
      <c r="FE85" s="456">
        <f>INPUT!GL605</f>
        <v>-26.554158773893576</v>
      </c>
      <c r="FF85" s="438">
        <f>INPUT!GM605</f>
        <v>30.317014633631999</v>
      </c>
      <c r="FG85" s="456">
        <f>INPUT!GN605</f>
        <v>-21.082773252622363</v>
      </c>
      <c r="FH85" s="438">
        <f>INPUT!GO605</f>
        <v>-20.604627575889708</v>
      </c>
      <c r="FI85" s="456">
        <f>INPUT!GP605</f>
        <v>-21.699732857617963</v>
      </c>
      <c r="FJ85" s="438">
        <f>INPUT!GQ605</f>
        <v>2.9263683558274636</v>
      </c>
      <c r="FK85" s="456">
        <f>INPUT!GR605</f>
        <v>-22.18956075950965</v>
      </c>
      <c r="FL85" s="438">
        <f>INPUT!GS605</f>
        <v>2.2572992262424521</v>
      </c>
      <c r="FM85" s="456">
        <f>INPUT!GT605</f>
        <v>-22.620308753493802</v>
      </c>
      <c r="FN85" s="438">
        <f>INPUT!GU605</f>
        <v>1.9412191104303247</v>
      </c>
      <c r="FO85" s="456">
        <f>INPUT!GV605</f>
        <v>-23.035167879338577</v>
      </c>
      <c r="FP85" s="438">
        <f>INPUT!GW605</f>
        <v>1.8340117739582098</v>
      </c>
      <c r="FQ85" s="456">
        <f>INPUT!GX605</f>
        <v>-23.51773472407633</v>
      </c>
      <c r="FR85" s="438">
        <f>INPUT!GY605</f>
        <v>2.0949135133961505</v>
      </c>
      <c r="FS85" s="806">
        <f>INPUT!GZ605</f>
        <v>2.2100380299375555</v>
      </c>
    </row>
    <row r="86" spans="1:175" s="529" customFormat="1" ht="12.75" customHeight="1" x14ac:dyDescent="0.2">
      <c r="A86" s="811" t="str">
        <f>INPUT!B607</f>
        <v xml:space="preserve">Total </v>
      </c>
      <c r="B86" s="456">
        <f>INPUT!AA607</f>
        <v>100</v>
      </c>
      <c r="C86" s="456">
        <f>INPUT!AB607</f>
        <v>0</v>
      </c>
      <c r="D86" s="456">
        <f>INPUT!AC607</f>
        <v>100</v>
      </c>
      <c r="E86" s="456">
        <f>INPUT!AD607</f>
        <v>0</v>
      </c>
      <c r="F86" s="456">
        <f>INPUT!AE607</f>
        <v>100</v>
      </c>
      <c r="G86" s="456">
        <f>INPUT!AF607</f>
        <v>0</v>
      </c>
      <c r="H86" s="456">
        <f>INPUT!AG607</f>
        <v>100</v>
      </c>
      <c r="I86" s="456">
        <f>INPUT!AH607</f>
        <v>0</v>
      </c>
      <c r="J86" s="456">
        <f>INPUT!AI607</f>
        <v>100</v>
      </c>
      <c r="K86" s="456">
        <f>INPUT!AJ607</f>
        <v>0</v>
      </c>
      <c r="L86" s="456">
        <f>INPUT!AK607</f>
        <v>100</v>
      </c>
      <c r="M86" s="456">
        <f>INPUT!AL607</f>
        <v>0</v>
      </c>
      <c r="N86" s="456">
        <f>INPUT!AM607</f>
        <v>100</v>
      </c>
      <c r="O86" s="456">
        <f>INPUT!AN607</f>
        <v>0</v>
      </c>
      <c r="P86" s="456">
        <f>INPUT!AO607</f>
        <v>99.999999999999986</v>
      </c>
      <c r="Q86" s="456">
        <f>INPUT!AP607</f>
        <v>-1.4210854715202004E-14</v>
      </c>
      <c r="R86" s="456">
        <f>INPUT!AQ607</f>
        <v>100</v>
      </c>
      <c r="S86" s="456">
        <f>INPUT!AR607</f>
        <v>0</v>
      </c>
      <c r="T86" s="456">
        <f>INPUT!AS607</f>
        <v>100</v>
      </c>
      <c r="U86" s="456">
        <f>INPUT!AT607</f>
        <v>0</v>
      </c>
      <c r="V86" s="456">
        <f>INPUT!AU607</f>
        <v>100.00000000000001</v>
      </c>
      <c r="W86" s="456">
        <f>INPUT!AV607</f>
        <v>2.8421709430404007E-14</v>
      </c>
      <c r="X86" s="456">
        <f>INPUT!AW607</f>
        <v>100</v>
      </c>
      <c r="Y86" s="456">
        <f>INPUT!AX607</f>
        <v>2.8421709430404007E-14</v>
      </c>
      <c r="Z86" s="456">
        <f>INPUT!AY607</f>
        <v>100</v>
      </c>
      <c r="AA86" s="456">
        <f>INPUT!AZ607</f>
        <v>0</v>
      </c>
      <c r="AB86" s="456">
        <f>INPUT!BA607</f>
        <v>100</v>
      </c>
      <c r="AC86" s="456">
        <f>INPUT!BB607</f>
        <v>0</v>
      </c>
      <c r="AD86" s="456">
        <f>INPUT!BC607</f>
        <v>100</v>
      </c>
      <c r="AE86" s="456">
        <f>INPUT!BD607</f>
        <v>-1.4210854715202004E-14</v>
      </c>
      <c r="AF86" s="456">
        <f>INPUT!BE607</f>
        <v>100</v>
      </c>
      <c r="AG86" s="456">
        <f>INPUT!BF607</f>
        <v>0</v>
      </c>
      <c r="AH86" s="456">
        <f>INPUT!BG607</f>
        <v>100</v>
      </c>
      <c r="AI86" s="456">
        <f>INPUT!BH607</f>
        <v>0</v>
      </c>
      <c r="AJ86" s="456">
        <f>INPUT!BI607</f>
        <v>100</v>
      </c>
      <c r="AK86" s="456">
        <f>INPUT!BJ607</f>
        <v>0</v>
      </c>
      <c r="AL86" s="456">
        <f>INPUT!BK607</f>
        <v>100</v>
      </c>
      <c r="AM86" s="456">
        <f>INPUT!BL607</f>
        <v>0</v>
      </c>
      <c r="AN86" s="456">
        <f>INPUT!BM607</f>
        <v>100</v>
      </c>
      <c r="AO86" s="456">
        <f>INPUT!BN607</f>
        <v>0</v>
      </c>
      <c r="AP86" s="456">
        <f>INPUT!BO607</f>
        <v>100</v>
      </c>
      <c r="AQ86" s="456">
        <f>INPUT!BP607</f>
        <v>0</v>
      </c>
      <c r="AR86" s="456">
        <f>INPUT!BQ607</f>
        <v>100</v>
      </c>
      <c r="AS86" s="456">
        <f>INPUT!BR607</f>
        <v>0</v>
      </c>
      <c r="AT86" s="456">
        <f>INPUT!BS607</f>
        <v>100</v>
      </c>
      <c r="AU86" s="456">
        <f>INPUT!BT607</f>
        <v>0</v>
      </c>
      <c r="AV86" s="456">
        <f>INPUT!BU607</f>
        <v>100</v>
      </c>
      <c r="AW86" s="456">
        <f>INPUT!BV607</f>
        <v>0</v>
      </c>
      <c r="AX86" s="456">
        <f>INPUT!BW607</f>
        <v>99.999999999999986</v>
      </c>
      <c r="AY86" s="456">
        <f>INPUT!BX607</f>
        <v>-1.4210854715202004E-14</v>
      </c>
      <c r="AZ86" s="456">
        <f>INPUT!BY607</f>
        <v>100.00000000000001</v>
      </c>
      <c r="BA86" s="456">
        <f>INPUT!BZ607</f>
        <v>2.8421709430404007E-14</v>
      </c>
      <c r="BB86" s="456">
        <f>INPUT!CA607</f>
        <v>100</v>
      </c>
      <c r="BC86" s="456">
        <f>INPUT!CB607</f>
        <v>0</v>
      </c>
      <c r="BD86" s="456">
        <f>INPUT!CC607</f>
        <v>100</v>
      </c>
      <c r="BE86" s="456">
        <f>INPUT!CD607</f>
        <v>0</v>
      </c>
      <c r="BF86" s="456">
        <f>INPUT!CE607</f>
        <v>100</v>
      </c>
      <c r="BG86" s="456">
        <f>INPUT!CF607</f>
        <v>2.8421709430404007E-14</v>
      </c>
      <c r="BH86" s="456">
        <f>INPUT!CG607</f>
        <v>100</v>
      </c>
      <c r="BI86" s="456">
        <f>INPUT!CH607</f>
        <v>-1.4210854715202004E-14</v>
      </c>
      <c r="BJ86" s="456">
        <f>INPUT!CI607</f>
        <v>100</v>
      </c>
      <c r="BK86" s="456">
        <f>INPUT!CJ607</f>
        <v>0</v>
      </c>
      <c r="BL86" s="456">
        <f>INPUT!CK607</f>
        <v>100</v>
      </c>
      <c r="BM86" s="456">
        <f>INPUT!CL607</f>
        <v>0</v>
      </c>
      <c r="BN86" s="456">
        <f>INPUT!CM607</f>
        <v>100</v>
      </c>
      <c r="BO86" s="456">
        <f>INPUT!CN607</f>
        <v>0</v>
      </c>
      <c r="BP86" s="456">
        <f>INPUT!CO607</f>
        <v>100</v>
      </c>
      <c r="BQ86" s="456">
        <f>INPUT!CP607</f>
        <v>0</v>
      </c>
      <c r="BR86" s="456">
        <f>INPUT!CQ607</f>
        <v>99.999999999999986</v>
      </c>
      <c r="BS86" s="456">
        <f>INPUT!CR607</f>
        <v>-1.4210854715202004E-14</v>
      </c>
      <c r="BT86" s="456">
        <f>INPUT!CS607</f>
        <v>100</v>
      </c>
      <c r="BU86" s="456">
        <f>INPUT!CT607</f>
        <v>0</v>
      </c>
      <c r="BV86" s="456">
        <f>INPUT!CU607</f>
        <v>100.00000000000001</v>
      </c>
      <c r="BW86" s="456">
        <f>INPUT!CV607</f>
        <v>2.8421709430404007E-14</v>
      </c>
      <c r="BX86" s="456">
        <f>INPUT!CW607</f>
        <v>100</v>
      </c>
      <c r="BY86" s="456">
        <f>INPUT!CX607</f>
        <v>0</v>
      </c>
      <c r="BZ86" s="456">
        <f>INPUT!CY607</f>
        <v>100</v>
      </c>
      <c r="CA86" s="456">
        <f>INPUT!CZ607</f>
        <v>2.8421709430404007E-14</v>
      </c>
      <c r="CB86" s="456">
        <f>INPUT!DA607</f>
        <v>100</v>
      </c>
      <c r="CC86" s="456">
        <f>INPUT!DB607</f>
        <v>0</v>
      </c>
      <c r="CD86" s="456">
        <f>INPUT!DC607</f>
        <v>100</v>
      </c>
      <c r="CE86" s="456">
        <f>INPUT!DD607</f>
        <v>-1.4210854715202004E-14</v>
      </c>
      <c r="CF86" s="456">
        <f>INPUT!DE607</f>
        <v>100.00000000000003</v>
      </c>
      <c r="CG86" s="456">
        <f>INPUT!DF607</f>
        <v>2.8421709430404007E-14</v>
      </c>
      <c r="CH86" s="456">
        <f>INPUT!DG607</f>
        <v>100</v>
      </c>
      <c r="CI86" s="456">
        <f>INPUT!DH607</f>
        <v>0</v>
      </c>
      <c r="CJ86" s="456">
        <f>INPUT!DI607</f>
        <v>99.999999999999986</v>
      </c>
      <c r="CK86" s="456">
        <f>INPUT!DJ607</f>
        <v>-1.4210854715202004E-14</v>
      </c>
      <c r="CL86" s="456">
        <f>INPUT!DK607</f>
        <v>100</v>
      </c>
      <c r="CM86" s="456">
        <f>INPUT!DL607</f>
        <v>0</v>
      </c>
      <c r="CN86" s="456">
        <f>INPUT!DM607</f>
        <v>100</v>
      </c>
      <c r="CO86" s="456">
        <f>INPUT!DN607</f>
        <v>-2.8421709430404007E-14</v>
      </c>
      <c r="CP86" s="456">
        <f>INPUT!DO607</f>
        <v>100</v>
      </c>
      <c r="CQ86" s="456">
        <f>INPUT!DP607</f>
        <v>0</v>
      </c>
      <c r="CR86" s="456">
        <f>INPUT!DQ607</f>
        <v>99.999999999999986</v>
      </c>
      <c r="CS86" s="456">
        <f>INPUT!DR607</f>
        <v>0</v>
      </c>
      <c r="CT86" s="456">
        <f>INPUT!DS607</f>
        <v>100</v>
      </c>
      <c r="CU86" s="456">
        <f>INPUT!DT607</f>
        <v>0</v>
      </c>
      <c r="CV86" s="456">
        <f>INPUT!DU607</f>
        <v>100</v>
      </c>
      <c r="CW86" s="456">
        <f>INPUT!DV607</f>
        <v>0</v>
      </c>
      <c r="CX86" s="456">
        <f>INPUT!DW607</f>
        <v>100</v>
      </c>
      <c r="CY86" s="456">
        <f>INPUT!DX607</f>
        <v>0</v>
      </c>
      <c r="CZ86" s="456">
        <f>INPUT!DY607</f>
        <v>100</v>
      </c>
      <c r="DA86" s="456">
        <f>INPUT!DZ607</f>
        <v>2.8421709430404007E-14</v>
      </c>
      <c r="DB86" s="456">
        <f>INPUT!EA607</f>
        <v>100</v>
      </c>
      <c r="DC86" s="456">
        <f>INPUT!EB607</f>
        <v>0</v>
      </c>
      <c r="DD86" s="456">
        <f>INPUT!EC607</f>
        <v>100</v>
      </c>
      <c r="DE86" s="456">
        <f>INPUT!ED607</f>
        <v>0</v>
      </c>
      <c r="DF86" s="456">
        <f>INPUT!EE607</f>
        <v>100</v>
      </c>
      <c r="DG86" s="456">
        <f>INPUT!EF607</f>
        <v>0</v>
      </c>
      <c r="DH86" s="456">
        <f>INPUT!EG607</f>
        <v>100.00000000000001</v>
      </c>
      <c r="DI86" s="456">
        <f>INPUT!EH607</f>
        <v>2.8421709430404007E-14</v>
      </c>
      <c r="DJ86" s="456">
        <f>INPUT!EI607</f>
        <v>100</v>
      </c>
      <c r="DK86" s="456">
        <f>INPUT!EJ607</f>
        <v>0</v>
      </c>
      <c r="DL86" s="456">
        <f>INPUT!EK607</f>
        <v>100</v>
      </c>
      <c r="DM86" s="456">
        <f>INPUT!EL607</f>
        <v>0</v>
      </c>
      <c r="DN86" s="456">
        <f>INPUT!EM607</f>
        <v>100</v>
      </c>
      <c r="DO86" s="456">
        <f>INPUT!EN607</f>
        <v>0</v>
      </c>
      <c r="DP86" s="456">
        <f>INPUT!EO607</f>
        <v>100</v>
      </c>
      <c r="DQ86" s="456">
        <f>INPUT!EP607</f>
        <v>-1.4210854715202004E-14</v>
      </c>
      <c r="DR86" s="456">
        <f>INPUT!EQ607</f>
        <v>99.999999999999986</v>
      </c>
      <c r="DS86" s="456">
        <f>INPUT!ER607</f>
        <v>-1.4210854715202004E-14</v>
      </c>
      <c r="DT86" s="456">
        <f>INPUT!ES607</f>
        <v>100</v>
      </c>
      <c r="DU86" s="456">
        <f>INPUT!ET607</f>
        <v>0</v>
      </c>
      <c r="DV86" s="456">
        <f>INPUT!EU607</f>
        <v>100.00000000000001</v>
      </c>
      <c r="DW86" s="456">
        <f>INPUT!EV607</f>
        <v>2.8421709430404007E-14</v>
      </c>
      <c r="DX86" s="456">
        <f>INPUT!EW607</f>
        <v>100</v>
      </c>
      <c r="DY86" s="456">
        <f>INPUT!EX607</f>
        <v>0</v>
      </c>
      <c r="DZ86" s="456">
        <f>INPUT!EY607</f>
        <v>0</v>
      </c>
      <c r="EA86" s="438"/>
      <c r="EB86" s="439">
        <f>INPUT!FI607</f>
        <v>0</v>
      </c>
      <c r="EC86" s="456">
        <f>INPUT!FJ607</f>
        <v>100</v>
      </c>
      <c r="ED86" s="439">
        <f>INPUT!FK607</f>
        <v>0</v>
      </c>
      <c r="EE86" s="456">
        <f>INPUT!FL607</f>
        <v>100</v>
      </c>
      <c r="EF86" s="439">
        <f>INPUT!FM607</f>
        <v>0</v>
      </c>
      <c r="EG86" s="456">
        <f>INPUT!FN607</f>
        <v>100</v>
      </c>
      <c r="EH86" s="439">
        <f>INPUT!FO607</f>
        <v>0</v>
      </c>
      <c r="EI86" s="456">
        <f>INPUT!FP607</f>
        <v>100</v>
      </c>
      <c r="EJ86" s="438">
        <f>INPUT!FQ607</f>
        <v>0</v>
      </c>
      <c r="EK86" s="456">
        <f>INPUT!FR607</f>
        <v>100</v>
      </c>
      <c r="EL86" s="438">
        <f>INPUT!FS607</f>
        <v>0</v>
      </c>
      <c r="EM86" s="456">
        <f>INPUT!FT607</f>
        <v>99.999999999999986</v>
      </c>
      <c r="EN86" s="438">
        <f>INPUT!FU607</f>
        <v>-1.4210854715202004E-14</v>
      </c>
      <c r="EO86" s="456">
        <f>INPUT!FV607</f>
        <v>100</v>
      </c>
      <c r="EP86" s="438">
        <f>INPUT!FW607</f>
        <v>2.8421709430404007E-14</v>
      </c>
      <c r="EQ86" s="456">
        <f>INPUT!FX607</f>
        <v>99.999999999999972</v>
      </c>
      <c r="ER86" s="438">
        <f>INPUT!FY607</f>
        <v>-2.8421709430404007E-14</v>
      </c>
      <c r="ES86" s="456">
        <f>INPUT!FZ607</f>
        <v>100</v>
      </c>
      <c r="ET86" s="438">
        <f>INPUT!GA607</f>
        <v>2.8421709430404007E-14</v>
      </c>
      <c r="EU86" s="456">
        <f>INPUT!GB607</f>
        <v>99.999999999999986</v>
      </c>
      <c r="EV86" s="438">
        <f>INPUT!GC607</f>
        <v>-1.4210854715202004E-14</v>
      </c>
      <c r="EW86" s="456">
        <f>INPUT!GD607</f>
        <v>100</v>
      </c>
      <c r="EX86" s="456">
        <f>INPUT!GE607</f>
        <v>2.8421709430404007E-14</v>
      </c>
      <c r="EY86" s="456">
        <f>INPUT!GF607</f>
        <v>99.999999999999972</v>
      </c>
      <c r="EZ86" s="456">
        <f>INPUT!GG607</f>
        <v>-2.8421709430404007E-14</v>
      </c>
      <c r="FA86" s="456">
        <f>INPUT!GH607</f>
        <v>100</v>
      </c>
      <c r="FB86" s="456">
        <f>INPUT!GI607</f>
        <v>2.8421709430404007E-14</v>
      </c>
      <c r="FC86" s="456">
        <f>INPUT!GJ607</f>
        <v>100</v>
      </c>
      <c r="FD86" s="438">
        <f>INPUT!GK607</f>
        <v>0</v>
      </c>
      <c r="FE86" s="456">
        <f>INPUT!GL607</f>
        <v>100</v>
      </c>
      <c r="FF86" s="438">
        <f>INPUT!GM607</f>
        <v>0</v>
      </c>
      <c r="FG86" s="456">
        <f>INPUT!GN607</f>
        <v>100</v>
      </c>
      <c r="FH86" s="438">
        <f>INPUT!GO607</f>
        <v>0</v>
      </c>
      <c r="FI86" s="456">
        <f>INPUT!GP607</f>
        <v>100</v>
      </c>
      <c r="FJ86" s="438">
        <f>INPUT!GQ607</f>
        <v>0</v>
      </c>
      <c r="FK86" s="456">
        <f>INPUT!GR607</f>
        <v>100.00000000000001</v>
      </c>
      <c r="FL86" s="438">
        <f>INPUT!GS607</f>
        <v>2.8421709430404007E-14</v>
      </c>
      <c r="FM86" s="456">
        <f>INPUT!GT607</f>
        <v>100</v>
      </c>
      <c r="FN86" s="438">
        <f>INPUT!GU607</f>
        <v>-1.4210854715202004E-14</v>
      </c>
      <c r="FO86" s="456">
        <f>INPUT!GV607</f>
        <v>100</v>
      </c>
      <c r="FP86" s="438">
        <f>INPUT!GW607</f>
        <v>0</v>
      </c>
      <c r="FQ86" s="456">
        <f>INPUT!GX607</f>
        <v>100.00000000000001</v>
      </c>
      <c r="FR86" s="438">
        <f>INPUT!GY607</f>
        <v>2.8421709430404007E-14</v>
      </c>
      <c r="FS86" s="806">
        <f>INPUT!GZ607</f>
        <v>0</v>
      </c>
    </row>
    <row r="87" spans="1:175" s="530" customFormat="1" ht="12.75" hidden="1" customHeight="1" outlineLevel="1" x14ac:dyDescent="0.2">
      <c r="A87" s="812" t="s">
        <v>683</v>
      </c>
      <c r="B87" s="458"/>
      <c r="C87" s="459"/>
      <c r="D87" s="458"/>
      <c r="E87" s="459"/>
      <c r="F87" s="458"/>
      <c r="G87" s="459"/>
      <c r="H87" s="458"/>
      <c r="I87" s="459"/>
      <c r="J87" s="458"/>
      <c r="K87" s="459"/>
      <c r="L87" s="458"/>
      <c r="M87" s="459"/>
      <c r="N87" s="458"/>
      <c r="O87" s="459"/>
      <c r="P87" s="458"/>
      <c r="Q87" s="459"/>
      <c r="R87" s="458"/>
      <c r="S87" s="459"/>
      <c r="T87" s="458"/>
      <c r="U87" s="459"/>
      <c r="V87" s="458"/>
      <c r="W87" s="459"/>
      <c r="X87" s="458"/>
      <c r="Y87" s="459"/>
      <c r="Z87" s="458"/>
      <c r="AA87" s="459"/>
      <c r="AB87" s="458"/>
      <c r="AC87" s="459"/>
      <c r="AD87" s="458"/>
      <c r="AE87" s="459"/>
      <c r="AF87" s="458"/>
      <c r="AG87" s="459"/>
      <c r="AH87" s="458"/>
      <c r="AI87" s="461"/>
      <c r="AJ87" s="458"/>
      <c r="AK87" s="461"/>
      <c r="AL87" s="458"/>
      <c r="AM87" s="461"/>
      <c r="AN87" s="458"/>
      <c r="AO87" s="461"/>
      <c r="AP87" s="458"/>
      <c r="AQ87" s="461"/>
      <c r="AR87" s="458"/>
      <c r="AS87" s="461"/>
      <c r="AT87" s="458"/>
      <c r="AU87" s="461"/>
      <c r="AV87" s="458"/>
      <c r="AW87" s="461"/>
      <c r="AX87" s="458"/>
      <c r="AY87" s="461"/>
      <c r="AZ87" s="458"/>
      <c r="BA87" s="461"/>
      <c r="BB87" s="458"/>
      <c r="BC87" s="461"/>
      <c r="BD87" s="458"/>
      <c r="BE87" s="461"/>
      <c r="BF87" s="458"/>
      <c r="BG87" s="461"/>
      <c r="BH87" s="458"/>
      <c r="BI87" s="461"/>
      <c r="BJ87" s="458"/>
      <c r="BK87" s="461"/>
      <c r="BL87" s="458"/>
      <c r="BM87" s="461"/>
      <c r="BN87" s="460">
        <f>(BN74+BN75+BN76+BN79+BN80+BN82+BN83+BN85)-BN86</f>
        <v>20.911866905338513</v>
      </c>
      <c r="BO87" s="461"/>
      <c r="BP87" s="460">
        <f>(BP74+BP75+BP76+BP79+BP80+BP82+BP83+BP85)-BP86</f>
        <v>23.529411764705884</v>
      </c>
      <c r="BQ87" s="461"/>
      <c r="BR87" s="460">
        <f>(BR74+BR75+BR76+BR79+BR80+BR82+BR83+BR85)-BR86</f>
        <v>21.668362156663292</v>
      </c>
      <c r="BS87" s="461"/>
      <c r="BT87" s="460">
        <f>(BT74+BT75+BT76+BT79+BT80+BT82+BT83+BT85)-BT86</f>
        <v>21.165644171779164</v>
      </c>
      <c r="BU87" s="461"/>
      <c r="BV87" s="460">
        <f>(BV74+BV75+BV76+BV79+BV80+BV82+BV83+BV85)-BV86</f>
        <v>16.163793103448242</v>
      </c>
      <c r="BW87" s="461"/>
      <c r="BX87" s="460">
        <f>(BX74+BX75+BX76+BX79+BX80+BX82+BX83+BX85)-BX86</f>
        <v>17.695099818511807</v>
      </c>
      <c r="BY87" s="461"/>
      <c r="BZ87" s="460">
        <f>(BZ74+BZ75+BZ76+BZ79+BZ80+BZ82+BZ83+BZ85)-BZ86</f>
        <v>18.955349620893017</v>
      </c>
      <c r="CA87" s="461"/>
      <c r="CB87" s="460">
        <f>(CB74+CB75+CB76+CB79+CB80+CB82+CB83+CB85)-CB86</f>
        <v>18.639575971731446</v>
      </c>
      <c r="CC87" s="461"/>
      <c r="CD87" s="460">
        <f>(CD74+CD75+CD76+CD79+CD80+CD82+CD83+CD85)-CD86</f>
        <v>21.501457725947517</v>
      </c>
      <c r="CE87" s="461"/>
      <c r="CF87" s="460">
        <f>(CF74+CF75+CF76+CF79+CF80+CF82+CF83+CF85)-CF86</f>
        <v>23.851203501094062</v>
      </c>
      <c r="CG87" s="461"/>
      <c r="CH87" s="460">
        <f>(CH74+CH75+CH76+CH79+CH80+CH82+CH83+CH85)-CH86</f>
        <v>24.092409240924084</v>
      </c>
      <c r="CI87" s="461"/>
      <c r="CJ87" s="460">
        <f>(CJ74+CJ75+CJ76+CJ79+CJ80+CJ82+CJ83+CJ85)-CJ86</f>
        <v>27.019687712152106</v>
      </c>
      <c r="CK87" s="461"/>
      <c r="CL87" s="460">
        <f>(CL74+CL75+CL76+CL79+CL80+CL82+CL83+CL85)-CL86</f>
        <v>21.96782178217822</v>
      </c>
      <c r="CM87" s="461"/>
      <c r="CN87" s="460">
        <f>(CN74+CN75+CN76+CN79+CN80+CN82+CN83+CN85)-CN86</f>
        <v>24.831804281345555</v>
      </c>
      <c r="CO87" s="461"/>
      <c r="CP87" s="460">
        <f>(CP74+CP75+CP76+CP79+CP80+CP82+CP83+CP85)-CP86</f>
        <v>25.360050093926134</v>
      </c>
      <c r="CQ87" s="461"/>
      <c r="CR87" s="460">
        <f>(CR74+CR75+CR76+CR79+CR80+CR82+CR83+CR85)-CR86</f>
        <v>25.200534759358305</v>
      </c>
      <c r="CS87" s="461"/>
      <c r="CT87" s="460">
        <f>(CT74+CT75+CT76+CT79+CT80+CT82+CT83+CT85)-CT86</f>
        <v>22.633495145631073</v>
      </c>
      <c r="CU87" s="461"/>
      <c r="CV87" s="460">
        <f>(CV74+CV75+CV76+CV79+CV80+CV82+CV83+CV85)-CV86</f>
        <v>27.533577533577514</v>
      </c>
      <c r="CW87" s="461"/>
      <c r="CX87" s="460">
        <f>(CX74+CX75+CX76+CX79+CX80+CX82+CX83+CX85)-CX86</f>
        <v>29.799612152553323</v>
      </c>
      <c r="CY87" s="461"/>
      <c r="CZ87" s="460">
        <f>(CZ74+CZ75+CZ76+CZ79+CZ80+CZ82+CZ83+CZ85)-CZ86</f>
        <v>27.540211847783439</v>
      </c>
      <c r="DA87" s="461"/>
      <c r="DB87" s="460">
        <f>(DB74+DB75+DB76+DB79+DB80+DB82+DB83+DB85)-DB86</f>
        <v>28.601546029515134</v>
      </c>
      <c r="DC87" s="461"/>
      <c r="DD87" s="460">
        <f>(DD74+DD75+DD76+DD79+DD80+DD82+DD83+DD85)-DD86</f>
        <v>25.938337801608569</v>
      </c>
      <c r="DE87" s="461"/>
      <c r="DF87" s="460">
        <f>(DF74+DF75+DF76+DF79+DF80+DF82+DF83+DF85)-DF86</f>
        <v>29.662766689607707</v>
      </c>
      <c r="DG87" s="461"/>
      <c r="DH87" s="460">
        <f>(DH74+DH75+DH76+DH79+DH80+DH82+DH83+DH85)-DH86</f>
        <v>26.337734537873516</v>
      </c>
      <c r="DI87" s="461"/>
      <c r="DJ87" s="460">
        <f>(DJ74+DJ75+DJ76+DJ79+DJ80+DJ82+DJ83+DJ85)-DJ86</f>
        <v>24.638741540149979</v>
      </c>
      <c r="DK87" s="461"/>
      <c r="DL87" s="460">
        <f>(DL74+DL75+DL76+DL79+DL80+DL82+DL83+DL85)-DL86</f>
        <v>26.224944320712694</v>
      </c>
      <c r="DM87" s="461"/>
      <c r="DN87" s="460">
        <f>(DN74+DN75+DN76+DN79+DN80+DN82+DN83+DN85)-DN86</f>
        <v>27.707373271889395</v>
      </c>
      <c r="DO87" s="461"/>
      <c r="DP87" s="460">
        <f>(DP74+DP75+DP76+DP79+DP80+DP82+DP83+DP85)-DP86</f>
        <v>21.619897959183646</v>
      </c>
      <c r="DQ87" s="461"/>
      <c r="DR87" s="460">
        <f>(DR74+DR75+DR76+DR79+DR80+DR82+DR83+DR85)-DR86</f>
        <v>24.325038537912448</v>
      </c>
      <c r="DS87" s="461"/>
      <c r="DT87" s="460">
        <f>(DT74+DT75+DT76+DT79+DT80+DT82+DT83+DT85)-DT86</f>
        <v>25.458898342273358</v>
      </c>
      <c r="DU87" s="461"/>
      <c r="DV87" s="460">
        <f>(DV74+DV75+DV76+DV79+DV80+DV82+DV83+DV85)-DV86</f>
        <v>25.961948033642315</v>
      </c>
      <c r="DW87" s="461"/>
      <c r="DX87" s="460">
        <f>(DX74+DX75+DX76+DX79+DX80+DX82+DX83+DX85)-DX86</f>
        <v>26.860172005570902</v>
      </c>
      <c r="DY87" s="461"/>
      <c r="DZ87" s="460"/>
      <c r="EA87" s="461"/>
      <c r="EB87" s="459"/>
      <c r="EC87" s="458"/>
      <c r="ED87" s="459"/>
      <c r="EE87" s="458"/>
      <c r="EF87" s="459"/>
      <c r="EG87" s="458"/>
      <c r="EH87" s="459"/>
      <c r="EI87" s="458"/>
      <c r="EJ87" s="461"/>
      <c r="EK87" s="458"/>
      <c r="EL87" s="461"/>
      <c r="EM87" s="458"/>
      <c r="EN87" s="461"/>
      <c r="EO87" s="458"/>
      <c r="EP87" s="461"/>
      <c r="EQ87" s="458"/>
      <c r="ER87" s="461"/>
      <c r="ES87" s="460" t="e">
        <f>(ES78/ES115)-ES86</f>
        <v>#REF!</v>
      </c>
      <c r="ET87" s="461"/>
      <c r="EU87" s="460">
        <f>(EU74+EU75+EU76+EU79+EU80+EU82+EU83+EU85)-EU86</f>
        <v>-15.01606195681947</v>
      </c>
      <c r="EV87" s="461"/>
      <c r="EW87" s="460">
        <f>(EW74+EW75+EW76+EW79+EW80+EW82+EW83+EW85)-EW86</f>
        <v>-15.543803173143246</v>
      </c>
      <c r="EX87" s="461"/>
      <c r="EY87" s="460">
        <f>(EY74+EY75+EY76+EY79+EY80+EY82+EY83+EY85)-EY86</f>
        <v>24.166812074681573</v>
      </c>
      <c r="EZ87" s="461"/>
      <c r="FA87" s="460">
        <f>(FA74+FA75+FA76+FA79+FA80+FA82+FA83+FA85)-FA86</f>
        <v>24.322194199243384</v>
      </c>
      <c r="FB87" s="461"/>
      <c r="FC87" s="460">
        <f>(FC74+FC75+FC76+FC79+FC80+FC82+FC83+FC85)-FC86</f>
        <v>26.786737617683173</v>
      </c>
      <c r="FD87" s="461"/>
      <c r="FE87" s="460">
        <f>(FE74+FE75+FE76+FE79+FE80+FE82+FE83+FE85)-FE86</f>
        <v>27.621835715515758</v>
      </c>
      <c r="FF87" s="461"/>
      <c r="FG87" s="460">
        <f>(FG74+FG75+FG76+FG79+FG80+FG82+FG83+FG85)-FG86</f>
        <v>25.149478494384368</v>
      </c>
      <c r="FH87" s="461"/>
      <c r="FI87" s="460">
        <f>(FI74+FI75+FI76+FI79+FI80+FI82+FI83+FI85)-FI86</f>
        <v>25.618763054691499</v>
      </c>
      <c r="FJ87" s="461"/>
      <c r="FK87" s="460">
        <f>(FK74+FK75+FK76+FK79+FK80+FK82+FK83+FK85)-FK86</f>
        <v>24.069027362031548</v>
      </c>
      <c r="FL87" s="461"/>
      <c r="FM87" s="460">
        <f>(FM74+FM75+FM76+FM79+FM80+FM82+FM83+FM85)-FM86</f>
        <v>22.793740699374595</v>
      </c>
      <c r="FN87" s="461"/>
      <c r="FO87" s="460">
        <f>(FO74+FO75+FO76+FO79+FO80+FO82+FO83+FO85)-FO86</f>
        <v>21.625036733400506</v>
      </c>
      <c r="FP87" s="461"/>
      <c r="FQ87" s="460">
        <f>(FQ74+FQ75+FQ76+FQ79+FQ80+FQ82+FQ83+FQ85)-FQ86</f>
        <v>20.745660103279761</v>
      </c>
      <c r="FR87" s="461"/>
      <c r="FS87" s="813"/>
    </row>
    <row r="88" spans="1:175" s="529" customFormat="1" ht="12.75" customHeight="1" collapsed="1" x14ac:dyDescent="0.2">
      <c r="A88" s="810"/>
      <c r="B88" s="456"/>
      <c r="C88" s="439"/>
      <c r="D88" s="456"/>
      <c r="E88" s="455"/>
      <c r="F88" s="456"/>
      <c r="G88" s="455"/>
      <c r="H88" s="456"/>
      <c r="I88" s="455"/>
      <c r="J88" s="456"/>
      <c r="K88" s="439"/>
      <c r="L88" s="456"/>
      <c r="M88" s="455"/>
      <c r="N88" s="456"/>
      <c r="O88" s="455"/>
      <c r="P88" s="456"/>
      <c r="Q88" s="455"/>
      <c r="R88" s="456"/>
      <c r="S88" s="455"/>
      <c r="T88" s="456"/>
      <c r="U88" s="455"/>
      <c r="V88" s="456"/>
      <c r="W88" s="455"/>
      <c r="X88" s="456"/>
      <c r="Y88" s="455"/>
      <c r="Z88" s="456"/>
      <c r="AA88" s="455"/>
      <c r="AB88" s="456"/>
      <c r="AC88" s="455"/>
      <c r="AD88" s="456"/>
      <c r="AE88" s="455"/>
      <c r="AF88" s="456"/>
      <c r="AG88" s="455"/>
      <c r="AH88" s="456"/>
      <c r="AI88" s="438"/>
      <c r="AJ88" s="456"/>
      <c r="AK88" s="438"/>
      <c r="AL88" s="456"/>
      <c r="AM88" s="438"/>
      <c r="AN88" s="456"/>
      <c r="AO88" s="438"/>
      <c r="AP88" s="456"/>
      <c r="AQ88" s="438"/>
      <c r="AR88" s="456"/>
      <c r="AS88" s="438"/>
      <c r="AT88" s="456"/>
      <c r="AU88" s="438"/>
      <c r="AV88" s="456"/>
      <c r="AW88" s="438"/>
      <c r="AX88" s="456"/>
      <c r="AY88" s="438"/>
      <c r="AZ88" s="456"/>
      <c r="BA88" s="438"/>
      <c r="BB88" s="456"/>
      <c r="BC88" s="438"/>
      <c r="BD88" s="456"/>
      <c r="BE88" s="438"/>
      <c r="BF88" s="456"/>
      <c r="BG88" s="438"/>
      <c r="BH88" s="456"/>
      <c r="BI88" s="438"/>
      <c r="BJ88" s="456"/>
      <c r="BK88" s="438"/>
      <c r="BL88" s="456"/>
      <c r="BM88" s="438"/>
      <c r="BN88" s="456"/>
      <c r="BO88" s="438"/>
      <c r="BP88" s="456"/>
      <c r="BQ88" s="438"/>
      <c r="BR88" s="456"/>
      <c r="BS88" s="438"/>
      <c r="BT88" s="456"/>
      <c r="BU88" s="438"/>
      <c r="BV88" s="456"/>
      <c r="BW88" s="438"/>
      <c r="BX88" s="456"/>
      <c r="BY88" s="438"/>
      <c r="BZ88" s="456"/>
      <c r="CA88" s="438"/>
      <c r="CB88" s="456"/>
      <c r="CC88" s="438"/>
      <c r="CD88" s="456"/>
      <c r="CE88" s="438"/>
      <c r="CF88" s="456"/>
      <c r="CG88" s="438"/>
      <c r="CH88" s="456"/>
      <c r="CI88" s="438"/>
      <c r="CJ88" s="456"/>
      <c r="CK88" s="438"/>
      <c r="CL88" s="456"/>
      <c r="CM88" s="438"/>
      <c r="CN88" s="456"/>
      <c r="CO88" s="438"/>
      <c r="CP88" s="456"/>
      <c r="CQ88" s="438"/>
      <c r="CR88" s="456"/>
      <c r="CS88" s="438"/>
      <c r="CT88" s="456"/>
      <c r="CU88" s="438"/>
      <c r="CV88" s="456"/>
      <c r="CW88" s="438"/>
      <c r="CX88" s="456"/>
      <c r="CY88" s="438"/>
      <c r="CZ88" s="456"/>
      <c r="DA88" s="438"/>
      <c r="DB88" s="456"/>
      <c r="DC88" s="438"/>
      <c r="DD88" s="456"/>
      <c r="DE88" s="438"/>
      <c r="DF88" s="456"/>
      <c r="DG88" s="438"/>
      <c r="DH88" s="456"/>
      <c r="DI88" s="438"/>
      <c r="DJ88" s="456"/>
      <c r="DK88" s="438"/>
      <c r="DL88" s="456"/>
      <c r="DM88" s="438"/>
      <c r="DN88" s="456"/>
      <c r="DO88" s="438"/>
      <c r="DP88" s="456"/>
      <c r="DQ88" s="438"/>
      <c r="DR88" s="456"/>
      <c r="DS88" s="438"/>
      <c r="DT88" s="456"/>
      <c r="DU88" s="438"/>
      <c r="DV88" s="456"/>
      <c r="DW88" s="438"/>
      <c r="DX88" s="456"/>
      <c r="DY88" s="438"/>
      <c r="DZ88" s="456"/>
      <c r="EA88" s="438"/>
      <c r="EB88" s="439"/>
      <c r="EC88" s="455"/>
      <c r="ED88" s="439"/>
      <c r="EE88" s="455"/>
      <c r="EF88" s="439"/>
      <c r="EG88" s="455"/>
      <c r="EH88" s="439"/>
      <c r="EI88" s="455"/>
      <c r="EJ88" s="438"/>
      <c r="EK88" s="456"/>
      <c r="EL88" s="438"/>
      <c r="EM88" s="456"/>
      <c r="EN88" s="438"/>
      <c r="EO88" s="456"/>
      <c r="EP88" s="438"/>
      <c r="EQ88" s="456"/>
      <c r="ER88" s="438"/>
      <c r="ES88" s="456"/>
      <c r="ET88" s="438"/>
      <c r="EU88" s="456"/>
      <c r="EV88" s="438"/>
      <c r="EW88" s="456"/>
      <c r="EX88" s="438"/>
      <c r="EY88" s="456"/>
      <c r="EZ88" s="438"/>
      <c r="FA88" s="456"/>
      <c r="FB88" s="438"/>
      <c r="FC88" s="456"/>
      <c r="FD88" s="438"/>
      <c r="FE88" s="456"/>
      <c r="FF88" s="438"/>
      <c r="FG88" s="456"/>
      <c r="FH88" s="438"/>
      <c r="FI88" s="456"/>
      <c r="FJ88" s="438"/>
      <c r="FK88" s="456"/>
      <c r="FL88" s="438"/>
      <c r="FM88" s="456"/>
      <c r="FN88" s="438"/>
      <c r="FO88" s="456"/>
      <c r="FP88" s="438"/>
      <c r="FQ88" s="456"/>
      <c r="FR88" s="438"/>
      <c r="FS88" s="806"/>
    </row>
    <row r="89" spans="1:175" s="529" customFormat="1" ht="12.75" customHeight="1" x14ac:dyDescent="0.2">
      <c r="A89" s="811" t="str">
        <f>INPUT!B700</f>
        <v>Capital Structure Excl FAS 115</v>
      </c>
      <c r="B89" s="449"/>
      <c r="C89" s="439"/>
      <c r="D89" s="449"/>
      <c r="E89" s="439"/>
      <c r="F89" s="449"/>
      <c r="G89" s="439"/>
      <c r="H89" s="449"/>
      <c r="I89" s="439"/>
      <c r="J89" s="449"/>
      <c r="K89" s="439"/>
      <c r="L89" s="449"/>
      <c r="M89" s="439"/>
      <c r="N89" s="449"/>
      <c r="O89" s="439"/>
      <c r="P89" s="449"/>
      <c r="Q89" s="439"/>
      <c r="R89" s="449"/>
      <c r="S89" s="439"/>
      <c r="T89" s="449"/>
      <c r="U89" s="439"/>
      <c r="V89" s="449"/>
      <c r="W89" s="439"/>
      <c r="X89" s="449"/>
      <c r="Y89" s="439"/>
      <c r="Z89" s="449"/>
      <c r="AA89" s="439"/>
      <c r="AB89" s="449"/>
      <c r="AC89" s="439"/>
      <c r="AD89" s="449"/>
      <c r="AE89" s="439"/>
      <c r="AF89" s="449"/>
      <c r="AG89" s="439"/>
      <c r="AH89" s="449"/>
      <c r="AI89" s="438"/>
      <c r="AJ89" s="449"/>
      <c r="AK89" s="438"/>
      <c r="AL89" s="449"/>
      <c r="AM89" s="438"/>
      <c r="AN89" s="449"/>
      <c r="AO89" s="438"/>
      <c r="AP89" s="449"/>
      <c r="AQ89" s="438"/>
      <c r="AR89" s="449"/>
      <c r="AS89" s="438"/>
      <c r="AT89" s="449"/>
      <c r="AU89" s="438"/>
      <c r="AV89" s="449"/>
      <c r="AW89" s="438"/>
      <c r="AX89" s="449"/>
      <c r="AY89" s="438"/>
      <c r="AZ89" s="449"/>
      <c r="BA89" s="438"/>
      <c r="BB89" s="449"/>
      <c r="BC89" s="438"/>
      <c r="BD89" s="449"/>
      <c r="BE89" s="438"/>
      <c r="BF89" s="449"/>
      <c r="BG89" s="438"/>
      <c r="BH89" s="449"/>
      <c r="BI89" s="438"/>
      <c r="BJ89" s="449"/>
      <c r="BK89" s="438"/>
      <c r="BL89" s="449"/>
      <c r="BM89" s="438"/>
      <c r="BN89" s="449"/>
      <c r="BO89" s="438"/>
      <c r="BP89" s="449"/>
      <c r="BQ89" s="438"/>
      <c r="BR89" s="449"/>
      <c r="BS89" s="438"/>
      <c r="BT89" s="449"/>
      <c r="BU89" s="438"/>
      <c r="BV89" s="449"/>
      <c r="BW89" s="438"/>
      <c r="BX89" s="449"/>
      <c r="BY89" s="438"/>
      <c r="BZ89" s="449"/>
      <c r="CA89" s="438"/>
      <c r="CB89" s="449"/>
      <c r="CC89" s="438"/>
      <c r="CD89" s="449"/>
      <c r="CE89" s="438"/>
      <c r="CF89" s="449"/>
      <c r="CG89" s="438"/>
      <c r="CH89" s="449"/>
      <c r="CI89" s="438"/>
      <c r="CJ89" s="449"/>
      <c r="CK89" s="438"/>
      <c r="CL89" s="449"/>
      <c r="CM89" s="438"/>
      <c r="CN89" s="449"/>
      <c r="CO89" s="438"/>
      <c r="CP89" s="449"/>
      <c r="CQ89" s="438"/>
      <c r="CR89" s="449"/>
      <c r="CS89" s="438"/>
      <c r="CT89" s="449"/>
      <c r="CU89" s="438"/>
      <c r="CV89" s="449"/>
      <c r="CW89" s="438"/>
      <c r="CX89" s="449"/>
      <c r="CY89" s="438"/>
      <c r="CZ89" s="449"/>
      <c r="DA89" s="438"/>
      <c r="DB89" s="449"/>
      <c r="DC89" s="438"/>
      <c r="DD89" s="449"/>
      <c r="DE89" s="438"/>
      <c r="DF89" s="449"/>
      <c r="DG89" s="438"/>
      <c r="DH89" s="449"/>
      <c r="DI89" s="438"/>
      <c r="DJ89" s="449"/>
      <c r="DK89" s="438"/>
      <c r="DL89" s="449"/>
      <c r="DM89" s="438"/>
      <c r="DN89" s="449"/>
      <c r="DO89" s="438"/>
      <c r="DP89" s="449"/>
      <c r="DQ89" s="438"/>
      <c r="DR89" s="449"/>
      <c r="DS89" s="438"/>
      <c r="DT89" s="449"/>
      <c r="DU89" s="438"/>
      <c r="DV89" s="449"/>
      <c r="DW89" s="438"/>
      <c r="DX89" s="449"/>
      <c r="DY89" s="438"/>
      <c r="DZ89" s="449"/>
      <c r="EA89" s="438"/>
      <c r="EB89" s="439"/>
      <c r="EC89" s="449"/>
      <c r="ED89" s="439"/>
      <c r="EE89" s="449"/>
      <c r="EF89" s="439"/>
      <c r="EG89" s="449"/>
      <c r="EH89" s="439"/>
      <c r="EI89" s="449"/>
      <c r="EJ89" s="438"/>
      <c r="EK89" s="449"/>
      <c r="EL89" s="438"/>
      <c r="EM89" s="449"/>
      <c r="EN89" s="438"/>
      <c r="EO89" s="449"/>
      <c r="EP89" s="438"/>
      <c r="EQ89" s="449"/>
      <c r="ER89" s="438"/>
      <c r="ES89" s="449"/>
      <c r="ET89" s="438"/>
      <c r="EU89" s="449"/>
      <c r="EV89" s="438"/>
      <c r="EW89" s="449"/>
      <c r="EX89" s="438"/>
      <c r="EY89" s="449"/>
      <c r="EZ89" s="438"/>
      <c r="FA89" s="449"/>
      <c r="FB89" s="438"/>
      <c r="FC89" s="449"/>
      <c r="FD89" s="438"/>
      <c r="FE89" s="449"/>
      <c r="FF89" s="438"/>
      <c r="FG89" s="449"/>
      <c r="FH89" s="438"/>
      <c r="FI89" s="449"/>
      <c r="FJ89" s="438"/>
      <c r="FK89" s="449"/>
      <c r="FL89" s="438"/>
      <c r="FM89" s="449"/>
      <c r="FN89" s="438"/>
      <c r="FO89" s="449"/>
      <c r="FP89" s="438"/>
      <c r="FQ89" s="449"/>
      <c r="FR89" s="438"/>
      <c r="FS89" s="806"/>
    </row>
    <row r="90" spans="1:175" s="529" customFormat="1" ht="12.75" customHeight="1" x14ac:dyDescent="0.2">
      <c r="A90" s="810" t="str">
        <f>INPUT!B702</f>
        <v>LT Debt to LT Capital (%)</v>
      </c>
      <c r="B90" s="456">
        <f>INPUT!AA702</f>
        <v>11.807206877629413</v>
      </c>
      <c r="C90" s="439">
        <f>INPUT!AB702</f>
        <v>-17.776021119935351</v>
      </c>
      <c r="D90" s="456">
        <f>INPUT!AC702</f>
        <v>12.17315779850064</v>
      </c>
      <c r="E90" s="439">
        <f>INPUT!AD702</f>
        <v>-6.7089398685668584</v>
      </c>
      <c r="F90" s="456">
        <f>INPUT!AE702</f>
        <v>18.913252380536385</v>
      </c>
      <c r="G90" s="439">
        <f>INPUT!AF702</f>
        <v>40.881294950241767</v>
      </c>
      <c r="H90" s="456">
        <f>INPUT!AG702</f>
        <v>17.214467288052447</v>
      </c>
      <c r="I90" s="439">
        <f>INPUT!AH702</f>
        <v>27.766039552628712</v>
      </c>
      <c r="J90" s="456">
        <f>INPUT!AI702</f>
        <v>17.073388754804682</v>
      </c>
      <c r="K90" s="439">
        <f>INPUT!AJ702</f>
        <v>44.60141955463547</v>
      </c>
      <c r="L90" s="456">
        <f>INPUT!AK702</f>
        <v>19.13159710244912</v>
      </c>
      <c r="M90" s="439">
        <f>INPUT!AL702</f>
        <v>57.16215479278145</v>
      </c>
      <c r="N90" s="456">
        <f>INPUT!AM702</f>
        <v>23.10650528275918</v>
      </c>
      <c r="O90" s="439">
        <f>INPUT!AN702</f>
        <v>22.170977354154431</v>
      </c>
      <c r="P90" s="456">
        <f>INPUT!AO702</f>
        <v>23.257746646088094</v>
      </c>
      <c r="Q90" s="439">
        <f>INPUT!AP702</f>
        <v>35.105816851096705</v>
      </c>
      <c r="R90" s="456">
        <f>INPUT!AQ702</f>
        <v>23.103368355995055</v>
      </c>
      <c r="S90" s="439">
        <f>INPUT!AR702</f>
        <v>35.318000941631766</v>
      </c>
      <c r="T90" s="456">
        <f>INPUT!AS702</f>
        <v>25.604927408710953</v>
      </c>
      <c r="U90" s="439">
        <f>INPUT!AT702</f>
        <v>33.835807181163943</v>
      </c>
      <c r="V90" s="456">
        <f>INPUT!AU702</f>
        <v>25.067529144156953</v>
      </c>
      <c r="W90" s="439">
        <f>INPUT!AV702</f>
        <v>8.4868907582531961</v>
      </c>
      <c r="X90" s="456">
        <f>INPUT!AW702</f>
        <v>24.089263282346856</v>
      </c>
      <c r="Y90" s="439">
        <f>INPUT!AX702</f>
        <v>3.5752244140926877</v>
      </c>
      <c r="Z90" s="456">
        <f>INPUT!AY702</f>
        <v>26.013356665833363</v>
      </c>
      <c r="AA90" s="439">
        <f>INPUT!AZ702</f>
        <v>12.595515359487393</v>
      </c>
      <c r="AB90" s="456">
        <f>INPUT!BA702</f>
        <v>26.738728488124018</v>
      </c>
      <c r="AC90" s="439">
        <f>INPUT!BB702</f>
        <v>4.4280581675359088</v>
      </c>
      <c r="AD90" s="456">
        <f>INPUT!BC702</f>
        <v>26.010593810984112</v>
      </c>
      <c r="AE90" s="439">
        <f>INPUT!BD702</f>
        <v>3.7620966207073394</v>
      </c>
      <c r="AF90" s="456">
        <f>INPUT!BE702</f>
        <v>31.337674539151845</v>
      </c>
      <c r="AG90" s="439">
        <f>INPUT!BF702</f>
        <v>30.089800471884018</v>
      </c>
      <c r="AH90" s="456">
        <f>INPUT!BG702</f>
        <v>31.833254381809567</v>
      </c>
      <c r="AI90" s="438">
        <f>INPUT!BH702</f>
        <v>22.372728712939278</v>
      </c>
      <c r="AJ90" s="456">
        <f>INPUT!BI702</f>
        <v>30.096683314124729</v>
      </c>
      <c r="AK90" s="438">
        <f>INPUT!BJ702</f>
        <v>12.558393820005847</v>
      </c>
      <c r="AL90" s="456">
        <f>INPUT!BK702</f>
        <v>30.418404831579604</v>
      </c>
      <c r="AM90" s="438">
        <f>INPUT!BL702</f>
        <v>16.946214502546653</v>
      </c>
      <c r="AN90" s="456">
        <f>INPUT!BM702</f>
        <v>36.755646817248461</v>
      </c>
      <c r="AO90" s="438">
        <f>INPUT!BN702</f>
        <v>17.289005511010885</v>
      </c>
      <c r="AP90" s="456">
        <f>INPUT!BO702</f>
        <v>37.227135340870923</v>
      </c>
      <c r="AQ90" s="438">
        <f>INPUT!BP702</f>
        <v>16.944170691337092</v>
      </c>
      <c r="AR90" s="456">
        <f>INPUT!BQ702</f>
        <v>39.913129938772308</v>
      </c>
      <c r="AS90" s="438">
        <f>INPUT!BR702</f>
        <v>32.616373446175061</v>
      </c>
      <c r="AT90" s="456">
        <f>INPUT!BS702</f>
        <v>40.303022726704505</v>
      </c>
      <c r="AU90" s="438">
        <f>INPUT!BT702</f>
        <v>32.495516940661361</v>
      </c>
      <c r="AV90" s="456">
        <f>INPUT!BU702</f>
        <v>48.7010428432583</v>
      </c>
      <c r="AW90" s="438">
        <f>INPUT!BV702</f>
        <v>32.499485277468096</v>
      </c>
      <c r="AX90" s="456">
        <f>INPUT!BW702</f>
        <v>48.306513409961688</v>
      </c>
      <c r="AY90" s="438">
        <f>INPUT!BX702</f>
        <v>29.761564965024149</v>
      </c>
      <c r="AZ90" s="456">
        <f>INPUT!BY702</f>
        <v>46.423657211828605</v>
      </c>
      <c r="BA90" s="438">
        <f>INPUT!BZ702</f>
        <v>16.311743235981751</v>
      </c>
      <c r="BB90" s="456">
        <f>INPUT!CA702</f>
        <v>47.374117753173834</v>
      </c>
      <c r="BC90" s="438">
        <f>INPUT!CB702</f>
        <v>17.544825544273806</v>
      </c>
      <c r="BD90" s="456">
        <f>INPUT!CC702</f>
        <v>43.819152561626716</v>
      </c>
      <c r="BE90" s="438">
        <f>INPUT!CD702</f>
        <v>-10.024200708275771</v>
      </c>
      <c r="BF90" s="456">
        <f>INPUT!CE702</f>
        <v>46.428738154147794</v>
      </c>
      <c r="BG90" s="438">
        <f>INPUT!CF702</f>
        <v>-3.8872092462517998</v>
      </c>
      <c r="BH90" s="456">
        <f>INPUT!CG702</f>
        <v>46.397034041118971</v>
      </c>
      <c r="BI90" s="438">
        <f>INPUT!CH702</f>
        <v>-5.7348283846209824E-2</v>
      </c>
      <c r="BJ90" s="456">
        <f>INPUT!CI702</f>
        <v>43.278331328445944</v>
      </c>
      <c r="BK90" s="438">
        <f>INPUT!CJ702</f>
        <v>-8.6456204758630975</v>
      </c>
      <c r="BL90" s="456">
        <f>INPUT!CK702</f>
        <v>44.35643564356436</v>
      </c>
      <c r="BM90" s="438">
        <f>INPUT!CL702</f>
        <v>1.2261375460924597</v>
      </c>
      <c r="BN90" s="456">
        <f>INPUT!CM702</f>
        <v>44.20694060038322</v>
      </c>
      <c r="BO90" s="438">
        <f>INPUT!CN702</f>
        <v>-4.7853929313951937</v>
      </c>
      <c r="BP90" s="456">
        <f>INPUT!CO702</f>
        <v>44.062364301813446</v>
      </c>
      <c r="BQ90" s="438">
        <f>INPUT!CP702</f>
        <v>-5.0319374665985066</v>
      </c>
      <c r="BR90" s="456">
        <f>INPUT!CQ702</f>
        <v>42.520641587909488</v>
      </c>
      <c r="BS90" s="438">
        <f>INPUT!CR702</f>
        <v>-1.7507369560675272</v>
      </c>
      <c r="BT90" s="456">
        <f>INPUT!CS702</f>
        <v>43.494999287067401</v>
      </c>
      <c r="BU90" s="438">
        <f>INPUT!CT702</f>
        <v>-1.9420775001382395</v>
      </c>
      <c r="BV90" s="456">
        <f>INPUT!CU702</f>
        <v>44.212201813726516</v>
      </c>
      <c r="BW90" s="438">
        <f>INPUT!CV702</f>
        <v>1.1901328777440767E-2</v>
      </c>
      <c r="BX90" s="456">
        <f>INPUT!CW702</f>
        <v>42.299414687129151</v>
      </c>
      <c r="BY90" s="438">
        <f>INPUT!CX702</f>
        <v>-4.0010327240014618</v>
      </c>
      <c r="BZ90" s="456">
        <f>INPUT!CY702</f>
        <v>41.167563930013458</v>
      </c>
      <c r="CA90" s="438">
        <f>INPUT!CZ702</f>
        <v>-3.1821666074783934</v>
      </c>
      <c r="CB90" s="456">
        <f>INPUT!DA702</f>
        <v>40.592840179435306</v>
      </c>
      <c r="CC90" s="438">
        <f>INPUT!DB702</f>
        <v>-6.6723971840482506</v>
      </c>
      <c r="CD90" s="456">
        <f>INPUT!DC702</f>
        <v>40.755408708246584</v>
      </c>
      <c r="CE90" s="438">
        <f>INPUT!DD702</f>
        <v>-7.8186404740573323</v>
      </c>
      <c r="CF90" s="456">
        <f>INPUT!DE702</f>
        <v>40.26540329043511</v>
      </c>
      <c r="CG90" s="438">
        <f>INPUT!DF702</f>
        <v>-4.8086041183755412</v>
      </c>
      <c r="CH90" s="456">
        <f>INPUT!DG702</f>
        <v>39.620103439478626</v>
      </c>
      <c r="CI90" s="438">
        <f>INPUT!DH702</f>
        <v>-3.7589314081483565</v>
      </c>
      <c r="CJ90" s="456">
        <f>INPUT!DI702</f>
        <v>40.287481117824775</v>
      </c>
      <c r="CK90" s="438">
        <f>INPUT!DJ702</f>
        <v>-0.7522485745287355</v>
      </c>
      <c r="CL90" s="456">
        <f>INPUT!DK702</f>
        <v>38.108441158348739</v>
      </c>
      <c r="CM90" s="438">
        <f>INPUT!DL702</f>
        <v>-6.4947638455708869</v>
      </c>
      <c r="CN90" s="456">
        <f>INPUT!DM702</f>
        <v>38.84408909194746</v>
      </c>
      <c r="CO90" s="438">
        <f>INPUT!DN702</f>
        <v>-3.5298645545300644</v>
      </c>
      <c r="CP90" s="456">
        <f>INPUT!DO702</f>
        <v>37.482553270680192</v>
      </c>
      <c r="CQ90" s="438">
        <f>INPUT!DP702</f>
        <v>-5.395115063401164</v>
      </c>
      <c r="CR90" s="456">
        <f>INPUT!DQ702</f>
        <v>37.324576736752732</v>
      </c>
      <c r="CS90" s="438">
        <f>INPUT!DR702</f>
        <v>-7.3544046410018353</v>
      </c>
      <c r="CT90" s="456">
        <f>INPUT!DS702</f>
        <v>35.179470135789579</v>
      </c>
      <c r="CU90" s="438">
        <f>INPUT!DT702</f>
        <v>-7.6858851570145816</v>
      </c>
      <c r="CV90" s="456">
        <f>INPUT!DU702</f>
        <v>33.679181207110567</v>
      </c>
      <c r="CW90" s="438">
        <f>INPUT!DV702</f>
        <v>-13.296509213051934</v>
      </c>
      <c r="CX90" s="456">
        <f>INPUT!DW702</f>
        <v>33.053407166720064</v>
      </c>
      <c r="CY90" s="438">
        <f>INPUT!DX702</f>
        <v>-11.816553883016084</v>
      </c>
      <c r="CZ90" s="456">
        <f>INPUT!DY702</f>
        <v>31.861075308414655</v>
      </c>
      <c r="DA90" s="438">
        <f>INPUT!DZ702</f>
        <v>-14.637812149543493</v>
      </c>
      <c r="DB90" s="456">
        <f>INPUT!EA702</f>
        <v>31.372950353642171</v>
      </c>
      <c r="DC90" s="438">
        <f>INPUT!EB702</f>
        <v>-10.82028742176783</v>
      </c>
      <c r="DD90" s="456">
        <f>INPUT!EC702</f>
        <v>30.173638154579191</v>
      </c>
      <c r="DE90" s="438">
        <f>INPUT!ED702</f>
        <v>-10.40863502878527</v>
      </c>
      <c r="DF90" s="456">
        <f>INPUT!EE702</f>
        <v>29.117170626349893</v>
      </c>
      <c r="DG90" s="438">
        <f>INPUT!EF702</f>
        <v>-11.908716461561582</v>
      </c>
      <c r="DH90" s="456">
        <f>INPUT!EG702</f>
        <v>28.123130722863849</v>
      </c>
      <c r="DI90" s="438">
        <f>INPUT!EH702</f>
        <v>-11.732010138915811</v>
      </c>
      <c r="DJ90" s="456">
        <f>INPUT!EI702</f>
        <v>27.307474838855594</v>
      </c>
      <c r="DK90" s="438">
        <f>INPUT!EJ702</f>
        <v>-12.958537431002583</v>
      </c>
      <c r="DL90" s="456">
        <f>INPUT!EK702</f>
        <v>26.900291651476486</v>
      </c>
      <c r="DM90" s="438">
        <f>INPUT!EL702</f>
        <v>-10.848365339086357</v>
      </c>
      <c r="DN90" s="456">
        <f>INPUT!EM702</f>
        <v>23.770510303112374</v>
      </c>
      <c r="DO90" s="438">
        <f>INPUT!EN702</f>
        <v>-18.362568231128208</v>
      </c>
      <c r="DP90" s="456">
        <f>INPUT!EO702</f>
        <v>22.189504679777052</v>
      </c>
      <c r="DQ90" s="438">
        <f>INPUT!EP702</f>
        <v>-21.098739331545374</v>
      </c>
      <c r="DR90" s="456">
        <f>INPUT!EQ702</f>
        <v>21.575259477383575</v>
      </c>
      <c r="DS90" s="438">
        <f>INPUT!ER702</f>
        <v>-20.99137835079388</v>
      </c>
      <c r="DT90" s="456">
        <f>INPUT!ES702</f>
        <v>21.510304807926556</v>
      </c>
      <c r="DU90" s="438">
        <f>INPUT!ET702</f>
        <v>-20.036908571041792</v>
      </c>
      <c r="DV90" s="456">
        <f>INPUT!EU702</f>
        <v>21.453858359557785</v>
      </c>
      <c r="DW90" s="438">
        <f>INPUT!EV702</f>
        <v>-9.7459074879484575</v>
      </c>
      <c r="DX90" s="456">
        <f>INPUT!EW702</f>
        <v>21.455573945499946</v>
      </c>
      <c r="DY90" s="438">
        <f>INPUT!EX702</f>
        <v>-3.3075579868440741</v>
      </c>
      <c r="DZ90" s="456"/>
      <c r="EA90" s="438"/>
      <c r="EB90" s="439">
        <f>INPUT!FI702</f>
        <v>51.942751476213687</v>
      </c>
      <c r="EC90" s="456">
        <f>INPUT!FJ702</f>
        <v>13.473429518774083</v>
      </c>
      <c r="ED90" s="439">
        <f>INPUT!FK702</f>
        <v>-11.565928423060484</v>
      </c>
      <c r="EE90" s="456">
        <f>INPUT!FL702</f>
        <v>17.214467288052447</v>
      </c>
      <c r="EF90" s="439">
        <f>INPUT!FM702</f>
        <v>27.766039552628712</v>
      </c>
      <c r="EG90" s="456">
        <f>INPUT!FN702</f>
        <v>23.257746646088094</v>
      </c>
      <c r="EH90" s="439">
        <f>INPUT!FO702</f>
        <v>35.105816851096705</v>
      </c>
      <c r="EI90" s="456">
        <f>INPUT!FP702</f>
        <v>24.089263282346856</v>
      </c>
      <c r="EJ90" s="438">
        <f>INPUT!FQ702</f>
        <v>3.5752244140926877</v>
      </c>
      <c r="EK90" s="456">
        <f>INPUT!FR702</f>
        <v>31.337674539151845</v>
      </c>
      <c r="EL90" s="438">
        <f>INPUT!FS702</f>
        <v>30.089800471884018</v>
      </c>
      <c r="EM90" s="456">
        <f>INPUT!FT702</f>
        <v>36.755646817248461</v>
      </c>
      <c r="EN90" s="438">
        <f>INPUT!FU702</f>
        <v>17.289005511010885</v>
      </c>
      <c r="EO90" s="456">
        <f>INPUT!FV702</f>
        <v>48.7010428432583</v>
      </c>
      <c r="EP90" s="438">
        <f>INPUT!FW702</f>
        <v>32.499485277468096</v>
      </c>
      <c r="EQ90" s="456">
        <f>INPUT!FX702</f>
        <v>43.819152561626716</v>
      </c>
      <c r="ER90" s="438">
        <f>INPUT!FY702</f>
        <v>-10.024200708275771</v>
      </c>
      <c r="ES90" s="456">
        <f>INPUT!FZ702</f>
        <v>44.35643564356436</v>
      </c>
      <c r="ET90" s="438">
        <f>INPUT!GA702</f>
        <v>1.2261375460924597</v>
      </c>
      <c r="EU90" s="456">
        <f>INPUT!GB702</f>
        <v>43.494999287067401</v>
      </c>
      <c r="EV90" s="438">
        <f>INPUT!GC702</f>
        <v>-1.9420775001382395</v>
      </c>
      <c r="EW90" s="456">
        <f>INPUT!GD702</f>
        <v>40.592840179435306</v>
      </c>
      <c r="EX90" s="438">
        <f>INPUT!GE702</f>
        <v>-6.6723971840482506</v>
      </c>
      <c r="EY90" s="456">
        <f>INPUT!GF702</f>
        <v>40.287481117824775</v>
      </c>
      <c r="EZ90" s="438">
        <f>INPUT!GG702</f>
        <v>-0.7522485745287355</v>
      </c>
      <c r="FA90" s="456">
        <f>INPUT!GH702</f>
        <v>37.324576736752732</v>
      </c>
      <c r="FB90" s="438">
        <f>INPUT!GI702</f>
        <v>-7.3544046410018353</v>
      </c>
      <c r="FC90" s="456">
        <f>INPUT!GJ702</f>
        <v>31.861075308414655</v>
      </c>
      <c r="FD90" s="438">
        <f>INPUT!GK702</f>
        <v>-14.637812149543493</v>
      </c>
      <c r="FE90" s="456">
        <f>INPUT!GL702</f>
        <v>28.123130722863849</v>
      </c>
      <c r="FF90" s="438">
        <f>INPUT!GM702</f>
        <v>-11.732010138915811</v>
      </c>
      <c r="FG90" s="456">
        <f>INPUT!GN702</f>
        <v>22.189504679777052</v>
      </c>
      <c r="FH90" s="438">
        <f>INPUT!GO702</f>
        <v>-21.098739331545374</v>
      </c>
      <c r="FI90" s="456">
        <f>INPUT!GP702</f>
        <v>21.455573945499946</v>
      </c>
      <c r="FJ90" s="438">
        <f>INPUT!GQ702</f>
        <v>-3.3075579868440741</v>
      </c>
      <c r="FK90" s="456">
        <f>INPUT!GR702</f>
        <v>20.977353220008592</v>
      </c>
      <c r="FL90" s="438">
        <f>INPUT!GS702</f>
        <v>-2.228888058208554</v>
      </c>
      <c r="FM90" s="456">
        <f>INPUT!GT702</f>
        <v>20.599221418263888</v>
      </c>
      <c r="FN90" s="438">
        <f>INPUT!GU702</f>
        <v>-1.8025715531358628</v>
      </c>
      <c r="FO90" s="456">
        <f>INPUT!GV702</f>
        <v>20.272994327789107</v>
      </c>
      <c r="FP90" s="438">
        <f>INPUT!GW702</f>
        <v>-1.5836865085858847</v>
      </c>
      <c r="FQ90" s="456">
        <f>INPUT!GX702</f>
        <v>20.000005661941316</v>
      </c>
      <c r="FR90" s="438">
        <f>INPUT!GY702</f>
        <v>-1.3465631244891796</v>
      </c>
      <c r="FS90" s="806">
        <f>INPUT!GZ702</f>
        <v>-2.0563009263142362</v>
      </c>
    </row>
    <row r="91" spans="1:175" s="529" customFormat="1" ht="12.75" customHeight="1" x14ac:dyDescent="0.2">
      <c r="A91" s="810" t="str">
        <f>INPUT!B703</f>
        <v>LTD + Pref Equity to LT Capital (%)</v>
      </c>
      <c r="B91" s="456">
        <f>INPUT!AA703</f>
        <v>14.962502286445947</v>
      </c>
      <c r="C91" s="439">
        <f>INPUT!AB703</f>
        <v>-13.598956475124382</v>
      </c>
      <c r="D91" s="456">
        <f>INPUT!AC703</f>
        <v>15.327299323459497</v>
      </c>
      <c r="E91" s="439">
        <f>INPUT!AD703</f>
        <v>-4.4834912997300762</v>
      </c>
      <c r="F91" s="456">
        <f>INPUT!AE703</f>
        <v>18.913252380536385</v>
      </c>
      <c r="G91" s="439">
        <f>INPUT!AF703</f>
        <v>15.076120138543644</v>
      </c>
      <c r="H91" s="456">
        <f>INPUT!AG703</f>
        <v>17.214467288052447</v>
      </c>
      <c r="I91" s="439">
        <f>INPUT!AH703</f>
        <v>3.9200651703420277</v>
      </c>
      <c r="J91" s="456">
        <f>INPUT!AI703</f>
        <v>17.073388754804682</v>
      </c>
      <c r="K91" s="439">
        <f>INPUT!AJ703</f>
        <v>14.1078439150577</v>
      </c>
      <c r="L91" s="456">
        <f>INPUT!AK703</f>
        <v>19.13159710244912</v>
      </c>
      <c r="M91" s="439">
        <f>INPUT!AL703</f>
        <v>24.820405074016392</v>
      </c>
      <c r="N91" s="456">
        <f>INPUT!AM703</f>
        <v>23.10650528275918</v>
      </c>
      <c r="O91" s="439">
        <f>INPUT!AN703</f>
        <v>22.170977354154431</v>
      </c>
      <c r="P91" s="456">
        <f>INPUT!AO703</f>
        <v>23.257746646088094</v>
      </c>
      <c r="Q91" s="439">
        <f>INPUT!AP703</f>
        <v>35.105816851096705</v>
      </c>
      <c r="R91" s="456">
        <f>INPUT!AQ703</f>
        <v>23.103368355995055</v>
      </c>
      <c r="S91" s="439">
        <f>INPUT!AR703</f>
        <v>35.318000941631766</v>
      </c>
      <c r="T91" s="456">
        <f>INPUT!AS703</f>
        <v>25.604927408710953</v>
      </c>
      <c r="U91" s="439">
        <f>INPUT!AT703</f>
        <v>33.835807181163943</v>
      </c>
      <c r="V91" s="456">
        <f>INPUT!AU703</f>
        <v>25.067529144156953</v>
      </c>
      <c r="W91" s="439">
        <f>INPUT!AV703</f>
        <v>8.4868907582531961</v>
      </c>
      <c r="X91" s="456">
        <f>INPUT!AW703</f>
        <v>24.089263282346856</v>
      </c>
      <c r="Y91" s="439">
        <f>INPUT!AX703</f>
        <v>3.5752244140926877</v>
      </c>
      <c r="Z91" s="456">
        <f>INPUT!AY703</f>
        <v>26.013356665833363</v>
      </c>
      <c r="AA91" s="439">
        <f>INPUT!AZ703</f>
        <v>12.595515359487393</v>
      </c>
      <c r="AB91" s="456">
        <f>INPUT!BA703</f>
        <v>26.738728488124018</v>
      </c>
      <c r="AC91" s="439">
        <f>INPUT!BB703</f>
        <v>4.4280581675359088</v>
      </c>
      <c r="AD91" s="456">
        <f>INPUT!BC703</f>
        <v>26.010593810984112</v>
      </c>
      <c r="AE91" s="439">
        <f>INPUT!BD703</f>
        <v>3.7620966207073394</v>
      </c>
      <c r="AF91" s="456">
        <f>INPUT!BE703</f>
        <v>31.337674539151845</v>
      </c>
      <c r="AG91" s="439">
        <f>INPUT!BF703</f>
        <v>30.089800471884018</v>
      </c>
      <c r="AH91" s="456">
        <f>INPUT!BG703</f>
        <v>31.833254381809567</v>
      </c>
      <c r="AI91" s="438">
        <f>INPUT!BH703</f>
        <v>22.372728712939278</v>
      </c>
      <c r="AJ91" s="456">
        <f>INPUT!BI703</f>
        <v>30.096683314124729</v>
      </c>
      <c r="AK91" s="438">
        <f>INPUT!BJ703</f>
        <v>12.558393820005847</v>
      </c>
      <c r="AL91" s="456">
        <f>INPUT!BK703</f>
        <v>30.418404831579604</v>
      </c>
      <c r="AM91" s="438">
        <f>INPUT!BL703</f>
        <v>16.946214502546653</v>
      </c>
      <c r="AN91" s="456">
        <f>INPUT!BM703</f>
        <v>36.755646817248461</v>
      </c>
      <c r="AO91" s="438">
        <f>INPUT!BN703</f>
        <v>17.289005511010885</v>
      </c>
      <c r="AP91" s="456">
        <f>INPUT!BO703</f>
        <v>37.227135340870923</v>
      </c>
      <c r="AQ91" s="438">
        <f>INPUT!BP703</f>
        <v>16.944170691337092</v>
      </c>
      <c r="AR91" s="456">
        <f>INPUT!BQ703</f>
        <v>39.913129938772308</v>
      </c>
      <c r="AS91" s="438">
        <f>INPUT!BR703</f>
        <v>32.616373446175061</v>
      </c>
      <c r="AT91" s="456">
        <f>INPUT!BS703</f>
        <v>40.303022726704505</v>
      </c>
      <c r="AU91" s="438">
        <f>INPUT!BT703</f>
        <v>32.495516940661361</v>
      </c>
      <c r="AV91" s="456">
        <f>INPUT!BU703</f>
        <v>48.7010428432583</v>
      </c>
      <c r="AW91" s="438">
        <f>INPUT!BV703</f>
        <v>32.499485277468096</v>
      </c>
      <c r="AX91" s="456">
        <f>INPUT!BW703</f>
        <v>48.306513409961688</v>
      </c>
      <c r="AY91" s="438">
        <f>INPUT!BX703</f>
        <v>29.761564965024149</v>
      </c>
      <c r="AZ91" s="456">
        <f>INPUT!BY703</f>
        <v>46.423657211828605</v>
      </c>
      <c r="BA91" s="438">
        <f>INPUT!BZ703</f>
        <v>16.311743235981751</v>
      </c>
      <c r="BB91" s="456">
        <f>INPUT!CA703</f>
        <v>47.374117753173834</v>
      </c>
      <c r="BC91" s="438">
        <f>INPUT!CB703</f>
        <v>17.544825544273806</v>
      </c>
      <c r="BD91" s="456">
        <f>INPUT!CC703</f>
        <v>43.819152561626716</v>
      </c>
      <c r="BE91" s="438">
        <f>INPUT!CD703</f>
        <v>-10.024200708275771</v>
      </c>
      <c r="BF91" s="456">
        <f>INPUT!CE703</f>
        <v>46.428738154147794</v>
      </c>
      <c r="BG91" s="438">
        <f>INPUT!CF703</f>
        <v>-3.8872092462517998</v>
      </c>
      <c r="BH91" s="456">
        <f>INPUT!CG703</f>
        <v>46.397034041118971</v>
      </c>
      <c r="BI91" s="438">
        <f>INPUT!CH703</f>
        <v>-5.7348283846209824E-2</v>
      </c>
      <c r="BJ91" s="456">
        <f>INPUT!CI703</f>
        <v>43.278331328445944</v>
      </c>
      <c r="BK91" s="438">
        <f>INPUT!CJ703</f>
        <v>-8.6456204758630975</v>
      </c>
      <c r="BL91" s="456">
        <f>INPUT!CK703</f>
        <v>44.35643564356436</v>
      </c>
      <c r="BM91" s="438">
        <f>INPUT!CL703</f>
        <v>1.2261375460924597</v>
      </c>
      <c r="BN91" s="456">
        <f>INPUT!CM703</f>
        <v>44.20694060038322</v>
      </c>
      <c r="BO91" s="438">
        <f>INPUT!CN703</f>
        <v>-4.7853929313951937</v>
      </c>
      <c r="BP91" s="456">
        <f>INPUT!CO703</f>
        <v>44.062364301813446</v>
      </c>
      <c r="BQ91" s="438">
        <f>INPUT!CP703</f>
        <v>-5.0319374665985066</v>
      </c>
      <c r="BR91" s="456">
        <f>INPUT!CQ703</f>
        <v>42.520641587909488</v>
      </c>
      <c r="BS91" s="438">
        <f>INPUT!CR703</f>
        <v>-1.7507369560675272</v>
      </c>
      <c r="BT91" s="456">
        <f>INPUT!CS703</f>
        <v>43.494999287067401</v>
      </c>
      <c r="BU91" s="438">
        <f>INPUT!CT703</f>
        <v>-1.9420775001382395</v>
      </c>
      <c r="BV91" s="456">
        <f>INPUT!CU703</f>
        <v>44.212201813726516</v>
      </c>
      <c r="BW91" s="438">
        <f>INPUT!CV703</f>
        <v>1.1901328777440767E-2</v>
      </c>
      <c r="BX91" s="456">
        <f>INPUT!CW703</f>
        <v>42.299414687129151</v>
      </c>
      <c r="BY91" s="438">
        <f>INPUT!CX703</f>
        <v>-4.0010327240014618</v>
      </c>
      <c r="BZ91" s="456">
        <f>INPUT!CY703</f>
        <v>41.167563930013458</v>
      </c>
      <c r="CA91" s="438">
        <f>INPUT!CZ703</f>
        <v>-3.1821666074783934</v>
      </c>
      <c r="CB91" s="456">
        <f>INPUT!DA703</f>
        <v>40.592840179435306</v>
      </c>
      <c r="CC91" s="438">
        <f>INPUT!DB703</f>
        <v>-6.6723971840482506</v>
      </c>
      <c r="CD91" s="456">
        <f>INPUT!DC703</f>
        <v>40.755408708246584</v>
      </c>
      <c r="CE91" s="438">
        <f>INPUT!DD703</f>
        <v>-7.8186404740573323</v>
      </c>
      <c r="CF91" s="456">
        <f>INPUT!DE703</f>
        <v>40.26540329043511</v>
      </c>
      <c r="CG91" s="438">
        <f>INPUT!DF703</f>
        <v>-4.8086041183755412</v>
      </c>
      <c r="CH91" s="456">
        <f>INPUT!DG703</f>
        <v>39.620103439478626</v>
      </c>
      <c r="CI91" s="438">
        <f>INPUT!DH703</f>
        <v>-3.7589314081483565</v>
      </c>
      <c r="CJ91" s="456">
        <f>INPUT!DI703</f>
        <v>40.287481117824775</v>
      </c>
      <c r="CK91" s="438">
        <f>INPUT!DJ703</f>
        <v>-0.7522485745287355</v>
      </c>
      <c r="CL91" s="456">
        <f>INPUT!DK703</f>
        <v>38.108441158348739</v>
      </c>
      <c r="CM91" s="438">
        <f>INPUT!DL703</f>
        <v>-6.4947638455708869</v>
      </c>
      <c r="CN91" s="456">
        <f>INPUT!DM703</f>
        <v>38.84408909194746</v>
      </c>
      <c r="CO91" s="438">
        <f>INPUT!DN703</f>
        <v>-3.5298645545300644</v>
      </c>
      <c r="CP91" s="456">
        <f>INPUT!DO703</f>
        <v>37.482553270680192</v>
      </c>
      <c r="CQ91" s="438">
        <f>INPUT!DP703</f>
        <v>-5.395115063401164</v>
      </c>
      <c r="CR91" s="456">
        <f>INPUT!DQ703</f>
        <v>37.324576736752732</v>
      </c>
      <c r="CS91" s="438">
        <f>INPUT!DR703</f>
        <v>-7.3544046410018353</v>
      </c>
      <c r="CT91" s="456">
        <f>INPUT!DS703</f>
        <v>35.179470135789579</v>
      </c>
      <c r="CU91" s="438">
        <f>INPUT!DT703</f>
        <v>-7.6858851570145816</v>
      </c>
      <c r="CV91" s="456">
        <f>INPUT!DU703</f>
        <v>33.679181207110567</v>
      </c>
      <c r="CW91" s="438">
        <f>INPUT!DV703</f>
        <v>-13.296509213051934</v>
      </c>
      <c r="CX91" s="456">
        <f>INPUT!DW703</f>
        <v>33.053407166720064</v>
      </c>
      <c r="CY91" s="438">
        <f>INPUT!DX703</f>
        <v>-11.816553883016084</v>
      </c>
      <c r="CZ91" s="456">
        <f>INPUT!DY703</f>
        <v>31.861075308414655</v>
      </c>
      <c r="DA91" s="438">
        <f>INPUT!DZ703</f>
        <v>-14.637812149543493</v>
      </c>
      <c r="DB91" s="456">
        <f>INPUT!EA703</f>
        <v>31.372950353642171</v>
      </c>
      <c r="DC91" s="438">
        <f>INPUT!EB703</f>
        <v>-10.82028742176783</v>
      </c>
      <c r="DD91" s="456">
        <f>INPUT!EC703</f>
        <v>30.173638154579191</v>
      </c>
      <c r="DE91" s="438">
        <f>INPUT!ED703</f>
        <v>-10.40863502878527</v>
      </c>
      <c r="DF91" s="456">
        <f>INPUT!EE703</f>
        <v>29.117170626349893</v>
      </c>
      <c r="DG91" s="438">
        <f>INPUT!EF703</f>
        <v>-11.908716461561582</v>
      </c>
      <c r="DH91" s="456">
        <f>INPUT!EG703</f>
        <v>28.123130722863849</v>
      </c>
      <c r="DI91" s="438">
        <f>INPUT!EH703</f>
        <v>-11.732010138915811</v>
      </c>
      <c r="DJ91" s="456">
        <f>INPUT!EI703</f>
        <v>27.307474838855594</v>
      </c>
      <c r="DK91" s="438">
        <f>INPUT!EJ703</f>
        <v>-12.958537431002583</v>
      </c>
      <c r="DL91" s="456">
        <f>INPUT!EK703</f>
        <v>26.900291651476486</v>
      </c>
      <c r="DM91" s="438">
        <f>INPUT!EL703</f>
        <v>-10.848365339086357</v>
      </c>
      <c r="DN91" s="456">
        <f>INPUT!EM703</f>
        <v>23.770510303112374</v>
      </c>
      <c r="DO91" s="438">
        <f>INPUT!EN703</f>
        <v>-18.362568231128208</v>
      </c>
      <c r="DP91" s="456">
        <f>INPUT!EO703</f>
        <v>22.189504679777052</v>
      </c>
      <c r="DQ91" s="438">
        <f>INPUT!EP703</f>
        <v>-21.098739331545374</v>
      </c>
      <c r="DR91" s="456">
        <f>INPUT!EQ703</f>
        <v>21.575259477383575</v>
      </c>
      <c r="DS91" s="438">
        <f>INPUT!ER703</f>
        <v>-20.99137835079388</v>
      </c>
      <c r="DT91" s="456">
        <f>INPUT!ES703</f>
        <v>21.510304807926556</v>
      </c>
      <c r="DU91" s="438">
        <f>INPUT!ET703</f>
        <v>-20.036908571041792</v>
      </c>
      <c r="DV91" s="456">
        <f>INPUT!EU703</f>
        <v>21.453858359557785</v>
      </c>
      <c r="DW91" s="438">
        <f>INPUT!EV703</f>
        <v>-9.7459074879484575</v>
      </c>
      <c r="DX91" s="456">
        <f>INPUT!EW703</f>
        <v>21.455573945499946</v>
      </c>
      <c r="DY91" s="438">
        <f>INPUT!EX703</f>
        <v>-3.3075579868440741</v>
      </c>
      <c r="DZ91" s="456"/>
      <c r="EA91" s="438"/>
      <c r="EB91" s="439">
        <f>INPUT!FI703</f>
        <v>81.442047626632217</v>
      </c>
      <c r="EC91" s="456">
        <f>INPUT!FJ703</f>
        <v>16.565104400035846</v>
      </c>
      <c r="ED91" s="439">
        <f>INPUT!FK703</f>
        <v>-8.9504735297747118</v>
      </c>
      <c r="EE91" s="456">
        <f>INPUT!FL703</f>
        <v>17.214467288052447</v>
      </c>
      <c r="EF91" s="439">
        <f>INPUT!FM703</f>
        <v>3.9200651703420277</v>
      </c>
      <c r="EG91" s="456">
        <f>INPUT!FN703</f>
        <v>23.257746646088094</v>
      </c>
      <c r="EH91" s="439">
        <f>INPUT!FO703</f>
        <v>35.105816851096705</v>
      </c>
      <c r="EI91" s="456">
        <f>INPUT!FP703</f>
        <v>24.089263282346856</v>
      </c>
      <c r="EJ91" s="438">
        <f>INPUT!FQ703</f>
        <v>3.5752244140926877</v>
      </c>
      <c r="EK91" s="456">
        <f>INPUT!FR703</f>
        <v>31.337674539151845</v>
      </c>
      <c r="EL91" s="438">
        <f>INPUT!FS703</f>
        <v>30.089800471884018</v>
      </c>
      <c r="EM91" s="456">
        <f>INPUT!FT703</f>
        <v>36.755646817248461</v>
      </c>
      <c r="EN91" s="438">
        <f>INPUT!FU703</f>
        <v>17.289005511010885</v>
      </c>
      <c r="EO91" s="456">
        <f>INPUT!FV703</f>
        <v>48.7010428432583</v>
      </c>
      <c r="EP91" s="438">
        <f>INPUT!FW703</f>
        <v>32.499485277468096</v>
      </c>
      <c r="EQ91" s="456">
        <f>INPUT!FX703</f>
        <v>43.819152561626716</v>
      </c>
      <c r="ER91" s="438">
        <f>INPUT!FY703</f>
        <v>-10.024200708275771</v>
      </c>
      <c r="ES91" s="456">
        <f>INPUT!FZ703</f>
        <v>44.35643564356436</v>
      </c>
      <c r="ET91" s="438">
        <f>INPUT!GA703</f>
        <v>1.2261375460924597</v>
      </c>
      <c r="EU91" s="456">
        <f>INPUT!GB703</f>
        <v>43.494999287067401</v>
      </c>
      <c r="EV91" s="438">
        <f>INPUT!GC703</f>
        <v>-1.9420775001382395</v>
      </c>
      <c r="EW91" s="456">
        <f>INPUT!GD703</f>
        <v>40.592840179435306</v>
      </c>
      <c r="EX91" s="438">
        <f>INPUT!GE703</f>
        <v>-6.6723971840482506</v>
      </c>
      <c r="EY91" s="456">
        <f>INPUT!GF703</f>
        <v>40.287481117824775</v>
      </c>
      <c r="EZ91" s="438">
        <f>INPUT!GG703</f>
        <v>-0.7522485745287355</v>
      </c>
      <c r="FA91" s="456">
        <f>INPUT!GH703</f>
        <v>37.324576736752732</v>
      </c>
      <c r="FB91" s="438">
        <f>INPUT!GI703</f>
        <v>-7.3544046410018353</v>
      </c>
      <c r="FC91" s="456">
        <f>INPUT!GJ703</f>
        <v>31.861075308414655</v>
      </c>
      <c r="FD91" s="438">
        <f>INPUT!GK703</f>
        <v>-14.637812149543493</v>
      </c>
      <c r="FE91" s="456">
        <f>INPUT!GL703</f>
        <v>28.123130722863849</v>
      </c>
      <c r="FF91" s="438">
        <f>INPUT!GM703</f>
        <v>-11.732010138915811</v>
      </c>
      <c r="FG91" s="456">
        <f>INPUT!GN703</f>
        <v>22.189504679777052</v>
      </c>
      <c r="FH91" s="438">
        <f>INPUT!GO703</f>
        <v>-21.098739331545374</v>
      </c>
      <c r="FI91" s="456">
        <f>INPUT!GP703</f>
        <v>21.455573945499946</v>
      </c>
      <c r="FJ91" s="438">
        <f>INPUT!GQ703</f>
        <v>-3.3075579868440741</v>
      </c>
      <c r="FK91" s="456">
        <f>INPUT!GR703</f>
        <v>20.977353220008592</v>
      </c>
      <c r="FL91" s="438">
        <f>INPUT!GS703</f>
        <v>-2.228888058208554</v>
      </c>
      <c r="FM91" s="456">
        <f>INPUT!GT703</f>
        <v>20.599221418263888</v>
      </c>
      <c r="FN91" s="438">
        <f>INPUT!GU703</f>
        <v>-1.8025715531358628</v>
      </c>
      <c r="FO91" s="456">
        <f>INPUT!GV703</f>
        <v>20.272994327789107</v>
      </c>
      <c r="FP91" s="438">
        <f>INPUT!GW703</f>
        <v>-1.5836865085858847</v>
      </c>
      <c r="FQ91" s="456">
        <f>INPUT!GX703</f>
        <v>20.000005661941316</v>
      </c>
      <c r="FR91" s="438">
        <f>INPUT!GY703</f>
        <v>-1.3465631244891796</v>
      </c>
      <c r="FS91" s="806">
        <f>INPUT!GZ703</f>
        <v>-2.0563009263142362</v>
      </c>
    </row>
    <row r="92" spans="1:175" s="529" customFormat="1" ht="12.75" customHeight="1" x14ac:dyDescent="0.2">
      <c r="A92" s="810" t="str">
        <f>INPUT!B704</f>
        <v>LTD + Pref Equity to Common Equity (%)</v>
      </c>
      <c r="B92" s="456">
        <f>INPUT!AA704</f>
        <v>17.595181759518177</v>
      </c>
      <c r="C92" s="439">
        <f>INPUT!AB704</f>
        <v>-15.99171758432027</v>
      </c>
      <c r="D92" s="456">
        <f>INPUT!AC704</f>
        <v>18.101819359714948</v>
      </c>
      <c r="E92" s="439">
        <f>INPUT!AD704</f>
        <v>-5.2950847958157254</v>
      </c>
      <c r="F92" s="456">
        <f>INPUT!AE704</f>
        <v>23.324714501185088</v>
      </c>
      <c r="G92" s="439">
        <f>INPUT!AF704</f>
        <v>18.592582118714617</v>
      </c>
      <c r="H92" s="456">
        <f>INPUT!AG704</f>
        <v>20.79405268544955</v>
      </c>
      <c r="I92" s="439">
        <f>INPUT!AH704</f>
        <v>4.7352055871669165</v>
      </c>
      <c r="J92" s="456">
        <f>INPUT!AI704</f>
        <v>20.588552333728575</v>
      </c>
      <c r="K92" s="439">
        <f>INPUT!AJ704</f>
        <v>17.012444742670098</v>
      </c>
      <c r="L92" s="456">
        <f>INPUT!AK704</f>
        <v>23.657691282324713</v>
      </c>
      <c r="M92" s="439">
        <f>INPUT!AL704</f>
        <v>30.692339881449641</v>
      </c>
      <c r="N92" s="456">
        <f>INPUT!AM704</f>
        <v>30.050013161358251</v>
      </c>
      <c r="O92" s="439">
        <f>INPUT!AN704</f>
        <v>28.83335896707959</v>
      </c>
      <c r="P92" s="456">
        <f>INPUT!AO704</f>
        <v>30.306311881188119</v>
      </c>
      <c r="Q92" s="439">
        <f>INPUT!AP704</f>
        <v>45.745095194428785</v>
      </c>
      <c r="R92" s="456">
        <f>INPUT!AQ704</f>
        <v>30.044707891696387</v>
      </c>
      <c r="S92" s="439">
        <f>INPUT!AR704</f>
        <v>45.929191157731623</v>
      </c>
      <c r="T92" s="456">
        <f>INPUT!AS704</f>
        <v>34.417504435245419</v>
      </c>
      <c r="U92" s="439">
        <f>INPUT!AT704</f>
        <v>45.481247618442154</v>
      </c>
      <c r="V92" s="456">
        <f>INPUT!AU704</f>
        <v>33.453493335863016</v>
      </c>
      <c r="W92" s="439">
        <f>INPUT!AV704</f>
        <v>11.326052192487396</v>
      </c>
      <c r="X92" s="456">
        <f>INPUT!AW704</f>
        <v>31.733670787501218</v>
      </c>
      <c r="Y92" s="439">
        <f>INPUT!AX704</f>
        <v>4.7097743595752206</v>
      </c>
      <c r="Z92" s="456">
        <f>INPUT!AY704</f>
        <v>35.159530820099434</v>
      </c>
      <c r="AA92" s="439">
        <f>INPUT!AZ704</f>
        <v>17.024039464256731</v>
      </c>
      <c r="AB92" s="456">
        <f>INPUT!BA704</f>
        <v>36.4977674238012</v>
      </c>
      <c r="AC92" s="439">
        <f>INPUT!BB704</f>
        <v>6.0442005389137847</v>
      </c>
      <c r="AD92" s="456">
        <f>INPUT!BC704</f>
        <v>35.154483798040694</v>
      </c>
      <c r="AE92" s="439">
        <f>INPUT!BD704</f>
        <v>5.0846422677005592</v>
      </c>
      <c r="AF92" s="456">
        <f>INPUT!BE704</f>
        <v>45.640275549683871</v>
      </c>
      <c r="AG92" s="439">
        <f>INPUT!BF704</f>
        <v>43.822868319601952</v>
      </c>
      <c r="AH92" s="456">
        <f>INPUT!BG704</f>
        <v>46.699096594857544</v>
      </c>
      <c r="AI92" s="438">
        <f>INPUT!BH704</f>
        <v>32.820590905500239</v>
      </c>
      <c r="AJ92" s="456">
        <f>INPUT!BI704</f>
        <v>43.054728646668195</v>
      </c>
      <c r="AK92" s="438">
        <f>INPUT!BJ704</f>
        <v>17.965376201589308</v>
      </c>
      <c r="AL92" s="456">
        <f>INPUT!BK704</f>
        <v>43.716164824840057</v>
      </c>
      <c r="AM92" s="438">
        <f>INPUT!BL704</f>
        <v>24.354449566050931</v>
      </c>
      <c r="AN92" s="456">
        <f>INPUT!BM704</f>
        <v>58.116883116883123</v>
      </c>
      <c r="AO92" s="438">
        <f>INPUT!BN704</f>
        <v>27.336836635916569</v>
      </c>
      <c r="AP92" s="456">
        <f>INPUT!BO704</f>
        <v>59.304502897904584</v>
      </c>
      <c r="AQ92" s="438">
        <f>INPUT!BP704</f>
        <v>26.992826890006967</v>
      </c>
      <c r="AR92" s="456">
        <f>INPUT!BQ704</f>
        <v>66.425709806653884</v>
      </c>
      <c r="AS92" s="438">
        <f>INPUT!BR704</f>
        <v>54.282031020985784</v>
      </c>
      <c r="AT92" s="456">
        <f>INPUT!BS704</f>
        <v>67.512669095782556</v>
      </c>
      <c r="AU92" s="438">
        <f>INPUT!BT704</f>
        <v>54.434107763773994</v>
      </c>
      <c r="AV92" s="456">
        <f>INPUT!BU704</f>
        <v>94.935736596855961</v>
      </c>
      <c r="AW92" s="438">
        <f>INPUT!BV704</f>
        <v>63.353111015819167</v>
      </c>
      <c r="AX92" s="456">
        <f>INPUT!BW704</f>
        <v>93.447969166913722</v>
      </c>
      <c r="AY92" s="438">
        <f>INPUT!BX704</f>
        <v>57.573143017130889</v>
      </c>
      <c r="AZ92" s="456">
        <f>INPUT!BY704</f>
        <v>86.649544922051007</v>
      </c>
      <c r="BA92" s="438">
        <f>INPUT!BZ704</f>
        <v>30.445794518813386</v>
      </c>
      <c r="BB92" s="456">
        <f>INPUT!CA704</f>
        <v>90.020567315108408</v>
      </c>
      <c r="BC92" s="438">
        <f>INPUT!CB704</f>
        <v>33.338777033675143</v>
      </c>
      <c r="BD92" s="456">
        <f>INPUT!CC704</f>
        <v>77.996603041087027</v>
      </c>
      <c r="BE92" s="438">
        <f>INPUT!CD704</f>
        <v>-17.842736742751427</v>
      </c>
      <c r="BF92" s="456">
        <f>INPUT!CE704</f>
        <v>86.667247614483031</v>
      </c>
      <c r="BG92" s="438">
        <f>INPUT!CF704</f>
        <v>-7.2561465089938935</v>
      </c>
      <c r="BH92" s="456">
        <f>INPUT!CG704</f>
        <v>86.556841046277668</v>
      </c>
      <c r="BI92" s="438">
        <f>INPUT!CH704</f>
        <v>-0.10698714673773679</v>
      </c>
      <c r="BJ92" s="456">
        <f>INPUT!CI704</f>
        <v>76.299467808411023</v>
      </c>
      <c r="BK92" s="438">
        <f>INPUT!CJ704</f>
        <v>-15.242182887681651</v>
      </c>
      <c r="BL92" s="456">
        <f>INPUT!CK704</f>
        <v>79.715302491103202</v>
      </c>
      <c r="BM92" s="438">
        <f>INPUT!CL704</f>
        <v>2.2035567999170382</v>
      </c>
      <c r="BN92" s="456">
        <f>INPUT!CM704</f>
        <v>79.233763260322064</v>
      </c>
      <c r="BO92" s="438">
        <f>INPUT!CN704</f>
        <v>-8.5770398377330537</v>
      </c>
      <c r="BP92" s="456">
        <f>INPUT!CO704</f>
        <v>78.770516043176116</v>
      </c>
      <c r="BQ92" s="438">
        <f>INPUT!CP704</f>
        <v>-8.995620576008065</v>
      </c>
      <c r="BR92" s="456">
        <f>INPUT!CQ704</f>
        <v>73.975497922338434</v>
      </c>
      <c r="BS92" s="438">
        <f>INPUT!CR704</f>
        <v>-3.0458533366289089</v>
      </c>
      <c r="BT92" s="456">
        <f>INPUT!CS704</f>
        <v>76.975486661860131</v>
      </c>
      <c r="BU92" s="438">
        <f>INPUT!CT704</f>
        <v>-3.4370011072201123</v>
      </c>
      <c r="BV92" s="456">
        <f>INPUT!CU704</f>
        <v>79.250666366332538</v>
      </c>
      <c r="BW92" s="438">
        <f>INPUT!CV704</f>
        <v>2.1333211139975106E-2</v>
      </c>
      <c r="BX92" s="456">
        <f>INPUT!CW704</f>
        <v>73.308467249973859</v>
      </c>
      <c r="BY92" s="438">
        <f>INPUT!CX704</f>
        <v>-6.934128488136821</v>
      </c>
      <c r="BZ92" s="456">
        <f>INPUT!CY704</f>
        <v>69.974263654561057</v>
      </c>
      <c r="CA92" s="438">
        <f>INPUT!CZ704</f>
        <v>-5.4088642593227121</v>
      </c>
      <c r="CB92" s="456">
        <f>INPUT!DA704</f>
        <v>68.329878590464915</v>
      </c>
      <c r="CC92" s="438">
        <f>INPUT!DB704</f>
        <v>-11.23163807898203</v>
      </c>
      <c r="CD92" s="456">
        <f>INPUT!DC704</f>
        <v>68.791779670728445</v>
      </c>
      <c r="CE92" s="438">
        <f>INPUT!DD704</f>
        <v>-13.19722240221725</v>
      </c>
      <c r="CF92" s="456">
        <f>INPUT!DE704</f>
        <v>67.407173578502949</v>
      </c>
      <c r="CG92" s="438">
        <f>INPUT!DF704</f>
        <v>-8.0499482431519738</v>
      </c>
      <c r="CH92" s="456">
        <f>INPUT!DG704</f>
        <v>65.618037950372582</v>
      </c>
      <c r="CI92" s="438">
        <f>INPUT!DH704</f>
        <v>-6.225468446075638</v>
      </c>
      <c r="CJ92" s="456">
        <f>INPUT!DI704</f>
        <v>67.469069923712397</v>
      </c>
      <c r="CK92" s="438">
        <f>INPUT!DJ704</f>
        <v>-1.2597836912776756</v>
      </c>
      <c r="CL92" s="456">
        <f>INPUT!DK704</f>
        <v>61.572921851667495</v>
      </c>
      <c r="CM92" s="438">
        <f>INPUT!DL704</f>
        <v>-10.4937797126546</v>
      </c>
      <c r="CN92" s="456">
        <f>INPUT!DM704</f>
        <v>63.516491726121551</v>
      </c>
      <c r="CO92" s="438">
        <f>INPUT!DN704</f>
        <v>-5.7719106822514732</v>
      </c>
      <c r="CP92" s="456">
        <f>INPUT!DO704</f>
        <v>59.9553488372093</v>
      </c>
      <c r="CQ92" s="438">
        <f>INPUT!DP704</f>
        <v>-8.6297751198321606</v>
      </c>
      <c r="CR92" s="456">
        <f>INPUT!DQ704</f>
        <v>59.552173393362281</v>
      </c>
      <c r="CS92" s="438">
        <f>INPUT!DR704</f>
        <v>-11.734112444860713</v>
      </c>
      <c r="CT92" s="456">
        <f>INPUT!DS704</f>
        <v>54.272111334920346</v>
      </c>
      <c r="CU92" s="438">
        <f>INPUT!DT704</f>
        <v>-11.857177306503658</v>
      </c>
      <c r="CV92" s="456">
        <f>INPUT!DU704</f>
        <v>50.782215630186812</v>
      </c>
      <c r="CW92" s="438">
        <f>INPUT!DV704</f>
        <v>-20.048771192911602</v>
      </c>
      <c r="CX92" s="456">
        <f>INPUT!DW704</f>
        <v>49.372799671873395</v>
      </c>
      <c r="CY92" s="438">
        <f>INPUT!DX704</f>
        <v>-17.650717359796587</v>
      </c>
      <c r="CZ92" s="456">
        <f>INPUT!DY704</f>
        <v>46.758993413274787</v>
      </c>
      <c r="DA92" s="438">
        <f>INPUT!DZ704</f>
        <v>-21.482305768396074</v>
      </c>
      <c r="DB92" s="456">
        <f>INPUT!EA704</f>
        <v>45.715137857900316</v>
      </c>
      <c r="DC92" s="438">
        <f>INPUT!EB704</f>
        <v>-15.766796733250004</v>
      </c>
      <c r="DD92" s="456">
        <f>INPUT!EC704</f>
        <v>43.212387638606394</v>
      </c>
      <c r="DE92" s="438">
        <f>INPUT!ED704</f>
        <v>-14.906454745311734</v>
      </c>
      <c r="DF92" s="456">
        <f>INPUT!EE704</f>
        <v>41.077889925728435</v>
      </c>
      <c r="DG92" s="438">
        <f>INPUT!EF704</f>
        <v>-16.800565901208941</v>
      </c>
      <c r="DH92" s="456">
        <f>INPUT!EG704</f>
        <v>39.126816465015047</v>
      </c>
      <c r="DI92" s="438">
        <f>INPUT!EH704</f>
        <v>-16.322372213626352</v>
      </c>
      <c r="DJ92" s="456">
        <f>INPUT!EI704</f>
        <v>37.565726019725581</v>
      </c>
      <c r="DK92" s="438">
        <f>INPUT!EJ704</f>
        <v>-17.826506098496623</v>
      </c>
      <c r="DL92" s="456">
        <f>INPUT!EK704</f>
        <v>36.799451405772707</v>
      </c>
      <c r="DM92" s="438">
        <f>INPUT!EL704</f>
        <v>-14.840504270364136</v>
      </c>
      <c r="DN92" s="456">
        <f>INPUT!EM704</f>
        <v>31.182827535159142</v>
      </c>
      <c r="DO92" s="438">
        <f>INPUT!EN704</f>
        <v>-24.088536213666828</v>
      </c>
      <c r="DP92" s="456">
        <f>INPUT!EO704</f>
        <v>28.517367211785377</v>
      </c>
      <c r="DQ92" s="438">
        <f>INPUT!EP704</f>
        <v>-27.115544303779558</v>
      </c>
      <c r="DR92" s="456">
        <f>INPUT!EQ704</f>
        <v>27.510782099638082</v>
      </c>
      <c r="DS92" s="438">
        <f>INPUT!ER704</f>
        <v>-26.766270708591378</v>
      </c>
      <c r="DT92" s="456">
        <f>INPUT!ES704</f>
        <v>27.405259703567875</v>
      </c>
      <c r="DU92" s="438">
        <f>INPUT!ET704</f>
        <v>-25.528075401502235</v>
      </c>
      <c r="DV92" s="456">
        <f>INPUT!EU704</f>
        <v>27.313701108026823</v>
      </c>
      <c r="DW92" s="438">
        <f>INPUT!EV704</f>
        <v>-12.407875529471525</v>
      </c>
      <c r="DX92" s="456">
        <f>INPUT!EW704</f>
        <v>27.316481924016419</v>
      </c>
      <c r="DY92" s="438">
        <f>INPUT!EX704</f>
        <v>-4.2110664664466952</v>
      </c>
      <c r="DZ92" s="456"/>
      <c r="EA92" s="438"/>
      <c r="EB92" s="439">
        <f>INPUT!FI704</f>
        <v>99.554506366213417</v>
      </c>
      <c r="EC92" s="456">
        <f>INPUT!FJ704</f>
        <v>19.853928360453253</v>
      </c>
      <c r="ED92" s="439">
        <f>INPUT!FK704</f>
        <v>-10.727494132297494</v>
      </c>
      <c r="EE92" s="456">
        <f>INPUT!FL704</f>
        <v>20.79405268544955</v>
      </c>
      <c r="EF92" s="439">
        <f>INPUT!FM704</f>
        <v>4.7352055871669165</v>
      </c>
      <c r="EG92" s="456">
        <f>INPUT!FN704</f>
        <v>30.306311881188119</v>
      </c>
      <c r="EH92" s="439">
        <f>INPUT!FO704</f>
        <v>45.745095194428785</v>
      </c>
      <c r="EI92" s="456">
        <f>INPUT!FP704</f>
        <v>31.733670787501218</v>
      </c>
      <c r="EJ92" s="438">
        <f>INPUT!FQ704</f>
        <v>4.7097743595752206</v>
      </c>
      <c r="EK92" s="456">
        <f>INPUT!FR704</f>
        <v>45.640275549683871</v>
      </c>
      <c r="EL92" s="438">
        <f>INPUT!FS704</f>
        <v>43.822868319601952</v>
      </c>
      <c r="EM92" s="456">
        <f>INPUT!FT704</f>
        <v>58.116883116883123</v>
      </c>
      <c r="EN92" s="438">
        <f>INPUT!FU704</f>
        <v>27.336836635916569</v>
      </c>
      <c r="EO92" s="456">
        <f>INPUT!FV704</f>
        <v>94.935736596855961</v>
      </c>
      <c r="EP92" s="438">
        <f>INPUT!FW704</f>
        <v>63.353111015819167</v>
      </c>
      <c r="EQ92" s="456">
        <f>INPUT!FX704</f>
        <v>77.996603041087027</v>
      </c>
      <c r="ER92" s="438">
        <f>INPUT!FY704</f>
        <v>-17.842736742751427</v>
      </c>
      <c r="ES92" s="456">
        <f>INPUT!FZ704</f>
        <v>79.715302491103202</v>
      </c>
      <c r="ET92" s="438">
        <f>INPUT!GA704</f>
        <v>2.2035567999170382</v>
      </c>
      <c r="EU92" s="456">
        <f>INPUT!GB704</f>
        <v>76.975486661860131</v>
      </c>
      <c r="EV92" s="438">
        <f>INPUT!GC704</f>
        <v>-3.4370011072201123</v>
      </c>
      <c r="EW92" s="456">
        <f>INPUT!GD704</f>
        <v>68.329878590464915</v>
      </c>
      <c r="EX92" s="438">
        <f>INPUT!GE704</f>
        <v>-11.23163807898203</v>
      </c>
      <c r="EY92" s="456">
        <f>INPUT!GF704</f>
        <v>67.469069923712397</v>
      </c>
      <c r="EZ92" s="438">
        <f>INPUT!GG704</f>
        <v>-1.2597836912776756</v>
      </c>
      <c r="FA92" s="456">
        <f>INPUT!GH704</f>
        <v>59.552173393362281</v>
      </c>
      <c r="FB92" s="438">
        <f>INPUT!GI704</f>
        <v>-11.734112444860713</v>
      </c>
      <c r="FC92" s="456">
        <f>INPUT!GJ704</f>
        <v>46.758993413274787</v>
      </c>
      <c r="FD92" s="438">
        <f>INPUT!GK704</f>
        <v>-21.482305768396074</v>
      </c>
      <c r="FE92" s="456">
        <f>INPUT!GL704</f>
        <v>39.126816465015047</v>
      </c>
      <c r="FF92" s="438">
        <f>INPUT!GM704</f>
        <v>-16.322372213626352</v>
      </c>
      <c r="FG92" s="456">
        <f>INPUT!GN704</f>
        <v>28.517367211785377</v>
      </c>
      <c r="FH92" s="438">
        <f>INPUT!GO704</f>
        <v>-27.115544303779558</v>
      </c>
      <c r="FI92" s="456">
        <f>INPUT!GP704</f>
        <v>27.316481924016419</v>
      </c>
      <c r="FJ92" s="438">
        <f>INPUT!GQ704</f>
        <v>-4.2110664664466952</v>
      </c>
      <c r="FK92" s="456">
        <f>INPUT!GR704</f>
        <v>26.546001778973665</v>
      </c>
      <c r="FL92" s="438">
        <f>INPUT!GS704</f>
        <v>-2.8205687217919291</v>
      </c>
      <c r="FM92" s="456">
        <f>INPUT!GT704</f>
        <v>25.943349405646956</v>
      </c>
      <c r="FN92" s="438">
        <f>INPUT!GU704</f>
        <v>-2.2702189894526867</v>
      </c>
      <c r="FO92" s="456">
        <f>INPUT!GV704</f>
        <v>25.428014205298727</v>
      </c>
      <c r="FP92" s="438">
        <f>INPUT!GW704</f>
        <v>-1.9863865389565376</v>
      </c>
      <c r="FQ92" s="456">
        <f>INPUT!GX704</f>
        <v>25.000008846783935</v>
      </c>
      <c r="FR92" s="438">
        <f>INPUT!GY704</f>
        <v>-1.6832040247389983</v>
      </c>
      <c r="FS92" s="806">
        <f>INPUT!GZ704</f>
        <v>-2.5983874730653445</v>
      </c>
    </row>
    <row r="93" spans="1:175" s="529" customFormat="1" ht="12.75" customHeight="1" x14ac:dyDescent="0.2">
      <c r="A93" s="810" t="str">
        <f>INPUT!B705</f>
        <v>Equity to Total Assets (%)</v>
      </c>
      <c r="B93" s="457">
        <f>INPUT!AA705</f>
        <v>8.314071239197208</v>
      </c>
      <c r="C93" s="439">
        <f>INPUT!AB705</f>
        <v>0.43823911187584486</v>
      </c>
      <c r="D93" s="457">
        <f>INPUT!AC705</f>
        <v>7.1686488201897145</v>
      </c>
      <c r="E93" s="439">
        <f>INPUT!AD705</f>
        <v>-15.00544824639411</v>
      </c>
      <c r="F93" s="457">
        <f>INPUT!AE705</f>
        <v>7.5301485829253352</v>
      </c>
      <c r="G93" s="439">
        <f>INPUT!AF705</f>
        <v>-12.51652420353831</v>
      </c>
      <c r="H93" s="457">
        <f>INPUT!AG705</f>
        <v>7.4026662838320156</v>
      </c>
      <c r="I93" s="439">
        <f>INPUT!AH705</f>
        <v>-12.051744841529839</v>
      </c>
      <c r="J93" s="457">
        <f>INPUT!AI705</f>
        <v>7.1106103459112262</v>
      </c>
      <c r="K93" s="439">
        <f>INPUT!AJ705</f>
        <v>-14.474988951407951</v>
      </c>
      <c r="L93" s="457">
        <f>INPUT!AK705</f>
        <v>6.1807120918522038</v>
      </c>
      <c r="M93" s="439">
        <f>INPUT!AL705</f>
        <v>-13.781352010927009</v>
      </c>
      <c r="N93" s="457">
        <f>INPUT!AM705</f>
        <v>6.1753681000542926</v>
      </c>
      <c r="O93" s="439">
        <f>INPUT!AN705</f>
        <v>-17.991417671930364</v>
      </c>
      <c r="P93" s="457">
        <f>INPUT!AO705</f>
        <v>5.9224691614416471</v>
      </c>
      <c r="Q93" s="439">
        <f>INPUT!AP705</f>
        <v>-19.995459279627809</v>
      </c>
      <c r="R93" s="457">
        <f>INPUT!AQ705</f>
        <v>6.0655457985728125</v>
      </c>
      <c r="S93" s="439">
        <f>INPUT!AR705</f>
        <v>-14.697255179217507</v>
      </c>
      <c r="T93" s="457">
        <f>INPUT!AS705</f>
        <v>6.0734125083804233</v>
      </c>
      <c r="U93" s="439">
        <f>INPUT!AT705</f>
        <v>-1.7360391792594498</v>
      </c>
      <c r="V93" s="457">
        <f>INPUT!AU705</f>
        <v>6.203619243784023</v>
      </c>
      <c r="W93" s="439">
        <f>INPUT!AV705</f>
        <v>0.45748112941610941</v>
      </c>
      <c r="X93" s="457">
        <f>INPUT!AW705</f>
        <v>5.969498784077075</v>
      </c>
      <c r="Y93" s="439">
        <f>INPUT!AX705</f>
        <v>0.79408809659346957</v>
      </c>
      <c r="Z93" s="457">
        <f>INPUT!AY705</f>
        <v>5.7486701500364896</v>
      </c>
      <c r="AA93" s="439">
        <f>INPUT!AZ705</f>
        <v>-5.2241901892964222</v>
      </c>
      <c r="AB93" s="457">
        <f>INPUT!BA705</f>
        <v>5.5716452903047857</v>
      </c>
      <c r="AC93" s="439">
        <f>INPUT!BB705</f>
        <v>-8.2617015949974046</v>
      </c>
      <c r="AD93" s="457">
        <f>INPUT!BC705</f>
        <v>5.6988713378873488</v>
      </c>
      <c r="AE93" s="439">
        <f>INPUT!BD705</f>
        <v>-8.1363456727688117</v>
      </c>
      <c r="AF93" s="457">
        <f>INPUT!BE705</f>
        <v>5.580731546115949</v>
      </c>
      <c r="AG93" s="439">
        <f>INPUT!BF705</f>
        <v>-6.5125608032305138</v>
      </c>
      <c r="AH93" s="457">
        <f>INPUT!BG705</f>
        <v>5.5964779913349876</v>
      </c>
      <c r="AI93" s="438">
        <f>INPUT!BH705</f>
        <v>-2.6474324448852826</v>
      </c>
      <c r="AJ93" s="457">
        <f>INPUT!BI705</f>
        <v>5.5986461712029332</v>
      </c>
      <c r="AK93" s="438">
        <f>INPUT!BJ705</f>
        <v>0.48461234503085393</v>
      </c>
      <c r="AL93" s="457">
        <f>INPUT!BK705</f>
        <v>5.5113353355722898</v>
      </c>
      <c r="AM93" s="438">
        <f>INPUT!BL705</f>
        <v>-3.2907569095002742</v>
      </c>
      <c r="AN93" s="457">
        <f>INPUT!BM705</f>
        <v>5.1636165725559557</v>
      </c>
      <c r="AO93" s="438">
        <f>INPUT!BN705</f>
        <v>-7.4741988592928266</v>
      </c>
      <c r="AP93" s="457">
        <f>INPUT!BO705</f>
        <v>5.5104743233515867</v>
      </c>
      <c r="AQ93" s="438">
        <f>INPUT!BP705</f>
        <v>-1.5367462914454393</v>
      </c>
      <c r="AR93" s="457">
        <f>INPUT!BQ705</f>
        <v>5.6307499166323387</v>
      </c>
      <c r="AS93" s="438">
        <f>INPUT!BR705</f>
        <v>0.57341979556653655</v>
      </c>
      <c r="AT93" s="457">
        <f>INPUT!BS705</f>
        <v>6.0276275730449402</v>
      </c>
      <c r="AU93" s="438">
        <f>INPUT!BT705</f>
        <v>9.3678247835928374</v>
      </c>
      <c r="AV93" s="457">
        <f>INPUT!BU705</f>
        <v>5.0742731829248333</v>
      </c>
      <c r="AW93" s="438">
        <f>INPUT!BV705</f>
        <v>-1.7302483322633293</v>
      </c>
      <c r="AX93" s="457">
        <f>INPUT!BW705</f>
        <v>5.489015459723352</v>
      </c>
      <c r="AY93" s="438">
        <f>INPUT!BX705</f>
        <v>-0.38941953757590397</v>
      </c>
      <c r="AZ93" s="457">
        <f>INPUT!BY705</f>
        <v>5.7830157460413414</v>
      </c>
      <c r="BA93" s="438">
        <f>INPUT!BZ705</f>
        <v>2.7041838416448627</v>
      </c>
      <c r="BB93" s="457">
        <f>INPUT!CA705</f>
        <v>5.7044945687775597</v>
      </c>
      <c r="BC93" s="438">
        <f>INPUT!CB705</f>
        <v>-5.3608654541366292</v>
      </c>
      <c r="BD93" s="457">
        <f>INPUT!CC705</f>
        <v>5.946446392285587</v>
      </c>
      <c r="BE93" s="438">
        <f>INPUT!CD705</f>
        <v>17.188140604957127</v>
      </c>
      <c r="BF93" s="456">
        <f>INPUT!CE705</f>
        <v>5.3925208172778714</v>
      </c>
      <c r="BG93" s="438">
        <f>INPUT!CF705</f>
        <v>-1.7579590211309721</v>
      </c>
      <c r="BH93" s="456">
        <f>INPUT!CG705</f>
        <v>5.581917731292994</v>
      </c>
      <c r="BI93" s="438">
        <f>INPUT!CH705</f>
        <v>-3.4773900604715777</v>
      </c>
      <c r="BJ93" s="456">
        <f>INPUT!CI705</f>
        <v>5.5078526184945371</v>
      </c>
      <c r="BK93" s="438">
        <f>INPUT!CJ705</f>
        <v>-3.4471406346725928</v>
      </c>
      <c r="BL93" s="456">
        <f>INPUT!CK705</f>
        <v>5.4646011552787863</v>
      </c>
      <c r="BM93" s="438">
        <f>INPUT!CL705</f>
        <v>-8.103078800675064</v>
      </c>
      <c r="BN93" s="456">
        <f>INPUT!CM705</f>
        <v>4.993759230146253</v>
      </c>
      <c r="BO93" s="438">
        <f>INPUT!CN705</f>
        <v>-7.3947157673266446</v>
      </c>
      <c r="BP93" s="456">
        <f>INPUT!CO705</f>
        <v>5.0341103216754064</v>
      </c>
      <c r="BQ93" s="438">
        <f>INPUT!CP705</f>
        <v>-9.813964232158142</v>
      </c>
      <c r="BR93" s="456">
        <f>INPUT!CQ705</f>
        <v>5.243918474687705</v>
      </c>
      <c r="BS93" s="438">
        <f>INPUT!CR705</f>
        <v>-4.7919608981652999</v>
      </c>
      <c r="BT93" s="456">
        <f>INPUT!CS705</f>
        <v>5.0813026745530046</v>
      </c>
      <c r="BU93" s="438">
        <f>INPUT!CT705</f>
        <v>-7.0142078046357881</v>
      </c>
      <c r="BV93" s="456">
        <f>INPUT!CU705</f>
        <v>4.7485938906666432</v>
      </c>
      <c r="BW93" s="438">
        <f>INPUT!CV705</f>
        <v>-4.9094345197821951</v>
      </c>
      <c r="BX93" s="456">
        <f>INPUT!CW705</f>
        <v>5.0405535524771405</v>
      </c>
      <c r="BY93" s="438">
        <f>INPUT!CX705</f>
        <v>0.12799145012756696</v>
      </c>
      <c r="BZ93" s="456">
        <f>INPUT!CY705</f>
        <v>4.7323905541646925</v>
      </c>
      <c r="CA93" s="438">
        <f>INPUT!CZ705</f>
        <v>-9.7546886549085059</v>
      </c>
      <c r="CB93" s="456">
        <f>INPUT!DA705</f>
        <v>4.2933310025347433</v>
      </c>
      <c r="CC93" s="438">
        <f>INPUT!DB705</f>
        <v>-15.507276824197021</v>
      </c>
      <c r="CD93" s="456">
        <f>INPUT!DC705</f>
        <v>4.0837624463576221</v>
      </c>
      <c r="CE93" s="438">
        <f>INPUT!DD705</f>
        <v>-14.000595957800201</v>
      </c>
      <c r="CF93" s="456">
        <f>INPUT!DE705</f>
        <v>4.031074088860823</v>
      </c>
      <c r="CG93" s="438">
        <f>INPUT!DF705</f>
        <v>-20.027154817554049</v>
      </c>
      <c r="CH93" s="456">
        <f>INPUT!DG705</f>
        <v>4.0215582959121727</v>
      </c>
      <c r="CI93" s="438">
        <f>INPUT!DH705</f>
        <v>-15.020574699333693</v>
      </c>
      <c r="CJ93" s="456">
        <f>INPUT!DI705</f>
        <v>3.8636637838217571</v>
      </c>
      <c r="CK93" s="438">
        <f>INPUT!DJ705</f>
        <v>-10.007782266480618</v>
      </c>
      <c r="CL93" s="456">
        <f>INPUT!DK705</f>
        <v>3.9206119979704148</v>
      </c>
      <c r="CM93" s="438">
        <f>INPUT!DL705</f>
        <v>-3.995101344171573</v>
      </c>
      <c r="CN93" s="456">
        <f>INPUT!DM705</f>
        <v>3.9290594238866738</v>
      </c>
      <c r="CO93" s="438">
        <f>INPUT!DN705</f>
        <v>-2.5307067725708521</v>
      </c>
      <c r="CP93" s="456">
        <f>INPUT!DO705</f>
        <v>3.9509973419895088</v>
      </c>
      <c r="CQ93" s="438">
        <f>INPUT!DP705</f>
        <v>-1.7545674768506387</v>
      </c>
      <c r="CR93" s="456">
        <f>INPUT!DQ705</f>
        <v>3.6916700250925896</v>
      </c>
      <c r="CS93" s="438">
        <f>INPUT!DR705</f>
        <v>-4.4515715743526556</v>
      </c>
      <c r="CT93" s="456">
        <f>INPUT!DS705</f>
        <v>3.9311300001151768</v>
      </c>
      <c r="CU93" s="438">
        <f>INPUT!DT705</f>
        <v>0.26827449771124634</v>
      </c>
      <c r="CV93" s="456">
        <f>INPUT!DU705</f>
        <v>4.1312632033520469</v>
      </c>
      <c r="CW93" s="438">
        <f>INPUT!DV705</f>
        <v>5.1463660293880338</v>
      </c>
      <c r="CX93" s="456">
        <f>INPUT!DW705</f>
        <v>4.3160638654123327</v>
      </c>
      <c r="CY93" s="438">
        <f>INPUT!DX705</f>
        <v>9.2398574796052912</v>
      </c>
      <c r="CZ93" s="456">
        <f>INPUT!DY705</f>
        <v>4.3347057583282576</v>
      </c>
      <c r="DA93" s="438">
        <f>INPUT!DZ705</f>
        <v>17.418559320440366</v>
      </c>
      <c r="DB93" s="456">
        <f>INPUT!EA705</f>
        <v>4.3705146680763853</v>
      </c>
      <c r="DC93" s="438">
        <f>INPUT!EB705</f>
        <v>11.177057689476939</v>
      </c>
      <c r="DD93" s="456">
        <f>INPUT!EC705</f>
        <v>4.3046680270859961</v>
      </c>
      <c r="DE93" s="438">
        <f>INPUT!ED705</f>
        <v>4.1973802006430248</v>
      </c>
      <c r="DF93" s="456">
        <f>INPUT!EE705</f>
        <v>4.3071875320414232</v>
      </c>
      <c r="DG93" s="438">
        <f>INPUT!EF705</f>
        <v>-0.2056580636362213</v>
      </c>
      <c r="DH93" s="456">
        <f>INPUT!EG705</f>
        <v>4.4171414836912728</v>
      </c>
      <c r="DI93" s="438">
        <f>INPUT!EH705</f>
        <v>1.9017605798186281</v>
      </c>
      <c r="DJ93" s="456">
        <f>INPUT!EI705</f>
        <v>4.4663477973280568</v>
      </c>
      <c r="DK93" s="438">
        <f>INPUT!EJ705</f>
        <v>2.1927195428874029</v>
      </c>
      <c r="DL93" s="456">
        <f>INPUT!EK705</f>
        <v>4.3803752851913496</v>
      </c>
      <c r="DM93" s="438">
        <f>INPUT!EL705</f>
        <v>1.7587246595785189</v>
      </c>
      <c r="DN93" s="456">
        <f>INPUT!EM705</f>
        <v>4.5575068986688434</v>
      </c>
      <c r="DO93" s="438">
        <f>INPUT!EN705</f>
        <v>5.8116663081251971</v>
      </c>
      <c r="DP93" s="456">
        <f>INPUT!EO705</f>
        <v>4.9214195824475793</v>
      </c>
      <c r="DQ93" s="438">
        <f>INPUT!EP705</f>
        <v>11.416390002859885</v>
      </c>
      <c r="DR93" s="456">
        <f>INPUT!EQ705</f>
        <v>5.0280409179696024</v>
      </c>
      <c r="DS93" s="438">
        <f>INPUT!ER705</f>
        <v>12.576116910948414</v>
      </c>
      <c r="DT93" s="456">
        <f>INPUT!ES705</f>
        <v>4.9813586684225033</v>
      </c>
      <c r="DU93" s="438">
        <f>INPUT!ET705</f>
        <v>13.719906266088373</v>
      </c>
      <c r="DV93" s="456">
        <f>INPUT!EU705</f>
        <v>4.9326678401343127</v>
      </c>
      <c r="DW93" s="438">
        <f>INPUT!EV705</f>
        <v>8.2317141763415833</v>
      </c>
      <c r="DX93" s="456">
        <f>INPUT!EW705</f>
        <v>4.867646340616119</v>
      </c>
      <c r="DY93" s="438">
        <f>INPUT!EX705</f>
        <v>-1.0926368079495603</v>
      </c>
      <c r="DZ93" s="456"/>
      <c r="EA93" s="438"/>
      <c r="EB93" s="439">
        <f>INPUT!FI705</f>
        <v>26.345262085837035</v>
      </c>
      <c r="EC93" s="457">
        <f>INPUT!FJ705</f>
        <v>8.4170700947886576</v>
      </c>
      <c r="ED93" s="439">
        <f>INPUT!FK705</f>
        <v>1.7749613693719226</v>
      </c>
      <c r="EE93" s="457">
        <f>INPUT!FL705</f>
        <v>7.4026662838320156</v>
      </c>
      <c r="EF93" s="439">
        <f>INPUT!FM705</f>
        <v>-12.051744841529839</v>
      </c>
      <c r="EG93" s="457">
        <f>INPUT!FN705</f>
        <v>5.9224691614416471</v>
      </c>
      <c r="EH93" s="439">
        <f>INPUT!FO705</f>
        <v>-19.995459279627809</v>
      </c>
      <c r="EI93" s="457">
        <f>INPUT!FP705</f>
        <v>5.969498784077075</v>
      </c>
      <c r="EJ93" s="438">
        <f>INPUT!FQ705</f>
        <v>0.79408809659346957</v>
      </c>
      <c r="EK93" s="457">
        <f>INPUT!FR705</f>
        <v>5.580731546115949</v>
      </c>
      <c r="EL93" s="438">
        <f>INPUT!FS705</f>
        <v>-6.5125608032305138</v>
      </c>
      <c r="EM93" s="457">
        <f>INPUT!FT705</f>
        <v>5.1636165725559557</v>
      </c>
      <c r="EN93" s="438">
        <f>INPUT!FU705</f>
        <v>-7.4741988592928266</v>
      </c>
      <c r="EO93" s="457">
        <f>INPUT!FV705</f>
        <v>5.0742731829248333</v>
      </c>
      <c r="EP93" s="438">
        <f>INPUT!FW705</f>
        <v>-1.7302483322633293</v>
      </c>
      <c r="EQ93" s="456">
        <f>INPUT!FX705</f>
        <v>5.946446392285587</v>
      </c>
      <c r="ER93" s="438">
        <f>INPUT!FY705</f>
        <v>17.188140604957127</v>
      </c>
      <c r="ES93" s="456">
        <f>INPUT!FZ705</f>
        <v>5.4646011552787863</v>
      </c>
      <c r="ET93" s="438">
        <f>INPUT!GA705</f>
        <v>-8.103078800675064</v>
      </c>
      <c r="EU93" s="456">
        <f>INPUT!GB705</f>
        <v>5.0813026745530046</v>
      </c>
      <c r="EV93" s="438">
        <f>INPUT!GC705</f>
        <v>-7.0142078046357881</v>
      </c>
      <c r="EW93" s="456">
        <f>INPUT!GD705</f>
        <v>4.2933310025347433</v>
      </c>
      <c r="EX93" s="438">
        <f>INPUT!GE705</f>
        <v>-15.507276824197021</v>
      </c>
      <c r="EY93" s="456">
        <f>INPUT!GF705</f>
        <v>3.8636637838217571</v>
      </c>
      <c r="EZ93" s="438">
        <f>INPUT!GG705</f>
        <v>-10.007782266480618</v>
      </c>
      <c r="FA93" s="456">
        <f>INPUT!GH705</f>
        <v>3.6916700250925896</v>
      </c>
      <c r="FB93" s="438">
        <f>INPUT!GI705</f>
        <v>-4.4515715743526556</v>
      </c>
      <c r="FC93" s="456">
        <f>INPUT!GJ705</f>
        <v>4.3347057583282576</v>
      </c>
      <c r="FD93" s="438">
        <f>INPUT!GK705</f>
        <v>17.418559320440366</v>
      </c>
      <c r="FE93" s="456">
        <f>INPUT!GL705</f>
        <v>4.4171414836912728</v>
      </c>
      <c r="FF93" s="438">
        <f>INPUT!GM705</f>
        <v>1.9017605798186281</v>
      </c>
      <c r="FG93" s="456">
        <f>INPUT!GN705</f>
        <v>4.9214195824475793</v>
      </c>
      <c r="FH93" s="438">
        <f>INPUT!GO705</f>
        <v>11.416390002859885</v>
      </c>
      <c r="FI93" s="456">
        <f>INPUT!GP705</f>
        <v>4.867646340616119</v>
      </c>
      <c r="FJ93" s="438">
        <f>INPUT!GQ705</f>
        <v>-1.0926368079495603</v>
      </c>
      <c r="FK93" s="456">
        <f>INPUT!GR705</f>
        <v>4.7533537547688365</v>
      </c>
      <c r="FL93" s="438">
        <f>INPUT!GS705</f>
        <v>-2.3480051312194519</v>
      </c>
      <c r="FM93" s="456">
        <f>INPUT!GT705</f>
        <v>4.6156814869521536</v>
      </c>
      <c r="FN93" s="438">
        <f>INPUT!GU705</f>
        <v>-2.8963185767220097</v>
      </c>
      <c r="FO93" s="456">
        <f>INPUT!GV705</f>
        <v>4.4690768824615112</v>
      </c>
      <c r="FP93" s="438">
        <f>INPUT!GW705</f>
        <v>-3.1762287953592931</v>
      </c>
      <c r="FQ93" s="456">
        <f>INPUT!GX705</f>
        <v>4.3138297161413259</v>
      </c>
      <c r="FR93" s="438">
        <f>INPUT!GY705</f>
        <v>-3.4738083591588804</v>
      </c>
      <c r="FS93" s="806">
        <f>INPUT!GZ705</f>
        <v>-2.6009948463323829</v>
      </c>
    </row>
    <row r="94" spans="1:175" s="529" customFormat="1" ht="12.75" customHeight="1" x14ac:dyDescent="0.2">
      <c r="A94" s="810" t="str">
        <f>INPUT!B706</f>
        <v>Oper Return on Avg Assets (%)</v>
      </c>
      <c r="B94" s="457">
        <f>INPUT!AA706</f>
        <v>0.20499080688157734</v>
      </c>
      <c r="C94" s="439">
        <f>INPUT!AB706</f>
        <v>-3.7781866681974208</v>
      </c>
      <c r="D94" s="457">
        <f>INPUT!AC706</f>
        <v>0.22818830929058329</v>
      </c>
      <c r="E94" s="439">
        <f>INPUT!AD706</f>
        <v>12.415340655510903</v>
      </c>
      <c r="F94" s="457">
        <f>INPUT!AE706</f>
        <v>0.41115587085427735</v>
      </c>
      <c r="G94" s="439">
        <f>INPUT!AF706</f>
        <v>5.0198603997147586</v>
      </c>
      <c r="H94" s="457">
        <f>INPUT!AG706</f>
        <v>0.4520501116048985</v>
      </c>
      <c r="I94" s="439" t="str">
        <f>INPUT!AH706</f>
        <v>NM</v>
      </c>
      <c r="J94" s="457">
        <f>INPUT!AI706</f>
        <v>0.44088763814381615</v>
      </c>
      <c r="K94" s="439" t="str">
        <f>INPUT!AJ706</f>
        <v>NM</v>
      </c>
      <c r="L94" s="457">
        <f>INPUT!AK706</f>
        <v>0.23826472100288687</v>
      </c>
      <c r="M94" s="439">
        <f>INPUT!AL706</f>
        <v>4.415831706554215</v>
      </c>
      <c r="N94" s="457">
        <f>INPUT!AM706</f>
        <v>0.23147470846215618</v>
      </c>
      <c r="O94" s="439">
        <f>INPUT!AN706</f>
        <v>-43.701470690127664</v>
      </c>
      <c r="P94" s="457">
        <f>INPUT!AO706</f>
        <v>0.23272078697496573</v>
      </c>
      <c r="Q94" s="439">
        <f>INPUT!AP706</f>
        <v>-48.518807760328862</v>
      </c>
      <c r="R94" s="457">
        <f>INPUT!AQ706</f>
        <v>0.26538857640814384</v>
      </c>
      <c r="S94" s="439">
        <f>INPUT!AR706</f>
        <v>-39.805847692745942</v>
      </c>
      <c r="T94" s="457">
        <f>INPUT!AS706</f>
        <v>0.24213437410209748</v>
      </c>
      <c r="U94" s="439">
        <f>INPUT!AT706</f>
        <v>1.6240982227342613</v>
      </c>
      <c r="V94" s="457">
        <f>INPUT!AU706</f>
        <v>0.29424746211563924</v>
      </c>
      <c r="W94" s="439">
        <f>INPUT!AV706</f>
        <v>27.118623054123333</v>
      </c>
      <c r="X94" s="457">
        <f>INPUT!AW706</f>
        <v>0.21819787729202197</v>
      </c>
      <c r="Y94" s="439">
        <f>INPUT!AX706</f>
        <v>-6.2404866671862891</v>
      </c>
      <c r="Z94" s="457">
        <f>INPUT!AY706</f>
        <v>0.16704635952705346</v>
      </c>
      <c r="AA94" s="439">
        <f>INPUT!AZ706</f>
        <v>-37.055934438507578</v>
      </c>
      <c r="AB94" s="457">
        <f>INPUT!BA706</f>
        <v>0.17522938012606781</v>
      </c>
      <c r="AC94" s="439">
        <f>INPUT!BB706</f>
        <v>-27.631349007811153</v>
      </c>
      <c r="AD94" s="457">
        <f>INPUT!BC706</f>
        <v>0.20828580247742004</v>
      </c>
      <c r="AE94" s="439">
        <f>INPUT!BD706</f>
        <v>-29.214070028048795</v>
      </c>
      <c r="AF94" s="457">
        <f>INPUT!BE706</f>
        <v>0.18879798615481436</v>
      </c>
      <c r="AG94" s="439">
        <f>INPUT!BF706</f>
        <v>-13.473958363884861</v>
      </c>
      <c r="AH94" s="457">
        <f>INPUT!BG706</f>
        <v>0.20316887440398868</v>
      </c>
      <c r="AI94" s="438">
        <f>INPUT!BH706</f>
        <v>21.624245496403717</v>
      </c>
      <c r="AJ94" s="457">
        <f>INPUT!BI706</f>
        <v>0.20512557531313702</v>
      </c>
      <c r="AK94" s="438">
        <f>INPUT!BJ706</f>
        <v>17.061177278353995</v>
      </c>
      <c r="AL94" s="457">
        <f>INPUT!BK706</f>
        <v>0.22586833552790558</v>
      </c>
      <c r="AM94" s="438">
        <f>INPUT!BL706</f>
        <v>8.441541786023393</v>
      </c>
      <c r="AN94" s="457">
        <f>INPUT!BM706</f>
        <v>0.18951726550882955</v>
      </c>
      <c r="AO94" s="438">
        <f>INPUT!BN706</f>
        <v>0.38097829784338444</v>
      </c>
      <c r="AP94" s="457">
        <f>INPUT!BO706</f>
        <v>0.16533879712954158</v>
      </c>
      <c r="AQ94" s="438">
        <f>INPUT!BP706</f>
        <v>-18.620016173946183</v>
      </c>
      <c r="AR94" s="457">
        <f>INPUT!BQ706</f>
        <v>0.20400557092135979</v>
      </c>
      <c r="AS94" s="438">
        <f>INPUT!BR706</f>
        <v>-0.54600914101884257</v>
      </c>
      <c r="AT94" s="457">
        <f>INPUT!BS706</f>
        <v>0.1055219803799801</v>
      </c>
      <c r="AU94" s="438" t="str">
        <f>INPUT!BT706</f>
        <v>NM</v>
      </c>
      <c r="AV94" s="457">
        <f>INPUT!BU706</f>
        <v>-0.22813312789226295</v>
      </c>
      <c r="AW94" s="438" t="str">
        <f>INPUT!BV706</f>
        <v>NM</v>
      </c>
      <c r="AX94" s="457">
        <f>INPUT!BW706</f>
        <v>5.1261187957689171E-2</v>
      </c>
      <c r="AY94" s="438" t="str">
        <f>INPUT!BX706</f>
        <v>NM</v>
      </c>
      <c r="AZ94" s="457">
        <f>INPUT!BY706</f>
        <v>0.22434786687129832</v>
      </c>
      <c r="BA94" s="438">
        <f>INPUT!BZ706</f>
        <v>9.9714413964607331</v>
      </c>
      <c r="BB94" s="457">
        <f>INPUT!CA706</f>
        <v>0.20043215127249972</v>
      </c>
      <c r="BC94" s="438">
        <f>INPUT!CB706</f>
        <v>89.943508026244558</v>
      </c>
      <c r="BD94" s="457">
        <f>INPUT!CC706</f>
        <v>0.13322271519436329</v>
      </c>
      <c r="BE94" s="438" t="str">
        <f>INPUT!CD706</f>
        <v>NM</v>
      </c>
      <c r="BF94" s="456">
        <f>INPUT!CE706</f>
        <v>0.14896336535027535</v>
      </c>
      <c r="BG94" s="438" t="str">
        <f>INPUT!CF706</f>
        <v>NM</v>
      </c>
      <c r="BH94" s="456">
        <f>INPUT!CG706</f>
        <v>8.8679863353455943E-2</v>
      </c>
      <c r="BI94" s="438" t="str">
        <f>INPUT!CH706</f>
        <v>NM</v>
      </c>
      <c r="BJ94" s="456">
        <f>INPUT!CI706</f>
        <v>0.19879488863519151</v>
      </c>
      <c r="BK94" s="438">
        <f>INPUT!CJ706</f>
        <v>-0.81686626966461517</v>
      </c>
      <c r="BL94" s="456">
        <f>INPUT!CK706</f>
        <v>0.16797061155407009</v>
      </c>
      <c r="BM94" s="438">
        <f>INPUT!CL706</f>
        <v>26.082561302711667</v>
      </c>
      <c r="BN94" s="456">
        <f>INPUT!CM706</f>
        <v>0.15343718736601403</v>
      </c>
      <c r="BO94" s="438">
        <f>INPUT!CN706</f>
        <v>3.0033035338714598</v>
      </c>
      <c r="BP94" s="456">
        <f>INPUT!CO706</f>
        <v>0.14735547309694924</v>
      </c>
      <c r="BQ94" s="438">
        <f>INPUT!CP706</f>
        <v>66.165651958243188</v>
      </c>
      <c r="BR94" s="456">
        <f>INPUT!CQ706</f>
        <v>8.151591997745844E-2</v>
      </c>
      <c r="BS94" s="438" t="str">
        <f>INPUT!CR706</f>
        <v>NM</v>
      </c>
      <c r="BT94" s="456">
        <f>INPUT!CS706</f>
        <v>0.1678075479509015</v>
      </c>
      <c r="BU94" s="438">
        <f>INPUT!CT706</f>
        <v>-9.7078650640085584E-2</v>
      </c>
      <c r="BV94" s="456">
        <f>INPUT!CU706</f>
        <v>0.14636907361684298</v>
      </c>
      <c r="BW94" s="438">
        <f>INPUT!CV706</f>
        <v>-4.6065193650288592</v>
      </c>
      <c r="BX94" s="456">
        <f>INPUT!CW706</f>
        <v>0.11872632326171449</v>
      </c>
      <c r="BY94" s="438">
        <f>INPUT!CX706</f>
        <v>-19.428630123835873</v>
      </c>
      <c r="BZ94" s="456">
        <f>INPUT!CY706</f>
        <v>0.13213004939441098</v>
      </c>
      <c r="CA94" s="438">
        <f>INPUT!CZ706</f>
        <v>62.091097580630674</v>
      </c>
      <c r="CB94" s="456">
        <f>INPUT!DA706</f>
        <v>0.13309389675091973</v>
      </c>
      <c r="CC94" s="438">
        <f>INPUT!DB706</f>
        <v>-20.686585093382433</v>
      </c>
      <c r="CD94" s="456">
        <f>INPUT!DC706</f>
        <v>0.16752957253011072</v>
      </c>
      <c r="CE94" s="438">
        <f>INPUT!DD706</f>
        <v>14.456946669390391</v>
      </c>
      <c r="CF94" s="456">
        <f>INPUT!DE706</f>
        <v>0.17447362853929832</v>
      </c>
      <c r="CG94" s="438">
        <f>INPUT!DF706</f>
        <v>46.954461105223658</v>
      </c>
      <c r="CH94" s="456">
        <f>INPUT!DG706</f>
        <v>0.21289512343190278</v>
      </c>
      <c r="CI94" s="438">
        <f>INPUT!DH706</f>
        <v>61.125439979520763</v>
      </c>
      <c r="CJ94" s="456">
        <f>INPUT!DI706</f>
        <v>0.16114252901298579</v>
      </c>
      <c r="CK94" s="438">
        <f>INPUT!DJ706</f>
        <v>21.074318918288213</v>
      </c>
      <c r="CL94" s="456">
        <f>INPUT!DK706</f>
        <v>0.17068330366015858</v>
      </c>
      <c r="CM94" s="438">
        <f>INPUT!DL706</f>
        <v>1.8824921967021737</v>
      </c>
      <c r="CN94" s="456">
        <f>INPUT!DM706</f>
        <v>0.1725962378129591</v>
      </c>
      <c r="CO94" s="438">
        <f>INPUT!DN706</f>
        <v>-1.0760312272157222</v>
      </c>
      <c r="CP94" s="456">
        <f>INPUT!DO706</f>
        <v>0.15201232564156847</v>
      </c>
      <c r="CQ94" s="438">
        <f>INPUT!DP706</f>
        <v>-28.597553954686262</v>
      </c>
      <c r="CR94" s="456">
        <f>INPUT!DQ706</f>
        <v>0.14826102176554165</v>
      </c>
      <c r="CS94" s="438">
        <f>INPUT!DR706</f>
        <v>-7.9938594276412687</v>
      </c>
      <c r="CT94" s="456">
        <f>INPUT!DS706</f>
        <v>0.18687444571138984</v>
      </c>
      <c r="CU94" s="438">
        <f>INPUT!DT706</f>
        <v>9.4860725706767681</v>
      </c>
      <c r="CV94" s="456">
        <f>INPUT!DU706</f>
        <v>0.19695608025303751</v>
      </c>
      <c r="CW94" s="438">
        <f>INPUT!DV706</f>
        <v>14.113773711844729</v>
      </c>
      <c r="CX94" s="456">
        <f>INPUT!DW706</f>
        <v>0.16374990226638717</v>
      </c>
      <c r="CY94" s="438">
        <f>INPUT!DX706</f>
        <v>7.7214637532056827</v>
      </c>
      <c r="CZ94" s="456">
        <f>INPUT!DY706</f>
        <v>0.13045846413343953</v>
      </c>
      <c r="DA94" s="438">
        <f>INPUT!DZ706</f>
        <v>-12.00757786510799</v>
      </c>
      <c r="DB94" s="456">
        <f>INPUT!EA706</f>
        <v>0.14439962632794789</v>
      </c>
      <c r="DC94" s="438">
        <f>INPUT!EB706</f>
        <v>-22.729067755492011</v>
      </c>
      <c r="DD94" s="456">
        <f>INPUT!EC706</f>
        <v>0.11707137964878586</v>
      </c>
      <c r="DE94" s="438">
        <f>INPUT!ED706</f>
        <v>-40.559651929313645</v>
      </c>
      <c r="DF94" s="456">
        <f>INPUT!EE706</f>
        <v>0.16282169588844458</v>
      </c>
      <c r="DG94" s="438">
        <f>INPUT!EF706</f>
        <v>-0.56684392790205607</v>
      </c>
      <c r="DH94" s="456">
        <f>INPUT!EG706</f>
        <v>0.15410934694396922</v>
      </c>
      <c r="DI94" s="438">
        <f>INPUT!EH706</f>
        <v>18.129052007187795</v>
      </c>
      <c r="DJ94" s="456">
        <f>INPUT!EI706</f>
        <v>0.1718948453780158</v>
      </c>
      <c r="DK94" s="438">
        <f>INPUT!EJ706</f>
        <v>19.04105969611247</v>
      </c>
      <c r="DL94" s="456">
        <f>INPUT!EK706</f>
        <v>0.12547736696873169</v>
      </c>
      <c r="DM94" s="438">
        <f>INPUT!EL706</f>
        <v>7.1802240181706196</v>
      </c>
      <c r="DN94" s="456">
        <f>INPUT!EM706</f>
        <v>0.17852203188568114</v>
      </c>
      <c r="DO94" s="438">
        <f>INPUT!EN706</f>
        <v>9.6426559811743147</v>
      </c>
      <c r="DP94" s="456">
        <f>INPUT!EO706</f>
        <v>0.156043388842033</v>
      </c>
      <c r="DQ94" s="438">
        <f>INPUT!EP706</f>
        <v>1.2549802697995744</v>
      </c>
      <c r="DR94" s="456">
        <f>INPUT!EQ706</f>
        <v>0.35301054350481775</v>
      </c>
      <c r="DS94" s="438" t="str">
        <f>INPUT!ER706</f>
        <v>NM</v>
      </c>
      <c r="DT94" s="456">
        <f>INPUT!ES706</f>
        <v>0.34946707691825685</v>
      </c>
      <c r="DU94" s="438" t="str">
        <f>INPUT!ET706</f>
        <v>NM</v>
      </c>
      <c r="DV94" s="456">
        <f>INPUT!EU706</f>
        <v>0.34043840905597167</v>
      </c>
      <c r="DW94" s="438">
        <f>INPUT!EV706</f>
        <v>90.698260298748892</v>
      </c>
      <c r="DX94" s="456">
        <f>INPUT!EW706</f>
        <v>0.30256397838216759</v>
      </c>
      <c r="DY94" s="438">
        <f>INPUT!EX706</f>
        <v>93.897338828280255</v>
      </c>
      <c r="DZ94" s="456"/>
      <c r="EA94" s="438"/>
      <c r="EB94" s="439" t="str">
        <f>INPUT!FI706</f>
        <v>NM</v>
      </c>
      <c r="EC94" s="457">
        <f>INPUT!FJ706</f>
        <v>0.28406689809744434</v>
      </c>
      <c r="ED94" s="439">
        <f>INPUT!FK706</f>
        <v>27.140487418311636</v>
      </c>
      <c r="EE94" s="457">
        <f>INPUT!FL706</f>
        <v>0.43871692196868572</v>
      </c>
      <c r="EF94" s="439">
        <f>INPUT!FM706</f>
        <v>54.441409719689091</v>
      </c>
      <c r="EG94" s="457">
        <f>INPUT!FN706</f>
        <v>0.55526537897445838</v>
      </c>
      <c r="EH94" s="439">
        <f>INPUT!FO706</f>
        <v>26.565753717175184</v>
      </c>
      <c r="EI94" s="457">
        <f>INPUT!FP706</f>
        <v>0.61566614156345756</v>
      </c>
      <c r="EJ94" s="438">
        <f>INPUT!FQ706</f>
        <v>10.877818944980106</v>
      </c>
      <c r="EK94" s="457">
        <f>INPUT!FR706</f>
        <v>0.62947369584255353</v>
      </c>
      <c r="EL94" s="438">
        <f>INPUT!FS706</f>
        <v>2.2427015791435707</v>
      </c>
      <c r="EM94" s="457">
        <f>INPUT!FT706</f>
        <v>0.69370677443283135</v>
      </c>
      <c r="EN94" s="438">
        <f>INPUT!FU706</f>
        <v>10.204251426948275</v>
      </c>
      <c r="EO94" s="457">
        <f>INPUT!FV706</f>
        <v>-0.16517355465292208</v>
      </c>
      <c r="EP94" s="438" t="str">
        <f>INPUT!FW706</f>
        <v>NM</v>
      </c>
      <c r="EQ94" s="456">
        <f>INPUT!FX706</f>
        <v>0.27709227333809577</v>
      </c>
      <c r="ER94" s="438" t="str">
        <f>INPUT!FY706</f>
        <v>NM</v>
      </c>
      <c r="ES94" s="456">
        <f>INPUT!FZ706</f>
        <v>0.4628167063445367</v>
      </c>
      <c r="ET94" s="438">
        <f>INPUT!GA706</f>
        <v>67.026204220363866</v>
      </c>
      <c r="EU94" s="456">
        <f>INPUT!GB706</f>
        <v>0.48527314368227625</v>
      </c>
      <c r="EV94" s="438">
        <f>INPUT!GC706</f>
        <v>4.8521233200735452</v>
      </c>
      <c r="EW94" s="456">
        <f>INPUT!GD706</f>
        <v>0.44537933827896709</v>
      </c>
      <c r="EX94" s="438">
        <f>INPUT!GE706</f>
        <v>-8.2208970190670385</v>
      </c>
      <c r="EY94" s="456">
        <f>INPUT!GF706</f>
        <v>0.74810287465889125</v>
      </c>
      <c r="EZ94" s="438">
        <f>INPUT!GG706</f>
        <v>67.969820411900372</v>
      </c>
      <c r="FA94" s="456">
        <f>INPUT!GH706</f>
        <v>0.63895704946897192</v>
      </c>
      <c r="FB94" s="438">
        <f>INPUT!GI706</f>
        <v>-14.58968129746674</v>
      </c>
      <c r="FC94" s="456">
        <f>INPUT!GJ706</f>
        <v>0.68224275749931396</v>
      </c>
      <c r="FD94" s="438">
        <f>INPUT!GK706</f>
        <v>6.774431562546539</v>
      </c>
      <c r="FE94" s="456">
        <f>INPUT!GL706</f>
        <v>0.59082218798416997</v>
      </c>
      <c r="FF94" s="438">
        <f>INPUT!GM706</f>
        <v>-13.400005864516046</v>
      </c>
      <c r="FG94" s="456">
        <f>INPUT!GN706</f>
        <v>0.63769530446797951</v>
      </c>
      <c r="FH94" s="438">
        <f>INPUT!GO706</f>
        <v>7.9335403167129215</v>
      </c>
      <c r="FI94" s="456">
        <f>INPUT!GP706</f>
        <v>0.67227958116497255</v>
      </c>
      <c r="FJ94" s="438">
        <f>INPUT!GQ706</f>
        <v>5.4233230909307366</v>
      </c>
      <c r="FK94" s="456">
        <f>INPUT!GR706</f>
        <v>0.6407668867762476</v>
      </c>
      <c r="FL94" s="438">
        <f>INPUT!GS706</f>
        <v>-4.6874388679360948</v>
      </c>
      <c r="FM94" s="456">
        <f>INPUT!GT706</f>
        <v>0.61010124049449466</v>
      </c>
      <c r="FN94" s="438">
        <f>INPUT!GU706</f>
        <v>-4.7857726288002169</v>
      </c>
      <c r="FO94" s="456">
        <f>INPUT!GV706</f>
        <v>0.58155174442648916</v>
      </c>
      <c r="FP94" s="438">
        <f>INPUT!GW706</f>
        <v>-4.6794686148918174</v>
      </c>
      <c r="FQ94" s="456">
        <f>INPUT!GX706</f>
        <v>0.55349158756863759</v>
      </c>
      <c r="FR94" s="438">
        <f>INPUT!GY706</f>
        <v>-4.8250490393634209</v>
      </c>
      <c r="FS94" s="806">
        <f>INPUT!GZ706</f>
        <v>-2.7925476631372681</v>
      </c>
    </row>
    <row r="95" spans="1:175" s="529" customFormat="1" ht="12.75" customHeight="1" x14ac:dyDescent="0.2">
      <c r="A95" s="810" t="str">
        <f>INPUT!B707</f>
        <v>BVPS ex-AOCI</v>
      </c>
      <c r="B95" s="457">
        <f>INPUT!AA707</f>
        <v>33.6579185520362</v>
      </c>
      <c r="C95" s="439">
        <f>INPUT!AB707</f>
        <v>2.0433965951100106</v>
      </c>
      <c r="D95" s="457">
        <f>INPUT!AC707</f>
        <v>33.893870082342175</v>
      </c>
      <c r="E95" s="439">
        <f>INPUT!AD707</f>
        <v>2.342962610829801</v>
      </c>
      <c r="F95" s="457">
        <f>INPUT!AE707</f>
        <v>34.168967421314193</v>
      </c>
      <c r="G95" s="439">
        <f>INPUT!AF707</f>
        <v>1.3490857413908799</v>
      </c>
      <c r="H95" s="457">
        <f>INPUT!AG707</f>
        <v>34.325073964497044</v>
      </c>
      <c r="I95" s="439">
        <f>INPUT!AH707</f>
        <v>3.3752294682881683</v>
      </c>
      <c r="J95" s="457">
        <f>INPUT!AI707</f>
        <v>34.64152352501867</v>
      </c>
      <c r="K95" s="439">
        <f>INPUT!AJ707</f>
        <v>2.922358289808642</v>
      </c>
      <c r="L95" s="457">
        <f>INPUT!AK707</f>
        <v>35.473803669377716</v>
      </c>
      <c r="M95" s="439">
        <f>INPUT!AL707</f>
        <v>4.6614139465255278</v>
      </c>
      <c r="N95" s="457">
        <f>INPUT!AM707</f>
        <v>36.388888888888886</v>
      </c>
      <c r="O95" s="439">
        <f>INPUT!AN707</f>
        <v>6.4968936292465429</v>
      </c>
      <c r="P95" s="457">
        <f>INPUT!AO707</f>
        <v>36.485418626528691</v>
      </c>
      <c r="Q95" s="439">
        <f>INPUT!AP707</f>
        <v>6.2937800637112247</v>
      </c>
      <c r="R95" s="457">
        <f>INPUT!AQ707</f>
        <v>37.810066476733141</v>
      </c>
      <c r="S95" s="439">
        <f>INPUT!AR707</f>
        <v>9.1466616629205078</v>
      </c>
      <c r="T95" s="457">
        <f>INPUT!AS707</f>
        <v>38.836363636363636</v>
      </c>
      <c r="U95" s="439">
        <f>INPUT!AT707</f>
        <v>9.478994692324477</v>
      </c>
      <c r="V95" s="457">
        <f>INPUT!AU707</f>
        <v>41.049454828660437</v>
      </c>
      <c r="W95" s="439">
        <f>INPUT!AV707</f>
        <v>12.807662124563038</v>
      </c>
      <c r="X95" s="457">
        <f>INPUT!AW707</f>
        <v>40.516663380003941</v>
      </c>
      <c r="Y95" s="439">
        <f>INPUT!AX707</f>
        <v>11.048920103507086</v>
      </c>
      <c r="Z95" s="457">
        <f>INPUT!AY707</f>
        <v>41.409154507295625</v>
      </c>
      <c r="AA95" s="439">
        <f>INPUT!AZ707</f>
        <v>9.5188619485163457</v>
      </c>
      <c r="AB95" s="457">
        <f>INPUT!BA707</f>
        <v>41.776155717761561</v>
      </c>
      <c r="AC95" s="439">
        <f>INPUT!BB707</f>
        <v>7.5696893481688221</v>
      </c>
      <c r="AD95" s="457">
        <f>INPUT!BC707</f>
        <v>43.624409287035135</v>
      </c>
      <c r="AE95" s="439">
        <f>INPUT!BD707</f>
        <v>6.2728103676955129</v>
      </c>
      <c r="AF95" s="457">
        <f>INPUT!BE707</f>
        <v>44.144969797958758</v>
      </c>
      <c r="AG95" s="439">
        <f>INPUT!BF707</f>
        <v>8.9550967806136867</v>
      </c>
      <c r="AH95" s="456">
        <f>INPUT!BG707</f>
        <v>45.61496196111581</v>
      </c>
      <c r="AI95" s="438">
        <f>INPUT!BH707</f>
        <v>10.156709316726548</v>
      </c>
      <c r="AJ95" s="456">
        <f>INPUT!BI707</f>
        <v>46.516829995739243</v>
      </c>
      <c r="AK95" s="438">
        <f>INPUT!BJ707</f>
        <v>11.347799232666446</v>
      </c>
      <c r="AL95" s="456">
        <f>INPUT!BK707</f>
        <v>48.378787878787875</v>
      </c>
      <c r="AM95" s="438">
        <f>INPUT!BL707</f>
        <v>10.898436607978795</v>
      </c>
      <c r="AN95" s="456">
        <f>INPUT!BM707</f>
        <v>46.707692307692305</v>
      </c>
      <c r="AO95" s="438">
        <f>INPUT!BN707</f>
        <v>5.8052424125841071</v>
      </c>
      <c r="AP95" s="457">
        <f>INPUT!BO707</f>
        <v>50.586377988272446</v>
      </c>
      <c r="AQ95" s="438">
        <f>INPUT!BP707</f>
        <v>10.898652138292888</v>
      </c>
      <c r="AR95" s="457">
        <f>INPUT!BQ707</f>
        <v>53.293107449524257</v>
      </c>
      <c r="AS95" s="438">
        <f>INPUT!BR707</f>
        <v>14.567367239783309</v>
      </c>
      <c r="AT95" s="457">
        <f>INPUT!BS707</f>
        <v>55.839569691300277</v>
      </c>
      <c r="AU95" s="438">
        <f>INPUT!BT707</f>
        <v>15.421597232252381</v>
      </c>
      <c r="AV95" s="457">
        <f>INPUT!BU707</f>
        <v>46.037246581801035</v>
      </c>
      <c r="AW95" s="438">
        <f>INPUT!BV707</f>
        <v>-1.4354075159068742</v>
      </c>
      <c r="AX95" s="457">
        <f>INPUT!BW707</f>
        <v>47.71987738740863</v>
      </c>
      <c r="AY95" s="438">
        <f>INPUT!BX707</f>
        <v>-5.6665464396924392</v>
      </c>
      <c r="AZ95" s="457">
        <f>INPUT!BY707</f>
        <v>47.759845061329891</v>
      </c>
      <c r="BA95" s="438">
        <f>INPUT!BZ707</f>
        <v>-10.38269797540913</v>
      </c>
      <c r="BB95" s="457">
        <f>INPUT!CA707</f>
        <v>49.920855614973263</v>
      </c>
      <c r="BC95" s="438">
        <f>INPUT!CB707</f>
        <v>-10.599498006606495</v>
      </c>
      <c r="BD95" s="457">
        <f>INPUT!CC707</f>
        <v>52.74744027303754</v>
      </c>
      <c r="BE95" s="438">
        <f>INPUT!CD707</f>
        <v>14.575575625083331</v>
      </c>
      <c r="BF95" s="457">
        <f>INPUT!CE707</f>
        <v>48.748937977909939</v>
      </c>
      <c r="BG95" s="438">
        <f>INPUT!CF707</f>
        <v>2.1564610951260192</v>
      </c>
      <c r="BH95" s="457">
        <f>INPUT!CG707</f>
        <v>50.64968152866242</v>
      </c>
      <c r="BI95" s="438">
        <f>INPUT!CH707</f>
        <v>6.0507660014843054</v>
      </c>
      <c r="BJ95" s="457">
        <f>INPUT!CI707</f>
        <v>52.947033898305087</v>
      </c>
      <c r="BK95" s="438">
        <f>INPUT!CJ707</f>
        <v>6.0619519558557897</v>
      </c>
      <c r="BL95" s="457">
        <f>INPUT!CK707</f>
        <v>52.005287777099859</v>
      </c>
      <c r="BM95" s="438">
        <f>INPUT!CL707</f>
        <v>-1.406992438108972</v>
      </c>
      <c r="BN95" s="457">
        <f>INPUT!CM707</f>
        <v>53.16697098803003</v>
      </c>
      <c r="BO95" s="438">
        <f>INPUT!CN707</f>
        <v>9.0628292499870895</v>
      </c>
      <c r="BP95" s="457">
        <f>INPUT!CO707</f>
        <v>54.783313082219522</v>
      </c>
      <c r="BQ95" s="438">
        <f>INPUT!CP707</f>
        <v>8.1612192392915688</v>
      </c>
      <c r="BR95" s="457">
        <f>INPUT!CQ707</f>
        <v>58.352842809364553</v>
      </c>
      <c r="BS95" s="438">
        <f>INPUT!CR707</f>
        <v>10.209842767476559</v>
      </c>
      <c r="BT95" s="457">
        <f>INPUT!CS707</f>
        <v>58.387707850978735</v>
      </c>
      <c r="BU95" s="438">
        <f>INPUT!CT707</f>
        <v>12.272636777311192</v>
      </c>
      <c r="BV95" s="457">
        <f>INPUT!CU707</f>
        <v>56.279315444749628</v>
      </c>
      <c r="BW95" s="438">
        <f>INPUT!CV707</f>
        <v>5.8539059097805364</v>
      </c>
      <c r="BX95" s="457">
        <f>INPUT!CW707</f>
        <v>61.257740764467222</v>
      </c>
      <c r="BY95" s="438">
        <f>INPUT!CX707</f>
        <v>11.818247780178595</v>
      </c>
      <c r="BZ95" s="457">
        <f>INPUT!CY707</f>
        <v>59.905781584582442</v>
      </c>
      <c r="CA95" s="438">
        <f>INPUT!CZ707</f>
        <v>2.6612906937392182</v>
      </c>
      <c r="CB95" s="457">
        <f>INPUT!DA707</f>
        <v>57.701836821870998</v>
      </c>
      <c r="CC95" s="438">
        <f>INPUT!DB707</f>
        <v>-1.1746839435078869</v>
      </c>
      <c r="CD95" s="457">
        <f>INPUT!DC707</f>
        <v>55.759318423855163</v>
      </c>
      <c r="CE95" s="438">
        <f>INPUT!DD707</f>
        <v>-0.92395761530708853</v>
      </c>
      <c r="CF95" s="457">
        <f>INPUT!DE707</f>
        <v>54.013213981244675</v>
      </c>
      <c r="CG95" s="438">
        <f>INPUT!DF707</f>
        <v>-11.826304223457029</v>
      </c>
      <c r="CH95" s="457">
        <f>INPUT!DG707</f>
        <v>55.568836712913551</v>
      </c>
      <c r="CI95" s="438">
        <f>INPUT!DH707</f>
        <v>-7.2396098622725731</v>
      </c>
      <c r="CJ95" s="457">
        <f>INPUT!DI707</f>
        <v>53.976957542137832</v>
      </c>
      <c r="CK95" s="438">
        <f>INPUT!DJ707</f>
        <v>-6.455391171050735</v>
      </c>
      <c r="CL95" s="457">
        <f>INPUT!DK707</f>
        <v>56.021021021021021</v>
      </c>
      <c r="CM95" s="438">
        <f>INPUT!DL707</f>
        <v>0.46934324981616271</v>
      </c>
      <c r="CN95" s="457">
        <f>INPUT!DM707</f>
        <v>57.609210243167638</v>
      </c>
      <c r="CO95" s="438">
        <f>INPUT!DN707</f>
        <v>6.6576231941532455</v>
      </c>
      <c r="CP95" s="457">
        <f>INPUT!DO707</f>
        <v>57.995252481657317</v>
      </c>
      <c r="CQ95" s="438">
        <f>INPUT!DP707</f>
        <v>4.3665045235325124</v>
      </c>
      <c r="CR95" s="457">
        <f>INPUT!DQ707</f>
        <v>54.385698808234018</v>
      </c>
      <c r="CS95" s="438">
        <f>INPUT!DR707</f>
        <v>0.75725139894574056</v>
      </c>
      <c r="CT95" s="457">
        <f>INPUT!DS707</f>
        <v>59.52288985823337</v>
      </c>
      <c r="CU95" s="438">
        <f>INPUT!DT707</f>
        <v>6.2509907413117674</v>
      </c>
      <c r="CV95" s="457">
        <f>INPUT!DU707</f>
        <v>61.88155594405594</v>
      </c>
      <c r="CW95" s="438">
        <f>INPUT!DV707</f>
        <v>7.416081010058619</v>
      </c>
      <c r="CX95" s="457">
        <f>INPUT!DW707</f>
        <v>64.315234117388442</v>
      </c>
      <c r="CY95" s="438">
        <f>INPUT!DX707</f>
        <v>10.897412055805788</v>
      </c>
      <c r="CZ95" s="457">
        <f>INPUT!DY707</f>
        <v>65.324360105913499</v>
      </c>
      <c r="DA95" s="438">
        <f>INPUT!DZ707</f>
        <v>20.113120797159567</v>
      </c>
      <c r="DB95" s="457">
        <f>INPUT!EA707</f>
        <v>67.357142857142861</v>
      </c>
      <c r="DC95" s="438">
        <f>INPUT!EB707</f>
        <v>13.16174839220416</v>
      </c>
      <c r="DD95" s="457">
        <f>INPUT!EC707</f>
        <v>68.653153153153156</v>
      </c>
      <c r="DE95" s="438">
        <f>INPUT!ED707</f>
        <v>10.942836045071473</v>
      </c>
      <c r="DF95" s="457">
        <f>INPUT!EE707</f>
        <v>71.969627768897013</v>
      </c>
      <c r="DG95" s="438">
        <f>INPUT!EF707</f>
        <v>11.901369491305488</v>
      </c>
      <c r="DH95" s="457">
        <f>INPUT!EG707</f>
        <v>71.643741403026141</v>
      </c>
      <c r="DI95" s="438">
        <f>INPUT!EH707</f>
        <v>9.6738510516853466</v>
      </c>
      <c r="DJ95" s="457">
        <f>INPUT!EI707</f>
        <v>73.749283174675995</v>
      </c>
      <c r="DK95" s="438">
        <f>INPUT!EJ707</f>
        <v>9.4899219984585272</v>
      </c>
      <c r="DL95" s="457">
        <f>INPUT!EK707</f>
        <v>73.963855977133377</v>
      </c>
      <c r="DM95" s="438">
        <f>INPUT!EL707</f>
        <v>7.7355555864025263</v>
      </c>
      <c r="DN95" s="457">
        <f>INPUT!EM707</f>
        <v>78.257747718534304</v>
      </c>
      <c r="DO95" s="438">
        <f>INPUT!EN707</f>
        <v>8.7371855942192553</v>
      </c>
      <c r="DP95" s="457">
        <f>INPUT!EO707</f>
        <v>86.056919899013081</v>
      </c>
      <c r="DQ95" s="438">
        <f>INPUT!EP707</f>
        <v>20.11784730072479</v>
      </c>
      <c r="DR95" s="457">
        <f>INPUT!EQ707</f>
        <v>90.095744882758709</v>
      </c>
      <c r="DS95" s="438">
        <f>INPUT!ER707</f>
        <v>22.164909276970107</v>
      </c>
      <c r="DT95" s="457">
        <f>INPUT!ES707</f>
        <v>91.300352169255916</v>
      </c>
      <c r="DU95" s="438">
        <f>INPUT!ET707</f>
        <v>23.439146003261754</v>
      </c>
      <c r="DV95" s="457">
        <f>INPUT!EU707</f>
        <v>92.471801432197481</v>
      </c>
      <c r="DW95" s="438">
        <f>INPUT!EV707</f>
        <v>18.163126499354604</v>
      </c>
      <c r="DX95" s="457">
        <f>INPUT!EW707</f>
        <v>93.332509674209746</v>
      </c>
      <c r="DY95" s="438">
        <f>INPUT!EX707</f>
        <v>8.4543924924741702</v>
      </c>
      <c r="DZ95" s="457"/>
      <c r="EA95" s="438"/>
      <c r="EB95" s="455">
        <f>INPUT!FI707</f>
        <v>44.087888855330732</v>
      </c>
      <c r="EC95" s="456">
        <f>INPUT!FJ707</f>
        <v>33.204350927246793</v>
      </c>
      <c r="ED95" s="455">
        <f>INPUT!FK707</f>
        <v>1.7549883260174965</v>
      </c>
      <c r="EE95" s="456">
        <f>INPUT!FL707</f>
        <v>34.325073964497044</v>
      </c>
      <c r="EF95" s="455">
        <f>INPUT!FM707</f>
        <v>3.3752294682881683</v>
      </c>
      <c r="EG95" s="456">
        <f>INPUT!FN707</f>
        <v>36.485418626528691</v>
      </c>
      <c r="EH95" s="455">
        <f>INPUT!FO707</f>
        <v>6.2937800637112247</v>
      </c>
      <c r="EI95" s="456">
        <f>INPUT!FP707</f>
        <v>40.516663380003941</v>
      </c>
      <c r="EJ95" s="438">
        <f>INPUT!FQ707</f>
        <v>11.048920103507086</v>
      </c>
      <c r="EK95" s="457">
        <f>INPUT!FR707</f>
        <v>44.144969797958758</v>
      </c>
      <c r="EL95" s="438">
        <f>INPUT!FS707</f>
        <v>8.9550967806136867</v>
      </c>
      <c r="EM95" s="457">
        <f>INPUT!FT707</f>
        <v>46.707692307692305</v>
      </c>
      <c r="EN95" s="438">
        <f>INPUT!FU707</f>
        <v>5.8052424125841071</v>
      </c>
      <c r="EO95" s="457">
        <f>INPUT!FV707</f>
        <v>46.037246581801035</v>
      </c>
      <c r="EP95" s="438">
        <f>INPUT!FW707</f>
        <v>-1.4354075159068742</v>
      </c>
      <c r="EQ95" s="457">
        <f>INPUT!FX707</f>
        <v>52.74744027303754</v>
      </c>
      <c r="ER95" s="438">
        <f>INPUT!FY707</f>
        <v>14.575575625083331</v>
      </c>
      <c r="ES95" s="457">
        <f>INPUT!FZ707</f>
        <v>52.005287777099859</v>
      </c>
      <c r="ET95" s="438">
        <f>INPUT!GA707</f>
        <v>-1.406992438108972</v>
      </c>
      <c r="EU95" s="457">
        <f>INPUT!GB707</f>
        <v>58.387707850978735</v>
      </c>
      <c r="EV95" s="438">
        <f>INPUT!GC707</f>
        <v>12.272636777311192</v>
      </c>
      <c r="EW95" s="457">
        <f>INPUT!GD707</f>
        <v>57.701836821870998</v>
      </c>
      <c r="EX95" s="438">
        <f>INPUT!GE707</f>
        <v>-1.1746839435078869</v>
      </c>
      <c r="EY95" s="457">
        <f>INPUT!GF707</f>
        <v>53.976957542137832</v>
      </c>
      <c r="EZ95" s="438">
        <f>INPUT!GG707</f>
        <v>-6.455391171050735</v>
      </c>
      <c r="FA95" s="457">
        <f>INPUT!GH707</f>
        <v>54.385698808234018</v>
      </c>
      <c r="FB95" s="438">
        <f>INPUT!GI707</f>
        <v>0.75725139894574056</v>
      </c>
      <c r="FC95" s="457">
        <f>INPUT!GJ707</f>
        <v>65.324360105913499</v>
      </c>
      <c r="FD95" s="438">
        <f>INPUT!GK707</f>
        <v>20.113120797159567</v>
      </c>
      <c r="FE95" s="457">
        <f>INPUT!GL707</f>
        <v>71.623108665749655</v>
      </c>
      <c r="FF95" s="438">
        <f>INPUT!GM707</f>
        <v>9.6422659933043349</v>
      </c>
      <c r="FG95" s="457">
        <f>INPUT!GN707</f>
        <v>86.056919899013081</v>
      </c>
      <c r="FH95" s="438">
        <f>INPUT!GO707</f>
        <v>20.152450099063785</v>
      </c>
      <c r="FI95" s="457">
        <f>INPUT!GP707</f>
        <v>93.306114698921377</v>
      </c>
      <c r="FJ95" s="438">
        <f>INPUT!GQ707</f>
        <v>8.4237209609815835</v>
      </c>
      <c r="FK95" s="457">
        <f>INPUT!GR707</f>
        <v>99.682366613864474</v>
      </c>
      <c r="FL95" s="438">
        <f>INPUT!GS707</f>
        <v>6.833691377588579</v>
      </c>
      <c r="FM95" s="457">
        <f>INPUT!GT707</f>
        <v>106.06529323151716</v>
      </c>
      <c r="FN95" s="438">
        <f>INPUT!GU707</f>
        <v>6.4032655267686209</v>
      </c>
      <c r="FO95" s="457">
        <f>INPUT!GV707</f>
        <v>112.49258693630851</v>
      </c>
      <c r="FP95" s="438">
        <f>INPUT!GW707</f>
        <v>6.0597519782102438</v>
      </c>
      <c r="FQ95" s="457">
        <f>INPUT!GX707</f>
        <v>118.90891132226216</v>
      </c>
      <c r="FR95" s="438">
        <f>INPUT!GY707</f>
        <v>5.7037752981771632</v>
      </c>
      <c r="FS95" s="806">
        <f>INPUT!GZ707</f>
        <v>6.6806666601279208</v>
      </c>
    </row>
    <row r="96" spans="1:175" s="529" customFormat="1" ht="12.75" hidden="1" customHeight="1" outlineLevel="1" x14ac:dyDescent="0.2">
      <c r="A96" s="810" t="str">
        <f>INPUT!B708</f>
        <v>Pro Forma Book Value</v>
      </c>
      <c r="B96" s="457">
        <f>INPUT!AA708</f>
        <v>33.6579185520362</v>
      </c>
      <c r="C96" s="439">
        <f>INPUT!AB708</f>
        <v>2.0433965951100106</v>
      </c>
      <c r="D96" s="457">
        <f>INPUT!AC708</f>
        <v>33.893870082342175</v>
      </c>
      <c r="E96" s="439">
        <f>INPUT!AD708</f>
        <v>2.342962610829801</v>
      </c>
      <c r="F96" s="457">
        <f>INPUT!AE708</f>
        <v>34.168967421314193</v>
      </c>
      <c r="G96" s="439">
        <f>INPUT!AF708</f>
        <v>1.3490857413908799</v>
      </c>
      <c r="H96" s="457">
        <f>INPUT!AG708</f>
        <v>34.325073964497044</v>
      </c>
      <c r="I96" s="439">
        <f>INPUT!AH708</f>
        <v>3.3752294682881683</v>
      </c>
      <c r="J96" s="457">
        <f>INPUT!AI708</f>
        <v>34.64152352501867</v>
      </c>
      <c r="K96" s="439">
        <f>INPUT!AJ708</f>
        <v>2.922358289808642</v>
      </c>
      <c r="L96" s="457">
        <f>INPUT!AK708</f>
        <v>35.473803669377716</v>
      </c>
      <c r="M96" s="439">
        <f>INPUT!AL708</f>
        <v>4.6614139465255278</v>
      </c>
      <c r="N96" s="457">
        <f>INPUT!AM708</f>
        <v>36.388888888888886</v>
      </c>
      <c r="O96" s="439">
        <f>INPUT!AN708</f>
        <v>6.4968936292465429</v>
      </c>
      <c r="P96" s="457">
        <f>INPUT!AO708</f>
        <v>36.485418626528691</v>
      </c>
      <c r="Q96" s="439">
        <f>INPUT!AP708</f>
        <v>6.2937800637112247</v>
      </c>
      <c r="R96" s="457">
        <f>INPUT!AQ708</f>
        <v>37.810066476733141</v>
      </c>
      <c r="S96" s="439">
        <f>INPUT!AR708</f>
        <v>9.1466616629205078</v>
      </c>
      <c r="T96" s="457">
        <f>INPUT!AS708</f>
        <v>38.836363636363636</v>
      </c>
      <c r="U96" s="439">
        <f>INPUT!AT708</f>
        <v>9.478994692324477</v>
      </c>
      <c r="V96" s="457">
        <f>INPUT!AU708</f>
        <v>41.049454828660437</v>
      </c>
      <c r="W96" s="439">
        <f>INPUT!AV708</f>
        <v>12.807662124563038</v>
      </c>
      <c r="X96" s="457">
        <f>INPUT!AW708</f>
        <v>40.516663380003941</v>
      </c>
      <c r="Y96" s="439">
        <f>INPUT!AX708</f>
        <v>11.048920103507086</v>
      </c>
      <c r="Z96" s="457">
        <f>INPUT!AY708</f>
        <v>41.409154507295625</v>
      </c>
      <c r="AA96" s="439">
        <f>INPUT!AZ708</f>
        <v>9.5188619485163457</v>
      </c>
      <c r="AB96" s="457">
        <f>INPUT!BA708</f>
        <v>41.776155717761561</v>
      </c>
      <c r="AC96" s="439">
        <f>INPUT!BB708</f>
        <v>7.5696893481688221</v>
      </c>
      <c r="AD96" s="457">
        <f>INPUT!BC708</f>
        <v>43.624409287035135</v>
      </c>
      <c r="AE96" s="439">
        <f>INPUT!BD708</f>
        <v>6.2728103676955129</v>
      </c>
      <c r="AF96" s="457">
        <f>INPUT!BE708</f>
        <v>44.144969797958758</v>
      </c>
      <c r="AG96" s="439">
        <f>INPUT!BF708</f>
        <v>8.9550967806136867</v>
      </c>
      <c r="AH96" s="456">
        <f>INPUT!BG708</f>
        <v>45.61496196111581</v>
      </c>
      <c r="AI96" s="438">
        <f>INPUT!BH708</f>
        <v>10.156709316726548</v>
      </c>
      <c r="AJ96" s="456">
        <f>INPUT!BI708</f>
        <v>46.516829995739243</v>
      </c>
      <c r="AK96" s="438">
        <f>INPUT!BJ708</f>
        <v>11.347799232666446</v>
      </c>
      <c r="AL96" s="456">
        <f>INPUT!BK708</f>
        <v>48.378787878787875</v>
      </c>
      <c r="AM96" s="438">
        <f>INPUT!BL708</f>
        <v>10.898436607978795</v>
      </c>
      <c r="AN96" s="456">
        <f>INPUT!BM708</f>
        <v>46.707692307692305</v>
      </c>
      <c r="AO96" s="438">
        <f>INPUT!BN708</f>
        <v>5.8052424125841071</v>
      </c>
      <c r="AP96" s="457">
        <f>INPUT!BO708</f>
        <v>50.586377988272446</v>
      </c>
      <c r="AQ96" s="438">
        <f>INPUT!BP708</f>
        <v>10.898652138292888</v>
      </c>
      <c r="AR96" s="457">
        <f>INPUT!BQ708</f>
        <v>53.293107449524257</v>
      </c>
      <c r="AS96" s="438">
        <f>INPUT!BR708</f>
        <v>14.567367239783309</v>
      </c>
      <c r="AT96" s="457">
        <f>INPUT!BS708</f>
        <v>55.839569691300277</v>
      </c>
      <c r="AU96" s="438">
        <f>INPUT!BT708</f>
        <v>15.421597232252381</v>
      </c>
      <c r="AV96" s="457">
        <f>INPUT!BU708</f>
        <v>46.037246581801035</v>
      </c>
      <c r="AW96" s="438">
        <f>INPUT!BV708</f>
        <v>-1.4354075159068742</v>
      </c>
      <c r="AX96" s="457">
        <f>INPUT!BW708</f>
        <v>47.71987738740863</v>
      </c>
      <c r="AY96" s="438">
        <f>INPUT!BX708</f>
        <v>-5.6665464396924392</v>
      </c>
      <c r="AZ96" s="457">
        <f>INPUT!BY708</f>
        <v>47.759845061329891</v>
      </c>
      <c r="BA96" s="438">
        <f>INPUT!BZ708</f>
        <v>-10.38269797540913</v>
      </c>
      <c r="BB96" s="457">
        <f>INPUT!CA708</f>
        <v>49.920855614973263</v>
      </c>
      <c r="BC96" s="438">
        <f>INPUT!CB708</f>
        <v>-10.599498006606495</v>
      </c>
      <c r="BD96" s="457">
        <f>INPUT!CC708</f>
        <v>52.74744027303754</v>
      </c>
      <c r="BE96" s="438">
        <f>INPUT!CD708</f>
        <v>14.575575625083331</v>
      </c>
      <c r="BF96" s="457">
        <f>INPUT!CE708</f>
        <v>48.748937977909939</v>
      </c>
      <c r="BG96" s="438">
        <f>INPUT!CF708</f>
        <v>2.1564610951260192</v>
      </c>
      <c r="BH96" s="457">
        <f>INPUT!CG708</f>
        <v>50.64968152866242</v>
      </c>
      <c r="BI96" s="438">
        <f>INPUT!CH708</f>
        <v>6.0507660014843054</v>
      </c>
      <c r="BJ96" s="457">
        <f>INPUT!CI708</f>
        <v>52.947033898305087</v>
      </c>
      <c r="BK96" s="438">
        <f>INPUT!CJ708</f>
        <v>6.0619519558557897</v>
      </c>
      <c r="BL96" s="457">
        <f>INPUT!CK708</f>
        <v>52.005287777099859</v>
      </c>
      <c r="BM96" s="438">
        <f>INPUT!CL708</f>
        <v>-1.406992438108972</v>
      </c>
      <c r="BN96" s="457">
        <f>INPUT!CM708</f>
        <v>53.16697098803003</v>
      </c>
      <c r="BO96" s="438">
        <f>INPUT!CN708</f>
        <v>9.0628292499870895</v>
      </c>
      <c r="BP96" s="457">
        <f>INPUT!CO708</f>
        <v>54.783313082219522</v>
      </c>
      <c r="BQ96" s="438">
        <f>INPUT!CP708</f>
        <v>8.1612192392915688</v>
      </c>
      <c r="BR96" s="457">
        <f>INPUT!CQ708</f>
        <v>58.352842809364553</v>
      </c>
      <c r="BS96" s="438">
        <f>INPUT!CR708</f>
        <v>10.209842767476559</v>
      </c>
      <c r="BT96" s="457">
        <f>INPUT!CS708</f>
        <v>58.387707850978735</v>
      </c>
      <c r="BU96" s="438">
        <f>INPUT!CT708</f>
        <v>12.272636777311192</v>
      </c>
      <c r="BV96" s="457">
        <f>INPUT!CU708</f>
        <v>56.279315444749628</v>
      </c>
      <c r="BW96" s="438">
        <f>INPUT!CV708</f>
        <v>5.8539059097805364</v>
      </c>
      <c r="BX96" s="457">
        <f>INPUT!CW708</f>
        <v>61.257740764467222</v>
      </c>
      <c r="BY96" s="438">
        <f>INPUT!CX708</f>
        <v>11.818247780178595</v>
      </c>
      <c r="BZ96" s="457">
        <f>INPUT!CY708</f>
        <v>59.905781584582442</v>
      </c>
      <c r="CA96" s="438">
        <f>INPUT!CZ708</f>
        <v>2.6612906937392182</v>
      </c>
      <c r="CB96" s="457">
        <f>INPUT!DA708</f>
        <v>57.701836821870998</v>
      </c>
      <c r="CC96" s="438">
        <f>INPUT!DB708</f>
        <v>-1.1746839435078869</v>
      </c>
      <c r="CD96" s="457">
        <f>INPUT!DC708</f>
        <v>55.759318423855163</v>
      </c>
      <c r="CE96" s="438">
        <f>INPUT!DD708</f>
        <v>-0.92395761530708853</v>
      </c>
      <c r="CF96" s="457">
        <f>INPUT!DE708</f>
        <v>54.013213981244675</v>
      </c>
      <c r="CG96" s="438">
        <f>INPUT!DF708</f>
        <v>-11.826304223457029</v>
      </c>
      <c r="CH96" s="457">
        <f>INPUT!DG708</f>
        <v>55.568836712913551</v>
      </c>
      <c r="CI96" s="438">
        <f>INPUT!DH708</f>
        <v>-7.2396098622725731</v>
      </c>
      <c r="CJ96" s="457">
        <f>INPUT!DI708</f>
        <v>53.976957542137832</v>
      </c>
      <c r="CK96" s="438">
        <f>INPUT!DJ708</f>
        <v>-6.455391171050735</v>
      </c>
      <c r="CL96" s="457">
        <f>INPUT!DK708</f>
        <v>56.021021021021021</v>
      </c>
      <c r="CM96" s="438">
        <f>INPUT!DL708</f>
        <v>0.46934324981616271</v>
      </c>
      <c r="CN96" s="457">
        <f>INPUT!DM708</f>
        <v>57.609210243167638</v>
      </c>
      <c r="CO96" s="438">
        <f>INPUT!DN708</f>
        <v>6.6576231941532455</v>
      </c>
      <c r="CP96" s="457">
        <f>INPUT!DO708</f>
        <v>57.995252481657317</v>
      </c>
      <c r="CQ96" s="438">
        <f>INPUT!DP708</f>
        <v>4.3665045235325124</v>
      </c>
      <c r="CR96" s="457">
        <f>INPUT!DQ708</f>
        <v>54.385698808234018</v>
      </c>
      <c r="CS96" s="438">
        <f>INPUT!DR708</f>
        <v>0.75725139894574056</v>
      </c>
      <c r="CT96" s="457">
        <f>INPUT!DS708</f>
        <v>59.552889858233371</v>
      </c>
      <c r="CU96" s="438">
        <f>INPUT!DT708</f>
        <v>6.3045420680338395</v>
      </c>
      <c r="CV96" s="457">
        <f>INPUT!DU708</f>
        <v>61.88155594405594</v>
      </c>
      <c r="CW96" s="438">
        <f>INPUT!DV708</f>
        <v>7.416081010058619</v>
      </c>
      <c r="CX96" s="457">
        <f>INPUT!DW708</f>
        <v>64.315234117388442</v>
      </c>
      <c r="CY96" s="438">
        <f>INPUT!DX708</f>
        <v>10.897412055805788</v>
      </c>
      <c r="CZ96" s="457">
        <f>INPUT!DY708</f>
        <v>65.324360105913499</v>
      </c>
      <c r="DA96" s="438">
        <f>INPUT!DZ708</f>
        <v>20.113120797159567</v>
      </c>
      <c r="DB96" s="457">
        <f>INPUT!EA708</f>
        <v>67.357142857142861</v>
      </c>
      <c r="DC96" s="438">
        <f>INPUT!EB708</f>
        <v>13.104742721113354</v>
      </c>
      <c r="DD96" s="457">
        <f>INPUT!EC708</f>
        <v>68.653153153153156</v>
      </c>
      <c r="DE96" s="438">
        <f>INPUT!ED708</f>
        <v>10.942836045071473</v>
      </c>
      <c r="DF96" s="457">
        <f>INPUT!EE708</f>
        <v>71.947933318109165</v>
      </c>
      <c r="DG96" s="438">
        <f>INPUT!EF708</f>
        <v>11.867638057243937</v>
      </c>
      <c r="DH96" s="457">
        <f>INPUT!EG708</f>
        <v>71.623108665749655</v>
      </c>
      <c r="DI96" s="438">
        <f>INPUT!EH708</f>
        <v>9.6422659933043349</v>
      </c>
      <c r="DJ96" s="457">
        <f>INPUT!EI708</f>
        <v>73.726344764307839</v>
      </c>
      <c r="DK96" s="438">
        <f>INPUT!EJ708</f>
        <v>9.4558670944124827</v>
      </c>
      <c r="DL96" s="457">
        <f>INPUT!EK708</f>
        <v>73.952330459637636</v>
      </c>
      <c r="DM96" s="438">
        <f>INPUT!EL708</f>
        <v>7.7187675483206846</v>
      </c>
      <c r="DN96" s="457">
        <f>INPUT!EM708</f>
        <v>78.229953212581648</v>
      </c>
      <c r="DO96" s="438">
        <f>INPUT!EN708</f>
        <v>8.7313416866295199</v>
      </c>
      <c r="DP96" s="457">
        <f>INPUT!EO708</f>
        <v>84.909341289878355</v>
      </c>
      <c r="DQ96" s="438">
        <f>INPUT!EP708</f>
        <v>18.550203798236154</v>
      </c>
      <c r="DR96" s="457">
        <f>INPUT!EQ708</f>
        <v>90.069953017350841</v>
      </c>
      <c r="DS96" s="438">
        <f>INPUT!ER708</f>
        <v>22.1679350919825</v>
      </c>
      <c r="DT96" s="457">
        <f>INPUT!ES708</f>
        <v>91.27435994091374</v>
      </c>
      <c r="DU96" s="438">
        <f>INPUT!ET708</f>
        <v>23.423236798102366</v>
      </c>
      <c r="DV96" s="457">
        <f>INPUT!EU708</f>
        <v>92.445608157197952</v>
      </c>
      <c r="DW96" s="438">
        <f>INPUT!EV708</f>
        <v>18.171626545636244</v>
      </c>
      <c r="DX96" s="457">
        <f>INPUT!EW708</f>
        <v>93.306114698921377</v>
      </c>
      <c r="DY96" s="438">
        <f>INPUT!EX708</f>
        <v>9.8891044041628362</v>
      </c>
      <c r="DZ96" s="457"/>
      <c r="EA96" s="438"/>
      <c r="EB96" s="455">
        <f>INPUT!FI708</f>
        <v>0.12505358874534522</v>
      </c>
      <c r="EC96" s="456">
        <f>INPUT!FJ708</f>
        <v>33.204350927246793</v>
      </c>
      <c r="ED96" s="455">
        <f>INPUT!FK708</f>
        <v>1.7549883260174965</v>
      </c>
      <c r="EE96" s="456">
        <f>INPUT!FL708</f>
        <v>34.325073964497044</v>
      </c>
      <c r="EF96" s="455">
        <f>INPUT!FM708</f>
        <v>3.3752294682881683</v>
      </c>
      <c r="EG96" s="456">
        <f>INPUT!FN708</f>
        <v>36.485418626528691</v>
      </c>
      <c r="EH96" s="455">
        <f>INPUT!FO708</f>
        <v>6.2937800637112247</v>
      </c>
      <c r="EI96" s="456">
        <f>INPUT!FP708</f>
        <v>40.516663380003941</v>
      </c>
      <c r="EJ96" s="438">
        <f>INPUT!FQ708</f>
        <v>11.048920103507086</v>
      </c>
      <c r="EK96" s="457">
        <f>INPUT!FR708</f>
        <v>44.144969797958758</v>
      </c>
      <c r="EL96" s="438">
        <f>INPUT!FS708</f>
        <v>8.9550967806136867</v>
      </c>
      <c r="EM96" s="457">
        <f>INPUT!FT708</f>
        <v>46.707692307692305</v>
      </c>
      <c r="EN96" s="438">
        <f>INPUT!FU708</f>
        <v>5.8052424125841071</v>
      </c>
      <c r="EO96" s="457">
        <f>INPUT!FV708</f>
        <v>46.037246581801035</v>
      </c>
      <c r="EP96" s="438">
        <f>INPUT!FW708</f>
        <v>-1.4354075159068742</v>
      </c>
      <c r="EQ96" s="457">
        <f>INPUT!FX708</f>
        <v>52.74744027303754</v>
      </c>
      <c r="ER96" s="438">
        <f>INPUT!FY708</f>
        <v>14.575575625083331</v>
      </c>
      <c r="ES96" s="457">
        <f>INPUT!FZ708</f>
        <v>52.005287777099859</v>
      </c>
      <c r="ET96" s="438">
        <f>INPUT!GA708</f>
        <v>-1.406992438108972</v>
      </c>
      <c r="EU96" s="457">
        <f>INPUT!GB708</f>
        <v>58.387707850978735</v>
      </c>
      <c r="EV96" s="438">
        <f>INPUT!GC708</f>
        <v>12.272636777311192</v>
      </c>
      <c r="EW96" s="457">
        <f>INPUT!GD708</f>
        <v>57.701836821870998</v>
      </c>
      <c r="EX96" s="438">
        <f>INPUT!GE708</f>
        <v>-1.1746839435078869</v>
      </c>
      <c r="EY96" s="457">
        <f>INPUT!GF708</f>
        <v>53.976957542137832</v>
      </c>
      <c r="EZ96" s="438">
        <f>INPUT!GG708</f>
        <v>-6.455391171050735</v>
      </c>
      <c r="FA96" s="457">
        <f>INPUT!GH708</f>
        <v>54.385698808234018</v>
      </c>
      <c r="FB96" s="438">
        <f>INPUT!GI708</f>
        <v>0.75725139894574056</v>
      </c>
      <c r="FC96" s="457">
        <f>INPUT!GJ708</f>
        <v>65.324360105913499</v>
      </c>
      <c r="FD96" s="438">
        <f>INPUT!GK708</f>
        <v>20.113120797159567</v>
      </c>
      <c r="FE96" s="457">
        <f>INPUT!GL708</f>
        <v>71.623108665749655</v>
      </c>
      <c r="FF96" s="438">
        <f>INPUT!GM708</f>
        <v>9.6422659933043349</v>
      </c>
      <c r="FG96" s="457">
        <f>INPUT!GN708</f>
        <v>84.909341289878355</v>
      </c>
      <c r="FH96" s="438">
        <f>INPUT!GO708</f>
        <v>18.550203798236154</v>
      </c>
      <c r="FI96" s="457">
        <f>INPUT!GP708</f>
        <v>93.306114698921377</v>
      </c>
      <c r="FJ96" s="438">
        <f>INPUT!GQ708</f>
        <v>9.8891044041628362</v>
      </c>
      <c r="FK96" s="457">
        <f>INPUT!GR708</f>
        <v>99.682366613864474</v>
      </c>
      <c r="FL96" s="438">
        <f>INPUT!GS708</f>
        <v>6.833691377588579</v>
      </c>
      <c r="FM96" s="457">
        <f>INPUT!GT708</f>
        <v>106.06529323151716</v>
      </c>
      <c r="FN96" s="438">
        <f>INPUT!GU708</f>
        <v>6.4032655267686209</v>
      </c>
      <c r="FO96" s="457">
        <f>INPUT!GV708</f>
        <v>112.49258693630851</v>
      </c>
      <c r="FP96" s="438">
        <f>INPUT!GW708</f>
        <v>6.0597519782102438</v>
      </c>
      <c r="FQ96" s="457">
        <f>INPUT!GX708</f>
        <v>118.90891132226216</v>
      </c>
      <c r="FR96" s="438">
        <f>INPUT!GY708</f>
        <v>5.7037752981771632</v>
      </c>
      <c r="FS96" s="806">
        <f>INPUT!GZ708</f>
        <v>6.9674853369695144</v>
      </c>
    </row>
    <row r="97" spans="1:176" s="529" customFormat="1" ht="12.75" customHeight="1" collapsed="1" x14ac:dyDescent="0.2">
      <c r="A97" s="810"/>
      <c r="B97" s="456"/>
      <c r="C97" s="439"/>
      <c r="D97" s="456"/>
      <c r="E97" s="439"/>
      <c r="F97" s="456"/>
      <c r="G97" s="439"/>
      <c r="H97" s="456"/>
      <c r="I97" s="439"/>
      <c r="J97" s="456"/>
      <c r="K97" s="439"/>
      <c r="L97" s="456"/>
      <c r="M97" s="439"/>
      <c r="N97" s="456"/>
      <c r="O97" s="439"/>
      <c r="P97" s="456"/>
      <c r="Q97" s="439"/>
      <c r="R97" s="456"/>
      <c r="S97" s="439"/>
      <c r="T97" s="456"/>
      <c r="U97" s="439"/>
      <c r="V97" s="456"/>
      <c r="W97" s="439"/>
      <c r="X97" s="456"/>
      <c r="Y97" s="439"/>
      <c r="Z97" s="456"/>
      <c r="AA97" s="439"/>
      <c r="AB97" s="456"/>
      <c r="AC97" s="439"/>
      <c r="AD97" s="456"/>
      <c r="AE97" s="439"/>
      <c r="AF97" s="456"/>
      <c r="AG97" s="439"/>
      <c r="AH97" s="456"/>
      <c r="AI97" s="438"/>
      <c r="AJ97" s="456"/>
      <c r="AK97" s="438"/>
      <c r="AL97" s="456"/>
      <c r="AM97" s="438"/>
      <c r="AN97" s="456"/>
      <c r="AO97" s="438"/>
      <c r="AP97" s="456"/>
      <c r="AQ97" s="438"/>
      <c r="AR97" s="456"/>
      <c r="AS97" s="438"/>
      <c r="AT97" s="456"/>
      <c r="AU97" s="438"/>
      <c r="AV97" s="456"/>
      <c r="AW97" s="438"/>
      <c r="AX97" s="456"/>
      <c r="AY97" s="438"/>
      <c r="AZ97" s="456"/>
      <c r="BA97" s="438"/>
      <c r="BB97" s="456"/>
      <c r="BC97" s="438"/>
      <c r="BD97" s="456"/>
      <c r="BE97" s="438"/>
      <c r="BF97" s="456"/>
      <c r="BG97" s="438"/>
      <c r="BH97" s="456"/>
      <c r="BI97" s="438"/>
      <c r="BJ97" s="456"/>
      <c r="BK97" s="438"/>
      <c r="BL97" s="456"/>
      <c r="BM97" s="438"/>
      <c r="BN97" s="456"/>
      <c r="BO97" s="438"/>
      <c r="BP97" s="456"/>
      <c r="BQ97" s="438"/>
      <c r="BR97" s="456"/>
      <c r="BS97" s="438"/>
      <c r="BT97" s="456"/>
      <c r="BU97" s="438"/>
      <c r="BV97" s="456"/>
      <c r="BW97" s="438"/>
      <c r="BX97" s="456"/>
      <c r="BY97" s="438"/>
      <c r="BZ97" s="456"/>
      <c r="CA97" s="438"/>
      <c r="CB97" s="456"/>
      <c r="CC97" s="438"/>
      <c r="CD97" s="456"/>
      <c r="CE97" s="438"/>
      <c r="CF97" s="456"/>
      <c r="CG97" s="438"/>
      <c r="CH97" s="456"/>
      <c r="CI97" s="438"/>
      <c r="CJ97" s="456"/>
      <c r="CK97" s="438"/>
      <c r="CL97" s="456"/>
      <c r="CM97" s="438"/>
      <c r="CN97" s="456"/>
      <c r="CO97" s="438"/>
      <c r="CP97" s="456"/>
      <c r="CQ97" s="438"/>
      <c r="CR97" s="456"/>
      <c r="CS97" s="438"/>
      <c r="CT97" s="456"/>
      <c r="CU97" s="438"/>
      <c r="CV97" s="456"/>
      <c r="CW97" s="438"/>
      <c r="CX97" s="456"/>
      <c r="CY97" s="438"/>
      <c r="CZ97" s="456"/>
      <c r="DA97" s="438"/>
      <c r="DB97" s="456"/>
      <c r="DC97" s="438"/>
      <c r="DD97" s="456"/>
      <c r="DE97" s="438"/>
      <c r="DF97" s="456"/>
      <c r="DG97" s="438"/>
      <c r="DH97" s="456"/>
      <c r="DI97" s="438"/>
      <c r="DJ97" s="456"/>
      <c r="DK97" s="438"/>
      <c r="DL97" s="456"/>
      <c r="DM97" s="438"/>
      <c r="DN97" s="456"/>
      <c r="DO97" s="438"/>
      <c r="DP97" s="456"/>
      <c r="DQ97" s="438"/>
      <c r="DR97" s="456"/>
      <c r="DS97" s="438"/>
      <c r="DT97" s="456"/>
      <c r="DU97" s="438"/>
      <c r="DV97" s="456"/>
      <c r="DW97" s="438"/>
      <c r="DX97" s="456"/>
      <c r="DY97" s="438"/>
      <c r="DZ97" s="456"/>
      <c r="EA97" s="438"/>
      <c r="EB97" s="439"/>
      <c r="EC97" s="456"/>
      <c r="ED97" s="439"/>
      <c r="EE97" s="456"/>
      <c r="EF97" s="439"/>
      <c r="EG97" s="456"/>
      <c r="EH97" s="439"/>
      <c r="EI97" s="456"/>
      <c r="EJ97" s="438"/>
      <c r="EK97" s="456"/>
      <c r="EL97" s="438"/>
      <c r="EM97" s="456"/>
      <c r="EN97" s="438"/>
      <c r="EO97" s="456"/>
      <c r="EP97" s="438"/>
      <c r="EQ97" s="456"/>
      <c r="ER97" s="438"/>
      <c r="ES97" s="456"/>
      <c r="ET97" s="438"/>
      <c r="EU97" s="456"/>
      <c r="EV97" s="438"/>
      <c r="EW97" s="456"/>
      <c r="EX97" s="438"/>
      <c r="EY97" s="456"/>
      <c r="EZ97" s="438"/>
      <c r="FA97" s="456"/>
      <c r="FB97" s="438"/>
      <c r="FC97" s="456"/>
      <c r="FD97" s="438"/>
      <c r="FE97" s="456"/>
      <c r="FF97" s="438"/>
      <c r="FG97" s="456"/>
      <c r="FH97" s="438"/>
      <c r="FI97" s="456"/>
      <c r="FJ97" s="438"/>
      <c r="FK97" s="456"/>
      <c r="FL97" s="438"/>
      <c r="FM97" s="456"/>
      <c r="FN97" s="438"/>
      <c r="FO97" s="456"/>
      <c r="FP97" s="438"/>
      <c r="FQ97" s="456"/>
      <c r="FR97" s="438"/>
      <c r="FS97" s="806"/>
    </row>
    <row r="98" spans="1:176" s="529" customFormat="1" ht="12.75" customHeight="1" x14ac:dyDescent="0.2">
      <c r="A98" s="809" t="str">
        <f>INPUT!B716</f>
        <v>Capital Structure Incl FAS 115</v>
      </c>
      <c r="B98" s="449"/>
      <c r="C98" s="439"/>
      <c r="D98" s="449"/>
      <c r="E98" s="439"/>
      <c r="F98" s="449"/>
      <c r="G98" s="439"/>
      <c r="H98" s="449"/>
      <c r="I98" s="439"/>
      <c r="J98" s="449"/>
      <c r="K98" s="439"/>
      <c r="L98" s="449"/>
      <c r="M98" s="439"/>
      <c r="N98" s="449"/>
      <c r="O98" s="439"/>
      <c r="P98" s="449"/>
      <c r="Q98" s="439"/>
      <c r="R98" s="449"/>
      <c r="S98" s="439"/>
      <c r="T98" s="449"/>
      <c r="U98" s="439"/>
      <c r="V98" s="449"/>
      <c r="W98" s="439"/>
      <c r="X98" s="449"/>
      <c r="Y98" s="439"/>
      <c r="Z98" s="449"/>
      <c r="AA98" s="439"/>
      <c r="AB98" s="449"/>
      <c r="AC98" s="439"/>
      <c r="AD98" s="449"/>
      <c r="AE98" s="439"/>
      <c r="AF98" s="449"/>
      <c r="AG98" s="439"/>
      <c r="AH98" s="449"/>
      <c r="AI98" s="438"/>
      <c r="AJ98" s="449"/>
      <c r="AK98" s="438"/>
      <c r="AL98" s="449"/>
      <c r="AM98" s="438"/>
      <c r="AN98" s="449"/>
      <c r="AO98" s="438"/>
      <c r="AP98" s="449"/>
      <c r="AQ98" s="438"/>
      <c r="AR98" s="449"/>
      <c r="AS98" s="438"/>
      <c r="AT98" s="449"/>
      <c r="AU98" s="438"/>
      <c r="AV98" s="449"/>
      <c r="AW98" s="438"/>
      <c r="AX98" s="449"/>
      <c r="AY98" s="438"/>
      <c r="AZ98" s="449"/>
      <c r="BA98" s="438"/>
      <c r="BB98" s="449"/>
      <c r="BC98" s="438"/>
      <c r="BD98" s="449"/>
      <c r="BE98" s="438"/>
      <c r="BF98" s="449"/>
      <c r="BG98" s="438"/>
      <c r="BH98" s="449"/>
      <c r="BI98" s="438"/>
      <c r="BJ98" s="449"/>
      <c r="BK98" s="438"/>
      <c r="BL98" s="449"/>
      <c r="BM98" s="438"/>
      <c r="BN98" s="449"/>
      <c r="BO98" s="438"/>
      <c r="BP98" s="449"/>
      <c r="BQ98" s="438"/>
      <c r="BR98" s="449"/>
      <c r="BS98" s="438"/>
      <c r="BT98" s="449"/>
      <c r="BU98" s="438"/>
      <c r="BV98" s="449"/>
      <c r="BW98" s="438"/>
      <c r="BX98" s="449"/>
      <c r="BY98" s="438"/>
      <c r="BZ98" s="449"/>
      <c r="CA98" s="438"/>
      <c r="CB98" s="449"/>
      <c r="CC98" s="438"/>
      <c r="CD98" s="449"/>
      <c r="CE98" s="438"/>
      <c r="CF98" s="449"/>
      <c r="CG98" s="438"/>
      <c r="CH98" s="449"/>
      <c r="CI98" s="438"/>
      <c r="CJ98" s="449"/>
      <c r="CK98" s="438"/>
      <c r="CL98" s="449"/>
      <c r="CM98" s="438"/>
      <c r="CN98" s="449"/>
      <c r="CO98" s="438"/>
      <c r="CP98" s="449"/>
      <c r="CQ98" s="438"/>
      <c r="CR98" s="449"/>
      <c r="CS98" s="438"/>
      <c r="CT98" s="449"/>
      <c r="CU98" s="438"/>
      <c r="CV98" s="449"/>
      <c r="CW98" s="438"/>
      <c r="CX98" s="449"/>
      <c r="CY98" s="438"/>
      <c r="CZ98" s="449"/>
      <c r="DA98" s="438"/>
      <c r="DB98" s="449"/>
      <c r="DC98" s="438"/>
      <c r="DD98" s="449"/>
      <c r="DE98" s="438"/>
      <c r="DF98" s="449"/>
      <c r="DG98" s="438"/>
      <c r="DH98" s="449"/>
      <c r="DI98" s="438"/>
      <c r="DJ98" s="449"/>
      <c r="DK98" s="438"/>
      <c r="DL98" s="449"/>
      <c r="DM98" s="438"/>
      <c r="DN98" s="449"/>
      <c r="DO98" s="438"/>
      <c r="DP98" s="449"/>
      <c r="DQ98" s="438"/>
      <c r="DR98" s="449"/>
      <c r="DS98" s="438"/>
      <c r="DT98" s="449"/>
      <c r="DU98" s="438"/>
      <c r="DV98" s="449"/>
      <c r="DW98" s="438"/>
      <c r="DX98" s="449"/>
      <c r="DY98" s="438"/>
      <c r="DZ98" s="449"/>
      <c r="EA98" s="438"/>
      <c r="EB98" s="439"/>
      <c r="EC98" s="449"/>
      <c r="ED98" s="439"/>
      <c r="EE98" s="449"/>
      <c r="EF98" s="439"/>
      <c r="EG98" s="449"/>
      <c r="EH98" s="439"/>
      <c r="EI98" s="449"/>
      <c r="EJ98" s="438"/>
      <c r="EK98" s="449"/>
      <c r="EL98" s="438"/>
      <c r="EM98" s="449"/>
      <c r="EN98" s="438"/>
      <c r="EO98" s="449"/>
      <c r="EP98" s="438"/>
      <c r="EQ98" s="449"/>
      <c r="ER98" s="438"/>
      <c r="ES98" s="449"/>
      <c r="ET98" s="438"/>
      <c r="EU98" s="449"/>
      <c r="EV98" s="438"/>
      <c r="EW98" s="457"/>
      <c r="EX98" s="438"/>
      <c r="EY98" s="457"/>
      <c r="EZ98" s="438"/>
      <c r="FA98" s="457"/>
      <c r="FB98" s="438"/>
      <c r="FC98" s="457"/>
      <c r="FD98" s="438"/>
      <c r="FE98" s="449"/>
      <c r="FF98" s="438"/>
      <c r="FG98" s="449"/>
      <c r="FH98" s="438"/>
      <c r="FI98" s="449"/>
      <c r="FJ98" s="438"/>
      <c r="FK98" s="449"/>
      <c r="FL98" s="438"/>
      <c r="FM98" s="449"/>
      <c r="FN98" s="438"/>
      <c r="FO98" s="449"/>
      <c r="FP98" s="438"/>
      <c r="FQ98" s="449"/>
      <c r="FR98" s="438"/>
      <c r="FS98" s="806"/>
    </row>
    <row r="99" spans="1:176" s="529" customFormat="1" ht="12.75" customHeight="1" x14ac:dyDescent="0.2">
      <c r="A99" s="805" t="str">
        <f>INPUT!B718</f>
        <v>LT Debt to LT Capital (%)</v>
      </c>
      <c r="B99" s="456">
        <f>INPUT!AA718</f>
        <v>10.611976490896387</v>
      </c>
      <c r="C99" s="439">
        <f>INPUT!AB718</f>
        <v>-25.579951134140657</v>
      </c>
      <c r="D99" s="456">
        <f>INPUT!AC718</f>
        <v>10.600692647585685</v>
      </c>
      <c r="E99" s="439">
        <f>INPUT!AD718</f>
        <v>-15.452151314577179</v>
      </c>
      <c r="F99" s="456">
        <f>INPUT!AE718</f>
        <v>17.409834747296046</v>
      </c>
      <c r="G99" s="439">
        <f>INPUT!AF718</f>
        <v>40.353708398253389</v>
      </c>
      <c r="H99" s="456">
        <f>INPUT!AG718</f>
        <v>15.950413223140497</v>
      </c>
      <c r="I99" s="439">
        <f>INPUT!AH718</f>
        <v>28.680104549439733</v>
      </c>
      <c r="J99" s="456">
        <f>INPUT!AI718</f>
        <v>15.492557894309932</v>
      </c>
      <c r="K99" s="439">
        <f>INPUT!AJ718</f>
        <v>45.991257213963991</v>
      </c>
      <c r="L99" s="456">
        <f>INPUT!AK718</f>
        <v>18.444462919853674</v>
      </c>
      <c r="M99" s="439">
        <f>INPUT!AL718</f>
        <v>73.992997750523529</v>
      </c>
      <c r="N99" s="456">
        <f>INPUT!AM718</f>
        <v>21.815402254920695</v>
      </c>
      <c r="O99" s="439">
        <f>INPUT!AN718</f>
        <v>25.305050688714246</v>
      </c>
      <c r="P99" s="456">
        <f>INPUT!AO718</f>
        <v>21.697555932954295</v>
      </c>
      <c r="Q99" s="439">
        <f>INPUT!AP718</f>
        <v>36.031309216967344</v>
      </c>
      <c r="R99" s="456">
        <f>INPUT!AQ718</f>
        <v>21.968778696051423</v>
      </c>
      <c r="S99" s="439">
        <f>INPUT!AR718</f>
        <v>41.802140394905763</v>
      </c>
      <c r="T99" s="456">
        <f>INPUT!AS718</f>
        <v>23.788276167444394</v>
      </c>
      <c r="U99" s="439">
        <f>INPUT!AT718</f>
        <v>28.972452441749454</v>
      </c>
      <c r="V99" s="456">
        <f>INPUT!AU718</f>
        <v>23.871251607662629</v>
      </c>
      <c r="W99" s="439">
        <f>INPUT!AV718</f>
        <v>9.4238434328123049</v>
      </c>
      <c r="X99" s="456">
        <f>INPUT!AW718</f>
        <v>23.141903883012706</v>
      </c>
      <c r="Y99" s="439">
        <f>INPUT!AX718</f>
        <v>6.6567310830835567</v>
      </c>
      <c r="Z99" s="456">
        <f>INPUT!AY718</f>
        <v>25.546242065022973</v>
      </c>
      <c r="AA99" s="439">
        <f>INPUT!AZ718</f>
        <v>16.284307008903269</v>
      </c>
      <c r="AB99" s="456">
        <f>INPUT!BA718</f>
        <v>26.910964786716292</v>
      </c>
      <c r="AC99" s="439">
        <f>INPUT!BB718</f>
        <v>13.127006754467871</v>
      </c>
      <c r="AD99" s="456">
        <f>INPUT!BC718</f>
        <v>25.287122675068602</v>
      </c>
      <c r="AE99" s="439">
        <f>INPUT!BD718</f>
        <v>5.9312812360097666</v>
      </c>
      <c r="AF99" s="456">
        <f>INPUT!BE718</f>
        <v>30.842075056595352</v>
      </c>
      <c r="AG99" s="439">
        <f>INPUT!BF718</f>
        <v>33.273715129527204</v>
      </c>
      <c r="AH99" s="456">
        <f>INPUT!BG718</f>
        <v>31.164012985005414</v>
      </c>
      <c r="AI99" s="438">
        <f>INPUT!BH718</f>
        <v>21.990596134192657</v>
      </c>
      <c r="AJ99" s="456">
        <f>INPUT!BI718</f>
        <v>30.209839647803594</v>
      </c>
      <c r="AK99" s="438">
        <f>INPUT!BJ718</f>
        <v>12.258478606146753</v>
      </c>
      <c r="AL99" s="456">
        <f>INPUT!BK718</f>
        <v>30.705172522154484</v>
      </c>
      <c r="AM99" s="438">
        <f>INPUT!BL718</f>
        <v>21.426122365545822</v>
      </c>
      <c r="AN99" s="456">
        <f>INPUT!BM718</f>
        <v>36.260348775761848</v>
      </c>
      <c r="AO99" s="438">
        <f>INPUT!BN718</f>
        <v>17.5677988890953</v>
      </c>
      <c r="AP99" s="456">
        <f>INPUT!BO718</f>
        <v>37.726537905215693</v>
      </c>
      <c r="AQ99" s="438">
        <f>INPUT!BP718</f>
        <v>21.058022673035865</v>
      </c>
      <c r="AR99" s="456">
        <f>INPUT!BQ718</f>
        <v>41.241517289858599</v>
      </c>
      <c r="AS99" s="438">
        <f>INPUT!BR718</f>
        <v>36.516836139039413</v>
      </c>
      <c r="AT99" s="456">
        <f>INPUT!BS718</f>
        <v>43.062456590265533</v>
      </c>
      <c r="AU99" s="438">
        <f>INPUT!BT718</f>
        <v>40.244958920829987</v>
      </c>
      <c r="AV99" s="456">
        <f>INPUT!BU718</f>
        <v>56.469298245614027</v>
      </c>
      <c r="AW99" s="438">
        <f>INPUT!BV718</f>
        <v>55.73291529771717</v>
      </c>
      <c r="AX99" s="456">
        <f>INPUT!BW718</f>
        <v>56.859384865157395</v>
      </c>
      <c r="AY99" s="438">
        <f>INPUT!BX718</f>
        <v>50.714558033422378</v>
      </c>
      <c r="AZ99" s="456">
        <f>INPUT!BY718</f>
        <v>50.725364000844067</v>
      </c>
      <c r="BA99" s="438">
        <f>INPUT!BZ718</f>
        <v>22.99587244652021</v>
      </c>
      <c r="BB99" s="456">
        <f>INPUT!CA718</f>
        <v>47.480112095461941</v>
      </c>
      <c r="BC99" s="438">
        <f>INPUT!CB718</f>
        <v>10.258716884709827</v>
      </c>
      <c r="BD99" s="456">
        <f>INPUT!CC718</f>
        <v>44.398149213876295</v>
      </c>
      <c r="BE99" s="438">
        <f>INPUT!CD718</f>
        <v>-21.376481392125854</v>
      </c>
      <c r="BF99" s="456">
        <f>INPUT!CE718</f>
        <v>46.095198368557654</v>
      </c>
      <c r="BG99" s="438">
        <f>INPUT!CF718</f>
        <v>-18.931239798191839</v>
      </c>
      <c r="BH99" s="456">
        <f>INPUT!CG718</f>
        <v>44.395949345316161</v>
      </c>
      <c r="BI99" s="438">
        <f>INPUT!CH718</f>
        <v>-12.477810224136761</v>
      </c>
      <c r="BJ99" s="456">
        <f>INPUT!CI718</f>
        <v>39.276592238609211</v>
      </c>
      <c r="BK99" s="438">
        <f>INPUT!CJ718</f>
        <v>-17.277802209815775</v>
      </c>
      <c r="BL99" s="456">
        <f>INPUT!CK718</f>
        <v>41.86142029818869</v>
      </c>
      <c r="BM99" s="438">
        <f>INPUT!CL718</f>
        <v>-5.7135915811886377</v>
      </c>
      <c r="BN99" s="456">
        <f>INPUT!CM718</f>
        <v>42.147569268243174</v>
      </c>
      <c r="BO99" s="438">
        <f>INPUT!CN718</f>
        <v>-8.5640787761686425</v>
      </c>
      <c r="BP99" s="456">
        <f>INPUT!CO718</f>
        <v>40.929258782628736</v>
      </c>
      <c r="BQ99" s="438">
        <f>INPUT!CP718</f>
        <v>-7.8085740113881883</v>
      </c>
      <c r="BR99" s="456">
        <f>INPUT!CQ718</f>
        <v>38.562518673438902</v>
      </c>
      <c r="BS99" s="438">
        <f>INPUT!CR718</f>
        <v>-1.8180639522701938</v>
      </c>
      <c r="BT99" s="456">
        <f>INPUT!CS718</f>
        <v>39.418497323241645</v>
      </c>
      <c r="BU99" s="438">
        <f>INPUT!CT718</f>
        <v>-5.8357383900152797</v>
      </c>
      <c r="BV99" s="456">
        <f>INPUT!CU718</f>
        <v>38.636821201749733</v>
      </c>
      <c r="BW99" s="438">
        <f>INPUT!CV718</f>
        <v>-8.3296572671835492</v>
      </c>
      <c r="BX99" s="456">
        <f>INPUT!CW718</f>
        <v>36.495843673533138</v>
      </c>
      <c r="BY99" s="438">
        <f>INPUT!CX718</f>
        <v>-10.831896889804511</v>
      </c>
      <c r="BZ99" s="456">
        <f>INPUT!CY718</f>
        <v>34.486038932440763</v>
      </c>
      <c r="CA99" s="438">
        <f>INPUT!CZ718</f>
        <v>-10.571093074908347</v>
      </c>
      <c r="CB99" s="456">
        <f>INPUT!DA718</f>
        <v>33.281650019831972</v>
      </c>
      <c r="CC99" s="438">
        <f>INPUT!DB718</f>
        <v>-15.568445577937624</v>
      </c>
      <c r="CD99" s="456">
        <f>INPUT!DC718</f>
        <v>31.930284924026171</v>
      </c>
      <c r="CE99" s="438">
        <f>INPUT!DD718</f>
        <v>-17.357888328090112</v>
      </c>
      <c r="CF99" s="456">
        <f>INPUT!DE718</f>
        <v>33.659757250945773</v>
      </c>
      <c r="CG99" s="438">
        <f>INPUT!DF718</f>
        <v>-7.7709846851522428</v>
      </c>
      <c r="CH99" s="456">
        <f>INPUT!DG718</f>
        <v>34.233782890122441</v>
      </c>
      <c r="CI99" s="438">
        <f>INPUT!DH718</f>
        <v>-0.73147293840413852</v>
      </c>
      <c r="CJ99" s="456">
        <f>INPUT!DI718</f>
        <v>33.498842092868074</v>
      </c>
      <c r="CK99" s="438">
        <f>INPUT!DJ718</f>
        <v>0.65258805650165641</v>
      </c>
      <c r="CL99" s="456">
        <f>INPUT!DK718</f>
        <v>30.427049630092146</v>
      </c>
      <c r="CM99" s="438">
        <f>INPUT!DL718</f>
        <v>-4.7078668339815124</v>
      </c>
      <c r="CN99" s="456">
        <f>INPUT!DM718</f>
        <v>30.006882312456984</v>
      </c>
      <c r="CO99" s="438">
        <f>INPUT!DN718</f>
        <v>-10.852350809470408</v>
      </c>
      <c r="CP99" s="456">
        <f>INPUT!DO718</f>
        <v>28.611762199019818</v>
      </c>
      <c r="CQ99" s="438">
        <f>INPUT!DP718</f>
        <v>-16.422434847902124</v>
      </c>
      <c r="CR99" s="456">
        <f>INPUT!DQ718</f>
        <v>26.725432699184665</v>
      </c>
      <c r="CS99" s="438">
        <f>INPUT!DR718</f>
        <v>-20.219831404636736</v>
      </c>
      <c r="CT99" s="456">
        <f>INPUT!DS718</f>
        <v>24.754856923308221</v>
      </c>
      <c r="CU99" s="438">
        <f>INPUT!DT718</f>
        <v>-18.641941219217543</v>
      </c>
      <c r="CV99" s="456">
        <f>INPUT!DU718</f>
        <v>25.63142790938096</v>
      </c>
      <c r="CW99" s="438">
        <f>INPUT!DV718</f>
        <v>-14.5815028616272</v>
      </c>
      <c r="CX99" s="456">
        <f>INPUT!DW718</f>
        <v>25.268958278667014</v>
      </c>
      <c r="CY99" s="438">
        <f>INPUT!DX718</f>
        <v>-11.683320646595192</v>
      </c>
      <c r="CZ99" s="456">
        <f>INPUT!DY718</f>
        <v>24.838067213320652</v>
      </c>
      <c r="DA99" s="438">
        <f>INPUT!DZ718</f>
        <v>-7.0620577302068881</v>
      </c>
      <c r="DB99" s="456">
        <f>INPUT!EA718</f>
        <v>21.88397290480194</v>
      </c>
      <c r="DC99" s="438">
        <f>INPUT!EB718</f>
        <v>-11.597255550296353</v>
      </c>
      <c r="DD99" s="456">
        <f>INPUT!EC718</f>
        <v>19.27957728955958</v>
      </c>
      <c r="DE99" s="438">
        <f>INPUT!ED718</f>
        <v>-24.781493416122316</v>
      </c>
      <c r="DF99" s="456">
        <f>INPUT!EE718</f>
        <v>18.655672956337479</v>
      </c>
      <c r="DG99" s="438">
        <f>INPUT!EF718</f>
        <v>-26.171578778190934</v>
      </c>
      <c r="DH99" s="456">
        <f>INPUT!EG718</f>
        <v>21.044295625527226</v>
      </c>
      <c r="DI99" s="438">
        <f>INPUT!EH718</f>
        <v>-15.274020942172299</v>
      </c>
      <c r="DJ99" s="456">
        <f>INPUT!EI718</f>
        <v>20.513778925549627</v>
      </c>
      <c r="DK99" s="438">
        <f>INPUT!EJ718</f>
        <v>-6.2611756339346272</v>
      </c>
      <c r="DL99" s="456">
        <f>INPUT!EK718</f>
        <v>19.595020746887968</v>
      </c>
      <c r="DM99" s="438">
        <f>INPUT!EL718</f>
        <v>1.6361533896244111</v>
      </c>
      <c r="DN99" s="456">
        <f>INPUT!EM718</f>
        <v>17.292504720466301</v>
      </c>
      <c r="DO99" s="438">
        <f>INPUT!EN718</f>
        <v>-7.3069904208848158</v>
      </c>
      <c r="DP99" s="456">
        <f>INPUT!EO718</f>
        <v>16.326467447654714</v>
      </c>
      <c r="DQ99" s="438">
        <f>INPUT!EP718</f>
        <v>-22.418560648566796</v>
      </c>
      <c r="DR99" s="456">
        <f>INPUT!EQ718</f>
        <v>16.244458895733775</v>
      </c>
      <c r="DS99" s="438">
        <f>INPUT!ER718</f>
        <v>-20.811962755913655</v>
      </c>
      <c r="DT99" s="456">
        <f>INPUT!ES718</f>
        <v>16.214405963189094</v>
      </c>
      <c r="DU99" s="438">
        <f>INPUT!ET718</f>
        <v>-17.252417475678229</v>
      </c>
      <c r="DV99" s="456">
        <f>INPUT!EU718</f>
        <v>16.189064169956897</v>
      </c>
      <c r="DW99" s="438">
        <f>INPUT!EV718</f>
        <v>-6.3810336810458921</v>
      </c>
      <c r="DX99" s="456">
        <f>INPUT!EW718</f>
        <v>16.196776960929721</v>
      </c>
      <c r="DY99" s="438">
        <f>INPUT!EX718</f>
        <v>-0.79435730442486374</v>
      </c>
      <c r="DZ99" s="456"/>
      <c r="EA99" s="438"/>
      <c r="EB99" s="439">
        <f>INPUT!FI718</f>
        <v>53.371249890816188</v>
      </c>
      <c r="EC99" s="456">
        <f>INPUT!FJ718</f>
        <v>12.395399645492395</v>
      </c>
      <c r="ED99" s="439">
        <f>INPUT!FK718</f>
        <v>-16.678081730215723</v>
      </c>
      <c r="EE99" s="456">
        <f>INPUT!FL718</f>
        <v>15.950413223140497</v>
      </c>
      <c r="EF99" s="439">
        <f>INPUT!FM718</f>
        <v>28.680104549439733</v>
      </c>
      <c r="EG99" s="456">
        <f>INPUT!FN718</f>
        <v>21.697555932954295</v>
      </c>
      <c r="EH99" s="439">
        <f>INPUT!FO718</f>
        <v>36.031309216967344</v>
      </c>
      <c r="EI99" s="456">
        <f>INPUT!FP718</f>
        <v>23.141903883012706</v>
      </c>
      <c r="EJ99" s="438">
        <f>INPUT!FQ718</f>
        <v>6.6567310830835567</v>
      </c>
      <c r="EK99" s="456">
        <f>INPUT!FR718</f>
        <v>30.842075056595352</v>
      </c>
      <c r="EL99" s="438">
        <f>INPUT!FS718</f>
        <v>33.273715129527204</v>
      </c>
      <c r="EM99" s="456">
        <f>INPUT!FT718</f>
        <v>36.260348775761848</v>
      </c>
      <c r="EN99" s="438">
        <f>INPUT!FU718</f>
        <v>17.5677988890953</v>
      </c>
      <c r="EO99" s="456">
        <f>INPUT!FV718</f>
        <v>56.469298245614027</v>
      </c>
      <c r="EP99" s="438">
        <f>INPUT!FW718</f>
        <v>55.73291529771717</v>
      </c>
      <c r="EQ99" s="456">
        <f>INPUT!FX718</f>
        <v>44.398149213876295</v>
      </c>
      <c r="ER99" s="438">
        <f>INPUT!FY718</f>
        <v>-21.376481392125854</v>
      </c>
      <c r="ES99" s="456">
        <f>INPUT!FZ718</f>
        <v>41.86142029818869</v>
      </c>
      <c r="ET99" s="438">
        <f>INPUT!GA718</f>
        <v>-5.7135915811886377</v>
      </c>
      <c r="EU99" s="456">
        <f>INPUT!GB718</f>
        <v>39.418497323241645</v>
      </c>
      <c r="EV99" s="438">
        <f>INPUT!GC718</f>
        <v>-5.8357383900152797</v>
      </c>
      <c r="EW99" s="456">
        <f>INPUT!GD718</f>
        <v>33.281650019831972</v>
      </c>
      <c r="EX99" s="438">
        <f>INPUT!GE718</f>
        <v>-15.568445577937624</v>
      </c>
      <c r="EY99" s="456">
        <f>INPUT!GF718</f>
        <v>33.498842092868074</v>
      </c>
      <c r="EZ99" s="438">
        <f>INPUT!GG718</f>
        <v>0.65258805650165641</v>
      </c>
      <c r="FA99" s="456">
        <f>INPUT!GH718</f>
        <v>26.725432699184665</v>
      </c>
      <c r="FB99" s="438">
        <f>INPUT!GI718</f>
        <v>-20.219831404636736</v>
      </c>
      <c r="FC99" s="456">
        <f>INPUT!GJ718</f>
        <v>24.838067213320652</v>
      </c>
      <c r="FD99" s="438">
        <f>INPUT!GK718</f>
        <v>-7.0620577302068881</v>
      </c>
      <c r="FE99" s="456">
        <f>INPUT!GL718</f>
        <v>21.044295625527226</v>
      </c>
      <c r="FF99" s="438">
        <f>INPUT!GM718</f>
        <v>-15.274020942172299</v>
      </c>
      <c r="FG99" s="456">
        <f>INPUT!GN718</f>
        <v>16.326467447654714</v>
      </c>
      <c r="FH99" s="438">
        <f>INPUT!GO718</f>
        <v>-22.418560648566796</v>
      </c>
      <c r="FI99" s="456">
        <f>INPUT!GP718</f>
        <v>16.196776960929721</v>
      </c>
      <c r="FJ99" s="438">
        <f>INPUT!GQ718</f>
        <v>-0.79435730442486374</v>
      </c>
      <c r="FK99" s="456">
        <f>INPUT!GR718</f>
        <v>15.949701204560521</v>
      </c>
      <c r="FL99" s="438">
        <f>INPUT!GS718</f>
        <v>-1.5254624853154723</v>
      </c>
      <c r="FM99" s="456">
        <f>INPUT!GT718</f>
        <v>15.756084676185139</v>
      </c>
      <c r="FN99" s="438">
        <f>INPUT!GU718</f>
        <v>-1.2139194702908895</v>
      </c>
      <c r="FO99" s="456">
        <f>INPUT!GV718</f>
        <v>15.589546352705582</v>
      </c>
      <c r="FP99" s="438">
        <f>INPUT!GW718</f>
        <v>-1.0569778400040946</v>
      </c>
      <c r="FQ99" s="456">
        <f>INPUT!GX718</f>
        <v>15.451873675581881</v>
      </c>
      <c r="FR99" s="438">
        <f>INPUT!GY718</f>
        <v>-0.88310893728994699</v>
      </c>
      <c r="FS99" s="806">
        <f>INPUT!GZ718</f>
        <v>-1.0951054055193365</v>
      </c>
    </row>
    <row r="100" spans="1:176" s="529" customFormat="1" ht="12.75" customHeight="1" x14ac:dyDescent="0.2">
      <c r="A100" s="805" t="str">
        <f>INPUT!B719</f>
        <v>LTD + Pref Equity to LT Capital (%)</v>
      </c>
      <c r="B100" s="456">
        <f>INPUT!AA719</f>
        <v>13.447864863754058</v>
      </c>
      <c r="C100" s="439">
        <f>INPUT!AB719</f>
        <v>-21.799334345501464</v>
      </c>
      <c r="D100" s="456">
        <f>INPUT!AC719</f>
        <v>13.347398590820427</v>
      </c>
      <c r="E100" s="439">
        <f>INPUT!AD719</f>
        <v>-13.435271148459222</v>
      </c>
      <c r="F100" s="456">
        <f>INPUT!AE719</f>
        <v>17.409834747296046</v>
      </c>
      <c r="G100" s="439">
        <f>INPUT!AF719</f>
        <v>14.645171420606744</v>
      </c>
      <c r="H100" s="456">
        <f>INPUT!AG719</f>
        <v>15.950413223140497</v>
      </c>
      <c r="I100" s="439">
        <f>INPUT!AH719</f>
        <v>4.6635310738883931</v>
      </c>
      <c r="J100" s="456">
        <f>INPUT!AI719</f>
        <v>15.492557894309932</v>
      </c>
      <c r="K100" s="439">
        <f>INPUT!AJ719</f>
        <v>15.204592336936116</v>
      </c>
      <c r="L100" s="456">
        <f>INPUT!AK719</f>
        <v>18.444462919853674</v>
      </c>
      <c r="M100" s="439">
        <f>INPUT!AL719</f>
        <v>38.187698481850362</v>
      </c>
      <c r="N100" s="456">
        <f>INPUT!AM719</f>
        <v>21.815402254920695</v>
      </c>
      <c r="O100" s="439">
        <f>INPUT!AN719</f>
        <v>25.305050688714246</v>
      </c>
      <c r="P100" s="456">
        <f>INPUT!AO719</f>
        <v>21.697555932954295</v>
      </c>
      <c r="Q100" s="439">
        <f>INPUT!AP719</f>
        <v>36.031309216967344</v>
      </c>
      <c r="R100" s="456">
        <f>INPUT!AQ719</f>
        <v>21.968778696051423</v>
      </c>
      <c r="S100" s="439">
        <f>INPUT!AR719</f>
        <v>41.802140394905763</v>
      </c>
      <c r="T100" s="456">
        <f>INPUT!AS719</f>
        <v>23.788276167444394</v>
      </c>
      <c r="U100" s="439">
        <f>INPUT!AT719</f>
        <v>28.972452441749454</v>
      </c>
      <c r="V100" s="456">
        <f>INPUT!AU719</f>
        <v>23.871251607662629</v>
      </c>
      <c r="W100" s="439">
        <f>INPUT!AV719</f>
        <v>9.4238434328123049</v>
      </c>
      <c r="X100" s="456">
        <f>INPUT!AW719</f>
        <v>23.141903883012706</v>
      </c>
      <c r="Y100" s="439">
        <f>INPUT!AX719</f>
        <v>6.6567310830835567</v>
      </c>
      <c r="Z100" s="456">
        <f>INPUT!AY719</f>
        <v>25.546242065022973</v>
      </c>
      <c r="AA100" s="439">
        <f>INPUT!AZ719</f>
        <v>16.284307008903269</v>
      </c>
      <c r="AB100" s="456">
        <f>INPUT!BA719</f>
        <v>26.910964786716292</v>
      </c>
      <c r="AC100" s="439">
        <f>INPUT!BB719</f>
        <v>13.127006754467871</v>
      </c>
      <c r="AD100" s="456">
        <f>INPUT!BC719</f>
        <v>25.287122675068602</v>
      </c>
      <c r="AE100" s="439">
        <f>INPUT!BD719</f>
        <v>5.9312812360097666</v>
      </c>
      <c r="AF100" s="456">
        <f>INPUT!BE719</f>
        <v>30.842075056595352</v>
      </c>
      <c r="AG100" s="439">
        <f>INPUT!BF719</f>
        <v>33.273715129527204</v>
      </c>
      <c r="AH100" s="456">
        <f>INPUT!BG719</f>
        <v>31.164012985005414</v>
      </c>
      <c r="AI100" s="438">
        <f>INPUT!BH719</f>
        <v>21.990596134192657</v>
      </c>
      <c r="AJ100" s="456">
        <f>INPUT!BI719</f>
        <v>30.209839647803594</v>
      </c>
      <c r="AK100" s="438">
        <f>INPUT!BJ719</f>
        <v>12.258478606146753</v>
      </c>
      <c r="AL100" s="456">
        <f>INPUT!BK719</f>
        <v>30.705172522154484</v>
      </c>
      <c r="AM100" s="438">
        <f>INPUT!BL719</f>
        <v>21.426122365545822</v>
      </c>
      <c r="AN100" s="456">
        <f>INPUT!BM719</f>
        <v>36.260348775761848</v>
      </c>
      <c r="AO100" s="438">
        <f>INPUT!BN719</f>
        <v>17.5677988890953</v>
      </c>
      <c r="AP100" s="456">
        <f>INPUT!BO719</f>
        <v>37.726537905215693</v>
      </c>
      <c r="AQ100" s="438">
        <f>INPUT!BP719</f>
        <v>21.058022673035865</v>
      </c>
      <c r="AR100" s="456">
        <f>INPUT!BQ719</f>
        <v>41.241517289858599</v>
      </c>
      <c r="AS100" s="438">
        <f>INPUT!BR719</f>
        <v>36.516836139039413</v>
      </c>
      <c r="AT100" s="456">
        <f>INPUT!BS719</f>
        <v>43.062456590265533</v>
      </c>
      <c r="AU100" s="438">
        <f>INPUT!BT719</f>
        <v>40.244958920829987</v>
      </c>
      <c r="AV100" s="456">
        <f>INPUT!BU719</f>
        <v>56.469298245614027</v>
      </c>
      <c r="AW100" s="438">
        <f>INPUT!BV719</f>
        <v>55.73291529771717</v>
      </c>
      <c r="AX100" s="456">
        <f>INPUT!BW719</f>
        <v>56.859384865157395</v>
      </c>
      <c r="AY100" s="438">
        <f>INPUT!BX719</f>
        <v>50.714558033422378</v>
      </c>
      <c r="AZ100" s="456">
        <f>INPUT!BY719</f>
        <v>50.725364000844067</v>
      </c>
      <c r="BA100" s="438">
        <f>INPUT!BZ719</f>
        <v>22.99587244652021</v>
      </c>
      <c r="BB100" s="456">
        <f>INPUT!CA719</f>
        <v>47.480112095461941</v>
      </c>
      <c r="BC100" s="438">
        <f>INPUT!CB719</f>
        <v>10.258716884709827</v>
      </c>
      <c r="BD100" s="456">
        <f>INPUT!CC719</f>
        <v>44.398149213876295</v>
      </c>
      <c r="BE100" s="438">
        <f>INPUT!CD719</f>
        <v>-21.376481392125854</v>
      </c>
      <c r="BF100" s="456">
        <f>INPUT!CE719</f>
        <v>46.095198368557654</v>
      </c>
      <c r="BG100" s="438">
        <f>INPUT!CF719</f>
        <v>-18.931239798191839</v>
      </c>
      <c r="BH100" s="456">
        <f>INPUT!CG719</f>
        <v>44.395949345316161</v>
      </c>
      <c r="BI100" s="438">
        <f>INPUT!CH719</f>
        <v>-12.477810224136761</v>
      </c>
      <c r="BJ100" s="456">
        <f>INPUT!CI719</f>
        <v>39.276592238609211</v>
      </c>
      <c r="BK100" s="438">
        <f>INPUT!CJ719</f>
        <v>-17.277802209815775</v>
      </c>
      <c r="BL100" s="456">
        <f>INPUT!CK719</f>
        <v>41.86142029818869</v>
      </c>
      <c r="BM100" s="438">
        <f>INPUT!CL719</f>
        <v>-5.7135915811886377</v>
      </c>
      <c r="BN100" s="456">
        <f>INPUT!CM719</f>
        <v>42.147569268243174</v>
      </c>
      <c r="BO100" s="438">
        <f>INPUT!CN719</f>
        <v>-8.5640787761686425</v>
      </c>
      <c r="BP100" s="456">
        <f>INPUT!CO719</f>
        <v>40.929258782628736</v>
      </c>
      <c r="BQ100" s="438">
        <f>INPUT!CP719</f>
        <v>-7.8085740113881883</v>
      </c>
      <c r="BR100" s="456">
        <f>INPUT!CQ719</f>
        <v>38.562518673438902</v>
      </c>
      <c r="BS100" s="438">
        <f>INPUT!CR719</f>
        <v>-1.8180639522701938</v>
      </c>
      <c r="BT100" s="456">
        <f>INPUT!CS719</f>
        <v>39.418497323241645</v>
      </c>
      <c r="BU100" s="438">
        <f>INPUT!CT719</f>
        <v>-5.8357383900152797</v>
      </c>
      <c r="BV100" s="456">
        <f>INPUT!CU719</f>
        <v>38.636821201749733</v>
      </c>
      <c r="BW100" s="438">
        <f>INPUT!CV719</f>
        <v>-8.3296572671835492</v>
      </c>
      <c r="BX100" s="456">
        <f>INPUT!CW719</f>
        <v>36.495843673533138</v>
      </c>
      <c r="BY100" s="438">
        <f>INPUT!CX719</f>
        <v>-10.831896889804511</v>
      </c>
      <c r="BZ100" s="456">
        <f>INPUT!CY719</f>
        <v>34.486038932440763</v>
      </c>
      <c r="CA100" s="438">
        <f>INPUT!CZ719</f>
        <v>-10.571093074908347</v>
      </c>
      <c r="CB100" s="456">
        <f>INPUT!DA719</f>
        <v>33.281650019831972</v>
      </c>
      <c r="CC100" s="438">
        <f>INPUT!DB719</f>
        <v>-15.568445577937624</v>
      </c>
      <c r="CD100" s="456">
        <f>INPUT!DC719</f>
        <v>31.930284924026171</v>
      </c>
      <c r="CE100" s="438">
        <f>INPUT!DD719</f>
        <v>-17.357888328090112</v>
      </c>
      <c r="CF100" s="456">
        <f>INPUT!DE719</f>
        <v>33.659757250945773</v>
      </c>
      <c r="CG100" s="438">
        <f>INPUT!DF719</f>
        <v>-7.7709846851522428</v>
      </c>
      <c r="CH100" s="456">
        <f>INPUT!DG719</f>
        <v>34.233782890122441</v>
      </c>
      <c r="CI100" s="438">
        <f>INPUT!DH719</f>
        <v>-0.73147293840413852</v>
      </c>
      <c r="CJ100" s="456">
        <f>INPUT!DI719</f>
        <v>33.498842092868074</v>
      </c>
      <c r="CK100" s="438">
        <f>INPUT!DJ719</f>
        <v>0.65258805650165641</v>
      </c>
      <c r="CL100" s="456">
        <f>INPUT!DK719</f>
        <v>30.427049630092146</v>
      </c>
      <c r="CM100" s="438">
        <f>INPUT!DL719</f>
        <v>-4.7078668339815124</v>
      </c>
      <c r="CN100" s="456">
        <f>INPUT!DM719</f>
        <v>30.006882312456984</v>
      </c>
      <c r="CO100" s="438">
        <f>INPUT!DN719</f>
        <v>-10.852350809470408</v>
      </c>
      <c r="CP100" s="456">
        <f>INPUT!DO719</f>
        <v>28.611762199019818</v>
      </c>
      <c r="CQ100" s="438">
        <f>INPUT!DP719</f>
        <v>-16.422434847902124</v>
      </c>
      <c r="CR100" s="456">
        <f>INPUT!DQ719</f>
        <v>26.725432699184665</v>
      </c>
      <c r="CS100" s="438">
        <f>INPUT!DR719</f>
        <v>-20.219831404636736</v>
      </c>
      <c r="CT100" s="456">
        <f>INPUT!DS719</f>
        <v>24.754856923308221</v>
      </c>
      <c r="CU100" s="438">
        <f>INPUT!DT719</f>
        <v>-18.641941219217543</v>
      </c>
      <c r="CV100" s="456">
        <f>INPUT!DU719</f>
        <v>25.63142790938096</v>
      </c>
      <c r="CW100" s="438">
        <f>INPUT!DV719</f>
        <v>-14.5815028616272</v>
      </c>
      <c r="CX100" s="456">
        <f>INPUT!DW719</f>
        <v>25.268958278667014</v>
      </c>
      <c r="CY100" s="438">
        <f>INPUT!DX719</f>
        <v>-11.683320646595192</v>
      </c>
      <c r="CZ100" s="456">
        <f>INPUT!DY719</f>
        <v>24.838067213320652</v>
      </c>
      <c r="DA100" s="438">
        <f>INPUT!DZ719</f>
        <v>-7.0620577302068881</v>
      </c>
      <c r="DB100" s="456">
        <f>INPUT!EA719</f>
        <v>21.88397290480194</v>
      </c>
      <c r="DC100" s="438">
        <f>INPUT!EB719</f>
        <v>-11.597255550296353</v>
      </c>
      <c r="DD100" s="456">
        <f>INPUT!EC719</f>
        <v>19.27957728955958</v>
      </c>
      <c r="DE100" s="438">
        <f>INPUT!ED719</f>
        <v>-24.781493416122316</v>
      </c>
      <c r="DF100" s="456">
        <f>INPUT!EE719</f>
        <v>18.655672956337479</v>
      </c>
      <c r="DG100" s="438">
        <f>INPUT!EF719</f>
        <v>-26.171578778190934</v>
      </c>
      <c r="DH100" s="456">
        <f>INPUT!EG719</f>
        <v>21.044295625527226</v>
      </c>
      <c r="DI100" s="438">
        <f>INPUT!EH719</f>
        <v>-15.274020942172299</v>
      </c>
      <c r="DJ100" s="456">
        <f>INPUT!EI719</f>
        <v>20.513778925549627</v>
      </c>
      <c r="DK100" s="438">
        <f>INPUT!EJ719</f>
        <v>-6.2611756339346272</v>
      </c>
      <c r="DL100" s="456">
        <f>INPUT!EK719</f>
        <v>19.595020746887968</v>
      </c>
      <c r="DM100" s="438">
        <f>INPUT!EL719</f>
        <v>1.6361533896244111</v>
      </c>
      <c r="DN100" s="456">
        <f>INPUT!EM719</f>
        <v>17.292504720466301</v>
      </c>
      <c r="DO100" s="438">
        <f>INPUT!EN719</f>
        <v>-7.3069904208848158</v>
      </c>
      <c r="DP100" s="456">
        <f>INPUT!EO719</f>
        <v>16.326467447654714</v>
      </c>
      <c r="DQ100" s="438">
        <f>INPUT!EP719</f>
        <v>-22.418560648566796</v>
      </c>
      <c r="DR100" s="456">
        <f>INPUT!EQ719</f>
        <v>16.244458895733775</v>
      </c>
      <c r="DS100" s="438">
        <f>INPUT!ER719</f>
        <v>-20.811962755913655</v>
      </c>
      <c r="DT100" s="456">
        <f>INPUT!ES719</f>
        <v>16.214405963189094</v>
      </c>
      <c r="DU100" s="438">
        <f>INPUT!ET719</f>
        <v>-17.252417475678229</v>
      </c>
      <c r="DV100" s="456">
        <f>INPUT!EU719</f>
        <v>16.189064169956897</v>
      </c>
      <c r="DW100" s="438">
        <f>INPUT!EV719</f>
        <v>-6.3810336810458921</v>
      </c>
      <c r="DX100" s="456">
        <f>INPUT!EW719</f>
        <v>16.196776960929721</v>
      </c>
      <c r="DY100" s="438">
        <f>INPUT!EX719</f>
        <v>-0.79435730442486374</v>
      </c>
      <c r="DZ100" s="456"/>
      <c r="EA100" s="438"/>
      <c r="EB100" s="439">
        <f>INPUT!FI719</f>
        <v>83.147885350766444</v>
      </c>
      <c r="EC100" s="456">
        <f>INPUT!FJ719</f>
        <v>15.239704851807575</v>
      </c>
      <c r="ED100" s="439">
        <f>INPUT!FK719</f>
        <v>-14.213819766804193</v>
      </c>
      <c r="EE100" s="456">
        <f>INPUT!FL719</f>
        <v>15.950413223140497</v>
      </c>
      <c r="EF100" s="439">
        <f>INPUT!FM719</f>
        <v>4.6635310738883931</v>
      </c>
      <c r="EG100" s="456">
        <f>INPUT!FN719</f>
        <v>21.697555932954295</v>
      </c>
      <c r="EH100" s="439">
        <f>INPUT!FO719</f>
        <v>36.031309216967344</v>
      </c>
      <c r="EI100" s="456">
        <f>INPUT!FP719</f>
        <v>23.141903883012706</v>
      </c>
      <c r="EJ100" s="438">
        <f>INPUT!FQ719</f>
        <v>6.6567310830835567</v>
      </c>
      <c r="EK100" s="456">
        <f>INPUT!FR719</f>
        <v>30.842075056595352</v>
      </c>
      <c r="EL100" s="438">
        <f>INPUT!FS719</f>
        <v>33.273715129527204</v>
      </c>
      <c r="EM100" s="456">
        <f>INPUT!FT719</f>
        <v>36.260348775761848</v>
      </c>
      <c r="EN100" s="438">
        <f>INPUT!FU719</f>
        <v>17.5677988890953</v>
      </c>
      <c r="EO100" s="456">
        <f>INPUT!FV719</f>
        <v>56.469298245614027</v>
      </c>
      <c r="EP100" s="438">
        <f>INPUT!FW719</f>
        <v>55.73291529771717</v>
      </c>
      <c r="EQ100" s="456">
        <f>INPUT!FX719</f>
        <v>44.398149213876295</v>
      </c>
      <c r="ER100" s="438">
        <f>INPUT!FY719</f>
        <v>-21.376481392125854</v>
      </c>
      <c r="ES100" s="456">
        <f>INPUT!FZ719</f>
        <v>41.86142029818869</v>
      </c>
      <c r="ET100" s="438">
        <f>INPUT!GA719</f>
        <v>-5.7135915811886377</v>
      </c>
      <c r="EU100" s="456">
        <f>INPUT!GB719</f>
        <v>39.418497323241645</v>
      </c>
      <c r="EV100" s="438">
        <f>INPUT!GC719</f>
        <v>-5.8357383900152797</v>
      </c>
      <c r="EW100" s="456">
        <f>INPUT!GD719</f>
        <v>33.281650019831972</v>
      </c>
      <c r="EX100" s="438">
        <f>INPUT!GE719</f>
        <v>-15.568445577937624</v>
      </c>
      <c r="EY100" s="456">
        <f>INPUT!GF719</f>
        <v>33.498842092868074</v>
      </c>
      <c r="EZ100" s="438">
        <f>INPUT!GG719</f>
        <v>0.65258805650165641</v>
      </c>
      <c r="FA100" s="456">
        <f>INPUT!GH719</f>
        <v>26.725432699184665</v>
      </c>
      <c r="FB100" s="438">
        <f>INPUT!GI719</f>
        <v>-20.219831404636736</v>
      </c>
      <c r="FC100" s="456">
        <f>INPUT!GJ719</f>
        <v>24.838067213320652</v>
      </c>
      <c r="FD100" s="438">
        <f>INPUT!GK719</f>
        <v>-7.0620577302068881</v>
      </c>
      <c r="FE100" s="456">
        <f>INPUT!GL719</f>
        <v>21.044295625527226</v>
      </c>
      <c r="FF100" s="438">
        <f>INPUT!GM719</f>
        <v>-15.274020942172299</v>
      </c>
      <c r="FG100" s="456">
        <f>INPUT!GN719</f>
        <v>16.326467447654714</v>
      </c>
      <c r="FH100" s="438">
        <f>INPUT!GO719</f>
        <v>-22.418560648566796</v>
      </c>
      <c r="FI100" s="456">
        <f>INPUT!GP719</f>
        <v>16.196776960929721</v>
      </c>
      <c r="FJ100" s="438">
        <f>INPUT!GQ719</f>
        <v>-0.79435730442486374</v>
      </c>
      <c r="FK100" s="456">
        <f>INPUT!GR719</f>
        <v>15.949701204560521</v>
      </c>
      <c r="FL100" s="438">
        <f>INPUT!GS719</f>
        <v>-1.5254624853154723</v>
      </c>
      <c r="FM100" s="456">
        <f>INPUT!GT719</f>
        <v>15.756084676185139</v>
      </c>
      <c r="FN100" s="438">
        <f>INPUT!GU719</f>
        <v>-1.2139194702908895</v>
      </c>
      <c r="FO100" s="456">
        <f>INPUT!GV719</f>
        <v>15.589546352705582</v>
      </c>
      <c r="FP100" s="438">
        <f>INPUT!GW719</f>
        <v>-1.0569778400040946</v>
      </c>
      <c r="FQ100" s="456">
        <f>INPUT!GX719</f>
        <v>15.451873675581881</v>
      </c>
      <c r="FR100" s="438">
        <f>INPUT!GY719</f>
        <v>-0.88310893728994699</v>
      </c>
      <c r="FS100" s="806">
        <f>INPUT!GZ719</f>
        <v>-1.0951054055193365</v>
      </c>
    </row>
    <row r="101" spans="1:176" s="529" customFormat="1" ht="12.75" customHeight="1" x14ac:dyDescent="0.2">
      <c r="A101" s="805" t="str">
        <f>INPUT!B720</f>
        <v>LTD + Pref Equity to Common Equity (%)</v>
      </c>
      <c r="B101" s="456">
        <f>INPUT!AA720</f>
        <v>15.537299966760054</v>
      </c>
      <c r="C101" s="439">
        <f>INPUT!AB720</f>
        <v>-25.186362313518984</v>
      </c>
      <c r="D101" s="456">
        <f>INPUT!AC720</f>
        <v>15.403344358691657</v>
      </c>
      <c r="E101" s="439">
        <f>INPUT!AD720</f>
        <v>-15.504752228980351</v>
      </c>
      <c r="F101" s="456">
        <f>INPUT!AE720</f>
        <v>21.079791636239715</v>
      </c>
      <c r="G101" s="439">
        <f>INPUT!AF720</f>
        <v>17.732343040840817</v>
      </c>
      <c r="H101" s="456">
        <f>INPUT!AG720</f>
        <v>18.977384464110127</v>
      </c>
      <c r="I101" s="439">
        <f>INPUT!AH720</f>
        <v>5.5485472953834147</v>
      </c>
      <c r="J101" s="456">
        <f>INPUT!AI720</f>
        <v>18.332773431875989</v>
      </c>
      <c r="K101" s="439">
        <f>INPUT!AJ720</f>
        <v>17.992015801306977</v>
      </c>
      <c r="L101" s="456">
        <f>INPUT!AK720</f>
        <v>22.61583159182425</v>
      </c>
      <c r="M101" s="439">
        <f>INPUT!AL720</f>
        <v>46.824164059299221</v>
      </c>
      <c r="N101" s="456">
        <f>INPUT!AM720</f>
        <v>27.902429486239427</v>
      </c>
      <c r="O101" s="439">
        <f>INPUT!AN720</f>
        <v>32.365774613589849</v>
      </c>
      <c r="P101" s="456">
        <f>INPUT!AO720</f>
        <v>27.709934461785089</v>
      </c>
      <c r="Q101" s="439">
        <f>INPUT!AP720</f>
        <v>46.015561386712108</v>
      </c>
      <c r="R101" s="456">
        <f>INPUT!AQ720</f>
        <v>28.153831670118624</v>
      </c>
      <c r="S101" s="439">
        <f>INPUT!AR720</f>
        <v>53.571044636194188</v>
      </c>
      <c r="T101" s="456">
        <f>INPUT!AS720</f>
        <v>31.213407821229051</v>
      </c>
      <c r="U101" s="439">
        <f>INPUT!AT720</f>
        <v>38.015742178204391</v>
      </c>
      <c r="V101" s="456">
        <f>INPUT!AU720</f>
        <v>31.356421997954918</v>
      </c>
      <c r="W101" s="439">
        <f>INPUT!AV720</f>
        <v>12.378823548031505</v>
      </c>
      <c r="X101" s="456">
        <f>INPUT!AW720</f>
        <v>30.109910409162278</v>
      </c>
      <c r="Y101" s="439">
        <f>INPUT!AX720</f>
        <v>8.6610668483789084</v>
      </c>
      <c r="Z101" s="456">
        <f>INPUT!AY720</f>
        <v>34.311554948419612</v>
      </c>
      <c r="AA101" s="439">
        <f>INPUT!AZ720</f>
        <v>21.871705956232418</v>
      </c>
      <c r="AB101" s="456">
        <f>INPUT!BA720</f>
        <v>36.81942812377595</v>
      </c>
      <c r="AC101" s="439">
        <f>INPUT!BB720</f>
        <v>17.960295571232379</v>
      </c>
      <c r="AD101" s="456">
        <f>INPUT!BC720</f>
        <v>33.845735274112364</v>
      </c>
      <c r="AE101" s="439">
        <f>INPUT!BD720</f>
        <v>7.9387669815127424</v>
      </c>
      <c r="AF101" s="456">
        <f>INPUT!BE720</f>
        <v>44.596588289534353</v>
      </c>
      <c r="AG101" s="439">
        <f>INPUT!BF720</f>
        <v>48.112656874474993</v>
      </c>
      <c r="AH101" s="456">
        <f>INPUT!BG720</f>
        <v>45.272849764203912</v>
      </c>
      <c r="AI101" s="438">
        <f>INPUT!BH720</f>
        <v>31.946365684278533</v>
      </c>
      <c r="AJ101" s="456">
        <f>INPUT!BI720</f>
        <v>43.286674647757621</v>
      </c>
      <c r="AK101" s="438">
        <f>INPUT!BJ720</f>
        <v>17.564766357154468</v>
      </c>
      <c r="AL101" s="456">
        <f>INPUT!BK720</f>
        <v>44.310915604734483</v>
      </c>
      <c r="AM101" s="438">
        <f>INPUT!BL720</f>
        <v>30.920233364309951</v>
      </c>
      <c r="AN101" s="456">
        <f>INPUT!BM720</f>
        <v>56.888213348072405</v>
      </c>
      <c r="AO101" s="438">
        <f>INPUT!BN720</f>
        <v>27.561805801684102</v>
      </c>
      <c r="AP101" s="456">
        <f>INPUT!BO720</f>
        <v>60.582046727695037</v>
      </c>
      <c r="AQ101" s="438">
        <f>INPUT!BP720</f>
        <v>33.815403808743042</v>
      </c>
      <c r="AR101" s="456">
        <f>INPUT!BQ720</f>
        <v>70.188193070445877</v>
      </c>
      <c r="AS101" s="438">
        <f>INPUT!BR720</f>
        <v>62.147343591526806</v>
      </c>
      <c r="AT101" s="456">
        <f>INPUT!BS720</f>
        <v>75.631040630571462</v>
      </c>
      <c r="AU101" s="438">
        <f>INPUT!BT720</f>
        <v>70.682640153999728</v>
      </c>
      <c r="AV101" s="456">
        <f>INPUT!BU720</f>
        <v>129.72292191435767</v>
      </c>
      <c r="AW101" s="438" t="str">
        <f>INPUT!BV720</f>
        <v>NM</v>
      </c>
      <c r="AX101" s="456">
        <f>INPUT!BW720</f>
        <v>131.80012544428183</v>
      </c>
      <c r="AY101" s="438" t="str">
        <f>INPUT!BX720</f>
        <v>NM</v>
      </c>
      <c r="AZ101" s="456">
        <f>INPUT!BY720</f>
        <v>102.94416787109897</v>
      </c>
      <c r="BA101" s="438">
        <f>INPUT!BZ720</f>
        <v>46.668781981289726</v>
      </c>
      <c r="BB101" s="456">
        <f>INPUT!CA720</f>
        <v>90.404062136925006</v>
      </c>
      <c r="BC101" s="438">
        <f>INPUT!CB720</f>
        <v>19.533013671614114</v>
      </c>
      <c r="BD101" s="456">
        <f>INPUT!CC720</f>
        <v>79.850128343131573</v>
      </c>
      <c r="BE101" s="438">
        <f>INPUT!CD720</f>
        <v>-38.445629218984003</v>
      </c>
      <c r="BF101" s="456">
        <f>INPUT!CE720</f>
        <v>85.51223077253772</v>
      </c>
      <c r="BG101" s="438">
        <f>INPUT!CF720</f>
        <v>-35.119765262524126</v>
      </c>
      <c r="BH101" s="456">
        <f>INPUT!CG720</f>
        <v>79.843012914701106</v>
      </c>
      <c r="BI101" s="438">
        <f>INPUT!CH720</f>
        <v>-22.44046985286613</v>
      </c>
      <c r="BJ101" s="456">
        <f>INPUT!CI720</f>
        <v>64.681139755766623</v>
      </c>
      <c r="BK101" s="438">
        <f>INPUT!CJ720</f>
        <v>-28.453281603871659</v>
      </c>
      <c r="BL101" s="456">
        <f>INPUT!CK720</f>
        <v>72.002825856587776</v>
      </c>
      <c r="BM101" s="438">
        <f>INPUT!CL720</f>
        <v>-9.8275389775485422</v>
      </c>
      <c r="BN101" s="456">
        <f>INPUT!CM720</f>
        <v>72.853584084768954</v>
      </c>
      <c r="BO101" s="438">
        <f>INPUT!CN720</f>
        <v>-14.803317108450514</v>
      </c>
      <c r="BP101" s="456">
        <f>INPUT!CO720</f>
        <v>69.28854783117643</v>
      </c>
      <c r="BQ101" s="438">
        <f>INPUT!CP720</f>
        <v>-13.219021550201717</v>
      </c>
      <c r="BR101" s="456">
        <f>INPUT!CQ720</f>
        <v>62.76708914622656</v>
      </c>
      <c r="BS101" s="438">
        <f>INPUT!CR720</f>
        <v>-2.9592097739270571</v>
      </c>
      <c r="BT101" s="456">
        <f>INPUT!CS720</f>
        <v>65.066886065149163</v>
      </c>
      <c r="BU101" s="438">
        <f>INPUT!CT720</f>
        <v>-9.6328716393066713</v>
      </c>
      <c r="BV101" s="456">
        <f>INPUT!CU720</f>
        <v>62.964178125093206</v>
      </c>
      <c r="BW101" s="438">
        <f>INPUT!CV720</f>
        <v>-13.5743575061028</v>
      </c>
      <c r="BX101" s="456">
        <f>INPUT!CW720</f>
        <v>57.470007925012979</v>
      </c>
      <c r="BY101" s="438">
        <f>INPUT!CX720</f>
        <v>-17.056988890804391</v>
      </c>
      <c r="BZ101" s="456">
        <f>INPUT!CY720</f>
        <v>52.639221275108227</v>
      </c>
      <c r="CA101" s="438">
        <f>INPUT!CZ720</f>
        <v>-16.135634149807004</v>
      </c>
      <c r="CB101" s="456">
        <f>INPUT!DA720</f>
        <v>49.883802626601096</v>
      </c>
      <c r="CC101" s="438">
        <f>INPUT!DB720</f>
        <v>-23.334578242065845</v>
      </c>
      <c r="CD101" s="456">
        <f>INPUT!DC720</f>
        <v>46.908210043759119</v>
      </c>
      <c r="CE101" s="438">
        <f>INPUT!DD720</f>
        <v>-25.500163044191765</v>
      </c>
      <c r="CF101" s="456">
        <f>INPUT!DE720</f>
        <v>50.738067658677124</v>
      </c>
      <c r="CG101" s="438">
        <f>INPUT!DF720</f>
        <v>-11.713832152450209</v>
      </c>
      <c r="CH101" s="456">
        <f>INPUT!DG720</f>
        <v>52.053750990310199</v>
      </c>
      <c r="CI101" s="438">
        <f>INPUT!DH720</f>
        <v>-1.1122320403225245</v>
      </c>
      <c r="CJ101" s="456">
        <f>INPUT!DI720</f>
        <v>50.373321528700011</v>
      </c>
      <c r="CK101" s="438">
        <f>INPUT!DJ720</f>
        <v>0.98131833646112909</v>
      </c>
      <c r="CL101" s="456">
        <f>INPUT!DK720</f>
        <v>43.734022300788688</v>
      </c>
      <c r="CM101" s="438">
        <f>INPUT!DL720</f>
        <v>-6.7668063650464063</v>
      </c>
      <c r="CN101" s="456">
        <f>INPUT!DM720</f>
        <v>42.871189773844641</v>
      </c>
      <c r="CO101" s="438">
        <f>INPUT!DN720</f>
        <v>-15.504882719921838</v>
      </c>
      <c r="CP101" s="456">
        <f>INPUT!DO720</f>
        <v>40.07909857473323</v>
      </c>
      <c r="CQ101" s="438">
        <f>INPUT!DP720</f>
        <v>-23.004398698964167</v>
      </c>
      <c r="CR101" s="456">
        <f>INPUT!DQ720</f>
        <v>36.472999682779829</v>
      </c>
      <c r="CS101" s="438">
        <f>INPUT!DR720</f>
        <v>-27.594610448708494</v>
      </c>
      <c r="CT101" s="456">
        <f>INPUT!DS720</f>
        <v>32.898943255483523</v>
      </c>
      <c r="CU101" s="438">
        <f>INPUT!DT720</f>
        <v>-24.774942882648517</v>
      </c>
      <c r="CV101" s="456">
        <f>INPUT!DU720</f>
        <v>34.465402775447593</v>
      </c>
      <c r="CW101" s="438">
        <f>INPUT!DV720</f>
        <v>-19.60707655360045</v>
      </c>
      <c r="CX101" s="456">
        <f>INPUT!DW720</f>
        <v>33.813202247191008</v>
      </c>
      <c r="CY101" s="438">
        <f>INPUT!DX720</f>
        <v>-15.633825486016264</v>
      </c>
      <c r="CZ101" s="456">
        <f>INPUT!DY720</f>
        <v>33.046073048460251</v>
      </c>
      <c r="DA101" s="438">
        <f>INPUT!DZ720</f>
        <v>-9.3957904864555104</v>
      </c>
      <c r="DB101" s="456">
        <f>INPUT!EA720</f>
        <v>28.014702895901873</v>
      </c>
      <c r="DC101" s="438">
        <f>INPUT!EB720</f>
        <v>-14.84619223679033</v>
      </c>
      <c r="DD101" s="456">
        <f>INPUT!EC720</f>
        <v>23.88438593628171</v>
      </c>
      <c r="DE101" s="438">
        <f>INPUT!ED720</f>
        <v>-30.700400944403199</v>
      </c>
      <c r="DF101" s="456">
        <f>INPUT!EE720</f>
        <v>22.934202831776858</v>
      </c>
      <c r="DG101" s="438">
        <f>INPUT!EF720</f>
        <v>-32.173821739459513</v>
      </c>
      <c r="DH101" s="456">
        <f>INPUT!EG720</f>
        <v>26.653293504567955</v>
      </c>
      <c r="DI101" s="438">
        <f>INPUT!EH720</f>
        <v>-19.345050573838634</v>
      </c>
      <c r="DJ101" s="456">
        <f>INPUT!EI720</f>
        <v>25.807968536251707</v>
      </c>
      <c r="DK101" s="438">
        <f>INPUT!EJ720</f>
        <v>-7.8770578715399324</v>
      </c>
      <c r="DL101" s="456">
        <f>INPUT!EK720</f>
        <v>24.370407067954751</v>
      </c>
      <c r="DM101" s="438">
        <f>INPUT!EL720</f>
        <v>2.0348906309320256</v>
      </c>
      <c r="DN101" s="456">
        <f>INPUT!EM720</f>
        <v>20.908026125106705</v>
      </c>
      <c r="DO101" s="438">
        <f>INPUT!EN720</f>
        <v>-8.8347378870424507</v>
      </c>
      <c r="DP101" s="456">
        <f>INPUT!EO720</f>
        <v>19.512104902994324</v>
      </c>
      <c r="DQ101" s="438">
        <f>INPUT!EP720</f>
        <v>-26.792893720056568</v>
      </c>
      <c r="DR101" s="456">
        <f>INPUT!EQ720</f>
        <v>19.395085604558687</v>
      </c>
      <c r="DS101" s="438">
        <f>INPUT!ER720</f>
        <v>-24.848460748411981</v>
      </c>
      <c r="DT101" s="456">
        <f>INPUT!ES720</f>
        <v>19.352259955411132</v>
      </c>
      <c r="DU101" s="438">
        <f>INPUT!ET720</f>
        <v>-20.591150154164254</v>
      </c>
      <c r="DV101" s="456">
        <f>INPUT!EU720</f>
        <v>19.316171582651293</v>
      </c>
      <c r="DW101" s="438">
        <f>INPUT!EV720</f>
        <v>-7.613605095623484</v>
      </c>
      <c r="DX101" s="456">
        <f>INPUT!EW720</f>
        <v>19.327152791460716</v>
      </c>
      <c r="DY101" s="438">
        <f>INPUT!EX720</f>
        <v>-0.94788395436118833</v>
      </c>
      <c r="DZ101" s="456"/>
      <c r="EA101" s="438"/>
      <c r="EB101" s="439" t="str">
        <f>INPUT!FI720</f>
        <v>NM</v>
      </c>
      <c r="EC101" s="456">
        <f>INPUT!FJ720</f>
        <v>17.97976850500924</v>
      </c>
      <c r="ED101" s="439">
        <f>INPUT!FK720</f>
        <v>-16.769431656594833</v>
      </c>
      <c r="EE101" s="456">
        <f>INPUT!FL720</f>
        <v>18.977384464110127</v>
      </c>
      <c r="EF101" s="439">
        <f>INPUT!FM720</f>
        <v>5.5485472953834147</v>
      </c>
      <c r="EG101" s="456">
        <f>INPUT!FN720</f>
        <v>27.709934461785089</v>
      </c>
      <c r="EH101" s="439">
        <f>INPUT!FO720</f>
        <v>46.015561386712108</v>
      </c>
      <c r="EI101" s="456">
        <f>INPUT!FP720</f>
        <v>30.109910409162278</v>
      </c>
      <c r="EJ101" s="438">
        <f>INPUT!FQ720</f>
        <v>8.6610668483789084</v>
      </c>
      <c r="EK101" s="456">
        <f>INPUT!FR720</f>
        <v>44.596588289534353</v>
      </c>
      <c r="EL101" s="438">
        <f>INPUT!FS720</f>
        <v>48.112656874474993</v>
      </c>
      <c r="EM101" s="456">
        <f>INPUT!FT720</f>
        <v>56.888213348072405</v>
      </c>
      <c r="EN101" s="438">
        <f>INPUT!FU720</f>
        <v>27.561805801684102</v>
      </c>
      <c r="EO101" s="456">
        <f>INPUT!FV720</f>
        <v>129.72292191435767</v>
      </c>
      <c r="EP101" s="438" t="str">
        <f>INPUT!FW720</f>
        <v>NM</v>
      </c>
      <c r="EQ101" s="456">
        <f>INPUT!FX720</f>
        <v>79.850128343131573</v>
      </c>
      <c r="ER101" s="438">
        <f>INPUT!FY720</f>
        <v>-38.445629218984003</v>
      </c>
      <c r="ES101" s="456">
        <f>INPUT!FZ720</f>
        <v>72.002825856587776</v>
      </c>
      <c r="ET101" s="438">
        <f>INPUT!GA720</f>
        <v>-9.8275389775485422</v>
      </c>
      <c r="EU101" s="456">
        <f>INPUT!GB720</f>
        <v>65.066886065149163</v>
      </c>
      <c r="EV101" s="438">
        <f>INPUT!GC720</f>
        <v>-9.6328716393066713</v>
      </c>
      <c r="EW101" s="456">
        <f>INPUT!GD720</f>
        <v>49.883802626601096</v>
      </c>
      <c r="EX101" s="438">
        <f>INPUT!GE720</f>
        <v>-23.334578242065845</v>
      </c>
      <c r="EY101" s="456">
        <f>INPUT!GF720</f>
        <v>50.373321528700011</v>
      </c>
      <c r="EZ101" s="438">
        <f>INPUT!GG720</f>
        <v>0.98131833646112909</v>
      </c>
      <c r="FA101" s="456">
        <f>INPUT!GH720</f>
        <v>36.472999682779829</v>
      </c>
      <c r="FB101" s="438">
        <f>INPUT!GI720</f>
        <v>-27.594610448708494</v>
      </c>
      <c r="FC101" s="456">
        <f>INPUT!GJ720</f>
        <v>33.046073048460251</v>
      </c>
      <c r="FD101" s="438">
        <f>INPUT!GK720</f>
        <v>-9.3957904864555104</v>
      </c>
      <c r="FE101" s="456">
        <f>INPUT!GL720</f>
        <v>26.653293504567955</v>
      </c>
      <c r="FF101" s="438">
        <f>INPUT!GM720</f>
        <v>-19.345050573838634</v>
      </c>
      <c r="FG101" s="456">
        <f>INPUT!GN720</f>
        <v>19.512104902994324</v>
      </c>
      <c r="FH101" s="438">
        <f>INPUT!GO720</f>
        <v>-26.792893720056568</v>
      </c>
      <c r="FI101" s="456">
        <f>INPUT!GP720</f>
        <v>19.327152791460716</v>
      </c>
      <c r="FJ101" s="438">
        <f>INPUT!GQ720</f>
        <v>-0.94788395436118833</v>
      </c>
      <c r="FK101" s="456">
        <f>INPUT!GR720</f>
        <v>18.976376566344751</v>
      </c>
      <c r="FL101" s="438">
        <f>INPUT!GS720</f>
        <v>-1.8149399909072343</v>
      </c>
      <c r="FM101" s="456">
        <f>INPUT!GT720</f>
        <v>18.702934942686667</v>
      </c>
      <c r="FN101" s="438">
        <f>INPUT!GU720</f>
        <v>-1.4409580390760226</v>
      </c>
      <c r="FO101" s="456">
        <f>INPUT!GV720</f>
        <v>18.468738976153183</v>
      </c>
      <c r="FP101" s="438">
        <f>INPUT!GW720</f>
        <v>-1.2521883183102318</v>
      </c>
      <c r="FQ101" s="456">
        <f>INPUT!GX720</f>
        <v>18.275832176684517</v>
      </c>
      <c r="FR101" s="438">
        <f>INPUT!GY720</f>
        <v>-1.0445044446063605</v>
      </c>
      <c r="FS101" s="806">
        <f>INPUT!GZ720</f>
        <v>-1.3005783515864011</v>
      </c>
    </row>
    <row r="102" spans="1:176" s="529" customFormat="1" ht="12.75" customHeight="1" x14ac:dyDescent="0.2">
      <c r="A102" s="805" t="str">
        <f>INPUT!B721</f>
        <v>Equity to Total Assets (%)</v>
      </c>
      <c r="B102" s="457">
        <f>INPUT!AA721</f>
        <v>8.2235154688412084</v>
      </c>
      <c r="C102" s="439">
        <f>INPUT!AB721</f>
        <v>-0.58580255058650721</v>
      </c>
      <c r="D102" s="457">
        <f>INPUT!AC721</f>
        <v>7.0797373430058794</v>
      </c>
      <c r="E102" s="439">
        <f>INPUT!AD721</f>
        <v>-15.716278404249394</v>
      </c>
      <c r="F102" s="457">
        <f>INPUT!AE721</f>
        <v>7.4702421671911337</v>
      </c>
      <c r="G102" s="439">
        <f>INPUT!AF721</f>
        <v>-12.476906356191847</v>
      </c>
      <c r="H102" s="457">
        <f>INPUT!AG721</f>
        <v>7.3505769428759233</v>
      </c>
      <c r="I102" s="439">
        <f>INPUT!AH721</f>
        <v>-11.904395234325762</v>
      </c>
      <c r="J102" s="457">
        <f>INPUT!AI721</f>
        <v>7.0489368087927451</v>
      </c>
      <c r="K102" s="439">
        <f>INPUT!AJ721</f>
        <v>-14.283169582387558</v>
      </c>
      <c r="L102" s="457">
        <f>INPUT!AK721</f>
        <v>6.1631636368416212</v>
      </c>
      <c r="M102" s="439">
        <f>INPUT!AL721</f>
        <v>-12.946436594427439</v>
      </c>
      <c r="N102" s="457">
        <f>INPUT!AM721</f>
        <v>6.1461552150911647</v>
      </c>
      <c r="O102" s="439">
        <f>INPUT!AN721</f>
        <v>-17.724819657323579</v>
      </c>
      <c r="P102" s="457">
        <f>INPUT!AO721</f>
        <v>5.8897852075031585</v>
      </c>
      <c r="Q102" s="439">
        <f>INPUT!AP721</f>
        <v>-19.873157532056624</v>
      </c>
      <c r="R102" s="457">
        <f>INPUT!AQ721</f>
        <v>6.0409364710880489</v>
      </c>
      <c r="S102" s="439">
        <f>INPUT!AR721</f>
        <v>-14.300033679509383</v>
      </c>
      <c r="T102" s="457">
        <f>INPUT!AS721</f>
        <v>6.0357828046223174</v>
      </c>
      <c r="U102" s="439">
        <f>INPUT!AT721</f>
        <v>-2.0668091864031908</v>
      </c>
      <c r="V102" s="457">
        <f>INPUT!AU721</f>
        <v>6.1779874582429821</v>
      </c>
      <c r="W102" s="439">
        <f>INPUT!AV721</f>
        <v>0.51792123755119235</v>
      </c>
      <c r="X102" s="457">
        <f>INPUT!AW721</f>
        <v>5.9503433335939837</v>
      </c>
      <c r="Y102" s="439">
        <f>INPUT!AX721</f>
        <v>1.0281890418292221</v>
      </c>
      <c r="Z102" s="457">
        <f>INPUT!AY721</f>
        <v>5.7405144489610436</v>
      </c>
      <c r="AA102" s="439">
        <f>INPUT!AZ721</f>
        <v>-4.9731034842830439</v>
      </c>
      <c r="AB102" s="457">
        <f>INPUT!BA721</f>
        <v>5.5743585997548841</v>
      </c>
      <c r="AC102" s="439">
        <f>INPUT!BB721</f>
        <v>-7.6448112830379813</v>
      </c>
      <c r="AD102" s="457">
        <f>INPUT!BC721</f>
        <v>5.6863406769402172</v>
      </c>
      <c r="AE102" s="439">
        <f>INPUT!BD721</f>
        <v>-7.9580411036086645</v>
      </c>
      <c r="AF102" s="457">
        <f>INPUT!BE721</f>
        <v>5.5734523374365903</v>
      </c>
      <c r="AG102" s="439">
        <f>INPUT!BF721</f>
        <v>-6.3339369684698994</v>
      </c>
      <c r="AH102" s="457">
        <f>INPUT!BG721</f>
        <v>5.5866283268067569</v>
      </c>
      <c r="AI102" s="438">
        <f>INPUT!BH721</f>
        <v>-2.680702636017898</v>
      </c>
      <c r="AJ102" s="457">
        <f>INPUT!BI721</f>
        <v>5.6003262475377538</v>
      </c>
      <c r="AK102" s="438">
        <f>INPUT!BJ721</f>
        <v>0.46584099889108188</v>
      </c>
      <c r="AL102" s="457">
        <f>INPUT!BK721</f>
        <v>5.515415327973626</v>
      </c>
      <c r="AM102" s="438">
        <f>INPUT!BL721</f>
        <v>-3.0058935733439824</v>
      </c>
      <c r="AN102" s="457">
        <f>INPUT!BM721</f>
        <v>5.1578643354504878</v>
      </c>
      <c r="AO102" s="438">
        <f>INPUT!BN721</f>
        <v>-7.4565633080706419</v>
      </c>
      <c r="AP102" s="457">
        <f>INPUT!BO721</f>
        <v>5.516885161226849</v>
      </c>
      <c r="AQ102" s="438">
        <f>INPUT!BP721</f>
        <v>-1.2483945861451673</v>
      </c>
      <c r="AR102" s="457">
        <f>INPUT!BQ721</f>
        <v>5.6477972262734228</v>
      </c>
      <c r="AS102" s="438">
        <f>INPUT!BR721</f>
        <v>0.84764666623735252</v>
      </c>
      <c r="AT102" s="457">
        <f>INPUT!BS721</f>
        <v>6.0668812871128637</v>
      </c>
      <c r="AU102" s="438">
        <f>INPUT!BT721</f>
        <v>9.9986297739403085</v>
      </c>
      <c r="AV102" s="457">
        <f>INPUT!BU721</f>
        <v>5.1442735745180785</v>
      </c>
      <c r="AW102" s="438">
        <f>INPUT!BV721</f>
        <v>-0.26349589769158399</v>
      </c>
      <c r="AX102" s="457">
        <f>INPUT!BW721</f>
        <v>5.5781109172544383</v>
      </c>
      <c r="AY102" s="438">
        <f>INPUT!BX721</f>
        <v>1.109788480969101</v>
      </c>
      <c r="AZ102" s="457">
        <f>INPUT!BY721</f>
        <v>5.8364408072244167</v>
      </c>
      <c r="BA102" s="438">
        <f>INPUT!BZ721</f>
        <v>3.3401266616554182</v>
      </c>
      <c r="BB102" s="457">
        <f>INPUT!CA721</f>
        <v>5.70587530591638</v>
      </c>
      <c r="BC102" s="438">
        <f>INPUT!CB721</f>
        <v>-5.9504375330917441</v>
      </c>
      <c r="BD102" s="457">
        <f>INPUT!CC721</f>
        <v>5.9546657483908101</v>
      </c>
      <c r="BE102" s="438">
        <f>INPUT!CD721</f>
        <v>15.753286875856915</v>
      </c>
      <c r="BF102" s="456">
        <f>INPUT!CE721</f>
        <v>5.3885959269155101</v>
      </c>
      <c r="BG102" s="438">
        <f>INPUT!CF721</f>
        <v>-3.3974761913161871</v>
      </c>
      <c r="BH102" s="456">
        <f>INPUT!CG721</f>
        <v>5.5558401997270526</v>
      </c>
      <c r="BI102" s="438">
        <f>INPUT!CH721</f>
        <v>-4.807735000927849</v>
      </c>
      <c r="BJ102" s="456">
        <f>INPUT!CI721</f>
        <v>5.4538947193833573</v>
      </c>
      <c r="BK102" s="438">
        <f>INPUT!CJ721</f>
        <v>-4.4161600635006124</v>
      </c>
      <c r="BL102" s="456">
        <f>INPUT!CK721</f>
        <v>5.432801193172403</v>
      </c>
      <c r="BM102" s="438">
        <f>INPUT!CL721</f>
        <v>-8.7639605188492027</v>
      </c>
      <c r="BN102" s="456">
        <f>INPUT!CM721</f>
        <v>4.9720151023583199</v>
      </c>
      <c r="BO102" s="438">
        <f>INPUT!CN721</f>
        <v>-7.7307860935797663</v>
      </c>
      <c r="BP102" s="456">
        <f>INPUT!CO721</f>
        <v>4.999667329543354</v>
      </c>
      <c r="BQ102" s="438">
        <f>INPUT!CP721</f>
        <v>-10.010598760760288</v>
      </c>
      <c r="BR102" s="456">
        <f>INPUT!CQ721</f>
        <v>5.1952692454427876</v>
      </c>
      <c r="BS102" s="438">
        <f>INPUT!CR721</f>
        <v>-4.7420327536100899</v>
      </c>
      <c r="BT102" s="456">
        <f>INPUT!CS721</f>
        <v>5.0344827586206895</v>
      </c>
      <c r="BU102" s="438">
        <f>INPUT!CT721</f>
        <v>-7.3317322020230478</v>
      </c>
      <c r="BV102" s="456">
        <f>INPUT!CU721</f>
        <v>4.6909753713666822</v>
      </c>
      <c r="BW102" s="438">
        <f>INPUT!CV721</f>
        <v>-5.6524311613280247</v>
      </c>
      <c r="BX102" s="456">
        <f>INPUT!CW721</f>
        <v>4.9714919501585708</v>
      </c>
      <c r="BY102" s="438">
        <f>INPUT!CX721</f>
        <v>-0.56354508265566494</v>
      </c>
      <c r="BZ102" s="456">
        <f>INPUT!CY721</f>
        <v>4.6597698430808849</v>
      </c>
      <c r="CA102" s="438">
        <f>INPUT!CZ721</f>
        <v>-10.30744273420737</v>
      </c>
      <c r="CB102" s="456">
        <f>INPUT!DA721</f>
        <v>4.2262356373534402</v>
      </c>
      <c r="CC102" s="438">
        <f>INPUT!DB721</f>
        <v>-16.054223641609738</v>
      </c>
      <c r="CD102" s="456">
        <f>INPUT!DC721</f>
        <v>4.0074150726199509</v>
      </c>
      <c r="CE102" s="438">
        <f>INPUT!DD721</f>
        <v>-14.571815979233776</v>
      </c>
      <c r="CF102" s="456">
        <f>INPUT!DE721</f>
        <v>3.9783867620487365</v>
      </c>
      <c r="CG102" s="438">
        <f>INPUT!DF721</f>
        <v>-19.975999117893736</v>
      </c>
      <c r="CH102" s="456">
        <f>INPUT!DG721</f>
        <v>3.9798515619625623</v>
      </c>
      <c r="CI102" s="438">
        <f>INPUT!DH721</f>
        <v>-14.591241713963782</v>
      </c>
      <c r="CJ102" s="456">
        <f>INPUT!DI721</f>
        <v>3.8136570497407969</v>
      </c>
      <c r="CK102" s="438">
        <f>INPUT!DJ721</f>
        <v>-9.7623185978103351</v>
      </c>
      <c r="CL102" s="456">
        <f>INPUT!DK721</f>
        <v>3.858900500739511</v>
      </c>
      <c r="CM102" s="438">
        <f>INPUT!DL721</f>
        <v>-3.7059942429009425</v>
      </c>
      <c r="CN102" s="456">
        <f>INPUT!DM721</f>
        <v>3.8560981547019737</v>
      </c>
      <c r="CO102" s="438">
        <f>INPUT!DN721</f>
        <v>-3.0738240060850188</v>
      </c>
      <c r="CP102" s="456">
        <f>INPUT!DO721</f>
        <v>3.8750692105384581</v>
      </c>
      <c r="CQ102" s="438">
        <f>INPUT!DP721</f>
        <v>-2.6328205912391667</v>
      </c>
      <c r="CR102" s="456">
        <f>INPUT!DQ721</f>
        <v>3.6074013602313428</v>
      </c>
      <c r="CS102" s="438">
        <f>INPUT!DR721</f>
        <v>-5.4083439286569472</v>
      </c>
      <c r="CT102" s="456">
        <f>INPUT!DS721</f>
        <v>3.8332329575206754</v>
      </c>
      <c r="CU102" s="438">
        <f>INPUT!DT721</f>
        <v>-0.6651517242778624</v>
      </c>
      <c r="CV102" s="456">
        <f>INPUT!DU721</f>
        <v>4.0520120542958455</v>
      </c>
      <c r="CW102" s="438">
        <f>INPUT!DV721</f>
        <v>5.0806253299071784</v>
      </c>
      <c r="CX102" s="456">
        <f>INPUT!DW721</f>
        <v>4.2320121042749728</v>
      </c>
      <c r="CY102" s="438">
        <f>INPUT!DX721</f>
        <v>9.2112649953654824</v>
      </c>
      <c r="CZ102" s="456">
        <f>INPUT!DY721</f>
        <v>4.2581131402451744</v>
      </c>
      <c r="DA102" s="438">
        <f>INPUT!DZ721</f>
        <v>18.038241798858266</v>
      </c>
      <c r="DB102" s="456">
        <f>INPUT!EA721</f>
        <v>4.2530700722046593</v>
      </c>
      <c r="DC102" s="438">
        <f>INPUT!EB721</f>
        <v>10.952559349680996</v>
      </c>
      <c r="DD102" s="456">
        <f>INPUT!EC721</f>
        <v>4.1597637496554229</v>
      </c>
      <c r="DE102" s="438">
        <f>INPUT!ED721</f>
        <v>2.6592145807005068</v>
      </c>
      <c r="DF102" s="456">
        <f>INPUT!EE721</f>
        <v>4.1652564780539398</v>
      </c>
      <c r="DG102" s="438">
        <f>INPUT!EF721</f>
        <v>-1.5773968640968548</v>
      </c>
      <c r="DH102" s="456">
        <f>INPUT!EG721</f>
        <v>4.3276802819184086</v>
      </c>
      <c r="DI102" s="438">
        <f>INPUT!EH721</f>
        <v>1.6337551253799774</v>
      </c>
      <c r="DJ102" s="456">
        <f>INPUT!EI721</f>
        <v>4.3772786267702983</v>
      </c>
      <c r="DK102" s="438">
        <f>INPUT!EJ721</f>
        <v>2.920444583722869</v>
      </c>
      <c r="DL102" s="456">
        <f>INPUT!EK721</f>
        <v>4.2846553992240555</v>
      </c>
      <c r="DM102" s="438">
        <f>INPUT!EL721</f>
        <v>3.0023736222754849</v>
      </c>
      <c r="DN102" s="456">
        <f>INPUT!EM721</f>
        <v>4.4576689723802705</v>
      </c>
      <c r="DO102" s="438">
        <f>INPUT!EN721</f>
        <v>7.0202758429644092</v>
      </c>
      <c r="DP102" s="456">
        <f>INPUT!EO721</f>
        <v>4.8121198561892227</v>
      </c>
      <c r="DQ102" s="438">
        <f>INPUT!EP721</f>
        <v>11.193977898387345</v>
      </c>
      <c r="DR102" s="456">
        <f>INPUT!EQ721</f>
        <v>4.9244338910929661</v>
      </c>
      <c r="DS102" s="438">
        <f>INPUT!ER721</f>
        <v>12.499895733765001</v>
      </c>
      <c r="DT102" s="456">
        <f>INPUT!ES721</f>
        <v>4.8801981000395092</v>
      </c>
      <c r="DU102" s="438">
        <f>INPUT!ET721</f>
        <v>13.899430533510483</v>
      </c>
      <c r="DV102" s="456">
        <f>INPUT!EU721</f>
        <v>4.8339448367272571</v>
      </c>
      <c r="DW102" s="438">
        <f>INPUT!EV721</f>
        <v>8.4410903249746241</v>
      </c>
      <c r="DX102" s="456">
        <f>INPUT!EW721</f>
        <v>4.771633671191668</v>
      </c>
      <c r="DY102" s="438">
        <f>INPUT!EX721</f>
        <v>-0.84133783462360157</v>
      </c>
      <c r="DZ102" s="456"/>
      <c r="EA102" s="438"/>
      <c r="EB102" s="439">
        <f>INPUT!FI721</f>
        <v>26.34733423389595</v>
      </c>
      <c r="EC102" s="457">
        <f>INPUT!FJ721</f>
        <v>8.3438634225030235</v>
      </c>
      <c r="ED102" s="439">
        <f>INPUT!FK721</f>
        <v>1.1359497428109933</v>
      </c>
      <c r="EE102" s="457">
        <f>INPUT!FL721</f>
        <v>7.3505769428759233</v>
      </c>
      <c r="EF102" s="439">
        <f>INPUT!FM721</f>
        <v>-11.904395234325762</v>
      </c>
      <c r="EG102" s="457">
        <f>INPUT!FN721</f>
        <v>5.8897852075031585</v>
      </c>
      <c r="EH102" s="439">
        <f>INPUT!FO721</f>
        <v>-19.873157532056624</v>
      </c>
      <c r="EI102" s="457">
        <f>INPUT!FP721</f>
        <v>5.9503433335939837</v>
      </c>
      <c r="EJ102" s="438">
        <f>INPUT!FQ721</f>
        <v>1.0281890418292221</v>
      </c>
      <c r="EK102" s="457">
        <f>INPUT!FR721</f>
        <v>5.5734523374365903</v>
      </c>
      <c r="EL102" s="438">
        <f>INPUT!FS721</f>
        <v>-6.3339369684698994</v>
      </c>
      <c r="EM102" s="457">
        <f>INPUT!FT721</f>
        <v>5.1578643354504878</v>
      </c>
      <c r="EN102" s="438">
        <f>INPUT!FU721</f>
        <v>-7.4565633080706419</v>
      </c>
      <c r="EO102" s="457">
        <f>INPUT!FV721</f>
        <v>5.1442735745180785</v>
      </c>
      <c r="EP102" s="438">
        <f>INPUT!FW721</f>
        <v>-0.26349589769158399</v>
      </c>
      <c r="EQ102" s="456">
        <f>INPUT!FX721</f>
        <v>5.9546657483908101</v>
      </c>
      <c r="ER102" s="438">
        <f>INPUT!FY721</f>
        <v>15.753286875856915</v>
      </c>
      <c r="ES102" s="456">
        <f>INPUT!FZ721</f>
        <v>5.432801193172403</v>
      </c>
      <c r="ET102" s="438">
        <f>INPUT!GA721</f>
        <v>-8.7639605188492027</v>
      </c>
      <c r="EU102" s="456">
        <f>INPUT!GB721</f>
        <v>5.0344827586206895</v>
      </c>
      <c r="EV102" s="438">
        <f>INPUT!GC721</f>
        <v>-7.3317322020230478</v>
      </c>
      <c r="EW102" s="456">
        <f>INPUT!GD721</f>
        <v>4.2262356373534402</v>
      </c>
      <c r="EX102" s="438">
        <f>INPUT!GE721</f>
        <v>-16.054223641609738</v>
      </c>
      <c r="EY102" s="456">
        <f>INPUT!GF721</f>
        <v>3.8136570497407969</v>
      </c>
      <c r="EZ102" s="438">
        <f>INPUT!GG721</f>
        <v>-9.7623185978103351</v>
      </c>
      <c r="FA102" s="456">
        <f>INPUT!GH721</f>
        <v>3.6074013602313428</v>
      </c>
      <c r="FB102" s="438">
        <f>INPUT!GI721</f>
        <v>-5.4083439286569472</v>
      </c>
      <c r="FC102" s="456">
        <f>INPUT!GJ721</f>
        <v>4.2581131402451744</v>
      </c>
      <c r="FD102" s="438">
        <f>INPUT!GK721</f>
        <v>18.038241798858266</v>
      </c>
      <c r="FE102" s="456">
        <f>INPUT!GL721</f>
        <v>4.3276802819184086</v>
      </c>
      <c r="FF102" s="438">
        <f>INPUT!GM721</f>
        <v>1.6337551253799774</v>
      </c>
      <c r="FG102" s="456">
        <f>INPUT!GN721</f>
        <v>4.8121198561892227</v>
      </c>
      <c r="FH102" s="438">
        <f>INPUT!GO721</f>
        <v>11.193977898387345</v>
      </c>
      <c r="FI102" s="456">
        <f>INPUT!GP721</f>
        <v>4.771633671191668</v>
      </c>
      <c r="FJ102" s="438">
        <f>INPUT!GQ721</f>
        <v>-0.84133783462360157</v>
      </c>
      <c r="FK102" s="456">
        <f>INPUT!GR721</f>
        <v>4.6649025405992663</v>
      </c>
      <c r="FL102" s="438">
        <f>INPUT!GS721</f>
        <v>-2.2367838343664488</v>
      </c>
      <c r="FM102" s="456">
        <f>INPUT!GT721</f>
        <v>4.5346537650443794</v>
      </c>
      <c r="FN102" s="438">
        <f>INPUT!GU721</f>
        <v>-2.792100679945932</v>
      </c>
      <c r="FO102" s="456">
        <f>INPUT!GV721</f>
        <v>4.3950635842800807</v>
      </c>
      <c r="FP102" s="438">
        <f>INPUT!GW721</f>
        <v>-3.078298542665749</v>
      </c>
      <c r="FQ102" s="456">
        <f>INPUT!GX721</f>
        <v>4.246431397233482</v>
      </c>
      <c r="FR102" s="438">
        <f>INPUT!GY721</f>
        <v>-3.3817983334351425</v>
      </c>
      <c r="FS102" s="806">
        <f>INPUT!GZ721</f>
        <v>-2.4701547131910861</v>
      </c>
    </row>
    <row r="103" spans="1:176" s="529" customFormat="1" ht="12.75" customHeight="1" x14ac:dyDescent="0.2">
      <c r="A103" s="805" t="str">
        <f>INPUT!B722</f>
        <v>Oper Return on Avg Assets (%)</v>
      </c>
      <c r="B103" s="457">
        <f>INPUT!AA722</f>
        <v>0.20298151354768063</v>
      </c>
      <c r="C103" s="439">
        <f>INPUT!AB722</f>
        <v>-4.571980538702249</v>
      </c>
      <c r="D103" s="457">
        <f>INPUT!AC722</f>
        <v>0.22551797378251048</v>
      </c>
      <c r="E103" s="439">
        <f>INPUT!AD722</f>
        <v>11.364526072557396</v>
      </c>
      <c r="F103" s="457">
        <f>INPUT!AE722</f>
        <v>0.40694711255733718</v>
      </c>
      <c r="G103" s="439">
        <f>INPUT!AF722</f>
        <v>4.5946148754835576</v>
      </c>
      <c r="H103" s="457">
        <f>INPUT!AG722</f>
        <v>0.4486631912566561</v>
      </c>
      <c r="I103" s="439" t="str">
        <f>INPUT!AH722</f>
        <v>NM</v>
      </c>
      <c r="J103" s="457">
        <f>INPUT!AI722</f>
        <v>0.4374169906253938</v>
      </c>
      <c r="K103" s="439" t="str">
        <f>INPUT!AJ722</f>
        <v>NM</v>
      </c>
      <c r="L103" s="457">
        <f>INPUT!AK722</f>
        <v>0.2547905378617682</v>
      </c>
      <c r="M103" s="439">
        <f>INPUT!AL722</f>
        <v>12.980146809712025</v>
      </c>
      <c r="N103" s="457">
        <f>INPUT!AM722</f>
        <v>0.23216268343542079</v>
      </c>
      <c r="O103" s="439">
        <f>INPUT!AN722</f>
        <v>-42.950158319968409</v>
      </c>
      <c r="P103" s="457">
        <f>INPUT!AO722</f>
        <v>0.23875808197674145</v>
      </c>
      <c r="Q103" s="439">
        <f>INPUT!AP722</f>
        <v>-46.784562088098561</v>
      </c>
      <c r="R103" s="457">
        <f>INPUT!AQ722</f>
        <v>0.26442698126697256</v>
      </c>
      <c r="S103" s="439">
        <f>INPUT!AR722</f>
        <v>-39.548077250289246</v>
      </c>
      <c r="T103" s="457">
        <f>INPUT!AS722</f>
        <v>0.2430414732699443</v>
      </c>
      <c r="U103" s="439">
        <f>INPUT!AT722</f>
        <v>-4.6112640957640849</v>
      </c>
      <c r="V103" s="457">
        <f>INPUT!AU722</f>
        <v>0.29522256090810461</v>
      </c>
      <c r="W103" s="439">
        <f>INPUT!AV722</f>
        <v>27.161935130813049</v>
      </c>
      <c r="X103" s="457">
        <f>INPUT!AW722</f>
        <v>0.21877471593515996</v>
      </c>
      <c r="Y103" s="439">
        <f>INPUT!AX722</f>
        <v>-8.3697129228606286</v>
      </c>
      <c r="Z103" s="457">
        <f>INPUT!AY722</f>
        <v>0.17049429183978068</v>
      </c>
      <c r="AA103" s="439">
        <f>INPUT!AZ722</f>
        <v>-35.523110757126148</v>
      </c>
      <c r="AB103" s="457">
        <f>INPUT!BA722</f>
        <v>0.17740981667652278</v>
      </c>
      <c r="AC103" s="439">
        <f>INPUT!BB722</f>
        <v>-27.004303302805013</v>
      </c>
      <c r="AD103" s="457">
        <f>INPUT!BC722</f>
        <v>0.20888093921053236</v>
      </c>
      <c r="AE103" s="439">
        <f>INPUT!BD722</f>
        <v>-29.246281663564403</v>
      </c>
      <c r="AF103" s="457">
        <f>INPUT!BE722</f>
        <v>0.1902732424603896</v>
      </c>
      <c r="AG103" s="439">
        <f>INPUT!BF722</f>
        <v>-13.027773046322949</v>
      </c>
      <c r="AH103" s="457">
        <f>INPUT!BG722</f>
        <v>0.20442556832708089</v>
      </c>
      <c r="AI103" s="438">
        <f>INPUT!BH722</f>
        <v>19.901708216241403</v>
      </c>
      <c r="AJ103" s="457">
        <f>INPUT!BI722</f>
        <v>0.20611730393413522</v>
      </c>
      <c r="AK103" s="438">
        <f>INPUT!BJ722</f>
        <v>16.181453650874204</v>
      </c>
      <c r="AL103" s="457">
        <f>INPUT!BK722</f>
        <v>0.23040141661657026</v>
      </c>
      <c r="AM103" s="438">
        <f>INPUT!BL722</f>
        <v>10.302748296409803</v>
      </c>
      <c r="AN103" s="457">
        <f>INPUT!BM722</f>
        <v>0.19087775625644671</v>
      </c>
      <c r="AO103" s="438">
        <f>INPUT!BN722</f>
        <v>0.31770825379346945</v>
      </c>
      <c r="AP103" s="457">
        <f>INPUT!BO722</f>
        <v>0.16442686974484516</v>
      </c>
      <c r="AQ103" s="438">
        <f>INPUT!BP722</f>
        <v>-19.566387370017139</v>
      </c>
      <c r="AR103" s="457">
        <f>INPUT!BQ722</f>
        <v>0.20463100627051384</v>
      </c>
      <c r="AS103" s="438">
        <f>INPUT!BR722</f>
        <v>-0.72109310341859612</v>
      </c>
      <c r="AT103" s="457">
        <f>INPUT!BS722</f>
        <v>0.10447858189071241</v>
      </c>
      <c r="AU103" s="438" t="str">
        <f>INPUT!BT722</f>
        <v>NM</v>
      </c>
      <c r="AV103" s="457">
        <f>INPUT!BU722</f>
        <v>-0.22711135311030031</v>
      </c>
      <c r="AW103" s="438" t="str">
        <f>INPUT!BV722</f>
        <v>NM</v>
      </c>
      <c r="AX103" s="457">
        <f>INPUT!BW722</f>
        <v>5.0913410834858709E-2</v>
      </c>
      <c r="AY103" s="438" t="str">
        <f>INPUT!BX722</f>
        <v>NM</v>
      </c>
      <c r="AZ103" s="457">
        <f>INPUT!BY722</f>
        <v>0.23173910644522705</v>
      </c>
      <c r="BA103" s="438">
        <f>INPUT!BZ722</f>
        <v>13.24730824950224</v>
      </c>
      <c r="BB103" s="457">
        <f>INPUT!CA722</f>
        <v>0.20778351997952574</v>
      </c>
      <c r="BC103" s="438">
        <f>INPUT!CB722</f>
        <v>98.876665647006263</v>
      </c>
      <c r="BD103" s="457">
        <f>INPUT!CC722</f>
        <v>0.13441903800613378</v>
      </c>
      <c r="BE103" s="438" t="str">
        <f>INPUT!CD722</f>
        <v>NM</v>
      </c>
      <c r="BF103" s="456">
        <f>INPUT!CE722</f>
        <v>0.15073901346784135</v>
      </c>
      <c r="BG103" s="438" t="str">
        <f>INPUT!CF722</f>
        <v>NM</v>
      </c>
      <c r="BH103" s="456">
        <f>INPUT!CG722</f>
        <v>8.8623460196608453E-2</v>
      </c>
      <c r="BI103" s="438" t="str">
        <f>INPUT!CH722</f>
        <v>NM</v>
      </c>
      <c r="BJ103" s="456">
        <f>INPUT!CI722</f>
        <v>0.20324264400203243</v>
      </c>
      <c r="BK103" s="438">
        <f>INPUT!CJ722</f>
        <v>-2.1853879354535621</v>
      </c>
      <c r="BL103" s="456">
        <f>INPUT!CK722</f>
        <v>0.16923224326381392</v>
      </c>
      <c r="BM103" s="438">
        <f>INPUT!CL722</f>
        <v>25.899013840652202</v>
      </c>
      <c r="BN103" s="456">
        <f>INPUT!CM722</f>
        <v>0.16140348063839768</v>
      </c>
      <c r="BO103" s="438">
        <f>INPUT!CN722</f>
        <v>7.0747890179283246</v>
      </c>
      <c r="BP103" s="456">
        <f>INPUT!CO722</f>
        <v>0.1482662482469625</v>
      </c>
      <c r="BQ103" s="438">
        <f>INPUT!CP722</f>
        <v>67.299096557546193</v>
      </c>
      <c r="BR103" s="456">
        <f>INPUT!CQ722</f>
        <v>8.0479520331302248E-2</v>
      </c>
      <c r="BS103" s="438" t="str">
        <f>INPUT!CR722</f>
        <v>NM</v>
      </c>
      <c r="BT103" s="456">
        <f>INPUT!CS722</f>
        <v>0.16834889992511498</v>
      </c>
      <c r="BU103" s="438">
        <f>INPUT!CT722</f>
        <v>-0.52197106276132388</v>
      </c>
      <c r="BV103" s="456">
        <f>INPUT!CU722</f>
        <v>0.1467687371238833</v>
      </c>
      <c r="BW103" s="438">
        <f>INPUT!CV722</f>
        <v>-9.0671796274960741</v>
      </c>
      <c r="BX103" s="456">
        <f>INPUT!CW722</f>
        <v>0.11804011826721929</v>
      </c>
      <c r="BY103" s="438">
        <f>INPUT!CX722</f>
        <v>-20.386386205305797</v>
      </c>
      <c r="BZ103" s="456">
        <f>INPUT!CY722</f>
        <v>0.13268184300532612</v>
      </c>
      <c r="CA103" s="438">
        <f>INPUT!CZ722</f>
        <v>64.864107612877945</v>
      </c>
      <c r="CB103" s="456">
        <f>INPUT!DA722</f>
        <v>0.13512227153849007</v>
      </c>
      <c r="CC103" s="438">
        <f>INPUT!DB722</f>
        <v>-19.736765967229246</v>
      </c>
      <c r="CD103" s="456">
        <f>INPUT!DC722</f>
        <v>0.16618066102441065</v>
      </c>
      <c r="CE103" s="438">
        <f>INPUT!DD722</f>
        <v>13.226198086137586</v>
      </c>
      <c r="CF103" s="456">
        <f>INPUT!DE722</f>
        <v>0.17002497905495007</v>
      </c>
      <c r="CG103" s="438">
        <f>INPUT!DF722</f>
        <v>44.039993818074123</v>
      </c>
      <c r="CH103" s="456">
        <f>INPUT!DG722</f>
        <v>0.21348211920734966</v>
      </c>
      <c r="CI103" s="438">
        <f>INPUT!DH722</f>
        <v>60.897764435469924</v>
      </c>
      <c r="CJ103" s="456">
        <f>INPUT!DI722</f>
        <v>0.16017165531709482</v>
      </c>
      <c r="CK103" s="438">
        <f>INPUT!DJ722</f>
        <v>18.538308669174015</v>
      </c>
      <c r="CL103" s="456">
        <f>INPUT!DK722</f>
        <v>0.16967895309429046</v>
      </c>
      <c r="CM103" s="438">
        <f>INPUT!DL722</f>
        <v>2.1051138251074519</v>
      </c>
      <c r="CN103" s="456">
        <f>INPUT!DM722</f>
        <v>0.17154735421757047</v>
      </c>
      <c r="CO103" s="438">
        <f>INPUT!DN722</f>
        <v>0.89538323785258456</v>
      </c>
      <c r="CP103" s="456">
        <f>INPUT!DO722</f>
        <v>0.14901422192310493</v>
      </c>
      <c r="CQ103" s="438">
        <f>INPUT!DP722</f>
        <v>-30.198265561355385</v>
      </c>
      <c r="CR103" s="456">
        <f>INPUT!DQ722</f>
        <v>0.14510904772187433</v>
      </c>
      <c r="CS103" s="438">
        <f>INPUT!DR722</f>
        <v>-9.4040406621263628</v>
      </c>
      <c r="CT103" s="456">
        <f>INPUT!DS722</f>
        <v>0.18436360821454925</v>
      </c>
      <c r="CU103" s="438">
        <f>INPUT!DT722</f>
        <v>8.6543763103598081</v>
      </c>
      <c r="CV103" s="456">
        <f>INPUT!DU722</f>
        <v>0.1913318182687872</v>
      </c>
      <c r="CW103" s="438">
        <f>INPUT!DV722</f>
        <v>11.532946189379544</v>
      </c>
      <c r="CX103" s="456">
        <f>INPUT!DW722</f>
        <v>0.15969338869370808</v>
      </c>
      <c r="CY103" s="438">
        <f>INPUT!DX722</f>
        <v>7.1665419802103543</v>
      </c>
      <c r="CZ103" s="456">
        <f>INPUT!DY722</f>
        <v>0.12851699893335219</v>
      </c>
      <c r="DA103" s="438">
        <f>INPUT!DZ722</f>
        <v>-11.434193145780654</v>
      </c>
      <c r="DB103" s="456">
        <f>INPUT!EA722</f>
        <v>0.14194474263439191</v>
      </c>
      <c r="DC103" s="438">
        <f>INPUT!EB722</f>
        <v>-23.008263936119803</v>
      </c>
      <c r="DD103" s="456">
        <f>INPUT!EC722</f>
        <v>0.11495583768346654</v>
      </c>
      <c r="DE103" s="438">
        <f>INPUT!ED722</f>
        <v>-39.918075977319148</v>
      </c>
      <c r="DF103" s="456">
        <f>INPUT!EE722</f>
        <v>0.15995358525687256</v>
      </c>
      <c r="DG103" s="438">
        <f>INPUT!EF722</f>
        <v>0.16293508785358313</v>
      </c>
      <c r="DH103" s="456">
        <f>INPUT!EG722</f>
        <v>0.14746558741699142</v>
      </c>
      <c r="DI103" s="438">
        <f>INPUT!EH722</f>
        <v>14.744032805703625</v>
      </c>
      <c r="DJ103" s="456">
        <f>INPUT!EI722</f>
        <v>0.16989657871966377</v>
      </c>
      <c r="DK103" s="438">
        <f>INPUT!EJ722</f>
        <v>19.692054504102046</v>
      </c>
      <c r="DL103" s="456">
        <f>INPUT!EK722</f>
        <v>0.12393512218870235</v>
      </c>
      <c r="DM103" s="438">
        <f>INPUT!EL722</f>
        <v>7.8110730922256124</v>
      </c>
      <c r="DN103" s="456">
        <f>INPUT!EM722</f>
        <v>0.17564496086157635</v>
      </c>
      <c r="DO103" s="438">
        <f>INPUT!EN722</f>
        <v>9.8099555439815447</v>
      </c>
      <c r="DP103" s="456">
        <f>INPUT!EO722</f>
        <v>0.15368781981446095</v>
      </c>
      <c r="DQ103" s="438">
        <f>INPUT!EP722</f>
        <v>4.2194470631814482</v>
      </c>
      <c r="DR103" s="456">
        <f>INPUT!EQ722</f>
        <v>0.34545556185457443</v>
      </c>
      <c r="DS103" s="438" t="str">
        <f>INPUT!ER722</f>
        <v>NM</v>
      </c>
      <c r="DT103" s="456">
        <f>INPUT!ES722</f>
        <v>0.3423184657757749</v>
      </c>
      <c r="DU103" s="438" t="str">
        <f>INPUT!ET722</f>
        <v>NM</v>
      </c>
      <c r="DV103" s="456">
        <f>INPUT!EU722</f>
        <v>0.33357520362538928</v>
      </c>
      <c r="DW103" s="438">
        <f>INPUT!EV722</f>
        <v>89.91447405557841</v>
      </c>
      <c r="DX103" s="456">
        <f>INPUT!EW722</f>
        <v>0.29655253573507317</v>
      </c>
      <c r="DY103" s="438">
        <f>INPUT!EX722</f>
        <v>92.957734772401068</v>
      </c>
      <c r="DZ103" s="456"/>
      <c r="EA103" s="438"/>
      <c r="EB103" s="439" t="str">
        <f>INPUT!FI722</f>
        <v>NM</v>
      </c>
      <c r="EC103" s="457">
        <f>INPUT!FJ722</f>
        <v>0.28250178777710544</v>
      </c>
      <c r="ED103" s="439">
        <f>INPUT!FK722</f>
        <v>26.749466338841017</v>
      </c>
      <c r="EE103" s="457">
        <f>INPUT!FL722</f>
        <v>0.43528803383588244</v>
      </c>
      <c r="EF103" s="439">
        <f>INPUT!FM722</f>
        <v>54.083284662016268</v>
      </c>
      <c r="EG103" s="457">
        <f>INPUT!FN722</f>
        <v>0.55183521088510212</v>
      </c>
      <c r="EH103" s="439">
        <f>INPUT!FO722</f>
        <v>26.774725696494045</v>
      </c>
      <c r="EI103" s="457">
        <f>INPUT!FP722</f>
        <v>0.61299643163701423</v>
      </c>
      <c r="EJ103" s="438">
        <f>INPUT!FQ722</f>
        <v>11.083239986410803</v>
      </c>
      <c r="EK103" s="457">
        <f>INPUT!FR722</f>
        <v>0.6280821105962584</v>
      </c>
      <c r="EL103" s="438">
        <f>INPUT!FS722</f>
        <v>2.4609733728722745</v>
      </c>
      <c r="EM103" s="457">
        <f>INPUT!FT722</f>
        <v>0.69287061181525134</v>
      </c>
      <c r="EN103" s="438">
        <f>INPUT!FU722</f>
        <v>10.315291603750197</v>
      </c>
      <c r="EO103" s="457">
        <f>INPUT!FV722</f>
        <v>-0.1661704500812852</v>
      </c>
      <c r="EP103" s="438" t="str">
        <f>INPUT!FW722</f>
        <v>NM</v>
      </c>
      <c r="EQ103" s="456">
        <f>INPUT!FX722</f>
        <v>0.2791179234542337</v>
      </c>
      <c r="ER103" s="438" t="str">
        <f>INPUT!FY722</f>
        <v>NM</v>
      </c>
      <c r="ES103" s="456">
        <f>INPUT!FZ722</f>
        <v>0.46168571780091183</v>
      </c>
      <c r="ET103" s="438">
        <f>INPUT!GA722</f>
        <v>65.408839420738019</v>
      </c>
      <c r="EU103" s="456">
        <f>INPUT!GB722</f>
        <v>0.48156072656942794</v>
      </c>
      <c r="EV103" s="438">
        <f>INPUT!GC722</f>
        <v>4.3048784058524063</v>
      </c>
      <c r="EW103" s="456">
        <f>INPUT!GD722</f>
        <v>0.43974139777944882</v>
      </c>
      <c r="EX103" s="438">
        <f>INPUT!GE722</f>
        <v>-8.6841236177821628</v>
      </c>
      <c r="EY103" s="456">
        <f>INPUT!GF722</f>
        <v>0.73743459355884744</v>
      </c>
      <c r="EZ103" s="438">
        <f>INPUT!GG722</f>
        <v>67.697332405512071</v>
      </c>
      <c r="FA103" s="456">
        <f>INPUT!GH722</f>
        <v>0.62745421195562201</v>
      </c>
      <c r="FB103" s="438">
        <f>INPUT!GI722</f>
        <v>-14.913916781753073</v>
      </c>
      <c r="FC103" s="456">
        <f>INPUT!GJ722</f>
        <v>0.66842795780090225</v>
      </c>
      <c r="FD103" s="438">
        <f>INPUT!GK722</f>
        <v>6.5301571117954609</v>
      </c>
      <c r="FE103" s="456">
        <f>INPUT!GL722</f>
        <v>0.57960501618716709</v>
      </c>
      <c r="FF103" s="438">
        <f>INPUT!GM722</f>
        <v>-13.288334303962785</v>
      </c>
      <c r="FG103" s="456">
        <f>INPUT!GN722</f>
        <v>0.62413673048683871</v>
      </c>
      <c r="FH103" s="438">
        <f>INPUT!GO722</f>
        <v>7.6831140269654412</v>
      </c>
      <c r="FI103" s="456">
        <f>INPUT!GP722</f>
        <v>0.65820833961372005</v>
      </c>
      <c r="FJ103" s="438">
        <f>INPUT!GQ722</f>
        <v>5.458997598219355</v>
      </c>
      <c r="FK103" s="456">
        <f>INPUT!GR722</f>
        <v>0.62849610131243749</v>
      </c>
      <c r="FL103" s="438">
        <f>INPUT!GS722</f>
        <v>-4.5141084536728329</v>
      </c>
      <c r="FM103" s="456">
        <f>INPUT!GT722</f>
        <v>0.59907903901171711</v>
      </c>
      <c r="FN103" s="438">
        <f>INPUT!GU722</f>
        <v>-4.6805480955714955</v>
      </c>
      <c r="FO103" s="456">
        <f>INPUT!GV722</f>
        <v>0.57164002647958256</v>
      </c>
      <c r="FP103" s="438">
        <f>INPUT!GW722</f>
        <v>-4.5801990631152592</v>
      </c>
      <c r="FQ103" s="456">
        <f>INPUT!GX722</f>
        <v>0.5445920850258783</v>
      </c>
      <c r="FR103" s="438">
        <f>INPUT!GY722</f>
        <v>-4.7316388287709117</v>
      </c>
      <c r="FS103" s="806">
        <f>INPUT!GZ722</f>
        <v>-2.6898108561569267</v>
      </c>
    </row>
    <row r="104" spans="1:176" s="529" customFormat="1" ht="12.75" customHeight="1" x14ac:dyDescent="0.2">
      <c r="A104" s="814" t="str">
        <f>INPUT!B723</f>
        <v>BVPS</v>
      </c>
      <c r="B104" s="815">
        <f>INPUT!AA723</f>
        <v>38.115837104072398</v>
      </c>
      <c r="C104" s="816">
        <f>INPUT!AB723</f>
        <v>14.584596403955885</v>
      </c>
      <c r="D104" s="815">
        <f>INPUT!AC723</f>
        <v>39.831655992680695</v>
      </c>
      <c r="E104" s="816">
        <f>INPUT!AD723</f>
        <v>14.709191954437344</v>
      </c>
      <c r="F104" s="815">
        <f>INPUT!AE723</f>
        <v>37.807840971838765</v>
      </c>
      <c r="G104" s="816">
        <f>INPUT!AF723</f>
        <v>2.0896166932915321</v>
      </c>
      <c r="H104" s="815">
        <f>INPUT!AG723</f>
        <v>37.610946745562131</v>
      </c>
      <c r="I104" s="816">
        <f>INPUT!AH723</f>
        <v>2.5786350302073942</v>
      </c>
      <c r="J104" s="815">
        <f>INPUT!AI723</f>
        <v>38.904032860343541</v>
      </c>
      <c r="K104" s="816">
        <f>INPUT!AJ723</f>
        <v>2.0678956994150184</v>
      </c>
      <c r="L104" s="815">
        <f>INPUT!AK723</f>
        <v>37.108000756572721</v>
      </c>
      <c r="M104" s="816">
        <f>INPUT!AL723</f>
        <v>-6.8379161454107305</v>
      </c>
      <c r="N104" s="815">
        <f>INPUT!AM723</f>
        <v>39.189655172413794</v>
      </c>
      <c r="O104" s="816">
        <f>INPUT!AN723</f>
        <v>3.6548349893988217</v>
      </c>
      <c r="P104" s="815">
        <f>INPUT!AO723</f>
        <v>39.90404515522107</v>
      </c>
      <c r="Q104" s="816">
        <f>INPUT!AP723</f>
        <v>6.0968909535081366</v>
      </c>
      <c r="R104" s="815">
        <f>INPUT!AQ723</f>
        <v>40.349477682811013</v>
      </c>
      <c r="S104" s="816">
        <f>INPUT!AR723</f>
        <v>3.7154112728011768</v>
      </c>
      <c r="T104" s="815">
        <f>INPUT!AS723</f>
        <v>42.822966507177036</v>
      </c>
      <c r="U104" s="816">
        <f>INPUT!AT723</f>
        <v>15.400899089375102</v>
      </c>
      <c r="V104" s="815">
        <f>INPUT!AU723</f>
        <v>43.794781931464172</v>
      </c>
      <c r="W104" s="816">
        <f>INPUT!AV723</f>
        <v>11.750873384290458</v>
      </c>
      <c r="X104" s="815">
        <f>INPUT!AW723</f>
        <v>42.701636758035889</v>
      </c>
      <c r="Y104" s="816">
        <f>INPUT!AX723</f>
        <v>7.01079700549802</v>
      </c>
      <c r="Z104" s="815">
        <f>INPUT!AY723</f>
        <v>42.432540475714568</v>
      </c>
      <c r="AA104" s="816">
        <f>INPUT!AZ723</f>
        <v>5.1625520639414475</v>
      </c>
      <c r="AB104" s="815">
        <f>INPUT!BA723</f>
        <v>41.411192214111921</v>
      </c>
      <c r="AC104" s="816">
        <f>INPUT!BB723</f>
        <v>-3.2967690195598749</v>
      </c>
      <c r="AD104" s="815">
        <f>INPUT!BC723</f>
        <v>45.311280049311691</v>
      </c>
      <c r="AE104" s="816">
        <f>INPUT!BD723</f>
        <v>3.4627369996287172</v>
      </c>
      <c r="AF104" s="815">
        <f>INPUT!BE723</f>
        <v>45.178087898354505</v>
      </c>
      <c r="AG104" s="816">
        <f>INPUT!BF723</f>
        <v>5.7994290812578413</v>
      </c>
      <c r="AH104" s="817">
        <f>INPUT!BG723</f>
        <v>47.051986475063401</v>
      </c>
      <c r="AI104" s="818">
        <f>INPUT!BH723</f>
        <v>10.886564762703003</v>
      </c>
      <c r="AJ104" s="817">
        <f>INPUT!BI723</f>
        <v>46.26757562846187</v>
      </c>
      <c r="AK104" s="818">
        <f>INPUT!BJ723</f>
        <v>11.727224343700527</v>
      </c>
      <c r="AL104" s="817">
        <f>INPUT!BK723</f>
        <v>47.729437229437231</v>
      </c>
      <c r="AM104" s="818">
        <f>INPUT!BL723</f>
        <v>5.3367664243735504</v>
      </c>
      <c r="AN104" s="817">
        <f>INPUT!BM723</f>
        <v>47.716483516483514</v>
      </c>
      <c r="AO104" s="818">
        <f>INPUT!BN723</f>
        <v>5.6186433207180215</v>
      </c>
      <c r="AP104" s="815">
        <f>INPUT!BO723</f>
        <v>49.519621109607577</v>
      </c>
      <c r="AQ104" s="818">
        <f>INPUT!BP723</f>
        <v>5.2444855561028589</v>
      </c>
      <c r="AR104" s="815">
        <f>INPUT!BQ723</f>
        <v>50.436296124390815</v>
      </c>
      <c r="AS104" s="818">
        <f>INPUT!BR723</f>
        <v>9.0100257886962254</v>
      </c>
      <c r="AT104" s="815">
        <f>INPUT!BS723</f>
        <v>49.84565014031805</v>
      </c>
      <c r="AU104" s="818">
        <f>INPUT!BT723</f>
        <v>4.4337688305607088</v>
      </c>
      <c r="AV104" s="815">
        <f>INPUT!BU723</f>
        <v>33.691654879773694</v>
      </c>
      <c r="AW104" s="818">
        <f>INPUT!BV723</f>
        <v>-29.391999584095473</v>
      </c>
      <c r="AX104" s="815">
        <f>INPUT!BW723</f>
        <v>33.834001414760671</v>
      </c>
      <c r="AY104" s="818">
        <f>INPUT!BX723</f>
        <v>-31.675564843535625</v>
      </c>
      <c r="AZ104" s="815">
        <f>INPUT!BY723</f>
        <v>40.200129115558425</v>
      </c>
      <c r="BA104" s="818">
        <f>INPUT!BZ723</f>
        <v>-20.295239332378756</v>
      </c>
      <c r="BB104" s="815">
        <f>INPUT!CA723</f>
        <v>49.709090909090911</v>
      </c>
      <c r="BC104" s="818">
        <f>INPUT!CB723</f>
        <v>-0.27396418913730258</v>
      </c>
      <c r="BD104" s="815">
        <f>INPUT!CC723</f>
        <v>51.523037542662117</v>
      </c>
      <c r="BE104" s="818">
        <f>INPUT!CD723</f>
        <v>52.925220582124751</v>
      </c>
      <c r="BF104" s="815">
        <f>INPUT!CE723</f>
        <v>49.407391673746815</v>
      </c>
      <c r="BG104" s="818">
        <f>INPUT!CF723</f>
        <v>46.028816006941412</v>
      </c>
      <c r="BH104" s="815">
        <f>INPUT!CG723</f>
        <v>54.908704883227173</v>
      </c>
      <c r="BI104" s="818">
        <f>INPUT!CH723</f>
        <v>36.588379418851616</v>
      </c>
      <c r="BJ104" s="815">
        <f>INPUT!CI723</f>
        <v>62.457627118644069</v>
      </c>
      <c r="BK104" s="818">
        <f>INPUT!CJ723</f>
        <v>25.64628718088602</v>
      </c>
      <c r="BL104" s="815">
        <f>INPUT!CK723</f>
        <v>57.575757575757578</v>
      </c>
      <c r="BM104" s="818">
        <f>INPUT!CL723</f>
        <v>11.747599368697337</v>
      </c>
      <c r="BN104" s="815">
        <f>INPUT!CM723</f>
        <v>57.823087847433563</v>
      </c>
      <c r="BO104" s="818">
        <f>INPUT!CN723</f>
        <v>17.033273541858577</v>
      </c>
      <c r="BP104" s="815">
        <f>INPUT!CO723</f>
        <v>62.280275415147834</v>
      </c>
      <c r="BQ104" s="818">
        <f>INPUT!CP723</f>
        <v>13.42514005310737</v>
      </c>
      <c r="BR104" s="815">
        <f>INPUT!CQ723</f>
        <v>68.772993311036799</v>
      </c>
      <c r="BS104" s="818">
        <f>INPUT!CR723</f>
        <v>10.111441122148477</v>
      </c>
      <c r="BT104" s="815">
        <f>INPUT!CS723</f>
        <v>69.073879183329822</v>
      </c>
      <c r="BU104" s="818">
        <f>INPUT!CT723</f>
        <v>19.970421739467596</v>
      </c>
      <c r="BV104" s="815">
        <f>INPUT!CU723</f>
        <v>70.836678639340803</v>
      </c>
      <c r="BW104" s="818">
        <f>INPUT!CV723</f>
        <v>22.505873131928979</v>
      </c>
      <c r="BX104" s="815">
        <f>INPUT!CW723</f>
        <v>78.140081144565443</v>
      </c>
      <c r="BY104" s="818">
        <f>INPUT!CX723</f>
        <v>25.465214506036332</v>
      </c>
      <c r="BZ104" s="815">
        <f>INPUT!CY723</f>
        <v>79.63383297644539</v>
      </c>
      <c r="CA104" s="818">
        <f>INPUT!CZ723</f>
        <v>15.792303261090751</v>
      </c>
      <c r="CB104" s="815">
        <f>INPUT!DA723</f>
        <v>79.038872276804781</v>
      </c>
      <c r="CC104" s="818">
        <f>INPUT!DB723</f>
        <v>14.426572260444146</v>
      </c>
      <c r="CD104" s="815">
        <f>INPUT!DC723</f>
        <v>81.772097976570819</v>
      </c>
      <c r="CE104" s="818">
        <f>INPUT!DD723</f>
        <v>15.437509983926276</v>
      </c>
      <c r="CF104" s="815">
        <f>INPUT!DE723</f>
        <v>71.758312020460366</v>
      </c>
      <c r="CG104" s="818">
        <f>INPUT!DF723</f>
        <v>-8.1670879152253377</v>
      </c>
      <c r="CH104" s="815">
        <f>INPUT!DG723</f>
        <v>70.049092849519738</v>
      </c>
      <c r="CI104" s="818">
        <f>INPUT!DH723</f>
        <v>-12.036015056264702</v>
      </c>
      <c r="CJ104" s="815">
        <f>INPUT!DI723</f>
        <v>72.295711542564547</v>
      </c>
      <c r="CK104" s="818">
        <f>INPUT!DJ723</f>
        <v>-8.5314485644794757</v>
      </c>
      <c r="CL104" s="815">
        <f>INPUT!DK723</f>
        <v>78.871728871728877</v>
      </c>
      <c r="CM104" s="818">
        <f>INPUT!DL723</f>
        <v>-3.5468933494563828</v>
      </c>
      <c r="CN104" s="815">
        <f>INPUT!DM723</f>
        <v>85.35183989670756</v>
      </c>
      <c r="CO104" s="818">
        <f>INPUT!DN723</f>
        <v>18.943488905328891</v>
      </c>
      <c r="CP104" s="815">
        <f>INPUT!DO723</f>
        <v>86.756581786793276</v>
      </c>
      <c r="CQ104" s="818">
        <f>INPUT!DP723</f>
        <v>23.851113922581064</v>
      </c>
      <c r="CR104" s="815">
        <f>INPUT!DQ723</f>
        <v>88.799566630552548</v>
      </c>
      <c r="CS104" s="818">
        <f>INPUT!DR723</f>
        <v>22.828262888416646</v>
      </c>
      <c r="CT104" s="815">
        <f>INPUT!DS723</f>
        <v>98.15517241379311</v>
      </c>
      <c r="CU104" s="818">
        <f>INPUT!DT723</f>
        <v>24.44911987846163</v>
      </c>
      <c r="CV104" s="815">
        <f>INPUT!DU723</f>
        <v>91.17469229108184</v>
      </c>
      <c r="CW104" s="818">
        <f>INPUT!DV723</f>
        <v>6.8221755985823762</v>
      </c>
      <c r="CX104" s="815">
        <f>INPUT!DW723</f>
        <v>93.874891398783674</v>
      </c>
      <c r="CY104" s="818">
        <f>INPUT!DX723</f>
        <v>8.2049217078236723</v>
      </c>
      <c r="CZ104" s="815">
        <f>INPUT!DY723</f>
        <v>92.393199651264169</v>
      </c>
      <c r="DA104" s="818">
        <f>INPUT!DZ723</f>
        <v>4.0469037823830831</v>
      </c>
      <c r="DB104" s="815">
        <f>INPUT!EA723</f>
        <v>109.66049382716049</v>
      </c>
      <c r="DC104" s="818">
        <f>INPUT!EB723</f>
        <v>11.721564060693979</v>
      </c>
      <c r="DD104" s="815">
        <f>INPUT!EC723</f>
        <v>123.77446619217081</v>
      </c>
      <c r="DE104" s="818">
        <f>INPUT!ED723</f>
        <v>35.755288097942582</v>
      </c>
      <c r="DF104" s="815">
        <f>INPUT!EE723</f>
        <v>128.3675310033822</v>
      </c>
      <c r="DG104" s="818">
        <f>INPUT!EF723</f>
        <v>36.743200541316867</v>
      </c>
      <c r="DH104" s="815">
        <f>INPUT!EG723</f>
        <v>104.94114984155726</v>
      </c>
      <c r="DI104" s="818">
        <f>INPUT!EH723</f>
        <v>13.581032194636649</v>
      </c>
      <c r="DJ104" s="815">
        <f>INPUT!EI723</f>
        <v>107.08640018117993</v>
      </c>
      <c r="DK104" s="818">
        <f>INPUT!EJ723</f>
        <v>-2.3473299783217101</v>
      </c>
      <c r="DL104" s="815">
        <f>INPUT!EK723</f>
        <v>111.35784492173281</v>
      </c>
      <c r="DM104" s="818">
        <f>INPUT!EL723</f>
        <v>-10.031650026395667</v>
      </c>
      <c r="DN104" s="815">
        <f>INPUT!EM723</f>
        <v>116.29709217264082</v>
      </c>
      <c r="DO104" s="818">
        <f>INPUT!EN723</f>
        <v>-9.4030310752205395</v>
      </c>
      <c r="DP104" s="815">
        <f>INPUT!EO723</f>
        <v>125.2444342437457</v>
      </c>
      <c r="DQ104" s="818">
        <f>INPUT!EP723</f>
        <v>19.347305068452968</v>
      </c>
      <c r="DR104" s="815">
        <f>INPUT!EQ723</f>
        <v>127.22494829555626</v>
      </c>
      <c r="DS104" s="818">
        <f>INPUT!ER723</f>
        <v>18.805887657353153</v>
      </c>
      <c r="DT104" s="815">
        <f>INPUT!ES723</f>
        <v>128.6980813064456</v>
      </c>
      <c r="DU104" s="818">
        <f>INPUT!ET723</f>
        <v>15.571634308207265</v>
      </c>
      <c r="DV104" s="815">
        <f>INPUT!EU723</f>
        <v>130.13916901903735</v>
      </c>
      <c r="DW104" s="818">
        <f>INPUT!EV723</f>
        <v>11.90234131206671</v>
      </c>
      <c r="DX104" s="815">
        <f>INPUT!EW723</f>
        <v>131.27435251770544</v>
      </c>
      <c r="DY104" s="818">
        <f>INPUT!EX723</f>
        <v>4.8145199508223584</v>
      </c>
      <c r="DZ104" s="815"/>
      <c r="EA104" s="818"/>
      <c r="EB104" s="819">
        <f>INPUT!FI723</f>
        <v>42.973582708682045</v>
      </c>
      <c r="EC104" s="817">
        <f>INPUT!FJ723</f>
        <v>36.665477888730386</v>
      </c>
      <c r="ED104" s="819">
        <f>INPUT!FK723</f>
        <v>9.1416648138528274</v>
      </c>
      <c r="EE104" s="817">
        <f>INPUT!FL723</f>
        <v>37.610946745562131</v>
      </c>
      <c r="EF104" s="819">
        <f>INPUT!FM723</f>
        <v>2.5786350302073942</v>
      </c>
      <c r="EG104" s="817">
        <f>INPUT!FN723</f>
        <v>39.90404515522107</v>
      </c>
      <c r="EH104" s="819">
        <f>INPUT!FO723</f>
        <v>6.0968909535081366</v>
      </c>
      <c r="EI104" s="817">
        <f>INPUT!FP723</f>
        <v>42.701636758035889</v>
      </c>
      <c r="EJ104" s="818">
        <f>INPUT!FQ723</f>
        <v>7.01079700549802</v>
      </c>
      <c r="EK104" s="815">
        <f>INPUT!FR723</f>
        <v>45.178087898354505</v>
      </c>
      <c r="EL104" s="818">
        <f>INPUT!FS723</f>
        <v>5.7994290812578413</v>
      </c>
      <c r="EM104" s="815">
        <f>INPUT!FT723</f>
        <v>47.716483516483514</v>
      </c>
      <c r="EN104" s="818">
        <f>INPUT!FU723</f>
        <v>5.6186433207180215</v>
      </c>
      <c r="EO104" s="815">
        <f>INPUT!FV723</f>
        <v>33.691654879773694</v>
      </c>
      <c r="EP104" s="818">
        <f>INPUT!FW723</f>
        <v>-29.391999584095473</v>
      </c>
      <c r="EQ104" s="815">
        <f>INPUT!FX723</f>
        <v>51.523037542662117</v>
      </c>
      <c r="ER104" s="818">
        <f>INPUT!FY723</f>
        <v>52.925220582124751</v>
      </c>
      <c r="ES104" s="815">
        <f>INPUT!FZ723</f>
        <v>57.575757575757578</v>
      </c>
      <c r="ET104" s="818">
        <f>INPUT!GA723</f>
        <v>11.747599368697337</v>
      </c>
      <c r="EU104" s="815">
        <f>INPUT!GB723</f>
        <v>69.073879183329822</v>
      </c>
      <c r="EV104" s="818">
        <f>INPUT!GC723</f>
        <v>19.970421739467596</v>
      </c>
      <c r="EW104" s="815">
        <f>INPUT!GD723</f>
        <v>79.038872276804781</v>
      </c>
      <c r="EX104" s="818">
        <f>INPUT!GE723</f>
        <v>14.426572260444146</v>
      </c>
      <c r="EY104" s="815">
        <f>INPUT!GF723</f>
        <v>72.295711542564547</v>
      </c>
      <c r="EZ104" s="818">
        <f>INPUT!GG723</f>
        <v>-8.5314485644794757</v>
      </c>
      <c r="FA104" s="815">
        <f>INPUT!GH723</f>
        <v>88.799566630552548</v>
      </c>
      <c r="FB104" s="818">
        <f>INPUT!GI723</f>
        <v>22.828262888416646</v>
      </c>
      <c r="FC104" s="815">
        <f>INPUT!GJ723</f>
        <v>92.431597528684904</v>
      </c>
      <c r="FD104" s="818">
        <f>INPUT!GK723</f>
        <v>4.0901448463631453</v>
      </c>
      <c r="FE104" s="815">
        <f>INPUT!GL723</f>
        <v>105.1421366345713</v>
      </c>
      <c r="FF104" s="818">
        <f>INPUT!GM723</f>
        <v>13.751292248239949</v>
      </c>
      <c r="FG104" s="815">
        <f>INPUT!GN723</f>
        <v>125.2444342437457</v>
      </c>
      <c r="FH104" s="818">
        <f>INPUT!GO723</f>
        <v>19.119164069341025</v>
      </c>
      <c r="FI104" s="815">
        <f>INPUT!GP723</f>
        <v>131.87637222485344</v>
      </c>
      <c r="FJ104" s="818">
        <f>INPUT!GQ723</f>
        <v>5.2951957675028751</v>
      </c>
      <c r="FK104" s="815">
        <f>INPUT!GR723</f>
        <v>139.44539265504568</v>
      </c>
      <c r="FL104" s="818">
        <f>INPUT!GS723</f>
        <v>5.7394818362813425</v>
      </c>
      <c r="FM104" s="815">
        <f>INPUT!GT723</f>
        <v>147.12605110106702</v>
      </c>
      <c r="FN104" s="818">
        <f>INPUT!GU723</f>
        <v>5.5080044595101469</v>
      </c>
      <c r="FO104" s="815">
        <f>INPUT!GV723</f>
        <v>154.8813431334257</v>
      </c>
      <c r="FP104" s="818">
        <f>INPUT!GW723</f>
        <v>5.2711888712565553</v>
      </c>
      <c r="FQ104" s="815">
        <f>INPUT!GX723</f>
        <v>162.65874003868711</v>
      </c>
      <c r="FR104" s="818">
        <f>INPUT!GY723</f>
        <v>5.0215195374186692</v>
      </c>
      <c r="FS104" s="820">
        <f>INPUT!GZ723</f>
        <v>5.3668007373759652</v>
      </c>
    </row>
    <row r="105" spans="1:176" s="529" customFormat="1" ht="12.75" customHeight="1" x14ac:dyDescent="0.2">
      <c r="A105" s="441"/>
      <c r="B105" s="449"/>
      <c r="C105" s="439"/>
      <c r="D105" s="449"/>
      <c r="E105" s="439"/>
      <c r="F105" s="449"/>
      <c r="G105" s="439"/>
      <c r="H105" s="449"/>
      <c r="I105" s="439"/>
      <c r="J105" s="449"/>
      <c r="K105" s="439"/>
      <c r="L105" s="449"/>
      <c r="M105" s="439"/>
      <c r="N105" s="449"/>
      <c r="O105" s="439"/>
      <c r="P105" s="449"/>
      <c r="Q105" s="439"/>
      <c r="R105" s="449"/>
      <c r="S105" s="439"/>
      <c r="T105" s="449"/>
      <c r="U105" s="439"/>
      <c r="V105" s="449"/>
      <c r="W105" s="439"/>
      <c r="X105" s="449"/>
      <c r="Y105" s="439"/>
      <c r="Z105" s="449"/>
      <c r="AA105" s="439"/>
      <c r="AB105" s="449"/>
      <c r="AC105" s="439"/>
      <c r="AD105" s="449"/>
      <c r="AE105" s="439"/>
      <c r="AF105" s="449"/>
      <c r="AG105" s="439"/>
      <c r="AH105" s="449"/>
      <c r="AI105" s="438"/>
      <c r="AJ105" s="449"/>
      <c r="AK105" s="438"/>
      <c r="AL105" s="449"/>
      <c r="AM105" s="438"/>
      <c r="AN105" s="449"/>
      <c r="AO105" s="438"/>
      <c r="AP105" s="449"/>
      <c r="AQ105" s="438"/>
      <c r="AR105" s="449"/>
      <c r="AS105" s="438"/>
      <c r="AT105" s="449"/>
      <c r="AU105" s="438"/>
      <c r="AV105" s="449"/>
      <c r="AW105" s="438"/>
      <c r="AX105" s="449"/>
      <c r="AY105" s="438"/>
      <c r="AZ105" s="449"/>
      <c r="BA105" s="438"/>
      <c r="BB105" s="449"/>
      <c r="BC105" s="438"/>
      <c r="BD105" s="449"/>
      <c r="BE105" s="438"/>
      <c r="BF105" s="449"/>
      <c r="BG105" s="438"/>
      <c r="BH105" s="449"/>
      <c r="BI105" s="438"/>
      <c r="BJ105" s="449"/>
      <c r="BK105" s="438"/>
      <c r="BL105" s="449"/>
      <c r="BM105" s="438"/>
      <c r="BN105" s="449"/>
      <c r="BO105" s="438"/>
      <c r="BP105" s="449"/>
      <c r="BQ105" s="438"/>
      <c r="BR105" s="449"/>
      <c r="BS105" s="438"/>
      <c r="BT105" s="449"/>
      <c r="BU105" s="438"/>
      <c r="BV105" s="449"/>
      <c r="BW105" s="438"/>
      <c r="BX105" s="449"/>
      <c r="BY105" s="438"/>
      <c r="BZ105" s="449"/>
      <c r="CA105" s="438"/>
      <c r="CB105" s="449"/>
      <c r="CC105" s="438"/>
      <c r="CD105" s="449"/>
      <c r="CE105" s="438"/>
      <c r="CF105" s="449"/>
      <c r="CG105" s="438"/>
      <c r="CH105" s="449"/>
      <c r="CI105" s="438"/>
      <c r="CJ105" s="449"/>
      <c r="CK105" s="438"/>
      <c r="CL105" s="449"/>
      <c r="CM105" s="438"/>
      <c r="CN105" s="449"/>
      <c r="CO105" s="438"/>
      <c r="CP105" s="449"/>
      <c r="CQ105" s="438"/>
      <c r="CR105" s="449"/>
      <c r="CS105" s="438"/>
      <c r="CT105" s="449"/>
      <c r="CU105" s="438"/>
      <c r="CV105" s="449"/>
      <c r="CW105" s="438"/>
      <c r="CX105" s="449"/>
      <c r="CY105" s="438"/>
      <c r="CZ105" s="449"/>
      <c r="DA105" s="438"/>
      <c r="DB105" s="449"/>
      <c r="DC105" s="438"/>
      <c r="DD105" s="449"/>
      <c r="DE105" s="438"/>
      <c r="DF105" s="449"/>
      <c r="DG105" s="438"/>
      <c r="DH105" s="449"/>
      <c r="DI105" s="438"/>
      <c r="DJ105" s="449"/>
      <c r="DK105" s="438"/>
      <c r="DL105" s="449"/>
      <c r="DM105" s="438"/>
      <c r="DN105" s="449"/>
      <c r="DO105" s="438"/>
      <c r="DP105" s="449"/>
      <c r="DQ105" s="438"/>
      <c r="DR105" s="449"/>
      <c r="DS105" s="438"/>
      <c r="DT105" s="449"/>
      <c r="DU105" s="438"/>
      <c r="DV105" s="449"/>
      <c r="DW105" s="438"/>
      <c r="DX105" s="449"/>
      <c r="DY105" s="438"/>
      <c r="DZ105" s="449"/>
      <c r="EA105" s="438"/>
      <c r="EB105" s="439"/>
      <c r="EC105" s="449"/>
      <c r="ED105" s="439"/>
      <c r="EE105" s="449"/>
      <c r="EF105" s="439"/>
      <c r="EG105" s="449"/>
      <c r="EH105" s="439"/>
      <c r="EI105" s="449"/>
      <c r="EJ105" s="438"/>
      <c r="EK105" s="449"/>
      <c r="EL105" s="438"/>
      <c r="EM105" s="449"/>
      <c r="EN105" s="438"/>
      <c r="EO105" s="449"/>
      <c r="EP105" s="438"/>
      <c r="EQ105" s="449"/>
      <c r="ER105" s="438"/>
      <c r="ES105" s="449"/>
      <c r="ET105" s="438"/>
      <c r="EU105" s="449"/>
      <c r="EV105" s="438"/>
      <c r="EW105" s="449"/>
      <c r="EX105" s="438"/>
      <c r="EY105" s="449"/>
      <c r="EZ105" s="438"/>
      <c r="FA105" s="449"/>
      <c r="FB105" s="438"/>
      <c r="FC105" s="449"/>
      <c r="FD105" s="438"/>
      <c r="FE105" s="449"/>
      <c r="FF105" s="438"/>
      <c r="FG105" s="449"/>
      <c r="FH105" s="438"/>
      <c r="FI105" s="449"/>
      <c r="FJ105" s="438"/>
      <c r="FK105" s="449"/>
      <c r="FL105" s="438"/>
      <c r="FM105" s="449"/>
      <c r="FN105" s="438"/>
      <c r="FO105" s="449"/>
      <c r="FP105" s="438"/>
      <c r="FQ105" s="449"/>
      <c r="FR105" s="438"/>
      <c r="FS105" s="438"/>
    </row>
    <row r="106" spans="1:176" s="529" customFormat="1" ht="12.75" customHeight="1" x14ac:dyDescent="0.2">
      <c r="A106" s="485" t="s">
        <v>507</v>
      </c>
      <c r="B106" s="449"/>
      <c r="C106" s="439"/>
      <c r="D106" s="449"/>
      <c r="E106" s="439"/>
      <c r="F106" s="449"/>
      <c r="G106" s="439"/>
      <c r="H106" s="449"/>
      <c r="I106" s="439"/>
      <c r="J106" s="449"/>
      <c r="K106" s="439"/>
      <c r="L106" s="449"/>
      <c r="M106" s="439"/>
      <c r="N106" s="449"/>
      <c r="O106" s="439"/>
      <c r="P106" s="449"/>
      <c r="Q106" s="439"/>
      <c r="R106" s="449"/>
      <c r="S106" s="439"/>
      <c r="T106" s="449"/>
      <c r="U106" s="439"/>
      <c r="V106" s="449"/>
      <c r="W106" s="439"/>
      <c r="X106" s="449"/>
      <c r="Y106" s="439"/>
      <c r="Z106" s="449"/>
      <c r="AA106" s="439"/>
      <c r="AB106" s="449"/>
      <c r="AC106" s="439"/>
      <c r="AD106" s="449"/>
      <c r="AE106" s="439"/>
      <c r="AF106" s="449"/>
      <c r="AG106" s="439"/>
      <c r="AH106" s="449"/>
      <c r="AI106" s="438"/>
      <c r="AJ106" s="449"/>
      <c r="AK106" s="438"/>
      <c r="AL106" s="449"/>
      <c r="AM106" s="438"/>
      <c r="AN106" s="449"/>
      <c r="AO106" s="438"/>
      <c r="AP106" s="449"/>
      <c r="AQ106" s="438"/>
      <c r="AR106" s="449"/>
      <c r="AS106" s="438"/>
      <c r="AT106" s="449"/>
      <c r="AU106" s="438"/>
      <c r="AV106" s="449"/>
      <c r="AW106" s="438"/>
      <c r="AX106" s="449"/>
      <c r="AY106" s="438"/>
      <c r="AZ106" s="449"/>
      <c r="BA106" s="438"/>
      <c r="BB106" s="449"/>
      <c r="BC106" s="438"/>
      <c r="BD106" s="449"/>
      <c r="BE106" s="438"/>
      <c r="BF106" s="449"/>
      <c r="BG106" s="438"/>
      <c r="BH106" s="449"/>
      <c r="BI106" s="438"/>
      <c r="BJ106" s="449"/>
      <c r="BK106" s="438"/>
      <c r="BL106" s="449"/>
      <c r="BM106" s="438"/>
      <c r="BN106" s="449"/>
      <c r="BO106" s="438"/>
      <c r="BP106" s="449"/>
      <c r="BQ106" s="438"/>
      <c r="BR106" s="449"/>
      <c r="BS106" s="438"/>
      <c r="BT106" s="449"/>
      <c r="BU106" s="438"/>
      <c r="BV106" s="449"/>
      <c r="BW106" s="438"/>
      <c r="BX106" s="449"/>
      <c r="BY106" s="438"/>
      <c r="BZ106" s="449"/>
      <c r="CA106" s="438"/>
      <c r="CB106" s="449"/>
      <c r="CC106" s="438"/>
      <c r="CD106" s="449"/>
      <c r="CE106" s="438"/>
      <c r="CF106" s="449"/>
      <c r="CG106" s="438"/>
      <c r="CH106" s="449"/>
      <c r="CI106" s="438"/>
      <c r="CJ106" s="449"/>
      <c r="CK106" s="438"/>
      <c r="CL106" s="449"/>
      <c r="CM106" s="438"/>
      <c r="CN106" s="449"/>
      <c r="CO106" s="438"/>
      <c r="CP106" s="449"/>
      <c r="CQ106" s="438"/>
      <c r="CR106" s="449"/>
      <c r="CS106" s="438"/>
      <c r="CT106" s="449"/>
      <c r="CU106" s="438"/>
      <c r="CV106" s="449"/>
      <c r="CW106" s="438"/>
      <c r="CX106" s="449"/>
      <c r="CY106" s="438"/>
      <c r="CZ106" s="449"/>
      <c r="DA106" s="438"/>
      <c r="DB106" s="449"/>
      <c r="DC106" s="438"/>
      <c r="DD106" s="449"/>
      <c r="DE106" s="438"/>
      <c r="DF106" s="449"/>
      <c r="DG106" s="438"/>
      <c r="DH106" s="449"/>
      <c r="DI106" s="438"/>
      <c r="DJ106" s="449"/>
      <c r="DK106" s="438"/>
      <c r="DL106" s="449"/>
      <c r="DM106" s="438"/>
      <c r="DN106" s="449"/>
      <c r="DO106" s="438"/>
      <c r="DP106" s="449"/>
      <c r="DQ106" s="438"/>
      <c r="DR106" s="449"/>
      <c r="DS106" s="438"/>
      <c r="DT106" s="449"/>
      <c r="DU106" s="438"/>
      <c r="DV106" s="449"/>
      <c r="DW106" s="438"/>
      <c r="DX106" s="449"/>
      <c r="DY106" s="438"/>
      <c r="DZ106" s="449"/>
      <c r="EA106" s="438"/>
      <c r="EB106" s="439"/>
      <c r="EC106" s="449"/>
      <c r="ED106" s="439"/>
      <c r="EE106" s="449"/>
      <c r="EF106" s="439"/>
      <c r="EG106" s="449"/>
      <c r="EH106" s="439"/>
      <c r="EI106" s="449"/>
      <c r="EJ106" s="438"/>
      <c r="EK106" s="449"/>
      <c r="EL106" s="438"/>
      <c r="EM106" s="449"/>
      <c r="EN106" s="438"/>
      <c r="EO106" s="449"/>
      <c r="EP106" s="438"/>
      <c r="EQ106" s="449"/>
      <c r="ER106" s="438"/>
      <c r="ES106" s="449"/>
      <c r="ET106" s="438"/>
      <c r="EU106" s="449"/>
      <c r="EV106" s="438"/>
      <c r="EW106" s="449"/>
      <c r="EX106" s="438"/>
      <c r="EY106" s="449"/>
      <c r="EZ106" s="438"/>
      <c r="FA106" s="449"/>
      <c r="FB106" s="438"/>
      <c r="FC106" s="449"/>
      <c r="FD106" s="438"/>
      <c r="FE106" s="449"/>
      <c r="FF106" s="438"/>
      <c r="FG106" s="449"/>
      <c r="FH106" s="438"/>
      <c r="FI106" s="449"/>
      <c r="FJ106" s="438"/>
      <c r="FK106" s="449"/>
      <c r="FL106" s="438"/>
      <c r="FM106" s="449"/>
      <c r="FN106" s="438"/>
      <c r="FO106" s="449"/>
      <c r="FP106" s="438"/>
      <c r="FQ106" s="449"/>
      <c r="FR106" s="438"/>
      <c r="FS106" s="438"/>
    </row>
    <row r="107" spans="1:176" s="529" customFormat="1" ht="12.75" customHeight="1" x14ac:dyDescent="0.2">
      <c r="A107" s="485" t="s">
        <v>45</v>
      </c>
      <c r="B107" s="449"/>
      <c r="C107" s="439"/>
      <c r="D107" s="449"/>
      <c r="E107" s="439"/>
      <c r="F107" s="449"/>
      <c r="G107" s="439"/>
      <c r="H107" s="449"/>
      <c r="I107" s="439"/>
      <c r="J107" s="449"/>
      <c r="K107" s="439"/>
      <c r="L107" s="449"/>
      <c r="M107" s="439"/>
      <c r="N107" s="449"/>
      <c r="O107" s="439"/>
      <c r="P107" s="449"/>
      <c r="Q107" s="439"/>
      <c r="R107" s="449"/>
      <c r="S107" s="439"/>
      <c r="T107" s="449"/>
      <c r="U107" s="439"/>
      <c r="V107" s="449"/>
      <c r="W107" s="439"/>
      <c r="X107" s="449"/>
      <c r="Y107" s="439"/>
      <c r="Z107" s="449"/>
      <c r="AA107" s="439"/>
      <c r="AB107" s="449"/>
      <c r="AC107" s="439"/>
      <c r="AD107" s="449"/>
      <c r="AE107" s="439"/>
      <c r="AF107" s="449"/>
      <c r="AG107" s="439"/>
      <c r="AH107" s="449"/>
      <c r="AI107" s="438"/>
      <c r="AJ107" s="449"/>
      <c r="AK107" s="438"/>
      <c r="AL107" s="449"/>
      <c r="AM107" s="438"/>
      <c r="AN107" s="449"/>
      <c r="AO107" s="438"/>
      <c r="AP107" s="449"/>
      <c r="AQ107" s="438"/>
      <c r="AR107" s="449"/>
      <c r="AS107" s="438"/>
      <c r="AT107" s="449"/>
      <c r="AU107" s="438"/>
      <c r="AV107" s="449"/>
      <c r="AW107" s="438"/>
      <c r="AX107" s="449"/>
      <c r="AY107" s="438"/>
      <c r="AZ107" s="449"/>
      <c r="BA107" s="438"/>
      <c r="BB107" s="449"/>
      <c r="BC107" s="438"/>
      <c r="BD107" s="449"/>
      <c r="BE107" s="438"/>
      <c r="BF107" s="449"/>
      <c r="BG107" s="438"/>
      <c r="BH107" s="449"/>
      <c r="BI107" s="438"/>
      <c r="BJ107" s="449"/>
      <c r="BK107" s="438"/>
      <c r="BL107" s="449"/>
      <c r="BM107" s="438"/>
      <c r="BN107" s="449"/>
      <c r="BO107" s="438"/>
      <c r="BP107" s="449"/>
      <c r="BQ107" s="438"/>
      <c r="BR107" s="449"/>
      <c r="BS107" s="438"/>
      <c r="BT107" s="449"/>
      <c r="BU107" s="438"/>
      <c r="BV107" s="449"/>
      <c r="BW107" s="438"/>
      <c r="BX107" s="449"/>
      <c r="BY107" s="438"/>
      <c r="BZ107" s="449"/>
      <c r="CA107" s="438"/>
      <c r="CB107" s="449"/>
      <c r="CC107" s="438"/>
      <c r="CD107" s="449"/>
      <c r="CE107" s="438"/>
      <c r="CF107" s="449"/>
      <c r="CG107" s="438"/>
      <c r="CH107" s="449"/>
      <c r="CI107" s="438"/>
      <c r="CJ107" s="449"/>
      <c r="CK107" s="438"/>
      <c r="CL107" s="449"/>
      <c r="CM107" s="438"/>
      <c r="CN107" s="449"/>
      <c r="CO107" s="438"/>
      <c r="CP107" s="449"/>
      <c r="CQ107" s="438"/>
      <c r="CR107" s="449"/>
      <c r="CS107" s="438"/>
      <c r="CT107" s="449"/>
      <c r="CU107" s="438"/>
      <c r="CV107" s="449"/>
      <c r="CW107" s="438"/>
      <c r="CX107" s="449"/>
      <c r="CY107" s="438"/>
      <c r="CZ107" s="449"/>
      <c r="DA107" s="438"/>
      <c r="DB107" s="449"/>
      <c r="DC107" s="438"/>
      <c r="DD107" s="449"/>
      <c r="DE107" s="438"/>
      <c r="DF107" s="449"/>
      <c r="DG107" s="438"/>
      <c r="DH107" s="449"/>
      <c r="DI107" s="438"/>
      <c r="DJ107" s="449"/>
      <c r="DK107" s="438"/>
      <c r="DL107" s="449"/>
      <c r="DM107" s="438"/>
      <c r="DN107" s="449"/>
      <c r="DO107" s="438"/>
      <c r="DP107" s="449"/>
      <c r="DQ107" s="438"/>
      <c r="DR107" s="449"/>
      <c r="DS107" s="438"/>
      <c r="DT107" s="449"/>
      <c r="DU107" s="438"/>
      <c r="DV107" s="449"/>
      <c r="DW107" s="438"/>
      <c r="DX107" s="449"/>
      <c r="DY107" s="438"/>
      <c r="DZ107" s="449"/>
      <c r="EA107" s="438"/>
      <c r="EB107" s="439"/>
      <c r="EC107" s="449"/>
      <c r="ED107" s="439"/>
      <c r="EE107" s="449"/>
      <c r="EF107" s="439"/>
      <c r="EG107" s="449"/>
      <c r="EH107" s="439"/>
      <c r="EI107" s="449"/>
      <c r="EJ107" s="438"/>
      <c r="EK107" s="449"/>
      <c r="EL107" s="438"/>
      <c r="EM107" s="449"/>
      <c r="EN107" s="438"/>
      <c r="EO107" s="449"/>
      <c r="EP107" s="438"/>
      <c r="EQ107" s="449"/>
      <c r="ER107" s="438"/>
      <c r="ES107" s="449"/>
      <c r="ET107" s="438"/>
      <c r="EU107" s="449"/>
      <c r="EV107" s="438"/>
      <c r="EW107" s="449"/>
      <c r="EX107" s="438"/>
      <c r="EY107" s="449"/>
      <c r="EZ107" s="438"/>
      <c r="FA107" s="449"/>
      <c r="FB107" s="438"/>
      <c r="FC107" s="449"/>
      <c r="FD107" s="438"/>
      <c r="FE107" s="449"/>
      <c r="FF107" s="438"/>
      <c r="FG107" s="449"/>
      <c r="FH107" s="438"/>
      <c r="FI107" s="449"/>
      <c r="FJ107" s="438"/>
      <c r="FK107" s="449"/>
      <c r="FL107" s="438"/>
      <c r="FM107" s="449"/>
      <c r="FN107" s="438"/>
      <c r="FO107" s="449"/>
      <c r="FP107" s="438"/>
      <c r="FQ107" s="449"/>
      <c r="FR107" s="438"/>
      <c r="FS107" s="438"/>
    </row>
    <row r="108" spans="1:176" s="529" customFormat="1" ht="12.75" customHeight="1" x14ac:dyDescent="0.2">
      <c r="A108" s="441"/>
      <c r="B108" s="449"/>
      <c r="C108" s="439"/>
      <c r="D108" s="449"/>
      <c r="E108" s="439"/>
      <c r="F108" s="449"/>
      <c r="G108" s="439"/>
      <c r="H108" s="449"/>
      <c r="I108" s="439"/>
      <c r="J108" s="449"/>
      <c r="K108" s="439"/>
      <c r="L108" s="449"/>
      <c r="M108" s="439"/>
      <c r="N108" s="449"/>
      <c r="O108" s="439"/>
      <c r="P108" s="449"/>
      <c r="Q108" s="439"/>
      <c r="R108" s="449"/>
      <c r="S108" s="439"/>
      <c r="T108" s="449"/>
      <c r="U108" s="439"/>
      <c r="V108" s="449"/>
      <c r="W108" s="439"/>
      <c r="X108" s="449"/>
      <c r="Y108" s="439"/>
      <c r="Z108" s="449"/>
      <c r="AA108" s="439"/>
      <c r="AB108" s="449"/>
      <c r="AC108" s="439"/>
      <c r="AD108" s="449"/>
      <c r="AE108" s="439"/>
      <c r="AF108" s="449"/>
      <c r="AG108" s="439"/>
      <c r="AH108" s="449"/>
      <c r="AI108" s="438"/>
      <c r="AJ108" s="449"/>
      <c r="AK108" s="438"/>
      <c r="AL108" s="449"/>
      <c r="AM108" s="438"/>
      <c r="AN108" s="449"/>
      <c r="AO108" s="438"/>
      <c r="AP108" s="449"/>
      <c r="AQ108" s="438"/>
      <c r="AR108" s="449"/>
      <c r="AS108" s="438"/>
      <c r="AT108" s="449"/>
      <c r="AU108" s="438"/>
      <c r="AV108" s="449"/>
      <c r="AW108" s="438"/>
      <c r="AX108" s="449"/>
      <c r="AY108" s="438"/>
      <c r="AZ108" s="449"/>
      <c r="BA108" s="438"/>
      <c r="BB108" s="449"/>
      <c r="BC108" s="438"/>
      <c r="BD108" s="449"/>
      <c r="BE108" s="438"/>
      <c r="BF108" s="449"/>
      <c r="BG108" s="438"/>
      <c r="BH108" s="449"/>
      <c r="BI108" s="438"/>
      <c r="BJ108" s="449"/>
      <c r="BK108" s="438"/>
      <c r="BL108" s="449"/>
      <c r="BM108" s="438"/>
      <c r="BN108" s="449"/>
      <c r="BO108" s="438"/>
      <c r="BP108" s="449"/>
      <c r="BQ108" s="438"/>
      <c r="BR108" s="449"/>
      <c r="BS108" s="438"/>
      <c r="BT108" s="449"/>
      <c r="BU108" s="438"/>
      <c r="BV108" s="449"/>
      <c r="BW108" s="438"/>
      <c r="BX108" s="449"/>
      <c r="BY108" s="438"/>
      <c r="BZ108" s="449"/>
      <c r="CA108" s="438"/>
      <c r="CB108" s="449"/>
      <c r="CC108" s="438"/>
      <c r="CD108" s="449"/>
      <c r="CE108" s="438"/>
      <c r="CF108" s="449"/>
      <c r="CG108" s="438"/>
      <c r="CH108" s="449"/>
      <c r="CI108" s="438"/>
      <c r="CJ108" s="449"/>
      <c r="CK108" s="438"/>
      <c r="CL108" s="449"/>
      <c r="CM108" s="438"/>
      <c r="CN108" s="449"/>
      <c r="CO108" s="438"/>
      <c r="CP108" s="449"/>
      <c r="CQ108" s="438"/>
      <c r="CR108" s="449"/>
      <c r="CS108" s="438"/>
      <c r="CT108" s="449"/>
      <c r="CU108" s="438"/>
      <c r="CV108" s="449"/>
      <c r="CW108" s="438"/>
      <c r="CX108" s="449"/>
      <c r="CY108" s="438"/>
      <c r="CZ108" s="449"/>
      <c r="DA108" s="438"/>
      <c r="DB108" s="449"/>
      <c r="DC108" s="438"/>
      <c r="DD108" s="449"/>
      <c r="DE108" s="438"/>
      <c r="DF108" s="449"/>
      <c r="DG108" s="438"/>
      <c r="DH108" s="449"/>
      <c r="DI108" s="438"/>
      <c r="DJ108" s="449"/>
      <c r="DK108" s="438"/>
      <c r="DL108" s="449"/>
      <c r="DM108" s="438"/>
      <c r="DN108" s="449"/>
      <c r="DO108" s="438"/>
      <c r="DP108" s="449"/>
      <c r="DQ108" s="438"/>
      <c r="DR108" s="449"/>
      <c r="DS108" s="438"/>
      <c r="DT108" s="449"/>
      <c r="DU108" s="438"/>
      <c r="DV108" s="449"/>
      <c r="DW108" s="438"/>
      <c r="DX108" s="449"/>
      <c r="DY108" s="438"/>
      <c r="DZ108" s="449"/>
      <c r="EA108" s="438"/>
      <c r="EB108" s="439"/>
      <c r="EC108" s="449"/>
      <c r="ED108" s="439"/>
      <c r="EE108" s="449"/>
      <c r="EF108" s="439"/>
      <c r="EG108" s="449"/>
      <c r="EH108" s="439"/>
      <c r="EI108" s="449"/>
      <c r="EJ108" s="438"/>
      <c r="EK108" s="449"/>
      <c r="EL108" s="438"/>
      <c r="EM108" s="449"/>
      <c r="EN108" s="438"/>
      <c r="EO108" s="449"/>
      <c r="EP108" s="438"/>
      <c r="EQ108" s="449"/>
      <c r="ER108" s="438"/>
      <c r="ES108" s="449"/>
      <c r="ET108" s="438"/>
      <c r="EU108" s="449"/>
      <c r="EV108" s="438"/>
      <c r="EW108" s="449"/>
      <c r="EX108" s="438"/>
      <c r="EY108" s="449"/>
      <c r="EZ108" s="438"/>
      <c r="FA108" s="449"/>
      <c r="FB108" s="438"/>
      <c r="FC108" s="449"/>
      <c r="FD108" s="438"/>
      <c r="FE108" s="449"/>
      <c r="FF108" s="438"/>
      <c r="FG108" s="449"/>
      <c r="FH108" s="438"/>
      <c r="FI108" s="449"/>
      <c r="FJ108" s="438"/>
      <c r="FK108" s="449"/>
      <c r="FL108" s="438"/>
      <c r="FM108" s="449"/>
      <c r="FN108" s="438"/>
      <c r="FO108" s="449"/>
      <c r="FP108" s="438"/>
      <c r="FQ108" s="449"/>
      <c r="FR108" s="438"/>
      <c r="FS108" s="438"/>
    </row>
    <row r="109" spans="1:176" s="529" customFormat="1" ht="21.95" hidden="1" customHeight="1" outlineLevel="1" x14ac:dyDescent="0.25">
      <c r="A109" s="434" t="str">
        <f>$A$1</f>
        <v>Prudential Financial, Inc.</v>
      </c>
      <c r="B109" s="531"/>
      <c r="C109" s="532"/>
      <c r="D109" s="531"/>
      <c r="E109" s="532"/>
      <c r="F109" s="531"/>
      <c r="G109" s="532"/>
      <c r="H109" s="531"/>
      <c r="I109" s="532"/>
      <c r="J109" s="531"/>
      <c r="K109" s="532"/>
      <c r="L109" s="531"/>
      <c r="M109" s="532"/>
      <c r="N109" s="531"/>
      <c r="O109" s="532"/>
      <c r="P109" s="531"/>
      <c r="Q109" s="532"/>
      <c r="R109" s="531"/>
      <c r="S109" s="532"/>
      <c r="T109" s="531"/>
      <c r="U109" s="532"/>
      <c r="V109" s="531"/>
      <c r="W109" s="532"/>
      <c r="X109" s="531"/>
      <c r="Y109" s="532"/>
      <c r="Z109" s="531"/>
      <c r="AA109" s="532"/>
      <c r="AB109" s="531"/>
      <c r="AC109" s="532"/>
      <c r="AD109" s="531"/>
      <c r="AE109" s="532"/>
      <c r="AF109" s="531"/>
      <c r="AG109" s="532"/>
      <c r="AH109" s="531"/>
      <c r="AI109" s="531"/>
      <c r="AJ109" s="531"/>
      <c r="AK109" s="531"/>
      <c r="AL109" s="531"/>
      <c r="AM109" s="531"/>
      <c r="AN109" s="531"/>
      <c r="AO109" s="531"/>
      <c r="AP109" s="531"/>
      <c r="AQ109" s="531"/>
      <c r="AR109" s="531"/>
      <c r="AS109" s="531"/>
      <c r="AT109" s="531"/>
      <c r="AU109" s="531"/>
      <c r="AV109" s="531"/>
      <c r="AW109" s="531"/>
      <c r="AX109" s="531"/>
      <c r="AY109" s="531"/>
      <c r="AZ109" s="531"/>
      <c r="BA109" s="531"/>
      <c r="BB109" s="531"/>
      <c r="BC109" s="531"/>
      <c r="BD109" s="531"/>
      <c r="BE109" s="531"/>
      <c r="BF109" s="531"/>
      <c r="BG109" s="531"/>
      <c r="BH109" s="531"/>
      <c r="BI109" s="531"/>
      <c r="BJ109" s="531"/>
      <c r="BK109" s="531"/>
      <c r="BL109" s="531"/>
      <c r="BM109" s="531"/>
      <c r="BN109" s="531"/>
      <c r="BO109" s="531"/>
      <c r="BP109" s="531"/>
      <c r="BQ109" s="531"/>
      <c r="BR109" s="531"/>
      <c r="BS109" s="531"/>
      <c r="BT109" s="531"/>
      <c r="BU109" s="531"/>
      <c r="BV109" s="531"/>
      <c r="BW109" s="531"/>
      <c r="BX109" s="531"/>
      <c r="BY109" s="531"/>
      <c r="BZ109" s="531"/>
      <c r="CA109" s="531"/>
      <c r="CB109" s="531"/>
      <c r="CC109" s="531"/>
      <c r="CD109" s="531"/>
      <c r="CE109" s="531"/>
      <c r="CF109" s="531"/>
      <c r="CG109" s="531"/>
      <c r="CH109" s="531"/>
      <c r="CI109" s="531"/>
      <c r="CJ109" s="531"/>
      <c r="CK109" s="531"/>
      <c r="CL109" s="531"/>
      <c r="CM109" s="531"/>
      <c r="CN109" s="531"/>
      <c r="CO109" s="531"/>
      <c r="CP109" s="531"/>
      <c r="CQ109" s="531"/>
      <c r="CR109" s="531"/>
      <c r="CS109" s="531"/>
      <c r="CT109" s="531"/>
      <c r="CU109" s="531"/>
      <c r="CV109" s="531"/>
      <c r="CW109" s="531"/>
      <c r="CX109" s="531"/>
      <c r="CY109" s="531"/>
      <c r="CZ109" s="531"/>
      <c r="DA109" s="531"/>
      <c r="DB109" s="531"/>
      <c r="DC109" s="531"/>
      <c r="DD109" s="531"/>
      <c r="DE109" s="531"/>
      <c r="DF109" s="531"/>
      <c r="DG109" s="531"/>
      <c r="DH109" s="531"/>
      <c r="DI109" s="531"/>
      <c r="DJ109" s="531"/>
      <c r="DK109" s="531"/>
      <c r="DL109" s="531"/>
      <c r="DM109" s="531"/>
      <c r="DN109" s="531"/>
      <c r="DO109" s="531"/>
      <c r="DP109" s="531"/>
      <c r="DQ109" s="531"/>
      <c r="DR109" s="531"/>
      <c r="DS109" s="531"/>
      <c r="DT109" s="531"/>
      <c r="DU109" s="531"/>
      <c r="DV109" s="531"/>
      <c r="DW109" s="531"/>
      <c r="DX109" s="531"/>
      <c r="DY109" s="531"/>
      <c r="DZ109" s="531"/>
      <c r="EA109" s="531"/>
      <c r="EB109" s="532"/>
      <c r="EC109" s="531"/>
      <c r="ED109" s="532"/>
      <c r="EE109" s="531"/>
      <c r="EF109" s="532"/>
      <c r="EG109" s="531"/>
      <c r="EH109" s="532"/>
      <c r="EI109" s="531"/>
      <c r="EJ109" s="531"/>
      <c r="EK109" s="531"/>
      <c r="EL109" s="531"/>
      <c r="EM109" s="531"/>
      <c r="EN109" s="531"/>
      <c r="EO109" s="531"/>
      <c r="EP109" s="531"/>
      <c r="EQ109" s="531"/>
      <c r="ER109" s="531"/>
      <c r="ES109" s="531"/>
      <c r="ET109" s="531"/>
      <c r="EU109" s="531"/>
      <c r="EV109" s="531"/>
      <c r="EW109" s="531"/>
      <c r="EX109" s="531"/>
      <c r="EY109" s="531"/>
      <c r="EZ109" s="531"/>
      <c r="FA109" s="531"/>
      <c r="FB109" s="531"/>
      <c r="FC109" s="531"/>
      <c r="FD109" s="531"/>
      <c r="FE109" s="531"/>
      <c r="FF109" s="531"/>
      <c r="FG109" s="531"/>
      <c r="FH109" s="531"/>
      <c r="FI109" s="531"/>
      <c r="FJ109" s="531"/>
      <c r="FK109" s="531"/>
      <c r="FL109" s="531"/>
      <c r="FM109" s="531"/>
      <c r="FN109" s="531"/>
      <c r="FO109" s="531"/>
      <c r="FP109" s="531"/>
      <c r="FQ109" s="531"/>
      <c r="FR109" s="531"/>
      <c r="FS109" s="531"/>
    </row>
    <row r="110" spans="1:176" s="529" customFormat="1" ht="12.75" hidden="1" customHeight="1" outlineLevel="1" x14ac:dyDescent="0.2">
      <c r="A110" s="437" t="s">
        <v>354</v>
      </c>
      <c r="B110" s="438"/>
      <c r="C110" s="439"/>
      <c r="D110" s="438"/>
      <c r="E110" s="439"/>
      <c r="F110" s="438"/>
      <c r="G110" s="439"/>
      <c r="H110" s="438"/>
      <c r="I110" s="439"/>
      <c r="J110" s="438"/>
      <c r="K110" s="439"/>
      <c r="L110" s="438"/>
      <c r="M110" s="439"/>
      <c r="N110" s="438"/>
      <c r="O110" s="439"/>
      <c r="P110" s="438"/>
      <c r="Q110" s="439"/>
      <c r="R110" s="438"/>
      <c r="S110" s="439"/>
      <c r="T110" s="438"/>
      <c r="U110" s="439"/>
      <c r="V110" s="438"/>
      <c r="W110" s="439"/>
      <c r="X110" s="438"/>
      <c r="Y110" s="439"/>
      <c r="Z110" s="438"/>
      <c r="AA110" s="439"/>
      <c r="AB110" s="438"/>
      <c r="AC110" s="439"/>
      <c r="AD110" s="438"/>
      <c r="AE110" s="439"/>
      <c r="AF110" s="438"/>
      <c r="AG110" s="439"/>
      <c r="AH110" s="438"/>
      <c r="AI110" s="438"/>
      <c r="AJ110" s="438"/>
      <c r="AK110" s="438"/>
      <c r="AL110" s="438"/>
      <c r="AM110" s="438"/>
      <c r="AN110" s="438"/>
      <c r="AO110" s="438"/>
      <c r="AP110" s="438"/>
      <c r="AQ110" s="438"/>
      <c r="AR110" s="438"/>
      <c r="AS110" s="438"/>
      <c r="AT110" s="438"/>
      <c r="AU110" s="438"/>
      <c r="AV110" s="438"/>
      <c r="AW110" s="438"/>
      <c r="AX110" s="438"/>
      <c r="AY110" s="438"/>
      <c r="AZ110" s="438"/>
      <c r="BA110" s="438"/>
      <c r="BB110" s="438"/>
      <c r="BC110" s="438"/>
      <c r="BD110" s="438"/>
      <c r="BE110" s="438"/>
      <c r="BF110" s="438"/>
      <c r="BG110" s="438"/>
      <c r="BH110" s="438"/>
      <c r="BI110" s="438"/>
      <c r="BJ110" s="438"/>
      <c r="BK110" s="438"/>
      <c r="BL110" s="438"/>
      <c r="BM110" s="438"/>
      <c r="BN110" s="438"/>
      <c r="BO110" s="438"/>
      <c r="BP110" s="438"/>
      <c r="BQ110" s="438"/>
      <c r="BR110" s="438"/>
      <c r="BS110" s="438"/>
      <c r="BT110" s="438"/>
      <c r="BU110" s="438"/>
      <c r="BV110" s="438"/>
      <c r="BW110" s="438"/>
      <c r="BX110" s="438"/>
      <c r="BY110" s="438"/>
      <c r="BZ110" s="438"/>
      <c r="CA110" s="438"/>
      <c r="CB110" s="438"/>
      <c r="CC110" s="438"/>
      <c r="CD110" s="438"/>
      <c r="CE110" s="438"/>
      <c r="CF110" s="438"/>
      <c r="CG110" s="438"/>
      <c r="CH110" s="438"/>
      <c r="CI110" s="438"/>
      <c r="CJ110" s="438"/>
      <c r="CK110" s="438"/>
      <c r="CL110" s="438"/>
      <c r="CM110" s="438"/>
      <c r="CN110" s="438"/>
      <c r="CO110" s="438"/>
      <c r="CP110" s="438"/>
      <c r="CQ110" s="438"/>
      <c r="CR110" s="438"/>
      <c r="CS110" s="438"/>
      <c r="CT110" s="438"/>
      <c r="CU110" s="438"/>
      <c r="CV110" s="438"/>
      <c r="CW110" s="438"/>
      <c r="CX110" s="438"/>
      <c r="CY110" s="438"/>
      <c r="CZ110" s="438"/>
      <c r="DA110" s="438"/>
      <c r="DB110" s="438"/>
      <c r="DC110" s="438"/>
      <c r="DD110" s="438"/>
      <c r="DE110" s="438"/>
      <c r="DF110" s="438"/>
      <c r="DG110" s="438"/>
      <c r="DH110" s="438"/>
      <c r="DI110" s="438"/>
      <c r="DJ110" s="438"/>
      <c r="DK110" s="438"/>
      <c r="DL110" s="438"/>
      <c r="DM110" s="438"/>
      <c r="DN110" s="438"/>
      <c r="DO110" s="438"/>
      <c r="DP110" s="438"/>
      <c r="DQ110" s="438"/>
      <c r="DR110" s="438"/>
      <c r="DS110" s="438"/>
      <c r="DT110" s="438"/>
      <c r="DU110" s="438"/>
      <c r="DV110" s="438"/>
      <c r="DW110" s="438"/>
      <c r="DX110" s="438"/>
      <c r="DY110" s="438"/>
      <c r="DZ110" s="438"/>
      <c r="EA110" s="438"/>
      <c r="EB110" s="439"/>
      <c r="EC110" s="438"/>
      <c r="ED110" s="439"/>
      <c r="EE110" s="438"/>
      <c r="EF110" s="439"/>
      <c r="EG110" s="438"/>
      <c r="EH110" s="439"/>
      <c r="EI110" s="438"/>
      <c r="EJ110" s="438"/>
      <c r="EK110" s="438"/>
      <c r="EL110" s="438"/>
      <c r="EM110" s="438"/>
      <c r="EN110" s="438"/>
      <c r="EO110" s="438"/>
      <c r="EP110" s="438"/>
      <c r="EQ110" s="438"/>
      <c r="ER110" s="438"/>
      <c r="ES110" s="438"/>
      <c r="ET110" s="438"/>
      <c r="EU110" s="438"/>
      <c r="EV110" s="438"/>
      <c r="EW110" s="438"/>
      <c r="EX110" s="438"/>
      <c r="EY110" s="438"/>
      <c r="EZ110" s="438"/>
      <c r="FA110" s="438"/>
      <c r="FB110" s="438"/>
      <c r="FC110" s="438"/>
      <c r="FD110" s="438"/>
      <c r="FE110" s="438"/>
      <c r="FF110" s="438"/>
      <c r="FG110" s="438"/>
      <c r="FH110" s="438"/>
      <c r="FI110" s="438"/>
      <c r="FJ110" s="438"/>
      <c r="FK110" s="438"/>
      <c r="FL110" s="438"/>
      <c r="FM110" s="438"/>
      <c r="FN110" s="438"/>
      <c r="FO110" s="438"/>
      <c r="FP110" s="438"/>
      <c r="FQ110" s="438"/>
      <c r="FR110" s="438"/>
      <c r="FS110" s="438"/>
    </row>
    <row r="111" spans="1:176" s="529" customFormat="1" ht="12.75" hidden="1" customHeight="1" outlineLevel="1" x14ac:dyDescent="0.2">
      <c r="A111" s="534" t="str">
        <f>+A$3</f>
        <v>($Millions Except Per Share Data)</v>
      </c>
      <c r="B111" s="535"/>
      <c r="C111" s="536" t="str">
        <f>+C$3</f>
        <v>1Q03/</v>
      </c>
      <c r="D111" s="535"/>
      <c r="E111" s="536" t="str">
        <f>+E$3</f>
        <v>2Q03/</v>
      </c>
      <c r="F111" s="535"/>
      <c r="G111" s="536" t="str">
        <f>+G$3</f>
        <v>3Q03/</v>
      </c>
      <c r="H111" s="535"/>
      <c r="I111" s="536" t="str">
        <f>+I$3</f>
        <v>4Q03/</v>
      </c>
      <c r="J111" s="535"/>
      <c r="K111" s="536" t="str">
        <f>+K$3</f>
        <v>1Q04/</v>
      </c>
      <c r="L111" s="535"/>
      <c r="M111" s="536" t="str">
        <f>+M$3</f>
        <v>2Q04/</v>
      </c>
      <c r="N111" s="535"/>
      <c r="O111" s="536" t="str">
        <f>+O$3</f>
        <v>3Q04/</v>
      </c>
      <c r="P111" s="535"/>
      <c r="Q111" s="536" t="str">
        <f>+Q$3</f>
        <v>4Q04/</v>
      </c>
      <c r="R111" s="535"/>
      <c r="S111" s="536" t="str">
        <f>+S$3</f>
        <v>1Q05/</v>
      </c>
      <c r="T111" s="535"/>
      <c r="U111" s="536" t="str">
        <f>+U$3</f>
        <v>2Q05/</v>
      </c>
      <c r="V111" s="535"/>
      <c r="W111" s="536" t="str">
        <f>+W$3</f>
        <v>3Q05/</v>
      </c>
      <c r="X111" s="535"/>
      <c r="Y111" s="536" t="str">
        <f>+Y$3</f>
        <v>4Q05/</v>
      </c>
      <c r="Z111" s="535"/>
      <c r="AA111" s="536" t="str">
        <f>+AA$3</f>
        <v>1Q06/</v>
      </c>
      <c r="AB111" s="535"/>
      <c r="AC111" s="536" t="str">
        <f>+AC$3</f>
        <v>2Q06/</v>
      </c>
      <c r="AD111" s="535"/>
      <c r="AE111" s="536" t="str">
        <f>+AE$3</f>
        <v>3Q06/</v>
      </c>
      <c r="AF111" s="535"/>
      <c r="AG111" s="536" t="str">
        <f>+AG$3</f>
        <v>4Q06/</v>
      </c>
      <c r="AH111" s="535"/>
      <c r="AI111" s="537" t="str">
        <f>+AI$3</f>
        <v>1Q07/</v>
      </c>
      <c r="AJ111" s="535"/>
      <c r="AK111" s="537" t="str">
        <f>+AK$3</f>
        <v>2Q07/</v>
      </c>
      <c r="AL111" s="535"/>
      <c r="AM111" s="537" t="str">
        <f>+AM$3</f>
        <v>3Q07/</v>
      </c>
      <c r="AN111" s="535"/>
      <c r="AO111" s="537" t="str">
        <f>+AO$3</f>
        <v>4Q07/</v>
      </c>
      <c r="AP111" s="535"/>
      <c r="AQ111" s="537" t="str">
        <f>+AQ$3</f>
        <v>1Q08/</v>
      </c>
      <c r="AR111" s="535"/>
      <c r="AS111" s="537" t="str">
        <f>+AS$3</f>
        <v>2Q08/</v>
      </c>
      <c r="AT111" s="535"/>
      <c r="AU111" s="537" t="str">
        <f>+AU$3</f>
        <v>3Q08/</v>
      </c>
      <c r="AV111" s="535"/>
      <c r="AW111" s="537" t="str">
        <f>+AW$3</f>
        <v>4Q08/</v>
      </c>
      <c r="AX111" s="535"/>
      <c r="AY111" s="537" t="str">
        <f>+AY$3</f>
        <v>1Q09/</v>
      </c>
      <c r="AZ111" s="535"/>
      <c r="BA111" s="537" t="str">
        <f>+BA$3</f>
        <v>2Q09/</v>
      </c>
      <c r="BB111" s="535"/>
      <c r="BC111" s="537" t="str">
        <f>+BC$3</f>
        <v>3Q09/</v>
      </c>
      <c r="BD111" s="535"/>
      <c r="BE111" s="537" t="str">
        <f>+BE$3</f>
        <v>4Q09/</v>
      </c>
      <c r="BF111" s="535"/>
      <c r="BG111" s="537" t="str">
        <f>+BG$3</f>
        <v>1Q10/</v>
      </c>
      <c r="BH111" s="535"/>
      <c r="BI111" s="537" t="str">
        <f>+BI$3</f>
        <v>2Q10/</v>
      </c>
      <c r="BJ111" s="535"/>
      <c r="BK111" s="537" t="str">
        <f>+BK$3</f>
        <v>3Q10/</v>
      </c>
      <c r="BL111" s="535"/>
      <c r="BM111" s="537" t="str">
        <f>+BM$3</f>
        <v>4Q10/</v>
      </c>
      <c r="BN111" s="535"/>
      <c r="BO111" s="537" t="str">
        <f>+BO$3</f>
        <v>1Q11/</v>
      </c>
      <c r="BP111" s="535"/>
      <c r="BQ111" s="537" t="str">
        <f>+BQ$3</f>
        <v>2Q11/</v>
      </c>
      <c r="BR111" s="535"/>
      <c r="BS111" s="537" t="str">
        <f>+BS$3</f>
        <v>3Q11/</v>
      </c>
      <c r="BT111" s="535"/>
      <c r="BU111" s="537" t="str">
        <f>+BU$3</f>
        <v>4Q11/</v>
      </c>
      <c r="BV111" s="535"/>
      <c r="BW111" s="537" t="str">
        <f>+BW$3</f>
        <v>1Q12/</v>
      </c>
      <c r="BX111" s="535"/>
      <c r="BY111" s="537" t="str">
        <f>+BY$3</f>
        <v>2Q12/</v>
      </c>
      <c r="BZ111" s="535"/>
      <c r="CA111" s="537" t="str">
        <f>+CA$3</f>
        <v>3Q12/</v>
      </c>
      <c r="CB111" s="535"/>
      <c r="CC111" s="537" t="str">
        <f>+CC$3</f>
        <v>4Q12/</v>
      </c>
      <c r="CD111" s="535"/>
      <c r="CE111" s="537" t="str">
        <f>+CE$3</f>
        <v>1Q13/</v>
      </c>
      <c r="CF111" s="535"/>
      <c r="CG111" s="537" t="str">
        <f>+CG$3</f>
        <v>2Q13/</v>
      </c>
      <c r="CH111" s="535"/>
      <c r="CI111" s="537" t="str">
        <f>+CI$3</f>
        <v>3Q13/</v>
      </c>
      <c r="CJ111" s="535"/>
      <c r="CK111" s="537" t="str">
        <f>+CK$3</f>
        <v>4Q13/</v>
      </c>
      <c r="CL111" s="535"/>
      <c r="CM111" s="537" t="str">
        <f>+CM$3</f>
        <v>1Q14/</v>
      </c>
      <c r="CN111" s="535"/>
      <c r="CO111" s="537" t="str">
        <f>+CO$3</f>
        <v>2Q14/</v>
      </c>
      <c r="CP111" s="535"/>
      <c r="CQ111" s="537" t="str">
        <f>+CQ$3</f>
        <v>3Q14/</v>
      </c>
      <c r="CR111" s="535"/>
      <c r="CS111" s="537" t="str">
        <f>+CS$3</f>
        <v>4Q14/</v>
      </c>
      <c r="CT111" s="535"/>
      <c r="CU111" s="537" t="str">
        <f>+CU$3</f>
        <v>1Q15/</v>
      </c>
      <c r="CV111" s="535"/>
      <c r="CW111" s="537" t="str">
        <f>+CW$3</f>
        <v>2Q15/</v>
      </c>
      <c r="CX111" s="535"/>
      <c r="CY111" s="537" t="str">
        <f>+CY$3</f>
        <v>3Q15/</v>
      </c>
      <c r="CZ111" s="535"/>
      <c r="DA111" s="537" t="str">
        <f>+DA$3</f>
        <v>4Q15/</v>
      </c>
      <c r="DB111" s="535"/>
      <c r="DC111" s="537" t="str">
        <f>+DC$3</f>
        <v>1Q16/</v>
      </c>
      <c r="DD111" s="535"/>
      <c r="DE111" s="537" t="str">
        <f>+DE$3</f>
        <v>2Q16/</v>
      </c>
      <c r="DF111" s="535"/>
      <c r="DG111" s="537" t="str">
        <f>+DG$3</f>
        <v>3Q16/</v>
      </c>
      <c r="DH111" s="535"/>
      <c r="DI111" s="537" t="str">
        <f>+DI$3</f>
        <v>4Q16/</v>
      </c>
      <c r="DJ111" s="535"/>
      <c r="DK111" s="537" t="str">
        <f>+DK$3</f>
        <v>1Q17/</v>
      </c>
      <c r="DL111" s="535"/>
      <c r="DM111" s="537" t="str">
        <f>+DM$3</f>
        <v>2Q17/</v>
      </c>
      <c r="DN111" s="535"/>
      <c r="DO111" s="537" t="str">
        <f>+DO$3</f>
        <v>3Q17/</v>
      </c>
      <c r="DP111" s="535"/>
      <c r="DQ111" s="537" t="str">
        <f>+DQ$3</f>
        <v>4Q17/</v>
      </c>
      <c r="DR111" s="535"/>
      <c r="DS111" s="537" t="str">
        <f>+DS$3</f>
        <v>1Q18E/</v>
      </c>
      <c r="DT111" s="535"/>
      <c r="DU111" s="537" t="str">
        <f>+DU$3</f>
        <v>2Q18E/</v>
      </c>
      <c r="DV111" s="535"/>
      <c r="DW111" s="537" t="str">
        <f>+DW$3</f>
        <v>3Q18E/</v>
      </c>
      <c r="DX111" s="535"/>
      <c r="DY111" s="537" t="str">
        <f>+DY$3</f>
        <v>4Q18E/</v>
      </c>
      <c r="DZ111" s="535"/>
      <c r="EA111" s="537"/>
      <c r="EB111" s="536" t="str">
        <f>+EB$3</f>
        <v>2001/</v>
      </c>
      <c r="EC111" s="535"/>
      <c r="ED111" s="536" t="str">
        <f>+ED$3</f>
        <v>2002/</v>
      </c>
      <c r="EE111" s="535"/>
      <c r="EF111" s="536" t="str">
        <f>+EF$3</f>
        <v>2003/</v>
      </c>
      <c r="EG111" s="535"/>
      <c r="EH111" s="536" t="str">
        <f>+EH$3</f>
        <v>2004/</v>
      </c>
      <c r="EI111" s="535"/>
      <c r="EJ111" s="537" t="str">
        <f>+EJ$3</f>
        <v>2005/</v>
      </c>
      <c r="EK111" s="535"/>
      <c r="EL111" s="537" t="str">
        <f>+EL$3</f>
        <v>2006/</v>
      </c>
      <c r="EM111" s="535"/>
      <c r="EN111" s="537" t="str">
        <f>+EN$3</f>
        <v>2007/</v>
      </c>
      <c r="EO111" s="535"/>
      <c r="EP111" s="537" t="str">
        <f>+EP$3</f>
        <v>2008/</v>
      </c>
      <c r="EQ111" s="535"/>
      <c r="ER111" s="537" t="str">
        <f>+ER$3</f>
        <v>2009/</v>
      </c>
      <c r="ES111" s="535"/>
      <c r="ET111" s="537" t="str">
        <f>+ET$3</f>
        <v>2010/</v>
      </c>
      <c r="EU111" s="535"/>
      <c r="EV111" s="537" t="str">
        <f>+EV$3</f>
        <v>2011/</v>
      </c>
      <c r="EW111" s="535"/>
      <c r="EX111" s="537" t="str">
        <f>+EX$3</f>
        <v>2012/</v>
      </c>
      <c r="EY111" s="535"/>
      <c r="EZ111" s="537" t="str">
        <f>+EZ$3</f>
        <v>2013/</v>
      </c>
      <c r="FA111" s="535"/>
      <c r="FB111" s="537" t="str">
        <f>+FB$3</f>
        <v>2014/</v>
      </c>
      <c r="FC111" s="535"/>
      <c r="FD111" s="537" t="str">
        <f>+FD$3</f>
        <v>2015/</v>
      </c>
      <c r="FE111" s="535"/>
      <c r="FF111" s="537" t="str">
        <f>+FF$3</f>
        <v>2016/</v>
      </c>
      <c r="FG111" s="535"/>
      <c r="FH111" s="537" t="str">
        <f>+FH$3</f>
        <v>2017/</v>
      </c>
      <c r="FI111" s="535"/>
      <c r="FJ111" s="537" t="str">
        <f>+FJ$3</f>
        <v>2018E/</v>
      </c>
      <c r="FK111" s="535"/>
      <c r="FL111" s="537" t="str">
        <f>+FL$3</f>
        <v>2019E/</v>
      </c>
      <c r="FM111" s="535"/>
      <c r="FN111" s="537" t="str">
        <f>+FN$3</f>
        <v>2020E/</v>
      </c>
      <c r="FO111" s="535"/>
      <c r="FP111" s="537" t="str">
        <f>+FP$3</f>
        <v>2021E/</v>
      </c>
      <c r="FQ111" s="535"/>
      <c r="FR111" s="537" t="str">
        <f>+FR$3</f>
        <v>2022E/</v>
      </c>
      <c r="FS111" s="537" t="str">
        <f>+FS$3</f>
        <v>5-Yr</v>
      </c>
      <c r="FT111" s="453"/>
    </row>
    <row r="112" spans="1:176" s="529" customFormat="1" ht="12.75" hidden="1" customHeight="1" outlineLevel="1" x14ac:dyDescent="0.2">
      <c r="A112" s="441"/>
      <c r="B112" s="440"/>
      <c r="C112" s="439" t="str">
        <f>+C$4</f>
        <v>1Q02</v>
      </c>
      <c r="D112" s="440"/>
      <c r="E112" s="439" t="str">
        <f>+E$4</f>
        <v>2Q02</v>
      </c>
      <c r="F112" s="440"/>
      <c r="G112" s="439" t="str">
        <f>+G$4</f>
        <v>3Q02</v>
      </c>
      <c r="H112" s="440"/>
      <c r="I112" s="439" t="str">
        <f>+I$4</f>
        <v>4Q02</v>
      </c>
      <c r="J112" s="440"/>
      <c r="K112" s="439" t="str">
        <f>+K$4</f>
        <v>1Q03</v>
      </c>
      <c r="L112" s="440"/>
      <c r="M112" s="439" t="str">
        <f>+M$4</f>
        <v>2Q03</v>
      </c>
      <c r="N112" s="440"/>
      <c r="O112" s="439" t="str">
        <f>+O$4</f>
        <v>3Q03</v>
      </c>
      <c r="P112" s="440"/>
      <c r="Q112" s="439" t="str">
        <f>+Q$4</f>
        <v>4Q03</v>
      </c>
      <c r="R112" s="440"/>
      <c r="S112" s="439" t="str">
        <f>+S$4</f>
        <v>1Q04</v>
      </c>
      <c r="T112" s="440"/>
      <c r="U112" s="439" t="str">
        <f>+U$4</f>
        <v>2Q04</v>
      </c>
      <c r="V112" s="440"/>
      <c r="W112" s="439" t="str">
        <f>+W$4</f>
        <v>3Q04</v>
      </c>
      <c r="X112" s="440"/>
      <c r="Y112" s="439" t="str">
        <f>+Y$4</f>
        <v>4Q04</v>
      </c>
      <c r="Z112" s="440"/>
      <c r="AA112" s="439" t="str">
        <f>+AA$4</f>
        <v>1Q05</v>
      </c>
      <c r="AB112" s="440"/>
      <c r="AC112" s="439" t="str">
        <f>+AC$4</f>
        <v>2Q05</v>
      </c>
      <c r="AD112" s="440"/>
      <c r="AE112" s="439" t="str">
        <f>+AE$4</f>
        <v>3Q05</v>
      </c>
      <c r="AF112" s="440"/>
      <c r="AG112" s="439" t="str">
        <f>+AG$4</f>
        <v>4Q05</v>
      </c>
      <c r="AH112" s="440"/>
      <c r="AI112" s="438" t="str">
        <f>+AI$4</f>
        <v>1Q06</v>
      </c>
      <c r="AJ112" s="440"/>
      <c r="AK112" s="438" t="str">
        <f>+AK$4</f>
        <v>2Q06</v>
      </c>
      <c r="AL112" s="440"/>
      <c r="AM112" s="438" t="str">
        <f>+AM$4</f>
        <v>3Q06</v>
      </c>
      <c r="AN112" s="440"/>
      <c r="AO112" s="438" t="str">
        <f>+AO$4</f>
        <v>4Q06</v>
      </c>
      <c r="AP112" s="440"/>
      <c r="AQ112" s="438" t="str">
        <f>+AQ$4</f>
        <v>1Q07</v>
      </c>
      <c r="AR112" s="440"/>
      <c r="AS112" s="438" t="str">
        <f>+AS$4</f>
        <v>2Q07</v>
      </c>
      <c r="AT112" s="440"/>
      <c r="AU112" s="438" t="str">
        <f>+AU$4</f>
        <v>3Q07</v>
      </c>
      <c r="AV112" s="440"/>
      <c r="AW112" s="438" t="str">
        <f>+AW$4</f>
        <v>4Q07</v>
      </c>
      <c r="AX112" s="440"/>
      <c r="AY112" s="438" t="str">
        <f>+AY$4</f>
        <v>1Q08</v>
      </c>
      <c r="AZ112" s="440"/>
      <c r="BA112" s="438" t="str">
        <f>+BA$4</f>
        <v>2Q08</v>
      </c>
      <c r="BB112" s="440"/>
      <c r="BC112" s="438" t="str">
        <f>+BC$4</f>
        <v>3Q08</v>
      </c>
      <c r="BD112" s="440"/>
      <c r="BE112" s="438" t="str">
        <f>+BE$4</f>
        <v>4Q08</v>
      </c>
      <c r="BF112" s="440"/>
      <c r="BG112" s="438" t="str">
        <f>+BG$4</f>
        <v>1Q09</v>
      </c>
      <c r="BH112" s="440"/>
      <c r="BI112" s="438" t="str">
        <f>+BI$4</f>
        <v>2Q09</v>
      </c>
      <c r="BJ112" s="440"/>
      <c r="BK112" s="438" t="str">
        <f>+BK$4</f>
        <v>3Q09</v>
      </c>
      <c r="BL112" s="440"/>
      <c r="BM112" s="438" t="str">
        <f>+BM$4</f>
        <v>4Q09</v>
      </c>
      <c r="BN112" s="440"/>
      <c r="BO112" s="438" t="str">
        <f>+BO$4</f>
        <v>1Q10</v>
      </c>
      <c r="BP112" s="440"/>
      <c r="BQ112" s="438" t="str">
        <f>+BQ$4</f>
        <v>2Q10</v>
      </c>
      <c r="BR112" s="440"/>
      <c r="BS112" s="438" t="str">
        <f>+BS$4</f>
        <v>3Q10</v>
      </c>
      <c r="BT112" s="440"/>
      <c r="BU112" s="438" t="str">
        <f>+BU$4</f>
        <v>4Q10</v>
      </c>
      <c r="BV112" s="440"/>
      <c r="BW112" s="438" t="str">
        <f>+BW$4</f>
        <v>1Q11</v>
      </c>
      <c r="BX112" s="440"/>
      <c r="BY112" s="438" t="str">
        <f>+BY$4</f>
        <v>2Q11</v>
      </c>
      <c r="BZ112" s="440"/>
      <c r="CA112" s="438" t="str">
        <f>+CA$4</f>
        <v>3Q11</v>
      </c>
      <c r="CB112" s="440"/>
      <c r="CC112" s="438" t="str">
        <f>+CC$4</f>
        <v>4Q11</v>
      </c>
      <c r="CD112" s="440"/>
      <c r="CE112" s="438" t="str">
        <f>+CE$4</f>
        <v>1Q12</v>
      </c>
      <c r="CF112" s="440"/>
      <c r="CG112" s="438" t="str">
        <f>+CG$4</f>
        <v>2Q12</v>
      </c>
      <c r="CH112" s="440"/>
      <c r="CI112" s="438" t="str">
        <f>+CI$4</f>
        <v>3Q12</v>
      </c>
      <c r="CJ112" s="440"/>
      <c r="CK112" s="438" t="str">
        <f>+CK$4</f>
        <v>4Q12</v>
      </c>
      <c r="CL112" s="440"/>
      <c r="CM112" s="438" t="str">
        <f>+CM$4</f>
        <v>1Q13</v>
      </c>
      <c r="CN112" s="440"/>
      <c r="CO112" s="438" t="str">
        <f>+CO$4</f>
        <v>2Q13</v>
      </c>
      <c r="CP112" s="440"/>
      <c r="CQ112" s="438" t="str">
        <f>+CQ$4</f>
        <v>3Q13</v>
      </c>
      <c r="CR112" s="440"/>
      <c r="CS112" s="438" t="str">
        <f>+CS$4</f>
        <v>4Q13</v>
      </c>
      <c r="CT112" s="440"/>
      <c r="CU112" s="438" t="str">
        <f>+CU$4</f>
        <v>1Q14</v>
      </c>
      <c r="CV112" s="440"/>
      <c r="CW112" s="438" t="str">
        <f>+CW$4</f>
        <v>2Q14</v>
      </c>
      <c r="CX112" s="440"/>
      <c r="CY112" s="438" t="str">
        <f>+CY$4</f>
        <v>3Q14</v>
      </c>
      <c r="CZ112" s="440"/>
      <c r="DA112" s="438" t="str">
        <f>+DA$4</f>
        <v>4Q14</v>
      </c>
      <c r="DB112" s="440"/>
      <c r="DC112" s="438" t="str">
        <f>+DC$4</f>
        <v>1Q15</v>
      </c>
      <c r="DD112" s="440"/>
      <c r="DE112" s="438" t="str">
        <f>+DE$4</f>
        <v>2Q15</v>
      </c>
      <c r="DF112" s="440"/>
      <c r="DG112" s="438" t="str">
        <f>+DG$4</f>
        <v>3Q15</v>
      </c>
      <c r="DH112" s="440"/>
      <c r="DI112" s="438" t="str">
        <f>+DI$4</f>
        <v>4Q15</v>
      </c>
      <c r="DJ112" s="440"/>
      <c r="DK112" s="438" t="str">
        <f>+DK$4</f>
        <v>1Q16</v>
      </c>
      <c r="DL112" s="440"/>
      <c r="DM112" s="438" t="str">
        <f>+DM$4</f>
        <v>2Q16</v>
      </c>
      <c r="DN112" s="440"/>
      <c r="DO112" s="438" t="str">
        <f>+DO$4</f>
        <v>3Q16</v>
      </c>
      <c r="DP112" s="440"/>
      <c r="DQ112" s="438" t="str">
        <f>+DQ$4</f>
        <v>4Q16</v>
      </c>
      <c r="DR112" s="440"/>
      <c r="DS112" s="438" t="str">
        <f>+DS$4</f>
        <v>1Q17</v>
      </c>
      <c r="DT112" s="440"/>
      <c r="DU112" s="438" t="str">
        <f>+DU$4</f>
        <v>2Q17</v>
      </c>
      <c r="DV112" s="440"/>
      <c r="DW112" s="438" t="str">
        <f>+DW$4</f>
        <v>3Q17</v>
      </c>
      <c r="DX112" s="440"/>
      <c r="DY112" s="438" t="str">
        <f>+DY$4</f>
        <v>4Q17</v>
      </c>
      <c r="DZ112" s="440"/>
      <c r="EA112" s="438"/>
      <c r="EB112" s="439" t="str">
        <f>+EB$4</f>
        <v>2000</v>
      </c>
      <c r="EC112" s="440"/>
      <c r="ED112" s="439" t="str">
        <f>+ED$4</f>
        <v>2001</v>
      </c>
      <c r="EE112" s="440"/>
      <c r="EF112" s="439" t="str">
        <f>+EF$4</f>
        <v>2002</v>
      </c>
      <c r="EG112" s="440"/>
      <c r="EH112" s="439" t="str">
        <f>+EH$4</f>
        <v>2003</v>
      </c>
      <c r="EI112" s="440"/>
      <c r="EJ112" s="438">
        <f>+EJ$4</f>
        <v>2004</v>
      </c>
      <c r="EK112" s="440"/>
      <c r="EL112" s="438" t="str">
        <f>+EL$4</f>
        <v>2005</v>
      </c>
      <c r="EM112" s="440"/>
      <c r="EN112" s="438" t="str">
        <f>+EN$4</f>
        <v>2006</v>
      </c>
      <c r="EO112" s="440"/>
      <c r="EP112" s="438">
        <f>+EP$4</f>
        <v>2007</v>
      </c>
      <c r="EQ112" s="440"/>
      <c r="ER112" s="438" t="str">
        <f>+ER$4</f>
        <v>2008</v>
      </c>
      <c r="ES112" s="440"/>
      <c r="ET112" s="438" t="str">
        <f>+ET$4</f>
        <v>2009</v>
      </c>
      <c r="EU112" s="440"/>
      <c r="EV112" s="438" t="str">
        <f>+EV$4</f>
        <v>2010</v>
      </c>
      <c r="EW112" s="440"/>
      <c r="EX112" s="438" t="str">
        <f>+EX$4</f>
        <v>2011</v>
      </c>
      <c r="EY112" s="440"/>
      <c r="EZ112" s="438" t="str">
        <f>+EZ$4</f>
        <v>2012</v>
      </c>
      <c r="FA112" s="440"/>
      <c r="FB112" s="438" t="str">
        <f>+FB$4</f>
        <v>2013</v>
      </c>
      <c r="FC112" s="440"/>
      <c r="FD112" s="438">
        <f>+FD$4</f>
        <v>2014</v>
      </c>
      <c r="FE112" s="440"/>
      <c r="FF112" s="438" t="str">
        <f>+FF$4</f>
        <v>2015</v>
      </c>
      <c r="FG112" s="440"/>
      <c r="FH112" s="438">
        <f>+FH$4</f>
        <v>2016</v>
      </c>
      <c r="FI112" s="440"/>
      <c r="FJ112" s="438">
        <f>+FJ$4</f>
        <v>2017</v>
      </c>
      <c r="FK112" s="440"/>
      <c r="FL112" s="438" t="str">
        <f>+FL$4</f>
        <v>2018E</v>
      </c>
      <c r="FM112" s="440"/>
      <c r="FN112" s="438" t="str">
        <f>+FN$4</f>
        <v>2019E</v>
      </c>
      <c r="FO112" s="440"/>
      <c r="FP112" s="438" t="str">
        <f>+FP$4</f>
        <v>2020E</v>
      </c>
      <c r="FQ112" s="440"/>
      <c r="FR112" s="438" t="str">
        <f>+FR$4</f>
        <v>2021E</v>
      </c>
      <c r="FS112" s="438" t="str">
        <f>+FS$4</f>
        <v>CAGR</v>
      </c>
      <c r="FT112" s="453"/>
    </row>
    <row r="113" spans="1:265" s="529" customFormat="1" ht="12.75" hidden="1" customHeight="1" outlineLevel="1" x14ac:dyDescent="0.2">
      <c r="A113" s="442"/>
      <c r="B113" s="443" t="str">
        <f t="shared" ref="B113:DJ113" si="14">+B$5</f>
        <v>1Q03</v>
      </c>
      <c r="C113" s="444" t="str">
        <f t="shared" si="14"/>
        <v>% Chg</v>
      </c>
      <c r="D113" s="443" t="str">
        <f t="shared" si="14"/>
        <v>2Q03</v>
      </c>
      <c r="E113" s="444" t="str">
        <f t="shared" si="14"/>
        <v>% Chg</v>
      </c>
      <c r="F113" s="443" t="str">
        <f t="shared" si="14"/>
        <v>3Q03</v>
      </c>
      <c r="G113" s="444" t="str">
        <f t="shared" si="14"/>
        <v>% Chg</v>
      </c>
      <c r="H113" s="443" t="str">
        <f t="shared" si="14"/>
        <v>4Q03</v>
      </c>
      <c r="I113" s="444" t="str">
        <f t="shared" si="14"/>
        <v>% Chg</v>
      </c>
      <c r="J113" s="443" t="str">
        <f t="shared" si="14"/>
        <v>1Q04</v>
      </c>
      <c r="K113" s="444" t="str">
        <f t="shared" si="14"/>
        <v>% Chg</v>
      </c>
      <c r="L113" s="443" t="str">
        <f t="shared" si="14"/>
        <v>2Q04</v>
      </c>
      <c r="M113" s="444" t="str">
        <f t="shared" si="14"/>
        <v>% Chg</v>
      </c>
      <c r="N113" s="443" t="str">
        <f t="shared" si="14"/>
        <v>3Q04</v>
      </c>
      <c r="O113" s="444" t="str">
        <f t="shared" si="14"/>
        <v>% Chg</v>
      </c>
      <c r="P113" s="443" t="str">
        <f t="shared" si="14"/>
        <v>4Q04</v>
      </c>
      <c r="Q113" s="444" t="str">
        <f t="shared" si="14"/>
        <v>% Chg</v>
      </c>
      <c r="R113" s="443" t="str">
        <f t="shared" si="14"/>
        <v>1Q05</v>
      </c>
      <c r="S113" s="444" t="str">
        <f t="shared" si="14"/>
        <v>% Chg</v>
      </c>
      <c r="T113" s="443" t="str">
        <f t="shared" si="14"/>
        <v>2Q05</v>
      </c>
      <c r="U113" s="444" t="str">
        <f t="shared" si="14"/>
        <v>% Chg</v>
      </c>
      <c r="V113" s="443" t="str">
        <f t="shared" si="14"/>
        <v>3Q05</v>
      </c>
      <c r="W113" s="444" t="str">
        <f t="shared" si="14"/>
        <v>% Chg</v>
      </c>
      <c r="X113" s="443" t="str">
        <f t="shared" si="14"/>
        <v>4Q05</v>
      </c>
      <c r="Y113" s="444" t="str">
        <f t="shared" si="14"/>
        <v>% Chg</v>
      </c>
      <c r="Z113" s="443" t="str">
        <f t="shared" si="14"/>
        <v>1Q06</v>
      </c>
      <c r="AA113" s="444" t="str">
        <f t="shared" si="14"/>
        <v>% Chg</v>
      </c>
      <c r="AB113" s="443" t="str">
        <f t="shared" si="14"/>
        <v>2Q06</v>
      </c>
      <c r="AC113" s="444" t="str">
        <f t="shared" si="14"/>
        <v>% Chg</v>
      </c>
      <c r="AD113" s="443" t="str">
        <f t="shared" si="14"/>
        <v>3Q06</v>
      </c>
      <c r="AE113" s="444" t="str">
        <f t="shared" si="14"/>
        <v>% Chg</v>
      </c>
      <c r="AF113" s="443" t="str">
        <f t="shared" si="14"/>
        <v>4Q06</v>
      </c>
      <c r="AG113" s="444" t="str">
        <f t="shared" si="14"/>
        <v>% Chg</v>
      </c>
      <c r="AH113" s="443" t="str">
        <f t="shared" si="14"/>
        <v>1Q07</v>
      </c>
      <c r="AI113" s="445" t="str">
        <f t="shared" si="14"/>
        <v>% Chg</v>
      </c>
      <c r="AJ113" s="443" t="str">
        <f t="shared" si="14"/>
        <v>2Q07</v>
      </c>
      <c r="AK113" s="445" t="str">
        <f t="shared" si="14"/>
        <v>% Chg</v>
      </c>
      <c r="AL113" s="443" t="str">
        <f t="shared" si="14"/>
        <v>3Q07</v>
      </c>
      <c r="AM113" s="445" t="str">
        <f t="shared" si="14"/>
        <v>% Chg</v>
      </c>
      <c r="AN113" s="443" t="str">
        <f t="shared" si="14"/>
        <v>4Q07</v>
      </c>
      <c r="AO113" s="445" t="str">
        <f t="shared" si="14"/>
        <v>% Chg</v>
      </c>
      <c r="AP113" s="443" t="str">
        <f t="shared" si="14"/>
        <v>1Q08</v>
      </c>
      <c r="AQ113" s="445" t="str">
        <f t="shared" si="14"/>
        <v>% Chg</v>
      </c>
      <c r="AR113" s="443" t="str">
        <f t="shared" si="14"/>
        <v>2Q08</v>
      </c>
      <c r="AS113" s="445" t="str">
        <f t="shared" si="14"/>
        <v>% Chg</v>
      </c>
      <c r="AT113" s="443" t="str">
        <f t="shared" si="14"/>
        <v>3Q08</v>
      </c>
      <c r="AU113" s="445" t="str">
        <f t="shared" si="14"/>
        <v>% Chg</v>
      </c>
      <c r="AV113" s="443" t="str">
        <f t="shared" si="14"/>
        <v>4Q08</v>
      </c>
      <c r="AW113" s="445" t="str">
        <f t="shared" si="14"/>
        <v>% Chg</v>
      </c>
      <c r="AX113" s="443" t="str">
        <f t="shared" si="14"/>
        <v>1Q09</v>
      </c>
      <c r="AY113" s="445" t="str">
        <f t="shared" si="14"/>
        <v>% Chg</v>
      </c>
      <c r="AZ113" s="443" t="str">
        <f t="shared" si="14"/>
        <v>2Q09</v>
      </c>
      <c r="BA113" s="445" t="str">
        <f t="shared" si="14"/>
        <v>% Chg</v>
      </c>
      <c r="BB113" s="443" t="str">
        <f t="shared" si="14"/>
        <v>3Q09</v>
      </c>
      <c r="BC113" s="445" t="str">
        <f t="shared" si="14"/>
        <v>% Chg</v>
      </c>
      <c r="BD113" s="443" t="str">
        <f t="shared" si="14"/>
        <v>4Q09</v>
      </c>
      <c r="BE113" s="445" t="str">
        <f t="shared" si="14"/>
        <v>% Chg</v>
      </c>
      <c r="BF113" s="443" t="str">
        <f t="shared" si="14"/>
        <v>1Q10</v>
      </c>
      <c r="BG113" s="445" t="str">
        <f t="shared" si="14"/>
        <v>% Chg</v>
      </c>
      <c r="BH113" s="443" t="str">
        <f t="shared" si="14"/>
        <v>2Q10</v>
      </c>
      <c r="BI113" s="445" t="str">
        <f t="shared" si="14"/>
        <v>% Chg</v>
      </c>
      <c r="BJ113" s="443" t="str">
        <f t="shared" si="14"/>
        <v>3Q10</v>
      </c>
      <c r="BK113" s="445" t="str">
        <f t="shared" si="14"/>
        <v>% Chg</v>
      </c>
      <c r="BL113" s="443" t="str">
        <f t="shared" si="14"/>
        <v>4Q10</v>
      </c>
      <c r="BM113" s="445" t="str">
        <f t="shared" si="14"/>
        <v>% Chg</v>
      </c>
      <c r="BN113" s="443" t="str">
        <f t="shared" si="14"/>
        <v>1Q11</v>
      </c>
      <c r="BO113" s="445" t="str">
        <f t="shared" si="14"/>
        <v>% Chg</v>
      </c>
      <c r="BP113" s="443" t="str">
        <f t="shared" si="14"/>
        <v>2Q11</v>
      </c>
      <c r="BQ113" s="445" t="str">
        <f t="shared" si="14"/>
        <v>% Chg</v>
      </c>
      <c r="BR113" s="443" t="str">
        <f t="shared" si="14"/>
        <v>3Q11</v>
      </c>
      <c r="BS113" s="445" t="str">
        <f t="shared" si="14"/>
        <v>% Chg</v>
      </c>
      <c r="BT113" s="443" t="str">
        <f t="shared" si="14"/>
        <v>4Q11</v>
      </c>
      <c r="BU113" s="445" t="str">
        <f>+BU$5</f>
        <v>% Chg</v>
      </c>
      <c r="BV113" s="443" t="str">
        <f t="shared" si="14"/>
        <v>1Q12</v>
      </c>
      <c r="BW113" s="445" t="str">
        <f>+BW$5</f>
        <v>% Chg</v>
      </c>
      <c r="BX113" s="443" t="str">
        <f t="shared" si="14"/>
        <v>2Q12</v>
      </c>
      <c r="BY113" s="445" t="str">
        <f>+BY$5</f>
        <v>% Chg</v>
      </c>
      <c r="BZ113" s="443" t="str">
        <f t="shared" si="14"/>
        <v>3Q12</v>
      </c>
      <c r="CA113" s="445" t="str">
        <f>+CA$5</f>
        <v>% Chg</v>
      </c>
      <c r="CB113" s="443" t="str">
        <f t="shared" si="14"/>
        <v>4Q12</v>
      </c>
      <c r="CC113" s="445" t="str">
        <f>+CC$5</f>
        <v>% Chg</v>
      </c>
      <c r="CD113" s="443" t="str">
        <f t="shared" si="14"/>
        <v>1Q13</v>
      </c>
      <c r="CE113" s="445" t="str">
        <f>+CE$5</f>
        <v>% Chg</v>
      </c>
      <c r="CF113" s="443" t="str">
        <f t="shared" si="14"/>
        <v>2Q13</v>
      </c>
      <c r="CG113" s="445" t="str">
        <f>+CG$5</f>
        <v>% Chg</v>
      </c>
      <c r="CH113" s="443" t="str">
        <f t="shared" si="14"/>
        <v>3Q13</v>
      </c>
      <c r="CI113" s="445" t="str">
        <f>+CI$5</f>
        <v>% Chg</v>
      </c>
      <c r="CJ113" s="443" t="str">
        <f t="shared" si="14"/>
        <v>4Q13</v>
      </c>
      <c r="CK113" s="445" t="str">
        <f>+CK$5</f>
        <v>% Chg</v>
      </c>
      <c r="CL113" s="443" t="str">
        <f t="shared" si="14"/>
        <v>1Q14</v>
      </c>
      <c r="CM113" s="445" t="str">
        <f>+CM$5</f>
        <v>% Chg</v>
      </c>
      <c r="CN113" s="443" t="str">
        <f t="shared" si="14"/>
        <v>2Q14</v>
      </c>
      <c r="CO113" s="445" t="str">
        <f>+CO$5</f>
        <v>% Chg</v>
      </c>
      <c r="CP113" s="443" t="str">
        <f t="shared" si="14"/>
        <v>3Q14</v>
      </c>
      <c r="CQ113" s="445" t="str">
        <f>+CQ$5</f>
        <v>% Chg</v>
      </c>
      <c r="CR113" s="443" t="str">
        <f t="shared" si="14"/>
        <v>4Q14</v>
      </c>
      <c r="CS113" s="445" t="str">
        <f>+CS$5</f>
        <v>% Chg</v>
      </c>
      <c r="CT113" s="443" t="str">
        <f t="shared" si="14"/>
        <v>1Q15</v>
      </c>
      <c r="CU113" s="445" t="str">
        <f>+CU$5</f>
        <v>% Chg</v>
      </c>
      <c r="CV113" s="443" t="str">
        <f t="shared" si="14"/>
        <v>2Q15</v>
      </c>
      <c r="CW113" s="445" t="str">
        <f>+CW$5</f>
        <v>% Chg</v>
      </c>
      <c r="CX113" s="443" t="str">
        <f t="shared" si="14"/>
        <v>3Q15</v>
      </c>
      <c r="CY113" s="445" t="str">
        <f>+CY$5</f>
        <v>% Chg</v>
      </c>
      <c r="CZ113" s="443" t="str">
        <f t="shared" si="14"/>
        <v>4Q15</v>
      </c>
      <c r="DA113" s="445" t="str">
        <f>+DA$5</f>
        <v>% Chg</v>
      </c>
      <c r="DB113" s="443" t="str">
        <f t="shared" si="14"/>
        <v>1Q16</v>
      </c>
      <c r="DC113" s="445" t="str">
        <f>+DC$5</f>
        <v>% Chg</v>
      </c>
      <c r="DD113" s="443" t="str">
        <f t="shared" si="14"/>
        <v>2Q16</v>
      </c>
      <c r="DE113" s="445" t="str">
        <f>+DE$5</f>
        <v>% Chg</v>
      </c>
      <c r="DF113" s="443" t="str">
        <f t="shared" si="14"/>
        <v>3Q16</v>
      </c>
      <c r="DG113" s="445" t="str">
        <f>+DG$5</f>
        <v>% Chg</v>
      </c>
      <c r="DH113" s="443" t="str">
        <f t="shared" si="14"/>
        <v>4Q16</v>
      </c>
      <c r="DI113" s="445" t="str">
        <f>+DI$5</f>
        <v>% Chg</v>
      </c>
      <c r="DJ113" s="443" t="str">
        <f t="shared" si="14"/>
        <v>1Q17</v>
      </c>
      <c r="DK113" s="445" t="str">
        <f t="shared" ref="DK113:DY113" si="15">+DK$5</f>
        <v>% Chg</v>
      </c>
      <c r="DL113" s="443" t="str">
        <f t="shared" si="15"/>
        <v>2Q17</v>
      </c>
      <c r="DM113" s="445" t="str">
        <f t="shared" si="15"/>
        <v>% Chg</v>
      </c>
      <c r="DN113" s="443" t="str">
        <f t="shared" si="15"/>
        <v>3Q17</v>
      </c>
      <c r="DO113" s="445" t="str">
        <f t="shared" si="15"/>
        <v>% Chg</v>
      </c>
      <c r="DP113" s="443" t="str">
        <f t="shared" si="15"/>
        <v>4Q17</v>
      </c>
      <c r="DQ113" s="445" t="str">
        <f t="shared" si="15"/>
        <v>% Chg</v>
      </c>
      <c r="DR113" s="443" t="str">
        <f t="shared" si="15"/>
        <v>1Q18E</v>
      </c>
      <c r="DS113" s="445" t="str">
        <f t="shared" si="15"/>
        <v>% Chg</v>
      </c>
      <c r="DT113" s="443" t="str">
        <f t="shared" si="15"/>
        <v>2Q18E</v>
      </c>
      <c r="DU113" s="445" t="str">
        <f t="shared" si="15"/>
        <v>% Chg</v>
      </c>
      <c r="DV113" s="443" t="str">
        <f t="shared" si="15"/>
        <v>3Q18E</v>
      </c>
      <c r="DW113" s="445" t="str">
        <f t="shared" si="15"/>
        <v>% Chg</v>
      </c>
      <c r="DX113" s="443" t="str">
        <f t="shared" si="15"/>
        <v>4Q18E</v>
      </c>
      <c r="DY113" s="445" t="str">
        <f t="shared" si="15"/>
        <v>% Chg</v>
      </c>
      <c r="DZ113" s="443"/>
      <c r="EA113" s="445"/>
      <c r="EB113" s="444" t="str">
        <f t="shared" ref="EB113:FS113" si="16">+EB$5</f>
        <v>% Chg</v>
      </c>
      <c r="EC113" s="443" t="str">
        <f t="shared" si="16"/>
        <v>2002</v>
      </c>
      <c r="ED113" s="444" t="str">
        <f t="shared" si="16"/>
        <v>% Chg</v>
      </c>
      <c r="EE113" s="443" t="str">
        <f t="shared" si="16"/>
        <v>2003</v>
      </c>
      <c r="EF113" s="444" t="str">
        <f t="shared" si="16"/>
        <v>% Chg</v>
      </c>
      <c r="EG113" s="443">
        <f t="shared" si="16"/>
        <v>2004</v>
      </c>
      <c r="EH113" s="444" t="str">
        <f t="shared" si="16"/>
        <v>% Chg</v>
      </c>
      <c r="EI113" s="443" t="str">
        <f t="shared" si="16"/>
        <v>2005</v>
      </c>
      <c r="EJ113" s="445" t="str">
        <f t="shared" si="16"/>
        <v>% Chg</v>
      </c>
      <c r="EK113" s="443" t="str">
        <f t="shared" si="16"/>
        <v>2006</v>
      </c>
      <c r="EL113" s="445" t="str">
        <f t="shared" si="16"/>
        <v>% Chg</v>
      </c>
      <c r="EM113" s="443">
        <f t="shared" si="16"/>
        <v>2007</v>
      </c>
      <c r="EN113" s="445" t="str">
        <f t="shared" si="16"/>
        <v>% Chg</v>
      </c>
      <c r="EO113" s="443" t="str">
        <f t="shared" si="16"/>
        <v>2008</v>
      </c>
      <c r="EP113" s="445" t="str">
        <f t="shared" si="16"/>
        <v>% Chg</v>
      </c>
      <c r="EQ113" s="443" t="str">
        <f t="shared" si="16"/>
        <v>2009</v>
      </c>
      <c r="ER113" s="445" t="str">
        <f t="shared" si="16"/>
        <v>% Chg</v>
      </c>
      <c r="ES113" s="443" t="str">
        <f t="shared" si="16"/>
        <v>2010</v>
      </c>
      <c r="ET113" s="445" t="str">
        <f t="shared" si="16"/>
        <v>% Chg</v>
      </c>
      <c r="EU113" s="443" t="str">
        <f t="shared" si="16"/>
        <v>2011</v>
      </c>
      <c r="EV113" s="445" t="str">
        <f t="shared" si="16"/>
        <v>% Chg</v>
      </c>
      <c r="EW113" s="443" t="str">
        <f t="shared" si="16"/>
        <v>2012</v>
      </c>
      <c r="EX113" s="445" t="str">
        <f t="shared" si="16"/>
        <v>% Chg</v>
      </c>
      <c r="EY113" s="443" t="str">
        <f t="shared" si="16"/>
        <v>2013</v>
      </c>
      <c r="EZ113" s="445" t="str">
        <f t="shared" si="16"/>
        <v>% Chg</v>
      </c>
      <c r="FA113" s="443">
        <f t="shared" si="16"/>
        <v>2014</v>
      </c>
      <c r="FB113" s="445" t="str">
        <f t="shared" si="16"/>
        <v>% Chg</v>
      </c>
      <c r="FC113" s="443" t="str">
        <f t="shared" si="16"/>
        <v>2015</v>
      </c>
      <c r="FD113" s="445" t="str">
        <f t="shared" si="16"/>
        <v>% Chg</v>
      </c>
      <c r="FE113" s="443">
        <f t="shared" si="16"/>
        <v>2016</v>
      </c>
      <c r="FF113" s="445" t="str">
        <f t="shared" si="16"/>
        <v>% Chg</v>
      </c>
      <c r="FG113" s="443">
        <f t="shared" si="16"/>
        <v>2017</v>
      </c>
      <c r="FH113" s="445" t="str">
        <f t="shared" si="16"/>
        <v>% Chg</v>
      </c>
      <c r="FI113" s="443" t="str">
        <f t="shared" si="16"/>
        <v>2018E</v>
      </c>
      <c r="FJ113" s="445" t="str">
        <f t="shared" si="16"/>
        <v>% Chg</v>
      </c>
      <c r="FK113" s="443" t="str">
        <f t="shared" si="16"/>
        <v>2019E</v>
      </c>
      <c r="FL113" s="445" t="str">
        <f t="shared" si="16"/>
        <v>% Chg</v>
      </c>
      <c r="FM113" s="443" t="str">
        <f t="shared" si="16"/>
        <v>2020E</v>
      </c>
      <c r="FN113" s="445" t="str">
        <f t="shared" si="16"/>
        <v>% Chg</v>
      </c>
      <c r="FO113" s="443" t="str">
        <f t="shared" si="16"/>
        <v>2021E</v>
      </c>
      <c r="FP113" s="445" t="str">
        <f t="shared" si="16"/>
        <v>% Chg</v>
      </c>
      <c r="FQ113" s="443" t="str">
        <f t="shared" si="16"/>
        <v>2022E</v>
      </c>
      <c r="FR113" s="445" t="str">
        <f t="shared" si="16"/>
        <v>% Chg</v>
      </c>
      <c r="FS113" s="445" t="str">
        <f t="shared" si="16"/>
        <v>(%)</v>
      </c>
      <c r="FT113" s="453"/>
    </row>
    <row r="114" spans="1:265" s="529" customFormat="1" ht="12.75" hidden="1" customHeight="1" outlineLevel="1" x14ac:dyDescent="0.2">
      <c r="A114" s="446"/>
      <c r="B114" s="447"/>
      <c r="C114" s="439"/>
      <c r="D114" s="447"/>
      <c r="E114" s="439"/>
      <c r="F114" s="447"/>
      <c r="G114" s="439"/>
      <c r="H114" s="447"/>
      <c r="I114" s="439"/>
      <c r="J114" s="447"/>
      <c r="K114" s="439"/>
      <c r="L114" s="447"/>
      <c r="M114" s="439"/>
      <c r="N114" s="447"/>
      <c r="O114" s="439"/>
      <c r="P114" s="447"/>
      <c r="Q114" s="439"/>
      <c r="R114" s="447"/>
      <c r="S114" s="439"/>
      <c r="T114" s="447"/>
      <c r="U114" s="439"/>
      <c r="V114" s="447"/>
      <c r="W114" s="439"/>
      <c r="X114" s="447"/>
      <c r="Y114" s="439"/>
      <c r="Z114" s="447"/>
      <c r="AA114" s="439"/>
      <c r="AB114" s="447"/>
      <c r="AC114" s="439"/>
      <c r="AD114" s="447"/>
      <c r="AE114" s="439"/>
      <c r="AF114" s="447"/>
      <c r="AG114" s="439"/>
      <c r="AH114" s="447"/>
      <c r="AI114" s="438"/>
      <c r="AJ114" s="447"/>
      <c r="AK114" s="438"/>
      <c r="AL114" s="447"/>
      <c r="AM114" s="438"/>
      <c r="AN114" s="447"/>
      <c r="AO114" s="438"/>
      <c r="AP114" s="447"/>
      <c r="AQ114" s="438"/>
      <c r="AR114" s="447"/>
      <c r="AS114" s="438"/>
      <c r="AT114" s="447"/>
      <c r="AU114" s="438"/>
      <c r="AV114" s="447"/>
      <c r="AW114" s="438"/>
      <c r="AX114" s="447"/>
      <c r="AY114" s="438"/>
      <c r="AZ114" s="447"/>
      <c r="BA114" s="438"/>
      <c r="BB114" s="447"/>
      <c r="BC114" s="438"/>
      <c r="BD114" s="447"/>
      <c r="BE114" s="438"/>
      <c r="BF114" s="447"/>
      <c r="BG114" s="438"/>
      <c r="BH114" s="447"/>
      <c r="BI114" s="438"/>
      <c r="BJ114" s="447"/>
      <c r="BK114" s="438"/>
      <c r="BL114" s="447"/>
      <c r="BM114" s="438"/>
      <c r="BN114" s="447"/>
      <c r="BO114" s="438"/>
      <c r="BP114" s="447"/>
      <c r="BQ114" s="438"/>
      <c r="BR114" s="447"/>
      <c r="BS114" s="438"/>
      <c r="BT114" s="447"/>
      <c r="BU114" s="438"/>
      <c r="BV114" s="447"/>
      <c r="BW114" s="438"/>
      <c r="BX114" s="447"/>
      <c r="BY114" s="438"/>
      <c r="BZ114" s="447"/>
      <c r="CA114" s="438"/>
      <c r="CB114" s="447"/>
      <c r="CC114" s="438"/>
      <c r="CD114" s="447"/>
      <c r="CE114" s="438"/>
      <c r="CF114" s="447"/>
      <c r="CG114" s="438"/>
      <c r="CH114" s="447"/>
      <c r="CI114" s="438"/>
      <c r="CJ114" s="447"/>
      <c r="CK114" s="438"/>
      <c r="CL114" s="447"/>
      <c r="CM114" s="438"/>
      <c r="CN114" s="447"/>
      <c r="CO114" s="438"/>
      <c r="CP114" s="447"/>
      <c r="CQ114" s="438"/>
      <c r="CR114" s="447"/>
      <c r="CS114" s="438"/>
      <c r="CT114" s="447"/>
      <c r="CU114" s="438"/>
      <c r="CV114" s="447"/>
      <c r="CW114" s="438"/>
      <c r="CX114" s="447"/>
      <c r="CY114" s="438"/>
      <c r="CZ114" s="447"/>
      <c r="DA114" s="438"/>
      <c r="DB114" s="447"/>
      <c r="DC114" s="438"/>
      <c r="DD114" s="447"/>
      <c r="DE114" s="438"/>
      <c r="DF114" s="447"/>
      <c r="DG114" s="438"/>
      <c r="DH114" s="447"/>
      <c r="DI114" s="438"/>
      <c r="DJ114" s="447"/>
      <c r="DK114" s="438"/>
      <c r="DL114" s="447"/>
      <c r="DM114" s="438"/>
      <c r="DN114" s="447"/>
      <c r="DO114" s="438"/>
      <c r="DP114" s="447"/>
      <c r="DQ114" s="438"/>
      <c r="DR114" s="447"/>
      <c r="DS114" s="438"/>
      <c r="DT114" s="447"/>
      <c r="DU114" s="438"/>
      <c r="DV114" s="447"/>
      <c r="DW114" s="438"/>
      <c r="DX114" s="447"/>
      <c r="DY114" s="438"/>
      <c r="DZ114" s="447"/>
      <c r="EA114" s="438"/>
      <c r="EB114" s="439"/>
      <c r="EC114" s="447"/>
      <c r="ED114" s="439"/>
      <c r="EE114" s="447"/>
      <c r="EF114" s="439"/>
      <c r="EG114" s="447"/>
      <c r="EH114" s="439"/>
      <c r="EI114" s="447"/>
      <c r="EJ114" s="438"/>
      <c r="EK114" s="447"/>
      <c r="EL114" s="438"/>
      <c r="EM114" s="447"/>
      <c r="EN114" s="438"/>
      <c r="EO114" s="447"/>
      <c r="EP114" s="438"/>
      <c r="EQ114" s="447"/>
      <c r="ER114" s="438"/>
      <c r="ES114" s="447"/>
      <c r="ET114" s="438"/>
      <c r="EU114" s="447"/>
      <c r="EV114" s="438"/>
      <c r="EW114" s="447"/>
      <c r="EX114" s="438"/>
      <c r="EY114" s="447"/>
      <c r="EZ114" s="438"/>
      <c r="FA114" s="447"/>
      <c r="FB114" s="438"/>
      <c r="FC114" s="447"/>
      <c r="FD114" s="438"/>
      <c r="FE114" s="447"/>
      <c r="FF114" s="438"/>
      <c r="FG114" s="447"/>
      <c r="FH114" s="438"/>
      <c r="FI114" s="447"/>
      <c r="FJ114" s="438"/>
      <c r="FK114" s="447"/>
      <c r="FL114" s="438"/>
      <c r="FM114" s="447"/>
      <c r="FN114" s="438"/>
      <c r="FO114" s="447"/>
      <c r="FP114" s="438"/>
      <c r="FQ114" s="447"/>
      <c r="FR114" s="438"/>
      <c r="FS114" s="438"/>
    </row>
    <row r="115" spans="1:265" s="529" customFormat="1" ht="12.75" hidden="1" customHeight="1" outlineLevel="1" x14ac:dyDescent="0.2">
      <c r="A115" s="446" t="s">
        <v>128</v>
      </c>
      <c r="B115" s="449"/>
      <c r="C115" s="439"/>
      <c r="D115" s="449"/>
      <c r="E115" s="439"/>
      <c r="F115" s="449"/>
      <c r="G115" s="439"/>
      <c r="H115" s="449"/>
      <c r="I115" s="439"/>
      <c r="J115" s="449"/>
      <c r="K115" s="439"/>
      <c r="L115" s="449"/>
      <c r="M115" s="439"/>
      <c r="N115" s="449"/>
      <c r="O115" s="439"/>
      <c r="P115" s="449"/>
      <c r="Q115" s="439"/>
      <c r="R115" s="449"/>
      <c r="S115" s="439"/>
      <c r="T115" s="449"/>
      <c r="U115" s="439"/>
      <c r="V115" s="449"/>
      <c r="W115" s="439"/>
      <c r="X115" s="449"/>
      <c r="Y115" s="439"/>
      <c r="Z115" s="449"/>
      <c r="AA115" s="439"/>
      <c r="AB115" s="449"/>
      <c r="AC115" s="439"/>
      <c r="AD115" s="449"/>
      <c r="AE115" s="439"/>
      <c r="AF115" s="449"/>
      <c r="AG115" s="439"/>
      <c r="AH115" s="449"/>
      <c r="AI115" s="438"/>
      <c r="AJ115" s="449"/>
      <c r="AK115" s="438"/>
      <c r="AL115" s="449"/>
      <c r="AM115" s="438"/>
      <c r="AN115" s="449"/>
      <c r="AO115" s="438"/>
      <c r="AP115" s="449"/>
      <c r="AQ115" s="438"/>
      <c r="AR115" s="449"/>
      <c r="AS115" s="438"/>
      <c r="AT115" s="449"/>
      <c r="AU115" s="438"/>
      <c r="AV115" s="449"/>
      <c r="AW115" s="438"/>
      <c r="AX115" s="449"/>
      <c r="AY115" s="438"/>
      <c r="AZ115" s="449"/>
      <c r="BA115" s="438"/>
      <c r="BB115" s="449"/>
      <c r="BC115" s="438"/>
      <c r="BD115" s="449"/>
      <c r="BE115" s="438"/>
      <c r="BF115" s="449"/>
      <c r="BG115" s="438"/>
      <c r="BH115" s="449"/>
      <c r="BI115" s="438"/>
      <c r="BJ115" s="449"/>
      <c r="BK115" s="438"/>
      <c r="BL115" s="449"/>
      <c r="BM115" s="438"/>
      <c r="BN115" s="449"/>
      <c r="BO115" s="438"/>
      <c r="BP115" s="449"/>
      <c r="BQ115" s="438"/>
      <c r="BR115" s="449"/>
      <c r="BS115" s="438"/>
      <c r="BT115" s="449"/>
      <c r="BU115" s="438"/>
      <c r="BV115" s="449"/>
      <c r="BW115" s="438"/>
      <c r="BX115" s="449"/>
      <c r="BY115" s="438"/>
      <c r="BZ115" s="449"/>
      <c r="CA115" s="438"/>
      <c r="CB115" s="449"/>
      <c r="CC115" s="438"/>
      <c r="CD115" s="449"/>
      <c r="CE115" s="438"/>
      <c r="CF115" s="449"/>
      <c r="CG115" s="438"/>
      <c r="CH115" s="449"/>
      <c r="CI115" s="438"/>
      <c r="CJ115" s="449"/>
      <c r="CK115" s="438"/>
      <c r="CL115" s="449"/>
      <c r="CM115" s="438"/>
      <c r="CN115" s="449"/>
      <c r="CO115" s="438"/>
      <c r="CP115" s="449"/>
      <c r="CQ115" s="438"/>
      <c r="CR115" s="449"/>
      <c r="CS115" s="438"/>
      <c r="CT115" s="449"/>
      <c r="CU115" s="438"/>
      <c r="CV115" s="449"/>
      <c r="CW115" s="438"/>
      <c r="CX115" s="449"/>
      <c r="CY115" s="438"/>
      <c r="CZ115" s="449"/>
      <c r="DA115" s="438"/>
      <c r="DB115" s="449"/>
      <c r="DC115" s="438"/>
      <c r="DD115" s="449"/>
      <c r="DE115" s="438"/>
      <c r="DF115" s="449"/>
      <c r="DG115" s="438"/>
      <c r="DH115" s="449"/>
      <c r="DI115" s="438"/>
      <c r="DJ115" s="449"/>
      <c r="DK115" s="438"/>
      <c r="DL115" s="449"/>
      <c r="DM115" s="438"/>
      <c r="DN115" s="449"/>
      <c r="DO115" s="438"/>
      <c r="DP115" s="449"/>
      <c r="DQ115" s="438"/>
      <c r="DR115" s="449"/>
      <c r="DS115" s="438"/>
      <c r="DT115" s="449"/>
      <c r="DU115" s="438"/>
      <c r="DV115" s="449"/>
      <c r="DW115" s="438"/>
      <c r="DX115" s="449"/>
      <c r="DY115" s="438"/>
      <c r="DZ115" s="449"/>
      <c r="EA115" s="438"/>
      <c r="EB115" s="439"/>
      <c r="EC115" s="449"/>
      <c r="ED115" s="439"/>
      <c r="EE115" s="449"/>
      <c r="EF115" s="439"/>
      <c r="EG115" s="449"/>
      <c r="EH115" s="439"/>
      <c r="EI115" s="449"/>
      <c r="EJ115" s="438"/>
      <c r="EK115" s="449"/>
      <c r="EL115" s="438"/>
      <c r="EM115" s="449"/>
      <c r="EN115" s="438"/>
      <c r="EO115" s="449"/>
      <c r="EP115" s="438"/>
      <c r="EQ115" s="449"/>
      <c r="ER115" s="438"/>
      <c r="ES115" s="449"/>
      <c r="ET115" s="438"/>
      <c r="EU115" s="449"/>
      <c r="EV115" s="438"/>
      <c r="EW115" s="449"/>
      <c r="EX115" s="438"/>
      <c r="EY115" s="449"/>
      <c r="EZ115" s="438"/>
      <c r="FA115" s="449"/>
      <c r="FB115" s="438"/>
      <c r="FC115" s="449"/>
      <c r="FD115" s="438"/>
      <c r="FE115" s="449"/>
      <c r="FF115" s="438"/>
      <c r="FG115" s="449"/>
      <c r="FH115" s="438"/>
      <c r="FI115" s="449"/>
      <c r="FJ115" s="438"/>
      <c r="FK115" s="449"/>
      <c r="FL115" s="438"/>
      <c r="FM115" s="449"/>
      <c r="FN115" s="438"/>
      <c r="FO115" s="449"/>
      <c r="FP115" s="438"/>
      <c r="FQ115" s="449"/>
      <c r="FR115" s="438"/>
      <c r="FS115" s="438"/>
    </row>
    <row r="116" spans="1:265" s="529" customFormat="1" ht="12.75" hidden="1" customHeight="1" outlineLevel="1" x14ac:dyDescent="0.2">
      <c r="A116" s="441" t="str">
        <f>+INPUT!B67</f>
        <v>Premium, Policy Charges and Fee Income</v>
      </c>
      <c r="B116" s="449">
        <f>+INPUT!AA67</f>
        <v>63</v>
      </c>
      <c r="C116" s="439">
        <f>+INPUT!AB67</f>
        <v>-3.0769230769230802</v>
      </c>
      <c r="D116" s="449">
        <f>+INPUT!AC67</f>
        <v>123</v>
      </c>
      <c r="E116" s="439">
        <f>+INPUT!AD67</f>
        <v>59.740259740259745</v>
      </c>
      <c r="F116" s="449">
        <f>+INPUT!AE67</f>
        <v>152</v>
      </c>
      <c r="G116" s="439" t="str">
        <f>+INPUT!AF67</f>
        <v>NM</v>
      </c>
      <c r="H116" s="449">
        <f>+INPUT!AG67</f>
        <v>156</v>
      </c>
      <c r="I116" s="439" t="str">
        <f>+INPUT!AH67</f>
        <v>NM</v>
      </c>
      <c r="J116" s="449">
        <f>+INPUT!AI67</f>
        <v>169</v>
      </c>
      <c r="K116" s="439" t="str">
        <f>+INPUT!AJ67</f>
        <v>NM</v>
      </c>
      <c r="L116" s="449">
        <f>+INPUT!AK67</f>
        <v>173</v>
      </c>
      <c r="M116" s="439">
        <f>+INPUT!AL67</f>
        <v>40.650406504065046</v>
      </c>
      <c r="N116" s="449">
        <f>+INPUT!AM67</f>
        <v>173</v>
      </c>
      <c r="O116" s="439">
        <f>+INPUT!AN67</f>
        <v>13.815789473684205</v>
      </c>
      <c r="P116" s="449">
        <f>+INPUT!AO67</f>
        <v>184</v>
      </c>
      <c r="Q116" s="439">
        <f>+INPUT!AP67</f>
        <v>17.948717948717956</v>
      </c>
      <c r="R116" s="449">
        <f>+INPUT!AQ67</f>
        <v>194</v>
      </c>
      <c r="S116" s="439">
        <f>+INPUT!AR67</f>
        <v>14.792899408284029</v>
      </c>
      <c r="T116" s="449">
        <f>+INPUT!AS67</f>
        <v>190</v>
      </c>
      <c r="U116" s="439">
        <f>+INPUT!AT67</f>
        <v>9.8265895953757223</v>
      </c>
      <c r="V116" s="449">
        <f>+INPUT!AU67</f>
        <v>198</v>
      </c>
      <c r="W116" s="439">
        <f>+INPUT!AV67</f>
        <v>14.450867052023114</v>
      </c>
      <c r="X116" s="449">
        <f>+INPUT!AW67</f>
        <v>198</v>
      </c>
      <c r="Y116" s="439">
        <f>+INPUT!AX67</f>
        <v>7.6086956521739069</v>
      </c>
      <c r="Z116" s="449">
        <f>+INPUT!AY67</f>
        <v>215</v>
      </c>
      <c r="AA116" s="439">
        <f>+INPUT!AZ67</f>
        <v>10.824742268041248</v>
      </c>
      <c r="AB116" s="449">
        <f>+INPUT!BA67</f>
        <v>241</v>
      </c>
      <c r="AC116" s="439">
        <f>+INPUT!BB67</f>
        <v>26.84210526315789</v>
      </c>
      <c r="AD116" s="449">
        <f>+INPUT!BC67</f>
        <v>296</v>
      </c>
      <c r="AE116" s="439">
        <f>+INPUT!BD67</f>
        <v>49.494949494949509</v>
      </c>
      <c r="AF116" s="449">
        <f>+INPUT!BE67</f>
        <v>315</v>
      </c>
      <c r="AG116" s="439">
        <f>+INPUT!BF67</f>
        <v>59.090909090909093</v>
      </c>
      <c r="AH116" s="449">
        <f>+INPUT!BG67</f>
        <v>320</v>
      </c>
      <c r="AI116" s="438">
        <f>+INPUT!BH67</f>
        <v>48.83720930232559</v>
      </c>
      <c r="AJ116" s="449">
        <f>+INPUT!BI67</f>
        <v>339</v>
      </c>
      <c r="AK116" s="438">
        <f>+INPUT!BJ67</f>
        <v>40.663900414937757</v>
      </c>
      <c r="AL116" s="449">
        <f>+INPUT!BK67</f>
        <v>335</v>
      </c>
      <c r="AM116" s="438">
        <f>+INPUT!BL67</f>
        <v>13.175675675675677</v>
      </c>
      <c r="AN116" s="449">
        <f>+INPUT!BM67</f>
        <v>356</v>
      </c>
      <c r="AO116" s="438">
        <f>+INPUT!BN67</f>
        <v>13.015873015873012</v>
      </c>
      <c r="AP116" s="449">
        <f>+INPUT!BO67</f>
        <v>323</v>
      </c>
      <c r="AQ116" s="438">
        <f>+INPUT!BP67</f>
        <v>0.93749999999998579</v>
      </c>
      <c r="AR116" s="449">
        <f>+INPUT!BQ67</f>
        <v>320</v>
      </c>
      <c r="AS116" s="438">
        <f>+INPUT!BR67</f>
        <v>-5.6047197640118043</v>
      </c>
      <c r="AT116" s="449">
        <f>+INPUT!BS67</f>
        <v>304</v>
      </c>
      <c r="AU116" s="438">
        <f>+INPUT!BT67</f>
        <v>-9.2537313432835759</v>
      </c>
      <c r="AV116" s="449">
        <f>+INPUT!BU67</f>
        <v>224</v>
      </c>
      <c r="AW116" s="438">
        <f>+INPUT!BV67</f>
        <v>-37.078651685393261</v>
      </c>
      <c r="AX116" s="449">
        <f>+INPUT!BW67</f>
        <v>217</v>
      </c>
      <c r="AY116" s="438">
        <f>+INPUT!BX67</f>
        <v>-32.817337461300312</v>
      </c>
      <c r="AZ116" s="449">
        <f>+INPUT!BY67</f>
        <v>236</v>
      </c>
      <c r="BA116" s="438">
        <f>+INPUT!BZ67</f>
        <v>-26.25</v>
      </c>
      <c r="BB116" s="449">
        <f>+INPUT!CA67</f>
        <v>293</v>
      </c>
      <c r="BC116" s="438">
        <f>+INPUT!CB67</f>
        <v>-3.6184210526315752</v>
      </c>
      <c r="BD116" s="449">
        <f>+INPUT!CC67</f>
        <v>333</v>
      </c>
      <c r="BE116" s="438">
        <f>+INPUT!CD67</f>
        <v>48.660714285714278</v>
      </c>
      <c r="BF116" s="449">
        <f>+INPUT!CE67</f>
        <v>382</v>
      </c>
      <c r="BG116" s="438">
        <f>+INPUT!CF67</f>
        <v>76.036866359447004</v>
      </c>
      <c r="BH116" s="449">
        <f>+INPUT!CG67</f>
        <v>388</v>
      </c>
      <c r="BI116" s="438">
        <f>+INPUT!CH67</f>
        <v>64.406779661016969</v>
      </c>
      <c r="BJ116" s="449">
        <f>+INPUT!CI67</f>
        <v>414</v>
      </c>
      <c r="BK116" s="438">
        <f>+INPUT!CJ67</f>
        <v>41.296928327645048</v>
      </c>
      <c r="BL116" s="449">
        <f>+INPUT!CK67</f>
        <v>443</v>
      </c>
      <c r="BM116" s="438">
        <f>+INPUT!CL67</f>
        <v>33.033033033033036</v>
      </c>
      <c r="BN116" s="449">
        <f>+INPUT!CM67</f>
        <v>482</v>
      </c>
      <c r="BO116" s="438">
        <f>+INPUT!CN67</f>
        <v>26.178010471204189</v>
      </c>
      <c r="BP116" s="449">
        <f>+INPUT!CO67</f>
        <v>506</v>
      </c>
      <c r="BQ116" s="438">
        <f>+INPUT!CP67</f>
        <v>30.412371134020617</v>
      </c>
      <c r="BR116" s="449">
        <f>+INPUT!CQ67</f>
        <v>496</v>
      </c>
      <c r="BS116" s="438">
        <f>+INPUT!CR67</f>
        <v>19.806763285024147</v>
      </c>
      <c r="BT116" s="449">
        <f>+INPUT!CS67</f>
        <v>487</v>
      </c>
      <c r="BU116" s="438">
        <f>+INPUT!CT67</f>
        <v>9.9322799097065513</v>
      </c>
      <c r="BV116" s="449">
        <f>+INPUT!CU67</f>
        <v>521</v>
      </c>
      <c r="BW116" s="438">
        <f>+INPUT!CV67</f>
        <v>8.0912863070539345</v>
      </c>
      <c r="BX116" s="449">
        <f>+INPUT!CW67</f>
        <v>533</v>
      </c>
      <c r="BY116" s="438">
        <f>+INPUT!CX67</f>
        <v>5.3359683794466264</v>
      </c>
      <c r="BZ116" s="449">
        <f>+INPUT!CY67</f>
        <v>555</v>
      </c>
      <c r="CA116" s="438">
        <f>+INPUT!CZ67</f>
        <v>11.895161290322577</v>
      </c>
      <c r="CB116" s="449">
        <f>+INPUT!DA67</f>
        <v>573</v>
      </c>
      <c r="CC116" s="438">
        <f>+INPUT!DB67</f>
        <v>17.659137577002056</v>
      </c>
      <c r="CD116" s="449">
        <f>+INPUT!DC67</f>
        <v>595</v>
      </c>
      <c r="CE116" s="438">
        <f>+INPUT!DD67</f>
        <v>14.203454894433776</v>
      </c>
      <c r="CF116" s="449">
        <f>+INPUT!DE67</f>
        <v>629</v>
      </c>
      <c r="CG116" s="438">
        <f>+INPUT!DF67</f>
        <v>18.011257035647276</v>
      </c>
      <c r="CH116" s="449">
        <f>+INPUT!DG67</f>
        <v>639</v>
      </c>
      <c r="CI116" s="438">
        <f>+INPUT!DH67</f>
        <v>15.13513513513513</v>
      </c>
      <c r="CJ116" s="449">
        <f>+INPUT!DI67</f>
        <v>666</v>
      </c>
      <c r="CK116" s="438">
        <f>+INPUT!DJ67</f>
        <v>16.230366492146601</v>
      </c>
      <c r="CL116" s="449">
        <f>+INPUT!DK67</f>
        <v>671</v>
      </c>
      <c r="CM116" s="438">
        <f>+INPUT!DL67</f>
        <v>12.773109243697476</v>
      </c>
      <c r="CN116" s="449">
        <f>+INPUT!DM67</f>
        <v>688</v>
      </c>
      <c r="CO116" s="438">
        <f>+INPUT!DN67</f>
        <v>9.3799682034976257</v>
      </c>
      <c r="CP116" s="449">
        <f>+INPUT!DO67</f>
        <v>696</v>
      </c>
      <c r="CQ116" s="438">
        <f>+INPUT!DP67</f>
        <v>8.9201877934272318</v>
      </c>
      <c r="CR116" s="449">
        <f>+INPUT!DQ67</f>
        <v>699</v>
      </c>
      <c r="CS116" s="438">
        <f>+INPUT!DR67</f>
        <v>4.9549549549549425</v>
      </c>
      <c r="CT116" s="449">
        <f>+INPUT!DS67</f>
        <v>698</v>
      </c>
      <c r="CU116" s="438">
        <f>+INPUT!DT67</f>
        <v>4.0238450074515697</v>
      </c>
      <c r="CV116" s="449">
        <f>+INPUT!DU67</f>
        <v>713</v>
      </c>
      <c r="CW116" s="438">
        <f>+INPUT!DV67</f>
        <v>3.6337209302325562</v>
      </c>
      <c r="CX116" s="449">
        <f>+INPUT!DW67</f>
        <v>692</v>
      </c>
      <c r="CY116" s="438">
        <f>+INPUT!DX67</f>
        <v>-0.57471264367816843</v>
      </c>
      <c r="CZ116" s="449">
        <f>+INPUT!DY67</f>
        <v>682</v>
      </c>
      <c r="DA116" s="438">
        <f>+INPUT!DZ67</f>
        <v>-2.4320457796852679</v>
      </c>
      <c r="DB116" s="449">
        <f>+INPUT!EA67</f>
        <v>652</v>
      </c>
      <c r="DC116" s="438">
        <f>+INPUT!EB67</f>
        <v>-6.5902578796561642</v>
      </c>
      <c r="DD116" s="449">
        <f>+INPUT!EC67</f>
        <v>675</v>
      </c>
      <c r="DE116" s="438">
        <f>+INPUT!ED67</f>
        <v>-5.3295932678821885</v>
      </c>
      <c r="DF116" s="449">
        <f>+INPUT!EE67</f>
        <v>706</v>
      </c>
      <c r="DG116" s="438">
        <f>+INPUT!EF67</f>
        <v>2.0231213872832399</v>
      </c>
      <c r="DH116" s="449">
        <f>+INPUT!EG67</f>
        <v>695</v>
      </c>
      <c r="DI116" s="438">
        <f>+INPUT!EH67</f>
        <v>1.9061583577712611</v>
      </c>
      <c r="DJ116" s="449">
        <f>+INPUT!EI67</f>
        <v>698</v>
      </c>
      <c r="DK116" s="438">
        <f>+INPUT!EJ67</f>
        <v>7.0552147239263832</v>
      </c>
      <c r="DL116" s="449">
        <f>+INPUT!EK67</f>
        <v>753</v>
      </c>
      <c r="DM116" s="438">
        <f>+INPUT!EL67</f>
        <v>11.555555555555557</v>
      </c>
      <c r="DN116" s="449">
        <f>+INPUT!EM67</f>
        <v>767</v>
      </c>
      <c r="DO116" s="438">
        <f>+INPUT!EN67</f>
        <v>8.6402266288951921</v>
      </c>
      <c r="DP116" s="449">
        <f>+INPUT!EO67</f>
        <v>763</v>
      </c>
      <c r="DQ116" s="438">
        <f>+INPUT!EP67</f>
        <v>9.7841726618704996</v>
      </c>
      <c r="DR116" s="449">
        <f>+INPUT!EQ67</f>
        <v>754.86167061201604</v>
      </c>
      <c r="DS116" s="438">
        <f>+INPUT!ER67</f>
        <v>8.1463711478533014</v>
      </c>
      <c r="DT116" s="449">
        <f>+INPUT!ES67</f>
        <v>743.63465165372031</v>
      </c>
      <c r="DU116" s="438">
        <f>+INPUT!ET67</f>
        <v>-1.2437381601965001</v>
      </c>
      <c r="DV116" s="449">
        <f>+INPUT!EU67</f>
        <v>741.22023807615676</v>
      </c>
      <c r="DW116" s="438">
        <f>+INPUT!EV67</f>
        <v>-3.3611162873328908</v>
      </c>
      <c r="DX116" s="449">
        <f>+INPUT!EW67</f>
        <v>738.96790422060826</v>
      </c>
      <c r="DY116" s="438">
        <f>+INPUT!EX67</f>
        <v>-3.1496848990028496</v>
      </c>
      <c r="DZ116" s="449"/>
      <c r="EA116" s="438"/>
      <c r="EB116" s="439">
        <f>+INPUT!FI67</f>
        <v>-19.101123595505626</v>
      </c>
      <c r="EC116" s="449">
        <f>+INPUT!FJ67</f>
        <v>265</v>
      </c>
      <c r="ED116" s="439">
        <f>+INPUT!FK67</f>
        <v>-7.9861111111111143</v>
      </c>
      <c r="EE116" s="449">
        <f>+INPUT!FL67</f>
        <v>494</v>
      </c>
      <c r="EF116" s="439">
        <f>+INPUT!FM67</f>
        <v>86.415094339622641</v>
      </c>
      <c r="EG116" s="449">
        <f>+INPUT!FN67</f>
        <v>699</v>
      </c>
      <c r="EH116" s="439">
        <f>+INPUT!FO67</f>
        <v>41.497975708502025</v>
      </c>
      <c r="EI116" s="449">
        <f>+INPUT!FP67</f>
        <v>780</v>
      </c>
      <c r="EJ116" s="438">
        <f>+INPUT!FQ67</f>
        <v>11.58798283261801</v>
      </c>
      <c r="EK116" s="449">
        <f>+INPUT!FR67</f>
        <v>1067</v>
      </c>
      <c r="EL116" s="438">
        <f>+INPUT!FS67</f>
        <v>36.794871794871796</v>
      </c>
      <c r="EM116" s="449">
        <f>+INPUT!FT67</f>
        <v>1350</v>
      </c>
      <c r="EN116" s="438">
        <f>+INPUT!FU67</f>
        <v>26.522961574507974</v>
      </c>
      <c r="EO116" s="449">
        <f>+INPUT!FV67</f>
        <v>1171</v>
      </c>
      <c r="EP116" s="438">
        <f>+INPUT!FW67</f>
        <v>-13.259259259259267</v>
      </c>
      <c r="EQ116" s="449">
        <f>+INPUT!FX67</f>
        <v>1079</v>
      </c>
      <c r="ER116" s="438">
        <f>+INPUT!FY67</f>
        <v>-7.8565328778821453</v>
      </c>
      <c r="ES116" s="449">
        <f>+INPUT!FZ67</f>
        <v>1627</v>
      </c>
      <c r="ET116" s="438">
        <f>+INPUT!GA67</f>
        <v>50.787766450417053</v>
      </c>
      <c r="EU116" s="449">
        <f>+INPUT!GB67</f>
        <v>1971</v>
      </c>
      <c r="EV116" s="438">
        <f>+INPUT!GC67</f>
        <v>21.143208358942829</v>
      </c>
      <c r="EW116" s="449">
        <f>+INPUT!GD67</f>
        <v>2182</v>
      </c>
      <c r="EX116" s="438">
        <f>+INPUT!GE67</f>
        <v>10.705225773718922</v>
      </c>
      <c r="EY116" s="449">
        <f>+INPUT!GF67</f>
        <v>2529</v>
      </c>
      <c r="EZ116" s="438">
        <f>+INPUT!GG67</f>
        <v>15.902841429880851</v>
      </c>
      <c r="FA116" s="449">
        <f>+INPUT!GH67</f>
        <v>2754</v>
      </c>
      <c r="FB116" s="438">
        <f>+INPUT!GI67</f>
        <v>8.8967971530249201</v>
      </c>
      <c r="FC116" s="449">
        <f>+INPUT!GJ67</f>
        <v>2785</v>
      </c>
      <c r="FD116" s="438">
        <f>+INPUT!GK67</f>
        <v>1.1256354393609342</v>
      </c>
      <c r="FE116" s="449">
        <f>+INPUT!GL67</f>
        <v>2728</v>
      </c>
      <c r="FF116" s="438">
        <f>+INPUT!GM67</f>
        <v>-2.046678635547579</v>
      </c>
      <c r="FG116" s="449">
        <f>+INPUT!GN67</f>
        <v>2981</v>
      </c>
      <c r="FH116" s="438">
        <f>+INPUT!GO67</f>
        <v>9.2741935483871032</v>
      </c>
      <c r="FI116" s="449">
        <f>+INPUT!GP67</f>
        <v>2978.6844645625015</v>
      </c>
      <c r="FJ116" s="438">
        <f>+INPUT!GQ67</f>
        <v>-7.7676465531652639E-2</v>
      </c>
      <c r="FK116" s="449">
        <f>+INPUT!GR67</f>
        <v>2939.0057131943609</v>
      </c>
      <c r="FL116" s="438">
        <f>+INPUT!GS67</f>
        <v>-1.332089781250744</v>
      </c>
      <c r="FM116" s="449">
        <f>+INPUT!GT67</f>
        <v>2918.1475577524448</v>
      </c>
      <c r="FN116" s="438">
        <f>+INPUT!GU67</f>
        <v>-0.70970108524373643</v>
      </c>
      <c r="FO116" s="449">
        <f>+INPUT!GV67</f>
        <v>2906.1626591477198</v>
      </c>
      <c r="FP116" s="438">
        <f>+INPUT!GW67</f>
        <v>-0.41070228175698276</v>
      </c>
      <c r="FQ116" s="449">
        <f>+INPUT!GX67</f>
        <v>2903.6605560867456</v>
      </c>
      <c r="FR116" s="438">
        <f>+INPUT!GY67</f>
        <v>-8.609645620138906E-2</v>
      </c>
      <c r="FS116" s="438">
        <f>+INPUT!GZ67</f>
        <v>-0.52435270590711625</v>
      </c>
    </row>
    <row r="117" spans="1:265" s="529" customFormat="1" ht="12.75" hidden="1" customHeight="1" outlineLevel="1" x14ac:dyDescent="0.2">
      <c r="A117" s="441" t="str">
        <f>+INPUT!B68</f>
        <v>Net Investment Income</v>
      </c>
      <c r="B117" s="449">
        <f>+INPUT!AA68</f>
        <v>107</v>
      </c>
      <c r="C117" s="439">
        <f>+INPUT!AB68</f>
        <v>7</v>
      </c>
      <c r="D117" s="449">
        <f>+INPUT!AC68</f>
        <v>114</v>
      </c>
      <c r="E117" s="439">
        <f>+INPUT!AD68</f>
        <v>13.999999999999986</v>
      </c>
      <c r="F117" s="449">
        <f>+INPUT!AE68</f>
        <v>109</v>
      </c>
      <c r="G117" s="439">
        <f>+INPUT!AF68</f>
        <v>0.92592592592592382</v>
      </c>
      <c r="H117" s="449">
        <f>+INPUT!AG68</f>
        <v>121</v>
      </c>
      <c r="I117" s="439">
        <f>+INPUT!AH68</f>
        <v>13.084112149532714</v>
      </c>
      <c r="J117" s="449">
        <f>+INPUT!AI68</f>
        <v>137</v>
      </c>
      <c r="K117" s="439">
        <f>+INPUT!AJ68</f>
        <v>28.037383177570092</v>
      </c>
      <c r="L117" s="449">
        <f>+INPUT!AK68</f>
        <v>143</v>
      </c>
      <c r="M117" s="439">
        <f>+INPUT!AL68</f>
        <v>25.438596491228054</v>
      </c>
      <c r="N117" s="449">
        <f>+INPUT!AM68</f>
        <v>155</v>
      </c>
      <c r="O117" s="439">
        <f>+INPUT!AN68</f>
        <v>42.201834862385311</v>
      </c>
      <c r="P117" s="449">
        <f>+INPUT!AO68</f>
        <v>155</v>
      </c>
      <c r="Q117" s="439">
        <f>+INPUT!AP68</f>
        <v>28.099173553718998</v>
      </c>
      <c r="R117" s="449">
        <f>+INPUT!AQ68</f>
        <v>157</v>
      </c>
      <c r="S117" s="439">
        <f>+INPUT!AR68</f>
        <v>14.59854014598541</v>
      </c>
      <c r="T117" s="449">
        <f>+INPUT!AS68</f>
        <v>153</v>
      </c>
      <c r="U117" s="439">
        <f>+INPUT!AT68</f>
        <v>6.9930069930070005</v>
      </c>
      <c r="V117" s="449">
        <f>+INPUT!AU68</f>
        <v>156</v>
      </c>
      <c r="W117" s="439">
        <f>+INPUT!AV68</f>
        <v>0.64516129032257652</v>
      </c>
      <c r="X117" s="449">
        <f>+INPUT!AW68</f>
        <v>151</v>
      </c>
      <c r="Y117" s="439">
        <f>+INPUT!AX68</f>
        <v>-2.5806451612903203</v>
      </c>
      <c r="Z117" s="449">
        <f>+INPUT!AY68</f>
        <v>144</v>
      </c>
      <c r="AA117" s="439">
        <f>+INPUT!AZ68</f>
        <v>-8.2802547770700556</v>
      </c>
      <c r="AB117" s="449">
        <f>+INPUT!BA68</f>
        <v>149</v>
      </c>
      <c r="AC117" s="439">
        <f>+INPUT!BB68</f>
        <v>-2.6143790849673252</v>
      </c>
      <c r="AD117" s="449">
        <f>+INPUT!BC68</f>
        <v>169</v>
      </c>
      <c r="AE117" s="439">
        <f>+INPUT!BD68</f>
        <v>8.3333333333333286</v>
      </c>
      <c r="AF117" s="449">
        <f>+INPUT!BE68</f>
        <v>156</v>
      </c>
      <c r="AG117" s="439">
        <f>+INPUT!BF68</f>
        <v>3.3112582781456865</v>
      </c>
      <c r="AH117" s="449">
        <f>+INPUT!BG68</f>
        <v>151</v>
      </c>
      <c r="AI117" s="438">
        <f>+INPUT!BH68</f>
        <v>4.8611111111111143</v>
      </c>
      <c r="AJ117" s="449">
        <f>+INPUT!BI68</f>
        <v>148</v>
      </c>
      <c r="AK117" s="438">
        <f>+INPUT!BJ68</f>
        <v>-0.67114093959730781</v>
      </c>
      <c r="AL117" s="449">
        <f>+INPUT!BK68</f>
        <v>144</v>
      </c>
      <c r="AM117" s="438">
        <f>+INPUT!BL68</f>
        <v>-14.792899408284015</v>
      </c>
      <c r="AN117" s="449">
        <f>+INPUT!BM68</f>
        <v>137</v>
      </c>
      <c r="AO117" s="438">
        <f>+INPUT!BN68</f>
        <v>-12.179487179487182</v>
      </c>
      <c r="AP117" s="449">
        <f>+INPUT!BO68</f>
        <v>161</v>
      </c>
      <c r="AQ117" s="438">
        <f>+INPUT!BP68</f>
        <v>6.622516556291373</v>
      </c>
      <c r="AR117" s="449">
        <f>+INPUT!BQ68</f>
        <v>174</v>
      </c>
      <c r="AS117" s="438">
        <f>+INPUT!BR68</f>
        <v>17.567567567567565</v>
      </c>
      <c r="AT117" s="449">
        <f>+INPUT!BS68</f>
        <v>200</v>
      </c>
      <c r="AU117" s="438">
        <f>+INPUT!BT68</f>
        <v>38.888888888888886</v>
      </c>
      <c r="AV117" s="449">
        <f>+INPUT!BU68</f>
        <v>265</v>
      </c>
      <c r="AW117" s="438">
        <f>+INPUT!BV68</f>
        <v>93.430656934306569</v>
      </c>
      <c r="AX117" s="449">
        <f>+INPUT!BW68</f>
        <v>274</v>
      </c>
      <c r="AY117" s="438">
        <f>+INPUT!BX68</f>
        <v>70.18633540372673</v>
      </c>
      <c r="AZ117" s="449">
        <f>+INPUT!BY68</f>
        <v>251</v>
      </c>
      <c r="BA117" s="438">
        <f>+INPUT!BZ68</f>
        <v>44.252873563218373</v>
      </c>
      <c r="BB117" s="449">
        <f>+INPUT!CA68</f>
        <v>236</v>
      </c>
      <c r="BC117" s="438">
        <f>+INPUT!CB68</f>
        <v>18</v>
      </c>
      <c r="BD117" s="449">
        <f>+INPUT!CC68</f>
        <v>218</v>
      </c>
      <c r="BE117" s="438">
        <f>+INPUT!CD68</f>
        <v>-17.735849056603769</v>
      </c>
      <c r="BF117" s="449">
        <f>+INPUT!CE68</f>
        <v>224</v>
      </c>
      <c r="BG117" s="438">
        <f>+INPUT!CF68</f>
        <v>-18.248175182481745</v>
      </c>
      <c r="BH117" s="449">
        <f>+INPUT!CG68</f>
        <v>216</v>
      </c>
      <c r="BI117" s="438">
        <f>+INPUT!CH68</f>
        <v>-13.944223107569726</v>
      </c>
      <c r="BJ117" s="449">
        <f>+INPUT!CI68</f>
        <v>220</v>
      </c>
      <c r="BK117" s="438">
        <f>+INPUT!CJ68</f>
        <v>-6.7796610169491629</v>
      </c>
      <c r="BL117" s="449">
        <f>+INPUT!CK68</f>
        <v>218</v>
      </c>
      <c r="BM117" s="438">
        <f>+INPUT!CL68</f>
        <v>0</v>
      </c>
      <c r="BN117" s="449">
        <f>+INPUT!CM68</f>
        <v>201</v>
      </c>
      <c r="BO117" s="438">
        <f>+INPUT!CN68</f>
        <v>-10.267857142857139</v>
      </c>
      <c r="BP117" s="449">
        <f>+INPUT!CO68</f>
        <v>197</v>
      </c>
      <c r="BQ117" s="438">
        <f>+INPUT!CP68</f>
        <v>-8.7962962962962905</v>
      </c>
      <c r="BR117" s="449">
        <f>+INPUT!CQ68</f>
        <v>195</v>
      </c>
      <c r="BS117" s="438">
        <f>+INPUT!CR68</f>
        <v>-11.36363636363636</v>
      </c>
      <c r="BT117" s="449">
        <f>+INPUT!CS68</f>
        <v>197</v>
      </c>
      <c r="BU117" s="438">
        <f>+INPUT!CT68</f>
        <v>-9.6330275229357767</v>
      </c>
      <c r="BV117" s="449">
        <f>+INPUT!CU68</f>
        <v>197</v>
      </c>
      <c r="BW117" s="438">
        <f>+INPUT!CV68</f>
        <v>-1.990049751243788</v>
      </c>
      <c r="BX117" s="449">
        <f>+INPUT!CW68</f>
        <v>191</v>
      </c>
      <c r="BY117" s="438">
        <f>+INPUT!CX68</f>
        <v>-3.0456852791878219</v>
      </c>
      <c r="BZ117" s="449">
        <f>+INPUT!CY68</f>
        <v>197</v>
      </c>
      <c r="CA117" s="438">
        <f>+INPUT!CZ68</f>
        <v>1.025641025641022</v>
      </c>
      <c r="CB117" s="449">
        <f>+INPUT!DA68</f>
        <v>185</v>
      </c>
      <c r="CC117" s="438">
        <f>+INPUT!DB68</f>
        <v>-6.0913705583756297</v>
      </c>
      <c r="CD117" s="449">
        <f>+INPUT!DC68</f>
        <v>176</v>
      </c>
      <c r="CE117" s="438">
        <f>+INPUT!DD68</f>
        <v>-10.659898477157356</v>
      </c>
      <c r="CF117" s="449">
        <f>+INPUT!DE68</f>
        <v>181</v>
      </c>
      <c r="CG117" s="438">
        <f>+INPUT!DF68</f>
        <v>-5.2356020942408463</v>
      </c>
      <c r="CH117" s="449">
        <f>+INPUT!DG68</f>
        <v>169</v>
      </c>
      <c r="CI117" s="438">
        <f>+INPUT!DH68</f>
        <v>-14.213197969543145</v>
      </c>
      <c r="CJ117" s="449">
        <f>+INPUT!DI68</f>
        <v>167</v>
      </c>
      <c r="CK117" s="438">
        <f>+INPUT!DJ68</f>
        <v>-9.7297297297297263</v>
      </c>
      <c r="CL117" s="449">
        <f>+INPUT!DK68</f>
        <v>165</v>
      </c>
      <c r="CM117" s="438">
        <f>+INPUT!DL68</f>
        <v>-6.25</v>
      </c>
      <c r="CN117" s="449">
        <f>+INPUT!DM68</f>
        <v>153</v>
      </c>
      <c r="CO117" s="438">
        <f>+INPUT!DN68</f>
        <v>-15.469613259668506</v>
      </c>
      <c r="CP117" s="449">
        <f>+INPUT!DO68</f>
        <v>154</v>
      </c>
      <c r="CQ117" s="438">
        <f>+INPUT!DP68</f>
        <v>-8.8757396449704089</v>
      </c>
      <c r="CR117" s="449">
        <f>+INPUT!DQ68</f>
        <v>158</v>
      </c>
      <c r="CS117" s="438">
        <f>+INPUT!DR68</f>
        <v>-5.3892215568862269</v>
      </c>
      <c r="CT117" s="449">
        <f>+INPUT!DS68</f>
        <v>151</v>
      </c>
      <c r="CU117" s="438">
        <f>+INPUT!DT68</f>
        <v>-8.4848484848484844</v>
      </c>
      <c r="CV117" s="449">
        <f>+INPUT!DU68</f>
        <v>143</v>
      </c>
      <c r="CW117" s="438">
        <f>+INPUT!DV68</f>
        <v>-6.5359477124183059</v>
      </c>
      <c r="CX117" s="449">
        <f>+INPUT!DW68</f>
        <v>156</v>
      </c>
      <c r="CY117" s="438">
        <f>+INPUT!DX68</f>
        <v>1.2987012987012889</v>
      </c>
      <c r="CZ117" s="449">
        <f>+INPUT!DY68</f>
        <v>153</v>
      </c>
      <c r="DA117" s="438">
        <f>+INPUT!DZ68</f>
        <v>-3.1645569620253156</v>
      </c>
      <c r="DB117" s="449">
        <f>+INPUT!EA68</f>
        <v>161</v>
      </c>
      <c r="DC117" s="438">
        <f>+INPUT!EB68</f>
        <v>6.622516556291373</v>
      </c>
      <c r="DD117" s="449">
        <f>+INPUT!EC68</f>
        <v>161</v>
      </c>
      <c r="DE117" s="438">
        <f>+INPUT!ED68</f>
        <v>12.587412587412587</v>
      </c>
      <c r="DF117" s="449">
        <f>+INPUT!EE68</f>
        <v>192</v>
      </c>
      <c r="DG117" s="438">
        <f>+INPUT!EF68</f>
        <v>23.07692307692308</v>
      </c>
      <c r="DH117" s="449">
        <f>+INPUT!EG68</f>
        <v>184</v>
      </c>
      <c r="DI117" s="438">
        <f>+INPUT!EH68</f>
        <v>20.261437908496731</v>
      </c>
      <c r="DJ117" s="449">
        <f>+INPUT!EI68</f>
        <v>190</v>
      </c>
      <c r="DK117" s="438">
        <f>+INPUT!EJ68</f>
        <v>18.012422360248451</v>
      </c>
      <c r="DL117" s="449">
        <f>+INPUT!EK68</f>
        <v>184</v>
      </c>
      <c r="DM117" s="438">
        <f>+INPUT!EL68</f>
        <v>14.285714285714278</v>
      </c>
      <c r="DN117" s="449">
        <f>+INPUT!EM68</f>
        <v>182</v>
      </c>
      <c r="DO117" s="438">
        <f>+INPUT!EN68</f>
        <v>-5.2083333333333428</v>
      </c>
      <c r="DP117" s="449">
        <f>+INPUT!EO68</f>
        <v>186</v>
      </c>
      <c r="DQ117" s="438">
        <f>+INPUT!EP68</f>
        <v>1.0869565217391397</v>
      </c>
      <c r="DR117" s="449">
        <f>+INPUT!EQ68</f>
        <v>183.34679633390635</v>
      </c>
      <c r="DS117" s="438">
        <f>+INPUT!ER68</f>
        <v>-3.5016861400492871</v>
      </c>
      <c r="DT117" s="449">
        <f>+INPUT!ES68</f>
        <v>181.13988483387848</v>
      </c>
      <c r="DU117" s="438">
        <f>+INPUT!ET68</f>
        <v>-1.5544104163703878</v>
      </c>
      <c r="DV117" s="449">
        <f>+INPUT!EU68</f>
        <v>181.02910674120986</v>
      </c>
      <c r="DW117" s="438">
        <f>+INPUT!EV68</f>
        <v>-0.53345783450006934</v>
      </c>
      <c r="DX117" s="449">
        <f>+INPUT!EW68</f>
        <v>180.95737396413671</v>
      </c>
      <c r="DY117" s="438">
        <f>+INPUT!EX68</f>
        <v>-2.711089266593163</v>
      </c>
      <c r="DZ117" s="449"/>
      <c r="EA117" s="438"/>
      <c r="EB117" s="439">
        <f>+INPUT!FI68</f>
        <v>-6.5817409766454347</v>
      </c>
      <c r="EC117" s="449">
        <f>+INPUT!FJ68</f>
        <v>415</v>
      </c>
      <c r="ED117" s="439">
        <f>+INPUT!FK68</f>
        <v>-5.6818181818181728</v>
      </c>
      <c r="EE117" s="449">
        <f>+INPUT!FL68</f>
        <v>451</v>
      </c>
      <c r="EF117" s="439">
        <f>+INPUT!FM68</f>
        <v>8.6746987951807171</v>
      </c>
      <c r="EG117" s="449">
        <f>+INPUT!FN68</f>
        <v>590</v>
      </c>
      <c r="EH117" s="439">
        <f>+INPUT!FO68</f>
        <v>30.820399113082033</v>
      </c>
      <c r="EI117" s="449">
        <f>+INPUT!FP68</f>
        <v>617</v>
      </c>
      <c r="EJ117" s="438">
        <f>+INPUT!FQ68</f>
        <v>4.5762711864406782</v>
      </c>
      <c r="EK117" s="449">
        <f>+INPUT!FR68</f>
        <v>618</v>
      </c>
      <c r="EL117" s="438">
        <f>+INPUT!FS68</f>
        <v>0.16207455429497486</v>
      </c>
      <c r="EM117" s="449">
        <f>+INPUT!FT68</f>
        <v>580</v>
      </c>
      <c r="EN117" s="438">
        <f>+INPUT!FU68</f>
        <v>-6.1488673139158578</v>
      </c>
      <c r="EO117" s="449">
        <f>+INPUT!FV68</f>
        <v>800</v>
      </c>
      <c r="EP117" s="438">
        <f>+INPUT!FW68</f>
        <v>37.931034482758633</v>
      </c>
      <c r="EQ117" s="449">
        <f>+INPUT!FX68</f>
        <v>979</v>
      </c>
      <c r="ER117" s="438">
        <f>+INPUT!FY68</f>
        <v>22.374999999999986</v>
      </c>
      <c r="ES117" s="449">
        <f>+INPUT!FZ68</f>
        <v>878</v>
      </c>
      <c r="ET117" s="438">
        <f>+INPUT!GA68</f>
        <v>-10.316649642492337</v>
      </c>
      <c r="EU117" s="449">
        <f>+INPUT!GB68</f>
        <v>790</v>
      </c>
      <c r="EV117" s="438">
        <f>+INPUT!GC68</f>
        <v>-10.022779043280181</v>
      </c>
      <c r="EW117" s="449">
        <f>+INPUT!GD68</f>
        <v>770</v>
      </c>
      <c r="EX117" s="438">
        <f>+INPUT!GE68</f>
        <v>-2.5316455696202524</v>
      </c>
      <c r="EY117" s="449">
        <f>+INPUT!GF68</f>
        <v>693</v>
      </c>
      <c r="EZ117" s="438">
        <f>+INPUT!GG68</f>
        <v>-10</v>
      </c>
      <c r="FA117" s="449">
        <f>+INPUT!GH68</f>
        <v>630</v>
      </c>
      <c r="FB117" s="438">
        <f>+INPUT!GI68</f>
        <v>-9.0909090909090935</v>
      </c>
      <c r="FC117" s="449">
        <f>+INPUT!GJ68</f>
        <v>603</v>
      </c>
      <c r="FD117" s="438">
        <f>+INPUT!GK68</f>
        <v>-4.2857142857142776</v>
      </c>
      <c r="FE117" s="449">
        <f>+INPUT!GL68</f>
        <v>698</v>
      </c>
      <c r="FF117" s="438">
        <f>+INPUT!GM68</f>
        <v>15.754560530679939</v>
      </c>
      <c r="FG117" s="449">
        <f>+INPUT!GN68</f>
        <v>742</v>
      </c>
      <c r="FH117" s="438">
        <f>+INPUT!GO68</f>
        <v>6.3037249283667762</v>
      </c>
      <c r="FI117" s="449">
        <f>+INPUT!GP68</f>
        <v>726.4731618731314</v>
      </c>
      <c r="FJ117" s="438">
        <f>+INPUT!GQ68</f>
        <v>-2.0925657852922654</v>
      </c>
      <c r="FK117" s="449">
        <f>+INPUT!GR68</f>
        <v>724.46751161288614</v>
      </c>
      <c r="FL117" s="438">
        <f>+INPUT!GS68</f>
        <v>-0.27608043428250539</v>
      </c>
      <c r="FM117" s="449">
        <f>+INPUT!GT68</f>
        <v>718.78125249261882</v>
      </c>
      <c r="FN117" s="438">
        <f>+INPUT!GU68</f>
        <v>-0.78488807698332153</v>
      </c>
      <c r="FO117" s="449">
        <f>+INPUT!GV68</f>
        <v>715.26506476885606</v>
      </c>
      <c r="FP117" s="438">
        <f>+INPUT!GW68</f>
        <v>-0.48918745606805203</v>
      </c>
      <c r="FQ117" s="449">
        <f>+INPUT!GX68</f>
        <v>714.06360879006388</v>
      </c>
      <c r="FR117" s="438">
        <f>+INPUT!GY68</f>
        <v>-0.16797353008990967</v>
      </c>
      <c r="FS117" s="438">
        <f>+INPUT!GZ68</f>
        <v>-0.76460584048206881</v>
      </c>
    </row>
    <row r="118" spans="1:265" s="529" customFormat="1" ht="12.75" hidden="1" customHeight="1" outlineLevel="1" x14ac:dyDescent="0.2">
      <c r="A118" s="441" t="str">
        <f>+INPUT!B71</f>
        <v>Commissions, Fees and Other Income</v>
      </c>
      <c r="B118" s="449">
        <f>+INPUT!AA71</f>
        <v>13</v>
      </c>
      <c r="C118" s="439">
        <f>+INPUT!AB71</f>
        <v>-23.529411764705884</v>
      </c>
      <c r="D118" s="449">
        <f>+INPUT!AC71</f>
        <v>46</v>
      </c>
      <c r="E118" s="439" t="str">
        <f>+INPUT!AD71</f>
        <v>NM</v>
      </c>
      <c r="F118" s="449">
        <f>+INPUT!AE71</f>
        <v>68</v>
      </c>
      <c r="G118" s="439" t="str">
        <f>+INPUT!AF71</f>
        <v>NM</v>
      </c>
      <c r="H118" s="449">
        <f>+INPUT!AG71</f>
        <v>72</v>
      </c>
      <c r="I118" s="439" t="str">
        <f>+INPUT!AH71</f>
        <v>NM</v>
      </c>
      <c r="J118" s="449">
        <f>+INPUT!AI71</f>
        <v>72</v>
      </c>
      <c r="K118" s="439" t="str">
        <f>+INPUT!AJ71</f>
        <v>NM</v>
      </c>
      <c r="L118" s="449">
        <f>+INPUT!AK71</f>
        <v>71</v>
      </c>
      <c r="M118" s="439">
        <f>+INPUT!AL71</f>
        <v>54.34782608695653</v>
      </c>
      <c r="N118" s="449">
        <f>+INPUT!AM71</f>
        <v>70</v>
      </c>
      <c r="O118" s="439">
        <f>+INPUT!AN71</f>
        <v>2.941176470588232</v>
      </c>
      <c r="P118" s="449">
        <f>+INPUT!AO71</f>
        <v>76</v>
      </c>
      <c r="Q118" s="439">
        <f>+INPUT!AP71</f>
        <v>5.5555555555555571</v>
      </c>
      <c r="R118" s="449">
        <f>+INPUT!AQ71</f>
        <v>73</v>
      </c>
      <c r="S118" s="439">
        <f>+INPUT!AR71</f>
        <v>1.3888888888888857</v>
      </c>
      <c r="T118" s="449">
        <f>+INPUT!AS71</f>
        <v>77</v>
      </c>
      <c r="U118" s="439">
        <f>+INPUT!AT71</f>
        <v>8.4507042253521263</v>
      </c>
      <c r="V118" s="449">
        <f>+INPUT!AU71</f>
        <v>87</v>
      </c>
      <c r="W118" s="439">
        <f>+INPUT!AV71</f>
        <v>24.285714285714292</v>
      </c>
      <c r="X118" s="449">
        <f>+INPUT!AW71</f>
        <v>83</v>
      </c>
      <c r="Y118" s="439">
        <f>+INPUT!AX71</f>
        <v>9.2105263157894655</v>
      </c>
      <c r="Z118" s="449">
        <f>+INPUT!AY71</f>
        <v>94</v>
      </c>
      <c r="AA118" s="439">
        <f>+INPUT!AZ71</f>
        <v>28.767123287671239</v>
      </c>
      <c r="AB118" s="449">
        <f>+INPUT!BA71</f>
        <v>79</v>
      </c>
      <c r="AC118" s="439">
        <f>+INPUT!BB71</f>
        <v>2.5974025974025921</v>
      </c>
      <c r="AD118" s="449">
        <f>+INPUT!BC71</f>
        <v>118</v>
      </c>
      <c r="AE118" s="439">
        <f>+INPUT!BD71</f>
        <v>35.63218390804596</v>
      </c>
      <c r="AF118" s="449">
        <f>+INPUT!BE71</f>
        <v>125</v>
      </c>
      <c r="AG118" s="439">
        <f>+INPUT!BF71</f>
        <v>50.602409638554235</v>
      </c>
      <c r="AH118" s="449">
        <f>+INPUT!BG71</f>
        <v>133</v>
      </c>
      <c r="AI118" s="438">
        <f>+INPUT!BH71</f>
        <v>41.489361702127667</v>
      </c>
      <c r="AJ118" s="449">
        <f>+INPUT!BI71</f>
        <v>145</v>
      </c>
      <c r="AK118" s="438">
        <f>+INPUT!BJ71</f>
        <v>83.544303797468359</v>
      </c>
      <c r="AL118" s="449">
        <f>+INPUT!BK71</f>
        <v>154</v>
      </c>
      <c r="AM118" s="438">
        <f>+INPUT!BL71</f>
        <v>30.508474576271198</v>
      </c>
      <c r="AN118" s="449">
        <f>+INPUT!BM71</f>
        <v>141</v>
      </c>
      <c r="AO118" s="438">
        <f>+INPUT!BN71</f>
        <v>12.799999999999983</v>
      </c>
      <c r="AP118" s="449">
        <f>+INPUT!BO71</f>
        <v>89</v>
      </c>
      <c r="AQ118" s="438">
        <f>+INPUT!BP71</f>
        <v>-33.082706766917298</v>
      </c>
      <c r="AR118" s="449">
        <f>+INPUT!BQ71</f>
        <v>128</v>
      </c>
      <c r="AS118" s="438">
        <f>+INPUT!BR71</f>
        <v>-11.724137931034477</v>
      </c>
      <c r="AT118" s="449">
        <f>+INPUT!BS71</f>
        <v>24</v>
      </c>
      <c r="AU118" s="438" t="str">
        <f>+INPUT!BT71</f>
        <v>NM</v>
      </c>
      <c r="AV118" s="449">
        <f>+INPUT!BU71</f>
        <v>-213</v>
      </c>
      <c r="AW118" s="438" t="str">
        <f>+INPUT!BV71</f>
        <v>NM</v>
      </c>
      <c r="AX118" s="449">
        <f>+INPUT!BW71</f>
        <v>83</v>
      </c>
      <c r="AY118" s="438">
        <f>+INPUT!BX71</f>
        <v>-6.7415730337078656</v>
      </c>
      <c r="AZ118" s="449">
        <f>+INPUT!BY71</f>
        <v>104</v>
      </c>
      <c r="BA118" s="438">
        <f>+INPUT!BZ71</f>
        <v>-18.75</v>
      </c>
      <c r="BB118" s="449">
        <f>+INPUT!CA71</f>
        <v>124</v>
      </c>
      <c r="BC118" s="438" t="str">
        <f>+INPUT!CB71</f>
        <v>NM</v>
      </c>
      <c r="BD118" s="449">
        <f>+INPUT!CC71</f>
        <v>146</v>
      </c>
      <c r="BE118" s="438" t="str">
        <f>+INPUT!CD71</f>
        <v>NM</v>
      </c>
      <c r="BF118" s="449">
        <f>+INPUT!CE71</f>
        <v>153</v>
      </c>
      <c r="BG118" s="438">
        <f>+INPUT!CF71</f>
        <v>84.337349397590373</v>
      </c>
      <c r="BH118" s="449">
        <f>+INPUT!CG71</f>
        <v>164</v>
      </c>
      <c r="BI118" s="438">
        <f>+INPUT!CH71</f>
        <v>57.692307692307679</v>
      </c>
      <c r="BJ118" s="449">
        <f>+INPUT!CI71</f>
        <v>173</v>
      </c>
      <c r="BK118" s="438">
        <f>+INPUT!CJ71</f>
        <v>39.516129032258078</v>
      </c>
      <c r="BL118" s="449">
        <f>+INPUT!CK71</f>
        <v>200</v>
      </c>
      <c r="BM118" s="438">
        <f>+INPUT!CL71</f>
        <v>36.986301369863014</v>
      </c>
      <c r="BN118" s="449">
        <f>+INPUT!CM71</f>
        <v>215</v>
      </c>
      <c r="BO118" s="438">
        <f>+INPUT!CN71</f>
        <v>40.522875816993462</v>
      </c>
      <c r="BP118" s="449">
        <f>+INPUT!CO71</f>
        <v>230</v>
      </c>
      <c r="BQ118" s="438">
        <f>+INPUT!CP71</f>
        <v>40.243902439024396</v>
      </c>
      <c r="BR118" s="449">
        <f>+INPUT!CQ71</f>
        <v>214</v>
      </c>
      <c r="BS118" s="438">
        <f>+INPUT!CR71</f>
        <v>23.69942196531791</v>
      </c>
      <c r="BT118" s="449">
        <f>+INPUT!CS71</f>
        <v>218</v>
      </c>
      <c r="BU118" s="438">
        <f>+INPUT!CT71</f>
        <v>9.0000000000000142</v>
      </c>
      <c r="BV118" s="449">
        <f>+INPUT!CU71</f>
        <v>240</v>
      </c>
      <c r="BW118" s="438">
        <f>+INPUT!CV71</f>
        <v>11.627906976744185</v>
      </c>
      <c r="BX118" s="449">
        <f>+INPUT!CW71</f>
        <v>244</v>
      </c>
      <c r="BY118" s="438">
        <f>+INPUT!CX71</f>
        <v>6.0869565217391397</v>
      </c>
      <c r="BZ118" s="449">
        <f>+INPUT!CY71</f>
        <v>266</v>
      </c>
      <c r="CA118" s="438">
        <f>+INPUT!CZ71</f>
        <v>24.299065420560751</v>
      </c>
      <c r="CB118" s="449">
        <f>+INPUT!DA71</f>
        <v>281</v>
      </c>
      <c r="CC118" s="438">
        <f>+INPUT!DB71</f>
        <v>28.89908256880733</v>
      </c>
      <c r="CD118" s="449">
        <f>+INPUT!DC71</f>
        <v>297</v>
      </c>
      <c r="CE118" s="438">
        <f>+INPUT!DD71</f>
        <v>23.75</v>
      </c>
      <c r="CF118" s="449">
        <f>+INPUT!DE71</f>
        <v>309</v>
      </c>
      <c r="CG118" s="438">
        <f>+INPUT!DF71</f>
        <v>26.639344262295083</v>
      </c>
      <c r="CH118" s="449">
        <f>+INPUT!DG71</f>
        <v>312</v>
      </c>
      <c r="CI118" s="438">
        <f>+INPUT!DH71</f>
        <v>17.293233082706763</v>
      </c>
      <c r="CJ118" s="449">
        <f>+INPUT!DI71</f>
        <v>325</v>
      </c>
      <c r="CK118" s="438">
        <f>+INPUT!DJ71</f>
        <v>15.658362989323834</v>
      </c>
      <c r="CL118" s="449">
        <f>+INPUT!DK71</f>
        <v>321</v>
      </c>
      <c r="CM118" s="438">
        <f>+INPUT!DL71</f>
        <v>16.002846975088957</v>
      </c>
      <c r="CN118" s="449">
        <f>+INPUT!DM71</f>
        <v>330</v>
      </c>
      <c r="CO118" s="438">
        <f>+INPUT!DN71</f>
        <v>6.7961165048543677</v>
      </c>
      <c r="CP118" s="449">
        <f>+INPUT!DO71</f>
        <v>341</v>
      </c>
      <c r="CQ118" s="438">
        <f>+INPUT!DP71</f>
        <v>9.2948717948717814</v>
      </c>
      <c r="CR118" s="449">
        <f>+INPUT!DQ71</f>
        <v>334</v>
      </c>
      <c r="CS118" s="438">
        <f>+INPUT!DR71</f>
        <v>2.7692307692307736</v>
      </c>
      <c r="CT118" s="449">
        <f>+INPUT!DS71</f>
        <v>338</v>
      </c>
      <c r="CU118" s="438">
        <f>+INPUT!DT71</f>
        <v>5.2959501557632223</v>
      </c>
      <c r="CV118" s="449">
        <f>+INPUT!DU71</f>
        <v>344</v>
      </c>
      <c r="CW118" s="438">
        <f>+INPUT!DV71</f>
        <v>4.2424242424242493</v>
      </c>
      <c r="CX118" s="449">
        <f>+INPUT!DW71</f>
        <v>319</v>
      </c>
      <c r="CY118" s="438">
        <f>+INPUT!DX71</f>
        <v>-6.4516129032258078</v>
      </c>
      <c r="CZ118" s="449">
        <f>+INPUT!DY71</f>
        <v>306</v>
      </c>
      <c r="DA118" s="438">
        <f>+INPUT!DZ71</f>
        <v>-8.3832335329341277</v>
      </c>
      <c r="DB118" s="449">
        <f>+INPUT!EA71</f>
        <v>296</v>
      </c>
      <c r="DC118" s="438">
        <f>+INPUT!EB71</f>
        <v>-12.42603550295857</v>
      </c>
      <c r="DD118" s="449">
        <f>+INPUT!EC71</f>
        <v>307</v>
      </c>
      <c r="DE118" s="438">
        <f>+INPUT!ED71</f>
        <v>-10.755813953488371</v>
      </c>
      <c r="DF118" s="449">
        <f>+INPUT!EE71</f>
        <v>323</v>
      </c>
      <c r="DG118" s="438">
        <f>+INPUT!EF71</f>
        <v>1.2539184952978104</v>
      </c>
      <c r="DH118" s="449">
        <f>+INPUT!EG71</f>
        <v>314</v>
      </c>
      <c r="DI118" s="438">
        <f>+INPUT!EH71</f>
        <v>2.614379084967311</v>
      </c>
      <c r="DJ118" s="449">
        <f>+INPUT!EI71</f>
        <v>327</v>
      </c>
      <c r="DK118" s="438">
        <f>+INPUT!EJ71</f>
        <v>10.472972972972983</v>
      </c>
      <c r="DL118" s="449">
        <f>+INPUT!EK71</f>
        <v>369</v>
      </c>
      <c r="DM118" s="438">
        <f>+INPUT!EL71</f>
        <v>20.195439739413686</v>
      </c>
      <c r="DN118" s="449">
        <f>+INPUT!EM71</f>
        <v>355</v>
      </c>
      <c r="DO118" s="438">
        <f>+INPUT!EN71</f>
        <v>9.9071207430340564</v>
      </c>
      <c r="DP118" s="449">
        <f>+INPUT!EO71</f>
        <v>336</v>
      </c>
      <c r="DQ118" s="438">
        <f>+INPUT!EP71</f>
        <v>7.0063694267515899</v>
      </c>
      <c r="DR118" s="449">
        <f>+INPUT!EQ71</f>
        <v>339.36</v>
      </c>
      <c r="DS118" s="438">
        <f>+INPUT!ER71</f>
        <v>3.7798165137614745</v>
      </c>
      <c r="DT118" s="449">
        <f>+INPUT!ES71</f>
        <v>342.75360000000001</v>
      </c>
      <c r="DU118" s="438">
        <f>+INPUT!ET71</f>
        <v>-7.1128455284552814</v>
      </c>
      <c r="DV118" s="449">
        <f>+INPUT!EU71</f>
        <v>346.18113599999998</v>
      </c>
      <c r="DW118" s="438">
        <f>+INPUT!EV71</f>
        <v>-2.4841870422535237</v>
      </c>
      <c r="DX118" s="449">
        <f>+INPUT!EW71</f>
        <v>349.64294735999999</v>
      </c>
      <c r="DY118" s="438">
        <f>+INPUT!EX71</f>
        <v>4.0604009999999988</v>
      </c>
      <c r="DZ118" s="449"/>
      <c r="EA118" s="438"/>
      <c r="EB118" s="439">
        <f>+INPUT!FI71</f>
        <v>-15.116279069767444</v>
      </c>
      <c r="EC118" s="449">
        <f>+INPUT!FJ71</f>
        <v>61</v>
      </c>
      <c r="ED118" s="439">
        <f>+INPUT!FK71</f>
        <v>-16.438356164383563</v>
      </c>
      <c r="EE118" s="449">
        <f>+INPUT!FL71</f>
        <v>199</v>
      </c>
      <c r="EF118" s="439" t="str">
        <f>+INPUT!FM71</f>
        <v>NM</v>
      </c>
      <c r="EG118" s="449">
        <f>+INPUT!FN71</f>
        <v>289</v>
      </c>
      <c r="EH118" s="439">
        <f>+INPUT!FO71</f>
        <v>45.226130653266324</v>
      </c>
      <c r="EI118" s="449">
        <f>+INPUT!FP71</f>
        <v>320</v>
      </c>
      <c r="EJ118" s="438">
        <f>+INPUT!FQ71</f>
        <v>10.726643598615922</v>
      </c>
      <c r="EK118" s="449">
        <f>+INPUT!FR71</f>
        <v>416</v>
      </c>
      <c r="EL118" s="438">
        <f>+INPUT!FS71</f>
        <v>30</v>
      </c>
      <c r="EM118" s="449">
        <f>+INPUT!FT71</f>
        <v>573</v>
      </c>
      <c r="EN118" s="438">
        <f>+INPUT!FU71</f>
        <v>37.740384615384613</v>
      </c>
      <c r="EO118" s="449">
        <f>+INPUT!FV71</f>
        <v>466</v>
      </c>
      <c r="EP118" s="438">
        <f>+INPUT!FW71</f>
        <v>-18.673647469458984</v>
      </c>
      <c r="EQ118" s="449">
        <f>+INPUT!FX71</f>
        <v>457</v>
      </c>
      <c r="ER118" s="438">
        <f>+INPUT!FY71</f>
        <v>-1.9313304721029994</v>
      </c>
      <c r="ES118" s="449">
        <f>+INPUT!FZ71</f>
        <v>690</v>
      </c>
      <c r="ET118" s="438">
        <f>+INPUT!GA71</f>
        <v>50.984682713347922</v>
      </c>
      <c r="EU118" s="449">
        <f>+INPUT!GB71</f>
        <v>877</v>
      </c>
      <c r="EV118" s="438">
        <f>+INPUT!GC71</f>
        <v>27.101449275362313</v>
      </c>
      <c r="EW118" s="449">
        <f>+INPUT!GD71</f>
        <v>1031</v>
      </c>
      <c r="EX118" s="438">
        <f>+INPUT!GE71</f>
        <v>17.559863169897369</v>
      </c>
      <c r="EY118" s="449">
        <f>+INPUT!GF71</f>
        <v>1243</v>
      </c>
      <c r="EZ118" s="438">
        <f>+INPUT!GG71</f>
        <v>20.562560620756543</v>
      </c>
      <c r="FA118" s="449">
        <f>+INPUT!GH71</f>
        <v>1326</v>
      </c>
      <c r="FB118" s="438">
        <f>+INPUT!GI71</f>
        <v>6.677393403057124</v>
      </c>
      <c r="FC118" s="449">
        <f>+INPUT!GJ71</f>
        <v>1307</v>
      </c>
      <c r="FD118" s="438">
        <f>+INPUT!GK71</f>
        <v>-1.4328808446455525</v>
      </c>
      <c r="FE118" s="449">
        <f>+INPUT!GL71</f>
        <v>1240</v>
      </c>
      <c r="FF118" s="438">
        <f>+INPUT!GM71</f>
        <v>-5.1262433052792602</v>
      </c>
      <c r="FG118" s="449">
        <f>+INPUT!GN71</f>
        <v>1387</v>
      </c>
      <c r="FH118" s="438">
        <f>+INPUT!GO71</f>
        <v>11.854838709677423</v>
      </c>
      <c r="FI118" s="449">
        <f>+INPUT!GP71</f>
        <v>1377.9376833599999</v>
      </c>
      <c r="FJ118" s="438">
        <f>+INPUT!GQ71</f>
        <v>-0.65337538860850941</v>
      </c>
      <c r="FK118" s="449">
        <f>+INPUT!GR71</f>
        <v>1405.4964370272</v>
      </c>
      <c r="FL118" s="438">
        <f>+INPUT!GS71</f>
        <v>2</v>
      </c>
      <c r="FM118" s="449">
        <f>+INPUT!GT71</f>
        <v>1433.6063657677441</v>
      </c>
      <c r="FN118" s="438">
        <f>+INPUT!GU71</f>
        <v>2</v>
      </c>
      <c r="FO118" s="449">
        <f>+INPUT!GV71</f>
        <v>1462.278493083099</v>
      </c>
      <c r="FP118" s="438">
        <f>+INPUT!GW71</f>
        <v>2</v>
      </c>
      <c r="FQ118" s="449">
        <f>+INPUT!GX71</f>
        <v>1491.524062944761</v>
      </c>
      <c r="FR118" s="438">
        <f>+INPUT!GY71</f>
        <v>2</v>
      </c>
      <c r="FS118" s="438">
        <f>+INPUT!GZ71</f>
        <v>1.4637152520397434</v>
      </c>
      <c r="FT118" s="449">
        <f>+INPUT!BS154</f>
        <v>103690</v>
      </c>
      <c r="FU118" s="438">
        <f>+INPUT!BT154</f>
        <v>-1.075207265996923</v>
      </c>
      <c r="FV118" s="449">
        <f>+INPUT!BU154</f>
        <v>100100.5</v>
      </c>
      <c r="FW118" s="438">
        <f>+INPUT!BV154</f>
        <v>-8.0773945902760858</v>
      </c>
      <c r="FX118" s="449">
        <f>+INPUT!BW154</f>
        <v>100948.5</v>
      </c>
      <c r="FY118" s="438">
        <f>+INPUT!BX154</f>
        <v>-7.9155492310218278</v>
      </c>
      <c r="FZ118" s="449">
        <f>+INPUT!BY154</f>
        <v>106554.5</v>
      </c>
      <c r="GA118" s="438">
        <f>+INPUT!BZ154</f>
        <v>-0.40565107464820471</v>
      </c>
      <c r="GB118" s="449">
        <f>+INPUT!CA154</f>
        <v>116353</v>
      </c>
      <c r="GC118" s="438">
        <f>+INPUT!CB154</f>
        <v>12.212363776641922</v>
      </c>
      <c r="GD118" s="449">
        <f>+INPUT!CC154</f>
        <v>124050.5</v>
      </c>
      <c r="GE118" s="438">
        <f>+INPUT!CD154</f>
        <v>23.925954415812114</v>
      </c>
      <c r="GF118" s="449">
        <f>+INPUT!CE154</f>
        <v>128746</v>
      </c>
      <c r="GG118" s="438">
        <f>+INPUT!CF154</f>
        <v>27.536318023546656</v>
      </c>
      <c r="GH118" s="449">
        <f>+INPUT!CG154</f>
        <v>128161.5</v>
      </c>
      <c r="GI118" s="438">
        <f>+INPUT!CH154</f>
        <v>20.2778859644595</v>
      </c>
      <c r="GJ118" s="449">
        <f>+INPUT!CI154</f>
        <v>130212</v>
      </c>
      <c r="GK118" s="438">
        <f>+INPUT!CJ154</f>
        <v>11.911166880097639</v>
      </c>
      <c r="GL118" s="449">
        <f>+INPUT!CK154</f>
        <v>138280.5</v>
      </c>
      <c r="GM118" s="438">
        <f>+INPUT!CL154</f>
        <v>11.471134739481087</v>
      </c>
      <c r="GN118" s="449">
        <f>+INPUT!CM154</f>
        <v>143645</v>
      </c>
      <c r="GO118" s="438">
        <f>+INPUT!CN154</f>
        <v>11.572398365774461</v>
      </c>
      <c r="GP118" s="449">
        <f>+INPUT!CO154</f>
        <v>146278.5</v>
      </c>
      <c r="GQ118" s="438">
        <f>+INPUT!CP154</f>
        <v>14.136070504792769</v>
      </c>
      <c r="GR118" s="449">
        <f>+INPUT!CQ154</f>
        <v>140389</v>
      </c>
      <c r="GS118" s="438">
        <f>+INPUT!CR154</f>
        <v>7.8157159094399873</v>
      </c>
      <c r="GT118" s="449">
        <f>+INPUT!CS154</f>
        <v>136814</v>
      </c>
      <c r="GU118" s="438">
        <f>+INPUT!CT154</f>
        <v>-1.0605255260141604</v>
      </c>
      <c r="GV118" s="449">
        <f>+INPUT!CU154</f>
        <v>142710.5</v>
      </c>
      <c r="GW118" s="438">
        <f>+INPUT!CV154</f>
        <v>-0.65056214974416093</v>
      </c>
      <c r="GX118" s="449">
        <f>+INPUT!CW154</f>
        <v>144198</v>
      </c>
      <c r="GY118" s="438">
        <f>+INPUT!CX154</f>
        <v>-1.4222869389554802</v>
      </c>
      <c r="GZ118" s="449">
        <f>+INPUT!CY154</f>
        <v>144669.5</v>
      </c>
      <c r="HA118" s="438">
        <f>+INPUT!CZ154</f>
        <v>3.0490280577538158</v>
      </c>
      <c r="HB118" s="449">
        <f>+INPUT!DA154</f>
        <v>147669.5</v>
      </c>
      <c r="HC118" s="438">
        <f>+INPUT!DB154</f>
        <v>7.9344950078208427</v>
      </c>
      <c r="HD118" s="449">
        <f>+INPUT!DC154</f>
        <v>152392.5</v>
      </c>
      <c r="HE118" s="438">
        <f>+INPUT!DD154</f>
        <v>6.7843641497997709</v>
      </c>
      <c r="HF118" s="449">
        <f>+INPUT!DE154</f>
        <v>157059</v>
      </c>
      <c r="HG118" s="438">
        <f>+INPUT!DF154</f>
        <v>8.91898639370865</v>
      </c>
      <c r="HH118" s="449">
        <f>+INPUT!DG154</f>
        <v>161551</v>
      </c>
      <c r="HI118" s="438">
        <f>+INPUT!DH154</f>
        <v>11.669011090796616</v>
      </c>
      <c r="HJ118" s="449">
        <f>+INPUT!DI154</f>
        <v>169433</v>
      </c>
      <c r="HK118" s="438">
        <f>+INPUT!DJ154</f>
        <v>14.737979068121703</v>
      </c>
      <c r="HL118" s="449">
        <f>+INPUT!DK154</f>
        <v>175826</v>
      </c>
      <c r="HM118" s="438">
        <f>+INPUT!DL154</f>
        <v>15.377069081483668</v>
      </c>
      <c r="HN118" s="449">
        <f>+INPUT!DM154</f>
        <v>179863.5</v>
      </c>
      <c r="HO118" s="438">
        <f>+INPUT!DN154</f>
        <v>14.5197027868508</v>
      </c>
      <c r="HP118" s="449">
        <f>+INPUT!DO154</f>
        <v>181056</v>
      </c>
      <c r="HQ118" s="438">
        <f>+INPUT!DP154</f>
        <v>12.073586669225193</v>
      </c>
      <c r="HR118" s="449">
        <f>+INPUT!DQ154</f>
        <v>182365.5</v>
      </c>
      <c r="HS118" s="438">
        <f>+INPUT!DR154</f>
        <v>7.6328106095034656</v>
      </c>
      <c r="HT118" s="449"/>
      <c r="HU118" s="438"/>
      <c r="HV118" s="439">
        <f>+INPUT!FI154</f>
        <v>0.49774279430489798</v>
      </c>
      <c r="HW118" s="449">
        <f>+INPUT!FJ154</f>
        <v>26046</v>
      </c>
      <c r="HX118" s="439">
        <f>+INPUT!FK154</f>
        <v>0</v>
      </c>
      <c r="HY118" s="449">
        <f>+INPUT!FL154</f>
        <v>26046</v>
      </c>
      <c r="HZ118" s="439">
        <f>+INPUT!FM154</f>
        <v>0</v>
      </c>
      <c r="IA118" s="449">
        <f>+INPUT!FN154</f>
        <v>58401</v>
      </c>
      <c r="IB118" s="439" t="str">
        <f>+INPUT!FO154</f>
        <v>NM</v>
      </c>
      <c r="IC118" s="449">
        <f>+INPUT!FP154</f>
        <v>86138</v>
      </c>
      <c r="ID118" s="438">
        <f>+INPUT!FQ154</f>
        <v>47.494049759421927</v>
      </c>
      <c r="IE118" s="449">
        <f>+INPUT!FR154</f>
        <v>92907.5</v>
      </c>
      <c r="IF118" s="438">
        <f>+INPUT!FS154</f>
        <v>7.8589008335461727</v>
      </c>
      <c r="IG118" s="449">
        <f>+INPUT!FT154</f>
        <v>104811</v>
      </c>
      <c r="IH118" s="438">
        <f>+INPUT!FU154</f>
        <v>12.81220568845356</v>
      </c>
      <c r="II118" s="449">
        <f>+INPUT!FV154</f>
        <v>105965</v>
      </c>
      <c r="IJ118" s="438">
        <f>+INPUT!FW154</f>
        <v>1.1010294720974088</v>
      </c>
      <c r="IK118" s="449">
        <f>+INPUT!FX154</f>
        <v>113041.5</v>
      </c>
      <c r="IL118" s="438">
        <f>+INPUT!FY154</f>
        <v>6.678148445241348</v>
      </c>
      <c r="IM118" s="449">
        <f>+INPUT!FZ154</f>
        <v>133829</v>
      </c>
      <c r="IN118" s="438">
        <f>+INPUT!GA154</f>
        <v>18.389264119814413</v>
      </c>
      <c r="IO118" s="449">
        <f>+INPUT!GB154</f>
        <v>140371.5</v>
      </c>
      <c r="IP118" s="438">
        <f>+INPUT!GC154</f>
        <v>4.8887012530916394</v>
      </c>
      <c r="IQ118" s="449">
        <f>+INPUT!GD154</f>
        <v>143917.5</v>
      </c>
      <c r="IR118" s="438">
        <f>+INPUT!GE154</f>
        <v>2.5261538132740498</v>
      </c>
      <c r="IS118" s="449">
        <f>+INPUT!GF154</f>
        <v>160953.5</v>
      </c>
      <c r="IT118" s="438">
        <f>+INPUT!GG154</f>
        <v>11.837337363420005</v>
      </c>
      <c r="IU118" s="449">
        <f>+INPUT!GH154</f>
        <v>178849</v>
      </c>
      <c r="IV118" s="438">
        <f>+INPUT!GI154</f>
        <v>11.118428614475604</v>
      </c>
      <c r="IW118" s="438">
        <f>+INPUT!GJ154</f>
        <v>186578.5</v>
      </c>
      <c r="IX118" s="438">
        <f>+INPUT!GK154</f>
        <v>4.3218021906748163</v>
      </c>
      <c r="IY118" s="449">
        <f>+INPUT!GL154</f>
        <v>195881.5</v>
      </c>
      <c r="IZ118" s="438">
        <f>+INPUT!GM154</f>
        <v>4.9861050442575134</v>
      </c>
      <c r="JA118" s="438">
        <f>+INPUT!GN154</f>
        <v>218709</v>
      </c>
      <c r="JB118" s="438">
        <f>+INPUT!GO154</f>
        <v>11.653729423146132</v>
      </c>
      <c r="JC118" s="438">
        <f>+INPUT!GP154</f>
        <v>238295.5704661092</v>
      </c>
      <c r="JD118" s="438">
        <f>+INPUT!GQ154</f>
        <v>8.9555393084460206</v>
      </c>
      <c r="JE118" s="438">
        <f>+INPUT!GZ154</f>
        <v>5.2423991251788093</v>
      </c>
    </row>
    <row r="119" spans="1:265" s="529" customFormat="1" ht="12.75" hidden="1" customHeight="1" outlineLevel="1" x14ac:dyDescent="0.2">
      <c r="A119" s="446" t="str">
        <f>+INPUT!B72</f>
        <v xml:space="preserve">  Total Revenues</v>
      </c>
      <c r="B119" s="452">
        <f>+INPUT!AA72</f>
        <v>183</v>
      </c>
      <c r="C119" s="439">
        <f>+INPUT!AB72</f>
        <v>0.54945054945054039</v>
      </c>
      <c r="D119" s="452">
        <f>+INPUT!AC72</f>
        <v>283</v>
      </c>
      <c r="E119" s="439">
        <f>+INPUT!AD72</f>
        <v>46.63212435233163</v>
      </c>
      <c r="F119" s="452">
        <f>+INPUT!AE72</f>
        <v>329</v>
      </c>
      <c r="G119" s="439">
        <f>+INPUT!AF72</f>
        <v>78.804347826086968</v>
      </c>
      <c r="H119" s="452">
        <f>+INPUT!AG72</f>
        <v>349</v>
      </c>
      <c r="I119" s="439">
        <f>+INPUT!AH72</f>
        <v>91.758241758241752</v>
      </c>
      <c r="J119" s="452">
        <f>+INPUT!AI72</f>
        <v>378</v>
      </c>
      <c r="K119" s="439" t="str">
        <f>+INPUT!AJ72</f>
        <v>NM</v>
      </c>
      <c r="L119" s="452">
        <f>+INPUT!AK72</f>
        <v>387</v>
      </c>
      <c r="M119" s="439">
        <f>+INPUT!AL72</f>
        <v>36.749116607773857</v>
      </c>
      <c r="N119" s="452">
        <f>+INPUT!AM72</f>
        <v>398</v>
      </c>
      <c r="O119" s="439">
        <f>+INPUT!AN72</f>
        <v>20.972644376899694</v>
      </c>
      <c r="P119" s="452">
        <f>+INPUT!AO72</f>
        <v>415</v>
      </c>
      <c r="Q119" s="439">
        <f>+INPUT!AP72</f>
        <v>18.911174785100286</v>
      </c>
      <c r="R119" s="452">
        <f>+INPUT!AQ72</f>
        <v>424</v>
      </c>
      <c r="S119" s="439">
        <f>+INPUT!AR72</f>
        <v>12.169312169312164</v>
      </c>
      <c r="T119" s="452">
        <f>+INPUT!AS72</f>
        <v>420</v>
      </c>
      <c r="U119" s="439">
        <f>+INPUT!AT72</f>
        <v>8.5271317829457303</v>
      </c>
      <c r="V119" s="452">
        <f>+INPUT!AU72</f>
        <v>441</v>
      </c>
      <c r="W119" s="439">
        <f>+INPUT!AV72</f>
        <v>10.804020100502527</v>
      </c>
      <c r="X119" s="452">
        <f>+INPUT!AW72</f>
        <v>432</v>
      </c>
      <c r="Y119" s="439">
        <f>+INPUT!AX72</f>
        <v>4.0963855421686617</v>
      </c>
      <c r="Z119" s="452">
        <f>+INPUT!AY72</f>
        <v>453</v>
      </c>
      <c r="AA119" s="439">
        <f>+INPUT!AZ72</f>
        <v>6.8396226415094361</v>
      </c>
      <c r="AB119" s="452">
        <f>+INPUT!BA72</f>
        <v>469</v>
      </c>
      <c r="AC119" s="439">
        <f>+INPUT!BB72</f>
        <v>11.666666666666671</v>
      </c>
      <c r="AD119" s="452">
        <f>+INPUT!BC72</f>
        <v>583</v>
      </c>
      <c r="AE119" s="439">
        <f>+INPUT!BD72</f>
        <v>32.199546485260782</v>
      </c>
      <c r="AF119" s="452">
        <f>+INPUT!BE72</f>
        <v>596</v>
      </c>
      <c r="AG119" s="439">
        <f>+INPUT!BF72</f>
        <v>37.962962962962962</v>
      </c>
      <c r="AH119" s="452">
        <f>+INPUT!BG72</f>
        <v>604</v>
      </c>
      <c r="AI119" s="438">
        <f>+INPUT!BH72</f>
        <v>33.333333333333314</v>
      </c>
      <c r="AJ119" s="452">
        <f>+INPUT!BI72</f>
        <v>632</v>
      </c>
      <c r="AK119" s="438">
        <f>+INPUT!BJ72</f>
        <v>34.754797441364616</v>
      </c>
      <c r="AL119" s="452">
        <f>+INPUT!BK72</f>
        <v>633</v>
      </c>
      <c r="AM119" s="438">
        <f>+INPUT!BL72</f>
        <v>8.5763293310463098</v>
      </c>
      <c r="AN119" s="452">
        <f>+INPUT!BM72</f>
        <v>634</v>
      </c>
      <c r="AO119" s="438">
        <f>+INPUT!BN72</f>
        <v>6.3758389261745094</v>
      </c>
      <c r="AP119" s="452">
        <f>+INPUT!BO72</f>
        <v>573</v>
      </c>
      <c r="AQ119" s="438">
        <f>+INPUT!BP72</f>
        <v>-5.1324503311258241</v>
      </c>
      <c r="AR119" s="452">
        <f>+INPUT!BQ72</f>
        <v>622</v>
      </c>
      <c r="AS119" s="438">
        <f>+INPUT!BR72</f>
        <v>-1.5822784810126507</v>
      </c>
      <c r="AT119" s="452">
        <f>+INPUT!BS72</f>
        <v>528</v>
      </c>
      <c r="AU119" s="438">
        <f>+INPUT!BT72</f>
        <v>-16.587677725118482</v>
      </c>
      <c r="AV119" s="452">
        <f>+INPUT!BU72</f>
        <v>276</v>
      </c>
      <c r="AW119" s="438" t="str">
        <f>+INPUT!BV72</f>
        <v>NM</v>
      </c>
      <c r="AX119" s="452">
        <f>+INPUT!BW72</f>
        <v>574</v>
      </c>
      <c r="AY119" s="438">
        <f>+INPUT!BX72</f>
        <v>0.17452006980802537</v>
      </c>
      <c r="AZ119" s="452">
        <f>+INPUT!BY72</f>
        <v>591</v>
      </c>
      <c r="BA119" s="438">
        <f>+INPUT!BZ72</f>
        <v>-4.9839228295819851</v>
      </c>
      <c r="BB119" s="452">
        <f>+INPUT!CA72</f>
        <v>653</v>
      </c>
      <c r="BC119" s="438">
        <f>+INPUT!CB72</f>
        <v>23.674242424242436</v>
      </c>
      <c r="BD119" s="452">
        <f>+INPUT!CC72</f>
        <v>697</v>
      </c>
      <c r="BE119" s="438" t="str">
        <f>+INPUT!CD72</f>
        <v>NM</v>
      </c>
      <c r="BF119" s="452">
        <f>+INPUT!CE72</f>
        <v>759</v>
      </c>
      <c r="BG119" s="438">
        <f>+INPUT!CF72</f>
        <v>32.229965156794407</v>
      </c>
      <c r="BH119" s="452">
        <f>+INPUT!CG72</f>
        <v>768</v>
      </c>
      <c r="BI119" s="438">
        <f>+INPUT!CH72</f>
        <v>29.949238578680195</v>
      </c>
      <c r="BJ119" s="452">
        <f>+INPUT!CI72</f>
        <v>807</v>
      </c>
      <c r="BK119" s="438">
        <f>+INPUT!CJ72</f>
        <v>23.583460949464012</v>
      </c>
      <c r="BL119" s="452">
        <f>+INPUT!CK72</f>
        <v>861</v>
      </c>
      <c r="BM119" s="438">
        <f>+INPUT!CL72</f>
        <v>23.529411764705884</v>
      </c>
      <c r="BN119" s="452">
        <f>+INPUT!CM72</f>
        <v>898</v>
      </c>
      <c r="BO119" s="438">
        <f>+INPUT!CN72</f>
        <v>18.313570487483517</v>
      </c>
      <c r="BP119" s="452">
        <f>+INPUT!CO72</f>
        <v>933</v>
      </c>
      <c r="BQ119" s="438">
        <f>+INPUT!CP72</f>
        <v>21.484375</v>
      </c>
      <c r="BR119" s="452">
        <f>+INPUT!CQ72</f>
        <v>905</v>
      </c>
      <c r="BS119" s="438">
        <f>+INPUT!CR72</f>
        <v>12.143742255266417</v>
      </c>
      <c r="BT119" s="452">
        <f>+INPUT!CS72</f>
        <v>902</v>
      </c>
      <c r="BU119" s="438">
        <f>+INPUT!CT72</f>
        <v>4.7619047619047734</v>
      </c>
      <c r="BV119" s="452">
        <f>+INPUT!CU72</f>
        <v>958</v>
      </c>
      <c r="BW119" s="438">
        <f>+INPUT!CV72</f>
        <v>6.6815144766146943</v>
      </c>
      <c r="BX119" s="452">
        <f>+INPUT!CW72</f>
        <v>968</v>
      </c>
      <c r="BY119" s="438">
        <f>+INPUT!CX72</f>
        <v>3.7513397642015036</v>
      </c>
      <c r="BZ119" s="452">
        <f>+INPUT!CY72</f>
        <v>1018</v>
      </c>
      <c r="CA119" s="438">
        <f>+INPUT!CZ72</f>
        <v>12.48618784530386</v>
      </c>
      <c r="CB119" s="452">
        <f>+INPUT!DA72</f>
        <v>1039</v>
      </c>
      <c r="CC119" s="438">
        <f>+INPUT!DB72</f>
        <v>15.188470066518846</v>
      </c>
      <c r="CD119" s="452">
        <f>+INPUT!DC72</f>
        <v>1068</v>
      </c>
      <c r="CE119" s="438">
        <f>+INPUT!DD72</f>
        <v>11.48225469728601</v>
      </c>
      <c r="CF119" s="452">
        <f>+INPUT!DE72</f>
        <v>1119</v>
      </c>
      <c r="CG119" s="438">
        <f>+INPUT!DF72</f>
        <v>15.599173553718998</v>
      </c>
      <c r="CH119" s="452">
        <f>+INPUT!DG72</f>
        <v>1120</v>
      </c>
      <c r="CI119" s="438">
        <f>+INPUT!DH72</f>
        <v>10.019646365422403</v>
      </c>
      <c r="CJ119" s="452">
        <f>+INPUT!DI72</f>
        <v>1158</v>
      </c>
      <c r="CK119" s="438">
        <f>+INPUT!DJ72</f>
        <v>11.453320500481226</v>
      </c>
      <c r="CL119" s="452">
        <f>+INPUT!DK72</f>
        <v>1157</v>
      </c>
      <c r="CM119" s="438">
        <f>+INPUT!DL72</f>
        <v>8.3333333333333286</v>
      </c>
      <c r="CN119" s="452">
        <f>+INPUT!DM72</f>
        <v>1171</v>
      </c>
      <c r="CO119" s="438">
        <f>+INPUT!DN72</f>
        <v>4.6470062555853389</v>
      </c>
      <c r="CP119" s="452">
        <f>+INPUT!DO72</f>
        <v>1191</v>
      </c>
      <c r="CQ119" s="438">
        <f>+INPUT!DP72</f>
        <v>6.3392857142857224</v>
      </c>
      <c r="CR119" s="452">
        <f>+INPUT!DQ72</f>
        <v>1191</v>
      </c>
      <c r="CS119" s="438">
        <f>+INPUT!DR72</f>
        <v>2.8497409326425043</v>
      </c>
      <c r="CT119" s="452">
        <f>+INPUT!DS72</f>
        <v>1187</v>
      </c>
      <c r="CU119" s="438">
        <f>+INPUT!DT72</f>
        <v>2.5929127052722691</v>
      </c>
      <c r="CV119" s="452">
        <f>+INPUT!DU72</f>
        <v>1200</v>
      </c>
      <c r="CW119" s="438">
        <f>+INPUT!DV72</f>
        <v>2.4765157984628416</v>
      </c>
      <c r="CX119" s="452">
        <f>+INPUT!DW72</f>
        <v>1167</v>
      </c>
      <c r="CY119" s="438">
        <f>+INPUT!DX72</f>
        <v>-2.0151133501259437</v>
      </c>
      <c r="CZ119" s="452">
        <f>+INPUT!DY72</f>
        <v>1141</v>
      </c>
      <c r="DA119" s="438">
        <f>+INPUT!DZ72</f>
        <v>-4.1981528127623733</v>
      </c>
      <c r="DB119" s="452">
        <f>+INPUT!EA72</f>
        <v>1109</v>
      </c>
      <c r="DC119" s="438">
        <f>+INPUT!EB72</f>
        <v>-6.5711878685762457</v>
      </c>
      <c r="DD119" s="452">
        <f>+INPUT!EC72</f>
        <v>1143</v>
      </c>
      <c r="DE119" s="438">
        <f>+INPUT!ED72</f>
        <v>-4.75</v>
      </c>
      <c r="DF119" s="452">
        <f>+INPUT!EE72</f>
        <v>1221</v>
      </c>
      <c r="DG119" s="438">
        <f>+INPUT!EF72</f>
        <v>4.6272493573264768</v>
      </c>
      <c r="DH119" s="452">
        <f>+INPUT!EG72</f>
        <v>1193</v>
      </c>
      <c r="DI119" s="438">
        <f>+INPUT!EH72</f>
        <v>4.5574057843996485</v>
      </c>
      <c r="DJ119" s="452">
        <f>+INPUT!EI72</f>
        <v>1215</v>
      </c>
      <c r="DK119" s="438">
        <f>+INPUT!EJ72</f>
        <v>9.5581605049594174</v>
      </c>
      <c r="DL119" s="452">
        <f>+INPUT!EK72</f>
        <v>1306</v>
      </c>
      <c r="DM119" s="438">
        <f>+INPUT!EL72</f>
        <v>14.260717410323707</v>
      </c>
      <c r="DN119" s="452">
        <f>+INPUT!EM72</f>
        <v>1304</v>
      </c>
      <c r="DO119" s="438">
        <f>+INPUT!EN72</f>
        <v>6.7977067977067946</v>
      </c>
      <c r="DP119" s="452">
        <f>+INPUT!EO72</f>
        <v>1285</v>
      </c>
      <c r="DQ119" s="438">
        <f>+INPUT!EP72</f>
        <v>7.7116512992456023</v>
      </c>
      <c r="DR119" s="452">
        <f>+INPUT!EQ72</f>
        <v>1277.5684669459224</v>
      </c>
      <c r="DS119" s="438">
        <f>+INPUT!ER72</f>
        <v>5.1496680613927879</v>
      </c>
      <c r="DT119" s="452">
        <f>+INPUT!ES72</f>
        <v>1267.5281364875987</v>
      </c>
      <c r="DU119" s="438">
        <f>+INPUT!ET72</f>
        <v>-2.9457782168760644</v>
      </c>
      <c r="DV119" s="452">
        <f>+INPUT!EU72</f>
        <v>1268.4304808173665</v>
      </c>
      <c r="DW119" s="438">
        <f>+INPUT!EV72</f>
        <v>-2.7277238636988841</v>
      </c>
      <c r="DX119" s="452">
        <f>+INPUT!EW72</f>
        <v>1269.568225544745</v>
      </c>
      <c r="DY119" s="438">
        <f>+INPUT!EX72</f>
        <v>-1.2009163000198413</v>
      </c>
      <c r="DZ119" s="452"/>
      <c r="EA119" s="438"/>
      <c r="EB119" s="439">
        <f>+INPUT!FI72</f>
        <v>-12.267250821467684</v>
      </c>
      <c r="EC119" s="452">
        <f>+INPUT!FJ72</f>
        <v>741</v>
      </c>
      <c r="ED119" s="439">
        <f>+INPUT!FK72</f>
        <v>-7.4906367041198507</v>
      </c>
      <c r="EE119" s="452">
        <f>+INPUT!FL72</f>
        <v>1144</v>
      </c>
      <c r="EF119" s="439">
        <f>+INPUT!FM72</f>
        <v>54.385964912280684</v>
      </c>
      <c r="EG119" s="452">
        <f>+INPUT!FN72</f>
        <v>1578</v>
      </c>
      <c r="EH119" s="439">
        <f>+INPUT!FO72</f>
        <v>37.937062937062933</v>
      </c>
      <c r="EI119" s="452">
        <f>+INPUT!FP72</f>
        <v>1717</v>
      </c>
      <c r="EJ119" s="438">
        <f>+INPUT!FQ72</f>
        <v>8.8086185044359979</v>
      </c>
      <c r="EK119" s="452">
        <f>+INPUT!FR72</f>
        <v>2101</v>
      </c>
      <c r="EL119" s="438">
        <f>+INPUT!FS72</f>
        <v>22.364589400116472</v>
      </c>
      <c r="EM119" s="452">
        <f>+INPUT!FT72</f>
        <v>2503</v>
      </c>
      <c r="EN119" s="438">
        <f>+INPUT!FU72</f>
        <v>19.133745835316503</v>
      </c>
      <c r="EO119" s="452">
        <f>+INPUT!FV72</f>
        <v>2437</v>
      </c>
      <c r="EP119" s="438">
        <f>+INPUT!FW72</f>
        <v>-2.6368357970435454</v>
      </c>
      <c r="EQ119" s="452">
        <f>+INPUT!FX72</f>
        <v>2515</v>
      </c>
      <c r="ER119" s="438">
        <f>+INPUT!FY72</f>
        <v>3.2006565449322864</v>
      </c>
      <c r="ES119" s="452">
        <f>+INPUT!FZ72</f>
        <v>3195</v>
      </c>
      <c r="ET119" s="438">
        <f>+INPUT!GA72</f>
        <v>27.037773359840941</v>
      </c>
      <c r="EU119" s="452">
        <f>+INPUT!GB72</f>
        <v>3638</v>
      </c>
      <c r="EV119" s="438">
        <f>+INPUT!GC72</f>
        <v>13.865414710485126</v>
      </c>
      <c r="EW119" s="452">
        <f>+INPUT!GD72</f>
        <v>3983</v>
      </c>
      <c r="EX119" s="438">
        <f>+INPUT!GE72</f>
        <v>9.4832325453545963</v>
      </c>
      <c r="EY119" s="452">
        <f>+INPUT!GF72</f>
        <v>4465</v>
      </c>
      <c r="EZ119" s="438">
        <f>+INPUT!GG72</f>
        <v>12.101431082098912</v>
      </c>
      <c r="FA119" s="452">
        <f>+INPUT!GH72</f>
        <v>4710</v>
      </c>
      <c r="FB119" s="438">
        <f>+INPUT!GI72</f>
        <v>5.4871220604703268</v>
      </c>
      <c r="FC119" s="452">
        <f>+INPUT!GJ72</f>
        <v>4695</v>
      </c>
      <c r="FD119" s="438">
        <f>+INPUT!GK72</f>
        <v>-0.31847133757962354</v>
      </c>
      <c r="FE119" s="452">
        <f>+INPUT!GL72</f>
        <v>4666</v>
      </c>
      <c r="FF119" s="438">
        <f>+INPUT!GM72</f>
        <v>-0.61767838125665264</v>
      </c>
      <c r="FG119" s="452">
        <f>+INPUT!GN72</f>
        <v>5110</v>
      </c>
      <c r="FH119" s="438">
        <f>+INPUT!GO72</f>
        <v>9.5156450921560349</v>
      </c>
      <c r="FI119" s="452">
        <f>+INPUT!GP72</f>
        <v>5083.0953097956326</v>
      </c>
      <c r="FJ119" s="438">
        <f>+INPUT!GQ72</f>
        <v>-0.52651057151403791</v>
      </c>
      <c r="FK119" s="452">
        <f>+INPUT!GR72</f>
        <v>5068.9696618344469</v>
      </c>
      <c r="FL119" s="438">
        <f>+INPUT!GS72</f>
        <v>-0.27789461145778205</v>
      </c>
      <c r="FM119" s="452">
        <f>+INPUT!GT72</f>
        <v>5070.5351760128078</v>
      </c>
      <c r="FN119" s="438">
        <f>+INPUT!GU72</f>
        <v>3.088426806236555E-2</v>
      </c>
      <c r="FO119" s="452">
        <f>+INPUT!GV72</f>
        <v>5083.7062169996752</v>
      </c>
      <c r="FP119" s="438">
        <f>+INPUT!GW72</f>
        <v>0.25975642668205978</v>
      </c>
      <c r="FQ119" s="452">
        <f>+INPUT!GX72</f>
        <v>5109.2482278215703</v>
      </c>
      <c r="FR119" s="438">
        <f>+INPUT!GY72</f>
        <v>0.50242893140605815</v>
      </c>
      <c r="FS119" s="438">
        <f>+INPUT!GZ72</f>
        <v>-2.942530027305601E-3</v>
      </c>
    </row>
    <row r="120" spans="1:265" s="529" customFormat="1" ht="12.75" hidden="1" customHeight="1" outlineLevel="1" x14ac:dyDescent="0.2">
      <c r="A120" s="441"/>
      <c r="B120" s="449"/>
      <c r="C120" s="439"/>
      <c r="D120" s="449"/>
      <c r="E120" s="439"/>
      <c r="F120" s="449"/>
      <c r="G120" s="439"/>
      <c r="H120" s="449"/>
      <c r="I120" s="439"/>
      <c r="J120" s="449"/>
      <c r="K120" s="439"/>
      <c r="L120" s="449"/>
      <c r="M120" s="439"/>
      <c r="N120" s="449"/>
      <c r="O120" s="439"/>
      <c r="P120" s="449"/>
      <c r="Q120" s="439"/>
      <c r="R120" s="449"/>
      <c r="S120" s="439"/>
      <c r="T120" s="449"/>
      <c r="U120" s="439"/>
      <c r="V120" s="449"/>
      <c r="W120" s="439"/>
      <c r="X120" s="449"/>
      <c r="Y120" s="439"/>
      <c r="Z120" s="449"/>
      <c r="AA120" s="439"/>
      <c r="AB120" s="449"/>
      <c r="AC120" s="439"/>
      <c r="AD120" s="449"/>
      <c r="AE120" s="439"/>
      <c r="AF120" s="449"/>
      <c r="AG120" s="439"/>
      <c r="AH120" s="449"/>
      <c r="AI120" s="438"/>
      <c r="AJ120" s="449"/>
      <c r="AK120" s="438"/>
      <c r="AL120" s="449"/>
      <c r="AM120" s="438"/>
      <c r="AN120" s="449"/>
      <c r="AO120" s="438"/>
      <c r="AP120" s="449"/>
      <c r="AQ120" s="438"/>
      <c r="AR120" s="449"/>
      <c r="AS120" s="438"/>
      <c r="AT120" s="449"/>
      <c r="AU120" s="438"/>
      <c r="AV120" s="449"/>
      <c r="AW120" s="438"/>
      <c r="AX120" s="449"/>
      <c r="AY120" s="438"/>
      <c r="AZ120" s="449"/>
      <c r="BA120" s="438"/>
      <c r="BB120" s="449"/>
      <c r="BC120" s="438"/>
      <c r="BD120" s="449"/>
      <c r="BE120" s="438"/>
      <c r="BF120" s="449"/>
      <c r="BG120" s="438"/>
      <c r="BH120" s="449"/>
      <c r="BI120" s="438"/>
      <c r="BJ120" s="449"/>
      <c r="BK120" s="438"/>
      <c r="BL120" s="449"/>
      <c r="BM120" s="438"/>
      <c r="BN120" s="449"/>
      <c r="BO120" s="438"/>
      <c r="BP120" s="449"/>
      <c r="BQ120" s="438"/>
      <c r="BR120" s="449"/>
      <c r="BS120" s="438"/>
      <c r="BT120" s="449"/>
      <c r="BU120" s="438"/>
      <c r="BV120" s="449"/>
      <c r="BW120" s="438"/>
      <c r="BX120" s="449"/>
      <c r="BY120" s="438"/>
      <c r="BZ120" s="449"/>
      <c r="CA120" s="438"/>
      <c r="CB120" s="449"/>
      <c r="CC120" s="438"/>
      <c r="CD120" s="449"/>
      <c r="CE120" s="438"/>
      <c r="CF120" s="449"/>
      <c r="CG120" s="438"/>
      <c r="CH120" s="449"/>
      <c r="CI120" s="438"/>
      <c r="CJ120" s="449"/>
      <c r="CK120" s="438"/>
      <c r="CL120" s="449"/>
      <c r="CM120" s="438"/>
      <c r="CN120" s="449"/>
      <c r="CO120" s="438"/>
      <c r="CP120" s="449"/>
      <c r="CQ120" s="438"/>
      <c r="CR120" s="449"/>
      <c r="CS120" s="438"/>
      <c r="CT120" s="449"/>
      <c r="CU120" s="438"/>
      <c r="CV120" s="449"/>
      <c r="CW120" s="438"/>
      <c r="CX120" s="449"/>
      <c r="CY120" s="438"/>
      <c r="CZ120" s="449"/>
      <c r="DA120" s="438"/>
      <c r="DB120" s="449"/>
      <c r="DC120" s="438"/>
      <c r="DD120" s="449"/>
      <c r="DE120" s="438"/>
      <c r="DF120" s="449"/>
      <c r="DG120" s="438"/>
      <c r="DH120" s="449"/>
      <c r="DI120" s="438"/>
      <c r="DJ120" s="449"/>
      <c r="DK120" s="438"/>
      <c r="DL120" s="449"/>
      <c r="DM120" s="438"/>
      <c r="DN120" s="449"/>
      <c r="DO120" s="438"/>
      <c r="DP120" s="449"/>
      <c r="DQ120" s="438"/>
      <c r="DR120" s="449"/>
      <c r="DS120" s="438"/>
      <c r="DT120" s="449"/>
      <c r="DU120" s="438"/>
      <c r="DV120" s="449"/>
      <c r="DW120" s="438"/>
      <c r="DX120" s="449"/>
      <c r="DY120" s="438"/>
      <c r="DZ120" s="449"/>
      <c r="EA120" s="438"/>
      <c r="EB120" s="439"/>
      <c r="EC120" s="449"/>
      <c r="ED120" s="439"/>
      <c r="EE120" s="449"/>
      <c r="EF120" s="439"/>
      <c r="EG120" s="449"/>
      <c r="EH120" s="439"/>
      <c r="EI120" s="449"/>
      <c r="EJ120" s="438"/>
      <c r="EK120" s="449"/>
      <c r="EL120" s="438"/>
      <c r="EM120" s="449"/>
      <c r="EN120" s="438"/>
      <c r="EO120" s="449"/>
      <c r="EP120" s="438"/>
      <c r="EQ120" s="449"/>
      <c r="ER120" s="438"/>
      <c r="ES120" s="449"/>
      <c r="ET120" s="438"/>
      <c r="EU120" s="449"/>
      <c r="EV120" s="438"/>
      <c r="EW120" s="449"/>
      <c r="EX120" s="438"/>
      <c r="EY120" s="449"/>
      <c r="EZ120" s="438"/>
      <c r="FA120" s="449"/>
      <c r="FB120" s="438"/>
      <c r="FC120" s="449"/>
      <c r="FD120" s="438"/>
      <c r="FE120" s="449"/>
      <c r="FF120" s="438"/>
      <c r="FG120" s="449"/>
      <c r="FH120" s="438"/>
      <c r="FI120" s="449"/>
      <c r="FJ120" s="438"/>
      <c r="FK120" s="449"/>
      <c r="FL120" s="438"/>
      <c r="FM120" s="449"/>
      <c r="FN120" s="438"/>
      <c r="FO120" s="449"/>
      <c r="FP120" s="438"/>
      <c r="FQ120" s="449"/>
      <c r="FR120" s="438"/>
      <c r="FS120" s="438"/>
    </row>
    <row r="121" spans="1:265" s="529" customFormat="1" ht="12.75" hidden="1" customHeight="1" outlineLevel="1" x14ac:dyDescent="0.2">
      <c r="A121" s="446" t="s">
        <v>129</v>
      </c>
      <c r="B121" s="449"/>
      <c r="C121" s="439"/>
      <c r="D121" s="449"/>
      <c r="E121" s="439"/>
      <c r="F121" s="449"/>
      <c r="G121" s="439"/>
      <c r="H121" s="449"/>
      <c r="I121" s="439"/>
      <c r="J121" s="449"/>
      <c r="K121" s="439"/>
      <c r="L121" s="449"/>
      <c r="M121" s="439"/>
      <c r="N121" s="449"/>
      <c r="O121" s="439"/>
      <c r="P121" s="449"/>
      <c r="Q121" s="439"/>
      <c r="R121" s="449"/>
      <c r="S121" s="439"/>
      <c r="T121" s="449"/>
      <c r="U121" s="439"/>
      <c r="V121" s="449"/>
      <c r="W121" s="439"/>
      <c r="X121" s="449"/>
      <c r="Y121" s="439"/>
      <c r="Z121" s="449"/>
      <c r="AA121" s="439"/>
      <c r="AB121" s="449"/>
      <c r="AC121" s="439"/>
      <c r="AD121" s="449"/>
      <c r="AE121" s="439"/>
      <c r="AF121" s="449"/>
      <c r="AG121" s="439"/>
      <c r="AH121" s="449"/>
      <c r="AI121" s="438"/>
      <c r="AJ121" s="449"/>
      <c r="AK121" s="438"/>
      <c r="AL121" s="449"/>
      <c r="AM121" s="438"/>
      <c r="AN121" s="449"/>
      <c r="AO121" s="438"/>
      <c r="AP121" s="449"/>
      <c r="AQ121" s="438"/>
      <c r="AR121" s="449"/>
      <c r="AS121" s="438"/>
      <c r="AT121" s="449"/>
      <c r="AU121" s="438"/>
      <c r="AV121" s="449"/>
      <c r="AW121" s="438"/>
      <c r="AX121" s="449"/>
      <c r="AY121" s="438"/>
      <c r="AZ121" s="449"/>
      <c r="BA121" s="438"/>
      <c r="BB121" s="449"/>
      <c r="BC121" s="438"/>
      <c r="BD121" s="449"/>
      <c r="BE121" s="438"/>
      <c r="BF121" s="449"/>
      <c r="BG121" s="438"/>
      <c r="BH121" s="449"/>
      <c r="BI121" s="438"/>
      <c r="BJ121" s="449"/>
      <c r="BK121" s="438"/>
      <c r="BL121" s="449"/>
      <c r="BM121" s="438"/>
      <c r="BN121" s="449"/>
      <c r="BO121" s="438"/>
      <c r="BP121" s="449"/>
      <c r="BQ121" s="438"/>
      <c r="BR121" s="449"/>
      <c r="BS121" s="438"/>
      <c r="BT121" s="449"/>
      <c r="BU121" s="438"/>
      <c r="BV121" s="449"/>
      <c r="BW121" s="438"/>
      <c r="BX121" s="449"/>
      <c r="BY121" s="438"/>
      <c r="BZ121" s="449"/>
      <c r="CA121" s="438"/>
      <c r="CB121" s="449"/>
      <c r="CC121" s="438"/>
      <c r="CD121" s="449"/>
      <c r="CE121" s="438"/>
      <c r="CF121" s="449"/>
      <c r="CG121" s="438"/>
      <c r="CH121" s="449"/>
      <c r="CI121" s="438"/>
      <c r="CJ121" s="449"/>
      <c r="CK121" s="438"/>
      <c r="CL121" s="449"/>
      <c r="CM121" s="438"/>
      <c r="CN121" s="449"/>
      <c r="CO121" s="438"/>
      <c r="CP121" s="449"/>
      <c r="CQ121" s="438"/>
      <c r="CR121" s="449"/>
      <c r="CS121" s="438"/>
      <c r="CT121" s="449"/>
      <c r="CU121" s="438"/>
      <c r="CV121" s="449"/>
      <c r="CW121" s="438"/>
      <c r="CX121" s="449"/>
      <c r="CY121" s="438"/>
      <c r="CZ121" s="449"/>
      <c r="DA121" s="438"/>
      <c r="DB121" s="449"/>
      <c r="DC121" s="438"/>
      <c r="DD121" s="449"/>
      <c r="DE121" s="438"/>
      <c r="DF121" s="449"/>
      <c r="DG121" s="438"/>
      <c r="DH121" s="449"/>
      <c r="DI121" s="438"/>
      <c r="DJ121" s="449"/>
      <c r="DK121" s="438"/>
      <c r="DL121" s="449"/>
      <c r="DM121" s="438"/>
      <c r="DN121" s="449"/>
      <c r="DO121" s="438"/>
      <c r="DP121" s="449"/>
      <c r="DQ121" s="438"/>
      <c r="DR121" s="449"/>
      <c r="DS121" s="438"/>
      <c r="DT121" s="449"/>
      <c r="DU121" s="438"/>
      <c r="DV121" s="449"/>
      <c r="DW121" s="438"/>
      <c r="DX121" s="449"/>
      <c r="DY121" s="438"/>
      <c r="DZ121" s="449"/>
      <c r="EA121" s="438"/>
      <c r="EB121" s="439"/>
      <c r="EC121" s="449"/>
      <c r="ED121" s="439"/>
      <c r="EE121" s="449"/>
      <c r="EF121" s="439"/>
      <c r="EG121" s="449"/>
      <c r="EH121" s="439"/>
      <c r="EI121" s="449"/>
      <c r="EJ121" s="438"/>
      <c r="EK121" s="449"/>
      <c r="EL121" s="438"/>
      <c r="EM121" s="449"/>
      <c r="EN121" s="438"/>
      <c r="EO121" s="449"/>
      <c r="EP121" s="438"/>
      <c r="EQ121" s="449"/>
      <c r="ER121" s="438"/>
      <c r="ES121" s="449"/>
      <c r="ET121" s="438"/>
      <c r="EU121" s="449"/>
      <c r="EV121" s="438"/>
      <c r="EW121" s="449"/>
      <c r="EX121" s="438"/>
      <c r="EY121" s="449"/>
      <c r="EZ121" s="438"/>
      <c r="FA121" s="449"/>
      <c r="FB121" s="438"/>
      <c r="FC121" s="449"/>
      <c r="FD121" s="438"/>
      <c r="FE121" s="449"/>
      <c r="FF121" s="438"/>
      <c r="FG121" s="449"/>
      <c r="FH121" s="438"/>
      <c r="FI121" s="449"/>
      <c r="FJ121" s="438"/>
      <c r="FK121" s="449"/>
      <c r="FL121" s="438"/>
      <c r="FM121" s="449"/>
      <c r="FN121" s="438"/>
      <c r="FO121" s="449"/>
      <c r="FP121" s="438"/>
      <c r="FQ121" s="449"/>
      <c r="FR121" s="438"/>
      <c r="FS121" s="438"/>
    </row>
    <row r="122" spans="1:265" s="529" customFormat="1" ht="12.75" hidden="1" customHeight="1" outlineLevel="1" x14ac:dyDescent="0.2">
      <c r="A122" s="441" t="str">
        <f>+INPUT!B80</f>
        <v>Benefits</v>
      </c>
      <c r="B122" s="449">
        <f>+INPUT!AA80</f>
        <v>43</v>
      </c>
      <c r="C122" s="439">
        <f>+INPUT!AB80</f>
        <v>53.571428571428584</v>
      </c>
      <c r="D122" s="449">
        <f>+INPUT!AC80</f>
        <v>41</v>
      </c>
      <c r="E122" s="439">
        <f>+INPUT!AD80</f>
        <v>10.810810810810807</v>
      </c>
      <c r="F122" s="449">
        <f>+INPUT!AE80</f>
        <v>50</v>
      </c>
      <c r="G122" s="439">
        <f>+INPUT!AF80</f>
        <v>35.13513513513513</v>
      </c>
      <c r="H122" s="449">
        <f>+INPUT!AG80</f>
        <v>77</v>
      </c>
      <c r="I122" s="439" t="str">
        <f>+INPUT!AH80</f>
        <v>NM</v>
      </c>
      <c r="J122" s="449">
        <f>+INPUT!AI80</f>
        <v>43</v>
      </c>
      <c r="K122" s="439">
        <f>+INPUT!AJ80</f>
        <v>0</v>
      </c>
      <c r="L122" s="449">
        <f>+INPUT!AK80</f>
        <v>50</v>
      </c>
      <c r="M122" s="439">
        <f>+INPUT!AL80</f>
        <v>21.951219512195124</v>
      </c>
      <c r="N122" s="449">
        <f>+INPUT!AM80</f>
        <v>55</v>
      </c>
      <c r="O122" s="439">
        <f>+INPUT!AN80</f>
        <v>10.000000000000014</v>
      </c>
      <c r="P122" s="449">
        <f>+INPUT!AO80</f>
        <v>53</v>
      </c>
      <c r="Q122" s="439">
        <f>+INPUT!AP80</f>
        <v>-31.168831168831161</v>
      </c>
      <c r="R122" s="449">
        <f>+INPUT!AQ80</f>
        <v>62</v>
      </c>
      <c r="S122" s="439">
        <f>+INPUT!AR80</f>
        <v>44.186046511627893</v>
      </c>
      <c r="T122" s="449">
        <f>+INPUT!AS80</f>
        <v>51</v>
      </c>
      <c r="U122" s="439">
        <f>+INPUT!AT80</f>
        <v>2</v>
      </c>
      <c r="V122" s="449">
        <f>+INPUT!AU80</f>
        <v>16</v>
      </c>
      <c r="W122" s="439" t="str">
        <f>+INPUT!AV80</f>
        <v>NM</v>
      </c>
      <c r="X122" s="449">
        <f>+INPUT!AW80</f>
        <v>39</v>
      </c>
      <c r="Y122" s="439">
        <f>+INPUT!AX80</f>
        <v>-26.415094339622641</v>
      </c>
      <c r="Z122" s="449">
        <f>+INPUT!AY80</f>
        <v>49</v>
      </c>
      <c r="AA122" s="439">
        <f>+INPUT!AZ80</f>
        <v>-20.967741935483872</v>
      </c>
      <c r="AB122" s="449">
        <f>+INPUT!BA80</f>
        <v>51</v>
      </c>
      <c r="AC122" s="439">
        <f>+INPUT!BB80</f>
        <v>0</v>
      </c>
      <c r="AD122" s="449">
        <f>+INPUT!BC80</f>
        <v>66</v>
      </c>
      <c r="AE122" s="439" t="str">
        <f>+INPUT!BD80</f>
        <v>NM</v>
      </c>
      <c r="AF122" s="449">
        <f>+INPUT!BE80</f>
        <v>67</v>
      </c>
      <c r="AG122" s="439">
        <f>+INPUT!BF80</f>
        <v>71.794871794871796</v>
      </c>
      <c r="AH122" s="449">
        <f>+INPUT!BG80</f>
        <v>59</v>
      </c>
      <c r="AI122" s="438">
        <f>+INPUT!BH80</f>
        <v>20.408163265306129</v>
      </c>
      <c r="AJ122" s="449">
        <f>+INPUT!BI80</f>
        <v>59</v>
      </c>
      <c r="AK122" s="438">
        <f>+INPUT!BJ80</f>
        <v>15.686274509803937</v>
      </c>
      <c r="AL122" s="449">
        <f>+INPUT!BK80</f>
        <v>31</v>
      </c>
      <c r="AM122" s="438" t="str">
        <f>+INPUT!BL80</f>
        <v>NM</v>
      </c>
      <c r="AN122" s="449">
        <f>+INPUT!BM80</f>
        <v>62</v>
      </c>
      <c r="AO122" s="438">
        <f>+INPUT!BN80</f>
        <v>-7.4626865671641838</v>
      </c>
      <c r="AP122" s="449">
        <f>+INPUT!BO80</f>
        <v>71</v>
      </c>
      <c r="AQ122" s="438">
        <f>+INPUT!BP80</f>
        <v>20.338983050847446</v>
      </c>
      <c r="AR122" s="449">
        <f>+INPUT!BQ80</f>
        <v>58</v>
      </c>
      <c r="AS122" s="438">
        <f>+INPUT!BR80</f>
        <v>-1.6949152542372872</v>
      </c>
      <c r="AT122" s="449">
        <f>+INPUT!BS80</f>
        <v>344</v>
      </c>
      <c r="AU122" s="438" t="str">
        <f>+INPUT!BT80</f>
        <v>NM</v>
      </c>
      <c r="AV122" s="449">
        <f>+INPUT!BU80</f>
        <v>474</v>
      </c>
      <c r="AW122" s="438" t="str">
        <f>+INPUT!BV80</f>
        <v>NM</v>
      </c>
      <c r="AX122" s="449">
        <f>+INPUT!BW80</f>
        <v>304</v>
      </c>
      <c r="AY122" s="438" t="str">
        <f>+INPUT!BX80</f>
        <v>NM</v>
      </c>
      <c r="AZ122" s="449">
        <f>+INPUT!BY80</f>
        <v>-179</v>
      </c>
      <c r="BA122" s="438" t="str">
        <f>+INPUT!BZ80</f>
        <v>NM</v>
      </c>
      <c r="BB122" s="449">
        <f>+INPUT!CA80</f>
        <v>-85</v>
      </c>
      <c r="BC122" s="438" t="str">
        <f>+INPUT!CB80</f>
        <v>NM</v>
      </c>
      <c r="BD122" s="449">
        <f>+INPUT!CC80</f>
        <v>49</v>
      </c>
      <c r="BE122" s="438" t="str">
        <f>+INPUT!CD80</f>
        <v>NM</v>
      </c>
      <c r="BF122" s="449">
        <f>+INPUT!CE80</f>
        <v>39</v>
      </c>
      <c r="BG122" s="438" t="str">
        <f>+INPUT!CF80</f>
        <v>NM</v>
      </c>
      <c r="BH122" s="449">
        <f>+INPUT!CG80</f>
        <v>298</v>
      </c>
      <c r="BI122" s="438" t="str">
        <f>+INPUT!CH80</f>
        <v>NM</v>
      </c>
      <c r="BJ122" s="449">
        <f>+INPUT!CI80</f>
        <v>-49</v>
      </c>
      <c r="BK122" s="438">
        <f>+INPUT!CJ80</f>
        <v>-42.352941176470594</v>
      </c>
      <c r="BL122" s="449">
        <f>+INPUT!CK80</f>
        <v>3</v>
      </c>
      <c r="BM122" s="438" t="str">
        <f>+INPUT!CL80</f>
        <v>NM</v>
      </c>
      <c r="BN122" s="449">
        <f>+INPUT!CM80</f>
        <v>60</v>
      </c>
      <c r="BO122" s="438">
        <f>+INPUT!CN80</f>
        <v>53.846153846153868</v>
      </c>
      <c r="BP122" s="449">
        <f>+INPUT!CO80</f>
        <v>110</v>
      </c>
      <c r="BQ122" s="438" t="str">
        <f>+INPUT!CP80</f>
        <v>NM</v>
      </c>
      <c r="BR122" s="449">
        <f>+INPUT!CQ80</f>
        <v>331</v>
      </c>
      <c r="BS122" s="438" t="str">
        <f>+INPUT!CR80</f>
        <v>NM</v>
      </c>
      <c r="BT122" s="449">
        <f>+INPUT!CS80</f>
        <v>-25</v>
      </c>
      <c r="BU122" s="438" t="str">
        <f>+INPUT!CT80</f>
        <v>NM</v>
      </c>
      <c r="BV122" s="449">
        <f>+INPUT!CU80</f>
        <v>-45</v>
      </c>
      <c r="BW122" s="438" t="str">
        <f>+INPUT!CV80</f>
        <v>NM</v>
      </c>
      <c r="BX122" s="449">
        <f>+INPUT!CW80</f>
        <v>178</v>
      </c>
      <c r="BY122" s="438">
        <f>+INPUT!CX80</f>
        <v>61.818181818181813</v>
      </c>
      <c r="BZ122" s="449">
        <f>+INPUT!CY80</f>
        <v>385</v>
      </c>
      <c r="CA122" s="438">
        <f>+INPUT!CZ80</f>
        <v>16.314199395770387</v>
      </c>
      <c r="CB122" s="449">
        <f>+INPUT!DA80</f>
        <v>55</v>
      </c>
      <c r="CC122" s="438" t="str">
        <f>+INPUT!DB80</f>
        <v>NM</v>
      </c>
      <c r="CD122" s="449">
        <f>+INPUT!DC80</f>
        <v>42</v>
      </c>
      <c r="CE122" s="438" t="str">
        <f>+INPUT!DD80</f>
        <v>NM</v>
      </c>
      <c r="CF122" s="449">
        <f>+INPUT!DE80</f>
        <v>73</v>
      </c>
      <c r="CG122" s="438" t="str">
        <f>+INPUT!DF80</f>
        <v>NM</v>
      </c>
      <c r="CH122" s="449">
        <f>+INPUT!DG80</f>
        <v>-68</v>
      </c>
      <c r="CI122" s="438" t="str">
        <f>+INPUT!DH80</f>
        <v>NM</v>
      </c>
      <c r="CJ122" s="449">
        <f>+INPUT!DI80</f>
        <v>30</v>
      </c>
      <c r="CK122" s="438">
        <f>+INPUT!DJ80</f>
        <v>-45.45454545454546</v>
      </c>
      <c r="CL122" s="449">
        <f>+INPUT!DK80</f>
        <v>115</v>
      </c>
      <c r="CM122" s="438" t="str">
        <f>+INPUT!DL80</f>
        <v>NM</v>
      </c>
      <c r="CN122" s="449">
        <f>+INPUT!DM80</f>
        <v>99</v>
      </c>
      <c r="CO122" s="438">
        <f>+INPUT!DN80</f>
        <v>35.616438356164394</v>
      </c>
      <c r="CP122" s="449">
        <f>+INPUT!DO80</f>
        <v>123</v>
      </c>
      <c r="CQ122" s="438" t="str">
        <f>+INPUT!DP80</f>
        <v>NM</v>
      </c>
      <c r="CR122" s="449">
        <f>+INPUT!DQ80</f>
        <v>144</v>
      </c>
      <c r="CS122" s="438" t="str">
        <f>+INPUT!DR80</f>
        <v>NM</v>
      </c>
      <c r="CT122" s="449">
        <f>+INPUT!DS80</f>
        <v>48</v>
      </c>
      <c r="CU122" s="438" t="str">
        <f>+INPUT!DT80</f>
        <v>NM</v>
      </c>
      <c r="CV122" s="449">
        <f>+INPUT!DU80</f>
        <v>33</v>
      </c>
      <c r="CW122" s="438" t="str">
        <f>+INPUT!DV80</f>
        <v>NM</v>
      </c>
      <c r="CX122" s="449">
        <f>+INPUT!DW80</f>
        <v>154</v>
      </c>
      <c r="CY122" s="438">
        <f>+INPUT!DX80</f>
        <v>25.203252032520311</v>
      </c>
      <c r="CZ122" s="449">
        <f>+INPUT!DY80</f>
        <v>79</v>
      </c>
      <c r="DA122" s="438">
        <f>+INPUT!DZ80</f>
        <v>-45.138888888888886</v>
      </c>
      <c r="DB122" s="449">
        <f>+INPUT!EA80</f>
        <v>111</v>
      </c>
      <c r="DC122" s="438" t="str">
        <f>+INPUT!EB80</f>
        <v>NM</v>
      </c>
      <c r="DD122" s="449">
        <f>+INPUT!EC80</f>
        <v>57</v>
      </c>
      <c r="DE122" s="438">
        <f>+INPUT!ED80</f>
        <v>72.72727272727272</v>
      </c>
      <c r="DF122" s="449">
        <f>+INPUT!EE80</f>
        <v>38</v>
      </c>
      <c r="DG122" s="438" t="str">
        <f>+INPUT!EF80</f>
        <v>NM</v>
      </c>
      <c r="DH122" s="449">
        <f>+INPUT!EG80</f>
        <v>100</v>
      </c>
      <c r="DI122" s="438">
        <f>+INPUT!EH80</f>
        <v>26.582278481012665</v>
      </c>
      <c r="DJ122" s="449">
        <f>+INPUT!EI80</f>
        <v>88</v>
      </c>
      <c r="DK122" s="438">
        <f>+INPUT!EJ80</f>
        <v>-20.72072072072072</v>
      </c>
      <c r="DL122" s="449">
        <f>+INPUT!EK80</f>
        <v>71</v>
      </c>
      <c r="DM122" s="438">
        <f>+INPUT!EL80</f>
        <v>24.561403508771946</v>
      </c>
      <c r="DN122" s="449">
        <f>+INPUT!EM80</f>
        <v>87</v>
      </c>
      <c r="DO122" s="438" t="str">
        <f>+INPUT!EN80</f>
        <v>NM</v>
      </c>
      <c r="DP122" s="449">
        <f>+INPUT!EO80</f>
        <v>72</v>
      </c>
      <c r="DQ122" s="438">
        <f>+INPUT!EP80</f>
        <v>-28</v>
      </c>
      <c r="DR122" s="449">
        <f>+INPUT!EQ80</f>
        <v>86.809092120381848</v>
      </c>
      <c r="DS122" s="438">
        <f>+INPUT!ER80</f>
        <v>-1.3533044086569816</v>
      </c>
      <c r="DT122" s="449">
        <f>+INPUT!ES80</f>
        <v>85.517984940177826</v>
      </c>
      <c r="DU122" s="438">
        <f>+INPUT!ET80</f>
        <v>20.447866112926505</v>
      </c>
      <c r="DV122" s="449">
        <f>+INPUT!EU80</f>
        <v>85.240327378758025</v>
      </c>
      <c r="DW122" s="438">
        <f>+INPUT!EV80</f>
        <v>-2.0226122083241194</v>
      </c>
      <c r="DX122" s="449">
        <f>+INPUT!EW80</f>
        <v>84.981308985369935</v>
      </c>
      <c r="DY122" s="438">
        <f>+INPUT!EX80</f>
        <v>18.029595813013799</v>
      </c>
      <c r="DZ122" s="449"/>
      <c r="EA122" s="438"/>
      <c r="EB122" s="439">
        <f>+INPUT!FI80</f>
        <v>-28.104575163398692</v>
      </c>
      <c r="EC122" s="449">
        <f>+INPUT!FJ80</f>
        <v>139</v>
      </c>
      <c r="ED122" s="439">
        <f>+INPUT!FK80</f>
        <v>26.363636363636374</v>
      </c>
      <c r="EE122" s="449">
        <f>+INPUT!FL80</f>
        <v>211</v>
      </c>
      <c r="EF122" s="439">
        <f>+INPUT!FM80</f>
        <v>51.798561151079156</v>
      </c>
      <c r="EG122" s="449">
        <f>+INPUT!FN80</f>
        <v>201</v>
      </c>
      <c r="EH122" s="439">
        <f>+INPUT!FO80</f>
        <v>-4.7393364928909989</v>
      </c>
      <c r="EI122" s="449">
        <f>+INPUT!FP80</f>
        <v>168</v>
      </c>
      <c r="EJ122" s="438">
        <f>+INPUT!FQ80</f>
        <v>-16.417910447761201</v>
      </c>
      <c r="EK122" s="449">
        <f>+INPUT!FR80</f>
        <v>233</v>
      </c>
      <c r="EL122" s="438">
        <f>+INPUT!FS80</f>
        <v>38.690476190476176</v>
      </c>
      <c r="EM122" s="449">
        <f>+INPUT!FT80</f>
        <v>211</v>
      </c>
      <c r="EN122" s="438">
        <f>+INPUT!FU80</f>
        <v>-9.4420600858369141</v>
      </c>
      <c r="EO122" s="449">
        <f>+INPUT!FV80</f>
        <v>947</v>
      </c>
      <c r="EP122" s="438" t="str">
        <f>+INPUT!FW80</f>
        <v>NM</v>
      </c>
      <c r="EQ122" s="449">
        <f>+INPUT!FX80</f>
        <v>89</v>
      </c>
      <c r="ER122" s="438" t="str">
        <f>+INPUT!FY80</f>
        <v>NM</v>
      </c>
      <c r="ES122" s="449">
        <f>+INPUT!FZ80</f>
        <v>291</v>
      </c>
      <c r="ET122" s="438" t="str">
        <f>+INPUT!GA80</f>
        <v>NM</v>
      </c>
      <c r="EU122" s="449">
        <f>+INPUT!GB80</f>
        <v>476</v>
      </c>
      <c r="EV122" s="438">
        <f>+INPUT!GC80</f>
        <v>63.573883161512015</v>
      </c>
      <c r="EW122" s="449">
        <f>+INPUT!GD80</f>
        <v>573</v>
      </c>
      <c r="EX122" s="438">
        <f>+INPUT!GE80</f>
        <v>20.378151260504197</v>
      </c>
      <c r="EY122" s="449">
        <f>+INPUT!GF80</f>
        <v>77</v>
      </c>
      <c r="EZ122" s="438" t="str">
        <f>+INPUT!GG80</f>
        <v>NM</v>
      </c>
      <c r="FA122" s="449">
        <f>+INPUT!GH80</f>
        <v>481</v>
      </c>
      <c r="FB122" s="438" t="str">
        <f>+INPUT!GI80</f>
        <v>NM</v>
      </c>
      <c r="FC122" s="449">
        <f>+INPUT!GJ80</f>
        <v>314</v>
      </c>
      <c r="FD122" s="438">
        <f>+INPUT!GK80</f>
        <v>-34.719334719334711</v>
      </c>
      <c r="FE122" s="449">
        <f>+INPUT!GL80</f>
        <v>306</v>
      </c>
      <c r="FF122" s="438">
        <f>+INPUT!GM80</f>
        <v>-2.5477707006369457</v>
      </c>
      <c r="FG122" s="449">
        <f>+INPUT!GN80</f>
        <v>318</v>
      </c>
      <c r="FH122" s="438">
        <f>+INPUT!GO80</f>
        <v>3.9215686274509949</v>
      </c>
      <c r="FI122" s="449">
        <f>+INPUT!GP80</f>
        <v>342.54871342468761</v>
      </c>
      <c r="FJ122" s="438">
        <f>+INPUT!GQ80</f>
        <v>7.7197212027319466</v>
      </c>
      <c r="FK122" s="449">
        <f>+INPUT!GR80</f>
        <v>340.92466273054583</v>
      </c>
      <c r="FL122" s="438">
        <f>+INPUT!GS80</f>
        <v>-0.47410795326160837</v>
      </c>
      <c r="FM122" s="449">
        <f>+INPUT!GT80</f>
        <v>341.42326425703601</v>
      </c>
      <c r="FN122" s="438">
        <f>+INPUT!GU80</f>
        <v>0.14624976746966922</v>
      </c>
      <c r="FO122" s="449">
        <f>+INPUT!GV80</f>
        <v>342.92719377943081</v>
      </c>
      <c r="FP122" s="438">
        <f>+INPUT!GW80</f>
        <v>0.44048829703137926</v>
      </c>
      <c r="FQ122" s="449">
        <f>+INPUT!GX80</f>
        <v>345.5356061743226</v>
      </c>
      <c r="FR122" s="438">
        <f>+INPUT!GY80</f>
        <v>0.76063153993248989</v>
      </c>
      <c r="FS122" s="438">
        <f>+INPUT!GZ80</f>
        <v>1.6747556353318371</v>
      </c>
    </row>
    <row r="123" spans="1:265" s="529" customFormat="1" ht="12.75" hidden="1" customHeight="1" outlineLevel="1" x14ac:dyDescent="0.2">
      <c r="A123" s="441" t="str">
        <f>+INPUT!B81</f>
        <v>Interest Credited</v>
      </c>
      <c r="B123" s="449">
        <f>+INPUT!AA81</f>
        <v>61</v>
      </c>
      <c r="C123" s="439">
        <f>+INPUT!AB81</f>
        <v>1.6666666666666572</v>
      </c>
      <c r="D123" s="449">
        <f>+INPUT!AC81</f>
        <v>66</v>
      </c>
      <c r="E123" s="439">
        <f>+INPUT!AD81</f>
        <v>10.000000000000014</v>
      </c>
      <c r="F123" s="449">
        <f>+INPUT!AE81</f>
        <v>69</v>
      </c>
      <c r="G123" s="439">
        <f>+INPUT!AF81</f>
        <v>4.5454545454545467</v>
      </c>
      <c r="H123" s="449">
        <f>+INPUT!AG81</f>
        <v>72</v>
      </c>
      <c r="I123" s="439">
        <f>+INPUT!AH81</f>
        <v>4.3478260869565162</v>
      </c>
      <c r="J123" s="449">
        <f>+INPUT!AI81</f>
        <v>89</v>
      </c>
      <c r="K123" s="439">
        <f>+INPUT!AJ81</f>
        <v>45.901639344262293</v>
      </c>
      <c r="L123" s="449">
        <f>+INPUT!AK81</f>
        <v>90</v>
      </c>
      <c r="M123" s="439">
        <f>+INPUT!AL81</f>
        <v>36.363636363636346</v>
      </c>
      <c r="N123" s="449">
        <f>+INPUT!AM81</f>
        <v>91</v>
      </c>
      <c r="O123" s="439">
        <f>+INPUT!AN81</f>
        <v>31.884057971014499</v>
      </c>
      <c r="P123" s="449">
        <f>+INPUT!AO81</f>
        <v>88</v>
      </c>
      <c r="Q123" s="439">
        <f>+INPUT!AP81</f>
        <v>22.222222222222229</v>
      </c>
      <c r="R123" s="449">
        <f>+INPUT!AQ81</f>
        <v>84</v>
      </c>
      <c r="S123" s="439">
        <f>+INPUT!AR81</f>
        <v>-5.6179775280898951</v>
      </c>
      <c r="T123" s="449">
        <f>+INPUT!AS81</f>
        <v>87</v>
      </c>
      <c r="U123" s="439">
        <f>+INPUT!AT81</f>
        <v>-3.3333333333333286</v>
      </c>
      <c r="V123" s="449">
        <f>+INPUT!AU81</f>
        <v>87</v>
      </c>
      <c r="W123" s="439">
        <f>+INPUT!AV81</f>
        <v>-4.3956043956043942</v>
      </c>
      <c r="X123" s="449">
        <f>+INPUT!AW81</f>
        <v>79</v>
      </c>
      <c r="Y123" s="439">
        <f>+INPUT!AX81</f>
        <v>-10.227272727272734</v>
      </c>
      <c r="Z123" s="449">
        <f>+INPUT!AY81</f>
        <v>83</v>
      </c>
      <c r="AA123" s="439">
        <f>+INPUT!AZ81</f>
        <v>-1.1904761904761898</v>
      </c>
      <c r="AB123" s="449">
        <f>+INPUT!BA81</f>
        <v>83</v>
      </c>
      <c r="AC123" s="439">
        <f>+INPUT!BB81</f>
        <v>-4.5977011494252906</v>
      </c>
      <c r="AD123" s="449">
        <f>+INPUT!BC81</f>
        <v>93</v>
      </c>
      <c r="AE123" s="439">
        <f>+INPUT!BD81</f>
        <v>6.8965517241379217</v>
      </c>
      <c r="AF123" s="449">
        <f>+INPUT!BE81</f>
        <v>97</v>
      </c>
      <c r="AG123" s="439">
        <f>+INPUT!BF81</f>
        <v>22.784810126582286</v>
      </c>
      <c r="AH123" s="449">
        <f>+INPUT!BG81</f>
        <v>89</v>
      </c>
      <c r="AI123" s="438">
        <f>+INPUT!BH81</f>
        <v>7.228915662650607</v>
      </c>
      <c r="AJ123" s="449">
        <f>+INPUT!BI81</f>
        <v>93</v>
      </c>
      <c r="AK123" s="438">
        <f>+INPUT!BJ81</f>
        <v>12.048192771084331</v>
      </c>
      <c r="AL123" s="449">
        <f>+INPUT!BK81</f>
        <v>87</v>
      </c>
      <c r="AM123" s="438">
        <f>+INPUT!BL81</f>
        <v>-6.4516129032258078</v>
      </c>
      <c r="AN123" s="449">
        <f>+INPUT!BM81</f>
        <v>90</v>
      </c>
      <c r="AO123" s="438">
        <f>+INPUT!BN81</f>
        <v>-7.2164948453608275</v>
      </c>
      <c r="AP123" s="449">
        <f>+INPUT!BO81</f>
        <v>102</v>
      </c>
      <c r="AQ123" s="438">
        <f>+INPUT!BP81</f>
        <v>14.606741573033702</v>
      </c>
      <c r="AR123" s="449">
        <f>+INPUT!BQ81</f>
        <v>112</v>
      </c>
      <c r="AS123" s="438">
        <f>+INPUT!BR81</f>
        <v>20.430107526881727</v>
      </c>
      <c r="AT123" s="449">
        <f>+INPUT!BS81</f>
        <v>141</v>
      </c>
      <c r="AU123" s="438">
        <f>+INPUT!BT81</f>
        <v>62.068965517241367</v>
      </c>
      <c r="AV123" s="449">
        <f>+INPUT!BU81</f>
        <v>157</v>
      </c>
      <c r="AW123" s="438">
        <f>+INPUT!BV81</f>
        <v>74.444444444444457</v>
      </c>
      <c r="AX123" s="449">
        <f>+INPUT!BW81</f>
        <v>174</v>
      </c>
      <c r="AY123" s="438">
        <f>+INPUT!BX81</f>
        <v>70.588235294117652</v>
      </c>
      <c r="AZ123" s="449">
        <f>+INPUT!BY81</f>
        <v>138</v>
      </c>
      <c r="BA123" s="438">
        <f>+INPUT!BZ81</f>
        <v>23.214285714285722</v>
      </c>
      <c r="BB123" s="449">
        <f>+INPUT!CA81</f>
        <v>155</v>
      </c>
      <c r="BC123" s="438">
        <f>+INPUT!CB81</f>
        <v>9.929078014184384</v>
      </c>
      <c r="BD123" s="449">
        <f>+INPUT!CC81</f>
        <v>151</v>
      </c>
      <c r="BE123" s="438">
        <f>+INPUT!CD81</f>
        <v>-3.8216560509554114</v>
      </c>
      <c r="BF123" s="449">
        <f>+INPUT!CE81</f>
        <v>157</v>
      </c>
      <c r="BG123" s="438">
        <f>+INPUT!CF81</f>
        <v>-9.7701149425287355</v>
      </c>
      <c r="BH123" s="449">
        <f>+INPUT!CG81</f>
        <v>182</v>
      </c>
      <c r="BI123" s="438">
        <f>+INPUT!CH81</f>
        <v>31.884057971014499</v>
      </c>
      <c r="BJ123" s="449">
        <f>+INPUT!CI81</f>
        <v>98</v>
      </c>
      <c r="BK123" s="438">
        <f>+INPUT!CJ81</f>
        <v>-36.774193548387103</v>
      </c>
      <c r="BL123" s="449">
        <f>+INPUT!CK81</f>
        <v>144</v>
      </c>
      <c r="BM123" s="438">
        <f>+INPUT!CL81</f>
        <v>-4.6357615894039697</v>
      </c>
      <c r="BN123" s="449">
        <f>+INPUT!CM81</f>
        <v>136</v>
      </c>
      <c r="BO123" s="438">
        <f>+INPUT!CN81</f>
        <v>-13.375796178343947</v>
      </c>
      <c r="BP123" s="449">
        <f>+INPUT!CO81</f>
        <v>136</v>
      </c>
      <c r="BQ123" s="438">
        <f>+INPUT!CP81</f>
        <v>-25.27472527472527</v>
      </c>
      <c r="BR123" s="449">
        <f>+INPUT!CQ81</f>
        <v>182</v>
      </c>
      <c r="BS123" s="438">
        <f>+INPUT!CR81</f>
        <v>85.714285714285722</v>
      </c>
      <c r="BT123" s="449">
        <f>+INPUT!CS81</f>
        <v>116</v>
      </c>
      <c r="BU123" s="438">
        <f>+INPUT!CT81</f>
        <v>-19.444444444444443</v>
      </c>
      <c r="BV123" s="449">
        <f>+INPUT!CU81</f>
        <v>117</v>
      </c>
      <c r="BW123" s="438">
        <f>+INPUT!CV81</f>
        <v>-13.970588235294116</v>
      </c>
      <c r="BX123" s="449">
        <f>+INPUT!CW81</f>
        <v>142</v>
      </c>
      <c r="BY123" s="438">
        <f>+INPUT!CX81</f>
        <v>4.4117647058823621</v>
      </c>
      <c r="BZ123" s="449">
        <f>+INPUT!CY81</f>
        <v>72</v>
      </c>
      <c r="CA123" s="438" t="str">
        <f>+INPUT!CZ81</f>
        <v>NM</v>
      </c>
      <c r="CB123" s="449">
        <f>+INPUT!DA81</f>
        <v>121</v>
      </c>
      <c r="CC123" s="438">
        <f>+INPUT!DB81</f>
        <v>4.3103448275862064</v>
      </c>
      <c r="CD123" s="449">
        <f>+INPUT!DC81</f>
        <v>118</v>
      </c>
      <c r="CE123" s="438">
        <f>+INPUT!DD81</f>
        <v>0.85470085470085166</v>
      </c>
      <c r="CF123" s="449">
        <f>+INPUT!DE81</f>
        <v>113</v>
      </c>
      <c r="CG123" s="438">
        <f>+INPUT!DF81</f>
        <v>-20.422535211267601</v>
      </c>
      <c r="CH123" s="449">
        <f>+INPUT!DG81</f>
        <v>54</v>
      </c>
      <c r="CI123" s="438">
        <f>+INPUT!DH81</f>
        <v>-25</v>
      </c>
      <c r="CJ123" s="449">
        <f>+INPUT!DI81</f>
        <v>96</v>
      </c>
      <c r="CK123" s="438">
        <f>+INPUT!DJ81</f>
        <v>-20.661157024793383</v>
      </c>
      <c r="CL123" s="449">
        <f>+INPUT!DK81</f>
        <v>105</v>
      </c>
      <c r="CM123" s="438">
        <f>+INPUT!DL81</f>
        <v>-11.016949152542381</v>
      </c>
      <c r="CN123" s="449">
        <f>+INPUT!DM81</f>
        <v>107</v>
      </c>
      <c r="CO123" s="438">
        <f>+INPUT!DN81</f>
        <v>-5.3097345132743357</v>
      </c>
      <c r="CP123" s="449">
        <f>+INPUT!DO81</f>
        <v>107</v>
      </c>
      <c r="CQ123" s="438">
        <f>+INPUT!DP81</f>
        <v>98.148148148148152</v>
      </c>
      <c r="CR123" s="449">
        <f>+INPUT!DQ81</f>
        <v>110</v>
      </c>
      <c r="CS123" s="438">
        <f>+INPUT!DR81</f>
        <v>14.583333333333329</v>
      </c>
      <c r="CT123" s="449">
        <f>+INPUT!DS81</f>
        <v>81</v>
      </c>
      <c r="CU123" s="438">
        <f>+INPUT!DT81</f>
        <v>-22.857142857142847</v>
      </c>
      <c r="CV123" s="449">
        <f>+INPUT!DU81</f>
        <v>81</v>
      </c>
      <c r="CW123" s="438">
        <f>+INPUT!DV81</f>
        <v>-24.299065420560751</v>
      </c>
      <c r="CX123" s="449">
        <f>+INPUT!DW81</f>
        <v>106</v>
      </c>
      <c r="CY123" s="438">
        <f>+INPUT!DX81</f>
        <v>-0.93457943925233167</v>
      </c>
      <c r="CZ123" s="449">
        <f>+INPUT!DY81</f>
        <v>95</v>
      </c>
      <c r="DA123" s="438">
        <f>+INPUT!DZ81</f>
        <v>-13.63636363636364</v>
      </c>
      <c r="DB123" s="449">
        <f>+INPUT!EA81</f>
        <v>100</v>
      </c>
      <c r="DC123" s="438">
        <f>+INPUT!EB81</f>
        <v>23.456790123456784</v>
      </c>
      <c r="DD123" s="449">
        <f>+INPUT!EC81</f>
        <v>98</v>
      </c>
      <c r="DE123" s="438">
        <f>+INPUT!ED81</f>
        <v>20.987654320987659</v>
      </c>
      <c r="DF123" s="449">
        <f>+INPUT!EE81</f>
        <v>72</v>
      </c>
      <c r="DG123" s="438">
        <f>+INPUT!EF81</f>
        <v>-32.075471698113205</v>
      </c>
      <c r="DH123" s="449">
        <f>+INPUT!EG81</f>
        <v>92</v>
      </c>
      <c r="DI123" s="438">
        <f>+INPUT!EH81</f>
        <v>-3.1578947368421098</v>
      </c>
      <c r="DJ123" s="449">
        <f>+INPUT!EI81</f>
        <v>87</v>
      </c>
      <c r="DK123" s="438">
        <f>+INPUT!EJ81</f>
        <v>-13</v>
      </c>
      <c r="DL123" s="449">
        <f>+INPUT!EK81</f>
        <v>77</v>
      </c>
      <c r="DM123" s="438">
        <f>+INPUT!EL81</f>
        <v>-21.428571428571431</v>
      </c>
      <c r="DN123" s="449">
        <f>+INPUT!EM81</f>
        <v>81</v>
      </c>
      <c r="DO123" s="438">
        <f>+INPUT!EN81</f>
        <v>12.5</v>
      </c>
      <c r="DP123" s="449">
        <f>+INPUT!EO81</f>
        <v>85</v>
      </c>
      <c r="DQ123" s="438">
        <f>+INPUT!EP81</f>
        <v>-7.6086956521739069</v>
      </c>
      <c r="DR123" s="449">
        <f>+INPUT!EQ81</f>
        <v>84.779203230378357</v>
      </c>
      <c r="DS123" s="438">
        <f>+INPUT!ER81</f>
        <v>-2.5526399650823492</v>
      </c>
      <c r="DT123" s="449">
        <f>+INPUT!ES81</f>
        <v>83.758731630582403</v>
      </c>
      <c r="DU123" s="438">
        <f>+INPUT!ET81</f>
        <v>8.7775735462109168</v>
      </c>
      <c r="DV123" s="449">
        <f>+INPUT!EU81</f>
        <v>83.707508055261684</v>
      </c>
      <c r="DW123" s="438">
        <f>+INPUT!EV81</f>
        <v>3.3426025373600936</v>
      </c>
      <c r="DX123" s="449">
        <f>+INPUT!EW81</f>
        <v>83.674338958187903</v>
      </c>
      <c r="DY123" s="438">
        <f>+INPUT!EX81</f>
        <v>-1.5596012256612823</v>
      </c>
      <c r="DZ123" s="449"/>
      <c r="EA123" s="438"/>
      <c r="EB123" s="439">
        <f>+INPUT!FI81</f>
        <v>-1.8939393939393909</v>
      </c>
      <c r="EC123" s="449">
        <f>+INPUT!FJ81</f>
        <v>255</v>
      </c>
      <c r="ED123" s="439">
        <f>+INPUT!FK81</f>
        <v>-1.5444015444015378</v>
      </c>
      <c r="EE123" s="449">
        <f>+INPUT!FL81</f>
        <v>268</v>
      </c>
      <c r="EF123" s="439">
        <f>+INPUT!FM81</f>
        <v>5.0980392156862848</v>
      </c>
      <c r="EG123" s="449">
        <f>+INPUT!FN81</f>
        <v>358</v>
      </c>
      <c r="EH123" s="439">
        <f>+INPUT!FO81</f>
        <v>33.582089552238813</v>
      </c>
      <c r="EI123" s="449">
        <f>+INPUT!FP81</f>
        <v>337</v>
      </c>
      <c r="EJ123" s="438">
        <f>+INPUT!FQ81</f>
        <v>-5.865921787709496</v>
      </c>
      <c r="EK123" s="449">
        <f>+INPUT!FR81</f>
        <v>356</v>
      </c>
      <c r="EL123" s="438">
        <f>+INPUT!FS81</f>
        <v>5.6379821958457086</v>
      </c>
      <c r="EM123" s="449">
        <f>+INPUT!FT81</f>
        <v>359</v>
      </c>
      <c r="EN123" s="438">
        <f>+INPUT!FU81</f>
        <v>0.84269662921347788</v>
      </c>
      <c r="EO123" s="449">
        <f>+INPUT!FV81</f>
        <v>568</v>
      </c>
      <c r="EP123" s="438">
        <f>+INPUT!FW81</f>
        <v>58.217270194986071</v>
      </c>
      <c r="EQ123" s="449">
        <f>+INPUT!FX81</f>
        <v>618</v>
      </c>
      <c r="ER123" s="438">
        <f>+INPUT!FY81</f>
        <v>8.8028169014084483</v>
      </c>
      <c r="ES123" s="449">
        <f>+INPUT!FZ81</f>
        <v>581</v>
      </c>
      <c r="ET123" s="438">
        <f>+INPUT!GA81</f>
        <v>-5.9870550161812304</v>
      </c>
      <c r="EU123" s="449">
        <f>+INPUT!GB81</f>
        <v>570</v>
      </c>
      <c r="EV123" s="438">
        <f>+INPUT!GC81</f>
        <v>-1.8932874354561164</v>
      </c>
      <c r="EW123" s="449">
        <f>+INPUT!GD81</f>
        <v>452</v>
      </c>
      <c r="EX123" s="438">
        <f>+INPUT!GE81</f>
        <v>-20.701754385964904</v>
      </c>
      <c r="EY123" s="449">
        <f>+INPUT!GF81</f>
        <v>381</v>
      </c>
      <c r="EZ123" s="438">
        <f>+INPUT!GG81</f>
        <v>-15.707964601769902</v>
      </c>
      <c r="FA123" s="449">
        <f>+INPUT!GH81</f>
        <v>429</v>
      </c>
      <c r="FB123" s="438">
        <f>+INPUT!GI81</f>
        <v>12.5984251968504</v>
      </c>
      <c r="FC123" s="449">
        <f>+INPUT!GJ81</f>
        <v>363</v>
      </c>
      <c r="FD123" s="438">
        <f>+INPUT!GK81</f>
        <v>-15.384615384615387</v>
      </c>
      <c r="FE123" s="449">
        <f>+INPUT!GL81</f>
        <v>362</v>
      </c>
      <c r="FF123" s="438">
        <f>+INPUT!GM81</f>
        <v>-0.27548209366391063</v>
      </c>
      <c r="FG123" s="449">
        <f>+INPUT!GN81</f>
        <v>330</v>
      </c>
      <c r="FH123" s="438">
        <f>+INPUT!GO81</f>
        <v>-8.8397790055248606</v>
      </c>
      <c r="FI123" s="449">
        <f>+INPUT!GP81</f>
        <v>335.91978187441038</v>
      </c>
      <c r="FJ123" s="438">
        <f>+INPUT!GQ81</f>
        <v>1.7938732952758727</v>
      </c>
      <c r="FK123" s="449">
        <f>+INPUT!GR81</f>
        <v>351.45762199926548</v>
      </c>
      <c r="FL123" s="438">
        <f>+INPUT!GS81</f>
        <v>4.6254614831418905</v>
      </c>
      <c r="FM123" s="449">
        <f>+INPUT!GT81</f>
        <v>369.23091393803639</v>
      </c>
      <c r="FN123" s="438">
        <f>+INPUT!GU81</f>
        <v>5.0570227607151139</v>
      </c>
      <c r="FO123" s="449">
        <f>+INPUT!GV81</f>
        <v>388.33123552871507</v>
      </c>
      <c r="FP123" s="438">
        <f>+INPUT!GW81</f>
        <v>5.173001736762501</v>
      </c>
      <c r="FQ123" s="449">
        <f>+INPUT!GX81</f>
        <v>409.04147228767221</v>
      </c>
      <c r="FR123" s="438">
        <f>+INPUT!GY81</f>
        <v>5.3331369882620976</v>
      </c>
      <c r="FS123" s="438">
        <f>+INPUT!GZ81</f>
        <v>4.3880249289329987</v>
      </c>
    </row>
    <row r="124" spans="1:265" s="529" customFormat="1" ht="12.75" hidden="1" customHeight="1" outlineLevel="1" x14ac:dyDescent="0.2">
      <c r="A124" s="441" t="str">
        <f>+INPUT!B82</f>
        <v>Interest Expense</v>
      </c>
      <c r="B124" s="449">
        <f>+INPUT!AA82</f>
        <v>0</v>
      </c>
      <c r="C124" s="439" t="str">
        <f>+INPUT!AB82</f>
        <v>NA</v>
      </c>
      <c r="D124" s="449">
        <f>+INPUT!AC82</f>
        <v>0</v>
      </c>
      <c r="E124" s="439" t="str">
        <f>+INPUT!AD82</f>
        <v>NA</v>
      </c>
      <c r="F124" s="449">
        <f>+INPUT!AE82</f>
        <v>-1</v>
      </c>
      <c r="G124" s="439">
        <f>+INPUT!AF82</f>
        <v>0</v>
      </c>
      <c r="H124" s="449">
        <f>+INPUT!AG82</f>
        <v>0</v>
      </c>
      <c r="I124" s="439" t="str">
        <f>+INPUT!AH82</f>
        <v>NA</v>
      </c>
      <c r="J124" s="449">
        <f>+INPUT!AI82</f>
        <v>1</v>
      </c>
      <c r="K124" s="439" t="str">
        <f>+INPUT!AJ82</f>
        <v>NA</v>
      </c>
      <c r="L124" s="449">
        <f>+INPUT!AK82</f>
        <v>1</v>
      </c>
      <c r="M124" s="439" t="str">
        <f>+INPUT!AL82</f>
        <v>NA</v>
      </c>
      <c r="N124" s="449">
        <f>+INPUT!AM82</f>
        <v>4</v>
      </c>
      <c r="O124" s="439" t="str">
        <f>+INPUT!AN82</f>
        <v>NM</v>
      </c>
      <c r="P124" s="449">
        <f>+INPUT!AO82</f>
        <v>3</v>
      </c>
      <c r="Q124" s="439" t="str">
        <f>+INPUT!AP82</f>
        <v>NA</v>
      </c>
      <c r="R124" s="449">
        <f>+INPUT!AQ82</f>
        <v>5</v>
      </c>
      <c r="S124" s="439" t="str">
        <f>+INPUT!AR82</f>
        <v>NM</v>
      </c>
      <c r="T124" s="449">
        <f>+INPUT!AS82</f>
        <v>6</v>
      </c>
      <c r="U124" s="439" t="str">
        <f>+INPUT!AT82</f>
        <v>NM</v>
      </c>
      <c r="V124" s="449">
        <f>+INPUT!AU82</f>
        <v>9</v>
      </c>
      <c r="W124" s="439" t="str">
        <f>+INPUT!AV82</f>
        <v>NM</v>
      </c>
      <c r="X124" s="449">
        <f>+INPUT!AW82</f>
        <v>10</v>
      </c>
      <c r="Y124" s="439" t="str">
        <f>+INPUT!AX82</f>
        <v>NM</v>
      </c>
      <c r="Z124" s="449">
        <f>+INPUT!AY82</f>
        <v>10</v>
      </c>
      <c r="AA124" s="439">
        <f>+INPUT!AZ82</f>
        <v>100</v>
      </c>
      <c r="AB124" s="449">
        <f>+INPUT!BA82</f>
        <v>10</v>
      </c>
      <c r="AC124" s="439">
        <f>+INPUT!BB82</f>
        <v>66.666666666666686</v>
      </c>
      <c r="AD124" s="449">
        <f>+INPUT!BC82</f>
        <v>15</v>
      </c>
      <c r="AE124" s="439">
        <f>+INPUT!BD82</f>
        <v>66.666666666666686</v>
      </c>
      <c r="AF124" s="449">
        <f>+INPUT!BE82</f>
        <v>15</v>
      </c>
      <c r="AG124" s="439">
        <f>+INPUT!BF82</f>
        <v>50</v>
      </c>
      <c r="AH124" s="449">
        <f>+INPUT!BG82</f>
        <v>13</v>
      </c>
      <c r="AI124" s="438">
        <f>+INPUT!BH82</f>
        <v>30</v>
      </c>
      <c r="AJ124" s="449">
        <f>+INPUT!BI82</f>
        <v>14</v>
      </c>
      <c r="AK124" s="438">
        <f>+INPUT!BJ82</f>
        <v>40</v>
      </c>
      <c r="AL124" s="449">
        <f>+INPUT!BK82</f>
        <v>16</v>
      </c>
      <c r="AM124" s="438">
        <f>+INPUT!BL82</f>
        <v>6.6666666666666714</v>
      </c>
      <c r="AN124" s="449">
        <f>+INPUT!BM82</f>
        <v>16</v>
      </c>
      <c r="AO124" s="438">
        <f>+INPUT!BN82</f>
        <v>6.6666666666666714</v>
      </c>
      <c r="AP124" s="449">
        <f>+INPUT!BO82</f>
        <v>14</v>
      </c>
      <c r="AQ124" s="438">
        <f>+INPUT!BP82</f>
        <v>7.6923076923076934</v>
      </c>
      <c r="AR124" s="449">
        <f>+INPUT!BQ82</f>
        <v>15</v>
      </c>
      <c r="AS124" s="438">
        <f>+INPUT!BR82</f>
        <v>7.1428571428571388</v>
      </c>
      <c r="AT124" s="449">
        <f>+INPUT!BS82</f>
        <v>15</v>
      </c>
      <c r="AU124" s="438">
        <f>+INPUT!BT82</f>
        <v>-6.25</v>
      </c>
      <c r="AV124" s="449">
        <f>+INPUT!BU82</f>
        <v>14</v>
      </c>
      <c r="AW124" s="438">
        <f>+INPUT!BV82</f>
        <v>-12.5</v>
      </c>
      <c r="AX124" s="449">
        <f>+INPUT!BW82</f>
        <v>4</v>
      </c>
      <c r="AY124" s="438" t="str">
        <f>+INPUT!BX82</f>
        <v>NM</v>
      </c>
      <c r="AZ124" s="449">
        <f>+INPUT!BY82</f>
        <v>3</v>
      </c>
      <c r="BA124" s="438" t="str">
        <f>+INPUT!BZ82</f>
        <v>NM</v>
      </c>
      <c r="BB124" s="449">
        <f>+INPUT!CA82</f>
        <v>2</v>
      </c>
      <c r="BC124" s="438" t="str">
        <f>+INPUT!CB82</f>
        <v>NM</v>
      </c>
      <c r="BD124" s="449">
        <f>+INPUT!CC82</f>
        <v>4</v>
      </c>
      <c r="BE124" s="438" t="str">
        <f>+INPUT!CD82</f>
        <v>NM</v>
      </c>
      <c r="BF124" s="449">
        <f>+INPUT!CE82</f>
        <v>15</v>
      </c>
      <c r="BG124" s="438" t="str">
        <f>+INPUT!CF82</f>
        <v>NM</v>
      </c>
      <c r="BH124" s="449">
        <f>+INPUT!CG82</f>
        <v>15</v>
      </c>
      <c r="BI124" s="438" t="str">
        <f>+INPUT!CH82</f>
        <v>NM</v>
      </c>
      <c r="BJ124" s="449">
        <f>+INPUT!CI82</f>
        <v>16</v>
      </c>
      <c r="BK124" s="438" t="str">
        <f>+INPUT!CJ82</f>
        <v>NM</v>
      </c>
      <c r="BL124" s="449">
        <f>+INPUT!CK82</f>
        <v>20</v>
      </c>
      <c r="BM124" s="438" t="str">
        <f>+INPUT!CL82</f>
        <v>NM</v>
      </c>
      <c r="BN124" s="449">
        <f>+INPUT!CM82</f>
        <v>27</v>
      </c>
      <c r="BO124" s="438">
        <f>+INPUT!CN82</f>
        <v>80</v>
      </c>
      <c r="BP124" s="449">
        <f>+INPUT!CO82</f>
        <v>28</v>
      </c>
      <c r="BQ124" s="438">
        <f>+INPUT!CP82</f>
        <v>86.666666666666657</v>
      </c>
      <c r="BR124" s="449">
        <f>+INPUT!CQ82</f>
        <v>28</v>
      </c>
      <c r="BS124" s="438">
        <f>+INPUT!CR82</f>
        <v>75</v>
      </c>
      <c r="BT124" s="449">
        <f>+INPUT!CS82</f>
        <v>29</v>
      </c>
      <c r="BU124" s="438">
        <f>+INPUT!CT82</f>
        <v>45</v>
      </c>
      <c r="BV124" s="449">
        <f>+INPUT!CU82</f>
        <v>28</v>
      </c>
      <c r="BW124" s="438">
        <f>+INPUT!CV82</f>
        <v>3.7037037037036953</v>
      </c>
      <c r="BX124" s="449">
        <f>+INPUT!CW82</f>
        <v>28</v>
      </c>
      <c r="BY124" s="438">
        <f>+INPUT!CX82</f>
        <v>0</v>
      </c>
      <c r="BZ124" s="449">
        <f>+INPUT!CY82</f>
        <v>29</v>
      </c>
      <c r="CA124" s="438">
        <f>+INPUT!CZ82</f>
        <v>3.5714285714285836</v>
      </c>
      <c r="CB124" s="449">
        <f>+INPUT!DA82</f>
        <v>24</v>
      </c>
      <c r="CC124" s="438">
        <f>+INPUT!DB82</f>
        <v>-17.241379310344826</v>
      </c>
      <c r="CD124" s="449">
        <f>+INPUT!DC82</f>
        <v>23</v>
      </c>
      <c r="CE124" s="438">
        <f>+INPUT!DD82</f>
        <v>-17.857142857142861</v>
      </c>
      <c r="CF124" s="449">
        <f>+INPUT!DE82</f>
        <v>22</v>
      </c>
      <c r="CG124" s="438">
        <f>+INPUT!DF82</f>
        <v>-21.428571428571431</v>
      </c>
      <c r="CH124" s="449">
        <f>+INPUT!DG82</f>
        <v>22</v>
      </c>
      <c r="CI124" s="438">
        <f>+INPUT!DH82</f>
        <v>-24.137931034482762</v>
      </c>
      <c r="CJ124" s="449">
        <f>+INPUT!DI82</f>
        <v>24</v>
      </c>
      <c r="CK124" s="438">
        <f>+INPUT!DJ82</f>
        <v>0</v>
      </c>
      <c r="CL124" s="449">
        <f>+INPUT!DK82</f>
        <v>27</v>
      </c>
      <c r="CM124" s="438">
        <f>+INPUT!DL82</f>
        <v>17.391304347826093</v>
      </c>
      <c r="CN124" s="449">
        <f>+INPUT!DM82</f>
        <v>26</v>
      </c>
      <c r="CO124" s="438">
        <f>+INPUT!DN82</f>
        <v>18.181818181818187</v>
      </c>
      <c r="CP124" s="449">
        <f>+INPUT!DO82</f>
        <v>27</v>
      </c>
      <c r="CQ124" s="438">
        <f>+INPUT!DP82</f>
        <v>22.727272727272734</v>
      </c>
      <c r="CR124" s="449">
        <f>+INPUT!DQ82</f>
        <v>27</v>
      </c>
      <c r="CS124" s="438">
        <f>+INPUT!DR82</f>
        <v>12.5</v>
      </c>
      <c r="CT124" s="449">
        <f>+INPUT!DS82</f>
        <v>25</v>
      </c>
      <c r="CU124" s="438">
        <f>+INPUT!DT82</f>
        <v>-7.4074074074074048</v>
      </c>
      <c r="CV124" s="449">
        <f>+INPUT!DU82</f>
        <v>15</v>
      </c>
      <c r="CW124" s="438">
        <f>+INPUT!DV82</f>
        <v>-42.307692307692314</v>
      </c>
      <c r="CX124" s="449">
        <f>+INPUT!DW82</f>
        <v>15</v>
      </c>
      <c r="CY124" s="438">
        <f>+INPUT!DX82</f>
        <v>-44.444444444444443</v>
      </c>
      <c r="CZ124" s="449">
        <f>+INPUT!DY82</f>
        <v>14</v>
      </c>
      <c r="DA124" s="438">
        <f>+INPUT!DZ82</f>
        <v>-48.148148148148152</v>
      </c>
      <c r="DB124" s="449">
        <f>+INPUT!EA82</f>
        <v>18</v>
      </c>
      <c r="DC124" s="438">
        <f>+INPUT!EB82</f>
        <v>-28</v>
      </c>
      <c r="DD124" s="449">
        <f>+INPUT!EC82</f>
        <v>19</v>
      </c>
      <c r="DE124" s="438">
        <f>+INPUT!ED82</f>
        <v>26.666666666666657</v>
      </c>
      <c r="DF124" s="449">
        <f>+INPUT!EE82</f>
        <v>20</v>
      </c>
      <c r="DG124" s="438">
        <f>+INPUT!EF82</f>
        <v>33.333333333333314</v>
      </c>
      <c r="DH124" s="449">
        <f>+INPUT!EG82</f>
        <v>14</v>
      </c>
      <c r="DI124" s="438">
        <f>+INPUT!EH82</f>
        <v>0</v>
      </c>
      <c r="DJ124" s="449">
        <f>+INPUT!EI82</f>
        <v>14</v>
      </c>
      <c r="DK124" s="438">
        <f>+INPUT!EJ82</f>
        <v>-22.222222222222214</v>
      </c>
      <c r="DL124" s="449">
        <f>+INPUT!EK82</f>
        <v>17</v>
      </c>
      <c r="DM124" s="438">
        <f>+INPUT!EL82</f>
        <v>-10.526315789473685</v>
      </c>
      <c r="DN124" s="449">
        <f>+INPUT!EM82</f>
        <v>20</v>
      </c>
      <c r="DO124" s="438">
        <f>+INPUT!EN82</f>
        <v>0</v>
      </c>
      <c r="DP124" s="449">
        <f>+INPUT!EO82</f>
        <v>19</v>
      </c>
      <c r="DQ124" s="438">
        <f>+INPUT!EP82</f>
        <v>35.714285714285722</v>
      </c>
      <c r="DR124" s="449">
        <f>+INPUT!EQ82</f>
        <v>19.190000000000001</v>
      </c>
      <c r="DS124" s="438">
        <f>+INPUT!ER82</f>
        <v>37.071428571428584</v>
      </c>
      <c r="DT124" s="449">
        <f>+INPUT!ES82</f>
        <v>19.381900000000002</v>
      </c>
      <c r="DU124" s="438">
        <f>+INPUT!ET82</f>
        <v>14.011176470588254</v>
      </c>
      <c r="DV124" s="449">
        <f>+INPUT!EU82</f>
        <v>19.575719000000003</v>
      </c>
      <c r="DW124" s="438">
        <f>+INPUT!EV82</f>
        <v>-2.1214049999999816</v>
      </c>
      <c r="DX124" s="449">
        <f>+INPUT!EW82</f>
        <v>19.771476190000005</v>
      </c>
      <c r="DY124" s="438">
        <f>+INPUT!EX82</f>
        <v>4.0604010000000272</v>
      </c>
      <c r="DZ124" s="449"/>
      <c r="EA124" s="438"/>
      <c r="EB124" s="439" t="str">
        <f>+INPUT!FI82</f>
        <v>NM</v>
      </c>
      <c r="EC124" s="449">
        <f>+INPUT!FJ82</f>
        <v>-1</v>
      </c>
      <c r="ED124" s="439" t="str">
        <f>+INPUT!FK82</f>
        <v>NM</v>
      </c>
      <c r="EE124" s="449">
        <f>+INPUT!FL82</f>
        <v>-1</v>
      </c>
      <c r="EF124" s="439">
        <f>+INPUT!FM82</f>
        <v>0</v>
      </c>
      <c r="EG124" s="449">
        <f>+INPUT!FN82</f>
        <v>9</v>
      </c>
      <c r="EH124" s="439" t="str">
        <f>+INPUT!FO82</f>
        <v>NM</v>
      </c>
      <c r="EI124" s="449">
        <f>+INPUT!FP82</f>
        <v>30</v>
      </c>
      <c r="EJ124" s="438" t="str">
        <f>+INPUT!FQ82</f>
        <v>NM</v>
      </c>
      <c r="EK124" s="449">
        <f>+INPUT!FR82</f>
        <v>50</v>
      </c>
      <c r="EL124" s="438">
        <f>+INPUT!FS82</f>
        <v>66.666666666666686</v>
      </c>
      <c r="EM124" s="449">
        <f>+INPUT!FT82</f>
        <v>59</v>
      </c>
      <c r="EN124" s="438">
        <f>+INPUT!FU82</f>
        <v>18</v>
      </c>
      <c r="EO124" s="449">
        <f>+INPUT!FV82</f>
        <v>58</v>
      </c>
      <c r="EP124" s="438">
        <f>+INPUT!FW82</f>
        <v>-1.6949152542372872</v>
      </c>
      <c r="EQ124" s="449">
        <f>+INPUT!FX82</f>
        <v>13</v>
      </c>
      <c r="ER124" s="438" t="str">
        <f>+INPUT!FY82</f>
        <v>NM</v>
      </c>
      <c r="ES124" s="449">
        <f>+INPUT!FZ82</f>
        <v>66</v>
      </c>
      <c r="ET124" s="438" t="str">
        <f>+INPUT!GA82</f>
        <v>NM</v>
      </c>
      <c r="EU124" s="449">
        <f>+INPUT!GB82</f>
        <v>112</v>
      </c>
      <c r="EV124" s="438">
        <f>+INPUT!GC82</f>
        <v>69.696969696969688</v>
      </c>
      <c r="EW124" s="449">
        <f>+INPUT!GD82</f>
        <v>109</v>
      </c>
      <c r="EX124" s="438">
        <f>+INPUT!GE82</f>
        <v>-2.6785714285714306</v>
      </c>
      <c r="EY124" s="449">
        <f>+INPUT!GF82</f>
        <v>91</v>
      </c>
      <c r="EZ124" s="438">
        <f>+INPUT!GG82</f>
        <v>-16.513761467889907</v>
      </c>
      <c r="FA124" s="449">
        <f>+INPUT!GH82</f>
        <v>107</v>
      </c>
      <c r="FB124" s="438">
        <f>+INPUT!GI82</f>
        <v>17.582417582417591</v>
      </c>
      <c r="FC124" s="449">
        <f>+INPUT!GJ82</f>
        <v>69</v>
      </c>
      <c r="FD124" s="438">
        <f>+INPUT!GK82</f>
        <v>-35.514018691588788</v>
      </c>
      <c r="FE124" s="449">
        <f>+INPUT!GL82</f>
        <v>71</v>
      </c>
      <c r="FF124" s="438">
        <f>+INPUT!GM82</f>
        <v>2.8985507246376727</v>
      </c>
      <c r="FG124" s="449">
        <f>+INPUT!GN82</f>
        <v>70</v>
      </c>
      <c r="FH124" s="438">
        <f>+INPUT!GO82</f>
        <v>-1.4084507042253449</v>
      </c>
      <c r="FI124" s="449">
        <f>+INPUT!GP82</f>
        <v>77.919095190000007</v>
      </c>
      <c r="FJ124" s="438">
        <f>+INPUT!GQ82</f>
        <v>11.312993128571435</v>
      </c>
      <c r="FK124" s="449">
        <f>+INPUT!GR82</f>
        <v>84.152622805200011</v>
      </c>
      <c r="FL124" s="438">
        <f>+INPUT!GS82</f>
        <v>8</v>
      </c>
      <c r="FM124" s="449">
        <f>+INPUT!GT82</f>
        <v>90.884832629616014</v>
      </c>
      <c r="FN124" s="438">
        <f>+INPUT!GU82</f>
        <v>8</v>
      </c>
      <c r="FO124" s="449">
        <f>+INPUT!GV82</f>
        <v>98.155619239985299</v>
      </c>
      <c r="FP124" s="438">
        <f>+INPUT!GW82</f>
        <v>8</v>
      </c>
      <c r="FQ124" s="449">
        <f>+INPUT!GX82</f>
        <v>106.00806877918413</v>
      </c>
      <c r="FR124" s="438">
        <f>+INPUT!GY82</f>
        <v>8</v>
      </c>
      <c r="FS124" s="438">
        <f>+INPUT!GZ82</f>
        <v>8.6546148144916124</v>
      </c>
    </row>
    <row r="125" spans="1:265" s="529" customFormat="1" ht="12.75" hidden="1" customHeight="1" outlineLevel="1" x14ac:dyDescent="0.2">
      <c r="A125" s="441" t="str">
        <f>+INPUT!B83</f>
        <v>Operating Expenses</v>
      </c>
      <c r="B125" s="449">
        <f>+INPUT!AA83</f>
        <v>66</v>
      </c>
      <c r="C125" s="439">
        <f>+INPUT!AB83</f>
        <v>-5.7142857142857224</v>
      </c>
      <c r="D125" s="449">
        <f>+INPUT!AC83</f>
        <v>156</v>
      </c>
      <c r="E125" s="439">
        <f>+INPUT!AD83</f>
        <v>100</v>
      </c>
      <c r="F125" s="449">
        <f>+INPUT!AE83</f>
        <v>195</v>
      </c>
      <c r="G125" s="439" t="str">
        <f>+INPUT!AF83</f>
        <v>NM</v>
      </c>
      <c r="H125" s="449">
        <f>+INPUT!AG83</f>
        <v>207</v>
      </c>
      <c r="I125" s="439" t="str">
        <f>+INPUT!AH83</f>
        <v>NM</v>
      </c>
      <c r="J125" s="449">
        <f>+INPUT!AI83</f>
        <v>208</v>
      </c>
      <c r="K125" s="439" t="str">
        <f>+INPUT!AJ83</f>
        <v>NM</v>
      </c>
      <c r="L125" s="449">
        <f>+INPUT!AK83</f>
        <v>209</v>
      </c>
      <c r="M125" s="439">
        <f>+INPUT!AL83</f>
        <v>33.974358974358978</v>
      </c>
      <c r="N125" s="449">
        <f>+INPUT!AM83</f>
        <v>191</v>
      </c>
      <c r="O125" s="439">
        <f>+INPUT!AN83</f>
        <v>-2.0512820512820582</v>
      </c>
      <c r="P125" s="449">
        <f>+INPUT!AO83</f>
        <v>203</v>
      </c>
      <c r="Q125" s="439">
        <f>+INPUT!AP83</f>
        <v>-1.9323671497584485</v>
      </c>
      <c r="R125" s="449">
        <f>+INPUT!AQ83</f>
        <v>202</v>
      </c>
      <c r="S125" s="439">
        <f>+INPUT!AR83</f>
        <v>-2.8846153846153868</v>
      </c>
      <c r="T125" s="449">
        <f>+INPUT!AS83</f>
        <v>237</v>
      </c>
      <c r="U125" s="439">
        <f>+INPUT!AT83</f>
        <v>13.397129186602868</v>
      </c>
      <c r="V125" s="449">
        <f>+INPUT!AU83</f>
        <v>249</v>
      </c>
      <c r="W125" s="439">
        <f>+INPUT!AV83</f>
        <v>30.366492146596869</v>
      </c>
      <c r="X125" s="449">
        <f>+INPUT!AW83</f>
        <v>237</v>
      </c>
      <c r="Y125" s="439">
        <f>+INPUT!AX83</f>
        <v>16.748768472906406</v>
      </c>
      <c r="Z125" s="449">
        <f>+INPUT!AY83</f>
        <v>255</v>
      </c>
      <c r="AA125" s="439">
        <f>+INPUT!AZ83</f>
        <v>26.237623762376245</v>
      </c>
      <c r="AB125" s="449">
        <f>+INPUT!BA83</f>
        <v>285</v>
      </c>
      <c r="AC125" s="439">
        <f>+INPUT!BB83</f>
        <v>20.25316455696202</v>
      </c>
      <c r="AD125" s="449">
        <f>+INPUT!BC83</f>
        <v>320</v>
      </c>
      <c r="AE125" s="439">
        <f>+INPUT!BD83</f>
        <v>28.514056224899605</v>
      </c>
      <c r="AF125" s="449">
        <f>+INPUT!BE83</f>
        <v>347</v>
      </c>
      <c r="AG125" s="439">
        <f>+INPUT!BF83</f>
        <v>46.413502109704666</v>
      </c>
      <c r="AH125" s="449">
        <f>+INPUT!BG83</f>
        <v>357</v>
      </c>
      <c r="AI125" s="438">
        <f>+INPUT!BH83</f>
        <v>40</v>
      </c>
      <c r="AJ125" s="449">
        <f>+INPUT!BI83</f>
        <v>379</v>
      </c>
      <c r="AK125" s="438">
        <f>+INPUT!BJ83</f>
        <v>32.982456140350877</v>
      </c>
      <c r="AL125" s="449">
        <f>+INPUT!BK83</f>
        <v>386</v>
      </c>
      <c r="AM125" s="438">
        <f>+INPUT!BL83</f>
        <v>20.625</v>
      </c>
      <c r="AN125" s="449">
        <f>+INPUT!BM83</f>
        <v>398</v>
      </c>
      <c r="AO125" s="438">
        <f>+INPUT!BN83</f>
        <v>14.697406340057626</v>
      </c>
      <c r="AP125" s="449">
        <f>+INPUT!BO83</f>
        <v>371</v>
      </c>
      <c r="AQ125" s="438">
        <f>+INPUT!BP83</f>
        <v>3.9215686274509949</v>
      </c>
      <c r="AR125" s="449">
        <f>+INPUT!BQ83</f>
        <v>362</v>
      </c>
      <c r="AS125" s="438">
        <f>+INPUT!BR83</f>
        <v>-4.4854881266490736</v>
      </c>
      <c r="AT125" s="449">
        <f>+INPUT!BS83</f>
        <v>363</v>
      </c>
      <c r="AU125" s="438">
        <f>+INPUT!BT83</f>
        <v>-5.9585492227979273</v>
      </c>
      <c r="AV125" s="449">
        <f>+INPUT!BU83</f>
        <v>681</v>
      </c>
      <c r="AW125" s="438">
        <f>+INPUT!BV83</f>
        <v>71.105527638190949</v>
      </c>
      <c r="AX125" s="449">
        <f>+INPUT!BW83</f>
        <v>365</v>
      </c>
      <c r="AY125" s="438">
        <f>+INPUT!BX83</f>
        <v>-1.6172506738544428</v>
      </c>
      <c r="AZ125" s="449">
        <f>+INPUT!BY83</f>
        <v>368</v>
      </c>
      <c r="BA125" s="438">
        <f>+INPUT!BZ83</f>
        <v>1.6574585635359256</v>
      </c>
      <c r="BB125" s="449">
        <f>+INPUT!CA83</f>
        <v>521</v>
      </c>
      <c r="BC125" s="438">
        <f>+INPUT!CB83</f>
        <v>43.526170798898079</v>
      </c>
      <c r="BD125" s="449">
        <f>+INPUT!CC83</f>
        <v>494</v>
      </c>
      <c r="BE125" s="438">
        <f>+INPUT!CD83</f>
        <v>-27.459618208516886</v>
      </c>
      <c r="BF125" s="449">
        <f>+INPUT!CE83</f>
        <v>482</v>
      </c>
      <c r="BG125" s="438">
        <f>+INPUT!CF83</f>
        <v>32.054794520547944</v>
      </c>
      <c r="BH125" s="449">
        <f>+INPUT!CG83</f>
        <v>529</v>
      </c>
      <c r="BI125" s="438">
        <f>+INPUT!CH83</f>
        <v>43.75</v>
      </c>
      <c r="BJ125" s="449">
        <f>+INPUT!CI83</f>
        <v>526</v>
      </c>
      <c r="BK125" s="438">
        <f>+INPUT!CJ83</f>
        <v>0.95969289827255011</v>
      </c>
      <c r="BL125" s="449">
        <f>+INPUT!CK83</f>
        <v>628</v>
      </c>
      <c r="BM125" s="438">
        <f>+INPUT!CL83</f>
        <v>27.125506072874501</v>
      </c>
      <c r="BN125" s="449">
        <f>+INPUT!CM83</f>
        <v>663</v>
      </c>
      <c r="BO125" s="438">
        <f>+INPUT!CN83</f>
        <v>37.551867219917</v>
      </c>
      <c r="BP125" s="449">
        <f>+INPUT!CO83</f>
        <v>556</v>
      </c>
      <c r="BQ125" s="438">
        <f>+INPUT!CP83</f>
        <v>5.1039697542533133</v>
      </c>
      <c r="BR125" s="449">
        <f>+INPUT!CQ83</f>
        <v>553</v>
      </c>
      <c r="BS125" s="438">
        <f>+INPUT!CR83</f>
        <v>5.1330798479087321</v>
      </c>
      <c r="BT125" s="449">
        <f>+INPUT!CS83</f>
        <v>548</v>
      </c>
      <c r="BU125" s="438">
        <f>+INPUT!CT83</f>
        <v>-12.738853503184714</v>
      </c>
      <c r="BV125" s="449">
        <f>+INPUT!CU83</f>
        <v>605</v>
      </c>
      <c r="BW125" s="438">
        <f>+INPUT!CV83</f>
        <v>-8.748114630467569</v>
      </c>
      <c r="BX125" s="449">
        <f>+INPUT!CW83</f>
        <v>630</v>
      </c>
      <c r="BY125" s="438">
        <f>+INPUT!CX83</f>
        <v>13.309352517985616</v>
      </c>
      <c r="BZ125" s="449">
        <f>+INPUT!CY83</f>
        <v>649</v>
      </c>
      <c r="CA125" s="438">
        <f>+INPUT!CZ83</f>
        <v>17.359855334538878</v>
      </c>
      <c r="CB125" s="449">
        <f>+INPUT!DA83</f>
        <v>604</v>
      </c>
      <c r="CC125" s="438">
        <f>+INPUT!DB83</f>
        <v>10.218978102189794</v>
      </c>
      <c r="CD125" s="449">
        <f>+INPUT!DC83</f>
        <v>602</v>
      </c>
      <c r="CE125" s="438">
        <f>+INPUT!DD83</f>
        <v>-0.49586776859503345</v>
      </c>
      <c r="CF125" s="449">
        <f>+INPUT!DE83</f>
        <v>514</v>
      </c>
      <c r="CG125" s="438">
        <f>+INPUT!DF83</f>
        <v>-18.412698412698418</v>
      </c>
      <c r="CH125" s="449">
        <f>+INPUT!DG83</f>
        <v>514</v>
      </c>
      <c r="CI125" s="438">
        <f>+INPUT!DH83</f>
        <v>-20.801232665639446</v>
      </c>
      <c r="CJ125" s="449">
        <f>+INPUT!DI83</f>
        <v>542</v>
      </c>
      <c r="CK125" s="438">
        <f>+INPUT!DJ83</f>
        <v>-10.264900662251648</v>
      </c>
      <c r="CL125" s="449">
        <f>+INPUT!DK83</f>
        <v>516</v>
      </c>
      <c r="CM125" s="438">
        <f>+INPUT!DL83</f>
        <v>-14.285714285714292</v>
      </c>
      <c r="CN125" s="449">
        <f>+INPUT!DM83</f>
        <v>552</v>
      </c>
      <c r="CO125" s="438">
        <f>+INPUT!DN83</f>
        <v>7.3929961089494185</v>
      </c>
      <c r="CP125" s="449">
        <f>+INPUT!DO83</f>
        <v>553</v>
      </c>
      <c r="CQ125" s="438">
        <f>+INPUT!DP83</f>
        <v>7.5875486381322901</v>
      </c>
      <c r="CR125" s="449">
        <f>+INPUT!DQ83</f>
        <v>560</v>
      </c>
      <c r="CS125" s="438">
        <f>+INPUT!DR83</f>
        <v>3.3210332103321036</v>
      </c>
      <c r="CT125" s="449">
        <f>+INPUT!DS83</f>
        <v>524</v>
      </c>
      <c r="CU125" s="438">
        <f>+INPUT!DT83</f>
        <v>1.5503875968992276</v>
      </c>
      <c r="CV125" s="449">
        <f>+INPUT!DU83</f>
        <v>543</v>
      </c>
      <c r="CW125" s="438">
        <f>+INPUT!DV83</f>
        <v>-1.6304347826086882</v>
      </c>
      <c r="CX125" s="449">
        <f>+INPUT!DW83</f>
        <v>523</v>
      </c>
      <c r="CY125" s="438">
        <f>+INPUT!DX83</f>
        <v>-5.4249547920434082</v>
      </c>
      <c r="CZ125" s="449">
        <f>+INPUT!DY83</f>
        <v>527</v>
      </c>
      <c r="DA125" s="438">
        <f>+INPUT!DZ83</f>
        <v>-5.8928571428571388</v>
      </c>
      <c r="DB125" s="449">
        <f>+INPUT!EA83</f>
        <v>508</v>
      </c>
      <c r="DC125" s="438">
        <f>+INPUT!EB83</f>
        <v>-3.0534351145038272</v>
      </c>
      <c r="DD125" s="449">
        <f>+INPUT!EC83</f>
        <v>537</v>
      </c>
      <c r="DE125" s="438">
        <f>+INPUT!ED83</f>
        <v>-1.1049723756906076</v>
      </c>
      <c r="DF125" s="449">
        <f>+INPUT!EE83</f>
        <v>523</v>
      </c>
      <c r="DG125" s="438">
        <f>+INPUT!EF83</f>
        <v>0</v>
      </c>
      <c r="DH125" s="449">
        <f>+INPUT!EG83</f>
        <v>518</v>
      </c>
      <c r="DI125" s="438">
        <f>+INPUT!EH83</f>
        <v>-1.7077798861480034</v>
      </c>
      <c r="DJ125" s="449">
        <f>+INPUT!EI83</f>
        <v>509</v>
      </c>
      <c r="DK125" s="438">
        <f>+INPUT!EJ83</f>
        <v>0.19685039370078528</v>
      </c>
      <c r="DL125" s="449">
        <f>+INPUT!EK83</f>
        <v>507</v>
      </c>
      <c r="DM125" s="438">
        <f>+INPUT!EL83</f>
        <v>-5.5865921787709567</v>
      </c>
      <c r="DN125" s="449">
        <f>+INPUT!EM83</f>
        <v>494</v>
      </c>
      <c r="DO125" s="438">
        <f>+INPUT!EN83</f>
        <v>-5.5449330783938819</v>
      </c>
      <c r="DP125" s="449">
        <f>+INPUT!EO83</f>
        <v>534</v>
      </c>
      <c r="DQ125" s="438">
        <f>+INPUT!EP83</f>
        <v>3.0888030888030755</v>
      </c>
      <c r="DR125" s="449">
        <f>+INPUT!EQ83</f>
        <v>511.02738677836896</v>
      </c>
      <c r="DS125" s="438">
        <f>+INPUT!ER83</f>
        <v>0.3983078150037187</v>
      </c>
      <c r="DT125" s="449">
        <f>+INPUT!ES83</f>
        <v>507.01125459503947</v>
      </c>
      <c r="DU125" s="438">
        <f>+INPUT!ET83</f>
        <v>2.2198412306551063E-3</v>
      </c>
      <c r="DV125" s="449">
        <f>+INPUT!EU83</f>
        <v>507.37219232694662</v>
      </c>
      <c r="DW125" s="438">
        <f>+INPUT!EV83</f>
        <v>2.706921523673401</v>
      </c>
      <c r="DX125" s="449">
        <f>+INPUT!EW83</f>
        <v>526.87081360106913</v>
      </c>
      <c r="DY125" s="438">
        <f>+INPUT!EX83</f>
        <v>-1.3350536327585871</v>
      </c>
      <c r="DZ125" s="449"/>
      <c r="EA125" s="438"/>
      <c r="EB125" s="439">
        <f>+INPUT!FI83</f>
        <v>-20.277777777777771</v>
      </c>
      <c r="EC125" s="449">
        <f>+INPUT!FJ83</f>
        <v>291</v>
      </c>
      <c r="ED125" s="439">
        <f>+INPUT!FK83</f>
        <v>1.3937282229965291</v>
      </c>
      <c r="EE125" s="449">
        <f>+INPUT!FL83</f>
        <v>624</v>
      </c>
      <c r="EF125" s="439" t="str">
        <f>+INPUT!FM83</f>
        <v>NM</v>
      </c>
      <c r="EG125" s="449">
        <f>+INPUT!FN83</f>
        <v>811</v>
      </c>
      <c r="EH125" s="439">
        <f>+INPUT!FO83</f>
        <v>29.96794871794873</v>
      </c>
      <c r="EI125" s="449">
        <f>+INPUT!FP83</f>
        <v>925</v>
      </c>
      <c r="EJ125" s="438">
        <f>+INPUT!FQ83</f>
        <v>14.056720098643652</v>
      </c>
      <c r="EK125" s="449">
        <f>+INPUT!FR83</f>
        <v>1207</v>
      </c>
      <c r="EL125" s="438">
        <f>+INPUT!FS83</f>
        <v>30.486486486486484</v>
      </c>
      <c r="EM125" s="449">
        <f>+INPUT!FT83</f>
        <v>1520</v>
      </c>
      <c r="EN125" s="438">
        <f>+INPUT!FU83</f>
        <v>25.932062966031481</v>
      </c>
      <c r="EO125" s="449">
        <f>+INPUT!FV83</f>
        <v>1819</v>
      </c>
      <c r="EP125" s="438">
        <f>+INPUT!FW83</f>
        <v>19.671052631578959</v>
      </c>
      <c r="EQ125" s="449">
        <f>+INPUT!FX83</f>
        <v>1748</v>
      </c>
      <c r="ER125" s="438">
        <f>+INPUT!FY83</f>
        <v>-3.9032435404068195</v>
      </c>
      <c r="ES125" s="449">
        <f>+INPUT!FZ83</f>
        <v>2165</v>
      </c>
      <c r="ET125" s="438">
        <f>+INPUT!GA83</f>
        <v>23.855835240274587</v>
      </c>
      <c r="EU125" s="449">
        <f>+INPUT!GB83</f>
        <v>2320</v>
      </c>
      <c r="EV125" s="438">
        <f>+INPUT!GC83</f>
        <v>7.1593533487297947</v>
      </c>
      <c r="EW125" s="449">
        <f>+INPUT!GD83</f>
        <v>2488</v>
      </c>
      <c r="EX125" s="438">
        <f>+INPUT!GE83</f>
        <v>7.2413793103448256</v>
      </c>
      <c r="EY125" s="449">
        <f>+INPUT!GF83</f>
        <v>2172</v>
      </c>
      <c r="EZ125" s="438">
        <f>+INPUT!GG83</f>
        <v>-12.700964630225073</v>
      </c>
      <c r="FA125" s="449">
        <f>+INPUT!GH83</f>
        <v>2181</v>
      </c>
      <c r="FB125" s="438">
        <f>+INPUT!GI83</f>
        <v>0.41436464088397429</v>
      </c>
      <c r="FC125" s="449">
        <f>+INPUT!GJ83</f>
        <v>2117</v>
      </c>
      <c r="FD125" s="438">
        <f>+INPUT!GK83</f>
        <v>-2.9344337459880734</v>
      </c>
      <c r="FE125" s="449">
        <f>+INPUT!GL83</f>
        <v>2086</v>
      </c>
      <c r="FF125" s="438">
        <f>+INPUT!GM83</f>
        <v>-1.4643363249881958</v>
      </c>
      <c r="FG125" s="449">
        <f>+INPUT!GN83</f>
        <v>2044</v>
      </c>
      <c r="FH125" s="438">
        <f>+INPUT!GO83</f>
        <v>-2.0134228187919376</v>
      </c>
      <c r="FI125" s="449">
        <f>+INPUT!GP83</f>
        <v>2052.2816473014241</v>
      </c>
      <c r="FJ125" s="438">
        <f>+INPUT!GQ83</f>
        <v>0.40516865466848628</v>
      </c>
      <c r="FK125" s="449">
        <f>+INPUT!GR83</f>
        <v>2051.6474368534705</v>
      </c>
      <c r="FL125" s="438">
        <f>+INPUT!GS83</f>
        <v>-3.0902700357302137E-2</v>
      </c>
      <c r="FM125" s="449">
        <f>+INPUT!GT83</f>
        <v>2057.3516083235759</v>
      </c>
      <c r="FN125" s="438">
        <f>+INPUT!GU83</f>
        <v>0.27802883515180099</v>
      </c>
      <c r="FO125" s="449">
        <f>+INPUT!GV83</f>
        <v>2067.7794175626427</v>
      </c>
      <c r="FP125" s="438">
        <f>+INPUT!GW83</f>
        <v>0.50685595971432917</v>
      </c>
      <c r="FQ125" s="449">
        <f>+INPUT!GX83</f>
        <v>2083.277787821959</v>
      </c>
      <c r="FR125" s="438">
        <f>+INPUT!GY83</f>
        <v>0.74951758043827965</v>
      </c>
      <c r="FS125" s="438">
        <f>+INPUT!GZ83</f>
        <v>0.38140230523251439</v>
      </c>
    </row>
    <row r="126" spans="1:265" s="529" customFormat="1" ht="12.75" hidden="1" customHeight="1" outlineLevel="1" x14ac:dyDescent="0.2">
      <c r="A126" s="441" t="str">
        <f>+INPUT!B84</f>
        <v>Net DAC</v>
      </c>
      <c r="B126" s="449">
        <f>+INPUT!AA84</f>
        <v>-10</v>
      </c>
      <c r="C126" s="439">
        <f>+INPUT!AB84</f>
        <v>100</v>
      </c>
      <c r="D126" s="449">
        <f>+INPUT!AC84</f>
        <v>-45</v>
      </c>
      <c r="E126" s="439" t="str">
        <f>+INPUT!AD84</f>
        <v>NM</v>
      </c>
      <c r="F126" s="449">
        <f>+INPUT!AE84</f>
        <v>-62</v>
      </c>
      <c r="G126" s="439" t="str">
        <f>+INPUT!AF84</f>
        <v>NM</v>
      </c>
      <c r="H126" s="449">
        <f>+INPUT!AG84</f>
        <v>-103</v>
      </c>
      <c r="I126" s="439" t="str">
        <f>+INPUT!AH84</f>
        <v>NM</v>
      </c>
      <c r="J126" s="449">
        <f>+INPUT!AI84</f>
        <v>-61</v>
      </c>
      <c r="K126" s="439" t="str">
        <f>+INPUT!AJ84</f>
        <v>NM</v>
      </c>
      <c r="L126" s="449">
        <f>+INPUT!AK84</f>
        <v>-57</v>
      </c>
      <c r="M126" s="439">
        <f>+INPUT!AL84</f>
        <v>26.666666666666657</v>
      </c>
      <c r="N126" s="449">
        <f>+INPUT!AM84</f>
        <v>-39</v>
      </c>
      <c r="O126" s="439">
        <f>+INPUT!AN84</f>
        <v>-37.096774193548384</v>
      </c>
      <c r="P126" s="449">
        <f>+INPUT!AO84</f>
        <v>-71</v>
      </c>
      <c r="Q126" s="439">
        <f>+INPUT!AP84</f>
        <v>-31.067961165048544</v>
      </c>
      <c r="R126" s="449">
        <f>+INPUT!AQ84</f>
        <v>-29</v>
      </c>
      <c r="S126" s="439" t="str">
        <f>+INPUT!AR84</f>
        <v>NM</v>
      </c>
      <c r="T126" s="449">
        <f>+INPUT!AS84</f>
        <v>-62</v>
      </c>
      <c r="U126" s="439">
        <f>+INPUT!AT84</f>
        <v>8.7719298245614112</v>
      </c>
      <c r="V126" s="449">
        <f>+INPUT!AU84</f>
        <v>-81</v>
      </c>
      <c r="W126" s="439" t="str">
        <f>+INPUT!AV84</f>
        <v>NM</v>
      </c>
      <c r="X126" s="449">
        <f>+INPUT!AW84</f>
        <v>-76</v>
      </c>
      <c r="Y126" s="439">
        <f>+INPUT!AX84</f>
        <v>7.042253521126753</v>
      </c>
      <c r="Z126" s="449">
        <f>+INPUT!AY84</f>
        <v>-62</v>
      </c>
      <c r="AA126" s="439" t="str">
        <f>+INPUT!AZ84</f>
        <v>NM</v>
      </c>
      <c r="AB126" s="449">
        <f>+INPUT!BA84</f>
        <v>-82</v>
      </c>
      <c r="AC126" s="439">
        <f>+INPUT!BB84</f>
        <v>32.258064516129025</v>
      </c>
      <c r="AD126" s="449">
        <f>+INPUT!BC84</f>
        <v>-103</v>
      </c>
      <c r="AE126" s="439">
        <f>+INPUT!BD84</f>
        <v>27.160493827160508</v>
      </c>
      <c r="AF126" s="449">
        <f>+INPUT!BE84</f>
        <v>-84</v>
      </c>
      <c r="AG126" s="439">
        <f>+INPUT!BF84</f>
        <v>10.526315789473699</v>
      </c>
      <c r="AH126" s="449">
        <f>+INPUT!BG84</f>
        <v>-80</v>
      </c>
      <c r="AI126" s="438">
        <f>+INPUT!BH84</f>
        <v>29.032258064516128</v>
      </c>
      <c r="AJ126" s="449">
        <f>+INPUT!BI84</f>
        <v>-93</v>
      </c>
      <c r="AK126" s="438">
        <f>+INPUT!BJ84</f>
        <v>13.414634146341456</v>
      </c>
      <c r="AL126" s="449">
        <f>+INPUT!BK84</f>
        <v>-92</v>
      </c>
      <c r="AM126" s="438">
        <f>+INPUT!BL84</f>
        <v>-10.679611650485427</v>
      </c>
      <c r="AN126" s="449">
        <f>+INPUT!BM84</f>
        <v>-103</v>
      </c>
      <c r="AO126" s="438">
        <f>+INPUT!BN84</f>
        <v>22.61904761904762</v>
      </c>
      <c r="AP126" s="449">
        <f>+INPUT!BO84</f>
        <v>-100</v>
      </c>
      <c r="AQ126" s="438">
        <f>+INPUT!BP84</f>
        <v>25</v>
      </c>
      <c r="AR126" s="449">
        <f>+INPUT!BQ84</f>
        <v>-79</v>
      </c>
      <c r="AS126" s="438">
        <f>+INPUT!BR84</f>
        <v>-15.053763440860209</v>
      </c>
      <c r="AT126" s="449">
        <f>+INPUT!BS84</f>
        <v>-28</v>
      </c>
      <c r="AU126" s="438" t="str">
        <f>+INPUT!BT84</f>
        <v>NM</v>
      </c>
      <c r="AV126" s="449">
        <f>+INPUT!BU84</f>
        <v>-11</v>
      </c>
      <c r="AW126" s="438" t="str">
        <f>+INPUT!BV84</f>
        <v>NM</v>
      </c>
      <c r="AX126" s="449">
        <f>+INPUT!BW84</f>
        <v>-29</v>
      </c>
      <c r="AY126" s="438" t="str">
        <f>+INPUT!BX84</f>
        <v>NM</v>
      </c>
      <c r="AZ126" s="449">
        <f>+INPUT!BY84</f>
        <v>-228</v>
      </c>
      <c r="BA126" s="438" t="str">
        <f>+INPUT!BZ84</f>
        <v>NM</v>
      </c>
      <c r="BB126" s="449">
        <f>+INPUT!CA84</f>
        <v>-255</v>
      </c>
      <c r="BC126" s="438" t="str">
        <f>+INPUT!CB84</f>
        <v>NM</v>
      </c>
      <c r="BD126" s="449">
        <f>+INPUT!CC84</f>
        <v>-198</v>
      </c>
      <c r="BE126" s="438" t="str">
        <f>+INPUT!CD84</f>
        <v>NM</v>
      </c>
      <c r="BF126" s="449">
        <f>+INPUT!CE84</f>
        <v>-159</v>
      </c>
      <c r="BG126" s="438" t="str">
        <f>+INPUT!CF84</f>
        <v>NM</v>
      </c>
      <c r="BH126" s="449">
        <f>+INPUT!CG84</f>
        <v>-112</v>
      </c>
      <c r="BI126" s="438" t="str">
        <f>+INPUT!CH84</f>
        <v>NM</v>
      </c>
      <c r="BJ126" s="449">
        <f>+INPUT!CI84</f>
        <v>-336</v>
      </c>
      <c r="BK126" s="438">
        <f>+INPUT!CJ84</f>
        <v>31.764705882352928</v>
      </c>
      <c r="BL126" s="449">
        <f>+INPUT!CK84</f>
        <v>-251</v>
      </c>
      <c r="BM126" s="438">
        <f>+INPUT!CL84</f>
        <v>26.767676767676775</v>
      </c>
      <c r="BN126" s="449">
        <f>+INPUT!CM84</f>
        <v>-262</v>
      </c>
      <c r="BO126" s="438">
        <f>+INPUT!CN84</f>
        <v>64.779874213836479</v>
      </c>
      <c r="BP126" s="449">
        <f>+INPUT!CO84</f>
        <v>-104</v>
      </c>
      <c r="BQ126" s="438">
        <f>+INPUT!CP84</f>
        <v>-7.1428571428571388</v>
      </c>
      <c r="BR126" s="449">
        <f>+INPUT!CQ84</f>
        <v>3</v>
      </c>
      <c r="BS126" s="438" t="str">
        <f>+INPUT!CR84</f>
        <v>NM</v>
      </c>
      <c r="BT126" s="449">
        <f>+INPUT!CS84</f>
        <v>-139</v>
      </c>
      <c r="BU126" s="438">
        <f>+INPUT!CT84</f>
        <v>-44.621513944223111</v>
      </c>
      <c r="BV126" s="449">
        <f>+INPUT!CU84</f>
        <v>-168</v>
      </c>
      <c r="BW126" s="438">
        <f>+INPUT!CV84</f>
        <v>-35.877862595419856</v>
      </c>
      <c r="BX126" s="449">
        <f>+INPUT!CW84</f>
        <v>-117</v>
      </c>
      <c r="BY126" s="438">
        <f>+INPUT!CX84</f>
        <v>12.5</v>
      </c>
      <c r="BZ126" s="449">
        <f>+INPUT!CY84</f>
        <v>-324</v>
      </c>
      <c r="CA126" s="438" t="str">
        <f>+INPUT!CZ84</f>
        <v>NM</v>
      </c>
      <c r="CB126" s="449">
        <f>+INPUT!DA84</f>
        <v>-69</v>
      </c>
      <c r="CC126" s="438" t="str">
        <f>+INPUT!DB84</f>
        <v>NM</v>
      </c>
      <c r="CD126" s="449">
        <f>+INPUT!DC84</f>
        <v>-89</v>
      </c>
      <c r="CE126" s="438">
        <f>+INPUT!DD84</f>
        <v>-47.023809523809526</v>
      </c>
      <c r="CF126" s="449">
        <f>+INPUT!DE84</f>
        <v>-3</v>
      </c>
      <c r="CG126" s="438" t="str">
        <f>+INPUT!DF84</f>
        <v>NM</v>
      </c>
      <c r="CH126" s="449">
        <f>+INPUT!DG84</f>
        <v>-223</v>
      </c>
      <c r="CI126" s="438">
        <f>+INPUT!DH84</f>
        <v>-31.172839506172849</v>
      </c>
      <c r="CJ126" s="449">
        <f>+INPUT!DI84</f>
        <v>-26</v>
      </c>
      <c r="CK126" s="438" t="str">
        <f>+INPUT!DJ84</f>
        <v>NM</v>
      </c>
      <c r="CL126" s="449">
        <f>+INPUT!DK84</f>
        <v>6</v>
      </c>
      <c r="CM126" s="438" t="str">
        <f>+INPUT!DL84</f>
        <v>NM</v>
      </c>
      <c r="CN126" s="449">
        <f>+INPUT!DM84</f>
        <v>-3</v>
      </c>
      <c r="CO126" s="438">
        <f>+INPUT!DN84</f>
        <v>0</v>
      </c>
      <c r="CP126" s="449">
        <f>+INPUT!DO84</f>
        <v>14</v>
      </c>
      <c r="CQ126" s="438" t="str">
        <f>+INPUT!DP84</f>
        <v>NM</v>
      </c>
      <c r="CR126" s="449">
        <f>+INPUT!DQ84</f>
        <v>28</v>
      </c>
      <c r="CS126" s="438" t="str">
        <f>+INPUT!DR84</f>
        <v>NM</v>
      </c>
      <c r="CT126" s="449">
        <f>+INPUT!DS84</f>
        <v>-20</v>
      </c>
      <c r="CU126" s="438" t="str">
        <f>+INPUT!DT84</f>
        <v>NM</v>
      </c>
      <c r="CV126" s="449">
        <f>+INPUT!DU84</f>
        <v>-20</v>
      </c>
      <c r="CW126" s="438" t="str">
        <f>+INPUT!DV84</f>
        <v>NM</v>
      </c>
      <c r="CX126" s="449">
        <f>+INPUT!DW84</f>
        <v>59</v>
      </c>
      <c r="CY126" s="438" t="str">
        <f>+INPUT!DX84</f>
        <v>NM</v>
      </c>
      <c r="CZ126" s="449">
        <f>+INPUT!DY84</f>
        <v>16</v>
      </c>
      <c r="DA126" s="438">
        <f>+INPUT!DZ84</f>
        <v>-42.857142857142861</v>
      </c>
      <c r="DB126" s="449">
        <f>+INPUT!EA84</f>
        <v>44</v>
      </c>
      <c r="DC126" s="438" t="str">
        <f>+INPUT!EB84</f>
        <v>NM</v>
      </c>
      <c r="DD126" s="449">
        <f>+INPUT!EC84</f>
        <v>5</v>
      </c>
      <c r="DE126" s="438" t="str">
        <f>+INPUT!ED84</f>
        <v>NM</v>
      </c>
      <c r="DF126" s="449">
        <f>+INPUT!EE84</f>
        <v>-20</v>
      </c>
      <c r="DG126" s="438" t="str">
        <f>+INPUT!EF84</f>
        <v>NM</v>
      </c>
      <c r="DH126" s="449">
        <f>+INPUT!EG84</f>
        <v>47</v>
      </c>
      <c r="DI126" s="438" t="str">
        <f>+INPUT!EH84</f>
        <v>NM</v>
      </c>
      <c r="DJ126" s="449">
        <f>+INPUT!EI84</f>
        <v>49</v>
      </c>
      <c r="DK126" s="438">
        <f>+INPUT!EJ84</f>
        <v>11.36363636363636</v>
      </c>
      <c r="DL126" s="449">
        <f>+INPUT!EK84</f>
        <v>22</v>
      </c>
      <c r="DM126" s="438" t="str">
        <f>+INPUT!EL84</f>
        <v>NM</v>
      </c>
      <c r="DN126" s="449">
        <f>+INPUT!EM84</f>
        <v>45</v>
      </c>
      <c r="DO126" s="438" t="str">
        <f>+INPUT!EN84</f>
        <v>NM</v>
      </c>
      <c r="DP126" s="449">
        <f>+INPUT!EO84</f>
        <v>34</v>
      </c>
      <c r="DQ126" s="438">
        <f>+INPUT!EP84</f>
        <v>-27.659574468085097</v>
      </c>
      <c r="DR126" s="449">
        <f>+INPUT!EQ84</f>
        <v>48.547601743945052</v>
      </c>
      <c r="DS126" s="438">
        <f>+INPUT!ER84</f>
        <v>-0.92326174705091546</v>
      </c>
      <c r="DT126" s="449">
        <f>+INPUT!ES84</f>
        <v>48.166069186528752</v>
      </c>
      <c r="DU126" s="438" t="str">
        <f>+INPUT!ET84</f>
        <v>NM</v>
      </c>
      <c r="DV126" s="449">
        <f>+INPUT!EU84</f>
        <v>48.200358271059926</v>
      </c>
      <c r="DW126" s="438">
        <f>+INPUT!EV84</f>
        <v>7.111907269022069</v>
      </c>
      <c r="DX126" s="449">
        <f>+INPUT!EW84</f>
        <v>50.052727292101565</v>
      </c>
      <c r="DY126" s="438">
        <f>+INPUT!EX84</f>
        <v>47.213903800298738</v>
      </c>
      <c r="DZ126" s="449"/>
      <c r="EA126" s="438"/>
      <c r="EB126" s="439" t="str">
        <f>+INPUT!FI84</f>
        <v>NM</v>
      </c>
      <c r="EC126" s="449">
        <f>+INPUT!FJ84</f>
        <v>99</v>
      </c>
      <c r="ED126" s="439" t="str">
        <f>+INPUT!FK84</f>
        <v>NM</v>
      </c>
      <c r="EE126" s="449">
        <f>+INPUT!FL84</f>
        <v>-220</v>
      </c>
      <c r="EF126" s="439" t="str">
        <f>+INPUT!FM84</f>
        <v>NM</v>
      </c>
      <c r="EG126" s="449">
        <f>+INPUT!FN84</f>
        <v>-228</v>
      </c>
      <c r="EH126" s="439">
        <f>+INPUT!FO84</f>
        <v>3.6363636363636402</v>
      </c>
      <c r="EI126" s="449">
        <f>+INPUT!FP84</f>
        <v>-248</v>
      </c>
      <c r="EJ126" s="438">
        <f>+INPUT!FQ84</f>
        <v>8.7719298245614112</v>
      </c>
      <c r="EK126" s="449">
        <f>+INPUT!FR84</f>
        <v>-331</v>
      </c>
      <c r="EL126" s="438">
        <f>+INPUT!FS84</f>
        <v>33.467741935483872</v>
      </c>
      <c r="EM126" s="449">
        <f>+INPUT!FT84</f>
        <v>-368</v>
      </c>
      <c r="EN126" s="438">
        <f>+INPUT!FU84</f>
        <v>11.178247734138978</v>
      </c>
      <c r="EO126" s="449">
        <f>+INPUT!FV84</f>
        <v>0</v>
      </c>
      <c r="EP126" s="438" t="str">
        <f>+INPUT!FW84</f>
        <v>NM</v>
      </c>
      <c r="EQ126" s="449">
        <f>+INPUT!FX84</f>
        <v>-625</v>
      </c>
      <c r="ER126" s="438" t="str">
        <f>+INPUT!FY84</f>
        <v>NA</v>
      </c>
      <c r="ES126" s="449">
        <f>+INPUT!FZ84</f>
        <v>-858</v>
      </c>
      <c r="ET126" s="438">
        <f>+INPUT!GA84</f>
        <v>37.28</v>
      </c>
      <c r="EU126" s="449">
        <f>+INPUT!GB84</f>
        <v>-502</v>
      </c>
      <c r="EV126" s="438">
        <f>+INPUT!GC84</f>
        <v>-41.491841491841498</v>
      </c>
      <c r="EW126" s="449">
        <f>+INPUT!GD84</f>
        <v>-678</v>
      </c>
      <c r="EX126" s="438">
        <f>+INPUT!GE84</f>
        <v>35.059760956175296</v>
      </c>
      <c r="EY126" s="449">
        <f>+INPUT!GF84</f>
        <v>-341</v>
      </c>
      <c r="EZ126" s="438">
        <f>+INPUT!GG84</f>
        <v>-49.705014749262531</v>
      </c>
      <c r="FA126" s="449">
        <f>+INPUT!GH84</f>
        <v>45</v>
      </c>
      <c r="FB126" s="438" t="str">
        <f>+INPUT!GI84</f>
        <v>NM</v>
      </c>
      <c r="FC126" s="449">
        <f>+INPUT!GJ84</f>
        <v>35</v>
      </c>
      <c r="FD126" s="438">
        <f>+INPUT!GK84</f>
        <v>-22.222222222222214</v>
      </c>
      <c r="FE126" s="449">
        <f>+INPUT!GL84</f>
        <v>76</v>
      </c>
      <c r="FF126" s="438" t="str">
        <f>+INPUT!GM84</f>
        <v>NM</v>
      </c>
      <c r="FG126" s="449">
        <f>+INPUT!GN84</f>
        <v>150</v>
      </c>
      <c r="FH126" s="438">
        <f>+INPUT!GO84</f>
        <v>97.368421052631561</v>
      </c>
      <c r="FI126" s="449">
        <f>+INPUT!GP84</f>
        <v>194.96675649363527</v>
      </c>
      <c r="FJ126" s="438">
        <f>+INPUT!GQ84</f>
        <v>29.977837662423525</v>
      </c>
      <c r="FK126" s="449">
        <f>+INPUT!GR84</f>
        <v>194.90650650107966</v>
      </c>
      <c r="FL126" s="438">
        <f>+INPUT!GS84</f>
        <v>-3.0902700357316348E-2</v>
      </c>
      <c r="FM126" s="449">
        <f>+INPUT!GT84</f>
        <v>195.44840279073969</v>
      </c>
      <c r="FN126" s="438">
        <f>+INPUT!GU84</f>
        <v>0.27802883515180099</v>
      </c>
      <c r="FO126" s="449">
        <f>+INPUT!GV84</f>
        <v>196.43904466845103</v>
      </c>
      <c r="FP126" s="438">
        <f>+INPUT!GW84</f>
        <v>0.50685595971432917</v>
      </c>
      <c r="FQ126" s="449">
        <f>+INPUT!GX84</f>
        <v>197.91138984308608</v>
      </c>
      <c r="FR126" s="438">
        <f>+INPUT!GY84</f>
        <v>0.74951758043827965</v>
      </c>
      <c r="FS126" s="438">
        <f>+INPUT!GZ84</f>
        <v>5.7002235756733688</v>
      </c>
    </row>
    <row r="127" spans="1:265" s="529" customFormat="1" ht="12.75" hidden="1" customHeight="1" outlineLevel="1" x14ac:dyDescent="0.2">
      <c r="A127" s="538" t="str">
        <f>+INPUT!B85</f>
        <v>Total Benefits and Expenses</v>
      </c>
      <c r="B127" s="452">
        <f>+INPUT!AA85</f>
        <v>160</v>
      </c>
      <c r="C127" s="439">
        <f>+INPUT!AB85</f>
        <v>4.5751633986928226</v>
      </c>
      <c r="D127" s="452">
        <f>+INPUT!AC85</f>
        <v>218</v>
      </c>
      <c r="E127" s="439">
        <f>+INPUT!AD85</f>
        <v>3.8095238095238244</v>
      </c>
      <c r="F127" s="452">
        <f>+INPUT!AE85</f>
        <v>251</v>
      </c>
      <c r="G127" s="439">
        <f>+INPUT!AF85</f>
        <v>-0.79051383399209385</v>
      </c>
      <c r="H127" s="452">
        <f>+INPUT!AG85</f>
        <v>253</v>
      </c>
      <c r="I127" s="439">
        <f>+INPUT!AH85</f>
        <v>51.497005988023972</v>
      </c>
      <c r="J127" s="452">
        <f>+INPUT!AI85</f>
        <v>280</v>
      </c>
      <c r="K127" s="439">
        <f>+INPUT!AJ85</f>
        <v>75</v>
      </c>
      <c r="L127" s="452">
        <f>+INPUT!AK85</f>
        <v>293</v>
      </c>
      <c r="M127" s="439">
        <f>+INPUT!AL85</f>
        <v>34.403669724770651</v>
      </c>
      <c r="N127" s="452">
        <f>+INPUT!AM85</f>
        <v>302</v>
      </c>
      <c r="O127" s="439">
        <f>+INPUT!AN85</f>
        <v>20.318725099601593</v>
      </c>
      <c r="P127" s="452">
        <f>+INPUT!AO85</f>
        <v>276</v>
      </c>
      <c r="Q127" s="439">
        <f>+INPUT!AP85</f>
        <v>9.0909090909090793</v>
      </c>
      <c r="R127" s="452">
        <f>+INPUT!AQ85</f>
        <v>324</v>
      </c>
      <c r="S127" s="439">
        <f>+INPUT!AR85</f>
        <v>15.714285714285722</v>
      </c>
      <c r="T127" s="452">
        <f>+INPUT!AS85</f>
        <v>319</v>
      </c>
      <c r="U127" s="439">
        <f>+INPUT!AT85</f>
        <v>8.8737201365187701</v>
      </c>
      <c r="V127" s="452">
        <f>+INPUT!AU85</f>
        <v>280</v>
      </c>
      <c r="W127" s="439">
        <f>+INPUT!AV85</f>
        <v>-7.2847682119205359</v>
      </c>
      <c r="X127" s="452">
        <f>+INPUT!AW85</f>
        <v>289</v>
      </c>
      <c r="Y127" s="439">
        <f>+INPUT!AX85</f>
        <v>4.7101449275362341</v>
      </c>
      <c r="Z127" s="452">
        <f>+INPUT!AY85</f>
        <v>335</v>
      </c>
      <c r="AA127" s="439">
        <f>+INPUT!AZ85</f>
        <v>3.3950617283950493</v>
      </c>
      <c r="AB127" s="452">
        <f>+INPUT!BA85</f>
        <v>347</v>
      </c>
      <c r="AC127" s="439">
        <f>+INPUT!BB85</f>
        <v>8.7774294670846444</v>
      </c>
      <c r="AD127" s="452">
        <f>+INPUT!BC85</f>
        <v>391</v>
      </c>
      <c r="AE127" s="439">
        <f>+INPUT!BD85</f>
        <v>39.642857142857139</v>
      </c>
      <c r="AF127" s="452">
        <f>+INPUT!BE85</f>
        <v>442</v>
      </c>
      <c r="AG127" s="439">
        <f>+INPUT!BF85</f>
        <v>52.941176470588232</v>
      </c>
      <c r="AH127" s="452">
        <f>+INPUT!BG85</f>
        <v>438</v>
      </c>
      <c r="AI127" s="438">
        <f>+INPUT!BH85</f>
        <v>30.74626865671641</v>
      </c>
      <c r="AJ127" s="452">
        <f>+INPUT!BI85</f>
        <v>452</v>
      </c>
      <c r="AK127" s="438">
        <f>+INPUT!BJ85</f>
        <v>30.259365994236305</v>
      </c>
      <c r="AL127" s="452">
        <f>+INPUT!BK85</f>
        <v>428</v>
      </c>
      <c r="AM127" s="438">
        <f>+INPUT!BL85</f>
        <v>9.4629156010230133</v>
      </c>
      <c r="AN127" s="452">
        <f>+INPUT!BM85</f>
        <v>463</v>
      </c>
      <c r="AO127" s="438">
        <f>+INPUT!BN85</f>
        <v>4.7511312217194615</v>
      </c>
      <c r="AP127" s="452">
        <f>+INPUT!BO85</f>
        <v>458</v>
      </c>
      <c r="AQ127" s="438">
        <f>+INPUT!BP85</f>
        <v>4.5662100456621175</v>
      </c>
      <c r="AR127" s="452">
        <f>+INPUT!BQ85</f>
        <v>468</v>
      </c>
      <c r="AS127" s="438">
        <f>+INPUT!BR85</f>
        <v>3.5398230088495666</v>
      </c>
      <c r="AT127" s="452">
        <f>+INPUT!BS85</f>
        <v>835</v>
      </c>
      <c r="AU127" s="438">
        <f>+INPUT!BT85</f>
        <v>95.093457943925216</v>
      </c>
      <c r="AV127" s="452">
        <f>+INPUT!BU85</f>
        <v>1315</v>
      </c>
      <c r="AW127" s="438" t="str">
        <f>+INPUT!BV85</f>
        <v>NM</v>
      </c>
      <c r="AX127" s="452">
        <f>+INPUT!BW85</f>
        <v>818</v>
      </c>
      <c r="AY127" s="438">
        <f>+INPUT!BX85</f>
        <v>78.602620087336248</v>
      </c>
      <c r="AZ127" s="452">
        <f>+INPUT!BY85</f>
        <v>102</v>
      </c>
      <c r="BA127" s="438" t="str">
        <f>+INPUT!BZ85</f>
        <v>NM</v>
      </c>
      <c r="BB127" s="452">
        <f>+INPUT!CA85</f>
        <v>338</v>
      </c>
      <c r="BC127" s="438" t="str">
        <f>+INPUT!CB85</f>
        <v>NM</v>
      </c>
      <c r="BD127" s="452">
        <f>+INPUT!CC85</f>
        <v>500</v>
      </c>
      <c r="BE127" s="438" t="str">
        <f>+INPUT!CD85</f>
        <v>NM</v>
      </c>
      <c r="BF127" s="452">
        <f>+INPUT!CE85</f>
        <v>534</v>
      </c>
      <c r="BG127" s="438">
        <f>+INPUT!CF85</f>
        <v>-34.718826405867972</v>
      </c>
      <c r="BH127" s="452">
        <f>+INPUT!CG85</f>
        <v>912</v>
      </c>
      <c r="BI127" s="438" t="str">
        <f>+INPUT!CH85</f>
        <v>NM</v>
      </c>
      <c r="BJ127" s="452">
        <f>+INPUT!CI85</f>
        <v>255</v>
      </c>
      <c r="BK127" s="438">
        <f>+INPUT!CJ85</f>
        <v>-24.556213017751489</v>
      </c>
      <c r="BL127" s="452">
        <f>+INPUT!CK85</f>
        <v>544</v>
      </c>
      <c r="BM127" s="438">
        <f>+INPUT!CL85</f>
        <v>8.8000000000000114</v>
      </c>
      <c r="BN127" s="452">
        <f>+INPUT!CM85</f>
        <v>624</v>
      </c>
      <c r="BO127" s="438">
        <f>+INPUT!CN85</f>
        <v>16.853932584269657</v>
      </c>
      <c r="BP127" s="452">
        <f>+INPUT!CO85</f>
        <v>726</v>
      </c>
      <c r="BQ127" s="438">
        <f>+INPUT!CP85</f>
        <v>-20.39473684210526</v>
      </c>
      <c r="BR127" s="452">
        <f>+INPUT!CQ85</f>
        <v>1097</v>
      </c>
      <c r="BS127" s="438" t="str">
        <f>+INPUT!CR85</f>
        <v>NM</v>
      </c>
      <c r="BT127" s="452">
        <f>+INPUT!CS85</f>
        <v>529</v>
      </c>
      <c r="BU127" s="438">
        <f>+INPUT!CT85</f>
        <v>-2.7573529411764781</v>
      </c>
      <c r="BV127" s="452">
        <f>+INPUT!CU85</f>
        <v>537</v>
      </c>
      <c r="BW127" s="438">
        <f>+INPUT!CV85</f>
        <v>-13.942307692307693</v>
      </c>
      <c r="BX127" s="452">
        <f>+INPUT!CW85</f>
        <v>861</v>
      </c>
      <c r="BY127" s="438">
        <f>+INPUT!CX85</f>
        <v>18.595041322314046</v>
      </c>
      <c r="BZ127" s="452">
        <f>+INPUT!CY85</f>
        <v>811</v>
      </c>
      <c r="CA127" s="438">
        <f>+INPUT!CZ85</f>
        <v>-26.07110300820419</v>
      </c>
      <c r="CB127" s="452">
        <f>+INPUT!DA85</f>
        <v>735</v>
      </c>
      <c r="CC127" s="438">
        <f>+INPUT!DB85</f>
        <v>38.941398865784493</v>
      </c>
      <c r="CD127" s="452">
        <f>+INPUT!DC85</f>
        <v>696</v>
      </c>
      <c r="CE127" s="438">
        <f>+INPUT!DD85</f>
        <v>29.608938547486019</v>
      </c>
      <c r="CF127" s="452">
        <f>+INPUT!DE85</f>
        <v>719</v>
      </c>
      <c r="CG127" s="438">
        <f>+INPUT!DF85</f>
        <v>-16.492450638792093</v>
      </c>
      <c r="CH127" s="452">
        <f>+INPUT!DG85</f>
        <v>299</v>
      </c>
      <c r="CI127" s="438" t="str">
        <f>+INPUT!DH85</f>
        <v>NM</v>
      </c>
      <c r="CJ127" s="452">
        <f>+INPUT!DI85</f>
        <v>666</v>
      </c>
      <c r="CK127" s="438">
        <f>+INPUT!DJ85</f>
        <v>-9.3877551020408134</v>
      </c>
      <c r="CL127" s="452">
        <f>+INPUT!DK85</f>
        <v>769</v>
      </c>
      <c r="CM127" s="438">
        <f>+INPUT!DL85</f>
        <v>10.488505747126425</v>
      </c>
      <c r="CN127" s="452">
        <f>+INPUT!DM85</f>
        <v>781</v>
      </c>
      <c r="CO127" s="438">
        <f>+INPUT!DN85</f>
        <v>8.6230876216968113</v>
      </c>
      <c r="CP127" s="452">
        <f>+INPUT!DO85</f>
        <v>824</v>
      </c>
      <c r="CQ127" s="438" t="str">
        <f>+INPUT!DP85</f>
        <v>NM</v>
      </c>
      <c r="CR127" s="452">
        <f>+INPUT!DQ85</f>
        <v>869</v>
      </c>
      <c r="CS127" s="438">
        <f>+INPUT!DR85</f>
        <v>30.48048048048048</v>
      </c>
      <c r="CT127" s="452">
        <f>+INPUT!DS85</f>
        <v>658</v>
      </c>
      <c r="CU127" s="438">
        <f>+INPUT!DT85</f>
        <v>-14.434330299089723</v>
      </c>
      <c r="CV127" s="452">
        <f>+INPUT!DU85</f>
        <v>652</v>
      </c>
      <c r="CW127" s="438">
        <f>+INPUT!DV85</f>
        <v>-16.517285531370035</v>
      </c>
      <c r="CX127" s="452">
        <f>+INPUT!DW85</f>
        <v>857</v>
      </c>
      <c r="CY127" s="438">
        <f>+INPUT!DX85</f>
        <v>4.0048543689320297</v>
      </c>
      <c r="CZ127" s="452">
        <f>+INPUT!DY85</f>
        <v>731</v>
      </c>
      <c r="DA127" s="438">
        <f>+INPUT!DZ85</f>
        <v>-15.880322209436144</v>
      </c>
      <c r="DB127" s="452">
        <f>+INPUT!EA85</f>
        <v>781</v>
      </c>
      <c r="DC127" s="438">
        <f>+INPUT!EB85</f>
        <v>18.693009118541042</v>
      </c>
      <c r="DD127" s="452">
        <f>+INPUT!EC85</f>
        <v>716</v>
      </c>
      <c r="DE127" s="438">
        <f>+INPUT!ED85</f>
        <v>9.8159509202454132</v>
      </c>
      <c r="DF127" s="452">
        <f>+INPUT!EE85</f>
        <v>633</v>
      </c>
      <c r="DG127" s="438">
        <f>+INPUT!EF85</f>
        <v>-26.137689614935823</v>
      </c>
      <c r="DH127" s="452">
        <f>+INPUT!EG85</f>
        <v>771</v>
      </c>
      <c r="DI127" s="438">
        <f>+INPUT!EH85</f>
        <v>5.4719562243502224</v>
      </c>
      <c r="DJ127" s="452">
        <f>+INPUT!EI85</f>
        <v>747</v>
      </c>
      <c r="DK127" s="438">
        <f>+INPUT!EJ85</f>
        <v>-4.3533930857874452</v>
      </c>
      <c r="DL127" s="452">
        <f>+INPUT!EK85</f>
        <v>694</v>
      </c>
      <c r="DM127" s="438">
        <f>+INPUT!EL85</f>
        <v>-3.0726256983240319</v>
      </c>
      <c r="DN127" s="452">
        <f>+INPUT!EM85</f>
        <v>727</v>
      </c>
      <c r="DO127" s="438">
        <f>+INPUT!EN85</f>
        <v>14.849921011058441</v>
      </c>
      <c r="DP127" s="452">
        <f>+INPUT!EO85</f>
        <v>744</v>
      </c>
      <c r="DQ127" s="438">
        <f>+INPUT!EP85</f>
        <v>-3.5019455252918306</v>
      </c>
      <c r="DR127" s="452">
        <f>+INPUT!EQ85</f>
        <v>750.35328387307425</v>
      </c>
      <c r="DS127" s="438">
        <f>+INPUT!ER85</f>
        <v>0.44890011687741094</v>
      </c>
      <c r="DT127" s="452">
        <f>+INPUT!ES85</f>
        <v>743.83594035232841</v>
      </c>
      <c r="DU127" s="438">
        <f>+INPUT!ET85</f>
        <v>7.1809712323239694</v>
      </c>
      <c r="DV127" s="452">
        <f>+INPUT!EU85</f>
        <v>744.09610503202623</v>
      </c>
      <c r="DW127" s="438">
        <f>+INPUT!EV85</f>
        <v>2.3515962905125605</v>
      </c>
      <c r="DX127" s="452">
        <f>+INPUT!EW85</f>
        <v>765.35066502672862</v>
      </c>
      <c r="DY127" s="438">
        <f>+INPUT!EX85</f>
        <v>2.8697130412269587</v>
      </c>
      <c r="DZ127" s="452"/>
      <c r="EA127" s="438"/>
      <c r="EB127" s="439">
        <f>+INPUT!FI85</f>
        <v>-9.3994778067885107</v>
      </c>
      <c r="EC127" s="452">
        <f>+INPUT!FJ85</f>
        <v>783</v>
      </c>
      <c r="ED127" s="439">
        <f>+INPUT!FK85</f>
        <v>12.824207492795381</v>
      </c>
      <c r="EE127" s="452">
        <f>+INPUT!FL85</f>
        <v>882</v>
      </c>
      <c r="EF127" s="439">
        <f>+INPUT!FM85</f>
        <v>12.643678160919535</v>
      </c>
      <c r="EG127" s="452">
        <f>+INPUT!FN85</f>
        <v>1151</v>
      </c>
      <c r="EH127" s="439">
        <f>+INPUT!FO85</f>
        <v>30.498866213151928</v>
      </c>
      <c r="EI127" s="452">
        <f>+INPUT!FP85</f>
        <v>1212</v>
      </c>
      <c r="EJ127" s="438">
        <f>+INPUT!FQ85</f>
        <v>5.2997393570807958</v>
      </c>
      <c r="EK127" s="452">
        <f>+INPUT!FR85</f>
        <v>1515</v>
      </c>
      <c r="EL127" s="438">
        <f>+INPUT!FS85</f>
        <v>25</v>
      </c>
      <c r="EM127" s="452">
        <f>+INPUT!FT85</f>
        <v>1781</v>
      </c>
      <c r="EN127" s="438">
        <f>+INPUT!FU85</f>
        <v>17.557755775577562</v>
      </c>
      <c r="EO127" s="452">
        <f>+INPUT!FV85</f>
        <v>3392</v>
      </c>
      <c r="EP127" s="438">
        <f>+INPUT!FW85</f>
        <v>90.454800673778777</v>
      </c>
      <c r="EQ127" s="452">
        <f>+INPUT!FX85</f>
        <v>1843</v>
      </c>
      <c r="ER127" s="438">
        <f>+INPUT!FY85</f>
        <v>-45.66627358490566</v>
      </c>
      <c r="ES127" s="452">
        <f>+INPUT!FZ85</f>
        <v>2245</v>
      </c>
      <c r="ET127" s="438">
        <f>+INPUT!GA85</f>
        <v>21.812262615301137</v>
      </c>
      <c r="EU127" s="452">
        <f>+INPUT!GB85</f>
        <v>2976</v>
      </c>
      <c r="EV127" s="438">
        <f>+INPUT!GC85</f>
        <v>32.561247216035639</v>
      </c>
      <c r="EW127" s="452">
        <f>+INPUT!GD85</f>
        <v>2944</v>
      </c>
      <c r="EX127" s="438">
        <f>+INPUT!GE85</f>
        <v>-1.0752688172043037</v>
      </c>
      <c r="EY127" s="452">
        <f>+INPUT!GF85</f>
        <v>2380</v>
      </c>
      <c r="EZ127" s="438">
        <f>+INPUT!GG85</f>
        <v>-19.157608695652172</v>
      </c>
      <c r="FA127" s="452">
        <f>+INPUT!GH85</f>
        <v>3243</v>
      </c>
      <c r="FB127" s="438">
        <f>+INPUT!GI85</f>
        <v>36.260504201680675</v>
      </c>
      <c r="FC127" s="452">
        <f>+INPUT!GJ85</f>
        <v>2898</v>
      </c>
      <c r="FD127" s="438">
        <f>+INPUT!GK85</f>
        <v>-10.638297872340431</v>
      </c>
      <c r="FE127" s="452">
        <f>+INPUT!GL85</f>
        <v>2901</v>
      </c>
      <c r="FF127" s="438">
        <f>+INPUT!GM85</f>
        <v>0.1035196687370501</v>
      </c>
      <c r="FG127" s="452">
        <f>+INPUT!GN85</f>
        <v>2912</v>
      </c>
      <c r="FH127" s="438">
        <f>+INPUT!GO85</f>
        <v>0.37917959324371964</v>
      </c>
      <c r="FI127" s="452">
        <f>+INPUT!GP85</f>
        <v>3003.6359942841573</v>
      </c>
      <c r="FJ127" s="438">
        <f>+INPUT!GQ85</f>
        <v>3.1468404630548434</v>
      </c>
      <c r="FK127" s="452">
        <f>+INPUT!GR85</f>
        <v>3023.0888508895614</v>
      </c>
      <c r="FL127" s="438">
        <f>+INPUT!GS85</f>
        <v>0.64764361069124732</v>
      </c>
      <c r="FM127" s="452">
        <f>+INPUT!GT85</f>
        <v>3054.3390219390039</v>
      </c>
      <c r="FN127" s="438">
        <f>+INPUT!GU85</f>
        <v>1.0337165922280889</v>
      </c>
      <c r="FO127" s="452">
        <f>+INPUT!GV85</f>
        <v>3093.632510779225</v>
      </c>
      <c r="FP127" s="438">
        <f>+INPUT!GW85</f>
        <v>1.2864809229748317</v>
      </c>
      <c r="FQ127" s="452">
        <f>+INPUT!GX85</f>
        <v>3141.7743249062241</v>
      </c>
      <c r="FR127" s="438">
        <f>+INPUT!GY85</f>
        <v>1.5561581396386686</v>
      </c>
      <c r="FS127" s="438">
        <f>+INPUT!GZ85</f>
        <v>1.5305463342751402</v>
      </c>
    </row>
    <row r="128" spans="1:265" s="529" customFormat="1" ht="12.75" hidden="1" customHeight="1" outlineLevel="1" x14ac:dyDescent="0.2">
      <c r="A128" s="446"/>
      <c r="B128" s="449"/>
      <c r="C128" s="439"/>
      <c r="D128" s="449"/>
      <c r="E128" s="439"/>
      <c r="F128" s="449"/>
      <c r="G128" s="439"/>
      <c r="H128" s="449"/>
      <c r="I128" s="439"/>
      <c r="J128" s="449"/>
      <c r="K128" s="439"/>
      <c r="L128" s="449"/>
      <c r="M128" s="439"/>
      <c r="N128" s="449"/>
      <c r="O128" s="439"/>
      <c r="P128" s="449"/>
      <c r="Q128" s="439"/>
      <c r="R128" s="449"/>
      <c r="S128" s="439"/>
      <c r="T128" s="449"/>
      <c r="U128" s="439"/>
      <c r="V128" s="449"/>
      <c r="W128" s="439"/>
      <c r="X128" s="449"/>
      <c r="Y128" s="439"/>
      <c r="Z128" s="449"/>
      <c r="AA128" s="439"/>
      <c r="AB128" s="449"/>
      <c r="AC128" s="439"/>
      <c r="AD128" s="449"/>
      <c r="AE128" s="439"/>
      <c r="AF128" s="449"/>
      <c r="AG128" s="439"/>
      <c r="AH128" s="449"/>
      <c r="AI128" s="438"/>
      <c r="AJ128" s="449"/>
      <c r="AK128" s="438"/>
      <c r="AL128" s="449"/>
      <c r="AM128" s="438"/>
      <c r="AN128" s="449"/>
      <c r="AO128" s="438"/>
      <c r="AP128" s="449"/>
      <c r="AQ128" s="438"/>
      <c r="AR128" s="449"/>
      <c r="AS128" s="438"/>
      <c r="AT128" s="449"/>
      <c r="AU128" s="438"/>
      <c r="AV128" s="449"/>
      <c r="AW128" s="438"/>
      <c r="AX128" s="449"/>
      <c r="AY128" s="438"/>
      <c r="AZ128" s="449"/>
      <c r="BA128" s="438"/>
      <c r="BB128" s="449"/>
      <c r="BC128" s="438"/>
      <c r="BD128" s="449"/>
      <c r="BE128" s="438"/>
      <c r="BF128" s="449"/>
      <c r="BG128" s="438"/>
      <c r="BH128" s="449"/>
      <c r="BI128" s="438"/>
      <c r="BJ128" s="449"/>
      <c r="BK128" s="438"/>
      <c r="BL128" s="449"/>
      <c r="BM128" s="438"/>
      <c r="BN128" s="449"/>
      <c r="BO128" s="438"/>
      <c r="BP128" s="449"/>
      <c r="BQ128" s="438"/>
      <c r="BR128" s="449"/>
      <c r="BS128" s="438"/>
      <c r="BT128" s="449"/>
      <c r="BU128" s="438"/>
      <c r="BV128" s="449"/>
      <c r="BW128" s="438"/>
      <c r="BX128" s="449"/>
      <c r="BY128" s="438"/>
      <c r="BZ128" s="449"/>
      <c r="CA128" s="438"/>
      <c r="CB128" s="449"/>
      <c r="CC128" s="438"/>
      <c r="CD128" s="449"/>
      <c r="CE128" s="438"/>
      <c r="CF128" s="449"/>
      <c r="CG128" s="438"/>
      <c r="CH128" s="449"/>
      <c r="CI128" s="438"/>
      <c r="CJ128" s="449"/>
      <c r="CK128" s="438"/>
      <c r="CL128" s="449"/>
      <c r="CM128" s="438"/>
      <c r="CN128" s="449"/>
      <c r="CO128" s="438"/>
      <c r="CP128" s="449"/>
      <c r="CQ128" s="438"/>
      <c r="CR128" s="449"/>
      <c r="CS128" s="438"/>
      <c r="CT128" s="449"/>
      <c r="CU128" s="438"/>
      <c r="CV128" s="449"/>
      <c r="CW128" s="438"/>
      <c r="CX128" s="449"/>
      <c r="CY128" s="438"/>
      <c r="CZ128" s="449"/>
      <c r="DA128" s="438"/>
      <c r="DB128" s="449"/>
      <c r="DC128" s="438"/>
      <c r="DD128" s="449"/>
      <c r="DE128" s="438"/>
      <c r="DF128" s="449"/>
      <c r="DG128" s="438"/>
      <c r="DH128" s="449"/>
      <c r="DI128" s="438"/>
      <c r="DJ128" s="449"/>
      <c r="DK128" s="438"/>
      <c r="DL128" s="449"/>
      <c r="DM128" s="438"/>
      <c r="DN128" s="449"/>
      <c r="DO128" s="438"/>
      <c r="DP128" s="449"/>
      <c r="DQ128" s="438"/>
      <c r="DR128" s="449"/>
      <c r="DS128" s="438"/>
      <c r="DT128" s="449"/>
      <c r="DU128" s="438"/>
      <c r="DV128" s="449"/>
      <c r="DW128" s="438"/>
      <c r="DX128" s="449"/>
      <c r="DY128" s="438"/>
      <c r="DZ128" s="449"/>
      <c r="EA128" s="438"/>
      <c r="EB128" s="439"/>
      <c r="EC128" s="449"/>
      <c r="ED128" s="439"/>
      <c r="EE128" s="449"/>
      <c r="EF128" s="439"/>
      <c r="EG128" s="449"/>
      <c r="EH128" s="439"/>
      <c r="EI128" s="449"/>
      <c r="EJ128" s="438"/>
      <c r="EK128" s="449"/>
      <c r="EL128" s="438"/>
      <c r="EM128" s="449"/>
      <c r="EN128" s="438"/>
      <c r="EO128" s="449"/>
      <c r="EP128" s="438"/>
      <c r="EQ128" s="449"/>
      <c r="ER128" s="438"/>
      <c r="ES128" s="449"/>
      <c r="ET128" s="438"/>
      <c r="EU128" s="449"/>
      <c r="EV128" s="438"/>
      <c r="EW128" s="449"/>
      <c r="EX128" s="438"/>
      <c r="EY128" s="449"/>
      <c r="EZ128" s="438"/>
      <c r="FA128" s="449"/>
      <c r="FB128" s="438"/>
      <c r="FC128" s="449"/>
      <c r="FD128" s="438"/>
      <c r="FE128" s="449"/>
      <c r="FF128" s="438"/>
      <c r="FG128" s="449"/>
      <c r="FH128" s="438"/>
      <c r="FI128" s="449"/>
      <c r="FJ128" s="438"/>
      <c r="FK128" s="449"/>
      <c r="FL128" s="438"/>
      <c r="FM128" s="449"/>
      <c r="FN128" s="438"/>
      <c r="FO128" s="449"/>
      <c r="FP128" s="438"/>
      <c r="FQ128" s="449"/>
      <c r="FR128" s="438"/>
      <c r="FS128" s="438"/>
    </row>
    <row r="129" spans="1:176" ht="12.75" hidden="1" customHeight="1" outlineLevel="1" x14ac:dyDescent="0.2">
      <c r="A129" s="505" t="s">
        <v>706</v>
      </c>
      <c r="B129" s="506">
        <f>+INPUT!AA93</f>
        <v>23</v>
      </c>
      <c r="C129" s="507">
        <f>+INPUT!AB93</f>
        <v>-20.689655172413794</v>
      </c>
      <c r="D129" s="506">
        <f>+INPUT!AC93</f>
        <v>65</v>
      </c>
      <c r="E129" s="507" t="str">
        <f>+INPUT!AD93</f>
        <v>NM</v>
      </c>
      <c r="F129" s="506">
        <f>+INPUT!AE93</f>
        <v>78</v>
      </c>
      <c r="G129" s="507" t="str">
        <f>+INPUT!AF93</f>
        <v>NM</v>
      </c>
      <c r="H129" s="506">
        <f>+INPUT!AG93</f>
        <v>96</v>
      </c>
      <c r="I129" s="507" t="str">
        <f>+INPUT!AH93</f>
        <v>NM</v>
      </c>
      <c r="J129" s="506">
        <f>+INPUT!AI93</f>
        <v>98</v>
      </c>
      <c r="K129" s="507" t="str">
        <f>+INPUT!AJ93</f>
        <v>NM</v>
      </c>
      <c r="L129" s="506">
        <f>+INPUT!AK93</f>
        <v>94</v>
      </c>
      <c r="M129" s="507">
        <f>+INPUT!AL93</f>
        <v>44.615384615384613</v>
      </c>
      <c r="N129" s="506">
        <f>+INPUT!AM93</f>
        <v>96</v>
      </c>
      <c r="O129" s="507">
        <f>+INPUT!AN93</f>
        <v>23.07692307692308</v>
      </c>
      <c r="P129" s="506">
        <f>+INPUT!AO93</f>
        <v>139</v>
      </c>
      <c r="Q129" s="507">
        <f>+INPUT!AP93</f>
        <v>44.791666666666686</v>
      </c>
      <c r="R129" s="506">
        <f>+INPUT!AQ93</f>
        <v>100</v>
      </c>
      <c r="S129" s="507">
        <f>+INPUT!AR93</f>
        <v>2.0408163265306172</v>
      </c>
      <c r="T129" s="506">
        <f>+INPUT!AS93</f>
        <v>101</v>
      </c>
      <c r="U129" s="507">
        <f>+INPUT!AT93</f>
        <v>7.4468085106383057</v>
      </c>
      <c r="V129" s="506">
        <f>+INPUT!AU93</f>
        <v>161</v>
      </c>
      <c r="W129" s="507">
        <f>+INPUT!AV93</f>
        <v>67.708333333333314</v>
      </c>
      <c r="X129" s="506">
        <f>+INPUT!AW93</f>
        <v>143</v>
      </c>
      <c r="Y129" s="507">
        <f>+INPUT!AX93</f>
        <v>2.8776978417266292</v>
      </c>
      <c r="Z129" s="506">
        <f>+INPUT!AY93</f>
        <v>118</v>
      </c>
      <c r="AA129" s="507">
        <f>+INPUT!AZ93</f>
        <v>18</v>
      </c>
      <c r="AB129" s="506">
        <f>+INPUT!BA93</f>
        <v>122</v>
      </c>
      <c r="AC129" s="507">
        <f>+INPUT!BB93</f>
        <v>20.792079207920793</v>
      </c>
      <c r="AD129" s="506">
        <f>+INPUT!BC93</f>
        <v>192</v>
      </c>
      <c r="AE129" s="507">
        <f>+INPUT!BD93</f>
        <v>19.254658385093165</v>
      </c>
      <c r="AF129" s="506">
        <f>+INPUT!BE93</f>
        <v>154</v>
      </c>
      <c r="AG129" s="507">
        <f>+INPUT!BF93</f>
        <v>7.6923076923076934</v>
      </c>
      <c r="AH129" s="506">
        <f>+INPUT!BG93</f>
        <v>166</v>
      </c>
      <c r="AI129" s="507">
        <f>+INPUT!BH93</f>
        <v>40.677966101694921</v>
      </c>
      <c r="AJ129" s="506">
        <f>+INPUT!BI93</f>
        <v>180</v>
      </c>
      <c r="AK129" s="507">
        <f>+INPUT!BJ93</f>
        <v>47.540983606557376</v>
      </c>
      <c r="AL129" s="506">
        <f>+INPUT!BK93</f>
        <v>205</v>
      </c>
      <c r="AM129" s="507">
        <f>+INPUT!BL93</f>
        <v>6.7708333333333286</v>
      </c>
      <c r="AN129" s="506">
        <f>+INPUT!BM93</f>
        <v>171</v>
      </c>
      <c r="AO129" s="507">
        <f>+INPUT!BN93</f>
        <v>11.038961038961048</v>
      </c>
      <c r="AP129" s="506">
        <f>+INPUT!BO93</f>
        <v>115</v>
      </c>
      <c r="AQ129" s="507">
        <f>+INPUT!BP93</f>
        <v>-30.722891566265062</v>
      </c>
      <c r="AR129" s="506">
        <f>+INPUT!BQ93</f>
        <v>154</v>
      </c>
      <c r="AS129" s="507">
        <f>+INPUT!BR93</f>
        <v>-14.444444444444443</v>
      </c>
      <c r="AT129" s="506">
        <f>+INPUT!BS93</f>
        <v>-307</v>
      </c>
      <c r="AU129" s="507" t="str">
        <f>+INPUT!BT93</f>
        <v>NM</v>
      </c>
      <c r="AV129" s="506">
        <f>+INPUT!BU93</f>
        <v>-1039</v>
      </c>
      <c r="AW129" s="507" t="str">
        <f>+INPUT!BV93</f>
        <v>NM</v>
      </c>
      <c r="AX129" s="506">
        <f>+INPUT!BW93</f>
        <v>-244</v>
      </c>
      <c r="AY129" s="507" t="str">
        <f>+INPUT!BX93</f>
        <v>NM</v>
      </c>
      <c r="AZ129" s="506">
        <f>+INPUT!BY93</f>
        <v>489</v>
      </c>
      <c r="BA129" s="507" t="str">
        <f>+INPUT!BZ93</f>
        <v>NM</v>
      </c>
      <c r="BB129" s="506">
        <f>+INPUT!CA93</f>
        <v>315</v>
      </c>
      <c r="BC129" s="507" t="str">
        <f>+INPUT!CB93</f>
        <v>NM</v>
      </c>
      <c r="BD129" s="506">
        <f>+INPUT!CC93</f>
        <v>197</v>
      </c>
      <c r="BE129" s="507" t="str">
        <f>+INPUT!CD93</f>
        <v>NM</v>
      </c>
      <c r="BF129" s="506">
        <f>+INPUT!CE93</f>
        <v>225</v>
      </c>
      <c r="BG129" s="507" t="str">
        <f>+INPUT!CF93</f>
        <v>NM</v>
      </c>
      <c r="BH129" s="506">
        <f>+INPUT!CG93</f>
        <v>-144</v>
      </c>
      <c r="BI129" s="507" t="str">
        <f>+INPUT!CH93</f>
        <v>NM</v>
      </c>
      <c r="BJ129" s="506">
        <f>+INPUT!CI93</f>
        <v>552</v>
      </c>
      <c r="BK129" s="507">
        <f>+INPUT!CJ93</f>
        <v>75.238095238095241</v>
      </c>
      <c r="BL129" s="506">
        <f>+INPUT!CK93</f>
        <v>317</v>
      </c>
      <c r="BM129" s="507">
        <f>+INPUT!CL93</f>
        <v>60.913705583756354</v>
      </c>
      <c r="BN129" s="506">
        <f>+INPUT!CM93</f>
        <v>274</v>
      </c>
      <c r="BO129" s="507">
        <f>+INPUT!CN93</f>
        <v>21.777777777777786</v>
      </c>
      <c r="BP129" s="506">
        <f>+INPUT!CO93</f>
        <v>207</v>
      </c>
      <c r="BQ129" s="507" t="str">
        <f>+INPUT!CP93</f>
        <v>NM</v>
      </c>
      <c r="BR129" s="506">
        <f>+INPUT!CQ93</f>
        <v>-192</v>
      </c>
      <c r="BS129" s="507" t="str">
        <f>+INPUT!CR93</f>
        <v>NM</v>
      </c>
      <c r="BT129" s="506">
        <f>+INPUT!CS93</f>
        <v>373</v>
      </c>
      <c r="BU129" s="507">
        <f>+INPUT!CT93</f>
        <v>17.66561514195584</v>
      </c>
      <c r="BV129" s="506">
        <f>+INPUT!CU93</f>
        <v>421</v>
      </c>
      <c r="BW129" s="507">
        <f>+INPUT!CV93</f>
        <v>53.649635036496363</v>
      </c>
      <c r="BX129" s="506">
        <f>+INPUT!CW93</f>
        <v>107</v>
      </c>
      <c r="BY129" s="507">
        <f>+INPUT!CX93</f>
        <v>-48.309178743961354</v>
      </c>
      <c r="BZ129" s="506">
        <f>+INPUT!CY93</f>
        <v>207</v>
      </c>
      <c r="CA129" s="507" t="str">
        <f>+INPUT!CZ93</f>
        <v>NM</v>
      </c>
      <c r="CB129" s="506">
        <f>+INPUT!DA93</f>
        <v>304</v>
      </c>
      <c r="CC129" s="507">
        <f>+INPUT!DB93</f>
        <v>-18.498659517426276</v>
      </c>
      <c r="CD129" s="506">
        <f>+INPUT!DC93</f>
        <v>372</v>
      </c>
      <c r="CE129" s="507">
        <f>+INPUT!DD93</f>
        <v>-11.63895486935867</v>
      </c>
      <c r="CF129" s="506">
        <f>+INPUT!DE93</f>
        <v>400</v>
      </c>
      <c r="CG129" s="507" t="str">
        <f>+INPUT!DF93</f>
        <v>NM</v>
      </c>
      <c r="CH129" s="506">
        <f>+INPUT!DG93</f>
        <v>821</v>
      </c>
      <c r="CI129" s="507" t="str">
        <f>+INPUT!DH93</f>
        <v>NM</v>
      </c>
      <c r="CJ129" s="506">
        <f>+INPUT!DI93</f>
        <v>492</v>
      </c>
      <c r="CK129" s="507">
        <f>+INPUT!DJ93</f>
        <v>61.84210526315789</v>
      </c>
      <c r="CL129" s="506">
        <f>+INPUT!DK93</f>
        <v>388</v>
      </c>
      <c r="CM129" s="507">
        <f>+INPUT!DL93</f>
        <v>4.3010752688172005</v>
      </c>
      <c r="CN129" s="506">
        <f>+INPUT!DM93</f>
        <v>390</v>
      </c>
      <c r="CO129" s="507">
        <f>+INPUT!DN93</f>
        <v>-2.5</v>
      </c>
      <c r="CP129" s="506">
        <f>+INPUT!DO93</f>
        <v>367</v>
      </c>
      <c r="CQ129" s="507" t="str">
        <f>+INPUT!DP93</f>
        <v>NM</v>
      </c>
      <c r="CR129" s="506">
        <f>+INPUT!DQ93</f>
        <v>322</v>
      </c>
      <c r="CS129" s="507">
        <f>+INPUT!DR93</f>
        <v>-34.552845528455293</v>
      </c>
      <c r="CT129" s="506">
        <f>+INPUT!DS93</f>
        <v>529</v>
      </c>
      <c r="CU129" s="507">
        <f>+INPUT!DT93</f>
        <v>36.340206185567013</v>
      </c>
      <c r="CV129" s="506">
        <f>+INPUT!DU93</f>
        <v>548</v>
      </c>
      <c r="CW129" s="507">
        <f>+INPUT!DV93</f>
        <v>40.512820512820497</v>
      </c>
      <c r="CX129" s="506">
        <f>+INPUT!DW93</f>
        <v>310</v>
      </c>
      <c r="CY129" s="507">
        <f>+INPUT!DX93</f>
        <v>-15.53133514986375</v>
      </c>
      <c r="CZ129" s="506">
        <f>+INPUT!DY93</f>
        <v>410</v>
      </c>
      <c r="DA129" s="507">
        <f>+INPUT!DZ93</f>
        <v>27.329192546583855</v>
      </c>
      <c r="DB129" s="506">
        <f>+INPUT!EA93</f>
        <v>328</v>
      </c>
      <c r="DC129" s="507">
        <f>+INPUT!EB93</f>
        <v>-37.996219281663514</v>
      </c>
      <c r="DD129" s="506">
        <f>+INPUT!EC93</f>
        <v>427</v>
      </c>
      <c r="DE129" s="507">
        <f>+INPUT!ED93</f>
        <v>-22.080291970802918</v>
      </c>
      <c r="DF129" s="506">
        <f>+INPUT!EE93</f>
        <v>588</v>
      </c>
      <c r="DG129" s="507">
        <f>+INPUT!EF93</f>
        <v>89.677419354838719</v>
      </c>
      <c r="DH129" s="506">
        <f>+INPUT!EG93</f>
        <v>422</v>
      </c>
      <c r="DI129" s="507">
        <f>+INPUT!EH93</f>
        <v>2.9268292682926926</v>
      </c>
      <c r="DJ129" s="506">
        <f>+INPUT!EI93</f>
        <v>468</v>
      </c>
      <c r="DK129" s="507">
        <f>+INPUT!EJ93</f>
        <v>42.682926829268297</v>
      </c>
      <c r="DL129" s="506">
        <f>+INPUT!EK93</f>
        <v>612</v>
      </c>
      <c r="DM129" s="507">
        <f>+INPUT!EL93</f>
        <v>43.325526932084301</v>
      </c>
      <c r="DN129" s="506">
        <f>+INPUT!EM93</f>
        <v>577</v>
      </c>
      <c r="DO129" s="507">
        <f>+INPUT!EN93</f>
        <v>-1.8707482993197289</v>
      </c>
      <c r="DP129" s="506">
        <f>+INPUT!EO93</f>
        <v>541</v>
      </c>
      <c r="DQ129" s="507">
        <f>+INPUT!EP93</f>
        <v>28.199052132701411</v>
      </c>
      <c r="DR129" s="506">
        <f>+INPUT!EQ93</f>
        <v>527.21518307284816</v>
      </c>
      <c r="DS129" s="507">
        <f>+INPUT!ER93</f>
        <v>12.652816895907733</v>
      </c>
      <c r="DT129" s="506">
        <f>+INPUT!ES93</f>
        <v>523.69219613527025</v>
      </c>
      <c r="DU129" s="507">
        <f>+INPUT!ET93</f>
        <v>-14.42937971645911</v>
      </c>
      <c r="DV129" s="506">
        <f>+INPUT!EU93</f>
        <v>524.33437578534028</v>
      </c>
      <c r="DW129" s="507">
        <f>+INPUT!EV93</f>
        <v>-9.1274911983812359</v>
      </c>
      <c r="DX129" s="506">
        <f>+INPUT!EW93</f>
        <v>504.2175605180164</v>
      </c>
      <c r="DY129" s="507">
        <f>+INPUT!EX93</f>
        <v>-6.798972177815827</v>
      </c>
      <c r="DZ129" s="506"/>
      <c r="EA129" s="507"/>
      <c r="EB129" s="507">
        <f>+INPUT!FI93</f>
        <v>-27.210884353741491</v>
      </c>
      <c r="EC129" s="506">
        <f>+INPUT!FJ93</f>
        <v>-42</v>
      </c>
      <c r="ED129" s="507" t="str">
        <f>+INPUT!FK93</f>
        <v>NM</v>
      </c>
      <c r="EE129" s="506">
        <f>+INPUT!FL93</f>
        <v>262</v>
      </c>
      <c r="EF129" s="507" t="str">
        <f>+INPUT!FM93</f>
        <v>NM</v>
      </c>
      <c r="EG129" s="506">
        <f>+INPUT!FN93</f>
        <v>427</v>
      </c>
      <c r="EH129" s="507">
        <f>+INPUT!FO93</f>
        <v>62.977099236641237</v>
      </c>
      <c r="EI129" s="506">
        <f>+INPUT!FP93</f>
        <v>505</v>
      </c>
      <c r="EJ129" s="507">
        <f>+INPUT!FQ93</f>
        <v>18.266978922716632</v>
      </c>
      <c r="EK129" s="506">
        <f>+INPUT!FR93</f>
        <v>586</v>
      </c>
      <c r="EL129" s="507">
        <f>+INPUT!FS93</f>
        <v>16.039603960396036</v>
      </c>
      <c r="EM129" s="506">
        <f>+INPUT!FT93</f>
        <v>722</v>
      </c>
      <c r="EN129" s="507">
        <f>+INPUT!FU93</f>
        <v>23.208191126279857</v>
      </c>
      <c r="EO129" s="506">
        <f>+INPUT!FV93</f>
        <v>-955</v>
      </c>
      <c r="EP129" s="507" t="str">
        <f>+INPUT!FW93</f>
        <v>NM</v>
      </c>
      <c r="EQ129" s="506">
        <f>+INPUT!FX93</f>
        <v>672</v>
      </c>
      <c r="ER129" s="507" t="str">
        <f>+INPUT!FY93</f>
        <v>NM</v>
      </c>
      <c r="ES129" s="506">
        <f>+INPUT!FZ93</f>
        <v>950</v>
      </c>
      <c r="ET129" s="507">
        <f>+INPUT!GA93</f>
        <v>41.36904761904762</v>
      </c>
      <c r="EU129" s="506">
        <f>+INPUT!GB93</f>
        <v>662</v>
      </c>
      <c r="EV129" s="507">
        <f>+INPUT!GC93</f>
        <v>-30.315789473684205</v>
      </c>
      <c r="EW129" s="506">
        <f>+INPUT!GD93</f>
        <v>1039</v>
      </c>
      <c r="EX129" s="507">
        <f>+INPUT!GE93</f>
        <v>56.948640483383684</v>
      </c>
      <c r="EY129" s="506">
        <f>+INPUT!GF93</f>
        <v>2085</v>
      </c>
      <c r="EZ129" s="507" t="str">
        <f>+INPUT!GG93</f>
        <v>NM</v>
      </c>
      <c r="FA129" s="506">
        <f>+INPUT!GH93</f>
        <v>1467</v>
      </c>
      <c r="FB129" s="507">
        <f>+INPUT!GI93</f>
        <v>-29.640287769784166</v>
      </c>
      <c r="FC129" s="506">
        <f>+INPUT!GJ93</f>
        <v>1797</v>
      </c>
      <c r="FD129" s="507">
        <f>+INPUT!GK93</f>
        <v>22.494887525562362</v>
      </c>
      <c r="FE129" s="506">
        <f>+INPUT!GL93</f>
        <v>1765</v>
      </c>
      <c r="FF129" s="507">
        <f>+INPUT!GM93</f>
        <v>-1.780745687256541</v>
      </c>
      <c r="FG129" s="506">
        <f>+INPUT!GN93</f>
        <v>2198</v>
      </c>
      <c r="FH129" s="507">
        <f>+INPUT!GO93</f>
        <v>24.532577903682721</v>
      </c>
      <c r="FI129" s="506">
        <f>+INPUT!GP93</f>
        <v>2079.4593155114753</v>
      </c>
      <c r="FJ129" s="507">
        <f>+INPUT!GQ93</f>
        <v>-5.3931157638091349</v>
      </c>
      <c r="FK129" s="506">
        <f>+INPUT!GR93</f>
        <v>2045.8808109448855</v>
      </c>
      <c r="FL129" s="507">
        <f>+INPUT!GS93</f>
        <v>-1.6147709318530588</v>
      </c>
      <c r="FM129" s="506">
        <f>+INPUT!GT93</f>
        <v>2016.1961540738039</v>
      </c>
      <c r="FN129" s="507">
        <f>+INPUT!GU93</f>
        <v>-1.4509475191456573</v>
      </c>
      <c r="FO129" s="506">
        <f>+INPUT!GV93</f>
        <v>1990.0737062204503</v>
      </c>
      <c r="FP129" s="507">
        <f>+INPUT!GW93</f>
        <v>-1.2956302788581411</v>
      </c>
      <c r="FQ129" s="506">
        <f>+INPUT!GX93</f>
        <v>1967.4739029153461</v>
      </c>
      <c r="FR129" s="507">
        <f>+INPUT!GY93</f>
        <v>-1.135626446119204</v>
      </c>
      <c r="FS129" s="507">
        <f>+INPUT!GZ93</f>
        <v>-2.1915765948057664</v>
      </c>
    </row>
    <row r="130" spans="1:176" ht="12.75" hidden="1" customHeight="1" outlineLevel="2" x14ac:dyDescent="0.2">
      <c r="A130" s="471" t="s">
        <v>683</v>
      </c>
      <c r="B130" s="472">
        <f>(B116+B117+B118-B122-B123-B124-B125-B126)-B129</f>
        <v>0</v>
      </c>
      <c r="C130" s="473"/>
      <c r="D130" s="472">
        <f>(D116+D117+D118-D122-D123-D124-D125-D126)-D129</f>
        <v>0</v>
      </c>
      <c r="E130" s="473"/>
      <c r="F130" s="472">
        <f>(F116+F117+F118-F122-F123-F124-F125-F126)-F129</f>
        <v>0</v>
      </c>
      <c r="G130" s="473"/>
      <c r="H130" s="472">
        <f>(H116+H117+H118-H122-H123-H124-H125-H126)-H129</f>
        <v>0</v>
      </c>
      <c r="I130" s="473"/>
      <c r="J130" s="472">
        <f>(J116+J117+J118-J122-J123-J124-J125-J126)-J129</f>
        <v>0</v>
      </c>
      <c r="K130" s="473"/>
      <c r="L130" s="472">
        <f>(L116+L117+L118-L122-L123-L124-L125-L126)-L129</f>
        <v>0</v>
      </c>
      <c r="M130" s="473"/>
      <c r="N130" s="472">
        <f>(N116+N117+N118-N122-N123-N124-N125-N126)-N129</f>
        <v>0</v>
      </c>
      <c r="O130" s="473"/>
      <c r="P130" s="472">
        <f>(P116+P117+P118-P122-P123-P124-P125-P126)-P129</f>
        <v>0</v>
      </c>
      <c r="Q130" s="473"/>
      <c r="R130" s="472">
        <f>(R116+R117+R118-R122-R123-R124-R125-R126)-R129</f>
        <v>0</v>
      </c>
      <c r="S130" s="473"/>
      <c r="T130" s="472">
        <f>(T116+T117+T118-T122-T123-T124-T125-T126)-T129</f>
        <v>0</v>
      </c>
      <c r="U130" s="473"/>
      <c r="V130" s="472">
        <f>(V116+V117+V118-V122-V123-V124-V125-V126)-V129</f>
        <v>0</v>
      </c>
      <c r="W130" s="473"/>
      <c r="X130" s="472">
        <f>(X116+X117+X118-X122-X123-X124-X125-X126)-X129</f>
        <v>0</v>
      </c>
      <c r="Y130" s="473"/>
      <c r="Z130" s="472">
        <f>(Z116+Z117+Z118-Z122-Z123-Z124-Z125-Z126)-Z129</f>
        <v>0</v>
      </c>
      <c r="AA130" s="473"/>
      <c r="AB130" s="472">
        <f>(AB116+AB117+AB118-AB122-AB123-AB124-AB125-AB126)-AB129</f>
        <v>0</v>
      </c>
      <c r="AC130" s="473"/>
      <c r="AD130" s="472">
        <f>(AD116+AD117+AD118-AD122-AD123-AD124-AD125-AD126)-AD129</f>
        <v>0</v>
      </c>
      <c r="AE130" s="473"/>
      <c r="AF130" s="472">
        <f>(AF116+AF117+AF118-AF122-AF123-AF124-AF125-AF126)-AF129</f>
        <v>0</v>
      </c>
      <c r="AG130" s="473"/>
      <c r="AH130" s="472">
        <f>(AH116+AH117+AH118-AH122-AH123-AH124-AH125-AH126)-AH129</f>
        <v>0</v>
      </c>
      <c r="AI130" s="473"/>
      <c r="AJ130" s="472">
        <f>(AJ116+AJ117+AJ118-AJ122-AJ123-AJ124-AJ125-AJ126)-AJ129</f>
        <v>0</v>
      </c>
      <c r="AK130" s="473"/>
      <c r="AL130" s="472">
        <f>(AL116+AL117+AL118-AL122-AL123-AL124-AL125-AL126)-AL129</f>
        <v>0</v>
      </c>
      <c r="AM130" s="473"/>
      <c r="AN130" s="472">
        <f>(AN116+AN117+AN118-AN122-AN123-AN124-AN125-AN126)-AN129</f>
        <v>0</v>
      </c>
      <c r="AO130" s="473"/>
      <c r="AP130" s="472">
        <f>(AP116+AP117+AP118-AP122-AP123-AP124-AP125-AP126)-AP129</f>
        <v>0</v>
      </c>
      <c r="AQ130" s="473"/>
      <c r="AR130" s="472">
        <f>(AR116+AR117+AR118-AR122-AR123-AR124-AR125-AR126)-AR129</f>
        <v>0</v>
      </c>
      <c r="AS130" s="473"/>
      <c r="AT130" s="472">
        <f>(AT116+AT117+AT118-AT122-AT123-AT124-AT125-AT126)-AT129</f>
        <v>0</v>
      </c>
      <c r="AU130" s="473"/>
      <c r="AV130" s="472">
        <f>(AV116+AV117+AV118-AV122-AV123-AV124-AV125-AV126)-AV129</f>
        <v>0</v>
      </c>
      <c r="AW130" s="473"/>
      <c r="AX130" s="472">
        <f>(AX116+AX117+AX118-AX122-AX123-AX124-AX125-AX126)-AX129</f>
        <v>0</v>
      </c>
      <c r="AY130" s="473"/>
      <c r="AZ130" s="472">
        <f>(AZ116+AZ117+AZ118-AZ122-AZ123-AZ124-AZ125-AZ126)-AZ129</f>
        <v>0</v>
      </c>
      <c r="BA130" s="473"/>
      <c r="BB130" s="472">
        <f>(BB116+BB117+BB118-BB122-BB123-BB124-BB125-BB126)-BB129</f>
        <v>0</v>
      </c>
      <c r="BC130" s="473"/>
      <c r="BD130" s="472">
        <f>(BD116+BD117+BD118-BD122-BD123-BD124-BD125-BD126)-BD129</f>
        <v>0</v>
      </c>
      <c r="BE130" s="473"/>
      <c r="BF130" s="472">
        <f>(BF116+BF117+BF118-BF122-BF123-BF124-BF125-BF126)-BF129</f>
        <v>0</v>
      </c>
      <c r="BG130" s="473"/>
      <c r="BH130" s="472">
        <f>(BH116+BH117+BH118-BH122-BH123-BH124-BH125-BH126)-BH129</f>
        <v>0</v>
      </c>
      <c r="BI130" s="473"/>
      <c r="BJ130" s="472">
        <f>(BJ116+BJ117+BJ118-BJ122-BJ123-BJ124-BJ125-BJ126)-BJ129</f>
        <v>0</v>
      </c>
      <c r="BK130" s="473"/>
      <c r="BL130" s="472">
        <f>(BL116+BL117+BL118-BL122-BL123-BL124-BL125-BL126)-BL129</f>
        <v>0</v>
      </c>
      <c r="BM130" s="473"/>
      <c r="BN130" s="472">
        <f>(BN116+BN117+BN118-BN122-BN123-BN124-BN125-BN126)-BN129</f>
        <v>0</v>
      </c>
      <c r="BO130" s="473"/>
      <c r="BP130" s="472">
        <f>(BP116+BP117+BP118-BP122-BP123-BP124-BP125-BP126)-BP129</f>
        <v>0</v>
      </c>
      <c r="BQ130" s="473"/>
      <c r="BR130" s="472">
        <f>(BR116+BR117+BR118-BR122-BR123-BR124-BR125-BR126)-BR129</f>
        <v>0</v>
      </c>
      <c r="BS130" s="473"/>
      <c r="BT130" s="472">
        <f>(BT116+BT117+BT118-BT122-BT123-BT124-BT125-BT126)-BT129</f>
        <v>0</v>
      </c>
      <c r="BU130" s="473"/>
      <c r="BV130" s="472">
        <f>(BV116+BV117+BV118-BV122-BV123-BV124-BV125-BV126)-BV129</f>
        <v>0</v>
      </c>
      <c r="BW130" s="473"/>
      <c r="BX130" s="472">
        <f>(BX116+BX117+BX118-BX122-BX123-BX124-BX125-BX126)-BX129</f>
        <v>0</v>
      </c>
      <c r="BY130" s="473"/>
      <c r="BZ130" s="472">
        <f>(BZ116+BZ117+BZ118-BZ122-BZ123-BZ124-BZ125-BZ126)-BZ129</f>
        <v>0</v>
      </c>
      <c r="CA130" s="473"/>
      <c r="CB130" s="472">
        <f>(CB116+CB117+CB118-CB122-CB123-CB124-CB125-CB126)-CB129</f>
        <v>0</v>
      </c>
      <c r="CC130" s="473"/>
      <c r="CD130" s="472">
        <f>(CD116+CD117+CD118-CD122-CD123-CD124-CD125-CD126)-CD129</f>
        <v>0</v>
      </c>
      <c r="CE130" s="473"/>
      <c r="CF130" s="472">
        <f>(CF116+CF117+CF118-CF122-CF123-CF124-CF125-CF126)-CF129</f>
        <v>0</v>
      </c>
      <c r="CG130" s="473"/>
      <c r="CH130" s="472">
        <f>(CH116+CH117+CH118-CH122-CH123-CH124-CH125-CH126)-CH129</f>
        <v>0</v>
      </c>
      <c r="CI130" s="473"/>
      <c r="CJ130" s="472">
        <f>(CJ116+CJ117+CJ118-CJ122-CJ123-CJ124-CJ125-CJ126)-CJ129</f>
        <v>0</v>
      </c>
      <c r="CK130" s="473"/>
      <c r="CL130" s="472">
        <f>(CL116+CL117+CL118-CL122-CL123-CL124-CL125-CL126)-CL129</f>
        <v>0</v>
      </c>
      <c r="CM130" s="473"/>
      <c r="CN130" s="472">
        <f>(CN116+CN117+CN118-CN122-CN123-CN124-CN125-CN126)-CN129</f>
        <v>0</v>
      </c>
      <c r="CO130" s="473"/>
      <c r="CP130" s="472">
        <f>(CP116+CP117+CP118-CP122-CP123-CP124-CP125-CP126)-CP129</f>
        <v>0</v>
      </c>
      <c r="CQ130" s="473"/>
      <c r="CR130" s="472">
        <f>(CR116+CR117+CR118-CR122-CR123-CR124-CR125-CR126)-CR129</f>
        <v>0</v>
      </c>
      <c r="CS130" s="473"/>
      <c r="CT130" s="472">
        <f>(CT116+CT117+CT118-CT122-CT123-CT124-CT125-CT126)-CT129</f>
        <v>0</v>
      </c>
      <c r="CU130" s="473"/>
      <c r="CV130" s="472">
        <f>(CV116+CV117+CV118-CV122-CV123-CV124-CV125-CV126)-CV129</f>
        <v>0</v>
      </c>
      <c r="CW130" s="473"/>
      <c r="CX130" s="472">
        <f>(CX116+CX117+CX118-CX122-CX123-CX124-CX125-CX126)-CX129</f>
        <v>0</v>
      </c>
      <c r="CY130" s="473"/>
      <c r="CZ130" s="472">
        <f>(CZ116+CZ117+CZ118-CZ122-CZ123-CZ124-CZ125-CZ126)-CZ129</f>
        <v>0</v>
      </c>
      <c r="DA130" s="473"/>
      <c r="DB130" s="472">
        <f>(DB116+DB117+DB118-DB122-DB123-DB124-DB125-DB126)-DB129</f>
        <v>0</v>
      </c>
      <c r="DC130" s="473"/>
      <c r="DD130" s="472">
        <f>(DD116+DD117+DD118-DD122-DD123-DD124-DD125-DD126)-DD129</f>
        <v>0</v>
      </c>
      <c r="DE130" s="473"/>
      <c r="DF130" s="472">
        <f>(DF116+DF117+DF118-DF122-DF123-DF124-DF125-DF126)-DF129</f>
        <v>0</v>
      </c>
      <c r="DG130" s="473"/>
      <c r="DH130" s="472">
        <f>(DH116+DH117+DH118-DH122-DH123-DH124-DH125-DH126)-DH129</f>
        <v>0</v>
      </c>
      <c r="DI130" s="473"/>
      <c r="DJ130" s="472">
        <f>(DJ116+DJ117+DJ118-DJ122-DJ123-DJ124-DJ125-DJ126)-DJ129</f>
        <v>0</v>
      </c>
      <c r="DK130" s="473"/>
      <c r="DL130" s="472">
        <f>(DL116+DL117+DL118-DL122-DL123-DL124-DL125-DL126)-DL129</f>
        <v>0</v>
      </c>
      <c r="DM130" s="473"/>
      <c r="DN130" s="472">
        <f>(DN116+DN117+DN118-DN122-DN123-DN124-DN125-DN126)-DN129</f>
        <v>0</v>
      </c>
      <c r="DO130" s="473"/>
      <c r="DP130" s="472">
        <f>(DP116+DP117+DP118-DP122-DP123-DP124-DP125-DP126)-DP129</f>
        <v>0</v>
      </c>
      <c r="DQ130" s="473"/>
      <c r="DR130" s="472">
        <f>(DR116+DR117+DR118-DR122-DR123-DR124-DR125-DR126)-DR129</f>
        <v>0</v>
      </c>
      <c r="DS130" s="473"/>
      <c r="DT130" s="472">
        <f>(DT116+DT117+DT118-DT122-DT123-DT124-DT125-DT126)-DT129</f>
        <v>0</v>
      </c>
      <c r="DU130" s="473"/>
      <c r="DV130" s="472">
        <f>(DV116+DV117+DV118-DV122-DV123-DV124-DV125-DV126)-DV129</f>
        <v>0</v>
      </c>
      <c r="DW130" s="473"/>
      <c r="DX130" s="472">
        <f>(DX116+DX117+DX118-DX122-DX123-DX124-DX125-DX126)-DX129</f>
        <v>0</v>
      </c>
      <c r="DY130" s="473"/>
      <c r="DZ130" s="472"/>
      <c r="EA130" s="473"/>
      <c r="EB130" s="473"/>
      <c r="EC130" s="472">
        <f>(EC116+EC117+EC118-EC122-EC123-EC124-EC125-EC126)-EC129</f>
        <v>0</v>
      </c>
      <c r="ED130" s="473"/>
      <c r="EE130" s="472">
        <f>(EE116+EE117+EE118-EE122-EE123-EE124-EE125-EE126)-EE129</f>
        <v>0</v>
      </c>
      <c r="EF130" s="473"/>
      <c r="EG130" s="472">
        <f>(EG116+EG117+EG118-EG122-EG123-EG124-EG125-EG126)-EG129</f>
        <v>0</v>
      </c>
      <c r="EH130" s="473"/>
      <c r="EI130" s="472">
        <f>(EI116+EI117+EI118-EI122-EI123-EI124-EI125-EI126)-EI129</f>
        <v>0</v>
      </c>
      <c r="EJ130" s="473"/>
      <c r="EK130" s="472">
        <f>(EK116+EK117+EK118-EK122-EK123-EK124-EK125-EK126)-EK129</f>
        <v>0</v>
      </c>
      <c r="EL130" s="473"/>
      <c r="EM130" s="472">
        <f>(EM116+EM117+EM118-EM122-EM123-EM124-EM125-EM126)-EM129</f>
        <v>0</v>
      </c>
      <c r="EN130" s="473"/>
      <c r="EO130" s="472">
        <f>(EO116+EO117+EO118-EO122-EO123-EO124-EO125-EO126)-EO129</f>
        <v>0</v>
      </c>
      <c r="EP130" s="473"/>
      <c r="EQ130" s="472">
        <f>(EQ116+EQ117+EQ118-EQ122-EQ123-EQ124-EQ125-EQ126)-EQ129</f>
        <v>0</v>
      </c>
      <c r="ER130" s="473"/>
      <c r="ES130" s="472">
        <f>(ES116+ES117+ES118-ES122-ES123-ES124-ES125-ES126)-ES129</f>
        <v>0</v>
      </c>
      <c r="ET130" s="473"/>
      <c r="EU130" s="472">
        <f>(EU116+EU117+EU118-EU122-EU123-EU124-EU125-EU126)-EU129</f>
        <v>0</v>
      </c>
      <c r="EV130" s="473"/>
      <c r="EW130" s="472">
        <f>(EW116+EW117+EW118-EW122-EW123-EW124-EW125-EW126)-EW129</f>
        <v>0</v>
      </c>
      <c r="EX130" s="473"/>
      <c r="EY130" s="472">
        <f>(EY116+EY117+EY118-EY122-EY123-EY124-EY125-EY126)-EY129</f>
        <v>0</v>
      </c>
      <c r="EZ130" s="473"/>
      <c r="FA130" s="472">
        <f>(FA116+FA117+FA118-FA122-FA123-FA124-FA125-FA126)-FA129</f>
        <v>0</v>
      </c>
      <c r="FB130" s="473"/>
      <c r="FC130" s="472">
        <f>(FC116+FC117+FC118-FC122-FC123-FC124-FC125-FC126)-FC129</f>
        <v>0</v>
      </c>
      <c r="FD130" s="473"/>
      <c r="FE130" s="472">
        <f>(FE116+FE117+FE118-FE122-FE123-FE124-FE125-FE126)-FE129</f>
        <v>0</v>
      </c>
      <c r="FF130" s="473"/>
      <c r="FG130" s="472">
        <f>(FG116+FG117+FG118-FG122-FG123-FG124-FG125-FG126)-FG129</f>
        <v>0</v>
      </c>
      <c r="FH130" s="473"/>
      <c r="FI130" s="472">
        <f>(FI116+FI117+FI118-FI122-FI123-FI124-FI125-FI126)-FI129</f>
        <v>0</v>
      </c>
      <c r="FJ130" s="473"/>
      <c r="FK130" s="472">
        <f>(FK116+FK117+FK118-FK122-FK123-FK124-FK125-FK126)-FK129</f>
        <v>0</v>
      </c>
      <c r="FL130" s="473"/>
      <c r="FM130" s="472">
        <f>(FM116+FM117+FM118-FM122-FM123-FM124-FM125-FM126)-FM129</f>
        <v>0</v>
      </c>
      <c r="FN130" s="473"/>
      <c r="FO130" s="472">
        <f>(FO116+FO117+FO118-FO122-FO123-FO124-FO125-FO126)-FO129</f>
        <v>0</v>
      </c>
      <c r="FP130" s="473"/>
      <c r="FQ130" s="472">
        <f>(FQ116+FQ117+FQ118-FQ122-FQ123-FQ124-FQ125-FQ126)-FQ129</f>
        <v>0</v>
      </c>
      <c r="FR130" s="473"/>
      <c r="FS130" s="474"/>
      <c r="FT130" s="351"/>
    </row>
    <row r="131" spans="1:176" s="529" customFormat="1" ht="12.75" hidden="1" customHeight="1" outlineLevel="1" collapsed="1" x14ac:dyDescent="0.2">
      <c r="A131" s="446"/>
      <c r="B131" s="449"/>
      <c r="C131" s="439"/>
      <c r="D131" s="449"/>
      <c r="E131" s="439"/>
      <c r="F131" s="449"/>
      <c r="G131" s="439"/>
      <c r="H131" s="449"/>
      <c r="I131" s="439"/>
      <c r="J131" s="449"/>
      <c r="K131" s="439"/>
      <c r="L131" s="449"/>
      <c r="M131" s="439"/>
      <c r="N131" s="449"/>
      <c r="O131" s="439"/>
      <c r="P131" s="449"/>
      <c r="Q131" s="439"/>
      <c r="R131" s="449"/>
      <c r="S131" s="439"/>
      <c r="T131" s="449"/>
      <c r="U131" s="439"/>
      <c r="V131" s="449"/>
      <c r="W131" s="439"/>
      <c r="X131" s="449"/>
      <c r="Y131" s="439"/>
      <c r="Z131" s="449"/>
      <c r="AA131" s="439"/>
      <c r="AB131" s="449"/>
      <c r="AC131" s="439"/>
      <c r="AD131" s="449"/>
      <c r="AE131" s="439"/>
      <c r="AF131" s="449"/>
      <c r="AG131" s="439"/>
      <c r="AH131" s="449"/>
      <c r="AI131" s="438"/>
      <c r="AJ131" s="449"/>
      <c r="AK131" s="438"/>
      <c r="AL131" s="449"/>
      <c r="AM131" s="438"/>
      <c r="AN131" s="449"/>
      <c r="AO131" s="438"/>
      <c r="AP131" s="449"/>
      <c r="AQ131" s="438"/>
      <c r="AR131" s="449"/>
      <c r="AS131" s="438"/>
      <c r="AT131" s="449"/>
      <c r="AU131" s="438"/>
      <c r="AV131" s="449"/>
      <c r="AW131" s="438"/>
      <c r="AX131" s="449"/>
      <c r="AY131" s="438"/>
      <c r="AZ131" s="449"/>
      <c r="BA131" s="438"/>
      <c r="BB131" s="449"/>
      <c r="BC131" s="438"/>
      <c r="BD131" s="449"/>
      <c r="BE131" s="438"/>
      <c r="BF131" s="449"/>
      <c r="BG131" s="438"/>
      <c r="BH131" s="449"/>
      <c r="BI131" s="438"/>
      <c r="BJ131" s="449"/>
      <c r="BK131" s="438"/>
      <c r="BL131" s="449"/>
      <c r="BM131" s="438"/>
      <c r="BN131" s="449"/>
      <c r="BO131" s="438"/>
      <c r="BP131" s="449"/>
      <c r="BQ131" s="438"/>
      <c r="BR131" s="449"/>
      <c r="BS131" s="438"/>
      <c r="BT131" s="449"/>
      <c r="BU131" s="438"/>
      <c r="BV131" s="449"/>
      <c r="BW131" s="438"/>
      <c r="BX131" s="449"/>
      <c r="BY131" s="438"/>
      <c r="BZ131" s="449"/>
      <c r="CA131" s="438"/>
      <c r="CB131" s="449"/>
      <c r="CC131" s="438"/>
      <c r="CD131" s="449"/>
      <c r="CE131" s="438"/>
      <c r="CF131" s="449"/>
      <c r="CG131" s="438"/>
      <c r="CH131" s="449"/>
      <c r="CI131" s="438"/>
      <c r="CJ131" s="449"/>
      <c r="CK131" s="438"/>
      <c r="CL131" s="449"/>
      <c r="CM131" s="438"/>
      <c r="CN131" s="449"/>
      <c r="CO131" s="438"/>
      <c r="CP131" s="449"/>
      <c r="CQ131" s="438"/>
      <c r="CR131" s="449"/>
      <c r="CS131" s="438"/>
      <c r="CT131" s="449"/>
      <c r="CU131" s="438"/>
      <c r="CV131" s="449"/>
      <c r="CW131" s="438"/>
      <c r="CX131" s="449"/>
      <c r="CY131" s="438"/>
      <c r="CZ131" s="449"/>
      <c r="DA131" s="438"/>
      <c r="DB131" s="449"/>
      <c r="DC131" s="438"/>
      <c r="DD131" s="449"/>
      <c r="DE131" s="438"/>
      <c r="DF131" s="449"/>
      <c r="DG131" s="438"/>
      <c r="DH131" s="449"/>
      <c r="DI131" s="438"/>
      <c r="DJ131" s="449"/>
      <c r="DK131" s="438"/>
      <c r="DL131" s="449"/>
      <c r="DM131" s="438"/>
      <c r="DN131" s="449"/>
      <c r="DO131" s="438"/>
      <c r="DP131" s="449"/>
      <c r="DQ131" s="438"/>
      <c r="DR131" s="449"/>
      <c r="DS131" s="438"/>
      <c r="DT131" s="449"/>
      <c r="DU131" s="438"/>
      <c r="DV131" s="449"/>
      <c r="DW131" s="438"/>
      <c r="DX131" s="449"/>
      <c r="DY131" s="438"/>
      <c r="DZ131" s="449"/>
      <c r="EA131" s="438"/>
      <c r="EB131" s="439"/>
      <c r="EC131" s="449"/>
      <c r="ED131" s="439"/>
      <c r="EE131" s="449"/>
      <c r="EF131" s="439"/>
      <c r="EG131" s="449"/>
      <c r="EH131" s="439"/>
      <c r="EI131" s="449"/>
      <c r="EJ131" s="438"/>
      <c r="EK131" s="449"/>
      <c r="EL131" s="438"/>
      <c r="EM131" s="449"/>
      <c r="EN131" s="438"/>
      <c r="EO131" s="449"/>
      <c r="EP131" s="438"/>
      <c r="EQ131" s="449"/>
      <c r="ER131" s="438"/>
      <c r="ES131" s="449"/>
      <c r="ET131" s="438"/>
      <c r="EU131" s="449"/>
      <c r="EV131" s="438"/>
      <c r="EW131" s="449"/>
      <c r="EX131" s="438"/>
      <c r="EY131" s="449"/>
      <c r="EZ131" s="438"/>
      <c r="FA131" s="449"/>
      <c r="FB131" s="438"/>
      <c r="FC131" s="449"/>
      <c r="FD131" s="438"/>
      <c r="FE131" s="449"/>
      <c r="FF131" s="438"/>
      <c r="FG131" s="449"/>
      <c r="FH131" s="438"/>
      <c r="FI131" s="449"/>
      <c r="FJ131" s="438"/>
      <c r="FK131" s="449"/>
      <c r="FL131" s="438"/>
      <c r="FM131" s="449"/>
      <c r="FN131" s="438"/>
      <c r="FO131" s="449"/>
      <c r="FP131" s="438"/>
      <c r="FQ131" s="449"/>
      <c r="FR131" s="438"/>
      <c r="FS131" s="438"/>
    </row>
    <row r="132" spans="1:176" s="529" customFormat="1" ht="12.75" hidden="1" customHeight="1" outlineLevel="1" x14ac:dyDescent="0.2">
      <c r="A132" s="446" t="s">
        <v>255</v>
      </c>
      <c r="B132" s="449"/>
      <c r="C132" s="439"/>
      <c r="D132" s="449"/>
      <c r="E132" s="439"/>
      <c r="F132" s="449"/>
      <c r="G132" s="439"/>
      <c r="H132" s="449"/>
      <c r="I132" s="439"/>
      <c r="J132" s="449"/>
      <c r="K132" s="439"/>
      <c r="L132" s="449"/>
      <c r="M132" s="439"/>
      <c r="N132" s="449"/>
      <c r="O132" s="439"/>
      <c r="P132" s="449"/>
      <c r="Q132" s="439"/>
      <c r="R132" s="449"/>
      <c r="S132" s="439"/>
      <c r="T132" s="449"/>
      <c r="U132" s="439"/>
      <c r="V132" s="449"/>
      <c r="W132" s="439"/>
      <c r="X132" s="449"/>
      <c r="Y132" s="439"/>
      <c r="Z132" s="449"/>
      <c r="AA132" s="439"/>
      <c r="AB132" s="449"/>
      <c r="AC132" s="439"/>
      <c r="AD132" s="449"/>
      <c r="AE132" s="439"/>
      <c r="AF132" s="449"/>
      <c r="AG132" s="439"/>
      <c r="AH132" s="449"/>
      <c r="AI132" s="438"/>
      <c r="AJ132" s="449"/>
      <c r="AK132" s="438"/>
      <c r="AL132" s="449"/>
      <c r="AM132" s="438"/>
      <c r="AN132" s="449"/>
      <c r="AO132" s="438"/>
      <c r="AP132" s="449"/>
      <c r="AQ132" s="438"/>
      <c r="AR132" s="449"/>
      <c r="AS132" s="438"/>
      <c r="AT132" s="449"/>
      <c r="AU132" s="438"/>
      <c r="AV132" s="449"/>
      <c r="AW132" s="438"/>
      <c r="AX132" s="449"/>
      <c r="AY132" s="438"/>
      <c r="AZ132" s="449"/>
      <c r="BA132" s="438"/>
      <c r="BB132" s="449"/>
      <c r="BC132" s="438"/>
      <c r="BD132" s="449"/>
      <c r="BE132" s="438"/>
      <c r="BF132" s="449"/>
      <c r="BG132" s="438"/>
      <c r="BH132" s="449"/>
      <c r="BI132" s="438"/>
      <c r="BJ132" s="449"/>
      <c r="BK132" s="438"/>
      <c r="BL132" s="449"/>
      <c r="BM132" s="438"/>
      <c r="BN132" s="449"/>
      <c r="BO132" s="438"/>
      <c r="BP132" s="449"/>
      <c r="BQ132" s="438"/>
      <c r="BR132" s="449"/>
      <c r="BS132" s="438"/>
      <c r="BT132" s="449"/>
      <c r="BU132" s="438"/>
      <c r="BV132" s="449"/>
      <c r="BW132" s="438"/>
      <c r="BX132" s="449"/>
      <c r="BY132" s="438"/>
      <c r="BZ132" s="449"/>
      <c r="CA132" s="438"/>
      <c r="CB132" s="449"/>
      <c r="CC132" s="438"/>
      <c r="CD132" s="449"/>
      <c r="CE132" s="438"/>
      <c r="CF132" s="449"/>
      <c r="CG132" s="438"/>
      <c r="CH132" s="449"/>
      <c r="CI132" s="438"/>
      <c r="CJ132" s="449"/>
      <c r="CK132" s="438"/>
      <c r="CL132" s="449"/>
      <c r="CM132" s="438"/>
      <c r="CN132" s="449"/>
      <c r="CO132" s="438"/>
      <c r="CP132" s="449"/>
      <c r="CQ132" s="438"/>
      <c r="CR132" s="449"/>
      <c r="CS132" s="438"/>
      <c r="CT132" s="449"/>
      <c r="CU132" s="438"/>
      <c r="CV132" s="449"/>
      <c r="CW132" s="438"/>
      <c r="CX132" s="449"/>
      <c r="CY132" s="438"/>
      <c r="CZ132" s="449"/>
      <c r="DA132" s="438"/>
      <c r="DB132" s="449"/>
      <c r="DC132" s="438"/>
      <c r="DD132" s="449"/>
      <c r="DE132" s="438"/>
      <c r="DF132" s="449"/>
      <c r="DG132" s="438"/>
      <c r="DH132" s="449"/>
      <c r="DI132" s="438"/>
      <c r="DJ132" s="449"/>
      <c r="DK132" s="438"/>
      <c r="DL132" s="449"/>
      <c r="DM132" s="438"/>
      <c r="DN132" s="449"/>
      <c r="DO132" s="438"/>
      <c r="DP132" s="449"/>
      <c r="DQ132" s="438"/>
      <c r="DR132" s="449"/>
      <c r="DS132" s="438"/>
      <c r="DT132" s="449"/>
      <c r="DU132" s="438"/>
      <c r="DV132" s="449"/>
      <c r="DW132" s="438"/>
      <c r="DX132" s="449"/>
      <c r="DY132" s="438"/>
      <c r="DZ132" s="449"/>
      <c r="EA132" s="438"/>
      <c r="EB132" s="465"/>
      <c r="EC132" s="449"/>
      <c r="ED132" s="439"/>
      <c r="EE132" s="449"/>
      <c r="EF132" s="439"/>
      <c r="EG132" s="449"/>
      <c r="EH132" s="439"/>
      <c r="EI132" s="449"/>
      <c r="EJ132" s="438"/>
      <c r="EK132" s="449"/>
      <c r="EL132" s="438"/>
      <c r="EM132" s="449"/>
      <c r="EN132" s="438"/>
      <c r="EO132" s="449"/>
      <c r="EP132" s="438"/>
      <c r="EQ132" s="449"/>
      <c r="ER132" s="438"/>
      <c r="ES132" s="449"/>
      <c r="ET132" s="438"/>
      <c r="EU132" s="449"/>
      <c r="EV132" s="438"/>
      <c r="EW132" s="449"/>
      <c r="EX132" s="438"/>
      <c r="EY132" s="449"/>
      <c r="EZ132" s="438"/>
      <c r="FA132" s="449"/>
      <c r="FB132" s="438"/>
      <c r="FC132" s="449"/>
      <c r="FD132" s="438"/>
      <c r="FE132" s="449"/>
      <c r="FF132" s="438"/>
      <c r="FG132" s="449"/>
      <c r="FH132" s="438"/>
      <c r="FI132" s="449"/>
      <c r="FJ132" s="438"/>
      <c r="FK132" s="449"/>
      <c r="FL132" s="438"/>
      <c r="FM132" s="449"/>
      <c r="FN132" s="438"/>
      <c r="FO132" s="449"/>
      <c r="FP132" s="438"/>
      <c r="FQ132" s="449"/>
      <c r="FR132" s="438"/>
      <c r="FS132" s="438"/>
    </row>
    <row r="133" spans="1:176" s="529" customFormat="1" ht="12.75" hidden="1" customHeight="1" outlineLevel="1" x14ac:dyDescent="0.2">
      <c r="A133" s="441" t="str">
        <f>+INPUT!B94</f>
        <v>Pretax Margin</v>
      </c>
      <c r="B133" s="456">
        <f>+INPUT!AA94</f>
        <v>12.568306010928962</v>
      </c>
      <c r="C133" s="439">
        <f>+INPUT!AB94</f>
        <v>-21.123045034859615</v>
      </c>
      <c r="D133" s="456">
        <f>+INPUT!AC94</f>
        <v>22.968197879858657</v>
      </c>
      <c r="E133" s="439" t="str">
        <f>+INPUT!AD94</f>
        <v>NM</v>
      </c>
      <c r="F133" s="456">
        <f>+INPUT!AE94</f>
        <v>23.70820668693009</v>
      </c>
      <c r="G133" s="439" t="str">
        <f>+INPUT!AF94</f>
        <v>NM</v>
      </c>
      <c r="H133" s="456">
        <f>+INPUT!AG94</f>
        <v>27.507163323782237</v>
      </c>
      <c r="I133" s="439" t="str">
        <f>+INPUT!AH94</f>
        <v>NM</v>
      </c>
      <c r="J133" s="456">
        <f>+INPUT!AI94</f>
        <v>25.925925925925924</v>
      </c>
      <c r="K133" s="439" t="str">
        <f>+INPUT!AJ94</f>
        <v>NM</v>
      </c>
      <c r="L133" s="456">
        <f>+INPUT!AK94</f>
        <v>24.289405684754524</v>
      </c>
      <c r="M133" s="439">
        <f>+INPUT!AL94</f>
        <v>5.7523355197773895</v>
      </c>
      <c r="N133" s="456">
        <f>+INPUT!AM94</f>
        <v>24.120603015075375</v>
      </c>
      <c r="O133" s="439">
        <f>+INPUT!AN94</f>
        <v>1.7394665635871718</v>
      </c>
      <c r="P133" s="456">
        <f>+INPUT!AO94</f>
        <v>33.493975903614462</v>
      </c>
      <c r="Q133" s="439">
        <f>+INPUT!AP94</f>
        <v>21.764558232931734</v>
      </c>
      <c r="R133" s="456">
        <f>+INPUT!AQ94</f>
        <v>23.584905660377359</v>
      </c>
      <c r="S133" s="439">
        <f>+INPUT!AR94</f>
        <v>-9.0296495956873173</v>
      </c>
      <c r="T133" s="456">
        <f>+INPUT!AS94</f>
        <v>24.047619047619047</v>
      </c>
      <c r="U133" s="439">
        <f>+INPUT!AT94</f>
        <v>-0.99544072948329188</v>
      </c>
      <c r="V133" s="456">
        <f>+INPUT!AU94</f>
        <v>36.507936507936506</v>
      </c>
      <c r="W133" s="439">
        <f>+INPUT!AV94</f>
        <v>51.355820105820129</v>
      </c>
      <c r="X133" s="456">
        <f>+INPUT!AW94</f>
        <v>33.101851851851855</v>
      </c>
      <c r="Y133" s="439">
        <f>+INPUT!AX94</f>
        <v>-1.1707300826005849</v>
      </c>
      <c r="Z133" s="456">
        <f>+INPUT!AY94</f>
        <v>26.048565121412803</v>
      </c>
      <c r="AA133" s="439">
        <f>+INPUT!AZ94</f>
        <v>10.445916114790293</v>
      </c>
      <c r="AB133" s="456">
        <f>+INPUT!BA94</f>
        <v>26.012793176972281</v>
      </c>
      <c r="AC133" s="439">
        <f>+INPUT!BB94</f>
        <v>8.1720112309738369</v>
      </c>
      <c r="AD133" s="456">
        <f>+INPUT!BC94</f>
        <v>32.933104631217844</v>
      </c>
      <c r="AE133" s="439">
        <f>+INPUT!BD94</f>
        <v>-9.791930792751117</v>
      </c>
      <c r="AF133" s="456">
        <f>+INPUT!BE94</f>
        <v>25.838926174496645</v>
      </c>
      <c r="AG133" s="439">
        <f>+INPUT!BF94</f>
        <v>-21.941146102219932</v>
      </c>
      <c r="AH133" s="456">
        <f>+INPUT!BG94</f>
        <v>27.483443708609272</v>
      </c>
      <c r="AI133" s="438">
        <f>+INPUT!BH94</f>
        <v>5.5084745762711975</v>
      </c>
      <c r="AJ133" s="456">
        <f>+INPUT!BI94</f>
        <v>28.481012658227851</v>
      </c>
      <c r="AK133" s="438">
        <f>+INPUT!BJ94</f>
        <v>9.488483087777567</v>
      </c>
      <c r="AL133" s="456">
        <f>+INPUT!BK94</f>
        <v>32.385466034755133</v>
      </c>
      <c r="AM133" s="438">
        <f>+INPUT!BL94</f>
        <v>-1.6628817798841737</v>
      </c>
      <c r="AN133" s="456">
        <f>+INPUT!BM94</f>
        <v>26.971608832807568</v>
      </c>
      <c r="AO133" s="438">
        <f>+INPUT!BN94</f>
        <v>4.3836289893071978</v>
      </c>
      <c r="AP133" s="456">
        <f>+INPUT!BO94</f>
        <v>20.069808027923212</v>
      </c>
      <c r="AQ133" s="438">
        <f>+INPUT!BP94</f>
        <v>-26.974915368279397</v>
      </c>
      <c r="AR133" s="456">
        <f>+INPUT!BQ94</f>
        <v>24.758842443729904</v>
      </c>
      <c r="AS133" s="438">
        <f>+INPUT!BR94</f>
        <v>-13.068953197570565</v>
      </c>
      <c r="AT133" s="456">
        <f>+INPUT!BS94</f>
        <v>-58.143939393939391</v>
      </c>
      <c r="AU133" s="438" t="str">
        <f>+INPUT!BT94</f>
        <v>NM</v>
      </c>
      <c r="AV133" s="456">
        <f>+INPUT!BU94</f>
        <v>-376.44927536231887</v>
      </c>
      <c r="AW133" s="438" t="str">
        <f>+INPUT!BV94</f>
        <v>NM</v>
      </c>
      <c r="AX133" s="456">
        <f>+INPUT!BW94</f>
        <v>-42.508710801393725</v>
      </c>
      <c r="AY133" s="438" t="str">
        <f>+INPUT!BX94</f>
        <v>NM</v>
      </c>
      <c r="AZ133" s="456">
        <f>+INPUT!BY94</f>
        <v>82.741116751269033</v>
      </c>
      <c r="BA133" s="438" t="str">
        <f>+INPUT!BZ94</f>
        <v>NM</v>
      </c>
      <c r="BB133" s="456">
        <f>+INPUT!CA94</f>
        <v>48.238897396630939</v>
      </c>
      <c r="BC133" s="438" t="str">
        <f>+INPUT!CB94</f>
        <v>NM</v>
      </c>
      <c r="BD133" s="456">
        <f>+INPUT!CC94</f>
        <v>28.263988522238165</v>
      </c>
      <c r="BE133" s="438" t="str">
        <f>+INPUT!CD94</f>
        <v>NM</v>
      </c>
      <c r="BF133" s="456">
        <f>+INPUT!CE94</f>
        <v>29.644268774703558</v>
      </c>
      <c r="BG133" s="438" t="str">
        <f>+INPUT!CF94</f>
        <v>NM</v>
      </c>
      <c r="BH133" s="456">
        <f>+INPUT!CG94</f>
        <v>-18.75</v>
      </c>
      <c r="BI133" s="438" t="str">
        <f>+INPUT!CH94</f>
        <v>NM</v>
      </c>
      <c r="BJ133" s="456">
        <f>+INPUT!CI94</f>
        <v>68.40148698884758</v>
      </c>
      <c r="BK133" s="438">
        <f>+INPUT!CJ94</f>
        <v>41.797368265769734</v>
      </c>
      <c r="BL133" s="456">
        <f>+INPUT!CK94</f>
        <v>36.817653890824623</v>
      </c>
      <c r="BM133" s="438">
        <f>+INPUT!CL94</f>
        <v>30.263475948755143</v>
      </c>
      <c r="BN133" s="456">
        <f>+INPUT!CM94</f>
        <v>30.512249443207129</v>
      </c>
      <c r="BO133" s="438">
        <f>+INPUT!CN94</f>
        <v>2.9279881217520369</v>
      </c>
      <c r="BP133" s="456">
        <f>+INPUT!CO94</f>
        <v>22.186495176848876</v>
      </c>
      <c r="BQ133" s="438" t="str">
        <f>+INPUT!CP94</f>
        <v>NM</v>
      </c>
      <c r="BR133" s="456">
        <f>+INPUT!CQ94</f>
        <v>-21.215469613259668</v>
      </c>
      <c r="BS133" s="438" t="str">
        <f>+INPUT!CR94</f>
        <v>NM</v>
      </c>
      <c r="BT133" s="456">
        <f>+INPUT!CS94</f>
        <v>41.352549889135254</v>
      </c>
      <c r="BU133" s="438">
        <f>+INPUT!CT94</f>
        <v>12.317178090048756</v>
      </c>
      <c r="BV133" s="456">
        <f>+INPUT!CU94</f>
        <v>43.945720250521916</v>
      </c>
      <c r="BW133" s="438">
        <f>+INPUT!CV94</f>
        <v>44.026484616673997</v>
      </c>
      <c r="BX133" s="456">
        <f>+INPUT!CW94</f>
        <v>11.053719008264464</v>
      </c>
      <c r="BY133" s="438" t="str">
        <f>+INPUT!CX94</f>
        <v>NM</v>
      </c>
      <c r="BZ133" s="456">
        <f>+INPUT!CY94</f>
        <v>20.333988212180746</v>
      </c>
      <c r="CA133" s="438" t="str">
        <f>+INPUT!CZ94</f>
        <v>NM</v>
      </c>
      <c r="CB133" s="456">
        <f>+INPUT!DA94</f>
        <v>29.258902791145331</v>
      </c>
      <c r="CC133" s="438">
        <f>+INPUT!DB94</f>
        <v>-29.245227030527914</v>
      </c>
      <c r="CD133" s="456">
        <f>+INPUT!DC94</f>
        <v>34.831460674157306</v>
      </c>
      <c r="CE133" s="438">
        <f>+INPUT!DD94</f>
        <v>-20.739811577570777</v>
      </c>
      <c r="CF133" s="456">
        <f>+INPUT!DE94</f>
        <v>35.746201966041106</v>
      </c>
      <c r="CG133" s="438" t="str">
        <f>+INPUT!DF94</f>
        <v>NM</v>
      </c>
      <c r="CH133" s="456">
        <f>+INPUT!DG94</f>
        <v>73.303571428571416</v>
      </c>
      <c r="CI133" s="438" t="str">
        <f>+INPUT!DH94</f>
        <v>NM</v>
      </c>
      <c r="CJ133" s="456">
        <f>+INPUT!DI94</f>
        <v>42.487046632124354</v>
      </c>
      <c r="CK133" s="438">
        <f>+INPUT!DJ94</f>
        <v>45.210662667030277</v>
      </c>
      <c r="CL133" s="456">
        <f>+INPUT!DK94</f>
        <v>33.535004321521178</v>
      </c>
      <c r="CM133" s="438">
        <f>+INPUT!DL94</f>
        <v>-3.7220843672456567</v>
      </c>
      <c r="CN133" s="456">
        <f>+INPUT!DM94</f>
        <v>33.304867634500432</v>
      </c>
      <c r="CO133" s="438">
        <f>+INPUT!DN94</f>
        <v>-6.8296327924850289</v>
      </c>
      <c r="CP133" s="456">
        <f>+INPUT!DO94</f>
        <v>30.814441645675906</v>
      </c>
      <c r="CQ133" s="438" t="str">
        <f>+INPUT!DP94</f>
        <v>NM</v>
      </c>
      <c r="CR133" s="456">
        <f>+INPUT!DQ94</f>
        <v>27.036104114189758</v>
      </c>
      <c r="CS133" s="438">
        <f>+INPUT!DR94</f>
        <v>-36.366242755626544</v>
      </c>
      <c r="CT133" s="456">
        <f>+INPUT!DS94</f>
        <v>44.566133108677334</v>
      </c>
      <c r="CU133" s="438">
        <f>+INPUT!DT94</f>
        <v>32.894371151390914</v>
      </c>
      <c r="CV133" s="456">
        <f>+INPUT!DU94</f>
        <v>45.666666666666664</v>
      </c>
      <c r="CW133" s="438">
        <f>+INPUT!DV94</f>
        <v>37.11709401709399</v>
      </c>
      <c r="CX133" s="456">
        <f>+INPUT!DW94</f>
        <v>26.563838903170524</v>
      </c>
      <c r="CY133" s="438">
        <f>+INPUT!DX94</f>
        <v>-13.794190371454789</v>
      </c>
      <c r="CZ133" s="456">
        <f>+INPUT!DY94</f>
        <v>35.933391761612619</v>
      </c>
      <c r="DA133" s="438">
        <f>+INPUT!DZ94</f>
        <v>32.908911764225536</v>
      </c>
      <c r="DB133" s="456">
        <f>+INPUT!EA94</f>
        <v>29.576194770063118</v>
      </c>
      <c r="DC133" s="438">
        <f>+INPUT!EB94</f>
        <v>-33.635268067930198</v>
      </c>
      <c r="DD133" s="456">
        <f>+INPUT!EC94</f>
        <v>37.357830271216095</v>
      </c>
      <c r="DE133" s="438">
        <f>+INPUT!ED94</f>
        <v>-18.19453225281147</v>
      </c>
      <c r="DF133" s="456">
        <f>+INPUT!EE94</f>
        <v>48.157248157248155</v>
      </c>
      <c r="DG133" s="438">
        <f>+INPUT!EF94</f>
        <v>81.288737417769653</v>
      </c>
      <c r="DH133" s="456">
        <f>+INPUT!EG94</f>
        <v>35.373009220452637</v>
      </c>
      <c r="DI133" s="438">
        <f>+INPUT!EH94</f>
        <v>-1.5595036084476561</v>
      </c>
      <c r="DJ133" s="456">
        <f>+INPUT!EI94</f>
        <v>38.518518518518519</v>
      </c>
      <c r="DK133" s="438">
        <f>+INPUT!EJ94</f>
        <v>30.234869015356821</v>
      </c>
      <c r="DL133" s="456">
        <f>+INPUT!EK94</f>
        <v>46.86064318529862</v>
      </c>
      <c r="DM133" s="438">
        <f>+INPUT!EL94</f>
        <v>25.437272039335653</v>
      </c>
      <c r="DN133" s="456">
        <f>+INPUT!EM94</f>
        <v>44.24846625766871</v>
      </c>
      <c r="DO133" s="438">
        <f>+INPUT!EN94</f>
        <v>-8.1167052710654843</v>
      </c>
      <c r="DP133" s="456">
        <f>+INPUT!EO94</f>
        <v>42.101167315175097</v>
      </c>
      <c r="DQ133" s="438">
        <f>+INPUT!EP94</f>
        <v>19.02059859479597</v>
      </c>
      <c r="DR133" s="456">
        <f>+INPUT!EQ94</f>
        <v>41.267078572561886</v>
      </c>
      <c r="DS133" s="438">
        <f>+INPUT!ER94</f>
        <v>7.1356847556895104</v>
      </c>
      <c r="DT133" s="456">
        <f>+INPUT!ES94</f>
        <v>41.316021401028202</v>
      </c>
      <c r="DU133" s="438">
        <f>+INPUT!ET94</f>
        <v>-11.832150408916945</v>
      </c>
      <c r="DV133" s="456">
        <f>+INPUT!EU94</f>
        <v>41.337257635709243</v>
      </c>
      <c r="DW133" s="438">
        <f>+INPUT!EV94</f>
        <v>-6.5792305771839636</v>
      </c>
      <c r="DX133" s="456">
        <f>+INPUT!EW94</f>
        <v>39.715672649389703</v>
      </c>
      <c r="DY133" s="438">
        <f>+INPUT!EX94</f>
        <v>-5.6661010083812045</v>
      </c>
      <c r="DZ133" s="456"/>
      <c r="EA133" s="438"/>
      <c r="EB133" s="439">
        <f>+INPUT!FI94</f>
        <v>-17.033130355762765</v>
      </c>
      <c r="EC133" s="456">
        <f>+INPUT!FJ94</f>
        <v>-5.668016194331984</v>
      </c>
      <c r="ED133" s="439" t="str">
        <f>+INPUT!FK94</f>
        <v>NM</v>
      </c>
      <c r="EE133" s="456">
        <f>+INPUT!FL94</f>
        <v>22.9020979020979</v>
      </c>
      <c r="EF133" s="439" t="str">
        <f>+INPUT!FM94</f>
        <v>NM</v>
      </c>
      <c r="EG133" s="456">
        <f>+INPUT!FN94</f>
        <v>27.059569074778199</v>
      </c>
      <c r="EH133" s="439">
        <f>+INPUT!FO94</f>
        <v>18.153232906665124</v>
      </c>
      <c r="EI133" s="456">
        <f>+INPUT!FP94</f>
        <v>29.411764705882355</v>
      </c>
      <c r="EJ133" s="438">
        <f>+INPUT!FQ94</f>
        <v>8.6926573908251896</v>
      </c>
      <c r="EK133" s="456">
        <f>+INPUT!FR94</f>
        <v>27.891480247501189</v>
      </c>
      <c r="EL133" s="438">
        <f>+INPUT!FS94</f>
        <v>-5.1689671584959598</v>
      </c>
      <c r="EM133" s="456">
        <f>+INPUT!FT94</f>
        <v>28.845385537355174</v>
      </c>
      <c r="EN133" s="438">
        <f>+INPUT!FU94</f>
        <v>3.4200597508246204</v>
      </c>
      <c r="EO133" s="456">
        <f>+INPUT!FV94</f>
        <v>-39.187525646286417</v>
      </c>
      <c r="EP133" s="438" t="str">
        <f>+INPUT!FW94</f>
        <v>NM</v>
      </c>
      <c r="EQ133" s="456">
        <f>+INPUT!FX94</f>
        <v>26.719681908548708</v>
      </c>
      <c r="ER133" s="438" t="str">
        <f>+INPUT!FY94</f>
        <v>NM</v>
      </c>
      <c r="ES133" s="456">
        <f>+INPUT!FZ94</f>
        <v>29.733959311424101</v>
      </c>
      <c r="ET133" s="438">
        <f>+INPUT!GA94</f>
        <v>11.281112601535142</v>
      </c>
      <c r="EU133" s="456">
        <f>+INPUT!GB94</f>
        <v>18.196811434854315</v>
      </c>
      <c r="EV133" s="438">
        <f>+INPUT!GC94</f>
        <v>-38.801249963832078</v>
      </c>
      <c r="EW133" s="456">
        <f>+INPUT!GD94</f>
        <v>26.085864925935226</v>
      </c>
      <c r="EX133" s="438">
        <f>+INPUT!GE94</f>
        <v>43.35404320325128</v>
      </c>
      <c r="EY133" s="456">
        <f>+INPUT!GF94</f>
        <v>46.696528555431129</v>
      </c>
      <c r="EZ133" s="438">
        <f>+INPUT!GG94</f>
        <v>79.010850083043465</v>
      </c>
      <c r="FA133" s="456">
        <f>+INPUT!GH94</f>
        <v>31.146496815286621</v>
      </c>
      <c r="FB133" s="438">
        <f>+INPUT!GI94</f>
        <v>-33.300187875177571</v>
      </c>
      <c r="FC133" s="456">
        <f>+INPUT!GJ94</f>
        <v>38.274760383386578</v>
      </c>
      <c r="FD133" s="438">
        <f>+INPUT!GK94</f>
        <v>22.886244993695158</v>
      </c>
      <c r="FE133" s="456">
        <f>+INPUT!GL94</f>
        <v>37.826832404629236</v>
      </c>
      <c r="FF133" s="438">
        <f>+INPUT!GM94</f>
        <v>-1.1702959712107486</v>
      </c>
      <c r="FG133" s="456">
        <f>+INPUT!GN94</f>
        <v>43.013698630136986</v>
      </c>
      <c r="FH133" s="438">
        <f>+INPUT!GO94</f>
        <v>13.712134735534946</v>
      </c>
      <c r="FI133" s="456">
        <f>+INPUT!GP94</f>
        <v>40.909311920713932</v>
      </c>
      <c r="FJ133" s="438">
        <f>+INPUT!GQ94</f>
        <v>-4.8923640059835236</v>
      </c>
      <c r="FK133" s="456">
        <f>+INPUT!GR94</f>
        <v>40.360880956712741</v>
      </c>
      <c r="FL133" s="438">
        <f>+INPUT!GS94</f>
        <v>-1.3406017805044002</v>
      </c>
      <c r="FM133" s="456">
        <f>+INPUT!GT94</f>
        <v>39.76298524881215</v>
      </c>
      <c r="FN133" s="438">
        <f>+INPUT!GU94</f>
        <v>-1.4813742756057167</v>
      </c>
      <c r="FO133" s="456">
        <f>+INPUT!GV94</f>
        <v>39.146119411183463</v>
      </c>
      <c r="FP133" s="438">
        <f>+INPUT!GW94</f>
        <v>-1.5513569561458382</v>
      </c>
      <c r="FQ133" s="456">
        <f>+INPUT!GX94</f>
        <v>38.508089941721579</v>
      </c>
      <c r="FR133" s="438">
        <f>+INPUT!GY94</f>
        <v>-1.6298664569025192</v>
      </c>
      <c r="FS133" s="438">
        <f>+INPUT!GZ94</f>
        <v>-2.188698467888095</v>
      </c>
    </row>
    <row r="134" spans="1:176" s="529" customFormat="1" ht="12.75" hidden="1" customHeight="1" outlineLevel="1" x14ac:dyDescent="0.2">
      <c r="A134" s="441"/>
      <c r="B134" s="449"/>
      <c r="C134" s="439"/>
      <c r="D134" s="449"/>
      <c r="E134" s="439"/>
      <c r="F134" s="449"/>
      <c r="G134" s="439"/>
      <c r="H134" s="449"/>
      <c r="I134" s="439"/>
      <c r="J134" s="449"/>
      <c r="K134" s="439"/>
      <c r="L134" s="449"/>
      <c r="M134" s="439"/>
      <c r="N134" s="449"/>
      <c r="O134" s="439"/>
      <c r="P134" s="449"/>
      <c r="Q134" s="439"/>
      <c r="R134" s="449"/>
      <c r="S134" s="439"/>
      <c r="T134" s="449"/>
      <c r="U134" s="439"/>
      <c r="V134" s="449"/>
      <c r="W134" s="439"/>
      <c r="X134" s="449"/>
      <c r="Y134" s="439"/>
      <c r="Z134" s="449"/>
      <c r="AA134" s="439"/>
      <c r="AB134" s="449"/>
      <c r="AC134" s="439"/>
      <c r="AD134" s="449"/>
      <c r="AE134" s="439"/>
      <c r="AF134" s="449"/>
      <c r="AG134" s="439"/>
      <c r="AH134" s="456"/>
      <c r="AI134" s="438"/>
      <c r="AJ134" s="456"/>
      <c r="AK134" s="438"/>
      <c r="AL134" s="456"/>
      <c r="AM134" s="438"/>
      <c r="AN134" s="456"/>
      <c r="AO134" s="438"/>
      <c r="AP134" s="456"/>
      <c r="AQ134" s="438"/>
      <c r="AR134" s="456"/>
      <c r="AS134" s="438"/>
      <c r="AT134" s="456"/>
      <c r="AU134" s="438"/>
      <c r="AV134" s="456"/>
      <c r="AW134" s="438"/>
      <c r="AX134" s="456"/>
      <c r="AY134" s="438"/>
      <c r="AZ134" s="456"/>
      <c r="BA134" s="438"/>
      <c r="BB134" s="456"/>
      <c r="BC134" s="438"/>
      <c r="BD134" s="456"/>
      <c r="BE134" s="438"/>
      <c r="BF134" s="456"/>
      <c r="BG134" s="438"/>
      <c r="BH134" s="456"/>
      <c r="BI134" s="438"/>
      <c r="BJ134" s="456"/>
      <c r="BK134" s="438"/>
      <c r="BL134" s="456"/>
      <c r="BM134" s="438"/>
      <c r="BN134" s="456"/>
      <c r="BO134" s="438"/>
      <c r="BP134" s="456"/>
      <c r="BQ134" s="438"/>
      <c r="BR134" s="456"/>
      <c r="BS134" s="438"/>
      <c r="BT134" s="456"/>
      <c r="BU134" s="438"/>
      <c r="BV134" s="456"/>
      <c r="BW134" s="438"/>
      <c r="BX134" s="456"/>
      <c r="BY134" s="438"/>
      <c r="BZ134" s="456"/>
      <c r="CA134" s="438"/>
      <c r="CB134" s="456"/>
      <c r="CC134" s="438"/>
      <c r="CD134" s="456"/>
      <c r="CE134" s="438"/>
      <c r="CF134" s="456"/>
      <c r="CG134" s="438"/>
      <c r="CH134" s="456"/>
      <c r="CI134" s="438"/>
      <c r="CJ134" s="456"/>
      <c r="CK134" s="438"/>
      <c r="CL134" s="456"/>
      <c r="CM134" s="438"/>
      <c r="CN134" s="456"/>
      <c r="CO134" s="438"/>
      <c r="CP134" s="456"/>
      <c r="CQ134" s="438"/>
      <c r="CR134" s="456"/>
      <c r="CS134" s="438"/>
      <c r="CT134" s="456"/>
      <c r="CU134" s="438"/>
      <c r="CV134" s="456"/>
      <c r="CW134" s="438"/>
      <c r="CX134" s="456"/>
      <c r="CY134" s="438"/>
      <c r="CZ134" s="456"/>
      <c r="DA134" s="438"/>
      <c r="DB134" s="456"/>
      <c r="DC134" s="438"/>
      <c r="DD134" s="456"/>
      <c r="DE134" s="438"/>
      <c r="DF134" s="456"/>
      <c r="DG134" s="438"/>
      <c r="DH134" s="456"/>
      <c r="DI134" s="438"/>
      <c r="DJ134" s="456"/>
      <c r="DK134" s="438"/>
      <c r="DL134" s="456"/>
      <c r="DM134" s="438"/>
      <c r="DN134" s="456"/>
      <c r="DO134" s="438"/>
      <c r="DP134" s="456"/>
      <c r="DQ134" s="438"/>
      <c r="DR134" s="456"/>
      <c r="DS134" s="438"/>
      <c r="DT134" s="456"/>
      <c r="DU134" s="438"/>
      <c r="DV134" s="456"/>
      <c r="DW134" s="438"/>
      <c r="DX134" s="456"/>
      <c r="DY134" s="438"/>
      <c r="DZ134" s="456"/>
      <c r="EA134" s="438"/>
      <c r="EB134" s="439"/>
      <c r="EC134" s="449"/>
      <c r="ED134" s="439"/>
      <c r="EE134" s="449"/>
      <c r="EF134" s="439"/>
      <c r="EG134" s="449"/>
      <c r="EH134" s="439"/>
      <c r="EI134" s="449"/>
      <c r="EJ134" s="438"/>
      <c r="EK134" s="456"/>
      <c r="EL134" s="438"/>
      <c r="EM134" s="456"/>
      <c r="EN134" s="438"/>
      <c r="EO134" s="456"/>
      <c r="EP134" s="438"/>
      <c r="EQ134" s="456"/>
      <c r="ER134" s="438"/>
      <c r="ES134" s="456"/>
      <c r="ET134" s="438"/>
      <c r="EU134" s="456"/>
      <c r="EV134" s="438"/>
      <c r="EW134" s="456"/>
      <c r="EX134" s="438"/>
      <c r="EY134" s="456"/>
      <c r="EZ134" s="438"/>
      <c r="FA134" s="456"/>
      <c r="FB134" s="438"/>
      <c r="FC134" s="456"/>
      <c r="FD134" s="438"/>
      <c r="FE134" s="456"/>
      <c r="FF134" s="438"/>
      <c r="FG134" s="456"/>
      <c r="FH134" s="438"/>
      <c r="FI134" s="456"/>
      <c r="FJ134" s="438"/>
      <c r="FK134" s="456"/>
      <c r="FL134" s="438"/>
      <c r="FM134" s="456"/>
      <c r="FN134" s="438"/>
      <c r="FO134" s="456"/>
      <c r="FP134" s="438"/>
      <c r="FQ134" s="456"/>
      <c r="FR134" s="438"/>
      <c r="FS134" s="438"/>
    </row>
    <row r="135" spans="1:176" s="529" customFormat="1" ht="12.75" hidden="1" customHeight="1" outlineLevel="1" x14ac:dyDescent="0.2">
      <c r="A135" s="446" t="s">
        <v>498</v>
      </c>
      <c r="B135" s="449"/>
      <c r="C135" s="439"/>
      <c r="D135" s="449"/>
      <c r="E135" s="439"/>
      <c r="F135" s="449"/>
      <c r="G135" s="439"/>
      <c r="H135" s="449"/>
      <c r="I135" s="439"/>
      <c r="J135" s="449"/>
      <c r="K135" s="439"/>
      <c r="L135" s="449"/>
      <c r="M135" s="439"/>
      <c r="N135" s="449"/>
      <c r="O135" s="439"/>
      <c r="P135" s="449"/>
      <c r="Q135" s="439"/>
      <c r="R135" s="449"/>
      <c r="S135" s="439"/>
      <c r="T135" s="449"/>
      <c r="U135" s="439"/>
      <c r="V135" s="449"/>
      <c r="W135" s="439"/>
      <c r="X135" s="449"/>
      <c r="Y135" s="439"/>
      <c r="Z135" s="449"/>
      <c r="AA135" s="439"/>
      <c r="AB135" s="449"/>
      <c r="AC135" s="439"/>
      <c r="AD135" s="449"/>
      <c r="AE135" s="439"/>
      <c r="AF135" s="449"/>
      <c r="AG135" s="439"/>
      <c r="AH135" s="456"/>
      <c r="AI135" s="438"/>
      <c r="AJ135" s="456"/>
      <c r="AK135" s="438"/>
      <c r="AL135" s="456"/>
      <c r="AM135" s="438"/>
      <c r="AN135" s="456"/>
      <c r="AO135" s="438"/>
      <c r="AP135" s="456"/>
      <c r="AQ135" s="438"/>
      <c r="AR135" s="456"/>
      <c r="AS135" s="438"/>
      <c r="AT135" s="456"/>
      <c r="AU135" s="438"/>
      <c r="AV135" s="456"/>
      <c r="AW135" s="438"/>
      <c r="AX135" s="456"/>
      <c r="AY135" s="438"/>
      <c r="AZ135" s="456"/>
      <c r="BA135" s="438"/>
      <c r="BB135" s="456"/>
      <c r="BC135" s="438"/>
      <c r="BD135" s="456"/>
      <c r="BE135" s="438"/>
      <c r="BF135" s="456"/>
      <c r="BG135" s="438"/>
      <c r="BH135" s="456"/>
      <c r="BI135" s="438"/>
      <c r="BJ135" s="456"/>
      <c r="BK135" s="438"/>
      <c r="BL135" s="456"/>
      <c r="BM135" s="438"/>
      <c r="BN135" s="456"/>
      <c r="BO135" s="438"/>
      <c r="BP135" s="456"/>
      <c r="BQ135" s="438"/>
      <c r="BR135" s="456"/>
      <c r="BS135" s="438"/>
      <c r="BT135" s="456"/>
      <c r="BU135" s="438"/>
      <c r="BV135" s="456"/>
      <c r="BW135" s="438"/>
      <c r="BX135" s="456"/>
      <c r="BY135" s="438"/>
      <c r="BZ135" s="456"/>
      <c r="CA135" s="438"/>
      <c r="CB135" s="456"/>
      <c r="CC135" s="438"/>
      <c r="CD135" s="456"/>
      <c r="CE135" s="438"/>
      <c r="CF135" s="456"/>
      <c r="CG135" s="438"/>
      <c r="CH135" s="456"/>
      <c r="CI135" s="438"/>
      <c r="CJ135" s="456"/>
      <c r="CK135" s="438"/>
      <c r="CL135" s="456"/>
      <c r="CM135" s="438"/>
      <c r="CN135" s="456"/>
      <c r="CO135" s="438"/>
      <c r="CP135" s="456"/>
      <c r="CQ135" s="438"/>
      <c r="CR135" s="456"/>
      <c r="CS135" s="438"/>
      <c r="CT135" s="456"/>
      <c r="CU135" s="438"/>
      <c r="CV135" s="456"/>
      <c r="CW135" s="438"/>
      <c r="CX135" s="456"/>
      <c r="CY135" s="438"/>
      <c r="CZ135" s="456"/>
      <c r="DA135" s="438"/>
      <c r="DB135" s="456"/>
      <c r="DC135" s="438"/>
      <c r="DD135" s="456"/>
      <c r="DE135" s="438"/>
      <c r="DF135" s="456"/>
      <c r="DG135" s="438"/>
      <c r="DH135" s="456"/>
      <c r="DI135" s="438"/>
      <c r="DJ135" s="456"/>
      <c r="DK135" s="438"/>
      <c r="DL135" s="456"/>
      <c r="DM135" s="438"/>
      <c r="DN135" s="456"/>
      <c r="DO135" s="438"/>
      <c r="DP135" s="456"/>
      <c r="DQ135" s="438"/>
      <c r="DR135" s="456"/>
      <c r="DS135" s="438"/>
      <c r="DT135" s="456"/>
      <c r="DU135" s="438"/>
      <c r="DV135" s="456"/>
      <c r="DW135" s="438"/>
      <c r="DX135" s="456"/>
      <c r="DY135" s="438"/>
      <c r="DZ135" s="456"/>
      <c r="EA135" s="438"/>
      <c r="EB135" s="439"/>
      <c r="EC135" s="449"/>
      <c r="ED135" s="439"/>
      <c r="EE135" s="449"/>
      <c r="EF135" s="439"/>
      <c r="EG135" s="449"/>
      <c r="EH135" s="439"/>
      <c r="EI135" s="449"/>
      <c r="EJ135" s="438"/>
      <c r="EK135" s="456"/>
      <c r="EL135" s="438"/>
      <c r="EM135" s="456"/>
      <c r="EN135" s="438"/>
      <c r="EO135" s="456"/>
      <c r="EP135" s="438"/>
      <c r="EQ135" s="456"/>
      <c r="ER135" s="438"/>
      <c r="ES135" s="456"/>
      <c r="ET135" s="438"/>
      <c r="EU135" s="456"/>
      <c r="EV135" s="438"/>
      <c r="EW135" s="456"/>
      <c r="EX135" s="438"/>
      <c r="EY135" s="456"/>
      <c r="EZ135" s="438"/>
      <c r="FA135" s="456"/>
      <c r="FB135" s="438"/>
      <c r="FC135" s="456"/>
      <c r="FD135" s="438"/>
      <c r="FE135" s="456"/>
      <c r="FF135" s="438"/>
      <c r="FG135" s="456"/>
      <c r="FH135" s="438"/>
      <c r="FI135" s="456"/>
      <c r="FJ135" s="438"/>
      <c r="FK135" s="456"/>
      <c r="FL135" s="438"/>
      <c r="FM135" s="456"/>
      <c r="FN135" s="438"/>
      <c r="FO135" s="456"/>
      <c r="FP135" s="438"/>
      <c r="FQ135" s="456"/>
      <c r="FR135" s="438"/>
      <c r="FS135" s="438"/>
    </row>
    <row r="136" spans="1:176" s="529" customFormat="1" ht="12.75" hidden="1" customHeight="1" outlineLevel="1" x14ac:dyDescent="0.2">
      <c r="A136" s="441" t="s">
        <v>68</v>
      </c>
      <c r="B136" s="456">
        <f>INPUT!AA590</f>
        <v>5.0438596491228065</v>
      </c>
      <c r="C136" s="439">
        <f>INPUT!AB590</f>
        <v>-14.080459770114956</v>
      </c>
      <c r="D136" s="456">
        <f>INPUT!AC590</f>
        <v>11.818181818181818</v>
      </c>
      <c r="E136" s="439" t="str">
        <f>INPUT!AD590</f>
        <v>NM</v>
      </c>
      <c r="F136" s="456">
        <f>INPUT!AE590</f>
        <v>15.028901734104046</v>
      </c>
      <c r="G136" s="439" t="str">
        <f>INPUT!AF590</f>
        <v>NM</v>
      </c>
      <c r="H136" s="456">
        <f>INPUT!AG590</f>
        <v>17.081850533807831</v>
      </c>
      <c r="I136" s="439" t="str">
        <f>INPUT!AH590</f>
        <v>NM</v>
      </c>
      <c r="J136" s="456">
        <f>INPUT!AI590</f>
        <v>17.375886524822697</v>
      </c>
      <c r="K136" s="439" t="str">
        <f>INPUT!AJ590</f>
        <v>NM</v>
      </c>
      <c r="L136" s="456">
        <f>INPUT!AK590</f>
        <v>13.001383125864455</v>
      </c>
      <c r="M136" s="439">
        <f>INPUT!AL590</f>
        <v>10.01170337269923</v>
      </c>
      <c r="N136" s="456">
        <f>INPUT!AM590</f>
        <v>13.48314606741573</v>
      </c>
      <c r="O136" s="439">
        <f>INPUT!AN590</f>
        <v>-10.285220397579948</v>
      </c>
      <c r="P136" s="456">
        <f>INPUT!AO590</f>
        <v>14.490674318507891</v>
      </c>
      <c r="Q136" s="439">
        <f>INPUT!AP590</f>
        <v>-15.169177427068405</v>
      </c>
      <c r="R136" s="456">
        <f>INPUT!AQ590</f>
        <v>11.957950065703022</v>
      </c>
      <c r="S136" s="439">
        <f>INPUT!AR590</f>
        <v>-31.180777172892817</v>
      </c>
      <c r="T136" s="456">
        <f>INPUT!AS590</f>
        <v>11.786600496277917</v>
      </c>
      <c r="U136" s="439">
        <f>INPUT!AT590</f>
        <v>-9.3434876722454021</v>
      </c>
      <c r="V136" s="456">
        <f>INPUT!AU590</f>
        <v>11.87214611872146</v>
      </c>
      <c r="W136" s="439">
        <f>INPUT!AV590</f>
        <v>-11.948249619482496</v>
      </c>
      <c r="X136" s="456">
        <f>INPUT!AW590</f>
        <v>12.021276595744681</v>
      </c>
      <c r="Y136" s="439">
        <f>INPUT!AX590</f>
        <v>-17.041289235306508</v>
      </c>
      <c r="Z136" s="456">
        <f>INPUT!AY590</f>
        <v>12.330198537095088</v>
      </c>
      <c r="AA136" s="439">
        <f>INPUT!AZ590</f>
        <v>3.1129789750479375</v>
      </c>
      <c r="AB136" s="456">
        <f>INPUT!BA590</f>
        <v>12.964930924548353</v>
      </c>
      <c r="AC136" s="439">
        <f>INPUT!BB590</f>
        <v>9.9972034230102196</v>
      </c>
      <c r="AD136" s="456">
        <f>INPUT!BC590</f>
        <v>16.436903499469775</v>
      </c>
      <c r="AE136" s="439">
        <f>INPUT!BD590</f>
        <v>38.449302553226175</v>
      </c>
      <c r="AF136" s="456">
        <f>INPUT!BE590</f>
        <v>15.843621399176955</v>
      </c>
      <c r="AG136" s="439">
        <f>INPUT!BF590</f>
        <v>31.796496594923326</v>
      </c>
      <c r="AH136" s="456">
        <f>INPUT!BG590</f>
        <v>15.815548780487806</v>
      </c>
      <c r="AI136" s="438">
        <f>INPUT!BH590</f>
        <v>28.266781211244336</v>
      </c>
      <c r="AJ136" s="456">
        <f>INPUT!BI590</f>
        <v>16.423357664233578</v>
      </c>
      <c r="AK136" s="438">
        <f>INPUT!BJ590</f>
        <v>26.675242311834396</v>
      </c>
      <c r="AL136" s="456">
        <f>INPUT!BK590</f>
        <v>13.587786259541984</v>
      </c>
      <c r="AM136" s="438">
        <f>INPUT!BL590</f>
        <v>-17.333661659689724</v>
      </c>
      <c r="AN136" s="456">
        <f>INPUT!BM590</f>
        <v>14.906303236797275</v>
      </c>
      <c r="AO136" s="438">
        <f>INPUT!BN590</f>
        <v>-5.9160600898249953</v>
      </c>
      <c r="AP136" s="456">
        <f>INPUT!BO590</f>
        <v>12.208067940552016</v>
      </c>
      <c r="AQ136" s="438">
        <f>INPUT!BP590</f>
        <v>-22.809710178292804</v>
      </c>
      <c r="AR136" s="456">
        <f>INPUT!BQ590</f>
        <v>14.338919925512103</v>
      </c>
      <c r="AS136" s="438">
        <f>INPUT!BR590</f>
        <v>-12.691909786881865</v>
      </c>
      <c r="AT136" s="456">
        <f>INPUT!BS590</f>
        <v>11.458333333333332</v>
      </c>
      <c r="AU136" s="438">
        <f>INPUT!BT590</f>
        <v>-15.671816479400761</v>
      </c>
      <c r="AV136" s="456">
        <f>INPUT!BU590</f>
        <v>16.521739130434781</v>
      </c>
      <c r="AW136" s="438">
        <f>INPUT!BV590</f>
        <v>10.837267080745335</v>
      </c>
      <c r="AX136" s="456">
        <f>INPUT!BW590</f>
        <v>13.539967373572596</v>
      </c>
      <c r="AY136" s="438">
        <f>INPUT!BX590</f>
        <v>10.90999361656857</v>
      </c>
      <c r="AZ136" s="456">
        <f>INPUT!BY590</f>
        <v>10.224089635854341</v>
      </c>
      <c r="BA136" s="438">
        <f>INPUT!BZ590</f>
        <v>-28.696933318782058</v>
      </c>
      <c r="BB136" s="456">
        <f>INPUT!CA590</f>
        <v>28.143712574850298</v>
      </c>
      <c r="BC136" s="438" t="str">
        <f>INPUT!CB590</f>
        <v>NM</v>
      </c>
      <c r="BD136" s="456">
        <f>INPUT!CC590</f>
        <v>17.201166180758019</v>
      </c>
      <c r="BE136" s="438">
        <f>INPUT!CD590</f>
        <v>4.1123216203774859</v>
      </c>
      <c r="BF136" s="456">
        <f>INPUT!CE590</f>
        <v>16.6446499339498</v>
      </c>
      <c r="BG136" s="438">
        <f>INPUT!CF590</f>
        <v>22.92976397001479</v>
      </c>
      <c r="BH136" s="456">
        <f>INPUT!CG590</f>
        <v>17.262638717632552</v>
      </c>
      <c r="BI136" s="438">
        <f>INPUT!CH590</f>
        <v>68.842795128625227</v>
      </c>
      <c r="BJ136" s="456">
        <f>INPUT!CI590</f>
        <v>18.543046357615893</v>
      </c>
      <c r="BK136" s="438">
        <f>INPUT!CJ590</f>
        <v>-34.113005495279694</v>
      </c>
      <c r="BL136" s="456">
        <f>INPUT!CK590</f>
        <v>19.610091743119266</v>
      </c>
      <c r="BM136" s="438">
        <f>INPUT!CL590</f>
        <v>14.004431659150967</v>
      </c>
      <c r="BN136" s="456">
        <f>INPUT!CM590</f>
        <v>22.701905865010001</v>
      </c>
      <c r="BO136" s="438">
        <f>INPUT!CN590</f>
        <v>36.391609046131521</v>
      </c>
      <c r="BP136" s="456">
        <f>INPUT!CO590</f>
        <v>21.900452488687783</v>
      </c>
      <c r="BQ136" s="438">
        <f>INPUT!CP590</f>
        <v>26.86619263089851</v>
      </c>
      <c r="BR136" s="456">
        <f>INPUT!CQ590</f>
        <v>23.296032553407937</v>
      </c>
      <c r="BS136" s="438">
        <f>INPUT!CR590</f>
        <v>25.632175555878533</v>
      </c>
      <c r="BT136" s="456">
        <f>INPUT!CS590</f>
        <v>20.143149284253578</v>
      </c>
      <c r="BU136" s="438">
        <f>INPUT!CT590</f>
        <v>2.7182817302287674</v>
      </c>
      <c r="BV136" s="456">
        <f>INPUT!CU590</f>
        <v>24.245689655172413</v>
      </c>
      <c r="BW136" s="438">
        <f>INPUT!CV590</f>
        <v>6.8002387083359963</v>
      </c>
      <c r="BX136" s="456">
        <f>INPUT!CW590</f>
        <v>20.961887477313976</v>
      </c>
      <c r="BY136" s="438">
        <f>INPUT!CX590</f>
        <v>-4.2855964362316428</v>
      </c>
      <c r="BZ136" s="456">
        <f>INPUT!CY590</f>
        <v>21.482729570345409</v>
      </c>
      <c r="CA136" s="438">
        <f>INPUT!CZ590</f>
        <v>-7.7837416259845611</v>
      </c>
      <c r="CB136" s="456">
        <f>INPUT!DA590</f>
        <v>24.116607773851591</v>
      </c>
      <c r="CC136" s="438">
        <f>INPUT!DB590</f>
        <v>19.726103567649005</v>
      </c>
      <c r="CD136" s="456">
        <f>INPUT!DC590</f>
        <v>22.59475218658892</v>
      </c>
      <c r="CE136" s="438">
        <f>INPUT!DD590</f>
        <v>-6.809199870424365</v>
      </c>
      <c r="CF136" s="456">
        <f>INPUT!DE590</f>
        <v>23.705324580598102</v>
      </c>
      <c r="CG136" s="438">
        <f>INPUT!DF590</f>
        <v>13.087738908307827</v>
      </c>
      <c r="CH136" s="456">
        <f>INPUT!DG590</f>
        <v>24.422442244224424</v>
      </c>
      <c r="CI136" s="438">
        <f>INPUT!DH590</f>
        <v>13.684074289781933</v>
      </c>
      <c r="CJ136" s="456">
        <f>INPUT!DI590</f>
        <v>26.069246435845212</v>
      </c>
      <c r="CK136" s="438">
        <f>INPUT!DJ590</f>
        <v>8.0966555508307039</v>
      </c>
      <c r="CL136" s="456">
        <f>INPUT!DK590</f>
        <v>25.309405940594061</v>
      </c>
      <c r="CM136" s="438">
        <f>INPUT!DL590</f>
        <v>12.014532098371134</v>
      </c>
      <c r="CN136" s="456">
        <f>INPUT!DM590</f>
        <v>24.097859327217126</v>
      </c>
      <c r="CO136" s="438">
        <f>INPUT!DN590</f>
        <v>1.6558927311220941</v>
      </c>
      <c r="CP136" s="456">
        <f>INPUT!DO590</f>
        <v>25.234815278647467</v>
      </c>
      <c r="CQ136" s="438">
        <f>INPUT!DP590</f>
        <v>3.3263382355430053</v>
      </c>
      <c r="CR136" s="456">
        <f>INPUT!DQ590</f>
        <v>26.069518716577537</v>
      </c>
      <c r="CS136" s="438">
        <f>INPUT!DR590</f>
        <v>1.0444518716496987E-3</v>
      </c>
      <c r="CT136" s="456">
        <f>INPUT!DS590</f>
        <v>25.667475728155342</v>
      </c>
      <c r="CU136" s="438">
        <f>INPUT!DT590</f>
        <v>1.4147696251810089</v>
      </c>
      <c r="CV136" s="456">
        <f>INPUT!DU590</f>
        <v>25.824175824175828</v>
      </c>
      <c r="CW136" s="438">
        <f>INPUT!DV590</f>
        <v>7.1637753109834392</v>
      </c>
      <c r="CX136" s="456">
        <f>INPUT!DW590</f>
        <v>26.761473820297351</v>
      </c>
      <c r="CY136" s="438">
        <f>INPUT!DX590</f>
        <v>6.0498106476795499</v>
      </c>
      <c r="CZ136" s="456">
        <f>INPUT!DY590</f>
        <v>31.620243232640249</v>
      </c>
      <c r="DA136" s="438">
        <f>INPUT!DZ590</f>
        <v>21.292009938537987</v>
      </c>
      <c r="DB136" s="456">
        <f>INPUT!EA590</f>
        <v>26.774420238931835</v>
      </c>
      <c r="DC136" s="438">
        <f>INPUT!EB590</f>
        <v>4.3126348788644435</v>
      </c>
      <c r="DD136" s="456">
        <f>INPUT!EC590</f>
        <v>25.134048257372655</v>
      </c>
      <c r="DE136" s="438">
        <f>INPUT!ED590</f>
        <v>-2.6724088757058979</v>
      </c>
      <c r="DF136" s="456">
        <f>INPUT!EE590</f>
        <v>30.901582931865107</v>
      </c>
      <c r="DG136" s="438">
        <f>INPUT!EF590</f>
        <v>15.470407718829279</v>
      </c>
      <c r="DH136" s="456">
        <f>INPUT!EG590</f>
        <v>29.325920778318277</v>
      </c>
      <c r="DI136" s="438">
        <f>INPUT!EH590</f>
        <v>-7.2558659256410749</v>
      </c>
      <c r="DJ136" s="456">
        <f>INPUT!EI590</f>
        <v>27.32150478629352</v>
      </c>
      <c r="DK136" s="438">
        <f>INPUT!EJ590</f>
        <v>2.0433105272852288</v>
      </c>
      <c r="DL136" s="456">
        <f>INPUT!EK590</f>
        <v>28.507795100222715</v>
      </c>
      <c r="DM136" s="438">
        <f>INPUT!EL590</f>
        <v>13.423014105419441</v>
      </c>
      <c r="DN136" s="456">
        <f>INPUT!EM590</f>
        <v>30.472350230414747</v>
      </c>
      <c r="DO136" s="438">
        <f>INPUT!EN590</f>
        <v>-1.3890314369874659</v>
      </c>
      <c r="DP136" s="456">
        <f>INPUT!EO590</f>
        <v>33.482142857142854</v>
      </c>
      <c r="DQ136" s="438">
        <f>INPUT!EP590</f>
        <v>14.172520311442099</v>
      </c>
      <c r="DR136" s="456">
        <f>INPUT!EQ590</f>
        <v>30.742467350833508</v>
      </c>
      <c r="DS136" s="438">
        <f>INPUT!ER590</f>
        <v>12.521135242361154</v>
      </c>
      <c r="DT136" s="456">
        <f>INPUT!ES590</f>
        <v>30.371190503611668</v>
      </c>
      <c r="DU136" s="438">
        <f>INPUT!ET590</f>
        <v>6.53644168845031</v>
      </c>
      <c r="DV136" s="456">
        <f>INPUT!EU590</f>
        <v>30.754144604612137</v>
      </c>
      <c r="DW136" s="438">
        <f>INPUT!EV590</f>
        <v>0.92475431683681109</v>
      </c>
      <c r="DX136" s="456">
        <f>INPUT!EW590</f>
        <v>32.785245897823472</v>
      </c>
      <c r="DY136" s="438">
        <f>INPUT!EX590</f>
        <v>-2.0813989185005539</v>
      </c>
      <c r="DZ136" s="456"/>
      <c r="EA136" s="438"/>
      <c r="EB136" s="439">
        <f>INPUT!FI590</f>
        <v>-39.466447792477588</v>
      </c>
      <c r="EC136" s="456">
        <f>INPUT!FJ590</f>
        <v>-2.3476802683063163</v>
      </c>
      <c r="ED136" s="439" t="str">
        <f>INPUT!FK590</f>
        <v>NM</v>
      </c>
      <c r="EE136" s="456">
        <f>INPUT!FL590</f>
        <v>12.488083889418494</v>
      </c>
      <c r="EF136" s="439" t="str">
        <f>INPUT!FM590</f>
        <v>NM</v>
      </c>
      <c r="EG136" s="456">
        <f>INPUT!FN590</f>
        <v>14.407407407407408</v>
      </c>
      <c r="EH136" s="439">
        <f>INPUT!FO590</f>
        <v>15.369239468476124</v>
      </c>
      <c r="EI136" s="456">
        <f>INPUT!FP590</f>
        <v>11.849456042340488</v>
      </c>
      <c r="EJ136" s="438">
        <f>INPUT!FQ590</f>
        <v>-17.75441821511744</v>
      </c>
      <c r="EK136" s="456">
        <f>INPUT!FR590</f>
        <v>14.466403162055336</v>
      </c>
      <c r="EL136" s="438">
        <f>INPUT!FS590</f>
        <v>22.084955717494296</v>
      </c>
      <c r="EM136" s="456">
        <f>INPUT!FT590</f>
        <v>15.180471702210832</v>
      </c>
      <c r="EN136" s="438">
        <f>INPUT!FU590</f>
        <v>4.9360475589983679</v>
      </c>
      <c r="EO136" s="456">
        <f>INPUT!FV590</f>
        <v>18.349753694581281</v>
      </c>
      <c r="EP136" s="438">
        <f>INPUT!FW590</f>
        <v>20.877361748310406</v>
      </c>
      <c r="EQ136" s="456">
        <f>INPUT!FX590</f>
        <v>16.594911937377692</v>
      </c>
      <c r="ER136" s="438">
        <f>INPUT!FY590</f>
        <v>-9.5632987036866695</v>
      </c>
      <c r="ES136" s="456">
        <f>INPUT!FZ590</f>
        <v>18.059467918622847</v>
      </c>
      <c r="ET136" s="438">
        <f>INPUT!GA590</f>
        <v>8.8253314435881407</v>
      </c>
      <c r="EU136" s="456">
        <f>INPUT!GB590</f>
        <v>22.003635729760688</v>
      </c>
      <c r="EV136" s="438">
        <f>INPUT!GC590</f>
        <v>21.839889352834319</v>
      </c>
      <c r="EW136" s="456">
        <f>INPUT!GD590</f>
        <v>22.625891009427455</v>
      </c>
      <c r="EX136" s="438">
        <f>INPUT!GE590</f>
        <v>2.8279657385217831</v>
      </c>
      <c r="EY136" s="456">
        <f>INPUT!GF590</f>
        <v>24.23660792182865</v>
      </c>
      <c r="EZ136" s="438">
        <f>INPUT!GG590</f>
        <v>7.1189104187325114</v>
      </c>
      <c r="FA136" s="456">
        <f>INPUT!GH590</f>
        <v>25.15762925598991</v>
      </c>
      <c r="FB136" s="438">
        <f>INPUT!GI590</f>
        <v>3.8001247415969601</v>
      </c>
      <c r="FC136" s="456">
        <f>INPUT!GJ590</f>
        <v>27.228817028243963</v>
      </c>
      <c r="FD136" s="438">
        <f>INPUT!GK590</f>
        <v>8.232841621039924</v>
      </c>
      <c r="FE136" s="456">
        <f>INPUT!GL590</f>
        <v>28.017909419665919</v>
      </c>
      <c r="FF136" s="438">
        <f>INPUT!GM590</f>
        <v>2.8980046786588218</v>
      </c>
      <c r="FG136" s="456">
        <f>INPUT!GN590</f>
        <v>29.88234595925876</v>
      </c>
      <c r="FH136" s="438">
        <f>INPUT!GO590</f>
        <v>6.6544455964447735</v>
      </c>
      <c r="FI136" s="456">
        <f>INPUT!GP590</f>
        <v>31.119801127506292</v>
      </c>
      <c r="FJ136" s="438">
        <f>INPUT!GQ590</f>
        <v>4.1410910975151012</v>
      </c>
      <c r="FK136" s="456">
        <f>INPUT!GR590</f>
        <v>30.249672871015438</v>
      </c>
      <c r="FL136" s="438">
        <f>INPUT!GS590</f>
        <v>-2.7960598235371208</v>
      </c>
      <c r="FM136" s="456">
        <f>INPUT!GT590</f>
        <v>29.504328426567433</v>
      </c>
      <c r="FN136" s="438">
        <f>INPUT!GU590</f>
        <v>-2.4639752225624107</v>
      </c>
      <c r="FO136" s="456">
        <f>INPUT!GV590</f>
        <v>28.79239169810614</v>
      </c>
      <c r="FP136" s="438">
        <f>INPUT!GW590</f>
        <v>-2.4129907929719963</v>
      </c>
      <c r="FQ136" s="456">
        <f>INPUT!GX590</f>
        <v>28.187918103985233</v>
      </c>
      <c r="FR136" s="438">
        <f>INPUT!GY590</f>
        <v>-2.0994212653777851</v>
      </c>
      <c r="FS136" s="438">
        <f>INPUT!GZ590</f>
        <v>-1.1606996943191672</v>
      </c>
    </row>
    <row r="137" spans="1:176" s="529" customFormat="1" ht="12.75" hidden="1" customHeight="1" outlineLevel="1" x14ac:dyDescent="0.2">
      <c r="A137" s="441"/>
      <c r="B137" s="449"/>
      <c r="C137" s="439"/>
      <c r="D137" s="449"/>
      <c r="E137" s="439"/>
      <c r="F137" s="449"/>
      <c r="G137" s="439"/>
      <c r="H137" s="449"/>
      <c r="I137" s="439"/>
      <c r="J137" s="449"/>
      <c r="K137" s="439"/>
      <c r="L137" s="449"/>
      <c r="M137" s="439"/>
      <c r="N137" s="449"/>
      <c r="O137" s="439"/>
      <c r="P137" s="449"/>
      <c r="Q137" s="439"/>
      <c r="R137" s="449"/>
      <c r="S137" s="439"/>
      <c r="T137" s="449"/>
      <c r="U137" s="439"/>
      <c r="V137" s="449"/>
      <c r="W137" s="439"/>
      <c r="X137" s="449"/>
      <c r="Y137" s="439"/>
      <c r="Z137" s="449"/>
      <c r="AA137" s="439"/>
      <c r="AB137" s="449"/>
      <c r="AC137" s="439"/>
      <c r="AD137" s="449"/>
      <c r="AE137" s="439"/>
      <c r="AF137" s="449"/>
      <c r="AG137" s="439"/>
      <c r="AH137" s="456"/>
      <c r="AI137" s="438"/>
      <c r="AJ137" s="456"/>
      <c r="AK137" s="438"/>
      <c r="AL137" s="456"/>
      <c r="AM137" s="438"/>
      <c r="AN137" s="456"/>
      <c r="AO137" s="438"/>
      <c r="AP137" s="456"/>
      <c r="AQ137" s="438"/>
      <c r="AR137" s="456"/>
      <c r="AS137" s="438"/>
      <c r="AT137" s="456"/>
      <c r="AU137" s="438"/>
      <c r="AV137" s="456"/>
      <c r="AW137" s="438"/>
      <c r="AX137" s="456"/>
      <c r="AY137" s="438"/>
      <c r="AZ137" s="456"/>
      <c r="BA137" s="438"/>
      <c r="BB137" s="456"/>
      <c r="BC137" s="438"/>
      <c r="BD137" s="456"/>
      <c r="BE137" s="438"/>
      <c r="BF137" s="456"/>
      <c r="BG137" s="438"/>
      <c r="BH137" s="456"/>
      <c r="BI137" s="438"/>
      <c r="BJ137" s="456"/>
      <c r="BK137" s="438"/>
      <c r="BL137" s="456"/>
      <c r="BM137" s="438"/>
      <c r="BN137" s="456"/>
      <c r="BO137" s="438"/>
      <c r="BP137" s="456"/>
      <c r="BQ137" s="438"/>
      <c r="BR137" s="456"/>
      <c r="BS137" s="438"/>
      <c r="BT137" s="456"/>
      <c r="BU137" s="438"/>
      <c r="BV137" s="456"/>
      <c r="BW137" s="438"/>
      <c r="BX137" s="456"/>
      <c r="BY137" s="438"/>
      <c r="BZ137" s="456"/>
      <c r="CA137" s="438"/>
      <c r="CB137" s="456"/>
      <c r="CC137" s="438"/>
      <c r="CD137" s="456"/>
      <c r="CE137" s="438"/>
      <c r="CF137" s="456"/>
      <c r="CG137" s="438"/>
      <c r="CH137" s="456"/>
      <c r="CI137" s="438"/>
      <c r="CJ137" s="456"/>
      <c r="CK137" s="438"/>
      <c r="CL137" s="456"/>
      <c r="CM137" s="438"/>
      <c r="CN137" s="456"/>
      <c r="CO137" s="438"/>
      <c r="CP137" s="456"/>
      <c r="CQ137" s="438"/>
      <c r="CR137" s="456"/>
      <c r="CS137" s="438"/>
      <c r="CT137" s="456"/>
      <c r="CU137" s="438"/>
      <c r="CV137" s="456"/>
      <c r="CW137" s="438"/>
      <c r="CX137" s="456"/>
      <c r="CY137" s="438"/>
      <c r="CZ137" s="456"/>
      <c r="DA137" s="438"/>
      <c r="DB137" s="456"/>
      <c r="DC137" s="438"/>
      <c r="DD137" s="456"/>
      <c r="DE137" s="438"/>
      <c r="DF137" s="456"/>
      <c r="DG137" s="438"/>
      <c r="DH137" s="456"/>
      <c r="DI137" s="438"/>
      <c r="DJ137" s="456"/>
      <c r="DK137" s="438"/>
      <c r="DL137" s="456"/>
      <c r="DM137" s="438"/>
      <c r="DN137" s="456"/>
      <c r="DO137" s="438"/>
      <c r="DP137" s="456"/>
      <c r="DQ137" s="438"/>
      <c r="DR137" s="456"/>
      <c r="DS137" s="438"/>
      <c r="DT137" s="456"/>
      <c r="DU137" s="438"/>
      <c r="DV137" s="456"/>
      <c r="DW137" s="438"/>
      <c r="DX137" s="456"/>
      <c r="DY137" s="438"/>
      <c r="DZ137" s="456"/>
      <c r="EA137" s="438"/>
      <c r="EB137" s="439"/>
      <c r="EC137" s="449"/>
      <c r="ED137" s="439"/>
      <c r="EE137" s="449"/>
      <c r="EF137" s="439"/>
      <c r="EG137" s="449"/>
      <c r="EH137" s="439"/>
      <c r="EI137" s="449"/>
      <c r="EJ137" s="438"/>
      <c r="EK137" s="456"/>
      <c r="EL137" s="438"/>
      <c r="EM137" s="456"/>
      <c r="EN137" s="438"/>
      <c r="EO137" s="456"/>
      <c r="EP137" s="438"/>
      <c r="EQ137" s="456"/>
      <c r="ER137" s="438"/>
      <c r="ES137" s="456"/>
      <c r="ET137" s="438"/>
      <c r="EU137" s="456"/>
      <c r="EV137" s="438"/>
      <c r="EW137" s="456"/>
      <c r="EX137" s="438"/>
      <c r="EY137" s="456"/>
      <c r="EZ137" s="438"/>
      <c r="FA137" s="456"/>
      <c r="FB137" s="438"/>
      <c r="FC137" s="456"/>
      <c r="FD137" s="438"/>
      <c r="FE137" s="456"/>
      <c r="FF137" s="438"/>
      <c r="FG137" s="456"/>
      <c r="FH137" s="438"/>
      <c r="FI137" s="456"/>
      <c r="FJ137" s="438"/>
      <c r="FK137" s="456"/>
      <c r="FL137" s="438"/>
      <c r="FM137" s="456"/>
      <c r="FN137" s="438"/>
      <c r="FO137" s="456"/>
      <c r="FP137" s="438"/>
      <c r="FQ137" s="456"/>
      <c r="FR137" s="438"/>
      <c r="FS137" s="438"/>
    </row>
    <row r="138" spans="1:176" s="529" customFormat="1" ht="12.75" hidden="1" customHeight="1" outlineLevel="1" x14ac:dyDescent="0.2">
      <c r="A138" s="446" t="s">
        <v>218</v>
      </c>
      <c r="B138" s="449"/>
      <c r="C138" s="439"/>
      <c r="D138" s="449"/>
      <c r="E138" s="439"/>
      <c r="F138" s="449"/>
      <c r="G138" s="439"/>
      <c r="H138" s="449"/>
      <c r="I138" s="439"/>
      <c r="J138" s="449"/>
      <c r="K138" s="439"/>
      <c r="L138" s="449"/>
      <c r="M138" s="439"/>
      <c r="N138" s="449"/>
      <c r="O138" s="439"/>
      <c r="P138" s="449"/>
      <c r="Q138" s="439"/>
      <c r="R138" s="449"/>
      <c r="S138" s="439"/>
      <c r="T138" s="449"/>
      <c r="U138" s="439"/>
      <c r="V138" s="449"/>
      <c r="W138" s="439"/>
      <c r="X138" s="449"/>
      <c r="Y138" s="439"/>
      <c r="Z138" s="449"/>
      <c r="AA138" s="439"/>
      <c r="AB138" s="449"/>
      <c r="AC138" s="439"/>
      <c r="AD138" s="449"/>
      <c r="AE138" s="439"/>
      <c r="AF138" s="449"/>
      <c r="AG138" s="439"/>
      <c r="AH138" s="456"/>
      <c r="AI138" s="438"/>
      <c r="AJ138" s="456"/>
      <c r="AK138" s="438"/>
      <c r="AL138" s="456"/>
      <c r="AM138" s="438"/>
      <c r="AN138" s="456"/>
      <c r="AO138" s="438"/>
      <c r="AP138" s="456"/>
      <c r="AQ138" s="438"/>
      <c r="AR138" s="456"/>
      <c r="AS138" s="438"/>
      <c r="AT138" s="456"/>
      <c r="AU138" s="438"/>
      <c r="AV138" s="456"/>
      <c r="AW138" s="438"/>
      <c r="AX138" s="456"/>
      <c r="AY138" s="438"/>
      <c r="AZ138" s="456"/>
      <c r="BA138" s="438"/>
      <c r="BB138" s="456"/>
      <c r="BC138" s="438"/>
      <c r="BD138" s="456"/>
      <c r="BE138" s="438"/>
      <c r="BF138" s="456"/>
      <c r="BG138" s="438"/>
      <c r="BH138" s="456"/>
      <c r="BI138" s="438"/>
      <c r="BJ138" s="456"/>
      <c r="BK138" s="438"/>
      <c r="BL138" s="456"/>
      <c r="BM138" s="438"/>
      <c r="BN138" s="456"/>
      <c r="BO138" s="438"/>
      <c r="BP138" s="456"/>
      <c r="BQ138" s="438"/>
      <c r="BR138" s="456"/>
      <c r="BS138" s="438"/>
      <c r="BT138" s="456"/>
      <c r="BU138" s="438"/>
      <c r="BV138" s="456"/>
      <c r="BW138" s="438"/>
      <c r="BX138" s="456"/>
      <c r="BY138" s="438"/>
      <c r="BZ138" s="456"/>
      <c r="CA138" s="438"/>
      <c r="CB138" s="456"/>
      <c r="CC138" s="438"/>
      <c r="CD138" s="456"/>
      <c r="CE138" s="438"/>
      <c r="CF138" s="456"/>
      <c r="CG138" s="438"/>
      <c r="CH138" s="456"/>
      <c r="CI138" s="438"/>
      <c r="CJ138" s="456"/>
      <c r="CK138" s="438"/>
      <c r="CL138" s="456"/>
      <c r="CM138" s="438"/>
      <c r="CN138" s="456"/>
      <c r="CO138" s="438"/>
      <c r="CP138" s="456"/>
      <c r="CQ138" s="438"/>
      <c r="CR138" s="456"/>
      <c r="CS138" s="438"/>
      <c r="CT138" s="456"/>
      <c r="CU138" s="438"/>
      <c r="CV138" s="456"/>
      <c r="CW138" s="438"/>
      <c r="CX138" s="456"/>
      <c r="CY138" s="438"/>
      <c r="CZ138" s="456"/>
      <c r="DA138" s="438"/>
      <c r="DB138" s="456"/>
      <c r="DC138" s="438"/>
      <c r="DD138" s="456"/>
      <c r="DE138" s="438"/>
      <c r="DF138" s="456"/>
      <c r="DG138" s="438"/>
      <c r="DH138" s="456"/>
      <c r="DI138" s="438"/>
      <c r="DJ138" s="456"/>
      <c r="DK138" s="438"/>
      <c r="DL138" s="456"/>
      <c r="DM138" s="438"/>
      <c r="DN138" s="456"/>
      <c r="DO138" s="438"/>
      <c r="DP138" s="456"/>
      <c r="DQ138" s="438"/>
      <c r="DR138" s="456"/>
      <c r="DS138" s="438"/>
      <c r="DT138" s="456"/>
      <c r="DU138" s="438"/>
      <c r="DV138" s="456"/>
      <c r="DW138" s="438"/>
      <c r="DX138" s="456"/>
      <c r="DY138" s="438"/>
      <c r="DZ138" s="456"/>
      <c r="EA138" s="438"/>
      <c r="EB138" s="439"/>
      <c r="EC138" s="449"/>
      <c r="ED138" s="439"/>
      <c r="EE138" s="449"/>
      <c r="EF138" s="439"/>
      <c r="EG138" s="449"/>
      <c r="EH138" s="439"/>
      <c r="EI138" s="449"/>
      <c r="EJ138" s="438"/>
      <c r="EK138" s="456"/>
      <c r="EL138" s="438"/>
      <c r="EM138" s="456"/>
      <c r="EN138" s="438"/>
      <c r="EO138" s="456"/>
      <c r="EP138" s="438"/>
      <c r="EQ138" s="456"/>
      <c r="ER138" s="438"/>
      <c r="ES138" s="456"/>
      <c r="ET138" s="438"/>
      <c r="EU138" s="456"/>
      <c r="EV138" s="438"/>
      <c r="EW138" s="456"/>
      <c r="EX138" s="438"/>
      <c r="EY138" s="456"/>
      <c r="EZ138" s="438"/>
      <c r="FA138" s="456"/>
      <c r="FB138" s="438"/>
      <c r="FC138" s="456"/>
      <c r="FD138" s="438"/>
      <c r="FE138" s="456"/>
      <c r="FF138" s="438"/>
      <c r="FG138" s="456"/>
      <c r="FH138" s="438"/>
      <c r="FI138" s="456"/>
      <c r="FJ138" s="438"/>
      <c r="FK138" s="456"/>
      <c r="FL138" s="438"/>
      <c r="FM138" s="456"/>
      <c r="FN138" s="438"/>
      <c r="FO138" s="456"/>
      <c r="FP138" s="438"/>
      <c r="FQ138" s="456"/>
      <c r="FR138" s="438"/>
      <c r="FS138" s="438"/>
    </row>
    <row r="139" spans="1:176" s="529" customFormat="1" ht="12.75" hidden="1" customHeight="1" outlineLevel="1" x14ac:dyDescent="0.2">
      <c r="A139" s="441" t="str">
        <f>+INPUT!B74</f>
        <v>Total Fees/Average Variable Reserves (%)</v>
      </c>
      <c r="B139" s="539">
        <f>+INPUT!AA74</f>
        <v>1.6632016632016633</v>
      </c>
      <c r="C139" s="439">
        <f>+INPUT!AB74</f>
        <v>18.739804893651041</v>
      </c>
      <c r="D139" s="539">
        <f>+INPUT!AC74</f>
        <v>1.7974244223216733</v>
      </c>
      <c r="E139" s="439">
        <f>+INPUT!AD74</f>
        <v>2.8179291710207792</v>
      </c>
      <c r="F139" s="539">
        <f>+INPUT!AE74</f>
        <v>1.5087784602022458</v>
      </c>
      <c r="G139" s="439">
        <f>+INPUT!AF74</f>
        <v>-3.3803825979759381</v>
      </c>
      <c r="H139" s="539">
        <f>+INPUT!AG74</f>
        <v>1.4723231560568166</v>
      </c>
      <c r="I139" s="439">
        <f>+INPUT!AH74</f>
        <v>-8.5862309316280943</v>
      </c>
      <c r="J139" s="539">
        <f>+INPUT!AI74</f>
        <v>1.5224025133153918</v>
      </c>
      <c r="K139" s="439">
        <f>+INPUT!AJ74</f>
        <v>-8.4655488869120745</v>
      </c>
      <c r="L139" s="539">
        <f>+INPUT!AK74</f>
        <v>1.5414601548142786</v>
      </c>
      <c r="M139" s="439">
        <f>+INPUT!AL74</f>
        <v>-14.240613642980009</v>
      </c>
      <c r="N139" s="539">
        <f>+INPUT!AM74</f>
        <v>1.5480811176608762</v>
      </c>
      <c r="O139" s="439">
        <f>+INPUT!AN74</f>
        <v>2.6049323008867589</v>
      </c>
      <c r="P139" s="539">
        <f>+INPUT!AO74</f>
        <v>1.6018804683759196</v>
      </c>
      <c r="Q139" s="439">
        <f>+INPUT!AP74</f>
        <v>8.7995160428016277</v>
      </c>
      <c r="R139" s="539">
        <f>+INPUT!AQ74</f>
        <v>1.654513666794593</v>
      </c>
      <c r="S139" s="439">
        <f>+INPUT!AR74</f>
        <v>8.6778071057895119</v>
      </c>
      <c r="T139" s="539">
        <f>+INPUT!AS74</f>
        <v>1.6206764191581013</v>
      </c>
      <c r="U139" s="439">
        <f>+INPUT!AT74</f>
        <v>5.1390406749350745</v>
      </c>
      <c r="V139" s="539">
        <f>+INPUT!AU74</f>
        <v>1.634911132671387</v>
      </c>
      <c r="W139" s="439">
        <f>+INPUT!AV74</f>
        <v>5.6088801820481677</v>
      </c>
      <c r="X139" s="539">
        <f>+INPUT!AW74</f>
        <v>1.5798607647962339</v>
      </c>
      <c r="Y139" s="439">
        <f>+INPUT!AX74</f>
        <v>-1.3746158976525038</v>
      </c>
      <c r="Z139" s="539">
        <f>+INPUT!AY74</f>
        <v>1.654498408026241</v>
      </c>
      <c r="AA139" s="439">
        <f>+INPUT!AZ74</f>
        <v>-9.2225097067455408E-4</v>
      </c>
      <c r="AB139" s="539">
        <f>+INPUT!BA74</f>
        <v>1.5804833262288094</v>
      </c>
      <c r="AC139" s="439">
        <f>+INPUT!BB74</f>
        <v>-2.4800196050344994</v>
      </c>
      <c r="AD139" s="539">
        <f>+INPUT!BC74</f>
        <v>1.6991719407011954</v>
      </c>
      <c r="AE139" s="439">
        <f>+INPUT!BD74</f>
        <v>3.9305382871060743</v>
      </c>
      <c r="AF139" s="539">
        <f>+INPUT!BE74</f>
        <v>1.7366136034732274</v>
      </c>
      <c r="AG139" s="439">
        <f>+INPUT!BF74</f>
        <v>9.9219400956014567</v>
      </c>
      <c r="AH139" s="456">
        <f>+INPUT!BG74</f>
        <v>1.7050071263969735</v>
      </c>
      <c r="AI139" s="438">
        <f>+INPUT!BH74</f>
        <v>3.0528115425017148</v>
      </c>
      <c r="AJ139" s="456">
        <f>+INPUT!BI74</f>
        <v>1.7546697377700426</v>
      </c>
      <c r="AK139" s="438">
        <f>+INPUT!BJ74</f>
        <v>11.021085047246856</v>
      </c>
      <c r="AL139" s="456">
        <f>+INPUT!BK74</f>
        <v>1.6735252059122896</v>
      </c>
      <c r="AM139" s="438">
        <f>+INPUT!BL74</f>
        <v>-1.5093666611704037</v>
      </c>
      <c r="AN139" s="456">
        <f>+INPUT!BM74</f>
        <v>1.7634347349584838</v>
      </c>
      <c r="AO139" s="438">
        <f>+INPUT!BN74</f>
        <v>1.544450154692683</v>
      </c>
      <c r="AP139" s="456">
        <f>+INPUT!BO74</f>
        <v>1.6638013740526827</v>
      </c>
      <c r="AQ139" s="438">
        <f>+INPUT!BP74</f>
        <v>-2.416749566986681</v>
      </c>
      <c r="AR139" s="456">
        <f>+INPUT!BQ74</f>
        <v>1.7102696346970951</v>
      </c>
      <c r="AS139" s="438">
        <f>+INPUT!BR74</f>
        <v>-2.5303965821724574</v>
      </c>
      <c r="AT139" s="456">
        <f>+INPUT!BS74</f>
        <v>1.7045733309970212</v>
      </c>
      <c r="AU139" s="438">
        <f>+INPUT!BT74</f>
        <v>1.8552529101470157</v>
      </c>
      <c r="AV139" s="456">
        <f>+INPUT!BU74</f>
        <v>1.4002734909161947</v>
      </c>
      <c r="AW139" s="438">
        <f>+INPUT!BV74</f>
        <v>-20.59397134710737</v>
      </c>
      <c r="AX139" s="456">
        <f>+INPUT!BW74</f>
        <v>1.4718225673808172</v>
      </c>
      <c r="AY139" s="438">
        <f>+INPUT!BX74</f>
        <v>-11.538565219731979</v>
      </c>
      <c r="AZ139" s="456">
        <f>+INPUT!BY74</f>
        <v>1.5344478669711721</v>
      </c>
      <c r="BA139" s="438">
        <f>+INPUT!BZ74</f>
        <v>-10.280353703237139</v>
      </c>
      <c r="BB139" s="456">
        <f>+INPUT!CA74</f>
        <v>1.665837538199133</v>
      </c>
      <c r="BC139" s="438">
        <f>+INPUT!CB74</f>
        <v>-2.2724626798678855</v>
      </c>
      <c r="BD139" s="456">
        <f>+INPUT!CC74</f>
        <v>1.7062704156792416</v>
      </c>
      <c r="BE139" s="438">
        <f>+INPUT!CD74</f>
        <v>21.852654267048521</v>
      </c>
      <c r="BF139" s="456">
        <f>+INPUT!CE74</f>
        <v>1.8420957455786084</v>
      </c>
      <c r="BG139" s="438">
        <f>+INPUT!CF74</f>
        <v>25.15746030832446</v>
      </c>
      <c r="BH139" s="456">
        <f>+INPUT!CG74</f>
        <v>1.8369907440285966</v>
      </c>
      <c r="BI139" s="438">
        <f>+INPUT!CH74</f>
        <v>19.716725707639071</v>
      </c>
      <c r="BJ139" s="456">
        <f>+INPUT!CI74</f>
        <v>1.8715247954432441</v>
      </c>
      <c r="BK139" s="438">
        <f>+INPUT!CJ74</f>
        <v>12.347377972192348</v>
      </c>
      <c r="BL139" s="456">
        <f>+INPUT!CK74</f>
        <v>1.8107222963065148</v>
      </c>
      <c r="BM139" s="438">
        <f>+INPUT!CL74</f>
        <v>6.1216486945706379</v>
      </c>
      <c r="BN139" s="456">
        <f>+INPUT!CM74</f>
        <v>1.816152262889924</v>
      </c>
      <c r="BO139" s="438">
        <f>+INPUT!CN74</f>
        <v>-1.4083677654081725</v>
      </c>
      <c r="BP139" s="456">
        <f>+INPUT!CO74</f>
        <v>1.8220199756043769</v>
      </c>
      <c r="BQ139" s="438">
        <f>+INPUT!CP74</f>
        <v>-0.81496155997979258</v>
      </c>
      <c r="BR139" s="456">
        <f>+INPUT!CQ74</f>
        <v>1.8448863451443875</v>
      </c>
      <c r="BS139" s="438">
        <f>+INPUT!CR74</f>
        <v>-1.4233554566690998</v>
      </c>
      <c r="BT139" s="456">
        <f>+INPUT!CS74</f>
        <v>1.8323597746235103</v>
      </c>
      <c r="BU139" s="438">
        <f>+INPUT!CT74</f>
        <v>1.1949639302023911</v>
      </c>
      <c r="BV139" s="456">
        <f>+INPUT!CU74</f>
        <v>1.8120242240858362</v>
      </c>
      <c r="BW139" s="438">
        <f>+INPUT!CV74</f>
        <v>-0.22729585445216571</v>
      </c>
      <c r="BX139" s="456">
        <f>+INPUT!CW74</f>
        <v>1.7722213447934763</v>
      </c>
      <c r="BY139" s="438">
        <f>+INPUT!CX74</f>
        <v>-2.7331550409803782</v>
      </c>
      <c r="BZ139" s="456">
        <f>+INPUT!CY74</f>
        <v>1.7811653796008426</v>
      </c>
      <c r="CA139" s="438">
        <f>+INPUT!CZ74</f>
        <v>-3.453923636610682</v>
      </c>
      <c r="CB139" s="456">
        <f>+INPUT!DA74</f>
        <v>1.7593079441350645</v>
      </c>
      <c r="CC139" s="438">
        <f>+INPUT!DB74</f>
        <v>-3.9867623978732922</v>
      </c>
      <c r="CD139" s="456">
        <f>+INPUT!DC74</f>
        <v>1.758780972650217</v>
      </c>
      <c r="CE139" s="438">
        <f>+INPUT!DD74</f>
        <v>-2.9383300028718082</v>
      </c>
      <c r="CF139" s="456">
        <f>+INPUT!DE74</f>
        <v>1.817859968425882</v>
      </c>
      <c r="CG139" s="438">
        <f>+INPUT!DF74</f>
        <v>2.5752214172617443</v>
      </c>
      <c r="CH139" s="456">
        <f>+INPUT!DG74</f>
        <v>1.8161664392905865</v>
      </c>
      <c r="CI139" s="438">
        <f>+INPUT!DH74</f>
        <v>1.9650651248110051</v>
      </c>
      <c r="CJ139" s="456">
        <f>+INPUT!DI74</f>
        <v>1.8112345494350091</v>
      </c>
      <c r="CK139" s="438">
        <f>+INPUT!DJ74</f>
        <v>2.951535885064942</v>
      </c>
      <c r="CL139" s="456">
        <f>+INPUT!DK74</f>
        <v>1.7769715346903376</v>
      </c>
      <c r="CM139" s="438">
        <f>+INPUT!DL74</f>
        <v>1.0342710276601679</v>
      </c>
      <c r="CN139" s="456">
        <f>+INPUT!DM74</f>
        <v>1.7898604923417125</v>
      </c>
      <c r="CO139" s="438">
        <f>+INPUT!DN74</f>
        <v>-1.5402438345355449</v>
      </c>
      <c r="CP139" s="456">
        <f>+INPUT!DO74</f>
        <v>1.8015802654483566</v>
      </c>
      <c r="CQ139" s="438">
        <f>+INPUT!DP74</f>
        <v>-0.80312979728485345</v>
      </c>
      <c r="CR139" s="456">
        <f>+INPUT!DQ74</f>
        <v>1.8140824966342801</v>
      </c>
      <c r="CS139" s="438">
        <f>+INPUT!DR74</f>
        <v>0.15723790163784201</v>
      </c>
      <c r="CT139" s="456">
        <f>+INPUT!DS74</f>
        <v>1.7861084011706945</v>
      </c>
      <c r="CU139" s="438">
        <f>+INPUT!DT74</f>
        <v>0.51418192705878596</v>
      </c>
      <c r="CV139" s="456">
        <f>+INPUT!DU74</f>
        <v>1.8225039619651346</v>
      </c>
      <c r="CW139" s="438">
        <f>+INPUT!DV74</f>
        <v>1.8237996627722595</v>
      </c>
      <c r="CX139" s="456">
        <f>+INPUT!DW74</f>
        <v>1.8324512013875787</v>
      </c>
      <c r="CY139" s="438">
        <f>+INPUT!DX74</f>
        <v>1.7135476298936396</v>
      </c>
      <c r="CZ139" s="456">
        <f>+INPUT!DY74</f>
        <v>1.8424589532833997</v>
      </c>
      <c r="DA139" s="438">
        <f>+INPUT!DZ74</f>
        <v>1.5642318748881223</v>
      </c>
      <c r="DB139" s="456">
        <f>+INPUT!EA74</f>
        <v>1.8432469700037708</v>
      </c>
      <c r="DC139" s="438">
        <f>+INPUT!EB74</f>
        <v>3.1990538085832299</v>
      </c>
      <c r="DD139" s="456">
        <f>+INPUT!EC74</f>
        <v>1.7973997616781054</v>
      </c>
      <c r="DE139" s="438">
        <f>+INPUT!ED74</f>
        <v>-1.3774565548796005</v>
      </c>
      <c r="DF139" s="456">
        <f>+INPUT!EE74</f>
        <v>1.8452028971776366</v>
      </c>
      <c r="DG139" s="438">
        <f>+INPUT!EF74</f>
        <v>0.6958818756211258</v>
      </c>
      <c r="DH139" s="456">
        <f>+INPUT!EG74</f>
        <v>1.804035068365142</v>
      </c>
      <c r="DI139" s="438">
        <f>+INPUT!EH74</f>
        <v>-2.0854676219398698</v>
      </c>
      <c r="DJ139" s="456">
        <f>+INPUT!EI74</f>
        <v>1.8005642885933093</v>
      </c>
      <c r="DK139" s="438">
        <f>+INPUT!EJ74</f>
        <v>-2.3156246615381235</v>
      </c>
      <c r="DL139" s="456">
        <f>+INPUT!EK74</f>
        <v>1.9061360874848117</v>
      </c>
      <c r="DM139" s="438">
        <f>+INPUT!EL74</f>
        <v>6.0496461680392457</v>
      </c>
      <c r="DN139" s="456">
        <f>+INPUT!EM74</f>
        <v>1.9096881817814004</v>
      </c>
      <c r="DO139" s="438">
        <f>+INPUT!EN74</f>
        <v>3.4947530541166145</v>
      </c>
      <c r="DP139" s="456">
        <f>+INPUT!EO74</f>
        <v>1.865183646030679</v>
      </c>
      <c r="DQ139" s="438">
        <f>+INPUT!EP74</f>
        <v>3.389544845209187</v>
      </c>
      <c r="DR139" s="456">
        <f>+INPUT!EQ74</f>
        <v>1.85</v>
      </c>
      <c r="DS139" s="438">
        <f>+INPUT!ER74</f>
        <v>2.7455676934097397</v>
      </c>
      <c r="DT139" s="456">
        <f>+INPUT!ES74</f>
        <v>1.8450000000000002</v>
      </c>
      <c r="DU139" s="438">
        <f>+INPUT!ET74</f>
        <v>-3.2073306772908268</v>
      </c>
      <c r="DV139" s="456">
        <f>+INPUT!EU74</f>
        <v>1.8400000000000003</v>
      </c>
      <c r="DW139" s="438">
        <f>+INPUT!EV74</f>
        <v>-3.6491916558018147</v>
      </c>
      <c r="DX139" s="456">
        <f>+INPUT!EW74</f>
        <v>1.8350000000000004</v>
      </c>
      <c r="DY139" s="438">
        <f>+INPUT!EX74</f>
        <v>-1.6182667103538506</v>
      </c>
      <c r="DZ139" s="456"/>
      <c r="EA139" s="438"/>
      <c r="EB139" s="439">
        <f>+INPUT!FI74</f>
        <v>-11.112593609402168</v>
      </c>
      <c r="EC139" s="539">
        <f>+INPUT!FJ74</f>
        <v>1.5575866223881036</v>
      </c>
      <c r="ED139" s="439">
        <f>+INPUT!FK74</f>
        <v>7.4842935185457407</v>
      </c>
      <c r="EE139" s="539">
        <f>+INPUT!FL74</f>
        <v>1.6664698837856529</v>
      </c>
      <c r="EF139" s="439">
        <f>+INPUT!FM74</f>
        <v>6.9905108218384981</v>
      </c>
      <c r="EG139" s="539">
        <f>+INPUT!FN74</f>
        <v>1.5300929219521271</v>
      </c>
      <c r="EH139" s="439">
        <f>+INPUT!FO74</f>
        <v>-8.1835839435468074</v>
      </c>
      <c r="EI139" s="539">
        <f>+INPUT!FP74</f>
        <v>1.5886594158621532</v>
      </c>
      <c r="EJ139" s="438">
        <f>+INPUT!FQ74</f>
        <v>3.8276429535603569</v>
      </c>
      <c r="EK139" s="456">
        <f>+INPUT!FR74</f>
        <v>1.7026641028300606</v>
      </c>
      <c r="EL139" s="438">
        <f>+INPUT!FS74</f>
        <v>7.1761565650645167</v>
      </c>
      <c r="EM139" s="456">
        <f>+INPUT!FT74</f>
        <v>1.7432288472092197</v>
      </c>
      <c r="EN139" s="438">
        <f>+INPUT!FU74</f>
        <v>2.3824278853201264</v>
      </c>
      <c r="EO139" s="456">
        <f>+INPUT!FV74</f>
        <v>1.6274031905302089</v>
      </c>
      <c r="EP139" s="438">
        <f>+INPUT!FW74</f>
        <v>-6.644317346195777</v>
      </c>
      <c r="EQ139" s="456">
        <f>+INPUT!FX74</f>
        <v>1.6049681126006359</v>
      </c>
      <c r="ER139" s="438">
        <f>+INPUT!FY74</f>
        <v>-1.3785814148652094</v>
      </c>
      <c r="ES139" s="456">
        <f>+INPUT!FZ74</f>
        <v>1.8395587094257597</v>
      </c>
      <c r="ET139" s="438">
        <f>+INPUT!GA74</f>
        <v>14.616526956725707</v>
      </c>
      <c r="EU139" s="456">
        <f>+INPUT!GB74</f>
        <v>1.8288291109510537</v>
      </c>
      <c r="EV139" s="438">
        <f>+INPUT!GC74</f>
        <v>-0.58327023865714978</v>
      </c>
      <c r="EW139" s="456">
        <f>+INPUT!GD74</f>
        <v>1.7804015082823959</v>
      </c>
      <c r="EX139" s="438">
        <f>+INPUT!GE74</f>
        <v>-2.648011363044958</v>
      </c>
      <c r="EY139" s="456">
        <f>+INPUT!GF74</f>
        <v>1.801463288240359</v>
      </c>
      <c r="EZ139" s="438">
        <f>+INPUT!GG74</f>
        <v>1.1829792246290651</v>
      </c>
      <c r="FA139" s="456">
        <f>+INPUT!GH74</f>
        <v>1.795724883732682</v>
      </c>
      <c r="FB139" s="438">
        <f>+INPUT!GI74</f>
        <v>-0.31854129613056159</v>
      </c>
      <c r="FC139" s="456">
        <f>+INPUT!GJ74</f>
        <v>1.8204904865481442</v>
      </c>
      <c r="FD139" s="438">
        <f>+INPUT!GK74</f>
        <v>1.3791423753054488</v>
      </c>
      <c r="FE139" s="456">
        <f>+INPUT!GL74</f>
        <v>1.8221562477274189</v>
      </c>
      <c r="FF139" s="438">
        <f>+INPUT!GM74</f>
        <v>9.1500680260807599E-2</v>
      </c>
      <c r="FG139" s="456">
        <f>+INPUT!GN74</f>
        <v>1.8708334183189173</v>
      </c>
      <c r="FH139" s="438">
        <f>+INPUT!GO74</f>
        <v>2.6714048618063515</v>
      </c>
      <c r="FI139" s="456">
        <f>+INPUT!GP74</f>
        <v>1.842525044383311</v>
      </c>
      <c r="FJ139" s="438">
        <f>+INPUT!GQ74</f>
        <v>-1.5131424133444966</v>
      </c>
      <c r="FK139" s="456">
        <f>+INPUT!GR74</f>
        <v>1.822525044383311</v>
      </c>
      <c r="FL139" s="438">
        <f>+INPUT!GS74</f>
        <v>-1.0854669281683442</v>
      </c>
      <c r="FM139" s="456">
        <f>+INPUT!GT74</f>
        <v>1.802525044383311</v>
      </c>
      <c r="FN139" s="438">
        <f>+INPUT!GU74</f>
        <v>-1.0973786100573051</v>
      </c>
      <c r="FO139" s="456">
        <f>+INPUT!GV74</f>
        <v>1.7825250443833109</v>
      </c>
      <c r="FP139" s="438">
        <f>+INPUT!GW74</f>
        <v>-1.1095546251809481</v>
      </c>
      <c r="FQ139" s="456">
        <f>+INPUT!GX74</f>
        <v>1.7625250443833109</v>
      </c>
      <c r="FR139" s="438">
        <f>+INPUT!GY74</f>
        <v>-1.1220038710266351</v>
      </c>
      <c r="FS139" s="438">
        <f>+INPUT!GZ74</f>
        <v>-1.1856460536361579</v>
      </c>
    </row>
    <row r="140" spans="1:176" s="529" customFormat="1" ht="12.75" hidden="1" customHeight="1" outlineLevel="1" x14ac:dyDescent="0.2">
      <c r="A140" s="441"/>
      <c r="B140" s="449"/>
      <c r="C140" s="439"/>
      <c r="D140" s="449"/>
      <c r="E140" s="439"/>
      <c r="F140" s="449"/>
      <c r="G140" s="439"/>
      <c r="H140" s="449"/>
      <c r="I140" s="439"/>
      <c r="J140" s="449"/>
      <c r="K140" s="439"/>
      <c r="L140" s="449"/>
      <c r="M140" s="439"/>
      <c r="N140" s="449"/>
      <c r="O140" s="439"/>
      <c r="P140" s="449"/>
      <c r="Q140" s="439"/>
      <c r="R140" s="449"/>
      <c r="S140" s="439"/>
      <c r="T140" s="449"/>
      <c r="U140" s="439"/>
      <c r="V140" s="449"/>
      <c r="W140" s="439"/>
      <c r="X140" s="449"/>
      <c r="Y140" s="439"/>
      <c r="Z140" s="449"/>
      <c r="AA140" s="439"/>
      <c r="AB140" s="449"/>
      <c r="AC140" s="439"/>
      <c r="AD140" s="449"/>
      <c r="AE140" s="439"/>
      <c r="AF140" s="449"/>
      <c r="AG140" s="439"/>
      <c r="AH140" s="456"/>
      <c r="AI140" s="438"/>
      <c r="AJ140" s="456"/>
      <c r="AK140" s="438"/>
      <c r="AL140" s="456"/>
      <c r="AM140" s="438"/>
      <c r="AN140" s="456"/>
      <c r="AO140" s="438"/>
      <c r="AP140" s="456"/>
      <c r="AQ140" s="438"/>
      <c r="AR140" s="456"/>
      <c r="AS140" s="438"/>
      <c r="AT140" s="456"/>
      <c r="AU140" s="438"/>
      <c r="AV140" s="456"/>
      <c r="AW140" s="438"/>
      <c r="AX140" s="456"/>
      <c r="AY140" s="438"/>
      <c r="AZ140" s="456"/>
      <c r="BA140" s="438"/>
      <c r="BB140" s="456"/>
      <c r="BC140" s="438"/>
      <c r="BD140" s="456"/>
      <c r="BE140" s="438"/>
      <c r="BF140" s="456"/>
      <c r="BG140" s="438"/>
      <c r="BH140" s="456"/>
      <c r="BI140" s="438"/>
      <c r="BJ140" s="456"/>
      <c r="BK140" s="438"/>
      <c r="BL140" s="456"/>
      <c r="BM140" s="438"/>
      <c r="BN140" s="456"/>
      <c r="BO140" s="438"/>
      <c r="BP140" s="456"/>
      <c r="BQ140" s="438"/>
      <c r="BR140" s="456"/>
      <c r="BS140" s="438"/>
      <c r="BT140" s="456"/>
      <c r="BU140" s="438"/>
      <c r="BV140" s="456"/>
      <c r="BW140" s="438"/>
      <c r="BX140" s="456"/>
      <c r="BY140" s="438"/>
      <c r="BZ140" s="456"/>
      <c r="CA140" s="438"/>
      <c r="CB140" s="456"/>
      <c r="CC140" s="438"/>
      <c r="CD140" s="456"/>
      <c r="CE140" s="438"/>
      <c r="CF140" s="456"/>
      <c r="CG140" s="438"/>
      <c r="CH140" s="456"/>
      <c r="CI140" s="438"/>
      <c r="CJ140" s="456"/>
      <c r="CK140" s="438"/>
      <c r="CL140" s="456"/>
      <c r="CM140" s="438"/>
      <c r="CN140" s="456"/>
      <c r="CO140" s="438"/>
      <c r="CP140" s="456"/>
      <c r="CQ140" s="438"/>
      <c r="CR140" s="456"/>
      <c r="CS140" s="438"/>
      <c r="CT140" s="456"/>
      <c r="CU140" s="438"/>
      <c r="CV140" s="456"/>
      <c r="CW140" s="438"/>
      <c r="CX140" s="456"/>
      <c r="CY140" s="438"/>
      <c r="CZ140" s="456"/>
      <c r="DA140" s="438"/>
      <c r="DB140" s="456"/>
      <c r="DC140" s="438"/>
      <c r="DD140" s="456"/>
      <c r="DE140" s="438"/>
      <c r="DF140" s="456"/>
      <c r="DG140" s="438"/>
      <c r="DH140" s="456"/>
      <c r="DI140" s="438"/>
      <c r="DJ140" s="456"/>
      <c r="DK140" s="438"/>
      <c r="DL140" s="456"/>
      <c r="DM140" s="438"/>
      <c r="DN140" s="456"/>
      <c r="DO140" s="438"/>
      <c r="DP140" s="456"/>
      <c r="DQ140" s="438"/>
      <c r="DR140" s="456"/>
      <c r="DS140" s="438"/>
      <c r="DT140" s="456"/>
      <c r="DU140" s="438"/>
      <c r="DV140" s="456"/>
      <c r="DW140" s="438"/>
      <c r="DX140" s="456"/>
      <c r="DY140" s="438"/>
      <c r="DZ140" s="456"/>
      <c r="EA140" s="438"/>
      <c r="EB140" s="439"/>
      <c r="EC140" s="449"/>
      <c r="ED140" s="439"/>
      <c r="EE140" s="449"/>
      <c r="EF140" s="439"/>
      <c r="EG140" s="449"/>
      <c r="EH140" s="439"/>
      <c r="EI140" s="449"/>
      <c r="EJ140" s="438"/>
      <c r="EK140" s="456"/>
      <c r="EL140" s="438"/>
      <c r="EM140" s="456"/>
      <c r="EN140" s="438"/>
      <c r="EO140" s="456"/>
      <c r="EP140" s="438"/>
      <c r="EQ140" s="456"/>
      <c r="ER140" s="438"/>
      <c r="ES140" s="456"/>
      <c r="ET140" s="438"/>
      <c r="EU140" s="456"/>
      <c r="EV140" s="438"/>
      <c r="EW140" s="456"/>
      <c r="EX140" s="438"/>
      <c r="EY140" s="456"/>
      <c r="EZ140" s="438"/>
      <c r="FA140" s="456"/>
      <c r="FB140" s="438"/>
      <c r="FC140" s="456"/>
      <c r="FD140" s="438"/>
      <c r="FE140" s="456"/>
      <c r="FF140" s="438"/>
      <c r="FG140" s="456"/>
      <c r="FH140" s="438"/>
      <c r="FI140" s="456"/>
      <c r="FJ140" s="438"/>
      <c r="FK140" s="456"/>
      <c r="FL140" s="438"/>
      <c r="FM140" s="456"/>
      <c r="FN140" s="438"/>
      <c r="FO140" s="456"/>
      <c r="FP140" s="438"/>
      <c r="FQ140" s="456"/>
      <c r="FR140" s="438"/>
      <c r="FS140" s="438"/>
    </row>
    <row r="141" spans="1:176" s="529" customFormat="1" ht="12.75" hidden="1" customHeight="1" outlineLevel="1" x14ac:dyDescent="0.2">
      <c r="A141" s="446" t="s">
        <v>331</v>
      </c>
      <c r="B141" s="449"/>
      <c r="C141" s="439"/>
      <c r="D141" s="449"/>
      <c r="E141" s="439"/>
      <c r="F141" s="449"/>
      <c r="G141" s="439"/>
      <c r="H141" s="449"/>
      <c r="I141" s="439"/>
      <c r="J141" s="449"/>
      <c r="K141" s="439"/>
      <c r="L141" s="449"/>
      <c r="M141" s="439"/>
      <c r="N141" s="449"/>
      <c r="O141" s="439"/>
      <c r="P141" s="449"/>
      <c r="Q141" s="439"/>
      <c r="R141" s="449"/>
      <c r="S141" s="439"/>
      <c r="T141" s="449"/>
      <c r="U141" s="439"/>
      <c r="V141" s="449"/>
      <c r="W141" s="439"/>
      <c r="X141" s="449"/>
      <c r="Y141" s="439"/>
      <c r="Z141" s="449"/>
      <c r="AA141" s="439"/>
      <c r="AB141" s="449"/>
      <c r="AC141" s="439"/>
      <c r="AD141" s="449"/>
      <c r="AE141" s="439"/>
      <c r="AF141" s="449"/>
      <c r="AG141" s="439"/>
      <c r="AH141" s="449"/>
      <c r="AI141" s="438"/>
      <c r="AJ141" s="449"/>
      <c r="AK141" s="438"/>
      <c r="AL141" s="449"/>
      <c r="AM141" s="438"/>
      <c r="AN141" s="449"/>
      <c r="AO141" s="438"/>
      <c r="AP141" s="449"/>
      <c r="AQ141" s="438"/>
      <c r="AR141" s="449"/>
      <c r="AS141" s="438"/>
      <c r="AT141" s="449"/>
      <c r="AU141" s="438"/>
      <c r="AV141" s="449"/>
      <c r="AW141" s="438"/>
      <c r="AX141" s="449"/>
      <c r="AY141" s="438"/>
      <c r="AZ141" s="449"/>
      <c r="BA141" s="438"/>
      <c r="BB141" s="449"/>
      <c r="BC141" s="438"/>
      <c r="BD141" s="449"/>
      <c r="BE141" s="438"/>
      <c r="BF141" s="449"/>
      <c r="BG141" s="438"/>
      <c r="BH141" s="449"/>
      <c r="BI141" s="438"/>
      <c r="BJ141" s="449"/>
      <c r="BK141" s="438"/>
      <c r="BL141" s="449"/>
      <c r="BM141" s="438"/>
      <c r="BN141" s="449"/>
      <c r="BO141" s="438"/>
      <c r="BP141" s="449"/>
      <c r="BQ141" s="438"/>
      <c r="BR141" s="449"/>
      <c r="BS141" s="438"/>
      <c r="BT141" s="449"/>
      <c r="BU141" s="438"/>
      <c r="BV141" s="449"/>
      <c r="BW141" s="438"/>
      <c r="BX141" s="449"/>
      <c r="BY141" s="438"/>
      <c r="BZ141" s="449"/>
      <c r="CA141" s="438"/>
      <c r="CB141" s="449"/>
      <c r="CC141" s="438"/>
      <c r="CD141" s="449"/>
      <c r="CE141" s="438"/>
      <c r="CF141" s="449"/>
      <c r="CG141" s="438"/>
      <c r="CH141" s="449"/>
      <c r="CI141" s="438"/>
      <c r="CJ141" s="449"/>
      <c r="CK141" s="438"/>
      <c r="CL141" s="449"/>
      <c r="CM141" s="438"/>
      <c r="CN141" s="449"/>
      <c r="CO141" s="438"/>
      <c r="CP141" s="449"/>
      <c r="CQ141" s="438"/>
      <c r="CR141" s="449"/>
      <c r="CS141" s="438"/>
      <c r="CT141" s="449"/>
      <c r="CU141" s="438"/>
      <c r="CV141" s="449"/>
      <c r="CW141" s="438"/>
      <c r="CX141" s="449"/>
      <c r="CY141" s="438"/>
      <c r="CZ141" s="449"/>
      <c r="DA141" s="438"/>
      <c r="DB141" s="449"/>
      <c r="DC141" s="438"/>
      <c r="DD141" s="449"/>
      <c r="DE141" s="438"/>
      <c r="DF141" s="449"/>
      <c r="DG141" s="438"/>
      <c r="DH141" s="449"/>
      <c r="DI141" s="438"/>
      <c r="DJ141" s="449"/>
      <c r="DK141" s="438"/>
      <c r="DL141" s="449"/>
      <c r="DM141" s="438"/>
      <c r="DN141" s="449"/>
      <c r="DO141" s="438"/>
      <c r="DP141" s="449"/>
      <c r="DQ141" s="438"/>
      <c r="DR141" s="449"/>
      <c r="DS141" s="438"/>
      <c r="DT141" s="449"/>
      <c r="DU141" s="438"/>
      <c r="DV141" s="449"/>
      <c r="DW141" s="438"/>
      <c r="DX141" s="449"/>
      <c r="DY141" s="438"/>
      <c r="DZ141" s="449"/>
      <c r="EA141" s="438"/>
      <c r="EB141" s="439"/>
      <c r="EC141" s="449"/>
      <c r="ED141" s="439"/>
      <c r="EE141" s="449"/>
      <c r="EF141" s="439"/>
      <c r="EG141" s="449"/>
      <c r="EH141" s="439"/>
      <c r="EI141" s="449"/>
      <c r="EJ141" s="438"/>
      <c r="EK141" s="449"/>
      <c r="EL141" s="438"/>
      <c r="EM141" s="449"/>
      <c r="EN141" s="438"/>
      <c r="EO141" s="449"/>
      <c r="EP141" s="438"/>
      <c r="EQ141" s="449"/>
      <c r="ER141" s="438"/>
      <c r="ES141" s="449"/>
      <c r="ET141" s="438"/>
      <c r="EU141" s="449"/>
      <c r="EV141" s="438"/>
      <c r="EW141" s="449"/>
      <c r="EX141" s="438"/>
      <c r="EY141" s="449"/>
      <c r="EZ141" s="438"/>
      <c r="FA141" s="449"/>
      <c r="FB141" s="438"/>
      <c r="FC141" s="449"/>
      <c r="FD141" s="438"/>
      <c r="FE141" s="449"/>
      <c r="FF141" s="438"/>
      <c r="FG141" s="449"/>
      <c r="FH141" s="438"/>
      <c r="FI141" s="449"/>
      <c r="FJ141" s="438"/>
      <c r="FK141" s="449"/>
      <c r="FL141" s="438"/>
      <c r="FM141" s="449"/>
      <c r="FN141" s="438"/>
      <c r="FO141" s="449"/>
      <c r="FP141" s="438"/>
      <c r="FQ141" s="449"/>
      <c r="FR141" s="438"/>
      <c r="FS141" s="438"/>
    </row>
    <row r="142" spans="1:176" s="529" customFormat="1" ht="12.75" hidden="1" customHeight="1" outlineLevel="1" x14ac:dyDescent="0.2">
      <c r="A142" s="441" t="str">
        <f>+INPUT!B75</f>
        <v>Net Inv Inc/Avg Total Reserves (%)</v>
      </c>
      <c r="B142" s="539">
        <f>+INPUT!AA75</f>
        <v>12.461784830397438</v>
      </c>
      <c r="C142" s="439">
        <f>+INPUT!AB75</f>
        <v>-8.3435725724268508</v>
      </c>
      <c r="D142" s="539">
        <f>+INPUT!AC75</f>
        <v>13.082771481853392</v>
      </c>
      <c r="E142" s="439">
        <f>+INPUT!AD75</f>
        <v>-2.582412853249167</v>
      </c>
      <c r="F142" s="539">
        <f>+INPUT!AE75</f>
        <v>12.419883207520297</v>
      </c>
      <c r="G142" s="439">
        <f>+INPUT!AF75</f>
        <v>-9.3233526932430095</v>
      </c>
      <c r="H142" s="539">
        <f>+INPUT!AG75</f>
        <v>13.755861872957226</v>
      </c>
      <c r="I142" s="439">
        <f>+INPUT!AH75</f>
        <v>6.9614680214992006</v>
      </c>
      <c r="J142" s="539">
        <f>+INPUT!AI75</f>
        <v>15.4627539503386</v>
      </c>
      <c r="K142" s="439">
        <f>+INPUT!AJ75</f>
        <v>24.081374865509162</v>
      </c>
      <c r="L142" s="539">
        <f>+INPUT!AK75</f>
        <v>15.679824561403507</v>
      </c>
      <c r="M142" s="439">
        <f>+INPUT!AL75</f>
        <v>19.850939712219144</v>
      </c>
      <c r="N142" s="539">
        <f>+INPUT!AM75</f>
        <v>16.354523872329203</v>
      </c>
      <c r="O142" s="439">
        <f>+INPUT!AN75</f>
        <v>31.680174435347851</v>
      </c>
      <c r="P142" s="539">
        <f>+INPUT!AO75</f>
        <v>16.022741956325106</v>
      </c>
      <c r="Q142" s="439">
        <f>+INPUT!AP75</f>
        <v>16.479375151508037</v>
      </c>
      <c r="R142" s="539">
        <f>+INPUT!AQ75</f>
        <v>16.189739623614333</v>
      </c>
      <c r="S142" s="439">
        <f>+INPUT!AR75</f>
        <v>4.7015277848342976</v>
      </c>
      <c r="T142" s="539">
        <f>+INPUT!AS75</f>
        <v>15.409794787863529</v>
      </c>
      <c r="U142" s="439">
        <f>+INPUT!AT75</f>
        <v>-1.7221479263528749</v>
      </c>
      <c r="V142" s="539">
        <f>+INPUT!AU75</f>
        <v>15.413115968877362</v>
      </c>
      <c r="W142" s="439">
        <f>+INPUT!AV75</f>
        <v>-5.7562538096547229</v>
      </c>
      <c r="X142" s="539">
        <f>+INPUT!AW75</f>
        <v>15.054835493519441</v>
      </c>
      <c r="Y142" s="439">
        <f>+INPUT!AX75</f>
        <v>-6.040829125526642</v>
      </c>
      <c r="Z142" s="539">
        <f>+INPUT!AY75</f>
        <v>1.0295734241359895</v>
      </c>
      <c r="AA142" s="439" t="str">
        <f>+INPUT!AZ75</f>
        <v>NM</v>
      </c>
      <c r="AB142" s="539">
        <f>+INPUT!BA75</f>
        <v>0.91833590138674892</v>
      </c>
      <c r="AC142" s="439" t="str">
        <f>+INPUT!BB75</f>
        <v>NM</v>
      </c>
      <c r="AD142" s="539">
        <f>+INPUT!BC75</f>
        <v>0.91943392248736799</v>
      </c>
      <c r="AE142" s="439" t="str">
        <f>+INPUT!BD75</f>
        <v>NM</v>
      </c>
      <c r="AF142" s="539">
        <f>+INPUT!BE75</f>
        <v>0.81743869209809261</v>
      </c>
      <c r="AG142" s="439" t="str">
        <f>+INPUT!BF75</f>
        <v>NM</v>
      </c>
      <c r="AH142" s="456">
        <f>+INPUT!BG75</f>
        <v>0.76662880061939542</v>
      </c>
      <c r="AI142" s="438">
        <f>+INPUT!BH75</f>
        <v>-25.539181310672944</v>
      </c>
      <c r="AJ142" s="456">
        <f>+INPUT!BI75</f>
        <v>0.73155963076010533</v>
      </c>
      <c r="AK142" s="438">
        <f>+INPUT!BJ75</f>
        <v>-20.338556986022098</v>
      </c>
      <c r="AL142" s="456">
        <f>+INPUT!BK75</f>
        <v>0.68860396305926663</v>
      </c>
      <c r="AM142" s="438">
        <f>+INPUT!BL75</f>
        <v>-25.105660535520727</v>
      </c>
      <c r="AN142" s="456">
        <f>+INPUT!BM75</f>
        <v>0.65030230750517692</v>
      </c>
      <c r="AO142" s="438">
        <f>+INPUT!BN75</f>
        <v>-20.446351048533344</v>
      </c>
      <c r="AP142" s="456">
        <f>+INPUT!BO75</f>
        <v>0.79391006872746328</v>
      </c>
      <c r="AQ142" s="438">
        <f>+INPUT!BP75</f>
        <v>3.5586020360865831</v>
      </c>
      <c r="AR142" s="456">
        <f>+INPUT!BQ75</f>
        <v>0.88935457902605453</v>
      </c>
      <c r="AS142" s="438">
        <f>+INPUT!BR75</f>
        <v>21.569663173184807</v>
      </c>
      <c r="AT142" s="456">
        <f>+INPUT!BS75</f>
        <v>1.0708214539078289</v>
      </c>
      <c r="AU142" s="438">
        <f>+INPUT!BT75</f>
        <v>55.506141607213721</v>
      </c>
      <c r="AV142" s="456">
        <f>+INPUT!BU75</f>
        <v>1.5748148478298012</v>
      </c>
      <c r="AW142" s="438" t="str">
        <f>+INPUT!BV75</f>
        <v>NM</v>
      </c>
      <c r="AX142" s="456">
        <f>+INPUT!BW75</f>
        <v>1.7605435838948815</v>
      </c>
      <c r="AY142" s="438" t="str">
        <f>+INPUT!BX75</f>
        <v>NM</v>
      </c>
      <c r="AZ142" s="456">
        <f>+INPUT!BY75</f>
        <v>1.5502798687512063</v>
      </c>
      <c r="BA142" s="438">
        <f>+INPUT!BZ75</f>
        <v>74.315161276725064</v>
      </c>
      <c r="BB142" s="456">
        <f>+INPUT!CA75</f>
        <v>1.283096830315881</v>
      </c>
      <c r="BC142" s="438">
        <f>+INPUT!CB75</f>
        <v>19.82360137008645</v>
      </c>
      <c r="BD142" s="456">
        <f>+INPUT!CC75</f>
        <v>1.0712859731564237</v>
      </c>
      <c r="BE142" s="438">
        <f>+INPUT!CD75</f>
        <v>-31.973846028139334</v>
      </c>
      <c r="BF142" s="457">
        <f>+INPUT!CE75</f>
        <v>1.0353055364581225</v>
      </c>
      <c r="BG142" s="438">
        <f>+INPUT!CF75</f>
        <v>-41.193984293890765</v>
      </c>
      <c r="BH142" s="457">
        <f>+INPUT!CG75</f>
        <v>0.97916442369260592</v>
      </c>
      <c r="BI142" s="438">
        <f>+INPUT!CH75</f>
        <v>-36.83950598666096</v>
      </c>
      <c r="BJ142" s="457">
        <f>+INPUT!CI75</f>
        <v>0.9536090852938307</v>
      </c>
      <c r="BK142" s="438">
        <f>+INPUT!CJ75</f>
        <v>-25.67910209402784</v>
      </c>
      <c r="BL142" s="457">
        <f>+INPUT!CK75</f>
        <v>0.85747438393612208</v>
      </c>
      <c r="BM142" s="438">
        <f>+INPUT!CL75</f>
        <v>-19.958404625641634</v>
      </c>
      <c r="BN142" s="457">
        <f>+INPUT!CM75</f>
        <v>0.73092570285688307</v>
      </c>
      <c r="BO142" s="438">
        <f>+INPUT!CN75</f>
        <v>-29.400000568194713</v>
      </c>
      <c r="BP142" s="457">
        <f>+INPUT!CO75</f>
        <v>0.68570334628454077</v>
      </c>
      <c r="BQ142" s="438">
        <f>+INPUT!CP75</f>
        <v>-29.970561665360592</v>
      </c>
      <c r="BR142" s="457">
        <f>+INPUT!CQ75</f>
        <v>0.70044361428904978</v>
      </c>
      <c r="BS142" s="438">
        <f>+INPUT!CR75</f>
        <v>-26.548139579309307</v>
      </c>
      <c r="BT142" s="457">
        <f>+INPUT!CS75</f>
        <v>0.71563498982853824</v>
      </c>
      <c r="BU142" s="438">
        <f>+INPUT!CT75</f>
        <v>-16.541531358230074</v>
      </c>
      <c r="BV142" s="457">
        <f>+INPUT!CU75</f>
        <v>0.66333037303915576</v>
      </c>
      <c r="BW142" s="438">
        <f>+INPUT!CV75</f>
        <v>-9.2479070791361409</v>
      </c>
      <c r="BX142" s="457">
        <f>+INPUT!CW75</f>
        <v>0.61576156164869356</v>
      </c>
      <c r="BY142" s="438">
        <f>+INPUT!CX75</f>
        <v>-10.200006316845943</v>
      </c>
      <c r="BZ142" s="457">
        <f>+INPUT!CY75</f>
        <v>0.61370955494374979</v>
      </c>
      <c r="CA142" s="438">
        <f>+INPUT!CZ75</f>
        <v>-12.38273253919732</v>
      </c>
      <c r="CB142" s="457">
        <f>+INPUT!DA75</f>
        <v>0.55214197510138152</v>
      </c>
      <c r="CC142" s="438">
        <f>+INPUT!DB75</f>
        <v>-22.845866545224212</v>
      </c>
      <c r="CD142" s="457">
        <f>+INPUT!DC75</f>
        <v>0.50631090654104782</v>
      </c>
      <c r="CE142" s="438">
        <f>+INPUT!DD75</f>
        <v>-23.67138199607804</v>
      </c>
      <c r="CF142" s="457">
        <f>+INPUT!DE75</f>
        <v>0.50946091435567975</v>
      </c>
      <c r="CG142" s="438">
        <f>+INPUT!DF75</f>
        <v>-17.263280775174593</v>
      </c>
      <c r="CH142" s="457">
        <f>+INPUT!DG75</f>
        <v>0.46805976763186685</v>
      </c>
      <c r="CI142" s="438">
        <f>+INPUT!DH75</f>
        <v>-23.732690185218416</v>
      </c>
      <c r="CJ142" s="457">
        <f>+INPUT!DI75</f>
        <v>0.44309129139885511</v>
      </c>
      <c r="CK142" s="438">
        <f>+INPUT!DJ75</f>
        <v>-19.750478793521012</v>
      </c>
      <c r="CL142" s="457">
        <f>+INPUT!DK75</f>
        <v>0.42661013005145176</v>
      </c>
      <c r="CM142" s="438">
        <f>+INPUT!DL75</f>
        <v>-15.741469413346437</v>
      </c>
      <c r="CN142" s="457">
        <f>+INPUT!DM75</f>
        <v>0.38881335688237761</v>
      </c>
      <c r="CO142" s="438">
        <f>+INPUT!DN75</f>
        <v>-23.681415801227118</v>
      </c>
      <c r="CP142" s="457">
        <f>+INPUT!DO75</f>
        <v>0.38949009044895688</v>
      </c>
      <c r="CQ142" s="438">
        <f>+INPUT!DP75</f>
        <v>-16.786248811862365</v>
      </c>
      <c r="CR142" s="457">
        <f>+INPUT!DQ75</f>
        <v>0.40070122714750811</v>
      </c>
      <c r="CS142" s="438">
        <f>+INPUT!DR75</f>
        <v>-9.5668917611808695</v>
      </c>
      <c r="CT142" s="457">
        <f>+INPUT!DS75</f>
        <v>0.37774671582377239</v>
      </c>
      <c r="CU142" s="438">
        <f>+INPUT!DT75</f>
        <v>-11.453880436872453</v>
      </c>
      <c r="CV142" s="457">
        <f>+INPUT!DU75</f>
        <v>0.35738496671383896</v>
      </c>
      <c r="CW142" s="438">
        <f>+INPUT!DV75</f>
        <v>-8.0831559956018282</v>
      </c>
      <c r="CX142" s="457">
        <f>+INPUT!DW75</f>
        <v>0.40363138880893162</v>
      </c>
      <c r="CY142" s="438">
        <f>+INPUT!DX75</f>
        <v>3.6307209622905532</v>
      </c>
      <c r="CZ142" s="457">
        <f>+INPUT!DY75</f>
        <v>0.4037445326261207</v>
      </c>
      <c r="DA142" s="438">
        <f>+INPUT!DZ75</f>
        <v>0.75949492350626713</v>
      </c>
      <c r="DB142" s="457">
        <f>+INPUT!EA75</f>
        <v>0.4441840342739023</v>
      </c>
      <c r="DC142" s="438">
        <f>+INPUT!EB75</f>
        <v>17.587795119607193</v>
      </c>
      <c r="DD142" s="457">
        <f>+INPUT!EC75</f>
        <v>0.41898441820370191</v>
      </c>
      <c r="DE142" s="438">
        <f>+INPUT!ED75</f>
        <v>17.236161905821334</v>
      </c>
      <c r="DF142" s="457">
        <f>+INPUT!EE75</f>
        <v>0.49063293565234056</v>
      </c>
      <c r="DG142" s="438">
        <f>+INPUT!EF75</f>
        <v>21.554702943232499</v>
      </c>
      <c r="DH142" s="457">
        <f>+INPUT!EG75</f>
        <v>0.46704804693325208</v>
      </c>
      <c r="DI142" s="438">
        <f>+INPUT!EH75</f>
        <v>15.679101310766796</v>
      </c>
      <c r="DJ142" s="457">
        <f>+INPUT!EI75</f>
        <v>0.47934103222307017</v>
      </c>
      <c r="DK142" s="438">
        <f>+INPUT!EJ75</f>
        <v>7.9149620959785665</v>
      </c>
      <c r="DL142" s="457">
        <f>+INPUT!EK75</f>
        <v>0.45570921294189393</v>
      </c>
      <c r="DM142" s="438">
        <f>+INPUT!EL75</f>
        <v>8.7651934398040368</v>
      </c>
      <c r="DN142" s="457">
        <f>+INPUT!EM75</f>
        <v>0.44350490718685087</v>
      </c>
      <c r="DO142" s="438">
        <f>+INPUT!EN75</f>
        <v>-9.6055574424144083</v>
      </c>
      <c r="DP142" s="457">
        <f>+INPUT!EO75</f>
        <v>0.44520773368918037</v>
      </c>
      <c r="DQ142" s="438">
        <f>+INPUT!EP75</f>
        <v>-4.6762454928310717</v>
      </c>
      <c r="DR142" s="457">
        <f>+INPUT!EQ75</f>
        <v>0.44</v>
      </c>
      <c r="DS142" s="438">
        <f>+INPUT!ER75</f>
        <v>-8.2073157894736823</v>
      </c>
      <c r="DT142" s="457">
        <f>+INPUT!ES75</f>
        <v>0.44</v>
      </c>
      <c r="DU142" s="438">
        <f>+INPUT!ET75</f>
        <v>-3.4472010869565111</v>
      </c>
      <c r="DV142" s="457">
        <f>+INPUT!EU75</f>
        <v>0.44</v>
      </c>
      <c r="DW142" s="438">
        <f>+INPUT!EV75</f>
        <v>-0.79027472527474174</v>
      </c>
      <c r="DX142" s="457">
        <f>+INPUT!EW75</f>
        <v>0.44</v>
      </c>
      <c r="DY142" s="438">
        <f>+INPUT!EX75</f>
        <v>-1.1697311827957009</v>
      </c>
      <c r="DZ142" s="457"/>
      <c r="EA142" s="438"/>
      <c r="EB142" s="540">
        <f>+INPUT!FI75</f>
        <v>-5.8693495758572851</v>
      </c>
      <c r="EC142" s="541">
        <f>+INPUT!FJ75</f>
        <v>13.027782137811961</v>
      </c>
      <c r="ED142" s="540">
        <f>+INPUT!FK75</f>
        <v>-12.639838187240471</v>
      </c>
      <c r="EE142" s="541">
        <f>+INPUT!FL75</f>
        <v>13.05354558610709</v>
      </c>
      <c r="EF142" s="540">
        <f>+INPUT!FM75</f>
        <v>0.1977577458894757</v>
      </c>
      <c r="EG142" s="541">
        <f>+INPUT!FN75</f>
        <v>15.961044231029353</v>
      </c>
      <c r="EH142" s="540">
        <f>+INPUT!FO75</f>
        <v>22.273631525956588</v>
      </c>
      <c r="EI142" s="541">
        <f>+INPUT!FP75</f>
        <v>15.679796696315121</v>
      </c>
      <c r="EJ142" s="438">
        <f>+INPUT!FQ75</f>
        <v>-1.7620873085951843</v>
      </c>
      <c r="EK142" s="456">
        <f>+INPUT!FR75</f>
        <v>15.971055691949864</v>
      </c>
      <c r="EL142" s="438">
        <f>+INPUT!FS75</f>
        <v>1.857543189339907</v>
      </c>
      <c r="EM142" s="456">
        <f>+INPUT!FT75</f>
        <v>0.71551495487938022</v>
      </c>
      <c r="EN142" s="438" t="str">
        <f>+INPUT!FU75</f>
        <v>NM</v>
      </c>
      <c r="EO142" s="456">
        <f>+INPUT!FV75</f>
        <v>1.0617595678638558</v>
      </c>
      <c r="EP142" s="438">
        <f>+INPUT!FW75</f>
        <v>48.390968018669099</v>
      </c>
      <c r="EQ142" s="457">
        <f>+INPUT!FX75</f>
        <v>1.3866413605798682</v>
      </c>
      <c r="ER142" s="438">
        <f>+INPUT!FY75</f>
        <v>30.598433256376381</v>
      </c>
      <c r="ES142" s="457">
        <f>+INPUT!FZ75</f>
        <v>0.95341901978643095</v>
      </c>
      <c r="ET142" s="438">
        <f>+INPUT!GA75</f>
        <v>-31.242565894058686</v>
      </c>
      <c r="EU142" s="457">
        <f>+INPUT!GB75</f>
        <v>0.70795905039391427</v>
      </c>
      <c r="EV142" s="438">
        <f>+INPUT!GC75</f>
        <v>-25.745235232196279</v>
      </c>
      <c r="EW142" s="457">
        <f>+INPUT!GD75</f>
        <v>0.60956482415143332</v>
      </c>
      <c r="EX142" s="438">
        <f>+INPUT!GE75</f>
        <v>-13.89829343769722</v>
      </c>
      <c r="EY142" s="457">
        <f>+INPUT!GF75</f>
        <v>0.48095149278008875</v>
      </c>
      <c r="EZ142" s="438">
        <f>+INPUT!GG75</f>
        <v>-21.099204920557113</v>
      </c>
      <c r="FA142" s="457">
        <f>+INPUT!GH75</f>
        <v>0.4012962505872143</v>
      </c>
      <c r="FB142" s="438">
        <f>+INPUT!GI75</f>
        <v>-16.562011634985438</v>
      </c>
      <c r="FC142" s="457">
        <f>+INPUT!GJ75</f>
        <v>0.38524628130325689</v>
      </c>
      <c r="FD142" s="438">
        <f>+INPUT!GK75</f>
        <v>-3.9995313338890242</v>
      </c>
      <c r="FE142" s="457">
        <f>+INPUT!GL75</f>
        <v>0.45558759336424925</v>
      </c>
      <c r="FF142" s="438">
        <f>+INPUT!GM75</f>
        <v>18.258790668409162</v>
      </c>
      <c r="FG142" s="457">
        <f>+INPUT!GN75</f>
        <v>0.45571447215888589</v>
      </c>
      <c r="FH142" s="438">
        <f>+INPUT!GO75</f>
        <v>2.7849484157300708E-2</v>
      </c>
      <c r="FI142" s="457">
        <f>+INPUT!GP75</f>
        <v>0.43999791029160878</v>
      </c>
      <c r="FJ142" s="438">
        <f>+INPUT!GQ75</f>
        <v>-3.4487739203940606</v>
      </c>
      <c r="FK142" s="457">
        <f>+INPUT!GR75</f>
        <v>0.43999791029160878</v>
      </c>
      <c r="FL142" s="438">
        <f>+INPUT!GS75</f>
        <v>0</v>
      </c>
      <c r="FM142" s="457">
        <f>+INPUT!GT75</f>
        <v>0.43499791029160878</v>
      </c>
      <c r="FN142" s="438">
        <f>+INPUT!GU75</f>
        <v>-1.1363690333634224</v>
      </c>
      <c r="FO142" s="457">
        <f>+INPUT!GV75</f>
        <v>0.42999791029160878</v>
      </c>
      <c r="FP142" s="438">
        <f>+INPUT!GW75</f>
        <v>-1.1494308091384084</v>
      </c>
      <c r="FQ142" s="457">
        <f>+INPUT!GX75</f>
        <v>0.42499791029160877</v>
      </c>
      <c r="FR142" s="438">
        <f>+INPUT!GY75</f>
        <v>-1.1627963486169506</v>
      </c>
      <c r="FS142" s="438">
        <f>+INPUT!GZ75</f>
        <v>-1.3859501161377463</v>
      </c>
    </row>
    <row r="143" spans="1:176" s="529" customFormat="1" ht="12.75" hidden="1" customHeight="1" outlineLevel="1" x14ac:dyDescent="0.2">
      <c r="A143" s="441" t="str">
        <f>+INPUT!B76</f>
        <v>Interest Credited/Avg Total Reserves (%)</v>
      </c>
      <c r="B143" s="539">
        <f>+INPUT!AA76</f>
        <v>7.1043820061144274</v>
      </c>
      <c r="C143" s="439">
        <f>+INPUT!AB76</f>
        <v>-12.912117241713986</v>
      </c>
      <c r="D143" s="539">
        <f>+INPUT!AC76</f>
        <v>7.5742361210730165</v>
      </c>
      <c r="E143" s="439">
        <f>+INPUT!AD76</f>
        <v>-6.0005738057667486</v>
      </c>
      <c r="F143" s="539">
        <f>+INPUT!AE76</f>
        <v>7.8621279020082602</v>
      </c>
      <c r="G143" s="439">
        <f>+INPUT!AF76</f>
        <v>-6.0713962010073601</v>
      </c>
      <c r="H143" s="539">
        <f>+INPUT!AG76</f>
        <v>8.1853062384538866</v>
      </c>
      <c r="I143" s="439">
        <f>+INPUT!AH76</f>
        <v>-1.3018146319763133</v>
      </c>
      <c r="J143" s="539">
        <f>+INPUT!AI76</f>
        <v>10.045146726862303</v>
      </c>
      <c r="K143" s="439">
        <f>+INPUT!AJ76</f>
        <v>41.393673907412193</v>
      </c>
      <c r="L143" s="539">
        <f>+INPUT!AK76</f>
        <v>9.8684210526315788</v>
      </c>
      <c r="M143" s="439">
        <f>+INPUT!AL76</f>
        <v>30.289324162679407</v>
      </c>
      <c r="N143" s="539">
        <f>+INPUT!AM76</f>
        <v>9.6016882089158546</v>
      </c>
      <c r="O143" s="439">
        <f>+INPUT!AN76</f>
        <v>22.125820497822858</v>
      </c>
      <c r="P143" s="539">
        <f>+INPUT!AO76</f>
        <v>9.0967825300426401</v>
      </c>
      <c r="Q143" s="439">
        <f>+INPUT!AP76</f>
        <v>11.135518513732734</v>
      </c>
      <c r="R143" s="539">
        <f>+INPUT!AQ76</f>
        <v>8.6620262954369682</v>
      </c>
      <c r="S143" s="439">
        <f>+INPUT!AR76</f>
        <v>-13.769041598234239</v>
      </c>
      <c r="T143" s="539">
        <f>+INPUT!AS76</f>
        <v>8.7624323303537714</v>
      </c>
      <c r="U143" s="439">
        <f>+INPUT!AT76</f>
        <v>-11.20735238574845</v>
      </c>
      <c r="V143" s="539">
        <f>+INPUT!AU76</f>
        <v>8.5957762134123747</v>
      </c>
      <c r="W143" s="439">
        <f>+INPUT!AV76</f>
        <v>-10.476407623499156</v>
      </c>
      <c r="X143" s="539">
        <f>+INPUT!AW76</f>
        <v>7.8763708873379858</v>
      </c>
      <c r="Y143" s="439">
        <f>+INPUT!AX76</f>
        <v>-13.415860373425176</v>
      </c>
      <c r="Z143" s="539">
        <f>+INPUT!AY76</f>
        <v>0.59343468196727167</v>
      </c>
      <c r="AA143" s="439" t="str">
        <f>+INPUT!AZ76</f>
        <v>NM</v>
      </c>
      <c r="AB143" s="539">
        <f>+INPUT!BA76</f>
        <v>0.51155624036979963</v>
      </c>
      <c r="AC143" s="439" t="str">
        <f>+INPUT!BB76</f>
        <v>NM</v>
      </c>
      <c r="AD143" s="539">
        <f>+INPUT!BC76</f>
        <v>0.50596067923861077</v>
      </c>
      <c r="AE143" s="439" t="str">
        <f>+INPUT!BD76</f>
        <v>NM</v>
      </c>
      <c r="AF143" s="539">
        <f>+INPUT!BE76</f>
        <v>0.50827918675330119</v>
      </c>
      <c r="AG143" s="439" t="str">
        <f>+INPUT!BF76</f>
        <v>NM</v>
      </c>
      <c r="AH143" s="456">
        <f>+INPUT!BG76</f>
        <v>0.45185406129222649</v>
      </c>
      <c r="AI143" s="438">
        <f>+INPUT!BH76</f>
        <v>-23.857827150529346</v>
      </c>
      <c r="AJ143" s="456">
        <f>+INPUT!BI76</f>
        <v>0.45969625446412021</v>
      </c>
      <c r="AK143" s="438">
        <f>+INPUT!BJ76</f>
        <v>-10.137690015899381</v>
      </c>
      <c r="AL143" s="456">
        <f>+INPUT!BK76</f>
        <v>0.41603156101497357</v>
      </c>
      <c r="AM143" s="438">
        <f>+INPUT!BL76</f>
        <v>-17.773934203536541</v>
      </c>
      <c r="AN143" s="456">
        <f>+INPUT!BM76</f>
        <v>0.42720589544135712</v>
      </c>
      <c r="AO143" s="438">
        <f>+INPUT!BN76</f>
        <v>-15.950543210279804</v>
      </c>
      <c r="AP143" s="456">
        <f>+INPUT!BO76</f>
        <v>0.50297408080870343</v>
      </c>
      <c r="AQ143" s="438">
        <f>+INPUT!BP76</f>
        <v>11.313391622569966</v>
      </c>
      <c r="AR143" s="456">
        <f>+INPUT!BQ76</f>
        <v>0.57245811983286266</v>
      </c>
      <c r="AS143" s="438">
        <f>+INPUT!BR76</f>
        <v>24.529646320523497</v>
      </c>
      <c r="AT143" s="456">
        <f>+INPUT!BS76</f>
        <v>0.75492912500501941</v>
      </c>
      <c r="AU143" s="438">
        <f>+INPUT!BT76</f>
        <v>81.459580413383208</v>
      </c>
      <c r="AV143" s="456">
        <f>+INPUT!BU76</f>
        <v>0.93300351361991996</v>
      </c>
      <c r="AW143" s="438" t="str">
        <f>+INPUT!BV76</f>
        <v>NM</v>
      </c>
      <c r="AX143" s="456">
        <f>+INPUT!BW76</f>
        <v>1.1180094291887204</v>
      </c>
      <c r="AY143" s="438" t="str">
        <f>+INPUT!BX76</f>
        <v>NM</v>
      </c>
      <c r="AZ143" s="456">
        <f>+INPUT!BY76</f>
        <v>0.85234510712217715</v>
      </c>
      <c r="BA143" s="438">
        <f>+INPUT!BZ76</f>
        <v>48.892133344362634</v>
      </c>
      <c r="BB143" s="456">
        <f>+INPUT!CA76</f>
        <v>0.8427119012667863</v>
      </c>
      <c r="BC143" s="438">
        <f>+INPUT!CB76</f>
        <v>11.627949347057353</v>
      </c>
      <c r="BD143" s="456">
        <f>+INPUT!CC76</f>
        <v>0.74203753186522925</v>
      </c>
      <c r="BE143" s="438">
        <f>+INPUT!CD76</f>
        <v>-20.467873804008534</v>
      </c>
      <c r="BF143" s="457">
        <f>+INPUT!CE76</f>
        <v>0.725638255463952</v>
      </c>
      <c r="BG143" s="438">
        <f>+INPUT!CF76</f>
        <v>-35.095515608440891</v>
      </c>
      <c r="BH143" s="457">
        <f>+INPUT!CG76</f>
        <v>0.82503669033358462</v>
      </c>
      <c r="BI143" s="438">
        <f>+INPUT!CH76</f>
        <v>-3.2039154751290226</v>
      </c>
      <c r="BJ143" s="457">
        <f>+INPUT!CI76</f>
        <v>0.4247895016308883</v>
      </c>
      <c r="BK143" s="438">
        <f>+INPUT!CJ76</f>
        <v>-49.592559332277887</v>
      </c>
      <c r="BL143" s="457">
        <f>+INPUT!CK76</f>
        <v>0.56640509764587887</v>
      </c>
      <c r="BM143" s="438">
        <f>+INPUT!CL76</f>
        <v>-23.668942159552273</v>
      </c>
      <c r="BN143" s="457">
        <f>+INPUT!CM76</f>
        <v>0.49455669447032891</v>
      </c>
      <c r="BO143" s="438">
        <f>+INPUT!CN76</f>
        <v>-31.845283686962773</v>
      </c>
      <c r="BP143" s="457">
        <f>+INPUT!CO76</f>
        <v>0.47337895987156114</v>
      </c>
      <c r="BQ143" s="438">
        <f>+INPUT!CP76</f>
        <v>-42.623283859029193</v>
      </c>
      <c r="BR143" s="457">
        <f>+INPUT!CQ76</f>
        <v>0.65374737333644639</v>
      </c>
      <c r="BS143" s="438">
        <f>+INPUT!CR76</f>
        <v>53.899136119542362</v>
      </c>
      <c r="BT143" s="457">
        <f>+INPUT!CS76</f>
        <v>0.42138913106655046</v>
      </c>
      <c r="BU143" s="438">
        <f>+INPUT!CT76</f>
        <v>-25.60287101617746</v>
      </c>
      <c r="BV143" s="457">
        <f>+INPUT!CU76</f>
        <v>0.39395763271868645</v>
      </c>
      <c r="BW143" s="438">
        <f>+INPUT!CV76</f>
        <v>-20.341259733504216</v>
      </c>
      <c r="BX143" s="457">
        <f>+INPUT!CW76</f>
        <v>0.45779131808436901</v>
      </c>
      <c r="BY143" s="438">
        <f>+INPUT!CX76</f>
        <v>-3.2928463469144162</v>
      </c>
      <c r="BZ143" s="457">
        <f>+INPUT!CY76</f>
        <v>0.22429993886269026</v>
      </c>
      <c r="CA143" s="438" t="str">
        <f>+INPUT!CZ76</f>
        <v>NM</v>
      </c>
      <c r="CB143" s="457">
        <f>+INPUT!DA76</f>
        <v>0.36113069722847113</v>
      </c>
      <c r="CC143" s="438">
        <f>+INPUT!DB76</f>
        <v>-14.299949712884896</v>
      </c>
      <c r="CD143" s="457">
        <f>+INPUT!DC76</f>
        <v>0.3394584487036571</v>
      </c>
      <c r="CE143" s="438">
        <f>+INPUT!DD76</f>
        <v>-13.83376776810556</v>
      </c>
      <c r="CF143" s="457">
        <f>+INPUT!DE76</f>
        <v>0.3180612338242641</v>
      </c>
      <c r="CG143" s="438">
        <f>+INPUT!DF76</f>
        <v>-30.522659286070876</v>
      </c>
      <c r="CH143" s="457">
        <f>+INPUT!DG76</f>
        <v>0.14955755888828881</v>
      </c>
      <c r="CI143" s="438">
        <f>+INPUT!DH76</f>
        <v>-33.32251464417763</v>
      </c>
      <c r="CJ143" s="457">
        <f>+INPUT!DI76</f>
        <v>0.25471116152269518</v>
      </c>
      <c r="CK143" s="438">
        <f>+INPUT!DJ76</f>
        <v>-29.46842694971707</v>
      </c>
      <c r="CL143" s="457">
        <f>+INPUT!DK76</f>
        <v>0.27147917366910568</v>
      </c>
      <c r="CM143" s="438">
        <f>+INPUT!DL76</f>
        <v>-20.02580147707458</v>
      </c>
      <c r="CN143" s="457">
        <f>+INPUT!DM76</f>
        <v>0.27191522344061703</v>
      </c>
      <c r="CO143" s="438">
        <f>+INPUT!DN76</f>
        <v>-14.508530269093953</v>
      </c>
      <c r="CP143" s="457">
        <f>+INPUT!DO76</f>
        <v>0.27061973816908047</v>
      </c>
      <c r="CQ143" s="438">
        <f>+INPUT!DP76</f>
        <v>80.94688104077602</v>
      </c>
      <c r="CR143" s="457">
        <f>+INPUT!DQ76</f>
        <v>0.27896920877358161</v>
      </c>
      <c r="CS143" s="438">
        <f>+INPUT!DR76</f>
        <v>9.5237472538968433</v>
      </c>
      <c r="CT143" s="457">
        <f>+INPUT!DS76</f>
        <v>0.20263234424983817</v>
      </c>
      <c r="CU143" s="438">
        <f>+INPUT!DT76</f>
        <v>-25.359893537609608</v>
      </c>
      <c r="CV143" s="457">
        <f>+INPUT!DU76</f>
        <v>0.20243484128546124</v>
      </c>
      <c r="CW143" s="438">
        <f>+INPUT!DV76</f>
        <v>-25.552222224265961</v>
      </c>
      <c r="CX143" s="457">
        <f>+INPUT!DW76</f>
        <v>0.27426235393427406</v>
      </c>
      <c r="CY143" s="438">
        <f>+INPUT!DX76</f>
        <v>1.3460273776917546</v>
      </c>
      <c r="CZ143" s="457">
        <f>+INPUT!DY76</f>
        <v>0.25069104966981348</v>
      </c>
      <c r="DA143" s="438">
        <f>+INPUT!DZ76</f>
        <v>-10.136659607734487</v>
      </c>
      <c r="DB143" s="457">
        <f>+INPUT!EA76</f>
        <v>0.27589070451795172</v>
      </c>
      <c r="DC143" s="438">
        <f>+INPUT!EB76</f>
        <v>36.15333995138937</v>
      </c>
      <c r="DD143" s="457">
        <f>+INPUT!EC76</f>
        <v>0.25503399368920987</v>
      </c>
      <c r="DE143" s="438">
        <f>+INPUT!ED76</f>
        <v>25.983250743668435</v>
      </c>
      <c r="DF143" s="457">
        <f>+INPUT!EE76</f>
        <v>0.1839873508696277</v>
      </c>
      <c r="DG143" s="438">
        <f>+INPUT!EF76</f>
        <v>-32.915564885102839</v>
      </c>
      <c r="DH143" s="457">
        <f>+INPUT!EG76</f>
        <v>0.23352402346662604</v>
      </c>
      <c r="DI143" s="438">
        <f>+INPUT!EH76</f>
        <v>-6.847881576066726</v>
      </c>
      <c r="DJ143" s="457">
        <f>+INPUT!EI76</f>
        <v>0.21948773580740583</v>
      </c>
      <c r="DK143" s="438">
        <f>+INPUT!EJ76</f>
        <v>-20.443953995875148</v>
      </c>
      <c r="DL143" s="457">
        <f>+INPUT!EK76</f>
        <v>0.19070439889416216</v>
      </c>
      <c r="DM143" s="438">
        <f>+INPUT!EL76</f>
        <v>-25.22392951013471</v>
      </c>
      <c r="DN143" s="457">
        <f>+INPUT!EM76</f>
        <v>0.19738405209964241</v>
      </c>
      <c r="DO143" s="438">
        <f>+INPUT!EN76</f>
        <v>7.2813164419697216</v>
      </c>
      <c r="DP143" s="457">
        <f>+INPUT!EO76</f>
        <v>0.20345514711602328</v>
      </c>
      <c r="DQ143" s="438">
        <f>+INPUT!EP76</f>
        <v>-12.876138353662796</v>
      </c>
      <c r="DR143" s="457">
        <f>+INPUT!EQ76</f>
        <v>0.20345514711602328</v>
      </c>
      <c r="DS143" s="438">
        <f>+INPUT!ER76</f>
        <v>-7.3045487632396373</v>
      </c>
      <c r="DT143" s="457">
        <f>+INPUT!ES76</f>
        <v>0.20345514711602328</v>
      </c>
      <c r="DU143" s="438">
        <f>+INPUT!ET76</f>
        <v>6.6861322003052237</v>
      </c>
      <c r="DV143" s="457">
        <f>+INPUT!EU76</f>
        <v>0.20345514711602328</v>
      </c>
      <c r="DW143" s="438">
        <f>+INPUT!EV76</f>
        <v>3.0757778816477526</v>
      </c>
      <c r="DX143" s="457">
        <f>+INPUT!EW76</f>
        <v>0.20345514711602328</v>
      </c>
      <c r="DY143" s="438">
        <f>+INPUT!EX76</f>
        <v>0</v>
      </c>
      <c r="DZ143" s="457"/>
      <c r="EA143" s="438"/>
      <c r="EB143" s="540">
        <f>+INPUT!FI76</f>
        <v>-1.14579963334414</v>
      </c>
      <c r="EC143" s="541">
        <f>+INPUT!FJ76</f>
        <v>8.0050227593784324</v>
      </c>
      <c r="ED143" s="540">
        <f>+INPUT!FK76</f>
        <v>-8.8076461330267648</v>
      </c>
      <c r="EE143" s="541">
        <f>+INPUT!FL76</f>
        <v>7.7568740955137478</v>
      </c>
      <c r="EF143" s="540">
        <f>+INPUT!FM76</f>
        <v>-3.0999120342782476</v>
      </c>
      <c r="EG143" s="541">
        <f>+INPUT!FN76</f>
        <v>9.6848370079805228</v>
      </c>
      <c r="EH143" s="540">
        <f>+INPUT!FO76</f>
        <v>24.854895009599659</v>
      </c>
      <c r="EI143" s="541">
        <f>+INPUT!FP76</f>
        <v>8.5641677255400257</v>
      </c>
      <c r="EJ143" s="438">
        <f>+INPUT!FQ76</f>
        <v>-11.571379895366746</v>
      </c>
      <c r="EK143" s="456">
        <f>+INPUT!FR76</f>
        <v>9.2001550587931256</v>
      </c>
      <c r="EL143" s="438">
        <f>+INPUT!FS76</f>
        <v>7.4261428971838228</v>
      </c>
      <c r="EM143" s="456">
        <f>+INPUT!FT76</f>
        <v>0.44287908414085775</v>
      </c>
      <c r="EN143" s="438" t="str">
        <f>+INPUT!FU76</f>
        <v>NM</v>
      </c>
      <c r="EO143" s="456">
        <f>+INPUT!FV76</f>
        <v>0.75384929318333771</v>
      </c>
      <c r="EP143" s="438">
        <f>+INPUT!FW76</f>
        <v>70.215600640913493</v>
      </c>
      <c r="EQ143" s="457">
        <f>+INPUT!FX76</f>
        <v>0.87532621127513632</v>
      </c>
      <c r="ER143" s="438">
        <f>+INPUT!FY76</f>
        <v>16.114217946511374</v>
      </c>
      <c r="ES143" s="457">
        <f>+INPUT!FZ76</f>
        <v>0.63090711901585006</v>
      </c>
      <c r="ET143" s="438">
        <f>+INPUT!GA76</f>
        <v>-27.923200414988997</v>
      </c>
      <c r="EU143" s="457">
        <f>+INPUT!GB76</f>
        <v>0.51080589711965962</v>
      </c>
      <c r="EV143" s="438">
        <f>+INPUT!GC76</f>
        <v>-19.036276224547279</v>
      </c>
      <c r="EW143" s="457">
        <f>+INPUT!GD76</f>
        <v>0.35782246820317903</v>
      </c>
      <c r="EX143" s="438">
        <f>+INPUT!GE76</f>
        <v>-29.949424973189622</v>
      </c>
      <c r="EY143" s="457">
        <f>+INPUT!GF76</f>
        <v>0.26441921897433451</v>
      </c>
      <c r="EZ143" s="438">
        <f>+INPUT!GG76</f>
        <v>-26.103237646834458</v>
      </c>
      <c r="FA143" s="457">
        <f>+INPUT!GH76</f>
        <v>0.27326363730462683</v>
      </c>
      <c r="FB143" s="438">
        <f>+INPUT!GI76</f>
        <v>3.344847006431408</v>
      </c>
      <c r="FC143" s="457">
        <f>+INPUT!GJ76</f>
        <v>0.23191442804822929</v>
      </c>
      <c r="FD143" s="438">
        <f>+INPUT!GK76</f>
        <v>-15.131617826744574</v>
      </c>
      <c r="FE143" s="457">
        <f>+INPUT!GL76</f>
        <v>0.23627895243246164</v>
      </c>
      <c r="FF143" s="438">
        <f>+INPUT!GM76</f>
        <v>1.8819546592955732</v>
      </c>
      <c r="FG143" s="457">
        <f>+INPUT!GN76</f>
        <v>0.20267624772565004</v>
      </c>
      <c r="FH143" s="438">
        <f>+INPUT!GO76</f>
        <v>-14.221624211922418</v>
      </c>
      <c r="FI143" s="457">
        <f>+INPUT!GP76</f>
        <v>0.20345418083891387</v>
      </c>
      <c r="FJ143" s="438">
        <f>+INPUT!GQ76</f>
        <v>0.38383043005455875</v>
      </c>
      <c r="FK143" s="457">
        <f>+INPUT!GR76</f>
        <v>0.21345418083891388</v>
      </c>
      <c r="FL143" s="438">
        <f>+INPUT!GS76</f>
        <v>4.9151115788166351</v>
      </c>
      <c r="FM143" s="457">
        <f>+INPUT!GT76</f>
        <v>0.22345418083891389</v>
      </c>
      <c r="FN143" s="438">
        <f>+INPUT!GU76</f>
        <v>4.6848461626275935</v>
      </c>
      <c r="FO143" s="457">
        <f>+INPUT!GV76</f>
        <v>0.23345418083891389</v>
      </c>
      <c r="FP143" s="438">
        <f>+INPUT!GW76</f>
        <v>4.4751903779365563</v>
      </c>
      <c r="FQ143" s="457">
        <f>+INPUT!GX76</f>
        <v>0.2434541808389139</v>
      </c>
      <c r="FR143" s="438">
        <f>+INPUT!GY76</f>
        <v>4.2834957866529493</v>
      </c>
      <c r="FS143" s="438">
        <f>+INPUT!GZ76</f>
        <v>3.7344183978566647</v>
      </c>
    </row>
    <row r="144" spans="1:176" s="529" customFormat="1" ht="12.75" hidden="1" customHeight="1" outlineLevel="1" x14ac:dyDescent="0.2">
      <c r="A144" s="441" t="str">
        <f>+INPUT!B77</f>
        <v>Net Spread (%)</v>
      </c>
      <c r="B144" s="539">
        <f>+INPUT!AA77</f>
        <v>5.3574028242830103</v>
      </c>
      <c r="C144" s="439">
        <f>+INPUT!AB77</f>
        <v>-1.4907555684961409</v>
      </c>
      <c r="D144" s="539">
        <f>+INPUT!AC77</f>
        <v>5.5085353607803755</v>
      </c>
      <c r="E144" s="439">
        <f>+INPUT!AD77</f>
        <v>2.5448285755271769</v>
      </c>
      <c r="F144" s="539">
        <f>+INPUT!AE77</f>
        <v>4.5577553055120363</v>
      </c>
      <c r="G144" s="439">
        <f>+INPUT!AF77</f>
        <v>-14.43357003818474</v>
      </c>
      <c r="H144" s="539">
        <f>+INPUT!AG77</f>
        <v>5.5705556345033393</v>
      </c>
      <c r="I144" s="439">
        <f>+INPUT!AH77</f>
        <v>21.965849681757348</v>
      </c>
      <c r="J144" s="539">
        <f>+INPUT!AI77</f>
        <v>5.4176072234762973</v>
      </c>
      <c r="K144" s="439">
        <f>+INPUT!AJ77</f>
        <v>1.1237609186377568</v>
      </c>
      <c r="L144" s="539">
        <f>+INPUT!AK77</f>
        <v>5.811403508771928</v>
      </c>
      <c r="M144" s="439">
        <f>+INPUT!AL77</f>
        <v>5.4981610928362272</v>
      </c>
      <c r="N144" s="539">
        <f>+INPUT!AM77</f>
        <v>6.7528356634133484</v>
      </c>
      <c r="O144" s="439">
        <f>+INPUT!AN77</f>
        <v>48.161434977578466</v>
      </c>
      <c r="P144" s="539">
        <f>+INPUT!AO77</f>
        <v>6.925959426282466</v>
      </c>
      <c r="Q144" s="439">
        <f>+INPUT!AP77</f>
        <v>24.331572660075793</v>
      </c>
      <c r="R144" s="539">
        <f>+INPUT!AQ77</f>
        <v>7.5277133281773647</v>
      </c>
      <c r="S144" s="439">
        <f>+INPUT!AR77</f>
        <v>38.949041849273868</v>
      </c>
      <c r="T144" s="539">
        <f>+INPUT!AS77</f>
        <v>6.6473624575097574</v>
      </c>
      <c r="U144" s="439">
        <f>+INPUT!AT77</f>
        <v>14.384803042432083</v>
      </c>
      <c r="V144" s="539">
        <f>+INPUT!AU77</f>
        <v>6.8173397554649871</v>
      </c>
      <c r="W144" s="439">
        <f>+INPUT!AV77</f>
        <v>0.95521489440531582</v>
      </c>
      <c r="X144" s="539">
        <f>+INPUT!AW77</f>
        <v>7.1784646061814552</v>
      </c>
      <c r="Y144" s="439">
        <f>+INPUT!AX77</f>
        <v>3.6457790806684329</v>
      </c>
      <c r="Z144" s="539">
        <f>+INPUT!AY77</f>
        <v>0.43613874216871784</v>
      </c>
      <c r="AA144" s="439" t="str">
        <f>+INPUT!AZ77</f>
        <v>NM</v>
      </c>
      <c r="AB144" s="539">
        <f>+INPUT!BA77</f>
        <v>0.40677966101694929</v>
      </c>
      <c r="AC144" s="439" t="str">
        <f>+INPUT!BB77</f>
        <v>NM</v>
      </c>
      <c r="AD144" s="539">
        <f>+INPUT!BC77</f>
        <v>0.41347324324875723</v>
      </c>
      <c r="AE144" s="439" t="str">
        <f>+INPUT!BD77</f>
        <v>NM</v>
      </c>
      <c r="AF144" s="539">
        <f>+INPUT!BE77</f>
        <v>0.30915950534479142</v>
      </c>
      <c r="AG144" s="439" t="str">
        <f>+INPUT!BF77</f>
        <v>NM</v>
      </c>
      <c r="AH144" s="456">
        <f>+INPUT!BG77</f>
        <v>0.31477473932716893</v>
      </c>
      <c r="AI144" s="438">
        <f>+INPUT!BH77</f>
        <v>-27.826925495786369</v>
      </c>
      <c r="AJ144" s="456">
        <f>+INPUT!BI77</f>
        <v>0.27186337629598512</v>
      </c>
      <c r="AK144" s="438">
        <f>+INPUT!BJ77</f>
        <v>-33.166919993903676</v>
      </c>
      <c r="AL144" s="456">
        <f>+INPUT!BK77</f>
        <v>0.27257240204429306</v>
      </c>
      <c r="AM144" s="438">
        <f>+INPUT!BL77</f>
        <v>-34.077378283869805</v>
      </c>
      <c r="AN144" s="456">
        <f>+INPUT!BM77</f>
        <v>0.2230964120638198</v>
      </c>
      <c r="AO144" s="438">
        <f>+INPUT!BN77</f>
        <v>-27.837763935153603</v>
      </c>
      <c r="AP144" s="456">
        <f>+INPUT!BO77</f>
        <v>0.29093598791875985</v>
      </c>
      <c r="AQ144" s="438">
        <f>+INPUT!BP77</f>
        <v>-7.5732733380589679</v>
      </c>
      <c r="AR144" s="456">
        <f>+INPUT!BQ77</f>
        <v>0.31689645919319187</v>
      </c>
      <c r="AS144" s="438">
        <f>+INPUT!BR77</f>
        <v>16.564600760412105</v>
      </c>
      <c r="AT144" s="456">
        <f>+INPUT!BS77</f>
        <v>0.31589232890280949</v>
      </c>
      <c r="AU144" s="438">
        <f>+INPUT!BT77</f>
        <v>15.892998166218206</v>
      </c>
      <c r="AV144" s="456">
        <f>+INPUT!BU77</f>
        <v>0.64181133420988123</v>
      </c>
      <c r="AW144" s="438" t="str">
        <f>+INPUT!BV77</f>
        <v>NM</v>
      </c>
      <c r="AX144" s="456">
        <f>+INPUT!BW77</f>
        <v>0.64253415470616115</v>
      </c>
      <c r="AY144" s="438" t="str">
        <f>+INPUT!BX77</f>
        <v>NM</v>
      </c>
      <c r="AZ144" s="456">
        <f>+INPUT!BY77</f>
        <v>0.69793476162902912</v>
      </c>
      <c r="BA144" s="438" t="str">
        <f>+INPUT!BZ77</f>
        <v>NM</v>
      </c>
      <c r="BB144" s="456">
        <f>+INPUT!CA77</f>
        <v>0.44038492904909465</v>
      </c>
      <c r="BC144" s="438">
        <f>+INPUT!CB77</f>
        <v>39.409820611562793</v>
      </c>
      <c r="BD144" s="456">
        <f>+INPUT!CC77</f>
        <v>0.32924844129119446</v>
      </c>
      <c r="BE144" s="438">
        <f>+INPUT!CD77</f>
        <v>-48.700120465070249</v>
      </c>
      <c r="BF144" s="457">
        <f>+INPUT!CE77</f>
        <v>0.30966728099417051</v>
      </c>
      <c r="BG144" s="438" t="str">
        <f>+INPUT!CF77</f>
        <v>NM</v>
      </c>
      <c r="BH144" s="457">
        <f>+INPUT!CG77</f>
        <v>0.1541277333590213</v>
      </c>
      <c r="BI144" s="438" t="str">
        <f>+INPUT!CH77</f>
        <v>NM</v>
      </c>
      <c r="BJ144" s="457">
        <f>+INPUT!CI77</f>
        <v>0.52881958366294235</v>
      </c>
      <c r="BK144" s="438">
        <f>+INPUT!CJ77</f>
        <v>20.081217312500016</v>
      </c>
      <c r="BL144" s="457">
        <f>+INPUT!CK77</f>
        <v>0.2910692862902432</v>
      </c>
      <c r="BM144" s="438">
        <f>+INPUT!CL77</f>
        <v>-11.595849885037055</v>
      </c>
      <c r="BN144" s="457">
        <f>+INPUT!CM77</f>
        <v>0.23636900838655417</v>
      </c>
      <c r="BO144" s="438">
        <f>+INPUT!CN77</f>
        <v>-23.67000878242483</v>
      </c>
      <c r="BP144" s="457">
        <f>+INPUT!CO77</f>
        <v>0.21232438641297963</v>
      </c>
      <c r="BQ144" s="438">
        <f>+INPUT!CP77</f>
        <v>37.758715959571333</v>
      </c>
      <c r="BR144" s="457">
        <f>+INPUT!CQ77</f>
        <v>4.6696240952603385E-2</v>
      </c>
      <c r="BS144" s="438" t="str">
        <f>+INPUT!CR77</f>
        <v>NM</v>
      </c>
      <c r="BT144" s="457">
        <f>+INPUT!CS77</f>
        <v>0.29424585876198778</v>
      </c>
      <c r="BU144" s="438">
        <f>+INPUT!CT77</f>
        <v>1.0913458139918646</v>
      </c>
      <c r="BV144" s="457">
        <f>+INPUT!CU77</f>
        <v>0.26937274032046932</v>
      </c>
      <c r="BW144" s="438">
        <f>+INPUT!CV77</f>
        <v>13.962800013080127</v>
      </c>
      <c r="BX144" s="457">
        <f>+INPUT!CW77</f>
        <v>0.15797024356432454</v>
      </c>
      <c r="BY144" s="438">
        <f>+INPUT!CX77</f>
        <v>-25.59957608587365</v>
      </c>
      <c r="BZ144" s="457">
        <f>+INPUT!CY77</f>
        <v>0.38940961608105951</v>
      </c>
      <c r="CA144" s="438" t="str">
        <f>+INPUT!CZ77</f>
        <v>NM</v>
      </c>
      <c r="CB144" s="457">
        <f>+INPUT!DA77</f>
        <v>0.19101127787291039</v>
      </c>
      <c r="CC144" s="438">
        <f>+INPUT!DB77</f>
        <v>-35.084463490302738</v>
      </c>
      <c r="CD144" s="457">
        <f>+INPUT!DC77</f>
        <v>0.16685245783739072</v>
      </c>
      <c r="CE144" s="438">
        <f>+INPUT!DD77</f>
        <v>-38.058892804487762</v>
      </c>
      <c r="CF144" s="457">
        <f>+INPUT!DE77</f>
        <v>0.19139968053141565</v>
      </c>
      <c r="CG144" s="438">
        <f>+INPUT!DF77</f>
        <v>21.161856950279898</v>
      </c>
      <c r="CH144" s="457">
        <f>+INPUT!DG77</f>
        <v>0.31850220874357804</v>
      </c>
      <c r="CI144" s="438">
        <f>+INPUT!DH77</f>
        <v>-18.208951296857904</v>
      </c>
      <c r="CJ144" s="457">
        <f>+INPUT!DI77</f>
        <v>0.18838012987615993</v>
      </c>
      <c r="CK144" s="438">
        <f>+INPUT!DJ77</f>
        <v>-1.3774830607128337</v>
      </c>
      <c r="CL144" s="457">
        <f>+INPUT!DK77</f>
        <v>0.15513095638234609</v>
      </c>
      <c r="CM144" s="438">
        <f>+INPUT!DL77</f>
        <v>-7.0250696974856908</v>
      </c>
      <c r="CN144" s="457">
        <f>+INPUT!DM77</f>
        <v>0.11689813344176059</v>
      </c>
      <c r="CO144" s="438">
        <f>+INPUT!DN77</f>
        <v>-38.924593229624882</v>
      </c>
      <c r="CP144" s="457">
        <f>+INPUT!DO77</f>
        <v>0.11887035227987641</v>
      </c>
      <c r="CQ144" s="438" t="str">
        <f>+INPUT!DP77</f>
        <v>NM</v>
      </c>
      <c r="CR144" s="457">
        <f>+INPUT!DQ77</f>
        <v>0.1217320183739265</v>
      </c>
      <c r="CS144" s="438">
        <f>+INPUT!DR77</f>
        <v>-35.379586767483147</v>
      </c>
      <c r="CT144" s="457">
        <f>+INPUT!DS77</f>
        <v>0.17511437157393422</v>
      </c>
      <c r="CU144" s="438">
        <f>+INPUT!DT77</f>
        <v>12.881642489417573</v>
      </c>
      <c r="CV144" s="457">
        <f>+INPUT!DU77</f>
        <v>0.15495012542837772</v>
      </c>
      <c r="CW144" s="438">
        <f>+INPUT!DV77</f>
        <v>32.551411101508222</v>
      </c>
      <c r="CX144" s="457">
        <f>+INPUT!DW77</f>
        <v>0.12936903487465756</v>
      </c>
      <c r="CY144" s="438">
        <f>+INPUT!DX77</f>
        <v>8.8320446548878238</v>
      </c>
      <c r="CZ144" s="457">
        <f>+INPUT!DY77</f>
        <v>0.15305348295630722</v>
      </c>
      <c r="DA144" s="438">
        <f>+INPUT!DZ77</f>
        <v>25.729849057599608</v>
      </c>
      <c r="DB144" s="457">
        <f>+INPUT!EA77</f>
        <v>0.16829332975595057</v>
      </c>
      <c r="DC144" s="438">
        <f>+INPUT!EB77</f>
        <v>-3.8951924714550188</v>
      </c>
      <c r="DD144" s="457">
        <f>+INPUT!EC77</f>
        <v>0.16395042451449204</v>
      </c>
      <c r="DE144" s="438">
        <f>+INPUT!ED77</f>
        <v>5.8085135854081642</v>
      </c>
      <c r="DF144" s="457">
        <f>+INPUT!EE77</f>
        <v>0.30664558478271287</v>
      </c>
      <c r="DG144" s="438" t="str">
        <f>+INPUT!EF77</f>
        <v>NM</v>
      </c>
      <c r="DH144" s="457">
        <f>+INPUT!EG77</f>
        <v>0.23352402346662604</v>
      </c>
      <c r="DI144" s="438">
        <f>+INPUT!EH77</f>
        <v>52.576745694373415</v>
      </c>
      <c r="DJ144" s="457">
        <f>+INPUT!EI77</f>
        <v>0.25985329641566435</v>
      </c>
      <c r="DK144" s="438">
        <f>+INPUT!EJ77</f>
        <v>54.404988476066677</v>
      </c>
      <c r="DL144" s="457">
        <f>+INPUT!EK77</f>
        <v>0.2650048140477318</v>
      </c>
      <c r="DM144" s="438">
        <f>+INPUT!EL77</f>
        <v>61.637162473042139</v>
      </c>
      <c r="DN144" s="457">
        <f>+INPUT!EM77</f>
        <v>0.24612085508720846</v>
      </c>
      <c r="DO144" s="438">
        <f>+INPUT!EN77</f>
        <v>-19.737681773044883</v>
      </c>
      <c r="DP144" s="457">
        <f>+INPUT!EO77</f>
        <v>0.2417525865731571</v>
      </c>
      <c r="DQ144" s="438">
        <f>+INPUT!EP77</f>
        <v>3.523647368000681</v>
      </c>
      <c r="DR144" s="457">
        <f>+INPUT!EQ77</f>
        <v>0.23654485288397673</v>
      </c>
      <c r="DS144" s="438">
        <f>+INPUT!ER77</f>
        <v>-8.9698471611470865</v>
      </c>
      <c r="DT144" s="457">
        <f>+INPUT!ES77</f>
        <v>0.23654485288397673</v>
      </c>
      <c r="DU144" s="438">
        <f>+INPUT!ET77</f>
        <v>-10.739412891808428</v>
      </c>
      <c r="DV144" s="457">
        <f>+INPUT!EU77</f>
        <v>0.23654485288397673</v>
      </c>
      <c r="DW144" s="438">
        <f>+INPUT!EV77</f>
        <v>-3.8907723605294109</v>
      </c>
      <c r="DX144" s="457">
        <f>+INPUT!EW77</f>
        <v>0.23654485288397673</v>
      </c>
      <c r="DY144" s="438">
        <f>+INPUT!EX77</f>
        <v>-2.1541584158415787</v>
      </c>
      <c r="DZ144" s="457"/>
      <c r="EA144" s="438"/>
      <c r="EB144" s="540">
        <f>+INPUT!FI77</f>
        <v>-11.893587183700134</v>
      </c>
      <c r="EC144" s="541">
        <f>+INPUT!FJ77</f>
        <v>5.0227593784335287</v>
      </c>
      <c r="ED144" s="540">
        <f>+INPUT!FK77</f>
        <v>-18.123472121170565</v>
      </c>
      <c r="EE144" s="541">
        <f>+INPUT!FL77</f>
        <v>5.2966714905933419</v>
      </c>
      <c r="EF144" s="540">
        <f>+INPUT!FM77</f>
        <v>5.4534189580317758</v>
      </c>
      <c r="EG144" s="541">
        <f>+INPUT!FN77</f>
        <v>6.2762072230488304</v>
      </c>
      <c r="EH144" s="540">
        <f>+INPUT!FO77</f>
        <v>18.493420522588593</v>
      </c>
      <c r="EI144" s="541">
        <f>+INPUT!FP77</f>
        <v>7.115628970775095</v>
      </c>
      <c r="EJ144" s="438">
        <f>+INPUT!FQ77</f>
        <v>13.374665907198874</v>
      </c>
      <c r="EK144" s="456">
        <f>+INPUT!FR77</f>
        <v>6.7709006331567387</v>
      </c>
      <c r="EL144" s="438">
        <f>+INPUT!FS77</f>
        <v>-4.8446643161722562</v>
      </c>
      <c r="EM144" s="456">
        <f>+INPUT!FT77</f>
        <v>0.27263587073852247</v>
      </c>
      <c r="EN144" s="438" t="str">
        <f>+INPUT!FU77</f>
        <v>NM</v>
      </c>
      <c r="EO144" s="456">
        <f>+INPUT!FV77</f>
        <v>0.30791027468051813</v>
      </c>
      <c r="EP144" s="438">
        <f>+INPUT!FW77</f>
        <v>12.938284256742705</v>
      </c>
      <c r="EQ144" s="457">
        <f>+INPUT!FX77</f>
        <v>0.51131514930473188</v>
      </c>
      <c r="ER144" s="438">
        <f>+INPUT!FY77</f>
        <v>66.059787980528682</v>
      </c>
      <c r="ES144" s="457">
        <f>+INPUT!FZ77</f>
        <v>0.32251190077058089</v>
      </c>
      <c r="ET144" s="438">
        <f>+INPUT!GA77</f>
        <v>-36.925025356842823</v>
      </c>
      <c r="EU144" s="457">
        <f>+INPUT!GB77</f>
        <v>0.19715315327425464</v>
      </c>
      <c r="EV144" s="438">
        <f>+INPUT!GC77</f>
        <v>-38.869495109112364</v>
      </c>
      <c r="EW144" s="457">
        <f>+INPUT!GD77</f>
        <v>0.25174235594825428</v>
      </c>
      <c r="EX144" s="438">
        <f>+INPUT!GE77</f>
        <v>27.688729176987607</v>
      </c>
      <c r="EY144" s="457">
        <f>+INPUT!GF77</f>
        <v>0.21653227380575424</v>
      </c>
      <c r="EZ144" s="438">
        <f>+INPUT!GG77</f>
        <v>-13.98655463037673</v>
      </c>
      <c r="FA144" s="457">
        <f>+INPUT!GH77</f>
        <v>0.12803261328258747</v>
      </c>
      <c r="FB144" s="438">
        <f>+INPUT!GI77</f>
        <v>-40.871348629792536</v>
      </c>
      <c r="FC144" s="457">
        <f>+INPUT!GJ77</f>
        <v>0.1533318532550276</v>
      </c>
      <c r="FD144" s="438">
        <f>+INPUT!GK77</f>
        <v>19.759996553847458</v>
      </c>
      <c r="FE144" s="457">
        <f>+INPUT!GL77</f>
        <v>0.21930864093178762</v>
      </c>
      <c r="FF144" s="438">
        <f>+INPUT!GM77</f>
        <v>43.028755132193453</v>
      </c>
      <c r="FG144" s="457">
        <f>+INPUT!GN77</f>
        <v>0.25303822443323587</v>
      </c>
      <c r="FH144" s="438">
        <f>+INPUT!GO77</f>
        <v>15.379961025767017</v>
      </c>
      <c r="FI144" s="457">
        <f>+INPUT!GP77</f>
        <v>0.23654372945269492</v>
      </c>
      <c r="FJ144" s="438">
        <f>+INPUT!GQ77</f>
        <v>-6.5185783758504954</v>
      </c>
      <c r="FK144" s="457">
        <f>+INPUT!GR77</f>
        <v>0.22654372945269491</v>
      </c>
      <c r="FL144" s="438">
        <f>+INPUT!GS77</f>
        <v>-4.2275481253033433</v>
      </c>
      <c r="FM144" s="457">
        <f>+INPUT!GT77</f>
        <v>0.2115437294526949</v>
      </c>
      <c r="FN144" s="438">
        <f>+INPUT!GU77</f>
        <v>-6.6212382202051572</v>
      </c>
      <c r="FO144" s="457">
        <f>+INPUT!GV77</f>
        <v>0.19654372945269488</v>
      </c>
      <c r="FP144" s="438">
        <f>+INPUT!GW77</f>
        <v>-7.0907325113384161</v>
      </c>
      <c r="FQ144" s="457">
        <f>+INPUT!GX77</f>
        <v>0.18154372945269487</v>
      </c>
      <c r="FR144" s="438">
        <f>+INPUT!GY77</f>
        <v>-7.6318893722886685</v>
      </c>
      <c r="FS144" s="438">
        <f>+INPUT!GZ77</f>
        <v>-6.4251748491222287</v>
      </c>
    </row>
    <row r="145" spans="1:176" s="529" customFormat="1" ht="12.75" hidden="1" customHeight="1" outlineLevel="1" x14ac:dyDescent="0.2">
      <c r="A145" s="441"/>
      <c r="B145" s="542"/>
      <c r="C145" s="439"/>
      <c r="D145" s="542"/>
      <c r="E145" s="439"/>
      <c r="F145" s="542"/>
      <c r="G145" s="439"/>
      <c r="H145" s="542"/>
      <c r="I145" s="439"/>
      <c r="J145" s="542"/>
      <c r="K145" s="439"/>
      <c r="L145" s="542"/>
      <c r="M145" s="439"/>
      <c r="N145" s="542"/>
      <c r="O145" s="439"/>
      <c r="P145" s="542"/>
      <c r="Q145" s="439"/>
      <c r="R145" s="542"/>
      <c r="S145" s="439"/>
      <c r="T145" s="542"/>
      <c r="U145" s="439"/>
      <c r="V145" s="542"/>
      <c r="W145" s="439"/>
      <c r="X145" s="542"/>
      <c r="Y145" s="439"/>
      <c r="Z145" s="542"/>
      <c r="AA145" s="439"/>
      <c r="AB145" s="542"/>
      <c r="AC145" s="439"/>
      <c r="AD145" s="542"/>
      <c r="AE145" s="439"/>
      <c r="AF145" s="542"/>
      <c r="AG145" s="439"/>
      <c r="AH145" s="542"/>
      <c r="AI145" s="438"/>
      <c r="AJ145" s="542"/>
      <c r="AK145" s="438"/>
      <c r="AL145" s="542"/>
      <c r="AM145" s="438"/>
      <c r="AN145" s="542"/>
      <c r="AO145" s="438"/>
      <c r="AP145" s="542"/>
      <c r="AQ145" s="438"/>
      <c r="AR145" s="542"/>
      <c r="AS145" s="438"/>
      <c r="AT145" s="542"/>
      <c r="AU145" s="438"/>
      <c r="AV145" s="542"/>
      <c r="AW145" s="438"/>
      <c r="AX145" s="542"/>
      <c r="AY145" s="438"/>
      <c r="AZ145" s="542"/>
      <c r="BA145" s="438"/>
      <c r="BB145" s="542"/>
      <c r="BC145" s="438"/>
      <c r="BD145" s="542"/>
      <c r="BE145" s="438"/>
      <c r="BF145" s="542"/>
      <c r="BG145" s="438"/>
      <c r="BH145" s="542"/>
      <c r="BI145" s="438"/>
      <c r="BJ145" s="542"/>
      <c r="BK145" s="438"/>
      <c r="BL145" s="542"/>
      <c r="BM145" s="438"/>
      <c r="BN145" s="542"/>
      <c r="BO145" s="438"/>
      <c r="BP145" s="542"/>
      <c r="BQ145" s="438"/>
      <c r="BR145" s="542"/>
      <c r="BS145" s="438"/>
      <c r="BT145" s="542"/>
      <c r="BU145" s="438"/>
      <c r="BV145" s="542"/>
      <c r="BW145" s="438"/>
      <c r="BX145" s="542"/>
      <c r="BY145" s="438"/>
      <c r="BZ145" s="542"/>
      <c r="CA145" s="438"/>
      <c r="CB145" s="542"/>
      <c r="CC145" s="438"/>
      <c r="CD145" s="542"/>
      <c r="CE145" s="438"/>
      <c r="CF145" s="542"/>
      <c r="CG145" s="438"/>
      <c r="CH145" s="542"/>
      <c r="CI145" s="438"/>
      <c r="CJ145" s="542"/>
      <c r="CK145" s="438"/>
      <c r="CL145" s="542"/>
      <c r="CM145" s="438"/>
      <c r="CN145" s="542"/>
      <c r="CO145" s="438"/>
      <c r="CP145" s="542"/>
      <c r="CQ145" s="438"/>
      <c r="CR145" s="542"/>
      <c r="CS145" s="438"/>
      <c r="CT145" s="542"/>
      <c r="CU145" s="438"/>
      <c r="CV145" s="542"/>
      <c r="CW145" s="438"/>
      <c r="CX145" s="542"/>
      <c r="CY145" s="438"/>
      <c r="CZ145" s="542"/>
      <c r="DA145" s="438"/>
      <c r="DB145" s="542"/>
      <c r="DC145" s="438"/>
      <c r="DD145" s="542"/>
      <c r="DE145" s="438"/>
      <c r="DF145" s="542"/>
      <c r="DG145" s="438"/>
      <c r="DH145" s="542"/>
      <c r="DI145" s="438"/>
      <c r="DJ145" s="542"/>
      <c r="DK145" s="438"/>
      <c r="DL145" s="542"/>
      <c r="DM145" s="438"/>
      <c r="DN145" s="542"/>
      <c r="DO145" s="438"/>
      <c r="DP145" s="542"/>
      <c r="DQ145" s="438"/>
      <c r="DR145" s="542"/>
      <c r="DS145" s="438"/>
      <c r="DT145" s="542"/>
      <c r="DU145" s="438"/>
      <c r="DV145" s="542"/>
      <c r="DW145" s="438"/>
      <c r="DX145" s="542"/>
      <c r="DY145" s="438"/>
      <c r="DZ145" s="542"/>
      <c r="EA145" s="438"/>
      <c r="EB145" s="439"/>
      <c r="EC145" s="542"/>
      <c r="ED145" s="439"/>
      <c r="EE145" s="542"/>
      <c r="EF145" s="439"/>
      <c r="EG145" s="542"/>
      <c r="EH145" s="439"/>
      <c r="EI145" s="542"/>
      <c r="EJ145" s="438"/>
      <c r="EK145" s="542"/>
      <c r="EL145" s="438"/>
      <c r="EM145" s="542"/>
      <c r="EN145" s="438"/>
      <c r="EO145" s="542"/>
      <c r="EP145" s="438"/>
      <c r="EQ145" s="542"/>
      <c r="ER145" s="438"/>
      <c r="ES145" s="542"/>
      <c r="ET145" s="438"/>
      <c r="EU145" s="542"/>
      <c r="EV145" s="438"/>
      <c r="EW145" s="542"/>
      <c r="EX145" s="438"/>
      <c r="EY145" s="542"/>
      <c r="EZ145" s="438"/>
      <c r="FA145" s="542"/>
      <c r="FB145" s="438"/>
      <c r="FC145" s="542"/>
      <c r="FD145" s="438"/>
      <c r="FE145" s="542"/>
      <c r="FF145" s="438"/>
      <c r="FG145" s="542"/>
      <c r="FH145" s="438"/>
      <c r="FI145" s="542"/>
      <c r="FJ145" s="438"/>
      <c r="FK145" s="542"/>
      <c r="FL145" s="438"/>
      <c r="FM145" s="542"/>
      <c r="FN145" s="438"/>
      <c r="FO145" s="542"/>
      <c r="FP145" s="438"/>
      <c r="FQ145" s="542"/>
      <c r="FR145" s="438"/>
      <c r="FS145" s="438"/>
    </row>
    <row r="146" spans="1:176" s="529" customFormat="1" ht="12.75" hidden="1" customHeight="1" outlineLevel="1" x14ac:dyDescent="0.2">
      <c r="A146" s="446" t="s">
        <v>312</v>
      </c>
      <c r="B146" s="542"/>
      <c r="C146" s="439"/>
      <c r="D146" s="542"/>
      <c r="E146" s="439"/>
      <c r="F146" s="542"/>
      <c r="G146" s="439"/>
      <c r="H146" s="542"/>
      <c r="I146" s="439"/>
      <c r="J146" s="542"/>
      <c r="K146" s="439"/>
      <c r="L146" s="542"/>
      <c r="M146" s="439"/>
      <c r="N146" s="542"/>
      <c r="O146" s="439"/>
      <c r="P146" s="542"/>
      <c r="Q146" s="439"/>
      <c r="R146" s="542"/>
      <c r="S146" s="439"/>
      <c r="T146" s="542"/>
      <c r="U146" s="439"/>
      <c r="V146" s="542"/>
      <c r="W146" s="439"/>
      <c r="X146" s="542"/>
      <c r="Y146" s="439"/>
      <c r="Z146" s="542"/>
      <c r="AA146" s="439"/>
      <c r="AB146" s="542"/>
      <c r="AC146" s="439"/>
      <c r="AD146" s="542"/>
      <c r="AE146" s="439"/>
      <c r="AF146" s="542"/>
      <c r="AG146" s="439"/>
      <c r="AH146" s="542"/>
      <c r="AI146" s="438"/>
      <c r="AJ146" s="542"/>
      <c r="AK146" s="438"/>
      <c r="AL146" s="542"/>
      <c r="AM146" s="438"/>
      <c r="AN146" s="542"/>
      <c r="AO146" s="438"/>
      <c r="AP146" s="542"/>
      <c r="AQ146" s="438"/>
      <c r="AR146" s="542"/>
      <c r="AS146" s="438"/>
      <c r="AT146" s="542"/>
      <c r="AU146" s="438"/>
      <c r="AV146" s="542"/>
      <c r="AW146" s="438"/>
      <c r="AX146" s="542"/>
      <c r="AY146" s="438"/>
      <c r="AZ146" s="542"/>
      <c r="BA146" s="438"/>
      <c r="BB146" s="542"/>
      <c r="BC146" s="438"/>
      <c r="BD146" s="542"/>
      <c r="BE146" s="438"/>
      <c r="BF146" s="542"/>
      <c r="BG146" s="438"/>
      <c r="BH146" s="542"/>
      <c r="BI146" s="438"/>
      <c r="BJ146" s="542"/>
      <c r="BK146" s="438"/>
      <c r="BL146" s="542"/>
      <c r="BM146" s="438"/>
      <c r="BN146" s="542"/>
      <c r="BO146" s="438"/>
      <c r="BP146" s="542"/>
      <c r="BQ146" s="438"/>
      <c r="BR146" s="542"/>
      <c r="BS146" s="438"/>
      <c r="BT146" s="542"/>
      <c r="BU146" s="438"/>
      <c r="BV146" s="542"/>
      <c r="BW146" s="438"/>
      <c r="BX146" s="542"/>
      <c r="BY146" s="438"/>
      <c r="BZ146" s="542"/>
      <c r="CA146" s="438"/>
      <c r="CB146" s="542"/>
      <c r="CC146" s="438"/>
      <c r="CD146" s="542"/>
      <c r="CE146" s="438"/>
      <c r="CF146" s="542"/>
      <c r="CG146" s="438"/>
      <c r="CH146" s="542"/>
      <c r="CI146" s="438"/>
      <c r="CJ146" s="542"/>
      <c r="CK146" s="438"/>
      <c r="CL146" s="542"/>
      <c r="CM146" s="438"/>
      <c r="CN146" s="542"/>
      <c r="CO146" s="438"/>
      <c r="CP146" s="542"/>
      <c r="CQ146" s="438"/>
      <c r="CR146" s="542"/>
      <c r="CS146" s="438"/>
      <c r="CT146" s="542"/>
      <c r="CU146" s="438"/>
      <c r="CV146" s="542"/>
      <c r="CW146" s="438"/>
      <c r="CX146" s="542"/>
      <c r="CY146" s="438"/>
      <c r="CZ146" s="542"/>
      <c r="DA146" s="438"/>
      <c r="DB146" s="542"/>
      <c r="DC146" s="438"/>
      <c r="DD146" s="542"/>
      <c r="DE146" s="438"/>
      <c r="DF146" s="542"/>
      <c r="DG146" s="438"/>
      <c r="DH146" s="542"/>
      <c r="DI146" s="438"/>
      <c r="DJ146" s="542"/>
      <c r="DK146" s="438"/>
      <c r="DL146" s="542"/>
      <c r="DM146" s="438"/>
      <c r="DN146" s="542"/>
      <c r="DO146" s="438"/>
      <c r="DP146" s="542"/>
      <c r="DQ146" s="438"/>
      <c r="DR146" s="542"/>
      <c r="DS146" s="438"/>
      <c r="DT146" s="542"/>
      <c r="DU146" s="438"/>
      <c r="DV146" s="542"/>
      <c r="DW146" s="438"/>
      <c r="DX146" s="542"/>
      <c r="DY146" s="438"/>
      <c r="DZ146" s="542"/>
      <c r="EA146" s="438"/>
      <c r="EB146" s="439"/>
      <c r="EC146" s="542"/>
      <c r="ED146" s="439"/>
      <c r="EE146" s="542"/>
      <c r="EF146" s="439"/>
      <c r="EG146" s="542"/>
      <c r="EH146" s="439"/>
      <c r="EI146" s="542"/>
      <c r="EJ146" s="438"/>
      <c r="EK146" s="542"/>
      <c r="EL146" s="438"/>
      <c r="EM146" s="542"/>
      <c r="EN146" s="438"/>
      <c r="EO146" s="542"/>
      <c r="EP146" s="438"/>
      <c r="EQ146" s="542"/>
      <c r="ER146" s="438"/>
      <c r="ES146" s="542"/>
      <c r="ET146" s="438"/>
      <c r="EU146" s="542"/>
      <c r="EV146" s="438"/>
      <c r="EW146" s="542"/>
      <c r="EX146" s="438"/>
      <c r="EY146" s="542"/>
      <c r="EZ146" s="438"/>
      <c r="FA146" s="542"/>
      <c r="FB146" s="438"/>
      <c r="FC146" s="542"/>
      <c r="FD146" s="438"/>
      <c r="FE146" s="542"/>
      <c r="FF146" s="438"/>
      <c r="FG146" s="542"/>
      <c r="FH146" s="438"/>
      <c r="FI146" s="542"/>
      <c r="FJ146" s="438"/>
      <c r="FK146" s="542"/>
      <c r="FL146" s="438"/>
      <c r="FM146" s="542"/>
      <c r="FN146" s="438"/>
      <c r="FO146" s="542"/>
      <c r="FP146" s="438"/>
      <c r="FQ146" s="542"/>
      <c r="FR146" s="438"/>
      <c r="FS146" s="438"/>
    </row>
    <row r="147" spans="1:176" s="529" customFormat="1" ht="12.75" hidden="1" customHeight="1" outlineLevel="1" x14ac:dyDescent="0.2">
      <c r="A147" s="441" t="str">
        <f>+INPUT!B87</f>
        <v>Benefits/Fees (%)</v>
      </c>
      <c r="B147" s="541">
        <f>+INPUT!AA87</f>
        <v>68.253968253968253</v>
      </c>
      <c r="C147" s="439">
        <f>+INPUT!AB87</f>
        <v>58.446712018140573</v>
      </c>
      <c r="D147" s="541">
        <f>+INPUT!AC87</f>
        <v>33.333333333333329</v>
      </c>
      <c r="E147" s="439">
        <f>+INPUT!AD87</f>
        <v>-30.630630630630634</v>
      </c>
      <c r="F147" s="541">
        <f>+INPUT!AE87</f>
        <v>32.894736842105267</v>
      </c>
      <c r="G147" s="439">
        <f>+INPUT!AF87</f>
        <v>-44.879089615931711</v>
      </c>
      <c r="H147" s="541">
        <f>+INPUT!AG87</f>
        <v>49.358974358974365</v>
      </c>
      <c r="I147" s="439">
        <f>+INPUT!AH87</f>
        <v>-18.624393624393605</v>
      </c>
      <c r="J147" s="541">
        <f>+INPUT!AI87</f>
        <v>25.443786982248522</v>
      </c>
      <c r="K147" s="439" t="str">
        <f>+INPUT!AJ87</f>
        <v>NM</v>
      </c>
      <c r="L147" s="541">
        <f>+INPUT!AK87</f>
        <v>28.901734104046245</v>
      </c>
      <c r="M147" s="439">
        <f>+INPUT!AL87</f>
        <v>-13.294797687861248</v>
      </c>
      <c r="N147" s="541">
        <f>+INPUT!AM87</f>
        <v>31.79190751445087</v>
      </c>
      <c r="O147" s="439">
        <f>+INPUT!AN87</f>
        <v>-3.3526011560693689</v>
      </c>
      <c r="P147" s="541">
        <f>+INPUT!AO87</f>
        <v>28.804347826086957</v>
      </c>
      <c r="Q147" s="439">
        <f>+INPUT!AP87</f>
        <v>-41.643139469226433</v>
      </c>
      <c r="R147" s="541">
        <f>+INPUT!AQ87</f>
        <v>31.958762886597935</v>
      </c>
      <c r="S147" s="439">
        <f>+INPUT!AR87</f>
        <v>25.605370414768629</v>
      </c>
      <c r="T147" s="541">
        <f>+INPUT!AS87</f>
        <v>26.842105263157894</v>
      </c>
      <c r="U147" s="439">
        <f>+INPUT!AT87</f>
        <v>-7.1263157894736935</v>
      </c>
      <c r="V147" s="541">
        <f>+INPUT!AU87</f>
        <v>8.0808080808080813</v>
      </c>
      <c r="W147" s="439" t="str">
        <f>+INPUT!AV87</f>
        <v>NM</v>
      </c>
      <c r="X147" s="541">
        <f>+INPUT!AW87</f>
        <v>19.696969696969695</v>
      </c>
      <c r="Y147" s="439">
        <f>+INPUT!AX87</f>
        <v>-31.618067467124078</v>
      </c>
      <c r="Z147" s="541">
        <f>+INPUT!AY87</f>
        <v>22.790697674418606</v>
      </c>
      <c r="AA147" s="439">
        <f>+INPUT!AZ87</f>
        <v>-28.687171792948234</v>
      </c>
      <c r="AB147" s="541">
        <f>+INPUT!BA87</f>
        <v>21.161825726141078</v>
      </c>
      <c r="AC147" s="439">
        <f>+INPUT!BB87</f>
        <v>-21.161825726141075</v>
      </c>
      <c r="AD147" s="541">
        <f>+INPUT!BC87</f>
        <v>22.297297297297298</v>
      </c>
      <c r="AE147" s="439" t="str">
        <f>+INPUT!BD87</f>
        <v>NM</v>
      </c>
      <c r="AF147" s="541">
        <f>+INPUT!BE87</f>
        <v>21.269841269841269</v>
      </c>
      <c r="AG147" s="439">
        <f>+INPUT!BF87</f>
        <v>7.9853479853479854</v>
      </c>
      <c r="AH147" s="456">
        <f>+INPUT!BG87</f>
        <v>18.4375</v>
      </c>
      <c r="AI147" s="438">
        <f>+INPUT!BH87</f>
        <v>-19.100765306122454</v>
      </c>
      <c r="AJ147" s="456">
        <f>+INPUT!BI87</f>
        <v>17.404129793510325</v>
      </c>
      <c r="AK147" s="438">
        <f>+INPUT!BJ87</f>
        <v>-17.756955289490421</v>
      </c>
      <c r="AL147" s="456">
        <f>+INPUT!BK87</f>
        <v>9.2537313432835813</v>
      </c>
      <c r="AM147" s="438" t="str">
        <f>+INPUT!BL87</f>
        <v>NM</v>
      </c>
      <c r="AN147" s="456">
        <f>+INPUT!BM87</f>
        <v>17.415730337078653</v>
      </c>
      <c r="AO147" s="438">
        <f>+INPUT!BN87</f>
        <v>-18.120073788361552</v>
      </c>
      <c r="AP147" s="456">
        <f>+INPUT!BO87</f>
        <v>21.981424148606813</v>
      </c>
      <c r="AQ147" s="438">
        <f>+INPUT!BP87</f>
        <v>19.221283517867448</v>
      </c>
      <c r="AR147" s="456">
        <f>+INPUT!BQ87</f>
        <v>18.125</v>
      </c>
      <c r="AS147" s="438">
        <f>+INPUT!BR87</f>
        <v>4.1419491525423808</v>
      </c>
      <c r="AT147" s="456">
        <f>+INPUT!BS87</f>
        <v>113.1578947368421</v>
      </c>
      <c r="AU147" s="438" t="str">
        <f>+INPUT!BT87</f>
        <v>NM</v>
      </c>
      <c r="AV147" s="456">
        <f>+INPUT!BU87</f>
        <v>211.60714285714283</v>
      </c>
      <c r="AW147" s="438" t="str">
        <f>+INPUT!BV87</f>
        <v>NM</v>
      </c>
      <c r="AX147" s="456">
        <f>+INPUT!BW87</f>
        <v>140.09216589861751</v>
      </c>
      <c r="AY147" s="438" t="str">
        <f>+INPUT!BX87</f>
        <v>NM</v>
      </c>
      <c r="AZ147" s="456">
        <f>+INPUT!BY87</f>
        <v>-75.847457627118644</v>
      </c>
      <c r="BA147" s="438" t="str">
        <f>+INPUT!BZ87</f>
        <v>NM</v>
      </c>
      <c r="BB147" s="456">
        <f>+INPUT!CA87</f>
        <v>-29.010238907849828</v>
      </c>
      <c r="BC147" s="438" t="str">
        <f>+INPUT!CB87</f>
        <v>NM</v>
      </c>
      <c r="BD147" s="456">
        <f>+INPUT!CC87</f>
        <v>14.714714714714713</v>
      </c>
      <c r="BE147" s="438" t="str">
        <f>+INPUT!CD87</f>
        <v>NM</v>
      </c>
      <c r="BF147" s="456">
        <f>+INPUT!CE87</f>
        <v>10.209424083769633</v>
      </c>
      <c r="BG147" s="438" t="str">
        <f>+INPUT!CF87</f>
        <v>NM</v>
      </c>
      <c r="BH147" s="456">
        <f>+INPUT!CG87</f>
        <v>76.80412371134021</v>
      </c>
      <c r="BI147" s="438" t="str">
        <f>+INPUT!CH87</f>
        <v>NM</v>
      </c>
      <c r="BJ147" s="456">
        <f>+INPUT!CI87</f>
        <v>-11.835748792270531</v>
      </c>
      <c r="BK147" s="438" t="str">
        <f>+INPUT!CJ87</f>
        <v>NM</v>
      </c>
      <c r="BL147" s="456">
        <f>+INPUT!CK87</f>
        <v>0.67720090293453727</v>
      </c>
      <c r="BM147" s="438" t="str">
        <f>+INPUT!CL87</f>
        <v>NM</v>
      </c>
      <c r="BN147" s="456">
        <f>+INPUT!CM87</f>
        <v>12.448132780082988</v>
      </c>
      <c r="BO147" s="438">
        <f>+INPUT!CN87</f>
        <v>21.927864666453885</v>
      </c>
      <c r="BP147" s="456">
        <f>+INPUT!CO87</f>
        <v>21.739130434782609</v>
      </c>
      <c r="BQ147" s="438" t="str">
        <f>+INPUT!CP87</f>
        <v>NM</v>
      </c>
      <c r="BR147" s="456">
        <f>+INPUT!CQ87</f>
        <v>66.733870967741936</v>
      </c>
      <c r="BS147" s="438" t="str">
        <f>+INPUT!CR87</f>
        <v>NM</v>
      </c>
      <c r="BT147" s="456">
        <f>+INPUT!CS87</f>
        <v>-5.1334702258726894</v>
      </c>
      <c r="BU147" s="438" t="str">
        <f>+INPUT!CT87</f>
        <v>NM</v>
      </c>
      <c r="BV147" s="456">
        <f>+INPUT!CU87</f>
        <v>-8.6372360844529741</v>
      </c>
      <c r="BW147" s="438" t="str">
        <f>+INPUT!CV87</f>
        <v>NM</v>
      </c>
      <c r="BX147" s="456">
        <f>+INPUT!CW87</f>
        <v>33.395872420262663</v>
      </c>
      <c r="BY147" s="438">
        <f>+INPUT!CX87</f>
        <v>53.621013133208237</v>
      </c>
      <c r="BZ147" s="456">
        <f>+INPUT!CY87</f>
        <v>69.369369369369366</v>
      </c>
      <c r="CA147" s="438">
        <f>+INPUT!CZ87</f>
        <v>3.9492664870308261</v>
      </c>
      <c r="CB147" s="456">
        <f>+INPUT!DA87</f>
        <v>9.5986038394415356</v>
      </c>
      <c r="CC147" s="438" t="str">
        <f>+INPUT!DB87</f>
        <v>NM</v>
      </c>
      <c r="CD147" s="456">
        <f>+INPUT!DC87</f>
        <v>7.0588235294117645</v>
      </c>
      <c r="CE147" s="438" t="str">
        <f>+INPUT!DD87</f>
        <v>NM</v>
      </c>
      <c r="CF147" s="456">
        <f>+INPUT!DE87</f>
        <v>11.605723370429253</v>
      </c>
      <c r="CG147" s="438" t="str">
        <f>+INPUT!DF87</f>
        <v>NM</v>
      </c>
      <c r="CH147" s="456">
        <f>+INPUT!DG87</f>
        <v>-10.641627543035993</v>
      </c>
      <c r="CI147" s="438" t="str">
        <f>+INPUT!DH87</f>
        <v>NM</v>
      </c>
      <c r="CJ147" s="456">
        <f>+INPUT!DI87</f>
        <v>4.5045045045045047</v>
      </c>
      <c r="CK147" s="438" t="str">
        <f>+INPUT!DJ87</f>
        <v>NM</v>
      </c>
      <c r="CL147" s="456">
        <f>+INPUT!DK87</f>
        <v>17.138599105812222</v>
      </c>
      <c r="CM147" s="438" t="str">
        <f>+INPUT!DL87</f>
        <v>NM</v>
      </c>
      <c r="CN147" s="456">
        <f>+INPUT!DM87</f>
        <v>14.38953488372093</v>
      </c>
      <c r="CO147" s="438">
        <f>+INPUT!DN87</f>
        <v>23.98654029945844</v>
      </c>
      <c r="CP147" s="456">
        <f>+INPUT!DO87</f>
        <v>17.672413793103448</v>
      </c>
      <c r="CQ147" s="438" t="str">
        <f>+INPUT!DP87</f>
        <v>NM</v>
      </c>
      <c r="CR147" s="456">
        <f>+INPUT!DQ87</f>
        <v>20.600858369098713</v>
      </c>
      <c r="CS147" s="438" t="str">
        <f>+INPUT!DR87</f>
        <v>NM</v>
      </c>
      <c r="CT147" s="456">
        <f>+INPUT!DS87</f>
        <v>6.8767908309455592</v>
      </c>
      <c r="CU147" s="438" t="str">
        <f>+INPUT!DT87</f>
        <v>NM</v>
      </c>
      <c r="CV147" s="456">
        <f>+INPUT!DU87</f>
        <v>4.6283309957924264</v>
      </c>
      <c r="CW147" s="438" t="str">
        <f>+INPUT!DV87</f>
        <v>NM</v>
      </c>
      <c r="CX147" s="456">
        <f>+INPUT!DW87</f>
        <v>22.254335260115607</v>
      </c>
      <c r="CY147" s="438">
        <f>+INPUT!DX87</f>
        <v>25.926970252361485</v>
      </c>
      <c r="CZ147" s="456">
        <f>+INPUT!DY87</f>
        <v>11.583577712609969</v>
      </c>
      <c r="DA147" s="438">
        <f>+INPUT!DZ87</f>
        <v>-43.771383186705783</v>
      </c>
      <c r="DB147" s="456">
        <f>+INPUT!EA87</f>
        <v>17.024539877300612</v>
      </c>
      <c r="DC147" s="438" t="str">
        <f>+INPUT!EB87</f>
        <v>NM</v>
      </c>
      <c r="DD147" s="456">
        <f>+INPUT!EC87</f>
        <v>8.4444444444444446</v>
      </c>
      <c r="DE147" s="438">
        <f>+INPUT!ED87</f>
        <v>82.451178451178464</v>
      </c>
      <c r="DF147" s="456">
        <f>+INPUT!EE87</f>
        <v>5.382436260623229</v>
      </c>
      <c r="DG147" s="438" t="str">
        <f>+INPUT!EF87</f>
        <v>NM</v>
      </c>
      <c r="DH147" s="456">
        <f>+INPUT!EG87</f>
        <v>14.388489208633093</v>
      </c>
      <c r="DI147" s="438">
        <f>+INPUT!EH87</f>
        <v>24.214552408705956</v>
      </c>
      <c r="DJ147" s="456">
        <f>+INPUT!EI87</f>
        <v>12.607449856733524</v>
      </c>
      <c r="DK147" s="438">
        <f>+INPUT!EJ87</f>
        <v>-25.945429670358038</v>
      </c>
      <c r="DL147" s="456">
        <f>+INPUT!EK87</f>
        <v>9.4289508632138119</v>
      </c>
      <c r="DM147" s="438">
        <f>+INPUT!EL87</f>
        <v>11.65862864332145</v>
      </c>
      <c r="DN147" s="456">
        <f>+INPUT!EM87</f>
        <v>11.342894393741851</v>
      </c>
      <c r="DO147" s="438" t="str">
        <f>+INPUT!EN87</f>
        <v>NM</v>
      </c>
      <c r="DP147" s="456">
        <f>+INPUT!EO87</f>
        <v>9.4364351245085185</v>
      </c>
      <c r="DQ147" s="438">
        <f>+INPUT!EP87</f>
        <v>-34.416775884665796</v>
      </c>
      <c r="DR147" s="456">
        <f>+INPUT!EQ87</f>
        <v>11.5</v>
      </c>
      <c r="DS147" s="438">
        <f>+INPUT!ER87</f>
        <v>-8.7840909090909065</v>
      </c>
      <c r="DT147" s="456">
        <f>+INPUT!ES87</f>
        <v>11.5</v>
      </c>
      <c r="DU147" s="438">
        <f>+INPUT!ET87</f>
        <v>21.964788732394354</v>
      </c>
      <c r="DV147" s="456">
        <f>+INPUT!EU87</f>
        <v>11.5</v>
      </c>
      <c r="DW147" s="438">
        <f>+INPUT!EV87</f>
        <v>1.3850574712643606</v>
      </c>
      <c r="DX147" s="456">
        <f>+INPUT!EW87</f>
        <v>11.5</v>
      </c>
      <c r="DY147" s="438">
        <f>+INPUT!EX87</f>
        <v>21.868055555555557</v>
      </c>
      <c r="DZ147" s="456"/>
      <c r="EA147" s="438"/>
      <c r="EB147" s="439">
        <f>+INPUT!FI87</f>
        <v>-11.129266521423389</v>
      </c>
      <c r="EC147" s="541">
        <f>+INPUT!FJ87</f>
        <v>52.452830188679243</v>
      </c>
      <c r="ED147" s="439">
        <f>+INPUT!FK87</f>
        <v>37.331046312178387</v>
      </c>
      <c r="EE147" s="541">
        <f>+INPUT!FL87</f>
        <v>42.712550607287447</v>
      </c>
      <c r="EF147" s="439">
        <f>+INPUT!FM87</f>
        <v>-18.569597763085071</v>
      </c>
      <c r="EG147" s="541">
        <f>+INPUT!FN87</f>
        <v>28.75536480686695</v>
      </c>
      <c r="EH147" s="439">
        <f>+INPUT!FO87</f>
        <v>-32.67701320098449</v>
      </c>
      <c r="EI147" s="541">
        <f>+INPUT!FP87</f>
        <v>21.53846153846154</v>
      </c>
      <c r="EJ147" s="438">
        <f>+INPUT!FQ87</f>
        <v>-25.097588978185982</v>
      </c>
      <c r="EK147" s="456">
        <f>+INPUT!FR87</f>
        <v>21.836925960637302</v>
      </c>
      <c r="EL147" s="438">
        <f>+INPUT!FS87</f>
        <v>1.3857276743874678</v>
      </c>
      <c r="EM147" s="456">
        <f>+INPUT!FT87</f>
        <v>15.62962962962963</v>
      </c>
      <c r="EN147" s="438">
        <f>+INPUT!FU87</f>
        <v>-28.425687490065172</v>
      </c>
      <c r="EO147" s="456">
        <f>+INPUT!FV87</f>
        <v>80.871050384286931</v>
      </c>
      <c r="EP147" s="438" t="str">
        <f>+INPUT!FW87</f>
        <v>NM</v>
      </c>
      <c r="EQ147" s="456">
        <f>+INPUT!FX87</f>
        <v>8.2483781278961992</v>
      </c>
      <c r="ER147" s="438" t="str">
        <f>+INPUT!FY87</f>
        <v>NM</v>
      </c>
      <c r="ES147" s="456">
        <f>+INPUT!FZ87</f>
        <v>17.885679164105717</v>
      </c>
      <c r="ET147" s="438" t="str">
        <f>+INPUT!GA87</f>
        <v>NM</v>
      </c>
      <c r="EU147" s="456">
        <f>+INPUT!GB87</f>
        <v>24.150177574835109</v>
      </c>
      <c r="EV147" s="438">
        <f>+INPUT!GC87</f>
        <v>35.025219636621017</v>
      </c>
      <c r="EW147" s="456">
        <f>+INPUT!GD87</f>
        <v>26.26031164069661</v>
      </c>
      <c r="EX147" s="438">
        <f>+INPUT!GE87</f>
        <v>8.7375509323802873</v>
      </c>
      <c r="EY147" s="456">
        <f>+INPUT!GF87</f>
        <v>3.0446816923685249</v>
      </c>
      <c r="EZ147" s="438" t="str">
        <f>+INPUT!GG87</f>
        <v>NM</v>
      </c>
      <c r="FA147" s="456">
        <f>+INPUT!GH87</f>
        <v>17.465504720406681</v>
      </c>
      <c r="FB147" s="438" t="str">
        <f>+INPUT!GI87</f>
        <v>NM</v>
      </c>
      <c r="FC147" s="456">
        <f>+INPUT!GJ87</f>
        <v>11.274685816876122</v>
      </c>
      <c r="FD147" s="438">
        <f>+INPUT!GK87</f>
        <v>-35.445977672189528</v>
      </c>
      <c r="FE147" s="456">
        <f>+INPUT!GL87</f>
        <v>11.217008797653959</v>
      </c>
      <c r="FF147" s="438">
        <f>+INPUT!GM87</f>
        <v>-0.51156209724115342</v>
      </c>
      <c r="FG147" s="456">
        <f>+INPUT!GN87</f>
        <v>10.667561221066755</v>
      </c>
      <c r="FH147" s="438">
        <f>+INPUT!GO87</f>
        <v>-4.8983431010780691</v>
      </c>
      <c r="FI147" s="456">
        <f>+INPUT!GP87</f>
        <v>11.499999999999998</v>
      </c>
      <c r="FJ147" s="438">
        <f>+INPUT!GQ87</f>
        <v>7.8034591194968499</v>
      </c>
      <c r="FK147" s="456">
        <f>+INPUT!GR87</f>
        <v>11.599999999999998</v>
      </c>
      <c r="FL147" s="438">
        <f>+INPUT!GS87</f>
        <v>0.86956521739129755</v>
      </c>
      <c r="FM147" s="456">
        <f>+INPUT!GT87</f>
        <v>11.699999999999998</v>
      </c>
      <c r="FN147" s="438">
        <f>+INPUT!GU87</f>
        <v>0.86206896551723844</v>
      </c>
      <c r="FO147" s="456">
        <f>+INPUT!GV87</f>
        <v>11.799999999999997</v>
      </c>
      <c r="FP147" s="438">
        <f>+INPUT!GW87</f>
        <v>0.85470085470085166</v>
      </c>
      <c r="FQ147" s="456">
        <f>+INPUT!GX87</f>
        <v>11.899999999999997</v>
      </c>
      <c r="FR147" s="438">
        <f>+INPUT!GY87</f>
        <v>0.84745762711864359</v>
      </c>
      <c r="FS147" s="438">
        <f>+INPUT!GZ87</f>
        <v>2.2107002075969939</v>
      </c>
    </row>
    <row r="148" spans="1:176" s="529" customFormat="1" ht="12.75" hidden="1" customHeight="1" outlineLevel="1" x14ac:dyDescent="0.2">
      <c r="A148" s="441" t="str">
        <f>+INPUT!B88</f>
        <v>Operating Expenses/Total Revenues (%)</v>
      </c>
      <c r="B148" s="541">
        <f>+INPUT!AA88</f>
        <v>36.065573770491802</v>
      </c>
      <c r="C148" s="439">
        <f>+INPUT!AB88</f>
        <v>-6.2295081967213264</v>
      </c>
      <c r="D148" s="541">
        <f>+INPUT!AC88</f>
        <v>55.123674911660778</v>
      </c>
      <c r="E148" s="439">
        <f>+INPUT!AD88</f>
        <v>36.39575971731449</v>
      </c>
      <c r="F148" s="541">
        <f>+INPUT!AE88</f>
        <v>59.270516717325229</v>
      </c>
      <c r="G148" s="439">
        <f>+INPUT!AF88</f>
        <v>36.322188449848028</v>
      </c>
      <c r="H148" s="541">
        <f>+INPUT!AG88</f>
        <v>59.312320916905449</v>
      </c>
      <c r="I148" s="439">
        <f>+INPUT!AH88</f>
        <v>71.346704871060211</v>
      </c>
      <c r="J148" s="541">
        <f>+INPUT!AI88</f>
        <v>55.026455026455025</v>
      </c>
      <c r="K148" s="439">
        <f>+INPUT!AJ88</f>
        <v>52.573352573352594</v>
      </c>
      <c r="L148" s="541">
        <f>+INPUT!AK88</f>
        <v>54.00516795865633</v>
      </c>
      <c r="M148" s="439">
        <f>+INPUT!AL88</f>
        <v>-2.0290863314119179</v>
      </c>
      <c r="N148" s="541">
        <f>+INPUT!AM88</f>
        <v>47.989949748743719</v>
      </c>
      <c r="O148" s="439">
        <f>+INPUT!AN88</f>
        <v>-19.032341193145214</v>
      </c>
      <c r="P148" s="541">
        <f>+INPUT!AO88</f>
        <v>48.915662650602407</v>
      </c>
      <c r="Q148" s="439">
        <f>+INPUT!AP88</f>
        <v>-17.528665386182425</v>
      </c>
      <c r="R148" s="541">
        <f>+INPUT!AQ88</f>
        <v>47.641509433962263</v>
      </c>
      <c r="S148" s="439">
        <f>+INPUT!AR88</f>
        <v>-13.420718432510881</v>
      </c>
      <c r="T148" s="541">
        <f>+INPUT!AS88</f>
        <v>56.428571428571431</v>
      </c>
      <c r="U148" s="439">
        <f>+INPUT!AT88</f>
        <v>4.487354750512651</v>
      </c>
      <c r="V148" s="541">
        <f>+INPUT!AU88</f>
        <v>56.4625850340136</v>
      </c>
      <c r="W148" s="439">
        <f>+INPUT!AV88</f>
        <v>17.655020123232518</v>
      </c>
      <c r="X148" s="541">
        <f>+INPUT!AW88</f>
        <v>54.861111111111114</v>
      </c>
      <c r="Y148" s="439">
        <f>+INPUT!AX88</f>
        <v>12.154488232074456</v>
      </c>
      <c r="Z148" s="541">
        <f>+INPUT!AY88</f>
        <v>56.29139072847682</v>
      </c>
      <c r="AA148" s="439">
        <f>+INPUT!AZ88</f>
        <v>18.156186479575112</v>
      </c>
      <c r="AB148" s="541">
        <f>+INPUT!BA88</f>
        <v>60.767590618336889</v>
      </c>
      <c r="AC148" s="439">
        <f>+INPUT!BB88</f>
        <v>7.6894010957868915</v>
      </c>
      <c r="AD148" s="541">
        <f>+INPUT!BC88</f>
        <v>54.888507718696403</v>
      </c>
      <c r="AE148" s="439">
        <f>+INPUT!BD88</f>
        <v>-2.7878236789352684</v>
      </c>
      <c r="AF148" s="541">
        <f>+INPUT!BE88</f>
        <v>58.221476510067113</v>
      </c>
      <c r="AG148" s="439">
        <f>+INPUT!BF88</f>
        <v>6.1252230056919359</v>
      </c>
      <c r="AH148" s="456">
        <f>+INPUT!BG88</f>
        <v>59.105960264900659</v>
      </c>
      <c r="AI148" s="438">
        <f>+INPUT!BH88</f>
        <v>5</v>
      </c>
      <c r="AJ148" s="456">
        <f>+INPUT!BI88</f>
        <v>59.968354430379748</v>
      </c>
      <c r="AK148" s="438">
        <f>+INPUT!BJ88</f>
        <v>-1.3152342882522703</v>
      </c>
      <c r="AL148" s="456">
        <f>+INPUT!BK88</f>
        <v>60.979462875197477</v>
      </c>
      <c r="AM148" s="438">
        <f>+INPUT!BL88</f>
        <v>11.0969589257504</v>
      </c>
      <c r="AN148" s="456">
        <f>+INPUT!BM88</f>
        <v>62.776025236593057</v>
      </c>
      <c r="AO148" s="438">
        <f>+INPUT!BN88</f>
        <v>7.8227983890762687</v>
      </c>
      <c r="AP148" s="456">
        <f>+INPUT!BO88</f>
        <v>64.746945898778364</v>
      </c>
      <c r="AQ148" s="438">
        <f>+INPUT!BP88</f>
        <v>9.5438524449919555</v>
      </c>
      <c r="AR148" s="456">
        <f>+INPUT!BQ88</f>
        <v>58.199356913183273</v>
      </c>
      <c r="AS148" s="438">
        <f>+INPUT!BR88</f>
        <v>-2.9498850418685265</v>
      </c>
      <c r="AT148" s="456">
        <f>+INPUT!BS88</f>
        <v>68.75</v>
      </c>
      <c r="AU148" s="438">
        <f>+INPUT!BT88</f>
        <v>12.742875647668384</v>
      </c>
      <c r="AV148" s="456">
        <f>+INPUT!BU88</f>
        <v>246.73913043478262</v>
      </c>
      <c r="AW148" s="438" t="str">
        <f>+INPUT!BV88</f>
        <v>NM</v>
      </c>
      <c r="AX148" s="456">
        <f>+INPUT!BW88</f>
        <v>63.588850174216027</v>
      </c>
      <c r="AY148" s="438">
        <f>+INPUT!BX88</f>
        <v>-1.7886491918442573</v>
      </c>
      <c r="AZ148" s="456">
        <f>+INPUT!BY88</f>
        <v>62.267343485617602</v>
      </c>
      <c r="BA148" s="438">
        <f>+INPUT!BZ88</f>
        <v>6.9897448841274894</v>
      </c>
      <c r="BB148" s="456">
        <f>+INPUT!CA88</f>
        <v>79.785604900459418</v>
      </c>
      <c r="BC148" s="438">
        <f>+INPUT!CB88</f>
        <v>16.051788946122784</v>
      </c>
      <c r="BD148" s="456">
        <f>+INPUT!CC88</f>
        <v>70.875179340028694</v>
      </c>
      <c r="BE148" s="438" t="str">
        <f>+INPUT!CD88</f>
        <v>NM</v>
      </c>
      <c r="BF148" s="456">
        <f>+INPUT!CE88</f>
        <v>63.504611330698289</v>
      </c>
      <c r="BG148" s="438">
        <f>+INPUT!CF88</f>
        <v>-0.13247423610735609</v>
      </c>
      <c r="BH148" s="456">
        <f>+INPUT!CG88</f>
        <v>68.880208333333343</v>
      </c>
      <c r="BI148" s="438">
        <f>+INPUT!CH88</f>
        <v>10.6201171875</v>
      </c>
      <c r="BJ148" s="456">
        <f>+INPUT!CI88</f>
        <v>65.179677819083025</v>
      </c>
      <c r="BK148" s="438">
        <f>+INPUT!CJ88</f>
        <v>-18.30646906744488</v>
      </c>
      <c r="BL148" s="456">
        <f>+INPUT!CK88</f>
        <v>72.938443670150988</v>
      </c>
      <c r="BM148" s="438">
        <f>+INPUT!CL88</f>
        <v>2.9111239637555428</v>
      </c>
      <c r="BN148" s="456">
        <f>+INPUT!CM88</f>
        <v>73.830734966592431</v>
      </c>
      <c r="BO148" s="438">
        <f>+INPUT!CN88</f>
        <v>16.260431202580179</v>
      </c>
      <c r="BP148" s="456">
        <f>+INPUT!CO88</f>
        <v>59.59271168274384</v>
      </c>
      <c r="BQ148" s="438">
        <f>+INPUT!CP88</f>
        <v>-13.483549012576063</v>
      </c>
      <c r="BR148" s="456">
        <f>+INPUT!CQ88</f>
        <v>61.1049723756906</v>
      </c>
      <c r="BS148" s="438">
        <f>+INPUT!CR88</f>
        <v>-6.2514967544062472</v>
      </c>
      <c r="BT148" s="456">
        <f>+INPUT!CS88</f>
        <v>60.753880266075392</v>
      </c>
      <c r="BU148" s="438">
        <f>+INPUT!CT88</f>
        <v>-16.705269253039944</v>
      </c>
      <c r="BV148" s="456">
        <f>+INPUT!CU88</f>
        <v>63.152400835073067</v>
      </c>
      <c r="BW148" s="438">
        <f>+INPUT!CV88</f>
        <v>-14.463264027306764</v>
      </c>
      <c r="BX148" s="456">
        <f>+INPUT!CW88</f>
        <v>65.082644628099175</v>
      </c>
      <c r="BY148" s="438">
        <f>+INPUT!CX88</f>
        <v>9.2124234496700126</v>
      </c>
      <c r="BZ148" s="456">
        <f>+INPUT!CY88</f>
        <v>63.752455795677797</v>
      </c>
      <c r="CA148" s="438">
        <f>+INPUT!CZ88</f>
        <v>4.3326808229446954</v>
      </c>
      <c r="CB148" s="456">
        <f>+INPUT!DA88</f>
        <v>58.132820019249273</v>
      </c>
      <c r="CC148" s="438">
        <f>+INPUT!DB88</f>
        <v>-4.3142269026225506</v>
      </c>
      <c r="CD148" s="456">
        <f>+INPUT!DC88</f>
        <v>56.36704119850188</v>
      </c>
      <c r="CE148" s="438">
        <f>+INPUT!DD88</f>
        <v>-10.744420713777174</v>
      </c>
      <c r="CF148" s="456">
        <f>+INPUT!DE88</f>
        <v>45.933869526362827</v>
      </c>
      <c r="CG148" s="438">
        <f>+INPUT!DF88</f>
        <v>-29.42224491822347</v>
      </c>
      <c r="CH148" s="456">
        <f>+INPUT!DG88</f>
        <v>45.892857142857139</v>
      </c>
      <c r="CI148" s="438">
        <f>+INPUT!DH88</f>
        <v>-28.013977547875854</v>
      </c>
      <c r="CJ148" s="456">
        <f>+INPUT!DI88</f>
        <v>46.804835924006909</v>
      </c>
      <c r="CK148" s="438">
        <f>+INPUT!DJ88</f>
        <v>-19.486383236683466</v>
      </c>
      <c r="CL148" s="456">
        <f>+INPUT!DK88</f>
        <v>44.598098530682798</v>
      </c>
      <c r="CM148" s="438">
        <f>+INPUT!DL88</f>
        <v>-20.87912087912089</v>
      </c>
      <c r="CN148" s="456">
        <f>+INPUT!DM88</f>
        <v>47.139197267292907</v>
      </c>
      <c r="CO148" s="438">
        <f>+INPUT!DN88</f>
        <v>2.624050081908095</v>
      </c>
      <c r="CP148" s="456">
        <f>+INPUT!DO88</f>
        <v>46.43157010915197</v>
      </c>
      <c r="CQ148" s="438">
        <f>+INPUT!DP88</f>
        <v>1.1738492650782462</v>
      </c>
      <c r="CR148" s="456">
        <f>+INPUT!DQ88</f>
        <v>47.019311502938706</v>
      </c>
      <c r="CS148" s="438">
        <f>+INPUT!DR88</f>
        <v>0.45823380148158321</v>
      </c>
      <c r="CT148" s="456">
        <f>+INPUT!DS88</f>
        <v>44.144903117101933</v>
      </c>
      <c r="CU148" s="438">
        <f>+INPUT!DT88</f>
        <v>-1.0161765378160084</v>
      </c>
      <c r="CV148" s="456">
        <f>+INPUT!DU88</f>
        <v>45.25</v>
      </c>
      <c r="CW148" s="438">
        <f>+INPUT!DV88</f>
        <v>-4.0076992753623131</v>
      </c>
      <c r="CX148" s="456">
        <f>+INPUT!DW88</f>
        <v>44.815766923736078</v>
      </c>
      <c r="CY148" s="438">
        <f>+INPUT!DX88</f>
        <v>-3.4799667157872136</v>
      </c>
      <c r="CZ148" s="456">
        <f>+INPUT!DY88</f>
        <v>46.187554776511831</v>
      </c>
      <c r="DA148" s="438">
        <f>+INPUT!DZ88</f>
        <v>-1.7689683235257263</v>
      </c>
      <c r="DB148" s="456">
        <f>+INPUT!EA88</f>
        <v>45.807033363390445</v>
      </c>
      <c r="DC148" s="438">
        <f>+INPUT!EB88</f>
        <v>3.765169088443642</v>
      </c>
      <c r="DD148" s="456">
        <f>+INPUT!EC88</f>
        <v>46.981627296587924</v>
      </c>
      <c r="DE148" s="438">
        <f>+INPUT!ED88</f>
        <v>3.8268006554429235</v>
      </c>
      <c r="DF148" s="456">
        <f>+INPUT!EE88</f>
        <v>42.833742833742832</v>
      </c>
      <c r="DG148" s="438">
        <f>+INPUT!EF88</f>
        <v>-4.4226044226044365</v>
      </c>
      <c r="DH148" s="456">
        <f>+INPUT!EG88</f>
        <v>43.419949706621964</v>
      </c>
      <c r="DI148" s="438">
        <f>+INPUT!EH88</f>
        <v>-5.9921012993251281</v>
      </c>
      <c r="DJ148" s="456">
        <f>+INPUT!EI88</f>
        <v>41.89300411522634</v>
      </c>
      <c r="DK148" s="438">
        <f>+INPUT!EJ88</f>
        <v>-8.5446032208936913</v>
      </c>
      <c r="DL148" s="456">
        <f>+INPUT!EK88</f>
        <v>38.820826952526801</v>
      </c>
      <c r="DM148" s="438">
        <f>+INPUT!EL88</f>
        <v>-17.370195145739046</v>
      </c>
      <c r="DN148" s="456">
        <f>+INPUT!EM88</f>
        <v>37.883435582822081</v>
      </c>
      <c r="DO148" s="438">
        <f>+INPUT!EN88</f>
        <v>-11.557027061901024</v>
      </c>
      <c r="DP148" s="456">
        <f>+INPUT!EO88</f>
        <v>41.556420233463037</v>
      </c>
      <c r="DQ148" s="438">
        <f>+INPUT!EP88</f>
        <v>-4.2918738638582994</v>
      </c>
      <c r="DR148" s="456">
        <f>+INPUT!EQ88</f>
        <v>40</v>
      </c>
      <c r="DS148" s="438">
        <f>+INPUT!ER88</f>
        <v>-4.518664047151276</v>
      </c>
      <c r="DT148" s="456">
        <f>+INPUT!ES88</f>
        <v>40</v>
      </c>
      <c r="DU148" s="438">
        <f>+INPUT!ET88</f>
        <v>3.0374753451676497</v>
      </c>
      <c r="DV148" s="456">
        <f>+INPUT!EU88</f>
        <v>40</v>
      </c>
      <c r="DW148" s="438">
        <f>+INPUT!EV88</f>
        <v>5.5870445344129678</v>
      </c>
      <c r="DX148" s="456">
        <f>+INPUT!EW88</f>
        <v>41.5</v>
      </c>
      <c r="DY148" s="438">
        <f>+INPUT!EX88</f>
        <v>-0.13576779026217878</v>
      </c>
      <c r="DZ148" s="456"/>
      <c r="EA148" s="438"/>
      <c r="EB148" s="439">
        <f>+INPUT!FI88</f>
        <v>-9.1306006380912805</v>
      </c>
      <c r="EC148" s="541">
        <f>+INPUT!FJ88</f>
        <v>39.271255060728741</v>
      </c>
      <c r="ED148" s="439">
        <f>+INPUT!FK88</f>
        <v>9.6037467025913656</v>
      </c>
      <c r="EE148" s="541">
        <f>+INPUT!FL88</f>
        <v>54.54545454545454</v>
      </c>
      <c r="EF148" s="439">
        <f>+INPUT!FM88</f>
        <v>38.894095595126544</v>
      </c>
      <c r="EG148" s="541">
        <f>+INPUT!FN88</f>
        <v>51.394169835234472</v>
      </c>
      <c r="EH148" s="439">
        <f>+INPUT!FO88</f>
        <v>-5.7773553020701343</v>
      </c>
      <c r="EI148" s="541">
        <f>+INPUT!FP88</f>
        <v>53.873034362259752</v>
      </c>
      <c r="EJ148" s="438">
        <f>+INPUT!FQ88</f>
        <v>4.8232407196620102</v>
      </c>
      <c r="EK148" s="456">
        <f>+INPUT!FR88</f>
        <v>57.448833888624463</v>
      </c>
      <c r="EL148" s="438">
        <f>+INPUT!FS88</f>
        <v>6.6374570667764488</v>
      </c>
      <c r="EM148" s="456">
        <f>+INPUT!FT88</f>
        <v>60.727127447063523</v>
      </c>
      <c r="EN148" s="438">
        <f>+INPUT!FU88</f>
        <v>5.7064579670923479</v>
      </c>
      <c r="EO148" s="456">
        <f>+INPUT!FV88</f>
        <v>74.640951990151834</v>
      </c>
      <c r="EP148" s="438">
        <f>+INPUT!FW88</f>
        <v>22.912041336414489</v>
      </c>
      <c r="EQ148" s="456">
        <f>+INPUT!FX88</f>
        <v>69.502982107355862</v>
      </c>
      <c r="ER148" s="438">
        <f>+INPUT!FY88</f>
        <v>-6.8835803212610074</v>
      </c>
      <c r="ES148" s="456">
        <f>+INPUT!FZ88</f>
        <v>67.762128325508613</v>
      </c>
      <c r="ET148" s="438">
        <f>+INPUT!GA88</f>
        <v>-2.5047181128980753</v>
      </c>
      <c r="EU148" s="456">
        <f>+INPUT!GB88</f>
        <v>63.771302913688842</v>
      </c>
      <c r="EV148" s="438">
        <f>+INPUT!GC88</f>
        <v>-5.8894629056647432</v>
      </c>
      <c r="EW148" s="456">
        <f>+INPUT!GD88</f>
        <v>62.465478282701483</v>
      </c>
      <c r="EX148" s="438">
        <f>+INPUT!GE88</f>
        <v>-2.0476681066948288</v>
      </c>
      <c r="EY148" s="456">
        <f>+INPUT!GF88</f>
        <v>48.645016797312429</v>
      </c>
      <c r="EZ148" s="438">
        <f>+INPUT!GG88</f>
        <v>-22.124959041923063</v>
      </c>
      <c r="FA148" s="456">
        <f>+INPUT!GH88</f>
        <v>46.305732484076437</v>
      </c>
      <c r="FB148" s="438">
        <f>+INPUT!GI88</f>
        <v>-4.8088878722830231</v>
      </c>
      <c r="FC148" s="456">
        <f>+INPUT!GJ88</f>
        <v>45.090521831735892</v>
      </c>
      <c r="FD148" s="438">
        <f>+INPUT!GK88</f>
        <v>-2.6243201157835756</v>
      </c>
      <c r="FE148" s="456">
        <f>+INPUT!GL88</f>
        <v>44.706386626660951</v>
      </c>
      <c r="FF148" s="438">
        <f>+INPUT!GM88</f>
        <v>-0.85192006982846635</v>
      </c>
      <c r="FG148" s="456">
        <f>+INPUT!GN88</f>
        <v>40</v>
      </c>
      <c r="FH148" s="438">
        <f>+INPUT!GO88</f>
        <v>-10.527325023969311</v>
      </c>
      <c r="FI148" s="456">
        <f>+INPUT!GP88</f>
        <v>40.374644231959849</v>
      </c>
      <c r="FJ148" s="438">
        <f>+INPUT!GQ88</f>
        <v>0.9366105798996216</v>
      </c>
      <c r="FK148" s="456">
        <f>+INPUT!GR88</f>
        <v>40.47464423195985</v>
      </c>
      <c r="FL148" s="438">
        <f>+INPUT!GS88</f>
        <v>0.24768020103280719</v>
      </c>
      <c r="FM148" s="456">
        <f>+INPUT!GT88</f>
        <v>40.574644231959851</v>
      </c>
      <c r="FN148" s="438">
        <f>+INPUT!GU88</f>
        <v>0.24706826186513808</v>
      </c>
      <c r="FO148" s="456">
        <f>+INPUT!GV88</f>
        <v>40.674644231959853</v>
      </c>
      <c r="FP148" s="438">
        <f>+INPUT!GW88</f>
        <v>0.24645933905991058</v>
      </c>
      <c r="FQ148" s="456">
        <f>+INPUT!GX88</f>
        <v>40.774644231959854</v>
      </c>
      <c r="FR148" s="438">
        <f>+INPUT!GY88</f>
        <v>0.24585341036966213</v>
      </c>
      <c r="FS148" s="438">
        <f>+INPUT!GZ88</f>
        <v>0.38435614505480942</v>
      </c>
    </row>
    <row r="149" spans="1:176" s="529" customFormat="1" ht="12.75" hidden="1" customHeight="1" outlineLevel="1" x14ac:dyDescent="0.2">
      <c r="A149" s="441" t="str">
        <f>+INPUT!B91</f>
        <v>Net DAC/Operating Expenses (%)</v>
      </c>
      <c r="B149" s="541">
        <f>+INPUT!AA91</f>
        <v>15.151515151515152</v>
      </c>
      <c r="C149" s="439" t="str">
        <f>+INPUT!AB91</f>
        <v>NM</v>
      </c>
      <c r="D149" s="541">
        <f>+INPUT!AC91</f>
        <v>28.846153846153843</v>
      </c>
      <c r="E149" s="439" t="str">
        <f>+INPUT!AD91</f>
        <v>NM</v>
      </c>
      <c r="F149" s="541">
        <f>+INPUT!AE91</f>
        <v>31.794871794871792</v>
      </c>
      <c r="G149" s="439" t="str">
        <f>+INPUT!AF91</f>
        <v>NM</v>
      </c>
      <c r="H149" s="541">
        <f>+INPUT!AG91</f>
        <v>49.75845410628019</v>
      </c>
      <c r="I149" s="439" t="str">
        <f>+INPUT!AH91</f>
        <v>NM</v>
      </c>
      <c r="J149" s="541">
        <f>+INPUT!AI91</f>
        <v>29.326923076923077</v>
      </c>
      <c r="K149" s="439">
        <f>+INPUT!AJ91</f>
        <v>93.557692307692292</v>
      </c>
      <c r="L149" s="541">
        <f>+INPUT!AK91</f>
        <v>27.27272727272727</v>
      </c>
      <c r="M149" s="439">
        <f>+INPUT!AL91</f>
        <v>-5.4545454545454533</v>
      </c>
      <c r="N149" s="541">
        <f>+INPUT!AM91</f>
        <v>20.418848167539267</v>
      </c>
      <c r="O149" s="439">
        <f>+INPUT!AN91</f>
        <v>-35.779429150481334</v>
      </c>
      <c r="P149" s="541">
        <f>+INPUT!AO91</f>
        <v>34.975369458128078</v>
      </c>
      <c r="Q149" s="439">
        <f>+INPUT!AP91</f>
        <v>-29.70969438997561</v>
      </c>
      <c r="R149" s="541">
        <f>+INPUT!AQ91</f>
        <v>14.356435643564355</v>
      </c>
      <c r="S149" s="439" t="str">
        <f>+INPUT!AR91</f>
        <v>NM</v>
      </c>
      <c r="T149" s="541">
        <f>+INPUT!AS91</f>
        <v>26.160337552742618</v>
      </c>
      <c r="U149" s="439">
        <f>+INPUT!AT91</f>
        <v>-4.0787623066104004</v>
      </c>
      <c r="V149" s="541">
        <f>+INPUT!AU91</f>
        <v>32.53012048192771</v>
      </c>
      <c r="W149" s="439">
        <f>+INPUT!AV91</f>
        <v>59.31417979610751</v>
      </c>
      <c r="X149" s="541">
        <f>+INPUT!AW91</f>
        <v>32.067510548523209</v>
      </c>
      <c r="Y149" s="439">
        <f>+INPUT!AX91</f>
        <v>-8.3140191359125026</v>
      </c>
      <c r="Z149" s="541">
        <f>+INPUT!AY91</f>
        <v>24.313725490196077</v>
      </c>
      <c r="AA149" s="439">
        <f>+INPUT!AZ91</f>
        <v>69.357674104124413</v>
      </c>
      <c r="AB149" s="541">
        <f>+INPUT!BA91</f>
        <v>28.771929824561404</v>
      </c>
      <c r="AC149" s="439">
        <f>+INPUT!BB91</f>
        <v>9.9830220713073032</v>
      </c>
      <c r="AD149" s="541">
        <f>+INPUT!BC91</f>
        <v>32.1875</v>
      </c>
      <c r="AE149" s="439">
        <f>+INPUT!BD91</f>
        <v>-1.0532407407407334</v>
      </c>
      <c r="AF149" s="541">
        <f>+INPUT!BE91</f>
        <v>24.207492795389047</v>
      </c>
      <c r="AG149" s="439">
        <f>+INPUT!BF91</f>
        <v>-24.510844835431527</v>
      </c>
      <c r="AH149" s="456">
        <f>+INPUT!BG91</f>
        <v>22.408963585434176</v>
      </c>
      <c r="AI149" s="438">
        <f>+INPUT!BH91</f>
        <v>-7.8341013824884698</v>
      </c>
      <c r="AJ149" s="456">
        <f>+INPUT!BI91</f>
        <v>24.538258575197887</v>
      </c>
      <c r="AK149" s="438">
        <f>+INPUT!BJ91</f>
        <v>-14.714589098397596</v>
      </c>
      <c r="AL149" s="456">
        <f>+INPUT!BK91</f>
        <v>23.834196891191709</v>
      </c>
      <c r="AM149" s="438">
        <f>+INPUT!BL91</f>
        <v>-25.952009658433525</v>
      </c>
      <c r="AN149" s="456">
        <f>+INPUT!BM91</f>
        <v>25.879396984924625</v>
      </c>
      <c r="AO149" s="438">
        <f>+INPUT!BN91</f>
        <v>6.9065565924862398</v>
      </c>
      <c r="AP149" s="456">
        <f>+INPUT!BO91</f>
        <v>26.954177897574123</v>
      </c>
      <c r="AQ149" s="438">
        <f>+INPUT!BP91</f>
        <v>20.283018867924511</v>
      </c>
      <c r="AR149" s="456">
        <f>+INPUT!BQ91</f>
        <v>21.823204419889503</v>
      </c>
      <c r="AS149" s="438">
        <f>+INPUT!BR91</f>
        <v>-11.064575536149221</v>
      </c>
      <c r="AT149" s="456">
        <f>+INPUT!BS91</f>
        <v>7.7134986225895315</v>
      </c>
      <c r="AU149" s="438" t="str">
        <f>+INPUT!BT91</f>
        <v>NM</v>
      </c>
      <c r="AV149" s="456">
        <f>+INPUT!BU91</f>
        <v>1.6152716593245229</v>
      </c>
      <c r="AW149" s="438" t="str">
        <f>+INPUT!BV91</f>
        <v>NM</v>
      </c>
      <c r="AX149" s="456">
        <f>+INPUT!BW91</f>
        <v>7.9452054794520555</v>
      </c>
      <c r="AY149" s="438" t="str">
        <f>+INPUT!BX91</f>
        <v>NM</v>
      </c>
      <c r="AZ149" s="456">
        <f>+INPUT!BY91</f>
        <v>61.95652173913043</v>
      </c>
      <c r="BA149" s="438" t="str">
        <f>+INPUT!BZ91</f>
        <v>NM</v>
      </c>
      <c r="BB149" s="456">
        <f>+INPUT!CA91</f>
        <v>48.944337811900191</v>
      </c>
      <c r="BC149" s="438" t="str">
        <f>+INPUT!CB91</f>
        <v>NM</v>
      </c>
      <c r="BD149" s="456">
        <f>+INPUT!CC91</f>
        <v>40.08097165991903</v>
      </c>
      <c r="BE149" s="438" t="str">
        <f>+INPUT!CD91</f>
        <v>NM</v>
      </c>
      <c r="BF149" s="456">
        <f>+INPUT!CE91</f>
        <v>32.987551867219914</v>
      </c>
      <c r="BG149" s="438" t="str">
        <f>+INPUT!CF91</f>
        <v>NM</v>
      </c>
      <c r="BH149" s="456">
        <f>+INPUT!CG91</f>
        <v>21.172022684310019</v>
      </c>
      <c r="BI149" s="438" t="str">
        <f>+INPUT!CH91</f>
        <v>NM</v>
      </c>
      <c r="BJ149" s="456">
        <f>+INPUT!CI91</f>
        <v>63.878326996197721</v>
      </c>
      <c r="BK149" s="438">
        <f>+INPUT!CJ91</f>
        <v>30.512189666741222</v>
      </c>
      <c r="BL149" s="456">
        <f>+INPUT!CK91</f>
        <v>39.968152866242043</v>
      </c>
      <c r="BM149" s="438">
        <f>+INPUT!CL91</f>
        <v>-0.28147719230521773</v>
      </c>
      <c r="BN149" s="456">
        <f>+INPUT!CM91</f>
        <v>39.517345399698343</v>
      </c>
      <c r="BO149" s="438">
        <f>+INPUT!CN91</f>
        <v>19.794720016695621</v>
      </c>
      <c r="BP149" s="456">
        <f>+INPUT!CO91</f>
        <v>18.705035971223023</v>
      </c>
      <c r="BQ149" s="438">
        <f>+INPUT!CP91</f>
        <v>-11.652106885919835</v>
      </c>
      <c r="BR149" s="456">
        <f>+INPUT!CQ91</f>
        <v>-0.54249547920433994</v>
      </c>
      <c r="BS149" s="438" t="str">
        <f>+INPUT!CR91</f>
        <v>NM</v>
      </c>
      <c r="BT149" s="456">
        <f>+INPUT!CS91</f>
        <v>25.364963503649633</v>
      </c>
      <c r="BU149" s="438">
        <f>+INPUT!CT91</f>
        <v>-36.537063425131599</v>
      </c>
      <c r="BV149" s="456">
        <f>+INPUT!CU91</f>
        <v>27.768595041322314</v>
      </c>
      <c r="BW149" s="438">
        <f>+INPUT!CV91</f>
        <v>-29.730616364898125</v>
      </c>
      <c r="BX149" s="456">
        <f>+INPUT!CW91</f>
        <v>18.571428571428573</v>
      </c>
      <c r="BY149" s="438">
        <f>+INPUT!CX91</f>
        <v>-0.7142857142857082</v>
      </c>
      <c r="BZ149" s="456">
        <f>+INPUT!CY91</f>
        <v>49.922958397534664</v>
      </c>
      <c r="CA149" s="438" t="str">
        <f>+INPUT!CZ91</f>
        <v>NM</v>
      </c>
      <c r="CB149" s="456">
        <f>+INPUT!DA91</f>
        <v>11.423841059602649</v>
      </c>
      <c r="CC149" s="438" t="str">
        <f>+INPUT!DB91</f>
        <v>NM</v>
      </c>
      <c r="CD149" s="456">
        <f>+INPUT!DC91</f>
        <v>14.784053156146179</v>
      </c>
      <c r="CE149" s="438">
        <f>+INPUT!DD91</f>
        <v>-46.759808574592633</v>
      </c>
      <c r="CF149" s="456">
        <f>+INPUT!DE91</f>
        <v>0.58365758754863817</v>
      </c>
      <c r="CG149" s="438" t="str">
        <f>+INPUT!DF91</f>
        <v>NM</v>
      </c>
      <c r="CH149" s="456">
        <f>+INPUT!DG91</f>
        <v>43.385214007782103</v>
      </c>
      <c r="CI149" s="438">
        <f>+INPUT!DH91</f>
        <v>-13.095667002930284</v>
      </c>
      <c r="CJ149" s="456">
        <f>+INPUT!DI91</f>
        <v>4.7970479704797047</v>
      </c>
      <c r="CK149" s="438" t="str">
        <f>+INPUT!DJ91</f>
        <v>NM</v>
      </c>
      <c r="CL149" s="456">
        <f>+INPUT!DK91</f>
        <v>-1.1627906976744187</v>
      </c>
      <c r="CM149" s="438" t="str">
        <f>+INPUT!DL91</f>
        <v>NM</v>
      </c>
      <c r="CN149" s="456">
        <f>+INPUT!DM91</f>
        <v>0.54347826086956519</v>
      </c>
      <c r="CO149" s="438">
        <f>+INPUT!DN91</f>
        <v>-6.8840579710144993</v>
      </c>
      <c r="CP149" s="456">
        <f>+INPUT!DO91</f>
        <v>-2.5316455696202533</v>
      </c>
      <c r="CQ149" s="438" t="str">
        <f>+INPUT!DP91</f>
        <v>NM</v>
      </c>
      <c r="CR149" s="456">
        <f>+INPUT!DQ91</f>
        <v>-5</v>
      </c>
      <c r="CS149" s="438" t="str">
        <f>+INPUT!DR91</f>
        <v>NM</v>
      </c>
      <c r="CT149" s="456">
        <f>+INPUT!DS91</f>
        <v>3.8167938931297711</v>
      </c>
      <c r="CU149" s="438" t="str">
        <f>+INPUT!DT91</f>
        <v>NM</v>
      </c>
      <c r="CV149" s="456">
        <f>+INPUT!DU91</f>
        <v>3.6832412523020261</v>
      </c>
      <c r="CW149" s="438" t="str">
        <f>+INPUT!DV91</f>
        <v>NM</v>
      </c>
      <c r="CX149" s="456">
        <f>+INPUT!DW91</f>
        <v>-11.281070745697896</v>
      </c>
      <c r="CY149" s="438" t="str">
        <f>+INPUT!DX91</f>
        <v>NM</v>
      </c>
      <c r="CZ149" s="456">
        <f>+INPUT!DY91</f>
        <v>-3.0360531309297913</v>
      </c>
      <c r="DA149" s="438">
        <f>+INPUT!DZ91</f>
        <v>-39.278937381404177</v>
      </c>
      <c r="DB149" s="456">
        <f>+INPUT!EA91</f>
        <v>-8.6614173228346463</v>
      </c>
      <c r="DC149" s="438" t="str">
        <f>+INPUT!EB91</f>
        <v>NM</v>
      </c>
      <c r="DD149" s="456">
        <f>+INPUT!EC91</f>
        <v>-0.93109869646182497</v>
      </c>
      <c r="DE149" s="438" t="str">
        <f>+INPUT!ED91</f>
        <v>NM</v>
      </c>
      <c r="DF149" s="456">
        <f>+INPUT!EE91</f>
        <v>3.8240917782026771</v>
      </c>
      <c r="DG149" s="438" t="str">
        <f>+INPUT!EF91</f>
        <v>NM</v>
      </c>
      <c r="DH149" s="456">
        <f>+INPUT!EG91</f>
        <v>-9.0733590733590734</v>
      </c>
      <c r="DI149" s="438" t="str">
        <f>+INPUT!EH91</f>
        <v>NM</v>
      </c>
      <c r="DJ149" s="456">
        <f>+INPUT!EI91</f>
        <v>-9.6267190569744603</v>
      </c>
      <c r="DK149" s="438">
        <f>+INPUT!EJ91</f>
        <v>11.144847294159675</v>
      </c>
      <c r="DL149" s="456">
        <f>+INPUT!EK91</f>
        <v>-4.3392504930966469</v>
      </c>
      <c r="DM149" s="438" t="str">
        <f>+INPUT!EL91</f>
        <v>NM</v>
      </c>
      <c r="DN149" s="456">
        <f>+INPUT!EM91</f>
        <v>-9.1093117408906874</v>
      </c>
      <c r="DO149" s="438" t="str">
        <f>+INPUT!EN91</f>
        <v>NM</v>
      </c>
      <c r="DP149" s="456">
        <f>+INPUT!EO91</f>
        <v>-6.3670411985018731</v>
      </c>
      <c r="DQ149" s="438">
        <f>+INPUT!EP91</f>
        <v>-29.827077854809147</v>
      </c>
      <c r="DR149" s="456">
        <f>+INPUT!EQ91</f>
        <v>-9.5</v>
      </c>
      <c r="DS149" s="438">
        <f>+INPUT!ER91</f>
        <v>-1.3163265306122582</v>
      </c>
      <c r="DT149" s="456">
        <f>+INPUT!ES91</f>
        <v>-9.5</v>
      </c>
      <c r="DU149" s="438" t="str">
        <f>+INPUT!ET91</f>
        <v>NM</v>
      </c>
      <c r="DV149" s="456">
        <f>+INPUT!EU91</f>
        <v>-9.5</v>
      </c>
      <c r="DW149" s="438">
        <f>+INPUT!EV91</f>
        <v>4.2888888888888914</v>
      </c>
      <c r="DX149" s="456">
        <f>+INPUT!EW91</f>
        <v>-9.5</v>
      </c>
      <c r="DY149" s="438">
        <f>+INPUT!EX91</f>
        <v>49.20588235294116</v>
      </c>
      <c r="DZ149" s="456"/>
      <c r="EA149" s="438"/>
      <c r="EB149" s="439" t="str">
        <f>+INPUT!FI91</f>
        <v>NM</v>
      </c>
      <c r="EC149" s="541">
        <f>+INPUT!FJ91</f>
        <v>-34.020618556701031</v>
      </c>
      <c r="ED149" s="439" t="str">
        <f>+INPUT!FK91</f>
        <v>NM</v>
      </c>
      <c r="EE149" s="541">
        <f>+INPUT!FL91</f>
        <v>35.256410256410255</v>
      </c>
      <c r="EF149" s="439" t="str">
        <f>+INPUT!FM91</f>
        <v>NM</v>
      </c>
      <c r="EG149" s="541">
        <f>+INPUT!FN91</f>
        <v>28.113440197287296</v>
      </c>
      <c r="EH149" s="439">
        <f>+INPUT!FO91</f>
        <v>-20.260060531330566</v>
      </c>
      <c r="EI149" s="541">
        <f>+INPUT!FP91</f>
        <v>26.810810810810811</v>
      </c>
      <c r="EJ149" s="438">
        <f>+INPUT!FQ91</f>
        <v>-4.6334755808439922</v>
      </c>
      <c r="EK149" s="456">
        <f>+INPUT!FR91</f>
        <v>27.423363711681858</v>
      </c>
      <c r="EL149" s="438">
        <f>+INPUT!FS91</f>
        <v>2.2847235213940422</v>
      </c>
      <c r="EM149" s="456">
        <f>+INPUT!FT91</f>
        <v>24.210526315789473</v>
      </c>
      <c r="EN149" s="438">
        <f>+INPUT!FU91</f>
        <v>-11.715694069009402</v>
      </c>
      <c r="EO149" s="456">
        <f>+INPUT!FV91</f>
        <v>0</v>
      </c>
      <c r="EP149" s="438" t="str">
        <f>+INPUT!FW91</f>
        <v>NM</v>
      </c>
      <c r="EQ149" s="456">
        <f>+INPUT!FX91</f>
        <v>35.755148741418765</v>
      </c>
      <c r="ER149" s="438" t="str">
        <f>+INPUT!FY91</f>
        <v>NA</v>
      </c>
      <c r="ES149" s="456">
        <f>+INPUT!FZ91</f>
        <v>39.630484988452658</v>
      </c>
      <c r="ET149" s="438">
        <f>+INPUT!GA91</f>
        <v>10.838540415704401</v>
      </c>
      <c r="EU149" s="456">
        <f>+INPUT!GB91</f>
        <v>21.637931034482758</v>
      </c>
      <c r="EV149" s="438">
        <f>+INPUT!GC91</f>
        <v>-45.400791736998634</v>
      </c>
      <c r="EW149" s="456">
        <f>+INPUT!GD91</f>
        <v>27.2508038585209</v>
      </c>
      <c r="EX149" s="438">
        <f>+INPUT!GE91</f>
        <v>25.939970023443209</v>
      </c>
      <c r="EY149" s="456">
        <f>+INPUT!GF91</f>
        <v>15.699815837937384</v>
      </c>
      <c r="EZ149" s="438">
        <f>+INPUT!GG91</f>
        <v>-42.387696453114728</v>
      </c>
      <c r="FA149" s="456">
        <f>+INPUT!GH91</f>
        <v>-2.0632737276478679</v>
      </c>
      <c r="FB149" s="438" t="str">
        <f>+INPUT!GI91</f>
        <v>NM</v>
      </c>
      <c r="FC149" s="456">
        <f>+INPUT!GJ91</f>
        <v>-1.6532829475673121</v>
      </c>
      <c r="FD149" s="438">
        <f>+INPUT!GK91</f>
        <v>-19.870886474570938</v>
      </c>
      <c r="FE149" s="456">
        <f>+INPUT!GL91</f>
        <v>-3.6433365292425699</v>
      </c>
      <c r="FF149" s="438" t="str">
        <f>+INPUT!GM91</f>
        <v>NM</v>
      </c>
      <c r="FG149" s="456">
        <f>+INPUT!GN91</f>
        <v>-7.3385518590998036</v>
      </c>
      <c r="FH149" s="438" t="str">
        <f>+INPUT!GO91</f>
        <v>NM</v>
      </c>
      <c r="FI149" s="456">
        <f>+INPUT!GP91</f>
        <v>-9.4999999999999982</v>
      </c>
      <c r="FJ149" s="438">
        <f>+INPUT!GQ91</f>
        <v>29.453333333333319</v>
      </c>
      <c r="FK149" s="456">
        <f>+INPUT!GR91</f>
        <v>-9.4999999999999982</v>
      </c>
      <c r="FL149" s="438">
        <f>+INPUT!GS91</f>
        <v>0</v>
      </c>
      <c r="FM149" s="456">
        <f>+INPUT!GT91</f>
        <v>-9.4999999999999982</v>
      </c>
      <c r="FN149" s="438">
        <f>+INPUT!GU91</f>
        <v>0</v>
      </c>
      <c r="FO149" s="456">
        <f>+INPUT!GV91</f>
        <v>-9.4999999999999982</v>
      </c>
      <c r="FP149" s="438">
        <f>+INPUT!GW91</f>
        <v>0</v>
      </c>
      <c r="FQ149" s="456">
        <f>+INPUT!GX91</f>
        <v>-9.4999999999999982</v>
      </c>
      <c r="FR149" s="438">
        <f>+INPUT!GY91</f>
        <v>0</v>
      </c>
      <c r="FS149" s="438">
        <f>+INPUT!GZ91</f>
        <v>5.2986122412075343</v>
      </c>
    </row>
    <row r="150" spans="1:176" s="529" customFormat="1" ht="12.75" hidden="1" customHeight="1" outlineLevel="1" x14ac:dyDescent="0.2">
      <c r="A150" s="441"/>
      <c r="B150" s="449"/>
      <c r="C150" s="439"/>
      <c r="D150" s="456"/>
      <c r="E150" s="439"/>
      <c r="F150" s="456"/>
      <c r="G150" s="439"/>
      <c r="H150" s="456"/>
      <c r="I150" s="439"/>
      <c r="J150" s="449"/>
      <c r="K150" s="439"/>
      <c r="L150" s="456"/>
      <c r="M150" s="439"/>
      <c r="N150" s="456"/>
      <c r="O150" s="439"/>
      <c r="P150" s="456"/>
      <c r="Q150" s="439"/>
      <c r="R150" s="456"/>
      <c r="S150" s="439"/>
      <c r="T150" s="456"/>
      <c r="U150" s="439"/>
      <c r="V150" s="456"/>
      <c r="W150" s="439"/>
      <c r="X150" s="456"/>
      <c r="Y150" s="439"/>
      <c r="Z150" s="456"/>
      <c r="AA150" s="439"/>
      <c r="AB150" s="456"/>
      <c r="AC150" s="439"/>
      <c r="AD150" s="456"/>
      <c r="AE150" s="439"/>
      <c r="AF150" s="456"/>
      <c r="AG150" s="439"/>
      <c r="AH150" s="456"/>
      <c r="AI150" s="438"/>
      <c r="AJ150" s="456"/>
      <c r="AK150" s="438"/>
      <c r="AL150" s="456"/>
      <c r="AM150" s="438"/>
      <c r="AN150" s="456"/>
      <c r="AO150" s="438"/>
      <c r="AP150" s="456"/>
      <c r="AQ150" s="438"/>
      <c r="AR150" s="456"/>
      <c r="AS150" s="438"/>
      <c r="AT150" s="456"/>
      <c r="AU150" s="438"/>
      <c r="AV150" s="456"/>
      <c r="AW150" s="438"/>
      <c r="AX150" s="456"/>
      <c r="AY150" s="438"/>
      <c r="AZ150" s="456"/>
      <c r="BA150" s="438"/>
      <c r="BB150" s="456"/>
      <c r="BC150" s="438"/>
      <c r="BD150" s="456"/>
      <c r="BE150" s="438"/>
      <c r="BF150" s="456"/>
      <c r="BG150" s="438"/>
      <c r="BH150" s="456"/>
      <c r="BI150" s="438"/>
      <c r="BJ150" s="456"/>
      <c r="BK150" s="438"/>
      <c r="BL150" s="456"/>
      <c r="BM150" s="438"/>
      <c r="BN150" s="456"/>
      <c r="BO150" s="438"/>
      <c r="BP150" s="456"/>
      <c r="BQ150" s="438"/>
      <c r="BR150" s="456"/>
      <c r="BS150" s="438"/>
      <c r="BT150" s="456"/>
      <c r="BU150" s="438"/>
      <c r="BV150" s="456"/>
      <c r="BW150" s="438"/>
      <c r="BX150" s="456"/>
      <c r="BY150" s="438"/>
      <c r="BZ150" s="456"/>
      <c r="CA150" s="438"/>
      <c r="CB150" s="456"/>
      <c r="CC150" s="438"/>
      <c r="CD150" s="456"/>
      <c r="CE150" s="438"/>
      <c r="CF150" s="456"/>
      <c r="CG150" s="438"/>
      <c r="CH150" s="456"/>
      <c r="CI150" s="438"/>
      <c r="CJ150" s="456"/>
      <c r="CK150" s="438"/>
      <c r="CL150" s="456"/>
      <c r="CM150" s="438"/>
      <c r="CN150" s="456"/>
      <c r="CO150" s="438"/>
      <c r="CP150" s="456"/>
      <c r="CQ150" s="438"/>
      <c r="CR150" s="456"/>
      <c r="CS150" s="438"/>
      <c r="CT150" s="456"/>
      <c r="CU150" s="438"/>
      <c r="CV150" s="456"/>
      <c r="CW150" s="438"/>
      <c r="CX150" s="456"/>
      <c r="CY150" s="438"/>
      <c r="CZ150" s="456"/>
      <c r="DA150" s="438"/>
      <c r="DB150" s="456"/>
      <c r="DC150" s="438"/>
      <c r="DD150" s="456"/>
      <c r="DE150" s="438"/>
      <c r="DF150" s="456"/>
      <c r="DG150" s="438"/>
      <c r="DH150" s="456"/>
      <c r="DI150" s="438"/>
      <c r="DJ150" s="456"/>
      <c r="DK150" s="438"/>
      <c r="DL150" s="456"/>
      <c r="DM150" s="438"/>
      <c r="DN150" s="456"/>
      <c r="DO150" s="438"/>
      <c r="DP150" s="456"/>
      <c r="DQ150" s="438"/>
      <c r="DR150" s="456"/>
      <c r="DS150" s="438"/>
      <c r="DT150" s="456"/>
      <c r="DU150" s="438"/>
      <c r="DV150" s="456"/>
      <c r="DW150" s="438"/>
      <c r="DX150" s="456"/>
      <c r="DY150" s="438"/>
      <c r="DZ150" s="456"/>
      <c r="EA150" s="438"/>
      <c r="EB150" s="439"/>
      <c r="EC150" s="456"/>
      <c r="ED150" s="439"/>
      <c r="EE150" s="456"/>
      <c r="EF150" s="439"/>
      <c r="EG150" s="456"/>
      <c r="EH150" s="439"/>
      <c r="EI150" s="456"/>
      <c r="EJ150" s="438"/>
      <c r="EK150" s="456"/>
      <c r="EL150" s="438"/>
      <c r="EM150" s="456"/>
      <c r="EN150" s="438"/>
      <c r="EO150" s="456"/>
      <c r="EP150" s="438"/>
      <c r="EQ150" s="456"/>
      <c r="ER150" s="438"/>
      <c r="ES150" s="456"/>
      <c r="ET150" s="438"/>
      <c r="EU150" s="456"/>
      <c r="EV150" s="438"/>
      <c r="EW150" s="456"/>
      <c r="EX150" s="438"/>
      <c r="EY150" s="456"/>
      <c r="EZ150" s="438"/>
      <c r="FA150" s="456"/>
      <c r="FB150" s="438"/>
      <c r="FC150" s="456"/>
      <c r="FD150" s="438"/>
      <c r="FE150" s="456"/>
      <c r="FF150" s="438"/>
      <c r="FG150" s="456"/>
      <c r="FH150" s="438"/>
      <c r="FI150" s="456"/>
      <c r="FJ150" s="438"/>
      <c r="FK150" s="456"/>
      <c r="FL150" s="438"/>
      <c r="FM150" s="456"/>
      <c r="FN150" s="438"/>
      <c r="FO150" s="456"/>
      <c r="FP150" s="438"/>
      <c r="FQ150" s="456"/>
      <c r="FR150" s="438"/>
      <c r="FS150" s="438"/>
    </row>
    <row r="151" spans="1:176" s="529" customFormat="1" ht="12.75" hidden="1" customHeight="1" outlineLevel="1" x14ac:dyDescent="0.2">
      <c r="A151" s="485" t="s">
        <v>507</v>
      </c>
      <c r="B151" s="457"/>
      <c r="C151" s="439"/>
      <c r="D151" s="457"/>
      <c r="E151" s="439"/>
      <c r="F151" s="457"/>
      <c r="G151" s="439"/>
      <c r="H151" s="457"/>
      <c r="I151" s="439"/>
      <c r="J151" s="457"/>
      <c r="K151" s="439"/>
      <c r="L151" s="457"/>
      <c r="M151" s="439"/>
      <c r="N151" s="457"/>
      <c r="O151" s="439"/>
      <c r="P151" s="457"/>
      <c r="Q151" s="439"/>
      <c r="R151" s="457"/>
      <c r="S151" s="439"/>
      <c r="T151" s="457"/>
      <c r="U151" s="439"/>
      <c r="V151" s="457"/>
      <c r="W151" s="439"/>
      <c r="X151" s="457"/>
      <c r="Y151" s="439"/>
      <c r="Z151" s="457"/>
      <c r="AA151" s="439"/>
      <c r="AB151" s="457"/>
      <c r="AC151" s="439"/>
      <c r="AD151" s="457"/>
      <c r="AE151" s="439"/>
      <c r="AF151" s="457"/>
      <c r="AG151" s="439"/>
      <c r="AH151" s="457"/>
      <c r="AI151" s="438"/>
      <c r="AJ151" s="457"/>
      <c r="AK151" s="438"/>
      <c r="AL151" s="457"/>
      <c r="AM151" s="438"/>
      <c r="AN151" s="457"/>
      <c r="AO151" s="438"/>
      <c r="AP151" s="457"/>
      <c r="AQ151" s="438"/>
      <c r="AR151" s="457"/>
      <c r="AS151" s="438"/>
      <c r="AT151" s="457"/>
      <c r="AU151" s="438"/>
      <c r="AV151" s="457"/>
      <c r="AW151" s="438"/>
      <c r="AX151" s="457"/>
      <c r="AY151" s="438"/>
      <c r="AZ151" s="457"/>
      <c r="BA151" s="438"/>
      <c r="BB151" s="457"/>
      <c r="BC151" s="438"/>
      <c r="BD151" s="457"/>
      <c r="BE151" s="438"/>
      <c r="BF151" s="457"/>
      <c r="BG151" s="438"/>
      <c r="BH151" s="457"/>
      <c r="BI151" s="438"/>
      <c r="BJ151" s="457"/>
      <c r="BK151" s="438"/>
      <c r="BL151" s="457"/>
      <c r="BM151" s="438"/>
      <c r="BN151" s="457"/>
      <c r="BO151" s="438"/>
      <c r="BP151" s="457"/>
      <c r="BQ151" s="438"/>
      <c r="BR151" s="457"/>
      <c r="BS151" s="438"/>
      <c r="BT151" s="457"/>
      <c r="BU151" s="438"/>
      <c r="BV151" s="457"/>
      <c r="BW151" s="438"/>
      <c r="BX151" s="457"/>
      <c r="BY151" s="438"/>
      <c r="BZ151" s="457"/>
      <c r="CA151" s="438"/>
      <c r="CB151" s="457"/>
      <c r="CC151" s="438"/>
      <c r="CD151" s="457"/>
      <c r="CE151" s="438"/>
      <c r="CF151" s="457"/>
      <c r="CG151" s="438"/>
      <c r="CH151" s="457"/>
      <c r="CI151" s="438"/>
      <c r="CJ151" s="457"/>
      <c r="CK151" s="438"/>
      <c r="CL151" s="457"/>
      <c r="CM151" s="438"/>
      <c r="CN151" s="457"/>
      <c r="CO151" s="438"/>
      <c r="CP151" s="457"/>
      <c r="CQ151" s="438"/>
      <c r="CR151" s="457"/>
      <c r="CS151" s="438"/>
      <c r="CT151" s="457"/>
      <c r="CU151" s="438"/>
      <c r="CV151" s="457"/>
      <c r="CW151" s="438"/>
      <c r="CX151" s="457"/>
      <c r="CY151" s="438"/>
      <c r="CZ151" s="457"/>
      <c r="DA151" s="438"/>
      <c r="DB151" s="457"/>
      <c r="DC151" s="438"/>
      <c r="DD151" s="457"/>
      <c r="DE151" s="438"/>
      <c r="DF151" s="457"/>
      <c r="DG151" s="438"/>
      <c r="DH151" s="457"/>
      <c r="DI151" s="438"/>
      <c r="DJ151" s="457"/>
      <c r="DK151" s="438"/>
      <c r="DL151" s="457"/>
      <c r="DM151" s="438"/>
      <c r="DN151" s="457"/>
      <c r="DO151" s="438"/>
      <c r="DP151" s="457"/>
      <c r="DQ151" s="438"/>
      <c r="DR151" s="457"/>
      <c r="DS151" s="438"/>
      <c r="DT151" s="457"/>
      <c r="DU151" s="438"/>
      <c r="DV151" s="457"/>
      <c r="DW151" s="438"/>
      <c r="DX151" s="457"/>
      <c r="DY151" s="438"/>
      <c r="DZ151" s="457"/>
      <c r="EA151" s="438"/>
      <c r="EB151" s="439"/>
      <c r="EC151" s="457"/>
      <c r="ED151" s="439"/>
      <c r="EE151" s="457"/>
      <c r="EF151" s="439"/>
      <c r="EG151" s="457"/>
      <c r="EH151" s="439"/>
      <c r="EI151" s="457"/>
      <c r="EJ151" s="438"/>
      <c r="EK151" s="457"/>
      <c r="EL151" s="438"/>
      <c r="EM151" s="457"/>
      <c r="EN151" s="438"/>
      <c r="EO151" s="457"/>
      <c r="EP151" s="438"/>
      <c r="EQ151" s="457"/>
      <c r="ER151" s="438"/>
      <c r="ES151" s="457"/>
      <c r="ET151" s="438"/>
      <c r="EU151" s="457"/>
      <c r="EV151" s="438"/>
      <c r="EW151" s="457"/>
      <c r="EX151" s="438"/>
      <c r="EY151" s="457"/>
      <c r="EZ151" s="438"/>
      <c r="FA151" s="457"/>
      <c r="FB151" s="438"/>
      <c r="FC151" s="457"/>
      <c r="FD151" s="438"/>
      <c r="FE151" s="457"/>
      <c r="FF151" s="438"/>
      <c r="FG151" s="457"/>
      <c r="FH151" s="438"/>
      <c r="FI151" s="457"/>
      <c r="FJ151" s="438"/>
      <c r="FK151" s="457"/>
      <c r="FL151" s="438"/>
      <c r="FM151" s="457"/>
      <c r="FN151" s="438"/>
      <c r="FO151" s="457"/>
      <c r="FP151" s="438"/>
      <c r="FQ151" s="457"/>
      <c r="FR151" s="438"/>
      <c r="FS151" s="438"/>
    </row>
    <row r="152" spans="1:176" s="529" customFormat="1" ht="12.75" hidden="1" customHeight="1" outlineLevel="1" x14ac:dyDescent="0.2">
      <c r="A152" s="485" t="s">
        <v>44</v>
      </c>
      <c r="B152" s="449"/>
      <c r="C152" s="439"/>
      <c r="D152" s="449"/>
      <c r="E152" s="439"/>
      <c r="F152" s="449"/>
      <c r="G152" s="439"/>
      <c r="H152" s="449"/>
      <c r="I152" s="439"/>
      <c r="J152" s="449"/>
      <c r="K152" s="439"/>
      <c r="L152" s="449"/>
      <c r="M152" s="439"/>
      <c r="N152" s="449"/>
      <c r="O152" s="439"/>
      <c r="P152" s="449"/>
      <c r="Q152" s="439"/>
      <c r="R152" s="449"/>
      <c r="S152" s="439"/>
      <c r="T152" s="449"/>
      <c r="U152" s="439"/>
      <c r="V152" s="449"/>
      <c r="W152" s="439"/>
      <c r="X152" s="449"/>
      <c r="Y152" s="439"/>
      <c r="Z152" s="449"/>
      <c r="AA152" s="439"/>
      <c r="AB152" s="449"/>
      <c r="AC152" s="439"/>
      <c r="AD152" s="449"/>
      <c r="AE152" s="439"/>
      <c r="AF152" s="449"/>
      <c r="AG152" s="439"/>
      <c r="AH152" s="449"/>
      <c r="AI152" s="438"/>
      <c r="AJ152" s="449"/>
      <c r="AK152" s="438"/>
      <c r="AL152" s="449"/>
      <c r="AM152" s="438"/>
      <c r="AN152" s="449"/>
      <c r="AO152" s="438"/>
      <c r="AP152" s="449"/>
      <c r="AQ152" s="438"/>
      <c r="AR152" s="449"/>
      <c r="AS152" s="438"/>
      <c r="AT152" s="449"/>
      <c r="AU152" s="438"/>
      <c r="AV152" s="449"/>
      <c r="AW152" s="438"/>
      <c r="AX152" s="449"/>
      <c r="AY152" s="438"/>
      <c r="AZ152" s="449"/>
      <c r="BA152" s="438"/>
      <c r="BB152" s="449"/>
      <c r="BC152" s="438"/>
      <c r="BD152" s="449"/>
      <c r="BE152" s="438"/>
      <c r="BF152" s="449"/>
      <c r="BG152" s="438"/>
      <c r="BH152" s="449"/>
      <c r="BI152" s="438"/>
      <c r="BJ152" s="449"/>
      <c r="BK152" s="438"/>
      <c r="BL152" s="449"/>
      <c r="BM152" s="438"/>
      <c r="BN152" s="449"/>
      <c r="BO152" s="438"/>
      <c r="BP152" s="449"/>
      <c r="BQ152" s="438"/>
      <c r="BR152" s="449"/>
      <c r="BS152" s="438"/>
      <c r="BT152" s="449"/>
      <c r="BU152" s="438"/>
      <c r="BV152" s="449"/>
      <c r="BW152" s="438"/>
      <c r="BX152" s="449"/>
      <c r="BY152" s="438"/>
      <c r="BZ152" s="449"/>
      <c r="CA152" s="438"/>
      <c r="CB152" s="449"/>
      <c r="CC152" s="438"/>
      <c r="CD152" s="449"/>
      <c r="CE152" s="438"/>
      <c r="CF152" s="449"/>
      <c r="CG152" s="438"/>
      <c r="CH152" s="449"/>
      <c r="CI152" s="438"/>
      <c r="CJ152" s="449"/>
      <c r="CK152" s="438"/>
      <c r="CL152" s="449"/>
      <c r="CM152" s="438"/>
      <c r="CN152" s="449"/>
      <c r="CO152" s="438"/>
      <c r="CP152" s="449"/>
      <c r="CQ152" s="438"/>
      <c r="CR152" s="449"/>
      <c r="CS152" s="438"/>
      <c r="CT152" s="449"/>
      <c r="CU152" s="438"/>
      <c r="CV152" s="449"/>
      <c r="CW152" s="438"/>
      <c r="CX152" s="449"/>
      <c r="CY152" s="438"/>
      <c r="CZ152" s="449"/>
      <c r="DA152" s="438"/>
      <c r="DB152" s="449"/>
      <c r="DC152" s="438"/>
      <c r="DD152" s="449"/>
      <c r="DE152" s="438"/>
      <c r="DF152" s="449"/>
      <c r="DG152" s="438"/>
      <c r="DH152" s="449"/>
      <c r="DI152" s="438"/>
      <c r="DJ152" s="449"/>
      <c r="DK152" s="438"/>
      <c r="DL152" s="449"/>
      <c r="DM152" s="438"/>
      <c r="DN152" s="449"/>
      <c r="DO152" s="438"/>
      <c r="DP152" s="449"/>
      <c r="DQ152" s="438"/>
      <c r="DR152" s="449"/>
      <c r="DS152" s="438"/>
      <c r="DT152" s="449"/>
      <c r="DU152" s="438"/>
      <c r="DV152" s="449"/>
      <c r="DW152" s="438"/>
      <c r="DX152" s="449"/>
      <c r="DY152" s="438"/>
      <c r="DZ152" s="449"/>
      <c r="EA152" s="438"/>
      <c r="EB152" s="439"/>
      <c r="EC152" s="449"/>
      <c r="ED152" s="439"/>
      <c r="EE152" s="449"/>
      <c r="EF152" s="439"/>
      <c r="EG152" s="449"/>
      <c r="EH152" s="439"/>
      <c r="EI152" s="449"/>
      <c r="EJ152" s="438"/>
      <c r="EK152" s="449"/>
      <c r="EL152" s="438"/>
      <c r="EM152" s="449"/>
      <c r="EN152" s="438"/>
      <c r="EO152" s="449"/>
      <c r="EP152" s="438"/>
      <c r="EQ152" s="449"/>
      <c r="ER152" s="438"/>
      <c r="ES152" s="449"/>
      <c r="ET152" s="438"/>
      <c r="EU152" s="449"/>
      <c r="EV152" s="438"/>
      <c r="EW152" s="449"/>
      <c r="EX152" s="438"/>
      <c r="EY152" s="449"/>
      <c r="EZ152" s="438"/>
      <c r="FA152" s="449"/>
      <c r="FB152" s="438"/>
      <c r="FC152" s="449"/>
      <c r="FD152" s="438"/>
      <c r="FE152" s="449"/>
      <c r="FF152" s="438"/>
      <c r="FG152" s="449"/>
      <c r="FH152" s="438"/>
      <c r="FI152" s="449"/>
      <c r="FJ152" s="438"/>
      <c r="FK152" s="449"/>
      <c r="FL152" s="438"/>
      <c r="FM152" s="449"/>
      <c r="FN152" s="438"/>
      <c r="FO152" s="449"/>
      <c r="FP152" s="438"/>
      <c r="FQ152" s="449"/>
      <c r="FR152" s="438"/>
      <c r="FS152" s="438"/>
    </row>
    <row r="153" spans="1:176" s="529" customFormat="1" ht="12.75" hidden="1" customHeight="1" outlineLevel="1" x14ac:dyDescent="0.2">
      <c r="A153" s="485"/>
      <c r="B153" s="449"/>
      <c r="C153" s="439"/>
      <c r="D153" s="449"/>
      <c r="E153" s="439"/>
      <c r="F153" s="449"/>
      <c r="G153" s="439"/>
      <c r="H153" s="449"/>
      <c r="I153" s="439"/>
      <c r="J153" s="449"/>
      <c r="K153" s="439"/>
      <c r="L153" s="449"/>
      <c r="M153" s="439"/>
      <c r="N153" s="449"/>
      <c r="O153" s="439"/>
      <c r="P153" s="449"/>
      <c r="Q153" s="439"/>
      <c r="R153" s="449"/>
      <c r="S153" s="439"/>
      <c r="T153" s="449"/>
      <c r="U153" s="439"/>
      <c r="V153" s="449"/>
      <c r="W153" s="439"/>
      <c r="X153" s="449"/>
      <c r="Y153" s="439"/>
      <c r="Z153" s="449"/>
      <c r="AA153" s="439"/>
      <c r="AB153" s="449"/>
      <c r="AC153" s="439"/>
      <c r="AD153" s="449"/>
      <c r="AE153" s="439"/>
      <c r="AF153" s="449"/>
      <c r="AG153" s="439"/>
      <c r="AH153" s="449"/>
      <c r="AI153" s="438"/>
      <c r="AJ153" s="449"/>
      <c r="AK153" s="438"/>
      <c r="AL153" s="449"/>
      <c r="AM153" s="438"/>
      <c r="AN153" s="449"/>
      <c r="AO153" s="438"/>
      <c r="AP153" s="449"/>
      <c r="AQ153" s="438"/>
      <c r="AR153" s="449"/>
      <c r="AS153" s="438"/>
      <c r="AT153" s="449"/>
      <c r="AU153" s="438"/>
      <c r="AV153" s="449"/>
      <c r="AW153" s="438"/>
      <c r="AX153" s="449"/>
      <c r="AY153" s="438"/>
      <c r="AZ153" s="449"/>
      <c r="BA153" s="438"/>
      <c r="BB153" s="449"/>
      <c r="BC153" s="438"/>
      <c r="BD153" s="449"/>
      <c r="BE153" s="438"/>
      <c r="BF153" s="449"/>
      <c r="BG153" s="438"/>
      <c r="BH153" s="449"/>
      <c r="BI153" s="438"/>
      <c r="BJ153" s="449"/>
      <c r="BK153" s="438"/>
      <c r="BL153" s="449"/>
      <c r="BM153" s="438"/>
      <c r="BN153" s="449"/>
      <c r="BO153" s="438"/>
      <c r="BP153" s="449"/>
      <c r="BQ153" s="438"/>
      <c r="BR153" s="449"/>
      <c r="BS153" s="438"/>
      <c r="BT153" s="449"/>
      <c r="BU153" s="438"/>
      <c r="BV153" s="449"/>
      <c r="BW153" s="438"/>
      <c r="BX153" s="449"/>
      <c r="BY153" s="438"/>
      <c r="BZ153" s="449"/>
      <c r="CA153" s="438"/>
      <c r="CB153" s="449"/>
      <c r="CC153" s="438"/>
      <c r="CD153" s="449"/>
      <c r="CE153" s="438"/>
      <c r="CF153" s="449"/>
      <c r="CG153" s="438"/>
      <c r="CH153" s="449"/>
      <c r="CI153" s="438"/>
      <c r="CJ153" s="449"/>
      <c r="CK153" s="438"/>
      <c r="CL153" s="449"/>
      <c r="CM153" s="438"/>
      <c r="CN153" s="449"/>
      <c r="CO153" s="438"/>
      <c r="CP153" s="449"/>
      <c r="CQ153" s="438"/>
      <c r="CR153" s="449"/>
      <c r="CS153" s="438"/>
      <c r="CT153" s="449"/>
      <c r="CU153" s="438"/>
      <c r="CV153" s="449"/>
      <c r="CW153" s="438"/>
      <c r="CX153" s="449"/>
      <c r="CY153" s="438"/>
      <c r="CZ153" s="449"/>
      <c r="DA153" s="438"/>
      <c r="DB153" s="449"/>
      <c r="DC153" s="438"/>
      <c r="DD153" s="449"/>
      <c r="DE153" s="438"/>
      <c r="DF153" s="449"/>
      <c r="DG153" s="438"/>
      <c r="DH153" s="449"/>
      <c r="DI153" s="438"/>
      <c r="DJ153" s="449"/>
      <c r="DK153" s="438"/>
      <c r="DL153" s="449"/>
      <c r="DM153" s="438"/>
      <c r="DN153" s="449"/>
      <c r="DO153" s="438"/>
      <c r="DP153" s="449"/>
      <c r="DQ153" s="438"/>
      <c r="DR153" s="449"/>
      <c r="DS153" s="438"/>
      <c r="DT153" s="449"/>
      <c r="DU153" s="438"/>
      <c r="DV153" s="449"/>
      <c r="DW153" s="438"/>
      <c r="DX153" s="449"/>
      <c r="DY153" s="438"/>
      <c r="DZ153" s="449"/>
      <c r="EA153" s="438"/>
      <c r="EB153" s="439"/>
      <c r="EC153" s="449"/>
      <c r="ED153" s="439"/>
      <c r="EE153" s="449"/>
      <c r="EF153" s="439"/>
      <c r="EG153" s="449"/>
      <c r="EH153" s="439"/>
      <c r="EI153" s="449"/>
      <c r="EJ153" s="438"/>
      <c r="EK153" s="449"/>
      <c r="EL153" s="438"/>
      <c r="EM153" s="449"/>
      <c r="EN153" s="438"/>
      <c r="EO153" s="449"/>
      <c r="EP153" s="438"/>
      <c r="EQ153" s="449"/>
      <c r="ER153" s="438"/>
      <c r="ES153" s="449"/>
      <c r="ET153" s="438"/>
      <c r="EU153" s="449"/>
      <c r="EV153" s="438"/>
      <c r="EW153" s="449"/>
      <c r="EX153" s="438"/>
      <c r="EY153" s="449"/>
      <c r="EZ153" s="438"/>
      <c r="FA153" s="449"/>
      <c r="FB153" s="438"/>
      <c r="FC153" s="449"/>
      <c r="FD153" s="438"/>
      <c r="FE153" s="449"/>
      <c r="FF153" s="438"/>
      <c r="FG153" s="449"/>
      <c r="FH153" s="438"/>
      <c r="FI153" s="449"/>
      <c r="FJ153" s="438"/>
      <c r="FK153" s="449"/>
      <c r="FL153" s="438"/>
      <c r="FM153" s="449"/>
      <c r="FN153" s="438"/>
      <c r="FO153" s="449"/>
      <c r="FP153" s="438"/>
      <c r="FQ153" s="449"/>
      <c r="FR153" s="438"/>
      <c r="FS153" s="438"/>
    </row>
    <row r="154" spans="1:176" s="529" customFormat="1" ht="21.95" hidden="1" customHeight="1" outlineLevel="1" x14ac:dyDescent="0.25">
      <c r="A154" s="434" t="str">
        <f>$A$1</f>
        <v>Prudential Financial, Inc.</v>
      </c>
      <c r="B154" s="531"/>
      <c r="C154" s="532"/>
      <c r="D154" s="531"/>
      <c r="E154" s="532"/>
      <c r="F154" s="531"/>
      <c r="G154" s="532"/>
      <c r="H154" s="531"/>
      <c r="I154" s="532"/>
      <c r="J154" s="531"/>
      <c r="K154" s="532"/>
      <c r="L154" s="531"/>
      <c r="M154" s="532"/>
      <c r="N154" s="531"/>
      <c r="O154" s="532"/>
      <c r="P154" s="531"/>
      <c r="Q154" s="532"/>
      <c r="R154" s="531"/>
      <c r="S154" s="532"/>
      <c r="T154" s="531"/>
      <c r="U154" s="532"/>
      <c r="V154" s="531"/>
      <c r="W154" s="532"/>
      <c r="X154" s="531"/>
      <c r="Y154" s="532"/>
      <c r="Z154" s="531"/>
      <c r="AA154" s="532"/>
      <c r="AB154" s="531"/>
      <c r="AC154" s="532"/>
      <c r="AD154" s="531"/>
      <c r="AE154" s="532"/>
      <c r="AF154" s="531"/>
      <c r="AG154" s="532"/>
      <c r="AH154" s="531"/>
      <c r="AI154" s="531"/>
      <c r="AJ154" s="531"/>
      <c r="AK154" s="531"/>
      <c r="AL154" s="531"/>
      <c r="AM154" s="531"/>
      <c r="AN154" s="531"/>
      <c r="AO154" s="531"/>
      <c r="AP154" s="531"/>
      <c r="AQ154" s="531"/>
      <c r="AR154" s="531"/>
      <c r="AS154" s="531"/>
      <c r="AT154" s="531"/>
      <c r="AU154" s="531"/>
      <c r="AV154" s="531"/>
      <c r="AW154" s="531"/>
      <c r="AX154" s="531"/>
      <c r="AY154" s="531"/>
      <c r="AZ154" s="531"/>
      <c r="BA154" s="531"/>
      <c r="BB154" s="531"/>
      <c r="BC154" s="531"/>
      <c r="BD154" s="531"/>
      <c r="BE154" s="531"/>
      <c r="BF154" s="531"/>
      <c r="BG154" s="531"/>
      <c r="BH154" s="531"/>
      <c r="BI154" s="531"/>
      <c r="BJ154" s="531"/>
      <c r="BK154" s="531"/>
      <c r="BL154" s="531"/>
      <c r="BM154" s="531"/>
      <c r="BN154" s="531"/>
      <c r="BO154" s="531"/>
      <c r="BP154" s="531"/>
      <c r="BQ154" s="531"/>
      <c r="BR154" s="531"/>
      <c r="BS154" s="531"/>
      <c r="BT154" s="531"/>
      <c r="BU154" s="531"/>
      <c r="BV154" s="531"/>
      <c r="BW154" s="531"/>
      <c r="BX154" s="531"/>
      <c r="BY154" s="531"/>
      <c r="BZ154" s="531"/>
      <c r="CA154" s="531"/>
      <c r="CB154" s="531"/>
      <c r="CC154" s="531"/>
      <c r="CD154" s="531"/>
      <c r="CE154" s="531"/>
      <c r="CF154" s="531"/>
      <c r="CG154" s="531"/>
      <c r="CH154" s="531"/>
      <c r="CI154" s="531"/>
      <c r="CJ154" s="531"/>
      <c r="CK154" s="531"/>
      <c r="CL154" s="531"/>
      <c r="CM154" s="531"/>
      <c r="CN154" s="531"/>
      <c r="CO154" s="531"/>
      <c r="CP154" s="531"/>
      <c r="CQ154" s="531"/>
      <c r="CR154" s="531"/>
      <c r="CS154" s="531"/>
      <c r="CT154" s="531"/>
      <c r="CU154" s="531"/>
      <c r="CV154" s="531"/>
      <c r="CW154" s="531"/>
      <c r="CX154" s="531"/>
      <c r="CY154" s="531"/>
      <c r="CZ154" s="531"/>
      <c r="DA154" s="531"/>
      <c r="DB154" s="531"/>
      <c r="DC154" s="531"/>
      <c r="DD154" s="531"/>
      <c r="DE154" s="531"/>
      <c r="DF154" s="531"/>
      <c r="DG154" s="531"/>
      <c r="DH154" s="531"/>
      <c r="DI154" s="531"/>
      <c r="DJ154" s="531"/>
      <c r="DK154" s="531"/>
      <c r="DL154" s="531"/>
      <c r="DM154" s="531"/>
      <c r="DN154" s="531"/>
      <c r="DO154" s="531"/>
      <c r="DP154" s="531"/>
      <c r="DQ154" s="531"/>
      <c r="DR154" s="531"/>
      <c r="DS154" s="531"/>
      <c r="DT154" s="531"/>
      <c r="DU154" s="531"/>
      <c r="DV154" s="531"/>
      <c r="DW154" s="531"/>
      <c r="DX154" s="531"/>
      <c r="DY154" s="531"/>
      <c r="DZ154" s="531"/>
      <c r="EA154" s="531"/>
      <c r="EB154" s="532"/>
      <c r="EC154" s="531"/>
      <c r="ED154" s="532"/>
      <c r="EE154" s="531"/>
      <c r="EF154" s="532"/>
      <c r="EG154" s="531"/>
      <c r="EH154" s="532"/>
      <c r="EI154" s="531"/>
      <c r="EJ154" s="531"/>
      <c r="EK154" s="531"/>
      <c r="EL154" s="531"/>
      <c r="EM154" s="531"/>
      <c r="EN154" s="531"/>
      <c r="EO154" s="531"/>
      <c r="EP154" s="531"/>
      <c r="EQ154" s="531"/>
      <c r="ER154" s="531"/>
      <c r="ES154" s="531"/>
      <c r="ET154" s="531"/>
      <c r="EU154" s="531"/>
      <c r="EV154" s="531"/>
      <c r="EW154" s="531"/>
      <c r="EX154" s="531"/>
      <c r="EY154" s="531"/>
      <c r="EZ154" s="531"/>
      <c r="FA154" s="531"/>
      <c r="FB154" s="531"/>
      <c r="FC154" s="531"/>
      <c r="FD154" s="531"/>
      <c r="FE154" s="531"/>
      <c r="FF154" s="531"/>
      <c r="FG154" s="531"/>
      <c r="FH154" s="531"/>
      <c r="FI154" s="531"/>
      <c r="FJ154" s="531"/>
      <c r="FK154" s="531"/>
      <c r="FL154" s="531"/>
      <c r="FM154" s="531"/>
      <c r="FN154" s="531"/>
      <c r="FO154" s="531"/>
      <c r="FP154" s="531"/>
      <c r="FQ154" s="531"/>
      <c r="FR154" s="531"/>
      <c r="FS154" s="531"/>
    </row>
    <row r="155" spans="1:176" s="529" customFormat="1" ht="12.75" hidden="1" customHeight="1" outlineLevel="1" x14ac:dyDescent="0.2">
      <c r="A155" s="437" t="s">
        <v>55</v>
      </c>
      <c r="B155" s="438"/>
      <c r="C155" s="439"/>
      <c r="D155" s="438"/>
      <c r="E155" s="439"/>
      <c r="F155" s="438"/>
      <c r="G155" s="439"/>
      <c r="H155" s="438"/>
      <c r="I155" s="439"/>
      <c r="J155" s="438"/>
      <c r="K155" s="439"/>
      <c r="L155" s="438"/>
      <c r="M155" s="439"/>
      <c r="N155" s="438"/>
      <c r="O155" s="439"/>
      <c r="P155" s="438"/>
      <c r="Q155" s="439"/>
      <c r="R155" s="438"/>
      <c r="S155" s="439"/>
      <c r="T155" s="438"/>
      <c r="U155" s="439"/>
      <c r="V155" s="438"/>
      <c r="W155" s="439"/>
      <c r="X155" s="438"/>
      <c r="Y155" s="439"/>
      <c r="Z155" s="438"/>
      <c r="AA155" s="439"/>
      <c r="AB155" s="438"/>
      <c r="AC155" s="439"/>
      <c r="AD155" s="438"/>
      <c r="AE155" s="439"/>
      <c r="AF155" s="438"/>
      <c r="AG155" s="439"/>
      <c r="AH155" s="438"/>
      <c r="AI155" s="438"/>
      <c r="AJ155" s="438"/>
      <c r="AK155" s="438"/>
      <c r="AL155" s="438"/>
      <c r="AM155" s="438"/>
      <c r="AN155" s="438"/>
      <c r="AO155" s="438"/>
      <c r="AP155" s="438"/>
      <c r="AQ155" s="438"/>
      <c r="AR155" s="438"/>
      <c r="AS155" s="438"/>
      <c r="AT155" s="438"/>
      <c r="AU155" s="438"/>
      <c r="AV155" s="438"/>
      <c r="AW155" s="438"/>
      <c r="AX155" s="438"/>
      <c r="AY155" s="438"/>
      <c r="AZ155" s="438"/>
      <c r="BA155" s="438"/>
      <c r="BB155" s="438"/>
      <c r="BC155" s="438"/>
      <c r="BD155" s="438"/>
      <c r="BE155" s="438"/>
      <c r="BF155" s="438"/>
      <c r="BG155" s="438"/>
      <c r="BH155" s="438"/>
      <c r="BI155" s="438"/>
      <c r="BJ155" s="438"/>
      <c r="BK155" s="438"/>
      <c r="BL155" s="438"/>
      <c r="BM155" s="438"/>
      <c r="BN155" s="438"/>
      <c r="BO155" s="438"/>
      <c r="BP155" s="438"/>
      <c r="BQ155" s="438"/>
      <c r="BR155" s="438"/>
      <c r="BS155" s="438"/>
      <c r="BT155" s="438"/>
      <c r="BU155" s="438"/>
      <c r="BV155" s="438"/>
      <c r="BW155" s="438"/>
      <c r="BX155" s="438"/>
      <c r="BY155" s="438"/>
      <c r="BZ155" s="438"/>
      <c r="CA155" s="438"/>
      <c r="CB155" s="438"/>
      <c r="CC155" s="438"/>
      <c r="CD155" s="438"/>
      <c r="CE155" s="438"/>
      <c r="CF155" s="438"/>
      <c r="CG155" s="438"/>
      <c r="CH155" s="438"/>
      <c r="CI155" s="438"/>
      <c r="CJ155" s="438"/>
      <c r="CK155" s="438"/>
      <c r="CL155" s="438"/>
      <c r="CM155" s="438"/>
      <c r="CN155" s="438"/>
      <c r="CO155" s="438"/>
      <c r="CP155" s="438"/>
      <c r="CQ155" s="438"/>
      <c r="CR155" s="438"/>
      <c r="CS155" s="438"/>
      <c r="CT155" s="438"/>
      <c r="CU155" s="438"/>
      <c r="CV155" s="438"/>
      <c r="CW155" s="438"/>
      <c r="CX155" s="438"/>
      <c r="CY155" s="438"/>
      <c r="CZ155" s="438"/>
      <c r="DA155" s="438"/>
      <c r="DB155" s="438"/>
      <c r="DC155" s="438"/>
      <c r="DD155" s="438"/>
      <c r="DE155" s="438"/>
      <c r="DF155" s="438"/>
      <c r="DG155" s="438"/>
      <c r="DH155" s="438"/>
      <c r="DI155" s="438"/>
      <c r="DJ155" s="438"/>
      <c r="DK155" s="438"/>
      <c r="DL155" s="438"/>
      <c r="DM155" s="438"/>
      <c r="DN155" s="438"/>
      <c r="DO155" s="438"/>
      <c r="DP155" s="438"/>
      <c r="DQ155" s="438"/>
      <c r="DR155" s="438"/>
      <c r="DS155" s="438"/>
      <c r="DT155" s="438"/>
      <c r="DU155" s="438"/>
      <c r="DV155" s="438"/>
      <c r="DW155" s="438"/>
      <c r="DX155" s="438"/>
      <c r="DY155" s="438"/>
      <c r="DZ155" s="438"/>
      <c r="EA155" s="438"/>
      <c r="EB155" s="439"/>
      <c r="EC155" s="438"/>
      <c r="ED155" s="439"/>
      <c r="EE155" s="438"/>
      <c r="EF155" s="439"/>
      <c r="EG155" s="438"/>
      <c r="EH155" s="439"/>
      <c r="EI155" s="438"/>
      <c r="EJ155" s="438"/>
      <c r="EK155" s="438"/>
      <c r="EL155" s="438"/>
      <c r="EM155" s="438"/>
      <c r="EN155" s="438"/>
      <c r="EO155" s="438"/>
      <c r="EP155" s="438"/>
      <c r="EQ155" s="438"/>
      <c r="ER155" s="438"/>
      <c r="ES155" s="438"/>
      <c r="ET155" s="438"/>
      <c r="EU155" s="438"/>
      <c r="EV155" s="438"/>
      <c r="EW155" s="438"/>
      <c r="EX155" s="438"/>
      <c r="EY155" s="438"/>
      <c r="EZ155" s="438"/>
      <c r="FA155" s="438"/>
      <c r="FB155" s="438"/>
      <c r="FC155" s="438"/>
      <c r="FD155" s="438"/>
      <c r="FE155" s="438"/>
      <c r="FF155" s="438"/>
      <c r="FG155" s="438"/>
      <c r="FH155" s="438"/>
      <c r="FI155" s="438"/>
      <c r="FJ155" s="438"/>
      <c r="FK155" s="438"/>
      <c r="FL155" s="438"/>
      <c r="FM155" s="438"/>
      <c r="FN155" s="438"/>
      <c r="FO155" s="438"/>
      <c r="FP155" s="438"/>
      <c r="FQ155" s="438"/>
      <c r="FR155" s="438"/>
      <c r="FS155" s="438"/>
    </row>
    <row r="156" spans="1:176" s="529" customFormat="1" ht="12.75" hidden="1" customHeight="1" outlineLevel="1" x14ac:dyDescent="0.2">
      <c r="A156" s="534" t="str">
        <f>+A$3</f>
        <v>($Millions Except Per Share Data)</v>
      </c>
      <c r="B156" s="535"/>
      <c r="C156" s="536" t="str">
        <f>+C$3</f>
        <v>1Q03/</v>
      </c>
      <c r="D156" s="535"/>
      <c r="E156" s="536" t="str">
        <f>+E$3</f>
        <v>2Q03/</v>
      </c>
      <c r="F156" s="535"/>
      <c r="G156" s="536" t="str">
        <f>+G$3</f>
        <v>3Q03/</v>
      </c>
      <c r="H156" s="535"/>
      <c r="I156" s="536" t="str">
        <f>+I$3</f>
        <v>4Q03/</v>
      </c>
      <c r="J156" s="535"/>
      <c r="K156" s="536" t="str">
        <f>+K$3</f>
        <v>1Q04/</v>
      </c>
      <c r="L156" s="535"/>
      <c r="M156" s="536" t="str">
        <f>+M$3</f>
        <v>2Q04/</v>
      </c>
      <c r="N156" s="535"/>
      <c r="O156" s="536" t="str">
        <f>+O$3</f>
        <v>3Q04/</v>
      </c>
      <c r="P156" s="535"/>
      <c r="Q156" s="536" t="str">
        <f>+Q$3</f>
        <v>4Q04/</v>
      </c>
      <c r="R156" s="535"/>
      <c r="S156" s="536" t="str">
        <f>+S$3</f>
        <v>1Q05/</v>
      </c>
      <c r="T156" s="535"/>
      <c r="U156" s="536" t="str">
        <f>+U$3</f>
        <v>2Q05/</v>
      </c>
      <c r="V156" s="535"/>
      <c r="W156" s="536" t="str">
        <f>+W$3</f>
        <v>3Q05/</v>
      </c>
      <c r="X156" s="535"/>
      <c r="Y156" s="536" t="str">
        <f>+Y$3</f>
        <v>4Q05/</v>
      </c>
      <c r="Z156" s="535"/>
      <c r="AA156" s="536" t="str">
        <f>+AA$3</f>
        <v>1Q06/</v>
      </c>
      <c r="AB156" s="535"/>
      <c r="AC156" s="536" t="str">
        <f>+AC$3</f>
        <v>2Q06/</v>
      </c>
      <c r="AD156" s="535"/>
      <c r="AE156" s="536" t="str">
        <f>+AE$3</f>
        <v>3Q06/</v>
      </c>
      <c r="AF156" s="535"/>
      <c r="AG156" s="536" t="str">
        <f>+AG$3</f>
        <v>4Q06/</v>
      </c>
      <c r="AH156" s="535"/>
      <c r="AI156" s="537" t="str">
        <f>+AI$3</f>
        <v>1Q07/</v>
      </c>
      <c r="AJ156" s="535"/>
      <c r="AK156" s="537" t="str">
        <f>+AK$3</f>
        <v>2Q07/</v>
      </c>
      <c r="AL156" s="535"/>
      <c r="AM156" s="537" t="str">
        <f>+AM$3</f>
        <v>3Q07/</v>
      </c>
      <c r="AN156" s="535"/>
      <c r="AO156" s="537" t="str">
        <f>+AO$3</f>
        <v>4Q07/</v>
      </c>
      <c r="AP156" s="535"/>
      <c r="AQ156" s="537" t="str">
        <f>+AQ$3</f>
        <v>1Q08/</v>
      </c>
      <c r="AR156" s="535"/>
      <c r="AS156" s="537" t="str">
        <f>+AS$3</f>
        <v>2Q08/</v>
      </c>
      <c r="AT156" s="535"/>
      <c r="AU156" s="537" t="str">
        <f>+AU$3</f>
        <v>3Q08/</v>
      </c>
      <c r="AV156" s="535"/>
      <c r="AW156" s="537" t="str">
        <f>+AW$3</f>
        <v>4Q08/</v>
      </c>
      <c r="AX156" s="535"/>
      <c r="AY156" s="537" t="str">
        <f>+AY$3</f>
        <v>1Q09/</v>
      </c>
      <c r="AZ156" s="535"/>
      <c r="BA156" s="537" t="str">
        <f>+BA$3</f>
        <v>2Q09/</v>
      </c>
      <c r="BB156" s="535"/>
      <c r="BC156" s="537" t="str">
        <f>+BC$3</f>
        <v>3Q09/</v>
      </c>
      <c r="BD156" s="535"/>
      <c r="BE156" s="537" t="str">
        <f>+BE$3</f>
        <v>4Q09/</v>
      </c>
      <c r="BF156" s="535"/>
      <c r="BG156" s="537" t="str">
        <f>+BG$3</f>
        <v>1Q10/</v>
      </c>
      <c r="BH156" s="535"/>
      <c r="BI156" s="537" t="str">
        <f>+BI$3</f>
        <v>2Q10/</v>
      </c>
      <c r="BJ156" s="535"/>
      <c r="BK156" s="537" t="str">
        <f>+BK$3</f>
        <v>3Q10/</v>
      </c>
      <c r="BL156" s="535"/>
      <c r="BM156" s="537" t="str">
        <f>+BM$3</f>
        <v>4Q10/</v>
      </c>
      <c r="BN156" s="535"/>
      <c r="BO156" s="537" t="str">
        <f>+BO$3</f>
        <v>1Q11/</v>
      </c>
      <c r="BP156" s="535"/>
      <c r="BQ156" s="537" t="str">
        <f>+BQ$3</f>
        <v>2Q11/</v>
      </c>
      <c r="BR156" s="535"/>
      <c r="BS156" s="537" t="str">
        <f>+BS$3</f>
        <v>3Q11/</v>
      </c>
      <c r="BT156" s="535"/>
      <c r="BU156" s="537" t="str">
        <f>+BU$3</f>
        <v>4Q11/</v>
      </c>
      <c r="BV156" s="535"/>
      <c r="BW156" s="537" t="str">
        <f>+BW$3</f>
        <v>1Q12/</v>
      </c>
      <c r="BX156" s="535"/>
      <c r="BY156" s="537" t="str">
        <f>+BY$3</f>
        <v>2Q12/</v>
      </c>
      <c r="BZ156" s="535"/>
      <c r="CA156" s="537" t="str">
        <f>+CA$3</f>
        <v>3Q12/</v>
      </c>
      <c r="CB156" s="535"/>
      <c r="CC156" s="537" t="str">
        <f>+CC$3</f>
        <v>4Q12/</v>
      </c>
      <c r="CD156" s="535"/>
      <c r="CE156" s="537" t="str">
        <f>+CE$3</f>
        <v>1Q13/</v>
      </c>
      <c r="CF156" s="535"/>
      <c r="CG156" s="537" t="str">
        <f>+CG$3</f>
        <v>2Q13/</v>
      </c>
      <c r="CH156" s="535"/>
      <c r="CI156" s="537" t="str">
        <f>+CI$3</f>
        <v>3Q13/</v>
      </c>
      <c r="CJ156" s="535"/>
      <c r="CK156" s="537" t="str">
        <f>+CK$3</f>
        <v>4Q13/</v>
      </c>
      <c r="CL156" s="535"/>
      <c r="CM156" s="537" t="str">
        <f>+CM$3</f>
        <v>1Q14/</v>
      </c>
      <c r="CN156" s="535"/>
      <c r="CO156" s="537" t="str">
        <f>+CO$3</f>
        <v>2Q14/</v>
      </c>
      <c r="CP156" s="535"/>
      <c r="CQ156" s="537" t="str">
        <f>+CQ$3</f>
        <v>3Q14/</v>
      </c>
      <c r="CR156" s="535"/>
      <c r="CS156" s="537" t="str">
        <f>+CS$3</f>
        <v>4Q14/</v>
      </c>
      <c r="CT156" s="535"/>
      <c r="CU156" s="537" t="str">
        <f>+CU$3</f>
        <v>1Q15/</v>
      </c>
      <c r="CV156" s="535"/>
      <c r="CW156" s="537" t="str">
        <f>+CW$3</f>
        <v>2Q15/</v>
      </c>
      <c r="CX156" s="535"/>
      <c r="CY156" s="537" t="str">
        <f>+CY$3</f>
        <v>3Q15/</v>
      </c>
      <c r="CZ156" s="535"/>
      <c r="DA156" s="537" t="str">
        <f>+DA$3</f>
        <v>4Q15/</v>
      </c>
      <c r="DB156" s="535"/>
      <c r="DC156" s="537" t="str">
        <f>+DC$3</f>
        <v>1Q16/</v>
      </c>
      <c r="DD156" s="535"/>
      <c r="DE156" s="537" t="str">
        <f>+DE$3</f>
        <v>2Q16/</v>
      </c>
      <c r="DF156" s="535"/>
      <c r="DG156" s="537" t="str">
        <f>+DG$3</f>
        <v>3Q16/</v>
      </c>
      <c r="DH156" s="535"/>
      <c r="DI156" s="537" t="str">
        <f>+DI$3</f>
        <v>4Q16/</v>
      </c>
      <c r="DJ156" s="535"/>
      <c r="DK156" s="537" t="str">
        <f>+DK$3</f>
        <v>1Q17/</v>
      </c>
      <c r="DL156" s="535"/>
      <c r="DM156" s="537" t="str">
        <f>+DM$3</f>
        <v>2Q17/</v>
      </c>
      <c r="DN156" s="535"/>
      <c r="DO156" s="537" t="str">
        <f>+DO$3</f>
        <v>3Q17/</v>
      </c>
      <c r="DP156" s="535"/>
      <c r="DQ156" s="537" t="str">
        <f>+DQ$3</f>
        <v>4Q17/</v>
      </c>
      <c r="DR156" s="535"/>
      <c r="DS156" s="537" t="str">
        <f>+DS$3</f>
        <v>1Q18E/</v>
      </c>
      <c r="DT156" s="535"/>
      <c r="DU156" s="537" t="str">
        <f>+DU$3</f>
        <v>2Q18E/</v>
      </c>
      <c r="DV156" s="535"/>
      <c r="DW156" s="537" t="str">
        <f>+DW$3</f>
        <v>3Q18E/</v>
      </c>
      <c r="DX156" s="535"/>
      <c r="DY156" s="537" t="str">
        <f>+DY$3</f>
        <v>4Q18E/</v>
      </c>
      <c r="DZ156" s="535"/>
      <c r="EA156" s="537"/>
      <c r="EB156" s="536" t="str">
        <f>+EB$3</f>
        <v>2001/</v>
      </c>
      <c r="EC156" s="535"/>
      <c r="ED156" s="536" t="str">
        <f>+ED$3</f>
        <v>2002/</v>
      </c>
      <c r="EE156" s="535"/>
      <c r="EF156" s="536" t="str">
        <f>+EF$3</f>
        <v>2003/</v>
      </c>
      <c r="EG156" s="535"/>
      <c r="EH156" s="536" t="str">
        <f>+EH$3</f>
        <v>2004/</v>
      </c>
      <c r="EI156" s="535"/>
      <c r="EJ156" s="537" t="str">
        <f>+EJ$3</f>
        <v>2005/</v>
      </c>
      <c r="EK156" s="535"/>
      <c r="EL156" s="537" t="str">
        <f>+EL$3</f>
        <v>2006/</v>
      </c>
      <c r="EM156" s="535"/>
      <c r="EN156" s="537" t="str">
        <f>+EN$3</f>
        <v>2007/</v>
      </c>
      <c r="EO156" s="535"/>
      <c r="EP156" s="537" t="str">
        <f>+EP$3</f>
        <v>2008/</v>
      </c>
      <c r="EQ156" s="535"/>
      <c r="ER156" s="537" t="str">
        <f>+ER$3</f>
        <v>2009/</v>
      </c>
      <c r="ES156" s="535"/>
      <c r="ET156" s="537" t="str">
        <f>+ET$3</f>
        <v>2010/</v>
      </c>
      <c r="EU156" s="535"/>
      <c r="EV156" s="537" t="str">
        <f>+EV$3</f>
        <v>2011/</v>
      </c>
      <c r="EW156" s="535"/>
      <c r="EX156" s="537" t="str">
        <f>+EX$3</f>
        <v>2012/</v>
      </c>
      <c r="EY156" s="535"/>
      <c r="EZ156" s="537" t="str">
        <f>+EZ$3</f>
        <v>2013/</v>
      </c>
      <c r="FA156" s="535"/>
      <c r="FB156" s="537" t="str">
        <f>+FB$3</f>
        <v>2014/</v>
      </c>
      <c r="FC156" s="535"/>
      <c r="FD156" s="537" t="str">
        <f>+FD$3</f>
        <v>2015/</v>
      </c>
      <c r="FE156" s="535"/>
      <c r="FF156" s="537" t="str">
        <f>+FF$3</f>
        <v>2016/</v>
      </c>
      <c r="FG156" s="535"/>
      <c r="FH156" s="537" t="str">
        <f>+FH$3</f>
        <v>2017/</v>
      </c>
      <c r="FI156" s="535"/>
      <c r="FJ156" s="537" t="str">
        <f>+FJ$3</f>
        <v>2018E/</v>
      </c>
      <c r="FK156" s="535"/>
      <c r="FL156" s="537" t="str">
        <f>+FL$3</f>
        <v>2019E/</v>
      </c>
      <c r="FM156" s="535"/>
      <c r="FN156" s="537" t="str">
        <f>+FN$3</f>
        <v>2020E/</v>
      </c>
      <c r="FO156" s="535"/>
      <c r="FP156" s="537" t="str">
        <f>+FP$3</f>
        <v>2021E/</v>
      </c>
      <c r="FQ156" s="535"/>
      <c r="FR156" s="537" t="str">
        <f>+FR$3</f>
        <v>2022E/</v>
      </c>
      <c r="FS156" s="537" t="str">
        <f>+FS$3</f>
        <v>5-Yr</v>
      </c>
      <c r="FT156" s="453"/>
    </row>
    <row r="157" spans="1:176" s="529" customFormat="1" ht="12.75" hidden="1" customHeight="1" outlineLevel="1" x14ac:dyDescent="0.2">
      <c r="A157" s="441"/>
      <c r="B157" s="440"/>
      <c r="C157" s="439" t="str">
        <f>+C$4</f>
        <v>1Q02</v>
      </c>
      <c r="D157" s="440"/>
      <c r="E157" s="439" t="str">
        <f>+E$4</f>
        <v>2Q02</v>
      </c>
      <c r="F157" s="440"/>
      <c r="G157" s="439" t="str">
        <f>+G$4</f>
        <v>3Q02</v>
      </c>
      <c r="H157" s="440"/>
      <c r="I157" s="439" t="str">
        <f>+I$4</f>
        <v>4Q02</v>
      </c>
      <c r="J157" s="440"/>
      <c r="K157" s="439" t="str">
        <f>+K$4</f>
        <v>1Q03</v>
      </c>
      <c r="L157" s="440"/>
      <c r="M157" s="439" t="str">
        <f>+M$4</f>
        <v>2Q03</v>
      </c>
      <c r="N157" s="440"/>
      <c r="O157" s="439" t="str">
        <f>+O$4</f>
        <v>3Q03</v>
      </c>
      <c r="P157" s="440"/>
      <c r="Q157" s="439" t="str">
        <f>+Q$4</f>
        <v>4Q03</v>
      </c>
      <c r="R157" s="440"/>
      <c r="S157" s="439" t="str">
        <f>+S$4</f>
        <v>1Q04</v>
      </c>
      <c r="T157" s="440"/>
      <c r="U157" s="439" t="str">
        <f>+U$4</f>
        <v>2Q04</v>
      </c>
      <c r="V157" s="440"/>
      <c r="W157" s="439" t="str">
        <f>+W$4</f>
        <v>3Q04</v>
      </c>
      <c r="X157" s="440"/>
      <c r="Y157" s="439" t="str">
        <f>+Y$4</f>
        <v>4Q04</v>
      </c>
      <c r="Z157" s="440"/>
      <c r="AA157" s="439" t="str">
        <f>+AA$4</f>
        <v>1Q05</v>
      </c>
      <c r="AB157" s="440"/>
      <c r="AC157" s="439" t="str">
        <f>+AC$4</f>
        <v>2Q05</v>
      </c>
      <c r="AD157" s="440"/>
      <c r="AE157" s="439" t="str">
        <f>+AE$4</f>
        <v>3Q05</v>
      </c>
      <c r="AF157" s="440"/>
      <c r="AG157" s="439" t="str">
        <f>+AG$4</f>
        <v>4Q05</v>
      </c>
      <c r="AH157" s="440"/>
      <c r="AI157" s="438" t="str">
        <f>+AI$4</f>
        <v>1Q06</v>
      </c>
      <c r="AJ157" s="440"/>
      <c r="AK157" s="438" t="str">
        <f>+AK$4</f>
        <v>2Q06</v>
      </c>
      <c r="AL157" s="440"/>
      <c r="AM157" s="438" t="str">
        <f>+AM$4</f>
        <v>3Q06</v>
      </c>
      <c r="AN157" s="440"/>
      <c r="AO157" s="438" t="str">
        <f>+AO$4</f>
        <v>4Q06</v>
      </c>
      <c r="AP157" s="440"/>
      <c r="AQ157" s="438" t="str">
        <f>+AQ$4</f>
        <v>1Q07</v>
      </c>
      <c r="AR157" s="440"/>
      <c r="AS157" s="438" t="str">
        <f>+AS$4</f>
        <v>2Q07</v>
      </c>
      <c r="AT157" s="440"/>
      <c r="AU157" s="438" t="str">
        <f>+AU$4</f>
        <v>3Q07</v>
      </c>
      <c r="AV157" s="440"/>
      <c r="AW157" s="438" t="str">
        <f>+AW$4</f>
        <v>4Q07</v>
      </c>
      <c r="AX157" s="440"/>
      <c r="AY157" s="438" t="str">
        <f>+AY$4</f>
        <v>1Q08</v>
      </c>
      <c r="AZ157" s="440"/>
      <c r="BA157" s="438" t="str">
        <f>+BA$4</f>
        <v>2Q08</v>
      </c>
      <c r="BB157" s="440"/>
      <c r="BC157" s="438" t="str">
        <f>+BC$4</f>
        <v>3Q08</v>
      </c>
      <c r="BD157" s="440"/>
      <c r="BE157" s="438" t="str">
        <f>+BE$4</f>
        <v>4Q08</v>
      </c>
      <c r="BF157" s="440"/>
      <c r="BG157" s="438" t="str">
        <f>+BG$4</f>
        <v>1Q09</v>
      </c>
      <c r="BH157" s="440"/>
      <c r="BI157" s="438" t="str">
        <f>+BI$4</f>
        <v>2Q09</v>
      </c>
      <c r="BJ157" s="440"/>
      <c r="BK157" s="438" t="str">
        <f>+BK$4</f>
        <v>3Q09</v>
      </c>
      <c r="BL157" s="440"/>
      <c r="BM157" s="438" t="str">
        <f>+BM$4</f>
        <v>4Q09</v>
      </c>
      <c r="BN157" s="440"/>
      <c r="BO157" s="438" t="str">
        <f>+BO$4</f>
        <v>1Q10</v>
      </c>
      <c r="BP157" s="440"/>
      <c r="BQ157" s="438" t="str">
        <f>+BQ$4</f>
        <v>2Q10</v>
      </c>
      <c r="BR157" s="440"/>
      <c r="BS157" s="438" t="str">
        <f>+BS$4</f>
        <v>3Q10</v>
      </c>
      <c r="BT157" s="440"/>
      <c r="BU157" s="438" t="str">
        <f>+BU$4</f>
        <v>4Q10</v>
      </c>
      <c r="BV157" s="440"/>
      <c r="BW157" s="438" t="str">
        <f>+BW$4</f>
        <v>1Q11</v>
      </c>
      <c r="BX157" s="440"/>
      <c r="BY157" s="438" t="str">
        <f>+BY$4</f>
        <v>2Q11</v>
      </c>
      <c r="BZ157" s="440"/>
      <c r="CA157" s="438" t="str">
        <f>+CA$4</f>
        <v>3Q11</v>
      </c>
      <c r="CB157" s="440"/>
      <c r="CC157" s="438" t="str">
        <f>+CC$4</f>
        <v>4Q11</v>
      </c>
      <c r="CD157" s="440"/>
      <c r="CE157" s="438" t="str">
        <f>+CE$4</f>
        <v>1Q12</v>
      </c>
      <c r="CF157" s="440"/>
      <c r="CG157" s="438" t="str">
        <f>+CG$4</f>
        <v>2Q12</v>
      </c>
      <c r="CH157" s="440"/>
      <c r="CI157" s="438" t="str">
        <f>+CI$4</f>
        <v>3Q12</v>
      </c>
      <c r="CJ157" s="440"/>
      <c r="CK157" s="438" t="str">
        <f>+CK$4</f>
        <v>4Q12</v>
      </c>
      <c r="CL157" s="440"/>
      <c r="CM157" s="438" t="str">
        <f>+CM$4</f>
        <v>1Q13</v>
      </c>
      <c r="CN157" s="440"/>
      <c r="CO157" s="438" t="str">
        <f>+CO$4</f>
        <v>2Q13</v>
      </c>
      <c r="CP157" s="440"/>
      <c r="CQ157" s="438" t="str">
        <f>+CQ$4</f>
        <v>3Q13</v>
      </c>
      <c r="CR157" s="440"/>
      <c r="CS157" s="438" t="str">
        <f>+CS$4</f>
        <v>4Q13</v>
      </c>
      <c r="CT157" s="440"/>
      <c r="CU157" s="438" t="str">
        <f>+CU$4</f>
        <v>1Q14</v>
      </c>
      <c r="CV157" s="440"/>
      <c r="CW157" s="438" t="str">
        <f>+CW$4</f>
        <v>2Q14</v>
      </c>
      <c r="CX157" s="440"/>
      <c r="CY157" s="438" t="str">
        <f>+CY$4</f>
        <v>3Q14</v>
      </c>
      <c r="CZ157" s="440"/>
      <c r="DA157" s="438" t="str">
        <f>+DA$4</f>
        <v>4Q14</v>
      </c>
      <c r="DB157" s="440"/>
      <c r="DC157" s="438" t="str">
        <f>+DC$4</f>
        <v>1Q15</v>
      </c>
      <c r="DD157" s="440"/>
      <c r="DE157" s="438" t="str">
        <f>+DE$4</f>
        <v>2Q15</v>
      </c>
      <c r="DF157" s="440"/>
      <c r="DG157" s="438" t="str">
        <f>+DG$4</f>
        <v>3Q15</v>
      </c>
      <c r="DH157" s="440"/>
      <c r="DI157" s="438" t="str">
        <f>+DI$4</f>
        <v>4Q15</v>
      </c>
      <c r="DJ157" s="440"/>
      <c r="DK157" s="438" t="str">
        <f>+DK$4</f>
        <v>1Q16</v>
      </c>
      <c r="DL157" s="440"/>
      <c r="DM157" s="438" t="str">
        <f>+DM$4</f>
        <v>2Q16</v>
      </c>
      <c r="DN157" s="440"/>
      <c r="DO157" s="438" t="str">
        <f>+DO$4</f>
        <v>3Q16</v>
      </c>
      <c r="DP157" s="440"/>
      <c r="DQ157" s="438" t="str">
        <f>+DQ$4</f>
        <v>4Q16</v>
      </c>
      <c r="DR157" s="440"/>
      <c r="DS157" s="438" t="str">
        <f>+DS$4</f>
        <v>1Q17</v>
      </c>
      <c r="DT157" s="440"/>
      <c r="DU157" s="438" t="str">
        <f>+DU$4</f>
        <v>2Q17</v>
      </c>
      <c r="DV157" s="440"/>
      <c r="DW157" s="438" t="str">
        <f>+DW$4</f>
        <v>3Q17</v>
      </c>
      <c r="DX157" s="440"/>
      <c r="DY157" s="438" t="str">
        <f>+DY$4</f>
        <v>4Q17</v>
      </c>
      <c r="DZ157" s="440"/>
      <c r="EA157" s="438"/>
      <c r="EB157" s="439" t="str">
        <f>+EB$4</f>
        <v>2000</v>
      </c>
      <c r="EC157" s="440"/>
      <c r="ED157" s="439" t="str">
        <f>+ED$4</f>
        <v>2001</v>
      </c>
      <c r="EE157" s="440"/>
      <c r="EF157" s="439" t="str">
        <f>+EF$4</f>
        <v>2002</v>
      </c>
      <c r="EG157" s="440"/>
      <c r="EH157" s="439" t="str">
        <f>+EH$4</f>
        <v>2003</v>
      </c>
      <c r="EI157" s="440"/>
      <c r="EJ157" s="438">
        <f>+EJ$4</f>
        <v>2004</v>
      </c>
      <c r="EK157" s="440"/>
      <c r="EL157" s="438" t="str">
        <f>+EL$4</f>
        <v>2005</v>
      </c>
      <c r="EM157" s="440"/>
      <c r="EN157" s="438" t="str">
        <f>+EN$4</f>
        <v>2006</v>
      </c>
      <c r="EO157" s="440"/>
      <c r="EP157" s="438">
        <f>+EP$4</f>
        <v>2007</v>
      </c>
      <c r="EQ157" s="440"/>
      <c r="ER157" s="438" t="str">
        <f>+ER$4</f>
        <v>2008</v>
      </c>
      <c r="ES157" s="440"/>
      <c r="ET157" s="438" t="str">
        <f>+ET$4</f>
        <v>2009</v>
      </c>
      <c r="EU157" s="440"/>
      <c r="EV157" s="438" t="str">
        <f>+EV$4</f>
        <v>2010</v>
      </c>
      <c r="EW157" s="440"/>
      <c r="EX157" s="438" t="str">
        <f>+EX$4</f>
        <v>2011</v>
      </c>
      <c r="EY157" s="440"/>
      <c r="EZ157" s="438" t="str">
        <f>+EZ$4</f>
        <v>2012</v>
      </c>
      <c r="FA157" s="440"/>
      <c r="FB157" s="438" t="str">
        <f>+FB$4</f>
        <v>2013</v>
      </c>
      <c r="FC157" s="440"/>
      <c r="FD157" s="438">
        <f>+FD$4</f>
        <v>2014</v>
      </c>
      <c r="FE157" s="440"/>
      <c r="FF157" s="438" t="str">
        <f>+FF$4</f>
        <v>2015</v>
      </c>
      <c r="FG157" s="440"/>
      <c r="FH157" s="438">
        <f>+FH$4</f>
        <v>2016</v>
      </c>
      <c r="FI157" s="440"/>
      <c r="FJ157" s="438">
        <f>+FJ$4</f>
        <v>2017</v>
      </c>
      <c r="FK157" s="440"/>
      <c r="FL157" s="438" t="str">
        <f>+FL$4</f>
        <v>2018E</v>
      </c>
      <c r="FM157" s="440"/>
      <c r="FN157" s="438" t="str">
        <f>+FN$4</f>
        <v>2019E</v>
      </c>
      <c r="FO157" s="440"/>
      <c r="FP157" s="438" t="str">
        <f>+FP$4</f>
        <v>2020E</v>
      </c>
      <c r="FQ157" s="440"/>
      <c r="FR157" s="438" t="str">
        <f>+FR$4</f>
        <v>2021E</v>
      </c>
      <c r="FS157" s="438" t="str">
        <f>+FS$4</f>
        <v>CAGR</v>
      </c>
      <c r="FT157" s="453"/>
    </row>
    <row r="158" spans="1:176" s="529" customFormat="1" ht="12.75" hidden="1" customHeight="1" outlineLevel="1" x14ac:dyDescent="0.2">
      <c r="A158" s="442"/>
      <c r="B158" s="443" t="str">
        <f t="shared" ref="B158:DJ158" si="17">+B$5</f>
        <v>1Q03</v>
      </c>
      <c r="C158" s="444" t="str">
        <f t="shared" si="17"/>
        <v>% Chg</v>
      </c>
      <c r="D158" s="443" t="str">
        <f t="shared" si="17"/>
        <v>2Q03</v>
      </c>
      <c r="E158" s="444" t="str">
        <f t="shared" si="17"/>
        <v>% Chg</v>
      </c>
      <c r="F158" s="443" t="str">
        <f t="shared" si="17"/>
        <v>3Q03</v>
      </c>
      <c r="G158" s="444" t="str">
        <f t="shared" si="17"/>
        <v>% Chg</v>
      </c>
      <c r="H158" s="443" t="str">
        <f t="shared" si="17"/>
        <v>4Q03</v>
      </c>
      <c r="I158" s="444" t="str">
        <f t="shared" si="17"/>
        <v>% Chg</v>
      </c>
      <c r="J158" s="443" t="str">
        <f t="shared" si="17"/>
        <v>1Q04</v>
      </c>
      <c r="K158" s="444" t="str">
        <f t="shared" si="17"/>
        <v>% Chg</v>
      </c>
      <c r="L158" s="443" t="str">
        <f t="shared" si="17"/>
        <v>2Q04</v>
      </c>
      <c r="M158" s="444" t="str">
        <f t="shared" si="17"/>
        <v>% Chg</v>
      </c>
      <c r="N158" s="443" t="str">
        <f t="shared" si="17"/>
        <v>3Q04</v>
      </c>
      <c r="O158" s="444" t="str">
        <f t="shared" si="17"/>
        <v>% Chg</v>
      </c>
      <c r="P158" s="443" t="str">
        <f t="shared" si="17"/>
        <v>4Q04</v>
      </c>
      <c r="Q158" s="444" t="str">
        <f t="shared" si="17"/>
        <v>% Chg</v>
      </c>
      <c r="R158" s="443" t="str">
        <f t="shared" si="17"/>
        <v>1Q05</v>
      </c>
      <c r="S158" s="444" t="str">
        <f t="shared" si="17"/>
        <v>% Chg</v>
      </c>
      <c r="T158" s="443" t="str">
        <f t="shared" si="17"/>
        <v>2Q05</v>
      </c>
      <c r="U158" s="444" t="str">
        <f t="shared" si="17"/>
        <v>% Chg</v>
      </c>
      <c r="V158" s="443" t="str">
        <f t="shared" si="17"/>
        <v>3Q05</v>
      </c>
      <c r="W158" s="444" t="str">
        <f t="shared" si="17"/>
        <v>% Chg</v>
      </c>
      <c r="X158" s="443" t="str">
        <f t="shared" si="17"/>
        <v>4Q05</v>
      </c>
      <c r="Y158" s="444" t="str">
        <f t="shared" si="17"/>
        <v>% Chg</v>
      </c>
      <c r="Z158" s="443" t="str">
        <f t="shared" si="17"/>
        <v>1Q06</v>
      </c>
      <c r="AA158" s="444" t="str">
        <f t="shared" si="17"/>
        <v>% Chg</v>
      </c>
      <c r="AB158" s="443" t="str">
        <f t="shared" si="17"/>
        <v>2Q06</v>
      </c>
      <c r="AC158" s="444" t="str">
        <f t="shared" si="17"/>
        <v>% Chg</v>
      </c>
      <c r="AD158" s="443" t="str">
        <f t="shared" si="17"/>
        <v>3Q06</v>
      </c>
      <c r="AE158" s="444" t="str">
        <f t="shared" si="17"/>
        <v>% Chg</v>
      </c>
      <c r="AF158" s="443" t="str">
        <f t="shared" si="17"/>
        <v>4Q06</v>
      </c>
      <c r="AG158" s="444" t="str">
        <f t="shared" si="17"/>
        <v>% Chg</v>
      </c>
      <c r="AH158" s="443" t="str">
        <f t="shared" si="17"/>
        <v>1Q07</v>
      </c>
      <c r="AI158" s="445" t="str">
        <f t="shared" si="17"/>
        <v>% Chg</v>
      </c>
      <c r="AJ158" s="443" t="str">
        <f t="shared" si="17"/>
        <v>2Q07</v>
      </c>
      <c r="AK158" s="445" t="str">
        <f t="shared" si="17"/>
        <v>% Chg</v>
      </c>
      <c r="AL158" s="443" t="str">
        <f t="shared" si="17"/>
        <v>3Q07</v>
      </c>
      <c r="AM158" s="445" t="str">
        <f t="shared" si="17"/>
        <v>% Chg</v>
      </c>
      <c r="AN158" s="443" t="str">
        <f t="shared" si="17"/>
        <v>4Q07</v>
      </c>
      <c r="AO158" s="445" t="str">
        <f t="shared" si="17"/>
        <v>% Chg</v>
      </c>
      <c r="AP158" s="443" t="str">
        <f t="shared" si="17"/>
        <v>1Q08</v>
      </c>
      <c r="AQ158" s="445" t="str">
        <f t="shared" si="17"/>
        <v>% Chg</v>
      </c>
      <c r="AR158" s="443" t="str">
        <f t="shared" si="17"/>
        <v>2Q08</v>
      </c>
      <c r="AS158" s="445" t="str">
        <f t="shared" si="17"/>
        <v>% Chg</v>
      </c>
      <c r="AT158" s="443" t="str">
        <f t="shared" si="17"/>
        <v>3Q08</v>
      </c>
      <c r="AU158" s="445" t="str">
        <f t="shared" si="17"/>
        <v>% Chg</v>
      </c>
      <c r="AV158" s="443" t="str">
        <f t="shared" si="17"/>
        <v>4Q08</v>
      </c>
      <c r="AW158" s="445" t="str">
        <f t="shared" si="17"/>
        <v>% Chg</v>
      </c>
      <c r="AX158" s="443" t="str">
        <f t="shared" si="17"/>
        <v>1Q09</v>
      </c>
      <c r="AY158" s="445" t="str">
        <f t="shared" si="17"/>
        <v>% Chg</v>
      </c>
      <c r="AZ158" s="443" t="str">
        <f t="shared" si="17"/>
        <v>2Q09</v>
      </c>
      <c r="BA158" s="445" t="str">
        <f t="shared" si="17"/>
        <v>% Chg</v>
      </c>
      <c r="BB158" s="443" t="str">
        <f t="shared" si="17"/>
        <v>3Q09</v>
      </c>
      <c r="BC158" s="445" t="str">
        <f t="shared" si="17"/>
        <v>% Chg</v>
      </c>
      <c r="BD158" s="443" t="str">
        <f t="shared" si="17"/>
        <v>4Q09</v>
      </c>
      <c r="BE158" s="445" t="str">
        <f t="shared" si="17"/>
        <v>% Chg</v>
      </c>
      <c r="BF158" s="443" t="str">
        <f t="shared" si="17"/>
        <v>1Q10</v>
      </c>
      <c r="BG158" s="445" t="str">
        <f t="shared" si="17"/>
        <v>% Chg</v>
      </c>
      <c r="BH158" s="443" t="str">
        <f t="shared" si="17"/>
        <v>2Q10</v>
      </c>
      <c r="BI158" s="445" t="str">
        <f t="shared" si="17"/>
        <v>% Chg</v>
      </c>
      <c r="BJ158" s="443" t="str">
        <f t="shared" si="17"/>
        <v>3Q10</v>
      </c>
      <c r="BK158" s="445" t="str">
        <f t="shared" si="17"/>
        <v>% Chg</v>
      </c>
      <c r="BL158" s="443" t="str">
        <f t="shared" si="17"/>
        <v>4Q10</v>
      </c>
      <c r="BM158" s="445" t="str">
        <f t="shared" si="17"/>
        <v>% Chg</v>
      </c>
      <c r="BN158" s="443" t="str">
        <f t="shared" si="17"/>
        <v>1Q11</v>
      </c>
      <c r="BO158" s="445" t="str">
        <f t="shared" si="17"/>
        <v>% Chg</v>
      </c>
      <c r="BP158" s="443" t="str">
        <f t="shared" si="17"/>
        <v>2Q11</v>
      </c>
      <c r="BQ158" s="445" t="str">
        <f t="shared" si="17"/>
        <v>% Chg</v>
      </c>
      <c r="BR158" s="443" t="str">
        <f t="shared" si="17"/>
        <v>3Q11</v>
      </c>
      <c r="BS158" s="445" t="str">
        <f t="shared" si="17"/>
        <v>% Chg</v>
      </c>
      <c r="BT158" s="443" t="str">
        <f t="shared" si="17"/>
        <v>4Q11</v>
      </c>
      <c r="BU158" s="445" t="str">
        <f>+BU$5</f>
        <v>% Chg</v>
      </c>
      <c r="BV158" s="443" t="str">
        <f t="shared" si="17"/>
        <v>1Q12</v>
      </c>
      <c r="BW158" s="445" t="str">
        <f>+BW$5</f>
        <v>% Chg</v>
      </c>
      <c r="BX158" s="443" t="str">
        <f t="shared" si="17"/>
        <v>2Q12</v>
      </c>
      <c r="BY158" s="445" t="str">
        <f>+BY$5</f>
        <v>% Chg</v>
      </c>
      <c r="BZ158" s="443" t="str">
        <f t="shared" si="17"/>
        <v>3Q12</v>
      </c>
      <c r="CA158" s="445" t="str">
        <f>+CA$5</f>
        <v>% Chg</v>
      </c>
      <c r="CB158" s="443" t="str">
        <f t="shared" si="17"/>
        <v>4Q12</v>
      </c>
      <c r="CC158" s="445" t="str">
        <f>+CC$5</f>
        <v>% Chg</v>
      </c>
      <c r="CD158" s="443" t="str">
        <f t="shared" si="17"/>
        <v>1Q13</v>
      </c>
      <c r="CE158" s="445" t="str">
        <f>+CE$5</f>
        <v>% Chg</v>
      </c>
      <c r="CF158" s="443" t="str">
        <f t="shared" si="17"/>
        <v>2Q13</v>
      </c>
      <c r="CG158" s="445" t="str">
        <f>+CG$5</f>
        <v>% Chg</v>
      </c>
      <c r="CH158" s="443" t="str">
        <f t="shared" si="17"/>
        <v>3Q13</v>
      </c>
      <c r="CI158" s="445" t="str">
        <f>+CI$5</f>
        <v>% Chg</v>
      </c>
      <c r="CJ158" s="443" t="str">
        <f t="shared" si="17"/>
        <v>4Q13</v>
      </c>
      <c r="CK158" s="445" t="str">
        <f>+CK$5</f>
        <v>% Chg</v>
      </c>
      <c r="CL158" s="443" t="str">
        <f t="shared" si="17"/>
        <v>1Q14</v>
      </c>
      <c r="CM158" s="445" t="str">
        <f>+CM$5</f>
        <v>% Chg</v>
      </c>
      <c r="CN158" s="443" t="str">
        <f t="shared" si="17"/>
        <v>2Q14</v>
      </c>
      <c r="CO158" s="445" t="str">
        <f>+CO$5</f>
        <v>% Chg</v>
      </c>
      <c r="CP158" s="443" t="str">
        <f t="shared" si="17"/>
        <v>3Q14</v>
      </c>
      <c r="CQ158" s="445" t="str">
        <f>+CQ$5</f>
        <v>% Chg</v>
      </c>
      <c r="CR158" s="443" t="str">
        <f t="shared" si="17"/>
        <v>4Q14</v>
      </c>
      <c r="CS158" s="445" t="str">
        <f>+CS$5</f>
        <v>% Chg</v>
      </c>
      <c r="CT158" s="443" t="str">
        <f t="shared" si="17"/>
        <v>1Q15</v>
      </c>
      <c r="CU158" s="445" t="str">
        <f>+CU$5</f>
        <v>% Chg</v>
      </c>
      <c r="CV158" s="443" t="str">
        <f t="shared" si="17"/>
        <v>2Q15</v>
      </c>
      <c r="CW158" s="445" t="str">
        <f>+CW$5</f>
        <v>% Chg</v>
      </c>
      <c r="CX158" s="443" t="str">
        <f t="shared" si="17"/>
        <v>3Q15</v>
      </c>
      <c r="CY158" s="445" t="str">
        <f>+CY$5</f>
        <v>% Chg</v>
      </c>
      <c r="CZ158" s="443" t="str">
        <f t="shared" si="17"/>
        <v>4Q15</v>
      </c>
      <c r="DA158" s="445" t="str">
        <f>+DA$5</f>
        <v>% Chg</v>
      </c>
      <c r="DB158" s="443" t="str">
        <f t="shared" si="17"/>
        <v>1Q16</v>
      </c>
      <c r="DC158" s="445" t="str">
        <f>+DC$5</f>
        <v>% Chg</v>
      </c>
      <c r="DD158" s="443" t="str">
        <f t="shared" si="17"/>
        <v>2Q16</v>
      </c>
      <c r="DE158" s="445" t="str">
        <f>+DE$5</f>
        <v>% Chg</v>
      </c>
      <c r="DF158" s="443" t="str">
        <f t="shared" si="17"/>
        <v>3Q16</v>
      </c>
      <c r="DG158" s="445" t="str">
        <f>+DG$5</f>
        <v>% Chg</v>
      </c>
      <c r="DH158" s="443" t="str">
        <f t="shared" si="17"/>
        <v>4Q16</v>
      </c>
      <c r="DI158" s="445" t="str">
        <f>+DI$5</f>
        <v>% Chg</v>
      </c>
      <c r="DJ158" s="443" t="str">
        <f t="shared" si="17"/>
        <v>1Q17</v>
      </c>
      <c r="DK158" s="445" t="str">
        <f t="shared" ref="DK158:DY158" si="18">+DK$5</f>
        <v>% Chg</v>
      </c>
      <c r="DL158" s="443" t="str">
        <f t="shared" si="18"/>
        <v>2Q17</v>
      </c>
      <c r="DM158" s="445" t="str">
        <f t="shared" si="18"/>
        <v>% Chg</v>
      </c>
      <c r="DN158" s="443" t="str">
        <f t="shared" si="18"/>
        <v>3Q17</v>
      </c>
      <c r="DO158" s="445" t="str">
        <f t="shared" si="18"/>
        <v>% Chg</v>
      </c>
      <c r="DP158" s="443" t="str">
        <f t="shared" si="18"/>
        <v>4Q17</v>
      </c>
      <c r="DQ158" s="445" t="str">
        <f t="shared" si="18"/>
        <v>% Chg</v>
      </c>
      <c r="DR158" s="443" t="str">
        <f t="shared" si="18"/>
        <v>1Q18E</v>
      </c>
      <c r="DS158" s="445" t="str">
        <f t="shared" si="18"/>
        <v>% Chg</v>
      </c>
      <c r="DT158" s="443" t="str">
        <f t="shared" si="18"/>
        <v>2Q18E</v>
      </c>
      <c r="DU158" s="445" t="str">
        <f t="shared" si="18"/>
        <v>% Chg</v>
      </c>
      <c r="DV158" s="443" t="str">
        <f t="shared" si="18"/>
        <v>3Q18E</v>
      </c>
      <c r="DW158" s="445" t="str">
        <f t="shared" si="18"/>
        <v>% Chg</v>
      </c>
      <c r="DX158" s="443" t="str">
        <f t="shared" si="18"/>
        <v>4Q18E</v>
      </c>
      <c r="DY158" s="445" t="str">
        <f t="shared" si="18"/>
        <v>% Chg</v>
      </c>
      <c r="DZ158" s="443"/>
      <c r="EA158" s="445"/>
      <c r="EB158" s="444" t="str">
        <f t="shared" ref="EB158:FS158" si="19">+EB$5</f>
        <v>% Chg</v>
      </c>
      <c r="EC158" s="443" t="str">
        <f t="shared" si="19"/>
        <v>2002</v>
      </c>
      <c r="ED158" s="444" t="str">
        <f t="shared" si="19"/>
        <v>% Chg</v>
      </c>
      <c r="EE158" s="443" t="str">
        <f t="shared" si="19"/>
        <v>2003</v>
      </c>
      <c r="EF158" s="444" t="str">
        <f t="shared" si="19"/>
        <v>% Chg</v>
      </c>
      <c r="EG158" s="443">
        <f t="shared" si="19"/>
        <v>2004</v>
      </c>
      <c r="EH158" s="444" t="str">
        <f t="shared" si="19"/>
        <v>% Chg</v>
      </c>
      <c r="EI158" s="443" t="str">
        <f t="shared" si="19"/>
        <v>2005</v>
      </c>
      <c r="EJ158" s="445" t="str">
        <f t="shared" si="19"/>
        <v>% Chg</v>
      </c>
      <c r="EK158" s="443" t="str">
        <f t="shared" si="19"/>
        <v>2006</v>
      </c>
      <c r="EL158" s="445" t="str">
        <f t="shared" si="19"/>
        <v>% Chg</v>
      </c>
      <c r="EM158" s="443">
        <f t="shared" si="19"/>
        <v>2007</v>
      </c>
      <c r="EN158" s="445" t="str">
        <f t="shared" si="19"/>
        <v>% Chg</v>
      </c>
      <c r="EO158" s="443" t="str">
        <f t="shared" si="19"/>
        <v>2008</v>
      </c>
      <c r="EP158" s="445" t="str">
        <f t="shared" si="19"/>
        <v>% Chg</v>
      </c>
      <c r="EQ158" s="443" t="str">
        <f t="shared" si="19"/>
        <v>2009</v>
      </c>
      <c r="ER158" s="445" t="str">
        <f t="shared" si="19"/>
        <v>% Chg</v>
      </c>
      <c r="ES158" s="443" t="str">
        <f t="shared" si="19"/>
        <v>2010</v>
      </c>
      <c r="ET158" s="445" t="str">
        <f t="shared" si="19"/>
        <v>% Chg</v>
      </c>
      <c r="EU158" s="443" t="str">
        <f t="shared" si="19"/>
        <v>2011</v>
      </c>
      <c r="EV158" s="445" t="str">
        <f t="shared" si="19"/>
        <v>% Chg</v>
      </c>
      <c r="EW158" s="443" t="str">
        <f t="shared" si="19"/>
        <v>2012</v>
      </c>
      <c r="EX158" s="445" t="str">
        <f t="shared" si="19"/>
        <v>% Chg</v>
      </c>
      <c r="EY158" s="443" t="str">
        <f t="shared" si="19"/>
        <v>2013</v>
      </c>
      <c r="EZ158" s="445" t="str">
        <f t="shared" si="19"/>
        <v>% Chg</v>
      </c>
      <c r="FA158" s="443">
        <f t="shared" si="19"/>
        <v>2014</v>
      </c>
      <c r="FB158" s="445" t="str">
        <f t="shared" si="19"/>
        <v>% Chg</v>
      </c>
      <c r="FC158" s="443" t="str">
        <f t="shared" si="19"/>
        <v>2015</v>
      </c>
      <c r="FD158" s="445" t="str">
        <f t="shared" si="19"/>
        <v>% Chg</v>
      </c>
      <c r="FE158" s="443">
        <f t="shared" si="19"/>
        <v>2016</v>
      </c>
      <c r="FF158" s="445" t="str">
        <f t="shared" si="19"/>
        <v>% Chg</v>
      </c>
      <c r="FG158" s="443">
        <f t="shared" si="19"/>
        <v>2017</v>
      </c>
      <c r="FH158" s="445" t="str">
        <f t="shared" si="19"/>
        <v>% Chg</v>
      </c>
      <c r="FI158" s="443" t="str">
        <f t="shared" si="19"/>
        <v>2018E</v>
      </c>
      <c r="FJ158" s="445" t="str">
        <f t="shared" si="19"/>
        <v>% Chg</v>
      </c>
      <c r="FK158" s="443" t="str">
        <f t="shared" si="19"/>
        <v>2019E</v>
      </c>
      <c r="FL158" s="445" t="str">
        <f t="shared" si="19"/>
        <v>% Chg</v>
      </c>
      <c r="FM158" s="443" t="str">
        <f t="shared" si="19"/>
        <v>2020E</v>
      </c>
      <c r="FN158" s="445" t="str">
        <f t="shared" si="19"/>
        <v>% Chg</v>
      </c>
      <c r="FO158" s="443" t="str">
        <f t="shared" si="19"/>
        <v>2021E</v>
      </c>
      <c r="FP158" s="445" t="str">
        <f t="shared" si="19"/>
        <v>% Chg</v>
      </c>
      <c r="FQ158" s="443" t="str">
        <f t="shared" si="19"/>
        <v>2022E</v>
      </c>
      <c r="FR158" s="445" t="str">
        <f t="shared" si="19"/>
        <v>% Chg</v>
      </c>
      <c r="FS158" s="445" t="str">
        <f t="shared" si="19"/>
        <v>(%)</v>
      </c>
      <c r="FT158" s="453"/>
    </row>
    <row r="159" spans="1:176" s="529" customFormat="1" ht="12.75" hidden="1" customHeight="1" outlineLevel="1" x14ac:dyDescent="0.2">
      <c r="A159" s="446"/>
      <c r="B159" s="447"/>
      <c r="C159" s="439"/>
      <c r="D159" s="447"/>
      <c r="E159" s="439"/>
      <c r="F159" s="447"/>
      <c r="G159" s="439"/>
      <c r="H159" s="447"/>
      <c r="I159" s="439"/>
      <c r="J159" s="447"/>
      <c r="K159" s="439"/>
      <c r="L159" s="447"/>
      <c r="M159" s="439"/>
      <c r="N159" s="447"/>
      <c r="O159" s="439"/>
      <c r="P159" s="447"/>
      <c r="Q159" s="439"/>
      <c r="R159" s="447"/>
      <c r="S159" s="439"/>
      <c r="T159" s="447"/>
      <c r="U159" s="439"/>
      <c r="V159" s="447"/>
      <c r="W159" s="439"/>
      <c r="X159" s="447"/>
      <c r="Y159" s="439"/>
      <c r="Z159" s="447"/>
      <c r="AA159" s="439"/>
      <c r="AB159" s="447"/>
      <c r="AC159" s="439"/>
      <c r="AD159" s="447"/>
      <c r="AE159" s="439"/>
      <c r="AF159" s="447"/>
      <c r="AG159" s="439"/>
      <c r="AH159" s="447"/>
      <c r="AI159" s="438"/>
      <c r="AJ159" s="447"/>
      <c r="AK159" s="438"/>
      <c r="AL159" s="447"/>
      <c r="AM159" s="438"/>
      <c r="AN159" s="447"/>
      <c r="AO159" s="438"/>
      <c r="AP159" s="447"/>
      <c r="AQ159" s="438"/>
      <c r="AR159" s="447"/>
      <c r="AS159" s="438"/>
      <c r="AT159" s="447"/>
      <c r="AU159" s="438"/>
      <c r="AV159" s="447"/>
      <c r="AW159" s="438"/>
      <c r="AX159" s="447"/>
      <c r="AY159" s="438"/>
      <c r="AZ159" s="447"/>
      <c r="BA159" s="438"/>
      <c r="BB159" s="447"/>
      <c r="BC159" s="438"/>
      <c r="BD159" s="447"/>
      <c r="BE159" s="438"/>
      <c r="BF159" s="447"/>
      <c r="BG159" s="438"/>
      <c r="BH159" s="447"/>
      <c r="BI159" s="438"/>
      <c r="BJ159" s="447"/>
      <c r="BK159" s="438"/>
      <c r="BL159" s="447"/>
      <c r="BM159" s="438"/>
      <c r="BN159" s="447"/>
      <c r="BO159" s="438"/>
      <c r="BP159" s="447"/>
      <c r="BQ159" s="438"/>
      <c r="BR159" s="447"/>
      <c r="BS159" s="438"/>
      <c r="BT159" s="447"/>
      <c r="BU159" s="438"/>
      <c r="BV159" s="447"/>
      <c r="BW159" s="438"/>
      <c r="BX159" s="447"/>
      <c r="BY159" s="438"/>
      <c r="BZ159" s="447"/>
      <c r="CA159" s="438"/>
      <c r="CB159" s="447"/>
      <c r="CC159" s="438"/>
      <c r="CD159" s="447"/>
      <c r="CE159" s="438"/>
      <c r="CF159" s="447"/>
      <c r="CG159" s="438"/>
      <c r="CH159" s="447"/>
      <c r="CI159" s="438"/>
      <c r="CJ159" s="447"/>
      <c r="CK159" s="438"/>
      <c r="CL159" s="447"/>
      <c r="CM159" s="438"/>
      <c r="CN159" s="447"/>
      <c r="CO159" s="438"/>
      <c r="CP159" s="447"/>
      <c r="CQ159" s="438"/>
      <c r="CR159" s="447"/>
      <c r="CS159" s="438"/>
      <c r="CT159" s="447"/>
      <c r="CU159" s="438"/>
      <c r="CV159" s="447"/>
      <c r="CW159" s="438"/>
      <c r="CX159" s="447"/>
      <c r="CY159" s="438"/>
      <c r="CZ159" s="447"/>
      <c r="DA159" s="438"/>
      <c r="DB159" s="447"/>
      <c r="DC159" s="438"/>
      <c r="DD159" s="447"/>
      <c r="DE159" s="438"/>
      <c r="DF159" s="447"/>
      <c r="DG159" s="438"/>
      <c r="DH159" s="447"/>
      <c r="DI159" s="438"/>
      <c r="DJ159" s="447"/>
      <c r="DK159" s="438"/>
      <c r="DL159" s="447"/>
      <c r="DM159" s="438"/>
      <c r="DN159" s="447"/>
      <c r="DO159" s="438"/>
      <c r="DP159" s="447"/>
      <c r="DQ159" s="438"/>
      <c r="DR159" s="447"/>
      <c r="DS159" s="438"/>
      <c r="DT159" s="447"/>
      <c r="DU159" s="438"/>
      <c r="DV159" s="447"/>
      <c r="DW159" s="438"/>
      <c r="DX159" s="447"/>
      <c r="DY159" s="438"/>
      <c r="DZ159" s="447"/>
      <c r="EA159" s="438"/>
      <c r="EB159" s="439"/>
      <c r="EC159" s="447"/>
      <c r="ED159" s="439"/>
      <c r="EE159" s="447"/>
      <c r="EF159" s="439"/>
      <c r="EG159" s="447"/>
      <c r="EH159" s="439"/>
      <c r="EI159" s="447"/>
      <c r="EJ159" s="438"/>
      <c r="EK159" s="447"/>
      <c r="EL159" s="438"/>
      <c r="EM159" s="447"/>
      <c r="EN159" s="438"/>
      <c r="EO159" s="447"/>
      <c r="EP159" s="438"/>
      <c r="EQ159" s="447"/>
      <c r="ER159" s="438"/>
      <c r="ES159" s="447"/>
      <c r="ET159" s="438"/>
      <c r="EU159" s="447"/>
      <c r="EV159" s="438"/>
      <c r="EW159" s="447"/>
      <c r="EX159" s="438"/>
      <c r="EY159" s="447"/>
      <c r="EZ159" s="438"/>
      <c r="FA159" s="447"/>
      <c r="FB159" s="438"/>
      <c r="FC159" s="447"/>
      <c r="FD159" s="438"/>
      <c r="FE159" s="447"/>
      <c r="FF159" s="438"/>
      <c r="FG159" s="447"/>
      <c r="FH159" s="438"/>
      <c r="FI159" s="447"/>
      <c r="FJ159" s="438"/>
      <c r="FK159" s="447"/>
      <c r="FL159" s="438"/>
      <c r="FM159" s="447"/>
      <c r="FN159" s="438"/>
      <c r="FO159" s="447"/>
      <c r="FP159" s="438"/>
      <c r="FQ159" s="447"/>
      <c r="FR159" s="438"/>
      <c r="FS159" s="438"/>
    </row>
    <row r="160" spans="1:176" s="529" customFormat="1" ht="12.75" hidden="1" customHeight="1" outlineLevel="1" x14ac:dyDescent="0.2">
      <c r="A160" s="446" t="s">
        <v>409</v>
      </c>
      <c r="B160" s="449"/>
      <c r="C160" s="439"/>
      <c r="D160" s="449"/>
      <c r="E160" s="439"/>
      <c r="F160" s="449"/>
      <c r="G160" s="439"/>
      <c r="H160" s="449"/>
      <c r="I160" s="439"/>
      <c r="J160" s="449"/>
      <c r="K160" s="439"/>
      <c r="L160" s="449"/>
      <c r="M160" s="439"/>
      <c r="N160" s="449"/>
      <c r="O160" s="439"/>
      <c r="P160" s="449"/>
      <c r="Q160" s="439"/>
      <c r="R160" s="449"/>
      <c r="S160" s="439"/>
      <c r="T160" s="449"/>
      <c r="U160" s="439"/>
      <c r="V160" s="449"/>
      <c r="W160" s="439"/>
      <c r="X160" s="449"/>
      <c r="Y160" s="439"/>
      <c r="Z160" s="449"/>
      <c r="AA160" s="439"/>
      <c r="AB160" s="449"/>
      <c r="AC160" s="439"/>
      <c r="AD160" s="449"/>
      <c r="AE160" s="439"/>
      <c r="AF160" s="449"/>
      <c r="AG160" s="439"/>
      <c r="AH160" s="449"/>
      <c r="AI160" s="438"/>
      <c r="AJ160" s="449"/>
      <c r="AK160" s="438"/>
      <c r="AL160" s="449"/>
      <c r="AM160" s="438"/>
      <c r="AN160" s="449"/>
      <c r="AO160" s="438"/>
      <c r="AP160" s="449"/>
      <c r="AQ160" s="438"/>
      <c r="AR160" s="449"/>
      <c r="AS160" s="438"/>
      <c r="AT160" s="449"/>
      <c r="AU160" s="438"/>
      <c r="AV160" s="449"/>
      <c r="AW160" s="438"/>
      <c r="AX160" s="449"/>
      <c r="AY160" s="438"/>
      <c r="AZ160" s="449"/>
      <c r="BA160" s="438"/>
      <c r="BB160" s="449"/>
      <c r="BC160" s="438"/>
      <c r="BD160" s="449"/>
      <c r="BE160" s="438"/>
      <c r="BF160" s="449"/>
      <c r="BG160" s="438"/>
      <c r="BH160" s="449"/>
      <c r="BI160" s="438"/>
      <c r="BJ160" s="449"/>
      <c r="BK160" s="438"/>
      <c r="BL160" s="449"/>
      <c r="BM160" s="438"/>
      <c r="BN160" s="449"/>
      <c r="BO160" s="438"/>
      <c r="BP160" s="449"/>
      <c r="BQ160" s="438"/>
      <c r="BR160" s="449"/>
      <c r="BS160" s="438"/>
      <c r="BT160" s="449"/>
      <c r="BU160" s="438"/>
      <c r="BV160" s="449"/>
      <c r="BW160" s="438"/>
      <c r="BX160" s="449"/>
      <c r="BY160" s="438"/>
      <c r="BZ160" s="449"/>
      <c r="CA160" s="438"/>
      <c r="CB160" s="449"/>
      <c r="CC160" s="438"/>
      <c r="CD160" s="449"/>
      <c r="CE160" s="438"/>
      <c r="CF160" s="449"/>
      <c r="CG160" s="438"/>
      <c r="CH160" s="449"/>
      <c r="CI160" s="438"/>
      <c r="CJ160" s="449"/>
      <c r="CK160" s="438"/>
      <c r="CL160" s="449"/>
      <c r="CM160" s="438"/>
      <c r="CN160" s="449"/>
      <c r="CO160" s="438"/>
      <c r="CP160" s="449"/>
      <c r="CQ160" s="438"/>
      <c r="CR160" s="449"/>
      <c r="CS160" s="438"/>
      <c r="CT160" s="449"/>
      <c r="CU160" s="438"/>
      <c r="CV160" s="449"/>
      <c r="CW160" s="438"/>
      <c r="CX160" s="449"/>
      <c r="CY160" s="438"/>
      <c r="CZ160" s="449"/>
      <c r="DA160" s="438"/>
      <c r="DB160" s="449"/>
      <c r="DC160" s="438"/>
      <c r="DD160" s="449"/>
      <c r="DE160" s="438"/>
      <c r="DF160" s="449"/>
      <c r="DG160" s="438"/>
      <c r="DH160" s="449"/>
      <c r="DI160" s="438"/>
      <c r="DJ160" s="449"/>
      <c r="DK160" s="438"/>
      <c r="DL160" s="449"/>
      <c r="DM160" s="438"/>
      <c r="DN160" s="449"/>
      <c r="DO160" s="438"/>
      <c r="DP160" s="449"/>
      <c r="DQ160" s="438"/>
      <c r="DR160" s="449"/>
      <c r="DS160" s="438"/>
      <c r="DT160" s="449"/>
      <c r="DU160" s="438"/>
      <c r="DV160" s="449"/>
      <c r="DW160" s="438"/>
      <c r="DX160" s="449"/>
      <c r="DY160" s="438"/>
      <c r="DZ160" s="449"/>
      <c r="EA160" s="438"/>
      <c r="EB160" s="439"/>
      <c r="EC160" s="449"/>
      <c r="ED160" s="439"/>
      <c r="EE160" s="449"/>
      <c r="EF160" s="439"/>
      <c r="EG160" s="449"/>
      <c r="EH160" s="439"/>
      <c r="EI160" s="449"/>
      <c r="EJ160" s="438"/>
      <c r="EK160" s="449"/>
      <c r="EL160" s="438"/>
      <c r="EM160" s="449"/>
      <c r="EN160" s="438"/>
      <c r="EO160" s="449"/>
      <c r="EP160" s="438"/>
      <c r="EQ160" s="449"/>
      <c r="ER160" s="438"/>
      <c r="ES160" s="449"/>
      <c r="ET160" s="438"/>
      <c r="EU160" s="449"/>
      <c r="EV160" s="438"/>
      <c r="EW160" s="449"/>
      <c r="EX160" s="438"/>
      <c r="EY160" s="449"/>
      <c r="EZ160" s="438"/>
      <c r="FA160" s="449"/>
      <c r="FB160" s="438"/>
      <c r="FC160" s="449"/>
      <c r="FD160" s="438"/>
      <c r="FE160" s="449"/>
      <c r="FF160" s="438"/>
      <c r="FG160" s="449"/>
      <c r="FH160" s="438"/>
      <c r="FI160" s="449"/>
      <c r="FJ160" s="438"/>
      <c r="FK160" s="449"/>
      <c r="FL160" s="438"/>
      <c r="FM160" s="449"/>
      <c r="FN160" s="438"/>
      <c r="FO160" s="449"/>
      <c r="FP160" s="438"/>
      <c r="FQ160" s="449"/>
      <c r="FR160" s="438"/>
      <c r="FS160" s="438"/>
    </row>
    <row r="161" spans="1:175" s="529" customFormat="1" ht="12.75" hidden="1" customHeight="1" outlineLevel="1" x14ac:dyDescent="0.2">
      <c r="A161" s="441" t="str">
        <f>+INPUT!B29</f>
        <v>Beginning Reserves</v>
      </c>
      <c r="B161" s="449">
        <f>+INPUT!AA29</f>
        <v>15338</v>
      </c>
      <c r="C161" s="439">
        <f>+INPUT!AB29</f>
        <v>-17.930333351169139</v>
      </c>
      <c r="D161" s="449">
        <f>+INPUT!AC29</f>
        <v>14965</v>
      </c>
      <c r="E161" s="439">
        <f>+INPUT!AD29</f>
        <v>-18.822891239490104</v>
      </c>
      <c r="F161" s="449">
        <f>+INPUT!AE29</f>
        <v>39780</v>
      </c>
      <c r="G161" s="439" t="str">
        <f>+INPUT!AF29</f>
        <v>NM</v>
      </c>
      <c r="H161" s="449">
        <f>+INPUT!AG29</f>
        <v>40815</v>
      </c>
      <c r="I161" s="439" t="str">
        <f>+INPUT!AH29</f>
        <v>NM</v>
      </c>
      <c r="J161" s="449">
        <f>+INPUT!AI29</f>
        <v>43949</v>
      </c>
      <c r="K161" s="439" t="str">
        <f>+INPUT!AJ29</f>
        <v>NM</v>
      </c>
      <c r="L161" s="449">
        <f>+INPUT!AK29</f>
        <v>44858</v>
      </c>
      <c r="M161" s="439" t="str">
        <f>+INPUT!AL29</f>
        <v>NM</v>
      </c>
      <c r="N161" s="449">
        <f>+INPUT!AM29</f>
        <v>44927</v>
      </c>
      <c r="O161" s="439">
        <f>+INPUT!AN29</f>
        <v>12.938662644544991</v>
      </c>
      <c r="P161" s="449">
        <f>+INPUT!AO29</f>
        <v>44474</v>
      </c>
      <c r="Q161" s="439">
        <f>+INPUT!AP29</f>
        <v>8.9648413573441275</v>
      </c>
      <c r="R161" s="449">
        <f>+INPUT!AQ29</f>
        <v>47418</v>
      </c>
      <c r="S161" s="439">
        <f>+INPUT!AR29</f>
        <v>7.8932398916926445</v>
      </c>
      <c r="T161" s="449">
        <f>+INPUT!AS29</f>
        <v>46386</v>
      </c>
      <c r="U161" s="439">
        <f>+INPUT!AT29</f>
        <v>3.4063043381336655</v>
      </c>
      <c r="V161" s="449">
        <f>+INPUT!AU29</f>
        <v>47402</v>
      </c>
      <c r="W161" s="439">
        <f>+INPUT!AV29</f>
        <v>5.5089367195672878</v>
      </c>
      <c r="X161" s="449">
        <f>+INPUT!AW29</f>
        <v>49484</v>
      </c>
      <c r="Y161" s="439">
        <f>+INPUT!AX29</f>
        <v>11.265008769168489</v>
      </c>
      <c r="Z161" s="449">
        <f>+INPUT!AY29</f>
        <v>50778</v>
      </c>
      <c r="AA161" s="439">
        <f>+INPUT!AZ29</f>
        <v>7.0859167404782966</v>
      </c>
      <c r="AB161" s="449">
        <f>+INPUT!BA29</f>
        <v>53181</v>
      </c>
      <c r="AC161" s="439">
        <f>+INPUT!BB29</f>
        <v>14.648816453240215</v>
      </c>
      <c r="AD161" s="449">
        <f>+INPUT!BC29</f>
        <v>68807</v>
      </c>
      <c r="AE161" s="439">
        <f>+INPUT!BD29</f>
        <v>45.1563225180372</v>
      </c>
      <c r="AF161" s="449">
        <f>+INPUT!BE29</f>
        <v>70555</v>
      </c>
      <c r="AG161" s="439">
        <f>+INPUT!BF29</f>
        <v>42.581440465605027</v>
      </c>
      <c r="AH161" s="449">
        <f>+INPUT!BG29</f>
        <v>74555</v>
      </c>
      <c r="AI161" s="438">
        <f>+INPUT!BH29</f>
        <v>46.825396825396808</v>
      </c>
      <c r="AJ161" s="449">
        <f>+INPUT!BI29</f>
        <v>75591</v>
      </c>
      <c r="AK161" s="438">
        <f>+INPUT!BJ29</f>
        <v>42.139109832458956</v>
      </c>
      <c r="AL161" s="449">
        <f>+INPUT!BK29</f>
        <v>78968</v>
      </c>
      <c r="AM161" s="438">
        <f>+INPUT!BL29</f>
        <v>14.767392852471389</v>
      </c>
      <c r="AN161" s="449">
        <f>+INPUT!BM29</f>
        <v>81173</v>
      </c>
      <c r="AO161" s="438">
        <f>+INPUT!BN29</f>
        <v>15.04925235631778</v>
      </c>
      <c r="AP161" s="449">
        <f>+INPUT!BO29</f>
        <v>80330</v>
      </c>
      <c r="AQ161" s="438">
        <f>+INPUT!BP29</f>
        <v>7.7459593588625779</v>
      </c>
      <c r="AR161" s="449">
        <f>+INPUT!BQ29</f>
        <v>74977</v>
      </c>
      <c r="AS161" s="438">
        <f>+INPUT!BR29</f>
        <v>-0.81226601050389036</v>
      </c>
      <c r="AT161" s="449">
        <f>+INPUT!BS29</f>
        <v>74707</v>
      </c>
      <c r="AU161" s="438">
        <f>+INPUT!BT29</f>
        <v>-5.3958565494883999</v>
      </c>
      <c r="AV161" s="449">
        <f>+INPUT!BU29</f>
        <v>67968</v>
      </c>
      <c r="AW161" s="438">
        <f>+INPUT!BV29</f>
        <v>-16.267724489670215</v>
      </c>
      <c r="AX161" s="449">
        <f>+INPUT!BW29</f>
        <v>60007</v>
      </c>
      <c r="AY161" s="438">
        <f>+INPUT!BX29</f>
        <v>-25.299390016183239</v>
      </c>
      <c r="AZ161" s="449">
        <f>+INPUT!BY29</f>
        <v>57942</v>
      </c>
      <c r="BA161" s="438">
        <f>+INPUT!BZ29</f>
        <v>-22.720300892273627</v>
      </c>
      <c r="BB161" s="449">
        <f>+INPUT!CA29</f>
        <v>65099</v>
      </c>
      <c r="BC161" s="438">
        <f>+INPUT!CB29</f>
        <v>-12.860909954890445</v>
      </c>
      <c r="BD161" s="449">
        <f>+INPUT!CC29</f>
        <v>75611</v>
      </c>
      <c r="BE161" s="438">
        <f>+INPUT!CD29</f>
        <v>11.244997645951031</v>
      </c>
      <c r="BF161" s="449">
        <f>+INPUT!CE29</f>
        <v>80519</v>
      </c>
      <c r="BG161" s="438">
        <f>+INPUT!CF29</f>
        <v>34.182678687486458</v>
      </c>
      <c r="BH161" s="449">
        <f>+INPUT!CG29</f>
        <v>85379</v>
      </c>
      <c r="BI161" s="438">
        <f>+INPUT!CH29</f>
        <v>47.352524938731847</v>
      </c>
      <c r="BJ161" s="449">
        <f>+INPUT!CI29</f>
        <v>83593</v>
      </c>
      <c r="BK161" s="438">
        <f>+INPUT!CJ29</f>
        <v>28.409038541298628</v>
      </c>
      <c r="BL161" s="449">
        <f>+INPUT!CK29</f>
        <v>93375</v>
      </c>
      <c r="BM161" s="438">
        <f>+INPUT!CL29</f>
        <v>23.493936067503412</v>
      </c>
      <c r="BN161" s="449">
        <f>+INPUT!CM29</f>
        <v>102348</v>
      </c>
      <c r="BO161" s="438">
        <f>+INPUT!CN29</f>
        <v>27.110371465120025</v>
      </c>
      <c r="BP161" s="449">
        <f>+INPUT!CO29</f>
        <v>109969</v>
      </c>
      <c r="BQ161" s="438">
        <f>+INPUT!CP29</f>
        <v>28.800993218472939</v>
      </c>
      <c r="BR161" s="449">
        <f>+INPUT!CQ29</f>
        <v>112202</v>
      </c>
      <c r="BS161" s="438">
        <f>+INPUT!CR29</f>
        <v>34.224157525151611</v>
      </c>
      <c r="BT161" s="449">
        <f>+INPUT!CS29</f>
        <v>102879</v>
      </c>
      <c r="BU161" s="438">
        <f>+INPUT!CT29</f>
        <v>10.178313253012035</v>
      </c>
      <c r="BV161" s="449">
        <f>+INPUT!CU29</f>
        <v>109743</v>
      </c>
      <c r="BW161" s="438">
        <f>+INPUT!CV29</f>
        <v>7.2253488099425454</v>
      </c>
      <c r="BX161" s="449">
        <f>+INPUT!CW29</f>
        <v>120276</v>
      </c>
      <c r="BY161" s="438">
        <f>+INPUT!CX29</f>
        <v>9.3726413807527535</v>
      </c>
      <c r="BZ161" s="449">
        <f>+INPUT!CY29</f>
        <v>120326</v>
      </c>
      <c r="CA161" s="438">
        <f>+INPUT!CZ29</f>
        <v>7.2405126468333805</v>
      </c>
      <c r="CB161" s="449">
        <f>+INPUT!DA29</f>
        <v>128949</v>
      </c>
      <c r="CC161" s="438">
        <f>+INPUT!DB29</f>
        <v>25.340448488029637</v>
      </c>
      <c r="CD161" s="449">
        <f>+INPUT!DC29</f>
        <v>131608</v>
      </c>
      <c r="CE161" s="438">
        <f>+INPUT!DD29</f>
        <v>19.923822020538907</v>
      </c>
      <c r="CF161" s="449">
        <f>+INPUT!DE29</f>
        <v>139034</v>
      </c>
      <c r="CG161" s="438">
        <f>+INPUT!DF29</f>
        <v>15.59579633509594</v>
      </c>
      <c r="CH161" s="449">
        <f>+INPUT!DG29</f>
        <v>137775</v>
      </c>
      <c r="CI161" s="438">
        <f>+INPUT!DH29</f>
        <v>14.501437760749965</v>
      </c>
      <c r="CJ161" s="449">
        <f>+INPUT!DI29</f>
        <v>143697</v>
      </c>
      <c r="CK161" s="438">
        <f>+INPUT!DJ29</f>
        <v>11.43707977572528</v>
      </c>
      <c r="CL161" s="449">
        <f>+INPUT!DK29</f>
        <v>150467</v>
      </c>
      <c r="CM161" s="438">
        <f>+INPUT!DL29</f>
        <v>14.329676007537543</v>
      </c>
      <c r="CN161" s="449">
        <f>+INPUT!DM29</f>
        <v>151620</v>
      </c>
      <c r="CO161" s="438">
        <f>+INPUT!DN29</f>
        <v>9.0524619877152332</v>
      </c>
      <c r="CP161" s="449">
        <f>+INPUT!DO29</f>
        <v>155890</v>
      </c>
      <c r="CQ161" s="438">
        <f>+INPUT!DP29</f>
        <v>13.148248956632187</v>
      </c>
      <c r="CR161" s="449">
        <f>+INPUT!DQ29</f>
        <v>153172</v>
      </c>
      <c r="CS161" s="438">
        <f>+INPUT!DR29</f>
        <v>6.5937354294104864</v>
      </c>
      <c r="CT161" s="449">
        <f>+INPUT!DS29</f>
        <v>155083</v>
      </c>
      <c r="CU161" s="438">
        <f>+INPUT!DT29</f>
        <v>3.067782304425549</v>
      </c>
      <c r="CV161" s="449">
        <f>+INPUT!DU29</f>
        <v>157552</v>
      </c>
      <c r="CW161" s="438">
        <f>+INPUT!DV29</f>
        <v>3.9124126104735524</v>
      </c>
      <c r="CX161" s="449">
        <f>+INPUT!DW29</f>
        <v>155424</v>
      </c>
      <c r="CY161" s="438">
        <f>+INPUT!DX29</f>
        <v>-0.29892873179807111</v>
      </c>
      <c r="CZ161" s="449">
        <f>+INPUT!DY29</f>
        <v>146685</v>
      </c>
      <c r="DA161" s="438">
        <f>+INPUT!DZ29</f>
        <v>-4.2351082443266392</v>
      </c>
      <c r="DB161" s="449">
        <f>+INPUT!EA29</f>
        <v>149441</v>
      </c>
      <c r="DC161" s="438">
        <f>+INPUT!EB29</f>
        <v>-3.6380518818954926</v>
      </c>
      <c r="DD161" s="449">
        <f>+INPUT!EC29</f>
        <v>149246</v>
      </c>
      <c r="DE161" s="438">
        <f>+INPUT!ED29</f>
        <v>-5.2719102264649109</v>
      </c>
      <c r="DF161" s="449">
        <f>+INPUT!EE29</f>
        <v>151188</v>
      </c>
      <c r="DG161" s="438">
        <f>+INPUT!EF29</f>
        <v>-2.7254478072884467</v>
      </c>
      <c r="DH161" s="449">
        <f>+INPUT!EG29</f>
        <v>154903</v>
      </c>
      <c r="DI161" s="438">
        <f>+INPUT!EH29</f>
        <v>5.6024815079933177</v>
      </c>
      <c r="DJ161" s="449">
        <f>+INPUT!EI29</f>
        <v>153295</v>
      </c>
      <c r="DK161" s="438">
        <f>+INPUT!EJ29</f>
        <v>2.5789441987138702</v>
      </c>
      <c r="DL161" s="449">
        <f>+INPUT!EK29</f>
        <v>156830</v>
      </c>
      <c r="DM161" s="438">
        <f>+INPUT!EL29</f>
        <v>5.0815432239389935</v>
      </c>
      <c r="DN161" s="449">
        <f>+INPUT!EM29</f>
        <v>159202</v>
      </c>
      <c r="DO161" s="438">
        <f>+INPUT!EN29</f>
        <v>5.3006852395692761</v>
      </c>
      <c r="DP161" s="449">
        <f>+INPUT!EO29</f>
        <v>162107</v>
      </c>
      <c r="DQ161" s="438">
        <f>+INPUT!EP29</f>
        <v>4.6506523437247864</v>
      </c>
      <c r="DR161" s="449">
        <f>+INPUT!EQ29</f>
        <v>165153</v>
      </c>
      <c r="DS161" s="438">
        <f>+INPUT!ER29</f>
        <v>7.7354121138980361</v>
      </c>
      <c r="DT161" s="449">
        <f>+INPUT!ES29</f>
        <v>161273.66837276367</v>
      </c>
      <c r="DU161" s="438">
        <f>+INPUT!ET29</f>
        <v>2.833430066163146</v>
      </c>
      <c r="DV161" s="449">
        <f>+INPUT!EU29</f>
        <v>161169.54101638336</v>
      </c>
      <c r="DW161" s="438">
        <f>+INPUT!EV29</f>
        <v>1.235877072136887</v>
      </c>
      <c r="DX161" s="449">
        <f>+INPUT!EW29</f>
        <v>161100.1277123804</v>
      </c>
      <c r="DY161" s="438">
        <f>+INPUT!EX29</f>
        <v>-0.62111586027722865</v>
      </c>
      <c r="DZ161" s="449"/>
      <c r="EA161" s="438"/>
      <c r="EB161" s="439">
        <f>+INPUT!FI29</f>
        <v>-6.8762713363403236</v>
      </c>
      <c r="EC161" s="449">
        <f>+INPUT!FJ29</f>
        <v>18689</v>
      </c>
      <c r="ED161" s="439">
        <f>+INPUT!FK29</f>
        <v>-11.25409563607009</v>
      </c>
      <c r="EE161" s="449">
        <f>+INPUT!FL29</f>
        <v>15338</v>
      </c>
      <c r="EF161" s="439">
        <f>+INPUT!FM29</f>
        <v>-17.930333351169139</v>
      </c>
      <c r="EG161" s="449">
        <f>+INPUT!FN29</f>
        <v>43949</v>
      </c>
      <c r="EH161" s="439" t="str">
        <f>+INPUT!FO29</f>
        <v>NM</v>
      </c>
      <c r="EI161" s="449">
        <f>+INPUT!FP29</f>
        <v>47418</v>
      </c>
      <c r="EJ161" s="438">
        <f>+INPUT!FQ29</f>
        <v>7.8932398916926445</v>
      </c>
      <c r="EK161" s="449">
        <f>+INPUT!FR29</f>
        <v>50778</v>
      </c>
      <c r="EL161" s="438">
        <f>+INPUT!FS29</f>
        <v>7.0859167404782966</v>
      </c>
      <c r="EM161" s="449">
        <f>+INPUT!FT29</f>
        <v>74555</v>
      </c>
      <c r="EN161" s="438">
        <f>+INPUT!FU29</f>
        <v>46.825396825396808</v>
      </c>
      <c r="EO161" s="449">
        <f>+INPUT!FV29</f>
        <v>80330</v>
      </c>
      <c r="EP161" s="438">
        <f>+INPUT!FW29</f>
        <v>7.7459593588625779</v>
      </c>
      <c r="EQ161" s="449">
        <f>+INPUT!FX29</f>
        <v>60007</v>
      </c>
      <c r="ER161" s="438">
        <f>+INPUT!FY29</f>
        <v>-25.299390016183239</v>
      </c>
      <c r="ES161" s="449">
        <f>+INPUT!FZ29</f>
        <v>80519</v>
      </c>
      <c r="ET161" s="438">
        <f>+INPUT!GA29</f>
        <v>34.182678687486458</v>
      </c>
      <c r="EU161" s="449">
        <f>+INPUT!GB29</f>
        <v>102348</v>
      </c>
      <c r="EV161" s="438">
        <f>+INPUT!GC29</f>
        <v>27.110371465120025</v>
      </c>
      <c r="EW161" s="449">
        <f>+INPUT!GD29</f>
        <v>109743</v>
      </c>
      <c r="EX161" s="438">
        <f>+INPUT!GE29</f>
        <v>7.2253488099425454</v>
      </c>
      <c r="EY161" s="449">
        <f>+INPUT!GF29</f>
        <v>131608</v>
      </c>
      <c r="EZ161" s="438">
        <f>+INPUT!GG29</f>
        <v>19.923822020538907</v>
      </c>
      <c r="FA161" s="449">
        <f>+INPUT!GH29</f>
        <v>150467</v>
      </c>
      <c r="FB161" s="438">
        <f>+INPUT!GI29</f>
        <v>14.329676007537543</v>
      </c>
      <c r="FC161" s="449">
        <f>+INPUT!GJ29</f>
        <v>155083</v>
      </c>
      <c r="FD161" s="438">
        <f>+INPUT!GK29</f>
        <v>3.067782304425549</v>
      </c>
      <c r="FE161" s="449">
        <f>+INPUT!GL29</f>
        <v>149441</v>
      </c>
      <c r="FF161" s="438">
        <f>+INPUT!GM29</f>
        <v>-3.6380518818954926</v>
      </c>
      <c r="FG161" s="449">
        <f>+INPUT!GN29</f>
        <v>153295</v>
      </c>
      <c r="FH161" s="438">
        <f>+INPUT!GO29</f>
        <v>2.5789441987138702</v>
      </c>
      <c r="FI161" s="449">
        <f>+INPUT!GP29</f>
        <v>165153</v>
      </c>
      <c r="FJ161" s="438">
        <f>+INPUT!GQ29</f>
        <v>7.7354121138980361</v>
      </c>
      <c r="FK161" s="449">
        <f>+INPUT!GR29</f>
        <v>161065.71608951961</v>
      </c>
      <c r="FL161" s="438">
        <f>+INPUT!GS29</f>
        <v>-2.4748469058875031</v>
      </c>
      <c r="FM161" s="449">
        <f>+INPUT!GT29</f>
        <v>161454.48436005326</v>
      </c>
      <c r="FN161" s="438">
        <f>+INPUT!GU29</f>
        <v>0.24137245341371738</v>
      </c>
      <c r="FO161" s="449">
        <f>+INPUT!GV29</f>
        <v>162329.92760641861</v>
      </c>
      <c r="FP161" s="438">
        <f>+INPUT!GW29</f>
        <v>0.54222293659745446</v>
      </c>
      <c r="FQ161" s="449">
        <f>+INPUT!GX29</f>
        <v>163742.64773326155</v>
      </c>
      <c r="FR161" s="438">
        <f>+INPUT!GY29</f>
        <v>0.87027706330786714</v>
      </c>
      <c r="FS161" s="438">
        <f>+INPUT!GZ29</f>
        <v>1.3273684382996587</v>
      </c>
    </row>
    <row r="162" spans="1:175" s="529" customFormat="1" ht="12.75" hidden="1" customHeight="1" outlineLevel="1" x14ac:dyDescent="0.2">
      <c r="A162" s="441" t="str">
        <f>+INPUT!B30</f>
        <v xml:space="preserve">  Deposits</v>
      </c>
      <c r="B162" s="449">
        <f>+INPUT!AA30</f>
        <v>331</v>
      </c>
      <c r="C162" s="439">
        <f>+INPUT!AB30</f>
        <v>-11.497326203208559</v>
      </c>
      <c r="D162" s="449">
        <f>+INPUT!AC30</f>
        <v>1070</v>
      </c>
      <c r="E162" s="439" t="str">
        <f>+INPUT!AD30</f>
        <v>NM</v>
      </c>
      <c r="F162" s="449">
        <f>+INPUT!AE30</f>
        <v>1469</v>
      </c>
      <c r="G162" s="439" t="str">
        <f>+INPUT!AF30</f>
        <v>NM</v>
      </c>
      <c r="H162" s="449">
        <f>+INPUT!AG30</f>
        <v>1548</v>
      </c>
      <c r="I162" s="439" t="str">
        <f>+INPUT!AH30</f>
        <v>NM</v>
      </c>
      <c r="J162" s="449">
        <f>+INPUT!AI30</f>
        <v>1723</v>
      </c>
      <c r="K162" s="439" t="str">
        <f>+INPUT!AJ30</f>
        <v>NM</v>
      </c>
      <c r="L162" s="449">
        <f>+INPUT!AK30</f>
        <v>1536</v>
      </c>
      <c r="M162" s="439">
        <f>+INPUT!AL30</f>
        <v>43.551401869158866</v>
      </c>
      <c r="N162" s="449">
        <f>+INPUT!AM30</f>
        <v>1259</v>
      </c>
      <c r="O162" s="439">
        <f>+INPUT!AN30</f>
        <v>-14.295439074200132</v>
      </c>
      <c r="P162" s="449">
        <f>+INPUT!AO30</f>
        <v>1288</v>
      </c>
      <c r="Q162" s="439">
        <f>+INPUT!AP30</f>
        <v>-16.795865633074939</v>
      </c>
      <c r="R162" s="449">
        <f>+INPUT!AQ30</f>
        <v>1433</v>
      </c>
      <c r="S162" s="439">
        <f>+INPUT!AR30</f>
        <v>-16.831108531630875</v>
      </c>
      <c r="T162" s="449">
        <f>+INPUT!AS30</f>
        <v>1779</v>
      </c>
      <c r="U162" s="439">
        <f>+INPUT!AT30</f>
        <v>15.8203125</v>
      </c>
      <c r="V162" s="449">
        <f>+INPUT!AU30</f>
        <v>1930</v>
      </c>
      <c r="W162" s="439">
        <f>+INPUT!AV30</f>
        <v>53.296266878474967</v>
      </c>
      <c r="X162" s="449">
        <f>+INPUT!AW30</f>
        <v>1964</v>
      </c>
      <c r="Y162" s="439">
        <f>+INPUT!AX30</f>
        <v>52.484472049689458</v>
      </c>
      <c r="Z162" s="449">
        <f>+INPUT!AY30</f>
        <v>2129</v>
      </c>
      <c r="AA162" s="439">
        <f>+INPUT!AZ30</f>
        <v>48.569434752267966</v>
      </c>
      <c r="AB162" s="449">
        <f>+INPUT!BA30</f>
        <v>2500</v>
      </c>
      <c r="AC162" s="439">
        <f>+INPUT!BB30</f>
        <v>40.528386734120289</v>
      </c>
      <c r="AD162" s="449">
        <f>+INPUT!BC30</f>
        <v>2323</v>
      </c>
      <c r="AE162" s="439">
        <f>+INPUT!BD30</f>
        <v>20.362694300518143</v>
      </c>
      <c r="AF162" s="449">
        <f>+INPUT!BE30</f>
        <v>2641</v>
      </c>
      <c r="AG162" s="439">
        <f>+INPUT!BF30</f>
        <v>34.470468431771877</v>
      </c>
      <c r="AH162" s="449">
        <f>+INPUT!BG30</f>
        <v>2779</v>
      </c>
      <c r="AI162" s="438">
        <f>+INPUT!BH30</f>
        <v>30.530765617660876</v>
      </c>
      <c r="AJ162" s="449">
        <f>+INPUT!BI30</f>
        <v>3033</v>
      </c>
      <c r="AK162" s="438">
        <f>+INPUT!BJ30</f>
        <v>21.320000000000007</v>
      </c>
      <c r="AL162" s="449">
        <f>+INPUT!BK30</f>
        <v>2825</v>
      </c>
      <c r="AM162" s="438">
        <f>+INPUT!BL30</f>
        <v>21.609987085665082</v>
      </c>
      <c r="AN162" s="449">
        <f>+INPUT!BM30</f>
        <v>3041</v>
      </c>
      <c r="AO162" s="438">
        <f>+INPUT!BN30</f>
        <v>15.145778114350634</v>
      </c>
      <c r="AP162" s="449">
        <f>+INPUT!BO30</f>
        <v>2829</v>
      </c>
      <c r="AQ162" s="438">
        <f>+INPUT!BP30</f>
        <v>1.7992083483267436</v>
      </c>
      <c r="AR162" s="449">
        <f>+INPUT!BQ30</f>
        <v>2740</v>
      </c>
      <c r="AS162" s="438">
        <f>+INPUT!BR30</f>
        <v>-9.6604022420046221</v>
      </c>
      <c r="AT162" s="449">
        <f>+INPUT!BS30</f>
        <v>2507</v>
      </c>
      <c r="AU162" s="438">
        <f>+INPUT!BT30</f>
        <v>-11.256637168141594</v>
      </c>
      <c r="AV162" s="449">
        <f>+INPUT!BU30</f>
        <v>2132</v>
      </c>
      <c r="AW162" s="438">
        <f>+INPUT!BV30</f>
        <v>-29.891483064781326</v>
      </c>
      <c r="AX162" s="449">
        <f>+INPUT!BW30</f>
        <v>2108</v>
      </c>
      <c r="AY162" s="438">
        <f>+INPUT!BX30</f>
        <v>-25.48603746907034</v>
      </c>
      <c r="AZ162" s="449">
        <f>+INPUT!BY30</f>
        <v>3378</v>
      </c>
      <c r="BA162" s="438">
        <f>+INPUT!BZ30</f>
        <v>23.28467153284673</v>
      </c>
      <c r="BB162" s="449">
        <f>+INPUT!CA30</f>
        <v>5829</v>
      </c>
      <c r="BC162" s="438" t="str">
        <f>+INPUT!CB30</f>
        <v>NM</v>
      </c>
      <c r="BD162" s="449">
        <f>+INPUT!CC30</f>
        <v>4802</v>
      </c>
      <c r="BE162" s="438" t="str">
        <f>+INPUT!CD30</f>
        <v>NM</v>
      </c>
      <c r="BF162" s="449">
        <f>+INPUT!CE30</f>
        <v>4867</v>
      </c>
      <c r="BG162" s="438" t="str">
        <f>+INPUT!CF30</f>
        <v>NM</v>
      </c>
      <c r="BH162" s="449">
        <f>+INPUT!CG30</f>
        <v>5308</v>
      </c>
      <c r="BI162" s="438">
        <f>+INPUT!CH30</f>
        <v>57.134399052693908</v>
      </c>
      <c r="BJ162" s="449">
        <f>+INPUT!CI30</f>
        <v>5368</v>
      </c>
      <c r="BK162" s="438">
        <f>+INPUT!CJ30</f>
        <v>-7.9087322010636569</v>
      </c>
      <c r="BL162" s="449">
        <f>+INPUT!CK30</f>
        <v>6108</v>
      </c>
      <c r="BM162" s="438">
        <f>+INPUT!CL30</f>
        <v>27.197001249479385</v>
      </c>
      <c r="BN162" s="449">
        <f>+INPUT!CM30</f>
        <v>6815</v>
      </c>
      <c r="BO162" s="438">
        <f>+INPUT!CN30</f>
        <v>40.024655845490031</v>
      </c>
      <c r="BP162" s="449">
        <f>+INPUT!CO30</f>
        <v>4531</v>
      </c>
      <c r="BQ162" s="438">
        <f>+INPUT!CP30</f>
        <v>-14.638281838733988</v>
      </c>
      <c r="BR162" s="449">
        <f>+INPUT!CQ30</f>
        <v>4472</v>
      </c>
      <c r="BS162" s="438">
        <f>+INPUT!CR30</f>
        <v>-16.691505216095379</v>
      </c>
      <c r="BT162" s="449">
        <f>+INPUT!CS30</f>
        <v>4406</v>
      </c>
      <c r="BU162" s="438">
        <f>+INPUT!CT30</f>
        <v>-27.865094957432873</v>
      </c>
      <c r="BV162" s="449">
        <f>+INPUT!CU30</f>
        <v>4943</v>
      </c>
      <c r="BW162" s="438">
        <f>+INPUT!CV30</f>
        <v>-27.46881878209831</v>
      </c>
      <c r="BX162" s="449">
        <f>+INPUT!CW30</f>
        <v>5344</v>
      </c>
      <c r="BY162" s="438">
        <f>+INPUT!CX30</f>
        <v>17.943058927389103</v>
      </c>
      <c r="BZ162" s="449">
        <f>+INPUT!CY30</f>
        <v>5912</v>
      </c>
      <c r="CA162" s="438">
        <f>+INPUT!CZ30</f>
        <v>32.200357781753155</v>
      </c>
      <c r="CB162" s="449">
        <f>+INPUT!DA30</f>
        <v>3778</v>
      </c>
      <c r="CC162" s="438">
        <f>+INPUT!DB30</f>
        <v>-14.253290966863361</v>
      </c>
      <c r="CD162" s="449">
        <f>+INPUT!DC30</f>
        <v>4208</v>
      </c>
      <c r="CE162" s="438">
        <f>+INPUT!DD30</f>
        <v>-14.869512441836946</v>
      </c>
      <c r="CF162" s="449">
        <f>+INPUT!DE30</f>
        <v>2439</v>
      </c>
      <c r="CG162" s="438" t="str">
        <f>+INPUT!DF30</f>
        <v>NM</v>
      </c>
      <c r="CH162" s="449">
        <f>+INPUT!DG30</f>
        <v>2388</v>
      </c>
      <c r="CI162" s="438" t="str">
        <f>+INPUT!DH30</f>
        <v>NM</v>
      </c>
      <c r="CJ162" s="449">
        <f>+INPUT!DI30</f>
        <v>2412</v>
      </c>
      <c r="CK162" s="438">
        <f>+INPUT!DJ30</f>
        <v>-36.156696664902064</v>
      </c>
      <c r="CL162" s="449">
        <f>+INPUT!DK30</f>
        <v>2304</v>
      </c>
      <c r="CM162" s="438">
        <f>+INPUT!DL30</f>
        <v>-45.247148288973385</v>
      </c>
      <c r="CN162" s="449">
        <f>+INPUT!DM30</f>
        <v>2651</v>
      </c>
      <c r="CO162" s="438">
        <f>+INPUT!DN30</f>
        <v>8.6920869208692011</v>
      </c>
      <c r="CP162" s="449">
        <f>+INPUT!DO30</f>
        <v>2561</v>
      </c>
      <c r="CQ162" s="438">
        <f>+INPUT!DP30</f>
        <v>7.2445561139028456</v>
      </c>
      <c r="CR162" s="449">
        <f>+INPUT!DQ30</f>
        <v>2441</v>
      </c>
      <c r="CS162" s="438">
        <f>+INPUT!DR30</f>
        <v>1.2023217247097762</v>
      </c>
      <c r="CT162" s="449">
        <f>+INPUT!DS30</f>
        <v>2215</v>
      </c>
      <c r="CU162" s="438">
        <f>+INPUT!DT30</f>
        <v>-3.8628472222222143</v>
      </c>
      <c r="CV162" s="449">
        <f>+INPUT!DU30</f>
        <v>2326</v>
      </c>
      <c r="CW162" s="438">
        <f>+INPUT!DV30</f>
        <v>-12.259524707657491</v>
      </c>
      <c r="CX162" s="449">
        <f>+INPUT!DW30</f>
        <v>2115</v>
      </c>
      <c r="CY162" s="438">
        <f>+INPUT!DX30</f>
        <v>-17.415072237407259</v>
      </c>
      <c r="CZ162" s="449">
        <f>+INPUT!DY30</f>
        <v>2076</v>
      </c>
      <c r="DA162" s="438">
        <f>+INPUT!DZ30</f>
        <v>-14.952888160589922</v>
      </c>
      <c r="DB162" s="449">
        <f>+INPUT!EA30</f>
        <v>2001</v>
      </c>
      <c r="DC162" s="438">
        <f>+INPUT!EB30</f>
        <v>-9.661399548532728</v>
      </c>
      <c r="DD162" s="449">
        <f>+INPUT!EC30</f>
        <v>2267</v>
      </c>
      <c r="DE162" s="438">
        <f>+INPUT!ED30</f>
        <v>-2.5365434221840104</v>
      </c>
      <c r="DF162" s="449">
        <f>+INPUT!EE30</f>
        <v>2088</v>
      </c>
      <c r="DG162" s="438">
        <f>+INPUT!EF30</f>
        <v>-1.2765957446808471</v>
      </c>
      <c r="DH162" s="449">
        <f>+INPUT!EG30</f>
        <v>1638</v>
      </c>
      <c r="DI162" s="438">
        <f>+INPUT!EH30</f>
        <v>-21.098265895953759</v>
      </c>
      <c r="DJ162" s="449">
        <f>+INPUT!EI30</f>
        <v>1428</v>
      </c>
      <c r="DK162" s="438">
        <f>+INPUT!EJ30</f>
        <v>-28.635682158920545</v>
      </c>
      <c r="DL162" s="449">
        <f>+INPUT!EK30</f>
        <v>1493</v>
      </c>
      <c r="DM162" s="438">
        <f>+INPUT!EL30</f>
        <v>-34.142037935597699</v>
      </c>
      <c r="DN162" s="449">
        <f>+INPUT!EM30</f>
        <v>1318</v>
      </c>
      <c r="DO162" s="438">
        <f>+INPUT!EN30</f>
        <v>-36.877394636015325</v>
      </c>
      <c r="DP162" s="449">
        <f>+INPUT!EO30</f>
        <v>1613</v>
      </c>
      <c r="DQ162" s="438">
        <f>+INPUT!EP30</f>
        <v>-1.5262515262515137</v>
      </c>
      <c r="DR162" s="449">
        <f>+INPUT!EQ30</f>
        <v>1645.26</v>
      </c>
      <c r="DS162" s="438">
        <f>+INPUT!ER30</f>
        <v>15.214285714285708</v>
      </c>
      <c r="DT162" s="449">
        <f>+INPUT!ES30</f>
        <v>1678.1651999999999</v>
      </c>
      <c r="DU162" s="438">
        <f>+INPUT!ET30</f>
        <v>12.402223710649693</v>
      </c>
      <c r="DV162" s="449">
        <f>+INPUT!EU30</f>
        <v>1711.7285039999999</v>
      </c>
      <c r="DW162" s="438">
        <f>+INPUT!EV30</f>
        <v>29.873179362670697</v>
      </c>
      <c r="DX162" s="449">
        <f>+INPUT!EW30</f>
        <v>1745.9630740800001</v>
      </c>
      <c r="DY162" s="438">
        <f>+INPUT!EX30</f>
        <v>8.2432160000000039</v>
      </c>
      <c r="DZ162" s="449"/>
      <c r="EA162" s="438"/>
      <c r="EB162" s="439">
        <f>+INPUT!FI30</f>
        <v>-29.740187949143177</v>
      </c>
      <c r="EC162" s="449">
        <f>+INPUT!FJ30</f>
        <v>1395</v>
      </c>
      <c r="ED162" s="439">
        <f>+INPUT!FK30</f>
        <v>9.7560975609756184</v>
      </c>
      <c r="EE162" s="449">
        <f>+INPUT!FL30</f>
        <v>4418</v>
      </c>
      <c r="EF162" s="439" t="str">
        <f>+INPUT!FM30</f>
        <v>NM</v>
      </c>
      <c r="EG162" s="449">
        <f>+INPUT!FN30</f>
        <v>5806</v>
      </c>
      <c r="EH162" s="439">
        <f>+INPUT!FO30</f>
        <v>31.416930737890453</v>
      </c>
      <c r="EI162" s="449">
        <f>+INPUT!FP30</f>
        <v>7106</v>
      </c>
      <c r="EJ162" s="438">
        <f>+INPUT!FQ30</f>
        <v>22.390630382363071</v>
      </c>
      <c r="EK162" s="449">
        <f>+INPUT!FR30</f>
        <v>9593</v>
      </c>
      <c r="EL162" s="438">
        <f>+INPUT!FS30</f>
        <v>34.998592738530817</v>
      </c>
      <c r="EM162" s="449">
        <f>+INPUT!FT30</f>
        <v>11678</v>
      </c>
      <c r="EN162" s="438">
        <f>+INPUT!FU30</f>
        <v>21.734598144480358</v>
      </c>
      <c r="EO162" s="449">
        <f>+INPUT!FV30</f>
        <v>10208</v>
      </c>
      <c r="EP162" s="438">
        <f>+INPUT!FW30</f>
        <v>-12.587771878746352</v>
      </c>
      <c r="EQ162" s="449">
        <f>+INPUT!FX30</f>
        <v>16117</v>
      </c>
      <c r="ER162" s="438">
        <f>+INPUT!FY30</f>
        <v>57.885971786833863</v>
      </c>
      <c r="ES162" s="449">
        <f>+INPUT!FZ30</f>
        <v>21651</v>
      </c>
      <c r="ET162" s="438">
        <f>+INPUT!GA30</f>
        <v>34.33641496556433</v>
      </c>
      <c r="EU162" s="449">
        <f>+INPUT!GB30</f>
        <v>20224</v>
      </c>
      <c r="EV162" s="438">
        <f>+INPUT!GC30</f>
        <v>-6.5909195880097968</v>
      </c>
      <c r="EW162" s="449">
        <f>+INPUT!GD30</f>
        <v>19977</v>
      </c>
      <c r="EX162" s="438">
        <f>+INPUT!GE30</f>
        <v>-1.2213212025316409</v>
      </c>
      <c r="EY162" s="449">
        <f>+INPUT!GF30</f>
        <v>11447</v>
      </c>
      <c r="EZ162" s="438">
        <f>+INPUT!GG30</f>
        <v>-42.699103969565002</v>
      </c>
      <c r="FA162" s="449">
        <f>+INPUT!GH30</f>
        <v>9957</v>
      </c>
      <c r="FB162" s="438">
        <f>+INPUT!GI30</f>
        <v>-13.016510876212109</v>
      </c>
      <c r="FC162" s="449">
        <f>+INPUT!GJ30</f>
        <v>8732</v>
      </c>
      <c r="FD162" s="438">
        <f>+INPUT!GK30</f>
        <v>-12.302902480666873</v>
      </c>
      <c r="FE162" s="449">
        <f>+INPUT!GL30</f>
        <v>7994</v>
      </c>
      <c r="FF162" s="438">
        <f>+INPUT!GM30</f>
        <v>-8.4516720109940451</v>
      </c>
      <c r="FG162" s="449">
        <f>+INPUT!GN30</f>
        <v>5852</v>
      </c>
      <c r="FH162" s="438">
        <f>+INPUT!GO30</f>
        <v>-26.79509632224169</v>
      </c>
      <c r="FI162" s="449">
        <f>+INPUT!GP30</f>
        <v>6781.1167780799997</v>
      </c>
      <c r="FJ162" s="438">
        <f>+INPUT!GQ30</f>
        <v>15.8769100833903</v>
      </c>
      <c r="FK162" s="449">
        <f>+INPUT!GR30</f>
        <v>7459.2284558880001</v>
      </c>
      <c r="FL162" s="438">
        <f>+INPUT!GS30</f>
        <v>10.000000000000014</v>
      </c>
      <c r="FM162" s="449">
        <f>+INPUT!GT30</f>
        <v>8205.1513014768007</v>
      </c>
      <c r="FN162" s="438">
        <f>+INPUT!GU30</f>
        <v>10.000000000000014</v>
      </c>
      <c r="FO162" s="449">
        <f>+INPUT!GV30</f>
        <v>9025.6664316244824</v>
      </c>
      <c r="FP162" s="438">
        <f>+INPUT!GW30</f>
        <v>10.000000000000014</v>
      </c>
      <c r="FQ162" s="449">
        <f>+INPUT!GX30</f>
        <v>9928.233074786931</v>
      </c>
      <c r="FR162" s="438">
        <f>+INPUT!GY30</f>
        <v>10.000000000000014</v>
      </c>
      <c r="FS162" s="438">
        <f>+INPUT!GZ30</f>
        <v>11.15103967679476</v>
      </c>
    </row>
    <row r="163" spans="1:175" s="529" customFormat="1" ht="12.75" hidden="1" customHeight="1" outlineLevel="1" x14ac:dyDescent="0.2">
      <c r="A163" s="441" t="str">
        <f>+INPUT!B33</f>
        <v xml:space="preserve">  Redemptions</v>
      </c>
      <c r="B163" s="449">
        <f>+INPUT!AA33</f>
        <v>-418</v>
      </c>
      <c r="C163" s="439">
        <f>+INPUT!AB33</f>
        <v>-21.722846441947567</v>
      </c>
      <c r="D163" s="449">
        <f>+INPUT!AC33</f>
        <v>-924</v>
      </c>
      <c r="E163" s="439">
        <f>+INPUT!AD33</f>
        <v>64.120781527531079</v>
      </c>
      <c r="F163" s="449">
        <f>+INPUT!AE33</f>
        <v>-1159</v>
      </c>
      <c r="G163" s="439" t="str">
        <f>+INPUT!AF33</f>
        <v>NM</v>
      </c>
      <c r="H163" s="449">
        <f>+INPUT!AG33</f>
        <v>-1215</v>
      </c>
      <c r="I163" s="439" t="str">
        <f>+INPUT!AH33</f>
        <v>NM</v>
      </c>
      <c r="J163" s="449">
        <f>+INPUT!AI33</f>
        <v>-1352</v>
      </c>
      <c r="K163" s="439" t="str">
        <f>+INPUT!AJ33</f>
        <v>NM</v>
      </c>
      <c r="L163" s="449">
        <f>+INPUT!AK33</f>
        <v>-1263</v>
      </c>
      <c r="M163" s="439">
        <f>+INPUT!AL33</f>
        <v>36.688311688311671</v>
      </c>
      <c r="N163" s="449">
        <f>+INPUT!AM33</f>
        <v>-1266</v>
      </c>
      <c r="O163" s="439">
        <f>+INPUT!AN33</f>
        <v>9.2320966350301887</v>
      </c>
      <c r="P163" s="449">
        <f>+INPUT!AO33</f>
        <v>-1343</v>
      </c>
      <c r="Q163" s="439">
        <f>+INPUT!AP33</f>
        <v>10.534979423868322</v>
      </c>
      <c r="R163" s="449">
        <f>+INPUT!AQ33</f>
        <v>-1388</v>
      </c>
      <c r="S163" s="439">
        <f>+INPUT!AR33</f>
        <v>2.6627218934911241</v>
      </c>
      <c r="T163" s="449">
        <f>+INPUT!AS33</f>
        <v>-1470</v>
      </c>
      <c r="U163" s="439">
        <f>+INPUT!AT33</f>
        <v>16.389548693586704</v>
      </c>
      <c r="V163" s="449">
        <f>+INPUT!AU33</f>
        <v>-1397</v>
      </c>
      <c r="W163" s="439">
        <f>+INPUT!AV33</f>
        <v>10.347551342811997</v>
      </c>
      <c r="X163" s="449">
        <f>+INPUT!AW33</f>
        <v>-1436</v>
      </c>
      <c r="Y163" s="439">
        <f>+INPUT!AX33</f>
        <v>6.9247952345495207</v>
      </c>
      <c r="Z163" s="449">
        <f>+INPUT!AY33</f>
        <v>-1585</v>
      </c>
      <c r="AA163" s="439">
        <f>+INPUT!AZ33</f>
        <v>14.19308357348703</v>
      </c>
      <c r="AB163" s="449">
        <f>+INPUT!BA33</f>
        <v>-1757</v>
      </c>
      <c r="AC163" s="439">
        <f>+INPUT!BB33</f>
        <v>19.523809523809518</v>
      </c>
      <c r="AD163" s="449">
        <f>+INPUT!BC33</f>
        <v>-2084</v>
      </c>
      <c r="AE163" s="439">
        <f>+INPUT!BD33</f>
        <v>49.176807444523973</v>
      </c>
      <c r="AF163" s="449">
        <f>+INPUT!BE33</f>
        <v>-2296</v>
      </c>
      <c r="AG163" s="439">
        <f>+INPUT!BF33</f>
        <v>59.888579387186638</v>
      </c>
      <c r="AH163" s="449">
        <f>+INPUT!BG33</f>
        <v>-2310</v>
      </c>
      <c r="AI163" s="438">
        <f>+INPUT!BH33</f>
        <v>45.741324921135657</v>
      </c>
      <c r="AJ163" s="449">
        <f>+INPUT!BI33</f>
        <v>-2515</v>
      </c>
      <c r="AK163" s="438">
        <f>+INPUT!BJ33</f>
        <v>43.141718838929989</v>
      </c>
      <c r="AL163" s="449">
        <f>+INPUT!BK33</f>
        <v>-2328</v>
      </c>
      <c r="AM163" s="438">
        <f>+INPUT!BL33</f>
        <v>11.708253358925134</v>
      </c>
      <c r="AN163" s="449">
        <f>+INPUT!BM33</f>
        <v>-2415</v>
      </c>
      <c r="AO163" s="438">
        <f>+INPUT!BN33</f>
        <v>5.1829268292682826</v>
      </c>
      <c r="AP163" s="449">
        <f>+INPUT!BO33</f>
        <v>-2173</v>
      </c>
      <c r="AQ163" s="438">
        <f>+INPUT!BP33</f>
        <v>-5.9307359307359349</v>
      </c>
      <c r="AR163" s="449">
        <f>+INPUT!BQ33</f>
        <v>-2185</v>
      </c>
      <c r="AS163" s="438">
        <f>+INPUT!BR33</f>
        <v>-13.121272365805169</v>
      </c>
      <c r="AT163" s="449">
        <f>+INPUT!BS33</f>
        <v>-1988</v>
      </c>
      <c r="AU163" s="438">
        <f>+INPUT!BT33</f>
        <v>-14.604810996563572</v>
      </c>
      <c r="AV163" s="449">
        <f>+INPUT!BU33</f>
        <v>-1654</v>
      </c>
      <c r="AW163" s="438">
        <f>+INPUT!BV33</f>
        <v>-31.511387163561082</v>
      </c>
      <c r="AX163" s="449">
        <f>+INPUT!BW33</f>
        <v>-1443</v>
      </c>
      <c r="AY163" s="438">
        <f>+INPUT!BX33</f>
        <v>-33.594109526000921</v>
      </c>
      <c r="AZ163" s="449">
        <f>+INPUT!BY33</f>
        <v>-1315</v>
      </c>
      <c r="BA163" s="438">
        <f>+INPUT!BZ33</f>
        <v>-39.816933638443942</v>
      </c>
      <c r="BB163" s="449">
        <f>+INPUT!CA33</f>
        <v>-1444</v>
      </c>
      <c r="BC163" s="438">
        <f>+INPUT!CB33</f>
        <v>-27.364185110663982</v>
      </c>
      <c r="BD163" s="449">
        <f>+INPUT!CC33</f>
        <v>-1574</v>
      </c>
      <c r="BE163" s="438">
        <f>+INPUT!CD33</f>
        <v>-4.8367593712212766</v>
      </c>
      <c r="BF163" s="449">
        <f>+INPUT!CE33</f>
        <v>-1670</v>
      </c>
      <c r="BG163" s="438">
        <f>+INPUT!CF33</f>
        <v>15.731115731115736</v>
      </c>
      <c r="BH163" s="449">
        <f>+INPUT!CG33</f>
        <v>-1714</v>
      </c>
      <c r="BI163" s="438">
        <f>+INPUT!CH33</f>
        <v>30.342205323193923</v>
      </c>
      <c r="BJ163" s="449">
        <f>+INPUT!CI33</f>
        <v>-1660</v>
      </c>
      <c r="BK163" s="438">
        <f>+INPUT!CJ33</f>
        <v>14.958448753462591</v>
      </c>
      <c r="BL163" s="449">
        <f>+INPUT!CK33</f>
        <v>-1879</v>
      </c>
      <c r="BM163" s="438">
        <f>+INPUT!CL33</f>
        <v>19.377382465057181</v>
      </c>
      <c r="BN163" s="449">
        <f>+INPUT!CM33</f>
        <v>-1967</v>
      </c>
      <c r="BO163" s="438">
        <f>+INPUT!CN33</f>
        <v>17.784431137724539</v>
      </c>
      <c r="BP163" s="449">
        <f>+INPUT!CO33</f>
        <v>-1933</v>
      </c>
      <c r="BQ163" s="438">
        <f>+INPUT!CP33</f>
        <v>12.777129521586943</v>
      </c>
      <c r="BR163" s="449">
        <f>+INPUT!CQ33</f>
        <v>-1623</v>
      </c>
      <c r="BS163" s="438">
        <f>+INPUT!CR33</f>
        <v>-2.2289156626505928</v>
      </c>
      <c r="BT163" s="449">
        <f>+INPUT!CS33</f>
        <v>-1526</v>
      </c>
      <c r="BU163" s="438">
        <f>+INPUT!CT33</f>
        <v>-18.786588610963278</v>
      </c>
      <c r="BV163" s="449">
        <f>+INPUT!CU33</f>
        <v>-1676</v>
      </c>
      <c r="BW163" s="438">
        <f>+INPUT!CV33</f>
        <v>-14.794102694458573</v>
      </c>
      <c r="BX163" s="449">
        <f>+INPUT!CW33</f>
        <v>-1626</v>
      </c>
      <c r="BY163" s="438">
        <f>+INPUT!CX33</f>
        <v>-15.882048629073978</v>
      </c>
      <c r="BZ163" s="449">
        <f>+INPUT!CY33</f>
        <v>-1579</v>
      </c>
      <c r="CA163" s="438">
        <f>+INPUT!CZ33</f>
        <v>-2.7110289587184155</v>
      </c>
      <c r="CB163" s="449">
        <f>+INPUT!DA33</f>
        <v>-1765</v>
      </c>
      <c r="CC163" s="438">
        <f>+INPUT!DB33</f>
        <v>15.661861074705115</v>
      </c>
      <c r="CD163" s="449">
        <f>+INPUT!DC33</f>
        <v>-1776</v>
      </c>
      <c r="CE163" s="438">
        <f>+INPUT!DD33</f>
        <v>5.9665871121718368</v>
      </c>
      <c r="CF163" s="449">
        <f>+INPUT!DE33</f>
        <v>-1898</v>
      </c>
      <c r="CG163" s="438">
        <f>+INPUT!DF33</f>
        <v>16.72816728167281</v>
      </c>
      <c r="CH163" s="449">
        <f>+INPUT!DG33</f>
        <v>-1824</v>
      </c>
      <c r="CI163" s="438">
        <f>+INPUT!DH33</f>
        <v>15.516149461684606</v>
      </c>
      <c r="CJ163" s="449">
        <f>+INPUT!DI33</f>
        <v>-2069</v>
      </c>
      <c r="CK163" s="438">
        <f>+INPUT!DJ33</f>
        <v>17.223796033994333</v>
      </c>
      <c r="CL163" s="449">
        <f>+INPUT!DK33</f>
        <v>-2158</v>
      </c>
      <c r="CM163" s="438">
        <f>+INPUT!DL33</f>
        <v>21.509009009009006</v>
      </c>
      <c r="CN163" s="449">
        <f>+INPUT!DM33</f>
        <v>-2187</v>
      </c>
      <c r="CO163" s="438">
        <f>+INPUT!DN33</f>
        <v>15.226554267650158</v>
      </c>
      <c r="CP163" s="449">
        <f>+INPUT!DO33</f>
        <v>-2152</v>
      </c>
      <c r="CQ163" s="438">
        <f>+INPUT!DP33</f>
        <v>17.982456140350877</v>
      </c>
      <c r="CR163" s="449">
        <f>+INPUT!DQ33</f>
        <v>-2217</v>
      </c>
      <c r="CS163" s="438">
        <f>+INPUT!DR33</f>
        <v>7.1532141130981017</v>
      </c>
      <c r="CT163" s="449">
        <f>+INPUT!DS33</f>
        <v>-2167</v>
      </c>
      <c r="CU163" s="438">
        <f>+INPUT!DT33</f>
        <v>0.41705282669137489</v>
      </c>
      <c r="CV163" s="449">
        <f>+INPUT!DU33</f>
        <v>-2170</v>
      </c>
      <c r="CW163" s="438">
        <f>+INPUT!DV33</f>
        <v>-0.77732053040695348</v>
      </c>
      <c r="CX163" s="449">
        <f>+INPUT!DW33</f>
        <v>-1965</v>
      </c>
      <c r="CY163" s="438">
        <f>+INPUT!DX33</f>
        <v>-8.6895910780669112</v>
      </c>
      <c r="CZ163" s="449">
        <f>+INPUT!DY33</f>
        <v>-1989</v>
      </c>
      <c r="DA163" s="438">
        <f>+INPUT!DZ33</f>
        <v>-10.284167794316645</v>
      </c>
      <c r="DB163" s="449">
        <f>+INPUT!EA33</f>
        <v>-1748</v>
      </c>
      <c r="DC163" s="438">
        <f>+INPUT!EB33</f>
        <v>-19.335486848177212</v>
      </c>
      <c r="DD163" s="449">
        <f>+INPUT!EC33</f>
        <v>-1914</v>
      </c>
      <c r="DE163" s="438">
        <f>+INPUT!ED33</f>
        <v>-11.79723502304148</v>
      </c>
      <c r="DF163" s="449">
        <f>+INPUT!EE33</f>
        <v>-1992</v>
      </c>
      <c r="DG163" s="438">
        <f>+INPUT!EF33</f>
        <v>1.3740458015267194</v>
      </c>
      <c r="DH163" s="449">
        <f>+INPUT!EG33</f>
        <v>-2122</v>
      </c>
      <c r="DI163" s="438">
        <f>+INPUT!EH33</f>
        <v>6.6867772750125738</v>
      </c>
      <c r="DJ163" s="449">
        <f>+INPUT!EI33</f>
        <v>-2326</v>
      </c>
      <c r="DK163" s="438">
        <f>+INPUT!EJ33</f>
        <v>33.066361556064095</v>
      </c>
      <c r="DL163" s="449">
        <f>+INPUT!EK33</f>
        <v>-2382</v>
      </c>
      <c r="DM163" s="438">
        <f>+INPUT!EL33</f>
        <v>24.451410658307211</v>
      </c>
      <c r="DN163" s="449">
        <f>+INPUT!EM33</f>
        <v>-2288</v>
      </c>
      <c r="DO163" s="438">
        <f>+INPUT!EN33</f>
        <v>14.859437751004023</v>
      </c>
      <c r="DP163" s="449">
        <f>+INPUT!EO33</f>
        <v>-2721</v>
      </c>
      <c r="DQ163" s="438">
        <f>+INPUT!EP33</f>
        <v>28.228086710650331</v>
      </c>
      <c r="DR163" s="449">
        <f>+INPUT!EQ33</f>
        <v>-2772.1277489559366</v>
      </c>
      <c r="DS163" s="438">
        <f>+INPUT!ER33</f>
        <v>19.180040797761677</v>
      </c>
      <c r="DT163" s="449">
        <f>+INPUT!ES33</f>
        <v>-2707.0123538298158</v>
      </c>
      <c r="DU163" s="438">
        <f>+INPUT!ET33</f>
        <v>13.644515274131635</v>
      </c>
      <c r="DV163" s="449">
        <f>+INPUT!EU33</f>
        <v>-2705.2645543102963</v>
      </c>
      <c r="DW163" s="438">
        <f>+INPUT!EV33</f>
        <v>18.237087163911553</v>
      </c>
      <c r="DX163" s="449">
        <f>+INPUT!EW33</f>
        <v>-2704.0994374418569</v>
      </c>
      <c r="DY163" s="438">
        <f>+INPUT!EX33</f>
        <v>-0.62111586027722865</v>
      </c>
      <c r="DZ163" s="449"/>
      <c r="EA163" s="438"/>
      <c r="EB163" s="439">
        <f>+INPUT!FI33</f>
        <v>-21.177651388424223</v>
      </c>
      <c r="EC163" s="449">
        <f>+INPUT!FJ33</f>
        <v>-2031</v>
      </c>
      <c r="ED163" s="439">
        <f>+INPUT!FK33</f>
        <v>-13.794567062818345</v>
      </c>
      <c r="EE163" s="449">
        <f>+INPUT!FL33</f>
        <v>-3716</v>
      </c>
      <c r="EF163" s="439">
        <f>+INPUT!FM33</f>
        <v>82.964057114721811</v>
      </c>
      <c r="EG163" s="449">
        <f>+INPUT!FN33</f>
        <v>-5224</v>
      </c>
      <c r="EH163" s="439">
        <f>+INPUT!FO33</f>
        <v>40.581270182992455</v>
      </c>
      <c r="EI163" s="449">
        <f>+INPUT!FP33</f>
        <v>-5691</v>
      </c>
      <c r="EJ163" s="438">
        <f>+INPUT!FQ33</f>
        <v>8.9395099540581953</v>
      </c>
      <c r="EK163" s="449">
        <f>+INPUT!FR33</f>
        <v>-7722</v>
      </c>
      <c r="EL163" s="438">
        <f>+INPUT!FS33</f>
        <v>35.687928307854492</v>
      </c>
      <c r="EM163" s="449">
        <f>+INPUT!FT33</f>
        <v>-9568</v>
      </c>
      <c r="EN163" s="438">
        <f>+INPUT!FU33</f>
        <v>23.905723905723903</v>
      </c>
      <c r="EO163" s="449">
        <f>+INPUT!FV33</f>
        <v>-8000</v>
      </c>
      <c r="EP163" s="438">
        <f>+INPUT!FW33</f>
        <v>-16.38795986622074</v>
      </c>
      <c r="EQ163" s="449">
        <f>+INPUT!FX33</f>
        <v>-5776</v>
      </c>
      <c r="ER163" s="438">
        <f>+INPUT!FY33</f>
        <v>-27.799999999999997</v>
      </c>
      <c r="ES163" s="449">
        <f>+INPUT!FZ33</f>
        <v>-6923</v>
      </c>
      <c r="ET163" s="438">
        <f>+INPUT!GA33</f>
        <v>19.858033240997216</v>
      </c>
      <c r="EU163" s="449">
        <f>+INPUT!GB33</f>
        <v>-7049</v>
      </c>
      <c r="EV163" s="438">
        <f>+INPUT!GC33</f>
        <v>1.8200202224469137</v>
      </c>
      <c r="EW163" s="449">
        <f>+INPUT!GD33</f>
        <v>-6646</v>
      </c>
      <c r="EX163" s="438">
        <f>+INPUT!GE33</f>
        <v>-5.7171229961696639</v>
      </c>
      <c r="EY163" s="449">
        <f>+INPUT!GF33</f>
        <v>-7567</v>
      </c>
      <c r="EZ163" s="438">
        <f>+INPUT!GG33</f>
        <v>13.857959674992486</v>
      </c>
      <c r="FA163" s="449">
        <f>+INPUT!GH33</f>
        <v>-8714</v>
      </c>
      <c r="FB163" s="438">
        <f>+INPUT!GI33</f>
        <v>15.157922558477608</v>
      </c>
      <c r="FC163" s="449">
        <f>+INPUT!GJ33</f>
        <v>-8291</v>
      </c>
      <c r="FD163" s="438">
        <f>+INPUT!GK33</f>
        <v>-4.8542575166398905</v>
      </c>
      <c r="FE163" s="449">
        <f>+INPUT!GL33</f>
        <v>-7776</v>
      </c>
      <c r="FF163" s="438">
        <f>+INPUT!GM33</f>
        <v>-6.2115546978651537</v>
      </c>
      <c r="FG163" s="449">
        <f>+INPUT!GN33</f>
        <v>-9717</v>
      </c>
      <c r="FH163" s="438">
        <f>+INPUT!GO33</f>
        <v>24.961419753086417</v>
      </c>
      <c r="FI163" s="449">
        <f>+INPUT!GP33</f>
        <v>-10888.504094537904</v>
      </c>
      <c r="FJ163" s="438">
        <f>+INPUT!GQ33</f>
        <v>12.056232320036059</v>
      </c>
      <c r="FK163" s="449">
        <f>+INPUT!GR33</f>
        <v>-10860.628861991079</v>
      </c>
      <c r="FL163" s="438">
        <f>+INPUT!GS33</f>
        <v>-0.25600608040188888</v>
      </c>
      <c r="FM163" s="449">
        <f>+INPUT!GT33</f>
        <v>-11129.025154871506</v>
      </c>
      <c r="FN163" s="438">
        <f>+INPUT!GU33</f>
        <v>2.4712776423079248</v>
      </c>
      <c r="FO163" s="449">
        <f>+INPUT!GV33</f>
        <v>-11432.864173290547</v>
      </c>
      <c r="FP163" s="438">
        <f>+INPUT!GW33</f>
        <v>2.7301494442758383</v>
      </c>
      <c r="FQ163" s="449">
        <f>+INPUT!GX33</f>
        <v>-11777.97573946973</v>
      </c>
      <c r="FR163" s="438">
        <f>+INPUT!GY33</f>
        <v>3.0185923750011057</v>
      </c>
      <c r="FS163" s="438">
        <f>+INPUT!GZ33</f>
        <v>3.9220464953905854</v>
      </c>
    </row>
    <row r="164" spans="1:175" s="529" customFormat="1" ht="12.75" hidden="1" customHeight="1" outlineLevel="1" x14ac:dyDescent="0.2">
      <c r="A164" s="441" t="str">
        <f>+INPUT!B34</f>
        <v xml:space="preserve">  Benefit Payments</v>
      </c>
      <c r="B164" s="449">
        <f>+INPUT!AA34</f>
        <v>-66</v>
      </c>
      <c r="C164" s="439">
        <f>+INPUT!AB34</f>
        <v>-9.5890410958904226</v>
      </c>
      <c r="D164" s="449">
        <f>+INPUT!AC34</f>
        <v>-114</v>
      </c>
      <c r="E164" s="439">
        <f>+INPUT!AD34</f>
        <v>54.054054054054063</v>
      </c>
      <c r="F164" s="449">
        <f>+INPUT!AE34</f>
        <v>-136</v>
      </c>
      <c r="G164" s="439">
        <f>+INPUT!AF34</f>
        <v>94.285714285714278</v>
      </c>
      <c r="H164" s="449">
        <f>+INPUT!AG34</f>
        <v>-133</v>
      </c>
      <c r="I164" s="439" t="str">
        <f>+INPUT!AH34</f>
        <v>NM</v>
      </c>
      <c r="J164" s="449">
        <f>+INPUT!AI34</f>
        <v>-161</v>
      </c>
      <c r="K164" s="439" t="str">
        <f>+INPUT!AJ34</f>
        <v>NM</v>
      </c>
      <c r="L164" s="449">
        <f>+INPUT!AK34</f>
        <v>-143</v>
      </c>
      <c r="M164" s="439">
        <f>+INPUT!AL34</f>
        <v>25.438596491228054</v>
      </c>
      <c r="N164" s="449">
        <f>+INPUT!AM34</f>
        <v>-154</v>
      </c>
      <c r="O164" s="439">
        <f>+INPUT!AN34</f>
        <v>13.235294117647058</v>
      </c>
      <c r="P164" s="449">
        <f>+INPUT!AO34</f>
        <v>-155</v>
      </c>
      <c r="Q164" s="439">
        <f>+INPUT!AP34</f>
        <v>16.541353383458656</v>
      </c>
      <c r="R164" s="449">
        <f>+INPUT!AQ34</f>
        <v>-145</v>
      </c>
      <c r="S164" s="439">
        <f>+INPUT!AR34</f>
        <v>-9.9378881987577614</v>
      </c>
      <c r="T164" s="449">
        <f>+INPUT!AS34</f>
        <v>-148</v>
      </c>
      <c r="U164" s="439">
        <f>+INPUT!AT34</f>
        <v>3.4965034965034931</v>
      </c>
      <c r="V164" s="449">
        <f>+INPUT!AU34</f>
        <v>-151</v>
      </c>
      <c r="W164" s="439">
        <f>+INPUT!AV34</f>
        <v>-1.9480519480519405</v>
      </c>
      <c r="X164" s="449">
        <f>+INPUT!AW34</f>
        <v>-158</v>
      </c>
      <c r="Y164" s="439">
        <f>+INPUT!AX34</f>
        <v>1.9354838709677296</v>
      </c>
      <c r="Z164" s="449">
        <f>+INPUT!AY34</f>
        <v>-198</v>
      </c>
      <c r="AA164" s="439">
        <f>+INPUT!AZ34</f>
        <v>36.551724137931046</v>
      </c>
      <c r="AB164" s="449">
        <f>+INPUT!BA34</f>
        <v>-225</v>
      </c>
      <c r="AC164" s="439">
        <f>+INPUT!BB34</f>
        <v>52.027027027027032</v>
      </c>
      <c r="AD164" s="449">
        <f>+INPUT!BC34</f>
        <v>-244</v>
      </c>
      <c r="AE164" s="439">
        <f>+INPUT!BD34</f>
        <v>61.589403973509945</v>
      </c>
      <c r="AF164" s="449">
        <f>+INPUT!BE34</f>
        <v>-264</v>
      </c>
      <c r="AG164" s="439">
        <f>+INPUT!BF34</f>
        <v>67.088607594936718</v>
      </c>
      <c r="AH164" s="449">
        <f>+INPUT!BG34</f>
        <v>-306</v>
      </c>
      <c r="AI164" s="438">
        <f>+INPUT!BH34</f>
        <v>54.545454545454533</v>
      </c>
      <c r="AJ164" s="449">
        <f>+INPUT!BI34</f>
        <v>-299</v>
      </c>
      <c r="AK164" s="438">
        <f>+INPUT!BJ34</f>
        <v>32.888888888888886</v>
      </c>
      <c r="AL164" s="449">
        <f>+INPUT!BK34</f>
        <v>-265</v>
      </c>
      <c r="AM164" s="438">
        <f>+INPUT!BL34</f>
        <v>8.6065573770491852</v>
      </c>
      <c r="AN164" s="449">
        <f>+INPUT!BM34</f>
        <v>-261</v>
      </c>
      <c r="AO164" s="438">
        <f>+INPUT!BN34</f>
        <v>-1.1363636363636402</v>
      </c>
      <c r="AP164" s="449">
        <f>+INPUT!BO34</f>
        <v>-294</v>
      </c>
      <c r="AQ164" s="438">
        <f>+INPUT!BP34</f>
        <v>-3.9215686274509807</v>
      </c>
      <c r="AR164" s="449">
        <f>+INPUT!BQ34</f>
        <v>-262</v>
      </c>
      <c r="AS164" s="438">
        <f>+INPUT!BR34</f>
        <v>-12.374581939799327</v>
      </c>
      <c r="AT164" s="449">
        <f>+INPUT!BS34</f>
        <v>-259</v>
      </c>
      <c r="AU164" s="438">
        <f>+INPUT!BT34</f>
        <v>-2.2641509433962312</v>
      </c>
      <c r="AV164" s="449">
        <f>+INPUT!BU34</f>
        <v>-242</v>
      </c>
      <c r="AW164" s="438">
        <f>+INPUT!BV34</f>
        <v>-7.279693486590034</v>
      </c>
      <c r="AX164" s="449">
        <f>+INPUT!BW34</f>
        <v>-256</v>
      </c>
      <c r="AY164" s="438">
        <f>+INPUT!BX34</f>
        <v>-12.925170068027214</v>
      </c>
      <c r="AZ164" s="449">
        <f>+INPUT!BY34</f>
        <v>-236</v>
      </c>
      <c r="BA164" s="438">
        <f>+INPUT!BZ34</f>
        <v>-9.92366412213741</v>
      </c>
      <c r="BB164" s="449">
        <f>+INPUT!CA34</f>
        <v>-239</v>
      </c>
      <c r="BC164" s="438">
        <f>+INPUT!CB34</f>
        <v>-7.7220077220077172</v>
      </c>
      <c r="BD164" s="449">
        <f>+INPUT!CC34</f>
        <v>-257</v>
      </c>
      <c r="BE164" s="438">
        <f>+INPUT!CD34</f>
        <v>6.1983471074380105</v>
      </c>
      <c r="BF164" s="449">
        <f>+INPUT!CE34</f>
        <v>-266</v>
      </c>
      <c r="BG164" s="438">
        <f>+INPUT!CF34</f>
        <v>3.90625</v>
      </c>
      <c r="BH164" s="449">
        <f>+INPUT!CG34</f>
        <v>-203</v>
      </c>
      <c r="BI164" s="438">
        <f>+INPUT!CH34</f>
        <v>-13.983050847457619</v>
      </c>
      <c r="BJ164" s="449">
        <f>+INPUT!CI34</f>
        <v>-260</v>
      </c>
      <c r="BK164" s="438">
        <f>+INPUT!CJ34</f>
        <v>8.7866108786610795</v>
      </c>
      <c r="BL164" s="449">
        <f>+INPUT!CK34</f>
        <v>-252</v>
      </c>
      <c r="BM164" s="438">
        <f>+INPUT!CL34</f>
        <v>-1.9455252918288011</v>
      </c>
      <c r="BN164" s="449">
        <f>+INPUT!CM34</f>
        <v>-254</v>
      </c>
      <c r="BO164" s="438">
        <f>+INPUT!CN34</f>
        <v>-4.5112781954887282</v>
      </c>
      <c r="BP164" s="449">
        <f>+INPUT!CO34</f>
        <v>-290</v>
      </c>
      <c r="BQ164" s="438">
        <f>+INPUT!CP34</f>
        <v>42.857142857142861</v>
      </c>
      <c r="BR164" s="449">
        <f>+INPUT!CQ34</f>
        <v>-272</v>
      </c>
      <c r="BS164" s="438">
        <f>+INPUT!CR34</f>
        <v>4.6153846153846274</v>
      </c>
      <c r="BT164" s="449">
        <f>+INPUT!CS34</f>
        <v>-276</v>
      </c>
      <c r="BU164" s="438">
        <f>+INPUT!CT34</f>
        <v>9.5238095238095326</v>
      </c>
      <c r="BV164" s="449">
        <f>+INPUT!CU34</f>
        <v>-285</v>
      </c>
      <c r="BW164" s="438">
        <f>+INPUT!CV34</f>
        <v>12.204724409448815</v>
      </c>
      <c r="BX164" s="449">
        <f>+INPUT!CW34</f>
        <v>-288</v>
      </c>
      <c r="BY164" s="438">
        <f>+INPUT!CX34</f>
        <v>-0.68965517241379359</v>
      </c>
      <c r="BZ164" s="449">
        <f>+INPUT!CY34</f>
        <v>-283</v>
      </c>
      <c r="CA164" s="438">
        <f>+INPUT!CZ34</f>
        <v>4.044117647058826</v>
      </c>
      <c r="CB164" s="449">
        <f>+INPUT!DA34</f>
        <v>-313</v>
      </c>
      <c r="CC164" s="438">
        <f>+INPUT!DB34</f>
        <v>13.405797101449267</v>
      </c>
      <c r="CD164" s="449">
        <f>+INPUT!DC34</f>
        <v>-310</v>
      </c>
      <c r="CE164" s="438">
        <f>+INPUT!DD34</f>
        <v>8.7719298245614112</v>
      </c>
      <c r="CF164" s="449">
        <f>+INPUT!DE34</f>
        <v>-326</v>
      </c>
      <c r="CG164" s="438">
        <f>+INPUT!DF34</f>
        <v>13.194444444444443</v>
      </c>
      <c r="CH164" s="449">
        <f>+INPUT!DG34</f>
        <v>-310</v>
      </c>
      <c r="CI164" s="438">
        <f>+INPUT!DH34</f>
        <v>9.5406360424028236</v>
      </c>
      <c r="CJ164" s="449">
        <f>+INPUT!DI34</f>
        <v>-336</v>
      </c>
      <c r="CK164" s="438">
        <f>+INPUT!DJ34</f>
        <v>7.3482428115015921</v>
      </c>
      <c r="CL164" s="449">
        <f>+INPUT!DK34</f>
        <v>-340</v>
      </c>
      <c r="CM164" s="438">
        <f>+INPUT!DL34</f>
        <v>9.6774193548387046</v>
      </c>
      <c r="CN164" s="449">
        <f>+INPUT!DM34</f>
        <v>-406</v>
      </c>
      <c r="CO164" s="438">
        <f>+INPUT!DN34</f>
        <v>24.539877300613483</v>
      </c>
      <c r="CP164" s="449">
        <f>+INPUT!DO34</f>
        <v>-345</v>
      </c>
      <c r="CQ164" s="438">
        <f>+INPUT!DP34</f>
        <v>11.290322580645153</v>
      </c>
      <c r="CR164" s="449">
        <f>+INPUT!DQ34</f>
        <v>-368</v>
      </c>
      <c r="CS164" s="438">
        <f>+INPUT!DR34</f>
        <v>9.5238095238095326</v>
      </c>
      <c r="CT164" s="449">
        <f>+INPUT!DS34</f>
        <v>-400</v>
      </c>
      <c r="CU164" s="438">
        <f>+INPUT!DT34</f>
        <v>17.64705882352942</v>
      </c>
      <c r="CV164" s="449">
        <f>+INPUT!DU34</f>
        <v>-390</v>
      </c>
      <c r="CW164" s="438">
        <f>+INPUT!DV34</f>
        <v>-3.9408866995073879</v>
      </c>
      <c r="CX164" s="449">
        <f>+INPUT!DW34</f>
        <v>-400</v>
      </c>
      <c r="CY164" s="438">
        <f>+INPUT!DX34</f>
        <v>15.94202898550725</v>
      </c>
      <c r="CZ164" s="449">
        <f>+INPUT!DY34</f>
        <v>-351</v>
      </c>
      <c r="DA164" s="438">
        <f>+INPUT!DZ34</f>
        <v>-4.6195652173913118</v>
      </c>
      <c r="DB164" s="449">
        <f>+INPUT!EA34</f>
        <v>-355</v>
      </c>
      <c r="DC164" s="438">
        <f>+INPUT!EB34</f>
        <v>-11.25</v>
      </c>
      <c r="DD164" s="449">
        <f>+INPUT!EC34</f>
        <v>-399</v>
      </c>
      <c r="DE164" s="438">
        <f>+INPUT!ED34</f>
        <v>2.3076923076922924</v>
      </c>
      <c r="DF164" s="449">
        <f>+INPUT!EE34</f>
        <v>-349</v>
      </c>
      <c r="DG164" s="438">
        <f>+INPUT!EF34</f>
        <v>-12.75</v>
      </c>
      <c r="DH164" s="449">
        <f>+INPUT!EG34</f>
        <v>-347</v>
      </c>
      <c r="DI164" s="438">
        <f>+INPUT!EH34</f>
        <v>-1.1396011396011403</v>
      </c>
      <c r="DJ164" s="449">
        <f>+INPUT!EI34</f>
        <v>-413</v>
      </c>
      <c r="DK164" s="438">
        <f>+INPUT!EJ34</f>
        <v>16.338028169014081</v>
      </c>
      <c r="DL164" s="449">
        <f>+INPUT!EK34</f>
        <v>-391</v>
      </c>
      <c r="DM164" s="438">
        <f>+INPUT!EL34</f>
        <v>-2.0050125313283189</v>
      </c>
      <c r="DN164" s="449">
        <f>+INPUT!EM34</f>
        <v>-359</v>
      </c>
      <c r="DO164" s="438">
        <f>+INPUT!EN34</f>
        <v>2.8653295128939789</v>
      </c>
      <c r="DP164" s="449">
        <f>+INPUT!EO34</f>
        <v>-395</v>
      </c>
      <c r="DQ164" s="438">
        <f>+INPUT!EP34</f>
        <v>13.8328530259366</v>
      </c>
      <c r="DR164" s="449">
        <f>+INPUT!EQ34</f>
        <v>-402.42207307519107</v>
      </c>
      <c r="DS164" s="438">
        <f>+INPUT!ER34</f>
        <v>-2.5612413861522754</v>
      </c>
      <c r="DT164" s="449">
        <f>+INPUT!ES34</f>
        <v>-392.96945232002111</v>
      </c>
      <c r="DU164" s="438">
        <f>+INPUT!ET34</f>
        <v>0.50369624552968162</v>
      </c>
      <c r="DV164" s="449">
        <f>+INPUT!EU34</f>
        <v>-392.71572912626493</v>
      </c>
      <c r="DW164" s="438">
        <f>+INPUT!EV34</f>
        <v>9.3915680017450995</v>
      </c>
      <c r="DX164" s="449">
        <f>+INPUT!EW34</f>
        <v>-392.54659235190496</v>
      </c>
      <c r="DY164" s="438">
        <f>+INPUT!EX34</f>
        <v>-0.62111586027722865</v>
      </c>
      <c r="DZ164" s="449"/>
      <c r="EA164" s="438"/>
      <c r="EB164" s="439" t="str">
        <f>+INPUT!FI34</f>
        <v>NA</v>
      </c>
      <c r="EC164" s="449">
        <f>+INPUT!FJ34</f>
        <v>-273</v>
      </c>
      <c r="ED164" s="439" t="str">
        <f>+INPUT!FK34</f>
        <v>NA</v>
      </c>
      <c r="EE164" s="449">
        <f>+INPUT!FL34</f>
        <v>-449</v>
      </c>
      <c r="EF164" s="439">
        <f>+INPUT!FM34</f>
        <v>64.468864468864467</v>
      </c>
      <c r="EG164" s="449">
        <f>+INPUT!FN34</f>
        <v>-613</v>
      </c>
      <c r="EH164" s="439">
        <f>+INPUT!FO34</f>
        <v>36.525612472160361</v>
      </c>
      <c r="EI164" s="449">
        <f>+INPUT!FP34</f>
        <v>-602</v>
      </c>
      <c r="EJ164" s="438">
        <f>+INPUT!FQ34</f>
        <v>-1.7944535073409469</v>
      </c>
      <c r="EK164" s="449">
        <f>+INPUT!FR34</f>
        <v>-931</v>
      </c>
      <c r="EL164" s="438">
        <f>+INPUT!FS34</f>
        <v>54.651162790697697</v>
      </c>
      <c r="EM164" s="449">
        <f>+INPUT!FT34</f>
        <v>-1131</v>
      </c>
      <c r="EN164" s="438">
        <f>+INPUT!FU34</f>
        <v>21.482277121374864</v>
      </c>
      <c r="EO164" s="449">
        <f>+INPUT!FV34</f>
        <v>-1057</v>
      </c>
      <c r="EP164" s="438">
        <f>+INPUT!FW34</f>
        <v>-6.5428824049513707</v>
      </c>
      <c r="EQ164" s="449">
        <f>+INPUT!FX34</f>
        <v>-988</v>
      </c>
      <c r="ER164" s="438">
        <f>+INPUT!FY34</f>
        <v>-6.5279091769157986</v>
      </c>
      <c r="ES164" s="449">
        <f>+INPUT!FZ34</f>
        <v>-981</v>
      </c>
      <c r="ET164" s="438">
        <f>+INPUT!GA34</f>
        <v>-0.70850202429150499</v>
      </c>
      <c r="EU164" s="449">
        <f>+INPUT!GB34</f>
        <v>-1092</v>
      </c>
      <c r="EV164" s="438">
        <f>+INPUT!GC34</f>
        <v>11.314984709480115</v>
      </c>
      <c r="EW164" s="449">
        <f>+INPUT!GD34</f>
        <v>-1169</v>
      </c>
      <c r="EX164" s="438">
        <f>+INPUT!GE34</f>
        <v>7.051282051282044</v>
      </c>
      <c r="EY164" s="449">
        <f>+INPUT!GF34</f>
        <v>-1282</v>
      </c>
      <c r="EZ164" s="438">
        <f>+INPUT!GG34</f>
        <v>9.6663815226689422</v>
      </c>
      <c r="FA164" s="449">
        <f>+INPUT!GH34</f>
        <v>-1459</v>
      </c>
      <c r="FB164" s="438">
        <f>+INPUT!GI34</f>
        <v>13.806552262090491</v>
      </c>
      <c r="FC164" s="449">
        <f>+INPUT!GJ34</f>
        <v>-1541</v>
      </c>
      <c r="FD164" s="438">
        <f>+INPUT!GK34</f>
        <v>5.6202878684030111</v>
      </c>
      <c r="FE164" s="449">
        <f>+INPUT!GL34</f>
        <v>-1450</v>
      </c>
      <c r="FF164" s="438">
        <f>+INPUT!GM34</f>
        <v>-5.9052563270603429</v>
      </c>
      <c r="FG164" s="449">
        <f>+INPUT!GN34</f>
        <v>-1558</v>
      </c>
      <c r="FH164" s="438">
        <f>+INPUT!GO34</f>
        <v>7.4482758620689822</v>
      </c>
      <c r="FI164" s="449">
        <f>+INPUT!GP34</f>
        <v>-1580.653846873382</v>
      </c>
      <c r="FJ164" s="438">
        <f>+INPUT!GQ34</f>
        <v>1.4540338172902381</v>
      </c>
      <c r="FK164" s="449">
        <f>+INPUT!GR34</f>
        <v>-1541.5350840512442</v>
      </c>
      <c r="FL164" s="438">
        <f>+INPUT!GS34</f>
        <v>-2.4748469058875031</v>
      </c>
      <c r="FM164" s="449">
        <f>+INPUT!GT34</f>
        <v>-1545.255925103852</v>
      </c>
      <c r="FN164" s="438">
        <f>+INPUT!GU34</f>
        <v>0.24137245341371738</v>
      </c>
      <c r="FO164" s="449">
        <f>+INPUT!GV34</f>
        <v>-1553.6346571588961</v>
      </c>
      <c r="FP164" s="438">
        <f>+INPUT!GW34</f>
        <v>0.54222293659745446</v>
      </c>
      <c r="FQ164" s="449">
        <f>+INPUT!GX34</f>
        <v>-1567.155583227752</v>
      </c>
      <c r="FR164" s="438">
        <f>+INPUT!GY34</f>
        <v>0.87027706330789556</v>
      </c>
      <c r="FS164" s="438">
        <f>+INPUT!GZ34</f>
        <v>0.11725465588143802</v>
      </c>
    </row>
    <row r="165" spans="1:175" s="529" customFormat="1" ht="12.75" hidden="1" customHeight="1" outlineLevel="1" x14ac:dyDescent="0.2">
      <c r="A165" s="441" t="str">
        <f>+INPUT!B35</f>
        <v xml:space="preserve">  Change in Market Value</v>
      </c>
      <c r="B165" s="449">
        <f>+INPUT!AA35</f>
        <v>-180</v>
      </c>
      <c r="C165" s="439" t="str">
        <f>+INPUT!AB35</f>
        <v>NM</v>
      </c>
      <c r="D165" s="449">
        <f>+INPUT!AC35</f>
        <v>2447</v>
      </c>
      <c r="E165" s="439" t="str">
        <f>+INPUT!AD35</f>
        <v>NM</v>
      </c>
      <c r="F165" s="449">
        <f>+INPUT!AE35</f>
        <v>990</v>
      </c>
      <c r="G165" s="439" t="str">
        <f>+INPUT!AF35</f>
        <v>NM</v>
      </c>
      <c r="H165" s="449">
        <f>+INPUT!AG35</f>
        <v>3072</v>
      </c>
      <c r="I165" s="439" t="str">
        <f>+INPUT!AH35</f>
        <v>NM</v>
      </c>
      <c r="J165" s="449">
        <f>+INPUT!AI35</f>
        <v>843</v>
      </c>
      <c r="K165" s="439" t="str">
        <f>+INPUT!AJ35</f>
        <v>NM</v>
      </c>
      <c r="L165" s="449">
        <f>+INPUT!AK35</f>
        <v>84</v>
      </c>
      <c r="M165" s="439" t="str">
        <f>+INPUT!AL35</f>
        <v>NM</v>
      </c>
      <c r="N165" s="449">
        <f>+INPUT!AM35</f>
        <v>-146</v>
      </c>
      <c r="O165" s="439" t="str">
        <f>+INPUT!AN35</f>
        <v>NM</v>
      </c>
      <c r="P165" s="449">
        <f>+INPUT!AO35</f>
        <v>3310</v>
      </c>
      <c r="Q165" s="439">
        <f>+INPUT!AP35</f>
        <v>7.7473958333333286</v>
      </c>
      <c r="R165" s="449">
        <f>+INPUT!AQ35</f>
        <v>-774</v>
      </c>
      <c r="S165" s="439" t="str">
        <f>+INPUT!AR35</f>
        <v>NM</v>
      </c>
      <c r="T165" s="449">
        <f>+INPUT!AS35</f>
        <v>1015</v>
      </c>
      <c r="U165" s="439" t="str">
        <f>+INPUT!AT35</f>
        <v>NM</v>
      </c>
      <c r="V165" s="449">
        <f>+INPUT!AU35</f>
        <v>1876</v>
      </c>
      <c r="W165" s="439" t="str">
        <f>+INPUT!AV35</f>
        <v>NM</v>
      </c>
      <c r="X165" s="449">
        <f>+INPUT!AW35</f>
        <v>1106</v>
      </c>
      <c r="Y165" s="439" t="str">
        <f>+INPUT!AX35</f>
        <v>NM</v>
      </c>
      <c r="Z165" s="449">
        <f>+INPUT!AY35</f>
        <v>2241</v>
      </c>
      <c r="AA165" s="439" t="str">
        <f>+INPUT!AZ35</f>
        <v>NM</v>
      </c>
      <c r="AB165" s="449">
        <f>+INPUT!BA35</f>
        <v>-1000</v>
      </c>
      <c r="AC165" s="439" t="str">
        <f>+INPUT!BB35</f>
        <v>NM</v>
      </c>
      <c r="AD165" s="449">
        <f>+INPUT!BC35</f>
        <v>2012</v>
      </c>
      <c r="AE165" s="439">
        <f>+INPUT!BD35</f>
        <v>7.2494669509594871</v>
      </c>
      <c r="AF165" s="449">
        <f>+INPUT!BE35</f>
        <v>4208</v>
      </c>
      <c r="AG165" s="439" t="str">
        <f>+INPUT!BF35</f>
        <v>NM</v>
      </c>
      <c r="AH165" s="449">
        <f>+INPUT!BG35</f>
        <v>1168</v>
      </c>
      <c r="AI165" s="438">
        <f>+INPUT!BH35</f>
        <v>-47.880410531012942</v>
      </c>
      <c r="AJ165" s="449">
        <f>+INPUT!BI35</f>
        <v>3478</v>
      </c>
      <c r="AK165" s="438" t="str">
        <f>+INPUT!BJ35</f>
        <v>NM</v>
      </c>
      <c r="AL165" s="449">
        <f>+INPUT!BK35</f>
        <v>2295</v>
      </c>
      <c r="AM165" s="438">
        <f>+INPUT!BL35</f>
        <v>14.065606361829026</v>
      </c>
      <c r="AN165" s="449">
        <f>+INPUT!BM35</f>
        <v>-865</v>
      </c>
      <c r="AO165" s="438" t="str">
        <f>+INPUT!BN35</f>
        <v>NM</v>
      </c>
      <c r="AP165" s="449">
        <f>+INPUT!BO35</f>
        <v>-5409</v>
      </c>
      <c r="AQ165" s="438" t="str">
        <f>+INPUT!BP35</f>
        <v>NM</v>
      </c>
      <c r="AR165" s="449">
        <f>+INPUT!BQ35</f>
        <v>-246</v>
      </c>
      <c r="AS165" s="438" t="str">
        <f>+INPUT!BR35</f>
        <v>NM</v>
      </c>
      <c r="AT165" s="449">
        <f>+INPUT!BS35</f>
        <v>-6712</v>
      </c>
      <c r="AU165" s="438" t="str">
        <f>+INPUT!BT35</f>
        <v>NM</v>
      </c>
      <c r="AV165" s="449">
        <f>+INPUT!BU35</f>
        <v>-7986</v>
      </c>
      <c r="AW165" s="438" t="str">
        <f>+INPUT!BV35</f>
        <v>NM</v>
      </c>
      <c r="AX165" s="449">
        <f>+INPUT!BW35</f>
        <v>-2269</v>
      </c>
      <c r="AY165" s="438" t="str">
        <f>+INPUT!BX35</f>
        <v>NM</v>
      </c>
      <c r="AZ165" s="449">
        <f>+INPUT!BY35</f>
        <v>5566</v>
      </c>
      <c r="BA165" s="438" t="str">
        <f>+INPUT!BZ35</f>
        <v>NM</v>
      </c>
      <c r="BB165" s="449">
        <f>+INPUT!CA35</f>
        <v>6650</v>
      </c>
      <c r="BC165" s="438" t="str">
        <f>+INPUT!CB35</f>
        <v>NM</v>
      </c>
      <c r="BD165" s="449">
        <f>+INPUT!CC35</f>
        <v>2273</v>
      </c>
      <c r="BE165" s="438" t="str">
        <f>+INPUT!CD35</f>
        <v>NM</v>
      </c>
      <c r="BF165" s="449">
        <f>+INPUT!CE35</f>
        <v>2288</v>
      </c>
      <c r="BG165" s="438" t="str">
        <f>+INPUT!CF35</f>
        <v>NM</v>
      </c>
      <c r="BH165" s="449">
        <f>+INPUT!CG35</f>
        <v>-4784</v>
      </c>
      <c r="BI165" s="438" t="str">
        <f>+INPUT!CH35</f>
        <v>NM</v>
      </c>
      <c r="BJ165" s="449">
        <f>+INPUT!CI35</f>
        <v>6756</v>
      </c>
      <c r="BK165" s="438">
        <f>+INPUT!CJ35</f>
        <v>1.5939849624060116</v>
      </c>
      <c r="BL165" s="449">
        <f>+INPUT!CK35</f>
        <v>5488</v>
      </c>
      <c r="BM165" s="438" t="str">
        <f>+INPUT!CL35</f>
        <v>NM</v>
      </c>
      <c r="BN165" s="449">
        <f>+INPUT!CM35</f>
        <v>3552</v>
      </c>
      <c r="BO165" s="438">
        <f>+INPUT!CN35</f>
        <v>55.244755244755254</v>
      </c>
      <c r="BP165" s="449">
        <f>+INPUT!CO35</f>
        <v>493</v>
      </c>
      <c r="BQ165" s="438" t="str">
        <f>+INPUT!CP35</f>
        <v>NM</v>
      </c>
      <c r="BR165" s="449">
        <f>+INPUT!CQ35</f>
        <v>-11330</v>
      </c>
      <c r="BS165" s="438" t="str">
        <f>+INPUT!CR35</f>
        <v>NM</v>
      </c>
      <c r="BT165" s="449">
        <f>+INPUT!CS35</f>
        <v>4835</v>
      </c>
      <c r="BU165" s="438">
        <f>+INPUT!CT35</f>
        <v>-11.898688046647237</v>
      </c>
      <c r="BV165" s="449">
        <f>+INPUT!CU35</f>
        <v>8171</v>
      </c>
      <c r="BW165" s="438" t="str">
        <f>+INPUT!CV35</f>
        <v>NM</v>
      </c>
      <c r="BX165" s="449">
        <f>+INPUT!CW35</f>
        <v>-2742</v>
      </c>
      <c r="BY165" s="438" t="str">
        <f>+INPUT!CX35</f>
        <v>NM</v>
      </c>
      <c r="BZ165" s="449">
        <f>+INPUT!CY35</f>
        <v>5264</v>
      </c>
      <c r="CA165" s="438" t="str">
        <f>+INPUT!CZ35</f>
        <v>NM</v>
      </c>
      <c r="CB165" s="449">
        <f>+INPUT!DA35</f>
        <v>1687</v>
      </c>
      <c r="CC165" s="438" t="str">
        <f>+INPUT!DB35</f>
        <v>NM</v>
      </c>
      <c r="CD165" s="449">
        <f>+INPUT!DC35</f>
        <v>6039</v>
      </c>
      <c r="CE165" s="438">
        <f>+INPUT!DD35</f>
        <v>-26.092277567005269</v>
      </c>
      <c r="CF165" s="449">
        <f>+INPUT!DE35</f>
        <v>-666</v>
      </c>
      <c r="CG165" s="438" t="str">
        <f>+INPUT!DF35</f>
        <v>NM</v>
      </c>
      <c r="CH165" s="449">
        <f>+INPUT!DG35</f>
        <v>6479</v>
      </c>
      <c r="CI165" s="438">
        <f>+INPUT!DH35</f>
        <v>23.081306990881473</v>
      </c>
      <c r="CJ165" s="449">
        <f>+INPUT!DI35</f>
        <v>7603</v>
      </c>
      <c r="CK165" s="438" t="str">
        <f>+INPUT!DJ35</f>
        <v>NM</v>
      </c>
      <c r="CL165" s="449">
        <f>+INPUT!DK35</f>
        <v>2194</v>
      </c>
      <c r="CM165" s="438" t="str">
        <f>+INPUT!DL35</f>
        <v>NM</v>
      </c>
      <c r="CN165" s="449">
        <f>+INPUT!DM35</f>
        <v>5081</v>
      </c>
      <c r="CO165" s="438" t="str">
        <f>+INPUT!DN35</f>
        <v>NM</v>
      </c>
      <c r="CP165" s="449">
        <f>+INPUT!DO35</f>
        <v>-1891</v>
      </c>
      <c r="CQ165" s="438" t="str">
        <f>+INPUT!DP35</f>
        <v>NM</v>
      </c>
      <c r="CR165" s="449">
        <f>+INPUT!DQ35</f>
        <v>2945</v>
      </c>
      <c r="CS165" s="438" t="str">
        <f>+INPUT!DR35</f>
        <v>NM</v>
      </c>
      <c r="CT165" s="449">
        <f>+INPUT!DS35</f>
        <v>3713</v>
      </c>
      <c r="CU165" s="438">
        <f>+INPUT!DT35</f>
        <v>69.234275296262524</v>
      </c>
      <c r="CV165" s="449">
        <f>+INPUT!DU35</f>
        <v>-983</v>
      </c>
      <c r="CW165" s="438" t="str">
        <f>+INPUT!DV35</f>
        <v>NM</v>
      </c>
      <c r="CX165" s="449">
        <f>+INPUT!DW35</f>
        <v>-7594</v>
      </c>
      <c r="CY165" s="438" t="str">
        <f>+INPUT!DX35</f>
        <v>NM</v>
      </c>
      <c r="CZ165" s="449">
        <f>+INPUT!DY35</f>
        <v>3909</v>
      </c>
      <c r="DA165" s="438">
        <f>+INPUT!DZ35</f>
        <v>32.73344651952462</v>
      </c>
      <c r="DB165" s="449">
        <f>+INPUT!EA35</f>
        <v>764</v>
      </c>
      <c r="DC165" s="438" t="str">
        <f>+INPUT!EB35</f>
        <v>NM</v>
      </c>
      <c r="DD165" s="449">
        <f>+INPUT!EC35</f>
        <v>2873</v>
      </c>
      <c r="DE165" s="438" t="str">
        <f>+INPUT!ED35</f>
        <v>NM</v>
      </c>
      <c r="DF165" s="449">
        <f>+INPUT!EE35</f>
        <v>4877</v>
      </c>
      <c r="DG165" s="438" t="str">
        <f>+INPUT!EF35</f>
        <v>NM</v>
      </c>
      <c r="DH165" s="449">
        <f>+INPUT!EG35</f>
        <v>124</v>
      </c>
      <c r="DI165" s="438" t="str">
        <f>+INPUT!EH35</f>
        <v>NM</v>
      </c>
      <c r="DJ165" s="449">
        <f>+INPUT!EI35</f>
        <v>5751</v>
      </c>
      <c r="DK165" s="438" t="str">
        <f>+INPUT!EJ35</f>
        <v>NM</v>
      </c>
      <c r="DL165" s="449">
        <f>+INPUT!EK35</f>
        <v>4578</v>
      </c>
      <c r="DM165" s="438">
        <f>+INPUT!EL35</f>
        <v>59.345631743821798</v>
      </c>
      <c r="DN165" s="449">
        <f>+INPUT!EM35</f>
        <v>5170</v>
      </c>
      <c r="DO165" s="438">
        <f>+INPUT!EN35</f>
        <v>6.0077916752101714</v>
      </c>
      <c r="DP165" s="449">
        <f>+INPUT!EO35</f>
        <v>5494</v>
      </c>
      <c r="DQ165" s="438" t="str">
        <f>+INPUT!EP35</f>
        <v>NM</v>
      </c>
      <c r="DR165" s="449">
        <f>+INPUT!EQ35</f>
        <v>-1387.2851999999998</v>
      </c>
      <c r="DS165" s="438" t="str">
        <f>+INPUT!ER35</f>
        <v>NM</v>
      </c>
      <c r="DT165" s="449">
        <f>+INPUT!ES35</f>
        <v>2257.8313572186912</v>
      </c>
      <c r="DU165" s="438" t="str">
        <f>+INPUT!ET35</f>
        <v>NM</v>
      </c>
      <c r="DV165" s="449">
        <f>+INPUT!EU35</f>
        <v>2256.3735742293666</v>
      </c>
      <c r="DW165" s="438" t="str">
        <f>+INPUT!EV35</f>
        <v>NM</v>
      </c>
      <c r="DX165" s="449">
        <f>+INPUT!EW35</f>
        <v>2255.4017879733256</v>
      </c>
      <c r="DY165" s="438" t="str">
        <f>+INPUT!EX35</f>
        <v>NM</v>
      </c>
      <c r="DZ165" s="449"/>
      <c r="EA165" s="438"/>
      <c r="EB165" s="439">
        <f>+INPUT!FI35</f>
        <v>50.116822429906534</v>
      </c>
      <c r="EC165" s="449">
        <f>+INPUT!FJ35</f>
        <v>-2255</v>
      </c>
      <c r="ED165" s="439">
        <f>+INPUT!FK35</f>
        <v>75.486381322957186</v>
      </c>
      <c r="EE165" s="449">
        <f>+INPUT!FL35</f>
        <v>6329</v>
      </c>
      <c r="EF165" s="439" t="str">
        <f>+INPUT!FM35</f>
        <v>NM</v>
      </c>
      <c r="EG165" s="449">
        <f>+INPUT!FN35</f>
        <v>4091</v>
      </c>
      <c r="EH165" s="439">
        <f>+INPUT!FO35</f>
        <v>-35.361036498656972</v>
      </c>
      <c r="EI165" s="449">
        <f>+INPUT!FP35</f>
        <v>3223</v>
      </c>
      <c r="EJ165" s="438">
        <f>+INPUT!FQ35</f>
        <v>-21.217306282082617</v>
      </c>
      <c r="EK165" s="449">
        <f>+INPUT!FR35</f>
        <v>7461</v>
      </c>
      <c r="EL165" s="438" t="str">
        <f>+INPUT!FS35</f>
        <v>NM</v>
      </c>
      <c r="EM165" s="449">
        <f>+INPUT!FT35</f>
        <v>6076</v>
      </c>
      <c r="EN165" s="438">
        <f>+INPUT!FU35</f>
        <v>-18.563195282133762</v>
      </c>
      <c r="EO165" s="449">
        <f>+INPUT!FV35</f>
        <v>-20353</v>
      </c>
      <c r="EP165" s="438" t="str">
        <f>+INPUT!FW35</f>
        <v>NM</v>
      </c>
      <c r="EQ165" s="449">
        <f>+INPUT!FX35</f>
        <v>12220</v>
      </c>
      <c r="ER165" s="438" t="str">
        <f>+INPUT!FY35</f>
        <v>NM</v>
      </c>
      <c r="ES165" s="449">
        <f>+INPUT!FZ35</f>
        <v>9748</v>
      </c>
      <c r="ET165" s="438">
        <f>+INPUT!GA35</f>
        <v>-20.229132569558104</v>
      </c>
      <c r="EU165" s="449">
        <f>+INPUT!GB35</f>
        <v>-2450</v>
      </c>
      <c r="EV165" s="438" t="str">
        <f>+INPUT!GC35</f>
        <v>NM</v>
      </c>
      <c r="EW165" s="449">
        <f>+INPUT!GD35</f>
        <v>12380</v>
      </c>
      <c r="EX165" s="438" t="str">
        <f>+INPUT!GE35</f>
        <v>NM</v>
      </c>
      <c r="EY165" s="449">
        <f>+INPUT!GF35</f>
        <v>19455</v>
      </c>
      <c r="EZ165" s="438">
        <f>+INPUT!GG35</f>
        <v>57.148626817447507</v>
      </c>
      <c r="FA165" s="449">
        <f>+INPUT!GH35</f>
        <v>8329</v>
      </c>
      <c r="FB165" s="438" t="str">
        <f>+INPUT!GI35</f>
        <v>NM</v>
      </c>
      <c r="FC165" s="449">
        <f>+INPUT!GJ35</f>
        <v>-955</v>
      </c>
      <c r="FD165" s="438" t="str">
        <f>+INPUT!GK35</f>
        <v>NM</v>
      </c>
      <c r="FE165" s="449">
        <f>+INPUT!GL35</f>
        <v>8638</v>
      </c>
      <c r="FF165" s="438" t="str">
        <f>+INPUT!GM35</f>
        <v>NM</v>
      </c>
      <c r="FG165" s="449">
        <f>+INPUT!GN35</f>
        <v>20993</v>
      </c>
      <c r="FH165" s="438" t="str">
        <f>+INPUT!GO35</f>
        <v>NM</v>
      </c>
      <c r="FI165" s="449">
        <f>+INPUT!GP35</f>
        <v>5382.3215194213835</v>
      </c>
      <c r="FJ165" s="438" t="str">
        <f>+INPUT!GQ35</f>
        <v>NM</v>
      </c>
      <c r="FK165" s="449">
        <f>+INPUT!GR35</f>
        <v>9019.6801010130966</v>
      </c>
      <c r="FL165" s="438">
        <f>+INPUT!GS35</f>
        <v>67.579734292475734</v>
      </c>
      <c r="FM165" s="449">
        <f>+INPUT!GT35</f>
        <v>9041.4511241629825</v>
      </c>
      <c r="FN165" s="438">
        <f>+INPUT!GU35</f>
        <v>0.24137245341373159</v>
      </c>
      <c r="FO165" s="449">
        <f>+INPUT!GV35</f>
        <v>9090.4759459594407</v>
      </c>
      <c r="FP165" s="438">
        <f>+INPUT!GW35</f>
        <v>0.54222293659742604</v>
      </c>
      <c r="FQ165" s="449">
        <f>+INPUT!GX35</f>
        <v>9169.5882730626454</v>
      </c>
      <c r="FR165" s="438">
        <f>+INPUT!GY35</f>
        <v>0.87027706330786714</v>
      </c>
      <c r="FS165" s="438">
        <f>+INPUT!GZ35</f>
        <v>-15.266515559823624</v>
      </c>
    </row>
    <row r="166" spans="1:175" s="529" customFormat="1" ht="12.75" hidden="1" customHeight="1" outlineLevel="1" x14ac:dyDescent="0.2">
      <c r="A166" s="441" t="str">
        <f>+INPUT!B36</f>
        <v xml:space="preserve">  Policy Charges</v>
      </c>
      <c r="B166" s="449">
        <f>+INPUT!AA36</f>
        <v>-40</v>
      </c>
      <c r="C166" s="439">
        <f>+INPUT!AB36</f>
        <v>-23.076923076923066</v>
      </c>
      <c r="D166" s="449">
        <f>+INPUT!AC36</f>
        <v>-95</v>
      </c>
      <c r="E166" s="439">
        <f>+INPUT!AD36</f>
        <v>90</v>
      </c>
      <c r="F166" s="449">
        <f>+INPUT!AE36</f>
        <v>-129</v>
      </c>
      <c r="G166" s="439" t="str">
        <f>+INPUT!AF36</f>
        <v>NM</v>
      </c>
      <c r="H166" s="449">
        <f>+INPUT!AG36</f>
        <v>-138</v>
      </c>
      <c r="I166" s="439" t="str">
        <f>+INPUT!AH36</f>
        <v>NM</v>
      </c>
      <c r="J166" s="449">
        <f>+INPUT!AI36</f>
        <v>-144</v>
      </c>
      <c r="K166" s="439" t="str">
        <f>+INPUT!AJ36</f>
        <v>NM</v>
      </c>
      <c r="L166" s="449">
        <f>+INPUT!AK36</f>
        <v>-145</v>
      </c>
      <c r="M166" s="439">
        <f>+INPUT!AL36</f>
        <v>52.631578947368439</v>
      </c>
      <c r="N166" s="449">
        <f>+INPUT!AM36</f>
        <v>-146</v>
      </c>
      <c r="O166" s="439">
        <f>+INPUT!AN36</f>
        <v>13.178294573643413</v>
      </c>
      <c r="P166" s="449">
        <f>+INPUT!AO36</f>
        <v>-156</v>
      </c>
      <c r="Q166" s="439">
        <f>+INPUT!AP36</f>
        <v>13.043478260869563</v>
      </c>
      <c r="R166" s="449">
        <f>+INPUT!AQ36</f>
        <v>-158</v>
      </c>
      <c r="S166" s="439">
        <f>+INPUT!AR36</f>
        <v>9.7222222222222285</v>
      </c>
      <c r="T166" s="449">
        <f>+INPUT!AS36</f>
        <v>-160</v>
      </c>
      <c r="U166" s="439">
        <f>+INPUT!AT36</f>
        <v>10.34482758620689</v>
      </c>
      <c r="V166" s="449">
        <f>+INPUT!AU36</f>
        <v>-176</v>
      </c>
      <c r="W166" s="439">
        <f>+INPUT!AV36</f>
        <v>20.547945205479451</v>
      </c>
      <c r="X166" s="449">
        <f>+INPUT!AW36</f>
        <v>-182</v>
      </c>
      <c r="Y166" s="439">
        <f>+INPUT!AX36</f>
        <v>16.666666666666671</v>
      </c>
      <c r="Z166" s="449">
        <f>+INPUT!AY36</f>
        <v>-184</v>
      </c>
      <c r="AA166" s="439">
        <f>+INPUT!AZ36</f>
        <v>16.455696202531641</v>
      </c>
      <c r="AB166" s="449">
        <f>+INPUT!BA36</f>
        <v>-204</v>
      </c>
      <c r="AC166" s="439">
        <f>+INPUT!BB36</f>
        <v>27.499999999999986</v>
      </c>
      <c r="AD166" s="449">
        <f>+INPUT!BC36</f>
        <v>-259</v>
      </c>
      <c r="AE166" s="439">
        <f>+INPUT!BD36</f>
        <v>47.159090909090907</v>
      </c>
      <c r="AF166" s="449">
        <f>+INPUT!BE36</f>
        <v>-289</v>
      </c>
      <c r="AG166" s="439">
        <f>+INPUT!BF36</f>
        <v>58.791208791208788</v>
      </c>
      <c r="AH166" s="449">
        <f>+INPUT!BG36</f>
        <v>-295</v>
      </c>
      <c r="AI166" s="438">
        <f>+INPUT!BH36</f>
        <v>60.326086956521721</v>
      </c>
      <c r="AJ166" s="449">
        <f>+INPUT!BI36</f>
        <v>-320</v>
      </c>
      <c r="AK166" s="438">
        <f>+INPUT!BJ36</f>
        <v>56.862745098039227</v>
      </c>
      <c r="AL166" s="449">
        <f>+INPUT!BK36</f>
        <v>-322</v>
      </c>
      <c r="AM166" s="438">
        <f>+INPUT!BL36</f>
        <v>24.324324324324323</v>
      </c>
      <c r="AN166" s="449">
        <f>+INPUT!BM36</f>
        <v>-343</v>
      </c>
      <c r="AO166" s="438">
        <f>+INPUT!BN36</f>
        <v>18.68512110726644</v>
      </c>
      <c r="AP166" s="449">
        <f>+INPUT!BO36</f>
        <v>-306</v>
      </c>
      <c r="AQ166" s="438">
        <f>+INPUT!BP36</f>
        <v>3.7288135593220488</v>
      </c>
      <c r="AR166" s="449">
        <f>+INPUT!BQ36</f>
        <v>-317</v>
      </c>
      <c r="AS166" s="438">
        <f>+INPUT!BR36</f>
        <v>-0.9375</v>
      </c>
      <c r="AT166" s="449">
        <f>+INPUT!BS36</f>
        <v>-287</v>
      </c>
      <c r="AU166" s="438">
        <f>+INPUT!BT36</f>
        <v>-10.869565217391312</v>
      </c>
      <c r="AV166" s="449">
        <f>+INPUT!BU36</f>
        <v>-211</v>
      </c>
      <c r="AW166" s="438">
        <f>+INPUT!BV36</f>
        <v>-38.483965014577258</v>
      </c>
      <c r="AX166" s="449">
        <f>+INPUT!BW36</f>
        <v>-205</v>
      </c>
      <c r="AY166" s="438">
        <f>+INPUT!BX36</f>
        <v>-33.006535947712422</v>
      </c>
      <c r="AZ166" s="449">
        <f>+INPUT!BY36</f>
        <v>-236</v>
      </c>
      <c r="BA166" s="438">
        <f>+INPUT!BZ36</f>
        <v>-25.552050473186114</v>
      </c>
      <c r="BB166" s="449">
        <f>+INPUT!CA36</f>
        <v>-284</v>
      </c>
      <c r="BC166" s="438">
        <f>+INPUT!CB36</f>
        <v>-1.0452961672473862</v>
      </c>
      <c r="BD166" s="449">
        <f>+INPUT!CC36</f>
        <v>-336</v>
      </c>
      <c r="BE166" s="438">
        <f>+INPUT!CD36</f>
        <v>59.241706161137444</v>
      </c>
      <c r="BF166" s="449">
        <f>+INPUT!CE36</f>
        <v>-359</v>
      </c>
      <c r="BG166" s="438">
        <f>+INPUT!CF36</f>
        <v>75.121951219512198</v>
      </c>
      <c r="BH166" s="449">
        <f>+INPUT!CG36</f>
        <v>-393</v>
      </c>
      <c r="BI166" s="438">
        <f>+INPUT!CH36</f>
        <v>66.525423728813564</v>
      </c>
      <c r="BJ166" s="449">
        <f>+INPUT!CI36</f>
        <v>-422</v>
      </c>
      <c r="BK166" s="438">
        <f>+INPUT!CJ36</f>
        <v>48.591549295774655</v>
      </c>
      <c r="BL166" s="449">
        <f>+INPUT!CK36</f>
        <v>-492</v>
      </c>
      <c r="BM166" s="438">
        <f>+INPUT!CL36</f>
        <v>46.428571428571416</v>
      </c>
      <c r="BN166" s="449">
        <f>+INPUT!CM36</f>
        <v>-525</v>
      </c>
      <c r="BO166" s="438">
        <f>+INPUT!CN36</f>
        <v>46.239554317548738</v>
      </c>
      <c r="BP166" s="449">
        <f>+INPUT!CO36</f>
        <v>-568</v>
      </c>
      <c r="BQ166" s="438">
        <f>+INPUT!CP36</f>
        <v>44.529262086513995</v>
      </c>
      <c r="BR166" s="449">
        <f>+INPUT!CQ36</f>
        <v>-570</v>
      </c>
      <c r="BS166" s="438">
        <f>+INPUT!CR36</f>
        <v>35.071090047393369</v>
      </c>
      <c r="BT166" s="449">
        <f>+INPUT!CS36</f>
        <v>-575</v>
      </c>
      <c r="BU166" s="438">
        <f>+INPUT!CT36</f>
        <v>16.869918699186996</v>
      </c>
      <c r="BV166" s="449">
        <f>+INPUT!CU36</f>
        <v>-620</v>
      </c>
      <c r="BW166" s="438">
        <f>+INPUT!CV36</f>
        <v>18.095238095238102</v>
      </c>
      <c r="BX166" s="449">
        <f>+INPUT!CW36</f>
        <v>-638</v>
      </c>
      <c r="BY166" s="438">
        <f>+INPUT!CX36</f>
        <v>12.323943661971825</v>
      </c>
      <c r="BZ166" s="449">
        <f>+INPUT!CY36</f>
        <v>-691</v>
      </c>
      <c r="CA166" s="438">
        <f>+INPUT!CZ36</f>
        <v>21.228070175438603</v>
      </c>
      <c r="CB166" s="449">
        <f>+INPUT!DA36</f>
        <v>-728</v>
      </c>
      <c r="CC166" s="438">
        <f>+INPUT!DB36</f>
        <v>26.608695652173921</v>
      </c>
      <c r="CD166" s="449">
        <f>+INPUT!DC36</f>
        <v>-735</v>
      </c>
      <c r="CE166" s="438">
        <f>+INPUT!DD36</f>
        <v>18.548387096774206</v>
      </c>
      <c r="CF166" s="449">
        <f>+INPUT!DE36</f>
        <v>-808</v>
      </c>
      <c r="CG166" s="438">
        <f>+INPUT!DF36</f>
        <v>26.645768025078368</v>
      </c>
      <c r="CH166" s="449">
        <f>+INPUT!DG36</f>
        <v>-811</v>
      </c>
      <c r="CI166" s="438">
        <f>+INPUT!DH36</f>
        <v>17.366136034732278</v>
      </c>
      <c r="CJ166" s="449">
        <f>+INPUT!DI36</f>
        <v>-840</v>
      </c>
      <c r="CK166" s="438">
        <f>+INPUT!DJ36</f>
        <v>15.384615384615373</v>
      </c>
      <c r="CL166" s="449">
        <f>+INPUT!DK36</f>
        <v>-847</v>
      </c>
      <c r="CM166" s="438">
        <f>+INPUT!DL36</f>
        <v>15.238095238095227</v>
      </c>
      <c r="CN166" s="449">
        <f>+INPUT!DM36</f>
        <v>-869</v>
      </c>
      <c r="CO166" s="438">
        <f>+INPUT!DN36</f>
        <v>7.5495049504950487</v>
      </c>
      <c r="CP166" s="449">
        <f>+INPUT!DO36</f>
        <v>-891</v>
      </c>
      <c r="CQ166" s="438">
        <f>+INPUT!DP36</f>
        <v>9.8643649815043091</v>
      </c>
      <c r="CR166" s="449">
        <f>+INPUT!DQ36</f>
        <v>-890</v>
      </c>
      <c r="CS166" s="438">
        <f>+INPUT!DR36</f>
        <v>5.952380952380949</v>
      </c>
      <c r="CT166" s="449">
        <f>+INPUT!DS36</f>
        <v>-892</v>
      </c>
      <c r="CU166" s="438">
        <f>+INPUT!DT36</f>
        <v>5.3128689492325947</v>
      </c>
      <c r="CV166" s="449">
        <f>+INPUT!DU36</f>
        <v>-911</v>
      </c>
      <c r="CW166" s="438">
        <f>+INPUT!DV36</f>
        <v>4.833141542002295</v>
      </c>
      <c r="CX166" s="449">
        <f>+INPUT!DW36</f>
        <v>-895</v>
      </c>
      <c r="CY166" s="438">
        <f>+INPUT!DX36</f>
        <v>0.44893378226711889</v>
      </c>
      <c r="CZ166" s="449">
        <f>+INPUT!DY36</f>
        <v>-889</v>
      </c>
      <c r="DA166" s="438">
        <f>+INPUT!DZ36</f>
        <v>-0.11235955056180558</v>
      </c>
      <c r="DB166" s="449">
        <f>+INPUT!EA36</f>
        <v>-857</v>
      </c>
      <c r="DC166" s="438">
        <f>+INPUT!EB36</f>
        <v>-3.9237668161434982</v>
      </c>
      <c r="DD166" s="449">
        <f>+INPUT!EC36</f>
        <v>-885</v>
      </c>
      <c r="DE166" s="438">
        <f>+INPUT!ED36</f>
        <v>-2.8540065861690493</v>
      </c>
      <c r="DF166" s="449">
        <f>+INPUT!EE36</f>
        <v>-909</v>
      </c>
      <c r="DG166" s="438">
        <f>+INPUT!EF36</f>
        <v>1.5642458100558798</v>
      </c>
      <c r="DH166" s="449">
        <f>+INPUT!EG36</f>
        <v>-901</v>
      </c>
      <c r="DI166" s="438">
        <f>+INPUT!EH36</f>
        <v>1.3498312710911193</v>
      </c>
      <c r="DJ166" s="449">
        <f>+INPUT!EI36</f>
        <v>-905</v>
      </c>
      <c r="DK166" s="438">
        <f>+INPUT!EJ36</f>
        <v>5.6009334889148192</v>
      </c>
      <c r="DL166" s="449">
        <f>+INPUT!EK36</f>
        <v>-926</v>
      </c>
      <c r="DM166" s="438">
        <f>+INPUT!EL36</f>
        <v>4.632768361581924</v>
      </c>
      <c r="DN166" s="449">
        <f>+INPUT!EM36</f>
        <v>-936</v>
      </c>
      <c r="DO166" s="438">
        <f>+INPUT!EN36</f>
        <v>2.9702970297029765</v>
      </c>
      <c r="DP166" s="449">
        <f>+INPUT!EO36</f>
        <v>-945</v>
      </c>
      <c r="DQ166" s="438">
        <f>+INPUT!EP36</f>
        <v>4.8834628190898854</v>
      </c>
      <c r="DR166" s="449">
        <f>+INPUT!EQ36</f>
        <v>-962.75660520520398</v>
      </c>
      <c r="DS166" s="438">
        <f>+INPUT!ER36</f>
        <v>6.3819453265418815</v>
      </c>
      <c r="DT166" s="449">
        <f>+INPUT!ES36</f>
        <v>-940.14210744916431</v>
      </c>
      <c r="DU166" s="438">
        <f>+INPUT!ET36</f>
        <v>1.5272254264756384</v>
      </c>
      <c r="DV166" s="449">
        <f>+INPUT!EU36</f>
        <v>-939.53509879574779</v>
      </c>
      <c r="DW166" s="438">
        <f>+INPUT!EV36</f>
        <v>0.37768149527219919</v>
      </c>
      <c r="DX166" s="449">
        <f>+INPUT!EW36</f>
        <v>-939.13045512038025</v>
      </c>
      <c r="DY166" s="438">
        <f>+INPUT!EX36</f>
        <v>-0.62111586027722865</v>
      </c>
      <c r="DZ166" s="449"/>
      <c r="EA166" s="438"/>
      <c r="EB166" s="439" t="str">
        <f>+INPUT!FI36</f>
        <v>NA</v>
      </c>
      <c r="EC166" s="449">
        <f>+INPUT!FJ36</f>
        <v>-187</v>
      </c>
      <c r="ED166" s="439" t="str">
        <f>+INPUT!FK36</f>
        <v>NA</v>
      </c>
      <c r="EE166" s="449">
        <f>+INPUT!FL36</f>
        <v>-402</v>
      </c>
      <c r="EF166" s="439" t="str">
        <f>+INPUT!FM36</f>
        <v>NM</v>
      </c>
      <c r="EG166" s="449">
        <f>+INPUT!FN36</f>
        <v>-591</v>
      </c>
      <c r="EH166" s="439">
        <f>+INPUT!FO36</f>
        <v>47.014925373134332</v>
      </c>
      <c r="EI166" s="449">
        <f>+INPUT!FP36</f>
        <v>-676</v>
      </c>
      <c r="EJ166" s="438">
        <f>+INPUT!FQ36</f>
        <v>14.382402707275801</v>
      </c>
      <c r="EK166" s="449">
        <f>+INPUT!FR36</f>
        <v>-936</v>
      </c>
      <c r="EL166" s="438">
        <f>+INPUT!FS36</f>
        <v>38.461538461538453</v>
      </c>
      <c r="EM166" s="449">
        <f>+INPUT!FT36</f>
        <v>-1280</v>
      </c>
      <c r="EN166" s="438">
        <f>+INPUT!FU36</f>
        <v>36.752136752136749</v>
      </c>
      <c r="EO166" s="449">
        <f>+INPUT!FV36</f>
        <v>-1121</v>
      </c>
      <c r="EP166" s="438">
        <f>+INPUT!FW36</f>
        <v>-12.421875</v>
      </c>
      <c r="EQ166" s="449">
        <f>+INPUT!FX36</f>
        <v>-1061</v>
      </c>
      <c r="ER166" s="438">
        <f>+INPUT!FY36</f>
        <v>-5.3523639607493294</v>
      </c>
      <c r="ES166" s="449">
        <f>+INPUT!FZ36</f>
        <v>-1666</v>
      </c>
      <c r="ET166" s="438">
        <f>+INPUT!GA36</f>
        <v>57.021677662582448</v>
      </c>
      <c r="EU166" s="449">
        <f>+INPUT!GB36</f>
        <v>-2238</v>
      </c>
      <c r="EV166" s="438">
        <f>+INPUT!GC36</f>
        <v>34.333733493397375</v>
      </c>
      <c r="EW166" s="449">
        <f>+INPUT!GD36</f>
        <v>-2677</v>
      </c>
      <c r="EX166" s="438">
        <f>+INPUT!GE36</f>
        <v>19.61572832886506</v>
      </c>
      <c r="EY166" s="449">
        <f>+INPUT!GF36</f>
        <v>-3194</v>
      </c>
      <c r="EZ166" s="438">
        <f>+INPUT!GG36</f>
        <v>19.31266342921181</v>
      </c>
      <c r="FA166" s="449">
        <f>+INPUT!GH36</f>
        <v>-3497</v>
      </c>
      <c r="FB166" s="438">
        <f>+INPUT!GI36</f>
        <v>9.4865372573575542</v>
      </c>
      <c r="FC166" s="449">
        <f>+INPUT!GJ36</f>
        <v>-3587</v>
      </c>
      <c r="FD166" s="438">
        <f>+INPUT!GK36</f>
        <v>2.5736345438947694</v>
      </c>
      <c r="FE166" s="449">
        <f>+INPUT!GL36</f>
        <v>-3552</v>
      </c>
      <c r="FF166" s="438">
        <f>+INPUT!GM36</f>
        <v>-0.97574574853638296</v>
      </c>
      <c r="FG166" s="449">
        <f>+INPUT!GN36</f>
        <v>-3712</v>
      </c>
      <c r="FH166" s="438">
        <f>+INPUT!GO36</f>
        <v>4.5045045045044958</v>
      </c>
      <c r="FI166" s="449">
        <f>+INPUT!GP36</f>
        <v>-3781.5642665704963</v>
      </c>
      <c r="FJ166" s="438">
        <f>+INPUT!GQ36</f>
        <v>1.8740373537310404</v>
      </c>
      <c r="FK166" s="449">
        <f>+INPUT!GR36</f>
        <v>-3687.9763403251291</v>
      </c>
      <c r="FL166" s="438">
        <f>+INPUT!GS36</f>
        <v>-2.4748469058874889</v>
      </c>
      <c r="FM166" s="449">
        <f>+INPUT!GT36</f>
        <v>-3696.8780992990892</v>
      </c>
      <c r="FN166" s="438">
        <f>+INPUT!GU36</f>
        <v>0.24137245341371738</v>
      </c>
      <c r="FO166" s="449">
        <f>+INPUT!GV36</f>
        <v>-3716.9234202915368</v>
      </c>
      <c r="FP166" s="438">
        <f>+INPUT!GW36</f>
        <v>0.54222293659745446</v>
      </c>
      <c r="FQ166" s="449">
        <f>+INPUT!GX36</f>
        <v>-3749.2709522790524</v>
      </c>
      <c r="FR166" s="438">
        <f>+INPUT!GY36</f>
        <v>0.87027706330786714</v>
      </c>
      <c r="FS166" s="438">
        <f>+INPUT!GZ36</f>
        <v>0.20001162558163088</v>
      </c>
    </row>
    <row r="167" spans="1:175" s="529" customFormat="1" ht="12.75" hidden="1" customHeight="1" outlineLevel="1" x14ac:dyDescent="0.2">
      <c r="A167" s="441" t="str">
        <f>+INPUT!B37</f>
        <v xml:space="preserve">  Acquisitions</v>
      </c>
      <c r="B167" s="449">
        <f>+INPUT!AA37</f>
        <v>0</v>
      </c>
      <c r="C167" s="439" t="str">
        <f>+INPUT!AB37</f>
        <v>NA</v>
      </c>
      <c r="D167" s="449">
        <f>+INPUT!AC37</f>
        <v>22431</v>
      </c>
      <c r="E167" s="439" t="str">
        <f>+INPUT!AD37</f>
        <v>NA</v>
      </c>
      <c r="F167" s="449">
        <f>+INPUT!AE37</f>
        <v>0</v>
      </c>
      <c r="G167" s="439" t="str">
        <f>+INPUT!AF37</f>
        <v>NA</v>
      </c>
      <c r="H167" s="449">
        <f>+INPUT!AG37</f>
        <v>0</v>
      </c>
      <c r="I167" s="439" t="str">
        <f>+INPUT!AH37</f>
        <v>NA</v>
      </c>
      <c r="J167" s="449">
        <f>+INPUT!AI37</f>
        <v>0</v>
      </c>
      <c r="K167" s="439" t="str">
        <f>+INPUT!AJ37</f>
        <v>NA</v>
      </c>
      <c r="L167" s="449">
        <f>+INPUT!AK37</f>
        <v>0</v>
      </c>
      <c r="M167" s="439" t="str">
        <f>+INPUT!AL37</f>
        <v>NM</v>
      </c>
      <c r="N167" s="449">
        <f>+INPUT!AM37</f>
        <v>0</v>
      </c>
      <c r="O167" s="439" t="str">
        <f>+INPUT!AN37</f>
        <v>NA</v>
      </c>
      <c r="P167" s="449">
        <f>+INPUT!AO37</f>
        <v>0</v>
      </c>
      <c r="Q167" s="439" t="str">
        <f>+INPUT!AP37</f>
        <v>NA</v>
      </c>
      <c r="R167" s="449">
        <f>+INPUT!AQ37</f>
        <v>0</v>
      </c>
      <c r="S167" s="439" t="str">
        <f>+INPUT!AR37</f>
        <v>NA</v>
      </c>
      <c r="T167" s="449">
        <f>+INPUT!AS37</f>
        <v>0</v>
      </c>
      <c r="U167" s="439" t="str">
        <f>+INPUT!AT37</f>
        <v>NA</v>
      </c>
      <c r="V167" s="449">
        <f>+INPUT!AU37</f>
        <v>0</v>
      </c>
      <c r="W167" s="439" t="str">
        <f>+INPUT!AV37</f>
        <v>NA</v>
      </c>
      <c r="X167" s="449">
        <f>+INPUT!AW37</f>
        <v>0</v>
      </c>
      <c r="Y167" s="439" t="str">
        <f>+INPUT!AX37</f>
        <v>NA</v>
      </c>
      <c r="Z167" s="449">
        <f>+INPUT!AY37</f>
        <v>0</v>
      </c>
      <c r="AA167" s="439" t="str">
        <f>+INPUT!AZ37</f>
        <v>NA</v>
      </c>
      <c r="AB167" s="449">
        <f>+INPUT!BA37</f>
        <v>16312</v>
      </c>
      <c r="AC167" s="439" t="str">
        <f>+INPUT!BB37</f>
        <v>NA</v>
      </c>
      <c r="AD167" s="449">
        <f>+INPUT!BC37</f>
        <v>0</v>
      </c>
      <c r="AE167" s="439" t="str">
        <f>+INPUT!BD37</f>
        <v>NA</v>
      </c>
      <c r="AF167" s="449">
        <f>+INPUT!BE37</f>
        <v>0</v>
      </c>
      <c r="AG167" s="439" t="str">
        <f>+INPUT!BF37</f>
        <v>NA</v>
      </c>
      <c r="AH167" s="449">
        <f>+INPUT!BG37</f>
        <v>0</v>
      </c>
      <c r="AI167" s="438" t="str">
        <f>+INPUT!BH37</f>
        <v>NA</v>
      </c>
      <c r="AJ167" s="449">
        <f>+INPUT!BI37</f>
        <v>0</v>
      </c>
      <c r="AK167" s="438" t="str">
        <f>+INPUT!BJ37</f>
        <v>NM</v>
      </c>
      <c r="AL167" s="449">
        <f>+INPUT!BK37</f>
        <v>0</v>
      </c>
      <c r="AM167" s="438" t="str">
        <f>+INPUT!BL37</f>
        <v>NA</v>
      </c>
      <c r="AN167" s="449">
        <f>+INPUT!BM37</f>
        <v>0</v>
      </c>
      <c r="AO167" s="438" t="str">
        <f>+INPUT!BN37</f>
        <v>NA</v>
      </c>
      <c r="AP167" s="449">
        <f>+INPUT!BO37</f>
        <v>0</v>
      </c>
      <c r="AQ167" s="438" t="str">
        <f>+INPUT!BP37</f>
        <v>NA</v>
      </c>
      <c r="AR167" s="449">
        <f>+INPUT!BQ37</f>
        <v>0</v>
      </c>
      <c r="AS167" s="438" t="str">
        <f>+INPUT!BR37</f>
        <v>NA</v>
      </c>
      <c r="AT167" s="449">
        <f>+INPUT!BS37</f>
        <v>0</v>
      </c>
      <c r="AU167" s="438" t="str">
        <f>+INPUT!BT37</f>
        <v>NA</v>
      </c>
      <c r="AV167" s="449">
        <f>+INPUT!BU37</f>
        <v>0</v>
      </c>
      <c r="AW167" s="438" t="str">
        <f>+INPUT!BV37</f>
        <v>NA</v>
      </c>
      <c r="AX167" s="449">
        <f>+INPUT!BW37</f>
        <v>0</v>
      </c>
      <c r="AY167" s="438" t="str">
        <f>+INPUT!BX37</f>
        <v>NA</v>
      </c>
      <c r="AZ167" s="449">
        <f>+INPUT!BY37</f>
        <v>0</v>
      </c>
      <c r="BA167" s="438" t="str">
        <f>+INPUT!BZ37</f>
        <v>NA</v>
      </c>
      <c r="BB167" s="449">
        <f>+INPUT!CA37</f>
        <v>0</v>
      </c>
      <c r="BC167" s="438" t="str">
        <f>+INPUT!CB37</f>
        <v>NA</v>
      </c>
      <c r="BD167" s="449">
        <f>+INPUT!CC37</f>
        <v>0</v>
      </c>
      <c r="BE167" s="438" t="str">
        <f>+INPUT!CD37</f>
        <v>NA</v>
      </c>
      <c r="BF167" s="449">
        <f>+INPUT!CE37</f>
        <v>0</v>
      </c>
      <c r="BG167" s="438" t="str">
        <f>+INPUT!CF37</f>
        <v>NA</v>
      </c>
      <c r="BH167" s="449">
        <f>+INPUT!CG37</f>
        <v>0</v>
      </c>
      <c r="BI167" s="438" t="str">
        <f>+INPUT!CH37</f>
        <v>NA</v>
      </c>
      <c r="BJ167" s="449">
        <f>+INPUT!CI37</f>
        <v>0</v>
      </c>
      <c r="BK167" s="438" t="str">
        <f>+INPUT!CJ37</f>
        <v>NA</v>
      </c>
      <c r="BL167" s="449">
        <f>+INPUT!CK37</f>
        <v>0</v>
      </c>
      <c r="BM167" s="438" t="str">
        <f>+INPUT!CL37</f>
        <v>NA</v>
      </c>
      <c r="BN167" s="449">
        <f>+INPUT!CM37</f>
        <v>0</v>
      </c>
      <c r="BO167" s="438" t="str">
        <f>+INPUT!CN37</f>
        <v>NA</v>
      </c>
      <c r="BP167" s="449">
        <f>+INPUT!CO37</f>
        <v>0</v>
      </c>
      <c r="BQ167" s="438" t="str">
        <f>+INPUT!CP37</f>
        <v>NA</v>
      </c>
      <c r="BR167" s="449">
        <f>+INPUT!CQ37</f>
        <v>0</v>
      </c>
      <c r="BS167" s="438" t="str">
        <f>+INPUT!CR37</f>
        <v>NA</v>
      </c>
      <c r="BT167" s="449">
        <f>+INPUT!CS37</f>
        <v>0</v>
      </c>
      <c r="BU167" s="438" t="str">
        <f>+INPUT!CT37</f>
        <v>NA</v>
      </c>
      <c r="BV167" s="449">
        <f>+INPUT!CU37</f>
        <v>0</v>
      </c>
      <c r="BW167" s="438" t="str">
        <f>+INPUT!CV37</f>
        <v>NA</v>
      </c>
      <c r="BX167" s="449">
        <f>+INPUT!CW37</f>
        <v>0</v>
      </c>
      <c r="BY167" s="438" t="str">
        <f>+INPUT!CX37</f>
        <v>NA</v>
      </c>
      <c r="BZ167" s="449">
        <f>+INPUT!CY37</f>
        <v>0</v>
      </c>
      <c r="CA167" s="438" t="str">
        <f>+INPUT!CZ37</f>
        <v>NA</v>
      </c>
      <c r="CB167" s="449">
        <f>+INPUT!DA37</f>
        <v>0</v>
      </c>
      <c r="CC167" s="438" t="str">
        <f>+INPUT!DB37</f>
        <v>NA</v>
      </c>
      <c r="CD167" s="449">
        <f>+INPUT!DC37</f>
        <v>0</v>
      </c>
      <c r="CE167" s="438" t="str">
        <f>+INPUT!DD37</f>
        <v>NA</v>
      </c>
      <c r="CF167" s="449">
        <f>+INPUT!DE37</f>
        <v>0</v>
      </c>
      <c r="CG167" s="438" t="str">
        <f>+INPUT!DF37</f>
        <v>NA</v>
      </c>
      <c r="CH167" s="449">
        <f>+INPUT!DG37</f>
        <v>0</v>
      </c>
      <c r="CI167" s="438" t="str">
        <f>+INPUT!DH37</f>
        <v>NA</v>
      </c>
      <c r="CJ167" s="449">
        <f>+INPUT!DI37</f>
        <v>0</v>
      </c>
      <c r="CK167" s="438" t="str">
        <f>+INPUT!DJ37</f>
        <v>NA</v>
      </c>
      <c r="CL167" s="449">
        <f>+INPUT!DK37</f>
        <v>0</v>
      </c>
      <c r="CM167" s="438" t="str">
        <f>+INPUT!DL37</f>
        <v>NA</v>
      </c>
      <c r="CN167" s="449">
        <f>+INPUT!DM37</f>
        <v>0</v>
      </c>
      <c r="CO167" s="438" t="str">
        <f>+INPUT!DN37</f>
        <v>NA</v>
      </c>
      <c r="CP167" s="449">
        <f>+INPUT!DO37</f>
        <v>0</v>
      </c>
      <c r="CQ167" s="438" t="str">
        <f>+INPUT!DP37</f>
        <v>NA</v>
      </c>
      <c r="CR167" s="449">
        <f>+INPUT!DQ37</f>
        <v>0</v>
      </c>
      <c r="CS167" s="438" t="str">
        <f>+INPUT!DR37</f>
        <v>NA</v>
      </c>
      <c r="CT167" s="449">
        <f>+INPUT!DS37</f>
        <v>0</v>
      </c>
      <c r="CU167" s="438" t="str">
        <f>+INPUT!DT37</f>
        <v>NA</v>
      </c>
      <c r="CV167" s="449">
        <f>+INPUT!DU37</f>
        <v>0</v>
      </c>
      <c r="CW167" s="438" t="str">
        <f>+INPUT!DV37</f>
        <v>NA</v>
      </c>
      <c r="CX167" s="449">
        <f>+INPUT!DW37</f>
        <v>0</v>
      </c>
      <c r="CY167" s="438" t="str">
        <f>+INPUT!DX37</f>
        <v>NA</v>
      </c>
      <c r="CZ167" s="449">
        <f>+INPUT!DY37</f>
        <v>0</v>
      </c>
      <c r="DA167" s="438" t="str">
        <f>+INPUT!DZ37</f>
        <v>NA</v>
      </c>
      <c r="DB167" s="449">
        <f>+INPUT!EA37</f>
        <v>0</v>
      </c>
      <c r="DC167" s="438" t="str">
        <f>+INPUT!EB37</f>
        <v>NA</v>
      </c>
      <c r="DD167" s="449">
        <f>+INPUT!EC37</f>
        <v>0</v>
      </c>
      <c r="DE167" s="438" t="str">
        <f>+INPUT!ED37</f>
        <v>NA</v>
      </c>
      <c r="DF167" s="449">
        <f>+INPUT!EE37</f>
        <v>0</v>
      </c>
      <c r="DG167" s="438" t="str">
        <f>+INPUT!EF37</f>
        <v>NA</v>
      </c>
      <c r="DH167" s="449">
        <f>+INPUT!EG37</f>
        <v>0</v>
      </c>
      <c r="DI167" s="438" t="str">
        <f>+INPUT!EH37</f>
        <v>NA</v>
      </c>
      <c r="DJ167" s="449">
        <f>+INPUT!EI37</f>
        <v>0</v>
      </c>
      <c r="DK167" s="438" t="str">
        <f>+INPUT!EJ37</f>
        <v>NA</v>
      </c>
      <c r="DL167" s="449">
        <f>+INPUT!EK37</f>
        <v>0</v>
      </c>
      <c r="DM167" s="438" t="str">
        <f>+INPUT!EL37</f>
        <v>NA</v>
      </c>
      <c r="DN167" s="449">
        <f>+INPUT!EM37</f>
        <v>0</v>
      </c>
      <c r="DO167" s="438" t="str">
        <f>+INPUT!EN37</f>
        <v>NA</v>
      </c>
      <c r="DP167" s="449">
        <f>+INPUT!EO37</f>
        <v>0</v>
      </c>
      <c r="DQ167" s="438" t="str">
        <f>+INPUT!EP37</f>
        <v>NA</v>
      </c>
      <c r="DR167" s="449">
        <f>+INPUT!EQ37</f>
        <v>0</v>
      </c>
      <c r="DS167" s="438" t="str">
        <f>+INPUT!ER37</f>
        <v>NA</v>
      </c>
      <c r="DT167" s="449">
        <f>+INPUT!ES37</f>
        <v>0</v>
      </c>
      <c r="DU167" s="438" t="str">
        <f>+INPUT!ET37</f>
        <v>NA</v>
      </c>
      <c r="DV167" s="449">
        <f>+INPUT!EU37</f>
        <v>0</v>
      </c>
      <c r="DW167" s="438" t="str">
        <f>+INPUT!EV37</f>
        <v>NA</v>
      </c>
      <c r="DX167" s="449">
        <f>+INPUT!EW37</f>
        <v>0</v>
      </c>
      <c r="DY167" s="438" t="str">
        <f>+INPUT!EX37</f>
        <v>NA</v>
      </c>
      <c r="DZ167" s="449"/>
      <c r="EA167" s="438"/>
      <c r="EB167" s="439" t="str">
        <f>+INPUT!FI37</f>
        <v>NA</v>
      </c>
      <c r="EC167" s="449">
        <f>+INPUT!FJ37</f>
        <v>0</v>
      </c>
      <c r="ED167" s="439" t="str">
        <f>+INPUT!FK37</f>
        <v>NA</v>
      </c>
      <c r="EE167" s="449">
        <f>+INPUT!FL37</f>
        <v>22431</v>
      </c>
      <c r="EF167" s="439" t="str">
        <f>+INPUT!FM37</f>
        <v>NA</v>
      </c>
      <c r="EG167" s="449">
        <f>+INPUT!FN37</f>
        <v>0</v>
      </c>
      <c r="EH167" s="439" t="str">
        <f>+INPUT!FO37</f>
        <v>NM</v>
      </c>
      <c r="EI167" s="449">
        <f>+INPUT!FP37</f>
        <v>0</v>
      </c>
      <c r="EJ167" s="438" t="str">
        <f>+INPUT!FQ37</f>
        <v>NA</v>
      </c>
      <c r="EK167" s="449">
        <f>+INPUT!FR37</f>
        <v>16312</v>
      </c>
      <c r="EL167" s="438" t="str">
        <f>+INPUT!FS37</f>
        <v>NA</v>
      </c>
      <c r="EM167" s="449">
        <f>+INPUT!FT37</f>
        <v>0</v>
      </c>
      <c r="EN167" s="438" t="str">
        <f>+INPUT!FU37</f>
        <v>NM</v>
      </c>
      <c r="EO167" s="449">
        <f>+INPUT!FV37</f>
        <v>0</v>
      </c>
      <c r="EP167" s="438" t="str">
        <f>+INPUT!FW37</f>
        <v>NA</v>
      </c>
      <c r="EQ167" s="449">
        <f>+INPUT!FX37</f>
        <v>0</v>
      </c>
      <c r="ER167" s="438" t="str">
        <f>+INPUT!FY37</f>
        <v>NA</v>
      </c>
      <c r="ES167" s="449">
        <f>+INPUT!FZ37</f>
        <v>0</v>
      </c>
      <c r="ET167" s="438" t="str">
        <f>+INPUT!GA37</f>
        <v>NA</v>
      </c>
      <c r="EU167" s="449">
        <f>+INPUT!GB37</f>
        <v>0</v>
      </c>
      <c r="EV167" s="438" t="str">
        <f>+INPUT!GC37</f>
        <v>NA</v>
      </c>
      <c r="EW167" s="449">
        <f>+INPUT!GD37</f>
        <v>0</v>
      </c>
      <c r="EX167" s="438" t="str">
        <f>+INPUT!GE37</f>
        <v>NA</v>
      </c>
      <c r="EY167" s="449">
        <f>+INPUT!GF37</f>
        <v>0</v>
      </c>
      <c r="EZ167" s="438" t="str">
        <f>+INPUT!GG37</f>
        <v>NA</v>
      </c>
      <c r="FA167" s="449">
        <f>+INPUT!GH37</f>
        <v>0</v>
      </c>
      <c r="FB167" s="438" t="str">
        <f>+INPUT!GI37</f>
        <v>NA</v>
      </c>
      <c r="FC167" s="449">
        <f>+INPUT!GJ37</f>
        <v>0</v>
      </c>
      <c r="FD167" s="438" t="str">
        <f>+INPUT!GK37</f>
        <v>NA</v>
      </c>
      <c r="FE167" s="449">
        <f>+INPUT!GL37</f>
        <v>0</v>
      </c>
      <c r="FF167" s="438" t="str">
        <f>+INPUT!GM37</f>
        <v>NA</v>
      </c>
      <c r="FG167" s="449">
        <f>+INPUT!GN37</f>
        <v>0</v>
      </c>
      <c r="FH167" s="438" t="str">
        <f>+INPUT!GO37</f>
        <v>NA</v>
      </c>
      <c r="FI167" s="449">
        <f>+INPUT!GP37</f>
        <v>0</v>
      </c>
      <c r="FJ167" s="438" t="str">
        <f>+INPUT!GQ37</f>
        <v>NA</v>
      </c>
      <c r="FK167" s="449">
        <f>+INPUT!GR37</f>
        <v>0</v>
      </c>
      <c r="FL167" s="438" t="str">
        <f>+INPUT!GS37</f>
        <v>NA</v>
      </c>
      <c r="FM167" s="449">
        <f>+INPUT!GT37</f>
        <v>0</v>
      </c>
      <c r="FN167" s="438" t="str">
        <f>+INPUT!GU37</f>
        <v>NA</v>
      </c>
      <c r="FO167" s="449">
        <f>+INPUT!GV37</f>
        <v>0</v>
      </c>
      <c r="FP167" s="438" t="str">
        <f>+INPUT!GW37</f>
        <v>NA</v>
      </c>
      <c r="FQ167" s="449">
        <f>+INPUT!GX37</f>
        <v>0</v>
      </c>
      <c r="FR167" s="438" t="str">
        <f>+INPUT!GY37</f>
        <v>NA</v>
      </c>
      <c r="FS167" s="438" t="str">
        <f>+INPUT!GZ37</f>
        <v>NA</v>
      </c>
    </row>
    <row r="168" spans="1:175" s="529" customFormat="1" ht="12.75" hidden="1" customHeight="1" outlineLevel="1" x14ac:dyDescent="0.2">
      <c r="A168" s="441" t="str">
        <f>+INPUT!B38</f>
        <v>Ending Reserves</v>
      </c>
      <c r="B168" s="449">
        <f>+INPUT!AA38</f>
        <v>14965</v>
      </c>
      <c r="C168" s="439">
        <f>+INPUT!AB38</f>
        <v>-18.822891239490104</v>
      </c>
      <c r="D168" s="449">
        <f>+INPUT!AC38</f>
        <v>39780</v>
      </c>
      <c r="E168" s="439" t="str">
        <f>+INPUT!AD38</f>
        <v>NM</v>
      </c>
      <c r="F168" s="449">
        <f>+INPUT!AE38</f>
        <v>40815</v>
      </c>
      <c r="G168" s="439" t="str">
        <f>+INPUT!AF38</f>
        <v>NM</v>
      </c>
      <c r="H168" s="449">
        <f>+INPUT!AG38</f>
        <v>43949</v>
      </c>
      <c r="I168" s="439" t="str">
        <f>+INPUT!AH38</f>
        <v>NM</v>
      </c>
      <c r="J168" s="449">
        <f>+INPUT!AI38</f>
        <v>44858</v>
      </c>
      <c r="K168" s="439" t="str">
        <f>+INPUT!AJ38</f>
        <v>NM</v>
      </c>
      <c r="L168" s="449">
        <f>+INPUT!AK38</f>
        <v>44927</v>
      </c>
      <c r="M168" s="439">
        <f>+INPUT!AL38</f>
        <v>12.938662644544991</v>
      </c>
      <c r="N168" s="449">
        <f>+INPUT!AM38</f>
        <v>44474</v>
      </c>
      <c r="O168" s="439">
        <f>+INPUT!AN38</f>
        <v>8.9648413573441275</v>
      </c>
      <c r="P168" s="449">
        <f>+INPUT!AO38</f>
        <v>47418</v>
      </c>
      <c r="Q168" s="439">
        <f>+INPUT!AP38</f>
        <v>7.8932398916926445</v>
      </c>
      <c r="R168" s="449">
        <f>+INPUT!AQ38</f>
        <v>46386</v>
      </c>
      <c r="S168" s="439">
        <f>+INPUT!AR38</f>
        <v>3.4063043381336655</v>
      </c>
      <c r="T168" s="449">
        <f>+INPUT!AS38</f>
        <v>47402</v>
      </c>
      <c r="U168" s="439">
        <f>+INPUT!AT38</f>
        <v>5.5089367195672878</v>
      </c>
      <c r="V168" s="449">
        <f>+INPUT!AU38</f>
        <v>49484</v>
      </c>
      <c r="W168" s="439">
        <f>+INPUT!AV38</f>
        <v>11.265008769168489</v>
      </c>
      <c r="X168" s="449">
        <f>+INPUT!AW38</f>
        <v>50778</v>
      </c>
      <c r="Y168" s="439">
        <f>+INPUT!AX38</f>
        <v>7.0859167404782966</v>
      </c>
      <c r="Z168" s="449">
        <f>+INPUT!AY38</f>
        <v>53181</v>
      </c>
      <c r="AA168" s="439">
        <f>+INPUT!AZ38</f>
        <v>14.648816453240215</v>
      </c>
      <c r="AB168" s="449">
        <f>+INPUT!BA38</f>
        <v>68807</v>
      </c>
      <c r="AC168" s="439">
        <f>+INPUT!BB38</f>
        <v>45.1563225180372</v>
      </c>
      <c r="AD168" s="449">
        <f>+INPUT!BC38</f>
        <v>70555</v>
      </c>
      <c r="AE168" s="439">
        <f>+INPUT!BD38</f>
        <v>42.581440465605027</v>
      </c>
      <c r="AF168" s="449">
        <f>+INPUT!BE38</f>
        <v>74555</v>
      </c>
      <c r="AG168" s="439">
        <f>+INPUT!BF38</f>
        <v>46.825396825396808</v>
      </c>
      <c r="AH168" s="449">
        <f>+INPUT!BG38</f>
        <v>75591</v>
      </c>
      <c r="AI168" s="438">
        <f>+INPUT!BH38</f>
        <v>42.139109832458956</v>
      </c>
      <c r="AJ168" s="449">
        <f>+INPUT!BI38</f>
        <v>78968</v>
      </c>
      <c r="AK168" s="438">
        <f>+INPUT!BJ38</f>
        <v>14.767392852471389</v>
      </c>
      <c r="AL168" s="449">
        <f>+INPUT!BK38</f>
        <v>81173</v>
      </c>
      <c r="AM168" s="438">
        <f>+INPUT!BL38</f>
        <v>15.04925235631778</v>
      </c>
      <c r="AN168" s="449">
        <f>+INPUT!BM38</f>
        <v>80330</v>
      </c>
      <c r="AO168" s="438">
        <f>+INPUT!BN38</f>
        <v>7.7459593588625779</v>
      </c>
      <c r="AP168" s="449">
        <f>+INPUT!BO38</f>
        <v>74977</v>
      </c>
      <c r="AQ168" s="438">
        <f>+INPUT!BP38</f>
        <v>-0.81226601050389036</v>
      </c>
      <c r="AR168" s="449">
        <f>+INPUT!BQ38</f>
        <v>74707</v>
      </c>
      <c r="AS168" s="438">
        <f>+INPUT!BR38</f>
        <v>-5.3958565494883999</v>
      </c>
      <c r="AT168" s="449">
        <f>+INPUT!BS38</f>
        <v>67968</v>
      </c>
      <c r="AU168" s="438">
        <f>+INPUT!BT38</f>
        <v>-16.267724489670215</v>
      </c>
      <c r="AV168" s="449">
        <f>+INPUT!BU38</f>
        <v>60007</v>
      </c>
      <c r="AW168" s="438">
        <f>+INPUT!BV38</f>
        <v>-25.299390016183239</v>
      </c>
      <c r="AX168" s="449">
        <f>+INPUT!BW38</f>
        <v>57942</v>
      </c>
      <c r="AY168" s="438">
        <f>+INPUT!BX38</f>
        <v>-22.720300892273627</v>
      </c>
      <c r="AZ168" s="449">
        <f>+INPUT!BY38</f>
        <v>65099</v>
      </c>
      <c r="BA168" s="438">
        <f>+INPUT!BZ38</f>
        <v>-12.860909954890445</v>
      </c>
      <c r="BB168" s="449">
        <f>+INPUT!CA38</f>
        <v>75611</v>
      </c>
      <c r="BC168" s="438">
        <f>+INPUT!CB38</f>
        <v>11.244997645951031</v>
      </c>
      <c r="BD168" s="449">
        <f>+INPUT!CC38</f>
        <v>80519</v>
      </c>
      <c r="BE168" s="438">
        <f>+INPUT!CD38</f>
        <v>34.182678687486458</v>
      </c>
      <c r="BF168" s="449">
        <f>+INPUT!CE38</f>
        <v>85379</v>
      </c>
      <c r="BG168" s="438">
        <f>+INPUT!CF38</f>
        <v>47.352524938731847</v>
      </c>
      <c r="BH168" s="449">
        <f>+INPUT!CG38</f>
        <v>83593</v>
      </c>
      <c r="BI168" s="438">
        <f>+INPUT!CH38</f>
        <v>28.409038541298628</v>
      </c>
      <c r="BJ168" s="449">
        <f>+INPUT!CI38</f>
        <v>93375</v>
      </c>
      <c r="BK168" s="438">
        <f>+INPUT!CJ38</f>
        <v>23.493936067503412</v>
      </c>
      <c r="BL168" s="449">
        <f>+INPUT!CK38</f>
        <v>102348</v>
      </c>
      <c r="BM168" s="438">
        <f>+INPUT!CL38</f>
        <v>27.110371465120025</v>
      </c>
      <c r="BN168" s="449">
        <f>+INPUT!CM38</f>
        <v>109969</v>
      </c>
      <c r="BO168" s="438">
        <f>+INPUT!CN38</f>
        <v>28.800993218472939</v>
      </c>
      <c r="BP168" s="449">
        <f>+INPUT!CO38</f>
        <v>112202</v>
      </c>
      <c r="BQ168" s="438">
        <f>+INPUT!CP38</f>
        <v>34.224157525151611</v>
      </c>
      <c r="BR168" s="449">
        <f>+INPUT!CQ38</f>
        <v>102879</v>
      </c>
      <c r="BS168" s="438">
        <f>+INPUT!CR38</f>
        <v>10.178313253012035</v>
      </c>
      <c r="BT168" s="449">
        <f>+INPUT!CS38</f>
        <v>109743</v>
      </c>
      <c r="BU168" s="438">
        <f>+INPUT!CT38</f>
        <v>7.2253488099425454</v>
      </c>
      <c r="BV168" s="449">
        <f>+INPUT!CU38</f>
        <v>120276</v>
      </c>
      <c r="BW168" s="438">
        <f>+INPUT!CV38</f>
        <v>9.3726413807527535</v>
      </c>
      <c r="BX168" s="449">
        <f>+INPUT!CW38</f>
        <v>120326</v>
      </c>
      <c r="BY168" s="438">
        <f>+INPUT!CX38</f>
        <v>7.2405126468333805</v>
      </c>
      <c r="BZ168" s="449">
        <f>+INPUT!CY38</f>
        <v>128949</v>
      </c>
      <c r="CA168" s="438">
        <f>+INPUT!CZ38</f>
        <v>25.340448488029637</v>
      </c>
      <c r="CB168" s="449">
        <f>+INPUT!DA38</f>
        <v>131608</v>
      </c>
      <c r="CC168" s="438">
        <f>+INPUT!DB38</f>
        <v>19.923822020538907</v>
      </c>
      <c r="CD168" s="449">
        <f>+INPUT!DC38</f>
        <v>139034</v>
      </c>
      <c r="CE168" s="438">
        <f>+INPUT!DD38</f>
        <v>15.59579633509594</v>
      </c>
      <c r="CF168" s="449">
        <f>+INPUT!DE38</f>
        <v>137775</v>
      </c>
      <c r="CG168" s="438">
        <f>+INPUT!DF38</f>
        <v>14.501437760749965</v>
      </c>
      <c r="CH168" s="449">
        <f>+INPUT!DG38</f>
        <v>143697</v>
      </c>
      <c r="CI168" s="438">
        <f>+INPUT!DH38</f>
        <v>11.43707977572528</v>
      </c>
      <c r="CJ168" s="449">
        <f>+INPUT!DI38</f>
        <v>150467</v>
      </c>
      <c r="CK168" s="438">
        <f>+INPUT!DJ38</f>
        <v>14.329676007537543</v>
      </c>
      <c r="CL168" s="449">
        <f>+INPUT!DK38</f>
        <v>151620</v>
      </c>
      <c r="CM168" s="438">
        <f>+INPUT!DL38</f>
        <v>9.0524619877152332</v>
      </c>
      <c r="CN168" s="449">
        <f>+INPUT!DM38</f>
        <v>155890</v>
      </c>
      <c r="CO168" s="438">
        <f>+INPUT!DN38</f>
        <v>13.148248956632187</v>
      </c>
      <c r="CP168" s="449">
        <f>+INPUT!DO38</f>
        <v>153172</v>
      </c>
      <c r="CQ168" s="438">
        <f>+INPUT!DP38</f>
        <v>6.5937354294104864</v>
      </c>
      <c r="CR168" s="449">
        <f>+INPUT!DQ38</f>
        <v>155083</v>
      </c>
      <c r="CS168" s="438">
        <f>+INPUT!DR38</f>
        <v>3.067782304425549</v>
      </c>
      <c r="CT168" s="449">
        <f>+INPUT!DS38</f>
        <v>157552</v>
      </c>
      <c r="CU168" s="438">
        <f>+INPUT!DT38</f>
        <v>3.9124126104735524</v>
      </c>
      <c r="CV168" s="449">
        <f>+INPUT!DU38</f>
        <v>155424</v>
      </c>
      <c r="CW168" s="438">
        <f>+INPUT!DV38</f>
        <v>-0.29892873179807111</v>
      </c>
      <c r="CX168" s="449">
        <f>+INPUT!DW38</f>
        <v>146685</v>
      </c>
      <c r="CY168" s="438">
        <f>+INPUT!DX38</f>
        <v>-4.2351082443266392</v>
      </c>
      <c r="CZ168" s="449">
        <f>+INPUT!DY38</f>
        <v>149441</v>
      </c>
      <c r="DA168" s="438">
        <f>+INPUT!DZ38</f>
        <v>-3.6380518818954926</v>
      </c>
      <c r="DB168" s="449">
        <f>+INPUT!EA38</f>
        <v>149246</v>
      </c>
      <c r="DC168" s="438">
        <f>+INPUT!EB38</f>
        <v>-5.2719102264649109</v>
      </c>
      <c r="DD168" s="449">
        <f>+INPUT!EC38</f>
        <v>151188</v>
      </c>
      <c r="DE168" s="438">
        <f>+INPUT!ED38</f>
        <v>-2.7254478072884467</v>
      </c>
      <c r="DF168" s="449">
        <f>+INPUT!EE38</f>
        <v>154903</v>
      </c>
      <c r="DG168" s="438">
        <f>+INPUT!EF38</f>
        <v>5.6024815079933177</v>
      </c>
      <c r="DH168" s="449">
        <f>+INPUT!EG38</f>
        <v>153295</v>
      </c>
      <c r="DI168" s="438">
        <f>+INPUT!EH38</f>
        <v>2.5789441987138702</v>
      </c>
      <c r="DJ168" s="449">
        <f>+INPUT!EI38</f>
        <v>156830</v>
      </c>
      <c r="DK168" s="438">
        <f>+INPUT!EJ38</f>
        <v>5.0815432239389935</v>
      </c>
      <c r="DL168" s="449">
        <f>+INPUT!EK38</f>
        <v>159202</v>
      </c>
      <c r="DM168" s="438">
        <f>+INPUT!EL38</f>
        <v>5.3006852395692761</v>
      </c>
      <c r="DN168" s="449">
        <f>+INPUT!EM38</f>
        <v>162107</v>
      </c>
      <c r="DO168" s="438">
        <f>+INPUT!EN38</f>
        <v>4.6506523437247864</v>
      </c>
      <c r="DP168" s="449">
        <f>+INPUT!EO38</f>
        <v>165153</v>
      </c>
      <c r="DQ168" s="438">
        <f>+INPUT!EP38</f>
        <v>7.7354121138980361</v>
      </c>
      <c r="DR168" s="449">
        <f>+INPUT!EQ38</f>
        <v>161273.66837276367</v>
      </c>
      <c r="DS168" s="438">
        <f>+INPUT!ER38</f>
        <v>2.833430066163146</v>
      </c>
      <c r="DT168" s="449">
        <f>+INPUT!ES38</f>
        <v>161169.54101638336</v>
      </c>
      <c r="DU168" s="438">
        <f>+INPUT!ET38</f>
        <v>1.235877072136887</v>
      </c>
      <c r="DV168" s="449">
        <f>+INPUT!EU38</f>
        <v>161100.1277123804</v>
      </c>
      <c r="DW168" s="438">
        <f>+INPUT!EV38</f>
        <v>-0.62111586027722865</v>
      </c>
      <c r="DX168" s="449">
        <f>+INPUT!EW38</f>
        <v>161065.71608951958</v>
      </c>
      <c r="DY168" s="438">
        <f>+INPUT!EX38</f>
        <v>-2.4748469058875173</v>
      </c>
      <c r="DZ168" s="449"/>
      <c r="EA168" s="438"/>
      <c r="EB168" s="439">
        <f>+INPUT!FI38</f>
        <v>-11.25409563607009</v>
      </c>
      <c r="EC168" s="449">
        <f>+INPUT!FJ38</f>
        <v>15338</v>
      </c>
      <c r="ED168" s="439">
        <f>+INPUT!FK38</f>
        <v>-17.930333351169139</v>
      </c>
      <c r="EE168" s="449">
        <f>+INPUT!FL38</f>
        <v>43949</v>
      </c>
      <c r="EF168" s="439" t="str">
        <f>+INPUT!FM38</f>
        <v>NM</v>
      </c>
      <c r="EG168" s="449">
        <f>+INPUT!FN38</f>
        <v>47418</v>
      </c>
      <c r="EH168" s="439">
        <f>+INPUT!FO38</f>
        <v>7.8932398916926445</v>
      </c>
      <c r="EI168" s="449">
        <f>+INPUT!FP38</f>
        <v>50778</v>
      </c>
      <c r="EJ168" s="438">
        <f>+INPUT!FQ38</f>
        <v>7.0859167404782966</v>
      </c>
      <c r="EK168" s="449">
        <f>+INPUT!FR38</f>
        <v>74555</v>
      </c>
      <c r="EL168" s="438">
        <f>+INPUT!FS38</f>
        <v>46.825396825396808</v>
      </c>
      <c r="EM168" s="449">
        <f>+INPUT!FT38</f>
        <v>80330</v>
      </c>
      <c r="EN168" s="438">
        <f>+INPUT!FU38</f>
        <v>7.7459593588625779</v>
      </c>
      <c r="EO168" s="449">
        <f>+INPUT!FV38</f>
        <v>60007</v>
      </c>
      <c r="EP168" s="438">
        <f>+INPUT!FW38</f>
        <v>-25.299390016183239</v>
      </c>
      <c r="EQ168" s="449">
        <f>+INPUT!FX38</f>
        <v>80519</v>
      </c>
      <c r="ER168" s="438">
        <f>+INPUT!FY38</f>
        <v>34.182678687486458</v>
      </c>
      <c r="ES168" s="449">
        <f>+INPUT!FZ38</f>
        <v>102348</v>
      </c>
      <c r="ET168" s="438">
        <f>+INPUT!GA38</f>
        <v>27.110371465120025</v>
      </c>
      <c r="EU168" s="449">
        <f>+INPUT!GB38</f>
        <v>109743</v>
      </c>
      <c r="EV168" s="438">
        <f>+INPUT!GC38</f>
        <v>7.2253488099425454</v>
      </c>
      <c r="EW168" s="449">
        <f>+INPUT!GD38</f>
        <v>131608</v>
      </c>
      <c r="EX168" s="438">
        <f>+INPUT!GE38</f>
        <v>19.923822020538907</v>
      </c>
      <c r="EY168" s="449">
        <f>+INPUT!GF38</f>
        <v>150467</v>
      </c>
      <c r="EZ168" s="438">
        <f>+INPUT!GG38</f>
        <v>14.329676007537543</v>
      </c>
      <c r="FA168" s="449">
        <f>+INPUT!GH38</f>
        <v>155083</v>
      </c>
      <c r="FB168" s="438">
        <f>+INPUT!GI38</f>
        <v>3.067782304425549</v>
      </c>
      <c r="FC168" s="449">
        <f>+INPUT!GJ38</f>
        <v>149441</v>
      </c>
      <c r="FD168" s="438">
        <f>+INPUT!GK38</f>
        <v>-3.6380518818954926</v>
      </c>
      <c r="FE168" s="449">
        <f>+INPUT!GL38</f>
        <v>153295</v>
      </c>
      <c r="FF168" s="438">
        <f>+INPUT!GM38</f>
        <v>2.5789441987138702</v>
      </c>
      <c r="FG168" s="449">
        <f>+INPUT!GN38</f>
        <v>165153</v>
      </c>
      <c r="FH168" s="438">
        <f>+INPUT!GO38</f>
        <v>7.7354121138980361</v>
      </c>
      <c r="FI168" s="449">
        <f>+INPUT!GP38</f>
        <v>161065.71608951961</v>
      </c>
      <c r="FJ168" s="438">
        <f>+INPUT!GQ38</f>
        <v>-2.4748469058875031</v>
      </c>
      <c r="FK168" s="449">
        <f>+INPUT!GR38</f>
        <v>161454.48436005326</v>
      </c>
      <c r="FL168" s="438">
        <f>+INPUT!GS38</f>
        <v>0.24137245341371738</v>
      </c>
      <c r="FM168" s="449">
        <f>+INPUT!GT38</f>
        <v>162329.92760641861</v>
      </c>
      <c r="FN168" s="438">
        <f>+INPUT!GU38</f>
        <v>0.54222293659745446</v>
      </c>
      <c r="FO168" s="449">
        <f>+INPUT!GV38</f>
        <v>163742.64773326155</v>
      </c>
      <c r="FP168" s="438">
        <f>+INPUT!GW38</f>
        <v>0.87027706330786714</v>
      </c>
      <c r="FQ168" s="449">
        <f>+INPUT!GX38</f>
        <v>165746.06680613459</v>
      </c>
      <c r="FR168" s="438">
        <f>+INPUT!GY38</f>
        <v>1.2235169643382164</v>
      </c>
      <c r="FS168" s="438">
        <f>+INPUT!GZ38</f>
        <v>7.1717347238942075E-2</v>
      </c>
    </row>
    <row r="169" spans="1:175" s="529" customFormat="1" ht="12.75" hidden="1" customHeight="1" outlineLevel="1" x14ac:dyDescent="0.2">
      <c r="A169" s="441" t="str">
        <f>+INPUT!B39</f>
        <v>Average Reserves</v>
      </c>
      <c r="B169" s="449">
        <f>+INPUT!AA39</f>
        <v>15151.5</v>
      </c>
      <c r="C169" s="439">
        <f>+INPUT!AB39</f>
        <v>-18.373558883740984</v>
      </c>
      <c r="D169" s="449">
        <f>+INPUT!AC39</f>
        <v>27372.5</v>
      </c>
      <c r="E169" s="439">
        <f>+INPUT!AD39</f>
        <v>55.36226125947158</v>
      </c>
      <c r="F169" s="449">
        <f>+INPUT!AE39</f>
        <v>40297.5</v>
      </c>
      <c r="G169" s="439" t="str">
        <f>+INPUT!AF39</f>
        <v>NM</v>
      </c>
      <c r="H169" s="449">
        <f>+INPUT!AG39</f>
        <v>42382</v>
      </c>
      <c r="I169" s="439" t="str">
        <f>+INPUT!AH39</f>
        <v>NM</v>
      </c>
      <c r="J169" s="449">
        <f>+INPUT!AI39</f>
        <v>44403.5</v>
      </c>
      <c r="K169" s="439" t="str">
        <f>+INPUT!AJ39</f>
        <v>NM</v>
      </c>
      <c r="L169" s="449">
        <f>+INPUT!AK39</f>
        <v>44892.5</v>
      </c>
      <c r="M169" s="439">
        <f>+INPUT!AL39</f>
        <v>64.005845282674215</v>
      </c>
      <c r="N169" s="449">
        <f>+INPUT!AM39</f>
        <v>44700.5</v>
      </c>
      <c r="O169" s="439">
        <f>+INPUT!AN39</f>
        <v>10.926236118865944</v>
      </c>
      <c r="P169" s="449">
        <f>+INPUT!AO39</f>
        <v>45946</v>
      </c>
      <c r="Q169" s="439">
        <f>+INPUT!AP39</f>
        <v>8.409230333632209</v>
      </c>
      <c r="R169" s="449">
        <f>+INPUT!AQ39</f>
        <v>46902</v>
      </c>
      <c r="S169" s="439">
        <f>+INPUT!AR39</f>
        <v>5.6268086975125726</v>
      </c>
      <c r="T169" s="449">
        <f>+INPUT!AS39</f>
        <v>46894</v>
      </c>
      <c r="U169" s="439">
        <f>+INPUT!AT39</f>
        <v>4.4584284680069004</v>
      </c>
      <c r="V169" s="449">
        <f>+INPUT!AU39</f>
        <v>48443</v>
      </c>
      <c r="W169" s="439">
        <f>+INPUT!AV39</f>
        <v>8.3723895705864635</v>
      </c>
      <c r="X169" s="449">
        <f>+INPUT!AW39</f>
        <v>50131</v>
      </c>
      <c r="Y169" s="439">
        <f>+INPUT!AX39</f>
        <v>9.1085186958603543</v>
      </c>
      <c r="Z169" s="449">
        <f>+INPUT!AY39</f>
        <v>51979.5</v>
      </c>
      <c r="AA169" s="439">
        <f>+INPUT!AZ39</f>
        <v>10.825764359728794</v>
      </c>
      <c r="AB169" s="449">
        <f>+INPUT!BA39</f>
        <v>60994</v>
      </c>
      <c r="AC169" s="439">
        <f>+INPUT!BB39</f>
        <v>30.067812513327937</v>
      </c>
      <c r="AD169" s="449">
        <f>+INPUT!BC39</f>
        <v>69681</v>
      </c>
      <c r="AE169" s="439">
        <f>+INPUT!BD39</f>
        <v>43.841215449084473</v>
      </c>
      <c r="AF169" s="449">
        <f>+INPUT!BE39</f>
        <v>72555</v>
      </c>
      <c r="AG169" s="439">
        <f>+INPUT!BF39</f>
        <v>44.730805290139841</v>
      </c>
      <c r="AH169" s="449">
        <f>+INPUT!BG39</f>
        <v>75073</v>
      </c>
      <c r="AI169" s="438">
        <f>+INPUT!BH39</f>
        <v>44.428091843900006</v>
      </c>
      <c r="AJ169" s="449">
        <f>+INPUT!BI39</f>
        <v>77279.5</v>
      </c>
      <c r="AK169" s="438">
        <f>+INPUT!BJ39</f>
        <v>26.700167229563561</v>
      </c>
      <c r="AL169" s="449">
        <f>+INPUT!BK39</f>
        <v>80070.5</v>
      </c>
      <c r="AM169" s="438">
        <f>+INPUT!BL39</f>
        <v>14.91009026850935</v>
      </c>
      <c r="AN169" s="449">
        <f>+INPUT!BM39</f>
        <v>80751.5</v>
      </c>
      <c r="AO169" s="438">
        <f>+INPUT!BN39</f>
        <v>11.296947143546276</v>
      </c>
      <c r="AP169" s="449">
        <f>+INPUT!BO39</f>
        <v>77653.5</v>
      </c>
      <c r="AQ169" s="438">
        <f>+INPUT!BP39</f>
        <v>3.4373210075526544</v>
      </c>
      <c r="AR169" s="449">
        <f>+INPUT!BQ39</f>
        <v>74842</v>
      </c>
      <c r="AS169" s="438">
        <f>+INPUT!BR39</f>
        <v>-3.1541353140224828</v>
      </c>
      <c r="AT169" s="449">
        <f>+INPUT!BS39</f>
        <v>71337.5</v>
      </c>
      <c r="AU169" s="438">
        <f>+INPUT!BT39</f>
        <v>-10.906638524800016</v>
      </c>
      <c r="AV169" s="449">
        <f>+INPUT!BU39</f>
        <v>63987.5</v>
      </c>
      <c r="AW169" s="438">
        <f>+INPUT!BV39</f>
        <v>-20.759985882615183</v>
      </c>
      <c r="AX169" s="449">
        <f>+INPUT!BW39</f>
        <v>58974.5</v>
      </c>
      <c r="AY169" s="438">
        <f>+INPUT!BX39</f>
        <v>-24.054292465890143</v>
      </c>
      <c r="AZ169" s="449">
        <f>+INPUT!BY39</f>
        <v>61520.5</v>
      </c>
      <c r="BA169" s="438">
        <f>+INPUT!BZ39</f>
        <v>-17.799497608294814</v>
      </c>
      <c r="BB169" s="449">
        <f>+INPUT!CA39</f>
        <v>70355</v>
      </c>
      <c r="BC169" s="438">
        <f>+INPUT!CB39</f>
        <v>-1.3772560014017898</v>
      </c>
      <c r="BD169" s="449">
        <f>+INPUT!CC39</f>
        <v>78065</v>
      </c>
      <c r="BE169" s="438">
        <f>+INPUT!CD39</f>
        <v>22.000390701308859</v>
      </c>
      <c r="BF169" s="449">
        <f>+INPUT!CE39</f>
        <v>82949</v>
      </c>
      <c r="BG169" s="438">
        <f>+INPUT!CF39</f>
        <v>40.652315831418662</v>
      </c>
      <c r="BH169" s="449">
        <f>+INPUT!CG39</f>
        <v>84486</v>
      </c>
      <c r="BI169" s="438">
        <f>+INPUT!CH39</f>
        <v>37.329833145049207</v>
      </c>
      <c r="BJ169" s="449">
        <f>+INPUT!CI39</f>
        <v>88484</v>
      </c>
      <c r="BK169" s="438">
        <f>+INPUT!CJ39</f>
        <v>25.767891407860134</v>
      </c>
      <c r="BL169" s="449">
        <f>+INPUT!CK39</f>
        <v>97861.5</v>
      </c>
      <c r="BM169" s="438">
        <f>+INPUT!CL39</f>
        <v>25.358995708704285</v>
      </c>
      <c r="BN169" s="449">
        <f>+INPUT!CM39</f>
        <v>106158.5</v>
      </c>
      <c r="BO169" s="438">
        <f>+INPUT!CN39</f>
        <v>27.980445816103867</v>
      </c>
      <c r="BP169" s="449">
        <f>+INPUT!CO39</f>
        <v>111085.5</v>
      </c>
      <c r="BQ169" s="438">
        <f>+INPUT!CP39</f>
        <v>31.483914494709182</v>
      </c>
      <c r="BR169" s="449">
        <f>+INPUT!CQ39</f>
        <v>107540.5</v>
      </c>
      <c r="BS169" s="438">
        <f>+INPUT!CR39</f>
        <v>21.536661995388997</v>
      </c>
      <c r="BT169" s="449">
        <f>+INPUT!CS39</f>
        <v>106311</v>
      </c>
      <c r="BU169" s="438">
        <f>+INPUT!CT39</f>
        <v>8.6341411075857195</v>
      </c>
      <c r="BV169" s="449">
        <f>+INPUT!CU39</f>
        <v>115009.5</v>
      </c>
      <c r="BW169" s="438">
        <f>+INPUT!CV39</f>
        <v>8.3375330284433176</v>
      </c>
      <c r="BX169" s="449">
        <f>+INPUT!CW39</f>
        <v>120301</v>
      </c>
      <c r="BY169" s="438">
        <f>+INPUT!CX39</f>
        <v>8.2958621962362429</v>
      </c>
      <c r="BZ169" s="449">
        <f>+INPUT!CY39</f>
        <v>124637.5</v>
      </c>
      <c r="CA169" s="438">
        <f>+INPUT!CZ39</f>
        <v>15.898196493414105</v>
      </c>
      <c r="CB169" s="449">
        <f>+INPUT!DA39</f>
        <v>130278.5</v>
      </c>
      <c r="CC169" s="438">
        <f>+INPUT!DB39</f>
        <v>22.54470374655493</v>
      </c>
      <c r="CD169" s="449">
        <f>+INPUT!DC39</f>
        <v>135321</v>
      </c>
      <c r="CE169" s="438">
        <f>+INPUT!DD39</f>
        <v>17.660714984414327</v>
      </c>
      <c r="CF169" s="449">
        <f>+INPUT!DE39</f>
        <v>138404.5</v>
      </c>
      <c r="CG169" s="438">
        <f>+INPUT!DF39</f>
        <v>15.048503337461867</v>
      </c>
      <c r="CH169" s="449">
        <f>+INPUT!DG39</f>
        <v>140736</v>
      </c>
      <c r="CI169" s="438">
        <f>+INPUT!DH39</f>
        <v>12.916257145722597</v>
      </c>
      <c r="CJ169" s="449">
        <f>+INPUT!DI39</f>
        <v>147082</v>
      </c>
      <c r="CK169" s="438">
        <f>+INPUT!DJ39</f>
        <v>12.898137451690033</v>
      </c>
      <c r="CL169" s="449">
        <f>+INPUT!DK39</f>
        <v>151043.5</v>
      </c>
      <c r="CM169" s="438">
        <f>+INPUT!DL39</f>
        <v>11.618669681719766</v>
      </c>
      <c r="CN169" s="449">
        <f>+INPUT!DM39</f>
        <v>153755</v>
      </c>
      <c r="CO169" s="438">
        <f>+INPUT!DN39</f>
        <v>11.091041114992635</v>
      </c>
      <c r="CP169" s="449">
        <f>+INPUT!DO39</f>
        <v>154531</v>
      </c>
      <c r="CQ169" s="438">
        <f>+INPUT!DP39</f>
        <v>9.8020407003183436</v>
      </c>
      <c r="CR169" s="449">
        <f>+INPUT!DQ39</f>
        <v>154127.5</v>
      </c>
      <c r="CS169" s="438">
        <f>+INPUT!DR39</f>
        <v>4.7901850668334589</v>
      </c>
      <c r="CT169" s="449">
        <f>+INPUT!DS39</f>
        <v>156317.5</v>
      </c>
      <c r="CU169" s="438">
        <f>+INPUT!DT39</f>
        <v>3.4917093420107506</v>
      </c>
      <c r="CV169" s="449">
        <f>+INPUT!DU39</f>
        <v>156488</v>
      </c>
      <c r="CW169" s="438">
        <f>+INPUT!DV39</f>
        <v>1.7775031706285915</v>
      </c>
      <c r="CX169" s="449">
        <f>+INPUT!DW39</f>
        <v>151054.5</v>
      </c>
      <c r="CY169" s="438">
        <f>+INPUT!DX39</f>
        <v>-2.2497104140916662</v>
      </c>
      <c r="CZ169" s="449">
        <f>+INPUT!DY39</f>
        <v>148063</v>
      </c>
      <c r="DA169" s="438">
        <f>+INPUT!DZ39</f>
        <v>-3.9347293636761833</v>
      </c>
      <c r="DB169" s="449">
        <f>+INPUT!EA39</f>
        <v>141489.44999999998</v>
      </c>
      <c r="DC169" s="438">
        <f>+INPUT!EB39</f>
        <v>-9.4858541110240537</v>
      </c>
      <c r="DD169" s="449">
        <f>+INPUT!EC39</f>
        <v>150217</v>
      </c>
      <c r="DE169" s="438">
        <f>+INPUT!ED39</f>
        <v>-4.0073360257655537</v>
      </c>
      <c r="DF169" s="449">
        <f>+INPUT!EE39</f>
        <v>153045.5</v>
      </c>
      <c r="DG169" s="438">
        <f>+INPUT!EF39</f>
        <v>1.3180673200732258</v>
      </c>
      <c r="DH169" s="449">
        <f>+INPUT!EG39</f>
        <v>154099</v>
      </c>
      <c r="DI169" s="438">
        <f>+INPUT!EH39</f>
        <v>4.0766430505933187</v>
      </c>
      <c r="DJ169" s="449">
        <f>+INPUT!EI39</f>
        <v>155062.5</v>
      </c>
      <c r="DK169" s="438">
        <f>+INPUT!EJ39</f>
        <v>9.5929767201724303</v>
      </c>
      <c r="DL169" s="449">
        <f>+INPUT!EK39</f>
        <v>158016</v>
      </c>
      <c r="DM169" s="438">
        <f>+INPUT!EL39</f>
        <v>5.191822496787978</v>
      </c>
      <c r="DN169" s="449">
        <f>+INPUT!EM39</f>
        <v>160654.5</v>
      </c>
      <c r="DO169" s="438">
        <f>+INPUT!EN39</f>
        <v>4.9717240951220276</v>
      </c>
      <c r="DP169" s="449">
        <f>+INPUT!EO39</f>
        <v>163630</v>
      </c>
      <c r="DQ169" s="438">
        <f>+INPUT!EP39</f>
        <v>6.1849849771899841</v>
      </c>
      <c r="DR169" s="449">
        <f>+INPUT!EQ39</f>
        <v>163213.33418638184</v>
      </c>
      <c r="DS169" s="438">
        <f>+INPUT!ER39</f>
        <v>5.256483151233752</v>
      </c>
      <c r="DT169" s="449">
        <f>+INPUT!ES39</f>
        <v>161221.6046945735</v>
      </c>
      <c r="DU169" s="438">
        <f>+INPUT!ET39</f>
        <v>2.0286582969911251</v>
      </c>
      <c r="DV169" s="449">
        <f>+INPUT!EU39</f>
        <v>161134.83436438188</v>
      </c>
      <c r="DW169" s="438">
        <f>+INPUT!EV39</f>
        <v>0.29898593838446175</v>
      </c>
      <c r="DX169" s="449">
        <f>+INPUT!EW39</f>
        <v>161082.92190094999</v>
      </c>
      <c r="DY169" s="438">
        <f>+INPUT!EX39</f>
        <v>-1.556608261962964</v>
      </c>
      <c r="DZ169" s="449"/>
      <c r="EA169" s="438"/>
      <c r="EB169" s="439">
        <f>+INPUT!FI39</f>
        <v>-8.9872461246078785</v>
      </c>
      <c r="EC169" s="449">
        <f>+INPUT!FJ39</f>
        <v>17013.5</v>
      </c>
      <c r="ED169" s="439">
        <f>+INPUT!FK39</f>
        <v>-14.393177015195732</v>
      </c>
      <c r="EE169" s="449">
        <f>+INPUT!FL39</f>
        <v>29643.5</v>
      </c>
      <c r="EF169" s="439">
        <f>+INPUT!FM39</f>
        <v>74.235166191553759</v>
      </c>
      <c r="EG169" s="449">
        <f>+INPUT!FN39</f>
        <v>45683.5</v>
      </c>
      <c r="EH169" s="439">
        <f>+INPUT!FO39</f>
        <v>54.109669910773022</v>
      </c>
      <c r="EI169" s="449">
        <f>+INPUT!FP39</f>
        <v>49098</v>
      </c>
      <c r="EJ169" s="438">
        <f>+INPUT!FQ39</f>
        <v>7.474252191710363</v>
      </c>
      <c r="EK169" s="449">
        <f>+INPUT!FR39</f>
        <v>62666.5</v>
      </c>
      <c r="EL169" s="438">
        <f>+INPUT!FS39</f>
        <v>27.635545236058491</v>
      </c>
      <c r="EM169" s="449">
        <f>+INPUT!FT39</f>
        <v>77442.5</v>
      </c>
      <c r="EN169" s="438">
        <f>+INPUT!FU39</f>
        <v>23.578786113792845</v>
      </c>
      <c r="EO169" s="449">
        <f>+INPUT!FV39</f>
        <v>71955.125</v>
      </c>
      <c r="EP169" s="438">
        <f>+INPUT!FW39</f>
        <v>-7.0857410336701463</v>
      </c>
      <c r="EQ169" s="449">
        <f>+INPUT!FX39</f>
        <v>67228.75</v>
      </c>
      <c r="ER169" s="438">
        <f>+INPUT!FY39</f>
        <v>-6.5685036333409101</v>
      </c>
      <c r="ES169" s="449">
        <f>+INPUT!FZ39</f>
        <v>88445.125</v>
      </c>
      <c r="ET169" s="438">
        <f>+INPUT!GA39</f>
        <v>31.558485023148563</v>
      </c>
      <c r="EU169" s="449">
        <f>+INPUT!GB39</f>
        <v>107773.875</v>
      </c>
      <c r="EV169" s="438">
        <f>+INPUT!GC39</f>
        <v>21.853946161532349</v>
      </c>
      <c r="EW169" s="449">
        <f>+INPUT!GD39</f>
        <v>122556.625</v>
      </c>
      <c r="EX169" s="438">
        <f>+INPUT!GE39</f>
        <v>13.71645029929563</v>
      </c>
      <c r="EY169" s="449">
        <f>+INPUT!GF39</f>
        <v>140385.875</v>
      </c>
      <c r="EZ169" s="438">
        <f>+INPUT!GG39</f>
        <v>14.547765165693832</v>
      </c>
      <c r="FA169" s="449">
        <f>+INPUT!GH39</f>
        <v>153364.25</v>
      </c>
      <c r="FB169" s="438">
        <f>+INPUT!GI39</f>
        <v>9.2447869132133036</v>
      </c>
      <c r="FC169" s="449">
        <f>+INPUT!GJ39</f>
        <v>152980.75</v>
      </c>
      <c r="FD169" s="438">
        <f>+INPUT!GK39</f>
        <v>-0.25005827629320265</v>
      </c>
      <c r="FE169" s="449">
        <f>+INPUT!GL39</f>
        <v>149712.73749999999</v>
      </c>
      <c r="FF169" s="438">
        <f>+INPUT!GM39</f>
        <v>-2.1362246557164895</v>
      </c>
      <c r="FG169" s="449">
        <f>+INPUT!GN39</f>
        <v>159340.75</v>
      </c>
      <c r="FH169" s="438">
        <f>+INPUT!GO39</f>
        <v>6.4309908834577385</v>
      </c>
      <c r="FI169" s="449">
        <f>+INPUT!GP39</f>
        <v>161663.1737865718</v>
      </c>
      <c r="FJ169" s="438">
        <f>+INPUT!GQ39</f>
        <v>1.4575203057421362</v>
      </c>
      <c r="FK169" s="449">
        <f>+INPUT!GR39</f>
        <v>161260.10022478644</v>
      </c>
      <c r="FL169" s="438">
        <f>+INPUT!GS39</f>
        <v>-0.24932923951963915</v>
      </c>
      <c r="FM169" s="449">
        <f>+INPUT!GT39</f>
        <v>161892.20598323594</v>
      </c>
      <c r="FN169" s="438">
        <f>+INPUT!GU39</f>
        <v>0.39197901872091734</v>
      </c>
      <c r="FO169" s="449">
        <f>+INPUT!GV39</f>
        <v>163036.28766984009</v>
      </c>
      <c r="FP169" s="438">
        <f>+INPUT!GW39</f>
        <v>0.70669349376994717</v>
      </c>
      <c r="FQ169" s="449">
        <f>+INPUT!GX39</f>
        <v>164744.35726969806</v>
      </c>
      <c r="FR169" s="438">
        <f>+INPUT!GY39</f>
        <v>1.0476622255512353</v>
      </c>
      <c r="FS169" s="438">
        <f>+INPUT!GZ39</f>
        <v>0.66922802337805454</v>
      </c>
    </row>
    <row r="170" spans="1:175" s="529" customFormat="1" ht="12.75" hidden="1" customHeight="1" outlineLevel="1" x14ac:dyDescent="0.2">
      <c r="A170" s="441"/>
      <c r="B170" s="449"/>
      <c r="C170" s="439"/>
      <c r="D170" s="449"/>
      <c r="E170" s="439"/>
      <c r="F170" s="449"/>
      <c r="G170" s="439"/>
      <c r="H170" s="449"/>
      <c r="I170" s="439"/>
      <c r="J170" s="449"/>
      <c r="K170" s="439"/>
      <c r="L170" s="449"/>
      <c r="M170" s="439"/>
      <c r="N170" s="449"/>
      <c r="O170" s="439"/>
      <c r="P170" s="449"/>
      <c r="Q170" s="439"/>
      <c r="R170" s="449"/>
      <c r="S170" s="439"/>
      <c r="T170" s="449"/>
      <c r="U170" s="439"/>
      <c r="V170" s="449"/>
      <c r="W170" s="439"/>
      <c r="X170" s="449"/>
      <c r="Y170" s="439"/>
      <c r="Z170" s="449"/>
      <c r="AA170" s="439"/>
      <c r="AB170" s="449"/>
      <c r="AC170" s="439"/>
      <c r="AD170" s="449"/>
      <c r="AE170" s="439"/>
      <c r="AF170" s="449"/>
      <c r="AG170" s="439"/>
      <c r="AH170" s="449"/>
      <c r="AI170" s="438"/>
      <c r="AJ170" s="449"/>
      <c r="AK170" s="438"/>
      <c r="AL170" s="449"/>
      <c r="AM170" s="438"/>
      <c r="AN170" s="449"/>
      <c r="AO170" s="438"/>
      <c r="AP170" s="449"/>
      <c r="AQ170" s="438"/>
      <c r="AR170" s="449"/>
      <c r="AS170" s="438"/>
      <c r="AT170" s="449"/>
      <c r="AU170" s="438"/>
      <c r="AV170" s="449"/>
      <c r="AW170" s="438"/>
      <c r="AX170" s="449"/>
      <c r="AY170" s="438"/>
      <c r="AZ170" s="449"/>
      <c r="BA170" s="438"/>
      <c r="BB170" s="449"/>
      <c r="BC170" s="438"/>
      <c r="BD170" s="449"/>
      <c r="BE170" s="438"/>
      <c r="BF170" s="449"/>
      <c r="BG170" s="438"/>
      <c r="BH170" s="449"/>
      <c r="BI170" s="438"/>
      <c r="BJ170" s="449"/>
      <c r="BK170" s="438"/>
      <c r="BL170" s="449"/>
      <c r="BM170" s="438"/>
      <c r="BN170" s="449"/>
      <c r="BO170" s="438"/>
      <c r="BP170" s="449"/>
      <c r="BQ170" s="438"/>
      <c r="BR170" s="449"/>
      <c r="BS170" s="438"/>
      <c r="BT170" s="449"/>
      <c r="BU170" s="438"/>
      <c r="BV170" s="449"/>
      <c r="BW170" s="438"/>
      <c r="BX170" s="449"/>
      <c r="BY170" s="438"/>
      <c r="BZ170" s="449"/>
      <c r="CA170" s="438"/>
      <c r="CB170" s="449"/>
      <c r="CC170" s="438"/>
      <c r="CD170" s="449"/>
      <c r="CE170" s="438"/>
      <c r="CF170" s="449"/>
      <c r="CG170" s="438"/>
      <c r="CH170" s="449"/>
      <c r="CI170" s="438"/>
      <c r="CJ170" s="449"/>
      <c r="CK170" s="438"/>
      <c r="CL170" s="449"/>
      <c r="CM170" s="438"/>
      <c r="CN170" s="449"/>
      <c r="CO170" s="438"/>
      <c r="CP170" s="449"/>
      <c r="CQ170" s="438"/>
      <c r="CR170" s="449"/>
      <c r="CS170" s="438"/>
      <c r="CT170" s="449"/>
      <c r="CU170" s="438"/>
      <c r="CV170" s="449"/>
      <c r="CW170" s="438"/>
      <c r="CX170" s="449"/>
      <c r="CY170" s="438"/>
      <c r="CZ170" s="449"/>
      <c r="DA170" s="438"/>
      <c r="DB170" s="449"/>
      <c r="DC170" s="438"/>
      <c r="DD170" s="449"/>
      <c r="DE170" s="438"/>
      <c r="DF170" s="449"/>
      <c r="DG170" s="438"/>
      <c r="DH170" s="449"/>
      <c r="DI170" s="438"/>
      <c r="DJ170" s="449"/>
      <c r="DK170" s="438"/>
      <c r="DL170" s="449"/>
      <c r="DM170" s="438"/>
      <c r="DN170" s="449"/>
      <c r="DO170" s="438"/>
      <c r="DP170" s="449"/>
      <c r="DQ170" s="438"/>
      <c r="DR170" s="449"/>
      <c r="DS170" s="438"/>
      <c r="DT170" s="449"/>
      <c r="DU170" s="438"/>
      <c r="DV170" s="449"/>
      <c r="DW170" s="438"/>
      <c r="DX170" s="449"/>
      <c r="DY170" s="438"/>
      <c r="DZ170" s="449"/>
      <c r="EA170" s="438"/>
      <c r="EB170" s="439"/>
      <c r="EC170" s="449"/>
      <c r="ED170" s="439"/>
      <c r="EE170" s="449"/>
      <c r="EF170" s="439"/>
      <c r="EG170" s="449"/>
      <c r="EH170" s="439"/>
      <c r="EI170" s="449"/>
      <c r="EJ170" s="438"/>
      <c r="EK170" s="449"/>
      <c r="EL170" s="438"/>
      <c r="EM170" s="449"/>
      <c r="EN170" s="438"/>
      <c r="EO170" s="449"/>
      <c r="EP170" s="438"/>
      <c r="EQ170" s="449"/>
      <c r="ER170" s="438"/>
      <c r="ES170" s="449"/>
      <c r="ET170" s="438"/>
      <c r="EU170" s="449"/>
      <c r="EV170" s="438"/>
      <c r="EW170" s="449"/>
      <c r="EX170" s="438"/>
      <c r="EY170" s="449"/>
      <c r="EZ170" s="438"/>
      <c r="FA170" s="449"/>
      <c r="FB170" s="438"/>
      <c r="FC170" s="449"/>
      <c r="FD170" s="438"/>
      <c r="FE170" s="449"/>
      <c r="FF170" s="438"/>
      <c r="FG170" s="449"/>
      <c r="FH170" s="438"/>
      <c r="FI170" s="449"/>
      <c r="FJ170" s="438"/>
      <c r="FK170" s="449"/>
      <c r="FL170" s="438"/>
      <c r="FM170" s="449"/>
      <c r="FN170" s="438"/>
      <c r="FO170" s="449"/>
      <c r="FP170" s="438"/>
      <c r="FQ170" s="449"/>
      <c r="FR170" s="438"/>
      <c r="FS170" s="438"/>
    </row>
    <row r="171" spans="1:175" s="529" customFormat="1" ht="12.75" hidden="1" customHeight="1" outlineLevel="1" x14ac:dyDescent="0.2">
      <c r="A171" s="446" t="s">
        <v>355</v>
      </c>
      <c r="B171" s="449"/>
      <c r="C171" s="439"/>
      <c r="D171" s="449"/>
      <c r="E171" s="439"/>
      <c r="F171" s="449"/>
      <c r="G171" s="439"/>
      <c r="H171" s="449"/>
      <c r="I171" s="439"/>
      <c r="J171" s="449"/>
      <c r="K171" s="439"/>
      <c r="L171" s="449"/>
      <c r="M171" s="439"/>
      <c r="N171" s="449"/>
      <c r="O171" s="439"/>
      <c r="P171" s="449"/>
      <c r="Q171" s="439"/>
      <c r="R171" s="449"/>
      <c r="S171" s="439"/>
      <c r="T171" s="449"/>
      <c r="U171" s="439"/>
      <c r="V171" s="449"/>
      <c r="W171" s="439"/>
      <c r="X171" s="449"/>
      <c r="Y171" s="439"/>
      <c r="Z171" s="449"/>
      <c r="AA171" s="439"/>
      <c r="AB171" s="449"/>
      <c r="AC171" s="439"/>
      <c r="AD171" s="449"/>
      <c r="AE171" s="439"/>
      <c r="AF171" s="449"/>
      <c r="AG171" s="439"/>
      <c r="AH171" s="449"/>
      <c r="AI171" s="438"/>
      <c r="AJ171" s="449"/>
      <c r="AK171" s="438"/>
      <c r="AL171" s="449"/>
      <c r="AM171" s="438"/>
      <c r="AN171" s="449"/>
      <c r="AO171" s="438"/>
      <c r="AP171" s="449"/>
      <c r="AQ171" s="438"/>
      <c r="AR171" s="449"/>
      <c r="AS171" s="438"/>
      <c r="AT171" s="449"/>
      <c r="AU171" s="438"/>
      <c r="AV171" s="449"/>
      <c r="AW171" s="438"/>
      <c r="AX171" s="449"/>
      <c r="AY171" s="438"/>
      <c r="AZ171" s="449"/>
      <c r="BA171" s="438"/>
      <c r="BB171" s="449"/>
      <c r="BC171" s="438"/>
      <c r="BD171" s="449"/>
      <c r="BE171" s="438"/>
      <c r="BF171" s="449"/>
      <c r="BG171" s="438"/>
      <c r="BH171" s="449"/>
      <c r="BI171" s="438"/>
      <c r="BJ171" s="449"/>
      <c r="BK171" s="438"/>
      <c r="BL171" s="449"/>
      <c r="BM171" s="438"/>
      <c r="BN171" s="449"/>
      <c r="BO171" s="438"/>
      <c r="BP171" s="449"/>
      <c r="BQ171" s="438"/>
      <c r="BR171" s="449"/>
      <c r="BS171" s="438"/>
      <c r="BT171" s="449"/>
      <c r="BU171" s="438"/>
      <c r="BV171" s="449"/>
      <c r="BW171" s="438"/>
      <c r="BX171" s="449"/>
      <c r="BY171" s="438"/>
      <c r="BZ171" s="449"/>
      <c r="CA171" s="438"/>
      <c r="CB171" s="449"/>
      <c r="CC171" s="438"/>
      <c r="CD171" s="449"/>
      <c r="CE171" s="438"/>
      <c r="CF171" s="449"/>
      <c r="CG171" s="438"/>
      <c r="CH171" s="449"/>
      <c r="CI171" s="438"/>
      <c r="CJ171" s="449"/>
      <c r="CK171" s="438"/>
      <c r="CL171" s="449"/>
      <c r="CM171" s="438"/>
      <c r="CN171" s="449"/>
      <c r="CO171" s="438"/>
      <c r="CP171" s="449"/>
      <c r="CQ171" s="438"/>
      <c r="CR171" s="449"/>
      <c r="CS171" s="438"/>
      <c r="CT171" s="449"/>
      <c r="CU171" s="438"/>
      <c r="CV171" s="449"/>
      <c r="CW171" s="438"/>
      <c r="CX171" s="449"/>
      <c r="CY171" s="438"/>
      <c r="CZ171" s="449"/>
      <c r="DA171" s="438"/>
      <c r="DB171" s="449"/>
      <c r="DC171" s="438"/>
      <c r="DD171" s="449"/>
      <c r="DE171" s="438"/>
      <c r="DF171" s="449"/>
      <c r="DG171" s="438"/>
      <c r="DH171" s="449"/>
      <c r="DI171" s="438"/>
      <c r="DJ171" s="449"/>
      <c r="DK171" s="438"/>
      <c r="DL171" s="449"/>
      <c r="DM171" s="438"/>
      <c r="DN171" s="449"/>
      <c r="DO171" s="438"/>
      <c r="DP171" s="449"/>
      <c r="DQ171" s="438"/>
      <c r="DR171" s="449"/>
      <c r="DS171" s="438"/>
      <c r="DT171" s="449"/>
      <c r="DU171" s="438"/>
      <c r="DV171" s="449"/>
      <c r="DW171" s="438"/>
      <c r="DX171" s="449"/>
      <c r="DY171" s="438"/>
      <c r="DZ171" s="449"/>
      <c r="EA171" s="438"/>
      <c r="EB171" s="439"/>
      <c r="EC171" s="449"/>
      <c r="ED171" s="439"/>
      <c r="EE171" s="449"/>
      <c r="EF171" s="439"/>
      <c r="EG171" s="449"/>
      <c r="EH171" s="439"/>
      <c r="EI171" s="449"/>
      <c r="EJ171" s="438"/>
      <c r="EK171" s="449"/>
      <c r="EL171" s="438"/>
      <c r="EM171" s="449"/>
      <c r="EN171" s="438"/>
      <c r="EO171" s="449"/>
      <c r="EP171" s="438"/>
      <c r="EQ171" s="449"/>
      <c r="ER171" s="438"/>
      <c r="ES171" s="449"/>
      <c r="ET171" s="438"/>
      <c r="EU171" s="449"/>
      <c r="EV171" s="438"/>
      <c r="EW171" s="449"/>
      <c r="EX171" s="438"/>
      <c r="EY171" s="449"/>
      <c r="EZ171" s="438"/>
      <c r="FA171" s="449"/>
      <c r="FB171" s="438"/>
      <c r="FC171" s="449"/>
      <c r="FD171" s="438"/>
      <c r="FE171" s="449"/>
      <c r="FF171" s="438"/>
      <c r="FG171" s="449"/>
      <c r="FH171" s="438"/>
      <c r="FI171" s="449"/>
      <c r="FJ171" s="438"/>
      <c r="FK171" s="449"/>
      <c r="FL171" s="438"/>
      <c r="FM171" s="449"/>
      <c r="FN171" s="438"/>
      <c r="FO171" s="449"/>
      <c r="FP171" s="438"/>
      <c r="FQ171" s="449"/>
      <c r="FR171" s="438"/>
      <c r="FS171" s="438"/>
    </row>
    <row r="172" spans="1:175" s="529" customFormat="1" ht="12.75" hidden="1" customHeight="1" outlineLevel="1" x14ac:dyDescent="0.2">
      <c r="A172" s="441" t="str">
        <f>+INPUT!B41</f>
        <v>Variable Annuity Net Fund Flows</v>
      </c>
      <c r="B172" s="449">
        <f>+INPUT!AA41</f>
        <v>-87</v>
      </c>
      <c r="C172" s="439">
        <f>+INPUT!AB41</f>
        <v>-45.625000000000007</v>
      </c>
      <c r="D172" s="449">
        <f>+INPUT!AC41</f>
        <v>146</v>
      </c>
      <c r="E172" s="439" t="str">
        <f>+INPUT!AD41</f>
        <v>NM</v>
      </c>
      <c r="F172" s="449">
        <f>+INPUT!AE41</f>
        <v>310</v>
      </c>
      <c r="G172" s="439" t="str">
        <f>+INPUT!AF41</f>
        <v>NM</v>
      </c>
      <c r="H172" s="449">
        <f>+INPUT!AG41</f>
        <v>333</v>
      </c>
      <c r="I172" s="439" t="str">
        <f>+INPUT!AH41</f>
        <v>NM</v>
      </c>
      <c r="J172" s="449">
        <f>+INPUT!AI41</f>
        <v>371</v>
      </c>
      <c r="K172" s="439" t="str">
        <f>+INPUT!AJ41</f>
        <v>NM</v>
      </c>
      <c r="L172" s="449">
        <f>+INPUT!AK41</f>
        <v>273</v>
      </c>
      <c r="M172" s="439">
        <f>+INPUT!AL41</f>
        <v>86.986301369863014</v>
      </c>
      <c r="N172" s="449">
        <f>+INPUT!AM41</f>
        <v>-7</v>
      </c>
      <c r="O172" s="439" t="str">
        <f>+INPUT!AN41</f>
        <v>NM</v>
      </c>
      <c r="P172" s="449">
        <f>+INPUT!AO41</f>
        <v>-55</v>
      </c>
      <c r="Q172" s="439" t="str">
        <f>+INPUT!AP41</f>
        <v>NM</v>
      </c>
      <c r="R172" s="449">
        <f>+INPUT!AQ41</f>
        <v>45</v>
      </c>
      <c r="S172" s="439" t="str">
        <f>+INPUT!AR41</f>
        <v>NM</v>
      </c>
      <c r="T172" s="449">
        <f>+INPUT!AS41</f>
        <v>309</v>
      </c>
      <c r="U172" s="439">
        <f>+INPUT!AT41</f>
        <v>13.186813186813183</v>
      </c>
      <c r="V172" s="449">
        <f>+INPUT!AU41</f>
        <v>533</v>
      </c>
      <c r="W172" s="439" t="str">
        <f>+INPUT!AV41</f>
        <v>NM</v>
      </c>
      <c r="X172" s="449">
        <f>+INPUT!AW41</f>
        <v>528</v>
      </c>
      <c r="Y172" s="439" t="str">
        <f>+INPUT!AX41</f>
        <v>NM</v>
      </c>
      <c r="Z172" s="449">
        <f>+INPUT!AY41</f>
        <v>544</v>
      </c>
      <c r="AA172" s="439" t="str">
        <f>+INPUT!AZ41</f>
        <v>NM</v>
      </c>
      <c r="AB172" s="449">
        <f>+INPUT!BA41</f>
        <v>743</v>
      </c>
      <c r="AC172" s="439" t="str">
        <f>+INPUT!BB41</f>
        <v>NM</v>
      </c>
      <c r="AD172" s="449">
        <f>+INPUT!BC41</f>
        <v>239</v>
      </c>
      <c r="AE172" s="439" t="str">
        <f>+INPUT!BD41</f>
        <v>NM</v>
      </c>
      <c r="AF172" s="449">
        <f>+INPUT!BE41</f>
        <v>345</v>
      </c>
      <c r="AG172" s="439">
        <f>+INPUT!BF41</f>
        <v>-34.659090909090907</v>
      </c>
      <c r="AH172" s="449">
        <f>+INPUT!BG41</f>
        <v>469</v>
      </c>
      <c r="AI172" s="438">
        <f>+INPUT!BH41</f>
        <v>-13.786764705882348</v>
      </c>
      <c r="AJ172" s="449">
        <f>+INPUT!BI41</f>
        <v>518</v>
      </c>
      <c r="AK172" s="438">
        <f>+INPUT!BJ41</f>
        <v>-30.282637954239561</v>
      </c>
      <c r="AL172" s="449">
        <f>+INPUT!BK41</f>
        <v>497</v>
      </c>
      <c r="AM172" s="438" t="str">
        <f>+INPUT!BL41</f>
        <v>NM</v>
      </c>
      <c r="AN172" s="449">
        <f>+INPUT!BM41</f>
        <v>626</v>
      </c>
      <c r="AO172" s="438">
        <f>+INPUT!BN41</f>
        <v>81.449275362318843</v>
      </c>
      <c r="AP172" s="449">
        <f>+INPUT!BO41</f>
        <v>656</v>
      </c>
      <c r="AQ172" s="438">
        <f>+INPUT!BP41</f>
        <v>39.872068230277193</v>
      </c>
      <c r="AR172" s="449">
        <f>+INPUT!BQ41</f>
        <v>555</v>
      </c>
      <c r="AS172" s="438">
        <f>+INPUT!BR41</f>
        <v>7.1428571428571388</v>
      </c>
      <c r="AT172" s="449">
        <f>+INPUT!BS41</f>
        <v>519</v>
      </c>
      <c r="AU172" s="438">
        <f>+INPUT!BT41</f>
        <v>4.4265593561368348</v>
      </c>
      <c r="AV172" s="449">
        <f>+INPUT!BU41</f>
        <v>478</v>
      </c>
      <c r="AW172" s="438">
        <f>+INPUT!BV41</f>
        <v>-23.642172523961662</v>
      </c>
      <c r="AX172" s="449">
        <f>+INPUT!BW41</f>
        <v>665</v>
      </c>
      <c r="AY172" s="438">
        <f>+INPUT!BX41</f>
        <v>1.3719512195121979</v>
      </c>
      <c r="AZ172" s="449">
        <f>+INPUT!BY41</f>
        <v>2063</v>
      </c>
      <c r="BA172" s="438" t="str">
        <f>+INPUT!BZ41</f>
        <v>NM</v>
      </c>
      <c r="BB172" s="449">
        <f>+INPUT!CA41</f>
        <v>4385</v>
      </c>
      <c r="BC172" s="438" t="str">
        <f>+INPUT!CB41</f>
        <v>NM</v>
      </c>
      <c r="BD172" s="449">
        <f>+INPUT!CC41</f>
        <v>3228</v>
      </c>
      <c r="BE172" s="438" t="str">
        <f>+INPUT!CD41</f>
        <v>NM</v>
      </c>
      <c r="BF172" s="449">
        <f>+INPUT!CE41</f>
        <v>3197</v>
      </c>
      <c r="BG172" s="438" t="str">
        <f>+INPUT!CF41</f>
        <v>NM</v>
      </c>
      <c r="BH172" s="449">
        <f>+INPUT!CG41</f>
        <v>3594</v>
      </c>
      <c r="BI172" s="438">
        <f>+INPUT!CH41</f>
        <v>74.212312166747466</v>
      </c>
      <c r="BJ172" s="449">
        <f>+INPUT!CI41</f>
        <v>3708</v>
      </c>
      <c r="BK172" s="438">
        <f>+INPUT!CJ41</f>
        <v>-15.43899657924743</v>
      </c>
      <c r="BL172" s="449">
        <f>+INPUT!CK41</f>
        <v>4229</v>
      </c>
      <c r="BM172" s="438">
        <f>+INPUT!CL41</f>
        <v>31.009913258983914</v>
      </c>
      <c r="BN172" s="449">
        <f>+INPUT!CM41</f>
        <v>4848</v>
      </c>
      <c r="BO172" s="438">
        <f>+INPUT!CN41</f>
        <v>51.642164529246173</v>
      </c>
      <c r="BP172" s="449">
        <f>+INPUT!CO41</f>
        <v>2598</v>
      </c>
      <c r="BQ172" s="438">
        <f>+INPUT!CP41</f>
        <v>-27.71285475792989</v>
      </c>
      <c r="BR172" s="449">
        <f>+INPUT!CQ41</f>
        <v>2849</v>
      </c>
      <c r="BS172" s="438">
        <f>+INPUT!CR41</f>
        <v>-23.166127292340889</v>
      </c>
      <c r="BT172" s="449">
        <f>+INPUT!CS41</f>
        <v>2880</v>
      </c>
      <c r="BU172" s="438">
        <f>+INPUT!CT41</f>
        <v>-31.89879404114447</v>
      </c>
      <c r="BV172" s="449">
        <f>+INPUT!CU41</f>
        <v>3267</v>
      </c>
      <c r="BW172" s="438">
        <f>+INPUT!CV41</f>
        <v>-32.611386138613867</v>
      </c>
      <c r="BX172" s="449">
        <f>+INPUT!CW41</f>
        <v>3718</v>
      </c>
      <c r="BY172" s="438">
        <f>+INPUT!CX41</f>
        <v>43.110084680523499</v>
      </c>
      <c r="BZ172" s="449">
        <f>+INPUT!CY41</f>
        <v>4333</v>
      </c>
      <c r="CA172" s="438">
        <f>+INPUT!CZ41</f>
        <v>52.088452088452101</v>
      </c>
      <c r="CB172" s="449">
        <f>+INPUT!DA41</f>
        <v>2013</v>
      </c>
      <c r="CC172" s="438">
        <f>+INPUT!DB41</f>
        <v>-30.104166666666671</v>
      </c>
      <c r="CD172" s="449">
        <f>+INPUT!DC41</f>
        <v>2432</v>
      </c>
      <c r="CE172" s="438">
        <f>+INPUT!DD41</f>
        <v>-25.558616467707367</v>
      </c>
      <c r="CF172" s="449">
        <f>+INPUT!DE41</f>
        <v>541</v>
      </c>
      <c r="CG172" s="438" t="str">
        <f>+INPUT!DF41</f>
        <v>NM</v>
      </c>
      <c r="CH172" s="449">
        <f>+INPUT!DG41</f>
        <v>564</v>
      </c>
      <c r="CI172" s="438" t="str">
        <f>+INPUT!DH41</f>
        <v>NM</v>
      </c>
      <c r="CJ172" s="449">
        <f>+INPUT!DI41</f>
        <v>343</v>
      </c>
      <c r="CK172" s="438" t="str">
        <f>+INPUT!DJ41</f>
        <v>NM</v>
      </c>
      <c r="CL172" s="449">
        <f>+INPUT!DK41</f>
        <v>146</v>
      </c>
      <c r="CM172" s="438" t="str">
        <f>+INPUT!DL41</f>
        <v>NM</v>
      </c>
      <c r="CN172" s="449">
        <f>+INPUT!DM41</f>
        <v>464</v>
      </c>
      <c r="CO172" s="438">
        <f>+INPUT!DN41</f>
        <v>-14.232902033271728</v>
      </c>
      <c r="CP172" s="449">
        <f>+INPUT!DO41</f>
        <v>409</v>
      </c>
      <c r="CQ172" s="438">
        <f>+INPUT!DP41</f>
        <v>-27.482269503546092</v>
      </c>
      <c r="CR172" s="449">
        <f>+INPUT!DQ41</f>
        <v>224</v>
      </c>
      <c r="CS172" s="438">
        <f>+INPUT!DR41</f>
        <v>-34.693877551020407</v>
      </c>
      <c r="CT172" s="449">
        <f>+INPUT!DS41</f>
        <v>48</v>
      </c>
      <c r="CU172" s="438" t="str">
        <f>+INPUT!DT41</f>
        <v>NM</v>
      </c>
      <c r="CV172" s="449">
        <f>+INPUT!DU41</f>
        <v>156</v>
      </c>
      <c r="CW172" s="438" t="str">
        <f>+INPUT!DV41</f>
        <v>NM</v>
      </c>
      <c r="CX172" s="449">
        <f>+INPUT!DW41</f>
        <v>150</v>
      </c>
      <c r="CY172" s="438" t="str">
        <f>+INPUT!DX41</f>
        <v>NM</v>
      </c>
      <c r="CZ172" s="449">
        <f>+INPUT!DY41</f>
        <v>87</v>
      </c>
      <c r="DA172" s="438" t="str">
        <f>+INPUT!DZ41</f>
        <v>NM</v>
      </c>
      <c r="DB172" s="449">
        <f>+INPUT!EA41</f>
        <v>253</v>
      </c>
      <c r="DC172" s="438" t="str">
        <f>+INPUT!EB41</f>
        <v>NM</v>
      </c>
      <c r="DD172" s="449">
        <f>+INPUT!EC41</f>
        <v>353</v>
      </c>
      <c r="DE172" s="438" t="str">
        <f>+INPUT!ED41</f>
        <v>NM</v>
      </c>
      <c r="DF172" s="449">
        <f>+INPUT!EE41</f>
        <v>96</v>
      </c>
      <c r="DG172" s="438">
        <f>+INPUT!EF41</f>
        <v>-36</v>
      </c>
      <c r="DH172" s="449">
        <f>+INPUT!EG41</f>
        <v>-484</v>
      </c>
      <c r="DI172" s="438" t="str">
        <f>+INPUT!EH41</f>
        <v>NM</v>
      </c>
      <c r="DJ172" s="449">
        <f>+INPUT!EI41</f>
        <v>-898</v>
      </c>
      <c r="DK172" s="438" t="str">
        <f>+INPUT!EJ41</f>
        <v>NM</v>
      </c>
      <c r="DL172" s="449">
        <f>+INPUT!EK41</f>
        <v>-889</v>
      </c>
      <c r="DM172" s="438" t="str">
        <f>+INPUT!EL41</f>
        <v>NM</v>
      </c>
      <c r="DN172" s="449">
        <f>+INPUT!EM41</f>
        <v>-970</v>
      </c>
      <c r="DO172" s="438" t="str">
        <f>+INPUT!EN41</f>
        <v>NM</v>
      </c>
      <c r="DP172" s="449">
        <f>+INPUT!EO41</f>
        <v>-1108</v>
      </c>
      <c r="DQ172" s="438" t="str">
        <f>+INPUT!EP41</f>
        <v>NM</v>
      </c>
      <c r="DR172" s="449">
        <f>+INPUT!EQ41</f>
        <v>-1126.8677489559366</v>
      </c>
      <c r="DS172" s="438">
        <f>+INPUT!ER41</f>
        <v>25.486386297988474</v>
      </c>
      <c r="DT172" s="449">
        <f>+INPUT!ES41</f>
        <v>-1028.8471538298159</v>
      </c>
      <c r="DU172" s="438">
        <f>+INPUT!ET41</f>
        <v>15.730838451047902</v>
      </c>
      <c r="DV172" s="449">
        <f>+INPUT!EU41</f>
        <v>-993.53605031029633</v>
      </c>
      <c r="DW172" s="438">
        <f>+INPUT!EV41</f>
        <v>2.4263969392058158</v>
      </c>
      <c r="DX172" s="449">
        <f>+INPUT!EW41</f>
        <v>-958.13636336185687</v>
      </c>
      <c r="DY172" s="438">
        <f>+INPUT!EX41</f>
        <v>-13.52559897456166</v>
      </c>
      <c r="DZ172" s="449"/>
      <c r="EA172" s="438"/>
      <c r="EB172" s="439">
        <f>+INPUT!FI41</f>
        <v>55.221745350500697</v>
      </c>
      <c r="EC172" s="449">
        <f>+INPUT!FJ41</f>
        <v>-636</v>
      </c>
      <c r="ED172" s="439">
        <f>+INPUT!FK41</f>
        <v>-41.382488479262669</v>
      </c>
      <c r="EE172" s="449">
        <f>+INPUT!FL41</f>
        <v>702</v>
      </c>
      <c r="EF172" s="439" t="str">
        <f>+INPUT!FM41</f>
        <v>NM</v>
      </c>
      <c r="EG172" s="449">
        <f>+INPUT!FN41</f>
        <v>582</v>
      </c>
      <c r="EH172" s="439">
        <f>+INPUT!FO41</f>
        <v>-17.09401709401709</v>
      </c>
      <c r="EI172" s="449">
        <f>+INPUT!FP41</f>
        <v>1415</v>
      </c>
      <c r="EJ172" s="438" t="str">
        <f>+INPUT!FQ41</f>
        <v>NM</v>
      </c>
      <c r="EK172" s="449">
        <f>+INPUT!FR41</f>
        <v>1871</v>
      </c>
      <c r="EL172" s="438">
        <f>+INPUT!FS41</f>
        <v>32.226148409893995</v>
      </c>
      <c r="EM172" s="449">
        <f>+INPUT!FT41</f>
        <v>2110</v>
      </c>
      <c r="EN172" s="438">
        <f>+INPUT!FU41</f>
        <v>12.773917691074303</v>
      </c>
      <c r="EO172" s="449">
        <f>+INPUT!FV41</f>
        <v>2208</v>
      </c>
      <c r="EP172" s="438">
        <f>+INPUT!FW41</f>
        <v>4.6445497630331687</v>
      </c>
      <c r="EQ172" s="449">
        <f>+INPUT!FX41</f>
        <v>10341</v>
      </c>
      <c r="ER172" s="438" t="str">
        <f>+INPUT!FY41</f>
        <v>NM</v>
      </c>
      <c r="ES172" s="449">
        <f>+INPUT!FZ41</f>
        <v>14728</v>
      </c>
      <c r="ET172" s="438">
        <f>+INPUT!GA41</f>
        <v>42.423363311091776</v>
      </c>
      <c r="EU172" s="449">
        <f>+INPUT!GB41</f>
        <v>13175</v>
      </c>
      <c r="EV172" s="438">
        <f>+INPUT!GC41</f>
        <v>-10.544541010320472</v>
      </c>
      <c r="EW172" s="449">
        <f>+INPUT!GD41</f>
        <v>13331</v>
      </c>
      <c r="EX172" s="438">
        <f>+INPUT!GE41</f>
        <v>1.1840607210626075</v>
      </c>
      <c r="EY172" s="449">
        <f>+INPUT!GF41</f>
        <v>3880</v>
      </c>
      <c r="EZ172" s="438" t="str">
        <f>+INPUT!GG41</f>
        <v>NM</v>
      </c>
      <c r="FA172" s="449">
        <f>+INPUT!GH41</f>
        <v>1243</v>
      </c>
      <c r="FB172" s="438" t="str">
        <f>+INPUT!GI41</f>
        <v>NM</v>
      </c>
      <c r="FC172" s="449">
        <f>+INPUT!GJ41</f>
        <v>441</v>
      </c>
      <c r="FD172" s="438" t="str">
        <f>+INPUT!GK41</f>
        <v>NM</v>
      </c>
      <c r="FE172" s="449">
        <f>+INPUT!GL41</f>
        <v>218</v>
      </c>
      <c r="FF172" s="438" t="str">
        <f>+INPUT!GM41</f>
        <v>NM</v>
      </c>
      <c r="FG172" s="449">
        <f>+INPUT!GN41</f>
        <v>-3865</v>
      </c>
      <c r="FH172" s="438" t="str">
        <f>+INPUT!GO41</f>
        <v>NM</v>
      </c>
      <c r="FI172" s="449">
        <f>+INPUT!GP41</f>
        <v>-4107.3873164579045</v>
      </c>
      <c r="FJ172" s="438">
        <f>+INPUT!GQ41</f>
        <v>6.2713406586779996</v>
      </c>
      <c r="FK172" s="449">
        <f>+INPUT!GR41</f>
        <v>-3401.4004061030791</v>
      </c>
      <c r="FL172" s="438">
        <f>+INPUT!GS41</f>
        <v>-17.188223460836141</v>
      </c>
      <c r="FM172" s="449">
        <f>+INPUT!GT41</f>
        <v>-2923.8738533947053</v>
      </c>
      <c r="FN172" s="438">
        <f>+INPUT!GU41</f>
        <v>-14.039116119688686</v>
      </c>
      <c r="FO172" s="449">
        <f>+INPUT!GV41</f>
        <v>-2407.1977416660648</v>
      </c>
      <c r="FP172" s="438">
        <f>+INPUT!GW41</f>
        <v>-17.670944015890569</v>
      </c>
      <c r="FQ172" s="449">
        <f>+INPUT!GX41</f>
        <v>-1849.7426646827989</v>
      </c>
      <c r="FR172" s="438">
        <f>+INPUT!GY41</f>
        <v>-23.157843135788298</v>
      </c>
      <c r="FS172" s="438">
        <f>+INPUT!GZ41</f>
        <v>-13.703662723870869</v>
      </c>
    </row>
    <row r="173" spans="1:175" s="529" customFormat="1" ht="12.75" hidden="1" customHeight="1" outlineLevel="1" x14ac:dyDescent="0.2">
      <c r="A173" s="441" t="str">
        <f>+INPUT!B43</f>
        <v>Redemptions/BOP Reserves (%)</v>
      </c>
      <c r="B173" s="457">
        <f>+INPUT!AA43</f>
        <v>10.901030121267441</v>
      </c>
      <c r="C173" s="439">
        <f>+INPUT!AB43</f>
        <v>0</v>
      </c>
      <c r="D173" s="457">
        <f>+INPUT!AC43</f>
        <v>24.697627798195789</v>
      </c>
      <c r="E173" s="439">
        <f>+INPUT!AD43</f>
        <v>0</v>
      </c>
      <c r="F173" s="457">
        <f>+INPUT!AE43</f>
        <v>11.654097536450477</v>
      </c>
      <c r="G173" s="439">
        <f>+INPUT!AF43</f>
        <v>0</v>
      </c>
      <c r="H173" s="457">
        <f>+INPUT!AG43</f>
        <v>11.907386990077178</v>
      </c>
      <c r="I173" s="439">
        <f>+INPUT!AH43</f>
        <v>0</v>
      </c>
      <c r="J173" s="456">
        <f>+INPUT!AI43</f>
        <v>12.305171903797584</v>
      </c>
      <c r="K173" s="439">
        <f>+INPUT!AJ43</f>
        <v>0</v>
      </c>
      <c r="L173" s="456">
        <f>+INPUT!AK43</f>
        <v>11.262205180792725</v>
      </c>
      <c r="M173" s="439">
        <f>+INPUT!AL43</f>
        <v>0</v>
      </c>
      <c r="N173" s="456">
        <f>+INPUT!AM43</f>
        <v>11.271618403187393</v>
      </c>
      <c r="O173" s="439">
        <f>+INPUT!AN43</f>
        <v>0</v>
      </c>
      <c r="P173" s="456">
        <f>+INPUT!AO43</f>
        <v>12.078967486621396</v>
      </c>
      <c r="Q173" s="439">
        <f>+INPUT!AP43</f>
        <v>0</v>
      </c>
      <c r="R173" s="456">
        <f>+INPUT!AQ43</f>
        <v>11.708633852123667</v>
      </c>
      <c r="S173" s="439">
        <f>+INPUT!AR43</f>
        <v>0</v>
      </c>
      <c r="T173" s="456">
        <f>+INPUT!AS43</f>
        <v>12.676238520243178</v>
      </c>
      <c r="U173" s="439">
        <f>+INPUT!AT43</f>
        <v>0</v>
      </c>
      <c r="V173" s="456">
        <f>+INPUT!AU43</f>
        <v>11.788532129446015</v>
      </c>
      <c r="W173" s="439">
        <f>+INPUT!AV43</f>
        <v>0</v>
      </c>
      <c r="X173" s="456">
        <f>+INPUT!AW43</f>
        <v>11.607792417751192</v>
      </c>
      <c r="Y173" s="439">
        <f>+INPUT!AX43</f>
        <v>0</v>
      </c>
      <c r="Z173" s="456">
        <f>+INPUT!AY43</f>
        <v>12.485722163141517</v>
      </c>
      <c r="AA173" s="439">
        <f>+INPUT!AZ43</f>
        <v>0</v>
      </c>
      <c r="AB173" s="456">
        <f>+INPUT!BA43</f>
        <v>13.215246046520374</v>
      </c>
      <c r="AC173" s="439">
        <f>+INPUT!BB43</f>
        <v>0</v>
      </c>
      <c r="AD173" s="456">
        <f>+INPUT!BC43</f>
        <v>12.115046434229075</v>
      </c>
      <c r="AE173" s="439">
        <f>+INPUT!BD43</f>
        <v>0</v>
      </c>
      <c r="AF173" s="456">
        <f>+INPUT!BE43</f>
        <v>13.016795407837856</v>
      </c>
      <c r="AG173" s="439">
        <f>+INPUT!BF43</f>
        <v>0</v>
      </c>
      <c r="AH173" s="456">
        <f>+INPUT!BG43</f>
        <v>12.393534974180136</v>
      </c>
      <c r="AI173" s="438">
        <f>+INPUT!BH43</f>
        <v>0</v>
      </c>
      <c r="AJ173" s="456">
        <f>+INPUT!BI43</f>
        <v>13.308462647669698</v>
      </c>
      <c r="AK173" s="438">
        <f>+INPUT!BJ43</f>
        <v>0</v>
      </c>
      <c r="AL173" s="456">
        <f>+INPUT!BK43</f>
        <v>11.792118326410698</v>
      </c>
      <c r="AM173" s="438">
        <f>+INPUT!BL43</f>
        <v>0</v>
      </c>
      <c r="AN173" s="456">
        <f>+INPUT!BM43</f>
        <v>11.900508789868553</v>
      </c>
      <c r="AO173" s="438">
        <f>+INPUT!BN43</f>
        <v>0</v>
      </c>
      <c r="AP173" s="456">
        <f>+INPUT!BO43</f>
        <v>10.820365990290053</v>
      </c>
      <c r="AQ173" s="438">
        <f>+INPUT!BP43</f>
        <v>0</v>
      </c>
      <c r="AR173" s="456">
        <f>+INPUT!BQ43</f>
        <v>11.656908118489669</v>
      </c>
      <c r="AS173" s="438">
        <f>+INPUT!BR43</f>
        <v>0</v>
      </c>
      <c r="AT173" s="456">
        <f>+INPUT!BS43</f>
        <v>10.644250204130804</v>
      </c>
      <c r="AU173" s="438">
        <f>+INPUT!BT43</f>
        <v>0</v>
      </c>
      <c r="AV173" s="456">
        <f>+INPUT!BU43</f>
        <v>9.7339924670433149</v>
      </c>
      <c r="AW173" s="438">
        <f>+INPUT!BV43</f>
        <v>0</v>
      </c>
      <c r="AX173" s="456">
        <f>+INPUT!BW43</f>
        <v>9.6188777975902813</v>
      </c>
      <c r="AY173" s="438">
        <f>+INPUT!BX43</f>
        <v>0</v>
      </c>
      <c r="AZ173" s="456">
        <f>+INPUT!BY43</f>
        <v>9.0780435608021826</v>
      </c>
      <c r="BA173" s="438">
        <f>+INPUT!BZ43</f>
        <v>0</v>
      </c>
      <c r="BB173" s="456">
        <f>+INPUT!CA43</f>
        <v>8.8726401327209317</v>
      </c>
      <c r="BC173" s="438">
        <f>+INPUT!CB43</f>
        <v>0</v>
      </c>
      <c r="BD173" s="456">
        <f>+INPUT!CC43</f>
        <v>8.3268307521392391</v>
      </c>
      <c r="BE173" s="438">
        <f>+INPUT!CD43</f>
        <v>0</v>
      </c>
      <c r="BF173" s="456">
        <f>+INPUT!CE43</f>
        <v>8.2961785417106526</v>
      </c>
      <c r="BG173" s="438">
        <f>+INPUT!CF43</f>
        <v>0</v>
      </c>
      <c r="BH173" s="456">
        <f>+INPUT!CG43</f>
        <v>8.0300776537556082</v>
      </c>
      <c r="BI173" s="438">
        <f>+INPUT!CH43</f>
        <v>0</v>
      </c>
      <c r="BJ173" s="456">
        <f>+INPUT!CI43</f>
        <v>7.9432488366250764</v>
      </c>
      <c r="BK173" s="438">
        <f>+INPUT!CJ43</f>
        <v>0</v>
      </c>
      <c r="BL173" s="456">
        <f>+INPUT!CK43</f>
        <v>8.0492637215528777</v>
      </c>
      <c r="BM173" s="438">
        <f>+INPUT!CL43</f>
        <v>0</v>
      </c>
      <c r="BN173" s="456">
        <f>+INPUT!CM43</f>
        <v>7.6874975573533444</v>
      </c>
      <c r="BO173" s="438">
        <f>+INPUT!CN43</f>
        <v>0</v>
      </c>
      <c r="BP173" s="456">
        <f>+INPUT!CO43</f>
        <v>7.0310723931289729</v>
      </c>
      <c r="BQ173" s="438">
        <f>+INPUT!CP43</f>
        <v>0</v>
      </c>
      <c r="BR173" s="456">
        <f>+INPUT!CQ43</f>
        <v>5.7859931195522361</v>
      </c>
      <c r="BS173" s="438">
        <f>+INPUT!CR43</f>
        <v>0</v>
      </c>
      <c r="BT173" s="456">
        <f>+INPUT!CS43</f>
        <v>5.9331836429203237</v>
      </c>
      <c r="BU173" s="438">
        <f>+INPUT!CT43</f>
        <v>0</v>
      </c>
      <c r="BV173" s="456">
        <f>+INPUT!CU43</f>
        <v>6.1088178744885777</v>
      </c>
      <c r="BW173" s="438">
        <f>+INPUT!CV43</f>
        <v>0</v>
      </c>
      <c r="BX173" s="456">
        <f>+INPUT!CW43</f>
        <v>5.4075626060061861</v>
      </c>
      <c r="BY173" s="438">
        <f>+INPUT!CX43</f>
        <v>0</v>
      </c>
      <c r="BZ173" s="456">
        <f>+INPUT!CY43</f>
        <v>5.2490733507305158</v>
      </c>
      <c r="CA173" s="438">
        <f>+INPUT!CZ43</f>
        <v>0</v>
      </c>
      <c r="CB173" s="456">
        <f>+INPUT!DA43</f>
        <v>5.4750327648915462</v>
      </c>
      <c r="CC173" s="438">
        <f>+INPUT!DB43</f>
        <v>0</v>
      </c>
      <c r="CD173" s="456">
        <f>+INPUT!DC43</f>
        <v>5.3978481551273481</v>
      </c>
      <c r="CE173" s="438">
        <f>+INPUT!DD43</f>
        <v>0</v>
      </c>
      <c r="CF173" s="456">
        <f>+INPUT!DE43</f>
        <v>5.4605348332062658</v>
      </c>
      <c r="CG173" s="438">
        <f>+INPUT!DF43</f>
        <v>0</v>
      </c>
      <c r="CH173" s="456">
        <f>+INPUT!DG43</f>
        <v>5.2955906369080017</v>
      </c>
      <c r="CI173" s="438">
        <f>+INPUT!DH43</f>
        <v>0</v>
      </c>
      <c r="CJ173" s="456">
        <f>+INPUT!DI43</f>
        <v>5.7593408352296853</v>
      </c>
      <c r="CK173" s="438">
        <f>+INPUT!DJ43</f>
        <v>0</v>
      </c>
      <c r="CL173" s="456">
        <f>+INPUT!DK43</f>
        <v>5.7368060770800238</v>
      </c>
      <c r="CM173" s="438">
        <f>+INPUT!DL43</f>
        <v>0</v>
      </c>
      <c r="CN173" s="456">
        <f>+INPUT!DM43</f>
        <v>5.7696873763355754</v>
      </c>
      <c r="CO173" s="438">
        <f>+INPUT!DN43</f>
        <v>5.6615799106217679</v>
      </c>
      <c r="CP173" s="456">
        <f>+INPUT!DO43</f>
        <v>5.5218423247161459</v>
      </c>
      <c r="CQ173" s="438">
        <f>+INPUT!DP43</f>
        <v>4.2724542609329887</v>
      </c>
      <c r="CR173" s="456">
        <f>+INPUT!DQ43</f>
        <v>5.7895698952811223</v>
      </c>
      <c r="CS173" s="438">
        <f>+INPUT!DR43</f>
        <v>0.52487013559827744</v>
      </c>
      <c r="CT173" s="456">
        <f>+INPUT!DS43</f>
        <v>5.5892651032028011</v>
      </c>
      <c r="CU173" s="438">
        <f>+INPUT!DT43</f>
        <v>-2.5718312924448554</v>
      </c>
      <c r="CV173" s="456">
        <f>+INPUT!DU43</f>
        <v>5.5092921702041231</v>
      </c>
      <c r="CW173" s="438">
        <f>+INPUT!DV43</f>
        <v>-4.5131597112083739</v>
      </c>
      <c r="CX173" s="456">
        <f>+INPUT!DW43</f>
        <v>5.0571340333539228</v>
      </c>
      <c r="CY173" s="438">
        <f>+INPUT!DX43</f>
        <v>-8.4158196492166581</v>
      </c>
      <c r="CZ173" s="456">
        <f>+INPUT!DY43</f>
        <v>5.4238674711115653</v>
      </c>
      <c r="DA173" s="438">
        <f>+INPUT!DZ43</f>
        <v>-6.3165732650991657</v>
      </c>
      <c r="DB173" s="456">
        <f>+INPUT!EA43</f>
        <v>4.6787695478483142</v>
      </c>
      <c r="DC173" s="438">
        <f>+INPUT!EB43</f>
        <v>-16.290076397212729</v>
      </c>
      <c r="DD173" s="456">
        <f>+INPUT!EC43</f>
        <v>5.1297857229004462</v>
      </c>
      <c r="DE173" s="438">
        <f>+INPUT!ED43</f>
        <v>-6.8884792379710689</v>
      </c>
      <c r="DF173" s="456">
        <f>+INPUT!EE43</f>
        <v>5.2702595444082867</v>
      </c>
      <c r="DG173" s="438">
        <f>+INPUT!EF43</f>
        <v>4.2143536170627698</v>
      </c>
      <c r="DH173" s="456">
        <f>+INPUT!EG43</f>
        <v>5.4795581751160398</v>
      </c>
      <c r="DI173" s="438">
        <f>+INPUT!EH43</f>
        <v>1.0267711056933564</v>
      </c>
      <c r="DJ173" s="456">
        <f>+INPUT!EI43</f>
        <v>6.0693434228122252</v>
      </c>
      <c r="DK173" s="438">
        <f>+INPUT!EJ43</f>
        <v>29.720931128215369</v>
      </c>
      <c r="DL173" s="456">
        <f>+INPUT!EK43</f>
        <v>6.075368233118664</v>
      </c>
      <c r="DM173" s="438">
        <f>+INPUT!EL43</f>
        <v>18.433177549637961</v>
      </c>
      <c r="DN173" s="456">
        <f>+INPUT!EM43</f>
        <v>5.7486714991017696</v>
      </c>
      <c r="DO173" s="438">
        <f>+INPUT!EN43</f>
        <v>9.0775786403361423</v>
      </c>
      <c r="DP173" s="456">
        <f>+INPUT!EO43</f>
        <v>6.7140839075425491</v>
      </c>
      <c r="DQ173" s="438">
        <f>+INPUT!EP43</f>
        <v>22.529658285822762</v>
      </c>
      <c r="DR173" s="456">
        <f>+INPUT!EQ43</f>
        <v>6.7140839075425491</v>
      </c>
      <c r="DS173" s="438">
        <f>+INPUT!ER43</f>
        <v>10.622903332624148</v>
      </c>
      <c r="DT173" s="456">
        <f>+INPUT!ES43</f>
        <v>6.7140839075425491</v>
      </c>
      <c r="DU173" s="438">
        <f>+INPUT!ET43</f>
        <v>10.51320100964503</v>
      </c>
      <c r="DV173" s="456">
        <f>+INPUT!EU43</f>
        <v>6.7140839075425491</v>
      </c>
      <c r="DW173" s="438">
        <f>+INPUT!EV43</f>
        <v>16.793661084854563</v>
      </c>
      <c r="DX173" s="456">
        <f>+INPUT!EW43</f>
        <v>6.7140839075425491</v>
      </c>
      <c r="DY173" s="438">
        <f>+INPUT!EX43</f>
        <v>0</v>
      </c>
      <c r="DZ173" s="456"/>
      <c r="EA173" s="438"/>
      <c r="EB173" s="439">
        <f>+INPUT!FI43</f>
        <v>0</v>
      </c>
      <c r="EC173" s="457">
        <f>+INPUT!FJ43</f>
        <v>10.867355128685324</v>
      </c>
      <c r="ED173" s="439">
        <f>+INPUT!FK43</f>
        <v>0</v>
      </c>
      <c r="EE173" s="456">
        <f>+INPUT!FL43</f>
        <v>24.227409049419744</v>
      </c>
      <c r="EF173" s="439">
        <f>+INPUT!FM43</f>
        <v>0</v>
      </c>
      <c r="EG173" s="456">
        <f>+INPUT!FN43</f>
        <v>11.886504812396186</v>
      </c>
      <c r="EH173" s="439">
        <f>+INPUT!FO43</f>
        <v>0</v>
      </c>
      <c r="EI173" s="456">
        <f>+INPUT!FP43</f>
        <v>12.00177147918512</v>
      </c>
      <c r="EJ173" s="438">
        <f>+INPUT!FQ43</f>
        <v>0</v>
      </c>
      <c r="EK173" s="456">
        <f>+INPUT!FR43</f>
        <v>15.207373271889402</v>
      </c>
      <c r="EL173" s="438">
        <f>+INPUT!FS43</f>
        <v>0</v>
      </c>
      <c r="EM173" s="456">
        <f>+INPUT!FT43</f>
        <v>12.833478639930254</v>
      </c>
      <c r="EN173" s="438">
        <f>+INPUT!FU43</f>
        <v>0</v>
      </c>
      <c r="EO173" s="456">
        <f>+INPUT!FV43</f>
        <v>9.9589194572388884</v>
      </c>
      <c r="EP173" s="438">
        <f>+INPUT!FW43</f>
        <v>0</v>
      </c>
      <c r="EQ173" s="456">
        <f>+INPUT!FX43</f>
        <v>9.6255436865699</v>
      </c>
      <c r="ER173" s="438">
        <f>+INPUT!FY43</f>
        <v>0</v>
      </c>
      <c r="ES173" s="456">
        <f>+INPUT!FZ43</f>
        <v>8.597970665308809</v>
      </c>
      <c r="ET173" s="438">
        <f>+INPUT!GA43</f>
        <v>0</v>
      </c>
      <c r="EU173" s="456">
        <f>+INPUT!GB43</f>
        <v>6.8872865126822207</v>
      </c>
      <c r="EV173" s="438">
        <f>+INPUT!GC43</f>
        <v>0</v>
      </c>
      <c r="EW173" s="456">
        <f>+INPUT!GD43</f>
        <v>6.0559671231878118</v>
      </c>
      <c r="EX173" s="438">
        <f>+INPUT!GE43</f>
        <v>0</v>
      </c>
      <c r="EY173" s="456">
        <f>+INPUT!GF43</f>
        <v>5.7496504771746402</v>
      </c>
      <c r="EZ173" s="438">
        <f>+INPUT!GG43</f>
        <v>0</v>
      </c>
      <c r="FA173" s="456">
        <f>+INPUT!GH43</f>
        <v>5.7913030764220723</v>
      </c>
      <c r="FB173" s="438">
        <f>+INPUT!GI43</f>
        <v>0.72443706644061479</v>
      </c>
      <c r="FC173" s="456">
        <f>+INPUT!GJ43</f>
        <v>5.3461694705415805</v>
      </c>
      <c r="FD173" s="438">
        <f>+INPUT!GK43</f>
        <v>-7.6862426297934263</v>
      </c>
      <c r="FE173" s="456">
        <f>+INPUT!GL43</f>
        <v>5.2033913049297045</v>
      </c>
      <c r="FF173" s="438">
        <f>+INPUT!GM43</f>
        <v>-2.6706629185365642</v>
      </c>
      <c r="FG173" s="456">
        <f>+INPUT!GN43</f>
        <v>6.3387586026941518</v>
      </c>
      <c r="FH173" s="438">
        <f>+INPUT!GO43</f>
        <v>21.819756217234669</v>
      </c>
      <c r="FI173" s="456">
        <f>+INPUT!GP43</f>
        <v>6.5929799001761422</v>
      </c>
      <c r="FJ173" s="438">
        <f>+INPUT!GQ43</f>
        <v>4.0105849333643846</v>
      </c>
      <c r="FK173" s="456">
        <f>+INPUT!GR43</f>
        <v>6.7429799001761426</v>
      </c>
      <c r="FL173" s="438">
        <f>+INPUT!GS43</f>
        <v>2.2751472364718239</v>
      </c>
      <c r="FM173" s="456">
        <f>+INPUT!GT43</f>
        <v>6.8929799001761429</v>
      </c>
      <c r="FN173" s="438">
        <f>+INPUT!GU43</f>
        <v>2.2245357723234918</v>
      </c>
      <c r="FO173" s="456">
        <f>+INPUT!GV43</f>
        <v>7.0429799001761433</v>
      </c>
      <c r="FP173" s="438">
        <f>+INPUT!GW43</f>
        <v>2.1761270476962693</v>
      </c>
      <c r="FQ173" s="456">
        <f>+INPUT!GX43</f>
        <v>7.1929799001761436</v>
      </c>
      <c r="FR173" s="438">
        <f>+INPUT!GY43</f>
        <v>2.1297803220516016</v>
      </c>
      <c r="FS173" s="438">
        <f>+INPUT!GZ43</f>
        <v>0</v>
      </c>
    </row>
    <row r="174" spans="1:175" s="529" customFormat="1" ht="12.75" hidden="1" customHeight="1" outlineLevel="1" x14ac:dyDescent="0.2">
      <c r="A174" s="441" t="str">
        <f>+INPUT!B44</f>
        <v>Benefits/BOP Reserves (%)</v>
      </c>
      <c r="B174" s="457">
        <f>+INPUT!AA44</f>
        <v>-1.7212152823053852</v>
      </c>
      <c r="C174" s="439">
        <f>+INPUT!AB44</f>
        <v>0</v>
      </c>
      <c r="D174" s="457">
        <f>+INPUT!AC44</f>
        <v>-3.047109923154026</v>
      </c>
      <c r="E174" s="439">
        <f>+INPUT!AD44</f>
        <v>0</v>
      </c>
      <c r="F174" s="457">
        <f>+INPUT!AE44</f>
        <v>-1.3675213675213675</v>
      </c>
      <c r="G174" s="439">
        <f>+INPUT!AF44</f>
        <v>0</v>
      </c>
      <c r="H174" s="457">
        <f>+INPUT!AG44</f>
        <v>-1.303442361876761</v>
      </c>
      <c r="I174" s="439">
        <f>+INPUT!AH44</f>
        <v>0</v>
      </c>
      <c r="J174" s="457">
        <f>+INPUT!AI44</f>
        <v>-1.4653348199048897</v>
      </c>
      <c r="K174" s="439">
        <f>+INPUT!AJ44</f>
        <v>0</v>
      </c>
      <c r="L174" s="457">
        <f>+INPUT!AK44</f>
        <v>-1.2751348700343306</v>
      </c>
      <c r="M174" s="439">
        <f>+INPUT!AL44</f>
        <v>0</v>
      </c>
      <c r="N174" s="457">
        <f>+INPUT!AM44</f>
        <v>-1.3711131390923053</v>
      </c>
      <c r="O174" s="439">
        <f>+INPUT!AN44</f>
        <v>0</v>
      </c>
      <c r="P174" s="457">
        <f>+INPUT!AO44</f>
        <v>-1.3940729414939064</v>
      </c>
      <c r="Q174" s="439">
        <f>+INPUT!AP44</f>
        <v>0</v>
      </c>
      <c r="R174" s="457">
        <f>+INPUT!AQ44</f>
        <v>-1.2231641992492304</v>
      </c>
      <c r="S174" s="439">
        <f>+INPUT!AR44</f>
        <v>0</v>
      </c>
      <c r="T174" s="457">
        <f>+INPUT!AS44</f>
        <v>-1.2762471435346872</v>
      </c>
      <c r="U174" s="439">
        <f>+INPUT!AT44</f>
        <v>0</v>
      </c>
      <c r="V174" s="457">
        <f>+INPUT!AU44</f>
        <v>-1.2742078393316738</v>
      </c>
      <c r="W174" s="439">
        <f>+INPUT!AV44</f>
        <v>0</v>
      </c>
      <c r="X174" s="457">
        <f>+INPUT!AW44</f>
        <v>-1.2771805027887801</v>
      </c>
      <c r="Y174" s="439">
        <f>+INPUT!AX44</f>
        <v>0</v>
      </c>
      <c r="Z174" s="457">
        <f>+INPUT!AY44</f>
        <v>-1.5597305919886566</v>
      </c>
      <c r="AA174" s="439">
        <f>+INPUT!AZ44</f>
        <v>0</v>
      </c>
      <c r="AB174" s="457">
        <f>+INPUT!BA44</f>
        <v>-1.6923337282112032</v>
      </c>
      <c r="AC174" s="439">
        <f>+INPUT!BB44</f>
        <v>0</v>
      </c>
      <c r="AD174" s="457">
        <f>+INPUT!BC44</f>
        <v>-1.4184603310709667</v>
      </c>
      <c r="AE174" s="439">
        <f>+INPUT!BD44</f>
        <v>0</v>
      </c>
      <c r="AF174" s="457">
        <f>+INPUT!BE44</f>
        <v>-1.4967046984621928</v>
      </c>
      <c r="AG174" s="439">
        <f>+INPUT!BF44</f>
        <v>0</v>
      </c>
      <c r="AH174" s="457">
        <f>+INPUT!BG44</f>
        <v>-1.6417409965797061</v>
      </c>
      <c r="AI174" s="438">
        <f>+INPUT!BH44</f>
        <v>0</v>
      </c>
      <c r="AJ174" s="457">
        <f>+INPUT!BI44</f>
        <v>-1.5821989390271327</v>
      </c>
      <c r="AK174" s="438">
        <f>+INPUT!BJ44</f>
        <v>0</v>
      </c>
      <c r="AL174" s="457">
        <f>+INPUT!BK44</f>
        <v>-1.342315874784723</v>
      </c>
      <c r="AM174" s="438">
        <f>+INPUT!BL44</f>
        <v>0</v>
      </c>
      <c r="AN174" s="457">
        <f>+INPUT!BM44</f>
        <v>-1.286141943749769</v>
      </c>
      <c r="AO174" s="438">
        <f>+INPUT!BN44</f>
        <v>0</v>
      </c>
      <c r="AP174" s="457">
        <f>+INPUT!BO44</f>
        <v>-1.4639611602141167</v>
      </c>
      <c r="AQ174" s="438">
        <f>+INPUT!BP44</f>
        <v>0</v>
      </c>
      <c r="AR174" s="457">
        <f>+INPUT!BQ44</f>
        <v>-1.3977619803406378</v>
      </c>
      <c r="AS174" s="438">
        <f>+INPUT!BR44</f>
        <v>0</v>
      </c>
      <c r="AT174" s="457">
        <f>+INPUT!BS44</f>
        <v>-1.3867509068761963</v>
      </c>
      <c r="AU174" s="438">
        <f>+INPUT!BT44</f>
        <v>0</v>
      </c>
      <c r="AV174" s="457">
        <f>+INPUT!BU44</f>
        <v>-1.4241996233521657</v>
      </c>
      <c r="AW174" s="438">
        <f>+INPUT!BV44</f>
        <v>0</v>
      </c>
      <c r="AX174" s="457">
        <f>+INPUT!BW44</f>
        <v>-1.7064675787824755</v>
      </c>
      <c r="AY174" s="438">
        <f>+INPUT!BX44</f>
        <v>0</v>
      </c>
      <c r="AZ174" s="457">
        <f>+INPUT!BY44</f>
        <v>-1.6292154223188706</v>
      </c>
      <c r="BA174" s="438">
        <f>+INPUT!BZ44</f>
        <v>0</v>
      </c>
      <c r="BB174" s="457">
        <f>+INPUT!CA44</f>
        <v>-1.4685325427425919</v>
      </c>
      <c r="BC174" s="438">
        <f>+INPUT!CB44</f>
        <v>0</v>
      </c>
      <c r="BD174" s="457">
        <f>+INPUT!CC44</f>
        <v>-1.3595905357686051</v>
      </c>
      <c r="BE174" s="438">
        <f>+INPUT!CD44</f>
        <v>0</v>
      </c>
      <c r="BF174" s="456">
        <f>+INPUT!CE44</f>
        <v>-1.3214272407754692</v>
      </c>
      <c r="BG174" s="438">
        <f>+INPUT!CF44</f>
        <v>0</v>
      </c>
      <c r="BH174" s="456">
        <f>+INPUT!CG44</f>
        <v>-0.95105353775518564</v>
      </c>
      <c r="BI174" s="438">
        <f>+INPUT!CH44</f>
        <v>0</v>
      </c>
      <c r="BJ174" s="456">
        <f>+INPUT!CI44</f>
        <v>-1.2441233117605541</v>
      </c>
      <c r="BK174" s="438">
        <f>+INPUT!CJ44</f>
        <v>0</v>
      </c>
      <c r="BL174" s="456">
        <f>+INPUT!CK44</f>
        <v>-1.0795180722891566</v>
      </c>
      <c r="BM174" s="438">
        <f>+INPUT!CL44</f>
        <v>0</v>
      </c>
      <c r="BN174" s="456">
        <f>+INPUT!CM44</f>
        <v>-0.99269160120373634</v>
      </c>
      <c r="BO174" s="438">
        <f>+INPUT!CN44</f>
        <v>0</v>
      </c>
      <c r="BP174" s="456">
        <f>+INPUT!CO44</f>
        <v>-1.0548427284052779</v>
      </c>
      <c r="BQ174" s="438">
        <f>+INPUT!CP44</f>
        <v>0</v>
      </c>
      <c r="BR174" s="456">
        <f>+INPUT!CQ44</f>
        <v>-0.9696796848541025</v>
      </c>
      <c r="BS174" s="438">
        <f>+INPUT!CR44</f>
        <v>0</v>
      </c>
      <c r="BT174" s="456">
        <f>+INPUT!CS44</f>
        <v>-1.0731052984574112</v>
      </c>
      <c r="BU174" s="438">
        <f>+INPUT!CT44</f>
        <v>0</v>
      </c>
      <c r="BV174" s="456">
        <f>+INPUT!CU44</f>
        <v>-1.0387906290150624</v>
      </c>
      <c r="BW174" s="438">
        <f>+INPUT!CV44</f>
        <v>0</v>
      </c>
      <c r="BX174" s="456">
        <f>+INPUT!CW44</f>
        <v>-0.95779706674648313</v>
      </c>
      <c r="BY174" s="438">
        <f>+INPUT!CX44</f>
        <v>0</v>
      </c>
      <c r="BZ174" s="456">
        <f>+INPUT!CY44</f>
        <v>-0.94077755431078902</v>
      </c>
      <c r="CA174" s="438">
        <f>+INPUT!CZ44</f>
        <v>0</v>
      </c>
      <c r="CB174" s="456">
        <f>+INPUT!DA44</f>
        <v>-0.97092649031787748</v>
      </c>
      <c r="CC174" s="438">
        <f>+INPUT!DB44</f>
        <v>0</v>
      </c>
      <c r="CD174" s="456">
        <f>+INPUT!DC44</f>
        <v>-0.94219196401434568</v>
      </c>
      <c r="CE174" s="438">
        <f>+INPUT!DD44</f>
        <v>0</v>
      </c>
      <c r="CF174" s="456">
        <f>+INPUT!DE44</f>
        <v>-0.93790008199433239</v>
      </c>
      <c r="CG174" s="438">
        <f>+INPUT!DF44</f>
        <v>0</v>
      </c>
      <c r="CH174" s="456">
        <f>+INPUT!DG44</f>
        <v>-0.90001814552712744</v>
      </c>
      <c r="CI174" s="438">
        <f>+INPUT!DH44</f>
        <v>0</v>
      </c>
      <c r="CJ174" s="456">
        <f>+INPUT!DI44</f>
        <v>-0.93530136328524605</v>
      </c>
      <c r="CK174" s="438">
        <f>+INPUT!DJ44</f>
        <v>0</v>
      </c>
      <c r="CL174" s="456">
        <f>+INPUT!DK44</f>
        <v>-0.90385267201446151</v>
      </c>
      <c r="CM174" s="438">
        <f>+INPUT!DL44</f>
        <v>0</v>
      </c>
      <c r="CN174" s="456">
        <f>+INPUT!DM44</f>
        <v>-1.0710987996306556</v>
      </c>
      <c r="CO174" s="438">
        <f>+INPUT!DN44</f>
        <v>14.201802536693677</v>
      </c>
      <c r="CP174" s="456">
        <f>+INPUT!DO44</f>
        <v>-0.88523959202001412</v>
      </c>
      <c r="CQ174" s="438">
        <f>+INPUT!DP44</f>
        <v>-1.6420283947117298</v>
      </c>
      <c r="CR174" s="456">
        <f>+INPUT!DQ44</f>
        <v>-0.96101115086308209</v>
      </c>
      <c r="CS174" s="438">
        <f>+INPUT!DR44</f>
        <v>2.7488239178365319</v>
      </c>
      <c r="CT174" s="456">
        <f>+INPUT!DS44</f>
        <v>-1.0317056028062392</v>
      </c>
      <c r="CU174" s="438">
        <f>+INPUT!DT44</f>
        <v>14.145328630475305</v>
      </c>
      <c r="CV174" s="456">
        <f>+INPUT!DU44</f>
        <v>-0.9901492840459023</v>
      </c>
      <c r="CW174" s="438">
        <f>+INPUT!DV44</f>
        <v>-7.5576142567489484</v>
      </c>
      <c r="CX174" s="456">
        <f>+INPUT!DW44</f>
        <v>-1.0294420424130122</v>
      </c>
      <c r="CY174" s="438">
        <f>+INPUT!DX44</f>
        <v>16.289652167945263</v>
      </c>
      <c r="CZ174" s="456">
        <f>+INPUT!DY44</f>
        <v>-0.95715308313733505</v>
      </c>
      <c r="DA174" s="438">
        <f>+INPUT!DZ44</f>
        <v>-0.40145920495116627</v>
      </c>
      <c r="DB174" s="456">
        <f>+INPUT!EA44</f>
        <v>-0.95020777430557879</v>
      </c>
      <c r="DC174" s="438">
        <f>+INPUT!EB44</f>
        <v>-7.8993298358549566</v>
      </c>
      <c r="DD174" s="456">
        <f>+INPUT!EC44</f>
        <v>-1.0693753936453907</v>
      </c>
      <c r="DE174" s="438">
        <f>+INPUT!ED44</f>
        <v>8.0014307818067891</v>
      </c>
      <c r="DF174" s="456">
        <f>+INPUT!EE44</f>
        <v>-0.92335370532052807</v>
      </c>
      <c r="DG174" s="438">
        <f>+INPUT!EF44</f>
        <v>-10.305421065163912</v>
      </c>
      <c r="DH174" s="456">
        <f>+INPUT!EG44</f>
        <v>-0.89604462147279262</v>
      </c>
      <c r="DI174" s="438">
        <f>+INPUT!EH44</f>
        <v>-6.3843979339482928</v>
      </c>
      <c r="DJ174" s="456">
        <f>+INPUT!EI44</f>
        <v>-1.0776607195277079</v>
      </c>
      <c r="DK174" s="438">
        <f>+INPUT!EJ44</f>
        <v>13.413165906295916</v>
      </c>
      <c r="DL174" s="456">
        <f>+INPUT!EK44</f>
        <v>-0.99725817764458324</v>
      </c>
      <c r="DM174" s="438">
        <f>+INPUT!EL44</f>
        <v>-6.7438634205867771</v>
      </c>
      <c r="DN174" s="456">
        <f>+INPUT!EM44</f>
        <v>-0.90199871860906278</v>
      </c>
      <c r="DO174" s="438">
        <f>+INPUT!EN44</f>
        <v>-2.312763417573791</v>
      </c>
      <c r="DP174" s="456">
        <f>+INPUT!EO44</f>
        <v>-0.97466488183730504</v>
      </c>
      <c r="DQ174" s="438">
        <f>+INPUT!EP44</f>
        <v>8.7741456709251224</v>
      </c>
      <c r="DR174" s="456">
        <f>+INPUT!EQ44</f>
        <v>-0.97466488183730504</v>
      </c>
      <c r="DS174" s="438">
        <f>+INPUT!ER44</f>
        <v>-9.557352868492913</v>
      </c>
      <c r="DT174" s="456">
        <f>+INPUT!ES44</f>
        <v>-0.97466488183730504</v>
      </c>
      <c r="DU174" s="438">
        <f>+INPUT!ET44</f>
        <v>-2.2655412924906955</v>
      </c>
      <c r="DV174" s="456">
        <f>+INPUT!EU44</f>
        <v>-0.97466488183730504</v>
      </c>
      <c r="DW174" s="438">
        <f>+INPUT!EV44</f>
        <v>8.0561271018541873</v>
      </c>
      <c r="DX174" s="456">
        <f>+INPUT!EW44</f>
        <v>-0.97466488183730504</v>
      </c>
      <c r="DY174" s="438">
        <f>+INPUT!EX44</f>
        <v>0</v>
      </c>
      <c r="DZ174" s="456"/>
      <c r="EA174" s="438"/>
      <c r="EB174" s="439">
        <f>+INPUT!FI44</f>
        <v>0</v>
      </c>
      <c r="EC174" s="457">
        <f>+INPUT!FJ44</f>
        <v>-1.4607523141955161</v>
      </c>
      <c r="ED174" s="439">
        <f>+INPUT!FK44</f>
        <v>0</v>
      </c>
      <c r="EE174" s="457">
        <f>+INPUT!FL44</f>
        <v>-2.9273699308905985</v>
      </c>
      <c r="EF174" s="439">
        <f>+INPUT!FM44</f>
        <v>0</v>
      </c>
      <c r="EG174" s="457">
        <f>+INPUT!FN44</f>
        <v>-1.3947985164622632</v>
      </c>
      <c r="EH174" s="439">
        <f>+INPUT!FO44</f>
        <v>0</v>
      </c>
      <c r="EI174" s="457">
        <f>+INPUT!FP44</f>
        <v>-1.2695600826690288</v>
      </c>
      <c r="EJ174" s="438">
        <f>+INPUT!FQ44</f>
        <v>0</v>
      </c>
      <c r="EK174" s="457">
        <f>+INPUT!FR44</f>
        <v>-1.833471188309898</v>
      </c>
      <c r="EL174" s="438">
        <f>+INPUT!FS44</f>
        <v>0</v>
      </c>
      <c r="EM174" s="457">
        <f>+INPUT!FT44</f>
        <v>-1.5170008718395815</v>
      </c>
      <c r="EN174" s="438">
        <f>+INPUT!FU44</f>
        <v>0</v>
      </c>
      <c r="EO174" s="457">
        <f>+INPUT!FV44</f>
        <v>-1.3158222332876883</v>
      </c>
      <c r="EP174" s="438">
        <f>+INPUT!FW44</f>
        <v>0</v>
      </c>
      <c r="EQ174" s="456">
        <f>+INPUT!FX44</f>
        <v>-1.6464745779659038</v>
      </c>
      <c r="ER174" s="438">
        <f>+INPUT!FY44</f>
        <v>0</v>
      </c>
      <c r="ES174" s="456">
        <f>+INPUT!FZ44</f>
        <v>-1.2183459804518189</v>
      </c>
      <c r="ET174" s="438">
        <f>+INPUT!GA44</f>
        <v>0</v>
      </c>
      <c r="EU174" s="456">
        <f>+INPUT!GB44</f>
        <v>-1.066948059561496</v>
      </c>
      <c r="EV174" s="438">
        <f>+INPUT!GC44</f>
        <v>0</v>
      </c>
      <c r="EW174" s="456">
        <f>+INPUT!GD44</f>
        <v>-1.0652160046654457</v>
      </c>
      <c r="EX174" s="438">
        <f>+INPUT!GE44</f>
        <v>0</v>
      </c>
      <c r="EY174" s="456">
        <f>+INPUT!GF44</f>
        <v>-0.97410491763418627</v>
      </c>
      <c r="EZ174" s="438">
        <f>+INPUT!GG44</f>
        <v>0</v>
      </c>
      <c r="FA174" s="456">
        <f>+INPUT!GH44</f>
        <v>-0.96964782975669084</v>
      </c>
      <c r="FB174" s="438">
        <f>+INPUT!GI44</f>
        <v>-0.4575572709683513</v>
      </c>
      <c r="FC174" s="456">
        <f>+INPUT!GJ44</f>
        <v>-0.99366145870275913</v>
      </c>
      <c r="FD174" s="438">
        <f>+INPUT!GK44</f>
        <v>2.4765309846662547</v>
      </c>
      <c r="FE174" s="456">
        <f>+INPUT!GL44</f>
        <v>-0.97028258643879517</v>
      </c>
      <c r="FF174" s="438">
        <f>+INPUT!GM44</f>
        <v>-2.3528005498457674</v>
      </c>
      <c r="FG174" s="456">
        <f>+INPUT!GN44</f>
        <v>-1.0163410417821845</v>
      </c>
      <c r="FH174" s="438">
        <f>+INPUT!GO44</f>
        <v>4.7469114654975471</v>
      </c>
      <c r="FI174" s="456">
        <f>+INPUT!GP44</f>
        <v>-0.9570845500071945</v>
      </c>
      <c r="FJ174" s="438">
        <f>+INPUT!GQ44</f>
        <v>-5.8303747796194472</v>
      </c>
      <c r="FK174" s="456">
        <f>+INPUT!GR44</f>
        <v>-0.9570845500071945</v>
      </c>
      <c r="FL174" s="438">
        <f>+INPUT!GS44</f>
        <v>0</v>
      </c>
      <c r="FM174" s="456">
        <f>+INPUT!GT44</f>
        <v>-0.9570845500071945</v>
      </c>
      <c r="FN174" s="438">
        <f>+INPUT!GU44</f>
        <v>0</v>
      </c>
      <c r="FO174" s="456">
        <f>+INPUT!GV44</f>
        <v>-0.9570845500071945</v>
      </c>
      <c r="FP174" s="438">
        <f>+INPUT!GW44</f>
        <v>0</v>
      </c>
      <c r="FQ174" s="456">
        <f>+INPUT!GX44</f>
        <v>-0.9570845500071945</v>
      </c>
      <c r="FR174" s="438">
        <f>+INPUT!GY44</f>
        <v>0</v>
      </c>
      <c r="FS174" s="438">
        <f>+INPUT!GZ44</f>
        <v>0</v>
      </c>
    </row>
    <row r="175" spans="1:175" s="529" customFormat="1" ht="12.75" hidden="1" customHeight="1" outlineLevel="1" x14ac:dyDescent="0.2">
      <c r="A175" s="441" t="str">
        <f>+INPUT!B45</f>
        <v>Policy Charges/BOP Assets (%)</v>
      </c>
      <c r="B175" s="457">
        <f>+INPUT!AA45</f>
        <v>-1.0431607771547791</v>
      </c>
      <c r="C175" s="439">
        <f>+INPUT!AB45</f>
        <v>0</v>
      </c>
      <c r="D175" s="457">
        <f>+INPUT!AC45</f>
        <v>-2.5392582692950216</v>
      </c>
      <c r="E175" s="439">
        <f>+INPUT!AD45</f>
        <v>0</v>
      </c>
      <c r="F175" s="457">
        <f>+INPUT!AE45</f>
        <v>-1.297134238310709</v>
      </c>
      <c r="G175" s="439">
        <f>+INPUT!AF45</f>
        <v>0</v>
      </c>
      <c r="H175" s="457">
        <f>+INPUT!AG45</f>
        <v>-1.3524439544285189</v>
      </c>
      <c r="I175" s="439">
        <f>+INPUT!AH45</f>
        <v>0</v>
      </c>
      <c r="J175" s="457">
        <f>+INPUT!AI45</f>
        <v>-1.3106100252565474</v>
      </c>
      <c r="K175" s="439">
        <f>+INPUT!AJ45</f>
        <v>0</v>
      </c>
      <c r="L175" s="457">
        <f>+INPUT!AK45</f>
        <v>-1.2929689241606848</v>
      </c>
      <c r="M175" s="439">
        <f>+INPUT!AL45</f>
        <v>0</v>
      </c>
      <c r="N175" s="457">
        <f>+INPUT!AM45</f>
        <v>-1.2998864825160816</v>
      </c>
      <c r="O175" s="439">
        <f>+INPUT!AN45</f>
        <v>0</v>
      </c>
      <c r="P175" s="457">
        <f>+INPUT!AO45</f>
        <v>-1.4030669604712867</v>
      </c>
      <c r="Q175" s="439">
        <f>+INPUT!AP45</f>
        <v>0</v>
      </c>
      <c r="R175" s="457">
        <f>+INPUT!AQ45</f>
        <v>-1.3328271964232992</v>
      </c>
      <c r="S175" s="439">
        <f>+INPUT!AR45</f>
        <v>0</v>
      </c>
      <c r="T175" s="457">
        <f>+INPUT!AS45</f>
        <v>-1.3797266416591214</v>
      </c>
      <c r="U175" s="439">
        <f>+INPUT!AT45</f>
        <v>0</v>
      </c>
      <c r="V175" s="457">
        <f>+INPUT!AU45</f>
        <v>-1.4851694021349311</v>
      </c>
      <c r="W175" s="439">
        <f>+INPUT!AV45</f>
        <v>0</v>
      </c>
      <c r="X175" s="457">
        <f>+INPUT!AW45</f>
        <v>-1.471182604478215</v>
      </c>
      <c r="Y175" s="439">
        <f>+INPUT!AX45</f>
        <v>0</v>
      </c>
      <c r="Z175" s="457">
        <f>+INPUT!AY45</f>
        <v>-1.4494466107369333</v>
      </c>
      <c r="AA175" s="439">
        <f>+INPUT!AZ45</f>
        <v>0</v>
      </c>
      <c r="AB175" s="457">
        <f>+INPUT!BA45</f>
        <v>-1.5343825802448243</v>
      </c>
      <c r="AC175" s="439">
        <f>+INPUT!BB45</f>
        <v>0</v>
      </c>
      <c r="AD175" s="457">
        <f>+INPUT!BC45</f>
        <v>-1.5056607612597555</v>
      </c>
      <c r="AE175" s="439">
        <f>+INPUT!BD45</f>
        <v>0</v>
      </c>
      <c r="AF175" s="457">
        <f>+INPUT!BE45</f>
        <v>-1.6384380979377791</v>
      </c>
      <c r="AG175" s="439">
        <f>+INPUT!BF45</f>
        <v>0</v>
      </c>
      <c r="AH175" s="457">
        <f>+INPUT!BG45</f>
        <v>-1.5827241633693245</v>
      </c>
      <c r="AI175" s="438">
        <f>+INPUT!BH45</f>
        <v>0</v>
      </c>
      <c r="AJ175" s="457">
        <f>+INPUT!BI45</f>
        <v>-1.6933232792263628</v>
      </c>
      <c r="AK175" s="438">
        <f>+INPUT!BJ45</f>
        <v>0</v>
      </c>
      <c r="AL175" s="457">
        <f>+INPUT!BK45</f>
        <v>-1.6310404214365315</v>
      </c>
      <c r="AM175" s="438">
        <f>+INPUT!BL45</f>
        <v>0</v>
      </c>
      <c r="AN175" s="457">
        <f>+INPUT!BM45</f>
        <v>-1.6902171904450987</v>
      </c>
      <c r="AO175" s="438">
        <f>+INPUT!BN45</f>
        <v>0</v>
      </c>
      <c r="AP175" s="457">
        <f>+INPUT!BO45</f>
        <v>-1.52371467695755</v>
      </c>
      <c r="AQ175" s="438">
        <f>+INPUT!BP45</f>
        <v>0</v>
      </c>
      <c r="AR175" s="457">
        <f>+INPUT!BQ45</f>
        <v>-1.6911852968243595</v>
      </c>
      <c r="AS175" s="438">
        <f>+INPUT!BR45</f>
        <v>0</v>
      </c>
      <c r="AT175" s="457">
        <f>+INPUT!BS45</f>
        <v>-1.5366699238357853</v>
      </c>
      <c r="AU175" s="438">
        <f>+INPUT!BT45</f>
        <v>0</v>
      </c>
      <c r="AV175" s="457">
        <f>+INPUT!BU45</f>
        <v>-1.2417608286252353</v>
      </c>
      <c r="AW175" s="438">
        <f>+INPUT!BV45</f>
        <v>0</v>
      </c>
      <c r="AX175" s="457">
        <f>+INPUT!BW45</f>
        <v>-1.3665072408219041</v>
      </c>
      <c r="AY175" s="438">
        <f>+INPUT!BX45</f>
        <v>0</v>
      </c>
      <c r="AZ175" s="457">
        <f>+INPUT!BY45</f>
        <v>-1.6292154223188706</v>
      </c>
      <c r="BA175" s="438">
        <f>+INPUT!BZ45</f>
        <v>0</v>
      </c>
      <c r="BB175" s="457">
        <f>+INPUT!CA45</f>
        <v>-1.7450344859368039</v>
      </c>
      <c r="BC175" s="438">
        <f>+INPUT!CB45</f>
        <v>0</v>
      </c>
      <c r="BD175" s="457">
        <f>+INPUT!CC45</f>
        <v>-1.7775191440398883</v>
      </c>
      <c r="BE175" s="438">
        <f>+INPUT!CD45</f>
        <v>0</v>
      </c>
      <c r="BF175" s="456">
        <f>+INPUT!CE45</f>
        <v>-1.7834299978886969</v>
      </c>
      <c r="BG175" s="438">
        <f>+INPUT!CF45</f>
        <v>0</v>
      </c>
      <c r="BH175" s="456">
        <f>+INPUT!CG45</f>
        <v>-1.8412021691516651</v>
      </c>
      <c r="BI175" s="438">
        <f>+INPUT!CH45</f>
        <v>0</v>
      </c>
      <c r="BJ175" s="456">
        <f>+INPUT!CI45</f>
        <v>-2.0193078367805919</v>
      </c>
      <c r="BK175" s="438">
        <f>+INPUT!CJ45</f>
        <v>0</v>
      </c>
      <c r="BL175" s="456">
        <f>+INPUT!CK45</f>
        <v>-2.1076305220883533</v>
      </c>
      <c r="BM175" s="438">
        <f>+INPUT!CL45</f>
        <v>0</v>
      </c>
      <c r="BN175" s="456">
        <f>+INPUT!CM45</f>
        <v>-2.0518231914644156</v>
      </c>
      <c r="BO175" s="438">
        <f>+INPUT!CN45</f>
        <v>0</v>
      </c>
      <c r="BP175" s="456">
        <f>+INPUT!CO45</f>
        <v>-2.066036792186889</v>
      </c>
      <c r="BQ175" s="438">
        <f>+INPUT!CP45</f>
        <v>0</v>
      </c>
      <c r="BR175" s="456">
        <f>+INPUT!CQ45</f>
        <v>-2.0320493395839647</v>
      </c>
      <c r="BS175" s="438">
        <f>+INPUT!CR45</f>
        <v>0</v>
      </c>
      <c r="BT175" s="456">
        <f>+INPUT!CS45</f>
        <v>-2.2356360384529399</v>
      </c>
      <c r="BU175" s="438">
        <f>+INPUT!CT45</f>
        <v>0</v>
      </c>
      <c r="BV175" s="456">
        <f>+INPUT!CU45</f>
        <v>-2.2598252280327675</v>
      </c>
      <c r="BW175" s="438">
        <f>+INPUT!CV45</f>
        <v>0</v>
      </c>
      <c r="BX175" s="456">
        <f>+INPUT!CW45</f>
        <v>-2.121786557584223</v>
      </c>
      <c r="BY175" s="438">
        <f>+INPUT!CX45</f>
        <v>0</v>
      </c>
      <c r="BZ175" s="456">
        <f>+INPUT!CY45</f>
        <v>-2.2970928976281102</v>
      </c>
      <c r="CA175" s="438">
        <f>+INPUT!CZ45</f>
        <v>0</v>
      </c>
      <c r="CB175" s="456">
        <f>+INPUT!DA45</f>
        <v>-2.2582571404198557</v>
      </c>
      <c r="CC175" s="438">
        <f>+INPUT!DB45</f>
        <v>0</v>
      </c>
      <c r="CD175" s="456">
        <f>+INPUT!DC45</f>
        <v>-2.2339067533888519</v>
      </c>
      <c r="CE175" s="438">
        <f>+INPUT!DD45</f>
        <v>0</v>
      </c>
      <c r="CF175" s="456">
        <f>+INPUT!DE45</f>
        <v>-2.3246112461700013</v>
      </c>
      <c r="CG175" s="438">
        <f>+INPUT!DF45</f>
        <v>0</v>
      </c>
      <c r="CH175" s="456">
        <f>+INPUT!DG45</f>
        <v>-2.354563600072582</v>
      </c>
      <c r="CI175" s="438">
        <f>+INPUT!DH45</f>
        <v>0</v>
      </c>
      <c r="CJ175" s="456">
        <f>+INPUT!DI45</f>
        <v>-2.3382534082131152</v>
      </c>
      <c r="CK175" s="438">
        <f>+INPUT!DJ45</f>
        <v>0</v>
      </c>
      <c r="CL175" s="456">
        <f>+INPUT!DK45</f>
        <v>-2.2516565094007324</v>
      </c>
      <c r="CM175" s="438">
        <f>+INPUT!DL45</f>
        <v>0</v>
      </c>
      <c r="CN175" s="456">
        <f>+INPUT!DM45</f>
        <v>-2.2925735391109354</v>
      </c>
      <c r="CO175" s="438">
        <f>+INPUT!DN45</f>
        <v>-1.378196337639281</v>
      </c>
      <c r="CP175" s="456">
        <f>+INPUT!DO45</f>
        <v>-2.2862274680864711</v>
      </c>
      <c r="CQ175" s="438">
        <f>+INPUT!DP45</f>
        <v>-2.9022843971598178</v>
      </c>
      <c r="CR175" s="456">
        <f>+INPUT!DQ45</f>
        <v>-2.3241845768156062</v>
      </c>
      <c r="CS175" s="438">
        <f>+INPUT!DR45</f>
        <v>-0.60168120991900764</v>
      </c>
      <c r="CT175" s="456">
        <f>+INPUT!DS45</f>
        <v>-2.3007034942579137</v>
      </c>
      <c r="CU175" s="438">
        <f>+INPUT!DT45</f>
        <v>2.1782622994408314</v>
      </c>
      <c r="CV175" s="456">
        <f>+INPUT!DU45</f>
        <v>-2.3128871737585053</v>
      </c>
      <c r="CW175" s="438">
        <f>+INPUT!DV45</f>
        <v>0.8860625101451518</v>
      </c>
      <c r="CX175" s="456">
        <f>+INPUT!DW45</f>
        <v>-2.3033765698991147</v>
      </c>
      <c r="CY175" s="438">
        <f>+INPUT!DX45</f>
        <v>0.75010479280948061</v>
      </c>
      <c r="CZ175" s="456">
        <f>+INPUT!DY45</f>
        <v>-2.4242424242424243</v>
      </c>
      <c r="DA175" s="438">
        <f>+INPUT!DZ45</f>
        <v>4.3050732039495898</v>
      </c>
      <c r="DB175" s="456">
        <f>+INPUT!EA45</f>
        <v>-2.2938818664222</v>
      </c>
      <c r="DC175" s="438">
        <f>+INPUT!EB45</f>
        <v>-0.29650182445234918</v>
      </c>
      <c r="DD175" s="456">
        <f>+INPUT!EC45</f>
        <v>-2.3719228656044384</v>
      </c>
      <c r="DE175" s="438">
        <f>+INPUT!ED45</f>
        <v>2.5524674318634624</v>
      </c>
      <c r="DF175" s="456">
        <f>+INPUT!EE45</f>
        <v>-2.404952774029685</v>
      </c>
      <c r="DG175" s="438">
        <f>+INPUT!EF45</f>
        <v>4.4098826678183656</v>
      </c>
      <c r="DH175" s="456">
        <f>+INPUT!EG45</f>
        <v>-2.3266173024408823</v>
      </c>
      <c r="DI175" s="438">
        <f>+INPUT!EH45</f>
        <v>-4.0270362743136161</v>
      </c>
      <c r="DJ175" s="456">
        <f>+INPUT!EI45</f>
        <v>-2.361459930199941</v>
      </c>
      <c r="DK175" s="438">
        <f>+INPUT!EJ45</f>
        <v>2.9460132523364564</v>
      </c>
      <c r="DL175" s="456">
        <f>+INPUT!EK45</f>
        <v>-2.3617930242938212</v>
      </c>
      <c r="DM175" s="438">
        <f>+INPUT!EL45</f>
        <v>-0.42707296504079295</v>
      </c>
      <c r="DN175" s="456">
        <f>+INPUT!EM45</f>
        <v>-2.3517292496325424</v>
      </c>
      <c r="DO175" s="438">
        <f>+INPUT!EN45</f>
        <v>-2.2130798147841517</v>
      </c>
      <c r="DP175" s="456">
        <f>+INPUT!EO45</f>
        <v>-2.3317931983196285</v>
      </c>
      <c r="DQ175" s="438">
        <f>+INPUT!EP45</f>
        <v>0.22246442822016377</v>
      </c>
      <c r="DR175" s="456">
        <f>+INPUT!EQ45</f>
        <v>-2.3317931983196285</v>
      </c>
      <c r="DS175" s="438">
        <f>+INPUT!ER45</f>
        <v>-1.2562877523736233</v>
      </c>
      <c r="DT175" s="456">
        <f>+INPUT!ES45</f>
        <v>-2.3317931983196285</v>
      </c>
      <c r="DU175" s="438">
        <f>+INPUT!ET45</f>
        <v>-1.2702140139126925</v>
      </c>
      <c r="DV175" s="456">
        <f>+INPUT!EU45</f>
        <v>-2.3317931983196285</v>
      </c>
      <c r="DW175" s="438">
        <f>+INPUT!EV45</f>
        <v>-0.84771881440130414</v>
      </c>
      <c r="DX175" s="456">
        <f>+INPUT!EW45</f>
        <v>-2.3317931983196285</v>
      </c>
      <c r="DY175" s="438">
        <f>+INPUT!EX45</f>
        <v>0</v>
      </c>
      <c r="DZ175" s="456"/>
      <c r="EA175" s="438"/>
      <c r="EB175" s="439">
        <f>+INPUT!FI45</f>
        <v>0</v>
      </c>
      <c r="EC175" s="457">
        <f>+INPUT!FJ45</f>
        <v>-4.002354326074161</v>
      </c>
      <c r="ED175" s="439">
        <f>+INPUT!FK45</f>
        <v>0</v>
      </c>
      <c r="EE175" s="457">
        <f>+INPUT!FL45</f>
        <v>-10.483765810405529</v>
      </c>
      <c r="EF175" s="439">
        <f>+INPUT!FM45</f>
        <v>0</v>
      </c>
      <c r="EG175" s="457">
        <f>+INPUT!FN45</f>
        <v>-5.3789619786570801</v>
      </c>
      <c r="EH175" s="439">
        <f>+INPUT!FO45</f>
        <v>0</v>
      </c>
      <c r="EI175" s="457">
        <f>+INPUT!FP45</f>
        <v>-5.7024758530515838</v>
      </c>
      <c r="EJ175" s="438">
        <f>+INPUT!FQ45</f>
        <v>0</v>
      </c>
      <c r="EK175" s="457">
        <f>+INPUT!FR45</f>
        <v>-7.3732718894009217</v>
      </c>
      <c r="EL175" s="438">
        <f>+INPUT!FS45</f>
        <v>0</v>
      </c>
      <c r="EM175" s="457">
        <f>+INPUT!FT45</f>
        <v>-6.8674133190262223</v>
      </c>
      <c r="EN175" s="438">
        <f>+INPUT!FU45</f>
        <v>0</v>
      </c>
      <c r="EO175" s="457">
        <f>+INPUT!FV45</f>
        <v>-5.581974355782398</v>
      </c>
      <c r="EP175" s="438">
        <f>+INPUT!FW45</f>
        <v>0</v>
      </c>
      <c r="EQ175" s="456">
        <f>+INPUT!FX45</f>
        <v>-7.0725082073758063</v>
      </c>
      <c r="ER175" s="438">
        <f>+INPUT!FY45</f>
        <v>0</v>
      </c>
      <c r="ES175" s="456">
        <f>+INPUT!FZ45</f>
        <v>-8.2763074553832006</v>
      </c>
      <c r="ET175" s="438">
        <f>+INPUT!GA45</f>
        <v>0</v>
      </c>
      <c r="EU175" s="456">
        <f>+INPUT!GB45</f>
        <v>-2.1866572869035057</v>
      </c>
      <c r="EV175" s="438">
        <f>+INPUT!GC45</f>
        <v>0</v>
      </c>
      <c r="EW175" s="456">
        <f>+INPUT!GD45</f>
        <v>-2.4393355384853703</v>
      </c>
      <c r="EX175" s="438">
        <f>+INPUT!GE45</f>
        <v>0</v>
      </c>
      <c r="EY175" s="456">
        <f>+INPUT!GF45</f>
        <v>-2.4269041395659841</v>
      </c>
      <c r="EZ175" s="438">
        <f>+INPUT!GG45</f>
        <v>0</v>
      </c>
      <c r="FA175" s="456">
        <f>+INPUT!GH45</f>
        <v>-2.3240976426724798</v>
      </c>
      <c r="FB175" s="438">
        <f>+INPUT!GI45</f>
        <v>-4.2361169202129929</v>
      </c>
      <c r="FC175" s="456">
        <f>+INPUT!GJ45</f>
        <v>-2.3129549982912376</v>
      </c>
      <c r="FD175" s="438">
        <f>+INPUT!GK45</f>
        <v>-0.47943959740129571</v>
      </c>
      <c r="FE175" s="456">
        <f>+INPUT!GL45</f>
        <v>-2.3768577565728277</v>
      </c>
      <c r="FF175" s="438">
        <f>+INPUT!GM45</f>
        <v>2.7628189190364765</v>
      </c>
      <c r="FG175" s="456">
        <f>+INPUT!GN45</f>
        <v>-2.4214749339508792</v>
      </c>
      <c r="FH175" s="438">
        <f>+INPUT!GO45</f>
        <v>1.8771496634440723</v>
      </c>
      <c r="FI175" s="456">
        <f>+INPUT!GP45</f>
        <v>-2.2897339234349339</v>
      </c>
      <c r="FJ175" s="438">
        <f>+INPUT!GQ45</f>
        <v>-5.4405275342246426</v>
      </c>
      <c r="FK175" s="456">
        <f>+INPUT!GR45</f>
        <v>-2.2897339234349339</v>
      </c>
      <c r="FL175" s="438">
        <f>+INPUT!GS45</f>
        <v>0</v>
      </c>
      <c r="FM175" s="456">
        <f>+INPUT!GT45</f>
        <v>-2.2897339234349339</v>
      </c>
      <c r="FN175" s="438">
        <f>+INPUT!GU45</f>
        <v>0</v>
      </c>
      <c r="FO175" s="456">
        <f>+INPUT!GV45</f>
        <v>-2.2897339234349339</v>
      </c>
      <c r="FP175" s="438">
        <f>+INPUT!GW45</f>
        <v>0</v>
      </c>
      <c r="FQ175" s="456">
        <f>+INPUT!GX45</f>
        <v>-2.2897339234349339</v>
      </c>
      <c r="FR175" s="438">
        <f>+INPUT!GY45</f>
        <v>0</v>
      </c>
      <c r="FS175" s="438">
        <f>+INPUT!GZ45</f>
        <v>0</v>
      </c>
    </row>
    <row r="176" spans="1:175" s="529" customFormat="1" ht="12.75" hidden="1" customHeight="1" outlineLevel="1" x14ac:dyDescent="0.2">
      <c r="A176" s="441" t="str">
        <f>+INPUT!B46</f>
        <v>Inv Perf/BOP AUM (%)</v>
      </c>
      <c r="B176" s="457">
        <f>+INPUT!AA46</f>
        <v>-4.6942234971965053</v>
      </c>
      <c r="C176" s="439">
        <f>+INPUT!AB46</f>
        <v>0</v>
      </c>
      <c r="D176" s="457">
        <f>+INPUT!AC46</f>
        <v>65.405947210157038</v>
      </c>
      <c r="E176" s="439">
        <f>+INPUT!AD46</f>
        <v>0</v>
      </c>
      <c r="F176" s="457">
        <f>+INPUT!AE46</f>
        <v>9.9547511312217196</v>
      </c>
      <c r="G176" s="439">
        <f>+INPUT!AF46</f>
        <v>0</v>
      </c>
      <c r="H176" s="457">
        <f>+INPUT!AG46</f>
        <v>30.106578463800069</v>
      </c>
      <c r="I176" s="439">
        <f>+INPUT!AH46</f>
        <v>0</v>
      </c>
      <c r="J176" s="457">
        <f>+INPUT!AI46</f>
        <v>7.6725295228560375</v>
      </c>
      <c r="K176" s="439">
        <f>+INPUT!AJ46</f>
        <v>0</v>
      </c>
      <c r="L176" s="457">
        <f>+INPUT!AK46</f>
        <v>0.74903027330687943</v>
      </c>
      <c r="M176" s="439">
        <f>+INPUT!AL46</f>
        <v>0</v>
      </c>
      <c r="N176" s="457">
        <f>+INPUT!AM46</f>
        <v>-1.2998864825160816</v>
      </c>
      <c r="O176" s="439">
        <f>+INPUT!AN46</f>
        <v>0</v>
      </c>
      <c r="P176" s="457">
        <f>+INPUT!AO46</f>
        <v>29.770202815127938</v>
      </c>
      <c r="Q176" s="439">
        <f>+INPUT!AP46</f>
        <v>0</v>
      </c>
      <c r="R176" s="457">
        <f>+INPUT!AQ46</f>
        <v>-6.5291661394407186</v>
      </c>
      <c r="S176" s="439">
        <f>+INPUT!AR46</f>
        <v>0</v>
      </c>
      <c r="T176" s="457">
        <f>+INPUT!AS46</f>
        <v>8.7526408830250499</v>
      </c>
      <c r="U176" s="439">
        <f>+INPUT!AT46</f>
        <v>0</v>
      </c>
      <c r="V176" s="457">
        <f>+INPUT!AU46</f>
        <v>15.830555672756425</v>
      </c>
      <c r="W176" s="439">
        <f>+INPUT!AV46</f>
        <v>0</v>
      </c>
      <c r="X176" s="457">
        <f>+INPUT!AW46</f>
        <v>8.9402635195214621</v>
      </c>
      <c r="Y176" s="439">
        <f>+INPUT!AX46</f>
        <v>0</v>
      </c>
      <c r="Z176" s="457">
        <f>+INPUT!AY46</f>
        <v>17.653314427507976</v>
      </c>
      <c r="AA176" s="439">
        <f>+INPUT!AZ46</f>
        <v>0</v>
      </c>
      <c r="AB176" s="457">
        <f>+INPUT!BA46</f>
        <v>-7.5214832364942366</v>
      </c>
      <c r="AC176" s="439">
        <f>+INPUT!BB46</f>
        <v>0</v>
      </c>
      <c r="AD176" s="457">
        <f>+INPUT!BC46</f>
        <v>11.696484369322889</v>
      </c>
      <c r="AE176" s="439">
        <f>+INPUT!BD46</f>
        <v>0</v>
      </c>
      <c r="AF176" s="457">
        <f>+INPUT!BE46</f>
        <v>23.856565799730706</v>
      </c>
      <c r="AG176" s="439">
        <f>+INPUT!BF46</f>
        <v>0</v>
      </c>
      <c r="AH176" s="457">
        <f>+INPUT!BG46</f>
        <v>6.266514653611428</v>
      </c>
      <c r="AI176" s="438">
        <f>+INPUT!BH46</f>
        <v>0</v>
      </c>
      <c r="AJ176" s="457">
        <f>+INPUT!BI46</f>
        <v>18.404307391091532</v>
      </c>
      <c r="AK176" s="438">
        <f>+INPUT!BJ46</f>
        <v>0</v>
      </c>
      <c r="AL176" s="457">
        <f>+INPUT!BK46</f>
        <v>11.624962009928073</v>
      </c>
      <c r="AM176" s="438">
        <f>+INPUT!BL46</f>
        <v>0</v>
      </c>
      <c r="AN176" s="457">
        <f>+INPUT!BM46</f>
        <v>-4.2625010779446368</v>
      </c>
      <c r="AO176" s="438">
        <f>+INPUT!BN46</f>
        <v>0</v>
      </c>
      <c r="AP176" s="457">
        <f>+INPUT!BO46</f>
        <v>-26.933897672102574</v>
      </c>
      <c r="AQ176" s="438">
        <f>+INPUT!BP46</f>
        <v>0</v>
      </c>
      <c r="AR176" s="457">
        <f>+INPUT!BQ46</f>
        <v>-1.3124024700908279</v>
      </c>
      <c r="AS176" s="438">
        <f>+INPUT!BR46</f>
        <v>0</v>
      </c>
      <c r="AT176" s="457">
        <f>+INPUT!BS46</f>
        <v>-35.937730065455717</v>
      </c>
      <c r="AU176" s="438">
        <f>+INPUT!BT46</f>
        <v>0</v>
      </c>
      <c r="AV176" s="457">
        <f>+INPUT!BU46</f>
        <v>-46.998587570621467</v>
      </c>
      <c r="AW176" s="438">
        <f>+INPUT!BV46</f>
        <v>0</v>
      </c>
      <c r="AX176" s="457">
        <f>+INPUT!BW46</f>
        <v>-15.124902094755614</v>
      </c>
      <c r="AY176" s="438">
        <f>+INPUT!BX46</f>
        <v>0</v>
      </c>
      <c r="AZ176" s="457">
        <f>+INPUT!BY46</f>
        <v>38.424631528079807</v>
      </c>
      <c r="BA176" s="438">
        <f>+INPUT!BZ46</f>
        <v>0</v>
      </c>
      <c r="BB176" s="457">
        <f>+INPUT!CA46</f>
        <v>40.860842716477983</v>
      </c>
      <c r="BC176" s="438">
        <f>+INPUT!CB46</f>
        <v>0</v>
      </c>
      <c r="BD176" s="457">
        <f>+INPUT!CC46</f>
        <v>12.024705400007935</v>
      </c>
      <c r="BE176" s="438">
        <f>+INPUT!CD46</f>
        <v>0</v>
      </c>
      <c r="BF176" s="456">
        <f>+INPUT!CE46</f>
        <v>11.366261379301781</v>
      </c>
      <c r="BG176" s="438">
        <f>+INPUT!CF46</f>
        <v>0</v>
      </c>
      <c r="BH176" s="456">
        <f>+INPUT!CG46</f>
        <v>-22.413005540003983</v>
      </c>
      <c r="BI176" s="438">
        <f>+INPUT!CH46</f>
        <v>0</v>
      </c>
      <c r="BJ176" s="456">
        <f>+INPUT!CI46</f>
        <v>32.328065747131937</v>
      </c>
      <c r="BK176" s="438">
        <f>+INPUT!CJ46</f>
        <v>0</v>
      </c>
      <c r="BL176" s="456">
        <f>+INPUT!CK46</f>
        <v>23.509504685408299</v>
      </c>
      <c r="BM176" s="438">
        <f>+INPUT!CL46</f>
        <v>0</v>
      </c>
      <c r="BN176" s="456">
        <f>+INPUT!CM46</f>
        <v>13.882049478250675</v>
      </c>
      <c r="BO176" s="438">
        <f>+INPUT!CN46</f>
        <v>0</v>
      </c>
      <c r="BP176" s="456">
        <f>+INPUT!CO46</f>
        <v>1.7932326382889723</v>
      </c>
      <c r="BQ176" s="438">
        <f>+INPUT!CP46</f>
        <v>0</v>
      </c>
      <c r="BR176" s="456">
        <f>+INPUT!CQ46</f>
        <v>-40.391436872783018</v>
      </c>
      <c r="BS176" s="438">
        <f>+INPUT!CR46</f>
        <v>0</v>
      </c>
      <c r="BT176" s="456">
        <f>+INPUT!CS46</f>
        <v>18.798783036382545</v>
      </c>
      <c r="BU176" s="438">
        <f>+INPUT!CT46</f>
        <v>0</v>
      </c>
      <c r="BV176" s="456">
        <f>+INPUT!CU46</f>
        <v>29.782309577831846</v>
      </c>
      <c r="BW176" s="438">
        <f>+INPUT!CV46</f>
        <v>0</v>
      </c>
      <c r="BX176" s="456">
        <f>+INPUT!CW46</f>
        <v>-9.1190262396488073</v>
      </c>
      <c r="BY176" s="438">
        <f>+INPUT!CX46</f>
        <v>0</v>
      </c>
      <c r="BZ176" s="456">
        <f>+INPUT!CY46</f>
        <v>17.499127370643087</v>
      </c>
      <c r="CA176" s="438">
        <f>+INPUT!CZ46</f>
        <v>0</v>
      </c>
      <c r="CB176" s="456">
        <f>+INPUT!DA46</f>
        <v>5.2330766427037041</v>
      </c>
      <c r="CC176" s="438">
        <f>+INPUT!DB46</f>
        <v>0</v>
      </c>
      <c r="CD176" s="456">
        <f>+INPUT!DC46</f>
        <v>18.354507324782688</v>
      </c>
      <c r="CE176" s="438">
        <f>+INPUT!DD46</f>
        <v>0</v>
      </c>
      <c r="CF176" s="456">
        <f>+INPUT!DE46</f>
        <v>-1.9160780816203231</v>
      </c>
      <c r="CG176" s="438">
        <f>+INPUT!DF46</f>
        <v>0</v>
      </c>
      <c r="CH176" s="456">
        <f>+INPUT!DG46</f>
        <v>18.810379241516966</v>
      </c>
      <c r="CI176" s="438">
        <f>+INPUT!DH46</f>
        <v>0</v>
      </c>
      <c r="CJ176" s="456">
        <f>+INPUT!DI46</f>
        <v>21.163976979338468</v>
      </c>
      <c r="CK176" s="438">
        <f>+INPUT!DJ46</f>
        <v>0</v>
      </c>
      <c r="CL176" s="456">
        <f>+INPUT!DK46</f>
        <v>5.8325081247050843</v>
      </c>
      <c r="CM176" s="438">
        <f>+INPUT!DL46</f>
        <v>0</v>
      </c>
      <c r="CN176" s="456">
        <f>+INPUT!DM46</f>
        <v>13.404564041683157</v>
      </c>
      <c r="CO176" s="438" t="str">
        <f>+INPUT!DN46</f>
        <v>NM</v>
      </c>
      <c r="CP176" s="456">
        <f>+INPUT!DO46</f>
        <v>-4.8521393290140482</v>
      </c>
      <c r="CQ176" s="438" t="str">
        <f>+INPUT!DP46</f>
        <v>NM</v>
      </c>
      <c r="CR176" s="456">
        <f>+INPUT!DQ46</f>
        <v>7.6907006502493935</v>
      </c>
      <c r="CS176" s="438" t="str">
        <f>+INPUT!DR46</f>
        <v>NM</v>
      </c>
      <c r="CT176" s="456">
        <f>+INPUT!DS46</f>
        <v>9.5768072580489161</v>
      </c>
      <c r="CU176" s="438">
        <f>+INPUT!DT46</f>
        <v>64.197066738473836</v>
      </c>
      <c r="CV176" s="456">
        <f>+INPUT!DU46</f>
        <v>-2.4956839646592872</v>
      </c>
      <c r="CW176" s="438" t="str">
        <f>+INPUT!DV46</f>
        <v>NM</v>
      </c>
      <c r="CX176" s="456">
        <f>+INPUT!DW46</f>
        <v>-19.543957175211034</v>
      </c>
      <c r="CY176" s="438" t="str">
        <f>+INPUT!DX46</f>
        <v>NM</v>
      </c>
      <c r="CZ176" s="456">
        <f>+INPUT!DY46</f>
        <v>10.659576643828613</v>
      </c>
      <c r="DA176" s="438">
        <f>+INPUT!DZ46</f>
        <v>38.603452774916491</v>
      </c>
      <c r="DB176" s="456">
        <f>+INPUT!EA46</f>
        <v>2.0449541959703157</v>
      </c>
      <c r="DC176" s="438" t="str">
        <f>+INPUT!EB46</f>
        <v>NM</v>
      </c>
      <c r="DD176" s="456">
        <f>+INPUT!EC46</f>
        <v>7.7000388620130522</v>
      </c>
      <c r="DE176" s="438" t="str">
        <f>+INPUT!ED46</f>
        <v>NM</v>
      </c>
      <c r="DF176" s="456">
        <f>+INPUT!EE46</f>
        <v>12.903140460883138</v>
      </c>
      <c r="DG176" s="438" t="str">
        <f>+INPUT!EF46</f>
        <v>NM</v>
      </c>
      <c r="DH176" s="456">
        <f>+INPUT!EG46</f>
        <v>0.32020038346578183</v>
      </c>
      <c r="DI176" s="438" t="str">
        <f>+INPUT!EH46</f>
        <v>NM</v>
      </c>
      <c r="DJ176" s="456">
        <f>+INPUT!EI46</f>
        <v>15.006360285723606</v>
      </c>
      <c r="DK176" s="438" t="str">
        <f>+INPUT!EJ46</f>
        <v>NM</v>
      </c>
      <c r="DL176" s="456">
        <f>+INPUT!EK46</f>
        <v>11.676337435439647</v>
      </c>
      <c r="DM176" s="438">
        <f>+INPUT!EL46</f>
        <v>51.639980585592212</v>
      </c>
      <c r="DN176" s="456">
        <f>+INPUT!EM46</f>
        <v>12.989786560470346</v>
      </c>
      <c r="DO176" s="438">
        <f>+INPUT!EN46</f>
        <v>0.67151171336841742</v>
      </c>
      <c r="DP176" s="456">
        <f>+INPUT!EO46</f>
        <v>13.556478128643427</v>
      </c>
      <c r="DQ176" s="438" t="str">
        <f>+INPUT!EP46</f>
        <v>NM</v>
      </c>
      <c r="DR176" s="456">
        <f>+INPUT!EQ46</f>
        <v>-3.36</v>
      </c>
      <c r="DS176" s="438" t="str">
        <f>+INPUT!ER46</f>
        <v>NM</v>
      </c>
      <c r="DT176" s="456">
        <f>+INPUT!ES46</f>
        <v>5.6</v>
      </c>
      <c r="DU176" s="438" t="str">
        <f>+INPUT!ET46</f>
        <v>NM</v>
      </c>
      <c r="DV176" s="456">
        <f>+INPUT!EU46</f>
        <v>5.5999999999999988</v>
      </c>
      <c r="DW176" s="438" t="str">
        <f>+INPUT!EV46</f>
        <v>NM</v>
      </c>
      <c r="DX176" s="456">
        <f>+INPUT!EW46</f>
        <v>5.6000000000000005</v>
      </c>
      <c r="DY176" s="438" t="str">
        <f>+INPUT!EX46</f>
        <v>NM</v>
      </c>
      <c r="DZ176" s="456"/>
      <c r="EA176" s="438"/>
      <c r="EB176" s="439">
        <f>+INPUT!FI46</f>
        <v>0</v>
      </c>
      <c r="EC176" s="457">
        <f>+INPUT!FJ46</f>
        <v>-12.065921130076514</v>
      </c>
      <c r="ED176" s="439">
        <f>+INPUT!FK46</f>
        <v>0</v>
      </c>
      <c r="EE176" s="457">
        <f>+INPUT!FL46</f>
        <v>41.263528491328728</v>
      </c>
      <c r="EF176" s="439">
        <f>+INPUT!FM46</f>
        <v>0</v>
      </c>
      <c r="EG176" s="457">
        <f>+INPUT!FN46</f>
        <v>9.3085166897995393</v>
      </c>
      <c r="EH176" s="439">
        <f>+INPUT!FO46</f>
        <v>0</v>
      </c>
      <c r="EI176" s="457">
        <f>+INPUT!FP46</f>
        <v>6.7969969210004644</v>
      </c>
      <c r="EJ176" s="438">
        <f>+INPUT!FQ46</f>
        <v>0</v>
      </c>
      <c r="EK176" s="457">
        <f>+INPUT!FR46</f>
        <v>14.693371144984049</v>
      </c>
      <c r="EL176" s="438">
        <f>+INPUT!FS46</f>
        <v>0</v>
      </c>
      <c r="EM176" s="457">
        <f>+INPUT!FT46</f>
        <v>8.1496881496881493</v>
      </c>
      <c r="EN176" s="438">
        <f>+INPUT!FU46</f>
        <v>0</v>
      </c>
      <c r="EO176" s="457">
        <f>+INPUT!FV46</f>
        <v>-25.336735964147888</v>
      </c>
      <c r="EP176" s="438">
        <f>+INPUT!FW46</f>
        <v>0</v>
      </c>
      <c r="EQ176" s="456">
        <f>+INPUT!FX46</f>
        <v>20.364290832736181</v>
      </c>
      <c r="ER176" s="438">
        <f>+INPUT!FY46</f>
        <v>0</v>
      </c>
      <c r="ES176" s="456">
        <f>+INPUT!FZ46</f>
        <v>12.106459344999317</v>
      </c>
      <c r="ET176" s="438">
        <f>+INPUT!GA46</f>
        <v>0</v>
      </c>
      <c r="EU176" s="456">
        <f>+INPUT!GB46</f>
        <v>-2.3937937233751514</v>
      </c>
      <c r="EV176" s="438">
        <f>+INPUT!GC46</f>
        <v>0</v>
      </c>
      <c r="EW176" s="456">
        <f>+INPUT!GD46</f>
        <v>11.280901743163572</v>
      </c>
      <c r="EX176" s="438">
        <f>+INPUT!GE46</f>
        <v>0</v>
      </c>
      <c r="EY176" s="456">
        <f>+INPUT!GF46</f>
        <v>14.782536016047656</v>
      </c>
      <c r="EZ176" s="438">
        <f>+INPUT!GG46</f>
        <v>0</v>
      </c>
      <c r="FA176" s="456">
        <f>+INPUT!GH46</f>
        <v>5.5354330185356257</v>
      </c>
      <c r="FB176" s="438" t="str">
        <f>+INPUT!GI46</f>
        <v>NM</v>
      </c>
      <c r="FC176" s="456">
        <f>+INPUT!GJ46</f>
        <v>-0.615799281674974</v>
      </c>
      <c r="FD176" s="438" t="str">
        <f>+INPUT!GK46</f>
        <v>NM</v>
      </c>
      <c r="FE176" s="456">
        <f>+INPUT!GL46</f>
        <v>5.7802075735574574</v>
      </c>
      <c r="FF176" s="438" t="str">
        <f>+INPUT!GM46</f>
        <v>NM</v>
      </c>
      <c r="FG176" s="456">
        <f>+INPUT!GN46</f>
        <v>13.694510584167782</v>
      </c>
      <c r="FH176" s="438" t="str">
        <f>+INPUT!GO46</f>
        <v>NM</v>
      </c>
      <c r="FI176" s="456">
        <f>+INPUT!GP46</f>
        <v>3.2589910685372856</v>
      </c>
      <c r="FJ176" s="438" t="str">
        <f>+INPUT!GQ46</f>
        <v>NM</v>
      </c>
      <c r="FK176" s="456">
        <f>+INPUT!GR46</f>
        <v>5.5999999999999988</v>
      </c>
      <c r="FL176" s="438">
        <f>+INPUT!GS46</f>
        <v>71.832321176425154</v>
      </c>
      <c r="FM176" s="456">
        <f>+INPUT!GT46</f>
        <v>5.6000000000000005</v>
      </c>
      <c r="FN176" s="438">
        <f>+INPUT!GU46</f>
        <v>2.8421709430404007E-14</v>
      </c>
      <c r="FO176" s="456">
        <f>+INPUT!GV46</f>
        <v>5.5999999999999988</v>
      </c>
      <c r="FP176" s="438">
        <f>+INPUT!GW46</f>
        <v>-2.8421709430404007E-14</v>
      </c>
      <c r="FQ176" s="456">
        <f>+INPUT!GX46</f>
        <v>5.6</v>
      </c>
      <c r="FR176" s="438">
        <f>+INPUT!GY46</f>
        <v>2.8421709430404007E-14</v>
      </c>
      <c r="FS176" s="438">
        <f>+INPUT!GZ46</f>
        <v>0</v>
      </c>
    </row>
    <row r="177" spans="1:175" s="529" customFormat="1" ht="12.75" hidden="1" customHeight="1" outlineLevel="1" x14ac:dyDescent="0.2">
      <c r="A177" s="441"/>
      <c r="B177" s="457"/>
      <c r="C177" s="439"/>
      <c r="D177" s="457"/>
      <c r="E177" s="439"/>
      <c r="F177" s="457"/>
      <c r="G177" s="439"/>
      <c r="H177" s="457"/>
      <c r="I177" s="439"/>
      <c r="J177" s="457"/>
      <c r="K177" s="439"/>
      <c r="L177" s="457"/>
      <c r="M177" s="439"/>
      <c r="N177" s="457"/>
      <c r="O177" s="439"/>
      <c r="P177" s="457"/>
      <c r="Q177" s="439"/>
      <c r="R177" s="457"/>
      <c r="S177" s="439"/>
      <c r="T177" s="457"/>
      <c r="U177" s="439"/>
      <c r="V177" s="457"/>
      <c r="W177" s="439"/>
      <c r="X177" s="457"/>
      <c r="Y177" s="439"/>
      <c r="Z177" s="457"/>
      <c r="AA177" s="439"/>
      <c r="AB177" s="457"/>
      <c r="AC177" s="439"/>
      <c r="AD177" s="457"/>
      <c r="AE177" s="439"/>
      <c r="AF177" s="457"/>
      <c r="AG177" s="439"/>
      <c r="AH177" s="457"/>
      <c r="AI177" s="438"/>
      <c r="AJ177" s="457"/>
      <c r="AK177" s="438"/>
      <c r="AL177" s="457"/>
      <c r="AM177" s="438"/>
      <c r="AN177" s="457"/>
      <c r="AO177" s="438"/>
      <c r="AP177" s="457"/>
      <c r="AQ177" s="438"/>
      <c r="AR177" s="457"/>
      <c r="AS177" s="438"/>
      <c r="AT177" s="457"/>
      <c r="AU177" s="438"/>
      <c r="AV177" s="457"/>
      <c r="AW177" s="438"/>
      <c r="AX177" s="457"/>
      <c r="AY177" s="438"/>
      <c r="AZ177" s="457"/>
      <c r="BA177" s="438"/>
      <c r="BB177" s="457"/>
      <c r="BC177" s="438"/>
      <c r="BD177" s="457"/>
      <c r="BE177" s="438"/>
      <c r="BF177" s="457"/>
      <c r="BG177" s="438"/>
      <c r="BH177" s="457"/>
      <c r="BI177" s="438"/>
      <c r="BJ177" s="457"/>
      <c r="BK177" s="438"/>
      <c r="BL177" s="457"/>
      <c r="BM177" s="438"/>
      <c r="BN177" s="457"/>
      <c r="BO177" s="438"/>
      <c r="BP177" s="457"/>
      <c r="BQ177" s="438"/>
      <c r="BR177" s="457"/>
      <c r="BS177" s="438"/>
      <c r="BT177" s="457"/>
      <c r="BU177" s="438"/>
      <c r="BV177" s="457"/>
      <c r="BW177" s="438"/>
      <c r="BX177" s="457"/>
      <c r="BY177" s="438"/>
      <c r="BZ177" s="457"/>
      <c r="CA177" s="438"/>
      <c r="CB177" s="457"/>
      <c r="CC177" s="438"/>
      <c r="CD177" s="457"/>
      <c r="CE177" s="438"/>
      <c r="CF177" s="457"/>
      <c r="CG177" s="438"/>
      <c r="CH177" s="457"/>
      <c r="CI177" s="438"/>
      <c r="CJ177" s="457"/>
      <c r="CK177" s="438"/>
      <c r="CL177" s="457"/>
      <c r="CM177" s="438"/>
      <c r="CN177" s="457"/>
      <c r="CO177" s="438"/>
      <c r="CP177" s="457"/>
      <c r="CQ177" s="438"/>
      <c r="CR177" s="457"/>
      <c r="CS177" s="438"/>
      <c r="CT177" s="457"/>
      <c r="CU177" s="438"/>
      <c r="CV177" s="457"/>
      <c r="CW177" s="438"/>
      <c r="CX177" s="457"/>
      <c r="CY177" s="438"/>
      <c r="CZ177" s="457"/>
      <c r="DA177" s="438"/>
      <c r="DB177" s="457"/>
      <c r="DC177" s="438"/>
      <c r="DD177" s="457"/>
      <c r="DE177" s="438"/>
      <c r="DF177" s="457"/>
      <c r="DG177" s="438"/>
      <c r="DH177" s="457"/>
      <c r="DI177" s="438"/>
      <c r="DJ177" s="457"/>
      <c r="DK177" s="438"/>
      <c r="DL177" s="457"/>
      <c r="DM177" s="438"/>
      <c r="DN177" s="457"/>
      <c r="DO177" s="438"/>
      <c r="DP177" s="457"/>
      <c r="DQ177" s="438"/>
      <c r="DR177" s="457"/>
      <c r="DS177" s="438"/>
      <c r="DT177" s="457"/>
      <c r="DU177" s="438"/>
      <c r="DV177" s="457"/>
      <c r="DW177" s="438"/>
      <c r="DX177" s="457"/>
      <c r="DY177" s="438"/>
      <c r="DZ177" s="457"/>
      <c r="EA177" s="438"/>
      <c r="EB177" s="439"/>
      <c r="EC177" s="457"/>
      <c r="ED177" s="439"/>
      <c r="EE177" s="457"/>
      <c r="EF177" s="439"/>
      <c r="EG177" s="457"/>
      <c r="EH177" s="439"/>
      <c r="EI177" s="457"/>
      <c r="EJ177" s="438"/>
      <c r="EK177" s="457"/>
      <c r="EL177" s="438"/>
      <c r="EM177" s="457"/>
      <c r="EN177" s="438"/>
      <c r="EO177" s="457"/>
      <c r="EP177" s="438"/>
      <c r="EQ177" s="457"/>
      <c r="ER177" s="438"/>
      <c r="ES177" s="457"/>
      <c r="ET177" s="438"/>
      <c r="EU177" s="457"/>
      <c r="EV177" s="438"/>
      <c r="EW177" s="457"/>
      <c r="EX177" s="438"/>
      <c r="EY177" s="457"/>
      <c r="EZ177" s="438"/>
      <c r="FA177" s="457"/>
      <c r="FB177" s="438"/>
      <c r="FC177" s="457"/>
      <c r="FD177" s="438"/>
      <c r="FE177" s="457"/>
      <c r="FF177" s="438"/>
      <c r="FG177" s="457"/>
      <c r="FH177" s="438"/>
      <c r="FI177" s="457"/>
      <c r="FJ177" s="438"/>
      <c r="FK177" s="457"/>
      <c r="FL177" s="438"/>
      <c r="FM177" s="457"/>
      <c r="FN177" s="438"/>
      <c r="FO177" s="457"/>
      <c r="FP177" s="438"/>
      <c r="FQ177" s="457"/>
      <c r="FR177" s="438"/>
      <c r="FS177" s="438"/>
    </row>
    <row r="178" spans="1:175" s="529" customFormat="1" ht="12.75" hidden="1" customHeight="1" outlineLevel="1" x14ac:dyDescent="0.2">
      <c r="A178" s="446" t="s">
        <v>455</v>
      </c>
      <c r="B178" s="449"/>
      <c r="C178" s="439"/>
      <c r="D178" s="449"/>
      <c r="E178" s="439"/>
      <c r="F178" s="449"/>
      <c r="G178" s="439"/>
      <c r="H178" s="449"/>
      <c r="I178" s="439"/>
      <c r="J178" s="449"/>
      <c r="K178" s="439"/>
      <c r="L178" s="449"/>
      <c r="M178" s="439"/>
      <c r="N178" s="449"/>
      <c r="O178" s="439"/>
      <c r="P178" s="449"/>
      <c r="Q178" s="439"/>
      <c r="R178" s="449"/>
      <c r="S178" s="439"/>
      <c r="T178" s="449"/>
      <c r="U178" s="439"/>
      <c r="V178" s="449"/>
      <c r="W178" s="439"/>
      <c r="X178" s="449"/>
      <c r="Y178" s="439"/>
      <c r="Z178" s="449"/>
      <c r="AA178" s="439"/>
      <c r="AB178" s="449"/>
      <c r="AC178" s="439"/>
      <c r="AD178" s="449"/>
      <c r="AE178" s="439"/>
      <c r="AF178" s="449"/>
      <c r="AG178" s="439"/>
      <c r="AH178" s="449"/>
      <c r="AI178" s="438"/>
      <c r="AJ178" s="449"/>
      <c r="AK178" s="438"/>
      <c r="AL178" s="449"/>
      <c r="AM178" s="438"/>
      <c r="AN178" s="449"/>
      <c r="AO178" s="438"/>
      <c r="AP178" s="449"/>
      <c r="AQ178" s="438"/>
      <c r="AR178" s="449"/>
      <c r="AS178" s="438"/>
      <c r="AT178" s="449"/>
      <c r="AU178" s="438"/>
      <c r="AV178" s="449"/>
      <c r="AW178" s="438"/>
      <c r="AX178" s="449"/>
      <c r="AY178" s="438"/>
      <c r="AZ178" s="449"/>
      <c r="BA178" s="438"/>
      <c r="BB178" s="449"/>
      <c r="BC178" s="438"/>
      <c r="BD178" s="449"/>
      <c r="BE178" s="438"/>
      <c r="BF178" s="449"/>
      <c r="BG178" s="438"/>
      <c r="BH178" s="449"/>
      <c r="BI178" s="438"/>
      <c r="BJ178" s="449"/>
      <c r="BK178" s="438"/>
      <c r="BL178" s="449"/>
      <c r="BM178" s="438"/>
      <c r="BN178" s="449"/>
      <c r="BO178" s="438"/>
      <c r="BP178" s="449"/>
      <c r="BQ178" s="438"/>
      <c r="BR178" s="449"/>
      <c r="BS178" s="438"/>
      <c r="BT178" s="449"/>
      <c r="BU178" s="438"/>
      <c r="BV178" s="449"/>
      <c r="BW178" s="438"/>
      <c r="BX178" s="449"/>
      <c r="BY178" s="438"/>
      <c r="BZ178" s="449"/>
      <c r="CA178" s="438"/>
      <c r="CB178" s="449"/>
      <c r="CC178" s="438"/>
      <c r="CD178" s="449"/>
      <c r="CE178" s="438"/>
      <c r="CF178" s="449"/>
      <c r="CG178" s="438"/>
      <c r="CH178" s="449"/>
      <c r="CI178" s="438"/>
      <c r="CJ178" s="449"/>
      <c r="CK178" s="438"/>
      <c r="CL178" s="449"/>
      <c r="CM178" s="438"/>
      <c r="CN178" s="449"/>
      <c r="CO178" s="438"/>
      <c r="CP178" s="449"/>
      <c r="CQ178" s="438"/>
      <c r="CR178" s="449"/>
      <c r="CS178" s="438"/>
      <c r="CT178" s="449"/>
      <c r="CU178" s="438"/>
      <c r="CV178" s="449"/>
      <c r="CW178" s="438"/>
      <c r="CX178" s="449"/>
      <c r="CY178" s="438"/>
      <c r="CZ178" s="449"/>
      <c r="DA178" s="438"/>
      <c r="DB178" s="449"/>
      <c r="DC178" s="438"/>
      <c r="DD178" s="449"/>
      <c r="DE178" s="438"/>
      <c r="DF178" s="449"/>
      <c r="DG178" s="438"/>
      <c r="DH178" s="449"/>
      <c r="DI178" s="438"/>
      <c r="DJ178" s="449"/>
      <c r="DK178" s="438"/>
      <c r="DL178" s="449"/>
      <c r="DM178" s="438"/>
      <c r="DN178" s="449"/>
      <c r="DO178" s="438"/>
      <c r="DP178" s="449"/>
      <c r="DQ178" s="438"/>
      <c r="DR178" s="449"/>
      <c r="DS178" s="438"/>
      <c r="DT178" s="449"/>
      <c r="DU178" s="438"/>
      <c r="DV178" s="449"/>
      <c r="DW178" s="438"/>
      <c r="DX178" s="449"/>
      <c r="DY178" s="438"/>
      <c r="DZ178" s="449"/>
      <c r="EA178" s="438"/>
      <c r="EB178" s="439"/>
      <c r="EC178" s="449"/>
      <c r="ED178" s="439"/>
      <c r="EE178" s="449"/>
      <c r="EF178" s="439"/>
      <c r="EG178" s="449"/>
      <c r="EH178" s="439"/>
      <c r="EI178" s="449"/>
      <c r="EJ178" s="438"/>
      <c r="EK178" s="449"/>
      <c r="EL178" s="438"/>
      <c r="EM178" s="449"/>
      <c r="EN178" s="438"/>
      <c r="EO178" s="449"/>
      <c r="EP178" s="438"/>
      <c r="EQ178" s="449"/>
      <c r="ER178" s="438"/>
      <c r="ES178" s="449"/>
      <c r="ET178" s="438"/>
      <c r="EU178" s="449"/>
      <c r="EV178" s="438"/>
      <c r="EW178" s="449"/>
      <c r="EX178" s="438"/>
      <c r="EY178" s="449"/>
      <c r="EZ178" s="438"/>
      <c r="FA178" s="449"/>
      <c r="FB178" s="438"/>
      <c r="FC178" s="449"/>
      <c r="FD178" s="438"/>
      <c r="FE178" s="449"/>
      <c r="FF178" s="438"/>
      <c r="FG178" s="449"/>
      <c r="FH178" s="438"/>
      <c r="FI178" s="449"/>
      <c r="FJ178" s="438"/>
      <c r="FK178" s="449"/>
      <c r="FL178" s="438"/>
      <c r="FM178" s="449"/>
      <c r="FN178" s="438"/>
      <c r="FO178" s="449"/>
      <c r="FP178" s="438"/>
      <c r="FQ178" s="449"/>
      <c r="FR178" s="438"/>
      <c r="FS178" s="438"/>
    </row>
    <row r="179" spans="1:175" s="529" customFormat="1" ht="12.75" hidden="1" customHeight="1" outlineLevel="1" x14ac:dyDescent="0.2">
      <c r="A179" s="441" t="str">
        <f>+INPUT!B50</f>
        <v>Beginning Reserves</v>
      </c>
      <c r="B179" s="449">
        <f>+INPUT!AA50</f>
        <v>3396</v>
      </c>
      <c r="C179" s="439">
        <f>+INPUT!AB50</f>
        <v>14.151260504201673</v>
      </c>
      <c r="D179" s="449">
        <f>+INPUT!AC50</f>
        <v>3473</v>
      </c>
      <c r="E179" s="439">
        <f>+INPUT!AD50</f>
        <v>19.388105878308707</v>
      </c>
      <c r="F179" s="449">
        <f>+INPUT!AE50</f>
        <v>3498</v>
      </c>
      <c r="G179" s="439">
        <f>+INPUT!AF50</f>
        <v>14.763779527559052</v>
      </c>
      <c r="H179" s="449">
        <f>+INPUT!AG50</f>
        <v>3523</v>
      </c>
      <c r="I179" s="439">
        <f>+INPUT!AH50</f>
        <v>8.0674846625767032</v>
      </c>
      <c r="J179" s="449">
        <f>+INPUT!AI50</f>
        <v>3514</v>
      </c>
      <c r="K179" s="439">
        <f>+INPUT!AJ50</f>
        <v>3.4746760895170752</v>
      </c>
      <c r="L179" s="449">
        <f>+INPUT!AK50</f>
        <v>3574</v>
      </c>
      <c r="M179" s="439">
        <f>+INPUT!AL50</f>
        <v>2.908148574719263</v>
      </c>
      <c r="N179" s="449">
        <f>+INPUT!AM50</f>
        <v>3722</v>
      </c>
      <c r="O179" s="439">
        <f>+INPUT!AN50</f>
        <v>6.4036592338479181</v>
      </c>
      <c r="P179" s="449">
        <f>+INPUT!AO50</f>
        <v>3860</v>
      </c>
      <c r="Q179" s="439">
        <f>+INPUT!AP50</f>
        <v>9.5657110417258053</v>
      </c>
      <c r="R179" s="449">
        <f>+INPUT!AQ50</f>
        <v>3879</v>
      </c>
      <c r="S179" s="439">
        <f>+INPUT!AR50</f>
        <v>10.387023335230509</v>
      </c>
      <c r="T179" s="449">
        <f>+INPUT!AS50</f>
        <v>3879</v>
      </c>
      <c r="U179" s="439">
        <f>+INPUT!AT50</f>
        <v>8.5338556239507426</v>
      </c>
      <c r="V179" s="449">
        <f>+INPUT!AU50</f>
        <v>4064</v>
      </c>
      <c r="W179" s="439">
        <f>+INPUT!AV50</f>
        <v>9.188608275120913</v>
      </c>
      <c r="X179" s="449">
        <f>+INPUT!AW50</f>
        <v>4033</v>
      </c>
      <c r="Y179" s="439">
        <f>+INPUT!AX50</f>
        <v>4.4818652849740914</v>
      </c>
      <c r="Z179" s="449">
        <f>+INPUT!AY50</f>
        <v>3991</v>
      </c>
      <c r="AA179" s="439">
        <f>+INPUT!AZ50</f>
        <v>2.8873420984789817</v>
      </c>
      <c r="AB179" s="449">
        <f>+INPUT!BA50</f>
        <v>3941</v>
      </c>
      <c r="AC179" s="439">
        <f>+INPUT!BB50</f>
        <v>1.5983500902294452</v>
      </c>
      <c r="AD179" s="449">
        <f>+INPUT!BC50</f>
        <v>3871</v>
      </c>
      <c r="AE179" s="439">
        <f>+INPUT!BD50</f>
        <v>-4.7490157480314963</v>
      </c>
      <c r="AF179" s="449">
        <f>+INPUT!BE50</f>
        <v>3814</v>
      </c>
      <c r="AG179" s="439">
        <f>+INPUT!BF50</f>
        <v>-5.4302008430448723</v>
      </c>
      <c r="AH179" s="449">
        <f>+INPUT!BG50</f>
        <v>3748</v>
      </c>
      <c r="AI179" s="438">
        <f>+INPUT!BH50</f>
        <v>-6.0886995740415841</v>
      </c>
      <c r="AJ179" s="449">
        <f>+INPUT!BI50</f>
        <v>3679</v>
      </c>
      <c r="AK179" s="438">
        <f>+INPUT!BJ50</f>
        <v>-6.6480588683075439</v>
      </c>
      <c r="AL179" s="449">
        <f>+INPUT!BK50</f>
        <v>3608</v>
      </c>
      <c r="AM179" s="438">
        <f>+INPUT!BL50</f>
        <v>-6.7941100490829172</v>
      </c>
      <c r="AN179" s="449">
        <f>+INPUT!BM50</f>
        <v>3546</v>
      </c>
      <c r="AO179" s="438">
        <f>+INPUT!BN50</f>
        <v>-7.0267435762978465</v>
      </c>
      <c r="AP179" s="449">
        <f>+INPUT!BO50</f>
        <v>3488</v>
      </c>
      <c r="AQ179" s="438">
        <f>+INPUT!BP50</f>
        <v>-6.9370330843116221</v>
      </c>
      <c r="AR179" s="449">
        <f>+INPUT!BQ50</f>
        <v>3440</v>
      </c>
      <c r="AS179" s="438">
        <f>+INPUT!BR50</f>
        <v>-6.4963305245990739</v>
      </c>
      <c r="AT179" s="449">
        <f>+INPUT!BS50</f>
        <v>3394</v>
      </c>
      <c r="AU179" s="438">
        <f>+INPUT!BT50</f>
        <v>-5.9312638580931321</v>
      </c>
      <c r="AV179" s="449">
        <f>+INPUT!BU50</f>
        <v>3349</v>
      </c>
      <c r="AW179" s="438">
        <f>+INPUT!BV50</f>
        <v>-5.5555555555555571</v>
      </c>
      <c r="AX179" s="449">
        <f>+INPUT!BW50</f>
        <v>3295</v>
      </c>
      <c r="AY179" s="438">
        <f>+INPUT!BX50</f>
        <v>-5.5332568807339442</v>
      </c>
      <c r="AZ179" s="449">
        <f>+INPUT!BY50</f>
        <v>3263</v>
      </c>
      <c r="BA179" s="438">
        <f>+INPUT!BZ50</f>
        <v>-5.1453488372093119</v>
      </c>
      <c r="BB179" s="449">
        <f>+INPUT!CA50</f>
        <v>3221</v>
      </c>
      <c r="BC179" s="438">
        <f>+INPUT!CB50</f>
        <v>-5.0972304065998912</v>
      </c>
      <c r="BD179" s="449">
        <f>+INPUT!CC50</f>
        <v>3213</v>
      </c>
      <c r="BE179" s="438">
        <f>+INPUT!CD50</f>
        <v>-4.0609137055837579</v>
      </c>
      <c r="BF179" s="449">
        <f>+INPUT!CE50</f>
        <v>3452</v>
      </c>
      <c r="BG179" s="438">
        <f>+INPUT!CF50</f>
        <v>4.7647951441578158</v>
      </c>
      <c r="BH179" s="449">
        <f>+INPUT!CG50</f>
        <v>3739</v>
      </c>
      <c r="BI179" s="438">
        <f>+INPUT!CH50</f>
        <v>14.587802635611396</v>
      </c>
      <c r="BJ179" s="449">
        <f>+INPUT!CI50</f>
        <v>3766</v>
      </c>
      <c r="BK179" s="438">
        <f>+INPUT!CJ50</f>
        <v>16.920211114560701</v>
      </c>
      <c r="BL179" s="449">
        <f>+INPUT!CK50</f>
        <v>3828</v>
      </c>
      <c r="BM179" s="438">
        <f>+INPUT!CL50</f>
        <v>19.140989729225026</v>
      </c>
      <c r="BN179" s="449">
        <f>+INPUT!CM50</f>
        <v>3837</v>
      </c>
      <c r="BO179" s="438">
        <f>+INPUT!CN50</f>
        <v>11.152954808806498</v>
      </c>
      <c r="BP179" s="449">
        <f>+INPUT!CO50</f>
        <v>3841</v>
      </c>
      <c r="BQ179" s="438">
        <f>+INPUT!CP50</f>
        <v>2.7280021396095293</v>
      </c>
      <c r="BR179" s="449">
        <f>+INPUT!CQ50</f>
        <v>3825</v>
      </c>
      <c r="BS179" s="438">
        <f>+INPUT!CR50</f>
        <v>1.5666489644184765</v>
      </c>
      <c r="BT179" s="449">
        <f>+INPUT!CS50</f>
        <v>3810</v>
      </c>
      <c r="BU179" s="438">
        <f>+INPUT!CT50</f>
        <v>-0.47021943573668068</v>
      </c>
      <c r="BV179" s="449">
        <f>+INPUT!CU50</f>
        <v>3792</v>
      </c>
      <c r="BW179" s="438">
        <f>+INPUT!CV50</f>
        <v>-1.1727912431587271</v>
      </c>
      <c r="BX179" s="449">
        <f>+INPUT!CW50</f>
        <v>3778</v>
      </c>
      <c r="BY179" s="438">
        <f>+INPUT!CX50</f>
        <v>-1.6401978651392852</v>
      </c>
      <c r="BZ179" s="449">
        <f>+INPUT!CY50</f>
        <v>3768</v>
      </c>
      <c r="CA179" s="438">
        <f>+INPUT!CZ50</f>
        <v>-1.4901960784313673</v>
      </c>
      <c r="CB179" s="449">
        <f>+INPUT!DA50</f>
        <v>3756</v>
      </c>
      <c r="CC179" s="438">
        <f>+INPUT!DB50</f>
        <v>-1.4173228346456739</v>
      </c>
      <c r="CD179" s="449">
        <f>+INPUT!DC50</f>
        <v>3734</v>
      </c>
      <c r="CE179" s="438">
        <f>+INPUT!DD50</f>
        <v>-1.5295358649788966</v>
      </c>
      <c r="CF179" s="449">
        <f>+INPUT!DE50</f>
        <v>3714</v>
      </c>
      <c r="CG179" s="438">
        <f>+INPUT!DF50</f>
        <v>-1.6940179989412485</v>
      </c>
      <c r="CH179" s="449">
        <f>+INPUT!DG50</f>
        <v>3699</v>
      </c>
      <c r="CI179" s="438">
        <f>+INPUT!DH50</f>
        <v>-1.8312101910828034</v>
      </c>
      <c r="CJ179" s="449">
        <f>+INPUT!DI50</f>
        <v>3681</v>
      </c>
      <c r="CK179" s="438">
        <f>+INPUT!DJ50</f>
        <v>-1.9968051118210894</v>
      </c>
      <c r="CL179" s="449">
        <f>+INPUT!DK50</f>
        <v>3673</v>
      </c>
      <c r="CM179" s="438">
        <f>+INPUT!DL50</f>
        <v>-1.6336368505623966</v>
      </c>
      <c r="CN179" s="449">
        <f>+INPUT!DM50</f>
        <v>3656</v>
      </c>
      <c r="CO179" s="438">
        <f>+INPUT!DN50</f>
        <v>-1.5616585891222456</v>
      </c>
      <c r="CP179" s="449">
        <f>+INPUT!DO50</f>
        <v>3638</v>
      </c>
      <c r="CQ179" s="438">
        <f>+INPUT!DP50</f>
        <v>-1.6490943498242814</v>
      </c>
      <c r="CR179" s="449">
        <f>+INPUT!DQ50</f>
        <v>3611</v>
      </c>
      <c r="CS179" s="438">
        <f>+INPUT!DR50</f>
        <v>-1.9016571583808712</v>
      </c>
      <c r="CT179" s="449">
        <f>+INPUT!DS50</f>
        <v>3581</v>
      </c>
      <c r="CU179" s="438">
        <f>+INPUT!DT50</f>
        <v>-2.5047644976858123</v>
      </c>
      <c r="CV179" s="449">
        <f>+INPUT!DU50</f>
        <v>3575</v>
      </c>
      <c r="CW179" s="438">
        <f>+INPUT!DV50</f>
        <v>-2.2155361050328253</v>
      </c>
      <c r="CX179" s="449">
        <f>+INPUT!DW50</f>
        <v>3552</v>
      </c>
      <c r="CY179" s="438">
        <f>+INPUT!DX50</f>
        <v>-2.3639362286970851</v>
      </c>
      <c r="CZ179" s="449">
        <f>+INPUT!DY50</f>
        <v>3532</v>
      </c>
      <c r="DA179" s="438">
        <f>+INPUT!DZ50</f>
        <v>-2.1877596233730259</v>
      </c>
      <c r="DB179" s="449">
        <f>+INPUT!EA50</f>
        <v>3504</v>
      </c>
      <c r="DC179" s="438">
        <f>+INPUT!EB50</f>
        <v>-2.1502373638648322</v>
      </c>
      <c r="DD179" s="449">
        <f>+INPUT!EC50</f>
        <v>3487</v>
      </c>
      <c r="DE179" s="438">
        <f>+INPUT!ED50</f>
        <v>-2.4615384615384528</v>
      </c>
      <c r="DF179" s="449">
        <f>+INPUT!EE50</f>
        <v>3489</v>
      </c>
      <c r="DG179" s="438">
        <f>+INPUT!EF50</f>
        <v>-1.7736486486486456</v>
      </c>
      <c r="DH179" s="449">
        <f>+INPUT!EG50</f>
        <v>3485</v>
      </c>
      <c r="DI179" s="438">
        <f>+INPUT!EH50</f>
        <v>-1.3306908267270643</v>
      </c>
      <c r="DJ179" s="449">
        <f>+INPUT!EI50</f>
        <v>3488</v>
      </c>
      <c r="DK179" s="438">
        <f>+INPUT!EJ50</f>
        <v>-0.45662100456621602</v>
      </c>
      <c r="DL179" s="449">
        <f>+INPUT!EK50</f>
        <v>3489</v>
      </c>
      <c r="DM179" s="438">
        <f>+INPUT!EL50</f>
        <v>5.7355893318032258E-2</v>
      </c>
      <c r="DN179" s="449">
        <f>+INPUT!EM50</f>
        <v>3492</v>
      </c>
      <c r="DO179" s="438">
        <f>+INPUT!EN50</f>
        <v>8.5984522785892636E-2</v>
      </c>
      <c r="DP179" s="449">
        <f>+INPUT!EO50</f>
        <v>3493</v>
      </c>
      <c r="DQ179" s="438">
        <f>+INPUT!EP50</f>
        <v>0.22955523672882805</v>
      </c>
      <c r="DR179" s="449">
        <f>+INPUT!EQ50</f>
        <v>3473</v>
      </c>
      <c r="DS179" s="438">
        <f>+INPUT!ER50</f>
        <v>-0.43004587155964202</v>
      </c>
      <c r="DT179" s="449">
        <f>+INPUT!ES50</f>
        <v>3458.1431434297169</v>
      </c>
      <c r="DU179" s="438">
        <f>+INPUT!ET50</f>
        <v>-0.88440402895622583</v>
      </c>
      <c r="DV179" s="449">
        <f>+INPUT!EU50</f>
        <v>3443.892619929647</v>
      </c>
      <c r="DW179" s="438">
        <f>+INPUT!EV50</f>
        <v>-1.3776454773869631</v>
      </c>
      <c r="DX179" s="449">
        <f>+INPUT!EW50</f>
        <v>3430.2690898700303</v>
      </c>
      <c r="DY179" s="438">
        <f>+INPUT!EX50</f>
        <v>-1.7959035250492406</v>
      </c>
      <c r="DZ179" s="449"/>
      <c r="EA179" s="438"/>
      <c r="EB179" s="439">
        <f>+INPUT!FI50</f>
        <v>-3.1125827814569504</v>
      </c>
      <c r="EC179" s="449">
        <f>+INPUT!FJ50</f>
        <v>2975</v>
      </c>
      <c r="ED179" s="439">
        <f>+INPUT!FK50</f>
        <v>1.6746411483253638</v>
      </c>
      <c r="EE179" s="449">
        <f>+INPUT!FL50</f>
        <v>3396</v>
      </c>
      <c r="EF179" s="439">
        <f>+INPUT!FM50</f>
        <v>14.151260504201673</v>
      </c>
      <c r="EG179" s="449">
        <f>+INPUT!FN50</f>
        <v>3514</v>
      </c>
      <c r="EH179" s="439">
        <f>+INPUT!FO50</f>
        <v>3.4746760895170752</v>
      </c>
      <c r="EI179" s="449">
        <f>+INPUT!FP50</f>
        <v>3879</v>
      </c>
      <c r="EJ179" s="438">
        <f>+INPUT!FQ50</f>
        <v>10.387023335230509</v>
      </c>
      <c r="EK179" s="449">
        <f>+INPUT!FR50</f>
        <v>3991</v>
      </c>
      <c r="EL179" s="438">
        <f>+INPUT!FS50</f>
        <v>2.8873420984789817</v>
      </c>
      <c r="EM179" s="449">
        <f>+INPUT!FT50</f>
        <v>3748</v>
      </c>
      <c r="EN179" s="438">
        <f>+INPUT!FU50</f>
        <v>-6.0886995740415841</v>
      </c>
      <c r="EO179" s="449">
        <f>+INPUT!FV50</f>
        <v>3488</v>
      </c>
      <c r="EP179" s="438">
        <f>+INPUT!FW50</f>
        <v>-6.9370330843116221</v>
      </c>
      <c r="EQ179" s="449">
        <f>+INPUT!FX50</f>
        <v>3295</v>
      </c>
      <c r="ER179" s="438">
        <f>+INPUT!FY50</f>
        <v>-5.5332568807339442</v>
      </c>
      <c r="ES179" s="449">
        <f>+INPUT!FZ50</f>
        <v>3452</v>
      </c>
      <c r="ET179" s="438">
        <f>+INPUT!GA50</f>
        <v>4.7647951441578158</v>
      </c>
      <c r="EU179" s="449">
        <f>+INPUT!GB50</f>
        <v>3837</v>
      </c>
      <c r="EV179" s="438">
        <f>+INPUT!GC50</f>
        <v>11.152954808806498</v>
      </c>
      <c r="EW179" s="449">
        <f>+INPUT!GD50</f>
        <v>3792</v>
      </c>
      <c r="EX179" s="438">
        <f>+INPUT!GE50</f>
        <v>-1.1727912431587271</v>
      </c>
      <c r="EY179" s="449">
        <f>+INPUT!GF50</f>
        <v>3734</v>
      </c>
      <c r="EZ179" s="438">
        <f>+INPUT!GG50</f>
        <v>-1.5295358649788966</v>
      </c>
      <c r="FA179" s="449">
        <f>+INPUT!GH50</f>
        <v>3673</v>
      </c>
      <c r="FB179" s="438">
        <f>+INPUT!GI50</f>
        <v>-1.6336368505623966</v>
      </c>
      <c r="FC179" s="449">
        <f>+INPUT!GJ50</f>
        <v>3581</v>
      </c>
      <c r="FD179" s="438">
        <f>+INPUT!GK50</f>
        <v>-2.5047644976858123</v>
      </c>
      <c r="FE179" s="449">
        <f>+INPUT!GL50</f>
        <v>3504</v>
      </c>
      <c r="FF179" s="438">
        <f>+INPUT!GM50</f>
        <v>-2.1502373638648322</v>
      </c>
      <c r="FG179" s="449">
        <f>+INPUT!GN50</f>
        <v>3488</v>
      </c>
      <c r="FH179" s="438">
        <f>+INPUT!GO50</f>
        <v>-0.45662100456621602</v>
      </c>
      <c r="FI179" s="449">
        <f>+INPUT!GP50</f>
        <v>3473</v>
      </c>
      <c r="FJ179" s="438">
        <f>+INPUT!GQ50</f>
        <v>-0.43004587155964202</v>
      </c>
      <c r="FK179" s="449">
        <f>+INPUT!GR50</f>
        <v>3417.2943157512927</v>
      </c>
      <c r="FL179" s="438">
        <f>+INPUT!GS50</f>
        <v>-1.6039644183330637</v>
      </c>
      <c r="FM179" s="449">
        <f>+INPUT!GT50</f>
        <v>3367.4835845707803</v>
      </c>
      <c r="FN179" s="438">
        <f>+INPUT!GU50</f>
        <v>-1.4576072933174231</v>
      </c>
      <c r="FO179" s="449">
        <f>+INPUT!GV50</f>
        <v>3323.8311074006715</v>
      </c>
      <c r="FP179" s="438">
        <f>+INPUT!GW50</f>
        <v>-1.296293688560695</v>
      </c>
      <c r="FQ179" s="449">
        <f>+INPUT!GX50</f>
        <v>3286.6357955149829</v>
      </c>
      <c r="FR179" s="438">
        <f>+INPUT!GY50</f>
        <v>-1.1190493946239144</v>
      </c>
      <c r="FS179" s="438">
        <f>+INPUT!GZ50</f>
        <v>-1.1822363925916402</v>
      </c>
    </row>
    <row r="180" spans="1:175" s="529" customFormat="1" ht="12.75" hidden="1" customHeight="1" outlineLevel="1" x14ac:dyDescent="0.2">
      <c r="A180" s="441" t="str">
        <f>+INPUT!B51</f>
        <v xml:space="preserve">  Deposits</v>
      </c>
      <c r="B180" s="449">
        <f>+INPUT!AA51</f>
        <v>110</v>
      </c>
      <c r="C180" s="439" t="str">
        <f>+INPUT!AB51</f>
        <v>NM</v>
      </c>
      <c r="D180" s="449">
        <f>+INPUT!AC51</f>
        <v>57</v>
      </c>
      <c r="E180" s="439" t="str">
        <f>+INPUT!AD51</f>
        <v>NM</v>
      </c>
      <c r="F180" s="449">
        <f>+INPUT!AE51</f>
        <v>47</v>
      </c>
      <c r="G180" s="439" t="str">
        <f>+INPUT!AF51</f>
        <v>NM</v>
      </c>
      <c r="H180" s="449">
        <f>+INPUT!AG51</f>
        <v>33</v>
      </c>
      <c r="I180" s="439" t="str">
        <f>+INPUT!AH51</f>
        <v>NM</v>
      </c>
      <c r="J180" s="449">
        <f>+INPUT!AI51</f>
        <v>92</v>
      </c>
      <c r="K180" s="439">
        <f>+INPUT!AJ51</f>
        <v>-16.363636363636374</v>
      </c>
      <c r="L180" s="449">
        <f>+INPUT!AK51</f>
        <v>196</v>
      </c>
      <c r="M180" s="439" t="str">
        <f>+INPUT!AL51</f>
        <v>NM</v>
      </c>
      <c r="N180" s="449">
        <f>+INPUT!AM51</f>
        <v>175</v>
      </c>
      <c r="O180" s="439" t="str">
        <f>+INPUT!AN51</f>
        <v>NM</v>
      </c>
      <c r="P180" s="449">
        <f>+INPUT!AO51</f>
        <v>69</v>
      </c>
      <c r="Q180" s="439" t="str">
        <f>+INPUT!AP51</f>
        <v>NM</v>
      </c>
      <c r="R180" s="449">
        <f>+INPUT!AQ51</f>
        <v>52</v>
      </c>
      <c r="S180" s="439">
        <f>+INPUT!AR51</f>
        <v>-43.478260869565219</v>
      </c>
      <c r="T180" s="449">
        <f>+INPUT!AS51</f>
        <v>243</v>
      </c>
      <c r="U180" s="439">
        <f>+INPUT!AT51</f>
        <v>23.979591836734699</v>
      </c>
      <c r="V180" s="449">
        <f>+INPUT!AU51</f>
        <v>39</v>
      </c>
      <c r="W180" s="439" t="str">
        <f>+INPUT!AV51</f>
        <v>NM</v>
      </c>
      <c r="X180" s="449">
        <f>+INPUT!AW51</f>
        <v>27</v>
      </c>
      <c r="Y180" s="439" t="str">
        <f>+INPUT!AX51</f>
        <v>NM</v>
      </c>
      <c r="Z180" s="449">
        <f>+INPUT!AY51</f>
        <v>28</v>
      </c>
      <c r="AA180" s="439">
        <f>+INPUT!AZ51</f>
        <v>-46.153846153846153</v>
      </c>
      <c r="AB180" s="449">
        <f>+INPUT!BA51</f>
        <v>32</v>
      </c>
      <c r="AC180" s="439" t="str">
        <f>+INPUT!BB51</f>
        <v>NM</v>
      </c>
      <c r="AD180" s="449">
        <f>+INPUT!BC51</f>
        <v>33</v>
      </c>
      <c r="AE180" s="439">
        <f>+INPUT!BD51</f>
        <v>-15.384615384615387</v>
      </c>
      <c r="AF180" s="449">
        <f>+INPUT!BE51</f>
        <v>26</v>
      </c>
      <c r="AG180" s="439">
        <f>+INPUT!BF51</f>
        <v>-3.7037037037037095</v>
      </c>
      <c r="AH180" s="449">
        <f>+INPUT!BG51</f>
        <v>21</v>
      </c>
      <c r="AI180" s="438">
        <f>+INPUT!BH51</f>
        <v>-25</v>
      </c>
      <c r="AJ180" s="449">
        <f>+INPUT!BI51</f>
        <v>20</v>
      </c>
      <c r="AK180" s="438">
        <f>+INPUT!BJ51</f>
        <v>-37.5</v>
      </c>
      <c r="AL180" s="449">
        <f>+INPUT!BK51</f>
        <v>16</v>
      </c>
      <c r="AM180" s="438" t="str">
        <f>+INPUT!BL51</f>
        <v>NM</v>
      </c>
      <c r="AN180" s="449">
        <f>+INPUT!BM51</f>
        <v>16</v>
      </c>
      <c r="AO180" s="438">
        <f>+INPUT!BN51</f>
        <v>-38.46153846153846</v>
      </c>
      <c r="AP180" s="449">
        <f>+INPUT!BO51</f>
        <v>17</v>
      </c>
      <c r="AQ180" s="438">
        <f>+INPUT!BP51</f>
        <v>-19.047619047619051</v>
      </c>
      <c r="AR180" s="449">
        <f>+INPUT!BQ51</f>
        <v>24</v>
      </c>
      <c r="AS180" s="438">
        <f>+INPUT!BR51</f>
        <v>20</v>
      </c>
      <c r="AT180" s="449">
        <f>+INPUT!BS51</f>
        <v>33</v>
      </c>
      <c r="AU180" s="438" t="str">
        <f>+INPUT!BT51</f>
        <v>NM</v>
      </c>
      <c r="AV180" s="449">
        <f>+INPUT!BU51</f>
        <v>47</v>
      </c>
      <c r="AW180" s="438" t="str">
        <f>+INPUT!BV51</f>
        <v>NM</v>
      </c>
      <c r="AX180" s="449">
        <f>+INPUT!BW51</f>
        <v>55</v>
      </c>
      <c r="AY180" s="438" t="str">
        <f>+INPUT!BX51</f>
        <v>NM</v>
      </c>
      <c r="AZ180" s="449">
        <f>+INPUT!BY51</f>
        <v>41</v>
      </c>
      <c r="BA180" s="438">
        <f>+INPUT!BZ51</f>
        <v>70.833333333333314</v>
      </c>
      <c r="BB180" s="449">
        <f>+INPUT!CA51</f>
        <v>46</v>
      </c>
      <c r="BC180" s="438">
        <f>+INPUT!CB51</f>
        <v>39.393939393939405</v>
      </c>
      <c r="BD180" s="449">
        <f>+INPUT!CC51</f>
        <v>37</v>
      </c>
      <c r="BE180" s="438">
        <f>+INPUT!CD51</f>
        <v>-21.276595744680847</v>
      </c>
      <c r="BF180" s="449">
        <f>+INPUT!CE51</f>
        <v>30</v>
      </c>
      <c r="BG180" s="438">
        <f>+INPUT!CF51</f>
        <v>-45.45454545454546</v>
      </c>
      <c r="BH180" s="449">
        <f>+INPUT!CG51</f>
        <v>32</v>
      </c>
      <c r="BI180" s="438">
        <f>+INPUT!CH51</f>
        <v>-21.951219512195124</v>
      </c>
      <c r="BJ180" s="449">
        <f>+INPUT!CI51</f>
        <v>29</v>
      </c>
      <c r="BK180" s="438">
        <f>+INPUT!CJ51</f>
        <v>-36.95652173913043</v>
      </c>
      <c r="BL180" s="449">
        <f>+INPUT!CK51</f>
        <v>12</v>
      </c>
      <c r="BM180" s="438" t="str">
        <f>+INPUT!CL51</f>
        <v>NM</v>
      </c>
      <c r="BN180" s="449">
        <f>+INPUT!CM51</f>
        <v>18</v>
      </c>
      <c r="BO180" s="438">
        <f>+INPUT!CN51</f>
        <v>-40</v>
      </c>
      <c r="BP180" s="449">
        <f>+INPUT!CO51</f>
        <v>20</v>
      </c>
      <c r="BQ180" s="438">
        <f>+INPUT!CP51</f>
        <v>-37.5</v>
      </c>
      <c r="BR180" s="449">
        <f>+INPUT!CQ51</f>
        <v>15</v>
      </c>
      <c r="BS180" s="438">
        <f>+INPUT!CR51</f>
        <v>-48.275862068965516</v>
      </c>
      <c r="BT180" s="449">
        <f>+INPUT!CS51</f>
        <v>16</v>
      </c>
      <c r="BU180" s="438">
        <f>+INPUT!CT51</f>
        <v>33.333333333333314</v>
      </c>
      <c r="BV180" s="449">
        <f>+INPUT!CU51</f>
        <v>16</v>
      </c>
      <c r="BW180" s="438">
        <f>+INPUT!CV51</f>
        <v>-11.111111111111114</v>
      </c>
      <c r="BX180" s="449">
        <f>+INPUT!CW51</f>
        <v>14</v>
      </c>
      <c r="BY180" s="438">
        <f>+INPUT!CX51</f>
        <v>-30</v>
      </c>
      <c r="BZ180" s="449">
        <f>+INPUT!CY51</f>
        <v>14</v>
      </c>
      <c r="CA180" s="438">
        <f>+INPUT!CZ51</f>
        <v>-6.6666666666666714</v>
      </c>
      <c r="CB180" s="449">
        <f>+INPUT!DA51</f>
        <v>11</v>
      </c>
      <c r="CC180" s="438">
        <f>+INPUT!DB51</f>
        <v>-31.25</v>
      </c>
      <c r="CD180" s="449">
        <f>+INPUT!DC51</f>
        <v>16</v>
      </c>
      <c r="CE180" s="438">
        <f>+INPUT!DD51</f>
        <v>0</v>
      </c>
      <c r="CF180" s="449">
        <f>+INPUT!DE51</f>
        <v>14</v>
      </c>
      <c r="CG180" s="438">
        <f>+INPUT!DF51</f>
        <v>0</v>
      </c>
      <c r="CH180" s="449">
        <f>+INPUT!DG51</f>
        <v>16</v>
      </c>
      <c r="CI180" s="438">
        <f>+INPUT!DH51</f>
        <v>14.285714285714278</v>
      </c>
      <c r="CJ180" s="449">
        <f>+INPUT!DI51</f>
        <v>20</v>
      </c>
      <c r="CK180" s="438">
        <f>+INPUT!DJ51</f>
        <v>81.818181818181813</v>
      </c>
      <c r="CL180" s="449">
        <f>+INPUT!DK51</f>
        <v>17</v>
      </c>
      <c r="CM180" s="438">
        <f>+INPUT!DL51</f>
        <v>0</v>
      </c>
      <c r="CN180" s="449">
        <f>+INPUT!DM51</f>
        <v>13</v>
      </c>
      <c r="CO180" s="438">
        <f>+INPUT!DN51</f>
        <v>-7.1428571428571388</v>
      </c>
      <c r="CP180" s="449">
        <f>+INPUT!DO51</f>
        <v>13</v>
      </c>
      <c r="CQ180" s="438">
        <f>+INPUT!DP51</f>
        <v>-18.75</v>
      </c>
      <c r="CR180" s="449">
        <f>+INPUT!DQ51</f>
        <v>8</v>
      </c>
      <c r="CS180" s="438" t="str">
        <f>+INPUT!DR51</f>
        <v>NM</v>
      </c>
      <c r="CT180" s="449">
        <f>+INPUT!DS51</f>
        <v>12</v>
      </c>
      <c r="CU180" s="438">
        <f>+INPUT!DT51</f>
        <v>-29.411764705882348</v>
      </c>
      <c r="CV180" s="449">
        <f>+INPUT!DU51</f>
        <v>15</v>
      </c>
      <c r="CW180" s="438">
        <f>+INPUT!DV51</f>
        <v>15.384615384615373</v>
      </c>
      <c r="CX180" s="449">
        <f>+INPUT!DW51</f>
        <v>8</v>
      </c>
      <c r="CY180" s="438">
        <f>+INPUT!DX51</f>
        <v>-38.46153846153846</v>
      </c>
      <c r="CZ180" s="449">
        <f>+INPUT!DY51</f>
        <v>13</v>
      </c>
      <c r="DA180" s="438">
        <f>+INPUT!DZ51</f>
        <v>62.5</v>
      </c>
      <c r="DB180" s="449">
        <f>+INPUT!EA51</f>
        <v>16</v>
      </c>
      <c r="DC180" s="438">
        <f>+INPUT!EB51</f>
        <v>33.333333333333314</v>
      </c>
      <c r="DD180" s="449">
        <f>+INPUT!EC51</f>
        <v>14</v>
      </c>
      <c r="DE180" s="438">
        <f>+INPUT!ED51</f>
        <v>-6.6666666666666714</v>
      </c>
      <c r="DF180" s="449">
        <f>+INPUT!EE51</f>
        <v>12</v>
      </c>
      <c r="DG180" s="438">
        <f>+INPUT!EF51</f>
        <v>50</v>
      </c>
      <c r="DH180" s="449">
        <f>+INPUT!EG51</f>
        <v>18</v>
      </c>
      <c r="DI180" s="438">
        <f>+INPUT!EH51</f>
        <v>38.461538461538453</v>
      </c>
      <c r="DJ180" s="449">
        <f>+INPUT!EI51</f>
        <v>12</v>
      </c>
      <c r="DK180" s="438">
        <f>+INPUT!EJ51</f>
        <v>-25</v>
      </c>
      <c r="DL180" s="449">
        <f>+INPUT!EK51</f>
        <v>14</v>
      </c>
      <c r="DM180" s="438">
        <f>+INPUT!EL51</f>
        <v>0</v>
      </c>
      <c r="DN180" s="449">
        <f>+INPUT!EM51</f>
        <v>11</v>
      </c>
      <c r="DO180" s="438">
        <f>+INPUT!EN51</f>
        <v>-8.3333333333333428</v>
      </c>
      <c r="DP180" s="449">
        <f>+INPUT!EO51</f>
        <v>5</v>
      </c>
      <c r="DQ180" s="438" t="str">
        <f>+INPUT!EP51</f>
        <v>NM</v>
      </c>
      <c r="DR180" s="449">
        <f>+INPUT!EQ51</f>
        <v>10</v>
      </c>
      <c r="DS180" s="438">
        <f>+INPUT!ER51</f>
        <v>-16.666666666666657</v>
      </c>
      <c r="DT180" s="449">
        <f>+INPUT!ES51</f>
        <v>10.5</v>
      </c>
      <c r="DU180" s="438">
        <f>+INPUT!ET51</f>
        <v>-25</v>
      </c>
      <c r="DV180" s="449">
        <f>+INPUT!EU51</f>
        <v>11.025</v>
      </c>
      <c r="DW180" s="438">
        <f>+INPUT!EV51</f>
        <v>0.22727272727271952</v>
      </c>
      <c r="DX180" s="449">
        <f>+INPUT!EW51</f>
        <v>11.576250000000002</v>
      </c>
      <c r="DY180" s="438" t="str">
        <f>+INPUT!EX51</f>
        <v>NM</v>
      </c>
      <c r="DZ180" s="449"/>
      <c r="EA180" s="438"/>
      <c r="EB180" s="439">
        <f>+INPUT!FI51</f>
        <v>-45.701357466063349</v>
      </c>
      <c r="EC180" s="449">
        <f>+INPUT!FJ51</f>
        <v>605</v>
      </c>
      <c r="ED180" s="439" t="str">
        <f>+INPUT!FK51</f>
        <v>NM</v>
      </c>
      <c r="EE180" s="449">
        <f>+INPUT!FL51</f>
        <v>247</v>
      </c>
      <c r="EF180" s="439" t="str">
        <f>+INPUT!FM51</f>
        <v>NM</v>
      </c>
      <c r="EG180" s="449">
        <f>+INPUT!FN51</f>
        <v>532</v>
      </c>
      <c r="EH180" s="439" t="str">
        <f>+INPUT!FO51</f>
        <v>NM</v>
      </c>
      <c r="EI180" s="449">
        <f>+INPUT!FP51</f>
        <v>361</v>
      </c>
      <c r="EJ180" s="438">
        <f>+INPUT!FQ51</f>
        <v>-32.142857142857139</v>
      </c>
      <c r="EK180" s="449">
        <f>+INPUT!FR51</f>
        <v>119</v>
      </c>
      <c r="EL180" s="438" t="str">
        <f>+INPUT!FS51</f>
        <v>NM</v>
      </c>
      <c r="EM180" s="449">
        <f>+INPUT!FT51</f>
        <v>73</v>
      </c>
      <c r="EN180" s="438">
        <f>+INPUT!FU51</f>
        <v>-38.655462184873947</v>
      </c>
      <c r="EO180" s="449">
        <f>+INPUT!FV51</f>
        <v>121</v>
      </c>
      <c r="EP180" s="438">
        <f>+INPUT!FW51</f>
        <v>65.753424657534254</v>
      </c>
      <c r="EQ180" s="449">
        <f>+INPUT!FX51</f>
        <v>179</v>
      </c>
      <c r="ER180" s="438">
        <f>+INPUT!FY51</f>
        <v>47.933884297520649</v>
      </c>
      <c r="ES180" s="449">
        <f>+INPUT!FZ51</f>
        <v>103</v>
      </c>
      <c r="ET180" s="438">
        <f>+INPUT!GA51</f>
        <v>-42.458100558659218</v>
      </c>
      <c r="EU180" s="449">
        <f>+INPUT!GB51</f>
        <v>69</v>
      </c>
      <c r="EV180" s="438">
        <f>+INPUT!GC51</f>
        <v>-33.009708737864074</v>
      </c>
      <c r="EW180" s="449">
        <f>+INPUT!GD51</f>
        <v>55</v>
      </c>
      <c r="EX180" s="438">
        <f>+INPUT!GE51</f>
        <v>-20.289855072463766</v>
      </c>
      <c r="EY180" s="449">
        <f>+INPUT!GF51</f>
        <v>66</v>
      </c>
      <c r="EZ180" s="438">
        <f>+INPUT!GG51</f>
        <v>20</v>
      </c>
      <c r="FA180" s="449">
        <f>+INPUT!GH51</f>
        <v>51</v>
      </c>
      <c r="FB180" s="438">
        <f>+INPUT!GI51</f>
        <v>-22.727272727272734</v>
      </c>
      <c r="FC180" s="449">
        <f>+INPUT!GJ51</f>
        <v>48</v>
      </c>
      <c r="FD180" s="438">
        <f>+INPUT!GK51</f>
        <v>-5.8823529411764781</v>
      </c>
      <c r="FE180" s="449">
        <f>+INPUT!GL51</f>
        <v>60</v>
      </c>
      <c r="FF180" s="438">
        <f>+INPUT!GM51</f>
        <v>25</v>
      </c>
      <c r="FG180" s="449">
        <f>+INPUT!GN51</f>
        <v>42</v>
      </c>
      <c r="FH180" s="438">
        <f>+INPUT!GO51</f>
        <v>-30</v>
      </c>
      <c r="FI180" s="449">
        <f>+INPUT!GP51</f>
        <v>43.10125</v>
      </c>
      <c r="FJ180" s="438">
        <f>+INPUT!GQ51</f>
        <v>2.6220238095238102</v>
      </c>
      <c r="FK180" s="449">
        <f>+INPUT!GR51</f>
        <v>47.411375000000007</v>
      </c>
      <c r="FL180" s="438">
        <f>+INPUT!GS51</f>
        <v>10.000000000000014</v>
      </c>
      <c r="FM180" s="449">
        <f>+INPUT!GT51</f>
        <v>52.152512500000014</v>
      </c>
      <c r="FN180" s="438">
        <f>+INPUT!GU51</f>
        <v>10.000000000000014</v>
      </c>
      <c r="FO180" s="449">
        <f>+INPUT!GV51</f>
        <v>57.367763750000023</v>
      </c>
      <c r="FP180" s="438">
        <f>+INPUT!GW51</f>
        <v>10.000000000000014</v>
      </c>
      <c r="FQ180" s="449">
        <f>+INPUT!GX51</f>
        <v>63.104540125000028</v>
      </c>
      <c r="FR180" s="438">
        <f>+INPUT!GY51</f>
        <v>10.000000000000014</v>
      </c>
      <c r="FS180" s="438">
        <f>+INPUT!GZ51</f>
        <v>8.4831439895586946</v>
      </c>
    </row>
    <row r="181" spans="1:175" s="529" customFormat="1" ht="12.75" hidden="1" customHeight="1" outlineLevel="1" x14ac:dyDescent="0.2">
      <c r="A181" s="441" t="str">
        <f>+INPUT!B52</f>
        <v xml:space="preserve">  Redemptions</v>
      </c>
      <c r="B181" s="449">
        <f>+INPUT!AA52</f>
        <v>-34</v>
      </c>
      <c r="C181" s="439">
        <f>+INPUT!AB52</f>
        <v>-19.047619047619051</v>
      </c>
      <c r="D181" s="449">
        <f>+INPUT!AC52</f>
        <v>-32</v>
      </c>
      <c r="E181" s="439">
        <f>+INPUT!AD52</f>
        <v>-11.111111111111114</v>
      </c>
      <c r="F181" s="449">
        <f>+INPUT!AE52</f>
        <v>-33</v>
      </c>
      <c r="G181" s="439">
        <f>+INPUT!AF52</f>
        <v>6.4516129032257936</v>
      </c>
      <c r="H181" s="449">
        <f>+INPUT!AG52</f>
        <v>-42</v>
      </c>
      <c r="I181" s="439">
        <f>+INPUT!AH52</f>
        <v>23.529411764705884</v>
      </c>
      <c r="J181" s="449">
        <f>+INPUT!AI52</f>
        <v>-51</v>
      </c>
      <c r="K181" s="439">
        <f>+INPUT!AJ52</f>
        <v>50</v>
      </c>
      <c r="L181" s="449">
        <f>+INPUT!AK52</f>
        <v>-51</v>
      </c>
      <c r="M181" s="439">
        <f>+INPUT!AL52</f>
        <v>59.375</v>
      </c>
      <c r="N181" s="449">
        <f>+INPUT!AM52</f>
        <v>-44</v>
      </c>
      <c r="O181" s="439">
        <f>+INPUT!AN52</f>
        <v>33.333333333333314</v>
      </c>
      <c r="P181" s="449">
        <f>+INPUT!AO52</f>
        <v>-45</v>
      </c>
      <c r="Q181" s="439">
        <f>+INPUT!AP52</f>
        <v>7.1428571428571388</v>
      </c>
      <c r="R181" s="449">
        <f>+INPUT!AQ52</f>
        <v>-56</v>
      </c>
      <c r="S181" s="439">
        <f>+INPUT!AR52</f>
        <v>9.8039215686274588</v>
      </c>
      <c r="T181" s="449">
        <f>+INPUT!AS52</f>
        <v>-53</v>
      </c>
      <c r="U181" s="439">
        <f>+INPUT!AT52</f>
        <v>3.9215686274509949</v>
      </c>
      <c r="V181" s="449">
        <f>+INPUT!AU52</f>
        <v>-56</v>
      </c>
      <c r="W181" s="439">
        <f>+INPUT!AV52</f>
        <v>27.272727272727266</v>
      </c>
      <c r="X181" s="449">
        <f>+INPUT!AW52</f>
        <v>-66</v>
      </c>
      <c r="Y181" s="439">
        <f>+INPUT!AX52</f>
        <v>46.666666666666657</v>
      </c>
      <c r="Z181" s="449">
        <f>+INPUT!AY52</f>
        <v>-69</v>
      </c>
      <c r="AA181" s="439">
        <f>+INPUT!AZ52</f>
        <v>23.214285714285722</v>
      </c>
      <c r="AB181" s="449">
        <f>+INPUT!BA52</f>
        <v>-92</v>
      </c>
      <c r="AC181" s="439">
        <f>+INPUT!BB52</f>
        <v>73.584905660377359</v>
      </c>
      <c r="AD181" s="449">
        <f>+INPUT!BC52</f>
        <v>-75</v>
      </c>
      <c r="AE181" s="439">
        <f>+INPUT!BD52</f>
        <v>33.928571428571416</v>
      </c>
      <c r="AF181" s="449">
        <f>+INPUT!BE52</f>
        <v>-77</v>
      </c>
      <c r="AG181" s="439">
        <f>+INPUT!BF52</f>
        <v>16.666666666666671</v>
      </c>
      <c r="AH181" s="449">
        <f>+INPUT!BG52</f>
        <v>-81</v>
      </c>
      <c r="AI181" s="438">
        <f>+INPUT!BH52</f>
        <v>17.391304347826093</v>
      </c>
      <c r="AJ181" s="449">
        <f>+INPUT!BI52</f>
        <v>-74</v>
      </c>
      <c r="AK181" s="438">
        <f>+INPUT!BJ52</f>
        <v>-19.565217391304344</v>
      </c>
      <c r="AL181" s="449">
        <f>+INPUT!BK52</f>
        <v>-69</v>
      </c>
      <c r="AM181" s="438">
        <f>+INPUT!BL52</f>
        <v>-8</v>
      </c>
      <c r="AN181" s="449">
        <f>+INPUT!BM52</f>
        <v>-62</v>
      </c>
      <c r="AO181" s="438">
        <f>+INPUT!BN52</f>
        <v>-19.480519480519476</v>
      </c>
      <c r="AP181" s="449">
        <f>+INPUT!BO52</f>
        <v>-53</v>
      </c>
      <c r="AQ181" s="438">
        <f>+INPUT!BP52</f>
        <v>-34.567901234567898</v>
      </c>
      <c r="AR181" s="449">
        <f>+INPUT!BQ52</f>
        <v>-61</v>
      </c>
      <c r="AS181" s="438">
        <f>+INPUT!BR52</f>
        <v>-17.567567567567565</v>
      </c>
      <c r="AT181" s="449">
        <f>+INPUT!BS52</f>
        <v>-71</v>
      </c>
      <c r="AU181" s="438">
        <f>+INPUT!BT52</f>
        <v>2.8985507246376727</v>
      </c>
      <c r="AV181" s="449">
        <f>+INPUT!BU52</f>
        <v>-91</v>
      </c>
      <c r="AW181" s="438">
        <f>+INPUT!BV52</f>
        <v>46.774193548387103</v>
      </c>
      <c r="AX181" s="449">
        <f>+INPUT!BW52</f>
        <v>-77</v>
      </c>
      <c r="AY181" s="438">
        <f>+INPUT!BX52</f>
        <v>45.283018867924511</v>
      </c>
      <c r="AZ181" s="449">
        <f>+INPUT!BY52</f>
        <v>-75</v>
      </c>
      <c r="BA181" s="438">
        <f>+INPUT!BZ52</f>
        <v>22.950819672131146</v>
      </c>
      <c r="BB181" s="449">
        <f>+INPUT!CA52</f>
        <v>-49</v>
      </c>
      <c r="BC181" s="438">
        <f>+INPUT!CB52</f>
        <v>-30.985915492957744</v>
      </c>
      <c r="BD181" s="449">
        <f>+INPUT!CC52</f>
        <v>-57</v>
      </c>
      <c r="BE181" s="438">
        <f>+INPUT!CD52</f>
        <v>-37.362637362637365</v>
      </c>
      <c r="BF181" s="449">
        <f>+INPUT!CE52</f>
        <v>-48</v>
      </c>
      <c r="BG181" s="438">
        <f>+INPUT!CF52</f>
        <v>-37.662337662337663</v>
      </c>
      <c r="BH181" s="449">
        <f>+INPUT!CG52</f>
        <v>-78</v>
      </c>
      <c r="BI181" s="438">
        <f>+INPUT!CH52</f>
        <v>4</v>
      </c>
      <c r="BJ181" s="449">
        <f>+INPUT!CI52</f>
        <v>-44</v>
      </c>
      <c r="BK181" s="438">
        <f>+INPUT!CJ52</f>
        <v>-10.204081632653057</v>
      </c>
      <c r="BL181" s="449">
        <f>+INPUT!CK52</f>
        <v>-45</v>
      </c>
      <c r="BM181" s="438">
        <f>+INPUT!CL52</f>
        <v>-21.05263157894737</v>
      </c>
      <c r="BN181" s="449">
        <f>+INPUT!CM52</f>
        <v>-48</v>
      </c>
      <c r="BO181" s="438">
        <f>+INPUT!CN52</f>
        <v>0</v>
      </c>
      <c r="BP181" s="449">
        <f>+INPUT!CO52</f>
        <v>-45</v>
      </c>
      <c r="BQ181" s="438">
        <f>+INPUT!CP52</f>
        <v>-42.307692307692314</v>
      </c>
      <c r="BR181" s="449">
        <f>+INPUT!CQ52</f>
        <v>-46</v>
      </c>
      <c r="BS181" s="438">
        <f>+INPUT!CR52</f>
        <v>4.5454545454545467</v>
      </c>
      <c r="BT181" s="449">
        <f>+INPUT!CS52</f>
        <v>-44</v>
      </c>
      <c r="BU181" s="438">
        <f>+INPUT!CT52</f>
        <v>-2.2222222222222285</v>
      </c>
      <c r="BV181" s="449">
        <f>+INPUT!CU52</f>
        <v>-43</v>
      </c>
      <c r="BW181" s="438">
        <f>+INPUT!CV52</f>
        <v>-10.416666666666657</v>
      </c>
      <c r="BX181" s="449">
        <f>+INPUT!CW52</f>
        <v>-34</v>
      </c>
      <c r="BY181" s="438">
        <f>+INPUT!CX52</f>
        <v>-24.444444444444443</v>
      </c>
      <c r="BZ181" s="449">
        <f>+INPUT!CY52</f>
        <v>-35</v>
      </c>
      <c r="CA181" s="438">
        <f>+INPUT!CZ52</f>
        <v>-23.91304347826086</v>
      </c>
      <c r="CB181" s="449">
        <f>+INPUT!DA52</f>
        <v>-48</v>
      </c>
      <c r="CC181" s="438">
        <f>+INPUT!DB52</f>
        <v>9.0909090909090793</v>
      </c>
      <c r="CD181" s="449">
        <f>+INPUT!DC52</f>
        <v>-41</v>
      </c>
      <c r="CE181" s="438">
        <f>+INPUT!DD52</f>
        <v>-4.6511627906976685</v>
      </c>
      <c r="CF181" s="449">
        <f>+INPUT!DE52</f>
        <v>-38</v>
      </c>
      <c r="CG181" s="438">
        <f>+INPUT!DF52</f>
        <v>11.764705882352942</v>
      </c>
      <c r="CH181" s="449">
        <f>+INPUT!DG52</f>
        <v>-40</v>
      </c>
      <c r="CI181" s="438">
        <f>+INPUT!DH52</f>
        <v>14.285714285714278</v>
      </c>
      <c r="CJ181" s="449">
        <f>+INPUT!DI52</f>
        <v>-41</v>
      </c>
      <c r="CK181" s="438">
        <f>+INPUT!DJ52</f>
        <v>-14.583333333333343</v>
      </c>
      <c r="CL181" s="449">
        <f>+INPUT!DK52</f>
        <v>-35</v>
      </c>
      <c r="CM181" s="438">
        <f>+INPUT!DL52</f>
        <v>-14.634146341463421</v>
      </c>
      <c r="CN181" s="449">
        <f>+INPUT!DM52</f>
        <v>-34</v>
      </c>
      <c r="CO181" s="438">
        <f>+INPUT!DN52</f>
        <v>-10.526315789473685</v>
      </c>
      <c r="CP181" s="449">
        <f>+INPUT!DO52</f>
        <v>-30</v>
      </c>
      <c r="CQ181" s="438">
        <f>+INPUT!DP52</f>
        <v>-25</v>
      </c>
      <c r="CR181" s="449">
        <f>+INPUT!DQ52</f>
        <v>-39</v>
      </c>
      <c r="CS181" s="438">
        <f>+INPUT!DR52</f>
        <v>-4.8780487804878021</v>
      </c>
      <c r="CT181" s="449">
        <f>+INPUT!DS52</f>
        <v>-29</v>
      </c>
      <c r="CU181" s="438">
        <f>+INPUT!DT52</f>
        <v>-17.142857142857139</v>
      </c>
      <c r="CV181" s="449">
        <f>+INPUT!DU52</f>
        <v>-33</v>
      </c>
      <c r="CW181" s="438">
        <f>+INPUT!DV52</f>
        <v>-2.941176470588232</v>
      </c>
      <c r="CX181" s="449">
        <f>+INPUT!DW52</f>
        <v>-30</v>
      </c>
      <c r="CY181" s="438">
        <f>+INPUT!DX52</f>
        <v>0</v>
      </c>
      <c r="CZ181" s="449">
        <f>+INPUT!DY52</f>
        <v>-32</v>
      </c>
      <c r="DA181" s="438">
        <f>+INPUT!DZ52</f>
        <v>-17.948717948717956</v>
      </c>
      <c r="DB181" s="449">
        <f>+INPUT!EA52</f>
        <v>-31</v>
      </c>
      <c r="DC181" s="438">
        <f>+INPUT!EB52</f>
        <v>6.8965517241379217</v>
      </c>
      <c r="DD181" s="449">
        <f>+INPUT!EC52</f>
        <v>-26</v>
      </c>
      <c r="DE181" s="438">
        <f>+INPUT!ED52</f>
        <v>-21.212121212121218</v>
      </c>
      <c r="DF181" s="449">
        <f>+INPUT!EE52</f>
        <v>-21</v>
      </c>
      <c r="DG181" s="438">
        <f>+INPUT!EF52</f>
        <v>-30</v>
      </c>
      <c r="DH181" s="449">
        <f>+INPUT!EG52</f>
        <v>-27</v>
      </c>
      <c r="DI181" s="438">
        <f>+INPUT!EH52</f>
        <v>-15.625</v>
      </c>
      <c r="DJ181" s="449">
        <f>+INPUT!EI52</f>
        <v>-27</v>
      </c>
      <c r="DK181" s="438">
        <f>+INPUT!EJ52</f>
        <v>-12.903225806451616</v>
      </c>
      <c r="DL181" s="449">
        <f>+INPUT!EK52</f>
        <v>-25</v>
      </c>
      <c r="DM181" s="438">
        <f>+INPUT!EL52</f>
        <v>-3.8461538461538396</v>
      </c>
      <c r="DN181" s="449">
        <f>+INPUT!EM52</f>
        <v>-21</v>
      </c>
      <c r="DO181" s="438">
        <f>+INPUT!EN52</f>
        <v>0</v>
      </c>
      <c r="DP181" s="449">
        <f>+INPUT!EO52</f>
        <v>-31</v>
      </c>
      <c r="DQ181" s="438">
        <f>+INPUT!EP52</f>
        <v>14.81481481481481</v>
      </c>
      <c r="DR181" s="449">
        <f>+INPUT!EQ52</f>
        <v>-30.822502147151443</v>
      </c>
      <c r="DS181" s="438">
        <f>+INPUT!ER52</f>
        <v>14.157415359820163</v>
      </c>
      <c r="DT181" s="449">
        <f>+INPUT!ES52</f>
        <v>-30.690649140086233</v>
      </c>
      <c r="DU181" s="438">
        <f>+INPUT!ET52</f>
        <v>22.762596560344946</v>
      </c>
      <c r="DV181" s="449">
        <f>+INPUT!EU52</f>
        <v>-30.56417727392472</v>
      </c>
      <c r="DW181" s="438">
        <f>+INPUT!EV52</f>
        <v>45.543701304403442</v>
      </c>
      <c r="DX181" s="449">
        <f>+INPUT!EW52</f>
        <v>-30.443269907234736</v>
      </c>
      <c r="DY181" s="438">
        <f>+INPUT!EX52</f>
        <v>-1.7959035250492406</v>
      </c>
      <c r="DZ181" s="449"/>
      <c r="EA181" s="438"/>
      <c r="EB181" s="439">
        <f>+INPUT!FI52</f>
        <v>-40.166204986149587</v>
      </c>
      <c r="EC181" s="449">
        <f>+INPUT!FJ52</f>
        <v>-143</v>
      </c>
      <c r="ED181" s="439">
        <f>+INPUT!FK52</f>
        <v>-33.796296296296291</v>
      </c>
      <c r="EE181" s="449">
        <f>+INPUT!FL52</f>
        <v>-141</v>
      </c>
      <c r="EF181" s="439">
        <f>+INPUT!FM52</f>
        <v>-1.3986013986014001</v>
      </c>
      <c r="EG181" s="449">
        <f>+INPUT!FN52</f>
        <v>-191</v>
      </c>
      <c r="EH181" s="439">
        <f>+INPUT!FO52</f>
        <v>35.460992907801426</v>
      </c>
      <c r="EI181" s="449">
        <f>+INPUT!FP52</f>
        <v>-231</v>
      </c>
      <c r="EJ181" s="438">
        <f>+INPUT!FQ52</f>
        <v>20.942408376963357</v>
      </c>
      <c r="EK181" s="449">
        <f>+INPUT!FR52</f>
        <v>-313</v>
      </c>
      <c r="EL181" s="438">
        <f>+INPUT!FS52</f>
        <v>35.497835497835496</v>
      </c>
      <c r="EM181" s="449">
        <f>+INPUT!FT52</f>
        <v>-286</v>
      </c>
      <c r="EN181" s="438">
        <f>+INPUT!FU52</f>
        <v>-8.626198083067095</v>
      </c>
      <c r="EO181" s="449">
        <f>+INPUT!FV52</f>
        <v>-276</v>
      </c>
      <c r="EP181" s="438">
        <f>+INPUT!FW52</f>
        <v>-3.4965034965034931</v>
      </c>
      <c r="EQ181" s="449">
        <f>+INPUT!FX52</f>
        <v>-258</v>
      </c>
      <c r="ER181" s="438">
        <f>+INPUT!FY52</f>
        <v>-6.5217391304347814</v>
      </c>
      <c r="ES181" s="449">
        <f>+INPUT!FZ52</f>
        <v>-215</v>
      </c>
      <c r="ET181" s="438">
        <f>+INPUT!GA52</f>
        <v>-16.666666666666657</v>
      </c>
      <c r="EU181" s="449">
        <f>+INPUT!GB52</f>
        <v>-183</v>
      </c>
      <c r="EV181" s="438">
        <f>+INPUT!GC52</f>
        <v>-14.883720930232556</v>
      </c>
      <c r="EW181" s="449">
        <f>+INPUT!GD52</f>
        <v>-160</v>
      </c>
      <c r="EX181" s="438">
        <f>+INPUT!GE52</f>
        <v>-12.568306010928964</v>
      </c>
      <c r="EY181" s="449">
        <f>+INPUT!GF52</f>
        <v>-160</v>
      </c>
      <c r="EZ181" s="438">
        <f>+INPUT!GG52</f>
        <v>0</v>
      </c>
      <c r="FA181" s="449">
        <f>+INPUT!GH52</f>
        <v>-138</v>
      </c>
      <c r="FB181" s="438">
        <f>+INPUT!GI52</f>
        <v>-13.75</v>
      </c>
      <c r="FC181" s="449">
        <f>+INPUT!GJ52</f>
        <v>-124</v>
      </c>
      <c r="FD181" s="438">
        <f>+INPUT!GK52</f>
        <v>-10.14492753623189</v>
      </c>
      <c r="FE181" s="449">
        <f>+INPUT!GL52</f>
        <v>-105</v>
      </c>
      <c r="FF181" s="438">
        <f>+INPUT!GM52</f>
        <v>-15.322580645161281</v>
      </c>
      <c r="FG181" s="449">
        <f>+INPUT!GN52</f>
        <v>-104</v>
      </c>
      <c r="FH181" s="438">
        <f>+INPUT!GO52</f>
        <v>-0.952380952380949</v>
      </c>
      <c r="FI181" s="449">
        <f>+INPUT!GP52</f>
        <v>-122.52059846839714</v>
      </c>
      <c r="FJ181" s="438">
        <f>+INPUT!GQ52</f>
        <v>17.80826775807418</v>
      </c>
      <c r="FK181" s="449">
        <f>+INPUT!GR52</f>
        <v>-120.55541166383533</v>
      </c>
      <c r="FL181" s="438">
        <f>+INPUT!GS52</f>
        <v>-1.6039644183330637</v>
      </c>
      <c r="FM181" s="449">
        <f>+INPUT!GT52</f>
        <v>-118.79818719093443</v>
      </c>
      <c r="FN181" s="438">
        <f>+INPUT!GU52</f>
        <v>-1.4576072933174231</v>
      </c>
      <c r="FO181" s="449">
        <f>+INPUT!GV52</f>
        <v>-117.25821378825381</v>
      </c>
      <c r="FP181" s="438">
        <f>+INPUT!GW52</f>
        <v>-1.296293688560695</v>
      </c>
      <c r="FQ181" s="449">
        <f>+INPUT!GX52</f>
        <v>-115.94603645670954</v>
      </c>
      <c r="FR181" s="438">
        <f>+INPUT!GY52</f>
        <v>-1.1190493946239144</v>
      </c>
      <c r="FS181" s="438">
        <f>+INPUT!GZ52</f>
        <v>2.1984981178041263</v>
      </c>
    </row>
    <row r="182" spans="1:175" s="529" customFormat="1" ht="12.75" hidden="1" customHeight="1" outlineLevel="1" x14ac:dyDescent="0.2">
      <c r="A182" s="441" t="str">
        <f>+INPUT!B53</f>
        <v xml:space="preserve">  Benefit Payments</v>
      </c>
      <c r="B182" s="449">
        <f>+INPUT!AA53</f>
        <v>-41</v>
      </c>
      <c r="C182" s="439">
        <f>+INPUT!AB53</f>
        <v>17.142857142857153</v>
      </c>
      <c r="D182" s="449">
        <f>+INPUT!AC53</f>
        <v>-46</v>
      </c>
      <c r="E182" s="439">
        <f>+INPUT!AD53</f>
        <v>31.428571428571416</v>
      </c>
      <c r="F182" s="449">
        <f>+INPUT!AE53</f>
        <v>-39</v>
      </c>
      <c r="G182" s="439">
        <f>+INPUT!AF53</f>
        <v>8.3333333333333286</v>
      </c>
      <c r="H182" s="449">
        <f>+INPUT!AG53</f>
        <v>-36</v>
      </c>
      <c r="I182" s="439">
        <f>+INPUT!AH53</f>
        <v>-7.6923076923076934</v>
      </c>
      <c r="J182" s="449">
        <f>+INPUT!AI53</f>
        <v>-45</v>
      </c>
      <c r="K182" s="439">
        <f>+INPUT!AJ53</f>
        <v>9.7560975609756184</v>
      </c>
      <c r="L182" s="449">
        <f>+INPUT!AK53</f>
        <v>-38</v>
      </c>
      <c r="M182" s="439">
        <f>+INPUT!AL53</f>
        <v>-17.391304347826093</v>
      </c>
      <c r="N182" s="449">
        <f>+INPUT!AM53</f>
        <v>-41</v>
      </c>
      <c r="O182" s="439">
        <f>+INPUT!AN53</f>
        <v>5.1282051282051384</v>
      </c>
      <c r="P182" s="449">
        <f>+INPUT!AO53</f>
        <v>-39</v>
      </c>
      <c r="Q182" s="439">
        <f>+INPUT!AP53</f>
        <v>8.3333333333333286</v>
      </c>
      <c r="R182" s="449">
        <f>+INPUT!AQ53</f>
        <v>-41</v>
      </c>
      <c r="S182" s="439">
        <f>+INPUT!AR53</f>
        <v>-8.8888888888888857</v>
      </c>
      <c r="T182" s="449">
        <f>+INPUT!AS53</f>
        <v>-43</v>
      </c>
      <c r="U182" s="439">
        <f>+INPUT!AT53</f>
        <v>13.157894736842096</v>
      </c>
      <c r="V182" s="449">
        <f>+INPUT!AU53</f>
        <v>-35</v>
      </c>
      <c r="W182" s="439">
        <f>+INPUT!AV53</f>
        <v>-14.634146341463421</v>
      </c>
      <c r="X182" s="449">
        <f>+INPUT!AW53</f>
        <v>-41</v>
      </c>
      <c r="Y182" s="439">
        <f>+INPUT!AX53</f>
        <v>5.1282051282051384</v>
      </c>
      <c r="Z182" s="449">
        <f>+INPUT!AY53</f>
        <v>-43</v>
      </c>
      <c r="AA182" s="439">
        <f>+INPUT!AZ53</f>
        <v>4.8780487804878021</v>
      </c>
      <c r="AB182" s="449">
        <f>+INPUT!BA53</f>
        <v>-42</v>
      </c>
      <c r="AC182" s="439">
        <f>+INPUT!BB53</f>
        <v>-2.3255813953488484</v>
      </c>
      <c r="AD182" s="449">
        <f>+INPUT!BC53</f>
        <v>-41</v>
      </c>
      <c r="AE182" s="439">
        <f>+INPUT!BD53</f>
        <v>17.142857142857153</v>
      </c>
      <c r="AF182" s="449">
        <f>+INPUT!BE53</f>
        <v>-50</v>
      </c>
      <c r="AG182" s="439">
        <f>+INPUT!BF53</f>
        <v>21.951219512195124</v>
      </c>
      <c r="AH182" s="449">
        <f>+INPUT!BG53</f>
        <v>-43</v>
      </c>
      <c r="AI182" s="438">
        <f>+INPUT!BH53</f>
        <v>0</v>
      </c>
      <c r="AJ182" s="449">
        <f>+INPUT!BI53</f>
        <v>-45</v>
      </c>
      <c r="AK182" s="438">
        <f>+INPUT!BJ53</f>
        <v>7.1428571428571388</v>
      </c>
      <c r="AL182" s="449">
        <f>+INPUT!BK53</f>
        <v>-41</v>
      </c>
      <c r="AM182" s="438">
        <f>+INPUT!BL53</f>
        <v>0</v>
      </c>
      <c r="AN182" s="449">
        <f>+INPUT!BM53</f>
        <v>-38</v>
      </c>
      <c r="AO182" s="438">
        <f>+INPUT!BN53</f>
        <v>-24</v>
      </c>
      <c r="AP182" s="449">
        <f>+INPUT!BO53</f>
        <v>-43</v>
      </c>
      <c r="AQ182" s="438">
        <f>+INPUT!BP53</f>
        <v>0</v>
      </c>
      <c r="AR182" s="449">
        <f>+INPUT!BQ53</f>
        <v>-40</v>
      </c>
      <c r="AS182" s="438">
        <f>+INPUT!BR53</f>
        <v>-11.111111111111114</v>
      </c>
      <c r="AT182" s="449">
        <f>+INPUT!BS53</f>
        <v>-37</v>
      </c>
      <c r="AU182" s="438">
        <f>+INPUT!BT53</f>
        <v>-9.7560975609756042</v>
      </c>
      <c r="AV182" s="449">
        <f>+INPUT!BU53</f>
        <v>-40</v>
      </c>
      <c r="AW182" s="438">
        <f>+INPUT!BV53</f>
        <v>5.2631578947368354</v>
      </c>
      <c r="AX182" s="449">
        <f>+INPUT!BW53</f>
        <v>-43</v>
      </c>
      <c r="AY182" s="438">
        <f>+INPUT!BX53</f>
        <v>0</v>
      </c>
      <c r="AZ182" s="449">
        <f>+INPUT!BY53</f>
        <v>-37</v>
      </c>
      <c r="BA182" s="438">
        <f>+INPUT!BZ53</f>
        <v>-7.5</v>
      </c>
      <c r="BB182" s="449">
        <f>+INPUT!CA53</f>
        <v>-41</v>
      </c>
      <c r="BC182" s="438">
        <f>+INPUT!CB53</f>
        <v>10.810810810810807</v>
      </c>
      <c r="BD182" s="449">
        <f>+INPUT!CC53</f>
        <v>-39</v>
      </c>
      <c r="BE182" s="438">
        <f>+INPUT!CD53</f>
        <v>-2.5</v>
      </c>
      <c r="BF182" s="449">
        <f>+INPUT!CE53</f>
        <v>-57</v>
      </c>
      <c r="BG182" s="438">
        <f>+INPUT!CF53</f>
        <v>32.558139534883708</v>
      </c>
      <c r="BH182" s="449">
        <f>+INPUT!CG53</f>
        <v>-80</v>
      </c>
      <c r="BI182" s="438" t="str">
        <f>+INPUT!CH53</f>
        <v>NM</v>
      </c>
      <c r="BJ182" s="449">
        <f>+INPUT!CI53</f>
        <v>-62</v>
      </c>
      <c r="BK182" s="438">
        <f>+INPUT!CJ53</f>
        <v>51.219512195121951</v>
      </c>
      <c r="BL182" s="449">
        <f>+INPUT!CK53</f>
        <v>-68</v>
      </c>
      <c r="BM182" s="438">
        <f>+INPUT!CL53</f>
        <v>74.358974358974365</v>
      </c>
      <c r="BN182" s="449">
        <f>+INPUT!CM53</f>
        <v>-67</v>
      </c>
      <c r="BO182" s="438">
        <f>+INPUT!CN53</f>
        <v>17.543859649122822</v>
      </c>
      <c r="BP182" s="449">
        <f>+INPUT!CO53</f>
        <v>-65</v>
      </c>
      <c r="BQ182" s="438">
        <f>+INPUT!CP53</f>
        <v>-18.75</v>
      </c>
      <c r="BR182" s="449">
        <f>+INPUT!CQ53</f>
        <v>-67</v>
      </c>
      <c r="BS182" s="438">
        <f>+INPUT!CR53</f>
        <v>8.0645161290322562</v>
      </c>
      <c r="BT182" s="449">
        <f>+INPUT!CS53</f>
        <v>-77</v>
      </c>
      <c r="BU182" s="438">
        <f>+INPUT!CT53</f>
        <v>13.235294117647058</v>
      </c>
      <c r="BV182" s="449">
        <f>+INPUT!CU53</f>
        <v>-83</v>
      </c>
      <c r="BW182" s="438">
        <f>+INPUT!CV53</f>
        <v>23.880597014925371</v>
      </c>
      <c r="BX182" s="449">
        <f>+INPUT!CW53</f>
        <v>-62</v>
      </c>
      <c r="BY182" s="438">
        <f>+INPUT!CX53</f>
        <v>-4.6153846153846132</v>
      </c>
      <c r="BZ182" s="449">
        <f>+INPUT!CY53</f>
        <v>-68</v>
      </c>
      <c r="CA182" s="438">
        <f>+INPUT!CZ53</f>
        <v>1.4925373134328339</v>
      </c>
      <c r="CB182" s="449">
        <f>+INPUT!DA53</f>
        <v>-68</v>
      </c>
      <c r="CC182" s="438">
        <f>+INPUT!DB53</f>
        <v>-11.688311688311686</v>
      </c>
      <c r="CD182" s="449">
        <f>+INPUT!DC53</f>
        <v>-71</v>
      </c>
      <c r="CE182" s="438">
        <f>+INPUT!DD53</f>
        <v>-14.457831325301214</v>
      </c>
      <c r="CF182" s="449">
        <f>+INPUT!DE53</f>
        <v>-96</v>
      </c>
      <c r="CG182" s="438">
        <f>+INPUT!DF53</f>
        <v>54.838709677419359</v>
      </c>
      <c r="CH182" s="449">
        <f>+INPUT!DG53</f>
        <v>-83</v>
      </c>
      <c r="CI182" s="438">
        <f>+INPUT!DH53</f>
        <v>22.058823529411768</v>
      </c>
      <c r="CJ182" s="449">
        <f>+INPUT!DI53</f>
        <v>-85</v>
      </c>
      <c r="CK182" s="438">
        <f>+INPUT!DJ53</f>
        <v>25</v>
      </c>
      <c r="CL182" s="449">
        <f>+INPUT!DK53</f>
        <v>-71</v>
      </c>
      <c r="CM182" s="438">
        <f>+INPUT!DL53</f>
        <v>0</v>
      </c>
      <c r="CN182" s="449">
        <f>+INPUT!DM53</f>
        <v>-75</v>
      </c>
      <c r="CO182" s="438">
        <f>+INPUT!DN53</f>
        <v>-21.875</v>
      </c>
      <c r="CP182" s="449">
        <f>+INPUT!DO53</f>
        <v>-109</v>
      </c>
      <c r="CQ182" s="438">
        <f>+INPUT!DP53</f>
        <v>31.325301204819255</v>
      </c>
      <c r="CR182" s="449">
        <f>+INPUT!DQ53</f>
        <v>-85</v>
      </c>
      <c r="CS182" s="438">
        <f>+INPUT!DR53</f>
        <v>0</v>
      </c>
      <c r="CT182" s="449">
        <f>+INPUT!DS53</f>
        <v>-88</v>
      </c>
      <c r="CU182" s="438">
        <f>+INPUT!DT53</f>
        <v>23.943661971830977</v>
      </c>
      <c r="CV182" s="449">
        <f>+INPUT!DU53</f>
        <v>-99</v>
      </c>
      <c r="CW182" s="438">
        <f>+INPUT!DV53</f>
        <v>32</v>
      </c>
      <c r="CX182" s="449">
        <f>+INPUT!DW53</f>
        <v>-91</v>
      </c>
      <c r="CY182" s="438">
        <f>+INPUT!DX53</f>
        <v>-16.513761467889907</v>
      </c>
      <c r="CZ182" s="449">
        <f>+INPUT!DY53</f>
        <v>-91</v>
      </c>
      <c r="DA182" s="438">
        <f>+INPUT!DZ53</f>
        <v>7.058823529411768</v>
      </c>
      <c r="DB182" s="449">
        <f>+INPUT!EA53</f>
        <v>-88</v>
      </c>
      <c r="DC182" s="438">
        <f>+INPUT!EB53</f>
        <v>0</v>
      </c>
      <c r="DD182" s="449">
        <f>+INPUT!EC53</f>
        <v>-90</v>
      </c>
      <c r="DE182" s="438">
        <f>+INPUT!ED53</f>
        <v>-9.0909090909090935</v>
      </c>
      <c r="DF182" s="449">
        <f>+INPUT!EE53</f>
        <v>-91</v>
      </c>
      <c r="DG182" s="438">
        <f>+INPUT!EF53</f>
        <v>0</v>
      </c>
      <c r="DH182" s="449">
        <f>+INPUT!EG53</f>
        <v>-75</v>
      </c>
      <c r="DI182" s="438">
        <f>+INPUT!EH53</f>
        <v>-17.582417582417591</v>
      </c>
      <c r="DJ182" s="449">
        <f>+INPUT!EI53</f>
        <v>-84</v>
      </c>
      <c r="DK182" s="438">
        <f>+INPUT!EJ53</f>
        <v>-4.5454545454545467</v>
      </c>
      <c r="DL182" s="449">
        <f>+INPUT!EK53</f>
        <v>-82</v>
      </c>
      <c r="DM182" s="438">
        <f>+INPUT!EL53</f>
        <v>-8.8888888888888857</v>
      </c>
      <c r="DN182" s="449">
        <f>+INPUT!EM53</f>
        <v>-72</v>
      </c>
      <c r="DO182" s="438">
        <f>+INPUT!EN53</f>
        <v>-20.879120879120876</v>
      </c>
      <c r="DP182" s="449">
        <f>+INPUT!EO53</f>
        <v>-77</v>
      </c>
      <c r="DQ182" s="438">
        <f>+INPUT!EP53</f>
        <v>2.6666666666666572</v>
      </c>
      <c r="DR182" s="449">
        <f>+INPUT!EQ53</f>
        <v>-76.559118236472941</v>
      </c>
      <c r="DS182" s="438">
        <f>+INPUT!ER53</f>
        <v>-8.8581925756274558</v>
      </c>
      <c r="DT182" s="449">
        <f>+INPUT!ES53</f>
        <v>-76.231612380214202</v>
      </c>
      <c r="DU182" s="438">
        <f>+INPUT!ET53</f>
        <v>-7.0346190485192608</v>
      </c>
      <c r="DV182" s="449">
        <f>+INPUT!EU53</f>
        <v>-75.917472583619471</v>
      </c>
      <c r="DW182" s="438">
        <f>+INPUT!EV53</f>
        <v>5.4409341439159391</v>
      </c>
      <c r="DX182" s="449">
        <f>+INPUT!EW53</f>
        <v>-75.61715428571209</v>
      </c>
      <c r="DY182" s="438">
        <f>+INPUT!EX53</f>
        <v>-1.7959035250492406</v>
      </c>
      <c r="DZ182" s="449"/>
      <c r="EA182" s="438"/>
      <c r="EB182" s="439" t="str">
        <f>+INPUT!FI53</f>
        <v>NA</v>
      </c>
      <c r="EC182" s="449">
        <f>+INPUT!FJ53</f>
        <v>-145</v>
      </c>
      <c r="ED182" s="439" t="str">
        <f>+INPUT!FK53</f>
        <v>NA</v>
      </c>
      <c r="EE182" s="449">
        <f>+INPUT!FL53</f>
        <v>-162</v>
      </c>
      <c r="EF182" s="439">
        <f>+INPUT!FM53</f>
        <v>11.724137931034477</v>
      </c>
      <c r="EG182" s="449">
        <f>+INPUT!FN53</f>
        <v>-163</v>
      </c>
      <c r="EH182" s="439">
        <f>+INPUT!FO53</f>
        <v>0.61728395061729202</v>
      </c>
      <c r="EI182" s="449">
        <f>+INPUT!FP53</f>
        <v>-160</v>
      </c>
      <c r="EJ182" s="438">
        <f>+INPUT!FQ53</f>
        <v>-1.8404907975460105</v>
      </c>
      <c r="EK182" s="449">
        <f>+INPUT!FR53</f>
        <v>-176</v>
      </c>
      <c r="EL182" s="438">
        <f>+INPUT!FS53</f>
        <v>10.000000000000014</v>
      </c>
      <c r="EM182" s="449">
        <f>+INPUT!FT53</f>
        <v>-167</v>
      </c>
      <c r="EN182" s="438">
        <f>+INPUT!FU53</f>
        <v>-5.1136363636363598</v>
      </c>
      <c r="EO182" s="449">
        <f>+INPUT!FV53</f>
        <v>-160</v>
      </c>
      <c r="EP182" s="438">
        <f>+INPUT!FW53</f>
        <v>-4.1916167664670638</v>
      </c>
      <c r="EQ182" s="449">
        <f>+INPUT!FX53</f>
        <v>-160</v>
      </c>
      <c r="ER182" s="438">
        <f>+INPUT!FY53</f>
        <v>0</v>
      </c>
      <c r="ES182" s="449">
        <f>+INPUT!FZ53</f>
        <v>-267</v>
      </c>
      <c r="ET182" s="438">
        <f>+INPUT!GA53</f>
        <v>66.875</v>
      </c>
      <c r="EU182" s="449">
        <f>+INPUT!GB53</f>
        <v>-276</v>
      </c>
      <c r="EV182" s="438">
        <f>+INPUT!GC53</f>
        <v>3.3707865168539399</v>
      </c>
      <c r="EW182" s="449">
        <f>+INPUT!GD53</f>
        <v>-281</v>
      </c>
      <c r="EX182" s="438">
        <f>+INPUT!GE53</f>
        <v>1.8115942028985614</v>
      </c>
      <c r="EY182" s="449">
        <f>+INPUT!GF53</f>
        <v>-335</v>
      </c>
      <c r="EZ182" s="438">
        <f>+INPUT!GG53</f>
        <v>19.217081850533816</v>
      </c>
      <c r="FA182" s="449">
        <f>+INPUT!GH53</f>
        <v>-340</v>
      </c>
      <c r="FB182" s="438">
        <f>+INPUT!GI53</f>
        <v>1.4925373134328339</v>
      </c>
      <c r="FC182" s="449">
        <f>+INPUT!GJ53</f>
        <v>-369</v>
      </c>
      <c r="FD182" s="438">
        <f>+INPUT!GK53</f>
        <v>8.5294117647058698</v>
      </c>
      <c r="FE182" s="449">
        <f>+INPUT!GL53</f>
        <v>-344</v>
      </c>
      <c r="FF182" s="438">
        <f>+INPUT!GM53</f>
        <v>-6.7750677506775077</v>
      </c>
      <c r="FG182" s="449">
        <f>+INPUT!GN53</f>
        <v>-315</v>
      </c>
      <c r="FH182" s="438">
        <f>+INPUT!GO53</f>
        <v>-8.4302325581395365</v>
      </c>
      <c r="FI182" s="449">
        <f>+INPUT!GP53</f>
        <v>-304.32535748601873</v>
      </c>
      <c r="FJ182" s="438">
        <f>+INPUT!GQ53</f>
        <v>-3.3887754012638993</v>
      </c>
      <c r="FK182" s="449">
        <f>+INPUT!GR53</f>
        <v>-299.4440870359781</v>
      </c>
      <c r="FL182" s="438">
        <f>+INPUT!GS53</f>
        <v>-1.6039644183330637</v>
      </c>
      <c r="FM182" s="449">
        <f>+INPUT!GT53</f>
        <v>-295.07936818393392</v>
      </c>
      <c r="FN182" s="438">
        <f>+INPUT!GU53</f>
        <v>-1.4576072933174231</v>
      </c>
      <c r="FO182" s="449">
        <f>+INPUT!GV53</f>
        <v>-291.25427295792082</v>
      </c>
      <c r="FP182" s="438">
        <f>+INPUT!GW53</f>
        <v>-1.296293688560695</v>
      </c>
      <c r="FQ182" s="449">
        <f>+INPUT!GX53</f>
        <v>-287.99499377956892</v>
      </c>
      <c r="FR182" s="438">
        <f>+INPUT!GY53</f>
        <v>-1.1190493946239144</v>
      </c>
      <c r="FS182" s="438">
        <f>+INPUT!GZ53</f>
        <v>-1.7766194975185612</v>
      </c>
    </row>
    <row r="183" spans="1:175" s="529" customFormat="1" ht="12.75" hidden="1" customHeight="1" outlineLevel="1" x14ac:dyDescent="0.2">
      <c r="A183" s="441" t="str">
        <f>+INPUT!B54</f>
        <v xml:space="preserve">  Interest Credited</v>
      </c>
      <c r="B183" s="449">
        <f>+INPUT!AA54</f>
        <v>43</v>
      </c>
      <c r="C183" s="439" t="str">
        <f>+INPUT!AB54</f>
        <v>NM</v>
      </c>
      <c r="D183" s="449">
        <f>+INPUT!AC54</f>
        <v>47</v>
      </c>
      <c r="E183" s="439">
        <f>+INPUT!AD54</f>
        <v>56.666666666666657</v>
      </c>
      <c r="F183" s="449">
        <f>+INPUT!AE54</f>
        <v>51</v>
      </c>
      <c r="G183" s="439">
        <f>+INPUT!AF54</f>
        <v>-8.9285714285714306</v>
      </c>
      <c r="H183" s="449">
        <f>+INPUT!AG54</f>
        <v>37</v>
      </c>
      <c r="I183" s="439">
        <f>+INPUT!AH54</f>
        <v>-21.276595744680847</v>
      </c>
      <c r="J183" s="449">
        <f>+INPUT!AI54</f>
        <v>65</v>
      </c>
      <c r="K183" s="439">
        <f>+INPUT!AJ54</f>
        <v>51.16279069767441</v>
      </c>
      <c r="L183" s="449">
        <f>+INPUT!AK54</f>
        <v>42</v>
      </c>
      <c r="M183" s="439">
        <f>+INPUT!AL54</f>
        <v>-10.638297872340431</v>
      </c>
      <c r="N183" s="449">
        <f>+INPUT!AM54</f>
        <v>49</v>
      </c>
      <c r="O183" s="439">
        <f>+INPUT!AN54</f>
        <v>-3.9215686274509807</v>
      </c>
      <c r="P183" s="449">
        <f>+INPUT!AO54</f>
        <v>35</v>
      </c>
      <c r="Q183" s="439">
        <f>+INPUT!AP54</f>
        <v>-5.4054054054054035</v>
      </c>
      <c r="R183" s="449">
        <f>+INPUT!AQ54</f>
        <v>46</v>
      </c>
      <c r="S183" s="439">
        <f>+INPUT!AR54</f>
        <v>-29.230769230769226</v>
      </c>
      <c r="T183" s="449">
        <f>+INPUT!AS54</f>
        <v>40</v>
      </c>
      <c r="U183" s="439">
        <f>+INPUT!AT54</f>
        <v>-4.7619047619047734</v>
      </c>
      <c r="V183" s="449">
        <f>+INPUT!AU54</f>
        <v>22</v>
      </c>
      <c r="W183" s="439" t="str">
        <f>+INPUT!AV54</f>
        <v>NM</v>
      </c>
      <c r="X183" s="449">
        <f>+INPUT!AW54</f>
        <v>39</v>
      </c>
      <c r="Y183" s="439">
        <f>+INPUT!AX54</f>
        <v>11.428571428571431</v>
      </c>
      <c r="Z183" s="449">
        <f>+INPUT!AY54</f>
        <v>35</v>
      </c>
      <c r="AA183" s="439">
        <f>+INPUT!AZ54</f>
        <v>-23.91304347826086</v>
      </c>
      <c r="AB183" s="449">
        <f>+INPUT!BA54</f>
        <v>33</v>
      </c>
      <c r="AC183" s="439">
        <f>+INPUT!BB54</f>
        <v>-17.5</v>
      </c>
      <c r="AD183" s="449">
        <f>+INPUT!BC54</f>
        <v>27</v>
      </c>
      <c r="AE183" s="439">
        <f>+INPUT!BD54</f>
        <v>22.727272727272734</v>
      </c>
      <c r="AF183" s="449">
        <f>+INPUT!BE54</f>
        <v>36</v>
      </c>
      <c r="AG183" s="439">
        <f>+INPUT!BF54</f>
        <v>-7.6923076923076934</v>
      </c>
      <c r="AH183" s="449">
        <f>+INPUT!BG54</f>
        <v>35</v>
      </c>
      <c r="AI183" s="438">
        <f>+INPUT!BH54</f>
        <v>0</v>
      </c>
      <c r="AJ183" s="449">
        <f>+INPUT!BI54</f>
        <v>29</v>
      </c>
      <c r="AK183" s="438">
        <f>+INPUT!BJ54</f>
        <v>-12.121212121212125</v>
      </c>
      <c r="AL183" s="449">
        <f>+INPUT!BK54</f>
        <v>33</v>
      </c>
      <c r="AM183" s="438">
        <f>+INPUT!BL54</f>
        <v>22.222222222222229</v>
      </c>
      <c r="AN183" s="449">
        <f>+INPUT!BM54</f>
        <v>27</v>
      </c>
      <c r="AO183" s="438">
        <f>+INPUT!BN54</f>
        <v>-25</v>
      </c>
      <c r="AP183" s="449">
        <f>+INPUT!BO54</f>
        <v>32</v>
      </c>
      <c r="AQ183" s="438">
        <f>+INPUT!BP54</f>
        <v>-8.5714285714285694</v>
      </c>
      <c r="AR183" s="449">
        <f>+INPUT!BQ54</f>
        <v>31</v>
      </c>
      <c r="AS183" s="438">
        <f>+INPUT!BR54</f>
        <v>6.8965517241379217</v>
      </c>
      <c r="AT183" s="449">
        <f>+INPUT!BS54</f>
        <v>32</v>
      </c>
      <c r="AU183" s="438">
        <f>+INPUT!BT54</f>
        <v>-3.0303030303030312</v>
      </c>
      <c r="AV183" s="449">
        <f>+INPUT!BU54</f>
        <v>32</v>
      </c>
      <c r="AW183" s="438">
        <f>+INPUT!BV54</f>
        <v>18.518518518518505</v>
      </c>
      <c r="AX183" s="449">
        <f>+INPUT!BW54</f>
        <v>33</v>
      </c>
      <c r="AY183" s="438">
        <f>+INPUT!BX54</f>
        <v>3.125</v>
      </c>
      <c r="AZ183" s="449">
        <f>+INPUT!BY54</f>
        <v>30</v>
      </c>
      <c r="BA183" s="438">
        <f>+INPUT!BZ54</f>
        <v>-3.2258064516128968</v>
      </c>
      <c r="BB183" s="449">
        <f>+INPUT!CA54</f>
        <v>36</v>
      </c>
      <c r="BC183" s="438">
        <f>+INPUT!CB54</f>
        <v>12.5</v>
      </c>
      <c r="BD183" s="449">
        <f>+INPUT!CC54</f>
        <v>298</v>
      </c>
      <c r="BE183" s="438" t="str">
        <f>+INPUT!CD54</f>
        <v>NM</v>
      </c>
      <c r="BF183" s="449">
        <f>+INPUT!CE54</f>
        <v>363</v>
      </c>
      <c r="BG183" s="438" t="str">
        <f>+INPUT!CF54</f>
        <v>NM</v>
      </c>
      <c r="BH183" s="449">
        <f>+INPUT!CG54</f>
        <v>153</v>
      </c>
      <c r="BI183" s="438" t="str">
        <f>+INPUT!CH54</f>
        <v>NM</v>
      </c>
      <c r="BJ183" s="449">
        <f>+INPUT!CI54</f>
        <v>139</v>
      </c>
      <c r="BK183" s="438" t="str">
        <f>+INPUT!CJ54</f>
        <v>NM</v>
      </c>
      <c r="BL183" s="449">
        <f>+INPUT!CK54</f>
        <v>110</v>
      </c>
      <c r="BM183" s="438" t="str">
        <f>+INPUT!CL54</f>
        <v>NM</v>
      </c>
      <c r="BN183" s="449">
        <f>+INPUT!CM54</f>
        <v>102</v>
      </c>
      <c r="BO183" s="438" t="str">
        <f>+INPUT!CN54</f>
        <v>NM</v>
      </c>
      <c r="BP183" s="449">
        <f>+INPUT!CO54</f>
        <v>74</v>
      </c>
      <c r="BQ183" s="438" t="str">
        <f>+INPUT!CP54</f>
        <v>NM</v>
      </c>
      <c r="BR183" s="449">
        <f>+INPUT!CQ54</f>
        <v>83</v>
      </c>
      <c r="BS183" s="438">
        <f>+INPUT!CR54</f>
        <v>-40.287769784172667</v>
      </c>
      <c r="BT183" s="449">
        <f>+INPUT!CS54</f>
        <v>87</v>
      </c>
      <c r="BU183" s="438">
        <f>+INPUT!CT54</f>
        <v>-20.909090909090907</v>
      </c>
      <c r="BV183" s="449">
        <f>+INPUT!CU54</f>
        <v>96</v>
      </c>
      <c r="BW183" s="438">
        <f>+INPUT!CV54</f>
        <v>-5.8823529411764781</v>
      </c>
      <c r="BX183" s="449">
        <f>+INPUT!CW54</f>
        <v>73</v>
      </c>
      <c r="BY183" s="438">
        <f>+INPUT!CX54</f>
        <v>-1.3513513513513544</v>
      </c>
      <c r="BZ183" s="449">
        <f>+INPUT!CY54</f>
        <v>78</v>
      </c>
      <c r="CA183" s="438">
        <f>+INPUT!CZ54</f>
        <v>-6.0240963855421654</v>
      </c>
      <c r="CB183" s="449">
        <f>+INPUT!DA54</f>
        <v>83</v>
      </c>
      <c r="CC183" s="438">
        <f>+INPUT!DB54</f>
        <v>-4.5977011494252906</v>
      </c>
      <c r="CD183" s="449">
        <f>+INPUT!DC54</f>
        <v>77</v>
      </c>
      <c r="CE183" s="438">
        <f>+INPUT!DD54</f>
        <v>-19.791666666666657</v>
      </c>
      <c r="CF183" s="449">
        <f>+INPUT!DE54</f>
        <v>105</v>
      </c>
      <c r="CG183" s="438">
        <f>+INPUT!DF54</f>
        <v>43.835616438356169</v>
      </c>
      <c r="CH183" s="449">
        <f>+INPUT!DG54</f>
        <v>91</v>
      </c>
      <c r="CI183" s="438">
        <f>+INPUT!DH54</f>
        <v>16.666666666666671</v>
      </c>
      <c r="CJ183" s="449">
        <f>+INPUT!DI54</f>
        <v>98</v>
      </c>
      <c r="CK183" s="438">
        <f>+INPUT!DJ54</f>
        <v>18.07228915662651</v>
      </c>
      <c r="CL183" s="449">
        <f>+INPUT!DK54</f>
        <v>73</v>
      </c>
      <c r="CM183" s="438">
        <f>+INPUT!DL54</f>
        <v>-5.1948051948051983</v>
      </c>
      <c r="CN183" s="449">
        <f>+INPUT!DM54</f>
        <v>78</v>
      </c>
      <c r="CO183" s="438">
        <f>+INPUT!DN54</f>
        <v>-25.714285714285708</v>
      </c>
      <c r="CP183" s="449">
        <f>+INPUT!DO54</f>
        <v>100</v>
      </c>
      <c r="CQ183" s="438">
        <f>+INPUT!DP54</f>
        <v>9.8901098901098976</v>
      </c>
      <c r="CR183" s="449">
        <f>+INPUT!DQ54</f>
        <v>86</v>
      </c>
      <c r="CS183" s="438">
        <f>+INPUT!DR54</f>
        <v>-12.244897959183675</v>
      </c>
      <c r="CT183" s="449">
        <f>+INPUT!DS54</f>
        <v>99</v>
      </c>
      <c r="CU183" s="438">
        <f>+INPUT!DT54</f>
        <v>35.616438356164394</v>
      </c>
      <c r="CV183" s="449">
        <f>+INPUT!DU54</f>
        <v>94</v>
      </c>
      <c r="CW183" s="438">
        <f>+INPUT!DV54</f>
        <v>20.512820512820511</v>
      </c>
      <c r="CX183" s="449">
        <f>+INPUT!DW54</f>
        <v>94</v>
      </c>
      <c r="CY183" s="438">
        <f>+INPUT!DX54</f>
        <v>-6</v>
      </c>
      <c r="CZ183" s="449">
        <f>+INPUT!DY54</f>
        <v>83</v>
      </c>
      <c r="DA183" s="438">
        <f>+INPUT!DZ54</f>
        <v>-3.4883720930232442</v>
      </c>
      <c r="DB183" s="449">
        <f>+INPUT!EA54</f>
        <v>86</v>
      </c>
      <c r="DC183" s="438">
        <f>+INPUT!EB54</f>
        <v>-13.131313131313121</v>
      </c>
      <c r="DD183" s="449">
        <f>+INPUT!EC54</f>
        <v>105</v>
      </c>
      <c r="DE183" s="438">
        <f>+INPUT!ED54</f>
        <v>11.702127659574458</v>
      </c>
      <c r="DF183" s="449">
        <f>+INPUT!EE54</f>
        <v>96</v>
      </c>
      <c r="DG183" s="438">
        <f>+INPUT!EF54</f>
        <v>2.1276595744680833</v>
      </c>
      <c r="DH183" s="449">
        <f>+INPUT!EG54</f>
        <v>87</v>
      </c>
      <c r="DI183" s="438">
        <f>+INPUT!EH54</f>
        <v>4.8192771084337238</v>
      </c>
      <c r="DJ183" s="449">
        <f>+INPUT!EI54</f>
        <v>100</v>
      </c>
      <c r="DK183" s="438">
        <f>+INPUT!EJ54</f>
        <v>16.279069767441868</v>
      </c>
      <c r="DL183" s="449">
        <f>+INPUT!EK54</f>
        <v>96</v>
      </c>
      <c r="DM183" s="438">
        <f>+INPUT!EL54</f>
        <v>-8.5714285714285694</v>
      </c>
      <c r="DN183" s="449">
        <f>+INPUT!EM54</f>
        <v>84</v>
      </c>
      <c r="DO183" s="438">
        <f>+INPUT!EN54</f>
        <v>-12.5</v>
      </c>
      <c r="DP183" s="449">
        <f>+INPUT!EO54</f>
        <v>83</v>
      </c>
      <c r="DQ183" s="438">
        <f>+INPUT!EP54</f>
        <v>-4.5977011494252906</v>
      </c>
      <c r="DR183" s="449">
        <f>+INPUT!EQ54</f>
        <v>82.524763813340954</v>
      </c>
      <c r="DS183" s="438">
        <f>+INPUT!ER54</f>
        <v>-17.475236186659046</v>
      </c>
      <c r="DT183" s="449">
        <f>+INPUT!ES54</f>
        <v>82.17173802023089</v>
      </c>
      <c r="DU183" s="438">
        <f>+INPUT!ET54</f>
        <v>-14.404439562259483</v>
      </c>
      <c r="DV183" s="449">
        <f>+INPUT!EU54</f>
        <v>81.83311979792748</v>
      </c>
      <c r="DW183" s="438">
        <f>+INPUT!EV54</f>
        <v>-2.5796192881815614</v>
      </c>
      <c r="DX183" s="449">
        <f>+INPUT!EW54</f>
        <v>81.50940007420914</v>
      </c>
      <c r="DY183" s="438">
        <f>+INPUT!EX54</f>
        <v>-1.7959035250492263</v>
      </c>
      <c r="DZ183" s="449"/>
      <c r="EA183" s="438"/>
      <c r="EB183" s="439" t="str">
        <f>+INPUT!FI54</f>
        <v>NM</v>
      </c>
      <c r="EC183" s="449">
        <f>+INPUT!FJ54</f>
        <v>107</v>
      </c>
      <c r="ED183" s="439">
        <f>+INPUT!FK54</f>
        <v>-26.206896551724128</v>
      </c>
      <c r="EE183" s="449">
        <f>+INPUT!FL54</f>
        <v>178</v>
      </c>
      <c r="EF183" s="439">
        <f>+INPUT!FM54</f>
        <v>66.355140186915889</v>
      </c>
      <c r="EG183" s="449">
        <f>+INPUT!FN54</f>
        <v>191</v>
      </c>
      <c r="EH183" s="439">
        <f>+INPUT!FO54</f>
        <v>7.3033707865168651</v>
      </c>
      <c r="EI183" s="449">
        <f>+INPUT!FP54</f>
        <v>147</v>
      </c>
      <c r="EJ183" s="438">
        <f>+INPUT!FQ54</f>
        <v>-23.03664921465969</v>
      </c>
      <c r="EK183" s="449">
        <f>+INPUT!FR54</f>
        <v>131</v>
      </c>
      <c r="EL183" s="438">
        <f>+INPUT!FS54</f>
        <v>-10.884353741496597</v>
      </c>
      <c r="EM183" s="449">
        <f>+INPUT!FT54</f>
        <v>124</v>
      </c>
      <c r="EN183" s="438">
        <f>+INPUT!FU54</f>
        <v>-5.3435114503816834</v>
      </c>
      <c r="EO183" s="449">
        <f>+INPUT!FV54</f>
        <v>127</v>
      </c>
      <c r="EP183" s="438">
        <f>+INPUT!FW54</f>
        <v>2.4193548387096797</v>
      </c>
      <c r="EQ183" s="449">
        <f>+INPUT!FX54</f>
        <v>397</v>
      </c>
      <c r="ER183" s="438" t="str">
        <f>+INPUT!FY54</f>
        <v>NM</v>
      </c>
      <c r="ES183" s="449">
        <f>+INPUT!FZ54</f>
        <v>765</v>
      </c>
      <c r="ET183" s="438">
        <f>+INPUT!GA54</f>
        <v>92.69521410579344</v>
      </c>
      <c r="EU183" s="449">
        <f>+INPUT!GB54</f>
        <v>346</v>
      </c>
      <c r="EV183" s="438" t="str">
        <f>+INPUT!GC54</f>
        <v>NM</v>
      </c>
      <c r="EW183" s="449">
        <f>+INPUT!GD54</f>
        <v>330</v>
      </c>
      <c r="EX183" s="438">
        <f>+INPUT!GE54</f>
        <v>-4.6242774566473912</v>
      </c>
      <c r="EY183" s="449">
        <f>+INPUT!GF54</f>
        <v>371</v>
      </c>
      <c r="EZ183" s="438">
        <f>+INPUT!GG54</f>
        <v>12.424242424242422</v>
      </c>
      <c r="FA183" s="449">
        <f>+INPUT!GH54</f>
        <v>337</v>
      </c>
      <c r="FB183" s="438">
        <f>+INPUT!GI54</f>
        <v>-9.1644204851752136</v>
      </c>
      <c r="FC183" s="449">
        <f>+INPUT!GJ54</f>
        <v>370</v>
      </c>
      <c r="FD183" s="438">
        <f>+INPUT!GK54</f>
        <v>9.7922848664688331</v>
      </c>
      <c r="FE183" s="449">
        <f>+INPUT!GL54</f>
        <v>374</v>
      </c>
      <c r="FF183" s="438">
        <f>+INPUT!GM54</f>
        <v>1.0810810810810665</v>
      </c>
      <c r="FG183" s="449">
        <f>+INPUT!GN54</f>
        <v>363</v>
      </c>
      <c r="FH183" s="438">
        <f>+INPUT!GO54</f>
        <v>-2.941176470588232</v>
      </c>
      <c r="FI183" s="449">
        <f>+INPUT!GP54</f>
        <v>328.03902170570848</v>
      </c>
      <c r="FJ183" s="438">
        <f>+INPUT!GQ54</f>
        <v>-9.6311234970500124</v>
      </c>
      <c r="FK183" s="449">
        <f>+INPUT!GR54</f>
        <v>322.77739251930103</v>
      </c>
      <c r="FL183" s="438">
        <f>+INPUT!GS54</f>
        <v>-1.6039644183330637</v>
      </c>
      <c r="FM183" s="449">
        <f>+INPUT!GT54</f>
        <v>318.07256570475988</v>
      </c>
      <c r="FN183" s="438">
        <f>+INPUT!GU54</f>
        <v>-1.4576072933174373</v>
      </c>
      <c r="FO183" s="449">
        <f>+INPUT!GV54</f>
        <v>313.94941111048598</v>
      </c>
      <c r="FP183" s="438">
        <f>+INPUT!GW54</f>
        <v>-1.296293688560695</v>
      </c>
      <c r="FQ183" s="449">
        <f>+INPUT!GX54</f>
        <v>310.43616212602876</v>
      </c>
      <c r="FR183" s="438">
        <f>+INPUT!GY54</f>
        <v>-1.1190493946239002</v>
      </c>
      <c r="FS183" s="438">
        <f>+INPUT!GZ54</f>
        <v>-3.0800601068203592</v>
      </c>
    </row>
    <row r="184" spans="1:175" s="529" customFormat="1" ht="12.75" hidden="1" customHeight="1" outlineLevel="1" x14ac:dyDescent="0.2">
      <c r="A184" s="441" t="str">
        <f>+INPUT!B55</f>
        <v xml:space="preserve">  Policy Charges</v>
      </c>
      <c r="B184" s="449">
        <f>+INPUT!AA55</f>
        <v>-1</v>
      </c>
      <c r="C184" s="439" t="str">
        <f>+INPUT!AB55</f>
        <v>NA</v>
      </c>
      <c r="D184" s="449">
        <f>+INPUT!AC55</f>
        <v>-1</v>
      </c>
      <c r="E184" s="439">
        <f>+INPUT!AD55</f>
        <v>0</v>
      </c>
      <c r="F184" s="449">
        <f>+INPUT!AE55</f>
        <v>-1</v>
      </c>
      <c r="G184" s="439">
        <f>+INPUT!AF55</f>
        <v>0</v>
      </c>
      <c r="H184" s="449">
        <f>+INPUT!AG55</f>
        <v>-1</v>
      </c>
      <c r="I184" s="439">
        <f>+INPUT!AH55</f>
        <v>0</v>
      </c>
      <c r="J184" s="449">
        <f>+INPUT!AI55</f>
        <v>-1</v>
      </c>
      <c r="K184" s="439">
        <f>+INPUT!AJ55</f>
        <v>0</v>
      </c>
      <c r="L184" s="449">
        <f>+INPUT!AK55</f>
        <v>-1</v>
      </c>
      <c r="M184" s="439">
        <f>+INPUT!AL55</f>
        <v>0</v>
      </c>
      <c r="N184" s="449">
        <f>+INPUT!AM55</f>
        <v>-1</v>
      </c>
      <c r="O184" s="439">
        <f>+INPUT!AN55</f>
        <v>0</v>
      </c>
      <c r="P184" s="449">
        <f>+INPUT!AO55</f>
        <v>-1</v>
      </c>
      <c r="Q184" s="439">
        <f>+INPUT!AP55</f>
        <v>0</v>
      </c>
      <c r="R184" s="449">
        <f>+INPUT!AQ55</f>
        <v>-1</v>
      </c>
      <c r="S184" s="439">
        <f>+INPUT!AR55</f>
        <v>0</v>
      </c>
      <c r="T184" s="449">
        <f>+INPUT!AS55</f>
        <v>-2</v>
      </c>
      <c r="U184" s="439">
        <f>+INPUT!AT55</f>
        <v>100</v>
      </c>
      <c r="V184" s="449">
        <f>+INPUT!AU55</f>
        <v>-1</v>
      </c>
      <c r="W184" s="439">
        <f>+INPUT!AV55</f>
        <v>0</v>
      </c>
      <c r="X184" s="449">
        <f>+INPUT!AW55</f>
        <v>-1</v>
      </c>
      <c r="Y184" s="439">
        <f>+INPUT!AX55</f>
        <v>0</v>
      </c>
      <c r="Z184" s="449">
        <f>+INPUT!AY55</f>
        <v>-1</v>
      </c>
      <c r="AA184" s="439">
        <f>+INPUT!AZ55</f>
        <v>0</v>
      </c>
      <c r="AB184" s="449">
        <f>+INPUT!BA55</f>
        <v>-1</v>
      </c>
      <c r="AC184" s="439">
        <f>+INPUT!BB55</f>
        <v>-50</v>
      </c>
      <c r="AD184" s="449">
        <f>+INPUT!BC55</f>
        <v>-1</v>
      </c>
      <c r="AE184" s="439">
        <f>+INPUT!BD55</f>
        <v>0</v>
      </c>
      <c r="AF184" s="449">
        <f>+INPUT!BE55</f>
        <v>-1</v>
      </c>
      <c r="AG184" s="439">
        <f>+INPUT!BF55</f>
        <v>0</v>
      </c>
      <c r="AH184" s="449">
        <f>+INPUT!BG55</f>
        <v>-1</v>
      </c>
      <c r="AI184" s="438">
        <f>+INPUT!BH55</f>
        <v>0</v>
      </c>
      <c r="AJ184" s="449">
        <f>+INPUT!BI55</f>
        <v>-1</v>
      </c>
      <c r="AK184" s="438">
        <f>+INPUT!BJ55</f>
        <v>0</v>
      </c>
      <c r="AL184" s="449">
        <f>+INPUT!BK55</f>
        <v>-1</v>
      </c>
      <c r="AM184" s="438">
        <f>+INPUT!BL55</f>
        <v>0</v>
      </c>
      <c r="AN184" s="449">
        <f>+INPUT!BM55</f>
        <v>-1</v>
      </c>
      <c r="AO184" s="438">
        <f>+INPUT!BN55</f>
        <v>0</v>
      </c>
      <c r="AP184" s="449">
        <f>+INPUT!BO55</f>
        <v>-1</v>
      </c>
      <c r="AQ184" s="438">
        <f>+INPUT!BP55</f>
        <v>0</v>
      </c>
      <c r="AR184" s="449">
        <f>+INPUT!BQ55</f>
        <v>0</v>
      </c>
      <c r="AS184" s="438" t="str">
        <f>+INPUT!BR55</f>
        <v>NM</v>
      </c>
      <c r="AT184" s="449">
        <f>+INPUT!BS55</f>
        <v>-2</v>
      </c>
      <c r="AU184" s="438">
        <f>+INPUT!BT55</f>
        <v>100</v>
      </c>
      <c r="AV184" s="449">
        <f>+INPUT!BU55</f>
        <v>-2</v>
      </c>
      <c r="AW184" s="438">
        <f>+INPUT!BV55</f>
        <v>100</v>
      </c>
      <c r="AX184" s="449">
        <f>+INPUT!BW55</f>
        <v>0</v>
      </c>
      <c r="AY184" s="438" t="str">
        <f>+INPUT!BX55</f>
        <v>NM</v>
      </c>
      <c r="AZ184" s="449">
        <f>+INPUT!BY55</f>
        <v>-1</v>
      </c>
      <c r="BA184" s="438" t="str">
        <f>+INPUT!BZ55</f>
        <v>NA</v>
      </c>
      <c r="BB184" s="449">
        <f>+INPUT!CA55</f>
        <v>0</v>
      </c>
      <c r="BC184" s="438" t="str">
        <f>+INPUT!CB55</f>
        <v>NM</v>
      </c>
      <c r="BD184" s="449">
        <f>+INPUT!CC55</f>
        <v>0</v>
      </c>
      <c r="BE184" s="438" t="str">
        <f>+INPUT!CD55</f>
        <v>NM</v>
      </c>
      <c r="BF184" s="449">
        <f>+INPUT!CE55</f>
        <v>-1</v>
      </c>
      <c r="BG184" s="438" t="str">
        <f>+INPUT!CF55</f>
        <v>NA</v>
      </c>
      <c r="BH184" s="449">
        <f>+INPUT!CG55</f>
        <v>0</v>
      </c>
      <c r="BI184" s="438" t="str">
        <f>+INPUT!CH55</f>
        <v>NM</v>
      </c>
      <c r="BJ184" s="449">
        <f>+INPUT!CI55</f>
        <v>0</v>
      </c>
      <c r="BK184" s="438" t="str">
        <f>+INPUT!CJ55</f>
        <v>NA</v>
      </c>
      <c r="BL184" s="449">
        <f>+INPUT!CK55</f>
        <v>0</v>
      </c>
      <c r="BM184" s="438" t="str">
        <f>+INPUT!CL55</f>
        <v>NA</v>
      </c>
      <c r="BN184" s="449">
        <f>+INPUT!CM55</f>
        <v>-1</v>
      </c>
      <c r="BO184" s="438">
        <f>+INPUT!CN55</f>
        <v>0</v>
      </c>
      <c r="BP184" s="449">
        <f>+INPUT!CO55</f>
        <v>0</v>
      </c>
      <c r="BQ184" s="438" t="str">
        <f>+INPUT!CP55</f>
        <v>NA</v>
      </c>
      <c r="BR184" s="449">
        <f>+INPUT!CQ55</f>
        <v>0</v>
      </c>
      <c r="BS184" s="438" t="str">
        <f>+INPUT!CR55</f>
        <v>NA</v>
      </c>
      <c r="BT184" s="449">
        <f>+INPUT!CS55</f>
        <v>0</v>
      </c>
      <c r="BU184" s="438" t="str">
        <f>+INPUT!CT55</f>
        <v>NA</v>
      </c>
      <c r="BV184" s="449">
        <f>+INPUT!CU55</f>
        <v>0</v>
      </c>
      <c r="BW184" s="438" t="str">
        <f>+INPUT!CV55</f>
        <v>NM</v>
      </c>
      <c r="BX184" s="449">
        <f>+INPUT!CW55</f>
        <v>-1</v>
      </c>
      <c r="BY184" s="438" t="str">
        <f>+INPUT!CX55</f>
        <v>NA</v>
      </c>
      <c r="BZ184" s="449">
        <f>+INPUT!CY55</f>
        <v>-1</v>
      </c>
      <c r="CA184" s="438" t="str">
        <f>+INPUT!CZ55</f>
        <v>NA</v>
      </c>
      <c r="CB184" s="449">
        <f>+INPUT!DA55</f>
        <v>0</v>
      </c>
      <c r="CC184" s="438" t="str">
        <f>+INPUT!DB55</f>
        <v>NA</v>
      </c>
      <c r="CD184" s="449">
        <f>+INPUT!DC55</f>
        <v>-1</v>
      </c>
      <c r="CE184" s="438" t="str">
        <f>+INPUT!DD55</f>
        <v>NA</v>
      </c>
      <c r="CF184" s="449">
        <f>+INPUT!DE55</f>
        <v>0</v>
      </c>
      <c r="CG184" s="438" t="str">
        <f>+INPUT!DF55</f>
        <v>NM</v>
      </c>
      <c r="CH184" s="449">
        <f>+INPUT!DG55</f>
        <v>-2</v>
      </c>
      <c r="CI184" s="438">
        <f>+INPUT!DH55</f>
        <v>100</v>
      </c>
      <c r="CJ184" s="449">
        <f>+INPUT!DI55</f>
        <v>0</v>
      </c>
      <c r="CK184" s="438" t="str">
        <f>+INPUT!DJ55</f>
        <v>NA</v>
      </c>
      <c r="CL184" s="449">
        <f>+INPUT!DK55</f>
        <v>-1</v>
      </c>
      <c r="CM184" s="438">
        <f>+INPUT!DL55</f>
        <v>0</v>
      </c>
      <c r="CN184" s="449">
        <f>+INPUT!DM55</f>
        <v>0</v>
      </c>
      <c r="CO184" s="438" t="str">
        <f>+INPUT!DN55</f>
        <v>NA</v>
      </c>
      <c r="CP184" s="449">
        <f>+INPUT!DO55</f>
        <v>-1</v>
      </c>
      <c r="CQ184" s="438">
        <f>+INPUT!DP55</f>
        <v>-50</v>
      </c>
      <c r="CR184" s="449">
        <f>+INPUT!DQ55</f>
        <v>0</v>
      </c>
      <c r="CS184" s="438" t="str">
        <f>+INPUT!DR55</f>
        <v>NA</v>
      </c>
      <c r="CT184" s="449">
        <f>+INPUT!DS55</f>
        <v>0</v>
      </c>
      <c r="CU184" s="438" t="str">
        <f>+INPUT!DT55</f>
        <v>NM</v>
      </c>
      <c r="CV184" s="449">
        <f>+INPUT!DU55</f>
        <v>0</v>
      </c>
      <c r="CW184" s="438" t="str">
        <f>+INPUT!DV55</f>
        <v>NA</v>
      </c>
      <c r="CX184" s="449">
        <f>+INPUT!DW55</f>
        <v>-1</v>
      </c>
      <c r="CY184" s="438">
        <f>+INPUT!DX55</f>
        <v>0</v>
      </c>
      <c r="CZ184" s="449">
        <f>+INPUT!DY55</f>
        <v>-1</v>
      </c>
      <c r="DA184" s="438" t="str">
        <f>+INPUT!DZ55</f>
        <v>NA</v>
      </c>
      <c r="DB184" s="449">
        <f>+INPUT!EA55</f>
        <v>0</v>
      </c>
      <c r="DC184" s="438" t="str">
        <f>+INPUT!EB55</f>
        <v>NA</v>
      </c>
      <c r="DD184" s="449">
        <f>+INPUT!EC55</f>
        <v>-1</v>
      </c>
      <c r="DE184" s="438" t="str">
        <f>+INPUT!ED55</f>
        <v>NA</v>
      </c>
      <c r="DF184" s="449">
        <f>+INPUT!EE55</f>
        <v>0</v>
      </c>
      <c r="DG184" s="438" t="str">
        <f>+INPUT!EF55</f>
        <v>NM</v>
      </c>
      <c r="DH184" s="449">
        <f>+INPUT!EG55</f>
        <v>0</v>
      </c>
      <c r="DI184" s="438" t="str">
        <f>+INPUT!EH55</f>
        <v>NM</v>
      </c>
      <c r="DJ184" s="449">
        <f>+INPUT!EI55</f>
        <v>0</v>
      </c>
      <c r="DK184" s="438" t="str">
        <f>+INPUT!EJ55</f>
        <v>NA</v>
      </c>
      <c r="DL184" s="449">
        <f>+INPUT!EK55</f>
        <v>0</v>
      </c>
      <c r="DM184" s="438" t="str">
        <f>+INPUT!EL55</f>
        <v>NM</v>
      </c>
      <c r="DN184" s="449">
        <f>+INPUT!EM55</f>
        <v>-1</v>
      </c>
      <c r="DO184" s="438" t="str">
        <f>+INPUT!EN55</f>
        <v>NA</v>
      </c>
      <c r="DP184" s="449">
        <f>+INPUT!EO55</f>
        <v>0</v>
      </c>
      <c r="DQ184" s="438" t="str">
        <f>+INPUT!EP55</f>
        <v>NA</v>
      </c>
      <c r="DR184" s="449">
        <f>+INPUT!EQ55</f>
        <v>0</v>
      </c>
      <c r="DS184" s="438" t="str">
        <f>+INPUT!ER55</f>
        <v>NA</v>
      </c>
      <c r="DT184" s="449">
        <f>+INPUT!ES55</f>
        <v>0</v>
      </c>
      <c r="DU184" s="438" t="str">
        <f>+INPUT!ET55</f>
        <v>NA</v>
      </c>
      <c r="DV184" s="449">
        <f>+INPUT!EU55</f>
        <v>0</v>
      </c>
      <c r="DW184" s="438" t="str">
        <f>+INPUT!EV55</f>
        <v>NM</v>
      </c>
      <c r="DX184" s="449">
        <f>+INPUT!EW55</f>
        <v>0</v>
      </c>
      <c r="DY184" s="438" t="str">
        <f>+INPUT!EX55</f>
        <v>NA</v>
      </c>
      <c r="DZ184" s="449"/>
      <c r="EA184" s="438"/>
      <c r="EB184" s="439" t="str">
        <f>+INPUT!FI55</f>
        <v>NA</v>
      </c>
      <c r="EC184" s="449">
        <f>+INPUT!FJ55</f>
        <v>-3</v>
      </c>
      <c r="ED184" s="439" t="str">
        <f>+INPUT!FK55</f>
        <v>NA</v>
      </c>
      <c r="EE184" s="449">
        <f>+INPUT!FL55</f>
        <v>-4</v>
      </c>
      <c r="EF184" s="439">
        <f>+INPUT!FM55</f>
        <v>33.333333333333314</v>
      </c>
      <c r="EG184" s="449">
        <f>+INPUT!FN55</f>
        <v>-4</v>
      </c>
      <c r="EH184" s="439">
        <f>+INPUT!FO55</f>
        <v>0</v>
      </c>
      <c r="EI184" s="449">
        <f>+INPUT!FP55</f>
        <v>-5</v>
      </c>
      <c r="EJ184" s="438">
        <f>+INPUT!FQ55</f>
        <v>25</v>
      </c>
      <c r="EK184" s="449">
        <f>+INPUT!FR55</f>
        <v>-4</v>
      </c>
      <c r="EL184" s="438">
        <f>+INPUT!FS55</f>
        <v>-20</v>
      </c>
      <c r="EM184" s="449">
        <f>+INPUT!FT55</f>
        <v>-4</v>
      </c>
      <c r="EN184" s="438">
        <f>+INPUT!FU55</f>
        <v>0</v>
      </c>
      <c r="EO184" s="449">
        <f>+INPUT!FV55</f>
        <v>-5</v>
      </c>
      <c r="EP184" s="438">
        <f>+INPUT!FW55</f>
        <v>25</v>
      </c>
      <c r="EQ184" s="449">
        <f>+INPUT!FX55</f>
        <v>-1</v>
      </c>
      <c r="ER184" s="438" t="str">
        <f>+INPUT!FY55</f>
        <v>NM</v>
      </c>
      <c r="ES184" s="449">
        <f>+INPUT!FZ55</f>
        <v>-1</v>
      </c>
      <c r="ET184" s="438">
        <f>+INPUT!GA55</f>
        <v>0</v>
      </c>
      <c r="EU184" s="449">
        <f>+INPUT!GB55</f>
        <v>-1</v>
      </c>
      <c r="EV184" s="438">
        <f>+INPUT!GC55</f>
        <v>0</v>
      </c>
      <c r="EW184" s="449">
        <f>+INPUT!GD55</f>
        <v>-2</v>
      </c>
      <c r="EX184" s="438">
        <f>+INPUT!GE55</f>
        <v>100</v>
      </c>
      <c r="EY184" s="449">
        <f>+INPUT!GF55</f>
        <v>-3</v>
      </c>
      <c r="EZ184" s="438">
        <f>+INPUT!GG55</f>
        <v>50</v>
      </c>
      <c r="FA184" s="449">
        <f>+INPUT!GH55</f>
        <v>-2</v>
      </c>
      <c r="FB184" s="438">
        <f>+INPUT!GI55</f>
        <v>-33.333333333333343</v>
      </c>
      <c r="FC184" s="449">
        <f>+INPUT!GJ55</f>
        <v>-2</v>
      </c>
      <c r="FD184" s="438">
        <f>+INPUT!GK55</f>
        <v>0</v>
      </c>
      <c r="FE184" s="449">
        <f>+INPUT!GL55</f>
        <v>-1</v>
      </c>
      <c r="FF184" s="438">
        <f>+INPUT!GM55</f>
        <v>-50</v>
      </c>
      <c r="FG184" s="449">
        <f>+INPUT!GN55</f>
        <v>-1</v>
      </c>
      <c r="FH184" s="438">
        <f>+INPUT!GO55</f>
        <v>0</v>
      </c>
      <c r="FI184" s="449">
        <f>+INPUT!GP55</f>
        <v>0</v>
      </c>
      <c r="FJ184" s="438" t="str">
        <f>+INPUT!GQ55</f>
        <v>NM</v>
      </c>
      <c r="FK184" s="449">
        <f>+INPUT!GR55</f>
        <v>0</v>
      </c>
      <c r="FL184" s="438" t="str">
        <f>+INPUT!GS55</f>
        <v>NA</v>
      </c>
      <c r="FM184" s="449">
        <f>+INPUT!GT55</f>
        <v>0</v>
      </c>
      <c r="FN184" s="438" t="str">
        <f>+INPUT!GU55</f>
        <v>NA</v>
      </c>
      <c r="FO184" s="449">
        <f>+INPUT!GV55</f>
        <v>0</v>
      </c>
      <c r="FP184" s="438" t="str">
        <f>+INPUT!GW55</f>
        <v>NA</v>
      </c>
      <c r="FQ184" s="449">
        <f>+INPUT!GX55</f>
        <v>0</v>
      </c>
      <c r="FR184" s="438" t="str">
        <f>+INPUT!GY55</f>
        <v>NA</v>
      </c>
      <c r="FS184" s="438" t="str">
        <f>+INPUT!GZ55</f>
        <v>NM</v>
      </c>
    </row>
    <row r="185" spans="1:175" s="529" customFormat="1" ht="12.75" hidden="1" customHeight="1" outlineLevel="1" x14ac:dyDescent="0.2">
      <c r="A185" s="441" t="str">
        <f>+INPUT!B56</f>
        <v>Ending Reserves</v>
      </c>
      <c r="B185" s="449">
        <f>+INPUT!AA56</f>
        <v>3473</v>
      </c>
      <c r="C185" s="439">
        <f>+INPUT!AB56</f>
        <v>19.388105878308707</v>
      </c>
      <c r="D185" s="449">
        <f>+INPUT!AC56</f>
        <v>3498</v>
      </c>
      <c r="E185" s="439">
        <f>+INPUT!AD56</f>
        <v>14.763779527559052</v>
      </c>
      <c r="F185" s="449">
        <f>+INPUT!AE56</f>
        <v>3523</v>
      </c>
      <c r="G185" s="439">
        <f>+INPUT!AF56</f>
        <v>8.0674846625767032</v>
      </c>
      <c r="H185" s="449">
        <f>+INPUT!AG56</f>
        <v>3514</v>
      </c>
      <c r="I185" s="439">
        <f>+INPUT!AH56</f>
        <v>3.4746760895170752</v>
      </c>
      <c r="J185" s="449">
        <f>+INPUT!AI56</f>
        <v>3574</v>
      </c>
      <c r="K185" s="439">
        <f>+INPUT!AJ56</f>
        <v>2.908148574719263</v>
      </c>
      <c r="L185" s="449">
        <f>+INPUT!AK56</f>
        <v>3722</v>
      </c>
      <c r="M185" s="439">
        <f>+INPUT!AL56</f>
        <v>6.4036592338479181</v>
      </c>
      <c r="N185" s="449">
        <f>+INPUT!AM56</f>
        <v>3860</v>
      </c>
      <c r="O185" s="439">
        <f>+INPUT!AN56</f>
        <v>9.5657110417258053</v>
      </c>
      <c r="P185" s="449">
        <f>+INPUT!AO56</f>
        <v>3879</v>
      </c>
      <c r="Q185" s="439">
        <f>+INPUT!AP56</f>
        <v>10.387023335230509</v>
      </c>
      <c r="R185" s="449">
        <f>+INPUT!AQ56</f>
        <v>3879</v>
      </c>
      <c r="S185" s="439">
        <f>+INPUT!AR56</f>
        <v>8.5338556239507426</v>
      </c>
      <c r="T185" s="449">
        <f>+INPUT!AS56</f>
        <v>4064</v>
      </c>
      <c r="U185" s="439">
        <f>+INPUT!AT56</f>
        <v>9.188608275120913</v>
      </c>
      <c r="V185" s="449">
        <f>+INPUT!AU56</f>
        <v>4033</v>
      </c>
      <c r="W185" s="439">
        <f>+INPUT!AV56</f>
        <v>4.4818652849740914</v>
      </c>
      <c r="X185" s="449">
        <f>+INPUT!AW56</f>
        <v>3991</v>
      </c>
      <c r="Y185" s="439">
        <f>+INPUT!AX56</f>
        <v>2.8873420984789817</v>
      </c>
      <c r="Z185" s="449">
        <f>+INPUT!AY56</f>
        <v>3941</v>
      </c>
      <c r="AA185" s="439">
        <f>+INPUT!AZ56</f>
        <v>1.5983500902294452</v>
      </c>
      <c r="AB185" s="449">
        <f>+INPUT!BA56</f>
        <v>3871</v>
      </c>
      <c r="AC185" s="439">
        <f>+INPUT!BB56</f>
        <v>-4.7490157480314963</v>
      </c>
      <c r="AD185" s="449">
        <f>+INPUT!BC56</f>
        <v>3814</v>
      </c>
      <c r="AE185" s="439">
        <f>+INPUT!BD56</f>
        <v>-5.4302008430448723</v>
      </c>
      <c r="AF185" s="449">
        <f>+INPUT!BE56</f>
        <v>3748</v>
      </c>
      <c r="AG185" s="439">
        <f>+INPUT!BF56</f>
        <v>-6.0886995740415841</v>
      </c>
      <c r="AH185" s="449">
        <f>+INPUT!BG56</f>
        <v>3679</v>
      </c>
      <c r="AI185" s="438">
        <f>+INPUT!BH56</f>
        <v>-6.6480588683075439</v>
      </c>
      <c r="AJ185" s="449">
        <f>+INPUT!BI56</f>
        <v>3608</v>
      </c>
      <c r="AK185" s="438">
        <f>+INPUT!BJ56</f>
        <v>-6.7941100490829172</v>
      </c>
      <c r="AL185" s="449">
        <f>+INPUT!BK56</f>
        <v>3546</v>
      </c>
      <c r="AM185" s="438">
        <f>+INPUT!BL56</f>
        <v>-7.0267435762978465</v>
      </c>
      <c r="AN185" s="449">
        <f>+INPUT!BM56</f>
        <v>3488</v>
      </c>
      <c r="AO185" s="438">
        <f>+INPUT!BN56</f>
        <v>-6.9370330843116221</v>
      </c>
      <c r="AP185" s="449">
        <f>+INPUT!BO56</f>
        <v>3440</v>
      </c>
      <c r="AQ185" s="438">
        <f>+INPUT!BP56</f>
        <v>-6.4963305245990739</v>
      </c>
      <c r="AR185" s="449">
        <f>+INPUT!BQ56</f>
        <v>3394</v>
      </c>
      <c r="AS185" s="438">
        <f>+INPUT!BR56</f>
        <v>-5.9312638580931321</v>
      </c>
      <c r="AT185" s="449">
        <f>+INPUT!BS56</f>
        <v>3349</v>
      </c>
      <c r="AU185" s="438">
        <f>+INPUT!BT56</f>
        <v>-5.5555555555555571</v>
      </c>
      <c r="AV185" s="449">
        <f>+INPUT!BU56</f>
        <v>3295</v>
      </c>
      <c r="AW185" s="438">
        <f>+INPUT!BV56</f>
        <v>-5.5332568807339442</v>
      </c>
      <c r="AX185" s="449">
        <f>+INPUT!BW56</f>
        <v>3263</v>
      </c>
      <c r="AY185" s="438">
        <f>+INPUT!BX56</f>
        <v>-5.1453488372093119</v>
      </c>
      <c r="AZ185" s="449">
        <f>+INPUT!BY56</f>
        <v>3221</v>
      </c>
      <c r="BA185" s="438">
        <f>+INPUT!BZ56</f>
        <v>-5.0972304065998912</v>
      </c>
      <c r="BB185" s="449">
        <f>+INPUT!CA56</f>
        <v>3213</v>
      </c>
      <c r="BC185" s="438">
        <f>+INPUT!CB56</f>
        <v>-4.0609137055837579</v>
      </c>
      <c r="BD185" s="449">
        <f>+INPUT!CC56</f>
        <v>3452</v>
      </c>
      <c r="BE185" s="438">
        <f>+INPUT!CD56</f>
        <v>4.7647951441578158</v>
      </c>
      <c r="BF185" s="449">
        <f>+INPUT!CE56</f>
        <v>3739</v>
      </c>
      <c r="BG185" s="438">
        <f>+INPUT!CF56</f>
        <v>14.587802635611396</v>
      </c>
      <c r="BH185" s="449">
        <f>+INPUT!CG56</f>
        <v>3766</v>
      </c>
      <c r="BI185" s="438">
        <f>+INPUT!CH56</f>
        <v>16.920211114560701</v>
      </c>
      <c r="BJ185" s="449">
        <f>+INPUT!CI56</f>
        <v>3828</v>
      </c>
      <c r="BK185" s="438">
        <f>+INPUT!CJ56</f>
        <v>19.140989729225026</v>
      </c>
      <c r="BL185" s="449">
        <f>+INPUT!CK56</f>
        <v>3837</v>
      </c>
      <c r="BM185" s="438">
        <f>+INPUT!CL56</f>
        <v>11.152954808806498</v>
      </c>
      <c r="BN185" s="449">
        <f>+INPUT!CM56</f>
        <v>3841</v>
      </c>
      <c r="BO185" s="438">
        <f>+INPUT!CN56</f>
        <v>2.7280021396095293</v>
      </c>
      <c r="BP185" s="449">
        <f>+INPUT!CO56</f>
        <v>3825</v>
      </c>
      <c r="BQ185" s="438">
        <f>+INPUT!CP56</f>
        <v>1.5666489644184765</v>
      </c>
      <c r="BR185" s="449">
        <f>+INPUT!CQ56</f>
        <v>3810</v>
      </c>
      <c r="BS185" s="438">
        <f>+INPUT!CR56</f>
        <v>-0.47021943573668068</v>
      </c>
      <c r="BT185" s="449">
        <f>+INPUT!CS56</f>
        <v>3792</v>
      </c>
      <c r="BU185" s="438">
        <f>+INPUT!CT56</f>
        <v>-1.1727912431587271</v>
      </c>
      <c r="BV185" s="449">
        <f>+INPUT!CU56</f>
        <v>3778</v>
      </c>
      <c r="BW185" s="438">
        <f>+INPUT!CV56</f>
        <v>-1.6401978651392852</v>
      </c>
      <c r="BX185" s="449">
        <f>+INPUT!CW56</f>
        <v>3768</v>
      </c>
      <c r="BY185" s="438">
        <f>+INPUT!CX56</f>
        <v>-1.4901960784313673</v>
      </c>
      <c r="BZ185" s="449">
        <f>+INPUT!CY56</f>
        <v>3756</v>
      </c>
      <c r="CA185" s="438">
        <f>+INPUT!CZ56</f>
        <v>-1.4173228346456739</v>
      </c>
      <c r="CB185" s="449">
        <f>+INPUT!DA56</f>
        <v>3734</v>
      </c>
      <c r="CC185" s="438">
        <f>+INPUT!DB56</f>
        <v>-1.5295358649788966</v>
      </c>
      <c r="CD185" s="449">
        <f>+INPUT!DC56</f>
        <v>3714</v>
      </c>
      <c r="CE185" s="438">
        <f>+INPUT!DD56</f>
        <v>-1.6940179989412485</v>
      </c>
      <c r="CF185" s="449">
        <f>+INPUT!DE56</f>
        <v>3699</v>
      </c>
      <c r="CG185" s="438">
        <f>+INPUT!DF56</f>
        <v>-1.8312101910828034</v>
      </c>
      <c r="CH185" s="449">
        <f>+INPUT!DG56</f>
        <v>3681</v>
      </c>
      <c r="CI185" s="438">
        <f>+INPUT!DH56</f>
        <v>-1.9968051118210894</v>
      </c>
      <c r="CJ185" s="449">
        <f>+INPUT!DI56</f>
        <v>3673</v>
      </c>
      <c r="CK185" s="438">
        <f>+INPUT!DJ56</f>
        <v>-1.6336368505623966</v>
      </c>
      <c r="CL185" s="449">
        <f>+INPUT!DK56</f>
        <v>3656</v>
      </c>
      <c r="CM185" s="438">
        <f>+INPUT!DL56</f>
        <v>-1.5616585891222456</v>
      </c>
      <c r="CN185" s="449">
        <f>+INPUT!DM56</f>
        <v>3638</v>
      </c>
      <c r="CO185" s="438">
        <f>+INPUT!DN56</f>
        <v>-1.6490943498242814</v>
      </c>
      <c r="CP185" s="449">
        <f>+INPUT!DO56</f>
        <v>3611</v>
      </c>
      <c r="CQ185" s="438">
        <f>+INPUT!DP56</f>
        <v>-1.9016571583808712</v>
      </c>
      <c r="CR185" s="449">
        <f>+INPUT!DQ56</f>
        <v>3581</v>
      </c>
      <c r="CS185" s="438">
        <f>+INPUT!DR56</f>
        <v>-2.5047644976858123</v>
      </c>
      <c r="CT185" s="449">
        <f>+INPUT!DS56</f>
        <v>3575</v>
      </c>
      <c r="CU185" s="438">
        <f>+INPUT!DT56</f>
        <v>-2.2155361050328253</v>
      </c>
      <c r="CV185" s="449">
        <f>+INPUT!DU56</f>
        <v>3552</v>
      </c>
      <c r="CW185" s="438">
        <f>+INPUT!DV56</f>
        <v>-2.3639362286970851</v>
      </c>
      <c r="CX185" s="449">
        <f>+INPUT!DW56</f>
        <v>3532</v>
      </c>
      <c r="CY185" s="438">
        <f>+INPUT!DX56</f>
        <v>-2.1877596233730259</v>
      </c>
      <c r="CZ185" s="449">
        <f>+INPUT!DY56</f>
        <v>3504</v>
      </c>
      <c r="DA185" s="438">
        <f>+INPUT!DZ56</f>
        <v>-2.1502373638648322</v>
      </c>
      <c r="DB185" s="449">
        <f>+INPUT!EA56</f>
        <v>3487</v>
      </c>
      <c r="DC185" s="438">
        <f>+INPUT!EB56</f>
        <v>-2.4615384615384528</v>
      </c>
      <c r="DD185" s="449">
        <f>+INPUT!EC56</f>
        <v>3489</v>
      </c>
      <c r="DE185" s="438">
        <f>+INPUT!ED56</f>
        <v>-1.7736486486486456</v>
      </c>
      <c r="DF185" s="449">
        <f>+INPUT!EE56</f>
        <v>3485</v>
      </c>
      <c r="DG185" s="438">
        <f>+INPUT!EF56</f>
        <v>-1.3306908267270643</v>
      </c>
      <c r="DH185" s="449">
        <f>+INPUT!EG56</f>
        <v>3488</v>
      </c>
      <c r="DI185" s="438">
        <f>+INPUT!EH56</f>
        <v>-0.45662100456621602</v>
      </c>
      <c r="DJ185" s="449">
        <f>+INPUT!EI56</f>
        <v>3489</v>
      </c>
      <c r="DK185" s="438">
        <f>+INPUT!EJ56</f>
        <v>5.7355893318032258E-2</v>
      </c>
      <c r="DL185" s="449">
        <f>+INPUT!EK56</f>
        <v>3492</v>
      </c>
      <c r="DM185" s="438">
        <f>+INPUT!EL56</f>
        <v>8.5984522785892636E-2</v>
      </c>
      <c r="DN185" s="449">
        <f>+INPUT!EM56</f>
        <v>3493</v>
      </c>
      <c r="DO185" s="438">
        <f>+INPUT!EN56</f>
        <v>0.22955523672882805</v>
      </c>
      <c r="DP185" s="449">
        <f>+INPUT!EO56</f>
        <v>3473</v>
      </c>
      <c r="DQ185" s="438">
        <f>+INPUT!EP56</f>
        <v>-0.43004587155964202</v>
      </c>
      <c r="DR185" s="449">
        <f>+INPUT!EQ56</f>
        <v>3458.1431434297169</v>
      </c>
      <c r="DS185" s="438">
        <f>+INPUT!ER56</f>
        <v>-0.88440402895622583</v>
      </c>
      <c r="DT185" s="449">
        <f>+INPUT!ES56</f>
        <v>3443.892619929647</v>
      </c>
      <c r="DU185" s="438">
        <f>+INPUT!ET56</f>
        <v>-1.3776454773869631</v>
      </c>
      <c r="DV185" s="449">
        <f>+INPUT!EU56</f>
        <v>3430.2690898700303</v>
      </c>
      <c r="DW185" s="438">
        <f>+INPUT!EV56</f>
        <v>-1.7959035250492406</v>
      </c>
      <c r="DX185" s="449">
        <f>+INPUT!EW56</f>
        <v>3417.2943157512927</v>
      </c>
      <c r="DY185" s="438">
        <f>+INPUT!EX56</f>
        <v>-1.6039644183330637</v>
      </c>
      <c r="DZ185" s="449"/>
      <c r="EA185" s="438"/>
      <c r="EB185" s="439">
        <f>+INPUT!FI56</f>
        <v>1.6746411483253638</v>
      </c>
      <c r="EC185" s="449">
        <f>+INPUT!FJ56</f>
        <v>3396</v>
      </c>
      <c r="ED185" s="439">
        <f>+INPUT!FK56</f>
        <v>14.151260504201673</v>
      </c>
      <c r="EE185" s="449">
        <f>+INPUT!FL56</f>
        <v>3514</v>
      </c>
      <c r="EF185" s="439">
        <f>+INPUT!FM56</f>
        <v>3.4746760895170752</v>
      </c>
      <c r="EG185" s="449">
        <f>+INPUT!FN56</f>
        <v>3879</v>
      </c>
      <c r="EH185" s="439">
        <f>+INPUT!FO56</f>
        <v>10.387023335230509</v>
      </c>
      <c r="EI185" s="449">
        <f>+INPUT!FP56</f>
        <v>3991</v>
      </c>
      <c r="EJ185" s="438">
        <f>+INPUT!FQ56</f>
        <v>2.8873420984789817</v>
      </c>
      <c r="EK185" s="449">
        <f>+INPUT!FR56</f>
        <v>3748</v>
      </c>
      <c r="EL185" s="438">
        <f>+INPUT!FS56</f>
        <v>-6.0886995740415841</v>
      </c>
      <c r="EM185" s="449">
        <f>+INPUT!FT56</f>
        <v>3488</v>
      </c>
      <c r="EN185" s="438">
        <f>+INPUT!FU56</f>
        <v>-6.9370330843116221</v>
      </c>
      <c r="EO185" s="449">
        <f>+INPUT!FV56</f>
        <v>3295</v>
      </c>
      <c r="EP185" s="438">
        <f>+INPUT!FW56</f>
        <v>-5.5332568807339442</v>
      </c>
      <c r="EQ185" s="449">
        <f>+INPUT!FX56</f>
        <v>3452</v>
      </c>
      <c r="ER185" s="438">
        <f>+INPUT!FY56</f>
        <v>4.7647951441578158</v>
      </c>
      <c r="ES185" s="449">
        <f>+INPUT!FZ56</f>
        <v>3837</v>
      </c>
      <c r="ET185" s="438">
        <f>+INPUT!GA56</f>
        <v>11.152954808806498</v>
      </c>
      <c r="EU185" s="449">
        <f>+INPUT!GB56</f>
        <v>3792</v>
      </c>
      <c r="EV185" s="438">
        <f>+INPUT!GC56</f>
        <v>-1.1727912431587271</v>
      </c>
      <c r="EW185" s="449">
        <f>+INPUT!GD56</f>
        <v>3734</v>
      </c>
      <c r="EX185" s="438">
        <f>+INPUT!GE56</f>
        <v>-1.5295358649788966</v>
      </c>
      <c r="EY185" s="449">
        <f>+INPUT!GF56</f>
        <v>3673</v>
      </c>
      <c r="EZ185" s="438">
        <f>+INPUT!GG56</f>
        <v>-1.6336368505623966</v>
      </c>
      <c r="FA185" s="449">
        <f>+INPUT!GH56</f>
        <v>3581</v>
      </c>
      <c r="FB185" s="438">
        <f>+INPUT!GI56</f>
        <v>-2.5047644976858123</v>
      </c>
      <c r="FC185" s="449">
        <f>+INPUT!GJ56</f>
        <v>3504</v>
      </c>
      <c r="FD185" s="438">
        <f>+INPUT!GK56</f>
        <v>-2.1502373638648322</v>
      </c>
      <c r="FE185" s="449">
        <f>+INPUT!GL56</f>
        <v>3488</v>
      </c>
      <c r="FF185" s="438">
        <f>+INPUT!GM56</f>
        <v>-0.45662100456621602</v>
      </c>
      <c r="FG185" s="449">
        <f>+INPUT!GN56</f>
        <v>3473</v>
      </c>
      <c r="FH185" s="438">
        <f>+INPUT!GO56</f>
        <v>-0.43004587155964202</v>
      </c>
      <c r="FI185" s="449">
        <f>+INPUT!GP56</f>
        <v>3417.2943157512927</v>
      </c>
      <c r="FJ185" s="438">
        <f>+INPUT!GQ56</f>
        <v>-1.6039644183330637</v>
      </c>
      <c r="FK185" s="449">
        <f>+INPUT!GR56</f>
        <v>3367.4835845707803</v>
      </c>
      <c r="FL185" s="438">
        <f>+INPUT!GS56</f>
        <v>-1.4576072933174231</v>
      </c>
      <c r="FM185" s="449">
        <f>+INPUT!GT56</f>
        <v>3323.8311074006715</v>
      </c>
      <c r="FN185" s="438">
        <f>+INPUT!GU56</f>
        <v>-1.296293688560695</v>
      </c>
      <c r="FO185" s="449">
        <f>+INPUT!GV56</f>
        <v>3286.6357955149829</v>
      </c>
      <c r="FP185" s="438">
        <f>+INPUT!GW56</f>
        <v>-1.1190493946239144</v>
      </c>
      <c r="FQ185" s="449">
        <f>+INPUT!GX56</f>
        <v>3256.2354675297329</v>
      </c>
      <c r="FR185" s="438">
        <f>+INPUT!GY56</f>
        <v>-0.92496795740906634</v>
      </c>
      <c r="FS185" s="438">
        <f>+INPUT!GZ56</f>
        <v>-1.2806689450664877</v>
      </c>
    </row>
    <row r="186" spans="1:175" s="529" customFormat="1" ht="12.75" hidden="1" customHeight="1" outlineLevel="1" x14ac:dyDescent="0.2">
      <c r="A186" s="441" t="str">
        <f>+INPUT!B57</f>
        <v>Average Reserves</v>
      </c>
      <c r="B186" s="449">
        <f>+INPUT!AA57</f>
        <v>3434.5</v>
      </c>
      <c r="C186" s="439">
        <f>+INPUT!AB57</f>
        <v>16.740312712440513</v>
      </c>
      <c r="D186" s="449">
        <f>+INPUT!AC57</f>
        <v>3485.5</v>
      </c>
      <c r="E186" s="439">
        <f>+INPUT!AD57</f>
        <v>17.02199093503441</v>
      </c>
      <c r="F186" s="449">
        <f>+INPUT!AE57</f>
        <v>3510.5</v>
      </c>
      <c r="G186" s="439">
        <f>+INPUT!AF57</f>
        <v>11.303107165504116</v>
      </c>
      <c r="H186" s="449">
        <f>+INPUT!AG57</f>
        <v>3518.5</v>
      </c>
      <c r="I186" s="439">
        <f>+INPUT!AH57</f>
        <v>5.7241586538461462</v>
      </c>
      <c r="J186" s="449">
        <f>+INPUT!AI57</f>
        <v>3544</v>
      </c>
      <c r="K186" s="439">
        <f>+INPUT!AJ57</f>
        <v>3.1882370068423427</v>
      </c>
      <c r="L186" s="449">
        <f>+INPUT!AK57</f>
        <v>3648</v>
      </c>
      <c r="M186" s="439">
        <f>+INPUT!AL57</f>
        <v>4.662171854827136</v>
      </c>
      <c r="N186" s="449">
        <f>+INPUT!AM57</f>
        <v>3791</v>
      </c>
      <c r="O186" s="439">
        <f>+INPUT!AN57</f>
        <v>7.9903147699757824</v>
      </c>
      <c r="P186" s="449">
        <f>+INPUT!AO57</f>
        <v>3869.5</v>
      </c>
      <c r="Q186" s="439">
        <f>+INPUT!AP57</f>
        <v>9.9758419781156675</v>
      </c>
      <c r="R186" s="449">
        <f>+INPUT!AQ57</f>
        <v>3879</v>
      </c>
      <c r="S186" s="439">
        <f>+INPUT!AR57</f>
        <v>9.452595936794566</v>
      </c>
      <c r="T186" s="449">
        <f>+INPUT!AS57</f>
        <v>3971.5</v>
      </c>
      <c r="U186" s="439">
        <f>+INPUT!AT57</f>
        <v>8.8678728070175481</v>
      </c>
      <c r="V186" s="449">
        <f>+INPUT!AU57</f>
        <v>4048.5</v>
      </c>
      <c r="W186" s="439">
        <f>+INPUT!AV57</f>
        <v>6.7924030598786516</v>
      </c>
      <c r="X186" s="449">
        <f>+INPUT!AW57</f>
        <v>4012</v>
      </c>
      <c r="Y186" s="439">
        <f>+INPUT!AX57</f>
        <v>3.6826463367360134</v>
      </c>
      <c r="Z186" s="449">
        <f>+INPUT!AY57</f>
        <v>3966</v>
      </c>
      <c r="AA186" s="439">
        <f>+INPUT!AZ57</f>
        <v>2.2428460943542063</v>
      </c>
      <c r="AB186" s="449">
        <f>+INPUT!BA57</f>
        <v>3906</v>
      </c>
      <c r="AC186" s="439">
        <f>+INPUT!BB57</f>
        <v>-1.6492509127533594</v>
      </c>
      <c r="AD186" s="449">
        <f>+INPUT!BC57</f>
        <v>3842.5</v>
      </c>
      <c r="AE186" s="439">
        <f>+INPUT!BD57</f>
        <v>-5.0883043102383567</v>
      </c>
      <c r="AF186" s="449">
        <f>+INPUT!BE57</f>
        <v>3781</v>
      </c>
      <c r="AG186" s="439">
        <f>+INPUT!BF57</f>
        <v>-5.7577268195413751</v>
      </c>
      <c r="AH186" s="449">
        <f>+INPUT!BG57</f>
        <v>3713.5</v>
      </c>
      <c r="AI186" s="438">
        <f>+INPUT!BH57</f>
        <v>-6.3666162380231981</v>
      </c>
      <c r="AJ186" s="449">
        <f>+INPUT!BI57</f>
        <v>3643.5</v>
      </c>
      <c r="AK186" s="438">
        <f>+INPUT!BJ57</f>
        <v>-6.7204301075268802</v>
      </c>
      <c r="AL186" s="449">
        <f>+INPUT!BK57</f>
        <v>3577</v>
      </c>
      <c r="AM186" s="438">
        <f>+INPUT!BL57</f>
        <v>-6.9095640858815983</v>
      </c>
      <c r="AN186" s="449">
        <f>+INPUT!BM57</f>
        <v>3517</v>
      </c>
      <c r="AO186" s="438">
        <f>+INPUT!BN57</f>
        <v>-6.9822798201534084</v>
      </c>
      <c r="AP186" s="449">
        <f>+INPUT!BO57</f>
        <v>3464</v>
      </c>
      <c r="AQ186" s="438">
        <f>+INPUT!BP57</f>
        <v>-6.7187289618957777</v>
      </c>
      <c r="AR186" s="449">
        <f>+INPUT!BQ57</f>
        <v>3417</v>
      </c>
      <c r="AS186" s="438">
        <f>+INPUT!BR57</f>
        <v>-6.2165500205846058</v>
      </c>
      <c r="AT186" s="449">
        <f>+INPUT!BS57</f>
        <v>3371.5</v>
      </c>
      <c r="AU186" s="438">
        <f>+INPUT!BT57</f>
        <v>-5.745037741123852</v>
      </c>
      <c r="AV186" s="449">
        <f>+INPUT!BU57</f>
        <v>3322</v>
      </c>
      <c r="AW186" s="438">
        <f>+INPUT!BV57</f>
        <v>-5.5444981518339489</v>
      </c>
      <c r="AX186" s="449">
        <f>+INPUT!BW57</f>
        <v>3279</v>
      </c>
      <c r="AY186" s="438">
        <f>+INPUT!BX57</f>
        <v>-5.3406466512702053</v>
      </c>
      <c r="AZ186" s="449">
        <f>+INPUT!BY57</f>
        <v>3242</v>
      </c>
      <c r="BA186" s="438">
        <f>+INPUT!BZ57</f>
        <v>-5.1214515657009088</v>
      </c>
      <c r="BB186" s="449">
        <f>+INPUT!CA57</f>
        <v>3217</v>
      </c>
      <c r="BC186" s="438">
        <f>+INPUT!CB57</f>
        <v>-4.5825300311434063</v>
      </c>
      <c r="BD186" s="449">
        <f>+INPUT!CC57</f>
        <v>3332.5</v>
      </c>
      <c r="BE186" s="438">
        <f>+INPUT!CD57</f>
        <v>0.31607465382299438</v>
      </c>
      <c r="BF186" s="449">
        <f>+INPUT!CE57</f>
        <v>3595.5</v>
      </c>
      <c r="BG186" s="438">
        <f>+INPUT!CF57</f>
        <v>9.6523330283623068</v>
      </c>
      <c r="BH186" s="449">
        <f>+INPUT!CG57</f>
        <v>3752.5</v>
      </c>
      <c r="BI186" s="438">
        <f>+INPUT!CH57</f>
        <v>15.746452806909318</v>
      </c>
      <c r="BJ186" s="449">
        <f>+INPUT!CI57</f>
        <v>3797</v>
      </c>
      <c r="BK186" s="438">
        <f>+INPUT!CJ57</f>
        <v>18.02921976997203</v>
      </c>
      <c r="BL186" s="449">
        <f>+INPUT!CK57</f>
        <v>3832.5</v>
      </c>
      <c r="BM186" s="438">
        <f>+INPUT!CL57</f>
        <v>15.003750937734424</v>
      </c>
      <c r="BN186" s="449">
        <f>+INPUT!CM57</f>
        <v>3839</v>
      </c>
      <c r="BO186" s="438">
        <f>+INPUT!CN57</f>
        <v>6.7723543318036548</v>
      </c>
      <c r="BP186" s="449">
        <f>+INPUT!CO57</f>
        <v>3833</v>
      </c>
      <c r="BQ186" s="438">
        <f>+INPUT!CP57</f>
        <v>2.1452365089940031</v>
      </c>
      <c r="BR186" s="449">
        <f>+INPUT!CQ57</f>
        <v>3817.5</v>
      </c>
      <c r="BS186" s="438">
        <f>+INPUT!CR57</f>
        <v>0.53989992099026551</v>
      </c>
      <c r="BT186" s="449">
        <f>+INPUT!CS57</f>
        <v>3801</v>
      </c>
      <c r="BU186" s="438">
        <f>+INPUT!CT57</f>
        <v>-0.82191780821916893</v>
      </c>
      <c r="BV186" s="449">
        <f>+INPUT!CU57</f>
        <v>3785</v>
      </c>
      <c r="BW186" s="438">
        <f>+INPUT!CV57</f>
        <v>-1.4066163063297807</v>
      </c>
      <c r="BX186" s="449">
        <f>+INPUT!CW57</f>
        <v>3773</v>
      </c>
      <c r="BY186" s="438">
        <f>+INPUT!CX57</f>
        <v>-1.5653535090007722</v>
      </c>
      <c r="BZ186" s="449">
        <f>+INPUT!CY57</f>
        <v>3762</v>
      </c>
      <c r="CA186" s="438">
        <f>+INPUT!CZ57</f>
        <v>-1.4538310412573736</v>
      </c>
      <c r="CB186" s="449">
        <f>+INPUT!DA57</f>
        <v>3745</v>
      </c>
      <c r="CC186" s="438">
        <f>+INPUT!DB57</f>
        <v>-1.4732965009208101</v>
      </c>
      <c r="CD186" s="449">
        <f>+INPUT!DC57</f>
        <v>3724</v>
      </c>
      <c r="CE186" s="438">
        <f>+INPUT!DD57</f>
        <v>-1.6116248348745046</v>
      </c>
      <c r="CF186" s="449">
        <f>+INPUT!DE57</f>
        <v>3706.5</v>
      </c>
      <c r="CG186" s="438">
        <f>+INPUT!DF57</f>
        <v>-1.7625231910946297</v>
      </c>
      <c r="CH186" s="449">
        <f>+INPUT!DG57</f>
        <v>3690</v>
      </c>
      <c r="CI186" s="438">
        <f>+INPUT!DH57</f>
        <v>-1.913875598086122</v>
      </c>
      <c r="CJ186" s="449">
        <f>+INPUT!DI57</f>
        <v>3677</v>
      </c>
      <c r="CK186" s="438">
        <f>+INPUT!DJ57</f>
        <v>-1.8157543391188256</v>
      </c>
      <c r="CL186" s="449">
        <f>+INPUT!DK57</f>
        <v>3664.5</v>
      </c>
      <c r="CM186" s="438">
        <f>+INPUT!DL57</f>
        <v>-1.5977443609022544</v>
      </c>
      <c r="CN186" s="449">
        <f>+INPUT!DM57</f>
        <v>3647</v>
      </c>
      <c r="CO186" s="438">
        <f>+INPUT!DN57</f>
        <v>-1.605288007554293</v>
      </c>
      <c r="CP186" s="449">
        <f>+INPUT!DO57</f>
        <v>3624.5</v>
      </c>
      <c r="CQ186" s="438">
        <f>+INPUT!DP57</f>
        <v>-1.7750677506775077</v>
      </c>
      <c r="CR186" s="449">
        <f>+INPUT!DQ57</f>
        <v>3596</v>
      </c>
      <c r="CS186" s="438">
        <f>+INPUT!DR57</f>
        <v>-2.2028827848789803</v>
      </c>
      <c r="CT186" s="449">
        <f>+INPUT!DS57</f>
        <v>3578</v>
      </c>
      <c r="CU186" s="438">
        <f>+INPUT!DT57</f>
        <v>-2.3604857415745641</v>
      </c>
      <c r="CV186" s="449">
        <f>+INPUT!DU57</f>
        <v>3563.5</v>
      </c>
      <c r="CW186" s="438">
        <f>+INPUT!DV57</f>
        <v>-2.289553057307387</v>
      </c>
      <c r="CX186" s="449">
        <f>+INPUT!DW57</f>
        <v>3542</v>
      </c>
      <c r="CY186" s="438">
        <f>+INPUT!DX57</f>
        <v>-2.2761760242792093</v>
      </c>
      <c r="CZ186" s="449">
        <f>+INPUT!DY57</f>
        <v>3518</v>
      </c>
      <c r="DA186" s="438">
        <f>+INPUT!DZ57</f>
        <v>-2.169076751946605</v>
      </c>
      <c r="DB186" s="449">
        <f>+INPUT!EA57</f>
        <v>3495.5</v>
      </c>
      <c r="DC186" s="438">
        <f>+INPUT!EB57</f>
        <v>-2.3057574063722797</v>
      </c>
      <c r="DD186" s="449">
        <f>+INPUT!EC57</f>
        <v>3488</v>
      </c>
      <c r="DE186" s="438">
        <f>+INPUT!ED57</f>
        <v>-2.118703521818432</v>
      </c>
      <c r="DF186" s="449">
        <f>+INPUT!EE57</f>
        <v>3487</v>
      </c>
      <c r="DG186" s="438">
        <f>+INPUT!EF57</f>
        <v>-1.5527950310558936</v>
      </c>
      <c r="DH186" s="449">
        <f>+INPUT!EG57</f>
        <v>3486.5</v>
      </c>
      <c r="DI186" s="438">
        <f>+INPUT!EH57</f>
        <v>-0.89539511085844481</v>
      </c>
      <c r="DJ186" s="449">
        <f>+INPUT!EI57</f>
        <v>3488.5</v>
      </c>
      <c r="DK186" s="438">
        <f>+INPUT!EJ57</f>
        <v>-0.20025747389500737</v>
      </c>
      <c r="DL186" s="449">
        <f>+INPUT!EK57</f>
        <v>3490.5</v>
      </c>
      <c r="DM186" s="438">
        <f>+INPUT!EL57</f>
        <v>7.1674311926599898E-2</v>
      </c>
      <c r="DN186" s="449">
        <f>+INPUT!EM57</f>
        <v>3492.5</v>
      </c>
      <c r="DO186" s="438">
        <f>+INPUT!EN57</f>
        <v>0.15772870662461003</v>
      </c>
      <c r="DP186" s="449">
        <f>+INPUT!EO57</f>
        <v>3483</v>
      </c>
      <c r="DQ186" s="438">
        <f>+INPUT!EP57</f>
        <v>-0.10038720780151777</v>
      </c>
      <c r="DR186" s="449">
        <f>+INPUT!EQ57</f>
        <v>3465.5715717148587</v>
      </c>
      <c r="DS186" s="438">
        <f>+INPUT!ER57</f>
        <v>-0.6572575113986403</v>
      </c>
      <c r="DT186" s="449">
        <f>+INPUT!ES57</f>
        <v>3451.017881679682</v>
      </c>
      <c r="DU186" s="438">
        <f>+INPUT!ET57</f>
        <v>-1.1311307354338425</v>
      </c>
      <c r="DV186" s="449">
        <f>+INPUT!EU57</f>
        <v>3437.0808548998384</v>
      </c>
      <c r="DW186" s="438">
        <f>+INPUT!EV57</f>
        <v>-1.586804440949507</v>
      </c>
      <c r="DX186" s="449">
        <f>+INPUT!EW57</f>
        <v>3423.7817028106615</v>
      </c>
      <c r="DY186" s="438">
        <f>+INPUT!EX57</f>
        <v>-1.7002095087378279</v>
      </c>
      <c r="DZ186" s="449"/>
      <c r="EA186" s="438"/>
      <c r="EB186" s="439">
        <f>+INPUT!FI57</f>
        <v>-0.75681130171544453</v>
      </c>
      <c r="EC186" s="449">
        <f>+INPUT!FJ57</f>
        <v>3185.5</v>
      </c>
      <c r="ED186" s="439">
        <f>+INPUT!FK57</f>
        <v>7.9647517369937333</v>
      </c>
      <c r="EE186" s="449">
        <f>+INPUT!FL57</f>
        <v>3455</v>
      </c>
      <c r="EF186" s="439">
        <f>+INPUT!FM57</f>
        <v>8.4602103280489729</v>
      </c>
      <c r="EG186" s="449">
        <f>+INPUT!FN57</f>
        <v>3696.5</v>
      </c>
      <c r="EH186" s="439">
        <f>+INPUT!FO57</f>
        <v>6.9898697539797467</v>
      </c>
      <c r="EI186" s="449">
        <f>+INPUT!FP57</f>
        <v>3935</v>
      </c>
      <c r="EJ186" s="438">
        <f>+INPUT!FQ57</f>
        <v>6.4520492357635675</v>
      </c>
      <c r="EK186" s="449">
        <f>+INPUT!FR57</f>
        <v>3869.5</v>
      </c>
      <c r="EL186" s="438">
        <f>+INPUT!FS57</f>
        <v>-1.6645489199491692</v>
      </c>
      <c r="EM186" s="449">
        <f>+INPUT!FT57</f>
        <v>3618</v>
      </c>
      <c r="EN186" s="438">
        <f>+INPUT!FU57</f>
        <v>-6.4995477451867174</v>
      </c>
      <c r="EO186" s="449">
        <f>+INPUT!FV57</f>
        <v>3391.5</v>
      </c>
      <c r="EP186" s="438">
        <f>+INPUT!FW57</f>
        <v>-6.2603648424543934</v>
      </c>
      <c r="EQ186" s="449">
        <f>+INPUT!FX57</f>
        <v>3373.5</v>
      </c>
      <c r="ER186" s="438">
        <f>+INPUT!FY57</f>
        <v>-0.53073861123397137</v>
      </c>
      <c r="ES186" s="449">
        <f>+INPUT!FZ57</f>
        <v>3644.5</v>
      </c>
      <c r="ET186" s="438">
        <f>+INPUT!GA57</f>
        <v>8.0331999407143826</v>
      </c>
      <c r="EU186" s="449">
        <f>+INPUT!GB57</f>
        <v>3814.5</v>
      </c>
      <c r="EV186" s="438">
        <f>+INPUT!GC57</f>
        <v>4.6645630401975495</v>
      </c>
      <c r="EW186" s="449">
        <f>+INPUT!GD57</f>
        <v>3763</v>
      </c>
      <c r="EX186" s="438">
        <f>+INPUT!GE57</f>
        <v>-1.350111416961596</v>
      </c>
      <c r="EY186" s="449">
        <f>+INPUT!GF57</f>
        <v>3703.5</v>
      </c>
      <c r="EZ186" s="438">
        <f>+INPUT!GG57</f>
        <v>-1.5811852245548863</v>
      </c>
      <c r="FA186" s="449">
        <f>+INPUT!GH57</f>
        <v>3627</v>
      </c>
      <c r="FB186" s="438">
        <f>+INPUT!GI57</f>
        <v>-2.0656136087484782</v>
      </c>
      <c r="FC186" s="449">
        <f>+INPUT!GJ57</f>
        <v>3542.5</v>
      </c>
      <c r="FD186" s="438">
        <f>+INPUT!GK57</f>
        <v>-2.3297491039426603</v>
      </c>
      <c r="FE186" s="449">
        <f>+INPUT!GL57</f>
        <v>3496</v>
      </c>
      <c r="FF186" s="438">
        <f>+INPUT!GM57</f>
        <v>-1.3126323218066318</v>
      </c>
      <c r="FG186" s="449">
        <f>+INPUT!GN57</f>
        <v>3480.5</v>
      </c>
      <c r="FH186" s="438">
        <f>+INPUT!GO57</f>
        <v>-0.44336384439360188</v>
      </c>
      <c r="FI186" s="449">
        <f>+INPUT!GP57</f>
        <v>3445.1471578756464</v>
      </c>
      <c r="FJ186" s="438">
        <f>+INPUT!GQ57</f>
        <v>-1.0157403282388628</v>
      </c>
      <c r="FK186" s="449">
        <f>+INPUT!GR57</f>
        <v>3392.3889501610365</v>
      </c>
      <c r="FL186" s="438">
        <f>+INPUT!GS57</f>
        <v>-1.5313774795948518</v>
      </c>
      <c r="FM186" s="449">
        <f>+INPUT!GT57</f>
        <v>3345.6573459857259</v>
      </c>
      <c r="FN186" s="438">
        <f>+INPUT!GU57</f>
        <v>-1.3775426362325618</v>
      </c>
      <c r="FO186" s="449">
        <f>+INPUT!GV57</f>
        <v>3305.233451457827</v>
      </c>
      <c r="FP186" s="438">
        <f>+INPUT!GW57</f>
        <v>-1.2082496904950943</v>
      </c>
      <c r="FQ186" s="449">
        <f>+INPUT!GX57</f>
        <v>3271.4356315223577</v>
      </c>
      <c r="FR186" s="438">
        <f>+INPUT!GY57</f>
        <v>-1.0225546979310138</v>
      </c>
      <c r="FS186" s="438">
        <f>+INPUT!GZ57</f>
        <v>-1.2312975660839665</v>
      </c>
    </row>
    <row r="187" spans="1:175" s="529" customFormat="1" ht="12.75" hidden="1" customHeight="1" outlineLevel="1" x14ac:dyDescent="0.2">
      <c r="A187" s="441"/>
      <c r="B187" s="449"/>
      <c r="C187" s="439"/>
      <c r="D187" s="449"/>
      <c r="E187" s="439"/>
      <c r="F187" s="449"/>
      <c r="G187" s="439"/>
      <c r="H187" s="449"/>
      <c r="I187" s="439"/>
      <c r="J187" s="449"/>
      <c r="K187" s="439"/>
      <c r="L187" s="449"/>
      <c r="M187" s="439"/>
      <c r="N187" s="449"/>
      <c r="O187" s="439"/>
      <c r="P187" s="449"/>
      <c r="Q187" s="439"/>
      <c r="R187" s="449"/>
      <c r="S187" s="439"/>
      <c r="T187" s="449"/>
      <c r="U187" s="439"/>
      <c r="V187" s="449"/>
      <c r="W187" s="439"/>
      <c r="X187" s="449"/>
      <c r="Y187" s="439"/>
      <c r="Z187" s="449"/>
      <c r="AA187" s="439"/>
      <c r="AB187" s="449"/>
      <c r="AC187" s="439"/>
      <c r="AD187" s="449"/>
      <c r="AE187" s="439"/>
      <c r="AF187" s="449"/>
      <c r="AG187" s="439"/>
      <c r="AH187" s="449"/>
      <c r="AI187" s="438"/>
      <c r="AJ187" s="449"/>
      <c r="AK187" s="438"/>
      <c r="AL187" s="449"/>
      <c r="AM187" s="438"/>
      <c r="AN187" s="449"/>
      <c r="AO187" s="438"/>
      <c r="AP187" s="449"/>
      <c r="AQ187" s="438"/>
      <c r="AR187" s="449"/>
      <c r="AS187" s="438"/>
      <c r="AT187" s="449"/>
      <c r="AU187" s="438"/>
      <c r="AV187" s="449"/>
      <c r="AW187" s="438"/>
      <c r="AX187" s="449"/>
      <c r="AY187" s="438"/>
      <c r="AZ187" s="449"/>
      <c r="BA187" s="438"/>
      <c r="BB187" s="449"/>
      <c r="BC187" s="438"/>
      <c r="BD187" s="449"/>
      <c r="BE187" s="438"/>
      <c r="BF187" s="449"/>
      <c r="BG187" s="438"/>
      <c r="BH187" s="449"/>
      <c r="BI187" s="438"/>
      <c r="BJ187" s="449"/>
      <c r="BK187" s="438"/>
      <c r="BL187" s="449"/>
      <c r="BM187" s="438"/>
      <c r="BN187" s="449"/>
      <c r="BO187" s="438"/>
      <c r="BP187" s="449"/>
      <c r="BQ187" s="438"/>
      <c r="BR187" s="449"/>
      <c r="BS187" s="438"/>
      <c r="BT187" s="449"/>
      <c r="BU187" s="438"/>
      <c r="BV187" s="449"/>
      <c r="BW187" s="438"/>
      <c r="BX187" s="449"/>
      <c r="BY187" s="438"/>
      <c r="BZ187" s="449"/>
      <c r="CA187" s="438"/>
      <c r="CB187" s="449"/>
      <c r="CC187" s="438"/>
      <c r="CD187" s="449"/>
      <c r="CE187" s="438"/>
      <c r="CF187" s="449"/>
      <c r="CG187" s="438"/>
      <c r="CH187" s="449"/>
      <c r="CI187" s="438"/>
      <c r="CJ187" s="449"/>
      <c r="CK187" s="438"/>
      <c r="CL187" s="449"/>
      <c r="CM187" s="438"/>
      <c r="CN187" s="449"/>
      <c r="CO187" s="438"/>
      <c r="CP187" s="449"/>
      <c r="CQ187" s="438"/>
      <c r="CR187" s="449"/>
      <c r="CS187" s="438"/>
      <c r="CT187" s="449"/>
      <c r="CU187" s="438"/>
      <c r="CV187" s="449"/>
      <c r="CW187" s="438"/>
      <c r="CX187" s="449"/>
      <c r="CY187" s="438"/>
      <c r="CZ187" s="449"/>
      <c r="DA187" s="438"/>
      <c r="DB187" s="449"/>
      <c r="DC187" s="438"/>
      <c r="DD187" s="449"/>
      <c r="DE187" s="438"/>
      <c r="DF187" s="449"/>
      <c r="DG187" s="438"/>
      <c r="DH187" s="449"/>
      <c r="DI187" s="438"/>
      <c r="DJ187" s="449"/>
      <c r="DK187" s="438"/>
      <c r="DL187" s="449"/>
      <c r="DM187" s="438"/>
      <c r="DN187" s="449"/>
      <c r="DO187" s="438"/>
      <c r="DP187" s="449"/>
      <c r="DQ187" s="438"/>
      <c r="DR187" s="449"/>
      <c r="DS187" s="438"/>
      <c r="DT187" s="449"/>
      <c r="DU187" s="438"/>
      <c r="DV187" s="449"/>
      <c r="DW187" s="438"/>
      <c r="DX187" s="449"/>
      <c r="DY187" s="438"/>
      <c r="DZ187" s="449"/>
      <c r="EA187" s="438"/>
      <c r="EB187" s="439"/>
      <c r="EC187" s="449"/>
      <c r="ED187" s="439"/>
      <c r="EE187" s="449"/>
      <c r="EF187" s="439"/>
      <c r="EG187" s="449"/>
      <c r="EH187" s="439"/>
      <c r="EI187" s="449"/>
      <c r="EJ187" s="438"/>
      <c r="EK187" s="449"/>
      <c r="EL187" s="438"/>
      <c r="EM187" s="449"/>
      <c r="EN187" s="438"/>
      <c r="EO187" s="449"/>
      <c r="EP187" s="438"/>
      <c r="EQ187" s="449"/>
      <c r="ER187" s="438"/>
      <c r="ES187" s="449"/>
      <c r="ET187" s="438"/>
      <c r="EU187" s="449"/>
      <c r="EV187" s="438"/>
      <c r="EW187" s="449"/>
      <c r="EX187" s="438"/>
      <c r="EY187" s="449"/>
      <c r="EZ187" s="438"/>
      <c r="FA187" s="449"/>
      <c r="FB187" s="438"/>
      <c r="FC187" s="449"/>
      <c r="FD187" s="438"/>
      <c r="FE187" s="449"/>
      <c r="FF187" s="438"/>
      <c r="FG187" s="449"/>
      <c r="FH187" s="438"/>
      <c r="FI187" s="449"/>
      <c r="FJ187" s="438"/>
      <c r="FK187" s="449"/>
      <c r="FL187" s="438"/>
      <c r="FM187" s="449"/>
      <c r="FN187" s="438"/>
      <c r="FO187" s="449"/>
      <c r="FP187" s="438"/>
      <c r="FQ187" s="449"/>
      <c r="FR187" s="438"/>
      <c r="FS187" s="438"/>
    </row>
    <row r="188" spans="1:175" s="529" customFormat="1" ht="12.75" hidden="1" customHeight="1" outlineLevel="1" x14ac:dyDescent="0.2">
      <c r="A188" s="446" t="s">
        <v>355</v>
      </c>
      <c r="B188" s="449"/>
      <c r="C188" s="439"/>
      <c r="D188" s="449"/>
      <c r="E188" s="439"/>
      <c r="F188" s="449"/>
      <c r="G188" s="439"/>
      <c r="H188" s="449"/>
      <c r="I188" s="439"/>
      <c r="J188" s="449"/>
      <c r="K188" s="439"/>
      <c r="L188" s="449"/>
      <c r="M188" s="439"/>
      <c r="N188" s="449"/>
      <c r="O188" s="439"/>
      <c r="P188" s="449"/>
      <c r="Q188" s="439"/>
      <c r="R188" s="449"/>
      <c r="S188" s="439"/>
      <c r="T188" s="449"/>
      <c r="U188" s="439"/>
      <c r="V188" s="449"/>
      <c r="W188" s="439"/>
      <c r="X188" s="449"/>
      <c r="Y188" s="439"/>
      <c r="Z188" s="449"/>
      <c r="AA188" s="439"/>
      <c r="AB188" s="449"/>
      <c r="AC188" s="439"/>
      <c r="AD188" s="449"/>
      <c r="AE188" s="439"/>
      <c r="AF188" s="449"/>
      <c r="AG188" s="439"/>
      <c r="AH188" s="449"/>
      <c r="AI188" s="438"/>
      <c r="AJ188" s="449"/>
      <c r="AK188" s="438"/>
      <c r="AL188" s="449"/>
      <c r="AM188" s="438"/>
      <c r="AN188" s="449"/>
      <c r="AO188" s="438"/>
      <c r="AP188" s="449"/>
      <c r="AQ188" s="438"/>
      <c r="AR188" s="449"/>
      <c r="AS188" s="438"/>
      <c r="AT188" s="449"/>
      <c r="AU188" s="438"/>
      <c r="AV188" s="449"/>
      <c r="AW188" s="438"/>
      <c r="AX188" s="449"/>
      <c r="AY188" s="438"/>
      <c r="AZ188" s="449"/>
      <c r="BA188" s="438"/>
      <c r="BB188" s="449"/>
      <c r="BC188" s="438"/>
      <c r="BD188" s="449"/>
      <c r="BE188" s="438"/>
      <c r="BF188" s="449"/>
      <c r="BG188" s="438"/>
      <c r="BH188" s="449"/>
      <c r="BI188" s="438"/>
      <c r="BJ188" s="449"/>
      <c r="BK188" s="438"/>
      <c r="BL188" s="449"/>
      <c r="BM188" s="438"/>
      <c r="BN188" s="449"/>
      <c r="BO188" s="438"/>
      <c r="BP188" s="449"/>
      <c r="BQ188" s="438"/>
      <c r="BR188" s="449"/>
      <c r="BS188" s="438"/>
      <c r="BT188" s="449"/>
      <c r="BU188" s="438"/>
      <c r="BV188" s="449"/>
      <c r="BW188" s="438"/>
      <c r="BX188" s="449"/>
      <c r="BY188" s="438"/>
      <c r="BZ188" s="449"/>
      <c r="CA188" s="438"/>
      <c r="CB188" s="449"/>
      <c r="CC188" s="438"/>
      <c r="CD188" s="449"/>
      <c r="CE188" s="438"/>
      <c r="CF188" s="449"/>
      <c r="CG188" s="438"/>
      <c r="CH188" s="449"/>
      <c r="CI188" s="438"/>
      <c r="CJ188" s="449"/>
      <c r="CK188" s="438"/>
      <c r="CL188" s="449"/>
      <c r="CM188" s="438"/>
      <c r="CN188" s="449"/>
      <c r="CO188" s="438"/>
      <c r="CP188" s="449"/>
      <c r="CQ188" s="438"/>
      <c r="CR188" s="449"/>
      <c r="CS188" s="438"/>
      <c r="CT188" s="449"/>
      <c r="CU188" s="438"/>
      <c r="CV188" s="449"/>
      <c r="CW188" s="438"/>
      <c r="CX188" s="449"/>
      <c r="CY188" s="438"/>
      <c r="CZ188" s="449"/>
      <c r="DA188" s="438"/>
      <c r="DB188" s="449"/>
      <c r="DC188" s="438"/>
      <c r="DD188" s="449"/>
      <c r="DE188" s="438"/>
      <c r="DF188" s="449"/>
      <c r="DG188" s="438"/>
      <c r="DH188" s="449"/>
      <c r="DI188" s="438"/>
      <c r="DJ188" s="449"/>
      <c r="DK188" s="438"/>
      <c r="DL188" s="449"/>
      <c r="DM188" s="438"/>
      <c r="DN188" s="449"/>
      <c r="DO188" s="438"/>
      <c r="DP188" s="449"/>
      <c r="DQ188" s="438"/>
      <c r="DR188" s="449"/>
      <c r="DS188" s="438"/>
      <c r="DT188" s="449"/>
      <c r="DU188" s="438"/>
      <c r="DV188" s="449"/>
      <c r="DW188" s="438"/>
      <c r="DX188" s="449"/>
      <c r="DY188" s="438"/>
      <c r="DZ188" s="449"/>
      <c r="EA188" s="438"/>
      <c r="EB188" s="439"/>
      <c r="EC188" s="449"/>
      <c r="ED188" s="439"/>
      <c r="EE188" s="449"/>
      <c r="EF188" s="439"/>
      <c r="EG188" s="449"/>
      <c r="EH188" s="439"/>
      <c r="EI188" s="449"/>
      <c r="EJ188" s="438"/>
      <c r="EK188" s="449"/>
      <c r="EL188" s="438"/>
      <c r="EM188" s="449"/>
      <c r="EN188" s="438"/>
      <c r="EO188" s="449"/>
      <c r="EP188" s="438"/>
      <c r="EQ188" s="449"/>
      <c r="ER188" s="438"/>
      <c r="ES188" s="449"/>
      <c r="ET188" s="438"/>
      <c r="EU188" s="449"/>
      <c r="EV188" s="438"/>
      <c r="EW188" s="449"/>
      <c r="EX188" s="438"/>
      <c r="EY188" s="449"/>
      <c r="EZ188" s="438"/>
      <c r="FA188" s="449"/>
      <c r="FB188" s="438"/>
      <c r="FC188" s="449"/>
      <c r="FD188" s="438"/>
      <c r="FE188" s="449"/>
      <c r="FF188" s="438"/>
      <c r="FG188" s="449"/>
      <c r="FH188" s="438"/>
      <c r="FI188" s="449"/>
      <c r="FJ188" s="438"/>
      <c r="FK188" s="449"/>
      <c r="FL188" s="438"/>
      <c r="FM188" s="449"/>
      <c r="FN188" s="438"/>
      <c r="FO188" s="449"/>
      <c r="FP188" s="438"/>
      <c r="FQ188" s="449"/>
      <c r="FR188" s="438"/>
      <c r="FS188" s="438"/>
    </row>
    <row r="189" spans="1:175" s="529" customFormat="1" ht="12.75" hidden="1" customHeight="1" outlineLevel="1" x14ac:dyDescent="0.2">
      <c r="A189" s="441" t="str">
        <f>+INPUT!B59</f>
        <v>Fixed Annuity Net Flows</v>
      </c>
      <c r="B189" s="449">
        <f>+INPUT!AA59</f>
        <v>76</v>
      </c>
      <c r="C189" s="439" t="str">
        <f>+INPUT!AB59</f>
        <v>NM</v>
      </c>
      <c r="D189" s="449">
        <f>+INPUT!AC59</f>
        <v>25</v>
      </c>
      <c r="E189" s="439" t="str">
        <f>+INPUT!AD59</f>
        <v>NM</v>
      </c>
      <c r="F189" s="449">
        <f>+INPUT!AE59</f>
        <v>14</v>
      </c>
      <c r="G189" s="439" t="str">
        <f>+INPUT!AF59</f>
        <v>NM</v>
      </c>
      <c r="H189" s="449">
        <f>+INPUT!AG59</f>
        <v>-9</v>
      </c>
      <c r="I189" s="439" t="str">
        <f>+INPUT!AH59</f>
        <v>NM</v>
      </c>
      <c r="J189" s="449">
        <f>+INPUT!AI59</f>
        <v>41</v>
      </c>
      <c r="K189" s="439">
        <f>+INPUT!AJ59</f>
        <v>-46.05263157894737</v>
      </c>
      <c r="L189" s="449">
        <f>+INPUT!AK59</f>
        <v>145</v>
      </c>
      <c r="M189" s="439" t="str">
        <f>+INPUT!AL59</f>
        <v>NM</v>
      </c>
      <c r="N189" s="449">
        <f>+INPUT!AM59</f>
        <v>131</v>
      </c>
      <c r="O189" s="439" t="str">
        <f>+INPUT!AN59</f>
        <v>NM</v>
      </c>
      <c r="P189" s="449">
        <f>+INPUT!AO59</f>
        <v>24</v>
      </c>
      <c r="Q189" s="439" t="str">
        <f>+INPUT!AP59</f>
        <v>NM</v>
      </c>
      <c r="R189" s="449">
        <f>+INPUT!AQ59</f>
        <v>-4</v>
      </c>
      <c r="S189" s="439" t="str">
        <f>+INPUT!AR59</f>
        <v>NM</v>
      </c>
      <c r="T189" s="449">
        <f>+INPUT!AS59</f>
        <v>190</v>
      </c>
      <c r="U189" s="439">
        <f>+INPUT!AT59</f>
        <v>31.034482758620697</v>
      </c>
      <c r="V189" s="449">
        <f>+INPUT!AU59</f>
        <v>-17</v>
      </c>
      <c r="W189" s="439" t="str">
        <f>+INPUT!AV59</f>
        <v>NM</v>
      </c>
      <c r="X189" s="449">
        <f>+INPUT!AW59</f>
        <v>-39</v>
      </c>
      <c r="Y189" s="439" t="str">
        <f>+INPUT!AX59</f>
        <v>NM</v>
      </c>
      <c r="Z189" s="449">
        <f>+INPUT!AY59</f>
        <v>-41</v>
      </c>
      <c r="AA189" s="439" t="str">
        <f>+INPUT!AZ59</f>
        <v>NM</v>
      </c>
      <c r="AB189" s="449">
        <f>+INPUT!BA59</f>
        <v>-60</v>
      </c>
      <c r="AC189" s="439" t="str">
        <f>+INPUT!BB59</f>
        <v>NM</v>
      </c>
      <c r="AD189" s="449">
        <f>+INPUT!BC59</f>
        <v>-42</v>
      </c>
      <c r="AE189" s="439" t="str">
        <f>+INPUT!BD59</f>
        <v>NM</v>
      </c>
      <c r="AF189" s="449">
        <f>+INPUT!BE59</f>
        <v>-51</v>
      </c>
      <c r="AG189" s="439">
        <f>+INPUT!BF59</f>
        <v>30.769230769230774</v>
      </c>
      <c r="AH189" s="449">
        <f>+INPUT!BG59</f>
        <v>-60</v>
      </c>
      <c r="AI189" s="438">
        <f>+INPUT!BH59</f>
        <v>46.341463414634148</v>
      </c>
      <c r="AJ189" s="449">
        <f>+INPUT!BI59</f>
        <v>-54</v>
      </c>
      <c r="AK189" s="438">
        <f>+INPUT!BJ59</f>
        <v>-10</v>
      </c>
      <c r="AL189" s="449">
        <f>+INPUT!BK59</f>
        <v>-53</v>
      </c>
      <c r="AM189" s="438">
        <f>+INPUT!BL59</f>
        <v>26.19047619047619</v>
      </c>
      <c r="AN189" s="449">
        <f>+INPUT!BM59</f>
        <v>-46</v>
      </c>
      <c r="AO189" s="438">
        <f>+INPUT!BN59</f>
        <v>-9.8039215686274446</v>
      </c>
      <c r="AP189" s="449">
        <f>+INPUT!BO59</f>
        <v>-36</v>
      </c>
      <c r="AQ189" s="438">
        <f>+INPUT!BP59</f>
        <v>-40</v>
      </c>
      <c r="AR189" s="449">
        <f>+INPUT!BQ59</f>
        <v>-37</v>
      </c>
      <c r="AS189" s="438">
        <f>+INPUT!BR59</f>
        <v>-31.481481481481481</v>
      </c>
      <c r="AT189" s="449">
        <f>+INPUT!BS59</f>
        <v>-38</v>
      </c>
      <c r="AU189" s="438">
        <f>+INPUT!BT59</f>
        <v>-28.301886792452834</v>
      </c>
      <c r="AV189" s="449">
        <f>+INPUT!BU59</f>
        <v>-44</v>
      </c>
      <c r="AW189" s="438">
        <f>+INPUT!BV59</f>
        <v>-4.3478260869565162</v>
      </c>
      <c r="AX189" s="449">
        <f>+INPUT!BW59</f>
        <v>-22</v>
      </c>
      <c r="AY189" s="438">
        <f>+INPUT!BX59</f>
        <v>-38.888888888888886</v>
      </c>
      <c r="AZ189" s="449">
        <f>+INPUT!BY59</f>
        <v>-34</v>
      </c>
      <c r="BA189" s="438">
        <f>+INPUT!BZ59</f>
        <v>-8.1081081081080981</v>
      </c>
      <c r="BB189" s="449">
        <f>+INPUT!CA59</f>
        <v>-3</v>
      </c>
      <c r="BC189" s="438" t="str">
        <f>+INPUT!CB59</f>
        <v>NM</v>
      </c>
      <c r="BD189" s="449">
        <f>+INPUT!CC59</f>
        <v>-20</v>
      </c>
      <c r="BE189" s="438" t="str">
        <f>+INPUT!CD59</f>
        <v>NM</v>
      </c>
      <c r="BF189" s="449">
        <f>+INPUT!CE59</f>
        <v>-18</v>
      </c>
      <c r="BG189" s="438">
        <f>+INPUT!CF59</f>
        <v>-18.181818181818173</v>
      </c>
      <c r="BH189" s="449">
        <f>+INPUT!CG59</f>
        <v>-46</v>
      </c>
      <c r="BI189" s="438">
        <f>+INPUT!CH59</f>
        <v>35.29411764705884</v>
      </c>
      <c r="BJ189" s="449">
        <f>+INPUT!CI59</f>
        <v>-15</v>
      </c>
      <c r="BK189" s="438" t="str">
        <f>+INPUT!CJ59</f>
        <v>NM</v>
      </c>
      <c r="BL189" s="449">
        <f>+INPUT!CK59</f>
        <v>-33</v>
      </c>
      <c r="BM189" s="438">
        <f>+INPUT!CL59</f>
        <v>65</v>
      </c>
      <c r="BN189" s="449">
        <f>+INPUT!CM59</f>
        <v>-30</v>
      </c>
      <c r="BO189" s="438">
        <f>+INPUT!CN59</f>
        <v>66.666666666666686</v>
      </c>
      <c r="BP189" s="449">
        <f>+INPUT!CO59</f>
        <v>-25</v>
      </c>
      <c r="BQ189" s="438">
        <f>+INPUT!CP59</f>
        <v>-45.652173913043484</v>
      </c>
      <c r="BR189" s="449">
        <f>+INPUT!CQ59</f>
        <v>-31</v>
      </c>
      <c r="BS189" s="438" t="str">
        <f>+INPUT!CR59</f>
        <v>NM</v>
      </c>
      <c r="BT189" s="449">
        <f>+INPUT!CS59</f>
        <v>-28</v>
      </c>
      <c r="BU189" s="438">
        <f>+INPUT!CT59</f>
        <v>-15.151515151515156</v>
      </c>
      <c r="BV189" s="449">
        <f>+INPUT!CU59</f>
        <v>-27</v>
      </c>
      <c r="BW189" s="438">
        <f>+INPUT!CV59</f>
        <v>-10</v>
      </c>
      <c r="BX189" s="449">
        <f>+INPUT!CW59</f>
        <v>-20</v>
      </c>
      <c r="BY189" s="438">
        <f>+INPUT!CX59</f>
        <v>-20</v>
      </c>
      <c r="BZ189" s="449">
        <f>+INPUT!CY59</f>
        <v>-21</v>
      </c>
      <c r="CA189" s="438">
        <f>+INPUT!CZ59</f>
        <v>-32.258064516129039</v>
      </c>
      <c r="CB189" s="449">
        <f>+INPUT!DA59</f>
        <v>-37</v>
      </c>
      <c r="CC189" s="438">
        <f>+INPUT!DB59</f>
        <v>32.142857142857139</v>
      </c>
      <c r="CD189" s="449">
        <f>+INPUT!DC59</f>
        <v>-25</v>
      </c>
      <c r="CE189" s="438">
        <f>+INPUT!DD59</f>
        <v>-7.4074074074074048</v>
      </c>
      <c r="CF189" s="449">
        <f>+INPUT!DE59</f>
        <v>-24</v>
      </c>
      <c r="CG189" s="438">
        <f>+INPUT!DF59</f>
        <v>20</v>
      </c>
      <c r="CH189" s="449">
        <f>+INPUT!DG59</f>
        <v>-24</v>
      </c>
      <c r="CI189" s="438">
        <f>+INPUT!DH59</f>
        <v>14.285714285714278</v>
      </c>
      <c r="CJ189" s="449">
        <f>+INPUT!DI59</f>
        <v>-21</v>
      </c>
      <c r="CK189" s="438">
        <f>+INPUT!DJ59</f>
        <v>-43.243243243243242</v>
      </c>
      <c r="CL189" s="449">
        <f>+INPUT!DK59</f>
        <v>-18</v>
      </c>
      <c r="CM189" s="438">
        <f>+INPUT!DL59</f>
        <v>-28</v>
      </c>
      <c r="CN189" s="449">
        <f>+INPUT!DM59</f>
        <v>-21</v>
      </c>
      <c r="CO189" s="438">
        <f>+INPUT!DN59</f>
        <v>-12.5</v>
      </c>
      <c r="CP189" s="449">
        <f>+INPUT!DO59</f>
        <v>-17</v>
      </c>
      <c r="CQ189" s="438">
        <f>+INPUT!DP59</f>
        <v>-29.166666666666657</v>
      </c>
      <c r="CR189" s="449">
        <f>+INPUT!DQ59</f>
        <v>-31</v>
      </c>
      <c r="CS189" s="438">
        <f>+INPUT!DR59</f>
        <v>47.61904761904762</v>
      </c>
      <c r="CT189" s="449">
        <f>+INPUT!DS59</f>
        <v>-17</v>
      </c>
      <c r="CU189" s="438">
        <f>+INPUT!DT59</f>
        <v>-5.5555555555555571</v>
      </c>
      <c r="CV189" s="449">
        <f>+INPUT!DU59</f>
        <v>-18</v>
      </c>
      <c r="CW189" s="438">
        <f>+INPUT!DV59</f>
        <v>-14.285714285714292</v>
      </c>
      <c r="CX189" s="449">
        <f>+INPUT!DW59</f>
        <v>-22</v>
      </c>
      <c r="CY189" s="438">
        <f>+INPUT!DX59</f>
        <v>29.411764705882348</v>
      </c>
      <c r="CZ189" s="449">
        <f>+INPUT!DY59</f>
        <v>-19</v>
      </c>
      <c r="DA189" s="438">
        <f>+INPUT!DZ59</f>
        <v>-38.70967741935484</v>
      </c>
      <c r="DB189" s="449">
        <f>+INPUT!EA59</f>
        <v>-15</v>
      </c>
      <c r="DC189" s="438">
        <f>+INPUT!EB59</f>
        <v>-11.764705882352942</v>
      </c>
      <c r="DD189" s="449">
        <f>+INPUT!EC59</f>
        <v>-12</v>
      </c>
      <c r="DE189" s="438">
        <f>+INPUT!ED59</f>
        <v>-33.333333333333343</v>
      </c>
      <c r="DF189" s="449">
        <f>+INPUT!EE59</f>
        <v>-9</v>
      </c>
      <c r="DG189" s="438" t="str">
        <f>+INPUT!EF59</f>
        <v>NM</v>
      </c>
      <c r="DH189" s="449">
        <f>+INPUT!EG59</f>
        <v>-9</v>
      </c>
      <c r="DI189" s="438" t="str">
        <f>+INPUT!EH59</f>
        <v>NM</v>
      </c>
      <c r="DJ189" s="449">
        <f>+INPUT!EI59</f>
        <v>-15</v>
      </c>
      <c r="DK189" s="438">
        <f>+INPUT!EJ59</f>
        <v>0</v>
      </c>
      <c r="DL189" s="449">
        <f>+INPUT!EK59</f>
        <v>-11</v>
      </c>
      <c r="DM189" s="438">
        <f>+INPUT!EL59</f>
        <v>-8.3333333333333428</v>
      </c>
      <c r="DN189" s="449">
        <f>+INPUT!EM59</f>
        <v>-10</v>
      </c>
      <c r="DO189" s="438">
        <f>+INPUT!EN59</f>
        <v>11.111111111111114</v>
      </c>
      <c r="DP189" s="449">
        <f>+INPUT!EO59</f>
        <v>-26</v>
      </c>
      <c r="DQ189" s="438" t="str">
        <f>+INPUT!EP59</f>
        <v>NM</v>
      </c>
      <c r="DR189" s="449">
        <f>+INPUT!EQ59</f>
        <v>-20.822502147151443</v>
      </c>
      <c r="DS189" s="438">
        <f>+INPUT!ER59</f>
        <v>38.816680981009597</v>
      </c>
      <c r="DT189" s="449">
        <f>+INPUT!ES59</f>
        <v>-20.190649140086233</v>
      </c>
      <c r="DU189" s="438">
        <f>+INPUT!ET59</f>
        <v>83.55135581896576</v>
      </c>
      <c r="DV189" s="449">
        <f>+INPUT!EU59</f>
        <v>-19.539177273924722</v>
      </c>
      <c r="DW189" s="438">
        <f>+INPUT!EV59</f>
        <v>95.391772739247216</v>
      </c>
      <c r="DX189" s="449">
        <f>+INPUT!EW59</f>
        <v>-18.867019907234734</v>
      </c>
      <c r="DY189" s="438">
        <f>+INPUT!EX59</f>
        <v>-27.434538818327951</v>
      </c>
      <c r="DZ189" s="449"/>
      <c r="EA189" s="438"/>
      <c r="EB189" s="439">
        <f>+INPUT!FI59</f>
        <v>-31.428571428571431</v>
      </c>
      <c r="EC189" s="449">
        <f>+INPUT!FJ59</f>
        <v>462</v>
      </c>
      <c r="ED189" s="439" t="str">
        <f>+INPUT!FK59</f>
        <v>NM</v>
      </c>
      <c r="EE189" s="449">
        <f>+INPUT!FL59</f>
        <v>106</v>
      </c>
      <c r="EF189" s="439" t="str">
        <f>+INPUT!FM59</f>
        <v>NM</v>
      </c>
      <c r="EG189" s="449">
        <f>+INPUT!FN59</f>
        <v>341</v>
      </c>
      <c r="EH189" s="439" t="str">
        <f>+INPUT!FO59</f>
        <v>NM</v>
      </c>
      <c r="EI189" s="449">
        <f>+INPUT!FP59</f>
        <v>130</v>
      </c>
      <c r="EJ189" s="438" t="str">
        <f>+INPUT!FQ59</f>
        <v>NM</v>
      </c>
      <c r="EK189" s="449">
        <f>+INPUT!FR59</f>
        <v>-194</v>
      </c>
      <c r="EL189" s="438" t="str">
        <f>+INPUT!FS59</f>
        <v>NM</v>
      </c>
      <c r="EM189" s="449">
        <f>+INPUT!FT59</f>
        <v>-213</v>
      </c>
      <c r="EN189" s="438">
        <f>+INPUT!FU59</f>
        <v>9.7938144329897057</v>
      </c>
      <c r="EO189" s="449">
        <f>+INPUT!FV59</f>
        <v>-155</v>
      </c>
      <c r="EP189" s="438">
        <f>+INPUT!FW59</f>
        <v>-27.230046948356815</v>
      </c>
      <c r="EQ189" s="449">
        <f>+INPUT!FX59</f>
        <v>-79</v>
      </c>
      <c r="ER189" s="438">
        <f>+INPUT!FY59</f>
        <v>-49.032258064516135</v>
      </c>
      <c r="ES189" s="449">
        <f>+INPUT!FZ59</f>
        <v>-112</v>
      </c>
      <c r="ET189" s="438">
        <f>+INPUT!GA59</f>
        <v>41.772151898734165</v>
      </c>
      <c r="EU189" s="449">
        <f>+INPUT!GB59</f>
        <v>-114</v>
      </c>
      <c r="EV189" s="438">
        <f>+INPUT!GC59</f>
        <v>1.7857142857142776</v>
      </c>
      <c r="EW189" s="449">
        <f>+INPUT!GD59</f>
        <v>-105</v>
      </c>
      <c r="EX189" s="438">
        <f>+INPUT!GE59</f>
        <v>-7.8947368421052602</v>
      </c>
      <c r="EY189" s="449">
        <f>+INPUT!GF59</f>
        <v>-94</v>
      </c>
      <c r="EZ189" s="438">
        <f>+INPUT!GG59</f>
        <v>-10.476190476190467</v>
      </c>
      <c r="FA189" s="449">
        <f>+INPUT!GH59</f>
        <v>-87</v>
      </c>
      <c r="FB189" s="438">
        <f>+INPUT!GI59</f>
        <v>-7.4468085106383057</v>
      </c>
      <c r="FC189" s="449">
        <f>+INPUT!GJ59</f>
        <v>-76</v>
      </c>
      <c r="FD189" s="438">
        <f>+INPUT!GK59</f>
        <v>-12.643678160919535</v>
      </c>
      <c r="FE189" s="449">
        <f>+INPUT!GL59</f>
        <v>-45</v>
      </c>
      <c r="FF189" s="438">
        <f>+INPUT!GM59</f>
        <v>-40.789473684210535</v>
      </c>
      <c r="FG189" s="449">
        <f>+INPUT!GN59</f>
        <v>-62</v>
      </c>
      <c r="FH189" s="438">
        <f>+INPUT!GO59</f>
        <v>37.777777777777771</v>
      </c>
      <c r="FI189" s="449">
        <f>+INPUT!GP59</f>
        <v>-79.419348468397146</v>
      </c>
      <c r="FJ189" s="438">
        <f>+INPUT!GQ59</f>
        <v>28.095723336124422</v>
      </c>
      <c r="FK189" s="449">
        <f>+INPUT!GR59</f>
        <v>-73.144036663835323</v>
      </c>
      <c r="FL189" s="438">
        <f>+INPUT!GS59</f>
        <v>-7.901489908418128</v>
      </c>
      <c r="FM189" s="449">
        <f>+INPUT!GT59</f>
        <v>-66.645674690934413</v>
      </c>
      <c r="FN189" s="438">
        <f>+INPUT!GU59</f>
        <v>-8.8843359886834179</v>
      </c>
      <c r="FO189" s="449">
        <f>+INPUT!GV59</f>
        <v>-59.890450038253789</v>
      </c>
      <c r="FP189" s="438">
        <f>+INPUT!GW59</f>
        <v>-10.136028608019359</v>
      </c>
      <c r="FQ189" s="449">
        <f>+INPUT!GX59</f>
        <v>-52.841496331709507</v>
      </c>
      <c r="FR189" s="438">
        <f>+INPUT!GY59</f>
        <v>-11.769745764211009</v>
      </c>
      <c r="FS189" s="438">
        <f>+INPUT!GZ59</f>
        <v>-3.146195791986095</v>
      </c>
    </row>
    <row r="190" spans="1:175" s="529" customFormat="1" ht="12.75" hidden="1" customHeight="1" outlineLevel="1" x14ac:dyDescent="0.2">
      <c r="A190" s="441" t="str">
        <f>+INPUT!B60</f>
        <v>Redemptions/BOP Reserves (%)</v>
      </c>
      <c r="B190" s="457">
        <f>+INPUT!AA60</f>
        <v>4.0047114252061249</v>
      </c>
      <c r="C190" s="439">
        <f>+INPUT!AB60</f>
        <v>-29.083235178641544</v>
      </c>
      <c r="D190" s="457">
        <f>+INPUT!AC60</f>
        <v>3.6855744313273826</v>
      </c>
      <c r="E190" s="439">
        <f>+INPUT!AD60</f>
        <v>-25.546277633810021</v>
      </c>
      <c r="F190" s="457">
        <f>+INPUT!AE60</f>
        <v>3.7735849056603774</v>
      </c>
      <c r="G190" s="439">
        <f>+INPUT!AF60</f>
        <v>-7.2428484479610376</v>
      </c>
      <c r="H190" s="457">
        <f>+INPUT!AG60</f>
        <v>4.7686630712460971</v>
      </c>
      <c r="I190" s="439">
        <f>+INPUT!AH60</f>
        <v>14.307658913693217</v>
      </c>
      <c r="J190" s="457">
        <f>+INPUT!AI60</f>
        <v>5.8053500284575978</v>
      </c>
      <c r="K190" s="439">
        <f>+INPUT!AJ60</f>
        <v>44.963005122367662</v>
      </c>
      <c r="L190" s="457">
        <f>+INPUT!AK60</f>
        <v>5.7078903189703416</v>
      </c>
      <c r="M190" s="439">
        <f>+INPUT!AL60</f>
        <v>54.871117795187473</v>
      </c>
      <c r="N190" s="457">
        <f>+INPUT!AM60</f>
        <v>4.7286405158516924</v>
      </c>
      <c r="O190" s="439">
        <f>+INPUT!AN60</f>
        <v>25.308973670069861</v>
      </c>
      <c r="P190" s="457">
        <f>+INPUT!AO60</f>
        <v>4.6632124352331603</v>
      </c>
      <c r="Q190" s="439">
        <f>+INPUT!AP60</f>
        <v>-2.2113249444855683</v>
      </c>
      <c r="R190" s="457">
        <f>+INPUT!AQ60</f>
        <v>5.7746841969579794</v>
      </c>
      <c r="S190" s="439">
        <f>+INPUT!AR60</f>
        <v>-0.52823397985126519</v>
      </c>
      <c r="T190" s="457">
        <f>+INPUT!AS60</f>
        <v>5.4653261149780867</v>
      </c>
      <c r="U190" s="439">
        <f>+INPUT!AT60</f>
        <v>-4.249629730727051</v>
      </c>
      <c r="V190" s="457">
        <f>+INPUT!AU60</f>
        <v>5.5118110236220472</v>
      </c>
      <c r="W190" s="439">
        <f>+INPUT!AV60</f>
        <v>16.562276306370791</v>
      </c>
      <c r="X190" s="457">
        <f>+INPUT!AW60</f>
        <v>6.5459955368212253</v>
      </c>
      <c r="Y190" s="439">
        <f>+INPUT!AX60</f>
        <v>40.37523762294407</v>
      </c>
      <c r="Z190" s="457">
        <f>+INPUT!AY60</f>
        <v>6.9155600100225509</v>
      </c>
      <c r="AA190" s="439">
        <f>+INPUT!AZ60</f>
        <v>19.756505709274435</v>
      </c>
      <c r="AB190" s="457">
        <f>+INPUT!BA60</f>
        <v>9.3377315402182184</v>
      </c>
      <c r="AC190" s="439">
        <f>+INPUT!BB60</f>
        <v>70.854059643898466</v>
      </c>
      <c r="AD190" s="457">
        <f>+INPUT!BC60</f>
        <v>7.7499354172048562</v>
      </c>
      <c r="AE190" s="439">
        <f>+INPUT!BD60</f>
        <v>40.605971140716662</v>
      </c>
      <c r="AF190" s="457">
        <f>+INPUT!BE60</f>
        <v>8.0755112742527526</v>
      </c>
      <c r="AG190" s="439">
        <f>+INPUT!BF60</f>
        <v>23.365670337353592</v>
      </c>
      <c r="AH190" s="457">
        <f>+INPUT!BG60</f>
        <v>8.6446104589114192</v>
      </c>
      <c r="AI190" s="438">
        <f>+INPUT!BH60</f>
        <v>25.002320077954622</v>
      </c>
      <c r="AJ190" s="457">
        <f>+INPUT!BI60</f>
        <v>8.0456645827670563</v>
      </c>
      <c r="AK190" s="438">
        <f>+INPUT!BJ60</f>
        <v>-13.837054019877797</v>
      </c>
      <c r="AL190" s="457">
        <f>+INPUT!BK60</f>
        <v>7.6496674057649665</v>
      </c>
      <c r="AM190" s="438">
        <f>+INPUT!BL60</f>
        <v>-1.293791574279382</v>
      </c>
      <c r="AN190" s="457">
        <f>+INPUT!BM60</f>
        <v>6.9937958262831366</v>
      </c>
      <c r="AO190" s="438">
        <f>+INPUT!BN60</f>
        <v>-13.39500882648089</v>
      </c>
      <c r="AP190" s="457">
        <f>+INPUT!BO60</f>
        <v>6.0779816513761471</v>
      </c>
      <c r="AQ190" s="438">
        <f>+INPUT!BP60</f>
        <v>-29.690508551364815</v>
      </c>
      <c r="AR190" s="457">
        <f>+INPUT!BQ60</f>
        <v>7.0930232558139528</v>
      </c>
      <c r="AS190" s="438">
        <f>+INPUT!BR60</f>
        <v>-11.840430546825914</v>
      </c>
      <c r="AT190" s="457">
        <f>+INPUT!BS60</f>
        <v>8.3677077195050096</v>
      </c>
      <c r="AU190" s="438">
        <f>+INPUT!BT60</f>
        <v>9.3865559854133096</v>
      </c>
      <c r="AV190" s="457">
        <f>+INPUT!BU60</f>
        <v>10.868916094356525</v>
      </c>
      <c r="AW190" s="438">
        <f>+INPUT!BV60</f>
        <v>55.407969639468689</v>
      </c>
      <c r="AX190" s="457">
        <f>+INPUT!BW60</f>
        <v>9.3474962063732931</v>
      </c>
      <c r="AY190" s="438">
        <f>+INPUT!BX60</f>
        <v>53.792767772783236</v>
      </c>
      <c r="AZ190" s="457">
        <f>+INPUT!BY60</f>
        <v>9.1939932577382777</v>
      </c>
      <c r="BA190" s="438">
        <f>+INPUT!BZ60</f>
        <v>29.620232814015083</v>
      </c>
      <c r="BB190" s="457">
        <f>+INPUT!CA60</f>
        <v>6.0850667494566908</v>
      </c>
      <c r="BC190" s="438">
        <f>+INPUT!CB60</f>
        <v>-27.279167085718285</v>
      </c>
      <c r="BD190" s="457">
        <f>+INPUT!CC60</f>
        <v>7.0961718020541547</v>
      </c>
      <c r="BE190" s="438">
        <f>+INPUT!CD60</f>
        <v>-34.711320425606147</v>
      </c>
      <c r="BF190" s="456">
        <f>+INPUT!CE60</f>
        <v>5.5619930475086905</v>
      </c>
      <c r="BG190" s="438">
        <f>+INPUT!CF60</f>
        <v>-40.497509443048266</v>
      </c>
      <c r="BH190" s="456">
        <f>+INPUT!CG60</f>
        <v>8.3444771329232417</v>
      </c>
      <c r="BI190" s="438">
        <f>+INPUT!CH60</f>
        <v>-9.2399037175715364</v>
      </c>
      <c r="BJ190" s="456">
        <f>+INPUT!CI60</f>
        <v>4.6733935209771644</v>
      </c>
      <c r="BK190" s="438">
        <f>+INPUT!CJ60</f>
        <v>-23.198976882308955</v>
      </c>
      <c r="BL190" s="456">
        <f>+INPUT!CK60</f>
        <v>4.7021943573667713</v>
      </c>
      <c r="BM190" s="438">
        <f>+INPUT!CL60</f>
        <v>-33.736182148160367</v>
      </c>
      <c r="BN190" s="456">
        <f>+INPUT!CM60</f>
        <v>5.0039093041438623</v>
      </c>
      <c r="BO190" s="438">
        <f>+INPUT!CN60</f>
        <v>-10.033880635913476</v>
      </c>
      <c r="BP190" s="456">
        <f>+INPUT!CO60</f>
        <v>4.6862796146836763</v>
      </c>
      <c r="BQ190" s="438">
        <f>+INPUT!CP60</f>
        <v>-43.839745258646587</v>
      </c>
      <c r="BR190" s="456">
        <f>+INPUT!CQ60</f>
        <v>4.8104575163398691</v>
      </c>
      <c r="BS190" s="438">
        <f>+INPUT!CR60</f>
        <v>2.9328579916815016</v>
      </c>
      <c r="BT190" s="456">
        <f>+INPUT!CS60</f>
        <v>4.6194225721784772</v>
      </c>
      <c r="BU190" s="438">
        <f>+INPUT!CT60</f>
        <v>-1.7602799650043863</v>
      </c>
      <c r="BV190" s="456">
        <f>+INPUT!CU60</f>
        <v>4.5358649789029535</v>
      </c>
      <c r="BW190" s="438">
        <f>+INPUT!CV60</f>
        <v>-9.3535733122362785</v>
      </c>
      <c r="BX190" s="456">
        <f>+INPUT!CW60</f>
        <v>3.5997882477501326</v>
      </c>
      <c r="BY190" s="438">
        <f>+INPUT!CX60</f>
        <v>-23.184518557731892</v>
      </c>
      <c r="BZ190" s="456">
        <f>+INPUT!CY60</f>
        <v>3.7154989384288748</v>
      </c>
      <c r="CA190" s="438">
        <f>+INPUT!CZ60</f>
        <v>-22.762046524508435</v>
      </c>
      <c r="CB190" s="456">
        <f>+INPUT!DA60</f>
        <v>5.1118210862619806</v>
      </c>
      <c r="CC190" s="438">
        <f>+INPUT!DB60</f>
        <v>10.659308742375842</v>
      </c>
      <c r="CD190" s="456">
        <f>+INPUT!DC60</f>
        <v>4.3920728441349759</v>
      </c>
      <c r="CE190" s="438">
        <f>+INPUT!DD60</f>
        <v>-3.1701149711637839</v>
      </c>
      <c r="CF190" s="456">
        <f>+INPUT!DE60</f>
        <v>4.0926225094238013</v>
      </c>
      <c r="CG190" s="438">
        <f>+INPUT!DF60</f>
        <v>13.690645886787649</v>
      </c>
      <c r="CH190" s="456">
        <f>+INPUT!DG60</f>
        <v>4.325493376588267</v>
      </c>
      <c r="CI190" s="438">
        <f>+INPUT!DH60</f>
        <v>16.417564592747084</v>
      </c>
      <c r="CJ190" s="456">
        <f>+INPUT!DI60</f>
        <v>4.4553110567780498</v>
      </c>
      <c r="CK190" s="438">
        <f>+INPUT!DJ60</f>
        <v>-12.84297745177939</v>
      </c>
      <c r="CL190" s="456">
        <f>+INPUT!DK60</f>
        <v>3.8115981486523278</v>
      </c>
      <c r="CM190" s="438">
        <f>+INPUT!DL60</f>
        <v>-13.216417761781756</v>
      </c>
      <c r="CN190" s="456">
        <f>+INPUT!DM60</f>
        <v>3.7199124726477026</v>
      </c>
      <c r="CO190" s="438">
        <f>+INPUT!DN60</f>
        <v>-9.1068755038580917</v>
      </c>
      <c r="CP190" s="456">
        <f>+INPUT!DO60</f>
        <v>3.2985156679494225</v>
      </c>
      <c r="CQ190" s="438">
        <f>+INPUT!DP60</f>
        <v>-23.742440901594293</v>
      </c>
      <c r="CR190" s="456">
        <f>+INPUT!DQ60</f>
        <v>4.3201329271669895</v>
      </c>
      <c r="CS190" s="438">
        <f>+INPUT!DR60</f>
        <v>-3.0340896042579999</v>
      </c>
      <c r="CT190" s="456">
        <f>+INPUT!DS60</f>
        <v>3.2393186260821003</v>
      </c>
      <c r="CU190" s="438">
        <f>+INPUT!DT60</f>
        <v>-15.01416204571747</v>
      </c>
      <c r="CV190" s="456">
        <f>+INPUT!DU60</f>
        <v>3.6923076923076925</v>
      </c>
      <c r="CW190" s="438">
        <f>+INPUT!DV60</f>
        <v>-0.74208144796379827</v>
      </c>
      <c r="CX190" s="456">
        <f>+INPUT!DW60</f>
        <v>3.3783783783783785</v>
      </c>
      <c r="CY190" s="438">
        <f>+INPUT!DX60</f>
        <v>2.4211711711711814</v>
      </c>
      <c r="CZ190" s="456">
        <f>+INPUT!DY60</f>
        <v>3.6240090600226504</v>
      </c>
      <c r="DA190" s="438">
        <f>+INPUT!DZ60</f>
        <v>-16.113482591398778</v>
      </c>
      <c r="DB190" s="456">
        <f>+INPUT!EA60</f>
        <v>3.5388127853881275</v>
      </c>
      <c r="DC190" s="438">
        <f>+INPUT!EB60</f>
        <v>9.2455912454731219</v>
      </c>
      <c r="DD190" s="456">
        <f>+INPUT!EC60</f>
        <v>2.9825064525379985</v>
      </c>
      <c r="DE190" s="438">
        <f>+INPUT!ED60</f>
        <v>-19.223783577095872</v>
      </c>
      <c r="DF190" s="456">
        <f>+INPUT!EE60</f>
        <v>2.407566638005159</v>
      </c>
      <c r="DG190" s="438">
        <f>+INPUT!EF60</f>
        <v>-28.736027515047297</v>
      </c>
      <c r="DH190" s="456">
        <f>+INPUT!EG60</f>
        <v>3.0989956958393114</v>
      </c>
      <c r="DI190" s="438">
        <f>+INPUT!EH60</f>
        <v>-14.487087517934</v>
      </c>
      <c r="DJ190" s="456">
        <f>+INPUT!EI60</f>
        <v>3.096330275229358</v>
      </c>
      <c r="DK190" s="438">
        <f>+INPUT!EJ60</f>
        <v>-12.503699319325236</v>
      </c>
      <c r="DL190" s="456">
        <f>+INPUT!EK60</f>
        <v>2.8661507595299516</v>
      </c>
      <c r="DM190" s="438">
        <f>+INPUT!EL60</f>
        <v>-3.9012721299909572</v>
      </c>
      <c r="DN190" s="456">
        <f>+INPUT!EM60</f>
        <v>2.4054982817869419</v>
      </c>
      <c r="DO190" s="438">
        <f>+INPUT!EN60</f>
        <v>-8.5910652920944131E-2</v>
      </c>
      <c r="DP190" s="456">
        <f>+INPUT!EO60</f>
        <v>3.5499570569710848</v>
      </c>
      <c r="DQ190" s="438">
        <f>+INPUT!EP60</f>
        <v>14.551855032816945</v>
      </c>
      <c r="DR190" s="456">
        <f>+INPUT!EQ60</f>
        <v>3.5499570569710848</v>
      </c>
      <c r="DS190" s="438">
        <f>+INPUT!ER60</f>
        <v>14.650464951066141</v>
      </c>
      <c r="DT190" s="456">
        <f>+INPUT!ES60</f>
        <v>3.5499570569710848</v>
      </c>
      <c r="DU190" s="438">
        <f>+INPUT!ET60</f>
        <v>23.858001717721152</v>
      </c>
      <c r="DV190" s="456">
        <f>+INPUT!EU60</f>
        <v>3.5499570569710848</v>
      </c>
      <c r="DW190" s="438">
        <f>+INPUT!EV60</f>
        <v>47.576786225512222</v>
      </c>
      <c r="DX190" s="456">
        <f>+INPUT!EW60</f>
        <v>3.5499570569710848</v>
      </c>
      <c r="DY190" s="438">
        <f>+INPUT!EX60</f>
        <v>0</v>
      </c>
      <c r="DZ190" s="456"/>
      <c r="EA190" s="438"/>
      <c r="EB190" s="439">
        <f>+INPUT!FI60</f>
        <v>-38.243998311063486</v>
      </c>
      <c r="EC190" s="457">
        <f>+INPUT!FJ60</f>
        <v>4.8067226890756301</v>
      </c>
      <c r="ED190" s="439">
        <f>+INPUT!FK60</f>
        <v>-34.886710239651407</v>
      </c>
      <c r="EE190" s="457">
        <f>+INPUT!FL60</f>
        <v>4.1519434628975258</v>
      </c>
      <c r="EF190" s="439">
        <f>+INPUT!FM60</f>
        <v>-13.622155229929092</v>
      </c>
      <c r="EG190" s="457">
        <f>+INPUT!FN60</f>
        <v>5.4354012521343193</v>
      </c>
      <c r="EH190" s="439">
        <f>+INPUT!FO60</f>
        <v>30.912217391830865</v>
      </c>
      <c r="EI190" s="457">
        <f>+INPUT!FP60</f>
        <v>5.9551430781129158</v>
      </c>
      <c r="EJ190" s="438">
        <f>+INPUT!FQ60</f>
        <v>9.5621611334491377</v>
      </c>
      <c r="EK190" s="457">
        <f>+INPUT!FR60</f>
        <v>7.8426459533951389</v>
      </c>
      <c r="EL190" s="438">
        <f>+INPUT!FS60</f>
        <v>31.695340490128757</v>
      </c>
      <c r="EM190" s="457">
        <f>+INPUT!FT60</f>
        <v>7.6307363927427954</v>
      </c>
      <c r="EN190" s="438">
        <f>+INPUT!FU60</f>
        <v>-2.7020161551549648</v>
      </c>
      <c r="EO190" s="457">
        <f>+INPUT!FV60</f>
        <v>7.9128440366972477</v>
      </c>
      <c r="EP190" s="438">
        <f>+INPUT!FW60</f>
        <v>3.6969910823121808</v>
      </c>
      <c r="EQ190" s="456">
        <f>+INPUT!FX60</f>
        <v>7.8300455235204858</v>
      </c>
      <c r="ER190" s="438">
        <f>+INPUT!FY60</f>
        <v>-1.0463812100019823</v>
      </c>
      <c r="ES190" s="456">
        <f>+INPUT!FZ60</f>
        <v>6.2282734646581694</v>
      </c>
      <c r="ET190" s="438">
        <f>+INPUT!GA60</f>
        <v>-20.456740054074928</v>
      </c>
      <c r="EU190" s="456">
        <f>+INPUT!GB60</f>
        <v>4.7693510555121188</v>
      </c>
      <c r="EV190" s="438">
        <f>+INPUT!GC60</f>
        <v>-23.424186773824033</v>
      </c>
      <c r="EW190" s="456">
        <f>+INPUT!GD60</f>
        <v>4.2194092827004219</v>
      </c>
      <c r="EX190" s="438">
        <f>+INPUT!GE60</f>
        <v>-11.530746351248538</v>
      </c>
      <c r="EY190" s="456">
        <f>+INPUT!GF60</f>
        <v>4.284949116229245</v>
      </c>
      <c r="EZ190" s="438">
        <f>+INPUT!GG60</f>
        <v>1.5532940546331133</v>
      </c>
      <c r="FA190" s="456">
        <f>+INPUT!GH60</f>
        <v>3.7571467465287229</v>
      </c>
      <c r="FB190" s="438">
        <f>+INPUT!GI60</f>
        <v>-12.317587802885939</v>
      </c>
      <c r="FC190" s="456">
        <f>+INPUT!GJ60</f>
        <v>3.4627199106394864</v>
      </c>
      <c r="FD190" s="438">
        <f>+INPUT!GK60</f>
        <v>-7.8364475958055522</v>
      </c>
      <c r="FE190" s="456">
        <f>+INPUT!GL60</f>
        <v>2.9965753424657531</v>
      </c>
      <c r="FF190" s="438">
        <f>+INPUT!GM60</f>
        <v>-13.461804021210796</v>
      </c>
      <c r="FG190" s="456">
        <f>+INPUT!GN60</f>
        <v>2.9816513761467891</v>
      </c>
      <c r="FH190" s="438">
        <f>+INPUT!GO60</f>
        <v>-0.49803407601571337</v>
      </c>
      <c r="FI190" s="456">
        <f>+INPUT!GP60</f>
        <v>3.5278030080160421</v>
      </c>
      <c r="FJ190" s="438">
        <f>+INPUT!GQ60</f>
        <v>18.317085499614947</v>
      </c>
      <c r="FK190" s="456">
        <f>+INPUT!GR60</f>
        <v>3.5278030080160421</v>
      </c>
      <c r="FL190" s="438">
        <f>+INPUT!GS60</f>
        <v>0</v>
      </c>
      <c r="FM190" s="456">
        <f>+INPUT!GT60</f>
        <v>3.5278030080160421</v>
      </c>
      <c r="FN190" s="438">
        <f>+INPUT!GU60</f>
        <v>0</v>
      </c>
      <c r="FO190" s="456">
        <f>+INPUT!GV60</f>
        <v>3.5278030080160421</v>
      </c>
      <c r="FP190" s="438">
        <f>+INPUT!GW60</f>
        <v>0</v>
      </c>
      <c r="FQ190" s="456">
        <f>+INPUT!GX60</f>
        <v>3.5278030080160421</v>
      </c>
      <c r="FR190" s="438">
        <f>+INPUT!GY60</f>
        <v>0</v>
      </c>
      <c r="FS190" s="438">
        <f>+INPUT!GZ60</f>
        <v>3.4211809567225471</v>
      </c>
    </row>
    <row r="191" spans="1:175" s="529" customFormat="1" ht="12.75" hidden="1" customHeight="1" outlineLevel="1" x14ac:dyDescent="0.2">
      <c r="A191" s="441" t="str">
        <f>+INPUT!B61</f>
        <v>Benefit Payments/BOP Reserves (%)</v>
      </c>
      <c r="B191" s="457">
        <f>+INPUT!AA61</f>
        <v>4.8292108362779746</v>
      </c>
      <c r="C191" s="439">
        <f>+INPUT!AB61</f>
        <v>2.6207302709069609</v>
      </c>
      <c r="D191" s="457">
        <f>+INPUT!AC61</f>
        <v>5.298013245033113</v>
      </c>
      <c r="E191" s="439">
        <f>+INPUT!AD61</f>
        <v>10.085146641438044</v>
      </c>
      <c r="F191" s="457">
        <f>+INPUT!AE61</f>
        <v>4.4596912521440828</v>
      </c>
      <c r="G191" s="439">
        <f>+INPUT!AF61</f>
        <v>-5.603201829616907</v>
      </c>
      <c r="H191" s="457">
        <f>+INPUT!AG61</f>
        <v>4.0874254896395117</v>
      </c>
      <c r="I191" s="439">
        <f>+INPUT!AH61</f>
        <v>-14.583287844712771</v>
      </c>
      <c r="J191" s="457">
        <f>+INPUT!AI61</f>
        <v>5.122367672168469</v>
      </c>
      <c r="K191" s="439">
        <f>+INPUT!AJ61</f>
        <v>6.0704915529519354</v>
      </c>
      <c r="L191" s="457">
        <f>+INPUT!AK61</f>
        <v>4.2529378847229991</v>
      </c>
      <c r="M191" s="439">
        <f>+INPUT!AL61</f>
        <v>-19.725797425853401</v>
      </c>
      <c r="N191" s="457">
        <f>+INPUT!AM61</f>
        <v>4.406233207952714</v>
      </c>
      <c r="O191" s="439">
        <f>+INPUT!AN61</f>
        <v>-1.1986938370603042</v>
      </c>
      <c r="P191" s="457">
        <f>+INPUT!AO61</f>
        <v>4.0414507772020727</v>
      </c>
      <c r="Q191" s="439">
        <f>+INPUT!AP61</f>
        <v>-1.1247841105354013</v>
      </c>
      <c r="R191" s="457">
        <f>+INPUT!AQ61</f>
        <v>4.2278937870585205</v>
      </c>
      <c r="S191" s="439">
        <f>+INPUT!AR61</f>
        <v>-17.462117957090882</v>
      </c>
      <c r="T191" s="457">
        <f>+INPUT!AS61</f>
        <v>4.4341325083784477</v>
      </c>
      <c r="U191" s="439">
        <f>+INPUT!AT61</f>
        <v>4.2604577956879837</v>
      </c>
      <c r="V191" s="457">
        <f>+INPUT!AU61</f>
        <v>3.4448818897637796</v>
      </c>
      <c r="W191" s="439">
        <f>+INPUT!AV61</f>
        <v>-21.817985404263496</v>
      </c>
      <c r="X191" s="457">
        <f>+INPUT!AW61</f>
        <v>4.0664517728737914</v>
      </c>
      <c r="Y191" s="439">
        <f>+INPUT!AX61</f>
        <v>0.61861438008227765</v>
      </c>
      <c r="Z191" s="457">
        <f>+INPUT!AY61</f>
        <v>4.3096968178401402</v>
      </c>
      <c r="AA191" s="439">
        <f>+INPUT!AZ61</f>
        <v>1.9348411975725952</v>
      </c>
      <c r="AB191" s="457">
        <f>+INPUT!BA61</f>
        <v>4.2628774422735347</v>
      </c>
      <c r="AC191" s="439">
        <f>+INPUT!BB61</f>
        <v>-3.8622000082613823</v>
      </c>
      <c r="AD191" s="457">
        <f>+INPUT!BC61</f>
        <v>4.2366313614053217</v>
      </c>
      <c r="AE191" s="439">
        <f>+INPUT!BD61</f>
        <v>22.983356091080196</v>
      </c>
      <c r="AF191" s="457">
        <f>+INPUT!BE61</f>
        <v>5.2438384897745145</v>
      </c>
      <c r="AG191" s="439">
        <f>+INPUT!BF61</f>
        <v>28.95366237354034</v>
      </c>
      <c r="AH191" s="457">
        <f>+INPUT!BG61</f>
        <v>4.5891141942369265</v>
      </c>
      <c r="AI191" s="438">
        <f>+INPUT!BH61</f>
        <v>6.4834578441835617</v>
      </c>
      <c r="AJ191" s="457">
        <f>+INPUT!BI61</f>
        <v>4.8926338678988861</v>
      </c>
      <c r="AK191" s="438">
        <f>+INPUT!BJ61</f>
        <v>14.773036151128039</v>
      </c>
      <c r="AL191" s="457">
        <f>+INPUT!BK61</f>
        <v>4.5454545454545459</v>
      </c>
      <c r="AM191" s="438">
        <f>+INPUT!BL61</f>
        <v>7.2893569844789425</v>
      </c>
      <c r="AN191" s="457">
        <f>+INPUT!BM61</f>
        <v>4.2865200225606319</v>
      </c>
      <c r="AO191" s="438">
        <f>+INPUT!BN61</f>
        <v>-18.256063169768737</v>
      </c>
      <c r="AP191" s="457">
        <f>+INPUT!BO61</f>
        <v>4.931192660550459</v>
      </c>
      <c r="AQ191" s="438">
        <f>+INPUT!BP61</f>
        <v>7.4541284403669721</v>
      </c>
      <c r="AR191" s="457">
        <f>+INPUT!BQ61</f>
        <v>4.6511627906976747</v>
      </c>
      <c r="AS191" s="438">
        <f>+INPUT!BR61</f>
        <v>-4.9354005167958803</v>
      </c>
      <c r="AT191" s="457">
        <f>+INPUT!BS61</f>
        <v>4.3606364172068357</v>
      </c>
      <c r="AU191" s="438">
        <f>+INPUT!BT61</f>
        <v>-4.0659988214496252</v>
      </c>
      <c r="AV191" s="457">
        <f>+INPUT!BU61</f>
        <v>4.7775455359808898</v>
      </c>
      <c r="AW191" s="438">
        <f>+INPUT!BV61</f>
        <v>11.455108359133121</v>
      </c>
      <c r="AX191" s="457">
        <f>+INPUT!BW61</f>
        <v>5.2200303490136575</v>
      </c>
      <c r="AY191" s="438">
        <f>+INPUT!BX61</f>
        <v>5.8573596358118465</v>
      </c>
      <c r="AZ191" s="457">
        <f>+INPUT!BY61</f>
        <v>4.5357033404842175</v>
      </c>
      <c r="BA191" s="438">
        <f>+INPUT!BZ61</f>
        <v>-2.4823781795893325</v>
      </c>
      <c r="BB191" s="457">
        <f>+INPUT!CA61</f>
        <v>5.0915864638311081</v>
      </c>
      <c r="BC191" s="438">
        <f>+INPUT!CB61</f>
        <v>16.762462555694469</v>
      </c>
      <c r="BD191" s="457">
        <f>+INPUT!CC61</f>
        <v>4.8552754435107381</v>
      </c>
      <c r="BE191" s="438">
        <f>+INPUT!CD61</f>
        <v>1.6269841269841407</v>
      </c>
      <c r="BF191" s="456">
        <f>+INPUT!CE61</f>
        <v>6.6048667439165696</v>
      </c>
      <c r="BG191" s="438">
        <f>+INPUT!CF61</f>
        <v>26.529278611657531</v>
      </c>
      <c r="BH191" s="456">
        <f>+INPUT!CG61</f>
        <v>8.5584380850494792</v>
      </c>
      <c r="BI191" s="438">
        <f>+INPUT!CH61</f>
        <v>88.69042886159761</v>
      </c>
      <c r="BJ191" s="456">
        <f>+INPUT!CI61</f>
        <v>6.5852363250132768</v>
      </c>
      <c r="BK191" s="438">
        <f>+INPUT!CJ61</f>
        <v>29.335647578461987</v>
      </c>
      <c r="BL191" s="456">
        <f>+INPUT!CK61</f>
        <v>7.105538140020899</v>
      </c>
      <c r="BM191" s="438">
        <f>+INPUT!CL61</f>
        <v>46.346756691584289</v>
      </c>
      <c r="BN191" s="456">
        <f>+INPUT!CM61</f>
        <v>6.9846234037008088</v>
      </c>
      <c r="BO191" s="438">
        <f>+INPUT!CN61</f>
        <v>5.7496490770841717</v>
      </c>
      <c r="BP191" s="456">
        <f>+INPUT!CO61</f>
        <v>6.7690705545430871</v>
      </c>
      <c r="BQ191" s="438">
        <f>+INPUT!CP61</f>
        <v>-20.907641239260627</v>
      </c>
      <c r="BR191" s="456">
        <f>+INPUT!CQ61</f>
        <v>7.0065359477124183</v>
      </c>
      <c r="BS191" s="438">
        <f>+INPUT!CR61</f>
        <v>6.3976386253426227</v>
      </c>
      <c r="BT191" s="456">
        <f>+INPUT!CS61</f>
        <v>8.0839895013123364</v>
      </c>
      <c r="BU191" s="438">
        <f>+INPUT!CT61</f>
        <v>13.770264011116254</v>
      </c>
      <c r="BV191" s="456">
        <f>+INPUT!CU61</f>
        <v>8.7552742616033754</v>
      </c>
      <c r="BW191" s="438">
        <f>+INPUT!CV61</f>
        <v>25.350699036463226</v>
      </c>
      <c r="BX191" s="456">
        <f>+INPUT!CW61</f>
        <v>6.5643197458972997</v>
      </c>
      <c r="BY191" s="438">
        <f>+INPUT!CX61</f>
        <v>-3.0247994461864209</v>
      </c>
      <c r="BZ191" s="456">
        <f>+INPUT!CY61</f>
        <v>7.2186836518046711</v>
      </c>
      <c r="CA191" s="438">
        <f>+INPUT!CZ61</f>
        <v>3.0278543587793507</v>
      </c>
      <c r="CB191" s="456">
        <f>+INPUT!DA61</f>
        <v>7.2417465388711397</v>
      </c>
      <c r="CC191" s="438">
        <f>+INPUT!DB61</f>
        <v>-10.41865482760052</v>
      </c>
      <c r="CD191" s="456">
        <f>+INPUT!DC61</f>
        <v>7.6057846813069094</v>
      </c>
      <c r="CE191" s="438">
        <f>+INPUT!DD61</f>
        <v>-13.129109905072895</v>
      </c>
      <c r="CF191" s="456">
        <f>+INPUT!DE61</f>
        <v>10.339256865912763</v>
      </c>
      <c r="CG191" s="438">
        <f>+INPUT!DF61</f>
        <v>57.506904997654914</v>
      </c>
      <c r="CH191" s="456">
        <f>+INPUT!DG61</f>
        <v>8.9753987564206543</v>
      </c>
      <c r="CI191" s="438">
        <f>+INPUT!DH61</f>
        <v>24.335671008062604</v>
      </c>
      <c r="CJ191" s="456">
        <f>+INPUT!DI61</f>
        <v>9.2366204835642485</v>
      </c>
      <c r="CK191" s="438">
        <f>+INPUT!DJ61</f>
        <v>27.546862265688659</v>
      </c>
      <c r="CL191" s="456">
        <f>+INPUT!DK61</f>
        <v>7.7320991015518645</v>
      </c>
      <c r="CM191" s="438">
        <f>+INPUT!DL61</f>
        <v>1.660767764769929</v>
      </c>
      <c r="CN191" s="456">
        <f>+INPUT!DM61</f>
        <v>8.205689277899344</v>
      </c>
      <c r="CO191" s="438">
        <f>+INPUT!DN61</f>
        <v>-20.635599015317283</v>
      </c>
      <c r="CP191" s="456">
        <f>+INPUT!DO61</f>
        <v>11.984606926882902</v>
      </c>
      <c r="CQ191" s="438">
        <f>+INPUT!DP61</f>
        <v>33.527292236565842</v>
      </c>
      <c r="CR191" s="456">
        <f>+INPUT!DQ61</f>
        <v>9.4156743284408755</v>
      </c>
      <c r="CS191" s="438">
        <f>+INPUT!DR61</f>
        <v>1.9385211852672484</v>
      </c>
      <c r="CT191" s="456">
        <f>+INPUT!DS61</f>
        <v>9.8296565205249937</v>
      </c>
      <c r="CU191" s="438">
        <f>+INPUT!DT61</f>
        <v>27.127916901015141</v>
      </c>
      <c r="CV191" s="456">
        <f>+INPUT!DU61</f>
        <v>11.076923076923077</v>
      </c>
      <c r="CW191" s="438">
        <f>+INPUT!DV61</f>
        <v>34.990769230769217</v>
      </c>
      <c r="CX191" s="456">
        <f>+INPUT!DW61</f>
        <v>10.247747747747747</v>
      </c>
      <c r="CY191" s="438">
        <f>+INPUT!DX61</f>
        <v>-14.492416728655272</v>
      </c>
      <c r="CZ191" s="456">
        <f>+INPUT!DY61</f>
        <v>10.30577576443941</v>
      </c>
      <c r="DA191" s="438">
        <f>+INPUT!DZ61</f>
        <v>9.4534008393844431</v>
      </c>
      <c r="DB191" s="456">
        <f>+INPUT!EA61</f>
        <v>10.045662100456621</v>
      </c>
      <c r="DC191" s="438">
        <f>+INPUT!EB61</f>
        <v>2.1974885844748826</v>
      </c>
      <c r="DD191" s="456">
        <f>+INPUT!EC61</f>
        <v>10.324060797246917</v>
      </c>
      <c r="DE191" s="438">
        <f>+INPUT!ED61</f>
        <v>-6.7966733581875616</v>
      </c>
      <c r="DF191" s="456">
        <f>+INPUT!EE61</f>
        <v>10.432788764689024</v>
      </c>
      <c r="DG191" s="438">
        <f>+INPUT!EF61</f>
        <v>1.8056749785038733</v>
      </c>
      <c r="DH191" s="456">
        <f>+INPUT!EG61</f>
        <v>8.6083213773314213</v>
      </c>
      <c r="DI191" s="438">
        <f>+INPUT!EH61</f>
        <v>-16.470903558421483</v>
      </c>
      <c r="DJ191" s="456">
        <f>+INPUT!EI61</f>
        <v>9.6330275229357802</v>
      </c>
      <c r="DK191" s="438">
        <f>+INPUT!EJ61</f>
        <v>-4.1075896580483686</v>
      </c>
      <c r="DL191" s="456">
        <f>+INPUT!EK61</f>
        <v>9.4009744912582409</v>
      </c>
      <c r="DM191" s="438">
        <f>+INPUT!EL61</f>
        <v>-8.9411165249514255</v>
      </c>
      <c r="DN191" s="456">
        <f>+INPUT!EM61</f>
        <v>8.2474226804123703</v>
      </c>
      <c r="DO191" s="438">
        <f>+INPUT!EN61</f>
        <v>-20.947094142970442</v>
      </c>
      <c r="DP191" s="456">
        <f>+INPUT!EO61</f>
        <v>8.8176352705410821</v>
      </c>
      <c r="DQ191" s="438">
        <f>+INPUT!EP61</f>
        <v>2.4315297261188817</v>
      </c>
      <c r="DR191" s="456">
        <f>+INPUT!EQ61</f>
        <v>8.8176352705410821</v>
      </c>
      <c r="DS191" s="438">
        <f>+INPUT!ER61</f>
        <v>-8.4645481439068675</v>
      </c>
      <c r="DT191" s="456">
        <f>+INPUT!ES61</f>
        <v>8.8176352705410821</v>
      </c>
      <c r="DU191" s="438">
        <f>+INPUT!ET61</f>
        <v>-6.2050931130553835</v>
      </c>
      <c r="DV191" s="456">
        <f>+INPUT!EU61</f>
        <v>8.8176352705410821</v>
      </c>
      <c r="DW191" s="438">
        <f>+INPUT!EV61</f>
        <v>6.9138276553106266</v>
      </c>
      <c r="DX191" s="456">
        <f>+INPUT!EW61</f>
        <v>8.8176352705410821</v>
      </c>
      <c r="DY191" s="438">
        <f>+INPUT!EX61</f>
        <v>0</v>
      </c>
      <c r="DZ191" s="456"/>
      <c r="EA191" s="438"/>
      <c r="EB191" s="439" t="str">
        <f>+INPUT!FI61</f>
        <v>NA</v>
      </c>
      <c r="EC191" s="457">
        <f>+INPUT!FJ61</f>
        <v>4.8739495798319332</v>
      </c>
      <c r="ED191" s="439" t="str">
        <f>+INPUT!FK61</f>
        <v>NA</v>
      </c>
      <c r="EE191" s="457">
        <f>+INPUT!FL61</f>
        <v>4.7703180212014136</v>
      </c>
      <c r="EF191" s="439">
        <f>+INPUT!FM61</f>
        <v>-2.126233702936517</v>
      </c>
      <c r="EG191" s="457">
        <f>+INPUT!FN61</f>
        <v>4.638588503130336</v>
      </c>
      <c r="EH191" s="439">
        <f>+INPUT!FO61</f>
        <v>-2.7614410084529624</v>
      </c>
      <c r="EI191" s="457">
        <f>+INPUT!FP61</f>
        <v>4.1247744263985568</v>
      </c>
      <c r="EJ191" s="438">
        <f>+INPUT!FQ61</f>
        <v>-11.076948868929264</v>
      </c>
      <c r="EK191" s="457">
        <f>+INPUT!FR61</f>
        <v>4.4099223252317712</v>
      </c>
      <c r="EL191" s="438">
        <f>+INPUT!FS61</f>
        <v>6.91305437233774</v>
      </c>
      <c r="EM191" s="457">
        <f>+INPUT!FT61</f>
        <v>4.4557097118463185</v>
      </c>
      <c r="EN191" s="438">
        <f>+INPUT!FU61</f>
        <v>1.0382810226060144</v>
      </c>
      <c r="EO191" s="457">
        <f>+INPUT!FV61</f>
        <v>4.5871559633027523</v>
      </c>
      <c r="EP191" s="438">
        <f>+INPUT!FW61</f>
        <v>2.9500631763994818</v>
      </c>
      <c r="EQ191" s="456">
        <f>+INPUT!FX61</f>
        <v>4.8558421851289832</v>
      </c>
      <c r="ER191" s="438">
        <f>+INPUT!FY61</f>
        <v>5.8573596358118465</v>
      </c>
      <c r="ES191" s="456">
        <f>+INPUT!FZ61</f>
        <v>7.7346465816917735</v>
      </c>
      <c r="ET191" s="438">
        <f>+INPUT!GA61</f>
        <v>59.285378041714978</v>
      </c>
      <c r="EU191" s="456">
        <f>+INPUT!GB61</f>
        <v>7.1931196247068021</v>
      </c>
      <c r="EV191" s="438">
        <f>+INPUT!GC61</f>
        <v>-7.0013148146521331</v>
      </c>
      <c r="EW191" s="456">
        <f>+INPUT!GD61</f>
        <v>7.4103375527426154</v>
      </c>
      <c r="EX191" s="438">
        <f>+INPUT!GE61</f>
        <v>3.0198014125848403</v>
      </c>
      <c r="EY191" s="456">
        <f>+INPUT!GF61</f>
        <v>8.9716122121049811</v>
      </c>
      <c r="EZ191" s="438">
        <f>+INPUT!GG61</f>
        <v>21.068873695025232</v>
      </c>
      <c r="FA191" s="456">
        <f>+INPUT!GH61</f>
        <v>9.2567383610127969</v>
      </c>
      <c r="FB191" s="438">
        <f>+INPUT!GI61</f>
        <v>3.1780926567814447</v>
      </c>
      <c r="FC191" s="456">
        <f>+INPUT!GJ61</f>
        <v>10.30438425020944</v>
      </c>
      <c r="FD191" s="438">
        <f>+INPUT!GK61</f>
        <v>11.317656914762566</v>
      </c>
      <c r="FE191" s="456">
        <f>+INPUT!GL61</f>
        <v>9.8173515981735147</v>
      </c>
      <c r="FF191" s="438">
        <f>+INPUT!GM61</f>
        <v>-4.7264605066142167</v>
      </c>
      <c r="FG191" s="456">
        <f>+INPUT!GN61</f>
        <v>9.0309633027522942</v>
      </c>
      <c r="FH191" s="438">
        <f>+INPUT!GO61</f>
        <v>-8.0101877533603414</v>
      </c>
      <c r="FI191" s="456">
        <f>+INPUT!GP61</f>
        <v>8.7626074715237188</v>
      </c>
      <c r="FJ191" s="438">
        <f>+INPUT!GQ61</f>
        <v>-2.971508378810384</v>
      </c>
      <c r="FK191" s="456">
        <f>+INPUT!GR61</f>
        <v>8.7626074715237188</v>
      </c>
      <c r="FL191" s="438">
        <f>+INPUT!GS61</f>
        <v>0</v>
      </c>
      <c r="FM191" s="456">
        <f>+INPUT!GT61</f>
        <v>8.7626074715237188</v>
      </c>
      <c r="FN191" s="438">
        <f>+INPUT!GU61</f>
        <v>0</v>
      </c>
      <c r="FO191" s="456">
        <f>+INPUT!GV61</f>
        <v>8.7626074715237188</v>
      </c>
      <c r="FP191" s="438">
        <f>+INPUT!GW61</f>
        <v>0</v>
      </c>
      <c r="FQ191" s="456">
        <f>+INPUT!GX61</f>
        <v>8.7626074715237188</v>
      </c>
      <c r="FR191" s="438">
        <f>+INPUT!GY61</f>
        <v>0</v>
      </c>
      <c r="FS191" s="438">
        <f>+INPUT!GZ61</f>
        <v>-0.60149418811817901</v>
      </c>
    </row>
    <row r="192" spans="1:175" s="529" customFormat="1" ht="12.75" hidden="1" customHeight="1" outlineLevel="1" x14ac:dyDescent="0.2">
      <c r="A192" s="441" t="str">
        <f>+INPUT!B62</f>
        <v>Interest Credited/BOP Reserves (%)</v>
      </c>
      <c r="B192" s="457">
        <f>+INPUT!AA62</f>
        <v>5.0647820965842163</v>
      </c>
      <c r="C192" s="439" t="str">
        <f>+INPUT!AB62</f>
        <v>NM</v>
      </c>
      <c r="D192" s="457">
        <f>+INPUT!AC62</f>
        <v>5.4131874460120928</v>
      </c>
      <c r="E192" s="439">
        <f>+INPUT!AD62</f>
        <v>31.224685670409826</v>
      </c>
      <c r="F192" s="457">
        <f>+INPUT!AE62</f>
        <v>5.8319039451114927</v>
      </c>
      <c r="G192" s="439">
        <f>+INPUT!AF62</f>
        <v>-20.644449889732897</v>
      </c>
      <c r="H192" s="457">
        <f>+INPUT!AG62</f>
        <v>4.2009650865739427</v>
      </c>
      <c r="I192" s="439">
        <f>+INPUT!AH62</f>
        <v>-27.153477754090147</v>
      </c>
      <c r="J192" s="457">
        <f>+INPUT!AI62</f>
        <v>7.3989755264655663</v>
      </c>
      <c r="K192" s="439">
        <f>+INPUT!AJ62</f>
        <v>46.086749348122481</v>
      </c>
      <c r="L192" s="457">
        <f>+INPUT!AK62</f>
        <v>4.7006155567991046</v>
      </c>
      <c r="M192" s="439">
        <f>+INPUT!AL62</f>
        <v>-13.163628570408022</v>
      </c>
      <c r="N192" s="457">
        <f>+INPUT!AM62</f>
        <v>5.2659860290166574</v>
      </c>
      <c r="O192" s="439">
        <f>+INPUT!AN62</f>
        <v>-9.7038277965673245</v>
      </c>
      <c r="P192" s="457">
        <f>+INPUT!AO62</f>
        <v>3.6269430051813467</v>
      </c>
      <c r="Q192" s="439">
        <f>+INPUT!AP62</f>
        <v>-13.664052653689978</v>
      </c>
      <c r="R192" s="457">
        <f>+INPUT!AQ62</f>
        <v>4.7434905903583395</v>
      </c>
      <c r="S192" s="439">
        <f>+INPUT!AR62</f>
        <v>-35.889900251849213</v>
      </c>
      <c r="T192" s="457">
        <f>+INPUT!AS62</f>
        <v>4.1247744263985568</v>
      </c>
      <c r="U192" s="439">
        <f>+INPUT!AT62</f>
        <v>-12.250334524116411</v>
      </c>
      <c r="V192" s="457">
        <f>+INPUT!AU62</f>
        <v>2.1653543307086616</v>
      </c>
      <c r="W192" s="439" t="str">
        <f>+INPUT!AV62</f>
        <v>NM</v>
      </c>
      <c r="X192" s="457">
        <f>+INPUT!AW62</f>
        <v>3.8680882717579967</v>
      </c>
      <c r="Y192" s="439">
        <f>+INPUT!AX62</f>
        <v>6.6487194927562001</v>
      </c>
      <c r="Z192" s="457">
        <f>+INPUT!AY62</f>
        <v>3.5078927587070909</v>
      </c>
      <c r="AA192" s="439">
        <f>+INPUT!AZ62</f>
        <v>-26.048282548778218</v>
      </c>
      <c r="AB192" s="457">
        <f>+INPUT!BA62</f>
        <v>3.3494037046434917</v>
      </c>
      <c r="AC192" s="439">
        <f>+INPUT!BB62</f>
        <v>-18.797893935549354</v>
      </c>
      <c r="AD192" s="457">
        <f>+INPUT!BC62</f>
        <v>2.7899767501937482</v>
      </c>
      <c r="AE192" s="439">
        <f>+INPUT!BD62</f>
        <v>28.84619900894765</v>
      </c>
      <c r="AF192" s="457">
        <f>+INPUT!BE62</f>
        <v>3.7755637126376507</v>
      </c>
      <c r="AG192" s="439">
        <f>+INPUT!BF62</f>
        <v>-2.3919970957202281</v>
      </c>
      <c r="AH192" s="457">
        <f>+INPUT!BG62</f>
        <v>3.7353255069370332</v>
      </c>
      <c r="AI192" s="438">
        <f>+INPUT!BH62</f>
        <v>6.4834578441835617</v>
      </c>
      <c r="AJ192" s="457">
        <f>+INPUT!BI62</f>
        <v>3.1530307148681707</v>
      </c>
      <c r="AK192" s="438">
        <f>+INPUT!BJ62</f>
        <v>-5.8629238841253084</v>
      </c>
      <c r="AL192" s="457">
        <f>+INPUT!BK62</f>
        <v>3.6585365853658534</v>
      </c>
      <c r="AM192" s="438">
        <f>+INPUT!BL62</f>
        <v>31.131436314363157</v>
      </c>
      <c r="AN192" s="457">
        <f>+INPUT!BM62</f>
        <v>3.0456852791878175</v>
      </c>
      <c r="AO192" s="438">
        <f>+INPUT!BN62</f>
        <v>-19.331641285955996</v>
      </c>
      <c r="AP192" s="457">
        <f>+INPUT!BO62</f>
        <v>3.669724770642202</v>
      </c>
      <c r="AQ192" s="438">
        <f>+INPUT!BP62</f>
        <v>-1.7562254259501913</v>
      </c>
      <c r="AR192" s="457">
        <f>+INPUT!BQ62</f>
        <v>3.6046511627906979</v>
      </c>
      <c r="AS192" s="438">
        <f>+INPUT!BR62</f>
        <v>14.323376102646364</v>
      </c>
      <c r="AT192" s="457">
        <f>+INPUT!BS62</f>
        <v>3.7713612256923983</v>
      </c>
      <c r="AU192" s="438">
        <f>+INPUT!BT62</f>
        <v>3.0838735022588963</v>
      </c>
      <c r="AV192" s="457">
        <f>+INPUT!BU62</f>
        <v>3.8220364287847119</v>
      </c>
      <c r="AW192" s="438">
        <f>+INPUT!BV62</f>
        <v>25.490196078431367</v>
      </c>
      <c r="AX192" s="457">
        <f>+INPUT!BW62</f>
        <v>4.0060698027314112</v>
      </c>
      <c r="AY192" s="438">
        <f>+INPUT!BX62</f>
        <v>9.1654021244309547</v>
      </c>
      <c r="AZ192" s="457">
        <f>+INPUT!BY62</f>
        <v>3.6775973030953111</v>
      </c>
      <c r="BA192" s="438">
        <f>+INPUT!BZ62</f>
        <v>2.0236671181279746</v>
      </c>
      <c r="BB192" s="457">
        <f>+INPUT!CA62</f>
        <v>4.4706612853151197</v>
      </c>
      <c r="BC192" s="438">
        <f>+INPUT!CB62</f>
        <v>18.542378143433709</v>
      </c>
      <c r="BD192" s="457">
        <f>+INPUT!CC62</f>
        <v>37.099284158107686</v>
      </c>
      <c r="BE192" s="438" t="str">
        <f>+INPUT!CD62</f>
        <v>NM</v>
      </c>
      <c r="BF192" s="456">
        <f>+INPUT!CE62</f>
        <v>42.062572421784473</v>
      </c>
      <c r="BG192" s="438" t="str">
        <f>+INPUT!CF62</f>
        <v>NM</v>
      </c>
      <c r="BH192" s="456">
        <f>+INPUT!CG62</f>
        <v>16.36801283765713</v>
      </c>
      <c r="BI192" s="438" t="str">
        <f>+INPUT!CH62</f>
        <v>NM</v>
      </c>
      <c r="BJ192" s="456">
        <f>+INPUT!CI62</f>
        <v>14.763674986723313</v>
      </c>
      <c r="BK192" s="438" t="str">
        <f>+INPUT!CJ62</f>
        <v>NM</v>
      </c>
      <c r="BL192" s="456">
        <f>+INPUT!CK62</f>
        <v>11.494252873563218</v>
      </c>
      <c r="BM192" s="438" t="str">
        <f>+INPUT!CL62</f>
        <v>NM</v>
      </c>
      <c r="BN192" s="456">
        <f>+INPUT!CM62</f>
        <v>10.633307271305707</v>
      </c>
      <c r="BO192" s="438" t="str">
        <f>+INPUT!CN62</f>
        <v>NM</v>
      </c>
      <c r="BP192" s="456">
        <f>+INPUT!CO62</f>
        <v>7.7063264774798235</v>
      </c>
      <c r="BQ192" s="438" t="str">
        <f>+INPUT!CP62</f>
        <v>NM</v>
      </c>
      <c r="BR192" s="456">
        <f>+INPUT!CQ62</f>
        <v>8.6797385620915026</v>
      </c>
      <c r="BS192" s="438">
        <f>+INPUT!CR62</f>
        <v>-41.208821178351442</v>
      </c>
      <c r="BT192" s="456">
        <f>+INPUT!CS62</f>
        <v>9.1338582677165352</v>
      </c>
      <c r="BU192" s="438">
        <f>+INPUT!CT62</f>
        <v>-20.535433070866134</v>
      </c>
      <c r="BV192" s="456">
        <f>+INPUT!CU62</f>
        <v>10.126582278481013</v>
      </c>
      <c r="BW192" s="438">
        <f>+INPUT!CV62</f>
        <v>-4.7654504839910459</v>
      </c>
      <c r="BX192" s="456">
        <f>+INPUT!CW62</f>
        <v>7.7289571201694027</v>
      </c>
      <c r="BY192" s="438">
        <f>+INPUT!CX62</f>
        <v>0.29366317084686955</v>
      </c>
      <c r="BZ192" s="456">
        <f>+INPUT!CY62</f>
        <v>8.2802547770700627</v>
      </c>
      <c r="CA192" s="438">
        <f>+INPUT!CZ62</f>
        <v>-4.602486378635561</v>
      </c>
      <c r="CB192" s="456">
        <f>+INPUT!DA62</f>
        <v>8.8391906283280086</v>
      </c>
      <c r="CC192" s="438">
        <f>+INPUT!DB62</f>
        <v>-3.2261026036502471</v>
      </c>
      <c r="CD192" s="456">
        <f>+INPUT!DC62</f>
        <v>8.2485270487412965</v>
      </c>
      <c r="CE192" s="438">
        <f>+INPUT!DD62</f>
        <v>-18.545795393679697</v>
      </c>
      <c r="CF192" s="456">
        <f>+INPUT!DE62</f>
        <v>11.308562197092083</v>
      </c>
      <c r="CG192" s="438">
        <f>+INPUT!DF62</f>
        <v>46.314205413061273</v>
      </c>
      <c r="CH192" s="456">
        <f>+INPUT!DG62</f>
        <v>9.8404974317383065</v>
      </c>
      <c r="CI192" s="438">
        <f>+INPUT!DH62</f>
        <v>18.842930521762639</v>
      </c>
      <c r="CJ192" s="456">
        <f>+INPUT!DI62</f>
        <v>10.649280086932897</v>
      </c>
      <c r="CK192" s="438">
        <f>+INPUT!DJ62</f>
        <v>20.478000019638444</v>
      </c>
      <c r="CL192" s="456">
        <f>+INPUT!DK62</f>
        <v>7.9499047100462832</v>
      </c>
      <c r="CM192" s="438">
        <f>+INPUT!DL62</f>
        <v>-3.6203110801531864</v>
      </c>
      <c r="CN192" s="456">
        <f>+INPUT!DM62</f>
        <v>8.5339168490153181</v>
      </c>
      <c r="CO192" s="438">
        <f>+INPUT!DN62</f>
        <v>-24.535792435135974</v>
      </c>
      <c r="CP192" s="456">
        <f>+INPUT!DO62</f>
        <v>10.995052226498075</v>
      </c>
      <c r="CQ192" s="438">
        <f>+INPUT!DP62</f>
        <v>11.732687323671385</v>
      </c>
      <c r="CR192" s="456">
        <f>+INPUT!DQ62</f>
        <v>9.5264469675990036</v>
      </c>
      <c r="CS192" s="438">
        <f>+INPUT!DR62</f>
        <v>-10.543746714969544</v>
      </c>
      <c r="CT192" s="456">
        <f>+INPUT!DS62</f>
        <v>11.058363585590616</v>
      </c>
      <c r="CU192" s="438">
        <f>+INPUT!DT62</f>
        <v>39.100580307788817</v>
      </c>
      <c r="CV192" s="456">
        <f>+INPUT!DU62</f>
        <v>10.517482517482518</v>
      </c>
      <c r="CW192" s="438">
        <f>+INPUT!DV62</f>
        <v>23.24332078178233</v>
      </c>
      <c r="CX192" s="456">
        <f>+INPUT!DW62</f>
        <v>10.585585585585585</v>
      </c>
      <c r="CY192" s="438">
        <f>+INPUT!DX62</f>
        <v>-3.7240990990990923</v>
      </c>
      <c r="CZ192" s="456">
        <f>+INPUT!DY62</f>
        <v>9.3997734994337492</v>
      </c>
      <c r="DA192" s="438">
        <f>+INPUT!DZ62</f>
        <v>-1.3297031789091136</v>
      </c>
      <c r="DB192" s="456">
        <f>+INPUT!EA62</f>
        <v>9.8173515981735147</v>
      </c>
      <c r="DC192" s="438">
        <f>+INPUT!EB62</f>
        <v>-11.222383653890518</v>
      </c>
      <c r="DD192" s="456">
        <f>+INPUT!EC62</f>
        <v>12.044737596788071</v>
      </c>
      <c r="DE192" s="438">
        <f>+INPUT!ED62</f>
        <v>14.521108799248267</v>
      </c>
      <c r="DF192" s="456">
        <f>+INPUT!EE62</f>
        <v>11.006018916595012</v>
      </c>
      <c r="DG192" s="438">
        <f>+INPUT!EF62</f>
        <v>3.9717531695358588</v>
      </c>
      <c r="DH192" s="456">
        <f>+INPUT!EG62</f>
        <v>9.9856527977044465</v>
      </c>
      <c r="DI192" s="438">
        <f>+INPUT!EH62</f>
        <v>6.2329086791930877</v>
      </c>
      <c r="DJ192" s="456">
        <f>+INPUT!EI62</f>
        <v>11.467889908256881</v>
      </c>
      <c r="DK192" s="438">
        <f>+INPUT!EJ62</f>
        <v>16.812459995732894</v>
      </c>
      <c r="DL192" s="456">
        <f>+INPUT!EK62</f>
        <v>11.006018916595012</v>
      </c>
      <c r="DM192" s="438">
        <f>+INPUT!EL62</f>
        <v>-8.6238381853171404</v>
      </c>
      <c r="DN192" s="456">
        <f>+INPUT!EM62</f>
        <v>9.6219931271477677</v>
      </c>
      <c r="DO192" s="438">
        <f>+INPUT!EN62</f>
        <v>-12.57517182130583</v>
      </c>
      <c r="DP192" s="456">
        <f>+INPUT!EO62</f>
        <v>9.5047237331806471</v>
      </c>
      <c r="DQ192" s="438">
        <f>+INPUT!EP62</f>
        <v>-4.8162005455903483</v>
      </c>
      <c r="DR192" s="456">
        <f>+INPUT!EQ62</f>
        <v>9.5047237331806471</v>
      </c>
      <c r="DS192" s="438">
        <f>+INPUT!ER62</f>
        <v>-17.118809046664765</v>
      </c>
      <c r="DT192" s="456">
        <f>+INPUT!ES62</f>
        <v>9.5047237331806471</v>
      </c>
      <c r="DU192" s="438">
        <f>+INPUT!ET62</f>
        <v>-13.640674205553964</v>
      </c>
      <c r="DV192" s="456">
        <f>+INPUT!EU62</f>
        <v>9.5047237331806471</v>
      </c>
      <c r="DW192" s="438">
        <f>+INPUT!EV62</f>
        <v>-1.2187640587297182</v>
      </c>
      <c r="DX192" s="456">
        <f>+INPUT!EW62</f>
        <v>9.5047237331806471</v>
      </c>
      <c r="DY192" s="438">
        <f>+INPUT!EX62</f>
        <v>0</v>
      </c>
      <c r="DZ192" s="456"/>
      <c r="EA192" s="438"/>
      <c r="EB192" s="439" t="str">
        <f>+INPUT!FI62</f>
        <v>NM</v>
      </c>
      <c r="EC192" s="457">
        <f>+INPUT!FJ62</f>
        <v>3.596638655462185</v>
      </c>
      <c r="ED192" s="439">
        <f>+INPUT!FK62</f>
        <v>-27.422312373225139</v>
      </c>
      <c r="EE192" s="457">
        <f>+INPUT!FL62</f>
        <v>5.2414605418138986</v>
      </c>
      <c r="EF192" s="439">
        <f>+INPUT!FM62</f>
        <v>45.732197307442505</v>
      </c>
      <c r="EG192" s="457">
        <f>+INPUT!FN62</f>
        <v>5.4354012521343193</v>
      </c>
      <c r="EH192" s="439">
        <f>+INPUT!FO62</f>
        <v>3.7001272598210448</v>
      </c>
      <c r="EI192" s="457">
        <f>+INPUT!FP62</f>
        <v>3.7896365042536742</v>
      </c>
      <c r="EJ192" s="438">
        <f>+INPUT!FQ62</f>
        <v>-30.278624733259619</v>
      </c>
      <c r="EK192" s="457">
        <f>+INPUT!FR62</f>
        <v>3.2823853670759204</v>
      </c>
      <c r="EL192" s="438">
        <f>+INPUT!FS62</f>
        <v>-13.385218783078273</v>
      </c>
      <c r="EM192" s="457">
        <f>+INPUT!FT62</f>
        <v>3.3084311632870866</v>
      </c>
      <c r="EN192" s="438">
        <f>+INPUT!FU62</f>
        <v>0.79350208151728907</v>
      </c>
      <c r="EO192" s="457">
        <f>+INPUT!FV62</f>
        <v>3.6410550458715591</v>
      </c>
      <c r="EP192" s="438">
        <f>+INPUT!FW62</f>
        <v>10.053825096182294</v>
      </c>
      <c r="EQ192" s="456">
        <f>+INPUT!FX62</f>
        <v>12.04855842185129</v>
      </c>
      <c r="ER192" s="438" t="str">
        <f>+INPUT!FY62</f>
        <v>NM</v>
      </c>
      <c r="ES192" s="456">
        <f>+INPUT!FZ62</f>
        <v>22.16106604866744</v>
      </c>
      <c r="ET192" s="438">
        <f>+INPUT!GA62</f>
        <v>83.931266071433811</v>
      </c>
      <c r="EU192" s="456">
        <f>+INPUT!GB62</f>
        <v>9.0174615585092521</v>
      </c>
      <c r="EV192" s="438" t="str">
        <f>+INPUT!GC62</f>
        <v>NM</v>
      </c>
      <c r="EW192" s="456">
        <f>+INPUT!GD62</f>
        <v>8.7025316455696213</v>
      </c>
      <c r="EX192" s="438">
        <f>+INPUT!GE62</f>
        <v>-3.4924453062120335</v>
      </c>
      <c r="EY192" s="456">
        <f>+INPUT!GF62</f>
        <v>9.9357257632565616</v>
      </c>
      <c r="EZ192" s="438">
        <f>+INPUT!GG62</f>
        <v>14.170521497784478</v>
      </c>
      <c r="FA192" s="456">
        <f>+INPUT!GH62</f>
        <v>9.1750612578273891</v>
      </c>
      <c r="FB192" s="438">
        <f>+INPUT!GI62</f>
        <v>-7.6558524616510226</v>
      </c>
      <c r="FC192" s="456">
        <f>+INPUT!GJ62</f>
        <v>10.332309410779111</v>
      </c>
      <c r="FD192" s="438">
        <f>+INPUT!GK62</f>
        <v>12.612974675939697</v>
      </c>
      <c r="FE192" s="456">
        <f>+INPUT!GL62</f>
        <v>10.673515981735161</v>
      </c>
      <c r="FF192" s="438">
        <f>+INPUT!GM62</f>
        <v>3.3023262989016615</v>
      </c>
      <c r="FG192" s="456">
        <f>+INPUT!GN62</f>
        <v>10.407110091743119</v>
      </c>
      <c r="FH192" s="438">
        <f>+INPUT!GO62</f>
        <v>-2.4959525094441517</v>
      </c>
      <c r="FI192" s="456">
        <f>+INPUT!GP62</f>
        <v>9.4454080537203708</v>
      </c>
      <c r="FJ192" s="438">
        <f>+INPUT!GQ62</f>
        <v>-9.2408173791276766</v>
      </c>
      <c r="FK192" s="456">
        <f>+INPUT!GR62</f>
        <v>9.4454080537203708</v>
      </c>
      <c r="FL192" s="438">
        <f>+INPUT!GS62</f>
        <v>0</v>
      </c>
      <c r="FM192" s="456">
        <f>+INPUT!GT62</f>
        <v>9.4454080537203708</v>
      </c>
      <c r="FN192" s="438">
        <f>+INPUT!GU62</f>
        <v>0</v>
      </c>
      <c r="FO192" s="456">
        <f>+INPUT!GV62</f>
        <v>9.4454080537203708</v>
      </c>
      <c r="FP192" s="438">
        <f>+INPUT!GW62</f>
        <v>0</v>
      </c>
      <c r="FQ192" s="456">
        <f>+INPUT!GX62</f>
        <v>9.4454080537203708</v>
      </c>
      <c r="FR192" s="438">
        <f>+INPUT!GY62</f>
        <v>0</v>
      </c>
      <c r="FS192" s="438">
        <f>+INPUT!GZ62</f>
        <v>-1.9205289058843222</v>
      </c>
    </row>
    <row r="193" spans="1:176" s="529" customFormat="1" ht="12.75" hidden="1" customHeight="1" outlineLevel="1" x14ac:dyDescent="0.2">
      <c r="A193" s="441"/>
      <c r="B193" s="457"/>
      <c r="C193" s="439"/>
      <c r="D193" s="457"/>
      <c r="E193" s="439"/>
      <c r="F193" s="457"/>
      <c r="G193" s="439"/>
      <c r="H193" s="457"/>
      <c r="I193" s="439"/>
      <c r="J193" s="457"/>
      <c r="K193" s="439"/>
      <c r="L193" s="457"/>
      <c r="M193" s="439"/>
      <c r="N193" s="457"/>
      <c r="O193" s="439"/>
      <c r="P193" s="457"/>
      <c r="Q193" s="439"/>
      <c r="R193" s="457"/>
      <c r="S193" s="439"/>
      <c r="T193" s="457"/>
      <c r="U193" s="439"/>
      <c r="V193" s="457"/>
      <c r="W193" s="439"/>
      <c r="X193" s="457"/>
      <c r="Y193" s="439"/>
      <c r="Z193" s="457"/>
      <c r="AA193" s="439"/>
      <c r="AB193" s="457"/>
      <c r="AC193" s="439"/>
      <c r="AD193" s="457"/>
      <c r="AE193" s="439"/>
      <c r="AF193" s="457"/>
      <c r="AG193" s="439"/>
      <c r="AH193" s="457"/>
      <c r="AI193" s="438"/>
      <c r="AJ193" s="457"/>
      <c r="AK193" s="438"/>
      <c r="AL193" s="457"/>
      <c r="AM193" s="438"/>
      <c r="AN193" s="457"/>
      <c r="AO193" s="438"/>
      <c r="AP193" s="457"/>
      <c r="AQ193" s="438"/>
      <c r="AR193" s="457"/>
      <c r="AS193" s="438"/>
      <c r="AT193" s="457"/>
      <c r="AU193" s="438"/>
      <c r="AV193" s="457"/>
      <c r="AW193" s="438"/>
      <c r="AX193" s="457"/>
      <c r="AY193" s="438"/>
      <c r="AZ193" s="457"/>
      <c r="BA193" s="438"/>
      <c r="BB193" s="457"/>
      <c r="BC193" s="438"/>
      <c r="BD193" s="457"/>
      <c r="BE193" s="438"/>
      <c r="BF193" s="457"/>
      <c r="BG193" s="438"/>
      <c r="BH193" s="457"/>
      <c r="BI193" s="438"/>
      <c r="BJ193" s="457"/>
      <c r="BK193" s="438"/>
      <c r="BL193" s="457"/>
      <c r="BM193" s="438"/>
      <c r="BN193" s="457"/>
      <c r="BO193" s="438"/>
      <c r="BP193" s="457"/>
      <c r="BQ193" s="438"/>
      <c r="BR193" s="457"/>
      <c r="BS193" s="438"/>
      <c r="BT193" s="457"/>
      <c r="BU193" s="438"/>
      <c r="BV193" s="457"/>
      <c r="BW193" s="438"/>
      <c r="BX193" s="457"/>
      <c r="BY193" s="438"/>
      <c r="BZ193" s="457"/>
      <c r="CA193" s="438"/>
      <c r="CB193" s="457"/>
      <c r="CC193" s="438"/>
      <c r="CD193" s="457"/>
      <c r="CE193" s="438"/>
      <c r="CF193" s="457"/>
      <c r="CG193" s="438"/>
      <c r="CH193" s="457"/>
      <c r="CI193" s="438"/>
      <c r="CJ193" s="457"/>
      <c r="CK193" s="438"/>
      <c r="CL193" s="457"/>
      <c r="CM193" s="438"/>
      <c r="CN193" s="457"/>
      <c r="CO193" s="438"/>
      <c r="CP193" s="457"/>
      <c r="CQ193" s="438"/>
      <c r="CR193" s="457"/>
      <c r="CS193" s="438"/>
      <c r="CT193" s="457"/>
      <c r="CU193" s="438"/>
      <c r="CV193" s="457"/>
      <c r="CW193" s="438"/>
      <c r="CX193" s="457"/>
      <c r="CY193" s="438"/>
      <c r="CZ193" s="457"/>
      <c r="DA193" s="438"/>
      <c r="DB193" s="457"/>
      <c r="DC193" s="438"/>
      <c r="DD193" s="457"/>
      <c r="DE193" s="438"/>
      <c r="DF193" s="457"/>
      <c r="DG193" s="438"/>
      <c r="DH193" s="457"/>
      <c r="DI193" s="438"/>
      <c r="DJ193" s="457"/>
      <c r="DK193" s="438"/>
      <c r="DL193" s="457"/>
      <c r="DM193" s="438"/>
      <c r="DN193" s="457"/>
      <c r="DO193" s="438"/>
      <c r="DP193" s="457"/>
      <c r="DQ193" s="438"/>
      <c r="DR193" s="457"/>
      <c r="DS193" s="438"/>
      <c r="DT193" s="457"/>
      <c r="DU193" s="438"/>
      <c r="DV193" s="457"/>
      <c r="DW193" s="438"/>
      <c r="DX193" s="457"/>
      <c r="DY193" s="438"/>
      <c r="DZ193" s="457"/>
      <c r="EA193" s="438"/>
      <c r="EB193" s="439"/>
      <c r="EC193" s="457"/>
      <c r="ED193" s="439"/>
      <c r="EE193" s="457"/>
      <c r="EF193" s="439"/>
      <c r="EG193" s="457"/>
      <c r="EH193" s="439"/>
      <c r="EI193" s="457"/>
      <c r="EJ193" s="438"/>
      <c r="EK193" s="457"/>
      <c r="EL193" s="438"/>
      <c r="EM193" s="457"/>
      <c r="EN193" s="438"/>
      <c r="EO193" s="457"/>
      <c r="EP193" s="438"/>
      <c r="EQ193" s="457"/>
      <c r="ER193" s="438"/>
      <c r="ES193" s="457"/>
      <c r="ET193" s="438"/>
      <c r="EU193" s="457"/>
      <c r="EV193" s="438"/>
      <c r="EW193" s="457"/>
      <c r="EX193" s="438"/>
      <c r="EY193" s="457"/>
      <c r="EZ193" s="438"/>
      <c r="FA193" s="457"/>
      <c r="FB193" s="438"/>
      <c r="FC193" s="457"/>
      <c r="FD193" s="438"/>
      <c r="FE193" s="457"/>
      <c r="FF193" s="438"/>
      <c r="FG193" s="457"/>
      <c r="FH193" s="438"/>
      <c r="FI193" s="457"/>
      <c r="FJ193" s="438"/>
      <c r="FK193" s="457"/>
      <c r="FL193" s="438"/>
      <c r="FM193" s="457"/>
      <c r="FN193" s="438"/>
      <c r="FO193" s="457"/>
      <c r="FP193" s="438"/>
      <c r="FQ193" s="457"/>
      <c r="FR193" s="438"/>
      <c r="FS193" s="438"/>
    </row>
    <row r="194" spans="1:176" s="529" customFormat="1" ht="12.75" hidden="1" customHeight="1" outlineLevel="1" x14ac:dyDescent="0.2">
      <c r="A194" s="485" t="s">
        <v>507</v>
      </c>
      <c r="B194" s="456"/>
      <c r="C194" s="439"/>
      <c r="D194" s="456"/>
      <c r="E194" s="439"/>
      <c r="F194" s="456"/>
      <c r="G194" s="439"/>
      <c r="H194" s="456"/>
      <c r="I194" s="439"/>
      <c r="J194" s="456"/>
      <c r="K194" s="439"/>
      <c r="L194" s="456"/>
      <c r="M194" s="439"/>
      <c r="N194" s="456"/>
      <c r="O194" s="439"/>
      <c r="P194" s="456"/>
      <c r="Q194" s="439"/>
      <c r="R194" s="456"/>
      <c r="S194" s="439"/>
      <c r="T194" s="456"/>
      <c r="U194" s="439"/>
      <c r="V194" s="456"/>
      <c r="W194" s="439"/>
      <c r="X194" s="456"/>
      <c r="Y194" s="439"/>
      <c r="Z194" s="456"/>
      <c r="AA194" s="439"/>
      <c r="AB194" s="456"/>
      <c r="AC194" s="439"/>
      <c r="AD194" s="456"/>
      <c r="AE194" s="439"/>
      <c r="AF194" s="456"/>
      <c r="AG194" s="439"/>
      <c r="AH194" s="456"/>
      <c r="AI194" s="438"/>
      <c r="AJ194" s="456"/>
      <c r="AK194" s="438"/>
      <c r="AL194" s="456"/>
      <c r="AM194" s="438"/>
      <c r="AN194" s="456"/>
      <c r="AO194" s="438"/>
      <c r="AP194" s="456"/>
      <c r="AQ194" s="438"/>
      <c r="AR194" s="456"/>
      <c r="AS194" s="438"/>
      <c r="AT194" s="456"/>
      <c r="AU194" s="438"/>
      <c r="AV194" s="456"/>
      <c r="AW194" s="438"/>
      <c r="AX194" s="456"/>
      <c r="AY194" s="438"/>
      <c r="AZ194" s="456"/>
      <c r="BA194" s="438"/>
      <c r="BB194" s="456"/>
      <c r="BC194" s="438"/>
      <c r="BD194" s="456"/>
      <c r="BE194" s="438"/>
      <c r="BF194" s="456"/>
      <c r="BG194" s="438"/>
      <c r="BH194" s="456"/>
      <c r="BI194" s="438"/>
      <c r="BJ194" s="456"/>
      <c r="BK194" s="438"/>
      <c r="BL194" s="456"/>
      <c r="BM194" s="438"/>
      <c r="BN194" s="456"/>
      <c r="BO194" s="438"/>
      <c r="BP194" s="456"/>
      <c r="BQ194" s="438"/>
      <c r="BR194" s="456"/>
      <c r="BS194" s="438"/>
      <c r="BT194" s="456"/>
      <c r="BU194" s="438"/>
      <c r="BV194" s="456"/>
      <c r="BW194" s="438"/>
      <c r="BX194" s="456"/>
      <c r="BY194" s="438"/>
      <c r="BZ194" s="456"/>
      <c r="CA194" s="438"/>
      <c r="CB194" s="456"/>
      <c r="CC194" s="438"/>
      <c r="CD194" s="456"/>
      <c r="CE194" s="438"/>
      <c r="CF194" s="456"/>
      <c r="CG194" s="438"/>
      <c r="CH194" s="456"/>
      <c r="CI194" s="438"/>
      <c r="CJ194" s="456"/>
      <c r="CK194" s="438"/>
      <c r="CL194" s="456"/>
      <c r="CM194" s="438"/>
      <c r="CN194" s="456"/>
      <c r="CO194" s="438"/>
      <c r="CP194" s="456"/>
      <c r="CQ194" s="438"/>
      <c r="CR194" s="456"/>
      <c r="CS194" s="438"/>
      <c r="CT194" s="456"/>
      <c r="CU194" s="438"/>
      <c r="CV194" s="456"/>
      <c r="CW194" s="438"/>
      <c r="CX194" s="456"/>
      <c r="CY194" s="438"/>
      <c r="CZ194" s="456"/>
      <c r="DA194" s="438"/>
      <c r="DB194" s="456"/>
      <c r="DC194" s="438"/>
      <c r="DD194" s="456"/>
      <c r="DE194" s="438"/>
      <c r="DF194" s="456"/>
      <c r="DG194" s="438"/>
      <c r="DH194" s="456"/>
      <c r="DI194" s="438"/>
      <c r="DJ194" s="456"/>
      <c r="DK194" s="438"/>
      <c r="DL194" s="456"/>
      <c r="DM194" s="438"/>
      <c r="DN194" s="456"/>
      <c r="DO194" s="438"/>
      <c r="DP194" s="456"/>
      <c r="DQ194" s="438"/>
      <c r="DR194" s="456"/>
      <c r="DS194" s="438"/>
      <c r="DT194" s="456"/>
      <c r="DU194" s="438"/>
      <c r="DV194" s="456"/>
      <c r="DW194" s="438"/>
      <c r="DX194" s="456"/>
      <c r="DY194" s="438"/>
      <c r="DZ194" s="456"/>
      <c r="EA194" s="438"/>
      <c r="EB194" s="439"/>
      <c r="EC194" s="456"/>
      <c r="ED194" s="439"/>
      <c r="EE194" s="456"/>
      <c r="EF194" s="439"/>
      <c r="EG194" s="456"/>
      <c r="EH194" s="439"/>
      <c r="EI194" s="456"/>
      <c r="EJ194" s="438"/>
      <c r="EK194" s="456"/>
      <c r="EL194" s="438"/>
      <c r="EM194" s="456"/>
      <c r="EN194" s="438"/>
      <c r="EO194" s="456"/>
      <c r="EP194" s="438"/>
      <c r="EQ194" s="456"/>
      <c r="ER194" s="438"/>
      <c r="ES194" s="456"/>
      <c r="ET194" s="438"/>
      <c r="EU194" s="456"/>
      <c r="EV194" s="438"/>
      <c r="EW194" s="456"/>
      <c r="EX194" s="438"/>
      <c r="EY194" s="456"/>
      <c r="EZ194" s="438"/>
      <c r="FA194" s="456"/>
      <c r="FB194" s="438"/>
      <c r="FC194" s="456"/>
      <c r="FD194" s="438"/>
      <c r="FE194" s="456"/>
      <c r="FF194" s="438"/>
      <c r="FG194" s="456"/>
      <c r="FH194" s="438"/>
      <c r="FI194" s="456"/>
      <c r="FJ194" s="438"/>
      <c r="FK194" s="456"/>
      <c r="FL194" s="438"/>
      <c r="FM194" s="456"/>
      <c r="FN194" s="438"/>
      <c r="FO194" s="456"/>
      <c r="FP194" s="438"/>
      <c r="FQ194" s="456"/>
      <c r="FR194" s="438"/>
      <c r="FS194" s="438"/>
    </row>
    <row r="195" spans="1:176" s="529" customFormat="1" ht="12.75" hidden="1" customHeight="1" outlineLevel="1" x14ac:dyDescent="0.2">
      <c r="A195" s="485" t="s">
        <v>670</v>
      </c>
      <c r="B195" s="456"/>
      <c r="C195" s="439"/>
      <c r="D195" s="456"/>
      <c r="E195" s="439"/>
      <c r="F195" s="456"/>
      <c r="G195" s="439"/>
      <c r="H195" s="456"/>
      <c r="I195" s="439"/>
      <c r="J195" s="456"/>
      <c r="K195" s="439"/>
      <c r="L195" s="456"/>
      <c r="M195" s="439"/>
      <c r="N195" s="456"/>
      <c r="O195" s="439"/>
      <c r="P195" s="456"/>
      <c r="Q195" s="439"/>
      <c r="R195" s="456"/>
      <c r="S195" s="439"/>
      <c r="T195" s="456"/>
      <c r="U195" s="439"/>
      <c r="V195" s="456"/>
      <c r="W195" s="439"/>
      <c r="X195" s="456"/>
      <c r="Y195" s="439"/>
      <c r="Z195" s="456"/>
      <c r="AA195" s="439"/>
      <c r="AB195" s="456"/>
      <c r="AC195" s="439"/>
      <c r="AD195" s="456"/>
      <c r="AE195" s="439"/>
      <c r="AF195" s="456"/>
      <c r="AG195" s="439"/>
      <c r="AH195" s="456"/>
      <c r="AI195" s="438"/>
      <c r="AJ195" s="456"/>
      <c r="AK195" s="438"/>
      <c r="AL195" s="456"/>
      <c r="AM195" s="438"/>
      <c r="AN195" s="456"/>
      <c r="AO195" s="438"/>
      <c r="AP195" s="456"/>
      <c r="AQ195" s="438"/>
      <c r="AR195" s="456"/>
      <c r="AS195" s="438"/>
      <c r="AT195" s="456"/>
      <c r="AU195" s="438"/>
      <c r="AV195" s="456"/>
      <c r="AW195" s="438"/>
      <c r="AX195" s="456"/>
      <c r="AY195" s="438"/>
      <c r="AZ195" s="456"/>
      <c r="BA195" s="438"/>
      <c r="BB195" s="456"/>
      <c r="BC195" s="438"/>
      <c r="BD195" s="456"/>
      <c r="BE195" s="438"/>
      <c r="BF195" s="456"/>
      <c r="BG195" s="438"/>
      <c r="BH195" s="456"/>
      <c r="BI195" s="438"/>
      <c r="BJ195" s="456"/>
      <c r="BK195" s="438"/>
      <c r="BL195" s="456"/>
      <c r="BM195" s="438"/>
      <c r="BN195" s="456"/>
      <c r="BO195" s="438"/>
      <c r="BP195" s="456"/>
      <c r="BQ195" s="438"/>
      <c r="BR195" s="456"/>
      <c r="BS195" s="438"/>
      <c r="BT195" s="456"/>
      <c r="BU195" s="438"/>
      <c r="BV195" s="456"/>
      <c r="BW195" s="438"/>
      <c r="BX195" s="456"/>
      <c r="BY195" s="438"/>
      <c r="BZ195" s="456"/>
      <c r="CA195" s="438"/>
      <c r="CB195" s="456"/>
      <c r="CC195" s="438"/>
      <c r="CD195" s="456"/>
      <c r="CE195" s="438"/>
      <c r="CF195" s="456"/>
      <c r="CG195" s="438"/>
      <c r="CH195" s="456"/>
      <c r="CI195" s="438"/>
      <c r="CJ195" s="456"/>
      <c r="CK195" s="438"/>
      <c r="CL195" s="456"/>
      <c r="CM195" s="438"/>
      <c r="CN195" s="456"/>
      <c r="CO195" s="438"/>
      <c r="CP195" s="456"/>
      <c r="CQ195" s="438"/>
      <c r="CR195" s="456"/>
      <c r="CS195" s="438"/>
      <c r="CT195" s="456"/>
      <c r="CU195" s="438"/>
      <c r="CV195" s="456"/>
      <c r="CW195" s="438"/>
      <c r="CX195" s="456"/>
      <c r="CY195" s="438"/>
      <c r="CZ195" s="456"/>
      <c r="DA195" s="438"/>
      <c r="DB195" s="456"/>
      <c r="DC195" s="438"/>
      <c r="DD195" s="456"/>
      <c r="DE195" s="438"/>
      <c r="DF195" s="456"/>
      <c r="DG195" s="438"/>
      <c r="DH195" s="456"/>
      <c r="DI195" s="438"/>
      <c r="DJ195" s="456"/>
      <c r="DK195" s="438"/>
      <c r="DL195" s="456"/>
      <c r="DM195" s="438"/>
      <c r="DN195" s="456"/>
      <c r="DO195" s="438"/>
      <c r="DP195" s="456"/>
      <c r="DQ195" s="438"/>
      <c r="DR195" s="456"/>
      <c r="DS195" s="438"/>
      <c r="DT195" s="456"/>
      <c r="DU195" s="438"/>
      <c r="DV195" s="456"/>
      <c r="DW195" s="438"/>
      <c r="DX195" s="456"/>
      <c r="DY195" s="438"/>
      <c r="DZ195" s="456"/>
      <c r="EA195" s="438"/>
      <c r="EB195" s="439"/>
      <c r="EC195" s="456"/>
      <c r="ED195" s="439"/>
      <c r="EE195" s="456"/>
      <c r="EF195" s="439"/>
      <c r="EG195" s="456"/>
      <c r="EH195" s="439"/>
      <c r="EI195" s="456"/>
      <c r="EJ195" s="438"/>
      <c r="EK195" s="456"/>
      <c r="EL195" s="438"/>
      <c r="EM195" s="456"/>
      <c r="EN195" s="438"/>
      <c r="EO195" s="456"/>
      <c r="EP195" s="438"/>
      <c r="EQ195" s="456"/>
      <c r="ER195" s="438"/>
      <c r="ES195" s="456"/>
      <c r="ET195" s="438"/>
      <c r="EU195" s="456"/>
      <c r="EV195" s="438"/>
      <c r="EW195" s="456"/>
      <c r="EX195" s="438"/>
      <c r="EY195" s="456"/>
      <c r="EZ195" s="438"/>
      <c r="FA195" s="456"/>
      <c r="FB195" s="438"/>
      <c r="FC195" s="456"/>
      <c r="FD195" s="438"/>
      <c r="FE195" s="456"/>
      <c r="FF195" s="438"/>
      <c r="FG195" s="456"/>
      <c r="FH195" s="438"/>
      <c r="FI195" s="456"/>
      <c r="FJ195" s="438"/>
      <c r="FK195" s="456"/>
      <c r="FL195" s="438"/>
      <c r="FM195" s="456"/>
      <c r="FN195" s="438"/>
      <c r="FO195" s="456"/>
      <c r="FP195" s="438"/>
      <c r="FQ195" s="456"/>
      <c r="FR195" s="438"/>
      <c r="FS195" s="438"/>
    </row>
    <row r="196" spans="1:176" s="529" customFormat="1" ht="12.75" hidden="1" customHeight="1" outlineLevel="1" x14ac:dyDescent="0.2">
      <c r="A196" s="449"/>
      <c r="B196" s="449"/>
      <c r="C196" s="439"/>
      <c r="D196" s="449"/>
      <c r="E196" s="439"/>
      <c r="F196" s="449"/>
      <c r="G196" s="439"/>
      <c r="H196" s="449"/>
      <c r="I196" s="439"/>
      <c r="J196" s="449"/>
      <c r="K196" s="439"/>
      <c r="L196" s="449"/>
      <c r="M196" s="439"/>
      <c r="N196" s="449"/>
      <c r="O196" s="439"/>
      <c r="P196" s="449"/>
      <c r="Q196" s="439"/>
      <c r="R196" s="449"/>
      <c r="S196" s="439"/>
      <c r="T196" s="449"/>
      <c r="U196" s="439"/>
      <c r="V196" s="449"/>
      <c r="W196" s="439"/>
      <c r="X196" s="449"/>
      <c r="Y196" s="439"/>
      <c r="Z196" s="449"/>
      <c r="AA196" s="439"/>
      <c r="AB196" s="449"/>
      <c r="AC196" s="439"/>
      <c r="AD196" s="449"/>
      <c r="AE196" s="439"/>
      <c r="AF196" s="449"/>
      <c r="AG196" s="439"/>
      <c r="AH196" s="449"/>
      <c r="AI196" s="438"/>
      <c r="AJ196" s="449"/>
      <c r="AK196" s="438"/>
      <c r="AL196" s="449"/>
      <c r="AM196" s="438"/>
      <c r="AN196" s="449"/>
      <c r="AO196" s="438"/>
      <c r="AP196" s="449"/>
      <c r="AQ196" s="438"/>
      <c r="AR196" s="449"/>
      <c r="AS196" s="438"/>
      <c r="AT196" s="449"/>
      <c r="AU196" s="438"/>
      <c r="AV196" s="449"/>
      <c r="AW196" s="438"/>
      <c r="AX196" s="449"/>
      <c r="AY196" s="438"/>
      <c r="AZ196" s="449"/>
      <c r="BA196" s="438"/>
      <c r="BB196" s="449"/>
      <c r="BC196" s="438"/>
      <c r="BD196" s="449"/>
      <c r="BE196" s="438"/>
      <c r="BF196" s="449"/>
      <c r="BG196" s="438"/>
      <c r="BH196" s="449"/>
      <c r="BI196" s="438"/>
      <c r="BJ196" s="449"/>
      <c r="BK196" s="438"/>
      <c r="BL196" s="449"/>
      <c r="BM196" s="438"/>
      <c r="BN196" s="449"/>
      <c r="BO196" s="438"/>
      <c r="BP196" s="449"/>
      <c r="BQ196" s="438"/>
      <c r="BR196" s="449"/>
      <c r="BS196" s="438"/>
      <c r="BT196" s="449"/>
      <c r="BU196" s="438"/>
      <c r="BV196" s="449"/>
      <c r="BW196" s="438"/>
      <c r="BX196" s="449"/>
      <c r="BY196" s="438"/>
      <c r="BZ196" s="449"/>
      <c r="CA196" s="438"/>
      <c r="CB196" s="449"/>
      <c r="CC196" s="438"/>
      <c r="CD196" s="449"/>
      <c r="CE196" s="438"/>
      <c r="CF196" s="449"/>
      <c r="CG196" s="438"/>
      <c r="CH196" s="449"/>
      <c r="CI196" s="438"/>
      <c r="CJ196" s="449"/>
      <c r="CK196" s="438"/>
      <c r="CL196" s="449"/>
      <c r="CM196" s="438"/>
      <c r="CN196" s="449"/>
      <c r="CO196" s="438"/>
      <c r="CP196" s="449"/>
      <c r="CQ196" s="438"/>
      <c r="CR196" s="449"/>
      <c r="CS196" s="438"/>
      <c r="CT196" s="449"/>
      <c r="CU196" s="438"/>
      <c r="CV196" s="449"/>
      <c r="CW196" s="438"/>
      <c r="CX196" s="449"/>
      <c r="CY196" s="438"/>
      <c r="CZ196" s="449"/>
      <c r="DA196" s="438"/>
      <c r="DB196" s="449"/>
      <c r="DC196" s="438"/>
      <c r="DD196" s="449"/>
      <c r="DE196" s="438"/>
      <c r="DF196" s="449"/>
      <c r="DG196" s="438"/>
      <c r="DH196" s="449"/>
      <c r="DI196" s="438"/>
      <c r="DJ196" s="449"/>
      <c r="DK196" s="438"/>
      <c r="DL196" s="449"/>
      <c r="DM196" s="438"/>
      <c r="DN196" s="449"/>
      <c r="DO196" s="438"/>
      <c r="DP196" s="449"/>
      <c r="DQ196" s="438"/>
      <c r="DR196" s="449"/>
      <c r="DS196" s="438"/>
      <c r="DT196" s="449"/>
      <c r="DU196" s="438"/>
      <c r="DV196" s="449"/>
      <c r="DW196" s="438"/>
      <c r="DX196" s="449"/>
      <c r="DY196" s="438"/>
      <c r="DZ196" s="449"/>
      <c r="EA196" s="438"/>
      <c r="EB196" s="439"/>
      <c r="EC196" s="449"/>
      <c r="ED196" s="439"/>
      <c r="EE196" s="449"/>
      <c r="EF196" s="439"/>
      <c r="EG196" s="449"/>
      <c r="EH196" s="439"/>
      <c r="EI196" s="449"/>
      <c r="EJ196" s="438"/>
      <c r="EK196" s="449"/>
      <c r="EL196" s="438"/>
      <c r="EM196" s="449"/>
      <c r="EN196" s="438"/>
      <c r="EO196" s="449"/>
      <c r="EP196" s="438"/>
      <c r="EQ196" s="449"/>
      <c r="ER196" s="438"/>
      <c r="ES196" s="449"/>
      <c r="ET196" s="438"/>
      <c r="EU196" s="449"/>
      <c r="EV196" s="438"/>
      <c r="EW196" s="449"/>
      <c r="EX196" s="438"/>
      <c r="EY196" s="449"/>
      <c r="EZ196" s="438"/>
      <c r="FA196" s="449"/>
      <c r="FB196" s="438"/>
      <c r="FC196" s="449"/>
      <c r="FD196" s="438"/>
      <c r="FE196" s="449"/>
      <c r="FF196" s="438"/>
      <c r="FG196" s="449"/>
      <c r="FH196" s="438"/>
      <c r="FI196" s="449"/>
      <c r="FJ196" s="438"/>
      <c r="FK196" s="449"/>
      <c r="FL196" s="438"/>
      <c r="FM196" s="449"/>
      <c r="FN196" s="438"/>
      <c r="FO196" s="449"/>
      <c r="FP196" s="438"/>
      <c r="FQ196" s="449"/>
      <c r="FR196" s="438"/>
      <c r="FS196" s="438"/>
    </row>
    <row r="197" spans="1:176" s="529" customFormat="1" ht="21.95" hidden="1" customHeight="1" outlineLevel="1" x14ac:dyDescent="0.25">
      <c r="A197" s="434" t="str">
        <f>$A$1</f>
        <v>Prudential Financial, Inc.</v>
      </c>
      <c r="B197" s="531"/>
      <c r="C197" s="532"/>
      <c r="D197" s="531"/>
      <c r="E197" s="532"/>
      <c r="F197" s="531"/>
      <c r="G197" s="532"/>
      <c r="H197" s="531"/>
      <c r="I197" s="532"/>
      <c r="J197" s="531"/>
      <c r="K197" s="532"/>
      <c r="L197" s="531"/>
      <c r="M197" s="532"/>
      <c r="N197" s="531"/>
      <c r="O197" s="532"/>
      <c r="P197" s="531"/>
      <c r="Q197" s="532"/>
      <c r="R197" s="531"/>
      <c r="S197" s="532"/>
      <c r="T197" s="531"/>
      <c r="U197" s="532"/>
      <c r="V197" s="531"/>
      <c r="W197" s="532"/>
      <c r="X197" s="531"/>
      <c r="Y197" s="532"/>
      <c r="Z197" s="531"/>
      <c r="AA197" s="532"/>
      <c r="AB197" s="531"/>
      <c r="AC197" s="532"/>
      <c r="AD197" s="531"/>
      <c r="AE197" s="532"/>
      <c r="AF197" s="531"/>
      <c r="AG197" s="532"/>
      <c r="AH197" s="531"/>
      <c r="AI197" s="531"/>
      <c r="AJ197" s="531"/>
      <c r="AK197" s="531"/>
      <c r="AL197" s="531"/>
      <c r="AM197" s="531"/>
      <c r="AN197" s="531"/>
      <c r="AO197" s="531"/>
      <c r="AP197" s="531"/>
      <c r="AQ197" s="531"/>
      <c r="AR197" s="531"/>
      <c r="AS197" s="531"/>
      <c r="AT197" s="531"/>
      <c r="AU197" s="531"/>
      <c r="AV197" s="531"/>
      <c r="AW197" s="531"/>
      <c r="AX197" s="531"/>
      <c r="AY197" s="531"/>
      <c r="AZ197" s="531"/>
      <c r="BA197" s="531"/>
      <c r="BB197" s="531"/>
      <c r="BC197" s="531"/>
      <c r="BD197" s="531"/>
      <c r="BE197" s="531"/>
      <c r="BF197" s="531"/>
      <c r="BG197" s="531"/>
      <c r="BH197" s="531"/>
      <c r="BI197" s="531"/>
      <c r="BJ197" s="531"/>
      <c r="BK197" s="531"/>
      <c r="BL197" s="531"/>
      <c r="BM197" s="531"/>
      <c r="BN197" s="531"/>
      <c r="BO197" s="531"/>
      <c r="BP197" s="531"/>
      <c r="BQ197" s="531"/>
      <c r="BR197" s="531"/>
      <c r="BS197" s="531"/>
      <c r="BT197" s="531"/>
      <c r="BU197" s="531"/>
      <c r="BV197" s="531"/>
      <c r="BW197" s="531"/>
      <c r="BX197" s="531"/>
      <c r="BY197" s="531"/>
      <c r="BZ197" s="531"/>
      <c r="CA197" s="531"/>
      <c r="CB197" s="531"/>
      <c r="CC197" s="531"/>
      <c r="CD197" s="531"/>
      <c r="CE197" s="531"/>
      <c r="CF197" s="531"/>
      <c r="CG197" s="531"/>
      <c r="CH197" s="531"/>
      <c r="CI197" s="531"/>
      <c r="CJ197" s="531"/>
      <c r="CK197" s="531"/>
      <c r="CL197" s="531"/>
      <c r="CM197" s="531"/>
      <c r="CN197" s="531"/>
      <c r="CO197" s="531"/>
      <c r="CP197" s="531"/>
      <c r="CQ197" s="531"/>
      <c r="CR197" s="531"/>
      <c r="CS197" s="531"/>
      <c r="CT197" s="531"/>
      <c r="CU197" s="531"/>
      <c r="CV197" s="531"/>
      <c r="CW197" s="531"/>
      <c r="CX197" s="531"/>
      <c r="CY197" s="531"/>
      <c r="CZ197" s="531"/>
      <c r="DA197" s="531"/>
      <c r="DB197" s="531"/>
      <c r="DC197" s="531"/>
      <c r="DD197" s="531"/>
      <c r="DE197" s="531"/>
      <c r="DF197" s="531"/>
      <c r="DG197" s="531"/>
      <c r="DH197" s="531"/>
      <c r="DI197" s="531"/>
      <c r="DJ197" s="531"/>
      <c r="DK197" s="531"/>
      <c r="DL197" s="531"/>
      <c r="DM197" s="531"/>
      <c r="DN197" s="531"/>
      <c r="DO197" s="531"/>
      <c r="DP197" s="531"/>
      <c r="DQ197" s="531"/>
      <c r="DR197" s="531"/>
      <c r="DS197" s="531"/>
      <c r="DT197" s="531"/>
      <c r="DU197" s="531"/>
      <c r="DV197" s="531"/>
      <c r="DW197" s="531"/>
      <c r="DX197" s="531"/>
      <c r="DY197" s="531"/>
      <c r="DZ197" s="531"/>
      <c r="EA197" s="531"/>
      <c r="EB197" s="532"/>
      <c r="EC197" s="531"/>
      <c r="ED197" s="532"/>
      <c r="EE197" s="531"/>
      <c r="EF197" s="532"/>
      <c r="EG197" s="531"/>
      <c r="EH197" s="532"/>
      <c r="EI197" s="531"/>
      <c r="EJ197" s="531"/>
      <c r="EK197" s="531"/>
      <c r="EL197" s="531"/>
      <c r="EM197" s="531"/>
      <c r="EN197" s="531"/>
      <c r="EO197" s="531"/>
      <c r="EP197" s="531"/>
      <c r="EQ197" s="531"/>
      <c r="ER197" s="531"/>
      <c r="ES197" s="531"/>
      <c r="ET197" s="531"/>
      <c r="EU197" s="531"/>
      <c r="EV197" s="531"/>
      <c r="EW197" s="531"/>
      <c r="EX197" s="531"/>
      <c r="EY197" s="531"/>
      <c r="EZ197" s="531"/>
      <c r="FA197" s="531"/>
      <c r="FB197" s="531"/>
      <c r="FC197" s="531"/>
      <c r="FD197" s="531"/>
      <c r="FE197" s="531"/>
      <c r="FF197" s="531"/>
      <c r="FG197" s="531"/>
      <c r="FH197" s="531"/>
      <c r="FI197" s="531"/>
      <c r="FJ197" s="531"/>
      <c r="FK197" s="531"/>
      <c r="FL197" s="531"/>
      <c r="FM197" s="531"/>
      <c r="FN197" s="531"/>
      <c r="FO197" s="531"/>
      <c r="FP197" s="531"/>
      <c r="FQ197" s="531"/>
      <c r="FR197" s="531"/>
      <c r="FS197" s="531"/>
    </row>
    <row r="198" spans="1:176" s="529" customFormat="1" ht="12.75" hidden="1" customHeight="1" outlineLevel="1" x14ac:dyDescent="0.2">
      <c r="A198" s="437" t="s">
        <v>291</v>
      </c>
      <c r="B198" s="438"/>
      <c r="C198" s="439"/>
      <c r="D198" s="438"/>
      <c r="E198" s="439"/>
      <c r="F198" s="438"/>
      <c r="G198" s="439"/>
      <c r="H198" s="438"/>
      <c r="I198" s="439"/>
      <c r="J198" s="438"/>
      <c r="K198" s="439"/>
      <c r="L198" s="438"/>
      <c r="M198" s="439"/>
      <c r="N198" s="438"/>
      <c r="O198" s="439"/>
      <c r="P198" s="438"/>
      <c r="Q198" s="439"/>
      <c r="R198" s="438"/>
      <c r="S198" s="439"/>
      <c r="T198" s="438"/>
      <c r="U198" s="439"/>
      <c r="V198" s="438"/>
      <c r="W198" s="439"/>
      <c r="X198" s="438"/>
      <c r="Y198" s="439"/>
      <c r="Z198" s="438"/>
      <c r="AA198" s="439"/>
      <c r="AB198" s="438"/>
      <c r="AC198" s="439"/>
      <c r="AD198" s="438"/>
      <c r="AE198" s="439"/>
      <c r="AF198" s="438"/>
      <c r="AG198" s="439"/>
      <c r="AH198" s="438"/>
      <c r="AI198" s="438"/>
      <c r="AJ198" s="438"/>
      <c r="AK198" s="438"/>
      <c r="AL198" s="438"/>
      <c r="AM198" s="438"/>
      <c r="AN198" s="438"/>
      <c r="AO198" s="438"/>
      <c r="AP198" s="438"/>
      <c r="AQ198" s="438"/>
      <c r="AR198" s="438"/>
      <c r="AS198" s="438"/>
      <c r="AT198" s="438"/>
      <c r="AU198" s="438"/>
      <c r="AV198" s="438"/>
      <c r="AW198" s="438"/>
      <c r="AX198" s="438"/>
      <c r="AY198" s="438"/>
      <c r="AZ198" s="438"/>
      <c r="BA198" s="438"/>
      <c r="BB198" s="438"/>
      <c r="BC198" s="438"/>
      <c r="BD198" s="438"/>
      <c r="BE198" s="438"/>
      <c r="BF198" s="438"/>
      <c r="BG198" s="438"/>
      <c r="BH198" s="438"/>
      <c r="BI198" s="438"/>
      <c r="BJ198" s="438"/>
      <c r="BK198" s="438"/>
      <c r="BL198" s="438"/>
      <c r="BM198" s="438"/>
      <c r="BN198" s="438"/>
      <c r="BO198" s="438"/>
      <c r="BP198" s="438"/>
      <c r="BQ198" s="438"/>
      <c r="BR198" s="438"/>
      <c r="BS198" s="438"/>
      <c r="BT198" s="438"/>
      <c r="BU198" s="438"/>
      <c r="BV198" s="438"/>
      <c r="BW198" s="438"/>
      <c r="BX198" s="438"/>
      <c r="BY198" s="438"/>
      <c r="BZ198" s="438"/>
      <c r="CA198" s="438"/>
      <c r="CB198" s="438"/>
      <c r="CC198" s="438"/>
      <c r="CD198" s="438"/>
      <c r="CE198" s="438"/>
      <c r="CF198" s="438"/>
      <c r="CG198" s="438"/>
      <c r="CH198" s="438"/>
      <c r="CI198" s="438"/>
      <c r="CJ198" s="438"/>
      <c r="CK198" s="438"/>
      <c r="CL198" s="438"/>
      <c r="CM198" s="438"/>
      <c r="CN198" s="438"/>
      <c r="CO198" s="438"/>
      <c r="CP198" s="438"/>
      <c r="CQ198" s="438"/>
      <c r="CR198" s="438"/>
      <c r="CS198" s="438"/>
      <c r="CT198" s="438"/>
      <c r="CU198" s="438"/>
      <c r="CV198" s="438"/>
      <c r="CW198" s="438"/>
      <c r="CX198" s="438"/>
      <c r="CY198" s="438"/>
      <c r="CZ198" s="438"/>
      <c r="DA198" s="438"/>
      <c r="DB198" s="438"/>
      <c r="DC198" s="438"/>
      <c r="DD198" s="438"/>
      <c r="DE198" s="438"/>
      <c r="DF198" s="438"/>
      <c r="DG198" s="438"/>
      <c r="DH198" s="438"/>
      <c r="DI198" s="438"/>
      <c r="DJ198" s="438"/>
      <c r="DK198" s="438"/>
      <c r="DL198" s="438"/>
      <c r="DM198" s="438"/>
      <c r="DN198" s="438"/>
      <c r="DO198" s="438"/>
      <c r="DP198" s="438"/>
      <c r="DQ198" s="438"/>
      <c r="DR198" s="438"/>
      <c r="DS198" s="438"/>
      <c r="DT198" s="438"/>
      <c r="DU198" s="438"/>
      <c r="DV198" s="438"/>
      <c r="DW198" s="438"/>
      <c r="DX198" s="438"/>
      <c r="DY198" s="438"/>
      <c r="DZ198" s="438"/>
      <c r="EA198" s="438"/>
      <c r="EB198" s="439"/>
      <c r="EC198" s="438"/>
      <c r="ED198" s="439"/>
      <c r="EE198" s="438"/>
      <c r="EF198" s="439"/>
      <c r="EG198" s="438"/>
      <c r="EH198" s="439"/>
      <c r="EI198" s="438"/>
      <c r="EJ198" s="438"/>
      <c r="EK198" s="438"/>
      <c r="EL198" s="438"/>
      <c r="EM198" s="438"/>
      <c r="EN198" s="438"/>
      <c r="EO198" s="438"/>
      <c r="EP198" s="438"/>
      <c r="EQ198" s="438"/>
      <c r="ER198" s="438"/>
      <c r="ES198" s="438"/>
      <c r="ET198" s="438"/>
      <c r="EU198" s="438"/>
      <c r="EV198" s="438"/>
      <c r="EW198" s="438"/>
      <c r="EX198" s="438"/>
      <c r="EY198" s="438"/>
      <c r="EZ198" s="438"/>
      <c r="FA198" s="438"/>
      <c r="FB198" s="438"/>
      <c r="FC198" s="438"/>
      <c r="FD198" s="438"/>
      <c r="FE198" s="438"/>
      <c r="FF198" s="438"/>
      <c r="FG198" s="438"/>
      <c r="FH198" s="438"/>
      <c r="FI198" s="438"/>
      <c r="FJ198" s="438"/>
      <c r="FK198" s="438"/>
      <c r="FL198" s="438"/>
      <c r="FM198" s="438"/>
      <c r="FN198" s="438"/>
      <c r="FO198" s="438"/>
      <c r="FP198" s="438"/>
      <c r="FQ198" s="438"/>
      <c r="FR198" s="438"/>
      <c r="FS198" s="438"/>
    </row>
    <row r="199" spans="1:176" s="529" customFormat="1" ht="12.75" hidden="1" customHeight="1" outlineLevel="1" x14ac:dyDescent="0.2">
      <c r="A199" s="534" t="str">
        <f>A$3</f>
        <v>($Millions Except Per Share Data)</v>
      </c>
      <c r="B199" s="535"/>
      <c r="C199" s="536" t="str">
        <f>C$3</f>
        <v>1Q03/</v>
      </c>
      <c r="D199" s="535"/>
      <c r="E199" s="536" t="str">
        <f>E$3</f>
        <v>2Q03/</v>
      </c>
      <c r="F199" s="535"/>
      <c r="G199" s="536" t="str">
        <f>G$3</f>
        <v>3Q03/</v>
      </c>
      <c r="H199" s="535"/>
      <c r="I199" s="536" t="str">
        <f>I$3</f>
        <v>4Q03/</v>
      </c>
      <c r="J199" s="535"/>
      <c r="K199" s="536" t="str">
        <f>K$3</f>
        <v>1Q04/</v>
      </c>
      <c r="L199" s="535"/>
      <c r="M199" s="536" t="str">
        <f>M$3</f>
        <v>2Q04/</v>
      </c>
      <c r="N199" s="535"/>
      <c r="O199" s="536" t="str">
        <f>O$3</f>
        <v>3Q04/</v>
      </c>
      <c r="P199" s="535"/>
      <c r="Q199" s="536" t="str">
        <f>Q$3</f>
        <v>4Q04/</v>
      </c>
      <c r="R199" s="535"/>
      <c r="S199" s="536" t="str">
        <f>S$3</f>
        <v>1Q05/</v>
      </c>
      <c r="T199" s="535"/>
      <c r="U199" s="536" t="str">
        <f>U$3</f>
        <v>2Q05/</v>
      </c>
      <c r="V199" s="535"/>
      <c r="W199" s="536" t="str">
        <f>W$3</f>
        <v>3Q05/</v>
      </c>
      <c r="X199" s="535"/>
      <c r="Y199" s="536" t="str">
        <f>Y$3</f>
        <v>4Q05/</v>
      </c>
      <c r="Z199" s="535"/>
      <c r="AA199" s="536" t="str">
        <f>AA$3</f>
        <v>1Q06/</v>
      </c>
      <c r="AB199" s="535"/>
      <c r="AC199" s="536" t="str">
        <f>AC$3</f>
        <v>2Q06/</v>
      </c>
      <c r="AD199" s="535"/>
      <c r="AE199" s="536" t="str">
        <f>AE$3</f>
        <v>3Q06/</v>
      </c>
      <c r="AF199" s="535"/>
      <c r="AG199" s="536" t="str">
        <f>AG$3</f>
        <v>4Q06/</v>
      </c>
      <c r="AH199" s="535"/>
      <c r="AI199" s="537" t="str">
        <f>AI$3</f>
        <v>1Q07/</v>
      </c>
      <c r="AJ199" s="535"/>
      <c r="AK199" s="537" t="str">
        <f>AK$3</f>
        <v>2Q07/</v>
      </c>
      <c r="AL199" s="535"/>
      <c r="AM199" s="537" t="str">
        <f>AM$3</f>
        <v>3Q07/</v>
      </c>
      <c r="AN199" s="535"/>
      <c r="AO199" s="537" t="str">
        <f>AO$3</f>
        <v>4Q07/</v>
      </c>
      <c r="AP199" s="535"/>
      <c r="AQ199" s="537" t="str">
        <f>AQ$3</f>
        <v>1Q08/</v>
      </c>
      <c r="AR199" s="535"/>
      <c r="AS199" s="537" t="str">
        <f>AS$3</f>
        <v>2Q08/</v>
      </c>
      <c r="AT199" s="535"/>
      <c r="AU199" s="537" t="str">
        <f>AU$3</f>
        <v>3Q08/</v>
      </c>
      <c r="AV199" s="535"/>
      <c r="AW199" s="537" t="str">
        <f>AW$3</f>
        <v>4Q08/</v>
      </c>
      <c r="AX199" s="535"/>
      <c r="AY199" s="537" t="str">
        <f>AY$3</f>
        <v>1Q09/</v>
      </c>
      <c r="AZ199" s="535"/>
      <c r="BA199" s="537" t="str">
        <f>BA$3</f>
        <v>2Q09/</v>
      </c>
      <c r="BB199" s="535"/>
      <c r="BC199" s="537" t="str">
        <f>BC$3</f>
        <v>3Q09/</v>
      </c>
      <c r="BD199" s="535"/>
      <c r="BE199" s="537" t="str">
        <f>BE$3</f>
        <v>4Q09/</v>
      </c>
      <c r="BF199" s="535"/>
      <c r="BG199" s="537" t="str">
        <f>BG$3</f>
        <v>1Q10/</v>
      </c>
      <c r="BH199" s="535"/>
      <c r="BI199" s="537" t="str">
        <f>BI$3</f>
        <v>2Q10/</v>
      </c>
      <c r="BJ199" s="535"/>
      <c r="BK199" s="537" t="str">
        <f>BK$3</f>
        <v>3Q10/</v>
      </c>
      <c r="BL199" s="535"/>
      <c r="BM199" s="537" t="str">
        <f>BM$3</f>
        <v>4Q10/</v>
      </c>
      <c r="BN199" s="535"/>
      <c r="BO199" s="537" t="str">
        <f>BO$3</f>
        <v>1Q11/</v>
      </c>
      <c r="BP199" s="535"/>
      <c r="BQ199" s="537" t="str">
        <f>BQ$3</f>
        <v>2Q11/</v>
      </c>
      <c r="BR199" s="535"/>
      <c r="BS199" s="537" t="str">
        <f>BS$3</f>
        <v>3Q11/</v>
      </c>
      <c r="BT199" s="535"/>
      <c r="BU199" s="537" t="str">
        <f>BU$3</f>
        <v>4Q11/</v>
      </c>
      <c r="BV199" s="535"/>
      <c r="BW199" s="537" t="str">
        <f>BW$3</f>
        <v>1Q12/</v>
      </c>
      <c r="BX199" s="535"/>
      <c r="BY199" s="537" t="str">
        <f>BY$3</f>
        <v>2Q12/</v>
      </c>
      <c r="BZ199" s="535"/>
      <c r="CA199" s="537" t="str">
        <f>CA$3</f>
        <v>3Q12/</v>
      </c>
      <c r="CB199" s="535"/>
      <c r="CC199" s="537" t="str">
        <f>CC$3</f>
        <v>4Q12/</v>
      </c>
      <c r="CD199" s="535"/>
      <c r="CE199" s="537" t="str">
        <f>CE$3</f>
        <v>1Q13/</v>
      </c>
      <c r="CF199" s="535"/>
      <c r="CG199" s="537" t="str">
        <f>CG$3</f>
        <v>2Q13/</v>
      </c>
      <c r="CH199" s="535"/>
      <c r="CI199" s="537" t="str">
        <f>CI$3</f>
        <v>3Q13/</v>
      </c>
      <c r="CJ199" s="535"/>
      <c r="CK199" s="537" t="str">
        <f>CK$3</f>
        <v>4Q13/</v>
      </c>
      <c r="CL199" s="535"/>
      <c r="CM199" s="537" t="str">
        <f>CM$3</f>
        <v>1Q14/</v>
      </c>
      <c r="CN199" s="535"/>
      <c r="CO199" s="537" t="str">
        <f>CO$3</f>
        <v>2Q14/</v>
      </c>
      <c r="CP199" s="535"/>
      <c r="CQ199" s="537" t="str">
        <f>CQ$3</f>
        <v>3Q14/</v>
      </c>
      <c r="CR199" s="535"/>
      <c r="CS199" s="537" t="str">
        <f>CS$3</f>
        <v>4Q14/</v>
      </c>
      <c r="CT199" s="535"/>
      <c r="CU199" s="537" t="str">
        <f>CU$3</f>
        <v>1Q15/</v>
      </c>
      <c r="CV199" s="535"/>
      <c r="CW199" s="537" t="str">
        <f>CW$3</f>
        <v>2Q15/</v>
      </c>
      <c r="CX199" s="535"/>
      <c r="CY199" s="537" t="str">
        <f>CY$3</f>
        <v>3Q15/</v>
      </c>
      <c r="CZ199" s="535"/>
      <c r="DA199" s="537" t="str">
        <f>DA$3</f>
        <v>4Q15/</v>
      </c>
      <c r="DB199" s="535"/>
      <c r="DC199" s="537" t="str">
        <f>DC$3</f>
        <v>1Q16/</v>
      </c>
      <c r="DD199" s="535"/>
      <c r="DE199" s="537" t="str">
        <f>DE$3</f>
        <v>2Q16/</v>
      </c>
      <c r="DF199" s="535"/>
      <c r="DG199" s="537" t="str">
        <f>DG$3</f>
        <v>3Q16/</v>
      </c>
      <c r="DH199" s="535"/>
      <c r="DI199" s="537" t="str">
        <f>DI$3</f>
        <v>4Q16/</v>
      </c>
      <c r="DJ199" s="535"/>
      <c r="DK199" s="537" t="str">
        <f>DK$3</f>
        <v>1Q17/</v>
      </c>
      <c r="DL199" s="535"/>
      <c r="DM199" s="537" t="str">
        <f>DM$3</f>
        <v>2Q17/</v>
      </c>
      <c r="DN199" s="535"/>
      <c r="DO199" s="537" t="str">
        <f>DO$3</f>
        <v>3Q17/</v>
      </c>
      <c r="DP199" s="535"/>
      <c r="DQ199" s="537" t="str">
        <f>DQ$3</f>
        <v>4Q17/</v>
      </c>
      <c r="DR199" s="535"/>
      <c r="DS199" s="537" t="str">
        <f>DS$3</f>
        <v>1Q18E/</v>
      </c>
      <c r="DT199" s="535"/>
      <c r="DU199" s="537" t="str">
        <f>DU$3</f>
        <v>2Q18E/</v>
      </c>
      <c r="DV199" s="535"/>
      <c r="DW199" s="537" t="str">
        <f>DW$3</f>
        <v>3Q18E/</v>
      </c>
      <c r="DX199" s="535"/>
      <c r="DY199" s="537" t="str">
        <f>DY$3</f>
        <v>4Q18E/</v>
      </c>
      <c r="DZ199" s="535"/>
      <c r="EA199" s="537"/>
      <c r="EB199" s="536" t="str">
        <f>EB$3</f>
        <v>2001/</v>
      </c>
      <c r="EC199" s="535"/>
      <c r="ED199" s="536" t="str">
        <f>ED$3</f>
        <v>2002/</v>
      </c>
      <c r="EE199" s="535"/>
      <c r="EF199" s="536" t="str">
        <f>EF$3</f>
        <v>2003/</v>
      </c>
      <c r="EG199" s="535"/>
      <c r="EH199" s="536" t="str">
        <f>EH$3</f>
        <v>2004/</v>
      </c>
      <c r="EI199" s="535"/>
      <c r="EJ199" s="537" t="str">
        <f>EJ$3</f>
        <v>2005/</v>
      </c>
      <c r="EK199" s="535"/>
      <c r="EL199" s="537" t="str">
        <f>EL$3</f>
        <v>2006/</v>
      </c>
      <c r="EM199" s="535"/>
      <c r="EN199" s="537" t="str">
        <f>EN$3</f>
        <v>2007/</v>
      </c>
      <c r="EO199" s="535"/>
      <c r="EP199" s="537" t="str">
        <f>EP$3</f>
        <v>2008/</v>
      </c>
      <c r="EQ199" s="535"/>
      <c r="ER199" s="537" t="str">
        <f>ER$3</f>
        <v>2009/</v>
      </c>
      <c r="ES199" s="535"/>
      <c r="ET199" s="537" t="str">
        <f>ET$3</f>
        <v>2010/</v>
      </c>
      <c r="EU199" s="535"/>
      <c r="EV199" s="537" t="str">
        <f>EV$3</f>
        <v>2011/</v>
      </c>
      <c r="EW199" s="535"/>
      <c r="EX199" s="537" t="str">
        <f>EX$3</f>
        <v>2012/</v>
      </c>
      <c r="EY199" s="535"/>
      <c r="EZ199" s="537" t="str">
        <f>EZ$3</f>
        <v>2013/</v>
      </c>
      <c r="FA199" s="535"/>
      <c r="FB199" s="537" t="str">
        <f>FB$3</f>
        <v>2014/</v>
      </c>
      <c r="FC199" s="535"/>
      <c r="FD199" s="537" t="str">
        <f>FD$3</f>
        <v>2015/</v>
      </c>
      <c r="FE199" s="535"/>
      <c r="FF199" s="537" t="str">
        <f>FF$3</f>
        <v>2016/</v>
      </c>
      <c r="FG199" s="535"/>
      <c r="FH199" s="537" t="str">
        <f>FH$3</f>
        <v>2017/</v>
      </c>
      <c r="FI199" s="535"/>
      <c r="FJ199" s="537" t="str">
        <f>FJ$3</f>
        <v>2018E/</v>
      </c>
      <c r="FK199" s="535"/>
      <c r="FL199" s="537" t="str">
        <f>FL$3</f>
        <v>2019E/</v>
      </c>
      <c r="FM199" s="535"/>
      <c r="FN199" s="537" t="str">
        <f>FN$3</f>
        <v>2020E/</v>
      </c>
      <c r="FO199" s="535"/>
      <c r="FP199" s="537" t="str">
        <f>FP$3</f>
        <v>2021E/</v>
      </c>
      <c r="FQ199" s="535"/>
      <c r="FR199" s="537" t="str">
        <f>FR$3</f>
        <v>2022E/</v>
      </c>
      <c r="FS199" s="537" t="str">
        <f>FS$3</f>
        <v>5-Yr</v>
      </c>
      <c r="FT199" s="453"/>
    </row>
    <row r="200" spans="1:176" s="529" customFormat="1" ht="12.75" hidden="1" customHeight="1" outlineLevel="1" x14ac:dyDescent="0.2">
      <c r="A200" s="441"/>
      <c r="B200" s="440"/>
      <c r="C200" s="439" t="str">
        <f>C$4</f>
        <v>1Q02</v>
      </c>
      <c r="D200" s="440"/>
      <c r="E200" s="439" t="str">
        <f>E$4</f>
        <v>2Q02</v>
      </c>
      <c r="F200" s="440"/>
      <c r="G200" s="439" t="str">
        <f>G$4</f>
        <v>3Q02</v>
      </c>
      <c r="H200" s="440"/>
      <c r="I200" s="439" t="str">
        <f>I$4</f>
        <v>4Q02</v>
      </c>
      <c r="J200" s="440"/>
      <c r="K200" s="439" t="str">
        <f>K$4</f>
        <v>1Q03</v>
      </c>
      <c r="L200" s="440"/>
      <c r="M200" s="439" t="str">
        <f>M$4</f>
        <v>2Q03</v>
      </c>
      <c r="N200" s="440"/>
      <c r="O200" s="439" t="str">
        <f>O$4</f>
        <v>3Q03</v>
      </c>
      <c r="P200" s="440"/>
      <c r="Q200" s="439" t="str">
        <f>Q$4</f>
        <v>4Q03</v>
      </c>
      <c r="R200" s="440"/>
      <c r="S200" s="439" t="str">
        <f>S$4</f>
        <v>1Q04</v>
      </c>
      <c r="T200" s="440"/>
      <c r="U200" s="439" t="str">
        <f>U$4</f>
        <v>2Q04</v>
      </c>
      <c r="V200" s="440"/>
      <c r="W200" s="439" t="str">
        <f>W$4</f>
        <v>3Q04</v>
      </c>
      <c r="X200" s="440"/>
      <c r="Y200" s="439" t="str">
        <f>Y$4</f>
        <v>4Q04</v>
      </c>
      <c r="Z200" s="440"/>
      <c r="AA200" s="439" t="str">
        <f>AA$4</f>
        <v>1Q05</v>
      </c>
      <c r="AB200" s="440"/>
      <c r="AC200" s="439" t="str">
        <f>AC$4</f>
        <v>2Q05</v>
      </c>
      <c r="AD200" s="440"/>
      <c r="AE200" s="439" t="str">
        <f>AE$4</f>
        <v>3Q05</v>
      </c>
      <c r="AF200" s="440"/>
      <c r="AG200" s="439" t="str">
        <f>AG$4</f>
        <v>4Q05</v>
      </c>
      <c r="AH200" s="440"/>
      <c r="AI200" s="438" t="str">
        <f>AI$4</f>
        <v>1Q06</v>
      </c>
      <c r="AJ200" s="440"/>
      <c r="AK200" s="438" t="str">
        <f>AK$4</f>
        <v>2Q06</v>
      </c>
      <c r="AL200" s="440"/>
      <c r="AM200" s="438" t="str">
        <f>AM$4</f>
        <v>3Q06</v>
      </c>
      <c r="AN200" s="440"/>
      <c r="AO200" s="438" t="str">
        <f>AO$4</f>
        <v>4Q06</v>
      </c>
      <c r="AP200" s="440"/>
      <c r="AQ200" s="438" t="str">
        <f>AQ$4</f>
        <v>1Q07</v>
      </c>
      <c r="AR200" s="440"/>
      <c r="AS200" s="438" t="str">
        <f>AS$4</f>
        <v>2Q07</v>
      </c>
      <c r="AT200" s="440"/>
      <c r="AU200" s="438" t="str">
        <f>AU$4</f>
        <v>3Q07</v>
      </c>
      <c r="AV200" s="440"/>
      <c r="AW200" s="438" t="str">
        <f>AW$4</f>
        <v>4Q07</v>
      </c>
      <c r="AX200" s="440"/>
      <c r="AY200" s="438" t="str">
        <f>AY$4</f>
        <v>1Q08</v>
      </c>
      <c r="AZ200" s="440"/>
      <c r="BA200" s="438" t="str">
        <f>BA$4</f>
        <v>2Q08</v>
      </c>
      <c r="BB200" s="440"/>
      <c r="BC200" s="438" t="str">
        <f>BC$4</f>
        <v>3Q08</v>
      </c>
      <c r="BD200" s="440"/>
      <c r="BE200" s="438" t="str">
        <f>BE$4</f>
        <v>4Q08</v>
      </c>
      <c r="BF200" s="440"/>
      <c r="BG200" s="438" t="str">
        <f>BG$4</f>
        <v>1Q09</v>
      </c>
      <c r="BH200" s="440"/>
      <c r="BI200" s="438" t="str">
        <f>BI$4</f>
        <v>2Q09</v>
      </c>
      <c r="BJ200" s="440"/>
      <c r="BK200" s="438" t="str">
        <f>BK$4</f>
        <v>3Q09</v>
      </c>
      <c r="BL200" s="440"/>
      <c r="BM200" s="438" t="str">
        <f>BM$4</f>
        <v>4Q09</v>
      </c>
      <c r="BN200" s="440"/>
      <c r="BO200" s="438" t="str">
        <f>BO$4</f>
        <v>1Q10</v>
      </c>
      <c r="BP200" s="440"/>
      <c r="BQ200" s="438" t="str">
        <f>BQ$4</f>
        <v>2Q10</v>
      </c>
      <c r="BR200" s="440"/>
      <c r="BS200" s="438" t="str">
        <f>BS$4</f>
        <v>3Q10</v>
      </c>
      <c r="BT200" s="440"/>
      <c r="BU200" s="438" t="str">
        <f>BU$4</f>
        <v>4Q10</v>
      </c>
      <c r="BV200" s="440"/>
      <c r="BW200" s="438" t="str">
        <f>BW$4</f>
        <v>1Q11</v>
      </c>
      <c r="BX200" s="440"/>
      <c r="BY200" s="438" t="str">
        <f>BY$4</f>
        <v>2Q11</v>
      </c>
      <c r="BZ200" s="440"/>
      <c r="CA200" s="438" t="str">
        <f>CA$4</f>
        <v>3Q11</v>
      </c>
      <c r="CB200" s="440"/>
      <c r="CC200" s="438" t="str">
        <f>CC$4</f>
        <v>4Q11</v>
      </c>
      <c r="CD200" s="440"/>
      <c r="CE200" s="438" t="str">
        <f>CE$4</f>
        <v>1Q12</v>
      </c>
      <c r="CF200" s="440"/>
      <c r="CG200" s="438" t="str">
        <f>CG$4</f>
        <v>2Q12</v>
      </c>
      <c r="CH200" s="440"/>
      <c r="CI200" s="438" t="str">
        <f>CI$4</f>
        <v>3Q12</v>
      </c>
      <c r="CJ200" s="440"/>
      <c r="CK200" s="438" t="str">
        <f>CK$4</f>
        <v>4Q12</v>
      </c>
      <c r="CL200" s="440"/>
      <c r="CM200" s="438" t="str">
        <f>CM$4</f>
        <v>1Q13</v>
      </c>
      <c r="CN200" s="440"/>
      <c r="CO200" s="438" t="str">
        <f>CO$4</f>
        <v>2Q13</v>
      </c>
      <c r="CP200" s="440"/>
      <c r="CQ200" s="438" t="str">
        <f>CQ$4</f>
        <v>3Q13</v>
      </c>
      <c r="CR200" s="440"/>
      <c r="CS200" s="438" t="str">
        <f>CS$4</f>
        <v>4Q13</v>
      </c>
      <c r="CT200" s="440"/>
      <c r="CU200" s="438" t="str">
        <f>CU$4</f>
        <v>1Q14</v>
      </c>
      <c r="CV200" s="440"/>
      <c r="CW200" s="438" t="str">
        <f>CW$4</f>
        <v>2Q14</v>
      </c>
      <c r="CX200" s="440"/>
      <c r="CY200" s="438" t="str">
        <f>CY$4</f>
        <v>3Q14</v>
      </c>
      <c r="CZ200" s="440"/>
      <c r="DA200" s="438" t="str">
        <f>DA$4</f>
        <v>4Q14</v>
      </c>
      <c r="DB200" s="440"/>
      <c r="DC200" s="438" t="str">
        <f>DC$4</f>
        <v>1Q15</v>
      </c>
      <c r="DD200" s="440"/>
      <c r="DE200" s="438" t="str">
        <f>DE$4</f>
        <v>2Q15</v>
      </c>
      <c r="DF200" s="440"/>
      <c r="DG200" s="438" t="str">
        <f>DG$4</f>
        <v>3Q15</v>
      </c>
      <c r="DH200" s="440"/>
      <c r="DI200" s="438" t="str">
        <f>DI$4</f>
        <v>4Q15</v>
      </c>
      <c r="DJ200" s="440"/>
      <c r="DK200" s="438" t="str">
        <f>DK$4</f>
        <v>1Q16</v>
      </c>
      <c r="DL200" s="440"/>
      <c r="DM200" s="438" t="str">
        <f>DM$4</f>
        <v>2Q16</v>
      </c>
      <c r="DN200" s="440"/>
      <c r="DO200" s="438" t="str">
        <f>DO$4</f>
        <v>3Q16</v>
      </c>
      <c r="DP200" s="440"/>
      <c r="DQ200" s="438" t="str">
        <f>DQ$4</f>
        <v>4Q16</v>
      </c>
      <c r="DR200" s="440"/>
      <c r="DS200" s="438" t="str">
        <f>DS$4</f>
        <v>1Q17</v>
      </c>
      <c r="DT200" s="440"/>
      <c r="DU200" s="438" t="str">
        <f>DU$4</f>
        <v>2Q17</v>
      </c>
      <c r="DV200" s="440"/>
      <c r="DW200" s="438" t="str">
        <f>DW$4</f>
        <v>3Q17</v>
      </c>
      <c r="DX200" s="440"/>
      <c r="DY200" s="438" t="str">
        <f>DY$4</f>
        <v>4Q17</v>
      </c>
      <c r="DZ200" s="440"/>
      <c r="EA200" s="438"/>
      <c r="EB200" s="439" t="str">
        <f>EB$4</f>
        <v>2000</v>
      </c>
      <c r="EC200" s="440"/>
      <c r="ED200" s="439" t="str">
        <f>ED$4</f>
        <v>2001</v>
      </c>
      <c r="EE200" s="440"/>
      <c r="EF200" s="439" t="str">
        <f>EF$4</f>
        <v>2002</v>
      </c>
      <c r="EG200" s="440"/>
      <c r="EH200" s="439" t="str">
        <f>EH$4</f>
        <v>2003</v>
      </c>
      <c r="EI200" s="440"/>
      <c r="EJ200" s="438">
        <f>EJ$4</f>
        <v>2004</v>
      </c>
      <c r="EK200" s="440"/>
      <c r="EL200" s="438" t="str">
        <f>EL$4</f>
        <v>2005</v>
      </c>
      <c r="EM200" s="440"/>
      <c r="EN200" s="438" t="str">
        <f>EN$4</f>
        <v>2006</v>
      </c>
      <c r="EO200" s="440"/>
      <c r="EP200" s="438">
        <f>EP$4</f>
        <v>2007</v>
      </c>
      <c r="EQ200" s="440"/>
      <c r="ER200" s="438" t="str">
        <f>ER$4</f>
        <v>2008</v>
      </c>
      <c r="ES200" s="440"/>
      <c r="ET200" s="438" t="str">
        <f>ET$4</f>
        <v>2009</v>
      </c>
      <c r="EU200" s="440"/>
      <c r="EV200" s="438" t="str">
        <f>EV$4</f>
        <v>2010</v>
      </c>
      <c r="EW200" s="440"/>
      <c r="EX200" s="438" t="str">
        <f>EX$4</f>
        <v>2011</v>
      </c>
      <c r="EY200" s="440"/>
      <c r="EZ200" s="438" t="str">
        <f>EZ$4</f>
        <v>2012</v>
      </c>
      <c r="FA200" s="440"/>
      <c r="FB200" s="438" t="str">
        <f>FB$4</f>
        <v>2013</v>
      </c>
      <c r="FC200" s="440"/>
      <c r="FD200" s="438">
        <f>FD$4</f>
        <v>2014</v>
      </c>
      <c r="FE200" s="440"/>
      <c r="FF200" s="438" t="str">
        <f>FF$4</f>
        <v>2015</v>
      </c>
      <c r="FG200" s="440"/>
      <c r="FH200" s="438">
        <f>FH$4</f>
        <v>2016</v>
      </c>
      <c r="FI200" s="440"/>
      <c r="FJ200" s="438">
        <f>FJ$4</f>
        <v>2017</v>
      </c>
      <c r="FK200" s="440"/>
      <c r="FL200" s="438" t="str">
        <f>FL$4</f>
        <v>2018E</v>
      </c>
      <c r="FM200" s="440"/>
      <c r="FN200" s="438" t="str">
        <f>FN$4</f>
        <v>2019E</v>
      </c>
      <c r="FO200" s="440"/>
      <c r="FP200" s="438" t="str">
        <f>FP$4</f>
        <v>2020E</v>
      </c>
      <c r="FQ200" s="440"/>
      <c r="FR200" s="438" t="str">
        <f>FR$4</f>
        <v>2021E</v>
      </c>
      <c r="FS200" s="438" t="str">
        <f>FS$4</f>
        <v>CAGR</v>
      </c>
      <c r="FT200" s="453"/>
    </row>
    <row r="201" spans="1:176" s="529" customFormat="1" ht="12.75" hidden="1" customHeight="1" outlineLevel="1" x14ac:dyDescent="0.2">
      <c r="A201" s="442"/>
      <c r="B201" s="443" t="str">
        <f>+B$5</f>
        <v>1Q03</v>
      </c>
      <c r="C201" s="444" t="str">
        <f>C$5</f>
        <v>% Chg</v>
      </c>
      <c r="D201" s="443" t="str">
        <f>+D$5</f>
        <v>2Q03</v>
      </c>
      <c r="E201" s="444" t="str">
        <f>E$5</f>
        <v>% Chg</v>
      </c>
      <c r="F201" s="443" t="str">
        <f>+F$5</f>
        <v>3Q03</v>
      </c>
      <c r="G201" s="444" t="str">
        <f>G$5</f>
        <v>% Chg</v>
      </c>
      <c r="H201" s="443" t="str">
        <f>+H$5</f>
        <v>4Q03</v>
      </c>
      <c r="I201" s="444" t="str">
        <f>I$5</f>
        <v>% Chg</v>
      </c>
      <c r="J201" s="443" t="str">
        <f>+J$5</f>
        <v>1Q04</v>
      </c>
      <c r="K201" s="444" t="str">
        <f>K$5</f>
        <v>% Chg</v>
      </c>
      <c r="L201" s="443" t="str">
        <f>+L$5</f>
        <v>2Q04</v>
      </c>
      <c r="M201" s="444" t="str">
        <f>M$5</f>
        <v>% Chg</v>
      </c>
      <c r="N201" s="443" t="str">
        <f>+N$5</f>
        <v>3Q04</v>
      </c>
      <c r="O201" s="444" t="str">
        <f>O$5</f>
        <v>% Chg</v>
      </c>
      <c r="P201" s="443" t="str">
        <f>+P$5</f>
        <v>4Q04</v>
      </c>
      <c r="Q201" s="444" t="str">
        <f>Q$5</f>
        <v>% Chg</v>
      </c>
      <c r="R201" s="443" t="str">
        <f>+R$5</f>
        <v>1Q05</v>
      </c>
      <c r="S201" s="444" t="str">
        <f>S$5</f>
        <v>% Chg</v>
      </c>
      <c r="T201" s="443" t="str">
        <f>+T$5</f>
        <v>2Q05</v>
      </c>
      <c r="U201" s="444" t="str">
        <f>U$5</f>
        <v>% Chg</v>
      </c>
      <c r="V201" s="443" t="str">
        <f>+V$5</f>
        <v>3Q05</v>
      </c>
      <c r="W201" s="444" t="str">
        <f>W$5</f>
        <v>% Chg</v>
      </c>
      <c r="X201" s="443" t="str">
        <f>+X$5</f>
        <v>4Q05</v>
      </c>
      <c r="Y201" s="444" t="str">
        <f>Y$5</f>
        <v>% Chg</v>
      </c>
      <c r="Z201" s="443" t="str">
        <f>+Z$5</f>
        <v>1Q06</v>
      </c>
      <c r="AA201" s="444" t="str">
        <f>AA$5</f>
        <v>% Chg</v>
      </c>
      <c r="AB201" s="443" t="str">
        <f>+AB$5</f>
        <v>2Q06</v>
      </c>
      <c r="AC201" s="444" t="str">
        <f>AC$5</f>
        <v>% Chg</v>
      </c>
      <c r="AD201" s="443" t="str">
        <f>+AD$5</f>
        <v>3Q06</v>
      </c>
      <c r="AE201" s="444" t="str">
        <f>AE$5</f>
        <v>% Chg</v>
      </c>
      <c r="AF201" s="443" t="str">
        <f>+AF$5</f>
        <v>4Q06</v>
      </c>
      <c r="AG201" s="444" t="str">
        <f>AG$5</f>
        <v>% Chg</v>
      </c>
      <c r="AH201" s="443" t="str">
        <f>+AH$5</f>
        <v>1Q07</v>
      </c>
      <c r="AI201" s="445" t="str">
        <f>AI$5</f>
        <v>% Chg</v>
      </c>
      <c r="AJ201" s="443" t="str">
        <f>+AJ$5</f>
        <v>2Q07</v>
      </c>
      <c r="AK201" s="445" t="str">
        <f>AK$5</f>
        <v>% Chg</v>
      </c>
      <c r="AL201" s="443" t="str">
        <f>+AL$5</f>
        <v>3Q07</v>
      </c>
      <c r="AM201" s="445" t="str">
        <f>AM$5</f>
        <v>% Chg</v>
      </c>
      <c r="AN201" s="443" t="str">
        <f>+AN$5</f>
        <v>4Q07</v>
      </c>
      <c r="AO201" s="445" t="str">
        <f>AO$5</f>
        <v>% Chg</v>
      </c>
      <c r="AP201" s="443" t="str">
        <f>+AP$5</f>
        <v>1Q08</v>
      </c>
      <c r="AQ201" s="445" t="str">
        <f>AQ$5</f>
        <v>% Chg</v>
      </c>
      <c r="AR201" s="443" t="str">
        <f>+AR$5</f>
        <v>2Q08</v>
      </c>
      <c r="AS201" s="445" t="str">
        <f>AS$5</f>
        <v>% Chg</v>
      </c>
      <c r="AT201" s="443" t="str">
        <f>+AT$5</f>
        <v>3Q08</v>
      </c>
      <c r="AU201" s="445" t="str">
        <f>AU$5</f>
        <v>% Chg</v>
      </c>
      <c r="AV201" s="443" t="str">
        <f>+AV$5</f>
        <v>4Q08</v>
      </c>
      <c r="AW201" s="445" t="str">
        <f>AW$5</f>
        <v>% Chg</v>
      </c>
      <c r="AX201" s="443" t="str">
        <f>+AX$5</f>
        <v>1Q09</v>
      </c>
      <c r="AY201" s="445" t="str">
        <f>AY$5</f>
        <v>% Chg</v>
      </c>
      <c r="AZ201" s="443" t="str">
        <f>+AZ$5</f>
        <v>2Q09</v>
      </c>
      <c r="BA201" s="445" t="str">
        <f>BA$5</f>
        <v>% Chg</v>
      </c>
      <c r="BB201" s="443" t="str">
        <f>+BB$5</f>
        <v>3Q09</v>
      </c>
      <c r="BC201" s="445" t="str">
        <f>BC$5</f>
        <v>% Chg</v>
      </c>
      <c r="BD201" s="443" t="str">
        <f>+BD$5</f>
        <v>4Q09</v>
      </c>
      <c r="BE201" s="445" t="str">
        <f>BE$5</f>
        <v>% Chg</v>
      </c>
      <c r="BF201" s="443" t="str">
        <f>+BF$5</f>
        <v>1Q10</v>
      </c>
      <c r="BG201" s="445" t="str">
        <f>BG$5</f>
        <v>% Chg</v>
      </c>
      <c r="BH201" s="443" t="str">
        <f>+BH$5</f>
        <v>2Q10</v>
      </c>
      <c r="BI201" s="445" t="str">
        <f>BI$5</f>
        <v>% Chg</v>
      </c>
      <c r="BJ201" s="443" t="str">
        <f>+BJ$5</f>
        <v>3Q10</v>
      </c>
      <c r="BK201" s="445" t="str">
        <f>BK$5</f>
        <v>% Chg</v>
      </c>
      <c r="BL201" s="443" t="str">
        <f>+BL$5</f>
        <v>4Q10</v>
      </c>
      <c r="BM201" s="445" t="str">
        <f>BM$5</f>
        <v>% Chg</v>
      </c>
      <c r="BN201" s="443" t="str">
        <f>+BN$5</f>
        <v>1Q11</v>
      </c>
      <c r="BO201" s="445" t="str">
        <f>BO$5</f>
        <v>% Chg</v>
      </c>
      <c r="BP201" s="443" t="str">
        <f>+BP$5</f>
        <v>2Q11</v>
      </c>
      <c r="BQ201" s="445" t="str">
        <f>BQ$5</f>
        <v>% Chg</v>
      </c>
      <c r="BR201" s="443" t="str">
        <f>+BR$5</f>
        <v>3Q11</v>
      </c>
      <c r="BS201" s="445" t="str">
        <f>BS$5</f>
        <v>% Chg</v>
      </c>
      <c r="BT201" s="443" t="str">
        <f>+BT$5</f>
        <v>4Q11</v>
      </c>
      <c r="BU201" s="445" t="str">
        <f>BU$5</f>
        <v>% Chg</v>
      </c>
      <c r="BV201" s="443" t="str">
        <f>+BV$5</f>
        <v>1Q12</v>
      </c>
      <c r="BW201" s="445" t="str">
        <f>BW$5</f>
        <v>% Chg</v>
      </c>
      <c r="BX201" s="443" t="str">
        <f>+BX$5</f>
        <v>2Q12</v>
      </c>
      <c r="BY201" s="445" t="str">
        <f>BY$5</f>
        <v>% Chg</v>
      </c>
      <c r="BZ201" s="443" t="str">
        <f>+BZ$5</f>
        <v>3Q12</v>
      </c>
      <c r="CA201" s="445" t="str">
        <f>CA$5</f>
        <v>% Chg</v>
      </c>
      <c r="CB201" s="443" t="str">
        <f>+CB$5</f>
        <v>4Q12</v>
      </c>
      <c r="CC201" s="445" t="str">
        <f>CC$5</f>
        <v>% Chg</v>
      </c>
      <c r="CD201" s="443" t="str">
        <f>+CD$5</f>
        <v>1Q13</v>
      </c>
      <c r="CE201" s="445" t="str">
        <f>CE$5</f>
        <v>% Chg</v>
      </c>
      <c r="CF201" s="443" t="str">
        <f>+CF$5</f>
        <v>2Q13</v>
      </c>
      <c r="CG201" s="445" t="str">
        <f>CG$5</f>
        <v>% Chg</v>
      </c>
      <c r="CH201" s="443" t="str">
        <f>+CH$5</f>
        <v>3Q13</v>
      </c>
      <c r="CI201" s="445" t="str">
        <f>CI$5</f>
        <v>% Chg</v>
      </c>
      <c r="CJ201" s="443" t="str">
        <f>+CJ$5</f>
        <v>4Q13</v>
      </c>
      <c r="CK201" s="445" t="str">
        <f>CK$5</f>
        <v>% Chg</v>
      </c>
      <c r="CL201" s="443" t="str">
        <f>+CL$5</f>
        <v>1Q14</v>
      </c>
      <c r="CM201" s="445" t="str">
        <f>CM$5</f>
        <v>% Chg</v>
      </c>
      <c r="CN201" s="443" t="str">
        <f>+CN$5</f>
        <v>2Q14</v>
      </c>
      <c r="CO201" s="445" t="str">
        <f>CO$5</f>
        <v>% Chg</v>
      </c>
      <c r="CP201" s="443" t="str">
        <f>+CP$5</f>
        <v>3Q14</v>
      </c>
      <c r="CQ201" s="445" t="str">
        <f>CQ$5</f>
        <v>% Chg</v>
      </c>
      <c r="CR201" s="443" t="str">
        <f>+CR$5</f>
        <v>4Q14</v>
      </c>
      <c r="CS201" s="445" t="str">
        <f>CS$5</f>
        <v>% Chg</v>
      </c>
      <c r="CT201" s="443" t="str">
        <f>+CT$5</f>
        <v>1Q15</v>
      </c>
      <c r="CU201" s="445" t="str">
        <f>CU$5</f>
        <v>% Chg</v>
      </c>
      <c r="CV201" s="443" t="str">
        <f>+CV$5</f>
        <v>2Q15</v>
      </c>
      <c r="CW201" s="445" t="str">
        <f>CW$5</f>
        <v>% Chg</v>
      </c>
      <c r="CX201" s="443" t="str">
        <f>+CX$5</f>
        <v>3Q15</v>
      </c>
      <c r="CY201" s="445" t="str">
        <f>CY$5</f>
        <v>% Chg</v>
      </c>
      <c r="CZ201" s="443" t="str">
        <f>+CZ$5</f>
        <v>4Q15</v>
      </c>
      <c r="DA201" s="445" t="str">
        <f>DA$5</f>
        <v>% Chg</v>
      </c>
      <c r="DB201" s="443" t="str">
        <f>+DB$5</f>
        <v>1Q16</v>
      </c>
      <c r="DC201" s="445" t="str">
        <f>DC$5</f>
        <v>% Chg</v>
      </c>
      <c r="DD201" s="443" t="str">
        <f>+DD$5</f>
        <v>2Q16</v>
      </c>
      <c r="DE201" s="445" t="str">
        <f>DE$5</f>
        <v>% Chg</v>
      </c>
      <c r="DF201" s="443" t="str">
        <f>+DF$5</f>
        <v>3Q16</v>
      </c>
      <c r="DG201" s="445" t="str">
        <f>DG$5</f>
        <v>% Chg</v>
      </c>
      <c r="DH201" s="443" t="str">
        <f>+DH$5</f>
        <v>4Q16</v>
      </c>
      <c r="DI201" s="445" t="str">
        <f>DI$5</f>
        <v>% Chg</v>
      </c>
      <c r="DJ201" s="443" t="str">
        <f>+DJ$5</f>
        <v>1Q17</v>
      </c>
      <c r="DK201" s="445" t="str">
        <f>DK$5</f>
        <v>% Chg</v>
      </c>
      <c r="DL201" s="443" t="str">
        <f>+DL$5</f>
        <v>2Q17</v>
      </c>
      <c r="DM201" s="445" t="str">
        <f>DM$5</f>
        <v>% Chg</v>
      </c>
      <c r="DN201" s="443" t="str">
        <f>+DN$5</f>
        <v>3Q17</v>
      </c>
      <c r="DO201" s="445" t="str">
        <f>DO$5</f>
        <v>% Chg</v>
      </c>
      <c r="DP201" s="443" t="str">
        <f>+DP$5</f>
        <v>4Q17</v>
      </c>
      <c r="DQ201" s="445" t="str">
        <f>DQ$5</f>
        <v>% Chg</v>
      </c>
      <c r="DR201" s="443" t="str">
        <f>+DR$5</f>
        <v>1Q18E</v>
      </c>
      <c r="DS201" s="445" t="str">
        <f>DS$5</f>
        <v>% Chg</v>
      </c>
      <c r="DT201" s="443" t="str">
        <f>+DT$5</f>
        <v>2Q18E</v>
      </c>
      <c r="DU201" s="445" t="str">
        <f>DU$5</f>
        <v>% Chg</v>
      </c>
      <c r="DV201" s="443" t="str">
        <f>+DV$5</f>
        <v>3Q18E</v>
      </c>
      <c r="DW201" s="445" t="str">
        <f>DW$5</f>
        <v>% Chg</v>
      </c>
      <c r="DX201" s="443" t="str">
        <f>+DX$5</f>
        <v>4Q18E</v>
      </c>
      <c r="DY201" s="445" t="str">
        <f>DY$5</f>
        <v>% Chg</v>
      </c>
      <c r="DZ201" s="443"/>
      <c r="EA201" s="445"/>
      <c r="EB201" s="444" t="str">
        <f>EB$5</f>
        <v>% Chg</v>
      </c>
      <c r="EC201" s="443" t="str">
        <f t="shared" ref="EC201:FQ201" si="20">+EC$5</f>
        <v>2002</v>
      </c>
      <c r="ED201" s="444" t="str">
        <f>ED$5</f>
        <v>% Chg</v>
      </c>
      <c r="EE201" s="443" t="str">
        <f t="shared" si="20"/>
        <v>2003</v>
      </c>
      <c r="EF201" s="444" t="str">
        <f>EF$5</f>
        <v>% Chg</v>
      </c>
      <c r="EG201" s="443">
        <f t="shared" si="20"/>
        <v>2004</v>
      </c>
      <c r="EH201" s="444" t="str">
        <f>EH$5</f>
        <v>% Chg</v>
      </c>
      <c r="EI201" s="443" t="str">
        <f t="shared" si="20"/>
        <v>2005</v>
      </c>
      <c r="EJ201" s="445" t="str">
        <f>EJ$5</f>
        <v>% Chg</v>
      </c>
      <c r="EK201" s="443" t="str">
        <f t="shared" si="20"/>
        <v>2006</v>
      </c>
      <c r="EL201" s="445" t="str">
        <f>EL$5</f>
        <v>% Chg</v>
      </c>
      <c r="EM201" s="443">
        <f t="shared" si="20"/>
        <v>2007</v>
      </c>
      <c r="EN201" s="445" t="str">
        <f>EN$5</f>
        <v>% Chg</v>
      </c>
      <c r="EO201" s="443" t="str">
        <f t="shared" si="20"/>
        <v>2008</v>
      </c>
      <c r="EP201" s="445" t="str">
        <f>EP$5</f>
        <v>% Chg</v>
      </c>
      <c r="EQ201" s="443" t="str">
        <f t="shared" si="20"/>
        <v>2009</v>
      </c>
      <c r="ER201" s="445" t="str">
        <f>ER$5</f>
        <v>% Chg</v>
      </c>
      <c r="ES201" s="443" t="str">
        <f t="shared" si="20"/>
        <v>2010</v>
      </c>
      <c r="ET201" s="445" t="str">
        <f>ET$5</f>
        <v>% Chg</v>
      </c>
      <c r="EU201" s="443" t="str">
        <f t="shared" si="20"/>
        <v>2011</v>
      </c>
      <c r="EV201" s="445" t="str">
        <f>EV$5</f>
        <v>% Chg</v>
      </c>
      <c r="EW201" s="443" t="str">
        <f t="shared" si="20"/>
        <v>2012</v>
      </c>
      <c r="EX201" s="445" t="str">
        <f>EX$5</f>
        <v>% Chg</v>
      </c>
      <c r="EY201" s="443" t="str">
        <f t="shared" si="20"/>
        <v>2013</v>
      </c>
      <c r="EZ201" s="445" t="str">
        <f>EZ$5</f>
        <v>% Chg</v>
      </c>
      <c r="FA201" s="443">
        <f t="shared" si="20"/>
        <v>2014</v>
      </c>
      <c r="FB201" s="445" t="str">
        <f>FB$5</f>
        <v>% Chg</v>
      </c>
      <c r="FC201" s="443" t="str">
        <f t="shared" si="20"/>
        <v>2015</v>
      </c>
      <c r="FD201" s="445" t="str">
        <f>FD$5</f>
        <v>% Chg</v>
      </c>
      <c r="FE201" s="443">
        <f t="shared" si="20"/>
        <v>2016</v>
      </c>
      <c r="FF201" s="445" t="str">
        <f>FF$5</f>
        <v>% Chg</v>
      </c>
      <c r="FG201" s="443">
        <f t="shared" si="20"/>
        <v>2017</v>
      </c>
      <c r="FH201" s="445" t="str">
        <f>FH$5</f>
        <v>% Chg</v>
      </c>
      <c r="FI201" s="443" t="str">
        <f t="shared" si="20"/>
        <v>2018E</v>
      </c>
      <c r="FJ201" s="445" t="str">
        <f>FJ$5</f>
        <v>% Chg</v>
      </c>
      <c r="FK201" s="443" t="str">
        <f t="shared" si="20"/>
        <v>2019E</v>
      </c>
      <c r="FL201" s="445" t="str">
        <f>FL$5</f>
        <v>% Chg</v>
      </c>
      <c r="FM201" s="443" t="str">
        <f t="shared" si="20"/>
        <v>2020E</v>
      </c>
      <c r="FN201" s="445" t="str">
        <f>FN$5</f>
        <v>% Chg</v>
      </c>
      <c r="FO201" s="443" t="str">
        <f t="shared" si="20"/>
        <v>2021E</v>
      </c>
      <c r="FP201" s="445" t="str">
        <f>FP$5</f>
        <v>% Chg</v>
      </c>
      <c r="FQ201" s="443" t="str">
        <f t="shared" si="20"/>
        <v>2022E</v>
      </c>
      <c r="FR201" s="445" t="str">
        <f>FR$5</f>
        <v>% Chg</v>
      </c>
      <c r="FS201" s="445" t="str">
        <f>FS$5</f>
        <v>(%)</v>
      </c>
      <c r="FT201" s="453"/>
    </row>
    <row r="202" spans="1:176" s="529" customFormat="1" ht="12.75" hidden="1" customHeight="1" outlineLevel="1" x14ac:dyDescent="0.2">
      <c r="A202" s="446"/>
      <c r="B202" s="447"/>
      <c r="C202" s="439"/>
      <c r="D202" s="447"/>
      <c r="E202" s="439"/>
      <c r="F202" s="447"/>
      <c r="G202" s="439"/>
      <c r="H202" s="447"/>
      <c r="I202" s="439"/>
      <c r="J202" s="447"/>
      <c r="K202" s="439"/>
      <c r="L202" s="447"/>
      <c r="M202" s="439"/>
      <c r="N202" s="447"/>
      <c r="O202" s="439"/>
      <c r="P202" s="447"/>
      <c r="Q202" s="439"/>
      <c r="R202" s="447"/>
      <c r="S202" s="439"/>
      <c r="T202" s="447"/>
      <c r="U202" s="439"/>
      <c r="V202" s="447"/>
      <c r="W202" s="439"/>
      <c r="X202" s="447"/>
      <c r="Y202" s="439"/>
      <c r="Z202" s="447"/>
      <c r="AA202" s="439"/>
      <c r="AB202" s="447"/>
      <c r="AC202" s="439"/>
      <c r="AD202" s="447"/>
      <c r="AE202" s="439"/>
      <c r="AF202" s="447"/>
      <c r="AG202" s="439"/>
      <c r="AH202" s="447"/>
      <c r="AI202" s="438"/>
      <c r="AJ202" s="447"/>
      <c r="AK202" s="438"/>
      <c r="AL202" s="447"/>
      <c r="AM202" s="438"/>
      <c r="AN202" s="447"/>
      <c r="AO202" s="438"/>
      <c r="AP202" s="447"/>
      <c r="AQ202" s="438"/>
      <c r="AR202" s="447"/>
      <c r="AS202" s="438"/>
      <c r="AT202" s="447"/>
      <c r="AU202" s="438"/>
      <c r="AV202" s="447"/>
      <c r="AW202" s="438"/>
      <c r="AX202" s="447"/>
      <c r="AY202" s="438"/>
      <c r="AZ202" s="447"/>
      <c r="BA202" s="438"/>
      <c r="BB202" s="447"/>
      <c r="BC202" s="438"/>
      <c r="BD202" s="447"/>
      <c r="BE202" s="438"/>
      <c r="BF202" s="447"/>
      <c r="BG202" s="438"/>
      <c r="BH202" s="447"/>
      <c r="BI202" s="438"/>
      <c r="BJ202" s="447"/>
      <c r="BK202" s="438"/>
      <c r="BL202" s="447"/>
      <c r="BM202" s="438"/>
      <c r="BN202" s="447"/>
      <c r="BO202" s="438"/>
      <c r="BP202" s="447"/>
      <c r="BQ202" s="438"/>
      <c r="BR202" s="447"/>
      <c r="BS202" s="438"/>
      <c r="BT202" s="447"/>
      <c r="BU202" s="438"/>
      <c r="BV202" s="447"/>
      <c r="BW202" s="438"/>
      <c r="BX202" s="447"/>
      <c r="BY202" s="438"/>
      <c r="BZ202" s="447"/>
      <c r="CA202" s="438"/>
      <c r="CB202" s="447"/>
      <c r="CC202" s="438"/>
      <c r="CD202" s="447"/>
      <c r="CE202" s="438"/>
      <c r="CF202" s="447"/>
      <c r="CG202" s="438"/>
      <c r="CH202" s="447"/>
      <c r="CI202" s="438"/>
      <c r="CJ202" s="447"/>
      <c r="CK202" s="438"/>
      <c r="CL202" s="447"/>
      <c r="CM202" s="438"/>
      <c r="CN202" s="447"/>
      <c r="CO202" s="438"/>
      <c r="CP202" s="447"/>
      <c r="CQ202" s="438"/>
      <c r="CR202" s="447"/>
      <c r="CS202" s="438"/>
      <c r="CT202" s="447"/>
      <c r="CU202" s="438"/>
      <c r="CV202" s="447"/>
      <c r="CW202" s="438"/>
      <c r="CX202" s="447"/>
      <c r="CY202" s="438"/>
      <c r="CZ202" s="447"/>
      <c r="DA202" s="438"/>
      <c r="DB202" s="447"/>
      <c r="DC202" s="438"/>
      <c r="DD202" s="447"/>
      <c r="DE202" s="438"/>
      <c r="DF202" s="447"/>
      <c r="DG202" s="438"/>
      <c r="DH202" s="447"/>
      <c r="DI202" s="438"/>
      <c r="DJ202" s="447"/>
      <c r="DK202" s="438"/>
      <c r="DL202" s="447"/>
      <c r="DM202" s="438"/>
      <c r="DN202" s="447"/>
      <c r="DO202" s="438"/>
      <c r="DP202" s="447"/>
      <c r="DQ202" s="438"/>
      <c r="DR202" s="447"/>
      <c r="DS202" s="438"/>
      <c r="DT202" s="447"/>
      <c r="DU202" s="438"/>
      <c r="DV202" s="447"/>
      <c r="DW202" s="438"/>
      <c r="DX202" s="447"/>
      <c r="DY202" s="438"/>
      <c r="DZ202" s="447"/>
      <c r="EA202" s="438"/>
      <c r="EB202" s="439"/>
      <c r="EC202" s="447"/>
      <c r="ED202" s="439"/>
      <c r="EE202" s="447"/>
      <c r="EF202" s="439"/>
      <c r="EG202" s="447"/>
      <c r="EH202" s="439"/>
      <c r="EI202" s="447"/>
      <c r="EJ202" s="438"/>
      <c r="EK202" s="447"/>
      <c r="EL202" s="438"/>
      <c r="EM202" s="447"/>
      <c r="EN202" s="438"/>
      <c r="EO202" s="447"/>
      <c r="EP202" s="438"/>
      <c r="EQ202" s="447"/>
      <c r="ER202" s="438"/>
      <c r="ES202" s="447"/>
      <c r="ET202" s="438"/>
      <c r="EU202" s="447"/>
      <c r="EV202" s="438"/>
      <c r="EW202" s="447"/>
      <c r="EX202" s="438"/>
      <c r="EY202" s="447"/>
      <c r="EZ202" s="438"/>
      <c r="FA202" s="447"/>
      <c r="FB202" s="438"/>
      <c r="FC202" s="447"/>
      <c r="FD202" s="438"/>
      <c r="FE202" s="447"/>
      <c r="FF202" s="438"/>
      <c r="FG202" s="447"/>
      <c r="FH202" s="438"/>
      <c r="FI202" s="447"/>
      <c r="FJ202" s="438"/>
      <c r="FK202" s="447"/>
      <c r="FL202" s="438"/>
      <c r="FM202" s="447"/>
      <c r="FN202" s="438"/>
      <c r="FO202" s="447"/>
      <c r="FP202" s="438"/>
      <c r="FQ202" s="447"/>
      <c r="FR202" s="438"/>
      <c r="FS202" s="438"/>
    </row>
    <row r="203" spans="1:176" s="529" customFormat="1" ht="12.75" hidden="1" customHeight="1" outlineLevel="1" x14ac:dyDescent="0.2">
      <c r="A203" s="446" t="s">
        <v>128</v>
      </c>
      <c r="B203" s="543"/>
      <c r="C203" s="532"/>
      <c r="D203" s="543"/>
      <c r="E203" s="532"/>
      <c r="F203" s="543"/>
      <c r="G203" s="532"/>
      <c r="H203" s="543"/>
      <c r="I203" s="532"/>
      <c r="J203" s="543"/>
      <c r="K203" s="532"/>
      <c r="L203" s="543"/>
      <c r="M203" s="532"/>
      <c r="N203" s="543"/>
      <c r="O203" s="532"/>
      <c r="P203" s="543"/>
      <c r="Q203" s="532"/>
      <c r="R203" s="543"/>
      <c r="S203" s="532"/>
      <c r="T203" s="543"/>
      <c r="U203" s="532"/>
      <c r="V203" s="543"/>
      <c r="W203" s="532"/>
      <c r="X203" s="543"/>
      <c r="Y203" s="532"/>
      <c r="Z203" s="543"/>
      <c r="AA203" s="532"/>
      <c r="AB203" s="543"/>
      <c r="AC203" s="532"/>
      <c r="AD203" s="543"/>
      <c r="AE203" s="532"/>
      <c r="AF203" s="543"/>
      <c r="AG203" s="532"/>
      <c r="AH203" s="543"/>
      <c r="AI203" s="531"/>
      <c r="AJ203" s="543"/>
      <c r="AK203" s="531"/>
      <c r="AL203" s="543"/>
      <c r="AM203" s="531"/>
      <c r="AN203" s="543"/>
      <c r="AO203" s="531"/>
      <c r="AP203" s="543"/>
      <c r="AQ203" s="531"/>
      <c r="AR203" s="543"/>
      <c r="AS203" s="531"/>
      <c r="AT203" s="543"/>
      <c r="AU203" s="531"/>
      <c r="AV203" s="543"/>
      <c r="AW203" s="531"/>
      <c r="AX203" s="543"/>
      <c r="AY203" s="531"/>
      <c r="AZ203" s="543"/>
      <c r="BA203" s="531"/>
      <c r="BB203" s="543"/>
      <c r="BC203" s="531"/>
      <c r="BD203" s="543"/>
      <c r="BE203" s="531"/>
      <c r="BF203" s="543"/>
      <c r="BG203" s="531"/>
      <c r="BH203" s="543"/>
      <c r="BI203" s="531"/>
      <c r="BJ203" s="543"/>
      <c r="BK203" s="531"/>
      <c r="BL203" s="543"/>
      <c r="BM203" s="531"/>
      <c r="BN203" s="543"/>
      <c r="BO203" s="531"/>
      <c r="BP203" s="543"/>
      <c r="BQ203" s="531"/>
      <c r="BR203" s="543"/>
      <c r="BS203" s="531"/>
      <c r="BT203" s="543"/>
      <c r="BU203" s="531"/>
      <c r="BV203" s="543"/>
      <c r="BW203" s="531"/>
      <c r="BX203" s="543"/>
      <c r="BY203" s="531"/>
      <c r="BZ203" s="543"/>
      <c r="CA203" s="531"/>
      <c r="CB203" s="543"/>
      <c r="CC203" s="531"/>
      <c r="CD203" s="543"/>
      <c r="CE203" s="531"/>
      <c r="CF203" s="543"/>
      <c r="CG203" s="531"/>
      <c r="CH203" s="543"/>
      <c r="CI203" s="531"/>
      <c r="CJ203" s="543"/>
      <c r="CK203" s="531"/>
      <c r="CL203" s="543"/>
      <c r="CM203" s="531"/>
      <c r="CN203" s="543"/>
      <c r="CO203" s="531"/>
      <c r="CP203" s="543"/>
      <c r="CQ203" s="531"/>
      <c r="CR203" s="543"/>
      <c r="CS203" s="531"/>
      <c r="CT203" s="543"/>
      <c r="CU203" s="531"/>
      <c r="CV203" s="543"/>
      <c r="CW203" s="531"/>
      <c r="CX203" s="543"/>
      <c r="CY203" s="531"/>
      <c r="CZ203" s="543"/>
      <c r="DA203" s="531"/>
      <c r="DB203" s="543"/>
      <c r="DC203" s="531"/>
      <c r="DD203" s="543"/>
      <c r="DE203" s="531"/>
      <c r="DF203" s="543"/>
      <c r="DG203" s="531"/>
      <c r="DH203" s="543"/>
      <c r="DI203" s="531"/>
      <c r="DJ203" s="543"/>
      <c r="DK203" s="531"/>
      <c r="DL203" s="543"/>
      <c r="DM203" s="531"/>
      <c r="DN203" s="543"/>
      <c r="DO203" s="531"/>
      <c r="DP203" s="543"/>
      <c r="DQ203" s="531"/>
      <c r="DR203" s="543"/>
      <c r="DS203" s="531"/>
      <c r="DT203" s="543"/>
      <c r="DU203" s="531"/>
      <c r="DV203" s="543"/>
      <c r="DW203" s="531"/>
      <c r="DX203" s="543"/>
      <c r="DY203" s="531"/>
      <c r="DZ203" s="543"/>
      <c r="EA203" s="531"/>
      <c r="EB203" s="532"/>
      <c r="EC203" s="543"/>
      <c r="ED203" s="532"/>
      <c r="EE203" s="543"/>
      <c r="EF203" s="532"/>
      <c r="EG203" s="543"/>
      <c r="EH203" s="532"/>
      <c r="EI203" s="543"/>
      <c r="EJ203" s="531"/>
      <c r="EK203" s="543"/>
      <c r="EL203" s="531"/>
      <c r="EM203" s="543"/>
      <c r="EN203" s="531"/>
      <c r="EO203" s="543"/>
      <c r="EP203" s="531"/>
      <c r="EQ203" s="543"/>
      <c r="ER203" s="531"/>
      <c r="ES203" s="543"/>
      <c r="ET203" s="531"/>
      <c r="EU203" s="543"/>
      <c r="EV203" s="531"/>
      <c r="EW203" s="543"/>
      <c r="EX203" s="531"/>
      <c r="EY203" s="543"/>
      <c r="EZ203" s="531"/>
      <c r="FA203" s="543"/>
      <c r="FB203" s="531"/>
      <c r="FC203" s="543"/>
      <c r="FD203" s="531"/>
      <c r="FE203" s="543"/>
      <c r="FF203" s="531"/>
      <c r="FG203" s="543"/>
      <c r="FH203" s="531"/>
      <c r="FI203" s="543"/>
      <c r="FJ203" s="531"/>
      <c r="FK203" s="543"/>
      <c r="FL203" s="531"/>
      <c r="FM203" s="543"/>
      <c r="FN203" s="531"/>
      <c r="FO203" s="543"/>
      <c r="FP203" s="531"/>
      <c r="FQ203" s="543"/>
      <c r="FR203" s="531"/>
      <c r="FS203" s="531"/>
    </row>
    <row r="204" spans="1:176" s="529" customFormat="1" ht="12.75" hidden="1" customHeight="1" outlineLevel="1" x14ac:dyDescent="0.2">
      <c r="A204" s="441" t="str">
        <f>+INPUT!B187</f>
        <v>Premiums</v>
      </c>
      <c r="B204" s="449">
        <f>+INPUT!AA187</f>
        <v>14</v>
      </c>
      <c r="C204" s="439">
        <f>+INPUT!AB187</f>
        <v>75</v>
      </c>
      <c r="D204" s="449">
        <f>+INPUT!AC187</f>
        <v>8</v>
      </c>
      <c r="E204" s="439" t="str">
        <f>+INPUT!AD187</f>
        <v>NM</v>
      </c>
      <c r="F204" s="449">
        <f>+INPUT!AE187</f>
        <v>1</v>
      </c>
      <c r="G204" s="439" t="str">
        <f>+INPUT!AF187</f>
        <v>NM</v>
      </c>
      <c r="H204" s="449">
        <f>+INPUT!AG187</f>
        <v>6</v>
      </c>
      <c r="I204" s="439" t="str">
        <f>+INPUT!AH187</f>
        <v>NM</v>
      </c>
      <c r="J204" s="449">
        <f>+INPUT!AI187</f>
        <v>12</v>
      </c>
      <c r="K204" s="439">
        <f>+INPUT!AJ187</f>
        <v>-14.285714285714292</v>
      </c>
      <c r="L204" s="449">
        <f>+INPUT!AK187</f>
        <v>27</v>
      </c>
      <c r="M204" s="439" t="str">
        <f>+INPUT!AL187</f>
        <v>NM</v>
      </c>
      <c r="N204" s="449">
        <f>+INPUT!AM187</f>
        <v>43</v>
      </c>
      <c r="O204" s="439" t="str">
        <f>+INPUT!AN187</f>
        <v>NM</v>
      </c>
      <c r="P204" s="449">
        <f>+INPUT!AO187</f>
        <v>11</v>
      </c>
      <c r="Q204" s="439">
        <f>+INPUT!AP187</f>
        <v>83.333333333333314</v>
      </c>
      <c r="R204" s="449">
        <f>+INPUT!AQ187</f>
        <v>41</v>
      </c>
      <c r="S204" s="439" t="str">
        <f>+INPUT!AR187</f>
        <v>NM</v>
      </c>
      <c r="T204" s="449">
        <f>+INPUT!AS187</f>
        <v>103</v>
      </c>
      <c r="U204" s="439" t="str">
        <f>+INPUT!AT187</f>
        <v>NM</v>
      </c>
      <c r="V204" s="449">
        <f>+INPUT!AU187</f>
        <v>106</v>
      </c>
      <c r="W204" s="439" t="str">
        <f>+INPUT!AV187</f>
        <v>NM</v>
      </c>
      <c r="X204" s="449">
        <f>+INPUT!AW187</f>
        <v>70</v>
      </c>
      <c r="Y204" s="439" t="str">
        <f>+INPUT!AX187</f>
        <v>NM</v>
      </c>
      <c r="Z204" s="449">
        <f>+INPUT!AY187</f>
        <v>92</v>
      </c>
      <c r="AA204" s="439" t="str">
        <f>+INPUT!AZ187</f>
        <v>NM</v>
      </c>
      <c r="AB204" s="449">
        <f>+INPUT!BA187</f>
        <v>30</v>
      </c>
      <c r="AC204" s="439" t="str">
        <f>+INPUT!BB187</f>
        <v>NM</v>
      </c>
      <c r="AD204" s="449">
        <f>+INPUT!BC187</f>
        <v>84</v>
      </c>
      <c r="AE204" s="439">
        <f>+INPUT!BD187</f>
        <v>-20.754716981132077</v>
      </c>
      <c r="AF204" s="449">
        <f>+INPUT!BE187</f>
        <v>88</v>
      </c>
      <c r="AG204" s="439">
        <f>+INPUT!BF187</f>
        <v>25.714285714285708</v>
      </c>
      <c r="AH204" s="449">
        <f>+INPUT!BG187</f>
        <v>96</v>
      </c>
      <c r="AI204" s="438">
        <f>+INPUT!BH187</f>
        <v>4.3478260869565162</v>
      </c>
      <c r="AJ204" s="449">
        <f>+INPUT!BI187</f>
        <v>71</v>
      </c>
      <c r="AK204" s="438" t="str">
        <f>+INPUT!BJ187</f>
        <v>NM</v>
      </c>
      <c r="AL204" s="449">
        <f>+INPUT!BK187</f>
        <v>88</v>
      </c>
      <c r="AM204" s="438">
        <f>+INPUT!BL187</f>
        <v>4.7619047619047734</v>
      </c>
      <c r="AN204" s="449">
        <f>+INPUT!BM187</f>
        <v>74</v>
      </c>
      <c r="AO204" s="438">
        <f>+INPUT!BN187</f>
        <v>-15.909090909090907</v>
      </c>
      <c r="AP204" s="449">
        <f>+INPUT!BO187</f>
        <v>200</v>
      </c>
      <c r="AQ204" s="438" t="str">
        <f>+INPUT!BP187</f>
        <v>NM</v>
      </c>
      <c r="AR204" s="449">
        <f>+INPUT!BQ187</f>
        <v>138</v>
      </c>
      <c r="AS204" s="438">
        <f>+INPUT!BR187</f>
        <v>94.366197183098592</v>
      </c>
      <c r="AT204" s="449">
        <f>+INPUT!BS187</f>
        <v>57</v>
      </c>
      <c r="AU204" s="438">
        <f>+INPUT!BT187</f>
        <v>-35.227272727272734</v>
      </c>
      <c r="AV204" s="449">
        <f>+INPUT!BU187</f>
        <v>195</v>
      </c>
      <c r="AW204" s="438" t="str">
        <f>+INPUT!BV187</f>
        <v>NM</v>
      </c>
      <c r="AX204" s="449">
        <f>+INPUT!BW187</f>
        <v>158</v>
      </c>
      <c r="AY204" s="438">
        <f>+INPUT!BX187</f>
        <v>-21</v>
      </c>
      <c r="AZ204" s="449">
        <f>+INPUT!BY187</f>
        <v>245</v>
      </c>
      <c r="BA204" s="438">
        <f>+INPUT!BZ187</f>
        <v>77.536231884057969</v>
      </c>
      <c r="BB204" s="449">
        <f>+INPUT!CA187</f>
        <v>90</v>
      </c>
      <c r="BC204" s="438">
        <f>+INPUT!CB187</f>
        <v>57.89473684210526</v>
      </c>
      <c r="BD204" s="449">
        <f>+INPUT!CC187</f>
        <v>109</v>
      </c>
      <c r="BE204" s="438">
        <f>+INPUT!CD187</f>
        <v>-44.102564102564102</v>
      </c>
      <c r="BF204" s="449">
        <f>+INPUT!CE187</f>
        <v>109</v>
      </c>
      <c r="BG204" s="438">
        <f>+INPUT!CF187</f>
        <v>-31.012658227848107</v>
      </c>
      <c r="BH204" s="449">
        <f>+INPUT!CG187</f>
        <v>348</v>
      </c>
      <c r="BI204" s="438">
        <f>+INPUT!CH187</f>
        <v>42.040816326530603</v>
      </c>
      <c r="BJ204" s="449">
        <f>+INPUT!CI187</f>
        <v>351</v>
      </c>
      <c r="BK204" s="438" t="str">
        <f>+INPUT!CJ187</f>
        <v>NM</v>
      </c>
      <c r="BL204" s="449">
        <f>+INPUT!CK187</f>
        <v>258</v>
      </c>
      <c r="BM204" s="438" t="str">
        <f>+INPUT!CL187</f>
        <v>NM</v>
      </c>
      <c r="BN204" s="449">
        <f>+INPUT!CM187</f>
        <v>172</v>
      </c>
      <c r="BO204" s="438">
        <f>+INPUT!CN187</f>
        <v>57.798165137614689</v>
      </c>
      <c r="BP204" s="449">
        <f>+INPUT!CO187</f>
        <v>213</v>
      </c>
      <c r="BQ204" s="438">
        <f>+INPUT!CP187</f>
        <v>-38.793103448275865</v>
      </c>
      <c r="BR204" s="449">
        <f>+INPUT!CQ187</f>
        <v>162</v>
      </c>
      <c r="BS204" s="438" t="str">
        <f>+INPUT!CR187</f>
        <v>NM</v>
      </c>
      <c r="BT204" s="449">
        <f>+INPUT!CS187</f>
        <v>233</v>
      </c>
      <c r="BU204" s="438">
        <f>+INPUT!CT187</f>
        <v>-9.6899224806201545</v>
      </c>
      <c r="BV204" s="449">
        <f>+INPUT!CU187</f>
        <v>89</v>
      </c>
      <c r="BW204" s="438">
        <f>+INPUT!CV187</f>
        <v>-48.255813953488371</v>
      </c>
      <c r="BX204" s="449">
        <f>+INPUT!CW187</f>
        <v>221</v>
      </c>
      <c r="BY204" s="438">
        <f>+INPUT!CX187</f>
        <v>3.7558685446009434</v>
      </c>
      <c r="BZ204" s="449">
        <f>+INPUT!CY187</f>
        <v>137</v>
      </c>
      <c r="CA204" s="438">
        <f>+INPUT!CZ187</f>
        <v>-15.432098765432102</v>
      </c>
      <c r="CB204" s="449">
        <f>+INPUT!DA187</f>
        <v>31955</v>
      </c>
      <c r="CC204" s="438" t="str">
        <f>+INPUT!DB187</f>
        <v>NM</v>
      </c>
      <c r="CD204" s="449">
        <f>+INPUT!DC187</f>
        <v>121</v>
      </c>
      <c r="CE204" s="438">
        <f>+INPUT!DD187</f>
        <v>35.955056179775283</v>
      </c>
      <c r="CF204" s="449">
        <f>+INPUT!DE187</f>
        <v>227</v>
      </c>
      <c r="CG204" s="438">
        <f>+INPUT!DF187</f>
        <v>2.7149321266968229</v>
      </c>
      <c r="CH204" s="449">
        <f>+INPUT!DG187</f>
        <v>250</v>
      </c>
      <c r="CI204" s="438">
        <f>+INPUT!DH187</f>
        <v>82.481751824817508</v>
      </c>
      <c r="CJ204" s="449">
        <f>+INPUT!DI187</f>
        <v>302</v>
      </c>
      <c r="CK204" s="438" t="str">
        <f>+INPUT!DJ187</f>
        <v>NM</v>
      </c>
      <c r="CL204" s="449">
        <f>+INPUT!DK187</f>
        <v>168</v>
      </c>
      <c r="CM204" s="438" t="str">
        <f>+INPUT!DL187</f>
        <v>NM</v>
      </c>
      <c r="CN204" s="449">
        <f>+INPUT!DM187</f>
        <v>173</v>
      </c>
      <c r="CO204" s="438">
        <f>+INPUT!DN187</f>
        <v>-23.788546255506603</v>
      </c>
      <c r="CP204" s="449">
        <f>+INPUT!DO187</f>
        <v>1110</v>
      </c>
      <c r="CQ204" s="438" t="str">
        <f>+INPUT!DP187</f>
        <v>NM</v>
      </c>
      <c r="CR204" s="449">
        <f>+INPUT!DQ187</f>
        <v>5345</v>
      </c>
      <c r="CS204" s="438" t="str">
        <f>+INPUT!DR187</f>
        <v>NM</v>
      </c>
      <c r="CT204" s="449">
        <f>+INPUT!DS187</f>
        <v>1184</v>
      </c>
      <c r="CU204" s="438" t="str">
        <f>+INPUT!DT187</f>
        <v>NM</v>
      </c>
      <c r="CV204" s="449">
        <f>+INPUT!DU187</f>
        <v>1908</v>
      </c>
      <c r="CW204" s="438" t="str">
        <f>+INPUT!DV187</f>
        <v>NM</v>
      </c>
      <c r="CX204" s="449">
        <f>+INPUT!DW187</f>
        <v>660</v>
      </c>
      <c r="CY204" s="438">
        <f>+INPUT!DX187</f>
        <v>-40.54054054054054</v>
      </c>
      <c r="CZ204" s="449">
        <f>+INPUT!DY187</f>
        <v>2976</v>
      </c>
      <c r="DA204" s="438">
        <f>+INPUT!DZ187</f>
        <v>-44.321796071094475</v>
      </c>
      <c r="DB204" s="449">
        <f>+INPUT!EA187</f>
        <v>639</v>
      </c>
      <c r="DC204" s="438">
        <f>+INPUT!EB187</f>
        <v>-46.030405405405403</v>
      </c>
      <c r="DD204" s="449">
        <f>+INPUT!EC187</f>
        <v>974</v>
      </c>
      <c r="DE204" s="438">
        <f>+INPUT!ED187</f>
        <v>-48.951781970649897</v>
      </c>
      <c r="DF204" s="449">
        <f>+INPUT!EE187</f>
        <v>3752</v>
      </c>
      <c r="DG204" s="438" t="str">
        <f>+INPUT!EF187</f>
        <v>NM</v>
      </c>
      <c r="DH204" s="449">
        <f>+INPUT!EG187</f>
        <v>2214</v>
      </c>
      <c r="DI204" s="438">
        <f>+INPUT!EH187</f>
        <v>-25.604838709677423</v>
      </c>
      <c r="DJ204" s="449">
        <f>+INPUT!EI187</f>
        <v>512</v>
      </c>
      <c r="DK204" s="438">
        <f>+INPUT!EJ187</f>
        <v>-19.87480438184663</v>
      </c>
      <c r="DL204" s="449">
        <f>+INPUT!EK187</f>
        <v>2233</v>
      </c>
      <c r="DM204" s="438" t="str">
        <f>+INPUT!EL187</f>
        <v>NM</v>
      </c>
      <c r="DN204" s="449">
        <f>+INPUT!EM187</f>
        <v>1920</v>
      </c>
      <c r="DO204" s="438">
        <f>+INPUT!EN187</f>
        <v>-48.827292110874197</v>
      </c>
      <c r="DP204" s="449">
        <f>+INPUT!EO187</f>
        <v>3613</v>
      </c>
      <c r="DQ204" s="438">
        <f>+INPUT!EP187</f>
        <v>63.188798554652209</v>
      </c>
      <c r="DR204" s="449">
        <f>+INPUT!EQ187</f>
        <v>1958.4</v>
      </c>
      <c r="DS204" s="438" t="str">
        <f>+INPUT!ER187</f>
        <v>NM</v>
      </c>
      <c r="DT204" s="449">
        <f>+INPUT!ES187</f>
        <v>1977.9840000000002</v>
      </c>
      <c r="DU204" s="438">
        <f>+INPUT!ET187</f>
        <v>-11.420331392745169</v>
      </c>
      <c r="DV204" s="449">
        <f>+INPUT!EU187</f>
        <v>1997.7638400000001</v>
      </c>
      <c r="DW204" s="438">
        <f>+INPUT!EV187</f>
        <v>4.0502000000000038</v>
      </c>
      <c r="DX204" s="449">
        <f>+INPUT!EW187</f>
        <v>2017.7414784</v>
      </c>
      <c r="DY204" s="438">
        <f>+INPUT!EX187</f>
        <v>-44.15329425961805</v>
      </c>
      <c r="DZ204" s="449"/>
      <c r="EA204" s="438"/>
      <c r="EB204" s="439" t="str">
        <f>+INPUT!FI187</f>
        <v>NM</v>
      </c>
      <c r="EC204" s="449">
        <f>+INPUT!FJ187</f>
        <v>77</v>
      </c>
      <c r="ED204" s="439" t="str">
        <f>+INPUT!FK187</f>
        <v>NM</v>
      </c>
      <c r="EE204" s="449">
        <f>+INPUT!FL187</f>
        <v>29</v>
      </c>
      <c r="EF204" s="439" t="str">
        <f>+INPUT!FM187</f>
        <v>NM</v>
      </c>
      <c r="EG204" s="449">
        <f>+INPUT!FN187</f>
        <v>93</v>
      </c>
      <c r="EH204" s="439" t="str">
        <f>+INPUT!FO187</f>
        <v>NM</v>
      </c>
      <c r="EI204" s="449">
        <f>+INPUT!FP187</f>
        <v>320</v>
      </c>
      <c r="EJ204" s="438" t="str">
        <f>+INPUT!FQ187</f>
        <v>NM</v>
      </c>
      <c r="EK204" s="449">
        <f>+INPUT!FR187</f>
        <v>294</v>
      </c>
      <c r="EL204" s="438">
        <f>+INPUT!FS187</f>
        <v>-8.125</v>
      </c>
      <c r="EM204" s="449">
        <f>+INPUT!FT187</f>
        <v>329</v>
      </c>
      <c r="EN204" s="438">
        <f>+INPUT!FU187</f>
        <v>11.904761904761912</v>
      </c>
      <c r="EO204" s="449">
        <f>+INPUT!FV187</f>
        <v>590</v>
      </c>
      <c r="EP204" s="438">
        <f>+INPUT!FW187</f>
        <v>79.331306990881473</v>
      </c>
      <c r="EQ204" s="449">
        <f>+INPUT!FX187</f>
        <v>602</v>
      </c>
      <c r="ER204" s="438">
        <f>+INPUT!FY187</f>
        <v>2.0338983050847332</v>
      </c>
      <c r="ES204" s="449">
        <f>+INPUT!FZ187</f>
        <v>1066</v>
      </c>
      <c r="ET204" s="438">
        <f>+INPUT!GA187</f>
        <v>77.076411960132873</v>
      </c>
      <c r="EU204" s="449">
        <f>+INPUT!GB187</f>
        <v>780</v>
      </c>
      <c r="EV204" s="438">
        <f>+INPUT!GC187</f>
        <v>-26.829268292682926</v>
      </c>
      <c r="EW204" s="449">
        <f>+INPUT!GD187</f>
        <v>32402</v>
      </c>
      <c r="EX204" s="438" t="str">
        <f>+INPUT!GE187</f>
        <v>NM</v>
      </c>
      <c r="EY204" s="449">
        <f>+INPUT!GF187</f>
        <v>900</v>
      </c>
      <c r="EZ204" s="438" t="str">
        <f>+INPUT!GG187</f>
        <v>NM</v>
      </c>
      <c r="FA204" s="449">
        <f>+INPUT!GH187</f>
        <v>6796</v>
      </c>
      <c r="FB204" s="438" t="str">
        <f>+INPUT!GI187</f>
        <v>NM</v>
      </c>
      <c r="FC204" s="449">
        <f>+INPUT!GJ187</f>
        <v>6728</v>
      </c>
      <c r="FD204" s="438">
        <f>+INPUT!GK187</f>
        <v>-1.0005885815185422</v>
      </c>
      <c r="FE204" s="449">
        <f>+INPUT!GL187</f>
        <v>7579</v>
      </c>
      <c r="FF204" s="438">
        <f>+INPUT!GM187</f>
        <v>12.648632580261591</v>
      </c>
      <c r="FG204" s="449">
        <f>+INPUT!GN187</f>
        <v>8278</v>
      </c>
      <c r="FH204" s="438">
        <f>+INPUT!GO187</f>
        <v>9.2228526190790205</v>
      </c>
      <c r="FI204" s="449">
        <f>+INPUT!GP187</f>
        <v>7951.8893183999999</v>
      </c>
      <c r="FJ204" s="438">
        <f>+INPUT!GQ187</f>
        <v>-3.9394863686880939</v>
      </c>
      <c r="FK204" s="449">
        <f>+INPUT!GR187</f>
        <v>8349.4837843200003</v>
      </c>
      <c r="FL204" s="438">
        <f>+INPUT!GS187</f>
        <v>5</v>
      </c>
      <c r="FM204" s="449">
        <f>+INPUT!GT187</f>
        <v>8766.9579735360003</v>
      </c>
      <c r="FN204" s="438">
        <f>+INPUT!GU187</f>
        <v>5</v>
      </c>
      <c r="FO204" s="449">
        <f>+INPUT!GV187</f>
        <v>9205.3058722128008</v>
      </c>
      <c r="FP204" s="438">
        <f>+INPUT!GW187</f>
        <v>5</v>
      </c>
      <c r="FQ204" s="449">
        <f>+INPUT!GX187</f>
        <v>9665.5711658234413</v>
      </c>
      <c r="FR204" s="438">
        <f>+INPUT!GY187</f>
        <v>5</v>
      </c>
      <c r="FS204" s="438">
        <f>+INPUT!GZ187</f>
        <v>3.1479070303813028</v>
      </c>
    </row>
    <row r="205" spans="1:176" s="529" customFormat="1" ht="12.75" hidden="1" customHeight="1" outlineLevel="1" x14ac:dyDescent="0.2">
      <c r="A205" s="441" t="str">
        <f>+INPUT!B188</f>
        <v>Policy Charges and Fee Income</v>
      </c>
      <c r="B205" s="449">
        <f>+INPUT!AA188</f>
        <v>18</v>
      </c>
      <c r="C205" s="439">
        <f>+INPUT!AB188</f>
        <v>-5.2631578947368496</v>
      </c>
      <c r="D205" s="449">
        <f>+INPUT!AC188</f>
        <v>19</v>
      </c>
      <c r="E205" s="439">
        <f>+INPUT!AD188</f>
        <v>0</v>
      </c>
      <c r="F205" s="449">
        <f>+INPUT!AE188</f>
        <v>17</v>
      </c>
      <c r="G205" s="439">
        <f>+INPUT!AF188</f>
        <v>13.333333333333329</v>
      </c>
      <c r="H205" s="449">
        <f>+INPUT!AG188</f>
        <v>18</v>
      </c>
      <c r="I205" s="439">
        <f>+INPUT!AH188</f>
        <v>0</v>
      </c>
      <c r="J205" s="449">
        <f>+INPUT!AI188</f>
        <v>18</v>
      </c>
      <c r="K205" s="439">
        <f>+INPUT!AJ188</f>
        <v>0</v>
      </c>
      <c r="L205" s="449">
        <f>+INPUT!AK188</f>
        <v>47</v>
      </c>
      <c r="M205" s="439" t="str">
        <f>+INPUT!AL188</f>
        <v>NM</v>
      </c>
      <c r="N205" s="449">
        <f>+INPUT!AM188</f>
        <v>43</v>
      </c>
      <c r="O205" s="439" t="str">
        <f>+INPUT!AN188</f>
        <v>NM</v>
      </c>
      <c r="P205" s="449">
        <f>+INPUT!AO188</f>
        <v>47</v>
      </c>
      <c r="Q205" s="439" t="str">
        <f>+INPUT!AP188</f>
        <v>NM</v>
      </c>
      <c r="R205" s="449">
        <f>+INPUT!AQ188</f>
        <v>46</v>
      </c>
      <c r="S205" s="439" t="str">
        <f>+INPUT!AR188</f>
        <v>NM</v>
      </c>
      <c r="T205" s="449">
        <f>+INPUT!AS188</f>
        <v>48</v>
      </c>
      <c r="U205" s="439">
        <f>+INPUT!AT188</f>
        <v>2.1276595744680833</v>
      </c>
      <c r="V205" s="449">
        <f>+INPUT!AU188</f>
        <v>46</v>
      </c>
      <c r="W205" s="439">
        <f>+INPUT!AV188</f>
        <v>6.9767441860465027</v>
      </c>
      <c r="X205" s="449">
        <f>+INPUT!AW188</f>
        <v>48</v>
      </c>
      <c r="Y205" s="439">
        <f>+INPUT!AX188</f>
        <v>2.1276595744680833</v>
      </c>
      <c r="Z205" s="449">
        <f>+INPUT!AY188</f>
        <v>48</v>
      </c>
      <c r="AA205" s="439">
        <f>+INPUT!AZ188</f>
        <v>4.3478260869565162</v>
      </c>
      <c r="AB205" s="449">
        <f>+INPUT!BA188</f>
        <v>43</v>
      </c>
      <c r="AC205" s="439">
        <f>+INPUT!BB188</f>
        <v>-10.416666666666657</v>
      </c>
      <c r="AD205" s="449">
        <f>+INPUT!BC188</f>
        <v>45</v>
      </c>
      <c r="AE205" s="439">
        <f>+INPUT!BD188</f>
        <v>-2.1739130434782652</v>
      </c>
      <c r="AF205" s="449">
        <f>+INPUT!BE188</f>
        <v>43</v>
      </c>
      <c r="AG205" s="439">
        <f>+INPUT!BF188</f>
        <v>-10.416666666666657</v>
      </c>
      <c r="AH205" s="449">
        <f>+INPUT!BG188</f>
        <v>44</v>
      </c>
      <c r="AI205" s="438">
        <f>+INPUT!BH188</f>
        <v>-8.3333333333333428</v>
      </c>
      <c r="AJ205" s="449">
        <f>+INPUT!BI188</f>
        <v>44</v>
      </c>
      <c r="AK205" s="438">
        <f>+INPUT!BJ188</f>
        <v>2.3255813953488484</v>
      </c>
      <c r="AL205" s="449">
        <f>+INPUT!BK188</f>
        <v>40</v>
      </c>
      <c r="AM205" s="438">
        <f>+INPUT!BL188</f>
        <v>-11.111111111111114</v>
      </c>
      <c r="AN205" s="449">
        <f>+INPUT!BM188</f>
        <v>44</v>
      </c>
      <c r="AO205" s="438">
        <f>+INPUT!BN188</f>
        <v>2.3255813953488484</v>
      </c>
      <c r="AP205" s="449">
        <f>+INPUT!BO188</f>
        <v>43</v>
      </c>
      <c r="AQ205" s="438">
        <f>+INPUT!BP188</f>
        <v>-2.2727272727272663</v>
      </c>
      <c r="AR205" s="449">
        <f>+INPUT!BQ188</f>
        <v>46</v>
      </c>
      <c r="AS205" s="438">
        <f>+INPUT!BR188</f>
        <v>4.5454545454545467</v>
      </c>
      <c r="AT205" s="449">
        <f>+INPUT!BS188</f>
        <v>45</v>
      </c>
      <c r="AU205" s="438">
        <f>+INPUT!BT188</f>
        <v>12.5</v>
      </c>
      <c r="AV205" s="449">
        <f>+INPUT!BU188</f>
        <v>46</v>
      </c>
      <c r="AW205" s="438">
        <f>+INPUT!BV188</f>
        <v>4.5454545454545467</v>
      </c>
      <c r="AX205" s="449">
        <f>+INPUT!BW188</f>
        <v>49</v>
      </c>
      <c r="AY205" s="438">
        <f>+INPUT!BX188</f>
        <v>13.95348837209302</v>
      </c>
      <c r="AZ205" s="449">
        <f>+INPUT!BY188</f>
        <v>49</v>
      </c>
      <c r="BA205" s="438">
        <f>+INPUT!BZ188</f>
        <v>6.5217391304347956</v>
      </c>
      <c r="BB205" s="449">
        <f>+INPUT!CA188</f>
        <v>48</v>
      </c>
      <c r="BC205" s="438">
        <f>+INPUT!CB188</f>
        <v>6.6666666666666714</v>
      </c>
      <c r="BD205" s="449">
        <f>+INPUT!CC188</f>
        <v>52</v>
      </c>
      <c r="BE205" s="438">
        <f>+INPUT!CD188</f>
        <v>13.043478260869563</v>
      </c>
      <c r="BF205" s="449">
        <f>+INPUT!CE188</f>
        <v>53</v>
      </c>
      <c r="BG205" s="438">
        <f>+INPUT!CF188</f>
        <v>8.1632653061224545</v>
      </c>
      <c r="BH205" s="449">
        <f>+INPUT!CG188</f>
        <v>48</v>
      </c>
      <c r="BI205" s="438">
        <f>+INPUT!CH188</f>
        <v>-2.0408163265306172</v>
      </c>
      <c r="BJ205" s="449">
        <f>+INPUT!CI188</f>
        <v>50</v>
      </c>
      <c r="BK205" s="438">
        <f>+INPUT!CJ188</f>
        <v>4.1666666666666714</v>
      </c>
      <c r="BL205" s="449">
        <f>+INPUT!CK188</f>
        <v>50</v>
      </c>
      <c r="BM205" s="438">
        <f>+INPUT!CL188</f>
        <v>-3.8461538461538396</v>
      </c>
      <c r="BN205" s="449">
        <f>+INPUT!CM188</f>
        <v>49</v>
      </c>
      <c r="BO205" s="438">
        <f>+INPUT!CN188</f>
        <v>-7.5471698113207566</v>
      </c>
      <c r="BP205" s="449">
        <f>+INPUT!CO188</f>
        <v>45</v>
      </c>
      <c r="BQ205" s="438">
        <f>+INPUT!CP188</f>
        <v>-6.25</v>
      </c>
      <c r="BR205" s="449">
        <f>+INPUT!CQ188</f>
        <v>50</v>
      </c>
      <c r="BS205" s="438">
        <f>+INPUT!CR188</f>
        <v>0</v>
      </c>
      <c r="BT205" s="449">
        <f>+INPUT!CS188</f>
        <v>49</v>
      </c>
      <c r="BU205" s="438">
        <f>+INPUT!CT188</f>
        <v>-2</v>
      </c>
      <c r="BV205" s="449">
        <f>+INPUT!CU188</f>
        <v>50</v>
      </c>
      <c r="BW205" s="438">
        <f>+INPUT!CV188</f>
        <v>2.0408163265306172</v>
      </c>
      <c r="BX205" s="449">
        <f>+INPUT!CW188</f>
        <v>50</v>
      </c>
      <c r="BY205" s="438">
        <f>+INPUT!CX188</f>
        <v>11.111111111111114</v>
      </c>
      <c r="BZ205" s="449">
        <f>+INPUT!CY188</f>
        <v>53</v>
      </c>
      <c r="CA205" s="438">
        <f>+INPUT!CZ188</f>
        <v>6</v>
      </c>
      <c r="CB205" s="449">
        <f>+INPUT!DA188</f>
        <v>49</v>
      </c>
      <c r="CC205" s="438">
        <f>+INPUT!DB188</f>
        <v>0</v>
      </c>
      <c r="CD205" s="449">
        <f>+INPUT!DC188</f>
        <v>48</v>
      </c>
      <c r="CE205" s="438">
        <f>+INPUT!DD188</f>
        <v>-4</v>
      </c>
      <c r="CF205" s="449">
        <f>+INPUT!DE188</f>
        <v>54</v>
      </c>
      <c r="CG205" s="438">
        <f>+INPUT!DF188</f>
        <v>8</v>
      </c>
      <c r="CH205" s="449">
        <f>+INPUT!DG188</f>
        <v>52</v>
      </c>
      <c r="CI205" s="438">
        <f>+INPUT!DH188</f>
        <v>-1.8867924528301927</v>
      </c>
      <c r="CJ205" s="449">
        <f>+INPUT!DI188</f>
        <v>53</v>
      </c>
      <c r="CK205" s="438">
        <f>+INPUT!DJ188</f>
        <v>8.1632653061224545</v>
      </c>
      <c r="CL205" s="449">
        <f>+INPUT!DK188</f>
        <v>53</v>
      </c>
      <c r="CM205" s="438">
        <f>+INPUT!DL188</f>
        <v>10.416666666666671</v>
      </c>
      <c r="CN205" s="449">
        <f>+INPUT!DM188</f>
        <v>55</v>
      </c>
      <c r="CO205" s="438">
        <f>+INPUT!DN188</f>
        <v>1.8518518518518619</v>
      </c>
      <c r="CP205" s="449">
        <f>+INPUT!DO188</f>
        <v>53</v>
      </c>
      <c r="CQ205" s="438">
        <f>+INPUT!DP188</f>
        <v>1.9230769230769198</v>
      </c>
      <c r="CR205" s="449">
        <f>+INPUT!DQ188</f>
        <v>56</v>
      </c>
      <c r="CS205" s="438">
        <f>+INPUT!DR188</f>
        <v>5.6603773584905639</v>
      </c>
      <c r="CT205" s="449">
        <f>+INPUT!DS188</f>
        <v>51</v>
      </c>
      <c r="CU205" s="438">
        <f>+INPUT!DT188</f>
        <v>-3.7735849056603712</v>
      </c>
      <c r="CV205" s="449">
        <f>+INPUT!DU188</f>
        <v>58</v>
      </c>
      <c r="CW205" s="438">
        <f>+INPUT!DV188</f>
        <v>5.454545454545439</v>
      </c>
      <c r="CX205" s="449">
        <f>+INPUT!DW188</f>
        <v>54</v>
      </c>
      <c r="CY205" s="438">
        <f>+INPUT!DX188</f>
        <v>1.8867924528301927</v>
      </c>
      <c r="CZ205" s="449">
        <f>+INPUT!DY188</f>
        <v>54</v>
      </c>
      <c r="DA205" s="438">
        <f>+INPUT!DZ188</f>
        <v>-3.5714285714285694</v>
      </c>
      <c r="DB205" s="449">
        <f>+INPUT!EA188</f>
        <v>55</v>
      </c>
      <c r="DC205" s="438">
        <f>+INPUT!EB188</f>
        <v>7.8431372549019613</v>
      </c>
      <c r="DD205" s="449">
        <f>+INPUT!EC188</f>
        <v>56</v>
      </c>
      <c r="DE205" s="438">
        <f>+INPUT!ED188</f>
        <v>-3.448275862068968</v>
      </c>
      <c r="DF205" s="449">
        <f>+INPUT!EE188</f>
        <v>56</v>
      </c>
      <c r="DG205" s="438">
        <f>+INPUT!EF188</f>
        <v>3.7037037037036953</v>
      </c>
      <c r="DH205" s="449">
        <f>+INPUT!EG188</f>
        <v>61</v>
      </c>
      <c r="DI205" s="438">
        <f>+INPUT!EH188</f>
        <v>12.962962962962948</v>
      </c>
      <c r="DJ205" s="449">
        <f>+INPUT!EI188</f>
        <v>58</v>
      </c>
      <c r="DK205" s="438">
        <f>+INPUT!EJ188</f>
        <v>5.454545454545439</v>
      </c>
      <c r="DL205" s="449">
        <f>+INPUT!EK188</f>
        <v>59</v>
      </c>
      <c r="DM205" s="438">
        <f>+INPUT!EL188</f>
        <v>5.3571428571428612</v>
      </c>
      <c r="DN205" s="449">
        <f>+INPUT!EM188</f>
        <v>61</v>
      </c>
      <c r="DO205" s="438">
        <f>+INPUT!EN188</f>
        <v>8.9285714285714164</v>
      </c>
      <c r="DP205" s="449">
        <f>+INPUT!EO188</f>
        <v>60</v>
      </c>
      <c r="DQ205" s="438">
        <f>+INPUT!EP188</f>
        <v>-1.6393442622950829</v>
      </c>
      <c r="DR205" s="449">
        <f>+INPUT!EQ188</f>
        <v>60.839231743878443</v>
      </c>
      <c r="DS205" s="438">
        <f>+INPUT!ER188</f>
        <v>4.8952271446180049</v>
      </c>
      <c r="DT205" s="449">
        <f>+INPUT!ES188</f>
        <v>61.054408798537025</v>
      </c>
      <c r="DU205" s="438">
        <f>+INPUT!ET188</f>
        <v>3.482048811079693</v>
      </c>
      <c r="DV205" s="449">
        <f>+INPUT!EU188</f>
        <v>61.694497269558688</v>
      </c>
      <c r="DW205" s="438">
        <f>+INPUT!EV188</f>
        <v>1.1385201140306407</v>
      </c>
      <c r="DX205" s="449">
        <f>+INPUT!EW188</f>
        <v>62.341496047306443</v>
      </c>
      <c r="DY205" s="438">
        <f>+INPUT!EX188</f>
        <v>3.9024934121774066</v>
      </c>
      <c r="DZ205" s="449"/>
      <c r="EA205" s="438"/>
      <c r="EB205" s="439">
        <f>+INPUT!FI188</f>
        <v>2.564102564102555</v>
      </c>
      <c r="EC205" s="449">
        <f>+INPUT!FJ188</f>
        <v>71</v>
      </c>
      <c r="ED205" s="439">
        <f>+INPUT!FK188</f>
        <v>-11.25</v>
      </c>
      <c r="EE205" s="449">
        <f>+INPUT!FL188</f>
        <v>72</v>
      </c>
      <c r="EF205" s="439">
        <f>+INPUT!FM188</f>
        <v>1.4084507042253449</v>
      </c>
      <c r="EG205" s="449">
        <f>+INPUT!FN188</f>
        <v>155</v>
      </c>
      <c r="EH205" s="439" t="str">
        <f>+INPUT!FO188</f>
        <v>NM</v>
      </c>
      <c r="EI205" s="449">
        <f>+INPUT!FP188</f>
        <v>188</v>
      </c>
      <c r="EJ205" s="438">
        <f>+INPUT!FQ188</f>
        <v>21.290322580645153</v>
      </c>
      <c r="EK205" s="449">
        <f>+INPUT!FR188</f>
        <v>179</v>
      </c>
      <c r="EL205" s="438">
        <f>+INPUT!FS188</f>
        <v>-4.7872340425531945</v>
      </c>
      <c r="EM205" s="449">
        <f>+INPUT!FT188</f>
        <v>172</v>
      </c>
      <c r="EN205" s="438">
        <f>+INPUT!FU188</f>
        <v>-3.910614525139664</v>
      </c>
      <c r="EO205" s="449">
        <f>+INPUT!FV188</f>
        <v>180</v>
      </c>
      <c r="EP205" s="438">
        <f>+INPUT!FW188</f>
        <v>4.6511627906976827</v>
      </c>
      <c r="EQ205" s="449">
        <f>+INPUT!FX188</f>
        <v>198</v>
      </c>
      <c r="ER205" s="438">
        <f>+INPUT!FY188</f>
        <v>10.000000000000014</v>
      </c>
      <c r="ES205" s="449">
        <f>+INPUT!FZ188</f>
        <v>201</v>
      </c>
      <c r="ET205" s="438">
        <f>+INPUT!GA188</f>
        <v>1.5151515151515156</v>
      </c>
      <c r="EU205" s="449">
        <f>+INPUT!GB188</f>
        <v>193</v>
      </c>
      <c r="EV205" s="438">
        <f>+INPUT!GC188</f>
        <v>-3.9800995024875618</v>
      </c>
      <c r="EW205" s="449">
        <f>+INPUT!GD188</f>
        <v>202</v>
      </c>
      <c r="EX205" s="438">
        <f>+INPUT!GE188</f>
        <v>4.6632124352331488</v>
      </c>
      <c r="EY205" s="449">
        <f>+INPUT!GF188</f>
        <v>207</v>
      </c>
      <c r="EZ205" s="438">
        <f>+INPUT!GG188</f>
        <v>2.4752475247524757</v>
      </c>
      <c r="FA205" s="449">
        <f>+INPUT!GH188</f>
        <v>217</v>
      </c>
      <c r="FB205" s="438">
        <f>+INPUT!GI188</f>
        <v>4.8309178743961354</v>
      </c>
      <c r="FC205" s="449">
        <f>+INPUT!GJ188</f>
        <v>217</v>
      </c>
      <c r="FD205" s="438">
        <f>+INPUT!GK188</f>
        <v>0</v>
      </c>
      <c r="FE205" s="449">
        <f>+INPUT!GL188</f>
        <v>228</v>
      </c>
      <c r="FF205" s="438">
        <f>+INPUT!GM188</f>
        <v>5.0691244239631175</v>
      </c>
      <c r="FG205" s="449">
        <f>+INPUT!GN188</f>
        <v>238</v>
      </c>
      <c r="FH205" s="438">
        <f>+INPUT!GO188</f>
        <v>4.3859649122806985</v>
      </c>
      <c r="FI205" s="449">
        <f>+INPUT!GP188</f>
        <v>245.92963385928059</v>
      </c>
      <c r="FJ205" s="438">
        <f>+INPUT!GQ188</f>
        <v>3.3317789324708258</v>
      </c>
      <c r="FK205" s="449">
        <f>+INPUT!GR188</f>
        <v>254.35334237091953</v>
      </c>
      <c r="FL205" s="438">
        <f>+INPUT!GS188</f>
        <v>3.4252515158295012</v>
      </c>
      <c r="FM205" s="449">
        <f>+INPUT!GT188</f>
        <v>264.54300873276446</v>
      </c>
      <c r="FN205" s="438">
        <f>+INPUT!GU188</f>
        <v>4.0061067280906713</v>
      </c>
      <c r="FO205" s="449">
        <f>+INPUT!GV188</f>
        <v>275.1485376536499</v>
      </c>
      <c r="FP205" s="438">
        <f>+INPUT!GW188</f>
        <v>4.0089998868951113</v>
      </c>
      <c r="FQ205" s="449">
        <f>+INPUT!GX188</f>
        <v>286.18719386608268</v>
      </c>
      <c r="FR205" s="438">
        <f>+INPUT!GY188</f>
        <v>4.0118898346928518</v>
      </c>
      <c r="FS205" s="438">
        <f>+INPUT!GZ188</f>
        <v>3.7563410085366788</v>
      </c>
    </row>
    <row r="206" spans="1:176" s="529" customFormat="1" ht="12.75" hidden="1" customHeight="1" outlineLevel="1" x14ac:dyDescent="0.2">
      <c r="A206" s="441" t="str">
        <f>+INPUT!B189</f>
        <v>Net Investment Income</v>
      </c>
      <c r="B206" s="449">
        <f>+INPUT!AA189</f>
        <v>517</v>
      </c>
      <c r="C206" s="439">
        <f>+INPUT!AB189</f>
        <v>2.9880478087649323</v>
      </c>
      <c r="D206" s="449">
        <f>+INPUT!AC189</f>
        <v>515</v>
      </c>
      <c r="E206" s="439">
        <f>+INPUT!AD189</f>
        <v>-4.9815498154981555</v>
      </c>
      <c r="F206" s="449">
        <f>+INPUT!AE189</f>
        <v>498</v>
      </c>
      <c r="G206" s="439">
        <f>+INPUT!AF189</f>
        <v>-3.3009708737864116</v>
      </c>
      <c r="H206" s="449">
        <f>+INPUT!AG189</f>
        <v>513</v>
      </c>
      <c r="I206" s="439">
        <f>+INPUT!AH189</f>
        <v>-0.38834951456310307</v>
      </c>
      <c r="J206" s="449">
        <f>+INPUT!AI189</f>
        <v>506</v>
      </c>
      <c r="K206" s="439">
        <f>+INPUT!AJ189</f>
        <v>-2.1276595744680833</v>
      </c>
      <c r="L206" s="449">
        <f>+INPUT!AK189</f>
        <v>684</v>
      </c>
      <c r="M206" s="439">
        <f>+INPUT!AL189</f>
        <v>32.815533980582529</v>
      </c>
      <c r="N206" s="449">
        <f>+INPUT!AM189</f>
        <v>705</v>
      </c>
      <c r="O206" s="439">
        <f>+INPUT!AN189</f>
        <v>41.566265060240966</v>
      </c>
      <c r="P206" s="449">
        <f>+INPUT!AO189</f>
        <v>717</v>
      </c>
      <c r="Q206" s="439">
        <f>+INPUT!AP189</f>
        <v>39.766081871345023</v>
      </c>
      <c r="R206" s="449">
        <f>+INPUT!AQ189</f>
        <v>742</v>
      </c>
      <c r="S206" s="439">
        <f>+INPUT!AR189</f>
        <v>46.640316205533594</v>
      </c>
      <c r="T206" s="449">
        <f>+INPUT!AS189</f>
        <v>747</v>
      </c>
      <c r="U206" s="439">
        <f>+INPUT!AT189</f>
        <v>9.2105263157894655</v>
      </c>
      <c r="V206" s="449">
        <f>+INPUT!AU189</f>
        <v>774</v>
      </c>
      <c r="W206" s="439">
        <f>+INPUT!AV189</f>
        <v>9.7872340425531945</v>
      </c>
      <c r="X206" s="449">
        <f>+INPUT!AW189</f>
        <v>787</v>
      </c>
      <c r="Y206" s="439">
        <f>+INPUT!AX189</f>
        <v>9.7629009762900836</v>
      </c>
      <c r="Z206" s="449">
        <f>+INPUT!AY189</f>
        <v>798</v>
      </c>
      <c r="AA206" s="439">
        <f>+INPUT!AZ189</f>
        <v>7.5471698113207566</v>
      </c>
      <c r="AB206" s="449">
        <f>+INPUT!BA189</f>
        <v>857</v>
      </c>
      <c r="AC206" s="439">
        <f>+INPUT!BB189</f>
        <v>14.725568942436411</v>
      </c>
      <c r="AD206" s="449">
        <f>+INPUT!BC189</f>
        <v>866</v>
      </c>
      <c r="AE206" s="439">
        <f>+INPUT!BD189</f>
        <v>11.886304909560735</v>
      </c>
      <c r="AF206" s="449">
        <f>+INPUT!BE189</f>
        <v>904</v>
      </c>
      <c r="AG206" s="439">
        <f>+INPUT!BF189</f>
        <v>14.866581956797972</v>
      </c>
      <c r="AH206" s="449">
        <f>+INPUT!BG189</f>
        <v>894</v>
      </c>
      <c r="AI206" s="438">
        <f>+INPUT!BH189</f>
        <v>12.030075187969928</v>
      </c>
      <c r="AJ206" s="449">
        <f>+INPUT!BI189</f>
        <v>909</v>
      </c>
      <c r="AK206" s="438">
        <f>+INPUT!BJ189</f>
        <v>6.0676779463243946</v>
      </c>
      <c r="AL206" s="449">
        <f>+INPUT!BK189</f>
        <v>934</v>
      </c>
      <c r="AM206" s="438">
        <f>+INPUT!BL189</f>
        <v>7.8521939953810573</v>
      </c>
      <c r="AN206" s="449">
        <f>+INPUT!BM189</f>
        <v>939</v>
      </c>
      <c r="AO206" s="438">
        <f>+INPUT!BN189</f>
        <v>3.8716814159292028</v>
      </c>
      <c r="AP206" s="449">
        <f>+INPUT!BO189</f>
        <v>893</v>
      </c>
      <c r="AQ206" s="438">
        <f>+INPUT!BP189</f>
        <v>-0.1118568232662227</v>
      </c>
      <c r="AR206" s="449">
        <f>+INPUT!BQ189</f>
        <v>885</v>
      </c>
      <c r="AS206" s="438">
        <f>+INPUT!BR189</f>
        <v>-2.6402640264026331</v>
      </c>
      <c r="AT206" s="449">
        <f>+INPUT!BS189</f>
        <v>883</v>
      </c>
      <c r="AU206" s="438">
        <f>+INPUT!BT189</f>
        <v>-5.4603854389721533</v>
      </c>
      <c r="AV206" s="449">
        <f>+INPUT!BU189</f>
        <v>903</v>
      </c>
      <c r="AW206" s="438">
        <f>+INPUT!BV189</f>
        <v>-3.8338658146964946</v>
      </c>
      <c r="AX206" s="449">
        <f>+INPUT!BW189</f>
        <v>861</v>
      </c>
      <c r="AY206" s="438">
        <f>+INPUT!BX189</f>
        <v>-3.5834266517357207</v>
      </c>
      <c r="AZ206" s="449">
        <f>+INPUT!BY189</f>
        <v>831</v>
      </c>
      <c r="BA206" s="438">
        <f>+INPUT!BZ189</f>
        <v>-6.1016949152542423</v>
      </c>
      <c r="BB206" s="449">
        <f>+INPUT!CA189</f>
        <v>815</v>
      </c>
      <c r="BC206" s="438">
        <f>+INPUT!CB189</f>
        <v>-7.7010192525481358</v>
      </c>
      <c r="BD206" s="449">
        <f>+INPUT!CC189</f>
        <v>802</v>
      </c>
      <c r="BE206" s="438">
        <f>+INPUT!CD189</f>
        <v>-11.184939091915837</v>
      </c>
      <c r="BF206" s="449">
        <f>+INPUT!CE189</f>
        <v>797</v>
      </c>
      <c r="BG206" s="438">
        <f>+INPUT!CF189</f>
        <v>-7.4332171893147603</v>
      </c>
      <c r="BH206" s="449">
        <f>+INPUT!CG189</f>
        <v>805</v>
      </c>
      <c r="BI206" s="438">
        <f>+INPUT!CH189</f>
        <v>-3.1287605294825482</v>
      </c>
      <c r="BJ206" s="449">
        <f>+INPUT!CI189</f>
        <v>815</v>
      </c>
      <c r="BK206" s="438">
        <f>+INPUT!CJ189</f>
        <v>0</v>
      </c>
      <c r="BL206" s="449">
        <f>+INPUT!CK189</f>
        <v>821</v>
      </c>
      <c r="BM206" s="438">
        <f>+INPUT!CL189</f>
        <v>2.3690773067331747</v>
      </c>
      <c r="BN206" s="449">
        <f>+INPUT!CM189</f>
        <v>805</v>
      </c>
      <c r="BO206" s="438">
        <f>+INPUT!CN189</f>
        <v>1.0037641154328867</v>
      </c>
      <c r="BP206" s="449">
        <f>+INPUT!CO189</f>
        <v>805</v>
      </c>
      <c r="BQ206" s="438">
        <f>+INPUT!CP189</f>
        <v>0</v>
      </c>
      <c r="BR206" s="449">
        <f>+INPUT!CQ189</f>
        <v>786</v>
      </c>
      <c r="BS206" s="438">
        <f>+INPUT!CR189</f>
        <v>-3.5582822085889632</v>
      </c>
      <c r="BT206" s="449">
        <f>+INPUT!CS189</f>
        <v>782</v>
      </c>
      <c r="BU206" s="438">
        <f>+INPUT!CT189</f>
        <v>-4.7503045066991376</v>
      </c>
      <c r="BV206" s="449">
        <f>+INPUT!CU189</f>
        <v>779</v>
      </c>
      <c r="BW206" s="438">
        <f>+INPUT!CV189</f>
        <v>-3.2298136645962643</v>
      </c>
      <c r="BX206" s="449">
        <f>+INPUT!CW189</f>
        <v>777</v>
      </c>
      <c r="BY206" s="438">
        <f>+INPUT!CX189</f>
        <v>-3.4782608695652186</v>
      </c>
      <c r="BZ206" s="449">
        <f>+INPUT!CY189</f>
        <v>767</v>
      </c>
      <c r="CA206" s="438">
        <f>+INPUT!CZ189</f>
        <v>-2.4173027989821918</v>
      </c>
      <c r="CB206" s="449">
        <f>+INPUT!DA189</f>
        <v>880</v>
      </c>
      <c r="CC206" s="438">
        <f>+INPUT!DB189</f>
        <v>12.531969309462923</v>
      </c>
      <c r="CD206" s="449">
        <f>+INPUT!DC189</f>
        <v>966</v>
      </c>
      <c r="CE206" s="438">
        <f>+INPUT!DD189</f>
        <v>24.005134788189991</v>
      </c>
      <c r="CF206" s="449">
        <f>+INPUT!DE189</f>
        <v>1035</v>
      </c>
      <c r="CG206" s="438">
        <f>+INPUT!DF189</f>
        <v>33.204633204633211</v>
      </c>
      <c r="CH206" s="449">
        <f>+INPUT!DG189</f>
        <v>1005</v>
      </c>
      <c r="CI206" s="438">
        <f>+INPUT!DH189</f>
        <v>31.02998696219035</v>
      </c>
      <c r="CJ206" s="449">
        <f>+INPUT!DI189</f>
        <v>1061</v>
      </c>
      <c r="CK206" s="438">
        <f>+INPUT!DJ189</f>
        <v>20.568181818181813</v>
      </c>
      <c r="CL206" s="449">
        <f>+INPUT!DK189</f>
        <v>1087</v>
      </c>
      <c r="CM206" s="438">
        <f>+INPUT!DL189</f>
        <v>12.525879917184255</v>
      </c>
      <c r="CN206" s="449">
        <f>+INPUT!DM189</f>
        <v>1019</v>
      </c>
      <c r="CO206" s="438">
        <f>+INPUT!DN189</f>
        <v>-1.5458937198067702</v>
      </c>
      <c r="CP206" s="449">
        <f>+INPUT!DO189</f>
        <v>1032</v>
      </c>
      <c r="CQ206" s="438">
        <f>+INPUT!DP189</f>
        <v>2.6865671641790954</v>
      </c>
      <c r="CR206" s="449">
        <f>+INPUT!DQ189</f>
        <v>1071</v>
      </c>
      <c r="CS206" s="438">
        <f>+INPUT!DR189</f>
        <v>0.94250706880301038</v>
      </c>
      <c r="CT206" s="449">
        <f>+INPUT!DS189</f>
        <v>1041</v>
      </c>
      <c r="CU206" s="438">
        <f>+INPUT!DT189</f>
        <v>-4.231830726770923</v>
      </c>
      <c r="CV206" s="449">
        <f>+INPUT!DU189</f>
        <v>1007</v>
      </c>
      <c r="CW206" s="438">
        <f>+INPUT!DV189</f>
        <v>-1.1776251226692835</v>
      </c>
      <c r="CX206" s="449">
        <f>+INPUT!DW189</f>
        <v>1029</v>
      </c>
      <c r="CY206" s="438">
        <f>+INPUT!DX189</f>
        <v>-0.29069767441860961</v>
      </c>
      <c r="CZ206" s="449">
        <f>+INPUT!DY189</f>
        <v>1005</v>
      </c>
      <c r="DA206" s="438">
        <f>+INPUT!DZ189</f>
        <v>-6.1624649859944043</v>
      </c>
      <c r="DB206" s="449">
        <f>+INPUT!EA189</f>
        <v>1019</v>
      </c>
      <c r="DC206" s="438">
        <f>+INPUT!EB189</f>
        <v>-2.1133525456291977</v>
      </c>
      <c r="DD206" s="449">
        <f>+INPUT!EC189</f>
        <v>1010</v>
      </c>
      <c r="DE206" s="438">
        <f>+INPUT!ED189</f>
        <v>0.29791459781529284</v>
      </c>
      <c r="DF206" s="449">
        <f>+INPUT!EE189</f>
        <v>1114</v>
      </c>
      <c r="DG206" s="438">
        <f>+INPUT!EF189</f>
        <v>8.2604470359572275</v>
      </c>
      <c r="DH206" s="449">
        <f>+INPUT!EG189</f>
        <v>1120</v>
      </c>
      <c r="DI206" s="438">
        <f>+INPUT!EH189</f>
        <v>11.442786069651746</v>
      </c>
      <c r="DJ206" s="449">
        <f>+INPUT!EI189</f>
        <v>1148</v>
      </c>
      <c r="DK206" s="438">
        <f>+INPUT!EJ189</f>
        <v>12.659470068694787</v>
      </c>
      <c r="DL206" s="449">
        <f>+INPUT!EK189</f>
        <v>1104</v>
      </c>
      <c r="DM206" s="438">
        <f>+INPUT!EL189</f>
        <v>9.3069306930693187</v>
      </c>
      <c r="DN206" s="449">
        <f>+INPUT!EM189</f>
        <v>1071</v>
      </c>
      <c r="DO206" s="438">
        <f>+INPUT!EN189</f>
        <v>-3.8599640933572772</v>
      </c>
      <c r="DP206" s="449">
        <f>+INPUT!EO189</f>
        <v>1159</v>
      </c>
      <c r="DQ206" s="438">
        <f>+INPUT!EP189</f>
        <v>3.4821428571428612</v>
      </c>
      <c r="DR206" s="449">
        <f>+INPUT!EQ189</f>
        <v>1117.0988380999997</v>
      </c>
      <c r="DS206" s="438">
        <f>+INPUT!ER189</f>
        <v>-2.6917388414634473</v>
      </c>
      <c r="DT206" s="449">
        <f>+INPUT!ES189</f>
        <v>1126.5941782238499</v>
      </c>
      <c r="DU206" s="438">
        <f>+INPUT!ET189</f>
        <v>2.0465741144791423</v>
      </c>
      <c r="DV206" s="449">
        <f>+INPUT!EU189</f>
        <v>1136.1702287387527</v>
      </c>
      <c r="DW206" s="438">
        <f>+INPUT!EV189</f>
        <v>6.0849886777546942</v>
      </c>
      <c r="DX206" s="449">
        <f>+INPUT!EW189</f>
        <v>1145.8276756830319</v>
      </c>
      <c r="DY206" s="438">
        <f>+INPUT!EX189</f>
        <v>-1.1365249626374521</v>
      </c>
      <c r="DZ206" s="449"/>
      <c r="EA206" s="438"/>
      <c r="EB206" s="439">
        <f>+INPUT!FI189</f>
        <v>-6.8920676202860847</v>
      </c>
      <c r="EC206" s="449">
        <f>+INPUT!FJ189</f>
        <v>2074</v>
      </c>
      <c r="ED206" s="439">
        <f>+INPUT!FK189</f>
        <v>-3.4450651769087557</v>
      </c>
      <c r="EE206" s="449">
        <f>+INPUT!FL189</f>
        <v>2043</v>
      </c>
      <c r="EF206" s="439">
        <f>+INPUT!FM189</f>
        <v>-1.4946962391513949</v>
      </c>
      <c r="EG206" s="449">
        <f>+INPUT!FN189</f>
        <v>2612</v>
      </c>
      <c r="EH206" s="439">
        <f>+INPUT!FO189</f>
        <v>27.851199216837983</v>
      </c>
      <c r="EI206" s="449">
        <f>+INPUT!FP189</f>
        <v>3050</v>
      </c>
      <c r="EJ206" s="438">
        <f>+INPUT!FQ189</f>
        <v>16.768759571209799</v>
      </c>
      <c r="EK206" s="449">
        <f>+INPUT!FR189</f>
        <v>3425</v>
      </c>
      <c r="EL206" s="438">
        <f>+INPUT!FS189</f>
        <v>12.295081967213122</v>
      </c>
      <c r="EM206" s="449">
        <f>+INPUT!FT189</f>
        <v>3676</v>
      </c>
      <c r="EN206" s="438">
        <f>+INPUT!FU189</f>
        <v>7.3284671532846772</v>
      </c>
      <c r="EO206" s="449">
        <f>+INPUT!FV189</f>
        <v>3564</v>
      </c>
      <c r="EP206" s="438">
        <f>+INPUT!FW189</f>
        <v>-3.0467899891186079</v>
      </c>
      <c r="EQ206" s="449">
        <f>+INPUT!FX189</f>
        <v>3309</v>
      </c>
      <c r="ER206" s="438">
        <f>+INPUT!FY189</f>
        <v>-7.1548821548821593</v>
      </c>
      <c r="ES206" s="449">
        <f>+INPUT!FZ189</f>
        <v>3238</v>
      </c>
      <c r="ET206" s="438">
        <f>+INPUT!GA189</f>
        <v>-2.1456633423995157</v>
      </c>
      <c r="EU206" s="449">
        <f>+INPUT!GB189</f>
        <v>3178</v>
      </c>
      <c r="EV206" s="438">
        <f>+INPUT!GC189</f>
        <v>-1.8529956763434114</v>
      </c>
      <c r="EW206" s="449">
        <f>+INPUT!GD189</f>
        <v>3203</v>
      </c>
      <c r="EX206" s="438">
        <f>+INPUT!GE189</f>
        <v>0.78665827564505264</v>
      </c>
      <c r="EY206" s="449">
        <f>+INPUT!GF189</f>
        <v>4067</v>
      </c>
      <c r="EZ206" s="438">
        <f>+INPUT!GG189</f>
        <v>26.974711208242269</v>
      </c>
      <c r="FA206" s="449">
        <f>+INPUT!GH189</f>
        <v>4209</v>
      </c>
      <c r="FB206" s="438">
        <f>+INPUT!GI189</f>
        <v>3.491517088763203</v>
      </c>
      <c r="FC206" s="449">
        <f>+INPUT!GJ189</f>
        <v>4082</v>
      </c>
      <c r="FD206" s="438">
        <f>+INPUT!GK189</f>
        <v>-3.0173437871228259</v>
      </c>
      <c r="FE206" s="449">
        <f>+INPUT!GL189</f>
        <v>4263</v>
      </c>
      <c r="FF206" s="438">
        <f>+INPUT!GM189</f>
        <v>4.4341009309162018</v>
      </c>
      <c r="FG206" s="449">
        <f>+INPUT!GN189</f>
        <v>4482</v>
      </c>
      <c r="FH206" s="438">
        <f>+INPUT!GO189</f>
        <v>5.1372273047149974</v>
      </c>
      <c r="FI206" s="449">
        <f>+INPUT!GP189</f>
        <v>4525.6909207456338</v>
      </c>
      <c r="FJ206" s="438">
        <f>+INPUT!GQ189</f>
        <v>0.97480858423992345</v>
      </c>
      <c r="FK206" s="449">
        <f>+INPUT!GR189</f>
        <v>4658.9594413265295</v>
      </c>
      <c r="FL206" s="438">
        <f>+INPUT!GS189</f>
        <v>2.9447110488698343</v>
      </c>
      <c r="FM206" s="449">
        <f>+INPUT!GT189</f>
        <v>4796.0585226025432</v>
      </c>
      <c r="FN206" s="438">
        <f>+INPUT!GU189</f>
        <v>2.9426974628690346</v>
      </c>
      <c r="FO206" s="449">
        <f>+INPUT!GV189</f>
        <v>4937.0945842911533</v>
      </c>
      <c r="FP206" s="438">
        <f>+INPUT!GW189</f>
        <v>2.940665986954599</v>
      </c>
      <c r="FQ206" s="449">
        <f>+INPUT!GX189</f>
        <v>5082.1768545224595</v>
      </c>
      <c r="FR206" s="438">
        <f>+INPUT!GY189</f>
        <v>2.9386163816453603</v>
      </c>
      <c r="FS206" s="438">
        <f>+INPUT!GZ189</f>
        <v>2.5452585348770151</v>
      </c>
    </row>
    <row r="207" spans="1:176" s="529" customFormat="1" ht="12.75" hidden="1" customHeight="1" outlineLevel="1" x14ac:dyDescent="0.2">
      <c r="A207" s="441" t="str">
        <f>+INPUT!B190</f>
        <v>Commissions, Fees and Other Income</v>
      </c>
      <c r="B207" s="449">
        <f>+INPUT!AA190</f>
        <v>32</v>
      </c>
      <c r="C207" s="439">
        <f>+INPUT!AB190</f>
        <v>-8.5714285714285694</v>
      </c>
      <c r="D207" s="449">
        <f>+INPUT!AC190</f>
        <v>31</v>
      </c>
      <c r="E207" s="439">
        <f>+INPUT!AD190</f>
        <v>-11.428571428571431</v>
      </c>
      <c r="F207" s="449">
        <f>+INPUT!AE190</f>
        <v>35</v>
      </c>
      <c r="G207" s="439">
        <f>+INPUT!AF190</f>
        <v>0</v>
      </c>
      <c r="H207" s="449">
        <f>+INPUT!AG190</f>
        <v>39</v>
      </c>
      <c r="I207" s="439">
        <f>+INPUT!AH190</f>
        <v>21.875</v>
      </c>
      <c r="J207" s="449">
        <f>+INPUT!AI190</f>
        <v>41</v>
      </c>
      <c r="K207" s="439">
        <f>+INPUT!AJ190</f>
        <v>28.125</v>
      </c>
      <c r="L207" s="449">
        <f>+INPUT!AK190</f>
        <v>95</v>
      </c>
      <c r="M207" s="439" t="str">
        <f>+INPUT!AL190</f>
        <v>NM</v>
      </c>
      <c r="N207" s="449">
        <f>+INPUT!AM190</f>
        <v>109</v>
      </c>
      <c r="O207" s="439" t="str">
        <f>+INPUT!AN190</f>
        <v>NM</v>
      </c>
      <c r="P207" s="449">
        <f>+INPUT!AO190</f>
        <v>120</v>
      </c>
      <c r="Q207" s="439" t="str">
        <f>+INPUT!AP190</f>
        <v>NM</v>
      </c>
      <c r="R207" s="449">
        <f>+INPUT!AQ190</f>
        <v>114</v>
      </c>
      <c r="S207" s="439" t="str">
        <f>+INPUT!AR190</f>
        <v>NM</v>
      </c>
      <c r="T207" s="449">
        <f>+INPUT!AS190</f>
        <v>114</v>
      </c>
      <c r="U207" s="439">
        <f>+INPUT!AT190</f>
        <v>20</v>
      </c>
      <c r="V207" s="449">
        <f>+INPUT!AU190</f>
        <v>121</v>
      </c>
      <c r="W207" s="439">
        <f>+INPUT!AV190</f>
        <v>11.0091743119266</v>
      </c>
      <c r="X207" s="449">
        <f>+INPUT!AW190</f>
        <v>118</v>
      </c>
      <c r="Y207" s="439">
        <f>+INPUT!AX190</f>
        <v>-1.6666666666666714</v>
      </c>
      <c r="Z207" s="449">
        <f>+INPUT!AY190</f>
        <v>116</v>
      </c>
      <c r="AA207" s="439">
        <f>+INPUT!AZ190</f>
        <v>1.7543859649122879</v>
      </c>
      <c r="AB207" s="449">
        <f>+INPUT!BA190</f>
        <v>120</v>
      </c>
      <c r="AC207" s="439">
        <f>+INPUT!BB190</f>
        <v>5.2631578947368354</v>
      </c>
      <c r="AD207" s="449">
        <f>+INPUT!BC190</f>
        <v>117</v>
      </c>
      <c r="AE207" s="439">
        <f>+INPUT!BD190</f>
        <v>-3.3057851239669418</v>
      </c>
      <c r="AF207" s="449">
        <f>+INPUT!BE190</f>
        <v>128</v>
      </c>
      <c r="AG207" s="439">
        <f>+INPUT!BF190</f>
        <v>8.4745762711864359</v>
      </c>
      <c r="AH207" s="449">
        <f>+INPUT!BG190</f>
        <v>129</v>
      </c>
      <c r="AI207" s="438">
        <f>+INPUT!BH190</f>
        <v>11.206896551724128</v>
      </c>
      <c r="AJ207" s="449">
        <f>+INPUT!BI190</f>
        <v>126</v>
      </c>
      <c r="AK207" s="438">
        <f>+INPUT!BJ190</f>
        <v>5</v>
      </c>
      <c r="AL207" s="449">
        <f>+INPUT!BK190</f>
        <v>133</v>
      </c>
      <c r="AM207" s="438">
        <f>+INPUT!BL190</f>
        <v>13.675213675213669</v>
      </c>
      <c r="AN207" s="449">
        <f>+INPUT!BM190</f>
        <v>143</v>
      </c>
      <c r="AO207" s="438">
        <f>+INPUT!BN190</f>
        <v>11.71875</v>
      </c>
      <c r="AP207" s="449">
        <f>+INPUT!BO190</f>
        <v>131</v>
      </c>
      <c r="AQ207" s="438">
        <f>+INPUT!BP190</f>
        <v>1.5503875968992276</v>
      </c>
      <c r="AR207" s="449">
        <f>+INPUT!BQ190</f>
        <v>138</v>
      </c>
      <c r="AS207" s="438">
        <f>+INPUT!BR190</f>
        <v>9.5238095238095326</v>
      </c>
      <c r="AT207" s="449">
        <f>+INPUT!BS190</f>
        <v>133</v>
      </c>
      <c r="AU207" s="438">
        <f>+INPUT!BT190</f>
        <v>0</v>
      </c>
      <c r="AV207" s="449">
        <f>+INPUT!BU190</f>
        <v>108</v>
      </c>
      <c r="AW207" s="438">
        <f>+INPUT!BV190</f>
        <v>-24.47552447552448</v>
      </c>
      <c r="AX207" s="449">
        <f>+INPUT!BW190</f>
        <v>115</v>
      </c>
      <c r="AY207" s="438">
        <f>+INPUT!BX190</f>
        <v>-12.213740458015266</v>
      </c>
      <c r="AZ207" s="449">
        <f>+INPUT!BY190</f>
        <v>117</v>
      </c>
      <c r="BA207" s="438">
        <f>+INPUT!BZ190</f>
        <v>-15.217391304347828</v>
      </c>
      <c r="BB207" s="449">
        <f>+INPUT!CA190</f>
        <v>147</v>
      </c>
      <c r="BC207" s="438">
        <f>+INPUT!CB190</f>
        <v>10.526315789473699</v>
      </c>
      <c r="BD207" s="449">
        <f>+INPUT!CC190</f>
        <v>171</v>
      </c>
      <c r="BE207" s="438">
        <f>+INPUT!CD190</f>
        <v>58.333333333333314</v>
      </c>
      <c r="BF207" s="449">
        <f>+INPUT!CE190</f>
        <v>170</v>
      </c>
      <c r="BG207" s="438">
        <f>+INPUT!CF190</f>
        <v>47.826086956521721</v>
      </c>
      <c r="BH207" s="449">
        <f>+INPUT!CG190</f>
        <v>169</v>
      </c>
      <c r="BI207" s="438">
        <f>+INPUT!CH190</f>
        <v>44.444444444444429</v>
      </c>
      <c r="BJ207" s="449">
        <f>+INPUT!CI190</f>
        <v>160</v>
      </c>
      <c r="BK207" s="438">
        <f>+INPUT!CJ190</f>
        <v>8.8435374149659935</v>
      </c>
      <c r="BL207" s="449">
        <f>+INPUT!CK190</f>
        <v>179</v>
      </c>
      <c r="BM207" s="438">
        <f>+INPUT!CL190</f>
        <v>4.6783625730994203</v>
      </c>
      <c r="BN207" s="449">
        <f>+INPUT!CM190</f>
        <v>180</v>
      </c>
      <c r="BO207" s="438">
        <f>+INPUT!CN190</f>
        <v>5.8823529411764781</v>
      </c>
      <c r="BP207" s="449">
        <f>+INPUT!CO190</f>
        <v>185</v>
      </c>
      <c r="BQ207" s="438">
        <f>+INPUT!CP190</f>
        <v>9.4674556213017809</v>
      </c>
      <c r="BR207" s="449">
        <f>+INPUT!CQ190</f>
        <v>173</v>
      </c>
      <c r="BS207" s="438">
        <f>+INPUT!CR190</f>
        <v>8.125</v>
      </c>
      <c r="BT207" s="449">
        <f>+INPUT!CS190</f>
        <v>182</v>
      </c>
      <c r="BU207" s="438">
        <f>+INPUT!CT190</f>
        <v>1.6759776536312785</v>
      </c>
      <c r="BV207" s="449">
        <f>+INPUT!CU190</f>
        <v>189</v>
      </c>
      <c r="BW207" s="438">
        <f>+INPUT!CV190</f>
        <v>5</v>
      </c>
      <c r="BX207" s="449">
        <f>+INPUT!CW190</f>
        <v>194</v>
      </c>
      <c r="BY207" s="438">
        <f>+INPUT!CX190</f>
        <v>4.864864864864856</v>
      </c>
      <c r="BZ207" s="449">
        <f>+INPUT!CY190</f>
        <v>205</v>
      </c>
      <c r="CA207" s="438">
        <f>+INPUT!CZ190</f>
        <v>18.497109826589593</v>
      </c>
      <c r="CB207" s="449">
        <f>+INPUT!DA190</f>
        <v>200</v>
      </c>
      <c r="CC207" s="438">
        <f>+INPUT!DB190</f>
        <v>9.8901098901098976</v>
      </c>
      <c r="CD207" s="449">
        <f>+INPUT!DC190</f>
        <v>201</v>
      </c>
      <c r="CE207" s="438">
        <f>+INPUT!DD190</f>
        <v>6.3492063492063551</v>
      </c>
      <c r="CF207" s="449">
        <f>+INPUT!DE190</f>
        <v>205</v>
      </c>
      <c r="CG207" s="438">
        <f>+INPUT!DF190</f>
        <v>5.6701030927835063</v>
      </c>
      <c r="CH207" s="449">
        <f>+INPUT!DG190</f>
        <v>218</v>
      </c>
      <c r="CI207" s="438">
        <f>+INPUT!DH190</f>
        <v>6.3414634146341484</v>
      </c>
      <c r="CJ207" s="449">
        <f>+INPUT!DI190</f>
        <v>230</v>
      </c>
      <c r="CK207" s="438">
        <f>+INPUT!DJ190</f>
        <v>14.999999999999986</v>
      </c>
      <c r="CL207" s="449">
        <f>+INPUT!DK190</f>
        <v>223</v>
      </c>
      <c r="CM207" s="438">
        <f>+INPUT!DL190</f>
        <v>10.945273631840791</v>
      </c>
      <c r="CN207" s="449">
        <f>+INPUT!DM190</f>
        <v>222</v>
      </c>
      <c r="CO207" s="438">
        <f>+INPUT!DN190</f>
        <v>8.2926829268292721</v>
      </c>
      <c r="CP207" s="449">
        <f>+INPUT!DO190</f>
        <v>202</v>
      </c>
      <c r="CQ207" s="438">
        <f>+INPUT!DP190</f>
        <v>-7.3394495412844094</v>
      </c>
      <c r="CR207" s="449">
        <f>+INPUT!DQ190</f>
        <v>208</v>
      </c>
      <c r="CS207" s="438">
        <f>+INPUT!DR190</f>
        <v>-9.5652173913043441</v>
      </c>
      <c r="CT207" s="449">
        <f>+INPUT!DS190</f>
        <v>202</v>
      </c>
      <c r="CU207" s="438">
        <f>+INPUT!DT190</f>
        <v>-9.4170403587444014</v>
      </c>
      <c r="CV207" s="449">
        <f>+INPUT!DU190</f>
        <v>207</v>
      </c>
      <c r="CW207" s="438">
        <f>+INPUT!DV190</f>
        <v>-6.7567567567567579</v>
      </c>
      <c r="CX207" s="449">
        <f>+INPUT!DW190</f>
        <v>194</v>
      </c>
      <c r="CY207" s="438">
        <f>+INPUT!DX190</f>
        <v>-3.9603960396039639</v>
      </c>
      <c r="CZ207" s="449">
        <f>+INPUT!DY190</f>
        <v>191</v>
      </c>
      <c r="DA207" s="438">
        <f>+INPUT!DZ190</f>
        <v>-8.173076923076934</v>
      </c>
      <c r="DB207" s="449">
        <f>+INPUT!EA190</f>
        <v>180</v>
      </c>
      <c r="DC207" s="438">
        <f>+INPUT!EB190</f>
        <v>-10.89108910891089</v>
      </c>
      <c r="DD207" s="449">
        <f>+INPUT!EC190</f>
        <v>201</v>
      </c>
      <c r="DE207" s="438">
        <f>+INPUT!ED190</f>
        <v>-2.8985507246376869</v>
      </c>
      <c r="DF207" s="449">
        <f>+INPUT!EE190</f>
        <v>212</v>
      </c>
      <c r="DG207" s="438">
        <f>+INPUT!EF190</f>
        <v>9.278350515463913</v>
      </c>
      <c r="DH207" s="449">
        <f>+INPUT!EG190</f>
        <v>213</v>
      </c>
      <c r="DI207" s="438">
        <f>+INPUT!EH190</f>
        <v>11.518324607329845</v>
      </c>
      <c r="DJ207" s="449">
        <f>+INPUT!EI190</f>
        <v>219</v>
      </c>
      <c r="DK207" s="438">
        <f>+INPUT!EJ190</f>
        <v>21.666666666666657</v>
      </c>
      <c r="DL207" s="449">
        <f>+INPUT!EK190</f>
        <v>211</v>
      </c>
      <c r="DM207" s="438">
        <f>+INPUT!EL190</f>
        <v>4.9751243781094558</v>
      </c>
      <c r="DN207" s="449">
        <f>+INPUT!EM190</f>
        <v>207</v>
      </c>
      <c r="DO207" s="438">
        <f>+INPUT!EN190</f>
        <v>-2.3584905660377444</v>
      </c>
      <c r="DP207" s="449">
        <f>+INPUT!EO190</f>
        <v>208</v>
      </c>
      <c r="DQ207" s="438">
        <f>+INPUT!EP190</f>
        <v>-2.3474178403755843</v>
      </c>
      <c r="DR207" s="449">
        <f>+INPUT!EQ190</f>
        <v>208.77324026501665</v>
      </c>
      <c r="DS207" s="438">
        <f>+INPUT!ER190</f>
        <v>-4.6697533036453649</v>
      </c>
      <c r="DT207" s="449">
        <f>+INPUT!ES190</f>
        <v>210.39377230818948</v>
      </c>
      <c r="DU207" s="438">
        <f>+INPUT!ET190</f>
        <v>-0.28731170227986524</v>
      </c>
      <c r="DV207" s="449">
        <f>+INPUT!EU190</f>
        <v>212.94636358729292</v>
      </c>
      <c r="DW207" s="438">
        <f>+INPUT!EV190</f>
        <v>2.8726394141511662</v>
      </c>
      <c r="DX207" s="449">
        <f>+INPUT!EW190</f>
        <v>215.52992404465039</v>
      </c>
      <c r="DY207" s="438">
        <f>+INPUT!EX190</f>
        <v>3.6201557906972965</v>
      </c>
      <c r="DZ207" s="449"/>
      <c r="EA207" s="438"/>
      <c r="EB207" s="439">
        <f>+INPUT!FI190</f>
        <v>-13.095238095238088</v>
      </c>
      <c r="EC207" s="449">
        <f>+INPUT!FJ190</f>
        <v>137</v>
      </c>
      <c r="ED207" s="439">
        <f>+INPUT!FK190</f>
        <v>-6.1643835616438309</v>
      </c>
      <c r="EE207" s="449">
        <f>+INPUT!FL190</f>
        <v>137</v>
      </c>
      <c r="EF207" s="439">
        <f>+INPUT!FM190</f>
        <v>0</v>
      </c>
      <c r="EG207" s="449">
        <f>+INPUT!FN190</f>
        <v>365</v>
      </c>
      <c r="EH207" s="439" t="str">
        <f>+INPUT!FO190</f>
        <v>NM</v>
      </c>
      <c r="EI207" s="449">
        <f>+INPUT!FP190</f>
        <v>467</v>
      </c>
      <c r="EJ207" s="438">
        <f>+INPUT!FQ190</f>
        <v>27.945205479452056</v>
      </c>
      <c r="EK207" s="449">
        <f>+INPUT!FR190</f>
        <v>481</v>
      </c>
      <c r="EL207" s="438">
        <f>+INPUT!FS190</f>
        <v>2.9978586723768785</v>
      </c>
      <c r="EM207" s="449">
        <f>+INPUT!FT190</f>
        <v>531</v>
      </c>
      <c r="EN207" s="438">
        <f>+INPUT!FU190</f>
        <v>10.395010395010388</v>
      </c>
      <c r="EO207" s="449">
        <f>+INPUT!FV190</f>
        <v>525</v>
      </c>
      <c r="EP207" s="438">
        <f>+INPUT!FW190</f>
        <v>-1.1299435028248581</v>
      </c>
      <c r="EQ207" s="449">
        <f>+INPUT!FX190</f>
        <v>550</v>
      </c>
      <c r="ER207" s="438">
        <f>+INPUT!FY190</f>
        <v>4.7619047619047734</v>
      </c>
      <c r="ES207" s="449">
        <f>+INPUT!FZ190</f>
        <v>678</v>
      </c>
      <c r="ET207" s="438">
        <f>+INPUT!GA190</f>
        <v>23.272727272727266</v>
      </c>
      <c r="EU207" s="449">
        <f>+INPUT!GB190</f>
        <v>720</v>
      </c>
      <c r="EV207" s="438">
        <f>+INPUT!GC190</f>
        <v>6.1946902654867415</v>
      </c>
      <c r="EW207" s="449">
        <f>+INPUT!GD190</f>
        <v>788</v>
      </c>
      <c r="EX207" s="438">
        <f>+INPUT!GE190</f>
        <v>9.4444444444444571</v>
      </c>
      <c r="EY207" s="449">
        <f>+INPUT!GF190</f>
        <v>854</v>
      </c>
      <c r="EZ207" s="438">
        <f>+INPUT!GG190</f>
        <v>8.3756345177664997</v>
      </c>
      <c r="FA207" s="449">
        <f>+INPUT!GH190</f>
        <v>855</v>
      </c>
      <c r="FB207" s="438">
        <f>+INPUT!GI190</f>
        <v>0.11709601873535291</v>
      </c>
      <c r="FC207" s="449">
        <f>+INPUT!GJ190</f>
        <v>794</v>
      </c>
      <c r="FD207" s="438">
        <f>+INPUT!GK190</f>
        <v>-7.1345029239765978</v>
      </c>
      <c r="FE207" s="449">
        <f>+INPUT!GL190</f>
        <v>806</v>
      </c>
      <c r="FF207" s="438">
        <f>+INPUT!GM190</f>
        <v>1.5113350125944578</v>
      </c>
      <c r="FG207" s="449">
        <f>+INPUT!GN190</f>
        <v>845</v>
      </c>
      <c r="FH207" s="438">
        <f>+INPUT!GO190</f>
        <v>4.8387096774193452</v>
      </c>
      <c r="FI207" s="449">
        <f>+INPUT!GP190</f>
        <v>847.64330020514944</v>
      </c>
      <c r="FJ207" s="438">
        <f>+INPUT!GQ190</f>
        <v>0.31281659232537606</v>
      </c>
      <c r="FK207" s="449">
        <f>+INPUT!GR190</f>
        <v>832.95175253290085</v>
      </c>
      <c r="FL207" s="438">
        <f>+INPUT!GS190</f>
        <v>-1.7332228861707364</v>
      </c>
      <c r="FM207" s="449">
        <f>+INPUT!GT190</f>
        <v>818.17404752316008</v>
      </c>
      <c r="FN207" s="438">
        <f>+INPUT!GU190</f>
        <v>-1.774136973096418</v>
      </c>
      <c r="FO207" s="449">
        <f>+INPUT!GV190</f>
        <v>800.37694113945861</v>
      </c>
      <c r="FP207" s="438">
        <f>+INPUT!GW190</f>
        <v>-2.1752225504558851</v>
      </c>
      <c r="FQ207" s="449">
        <f>+INPUT!GX190</f>
        <v>779.31849137958557</v>
      </c>
      <c r="FR207" s="438">
        <f>+INPUT!GY190</f>
        <v>-2.6310665234674531</v>
      </c>
      <c r="FS207" s="438">
        <f>+INPUT!GZ190</f>
        <v>-1.6053116647349541</v>
      </c>
    </row>
    <row r="208" spans="1:176" s="529" customFormat="1" ht="12.75" hidden="1" customHeight="1" outlineLevel="1" x14ac:dyDescent="0.2">
      <c r="A208" s="446" t="str">
        <f>+INPUT!B191</f>
        <v xml:space="preserve"> Total Revenues</v>
      </c>
      <c r="B208" s="449">
        <f>+INPUT!AA191</f>
        <v>581</v>
      </c>
      <c r="C208" s="439">
        <f>+INPUT!AB191</f>
        <v>3.0141843971631204</v>
      </c>
      <c r="D208" s="449">
        <f>+INPUT!AC191</f>
        <v>573</v>
      </c>
      <c r="E208" s="439">
        <f>+INPUT!AD191</f>
        <v>-7.1312803889789365</v>
      </c>
      <c r="F208" s="449">
        <f>+INPUT!AE191</f>
        <v>551</v>
      </c>
      <c r="G208" s="439">
        <f>+INPUT!AF191</f>
        <v>-4.1739130434782652</v>
      </c>
      <c r="H208" s="449">
        <f>+INPUT!AG191</f>
        <v>576</v>
      </c>
      <c r="I208" s="439">
        <f>+INPUT!AH191</f>
        <v>-4.4776119402985159</v>
      </c>
      <c r="J208" s="449">
        <f>+INPUT!AI191</f>
        <v>577</v>
      </c>
      <c r="K208" s="439">
        <f>+INPUT!AJ191</f>
        <v>-0.68846815834767483</v>
      </c>
      <c r="L208" s="449">
        <f>+INPUT!AK191</f>
        <v>853</v>
      </c>
      <c r="M208" s="439">
        <f>+INPUT!AL191</f>
        <v>48.865619546247814</v>
      </c>
      <c r="N208" s="449">
        <f>+INPUT!AM191</f>
        <v>900</v>
      </c>
      <c r="O208" s="439">
        <f>+INPUT!AN191</f>
        <v>63.339382940108891</v>
      </c>
      <c r="P208" s="449">
        <f>+INPUT!AO191</f>
        <v>895</v>
      </c>
      <c r="Q208" s="439">
        <f>+INPUT!AP191</f>
        <v>55.381944444444429</v>
      </c>
      <c r="R208" s="449">
        <f>+INPUT!AQ191</f>
        <v>943</v>
      </c>
      <c r="S208" s="439">
        <f>+INPUT!AR191</f>
        <v>63.431542461005193</v>
      </c>
      <c r="T208" s="449">
        <f>+INPUT!AS191</f>
        <v>1012</v>
      </c>
      <c r="U208" s="439">
        <f>+INPUT!AT191</f>
        <v>18.640093786635404</v>
      </c>
      <c r="V208" s="449">
        <f>+INPUT!AU191</f>
        <v>1047</v>
      </c>
      <c r="W208" s="439">
        <f>+INPUT!AV191</f>
        <v>16.333333333333329</v>
      </c>
      <c r="X208" s="449">
        <f>+INPUT!AW191</f>
        <v>1023</v>
      </c>
      <c r="Y208" s="439">
        <f>+INPUT!AX191</f>
        <v>14.301675977653645</v>
      </c>
      <c r="Z208" s="449">
        <f>+INPUT!AY191</f>
        <v>1054</v>
      </c>
      <c r="AA208" s="439">
        <f>+INPUT!AZ191</f>
        <v>11.770943796394491</v>
      </c>
      <c r="AB208" s="449">
        <f>+INPUT!BA191</f>
        <v>1050</v>
      </c>
      <c r="AC208" s="439">
        <f>+INPUT!BB191</f>
        <v>3.7549407114624529</v>
      </c>
      <c r="AD208" s="449">
        <f>+INPUT!BC191</f>
        <v>1112</v>
      </c>
      <c r="AE208" s="439">
        <f>+INPUT!BD191</f>
        <v>6.208213944603628</v>
      </c>
      <c r="AF208" s="449">
        <f>+INPUT!BE191</f>
        <v>1163</v>
      </c>
      <c r="AG208" s="439">
        <f>+INPUT!BF191</f>
        <v>13.685239491691121</v>
      </c>
      <c r="AH208" s="449">
        <f>+INPUT!BG191</f>
        <v>1163</v>
      </c>
      <c r="AI208" s="438">
        <f>+INPUT!BH191</f>
        <v>10.341555977229604</v>
      </c>
      <c r="AJ208" s="449">
        <f>+INPUT!BI191</f>
        <v>1150</v>
      </c>
      <c r="AK208" s="438">
        <f>+INPUT!BJ191</f>
        <v>9.5238095238095326</v>
      </c>
      <c r="AL208" s="449">
        <f>+INPUT!BK191</f>
        <v>1195</v>
      </c>
      <c r="AM208" s="438">
        <f>+INPUT!BL191</f>
        <v>7.4640287769784237</v>
      </c>
      <c r="AN208" s="449">
        <f>+INPUT!BM191</f>
        <v>1200</v>
      </c>
      <c r="AO208" s="438">
        <f>+INPUT!BN191</f>
        <v>3.1814273430782407</v>
      </c>
      <c r="AP208" s="449">
        <f>+INPUT!BO191</f>
        <v>1267</v>
      </c>
      <c r="AQ208" s="438">
        <f>+INPUT!BP191</f>
        <v>8.9423903697334595</v>
      </c>
      <c r="AR208" s="449">
        <f>+INPUT!BQ191</f>
        <v>1207</v>
      </c>
      <c r="AS208" s="438">
        <f>+INPUT!BR191</f>
        <v>4.9565217391304373</v>
      </c>
      <c r="AT208" s="449">
        <f>+INPUT!BS191</f>
        <v>1118</v>
      </c>
      <c r="AU208" s="438">
        <f>+INPUT!BT191</f>
        <v>-6.4435146443514668</v>
      </c>
      <c r="AV208" s="449">
        <f>+INPUT!BU191</f>
        <v>1252</v>
      </c>
      <c r="AW208" s="438">
        <f>+INPUT!BV191</f>
        <v>4.3333333333333286</v>
      </c>
      <c r="AX208" s="449">
        <f>+INPUT!BW191</f>
        <v>1183</v>
      </c>
      <c r="AY208" s="438">
        <f>+INPUT!BX191</f>
        <v>-6.6298342541436455</v>
      </c>
      <c r="AZ208" s="449">
        <f>+INPUT!BY191</f>
        <v>1242</v>
      </c>
      <c r="BA208" s="438">
        <f>+INPUT!BZ191</f>
        <v>2.8997514498757369</v>
      </c>
      <c r="BB208" s="449">
        <f>+INPUT!CA191</f>
        <v>1100</v>
      </c>
      <c r="BC208" s="438">
        <f>+INPUT!CB191</f>
        <v>-1.6100178890876577</v>
      </c>
      <c r="BD208" s="449">
        <f>+INPUT!CC191</f>
        <v>1134</v>
      </c>
      <c r="BE208" s="438">
        <f>+INPUT!CD191</f>
        <v>-9.4249201277955166</v>
      </c>
      <c r="BF208" s="449">
        <f>+INPUT!CE191</f>
        <v>1129</v>
      </c>
      <c r="BG208" s="438">
        <f>+INPUT!CF191</f>
        <v>-4.5646661031276494</v>
      </c>
      <c r="BH208" s="449">
        <f>+INPUT!CG191</f>
        <v>1370</v>
      </c>
      <c r="BI208" s="438">
        <f>+INPUT!CH191</f>
        <v>10.305958132045092</v>
      </c>
      <c r="BJ208" s="449">
        <f>+INPUT!CI191</f>
        <v>1376</v>
      </c>
      <c r="BK208" s="438">
        <f>+INPUT!CJ191</f>
        <v>25.090909090909093</v>
      </c>
      <c r="BL208" s="449">
        <f>+INPUT!CK191</f>
        <v>1308</v>
      </c>
      <c r="BM208" s="438">
        <f>+INPUT!CL191</f>
        <v>15.343915343915342</v>
      </c>
      <c r="BN208" s="449">
        <f>+INPUT!CM191</f>
        <v>1206</v>
      </c>
      <c r="BO208" s="438">
        <f>+INPUT!CN191</f>
        <v>6.8201948627103661</v>
      </c>
      <c r="BP208" s="449">
        <f>+INPUT!CO191</f>
        <v>1248</v>
      </c>
      <c r="BQ208" s="438">
        <f>+INPUT!CP191</f>
        <v>-8.9051094890510996</v>
      </c>
      <c r="BR208" s="449">
        <f>+INPUT!CQ191</f>
        <v>1171</v>
      </c>
      <c r="BS208" s="438">
        <f>+INPUT!CR191</f>
        <v>-14.898255813953483</v>
      </c>
      <c r="BT208" s="449">
        <f>+INPUT!CS191</f>
        <v>1246</v>
      </c>
      <c r="BU208" s="438">
        <f>+INPUT!CT191</f>
        <v>-4.7400611620795132</v>
      </c>
      <c r="BV208" s="449">
        <f>+INPUT!CU191</f>
        <v>1107</v>
      </c>
      <c r="BW208" s="438">
        <f>+INPUT!CV191</f>
        <v>-8.2089552238805936</v>
      </c>
      <c r="BX208" s="449">
        <f>+INPUT!CW191</f>
        <v>1242</v>
      </c>
      <c r="BY208" s="438">
        <f>+INPUT!CX191</f>
        <v>-0.4807692307692264</v>
      </c>
      <c r="BZ208" s="449">
        <f>+INPUT!CY191</f>
        <v>1162</v>
      </c>
      <c r="CA208" s="438">
        <f>+INPUT!CZ191</f>
        <v>-0.76857386848847398</v>
      </c>
      <c r="CB208" s="449">
        <f>+INPUT!DA191</f>
        <v>33084</v>
      </c>
      <c r="CC208" s="438" t="str">
        <f>+INPUT!DB191</f>
        <v>NM</v>
      </c>
      <c r="CD208" s="449">
        <f>+INPUT!DC191</f>
        <v>1336</v>
      </c>
      <c r="CE208" s="438">
        <f>+INPUT!DD191</f>
        <v>20.686540198735329</v>
      </c>
      <c r="CF208" s="449">
        <f>+INPUT!DE191</f>
        <v>1521</v>
      </c>
      <c r="CG208" s="438">
        <f>+INPUT!DF191</f>
        <v>22.463768115942045</v>
      </c>
      <c r="CH208" s="449">
        <f>+INPUT!DG191</f>
        <v>1525</v>
      </c>
      <c r="CI208" s="438">
        <f>+INPUT!DH191</f>
        <v>31.239242685025829</v>
      </c>
      <c r="CJ208" s="449">
        <f>+INPUT!DI191</f>
        <v>1646</v>
      </c>
      <c r="CK208" s="438" t="str">
        <f>+INPUT!DJ191</f>
        <v>NM</v>
      </c>
      <c r="CL208" s="449">
        <f>+INPUT!DK191</f>
        <v>1531</v>
      </c>
      <c r="CM208" s="438">
        <f>+INPUT!DL191</f>
        <v>14.595808383233532</v>
      </c>
      <c r="CN208" s="449">
        <f>+INPUT!DM191</f>
        <v>1469</v>
      </c>
      <c r="CO208" s="438">
        <f>+INPUT!DN191</f>
        <v>-3.4188034188034209</v>
      </c>
      <c r="CP208" s="449">
        <f>+INPUT!DO191</f>
        <v>2397</v>
      </c>
      <c r="CQ208" s="438">
        <f>+INPUT!DP191</f>
        <v>57.180327868852459</v>
      </c>
      <c r="CR208" s="449">
        <f>+INPUT!DQ191</f>
        <v>6680</v>
      </c>
      <c r="CS208" s="438" t="str">
        <f>+INPUT!DR191</f>
        <v>NM</v>
      </c>
      <c r="CT208" s="449">
        <f>+INPUT!DS191</f>
        <v>2478</v>
      </c>
      <c r="CU208" s="438">
        <f>+INPUT!DT191</f>
        <v>61.854996734160693</v>
      </c>
      <c r="CV208" s="449">
        <f>+INPUT!DU191</f>
        <v>3180</v>
      </c>
      <c r="CW208" s="438" t="str">
        <f>+INPUT!DV191</f>
        <v>NM</v>
      </c>
      <c r="CX208" s="449">
        <f>+INPUT!DW191</f>
        <v>1937</v>
      </c>
      <c r="CY208" s="438">
        <f>+INPUT!DX191</f>
        <v>-19.19065498539841</v>
      </c>
      <c r="CZ208" s="449">
        <f>+INPUT!DY191</f>
        <v>4226</v>
      </c>
      <c r="DA208" s="438">
        <f>+INPUT!DZ191</f>
        <v>-36.736526946107787</v>
      </c>
      <c r="DB208" s="449">
        <f>+INPUT!EA191</f>
        <v>1893</v>
      </c>
      <c r="DC208" s="438">
        <f>+INPUT!EB191</f>
        <v>-23.607748184019371</v>
      </c>
      <c r="DD208" s="449">
        <f>+INPUT!EC191</f>
        <v>2241</v>
      </c>
      <c r="DE208" s="438">
        <f>+INPUT!ED191</f>
        <v>-29.528301886792448</v>
      </c>
      <c r="DF208" s="449">
        <f>+INPUT!EE191</f>
        <v>5134</v>
      </c>
      <c r="DG208" s="438" t="str">
        <f>+INPUT!EF191</f>
        <v>NM</v>
      </c>
      <c r="DH208" s="449">
        <f>+INPUT!EG191</f>
        <v>3608</v>
      </c>
      <c r="DI208" s="438">
        <f>+INPUT!EH191</f>
        <v>-14.623757690487466</v>
      </c>
      <c r="DJ208" s="449">
        <f>+INPUT!EI191</f>
        <v>1937</v>
      </c>
      <c r="DK208" s="438">
        <f>+INPUT!EJ191</f>
        <v>2.3243528790279981</v>
      </c>
      <c r="DL208" s="449">
        <f>+INPUT!EK191</f>
        <v>3607</v>
      </c>
      <c r="DM208" s="438">
        <f>+INPUT!EL191</f>
        <v>60.95493083444893</v>
      </c>
      <c r="DN208" s="449">
        <f>+INPUT!EM191</f>
        <v>3259</v>
      </c>
      <c r="DO208" s="438">
        <f>+INPUT!EN191</f>
        <v>-36.521231008959873</v>
      </c>
      <c r="DP208" s="449">
        <f>+INPUT!EO191</f>
        <v>5040</v>
      </c>
      <c r="DQ208" s="438">
        <f>+INPUT!EP191</f>
        <v>39.689578713968956</v>
      </c>
      <c r="DR208" s="449">
        <f>+INPUT!EQ191</f>
        <v>3345.1113101088949</v>
      </c>
      <c r="DS208" s="438">
        <f>+INPUT!ER191</f>
        <v>72.695472901853122</v>
      </c>
      <c r="DT208" s="449">
        <f>+INPUT!ES191</f>
        <v>3376.0263593305767</v>
      </c>
      <c r="DU208" s="438">
        <f>+INPUT!ET191</f>
        <v>-6.4034832456175081</v>
      </c>
      <c r="DV208" s="449">
        <f>+INPUT!EU191</f>
        <v>3408.5749295956043</v>
      </c>
      <c r="DW208" s="438">
        <f>+INPUT!EV191</f>
        <v>4.5895958759007129</v>
      </c>
      <c r="DX208" s="449">
        <f>+INPUT!EW191</f>
        <v>3441.4405741749883</v>
      </c>
      <c r="DY208" s="438">
        <f>+INPUT!EX191</f>
        <v>-31.717448925099433</v>
      </c>
      <c r="DZ208" s="449"/>
      <c r="EA208" s="438"/>
      <c r="EB208" s="439">
        <f>+INPUT!FI191</f>
        <v>-8.7652439024390247</v>
      </c>
      <c r="EC208" s="449">
        <f>+INPUT!FJ191</f>
        <v>2359</v>
      </c>
      <c r="ED208" s="439">
        <f>+INPUT!FK191</f>
        <v>-1.4619883040935662</v>
      </c>
      <c r="EE208" s="449">
        <f>+INPUT!FL191</f>
        <v>2281</v>
      </c>
      <c r="EF208" s="439">
        <f>+INPUT!FM191</f>
        <v>-3.3064857990674028</v>
      </c>
      <c r="EG208" s="449">
        <f>+INPUT!FN191</f>
        <v>3225</v>
      </c>
      <c r="EH208" s="439">
        <f>+INPUT!FO191</f>
        <v>41.385357299430069</v>
      </c>
      <c r="EI208" s="449">
        <f>+INPUT!FP191</f>
        <v>4025</v>
      </c>
      <c r="EJ208" s="438">
        <f>+INPUT!FQ191</f>
        <v>24.806201550387598</v>
      </c>
      <c r="EK208" s="449">
        <f>+INPUT!FR191</f>
        <v>4379</v>
      </c>
      <c r="EL208" s="438">
        <f>+INPUT!FS191</f>
        <v>8.7950310559006226</v>
      </c>
      <c r="EM208" s="449">
        <f>+INPUT!FT191</f>
        <v>4708</v>
      </c>
      <c r="EN208" s="438">
        <f>+INPUT!FU191</f>
        <v>7.5131308517926385</v>
      </c>
      <c r="EO208" s="449">
        <f>+INPUT!FV191</f>
        <v>4859</v>
      </c>
      <c r="EP208" s="438">
        <f>+INPUT!FW191</f>
        <v>3.2073067119796121</v>
      </c>
      <c r="EQ208" s="449">
        <f>+INPUT!FX191</f>
        <v>4659</v>
      </c>
      <c r="ER208" s="438">
        <f>+INPUT!FY191</f>
        <v>-4.1160732661041379</v>
      </c>
      <c r="ES208" s="449">
        <f>+INPUT!FZ191</f>
        <v>5183</v>
      </c>
      <c r="ET208" s="438">
        <f>+INPUT!GA191</f>
        <v>11.247048722901923</v>
      </c>
      <c r="EU208" s="449">
        <f>+INPUT!GB191</f>
        <v>4871</v>
      </c>
      <c r="EV208" s="438">
        <f>+INPUT!GC191</f>
        <v>-6.0196797221686182</v>
      </c>
      <c r="EW208" s="449">
        <f>+INPUT!GD191</f>
        <v>36595</v>
      </c>
      <c r="EX208" s="438" t="str">
        <f>+INPUT!GE191</f>
        <v>NM</v>
      </c>
      <c r="EY208" s="449">
        <f>+INPUT!GF191</f>
        <v>6028</v>
      </c>
      <c r="EZ208" s="438" t="str">
        <f>+INPUT!GG191</f>
        <v>NM</v>
      </c>
      <c r="FA208" s="449">
        <f>+INPUT!GH191</f>
        <v>12077</v>
      </c>
      <c r="FB208" s="438" t="str">
        <f>+INPUT!GI191</f>
        <v>NM</v>
      </c>
      <c r="FC208" s="449">
        <f>+INPUT!GJ191</f>
        <v>11821</v>
      </c>
      <c r="FD208" s="438">
        <f>+INPUT!GK191</f>
        <v>-2.1197317214540021</v>
      </c>
      <c r="FE208" s="449">
        <f>+INPUT!GL191</f>
        <v>12876</v>
      </c>
      <c r="FF208" s="438">
        <f>+INPUT!GM191</f>
        <v>8.9247948566111006</v>
      </c>
      <c r="FG208" s="449">
        <f>+INPUT!GN191</f>
        <v>13843</v>
      </c>
      <c r="FH208" s="438">
        <f>+INPUT!GO191</f>
        <v>7.5100963031997452</v>
      </c>
      <c r="FI208" s="449">
        <f>+INPUT!GP191</f>
        <v>13571.153173210063</v>
      </c>
      <c r="FJ208" s="438">
        <f>+INPUT!GQ191</f>
        <v>-1.963785500180137</v>
      </c>
      <c r="FK208" s="449">
        <f>+INPUT!GR191</f>
        <v>14095.74832055035</v>
      </c>
      <c r="FL208" s="438">
        <f>+INPUT!GS191</f>
        <v>3.8655163687626413</v>
      </c>
      <c r="FM208" s="449">
        <f>+INPUT!GT191</f>
        <v>14645.733552394468</v>
      </c>
      <c r="FN208" s="438">
        <f>+INPUT!GU191</f>
        <v>3.9017810146502683</v>
      </c>
      <c r="FO208" s="449">
        <f>+INPUT!GV191</f>
        <v>15217.925935297062</v>
      </c>
      <c r="FP208" s="438">
        <f>+INPUT!GW191</f>
        <v>3.9068878377146632</v>
      </c>
      <c r="FQ208" s="449">
        <f>+INPUT!GX191</f>
        <v>15813.253705591567</v>
      </c>
      <c r="FR208" s="438">
        <f>+INPUT!GY191</f>
        <v>3.9120164786298375</v>
      </c>
      <c r="FS208" s="438">
        <f>+INPUT!GZ191</f>
        <v>2.6971056690706208</v>
      </c>
    </row>
    <row r="209" spans="1:176" s="529" customFormat="1" ht="12.75" hidden="1" customHeight="1" outlineLevel="1" x14ac:dyDescent="0.2">
      <c r="A209" s="441"/>
      <c r="B209" s="449"/>
      <c r="C209" s="439"/>
      <c r="D209" s="449"/>
      <c r="E209" s="439"/>
      <c r="F209" s="449"/>
      <c r="G209" s="439"/>
      <c r="H209" s="449"/>
      <c r="I209" s="439"/>
      <c r="J209" s="449"/>
      <c r="K209" s="439"/>
      <c r="L209" s="449"/>
      <c r="M209" s="439"/>
      <c r="N209" s="449"/>
      <c r="O209" s="439"/>
      <c r="P209" s="449"/>
      <c r="Q209" s="439"/>
      <c r="R209" s="449"/>
      <c r="S209" s="439"/>
      <c r="T209" s="449"/>
      <c r="U209" s="439"/>
      <c r="V209" s="449"/>
      <c r="W209" s="439"/>
      <c r="X209" s="449"/>
      <c r="Y209" s="439"/>
      <c r="Z209" s="449"/>
      <c r="AA209" s="439"/>
      <c r="AB209" s="449"/>
      <c r="AC209" s="439"/>
      <c r="AD209" s="449"/>
      <c r="AE209" s="439"/>
      <c r="AF209" s="449"/>
      <c r="AG209" s="439"/>
      <c r="AH209" s="449"/>
      <c r="AI209" s="438"/>
      <c r="AJ209" s="449"/>
      <c r="AK209" s="438"/>
      <c r="AL209" s="449"/>
      <c r="AM209" s="438"/>
      <c r="AN209" s="449"/>
      <c r="AO209" s="438"/>
      <c r="AP209" s="449"/>
      <c r="AQ209" s="438"/>
      <c r="AR209" s="449"/>
      <c r="AS209" s="438"/>
      <c r="AT209" s="449"/>
      <c r="AU209" s="438"/>
      <c r="AV209" s="449"/>
      <c r="AW209" s="438"/>
      <c r="AX209" s="449"/>
      <c r="AY209" s="438"/>
      <c r="AZ209" s="449"/>
      <c r="BA209" s="438"/>
      <c r="BB209" s="449"/>
      <c r="BC209" s="438"/>
      <c r="BD209" s="449"/>
      <c r="BE209" s="438"/>
      <c r="BF209" s="449"/>
      <c r="BG209" s="438"/>
      <c r="BH209" s="449"/>
      <c r="BI209" s="438"/>
      <c r="BJ209" s="449"/>
      <c r="BK209" s="438"/>
      <c r="BL209" s="449"/>
      <c r="BM209" s="438"/>
      <c r="BN209" s="449"/>
      <c r="BO209" s="438"/>
      <c r="BP209" s="449"/>
      <c r="BQ209" s="438"/>
      <c r="BR209" s="449"/>
      <c r="BS209" s="438"/>
      <c r="BT209" s="449"/>
      <c r="BU209" s="438"/>
      <c r="BV209" s="449"/>
      <c r="BW209" s="438"/>
      <c r="BX209" s="449"/>
      <c r="BY209" s="438"/>
      <c r="BZ209" s="449"/>
      <c r="CA209" s="438"/>
      <c r="CB209" s="449"/>
      <c r="CC209" s="438"/>
      <c r="CD209" s="449"/>
      <c r="CE209" s="438"/>
      <c r="CF209" s="449"/>
      <c r="CG209" s="438"/>
      <c r="CH209" s="449"/>
      <c r="CI209" s="438"/>
      <c r="CJ209" s="449"/>
      <c r="CK209" s="438"/>
      <c r="CL209" s="449"/>
      <c r="CM209" s="438"/>
      <c r="CN209" s="449"/>
      <c r="CO209" s="438"/>
      <c r="CP209" s="449"/>
      <c r="CQ209" s="438"/>
      <c r="CR209" s="449"/>
      <c r="CS209" s="438"/>
      <c r="CT209" s="449"/>
      <c r="CU209" s="438"/>
      <c r="CV209" s="449"/>
      <c r="CW209" s="438"/>
      <c r="CX209" s="449"/>
      <c r="CY209" s="438"/>
      <c r="CZ209" s="449"/>
      <c r="DA209" s="438"/>
      <c r="DB209" s="449"/>
      <c r="DC209" s="438"/>
      <c r="DD209" s="449"/>
      <c r="DE209" s="438"/>
      <c r="DF209" s="449"/>
      <c r="DG209" s="438"/>
      <c r="DH209" s="449"/>
      <c r="DI209" s="438"/>
      <c r="DJ209" s="449"/>
      <c r="DK209" s="438"/>
      <c r="DL209" s="449"/>
      <c r="DM209" s="438"/>
      <c r="DN209" s="449"/>
      <c r="DO209" s="438"/>
      <c r="DP209" s="449"/>
      <c r="DQ209" s="438"/>
      <c r="DR209" s="449"/>
      <c r="DS209" s="438"/>
      <c r="DT209" s="449"/>
      <c r="DU209" s="438"/>
      <c r="DV209" s="449"/>
      <c r="DW209" s="438"/>
      <c r="DX209" s="449"/>
      <c r="DY209" s="438"/>
      <c r="DZ209" s="449"/>
      <c r="EA209" s="438"/>
      <c r="EB209" s="439"/>
      <c r="EC209" s="449"/>
      <c r="ED209" s="439"/>
      <c r="EE209" s="449"/>
      <c r="EF209" s="439"/>
      <c r="EG209" s="449"/>
      <c r="EH209" s="439"/>
      <c r="EI209" s="449"/>
      <c r="EJ209" s="438"/>
      <c r="EK209" s="449"/>
      <c r="EL209" s="438"/>
      <c r="EM209" s="449"/>
      <c r="EN209" s="438"/>
      <c r="EO209" s="449"/>
      <c r="EP209" s="438"/>
      <c r="EQ209" s="449"/>
      <c r="ER209" s="438"/>
      <c r="ES209" s="449"/>
      <c r="ET209" s="438"/>
      <c r="EU209" s="449"/>
      <c r="EV209" s="438"/>
      <c r="EW209" s="449"/>
      <c r="EX209" s="438"/>
      <c r="EY209" s="449"/>
      <c r="EZ209" s="438"/>
      <c r="FA209" s="449"/>
      <c r="FB209" s="438"/>
      <c r="FC209" s="449"/>
      <c r="FD209" s="438"/>
      <c r="FE209" s="449"/>
      <c r="FF209" s="438"/>
      <c r="FG209" s="449"/>
      <c r="FH209" s="438"/>
      <c r="FI209" s="449"/>
      <c r="FJ209" s="438"/>
      <c r="FK209" s="449"/>
      <c r="FL209" s="438"/>
      <c r="FM209" s="449"/>
      <c r="FN209" s="438"/>
      <c r="FO209" s="449"/>
      <c r="FP209" s="438"/>
      <c r="FQ209" s="449"/>
      <c r="FR209" s="438"/>
      <c r="FS209" s="438"/>
    </row>
    <row r="210" spans="1:176" s="529" customFormat="1" ht="12.75" hidden="1" customHeight="1" outlineLevel="1" x14ac:dyDescent="0.2">
      <c r="A210" s="446" t="s">
        <v>129</v>
      </c>
      <c r="B210" s="449"/>
      <c r="C210" s="439"/>
      <c r="D210" s="449"/>
      <c r="E210" s="439"/>
      <c r="F210" s="449"/>
      <c r="G210" s="439"/>
      <c r="H210" s="449"/>
      <c r="I210" s="439"/>
      <c r="J210" s="449"/>
      <c r="K210" s="439"/>
      <c r="L210" s="449"/>
      <c r="M210" s="439"/>
      <c r="N210" s="449"/>
      <c r="O210" s="439"/>
      <c r="P210" s="449"/>
      <c r="Q210" s="439"/>
      <c r="R210" s="449"/>
      <c r="S210" s="439"/>
      <c r="T210" s="449"/>
      <c r="U210" s="439"/>
      <c r="V210" s="449"/>
      <c r="W210" s="439"/>
      <c r="X210" s="449"/>
      <c r="Y210" s="439"/>
      <c r="Z210" s="449"/>
      <c r="AA210" s="439"/>
      <c r="AB210" s="449"/>
      <c r="AC210" s="439"/>
      <c r="AD210" s="449"/>
      <c r="AE210" s="439"/>
      <c r="AF210" s="449"/>
      <c r="AG210" s="439"/>
      <c r="AH210" s="449"/>
      <c r="AI210" s="438"/>
      <c r="AJ210" s="449"/>
      <c r="AK210" s="438"/>
      <c r="AL210" s="449"/>
      <c r="AM210" s="438"/>
      <c r="AN210" s="449"/>
      <c r="AO210" s="438"/>
      <c r="AP210" s="449"/>
      <c r="AQ210" s="438"/>
      <c r="AR210" s="449"/>
      <c r="AS210" s="438"/>
      <c r="AT210" s="449"/>
      <c r="AU210" s="438"/>
      <c r="AV210" s="449"/>
      <c r="AW210" s="438"/>
      <c r="AX210" s="449"/>
      <c r="AY210" s="438"/>
      <c r="AZ210" s="449"/>
      <c r="BA210" s="438"/>
      <c r="BB210" s="449"/>
      <c r="BC210" s="438"/>
      <c r="BD210" s="449"/>
      <c r="BE210" s="438"/>
      <c r="BF210" s="449"/>
      <c r="BG210" s="438"/>
      <c r="BH210" s="449"/>
      <c r="BI210" s="438"/>
      <c r="BJ210" s="449"/>
      <c r="BK210" s="438"/>
      <c r="BL210" s="449"/>
      <c r="BM210" s="438"/>
      <c r="BN210" s="449"/>
      <c r="BO210" s="438"/>
      <c r="BP210" s="449"/>
      <c r="BQ210" s="438"/>
      <c r="BR210" s="449"/>
      <c r="BS210" s="438"/>
      <c r="BT210" s="449"/>
      <c r="BU210" s="438"/>
      <c r="BV210" s="449"/>
      <c r="BW210" s="438"/>
      <c r="BX210" s="449"/>
      <c r="BY210" s="438"/>
      <c r="BZ210" s="449"/>
      <c r="CA210" s="438"/>
      <c r="CB210" s="449"/>
      <c r="CC210" s="438"/>
      <c r="CD210" s="449"/>
      <c r="CE210" s="438"/>
      <c r="CF210" s="449"/>
      <c r="CG210" s="438"/>
      <c r="CH210" s="449"/>
      <c r="CI210" s="438"/>
      <c r="CJ210" s="449"/>
      <c r="CK210" s="438"/>
      <c r="CL210" s="449"/>
      <c r="CM210" s="438"/>
      <c r="CN210" s="449"/>
      <c r="CO210" s="438"/>
      <c r="CP210" s="449"/>
      <c r="CQ210" s="438"/>
      <c r="CR210" s="449"/>
      <c r="CS210" s="438"/>
      <c r="CT210" s="449"/>
      <c r="CU210" s="438"/>
      <c r="CV210" s="449"/>
      <c r="CW210" s="438"/>
      <c r="CX210" s="449"/>
      <c r="CY210" s="438"/>
      <c r="CZ210" s="449"/>
      <c r="DA210" s="438"/>
      <c r="DB210" s="449"/>
      <c r="DC210" s="438"/>
      <c r="DD210" s="449"/>
      <c r="DE210" s="438"/>
      <c r="DF210" s="449"/>
      <c r="DG210" s="438"/>
      <c r="DH210" s="449"/>
      <c r="DI210" s="438"/>
      <c r="DJ210" s="449"/>
      <c r="DK210" s="438"/>
      <c r="DL210" s="449"/>
      <c r="DM210" s="438"/>
      <c r="DN210" s="449"/>
      <c r="DO210" s="438"/>
      <c r="DP210" s="449"/>
      <c r="DQ210" s="438"/>
      <c r="DR210" s="449"/>
      <c r="DS210" s="438"/>
      <c r="DT210" s="449"/>
      <c r="DU210" s="438"/>
      <c r="DV210" s="449"/>
      <c r="DW210" s="438"/>
      <c r="DX210" s="449"/>
      <c r="DY210" s="438"/>
      <c r="DZ210" s="449"/>
      <c r="EA210" s="438"/>
      <c r="EB210" s="439"/>
      <c r="EC210" s="449"/>
      <c r="ED210" s="439"/>
      <c r="EE210" s="449"/>
      <c r="EF210" s="439"/>
      <c r="EG210" s="449"/>
      <c r="EH210" s="439"/>
      <c r="EI210" s="449"/>
      <c r="EJ210" s="438"/>
      <c r="EK210" s="449"/>
      <c r="EL210" s="438"/>
      <c r="EM210" s="449"/>
      <c r="EN210" s="438"/>
      <c r="EO210" s="449"/>
      <c r="EP210" s="438"/>
      <c r="EQ210" s="449"/>
      <c r="ER210" s="438"/>
      <c r="ES210" s="449"/>
      <c r="ET210" s="438"/>
      <c r="EU210" s="449"/>
      <c r="EV210" s="438"/>
      <c r="EW210" s="449"/>
      <c r="EX210" s="438"/>
      <c r="EY210" s="449"/>
      <c r="EZ210" s="438"/>
      <c r="FA210" s="449"/>
      <c r="FB210" s="438"/>
      <c r="FC210" s="449"/>
      <c r="FD210" s="438"/>
      <c r="FE210" s="449"/>
      <c r="FF210" s="438"/>
      <c r="FG210" s="449"/>
      <c r="FH210" s="438"/>
      <c r="FI210" s="449"/>
      <c r="FJ210" s="438"/>
      <c r="FK210" s="449"/>
      <c r="FL210" s="438"/>
      <c r="FM210" s="449"/>
      <c r="FN210" s="438"/>
      <c r="FO210" s="449"/>
      <c r="FP210" s="438"/>
      <c r="FQ210" s="449"/>
      <c r="FR210" s="438"/>
      <c r="FS210" s="438"/>
    </row>
    <row r="211" spans="1:176" s="529" customFormat="1" ht="12.75" hidden="1" customHeight="1" outlineLevel="1" x14ac:dyDescent="0.2">
      <c r="A211" s="441" t="str">
        <f>+INPUT!B200</f>
        <v>Insurance and Annuity Benefits</v>
      </c>
      <c r="B211" s="449">
        <f>+INPUT!AA200</f>
        <v>210</v>
      </c>
      <c r="C211" s="439">
        <f>+INPUT!AB200</f>
        <v>6.5989847715736119</v>
      </c>
      <c r="D211" s="449">
        <f>+INPUT!AC200</f>
        <v>204</v>
      </c>
      <c r="E211" s="439">
        <f>+INPUT!AD200</f>
        <v>-11.688311688311686</v>
      </c>
      <c r="F211" s="449">
        <f>+INPUT!AE200</f>
        <v>187</v>
      </c>
      <c r="G211" s="439">
        <f>+INPUT!AF200</f>
        <v>-15</v>
      </c>
      <c r="H211" s="449">
        <f>+INPUT!AG200</f>
        <v>190</v>
      </c>
      <c r="I211" s="439">
        <f>+INPUT!AH200</f>
        <v>-18.103448275862064</v>
      </c>
      <c r="J211" s="449">
        <f>+INPUT!AI200</f>
        <v>208</v>
      </c>
      <c r="K211" s="439">
        <f>+INPUT!AJ200</f>
        <v>-0.952380952380949</v>
      </c>
      <c r="L211" s="449">
        <f>+INPUT!AK200</f>
        <v>208</v>
      </c>
      <c r="M211" s="439">
        <f>+INPUT!AL200</f>
        <v>1.9607843137254832</v>
      </c>
      <c r="N211" s="449">
        <f>+INPUT!AM200</f>
        <v>237</v>
      </c>
      <c r="O211" s="439">
        <f>+INPUT!AN200</f>
        <v>26.737967914438499</v>
      </c>
      <c r="P211" s="449">
        <f>+INPUT!AO200</f>
        <v>209</v>
      </c>
      <c r="Q211" s="439">
        <f>+INPUT!AP200</f>
        <v>10.000000000000014</v>
      </c>
      <c r="R211" s="449">
        <f>+INPUT!AQ200</f>
        <v>215</v>
      </c>
      <c r="S211" s="439">
        <f>+INPUT!AR200</f>
        <v>3.3653846153846274</v>
      </c>
      <c r="T211" s="449">
        <f>+INPUT!AS200</f>
        <v>272</v>
      </c>
      <c r="U211" s="439">
        <f>+INPUT!AT200</f>
        <v>30.769230769230774</v>
      </c>
      <c r="V211" s="449">
        <f>+INPUT!AU200</f>
        <v>296</v>
      </c>
      <c r="W211" s="439">
        <f>+INPUT!AV200</f>
        <v>24.894514767932492</v>
      </c>
      <c r="X211" s="449">
        <f>+INPUT!AW200</f>
        <v>266</v>
      </c>
      <c r="Y211" s="439">
        <f>+INPUT!AX200</f>
        <v>27.272727272727266</v>
      </c>
      <c r="Z211" s="449">
        <f>+INPUT!AY200</f>
        <v>269</v>
      </c>
      <c r="AA211" s="439">
        <f>+INPUT!AZ200</f>
        <v>25.11627906976743</v>
      </c>
      <c r="AB211" s="449">
        <f>+INPUT!BA200</f>
        <v>235</v>
      </c>
      <c r="AC211" s="439">
        <f>+INPUT!BB200</f>
        <v>-13.60294117647058</v>
      </c>
      <c r="AD211" s="449">
        <f>+INPUT!BC200</f>
        <v>297</v>
      </c>
      <c r="AE211" s="439">
        <f>+INPUT!BD200</f>
        <v>0.3378378378378244</v>
      </c>
      <c r="AF211" s="449">
        <f>+INPUT!BE200</f>
        <v>303</v>
      </c>
      <c r="AG211" s="439">
        <f>+INPUT!BF200</f>
        <v>13.909774436090231</v>
      </c>
      <c r="AH211" s="449">
        <f>+INPUT!BG200</f>
        <v>302</v>
      </c>
      <c r="AI211" s="438">
        <f>+INPUT!BH200</f>
        <v>12.267657992565063</v>
      </c>
      <c r="AJ211" s="449">
        <f>+INPUT!BI200</f>
        <v>276</v>
      </c>
      <c r="AK211" s="438">
        <f>+INPUT!BJ200</f>
        <v>17.446808510638292</v>
      </c>
      <c r="AL211" s="449">
        <f>+INPUT!BK200</f>
        <v>290</v>
      </c>
      <c r="AM211" s="438">
        <f>+INPUT!BL200</f>
        <v>-2.3569023569023528</v>
      </c>
      <c r="AN211" s="449">
        <f>+INPUT!BM200</f>
        <v>277</v>
      </c>
      <c r="AO211" s="438">
        <f>+INPUT!BN200</f>
        <v>-8.5808580858085861</v>
      </c>
      <c r="AP211" s="449">
        <f>+INPUT!BO200</f>
        <v>392</v>
      </c>
      <c r="AQ211" s="438">
        <f>+INPUT!BP200</f>
        <v>29.801324503311264</v>
      </c>
      <c r="AR211" s="449">
        <f>+INPUT!BQ200</f>
        <v>340</v>
      </c>
      <c r="AS211" s="438">
        <f>+INPUT!BR200</f>
        <v>23.188405797101439</v>
      </c>
      <c r="AT211" s="449">
        <f>+INPUT!BS200</f>
        <v>249</v>
      </c>
      <c r="AU211" s="438">
        <f>+INPUT!BT200</f>
        <v>-14.137931034482747</v>
      </c>
      <c r="AV211" s="449">
        <f>+INPUT!BU200</f>
        <v>340</v>
      </c>
      <c r="AW211" s="438">
        <f>+INPUT!BV200</f>
        <v>22.74368231046931</v>
      </c>
      <c r="AX211" s="449">
        <f>+INPUT!BW200</f>
        <v>338</v>
      </c>
      <c r="AY211" s="438">
        <f>+INPUT!BX200</f>
        <v>-13.775510204081627</v>
      </c>
      <c r="AZ211" s="449">
        <f>+INPUT!BY200</f>
        <v>436</v>
      </c>
      <c r="BA211" s="438">
        <f>+INPUT!BZ200</f>
        <v>28.235294117647072</v>
      </c>
      <c r="BB211" s="449">
        <f>+INPUT!CA200</f>
        <v>295</v>
      </c>
      <c r="BC211" s="438">
        <f>+INPUT!CB200</f>
        <v>18.47389558232932</v>
      </c>
      <c r="BD211" s="449">
        <f>+INPUT!CC200</f>
        <v>311</v>
      </c>
      <c r="BE211" s="438">
        <f>+INPUT!CD200</f>
        <v>-8.529411764705884</v>
      </c>
      <c r="BF211" s="449">
        <f>+INPUT!CE200</f>
        <v>296</v>
      </c>
      <c r="BG211" s="438">
        <f>+INPUT!CF200</f>
        <v>-12.42603550295857</v>
      </c>
      <c r="BH211" s="449">
        <f>+INPUT!CG200</f>
        <v>541</v>
      </c>
      <c r="BI211" s="438">
        <f>+INPUT!CH200</f>
        <v>24.082568807339456</v>
      </c>
      <c r="BJ211" s="449">
        <f>+INPUT!CI200</f>
        <v>556</v>
      </c>
      <c r="BK211" s="438">
        <f>+INPUT!CJ200</f>
        <v>88.474576271186436</v>
      </c>
      <c r="BL211" s="449">
        <f>+INPUT!CK200</f>
        <v>455</v>
      </c>
      <c r="BM211" s="438">
        <f>+INPUT!CL200</f>
        <v>46.302250803858527</v>
      </c>
      <c r="BN211" s="449">
        <f>+INPUT!CM200</f>
        <v>366</v>
      </c>
      <c r="BO211" s="438">
        <f>+INPUT!CN200</f>
        <v>23.648648648648646</v>
      </c>
      <c r="BP211" s="449">
        <f>+INPUT!CO200</f>
        <v>420</v>
      </c>
      <c r="BQ211" s="438">
        <f>+INPUT!CP200</f>
        <v>-22.365988909426989</v>
      </c>
      <c r="BR211" s="449">
        <f>+INPUT!CQ200</f>
        <v>367</v>
      </c>
      <c r="BS211" s="438">
        <f>+INPUT!CR200</f>
        <v>-33.992805755395679</v>
      </c>
      <c r="BT211" s="449">
        <f>+INPUT!CS200</f>
        <v>441</v>
      </c>
      <c r="BU211" s="438">
        <f>+INPUT!CT200</f>
        <v>-3.0769230769230802</v>
      </c>
      <c r="BV211" s="449">
        <f>+INPUT!CU200</f>
        <v>296</v>
      </c>
      <c r="BW211" s="438">
        <f>+INPUT!CV200</f>
        <v>-19.125683060109282</v>
      </c>
      <c r="BX211" s="449">
        <f>+INPUT!CW200</f>
        <v>433</v>
      </c>
      <c r="BY211" s="438">
        <f>+INPUT!CX200</f>
        <v>3.0952380952380878</v>
      </c>
      <c r="BZ211" s="449">
        <f>+INPUT!CY200</f>
        <v>351</v>
      </c>
      <c r="CA211" s="438">
        <f>+INPUT!CZ200</f>
        <v>-4.3596730245231612</v>
      </c>
      <c r="CB211" s="449">
        <f>+INPUT!DA200</f>
        <v>32237</v>
      </c>
      <c r="CC211" s="438" t="str">
        <f>+INPUT!DB200</f>
        <v>NM</v>
      </c>
      <c r="CD211" s="449">
        <f>+INPUT!DC200</f>
        <v>482</v>
      </c>
      <c r="CE211" s="438">
        <f>+INPUT!DD200</f>
        <v>62.837837837837839</v>
      </c>
      <c r="CF211" s="449">
        <f>+INPUT!DE200</f>
        <v>610</v>
      </c>
      <c r="CG211" s="438">
        <f>+INPUT!DF200</f>
        <v>40.877598152424923</v>
      </c>
      <c r="CH211" s="449">
        <f>+INPUT!DG200</f>
        <v>666</v>
      </c>
      <c r="CI211" s="438">
        <f>+INPUT!DH200</f>
        <v>89.743589743589723</v>
      </c>
      <c r="CJ211" s="449">
        <f>+INPUT!DI200</f>
        <v>703</v>
      </c>
      <c r="CK211" s="438" t="str">
        <f>+INPUT!DJ200</f>
        <v>NM</v>
      </c>
      <c r="CL211" s="449">
        <f>+INPUT!DK200</f>
        <v>545</v>
      </c>
      <c r="CM211" s="438">
        <f>+INPUT!DL200</f>
        <v>13.07053941908714</v>
      </c>
      <c r="CN211" s="449">
        <f>+INPUT!DM200</f>
        <v>552</v>
      </c>
      <c r="CO211" s="438">
        <f>+INPUT!DN200</f>
        <v>-9.508196721311478</v>
      </c>
      <c r="CP211" s="449">
        <f>+INPUT!DO200</f>
        <v>1514</v>
      </c>
      <c r="CQ211" s="438" t="str">
        <f>+INPUT!DP200</f>
        <v>NM</v>
      </c>
      <c r="CR211" s="449">
        <f>+INPUT!DQ200</f>
        <v>5725</v>
      </c>
      <c r="CS211" s="438" t="str">
        <f>+INPUT!DR200</f>
        <v>NM</v>
      </c>
      <c r="CT211" s="449">
        <f>+INPUT!DS200</f>
        <v>1568</v>
      </c>
      <c r="CU211" s="438" t="str">
        <f>+INPUT!DT200</f>
        <v>NM</v>
      </c>
      <c r="CV211" s="449">
        <f>+INPUT!DU200</f>
        <v>2297</v>
      </c>
      <c r="CW211" s="438" t="str">
        <f>+INPUT!DV200</f>
        <v>NM</v>
      </c>
      <c r="CX211" s="449">
        <f>+INPUT!DW200</f>
        <v>1062</v>
      </c>
      <c r="CY211" s="438">
        <f>+INPUT!DX200</f>
        <v>-29.854689564068693</v>
      </c>
      <c r="CZ211" s="449">
        <f>+INPUT!DY200</f>
        <v>3423</v>
      </c>
      <c r="DA211" s="438">
        <f>+INPUT!DZ200</f>
        <v>-40.209606986899558</v>
      </c>
      <c r="DB211" s="449">
        <f>+INPUT!EA200</f>
        <v>1060</v>
      </c>
      <c r="DC211" s="438">
        <f>+INPUT!EB200</f>
        <v>-32.397959183673478</v>
      </c>
      <c r="DD211" s="449">
        <f>+INPUT!EC200</f>
        <v>1403</v>
      </c>
      <c r="DE211" s="438">
        <f>+INPUT!ED200</f>
        <v>-38.920330866347406</v>
      </c>
      <c r="DF211" s="449">
        <f>+INPUT!EE200</f>
        <v>4205</v>
      </c>
      <c r="DG211" s="438" t="str">
        <f>+INPUT!EF200</f>
        <v>NM</v>
      </c>
      <c r="DH211" s="449">
        <f>+INPUT!EG200</f>
        <v>2660</v>
      </c>
      <c r="DI211" s="438">
        <f>+INPUT!EH200</f>
        <v>-22.290388548057265</v>
      </c>
      <c r="DJ211" s="449">
        <f>+INPUT!EI200</f>
        <v>917</v>
      </c>
      <c r="DK211" s="438">
        <f>+INPUT!EJ200</f>
        <v>-13.490566037735846</v>
      </c>
      <c r="DL211" s="449">
        <f>+INPUT!EK200</f>
        <v>2649</v>
      </c>
      <c r="DM211" s="438">
        <f>+INPUT!EL200</f>
        <v>88.809693513898793</v>
      </c>
      <c r="DN211" s="449">
        <f>+INPUT!EM200</f>
        <v>2378</v>
      </c>
      <c r="DO211" s="438">
        <f>+INPUT!EN200</f>
        <v>-43.448275862068961</v>
      </c>
      <c r="DP211" s="449">
        <f>+INPUT!EO200</f>
        <v>4091</v>
      </c>
      <c r="DQ211" s="438">
        <f>+INPUT!EP200</f>
        <v>53.796992481203006</v>
      </c>
      <c r="DR211" s="449">
        <f>+INPUT!EQ200</f>
        <v>2391.75458672786</v>
      </c>
      <c r="DS211" s="438" t="str">
        <f>+INPUT!ER200</f>
        <v>NM</v>
      </c>
      <c r="DT211" s="449">
        <f>+INPUT!ES200</f>
        <v>2439.1790446163418</v>
      </c>
      <c r="DU211" s="438">
        <f>+INPUT!ET200</f>
        <v>-7.9207608676352663</v>
      </c>
      <c r="DV211" s="449">
        <f>+INPUT!EU200</f>
        <v>2486.5554111399933</v>
      </c>
      <c r="DW211" s="438">
        <f>+INPUT!EV200</f>
        <v>4.564987852817211</v>
      </c>
      <c r="DX211" s="449">
        <f>+INPUT!EW200</f>
        <v>2524.2966611573543</v>
      </c>
      <c r="DY211" s="438">
        <f>+INPUT!EX200</f>
        <v>-38.296341697449179</v>
      </c>
      <c r="DZ211" s="449"/>
      <c r="EA211" s="438"/>
      <c r="EB211" s="439">
        <f>+INPUT!FI200</f>
        <v>-1.827956989247312</v>
      </c>
      <c r="EC211" s="449">
        <f>+INPUT!FJ200</f>
        <v>880</v>
      </c>
      <c r="ED211" s="439">
        <f>+INPUT!FK200</f>
        <v>-3.6144578313252964</v>
      </c>
      <c r="EE211" s="449">
        <f>+INPUT!FL200</f>
        <v>791</v>
      </c>
      <c r="EF211" s="439">
        <f>+INPUT!FM200</f>
        <v>-10.113636363636374</v>
      </c>
      <c r="EG211" s="449">
        <f>+INPUT!FN200</f>
        <v>862</v>
      </c>
      <c r="EH211" s="439">
        <f>+INPUT!FO200</f>
        <v>8.9759797724399562</v>
      </c>
      <c r="EI211" s="449">
        <f>+INPUT!FP200</f>
        <v>1049</v>
      </c>
      <c r="EJ211" s="438">
        <f>+INPUT!FQ200</f>
        <v>21.693735498839899</v>
      </c>
      <c r="EK211" s="449">
        <f>+INPUT!FR200</f>
        <v>1104</v>
      </c>
      <c r="EL211" s="438">
        <f>+INPUT!FS200</f>
        <v>5.2430886558627208</v>
      </c>
      <c r="EM211" s="449">
        <f>+INPUT!FT200</f>
        <v>1145</v>
      </c>
      <c r="EN211" s="438">
        <f>+INPUT!FU200</f>
        <v>3.7137681159420453</v>
      </c>
      <c r="EO211" s="449">
        <f>+INPUT!FV200</f>
        <v>1321</v>
      </c>
      <c r="EP211" s="438">
        <f>+INPUT!FW200</f>
        <v>15.371179039301325</v>
      </c>
      <c r="EQ211" s="449">
        <f>+INPUT!FX200</f>
        <v>1380</v>
      </c>
      <c r="ER211" s="438">
        <f>+INPUT!FY200</f>
        <v>4.4663133989401871</v>
      </c>
      <c r="ES211" s="449">
        <f>+INPUT!FZ200</f>
        <v>1848</v>
      </c>
      <c r="ET211" s="438">
        <f>+INPUT!GA200</f>
        <v>33.913043478260875</v>
      </c>
      <c r="EU211" s="449">
        <f>+INPUT!GB200</f>
        <v>1594</v>
      </c>
      <c r="EV211" s="438">
        <f>+INPUT!GC200</f>
        <v>-13.744588744588754</v>
      </c>
      <c r="EW211" s="449">
        <f>+INPUT!GD200</f>
        <v>33317</v>
      </c>
      <c r="EX211" s="438" t="str">
        <f>+INPUT!GE200</f>
        <v>NM</v>
      </c>
      <c r="EY211" s="449">
        <f>+INPUT!GF200</f>
        <v>2461</v>
      </c>
      <c r="EZ211" s="438" t="str">
        <f>+INPUT!GG200</f>
        <v>NM</v>
      </c>
      <c r="FA211" s="449">
        <f>+INPUT!GH200</f>
        <v>8336</v>
      </c>
      <c r="FB211" s="438" t="str">
        <f>+INPUT!GI200</f>
        <v>NM</v>
      </c>
      <c r="FC211" s="449">
        <f>+INPUT!GJ200</f>
        <v>8350</v>
      </c>
      <c r="FD211" s="438">
        <f>+INPUT!GK200</f>
        <v>0.1679462571976984</v>
      </c>
      <c r="FE211" s="449">
        <f>+INPUT!GL200</f>
        <v>9328</v>
      </c>
      <c r="FF211" s="438">
        <f>+INPUT!GM200</f>
        <v>11.71257485029939</v>
      </c>
      <c r="FG211" s="449">
        <f>+INPUT!GN200</f>
        <v>10035</v>
      </c>
      <c r="FH211" s="438">
        <f>+INPUT!GO200</f>
        <v>7.5793310463121912</v>
      </c>
      <c r="FI211" s="449">
        <f>+INPUT!GP200</f>
        <v>9841.7857036415498</v>
      </c>
      <c r="FJ211" s="438">
        <f>+INPUT!GQ200</f>
        <v>-1.9254040494115543</v>
      </c>
      <c r="FK211" s="449">
        <f>+INPUT!GR200</f>
        <v>10222.221540994356</v>
      </c>
      <c r="FL211" s="438">
        <f>+INPUT!GS200</f>
        <v>3.8655163687626413</v>
      </c>
      <c r="FM211" s="449">
        <f>+INPUT!GT200</f>
        <v>10621.070240356363</v>
      </c>
      <c r="FN211" s="438">
        <f>+INPUT!GU200</f>
        <v>3.9017810146502683</v>
      </c>
      <c r="FO211" s="449">
        <f>+INPUT!GV200</f>
        <v>11036.023541811977</v>
      </c>
      <c r="FP211" s="438">
        <f>+INPUT!GW200</f>
        <v>3.9068878377146632</v>
      </c>
      <c r="FQ211" s="449">
        <f>+INPUT!GX200</f>
        <v>11467.75460135313</v>
      </c>
      <c r="FR211" s="438">
        <f>+INPUT!GY200</f>
        <v>3.9120164786298375</v>
      </c>
      <c r="FS211" s="438">
        <f>+INPUT!GZ200</f>
        <v>2.7051456506252292</v>
      </c>
    </row>
    <row r="212" spans="1:176" s="529" customFormat="1" ht="12.75" hidden="1" customHeight="1" outlineLevel="1" x14ac:dyDescent="0.2">
      <c r="A212" s="441" t="str">
        <f>+INPUT!B201</f>
        <v>Interest Credited</v>
      </c>
      <c r="B212" s="449">
        <f>+INPUT!AA201</f>
        <v>236</v>
      </c>
      <c r="C212" s="439">
        <f>+INPUT!AB201</f>
        <v>-2.8806584362139915</v>
      </c>
      <c r="D212" s="449">
        <f>+INPUT!AC201</f>
        <v>233</v>
      </c>
      <c r="E212" s="439">
        <f>+INPUT!AD201</f>
        <v>-2.1008403361344534</v>
      </c>
      <c r="F212" s="449">
        <f>+INPUT!AE201</f>
        <v>239</v>
      </c>
      <c r="G212" s="439">
        <f>+INPUT!AF201</f>
        <v>-3.2388663967611251</v>
      </c>
      <c r="H212" s="449">
        <f>+INPUT!AG201</f>
        <v>238</v>
      </c>
      <c r="I212" s="439">
        <f>+INPUT!AH201</f>
        <v>-4.8000000000000114</v>
      </c>
      <c r="J212" s="449">
        <f>+INPUT!AI201</f>
        <v>226</v>
      </c>
      <c r="K212" s="439">
        <f>+INPUT!AJ201</f>
        <v>-4.2372881355932179</v>
      </c>
      <c r="L212" s="449">
        <f>+INPUT!AK201</f>
        <v>376</v>
      </c>
      <c r="M212" s="439">
        <f>+INPUT!AL201</f>
        <v>61.373390557939899</v>
      </c>
      <c r="N212" s="449">
        <f>+INPUT!AM201</f>
        <v>372</v>
      </c>
      <c r="O212" s="439">
        <f>+INPUT!AN201</f>
        <v>55.648535564853574</v>
      </c>
      <c r="P212" s="449">
        <f>+INPUT!AO201</f>
        <v>388</v>
      </c>
      <c r="Q212" s="439">
        <f>+INPUT!AP201</f>
        <v>63.025210084033603</v>
      </c>
      <c r="R212" s="449">
        <f>+INPUT!AQ201</f>
        <v>384</v>
      </c>
      <c r="S212" s="439">
        <f>+INPUT!AR201</f>
        <v>69.911504424778769</v>
      </c>
      <c r="T212" s="449">
        <f>+INPUT!AS201</f>
        <v>397</v>
      </c>
      <c r="U212" s="439">
        <f>+INPUT!AT201</f>
        <v>5.5851063829787364</v>
      </c>
      <c r="V212" s="449">
        <f>+INPUT!AU201</f>
        <v>431</v>
      </c>
      <c r="W212" s="439">
        <f>+INPUT!AV201</f>
        <v>15.860215053763454</v>
      </c>
      <c r="X212" s="449">
        <f>+INPUT!AW201</f>
        <v>421</v>
      </c>
      <c r="Y212" s="439">
        <f>+INPUT!AX201</f>
        <v>8.5051546391752453</v>
      </c>
      <c r="Z212" s="449">
        <f>+INPUT!AY201</f>
        <v>429</v>
      </c>
      <c r="AA212" s="439">
        <f>+INPUT!AZ201</f>
        <v>11.71875</v>
      </c>
      <c r="AB212" s="449">
        <f>+INPUT!BA201</f>
        <v>452</v>
      </c>
      <c r="AC212" s="439">
        <f>+INPUT!BB201</f>
        <v>13.853904282115863</v>
      </c>
      <c r="AD212" s="449">
        <f>+INPUT!BC201</f>
        <v>475</v>
      </c>
      <c r="AE212" s="439">
        <f>+INPUT!BD201</f>
        <v>10.208816705336417</v>
      </c>
      <c r="AF212" s="449">
        <f>+INPUT!BE201</f>
        <v>497</v>
      </c>
      <c r="AG212" s="439">
        <f>+INPUT!BF201</f>
        <v>18.052256532066508</v>
      </c>
      <c r="AH212" s="449">
        <f>+INPUT!BG201</f>
        <v>492</v>
      </c>
      <c r="AI212" s="438">
        <f>+INPUT!BH201</f>
        <v>14.685314685314694</v>
      </c>
      <c r="AJ212" s="449">
        <f>+INPUT!BI201</f>
        <v>508</v>
      </c>
      <c r="AK212" s="438">
        <f>+INPUT!BJ201</f>
        <v>12.389380530973455</v>
      </c>
      <c r="AL212" s="449">
        <f>+INPUT!BK201</f>
        <v>528</v>
      </c>
      <c r="AM212" s="438">
        <f>+INPUT!BL201</f>
        <v>11.157894736842096</v>
      </c>
      <c r="AN212" s="449">
        <f>+INPUT!BM201</f>
        <v>545</v>
      </c>
      <c r="AO212" s="438">
        <f>+INPUT!BN201</f>
        <v>9.6579476861166995</v>
      </c>
      <c r="AP212" s="449">
        <f>+INPUT!BO201</f>
        <v>533</v>
      </c>
      <c r="AQ212" s="438">
        <f>+INPUT!BP201</f>
        <v>8.3333333333333286</v>
      </c>
      <c r="AR212" s="449">
        <f>+INPUT!BQ201</f>
        <v>523</v>
      </c>
      <c r="AS212" s="438">
        <f>+INPUT!BR201</f>
        <v>2.9527559055118076</v>
      </c>
      <c r="AT212" s="449">
        <f>+INPUT!BS201</f>
        <v>538</v>
      </c>
      <c r="AU212" s="438">
        <f>+INPUT!BT201</f>
        <v>1.8939393939394051</v>
      </c>
      <c r="AV212" s="449">
        <f>+INPUT!BU201</f>
        <v>550</v>
      </c>
      <c r="AW212" s="438">
        <f>+INPUT!BV201</f>
        <v>0.91743119266054407</v>
      </c>
      <c r="AX212" s="449">
        <f>+INPUT!BW201</f>
        <v>488</v>
      </c>
      <c r="AY212" s="438">
        <f>+INPUT!BX201</f>
        <v>-8.4427767354596739</v>
      </c>
      <c r="AZ212" s="449">
        <f>+INPUT!BY201</f>
        <v>484</v>
      </c>
      <c r="BA212" s="438">
        <f>+INPUT!BZ201</f>
        <v>-7.4569789674952176</v>
      </c>
      <c r="BB212" s="449">
        <f>+INPUT!CA201</f>
        <v>468</v>
      </c>
      <c r="BC212" s="438">
        <f>+INPUT!CB201</f>
        <v>-13.011152416356879</v>
      </c>
      <c r="BD212" s="449">
        <f>+INPUT!CC201</f>
        <v>467</v>
      </c>
      <c r="BE212" s="438">
        <f>+INPUT!CD201</f>
        <v>-15.090909090909093</v>
      </c>
      <c r="BF212" s="449">
        <f>+INPUT!CE201</f>
        <v>451</v>
      </c>
      <c r="BG212" s="438">
        <f>+INPUT!CF201</f>
        <v>-7.5819672131147513</v>
      </c>
      <c r="BH212" s="449">
        <f>+INPUT!CG201</f>
        <v>458</v>
      </c>
      <c r="BI212" s="438">
        <f>+INPUT!CH201</f>
        <v>-5.3719008264462786</v>
      </c>
      <c r="BJ212" s="449">
        <f>+INPUT!CI201</f>
        <v>460</v>
      </c>
      <c r="BK212" s="438">
        <f>+INPUT!CJ201</f>
        <v>-1.7094017094017175</v>
      </c>
      <c r="BL212" s="449">
        <f>+INPUT!CK201</f>
        <v>465</v>
      </c>
      <c r="BM212" s="438">
        <f>+INPUT!CL201</f>
        <v>-0.42826552462527445</v>
      </c>
      <c r="BN212" s="449">
        <f>+INPUT!CM201</f>
        <v>414</v>
      </c>
      <c r="BO212" s="438">
        <f>+INPUT!CN201</f>
        <v>-8.2039911308203983</v>
      </c>
      <c r="BP212" s="449">
        <f>+INPUT!CO201</f>
        <v>427</v>
      </c>
      <c r="BQ212" s="438">
        <f>+INPUT!CP201</f>
        <v>-6.768558951965062</v>
      </c>
      <c r="BR212" s="449">
        <f>+INPUT!CQ201</f>
        <v>441</v>
      </c>
      <c r="BS212" s="438">
        <f>+INPUT!CR201</f>
        <v>-4.1304347826086882</v>
      </c>
      <c r="BT212" s="449">
        <f>+INPUT!CS201</f>
        <v>433</v>
      </c>
      <c r="BU212" s="438">
        <f>+INPUT!CT201</f>
        <v>-6.881720430107535</v>
      </c>
      <c r="BV212" s="449">
        <f>+INPUT!CU201</f>
        <v>427</v>
      </c>
      <c r="BW212" s="438">
        <f>+INPUT!CV201</f>
        <v>3.1400966183574752</v>
      </c>
      <c r="BX212" s="449">
        <f>+INPUT!CW201</f>
        <v>426</v>
      </c>
      <c r="BY212" s="438">
        <f>+INPUT!CX201</f>
        <v>-0.23419203747072004</v>
      </c>
      <c r="BZ212" s="449">
        <f>+INPUT!CY201</f>
        <v>432</v>
      </c>
      <c r="CA212" s="438">
        <f>+INPUT!CZ201</f>
        <v>-2.0408163265306172</v>
      </c>
      <c r="CB212" s="449">
        <f>+INPUT!DA201</f>
        <v>410</v>
      </c>
      <c r="CC212" s="438">
        <f>+INPUT!DB201</f>
        <v>-5.3117782909930753</v>
      </c>
      <c r="CD212" s="449">
        <f>+INPUT!DC201</f>
        <v>388</v>
      </c>
      <c r="CE212" s="438">
        <f>+INPUT!DD201</f>
        <v>-9.1334894613583089</v>
      </c>
      <c r="CF212" s="449">
        <f>+INPUT!DE201</f>
        <v>382</v>
      </c>
      <c r="CG212" s="438">
        <f>+INPUT!DF201</f>
        <v>-10.328638497652591</v>
      </c>
      <c r="CH212" s="449">
        <f>+INPUT!DG201</f>
        <v>379</v>
      </c>
      <c r="CI212" s="438">
        <f>+INPUT!DH201</f>
        <v>-12.268518518518519</v>
      </c>
      <c r="CJ212" s="449">
        <f>+INPUT!DI201</f>
        <v>380</v>
      </c>
      <c r="CK212" s="438">
        <f>+INPUT!DJ201</f>
        <v>-7.3170731707317032</v>
      </c>
      <c r="CL212" s="449">
        <f>+INPUT!DK201</f>
        <v>371</v>
      </c>
      <c r="CM212" s="438">
        <f>+INPUT!DL201</f>
        <v>-4.3814432989690744</v>
      </c>
      <c r="CN212" s="449">
        <f>+INPUT!DM201</f>
        <v>374</v>
      </c>
      <c r="CO212" s="438">
        <f>+INPUT!DN201</f>
        <v>-2.0942408376963328</v>
      </c>
      <c r="CP212" s="449">
        <f>+INPUT!DO201</f>
        <v>365</v>
      </c>
      <c r="CQ212" s="438">
        <f>+INPUT!DP201</f>
        <v>-3.6939313984168791</v>
      </c>
      <c r="CR212" s="449">
        <f>+INPUT!DQ201</f>
        <v>366</v>
      </c>
      <c r="CS212" s="438">
        <f>+INPUT!DR201</f>
        <v>-3.6842105263157947</v>
      </c>
      <c r="CT212" s="449">
        <f>+INPUT!DS201</f>
        <v>369</v>
      </c>
      <c r="CU212" s="438">
        <f>+INPUT!DT201</f>
        <v>-0.53908355795148566</v>
      </c>
      <c r="CV212" s="449">
        <f>+INPUT!DU201</f>
        <v>365</v>
      </c>
      <c r="CW212" s="438">
        <f>+INPUT!DV201</f>
        <v>-2.4064171122994651</v>
      </c>
      <c r="CX212" s="449">
        <f>+INPUT!DW201</f>
        <v>362</v>
      </c>
      <c r="CY212" s="438">
        <f>+INPUT!DX201</f>
        <v>-0.82191780821916893</v>
      </c>
      <c r="CZ212" s="449">
        <f>+INPUT!DY201</f>
        <v>345</v>
      </c>
      <c r="DA212" s="438">
        <f>+INPUT!DZ201</f>
        <v>-5.7377049180327759</v>
      </c>
      <c r="DB212" s="449">
        <f>+INPUT!EA201</f>
        <v>353</v>
      </c>
      <c r="DC212" s="438">
        <f>+INPUT!EB201</f>
        <v>-4.3360433604336066</v>
      </c>
      <c r="DD212" s="449">
        <f>+INPUT!EC201</f>
        <v>353</v>
      </c>
      <c r="DE212" s="438">
        <f>+INPUT!ED201</f>
        <v>-3.2876712328767042</v>
      </c>
      <c r="DF212" s="449">
        <f>+INPUT!EE201</f>
        <v>386</v>
      </c>
      <c r="DG212" s="438">
        <f>+INPUT!EF201</f>
        <v>6.6298342541436455</v>
      </c>
      <c r="DH212" s="449">
        <f>+INPUT!EG201</f>
        <v>381</v>
      </c>
      <c r="DI212" s="438">
        <f>+INPUT!EH201</f>
        <v>10.434782608695656</v>
      </c>
      <c r="DJ212" s="449">
        <f>+INPUT!EI201</f>
        <v>364</v>
      </c>
      <c r="DK212" s="438">
        <f>+INPUT!EJ201</f>
        <v>3.1161473087818763</v>
      </c>
      <c r="DL212" s="449">
        <f>+INPUT!EK201</f>
        <v>409</v>
      </c>
      <c r="DM212" s="438">
        <f>+INPUT!EL201</f>
        <v>15.864022662889511</v>
      </c>
      <c r="DN212" s="449">
        <f>+INPUT!EM201</f>
        <v>366</v>
      </c>
      <c r="DO212" s="438">
        <f>+INPUT!EN201</f>
        <v>-5.1813471502590573</v>
      </c>
      <c r="DP212" s="449">
        <f>+INPUT!EO201</f>
        <v>368</v>
      </c>
      <c r="DQ212" s="438">
        <f>+INPUT!EP201</f>
        <v>-3.4120734908136541</v>
      </c>
      <c r="DR212" s="449">
        <f>+INPUT!EQ201</f>
        <v>388.55611759999999</v>
      </c>
      <c r="DS212" s="438">
        <f>+INPUT!ER201</f>
        <v>6.7461861538461392</v>
      </c>
      <c r="DT212" s="449">
        <f>+INPUT!ES201</f>
        <v>391.85884459960005</v>
      </c>
      <c r="DU212" s="438">
        <f>+INPUT!ET201</f>
        <v>-4.1909915404400806</v>
      </c>
      <c r="DV212" s="449">
        <f>+INPUT!EU201</f>
        <v>395.18964477869662</v>
      </c>
      <c r="DW212" s="438">
        <f>+INPUT!EV201</f>
        <v>7.9753127810646447</v>
      </c>
      <c r="DX212" s="449">
        <f>+INPUT!EW201</f>
        <v>398.54875675931549</v>
      </c>
      <c r="DY212" s="438">
        <f>+INPUT!EX201</f>
        <v>8.3012925976400709</v>
      </c>
      <c r="DZ212" s="449"/>
      <c r="EA212" s="438"/>
      <c r="EB212" s="439">
        <f>+INPUT!FI201</f>
        <v>-4.58984375</v>
      </c>
      <c r="EC212" s="449">
        <f>+INPUT!FJ201</f>
        <v>978</v>
      </c>
      <c r="ED212" s="439">
        <f>+INPUT!FK201</f>
        <v>0.10235414534287202</v>
      </c>
      <c r="EE212" s="449">
        <f>+INPUT!FL201</f>
        <v>946</v>
      </c>
      <c r="EF212" s="439">
        <f>+INPUT!FM201</f>
        <v>-3.2719836400817996</v>
      </c>
      <c r="EG212" s="449">
        <f>+INPUT!FN201</f>
        <v>1362</v>
      </c>
      <c r="EH212" s="439">
        <f>+INPUT!FO201</f>
        <v>43.97463002114165</v>
      </c>
      <c r="EI212" s="449">
        <f>+INPUT!FP201</f>
        <v>1633</v>
      </c>
      <c r="EJ212" s="438">
        <f>+INPUT!FQ201</f>
        <v>19.897209985315726</v>
      </c>
      <c r="EK212" s="449">
        <f>+INPUT!FR201</f>
        <v>1853</v>
      </c>
      <c r="EL212" s="438">
        <f>+INPUT!FS201</f>
        <v>13.472137170851184</v>
      </c>
      <c r="EM212" s="449">
        <f>+INPUT!FT201</f>
        <v>2073</v>
      </c>
      <c r="EN212" s="438">
        <f>+INPUT!FU201</f>
        <v>11.872638963842405</v>
      </c>
      <c r="EO212" s="449">
        <f>+INPUT!FV201</f>
        <v>2144</v>
      </c>
      <c r="EP212" s="438">
        <f>+INPUT!FW201</f>
        <v>3.4249879401833141</v>
      </c>
      <c r="EQ212" s="449">
        <f>+INPUT!FX201</f>
        <v>1907</v>
      </c>
      <c r="ER212" s="438">
        <f>+INPUT!FY201</f>
        <v>-11.054104477611943</v>
      </c>
      <c r="ES212" s="449">
        <f>+INPUT!FZ201</f>
        <v>1834</v>
      </c>
      <c r="ET212" s="438">
        <f>+INPUT!GA201</f>
        <v>-3.8280020975354034</v>
      </c>
      <c r="EU212" s="449">
        <f>+INPUT!GB201</f>
        <v>1715</v>
      </c>
      <c r="EV212" s="438">
        <f>+INPUT!GC201</f>
        <v>-6.4885496183206186</v>
      </c>
      <c r="EW212" s="449">
        <f>+INPUT!GD201</f>
        <v>1695</v>
      </c>
      <c r="EX212" s="438">
        <f>+INPUT!GE201</f>
        <v>-1.1661807580174894</v>
      </c>
      <c r="EY212" s="449">
        <f>+INPUT!GF201</f>
        <v>1529</v>
      </c>
      <c r="EZ212" s="438">
        <f>+INPUT!GG201</f>
        <v>-9.7935103244837762</v>
      </c>
      <c r="FA212" s="449">
        <f>+INPUT!GH201</f>
        <v>1476</v>
      </c>
      <c r="FB212" s="438">
        <f>+INPUT!GI201</f>
        <v>-3.4663178548070732</v>
      </c>
      <c r="FC212" s="449">
        <f>+INPUT!GJ201</f>
        <v>1441</v>
      </c>
      <c r="FD212" s="438">
        <f>+INPUT!GK201</f>
        <v>-2.3712737127371355</v>
      </c>
      <c r="FE212" s="449">
        <f>+INPUT!GL201</f>
        <v>1473</v>
      </c>
      <c r="FF212" s="438">
        <f>+INPUT!GM201</f>
        <v>2.2206800832754965</v>
      </c>
      <c r="FG212" s="449">
        <f>+INPUT!GN201</f>
        <v>1507</v>
      </c>
      <c r="FH212" s="438">
        <f>+INPUT!GO201</f>
        <v>2.3082145281738065</v>
      </c>
      <c r="FI212" s="449">
        <f>+INPUT!GP201</f>
        <v>1574.1533637376122</v>
      </c>
      <c r="FJ212" s="438">
        <f>+INPUT!GQ201</f>
        <v>4.4560958020976926</v>
      </c>
      <c r="FK212" s="449">
        <f>+INPUT!GR201</f>
        <v>1648.2795488291476</v>
      </c>
      <c r="FL212" s="438">
        <f>+INPUT!GS201</f>
        <v>4.7089557344992699</v>
      </c>
      <c r="FM212" s="449">
        <f>+INPUT!GT201</f>
        <v>1725.6265932184263</v>
      </c>
      <c r="FN212" s="438">
        <f>+INPUT!GU201</f>
        <v>4.6925926153862605</v>
      </c>
      <c r="FO212" s="449">
        <f>+INPUT!GV201</f>
        <v>1806.3278254677302</v>
      </c>
      <c r="FP212" s="438">
        <f>+INPUT!GW201</f>
        <v>4.6766335524993252</v>
      </c>
      <c r="FQ212" s="449">
        <f>+INPUT!GX201</f>
        <v>1890.5219171682259</v>
      </c>
      <c r="FR212" s="438">
        <f>+INPUT!GY201</f>
        <v>4.6610637622600137</v>
      </c>
      <c r="FS212" s="438">
        <f>+INPUT!GZ201</f>
        <v>4.6390270482334683</v>
      </c>
    </row>
    <row r="213" spans="1:176" s="529" customFormat="1" ht="12.75" hidden="1" customHeight="1" outlineLevel="1" x14ac:dyDescent="0.2">
      <c r="A213" s="441" t="str">
        <f>+INPUT!B202</f>
        <v>Interest Expense</v>
      </c>
      <c r="B213" s="449">
        <f>+INPUT!AA202</f>
        <v>5</v>
      </c>
      <c r="C213" s="439" t="str">
        <f>+INPUT!AB202</f>
        <v>NM</v>
      </c>
      <c r="D213" s="449">
        <f>+INPUT!AC202</f>
        <v>4</v>
      </c>
      <c r="E213" s="439">
        <f>+INPUT!AD202</f>
        <v>100</v>
      </c>
      <c r="F213" s="449">
        <f>+INPUT!AE202</f>
        <v>3</v>
      </c>
      <c r="G213" s="439" t="str">
        <f>+INPUT!AF202</f>
        <v>NA</v>
      </c>
      <c r="H213" s="449">
        <f>+INPUT!AG202</f>
        <v>5</v>
      </c>
      <c r="I213" s="439" t="str">
        <f>+INPUT!AH202</f>
        <v>NM</v>
      </c>
      <c r="J213" s="449">
        <f>+INPUT!AI202</f>
        <v>2</v>
      </c>
      <c r="K213" s="439" t="str">
        <f>+INPUT!AJ202</f>
        <v>NM</v>
      </c>
      <c r="L213" s="449">
        <f>+INPUT!AK202</f>
        <v>3</v>
      </c>
      <c r="M213" s="439">
        <f>+INPUT!AL202</f>
        <v>-25</v>
      </c>
      <c r="N213" s="449">
        <f>+INPUT!AM202</f>
        <v>14</v>
      </c>
      <c r="O213" s="439" t="str">
        <f>+INPUT!AN202</f>
        <v>NM</v>
      </c>
      <c r="P213" s="449">
        <f>+INPUT!AO202</f>
        <v>18</v>
      </c>
      <c r="Q213" s="439" t="str">
        <f>+INPUT!AP202</f>
        <v>NM</v>
      </c>
      <c r="R213" s="449">
        <f>+INPUT!AQ202</f>
        <v>19</v>
      </c>
      <c r="S213" s="439" t="str">
        <f>+INPUT!AR202</f>
        <v>NM</v>
      </c>
      <c r="T213" s="449">
        <f>+INPUT!AS202</f>
        <v>21</v>
      </c>
      <c r="U213" s="439" t="str">
        <f>+INPUT!AT202</f>
        <v>NM</v>
      </c>
      <c r="V213" s="449">
        <f>+INPUT!AU202</f>
        <v>20</v>
      </c>
      <c r="W213" s="439">
        <f>+INPUT!AV202</f>
        <v>42.857142857142861</v>
      </c>
      <c r="X213" s="449">
        <f>+INPUT!AW202</f>
        <v>39</v>
      </c>
      <c r="Y213" s="439" t="str">
        <f>+INPUT!AX202</f>
        <v>NM</v>
      </c>
      <c r="Z213" s="449">
        <f>+INPUT!AY202</f>
        <v>40</v>
      </c>
      <c r="AA213" s="439" t="str">
        <f>+INPUT!AZ202</f>
        <v>NM</v>
      </c>
      <c r="AB213" s="449">
        <f>+INPUT!BA202</f>
        <v>53</v>
      </c>
      <c r="AC213" s="439" t="str">
        <f>+INPUT!BB202</f>
        <v>NM</v>
      </c>
      <c r="AD213" s="449">
        <f>+INPUT!BC202</f>
        <v>53</v>
      </c>
      <c r="AE213" s="439" t="str">
        <f>+INPUT!BD202</f>
        <v>NM</v>
      </c>
      <c r="AF213" s="449">
        <f>+INPUT!BE202</f>
        <v>51</v>
      </c>
      <c r="AG213" s="439">
        <f>+INPUT!BF202</f>
        <v>30.769230769230774</v>
      </c>
      <c r="AH213" s="449">
        <f>+INPUT!BG202</f>
        <v>49</v>
      </c>
      <c r="AI213" s="438">
        <f>+INPUT!BH202</f>
        <v>22.500000000000014</v>
      </c>
      <c r="AJ213" s="449">
        <f>+INPUT!BI202</f>
        <v>50</v>
      </c>
      <c r="AK213" s="438">
        <f>+INPUT!BJ202</f>
        <v>-5.6603773584905639</v>
      </c>
      <c r="AL213" s="449">
        <f>+INPUT!BK202</f>
        <v>57</v>
      </c>
      <c r="AM213" s="438">
        <f>+INPUT!BL202</f>
        <v>7.5471698113207566</v>
      </c>
      <c r="AN213" s="449">
        <f>+INPUT!BM202</f>
        <v>56</v>
      </c>
      <c r="AO213" s="438">
        <f>+INPUT!BN202</f>
        <v>9.8039215686274588</v>
      </c>
      <c r="AP213" s="449">
        <f>+INPUT!BO202</f>
        <v>30</v>
      </c>
      <c r="AQ213" s="438">
        <f>+INPUT!BP202</f>
        <v>-38.775510204081634</v>
      </c>
      <c r="AR213" s="449">
        <f>+INPUT!BQ202</f>
        <v>19</v>
      </c>
      <c r="AS213" s="438" t="str">
        <f>+INPUT!BR202</f>
        <v>NM</v>
      </c>
      <c r="AT213" s="449">
        <f>+INPUT!BS202</f>
        <v>19</v>
      </c>
      <c r="AU213" s="438" t="str">
        <f>+INPUT!BT202</f>
        <v>NM</v>
      </c>
      <c r="AV213" s="449">
        <f>+INPUT!BU202</f>
        <v>21</v>
      </c>
      <c r="AW213" s="438" t="str">
        <f>+INPUT!BV202</f>
        <v>NM</v>
      </c>
      <c r="AX213" s="449">
        <f>+INPUT!BW202</f>
        <v>12</v>
      </c>
      <c r="AY213" s="438" t="str">
        <f>+INPUT!BX202</f>
        <v>NM</v>
      </c>
      <c r="AZ213" s="449">
        <f>+INPUT!BY202</f>
        <v>6</v>
      </c>
      <c r="BA213" s="438" t="str">
        <f>+INPUT!BZ202</f>
        <v>NM</v>
      </c>
      <c r="BB213" s="449">
        <f>+INPUT!CA202</f>
        <v>6</v>
      </c>
      <c r="BC213" s="438" t="str">
        <f>+INPUT!CB202</f>
        <v>NM</v>
      </c>
      <c r="BD213" s="449">
        <f>+INPUT!CC202</f>
        <v>5</v>
      </c>
      <c r="BE213" s="438" t="str">
        <f>+INPUT!CD202</f>
        <v>NM</v>
      </c>
      <c r="BF213" s="449">
        <f>+INPUT!CE202</f>
        <v>4</v>
      </c>
      <c r="BG213" s="438" t="str">
        <f>+INPUT!CF202</f>
        <v>NM</v>
      </c>
      <c r="BH213" s="449">
        <f>+INPUT!CG202</f>
        <v>4</v>
      </c>
      <c r="BI213" s="438">
        <f>+INPUT!CH202</f>
        <v>-33.333333333333343</v>
      </c>
      <c r="BJ213" s="449">
        <f>+INPUT!CI202</f>
        <v>5</v>
      </c>
      <c r="BK213" s="438">
        <f>+INPUT!CJ202</f>
        <v>-16.666666666666657</v>
      </c>
      <c r="BL213" s="449">
        <f>+INPUT!CK202</f>
        <v>4</v>
      </c>
      <c r="BM213" s="438">
        <f>+INPUT!CL202</f>
        <v>-20</v>
      </c>
      <c r="BN213" s="449">
        <f>+INPUT!CM202</f>
        <v>4</v>
      </c>
      <c r="BO213" s="438">
        <f>+INPUT!CN202</f>
        <v>0</v>
      </c>
      <c r="BP213" s="449">
        <f>+INPUT!CO202</f>
        <v>3</v>
      </c>
      <c r="BQ213" s="438">
        <f>+INPUT!CP202</f>
        <v>-25</v>
      </c>
      <c r="BR213" s="449">
        <f>+INPUT!CQ202</f>
        <v>4</v>
      </c>
      <c r="BS213" s="438">
        <f>+INPUT!CR202</f>
        <v>-20</v>
      </c>
      <c r="BT213" s="449">
        <f>+INPUT!CS202</f>
        <v>3</v>
      </c>
      <c r="BU213" s="438">
        <f>+INPUT!CT202</f>
        <v>-25</v>
      </c>
      <c r="BV213" s="449">
        <f>+INPUT!CU202</f>
        <v>4</v>
      </c>
      <c r="BW213" s="438">
        <f>+INPUT!CV202</f>
        <v>0</v>
      </c>
      <c r="BX213" s="449">
        <f>+INPUT!CW202</f>
        <v>6</v>
      </c>
      <c r="BY213" s="438">
        <f>+INPUT!CX202</f>
        <v>100</v>
      </c>
      <c r="BZ213" s="449">
        <f>+INPUT!CY202</f>
        <v>5</v>
      </c>
      <c r="CA213" s="438">
        <f>+INPUT!CZ202</f>
        <v>25</v>
      </c>
      <c r="CB213" s="449">
        <f>+INPUT!DA202</f>
        <v>5</v>
      </c>
      <c r="CC213" s="438">
        <f>+INPUT!DB202</f>
        <v>66.666666666666686</v>
      </c>
      <c r="CD213" s="449">
        <f>+INPUT!DC202</f>
        <v>7</v>
      </c>
      <c r="CE213" s="438">
        <f>+INPUT!DD202</f>
        <v>75</v>
      </c>
      <c r="CF213" s="449">
        <f>+INPUT!DE202</f>
        <v>6</v>
      </c>
      <c r="CG213" s="438">
        <f>+INPUT!DF202</f>
        <v>0</v>
      </c>
      <c r="CH213" s="449">
        <f>+INPUT!DG202</f>
        <v>7</v>
      </c>
      <c r="CI213" s="438">
        <f>+INPUT!DH202</f>
        <v>40</v>
      </c>
      <c r="CJ213" s="449">
        <f>+INPUT!DI202</f>
        <v>6</v>
      </c>
      <c r="CK213" s="438">
        <f>+INPUT!DJ202</f>
        <v>20</v>
      </c>
      <c r="CL213" s="449">
        <f>+INPUT!DK202</f>
        <v>6</v>
      </c>
      <c r="CM213" s="438">
        <f>+INPUT!DL202</f>
        <v>-14.285714285714292</v>
      </c>
      <c r="CN213" s="449">
        <f>+INPUT!DM202</f>
        <v>6</v>
      </c>
      <c r="CO213" s="438">
        <f>+INPUT!DN202</f>
        <v>0</v>
      </c>
      <c r="CP213" s="449">
        <f>+INPUT!DO202</f>
        <v>7</v>
      </c>
      <c r="CQ213" s="438">
        <f>+INPUT!DP202</f>
        <v>0</v>
      </c>
      <c r="CR213" s="449">
        <f>+INPUT!DQ202</f>
        <v>6</v>
      </c>
      <c r="CS213" s="438">
        <f>+INPUT!DR202</f>
        <v>0</v>
      </c>
      <c r="CT213" s="449">
        <f>+INPUT!DS202</f>
        <v>7</v>
      </c>
      <c r="CU213" s="438">
        <f>+INPUT!DT202</f>
        <v>16.666666666666671</v>
      </c>
      <c r="CV213" s="449">
        <f>+INPUT!DU202</f>
        <v>7</v>
      </c>
      <c r="CW213" s="438">
        <f>+INPUT!DV202</f>
        <v>16.666666666666671</v>
      </c>
      <c r="CX213" s="449">
        <f>+INPUT!DW202</f>
        <v>7</v>
      </c>
      <c r="CY213" s="438">
        <f>+INPUT!DX202</f>
        <v>0</v>
      </c>
      <c r="CZ213" s="449">
        <f>+INPUT!DY202</f>
        <v>4</v>
      </c>
      <c r="DA213" s="438">
        <f>+INPUT!DZ202</f>
        <v>-33.333333333333343</v>
      </c>
      <c r="DB213" s="449">
        <f>+INPUT!EA202</f>
        <v>4</v>
      </c>
      <c r="DC213" s="438">
        <f>+INPUT!EB202</f>
        <v>-42.857142857142861</v>
      </c>
      <c r="DD213" s="449">
        <f>+INPUT!EC202</f>
        <v>5</v>
      </c>
      <c r="DE213" s="438">
        <f>+INPUT!ED202</f>
        <v>-28.571428571428569</v>
      </c>
      <c r="DF213" s="449">
        <f>+INPUT!EE202</f>
        <v>5</v>
      </c>
      <c r="DG213" s="438">
        <f>+INPUT!EF202</f>
        <v>-28.571428571428569</v>
      </c>
      <c r="DH213" s="449">
        <f>+INPUT!EG202</f>
        <v>5</v>
      </c>
      <c r="DI213" s="438">
        <f>+INPUT!EH202</f>
        <v>25</v>
      </c>
      <c r="DJ213" s="449">
        <f>+INPUT!EI202</f>
        <v>6</v>
      </c>
      <c r="DK213" s="438">
        <f>+INPUT!EJ202</f>
        <v>50</v>
      </c>
      <c r="DL213" s="449">
        <f>+INPUT!EK202</f>
        <v>6</v>
      </c>
      <c r="DM213" s="438">
        <f>+INPUT!EL202</f>
        <v>20</v>
      </c>
      <c r="DN213" s="449">
        <f>+INPUT!EM202</f>
        <v>6</v>
      </c>
      <c r="DO213" s="438">
        <f>+INPUT!EN202</f>
        <v>20</v>
      </c>
      <c r="DP213" s="449">
        <f>+INPUT!EO202</f>
        <v>8</v>
      </c>
      <c r="DQ213" s="438">
        <f>+INPUT!EP202</f>
        <v>60</v>
      </c>
      <c r="DR213" s="449">
        <f>+INPUT!EQ202</f>
        <v>6.36</v>
      </c>
      <c r="DS213" s="438">
        <f>+INPUT!ER202</f>
        <v>6</v>
      </c>
      <c r="DT213" s="449">
        <f>+INPUT!ES202</f>
        <v>6.36</v>
      </c>
      <c r="DU213" s="438">
        <f>+INPUT!ET202</f>
        <v>6</v>
      </c>
      <c r="DV213" s="449">
        <f>+INPUT!EU202</f>
        <v>6.36</v>
      </c>
      <c r="DW213" s="438">
        <f>+INPUT!EV202</f>
        <v>6</v>
      </c>
      <c r="DX213" s="449">
        <f>+INPUT!EW202</f>
        <v>8.48</v>
      </c>
      <c r="DY213" s="438">
        <f>+INPUT!EX202</f>
        <v>6</v>
      </c>
      <c r="DZ213" s="449"/>
      <c r="EA213" s="438"/>
      <c r="EB213" s="439" t="str">
        <f>+INPUT!FI202</f>
        <v>NM</v>
      </c>
      <c r="EC213" s="449">
        <f>+INPUT!FJ202</f>
        <v>2</v>
      </c>
      <c r="ED213" s="439" t="str">
        <f>+INPUT!FK202</f>
        <v>NM</v>
      </c>
      <c r="EE213" s="449">
        <f>+INPUT!FL202</f>
        <v>17</v>
      </c>
      <c r="EF213" s="439" t="str">
        <f>+INPUT!FM202</f>
        <v>NM</v>
      </c>
      <c r="EG213" s="449">
        <f>+INPUT!FN202</f>
        <v>37</v>
      </c>
      <c r="EH213" s="439" t="str">
        <f>+INPUT!FO202</f>
        <v>NM</v>
      </c>
      <c r="EI213" s="449">
        <f>+INPUT!FP202</f>
        <v>99</v>
      </c>
      <c r="EJ213" s="438" t="str">
        <f>+INPUT!FQ202</f>
        <v>NM</v>
      </c>
      <c r="EK213" s="449">
        <f>+INPUT!FR202</f>
        <v>197</v>
      </c>
      <c r="EL213" s="438">
        <f>+INPUT!FS202</f>
        <v>98.98989898989899</v>
      </c>
      <c r="EM213" s="449">
        <f>+INPUT!FT202</f>
        <v>212</v>
      </c>
      <c r="EN213" s="438">
        <f>+INPUT!FU202</f>
        <v>7.6142131979695336</v>
      </c>
      <c r="EO213" s="449">
        <f>+INPUT!FV202</f>
        <v>89</v>
      </c>
      <c r="EP213" s="438" t="str">
        <f>+INPUT!FW202</f>
        <v>NM</v>
      </c>
      <c r="EQ213" s="449">
        <f>+INPUT!FX202</f>
        <v>29</v>
      </c>
      <c r="ER213" s="438" t="str">
        <f>+INPUT!FY202</f>
        <v>NM</v>
      </c>
      <c r="ES213" s="449">
        <f>+INPUT!FZ202</f>
        <v>17</v>
      </c>
      <c r="ET213" s="438">
        <f>+INPUT!GA202</f>
        <v>-41.379310344827594</v>
      </c>
      <c r="EU213" s="449">
        <f>+INPUT!GB202</f>
        <v>14</v>
      </c>
      <c r="EV213" s="438">
        <f>+INPUT!GC202</f>
        <v>-17.64705882352942</v>
      </c>
      <c r="EW213" s="449">
        <f>+INPUT!GD202</f>
        <v>20</v>
      </c>
      <c r="EX213" s="438">
        <f>+INPUT!GE202</f>
        <v>42.857142857142861</v>
      </c>
      <c r="EY213" s="449">
        <f>+INPUT!GF202</f>
        <v>26</v>
      </c>
      <c r="EZ213" s="438">
        <f>+INPUT!GG202</f>
        <v>30</v>
      </c>
      <c r="FA213" s="449">
        <f>+INPUT!GH202</f>
        <v>25</v>
      </c>
      <c r="FB213" s="438">
        <f>+INPUT!GI202</f>
        <v>-3.8461538461538396</v>
      </c>
      <c r="FC213" s="449">
        <f>+INPUT!GJ202</f>
        <v>25</v>
      </c>
      <c r="FD213" s="438">
        <f>+INPUT!GK202</f>
        <v>0</v>
      </c>
      <c r="FE213" s="449">
        <f>+INPUT!GL202</f>
        <v>19</v>
      </c>
      <c r="FF213" s="438">
        <f>+INPUT!GM202</f>
        <v>-24</v>
      </c>
      <c r="FG213" s="449">
        <f>+INPUT!GN202</f>
        <v>26</v>
      </c>
      <c r="FH213" s="438">
        <f>+INPUT!GO202</f>
        <v>36.84210526315789</v>
      </c>
      <c r="FI213" s="449">
        <f>+INPUT!GP202</f>
        <v>27.560000000000002</v>
      </c>
      <c r="FJ213" s="438">
        <f>+INPUT!GQ202</f>
        <v>6</v>
      </c>
      <c r="FK213" s="449">
        <f>+INPUT!GR202</f>
        <v>29.213600000000003</v>
      </c>
      <c r="FL213" s="438">
        <f>+INPUT!GS202</f>
        <v>6</v>
      </c>
      <c r="FM213" s="449">
        <f>+INPUT!GT202</f>
        <v>30.966416000000006</v>
      </c>
      <c r="FN213" s="438">
        <f>+INPUT!GU202</f>
        <v>6</v>
      </c>
      <c r="FO213" s="449">
        <f>+INPUT!GV202</f>
        <v>32.824400960000006</v>
      </c>
      <c r="FP213" s="438">
        <f>+INPUT!GW202</f>
        <v>6</v>
      </c>
      <c r="FQ213" s="449">
        <f>+INPUT!GX202</f>
        <v>34.793865017600005</v>
      </c>
      <c r="FR213" s="438">
        <f>+INPUT!GY202</f>
        <v>6</v>
      </c>
      <c r="FS213" s="438">
        <f>+INPUT!GZ202</f>
        <v>6.0000000000000053</v>
      </c>
    </row>
    <row r="214" spans="1:176" s="529" customFormat="1" ht="12.75" hidden="1" customHeight="1" outlineLevel="1" x14ac:dyDescent="0.2">
      <c r="A214" s="441" t="str">
        <f>+INPUT!B203</f>
        <v>General and Administrative Expenses</v>
      </c>
      <c r="B214" s="449">
        <f>+INPUT!AA203</f>
        <v>76</v>
      </c>
      <c r="C214" s="439">
        <f>+INPUT!AB203</f>
        <v>-15.555555555555557</v>
      </c>
      <c r="D214" s="449">
        <f>+INPUT!AC203</f>
        <v>87</v>
      </c>
      <c r="E214" s="439">
        <f>+INPUT!AD203</f>
        <v>-3.3333333333333286</v>
      </c>
      <c r="F214" s="449">
        <f>+INPUT!AE203</f>
        <v>82</v>
      </c>
      <c r="G214" s="439">
        <f>+INPUT!AF203</f>
        <v>-3.529411764705884</v>
      </c>
      <c r="H214" s="449">
        <f>+INPUT!AG203</f>
        <v>89</v>
      </c>
      <c r="I214" s="439">
        <f>+INPUT!AH203</f>
        <v>4.7058823529411882</v>
      </c>
      <c r="J214" s="449">
        <f>+INPUT!AI203</f>
        <v>88</v>
      </c>
      <c r="K214" s="439">
        <f>+INPUT!AJ203</f>
        <v>15.789473684210535</v>
      </c>
      <c r="L214" s="449">
        <f>+INPUT!AK203</f>
        <v>180</v>
      </c>
      <c r="M214" s="439" t="str">
        <f>+INPUT!AL203</f>
        <v>NM</v>
      </c>
      <c r="N214" s="449">
        <f>+INPUT!AM203</f>
        <v>185</v>
      </c>
      <c r="O214" s="439" t="str">
        <f>+INPUT!AN203</f>
        <v>NM</v>
      </c>
      <c r="P214" s="449">
        <f>+INPUT!AO203</f>
        <v>199</v>
      </c>
      <c r="Q214" s="439" t="str">
        <f>+INPUT!AP203</f>
        <v>NM</v>
      </c>
      <c r="R214" s="449">
        <f>+INPUT!AQ203</f>
        <v>178</v>
      </c>
      <c r="S214" s="439" t="str">
        <f>+INPUT!AR203</f>
        <v>NM</v>
      </c>
      <c r="T214" s="449">
        <f>+INPUT!AS203</f>
        <v>186</v>
      </c>
      <c r="U214" s="439">
        <f>+INPUT!AT203</f>
        <v>3.3333333333333428</v>
      </c>
      <c r="V214" s="449">
        <f>+INPUT!AU203</f>
        <v>193</v>
      </c>
      <c r="W214" s="439">
        <f>+INPUT!AV203</f>
        <v>4.3243243243243228</v>
      </c>
      <c r="X214" s="449">
        <f>+INPUT!AW203</f>
        <v>212</v>
      </c>
      <c r="Y214" s="439">
        <f>+INPUT!AX203</f>
        <v>6.5326633165829122</v>
      </c>
      <c r="Z214" s="449">
        <f>+INPUT!AY203</f>
        <v>190</v>
      </c>
      <c r="AA214" s="439">
        <f>+INPUT!AZ203</f>
        <v>6.7415730337078656</v>
      </c>
      <c r="AB214" s="449">
        <f>+INPUT!BA203</f>
        <v>174</v>
      </c>
      <c r="AC214" s="439">
        <f>+INPUT!BB203</f>
        <v>-6.4516129032258078</v>
      </c>
      <c r="AD214" s="449">
        <f>+INPUT!BC203</f>
        <v>194</v>
      </c>
      <c r="AE214" s="439">
        <f>+INPUT!BD203</f>
        <v>0.51813471502590858</v>
      </c>
      <c r="AF214" s="449">
        <f>+INPUT!BE203</f>
        <v>208</v>
      </c>
      <c r="AG214" s="439">
        <f>+INPUT!BF203</f>
        <v>-1.8867924528301927</v>
      </c>
      <c r="AH214" s="449">
        <f>+INPUT!BG203</f>
        <v>184</v>
      </c>
      <c r="AI214" s="438">
        <f>+INPUT!BH203</f>
        <v>-3.1578947368421098</v>
      </c>
      <c r="AJ214" s="449">
        <f>+INPUT!BI203</f>
        <v>193</v>
      </c>
      <c r="AK214" s="438">
        <f>+INPUT!BJ203</f>
        <v>10.919540229885058</v>
      </c>
      <c r="AL214" s="449">
        <f>+INPUT!BK203</f>
        <v>263</v>
      </c>
      <c r="AM214" s="438">
        <f>+INPUT!BL203</f>
        <v>35.567010309278345</v>
      </c>
      <c r="AN214" s="449">
        <f>+INPUT!BM203</f>
        <v>213</v>
      </c>
      <c r="AO214" s="438">
        <f>+INPUT!BN203</f>
        <v>2.4038461538461462</v>
      </c>
      <c r="AP214" s="449">
        <f>+INPUT!BO203</f>
        <v>208</v>
      </c>
      <c r="AQ214" s="438">
        <f>+INPUT!BP203</f>
        <v>13.043478260869563</v>
      </c>
      <c r="AR214" s="449">
        <f>+INPUT!BQ203</f>
        <v>203</v>
      </c>
      <c r="AS214" s="438">
        <f>+INPUT!BR203</f>
        <v>5.1813471502590573</v>
      </c>
      <c r="AT214" s="449">
        <f>+INPUT!BS203</f>
        <v>180</v>
      </c>
      <c r="AU214" s="438">
        <f>+INPUT!BT203</f>
        <v>-31.55893536121674</v>
      </c>
      <c r="AV214" s="449">
        <f>+INPUT!BU203</f>
        <v>222</v>
      </c>
      <c r="AW214" s="438">
        <f>+INPUT!BV203</f>
        <v>4.2253521126760489</v>
      </c>
      <c r="AX214" s="449">
        <f>+INPUT!BW203</f>
        <v>213</v>
      </c>
      <c r="AY214" s="438">
        <f>+INPUT!BX203</f>
        <v>2.4038461538461462</v>
      </c>
      <c r="AZ214" s="449">
        <f>+INPUT!BY203</f>
        <v>220</v>
      </c>
      <c r="BA214" s="438">
        <f>+INPUT!BZ203</f>
        <v>8.37438423645321</v>
      </c>
      <c r="BB214" s="449">
        <f>+INPUT!CA203</f>
        <v>218</v>
      </c>
      <c r="BC214" s="438">
        <f>+INPUT!CB203</f>
        <v>21.1111111111111</v>
      </c>
      <c r="BD214" s="449">
        <f>+INPUT!CC203</f>
        <v>222</v>
      </c>
      <c r="BE214" s="438">
        <f>+INPUT!CD203</f>
        <v>0</v>
      </c>
      <c r="BF214" s="449">
        <f>+INPUT!CE203</f>
        <v>215</v>
      </c>
      <c r="BG214" s="438">
        <f>+INPUT!CF203</f>
        <v>0.9389671361502252</v>
      </c>
      <c r="BH214" s="449">
        <f>+INPUT!CG203</f>
        <v>243</v>
      </c>
      <c r="BI214" s="438">
        <f>+INPUT!CH203</f>
        <v>10.454545454545453</v>
      </c>
      <c r="BJ214" s="449">
        <f>+INPUT!CI203</f>
        <v>241</v>
      </c>
      <c r="BK214" s="438">
        <f>+INPUT!CJ203</f>
        <v>10.550458715596321</v>
      </c>
      <c r="BL214" s="449">
        <f>+INPUT!CK203</f>
        <v>245</v>
      </c>
      <c r="BM214" s="438">
        <f>+INPUT!CL203</f>
        <v>10.36036036036036</v>
      </c>
      <c r="BN214" s="449">
        <f>+INPUT!CM203</f>
        <v>234</v>
      </c>
      <c r="BO214" s="438">
        <f>+INPUT!CN203</f>
        <v>8.83720930232559</v>
      </c>
      <c r="BP214" s="449">
        <f>+INPUT!CO203</f>
        <v>231</v>
      </c>
      <c r="BQ214" s="438">
        <f>+INPUT!CP203</f>
        <v>-4.9382716049382651</v>
      </c>
      <c r="BR214" s="449">
        <f>+INPUT!CQ203</f>
        <v>247</v>
      </c>
      <c r="BS214" s="438">
        <f>+INPUT!CR203</f>
        <v>2.4896265560165887</v>
      </c>
      <c r="BT214" s="449">
        <f>+INPUT!CS203</f>
        <v>233</v>
      </c>
      <c r="BU214" s="438">
        <f>+INPUT!CT203</f>
        <v>-4.8979591836734784</v>
      </c>
      <c r="BV214" s="449">
        <f>+INPUT!CU203</f>
        <v>223</v>
      </c>
      <c r="BW214" s="438">
        <f>+INPUT!CV203</f>
        <v>-4.7008547008547055</v>
      </c>
      <c r="BX214" s="449">
        <f>+INPUT!CW203</f>
        <v>233</v>
      </c>
      <c r="BY214" s="438">
        <f>+INPUT!CX203</f>
        <v>0.86580086580086402</v>
      </c>
      <c r="BZ214" s="449">
        <f>+INPUT!CY203</f>
        <v>264</v>
      </c>
      <c r="CA214" s="438">
        <f>+INPUT!CZ203</f>
        <v>6.8825910931174121</v>
      </c>
      <c r="CB214" s="449">
        <f>+INPUT!DA203</f>
        <v>205</v>
      </c>
      <c r="CC214" s="438">
        <f>+INPUT!DB203</f>
        <v>-12.017167381974247</v>
      </c>
      <c r="CD214" s="449">
        <f>+INPUT!DC203</f>
        <v>231</v>
      </c>
      <c r="CE214" s="438">
        <f>+INPUT!DD203</f>
        <v>3.5874439461883583</v>
      </c>
      <c r="CF214" s="449">
        <f>+INPUT!DE203</f>
        <v>246</v>
      </c>
      <c r="CG214" s="438">
        <f>+INPUT!DF203</f>
        <v>5.5793991416309012</v>
      </c>
      <c r="CH214" s="449">
        <f>+INPUT!DG203</f>
        <v>242</v>
      </c>
      <c r="CI214" s="438">
        <f>+INPUT!DH203</f>
        <v>-8.3333333333333428</v>
      </c>
      <c r="CJ214" s="449">
        <f>+INPUT!DI203</f>
        <v>268</v>
      </c>
      <c r="CK214" s="438">
        <f>+INPUT!DJ203</f>
        <v>30.731707317073187</v>
      </c>
      <c r="CL214" s="449">
        <f>+INPUT!DK203</f>
        <v>247</v>
      </c>
      <c r="CM214" s="438">
        <f>+INPUT!DL203</f>
        <v>6.9264069264069406</v>
      </c>
      <c r="CN214" s="449">
        <f>+INPUT!DM203</f>
        <v>256</v>
      </c>
      <c r="CO214" s="438">
        <f>+INPUT!DN203</f>
        <v>4.065040650406516</v>
      </c>
      <c r="CP214" s="449">
        <f>+INPUT!DO203</f>
        <v>265</v>
      </c>
      <c r="CQ214" s="438">
        <f>+INPUT!DP203</f>
        <v>9.5041322314049665</v>
      </c>
      <c r="CR214" s="449">
        <f>+INPUT!DQ203</f>
        <v>276</v>
      </c>
      <c r="CS214" s="438">
        <f>+INPUT!DR203</f>
        <v>2.985074626865682</v>
      </c>
      <c r="CT214" s="449">
        <f>+INPUT!DS203</f>
        <v>253</v>
      </c>
      <c r="CU214" s="438">
        <f>+INPUT!DT203</f>
        <v>2.429149797570858</v>
      </c>
      <c r="CV214" s="449">
        <f>+INPUT!DU203</f>
        <v>252</v>
      </c>
      <c r="CW214" s="438">
        <f>+INPUT!DV203</f>
        <v>-1.5625</v>
      </c>
      <c r="CX214" s="449">
        <f>+INPUT!DW203</f>
        <v>263</v>
      </c>
      <c r="CY214" s="438">
        <f>+INPUT!DX203</f>
        <v>-0.75471698113207708</v>
      </c>
      <c r="CZ214" s="449">
        <f>+INPUT!DY203</f>
        <v>286</v>
      </c>
      <c r="DA214" s="438">
        <f>+INPUT!DZ203</f>
        <v>3.6231884057970944</v>
      </c>
      <c r="DB214" s="449">
        <f>+INPUT!EA203</f>
        <v>257</v>
      </c>
      <c r="DC214" s="438">
        <f>+INPUT!EB203</f>
        <v>1.5810276679841877</v>
      </c>
      <c r="DD214" s="449">
        <f>+INPUT!EC203</f>
        <v>247</v>
      </c>
      <c r="DE214" s="438">
        <f>+INPUT!ED203</f>
        <v>-1.9841269841269877</v>
      </c>
      <c r="DF214" s="449">
        <f>+INPUT!EE203</f>
        <v>296</v>
      </c>
      <c r="DG214" s="438">
        <f>+INPUT!EF203</f>
        <v>12.54752851711028</v>
      </c>
      <c r="DH214" s="449">
        <f>+INPUT!EG203</f>
        <v>242</v>
      </c>
      <c r="DI214" s="438">
        <f>+INPUT!EH203</f>
        <v>-15.384615384615387</v>
      </c>
      <c r="DJ214" s="449">
        <f>+INPUT!EI203</f>
        <v>256</v>
      </c>
      <c r="DK214" s="438">
        <f>+INPUT!EJ203</f>
        <v>-0.38910505836575737</v>
      </c>
      <c r="DL214" s="449">
        <f>+INPUT!EK203</f>
        <v>240</v>
      </c>
      <c r="DM214" s="438">
        <f>+INPUT!EL203</f>
        <v>-2.8340080971659916</v>
      </c>
      <c r="DN214" s="449">
        <f>+INPUT!EM203</f>
        <v>263</v>
      </c>
      <c r="DO214" s="438">
        <f>+INPUT!EN203</f>
        <v>-11.148648648648646</v>
      </c>
      <c r="DP214" s="449">
        <f>+INPUT!EO203</f>
        <v>282</v>
      </c>
      <c r="DQ214" s="438">
        <f>+INPUT!EP203</f>
        <v>16.528925619834695</v>
      </c>
      <c r="DR214" s="449">
        <f>+INPUT!EQ203</f>
        <v>250.88334825816713</v>
      </c>
      <c r="DS214" s="438">
        <f>+INPUT!ER203</f>
        <v>-1.9986920866534632</v>
      </c>
      <c r="DT214" s="449">
        <f>+INPUT!ES203</f>
        <v>253.20197694979325</v>
      </c>
      <c r="DU214" s="438">
        <f>+INPUT!ET203</f>
        <v>5.5008237290805226</v>
      </c>
      <c r="DV214" s="449">
        <f>+INPUT!EU203</f>
        <v>255.64311971967032</v>
      </c>
      <c r="DW214" s="438">
        <f>+INPUT!EV203</f>
        <v>-2.7972928822546379</v>
      </c>
      <c r="DX214" s="449">
        <f>+INPUT!EW203</f>
        <v>258.10804306312411</v>
      </c>
      <c r="DY214" s="438">
        <f>+INPUT!EX203</f>
        <v>-8.4723251549205258</v>
      </c>
      <c r="DZ214" s="449"/>
      <c r="EA214" s="438"/>
      <c r="EB214" s="439">
        <f>+INPUT!FI203</f>
        <v>-11.342592592592595</v>
      </c>
      <c r="EC214" s="449">
        <f>+INPUT!FJ203</f>
        <v>350</v>
      </c>
      <c r="ED214" s="439">
        <f>+INPUT!FK203</f>
        <v>-8.6161879895561384</v>
      </c>
      <c r="EE214" s="449">
        <f>+INPUT!FL203</f>
        <v>334</v>
      </c>
      <c r="EF214" s="439">
        <f>+INPUT!FM203</f>
        <v>-4.5714285714285694</v>
      </c>
      <c r="EG214" s="449">
        <f>+INPUT!FN203</f>
        <v>652</v>
      </c>
      <c r="EH214" s="439">
        <f>+INPUT!FO203</f>
        <v>95.209580838323348</v>
      </c>
      <c r="EI214" s="449">
        <f>+INPUT!FP203</f>
        <v>769</v>
      </c>
      <c r="EJ214" s="438">
        <f>+INPUT!FQ203</f>
        <v>17.944785276073617</v>
      </c>
      <c r="EK214" s="449">
        <f>+INPUT!FR203</f>
        <v>766</v>
      </c>
      <c r="EL214" s="438">
        <f>+INPUT!FS203</f>
        <v>-0.39011703511053497</v>
      </c>
      <c r="EM214" s="449">
        <f>+INPUT!FT203</f>
        <v>853</v>
      </c>
      <c r="EN214" s="438">
        <f>+INPUT!FU203</f>
        <v>11.357702349869456</v>
      </c>
      <c r="EO214" s="449">
        <f>+INPUT!FV203</f>
        <v>813</v>
      </c>
      <c r="EP214" s="438">
        <f>+INPUT!FW203</f>
        <v>-4.6893317702227364</v>
      </c>
      <c r="EQ214" s="449">
        <f>+INPUT!FX203</f>
        <v>873</v>
      </c>
      <c r="ER214" s="438">
        <f>+INPUT!FY203</f>
        <v>7.3800738007380176</v>
      </c>
      <c r="ES214" s="449">
        <f>+INPUT!FZ203</f>
        <v>944</v>
      </c>
      <c r="ET214" s="438">
        <f>+INPUT!GA203</f>
        <v>8.1328751431844211</v>
      </c>
      <c r="EU214" s="449">
        <f>+INPUT!GB203</f>
        <v>945</v>
      </c>
      <c r="EV214" s="438">
        <f>+INPUT!GC203</f>
        <v>0.10593220338984111</v>
      </c>
      <c r="EW214" s="449">
        <f>+INPUT!GD203</f>
        <v>925</v>
      </c>
      <c r="EX214" s="438">
        <f>+INPUT!GE203</f>
        <v>-2.1164021164021136</v>
      </c>
      <c r="EY214" s="449">
        <f>+INPUT!GF203</f>
        <v>987</v>
      </c>
      <c r="EZ214" s="438">
        <f>+INPUT!GG203</f>
        <v>6.7027027027026946</v>
      </c>
      <c r="FA214" s="449">
        <f>+INPUT!GH203</f>
        <v>1044</v>
      </c>
      <c r="FB214" s="438">
        <f>+INPUT!GI203</f>
        <v>5.7750759878419444</v>
      </c>
      <c r="FC214" s="449">
        <f>+INPUT!GJ203</f>
        <v>1054</v>
      </c>
      <c r="FD214" s="438">
        <f>+INPUT!GK203</f>
        <v>0.95785440613028072</v>
      </c>
      <c r="FE214" s="449">
        <f>+INPUT!GL203</f>
        <v>1042</v>
      </c>
      <c r="FF214" s="438">
        <f>+INPUT!GM203</f>
        <v>-1.1385199240986736</v>
      </c>
      <c r="FG214" s="449">
        <f>+INPUT!GN203</f>
        <v>1041</v>
      </c>
      <c r="FH214" s="438">
        <f>+INPUT!GO203</f>
        <v>-9.5969289827252169E-2</v>
      </c>
      <c r="FI214" s="449">
        <f>+INPUT!GP203</f>
        <v>1017.8364879907549</v>
      </c>
      <c r="FJ214" s="438">
        <f>+INPUT!GQ203</f>
        <v>-2.2251212304750396</v>
      </c>
      <c r="FK214" s="449">
        <f>+INPUT!GR203</f>
        <v>1057.1811240412762</v>
      </c>
      <c r="FL214" s="438">
        <f>+INPUT!GS203</f>
        <v>3.8655163687626271</v>
      </c>
      <c r="FM214" s="449">
        <f>+INPUT!GT203</f>
        <v>1105.7528832057824</v>
      </c>
      <c r="FN214" s="438">
        <f>+INPUT!GU203</f>
        <v>4.5944595547479565</v>
      </c>
      <c r="FO214" s="449">
        <f>+INPUT!GV203</f>
        <v>1156.5623710825769</v>
      </c>
      <c r="FP214" s="438">
        <f>+INPUT!GW203</f>
        <v>4.5950129227326357</v>
      </c>
      <c r="FQ214" s="449">
        <f>+INPUT!GX203</f>
        <v>1209.7139084777548</v>
      </c>
      <c r="FR214" s="438">
        <f>+INPUT!GY203</f>
        <v>4.5956481659892319</v>
      </c>
      <c r="FS214" s="438">
        <f>+INPUT!GZ203</f>
        <v>3.0496186333312192</v>
      </c>
    </row>
    <row r="215" spans="1:176" s="529" customFormat="1" ht="12.75" hidden="1" customHeight="1" outlineLevel="1" x14ac:dyDescent="0.2">
      <c r="A215" s="441" t="str">
        <f>+INPUT!B204</f>
        <v>Net DAC</v>
      </c>
      <c r="B215" s="449">
        <f>+INPUT!AA204</f>
        <v>1</v>
      </c>
      <c r="C215" s="439" t="str">
        <f>+INPUT!AB204</f>
        <v>NM</v>
      </c>
      <c r="D215" s="449">
        <f>+INPUT!AC204</f>
        <v>0</v>
      </c>
      <c r="E215" s="439" t="str">
        <f>+INPUT!AD204</f>
        <v>NM</v>
      </c>
      <c r="F215" s="449">
        <f>+INPUT!AE204</f>
        <v>1</v>
      </c>
      <c r="G215" s="439" t="str">
        <f>+INPUT!AF204</f>
        <v>NM</v>
      </c>
      <c r="H215" s="449">
        <f>+INPUT!AG204</f>
        <v>-1</v>
      </c>
      <c r="I215" s="439" t="str">
        <f>+INPUT!AH204</f>
        <v>NM</v>
      </c>
      <c r="J215" s="449">
        <f>+INPUT!AI204</f>
        <v>1</v>
      </c>
      <c r="K215" s="439">
        <f>+INPUT!AJ204</f>
        <v>0</v>
      </c>
      <c r="L215" s="449">
        <f>+INPUT!AK204</f>
        <v>-6</v>
      </c>
      <c r="M215" s="439" t="str">
        <f>+INPUT!AL204</f>
        <v>NA</v>
      </c>
      <c r="N215" s="449">
        <f>+INPUT!AM204</f>
        <v>-2</v>
      </c>
      <c r="O215" s="439" t="str">
        <f>+INPUT!AN204</f>
        <v>NM</v>
      </c>
      <c r="P215" s="449">
        <f>+INPUT!AO204</f>
        <v>-15</v>
      </c>
      <c r="Q215" s="439" t="str">
        <f>+INPUT!AP204</f>
        <v>NM</v>
      </c>
      <c r="R215" s="449">
        <f>+INPUT!AQ204</f>
        <v>-8</v>
      </c>
      <c r="S215" s="439" t="str">
        <f>+INPUT!AR204</f>
        <v>NM</v>
      </c>
      <c r="T215" s="449">
        <f>+INPUT!AS204</f>
        <v>-6</v>
      </c>
      <c r="U215" s="439">
        <f>+INPUT!AT204</f>
        <v>0</v>
      </c>
      <c r="V215" s="449">
        <f>+INPUT!AU204</f>
        <v>-3</v>
      </c>
      <c r="W215" s="439">
        <f>+INPUT!AV204</f>
        <v>50</v>
      </c>
      <c r="X215" s="449">
        <f>+INPUT!AW204</f>
        <v>-6</v>
      </c>
      <c r="Y215" s="439" t="str">
        <f>+INPUT!AX204</f>
        <v>NM</v>
      </c>
      <c r="Z215" s="449">
        <f>+INPUT!AY204</f>
        <v>-11</v>
      </c>
      <c r="AA215" s="439">
        <f>+INPUT!AZ204</f>
        <v>37.5</v>
      </c>
      <c r="AB215" s="449">
        <f>+INPUT!BA204</f>
        <v>-7</v>
      </c>
      <c r="AC215" s="439">
        <f>+INPUT!BB204</f>
        <v>16.666666666666671</v>
      </c>
      <c r="AD215" s="449">
        <f>+INPUT!BC204</f>
        <v>-16</v>
      </c>
      <c r="AE215" s="439" t="str">
        <f>+INPUT!BD204</f>
        <v>NM</v>
      </c>
      <c r="AF215" s="449">
        <f>+INPUT!BE204</f>
        <v>-17</v>
      </c>
      <c r="AG215" s="439" t="str">
        <f>+INPUT!BF204</f>
        <v>NM</v>
      </c>
      <c r="AH215" s="449">
        <f>+INPUT!BG204</f>
        <v>-12</v>
      </c>
      <c r="AI215" s="438">
        <f>+INPUT!BH204</f>
        <v>9.0909090909090793</v>
      </c>
      <c r="AJ215" s="449">
        <f>+INPUT!BI204</f>
        <v>-15</v>
      </c>
      <c r="AK215" s="438" t="str">
        <f>+INPUT!BJ204</f>
        <v>NM</v>
      </c>
      <c r="AL215" s="449">
        <f>+INPUT!BK204</f>
        <v>-8</v>
      </c>
      <c r="AM215" s="438">
        <f>+INPUT!BL204</f>
        <v>-50</v>
      </c>
      <c r="AN215" s="449">
        <f>+INPUT!BM204</f>
        <v>-22</v>
      </c>
      <c r="AO215" s="438">
        <f>+INPUT!BN204</f>
        <v>29.411764705882348</v>
      </c>
      <c r="AP215" s="449">
        <f>+INPUT!BO204</f>
        <v>-20</v>
      </c>
      <c r="AQ215" s="438">
        <f>+INPUT!BP204</f>
        <v>66.666666666666686</v>
      </c>
      <c r="AR215" s="449">
        <f>+INPUT!BQ204</f>
        <v>-19</v>
      </c>
      <c r="AS215" s="438">
        <f>+INPUT!BR204</f>
        <v>26.666666666666657</v>
      </c>
      <c r="AT215" s="449">
        <f>+INPUT!BS204</f>
        <v>-1</v>
      </c>
      <c r="AU215" s="438" t="str">
        <f>+INPUT!BT204</f>
        <v>NM</v>
      </c>
      <c r="AV215" s="449">
        <f>+INPUT!BU204</f>
        <v>-14</v>
      </c>
      <c r="AW215" s="438">
        <f>+INPUT!BV204</f>
        <v>-36.363636363636367</v>
      </c>
      <c r="AX215" s="449">
        <f>+INPUT!BW204</f>
        <v>-8</v>
      </c>
      <c r="AY215" s="438" t="str">
        <f>+INPUT!BX204</f>
        <v>NM</v>
      </c>
      <c r="AZ215" s="449">
        <f>+INPUT!BY204</f>
        <v>-9</v>
      </c>
      <c r="BA215" s="438" t="str">
        <f>+INPUT!BZ204</f>
        <v>NM</v>
      </c>
      <c r="BB215" s="449">
        <f>+INPUT!CA204</f>
        <v>-4</v>
      </c>
      <c r="BC215" s="438" t="str">
        <f>+INPUT!CB204</f>
        <v>NM</v>
      </c>
      <c r="BD215" s="449">
        <f>+INPUT!CC204</f>
        <v>-3</v>
      </c>
      <c r="BE215" s="438" t="str">
        <f>+INPUT!CD204</f>
        <v>NM</v>
      </c>
      <c r="BF215" s="449">
        <f>+INPUT!CE204</f>
        <v>-4</v>
      </c>
      <c r="BG215" s="438">
        <f>+INPUT!CF204</f>
        <v>-50</v>
      </c>
      <c r="BH215" s="449">
        <f>+INPUT!CG204</f>
        <v>-10</v>
      </c>
      <c r="BI215" s="438">
        <f>+INPUT!CH204</f>
        <v>11.111111111111114</v>
      </c>
      <c r="BJ215" s="449">
        <f>+INPUT!CI204</f>
        <v>-4</v>
      </c>
      <c r="BK215" s="438">
        <f>+INPUT!CJ204</f>
        <v>0</v>
      </c>
      <c r="BL215" s="449">
        <f>+INPUT!CK204</f>
        <v>-7</v>
      </c>
      <c r="BM215" s="438" t="str">
        <f>+INPUT!CL204</f>
        <v>NM</v>
      </c>
      <c r="BN215" s="449">
        <f>+INPUT!CM204</f>
        <v>16</v>
      </c>
      <c r="BO215" s="438" t="str">
        <f>+INPUT!CN204</f>
        <v>NM</v>
      </c>
      <c r="BP215" s="449">
        <f>+INPUT!CO204</f>
        <v>-4</v>
      </c>
      <c r="BQ215" s="438" t="str">
        <f>+INPUT!CP204</f>
        <v>NM</v>
      </c>
      <c r="BR215" s="449">
        <f>+INPUT!CQ204</f>
        <v>1</v>
      </c>
      <c r="BS215" s="438" t="str">
        <f>+INPUT!CR204</f>
        <v>NM</v>
      </c>
      <c r="BT215" s="449">
        <f>+INPUT!CS204</f>
        <v>-4</v>
      </c>
      <c r="BU215" s="438">
        <f>+INPUT!CT204</f>
        <v>-42.857142857142861</v>
      </c>
      <c r="BV215" s="449">
        <f>+INPUT!CU204</f>
        <v>1</v>
      </c>
      <c r="BW215" s="438" t="str">
        <f>+INPUT!CV204</f>
        <v>NM</v>
      </c>
      <c r="BX215" s="449">
        <f>+INPUT!CW204</f>
        <v>-3</v>
      </c>
      <c r="BY215" s="438">
        <f>+INPUT!CX204</f>
        <v>-25</v>
      </c>
      <c r="BZ215" s="449">
        <f>+INPUT!CY204</f>
        <v>0</v>
      </c>
      <c r="CA215" s="438" t="str">
        <f>+INPUT!CZ204</f>
        <v>NM</v>
      </c>
      <c r="CB215" s="449">
        <f>+INPUT!DA204</f>
        <v>2</v>
      </c>
      <c r="CC215" s="438" t="str">
        <f>+INPUT!DB204</f>
        <v>NM</v>
      </c>
      <c r="CD215" s="449">
        <f>+INPUT!DC204</f>
        <v>0</v>
      </c>
      <c r="CE215" s="438" t="str">
        <f>+INPUT!DD204</f>
        <v>NM</v>
      </c>
      <c r="CF215" s="449">
        <f>+INPUT!DE204</f>
        <v>-2</v>
      </c>
      <c r="CG215" s="438">
        <f>+INPUT!DF204</f>
        <v>-33.333333333333343</v>
      </c>
      <c r="CH215" s="449">
        <f>+INPUT!DG204</f>
        <v>-6</v>
      </c>
      <c r="CI215" s="438" t="str">
        <f>+INPUT!DH204</f>
        <v>NA</v>
      </c>
      <c r="CJ215" s="449">
        <f>+INPUT!DI204</f>
        <v>-6</v>
      </c>
      <c r="CK215" s="438" t="str">
        <f>+INPUT!DJ204</f>
        <v>NM</v>
      </c>
      <c r="CL215" s="449">
        <f>+INPUT!DK204</f>
        <v>-2</v>
      </c>
      <c r="CM215" s="438" t="str">
        <f>+INPUT!DL204</f>
        <v>NA</v>
      </c>
      <c r="CN215" s="449">
        <f>+INPUT!DM204</f>
        <v>-5</v>
      </c>
      <c r="CO215" s="438" t="str">
        <f>+INPUT!DN204</f>
        <v>NM</v>
      </c>
      <c r="CP215" s="449">
        <f>+INPUT!DO204</f>
        <v>-10</v>
      </c>
      <c r="CQ215" s="438">
        <f>+INPUT!DP204</f>
        <v>66.666666666666686</v>
      </c>
      <c r="CR215" s="449">
        <f>+INPUT!DQ204</f>
        <v>-2</v>
      </c>
      <c r="CS215" s="438" t="str">
        <f>+INPUT!DR204</f>
        <v>NM</v>
      </c>
      <c r="CT215" s="449">
        <f>+INPUT!DS204</f>
        <v>-3</v>
      </c>
      <c r="CU215" s="438">
        <f>+INPUT!DT204</f>
        <v>50</v>
      </c>
      <c r="CV215" s="449">
        <f>+INPUT!DU204</f>
        <v>22</v>
      </c>
      <c r="CW215" s="438" t="str">
        <f>+INPUT!DV204</f>
        <v>NM</v>
      </c>
      <c r="CX215" s="449">
        <f>+INPUT!DW204</f>
        <v>1</v>
      </c>
      <c r="CY215" s="438" t="str">
        <f>+INPUT!DX204</f>
        <v>NM</v>
      </c>
      <c r="CZ215" s="449">
        <f>+INPUT!DY204</f>
        <v>0</v>
      </c>
      <c r="DA215" s="438" t="str">
        <f>+INPUT!DZ204</f>
        <v>NM</v>
      </c>
      <c r="DB215" s="449">
        <f>+INPUT!EA204</f>
        <v>0</v>
      </c>
      <c r="DC215" s="438" t="str">
        <f>+INPUT!EB204</f>
        <v>NM</v>
      </c>
      <c r="DD215" s="449">
        <f>+INPUT!EC204</f>
        <v>-3</v>
      </c>
      <c r="DE215" s="438" t="str">
        <f>+INPUT!ED204</f>
        <v>NM</v>
      </c>
      <c r="DF215" s="449">
        <f>+INPUT!EE204</f>
        <v>3</v>
      </c>
      <c r="DG215" s="438" t="str">
        <f>+INPUT!EF204</f>
        <v>NM</v>
      </c>
      <c r="DH215" s="449">
        <f>+INPUT!EG204</f>
        <v>2</v>
      </c>
      <c r="DI215" s="438" t="str">
        <f>+INPUT!EH204</f>
        <v>NA</v>
      </c>
      <c r="DJ215" s="449">
        <f>+INPUT!EI204</f>
        <v>-3</v>
      </c>
      <c r="DK215" s="438" t="str">
        <f>+INPUT!EJ204</f>
        <v>NA</v>
      </c>
      <c r="DL215" s="449">
        <f>+INPUT!EK204</f>
        <v>-5</v>
      </c>
      <c r="DM215" s="438">
        <f>+INPUT!EL204</f>
        <v>66.666666666666686</v>
      </c>
      <c r="DN215" s="449">
        <f>+INPUT!EM204</f>
        <v>-2</v>
      </c>
      <c r="DO215" s="438" t="str">
        <f>+INPUT!EN204</f>
        <v>NM</v>
      </c>
      <c r="DP215" s="449">
        <f>+INPUT!EO204</f>
        <v>0</v>
      </c>
      <c r="DQ215" s="438" t="str">
        <f>+INPUT!EP204</f>
        <v>NM</v>
      </c>
      <c r="DR215" s="449">
        <f>+INPUT!EQ204</f>
        <v>0</v>
      </c>
      <c r="DS215" s="438" t="str">
        <f>+INPUT!ER204</f>
        <v>NM</v>
      </c>
      <c r="DT215" s="449">
        <f>+INPUT!ES204</f>
        <v>0</v>
      </c>
      <c r="DU215" s="438" t="str">
        <f>+INPUT!ET204</f>
        <v>NM</v>
      </c>
      <c r="DV215" s="449">
        <f>+INPUT!EU204</f>
        <v>0</v>
      </c>
      <c r="DW215" s="438" t="str">
        <f>+INPUT!EV204</f>
        <v>NM</v>
      </c>
      <c r="DX215" s="449">
        <f>+INPUT!EW204</f>
        <v>0</v>
      </c>
      <c r="DY215" s="438" t="str">
        <f>+INPUT!EX204</f>
        <v>NA</v>
      </c>
      <c r="DZ215" s="449"/>
      <c r="EA215" s="438"/>
      <c r="EB215" s="439" t="str">
        <f>+INPUT!FI204</f>
        <v>NM</v>
      </c>
      <c r="EC215" s="449">
        <f>+INPUT!FJ204</f>
        <v>8</v>
      </c>
      <c r="ED215" s="439" t="str">
        <f>+INPUT!FK204</f>
        <v>NM</v>
      </c>
      <c r="EE215" s="449">
        <f>+INPUT!FL204</f>
        <v>1</v>
      </c>
      <c r="EF215" s="439" t="str">
        <f>+INPUT!FM204</f>
        <v>NM</v>
      </c>
      <c r="EG215" s="449">
        <f>+INPUT!FN204</f>
        <v>-22</v>
      </c>
      <c r="EH215" s="439" t="str">
        <f>+INPUT!FO204</f>
        <v>NM</v>
      </c>
      <c r="EI215" s="449">
        <f>+INPUT!FP204</f>
        <v>-23</v>
      </c>
      <c r="EJ215" s="438">
        <f>+INPUT!FQ204</f>
        <v>4.5454545454545467</v>
      </c>
      <c r="EK215" s="449">
        <f>+INPUT!FR204</f>
        <v>-51</v>
      </c>
      <c r="EL215" s="438" t="str">
        <f>+INPUT!FS204</f>
        <v>NM</v>
      </c>
      <c r="EM215" s="449">
        <f>+INPUT!FT204</f>
        <v>-57</v>
      </c>
      <c r="EN215" s="438">
        <f>+INPUT!FU204</f>
        <v>11.764705882352942</v>
      </c>
      <c r="EO215" s="449">
        <f>+INPUT!FV204</f>
        <v>-43</v>
      </c>
      <c r="EP215" s="438">
        <f>+INPUT!FW204</f>
        <v>-24.561403508771932</v>
      </c>
      <c r="EQ215" s="449">
        <f>+INPUT!FX204</f>
        <v>-21</v>
      </c>
      <c r="ER215" s="438" t="str">
        <f>+INPUT!FY204</f>
        <v>NM</v>
      </c>
      <c r="ES215" s="449">
        <f>+INPUT!FZ204</f>
        <v>-25</v>
      </c>
      <c r="ET215" s="438">
        <f>+INPUT!GA204</f>
        <v>19.047619047619051</v>
      </c>
      <c r="EU215" s="449">
        <f>+INPUT!GB204</f>
        <v>9</v>
      </c>
      <c r="EV215" s="438" t="str">
        <f>+INPUT!GC204</f>
        <v>NM</v>
      </c>
      <c r="EW215" s="449">
        <f>+INPUT!GD204</f>
        <v>0</v>
      </c>
      <c r="EX215" s="438" t="str">
        <f>+INPUT!GE204</f>
        <v>NM</v>
      </c>
      <c r="EY215" s="449">
        <f>+INPUT!GF204</f>
        <v>-14</v>
      </c>
      <c r="EZ215" s="438" t="str">
        <f>+INPUT!GG204</f>
        <v>NA</v>
      </c>
      <c r="FA215" s="449">
        <f>+INPUT!GH204</f>
        <v>-19</v>
      </c>
      <c r="FB215" s="438">
        <f>+INPUT!GI204</f>
        <v>35.714285714285722</v>
      </c>
      <c r="FC215" s="449">
        <f>+INPUT!GJ204</f>
        <v>20</v>
      </c>
      <c r="FD215" s="438" t="str">
        <f>+INPUT!GK204</f>
        <v>NM</v>
      </c>
      <c r="FE215" s="449">
        <f>+INPUT!GL204</f>
        <v>2</v>
      </c>
      <c r="FF215" s="438" t="str">
        <f>+INPUT!GM204</f>
        <v>NM</v>
      </c>
      <c r="FG215" s="449">
        <f>+INPUT!GN204</f>
        <v>-10</v>
      </c>
      <c r="FH215" s="438" t="str">
        <f>+INPUT!GO204</f>
        <v>NM</v>
      </c>
      <c r="FI215" s="449">
        <f>+INPUT!GP204</f>
        <v>0</v>
      </c>
      <c r="FJ215" s="438" t="str">
        <f>+INPUT!GQ204</f>
        <v>NM</v>
      </c>
      <c r="FK215" s="449">
        <f>+INPUT!GR204</f>
        <v>0</v>
      </c>
      <c r="FL215" s="438" t="str">
        <f>+INPUT!GS204</f>
        <v>NA</v>
      </c>
      <c r="FM215" s="449">
        <f>+INPUT!GT204</f>
        <v>0</v>
      </c>
      <c r="FN215" s="438" t="str">
        <f>+INPUT!GU204</f>
        <v>NA</v>
      </c>
      <c r="FO215" s="449">
        <f>+INPUT!GV204</f>
        <v>0</v>
      </c>
      <c r="FP215" s="438" t="str">
        <f>+INPUT!GW204</f>
        <v>NA</v>
      </c>
      <c r="FQ215" s="449">
        <f>+INPUT!GX204</f>
        <v>0</v>
      </c>
      <c r="FR215" s="438" t="str">
        <f>+INPUT!GY204</f>
        <v>NA</v>
      </c>
      <c r="FS215" s="438" t="str">
        <f>+INPUT!GZ204</f>
        <v>NM</v>
      </c>
    </row>
    <row r="216" spans="1:176" s="529" customFormat="1" ht="12.75" hidden="1" customHeight="1" outlineLevel="1" x14ac:dyDescent="0.2">
      <c r="A216" s="441" t="str">
        <f>+INPUT!B205</f>
        <v>Total Incurred Expenses</v>
      </c>
      <c r="B216" s="449">
        <f>+INPUT!AA205</f>
        <v>528</v>
      </c>
      <c r="C216" s="439">
        <f>+INPUT!AB205</f>
        <v>-0.37735849056603854</v>
      </c>
      <c r="D216" s="449">
        <f>+INPUT!AC205</f>
        <v>528</v>
      </c>
      <c r="E216" s="439">
        <f>+INPUT!AD205</f>
        <v>-6.878306878306887</v>
      </c>
      <c r="F216" s="449">
        <f>+INPUT!AE205</f>
        <v>512</v>
      </c>
      <c r="G216" s="439">
        <f>+INPUT!AF205</f>
        <v>-7.078039927404717</v>
      </c>
      <c r="H216" s="449">
        <f>+INPUT!AG205</f>
        <v>521</v>
      </c>
      <c r="I216" s="439">
        <f>+INPUT!AH205</f>
        <v>-8.5964912280701782</v>
      </c>
      <c r="J216" s="449">
        <f>+INPUT!AI205</f>
        <v>525</v>
      </c>
      <c r="K216" s="439">
        <f>+INPUT!AJ205</f>
        <v>-0.56818181818182723</v>
      </c>
      <c r="L216" s="449">
        <f>+INPUT!AK205</f>
        <v>761</v>
      </c>
      <c r="M216" s="439">
        <f>+INPUT!AL205</f>
        <v>44.128787878787875</v>
      </c>
      <c r="N216" s="449">
        <f>+INPUT!AM205</f>
        <v>806</v>
      </c>
      <c r="O216" s="439">
        <f>+INPUT!AN205</f>
        <v>57.421875</v>
      </c>
      <c r="P216" s="449">
        <f>+INPUT!AO205</f>
        <v>799</v>
      </c>
      <c r="Q216" s="439">
        <f>+INPUT!AP205</f>
        <v>53.35892514395394</v>
      </c>
      <c r="R216" s="449">
        <f>+INPUT!AQ205</f>
        <v>788</v>
      </c>
      <c r="S216" s="439">
        <f>+INPUT!AR205</f>
        <v>50.095238095238102</v>
      </c>
      <c r="T216" s="449">
        <f>+INPUT!AS205</f>
        <v>870</v>
      </c>
      <c r="U216" s="439">
        <f>+INPUT!AT205</f>
        <v>14.323258869908017</v>
      </c>
      <c r="V216" s="449">
        <f>+INPUT!AU205</f>
        <v>937</v>
      </c>
      <c r="W216" s="439">
        <f>+INPUT!AV205</f>
        <v>16.253101736972695</v>
      </c>
      <c r="X216" s="449">
        <f>+INPUT!AW205</f>
        <v>932</v>
      </c>
      <c r="Y216" s="439">
        <f>+INPUT!AX205</f>
        <v>16.645807259073848</v>
      </c>
      <c r="Z216" s="449">
        <f>+INPUT!AY205</f>
        <v>917</v>
      </c>
      <c r="AA216" s="439">
        <f>+INPUT!AZ205</f>
        <v>16.370558375634531</v>
      </c>
      <c r="AB216" s="449">
        <f>+INPUT!BA205</f>
        <v>907</v>
      </c>
      <c r="AC216" s="439">
        <f>+INPUT!BB205</f>
        <v>4.2528735632184009</v>
      </c>
      <c r="AD216" s="449">
        <f>+INPUT!BC205</f>
        <v>1003</v>
      </c>
      <c r="AE216" s="439">
        <f>+INPUT!BD205</f>
        <v>7.043756670224127</v>
      </c>
      <c r="AF216" s="449">
        <f>+INPUT!BE205</f>
        <v>1042</v>
      </c>
      <c r="AG216" s="439">
        <f>+INPUT!BF205</f>
        <v>11.80257510729615</v>
      </c>
      <c r="AH216" s="449">
        <f>+INPUT!BG205</f>
        <v>1015</v>
      </c>
      <c r="AI216" s="438">
        <f>+INPUT!BH205</f>
        <v>10.687022900763353</v>
      </c>
      <c r="AJ216" s="449">
        <f>+INPUT!BI205</f>
        <v>1012</v>
      </c>
      <c r="AK216" s="438">
        <f>+INPUT!BJ205</f>
        <v>11.576626240352809</v>
      </c>
      <c r="AL216" s="449">
        <f>+INPUT!BK205</f>
        <v>1130</v>
      </c>
      <c r="AM216" s="438">
        <f>+INPUT!BL205</f>
        <v>12.662013958125627</v>
      </c>
      <c r="AN216" s="449">
        <f>+INPUT!BM205</f>
        <v>1069</v>
      </c>
      <c r="AO216" s="438">
        <f>+INPUT!BN205</f>
        <v>2.5911708253358938</v>
      </c>
      <c r="AP216" s="449">
        <f>+INPUT!BO205</f>
        <v>1143</v>
      </c>
      <c r="AQ216" s="438">
        <f>+INPUT!BP205</f>
        <v>12.610837438423644</v>
      </c>
      <c r="AR216" s="449">
        <f>+INPUT!BQ205</f>
        <v>1066</v>
      </c>
      <c r="AS216" s="438">
        <f>+INPUT!BR205</f>
        <v>5.3359683794466264</v>
      </c>
      <c r="AT216" s="449">
        <f>+INPUT!BS205</f>
        <v>985</v>
      </c>
      <c r="AU216" s="438">
        <f>+INPUT!BT205</f>
        <v>-12.83185840707965</v>
      </c>
      <c r="AV216" s="449">
        <f>+INPUT!BU205</f>
        <v>1119</v>
      </c>
      <c r="AW216" s="438">
        <f>+INPUT!BV205</f>
        <v>4.6772684752104823</v>
      </c>
      <c r="AX216" s="449">
        <f>+INPUT!BW205</f>
        <v>1043</v>
      </c>
      <c r="AY216" s="438">
        <f>+INPUT!BX205</f>
        <v>-8.7489063867016625</v>
      </c>
      <c r="AZ216" s="449">
        <f>+INPUT!BY205</f>
        <v>1137</v>
      </c>
      <c r="BA216" s="438">
        <f>+INPUT!BZ205</f>
        <v>6.6604127579737309</v>
      </c>
      <c r="BB216" s="449">
        <f>+INPUT!CA205</f>
        <v>983</v>
      </c>
      <c r="BC216" s="438">
        <f>+INPUT!CB205</f>
        <v>-0.20304568527919287</v>
      </c>
      <c r="BD216" s="449">
        <f>+INPUT!CC205</f>
        <v>1002</v>
      </c>
      <c r="BE216" s="438">
        <f>+INPUT!CD205</f>
        <v>-10.455764075067023</v>
      </c>
      <c r="BF216" s="449">
        <f>+INPUT!CE205</f>
        <v>962</v>
      </c>
      <c r="BG216" s="438">
        <f>+INPUT!CF205</f>
        <v>-7.7660594439117858</v>
      </c>
      <c r="BH216" s="449">
        <f>+INPUT!CG205</f>
        <v>1236</v>
      </c>
      <c r="BI216" s="438">
        <f>+INPUT!CH205</f>
        <v>8.7071240105540966</v>
      </c>
      <c r="BJ216" s="449">
        <f>+INPUT!CI205</f>
        <v>1258</v>
      </c>
      <c r="BK216" s="438">
        <f>+INPUT!CJ205</f>
        <v>27.975584944048833</v>
      </c>
      <c r="BL216" s="449">
        <f>+INPUT!CK205</f>
        <v>1162</v>
      </c>
      <c r="BM216" s="438">
        <f>+INPUT!CL205</f>
        <v>15.968063872255485</v>
      </c>
      <c r="BN216" s="449">
        <f>+INPUT!CM205</f>
        <v>1034</v>
      </c>
      <c r="BO216" s="438">
        <f>+INPUT!CN205</f>
        <v>7.4844074844074839</v>
      </c>
      <c r="BP216" s="449">
        <f>+INPUT!CO205</f>
        <v>1077</v>
      </c>
      <c r="BQ216" s="438">
        <f>+INPUT!CP205</f>
        <v>-12.864077669902912</v>
      </c>
      <c r="BR216" s="449">
        <f>+INPUT!CQ205</f>
        <v>1060</v>
      </c>
      <c r="BS216" s="438">
        <f>+INPUT!CR205</f>
        <v>-15.73926868044515</v>
      </c>
      <c r="BT216" s="449">
        <f>+INPUT!CS205</f>
        <v>1106</v>
      </c>
      <c r="BU216" s="438">
        <f>+INPUT!CT205</f>
        <v>-4.819277108433738</v>
      </c>
      <c r="BV216" s="449">
        <f>+INPUT!CU205</f>
        <v>951</v>
      </c>
      <c r="BW216" s="438">
        <f>+INPUT!CV205</f>
        <v>-8.0270793036750376</v>
      </c>
      <c r="BX216" s="449">
        <f>+INPUT!CW205</f>
        <v>1095</v>
      </c>
      <c r="BY216" s="438">
        <f>+INPUT!CX205</f>
        <v>1.6713091922005532</v>
      </c>
      <c r="BZ216" s="449">
        <f>+INPUT!CY205</f>
        <v>1052</v>
      </c>
      <c r="CA216" s="438">
        <f>+INPUT!CZ205</f>
        <v>-0.75471698113207708</v>
      </c>
      <c r="CB216" s="449">
        <f>+INPUT!DA205</f>
        <v>32859</v>
      </c>
      <c r="CC216" s="438" t="str">
        <f>+INPUT!DB205</f>
        <v>NM</v>
      </c>
      <c r="CD216" s="449">
        <f>+INPUT!DC205</f>
        <v>1108</v>
      </c>
      <c r="CE216" s="438">
        <f>+INPUT!DD205</f>
        <v>16.508937960042076</v>
      </c>
      <c r="CF216" s="449">
        <f>+INPUT!DE205</f>
        <v>1242</v>
      </c>
      <c r="CG216" s="438">
        <f>+INPUT!DF205</f>
        <v>13.424657534246577</v>
      </c>
      <c r="CH216" s="449">
        <f>+INPUT!DG205</f>
        <v>1288</v>
      </c>
      <c r="CI216" s="438">
        <f>+INPUT!DH205</f>
        <v>22.433460076045634</v>
      </c>
      <c r="CJ216" s="449">
        <f>+INPUT!DI205</f>
        <v>1351</v>
      </c>
      <c r="CK216" s="438" t="str">
        <f>+INPUT!DJ205</f>
        <v>NM</v>
      </c>
      <c r="CL216" s="449">
        <f>+INPUT!DK205</f>
        <v>1167</v>
      </c>
      <c r="CM216" s="438">
        <f>+INPUT!DL205</f>
        <v>5.3249097472924234</v>
      </c>
      <c r="CN216" s="449">
        <f>+INPUT!DM205</f>
        <v>1183</v>
      </c>
      <c r="CO216" s="438">
        <f>+INPUT!DN205</f>
        <v>-4.7504025764895346</v>
      </c>
      <c r="CP216" s="449">
        <f>+INPUT!DO205</f>
        <v>2141</v>
      </c>
      <c r="CQ216" s="438">
        <f>+INPUT!DP205</f>
        <v>66.226708074534173</v>
      </c>
      <c r="CR216" s="449">
        <f>+INPUT!DQ205</f>
        <v>6371</v>
      </c>
      <c r="CS216" s="438" t="str">
        <f>+INPUT!DR205</f>
        <v>NM</v>
      </c>
      <c r="CT216" s="449">
        <f>+INPUT!DS205</f>
        <v>2194</v>
      </c>
      <c r="CU216" s="438">
        <f>+INPUT!DT205</f>
        <v>88.003427592116537</v>
      </c>
      <c r="CV216" s="449">
        <f>+INPUT!DU205</f>
        <v>2943</v>
      </c>
      <c r="CW216" s="438" t="str">
        <f>+INPUT!DV205</f>
        <v>NM</v>
      </c>
      <c r="CX216" s="449">
        <f>+INPUT!DW205</f>
        <v>1695</v>
      </c>
      <c r="CY216" s="438">
        <f>+INPUT!DX205</f>
        <v>-20.831387202241942</v>
      </c>
      <c r="CZ216" s="449">
        <f>+INPUT!DY205</f>
        <v>4058</v>
      </c>
      <c r="DA216" s="438">
        <f>+INPUT!DZ205</f>
        <v>-36.305132632239832</v>
      </c>
      <c r="DB216" s="449">
        <f>+INPUT!EA205</f>
        <v>1674</v>
      </c>
      <c r="DC216" s="438">
        <f>+INPUT!EB205</f>
        <v>-23.701002734731077</v>
      </c>
      <c r="DD216" s="449">
        <f>+INPUT!EC205</f>
        <v>2005</v>
      </c>
      <c r="DE216" s="438">
        <f>+INPUT!ED205</f>
        <v>-31.872239211688765</v>
      </c>
      <c r="DF216" s="449">
        <f>+INPUT!EE205</f>
        <v>4895</v>
      </c>
      <c r="DG216" s="438" t="str">
        <f>+INPUT!EF205</f>
        <v>NM</v>
      </c>
      <c r="DH216" s="449">
        <f>+INPUT!EG205</f>
        <v>3290</v>
      </c>
      <c r="DI216" s="438">
        <f>+INPUT!EH205</f>
        <v>-18.925579103006413</v>
      </c>
      <c r="DJ216" s="449">
        <f>+INPUT!EI205</f>
        <v>1540</v>
      </c>
      <c r="DK216" s="438">
        <f>+INPUT!EJ205</f>
        <v>-8.00477897252091</v>
      </c>
      <c r="DL216" s="449">
        <f>+INPUT!EK205</f>
        <v>3299</v>
      </c>
      <c r="DM216" s="438">
        <f>+INPUT!EL205</f>
        <v>64.538653366583532</v>
      </c>
      <c r="DN216" s="449">
        <f>+INPUT!EM205</f>
        <v>3011</v>
      </c>
      <c r="DO216" s="438">
        <f>+INPUT!EN205</f>
        <v>-38.488253319713991</v>
      </c>
      <c r="DP216" s="449">
        <f>+INPUT!EO205</f>
        <v>4749</v>
      </c>
      <c r="DQ216" s="438">
        <f>+INPUT!EP205</f>
        <v>44.346504559270528</v>
      </c>
      <c r="DR216" s="449">
        <f>+INPUT!EQ205</f>
        <v>3037.5540525860274</v>
      </c>
      <c r="DS216" s="438">
        <f>+INPUT!ER205</f>
        <v>97.243769648443333</v>
      </c>
      <c r="DT216" s="449">
        <f>+INPUT!ES205</f>
        <v>3090.5998661657354</v>
      </c>
      <c r="DU216" s="438">
        <f>+INPUT!ET205</f>
        <v>-6.3170698343214582</v>
      </c>
      <c r="DV216" s="449">
        <f>+INPUT!EU205</f>
        <v>3143.7481756383604</v>
      </c>
      <c r="DW216" s="438">
        <f>+INPUT!EV205</f>
        <v>4.4087736844357579</v>
      </c>
      <c r="DX216" s="449">
        <f>+INPUT!EW205</f>
        <v>3189.4334609797938</v>
      </c>
      <c r="DY216" s="438">
        <f>+INPUT!EX205</f>
        <v>-32.839893430621316</v>
      </c>
      <c r="DZ216" s="449"/>
      <c r="EA216" s="438"/>
      <c r="EB216" s="439">
        <f>+INPUT!FI205</f>
        <v>-5.9259259259259238</v>
      </c>
      <c r="EC216" s="449">
        <f>+INPUT!FJ205</f>
        <v>2210</v>
      </c>
      <c r="ED216" s="439">
        <f>+INPUT!FK205</f>
        <v>-3.3245844269466289</v>
      </c>
      <c r="EE216" s="449">
        <f>+INPUT!FL205</f>
        <v>2089</v>
      </c>
      <c r="EF216" s="439">
        <f>+INPUT!FM205</f>
        <v>-5.4751131221719476</v>
      </c>
      <c r="EG216" s="449">
        <f>+INPUT!FN205</f>
        <v>2891</v>
      </c>
      <c r="EH216" s="439">
        <f>+INPUT!FO205</f>
        <v>38.391574916227853</v>
      </c>
      <c r="EI216" s="449">
        <f>+INPUT!FP205</f>
        <v>3527</v>
      </c>
      <c r="EJ216" s="438">
        <f>+INPUT!FQ205</f>
        <v>21.999308197855399</v>
      </c>
      <c r="EK216" s="449">
        <f>+INPUT!FR205</f>
        <v>3869</v>
      </c>
      <c r="EL216" s="438">
        <f>+INPUT!FS205</f>
        <v>9.6966260277856549</v>
      </c>
      <c r="EM216" s="449">
        <f>+INPUT!FT205</f>
        <v>4226</v>
      </c>
      <c r="EN216" s="438">
        <f>+INPUT!FU205</f>
        <v>9.2271904884983087</v>
      </c>
      <c r="EO216" s="449">
        <f>+INPUT!FV205</f>
        <v>4324</v>
      </c>
      <c r="EP216" s="438">
        <f>+INPUT!FW205</f>
        <v>2.318977756743962</v>
      </c>
      <c r="EQ216" s="449">
        <f>+INPUT!FX205</f>
        <v>4168</v>
      </c>
      <c r="ER216" s="438">
        <f>+INPUT!FY205</f>
        <v>-3.6077705827937052</v>
      </c>
      <c r="ES216" s="449">
        <f>+INPUT!FZ205</f>
        <v>4618</v>
      </c>
      <c r="ET216" s="438">
        <f>+INPUT!GA205</f>
        <v>10.796545105566224</v>
      </c>
      <c r="EU216" s="449">
        <f>+INPUT!GB205</f>
        <v>4277</v>
      </c>
      <c r="EV216" s="438">
        <f>+INPUT!GC205</f>
        <v>-7.3841489822434028</v>
      </c>
      <c r="EW216" s="449">
        <f>+INPUT!GD205</f>
        <v>35957</v>
      </c>
      <c r="EX216" s="438" t="str">
        <f>+INPUT!GE205</f>
        <v>NM</v>
      </c>
      <c r="EY216" s="449">
        <f>+INPUT!GF205</f>
        <v>4989</v>
      </c>
      <c r="EZ216" s="438" t="str">
        <f>+INPUT!GG205</f>
        <v>NM</v>
      </c>
      <c r="FA216" s="449">
        <f>+INPUT!GH205</f>
        <v>10862</v>
      </c>
      <c r="FB216" s="438" t="str">
        <f>+INPUT!GI205</f>
        <v>NM</v>
      </c>
      <c r="FC216" s="449">
        <f>+INPUT!GJ205</f>
        <v>10890</v>
      </c>
      <c r="FD216" s="438">
        <f>+INPUT!GK205</f>
        <v>0.25777941447246633</v>
      </c>
      <c r="FE216" s="449">
        <f>+INPUT!GL205</f>
        <v>11864</v>
      </c>
      <c r="FF216" s="438">
        <f>+INPUT!GM205</f>
        <v>8.9439853076216593</v>
      </c>
      <c r="FG216" s="449">
        <f>+INPUT!GN205</f>
        <v>12599</v>
      </c>
      <c r="FH216" s="438">
        <f>+INPUT!GO205</f>
        <v>6.1952124072825399</v>
      </c>
      <c r="FI216" s="449">
        <f>+INPUT!GP205</f>
        <v>12461.335555369917</v>
      </c>
      <c r="FJ216" s="438">
        <f>+INPUT!GQ205</f>
        <v>-1.0926616765622867</v>
      </c>
      <c r="FK216" s="449">
        <f>+INPUT!GR205</f>
        <v>12956.895813864779</v>
      </c>
      <c r="FL216" s="438">
        <f>+INPUT!GS205</f>
        <v>3.9767828760642914</v>
      </c>
      <c r="FM216" s="449">
        <f>+INPUT!GT205</f>
        <v>13483.41613278057</v>
      </c>
      <c r="FN216" s="438">
        <f>+INPUT!GU205</f>
        <v>4.0636301046148589</v>
      </c>
      <c r="FO216" s="449">
        <f>+INPUT!GV205</f>
        <v>14031.738139322284</v>
      </c>
      <c r="FP216" s="438">
        <f>+INPUT!GW205</f>
        <v>4.0666400943351988</v>
      </c>
      <c r="FQ216" s="449">
        <f>+INPUT!GX205</f>
        <v>14602.784292016711</v>
      </c>
      <c r="FR216" s="438">
        <f>+INPUT!GY205</f>
        <v>4.0696750967304354</v>
      </c>
      <c r="FS216" s="438">
        <f>+INPUT!GZ205</f>
        <v>2.9958957074694537</v>
      </c>
    </row>
    <row r="217" spans="1:176" s="529" customFormat="1" ht="12.75" hidden="1" customHeight="1" outlineLevel="1" x14ac:dyDescent="0.2">
      <c r="A217" s="544"/>
      <c r="B217" s="545"/>
      <c r="C217" s="532"/>
      <c r="D217" s="545"/>
      <c r="E217" s="532"/>
      <c r="F217" s="545"/>
      <c r="G217" s="532"/>
      <c r="H217" s="545"/>
      <c r="I217" s="532"/>
      <c r="J217" s="545"/>
      <c r="K217" s="532"/>
      <c r="L217" s="545"/>
      <c r="M217" s="532"/>
      <c r="N217" s="545"/>
      <c r="O217" s="532"/>
      <c r="P217" s="545"/>
      <c r="Q217" s="532"/>
      <c r="R217" s="545"/>
      <c r="S217" s="532"/>
      <c r="T217" s="545"/>
      <c r="U217" s="532"/>
      <c r="V217" s="545"/>
      <c r="W217" s="532"/>
      <c r="X217" s="545"/>
      <c r="Y217" s="532"/>
      <c r="Z217" s="545"/>
      <c r="AA217" s="532"/>
      <c r="AB217" s="545"/>
      <c r="AC217" s="532"/>
      <c r="AD217" s="545"/>
      <c r="AE217" s="532"/>
      <c r="AF217" s="545"/>
      <c r="AG217" s="532"/>
      <c r="AH217" s="545"/>
      <c r="AI217" s="531"/>
      <c r="AJ217" s="545"/>
      <c r="AK217" s="531"/>
      <c r="AL217" s="545"/>
      <c r="AM217" s="531"/>
      <c r="AN217" s="545"/>
      <c r="AO217" s="531"/>
      <c r="AP217" s="545"/>
      <c r="AQ217" s="531"/>
      <c r="AR217" s="545"/>
      <c r="AS217" s="531"/>
      <c r="AT217" s="545"/>
      <c r="AU217" s="531"/>
      <c r="AV217" s="545"/>
      <c r="AW217" s="531"/>
      <c r="AX217" s="545"/>
      <c r="AY217" s="531"/>
      <c r="AZ217" s="545"/>
      <c r="BA217" s="531"/>
      <c r="BB217" s="545"/>
      <c r="BC217" s="531"/>
      <c r="BD217" s="545"/>
      <c r="BE217" s="531"/>
      <c r="BF217" s="545"/>
      <c r="BG217" s="531"/>
      <c r="BH217" s="545"/>
      <c r="BI217" s="531"/>
      <c r="BJ217" s="545"/>
      <c r="BK217" s="531"/>
      <c r="BL217" s="545"/>
      <c r="BM217" s="531"/>
      <c r="BN217" s="545"/>
      <c r="BO217" s="531"/>
      <c r="BP217" s="545"/>
      <c r="BQ217" s="531"/>
      <c r="BR217" s="545"/>
      <c r="BS217" s="531"/>
      <c r="BT217" s="545"/>
      <c r="BU217" s="531"/>
      <c r="BV217" s="545"/>
      <c r="BW217" s="531"/>
      <c r="BX217" s="545"/>
      <c r="BY217" s="531"/>
      <c r="BZ217" s="545"/>
      <c r="CA217" s="531"/>
      <c r="CB217" s="545"/>
      <c r="CC217" s="531"/>
      <c r="CD217" s="545"/>
      <c r="CE217" s="531"/>
      <c r="CF217" s="545"/>
      <c r="CG217" s="531"/>
      <c r="CH217" s="545"/>
      <c r="CI217" s="531"/>
      <c r="CJ217" s="545"/>
      <c r="CK217" s="531"/>
      <c r="CL217" s="545"/>
      <c r="CM217" s="531"/>
      <c r="CN217" s="545"/>
      <c r="CO217" s="531"/>
      <c r="CP217" s="545"/>
      <c r="CQ217" s="531"/>
      <c r="CR217" s="545"/>
      <c r="CS217" s="531"/>
      <c r="CT217" s="545"/>
      <c r="CU217" s="531"/>
      <c r="CV217" s="545"/>
      <c r="CW217" s="531"/>
      <c r="CX217" s="545"/>
      <c r="CY217" s="531"/>
      <c r="CZ217" s="545"/>
      <c r="DA217" s="531"/>
      <c r="DB217" s="545"/>
      <c r="DC217" s="531"/>
      <c r="DD217" s="545"/>
      <c r="DE217" s="531"/>
      <c r="DF217" s="545"/>
      <c r="DG217" s="531"/>
      <c r="DH217" s="545"/>
      <c r="DI217" s="531"/>
      <c r="DJ217" s="545"/>
      <c r="DK217" s="531"/>
      <c r="DL217" s="545"/>
      <c r="DM217" s="531"/>
      <c r="DN217" s="545"/>
      <c r="DO217" s="531"/>
      <c r="DP217" s="545"/>
      <c r="DQ217" s="531"/>
      <c r="DR217" s="545"/>
      <c r="DS217" s="531"/>
      <c r="DT217" s="545"/>
      <c r="DU217" s="531"/>
      <c r="DV217" s="545"/>
      <c r="DW217" s="531"/>
      <c r="DX217" s="545"/>
      <c r="DY217" s="531"/>
      <c r="DZ217" s="545"/>
      <c r="EA217" s="531"/>
      <c r="EB217" s="532"/>
      <c r="EC217" s="545"/>
      <c r="ED217" s="532"/>
      <c r="EE217" s="545"/>
      <c r="EF217" s="532"/>
      <c r="EG217" s="545"/>
      <c r="EH217" s="532"/>
      <c r="EI217" s="545"/>
      <c r="EJ217" s="531"/>
      <c r="EK217" s="545"/>
      <c r="EL217" s="531"/>
      <c r="EM217" s="545"/>
      <c r="EN217" s="531"/>
      <c r="EO217" s="545"/>
      <c r="EP217" s="531"/>
      <c r="EQ217" s="545"/>
      <c r="ER217" s="531"/>
      <c r="ES217" s="545"/>
      <c r="ET217" s="531"/>
      <c r="EU217" s="545"/>
      <c r="EV217" s="531"/>
      <c r="EW217" s="545"/>
      <c r="EX217" s="531"/>
      <c r="EY217" s="545"/>
      <c r="EZ217" s="531"/>
      <c r="FA217" s="545"/>
      <c r="FB217" s="531"/>
      <c r="FC217" s="545"/>
      <c r="FD217" s="531"/>
      <c r="FE217" s="545"/>
      <c r="FF217" s="531"/>
      <c r="FG217" s="545"/>
      <c r="FH217" s="531"/>
      <c r="FI217" s="545"/>
      <c r="FJ217" s="531"/>
      <c r="FK217" s="545"/>
      <c r="FL217" s="531"/>
      <c r="FM217" s="545"/>
      <c r="FN217" s="531"/>
      <c r="FO217" s="545"/>
      <c r="FP217" s="531"/>
      <c r="FQ217" s="545"/>
      <c r="FR217" s="531"/>
      <c r="FS217" s="531"/>
    </row>
    <row r="218" spans="1:176" ht="12.75" hidden="1" customHeight="1" outlineLevel="1" x14ac:dyDescent="0.2">
      <c r="A218" s="512" t="s">
        <v>706</v>
      </c>
      <c r="B218" s="506">
        <f>+INPUT!AA213</f>
        <v>53</v>
      </c>
      <c r="C218" s="513">
        <f>+INPUT!AB213</f>
        <v>55.882352941176464</v>
      </c>
      <c r="D218" s="506">
        <f>+INPUT!AC213</f>
        <v>45</v>
      </c>
      <c r="E218" s="513">
        <f>+INPUT!AD213</f>
        <v>-10</v>
      </c>
      <c r="F218" s="506">
        <f>+INPUT!AE213</f>
        <v>39</v>
      </c>
      <c r="G218" s="513">
        <f>+INPUT!AF213</f>
        <v>62.5</v>
      </c>
      <c r="H218" s="506">
        <f>+INPUT!AG213</f>
        <v>55</v>
      </c>
      <c r="I218" s="513">
        <f>+INPUT!AH213</f>
        <v>66.666666666666686</v>
      </c>
      <c r="J218" s="506">
        <f>+INPUT!AI213</f>
        <v>52</v>
      </c>
      <c r="K218" s="513">
        <f>+INPUT!AJ213</f>
        <v>-1.8867924528301927</v>
      </c>
      <c r="L218" s="506">
        <f>+INPUT!AK213</f>
        <v>92</v>
      </c>
      <c r="M218" s="513" t="str">
        <f>+INPUT!AL213</f>
        <v>NM</v>
      </c>
      <c r="N218" s="506">
        <f>+INPUT!AM213</f>
        <v>94</v>
      </c>
      <c r="O218" s="513" t="str">
        <f>+INPUT!AN213</f>
        <v>NM</v>
      </c>
      <c r="P218" s="506">
        <f>+INPUT!AO213</f>
        <v>96</v>
      </c>
      <c r="Q218" s="513">
        <f>+INPUT!AP213</f>
        <v>74.545454545454533</v>
      </c>
      <c r="R218" s="506">
        <f>+INPUT!AQ213</f>
        <v>155</v>
      </c>
      <c r="S218" s="513" t="str">
        <f>+INPUT!AR213</f>
        <v>NM</v>
      </c>
      <c r="T218" s="506">
        <f>+INPUT!AS213</f>
        <v>142</v>
      </c>
      <c r="U218" s="513">
        <f>+INPUT!AT213</f>
        <v>54.34782608695653</v>
      </c>
      <c r="V218" s="506">
        <f>+INPUT!AU213</f>
        <v>110</v>
      </c>
      <c r="W218" s="513">
        <f>+INPUT!AV213</f>
        <v>17.021276595744681</v>
      </c>
      <c r="X218" s="506">
        <f>+INPUT!AW213</f>
        <v>91</v>
      </c>
      <c r="Y218" s="513">
        <f>+INPUT!AX213</f>
        <v>-5.2083333333333428</v>
      </c>
      <c r="Z218" s="506">
        <f>+INPUT!AY213</f>
        <v>137</v>
      </c>
      <c r="AA218" s="513">
        <f>+INPUT!AZ213</f>
        <v>-11.612903225806448</v>
      </c>
      <c r="AB218" s="506">
        <f>+INPUT!BA213</f>
        <v>143</v>
      </c>
      <c r="AC218" s="513">
        <f>+INPUT!BB213</f>
        <v>0.70422535211267245</v>
      </c>
      <c r="AD218" s="506">
        <f>+INPUT!BC213</f>
        <v>109</v>
      </c>
      <c r="AE218" s="513">
        <f>+INPUT!BD213</f>
        <v>-0.90909090909090651</v>
      </c>
      <c r="AF218" s="506">
        <f>+INPUT!BE213</f>
        <v>121</v>
      </c>
      <c r="AG218" s="513">
        <f>+INPUT!BF213</f>
        <v>32.967032967032964</v>
      </c>
      <c r="AH218" s="506">
        <f>+INPUT!BG213</f>
        <v>148</v>
      </c>
      <c r="AI218" s="507">
        <f>+INPUT!BH213</f>
        <v>8.029197080291965</v>
      </c>
      <c r="AJ218" s="506">
        <f>+INPUT!BI213</f>
        <v>138</v>
      </c>
      <c r="AK218" s="507">
        <f>+INPUT!BJ213</f>
        <v>-3.4965034965034931</v>
      </c>
      <c r="AL218" s="506">
        <f>+INPUT!BK213</f>
        <v>65</v>
      </c>
      <c r="AM218" s="507">
        <f>+INPUT!BL213</f>
        <v>-40.366972477064223</v>
      </c>
      <c r="AN218" s="506">
        <f>+INPUT!BM213</f>
        <v>131</v>
      </c>
      <c r="AO218" s="507">
        <f>+INPUT!BN213</f>
        <v>8.2644628099173474</v>
      </c>
      <c r="AP218" s="506">
        <f>+INPUT!BO213</f>
        <v>124</v>
      </c>
      <c r="AQ218" s="507">
        <f>+INPUT!BP213</f>
        <v>-16.21621621621621</v>
      </c>
      <c r="AR218" s="506">
        <f>+INPUT!BQ213</f>
        <v>141</v>
      </c>
      <c r="AS218" s="507">
        <f>+INPUT!BR213</f>
        <v>2.1739130434782652</v>
      </c>
      <c r="AT218" s="506">
        <f>+INPUT!BS213</f>
        <v>133</v>
      </c>
      <c r="AU218" s="507" t="str">
        <f>+INPUT!BT213</f>
        <v>NM</v>
      </c>
      <c r="AV218" s="506">
        <f>+INPUT!BU213</f>
        <v>133</v>
      </c>
      <c r="AW218" s="507">
        <f>+INPUT!BV213</f>
        <v>1.5267175572519136</v>
      </c>
      <c r="AX218" s="506">
        <f>+INPUT!BW213</f>
        <v>140</v>
      </c>
      <c r="AY218" s="507">
        <f>+INPUT!BX213</f>
        <v>12.90322580645163</v>
      </c>
      <c r="AZ218" s="506">
        <f>+INPUT!BY213</f>
        <v>105</v>
      </c>
      <c r="BA218" s="507">
        <f>+INPUT!BZ213</f>
        <v>-25.531914893617028</v>
      </c>
      <c r="BB218" s="506">
        <f>+INPUT!CA213</f>
        <v>117</v>
      </c>
      <c r="BC218" s="507">
        <f>+INPUT!CB213</f>
        <v>-12.030075187969928</v>
      </c>
      <c r="BD218" s="506">
        <f>+INPUT!CC213</f>
        <v>132</v>
      </c>
      <c r="BE218" s="507">
        <f>+INPUT!CD213</f>
        <v>-0.75187969924812137</v>
      </c>
      <c r="BF218" s="506">
        <f>+INPUT!CE213</f>
        <v>167</v>
      </c>
      <c r="BG218" s="507">
        <f>+INPUT!CF213</f>
        <v>19.285714285714278</v>
      </c>
      <c r="BH218" s="506">
        <f>+INPUT!CG213</f>
        <v>134</v>
      </c>
      <c r="BI218" s="507">
        <f>+INPUT!CH213</f>
        <v>27.619047619047606</v>
      </c>
      <c r="BJ218" s="506">
        <f>+INPUT!CI213</f>
        <v>118</v>
      </c>
      <c r="BK218" s="507">
        <f>+INPUT!CJ213</f>
        <v>0.85470085470085166</v>
      </c>
      <c r="BL218" s="506">
        <f>+INPUT!CK213</f>
        <v>146</v>
      </c>
      <c r="BM218" s="507">
        <f>+INPUT!CL213</f>
        <v>10.606060606060595</v>
      </c>
      <c r="BN218" s="506">
        <f>+INPUT!CM213</f>
        <v>172</v>
      </c>
      <c r="BO218" s="507">
        <f>+INPUT!CN213</f>
        <v>2.9940119760479007</v>
      </c>
      <c r="BP218" s="506">
        <f>+INPUT!CO213</f>
        <v>171</v>
      </c>
      <c r="BQ218" s="507">
        <f>+INPUT!CP213</f>
        <v>27.611940298507463</v>
      </c>
      <c r="BR218" s="506">
        <f>+INPUT!CQ213</f>
        <v>111</v>
      </c>
      <c r="BS218" s="507">
        <f>+INPUT!CR213</f>
        <v>-5.9322033898305051</v>
      </c>
      <c r="BT218" s="506">
        <f>+INPUT!CS213</f>
        <v>140</v>
      </c>
      <c r="BU218" s="507">
        <f>+INPUT!CT213</f>
        <v>-4.1095890410959015</v>
      </c>
      <c r="BV218" s="506">
        <f>+INPUT!CU213</f>
        <v>156</v>
      </c>
      <c r="BW218" s="507">
        <f>+INPUT!CV213</f>
        <v>-9.3023255813953512</v>
      </c>
      <c r="BX218" s="506">
        <f>+INPUT!CW213</f>
        <v>147</v>
      </c>
      <c r="BY218" s="507">
        <f>+INPUT!CX213</f>
        <v>-14.035087719298247</v>
      </c>
      <c r="BZ218" s="506">
        <f>+INPUT!CY213</f>
        <v>110</v>
      </c>
      <c r="CA218" s="507">
        <f>+INPUT!CZ213</f>
        <v>-0.90090090090090769</v>
      </c>
      <c r="CB218" s="506">
        <f>+INPUT!DA213</f>
        <v>225</v>
      </c>
      <c r="CC218" s="507">
        <f>+INPUT!DB213</f>
        <v>60.714285714285722</v>
      </c>
      <c r="CD218" s="506">
        <f>+INPUT!DC213</f>
        <v>228</v>
      </c>
      <c r="CE218" s="507">
        <f>+INPUT!DD213</f>
        <v>46.153846153846132</v>
      </c>
      <c r="CF218" s="506">
        <f>+INPUT!DE213</f>
        <v>279</v>
      </c>
      <c r="CG218" s="507">
        <f>+INPUT!DF213</f>
        <v>89.795918367346957</v>
      </c>
      <c r="CH218" s="506">
        <f>+INPUT!DG213</f>
        <v>237</v>
      </c>
      <c r="CI218" s="507" t="str">
        <f>+INPUT!DH213</f>
        <v>NM</v>
      </c>
      <c r="CJ218" s="506">
        <f>+INPUT!DI213</f>
        <v>295</v>
      </c>
      <c r="CK218" s="507">
        <f>+INPUT!DJ213</f>
        <v>31.111111111111114</v>
      </c>
      <c r="CL218" s="506">
        <f>+INPUT!DK213</f>
        <v>364</v>
      </c>
      <c r="CM218" s="507">
        <f>+INPUT!DL213</f>
        <v>59.649122807017562</v>
      </c>
      <c r="CN218" s="506">
        <f>+INPUT!DM213</f>
        <v>286</v>
      </c>
      <c r="CO218" s="507">
        <f>+INPUT!DN213</f>
        <v>2.5089605734766991</v>
      </c>
      <c r="CP218" s="506">
        <f>+INPUT!DO213</f>
        <v>256</v>
      </c>
      <c r="CQ218" s="507">
        <f>+INPUT!DP213</f>
        <v>8.0168776371307899</v>
      </c>
      <c r="CR218" s="506">
        <f>+INPUT!DQ213</f>
        <v>309</v>
      </c>
      <c r="CS218" s="507">
        <f>+INPUT!DR213</f>
        <v>4.7457627118644012</v>
      </c>
      <c r="CT218" s="506">
        <f>+INPUT!DS213</f>
        <v>284</v>
      </c>
      <c r="CU218" s="507">
        <f>+INPUT!DT213</f>
        <v>-21.978021978021971</v>
      </c>
      <c r="CV218" s="506">
        <f>+INPUT!DU213</f>
        <v>237</v>
      </c>
      <c r="CW218" s="507">
        <f>+INPUT!DV213</f>
        <v>-17.132867132867133</v>
      </c>
      <c r="CX218" s="506">
        <f>+INPUT!DW213</f>
        <v>242</v>
      </c>
      <c r="CY218" s="507">
        <f>+INPUT!DX213</f>
        <v>-5.46875</v>
      </c>
      <c r="CZ218" s="506">
        <f>+INPUT!DY213</f>
        <v>168</v>
      </c>
      <c r="DA218" s="507">
        <f>+INPUT!DZ213</f>
        <v>-45.631067961165051</v>
      </c>
      <c r="DB218" s="506">
        <f>+INPUT!EA213</f>
        <v>219</v>
      </c>
      <c r="DC218" s="507">
        <f>+INPUT!EB213</f>
        <v>-22.887323943661968</v>
      </c>
      <c r="DD218" s="506">
        <f>+INPUT!EC213</f>
        <v>236</v>
      </c>
      <c r="DE218" s="507">
        <f>+INPUT!ED213</f>
        <v>-0.4219409282700326</v>
      </c>
      <c r="DF218" s="506">
        <f>+INPUT!EE213</f>
        <v>239</v>
      </c>
      <c r="DG218" s="507">
        <f>+INPUT!EF213</f>
        <v>-1.239669421487605</v>
      </c>
      <c r="DH218" s="506">
        <f>+INPUT!EG213</f>
        <v>318</v>
      </c>
      <c r="DI218" s="507">
        <f>+INPUT!EH213</f>
        <v>89.285714285714278</v>
      </c>
      <c r="DJ218" s="506">
        <f>+INPUT!EI213</f>
        <v>397</v>
      </c>
      <c r="DK218" s="507">
        <f>+INPUT!EJ213</f>
        <v>81.278538812785399</v>
      </c>
      <c r="DL218" s="506">
        <f>+INPUT!EK213</f>
        <v>308</v>
      </c>
      <c r="DM218" s="507">
        <f>+INPUT!EL213</f>
        <v>30.508474576271198</v>
      </c>
      <c r="DN218" s="506">
        <f>+INPUT!EM213</f>
        <v>248</v>
      </c>
      <c r="DO218" s="507">
        <f>+INPUT!EN213</f>
        <v>3.7656903765690402</v>
      </c>
      <c r="DP218" s="506">
        <f>+INPUT!EO213</f>
        <v>291</v>
      </c>
      <c r="DQ218" s="507">
        <f>+INPUT!EP213</f>
        <v>-8.4905660377358458</v>
      </c>
      <c r="DR218" s="506">
        <f>+INPUT!EQ213</f>
        <v>307.55725752286753</v>
      </c>
      <c r="DS218" s="507">
        <f>+INPUT!ER213</f>
        <v>-22.529658054693314</v>
      </c>
      <c r="DT218" s="506">
        <f>+INPUT!ES213</f>
        <v>285.4264931648413</v>
      </c>
      <c r="DU218" s="507">
        <f>+INPUT!ET213</f>
        <v>-7.3290606607658049</v>
      </c>
      <c r="DV218" s="506">
        <f>+INPUT!EU213</f>
        <v>264.82675395724391</v>
      </c>
      <c r="DW218" s="507">
        <f>+INPUT!EV213</f>
        <v>6.7849814343725399</v>
      </c>
      <c r="DX218" s="506">
        <f>+INPUT!EW213</f>
        <v>252.00711319519451</v>
      </c>
      <c r="DY218" s="507">
        <f>+INPUT!EX213</f>
        <v>-13.399617458696042</v>
      </c>
      <c r="DZ218" s="506"/>
      <c r="EA218" s="507"/>
      <c r="EB218" s="513">
        <f>+INPUT!FI213</f>
        <v>-44.329896907216494</v>
      </c>
      <c r="EC218" s="506">
        <f>+INPUT!FJ213</f>
        <v>149</v>
      </c>
      <c r="ED218" s="513">
        <f>+INPUT!FK213</f>
        <v>37.962962962962962</v>
      </c>
      <c r="EE218" s="506">
        <f>+INPUT!FL213</f>
        <v>192</v>
      </c>
      <c r="EF218" s="513">
        <f>+INPUT!FM213</f>
        <v>28.859060402684548</v>
      </c>
      <c r="EG218" s="506">
        <f>+INPUT!FN213</f>
        <v>334</v>
      </c>
      <c r="EH218" s="513">
        <f>+INPUT!FO213</f>
        <v>73.958333333333314</v>
      </c>
      <c r="EI218" s="506">
        <f>+INPUT!FP213</f>
        <v>498</v>
      </c>
      <c r="EJ218" s="507">
        <f>+INPUT!FQ213</f>
        <v>49.101796407185645</v>
      </c>
      <c r="EK218" s="506">
        <f>+INPUT!FR213</f>
        <v>510</v>
      </c>
      <c r="EL218" s="507">
        <f>+INPUT!FS213</f>
        <v>2.409638554216869</v>
      </c>
      <c r="EM218" s="506">
        <f>+INPUT!FT213</f>
        <v>482</v>
      </c>
      <c r="EN218" s="507">
        <f>+INPUT!FU213</f>
        <v>-5.4901960784313815</v>
      </c>
      <c r="EO218" s="506">
        <f>+INPUT!FV213</f>
        <v>535</v>
      </c>
      <c r="EP218" s="507">
        <f>+INPUT!FW213</f>
        <v>10.99585062240665</v>
      </c>
      <c r="EQ218" s="506">
        <f>+INPUT!FX213</f>
        <v>491</v>
      </c>
      <c r="ER218" s="507">
        <f>+INPUT!FY213</f>
        <v>-8.2242990654205528</v>
      </c>
      <c r="ES218" s="506">
        <f>+INPUT!FZ213</f>
        <v>565</v>
      </c>
      <c r="ET218" s="507">
        <f>+INPUT!GA213</f>
        <v>15.071283095723004</v>
      </c>
      <c r="EU218" s="506">
        <f>+INPUT!GB213</f>
        <v>594</v>
      </c>
      <c r="EV218" s="507">
        <f>+INPUT!GC213</f>
        <v>5.132743362831846</v>
      </c>
      <c r="EW218" s="506">
        <f>+INPUT!GD213</f>
        <v>638</v>
      </c>
      <c r="EX218" s="507">
        <f>+INPUT!GE213</f>
        <v>7.407407407407419</v>
      </c>
      <c r="EY218" s="506">
        <f>+INPUT!GF213</f>
        <v>1039</v>
      </c>
      <c r="EZ218" s="507">
        <f>+INPUT!GG213</f>
        <v>62.852664576802511</v>
      </c>
      <c r="FA218" s="506">
        <f>+INPUT!GH213</f>
        <v>1215</v>
      </c>
      <c r="FB218" s="507">
        <f>+INPUT!GI213</f>
        <v>16.939364773820984</v>
      </c>
      <c r="FC218" s="506">
        <f>+INPUT!GJ213</f>
        <v>931</v>
      </c>
      <c r="FD218" s="507">
        <f>+INPUT!GK213</f>
        <v>-23.374485596707814</v>
      </c>
      <c r="FE218" s="506">
        <f>+INPUT!GL213</f>
        <v>1012</v>
      </c>
      <c r="FF218" s="507">
        <f>+INPUT!GM213</f>
        <v>8.7003222341568147</v>
      </c>
      <c r="FG218" s="506">
        <f>+INPUT!GN213</f>
        <v>1244</v>
      </c>
      <c r="FH218" s="507">
        <f>+INPUT!GO213</f>
        <v>22.92490118577075</v>
      </c>
      <c r="FI218" s="506">
        <f>+INPUT!GP213</f>
        <v>1109.8176178401463</v>
      </c>
      <c r="FJ218" s="507">
        <f>+INPUT!GQ213</f>
        <v>-10.786365125390162</v>
      </c>
      <c r="FK218" s="506">
        <f>+INPUT!GR213</f>
        <v>1138.8525066855709</v>
      </c>
      <c r="FL218" s="507">
        <f>+INPUT!GS213</f>
        <v>2.6161856127253031</v>
      </c>
      <c r="FM218" s="506">
        <f>+INPUT!GT213</f>
        <v>1162.3174196138971</v>
      </c>
      <c r="FN218" s="507">
        <f>+INPUT!GU213</f>
        <v>2.0603996382829735</v>
      </c>
      <c r="FO218" s="506">
        <f>+INPUT!GV213</f>
        <v>1186.1877959747781</v>
      </c>
      <c r="FP218" s="507">
        <f>+INPUT!GW213</f>
        <v>2.0536882574478028</v>
      </c>
      <c r="FQ218" s="506">
        <f>+INPUT!GX213</f>
        <v>1210.4694135748559</v>
      </c>
      <c r="FR218" s="507">
        <f>+INPUT!GY213</f>
        <v>2.0470297943104185</v>
      </c>
      <c r="FS218" s="507">
        <f>+INPUT!GZ213</f>
        <v>-0.54498483671280296</v>
      </c>
    </row>
    <row r="219" spans="1:176" ht="12.75" hidden="1" customHeight="1" outlineLevel="2" x14ac:dyDescent="0.2">
      <c r="A219" s="471" t="s">
        <v>683</v>
      </c>
      <c r="B219" s="472">
        <f>(B204+B205+B206+B207-B211-B212-B213-B214-B215)-B218</f>
        <v>0</v>
      </c>
      <c r="C219" s="473"/>
      <c r="D219" s="472">
        <f>(D204+D205+D206+D207-D211-D212-D213-D214-D215)-D218</f>
        <v>0</v>
      </c>
      <c r="E219" s="473"/>
      <c r="F219" s="472">
        <f>(F204+F205+F206+F207-F211-F212-F213-F214-F215)-F218</f>
        <v>0</v>
      </c>
      <c r="G219" s="473"/>
      <c r="H219" s="472">
        <f>(H204+H205+H206+H207-H211-H212-H213-H214-H215)-H218</f>
        <v>0</v>
      </c>
      <c r="I219" s="473"/>
      <c r="J219" s="472">
        <f>(J204+J205+J206+J207-J211-J212-J213-J214-J215)-J218</f>
        <v>0</v>
      </c>
      <c r="K219" s="473"/>
      <c r="L219" s="472">
        <f>(L204+L205+L206+L207-L211-L212-L213-L214-L215)-L218</f>
        <v>0</v>
      </c>
      <c r="M219" s="473"/>
      <c r="N219" s="472">
        <f>(N204+N205+N206+N207-N211-N212-N213-N214-N215)-N218</f>
        <v>0</v>
      </c>
      <c r="O219" s="473"/>
      <c r="P219" s="472">
        <f>(P204+P205+P206+P207-P211-P212-P213-P214-P215)-P218</f>
        <v>0</v>
      </c>
      <c r="Q219" s="473"/>
      <c r="R219" s="472">
        <f>(R204+R205+R206+R207-R211-R212-R213-R214-R215)-R218</f>
        <v>0</v>
      </c>
      <c r="S219" s="473"/>
      <c r="T219" s="472">
        <f>(T204+T205+T206+T207-T211-T212-T213-T214-T215)-T218</f>
        <v>0</v>
      </c>
      <c r="U219" s="473"/>
      <c r="V219" s="472">
        <f>(V204+V205+V206+V207-V211-V212-V213-V214-V215)-V218</f>
        <v>0</v>
      </c>
      <c r="W219" s="473"/>
      <c r="X219" s="472">
        <f>(X204+X205+X206+X207-X211-X212-X213-X214-X215)-X218</f>
        <v>0</v>
      </c>
      <c r="Y219" s="473"/>
      <c r="Z219" s="472">
        <f>(Z204+Z205+Z206+Z207-Z211-Z212-Z213-Z214-Z215)-Z218</f>
        <v>0</v>
      </c>
      <c r="AA219" s="473"/>
      <c r="AB219" s="472">
        <f>(AB204+AB205+AB206+AB207-AB211-AB212-AB213-AB214-AB215)-AB218</f>
        <v>0</v>
      </c>
      <c r="AC219" s="473"/>
      <c r="AD219" s="472">
        <f>(AD204+AD205+AD206+AD207-AD211-AD212-AD213-AD214-AD215)-AD218</f>
        <v>0</v>
      </c>
      <c r="AE219" s="473"/>
      <c r="AF219" s="472">
        <f>(AF204+AF205+AF206+AF207-AF211-AF212-AF213-AF214-AF215)-AF218</f>
        <v>0</v>
      </c>
      <c r="AG219" s="473"/>
      <c r="AH219" s="472">
        <f>(AH204+AH205+AH206+AH207-AH211-AH212-AH213-AH214-AH215)-AH218</f>
        <v>0</v>
      </c>
      <c r="AI219" s="473"/>
      <c r="AJ219" s="472">
        <f>(AJ204+AJ205+AJ206+AJ207-AJ211-AJ212-AJ213-AJ214-AJ215)-AJ218</f>
        <v>0</v>
      </c>
      <c r="AK219" s="473"/>
      <c r="AL219" s="472">
        <f>(AL204+AL205+AL206+AL207-AL211-AL212-AL213-AL214-AL215)-AL218</f>
        <v>0</v>
      </c>
      <c r="AM219" s="473"/>
      <c r="AN219" s="472">
        <f>(AN204+AN205+AN206+AN207-AN211-AN212-AN213-AN214-AN215)-AN218</f>
        <v>0</v>
      </c>
      <c r="AO219" s="473"/>
      <c r="AP219" s="472">
        <f>(AP204+AP205+AP206+AP207-AP211-AP212-AP213-AP214-AP215)-AP218</f>
        <v>0</v>
      </c>
      <c r="AQ219" s="473"/>
      <c r="AR219" s="472">
        <f>(AR204+AR205+AR206+AR207-AR211-AR212-AR213-AR214-AR215)-AR218</f>
        <v>0</v>
      </c>
      <c r="AS219" s="473"/>
      <c r="AT219" s="472">
        <f>(AT204+AT205+AT206+AT207-AT211-AT212-AT213-AT214-AT215)-AT218</f>
        <v>0</v>
      </c>
      <c r="AU219" s="473"/>
      <c r="AV219" s="472">
        <f>(AV204+AV205+AV206+AV207-AV211-AV212-AV213-AV214-AV215)-AV218</f>
        <v>0</v>
      </c>
      <c r="AW219" s="473"/>
      <c r="AX219" s="472">
        <f>(AX204+AX205+AX206+AX207-AX211-AX212-AX213-AX214-AX215)-AX218</f>
        <v>0</v>
      </c>
      <c r="AY219" s="473"/>
      <c r="AZ219" s="472">
        <f>(AZ204+AZ205+AZ206+AZ207-AZ211-AZ212-AZ213-AZ214-AZ215)-AZ218</f>
        <v>0</v>
      </c>
      <c r="BA219" s="473"/>
      <c r="BB219" s="472">
        <f>(BB204+BB205+BB206+BB207-BB211-BB212-BB213-BB214-BB215)-BB218</f>
        <v>0</v>
      </c>
      <c r="BC219" s="473"/>
      <c r="BD219" s="472">
        <f>(BD204+BD205+BD206+BD207-BD211-BD212-BD213-BD214-BD215)-BD218</f>
        <v>0</v>
      </c>
      <c r="BE219" s="473"/>
      <c r="BF219" s="472">
        <f>(BF204+BF205+BF206+BF207-BF211-BF212-BF213-BF214-BF215)-BF218</f>
        <v>0</v>
      </c>
      <c r="BG219" s="473"/>
      <c r="BH219" s="472">
        <f>(BH204+BH205+BH206+BH207-BH211-BH212-BH213-BH214-BH215)-BH218</f>
        <v>0</v>
      </c>
      <c r="BI219" s="473"/>
      <c r="BJ219" s="472">
        <f>(BJ204+BJ205+BJ206+BJ207-BJ211-BJ212-BJ213-BJ214-BJ215)-BJ218</f>
        <v>0</v>
      </c>
      <c r="BK219" s="473"/>
      <c r="BL219" s="472">
        <f>(BL204+BL205+BL206+BL207-BL211-BL212-BL213-BL214-BL215)-BL218</f>
        <v>0</v>
      </c>
      <c r="BM219" s="473"/>
      <c r="BN219" s="472">
        <f>(BN204+BN205+BN206+BN207-BN211-BN212-BN213-BN214-BN215)-BN218</f>
        <v>0</v>
      </c>
      <c r="BO219" s="473"/>
      <c r="BP219" s="472">
        <f>(BP204+BP205+BP206+BP207-BP211-BP212-BP213-BP214-BP215)-BP218</f>
        <v>0</v>
      </c>
      <c r="BQ219" s="473"/>
      <c r="BR219" s="472">
        <f>(BR204+BR205+BR206+BR207-BR211-BR212-BR213-BR214-BR215)-BR218</f>
        <v>0</v>
      </c>
      <c r="BS219" s="473"/>
      <c r="BT219" s="472">
        <f>(BT204+BT205+BT206+BT207-BT211-BT212-BT213-BT214-BT215)-BT218</f>
        <v>0</v>
      </c>
      <c r="BU219" s="473"/>
      <c r="BV219" s="472">
        <f>(BV204+BV205+BV206+BV207-BV211-BV212-BV213-BV214-BV215)-BV218</f>
        <v>0</v>
      </c>
      <c r="BW219" s="473"/>
      <c r="BX219" s="472">
        <f>(BX204+BX205+BX206+BX207-BX211-BX212-BX213-BX214-BX215)-BX218</f>
        <v>0</v>
      </c>
      <c r="BY219" s="473"/>
      <c r="BZ219" s="472">
        <f>(BZ204+BZ205+BZ206+BZ207-BZ211-BZ212-BZ213-BZ214-BZ215)-BZ218</f>
        <v>0</v>
      </c>
      <c r="CA219" s="473"/>
      <c r="CB219" s="472">
        <f>(CB204+CB205+CB206+CB207-CB211-CB212-CB213-CB214-CB215)-CB218</f>
        <v>0</v>
      </c>
      <c r="CC219" s="473"/>
      <c r="CD219" s="472">
        <f>(CD204+CD205+CD206+CD207-CD211-CD212-CD213-CD214-CD215)-CD218</f>
        <v>0</v>
      </c>
      <c r="CE219" s="473"/>
      <c r="CF219" s="472">
        <f>(CF204+CF205+CF206+CF207-CF211-CF212-CF213-CF214-CF215)-CF218</f>
        <v>0</v>
      </c>
      <c r="CG219" s="473"/>
      <c r="CH219" s="472">
        <f>(CH204+CH205+CH206+CH207-CH211-CH212-CH213-CH214-CH215)-CH218</f>
        <v>0</v>
      </c>
      <c r="CI219" s="473"/>
      <c r="CJ219" s="472">
        <f>(CJ204+CJ205+CJ206+CJ207-CJ211-CJ212-CJ213-CJ214-CJ215)-CJ218</f>
        <v>0</v>
      </c>
      <c r="CK219" s="473"/>
      <c r="CL219" s="472">
        <f>(CL204+CL205+CL206+CL207-CL211-CL212-CL213-CL214-CL215)-CL218</f>
        <v>0</v>
      </c>
      <c r="CM219" s="473"/>
      <c r="CN219" s="472">
        <f>(CN204+CN205+CN206+CN207-CN211-CN212-CN213-CN214-CN215)-CN218</f>
        <v>0</v>
      </c>
      <c r="CO219" s="473"/>
      <c r="CP219" s="472">
        <f>(CP204+CP205+CP206+CP207-CP211-CP212-CP213-CP214-CP215)-CP218</f>
        <v>0</v>
      </c>
      <c r="CQ219" s="473"/>
      <c r="CR219" s="472">
        <f>(CR204+CR205+CR206+CR207-CR211-CR212-CR213-CR214-CR215)-CR218</f>
        <v>0</v>
      </c>
      <c r="CS219" s="473"/>
      <c r="CT219" s="472">
        <f>(CT204+CT205+CT206+CT207-CT211-CT212-CT213-CT214-CT215)-CT218</f>
        <v>0</v>
      </c>
      <c r="CU219" s="473"/>
      <c r="CV219" s="472">
        <f>(CV204+CV205+CV206+CV207-CV211-CV212-CV213-CV214-CV215)-CV218</f>
        <v>0</v>
      </c>
      <c r="CW219" s="473"/>
      <c r="CX219" s="472">
        <f>(CX204+CX205+CX206+CX207-CX211-CX212-CX213-CX214-CX215)-CX218</f>
        <v>0</v>
      </c>
      <c r="CY219" s="473"/>
      <c r="CZ219" s="472">
        <f>(CZ204+CZ205+CZ206+CZ207-CZ211-CZ212-CZ213-CZ214-CZ215)-CZ218</f>
        <v>0</v>
      </c>
      <c r="DA219" s="473"/>
      <c r="DB219" s="472">
        <f>(DB204+DB205+DB206+DB207-DB211-DB212-DB213-DB214-DB215)-DB218</f>
        <v>0</v>
      </c>
      <c r="DC219" s="473"/>
      <c r="DD219" s="472">
        <f>(DD204+DD205+DD206+DD207-DD211-DD212-DD213-DD214-DD215)-DD218</f>
        <v>0</v>
      </c>
      <c r="DE219" s="473"/>
      <c r="DF219" s="472">
        <f>(DF204+DF205+DF206+DF207-DF211-DF212-DF213-DF214-DF215)-DF218</f>
        <v>0</v>
      </c>
      <c r="DG219" s="473"/>
      <c r="DH219" s="472">
        <f>(DH204+DH205+DH206+DH207-DH211-DH212-DH213-DH214-DH215)-DH218</f>
        <v>0</v>
      </c>
      <c r="DI219" s="473"/>
      <c r="DJ219" s="472">
        <f>(DJ204+DJ205+DJ206+DJ207-DJ211-DJ212-DJ213-DJ214-DJ215)-DJ218</f>
        <v>0</v>
      </c>
      <c r="DK219" s="473"/>
      <c r="DL219" s="472">
        <f>(DL204+DL205+DL206+DL207-DL211-DL212-DL213-DL214-DL215)-DL218</f>
        <v>0</v>
      </c>
      <c r="DM219" s="473"/>
      <c r="DN219" s="472">
        <f>(DN204+DN205+DN206+DN207-DN211-DN212-DN213-DN214-DN215)-DN218</f>
        <v>0</v>
      </c>
      <c r="DO219" s="473"/>
      <c r="DP219" s="472">
        <f>(DP204+DP205+DP206+DP207-DP211-DP212-DP213-DP214-DP215)-DP218</f>
        <v>0</v>
      </c>
      <c r="DQ219" s="473"/>
      <c r="DR219" s="472">
        <f>(DR204+DR205+DR206+DR207-DR211-DR212-DR213-DR214-DR215)-DR218</f>
        <v>0</v>
      </c>
      <c r="DS219" s="473"/>
      <c r="DT219" s="472">
        <f>(DT204+DT205+DT206+DT207-DT211-DT212-DT213-DT214-DT215)-DT218</f>
        <v>0</v>
      </c>
      <c r="DU219" s="473"/>
      <c r="DV219" s="472">
        <f>(DV204+DV205+DV206+DV207-DV211-DV212-DV213-DV214-DV215)-DV218</f>
        <v>0</v>
      </c>
      <c r="DW219" s="473"/>
      <c r="DX219" s="472">
        <f>(DX204+DX205+DX206+DX207-DX211-DX212-DX213-DX214-DX215)-DX218</f>
        <v>0</v>
      </c>
      <c r="DY219" s="473"/>
      <c r="DZ219" s="472"/>
      <c r="EA219" s="473"/>
      <c r="EB219" s="473"/>
      <c r="EC219" s="472">
        <f>(EC204+EC205+EC206+EC207-EC211-EC212-EC213-EC214-EC215)-EC218</f>
        <v>-8</v>
      </c>
      <c r="ED219" s="473"/>
      <c r="EE219" s="472">
        <f>(EE204+EE205+EE206+EE207-EE211-EE212-EE213-EE214-EE215)-EE218</f>
        <v>0</v>
      </c>
      <c r="EF219" s="473"/>
      <c r="EG219" s="472">
        <f>(EG204+EG205+EG206+EG207-EG211-EG212-EG213-EG214-EG215)-EG218</f>
        <v>0</v>
      </c>
      <c r="EH219" s="473"/>
      <c r="EI219" s="472">
        <f>(EI204+EI205+EI206+EI207-EI211-EI212-EI213-EI214-EI215)-EI218</f>
        <v>0</v>
      </c>
      <c r="EJ219" s="473"/>
      <c r="EK219" s="472">
        <f>(EK204+EK205+EK206+EK207-EK211-EK212-EK213-EK214-EK215)-EK218</f>
        <v>0</v>
      </c>
      <c r="EL219" s="473"/>
      <c r="EM219" s="472">
        <f>(EM204+EM205+EM206+EM207-EM211-EM212-EM213-EM214-EM215)-EM218</f>
        <v>0</v>
      </c>
      <c r="EN219" s="473"/>
      <c r="EO219" s="472">
        <f>(EO204+EO205+EO206+EO207-EO211-EO212-EO213-EO214-EO215)-EO218</f>
        <v>0</v>
      </c>
      <c r="EP219" s="473"/>
      <c r="EQ219" s="472">
        <f>(EQ204+EQ205+EQ206+EQ207-EQ211-EQ212-EQ213-EQ214-EQ215)-EQ218</f>
        <v>0</v>
      </c>
      <c r="ER219" s="473"/>
      <c r="ES219" s="472">
        <f>(ES204+ES205+ES206+ES207-ES211-ES212-ES213-ES214-ES215)-ES218</f>
        <v>0</v>
      </c>
      <c r="ET219" s="473"/>
      <c r="EU219" s="472">
        <f>(EU204+EU205+EU206+EU207-EU211-EU212-EU213-EU214-EU215)-EU218</f>
        <v>0</v>
      </c>
      <c r="EV219" s="473"/>
      <c r="EW219" s="472">
        <f>(EW204+EW205+EW206+EW207-EW211-EW212-EW213-EW214-EW215)-EW218</f>
        <v>0</v>
      </c>
      <c r="EX219" s="473"/>
      <c r="EY219" s="472">
        <f>(EY204+EY205+EY206+EY207-EY211-EY212-EY213-EY214-EY215)-EY218</f>
        <v>0</v>
      </c>
      <c r="EZ219" s="473"/>
      <c r="FA219" s="472">
        <f>(FA204+FA205+FA206+FA207-FA211-FA212-FA213-FA214-FA215)-FA218</f>
        <v>0</v>
      </c>
      <c r="FB219" s="473"/>
      <c r="FC219" s="472">
        <f>(FC204+FC205+FC206+FC207-FC211-FC212-FC213-FC214-FC215)-FC218</f>
        <v>0</v>
      </c>
      <c r="FD219" s="473"/>
      <c r="FE219" s="472">
        <f>(FE204+FE205+FE206+FE207-FE211-FE212-FE213-FE214-FE215)-FE218</f>
        <v>0</v>
      </c>
      <c r="FF219" s="473"/>
      <c r="FG219" s="472">
        <f>(FG204+FG205+FG206+FG207-FG211-FG212-FG213-FG214-FG215)-FG218</f>
        <v>0</v>
      </c>
      <c r="FH219" s="473"/>
      <c r="FI219" s="472">
        <f>(FI204+FI205+FI206+FI207-FI211-FI212-FI213-FI214-FI215)-FI218</f>
        <v>0</v>
      </c>
      <c r="FJ219" s="473"/>
      <c r="FK219" s="472">
        <f>(FK204+FK205+FK206+FK207-FK211-FK212-FK213-FK214-FK215)-FK218</f>
        <v>0</v>
      </c>
      <c r="FL219" s="473"/>
      <c r="FM219" s="472">
        <f>(FM204+FM205+FM206+FM207-FM211-FM212-FM213-FM214-FM215)-FM218</f>
        <v>0</v>
      </c>
      <c r="FN219" s="473"/>
      <c r="FO219" s="472">
        <f>(FO204+FO205+FO206+FO207-FO211-FO212-FO213-FO214-FO215)-FO218</f>
        <v>0</v>
      </c>
      <c r="FP219" s="473"/>
      <c r="FQ219" s="472">
        <f>(FQ204+FQ205+FQ206+FQ207-FQ211-FQ212-FQ213-FQ214-FQ215)-FQ218</f>
        <v>0</v>
      </c>
      <c r="FR219" s="473"/>
      <c r="FS219" s="474"/>
      <c r="FT219" s="351"/>
    </row>
    <row r="220" spans="1:176" ht="12.75" hidden="1" customHeight="1" outlineLevel="1" collapsed="1" x14ac:dyDescent="0.2">
      <c r="A220" s="76"/>
      <c r="B220" s="511"/>
      <c r="C220" s="487"/>
      <c r="D220" s="511"/>
      <c r="E220" s="487"/>
      <c r="F220" s="511"/>
      <c r="G220" s="487"/>
      <c r="H220" s="511"/>
      <c r="I220" s="487"/>
      <c r="J220" s="511"/>
      <c r="K220" s="487"/>
      <c r="L220" s="511"/>
      <c r="M220" s="487"/>
      <c r="N220" s="511"/>
      <c r="O220" s="487"/>
      <c r="P220" s="511"/>
      <c r="Q220" s="487"/>
      <c r="R220" s="511"/>
      <c r="S220" s="487"/>
      <c r="T220" s="511"/>
      <c r="U220" s="487"/>
      <c r="V220" s="511"/>
      <c r="W220" s="487"/>
      <c r="X220" s="511"/>
      <c r="Y220" s="487"/>
      <c r="Z220" s="511"/>
      <c r="AA220" s="487"/>
      <c r="AB220" s="511"/>
      <c r="AC220" s="487"/>
      <c r="AD220" s="511"/>
      <c r="AE220" s="487"/>
      <c r="AF220" s="511"/>
      <c r="AG220" s="487"/>
      <c r="AH220" s="511"/>
      <c r="AI220" s="486"/>
      <c r="AJ220" s="511"/>
      <c r="AK220" s="486"/>
      <c r="AL220" s="511"/>
      <c r="AM220" s="486"/>
      <c r="AN220" s="511"/>
      <c r="AO220" s="486"/>
      <c r="AP220" s="511"/>
      <c r="AQ220" s="486"/>
      <c r="AR220" s="511"/>
      <c r="AS220" s="486"/>
      <c r="AT220" s="511"/>
      <c r="AU220" s="486"/>
      <c r="AV220" s="511"/>
      <c r="AW220" s="486"/>
      <c r="AX220" s="511"/>
      <c r="AY220" s="486"/>
      <c r="AZ220" s="511"/>
      <c r="BA220" s="486"/>
      <c r="BB220" s="511"/>
      <c r="BC220" s="486"/>
      <c r="BD220" s="511"/>
      <c r="BE220" s="486"/>
      <c r="BF220" s="511"/>
      <c r="BG220" s="486"/>
      <c r="BH220" s="511"/>
      <c r="BI220" s="486"/>
      <c r="BJ220" s="511"/>
      <c r="BK220" s="486"/>
      <c r="BL220" s="511"/>
      <c r="BM220" s="486"/>
      <c r="BN220" s="511"/>
      <c r="BO220" s="486"/>
      <c r="BP220" s="511"/>
      <c r="BQ220" s="486"/>
      <c r="BR220" s="511"/>
      <c r="BS220" s="486"/>
      <c r="BT220" s="511"/>
      <c r="BU220" s="486"/>
      <c r="BV220" s="511"/>
      <c r="BW220" s="486"/>
      <c r="BX220" s="511"/>
      <c r="BY220" s="486"/>
      <c r="BZ220" s="511"/>
      <c r="CA220" s="486"/>
      <c r="CB220" s="511"/>
      <c r="CC220" s="486"/>
      <c r="CD220" s="511"/>
      <c r="CE220" s="486"/>
      <c r="CF220" s="511"/>
      <c r="CG220" s="486"/>
      <c r="CH220" s="511"/>
      <c r="CI220" s="486"/>
      <c r="CJ220" s="511"/>
      <c r="CK220" s="486"/>
      <c r="CL220" s="511"/>
      <c r="CM220" s="486"/>
      <c r="CN220" s="511"/>
      <c r="CO220" s="486"/>
      <c r="CP220" s="511"/>
      <c r="CQ220" s="486"/>
      <c r="CR220" s="511"/>
      <c r="CS220" s="486"/>
      <c r="CT220" s="511"/>
      <c r="CU220" s="486"/>
      <c r="CV220" s="511"/>
      <c r="CW220" s="486"/>
      <c r="CX220" s="511"/>
      <c r="CY220" s="486"/>
      <c r="CZ220" s="511"/>
      <c r="DA220" s="486"/>
      <c r="DB220" s="511"/>
      <c r="DC220" s="486"/>
      <c r="DD220" s="511"/>
      <c r="DE220" s="486"/>
      <c r="DF220" s="511"/>
      <c r="DG220" s="486"/>
      <c r="DH220" s="511"/>
      <c r="DI220" s="486"/>
      <c r="DJ220" s="511"/>
      <c r="DK220" s="486"/>
      <c r="DL220" s="511"/>
      <c r="DM220" s="486"/>
      <c r="DN220" s="511"/>
      <c r="DO220" s="486"/>
      <c r="DP220" s="511"/>
      <c r="DQ220" s="486"/>
      <c r="DR220" s="511"/>
      <c r="DS220" s="486"/>
      <c r="DT220" s="511"/>
      <c r="DU220" s="486"/>
      <c r="DV220" s="511"/>
      <c r="DW220" s="486"/>
      <c r="DX220" s="511"/>
      <c r="DY220" s="486"/>
      <c r="DZ220" s="511"/>
      <c r="EA220" s="486"/>
      <c r="EB220" s="487"/>
      <c r="EC220" s="511"/>
      <c r="ED220" s="487"/>
      <c r="EE220" s="511"/>
      <c r="EF220" s="487"/>
      <c r="EG220" s="511"/>
      <c r="EH220" s="487"/>
      <c r="EI220" s="511"/>
      <c r="EJ220" s="486"/>
      <c r="EK220" s="511"/>
      <c r="EL220" s="486"/>
      <c r="EM220" s="511"/>
      <c r="EN220" s="486"/>
      <c r="EO220" s="511"/>
      <c r="EP220" s="486"/>
      <c r="EQ220" s="511"/>
      <c r="ER220" s="486"/>
      <c r="ES220" s="511"/>
      <c r="ET220" s="486"/>
      <c r="EU220" s="511"/>
      <c r="EV220" s="486"/>
      <c r="EW220" s="511"/>
      <c r="EX220" s="486"/>
      <c r="EY220" s="511"/>
      <c r="EZ220" s="486"/>
      <c r="FA220" s="511"/>
      <c r="FB220" s="486"/>
      <c r="FC220" s="511"/>
      <c r="FD220" s="486"/>
      <c r="FE220" s="511"/>
      <c r="FF220" s="486"/>
      <c r="FG220" s="511"/>
      <c r="FH220" s="486"/>
      <c r="FI220" s="511"/>
      <c r="FJ220" s="486"/>
      <c r="FK220" s="511"/>
      <c r="FL220" s="486"/>
      <c r="FM220" s="511"/>
      <c r="FN220" s="486"/>
      <c r="FO220" s="511"/>
      <c r="FP220" s="486"/>
      <c r="FQ220" s="511"/>
      <c r="FR220" s="486"/>
      <c r="FS220" s="486"/>
    </row>
    <row r="221" spans="1:176" ht="12.75" hidden="1" customHeight="1" outlineLevel="1" x14ac:dyDescent="0.2">
      <c r="A221" s="70" t="s">
        <v>255</v>
      </c>
      <c r="B221" s="511"/>
      <c r="C221" s="487"/>
      <c r="D221" s="511"/>
      <c r="E221" s="487"/>
      <c r="F221" s="511"/>
      <c r="G221" s="487"/>
      <c r="H221" s="511"/>
      <c r="I221" s="487"/>
      <c r="J221" s="511"/>
      <c r="K221" s="487"/>
      <c r="L221" s="511"/>
      <c r="M221" s="487"/>
      <c r="N221" s="511"/>
      <c r="O221" s="487"/>
      <c r="P221" s="511"/>
      <c r="Q221" s="487"/>
      <c r="R221" s="511"/>
      <c r="S221" s="487"/>
      <c r="T221" s="511"/>
      <c r="U221" s="487"/>
      <c r="V221" s="511"/>
      <c r="W221" s="487"/>
      <c r="X221" s="511"/>
      <c r="Y221" s="487"/>
      <c r="Z221" s="511"/>
      <c r="AA221" s="487"/>
      <c r="AB221" s="511"/>
      <c r="AC221" s="487"/>
      <c r="AD221" s="511"/>
      <c r="AE221" s="487"/>
      <c r="AF221" s="511"/>
      <c r="AG221" s="487"/>
      <c r="AH221" s="511"/>
      <c r="AI221" s="486"/>
      <c r="AJ221" s="511"/>
      <c r="AK221" s="486"/>
      <c r="AL221" s="511"/>
      <c r="AM221" s="486"/>
      <c r="AN221" s="511"/>
      <c r="AO221" s="486"/>
      <c r="AP221" s="511"/>
      <c r="AQ221" s="486"/>
      <c r="AR221" s="511"/>
      <c r="AS221" s="486"/>
      <c r="AT221" s="511"/>
      <c r="AU221" s="486"/>
      <c r="AV221" s="511"/>
      <c r="AW221" s="486"/>
      <c r="AX221" s="511"/>
      <c r="AY221" s="486"/>
      <c r="AZ221" s="511"/>
      <c r="BA221" s="486"/>
      <c r="BB221" s="511"/>
      <c r="BC221" s="486"/>
      <c r="BD221" s="511"/>
      <c r="BE221" s="486"/>
      <c r="BF221" s="511"/>
      <c r="BG221" s="486"/>
      <c r="BH221" s="511"/>
      <c r="BI221" s="486"/>
      <c r="BJ221" s="511"/>
      <c r="BK221" s="486"/>
      <c r="BL221" s="511"/>
      <c r="BM221" s="486"/>
      <c r="BN221" s="511"/>
      <c r="BO221" s="486"/>
      <c r="BP221" s="511"/>
      <c r="BQ221" s="486"/>
      <c r="BR221" s="511"/>
      <c r="BS221" s="486"/>
      <c r="BT221" s="511"/>
      <c r="BU221" s="486"/>
      <c r="BV221" s="511"/>
      <c r="BW221" s="486"/>
      <c r="BX221" s="511"/>
      <c r="BY221" s="486"/>
      <c r="BZ221" s="511"/>
      <c r="CA221" s="486"/>
      <c r="CB221" s="511"/>
      <c r="CC221" s="486"/>
      <c r="CD221" s="511"/>
      <c r="CE221" s="486"/>
      <c r="CF221" s="511"/>
      <c r="CG221" s="486"/>
      <c r="CH221" s="511"/>
      <c r="CI221" s="486"/>
      <c r="CJ221" s="511"/>
      <c r="CK221" s="486"/>
      <c r="CL221" s="511"/>
      <c r="CM221" s="486"/>
      <c r="CN221" s="511"/>
      <c r="CO221" s="486"/>
      <c r="CP221" s="511"/>
      <c r="CQ221" s="486"/>
      <c r="CR221" s="511"/>
      <c r="CS221" s="486"/>
      <c r="CT221" s="511"/>
      <c r="CU221" s="486"/>
      <c r="CV221" s="511"/>
      <c r="CW221" s="486"/>
      <c r="CX221" s="511"/>
      <c r="CY221" s="486"/>
      <c r="CZ221" s="511"/>
      <c r="DA221" s="486"/>
      <c r="DB221" s="511"/>
      <c r="DC221" s="486"/>
      <c r="DD221" s="511"/>
      <c r="DE221" s="486"/>
      <c r="DF221" s="511"/>
      <c r="DG221" s="486"/>
      <c r="DH221" s="511"/>
      <c r="DI221" s="486"/>
      <c r="DJ221" s="511"/>
      <c r="DK221" s="486"/>
      <c r="DL221" s="511"/>
      <c r="DM221" s="486"/>
      <c r="DN221" s="511"/>
      <c r="DO221" s="486"/>
      <c r="DP221" s="511"/>
      <c r="DQ221" s="486"/>
      <c r="DR221" s="511"/>
      <c r="DS221" s="486"/>
      <c r="DT221" s="511"/>
      <c r="DU221" s="486"/>
      <c r="DV221" s="511"/>
      <c r="DW221" s="486"/>
      <c r="DX221" s="511"/>
      <c r="DY221" s="486"/>
      <c r="DZ221" s="511"/>
      <c r="EA221" s="486"/>
      <c r="EB221" s="487"/>
      <c r="EC221" s="511"/>
      <c r="ED221" s="487"/>
      <c r="EE221" s="511"/>
      <c r="EF221" s="487"/>
      <c r="EG221" s="511"/>
      <c r="EH221" s="487"/>
      <c r="EI221" s="511"/>
      <c r="EJ221" s="486"/>
      <c r="EK221" s="511"/>
      <c r="EL221" s="486"/>
      <c r="EM221" s="511"/>
      <c r="EN221" s="486"/>
      <c r="EO221" s="511"/>
      <c r="EP221" s="486"/>
      <c r="EQ221" s="511"/>
      <c r="ER221" s="486"/>
      <c r="ES221" s="511"/>
      <c r="ET221" s="486"/>
      <c r="EU221" s="511"/>
      <c r="EV221" s="486"/>
      <c r="EW221" s="511"/>
      <c r="EX221" s="486"/>
      <c r="EY221" s="511"/>
      <c r="EZ221" s="486"/>
      <c r="FA221" s="511"/>
      <c r="FB221" s="486"/>
      <c r="FC221" s="511"/>
      <c r="FD221" s="486"/>
      <c r="FE221" s="511"/>
      <c r="FF221" s="486"/>
      <c r="FG221" s="511"/>
      <c r="FH221" s="486"/>
      <c r="FI221" s="511"/>
      <c r="FJ221" s="486"/>
      <c r="FK221" s="511"/>
      <c r="FL221" s="486"/>
      <c r="FM221" s="511"/>
      <c r="FN221" s="486"/>
      <c r="FO221" s="511"/>
      <c r="FP221" s="486"/>
      <c r="FQ221" s="511"/>
      <c r="FR221" s="486"/>
      <c r="FS221" s="486"/>
    </row>
    <row r="222" spans="1:176" ht="12.75" hidden="1" customHeight="1" outlineLevel="1" x14ac:dyDescent="0.2">
      <c r="A222" s="77" t="str">
        <f>+INPUT!B214</f>
        <v>Pretax Margin</v>
      </c>
      <c r="B222" s="73">
        <f>+INPUT!AA214</f>
        <v>9.1222030981067128</v>
      </c>
      <c r="C222" s="155">
        <f>+INPUT!AB214</f>
        <v>51.321251392123145</v>
      </c>
      <c r="D222" s="73">
        <f>+INPUT!AC214</f>
        <v>7.8534031413612562</v>
      </c>
      <c r="E222" s="155">
        <f>+INPUT!AD214</f>
        <v>-3.0890052356020874</v>
      </c>
      <c r="F222" s="73">
        <f>+INPUT!AE214</f>
        <v>7.0780399274047179</v>
      </c>
      <c r="G222" s="155">
        <f>+INPUT!AF214</f>
        <v>69.578039927404689</v>
      </c>
      <c r="H222" s="73">
        <f>+INPUT!AG214</f>
        <v>9.5486111111111107</v>
      </c>
      <c r="I222" s="155">
        <f>+INPUT!AH214</f>
        <v>74.479166666666657</v>
      </c>
      <c r="J222" s="73">
        <f>+INPUT!AI214</f>
        <v>9.0121317157712308</v>
      </c>
      <c r="K222" s="155">
        <f>+INPUT!AJ214</f>
        <v>-1.2066315686210487</v>
      </c>
      <c r="L222" s="73">
        <f>+INPUT!AK214</f>
        <v>10.785463071512309</v>
      </c>
      <c r="M222" s="155">
        <f>+INPUT!AL214</f>
        <v>37.334896443923412</v>
      </c>
      <c r="N222" s="73">
        <f>+INPUT!AM214</f>
        <v>10.444444444444445</v>
      </c>
      <c r="O222" s="155">
        <f>+INPUT!AN214</f>
        <v>47.561253561253579</v>
      </c>
      <c r="P222" s="73">
        <f>+INPUT!AO214</f>
        <v>10.726256983240223</v>
      </c>
      <c r="Q222" s="155">
        <f>+INPUT!AP214</f>
        <v>12.333164042661252</v>
      </c>
      <c r="R222" s="73">
        <f>+INPUT!AQ214</f>
        <v>16.436903499469775</v>
      </c>
      <c r="S222" s="155">
        <f>+INPUT!AR214</f>
        <v>82.386409984501142</v>
      </c>
      <c r="T222" s="73">
        <f>+INPUT!AS214</f>
        <v>14.031620553359684</v>
      </c>
      <c r="U222" s="155">
        <f>+INPUT!AT214</f>
        <v>30.09752534799793</v>
      </c>
      <c r="V222" s="73">
        <f>+INPUT!AU214</f>
        <v>10.506208213944603</v>
      </c>
      <c r="W222" s="155">
        <f>+INPUT!AV214</f>
        <v>0.59135523989513672</v>
      </c>
      <c r="X222" s="73">
        <f>+INPUT!AW214</f>
        <v>8.895405669599219</v>
      </c>
      <c r="Y222" s="155">
        <f>+INPUT!AX214</f>
        <v>-17.06887422613228</v>
      </c>
      <c r="Z222" s="73">
        <f>+INPUT!AY214</f>
        <v>12.998102466793169</v>
      </c>
      <c r="AA222" s="155">
        <f>+INPUT!AZ214</f>
        <v>-20.921221766542203</v>
      </c>
      <c r="AB222" s="73">
        <f>+INPUT!BA214</f>
        <v>13.61904761904762</v>
      </c>
      <c r="AC222" s="155">
        <f>+INPUT!BB214</f>
        <v>-2.9403085177732891</v>
      </c>
      <c r="AD222" s="73">
        <f>+INPUT!BC214</f>
        <v>9.8021582733812949</v>
      </c>
      <c r="AE222" s="155">
        <f>+INPUT!BD214</f>
        <v>-6.7012753433616723</v>
      </c>
      <c r="AF222" s="73">
        <f>+INPUT!BE214</f>
        <v>10.404127257093723</v>
      </c>
      <c r="AG222" s="155">
        <f>+INPUT!BF214</f>
        <v>16.960683340734931</v>
      </c>
      <c r="AH222" s="81">
        <f>+INPUT!BG214</f>
        <v>12.725709372312984</v>
      </c>
      <c r="AI222" s="240">
        <f>+INPUT!BH214</f>
        <v>-2.0956373838110522</v>
      </c>
      <c r="AJ222" s="81">
        <f>+INPUT!BI214</f>
        <v>12</v>
      </c>
      <c r="AK222" s="240">
        <f>+INPUT!BJ214</f>
        <v>-11.888111888111894</v>
      </c>
      <c r="AL222" s="81">
        <f>+INPUT!BK214</f>
        <v>5.439330543933055</v>
      </c>
      <c r="AM222" s="240">
        <f>+INPUT!BL214</f>
        <v>-44.508848028866446</v>
      </c>
      <c r="AN222" s="81">
        <f>+INPUT!BM214</f>
        <v>10.916666666666666</v>
      </c>
      <c r="AO222" s="240">
        <f>+INPUT!BN214</f>
        <v>4.926308539944884</v>
      </c>
      <c r="AP222" s="81">
        <f>+INPUT!BO214</f>
        <v>9.7868981846882406</v>
      </c>
      <c r="AQ222" s="240">
        <f>+INPUT!BP214</f>
        <v>-23.093496021672806</v>
      </c>
      <c r="AR222" s="81">
        <f>+INPUT!BQ214</f>
        <v>11.681855840927922</v>
      </c>
      <c r="AS222" s="240">
        <f>+INPUT!BR214</f>
        <v>-2.6512013256006526</v>
      </c>
      <c r="AT222" s="81">
        <f>+INPUT!BS214</f>
        <v>11.896243291592128</v>
      </c>
      <c r="AU222" s="240" t="str">
        <f>+INPUT!BT214</f>
        <v>NM</v>
      </c>
      <c r="AV222" s="81">
        <f>+INPUT!BU214</f>
        <v>10.623003194888179</v>
      </c>
      <c r="AW222" s="240">
        <f>+INPUT!BV214</f>
        <v>-2.690047069726603</v>
      </c>
      <c r="AX222" s="81">
        <f>+INPUT!BW214</f>
        <v>11.834319526627219</v>
      </c>
      <c r="AY222" s="240">
        <f>+INPUT!BX214</f>
        <v>20.920022905134545</v>
      </c>
      <c r="AZ222" s="81">
        <f>+INPUT!BY214</f>
        <v>8.454106280193237</v>
      </c>
      <c r="BA222" s="240">
        <f>+INPUT!BZ214</f>
        <v>-27.630451913523146</v>
      </c>
      <c r="BB222" s="81">
        <f>+INPUT!CA214</f>
        <v>10.636363636363637</v>
      </c>
      <c r="BC222" s="240">
        <f>+INPUT!CB214</f>
        <v>-10.590567327409431</v>
      </c>
      <c r="BD222" s="81">
        <f>+INPUT!CC214</f>
        <v>11.640211640211639</v>
      </c>
      <c r="BE222" s="240">
        <f>+INPUT!CD214</f>
        <v>9.5755261168794874</v>
      </c>
      <c r="BF222" s="81">
        <f>+INPUT!CE214</f>
        <v>14.791851195748452</v>
      </c>
      <c r="BG222" s="240">
        <f>+INPUT!CF214</f>
        <v>24.991142604074426</v>
      </c>
      <c r="BH222" s="81">
        <f>+INPUT!CG214</f>
        <v>9.7810218978102181</v>
      </c>
      <c r="BI222" s="240">
        <f>+INPUT!CH214</f>
        <v>15.695516162669449</v>
      </c>
      <c r="BJ222" s="81">
        <f>+INPUT!CI214</f>
        <v>8.5755813953488378</v>
      </c>
      <c r="BK222" s="240">
        <f>+INPUT!CJ214</f>
        <v>-19.374875770224605</v>
      </c>
      <c r="BL222" s="81">
        <f>+INPUT!CK214</f>
        <v>11.162079510703364</v>
      </c>
      <c r="BM222" s="240">
        <f>+INPUT!CL214</f>
        <v>-4.1075896580483544</v>
      </c>
      <c r="BN222" s="81">
        <f>+INPUT!CM214</f>
        <v>14.262023217247096</v>
      </c>
      <c r="BO222" s="240">
        <f>+INPUT!CN214</f>
        <v>-3.5818909444792268</v>
      </c>
      <c r="BP222" s="81">
        <f>+INPUT!CO214</f>
        <v>13.701923076923078</v>
      </c>
      <c r="BQ222" s="240">
        <f>+INPUT!CP214</f>
        <v>40.086825487944907</v>
      </c>
      <c r="BR222" s="81">
        <f>+INPUT!CQ214</f>
        <v>9.4790777113578137</v>
      </c>
      <c r="BS222" s="240">
        <f>+INPUT!CR214</f>
        <v>10.535685854477549</v>
      </c>
      <c r="BT222" s="81">
        <f>+INPUT!CS214</f>
        <v>11.235955056179774</v>
      </c>
      <c r="BU222" s="240">
        <f>+INPUT!CT214</f>
        <v>0.66184392796672853</v>
      </c>
      <c r="BV222" s="81">
        <f>+INPUT!CU214</f>
        <v>14.092140921409213</v>
      </c>
      <c r="BW222" s="240">
        <f>+INPUT!CV214</f>
        <v>-1.1911514463981803</v>
      </c>
      <c r="BX222" s="81">
        <f>+INPUT!CW214</f>
        <v>11.835748792270531</v>
      </c>
      <c r="BY222" s="240">
        <f>+INPUT!CX214</f>
        <v>-13.61979828799052</v>
      </c>
      <c r="BZ222" s="81">
        <f>+INPUT!CY214</f>
        <v>9.4664371772805502</v>
      </c>
      <c r="CA222" s="240">
        <f>+INPUT!CZ214</f>
        <v>-0.13335194058086586</v>
      </c>
      <c r="CB222" s="81">
        <f>+INPUT!DA214</f>
        <v>0.6800870511425462</v>
      </c>
      <c r="CC222" s="240" t="str">
        <f>+INPUT!DB214</f>
        <v>NM</v>
      </c>
      <c r="CD222" s="81">
        <f>+INPUT!DC214</f>
        <v>17.065868263473057</v>
      </c>
      <c r="CE222" s="240">
        <f>+INPUT!DD214</f>
        <v>21.102026715799198</v>
      </c>
      <c r="CF222" s="81">
        <f>+INPUT!DE214</f>
        <v>18.34319526627219</v>
      </c>
      <c r="CG222" s="240">
        <f>+INPUT!DF214</f>
        <v>54.981282453809939</v>
      </c>
      <c r="CH222" s="81">
        <f>+INPUT!DG214</f>
        <v>15.540983606557376</v>
      </c>
      <c r="CI222" s="240">
        <f>+INPUT!DH214</f>
        <v>64.169299552906125</v>
      </c>
      <c r="CJ222" s="81">
        <f>+INPUT!DI214</f>
        <v>17.922235722964764</v>
      </c>
      <c r="CK222" s="240" t="str">
        <f>+INPUT!DJ214</f>
        <v>NM</v>
      </c>
      <c r="CL222" s="81">
        <f>+INPUT!DK214</f>
        <v>23.775310254735469</v>
      </c>
      <c r="CM222" s="240">
        <f>+INPUT!DL214</f>
        <v>39.314975878625347</v>
      </c>
      <c r="CN222" s="81">
        <f>+INPUT!DM214</f>
        <v>19.469026548672566</v>
      </c>
      <c r="CO222" s="240">
        <f>+INPUT!DN214</f>
        <v>6.1375963459891665</v>
      </c>
      <c r="CP222" s="81">
        <f>+INPUT!DO214</f>
        <v>10.680016687526074</v>
      </c>
      <c r="CQ222" s="240">
        <f>+INPUT!DP214</f>
        <v>-31.278373635117035</v>
      </c>
      <c r="CR222" s="81">
        <f>+INPUT!DQ214</f>
        <v>4.6257485029940124</v>
      </c>
      <c r="CS222" s="240" t="str">
        <f>+INPUT!DR214</f>
        <v>NM</v>
      </c>
      <c r="CT222" s="81">
        <f>+INPUT!DS214</f>
        <v>11.460855528652139</v>
      </c>
      <c r="CU222" s="240" t="str">
        <f>+INPUT!DT214</f>
        <v>NM</v>
      </c>
      <c r="CV222" s="81">
        <f>+INPUT!DU214</f>
        <v>7.4528301886792452</v>
      </c>
      <c r="CW222" s="240" t="str">
        <f>+INPUT!DV214</f>
        <v>NM</v>
      </c>
      <c r="CX222" s="81">
        <f>+INPUT!DW214</f>
        <v>12.493546721734642</v>
      </c>
      <c r="CY222" s="240">
        <f>+INPUT!DX214</f>
        <v>16.98059176561695</v>
      </c>
      <c r="CZ222" s="81">
        <f>+INPUT!DY214</f>
        <v>3.9753904401325131</v>
      </c>
      <c r="DA222" s="240">
        <f>+INPUT!DZ214</f>
        <v>-14.059520582248595</v>
      </c>
      <c r="DB222" s="81">
        <f>+INPUT!EA214</f>
        <v>11.568938193343898</v>
      </c>
      <c r="DC222" s="240">
        <f>+INPUT!EB214</f>
        <v>0.94305930671190197</v>
      </c>
      <c r="DD222" s="81">
        <f>+INPUT!EC214</f>
        <v>10.531012940651495</v>
      </c>
      <c r="DE222" s="240">
        <f>+INPUT!ED214</f>
        <v>41.302198950513713</v>
      </c>
      <c r="DF222" s="81">
        <f>+INPUT!EE214</f>
        <v>4.6552395792754186</v>
      </c>
      <c r="DG222" s="240" t="str">
        <f>+INPUT!EF214</f>
        <v>NM</v>
      </c>
      <c r="DH222" s="81">
        <f>+INPUT!EG214</f>
        <v>8.8137472283813736</v>
      </c>
      <c r="DI222" s="240" t="str">
        <f>+INPUT!EH214</f>
        <v>NM</v>
      </c>
      <c r="DJ222" s="81">
        <f>+INPUT!EI214</f>
        <v>20.495611770779558</v>
      </c>
      <c r="DK222" s="240">
        <f>+INPUT!EJ214</f>
        <v>77.160699004957536</v>
      </c>
      <c r="DL222" s="81">
        <f>+INPUT!EK214</f>
        <v>8.5389520377044636</v>
      </c>
      <c r="DM222" s="240">
        <f>+INPUT!EL214</f>
        <v>-18.916137641967353</v>
      </c>
      <c r="DN222" s="81">
        <f>+INPUT!EM214</f>
        <v>7.6096962258361458</v>
      </c>
      <c r="DO222" s="240">
        <f>+INPUT!EN214</f>
        <v>63.465190056245916</v>
      </c>
      <c r="DP222" s="81">
        <f>+INPUT!EO214</f>
        <v>5.7738095238095237</v>
      </c>
      <c r="DQ222" s="240">
        <f>+INPUT!EP214</f>
        <v>-34.490865528601361</v>
      </c>
      <c r="DR222" s="81">
        <f>+INPUT!EQ214</f>
        <v>9.1942308943033488</v>
      </c>
      <c r="DS222" s="240" t="str">
        <f>+INPUT!ER214</f>
        <v>NM</v>
      </c>
      <c r="DT222" s="81">
        <f>+INPUT!ES214</f>
        <v>8.4545102077176253</v>
      </c>
      <c r="DU222" s="240">
        <f>+INPUT!ET214</f>
        <v>-0.98890156091728443</v>
      </c>
      <c r="DV222" s="81">
        <f>+INPUT!EU214</f>
        <v>7.7694273832103535</v>
      </c>
      <c r="DW222" s="240">
        <f>+INPUT!EV214</f>
        <v>2.0990477495263775</v>
      </c>
      <c r="DX222" s="81">
        <f>+INPUT!EW214</f>
        <v>7.3227216267015685</v>
      </c>
      <c r="DY222" s="240">
        <f>+INPUT!EX214</f>
        <v>26.826518895449851</v>
      </c>
      <c r="DZ222" s="81"/>
      <c r="EA222" s="240"/>
      <c r="EB222" s="155">
        <f>+INPUT!FI214</f>
        <v>-38.981474304317501</v>
      </c>
      <c r="EC222" s="73">
        <f>+INPUT!FJ214</f>
        <v>6.3162356930902925</v>
      </c>
      <c r="ED222" s="155">
        <f>+INPUT!FK214</f>
        <v>40.009891196834843</v>
      </c>
      <c r="EE222" s="73">
        <f>+INPUT!FL214</f>
        <v>8.4173608066637442</v>
      </c>
      <c r="EF222" s="155">
        <f>+INPUT!FM214</f>
        <v>33.265464046441423</v>
      </c>
      <c r="EG222" s="73">
        <f>+INPUT!FN214</f>
        <v>10.356589147286822</v>
      </c>
      <c r="EH222" s="155">
        <f>+INPUT!FO214</f>
        <v>23.038436692506465</v>
      </c>
      <c r="EI222" s="73">
        <f>+INPUT!FP214</f>
        <v>12.372670807453416</v>
      </c>
      <c r="EJ222" s="240">
        <f>+INPUT!FQ214</f>
        <v>19.466656748614568</v>
      </c>
      <c r="EK222" s="81">
        <f>+INPUT!FR214</f>
        <v>11.646494633477964</v>
      </c>
      <c r="EL222" s="240">
        <f>+INPUT!FS214</f>
        <v>-5.8691949804240835</v>
      </c>
      <c r="EM222" s="81">
        <f>+INPUT!FT214</f>
        <v>10.237892948173322</v>
      </c>
      <c r="EN222" s="240">
        <f>+INPUT!FU214</f>
        <v>-12.094640744998102</v>
      </c>
      <c r="EO222" s="81">
        <f>+INPUT!FV214</f>
        <v>11.010495986828566</v>
      </c>
      <c r="EP222" s="240">
        <f>+INPUT!FW214</f>
        <v>7.5465043692715597</v>
      </c>
      <c r="EQ222" s="81">
        <f>+INPUT!FX214</f>
        <v>10.538742219360378</v>
      </c>
      <c r="ER222" s="240">
        <f>+INPUT!FY214</f>
        <v>-4.2845823479026706</v>
      </c>
      <c r="ES222" s="81">
        <f>+INPUT!FZ214</f>
        <v>10.901022573798958</v>
      </c>
      <c r="ET222" s="240">
        <f>+INPUT!GA214</f>
        <v>3.4376052369233179</v>
      </c>
      <c r="EU222" s="81">
        <f>+INPUT!GB214</f>
        <v>12.19462122767399</v>
      </c>
      <c r="EV222" s="240">
        <f>+INPUT!GC214</f>
        <v>11.866764288556269</v>
      </c>
      <c r="EW222" s="81">
        <f>+INPUT!GD214</f>
        <v>1.7434075693400737</v>
      </c>
      <c r="EX222" s="240" t="str">
        <f>+INPUT!GE214</f>
        <v>NM</v>
      </c>
      <c r="EY222" s="81">
        <f>+INPUT!GF214</f>
        <v>17.23623092236231</v>
      </c>
      <c r="EZ222" s="240" t="str">
        <f>+INPUT!GG214</f>
        <v>NM</v>
      </c>
      <c r="FA222" s="81">
        <f>+INPUT!GH214</f>
        <v>10.060445474869587</v>
      </c>
      <c r="FB222" s="240">
        <f>+INPUT!GI214</f>
        <v>-41.63198717756125</v>
      </c>
      <c r="FC222" s="81">
        <f>+INPUT!GJ214</f>
        <v>7.8758142289146429</v>
      </c>
      <c r="FD222" s="240">
        <f>+INPUT!GK214</f>
        <v>-21.715054779751313</v>
      </c>
      <c r="FE222" s="81">
        <f>+INPUT!GL214</f>
        <v>7.8595837216526867</v>
      </c>
      <c r="FF222" s="240">
        <f>+INPUT!GM214</f>
        <v>-0.2060803720124369</v>
      </c>
      <c r="FG222" s="81">
        <f>+INPUT!GN214</f>
        <v>8.9864913674781466</v>
      </c>
      <c r="FH222" s="240">
        <f>+INPUT!GO214</f>
        <v>14.338006766451201</v>
      </c>
      <c r="FI222" s="81">
        <f>+INPUT!GP214</f>
        <v>8.1777694472638167</v>
      </c>
      <c r="FJ222" s="240">
        <f>+INPUT!GQ214</f>
        <v>-8.999306705407534</v>
      </c>
      <c r="FK222" s="81">
        <f>+INPUT!GR214</f>
        <v>8.0794043763198076</v>
      </c>
      <c r="FL222" s="240">
        <f>+INPUT!GS214</f>
        <v>-1.2028349732569268</v>
      </c>
      <c r="FM222" s="81">
        <f>+INPUT!GT214</f>
        <v>7.936218527093625</v>
      </c>
      <c r="FN222" s="240">
        <f>+INPUT!GU214</f>
        <v>-1.7722327359409178</v>
      </c>
      <c r="FO222" s="81">
        <f>+INPUT!GV214</f>
        <v>7.7946745240984967</v>
      </c>
      <c r="FP222" s="240">
        <f>+INPUT!GW214</f>
        <v>-1.7835194748217731</v>
      </c>
      <c r="FQ222" s="81">
        <f>+INPUT!GX214</f>
        <v>7.6547776701187935</v>
      </c>
      <c r="FR222" s="240">
        <f>+INPUT!GY214</f>
        <v>-1.7947747984497511</v>
      </c>
      <c r="FS222" s="240">
        <f>+INPUT!GZ214</f>
        <v>-3.1569443799425834</v>
      </c>
    </row>
    <row r="223" spans="1:176" ht="12.75" hidden="1" customHeight="1" outlineLevel="1" x14ac:dyDescent="0.2">
      <c r="A223" s="70"/>
      <c r="B223" s="75"/>
      <c r="C223" s="155"/>
      <c r="D223" s="75"/>
      <c r="E223" s="155"/>
      <c r="F223" s="75"/>
      <c r="G223" s="155"/>
      <c r="H223" s="75"/>
      <c r="I223" s="155"/>
      <c r="J223" s="75"/>
      <c r="K223" s="155"/>
      <c r="L223" s="75"/>
      <c r="M223" s="155"/>
      <c r="N223" s="75"/>
      <c r="O223" s="155"/>
      <c r="P223" s="75"/>
      <c r="Q223" s="155"/>
      <c r="R223" s="75"/>
      <c r="S223" s="155"/>
      <c r="T223" s="75"/>
      <c r="U223" s="155"/>
      <c r="V223" s="75"/>
      <c r="W223" s="155"/>
      <c r="X223" s="75"/>
      <c r="Y223" s="155"/>
      <c r="Z223" s="75"/>
      <c r="AA223" s="155"/>
      <c r="AB223" s="75"/>
      <c r="AC223" s="155"/>
      <c r="AD223" s="75"/>
      <c r="AE223" s="155"/>
      <c r="AF223" s="75"/>
      <c r="AG223" s="155"/>
      <c r="AH223" s="81"/>
      <c r="AI223" s="240"/>
      <c r="AJ223" s="81"/>
      <c r="AK223" s="240"/>
      <c r="AL223" s="81"/>
      <c r="AM223" s="240"/>
      <c r="AN223" s="81"/>
      <c r="AO223" s="240"/>
      <c r="AP223" s="81"/>
      <c r="AQ223" s="240"/>
      <c r="AR223" s="81"/>
      <c r="AS223" s="240"/>
      <c r="AT223" s="81"/>
      <c r="AU223" s="240"/>
      <c r="AV223" s="81"/>
      <c r="AW223" s="240"/>
      <c r="AX223" s="81"/>
      <c r="AY223" s="240"/>
      <c r="AZ223" s="81"/>
      <c r="BA223" s="240"/>
      <c r="BB223" s="81"/>
      <c r="BC223" s="240"/>
      <c r="BD223" s="81"/>
      <c r="BE223" s="240"/>
      <c r="BF223" s="81"/>
      <c r="BG223" s="240"/>
      <c r="BH223" s="81"/>
      <c r="BI223" s="240"/>
      <c r="BJ223" s="81"/>
      <c r="BK223" s="240"/>
      <c r="BL223" s="81"/>
      <c r="BM223" s="240"/>
      <c r="BN223" s="81"/>
      <c r="BO223" s="240"/>
      <c r="BP223" s="81"/>
      <c r="BQ223" s="240"/>
      <c r="BR223" s="81"/>
      <c r="BS223" s="240"/>
      <c r="BT223" s="81"/>
      <c r="BU223" s="240"/>
      <c r="BV223" s="81"/>
      <c r="BW223" s="240"/>
      <c r="BX223" s="81"/>
      <c r="BY223" s="240"/>
      <c r="BZ223" s="81"/>
      <c r="CA223" s="240"/>
      <c r="CB223" s="81"/>
      <c r="CC223" s="240"/>
      <c r="CD223" s="81"/>
      <c r="CE223" s="240"/>
      <c r="CF223" s="81"/>
      <c r="CG223" s="240"/>
      <c r="CH223" s="81"/>
      <c r="CI223" s="240"/>
      <c r="CJ223" s="81"/>
      <c r="CK223" s="240"/>
      <c r="CL223" s="81"/>
      <c r="CM223" s="240"/>
      <c r="CN223" s="81"/>
      <c r="CO223" s="240"/>
      <c r="CP223" s="81"/>
      <c r="CQ223" s="240"/>
      <c r="CR223" s="81"/>
      <c r="CS223" s="240"/>
      <c r="CT223" s="81"/>
      <c r="CU223" s="240"/>
      <c r="CV223" s="81"/>
      <c r="CW223" s="240"/>
      <c r="CX223" s="81"/>
      <c r="CY223" s="240"/>
      <c r="CZ223" s="81"/>
      <c r="DA223" s="240"/>
      <c r="DB223" s="81"/>
      <c r="DC223" s="240"/>
      <c r="DD223" s="81"/>
      <c r="DE223" s="240"/>
      <c r="DF223" s="81"/>
      <c r="DG223" s="240"/>
      <c r="DH223" s="81"/>
      <c r="DI223" s="240"/>
      <c r="DJ223" s="81"/>
      <c r="DK223" s="240"/>
      <c r="DL223" s="81"/>
      <c r="DM223" s="240"/>
      <c r="DN223" s="81"/>
      <c r="DO223" s="240"/>
      <c r="DP223" s="81"/>
      <c r="DQ223" s="240"/>
      <c r="DR223" s="81"/>
      <c r="DS223" s="240"/>
      <c r="DT223" s="81"/>
      <c r="DU223" s="240"/>
      <c r="DV223" s="81"/>
      <c r="DW223" s="240"/>
      <c r="DX223" s="81"/>
      <c r="DY223" s="240"/>
      <c r="DZ223" s="81"/>
      <c r="EA223" s="240"/>
      <c r="EB223" s="155"/>
      <c r="EC223" s="75"/>
      <c r="ED223" s="155"/>
      <c r="EE223" s="75"/>
      <c r="EF223" s="155"/>
      <c r="EG223" s="75"/>
      <c r="EH223" s="155"/>
      <c r="EI223" s="75"/>
      <c r="EJ223" s="240"/>
      <c r="EK223" s="81"/>
      <c r="EL223" s="240"/>
      <c r="EM223" s="81"/>
      <c r="EN223" s="240"/>
      <c r="EO223" s="81"/>
      <c r="EP223" s="240"/>
      <c r="EQ223" s="81"/>
      <c r="ER223" s="240"/>
      <c r="ES223" s="81"/>
      <c r="ET223" s="240"/>
      <c r="EU223" s="81"/>
      <c r="EV223" s="240"/>
      <c r="EW223" s="81"/>
      <c r="EX223" s="240"/>
      <c r="EY223" s="81"/>
      <c r="EZ223" s="240"/>
      <c r="FA223" s="81"/>
      <c r="FB223" s="240"/>
      <c r="FC223" s="81"/>
      <c r="FD223" s="240"/>
      <c r="FE223" s="81"/>
      <c r="FF223" s="240"/>
      <c r="FG223" s="81"/>
      <c r="FH223" s="240"/>
      <c r="FI223" s="81"/>
      <c r="FJ223" s="240"/>
      <c r="FK223" s="81"/>
      <c r="FL223" s="240"/>
      <c r="FM223" s="81"/>
      <c r="FN223" s="240"/>
      <c r="FO223" s="81"/>
      <c r="FP223" s="240"/>
      <c r="FQ223" s="81"/>
      <c r="FR223" s="240"/>
      <c r="FS223" s="240"/>
    </row>
    <row r="224" spans="1:176" ht="12.75" hidden="1" customHeight="1" outlineLevel="1" x14ac:dyDescent="0.2">
      <c r="A224" s="70" t="s">
        <v>498</v>
      </c>
      <c r="B224" s="75"/>
      <c r="C224" s="155"/>
      <c r="D224" s="75"/>
      <c r="E224" s="155"/>
      <c r="F224" s="75"/>
      <c r="G224" s="155"/>
      <c r="H224" s="75"/>
      <c r="I224" s="155"/>
      <c r="J224" s="75"/>
      <c r="K224" s="155"/>
      <c r="L224" s="75"/>
      <c r="M224" s="155"/>
      <c r="N224" s="75"/>
      <c r="O224" s="155"/>
      <c r="P224" s="75"/>
      <c r="Q224" s="155"/>
      <c r="R224" s="75"/>
      <c r="S224" s="155"/>
      <c r="T224" s="75"/>
      <c r="U224" s="155"/>
      <c r="V224" s="75"/>
      <c r="W224" s="155"/>
      <c r="X224" s="75"/>
      <c r="Y224" s="155"/>
      <c r="Z224" s="75"/>
      <c r="AA224" s="155"/>
      <c r="AB224" s="75"/>
      <c r="AC224" s="155"/>
      <c r="AD224" s="75"/>
      <c r="AE224" s="155"/>
      <c r="AF224" s="75"/>
      <c r="AG224" s="155"/>
      <c r="AH224" s="81"/>
      <c r="AI224" s="240"/>
      <c r="AJ224" s="81"/>
      <c r="AK224" s="240"/>
      <c r="AL224" s="81"/>
      <c r="AM224" s="240"/>
      <c r="AN224" s="81"/>
      <c r="AO224" s="240"/>
      <c r="AP224" s="81"/>
      <c r="AQ224" s="240"/>
      <c r="AR224" s="81"/>
      <c r="AS224" s="240"/>
      <c r="AT224" s="81"/>
      <c r="AU224" s="240"/>
      <c r="AV224" s="81"/>
      <c r="AW224" s="240"/>
      <c r="AX224" s="81"/>
      <c r="AY224" s="240"/>
      <c r="AZ224" s="81"/>
      <c r="BA224" s="240"/>
      <c r="BB224" s="81"/>
      <c r="BC224" s="240"/>
      <c r="BD224" s="81"/>
      <c r="BE224" s="240"/>
      <c r="BF224" s="81"/>
      <c r="BG224" s="240"/>
      <c r="BH224" s="81"/>
      <c r="BI224" s="240"/>
      <c r="BJ224" s="81"/>
      <c r="BK224" s="240"/>
      <c r="BL224" s="81"/>
      <c r="BM224" s="240"/>
      <c r="BN224" s="81"/>
      <c r="BO224" s="240"/>
      <c r="BP224" s="81"/>
      <c r="BQ224" s="240"/>
      <c r="BR224" s="81"/>
      <c r="BS224" s="240"/>
      <c r="BT224" s="81"/>
      <c r="BU224" s="240"/>
      <c r="BV224" s="81"/>
      <c r="BW224" s="240"/>
      <c r="BX224" s="81"/>
      <c r="BY224" s="240"/>
      <c r="BZ224" s="81"/>
      <c r="CA224" s="240"/>
      <c r="CB224" s="81"/>
      <c r="CC224" s="240"/>
      <c r="CD224" s="81"/>
      <c r="CE224" s="240"/>
      <c r="CF224" s="81"/>
      <c r="CG224" s="240"/>
      <c r="CH224" s="81"/>
      <c r="CI224" s="240"/>
      <c r="CJ224" s="81"/>
      <c r="CK224" s="240"/>
      <c r="CL224" s="81"/>
      <c r="CM224" s="240"/>
      <c r="CN224" s="81"/>
      <c r="CO224" s="240"/>
      <c r="CP224" s="81"/>
      <c r="CQ224" s="240"/>
      <c r="CR224" s="81"/>
      <c r="CS224" s="240"/>
      <c r="CT224" s="81"/>
      <c r="CU224" s="240"/>
      <c r="CV224" s="81"/>
      <c r="CW224" s="240"/>
      <c r="CX224" s="81"/>
      <c r="CY224" s="240"/>
      <c r="CZ224" s="81"/>
      <c r="DA224" s="240"/>
      <c r="DB224" s="81"/>
      <c r="DC224" s="240"/>
      <c r="DD224" s="81"/>
      <c r="DE224" s="240"/>
      <c r="DF224" s="81"/>
      <c r="DG224" s="240"/>
      <c r="DH224" s="81"/>
      <c r="DI224" s="240"/>
      <c r="DJ224" s="81"/>
      <c r="DK224" s="240"/>
      <c r="DL224" s="81"/>
      <c r="DM224" s="240"/>
      <c r="DN224" s="81"/>
      <c r="DO224" s="240"/>
      <c r="DP224" s="81"/>
      <c r="DQ224" s="240"/>
      <c r="DR224" s="81"/>
      <c r="DS224" s="240"/>
      <c r="DT224" s="81"/>
      <c r="DU224" s="240"/>
      <c r="DV224" s="81"/>
      <c r="DW224" s="240"/>
      <c r="DX224" s="81"/>
      <c r="DY224" s="240"/>
      <c r="DZ224" s="81"/>
      <c r="EA224" s="240"/>
      <c r="EB224" s="155"/>
      <c r="EC224" s="75"/>
      <c r="ED224" s="155"/>
      <c r="EE224" s="75"/>
      <c r="EF224" s="155"/>
      <c r="EG224" s="75"/>
      <c r="EH224" s="155"/>
      <c r="EI224" s="75"/>
      <c r="EJ224" s="240"/>
      <c r="EK224" s="81"/>
      <c r="EL224" s="240"/>
      <c r="EM224" s="81"/>
      <c r="EN224" s="240"/>
      <c r="EO224" s="81"/>
      <c r="EP224" s="240"/>
      <c r="EQ224" s="81"/>
      <c r="ER224" s="240"/>
      <c r="ES224" s="81"/>
      <c r="ET224" s="240"/>
      <c r="EU224" s="81"/>
      <c r="EV224" s="240"/>
      <c r="EW224" s="81"/>
      <c r="EX224" s="240"/>
      <c r="EY224" s="81"/>
      <c r="EZ224" s="240"/>
      <c r="FA224" s="81"/>
      <c r="FB224" s="240"/>
      <c r="FC224" s="81"/>
      <c r="FD224" s="240"/>
      <c r="FE224" s="81"/>
      <c r="FF224" s="240"/>
      <c r="FG224" s="81"/>
      <c r="FH224" s="240"/>
      <c r="FI224" s="81"/>
      <c r="FJ224" s="240"/>
      <c r="FK224" s="81"/>
      <c r="FL224" s="240"/>
      <c r="FM224" s="81"/>
      <c r="FN224" s="240"/>
      <c r="FO224" s="81"/>
      <c r="FP224" s="240"/>
      <c r="FQ224" s="81"/>
      <c r="FR224" s="240"/>
      <c r="FS224" s="240"/>
    </row>
    <row r="225" spans="1:175" ht="12.75" hidden="1" customHeight="1" outlineLevel="1" x14ac:dyDescent="0.2">
      <c r="A225" s="77" t="s">
        <v>68</v>
      </c>
      <c r="B225" s="73">
        <f>+INPUT!AA594</f>
        <v>11.62280701754386</v>
      </c>
      <c r="C225" s="155">
        <f>+INPUT!AB594</f>
        <v>68.872549019607845</v>
      </c>
      <c r="D225" s="73">
        <f>+INPUT!AC594</f>
        <v>8.1818181818181817</v>
      </c>
      <c r="E225" s="155">
        <f>+INPUT!AD594</f>
        <v>-23.25454545454545</v>
      </c>
      <c r="F225" s="73">
        <f>+INPUT!AE594</f>
        <v>7.5144508670520231</v>
      </c>
      <c r="G225" s="155">
        <f>+INPUT!AF594</f>
        <v>38.391136801541421</v>
      </c>
      <c r="H225" s="73">
        <f>+INPUT!AG594</f>
        <v>9.7864768683274033</v>
      </c>
      <c r="I225" s="155">
        <f>+INPUT!AH594</f>
        <v>11.506524317912238</v>
      </c>
      <c r="J225" s="73">
        <f>+INPUT!AI594</f>
        <v>9.2198581560283674</v>
      </c>
      <c r="K225" s="155">
        <f>+INPUT!AJ594</f>
        <v>-20.674427940586128</v>
      </c>
      <c r="L225" s="73">
        <f>+INPUT!AK594</f>
        <v>12.72475795297372</v>
      </c>
      <c r="M225" s="155">
        <f>+INPUT!AL594</f>
        <v>55.524819425234341</v>
      </c>
      <c r="N225" s="73">
        <f>+INPUT!AM594</f>
        <v>13.202247191011235</v>
      </c>
      <c r="O225" s="155">
        <f>+INPUT!AN594</f>
        <v>75.691443388072599</v>
      </c>
      <c r="P225" s="73">
        <f>+INPUT!AO594</f>
        <v>13.773314203730273</v>
      </c>
      <c r="Q225" s="155">
        <f>+INPUT!AP594</f>
        <v>40.73822877266204</v>
      </c>
      <c r="R225" s="73">
        <f>+INPUT!AQ594</f>
        <v>16.68856767411301</v>
      </c>
      <c r="S225" s="155">
        <f>+INPUT!AR594</f>
        <v>81.006772465379584</v>
      </c>
      <c r="T225" s="73">
        <f>+INPUT!AS594</f>
        <v>13.275434243176178</v>
      </c>
      <c r="U225" s="155">
        <f>+INPUT!AT594</f>
        <v>4.3275973675693109</v>
      </c>
      <c r="V225" s="73">
        <f>+INPUT!AU594</f>
        <v>10.844748858447488</v>
      </c>
      <c r="W225" s="155">
        <f>+INPUT!AV594</f>
        <v>-17.856795880695614</v>
      </c>
      <c r="X225" s="73">
        <f>+INPUT!AW594</f>
        <v>8.7234042553191493</v>
      </c>
      <c r="Y225" s="155">
        <f>+INPUT!AX594</f>
        <v>-36.664450354609926</v>
      </c>
      <c r="Z225" s="73">
        <f>+INPUT!AY594</f>
        <v>14.315569487983282</v>
      </c>
      <c r="AA225" s="155">
        <f>+INPUT!AZ594</f>
        <v>-14.219304091690731</v>
      </c>
      <c r="AB225" s="73">
        <f>+INPUT!BA594</f>
        <v>13.177470775770455</v>
      </c>
      <c r="AC225" s="155">
        <f>+INPUT!BB594</f>
        <v>-0.73793041802815651</v>
      </c>
      <c r="AD225" s="73">
        <f>+INPUT!BC594</f>
        <v>11.558854718981973</v>
      </c>
      <c r="AE225" s="155">
        <f>+INPUT!BD594</f>
        <v>6.5848077245074705</v>
      </c>
      <c r="AF225" s="73">
        <f>+INPUT!BE594</f>
        <v>12.448559670781894</v>
      </c>
      <c r="AG225" s="155">
        <f>+INPUT!BF594</f>
        <v>42.703001104085104</v>
      </c>
      <c r="AH225" s="81">
        <f>+INPUT!BG594</f>
        <v>14.100609756097562</v>
      </c>
      <c r="AI225" s="240">
        <f>+INPUT!BH594</f>
        <v>-1.501580024924337</v>
      </c>
      <c r="AJ225" s="81">
        <f>+INPUT!BI594</f>
        <v>12.59124087591241</v>
      </c>
      <c r="AK225" s="240">
        <f>+INPUT!BJ594</f>
        <v>-4.4487285142453317</v>
      </c>
      <c r="AL225" s="81">
        <f>+INPUT!BK594</f>
        <v>12.061068702290076</v>
      </c>
      <c r="AM225" s="240">
        <f>+INPUT!BL594</f>
        <v>4.3448420757756168</v>
      </c>
      <c r="AN225" s="81">
        <f>+INPUT!BM594</f>
        <v>12.350936967632027</v>
      </c>
      <c r="AO225" s="240">
        <f>+INPUT!BN594</f>
        <v>-0.78420882199728226</v>
      </c>
      <c r="AP225" s="81">
        <f>+INPUT!BO594</f>
        <v>13.163481953290871</v>
      </c>
      <c r="AQ225" s="240">
        <f>+INPUT!BP594</f>
        <v>-6.6460090663912297</v>
      </c>
      <c r="AR225" s="81">
        <f>+INPUT!BQ594</f>
        <v>13.128491620111731</v>
      </c>
      <c r="AS225" s="240">
        <f>+INPUT!BR594</f>
        <v>4.2668609829163557</v>
      </c>
      <c r="AT225" s="81">
        <f>+INPUT!BS594</f>
        <v>12.604166666666666</v>
      </c>
      <c r="AU225" s="240">
        <f>+INPUT!BT594</f>
        <v>4.5029008438818465</v>
      </c>
      <c r="AV225" s="81">
        <f>+INPUT!BU594</f>
        <v>17.391304347826086</v>
      </c>
      <c r="AW225" s="240">
        <f>+INPUT!BV594</f>
        <v>40.809595202398782</v>
      </c>
      <c r="AX225" s="81">
        <f>+INPUT!BW594</f>
        <v>22.838499184339316</v>
      </c>
      <c r="AY225" s="240">
        <f>+INPUT!BX594</f>
        <v>73.49892122296481</v>
      </c>
      <c r="AZ225" s="81">
        <f>+INPUT!BY594</f>
        <v>14.705882352941178</v>
      </c>
      <c r="BA225" s="240">
        <f>+INPUT!BZ594</f>
        <v>12.015018773466849</v>
      </c>
      <c r="BB225" s="81">
        <f>+INPUT!CA594</f>
        <v>14.011976047904193</v>
      </c>
      <c r="BC225" s="240">
        <f>+INPUT!CB594</f>
        <v>11.169396743702691</v>
      </c>
      <c r="BD225" s="81">
        <f>+INPUT!CC594</f>
        <v>19.241982507288629</v>
      </c>
      <c r="BE225" s="240">
        <f>+INPUT!CD594</f>
        <v>10.641399416909621</v>
      </c>
      <c r="BF225" s="81">
        <f>+INPUT!CE594</f>
        <v>22.060766182298547</v>
      </c>
      <c r="BG225" s="240">
        <f>+INPUT!CF594</f>
        <v>-3.4053595017927876</v>
      </c>
      <c r="BH225" s="81">
        <f>+INPUT!CG594</f>
        <v>16.522811344019729</v>
      </c>
      <c r="BI225" s="240">
        <f>+INPUT!CH594</f>
        <v>12.355117139334155</v>
      </c>
      <c r="BJ225" s="81">
        <f>+INPUT!CI594</f>
        <v>17.6158940397351</v>
      </c>
      <c r="BK225" s="240">
        <f>+INPUT!CJ594</f>
        <v>25.72026942887868</v>
      </c>
      <c r="BL225" s="81">
        <f>+INPUT!CK594</f>
        <v>16.743119266055047</v>
      </c>
      <c r="BM225" s="240">
        <f>+INPUT!CL594</f>
        <v>-12.986516541562409</v>
      </c>
      <c r="BN225" s="81">
        <f>+INPUT!CM594</f>
        <v>18.110982415499631</v>
      </c>
      <c r="BO225" s="240">
        <f>+INPUT!CN594</f>
        <v>-17.904109649501677</v>
      </c>
      <c r="BP225" s="81">
        <f>+INPUT!CO594</f>
        <v>15.475113122171946</v>
      </c>
      <c r="BQ225" s="240">
        <f>+INPUT!CP594</f>
        <v>-6.3409198352130716</v>
      </c>
      <c r="BR225" s="81">
        <f>+INPUT!CQ594</f>
        <v>13.733468972533061</v>
      </c>
      <c r="BS225" s="240">
        <f>+INPUT!CR594</f>
        <v>-22.03933026870331</v>
      </c>
      <c r="BT225" s="81">
        <f>+INPUT!CS594</f>
        <v>14.314928425357873</v>
      </c>
      <c r="BU225" s="240">
        <f>+INPUT!CT594</f>
        <v>-14.502619267725578</v>
      </c>
      <c r="BV225" s="81">
        <f>+INPUT!CU594</f>
        <v>16.810344827586206</v>
      </c>
      <c r="BW225" s="240">
        <f>+INPUT!CV594</f>
        <v>-7.1814855653568657</v>
      </c>
      <c r="BX225" s="81">
        <f>+INPUT!CW594</f>
        <v>14.156079854809436</v>
      </c>
      <c r="BY225" s="240">
        <f>+INPUT!CX594</f>
        <v>-8.5235775464068553</v>
      </c>
      <c r="BZ225" s="81">
        <f>+INPUT!CY594</f>
        <v>12.805391743892164</v>
      </c>
      <c r="CA225" s="240">
        <f>+INPUT!CZ594</f>
        <v>-6.7577771537333433</v>
      </c>
      <c r="CB225" s="81">
        <f>+INPUT!DA594</f>
        <v>14.399293286219081</v>
      </c>
      <c r="CC225" s="240">
        <f>+INPUT!DB594</f>
        <v>0.58934881373042458</v>
      </c>
      <c r="CD225" s="81">
        <f>+INPUT!DC594</f>
        <v>16.618075801749271</v>
      </c>
      <c r="CE225" s="240">
        <f>+INPUT!DD594</f>
        <v>-1.1437542049786913</v>
      </c>
      <c r="CF225" s="81">
        <f>+INPUT!DE594</f>
        <v>16.921954777534644</v>
      </c>
      <c r="CG225" s="240">
        <f>+INPUT!DF594</f>
        <v>19.538424133610135</v>
      </c>
      <c r="CH225" s="81">
        <f>+INPUT!DG594</f>
        <v>15.907590759075907</v>
      </c>
      <c r="CI225" s="240">
        <f>+INPUT!DH594</f>
        <v>24.225725204099362</v>
      </c>
      <c r="CJ225" s="81">
        <f>+INPUT!DI594</f>
        <v>20.027155465037339</v>
      </c>
      <c r="CK225" s="240">
        <f>+INPUT!DJ594</f>
        <v>39.084294395228653</v>
      </c>
      <c r="CL225" s="81">
        <f>+INPUT!DK594</f>
        <v>22.524752475247524</v>
      </c>
      <c r="CM225" s="240">
        <f>+INPUT!DL594</f>
        <v>35.543685947542116</v>
      </c>
      <c r="CN225" s="81">
        <f>+INPUT!DM594</f>
        <v>17.49235474006116</v>
      </c>
      <c r="CO225" s="240">
        <f>+INPUT!DN594</f>
        <v>3.3707687440683429</v>
      </c>
      <c r="CP225" s="81">
        <f>+INPUT!DO594</f>
        <v>16.844082654978084</v>
      </c>
      <c r="CQ225" s="240">
        <f>+INPUT!DP594</f>
        <v>5.8870756111693083</v>
      </c>
      <c r="CR225" s="81">
        <f>+INPUT!DQ594</f>
        <v>19.652406417112299</v>
      </c>
      <c r="CS225" s="240">
        <f>+INPUT!DR594</f>
        <v>-1.8712045681138392</v>
      </c>
      <c r="CT225" s="81">
        <f>+INPUT!DS594</f>
        <v>17.233009708737864</v>
      </c>
      <c r="CU225" s="240">
        <f>+INPUT!DT594</f>
        <v>-23.4930118425264</v>
      </c>
      <c r="CV225" s="81">
        <f>+INPUT!DU594</f>
        <v>14.468864468864471</v>
      </c>
      <c r="CW225" s="240">
        <f>+INPUT!DV594</f>
        <v>-17.284638438484563</v>
      </c>
      <c r="CX225" s="81">
        <f>+INPUT!DW594</f>
        <v>14.350355526826114</v>
      </c>
      <c r="CY225" s="240">
        <f>+INPUT!DX594</f>
        <v>-14.804766630701465</v>
      </c>
      <c r="CZ225" s="81">
        <f>+INPUT!DY594</f>
        <v>13.181639858768143</v>
      </c>
      <c r="DA225" s="240">
        <f>+INPUT!DZ594</f>
        <v>-32.926077453343055</v>
      </c>
      <c r="DB225" s="81">
        <f>+INPUT!EA594</f>
        <v>15.390021082220661</v>
      </c>
      <c r="DC225" s="240">
        <f>+INPUT!EB594</f>
        <v>-10.694525551057566</v>
      </c>
      <c r="DD225" s="81">
        <f>+INPUT!EC594</f>
        <v>15.415549597855227</v>
      </c>
      <c r="DE225" s="240">
        <f>+INPUT!ED594</f>
        <v>6.5429124104930736</v>
      </c>
      <c r="DF225" s="81">
        <f>+INPUT!EE594</f>
        <v>18.788713007570543</v>
      </c>
      <c r="DG225" s="240">
        <f>+INPUT!EF594</f>
        <v>30.9285541563587</v>
      </c>
      <c r="DH225" s="81">
        <f>+INPUT!EG594</f>
        <v>20.708825573314801</v>
      </c>
      <c r="DI225" s="240">
        <f>+INPUT!EH594</f>
        <v>57.103560673748319</v>
      </c>
      <c r="DJ225" s="81">
        <f>+INPUT!EI594</f>
        <v>24.205841107249558</v>
      </c>
      <c r="DK225" s="240">
        <f>+INPUT!EJ594</f>
        <v>57.282702719708311</v>
      </c>
      <c r="DL225" s="81">
        <f>+INPUT!EK594</f>
        <v>18.262806236080177</v>
      </c>
      <c r="DM225" s="240">
        <f>+INPUT!EL594</f>
        <v>18.470030018398376</v>
      </c>
      <c r="DN225" s="81">
        <f>+INPUT!EM594</f>
        <v>14.285714285714285</v>
      </c>
      <c r="DO225" s="240">
        <f>+INPUT!EN594</f>
        <v>-23.966509680795397</v>
      </c>
      <c r="DP225" s="81">
        <f>+INPUT!EO594</f>
        <v>18.558673469387756</v>
      </c>
      <c r="DQ225" s="240">
        <f>+INPUT!EP594</f>
        <v>-10.382781468291995</v>
      </c>
      <c r="DR225" s="81">
        <f>+INPUT!EQ594</f>
        <v>17.933984550293559</v>
      </c>
      <c r="DS225" s="240">
        <f>+INPUT!ER594</f>
        <v>-25.910508662628544</v>
      </c>
      <c r="DT225" s="81">
        <f>+INPUT!ES594</f>
        <v>16.553125027755929</v>
      </c>
      <c r="DU225" s="240">
        <f>+INPUT!ET594</f>
        <v>-9.3615471041169229</v>
      </c>
      <c r="DV225" s="81">
        <f>+INPUT!EU594</f>
        <v>15.533065659050823</v>
      </c>
      <c r="DW225" s="240">
        <f>+INPUT!EV594</f>
        <v>8.7314596133557814</v>
      </c>
      <c r="DX225" s="81">
        <f>+INPUT!EW594</f>
        <v>16.386012350733807</v>
      </c>
      <c r="DY225" s="240">
        <f>+INPUT!EX594</f>
        <v>-11.706984996733311</v>
      </c>
      <c r="DZ225" s="81"/>
      <c r="EA225" s="240"/>
      <c r="EB225" s="155" t="str">
        <f>+INPUT!FI594</f>
        <v>NM</v>
      </c>
      <c r="EC225" s="73">
        <f>+INPUT!FJ594</f>
        <v>8.3286752375628836</v>
      </c>
      <c r="ED225" s="155">
        <f>+INPUT!FK594</f>
        <v>13.131171976895843</v>
      </c>
      <c r="EE225" s="73">
        <f>+INPUT!FL594</f>
        <v>9.1515729265967583</v>
      </c>
      <c r="EF225" s="155">
        <f>+INPUT!FM594</f>
        <v>9.8802950716885931</v>
      </c>
      <c r="EG225" s="73">
        <f>+INPUT!FN594</f>
        <v>12.37037037037037</v>
      </c>
      <c r="EH225" s="155">
        <f>+INPUT!FO594</f>
        <v>35.172067901234584</v>
      </c>
      <c r="EI225" s="73">
        <f>+INPUT!FP594</f>
        <v>12.084680976183476</v>
      </c>
      <c r="EJ225" s="240">
        <f>+INPUT!FQ594</f>
        <v>-2.3094651625886655</v>
      </c>
      <c r="EK225" s="81">
        <f>+INPUT!FR594</f>
        <v>12.938076416337285</v>
      </c>
      <c r="EL225" s="240">
        <f>+INPUT!FS594</f>
        <v>7.0617953575744679</v>
      </c>
      <c r="EM225" s="81">
        <f>+INPUT!FT594</f>
        <v>12.791556269817139</v>
      </c>
      <c r="EN225" s="240">
        <f>+INPUT!FU594</f>
        <v>-1.1324724155681309</v>
      </c>
      <c r="EO225" s="81">
        <f>+INPUT!FV594</f>
        <v>15.086206896551724</v>
      </c>
      <c r="EP225" s="240">
        <f>+INPUT!FW594</f>
        <v>17.938791639833738</v>
      </c>
      <c r="EQ225" s="81">
        <f>+INPUT!FX594</f>
        <v>19.217221135029355</v>
      </c>
      <c r="ER225" s="240">
        <f>+INPUT!FY594</f>
        <v>27.38272295219457</v>
      </c>
      <c r="ES225" s="81">
        <f>+INPUT!FZ594</f>
        <v>18.153364632237874</v>
      </c>
      <c r="ET225" s="240">
        <f>+INPUT!GA594</f>
        <v>-5.535953899454654</v>
      </c>
      <c r="EU225" s="81">
        <f>+INPUT!GB594</f>
        <v>15.389595836342357</v>
      </c>
      <c r="EV225" s="240">
        <f>+INPUT!GC594</f>
        <v>-15.224553970493403</v>
      </c>
      <c r="EW225" s="81">
        <f>+INPUT!GD594</f>
        <v>14.417107381007128</v>
      </c>
      <c r="EX225" s="240">
        <f>+INPUT!GE594</f>
        <v>-6.3191292719897802</v>
      </c>
      <c r="EY225" s="81">
        <f>+INPUT!GF594</f>
        <v>17.379165939626592</v>
      </c>
      <c r="EZ225" s="240">
        <f>+INPUT!GG594</f>
        <v>20.545442857154782</v>
      </c>
      <c r="FA225" s="81">
        <f>+INPUT!GH594</f>
        <v>19.120428751576295</v>
      </c>
      <c r="FB225" s="240">
        <f>+INPUT!GI594</f>
        <v>10.01925419205196</v>
      </c>
      <c r="FC225" s="81">
        <f>+INPUT!GJ594</f>
        <v>14.916086778550962</v>
      </c>
      <c r="FD225" s="240">
        <f>+INPUT!GK594</f>
        <v>-21.988743179614772</v>
      </c>
      <c r="FE225" s="81">
        <f>+INPUT!GL594</f>
        <v>17.565007749268126</v>
      </c>
      <c r="FF225" s="240">
        <f>+INPUT!GM594</f>
        <v>17.758819789961677</v>
      </c>
      <c r="FG225" s="81">
        <f>+INPUT!GN594</f>
        <v>18.753430957997654</v>
      </c>
      <c r="FH225" s="240">
        <f>+INPUT!GO594</f>
        <v>6.7658564442081968</v>
      </c>
      <c r="FI225" s="81">
        <f>+INPUT!GP594</f>
        <v>16.608790226075254</v>
      </c>
      <c r="FJ225" s="240">
        <f>+INPUT!GQ594</f>
        <v>-11.435991295277034</v>
      </c>
      <c r="FK225" s="81">
        <f>+INPUT!GR594</f>
        <v>16.838671926183142</v>
      </c>
      <c r="FL225" s="240">
        <f>+INPUT!GS594</f>
        <v>1.3840965957109859</v>
      </c>
      <c r="FM225" s="81">
        <f>+INPUT!GT594</f>
        <v>17.008957593197294</v>
      </c>
      <c r="FN225" s="240">
        <f>+INPUT!GU594</f>
        <v>1.0112773012066896</v>
      </c>
      <c r="FO225" s="81">
        <f>+INPUT!GV594</f>
        <v>17.161768201079735</v>
      </c>
      <c r="FP225" s="240">
        <f>+INPUT!GW594</f>
        <v>0.89841253965825274</v>
      </c>
      <c r="FQ225" s="81">
        <f>+INPUT!GX594</f>
        <v>17.34234575953873</v>
      </c>
      <c r="FR225" s="240">
        <f>+INPUT!GY594</f>
        <v>1.0522083525614505</v>
      </c>
      <c r="FS225" s="240">
        <f>+INPUT!GZ594</f>
        <v>-1.5523346773550051</v>
      </c>
    </row>
    <row r="226" spans="1:175" ht="12.75" hidden="1" customHeight="1" outlineLevel="1" x14ac:dyDescent="0.2">
      <c r="A226" s="77"/>
      <c r="B226" s="75"/>
      <c r="C226" s="155"/>
      <c r="D226" s="75"/>
      <c r="E226" s="155"/>
      <c r="F226" s="75"/>
      <c r="G226" s="155"/>
      <c r="H226" s="75"/>
      <c r="I226" s="155"/>
      <c r="J226" s="75"/>
      <c r="K226" s="155"/>
      <c r="L226" s="75"/>
      <c r="M226" s="155"/>
      <c r="N226" s="75"/>
      <c r="O226" s="155"/>
      <c r="P226" s="75"/>
      <c r="Q226" s="155"/>
      <c r="R226" s="75"/>
      <c r="S226" s="155"/>
      <c r="T226" s="75"/>
      <c r="U226" s="155"/>
      <c r="V226" s="75"/>
      <c r="W226" s="155"/>
      <c r="X226" s="75"/>
      <c r="Y226" s="155"/>
      <c r="Z226" s="75"/>
      <c r="AA226" s="155"/>
      <c r="AB226" s="75"/>
      <c r="AC226" s="155"/>
      <c r="AD226" s="75"/>
      <c r="AE226" s="155"/>
      <c r="AF226" s="75"/>
      <c r="AG226" s="155"/>
      <c r="AH226" s="75"/>
      <c r="AI226" s="240"/>
      <c r="AJ226" s="75"/>
      <c r="AK226" s="240"/>
      <c r="AL226" s="75"/>
      <c r="AM226" s="240"/>
      <c r="AN226" s="75"/>
      <c r="AO226" s="240"/>
      <c r="AP226" s="75"/>
      <c r="AQ226" s="240"/>
      <c r="AR226" s="75"/>
      <c r="AS226" s="240"/>
      <c r="AT226" s="75"/>
      <c r="AU226" s="240"/>
      <c r="AV226" s="75"/>
      <c r="AW226" s="240"/>
      <c r="AX226" s="75"/>
      <c r="AY226" s="240"/>
      <c r="AZ226" s="75"/>
      <c r="BA226" s="240"/>
      <c r="BB226" s="75"/>
      <c r="BC226" s="240"/>
      <c r="BD226" s="75"/>
      <c r="BE226" s="240"/>
      <c r="BF226" s="75"/>
      <c r="BG226" s="240"/>
      <c r="BH226" s="75"/>
      <c r="BI226" s="240"/>
      <c r="BJ226" s="75"/>
      <c r="BK226" s="240"/>
      <c r="BL226" s="75"/>
      <c r="BM226" s="240"/>
      <c r="BN226" s="75"/>
      <c r="BO226" s="240"/>
      <c r="BP226" s="75"/>
      <c r="BQ226" s="240"/>
      <c r="BR226" s="75"/>
      <c r="BS226" s="240"/>
      <c r="BT226" s="75"/>
      <c r="BU226" s="240"/>
      <c r="BV226" s="75"/>
      <c r="BW226" s="240"/>
      <c r="BX226" s="75"/>
      <c r="BY226" s="240"/>
      <c r="BZ226" s="75"/>
      <c r="CA226" s="240"/>
      <c r="CB226" s="75"/>
      <c r="CC226" s="240"/>
      <c r="CD226" s="75"/>
      <c r="CE226" s="240"/>
      <c r="CF226" s="75"/>
      <c r="CG226" s="240"/>
      <c r="CH226" s="75"/>
      <c r="CI226" s="240"/>
      <c r="CJ226" s="75"/>
      <c r="CK226" s="240"/>
      <c r="CL226" s="75"/>
      <c r="CM226" s="240"/>
      <c r="CN226" s="75"/>
      <c r="CO226" s="240"/>
      <c r="CP226" s="75"/>
      <c r="CQ226" s="240"/>
      <c r="CR226" s="75"/>
      <c r="CS226" s="240"/>
      <c r="CT226" s="75"/>
      <c r="CU226" s="240"/>
      <c r="CV226" s="75"/>
      <c r="CW226" s="240"/>
      <c r="CX226" s="75"/>
      <c r="CY226" s="240"/>
      <c r="CZ226" s="75"/>
      <c r="DA226" s="240"/>
      <c r="DB226" s="75"/>
      <c r="DC226" s="240"/>
      <c r="DD226" s="75"/>
      <c r="DE226" s="240"/>
      <c r="DF226" s="75"/>
      <c r="DG226" s="240"/>
      <c r="DH226" s="75"/>
      <c r="DI226" s="240"/>
      <c r="DJ226" s="75"/>
      <c r="DK226" s="240"/>
      <c r="DL226" s="75"/>
      <c r="DM226" s="240"/>
      <c r="DN226" s="75"/>
      <c r="DO226" s="240"/>
      <c r="DP226" s="75"/>
      <c r="DQ226" s="240"/>
      <c r="DR226" s="75"/>
      <c r="DS226" s="240"/>
      <c r="DT226" s="75"/>
      <c r="DU226" s="240"/>
      <c r="DV226" s="75"/>
      <c r="DW226" s="240"/>
      <c r="DX226" s="75"/>
      <c r="DY226" s="240"/>
      <c r="DZ226" s="75"/>
      <c r="EA226" s="240"/>
      <c r="EB226" s="155"/>
      <c r="EC226" s="75"/>
      <c r="ED226" s="155"/>
      <c r="EE226" s="75"/>
      <c r="EF226" s="155"/>
      <c r="EG226" s="75"/>
      <c r="EH226" s="155"/>
      <c r="EI226" s="75"/>
      <c r="EJ226" s="240"/>
      <c r="EK226" s="75"/>
      <c r="EL226" s="240"/>
      <c r="EM226" s="75"/>
      <c r="EN226" s="240"/>
      <c r="EO226" s="75"/>
      <c r="EP226" s="240"/>
      <c r="EQ226" s="75"/>
      <c r="ER226" s="240"/>
      <c r="ES226" s="75"/>
      <c r="ET226" s="240"/>
      <c r="EU226" s="75"/>
      <c r="EV226" s="240"/>
      <c r="EW226" s="75"/>
      <c r="EX226" s="240"/>
      <c r="EY226" s="75"/>
      <c r="EZ226" s="240"/>
      <c r="FA226" s="75"/>
      <c r="FB226" s="240"/>
      <c r="FC226" s="75"/>
      <c r="FD226" s="240"/>
      <c r="FE226" s="75"/>
      <c r="FF226" s="240"/>
      <c r="FG226" s="75"/>
      <c r="FH226" s="240"/>
      <c r="FI226" s="75"/>
      <c r="FJ226" s="240"/>
      <c r="FK226" s="75"/>
      <c r="FL226" s="240"/>
      <c r="FM226" s="75"/>
      <c r="FN226" s="240"/>
      <c r="FO226" s="75"/>
      <c r="FP226" s="240"/>
      <c r="FQ226" s="75"/>
      <c r="FR226" s="240"/>
      <c r="FS226" s="240"/>
    </row>
    <row r="227" spans="1:175" ht="12.75" hidden="1" customHeight="1" outlineLevel="1" x14ac:dyDescent="0.2">
      <c r="A227" s="70" t="s">
        <v>218</v>
      </c>
      <c r="B227" s="75"/>
      <c r="C227" s="155"/>
      <c r="D227" s="75"/>
      <c r="E227" s="155"/>
      <c r="F227" s="75"/>
      <c r="G227" s="155"/>
      <c r="H227" s="75"/>
      <c r="I227" s="155"/>
      <c r="J227" s="75"/>
      <c r="K227" s="155"/>
      <c r="L227" s="75"/>
      <c r="M227" s="155"/>
      <c r="N227" s="75"/>
      <c r="O227" s="155"/>
      <c r="P227" s="75"/>
      <c r="Q227" s="155"/>
      <c r="R227" s="75"/>
      <c r="S227" s="155"/>
      <c r="T227" s="75"/>
      <c r="U227" s="155"/>
      <c r="V227" s="75"/>
      <c r="W227" s="155"/>
      <c r="X227" s="75"/>
      <c r="Y227" s="155"/>
      <c r="Z227" s="75"/>
      <c r="AA227" s="155"/>
      <c r="AB227" s="75"/>
      <c r="AC227" s="155"/>
      <c r="AD227" s="75"/>
      <c r="AE227" s="155"/>
      <c r="AF227" s="75"/>
      <c r="AG227" s="155"/>
      <c r="AH227" s="75"/>
      <c r="AI227" s="240"/>
      <c r="AJ227" s="75"/>
      <c r="AK227" s="240"/>
      <c r="AL227" s="75"/>
      <c r="AM227" s="240"/>
      <c r="AN227" s="75"/>
      <c r="AO227" s="240"/>
      <c r="AP227" s="75"/>
      <c r="AQ227" s="240"/>
      <c r="AR227" s="75"/>
      <c r="AS227" s="240"/>
      <c r="AT227" s="75"/>
      <c r="AU227" s="240"/>
      <c r="AV227" s="75"/>
      <c r="AW227" s="240"/>
      <c r="AX227" s="75"/>
      <c r="AY227" s="240"/>
      <c r="AZ227" s="75"/>
      <c r="BA227" s="240"/>
      <c r="BB227" s="75"/>
      <c r="BC227" s="240"/>
      <c r="BD227" s="75"/>
      <c r="BE227" s="240"/>
      <c r="BF227" s="75"/>
      <c r="BG227" s="240"/>
      <c r="BH227" s="75"/>
      <c r="BI227" s="240"/>
      <c r="BJ227" s="75"/>
      <c r="BK227" s="240"/>
      <c r="BL227" s="75"/>
      <c r="BM227" s="240"/>
      <c r="BN227" s="75"/>
      <c r="BO227" s="240"/>
      <c r="BP227" s="75"/>
      <c r="BQ227" s="240"/>
      <c r="BR227" s="75"/>
      <c r="BS227" s="240"/>
      <c r="BT227" s="75"/>
      <c r="BU227" s="240"/>
      <c r="BV227" s="75"/>
      <c r="BW227" s="240"/>
      <c r="BX227" s="75"/>
      <c r="BY227" s="240"/>
      <c r="BZ227" s="75"/>
      <c r="CA227" s="240"/>
      <c r="CB227" s="75"/>
      <c r="CC227" s="240"/>
      <c r="CD227" s="75"/>
      <c r="CE227" s="240"/>
      <c r="CF227" s="75"/>
      <c r="CG227" s="240"/>
      <c r="CH227" s="75"/>
      <c r="CI227" s="240"/>
      <c r="CJ227" s="75"/>
      <c r="CK227" s="240"/>
      <c r="CL227" s="75"/>
      <c r="CM227" s="240"/>
      <c r="CN227" s="75"/>
      <c r="CO227" s="240"/>
      <c r="CP227" s="75"/>
      <c r="CQ227" s="240"/>
      <c r="CR227" s="75"/>
      <c r="CS227" s="240"/>
      <c r="CT227" s="75"/>
      <c r="CU227" s="240"/>
      <c r="CV227" s="75"/>
      <c r="CW227" s="240"/>
      <c r="CX227" s="75"/>
      <c r="CY227" s="240"/>
      <c r="CZ227" s="75"/>
      <c r="DA227" s="240"/>
      <c r="DB227" s="75"/>
      <c r="DC227" s="240"/>
      <c r="DD227" s="75"/>
      <c r="DE227" s="240"/>
      <c r="DF227" s="75"/>
      <c r="DG227" s="240"/>
      <c r="DH227" s="75"/>
      <c r="DI227" s="240"/>
      <c r="DJ227" s="75"/>
      <c r="DK227" s="240"/>
      <c r="DL227" s="75"/>
      <c r="DM227" s="240"/>
      <c r="DN227" s="75"/>
      <c r="DO227" s="240"/>
      <c r="DP227" s="75"/>
      <c r="DQ227" s="240"/>
      <c r="DR227" s="75"/>
      <c r="DS227" s="240"/>
      <c r="DT227" s="75"/>
      <c r="DU227" s="240"/>
      <c r="DV227" s="75"/>
      <c r="DW227" s="240"/>
      <c r="DX227" s="75"/>
      <c r="DY227" s="240"/>
      <c r="DZ227" s="75"/>
      <c r="EA227" s="240"/>
      <c r="EB227" s="155"/>
      <c r="EC227" s="75"/>
      <c r="ED227" s="155"/>
      <c r="EE227" s="75"/>
      <c r="EF227" s="155"/>
      <c r="EG227" s="75"/>
      <c r="EH227" s="155"/>
      <c r="EI227" s="75"/>
      <c r="EJ227" s="240"/>
      <c r="EK227" s="75"/>
      <c r="EL227" s="240"/>
      <c r="EM227" s="75"/>
      <c r="EN227" s="240"/>
      <c r="EO227" s="75"/>
      <c r="EP227" s="240"/>
      <c r="EQ227" s="75"/>
      <c r="ER227" s="240"/>
      <c r="ES227" s="75"/>
      <c r="ET227" s="240"/>
      <c r="EU227" s="75"/>
      <c r="EV227" s="240"/>
      <c r="EW227" s="75"/>
      <c r="EX227" s="240"/>
      <c r="EY227" s="75"/>
      <c r="EZ227" s="240"/>
      <c r="FA227" s="75"/>
      <c r="FB227" s="240"/>
      <c r="FC227" s="75"/>
      <c r="FD227" s="240"/>
      <c r="FE227" s="75"/>
      <c r="FF227" s="240"/>
      <c r="FG227" s="75"/>
      <c r="FH227" s="240"/>
      <c r="FI227" s="75"/>
      <c r="FJ227" s="240"/>
      <c r="FK227" s="75"/>
      <c r="FL227" s="240"/>
      <c r="FM227" s="75"/>
      <c r="FN227" s="240"/>
      <c r="FO227" s="75"/>
      <c r="FP227" s="240"/>
      <c r="FQ227" s="75"/>
      <c r="FR227" s="240"/>
      <c r="FS227" s="240"/>
    </row>
    <row r="228" spans="1:175" ht="12.75" hidden="1" customHeight="1" outlineLevel="1" x14ac:dyDescent="0.2">
      <c r="A228" s="246" t="str">
        <f>+INPUT!B193</f>
        <v>Policy Charges/Avg Assets (%)</v>
      </c>
      <c r="B228" s="73">
        <f>+INPUT!AA193</f>
        <v>0</v>
      </c>
      <c r="C228" s="155">
        <f>+INPUT!AB193</f>
        <v>0</v>
      </c>
      <c r="D228" s="73">
        <f>+INPUT!AC193</f>
        <v>0</v>
      </c>
      <c r="E228" s="155">
        <f>+INPUT!AD193</f>
        <v>0</v>
      </c>
      <c r="F228" s="73">
        <f>+INPUT!AE193</f>
        <v>0</v>
      </c>
      <c r="G228" s="155">
        <f>+INPUT!AF193</f>
        <v>0</v>
      </c>
      <c r="H228" s="73">
        <f>+INPUT!AG193</f>
        <v>0</v>
      </c>
      <c r="I228" s="155">
        <f>+INPUT!AH193</f>
        <v>0</v>
      </c>
      <c r="J228" s="73">
        <f>+INPUT!AI193</f>
        <v>0.1981124288033459</v>
      </c>
      <c r="K228" s="155" t="str">
        <f>+INPUT!AJ193</f>
        <v>NA</v>
      </c>
      <c r="L228" s="73">
        <f>+INPUT!AK193</f>
        <v>0.29837954512990622</v>
      </c>
      <c r="M228" s="155" t="str">
        <f>+INPUT!AL193</f>
        <v>NA</v>
      </c>
      <c r="N228" s="73">
        <f>+INPUT!AM193</f>
        <v>0.27278205982174009</v>
      </c>
      <c r="O228" s="155" t="str">
        <f>+INPUT!AN193</f>
        <v>NA</v>
      </c>
      <c r="P228" s="73">
        <f>+INPUT!AO193</f>
        <v>0.2857772609465612</v>
      </c>
      <c r="Q228" s="155" t="str">
        <f>+INPUT!AP193</f>
        <v>NA</v>
      </c>
      <c r="R228" s="73">
        <f>+INPUT!AQ193</f>
        <v>0.13981975409960637</v>
      </c>
      <c r="S228" s="155">
        <f>+INPUT!AR193</f>
        <v>-29.424037177194535</v>
      </c>
      <c r="T228" s="73">
        <f>+INPUT!AS193</f>
        <v>0.14459573442583443</v>
      </c>
      <c r="U228" s="155" t="str">
        <f>+INPUT!AT193</f>
        <v>NM</v>
      </c>
      <c r="V228" s="73">
        <f>+INPUT!AU193</f>
        <v>0.13569471638698069</v>
      </c>
      <c r="W228" s="155" t="str">
        <f>+INPUT!AV193</f>
        <v>NM</v>
      </c>
      <c r="X228" s="73">
        <f>+INPUT!AW193</f>
        <v>0.14028985930826871</v>
      </c>
      <c r="Y228" s="155" t="str">
        <f>+INPUT!AX193</f>
        <v>NM</v>
      </c>
      <c r="Z228" s="73">
        <f>+INPUT!AY193</f>
        <v>0.13936574070713598</v>
      </c>
      <c r="AA228" s="155">
        <f>+INPUT!AZ193</f>
        <v>-0.32471333925172985</v>
      </c>
      <c r="AB228" s="73">
        <f>+INPUT!BA193</f>
        <v>0.12395547692230081</v>
      </c>
      <c r="AC228" s="155">
        <f>+INPUT!BB193</f>
        <v>-14.274458085152119</v>
      </c>
      <c r="AD228" s="73">
        <f>+INPUT!BC193</f>
        <v>0.12798543810126492</v>
      </c>
      <c r="AE228" s="155">
        <f>+INPUT!BD193</f>
        <v>-5.6813400631827733</v>
      </c>
      <c r="AF228" s="73">
        <f>+INPUT!BE193</f>
        <v>0.11840388805325422</v>
      </c>
      <c r="AG228" s="155">
        <f>+INPUT!BF193</f>
        <v>-15.600536890498205</v>
      </c>
      <c r="AH228" s="73">
        <f>+INPUT!BG193</f>
        <v>0.11815331735578247</v>
      </c>
      <c r="AI228" s="240">
        <f>+INPUT!BH193</f>
        <v>-15.220687124197497</v>
      </c>
      <c r="AJ228" s="73">
        <f>+INPUT!BI193</f>
        <v>0.11534252141373232</v>
      </c>
      <c r="AK228" s="240">
        <f>+INPUT!BJ193</f>
        <v>-6.9484267435535543</v>
      </c>
      <c r="AL228" s="73">
        <f>+INPUT!BK193</f>
        <v>0.10250266667093762</v>
      </c>
      <c r="AM228" s="240">
        <f>+INPUT!BL193</f>
        <v>-19.910680315181466</v>
      </c>
      <c r="AN228" s="73">
        <f>+INPUT!BM193</f>
        <v>0.10965356327353268</v>
      </c>
      <c r="AO228" s="240">
        <f>+INPUT!BN193</f>
        <v>-7.3902343272595346</v>
      </c>
      <c r="AP228" s="73">
        <f>+INPUT!BO193</f>
        <v>0.10666335927568137</v>
      </c>
      <c r="AQ228" s="240">
        <f>+INPUT!BP193</f>
        <v>-9.7246174184873837</v>
      </c>
      <c r="AR228" s="73">
        <f>+INPUT!BQ193</f>
        <v>0.11603086168679864</v>
      </c>
      <c r="AS228" s="240">
        <f>+INPUT!BR193</f>
        <v>0.5967792836756729</v>
      </c>
      <c r="AT228" s="73">
        <f>+INPUT!BS193</f>
        <v>0.11652974421721145</v>
      </c>
      <c r="AU228" s="240">
        <f>+INPUT!BT193</f>
        <v>13.684597681058094</v>
      </c>
      <c r="AV228" s="73">
        <f>+INPUT!BU193</f>
        <v>0.12236768163121439</v>
      </c>
      <c r="AW228" s="240">
        <f>+INPUT!BV193</f>
        <v>11.594806386698181</v>
      </c>
      <c r="AX228" s="73">
        <f>+INPUT!BW193</f>
        <v>0.13005195442873352</v>
      </c>
      <c r="AY228" s="240">
        <f>+INPUT!BX193</f>
        <v>21.927487857008288</v>
      </c>
      <c r="AZ228" s="73">
        <f>+INPUT!BY193</f>
        <v>0.12579665868670856</v>
      </c>
      <c r="BA228" s="240">
        <f>+INPUT!BZ193</f>
        <v>8.4165513019033256</v>
      </c>
      <c r="BB228" s="73">
        <f>+INPUT!CA193</f>
        <v>0.11555197130459378</v>
      </c>
      <c r="BC228" s="240">
        <f>+INPUT!CB193</f>
        <v>-0.83907582496284761</v>
      </c>
      <c r="BD228" s="73">
        <f>+INPUT!CC193</f>
        <v>0.11880758312246892</v>
      </c>
      <c r="BE228" s="240">
        <f>+INPUT!CD193</f>
        <v>-2.9093453935612814</v>
      </c>
      <c r="BF228" s="73">
        <f>+INPUT!CE193</f>
        <v>0.11707273972300149</v>
      </c>
      <c r="BG228" s="240">
        <f>+INPUT!CF193</f>
        <v>-9.9800228014600378</v>
      </c>
      <c r="BH228" s="73">
        <f>+INPUT!CG193</f>
        <v>0.10518934081346423</v>
      </c>
      <c r="BI228" s="240">
        <f>+INPUT!CH193</f>
        <v>-16.381450897329486</v>
      </c>
      <c r="BJ228" s="73">
        <f>+INPUT!CI193</f>
        <v>0.10653853632031876</v>
      </c>
      <c r="BK228" s="240">
        <f>+INPUT!CJ193</f>
        <v>-7.8003299143341422</v>
      </c>
      <c r="BL228" s="73">
        <f>+INPUT!CK193</f>
        <v>0.10004852353391394</v>
      </c>
      <c r="BM228" s="240">
        <f>+INPUT!CL193</f>
        <v>-15.789446343014831</v>
      </c>
      <c r="BN228" s="73">
        <f>+INPUT!CM193</f>
        <v>9.3252292650434734E-2</v>
      </c>
      <c r="BO228" s="240">
        <f>+INPUT!CN193</f>
        <v>-20.346706781550367</v>
      </c>
      <c r="BP228" s="73">
        <f>+INPUT!CO193</f>
        <v>8.2648422792598375E-2</v>
      </c>
      <c r="BQ228" s="240">
        <f>+INPUT!CP193</f>
        <v>-21.428899398503148</v>
      </c>
      <c r="BR228" s="73">
        <f>+INPUT!CQ193</f>
        <v>9.1864903472952675E-2</v>
      </c>
      <c r="BS228" s="240">
        <f>+INPUT!CR193</f>
        <v>-13.773075315441105</v>
      </c>
      <c r="BT228" s="73">
        <f>+INPUT!CS193</f>
        <v>8.8242577043423448E-2</v>
      </c>
      <c r="BU228" s="240">
        <f>+INPUT!CT193</f>
        <v>-11.800220606442608</v>
      </c>
      <c r="BV228" s="73">
        <f>+INPUT!CU193</f>
        <v>8.5221885832500635E-2</v>
      </c>
      <c r="BW228" s="240">
        <f>+INPUT!CV193</f>
        <v>-8.611484596992014</v>
      </c>
      <c r="BX228" s="73">
        <f>+INPUT!CW193</f>
        <v>8.2526635471598456E-2</v>
      </c>
      <c r="BY228" s="240">
        <f>+INPUT!CX193</f>
        <v>-0.14735589244762082</v>
      </c>
      <c r="BZ228" s="73">
        <f>+INPUT!CY193</f>
        <v>8.5410170256311091E-2</v>
      </c>
      <c r="CA228" s="240">
        <f>+INPUT!CZ193</f>
        <v>-7.0263321166412709</v>
      </c>
      <c r="CB228" s="73">
        <f>+INPUT!DA193</f>
        <v>7.2402201617967565E-2</v>
      </c>
      <c r="CC228" s="240">
        <f>+INPUT!DB193</f>
        <v>-17.950943814413947</v>
      </c>
      <c r="CD228" s="73">
        <f>+INPUT!DC193</f>
        <v>6.5169687270357463E-2</v>
      </c>
      <c r="CE228" s="240">
        <f>+INPUT!DD193</f>
        <v>-23.529400184308017</v>
      </c>
      <c r="CF228" s="73">
        <f>+INPUT!DE193</f>
        <v>7.1852701960979995E-2</v>
      </c>
      <c r="CG228" s="240">
        <f>+INPUT!DF193</f>
        <v>-12.933925452821711</v>
      </c>
      <c r="CH228" s="73">
        <f>+INPUT!DG193</f>
        <v>6.771902465070169E-2</v>
      </c>
      <c r="CI228" s="240">
        <f>+INPUT!DH193</f>
        <v>-20.713160449767599</v>
      </c>
      <c r="CJ228" s="73">
        <f>+INPUT!DI193</f>
        <v>6.6732979942332626E-2</v>
      </c>
      <c r="CK228" s="240">
        <f>+INPUT!DJ193</f>
        <v>-7.8301785704649802</v>
      </c>
      <c r="CL228" s="73">
        <f>+INPUT!DK193</f>
        <v>6.5159094227119393E-2</v>
      </c>
      <c r="CM228" s="240">
        <f>+INPUT!DL193</f>
        <v>-1.6254555885964805E-2</v>
      </c>
      <c r="CN228" s="73">
        <f>+INPUT!DM193</f>
        <v>6.6832837403301246E-2</v>
      </c>
      <c r="CO228" s="240">
        <f>+INPUT!DN193</f>
        <v>-6.9863267778083156</v>
      </c>
      <c r="CP228" s="73">
        <f>+INPUT!DO193</f>
        <v>6.1752758848194533E-2</v>
      </c>
      <c r="CQ228" s="240">
        <f>+INPUT!DP193</f>
        <v>-8.8103244742248847</v>
      </c>
      <c r="CR228" s="73">
        <f>+INPUT!DQ193</f>
        <v>6.2231038285979402E-2</v>
      </c>
      <c r="CS228" s="240">
        <f>+INPUT!DR193</f>
        <v>-6.7462020431930085</v>
      </c>
      <c r="CT228" s="73">
        <f>+INPUT!DS193</f>
        <v>5.5959248500209849E-2</v>
      </c>
      <c r="CU228" s="240">
        <f>+INPUT!DT193</f>
        <v>-14.119050972136662</v>
      </c>
      <c r="CV228" s="73">
        <f>+INPUT!DU193</f>
        <v>6.2883705801835013E-2</v>
      </c>
      <c r="CW228" s="240">
        <f>+INPUT!DV193</f>
        <v>-5.9089689363856905</v>
      </c>
      <c r="CX228" s="73">
        <f>+INPUT!DW193</f>
        <v>5.8474624449431634E-2</v>
      </c>
      <c r="CY228" s="240">
        <f>+INPUT!DX193</f>
        <v>-5.3084825033023435</v>
      </c>
      <c r="CZ228" s="73">
        <f>+INPUT!DY193</f>
        <v>5.876735473444502E-2</v>
      </c>
      <c r="DA228" s="240">
        <f>+INPUT!DZ193</f>
        <v>-5.5658456727287984</v>
      </c>
      <c r="DB228" s="73">
        <f>+INPUT!EA193</f>
        <v>6.1011213722420334E-2</v>
      </c>
      <c r="DC228" s="240">
        <f>+INPUT!EB193</f>
        <v>9.0279361456963443</v>
      </c>
      <c r="DD228" s="73">
        <f>+INPUT!EC193</f>
        <v>6.0000455360598726E-2</v>
      </c>
      <c r="DE228" s="240">
        <f>+INPUT!ED193</f>
        <v>-4.5850517307651302</v>
      </c>
      <c r="DF228" s="73">
        <f>+INPUT!EE193</f>
        <v>5.8824379028583659E-2</v>
      </c>
      <c r="DG228" s="240">
        <f>+INPUT!EF193</f>
        <v>0.59813052660902599</v>
      </c>
      <c r="DH228" s="73">
        <f>+INPUT!EG193</f>
        <v>6.3140625040433301E-2</v>
      </c>
      <c r="DI228" s="240">
        <f>+INPUT!EH193</f>
        <v>7.441666084427311</v>
      </c>
      <c r="DJ228" s="73">
        <f>+INPUT!EI193</f>
        <v>5.9358341446066422E-2</v>
      </c>
      <c r="DK228" s="240">
        <f>+INPUT!EJ193</f>
        <v>-2.7091286593213937</v>
      </c>
      <c r="DL228" s="73">
        <f>+INPUT!EK193</f>
        <v>5.9232784844438641E-2</v>
      </c>
      <c r="DM228" s="240">
        <f>+INPUT!EL193</f>
        <v>-1.2794411501486707</v>
      </c>
      <c r="DN228" s="73">
        <f>+INPUT!EM193</f>
        <v>5.9717711441081379E-2</v>
      </c>
      <c r="DO228" s="240">
        <f>+INPUT!EN193</f>
        <v>1.5186431667449227</v>
      </c>
      <c r="DP228" s="73">
        <f>+INPUT!EO193</f>
        <v>5.6808431318014781E-2</v>
      </c>
      <c r="DQ228" s="240">
        <f>+INPUT!EP193</f>
        <v>-10.0287156143348</v>
      </c>
      <c r="DR228" s="73">
        <f>+INPUT!EQ193</f>
        <v>5.6808431318014781E-2</v>
      </c>
      <c r="DS228" s="240">
        <f>+INPUT!ER193</f>
        <v>-4.2957907278600658</v>
      </c>
      <c r="DT228" s="73">
        <f>+INPUT!ES193</f>
        <v>5.6808431318014781E-2</v>
      </c>
      <c r="DU228" s="240">
        <f>+INPUT!ET193</f>
        <v>-4.0929251136695228</v>
      </c>
      <c r="DV228" s="73">
        <f>+INPUT!EU193</f>
        <v>5.6808431318014781E-2</v>
      </c>
      <c r="DW228" s="240">
        <f>+INPUT!EV193</f>
        <v>-4.8717207221461507</v>
      </c>
      <c r="DX228" s="73">
        <f>+INPUT!EW193</f>
        <v>5.6808431318014781E-2</v>
      </c>
      <c r="DY228" s="240">
        <f>+INPUT!EX193</f>
        <v>0</v>
      </c>
      <c r="DZ228" s="73"/>
      <c r="EA228" s="240"/>
      <c r="EB228" s="155">
        <f>+INPUT!FI193</f>
        <v>2.5049510919703124</v>
      </c>
      <c r="EC228" s="73">
        <f>+INPUT!FJ193</f>
        <v>0.10499386303476628</v>
      </c>
      <c r="ED228" s="155">
        <f>+INPUT!FK193</f>
        <v>-11.25</v>
      </c>
      <c r="EE228" s="73">
        <f>+INPUT!FL193</f>
        <v>0.10647264983807284</v>
      </c>
      <c r="EF228" s="155">
        <f>+INPUT!FM193</f>
        <v>1.4084507042253449</v>
      </c>
      <c r="EG228" s="73">
        <f>+INPUT!FN193</f>
        <v>0.15212633355906918</v>
      </c>
      <c r="EH228" s="155">
        <f>+INPUT!FO193</f>
        <v>42.878320198124129</v>
      </c>
      <c r="EI228" s="73">
        <f>+INPUT!FP193</f>
        <v>0.14027966392574132</v>
      </c>
      <c r="EJ228" s="240">
        <f>+INPUT!FQ193</f>
        <v>-7.7873891759364113</v>
      </c>
      <c r="EK228" s="73">
        <f>+INPUT!FR193</f>
        <v>0.12598358694275136</v>
      </c>
      <c r="EL228" s="240">
        <f>+INPUT!FS193</f>
        <v>-10.19112577184228</v>
      </c>
      <c r="EM228" s="73">
        <f>+INPUT!FT193</f>
        <v>0.11043976859015932</v>
      </c>
      <c r="EN228" s="240">
        <f>+INPUT!FU193</f>
        <v>-12.337970945100466</v>
      </c>
      <c r="EO228" s="73">
        <f>+INPUT!FV193</f>
        <v>0.11464530017961097</v>
      </c>
      <c r="EP228" s="240">
        <f>+INPUT!FW193</f>
        <v>3.8079866004231917</v>
      </c>
      <c r="EQ228" s="73">
        <f>+INPUT!FX193</f>
        <v>0.12055455093429776</v>
      </c>
      <c r="ER228" s="240">
        <f>+INPUT!FY193</f>
        <v>5.1543767999464194</v>
      </c>
      <c r="ES228" s="73">
        <f>+INPUT!FZ193</f>
        <v>0.1047559733054679</v>
      </c>
      <c r="ET228" s="240">
        <f>+INPUT!GA193</f>
        <v>-13.104920143114356</v>
      </c>
      <c r="EU228" s="73">
        <f>+INPUT!GB193</f>
        <v>8.8732572440030813E-2</v>
      </c>
      <c r="EV228" s="240">
        <f>+INPUT!GC193</f>
        <v>-15.295930494305026</v>
      </c>
      <c r="EW228" s="73">
        <f>+INPUT!GD193</f>
        <v>7.7788196603890566E-2</v>
      </c>
      <c r="EX228" s="240">
        <f>+INPUT!GE193</f>
        <v>-12.334113094193128</v>
      </c>
      <c r="EY228" s="73">
        <f>+INPUT!GF193</f>
        <v>6.756492107633856E-2</v>
      </c>
      <c r="EZ228" s="240">
        <f>+INPUT!GG193</f>
        <v>-13.142450878004666</v>
      </c>
      <c r="FA228" s="73">
        <f>+INPUT!GH193</f>
        <v>6.3197042261929903E-2</v>
      </c>
      <c r="FB228" s="240">
        <f>+INPUT!GI193</f>
        <v>-6.4647138556908601</v>
      </c>
      <c r="FC228" s="73">
        <f>+INPUT!GJ193</f>
        <v>5.9227962148692206E-2</v>
      </c>
      <c r="FD228" s="240">
        <f>+INPUT!GK193</f>
        <v>-6.280483977062147</v>
      </c>
      <c r="FE228" s="73">
        <f>+INPUT!GL193</f>
        <v>6.038911247869496E-2</v>
      </c>
      <c r="FF228" s="240">
        <f>+INPUT!GM193</f>
        <v>1.9604765855149253</v>
      </c>
      <c r="FG228" s="73">
        <f>+INPUT!GN193</f>
        <v>5.838441970057133E-2</v>
      </c>
      <c r="FH228" s="240">
        <f>+INPUT!GO193</f>
        <v>-3.3196261641216864</v>
      </c>
      <c r="FI228" s="73">
        <f>+INPUT!GP193</f>
        <v>5.6512324740692302E-2</v>
      </c>
      <c r="FJ228" s="240">
        <f>+INPUT!GQ193</f>
        <v>-3.2064975030670837</v>
      </c>
      <c r="FK228" s="73">
        <f>+INPUT!GR193</f>
        <v>5.6512324740692302E-2</v>
      </c>
      <c r="FL228" s="240">
        <f>+INPUT!GS193</f>
        <v>0</v>
      </c>
      <c r="FM228" s="73">
        <f>+INPUT!GT193</f>
        <v>5.6512324740692302E-2</v>
      </c>
      <c r="FN228" s="240">
        <f>+INPUT!GU193</f>
        <v>0</v>
      </c>
      <c r="FO228" s="73">
        <f>+INPUT!GV193</f>
        <v>5.6512324740692302E-2</v>
      </c>
      <c r="FP228" s="240">
        <f>+INPUT!GW193</f>
        <v>0</v>
      </c>
      <c r="FQ228" s="73">
        <f>+INPUT!GX193</f>
        <v>5.6512324740692302E-2</v>
      </c>
      <c r="FR228" s="240">
        <f>+INPUT!GY193</f>
        <v>0</v>
      </c>
      <c r="FS228" s="240">
        <f>+INPUT!GZ193</f>
        <v>-0.64968668880249769</v>
      </c>
    </row>
    <row r="229" spans="1:175" ht="12.75" hidden="1" customHeight="1" outlineLevel="1" x14ac:dyDescent="0.2">
      <c r="A229" s="246" t="str">
        <f>+INPUT!B194</f>
        <v>Commissions &amp; Fees/Fee-based Assets (%)</v>
      </c>
      <c r="B229" s="73">
        <f>+INPUT!AA194</f>
        <v>0</v>
      </c>
      <c r="C229" s="155">
        <f>+INPUT!AB194</f>
        <v>0</v>
      </c>
      <c r="D229" s="73">
        <f>+INPUT!AC194</f>
        <v>0</v>
      </c>
      <c r="E229" s="155">
        <f>+INPUT!AD194</f>
        <v>0</v>
      </c>
      <c r="F229" s="73">
        <f>+INPUT!AE194</f>
        <v>0</v>
      </c>
      <c r="G229" s="155">
        <f>+INPUT!AF194</f>
        <v>0</v>
      </c>
      <c r="H229" s="73">
        <f>+INPUT!AG194</f>
        <v>0</v>
      </c>
      <c r="I229" s="155">
        <f>+INPUT!AH194</f>
        <v>0</v>
      </c>
      <c r="J229" s="73">
        <f>+INPUT!AI194</f>
        <v>0.24766118741458332</v>
      </c>
      <c r="K229" s="155" t="str">
        <f>+INPUT!AJ194</f>
        <v>NA</v>
      </c>
      <c r="L229" s="73">
        <f>+INPUT!AK194</f>
        <v>0.2772073547488173</v>
      </c>
      <c r="M229" s="155" t="str">
        <f>+INPUT!AL194</f>
        <v>NA</v>
      </c>
      <c r="N229" s="73">
        <f>+INPUT!AM194</f>
        <v>0.27157917685348115</v>
      </c>
      <c r="O229" s="155" t="str">
        <f>+INPUT!AN194</f>
        <v>NA</v>
      </c>
      <c r="P229" s="73">
        <f>+INPUT!AO194</f>
        <v>0.28922196279279955</v>
      </c>
      <c r="Q229" s="155" t="str">
        <f>+INPUT!AP194</f>
        <v>NA</v>
      </c>
      <c r="R229" s="73">
        <f>+INPUT!AQ194</f>
        <v>0.27169379632498392</v>
      </c>
      <c r="S229" s="155">
        <f>+INPUT!AR194</f>
        <v>9.703825278916284</v>
      </c>
      <c r="T229" s="73">
        <f>+INPUT!AS194</f>
        <v>0.2682984231583902</v>
      </c>
      <c r="U229" s="155">
        <f>+INPUT!AT194</f>
        <v>-3.2138150152977119</v>
      </c>
      <c r="V229" s="73">
        <f>+INPUT!AU194</f>
        <v>0.27630144259038314</v>
      </c>
      <c r="W229" s="155">
        <f>+INPUT!AV194</f>
        <v>1.7388173097857589</v>
      </c>
      <c r="X229" s="73">
        <f>+INPUT!AW194</f>
        <v>0.26704989080375224</v>
      </c>
      <c r="Y229" s="155">
        <f>+INPUT!AX194</f>
        <v>-7.6661093697547074</v>
      </c>
      <c r="Z229" s="73">
        <f>+INPUT!AY194</f>
        <v>0.254982181471478</v>
      </c>
      <c r="AA229" s="155">
        <f>+INPUT!AZ194</f>
        <v>-6.1509004178794271</v>
      </c>
      <c r="AB229" s="73">
        <f>+INPUT!BA194</f>
        <v>0.26196226106176579</v>
      </c>
      <c r="AC229" s="155">
        <f>+INPUT!BB194</f>
        <v>-2.361609890224301</v>
      </c>
      <c r="AD229" s="73">
        <f>+INPUT!BC194</f>
        <v>0.25186409026206247</v>
      </c>
      <c r="AE229" s="155">
        <f>+INPUT!BD194</f>
        <v>-8.8444533981492981</v>
      </c>
      <c r="AF229" s="73">
        <f>+INPUT!BE194</f>
        <v>0.26552298174010902</v>
      </c>
      <c r="AG229" s="155">
        <f>+INPUT!BF194</f>
        <v>-0.57176921475145548</v>
      </c>
      <c r="AH229" s="73">
        <f>+INPUT!BG194</f>
        <v>0.26053763658029205</v>
      </c>
      <c r="AI229" s="240">
        <f>+INPUT!BH194</f>
        <v>2.1787620910426142</v>
      </c>
      <c r="AJ229" s="73">
        <f>+INPUT!BI194</f>
        <v>0.24486404943921758</v>
      </c>
      <c r="AK229" s="240">
        <f>+INPUT!BJ194</f>
        <v>-6.5269751273511787</v>
      </c>
      <c r="AL229" s="73">
        <f>+INPUT!BK194</f>
        <v>0.25283008107671401</v>
      </c>
      <c r="AM229" s="240">
        <f>+INPUT!BL194</f>
        <v>0.38353653895100592</v>
      </c>
      <c r="AN229" s="73">
        <f>+INPUT!BM194</f>
        <v>0.25871992437417596</v>
      </c>
      <c r="AO229" s="240">
        <f>+INPUT!BN194</f>
        <v>-2.5621350443374524</v>
      </c>
      <c r="AP229" s="73">
        <f>+INPUT!BO194</f>
        <v>0.24182457565324941</v>
      </c>
      <c r="AQ229" s="240">
        <f>+INPUT!BP194</f>
        <v>-7.1824789587648326</v>
      </c>
      <c r="AR229" s="73">
        <f>+INPUT!BQ194</f>
        <v>0.2580578806996548</v>
      </c>
      <c r="AS229" s="240">
        <f>+INPUT!BR194</f>
        <v>5.388227177755752</v>
      </c>
      <c r="AT229" s="73">
        <f>+INPUT!BS194</f>
        <v>0.26058887207143661</v>
      </c>
      <c r="AU229" s="240">
        <f>+INPUT!BT194</f>
        <v>3.0687768487359648</v>
      </c>
      <c r="AV229" s="73">
        <f>+INPUT!BU194</f>
        <v>0.21617456095797358</v>
      </c>
      <c r="AW229" s="240">
        <f>+INPUT!BV194</f>
        <v>-16.444563950424936</v>
      </c>
      <c r="AX229" s="73">
        <f>+INPUT!BW194</f>
        <v>0.22648105067513508</v>
      </c>
      <c r="AY229" s="240">
        <f>+INPUT!BX194</f>
        <v>-6.3448989568848901</v>
      </c>
      <c r="AZ229" s="73">
        <f>+INPUT!BY194</f>
        <v>0.21516796204216465</v>
      </c>
      <c r="BA229" s="240">
        <f>+INPUT!BZ194</f>
        <v>-16.620270824981446</v>
      </c>
      <c r="BB229" s="73">
        <f>+INPUT!CA194</f>
        <v>0.24694572653700614</v>
      </c>
      <c r="BC229" s="240">
        <f>+INPUT!CB194</f>
        <v>-5.2355058088168818</v>
      </c>
      <c r="BD229" s="73">
        <f>+INPUT!CC194</f>
        <v>0.27316784846373038</v>
      </c>
      <c r="BE229" s="240">
        <f>+INPUT!CD194</f>
        <v>26.364474734303656</v>
      </c>
      <c r="BF229" s="73">
        <f>+INPUT!CE194</f>
        <v>0.26164613898796812</v>
      </c>
      <c r="BG229" s="240">
        <f>+INPUT!CF194</f>
        <v>15.526724292388565</v>
      </c>
      <c r="BH229" s="73">
        <f>+INPUT!CG194</f>
        <v>0.26683771648492621</v>
      </c>
      <c r="BI229" s="240">
        <f>+INPUT!CH194</f>
        <v>24.013683985460759</v>
      </c>
      <c r="BJ229" s="73">
        <f>+INPUT!CI194</f>
        <v>0.24109093648760643</v>
      </c>
      <c r="BK229" s="240">
        <f>+INPUT!CJ194</f>
        <v>-2.3708812991029049</v>
      </c>
      <c r="BL229" s="73">
        <f>+INPUT!CK194</f>
        <v>0.25608606780915866</v>
      </c>
      <c r="BM229" s="240">
        <f>+INPUT!CL194</f>
        <v>-6.2532178477950424</v>
      </c>
      <c r="BN229" s="73">
        <f>+INPUT!CM194</f>
        <v>0.2485998991789298</v>
      </c>
      <c r="BO229" s="240">
        <f>+INPUT!CN194</f>
        <v>-4.9862152980741143</v>
      </c>
      <c r="BP229" s="73">
        <f>+INPUT!CO194</f>
        <v>0.25268175586503377</v>
      </c>
      <c r="BQ229" s="240">
        <f>+INPUT!CP194</f>
        <v>-5.3050823573106527</v>
      </c>
      <c r="BR229" s="73">
        <f>+INPUT!CQ194</f>
        <v>0.25201484411133812</v>
      </c>
      <c r="BS229" s="240">
        <f>+INPUT!CR194</f>
        <v>4.5310320590559598</v>
      </c>
      <c r="BT229" s="73">
        <f>+INPUT!CS194</f>
        <v>0.26353513560475522</v>
      </c>
      <c r="BU229" s="240">
        <f>+INPUT!CT194</f>
        <v>2.9088141574136017</v>
      </c>
      <c r="BV229" s="73">
        <f>+INPUT!CU194</f>
        <v>0.26186216559318187</v>
      </c>
      <c r="BW229" s="240">
        <f>+INPUT!CV194</f>
        <v>5.3347835047618162</v>
      </c>
      <c r="BX229" s="73">
        <f>+INPUT!CW194</f>
        <v>0.27075780783871767</v>
      </c>
      <c r="BY229" s="240">
        <f>+INPUT!CX194</f>
        <v>7.1536830634258024</v>
      </c>
      <c r="BZ229" s="73">
        <f>+INPUT!CY194</f>
        <v>0.28120375784241275</v>
      </c>
      <c r="CA229" s="240">
        <f>+INPUT!CZ194</f>
        <v>11.582220021206055</v>
      </c>
      <c r="CB229" s="73">
        <f>+INPUT!DA194</f>
        <v>0.27020226328170777</v>
      </c>
      <c r="CC229" s="240">
        <f>+INPUT!DB194</f>
        <v>2.5298818928462623</v>
      </c>
      <c r="CD229" s="73">
        <f>+INPUT!DC194</f>
        <v>0.26038588281015956</v>
      </c>
      <c r="CE229" s="240">
        <f>+INPUT!DD194</f>
        <v>-0.56376329878665388</v>
      </c>
      <c r="CF229" s="73">
        <f>+INPUT!DE194</f>
        <v>0.26048532864036189</v>
      </c>
      <c r="CG229" s="240">
        <f>+INPUT!DF194</f>
        <v>-3.7939733965030484</v>
      </c>
      <c r="CH229" s="73">
        <f>+INPUT!DG194</f>
        <v>0.26673600171298351</v>
      </c>
      <c r="CI229" s="240">
        <f>+INPUT!DH194</f>
        <v>-5.1449369810829495</v>
      </c>
      <c r="CJ229" s="73">
        <f>+INPUT!DI194</f>
        <v>0.26827241313951622</v>
      </c>
      <c r="CK229" s="240">
        <f>+INPUT!DJ194</f>
        <v>-0.71422426990535826</v>
      </c>
      <c r="CL229" s="73">
        <f>+INPUT!DK194</f>
        <v>0.25199448550184195</v>
      </c>
      <c r="CM229" s="240">
        <f>+INPUT!DL194</f>
        <v>-3.2226775191324606</v>
      </c>
      <c r="CN229" s="73">
        <f>+INPUT!DM194</f>
        <v>0.24568359107515619</v>
      </c>
      <c r="CO229" s="240">
        <f>+INPUT!DN194</f>
        <v>-5.682369000382991</v>
      </c>
      <c r="CP229" s="73">
        <f>+INPUT!DO194</f>
        <v>0.22345688913717432</v>
      </c>
      <c r="CQ229" s="240">
        <f>+INPUT!DP194</f>
        <v>-16.225448495092493</v>
      </c>
      <c r="CR229" s="73">
        <f>+INPUT!DQ194</f>
        <v>0.22697419123394028</v>
      </c>
      <c r="CS229" s="240">
        <f>+INPUT!DR194</f>
        <v>-15.394136662161614</v>
      </c>
      <c r="CT229" s="73">
        <f>+INPUT!DS194</f>
        <v>0.21586068436920189</v>
      </c>
      <c r="CU229" s="240">
        <f>+INPUT!DT194</f>
        <v>-14.339123755299781</v>
      </c>
      <c r="CV229" s="73">
        <f>+INPUT!DU194</f>
        <v>0.21946390375394598</v>
      </c>
      <c r="CW229" s="240">
        <f>+INPUT!DV194</f>
        <v>-10.672136143267892</v>
      </c>
      <c r="CX229" s="73">
        <f>+INPUT!DW194</f>
        <v>0.20906524128715218</v>
      </c>
      <c r="CY229" s="240">
        <f>+INPUT!DX194</f>
        <v>-6.4404583387838557</v>
      </c>
      <c r="CZ229" s="73">
        <f>+INPUT!DY194</f>
        <v>0.20335428095363572</v>
      </c>
      <c r="DA229" s="240">
        <f>+INPUT!DZ194</f>
        <v>-10.406429978622427</v>
      </c>
      <c r="DB229" s="73">
        <f>+INPUT!EA194</f>
        <v>0.19399115103975892</v>
      </c>
      <c r="DC229" s="240">
        <f>+INPUT!EB194</f>
        <v>-10.131318444278605</v>
      </c>
      <c r="DD229" s="73">
        <f>+INPUT!EC194</f>
        <v>0.20802769562753728</v>
      </c>
      <c r="DE229" s="240">
        <f>+INPUT!ED194</f>
        <v>-5.2109745296568235</v>
      </c>
      <c r="DF229" s="73">
        <f>+INPUT!EE194</f>
        <v>0.21321666760954699</v>
      </c>
      <c r="DG229" s="240">
        <f>+INPUT!EF194</f>
        <v>1.9857085265995238</v>
      </c>
      <c r="DH229" s="73">
        <f>+INPUT!EG194</f>
        <v>0.21066113475142234</v>
      </c>
      <c r="DI229" s="240">
        <f>+INPUT!EH194</f>
        <v>3.5931644829510816</v>
      </c>
      <c r="DJ229" s="73">
        <f>+INPUT!EI194</f>
        <v>0.21007143867760508</v>
      </c>
      <c r="DK229" s="240">
        <f>+INPUT!EJ194</f>
        <v>8.2891861570275864</v>
      </c>
      <c r="DL229" s="73">
        <f>+INPUT!EK194</f>
        <v>0.19752092516554665</v>
      </c>
      <c r="DM229" s="240">
        <f>+INPUT!EL194</f>
        <v>-5.0506594471932544</v>
      </c>
      <c r="DN229" s="73">
        <f>+INPUT!EM194</f>
        <v>0.18460612343862348</v>
      </c>
      <c r="DO229" s="240">
        <f>+INPUT!EN194</f>
        <v>-13.418530779834043</v>
      </c>
      <c r="DP229" s="73">
        <f>+INPUT!EO194</f>
        <v>0.17867765648791026</v>
      </c>
      <c r="DQ229" s="240">
        <f>+INPUT!EP194</f>
        <v>-15.182429498090471</v>
      </c>
      <c r="DR229" s="73">
        <f>+INPUT!EQ194</f>
        <v>0.17867765648791026</v>
      </c>
      <c r="DS229" s="240">
        <f>+INPUT!ER194</f>
        <v>-14.944336263567266</v>
      </c>
      <c r="DT229" s="73">
        <f>+INPUT!ES194</f>
        <v>0.17867765648791026</v>
      </c>
      <c r="DU229" s="240">
        <f>+INPUT!ET194</f>
        <v>-9.5398847802294426</v>
      </c>
      <c r="DV229" s="73">
        <f>+INPUT!EU194</f>
        <v>0.17867765648791026</v>
      </c>
      <c r="DW229" s="240">
        <f>+INPUT!EV194</f>
        <v>-3.2114140312817341</v>
      </c>
      <c r="DX229" s="73">
        <f>+INPUT!EW194</f>
        <v>0.17867765648791026</v>
      </c>
      <c r="DY229" s="240">
        <f>+INPUT!EX194</f>
        <v>0</v>
      </c>
      <c r="DZ229" s="73"/>
      <c r="EA229" s="240"/>
      <c r="EB229" s="155" t="str">
        <f>+INPUT!FI194</f>
        <v>NA</v>
      </c>
      <c r="EC229" s="73">
        <f>+INPUT!FJ194</f>
        <v>0.52599247485218459</v>
      </c>
      <c r="ED229" s="155">
        <f>+INPUT!FK194</f>
        <v>-6.1643835616438309</v>
      </c>
      <c r="EE229" s="73">
        <f>+INPUT!FL194</f>
        <v>0.52599247485218459</v>
      </c>
      <c r="EF229" s="155">
        <f>+INPUT!FM194</f>
        <v>0</v>
      </c>
      <c r="EG229" s="73">
        <f>+INPUT!FN194</f>
        <v>0.25651477243977172</v>
      </c>
      <c r="EH229" s="155" t="str">
        <f>+INPUT!FO194</f>
        <v>NM</v>
      </c>
      <c r="EI229" s="73">
        <f>+INPUT!FP194</f>
        <v>0.26758650722254373</v>
      </c>
      <c r="EJ229" s="240">
        <f>+INPUT!FQ194</f>
        <v>4.3162172211238357</v>
      </c>
      <c r="EK229" s="73">
        <f>+INPUT!FR194</f>
        <v>0.25270900374335065</v>
      </c>
      <c r="EL229" s="240">
        <f>+INPUT!FS194</f>
        <v>-5.559885523981194</v>
      </c>
      <c r="EM229" s="73">
        <f>+INPUT!FT194</f>
        <v>0.24469707792058176</v>
      </c>
      <c r="EN229" s="240">
        <f>+INPUT!FU194</f>
        <v>-3.1704156575702171</v>
      </c>
      <c r="EO229" s="73">
        <f>+INPUT!FV194</f>
        <v>0.25522233511421805</v>
      </c>
      <c r="EP229" s="240">
        <f>+INPUT!FW194</f>
        <v>4.3013415947093421</v>
      </c>
      <c r="EQ229" s="73">
        <f>+INPUT!FX194</f>
        <v>0.22975397526594021</v>
      </c>
      <c r="ER229" s="240">
        <f>+INPUT!FY194</f>
        <v>-9.9788914778481796</v>
      </c>
      <c r="ES229" s="73">
        <f>+INPUT!FZ194</f>
        <v>0.24641821314085091</v>
      </c>
      <c r="ET229" s="240">
        <f>+INPUT!GA194</f>
        <v>7.2530792364405556</v>
      </c>
      <c r="EU229" s="73">
        <f>+INPUT!GB194</f>
        <v>0.2573252823876927</v>
      </c>
      <c r="EV229" s="240">
        <f>+INPUT!GC194</f>
        <v>4.4262431367471038</v>
      </c>
      <c r="EW229" s="73">
        <f>+INPUT!GD194</f>
        <v>0.26956529175824645</v>
      </c>
      <c r="EX229" s="240">
        <f>+INPUT!GE194</f>
        <v>4.7566291415208184</v>
      </c>
      <c r="EY229" s="73">
        <f>+INPUT!GF194</f>
        <v>0.25534039655499763</v>
      </c>
      <c r="EZ229" s="240">
        <f>+INPUT!GG194</f>
        <v>-5.2769757970199294</v>
      </c>
      <c r="FA229" s="73">
        <f>+INPUT!GH194</f>
        <v>0.23550799487666818</v>
      </c>
      <c r="FB229" s="240">
        <f>+INPUT!GI194</f>
        <v>-7.7670442851598551</v>
      </c>
      <c r="FC229" s="73">
        <f>+INPUT!GJ194</f>
        <v>0.21142915725243283</v>
      </c>
      <c r="FD229" s="240">
        <f>+INPUT!GK194</f>
        <v>-10.224212403848568</v>
      </c>
      <c r="FE229" s="73">
        <f>+INPUT!GL194</f>
        <v>0.20216537679638111</v>
      </c>
      <c r="FF229" s="240">
        <f>+INPUT!GM194</f>
        <v>-4.381505643042118</v>
      </c>
      <c r="FG229" s="73">
        <f>+INPUT!GN194</f>
        <v>0.18640048530303865</v>
      </c>
      <c r="FH229" s="240">
        <f>+INPUT!GO194</f>
        <v>-7.7980175157394456</v>
      </c>
      <c r="FI229" s="73">
        <f>+INPUT!GP194</f>
        <v>0.17649281542428472</v>
      </c>
      <c r="FJ229" s="240">
        <f>+INPUT!GQ194</f>
        <v>-5.3152597015220522</v>
      </c>
      <c r="FK229" s="73">
        <f>+INPUT!GR194</f>
        <v>0.16649281542428471</v>
      </c>
      <c r="FL229" s="240">
        <f>+INPUT!GS194</f>
        <v>-5.6659530168184205</v>
      </c>
      <c r="FM229" s="73">
        <f>+INPUT!GT194</f>
        <v>0.1564928154242847</v>
      </c>
      <c r="FN229" s="240">
        <f>+INPUT!GU194</f>
        <v>-6.0062651799816962</v>
      </c>
      <c r="FO229" s="73">
        <f>+INPUT!GV194</f>
        <v>0.14649281542428469</v>
      </c>
      <c r="FP229" s="240">
        <f>+INPUT!GW194</f>
        <v>-6.3900697120745917</v>
      </c>
      <c r="FQ229" s="73">
        <f>+INPUT!GX194</f>
        <v>0.13649281542428468</v>
      </c>
      <c r="FR229" s="240">
        <f>+INPUT!GY194</f>
        <v>-6.8262733370487751</v>
      </c>
      <c r="FS229" s="240">
        <f>+INPUT!GZ194</f>
        <v>-6.042262451251279</v>
      </c>
    </row>
    <row r="230" spans="1:175" ht="12.75" hidden="1" customHeight="1" outlineLevel="1" x14ac:dyDescent="0.2">
      <c r="A230" s="77"/>
      <c r="B230" s="75"/>
      <c r="C230" s="155"/>
      <c r="D230" s="75"/>
      <c r="E230" s="155"/>
      <c r="F230" s="75"/>
      <c r="G230" s="155"/>
      <c r="H230" s="75"/>
      <c r="I230" s="155"/>
      <c r="J230" s="75"/>
      <c r="K230" s="155"/>
      <c r="L230" s="75"/>
      <c r="M230" s="155"/>
      <c r="N230" s="75"/>
      <c r="O230" s="155"/>
      <c r="P230" s="75"/>
      <c r="Q230" s="155"/>
      <c r="R230" s="75"/>
      <c r="S230" s="155"/>
      <c r="T230" s="75"/>
      <c r="U230" s="155"/>
      <c r="V230" s="75"/>
      <c r="W230" s="155"/>
      <c r="X230" s="75"/>
      <c r="Y230" s="155"/>
      <c r="Z230" s="75"/>
      <c r="AA230" s="155"/>
      <c r="AB230" s="75"/>
      <c r="AC230" s="155"/>
      <c r="AD230" s="75"/>
      <c r="AE230" s="155"/>
      <c r="AF230" s="75"/>
      <c r="AG230" s="155"/>
      <c r="AH230" s="75"/>
      <c r="AI230" s="240"/>
      <c r="AJ230" s="75"/>
      <c r="AK230" s="240"/>
      <c r="AL230" s="75"/>
      <c r="AM230" s="240"/>
      <c r="AN230" s="75"/>
      <c r="AO230" s="240"/>
      <c r="AP230" s="75"/>
      <c r="AQ230" s="240"/>
      <c r="AR230" s="75"/>
      <c r="AS230" s="240"/>
      <c r="AT230" s="75"/>
      <c r="AU230" s="240"/>
      <c r="AV230" s="75"/>
      <c r="AW230" s="240"/>
      <c r="AX230" s="75"/>
      <c r="AY230" s="240"/>
      <c r="AZ230" s="75"/>
      <c r="BA230" s="240"/>
      <c r="BB230" s="75"/>
      <c r="BC230" s="240"/>
      <c r="BD230" s="75"/>
      <c r="BE230" s="240"/>
      <c r="BF230" s="75"/>
      <c r="BG230" s="240"/>
      <c r="BH230" s="75"/>
      <c r="BI230" s="240"/>
      <c r="BJ230" s="75"/>
      <c r="BK230" s="240"/>
      <c r="BL230" s="75"/>
      <c r="BM230" s="240"/>
      <c r="BN230" s="75"/>
      <c r="BO230" s="240"/>
      <c r="BP230" s="75"/>
      <c r="BQ230" s="240"/>
      <c r="BR230" s="75"/>
      <c r="BS230" s="240"/>
      <c r="BT230" s="75"/>
      <c r="BU230" s="240"/>
      <c r="BV230" s="75"/>
      <c r="BW230" s="240"/>
      <c r="BX230" s="75"/>
      <c r="BY230" s="240"/>
      <c r="BZ230" s="75"/>
      <c r="CA230" s="240"/>
      <c r="CB230" s="75"/>
      <c r="CC230" s="240"/>
      <c r="CD230" s="75"/>
      <c r="CE230" s="240"/>
      <c r="CF230" s="75"/>
      <c r="CG230" s="240"/>
      <c r="CH230" s="75"/>
      <c r="CI230" s="240"/>
      <c r="CJ230" s="75"/>
      <c r="CK230" s="240"/>
      <c r="CL230" s="75"/>
      <c r="CM230" s="240"/>
      <c r="CN230" s="75"/>
      <c r="CO230" s="240"/>
      <c r="CP230" s="75"/>
      <c r="CQ230" s="240"/>
      <c r="CR230" s="75"/>
      <c r="CS230" s="240"/>
      <c r="CT230" s="75"/>
      <c r="CU230" s="240"/>
      <c r="CV230" s="75"/>
      <c r="CW230" s="240"/>
      <c r="CX230" s="75"/>
      <c r="CY230" s="240"/>
      <c r="CZ230" s="75"/>
      <c r="DA230" s="240"/>
      <c r="DB230" s="75"/>
      <c r="DC230" s="240"/>
      <c r="DD230" s="75"/>
      <c r="DE230" s="240"/>
      <c r="DF230" s="75"/>
      <c r="DG230" s="240"/>
      <c r="DH230" s="75"/>
      <c r="DI230" s="240"/>
      <c r="DJ230" s="75"/>
      <c r="DK230" s="240"/>
      <c r="DL230" s="75"/>
      <c r="DM230" s="240"/>
      <c r="DN230" s="75"/>
      <c r="DO230" s="240"/>
      <c r="DP230" s="75"/>
      <c r="DQ230" s="240"/>
      <c r="DR230" s="75"/>
      <c r="DS230" s="240"/>
      <c r="DT230" s="75"/>
      <c r="DU230" s="240"/>
      <c r="DV230" s="75"/>
      <c r="DW230" s="240"/>
      <c r="DX230" s="75"/>
      <c r="DY230" s="240"/>
      <c r="DZ230" s="75"/>
      <c r="EA230" s="240"/>
      <c r="EB230" s="155"/>
      <c r="EC230" s="75"/>
      <c r="ED230" s="155"/>
      <c r="EE230" s="75"/>
      <c r="EF230" s="155"/>
      <c r="EG230" s="75"/>
      <c r="EH230" s="155"/>
      <c r="EI230" s="75"/>
      <c r="EJ230" s="240"/>
      <c r="EK230" s="75"/>
      <c r="EL230" s="240"/>
      <c r="EM230" s="75"/>
      <c r="EN230" s="240"/>
      <c r="EO230" s="75"/>
      <c r="EP230" s="240"/>
      <c r="EQ230" s="75"/>
      <c r="ER230" s="240"/>
      <c r="ES230" s="75"/>
      <c r="ET230" s="240"/>
      <c r="EU230" s="75"/>
      <c r="EV230" s="240"/>
      <c r="EW230" s="75"/>
      <c r="EX230" s="240"/>
      <c r="EY230" s="75"/>
      <c r="EZ230" s="240"/>
      <c r="FA230" s="75"/>
      <c r="FB230" s="240"/>
      <c r="FC230" s="75"/>
      <c r="FD230" s="240"/>
      <c r="FE230" s="75"/>
      <c r="FF230" s="240"/>
      <c r="FG230" s="75"/>
      <c r="FH230" s="240"/>
      <c r="FI230" s="75"/>
      <c r="FJ230" s="240"/>
      <c r="FK230" s="75"/>
      <c r="FL230" s="240"/>
      <c r="FM230" s="75"/>
      <c r="FN230" s="240"/>
      <c r="FO230" s="75"/>
      <c r="FP230" s="240"/>
      <c r="FQ230" s="75"/>
      <c r="FR230" s="240"/>
      <c r="FS230" s="240"/>
    </row>
    <row r="231" spans="1:175" ht="12.75" hidden="1" customHeight="1" outlineLevel="1" x14ac:dyDescent="0.2">
      <c r="A231" s="514" t="s">
        <v>312</v>
      </c>
      <c r="B231" s="75"/>
      <c r="C231" s="155"/>
      <c r="D231" s="75"/>
      <c r="E231" s="155"/>
      <c r="F231" s="75"/>
      <c r="G231" s="155"/>
      <c r="H231" s="75"/>
      <c r="I231" s="155"/>
      <c r="J231" s="75"/>
      <c r="K231" s="155"/>
      <c r="L231" s="75"/>
      <c r="M231" s="155"/>
      <c r="N231" s="75"/>
      <c r="O231" s="155"/>
      <c r="P231" s="75"/>
      <c r="Q231" s="155"/>
      <c r="R231" s="75"/>
      <c r="S231" s="155"/>
      <c r="T231" s="75"/>
      <c r="U231" s="155"/>
      <c r="V231" s="75"/>
      <c r="W231" s="155"/>
      <c r="X231" s="75"/>
      <c r="Y231" s="155"/>
      <c r="Z231" s="75"/>
      <c r="AA231" s="155"/>
      <c r="AB231" s="75"/>
      <c r="AC231" s="155"/>
      <c r="AD231" s="75"/>
      <c r="AE231" s="155"/>
      <c r="AF231" s="75"/>
      <c r="AG231" s="155"/>
      <c r="AH231" s="75"/>
      <c r="AI231" s="240"/>
      <c r="AJ231" s="75"/>
      <c r="AK231" s="240"/>
      <c r="AL231" s="75"/>
      <c r="AM231" s="240"/>
      <c r="AN231" s="75"/>
      <c r="AO231" s="240"/>
      <c r="AP231" s="75"/>
      <c r="AQ231" s="240"/>
      <c r="AR231" s="75"/>
      <c r="AS231" s="240"/>
      <c r="AT231" s="75"/>
      <c r="AU231" s="240"/>
      <c r="AV231" s="75"/>
      <c r="AW231" s="240"/>
      <c r="AX231" s="75"/>
      <c r="AY231" s="240"/>
      <c r="AZ231" s="75"/>
      <c r="BA231" s="240"/>
      <c r="BB231" s="75"/>
      <c r="BC231" s="240"/>
      <c r="BD231" s="75"/>
      <c r="BE231" s="240"/>
      <c r="BF231" s="75"/>
      <c r="BG231" s="240"/>
      <c r="BH231" s="75"/>
      <c r="BI231" s="240"/>
      <c r="BJ231" s="75"/>
      <c r="BK231" s="240"/>
      <c r="BL231" s="75"/>
      <c r="BM231" s="240"/>
      <c r="BN231" s="75"/>
      <c r="BO231" s="240"/>
      <c r="BP231" s="75"/>
      <c r="BQ231" s="240"/>
      <c r="BR231" s="75"/>
      <c r="BS231" s="240"/>
      <c r="BT231" s="75"/>
      <c r="BU231" s="240"/>
      <c r="BV231" s="75"/>
      <c r="BW231" s="240"/>
      <c r="BX231" s="75"/>
      <c r="BY231" s="240"/>
      <c r="BZ231" s="75"/>
      <c r="CA231" s="240"/>
      <c r="CB231" s="75"/>
      <c r="CC231" s="240"/>
      <c r="CD231" s="75"/>
      <c r="CE231" s="240"/>
      <c r="CF231" s="75"/>
      <c r="CG231" s="240"/>
      <c r="CH231" s="75"/>
      <c r="CI231" s="240"/>
      <c r="CJ231" s="75"/>
      <c r="CK231" s="240"/>
      <c r="CL231" s="75"/>
      <c r="CM231" s="240"/>
      <c r="CN231" s="75"/>
      <c r="CO231" s="240"/>
      <c r="CP231" s="75"/>
      <c r="CQ231" s="240"/>
      <c r="CR231" s="75"/>
      <c r="CS231" s="240"/>
      <c r="CT231" s="75"/>
      <c r="CU231" s="240"/>
      <c r="CV231" s="75"/>
      <c r="CW231" s="240"/>
      <c r="CX231" s="75"/>
      <c r="CY231" s="240"/>
      <c r="CZ231" s="75"/>
      <c r="DA231" s="240"/>
      <c r="DB231" s="75"/>
      <c r="DC231" s="240"/>
      <c r="DD231" s="75"/>
      <c r="DE231" s="240"/>
      <c r="DF231" s="75"/>
      <c r="DG231" s="240"/>
      <c r="DH231" s="75"/>
      <c r="DI231" s="240"/>
      <c r="DJ231" s="75"/>
      <c r="DK231" s="240"/>
      <c r="DL231" s="75"/>
      <c r="DM231" s="240"/>
      <c r="DN231" s="75"/>
      <c r="DO231" s="240"/>
      <c r="DP231" s="75"/>
      <c r="DQ231" s="240"/>
      <c r="DR231" s="75"/>
      <c r="DS231" s="240"/>
      <c r="DT231" s="75"/>
      <c r="DU231" s="240"/>
      <c r="DV231" s="75"/>
      <c r="DW231" s="240"/>
      <c r="DX231" s="75"/>
      <c r="DY231" s="240"/>
      <c r="DZ231" s="75"/>
      <c r="EA231" s="240"/>
      <c r="EB231" s="155"/>
      <c r="EC231" s="75"/>
      <c r="ED231" s="155"/>
      <c r="EE231" s="75"/>
      <c r="EF231" s="155"/>
      <c r="EG231" s="75"/>
      <c r="EH231" s="155"/>
      <c r="EI231" s="75"/>
      <c r="EJ231" s="240"/>
      <c r="EK231" s="75"/>
      <c r="EL231" s="240"/>
      <c r="EM231" s="75"/>
      <c r="EN231" s="240"/>
      <c r="EO231" s="75"/>
      <c r="EP231" s="240"/>
      <c r="EQ231" s="75"/>
      <c r="ER231" s="240"/>
      <c r="ES231" s="75"/>
      <c r="ET231" s="240"/>
      <c r="EU231" s="75"/>
      <c r="EV231" s="240"/>
      <c r="EW231" s="75"/>
      <c r="EX231" s="240"/>
      <c r="EY231" s="75"/>
      <c r="EZ231" s="240"/>
      <c r="FA231" s="75"/>
      <c r="FB231" s="240"/>
      <c r="FC231" s="75"/>
      <c r="FD231" s="240"/>
      <c r="FE231" s="75"/>
      <c r="FF231" s="240"/>
      <c r="FG231" s="75"/>
      <c r="FH231" s="240"/>
      <c r="FI231" s="75"/>
      <c r="FJ231" s="240"/>
      <c r="FK231" s="75"/>
      <c r="FL231" s="240"/>
      <c r="FM231" s="75"/>
      <c r="FN231" s="240"/>
      <c r="FO231" s="75"/>
      <c r="FP231" s="240"/>
      <c r="FQ231" s="75"/>
      <c r="FR231" s="240"/>
      <c r="FS231" s="240"/>
    </row>
    <row r="232" spans="1:175" ht="12.75" hidden="1" customHeight="1" outlineLevel="1" x14ac:dyDescent="0.2">
      <c r="A232" s="246" t="str">
        <f>+INPUT!B207</f>
        <v>Insurance and Annuity Benefits/Revenues (%)</v>
      </c>
      <c r="B232" s="81">
        <f>+INPUT!AA207</f>
        <v>36.144578313253014</v>
      </c>
      <c r="C232" s="155">
        <f>+INPUT!AB207</f>
        <v>3.4799094856583679</v>
      </c>
      <c r="D232" s="81">
        <f>+INPUT!AC207</f>
        <v>35.602094240837694</v>
      </c>
      <c r="E232" s="155">
        <f>+INPUT!AD207</f>
        <v>-4.9069604043426125</v>
      </c>
      <c r="F232" s="81">
        <f>+INPUT!AE207</f>
        <v>33.938294010889294</v>
      </c>
      <c r="G232" s="155">
        <f>+INPUT!AF207</f>
        <v>-11.297640653357519</v>
      </c>
      <c r="H232" s="81">
        <f>+INPUT!AG207</f>
        <v>32.986111111111107</v>
      </c>
      <c r="I232" s="155">
        <f>+INPUT!AH207</f>
        <v>-14.264547413793125</v>
      </c>
      <c r="J232" s="81">
        <f>+INPUT!AI207</f>
        <v>36.048526863084923</v>
      </c>
      <c r="K232" s="155">
        <f>+INPUT!AJ207</f>
        <v>-0.26574234546504272</v>
      </c>
      <c r="L232" s="81">
        <f>+INPUT!AK207</f>
        <v>24.384525205158265</v>
      </c>
      <c r="M232" s="155">
        <f>+INPUT!AL207</f>
        <v>-31.508171850217209</v>
      </c>
      <c r="N232" s="81">
        <f>+INPUT!AM207</f>
        <v>26.333333333333332</v>
      </c>
      <c r="O232" s="155">
        <f>+INPUT!AN207</f>
        <v>-22.408199643493759</v>
      </c>
      <c r="P232" s="81">
        <f>+INPUT!AO207</f>
        <v>23.351955307262571</v>
      </c>
      <c r="Q232" s="155">
        <f>+INPUT!AP207</f>
        <v>-29.206703910614522</v>
      </c>
      <c r="R232" s="81">
        <f>+INPUT!AQ207</f>
        <v>22.799575821845174</v>
      </c>
      <c r="S232" s="155">
        <f>+INPUT!AR207</f>
        <v>-36.75309976343911</v>
      </c>
      <c r="T232" s="81">
        <f>+INPUT!AS207</f>
        <v>26.877470355731226</v>
      </c>
      <c r="U232" s="155">
        <f>+INPUT!AT207</f>
        <v>10.223472179993934</v>
      </c>
      <c r="V232" s="81">
        <f>+INPUT!AU207</f>
        <v>28.271251193887299</v>
      </c>
      <c r="W232" s="155">
        <f>+INPUT!AV207</f>
        <v>7.3591817489391076</v>
      </c>
      <c r="X232" s="81">
        <f>+INPUT!AW207</f>
        <v>26.001955034213097</v>
      </c>
      <c r="Y232" s="155">
        <f>+INPUT!AX207</f>
        <v>11.34808495512307</v>
      </c>
      <c r="Z232" s="81">
        <f>+INPUT!AY207</f>
        <v>25.521821631878556</v>
      </c>
      <c r="AA232" s="155">
        <f>+INPUT!AZ207</f>
        <v>11.939896738890596</v>
      </c>
      <c r="AB232" s="81">
        <f>+INPUT!BA207</f>
        <v>22.380952380952383</v>
      </c>
      <c r="AC232" s="155">
        <f>+INPUT!BB207</f>
        <v>-16.729691876750692</v>
      </c>
      <c r="AD232" s="81">
        <f>+INPUT!BC207</f>
        <v>26.708633093525179</v>
      </c>
      <c r="AE232" s="155">
        <f>+INPUT!BD207</f>
        <v>-5.527233618510607</v>
      </c>
      <c r="AF232" s="81">
        <f>+INPUT!BE207</f>
        <v>26.053310404127256</v>
      </c>
      <c r="AG232" s="155">
        <f>+INPUT!BF207</f>
        <v>0.19750580233903747</v>
      </c>
      <c r="AH232" s="81">
        <f>+INPUT!BG207</f>
        <v>25.967325881341356</v>
      </c>
      <c r="AI232" s="240">
        <f>+INPUT!BH207</f>
        <v>1.7455817060735797</v>
      </c>
      <c r="AJ232" s="81">
        <f>+INPUT!BI207</f>
        <v>24</v>
      </c>
      <c r="AK232" s="240">
        <f>+INPUT!BJ207</f>
        <v>7.234042553191486</v>
      </c>
      <c r="AL232" s="81">
        <f>+INPUT!BK207</f>
        <v>24.267782426778243</v>
      </c>
      <c r="AM232" s="240">
        <f>+INPUT!BL207</f>
        <v>-9.1388078835777549</v>
      </c>
      <c r="AN232" s="81">
        <f>+INPUT!BM207</f>
        <v>23.083333333333332</v>
      </c>
      <c r="AO232" s="240">
        <f>+INPUT!BN207</f>
        <v>-11.399614961496155</v>
      </c>
      <c r="AP232" s="81">
        <f>+INPUT!BO207</f>
        <v>30.939226519337016</v>
      </c>
      <c r="AQ232" s="240">
        <f>+INPUT!BP207</f>
        <v>19.146756430427004</v>
      </c>
      <c r="AR232" s="81">
        <f>+INPUT!BQ207</f>
        <v>28.169014084507044</v>
      </c>
      <c r="AS232" s="240">
        <f>+INPUT!BR207</f>
        <v>17.370892018779344</v>
      </c>
      <c r="AT232" s="81">
        <f>+INPUT!BS207</f>
        <v>22.271914132379248</v>
      </c>
      <c r="AU232" s="240">
        <f>+INPUT!BT207</f>
        <v>-8.2243538338165507</v>
      </c>
      <c r="AV232" s="81">
        <f>+INPUT!BU207</f>
        <v>27.15654952076677</v>
      </c>
      <c r="AW232" s="240">
        <f>+INPUT!BV207</f>
        <v>17.645701895018505</v>
      </c>
      <c r="AX232" s="81">
        <f>+INPUT!BW207</f>
        <v>28.571428571428569</v>
      </c>
      <c r="AY232" s="240">
        <f>+INPUT!BX207</f>
        <v>-7.6530612244898037</v>
      </c>
      <c r="AZ232" s="81">
        <f>+INPUT!BY207</f>
        <v>35.104669887278583</v>
      </c>
      <c r="BA232" s="240">
        <f>+INPUT!BZ207</f>
        <v>24.621578099838956</v>
      </c>
      <c r="BB232" s="81">
        <f>+INPUT!CA207</f>
        <v>26.81818181818182</v>
      </c>
      <c r="BC232" s="240">
        <f>+INPUT!CB207</f>
        <v>20.412559328221988</v>
      </c>
      <c r="BD232" s="81">
        <f>+INPUT!CC207</f>
        <v>27.42504409171076</v>
      </c>
      <c r="BE232" s="240">
        <f>+INPUT!CD207</f>
        <v>0.98869177300551314</v>
      </c>
      <c r="BF232" s="81">
        <f>+INPUT!CE207</f>
        <v>26.217891939769704</v>
      </c>
      <c r="BG232" s="240">
        <f>+INPUT!CF207</f>
        <v>-8.2373782108060283</v>
      </c>
      <c r="BH232" s="81">
        <f>+INPUT!CG207</f>
        <v>39.489051094890506</v>
      </c>
      <c r="BI232" s="240">
        <f>+INPUT!CH207</f>
        <v>12.489452889573414</v>
      </c>
      <c r="BJ232" s="81">
        <f>+INPUT!CI207</f>
        <v>40.406976744186046</v>
      </c>
      <c r="BK232" s="240">
        <f>+INPUT!CJ207</f>
        <v>50.670082774931018</v>
      </c>
      <c r="BL232" s="81">
        <f>+INPUT!CK207</f>
        <v>34.785932721712534</v>
      </c>
      <c r="BM232" s="240">
        <f>+INPUT!CL207</f>
        <v>26.840024779491984</v>
      </c>
      <c r="BN232" s="81">
        <f>+INPUT!CM207</f>
        <v>30.348258706467661</v>
      </c>
      <c r="BO232" s="240">
        <f>+INPUT!CN207</f>
        <v>15.754000268925665</v>
      </c>
      <c r="BP232" s="81">
        <f>+INPUT!CO207</f>
        <v>33.653846153846153</v>
      </c>
      <c r="BQ232" s="240">
        <f>+INPUT!CP207</f>
        <v>-14.776766671406222</v>
      </c>
      <c r="BR232" s="81">
        <f>+INPUT!CQ207</f>
        <v>31.340734415029893</v>
      </c>
      <c r="BS232" s="240">
        <f>+INPUT!CR207</f>
        <v>-22.437319145537529</v>
      </c>
      <c r="BT232" s="81">
        <f>+INPUT!CS207</f>
        <v>35.393258426966291</v>
      </c>
      <c r="BU232" s="240">
        <f>+INPUT!CT207</f>
        <v>1.7458945548833213</v>
      </c>
      <c r="BV232" s="81">
        <f>+INPUT!CU207</f>
        <v>26.738934056007224</v>
      </c>
      <c r="BW232" s="240">
        <f>+INPUT!CV207</f>
        <v>-11.893020569549961</v>
      </c>
      <c r="BX232" s="81">
        <f>+INPUT!CW207</f>
        <v>34.863123993558773</v>
      </c>
      <c r="BY232" s="240">
        <f>+INPUT!CX207</f>
        <v>3.5932827237175076</v>
      </c>
      <c r="BZ232" s="81">
        <f>+INPUT!CY207</f>
        <v>30.206540447504302</v>
      </c>
      <c r="CA232" s="240">
        <f>+INPUT!CZ207</f>
        <v>-3.6189131770366885</v>
      </c>
      <c r="CB232" s="81">
        <f>+INPUT!DA207</f>
        <v>97.439850078587838</v>
      </c>
      <c r="CC232" s="240" t="str">
        <f>+INPUT!DB207</f>
        <v>NM</v>
      </c>
      <c r="CD232" s="81">
        <f>+INPUT!DC207</f>
        <v>36.077844311377241</v>
      </c>
      <c r="CE232" s="240">
        <f>+INPUT!DD207</f>
        <v>34.926262340184508</v>
      </c>
      <c r="CF232" s="81">
        <f>+INPUT!DE207</f>
        <v>40.105193951347793</v>
      </c>
      <c r="CG232" s="240">
        <f>+INPUT!DF207</f>
        <v>15.036145236891358</v>
      </c>
      <c r="CH232" s="81">
        <f>+INPUT!DG207</f>
        <v>43.672131147540981</v>
      </c>
      <c r="CI232" s="240">
        <f>+INPUT!DH207</f>
        <v>44.578394283312321</v>
      </c>
      <c r="CJ232" s="81">
        <f>+INPUT!DI207</f>
        <v>42.709599027946538</v>
      </c>
      <c r="CK232" s="240" t="str">
        <f>+INPUT!DJ207</f>
        <v>NM</v>
      </c>
      <c r="CL232" s="81">
        <f>+INPUT!DK207</f>
        <v>35.597648595689094</v>
      </c>
      <c r="CM232" s="240">
        <f>+INPUT!DL207</f>
        <v>-1.3309989131937101</v>
      </c>
      <c r="CN232" s="81">
        <f>+INPUT!DM207</f>
        <v>37.576582709326075</v>
      </c>
      <c r="CO232" s="240">
        <f>+INPUT!DN207</f>
        <v>-6.3049470477295557</v>
      </c>
      <c r="CP232" s="81">
        <f>+INPUT!DO207</f>
        <v>63.16228619107217</v>
      </c>
      <c r="CQ232" s="240">
        <f>+INPUT!DP207</f>
        <v>44.628358020097693</v>
      </c>
      <c r="CR232" s="81">
        <f>+INPUT!DQ207</f>
        <v>85.703592814371248</v>
      </c>
      <c r="CS232" s="240" t="str">
        <f>+INPUT!DR207</f>
        <v>NM</v>
      </c>
      <c r="CT232" s="81">
        <f>+INPUT!DS207</f>
        <v>63.276836158192097</v>
      </c>
      <c r="CU232" s="240">
        <f>+INPUT!DT207</f>
        <v>77.755662675581817</v>
      </c>
      <c r="CV232" s="81">
        <f>+INPUT!DU207</f>
        <v>72.232704402515722</v>
      </c>
      <c r="CW232" s="240">
        <f>+INPUT!DV207</f>
        <v>92.227976027709389</v>
      </c>
      <c r="CX232" s="81">
        <f>+INPUT!DW207</f>
        <v>54.827052142488384</v>
      </c>
      <c r="CY232" s="240">
        <f>+INPUT!DX207</f>
        <v>-13.196536337156758</v>
      </c>
      <c r="CZ232" s="81">
        <f>+INPUT!DY207</f>
        <v>80.998580217699953</v>
      </c>
      <c r="DA232" s="240">
        <f>+INPUT!DZ207</f>
        <v>-5.4898662263343709</v>
      </c>
      <c r="DB232" s="81">
        <f>+INPUT!EA207</f>
        <v>55.995773903856318</v>
      </c>
      <c r="DC232" s="240">
        <f>+INPUT!EB207</f>
        <v>-11.506678741227077</v>
      </c>
      <c r="DD232" s="81">
        <f>+INPUT!EC207</f>
        <v>62.605979473449359</v>
      </c>
      <c r="DE232" s="240">
        <f>+INPUT!ED207</f>
        <v>-13.327377132969545</v>
      </c>
      <c r="DF232" s="81">
        <f>+INPUT!EE207</f>
        <v>81.904947409427336</v>
      </c>
      <c r="DG232" s="240">
        <f>+INPUT!EF207</f>
        <v>49.387837224162666</v>
      </c>
      <c r="DH232" s="81">
        <f>+INPUT!EG207</f>
        <v>73.725055432372514</v>
      </c>
      <c r="DI232" s="240">
        <f>+INPUT!EH207</f>
        <v>-8.9798176286280267</v>
      </c>
      <c r="DJ232" s="81">
        <f>+INPUT!EI207</f>
        <v>47.341249354672172</v>
      </c>
      <c r="DK232" s="240">
        <f>+INPUT!EJ207</f>
        <v>-15.455674501514707</v>
      </c>
      <c r="DL232" s="81">
        <f>+INPUT!EK207</f>
        <v>73.440532298308852</v>
      </c>
      <c r="DM232" s="240">
        <f>+INPUT!EL207</f>
        <v>17.30593933037072</v>
      </c>
      <c r="DN232" s="81">
        <f>+INPUT!EM207</f>
        <v>72.9671678428966</v>
      </c>
      <c r="DO232" s="240">
        <f>+INPUT!EN207</f>
        <v>-10.912380569457497</v>
      </c>
      <c r="DP232" s="81">
        <f>+INPUT!EO207</f>
        <v>81.170634920634924</v>
      </c>
      <c r="DQ232" s="240">
        <f>+INPUT!EP207</f>
        <v>10.099116839718334</v>
      </c>
      <c r="DR232" s="81">
        <f>+INPUT!EQ207</f>
        <v>71.5</v>
      </c>
      <c r="DS232" s="240">
        <f>+INPUT!ER207</f>
        <v>51.031079607415478</v>
      </c>
      <c r="DT232" s="81">
        <f>+INPUT!ES207</f>
        <v>72.25</v>
      </c>
      <c r="DU232" s="240">
        <f>+INPUT!ET207</f>
        <v>-1.6210834277085837</v>
      </c>
      <c r="DV232" s="81">
        <f>+INPUT!EU207</f>
        <v>72.95</v>
      </c>
      <c r="DW232" s="240">
        <f>+INPUT!EV207</f>
        <v>-2.3528174936927826E-2</v>
      </c>
      <c r="DX232" s="81">
        <f>+INPUT!EW207</f>
        <v>73.350000000000009</v>
      </c>
      <c r="DY232" s="240">
        <f>+INPUT!EX207</f>
        <v>-9.6348081153752076</v>
      </c>
      <c r="DZ232" s="81"/>
      <c r="EA232" s="240"/>
      <c r="EB232" s="155">
        <f>+INPUT!FI207</f>
        <v>7.6037764662552547</v>
      </c>
      <c r="EC232" s="81">
        <f>+INPUT!FJ207</f>
        <v>37.303942348452736</v>
      </c>
      <c r="ED232" s="155">
        <f>+INPUT!FK207</f>
        <v>-2.1844052768939264</v>
      </c>
      <c r="EE232" s="81">
        <f>+INPUT!FL207</f>
        <v>34.6777729066199</v>
      </c>
      <c r="EF232" s="155">
        <f>+INPUT!FM207</f>
        <v>-7.0399246741859827</v>
      </c>
      <c r="EG232" s="81">
        <f>+INPUT!FN207</f>
        <v>26.728682170542633</v>
      </c>
      <c r="EH232" s="155">
        <f>+INPUT!FO207</f>
        <v>-22.922725624516119</v>
      </c>
      <c r="EI232" s="81">
        <f>+INPUT!FP207</f>
        <v>26.062111801242239</v>
      </c>
      <c r="EJ232" s="240">
        <f>+INPUT!FQ207</f>
        <v>-2.4938392586934697</v>
      </c>
      <c r="EK232" s="81">
        <f>+INPUT!FR207</f>
        <v>25.211235441881708</v>
      </c>
      <c r="EL232" s="240">
        <f>+INPUT!FS207</f>
        <v>-3.2648020461640925</v>
      </c>
      <c r="EM232" s="81">
        <f>+INPUT!FT207</f>
        <v>24.320305862361938</v>
      </c>
      <c r="EN232" s="240">
        <f>+INPUT!FU207</f>
        <v>-3.5338592651422829</v>
      </c>
      <c r="EO232" s="81">
        <f>+INPUT!FV207</f>
        <v>27.186663922617821</v>
      </c>
      <c r="EP232" s="240">
        <f>+INPUT!FW207</f>
        <v>11.785863535095814</v>
      </c>
      <c r="EQ232" s="81">
        <f>+INPUT!FX207</f>
        <v>29.620090148100452</v>
      </c>
      <c r="ER232" s="240">
        <f>+INPUT!FY207</f>
        <v>8.950808500847927</v>
      </c>
      <c r="ES232" s="81">
        <f>+INPUT!FZ207</f>
        <v>35.655026046691106</v>
      </c>
      <c r="ET232" s="240">
        <f>+INPUT!GA207</f>
        <v>20.374468370676709</v>
      </c>
      <c r="EU232" s="81">
        <f>+INPUT!GB207</f>
        <v>32.724286594128515</v>
      </c>
      <c r="EV232" s="240">
        <f>+INPUT!GC207</f>
        <v>-8.2197091897358803</v>
      </c>
      <c r="EW232" s="81">
        <f>+INPUT!GD207</f>
        <v>91.042492143735487</v>
      </c>
      <c r="EX232" s="240" t="str">
        <f>+INPUT!GE207</f>
        <v>NM</v>
      </c>
      <c r="EY232" s="81">
        <f>+INPUT!GF207</f>
        <v>40.826144658261448</v>
      </c>
      <c r="EZ232" s="240" t="str">
        <f>+INPUT!GG207</f>
        <v>NM</v>
      </c>
      <c r="FA232" s="81">
        <f>+INPUT!GH207</f>
        <v>69.023764179845998</v>
      </c>
      <c r="FB232" s="240">
        <f>+INPUT!GI207</f>
        <v>69.067554033365155</v>
      </c>
      <c r="FC232" s="81">
        <f>+INPUT!GJ207</f>
        <v>70.637001945689875</v>
      </c>
      <c r="FD232" s="240">
        <f>+INPUT!GK207</f>
        <v>2.3372207891190726</v>
      </c>
      <c r="FE232" s="81">
        <f>+INPUT!GL207</f>
        <v>72.444858651755212</v>
      </c>
      <c r="FF232" s="240">
        <f>+INPUT!GM207</f>
        <v>2.5593621703471143</v>
      </c>
      <c r="FG232" s="81">
        <f>+INPUT!GN207</f>
        <v>72.491511955500982</v>
      </c>
      <c r="FH232" s="240">
        <f>+INPUT!GO207</f>
        <v>6.4398363961259975E-2</v>
      </c>
      <c r="FI232" s="81">
        <f>+INPUT!GP207</f>
        <v>72.519892584143719</v>
      </c>
      <c r="FJ232" s="240">
        <f>+INPUT!GQ207</f>
        <v>3.9150278256244064E-2</v>
      </c>
      <c r="FK232" s="81">
        <f>+INPUT!GR207</f>
        <v>72.519892584143719</v>
      </c>
      <c r="FL232" s="240">
        <f>+INPUT!GS207</f>
        <v>0</v>
      </c>
      <c r="FM232" s="81">
        <f>+INPUT!GT207</f>
        <v>72.519892584143719</v>
      </c>
      <c r="FN232" s="240">
        <f>+INPUT!GU207</f>
        <v>0</v>
      </c>
      <c r="FO232" s="81">
        <f>+INPUT!GV207</f>
        <v>72.519892584143719</v>
      </c>
      <c r="FP232" s="240">
        <f>+INPUT!GW207</f>
        <v>0</v>
      </c>
      <c r="FQ232" s="81">
        <f>+INPUT!GX207</f>
        <v>72.519892584143719</v>
      </c>
      <c r="FR232" s="240">
        <f>+INPUT!GY207</f>
        <v>0</v>
      </c>
      <c r="FS232" s="240">
        <f>+INPUT!GZ207</f>
        <v>7.8288297437723031E-3</v>
      </c>
    </row>
    <row r="233" spans="1:175" ht="12.75" hidden="1" customHeight="1" outlineLevel="1" x14ac:dyDescent="0.2">
      <c r="A233" s="246" t="str">
        <f>+INPUT!B209</f>
        <v>G&amp;A Expenses/Total Revenues (%)</v>
      </c>
      <c r="B233" s="81">
        <f>+INPUT!AA209</f>
        <v>13.080895008605854</v>
      </c>
      <c r="C233" s="155">
        <f>+INPUT!AB209</f>
        <v>-18.026391279403313</v>
      </c>
      <c r="D233" s="81">
        <f>+INPUT!AC209</f>
        <v>15.183246073298429</v>
      </c>
      <c r="E233" s="155">
        <f>+INPUT!AD209</f>
        <v>4.0895869691681241</v>
      </c>
      <c r="F233" s="81">
        <f>+INPUT!AE209</f>
        <v>14.882032667876588</v>
      </c>
      <c r="G233" s="155">
        <f>+INPUT!AF209</f>
        <v>0.67257392975339769</v>
      </c>
      <c r="H233" s="81">
        <f>+INPUT!AG209</f>
        <v>15.451388888888889</v>
      </c>
      <c r="I233" s="155">
        <f>+INPUT!AH209</f>
        <v>9.6139705882353041</v>
      </c>
      <c r="J233" s="81">
        <f>+INPUT!AI209</f>
        <v>15.251299826689774</v>
      </c>
      <c r="K233" s="155">
        <f>+INPUT!AJ209</f>
        <v>16.592173675088915</v>
      </c>
      <c r="L233" s="81">
        <f>+INPUT!AK209</f>
        <v>21.101992966002346</v>
      </c>
      <c r="M233" s="155">
        <f>+INPUT!AL209</f>
        <v>38.982091603670625</v>
      </c>
      <c r="N233" s="81">
        <f>+INPUT!AM209</f>
        <v>20.555555555555554</v>
      </c>
      <c r="O233" s="155">
        <f>+INPUT!AN209</f>
        <v>38.123306233062294</v>
      </c>
      <c r="P233" s="81">
        <f>+INPUT!AO209</f>
        <v>22.234636871508378</v>
      </c>
      <c r="Q233" s="155">
        <f>+INPUT!AP209</f>
        <v>43.900571213357608</v>
      </c>
      <c r="R233" s="81">
        <f>+INPUT!AQ209</f>
        <v>18.87592788971368</v>
      </c>
      <c r="S233" s="155">
        <f>+INPUT!AR209</f>
        <v>23.766027185963566</v>
      </c>
      <c r="T233" s="81">
        <f>+INPUT!AS209</f>
        <v>18.379446640316203</v>
      </c>
      <c r="U233" s="155">
        <f>+INPUT!AT209</f>
        <v>-12.901844532279327</v>
      </c>
      <c r="V233" s="81">
        <f>+INPUT!AU209</f>
        <v>18.433619866284623</v>
      </c>
      <c r="W233" s="155">
        <f>+INPUT!AV209</f>
        <v>-10.322930380236954</v>
      </c>
      <c r="X233" s="81">
        <f>+INPUT!AW209</f>
        <v>20.723362658846529</v>
      </c>
      <c r="Y233" s="155">
        <f>+INPUT!AX209</f>
        <v>-6.7969367855897218</v>
      </c>
      <c r="Z233" s="81">
        <f>+INPUT!AY209</f>
        <v>18.026565464895636</v>
      </c>
      <c r="AA233" s="155">
        <f>+INPUT!AZ209</f>
        <v>-4.4997121719292892</v>
      </c>
      <c r="AB233" s="81">
        <f>+INPUT!BA209</f>
        <v>16.571428571428569</v>
      </c>
      <c r="AC233" s="155">
        <f>+INPUT!BB209</f>
        <v>-9.8371735791090629</v>
      </c>
      <c r="AD233" s="81">
        <f>+INPUT!BC209</f>
        <v>17.446043165467625</v>
      </c>
      <c r="AE233" s="155">
        <f>+INPUT!BD209</f>
        <v>-5.3574756774891057</v>
      </c>
      <c r="AF233" s="81">
        <f>+INPUT!BE209</f>
        <v>17.884780739466898</v>
      </c>
      <c r="AG233" s="155">
        <f>+INPUT!BF209</f>
        <v>-13.697496714742272</v>
      </c>
      <c r="AH233" s="81">
        <f>+INPUT!BG209</f>
        <v>15.82115219260533</v>
      </c>
      <c r="AI233" s="240">
        <f>+INPUT!BH209</f>
        <v>-12.234239942073586</v>
      </c>
      <c r="AJ233" s="81">
        <f>+INPUT!BI209</f>
        <v>16.782608695652172</v>
      </c>
      <c r="AK233" s="240">
        <f>+INPUT!BJ209</f>
        <v>1.2743628185907028</v>
      </c>
      <c r="AL233" s="81">
        <f>+INPUT!BK209</f>
        <v>22.00836820083682</v>
      </c>
      <c r="AM233" s="240">
        <f>+INPUT!BL209</f>
        <v>26.151058965621374</v>
      </c>
      <c r="AN233" s="81">
        <f>+INPUT!BM209</f>
        <v>17.75</v>
      </c>
      <c r="AO233" s="240">
        <f>+INPUT!BN209</f>
        <v>-0.7536057692307736</v>
      </c>
      <c r="AP233" s="81">
        <f>+INPUT!BO209</f>
        <v>16.416732438831886</v>
      </c>
      <c r="AQ233" s="240">
        <f>+INPUT!BP209</f>
        <v>3.764455578051539</v>
      </c>
      <c r="AR233" s="81">
        <f>+INPUT!BQ209</f>
        <v>16.818558409279206</v>
      </c>
      <c r="AS233" s="240">
        <f>+INPUT!BR209</f>
        <v>0.21420813819217699</v>
      </c>
      <c r="AT233" s="81">
        <f>+INPUT!BS209</f>
        <v>16.100178890876567</v>
      </c>
      <c r="AU233" s="240">
        <f>+INPUT!BT209</f>
        <v>-26.845194773393544</v>
      </c>
      <c r="AV233" s="81">
        <f>+INPUT!BU209</f>
        <v>17.731629392971247</v>
      </c>
      <c r="AW233" s="240">
        <f>+INPUT!BV209</f>
        <v>-0.10349637762678299</v>
      </c>
      <c r="AX233" s="81">
        <f>+INPUT!BW209</f>
        <v>18.005071851225697</v>
      </c>
      <c r="AY233" s="240">
        <f>+INPUT!BX209</f>
        <v>9.6751251706872949</v>
      </c>
      <c r="AZ233" s="81">
        <f>+INPUT!BY209</f>
        <v>17.713365539452496</v>
      </c>
      <c r="BA233" s="240">
        <f>+INPUT!BZ209</f>
        <v>5.3203556951682884</v>
      </c>
      <c r="BB233" s="81">
        <f>+INPUT!CA209</f>
        <v>19.818181818181817</v>
      </c>
      <c r="BC233" s="240">
        <f>+INPUT!CB209</f>
        <v>23.09292929292927</v>
      </c>
      <c r="BD233" s="81">
        <f>+INPUT!CC209</f>
        <v>19.576719576719576</v>
      </c>
      <c r="BE233" s="240">
        <f>+INPUT!CD209</f>
        <v>10.405643738977062</v>
      </c>
      <c r="BF233" s="81">
        <f>+INPUT!CE209</f>
        <v>19.043401240035429</v>
      </c>
      <c r="BG233" s="240">
        <f>+INPUT!CF209</f>
        <v>5.7668716758775247</v>
      </c>
      <c r="BH233" s="81">
        <f>+INPUT!CG209</f>
        <v>17.737226277372262</v>
      </c>
      <c r="BI233" s="240">
        <f>+INPUT!CH209</f>
        <v>0.13470471134704098</v>
      </c>
      <c r="BJ233" s="81">
        <f>+INPUT!CI209</f>
        <v>17.51453488372093</v>
      </c>
      <c r="BK233" s="240">
        <f>+INPUT!CJ209</f>
        <v>-11.62390655003199</v>
      </c>
      <c r="BL233" s="81">
        <f>+INPUT!CK209</f>
        <v>18.730886850152906</v>
      </c>
      <c r="BM233" s="240">
        <f>+INPUT!CL209</f>
        <v>-4.3206050086783847</v>
      </c>
      <c r="BN233" s="81">
        <f>+INPUT!CM209</f>
        <v>19.402985074626866</v>
      </c>
      <c r="BO233" s="240">
        <f>+INPUT!CN209</f>
        <v>1.8882332523429284</v>
      </c>
      <c r="BP233" s="81">
        <f>+INPUT!CO209</f>
        <v>18.509615384615387</v>
      </c>
      <c r="BQ233" s="240">
        <f>+INPUT!CP209</f>
        <v>4.3546217157328471</v>
      </c>
      <c r="BR233" s="81">
        <f>+INPUT!CQ209</f>
        <v>21.093082835183605</v>
      </c>
      <c r="BS233" s="240">
        <f>+INPUT!CR209</f>
        <v>20.43187544071634</v>
      </c>
      <c r="BT233" s="81">
        <f>+INPUT!CS209</f>
        <v>18.699839486356339</v>
      </c>
      <c r="BU233" s="240">
        <f>+INPUT!CT209</f>
        <v>-0.16575490549351457</v>
      </c>
      <c r="BV233" s="81">
        <f>+INPUT!CU209</f>
        <v>20.14453477868112</v>
      </c>
      <c r="BW233" s="240">
        <f>+INPUT!CV209</f>
        <v>3.8218330901257787</v>
      </c>
      <c r="BX233" s="81">
        <f>+INPUT!CW209</f>
        <v>18.760064412238325</v>
      </c>
      <c r="BY233" s="240">
        <f>+INPUT!CX209</f>
        <v>1.3530752661187364</v>
      </c>
      <c r="BZ233" s="81">
        <f>+INPUT!CY209</f>
        <v>22.719449225473323</v>
      </c>
      <c r="CA233" s="240">
        <f>+INPUT!CZ209</f>
        <v>7.7104252754220965</v>
      </c>
      <c r="CB233" s="81">
        <f>+INPUT!DA209</f>
        <v>0.61963486881876439</v>
      </c>
      <c r="CC233" s="240" t="str">
        <f>+INPUT!DB209</f>
        <v>NM</v>
      </c>
      <c r="CD233" s="81">
        <f>+INPUT!DC209</f>
        <v>17.290419161676645</v>
      </c>
      <c r="CE233" s="240">
        <f>+INPUT!DD209</f>
        <v>-14.168188287102936</v>
      </c>
      <c r="CF233" s="81">
        <f>+INPUT!DE209</f>
        <v>16.173570019723865</v>
      </c>
      <c r="CG233" s="240">
        <f>+INPUT!DF209</f>
        <v>-13.787236203875366</v>
      </c>
      <c r="CH233" s="81">
        <f>+INPUT!DG209</f>
        <v>15.868852459016395</v>
      </c>
      <c r="CI233" s="240">
        <f>+INPUT!DH209</f>
        <v>-30.15300546448087</v>
      </c>
      <c r="CJ233" s="81">
        <f>+INPUT!DI209</f>
        <v>16.281895504252734</v>
      </c>
      <c r="CK233" s="240" t="str">
        <f>+INPUT!DJ209</f>
        <v>NM</v>
      </c>
      <c r="CL233" s="81">
        <f>+INPUT!DK209</f>
        <v>16.133246244284784</v>
      </c>
      <c r="CM233" s="240">
        <f>+INPUT!DL209</f>
        <v>-6.6925671759113641</v>
      </c>
      <c r="CN233" s="81">
        <f>+INPUT!DM209</f>
        <v>17.426820966643973</v>
      </c>
      <c r="CO233" s="240">
        <f>+INPUT!DN209</f>
        <v>7.7487589035182225</v>
      </c>
      <c r="CP233" s="81">
        <f>+INPUT!DO209</f>
        <v>11.055486024196913</v>
      </c>
      <c r="CQ233" s="240">
        <f>+INPUT!DP209</f>
        <v>-30.332164516940949</v>
      </c>
      <c r="CR233" s="81">
        <f>+INPUT!DQ209</f>
        <v>4.1317365269461082</v>
      </c>
      <c r="CS233" s="240" t="str">
        <f>+INPUT!DR209</f>
        <v>NM</v>
      </c>
      <c r="CT233" s="81">
        <f>+INPUT!DS209</f>
        <v>10.209846650524616</v>
      </c>
      <c r="CU233" s="240">
        <f>+INPUT!DT209</f>
        <v>-36.715484931363626</v>
      </c>
      <c r="CV233" s="81">
        <f>+INPUT!DU209</f>
        <v>7.9245283018867925</v>
      </c>
      <c r="CW233" s="240" t="str">
        <f>+INPUT!DV209</f>
        <v>NM</v>
      </c>
      <c r="CX233" s="81">
        <f>+INPUT!DW209</f>
        <v>13.57769747031492</v>
      </c>
      <c r="CY233" s="240">
        <f>+INPUT!DX209</f>
        <v>22.814116363565518</v>
      </c>
      <c r="CZ233" s="81">
        <f>+INPUT!DY209</f>
        <v>6.7676289635589209</v>
      </c>
      <c r="DA233" s="240">
        <f>+INPUT!DZ209</f>
        <v>63.796237233962273</v>
      </c>
      <c r="DB233" s="81">
        <f>+INPUT!EA209</f>
        <v>13.576333861595351</v>
      </c>
      <c r="DC233" s="240">
        <f>+INPUT!EB209</f>
        <v>32.972945885507045</v>
      </c>
      <c r="DD233" s="81">
        <f>+INPUT!EC209</f>
        <v>11.021865238732708</v>
      </c>
      <c r="DE233" s="240">
        <f>+INPUT!ED209</f>
        <v>39.085442298293685</v>
      </c>
      <c r="DF233" s="81">
        <f>+INPUT!EE209</f>
        <v>5.7654850019477992</v>
      </c>
      <c r="DG233" s="240" t="str">
        <f>+INPUT!EF209</f>
        <v>NM</v>
      </c>
      <c r="DH233" s="81">
        <f>+INPUT!EG209</f>
        <v>6.7073170731707323</v>
      </c>
      <c r="DI233" s="240">
        <f>+INPUT!EH209</f>
        <v>-0.89118198874295729</v>
      </c>
      <c r="DJ233" s="81">
        <f>+INPUT!EI209</f>
        <v>13.216313887454827</v>
      </c>
      <c r="DK233" s="240">
        <f>+INPUT!EJ209</f>
        <v>-2.6518202764514172</v>
      </c>
      <c r="DL233" s="81">
        <f>+INPUT!EK209</f>
        <v>6.6537288605489326</v>
      </c>
      <c r="DM233" s="240">
        <f>+INPUT!EL209</f>
        <v>-39.631553131618787</v>
      </c>
      <c r="DN233" s="81">
        <f>+INPUT!EM209</f>
        <v>8.0699601104633327</v>
      </c>
      <c r="DO233" s="240">
        <f>+INPUT!EN209</f>
        <v>39.970186510536308</v>
      </c>
      <c r="DP233" s="81">
        <f>+INPUT!EO209</f>
        <v>5.5952380952380958</v>
      </c>
      <c r="DQ233" s="240">
        <f>+INPUT!EP209</f>
        <v>-16.580086580086586</v>
      </c>
      <c r="DR233" s="81">
        <f>+INPUT!EQ209</f>
        <v>7.5</v>
      </c>
      <c r="DS233" s="240">
        <f>+INPUT!ER209</f>
        <v>-43.251953125</v>
      </c>
      <c r="DT233" s="81">
        <f>+INPUT!ES209</f>
        <v>7.5</v>
      </c>
      <c r="DU233" s="240">
        <f>+INPUT!ET209</f>
        <v>12.71875</v>
      </c>
      <c r="DV233" s="81">
        <f>+INPUT!EU209</f>
        <v>7.5</v>
      </c>
      <c r="DW233" s="240">
        <f>+INPUT!EV209</f>
        <v>-7.0627376425855601</v>
      </c>
      <c r="DX233" s="81">
        <f>+INPUT!EW209</f>
        <v>7.5</v>
      </c>
      <c r="DY233" s="240">
        <f>+INPUT!EX209</f>
        <v>34.042553191489333</v>
      </c>
      <c r="DZ233" s="81"/>
      <c r="EA233" s="240"/>
      <c r="EB233" s="155">
        <f>+INPUT!FI209</f>
        <v>-2.8249636436771084</v>
      </c>
      <c r="EC233" s="81">
        <f>+INPUT!FJ209</f>
        <v>14.836795252225517</v>
      </c>
      <c r="ED233" s="155">
        <f>+INPUT!FK209</f>
        <v>-7.2603450813893176</v>
      </c>
      <c r="EE233" s="81">
        <f>+INPUT!FL209</f>
        <v>14.64270056992547</v>
      </c>
      <c r="EF233" s="155">
        <f>+INPUT!FM209</f>
        <v>-1.308198158702325</v>
      </c>
      <c r="EG233" s="81">
        <f>+INPUT!FN209</f>
        <v>20.217054263565892</v>
      </c>
      <c r="EH233" s="155">
        <f>+INPUT!FO209</f>
        <v>38.06916399758623</v>
      </c>
      <c r="EI233" s="81">
        <f>+INPUT!FP209</f>
        <v>19.105590062111801</v>
      </c>
      <c r="EJ233" s="240">
        <f>+INPUT!FQ209</f>
        <v>-5.4976565179285899</v>
      </c>
      <c r="EK233" s="81">
        <f>+INPUT!FR209</f>
        <v>17.492578214204158</v>
      </c>
      <c r="EL233" s="240">
        <f>+INPUT!FS209</f>
        <v>-8.4426172793605474</v>
      </c>
      <c r="EM233" s="81">
        <f>+INPUT!FT209</f>
        <v>18.118096856414613</v>
      </c>
      <c r="EN233" s="240">
        <f>+INPUT!FU209</f>
        <v>3.5759087914354808</v>
      </c>
      <c r="EO233" s="81">
        <f>+INPUT!FV209</f>
        <v>16.731837826713317</v>
      </c>
      <c r="EP233" s="240">
        <f>+INPUT!FW209</f>
        <v>-7.6512397559597929</v>
      </c>
      <c r="EQ233" s="81">
        <f>+INPUT!FX209</f>
        <v>18.737926593689632</v>
      </c>
      <c r="ER233" s="240">
        <f>+INPUT!FY209</f>
        <v>11.989649838546029</v>
      </c>
      <c r="ES233" s="81">
        <f>+INPUT!FZ209</f>
        <v>18.213389928612774</v>
      </c>
      <c r="ET233" s="240">
        <f>+INPUT!GA209</f>
        <v>-2.7993314119050297</v>
      </c>
      <c r="EU233" s="81">
        <f>+INPUT!GB209</f>
        <v>19.400533771299528</v>
      </c>
      <c r="EV233" s="240">
        <f>+INPUT!GC209</f>
        <v>6.5179730261074553</v>
      </c>
      <c r="EW233" s="81">
        <f>+INPUT!GD209</f>
        <v>2.5276677141686021</v>
      </c>
      <c r="EX233" s="240" t="str">
        <f>+INPUT!GE209</f>
        <v>NM</v>
      </c>
      <c r="EY233" s="81">
        <f>+INPUT!GF209</f>
        <v>16.373589913735902</v>
      </c>
      <c r="EZ233" s="240" t="str">
        <f>+INPUT!GG209</f>
        <v>NM</v>
      </c>
      <c r="FA233" s="81">
        <f>+INPUT!GH209</f>
        <v>8.6445309265546086</v>
      </c>
      <c r="FB233" s="240">
        <f>+INPUT!GI209</f>
        <v>-47.204425101042382</v>
      </c>
      <c r="FC233" s="81">
        <f>+INPUT!GJ209</f>
        <v>8.9163353354200154</v>
      </c>
      <c r="FD233" s="240">
        <f>+INPUT!GK209</f>
        <v>3.144235484547437</v>
      </c>
      <c r="FE233" s="81">
        <f>+INPUT!GL209</f>
        <v>8.0925753339546453</v>
      </c>
      <c r="FF233" s="240">
        <f>+INPUT!GM209</f>
        <v>-9.2387732232657811</v>
      </c>
      <c r="FG233" s="81">
        <f>+INPUT!GN209</f>
        <v>7.5200462327530166</v>
      </c>
      <c r="FH233" s="240">
        <f>+INPUT!GO209</f>
        <v>-7.0747454002611931</v>
      </c>
      <c r="FI233" s="81">
        <f>+INPUT!GP209</f>
        <v>7.5000000000000009</v>
      </c>
      <c r="FJ233" s="240">
        <f>+INPUT!GQ209</f>
        <v>-0.26657060518732578</v>
      </c>
      <c r="FK233" s="81">
        <f>+INPUT!GR209</f>
        <v>7.5000000000000009</v>
      </c>
      <c r="FL233" s="240">
        <f>+INPUT!GS209</f>
        <v>0</v>
      </c>
      <c r="FM233" s="81">
        <f>+INPUT!GT209</f>
        <v>7.5500000000000007</v>
      </c>
      <c r="FN233" s="240">
        <f>+INPUT!GU209</f>
        <v>0.66666666666665719</v>
      </c>
      <c r="FO233" s="81">
        <f>+INPUT!GV209</f>
        <v>7.6000000000000005</v>
      </c>
      <c r="FP233" s="240">
        <f>+INPUT!GW209</f>
        <v>0.66225165562914867</v>
      </c>
      <c r="FQ233" s="81">
        <f>+INPUT!GX209</f>
        <v>7.65</v>
      </c>
      <c r="FR233" s="240">
        <f>+INPUT!GY209</f>
        <v>0.65789473684209554</v>
      </c>
      <c r="FS233" s="240">
        <f>+INPUT!GZ209</f>
        <v>0.34325501382339585</v>
      </c>
    </row>
    <row r="234" spans="1:175" ht="12.75" hidden="1" customHeight="1" outlineLevel="1" x14ac:dyDescent="0.2">
      <c r="A234" s="246" t="str">
        <f>+INPUT!B211</f>
        <v>Operating Expenses/Total Revenues (%)</v>
      </c>
      <c r="B234" s="81">
        <f>+INPUT!AA211</f>
        <v>90.877796901893291</v>
      </c>
      <c r="C234" s="155">
        <f>+INPUT!AB211</f>
        <v>-3.2923066930795954</v>
      </c>
      <c r="D234" s="81">
        <f>+INPUT!AC211</f>
        <v>92.146596858638745</v>
      </c>
      <c r="E234" s="155">
        <f>+INPUT!AD211</f>
        <v>0.2723990507585512</v>
      </c>
      <c r="F234" s="81">
        <f>+INPUT!AE211</f>
        <v>92.921960072595283</v>
      </c>
      <c r="G234" s="155">
        <f>+INPUT!AF211</f>
        <v>-3.0306224287798784</v>
      </c>
      <c r="H234" s="81">
        <f>+INPUT!AG211</f>
        <v>90.451388888888886</v>
      </c>
      <c r="I234" s="155">
        <f>+INPUT!AH211</f>
        <v>-4.3119517543859729</v>
      </c>
      <c r="J234" s="81">
        <f>+INPUT!AI211</f>
        <v>90.987868284228767</v>
      </c>
      <c r="K234" s="155">
        <f>+INPUT!AJ211</f>
        <v>0.12112021427445541</v>
      </c>
      <c r="L234" s="81">
        <f>+INPUT!AK211</f>
        <v>89.214536928487689</v>
      </c>
      <c r="M234" s="155">
        <f>+INPUT!AL211</f>
        <v>-3.1819514014707551</v>
      </c>
      <c r="N234" s="81">
        <f>+INPUT!AM211</f>
        <v>89.555555555555557</v>
      </c>
      <c r="O234" s="155">
        <f>+INPUT!AN211</f>
        <v>-3.6228298611111143</v>
      </c>
      <c r="P234" s="81">
        <f>+INPUT!AO211</f>
        <v>89.273743016759781</v>
      </c>
      <c r="Q234" s="155">
        <f>+INPUT!AP211</f>
        <v>-1.3019654939469518</v>
      </c>
      <c r="R234" s="81">
        <f>+INPUT!AQ211</f>
        <v>83.563096500530222</v>
      </c>
      <c r="S234" s="155">
        <f>+INPUT!AR211</f>
        <v>-8.1601777508458326</v>
      </c>
      <c r="T234" s="81">
        <f>+INPUT!AS211</f>
        <v>85.968379446640313</v>
      </c>
      <c r="U234" s="155">
        <f>+INPUT!AT211</f>
        <v>-3.6385970197316766</v>
      </c>
      <c r="V234" s="81">
        <f>+INPUT!AU211</f>
        <v>89.493791786055397</v>
      </c>
      <c r="W234" s="155">
        <f>+INPUT!AV211</f>
        <v>-6.896698827560499E-2</v>
      </c>
      <c r="X234" s="81">
        <f>+INPUT!AW211</f>
        <v>91.104594330400772</v>
      </c>
      <c r="Y234" s="155">
        <f>+INPUT!AX211</f>
        <v>2.0508284426892232</v>
      </c>
      <c r="Z234" s="81">
        <f>+INPUT!AY211</f>
        <v>87.001897533206829</v>
      </c>
      <c r="AA234" s="155">
        <f>+INPUT!AZ211</f>
        <v>4.1152149413883734</v>
      </c>
      <c r="AB234" s="81">
        <f>+INPUT!BA211</f>
        <v>86.38095238095238</v>
      </c>
      <c r="AC234" s="155">
        <f>+INPUT!BB211</f>
        <v>0.47991242474000728</v>
      </c>
      <c r="AD234" s="81">
        <f>+INPUT!BC211</f>
        <v>90.197841726618705</v>
      </c>
      <c r="AE234" s="155">
        <f>+INPUT!BD211</f>
        <v>0.78670254831354214</v>
      </c>
      <c r="AF234" s="81">
        <f>+INPUT!BE211</f>
        <v>89.59587274290628</v>
      </c>
      <c r="AG234" s="155">
        <f>+INPUT!BF211</f>
        <v>-1.6560323862734663</v>
      </c>
      <c r="AH234" s="81">
        <f>+INPUT!BG211</f>
        <v>87.274290627687009</v>
      </c>
      <c r="AI234" s="240">
        <f>+INPUT!BH211</f>
        <v>0.31308868220514796</v>
      </c>
      <c r="AJ234" s="81">
        <f>+INPUT!BI211</f>
        <v>88</v>
      </c>
      <c r="AK234" s="240">
        <f>+INPUT!BJ211</f>
        <v>1.8743109151047435</v>
      </c>
      <c r="AL234" s="81">
        <f>+INPUT!BK211</f>
        <v>94.560669456066947</v>
      </c>
      <c r="AM234" s="240">
        <f>+INPUT!BL211</f>
        <v>4.8369535744231769</v>
      </c>
      <c r="AN234" s="81">
        <f>+INPUT!BM211</f>
        <v>89.083333333333343</v>
      </c>
      <c r="AO234" s="240">
        <f>+INPUT!BN211</f>
        <v>-0.57205694177862654</v>
      </c>
      <c r="AP234" s="81">
        <f>+INPUT!BO211</f>
        <v>90.213101815311759</v>
      </c>
      <c r="AQ234" s="240">
        <f>+INPUT!BP211</f>
        <v>3.3673274987266808</v>
      </c>
      <c r="AR234" s="81">
        <f>+INPUT!BQ211</f>
        <v>88.318144159072077</v>
      </c>
      <c r="AS234" s="240">
        <f>+INPUT!BR211</f>
        <v>0.36152745349100712</v>
      </c>
      <c r="AT234" s="81">
        <f>+INPUT!BS211</f>
        <v>88.103756708407872</v>
      </c>
      <c r="AU234" s="240">
        <f>+INPUT!BT211</f>
        <v>-6.8283280827014039</v>
      </c>
      <c r="AV234" s="81">
        <f>+INPUT!BU211</f>
        <v>89.376996805111816</v>
      </c>
      <c r="AW234" s="240">
        <f>+INPUT!BV211</f>
        <v>0.32965029572886806</v>
      </c>
      <c r="AX234" s="81">
        <f>+INPUT!BW211</f>
        <v>88.165680473372774</v>
      </c>
      <c r="AY234" s="240">
        <f>+INPUT!BX211</f>
        <v>-2.2695387928580004</v>
      </c>
      <c r="AZ234" s="81">
        <f>+INPUT!BY211</f>
        <v>91.545893719806756</v>
      </c>
      <c r="BA234" s="240">
        <f>+INPUT!BZ211</f>
        <v>3.6546845401564241</v>
      </c>
      <c r="BB234" s="81">
        <f>+INPUT!CA211</f>
        <v>89.363636363636374</v>
      </c>
      <c r="BC234" s="240">
        <f>+INPUT!CB211</f>
        <v>1.4299953853253555</v>
      </c>
      <c r="BD234" s="81">
        <f>+INPUT!CC211</f>
        <v>88.359788359788354</v>
      </c>
      <c r="BE234" s="240">
        <f>+INPUT!CD211</f>
        <v>-1.1381098959293752</v>
      </c>
      <c r="BF234" s="81">
        <f>+INPUT!CE211</f>
        <v>85.20814880425155</v>
      </c>
      <c r="BG234" s="240">
        <f>+INPUT!CF211</f>
        <v>-3.3545157857817856</v>
      </c>
      <c r="BH234" s="81">
        <f>+INPUT!CG211</f>
        <v>90.21897810218978</v>
      </c>
      <c r="BI234" s="240">
        <f>+INPUT!CH211</f>
        <v>-1.4494539991911068</v>
      </c>
      <c r="BJ234" s="81">
        <f>+INPUT!CI211</f>
        <v>91.424418604651152</v>
      </c>
      <c r="BK234" s="240">
        <f>+INPUT!CJ211</f>
        <v>2.3060635453878433</v>
      </c>
      <c r="BL234" s="81">
        <f>+INPUT!CK211</f>
        <v>88.837920489296636</v>
      </c>
      <c r="BM234" s="240">
        <f>+INPUT!CL211</f>
        <v>0.54111959567104861</v>
      </c>
      <c r="BN234" s="81">
        <f>+INPUT!CM211</f>
        <v>85.737976782752895</v>
      </c>
      <c r="BO234" s="240">
        <f>+INPUT!CN211</f>
        <v>0.62180435314762406</v>
      </c>
      <c r="BP234" s="81">
        <f>+INPUT!CO211</f>
        <v>86.298076923076934</v>
      </c>
      <c r="BQ234" s="240">
        <f>+INPUT!CP211</f>
        <v>-4.3459826985312304</v>
      </c>
      <c r="BR234" s="81">
        <f>+INPUT!CQ211</f>
        <v>90.520922288642197</v>
      </c>
      <c r="BS234" s="240">
        <f>+INPUT!CR211</f>
        <v>-0.98824398317036355</v>
      </c>
      <c r="BT234" s="81">
        <f>+INPUT!CS211</f>
        <v>88.764044943820224</v>
      </c>
      <c r="BU234" s="240">
        <f>+INPUT!CT211</f>
        <v>-8.3157670811658591E-2</v>
      </c>
      <c r="BV234" s="81">
        <f>+INPUT!CU211</f>
        <v>85.907859078590789</v>
      </c>
      <c r="BW234" s="240">
        <f>+INPUT!CV211</f>
        <v>0.19814124640279829</v>
      </c>
      <c r="BX234" s="81">
        <f>+INPUT!CW211</f>
        <v>88.164251207729478</v>
      </c>
      <c r="BY234" s="240">
        <f>+INPUT!CX211</f>
        <v>2.1624749370904084</v>
      </c>
      <c r="BZ234" s="81">
        <f>+INPUT!CY211</f>
        <v>90.533562822719446</v>
      </c>
      <c r="CA234" s="240">
        <f>+INPUT!CZ211</f>
        <v>1.3964212645717566E-2</v>
      </c>
      <c r="CB234" s="81">
        <f>+INPUT!DA211</f>
        <v>99.319912948857464</v>
      </c>
      <c r="CC234" s="240">
        <f>+INPUT!DB211</f>
        <v>11.89205382845968</v>
      </c>
      <c r="CD234" s="81">
        <f>+INPUT!DC211</f>
        <v>82.93413173652695</v>
      </c>
      <c r="CE234" s="240">
        <f>+INPUT!DD211</f>
        <v>-3.4615311962825075</v>
      </c>
      <c r="CF234" s="81">
        <f>+INPUT!DE211</f>
        <v>81.65680473372781</v>
      </c>
      <c r="CG234" s="240">
        <f>+INPUT!DF211</f>
        <v>-7.3810488773607972</v>
      </c>
      <c r="CH234" s="81">
        <f>+INPUT!DG211</f>
        <v>84.459016393442624</v>
      </c>
      <c r="CI234" s="240">
        <f>+INPUT!DH211</f>
        <v>-6.7097176338590003</v>
      </c>
      <c r="CJ234" s="81">
        <f>+INPUT!DI211</f>
        <v>82.077764277035243</v>
      </c>
      <c r="CK234" s="240">
        <f>+INPUT!DJ211</f>
        <v>-17.360213234077918</v>
      </c>
      <c r="CL234" s="81">
        <f>+INPUT!DK211</f>
        <v>76.224689745264527</v>
      </c>
      <c r="CM234" s="240">
        <f>+INPUT!DL211</f>
        <v>-8.0900852891034276</v>
      </c>
      <c r="CN234" s="81">
        <f>+INPUT!DM211</f>
        <v>80.530973451327441</v>
      </c>
      <c r="CO234" s="240">
        <f>+INPUT!DN211</f>
        <v>-1.3787354110555157</v>
      </c>
      <c r="CP234" s="81">
        <f>+INPUT!DO211</f>
        <v>89.319983312473923</v>
      </c>
      <c r="CQ234" s="240">
        <f>+INPUT!DP211</f>
        <v>5.7554150244741606</v>
      </c>
      <c r="CR234" s="81">
        <f>+INPUT!DQ211</f>
        <v>95.374251497005986</v>
      </c>
      <c r="CS234" s="240">
        <f>+INPUT!DR211</f>
        <v>16.199865258380328</v>
      </c>
      <c r="CT234" s="81">
        <f>+INPUT!DS211</f>
        <v>88.539144471347868</v>
      </c>
      <c r="CU234" s="240">
        <f>+INPUT!DT211</f>
        <v>16.155467168494937</v>
      </c>
      <c r="CV234" s="81">
        <f>+INPUT!DU211</f>
        <v>92.547169811320757</v>
      </c>
      <c r="CW234" s="240">
        <f>+INPUT!DV211</f>
        <v>14.92121086460709</v>
      </c>
      <c r="CX234" s="81">
        <f>+INPUT!DW211</f>
        <v>87.506453278265354</v>
      </c>
      <c r="CY234" s="240">
        <f>+INPUT!DX211</f>
        <v>-2.0303743540392105</v>
      </c>
      <c r="CZ234" s="81">
        <f>+INPUT!DY211</f>
        <v>96.024609559867486</v>
      </c>
      <c r="DA234" s="240">
        <f>+INPUT!DZ211</f>
        <v>0.68190109243680297</v>
      </c>
      <c r="DB234" s="81">
        <f>+INPUT!EA211</f>
        <v>88.431061806656103</v>
      </c>
      <c r="DC234" s="240">
        <f>+INPUT!EB211</f>
        <v>-0.12207331044037062</v>
      </c>
      <c r="DD234" s="81">
        <f>+INPUT!EC211</f>
        <v>89.468987059348507</v>
      </c>
      <c r="DE234" s="240">
        <f>+INPUT!ED211</f>
        <v>-3.3260690286346488</v>
      </c>
      <c r="DF234" s="81">
        <f>+INPUT!EE211</f>
        <v>95.344760420724583</v>
      </c>
      <c r="DG234" s="240">
        <f>+INPUT!EF211</f>
        <v>8.9574046813826129</v>
      </c>
      <c r="DH234" s="81">
        <f>+INPUT!EG211</f>
        <v>91.186252771618626</v>
      </c>
      <c r="DI234" s="240">
        <f>+INPUT!EH211</f>
        <v>-5.0386633285213662</v>
      </c>
      <c r="DJ234" s="81">
        <f>+INPUT!EI211</f>
        <v>79.504388229220453</v>
      </c>
      <c r="DK234" s="240">
        <f>+INPUT!EJ211</f>
        <v>-10.094500049035659</v>
      </c>
      <c r="DL234" s="81">
        <f>+INPUT!EK211</f>
        <v>91.461047962295538</v>
      </c>
      <c r="DM234" s="240">
        <f>+INPUT!EL211</f>
        <v>2.2265378970096208</v>
      </c>
      <c r="DN234" s="81">
        <f>+INPUT!EM211</f>
        <v>92.390303774163854</v>
      </c>
      <c r="DO234" s="240">
        <f>+INPUT!EN211</f>
        <v>-3.098708973124161</v>
      </c>
      <c r="DP234" s="81">
        <f>+INPUT!EO211</f>
        <v>94.226190476190482</v>
      </c>
      <c r="DQ234" s="240">
        <f>+INPUT!EP211</f>
        <v>3.3337675495730252</v>
      </c>
      <c r="DR234" s="81">
        <f>+INPUT!EQ211</f>
        <v>90.805769105696655</v>
      </c>
      <c r="DS234" s="240">
        <f>+INPUT!ER211</f>
        <v>14.21478880372365</v>
      </c>
      <c r="DT234" s="81">
        <f>+INPUT!ES211</f>
        <v>91.545489792282382</v>
      </c>
      <c r="DU234" s="240">
        <f>+INPUT!ET211</f>
        <v>9.2325456429989572E-2</v>
      </c>
      <c r="DV234" s="81">
        <f>+INPUT!EU211</f>
        <v>92.230572616789644</v>
      </c>
      <c r="DW234" s="240">
        <f>+INPUT!EV211</f>
        <v>-0.17288736030639029</v>
      </c>
      <c r="DX234" s="81">
        <f>+INPUT!EW211</f>
        <v>92.677278373298435</v>
      </c>
      <c r="DY234" s="240">
        <f>+INPUT!EX211</f>
        <v>-1.643823330927745</v>
      </c>
      <c r="DZ234" s="81"/>
      <c r="EA234" s="240"/>
      <c r="EB234" s="155">
        <f>+INPUT!FI211</f>
        <v>3.1121012407562034</v>
      </c>
      <c r="EC234" s="81">
        <f>+INPUT!FJ211</f>
        <v>93.683764306909708</v>
      </c>
      <c r="ED234" s="155">
        <f>+INPUT!FK211</f>
        <v>-1.890231080165421</v>
      </c>
      <c r="EE234" s="81">
        <f>+INPUT!FL211</f>
        <v>91.582639193336263</v>
      </c>
      <c r="EF234" s="155">
        <f>+INPUT!FM211</f>
        <v>-2.2427846800541857</v>
      </c>
      <c r="EG234" s="81">
        <f>+INPUT!FN211</f>
        <v>89.643410852713174</v>
      </c>
      <c r="EH234" s="155">
        <f>+INPUT!FO211</f>
        <v>-2.1174628266928011</v>
      </c>
      <c r="EI234" s="81">
        <f>+INPUT!FP211</f>
        <v>87.627329192546583</v>
      </c>
      <c r="EJ234" s="240">
        <f>+INPUT!FQ211</f>
        <v>-2.2490015060661648</v>
      </c>
      <c r="EK234" s="81">
        <f>+INPUT!FR211</f>
        <v>88.353505366522029</v>
      </c>
      <c r="EL234" s="240">
        <f>+INPUT!FS211</f>
        <v>0.82870969669724559</v>
      </c>
      <c r="EM234" s="81">
        <f>+INPUT!FT211</f>
        <v>89.762107051826675</v>
      </c>
      <c r="EN234" s="240">
        <f>+INPUT!FU211</f>
        <v>1.5942793434864342</v>
      </c>
      <c r="EO234" s="81">
        <f>+INPUT!FV211</f>
        <v>88.989504013171441</v>
      </c>
      <c r="EP234" s="240">
        <f>+INPUT!FW211</f>
        <v>-0.86072293090128937</v>
      </c>
      <c r="EQ234" s="81">
        <f>+INPUT!FX211</f>
        <v>89.461257780639627</v>
      </c>
      <c r="ER234" s="240">
        <f>+INPUT!FY211</f>
        <v>0.53012293157443935</v>
      </c>
      <c r="ES234" s="81">
        <f>+INPUT!FZ211</f>
        <v>89.098977426201046</v>
      </c>
      <c r="ET234" s="240">
        <f>+INPUT!GA211</f>
        <v>-0.40495781461837055</v>
      </c>
      <c r="EU234" s="81">
        <f>+INPUT!GB211</f>
        <v>87.805378772326009</v>
      </c>
      <c r="EV234" s="240">
        <f>+INPUT!GC211</f>
        <v>-1.451867003688676</v>
      </c>
      <c r="EW234" s="81">
        <f>+INPUT!GD211</f>
        <v>98.256592430659921</v>
      </c>
      <c r="EX234" s="240">
        <f>+INPUT!GE211</f>
        <v>11.902703233515183</v>
      </c>
      <c r="EY234" s="81">
        <f>+INPUT!GF211</f>
        <v>82.76376907763769</v>
      </c>
      <c r="EZ234" s="240">
        <f>+INPUT!GG211</f>
        <v>-15.767718958863327</v>
      </c>
      <c r="FA234" s="81">
        <f>+INPUT!GH211</f>
        <v>89.939554525130418</v>
      </c>
      <c r="FB234" s="240">
        <f>+INPUT!GI211</f>
        <v>8.6702013785300096</v>
      </c>
      <c r="FC234" s="81">
        <f>+INPUT!GJ211</f>
        <v>92.124185771085351</v>
      </c>
      <c r="FD234" s="240">
        <f>+INPUT!GK211</f>
        <v>2.4289994068677601</v>
      </c>
      <c r="FE234" s="81">
        <f>+INPUT!GL211</f>
        <v>92.140416278347317</v>
      </c>
      <c r="FF234" s="240">
        <f>+INPUT!GM211</f>
        <v>1.761807404440674E-2</v>
      </c>
      <c r="FG234" s="81">
        <f>+INPUT!GN211</f>
        <v>91.013508632521862</v>
      </c>
      <c r="FH234" s="240">
        <f>+INPUT!GO211</f>
        <v>-1.223032944002739</v>
      </c>
      <c r="FI234" s="81">
        <f>+INPUT!GP211</f>
        <v>91.822230552736187</v>
      </c>
      <c r="FJ234" s="240">
        <f>+INPUT!GQ211</f>
        <v>0.88857350119270961</v>
      </c>
      <c r="FK234" s="81">
        <f>+INPUT!GR211</f>
        <v>91.920595623680185</v>
      </c>
      <c r="FL234" s="240">
        <f>+INPUT!GS211</f>
        <v>0.10712555157054737</v>
      </c>
      <c r="FM234" s="81">
        <f>+INPUT!GT211</f>
        <v>92.063781472906371</v>
      </c>
      <c r="FN234" s="240">
        <f>+INPUT!GU211</f>
        <v>0.15577123739754484</v>
      </c>
      <c r="FO234" s="81">
        <f>+INPUT!GV211</f>
        <v>92.205325475901503</v>
      </c>
      <c r="FP234" s="240">
        <f>+INPUT!GW211</f>
        <v>0.15374558890653134</v>
      </c>
      <c r="FQ234" s="81">
        <f>+INPUT!GX211</f>
        <v>92.34522232988121</v>
      </c>
      <c r="FR234" s="240">
        <f>+INPUT!GY211</f>
        <v>0.15172318221064529</v>
      </c>
      <c r="FS234" s="240">
        <f>+INPUT!GZ211</f>
        <v>0.29094299829797166</v>
      </c>
    </row>
    <row r="235" spans="1:175" ht="12.75" hidden="1" customHeight="1" outlineLevel="1" x14ac:dyDescent="0.2">
      <c r="A235" s="246"/>
      <c r="B235" s="81"/>
      <c r="C235" s="155"/>
      <c r="D235" s="81"/>
      <c r="E235" s="155"/>
      <c r="F235" s="81"/>
      <c r="G235" s="155"/>
      <c r="H235" s="81"/>
      <c r="I235" s="155"/>
      <c r="J235" s="81"/>
      <c r="K235" s="155"/>
      <c r="L235" s="81"/>
      <c r="M235" s="155"/>
      <c r="N235" s="81"/>
      <c r="O235" s="155"/>
      <c r="P235" s="81"/>
      <c r="Q235" s="155"/>
      <c r="R235" s="81"/>
      <c r="S235" s="155"/>
      <c r="T235" s="81"/>
      <c r="U235" s="155"/>
      <c r="V235" s="81"/>
      <c r="W235" s="155"/>
      <c r="X235" s="81"/>
      <c r="Y235" s="155"/>
      <c r="Z235" s="81"/>
      <c r="AA235" s="155"/>
      <c r="AB235" s="81"/>
      <c r="AC235" s="155"/>
      <c r="AD235" s="81"/>
      <c r="AE235" s="155"/>
      <c r="AF235" s="81"/>
      <c r="AG235" s="155"/>
      <c r="AH235" s="81"/>
      <c r="AI235" s="240"/>
      <c r="AJ235" s="81"/>
      <c r="AK235" s="240"/>
      <c r="AL235" s="81"/>
      <c r="AM235" s="240"/>
      <c r="AN235" s="81"/>
      <c r="AO235" s="240"/>
      <c r="AP235" s="81"/>
      <c r="AQ235" s="240"/>
      <c r="AR235" s="81"/>
      <c r="AS235" s="240"/>
      <c r="AT235" s="81"/>
      <c r="AU235" s="240"/>
      <c r="AV235" s="81"/>
      <c r="AW235" s="240"/>
      <c r="AX235" s="81"/>
      <c r="AY235" s="240"/>
      <c r="AZ235" s="81"/>
      <c r="BA235" s="240"/>
      <c r="BB235" s="81"/>
      <c r="BC235" s="240"/>
      <c r="BD235" s="81"/>
      <c r="BE235" s="240"/>
      <c r="BF235" s="81"/>
      <c r="BG235" s="240"/>
      <c r="BH235" s="81"/>
      <c r="BI235" s="240"/>
      <c r="BJ235" s="81"/>
      <c r="BK235" s="240"/>
      <c r="BL235" s="81"/>
      <c r="BM235" s="240"/>
      <c r="BN235" s="81"/>
      <c r="BO235" s="240"/>
      <c r="BP235" s="81"/>
      <c r="BQ235" s="240"/>
      <c r="BR235" s="81"/>
      <c r="BS235" s="240"/>
      <c r="BT235" s="81"/>
      <c r="BU235" s="240"/>
      <c r="BV235" s="81"/>
      <c r="BW235" s="240"/>
      <c r="BX235" s="81"/>
      <c r="BY235" s="240"/>
      <c r="BZ235" s="81"/>
      <c r="CA235" s="240"/>
      <c r="CB235" s="81"/>
      <c r="CC235" s="240"/>
      <c r="CD235" s="81"/>
      <c r="CE235" s="240"/>
      <c r="CF235" s="81"/>
      <c r="CG235" s="240"/>
      <c r="CH235" s="81"/>
      <c r="CI235" s="240"/>
      <c r="CJ235" s="81"/>
      <c r="CK235" s="240"/>
      <c r="CL235" s="81"/>
      <c r="CM235" s="240"/>
      <c r="CN235" s="81"/>
      <c r="CO235" s="240"/>
      <c r="CP235" s="81"/>
      <c r="CQ235" s="240"/>
      <c r="CR235" s="81"/>
      <c r="CS235" s="240"/>
      <c r="CT235" s="81"/>
      <c r="CU235" s="240"/>
      <c r="CV235" s="81"/>
      <c r="CW235" s="240"/>
      <c r="CX235" s="81"/>
      <c r="CY235" s="240"/>
      <c r="CZ235" s="81"/>
      <c r="DA235" s="240"/>
      <c r="DB235" s="81"/>
      <c r="DC235" s="240"/>
      <c r="DD235" s="81"/>
      <c r="DE235" s="240"/>
      <c r="DF235" s="81"/>
      <c r="DG235" s="240"/>
      <c r="DH235" s="81"/>
      <c r="DI235" s="240"/>
      <c r="DJ235" s="81"/>
      <c r="DK235" s="240"/>
      <c r="DL235" s="81"/>
      <c r="DM235" s="240"/>
      <c r="DN235" s="81"/>
      <c r="DO235" s="240"/>
      <c r="DP235" s="81"/>
      <c r="DQ235" s="240"/>
      <c r="DR235" s="81"/>
      <c r="DS235" s="240"/>
      <c r="DT235" s="81"/>
      <c r="DU235" s="240"/>
      <c r="DV235" s="81"/>
      <c r="DW235" s="240"/>
      <c r="DX235" s="81"/>
      <c r="DY235" s="240"/>
      <c r="DZ235" s="81"/>
      <c r="EA235" s="240"/>
      <c r="EB235" s="155"/>
      <c r="EC235" s="81"/>
      <c r="ED235" s="155"/>
      <c r="EE235" s="81"/>
      <c r="EF235" s="155"/>
      <c r="EG235" s="81"/>
      <c r="EH235" s="155"/>
      <c r="EI235" s="81"/>
      <c r="EJ235" s="240"/>
      <c r="EK235" s="81"/>
      <c r="EL235" s="240"/>
      <c r="EM235" s="81"/>
      <c r="EN235" s="240"/>
      <c r="EO235" s="81"/>
      <c r="EP235" s="240"/>
      <c r="EQ235" s="81"/>
      <c r="ER235" s="240"/>
      <c r="ES235" s="81"/>
      <c r="ET235" s="240"/>
      <c r="EU235" s="81"/>
      <c r="EV235" s="240"/>
      <c r="EW235" s="81"/>
      <c r="EX235" s="240"/>
      <c r="EY235" s="81"/>
      <c r="EZ235" s="240"/>
      <c r="FA235" s="81"/>
      <c r="FB235" s="240"/>
      <c r="FC235" s="81"/>
      <c r="FD235" s="240"/>
      <c r="FE235" s="81"/>
      <c r="FF235" s="240"/>
      <c r="FG235" s="81"/>
      <c r="FH235" s="240"/>
      <c r="FI235" s="81"/>
      <c r="FJ235" s="240"/>
      <c r="FK235" s="81"/>
      <c r="FL235" s="240"/>
      <c r="FM235" s="81"/>
      <c r="FN235" s="240"/>
      <c r="FO235" s="81"/>
      <c r="FP235" s="240"/>
      <c r="FQ235" s="81"/>
      <c r="FR235" s="240"/>
      <c r="FS235" s="240"/>
    </row>
    <row r="236" spans="1:175" ht="12.75" hidden="1" customHeight="1" outlineLevel="1" x14ac:dyDescent="0.2">
      <c r="A236" s="514" t="s">
        <v>321</v>
      </c>
      <c r="B236" s="81"/>
      <c r="C236" s="155"/>
      <c r="D236" s="81"/>
      <c r="E236" s="155"/>
      <c r="F236" s="81"/>
      <c r="G236" s="155"/>
      <c r="H236" s="81"/>
      <c r="I236" s="155"/>
      <c r="J236" s="81"/>
      <c r="K236" s="155"/>
      <c r="L236" s="81"/>
      <c r="M236" s="155"/>
      <c r="N236" s="81"/>
      <c r="O236" s="155"/>
      <c r="P236" s="81"/>
      <c r="Q236" s="155"/>
      <c r="R236" s="81"/>
      <c r="S236" s="155"/>
      <c r="T236" s="81"/>
      <c r="U236" s="155"/>
      <c r="V236" s="81"/>
      <c r="W236" s="155"/>
      <c r="X236" s="81"/>
      <c r="Y236" s="155"/>
      <c r="Z236" s="81"/>
      <c r="AA236" s="155"/>
      <c r="AB236" s="81"/>
      <c r="AC236" s="155"/>
      <c r="AD236" s="81"/>
      <c r="AE236" s="155"/>
      <c r="AF236" s="81"/>
      <c r="AG236" s="155"/>
      <c r="AH236" s="81"/>
      <c r="AI236" s="240"/>
      <c r="AJ236" s="81"/>
      <c r="AK236" s="240"/>
      <c r="AL236" s="81"/>
      <c r="AM236" s="240"/>
      <c r="AN236" s="81"/>
      <c r="AO236" s="240"/>
      <c r="AP236" s="81"/>
      <c r="AQ236" s="240"/>
      <c r="AR236" s="81"/>
      <c r="AS236" s="240"/>
      <c r="AT236" s="81"/>
      <c r="AU236" s="240"/>
      <c r="AV236" s="81"/>
      <c r="AW236" s="240"/>
      <c r="AX236" s="81"/>
      <c r="AY236" s="240"/>
      <c r="AZ236" s="81"/>
      <c r="BA236" s="240"/>
      <c r="BB236" s="81"/>
      <c r="BC236" s="240"/>
      <c r="BD236" s="81"/>
      <c r="BE236" s="240"/>
      <c r="BF236" s="81"/>
      <c r="BG236" s="240"/>
      <c r="BH236" s="81"/>
      <c r="BI236" s="240"/>
      <c r="BJ236" s="81"/>
      <c r="BK236" s="240"/>
      <c r="BL236" s="81"/>
      <c r="BM236" s="240"/>
      <c r="BN236" s="81"/>
      <c r="BO236" s="240"/>
      <c r="BP236" s="81"/>
      <c r="BQ236" s="240"/>
      <c r="BR236" s="81"/>
      <c r="BS236" s="240"/>
      <c r="BT236" s="81"/>
      <c r="BU236" s="240"/>
      <c r="BV236" s="81"/>
      <c r="BW236" s="240"/>
      <c r="BX236" s="81"/>
      <c r="BY236" s="240"/>
      <c r="BZ236" s="81"/>
      <c r="CA236" s="240"/>
      <c r="CB236" s="81"/>
      <c r="CC236" s="240"/>
      <c r="CD236" s="81"/>
      <c r="CE236" s="240"/>
      <c r="CF236" s="81"/>
      <c r="CG236" s="240"/>
      <c r="CH236" s="81"/>
      <c r="CI236" s="240"/>
      <c r="CJ236" s="81"/>
      <c r="CK236" s="240"/>
      <c r="CL236" s="81"/>
      <c r="CM236" s="240"/>
      <c r="CN236" s="81"/>
      <c r="CO236" s="240"/>
      <c r="CP236" s="81"/>
      <c r="CQ236" s="240"/>
      <c r="CR236" s="81"/>
      <c r="CS236" s="240"/>
      <c r="CT236" s="81"/>
      <c r="CU236" s="240"/>
      <c r="CV236" s="81"/>
      <c r="CW236" s="240"/>
      <c r="CX236" s="81"/>
      <c r="CY236" s="240"/>
      <c r="CZ236" s="81"/>
      <c r="DA236" s="240"/>
      <c r="DB236" s="81"/>
      <c r="DC236" s="240"/>
      <c r="DD236" s="81"/>
      <c r="DE236" s="240"/>
      <c r="DF236" s="81"/>
      <c r="DG236" s="240"/>
      <c r="DH236" s="81"/>
      <c r="DI236" s="240"/>
      <c r="DJ236" s="81"/>
      <c r="DK236" s="240"/>
      <c r="DL236" s="81"/>
      <c r="DM236" s="240"/>
      <c r="DN236" s="81"/>
      <c r="DO236" s="240"/>
      <c r="DP236" s="81"/>
      <c r="DQ236" s="240"/>
      <c r="DR236" s="81"/>
      <c r="DS236" s="240"/>
      <c r="DT236" s="81"/>
      <c r="DU236" s="240"/>
      <c r="DV236" s="81"/>
      <c r="DW236" s="240"/>
      <c r="DX236" s="81"/>
      <c r="DY236" s="240"/>
      <c r="DZ236" s="81"/>
      <c r="EA236" s="240"/>
      <c r="EB236" s="155"/>
      <c r="EC236" s="81"/>
      <c r="ED236" s="155"/>
      <c r="EE236" s="81"/>
      <c r="EF236" s="155"/>
      <c r="EG236" s="81"/>
      <c r="EH236" s="155"/>
      <c r="EI236" s="81"/>
      <c r="EJ236" s="240"/>
      <c r="EK236" s="81"/>
      <c r="EL236" s="240"/>
      <c r="EM236" s="81"/>
      <c r="EN236" s="240"/>
      <c r="EO236" s="81"/>
      <c r="EP236" s="240"/>
      <c r="EQ236" s="81"/>
      <c r="ER236" s="240"/>
      <c r="ES236" s="81"/>
      <c r="ET236" s="240"/>
      <c r="EU236" s="81"/>
      <c r="EV236" s="240"/>
      <c r="EW236" s="81"/>
      <c r="EX236" s="240"/>
      <c r="EY236" s="81"/>
      <c r="EZ236" s="240"/>
      <c r="FA236" s="81"/>
      <c r="FB236" s="240"/>
      <c r="FC236" s="81"/>
      <c r="FD236" s="240"/>
      <c r="FE236" s="81"/>
      <c r="FF236" s="240"/>
      <c r="FG236" s="81"/>
      <c r="FH236" s="240"/>
      <c r="FI236" s="81"/>
      <c r="FJ236" s="240"/>
      <c r="FK236" s="81"/>
      <c r="FL236" s="240"/>
      <c r="FM236" s="81"/>
      <c r="FN236" s="240"/>
      <c r="FO236" s="81"/>
      <c r="FP236" s="240"/>
      <c r="FQ236" s="81"/>
      <c r="FR236" s="240"/>
      <c r="FS236" s="240"/>
    </row>
    <row r="237" spans="1:175" ht="12.75" hidden="1" customHeight="1" outlineLevel="1" x14ac:dyDescent="0.2">
      <c r="A237" s="246" t="str">
        <f>+INPUT!B195</f>
        <v>Net Investment Income/Spread-based Assets (%)</v>
      </c>
      <c r="B237" s="73">
        <f>+INPUT!AA195</f>
        <v>0</v>
      </c>
      <c r="C237" s="155">
        <f>+INPUT!AB195</f>
        <v>0</v>
      </c>
      <c r="D237" s="73">
        <f>+INPUT!AC195</f>
        <v>0</v>
      </c>
      <c r="E237" s="155">
        <f>+INPUT!AD195</f>
        <v>0</v>
      </c>
      <c r="F237" s="73">
        <f>+INPUT!AE195</f>
        <v>0</v>
      </c>
      <c r="G237" s="155">
        <f>+INPUT!AF195</f>
        <v>0</v>
      </c>
      <c r="H237" s="73">
        <f>+INPUT!AG195</f>
        <v>0</v>
      </c>
      <c r="I237" s="155">
        <f>+INPUT!AH195</f>
        <v>0</v>
      </c>
      <c r="J237" s="73">
        <f>+INPUT!AI195</f>
        <v>5.1227537332320932</v>
      </c>
      <c r="K237" s="155" t="str">
        <f>+INPUT!AJ195</f>
        <v>NA</v>
      </c>
      <c r="L237" s="73">
        <f>+INPUT!AK195</f>
        <v>5.9888365984458787</v>
      </c>
      <c r="M237" s="155" t="str">
        <f>+INPUT!AL195</f>
        <v>NA</v>
      </c>
      <c r="N237" s="73">
        <f>+INPUT!AM195</f>
        <v>6.1496859734822049</v>
      </c>
      <c r="O237" s="155" t="str">
        <f>+INPUT!AN195</f>
        <v>NA</v>
      </c>
      <c r="P237" s="73">
        <f>+INPUT!AO195</f>
        <v>6.0151006711409396</v>
      </c>
      <c r="Q237" s="155" t="str">
        <f>+INPUT!AP195</f>
        <v>NA</v>
      </c>
      <c r="R237" s="73">
        <f>+INPUT!AQ195</f>
        <v>6.2224831229820952</v>
      </c>
      <c r="S237" s="155">
        <f>+INPUT!AR195</f>
        <v>21.467543571651476</v>
      </c>
      <c r="T237" s="73">
        <f>+INPUT!AS195</f>
        <v>6.1466304616144161</v>
      </c>
      <c r="U237" s="155">
        <f>+INPUT!AT195</f>
        <v>2.6347999411018321</v>
      </c>
      <c r="V237" s="73">
        <f>+INPUT!AU195</f>
        <v>6.32908804710019</v>
      </c>
      <c r="W237" s="155">
        <f>+INPUT!AV195</f>
        <v>2.9172558467469116</v>
      </c>
      <c r="X237" s="73">
        <f>+INPUT!AW195</f>
        <v>6.5474209650582358</v>
      </c>
      <c r="Y237" s="155">
        <f>+INPUT!AX195</f>
        <v>8.84973208297653</v>
      </c>
      <c r="Z237" s="73">
        <f>+INPUT!AY195</f>
        <v>6.7605633802816891</v>
      </c>
      <c r="AA237" s="155">
        <f>+INPUT!AZ195</f>
        <v>8.6473558331118738</v>
      </c>
      <c r="AB237" s="73">
        <f>+INPUT!BA195</f>
        <v>7.30714300940038</v>
      </c>
      <c r="AC237" s="155">
        <f>+INPUT!BB195</f>
        <v>18.880467193096152</v>
      </c>
      <c r="AD237" s="73">
        <f>+INPUT!BC195</f>
        <v>7.0025066709792192</v>
      </c>
      <c r="AE237" s="155">
        <f>+INPUT!BD195</f>
        <v>10.640057759783744</v>
      </c>
      <c r="AF237" s="73">
        <f>+INPUT!BE195</f>
        <v>7.193300045753845</v>
      </c>
      <c r="AG237" s="155">
        <f>+INPUT!BF195</f>
        <v>9.8646334815263259</v>
      </c>
      <c r="AH237" s="73">
        <f>+INPUT!BG195</f>
        <v>7.058684194942856</v>
      </c>
      <c r="AI237" s="240">
        <f>+INPUT!BH195</f>
        <v>4.4097037168630919</v>
      </c>
      <c r="AJ237" s="73">
        <f>+INPUT!BI195</f>
        <v>7.1397714330597344</v>
      </c>
      <c r="AK237" s="240">
        <f>+INPUT!BJ195</f>
        <v>-2.2905200585964707</v>
      </c>
      <c r="AL237" s="73">
        <f>+INPUT!BK195</f>
        <v>7.2365235245123669</v>
      </c>
      <c r="AM237" s="240">
        <f>+INPUT!BL195</f>
        <v>3.3419011866564006</v>
      </c>
      <c r="AN237" s="73">
        <f>+INPUT!BM195</f>
        <v>7.2803395941152527</v>
      </c>
      <c r="AO237" s="240">
        <f>+INPUT!BN195</f>
        <v>1.2100085886558531</v>
      </c>
      <c r="AP237" s="73">
        <f>+INPUT!BO195</f>
        <v>6.9135037838465561</v>
      </c>
      <c r="AQ237" s="240">
        <f>+INPUT!BP195</f>
        <v>-2.0567630890798796</v>
      </c>
      <c r="AR237" s="73">
        <f>+INPUT!BQ195</f>
        <v>6.8720517151010423</v>
      </c>
      <c r="AS237" s="240">
        <f>+INPUT!BR195</f>
        <v>-3.7496959177019704</v>
      </c>
      <c r="AT237" s="73">
        <f>+INPUT!BS195</f>
        <v>7.0582122659419282</v>
      </c>
      <c r="AU237" s="240">
        <f>+INPUT!BT195</f>
        <v>-2.4640458635481934</v>
      </c>
      <c r="AV237" s="73">
        <f>+INPUT!BU195</f>
        <v>7.1537501732982109</v>
      </c>
      <c r="AW237" s="240">
        <f>+INPUT!BV195</f>
        <v>-1.7387845605356773</v>
      </c>
      <c r="AX237" s="73">
        <f>+INPUT!BW195</f>
        <v>7.0242708545788286</v>
      </c>
      <c r="AY237" s="240">
        <f>+INPUT!BX195</f>
        <v>1.6021842787022251</v>
      </c>
      <c r="AZ237" s="73">
        <f>+INPUT!BY195</f>
        <v>6.7185447195553305</v>
      </c>
      <c r="BA237" s="240">
        <f>+INPUT!BZ195</f>
        <v>-2.2337869665384886</v>
      </c>
      <c r="BB237" s="73">
        <f>+INPUT!CA195</f>
        <v>6.5021840157967166</v>
      </c>
      <c r="BC237" s="240">
        <f>+INPUT!CB195</f>
        <v>-7.8777490559220098</v>
      </c>
      <c r="BD237" s="73">
        <f>+INPUT!CC195</f>
        <v>6.180164907143407</v>
      </c>
      <c r="BE237" s="240">
        <f>+INPUT!CD195</f>
        <v>-13.609439001501173</v>
      </c>
      <c r="BF237" s="73">
        <f>+INPUT!CE195</f>
        <v>6.0415403274711945</v>
      </c>
      <c r="BG237" s="240">
        <f>+INPUT!CF195</f>
        <v>-13.99049876425299</v>
      </c>
      <c r="BH237" s="73">
        <f>+INPUT!CG195</f>
        <v>5.7535959974984365</v>
      </c>
      <c r="BI237" s="240">
        <f>+INPUT!CH195</f>
        <v>-14.362466312805296</v>
      </c>
      <c r="BJ237" s="73">
        <f>+INPUT!CI195</f>
        <v>5.5196234465476959</v>
      </c>
      <c r="BK237" s="240">
        <f>+INPUT!CJ195</f>
        <v>-15.111239036944227</v>
      </c>
      <c r="BL237" s="73">
        <f>+INPUT!CK195</f>
        <v>5.116619665643551</v>
      </c>
      <c r="BM237" s="240">
        <f>+INPUT!CL195</f>
        <v>-17.209010721874847</v>
      </c>
      <c r="BN237" s="73">
        <f>+INPUT!CM195</f>
        <v>4.6739824653080184</v>
      </c>
      <c r="BO237" s="240">
        <f>+INPUT!CN195</f>
        <v>-22.635913823910442</v>
      </c>
      <c r="BP237" s="73">
        <f>+INPUT!CO195</f>
        <v>4.3436618958330522</v>
      </c>
      <c r="BQ237" s="240">
        <f>+INPUT!CP195</f>
        <v>-24.505267701771189</v>
      </c>
      <c r="BR237" s="73">
        <f>+INPUT!CQ195</f>
        <v>3.904959447542633</v>
      </c>
      <c r="BS237" s="240">
        <f>+INPUT!CR195</f>
        <v>-29.253154941483757</v>
      </c>
      <c r="BT237" s="73">
        <f>+INPUT!CS195</f>
        <v>3.4721220126763535</v>
      </c>
      <c r="BU237" s="240">
        <f>+INPUT!CT195</f>
        <v>-32.140314512909143</v>
      </c>
      <c r="BV237" s="73">
        <f>+INPUT!CU195</f>
        <v>3.3200856658817517</v>
      </c>
      <c r="BW237" s="240">
        <f>+INPUT!CV195</f>
        <v>-28.966664070209433</v>
      </c>
      <c r="BX237" s="73">
        <f>+INPUT!CW195</f>
        <v>3.0338822564743317</v>
      </c>
      <c r="BY237" s="240">
        <f>+INPUT!CX195</f>
        <v>-30.153811939534563</v>
      </c>
      <c r="BZ237" s="73">
        <f>+INPUT!CY195</f>
        <v>2.93178907937236</v>
      </c>
      <c r="CA237" s="240">
        <f>+INPUT!CZ195</f>
        <v>-24.921394991251006</v>
      </c>
      <c r="CB237" s="73">
        <f>+INPUT!DA195</f>
        <v>2.4887757627178564</v>
      </c>
      <c r="CC237" s="240">
        <f>+INPUT!DB195</f>
        <v>-28.321189358219641</v>
      </c>
      <c r="CD237" s="73">
        <f>+INPUT!DC195</f>
        <v>2.7018900644006405</v>
      </c>
      <c r="CE237" s="240">
        <f>+INPUT!DD195</f>
        <v>-18.619868994161337</v>
      </c>
      <c r="CF237" s="73">
        <f>+INPUT!DE195</f>
        <v>2.8729849202989572</v>
      </c>
      <c r="CG237" s="240">
        <f>+INPUT!DF195</f>
        <v>-5.3033480726556945</v>
      </c>
      <c r="CH237" s="73">
        <f>+INPUT!DG195</f>
        <v>2.7328348062542487</v>
      </c>
      <c r="CI237" s="240">
        <f>+INPUT!DH195</f>
        <v>-6.7861045843278589</v>
      </c>
      <c r="CJ237" s="73">
        <f>+INPUT!DI195</f>
        <v>2.8406580902531426</v>
      </c>
      <c r="CK237" s="240">
        <f>+INPUT!DJ195</f>
        <v>14.138771873566242</v>
      </c>
      <c r="CL237" s="73">
        <f>+INPUT!DK195</f>
        <v>2.90523249209881</v>
      </c>
      <c r="CM237" s="240">
        <f>+INPUT!DL195</f>
        <v>7.5259326934634885</v>
      </c>
      <c r="CN237" s="73">
        <f>+INPUT!DM195</f>
        <v>2.7361029999127346</v>
      </c>
      <c r="CO237" s="240">
        <f>+INPUT!DN195</f>
        <v>-4.7644496641485574</v>
      </c>
      <c r="CP237" s="73">
        <f>+INPUT!DO195</f>
        <v>2.3517883390494854</v>
      </c>
      <c r="CQ237" s="240">
        <f>+INPUT!DP195</f>
        <v>-13.943267493985246</v>
      </c>
      <c r="CR237" s="73">
        <f>+INPUT!DQ195</f>
        <v>2.3847562638818531</v>
      </c>
      <c r="CS237" s="240">
        <f>+INPUT!DR195</f>
        <v>-16.049162267559709</v>
      </c>
      <c r="CT237" s="73">
        <f>+INPUT!DS195</f>
        <v>2.3509485094850948</v>
      </c>
      <c r="CU237" s="240">
        <f>+INPUT!DT195</f>
        <v>-19.078816725379767</v>
      </c>
      <c r="CV237" s="73">
        <f>+INPUT!DU195</f>
        <v>2.191536360569756</v>
      </c>
      <c r="CW237" s="240">
        <f>+INPUT!DV195</f>
        <v>-19.903002166232312</v>
      </c>
      <c r="CX237" s="73">
        <f>+INPUT!DW195</f>
        <v>2.2657462760511278</v>
      </c>
      <c r="CY237" s="240">
        <f>+INPUT!DX195</f>
        <v>-3.6585802204093341</v>
      </c>
      <c r="CZ237" s="73">
        <f>+INPUT!DY195</f>
        <v>2.2337800893512036</v>
      </c>
      <c r="DA237" s="240">
        <f>+INPUT!DZ195</f>
        <v>-6.3308849133661056</v>
      </c>
      <c r="DB237" s="73">
        <f>+INPUT!EA195</f>
        <v>2.2541878895470058</v>
      </c>
      <c r="DC237" s="240">
        <f>+INPUT!EB195</f>
        <v>-4.1158119604789363</v>
      </c>
      <c r="DD237" s="73">
        <f>+INPUT!EC195</f>
        <v>2.2335002930087016</v>
      </c>
      <c r="DE237" s="240">
        <f>+INPUT!ED195</f>
        <v>1.9148179876895028</v>
      </c>
      <c r="DF237" s="73">
        <f>+INPUT!EE195</f>
        <v>2.3928172523412665</v>
      </c>
      <c r="DG237" s="240">
        <f>+INPUT!EF195</f>
        <v>5.6083497800824063</v>
      </c>
      <c r="DH237" s="73">
        <f>+INPUT!EG195</f>
        <v>2.4430677951313147</v>
      </c>
      <c r="DI237" s="240">
        <f>+INPUT!EH195</f>
        <v>9.3692170853263406</v>
      </c>
      <c r="DJ237" s="73">
        <f>+INPUT!EI195</f>
        <v>2.4806201550387597</v>
      </c>
      <c r="DK237" s="240">
        <f>+INPUT!EJ195</f>
        <v>10.044959718830569</v>
      </c>
      <c r="DL237" s="73">
        <f>+INPUT!EK195</f>
        <v>2.3664326670596432</v>
      </c>
      <c r="DM237" s="240">
        <f>+INPUT!EL195</f>
        <v>5.9517509116540737</v>
      </c>
      <c r="DN237" s="73">
        <f>+INPUT!EM195</f>
        <v>2.2738974198376849</v>
      </c>
      <c r="DO237" s="240">
        <f>+INPUT!EN195</f>
        <v>-4.9698668959037207</v>
      </c>
      <c r="DP237" s="73">
        <f>+INPUT!EO195</f>
        <v>2.3836455998190158</v>
      </c>
      <c r="DQ237" s="240">
        <f>+INPUT!EP195</f>
        <v>-2.4322777874080685</v>
      </c>
      <c r="DR237" s="73">
        <f>+INPUT!EQ195</f>
        <v>2.2999999999999998</v>
      </c>
      <c r="DS237" s="240">
        <f>+INPUT!ER195</f>
        <v>-7.28125</v>
      </c>
      <c r="DT237" s="73">
        <f>+INPUT!ES195</f>
        <v>2.2999999999999998</v>
      </c>
      <c r="DU237" s="240">
        <f>+INPUT!ET195</f>
        <v>-2.8072916666666714</v>
      </c>
      <c r="DV237" s="73">
        <f>+INPUT!EU195</f>
        <v>2.2999999999999998</v>
      </c>
      <c r="DW237" s="240">
        <f>+INPUT!EV195</f>
        <v>1.1479225023342678</v>
      </c>
      <c r="DX237" s="73">
        <f>+INPUT!EW195</f>
        <v>2.2999999999999998</v>
      </c>
      <c r="DY237" s="240">
        <f>+INPUT!EX195</f>
        <v>-3.5091458153580817</v>
      </c>
      <c r="DZ237" s="73"/>
      <c r="EA237" s="240"/>
      <c r="EB237" s="155">
        <f>+INPUT!FI195</f>
        <v>0</v>
      </c>
      <c r="EC237" s="73">
        <f>+INPUT!FJ195</f>
        <v>0</v>
      </c>
      <c r="ED237" s="155">
        <f>+INPUT!FK195</f>
        <v>0</v>
      </c>
      <c r="EE237" s="73">
        <f>+INPUT!FL195</f>
        <v>0</v>
      </c>
      <c r="EF237" s="155" t="str">
        <f>+INPUT!FM195</f>
        <v>NA</v>
      </c>
      <c r="EG237" s="73">
        <f>+INPUT!FN195</f>
        <v>5.4781879194630871</v>
      </c>
      <c r="EH237" s="155" t="str">
        <f>+INPUT!FO195</f>
        <v>NA</v>
      </c>
      <c r="EI237" s="73">
        <f>+INPUT!FP195</f>
        <v>6.3435940099833612</v>
      </c>
      <c r="EJ237" s="240">
        <f>+INPUT!FQ195</f>
        <v>15.797305664627359</v>
      </c>
      <c r="EK237" s="73">
        <f>+INPUT!FR195</f>
        <v>6.8133442081600997</v>
      </c>
      <c r="EL237" s="240">
        <f>+INPUT!FS195</f>
        <v>7.405111320766423</v>
      </c>
      <c r="EM237" s="73">
        <f>+INPUT!FT195</f>
        <v>7.1252737880638097</v>
      </c>
      <c r="EN237" s="240">
        <f>+INPUT!FU195</f>
        <v>4.5782154896874658</v>
      </c>
      <c r="EO237" s="73">
        <f>+INPUT!FV195</f>
        <v>7.0586837258125215</v>
      </c>
      <c r="EP237" s="240">
        <f>+INPUT!FW195</f>
        <v>-0.93456145310288719</v>
      </c>
      <c r="EQ237" s="73">
        <f>+INPUT!FX195</f>
        <v>6.3747399244817764</v>
      </c>
      <c r="ER237" s="240">
        <f>+INPUT!FY195</f>
        <v>-9.6893957556090413</v>
      </c>
      <c r="ES237" s="73">
        <f>+INPUT!FZ195</f>
        <v>5.0449495972453766</v>
      </c>
      <c r="ET237" s="240">
        <f>+INPUT!GA195</f>
        <v>-20.86030713393383</v>
      </c>
      <c r="EU237" s="73">
        <f>+INPUT!GB195</f>
        <v>3.5276226842344793</v>
      </c>
      <c r="EV237" s="240">
        <f>+INPUT!GC195</f>
        <v>-30.076156040079809</v>
      </c>
      <c r="EW237" s="73">
        <f>+INPUT!GD195</f>
        <v>2.2646445363594583</v>
      </c>
      <c r="EX237" s="240">
        <f>+INPUT!GE195</f>
        <v>-35.802529378197846</v>
      </c>
      <c r="EY237" s="73">
        <f>+INPUT!GF195</f>
        <v>2.722185780645507</v>
      </c>
      <c r="EZ237" s="240">
        <f>+INPUT!GG195</f>
        <v>20.203667151294823</v>
      </c>
      <c r="FA237" s="73">
        <f>+INPUT!GH195</f>
        <v>2.343006329290084</v>
      </c>
      <c r="FB237" s="240">
        <f>+INPUT!GI195</f>
        <v>-13.929227536612458</v>
      </c>
      <c r="FC237" s="73">
        <f>+INPUT!GJ195</f>
        <v>2.2682314240625905</v>
      </c>
      <c r="FD237" s="240">
        <f>+INPUT!GK195</f>
        <v>-3.1914085887318038</v>
      </c>
      <c r="FE237" s="73">
        <f>+INPUT!GL195</f>
        <v>2.324731698804642</v>
      </c>
      <c r="FF237" s="240">
        <f>+INPUT!GM195</f>
        <v>2.4909395991373344</v>
      </c>
      <c r="FG237" s="73">
        <f>+INPUT!GN195</f>
        <v>2.304464965139954</v>
      </c>
      <c r="FH237" s="240">
        <f>+INPUT!GO195</f>
        <v>-0.87178807236590217</v>
      </c>
      <c r="FI237" s="73">
        <f>+INPUT!GP195</f>
        <v>2.2710852029974884</v>
      </c>
      <c r="FJ237" s="240">
        <f>+INPUT!GQ195</f>
        <v>-1.4484820835815384</v>
      </c>
      <c r="FK237" s="73">
        <f>+INPUT!GR195</f>
        <v>2.2610852029974886</v>
      </c>
      <c r="FL237" s="240">
        <f>+INPUT!GS195</f>
        <v>-0.440318134555298</v>
      </c>
      <c r="FM237" s="73">
        <f>+INPUT!GT195</f>
        <v>2.2510852029974888</v>
      </c>
      <c r="FN237" s="240">
        <f>+INPUT!GU195</f>
        <v>-0.44226550979780654</v>
      </c>
      <c r="FO237" s="73">
        <f>+INPUT!GV195</f>
        <v>2.241085202997489</v>
      </c>
      <c r="FP237" s="240">
        <f>+INPUT!GW195</f>
        <v>-0.44423018669769476</v>
      </c>
      <c r="FQ237" s="73">
        <f>+INPUT!GX195</f>
        <v>2.2310852029974892</v>
      </c>
      <c r="FR237" s="240">
        <f>+INPUT!GY195</f>
        <v>-0.44621239686134118</v>
      </c>
      <c r="FS237" s="240">
        <f>+INPUT!GZ195</f>
        <v>-0.64511861768793421</v>
      </c>
    </row>
    <row r="238" spans="1:175" ht="12.75" hidden="1" customHeight="1" outlineLevel="1" x14ac:dyDescent="0.2">
      <c r="A238" s="246" t="str">
        <f>+INPUT!B196</f>
        <v>Interest Credited/Spread-based Assets (%)</v>
      </c>
      <c r="B238" s="73">
        <f>+INPUT!AA196</f>
        <v>0</v>
      </c>
      <c r="C238" s="155">
        <f>+INPUT!AB196</f>
        <v>0</v>
      </c>
      <c r="D238" s="73">
        <f>+INPUT!AC196</f>
        <v>0</v>
      </c>
      <c r="E238" s="155">
        <f>+INPUT!AD196</f>
        <v>0</v>
      </c>
      <c r="F238" s="73">
        <f>+INPUT!AE196</f>
        <v>0</v>
      </c>
      <c r="G238" s="155">
        <f>+INPUT!AF196</f>
        <v>0</v>
      </c>
      <c r="H238" s="73">
        <f>+INPUT!AG196</f>
        <v>0</v>
      </c>
      <c r="I238" s="155">
        <f>+INPUT!AH196</f>
        <v>0</v>
      </c>
      <c r="J238" s="73">
        <f>+INPUT!AI196</f>
        <v>2.2880283472538596</v>
      </c>
      <c r="K238" s="155" t="str">
        <f>+INPUT!AJ196</f>
        <v>NA</v>
      </c>
      <c r="L238" s="73">
        <f>+INPUT!AK196</f>
        <v>3.2921090073328227</v>
      </c>
      <c r="M238" s="155" t="str">
        <f>+INPUT!AL196</f>
        <v>NA</v>
      </c>
      <c r="N238" s="73">
        <f>+INPUT!AM196</f>
        <v>3.2449406838799724</v>
      </c>
      <c r="O238" s="155" t="str">
        <f>+INPUT!AN196</f>
        <v>NA</v>
      </c>
      <c r="P238" s="73">
        <f>+INPUT!AO196</f>
        <v>3.2550335570469797</v>
      </c>
      <c r="Q238" s="155" t="str">
        <f>+INPUT!AP196</f>
        <v>NA</v>
      </c>
      <c r="R238" s="73">
        <f>+INPUT!AQ196</f>
        <v>3.2202608075810302</v>
      </c>
      <c r="S238" s="155">
        <f>+INPUT!AR196</f>
        <v>40.743920915405454</v>
      </c>
      <c r="T238" s="73">
        <f>+INPUT!AS196</f>
        <v>3.2666831235085985</v>
      </c>
      <c r="U238" s="155">
        <f>+INPUT!AT196</f>
        <v>-0.77232812666866835</v>
      </c>
      <c r="V238" s="73">
        <f>+INPUT!AU196</f>
        <v>3.5243371425066949</v>
      </c>
      <c r="W238" s="155">
        <f>+INPUT!AV196</f>
        <v>8.6102177464966445</v>
      </c>
      <c r="X238" s="73">
        <f>+INPUT!AW196</f>
        <v>3.5024958402662234</v>
      </c>
      <c r="Y238" s="155">
        <f>+INPUT!AX196</f>
        <v>7.6024495257045857</v>
      </c>
      <c r="Z238" s="73">
        <f>+INPUT!AY196</f>
        <v>3.6344382081965478</v>
      </c>
      <c r="AA238" s="155">
        <f>+INPUT!AZ196</f>
        <v>12.861610452186838</v>
      </c>
      <c r="AB238" s="73">
        <f>+INPUT!BA196</f>
        <v>3.8539424040244707</v>
      </c>
      <c r="AC238" s="155">
        <f>+INPUT!BB196</f>
        <v>17.977234347882614</v>
      </c>
      <c r="AD238" s="73">
        <f>+INPUT!BC196</f>
        <v>3.8408668229966842</v>
      </c>
      <c r="AE238" s="155">
        <f>+INPUT!BD196</f>
        <v>8.9812542810491891</v>
      </c>
      <c r="AF238" s="73">
        <f>+INPUT!BE196</f>
        <v>3.9547235871013942</v>
      </c>
      <c r="AG238" s="155">
        <f>+INPUT!BF196</f>
        <v>12.911585550970912</v>
      </c>
      <c r="AH238" s="73">
        <f>+INPUT!BG196</f>
        <v>3.8846449931900278</v>
      </c>
      <c r="AI238" s="240">
        <f>+INPUT!BH196</f>
        <v>6.8843317910647812</v>
      </c>
      <c r="AJ238" s="73">
        <f>+INPUT!BI196</f>
        <v>3.9901032871224915</v>
      </c>
      <c r="AK238" s="240">
        <f>+INPUT!BJ196</f>
        <v>3.5330284893680499</v>
      </c>
      <c r="AL238" s="73">
        <f>+INPUT!BK196</f>
        <v>4.0908826776686622</v>
      </c>
      <c r="AM238" s="240">
        <f>+INPUT!BL196</f>
        <v>6.5093601573228455</v>
      </c>
      <c r="AN238" s="73">
        <f>+INPUT!BM196</f>
        <v>4.2255432149018235</v>
      </c>
      <c r="AO238" s="240">
        <f>+INPUT!BN196</f>
        <v>6.8480039587021082</v>
      </c>
      <c r="AP238" s="73">
        <f>+INPUT!BO196</f>
        <v>4.1264249908065116</v>
      </c>
      <c r="AQ238" s="240">
        <f>+INPUT!BP196</f>
        <v>6.2239921032767711</v>
      </c>
      <c r="AR238" s="73">
        <f>+INPUT!BQ196</f>
        <v>4.0611107875681869</v>
      </c>
      <c r="AS238" s="240">
        <f>+INPUT!BR196</f>
        <v>1.7795905352841999</v>
      </c>
      <c r="AT238" s="73">
        <f>+INPUT!BS196</f>
        <v>4.3004736116384565</v>
      </c>
      <c r="AU238" s="240">
        <f>+INPUT!BT196</f>
        <v>5.1233670208610675</v>
      </c>
      <c r="AV238" s="73">
        <f>+INPUT!BU196</f>
        <v>4.357212176427482</v>
      </c>
      <c r="AW238" s="240">
        <f>+INPUT!BV196</f>
        <v>3.1160244926927732</v>
      </c>
      <c r="AX238" s="73">
        <f>+INPUT!BW196</f>
        <v>3.9812359779726698</v>
      </c>
      <c r="AY238" s="240">
        <f>+INPUT!BX196</f>
        <v>-3.5185181642054886</v>
      </c>
      <c r="AZ238" s="73">
        <f>+INPUT!BY196</f>
        <v>3.9130874178878221</v>
      </c>
      <c r="BA238" s="240">
        <f>+INPUT!BZ196</f>
        <v>-3.6448985862068071</v>
      </c>
      <c r="BB238" s="73">
        <f>+INPUT!CA196</f>
        <v>3.7337694716476855</v>
      </c>
      <c r="BC238" s="240">
        <f>+INPUT!CB196</f>
        <v>-13.177714623270532</v>
      </c>
      <c r="BD238" s="73">
        <f>+INPUT!CC196</f>
        <v>3.5986745780997151</v>
      </c>
      <c r="BE238" s="240">
        <f>+INPUT!CD196</f>
        <v>-17.408782671439667</v>
      </c>
      <c r="BF238" s="73">
        <f>+INPUT!CE196</f>
        <v>3.4187386294724078</v>
      </c>
      <c r="BG238" s="240">
        <f>+INPUT!CF196</f>
        <v>-14.128711576315496</v>
      </c>
      <c r="BH238" s="73">
        <f>+INPUT!CG196</f>
        <v>3.2734744929866881</v>
      </c>
      <c r="BI238" s="240">
        <f>+INPUT!CH196</f>
        <v>-16.34548009270847</v>
      </c>
      <c r="BJ238" s="73">
        <f>+INPUT!CI196</f>
        <v>3.115370288849006</v>
      </c>
      <c r="BK238" s="240">
        <f>+INPUT!CJ196</f>
        <v>-16.562328967936637</v>
      </c>
      <c r="BL238" s="73">
        <f>+INPUT!CK196</f>
        <v>2.8979636352305129</v>
      </c>
      <c r="BM238" s="240">
        <f>+INPUT!CL196</f>
        <v>-19.471361682256187</v>
      </c>
      <c r="BN238" s="73">
        <f>+INPUT!CM196</f>
        <v>2.4037624107298381</v>
      </c>
      <c r="BO238" s="240">
        <f>+INPUT!CN196</f>
        <v>-29.688617023618576</v>
      </c>
      <c r="BP238" s="73">
        <f>+INPUT!CO196</f>
        <v>2.3040293534418801</v>
      </c>
      <c r="BQ238" s="240">
        <f>+INPUT!CP196</f>
        <v>-29.615173163005011</v>
      </c>
      <c r="BR238" s="73">
        <f>+INPUT!CQ196</f>
        <v>2.1909505297281187</v>
      </c>
      <c r="BS238" s="240">
        <f>+INPUT!CR196</f>
        <v>-29.672869463694482</v>
      </c>
      <c r="BT238" s="73">
        <f>+INPUT!CS196</f>
        <v>1.9225432627734795</v>
      </c>
      <c r="BU238" s="240">
        <f>+INPUT!CT196</f>
        <v>-33.658820303983745</v>
      </c>
      <c r="BV238" s="73">
        <f>+INPUT!CU196</f>
        <v>1.8198672391932063</v>
      </c>
      <c r="BW238" s="240">
        <f>+INPUT!CV196</f>
        <v>-24.290885360810165</v>
      </c>
      <c r="BX238" s="73">
        <f>+INPUT!CW196</f>
        <v>1.6633640170631472</v>
      </c>
      <c r="BY238" s="240">
        <f>+INPUT!CX196</f>
        <v>-27.806300966681405</v>
      </c>
      <c r="BZ238" s="73">
        <f>+INPUT!CY196</f>
        <v>1.6512814632188522</v>
      </c>
      <c r="CA238" s="240">
        <f>+INPUT!CZ196</f>
        <v>-24.631732172256562</v>
      </c>
      <c r="CB238" s="73">
        <f>+INPUT!DA196</f>
        <v>1.1595432530844556</v>
      </c>
      <c r="CC238" s="240">
        <f>+INPUT!DB196</f>
        <v>-39.687013783414827</v>
      </c>
      <c r="CD238" s="73">
        <f>+INPUT!DC196</f>
        <v>1.0852312059911475</v>
      </c>
      <c r="CE238" s="240">
        <f>+INPUT!DD196</f>
        <v>-40.367561840815469</v>
      </c>
      <c r="CF238" s="73">
        <f>+INPUT!DE196</f>
        <v>1.0603673812117889</v>
      </c>
      <c r="CG238" s="240">
        <f>+INPUT!DF196</f>
        <v>-36.251634017911215</v>
      </c>
      <c r="CH238" s="73">
        <f>+INPUT!DG196</f>
        <v>1.0305914343983684</v>
      </c>
      <c r="CI238" s="240">
        <f>+INPUT!DH196</f>
        <v>-37.588384696729364</v>
      </c>
      <c r="CJ238" s="73">
        <f>+INPUT!DI196</f>
        <v>1.0173893254441038</v>
      </c>
      <c r="CK238" s="240">
        <f>+INPUT!DJ196</f>
        <v>-12.259476070617779</v>
      </c>
      <c r="CL238" s="73">
        <f>+INPUT!DK196</f>
        <v>0.99157429123151664</v>
      </c>
      <c r="CM238" s="240">
        <f>+INPUT!DL196</f>
        <v>-8.6301346885886403</v>
      </c>
      <c r="CN238" s="73">
        <f>+INPUT!DM196</f>
        <v>1.0042222982996691</v>
      </c>
      <c r="CO238" s="240">
        <f>+INPUT!DN196</f>
        <v>-5.2948708067535222</v>
      </c>
      <c r="CP238" s="73">
        <f>+INPUT!DO196</f>
        <v>0.83178560441188198</v>
      </c>
      <c r="CQ238" s="240">
        <f>+INPUT!DP196</f>
        <v>-19.290460152382693</v>
      </c>
      <c r="CR238" s="73">
        <f>+INPUT!DQ196</f>
        <v>0.81495872323133367</v>
      </c>
      <c r="CS238" s="240">
        <f>+INPUT!DR196</f>
        <v>-19.897063705126499</v>
      </c>
      <c r="CT238" s="73">
        <f>+INPUT!DS196</f>
        <v>0.83333333333333337</v>
      </c>
      <c r="CU238" s="240">
        <f>+INPUT!DT196</f>
        <v>-15.958557951482476</v>
      </c>
      <c r="CV238" s="73">
        <f>+INPUT!DU196</f>
        <v>0.79435031937235434</v>
      </c>
      <c r="CW238" s="240">
        <f>+INPUT!DV196</f>
        <v>-20.898956265227952</v>
      </c>
      <c r="CX238" s="73">
        <f>+INPUT!DW196</f>
        <v>0.79708469575365237</v>
      </c>
      <c r="CY238" s="240">
        <f>+INPUT!DX196</f>
        <v>-4.1718573240715102</v>
      </c>
      <c r="CZ238" s="73">
        <f>+INPUT!DY196</f>
        <v>0.76682003067280124</v>
      </c>
      <c r="DA238" s="240">
        <f>+INPUT!DZ196</f>
        <v>-5.9068872062208442</v>
      </c>
      <c r="DB238" s="73">
        <f>+INPUT!EA196</f>
        <v>0.78089138862619523</v>
      </c>
      <c r="DC238" s="240">
        <f>+INPUT!EB196</f>
        <v>-6.2930333648565835</v>
      </c>
      <c r="DD238" s="73">
        <f>+INPUT!EC196</f>
        <v>0.7806194093386849</v>
      </c>
      <c r="DE238" s="240">
        <f>+INPUT!ED196</f>
        <v>-1.7285710975125852</v>
      </c>
      <c r="DF238" s="73">
        <f>+INPUT!EE196</f>
        <v>0.82910902998539393</v>
      </c>
      <c r="DG238" s="240">
        <f>+INPUT!EF196</f>
        <v>4.017682738402371</v>
      </c>
      <c r="DH238" s="73">
        <f>+INPUT!EG196</f>
        <v>0.83107931245092059</v>
      </c>
      <c r="DI238" s="240">
        <f>+INPUT!EH196</f>
        <v>8.3799691202300437</v>
      </c>
      <c r="DJ238" s="73">
        <f>+INPUT!EI196</f>
        <v>0.786538097939119</v>
      </c>
      <c r="DK238" s="240">
        <f>+INPUT!EJ196</f>
        <v>0.72311071618524636</v>
      </c>
      <c r="DL238" s="73">
        <f>+INPUT!EK196</f>
        <v>0.87669471089437867</v>
      </c>
      <c r="DM238" s="240">
        <f>+INPUT!EL196</f>
        <v>12.307572730876061</v>
      </c>
      <c r="DN238" s="73">
        <f>+INPUT!EM196</f>
        <v>0.77707418829186992</v>
      </c>
      <c r="DO238" s="240">
        <f>+INPUT!EN196</f>
        <v>-6.275995051512183</v>
      </c>
      <c r="DP238" s="73">
        <f>+INPUT!EO196</f>
        <v>0.75684346914011891</v>
      </c>
      <c r="DQ238" s="240">
        <f>+INPUT!EP196</f>
        <v>-8.9324619442005115</v>
      </c>
      <c r="DR238" s="73">
        <f>+INPUT!EQ196</f>
        <v>0.8</v>
      </c>
      <c r="DS238" s="240">
        <f>+INPUT!ER196</f>
        <v>1.711538461538467</v>
      </c>
      <c r="DT238" s="73">
        <f>+INPUT!ES196</f>
        <v>0.8</v>
      </c>
      <c r="DU238" s="240">
        <f>+INPUT!ET196</f>
        <v>-8.7481662591686984</v>
      </c>
      <c r="DV238" s="73">
        <f>+INPUT!EU196</f>
        <v>0.8</v>
      </c>
      <c r="DW238" s="240">
        <f>+INPUT!EV196</f>
        <v>2.9502732240437268</v>
      </c>
      <c r="DX238" s="73">
        <f>+INPUT!EW196</f>
        <v>0.8</v>
      </c>
      <c r="DY238" s="240">
        <f>+INPUT!EX196</f>
        <v>5.702173913043481</v>
      </c>
      <c r="DZ238" s="73"/>
      <c r="EA238" s="240"/>
      <c r="EB238" s="155">
        <f>+INPUT!FI196</f>
        <v>0</v>
      </c>
      <c r="EC238" s="73">
        <f>+INPUT!FJ196</f>
        <v>0</v>
      </c>
      <c r="ED238" s="155">
        <f>+INPUT!FK196</f>
        <v>0</v>
      </c>
      <c r="EE238" s="73">
        <f>+INPUT!FL196</f>
        <v>0</v>
      </c>
      <c r="EF238" s="155" t="str">
        <f>+INPUT!FM196</f>
        <v>NA</v>
      </c>
      <c r="EG238" s="73">
        <f>+INPUT!FN196</f>
        <v>2.8565436241610738</v>
      </c>
      <c r="EH238" s="155" t="str">
        <f>+INPUT!FO196</f>
        <v>NA</v>
      </c>
      <c r="EI238" s="73">
        <f>+INPUT!FP196</f>
        <v>3.3964226289517474</v>
      </c>
      <c r="EJ238" s="240">
        <f>+INPUT!FQ196</f>
        <v>18.899729037018602</v>
      </c>
      <c r="EK238" s="73">
        <f>+INPUT!FR196</f>
        <v>3.6861684139330402</v>
      </c>
      <c r="EL238" s="240">
        <f>+INPUT!FS196</f>
        <v>8.5309108033683572</v>
      </c>
      <c r="EM238" s="73">
        <f>+INPUT!FT196</f>
        <v>4.0181426993080187</v>
      </c>
      <c r="EN238" s="240">
        <f>+INPUT!FU196</f>
        <v>9.0059446041634175</v>
      </c>
      <c r="EO238" s="73">
        <f>+INPUT!FV196</f>
        <v>4.2463013210275093</v>
      </c>
      <c r="EP238" s="240">
        <f>+INPUT!FW196</f>
        <v>5.6782110241824739</v>
      </c>
      <c r="EQ238" s="73">
        <f>+INPUT!FX196</f>
        <v>3.6738075055868076</v>
      </c>
      <c r="ER238" s="240">
        <f>+INPUT!FY196</f>
        <v>-13.482175949354698</v>
      </c>
      <c r="ES238" s="73">
        <f>+INPUT!FZ196</f>
        <v>2.8574544661358927</v>
      </c>
      <c r="ET238" s="240">
        <f>+INPUT!GA196</f>
        <v>-22.220898569385469</v>
      </c>
      <c r="EU238" s="73">
        <f>+INPUT!GB196</f>
        <v>1.9036730344437167</v>
      </c>
      <c r="EV238" s="240">
        <f>+INPUT!GC196</f>
        <v>-33.378709722082306</v>
      </c>
      <c r="EW238" s="73">
        <f>+INPUT!GD196</f>
        <v>1.1984303743769222</v>
      </c>
      <c r="EX238" s="240">
        <f>+INPUT!GE196</f>
        <v>-37.046417494319215</v>
      </c>
      <c r="EY238" s="73">
        <f>+INPUT!GF196</f>
        <v>1.0234133411868649</v>
      </c>
      <c r="EZ238" s="240">
        <f>+INPUT!GG196</f>
        <v>-14.6038549199031</v>
      </c>
      <c r="FA238" s="73">
        <f>+INPUT!GH196</f>
        <v>0.82163871276601674</v>
      </c>
      <c r="FB238" s="240">
        <f>+INPUT!GI196</f>
        <v>-19.71584894397094</v>
      </c>
      <c r="FC238" s="73">
        <f>+INPUT!GJ196</f>
        <v>0.80071569869529458</v>
      </c>
      <c r="FD238" s="240">
        <f>+INPUT!GK196</f>
        <v>-2.5464980831155799</v>
      </c>
      <c r="FE238" s="73">
        <f>+INPUT!GL196</f>
        <v>0.80326760317598822</v>
      </c>
      <c r="FF238" s="240">
        <f>+INPUT!GM196</f>
        <v>0.3187029409878761</v>
      </c>
      <c r="FG238" s="73">
        <f>+INPUT!GN196</f>
        <v>0.77483906793081458</v>
      </c>
      <c r="FH238" s="240">
        <f>+INPUT!GO196</f>
        <v>-3.5391113911194481</v>
      </c>
      <c r="FI238" s="73">
        <f>+INPUT!GP196</f>
        <v>0.78994267930347428</v>
      </c>
      <c r="FJ238" s="240">
        <f>+INPUT!GQ196</f>
        <v>1.9492578520844859</v>
      </c>
      <c r="FK238" s="73">
        <f>+INPUT!GR196</f>
        <v>0.79994267930347429</v>
      </c>
      <c r="FL238" s="240">
        <f>+INPUT!GS196</f>
        <v>1.2659146368464889</v>
      </c>
      <c r="FM238" s="73">
        <f>+INPUT!GT196</f>
        <v>0.8099426793034743</v>
      </c>
      <c r="FN238" s="240">
        <f>+INPUT!GU196</f>
        <v>1.2500895700060966</v>
      </c>
      <c r="FO238" s="73">
        <f>+INPUT!GV196</f>
        <v>0.81994267930347431</v>
      </c>
      <c r="FP238" s="240">
        <f>+INPUT!GW196</f>
        <v>1.2346552732101657</v>
      </c>
      <c r="FQ238" s="73">
        <f>+INPUT!GX196</f>
        <v>0.82994267930347432</v>
      </c>
      <c r="FR238" s="240">
        <f>+INPUT!GY196</f>
        <v>1.2195974489942216</v>
      </c>
      <c r="FS238" s="240">
        <f>+INPUT!GZ196</f>
        <v>1.3835087928695033</v>
      </c>
    </row>
    <row r="239" spans="1:175" ht="12.75" hidden="1" customHeight="1" outlineLevel="1" x14ac:dyDescent="0.2">
      <c r="A239" s="246" t="str">
        <f>+INPUT!B197</f>
        <v>Net Investment Spread (%)</v>
      </c>
      <c r="B239" s="73">
        <f>+INPUT!AA197</f>
        <v>0</v>
      </c>
      <c r="C239" s="155">
        <f>+INPUT!AB197</f>
        <v>0</v>
      </c>
      <c r="D239" s="73">
        <f>+INPUT!AC197</f>
        <v>0</v>
      </c>
      <c r="E239" s="155">
        <f>+INPUT!AD197</f>
        <v>0</v>
      </c>
      <c r="F239" s="73">
        <f>+INPUT!AE197</f>
        <v>0</v>
      </c>
      <c r="G239" s="155">
        <f>+INPUT!AF197</f>
        <v>0</v>
      </c>
      <c r="H239" s="73">
        <f>+INPUT!AG197</f>
        <v>0</v>
      </c>
      <c r="I239" s="155">
        <f>+INPUT!AH197</f>
        <v>0</v>
      </c>
      <c r="J239" s="73">
        <f>+INPUT!AI197</f>
        <v>2.8347253859782335</v>
      </c>
      <c r="K239" s="155" t="str">
        <f>+INPUT!AJ197</f>
        <v>NA</v>
      </c>
      <c r="L239" s="73">
        <f>+INPUT!AK197</f>
        <v>2.6967275911130559</v>
      </c>
      <c r="M239" s="155" t="str">
        <f>+INPUT!AL197</f>
        <v>NA</v>
      </c>
      <c r="N239" s="73">
        <f>+INPUT!AM197</f>
        <v>2.9047452896022325</v>
      </c>
      <c r="O239" s="155" t="str">
        <f>+INPUT!AN197</f>
        <v>NA</v>
      </c>
      <c r="P239" s="73">
        <f>+INPUT!AO197</f>
        <v>2.7600671140939599</v>
      </c>
      <c r="Q239" s="155" t="str">
        <f>+INPUT!AP197</f>
        <v>NA</v>
      </c>
      <c r="R239" s="73">
        <f>+INPUT!AQ197</f>
        <v>3.002222315401065</v>
      </c>
      <c r="S239" s="155">
        <f>+INPUT!AR197</f>
        <v>5.9087532870500752</v>
      </c>
      <c r="T239" s="73">
        <f>+INPUT!AS197</f>
        <v>2.8799473381058176</v>
      </c>
      <c r="U239" s="155">
        <f>+INPUT!AT197</f>
        <v>6.7941510887697234</v>
      </c>
      <c r="V239" s="73">
        <f>+INPUT!AU197</f>
        <v>2.8047509045934951</v>
      </c>
      <c r="W239" s="155">
        <f>+INPUT!AV197</f>
        <v>-3.442449338559058</v>
      </c>
      <c r="X239" s="73">
        <f>+INPUT!AW197</f>
        <v>3.0449251247920124</v>
      </c>
      <c r="Y239" s="155">
        <f>+INPUT!AX197</f>
        <v>10.320691451430946</v>
      </c>
      <c r="Z239" s="73">
        <f>+INPUT!AY197</f>
        <v>3.1261251720851413</v>
      </c>
      <c r="AA239" s="155">
        <f>+INPUT!AZ197</f>
        <v>4.1270380294113664</v>
      </c>
      <c r="AB239" s="73">
        <f>+INPUT!BA197</f>
        <v>3.4532006053759092</v>
      </c>
      <c r="AC239" s="155">
        <f>+INPUT!BB197</f>
        <v>19.904991306095482</v>
      </c>
      <c r="AD239" s="73">
        <f>+INPUT!BC197</f>
        <v>3.1616398479825349</v>
      </c>
      <c r="AE239" s="155">
        <f>+INPUT!BD197</f>
        <v>12.724443472129494</v>
      </c>
      <c r="AF239" s="73">
        <f>+INPUT!BE197</f>
        <v>3.2385764586524508</v>
      </c>
      <c r="AG239" s="155">
        <f>+INPUT!BF197</f>
        <v>6.3598061010996503</v>
      </c>
      <c r="AH239" s="73">
        <f>+INPUT!BG197</f>
        <v>3.1740392017528283</v>
      </c>
      <c r="AI239" s="240">
        <f>+INPUT!BH197</f>
        <v>1.5326970940107429</v>
      </c>
      <c r="AJ239" s="73">
        <f>+INPUT!BI197</f>
        <v>3.1496681459372429</v>
      </c>
      <c r="AK239" s="240">
        <f>+INPUT!BJ197</f>
        <v>-8.7898878207692235</v>
      </c>
      <c r="AL239" s="73">
        <f>+INPUT!BK197</f>
        <v>3.1456408468437047</v>
      </c>
      <c r="AM239" s="240">
        <f>+INPUT!BL197</f>
        <v>-0.50603490302790988</v>
      </c>
      <c r="AN239" s="73">
        <f>+INPUT!BM197</f>
        <v>3.0547963792134292</v>
      </c>
      <c r="AO239" s="240">
        <f>+INPUT!BN197</f>
        <v>-5.6747179442998714</v>
      </c>
      <c r="AP239" s="73">
        <f>+INPUT!BO197</f>
        <v>2.7870787930400445</v>
      </c>
      <c r="AQ239" s="240">
        <f>+INPUT!BP197</f>
        <v>-12.191418697635783</v>
      </c>
      <c r="AR239" s="73">
        <f>+INPUT!BQ197</f>
        <v>2.8109409275328554</v>
      </c>
      <c r="AS239" s="240">
        <f>+INPUT!BR197</f>
        <v>-10.754378007769233</v>
      </c>
      <c r="AT239" s="73">
        <f>+INPUT!BS197</f>
        <v>2.7577386543034716</v>
      </c>
      <c r="AU239" s="240">
        <f>+INPUT!BT197</f>
        <v>-12.33142025509521</v>
      </c>
      <c r="AV239" s="73">
        <f>+INPUT!BU197</f>
        <v>2.7965379968707289</v>
      </c>
      <c r="AW239" s="240">
        <f>+INPUT!BV197</f>
        <v>-8.4541930224887381</v>
      </c>
      <c r="AX239" s="73">
        <f>+INPUT!BW197</f>
        <v>3.0430348766061588</v>
      </c>
      <c r="AY239" s="240">
        <f>+INPUT!BX197</f>
        <v>9.1836687288961372</v>
      </c>
      <c r="AZ239" s="73">
        <f>+INPUT!BY197</f>
        <v>2.8054573016675084</v>
      </c>
      <c r="BA239" s="240">
        <f>+INPUT!BZ197</f>
        <v>-0.19508150497348709</v>
      </c>
      <c r="BB239" s="73">
        <f>+INPUT!CA197</f>
        <v>2.7684145441490311</v>
      </c>
      <c r="BC239" s="240">
        <f>+INPUT!CB197</f>
        <v>0.38712478533452099</v>
      </c>
      <c r="BD239" s="73">
        <f>+INPUT!CC197</f>
        <v>2.5814903290436919</v>
      </c>
      <c r="BE239" s="240">
        <f>+INPUT!CD197</f>
        <v>-7.6897817253930043</v>
      </c>
      <c r="BF239" s="73">
        <f>+INPUT!CE197</f>
        <v>2.6228016979987867</v>
      </c>
      <c r="BG239" s="240">
        <f>+INPUT!CF197</f>
        <v>-13.809673423002323</v>
      </c>
      <c r="BH239" s="73">
        <f>+INPUT!CG197</f>
        <v>2.4801215045117484</v>
      </c>
      <c r="BI239" s="240">
        <f>+INPUT!CH197</f>
        <v>-11.596533547753054</v>
      </c>
      <c r="BJ239" s="73">
        <f>+INPUT!CI197</f>
        <v>2.4042531576986899</v>
      </c>
      <c r="BK239" s="240">
        <f>+INPUT!CJ197</f>
        <v>-13.154149447017843</v>
      </c>
      <c r="BL239" s="73">
        <f>+INPUT!CK197</f>
        <v>2.218656030413038</v>
      </c>
      <c r="BM239" s="240">
        <f>+INPUT!CL197</f>
        <v>-14.055225950238793</v>
      </c>
      <c r="BN239" s="73">
        <f>+INPUT!CM197</f>
        <v>2.2702200545781803</v>
      </c>
      <c r="BO239" s="240">
        <f>+INPUT!CN197</f>
        <v>-13.442939421978721</v>
      </c>
      <c r="BP239" s="73">
        <f>+INPUT!CO197</f>
        <v>2.0396325423911721</v>
      </c>
      <c r="BQ239" s="240">
        <f>+INPUT!CP197</f>
        <v>-17.760781531036059</v>
      </c>
      <c r="BR239" s="73">
        <f>+INPUT!CQ197</f>
        <v>1.7140089178145144</v>
      </c>
      <c r="BS239" s="240">
        <f>+INPUT!CR197</f>
        <v>-28.70929950425294</v>
      </c>
      <c r="BT239" s="73">
        <f>+INPUT!CS197</f>
        <v>1.5495787499028739</v>
      </c>
      <c r="BU239" s="240">
        <f>+INPUT!CT197</f>
        <v>-30.15687295996058</v>
      </c>
      <c r="BV239" s="73">
        <f>+INPUT!CU197</f>
        <v>1.5002184266885454</v>
      </c>
      <c r="BW239" s="240">
        <f>+INPUT!CV197</f>
        <v>-33.917488586043945</v>
      </c>
      <c r="BX239" s="73">
        <f>+INPUT!CW197</f>
        <v>1.3705182394111846</v>
      </c>
      <c r="BY239" s="240">
        <f>+INPUT!CX197</f>
        <v>-32.805629890350176</v>
      </c>
      <c r="BZ239" s="73">
        <f>+INPUT!CY197</f>
        <v>1.2805076161535078</v>
      </c>
      <c r="CA239" s="240">
        <f>+INPUT!CZ197</f>
        <v>-25.291659638139592</v>
      </c>
      <c r="CB239" s="73">
        <f>+INPUT!DA197</f>
        <v>1.3292325096334008</v>
      </c>
      <c r="CC239" s="240">
        <f>+INPUT!DB197</f>
        <v>-14.219751031258284</v>
      </c>
      <c r="CD239" s="73">
        <f>+INPUT!DC197</f>
        <v>1.616658858409493</v>
      </c>
      <c r="CE239" s="240">
        <f>+INPUT!DD197</f>
        <v>7.7615652260696493</v>
      </c>
      <c r="CF239" s="73">
        <f>+INPUT!DE197</f>
        <v>1.8126175390871684</v>
      </c>
      <c r="CG239" s="240">
        <f>+INPUT!DF197</f>
        <v>32.257819484833902</v>
      </c>
      <c r="CH239" s="73">
        <f>+INPUT!DG197</f>
        <v>1.7022433718558803</v>
      </c>
      <c r="CI239" s="240">
        <f>+INPUT!DH197</f>
        <v>32.935044694948118</v>
      </c>
      <c r="CJ239" s="73">
        <f>+INPUT!DI197</f>
        <v>1.8232687648090389</v>
      </c>
      <c r="CK239" s="240">
        <f>+INPUT!DJ197</f>
        <v>37.167030718492754</v>
      </c>
      <c r="CL239" s="73">
        <f>+INPUT!DK197</f>
        <v>1.9136582008672933</v>
      </c>
      <c r="CM239" s="240">
        <f>+INPUT!DL197</f>
        <v>18.371182077955226</v>
      </c>
      <c r="CN239" s="73">
        <f>+INPUT!DM197</f>
        <v>1.7318807016130655</v>
      </c>
      <c r="CO239" s="240">
        <f>+INPUT!DN197</f>
        <v>-4.4541573571423072</v>
      </c>
      <c r="CP239" s="73">
        <f>+INPUT!DO197</f>
        <v>1.5200027346376035</v>
      </c>
      <c r="CQ239" s="240">
        <f>+INPUT!DP197</f>
        <v>-10.705909638501794</v>
      </c>
      <c r="CR239" s="73">
        <f>+INPUT!DQ197</f>
        <v>1.5697975406505194</v>
      </c>
      <c r="CS239" s="240">
        <f>+INPUT!DR197</f>
        <v>-13.902021964658999</v>
      </c>
      <c r="CT239" s="73">
        <f>+INPUT!DS197</f>
        <v>1.5176151761517613</v>
      </c>
      <c r="CU239" s="240">
        <f>+INPUT!DT197</f>
        <v>-20.695598855429893</v>
      </c>
      <c r="CV239" s="73">
        <f>+INPUT!DU197</f>
        <v>1.3971860411974015</v>
      </c>
      <c r="CW239" s="240">
        <f>+INPUT!DV197</f>
        <v>-19.325503200303046</v>
      </c>
      <c r="CX239" s="73">
        <f>+INPUT!DW197</f>
        <v>1.4686615802974754</v>
      </c>
      <c r="CY239" s="240">
        <f>+INPUT!DX197</f>
        <v>-3.3777014455417316</v>
      </c>
      <c r="CZ239" s="73">
        <f>+INPUT!DY197</f>
        <v>1.4669600586784024</v>
      </c>
      <c r="DA239" s="240">
        <f>+INPUT!DZ197</f>
        <v>-6.5510028719691746</v>
      </c>
      <c r="DB239" s="73">
        <f>+INPUT!EA197</f>
        <v>1.4732965009208105</v>
      </c>
      <c r="DC239" s="240">
        <f>+INPUT!EB197</f>
        <v>-2.9202841357537324</v>
      </c>
      <c r="DD239" s="73">
        <f>+INPUT!EC197</f>
        <v>1.4528808836700167</v>
      </c>
      <c r="DE239" s="240">
        <f>+INPUT!ED197</f>
        <v>3.9862152090271508</v>
      </c>
      <c r="DF239" s="73">
        <f>+INPUT!EE197</f>
        <v>1.5637082223558725</v>
      </c>
      <c r="DG239" s="240">
        <f>+INPUT!EF197</f>
        <v>6.471650333437978</v>
      </c>
      <c r="DH239" s="73">
        <f>+INPUT!EG197</f>
        <v>1.6119884826803941</v>
      </c>
      <c r="DI239" s="240">
        <f>+INPUT!EH197</f>
        <v>9.8863239761721218</v>
      </c>
      <c r="DJ239" s="73">
        <f>+INPUT!EI197</f>
        <v>1.6940820570996407</v>
      </c>
      <c r="DK239" s="240">
        <f>+INPUT!EJ197</f>
        <v>14.985819625638101</v>
      </c>
      <c r="DL239" s="73">
        <f>+INPUT!EK197</f>
        <v>1.4897379561652646</v>
      </c>
      <c r="DM239" s="240">
        <f>+INPUT!EL197</f>
        <v>2.5368268596215557</v>
      </c>
      <c r="DN239" s="73">
        <f>+INPUT!EM197</f>
        <v>1.496823231545815</v>
      </c>
      <c r="DO239" s="240">
        <f>+INPUT!EN197</f>
        <v>-4.2773319122981377</v>
      </c>
      <c r="DP239" s="73">
        <f>+INPUT!EO197</f>
        <v>1.6268021306788969</v>
      </c>
      <c r="DQ239" s="240">
        <f>+INPUT!EP197</f>
        <v>0.9189673597339123</v>
      </c>
      <c r="DR239" s="73">
        <f>+INPUT!EQ197</f>
        <v>1.4999999999999998</v>
      </c>
      <c r="DS239" s="240">
        <f>+INPUT!ER197</f>
        <v>-11.456473214285722</v>
      </c>
      <c r="DT239" s="73">
        <f>+INPUT!ES197</f>
        <v>1.4999999999999998</v>
      </c>
      <c r="DU239" s="240">
        <f>+INPUT!ET197</f>
        <v>0.6888489208632933</v>
      </c>
      <c r="DV239" s="73">
        <f>+INPUT!EU197</f>
        <v>1.4999999999999998</v>
      </c>
      <c r="DW239" s="240">
        <f>+INPUT!EV197</f>
        <v>0.21223404255317746</v>
      </c>
      <c r="DX239" s="73">
        <f>+INPUT!EW197</f>
        <v>1.4999999999999998</v>
      </c>
      <c r="DY239" s="240">
        <f>+INPUT!EX197</f>
        <v>-7.7945638432364177</v>
      </c>
      <c r="DZ239" s="73"/>
      <c r="EA239" s="240"/>
      <c r="EB239" s="155">
        <f>+INPUT!FI197</f>
        <v>0</v>
      </c>
      <c r="EC239" s="73">
        <f>+INPUT!FJ197</f>
        <v>0</v>
      </c>
      <c r="ED239" s="155">
        <f>+INPUT!FK197</f>
        <v>0</v>
      </c>
      <c r="EE239" s="73">
        <f>+INPUT!FL197</f>
        <v>0</v>
      </c>
      <c r="EF239" s="155" t="str">
        <f>+INPUT!FM197</f>
        <v>NA</v>
      </c>
      <c r="EG239" s="73">
        <f>+INPUT!FN197</f>
        <v>2.6216442953020134</v>
      </c>
      <c r="EH239" s="155" t="str">
        <f>+INPUT!FO197</f>
        <v>NA</v>
      </c>
      <c r="EI239" s="73">
        <f>+INPUT!FP197</f>
        <v>2.9471713810316138</v>
      </c>
      <c r="EJ239" s="240">
        <f>+INPUT!FQ197</f>
        <v>12.416905158069881</v>
      </c>
      <c r="EK239" s="73">
        <f>+INPUT!FR197</f>
        <v>3.1271757942270595</v>
      </c>
      <c r="EL239" s="240">
        <f>+INPUT!FS197</f>
        <v>6.107700907859595</v>
      </c>
      <c r="EM239" s="73">
        <f>+INPUT!FT197</f>
        <v>3.107131088755791</v>
      </c>
      <c r="EN239" s="240">
        <f>+INPUT!FU197</f>
        <v>-0.64098428710890687</v>
      </c>
      <c r="EO239" s="73">
        <f>+INPUT!FV197</f>
        <v>2.8123824047850121</v>
      </c>
      <c r="EP239" s="240">
        <f>+INPUT!FW197</f>
        <v>-9.4862004708274839</v>
      </c>
      <c r="EQ239" s="73">
        <f>+INPUT!FX197</f>
        <v>2.7009324188949688</v>
      </c>
      <c r="ER239" s="240">
        <f>+INPUT!FY197</f>
        <v>-3.9628318574466022</v>
      </c>
      <c r="ES239" s="73">
        <f>+INPUT!FZ197</f>
        <v>2.1874951311094839</v>
      </c>
      <c r="ET239" s="240">
        <f>+INPUT!GA197</f>
        <v>-19.009631051618356</v>
      </c>
      <c r="EU239" s="73">
        <f>+INPUT!GB197</f>
        <v>1.6239496497907626</v>
      </c>
      <c r="EV239" s="240">
        <f>+INPUT!GC197</f>
        <v>-25.762136486808757</v>
      </c>
      <c r="EW239" s="73">
        <f>+INPUT!GD197</f>
        <v>1.066214161982536</v>
      </c>
      <c r="EX239" s="240">
        <f>+INPUT!GE197</f>
        <v>-34.344383021979027</v>
      </c>
      <c r="EY239" s="73">
        <f>+INPUT!GF197</f>
        <v>1.6987724394586421</v>
      </c>
      <c r="EZ239" s="240">
        <f>+INPUT!GG197</f>
        <v>59.327506614610797</v>
      </c>
      <c r="FA239" s="73">
        <f>+INPUT!GH197</f>
        <v>1.5213676165240673</v>
      </c>
      <c r="FB239" s="240">
        <f>+INPUT!GI197</f>
        <v>-10.443118737616757</v>
      </c>
      <c r="FC239" s="73">
        <f>+INPUT!GJ197</f>
        <v>1.4675157253672959</v>
      </c>
      <c r="FD239" s="240">
        <f>+INPUT!GK197</f>
        <v>-3.5397027366606579</v>
      </c>
      <c r="FE239" s="73">
        <f>+INPUT!GL197</f>
        <v>1.5214640956286538</v>
      </c>
      <c r="FF239" s="240">
        <f>+INPUT!GM197</f>
        <v>3.6761698242010681</v>
      </c>
      <c r="FG239" s="73">
        <f>+INPUT!GN197</f>
        <v>1.5296258972091394</v>
      </c>
      <c r="FH239" s="240">
        <f>+INPUT!GO197</f>
        <v>0.53644391635236843</v>
      </c>
      <c r="FI239" s="73">
        <f>+INPUT!GP197</f>
        <v>1.4811425236940141</v>
      </c>
      <c r="FJ239" s="240">
        <f>+INPUT!GQ197</f>
        <v>-3.1696229518331904</v>
      </c>
      <c r="FK239" s="73">
        <f>+INPUT!GR197</f>
        <v>1.4611425236940143</v>
      </c>
      <c r="FL239" s="240">
        <f>+INPUT!GS197</f>
        <v>-1.350308945969573</v>
      </c>
      <c r="FM239" s="73">
        <f>+INPUT!GT197</f>
        <v>1.4411425236940145</v>
      </c>
      <c r="FN239" s="240">
        <f>+INPUT!GU197</f>
        <v>-1.3687918649740141</v>
      </c>
      <c r="FO239" s="73">
        <f>+INPUT!GV197</f>
        <v>1.4211425236940147</v>
      </c>
      <c r="FP239" s="240">
        <f>+INPUT!GW197</f>
        <v>-1.3877877913653407</v>
      </c>
      <c r="FQ239" s="73">
        <f>+INPUT!GX197</f>
        <v>1.4011425236940149</v>
      </c>
      <c r="FR239" s="240">
        <f>+INPUT!GY197</f>
        <v>-1.4073183840853147</v>
      </c>
      <c r="FS239" s="240">
        <f>+INPUT!GZ197</f>
        <v>-1.7393987547615897</v>
      </c>
    </row>
    <row r="240" spans="1:175" ht="12.75" hidden="1" customHeight="1" outlineLevel="1" x14ac:dyDescent="0.2">
      <c r="A240" s="246"/>
      <c r="B240" s="515"/>
      <c r="C240" s="487"/>
      <c r="D240" s="515"/>
      <c r="E240" s="487"/>
      <c r="F240" s="515"/>
      <c r="G240" s="487"/>
      <c r="H240" s="515"/>
      <c r="I240" s="487"/>
      <c r="J240" s="515"/>
      <c r="K240" s="487"/>
      <c r="L240" s="515"/>
      <c r="M240" s="487"/>
      <c r="N240" s="515"/>
      <c r="O240" s="487"/>
      <c r="P240" s="515"/>
      <c r="Q240" s="487"/>
      <c r="R240" s="515"/>
      <c r="S240" s="487"/>
      <c r="T240" s="515"/>
      <c r="U240" s="487"/>
      <c r="V240" s="515"/>
      <c r="W240" s="487"/>
      <c r="X240" s="515"/>
      <c r="Y240" s="487"/>
      <c r="Z240" s="515"/>
      <c r="AA240" s="487"/>
      <c r="AB240" s="515"/>
      <c r="AC240" s="487"/>
      <c r="AD240" s="515"/>
      <c r="AE240" s="487"/>
      <c r="AF240" s="515"/>
      <c r="AG240" s="487"/>
      <c r="AH240" s="515"/>
      <c r="AI240" s="486"/>
      <c r="AJ240" s="515"/>
      <c r="AK240" s="486"/>
      <c r="AL240" s="515"/>
      <c r="AM240" s="486"/>
      <c r="AN240" s="515"/>
      <c r="AO240" s="486"/>
      <c r="AP240" s="515"/>
      <c r="AQ240" s="486"/>
      <c r="AR240" s="515"/>
      <c r="AS240" s="486"/>
      <c r="AT240" s="515"/>
      <c r="AU240" s="486"/>
      <c r="AV240" s="515"/>
      <c r="AW240" s="486"/>
      <c r="AX240" s="515"/>
      <c r="AY240" s="486"/>
      <c r="AZ240" s="515"/>
      <c r="BA240" s="486"/>
      <c r="BB240" s="515"/>
      <c r="BC240" s="486"/>
      <c r="BD240" s="515"/>
      <c r="BE240" s="486"/>
      <c r="BF240" s="515"/>
      <c r="BG240" s="486"/>
      <c r="BH240" s="515"/>
      <c r="BI240" s="486"/>
      <c r="BJ240" s="515"/>
      <c r="BK240" s="486"/>
      <c r="BL240" s="515"/>
      <c r="BM240" s="486"/>
      <c r="BN240" s="515"/>
      <c r="BO240" s="486"/>
      <c r="BP240" s="515"/>
      <c r="BQ240" s="486"/>
      <c r="BR240" s="515"/>
      <c r="BS240" s="486"/>
      <c r="BT240" s="515"/>
      <c r="BU240" s="486"/>
      <c r="BV240" s="515"/>
      <c r="BW240" s="486"/>
      <c r="BX240" s="515"/>
      <c r="BY240" s="486"/>
      <c r="BZ240" s="515"/>
      <c r="CA240" s="486"/>
      <c r="CB240" s="515"/>
      <c r="CC240" s="486"/>
      <c r="CD240" s="515"/>
      <c r="CE240" s="486"/>
      <c r="CF240" s="515"/>
      <c r="CG240" s="486"/>
      <c r="CH240" s="515"/>
      <c r="CI240" s="486"/>
      <c r="CJ240" s="515"/>
      <c r="CK240" s="486"/>
      <c r="CL240" s="515"/>
      <c r="CM240" s="486"/>
      <c r="CN240" s="515"/>
      <c r="CO240" s="486"/>
      <c r="CP240" s="515"/>
      <c r="CQ240" s="486"/>
      <c r="CR240" s="515"/>
      <c r="CS240" s="486"/>
      <c r="CT240" s="515"/>
      <c r="CU240" s="486"/>
      <c r="CV240" s="515"/>
      <c r="CW240" s="486"/>
      <c r="CX240" s="515"/>
      <c r="CY240" s="486"/>
      <c r="CZ240" s="515"/>
      <c r="DA240" s="486"/>
      <c r="DB240" s="515"/>
      <c r="DC240" s="486"/>
      <c r="DD240" s="515"/>
      <c r="DE240" s="486"/>
      <c r="DF240" s="515"/>
      <c r="DG240" s="486"/>
      <c r="DH240" s="515"/>
      <c r="DI240" s="486"/>
      <c r="DJ240" s="515"/>
      <c r="DK240" s="486"/>
      <c r="DL240" s="515"/>
      <c r="DM240" s="486"/>
      <c r="DN240" s="515"/>
      <c r="DO240" s="486"/>
      <c r="DP240" s="515"/>
      <c r="DQ240" s="486"/>
      <c r="DR240" s="515"/>
      <c r="DS240" s="486"/>
      <c r="DT240" s="515"/>
      <c r="DU240" s="486"/>
      <c r="DV240" s="515"/>
      <c r="DW240" s="486"/>
      <c r="DX240" s="515"/>
      <c r="DY240" s="486"/>
      <c r="DZ240" s="515"/>
      <c r="EA240" s="486"/>
      <c r="EB240" s="487"/>
      <c r="EC240" s="515"/>
      <c r="ED240" s="487"/>
      <c r="EE240" s="515"/>
      <c r="EF240" s="487"/>
      <c r="EG240" s="515"/>
      <c r="EH240" s="487"/>
      <c r="EI240" s="515"/>
      <c r="EJ240" s="486"/>
      <c r="EK240" s="515"/>
      <c r="EL240" s="486"/>
      <c r="EM240" s="515"/>
      <c r="EN240" s="486"/>
      <c r="EO240" s="515"/>
      <c r="EP240" s="486"/>
      <c r="EQ240" s="515"/>
      <c r="ER240" s="486"/>
      <c r="ES240" s="515"/>
      <c r="ET240" s="486"/>
      <c r="EU240" s="515"/>
      <c r="EV240" s="486"/>
      <c r="EW240" s="515"/>
      <c r="EX240" s="486"/>
      <c r="EY240" s="515"/>
      <c r="EZ240" s="486"/>
      <c r="FA240" s="515"/>
      <c r="FB240" s="486"/>
      <c r="FC240" s="515"/>
      <c r="FD240" s="486"/>
      <c r="FE240" s="515"/>
      <c r="FF240" s="486"/>
      <c r="FG240" s="515"/>
      <c r="FH240" s="486"/>
      <c r="FI240" s="515"/>
      <c r="FJ240" s="486"/>
      <c r="FK240" s="515"/>
      <c r="FL240" s="486"/>
      <c r="FM240" s="515"/>
      <c r="FN240" s="486"/>
      <c r="FO240" s="515"/>
      <c r="FP240" s="486"/>
      <c r="FQ240" s="515"/>
      <c r="FR240" s="486"/>
      <c r="FS240" s="486"/>
    </row>
    <row r="241" spans="1:176" ht="12.75" hidden="1" customHeight="1" outlineLevel="1" x14ac:dyDescent="0.2">
      <c r="A241" s="500" t="s">
        <v>507</v>
      </c>
      <c r="B241" s="510"/>
      <c r="C241" s="487"/>
      <c r="D241" s="510"/>
      <c r="E241" s="487"/>
      <c r="F241" s="510"/>
      <c r="G241" s="487"/>
      <c r="H241" s="510"/>
      <c r="I241" s="487"/>
      <c r="J241" s="510"/>
      <c r="K241" s="487"/>
      <c r="L241" s="510"/>
      <c r="M241" s="487"/>
      <c r="N241" s="510"/>
      <c r="O241" s="487"/>
      <c r="P241" s="510"/>
      <c r="Q241" s="487"/>
      <c r="R241" s="510"/>
      <c r="S241" s="487"/>
      <c r="T241" s="510"/>
      <c r="U241" s="487"/>
      <c r="V241" s="510"/>
      <c r="W241" s="487"/>
      <c r="X241" s="510"/>
      <c r="Y241" s="487"/>
      <c r="Z241" s="510"/>
      <c r="AA241" s="487"/>
      <c r="AB241" s="510"/>
      <c r="AC241" s="487"/>
      <c r="AD241" s="510"/>
      <c r="AE241" s="487"/>
      <c r="AF241" s="510"/>
      <c r="AG241" s="487"/>
      <c r="AH241" s="510"/>
      <c r="AI241" s="486"/>
      <c r="AJ241" s="510"/>
      <c r="AK241" s="486"/>
      <c r="AL241" s="510"/>
      <c r="AM241" s="486"/>
      <c r="AN241" s="510"/>
      <c r="AO241" s="486"/>
      <c r="AP241" s="510"/>
      <c r="AQ241" s="486"/>
      <c r="AR241" s="510"/>
      <c r="AS241" s="486"/>
      <c r="AT241" s="510"/>
      <c r="AU241" s="486"/>
      <c r="AV241" s="510"/>
      <c r="AW241" s="486"/>
      <c r="AX241" s="510"/>
      <c r="AY241" s="486"/>
      <c r="AZ241" s="510"/>
      <c r="BA241" s="486"/>
      <c r="BB241" s="510"/>
      <c r="BC241" s="486"/>
      <c r="BD241" s="510"/>
      <c r="BE241" s="486"/>
      <c r="BF241" s="510"/>
      <c r="BG241" s="486"/>
      <c r="BH241" s="510"/>
      <c r="BI241" s="486"/>
      <c r="BJ241" s="510"/>
      <c r="BK241" s="486"/>
      <c r="BL241" s="510"/>
      <c r="BM241" s="486"/>
      <c r="BN241" s="510"/>
      <c r="BO241" s="486"/>
      <c r="BP241" s="510"/>
      <c r="BQ241" s="486"/>
      <c r="BR241" s="510"/>
      <c r="BS241" s="486"/>
      <c r="BT241" s="510"/>
      <c r="BU241" s="486"/>
      <c r="BV241" s="510"/>
      <c r="BW241" s="486"/>
      <c r="BX241" s="510"/>
      <c r="BY241" s="486"/>
      <c r="BZ241" s="510"/>
      <c r="CA241" s="486"/>
      <c r="CB241" s="510"/>
      <c r="CC241" s="486"/>
      <c r="CD241" s="510"/>
      <c r="CE241" s="486"/>
      <c r="CF241" s="510"/>
      <c r="CG241" s="486"/>
      <c r="CH241" s="510"/>
      <c r="CI241" s="486"/>
      <c r="CJ241" s="510"/>
      <c r="CK241" s="486"/>
      <c r="CL241" s="510"/>
      <c r="CM241" s="486"/>
      <c r="CN241" s="510"/>
      <c r="CO241" s="486"/>
      <c r="CP241" s="510"/>
      <c r="CQ241" s="486"/>
      <c r="CR241" s="510"/>
      <c r="CS241" s="486"/>
      <c r="CT241" s="510"/>
      <c r="CU241" s="486"/>
      <c r="CV241" s="510"/>
      <c r="CW241" s="486"/>
      <c r="CX241" s="510"/>
      <c r="CY241" s="486"/>
      <c r="CZ241" s="510"/>
      <c r="DA241" s="486"/>
      <c r="DB241" s="510"/>
      <c r="DC241" s="486"/>
      <c r="DD241" s="510"/>
      <c r="DE241" s="486"/>
      <c r="DF241" s="510"/>
      <c r="DG241" s="486"/>
      <c r="DH241" s="510"/>
      <c r="DI241" s="486"/>
      <c r="DJ241" s="510"/>
      <c r="DK241" s="486"/>
      <c r="DL241" s="510"/>
      <c r="DM241" s="486"/>
      <c r="DN241" s="510"/>
      <c r="DO241" s="486"/>
      <c r="DP241" s="510"/>
      <c r="DQ241" s="486"/>
      <c r="DR241" s="510"/>
      <c r="DS241" s="486"/>
      <c r="DT241" s="510"/>
      <c r="DU241" s="486"/>
      <c r="DV241" s="510"/>
      <c r="DW241" s="486"/>
      <c r="DX241" s="510"/>
      <c r="DY241" s="486"/>
      <c r="DZ241" s="510"/>
      <c r="EA241" s="486"/>
      <c r="EB241" s="487"/>
      <c r="EC241" s="510"/>
      <c r="ED241" s="487"/>
      <c r="EE241" s="510"/>
      <c r="EF241" s="487"/>
      <c r="EG241" s="510"/>
      <c r="EH241" s="487"/>
      <c r="EI241" s="510"/>
      <c r="EJ241" s="486"/>
      <c r="EK241" s="510"/>
      <c r="EL241" s="486"/>
      <c r="EM241" s="510"/>
      <c r="EN241" s="486"/>
      <c r="EO241" s="510"/>
      <c r="EP241" s="486"/>
      <c r="EQ241" s="510"/>
      <c r="ER241" s="486"/>
      <c r="ES241" s="510"/>
      <c r="ET241" s="486"/>
      <c r="EU241" s="510"/>
      <c r="EV241" s="486"/>
      <c r="EW241" s="510"/>
      <c r="EX241" s="486"/>
      <c r="EY241" s="510"/>
      <c r="EZ241" s="486"/>
      <c r="FA241" s="510"/>
      <c r="FB241" s="486"/>
      <c r="FC241" s="510"/>
      <c r="FD241" s="486"/>
      <c r="FE241" s="510"/>
      <c r="FF241" s="486"/>
      <c r="FG241" s="510"/>
      <c r="FH241" s="486"/>
      <c r="FI241" s="510"/>
      <c r="FJ241" s="486"/>
      <c r="FK241" s="510"/>
      <c r="FL241" s="486"/>
      <c r="FM241" s="510"/>
      <c r="FN241" s="486"/>
      <c r="FO241" s="510"/>
      <c r="FP241" s="486"/>
      <c r="FQ241" s="510"/>
      <c r="FR241" s="486"/>
      <c r="FS241" s="486"/>
    </row>
    <row r="242" spans="1:176" ht="12.75" hidden="1" customHeight="1" outlineLevel="1" x14ac:dyDescent="0.2">
      <c r="A242" s="500" t="s">
        <v>543</v>
      </c>
      <c r="B242" s="510"/>
      <c r="C242" s="487"/>
      <c r="D242" s="510"/>
      <c r="E242" s="487"/>
      <c r="F242" s="510"/>
      <c r="G242" s="487"/>
      <c r="H242" s="510"/>
      <c r="I242" s="487"/>
      <c r="J242" s="510"/>
      <c r="K242" s="487"/>
      <c r="L242" s="510"/>
      <c r="M242" s="487"/>
      <c r="N242" s="510"/>
      <c r="O242" s="487"/>
      <c r="P242" s="510"/>
      <c r="Q242" s="487"/>
      <c r="R242" s="510"/>
      <c r="S242" s="487"/>
      <c r="T242" s="510"/>
      <c r="U242" s="487"/>
      <c r="V242" s="510"/>
      <c r="W242" s="487"/>
      <c r="X242" s="510"/>
      <c r="Y242" s="487"/>
      <c r="Z242" s="510"/>
      <c r="AA242" s="487"/>
      <c r="AB242" s="510"/>
      <c r="AC242" s="487"/>
      <c r="AD242" s="510"/>
      <c r="AE242" s="487"/>
      <c r="AF242" s="510"/>
      <c r="AG242" s="487"/>
      <c r="AH242" s="510"/>
      <c r="AI242" s="486"/>
      <c r="AJ242" s="510"/>
      <c r="AK242" s="486"/>
      <c r="AL242" s="510"/>
      <c r="AM242" s="486"/>
      <c r="AN242" s="510"/>
      <c r="AO242" s="486"/>
      <c r="AP242" s="510"/>
      <c r="AQ242" s="486"/>
      <c r="AR242" s="510"/>
      <c r="AS242" s="486"/>
      <c r="AT242" s="510"/>
      <c r="AU242" s="486"/>
      <c r="AV242" s="510"/>
      <c r="AW242" s="486"/>
      <c r="AX242" s="510"/>
      <c r="AY242" s="486"/>
      <c r="AZ242" s="510"/>
      <c r="BA242" s="486"/>
      <c r="BB242" s="510"/>
      <c r="BC242" s="486"/>
      <c r="BD242" s="510"/>
      <c r="BE242" s="486"/>
      <c r="BF242" s="510"/>
      <c r="BG242" s="486"/>
      <c r="BH242" s="510"/>
      <c r="BI242" s="486"/>
      <c r="BJ242" s="510"/>
      <c r="BK242" s="486"/>
      <c r="BL242" s="510"/>
      <c r="BM242" s="486"/>
      <c r="BN242" s="510"/>
      <c r="BO242" s="486"/>
      <c r="BP242" s="510"/>
      <c r="BQ242" s="486"/>
      <c r="BR242" s="510"/>
      <c r="BS242" s="486"/>
      <c r="BT242" s="510"/>
      <c r="BU242" s="486"/>
      <c r="BV242" s="510"/>
      <c r="BW242" s="486"/>
      <c r="BX242" s="510"/>
      <c r="BY242" s="486"/>
      <c r="BZ242" s="510"/>
      <c r="CA242" s="486"/>
      <c r="CB242" s="510"/>
      <c r="CC242" s="486"/>
      <c r="CD242" s="510"/>
      <c r="CE242" s="486"/>
      <c r="CF242" s="510"/>
      <c r="CG242" s="486"/>
      <c r="CH242" s="510"/>
      <c r="CI242" s="486"/>
      <c r="CJ242" s="510"/>
      <c r="CK242" s="486"/>
      <c r="CL242" s="510"/>
      <c r="CM242" s="486"/>
      <c r="CN242" s="510"/>
      <c r="CO242" s="486"/>
      <c r="CP242" s="510"/>
      <c r="CQ242" s="486"/>
      <c r="CR242" s="510"/>
      <c r="CS242" s="486"/>
      <c r="CT242" s="510"/>
      <c r="CU242" s="486"/>
      <c r="CV242" s="510"/>
      <c r="CW242" s="486"/>
      <c r="CX242" s="510"/>
      <c r="CY242" s="486"/>
      <c r="CZ242" s="510"/>
      <c r="DA242" s="486"/>
      <c r="DB242" s="510"/>
      <c r="DC242" s="486"/>
      <c r="DD242" s="510"/>
      <c r="DE242" s="486"/>
      <c r="DF242" s="510"/>
      <c r="DG242" s="486"/>
      <c r="DH242" s="510"/>
      <c r="DI242" s="486"/>
      <c r="DJ242" s="510"/>
      <c r="DK242" s="486"/>
      <c r="DL242" s="510"/>
      <c r="DM242" s="486"/>
      <c r="DN242" s="510"/>
      <c r="DO242" s="486"/>
      <c r="DP242" s="510"/>
      <c r="DQ242" s="486"/>
      <c r="DR242" s="510"/>
      <c r="DS242" s="486"/>
      <c r="DT242" s="510"/>
      <c r="DU242" s="486"/>
      <c r="DV242" s="510"/>
      <c r="DW242" s="486"/>
      <c r="DX242" s="510"/>
      <c r="DY242" s="486"/>
      <c r="DZ242" s="510"/>
      <c r="EA242" s="486"/>
      <c r="EB242" s="487"/>
      <c r="EC242" s="510"/>
      <c r="ED242" s="487"/>
      <c r="EE242" s="510"/>
      <c r="EF242" s="487"/>
      <c r="EG242" s="510"/>
      <c r="EH242" s="487"/>
      <c r="EI242" s="510"/>
      <c r="EJ242" s="486"/>
      <c r="EK242" s="510"/>
      <c r="EL242" s="486"/>
      <c r="EM242" s="510"/>
      <c r="EN242" s="486"/>
      <c r="EO242" s="510"/>
      <c r="EP242" s="486"/>
      <c r="EQ242" s="510"/>
      <c r="ER242" s="486"/>
      <c r="ES242" s="510"/>
      <c r="ET242" s="486"/>
      <c r="EU242" s="510"/>
      <c r="EV242" s="486"/>
      <c r="EW242" s="510"/>
      <c r="EX242" s="486"/>
      <c r="EY242" s="510"/>
      <c r="EZ242" s="486"/>
      <c r="FA242" s="510"/>
      <c r="FB242" s="486"/>
      <c r="FC242" s="510"/>
      <c r="FD242" s="486"/>
      <c r="FE242" s="510"/>
      <c r="FF242" s="486"/>
      <c r="FG242" s="510"/>
      <c r="FH242" s="486"/>
      <c r="FI242" s="510"/>
      <c r="FJ242" s="486"/>
      <c r="FK242" s="510"/>
      <c r="FL242" s="486"/>
      <c r="FM242" s="510"/>
      <c r="FN242" s="486"/>
      <c r="FO242" s="510"/>
      <c r="FP242" s="486"/>
      <c r="FQ242" s="510"/>
      <c r="FR242" s="486"/>
      <c r="FS242" s="486"/>
    </row>
    <row r="243" spans="1:176" ht="12.75" hidden="1" customHeight="1" outlineLevel="1" x14ac:dyDescent="0.2">
      <c r="A243" s="246"/>
      <c r="B243" s="510"/>
      <c r="C243" s="487"/>
      <c r="D243" s="510"/>
      <c r="E243" s="487"/>
      <c r="F243" s="510"/>
      <c r="G243" s="487"/>
      <c r="H243" s="510"/>
      <c r="I243" s="487"/>
      <c r="J243" s="510"/>
      <c r="K243" s="487"/>
      <c r="L243" s="510"/>
      <c r="M243" s="487"/>
      <c r="N243" s="510"/>
      <c r="O243" s="487"/>
      <c r="P243" s="510"/>
      <c r="Q243" s="487"/>
      <c r="R243" s="510"/>
      <c r="S243" s="487"/>
      <c r="T243" s="510"/>
      <c r="U243" s="487"/>
      <c r="V243" s="510"/>
      <c r="W243" s="487"/>
      <c r="X243" s="510"/>
      <c r="Y243" s="487"/>
      <c r="Z243" s="510"/>
      <c r="AA243" s="487"/>
      <c r="AB243" s="510"/>
      <c r="AC243" s="487"/>
      <c r="AD243" s="510"/>
      <c r="AE243" s="487"/>
      <c r="AF243" s="510"/>
      <c r="AG243" s="487"/>
      <c r="AH243" s="510"/>
      <c r="AI243" s="486"/>
      <c r="AJ243" s="510"/>
      <c r="AK243" s="486"/>
      <c r="AL243" s="510"/>
      <c r="AM243" s="486"/>
      <c r="AN243" s="510"/>
      <c r="AO243" s="486"/>
      <c r="AP243" s="510"/>
      <c r="AQ243" s="486"/>
      <c r="AR243" s="510"/>
      <c r="AS243" s="486"/>
      <c r="AT243" s="510"/>
      <c r="AU243" s="486"/>
      <c r="AV243" s="510"/>
      <c r="AW243" s="486"/>
      <c r="AX243" s="510"/>
      <c r="AY243" s="486"/>
      <c r="AZ243" s="510"/>
      <c r="BA243" s="486"/>
      <c r="BB243" s="510"/>
      <c r="BC243" s="486"/>
      <c r="BD243" s="510"/>
      <c r="BE243" s="486"/>
      <c r="BF243" s="510"/>
      <c r="BG243" s="486"/>
      <c r="BH243" s="510"/>
      <c r="BI243" s="486"/>
      <c r="BJ243" s="510"/>
      <c r="BK243" s="486"/>
      <c r="BL243" s="510"/>
      <c r="BM243" s="486"/>
      <c r="BN243" s="510"/>
      <c r="BO243" s="486"/>
      <c r="BP243" s="510"/>
      <c r="BQ243" s="486"/>
      <c r="BR243" s="510"/>
      <c r="BS243" s="486"/>
      <c r="BT243" s="510"/>
      <c r="BU243" s="486"/>
      <c r="BV243" s="510"/>
      <c r="BW243" s="486"/>
      <c r="BX243" s="510"/>
      <c r="BY243" s="486"/>
      <c r="BZ243" s="510"/>
      <c r="CA243" s="486"/>
      <c r="CB243" s="510"/>
      <c r="CC243" s="486"/>
      <c r="CD243" s="510"/>
      <c r="CE243" s="486"/>
      <c r="CF243" s="510"/>
      <c r="CG243" s="486"/>
      <c r="CH243" s="510"/>
      <c r="CI243" s="486"/>
      <c r="CJ243" s="510"/>
      <c r="CK243" s="486"/>
      <c r="CL243" s="510"/>
      <c r="CM243" s="486"/>
      <c r="CN243" s="510"/>
      <c r="CO243" s="486"/>
      <c r="CP243" s="510"/>
      <c r="CQ243" s="486"/>
      <c r="CR243" s="510"/>
      <c r="CS243" s="486"/>
      <c r="CT243" s="510"/>
      <c r="CU243" s="486"/>
      <c r="CV243" s="510"/>
      <c r="CW243" s="486"/>
      <c r="CX243" s="510"/>
      <c r="CY243" s="486"/>
      <c r="CZ243" s="510"/>
      <c r="DA243" s="486"/>
      <c r="DB243" s="510"/>
      <c r="DC243" s="486"/>
      <c r="DD243" s="510"/>
      <c r="DE243" s="486"/>
      <c r="DF243" s="510"/>
      <c r="DG243" s="486"/>
      <c r="DH243" s="510"/>
      <c r="DI243" s="486"/>
      <c r="DJ243" s="510"/>
      <c r="DK243" s="486"/>
      <c r="DL243" s="510"/>
      <c r="DM243" s="486"/>
      <c r="DN243" s="510"/>
      <c r="DO243" s="486"/>
      <c r="DP243" s="510"/>
      <c r="DQ243" s="486"/>
      <c r="DR243" s="510"/>
      <c r="DS243" s="486"/>
      <c r="DT243" s="510"/>
      <c r="DU243" s="486"/>
      <c r="DV243" s="510"/>
      <c r="DW243" s="486"/>
      <c r="DX243" s="510"/>
      <c r="DY243" s="486"/>
      <c r="DZ243" s="510"/>
      <c r="EA243" s="486"/>
      <c r="EB243" s="487"/>
      <c r="EC243" s="510"/>
      <c r="ED243" s="487"/>
      <c r="EE243" s="510"/>
      <c r="EF243" s="487"/>
      <c r="EG243" s="510"/>
      <c r="EH243" s="487"/>
      <c r="EI243" s="510"/>
      <c r="EJ243" s="486"/>
      <c r="EK243" s="510"/>
      <c r="EL243" s="486"/>
      <c r="EM243" s="510"/>
      <c r="EN243" s="486"/>
      <c r="EO243" s="510"/>
      <c r="EP243" s="486"/>
      <c r="EQ243" s="510"/>
      <c r="ER243" s="486"/>
      <c r="ES243" s="510"/>
      <c r="ET243" s="486"/>
      <c r="EU243" s="510"/>
      <c r="EV243" s="486"/>
      <c r="EW243" s="510"/>
      <c r="EX243" s="486"/>
      <c r="EY243" s="510"/>
      <c r="EZ243" s="486"/>
      <c r="FA243" s="510"/>
      <c r="FB243" s="486"/>
      <c r="FC243" s="510"/>
      <c r="FD243" s="486"/>
      <c r="FE243" s="510"/>
      <c r="FF243" s="486"/>
      <c r="FG243" s="510"/>
      <c r="FH243" s="486"/>
      <c r="FI243" s="510"/>
      <c r="FJ243" s="486"/>
      <c r="FK243" s="510"/>
      <c r="FL243" s="486"/>
      <c r="FM243" s="510"/>
      <c r="FN243" s="486"/>
      <c r="FO243" s="510"/>
      <c r="FP243" s="486"/>
      <c r="FQ243" s="510"/>
      <c r="FR243" s="486"/>
      <c r="FS243" s="486"/>
    </row>
    <row r="244" spans="1:176" ht="21.95" hidden="1" customHeight="1" outlineLevel="1" x14ac:dyDescent="0.25">
      <c r="A244" s="353" t="str">
        <f>$A$1</f>
        <v>Prudential Financial, Inc.</v>
      </c>
      <c r="B244" s="486"/>
      <c r="C244" s="487"/>
      <c r="D244" s="486"/>
      <c r="E244" s="487"/>
      <c r="F244" s="486"/>
      <c r="G244" s="487"/>
      <c r="H244" s="486"/>
      <c r="I244" s="487"/>
      <c r="J244" s="486"/>
      <c r="K244" s="487"/>
      <c r="L244" s="486"/>
      <c r="M244" s="487"/>
      <c r="N244" s="486"/>
      <c r="O244" s="487"/>
      <c r="P244" s="486"/>
      <c r="Q244" s="487"/>
      <c r="R244" s="486"/>
      <c r="S244" s="487"/>
      <c r="T244" s="486"/>
      <c r="U244" s="487"/>
      <c r="V244" s="486"/>
      <c r="W244" s="487"/>
      <c r="X244" s="486"/>
      <c r="Y244" s="487"/>
      <c r="Z244" s="486"/>
      <c r="AA244" s="487"/>
      <c r="AB244" s="486"/>
      <c r="AC244" s="487"/>
      <c r="AD244" s="486"/>
      <c r="AE244" s="487"/>
      <c r="AF244" s="486"/>
      <c r="AG244" s="487"/>
      <c r="AH244" s="486"/>
      <c r="AI244" s="486"/>
      <c r="AJ244" s="486"/>
      <c r="AK244" s="486"/>
      <c r="AL244" s="486"/>
      <c r="AM244" s="486"/>
      <c r="AN244" s="486"/>
      <c r="AO244" s="486"/>
      <c r="AP244" s="486"/>
      <c r="AQ244" s="486"/>
      <c r="AR244" s="486"/>
      <c r="AS244" s="486"/>
      <c r="AT244" s="486"/>
      <c r="AU244" s="486"/>
      <c r="AV244" s="486"/>
      <c r="AW244" s="486"/>
      <c r="AX244" s="486"/>
      <c r="AY244" s="486"/>
      <c r="AZ244" s="486"/>
      <c r="BA244" s="486"/>
      <c r="BB244" s="486"/>
      <c r="BC244" s="486"/>
      <c r="BD244" s="486"/>
      <c r="BE244" s="486"/>
      <c r="BF244" s="486"/>
      <c r="BG244" s="486"/>
      <c r="BH244" s="486"/>
      <c r="BI244" s="486"/>
      <c r="BJ244" s="486"/>
      <c r="BK244" s="486"/>
      <c r="BL244" s="486"/>
      <c r="BM244" s="486"/>
      <c r="BN244" s="486"/>
      <c r="BO244" s="486"/>
      <c r="BP244" s="486"/>
      <c r="BQ244" s="486"/>
      <c r="BR244" s="486"/>
      <c r="BS244" s="486"/>
      <c r="BT244" s="486"/>
      <c r="BU244" s="486"/>
      <c r="BV244" s="486"/>
      <c r="BW244" s="486"/>
      <c r="BX244" s="486"/>
      <c r="BY244" s="486"/>
      <c r="BZ244" s="486"/>
      <c r="CA244" s="486"/>
      <c r="CB244" s="486"/>
      <c r="CC244" s="486"/>
      <c r="CD244" s="486"/>
      <c r="CE244" s="486"/>
      <c r="CF244" s="486"/>
      <c r="CG244" s="486"/>
      <c r="CH244" s="486"/>
      <c r="CI244" s="486"/>
      <c r="CJ244" s="486"/>
      <c r="CK244" s="486"/>
      <c r="CL244" s="486"/>
      <c r="CM244" s="486"/>
      <c r="CN244" s="486"/>
      <c r="CO244" s="486"/>
      <c r="CP244" s="486"/>
      <c r="CQ244" s="486"/>
      <c r="CR244" s="486"/>
      <c r="CS244" s="486"/>
      <c r="CT244" s="486"/>
      <c r="CU244" s="486"/>
      <c r="CV244" s="486"/>
      <c r="CW244" s="486"/>
      <c r="CX244" s="486"/>
      <c r="CY244" s="486"/>
      <c r="CZ244" s="486"/>
      <c r="DA244" s="486"/>
      <c r="DB244" s="486"/>
      <c r="DC244" s="486"/>
      <c r="DD244" s="486"/>
      <c r="DE244" s="486"/>
      <c r="DF244" s="486"/>
      <c r="DG244" s="486"/>
      <c r="DH244" s="486"/>
      <c r="DI244" s="486"/>
      <c r="DJ244" s="486"/>
      <c r="DK244" s="486"/>
      <c r="DL244" s="486"/>
      <c r="DM244" s="486"/>
      <c r="DN244" s="486"/>
      <c r="DO244" s="486"/>
      <c r="DP244" s="486"/>
      <c r="DQ244" s="486"/>
      <c r="DR244" s="486"/>
      <c r="DS244" s="486"/>
      <c r="DT244" s="486"/>
      <c r="DU244" s="486"/>
      <c r="DV244" s="486"/>
      <c r="DW244" s="486"/>
      <c r="DX244" s="486"/>
      <c r="DY244" s="486"/>
      <c r="DZ244" s="486"/>
      <c r="EA244" s="486"/>
      <c r="EB244" s="487"/>
      <c r="EC244" s="486"/>
      <c r="ED244" s="487"/>
      <c r="EE244" s="486"/>
      <c r="EF244" s="487"/>
      <c r="EG244" s="486"/>
      <c r="EH244" s="487"/>
      <c r="EI244" s="486"/>
      <c r="EJ244" s="486"/>
      <c r="EK244" s="486"/>
      <c r="EL244" s="486"/>
      <c r="EM244" s="486"/>
      <c r="EN244" s="486"/>
      <c r="EO244" s="486"/>
      <c r="EP244" s="486"/>
      <c r="EQ244" s="486"/>
      <c r="ER244" s="486"/>
      <c r="ES244" s="486"/>
      <c r="ET244" s="486"/>
      <c r="EU244" s="486"/>
      <c r="EV244" s="486"/>
      <c r="EW244" s="486"/>
      <c r="EX244" s="486"/>
      <c r="EY244" s="486"/>
      <c r="EZ244" s="486"/>
      <c r="FA244" s="486"/>
      <c r="FB244" s="486"/>
      <c r="FC244" s="486"/>
      <c r="FD244" s="486"/>
      <c r="FE244" s="486"/>
      <c r="FF244" s="486"/>
      <c r="FG244" s="486"/>
      <c r="FH244" s="486"/>
      <c r="FI244" s="486"/>
      <c r="FJ244" s="486"/>
      <c r="FK244" s="486"/>
      <c r="FL244" s="486"/>
      <c r="FM244" s="486"/>
      <c r="FN244" s="486"/>
      <c r="FO244" s="486"/>
      <c r="FP244" s="486"/>
      <c r="FQ244" s="486"/>
      <c r="FR244" s="486"/>
      <c r="FS244" s="486"/>
    </row>
    <row r="245" spans="1:176" ht="12.75" hidden="1" customHeight="1" outlineLevel="1" x14ac:dyDescent="0.2">
      <c r="A245" s="488" t="s">
        <v>657</v>
      </c>
      <c r="B245" s="489"/>
      <c r="C245" s="490"/>
      <c r="D245" s="489"/>
      <c r="E245" s="490"/>
      <c r="F245" s="489"/>
      <c r="G245" s="490"/>
      <c r="H245" s="489"/>
      <c r="I245" s="490"/>
      <c r="J245" s="489"/>
      <c r="K245" s="490"/>
      <c r="L245" s="489"/>
      <c r="M245" s="490"/>
      <c r="N245" s="489"/>
      <c r="O245" s="490"/>
      <c r="P245" s="489"/>
      <c r="Q245" s="490"/>
      <c r="R245" s="489"/>
      <c r="S245" s="490"/>
      <c r="T245" s="489"/>
      <c r="U245" s="490"/>
      <c r="V245" s="489"/>
      <c r="W245" s="490"/>
      <c r="X245" s="489"/>
      <c r="Y245" s="490"/>
      <c r="Z245" s="489"/>
      <c r="AA245" s="490"/>
      <c r="AB245" s="489"/>
      <c r="AC245" s="490"/>
      <c r="AD245" s="489"/>
      <c r="AE245" s="490"/>
      <c r="AF245" s="489"/>
      <c r="AG245" s="490"/>
      <c r="AH245" s="489"/>
      <c r="AI245" s="489"/>
      <c r="AJ245" s="489"/>
      <c r="AK245" s="489"/>
      <c r="AL245" s="489"/>
      <c r="AM245" s="489"/>
      <c r="AN245" s="489"/>
      <c r="AO245" s="489"/>
      <c r="AP245" s="489"/>
      <c r="AQ245" s="489"/>
      <c r="AR245" s="489"/>
      <c r="AS245" s="489"/>
      <c r="AT245" s="489"/>
      <c r="AU245" s="489"/>
      <c r="AV245" s="489"/>
      <c r="AW245" s="489"/>
      <c r="AX245" s="489"/>
      <c r="AY245" s="489"/>
      <c r="AZ245" s="489"/>
      <c r="BA245" s="489"/>
      <c r="BB245" s="489"/>
      <c r="BC245" s="489"/>
      <c r="BD245" s="489"/>
      <c r="BE245" s="489"/>
      <c r="BF245" s="489"/>
      <c r="BG245" s="489"/>
      <c r="BH245" s="489"/>
      <c r="BI245" s="489"/>
      <c r="BJ245" s="489"/>
      <c r="BK245" s="489"/>
      <c r="BL245" s="489"/>
      <c r="BM245" s="489"/>
      <c r="BN245" s="489"/>
      <c r="BO245" s="489"/>
      <c r="BP245" s="489"/>
      <c r="BQ245" s="489"/>
      <c r="BR245" s="489"/>
      <c r="BS245" s="489"/>
      <c r="BT245" s="489"/>
      <c r="BU245" s="489"/>
      <c r="BV245" s="489"/>
      <c r="BW245" s="489"/>
      <c r="BX245" s="489"/>
      <c r="BY245" s="489"/>
      <c r="BZ245" s="489"/>
      <c r="CA245" s="489"/>
      <c r="CB245" s="489"/>
      <c r="CC245" s="489"/>
      <c r="CD245" s="489"/>
      <c r="CE245" s="489"/>
      <c r="CF245" s="489"/>
      <c r="CG245" s="489"/>
      <c r="CH245" s="489"/>
      <c r="CI245" s="489"/>
      <c r="CJ245" s="489"/>
      <c r="CK245" s="489"/>
      <c r="CL245" s="489"/>
      <c r="CM245" s="489"/>
      <c r="CN245" s="489"/>
      <c r="CO245" s="489"/>
      <c r="CP245" s="489"/>
      <c r="CQ245" s="489"/>
      <c r="CR245" s="489"/>
      <c r="CS245" s="489"/>
      <c r="CT245" s="489"/>
      <c r="CU245" s="489"/>
      <c r="CV245" s="489"/>
      <c r="CW245" s="489"/>
      <c r="CX245" s="489"/>
      <c r="CY245" s="489"/>
      <c r="CZ245" s="489"/>
      <c r="DA245" s="489"/>
      <c r="DB245" s="489"/>
      <c r="DC245" s="489"/>
      <c r="DD245" s="489"/>
      <c r="DE245" s="489"/>
      <c r="DF245" s="489"/>
      <c r="DG245" s="489"/>
      <c r="DH245" s="489"/>
      <c r="DI245" s="489"/>
      <c r="DJ245" s="489"/>
      <c r="DK245" s="489"/>
      <c r="DL245" s="489"/>
      <c r="DM245" s="489"/>
      <c r="DN245" s="489"/>
      <c r="DO245" s="489"/>
      <c r="DP245" s="489"/>
      <c r="DQ245" s="489"/>
      <c r="DR245" s="489"/>
      <c r="DS245" s="489"/>
      <c r="DT245" s="489"/>
      <c r="DU245" s="489"/>
      <c r="DV245" s="489"/>
      <c r="DW245" s="489"/>
      <c r="DX245" s="489"/>
      <c r="DY245" s="489"/>
      <c r="DZ245" s="489"/>
      <c r="EA245" s="489"/>
      <c r="EB245" s="490"/>
      <c r="EC245" s="489"/>
      <c r="ED245" s="490"/>
      <c r="EE245" s="489"/>
      <c r="EF245" s="490"/>
      <c r="EG245" s="489"/>
      <c r="EH245" s="490"/>
      <c r="EI245" s="489"/>
      <c r="EJ245" s="489"/>
      <c r="EK245" s="489"/>
      <c r="EL245" s="489"/>
      <c r="EM245" s="489"/>
      <c r="EN245" s="489"/>
      <c r="EO245" s="489"/>
      <c r="EP245" s="489"/>
      <c r="EQ245" s="489"/>
      <c r="ER245" s="489"/>
      <c r="ES245" s="489"/>
      <c r="ET245" s="489"/>
      <c r="EU245" s="489"/>
      <c r="EV245" s="489"/>
      <c r="EW245" s="489"/>
      <c r="EX245" s="489"/>
      <c r="EY245" s="489"/>
      <c r="EZ245" s="489"/>
      <c r="FA245" s="489"/>
      <c r="FB245" s="489"/>
      <c r="FC245" s="489"/>
      <c r="FD245" s="489"/>
      <c r="FE245" s="489"/>
      <c r="FF245" s="489"/>
      <c r="FG245" s="489"/>
      <c r="FH245" s="489"/>
      <c r="FI245" s="489"/>
      <c r="FJ245" s="489"/>
      <c r="FK245" s="489"/>
      <c r="FL245" s="489"/>
      <c r="FM245" s="489"/>
      <c r="FN245" s="489"/>
      <c r="FO245" s="489"/>
      <c r="FP245" s="489"/>
      <c r="FQ245" s="489"/>
      <c r="FR245" s="489"/>
      <c r="FS245" s="489"/>
    </row>
    <row r="246" spans="1:176" ht="12.75" hidden="1" customHeight="1" outlineLevel="1" x14ac:dyDescent="0.2">
      <c r="A246" s="348" t="str">
        <f>A$3</f>
        <v>($Millions Except Per Share Data)</v>
      </c>
      <c r="B246" s="502"/>
      <c r="C246" s="503" t="str">
        <f>C$3</f>
        <v>1Q03/</v>
      </c>
      <c r="D246" s="502"/>
      <c r="E246" s="503" t="str">
        <f>E$3</f>
        <v>2Q03/</v>
      </c>
      <c r="F246" s="502"/>
      <c r="G246" s="503" t="str">
        <f>G$3</f>
        <v>3Q03/</v>
      </c>
      <c r="H246" s="502"/>
      <c r="I246" s="503" t="str">
        <f>I$3</f>
        <v>4Q03/</v>
      </c>
      <c r="J246" s="502"/>
      <c r="K246" s="503" t="str">
        <f>K$3</f>
        <v>1Q04/</v>
      </c>
      <c r="L246" s="502"/>
      <c r="M246" s="503" t="str">
        <f>M$3</f>
        <v>2Q04/</v>
      </c>
      <c r="N246" s="502"/>
      <c r="O246" s="503" t="str">
        <f>O$3</f>
        <v>3Q04/</v>
      </c>
      <c r="P246" s="502"/>
      <c r="Q246" s="503" t="str">
        <f>Q$3</f>
        <v>4Q04/</v>
      </c>
      <c r="R246" s="502"/>
      <c r="S246" s="503" t="str">
        <f>S$3</f>
        <v>1Q05/</v>
      </c>
      <c r="T246" s="502"/>
      <c r="U246" s="503" t="str">
        <f>U$3</f>
        <v>2Q05/</v>
      </c>
      <c r="V246" s="502"/>
      <c r="W246" s="503" t="str">
        <f>W$3</f>
        <v>3Q05/</v>
      </c>
      <c r="X246" s="502"/>
      <c r="Y246" s="503" t="str">
        <f>Y$3</f>
        <v>4Q05/</v>
      </c>
      <c r="Z246" s="502"/>
      <c r="AA246" s="503" t="str">
        <f>AA$3</f>
        <v>1Q06/</v>
      </c>
      <c r="AB246" s="502"/>
      <c r="AC246" s="503" t="str">
        <f>AC$3</f>
        <v>2Q06/</v>
      </c>
      <c r="AD246" s="502"/>
      <c r="AE246" s="503" t="str">
        <f>AE$3</f>
        <v>3Q06/</v>
      </c>
      <c r="AF246" s="502"/>
      <c r="AG246" s="503" t="str">
        <f>AG$3</f>
        <v>4Q06/</v>
      </c>
      <c r="AH246" s="502"/>
      <c r="AI246" s="504" t="str">
        <f>AI$3</f>
        <v>1Q07/</v>
      </c>
      <c r="AJ246" s="502"/>
      <c r="AK246" s="504" t="str">
        <f>AK$3</f>
        <v>2Q07/</v>
      </c>
      <c r="AL246" s="502"/>
      <c r="AM246" s="504" t="str">
        <f>AM$3</f>
        <v>3Q07/</v>
      </c>
      <c r="AN246" s="502"/>
      <c r="AO246" s="504" t="str">
        <f>AO$3</f>
        <v>4Q07/</v>
      </c>
      <c r="AP246" s="502"/>
      <c r="AQ246" s="504" t="str">
        <f>AQ$3</f>
        <v>1Q08/</v>
      </c>
      <c r="AR246" s="502"/>
      <c r="AS246" s="504" t="str">
        <f>AS$3</f>
        <v>2Q08/</v>
      </c>
      <c r="AT246" s="502"/>
      <c r="AU246" s="504" t="str">
        <f>AU$3</f>
        <v>3Q08/</v>
      </c>
      <c r="AV246" s="502"/>
      <c r="AW246" s="504" t="str">
        <f>AW$3</f>
        <v>4Q08/</v>
      </c>
      <c r="AX246" s="502"/>
      <c r="AY246" s="504" t="str">
        <f>AY$3</f>
        <v>1Q09/</v>
      </c>
      <c r="AZ246" s="502"/>
      <c r="BA246" s="504" t="str">
        <f>BA$3</f>
        <v>2Q09/</v>
      </c>
      <c r="BB246" s="502"/>
      <c r="BC246" s="504" t="str">
        <f>BC$3</f>
        <v>3Q09/</v>
      </c>
      <c r="BD246" s="502"/>
      <c r="BE246" s="504" t="str">
        <f>BE$3</f>
        <v>4Q09/</v>
      </c>
      <c r="BF246" s="502"/>
      <c r="BG246" s="504" t="str">
        <f>BG$3</f>
        <v>1Q10/</v>
      </c>
      <c r="BH246" s="502"/>
      <c r="BI246" s="504" t="str">
        <f>BI$3</f>
        <v>2Q10/</v>
      </c>
      <c r="BJ246" s="502"/>
      <c r="BK246" s="504" t="str">
        <f>BK$3</f>
        <v>3Q10/</v>
      </c>
      <c r="BL246" s="502"/>
      <c r="BM246" s="504" t="str">
        <f>BM$3</f>
        <v>4Q10/</v>
      </c>
      <c r="BN246" s="502"/>
      <c r="BO246" s="504" t="str">
        <f>BO$3</f>
        <v>1Q11/</v>
      </c>
      <c r="BP246" s="502"/>
      <c r="BQ246" s="504" t="str">
        <f>BQ$3</f>
        <v>2Q11/</v>
      </c>
      <c r="BR246" s="502"/>
      <c r="BS246" s="504" t="str">
        <f>BS$3</f>
        <v>3Q11/</v>
      </c>
      <c r="BT246" s="502"/>
      <c r="BU246" s="504" t="str">
        <f>BU$3</f>
        <v>4Q11/</v>
      </c>
      <c r="BV246" s="502"/>
      <c r="BW246" s="504" t="str">
        <f>BW$3</f>
        <v>1Q12/</v>
      </c>
      <c r="BX246" s="502"/>
      <c r="BY246" s="504" t="str">
        <f>BY$3</f>
        <v>2Q12/</v>
      </c>
      <c r="BZ246" s="502"/>
      <c r="CA246" s="504" t="str">
        <f>CA$3</f>
        <v>3Q12/</v>
      </c>
      <c r="CB246" s="502"/>
      <c r="CC246" s="504" t="str">
        <f>CC$3</f>
        <v>4Q12/</v>
      </c>
      <c r="CD246" s="502"/>
      <c r="CE246" s="504" t="str">
        <f>CE$3</f>
        <v>1Q13/</v>
      </c>
      <c r="CF246" s="502"/>
      <c r="CG246" s="504" t="str">
        <f>CG$3</f>
        <v>2Q13/</v>
      </c>
      <c r="CH246" s="502"/>
      <c r="CI246" s="504" t="str">
        <f>CI$3</f>
        <v>3Q13/</v>
      </c>
      <c r="CJ246" s="502"/>
      <c r="CK246" s="504" t="str">
        <f>CK$3</f>
        <v>4Q13/</v>
      </c>
      <c r="CL246" s="502"/>
      <c r="CM246" s="504" t="str">
        <f>CM$3</f>
        <v>1Q14/</v>
      </c>
      <c r="CN246" s="502"/>
      <c r="CO246" s="504" t="str">
        <f>CO$3</f>
        <v>2Q14/</v>
      </c>
      <c r="CP246" s="502"/>
      <c r="CQ246" s="504" t="str">
        <f>CQ$3</f>
        <v>3Q14/</v>
      </c>
      <c r="CR246" s="502"/>
      <c r="CS246" s="504" t="str">
        <f>CS$3</f>
        <v>4Q14/</v>
      </c>
      <c r="CT246" s="502"/>
      <c r="CU246" s="504" t="str">
        <f>CU$3</f>
        <v>1Q15/</v>
      </c>
      <c r="CV246" s="502"/>
      <c r="CW246" s="504" t="str">
        <f>CW$3</f>
        <v>2Q15/</v>
      </c>
      <c r="CX246" s="502"/>
      <c r="CY246" s="504" t="str">
        <f>CY$3</f>
        <v>3Q15/</v>
      </c>
      <c r="CZ246" s="502"/>
      <c r="DA246" s="504" t="str">
        <f>DA$3</f>
        <v>4Q15/</v>
      </c>
      <c r="DB246" s="502"/>
      <c r="DC246" s="504" t="str">
        <f>DC$3</f>
        <v>1Q16/</v>
      </c>
      <c r="DD246" s="502"/>
      <c r="DE246" s="504" t="str">
        <f>DE$3</f>
        <v>2Q16/</v>
      </c>
      <c r="DF246" s="502"/>
      <c r="DG246" s="504" t="str">
        <f>DG$3</f>
        <v>3Q16/</v>
      </c>
      <c r="DH246" s="502"/>
      <c r="DI246" s="504" t="str">
        <f>DI$3</f>
        <v>4Q16/</v>
      </c>
      <c r="DJ246" s="502"/>
      <c r="DK246" s="504" t="str">
        <f>DK$3</f>
        <v>1Q17/</v>
      </c>
      <c r="DL246" s="502"/>
      <c r="DM246" s="504" t="str">
        <f>DM$3</f>
        <v>2Q17/</v>
      </c>
      <c r="DN246" s="502"/>
      <c r="DO246" s="504" t="str">
        <f>DO$3</f>
        <v>3Q17/</v>
      </c>
      <c r="DP246" s="502"/>
      <c r="DQ246" s="504" t="str">
        <f>DQ$3</f>
        <v>4Q17/</v>
      </c>
      <c r="DR246" s="502"/>
      <c r="DS246" s="504" t="str">
        <f>DS$3</f>
        <v>1Q18E/</v>
      </c>
      <c r="DT246" s="502"/>
      <c r="DU246" s="504" t="str">
        <f>DU$3</f>
        <v>2Q18E/</v>
      </c>
      <c r="DV246" s="502"/>
      <c r="DW246" s="504" t="str">
        <f>DW$3</f>
        <v>3Q18E/</v>
      </c>
      <c r="DX246" s="502"/>
      <c r="DY246" s="504" t="str">
        <f>DY$3</f>
        <v>4Q18E/</v>
      </c>
      <c r="DZ246" s="502"/>
      <c r="EA246" s="504"/>
      <c r="EB246" s="503" t="str">
        <f>EB$3</f>
        <v>2001/</v>
      </c>
      <c r="EC246" s="502"/>
      <c r="ED246" s="503" t="str">
        <f>ED$3</f>
        <v>2002/</v>
      </c>
      <c r="EE246" s="502"/>
      <c r="EF246" s="503" t="str">
        <f>EF$3</f>
        <v>2003/</v>
      </c>
      <c r="EG246" s="502"/>
      <c r="EH246" s="503" t="str">
        <f>EH$3</f>
        <v>2004/</v>
      </c>
      <c r="EI246" s="502"/>
      <c r="EJ246" s="504" t="str">
        <f>EJ$3</f>
        <v>2005/</v>
      </c>
      <c r="EK246" s="502"/>
      <c r="EL246" s="504" t="str">
        <f>EL$3</f>
        <v>2006/</v>
      </c>
      <c r="EM246" s="502"/>
      <c r="EN246" s="504" t="str">
        <f>EN$3</f>
        <v>2007/</v>
      </c>
      <c r="EO246" s="502"/>
      <c r="EP246" s="504" t="str">
        <f>EP$3</f>
        <v>2008/</v>
      </c>
      <c r="EQ246" s="502"/>
      <c r="ER246" s="504" t="str">
        <f>ER$3</f>
        <v>2009/</v>
      </c>
      <c r="ES246" s="502"/>
      <c r="ET246" s="504" t="str">
        <f>ET$3</f>
        <v>2010/</v>
      </c>
      <c r="EU246" s="502"/>
      <c r="EV246" s="504" t="str">
        <f>EV$3</f>
        <v>2011/</v>
      </c>
      <c r="EW246" s="502"/>
      <c r="EX246" s="504" t="str">
        <f>EX$3</f>
        <v>2012/</v>
      </c>
      <c r="EY246" s="502"/>
      <c r="EZ246" s="504" t="str">
        <f>EZ$3</f>
        <v>2013/</v>
      </c>
      <c r="FA246" s="502"/>
      <c r="FB246" s="504" t="str">
        <f>FB$3</f>
        <v>2014/</v>
      </c>
      <c r="FC246" s="502"/>
      <c r="FD246" s="504" t="str">
        <f>FD$3</f>
        <v>2015/</v>
      </c>
      <c r="FE246" s="502"/>
      <c r="FF246" s="504" t="str">
        <f>FF$3</f>
        <v>2016/</v>
      </c>
      <c r="FG246" s="502"/>
      <c r="FH246" s="504" t="str">
        <f>FH$3</f>
        <v>2017/</v>
      </c>
      <c r="FI246" s="502"/>
      <c r="FJ246" s="504" t="str">
        <f>FJ$3</f>
        <v>2018E/</v>
      </c>
      <c r="FK246" s="502"/>
      <c r="FL246" s="504" t="str">
        <f>FL$3</f>
        <v>2019E/</v>
      </c>
      <c r="FM246" s="502"/>
      <c r="FN246" s="504" t="str">
        <f>FN$3</f>
        <v>2020E/</v>
      </c>
      <c r="FO246" s="502"/>
      <c r="FP246" s="504" t="str">
        <f>FP$3</f>
        <v>2021E/</v>
      </c>
      <c r="FQ246" s="502"/>
      <c r="FR246" s="504" t="str">
        <f>FR$3</f>
        <v>2022E/</v>
      </c>
      <c r="FS246" s="504" t="str">
        <f>FS$3</f>
        <v>5-Yr</v>
      </c>
      <c r="FT246" s="349"/>
    </row>
    <row r="247" spans="1:176" ht="12.75" hidden="1" customHeight="1" outlineLevel="1" x14ac:dyDescent="0.2">
      <c r="A247" s="492"/>
      <c r="B247" s="491"/>
      <c r="C247" s="490" t="str">
        <f>C$4</f>
        <v>1Q02</v>
      </c>
      <c r="D247" s="491"/>
      <c r="E247" s="490" t="str">
        <f>E$4</f>
        <v>2Q02</v>
      </c>
      <c r="F247" s="491"/>
      <c r="G247" s="490" t="str">
        <f>G$4</f>
        <v>3Q02</v>
      </c>
      <c r="H247" s="491"/>
      <c r="I247" s="490" t="str">
        <f>I$4</f>
        <v>4Q02</v>
      </c>
      <c r="J247" s="491"/>
      <c r="K247" s="490" t="str">
        <f>K$4</f>
        <v>1Q03</v>
      </c>
      <c r="L247" s="491"/>
      <c r="M247" s="490" t="str">
        <f>M$4</f>
        <v>2Q03</v>
      </c>
      <c r="N247" s="491"/>
      <c r="O247" s="490" t="str">
        <f>O$4</f>
        <v>3Q03</v>
      </c>
      <c r="P247" s="491"/>
      <c r="Q247" s="490" t="str">
        <f>Q$4</f>
        <v>4Q03</v>
      </c>
      <c r="R247" s="491"/>
      <c r="S247" s="490" t="str">
        <f>S$4</f>
        <v>1Q04</v>
      </c>
      <c r="T247" s="491"/>
      <c r="U247" s="490" t="str">
        <f>U$4</f>
        <v>2Q04</v>
      </c>
      <c r="V247" s="491"/>
      <c r="W247" s="490" t="str">
        <f>W$4</f>
        <v>3Q04</v>
      </c>
      <c r="X247" s="491"/>
      <c r="Y247" s="490" t="str">
        <f>Y$4</f>
        <v>4Q04</v>
      </c>
      <c r="Z247" s="491"/>
      <c r="AA247" s="490" t="str">
        <f>AA$4</f>
        <v>1Q05</v>
      </c>
      <c r="AB247" s="491"/>
      <c r="AC247" s="490" t="str">
        <f>AC$4</f>
        <v>2Q05</v>
      </c>
      <c r="AD247" s="491"/>
      <c r="AE247" s="490" t="str">
        <f>AE$4</f>
        <v>3Q05</v>
      </c>
      <c r="AF247" s="491"/>
      <c r="AG247" s="490" t="str">
        <f>AG$4</f>
        <v>4Q05</v>
      </c>
      <c r="AH247" s="491"/>
      <c r="AI247" s="489" t="str">
        <f>AI$4</f>
        <v>1Q06</v>
      </c>
      <c r="AJ247" s="491"/>
      <c r="AK247" s="489" t="str">
        <f>AK$4</f>
        <v>2Q06</v>
      </c>
      <c r="AL247" s="491"/>
      <c r="AM247" s="489" t="str">
        <f>AM$4</f>
        <v>3Q06</v>
      </c>
      <c r="AN247" s="491"/>
      <c r="AO247" s="489" t="str">
        <f>AO$4</f>
        <v>4Q06</v>
      </c>
      <c r="AP247" s="491"/>
      <c r="AQ247" s="489" t="str">
        <f>AQ$4</f>
        <v>1Q07</v>
      </c>
      <c r="AR247" s="491"/>
      <c r="AS247" s="489" t="str">
        <f>AS$4</f>
        <v>2Q07</v>
      </c>
      <c r="AT247" s="491"/>
      <c r="AU247" s="489" t="str">
        <f>AU$4</f>
        <v>3Q07</v>
      </c>
      <c r="AV247" s="491"/>
      <c r="AW247" s="489" t="str">
        <f>AW$4</f>
        <v>4Q07</v>
      </c>
      <c r="AX247" s="491"/>
      <c r="AY247" s="489" t="str">
        <f>AY$4</f>
        <v>1Q08</v>
      </c>
      <c r="AZ247" s="491"/>
      <c r="BA247" s="489" t="str">
        <f>BA$4</f>
        <v>2Q08</v>
      </c>
      <c r="BB247" s="491"/>
      <c r="BC247" s="489" t="str">
        <f>BC$4</f>
        <v>3Q08</v>
      </c>
      <c r="BD247" s="491"/>
      <c r="BE247" s="489" t="str">
        <f>BE$4</f>
        <v>4Q08</v>
      </c>
      <c r="BF247" s="491"/>
      <c r="BG247" s="489" t="str">
        <f>BG$4</f>
        <v>1Q09</v>
      </c>
      <c r="BH247" s="491"/>
      <c r="BI247" s="489" t="str">
        <f>BI$4</f>
        <v>2Q09</v>
      </c>
      <c r="BJ247" s="491"/>
      <c r="BK247" s="489" t="str">
        <f>BK$4</f>
        <v>3Q09</v>
      </c>
      <c r="BL247" s="491"/>
      <c r="BM247" s="489" t="str">
        <f>BM$4</f>
        <v>4Q09</v>
      </c>
      <c r="BN247" s="491"/>
      <c r="BO247" s="489" t="str">
        <f>BO$4</f>
        <v>1Q10</v>
      </c>
      <c r="BP247" s="491"/>
      <c r="BQ247" s="489" t="str">
        <f>BQ$4</f>
        <v>2Q10</v>
      </c>
      <c r="BR247" s="491"/>
      <c r="BS247" s="489" t="str">
        <f>BS$4</f>
        <v>3Q10</v>
      </c>
      <c r="BT247" s="491"/>
      <c r="BU247" s="489" t="str">
        <f>BU$4</f>
        <v>4Q10</v>
      </c>
      <c r="BV247" s="491"/>
      <c r="BW247" s="489" t="str">
        <f>BW$4</f>
        <v>1Q11</v>
      </c>
      <c r="BX247" s="491"/>
      <c r="BY247" s="489" t="str">
        <f>BY$4</f>
        <v>2Q11</v>
      </c>
      <c r="BZ247" s="491"/>
      <c r="CA247" s="489" t="str">
        <f>CA$4</f>
        <v>3Q11</v>
      </c>
      <c r="CB247" s="491"/>
      <c r="CC247" s="489" t="str">
        <f>CC$4</f>
        <v>4Q11</v>
      </c>
      <c r="CD247" s="491"/>
      <c r="CE247" s="489" t="str">
        <f>CE$4</f>
        <v>1Q12</v>
      </c>
      <c r="CF247" s="491"/>
      <c r="CG247" s="489" t="str">
        <f>CG$4</f>
        <v>2Q12</v>
      </c>
      <c r="CH247" s="491"/>
      <c r="CI247" s="489" t="str">
        <f>CI$4</f>
        <v>3Q12</v>
      </c>
      <c r="CJ247" s="491"/>
      <c r="CK247" s="489" t="str">
        <f>CK$4</f>
        <v>4Q12</v>
      </c>
      <c r="CL247" s="491"/>
      <c r="CM247" s="489" t="str">
        <f>CM$4</f>
        <v>1Q13</v>
      </c>
      <c r="CN247" s="491"/>
      <c r="CO247" s="489" t="str">
        <f>CO$4</f>
        <v>2Q13</v>
      </c>
      <c r="CP247" s="491"/>
      <c r="CQ247" s="489" t="str">
        <f>CQ$4</f>
        <v>3Q13</v>
      </c>
      <c r="CR247" s="491"/>
      <c r="CS247" s="489" t="str">
        <f>CS$4</f>
        <v>4Q13</v>
      </c>
      <c r="CT247" s="491"/>
      <c r="CU247" s="489" t="str">
        <f>CU$4</f>
        <v>1Q14</v>
      </c>
      <c r="CV247" s="491"/>
      <c r="CW247" s="489" t="str">
        <f>CW$4</f>
        <v>2Q14</v>
      </c>
      <c r="CX247" s="491"/>
      <c r="CY247" s="489" t="str">
        <f>CY$4</f>
        <v>3Q14</v>
      </c>
      <c r="CZ247" s="491"/>
      <c r="DA247" s="489" t="str">
        <f>DA$4</f>
        <v>4Q14</v>
      </c>
      <c r="DB247" s="491"/>
      <c r="DC247" s="489" t="str">
        <f>DC$4</f>
        <v>1Q15</v>
      </c>
      <c r="DD247" s="491"/>
      <c r="DE247" s="489" t="str">
        <f>DE$4</f>
        <v>2Q15</v>
      </c>
      <c r="DF247" s="491"/>
      <c r="DG247" s="489" t="str">
        <f>DG$4</f>
        <v>3Q15</v>
      </c>
      <c r="DH247" s="491"/>
      <c r="DI247" s="489" t="str">
        <f>DI$4</f>
        <v>4Q15</v>
      </c>
      <c r="DJ247" s="491"/>
      <c r="DK247" s="489" t="str">
        <f>DK$4</f>
        <v>1Q16</v>
      </c>
      <c r="DL247" s="491"/>
      <c r="DM247" s="489" t="str">
        <f>DM$4</f>
        <v>2Q16</v>
      </c>
      <c r="DN247" s="491"/>
      <c r="DO247" s="489" t="str">
        <f>DO$4</f>
        <v>3Q16</v>
      </c>
      <c r="DP247" s="491"/>
      <c r="DQ247" s="489" t="str">
        <f>DQ$4</f>
        <v>4Q16</v>
      </c>
      <c r="DR247" s="491"/>
      <c r="DS247" s="489" t="str">
        <f>DS$4</f>
        <v>1Q17</v>
      </c>
      <c r="DT247" s="491"/>
      <c r="DU247" s="489" t="str">
        <f>DU$4</f>
        <v>2Q17</v>
      </c>
      <c r="DV247" s="491"/>
      <c r="DW247" s="489" t="str">
        <f>DW$4</f>
        <v>3Q17</v>
      </c>
      <c r="DX247" s="491"/>
      <c r="DY247" s="489" t="str">
        <f>DY$4</f>
        <v>4Q17</v>
      </c>
      <c r="DZ247" s="491"/>
      <c r="EA247" s="489"/>
      <c r="EB247" s="490" t="str">
        <f>EB$4</f>
        <v>2000</v>
      </c>
      <c r="EC247" s="491"/>
      <c r="ED247" s="490" t="str">
        <f>ED$4</f>
        <v>2001</v>
      </c>
      <c r="EE247" s="491"/>
      <c r="EF247" s="490" t="str">
        <f>EF$4</f>
        <v>2002</v>
      </c>
      <c r="EG247" s="491"/>
      <c r="EH247" s="490" t="str">
        <f>EH$4</f>
        <v>2003</v>
      </c>
      <c r="EI247" s="491"/>
      <c r="EJ247" s="489">
        <f>EJ$4</f>
        <v>2004</v>
      </c>
      <c r="EK247" s="491"/>
      <c r="EL247" s="489" t="str">
        <f>EL$4</f>
        <v>2005</v>
      </c>
      <c r="EM247" s="491"/>
      <c r="EN247" s="489" t="str">
        <f>EN$4</f>
        <v>2006</v>
      </c>
      <c r="EO247" s="491"/>
      <c r="EP247" s="489">
        <f>EP$4</f>
        <v>2007</v>
      </c>
      <c r="EQ247" s="491"/>
      <c r="ER247" s="489" t="str">
        <f>ER$4</f>
        <v>2008</v>
      </c>
      <c r="ES247" s="491"/>
      <c r="ET247" s="489" t="str">
        <f>ET$4</f>
        <v>2009</v>
      </c>
      <c r="EU247" s="491"/>
      <c r="EV247" s="489" t="str">
        <f>EV$4</f>
        <v>2010</v>
      </c>
      <c r="EW247" s="491"/>
      <c r="EX247" s="489" t="str">
        <f>EX$4</f>
        <v>2011</v>
      </c>
      <c r="EY247" s="491"/>
      <c r="EZ247" s="489" t="str">
        <f>EZ$4</f>
        <v>2012</v>
      </c>
      <c r="FA247" s="491"/>
      <c r="FB247" s="489" t="str">
        <f>FB$4</f>
        <v>2013</v>
      </c>
      <c r="FC247" s="491"/>
      <c r="FD247" s="489">
        <f>FD$4</f>
        <v>2014</v>
      </c>
      <c r="FE247" s="491"/>
      <c r="FF247" s="489" t="str">
        <f>FF$4</f>
        <v>2015</v>
      </c>
      <c r="FG247" s="491"/>
      <c r="FH247" s="489">
        <f>FH$4</f>
        <v>2016</v>
      </c>
      <c r="FI247" s="491"/>
      <c r="FJ247" s="489">
        <f>FJ$4</f>
        <v>2017</v>
      </c>
      <c r="FK247" s="491"/>
      <c r="FL247" s="489" t="str">
        <f>FL$4</f>
        <v>2018E</v>
      </c>
      <c r="FM247" s="491"/>
      <c r="FN247" s="489" t="str">
        <f>FN$4</f>
        <v>2019E</v>
      </c>
      <c r="FO247" s="491"/>
      <c r="FP247" s="489" t="str">
        <f>FP$4</f>
        <v>2020E</v>
      </c>
      <c r="FQ247" s="491"/>
      <c r="FR247" s="489" t="str">
        <f>FR$4</f>
        <v>2021E</v>
      </c>
      <c r="FS247" s="489" t="str">
        <f>FS$4</f>
        <v>CAGR</v>
      </c>
      <c r="FT247" s="349"/>
    </row>
    <row r="248" spans="1:176" ht="12.75" hidden="1" customHeight="1" outlineLevel="1" x14ac:dyDescent="0.2">
      <c r="A248" s="493"/>
      <c r="B248" s="494" t="str">
        <f>+B$5</f>
        <v>1Q03</v>
      </c>
      <c r="C248" s="495" t="str">
        <f>C$5</f>
        <v>% Chg</v>
      </c>
      <c r="D248" s="494" t="str">
        <f>+D$5</f>
        <v>2Q03</v>
      </c>
      <c r="E248" s="495" t="str">
        <f>E$5</f>
        <v>% Chg</v>
      </c>
      <c r="F248" s="494" t="str">
        <f>+F$5</f>
        <v>3Q03</v>
      </c>
      <c r="G248" s="495" t="str">
        <f>G$5</f>
        <v>% Chg</v>
      </c>
      <c r="H248" s="494" t="str">
        <f>+H$5</f>
        <v>4Q03</v>
      </c>
      <c r="I248" s="495" t="str">
        <f>I$5</f>
        <v>% Chg</v>
      </c>
      <c r="J248" s="494" t="str">
        <f>+J$5</f>
        <v>1Q04</v>
      </c>
      <c r="K248" s="495" t="str">
        <f>K$5</f>
        <v>% Chg</v>
      </c>
      <c r="L248" s="494" t="str">
        <f>+L$5</f>
        <v>2Q04</v>
      </c>
      <c r="M248" s="495" t="str">
        <f>M$5</f>
        <v>% Chg</v>
      </c>
      <c r="N248" s="494" t="str">
        <f>+N$5</f>
        <v>3Q04</v>
      </c>
      <c r="O248" s="495" t="str">
        <f>O$5</f>
        <v>% Chg</v>
      </c>
      <c r="P248" s="494" t="str">
        <f>+P$5</f>
        <v>4Q04</v>
      </c>
      <c r="Q248" s="495" t="str">
        <f>Q$5</f>
        <v>% Chg</v>
      </c>
      <c r="R248" s="494" t="str">
        <f>+R$5</f>
        <v>1Q05</v>
      </c>
      <c r="S248" s="495" t="str">
        <f>S$5</f>
        <v>% Chg</v>
      </c>
      <c r="T248" s="494" t="str">
        <f>+T$5</f>
        <v>2Q05</v>
      </c>
      <c r="U248" s="495" t="str">
        <f>U$5</f>
        <v>% Chg</v>
      </c>
      <c r="V248" s="494" t="str">
        <f>+V$5</f>
        <v>3Q05</v>
      </c>
      <c r="W248" s="495" t="str">
        <f>W$5</f>
        <v>% Chg</v>
      </c>
      <c r="X248" s="494" t="str">
        <f>+X$5</f>
        <v>4Q05</v>
      </c>
      <c r="Y248" s="495" t="str">
        <f>Y$5</f>
        <v>% Chg</v>
      </c>
      <c r="Z248" s="494" t="str">
        <f>+Z$5</f>
        <v>1Q06</v>
      </c>
      <c r="AA248" s="495" t="str">
        <f>AA$5</f>
        <v>% Chg</v>
      </c>
      <c r="AB248" s="494" t="str">
        <f>+AB$5</f>
        <v>2Q06</v>
      </c>
      <c r="AC248" s="495" t="str">
        <f>AC$5</f>
        <v>% Chg</v>
      </c>
      <c r="AD248" s="494" t="str">
        <f>+AD$5</f>
        <v>3Q06</v>
      </c>
      <c r="AE248" s="495" t="str">
        <f>AE$5</f>
        <v>% Chg</v>
      </c>
      <c r="AF248" s="494" t="str">
        <f>+AF$5</f>
        <v>4Q06</v>
      </c>
      <c r="AG248" s="495" t="str">
        <f>AG$5</f>
        <v>% Chg</v>
      </c>
      <c r="AH248" s="494" t="str">
        <f>+AH$5</f>
        <v>1Q07</v>
      </c>
      <c r="AI248" s="496" t="str">
        <f>AI$5</f>
        <v>% Chg</v>
      </c>
      <c r="AJ248" s="494" t="str">
        <f>+AJ$5</f>
        <v>2Q07</v>
      </c>
      <c r="AK248" s="496" t="str">
        <f>AK$5</f>
        <v>% Chg</v>
      </c>
      <c r="AL248" s="494" t="str">
        <f>+AL$5</f>
        <v>3Q07</v>
      </c>
      <c r="AM248" s="496" t="str">
        <f>AM$5</f>
        <v>% Chg</v>
      </c>
      <c r="AN248" s="494" t="str">
        <f>+AN$5</f>
        <v>4Q07</v>
      </c>
      <c r="AO248" s="496" t="str">
        <f>AO$5</f>
        <v>% Chg</v>
      </c>
      <c r="AP248" s="494" t="str">
        <f>+AP$5</f>
        <v>1Q08</v>
      </c>
      <c r="AQ248" s="496" t="str">
        <f>AQ$5</f>
        <v>% Chg</v>
      </c>
      <c r="AR248" s="494" t="str">
        <f>+AR$5</f>
        <v>2Q08</v>
      </c>
      <c r="AS248" s="496" t="str">
        <f>AS$5</f>
        <v>% Chg</v>
      </c>
      <c r="AT248" s="494" t="str">
        <f>+AT$5</f>
        <v>3Q08</v>
      </c>
      <c r="AU248" s="496" t="str">
        <f>AU$5</f>
        <v>% Chg</v>
      </c>
      <c r="AV248" s="494" t="str">
        <f>+AV$5</f>
        <v>4Q08</v>
      </c>
      <c r="AW248" s="496" t="str">
        <f>AW$5</f>
        <v>% Chg</v>
      </c>
      <c r="AX248" s="494" t="str">
        <f>+AX$5</f>
        <v>1Q09</v>
      </c>
      <c r="AY248" s="496" t="str">
        <f>AY$5</f>
        <v>% Chg</v>
      </c>
      <c r="AZ248" s="494" t="str">
        <f>+AZ$5</f>
        <v>2Q09</v>
      </c>
      <c r="BA248" s="496" t="str">
        <f>BA$5</f>
        <v>% Chg</v>
      </c>
      <c r="BB248" s="494" t="str">
        <f>+BB$5</f>
        <v>3Q09</v>
      </c>
      <c r="BC248" s="496" t="str">
        <f>BC$5</f>
        <v>% Chg</v>
      </c>
      <c r="BD248" s="494" t="str">
        <f>+BD$5</f>
        <v>4Q09</v>
      </c>
      <c r="BE248" s="496" t="str">
        <f>BE$5</f>
        <v>% Chg</v>
      </c>
      <c r="BF248" s="494" t="str">
        <f>+BF$5</f>
        <v>1Q10</v>
      </c>
      <c r="BG248" s="496" t="str">
        <f>BG$5</f>
        <v>% Chg</v>
      </c>
      <c r="BH248" s="494" t="str">
        <f>+BH$5</f>
        <v>2Q10</v>
      </c>
      <c r="BI248" s="496" t="str">
        <f>BI$5</f>
        <v>% Chg</v>
      </c>
      <c r="BJ248" s="494" t="str">
        <f>+BJ$5</f>
        <v>3Q10</v>
      </c>
      <c r="BK248" s="496" t="str">
        <f>BK$5</f>
        <v>% Chg</v>
      </c>
      <c r="BL248" s="494" t="str">
        <f>+BL$5</f>
        <v>4Q10</v>
      </c>
      <c r="BM248" s="496" t="str">
        <f>BM$5</f>
        <v>% Chg</v>
      </c>
      <c r="BN248" s="494" t="str">
        <f>+BN$5</f>
        <v>1Q11</v>
      </c>
      <c r="BO248" s="496" t="str">
        <f>BO$5</f>
        <v>% Chg</v>
      </c>
      <c r="BP248" s="494" t="str">
        <f>+BP$5</f>
        <v>2Q11</v>
      </c>
      <c r="BQ248" s="496" t="str">
        <f>BQ$5</f>
        <v>% Chg</v>
      </c>
      <c r="BR248" s="494" t="str">
        <f>+BR$5</f>
        <v>3Q11</v>
      </c>
      <c r="BS248" s="496" t="str">
        <f>BS$5</f>
        <v>% Chg</v>
      </c>
      <c r="BT248" s="494" t="str">
        <f>+BT$5</f>
        <v>4Q11</v>
      </c>
      <c r="BU248" s="496" t="str">
        <f>BU$5</f>
        <v>% Chg</v>
      </c>
      <c r="BV248" s="494" t="str">
        <f>+BV$5</f>
        <v>1Q12</v>
      </c>
      <c r="BW248" s="496" t="str">
        <f>BW$5</f>
        <v>% Chg</v>
      </c>
      <c r="BX248" s="494" t="str">
        <f>+BX$5</f>
        <v>2Q12</v>
      </c>
      <c r="BY248" s="496" t="str">
        <f>BY$5</f>
        <v>% Chg</v>
      </c>
      <c r="BZ248" s="494" t="str">
        <f>+BZ$5</f>
        <v>3Q12</v>
      </c>
      <c r="CA248" s="496" t="str">
        <f>CA$5</f>
        <v>% Chg</v>
      </c>
      <c r="CB248" s="494" t="str">
        <f>+CB$5</f>
        <v>4Q12</v>
      </c>
      <c r="CC248" s="496" t="str">
        <f>CC$5</f>
        <v>% Chg</v>
      </c>
      <c r="CD248" s="494" t="str">
        <f>+CD$5</f>
        <v>1Q13</v>
      </c>
      <c r="CE248" s="496" t="str">
        <f>CE$5</f>
        <v>% Chg</v>
      </c>
      <c r="CF248" s="494" t="str">
        <f>+CF$5</f>
        <v>2Q13</v>
      </c>
      <c r="CG248" s="496" t="str">
        <f>CG$5</f>
        <v>% Chg</v>
      </c>
      <c r="CH248" s="494" t="str">
        <f>+CH$5</f>
        <v>3Q13</v>
      </c>
      <c r="CI248" s="496" t="str">
        <f>CI$5</f>
        <v>% Chg</v>
      </c>
      <c r="CJ248" s="494" t="str">
        <f>+CJ$5</f>
        <v>4Q13</v>
      </c>
      <c r="CK248" s="496" t="str">
        <f>CK$5</f>
        <v>% Chg</v>
      </c>
      <c r="CL248" s="494" t="str">
        <f>+CL$5</f>
        <v>1Q14</v>
      </c>
      <c r="CM248" s="496" t="str">
        <f>CM$5</f>
        <v>% Chg</v>
      </c>
      <c r="CN248" s="494" t="str">
        <f>+CN$5</f>
        <v>2Q14</v>
      </c>
      <c r="CO248" s="496" t="str">
        <f>CO$5</f>
        <v>% Chg</v>
      </c>
      <c r="CP248" s="494" t="str">
        <f>+CP$5</f>
        <v>3Q14</v>
      </c>
      <c r="CQ248" s="496" t="str">
        <f>CQ$5</f>
        <v>% Chg</v>
      </c>
      <c r="CR248" s="494" t="str">
        <f>+CR$5</f>
        <v>4Q14</v>
      </c>
      <c r="CS248" s="496" t="str">
        <f>CS$5</f>
        <v>% Chg</v>
      </c>
      <c r="CT248" s="494" t="str">
        <f>+CT$5</f>
        <v>1Q15</v>
      </c>
      <c r="CU248" s="496" t="str">
        <f>CU$5</f>
        <v>% Chg</v>
      </c>
      <c r="CV248" s="494" t="str">
        <f>+CV$5</f>
        <v>2Q15</v>
      </c>
      <c r="CW248" s="496" t="str">
        <f>CW$5</f>
        <v>% Chg</v>
      </c>
      <c r="CX248" s="494" t="str">
        <f>+CX$5</f>
        <v>3Q15</v>
      </c>
      <c r="CY248" s="496" t="str">
        <f>CY$5</f>
        <v>% Chg</v>
      </c>
      <c r="CZ248" s="494" t="str">
        <f>+CZ$5</f>
        <v>4Q15</v>
      </c>
      <c r="DA248" s="496" t="str">
        <f>DA$5</f>
        <v>% Chg</v>
      </c>
      <c r="DB248" s="494" t="str">
        <f>+DB$5</f>
        <v>1Q16</v>
      </c>
      <c r="DC248" s="496" t="str">
        <f>DC$5</f>
        <v>% Chg</v>
      </c>
      <c r="DD248" s="494" t="str">
        <f>+DD$5</f>
        <v>2Q16</v>
      </c>
      <c r="DE248" s="496" t="str">
        <f>DE$5</f>
        <v>% Chg</v>
      </c>
      <c r="DF248" s="494" t="str">
        <f>+DF$5</f>
        <v>3Q16</v>
      </c>
      <c r="DG248" s="496" t="str">
        <f>DG$5</f>
        <v>% Chg</v>
      </c>
      <c r="DH248" s="494" t="str">
        <f>+DH$5</f>
        <v>4Q16</v>
      </c>
      <c r="DI248" s="496" t="str">
        <f>DI$5</f>
        <v>% Chg</v>
      </c>
      <c r="DJ248" s="494" t="str">
        <f>+DJ$5</f>
        <v>1Q17</v>
      </c>
      <c r="DK248" s="496" t="str">
        <f>DK$5</f>
        <v>% Chg</v>
      </c>
      <c r="DL248" s="494" t="str">
        <f>+DL$5</f>
        <v>2Q17</v>
      </c>
      <c r="DM248" s="496" t="str">
        <f>DM$5</f>
        <v>% Chg</v>
      </c>
      <c r="DN248" s="494" t="str">
        <f>+DN$5</f>
        <v>3Q17</v>
      </c>
      <c r="DO248" s="496" t="str">
        <f>DO$5</f>
        <v>% Chg</v>
      </c>
      <c r="DP248" s="494" t="str">
        <f>+DP$5</f>
        <v>4Q17</v>
      </c>
      <c r="DQ248" s="496" t="str">
        <f>DQ$5</f>
        <v>% Chg</v>
      </c>
      <c r="DR248" s="494" t="str">
        <f>+DR$5</f>
        <v>1Q18E</v>
      </c>
      <c r="DS248" s="496" t="str">
        <f>DS$5</f>
        <v>% Chg</v>
      </c>
      <c r="DT248" s="494" t="str">
        <f>+DT$5</f>
        <v>2Q18E</v>
      </c>
      <c r="DU248" s="496" t="str">
        <f>DU$5</f>
        <v>% Chg</v>
      </c>
      <c r="DV248" s="494" t="str">
        <f>+DV$5</f>
        <v>3Q18E</v>
      </c>
      <c r="DW248" s="496" t="str">
        <f>DW$5</f>
        <v>% Chg</v>
      </c>
      <c r="DX248" s="494" t="str">
        <f>+DX$5</f>
        <v>4Q18E</v>
      </c>
      <c r="DY248" s="496" t="str">
        <f>DY$5</f>
        <v>% Chg</v>
      </c>
      <c r="DZ248" s="494"/>
      <c r="EA248" s="496"/>
      <c r="EB248" s="495" t="str">
        <f>EB$5</f>
        <v>% Chg</v>
      </c>
      <c r="EC248" s="494" t="str">
        <f t="shared" ref="EC248:FQ248" si="21">+EC$5</f>
        <v>2002</v>
      </c>
      <c r="ED248" s="495" t="str">
        <f>ED$5</f>
        <v>% Chg</v>
      </c>
      <c r="EE248" s="494" t="str">
        <f t="shared" si="21"/>
        <v>2003</v>
      </c>
      <c r="EF248" s="495" t="str">
        <f>EF$5</f>
        <v>% Chg</v>
      </c>
      <c r="EG248" s="494">
        <f t="shared" si="21"/>
        <v>2004</v>
      </c>
      <c r="EH248" s="495" t="str">
        <f>EH$5</f>
        <v>% Chg</v>
      </c>
      <c r="EI248" s="494" t="str">
        <f t="shared" si="21"/>
        <v>2005</v>
      </c>
      <c r="EJ248" s="496" t="str">
        <f>EJ$5</f>
        <v>% Chg</v>
      </c>
      <c r="EK248" s="494" t="str">
        <f t="shared" si="21"/>
        <v>2006</v>
      </c>
      <c r="EL248" s="496" t="str">
        <f>EL$5</f>
        <v>% Chg</v>
      </c>
      <c r="EM248" s="494">
        <f t="shared" si="21"/>
        <v>2007</v>
      </c>
      <c r="EN248" s="496" t="str">
        <f>EN$5</f>
        <v>% Chg</v>
      </c>
      <c r="EO248" s="494" t="str">
        <f t="shared" si="21"/>
        <v>2008</v>
      </c>
      <c r="EP248" s="496" t="str">
        <f>EP$5</f>
        <v>% Chg</v>
      </c>
      <c r="EQ248" s="494" t="str">
        <f t="shared" si="21"/>
        <v>2009</v>
      </c>
      <c r="ER248" s="496" t="str">
        <f>ER$5</f>
        <v>% Chg</v>
      </c>
      <c r="ES248" s="494" t="str">
        <f t="shared" si="21"/>
        <v>2010</v>
      </c>
      <c r="ET248" s="496" t="str">
        <f>ET$5</f>
        <v>% Chg</v>
      </c>
      <c r="EU248" s="494" t="str">
        <f t="shared" si="21"/>
        <v>2011</v>
      </c>
      <c r="EV248" s="496" t="str">
        <f>EV$5</f>
        <v>% Chg</v>
      </c>
      <c r="EW248" s="494" t="str">
        <f t="shared" si="21"/>
        <v>2012</v>
      </c>
      <c r="EX248" s="496" t="str">
        <f>EX$5</f>
        <v>% Chg</v>
      </c>
      <c r="EY248" s="494" t="str">
        <f t="shared" si="21"/>
        <v>2013</v>
      </c>
      <c r="EZ248" s="496" t="str">
        <f>EZ$5</f>
        <v>% Chg</v>
      </c>
      <c r="FA248" s="494">
        <f t="shared" si="21"/>
        <v>2014</v>
      </c>
      <c r="FB248" s="496" t="str">
        <f>FB$5</f>
        <v>% Chg</v>
      </c>
      <c r="FC248" s="494" t="str">
        <f t="shared" si="21"/>
        <v>2015</v>
      </c>
      <c r="FD248" s="496" t="str">
        <f>FD$5</f>
        <v>% Chg</v>
      </c>
      <c r="FE248" s="494">
        <f t="shared" si="21"/>
        <v>2016</v>
      </c>
      <c r="FF248" s="496" t="str">
        <f>FF$5</f>
        <v>% Chg</v>
      </c>
      <c r="FG248" s="494">
        <f t="shared" si="21"/>
        <v>2017</v>
      </c>
      <c r="FH248" s="496" t="str">
        <f>FH$5</f>
        <v>% Chg</v>
      </c>
      <c r="FI248" s="494" t="str">
        <f t="shared" si="21"/>
        <v>2018E</v>
      </c>
      <c r="FJ248" s="496" t="str">
        <f>FJ$5</f>
        <v>% Chg</v>
      </c>
      <c r="FK248" s="494" t="str">
        <f t="shared" si="21"/>
        <v>2019E</v>
      </c>
      <c r="FL248" s="496" t="str">
        <f>FL$5</f>
        <v>% Chg</v>
      </c>
      <c r="FM248" s="494" t="str">
        <f t="shared" si="21"/>
        <v>2020E</v>
      </c>
      <c r="FN248" s="496" t="str">
        <f>FN$5</f>
        <v>% Chg</v>
      </c>
      <c r="FO248" s="494" t="str">
        <f t="shared" si="21"/>
        <v>2021E</v>
      </c>
      <c r="FP248" s="496" t="str">
        <f>FP$5</f>
        <v>% Chg</v>
      </c>
      <c r="FQ248" s="494" t="str">
        <f t="shared" si="21"/>
        <v>2022E</v>
      </c>
      <c r="FR248" s="496" t="str">
        <f>FR$5</f>
        <v>% Chg</v>
      </c>
      <c r="FS248" s="496" t="str">
        <f>FS$5</f>
        <v>(%)</v>
      </c>
      <c r="FT248" s="349"/>
    </row>
    <row r="249" spans="1:176" ht="12.75" hidden="1" customHeight="1" outlineLevel="1" x14ac:dyDescent="0.2">
      <c r="A249" s="70"/>
      <c r="B249" s="497"/>
      <c r="C249" s="155"/>
      <c r="D249" s="497"/>
      <c r="E249" s="155"/>
      <c r="F249" s="497"/>
      <c r="G249" s="155"/>
      <c r="H249" s="497"/>
      <c r="I249" s="155"/>
      <c r="J249" s="497"/>
      <c r="K249" s="155"/>
      <c r="L249" s="497"/>
      <c r="M249" s="155"/>
      <c r="N249" s="497"/>
      <c r="O249" s="155"/>
      <c r="P249" s="497"/>
      <c r="Q249" s="155"/>
      <c r="R249" s="497"/>
      <c r="S249" s="155"/>
      <c r="T249" s="497"/>
      <c r="U249" s="155"/>
      <c r="V249" s="497"/>
      <c r="W249" s="155"/>
      <c r="X249" s="497"/>
      <c r="Y249" s="155"/>
      <c r="Z249" s="497"/>
      <c r="AA249" s="155"/>
      <c r="AB249" s="497"/>
      <c r="AC249" s="155"/>
      <c r="AD249" s="497"/>
      <c r="AE249" s="155"/>
      <c r="AF249" s="497"/>
      <c r="AG249" s="155"/>
      <c r="AH249" s="497"/>
      <c r="AI249" s="240"/>
      <c r="AJ249" s="497"/>
      <c r="AK249" s="240"/>
      <c r="AL249" s="497"/>
      <c r="AM249" s="240"/>
      <c r="AN249" s="497"/>
      <c r="AO249" s="240"/>
      <c r="AP249" s="497"/>
      <c r="AQ249" s="240"/>
      <c r="AR249" s="497"/>
      <c r="AS249" s="240"/>
      <c r="AT249" s="497"/>
      <c r="AU249" s="240"/>
      <c r="AV249" s="497"/>
      <c r="AW249" s="240"/>
      <c r="AX249" s="497"/>
      <c r="AY249" s="240"/>
      <c r="AZ249" s="497"/>
      <c r="BA249" s="240"/>
      <c r="BB249" s="497"/>
      <c r="BC249" s="240"/>
      <c r="BD249" s="497"/>
      <c r="BE249" s="240"/>
      <c r="BF249" s="497"/>
      <c r="BG249" s="240"/>
      <c r="BH249" s="497"/>
      <c r="BI249" s="240"/>
      <c r="BJ249" s="497"/>
      <c r="BK249" s="240"/>
      <c r="BL249" s="497"/>
      <c r="BM249" s="240"/>
      <c r="BN249" s="497"/>
      <c r="BO249" s="240"/>
      <c r="BP249" s="497"/>
      <c r="BQ249" s="240"/>
      <c r="BR249" s="497"/>
      <c r="BS249" s="240"/>
      <c r="BT249" s="497"/>
      <c r="BU249" s="240"/>
      <c r="BV249" s="497"/>
      <c r="BW249" s="240"/>
      <c r="BX249" s="497"/>
      <c r="BY249" s="240"/>
      <c r="BZ249" s="497"/>
      <c r="CA249" s="240"/>
      <c r="CB249" s="497"/>
      <c r="CC249" s="240"/>
      <c r="CD249" s="497"/>
      <c r="CE249" s="240"/>
      <c r="CF249" s="497"/>
      <c r="CG249" s="240"/>
      <c r="CH249" s="497"/>
      <c r="CI249" s="240"/>
      <c r="CJ249" s="497"/>
      <c r="CK249" s="240"/>
      <c r="CL249" s="497"/>
      <c r="CM249" s="240"/>
      <c r="CN249" s="497"/>
      <c r="CO249" s="240"/>
      <c r="CP249" s="497"/>
      <c r="CQ249" s="240"/>
      <c r="CR249" s="497"/>
      <c r="CS249" s="240"/>
      <c r="CT249" s="497"/>
      <c r="CU249" s="240"/>
      <c r="CV249" s="497"/>
      <c r="CW249" s="240"/>
      <c r="CX249" s="497"/>
      <c r="CY249" s="240"/>
      <c r="CZ249" s="497"/>
      <c r="DA249" s="240"/>
      <c r="DB249" s="497"/>
      <c r="DC249" s="240"/>
      <c r="DD249" s="497"/>
      <c r="DE249" s="240"/>
      <c r="DF249" s="497"/>
      <c r="DG249" s="240"/>
      <c r="DH249" s="497"/>
      <c r="DI249" s="240"/>
      <c r="DJ249" s="497"/>
      <c r="DK249" s="240"/>
      <c r="DL249" s="497"/>
      <c r="DM249" s="240"/>
      <c r="DN249" s="497"/>
      <c r="DO249" s="240"/>
      <c r="DP249" s="497"/>
      <c r="DQ249" s="240"/>
      <c r="DR249" s="497"/>
      <c r="DS249" s="240"/>
      <c r="DT249" s="497"/>
      <c r="DU249" s="240"/>
      <c r="DV249" s="497"/>
      <c r="DW249" s="240"/>
      <c r="DX249" s="497"/>
      <c r="DY249" s="240"/>
      <c r="DZ249" s="497"/>
      <c r="EA249" s="240"/>
      <c r="EB249" s="155"/>
      <c r="EC249" s="497"/>
      <c r="ED249" s="155"/>
      <c r="EE249" s="497"/>
      <c r="EF249" s="155"/>
      <c r="EG249" s="497"/>
      <c r="EH249" s="155"/>
      <c r="EI249" s="497"/>
      <c r="EJ249" s="240"/>
      <c r="EK249" s="497"/>
      <c r="EL249" s="240"/>
      <c r="EM249" s="497"/>
      <c r="EN249" s="240"/>
      <c r="EO249" s="497"/>
      <c r="EP249" s="240"/>
      <c r="EQ249" s="497"/>
      <c r="ER249" s="240"/>
      <c r="ES249" s="497"/>
      <c r="ET249" s="240"/>
      <c r="EU249" s="497"/>
      <c r="EV249" s="240"/>
      <c r="EW249" s="497"/>
      <c r="EX249" s="240"/>
      <c r="EY249" s="497"/>
      <c r="EZ249" s="240"/>
      <c r="FA249" s="497"/>
      <c r="FB249" s="240"/>
      <c r="FC249" s="497"/>
      <c r="FD249" s="240"/>
      <c r="FE249" s="497"/>
      <c r="FF249" s="240"/>
      <c r="FG249" s="497"/>
      <c r="FH249" s="240"/>
      <c r="FI249" s="497"/>
      <c r="FJ249" s="240"/>
      <c r="FK249" s="497"/>
      <c r="FL249" s="240"/>
      <c r="FM249" s="497"/>
      <c r="FN249" s="240"/>
      <c r="FO249" s="497"/>
      <c r="FP249" s="240"/>
      <c r="FQ249" s="497"/>
      <c r="FR249" s="240"/>
      <c r="FS249" s="240"/>
    </row>
    <row r="250" spans="1:176" ht="12.75" hidden="1" customHeight="1" outlineLevel="1" x14ac:dyDescent="0.2">
      <c r="A250" s="514" t="str">
        <f>+INPUT!B148</f>
        <v>Full Service</v>
      </c>
      <c r="B250" s="516"/>
      <c r="C250" s="487"/>
      <c r="D250" s="516"/>
      <c r="E250" s="487"/>
      <c r="F250" s="516"/>
      <c r="G250" s="487"/>
      <c r="H250" s="516"/>
      <c r="I250" s="487"/>
      <c r="J250" s="516"/>
      <c r="K250" s="487"/>
      <c r="L250" s="516"/>
      <c r="M250" s="487"/>
      <c r="N250" s="516"/>
      <c r="O250" s="487"/>
      <c r="P250" s="516"/>
      <c r="Q250" s="487"/>
      <c r="R250" s="516"/>
      <c r="S250" s="487"/>
      <c r="T250" s="516"/>
      <c r="U250" s="487"/>
      <c r="V250" s="516"/>
      <c r="W250" s="487"/>
      <c r="X250" s="516"/>
      <c r="Y250" s="487"/>
      <c r="Z250" s="516"/>
      <c r="AA250" s="487"/>
      <c r="AB250" s="516"/>
      <c r="AC250" s="487"/>
      <c r="AD250" s="516"/>
      <c r="AE250" s="487"/>
      <c r="AF250" s="516"/>
      <c r="AG250" s="487"/>
      <c r="AH250" s="516"/>
      <c r="AI250" s="486"/>
      <c r="AJ250" s="516"/>
      <c r="AK250" s="486"/>
      <c r="AL250" s="516"/>
      <c r="AM250" s="486"/>
      <c r="AN250" s="516"/>
      <c r="AO250" s="486"/>
      <c r="AP250" s="516"/>
      <c r="AQ250" s="486"/>
      <c r="AR250" s="516"/>
      <c r="AS250" s="486"/>
      <c r="AT250" s="516"/>
      <c r="AU250" s="486"/>
      <c r="AV250" s="516"/>
      <c r="AW250" s="486"/>
      <c r="AX250" s="516"/>
      <c r="AY250" s="486"/>
      <c r="AZ250" s="516"/>
      <c r="BA250" s="486"/>
      <c r="BB250" s="516"/>
      <c r="BC250" s="486"/>
      <c r="BD250" s="516"/>
      <c r="BE250" s="486"/>
      <c r="BF250" s="516"/>
      <c r="BG250" s="486"/>
      <c r="BH250" s="516"/>
      <c r="BI250" s="486"/>
      <c r="BJ250" s="516"/>
      <c r="BK250" s="486"/>
      <c r="BL250" s="516"/>
      <c r="BM250" s="486"/>
      <c r="BN250" s="516"/>
      <c r="BO250" s="486"/>
      <c r="BP250" s="516"/>
      <c r="BQ250" s="486"/>
      <c r="BR250" s="516"/>
      <c r="BS250" s="486"/>
      <c r="BT250" s="516"/>
      <c r="BU250" s="486"/>
      <c r="BV250" s="516"/>
      <c r="BW250" s="486"/>
      <c r="BX250" s="516"/>
      <c r="BY250" s="486"/>
      <c r="BZ250" s="516"/>
      <c r="CA250" s="486"/>
      <c r="CB250" s="516"/>
      <c r="CC250" s="486"/>
      <c r="CD250" s="516"/>
      <c r="CE250" s="486"/>
      <c r="CF250" s="516"/>
      <c r="CG250" s="486"/>
      <c r="CH250" s="516"/>
      <c r="CI250" s="486"/>
      <c r="CJ250" s="516"/>
      <c r="CK250" s="486"/>
      <c r="CL250" s="516"/>
      <c r="CM250" s="486"/>
      <c r="CN250" s="516"/>
      <c r="CO250" s="486"/>
      <c r="CP250" s="516"/>
      <c r="CQ250" s="486"/>
      <c r="CR250" s="516"/>
      <c r="CS250" s="486"/>
      <c r="CT250" s="516"/>
      <c r="CU250" s="486"/>
      <c r="CV250" s="516"/>
      <c r="CW250" s="486"/>
      <c r="CX250" s="516"/>
      <c r="CY250" s="486"/>
      <c r="CZ250" s="516"/>
      <c r="DA250" s="486"/>
      <c r="DB250" s="516"/>
      <c r="DC250" s="486"/>
      <c r="DD250" s="516"/>
      <c r="DE250" s="486"/>
      <c r="DF250" s="516"/>
      <c r="DG250" s="486"/>
      <c r="DH250" s="516"/>
      <c r="DI250" s="486"/>
      <c r="DJ250" s="516"/>
      <c r="DK250" s="486"/>
      <c r="DL250" s="516"/>
      <c r="DM250" s="486"/>
      <c r="DN250" s="516"/>
      <c r="DO250" s="486"/>
      <c r="DP250" s="516"/>
      <c r="DQ250" s="486"/>
      <c r="DR250" s="516"/>
      <c r="DS250" s="486"/>
      <c r="DT250" s="516"/>
      <c r="DU250" s="486"/>
      <c r="DV250" s="516"/>
      <c r="DW250" s="486"/>
      <c r="DX250" s="516"/>
      <c r="DY250" s="486"/>
      <c r="DZ250" s="516"/>
      <c r="EA250" s="486"/>
      <c r="EB250" s="487"/>
      <c r="EC250" s="516"/>
      <c r="ED250" s="487"/>
      <c r="EE250" s="516"/>
      <c r="EF250" s="487"/>
      <c r="EG250" s="516"/>
      <c r="EH250" s="487"/>
      <c r="EI250" s="516"/>
      <c r="EJ250" s="486"/>
      <c r="EK250" s="516"/>
      <c r="EL250" s="486"/>
      <c r="EM250" s="516"/>
      <c r="EN250" s="486"/>
      <c r="EO250" s="516"/>
      <c r="EP250" s="486"/>
      <c r="EQ250" s="516"/>
      <c r="ER250" s="486"/>
      <c r="ES250" s="516"/>
      <c r="ET250" s="486"/>
      <c r="EU250" s="516"/>
      <c r="EV250" s="486"/>
      <c r="EW250" s="516"/>
      <c r="EX250" s="486"/>
      <c r="EY250" s="516"/>
      <c r="EZ250" s="486"/>
      <c r="FA250" s="516"/>
      <c r="FB250" s="486"/>
      <c r="FC250" s="516"/>
      <c r="FD250" s="486"/>
      <c r="FE250" s="516"/>
      <c r="FF250" s="486"/>
      <c r="FG250" s="516"/>
      <c r="FH250" s="486"/>
      <c r="FI250" s="516"/>
      <c r="FJ250" s="486"/>
      <c r="FK250" s="516"/>
      <c r="FL250" s="486"/>
      <c r="FM250" s="516"/>
      <c r="FN250" s="486"/>
      <c r="FO250" s="516"/>
      <c r="FP250" s="486"/>
      <c r="FQ250" s="516"/>
      <c r="FR250" s="486"/>
      <c r="FS250" s="486"/>
    </row>
    <row r="251" spans="1:176" ht="12.75" hidden="1" customHeight="1" outlineLevel="1" x14ac:dyDescent="0.2">
      <c r="A251" s="246" t="str">
        <f>+INPUT!B149</f>
        <v>Beginning Assets</v>
      </c>
      <c r="B251" s="75"/>
      <c r="C251" s="155"/>
      <c r="D251" s="75"/>
      <c r="E251" s="155"/>
      <c r="F251" s="75"/>
      <c r="G251" s="155"/>
      <c r="H251" s="75"/>
      <c r="I251" s="155"/>
      <c r="J251" s="75">
        <f>+INPUT!AI149</f>
        <v>32911</v>
      </c>
      <c r="K251" s="155" t="str">
        <f>+INPUT!AJ149</f>
        <v>NA</v>
      </c>
      <c r="L251" s="75">
        <f>+INPUT!AK149</f>
        <v>33176</v>
      </c>
      <c r="M251" s="155" t="str">
        <f>+INPUT!AL149</f>
        <v>NA</v>
      </c>
      <c r="N251" s="75">
        <f>+INPUT!AM149</f>
        <v>80329</v>
      </c>
      <c r="O251" s="155" t="str">
        <f>+INPUT!AN149</f>
        <v>NA</v>
      </c>
      <c r="P251" s="75">
        <f>+INPUT!AO149</f>
        <v>80252</v>
      </c>
      <c r="Q251" s="155" t="str">
        <f>+INPUT!AP149</f>
        <v>NA</v>
      </c>
      <c r="R251" s="75">
        <f>+INPUT!AQ149</f>
        <v>83891</v>
      </c>
      <c r="S251" s="155" t="str">
        <f>+INPUT!AR149</f>
        <v>NM</v>
      </c>
      <c r="T251" s="75">
        <f>+INPUT!AS149</f>
        <v>83927</v>
      </c>
      <c r="U251" s="155" t="str">
        <f>+INPUT!AT149</f>
        <v>NM</v>
      </c>
      <c r="V251" s="75">
        <f>+INPUT!AU149</f>
        <v>85331</v>
      </c>
      <c r="W251" s="155">
        <f>+INPUT!AV149</f>
        <v>6.2268919070323392</v>
      </c>
      <c r="X251" s="75">
        <f>+INPUT!AW149</f>
        <v>88337</v>
      </c>
      <c r="Y251" s="155">
        <f>+INPUT!AX149</f>
        <v>10.074515276877833</v>
      </c>
      <c r="Z251" s="75">
        <f>+INPUT!AY149</f>
        <v>88385</v>
      </c>
      <c r="AA251" s="155">
        <f>+INPUT!AZ149</f>
        <v>5.3569512820207166</v>
      </c>
      <c r="AB251" s="75">
        <f>+INPUT!BA149</f>
        <v>91854</v>
      </c>
      <c r="AC251" s="155">
        <f>+INPUT!BB149</f>
        <v>9.4451130148819828</v>
      </c>
      <c r="AD251" s="75">
        <f>+INPUT!BC149</f>
        <v>91537</v>
      </c>
      <c r="AE251" s="155">
        <f>+INPUT!BD149</f>
        <v>7.2728551171321101</v>
      </c>
      <c r="AF251" s="75">
        <f>+INPUT!BE149</f>
        <v>93364</v>
      </c>
      <c r="AG251" s="155">
        <f>+INPUT!BF149</f>
        <v>5.6907071781925964</v>
      </c>
      <c r="AH251" s="75">
        <f>+INPUT!BG149</f>
        <v>97430</v>
      </c>
      <c r="AI251" s="240">
        <f>+INPUT!BH149</f>
        <v>10.233636929343206</v>
      </c>
      <c r="AJ251" s="75">
        <f>+INPUT!BI149</f>
        <v>99558</v>
      </c>
      <c r="AK251" s="240">
        <f>+INPUT!BJ149</f>
        <v>8.3872232020380153</v>
      </c>
      <c r="AL251" s="75">
        <f>+INPUT!BK149</f>
        <v>104033</v>
      </c>
      <c r="AM251" s="240">
        <f>+INPUT!BL149</f>
        <v>13.651310399073594</v>
      </c>
      <c r="AN251" s="75">
        <f>+INPUT!BM149</f>
        <v>105601</v>
      </c>
      <c r="AO251" s="240">
        <f>+INPUT!BN149</f>
        <v>13.106764920097675</v>
      </c>
      <c r="AP251" s="75">
        <f>+INPUT!BO149</f>
        <v>112192</v>
      </c>
      <c r="AQ251" s="240">
        <f>+INPUT!BP149</f>
        <v>15.151390742071243</v>
      </c>
      <c r="AR251" s="75">
        <f>+INPUT!BQ149</f>
        <v>107060</v>
      </c>
      <c r="AS251" s="240">
        <f>+INPUT!BR149</f>
        <v>7.535306052753171</v>
      </c>
      <c r="AT251" s="75">
        <f>+INPUT!BS149</f>
        <v>106917</v>
      </c>
      <c r="AU251" s="240">
        <f>+INPUT!BT149</f>
        <v>2.772197283554263</v>
      </c>
      <c r="AV251" s="75">
        <f>+INPUT!BU149</f>
        <v>100463</v>
      </c>
      <c r="AW251" s="240">
        <f>+INPUT!BV149</f>
        <v>-4.8654842283690556</v>
      </c>
      <c r="AX251" s="75">
        <f>+INPUT!BW149</f>
        <v>99738</v>
      </c>
      <c r="AY251" s="240">
        <f>+INPUT!BX149</f>
        <v>-11.10061323445521</v>
      </c>
      <c r="AZ251" s="75">
        <f>+INPUT!BY149</f>
        <v>102159</v>
      </c>
      <c r="BA251" s="240">
        <f>+INPUT!BZ149</f>
        <v>-4.5778068372874969</v>
      </c>
      <c r="BB251" s="75">
        <f>+INPUT!CA149</f>
        <v>110950</v>
      </c>
      <c r="BC251" s="240">
        <f>+INPUT!CB149</f>
        <v>3.7720848882778313</v>
      </c>
      <c r="BD251" s="75">
        <f>+INPUT!CC149</f>
        <v>121756</v>
      </c>
      <c r="BE251" s="240">
        <f>+INPUT!CD149</f>
        <v>21.194867762260742</v>
      </c>
      <c r="BF251" s="75">
        <f>+INPUT!CE149</f>
        <v>126345</v>
      </c>
      <c r="BG251" s="240">
        <f>+INPUT!CF149</f>
        <v>26.676893460867475</v>
      </c>
      <c r="BH251" s="75">
        <f>+INPUT!CG149</f>
        <v>131147</v>
      </c>
      <c r="BI251" s="240">
        <f>+INPUT!CH149</f>
        <v>28.375375639933822</v>
      </c>
      <c r="BJ251" s="75">
        <f>+INPUT!CI149</f>
        <v>125176</v>
      </c>
      <c r="BK251" s="240">
        <f>+INPUT!CJ149</f>
        <v>12.821991888237932</v>
      </c>
      <c r="BL251" s="75">
        <f>+INPUT!CK149</f>
        <v>135248</v>
      </c>
      <c r="BM251" s="240">
        <f>+INPUT!CL149</f>
        <v>11.081178750944517</v>
      </c>
      <c r="BN251" s="75">
        <f>+INPUT!CM149</f>
        <v>141313</v>
      </c>
      <c r="BO251" s="240">
        <f>+INPUT!CN149</f>
        <v>11.846927064782946</v>
      </c>
      <c r="BP251" s="75">
        <f>+INPUT!CO149</f>
        <v>145977</v>
      </c>
      <c r="BQ251" s="240">
        <f>+INPUT!CP149</f>
        <v>11.307921645176776</v>
      </c>
      <c r="BR251" s="75">
        <f>+INPUT!CQ149</f>
        <v>146580</v>
      </c>
      <c r="BS251" s="240">
        <f>+INPUT!CR149</f>
        <v>17.099124432798618</v>
      </c>
      <c r="BT251" s="75">
        <f>+INPUT!CS149</f>
        <v>134198</v>
      </c>
      <c r="BU251" s="240">
        <f>+INPUT!CT149</f>
        <v>-0.77635159115106944</v>
      </c>
      <c r="BV251" s="75">
        <f>+INPUT!CU149</f>
        <v>139430</v>
      </c>
      <c r="BW251" s="240">
        <f>+INPUT!CV149</f>
        <v>-1.3325030251993866</v>
      </c>
      <c r="BX251" s="75">
        <f>+INPUT!CW149</f>
        <v>145991</v>
      </c>
      <c r="BY251" s="240">
        <f>+INPUT!CX149</f>
        <v>9.5905519362560199E-3</v>
      </c>
      <c r="BZ251" s="75">
        <f>+INPUT!CY149</f>
        <v>142405</v>
      </c>
      <c r="CA251" s="240">
        <f>+INPUT!CZ149</f>
        <v>-2.8482739800791421</v>
      </c>
      <c r="CB251" s="75">
        <f>+INPUT!DA149</f>
        <v>146934</v>
      </c>
      <c r="CC251" s="240">
        <f>+INPUT!DB149</f>
        <v>9.4904544031952724</v>
      </c>
      <c r="CD251" s="75">
        <f>+INPUT!DC149</f>
        <v>148405</v>
      </c>
      <c r="CE251" s="240">
        <f>+INPUT!DD149</f>
        <v>6.4369217528508926</v>
      </c>
      <c r="CF251" s="75">
        <f>+INPUT!DE149</f>
        <v>156380</v>
      </c>
      <c r="CG251" s="240">
        <f>+INPUT!DF149</f>
        <v>7.1161920940332095</v>
      </c>
      <c r="CH251" s="75">
        <f>+INPUT!DG149</f>
        <v>157738</v>
      </c>
      <c r="CI251" s="240">
        <f>+INPUT!DH149</f>
        <v>10.767178118745832</v>
      </c>
      <c r="CJ251" s="75">
        <f>+INPUT!DI149</f>
        <v>165364</v>
      </c>
      <c r="CK251" s="240">
        <f>+INPUT!DJ149</f>
        <v>12.543046537901375</v>
      </c>
      <c r="CL251" s="75">
        <f>+INPUT!DK149</f>
        <v>173502</v>
      </c>
      <c r="CM251" s="240">
        <f>+INPUT!DL149</f>
        <v>16.911155284525449</v>
      </c>
      <c r="CN251" s="75">
        <f>+INPUT!DM149</f>
        <v>178150</v>
      </c>
      <c r="CO251" s="240">
        <f>+INPUT!DN149</f>
        <v>13.921217547000879</v>
      </c>
      <c r="CP251" s="75">
        <f>+INPUT!DO149</f>
        <v>181577</v>
      </c>
      <c r="CQ251" s="240">
        <f>+INPUT!DP149</f>
        <v>15.113035539945983</v>
      </c>
      <c r="CR251" s="75">
        <f>+INPUT!DQ149</f>
        <v>180535</v>
      </c>
      <c r="CS251" s="240">
        <f>+INPUT!DR149</f>
        <v>9.1743063786555723</v>
      </c>
      <c r="CT251" s="75">
        <f>+INPUT!DS149</f>
        <v>184196</v>
      </c>
      <c r="CU251" s="240">
        <f>+INPUT!DT149</f>
        <v>6.1636177104586807</v>
      </c>
      <c r="CV251" s="75">
        <f>+INPUT!DU149</f>
        <v>188145</v>
      </c>
      <c r="CW251" s="240">
        <f>+INPUT!DV149</f>
        <v>5.6104406399101805</v>
      </c>
      <c r="CX251" s="75">
        <f>+INPUT!DW149</f>
        <v>188807</v>
      </c>
      <c r="CY251" s="240">
        <f>+INPUT!DX149</f>
        <v>3.9817818336022697</v>
      </c>
      <c r="CZ251" s="75">
        <f>+INPUT!DY149</f>
        <v>184515</v>
      </c>
      <c r="DA251" s="240">
        <f>+INPUT!DZ149</f>
        <v>2.2045586728335138</v>
      </c>
      <c r="DB251" s="75">
        <f>+INPUT!EA149</f>
        <v>188961</v>
      </c>
      <c r="DC251" s="240">
        <f>+INPUT!EB149</f>
        <v>2.5869182826988606</v>
      </c>
      <c r="DD251" s="75">
        <f>+INPUT!EC149</f>
        <v>190953</v>
      </c>
      <c r="DE251" s="240">
        <f>+INPUT!ED149</f>
        <v>1.4924659172446724</v>
      </c>
      <c r="DF251" s="75">
        <f>+INPUT!EE149</f>
        <v>194007</v>
      </c>
      <c r="DG251" s="240">
        <f>+INPUT!EF149</f>
        <v>2.7541351750729461</v>
      </c>
      <c r="DH251" s="75">
        <f>+INPUT!EG149</f>
        <v>200476</v>
      </c>
      <c r="DI251" s="240">
        <f>+INPUT!EH149</f>
        <v>8.650245237514568</v>
      </c>
      <c r="DJ251" s="75">
        <f>+INPUT!EI149</f>
        <v>202802</v>
      </c>
      <c r="DK251" s="240">
        <f>+INPUT!EJ149</f>
        <v>7.3247918882732392</v>
      </c>
      <c r="DL251" s="75">
        <f>+INPUT!EK149</f>
        <v>210400</v>
      </c>
      <c r="DM251" s="240">
        <f>+INPUT!EL149</f>
        <v>10.184181447790806</v>
      </c>
      <c r="DN251" s="75">
        <f>+INPUT!EM149</f>
        <v>214731</v>
      </c>
      <c r="DO251" s="240">
        <f>+INPUT!EN149</f>
        <v>10.682088790610649</v>
      </c>
      <c r="DP251" s="75">
        <f>+INPUT!EO149</f>
        <v>227438</v>
      </c>
      <c r="DQ251" s="240">
        <f>+INPUT!EP149</f>
        <v>13.448991400466895</v>
      </c>
      <c r="DR251" s="75">
        <f>+INPUT!EQ149</f>
        <v>234616</v>
      </c>
      <c r="DS251" s="240">
        <f>+INPUT!ER149</f>
        <v>15.68722201950672</v>
      </c>
      <c r="DT251" s="75">
        <f>+INPUT!ES149</f>
        <v>233377.35229718956</v>
      </c>
      <c r="DU251" s="240">
        <f>+INPUT!ET149</f>
        <v>10.920794818055882</v>
      </c>
      <c r="DV251" s="75">
        <f>+INPUT!EU149</f>
        <v>236208.79064100821</v>
      </c>
      <c r="DW251" s="240">
        <f>+INPUT!EV149</f>
        <v>10.002184426565421</v>
      </c>
      <c r="DX251" s="75">
        <f>+INPUT!EW149</f>
        <v>239074.58126029803</v>
      </c>
      <c r="DY251" s="240">
        <f>+INPUT!EX149</f>
        <v>5.1163751265391113</v>
      </c>
      <c r="DZ251" s="75"/>
      <c r="EA251" s="240"/>
      <c r="EB251" s="155">
        <f>+INPUT!FI149</f>
        <v>1.0004653327128921</v>
      </c>
      <c r="EC251" s="75">
        <f>+INPUT!FJ149</f>
        <v>26046</v>
      </c>
      <c r="ED251" s="155">
        <f>+INPUT!FK149</f>
        <v>0</v>
      </c>
      <c r="EE251" s="75">
        <f>+INPUT!FL149</f>
        <v>26046</v>
      </c>
      <c r="EF251" s="155">
        <f>+INPUT!FM149</f>
        <v>0</v>
      </c>
      <c r="EG251" s="75">
        <f>+INPUT!FN149</f>
        <v>32911</v>
      </c>
      <c r="EH251" s="155">
        <f>+INPUT!FO149</f>
        <v>26.357214159563853</v>
      </c>
      <c r="EI251" s="75">
        <f>+INPUT!FP149</f>
        <v>83891</v>
      </c>
      <c r="EJ251" s="240" t="str">
        <f>+INPUT!FQ149</f>
        <v>NM</v>
      </c>
      <c r="EK251" s="75">
        <f>+INPUT!FR149</f>
        <v>88385</v>
      </c>
      <c r="EL251" s="240">
        <f>+INPUT!FS149</f>
        <v>5.3569512820207166</v>
      </c>
      <c r="EM251" s="75">
        <f>+INPUT!FT149</f>
        <v>97430</v>
      </c>
      <c r="EN251" s="240">
        <f>+INPUT!FU149</f>
        <v>10.233636929343206</v>
      </c>
      <c r="EO251" s="75">
        <f>+INPUT!FV149</f>
        <v>112192</v>
      </c>
      <c r="EP251" s="240">
        <f>+INPUT!FW149</f>
        <v>15.151390742071243</v>
      </c>
      <c r="EQ251" s="75">
        <f>+INPUT!FX149</f>
        <v>99738</v>
      </c>
      <c r="ER251" s="240">
        <f>+INPUT!FY149</f>
        <v>-11.10061323445521</v>
      </c>
      <c r="ES251" s="75">
        <f>+INPUT!FZ149</f>
        <v>126345</v>
      </c>
      <c r="ET251" s="240">
        <f>+INPUT!GA149</f>
        <v>26.676893460867475</v>
      </c>
      <c r="EU251" s="75">
        <f>+INPUT!GB149</f>
        <v>141313</v>
      </c>
      <c r="EV251" s="240">
        <f>+INPUT!GC149</f>
        <v>11.846927064782946</v>
      </c>
      <c r="EW251" s="75">
        <f>+INPUT!GD149</f>
        <v>139430</v>
      </c>
      <c r="EX251" s="240">
        <f>+INPUT!GE149</f>
        <v>-1.3325030251993866</v>
      </c>
      <c r="EY251" s="75">
        <f>+INPUT!GF149</f>
        <v>148405</v>
      </c>
      <c r="EZ251" s="240">
        <f>+INPUT!GG149</f>
        <v>6.4369217528508926</v>
      </c>
      <c r="FA251" s="75">
        <f>+INPUT!GH149</f>
        <v>173502</v>
      </c>
      <c r="FB251" s="240">
        <f>+INPUT!GI149</f>
        <v>16.911155284525449</v>
      </c>
      <c r="FC251" s="75">
        <f>+INPUT!GJ149</f>
        <v>184196</v>
      </c>
      <c r="FD251" s="240">
        <f>+INPUT!GK149</f>
        <v>6.1636177104586807</v>
      </c>
      <c r="FE251" s="75">
        <f>+INPUT!GL149</f>
        <v>188961</v>
      </c>
      <c r="FF251" s="240">
        <f>+INPUT!GM149</f>
        <v>2.5869182826988606</v>
      </c>
      <c r="FG251" s="75">
        <f>+INPUT!GN149</f>
        <v>202802</v>
      </c>
      <c r="FH251" s="240">
        <f>+INPUT!GO149</f>
        <v>7.3247918882732392</v>
      </c>
      <c r="FI251" s="75">
        <f>+INPUT!GP149</f>
        <v>234616</v>
      </c>
      <c r="FJ251" s="240">
        <f>+INPUT!GQ149</f>
        <v>15.68722201950672</v>
      </c>
      <c r="FK251" s="75">
        <f>+INPUT!GR149</f>
        <v>241975.14093221843</v>
      </c>
      <c r="FL251" s="240">
        <f>+INPUT!GS149</f>
        <v>3.1366747929461098</v>
      </c>
      <c r="FM251" s="75">
        <f>+INPUT!GT149</f>
        <v>252870.22687879985</v>
      </c>
      <c r="FN251" s="240">
        <f>+INPUT!GU149</f>
        <v>4.5025641496096114</v>
      </c>
      <c r="FO251" s="75">
        <f>+INPUT!GV149</f>
        <v>264255.87105928117</v>
      </c>
      <c r="FP251" s="240">
        <f>+INPUT!GW149</f>
        <v>4.5025641496096114</v>
      </c>
      <c r="FQ251" s="75">
        <f>+INPUT!GX149</f>
        <v>276154.16117283504</v>
      </c>
      <c r="FR251" s="240">
        <f>+INPUT!GY149</f>
        <v>4.5025641496096398</v>
      </c>
      <c r="FS251" s="240">
        <f>+INPUT!GZ149</f>
        <v>6.369194777439291</v>
      </c>
    </row>
    <row r="252" spans="1:176" ht="12.75" hidden="1" customHeight="1" outlineLevel="1" x14ac:dyDescent="0.2">
      <c r="A252" s="246" t="str">
        <f>+INPUT!B150</f>
        <v xml:space="preserve">  Deposits</v>
      </c>
      <c r="B252" s="75"/>
      <c r="C252" s="155"/>
      <c r="D252" s="75"/>
      <c r="E252" s="155"/>
      <c r="F252" s="75"/>
      <c r="G252" s="155"/>
      <c r="H252" s="75"/>
      <c r="I252" s="155"/>
      <c r="J252" s="75">
        <f>+INPUT!AI150</f>
        <v>1198</v>
      </c>
      <c r="K252" s="155" t="str">
        <f>+INPUT!AJ150</f>
        <v>NA</v>
      </c>
      <c r="L252" s="75">
        <f>+INPUT!AK150</f>
        <v>49960</v>
      </c>
      <c r="M252" s="155" t="str">
        <f>+INPUT!AL150</f>
        <v>NA</v>
      </c>
      <c r="N252" s="75">
        <f>+INPUT!AM150</f>
        <v>3963</v>
      </c>
      <c r="O252" s="155" t="str">
        <f>+INPUT!AN150</f>
        <v>NA</v>
      </c>
      <c r="P252" s="75">
        <f>+INPUT!AO150</f>
        <v>3354</v>
      </c>
      <c r="Q252" s="155" t="str">
        <f>+INPUT!AP150</f>
        <v>NA</v>
      </c>
      <c r="R252" s="75">
        <f>+INPUT!AQ150</f>
        <v>3784</v>
      </c>
      <c r="S252" s="155" t="str">
        <f>+INPUT!AR150</f>
        <v>NM</v>
      </c>
      <c r="T252" s="75">
        <f>+INPUT!AS150</f>
        <v>2667</v>
      </c>
      <c r="U252" s="155" t="str">
        <f>+INPUT!AT150</f>
        <v>NM</v>
      </c>
      <c r="V252" s="75">
        <f>+INPUT!AU150</f>
        <v>3509</v>
      </c>
      <c r="W252" s="155">
        <f>+INPUT!AV150</f>
        <v>-11.455967701236432</v>
      </c>
      <c r="X252" s="75">
        <f>+INPUT!AW150</f>
        <v>3046</v>
      </c>
      <c r="Y252" s="155">
        <f>+INPUT!AX150</f>
        <v>-9.1830649970184908</v>
      </c>
      <c r="Z252" s="75">
        <f>+INPUT!AY150</f>
        <v>5381</v>
      </c>
      <c r="AA252" s="155">
        <f>+INPUT!AZ150</f>
        <v>42.204016913319236</v>
      </c>
      <c r="AB252" s="75">
        <f>+INPUT!BA150</f>
        <v>4138</v>
      </c>
      <c r="AC252" s="155">
        <f>+INPUT!BB150</f>
        <v>55.15560554930633</v>
      </c>
      <c r="AD252" s="75">
        <f>+INPUT!BC150</f>
        <v>2914</v>
      </c>
      <c r="AE252" s="155">
        <f>+INPUT!BD150</f>
        <v>-16.956397834140773</v>
      </c>
      <c r="AF252" s="75">
        <f>+INPUT!BE150</f>
        <v>3723</v>
      </c>
      <c r="AG252" s="155">
        <f>+INPUT!BF150</f>
        <v>22.225869993434017</v>
      </c>
      <c r="AH252" s="75">
        <f>+INPUT!BG150</f>
        <v>4003</v>
      </c>
      <c r="AI252" s="240">
        <f>+INPUT!BH150</f>
        <v>-25.608622932540413</v>
      </c>
      <c r="AJ252" s="75">
        <f>+INPUT!BI150</f>
        <v>3212</v>
      </c>
      <c r="AK252" s="240">
        <f>+INPUT!BJ150</f>
        <v>-22.377960367327205</v>
      </c>
      <c r="AL252" s="75">
        <f>+INPUT!BK150</f>
        <v>3219</v>
      </c>
      <c r="AM252" s="240">
        <f>+INPUT!BL150</f>
        <v>10.466712422786543</v>
      </c>
      <c r="AN252" s="75">
        <f>+INPUT!BM150</f>
        <v>4258</v>
      </c>
      <c r="AO252" s="240">
        <f>+INPUT!BN150</f>
        <v>14.370131614289548</v>
      </c>
      <c r="AP252" s="75">
        <f>+INPUT!BO150</f>
        <v>4586</v>
      </c>
      <c r="AQ252" s="240">
        <f>+INPUT!BP150</f>
        <v>14.564076942293269</v>
      </c>
      <c r="AR252" s="75">
        <f>+INPUT!BQ150</f>
        <v>4530</v>
      </c>
      <c r="AS252" s="240">
        <f>+INPUT!BR150</f>
        <v>41.033623910336246</v>
      </c>
      <c r="AT252" s="75">
        <f>+INPUT!BS150</f>
        <v>3276</v>
      </c>
      <c r="AU252" s="240">
        <f>+INPUT!BT150</f>
        <v>1.7707362534948601</v>
      </c>
      <c r="AV252" s="75">
        <f>+INPUT!BU150</f>
        <v>6549</v>
      </c>
      <c r="AW252" s="240">
        <f>+INPUT!BV150</f>
        <v>53.80460310004699</v>
      </c>
      <c r="AX252" s="75">
        <f>+INPUT!BW150</f>
        <v>10489</v>
      </c>
      <c r="AY252" s="240" t="str">
        <f>+INPUT!BX150</f>
        <v>NM</v>
      </c>
      <c r="AZ252" s="75">
        <f>+INPUT!BY150</f>
        <v>3890</v>
      </c>
      <c r="BA252" s="240">
        <f>+INPUT!BZ150</f>
        <v>-14.128035320088301</v>
      </c>
      <c r="BB252" s="75">
        <f>+INPUT!CA150</f>
        <v>4789</v>
      </c>
      <c r="BC252" s="240">
        <f>+INPUT!CB150</f>
        <v>46.184371184371173</v>
      </c>
      <c r="BD252" s="75">
        <f>+INPUT!CC150</f>
        <v>4020</v>
      </c>
      <c r="BE252" s="240">
        <f>+INPUT!CD150</f>
        <v>-38.616582684379296</v>
      </c>
      <c r="BF252" s="75">
        <f>+INPUT!CE150</f>
        <v>5605</v>
      </c>
      <c r="BG252" s="240">
        <f>+INPUT!CF150</f>
        <v>-46.563066069215367</v>
      </c>
      <c r="BH252" s="75">
        <f>+INPUT!CG150</f>
        <v>4037</v>
      </c>
      <c r="BI252" s="240">
        <f>+INPUT!CH150</f>
        <v>3.7789203084832792</v>
      </c>
      <c r="BJ252" s="75">
        <f>+INPUT!CI150</f>
        <v>5255</v>
      </c>
      <c r="BK252" s="240">
        <f>+INPUT!CJ150</f>
        <v>9.7306326999373454</v>
      </c>
      <c r="BL252" s="75">
        <f>+INPUT!CK150</f>
        <v>4369</v>
      </c>
      <c r="BM252" s="240">
        <f>+INPUT!CL150</f>
        <v>8.6815920398009894</v>
      </c>
      <c r="BN252" s="75">
        <f>+INPUT!CM150</f>
        <v>4848</v>
      </c>
      <c r="BO252" s="240">
        <f>+INPUT!CN150</f>
        <v>-13.505798394290807</v>
      </c>
      <c r="BP252" s="75">
        <f>+INPUT!CO150</f>
        <v>4128</v>
      </c>
      <c r="BQ252" s="240">
        <f>+INPUT!CP150</f>
        <v>2.2541491206341249</v>
      </c>
      <c r="BR252" s="75">
        <f>+INPUT!CQ150</f>
        <v>3966</v>
      </c>
      <c r="BS252" s="240">
        <f>+INPUT!CR150</f>
        <v>-24.529019980970503</v>
      </c>
      <c r="BT252" s="75">
        <f>+INPUT!CS150</f>
        <v>3879</v>
      </c>
      <c r="BU252" s="240">
        <f>+INPUT!CT150</f>
        <v>-11.215381094071873</v>
      </c>
      <c r="BV252" s="75">
        <f>+INPUT!CU150</f>
        <v>4646</v>
      </c>
      <c r="BW252" s="240">
        <f>+INPUT!CV150</f>
        <v>-4.1666666666666572</v>
      </c>
      <c r="BX252" s="75">
        <f>+INPUT!CW150</f>
        <v>4363</v>
      </c>
      <c r="BY252" s="240">
        <f>+INPUT!CX150</f>
        <v>5.6928294573643399</v>
      </c>
      <c r="BZ252" s="75">
        <f>+INPUT!CY150</f>
        <v>3478</v>
      </c>
      <c r="CA252" s="240">
        <f>+INPUT!CZ150</f>
        <v>-12.304589006555716</v>
      </c>
      <c r="CB252" s="75">
        <f>+INPUT!DA150</f>
        <v>3903</v>
      </c>
      <c r="CC252" s="240">
        <f>+INPUT!DB150</f>
        <v>0.6187161639597889</v>
      </c>
      <c r="CD252" s="75">
        <f>+INPUT!DC150</f>
        <v>5679</v>
      </c>
      <c r="CE252" s="240">
        <f>+INPUT!DD150</f>
        <v>22.23417993973311</v>
      </c>
      <c r="CF252" s="75">
        <f>+INPUT!DE150</f>
        <v>3697</v>
      </c>
      <c r="CG252" s="240">
        <f>+INPUT!DF150</f>
        <v>-15.264726105890446</v>
      </c>
      <c r="CH252" s="75">
        <f>+INPUT!DG150</f>
        <v>5455</v>
      </c>
      <c r="CI252" s="240">
        <f>+INPUT!DH150</f>
        <v>56.843013225991939</v>
      </c>
      <c r="CJ252" s="75">
        <f>+INPUT!DI150</f>
        <v>5846</v>
      </c>
      <c r="CK252" s="240">
        <f>+INPUT!DJ150</f>
        <v>49.782218806046643</v>
      </c>
      <c r="CL252" s="75">
        <f>+INPUT!DK150</f>
        <v>8587</v>
      </c>
      <c r="CM252" s="240">
        <f>+INPUT!DL150</f>
        <v>51.206198274344075</v>
      </c>
      <c r="CN252" s="75">
        <f>+INPUT!DM150</f>
        <v>4528</v>
      </c>
      <c r="CO252" s="240">
        <f>+INPUT!DN150</f>
        <v>22.477684609142543</v>
      </c>
      <c r="CP252" s="75">
        <f>+INPUT!DO150</f>
        <v>5190</v>
      </c>
      <c r="CQ252" s="240">
        <f>+INPUT!DP150</f>
        <v>-4.8579285059578297</v>
      </c>
      <c r="CR252" s="75">
        <f>+INPUT!DQ150</f>
        <v>5629</v>
      </c>
      <c r="CS252" s="240">
        <f>+INPUT!DR150</f>
        <v>-3.7119397878891505</v>
      </c>
      <c r="CT252" s="75">
        <f>+INPUT!DS150</f>
        <v>6314</v>
      </c>
      <c r="CU252" s="240">
        <f>+INPUT!DT150</f>
        <v>-26.470245720274832</v>
      </c>
      <c r="CV252" s="75">
        <f>+INPUT!DU150</f>
        <v>5040</v>
      </c>
      <c r="CW252" s="240">
        <f>+INPUT!DV150</f>
        <v>11.307420494699642</v>
      </c>
      <c r="CX252" s="75">
        <f>+INPUT!DW150</f>
        <v>9422</v>
      </c>
      <c r="CY252" s="240">
        <f>+INPUT!DX150</f>
        <v>81.541425818882459</v>
      </c>
      <c r="CZ252" s="75">
        <f>+INPUT!DY150</f>
        <v>4908</v>
      </c>
      <c r="DA252" s="240">
        <f>+INPUT!DZ150</f>
        <v>-12.808669390655538</v>
      </c>
      <c r="DB252" s="75">
        <f>+INPUT!EA150</f>
        <v>6656</v>
      </c>
      <c r="DC252" s="240">
        <f>+INPUT!EB150</f>
        <v>5.4165346848273686</v>
      </c>
      <c r="DD252" s="75">
        <f>+INPUT!EC150</f>
        <v>4699</v>
      </c>
      <c r="DE252" s="240">
        <f>+INPUT!ED150</f>
        <v>-6.7658730158730123</v>
      </c>
      <c r="DF252" s="75">
        <f>+INPUT!EE150</f>
        <v>5405</v>
      </c>
      <c r="DG252" s="240">
        <f>+INPUT!EF150</f>
        <v>-42.634260241986844</v>
      </c>
      <c r="DH252" s="75">
        <f>+INPUT!EG150</f>
        <v>5168</v>
      </c>
      <c r="DI252" s="240">
        <f>+INPUT!EH150</f>
        <v>5.2974735126324362</v>
      </c>
      <c r="DJ252" s="75">
        <f>+INPUT!EI150</f>
        <v>6736</v>
      </c>
      <c r="DK252" s="240">
        <f>+INPUT!EJ150</f>
        <v>1.2019230769230802</v>
      </c>
      <c r="DL252" s="75">
        <f>+INPUT!EK150</f>
        <v>4771</v>
      </c>
      <c r="DM252" s="240">
        <f>+INPUT!EL150</f>
        <v>1.5322409023196428</v>
      </c>
      <c r="DN252" s="75">
        <f>+INPUT!EM150</f>
        <v>11188</v>
      </c>
      <c r="DO252" s="240" t="str">
        <f>+INPUT!EN150</f>
        <v>NM</v>
      </c>
      <c r="DP252" s="75">
        <f>+INPUT!EO150</f>
        <v>6832</v>
      </c>
      <c r="DQ252" s="240">
        <f>+INPUT!EP150</f>
        <v>32.198142414860683</v>
      </c>
      <c r="DR252" s="75">
        <f>+INPUT!EQ150</f>
        <v>7918.29</v>
      </c>
      <c r="DS252" s="240">
        <f>+INPUT!ER150</f>
        <v>17.551811163895479</v>
      </c>
      <c r="DT252" s="75">
        <f>+INPUT!ES150</f>
        <v>6709.5988785441996</v>
      </c>
      <c r="DU252" s="240">
        <f>+INPUT!ET150</f>
        <v>40.632967481538458</v>
      </c>
      <c r="DV252" s="75">
        <f>+INPUT!EU150</f>
        <v>5905.2197660252059</v>
      </c>
      <c r="DW252" s="240">
        <f>+INPUT!EV150</f>
        <v>-47.218271665845499</v>
      </c>
      <c r="DX252" s="75">
        <f>+INPUT!EW150</f>
        <v>6574.5509846581963</v>
      </c>
      <c r="DY252" s="240">
        <f>+INPUT!EX150</f>
        <v>-3.768281840483084</v>
      </c>
      <c r="DZ252" s="75"/>
      <c r="EA252" s="240"/>
      <c r="EB252" s="155" t="str">
        <f>+INPUT!FI150</f>
        <v>NM</v>
      </c>
      <c r="EC252" s="75">
        <f>+INPUT!FJ150</f>
        <v>0</v>
      </c>
      <c r="ED252" s="155" t="str">
        <f>+INPUT!FK150</f>
        <v>NA</v>
      </c>
      <c r="EE252" s="75">
        <f>+INPUT!FL150</f>
        <v>0</v>
      </c>
      <c r="EF252" s="155" t="str">
        <f>+INPUT!FM150</f>
        <v>NA</v>
      </c>
      <c r="EG252" s="75">
        <f>+INPUT!FN150</f>
        <v>58475</v>
      </c>
      <c r="EH252" s="155" t="str">
        <f>+INPUT!FO150</f>
        <v>NA</v>
      </c>
      <c r="EI252" s="75">
        <f>+INPUT!FP150</f>
        <v>13006</v>
      </c>
      <c r="EJ252" s="240" t="str">
        <f>+INPUT!FQ150</f>
        <v>NM</v>
      </c>
      <c r="EK252" s="75">
        <f>+INPUT!FR150</f>
        <v>16156</v>
      </c>
      <c r="EL252" s="240">
        <f>+INPUT!FS150</f>
        <v>24.219590958019381</v>
      </c>
      <c r="EM252" s="75">
        <f>+INPUT!FT150</f>
        <v>14692</v>
      </c>
      <c r="EN252" s="240">
        <f>+INPUT!FU150</f>
        <v>-9.061648923000746</v>
      </c>
      <c r="EO252" s="75">
        <f>+INPUT!FV150</f>
        <v>18941</v>
      </c>
      <c r="EP252" s="240">
        <f>+INPUT!FW150</f>
        <v>28.920500952899545</v>
      </c>
      <c r="EQ252" s="75">
        <f>+INPUT!FX150</f>
        <v>23188</v>
      </c>
      <c r="ER252" s="240">
        <f>+INPUT!FY150</f>
        <v>22.422258592471351</v>
      </c>
      <c r="ES252" s="75">
        <f>+INPUT!FZ150</f>
        <v>19266</v>
      </c>
      <c r="ET252" s="240">
        <f>+INPUT!GA150</f>
        <v>-16.913920993617396</v>
      </c>
      <c r="EU252" s="75">
        <f>+INPUT!GB150</f>
        <v>16821</v>
      </c>
      <c r="EV252" s="240">
        <f>+INPUT!GC150</f>
        <v>-12.690750545001563</v>
      </c>
      <c r="EW252" s="75">
        <f>+INPUT!GD150</f>
        <v>16390</v>
      </c>
      <c r="EX252" s="240">
        <f>+INPUT!GE150</f>
        <v>-2.5622733487901996</v>
      </c>
      <c r="EY252" s="75">
        <f>+INPUT!GF150</f>
        <v>20677</v>
      </c>
      <c r="EZ252" s="240">
        <f>+INPUT!GG150</f>
        <v>26.156192800488114</v>
      </c>
      <c r="FA252" s="75">
        <f>+INPUT!GH150</f>
        <v>23934</v>
      </c>
      <c r="FB252" s="240">
        <f>+INPUT!GI150</f>
        <v>15.751801518595542</v>
      </c>
      <c r="FC252" s="75">
        <f>+INPUT!GJ150</f>
        <v>25684</v>
      </c>
      <c r="FD252" s="240">
        <f>+INPUT!GK150</f>
        <v>7.3117740452912159</v>
      </c>
      <c r="FE252" s="75">
        <f>+INPUT!GL150</f>
        <v>21928</v>
      </c>
      <c r="FF252" s="240">
        <f>+INPUT!GM150</f>
        <v>-14.623890359757056</v>
      </c>
      <c r="FG252" s="75">
        <f>+INPUT!GN150</f>
        <v>29527</v>
      </c>
      <c r="FH252" s="240">
        <f>+INPUT!GO150</f>
        <v>34.654323239693554</v>
      </c>
      <c r="FI252" s="75">
        <f>+INPUT!GP150</f>
        <v>27107.659629227601</v>
      </c>
      <c r="FJ252" s="240">
        <f>+INPUT!GQ150</f>
        <v>-8.1936545222081492</v>
      </c>
      <c r="FK252" s="75">
        <f>+INPUT!GR150</f>
        <v>27957.938755775209</v>
      </c>
      <c r="FL252" s="240">
        <f>+INPUT!GS150</f>
        <v>3.1366747929461098</v>
      </c>
      <c r="FM252" s="75">
        <f>+INPUT!GT150</f>
        <v>29216.762883162559</v>
      </c>
      <c r="FN252" s="240">
        <f>+INPUT!GU150</f>
        <v>4.5025641496096398</v>
      </c>
      <c r="FO252" s="75">
        <f>+INPUT!GV150</f>
        <v>30532.266374416282</v>
      </c>
      <c r="FP252" s="240">
        <f>+INPUT!GW150</f>
        <v>4.5025641496096114</v>
      </c>
      <c r="FQ252" s="75">
        <f>+INPUT!GX150</f>
        <v>31907.001254254068</v>
      </c>
      <c r="FR252" s="240">
        <f>+INPUT!GY150</f>
        <v>4.5025641496096398</v>
      </c>
      <c r="FS252" s="240">
        <f>+INPUT!GZ150</f>
        <v>1.5624884034225461</v>
      </c>
    </row>
    <row r="253" spans="1:176" ht="12.75" hidden="1" customHeight="1" outlineLevel="1" x14ac:dyDescent="0.2">
      <c r="A253" s="246" t="str">
        <f>+INPUT!B151</f>
        <v xml:space="preserve">  Withdrawals</v>
      </c>
      <c r="B253" s="75"/>
      <c r="C253" s="155"/>
      <c r="D253" s="75"/>
      <c r="E253" s="155"/>
      <c r="F253" s="75"/>
      <c r="G253" s="155"/>
      <c r="H253" s="75"/>
      <c r="I253" s="155"/>
      <c r="J253" s="75">
        <f>+INPUT!AI151</f>
        <v>-1603</v>
      </c>
      <c r="K253" s="155" t="str">
        <f>+INPUT!AJ151</f>
        <v>NA</v>
      </c>
      <c r="L253" s="75">
        <f>+INPUT!AK151</f>
        <v>-3459</v>
      </c>
      <c r="M253" s="155" t="str">
        <f>+INPUT!AL151</f>
        <v>NA</v>
      </c>
      <c r="N253" s="75">
        <f>+INPUT!AM151</f>
        <v>-3947</v>
      </c>
      <c r="O253" s="155" t="str">
        <f>+INPUT!AN151</f>
        <v>NA</v>
      </c>
      <c r="P253" s="75">
        <f>+INPUT!AO151</f>
        <v>-4078</v>
      </c>
      <c r="Q253" s="155" t="str">
        <f>+INPUT!AP151</f>
        <v>NA</v>
      </c>
      <c r="R253" s="75">
        <f>+INPUT!AQ151</f>
        <v>-3349</v>
      </c>
      <c r="S253" s="155" t="str">
        <f>+INPUT!AR151</f>
        <v>NM</v>
      </c>
      <c r="T253" s="75">
        <f>+INPUT!AS151</f>
        <v>-2837</v>
      </c>
      <c r="U253" s="155">
        <f>+INPUT!AT151</f>
        <v>-17.982075744434809</v>
      </c>
      <c r="V253" s="75">
        <f>+INPUT!AU151</f>
        <v>-3202</v>
      </c>
      <c r="W253" s="155">
        <f>+INPUT!AV151</f>
        <v>-18.87509500886749</v>
      </c>
      <c r="X253" s="75">
        <f>+INPUT!AW151</f>
        <v>-4530</v>
      </c>
      <c r="Y253" s="155">
        <f>+INPUT!AX151</f>
        <v>11.083864639529168</v>
      </c>
      <c r="Z253" s="75">
        <f>+INPUT!AY151</f>
        <v>-5471</v>
      </c>
      <c r="AA253" s="155">
        <f>+INPUT!AZ151</f>
        <v>63.362197670946557</v>
      </c>
      <c r="AB253" s="75">
        <f>+INPUT!BA151</f>
        <v>-3412</v>
      </c>
      <c r="AC253" s="155">
        <f>+INPUT!BB151</f>
        <v>20.267888614733877</v>
      </c>
      <c r="AD253" s="75">
        <f>+INPUT!BC151</f>
        <v>-3272</v>
      </c>
      <c r="AE253" s="155">
        <f>+INPUT!BD151</f>
        <v>2.1861336664584599</v>
      </c>
      <c r="AF253" s="75">
        <f>+INPUT!BE151</f>
        <v>-3834</v>
      </c>
      <c r="AG253" s="155">
        <f>+INPUT!BF151</f>
        <v>-15.36423841059603</v>
      </c>
      <c r="AH253" s="75">
        <f>+INPUT!BG151</f>
        <v>-3433</v>
      </c>
      <c r="AI253" s="240">
        <f>+INPUT!BH151</f>
        <v>-37.250959605190999</v>
      </c>
      <c r="AJ253" s="75">
        <f>+INPUT!BI151</f>
        <v>-3203</v>
      </c>
      <c r="AK253" s="240">
        <f>+INPUT!BJ151</f>
        <v>-6.1254396248534562</v>
      </c>
      <c r="AL253" s="75">
        <f>+INPUT!BK151</f>
        <v>-3309</v>
      </c>
      <c r="AM253" s="240">
        <f>+INPUT!BL151</f>
        <v>1.1308068459657648</v>
      </c>
      <c r="AN253" s="75">
        <f>+INPUT!BM151</f>
        <v>-3804</v>
      </c>
      <c r="AO253" s="240">
        <f>+INPUT!BN151</f>
        <v>-0.78247261345852337</v>
      </c>
      <c r="AP253" s="75">
        <f>+INPUT!BO151</f>
        <v>-3933</v>
      </c>
      <c r="AQ253" s="240">
        <f>+INPUT!BP151</f>
        <v>14.564520827264786</v>
      </c>
      <c r="AR253" s="75">
        <f>+INPUT!BQ151</f>
        <v>-4366</v>
      </c>
      <c r="AS253" s="240">
        <f>+INPUT!BR151</f>
        <v>36.30970964720575</v>
      </c>
      <c r="AT253" s="75">
        <f>+INPUT!BS151</f>
        <v>-2883</v>
      </c>
      <c r="AU253" s="240">
        <f>+INPUT!BT151</f>
        <v>-12.873980054397094</v>
      </c>
      <c r="AV253" s="75">
        <f>+INPUT!BU151</f>
        <v>-3869</v>
      </c>
      <c r="AW253" s="240">
        <f>+INPUT!BV151</f>
        <v>1.708727655099878</v>
      </c>
      <c r="AX253" s="75">
        <f>+INPUT!BW151</f>
        <v>-4231</v>
      </c>
      <c r="AY253" s="240">
        <f>+INPUT!BX151</f>
        <v>7.576913297737093</v>
      </c>
      <c r="AZ253" s="75">
        <f>+INPUT!BY151</f>
        <v>-3803</v>
      </c>
      <c r="BA253" s="240">
        <f>+INPUT!BZ151</f>
        <v>-12.895098488318823</v>
      </c>
      <c r="BB253" s="75">
        <f>+INPUT!CA151</f>
        <v>-3287</v>
      </c>
      <c r="BC253" s="240">
        <f>+INPUT!CB151</f>
        <v>14.013180714533476</v>
      </c>
      <c r="BD253" s="75">
        <f>+INPUT!CC151</f>
        <v>-3117</v>
      </c>
      <c r="BE253" s="240">
        <f>+INPUT!CD151</f>
        <v>-19.436546911346596</v>
      </c>
      <c r="BF253" s="75">
        <f>+INPUT!CE151</f>
        <v>-4500</v>
      </c>
      <c r="BG253" s="240">
        <f>+INPUT!CF151</f>
        <v>6.3578350271803288</v>
      </c>
      <c r="BH253" s="75">
        <f>+INPUT!CG151</f>
        <v>-3751</v>
      </c>
      <c r="BI253" s="240">
        <f>+INPUT!CH151</f>
        <v>-1.3673415724427969</v>
      </c>
      <c r="BJ253" s="75">
        <f>+INPUT!CI151</f>
        <v>-3167</v>
      </c>
      <c r="BK253" s="240">
        <f>+INPUT!CJ151</f>
        <v>-3.6507453605111095</v>
      </c>
      <c r="BL253" s="75">
        <f>+INPUT!CK151</f>
        <v>-5386</v>
      </c>
      <c r="BM253" s="240">
        <f>+INPUT!CL151</f>
        <v>72.79435354507541</v>
      </c>
      <c r="BN253" s="75">
        <f>+INPUT!CM151</f>
        <v>-4927</v>
      </c>
      <c r="BO253" s="240">
        <f>+INPUT!CN151</f>
        <v>9.48888888888888</v>
      </c>
      <c r="BP253" s="75">
        <f>+INPUT!CO151</f>
        <v>-4214</v>
      </c>
      <c r="BQ253" s="240">
        <f>+INPUT!CP151</f>
        <v>12.343375099973343</v>
      </c>
      <c r="BR253" s="75">
        <f>+INPUT!CQ151</f>
        <v>-4126</v>
      </c>
      <c r="BS253" s="240">
        <f>+INPUT!CR151</f>
        <v>30.281023050205249</v>
      </c>
      <c r="BT253" s="75">
        <f>+INPUT!CS151</f>
        <v>-5893</v>
      </c>
      <c r="BU253" s="240">
        <f>+INPUT!CT151</f>
        <v>9.4132937244708614</v>
      </c>
      <c r="BV253" s="75">
        <f>+INPUT!CU151</f>
        <v>-7103</v>
      </c>
      <c r="BW253" s="240">
        <f>+INPUT!CV151</f>
        <v>44.16480617008321</v>
      </c>
      <c r="BX253" s="75">
        <f>+INPUT!CW151</f>
        <v>-3671</v>
      </c>
      <c r="BY253" s="240">
        <f>+INPUT!CX151</f>
        <v>-12.885619364024677</v>
      </c>
      <c r="BZ253" s="75">
        <f>+INPUT!CY151</f>
        <v>-4063</v>
      </c>
      <c r="CA253" s="240">
        <f>+INPUT!CZ151</f>
        <v>-1.5269025690741671</v>
      </c>
      <c r="CB253" s="75">
        <f>+INPUT!DA151</f>
        <v>-4386</v>
      </c>
      <c r="CC253" s="240">
        <f>+INPUT!DB151</f>
        <v>-25.572713388766331</v>
      </c>
      <c r="CD253" s="75">
        <f>+INPUT!DC151</f>
        <v>-4676</v>
      </c>
      <c r="CE253" s="240">
        <f>+INPUT!DD151</f>
        <v>-34.168661129100371</v>
      </c>
      <c r="CF253" s="75">
        <f>+INPUT!DE151</f>
        <v>-3622</v>
      </c>
      <c r="CG253" s="240">
        <f>+INPUT!DF151</f>
        <v>-1.3347861618087791</v>
      </c>
      <c r="CH253" s="75">
        <f>+INPUT!DG151</f>
        <v>-4627</v>
      </c>
      <c r="CI253" s="240">
        <f>+INPUT!DH151</f>
        <v>13.88136844696038</v>
      </c>
      <c r="CJ253" s="75">
        <f>+INPUT!DI151</f>
        <v>-5786</v>
      </c>
      <c r="CK253" s="240">
        <f>+INPUT!DJ151</f>
        <v>31.919744642042872</v>
      </c>
      <c r="CL253" s="75">
        <f>+INPUT!DK151</f>
        <v>-6003</v>
      </c>
      <c r="CM253" s="240">
        <f>+INPUT!DL151</f>
        <v>28.378956372968332</v>
      </c>
      <c r="CN253" s="75">
        <f>+INPUT!DM151</f>
        <v>-6066</v>
      </c>
      <c r="CO253" s="240">
        <f>+INPUT!DN151</f>
        <v>67.476532302595245</v>
      </c>
      <c r="CP253" s="75">
        <f>+INPUT!DO151</f>
        <v>-4221</v>
      </c>
      <c r="CQ253" s="240">
        <f>+INPUT!DP151</f>
        <v>-8.7745839636913701</v>
      </c>
      <c r="CR253" s="75">
        <f>+INPUT!DQ151</f>
        <v>-6311</v>
      </c>
      <c r="CS253" s="240">
        <f>+INPUT!DR151</f>
        <v>9.0736259937780801</v>
      </c>
      <c r="CT253" s="75">
        <f>+INPUT!DS151</f>
        <v>-6229</v>
      </c>
      <c r="CU253" s="240">
        <f>+INPUT!DT151</f>
        <v>3.7647842745294042</v>
      </c>
      <c r="CV253" s="75">
        <f>+INPUT!DU151</f>
        <v>-4683</v>
      </c>
      <c r="CW253" s="240">
        <f>+INPUT!DV151</f>
        <v>-22.799208704253218</v>
      </c>
      <c r="CX253" s="75">
        <f>+INPUT!DW151</f>
        <v>-5072</v>
      </c>
      <c r="CY253" s="240">
        <f>+INPUT!DX151</f>
        <v>20.16109926557688</v>
      </c>
      <c r="CZ253" s="75">
        <f>+INPUT!DY151</f>
        <v>-5575</v>
      </c>
      <c r="DA253" s="240">
        <f>+INPUT!DZ151</f>
        <v>-11.662177151006176</v>
      </c>
      <c r="DB253" s="75">
        <f>+INPUT!EA151</f>
        <v>-5286</v>
      </c>
      <c r="DC253" s="240">
        <f>+INPUT!EB151</f>
        <v>-15.138866591748283</v>
      </c>
      <c r="DD253" s="75">
        <f>+INPUT!EC151</f>
        <v>-4513</v>
      </c>
      <c r="DE253" s="240">
        <f>+INPUT!ED151</f>
        <v>-3.6301516122143909</v>
      </c>
      <c r="DF253" s="75">
        <f>+INPUT!EE151</f>
        <v>-5013</v>
      </c>
      <c r="DG253" s="240">
        <f>+INPUT!EF151</f>
        <v>-1.1632492113564581</v>
      </c>
      <c r="DH253" s="75">
        <f>+INPUT!EG151</f>
        <v>-5315</v>
      </c>
      <c r="DI253" s="240">
        <f>+INPUT!EH151</f>
        <v>-4.6636771300448459</v>
      </c>
      <c r="DJ253" s="75">
        <f>+INPUT!EI151</f>
        <v>-6690</v>
      </c>
      <c r="DK253" s="240">
        <f>+INPUT!EJ151</f>
        <v>26.560726447219068</v>
      </c>
      <c r="DL253" s="75">
        <f>+INPUT!EK151</f>
        <v>-5786</v>
      </c>
      <c r="DM253" s="240">
        <f>+INPUT!EL151</f>
        <v>28.207400842011964</v>
      </c>
      <c r="DN253" s="75">
        <f>+INPUT!EM151</f>
        <v>-5132</v>
      </c>
      <c r="DO253" s="240">
        <f>+INPUT!EN151</f>
        <v>2.3738280470775948</v>
      </c>
      <c r="DP253" s="75">
        <f>+INPUT!EO151</f>
        <v>-7203</v>
      </c>
      <c r="DQ253" s="240">
        <f>+INPUT!EP151</f>
        <v>35.522107243650026</v>
      </c>
      <c r="DR253" s="75">
        <f>+INPUT!EQ151</f>
        <v>-7625.02</v>
      </c>
      <c r="DS253" s="240">
        <f>+INPUT!ER151</f>
        <v>13.976382660687591</v>
      </c>
      <c r="DT253" s="75">
        <f>+INPUT!ES151</f>
        <v>-6417.8771881727125</v>
      </c>
      <c r="DU253" s="240">
        <f>+INPUT!ET151</f>
        <v>10.920794818055882</v>
      </c>
      <c r="DV253" s="75">
        <f>+INPUT!EU151</f>
        <v>-5609.9587777239449</v>
      </c>
      <c r="DW253" s="240">
        <f>+INPUT!EV151</f>
        <v>9.3133043204198174</v>
      </c>
      <c r="DX253" s="75">
        <f>+INPUT!EW151</f>
        <v>-6275.7077580828227</v>
      </c>
      <c r="DY253" s="240">
        <f>+INPUT!EX151</f>
        <v>-12.873694875984683</v>
      </c>
      <c r="DZ253" s="75"/>
      <c r="EA253" s="240"/>
      <c r="EB253" s="155" t="str">
        <f>+INPUT!FI151</f>
        <v>NM</v>
      </c>
      <c r="EC253" s="75">
        <f>+INPUT!FJ151</f>
        <v>0</v>
      </c>
      <c r="ED253" s="155" t="str">
        <f>+INPUT!FK151</f>
        <v>NA</v>
      </c>
      <c r="EE253" s="75">
        <f>+INPUT!FL151</f>
        <v>0</v>
      </c>
      <c r="EF253" s="155" t="str">
        <f>+INPUT!FM151</f>
        <v>NA</v>
      </c>
      <c r="EG253" s="75">
        <f>+INPUT!FN151</f>
        <v>-13087</v>
      </c>
      <c r="EH253" s="155" t="str">
        <f>+INPUT!FO151</f>
        <v>NA</v>
      </c>
      <c r="EI253" s="75">
        <f>+INPUT!FP151</f>
        <v>-13918</v>
      </c>
      <c r="EJ253" s="240">
        <f>+INPUT!FQ151</f>
        <v>6.3498127913196356</v>
      </c>
      <c r="EK253" s="75">
        <f>+INPUT!FR151</f>
        <v>-15989</v>
      </c>
      <c r="EL253" s="240">
        <f>+INPUT!FS151</f>
        <v>14.880011495904583</v>
      </c>
      <c r="EM253" s="75">
        <f>+INPUT!FT151</f>
        <v>-13749</v>
      </c>
      <c r="EN253" s="240">
        <f>+INPUT!FU151</f>
        <v>-14.009631621739942</v>
      </c>
      <c r="EO253" s="75">
        <f>+INPUT!FV151</f>
        <v>-15051</v>
      </c>
      <c r="EP253" s="240">
        <f>+INPUT!FW151</f>
        <v>9.4697796203360127</v>
      </c>
      <c r="EQ253" s="75">
        <f>+INPUT!FX151</f>
        <v>-14438</v>
      </c>
      <c r="ER253" s="240">
        <f>+INPUT!FY151</f>
        <v>-4.0728190817885803</v>
      </c>
      <c r="ES253" s="75">
        <f>+INPUT!FZ151</f>
        <v>-16804</v>
      </c>
      <c r="ET253" s="240">
        <f>+INPUT!GA151</f>
        <v>16.38731126194763</v>
      </c>
      <c r="EU253" s="75">
        <f>+INPUT!GB151</f>
        <v>-19160</v>
      </c>
      <c r="EV253" s="240">
        <f>+INPUT!GC151</f>
        <v>14.020471316353252</v>
      </c>
      <c r="EW253" s="75">
        <f>+INPUT!GD151</f>
        <v>-19223</v>
      </c>
      <c r="EX253" s="240">
        <f>+INPUT!GE151</f>
        <v>0.32881002087682987</v>
      </c>
      <c r="EY253" s="75">
        <f>+INPUT!GF151</f>
        <v>-18711</v>
      </c>
      <c r="EZ253" s="240">
        <f>+INPUT!GG151</f>
        <v>-2.6634760443219108</v>
      </c>
      <c r="FA253" s="75">
        <f>+INPUT!GH151</f>
        <v>-22601</v>
      </c>
      <c r="FB253" s="240">
        <f>+INPUT!GI151</f>
        <v>20.789909678798566</v>
      </c>
      <c r="FC253" s="75">
        <f>+INPUT!GJ151</f>
        <v>-21559</v>
      </c>
      <c r="FD253" s="240">
        <f>+INPUT!GK151</f>
        <v>-4.6104154683421115</v>
      </c>
      <c r="FE253" s="75">
        <f>+INPUT!GL151</f>
        <v>-20127</v>
      </c>
      <c r="FF253" s="240">
        <f>+INPUT!GM151</f>
        <v>-6.6422375805927913</v>
      </c>
      <c r="FG253" s="75">
        <f>+INPUT!GN151</f>
        <v>-24811</v>
      </c>
      <c r="FH253" s="240">
        <f>+INPUT!GO151</f>
        <v>23.272221394147181</v>
      </c>
      <c r="FI253" s="75">
        <f>+INPUT!GP151</f>
        <v>-25928.563723979478</v>
      </c>
      <c r="FJ253" s="240">
        <f>+INPUT!GQ151</f>
        <v>4.5043074603179178</v>
      </c>
      <c r="FK253" s="75">
        <f>+INPUT!GR151</f>
        <v>-26741.858446482507</v>
      </c>
      <c r="FL253" s="240">
        <f>+INPUT!GS151</f>
        <v>3.1366747929461098</v>
      </c>
      <c r="FM253" s="75">
        <f>+INPUT!GT151</f>
        <v>-27945.927777833178</v>
      </c>
      <c r="FN253" s="240">
        <f>+INPUT!GU151</f>
        <v>4.5025641496096114</v>
      </c>
      <c r="FO253" s="75">
        <f>+INPUT!GV151</f>
        <v>-29204.211103233691</v>
      </c>
      <c r="FP253" s="240">
        <f>+INPUT!GW151</f>
        <v>4.5025641496096114</v>
      </c>
      <c r="FQ253" s="75">
        <f>+INPUT!GX151</f>
        <v>-30519.149442544207</v>
      </c>
      <c r="FR253" s="240">
        <f>+INPUT!GY151</f>
        <v>4.5025641496096398</v>
      </c>
      <c r="FS253" s="240">
        <f>+INPUT!GZ151</f>
        <v>4.2282945013330187</v>
      </c>
    </row>
    <row r="254" spans="1:176" ht="12.75" hidden="1" customHeight="1" outlineLevel="1" x14ac:dyDescent="0.2">
      <c r="A254" s="246" t="str">
        <f>+INPUT!B152</f>
        <v xml:space="preserve">  Market Performance</v>
      </c>
      <c r="B254" s="75"/>
      <c r="C254" s="155"/>
      <c r="D254" s="75"/>
      <c r="E254" s="155"/>
      <c r="F254" s="75"/>
      <c r="G254" s="155"/>
      <c r="H254" s="75"/>
      <c r="I254" s="155"/>
      <c r="J254" s="75">
        <f>+INPUT!AI152</f>
        <v>670</v>
      </c>
      <c r="K254" s="155" t="str">
        <f>+INPUT!AJ152</f>
        <v>NA</v>
      </c>
      <c r="L254" s="75">
        <f>+INPUT!AK152</f>
        <v>652</v>
      </c>
      <c r="M254" s="155" t="str">
        <f>+INPUT!AL152</f>
        <v>NA</v>
      </c>
      <c r="N254" s="75">
        <f>+INPUT!AM152</f>
        <v>-93</v>
      </c>
      <c r="O254" s="155" t="str">
        <f>+INPUT!AN152</f>
        <v>NA</v>
      </c>
      <c r="P254" s="75">
        <f>+INPUT!AO152</f>
        <v>4363</v>
      </c>
      <c r="Q254" s="155" t="str">
        <f>+INPUT!AP152</f>
        <v>NA</v>
      </c>
      <c r="R254" s="75">
        <f>+INPUT!AQ152</f>
        <v>-399</v>
      </c>
      <c r="S254" s="155" t="str">
        <f>+INPUT!AR152</f>
        <v>NM</v>
      </c>
      <c r="T254" s="75">
        <f>+INPUT!AS152</f>
        <v>1574</v>
      </c>
      <c r="U254" s="155" t="str">
        <f>+INPUT!AT152</f>
        <v>NM</v>
      </c>
      <c r="V254" s="75">
        <f>+INPUT!AU152</f>
        <v>2699</v>
      </c>
      <c r="W254" s="155" t="str">
        <f>+INPUT!AV152</f>
        <v>NM</v>
      </c>
      <c r="X254" s="75">
        <f>+INPUT!AW152</f>
        <v>1532</v>
      </c>
      <c r="Y254" s="155" t="str">
        <f>+INPUT!AX152</f>
        <v>NM</v>
      </c>
      <c r="Z254" s="75">
        <f>+INPUT!AY152</f>
        <v>3559</v>
      </c>
      <c r="AA254" s="155" t="str">
        <f>+INPUT!AZ152</f>
        <v>NM</v>
      </c>
      <c r="AB254" s="75">
        <f>+INPUT!BA152</f>
        <v>-1043</v>
      </c>
      <c r="AC254" s="155" t="str">
        <f>+INPUT!BB152</f>
        <v>NM</v>
      </c>
      <c r="AD254" s="75">
        <f>+INPUT!BC152</f>
        <v>2185</v>
      </c>
      <c r="AE254" s="155">
        <f>+INPUT!BD152</f>
        <v>-19.044090403853275</v>
      </c>
      <c r="AF254" s="75">
        <f>+INPUT!BE152</f>
        <v>4177</v>
      </c>
      <c r="AG254" s="155" t="str">
        <f>+INPUT!BF152</f>
        <v>NM</v>
      </c>
      <c r="AH254" s="75">
        <f>+INPUT!BG152</f>
        <v>1558</v>
      </c>
      <c r="AI254" s="240" t="str">
        <f>+INPUT!BH152</f>
        <v>NM</v>
      </c>
      <c r="AJ254" s="75">
        <f>+INPUT!BI152</f>
        <v>4466</v>
      </c>
      <c r="AK254" s="240" t="str">
        <f>+INPUT!BJ152</f>
        <v>NM</v>
      </c>
      <c r="AL254" s="75">
        <f>+INPUT!BK152</f>
        <v>1658</v>
      </c>
      <c r="AM254" s="240">
        <f>+INPUT!BL152</f>
        <v>-24.118993135011451</v>
      </c>
      <c r="AN254" s="75">
        <f>+INPUT!BM152</f>
        <v>6137</v>
      </c>
      <c r="AO254" s="240">
        <f>+INPUT!BN152</f>
        <v>46.92362939909026</v>
      </c>
      <c r="AP254" s="75">
        <f>+INPUT!BO152</f>
        <v>-5785</v>
      </c>
      <c r="AQ254" s="240" t="str">
        <f>+INPUT!BP152</f>
        <v>NM</v>
      </c>
      <c r="AR254" s="75">
        <f>+INPUT!BQ152</f>
        <v>-307</v>
      </c>
      <c r="AS254" s="240" t="str">
        <f>+INPUT!BR152</f>
        <v>NM</v>
      </c>
      <c r="AT254" s="75">
        <f>+INPUT!BS152</f>
        <v>-6847</v>
      </c>
      <c r="AU254" s="240" t="str">
        <f>+INPUT!BT152</f>
        <v>NM</v>
      </c>
      <c r="AV254" s="75">
        <f>+INPUT!BU152</f>
        <v>-3405</v>
      </c>
      <c r="AW254" s="240" t="str">
        <f>+INPUT!BV152</f>
        <v>NM</v>
      </c>
      <c r="AX254" s="75">
        <f>+INPUT!BW152</f>
        <v>-3837</v>
      </c>
      <c r="AY254" s="240">
        <f>+INPUT!BX152</f>
        <v>-33.673292999135697</v>
      </c>
      <c r="AZ254" s="75">
        <f>+INPUT!BY152</f>
        <v>8704</v>
      </c>
      <c r="BA254" s="240" t="str">
        <f>+INPUT!BZ152</f>
        <v>NM</v>
      </c>
      <c r="BB254" s="75">
        <f>+INPUT!CA152</f>
        <v>9304</v>
      </c>
      <c r="BC254" s="240" t="str">
        <f>+INPUT!CB152</f>
        <v>NM</v>
      </c>
      <c r="BD254" s="75">
        <f>+INPUT!CC152</f>
        <v>3686</v>
      </c>
      <c r="BE254" s="240" t="str">
        <f>+INPUT!CD152</f>
        <v>NM</v>
      </c>
      <c r="BF254" s="75">
        <f>+INPUT!CE152</f>
        <v>3697</v>
      </c>
      <c r="BG254" s="240" t="str">
        <f>+INPUT!CF152</f>
        <v>NM</v>
      </c>
      <c r="BH254" s="75">
        <f>+INPUT!CG152</f>
        <v>-6257</v>
      </c>
      <c r="BI254" s="240" t="str">
        <f>+INPUT!CH152</f>
        <v>NM</v>
      </c>
      <c r="BJ254" s="75">
        <f>+INPUT!CI152</f>
        <v>7984</v>
      </c>
      <c r="BK254" s="240">
        <f>+INPUT!CJ152</f>
        <v>-14.187446259673266</v>
      </c>
      <c r="BL254" s="75">
        <f>+INPUT!CK152</f>
        <v>7082</v>
      </c>
      <c r="BM254" s="240">
        <f>+INPUT!CL152</f>
        <v>92.132392837764513</v>
      </c>
      <c r="BN254" s="75">
        <f>+INPUT!CM152</f>
        <v>4743</v>
      </c>
      <c r="BO254" s="240">
        <f>+INPUT!CN152</f>
        <v>28.293210711387616</v>
      </c>
      <c r="BP254" s="75">
        <f>+INPUT!CO152</f>
        <v>689</v>
      </c>
      <c r="BQ254" s="240" t="str">
        <f>+INPUT!CP152</f>
        <v>NM</v>
      </c>
      <c r="BR254" s="75">
        <f>+INPUT!CQ152</f>
        <v>-12222</v>
      </c>
      <c r="BS254" s="240" t="str">
        <f>+INPUT!CR152</f>
        <v>NM</v>
      </c>
      <c r="BT254" s="75">
        <f>+INPUT!CS152</f>
        <v>7246</v>
      </c>
      <c r="BU254" s="240">
        <f>+INPUT!CT152</f>
        <v>2.3157300197684378</v>
      </c>
      <c r="BV254" s="75">
        <f>+INPUT!CU152</f>
        <v>9018</v>
      </c>
      <c r="BW254" s="240">
        <f>+INPUT!CV152</f>
        <v>90.132827324478171</v>
      </c>
      <c r="BX254" s="75">
        <f>+INPUT!CW152</f>
        <v>-4278</v>
      </c>
      <c r="BY254" s="240" t="str">
        <f>+INPUT!CX152</f>
        <v>NM</v>
      </c>
      <c r="BZ254" s="75">
        <f>+INPUT!CY152</f>
        <v>5114</v>
      </c>
      <c r="CA254" s="240" t="str">
        <f>+INPUT!CZ152</f>
        <v>NM</v>
      </c>
      <c r="CB254" s="75">
        <f>+INPUT!DA152</f>
        <v>1954</v>
      </c>
      <c r="CC254" s="240" t="str">
        <f>+INPUT!DB152</f>
        <v>NM</v>
      </c>
      <c r="CD254" s="75">
        <f>+INPUT!DC152</f>
        <v>6972</v>
      </c>
      <c r="CE254" s="240">
        <f>+INPUT!DD152</f>
        <v>-22.687957418496339</v>
      </c>
      <c r="CF254" s="75">
        <f>+INPUT!DE152</f>
        <v>1283</v>
      </c>
      <c r="CG254" s="240" t="str">
        <f>+INPUT!DF152</f>
        <v>NM</v>
      </c>
      <c r="CH254" s="75">
        <f>+INPUT!DG152</f>
        <v>6798</v>
      </c>
      <c r="CI254" s="240">
        <f>+INPUT!DH152</f>
        <v>32.929213922565509</v>
      </c>
      <c r="CJ254" s="75">
        <f>+INPUT!DI152</f>
        <v>8078</v>
      </c>
      <c r="CK254" s="240" t="str">
        <f>+INPUT!DJ152</f>
        <v>NM</v>
      </c>
      <c r="CL254" s="75">
        <f>+INPUT!DK152</f>
        <v>2064</v>
      </c>
      <c r="CM254" s="240" t="str">
        <f>+INPUT!DL152</f>
        <v>NM</v>
      </c>
      <c r="CN254" s="75">
        <f>+INPUT!DM152</f>
        <v>4965</v>
      </c>
      <c r="CO254" s="240" t="str">
        <f>+INPUT!DN152</f>
        <v>NM</v>
      </c>
      <c r="CP254" s="75">
        <f>+INPUT!DO152</f>
        <v>-2011</v>
      </c>
      <c r="CQ254" s="240" t="str">
        <f>+INPUT!DP152</f>
        <v>NM</v>
      </c>
      <c r="CR254" s="75">
        <f>+INPUT!DQ152</f>
        <v>4343</v>
      </c>
      <c r="CS254" s="240">
        <f>+INPUT!DR152</f>
        <v>-46.236692250557063</v>
      </c>
      <c r="CT254" s="75">
        <f>+INPUT!DS152</f>
        <v>3864</v>
      </c>
      <c r="CU254" s="240">
        <f>+INPUT!DT152</f>
        <v>87.209302325581405</v>
      </c>
      <c r="CV254" s="75">
        <f>+INPUT!DU152</f>
        <v>305</v>
      </c>
      <c r="CW254" s="240" t="str">
        <f>+INPUT!DV152</f>
        <v>NM</v>
      </c>
      <c r="CX254" s="75">
        <f>+INPUT!DW152</f>
        <v>-8642</v>
      </c>
      <c r="CY254" s="240" t="str">
        <f>+INPUT!DX152</f>
        <v>NM</v>
      </c>
      <c r="CZ254" s="75">
        <f>+INPUT!DY152</f>
        <v>5113</v>
      </c>
      <c r="DA254" s="240">
        <f>+INPUT!DZ152</f>
        <v>17.729679944738663</v>
      </c>
      <c r="DB254" s="75">
        <f>+INPUT!EA152</f>
        <v>622</v>
      </c>
      <c r="DC254" s="240" t="str">
        <f>+INPUT!EB152</f>
        <v>NM</v>
      </c>
      <c r="DD254" s="75">
        <f>+INPUT!EC152</f>
        <v>2868</v>
      </c>
      <c r="DE254" s="240" t="str">
        <f>+INPUT!ED152</f>
        <v>NM</v>
      </c>
      <c r="DF254" s="75">
        <f>+INPUT!EE152</f>
        <v>6077</v>
      </c>
      <c r="DG254" s="240" t="str">
        <f>+INPUT!EF152</f>
        <v>NM</v>
      </c>
      <c r="DH254" s="75">
        <f>+INPUT!EG152</f>
        <v>2473</v>
      </c>
      <c r="DI254" s="240" t="str">
        <f>+INPUT!EH152</f>
        <v>NM</v>
      </c>
      <c r="DJ254" s="75">
        <f>+INPUT!EI152</f>
        <v>7552</v>
      </c>
      <c r="DK254" s="240" t="str">
        <f>+INPUT!EJ152</f>
        <v>NM</v>
      </c>
      <c r="DL254" s="75">
        <f>+INPUT!EK152</f>
        <v>5346</v>
      </c>
      <c r="DM254" s="240">
        <f>+INPUT!EL152</f>
        <v>86.40167364016736</v>
      </c>
      <c r="DN254" s="75">
        <f>+INPUT!EM152</f>
        <v>6651</v>
      </c>
      <c r="DO254" s="240">
        <f>+INPUT!EN152</f>
        <v>9.4454500575942006</v>
      </c>
      <c r="DP254" s="75">
        <f>+INPUT!EO152</f>
        <v>7549</v>
      </c>
      <c r="DQ254" s="240" t="str">
        <f>+INPUT!EP152</f>
        <v>NM</v>
      </c>
      <c r="DR254" s="75">
        <f>+INPUT!EQ152</f>
        <v>-1531.9177028104507</v>
      </c>
      <c r="DS254" s="240" t="str">
        <f>+INPUT!ER152</f>
        <v>NM</v>
      </c>
      <c r="DT254" s="75">
        <f>+INPUT!ES152</f>
        <v>2539.7166534471644</v>
      </c>
      <c r="DU254" s="240" t="str">
        <f>+INPUT!ET152</f>
        <v>NM</v>
      </c>
      <c r="DV254" s="75">
        <f>+INPUT!EU152</f>
        <v>2570.5296309885657</v>
      </c>
      <c r="DW254" s="240" t="str">
        <f>+INPUT!EV152</f>
        <v>NM</v>
      </c>
      <c r="DX254" s="75">
        <f>+INPUT!EW152</f>
        <v>2601.7164453450619</v>
      </c>
      <c r="DY254" s="240" t="str">
        <f>+INPUT!EX152</f>
        <v>NM</v>
      </c>
      <c r="DZ254" s="75"/>
      <c r="EA254" s="240"/>
      <c r="EB254" s="155" t="str">
        <f>+INPUT!FI152</f>
        <v>NM</v>
      </c>
      <c r="EC254" s="75">
        <f>+INPUT!FJ152</f>
        <v>0</v>
      </c>
      <c r="ED254" s="155" t="str">
        <f>+INPUT!FK152</f>
        <v>NA</v>
      </c>
      <c r="EE254" s="75">
        <f>+INPUT!FL152</f>
        <v>0</v>
      </c>
      <c r="EF254" s="155" t="str">
        <f>+INPUT!FM152</f>
        <v>NA</v>
      </c>
      <c r="EG254" s="75">
        <f>+INPUT!FN152</f>
        <v>5592</v>
      </c>
      <c r="EH254" s="155" t="str">
        <f>+INPUT!FO152</f>
        <v>NA</v>
      </c>
      <c r="EI254" s="75">
        <f>+INPUT!FP152</f>
        <v>5406</v>
      </c>
      <c r="EJ254" s="240">
        <f>+INPUT!FQ152</f>
        <v>-3.3261802575107282</v>
      </c>
      <c r="EK254" s="75">
        <f>+INPUT!FR152</f>
        <v>8878</v>
      </c>
      <c r="EL254" s="240">
        <f>+INPUT!FS152</f>
        <v>64.224935257121729</v>
      </c>
      <c r="EM254" s="75">
        <f>+INPUT!FT152</f>
        <v>13819</v>
      </c>
      <c r="EN254" s="240">
        <f>+INPUT!FU152</f>
        <v>55.65442667267402</v>
      </c>
      <c r="EO254" s="75">
        <f>+INPUT!FV152</f>
        <v>-16344</v>
      </c>
      <c r="EP254" s="240" t="str">
        <f>+INPUT!FW152</f>
        <v>NM</v>
      </c>
      <c r="EQ254" s="75">
        <f>+INPUT!FX152</f>
        <v>17857</v>
      </c>
      <c r="ER254" s="240" t="str">
        <f>+INPUT!FY152</f>
        <v>NM</v>
      </c>
      <c r="ES254" s="75">
        <f>+INPUT!FZ152</f>
        <v>12506</v>
      </c>
      <c r="ET254" s="240">
        <f>+INPUT!GA152</f>
        <v>-29.965839726717817</v>
      </c>
      <c r="EU254" s="75">
        <f>+INPUT!GB152</f>
        <v>456</v>
      </c>
      <c r="EV254" s="240" t="str">
        <f>+INPUT!GC152</f>
        <v>NM</v>
      </c>
      <c r="EW254" s="75">
        <f>+INPUT!GD152</f>
        <v>11808</v>
      </c>
      <c r="EX254" s="240" t="str">
        <f>+INPUT!GE152</f>
        <v>NM</v>
      </c>
      <c r="EY254" s="75">
        <f>+INPUT!GF152</f>
        <v>23131</v>
      </c>
      <c r="EZ254" s="240">
        <f>+INPUT!GG152</f>
        <v>95.892615176151764</v>
      </c>
      <c r="FA254" s="75">
        <f>+INPUT!GH152</f>
        <v>9361</v>
      </c>
      <c r="FB254" s="240" t="str">
        <f>+INPUT!GI152</f>
        <v>NM</v>
      </c>
      <c r="FC254" s="75">
        <f>+INPUT!GJ152</f>
        <v>640</v>
      </c>
      <c r="FD254" s="240" t="str">
        <f>+INPUT!GK152</f>
        <v>NM</v>
      </c>
      <c r="FE254" s="75">
        <f>+INPUT!GL152</f>
        <v>12040</v>
      </c>
      <c r="FF254" s="240" t="str">
        <f>+INPUT!GM152</f>
        <v>NM</v>
      </c>
      <c r="FG254" s="75">
        <f>+INPUT!GN152</f>
        <v>27098</v>
      </c>
      <c r="FH254" s="240" t="str">
        <f>+INPUT!GO152</f>
        <v>NM</v>
      </c>
      <c r="FI254" s="75">
        <f>+INPUT!GP152</f>
        <v>6180.0450269703415</v>
      </c>
      <c r="FJ254" s="240" t="str">
        <f>+INPUT!GQ152</f>
        <v>NM</v>
      </c>
      <c r="FK254" s="75">
        <f>+INPUT!GR152</f>
        <v>9679.0056372887375</v>
      </c>
      <c r="FL254" s="240">
        <f>+INPUT!GS152</f>
        <v>56.617073096532124</v>
      </c>
      <c r="FM254" s="75">
        <f>+INPUT!GT152</f>
        <v>10114.809075151994</v>
      </c>
      <c r="FN254" s="240">
        <f>+INPUT!GU152</f>
        <v>4.5025641496096114</v>
      </c>
      <c r="FO254" s="75">
        <f>+INPUT!GV152</f>
        <v>10570.234842371246</v>
      </c>
      <c r="FP254" s="240">
        <f>+INPUT!GW152</f>
        <v>4.5025641496096114</v>
      </c>
      <c r="FQ254" s="75">
        <f>+INPUT!GX152</f>
        <v>11046.166446913401</v>
      </c>
      <c r="FR254" s="240">
        <f>+INPUT!GY152</f>
        <v>4.5025641496096398</v>
      </c>
      <c r="FS254" s="240">
        <f>+INPUT!GZ152</f>
        <v>-16.429140472468575</v>
      </c>
    </row>
    <row r="255" spans="1:176" ht="12.75" hidden="1" customHeight="1" outlineLevel="1" x14ac:dyDescent="0.2">
      <c r="A255" s="246" t="str">
        <f>+INPUT!B153</f>
        <v>Ending Assets</v>
      </c>
      <c r="B255" s="75"/>
      <c r="C255" s="155"/>
      <c r="D255" s="75"/>
      <c r="E255" s="155"/>
      <c r="F255" s="75"/>
      <c r="G255" s="155"/>
      <c r="H255" s="75"/>
      <c r="I255" s="155"/>
      <c r="J255" s="75">
        <f>+INPUT!AI153</f>
        <v>33176</v>
      </c>
      <c r="K255" s="155" t="str">
        <f>+INPUT!AJ153</f>
        <v>NA</v>
      </c>
      <c r="L255" s="75">
        <f>+INPUT!AK153</f>
        <v>80329</v>
      </c>
      <c r="M255" s="155" t="str">
        <f>+INPUT!AL153</f>
        <v>NA</v>
      </c>
      <c r="N255" s="75">
        <f>+INPUT!AM153</f>
        <v>80252</v>
      </c>
      <c r="O255" s="155" t="str">
        <f>+INPUT!AN153</f>
        <v>NA</v>
      </c>
      <c r="P255" s="75">
        <f>+INPUT!AO153</f>
        <v>83891</v>
      </c>
      <c r="Q255" s="155" t="str">
        <f>+INPUT!AP153</f>
        <v>NA</v>
      </c>
      <c r="R255" s="75">
        <f>+INPUT!AQ153</f>
        <v>83927</v>
      </c>
      <c r="S255" s="155" t="str">
        <f>+INPUT!AR153</f>
        <v>NM</v>
      </c>
      <c r="T255" s="75">
        <f>+INPUT!AS153</f>
        <v>85331</v>
      </c>
      <c r="U255" s="155">
        <f>+INPUT!AT153</f>
        <v>6.2268919070323392</v>
      </c>
      <c r="V255" s="75">
        <f>+INPUT!AU153</f>
        <v>88337</v>
      </c>
      <c r="W255" s="155">
        <f>+INPUT!AV153</f>
        <v>10.074515276877833</v>
      </c>
      <c r="X255" s="75">
        <f>+INPUT!AW153</f>
        <v>88385</v>
      </c>
      <c r="Y255" s="155">
        <f>+INPUT!AX153</f>
        <v>5.3569512820207166</v>
      </c>
      <c r="Z255" s="75">
        <f>+INPUT!AY153</f>
        <v>91854</v>
      </c>
      <c r="AA255" s="155">
        <f>+INPUT!AZ153</f>
        <v>9.4451130148819828</v>
      </c>
      <c r="AB255" s="75">
        <f>+INPUT!BA153</f>
        <v>91537</v>
      </c>
      <c r="AC255" s="155">
        <f>+INPUT!BB153</f>
        <v>7.2728551171321101</v>
      </c>
      <c r="AD255" s="75">
        <f>+INPUT!BC153</f>
        <v>93364</v>
      </c>
      <c r="AE255" s="155">
        <f>+INPUT!BD153</f>
        <v>5.6907071781925964</v>
      </c>
      <c r="AF255" s="75">
        <f>+INPUT!BE153</f>
        <v>97430</v>
      </c>
      <c r="AG255" s="155">
        <f>+INPUT!BF153</f>
        <v>10.233636929343206</v>
      </c>
      <c r="AH255" s="75">
        <f>+INPUT!BG153</f>
        <v>99558</v>
      </c>
      <c r="AI255" s="240">
        <f>+INPUT!BH153</f>
        <v>8.3872232020380153</v>
      </c>
      <c r="AJ255" s="75">
        <f>+INPUT!BI153</f>
        <v>104033</v>
      </c>
      <c r="AK255" s="240">
        <f>+INPUT!BJ153</f>
        <v>13.651310399073594</v>
      </c>
      <c r="AL255" s="75">
        <f>+INPUT!BK153</f>
        <v>105601</v>
      </c>
      <c r="AM255" s="240">
        <f>+INPUT!BL153</f>
        <v>13.106764920097675</v>
      </c>
      <c r="AN255" s="75">
        <f>+INPUT!BM153</f>
        <v>112192</v>
      </c>
      <c r="AO255" s="240">
        <f>+INPUT!BN153</f>
        <v>15.151390742071243</v>
      </c>
      <c r="AP255" s="75">
        <f>+INPUT!BO153</f>
        <v>107060</v>
      </c>
      <c r="AQ255" s="240">
        <f>+INPUT!BP153</f>
        <v>7.535306052753171</v>
      </c>
      <c r="AR255" s="75">
        <f>+INPUT!BQ153</f>
        <v>106917</v>
      </c>
      <c r="AS255" s="240">
        <f>+INPUT!BR153</f>
        <v>2.772197283554263</v>
      </c>
      <c r="AT255" s="75">
        <f>+INPUT!BS153</f>
        <v>100463</v>
      </c>
      <c r="AU255" s="240">
        <f>+INPUT!BT153</f>
        <v>-4.8654842283690556</v>
      </c>
      <c r="AV255" s="75">
        <f>+INPUT!BU153</f>
        <v>99738</v>
      </c>
      <c r="AW255" s="240">
        <f>+INPUT!BV153</f>
        <v>-11.10061323445521</v>
      </c>
      <c r="AX255" s="75">
        <f>+INPUT!BW153</f>
        <v>102159</v>
      </c>
      <c r="AY255" s="240">
        <f>+INPUT!BX153</f>
        <v>-4.5778068372874969</v>
      </c>
      <c r="AZ255" s="75">
        <f>+INPUT!BY153</f>
        <v>110950</v>
      </c>
      <c r="BA255" s="240">
        <f>+INPUT!BZ153</f>
        <v>3.7720848882778313</v>
      </c>
      <c r="BB255" s="75">
        <f>+INPUT!CA153</f>
        <v>121756</v>
      </c>
      <c r="BC255" s="240">
        <f>+INPUT!CB153</f>
        <v>21.194867762260742</v>
      </c>
      <c r="BD255" s="75">
        <f>+INPUT!CC153</f>
        <v>126345</v>
      </c>
      <c r="BE255" s="240">
        <f>+INPUT!CD153</f>
        <v>26.676893460867475</v>
      </c>
      <c r="BF255" s="75">
        <f>+INPUT!CE153</f>
        <v>131147</v>
      </c>
      <c r="BG255" s="240">
        <f>+INPUT!CF153</f>
        <v>28.375375639933822</v>
      </c>
      <c r="BH255" s="75">
        <f>+INPUT!CG153</f>
        <v>125176</v>
      </c>
      <c r="BI255" s="240">
        <f>+INPUT!CH153</f>
        <v>12.821991888237932</v>
      </c>
      <c r="BJ255" s="75">
        <f>+INPUT!CI153</f>
        <v>135248</v>
      </c>
      <c r="BK255" s="240">
        <f>+INPUT!CJ153</f>
        <v>11.081178750944517</v>
      </c>
      <c r="BL255" s="75">
        <f>+INPUT!CK153</f>
        <v>141313</v>
      </c>
      <c r="BM255" s="240">
        <f>+INPUT!CL153</f>
        <v>11.846927064782946</v>
      </c>
      <c r="BN255" s="75">
        <f>+INPUT!CM153</f>
        <v>145977</v>
      </c>
      <c r="BO255" s="240">
        <f>+INPUT!CN153</f>
        <v>11.307921645176776</v>
      </c>
      <c r="BP255" s="75">
        <f>+INPUT!CO153</f>
        <v>146580</v>
      </c>
      <c r="BQ255" s="240">
        <f>+INPUT!CP153</f>
        <v>17.099124432798618</v>
      </c>
      <c r="BR255" s="75">
        <f>+INPUT!CQ153</f>
        <v>134198</v>
      </c>
      <c r="BS255" s="240">
        <f>+INPUT!CR153</f>
        <v>-0.77635159115106944</v>
      </c>
      <c r="BT255" s="75">
        <f>+INPUT!CS153</f>
        <v>139430</v>
      </c>
      <c r="BU255" s="240">
        <f>+INPUT!CT153</f>
        <v>-1.3325030251993866</v>
      </c>
      <c r="BV255" s="75">
        <f>+INPUT!CU153</f>
        <v>145991</v>
      </c>
      <c r="BW255" s="240">
        <f>+INPUT!CV153</f>
        <v>9.5905519362560199E-3</v>
      </c>
      <c r="BX255" s="75">
        <f>+INPUT!CW153</f>
        <v>142405</v>
      </c>
      <c r="BY255" s="240">
        <f>+INPUT!CX153</f>
        <v>-2.8482739800791421</v>
      </c>
      <c r="BZ255" s="75">
        <f>+INPUT!CY153</f>
        <v>146934</v>
      </c>
      <c r="CA255" s="240">
        <f>+INPUT!CZ153</f>
        <v>9.4904544031952724</v>
      </c>
      <c r="CB255" s="75">
        <f>+INPUT!DA153</f>
        <v>148405</v>
      </c>
      <c r="CC255" s="240">
        <f>+INPUT!DB153</f>
        <v>6.4369217528508926</v>
      </c>
      <c r="CD255" s="75">
        <f>+INPUT!DC153</f>
        <v>156380</v>
      </c>
      <c r="CE255" s="240">
        <f>+INPUT!DD153</f>
        <v>7.1161920940332095</v>
      </c>
      <c r="CF255" s="75">
        <f>+INPUT!DE153</f>
        <v>157738</v>
      </c>
      <c r="CG255" s="240">
        <f>+INPUT!DF153</f>
        <v>10.767178118745832</v>
      </c>
      <c r="CH255" s="75">
        <f>+INPUT!DG153</f>
        <v>165364</v>
      </c>
      <c r="CI255" s="240">
        <f>+INPUT!DH153</f>
        <v>12.543046537901375</v>
      </c>
      <c r="CJ255" s="75">
        <f>+INPUT!DI153</f>
        <v>173502</v>
      </c>
      <c r="CK255" s="240">
        <f>+INPUT!DJ153</f>
        <v>16.911155284525449</v>
      </c>
      <c r="CL255" s="75">
        <f>+INPUT!DK153</f>
        <v>178150</v>
      </c>
      <c r="CM255" s="240">
        <f>+INPUT!DL153</f>
        <v>13.921217547000879</v>
      </c>
      <c r="CN255" s="75">
        <f>+INPUT!DM153</f>
        <v>181577</v>
      </c>
      <c r="CO255" s="240">
        <f>+INPUT!DN153</f>
        <v>15.113035539945983</v>
      </c>
      <c r="CP255" s="75">
        <f>+INPUT!DO153</f>
        <v>180535</v>
      </c>
      <c r="CQ255" s="240">
        <f>+INPUT!DP153</f>
        <v>9.1743063786555723</v>
      </c>
      <c r="CR255" s="75">
        <f>+INPUT!DQ153</f>
        <v>184196</v>
      </c>
      <c r="CS255" s="240">
        <f>+INPUT!DR153</f>
        <v>6.1636177104586807</v>
      </c>
      <c r="CT255" s="75">
        <f>+INPUT!DS153</f>
        <v>188145</v>
      </c>
      <c r="CU255" s="240">
        <f>+INPUT!DT153</f>
        <v>5.6104406399101805</v>
      </c>
      <c r="CV255" s="75">
        <f>+INPUT!DU153</f>
        <v>188807</v>
      </c>
      <c r="CW255" s="240">
        <f>+INPUT!DV153</f>
        <v>3.9817818336022697</v>
      </c>
      <c r="CX255" s="75">
        <f>+INPUT!DW153</f>
        <v>184515</v>
      </c>
      <c r="CY255" s="240">
        <f>+INPUT!DX153</f>
        <v>2.2045586728335138</v>
      </c>
      <c r="CZ255" s="75">
        <f>+INPUT!DY153</f>
        <v>188961</v>
      </c>
      <c r="DA255" s="240">
        <f>+INPUT!DZ153</f>
        <v>2.5869182826988606</v>
      </c>
      <c r="DB255" s="75">
        <f>+INPUT!EA153</f>
        <v>190953</v>
      </c>
      <c r="DC255" s="240">
        <f>+INPUT!EB153</f>
        <v>1.4924659172446724</v>
      </c>
      <c r="DD255" s="75">
        <f>+INPUT!EC153</f>
        <v>194007</v>
      </c>
      <c r="DE255" s="240">
        <f>+INPUT!ED153</f>
        <v>2.7541351750729461</v>
      </c>
      <c r="DF255" s="75">
        <f>+INPUT!EE153</f>
        <v>200476</v>
      </c>
      <c r="DG255" s="240">
        <f>+INPUT!EF153</f>
        <v>8.650245237514568</v>
      </c>
      <c r="DH255" s="75">
        <f>+INPUT!EG153</f>
        <v>202802</v>
      </c>
      <c r="DI255" s="240">
        <f>+INPUT!EH153</f>
        <v>7.3247918882732392</v>
      </c>
      <c r="DJ255" s="75">
        <f>+INPUT!EI153</f>
        <v>210400</v>
      </c>
      <c r="DK255" s="240">
        <f>+INPUT!EJ153</f>
        <v>10.184181447790806</v>
      </c>
      <c r="DL255" s="75">
        <f>+INPUT!EK153</f>
        <v>214731</v>
      </c>
      <c r="DM255" s="240">
        <f>+INPUT!EL153</f>
        <v>10.682088790610649</v>
      </c>
      <c r="DN255" s="75">
        <f>+INPUT!EM153</f>
        <v>227438</v>
      </c>
      <c r="DO255" s="240">
        <f>+INPUT!EN153</f>
        <v>13.448991400466895</v>
      </c>
      <c r="DP255" s="75">
        <f>+INPUT!EO153</f>
        <v>234616</v>
      </c>
      <c r="DQ255" s="240">
        <f>+INPUT!EP153</f>
        <v>15.68722201950672</v>
      </c>
      <c r="DR255" s="75">
        <f>+INPUT!EQ153</f>
        <v>233377.35229718956</v>
      </c>
      <c r="DS255" s="240">
        <f>+INPUT!ER153</f>
        <v>10.920794818055882</v>
      </c>
      <c r="DT255" s="75">
        <f>+INPUT!ES153</f>
        <v>236208.79064100821</v>
      </c>
      <c r="DU255" s="240">
        <f>+INPUT!ET153</f>
        <v>10.002184426565421</v>
      </c>
      <c r="DV255" s="75">
        <f>+INPUT!EU153</f>
        <v>239074.58126029803</v>
      </c>
      <c r="DW255" s="240">
        <f>+INPUT!EV153</f>
        <v>5.1163751265391113</v>
      </c>
      <c r="DX255" s="75">
        <f>+INPUT!EW153</f>
        <v>241975.14093221843</v>
      </c>
      <c r="DY255" s="240">
        <f>+INPUT!EX153</f>
        <v>3.1366747929461098</v>
      </c>
      <c r="DZ255" s="75"/>
      <c r="EA255" s="240"/>
      <c r="EB255" s="155">
        <f>+INPUT!FI153</f>
        <v>0</v>
      </c>
      <c r="EC255" s="75">
        <f>+INPUT!FJ153</f>
        <v>26046</v>
      </c>
      <c r="ED255" s="155">
        <f>+INPUT!FK153</f>
        <v>0</v>
      </c>
      <c r="EE255" s="75">
        <f>+INPUT!FL153</f>
        <v>26046</v>
      </c>
      <c r="EF255" s="155">
        <f>+INPUT!FM153</f>
        <v>0</v>
      </c>
      <c r="EG255" s="75">
        <f>+INPUT!FN153</f>
        <v>83891</v>
      </c>
      <c r="EH255" s="155" t="str">
        <f>+INPUT!FO153</f>
        <v>NM</v>
      </c>
      <c r="EI255" s="75">
        <f>+INPUT!FP153</f>
        <v>88385</v>
      </c>
      <c r="EJ255" s="240">
        <f>+INPUT!FQ153</f>
        <v>5.3569512820207166</v>
      </c>
      <c r="EK255" s="75">
        <f>+INPUT!FR153</f>
        <v>97430</v>
      </c>
      <c r="EL255" s="240">
        <f>+INPUT!FS153</f>
        <v>10.233636929343206</v>
      </c>
      <c r="EM255" s="75">
        <f>+INPUT!FT153</f>
        <v>112192</v>
      </c>
      <c r="EN255" s="240">
        <f>+INPUT!FU153</f>
        <v>15.151390742071243</v>
      </c>
      <c r="EO255" s="75">
        <f>+INPUT!FV153</f>
        <v>99738</v>
      </c>
      <c r="EP255" s="240">
        <f>+INPUT!FW153</f>
        <v>-11.10061323445521</v>
      </c>
      <c r="EQ255" s="75">
        <f>+INPUT!FX153</f>
        <v>126345</v>
      </c>
      <c r="ER255" s="240">
        <f>+INPUT!FY153</f>
        <v>26.676893460867475</v>
      </c>
      <c r="ES255" s="75">
        <f>+INPUT!FZ153</f>
        <v>141313</v>
      </c>
      <c r="ET255" s="240">
        <f>+INPUT!GA153</f>
        <v>11.846927064782946</v>
      </c>
      <c r="EU255" s="75">
        <f>+INPUT!GB153</f>
        <v>139430</v>
      </c>
      <c r="EV255" s="240">
        <f>+INPUT!GC153</f>
        <v>-1.3325030251993866</v>
      </c>
      <c r="EW255" s="75">
        <f>+INPUT!GD153</f>
        <v>148405</v>
      </c>
      <c r="EX255" s="240">
        <f>+INPUT!GE153</f>
        <v>6.4369217528508926</v>
      </c>
      <c r="EY255" s="75">
        <f>+INPUT!GF153</f>
        <v>173502</v>
      </c>
      <c r="EZ255" s="240">
        <f>+INPUT!GG153</f>
        <v>16.911155284525449</v>
      </c>
      <c r="FA255" s="75">
        <f>+INPUT!GH153</f>
        <v>184196</v>
      </c>
      <c r="FB255" s="240">
        <f>+INPUT!GI153</f>
        <v>6.1636177104586807</v>
      </c>
      <c r="FC255" s="75">
        <f>+INPUT!GJ153</f>
        <v>188961</v>
      </c>
      <c r="FD255" s="240">
        <f>+INPUT!GK153</f>
        <v>2.5869182826988606</v>
      </c>
      <c r="FE255" s="75">
        <f>+INPUT!GL153</f>
        <v>202802</v>
      </c>
      <c r="FF255" s="240">
        <f>+INPUT!GM153</f>
        <v>7.3247918882732392</v>
      </c>
      <c r="FG255" s="75">
        <f>+INPUT!GN153</f>
        <v>234616</v>
      </c>
      <c r="FH255" s="240">
        <f>+INPUT!GO153</f>
        <v>15.68722201950672</v>
      </c>
      <c r="FI255" s="75">
        <f>+INPUT!GP153</f>
        <v>241975.14093221843</v>
      </c>
      <c r="FJ255" s="240">
        <f>+INPUT!GQ153</f>
        <v>3.1366747929461098</v>
      </c>
      <c r="FK255" s="75">
        <f>+INPUT!GR153</f>
        <v>252870.22687879985</v>
      </c>
      <c r="FL255" s="240">
        <f>+INPUT!GS153</f>
        <v>4.5025641496096114</v>
      </c>
      <c r="FM255" s="75">
        <f>+INPUT!GT153</f>
        <v>264255.87105928117</v>
      </c>
      <c r="FN255" s="240">
        <f>+INPUT!GU153</f>
        <v>4.5025641496096114</v>
      </c>
      <c r="FO255" s="75">
        <f>+INPUT!GV153</f>
        <v>276154.16117283504</v>
      </c>
      <c r="FP255" s="240">
        <f>+INPUT!GW153</f>
        <v>4.5025641496096398</v>
      </c>
      <c r="FQ255" s="75">
        <f>+INPUT!GX153</f>
        <v>288588.17943145829</v>
      </c>
      <c r="FR255" s="240">
        <f>+INPUT!GY153</f>
        <v>4.5025641496096398</v>
      </c>
      <c r="FS255" s="240">
        <f>+INPUT!GZ153</f>
        <v>4.2279467577446939</v>
      </c>
    </row>
    <row r="256" spans="1:176" ht="12.75" hidden="1" customHeight="1" outlineLevel="1" x14ac:dyDescent="0.2"/>
    <row r="257" spans="1:175" ht="12.75" hidden="1" customHeight="1" outlineLevel="1" x14ac:dyDescent="0.2">
      <c r="A257" s="246"/>
      <c r="B257" s="75"/>
      <c r="C257" s="155"/>
      <c r="D257" s="75"/>
      <c r="E257" s="155"/>
      <c r="F257" s="75"/>
      <c r="G257" s="155"/>
      <c r="H257" s="75"/>
      <c r="I257" s="155"/>
      <c r="J257" s="75"/>
      <c r="K257" s="155"/>
      <c r="L257" s="75"/>
      <c r="M257" s="155"/>
      <c r="N257" s="75"/>
      <c r="O257" s="155"/>
      <c r="P257" s="75"/>
      <c r="Q257" s="155"/>
      <c r="R257" s="75"/>
      <c r="S257" s="155"/>
      <c r="T257" s="75"/>
      <c r="U257" s="155"/>
      <c r="V257" s="75"/>
      <c r="W257" s="155"/>
      <c r="X257" s="75"/>
      <c r="Y257" s="155"/>
      <c r="Z257" s="75"/>
      <c r="AA257" s="155"/>
      <c r="AB257" s="75"/>
      <c r="AC257" s="155"/>
      <c r="AD257" s="75"/>
      <c r="AE257" s="155"/>
      <c r="AF257" s="75"/>
      <c r="AG257" s="155"/>
      <c r="AH257" s="75"/>
      <c r="AI257" s="240"/>
      <c r="AJ257" s="75"/>
      <c r="AK257" s="240"/>
      <c r="AL257" s="75"/>
      <c r="AM257" s="240"/>
      <c r="AN257" s="75"/>
      <c r="AO257" s="240"/>
      <c r="AP257" s="75"/>
      <c r="AQ257" s="240"/>
      <c r="AR257" s="75"/>
      <c r="AS257" s="240"/>
      <c r="AT257" s="75"/>
      <c r="AU257" s="240"/>
      <c r="AV257" s="75"/>
      <c r="AW257" s="240"/>
      <c r="AX257" s="75"/>
      <c r="AY257" s="240"/>
      <c r="AZ257" s="75"/>
      <c r="BA257" s="240"/>
      <c r="BB257" s="75"/>
      <c r="BC257" s="240"/>
      <c r="BD257" s="75"/>
      <c r="BE257" s="240"/>
      <c r="BF257" s="75"/>
      <c r="BG257" s="240"/>
      <c r="BH257" s="75"/>
      <c r="BI257" s="240"/>
      <c r="BJ257" s="75"/>
      <c r="BK257" s="240"/>
      <c r="BL257" s="75"/>
      <c r="BM257" s="240"/>
      <c r="BN257" s="75"/>
      <c r="BO257" s="240"/>
      <c r="BP257" s="75"/>
      <c r="BQ257" s="240"/>
      <c r="BR257" s="75"/>
      <c r="BS257" s="240"/>
      <c r="BT257" s="75"/>
      <c r="BU257" s="240"/>
      <c r="BV257" s="75"/>
      <c r="BW257" s="240"/>
      <c r="BX257" s="75"/>
      <c r="BY257" s="240"/>
      <c r="BZ257" s="75"/>
      <c r="CA257" s="240"/>
      <c r="CB257" s="75"/>
      <c r="CC257" s="240"/>
      <c r="CD257" s="75"/>
      <c r="CE257" s="240"/>
      <c r="CF257" s="75"/>
      <c r="CG257" s="240"/>
      <c r="CH257" s="75"/>
      <c r="CI257" s="240"/>
      <c r="CJ257" s="75"/>
      <c r="CK257" s="240"/>
      <c r="CL257" s="75"/>
      <c r="CM257" s="240"/>
      <c r="CN257" s="75"/>
      <c r="CO257" s="240"/>
      <c r="CP257" s="75"/>
      <c r="CQ257" s="240"/>
      <c r="CR257" s="75"/>
      <c r="CS257" s="240"/>
      <c r="CT257" s="75"/>
      <c r="CU257" s="240"/>
      <c r="CV257" s="75"/>
      <c r="CW257" s="240"/>
      <c r="CX257" s="75"/>
      <c r="CY257" s="240"/>
      <c r="CZ257" s="75"/>
      <c r="DA257" s="240"/>
      <c r="DB257" s="75"/>
      <c r="DC257" s="240"/>
      <c r="DD257" s="75"/>
      <c r="DE257" s="240"/>
      <c r="DF257" s="75"/>
      <c r="DG257" s="240"/>
      <c r="DH257" s="75"/>
      <c r="DI257" s="240"/>
      <c r="DJ257" s="75"/>
      <c r="DK257" s="240"/>
      <c r="DL257" s="75"/>
      <c r="DM257" s="240"/>
      <c r="DN257" s="75"/>
      <c r="DO257" s="240"/>
      <c r="DP257" s="75"/>
      <c r="DQ257" s="240"/>
      <c r="DR257" s="75"/>
      <c r="DS257" s="240"/>
      <c r="DT257" s="75"/>
      <c r="DU257" s="240"/>
      <c r="DV257" s="75"/>
      <c r="DW257" s="240"/>
      <c r="DX257" s="75"/>
      <c r="DY257" s="240"/>
      <c r="DZ257" s="75"/>
      <c r="EA257" s="240"/>
      <c r="EB257" s="155"/>
      <c r="EC257" s="75"/>
      <c r="ED257" s="155"/>
      <c r="EE257" s="75"/>
      <c r="EF257" s="155"/>
      <c r="EG257" s="75"/>
      <c r="EH257" s="155"/>
      <c r="EI257" s="75"/>
      <c r="EJ257" s="240"/>
      <c r="EK257" s="75"/>
      <c r="EL257" s="240"/>
      <c r="EM257" s="75"/>
      <c r="EN257" s="240"/>
      <c r="EO257" s="75"/>
      <c r="EP257" s="240"/>
      <c r="EQ257" s="75"/>
      <c r="ER257" s="240"/>
      <c r="ES257" s="75"/>
      <c r="ET257" s="240"/>
      <c r="EU257" s="75"/>
      <c r="EV257" s="240"/>
      <c r="EW257" s="75"/>
      <c r="EX257" s="240"/>
      <c r="EY257" s="75"/>
      <c r="EZ257" s="240"/>
      <c r="FA257" s="75"/>
      <c r="FB257" s="240"/>
      <c r="FC257" s="75"/>
      <c r="FD257" s="240"/>
      <c r="FE257" s="75"/>
      <c r="FF257" s="240"/>
      <c r="FG257" s="75"/>
      <c r="FH257" s="240"/>
      <c r="FI257" s="75"/>
      <c r="FJ257" s="240"/>
      <c r="FK257" s="75"/>
      <c r="FL257" s="240"/>
      <c r="FM257" s="75"/>
      <c r="FN257" s="240"/>
      <c r="FO257" s="75"/>
      <c r="FP257" s="240"/>
      <c r="FQ257" s="75"/>
      <c r="FR257" s="240"/>
      <c r="FS257" s="240"/>
    </row>
    <row r="258" spans="1:175" ht="12.75" hidden="1" customHeight="1" outlineLevel="1" x14ac:dyDescent="0.2">
      <c r="A258" s="514" t="str">
        <f>+INPUT!B156</f>
        <v>Full Service Net Flows</v>
      </c>
      <c r="B258" s="75"/>
      <c r="C258" s="155"/>
      <c r="D258" s="75"/>
      <c r="E258" s="155"/>
      <c r="F258" s="75"/>
      <c r="G258" s="155"/>
      <c r="H258" s="75"/>
      <c r="I258" s="155"/>
      <c r="J258" s="75">
        <f>+INPUT!AI156</f>
        <v>-405</v>
      </c>
      <c r="K258" s="155" t="str">
        <f>+INPUT!AJ156</f>
        <v>NA</v>
      </c>
      <c r="L258" s="75">
        <f>+INPUT!AK156</f>
        <v>-309</v>
      </c>
      <c r="M258" s="155" t="str">
        <f>+INPUT!AL156</f>
        <v>NA</v>
      </c>
      <c r="N258" s="75">
        <f>+INPUT!AM156</f>
        <v>16</v>
      </c>
      <c r="O258" s="155" t="str">
        <f>+INPUT!AN156</f>
        <v>NA</v>
      </c>
      <c r="P258" s="75">
        <f>+INPUT!AO156</f>
        <v>-724</v>
      </c>
      <c r="Q258" s="155" t="str">
        <f>+INPUT!AP156</f>
        <v>NA</v>
      </c>
      <c r="R258" s="75">
        <f>+INPUT!AQ156</f>
        <v>435</v>
      </c>
      <c r="S258" s="155" t="str">
        <f>+INPUT!AR156</f>
        <v>NM</v>
      </c>
      <c r="T258" s="75">
        <f>+INPUT!AS156</f>
        <v>-170</v>
      </c>
      <c r="U258" s="155">
        <f>+INPUT!AT156</f>
        <v>-44.983818770226534</v>
      </c>
      <c r="V258" s="75">
        <f>+INPUT!AU156</f>
        <v>307</v>
      </c>
      <c r="W258" s="155" t="str">
        <f>+INPUT!AV156</f>
        <v>NM</v>
      </c>
      <c r="X258" s="75">
        <f>+INPUT!AW156</f>
        <v>-1484</v>
      </c>
      <c r="Y258" s="155" t="str">
        <f>+INPUT!AX156</f>
        <v>NM</v>
      </c>
      <c r="Z258" s="75">
        <f>+INPUT!AY156</f>
        <v>-90</v>
      </c>
      <c r="AA258" s="155" t="str">
        <f>+INPUT!AZ156</f>
        <v>NM</v>
      </c>
      <c r="AB258" s="75">
        <f>+INPUT!BA156</f>
        <v>726</v>
      </c>
      <c r="AC258" s="155" t="str">
        <f>+INPUT!BB156</f>
        <v>NM</v>
      </c>
      <c r="AD258" s="75">
        <f>+INPUT!BC156</f>
        <v>-358</v>
      </c>
      <c r="AE258" s="155" t="str">
        <f>+INPUT!BD156</f>
        <v>NM</v>
      </c>
      <c r="AF258" s="75">
        <f>+INPUT!BE156</f>
        <v>-111</v>
      </c>
      <c r="AG258" s="155" t="str">
        <f>+INPUT!BF156</f>
        <v>NM</v>
      </c>
      <c r="AH258" s="75">
        <f>+INPUT!BG156</f>
        <v>570</v>
      </c>
      <c r="AI258" s="240" t="str">
        <f>+INPUT!BH156</f>
        <v>NM</v>
      </c>
      <c r="AJ258" s="75">
        <f>+INPUT!BI156</f>
        <v>9</v>
      </c>
      <c r="AK258" s="240" t="str">
        <f>+INPUT!BJ156</f>
        <v>NM</v>
      </c>
      <c r="AL258" s="75">
        <f>+INPUT!BK156</f>
        <v>-90</v>
      </c>
      <c r="AM258" s="240" t="str">
        <f>+INPUT!BL156</f>
        <v>NM</v>
      </c>
      <c r="AN258" s="75">
        <f>+INPUT!BM156</f>
        <v>454</v>
      </c>
      <c r="AO258" s="240" t="str">
        <f>+INPUT!BN156</f>
        <v>NM</v>
      </c>
      <c r="AP258" s="75">
        <f>+INPUT!BO156</f>
        <v>653</v>
      </c>
      <c r="AQ258" s="240">
        <f>+INPUT!BP156</f>
        <v>14.561403508771932</v>
      </c>
      <c r="AR258" s="75">
        <f>+INPUT!BQ156</f>
        <v>164</v>
      </c>
      <c r="AS258" s="240" t="str">
        <f>+INPUT!BR156</f>
        <v>NM</v>
      </c>
      <c r="AT258" s="75">
        <f>+INPUT!BS156</f>
        <v>393</v>
      </c>
      <c r="AU258" s="240" t="str">
        <f>+INPUT!BT156</f>
        <v>NM</v>
      </c>
      <c r="AV258" s="75">
        <f>+INPUT!BU156</f>
        <v>2680</v>
      </c>
      <c r="AW258" s="240" t="str">
        <f>+INPUT!BV156</f>
        <v>NM</v>
      </c>
      <c r="AX258" s="75">
        <f>+INPUT!BW156</f>
        <v>6258</v>
      </c>
      <c r="AY258" s="240" t="str">
        <f>+INPUT!BX156</f>
        <v>NM</v>
      </c>
      <c r="AZ258" s="75">
        <f>+INPUT!BY156</f>
        <v>87</v>
      </c>
      <c r="BA258" s="240">
        <f>+INPUT!BZ156</f>
        <v>-46.951219512195117</v>
      </c>
      <c r="BB258" s="75">
        <f>+INPUT!CA156</f>
        <v>1502</v>
      </c>
      <c r="BC258" s="240" t="str">
        <f>+INPUT!CB156</f>
        <v>NM</v>
      </c>
      <c r="BD258" s="75">
        <f>+INPUT!CC156</f>
        <v>903</v>
      </c>
      <c r="BE258" s="240" t="str">
        <f>+INPUT!CD156</f>
        <v>NM</v>
      </c>
      <c r="BF258" s="75">
        <f>+INPUT!CE156</f>
        <v>1105</v>
      </c>
      <c r="BG258" s="240" t="str">
        <f>+INPUT!CF156</f>
        <v>NM</v>
      </c>
      <c r="BH258" s="75">
        <f>+INPUT!CG156</f>
        <v>286</v>
      </c>
      <c r="BI258" s="240" t="str">
        <f>+INPUT!CH156</f>
        <v>NM</v>
      </c>
      <c r="BJ258" s="75">
        <f>+INPUT!CI156</f>
        <v>2088</v>
      </c>
      <c r="BK258" s="240">
        <f>+INPUT!CJ156</f>
        <v>39.014647137150462</v>
      </c>
      <c r="BL258" s="75">
        <f>+INPUT!CK156</f>
        <v>-1017</v>
      </c>
      <c r="BM258" s="240" t="str">
        <f>+INPUT!CL156</f>
        <v>NM</v>
      </c>
      <c r="BN258" s="75">
        <f>+INPUT!CM156</f>
        <v>-79</v>
      </c>
      <c r="BO258" s="240" t="str">
        <f>+INPUT!CN156</f>
        <v>NM</v>
      </c>
      <c r="BP258" s="75">
        <f>+INPUT!CO156</f>
        <v>-86</v>
      </c>
      <c r="BQ258" s="240" t="str">
        <f>+INPUT!CP156</f>
        <v>NM</v>
      </c>
      <c r="BR258" s="75">
        <f>+INPUT!CQ156</f>
        <v>-160</v>
      </c>
      <c r="BS258" s="240" t="str">
        <f>+INPUT!CR156</f>
        <v>NM</v>
      </c>
      <c r="BT258" s="75">
        <f>+INPUT!CS156</f>
        <v>-2014</v>
      </c>
      <c r="BU258" s="240">
        <f>+INPUT!CT156</f>
        <v>98.033431661750257</v>
      </c>
      <c r="BV258" s="75">
        <f>+INPUT!CU156</f>
        <v>-2457</v>
      </c>
      <c r="BW258" s="240" t="str">
        <f>+INPUT!CV156</f>
        <v>NM</v>
      </c>
      <c r="BX258" s="75">
        <f>+INPUT!CW156</f>
        <v>692</v>
      </c>
      <c r="BY258" s="240" t="str">
        <f>+INPUT!CX156</f>
        <v>NM</v>
      </c>
      <c r="BZ258" s="75">
        <f>+INPUT!CY156</f>
        <v>-585</v>
      </c>
      <c r="CA258" s="240" t="str">
        <f>+INPUT!CZ156</f>
        <v>NM</v>
      </c>
      <c r="CB258" s="75">
        <f>+INPUT!DA156</f>
        <v>-483</v>
      </c>
      <c r="CC258" s="240" t="str">
        <f>+INPUT!DB156</f>
        <v>NM</v>
      </c>
      <c r="CD258" s="75">
        <f>+INPUT!DC156</f>
        <v>1003</v>
      </c>
      <c r="CE258" s="240" t="str">
        <f>+INPUT!DD156</f>
        <v>NM</v>
      </c>
      <c r="CF258" s="75">
        <f>+INPUT!DE156</f>
        <v>75</v>
      </c>
      <c r="CG258" s="240" t="str">
        <f>+INPUT!DF156</f>
        <v>NM</v>
      </c>
      <c r="CH258" s="75">
        <f>+INPUT!DG156</f>
        <v>828</v>
      </c>
      <c r="CI258" s="240" t="str">
        <f>+INPUT!DH156</f>
        <v>NM</v>
      </c>
      <c r="CJ258" s="75">
        <f>+INPUT!DI156</f>
        <v>60</v>
      </c>
      <c r="CK258" s="240" t="str">
        <f>+INPUT!DJ156</f>
        <v>NM</v>
      </c>
      <c r="CL258" s="75">
        <f>+INPUT!DK156</f>
        <v>2584</v>
      </c>
      <c r="CM258" s="240" t="str">
        <f>+INPUT!DL156</f>
        <v>NM</v>
      </c>
      <c r="CN258" s="75">
        <f>+INPUT!DM156</f>
        <v>-1538</v>
      </c>
      <c r="CO258" s="240" t="str">
        <f>+INPUT!DN156</f>
        <v>NM</v>
      </c>
      <c r="CP258" s="75">
        <f>+INPUT!DO156</f>
        <v>969</v>
      </c>
      <c r="CQ258" s="240">
        <f>+INPUT!DP156</f>
        <v>17.028985507246389</v>
      </c>
      <c r="CR258" s="75">
        <f>+INPUT!DQ156</f>
        <v>-682</v>
      </c>
      <c r="CS258" s="240" t="str">
        <f>+INPUT!DR156</f>
        <v>NM</v>
      </c>
      <c r="CT258" s="75">
        <f>+INPUT!DS156</f>
        <v>85</v>
      </c>
      <c r="CU258" s="240" t="str">
        <f>+INPUT!DT156</f>
        <v>NM</v>
      </c>
      <c r="CV258" s="75">
        <f>+INPUT!DU156</f>
        <v>357</v>
      </c>
      <c r="CW258" s="240" t="str">
        <f>+INPUT!DV156</f>
        <v>NM</v>
      </c>
      <c r="CX258" s="75">
        <f>+INPUT!DW156</f>
        <v>4350</v>
      </c>
      <c r="CY258" s="240" t="str">
        <f>+INPUT!DX156</f>
        <v>NM</v>
      </c>
      <c r="CZ258" s="75">
        <f>+INPUT!DY156</f>
        <v>-667</v>
      </c>
      <c r="DA258" s="240">
        <f>+INPUT!DZ156</f>
        <v>-2.1994134897360738</v>
      </c>
      <c r="DB258" s="75">
        <f>+INPUT!EA156</f>
        <v>1370</v>
      </c>
      <c r="DC258" s="240" t="str">
        <f>+INPUT!EB156</f>
        <v>NM</v>
      </c>
      <c r="DD258" s="75">
        <f>+INPUT!EC156</f>
        <v>186</v>
      </c>
      <c r="DE258" s="240">
        <f>+INPUT!ED156</f>
        <v>-47.899159663865539</v>
      </c>
      <c r="DF258" s="75">
        <f>+INPUT!EE156</f>
        <v>392</v>
      </c>
      <c r="DG258" s="240" t="str">
        <f>+INPUT!EF156</f>
        <v>NM</v>
      </c>
      <c r="DH258" s="75">
        <f>+INPUT!EG156</f>
        <v>-147</v>
      </c>
      <c r="DI258" s="240" t="str">
        <f>+INPUT!EH156</f>
        <v>NM</v>
      </c>
      <c r="DJ258" s="75">
        <f>+INPUT!EI156</f>
        <v>46</v>
      </c>
      <c r="DK258" s="240" t="str">
        <f>+INPUT!EJ156</f>
        <v>NM</v>
      </c>
      <c r="DL258" s="75">
        <f>+INPUT!EK156</f>
        <v>-1015</v>
      </c>
      <c r="DM258" s="240" t="str">
        <f>+INPUT!EL156</f>
        <v>NM</v>
      </c>
      <c r="DN258" s="75">
        <f>+INPUT!EM156</f>
        <v>6056</v>
      </c>
      <c r="DO258" s="240" t="str">
        <f>+INPUT!EN156</f>
        <v>NM</v>
      </c>
      <c r="DP258" s="75">
        <f>+INPUT!EO156</f>
        <v>-371</v>
      </c>
      <c r="DQ258" s="240" t="str">
        <f>+INPUT!EP156</f>
        <v>NM</v>
      </c>
      <c r="DR258" s="75">
        <f>+INPUT!EQ156</f>
        <v>293.26999999999953</v>
      </c>
      <c r="DS258" s="240" t="str">
        <f>+INPUT!ER156</f>
        <v>NM</v>
      </c>
      <c r="DT258" s="75">
        <f>+INPUT!ES156</f>
        <v>291.72169037148706</v>
      </c>
      <c r="DU258" s="240" t="str">
        <f>+INPUT!ET156</f>
        <v>NM</v>
      </c>
      <c r="DV258" s="75">
        <f>+INPUT!EU156</f>
        <v>295.26098830126102</v>
      </c>
      <c r="DW258" s="240" t="str">
        <f>+INPUT!EV156</f>
        <v>NM</v>
      </c>
      <c r="DX258" s="75">
        <f>+INPUT!EW156</f>
        <v>298.84322657537359</v>
      </c>
      <c r="DY258" s="240" t="str">
        <f>+INPUT!EX156</f>
        <v>NM</v>
      </c>
      <c r="DZ258" s="75"/>
      <c r="EA258" s="240"/>
      <c r="EB258" s="155" t="str">
        <f>+INPUT!FI156</f>
        <v>NM</v>
      </c>
      <c r="EC258" s="75">
        <f>+INPUT!FJ156</f>
        <v>0</v>
      </c>
      <c r="ED258" s="155" t="str">
        <f>+INPUT!FK156</f>
        <v>NA</v>
      </c>
      <c r="EE258" s="75">
        <f>+INPUT!FL156</f>
        <v>0</v>
      </c>
      <c r="EF258" s="155" t="str">
        <f>+INPUT!FM156</f>
        <v>NA</v>
      </c>
      <c r="EG258" s="75">
        <f>+INPUT!FN156</f>
        <v>-1422</v>
      </c>
      <c r="EH258" s="155" t="str">
        <f>+INPUT!FO156</f>
        <v>NA</v>
      </c>
      <c r="EI258" s="75">
        <f>+INPUT!FP156</f>
        <v>-912</v>
      </c>
      <c r="EJ258" s="240">
        <f>+INPUT!FQ156</f>
        <v>-35.864978902953581</v>
      </c>
      <c r="EK258" s="75">
        <f>+INPUT!FR156</f>
        <v>167</v>
      </c>
      <c r="EL258" s="240" t="str">
        <f>+INPUT!FS156</f>
        <v>NM</v>
      </c>
      <c r="EM258" s="75">
        <f>+INPUT!FT156</f>
        <v>943</v>
      </c>
      <c r="EN258" s="240" t="str">
        <f>+INPUT!FU156</f>
        <v>NM</v>
      </c>
      <c r="EO258" s="75">
        <f>+INPUT!FV156</f>
        <v>3890</v>
      </c>
      <c r="EP258" s="240" t="str">
        <f>+INPUT!FW156</f>
        <v>NM</v>
      </c>
      <c r="EQ258" s="75">
        <f>+INPUT!FX156</f>
        <v>8750</v>
      </c>
      <c r="ER258" s="240" t="str">
        <f>+INPUT!FY156</f>
        <v>NM</v>
      </c>
      <c r="ES258" s="75">
        <f>+INPUT!FZ156</f>
        <v>2462</v>
      </c>
      <c r="ET258" s="240" t="str">
        <f>+INPUT!GA156</f>
        <v>NM</v>
      </c>
      <c r="EU258" s="75">
        <f>+INPUT!GB156</f>
        <v>-2339</v>
      </c>
      <c r="EV258" s="240" t="str">
        <f>+INPUT!GC156</f>
        <v>NM</v>
      </c>
      <c r="EW258" s="75">
        <f>+INPUT!GD156</f>
        <v>-2833</v>
      </c>
      <c r="EX258" s="240">
        <f>+INPUT!GE156</f>
        <v>21.12013681060283</v>
      </c>
      <c r="EY258" s="75">
        <f>+INPUT!GF156</f>
        <v>1966</v>
      </c>
      <c r="EZ258" s="240" t="str">
        <f>+INPUT!GG156</f>
        <v>NM</v>
      </c>
      <c r="FA258" s="75">
        <f>+INPUT!GH156</f>
        <v>1333</v>
      </c>
      <c r="FB258" s="240">
        <f>+INPUT!GI156</f>
        <v>-32.197355035605284</v>
      </c>
      <c r="FC258" s="75">
        <f>+INPUT!GJ156</f>
        <v>4125</v>
      </c>
      <c r="FD258" s="240" t="str">
        <f>+INPUT!GK156</f>
        <v>NM</v>
      </c>
      <c r="FE258" s="75">
        <f>+INPUT!GL156</f>
        <v>1801</v>
      </c>
      <c r="FF258" s="240" t="str">
        <f>+INPUT!GM156</f>
        <v>NM</v>
      </c>
      <c r="FG258" s="75">
        <f>+INPUT!GN156</f>
        <v>4716</v>
      </c>
      <c r="FH258" s="240" t="str">
        <f>+INPUT!GO156</f>
        <v>NM</v>
      </c>
      <c r="FI258" s="75">
        <f>+INPUT!GP156</f>
        <v>1179.095905248123</v>
      </c>
      <c r="FJ258" s="240" t="str">
        <f>+INPUT!GQ156</f>
        <v>NM</v>
      </c>
      <c r="FK258" s="75">
        <f>+INPUT!GR156</f>
        <v>1216.0803092927017</v>
      </c>
      <c r="FL258" s="240">
        <f>+INPUT!GS156</f>
        <v>3.1366747929461951</v>
      </c>
      <c r="FM258" s="75">
        <f>+INPUT!GT156</f>
        <v>1270.8351053293809</v>
      </c>
      <c r="FN258" s="240">
        <f>+INPUT!GU156</f>
        <v>4.5025641496099666</v>
      </c>
      <c r="FO258" s="75">
        <f>+INPUT!GV156</f>
        <v>1328.0552711825912</v>
      </c>
      <c r="FP258" s="240">
        <f>+INPUT!GW156</f>
        <v>4.5025641496092987</v>
      </c>
      <c r="FQ258" s="75">
        <f>+INPUT!GX156</f>
        <v>1387.8518117098611</v>
      </c>
      <c r="FR258" s="240">
        <f>+INPUT!GY156</f>
        <v>4.5025641496097393</v>
      </c>
      <c r="FS258" s="240">
        <f>+INPUT!GZ156</f>
        <v>-21.701424659161361</v>
      </c>
    </row>
    <row r="259" spans="1:175" ht="12.75" hidden="1" customHeight="1" outlineLevel="1" x14ac:dyDescent="0.2">
      <c r="A259" s="246" t="str">
        <f>+INPUT!B158</f>
        <v>Deposits/BOP Assets (%)</v>
      </c>
      <c r="B259" s="75"/>
      <c r="C259" s="155"/>
      <c r="D259" s="75"/>
      <c r="E259" s="155"/>
      <c r="F259" s="75"/>
      <c r="G259" s="155"/>
      <c r="H259" s="75"/>
      <c r="I259" s="155"/>
      <c r="J259" s="75">
        <f>+INPUT!AI158</f>
        <v>14.560481298046247</v>
      </c>
      <c r="K259" s="155">
        <f>+INPUT!AJ158</f>
        <v>0</v>
      </c>
      <c r="L259" s="75">
        <f>+INPUT!AK158</f>
        <v>602.36315408729195</v>
      </c>
      <c r="M259" s="155">
        <f>+INPUT!AL158</f>
        <v>0</v>
      </c>
      <c r="N259" s="75">
        <f>+INPUT!AM158</f>
        <v>19.733844564229607</v>
      </c>
      <c r="O259" s="155">
        <f>+INPUT!AN158</f>
        <v>0</v>
      </c>
      <c r="P259" s="75">
        <f>+INPUT!AO158</f>
        <v>16.717340377809901</v>
      </c>
      <c r="Q259" s="155">
        <f>+INPUT!AP158</f>
        <v>0</v>
      </c>
      <c r="R259" s="75">
        <f>+INPUT!AQ158</f>
        <v>18.042459858626074</v>
      </c>
      <c r="S259" s="155">
        <f>+INPUT!AR158</f>
        <v>0</v>
      </c>
      <c r="T259" s="75">
        <f>+INPUT!AS158</f>
        <v>12.711046504700512</v>
      </c>
      <c r="U259" s="155">
        <f>+INPUT!AT158</f>
        <v>0</v>
      </c>
      <c r="V259" s="75">
        <f>+INPUT!AU158</f>
        <v>16.448887274261406</v>
      </c>
      <c r="W259" s="155">
        <f>+INPUT!AV158</f>
        <v>0</v>
      </c>
      <c r="X259" s="75">
        <f>+INPUT!AW158</f>
        <v>13.792635022697173</v>
      </c>
      <c r="Y259" s="155">
        <f>+INPUT!AX158</f>
        <v>0</v>
      </c>
      <c r="Z259" s="75">
        <f>+INPUT!AY158</f>
        <v>24.35254850936245</v>
      </c>
      <c r="AA259" s="155">
        <f>+INPUT!AZ158</f>
        <v>0</v>
      </c>
      <c r="AB259" s="75">
        <f>+INPUT!BA158</f>
        <v>18.019901147473163</v>
      </c>
      <c r="AC259" s="155">
        <f>+INPUT!BB158</f>
        <v>0</v>
      </c>
      <c r="AD259" s="75">
        <f>+INPUT!BC158</f>
        <v>12.733648688508472</v>
      </c>
      <c r="AE259" s="155">
        <f>+INPUT!BD158</f>
        <v>0</v>
      </c>
      <c r="AF259" s="75">
        <f>+INPUT!BE158</f>
        <v>15.950473415877639</v>
      </c>
      <c r="AG259" s="155">
        <f>+INPUT!BF158</f>
        <v>0</v>
      </c>
      <c r="AH259" s="75">
        <f>+INPUT!BG158</f>
        <v>16.434363132505389</v>
      </c>
      <c r="AI259" s="240">
        <f>+INPUT!BH158</f>
        <v>0</v>
      </c>
      <c r="AJ259" s="75">
        <f>+INPUT!BI158</f>
        <v>12.905040278028887</v>
      </c>
      <c r="AK259" s="240">
        <f>+INPUT!BJ158</f>
        <v>0</v>
      </c>
      <c r="AL259" s="75">
        <f>+INPUT!BK158</f>
        <v>12.376841963607701</v>
      </c>
      <c r="AM259" s="240">
        <f>+INPUT!BL158</f>
        <v>0</v>
      </c>
      <c r="AN259" s="75">
        <f>+INPUT!BM158</f>
        <v>16.128635145500517</v>
      </c>
      <c r="AO259" s="240">
        <f>+INPUT!BN158</f>
        <v>0</v>
      </c>
      <c r="AP259" s="75">
        <f>+INPUT!BO158</f>
        <v>16.350541928123217</v>
      </c>
      <c r="AQ259" s="240">
        <f>+INPUT!BP158</f>
        <v>0</v>
      </c>
      <c r="AR259" s="75">
        <f>+INPUT!BQ158</f>
        <v>16.925088735288625</v>
      </c>
      <c r="AS259" s="240">
        <f>+INPUT!BR158</f>
        <v>0</v>
      </c>
      <c r="AT259" s="75">
        <f>+INPUT!BS158</f>
        <v>12.256236145795336</v>
      </c>
      <c r="AU259" s="240">
        <f>+INPUT!BT158</f>
        <v>0</v>
      </c>
      <c r="AV259" s="75">
        <f>+INPUT!BU158</f>
        <v>26.075271492987468</v>
      </c>
      <c r="AW259" s="240">
        <f>+INPUT!BV158</f>
        <v>0</v>
      </c>
      <c r="AX259" s="75">
        <f>+INPUT!BW158</f>
        <v>42.066213479315806</v>
      </c>
      <c r="AY259" s="240">
        <f>+INPUT!BX158</f>
        <v>0</v>
      </c>
      <c r="AZ259" s="75">
        <f>+INPUT!BY158</f>
        <v>15.231159271331943</v>
      </c>
      <c r="BA259" s="240">
        <f>+INPUT!BZ158</f>
        <v>0</v>
      </c>
      <c r="BB259" s="75">
        <f>+INPUT!CA158</f>
        <v>17.265434880576834</v>
      </c>
      <c r="BC259" s="240">
        <f>+INPUT!CB158</f>
        <v>0</v>
      </c>
      <c r="BD259" s="75">
        <f>+INPUT!CC158</f>
        <v>13.20674135155557</v>
      </c>
      <c r="BE259" s="240">
        <f>+INPUT!CD158</f>
        <v>0</v>
      </c>
      <c r="BF259" s="75">
        <f>+INPUT!CE158</f>
        <v>17.745063120819975</v>
      </c>
      <c r="BG259" s="240">
        <f>+INPUT!CF158</f>
        <v>0</v>
      </c>
      <c r="BH259" s="75">
        <f>+INPUT!CG158</f>
        <v>12.31290079071576</v>
      </c>
      <c r="BI259" s="240">
        <f>+INPUT!CH158</f>
        <v>0</v>
      </c>
      <c r="BJ259" s="75">
        <f>+INPUT!CI158</f>
        <v>16.792356362241964</v>
      </c>
      <c r="BK259" s="240">
        <f>+INPUT!CJ158</f>
        <v>0</v>
      </c>
      <c r="BL259" s="75">
        <f>+INPUT!CK158</f>
        <v>12.921448006624866</v>
      </c>
      <c r="BM259" s="240">
        <f>+INPUT!CL158</f>
        <v>0</v>
      </c>
      <c r="BN259" s="75">
        <f>+INPUT!CM158</f>
        <v>13.722728977517992</v>
      </c>
      <c r="BO259" s="240">
        <f>+INPUT!CN158</f>
        <v>0</v>
      </c>
      <c r="BP259" s="75">
        <f>+INPUT!CO158</f>
        <v>11.311370969399288</v>
      </c>
      <c r="BQ259" s="240">
        <f>+INPUT!CP158</f>
        <v>0</v>
      </c>
      <c r="BR259" s="75">
        <f>+INPUT!CQ158</f>
        <v>10.822758902988129</v>
      </c>
      <c r="BS259" s="240">
        <f>+INPUT!CR158</f>
        <v>0</v>
      </c>
      <c r="BT259" s="75">
        <f>+INPUT!CS158</f>
        <v>11.562020298365102</v>
      </c>
      <c r="BU259" s="240">
        <f>+INPUT!CT158</f>
        <v>0</v>
      </c>
      <c r="BV259" s="75">
        <f>+INPUT!CU158</f>
        <v>13.328551961557771</v>
      </c>
      <c r="BW259" s="240">
        <f>+INPUT!CV158</f>
        <v>0</v>
      </c>
      <c r="BX259" s="75">
        <f>+INPUT!CW158</f>
        <v>11.954161557904253</v>
      </c>
      <c r="BY259" s="240">
        <f>+INPUT!CX158</f>
        <v>0</v>
      </c>
      <c r="BZ259" s="75">
        <f>+INPUT!CY158</f>
        <v>9.7693198974755102</v>
      </c>
      <c r="CA259" s="240">
        <f>+INPUT!CZ158</f>
        <v>0</v>
      </c>
      <c r="CB259" s="75">
        <f>+INPUT!DA158</f>
        <v>10.625178651639512</v>
      </c>
      <c r="CC259" s="240">
        <f>+INPUT!DB158</f>
        <v>0</v>
      </c>
      <c r="CD259" s="75">
        <f>+INPUT!DC158</f>
        <v>15.306761901553182</v>
      </c>
      <c r="CE259" s="240">
        <f>+INPUT!DD158</f>
        <v>0</v>
      </c>
      <c r="CF259" s="75">
        <f>+INPUT!DE158</f>
        <v>9.4564522317431905</v>
      </c>
      <c r="CG259" s="240">
        <f>+INPUT!DF158</f>
        <v>0</v>
      </c>
      <c r="CH259" s="75">
        <f>+INPUT!DG158</f>
        <v>13.833064955812805</v>
      </c>
      <c r="CI259" s="240">
        <f>+INPUT!DH158</f>
        <v>0</v>
      </c>
      <c r="CJ259" s="75">
        <f>+INPUT!DI158</f>
        <v>14.140925473500882</v>
      </c>
      <c r="CK259" s="240">
        <f>+INPUT!DJ158</f>
        <v>0</v>
      </c>
      <c r="CL259" s="75">
        <f>+INPUT!DK158</f>
        <v>19.796889949395396</v>
      </c>
      <c r="CM259" s="240">
        <f>+INPUT!DL158</f>
        <v>0</v>
      </c>
      <c r="CN259" s="75">
        <f>+INPUT!DM158</f>
        <v>10.166713443727197</v>
      </c>
      <c r="CO259" s="240">
        <f>+INPUT!DN158</f>
        <v>7.5108634250783552</v>
      </c>
      <c r="CP259" s="75">
        <f>+INPUT!DO158</f>
        <v>11.433166094824786</v>
      </c>
      <c r="CQ259" s="240">
        <f>+INPUT!DP158</f>
        <v>-17.349003049245098</v>
      </c>
      <c r="CR259" s="75">
        <f>+INPUT!DQ158</f>
        <v>12.471819868723516</v>
      </c>
      <c r="CS259" s="240">
        <f>+INPUT!DR158</f>
        <v>-11.803368937239327</v>
      </c>
      <c r="CT259" s="75">
        <f>+INPUT!DS158</f>
        <v>13.711481248235573</v>
      </c>
      <c r="CU259" s="240">
        <f>+INPUT!DT158</f>
        <v>-30.739215688500977</v>
      </c>
      <c r="CV259" s="75">
        <f>+INPUT!DU158</f>
        <v>10.715139918679743</v>
      </c>
      <c r="CW259" s="240">
        <f>+INPUT!DV158</f>
        <v>5.39433395057398</v>
      </c>
      <c r="CX259" s="75">
        <f>+INPUT!DW158</f>
        <v>19.961124322721087</v>
      </c>
      <c r="CY259" s="240">
        <f>+INPUT!DX158</f>
        <v>74.589646972385651</v>
      </c>
      <c r="CZ259" s="75">
        <f>+INPUT!DY158</f>
        <v>10.63978538330217</v>
      </c>
      <c r="DA259" s="240">
        <f>+INPUT!DZ158</f>
        <v>-14.689391802520106</v>
      </c>
      <c r="DB259" s="75">
        <f>+INPUT!EA158</f>
        <v>14.089679881033653</v>
      </c>
      <c r="DC259" s="240">
        <f>+INPUT!EB158</f>
        <v>2.7582624076209612</v>
      </c>
      <c r="DD259" s="75">
        <f>+INPUT!EC158</f>
        <v>9.8432598597560652</v>
      </c>
      <c r="DE259" s="240">
        <f>+INPUT!ED158</f>
        <v>-8.1368984963390574</v>
      </c>
      <c r="DF259" s="75">
        <f>+INPUT!EE158</f>
        <v>11.143927796419717</v>
      </c>
      <c r="DG259" s="240">
        <f>+INPUT!EF158</f>
        <v>-44.171843147457615</v>
      </c>
      <c r="DH259" s="75">
        <f>+INPUT!EG158</f>
        <v>10.311458728226821</v>
      </c>
      <c r="DI259" s="240">
        <f>+INPUT!EH158</f>
        <v>-3.0858390770796689</v>
      </c>
      <c r="DJ259" s="75">
        <f>+INPUT!EI158</f>
        <v>13.285865030916854</v>
      </c>
      <c r="DK259" s="240">
        <f>+INPUT!EJ158</f>
        <v>-5.7049901552328919</v>
      </c>
      <c r="DL259" s="75">
        <f>+INPUT!EK158</f>
        <v>9.0703422053231932</v>
      </c>
      <c r="DM259" s="240">
        <f>+INPUT!EL158</f>
        <v>-7.8522528658714776</v>
      </c>
      <c r="DN259" s="75">
        <f>+INPUT!EM158</f>
        <v>20.840959153545597</v>
      </c>
      <c r="DO259" s="240">
        <f>+INPUT!EN158</f>
        <v>87.01627948667533</v>
      </c>
      <c r="DP259" s="75">
        <f>+INPUT!EO158</f>
        <v>12.015582268574294</v>
      </c>
      <c r="DQ259" s="240">
        <f>+INPUT!EP158</f>
        <v>16.526503041539257</v>
      </c>
      <c r="DR259" s="75">
        <f>+INPUT!EQ158</f>
        <v>13.5</v>
      </c>
      <c r="DS259" s="240">
        <f>+INPUT!ER158</f>
        <v>1.6117502969121205</v>
      </c>
      <c r="DT259" s="75">
        <f>+INPUT!ES158</f>
        <v>11.5</v>
      </c>
      <c r="DU259" s="240">
        <f>+INPUT!ET158</f>
        <v>26.786837141060587</v>
      </c>
      <c r="DV259" s="75">
        <f>+INPUT!EU158</f>
        <v>10</v>
      </c>
      <c r="DW259" s="240" t="str">
        <f>+INPUT!EV158</f>
        <v>NM</v>
      </c>
      <c r="DX259" s="75">
        <f>+INPUT!EW158</f>
        <v>11</v>
      </c>
      <c r="DY259" s="240">
        <f>+INPUT!EX158</f>
        <v>-8.4522101873536428</v>
      </c>
      <c r="DZ259" s="75"/>
      <c r="EA259" s="240"/>
      <c r="EB259" s="155">
        <f>+INPUT!FI158</f>
        <v>0</v>
      </c>
      <c r="EC259" s="75">
        <f>+INPUT!FJ158</f>
        <v>0</v>
      </c>
      <c r="ED259" s="155">
        <f>+INPUT!FK158</f>
        <v>0</v>
      </c>
      <c r="EE259" s="75">
        <f>+INPUT!FL158</f>
        <v>0</v>
      </c>
      <c r="EF259" s="155">
        <f>+INPUT!FM158</f>
        <v>0</v>
      </c>
      <c r="EG259" s="75">
        <f>+INPUT!FN158</f>
        <v>177.67615690802467</v>
      </c>
      <c r="EH259" s="155">
        <f>+INPUT!FO158</f>
        <v>0</v>
      </c>
      <c r="EI259" s="75">
        <f>+INPUT!FP158</f>
        <v>15.503450906533478</v>
      </c>
      <c r="EJ259" s="240">
        <f>+INPUT!FQ158</f>
        <v>0</v>
      </c>
      <c r="EK259" s="75">
        <f>+INPUT!FR158</f>
        <v>18.279119760140293</v>
      </c>
      <c r="EL259" s="240">
        <f>+INPUT!FS158</f>
        <v>0</v>
      </c>
      <c r="EM259" s="75">
        <f>+INPUT!FT158</f>
        <v>15.079544288206916</v>
      </c>
      <c r="EN259" s="240">
        <f>+INPUT!FU158</f>
        <v>0</v>
      </c>
      <c r="EO259" s="75">
        <f>+INPUT!FV158</f>
        <v>16.882665430690246</v>
      </c>
      <c r="EP259" s="240">
        <f>+INPUT!FW158</f>
        <v>0</v>
      </c>
      <c r="EQ259" s="75">
        <f>+INPUT!FX158</f>
        <v>23.248912149832563</v>
      </c>
      <c r="ER259" s="240">
        <f>+INPUT!FY158</f>
        <v>0</v>
      </c>
      <c r="ES259" s="75">
        <f>+INPUT!FZ158</f>
        <v>15.248723732636829</v>
      </c>
      <c r="ET259" s="240">
        <f>+INPUT!GA158</f>
        <v>0</v>
      </c>
      <c r="EU259" s="75">
        <f>+INPUT!GB158</f>
        <v>11.903363455591489</v>
      </c>
      <c r="EV259" s="240">
        <f>+INPUT!GC158</f>
        <v>0</v>
      </c>
      <c r="EW259" s="75">
        <f>+INPUT!GD158</f>
        <v>11.755002510220182</v>
      </c>
      <c r="EX259" s="240">
        <f>+INPUT!GE158</f>
        <v>0</v>
      </c>
      <c r="EY259" s="75">
        <f>+INPUT!GF158</f>
        <v>13.932818975101918</v>
      </c>
      <c r="EZ259" s="240">
        <f>+INPUT!GG158</f>
        <v>0</v>
      </c>
      <c r="FA259" s="75">
        <f>+INPUT!GH158</f>
        <v>13.794653663934708</v>
      </c>
      <c r="FB259" s="240">
        <f>+INPUT!GI158</f>
        <v>-0.99165367334573773</v>
      </c>
      <c r="FC259" s="75">
        <f>+INPUT!GJ158</f>
        <v>13.943842428717234</v>
      </c>
      <c r="FD259" s="240">
        <f>+INPUT!GK158</f>
        <v>1.0814969945390516</v>
      </c>
      <c r="FE259" s="75">
        <f>+INPUT!GL158</f>
        <v>11.60451098374797</v>
      </c>
      <c r="FF259" s="240">
        <f>+INPUT!GM158</f>
        <v>-16.77680637118668</v>
      </c>
      <c r="FG259" s="75">
        <f>+INPUT!GN158</f>
        <v>14.559521109259277</v>
      </c>
      <c r="FH259" s="240">
        <f>+INPUT!GO158</f>
        <v>25.464322707348686</v>
      </c>
      <c r="FI259" s="75">
        <f>+INPUT!GP158</f>
        <v>11.554054126414055</v>
      </c>
      <c r="FJ259" s="240">
        <f>+INPUT!GQ158</f>
        <v>-20.642622516848192</v>
      </c>
      <c r="FK259" s="75">
        <f>+INPUT!GR158</f>
        <v>11.554054126414055</v>
      </c>
      <c r="FL259" s="240">
        <f>+INPUT!GS158</f>
        <v>0</v>
      </c>
      <c r="FM259" s="75">
        <f>+INPUT!GT158</f>
        <v>11.554054126414055</v>
      </c>
      <c r="FN259" s="240">
        <f>+INPUT!GU158</f>
        <v>0</v>
      </c>
      <c r="FO259" s="75">
        <f>+INPUT!GV158</f>
        <v>11.554054126414055</v>
      </c>
      <c r="FP259" s="240">
        <f>+INPUT!GW158</f>
        <v>0</v>
      </c>
      <c r="FQ259" s="75">
        <f>+INPUT!GX158</f>
        <v>11.554054126414055</v>
      </c>
      <c r="FR259" s="240">
        <f>+INPUT!GY158</f>
        <v>0</v>
      </c>
      <c r="FS259" s="240">
        <f>+INPUT!GZ158</f>
        <v>0</v>
      </c>
    </row>
    <row r="260" spans="1:175" ht="12.75" hidden="1" customHeight="1" outlineLevel="1" x14ac:dyDescent="0.2">
      <c r="A260" s="246" t="str">
        <f>+INPUT!B159</f>
        <v>Withdrawals/BOP Reserves (%)</v>
      </c>
      <c r="B260" s="75"/>
      <c r="C260" s="155"/>
      <c r="D260" s="75"/>
      <c r="E260" s="155"/>
      <c r="F260" s="75"/>
      <c r="G260" s="155"/>
      <c r="H260" s="75"/>
      <c r="I260" s="155"/>
      <c r="J260" s="75">
        <f>+INPUT!AI159</f>
        <v>19.482847680106953</v>
      </c>
      <c r="K260" s="155">
        <f>+INPUT!AJ159</f>
        <v>0</v>
      </c>
      <c r="L260" s="75">
        <f>+INPUT!AK159</f>
        <v>41.704846877260671</v>
      </c>
      <c r="M260" s="155">
        <f>+INPUT!AL159</f>
        <v>0</v>
      </c>
      <c r="N260" s="75">
        <f>+INPUT!AM159</f>
        <v>19.654172216758582</v>
      </c>
      <c r="O260" s="155">
        <f>+INPUT!AN159</f>
        <v>0</v>
      </c>
      <c r="P260" s="75">
        <f>+INPUT!AO159</f>
        <v>20.325973184468925</v>
      </c>
      <c r="Q260" s="155">
        <f>+INPUT!AP159</f>
        <v>0</v>
      </c>
      <c r="R260" s="75">
        <f>+INPUT!AQ159</f>
        <v>15.968339869592684</v>
      </c>
      <c r="S260" s="155">
        <f>+INPUT!AR159</f>
        <v>0</v>
      </c>
      <c r="T260" s="75">
        <f>+INPUT!AS159</f>
        <v>13.521274440883149</v>
      </c>
      <c r="U260" s="155">
        <f>+INPUT!AT159</f>
        <v>0</v>
      </c>
      <c r="V260" s="75">
        <f>+INPUT!AU159</f>
        <v>15.009785423820182</v>
      </c>
      <c r="W260" s="155">
        <f>+INPUT!AV159</f>
        <v>0</v>
      </c>
      <c r="X260" s="75">
        <f>+INPUT!AW159</f>
        <v>20.512356090879248</v>
      </c>
      <c r="Y260" s="155">
        <f>+INPUT!AX159</f>
        <v>0</v>
      </c>
      <c r="Z260" s="75">
        <f>+INPUT!AY159</f>
        <v>24.759857441873621</v>
      </c>
      <c r="AA260" s="155">
        <f>+INPUT!AZ159</f>
        <v>0</v>
      </c>
      <c r="AB260" s="75">
        <f>+INPUT!BA159</f>
        <v>14.858362183465065</v>
      </c>
      <c r="AC260" s="155">
        <f>+INPUT!BB159</f>
        <v>0</v>
      </c>
      <c r="AD260" s="75">
        <f>+INPUT!BC159</f>
        <v>14.298043414138546</v>
      </c>
      <c r="AE260" s="155">
        <f>+INPUT!BD159</f>
        <v>0</v>
      </c>
      <c r="AF260" s="75">
        <f>+INPUT!BE159</f>
        <v>16.426031446810331</v>
      </c>
      <c r="AG260" s="155">
        <f>+INPUT!BF159</f>
        <v>0</v>
      </c>
      <c r="AH260" s="75">
        <f>+INPUT!BG159</f>
        <v>14.094221492353483</v>
      </c>
      <c r="AI260" s="240">
        <f>+INPUT!BH159</f>
        <v>0</v>
      </c>
      <c r="AJ260" s="75">
        <f>+INPUT!BI159</f>
        <v>12.868880451596054</v>
      </c>
      <c r="AK260" s="240">
        <f>+INPUT!BJ159</f>
        <v>0</v>
      </c>
      <c r="AL260" s="75">
        <f>+INPUT!BK159</f>
        <v>12.722886007324599</v>
      </c>
      <c r="AM260" s="240">
        <f>+INPUT!BL159</f>
        <v>0</v>
      </c>
      <c r="AN260" s="75">
        <f>+INPUT!BM159</f>
        <v>14.408954460658515</v>
      </c>
      <c r="AO260" s="240">
        <f>+INPUT!BN159</f>
        <v>0</v>
      </c>
      <c r="AP260" s="75">
        <f>+INPUT!BO159</f>
        <v>14.022390188248718</v>
      </c>
      <c r="AQ260" s="240">
        <f>+INPUT!BP159</f>
        <v>0</v>
      </c>
      <c r="AR260" s="75">
        <f>+INPUT!BQ159</f>
        <v>16.312348215953669</v>
      </c>
      <c r="AS260" s="240">
        <f>+INPUT!BR159</f>
        <v>0</v>
      </c>
      <c r="AT260" s="75">
        <f>+INPUT!BS159</f>
        <v>10.785936754678863</v>
      </c>
      <c r="AU260" s="240">
        <f>+INPUT!BT159</f>
        <v>0</v>
      </c>
      <c r="AV260" s="75">
        <f>+INPUT!BU159</f>
        <v>15.404676348506415</v>
      </c>
      <c r="AW260" s="240">
        <f>+INPUT!BV159</f>
        <v>0</v>
      </c>
      <c r="AX260" s="75">
        <f>+INPUT!BW159</f>
        <v>16.968457358278691</v>
      </c>
      <c r="AY260" s="240">
        <f>+INPUT!BX159</f>
        <v>0</v>
      </c>
      <c r="AZ260" s="75">
        <f>+INPUT!BY159</f>
        <v>14.890513806908839</v>
      </c>
      <c r="BA260" s="240">
        <f>+INPUT!BZ159</f>
        <v>0</v>
      </c>
      <c r="BB260" s="75">
        <f>+INPUT!CA159</f>
        <v>11.850383055430374</v>
      </c>
      <c r="BC260" s="240">
        <f>+INPUT!CB159</f>
        <v>0</v>
      </c>
      <c r="BD260" s="75">
        <f>+INPUT!CC159</f>
        <v>10.24015243601958</v>
      </c>
      <c r="BE260" s="240">
        <f>+INPUT!CD159</f>
        <v>0</v>
      </c>
      <c r="BF260" s="75">
        <f>+INPUT!CE159</f>
        <v>14.246705449364836</v>
      </c>
      <c r="BG260" s="240">
        <f>+INPUT!CF159</f>
        <v>0</v>
      </c>
      <c r="BH260" s="75">
        <f>+INPUT!CG159</f>
        <v>11.440597192463418</v>
      </c>
      <c r="BI260" s="240">
        <f>+INPUT!CH159</f>
        <v>0</v>
      </c>
      <c r="BJ260" s="75">
        <f>+INPUT!CI159</f>
        <v>10.12015082763469</v>
      </c>
      <c r="BK260" s="240">
        <f>+INPUT!CJ159</f>
        <v>0</v>
      </c>
      <c r="BL260" s="75">
        <f>+INPUT!CK159</f>
        <v>15.929255885484444</v>
      </c>
      <c r="BM260" s="240">
        <f>+INPUT!CL159</f>
        <v>0</v>
      </c>
      <c r="BN260" s="75">
        <f>+INPUT!CM159</f>
        <v>13.946346054503126</v>
      </c>
      <c r="BO260" s="240">
        <f>+INPUT!CN159</f>
        <v>0</v>
      </c>
      <c r="BP260" s="75">
        <f>+INPUT!CO159</f>
        <v>11.547024531261773</v>
      </c>
      <c r="BQ260" s="240">
        <f>+INPUT!CP159</f>
        <v>0</v>
      </c>
      <c r="BR260" s="75">
        <f>+INPUT!CQ159</f>
        <v>11.259380543048165</v>
      </c>
      <c r="BS260" s="240">
        <f>+INPUT!CR159</f>
        <v>0</v>
      </c>
      <c r="BT260" s="75">
        <f>+INPUT!CS159</f>
        <v>17.565090388828448</v>
      </c>
      <c r="BU260" s="240">
        <f>+INPUT!CT159</f>
        <v>0</v>
      </c>
      <c r="BV260" s="75">
        <f>+INPUT!CU159</f>
        <v>20.377250233091875</v>
      </c>
      <c r="BW260" s="240">
        <f>+INPUT!CV159</f>
        <v>0</v>
      </c>
      <c r="BX260" s="75">
        <f>+INPUT!CW159</f>
        <v>10.058154269783753</v>
      </c>
      <c r="BY260" s="240">
        <f>+INPUT!CX159</f>
        <v>0</v>
      </c>
      <c r="BZ260" s="75">
        <f>+INPUT!CY159</f>
        <v>11.412520627786945</v>
      </c>
      <c r="CA260" s="240">
        <f>+INPUT!CZ159</f>
        <v>0</v>
      </c>
      <c r="CB260" s="75">
        <f>+INPUT!DA159</f>
        <v>11.940054718445015</v>
      </c>
      <c r="CC260" s="240">
        <f>+INPUT!DB159</f>
        <v>0</v>
      </c>
      <c r="CD260" s="75">
        <f>+INPUT!DC159</f>
        <v>12.603348943768742</v>
      </c>
      <c r="CE260" s="240">
        <f>+INPUT!DD159</f>
        <v>0</v>
      </c>
      <c r="CF260" s="75">
        <f>+INPUT!DE159</f>
        <v>9.2646118429466675</v>
      </c>
      <c r="CG260" s="240">
        <f>+INPUT!DF159</f>
        <v>0</v>
      </c>
      <c r="CH260" s="75">
        <f>+INPUT!DG159</f>
        <v>11.73338066921097</v>
      </c>
      <c r="CI260" s="240">
        <f>+INPUT!DH159</f>
        <v>0</v>
      </c>
      <c r="CJ260" s="75">
        <f>+INPUT!DI159</f>
        <v>13.995791103263105</v>
      </c>
      <c r="CK260" s="240">
        <f>+INPUT!DJ159</f>
        <v>0</v>
      </c>
      <c r="CL260" s="75">
        <f>+INPUT!DK159</f>
        <v>13.83960991804129</v>
      </c>
      <c r="CM260" s="240">
        <f>+INPUT!DL159</f>
        <v>0</v>
      </c>
      <c r="CN260" s="75">
        <f>+INPUT!DM159</f>
        <v>13.619983160258208</v>
      </c>
      <c r="CO260" s="240">
        <f>+INPUT!DN159</f>
        <v>47.010834249115049</v>
      </c>
      <c r="CP260" s="75">
        <f>+INPUT!DO159</f>
        <v>9.2985345060222375</v>
      </c>
      <c r="CQ260" s="240">
        <f>+INPUT!DP159</f>
        <v>-20.75144608218416</v>
      </c>
      <c r="CR260" s="75">
        <f>+INPUT!DQ159</f>
        <v>13.982884205278756</v>
      </c>
      <c r="CS260" s="240">
        <f>+INPUT!DR159</f>
        <v>-9.2219853019528841E-2</v>
      </c>
      <c r="CT260" s="75">
        <f>+INPUT!DS159</f>
        <v>13.526895263740798</v>
      </c>
      <c r="CU260" s="240">
        <f>+INPUT!DT159</f>
        <v>-2.2595626332851992</v>
      </c>
      <c r="CV260" s="75">
        <f>+INPUT!DU159</f>
        <v>9.9561508411065933</v>
      </c>
      <c r="CW260" s="240">
        <f>+INPUT!DV159</f>
        <v>-26.900417394364496</v>
      </c>
      <c r="CX260" s="75">
        <f>+INPUT!DW159</f>
        <v>10.74536431382311</v>
      </c>
      <c r="CY260" s="240">
        <f>+INPUT!DX159</f>
        <v>15.559761668506241</v>
      </c>
      <c r="CZ260" s="75">
        <f>+INPUT!DY159</f>
        <v>12.085738286860147</v>
      </c>
      <c r="DA260" s="240">
        <f>+INPUT!DZ159</f>
        <v>-13.567629471625082</v>
      </c>
      <c r="DB260" s="75">
        <f>+INPUT!EA159</f>
        <v>11.189610554558877</v>
      </c>
      <c r="DC260" s="240">
        <f>+INPUT!EB159</f>
        <v>-17.278796528033112</v>
      </c>
      <c r="DD260" s="75">
        <f>+INPUT!EC159</f>
        <v>9.4536351877163494</v>
      </c>
      <c r="DE260" s="240">
        <f>+INPUT!ED159</f>
        <v>-5.0472884693095921</v>
      </c>
      <c r="DF260" s="75">
        <f>+INPUT!EE159</f>
        <v>10.335709536253846</v>
      </c>
      <c r="DG260" s="240">
        <f>+INPUT!EF159</f>
        <v>-3.8123861193079591</v>
      </c>
      <c r="DH260" s="75">
        <f>+INPUT!EG159</f>
        <v>10.604760669606335</v>
      </c>
      <c r="DI260" s="240">
        <f>+INPUT!EH159</f>
        <v>-12.253927580609286</v>
      </c>
      <c r="DJ260" s="75">
        <f>+INPUT!EI159</f>
        <v>13.195136142641593</v>
      </c>
      <c r="DK260" s="240">
        <f>+INPUT!EJ159</f>
        <v>17.923104457515038</v>
      </c>
      <c r="DL260" s="75">
        <f>+INPUT!EK159</f>
        <v>11</v>
      </c>
      <c r="DM260" s="240">
        <f>+INPUT!EL159</f>
        <v>16.357356525592735</v>
      </c>
      <c r="DN260" s="75">
        <f>+INPUT!EM159</f>
        <v>9.5598679277794076</v>
      </c>
      <c r="DO260" s="240">
        <f>+INPUT!EN159</f>
        <v>-7.5064184587722167</v>
      </c>
      <c r="DP260" s="75">
        <f>+INPUT!EO159</f>
        <v>12.668067781109576</v>
      </c>
      <c r="DQ260" s="240">
        <f>+INPUT!EP159</f>
        <v>19.456423164897643</v>
      </c>
      <c r="DR260" s="75">
        <f>+INPUT!EQ159</f>
        <v>13</v>
      </c>
      <c r="DS260" s="240">
        <f>+INPUT!ER159</f>
        <v>-1.4788490284006031</v>
      </c>
      <c r="DT260" s="75">
        <f>+INPUT!ES159</f>
        <v>11</v>
      </c>
      <c r="DU260" s="240">
        <f>+INPUT!ET159</f>
        <v>0</v>
      </c>
      <c r="DV260" s="75">
        <f>+INPUT!EU159</f>
        <v>9.5</v>
      </c>
      <c r="DW260" s="240">
        <f>+INPUT!EV159</f>
        <v>-0.62624220576773837</v>
      </c>
      <c r="DX260" s="75">
        <f>+INPUT!EW159</f>
        <v>10.5</v>
      </c>
      <c r="DY260" s="240">
        <f>+INPUT!EX159</f>
        <v>-17.114431486880449</v>
      </c>
      <c r="DZ260" s="75"/>
      <c r="EA260" s="240"/>
      <c r="EB260" s="155">
        <f>+INPUT!FI159</f>
        <v>0</v>
      </c>
      <c r="EC260" s="75">
        <f>+INPUT!FJ159</f>
        <v>0</v>
      </c>
      <c r="ED260" s="155">
        <f>+INPUT!FK159</f>
        <v>0</v>
      </c>
      <c r="EE260" s="75">
        <f>+INPUT!FL159</f>
        <v>0</v>
      </c>
      <c r="EF260" s="155">
        <f>+INPUT!FM159</f>
        <v>0</v>
      </c>
      <c r="EG260" s="75">
        <f>+INPUT!FN159</f>
        <v>39.764820272857101</v>
      </c>
      <c r="EH260" s="155">
        <f>+INPUT!FO159</f>
        <v>0</v>
      </c>
      <c r="EI260" s="75">
        <f>+INPUT!FP159</f>
        <v>16.590575866302704</v>
      </c>
      <c r="EJ260" s="240">
        <f>+INPUT!FQ159</f>
        <v>0</v>
      </c>
      <c r="EK260" s="75">
        <f>+INPUT!FR159</f>
        <v>18.090173672003168</v>
      </c>
      <c r="EL260" s="240">
        <f>+INPUT!FS159</f>
        <v>0</v>
      </c>
      <c r="EM260" s="75">
        <f>+INPUT!FT159</f>
        <v>14.11166991686339</v>
      </c>
      <c r="EN260" s="240">
        <f>+INPUT!FU159</f>
        <v>0</v>
      </c>
      <c r="EO260" s="75">
        <f>+INPUT!FV159</f>
        <v>13.415395037079293</v>
      </c>
      <c r="EP260" s="240">
        <f>+INPUT!FW159</f>
        <v>0</v>
      </c>
      <c r="EQ260" s="75">
        <f>+INPUT!FX159</f>
        <v>14.475926928552809</v>
      </c>
      <c r="ER260" s="240">
        <f>+INPUT!FY159</f>
        <v>0</v>
      </c>
      <c r="ES260" s="75">
        <f>+INPUT!FZ159</f>
        <v>13.300091020618149</v>
      </c>
      <c r="ET260" s="240">
        <f>+INPUT!GA159</f>
        <v>0</v>
      </c>
      <c r="EU260" s="75">
        <f>+INPUT!GB159</f>
        <v>13.558554414668148</v>
      </c>
      <c r="EV260" s="240">
        <f>+INPUT!GC159</f>
        <v>0</v>
      </c>
      <c r="EW260" s="75">
        <f>+INPUT!GD159</f>
        <v>13.786846446245427</v>
      </c>
      <c r="EX260" s="240">
        <f>+INPUT!GE159</f>
        <v>0</v>
      </c>
      <c r="EY260" s="75">
        <f>+INPUT!GF159</f>
        <v>12.608065765978235</v>
      </c>
      <c r="EZ260" s="240">
        <f>+INPUT!GG159</f>
        <v>0</v>
      </c>
      <c r="FA260" s="75">
        <f>+INPUT!GH159</f>
        <v>13.026362808497884</v>
      </c>
      <c r="FB260" s="240">
        <f>+INPUT!GI159</f>
        <v>3.3176940086114399</v>
      </c>
      <c r="FC260" s="75">
        <f>+INPUT!GJ159</f>
        <v>11.704380116832072</v>
      </c>
      <c r="FD260" s="240">
        <f>+INPUT!GK159</f>
        <v>-10.148517365134367</v>
      </c>
      <c r="FE260" s="75">
        <f>+INPUT!GL159</f>
        <v>10.651404258021497</v>
      </c>
      <c r="FF260" s="240">
        <f>+INPUT!GM159</f>
        <v>-8.9964256825211208</v>
      </c>
      <c r="FG260" s="75">
        <f>+INPUT!GN159</f>
        <v>12.234100255421545</v>
      </c>
      <c r="FH260" s="240">
        <f>+INPUT!GO159</f>
        <v>14.85903603938543</v>
      </c>
      <c r="FI260" s="75">
        <f>+INPUT!GP159</f>
        <v>11.051489976804428</v>
      </c>
      <c r="FJ260" s="240">
        <f>+INPUT!GQ159</f>
        <v>-9.6665079893639358</v>
      </c>
      <c r="FK260" s="75">
        <f>+INPUT!GR159</f>
        <v>11.051489976804428</v>
      </c>
      <c r="FL260" s="240">
        <f>+INPUT!GS159</f>
        <v>0</v>
      </c>
      <c r="FM260" s="75">
        <f>+INPUT!GT159</f>
        <v>11.051489976804428</v>
      </c>
      <c r="FN260" s="240">
        <f>+INPUT!GU159</f>
        <v>0</v>
      </c>
      <c r="FO260" s="75">
        <f>+INPUT!GV159</f>
        <v>11.051489976804428</v>
      </c>
      <c r="FP260" s="240">
        <f>+INPUT!GW159</f>
        <v>0</v>
      </c>
      <c r="FQ260" s="75">
        <f>+INPUT!GX159</f>
        <v>11.051489976804428</v>
      </c>
      <c r="FR260" s="240">
        <f>+INPUT!GY159</f>
        <v>0</v>
      </c>
      <c r="FS260" s="240">
        <f>+INPUT!GZ159</f>
        <v>0</v>
      </c>
    </row>
    <row r="261" spans="1:175" ht="12.75" hidden="1" customHeight="1" outlineLevel="1" x14ac:dyDescent="0.2">
      <c r="A261" s="246" t="str">
        <f>+INPUT!B160</f>
        <v>Inv Perf/BOP AUM (%)</v>
      </c>
      <c r="B261" s="75"/>
      <c r="C261" s="155"/>
      <c r="D261" s="75"/>
      <c r="E261" s="155"/>
      <c r="F261" s="75"/>
      <c r="G261" s="155"/>
      <c r="H261" s="75"/>
      <c r="I261" s="155"/>
      <c r="J261" s="75">
        <f>+INPUT!AI160</f>
        <v>8.1431740147670997</v>
      </c>
      <c r="K261" s="155">
        <f>+INPUT!AJ160</f>
        <v>0</v>
      </c>
      <c r="L261" s="75">
        <f>+INPUT!AK160</f>
        <v>7.861104412828551</v>
      </c>
      <c r="M261" s="155">
        <f>+INPUT!AL160</f>
        <v>0</v>
      </c>
      <c r="N261" s="75">
        <f>+INPUT!AM160</f>
        <v>-0.46309551967533513</v>
      </c>
      <c r="O261" s="155">
        <f>+INPUT!AN160</f>
        <v>0</v>
      </c>
      <c r="P261" s="75">
        <f>+INPUT!AO160</f>
        <v>21.746498529631662</v>
      </c>
      <c r="Q261" s="155">
        <f>+INPUT!AP160</f>
        <v>0</v>
      </c>
      <c r="R261" s="75">
        <f>+INPUT!AQ160</f>
        <v>-1.9024686795961427</v>
      </c>
      <c r="S261" s="155">
        <f>+INPUT!AR160</f>
        <v>0</v>
      </c>
      <c r="T261" s="75">
        <f>+INPUT!AS160</f>
        <v>7.501757479714513</v>
      </c>
      <c r="U261" s="155">
        <f>+INPUT!AT160</f>
        <v>0</v>
      </c>
      <c r="V261" s="75">
        <f>+INPUT!AU160</f>
        <v>12.651908450621697</v>
      </c>
      <c r="W261" s="155">
        <f>+INPUT!AV160</f>
        <v>0</v>
      </c>
      <c r="X261" s="75">
        <f>+INPUT!AW160</f>
        <v>6.9370705366947032</v>
      </c>
      <c r="Y261" s="155">
        <f>+INPUT!AX160</f>
        <v>0</v>
      </c>
      <c r="Z261" s="75">
        <f>+INPUT!AY160</f>
        <v>16.10680545341404</v>
      </c>
      <c r="AA261" s="155">
        <f>+INPUT!AZ160</f>
        <v>0</v>
      </c>
      <c r="AB261" s="75">
        <f>+INPUT!BA160</f>
        <v>-4.5419905502210023</v>
      </c>
      <c r="AC261" s="155">
        <f>+INPUT!BB160</f>
        <v>0</v>
      </c>
      <c r="AD261" s="75">
        <f>+INPUT!BC160</f>
        <v>9.5480516075466753</v>
      </c>
      <c r="AE261" s="155">
        <f>+INPUT!BD160</f>
        <v>0</v>
      </c>
      <c r="AF261" s="75">
        <f>+INPUT!BE160</f>
        <v>17.895548605458206</v>
      </c>
      <c r="AG261" s="155">
        <f>+INPUT!BF160</f>
        <v>0</v>
      </c>
      <c r="AH261" s="75">
        <f>+INPUT!BG160</f>
        <v>6.3963871497485378</v>
      </c>
      <c r="AI261" s="240">
        <f>+INPUT!BH160</f>
        <v>0</v>
      </c>
      <c r="AJ261" s="75">
        <f>+INPUT!BI160</f>
        <v>17.943309427670304</v>
      </c>
      <c r="AK261" s="240">
        <f>+INPUT!BJ160</f>
        <v>0</v>
      </c>
      <c r="AL261" s="75">
        <f>+INPUT!BK160</f>
        <v>6.3749002720290671</v>
      </c>
      <c r="AM261" s="240">
        <f>+INPUT!BL160</f>
        <v>0</v>
      </c>
      <c r="AN261" s="75">
        <f>+INPUT!BM160</f>
        <v>23.245991988712227</v>
      </c>
      <c r="AO261" s="240">
        <f>+INPUT!BN160</f>
        <v>0</v>
      </c>
      <c r="AP261" s="75">
        <f>+INPUT!BO160</f>
        <v>-20.62535653166001</v>
      </c>
      <c r="AQ261" s="240">
        <f>+INPUT!BP160</f>
        <v>0</v>
      </c>
      <c r="AR261" s="75">
        <f>+INPUT!BQ160</f>
        <v>-1.1470203624135997</v>
      </c>
      <c r="AS261" s="240">
        <f>+INPUT!BR160</f>
        <v>0</v>
      </c>
      <c r="AT261" s="75">
        <f>+INPUT!BS160</f>
        <v>-25.616132139884208</v>
      </c>
      <c r="AU261" s="240">
        <f>+INPUT!BT160</f>
        <v>0</v>
      </c>
      <c r="AV261" s="75">
        <f>+INPUT!BU160</f>
        <v>-13.557230024984325</v>
      </c>
      <c r="AW261" s="240">
        <f>+INPUT!BV160</f>
        <v>0</v>
      </c>
      <c r="AX261" s="75">
        <f>+INPUT!BW160</f>
        <v>-15.388317391565904</v>
      </c>
      <c r="AY261" s="240">
        <f>+INPUT!BX160</f>
        <v>0</v>
      </c>
      <c r="AZ261" s="75">
        <f>+INPUT!BY160</f>
        <v>34.080208302743763</v>
      </c>
      <c r="BA261" s="240">
        <f>+INPUT!BZ160</f>
        <v>0</v>
      </c>
      <c r="BB261" s="75">
        <f>+INPUT!CA160</f>
        <v>33.543037404236145</v>
      </c>
      <c r="BC261" s="240">
        <f>+INPUT!CB160</f>
        <v>0</v>
      </c>
      <c r="BD261" s="75">
        <f>+INPUT!CC160</f>
        <v>12.109464831301949</v>
      </c>
      <c r="BE261" s="240">
        <f>+INPUT!CD160</f>
        <v>0</v>
      </c>
      <c r="BF261" s="75">
        <f>+INPUT!CE160</f>
        <v>11.704460010289287</v>
      </c>
      <c r="BG261" s="240">
        <f>+INPUT!CF160</f>
        <v>0</v>
      </c>
      <c r="BH261" s="75">
        <f>+INPUT!CG160</f>
        <v>-19.083928721205975</v>
      </c>
      <c r="BI261" s="240">
        <f>+INPUT!CH160</f>
        <v>0</v>
      </c>
      <c r="BJ261" s="75">
        <f>+INPUT!CI160</f>
        <v>25.512877867961908</v>
      </c>
      <c r="BK261" s="240">
        <f>+INPUT!CJ160</f>
        <v>0</v>
      </c>
      <c r="BL261" s="75">
        <f>+INPUT!CK160</f>
        <v>20.945226546788124</v>
      </c>
      <c r="BM261" s="240">
        <f>+INPUT!CL160</f>
        <v>0</v>
      </c>
      <c r="BN261" s="75">
        <f>+INPUT!CM160</f>
        <v>13.425516406841551</v>
      </c>
      <c r="BO261" s="240">
        <f>+INPUT!CN160</f>
        <v>0</v>
      </c>
      <c r="BP261" s="75">
        <f>+INPUT!CO160</f>
        <v>1.8879686525959567</v>
      </c>
      <c r="BQ261" s="240">
        <f>+INPUT!CP160</f>
        <v>0</v>
      </c>
      <c r="BR261" s="75">
        <f>+INPUT!CQ160</f>
        <v>-33.352435530085963</v>
      </c>
      <c r="BS261" s="240">
        <f>+INPUT!CR160</f>
        <v>0</v>
      </c>
      <c r="BT261" s="75">
        <f>+INPUT!CS160</f>
        <v>21.59793737611589</v>
      </c>
      <c r="BU261" s="240">
        <f>+INPUT!CT160</f>
        <v>0</v>
      </c>
      <c r="BV261" s="75">
        <f>+INPUT!CU160</f>
        <v>25.871046403213082</v>
      </c>
      <c r="BW261" s="240">
        <f>+INPUT!CV160</f>
        <v>0</v>
      </c>
      <c r="BX261" s="75">
        <f>+INPUT!CW160</f>
        <v>-11.721270489276737</v>
      </c>
      <c r="BY261" s="240">
        <f>+INPUT!CX160</f>
        <v>0</v>
      </c>
      <c r="BZ261" s="75">
        <f>+INPUT!CY160</f>
        <v>14.364664162072959</v>
      </c>
      <c r="CA261" s="240">
        <f>+INPUT!CZ160</f>
        <v>0</v>
      </c>
      <c r="CB261" s="75">
        <f>+INPUT!DA160</f>
        <v>5.3193951025630559</v>
      </c>
      <c r="CC261" s="240">
        <f>+INPUT!DB160</f>
        <v>0</v>
      </c>
      <c r="CD261" s="75">
        <f>+INPUT!DC160</f>
        <v>18.791819682625249</v>
      </c>
      <c r="CE261" s="240">
        <f>+INPUT!DD160</f>
        <v>0</v>
      </c>
      <c r="CF261" s="75">
        <f>+INPUT!DE160</f>
        <v>3.2817495843458242</v>
      </c>
      <c r="CG261" s="240">
        <f>+INPUT!DF160</f>
        <v>0</v>
      </c>
      <c r="CH261" s="75">
        <f>+INPUT!DG160</f>
        <v>17.238712295071572</v>
      </c>
      <c r="CI261" s="240">
        <f>+INPUT!DH160</f>
        <v>0</v>
      </c>
      <c r="CJ261" s="75">
        <f>+INPUT!DI160</f>
        <v>19.53992404634624</v>
      </c>
      <c r="CK261" s="240">
        <f>+INPUT!DJ160</f>
        <v>0</v>
      </c>
      <c r="CL261" s="75">
        <f>+INPUT!DK160</f>
        <v>4.7584465885119478</v>
      </c>
      <c r="CM261" s="240">
        <f>+INPUT!DL160</f>
        <v>0</v>
      </c>
      <c r="CN261" s="75">
        <f>+INPUT!DM160</f>
        <v>11.14790906539433</v>
      </c>
      <c r="CO261" s="240" t="str">
        <f>+INPUT!DN160</f>
        <v>NM</v>
      </c>
      <c r="CP261" s="75">
        <f>+INPUT!DO160</f>
        <v>-4.4300764964725712</v>
      </c>
      <c r="CQ261" s="240" t="str">
        <f>+INPUT!DP160</f>
        <v>NM</v>
      </c>
      <c r="CR261" s="75">
        <f>+INPUT!DQ160</f>
        <v>9.6225108704683304</v>
      </c>
      <c r="CS261" s="240" t="str">
        <f>+INPUT!DR160</f>
        <v>NM</v>
      </c>
      <c r="CT261" s="75">
        <f>+INPUT!DS160</f>
        <v>8.3910616951508175</v>
      </c>
      <c r="CU261" s="240">
        <f>+INPUT!DT160</f>
        <v>76.340356859503032</v>
      </c>
      <c r="CV261" s="75">
        <f>+INPUT!DU160</f>
        <v>0.64843604666613519</v>
      </c>
      <c r="CW261" s="240" t="str">
        <f>+INPUT!DV160</f>
        <v>NM</v>
      </c>
      <c r="CX261" s="75">
        <f>+INPUT!DW160</f>
        <v>-18.308643217677311</v>
      </c>
      <c r="CY261" s="240" t="str">
        <f>+INPUT!DX160</f>
        <v>NM</v>
      </c>
      <c r="CZ261" s="75">
        <f>+INPUT!DY160</f>
        <v>11.084193696989404</v>
      </c>
      <c r="DA261" s="240">
        <f>+INPUT!DZ160</f>
        <v>15.190243442665334</v>
      </c>
      <c r="DB261" s="75">
        <f>+INPUT!EA160</f>
        <v>1.3166738109980365</v>
      </c>
      <c r="DC261" s="240" t="str">
        <f>+INPUT!EB160</f>
        <v>NM</v>
      </c>
      <c r="DD261" s="75">
        <f>+INPUT!EC160</f>
        <v>6.0077610720962751</v>
      </c>
      <c r="DE261" s="240" t="str">
        <f>+INPUT!ED160</f>
        <v>NM</v>
      </c>
      <c r="DF261" s="75">
        <f>+INPUT!EE160</f>
        <v>12.529444813846924</v>
      </c>
      <c r="DG261" s="240" t="str">
        <f>+INPUT!EF160</f>
        <v>NM</v>
      </c>
      <c r="DH261" s="75">
        <f>+INPUT!EG160</f>
        <v>4.9342564696023468</v>
      </c>
      <c r="DI261" s="240" t="str">
        <f>+INPUT!EH160</f>
        <v>NM</v>
      </c>
      <c r="DJ261" s="75">
        <f>+INPUT!EI160</f>
        <v>14.895316614234574</v>
      </c>
      <c r="DK261" s="240" t="str">
        <f>+INPUT!EJ160</f>
        <v>NM</v>
      </c>
      <c r="DL261" s="75">
        <f>+INPUT!EK160</f>
        <v>10.163498098859316</v>
      </c>
      <c r="DM261" s="240">
        <f>+INPUT!EL160</f>
        <v>69.172807921154373</v>
      </c>
      <c r="DN261" s="75">
        <f>+INPUT!EM160</f>
        <v>12.389454713106165</v>
      </c>
      <c r="DO261" s="240">
        <f>+INPUT!EN160</f>
        <v>-1.1172889367456236</v>
      </c>
      <c r="DP261" s="75">
        <f>+INPUT!EO160</f>
        <v>13.276585267193697</v>
      </c>
      <c r="DQ261" s="240" t="str">
        <f>+INPUT!EP160</f>
        <v>NM</v>
      </c>
      <c r="DR261" s="75">
        <f>+INPUT!EQ160</f>
        <v>-2.6117872656774486</v>
      </c>
      <c r="DS261" s="240" t="str">
        <f>+INPUT!ER160</f>
        <v>NM</v>
      </c>
      <c r="DT261" s="75">
        <f>+INPUT!ES160</f>
        <v>4.3529787761290812</v>
      </c>
      <c r="DU261" s="240" t="str">
        <f>+INPUT!ET160</f>
        <v>NM</v>
      </c>
      <c r="DV261" s="75">
        <f>+INPUT!EU160</f>
        <v>4.3529787761290812</v>
      </c>
      <c r="DW261" s="240" t="str">
        <f>+INPUT!EV160</f>
        <v>NM</v>
      </c>
      <c r="DX261" s="75">
        <f>+INPUT!EW160</f>
        <v>4.3529787761290812</v>
      </c>
      <c r="DY261" s="240" t="str">
        <f>+INPUT!EX160</f>
        <v>NM</v>
      </c>
      <c r="DZ261" s="75"/>
      <c r="EA261" s="240"/>
      <c r="EB261" s="155">
        <f>+INPUT!FI160</f>
        <v>0</v>
      </c>
      <c r="EC261" s="75">
        <f>+INPUT!FJ160</f>
        <v>0</v>
      </c>
      <c r="ED261" s="155">
        <f>+INPUT!FK160</f>
        <v>0</v>
      </c>
      <c r="EE261" s="75">
        <f>+INPUT!FL160</f>
        <v>0</v>
      </c>
      <c r="EF261" s="155">
        <f>+INPUT!FM160</f>
        <v>0</v>
      </c>
      <c r="EG261" s="75">
        <f>+INPUT!FN160</f>
        <v>16.991279511409559</v>
      </c>
      <c r="EH261" s="155">
        <f>+INPUT!FO160</f>
        <v>0</v>
      </c>
      <c r="EI261" s="75">
        <f>+INPUT!FP160</f>
        <v>6.4440762417899418</v>
      </c>
      <c r="EJ261" s="240">
        <f>+INPUT!FQ160</f>
        <v>0</v>
      </c>
      <c r="EK261" s="75">
        <f>+INPUT!FR160</f>
        <v>10.044690841206087</v>
      </c>
      <c r="EL261" s="240">
        <f>+INPUT!FS160</f>
        <v>0</v>
      </c>
      <c r="EM261" s="75">
        <f>+INPUT!FT160</f>
        <v>14.183516370727704</v>
      </c>
      <c r="EN261" s="240">
        <f>+INPUT!FU160</f>
        <v>0</v>
      </c>
      <c r="EO261" s="75">
        <f>+INPUT!FV160</f>
        <v>-14.567883628066172</v>
      </c>
      <c r="EP261" s="240">
        <f>+INPUT!FW160</f>
        <v>0</v>
      </c>
      <c r="EQ261" s="75">
        <f>+INPUT!FX160</f>
        <v>17.903908239587722</v>
      </c>
      <c r="ER261" s="240">
        <f>+INPUT!FY160</f>
        <v>0</v>
      </c>
      <c r="ES261" s="75">
        <f>+INPUT!FZ160</f>
        <v>9.8982943527642568</v>
      </c>
      <c r="ET261" s="240">
        <f>+INPUT!GA160</f>
        <v>0</v>
      </c>
      <c r="EU261" s="75">
        <f>+INPUT!GB160</f>
        <v>0.32268793387727951</v>
      </c>
      <c r="EV261" s="240">
        <f>+INPUT!GC160</f>
        <v>0</v>
      </c>
      <c r="EW261" s="75">
        <f>+INPUT!GD160</f>
        <v>8.4687656888761378</v>
      </c>
      <c r="EX261" s="240">
        <f>+INPUT!GE160</f>
        <v>0</v>
      </c>
      <c r="EY261" s="75">
        <f>+INPUT!GF160</f>
        <v>15.586402075401773</v>
      </c>
      <c r="EZ261" s="240">
        <f>+INPUT!GG160</f>
        <v>0</v>
      </c>
      <c r="FA261" s="75">
        <f>+INPUT!GH160</f>
        <v>5.3953268550218443</v>
      </c>
      <c r="FB261" s="240" t="str">
        <f>+INPUT!GI160</f>
        <v>NM</v>
      </c>
      <c r="FC261" s="75">
        <f>+INPUT!GJ160</f>
        <v>0.34745597081369844</v>
      </c>
      <c r="FD261" s="240" t="str">
        <f>+INPUT!GK160</f>
        <v>NM</v>
      </c>
      <c r="FE261" s="75">
        <f>+INPUT!GL160</f>
        <v>6.3716851625467683</v>
      </c>
      <c r="FF261" s="240" t="str">
        <f>+INPUT!GM160</f>
        <v>NM</v>
      </c>
      <c r="FG261" s="75">
        <f>+INPUT!GN160</f>
        <v>13.361801165668977</v>
      </c>
      <c r="FH261" s="240" t="str">
        <f>+INPUT!GO160</f>
        <v>NM</v>
      </c>
      <c r="FI261" s="75">
        <f>+INPUT!GP160</f>
        <v>2.6341106433364909</v>
      </c>
      <c r="FJ261" s="240" t="str">
        <f>+INPUT!GQ160</f>
        <v>NM</v>
      </c>
      <c r="FK261" s="75">
        <f>+INPUT!GR160</f>
        <v>4</v>
      </c>
      <c r="FL261" s="240">
        <f>+INPUT!GS160</f>
        <v>51.853909786166298</v>
      </c>
      <c r="FM261" s="75">
        <f>+INPUT!GT160</f>
        <v>4</v>
      </c>
      <c r="FN261" s="240">
        <f>+INPUT!GU160</f>
        <v>0</v>
      </c>
      <c r="FO261" s="75">
        <f>+INPUT!GV160</f>
        <v>4</v>
      </c>
      <c r="FP261" s="240">
        <f>+INPUT!GW160</f>
        <v>0</v>
      </c>
      <c r="FQ261" s="75">
        <f>+INPUT!GX160</f>
        <v>4</v>
      </c>
      <c r="FR261" s="240">
        <f>+INPUT!GY160</f>
        <v>0</v>
      </c>
      <c r="FS261" s="240">
        <f>+INPUT!GZ160</f>
        <v>0</v>
      </c>
    </row>
    <row r="262" spans="1:175" ht="12.75" hidden="1" customHeight="1" outlineLevel="1" x14ac:dyDescent="0.2">
      <c r="A262" s="246"/>
      <c r="B262" s="75"/>
      <c r="C262" s="155"/>
      <c r="D262" s="75"/>
      <c r="E262" s="155"/>
      <c r="F262" s="75"/>
      <c r="G262" s="155"/>
      <c r="H262" s="75"/>
      <c r="I262" s="155"/>
      <c r="J262" s="75"/>
      <c r="K262" s="155"/>
      <c r="L262" s="75"/>
      <c r="M262" s="155"/>
      <c r="N262" s="75"/>
      <c r="O262" s="155"/>
      <c r="P262" s="75"/>
      <c r="Q262" s="155"/>
      <c r="R262" s="75"/>
      <c r="S262" s="155"/>
      <c r="T262" s="75"/>
      <c r="U262" s="155"/>
      <c r="V262" s="75"/>
      <c r="W262" s="155"/>
      <c r="X262" s="75"/>
      <c r="Y262" s="155"/>
      <c r="Z262" s="75"/>
      <c r="AA262" s="155"/>
      <c r="AB262" s="75"/>
      <c r="AC262" s="155"/>
      <c r="AD262" s="75"/>
      <c r="AE262" s="155"/>
      <c r="AF262" s="75"/>
      <c r="AG262" s="155"/>
      <c r="AH262" s="75"/>
      <c r="AI262" s="240"/>
      <c r="AJ262" s="75"/>
      <c r="AK262" s="240"/>
      <c r="AL262" s="75"/>
      <c r="AM262" s="240"/>
      <c r="AN262" s="75"/>
      <c r="AO262" s="240"/>
      <c r="AP262" s="75"/>
      <c r="AQ262" s="240"/>
      <c r="AR262" s="75"/>
      <c r="AS262" s="240"/>
      <c r="AT262" s="75"/>
      <c r="AU262" s="240"/>
      <c r="AV262" s="75"/>
      <c r="AW262" s="240"/>
      <c r="AX262" s="75"/>
      <c r="AY262" s="240"/>
      <c r="AZ262" s="75"/>
      <c r="BA262" s="240"/>
      <c r="BB262" s="75"/>
      <c r="BC262" s="240"/>
      <c r="BD262" s="75"/>
      <c r="BE262" s="240"/>
      <c r="BF262" s="75"/>
      <c r="BG262" s="240"/>
      <c r="BH262" s="75"/>
      <c r="BI262" s="240"/>
      <c r="BJ262" s="75"/>
      <c r="BK262" s="240"/>
      <c r="BL262" s="75"/>
      <c r="BM262" s="240"/>
      <c r="BN262" s="75"/>
      <c r="BO262" s="240"/>
      <c r="BP262" s="75"/>
      <c r="BQ262" s="240"/>
      <c r="BR262" s="75"/>
      <c r="BS262" s="240"/>
      <c r="BT262" s="75"/>
      <c r="BU262" s="240"/>
      <c r="BV262" s="75"/>
      <c r="BW262" s="240"/>
      <c r="BX262" s="75"/>
      <c r="BY262" s="240"/>
      <c r="BZ262" s="75"/>
      <c r="CA262" s="240"/>
      <c r="CB262" s="75"/>
      <c r="CC262" s="240"/>
      <c r="CD262" s="75"/>
      <c r="CE262" s="240"/>
      <c r="CF262" s="75"/>
      <c r="CG262" s="240"/>
      <c r="CH262" s="75"/>
      <c r="CI262" s="240"/>
      <c r="CJ262" s="75"/>
      <c r="CK262" s="240"/>
      <c r="CL262" s="75"/>
      <c r="CM262" s="240"/>
      <c r="CN262" s="75"/>
      <c r="CO262" s="240"/>
      <c r="CP262" s="75"/>
      <c r="CQ262" s="240"/>
      <c r="CR262" s="75"/>
      <c r="CS262" s="240"/>
      <c r="CT262" s="75"/>
      <c r="CU262" s="240"/>
      <c r="CV262" s="75"/>
      <c r="CW262" s="240"/>
      <c r="CX262" s="75"/>
      <c r="CY262" s="240"/>
      <c r="CZ262" s="75"/>
      <c r="DA262" s="240"/>
      <c r="DB262" s="75"/>
      <c r="DC262" s="240"/>
      <c r="DD262" s="75"/>
      <c r="DE262" s="240"/>
      <c r="DF262" s="75"/>
      <c r="DG262" s="240"/>
      <c r="DH262" s="75"/>
      <c r="DI262" s="240"/>
      <c r="DJ262" s="75"/>
      <c r="DK262" s="240"/>
      <c r="DL262" s="75"/>
      <c r="DM262" s="240"/>
      <c r="DN262" s="75"/>
      <c r="DO262" s="240"/>
      <c r="DP262" s="75"/>
      <c r="DQ262" s="240"/>
      <c r="DR262" s="75"/>
      <c r="DS262" s="240"/>
      <c r="DT262" s="75"/>
      <c r="DU262" s="240"/>
      <c r="DV262" s="75"/>
      <c r="DW262" s="240"/>
      <c r="DX262" s="75"/>
      <c r="DY262" s="240"/>
      <c r="DZ262" s="75"/>
      <c r="EA262" s="240"/>
      <c r="EB262" s="155"/>
      <c r="EC262" s="75"/>
      <c r="ED262" s="155"/>
      <c r="EE262" s="75"/>
      <c r="EF262" s="155"/>
      <c r="EG262" s="75"/>
      <c r="EH262" s="155"/>
      <c r="EI262" s="75"/>
      <c r="EJ262" s="240"/>
      <c r="EK262" s="75"/>
      <c r="EL262" s="240"/>
      <c r="EM262" s="75"/>
      <c r="EN262" s="240"/>
      <c r="EO262" s="75"/>
      <c r="EP262" s="240"/>
      <c r="EQ262" s="75"/>
      <c r="ER262" s="240"/>
      <c r="ES262" s="75"/>
      <c r="ET262" s="240"/>
      <c r="EU262" s="75"/>
      <c r="EV262" s="240"/>
      <c r="EW262" s="75"/>
      <c r="EX262" s="240"/>
      <c r="EY262" s="75"/>
      <c r="EZ262" s="240"/>
      <c r="FA262" s="75"/>
      <c r="FB262" s="240"/>
      <c r="FC262" s="75"/>
      <c r="FD262" s="240"/>
      <c r="FE262" s="75"/>
      <c r="FF262" s="240"/>
      <c r="FG262" s="75"/>
      <c r="FH262" s="240"/>
      <c r="FI262" s="75"/>
      <c r="FJ262" s="240"/>
      <c r="FK262" s="75"/>
      <c r="FL262" s="240"/>
      <c r="FM262" s="75"/>
      <c r="FN262" s="240"/>
      <c r="FO262" s="75"/>
      <c r="FP262" s="240"/>
      <c r="FQ262" s="75"/>
      <c r="FR262" s="240"/>
      <c r="FS262" s="240"/>
    </row>
    <row r="263" spans="1:175" ht="12.75" hidden="1" customHeight="1" outlineLevel="1" x14ac:dyDescent="0.2">
      <c r="A263" s="514" t="str">
        <f>+INPUT!B163</f>
        <v>Institutional Investment Products</v>
      </c>
      <c r="B263" s="75"/>
      <c r="C263" s="155"/>
      <c r="D263" s="75"/>
      <c r="E263" s="155"/>
      <c r="F263" s="75"/>
      <c r="G263" s="155"/>
      <c r="H263" s="75"/>
      <c r="I263" s="155"/>
      <c r="J263" s="75"/>
      <c r="K263" s="155"/>
      <c r="L263" s="75"/>
      <c r="M263" s="155"/>
      <c r="N263" s="75"/>
      <c r="O263" s="155"/>
      <c r="P263" s="75"/>
      <c r="Q263" s="155"/>
      <c r="R263" s="75"/>
      <c r="S263" s="155"/>
      <c r="T263" s="75"/>
      <c r="U263" s="155"/>
      <c r="V263" s="75"/>
      <c r="W263" s="155"/>
      <c r="X263" s="75"/>
      <c r="Y263" s="155"/>
      <c r="Z263" s="75"/>
      <c r="AA263" s="155"/>
      <c r="AB263" s="75"/>
      <c r="AC263" s="155"/>
      <c r="AD263" s="75"/>
      <c r="AE263" s="155"/>
      <c r="AF263" s="75"/>
      <c r="AG263" s="155"/>
      <c r="AH263" s="75"/>
      <c r="AI263" s="240"/>
      <c r="AJ263" s="75"/>
      <c r="AK263" s="240"/>
      <c r="AL263" s="75"/>
      <c r="AM263" s="240"/>
      <c r="AN263" s="75"/>
      <c r="AO263" s="240"/>
      <c r="AP263" s="75"/>
      <c r="AQ263" s="240"/>
      <c r="AR263" s="75"/>
      <c r="AS263" s="240"/>
      <c r="AT263" s="75"/>
      <c r="AU263" s="240"/>
      <c r="AV263" s="75"/>
      <c r="AW263" s="240"/>
      <c r="AX263" s="75"/>
      <c r="AY263" s="240"/>
      <c r="AZ263" s="75"/>
      <c r="BA263" s="240"/>
      <c r="BB263" s="75"/>
      <c r="BC263" s="240"/>
      <c r="BD263" s="75"/>
      <c r="BE263" s="240"/>
      <c r="BF263" s="75"/>
      <c r="BG263" s="240"/>
      <c r="BH263" s="75"/>
      <c r="BI263" s="240"/>
      <c r="BJ263" s="75"/>
      <c r="BK263" s="240"/>
      <c r="BL263" s="75"/>
      <c r="BM263" s="240"/>
      <c r="BN263" s="75"/>
      <c r="BO263" s="240"/>
      <c r="BP263" s="75"/>
      <c r="BQ263" s="240"/>
      <c r="BR263" s="75"/>
      <c r="BS263" s="240"/>
      <c r="BT263" s="75"/>
      <c r="BU263" s="240"/>
      <c r="BV263" s="75"/>
      <c r="BW263" s="240"/>
      <c r="BX263" s="75"/>
      <c r="BY263" s="240"/>
      <c r="BZ263" s="75"/>
      <c r="CA263" s="240"/>
      <c r="CB263" s="75"/>
      <c r="CC263" s="240"/>
      <c r="CD263" s="75"/>
      <c r="CE263" s="240"/>
      <c r="CF263" s="75"/>
      <c r="CG263" s="240"/>
      <c r="CH263" s="75"/>
      <c r="CI263" s="240"/>
      <c r="CJ263" s="75"/>
      <c r="CK263" s="240"/>
      <c r="CL263" s="75"/>
      <c r="CM263" s="240"/>
      <c r="CN263" s="75"/>
      <c r="CO263" s="240"/>
      <c r="CP263" s="75"/>
      <c r="CQ263" s="240"/>
      <c r="CR263" s="75"/>
      <c r="CS263" s="240"/>
      <c r="CT263" s="75"/>
      <c r="CU263" s="240"/>
      <c r="CV263" s="75"/>
      <c r="CW263" s="240"/>
      <c r="CX263" s="75"/>
      <c r="CY263" s="240"/>
      <c r="CZ263" s="75"/>
      <c r="DA263" s="240"/>
      <c r="DB263" s="75"/>
      <c r="DC263" s="240"/>
      <c r="DD263" s="75"/>
      <c r="DE263" s="240"/>
      <c r="DF263" s="75"/>
      <c r="DG263" s="240"/>
      <c r="DH263" s="75"/>
      <c r="DI263" s="240"/>
      <c r="DJ263" s="75"/>
      <c r="DK263" s="240"/>
      <c r="DL263" s="75"/>
      <c r="DM263" s="240"/>
      <c r="DN263" s="75"/>
      <c r="DO263" s="240"/>
      <c r="DP263" s="75"/>
      <c r="DQ263" s="240"/>
      <c r="DR263" s="75"/>
      <c r="DS263" s="240"/>
      <c r="DT263" s="75"/>
      <c r="DU263" s="240"/>
      <c r="DV263" s="75"/>
      <c r="DW263" s="240"/>
      <c r="DX263" s="75"/>
      <c r="DY263" s="240"/>
      <c r="DZ263" s="75"/>
      <c r="EA263" s="240"/>
      <c r="EB263" s="155"/>
      <c r="EC263" s="75"/>
      <c r="ED263" s="155"/>
      <c r="EE263" s="75"/>
      <c r="EF263" s="155"/>
      <c r="EG263" s="75"/>
      <c r="EH263" s="155"/>
      <c r="EI263" s="75"/>
      <c r="EJ263" s="240"/>
      <c r="EK263" s="75"/>
      <c r="EL263" s="240"/>
      <c r="EM263" s="75"/>
      <c r="EN263" s="240"/>
      <c r="EO263" s="75"/>
      <c r="EP263" s="240"/>
      <c r="EQ263" s="75"/>
      <c r="ER263" s="240"/>
      <c r="ES263" s="75"/>
      <c r="ET263" s="240"/>
      <c r="EU263" s="75"/>
      <c r="EV263" s="240"/>
      <c r="EW263" s="75"/>
      <c r="EX263" s="240"/>
      <c r="EY263" s="75"/>
      <c r="EZ263" s="240"/>
      <c r="FA263" s="75"/>
      <c r="FB263" s="240"/>
      <c r="FC263" s="75"/>
      <c r="FD263" s="240"/>
      <c r="FE263" s="75"/>
      <c r="FF263" s="240"/>
      <c r="FG263" s="75"/>
      <c r="FH263" s="240"/>
      <c r="FI263" s="75"/>
      <c r="FJ263" s="240"/>
      <c r="FK263" s="75"/>
      <c r="FL263" s="240"/>
      <c r="FM263" s="75"/>
      <c r="FN263" s="240"/>
      <c r="FO263" s="75"/>
      <c r="FP263" s="240"/>
      <c r="FQ263" s="75"/>
      <c r="FR263" s="240"/>
      <c r="FS263" s="240"/>
    </row>
    <row r="264" spans="1:175" ht="12.75" hidden="1" customHeight="1" outlineLevel="1" x14ac:dyDescent="0.2">
      <c r="A264" s="246" t="str">
        <f>+INPUT!B164</f>
        <v>Beginning Assets</v>
      </c>
      <c r="B264" s="75"/>
      <c r="C264" s="155"/>
      <c r="D264" s="75"/>
      <c r="E264" s="155"/>
      <c r="F264" s="75"/>
      <c r="G264" s="155"/>
      <c r="H264" s="75"/>
      <c r="I264" s="155"/>
      <c r="J264" s="75">
        <f>+INPUT!AI164</f>
        <v>39296</v>
      </c>
      <c r="K264" s="155" t="str">
        <f>+INPUT!AJ164</f>
        <v>NA</v>
      </c>
      <c r="L264" s="75">
        <f>+INPUT!AK164</f>
        <v>39510</v>
      </c>
      <c r="M264" s="155" t="str">
        <f>+INPUT!AL164</f>
        <v>NA</v>
      </c>
      <c r="N264" s="75">
        <f>+INPUT!AM164</f>
        <v>45685</v>
      </c>
      <c r="O264" s="155" t="str">
        <f>+INPUT!AN164</f>
        <v>NA</v>
      </c>
      <c r="P264" s="75">
        <f>+INPUT!AO164</f>
        <v>45856</v>
      </c>
      <c r="Q264" s="155" t="str">
        <f>+INPUT!AP164</f>
        <v>NA</v>
      </c>
      <c r="R264" s="75">
        <f>+INPUT!AQ164</f>
        <v>47680</v>
      </c>
      <c r="S264" s="155">
        <f>+INPUT!AR164</f>
        <v>21.335504885993501</v>
      </c>
      <c r="T264" s="75">
        <f>+INPUT!AS164</f>
        <v>47698</v>
      </c>
      <c r="U264" s="155">
        <f>+INPUT!AT164</f>
        <v>20.723867375348021</v>
      </c>
      <c r="V264" s="75">
        <f>+INPUT!AU164</f>
        <v>48612</v>
      </c>
      <c r="W264" s="155">
        <f>+INPUT!AV164</f>
        <v>6.4069169311590173</v>
      </c>
      <c r="X264" s="75">
        <f>+INPUT!AW164</f>
        <v>48917</v>
      </c>
      <c r="Y264" s="155">
        <f>+INPUT!AX164</f>
        <v>6.6752442428471852</v>
      </c>
      <c r="Z264" s="75">
        <f>+INPUT!AY164</f>
        <v>48080</v>
      </c>
      <c r="AA264" s="155">
        <f>+INPUT!AZ164</f>
        <v>0.83892617449663476</v>
      </c>
      <c r="AB264" s="75">
        <f>+INPUT!BA164</f>
        <v>47215</v>
      </c>
      <c r="AC264" s="155">
        <f>+INPUT!BB164</f>
        <v>-1.0126210742588739</v>
      </c>
      <c r="AD264" s="75">
        <f>+INPUT!BC164</f>
        <v>46913</v>
      </c>
      <c r="AE264" s="155">
        <f>+INPUT!BD164</f>
        <v>-3.4950218053155595</v>
      </c>
      <c r="AF264" s="75">
        <f>+INPUT!BE164</f>
        <v>49468</v>
      </c>
      <c r="AG264" s="155">
        <f>+INPUT!BF164</f>
        <v>1.1263977758243442</v>
      </c>
      <c r="AH264" s="75">
        <f>+INPUT!BG164</f>
        <v>50269</v>
      </c>
      <c r="AI264" s="240">
        <f>+INPUT!BH164</f>
        <v>4.5528286189683911</v>
      </c>
      <c r="AJ264" s="75">
        <f>+INPUT!BI164</f>
        <v>50661</v>
      </c>
      <c r="AK264" s="240">
        <f>+INPUT!BJ164</f>
        <v>7.2985280101662653</v>
      </c>
      <c r="AL264" s="75">
        <f>+INPUT!BK164</f>
        <v>50926</v>
      </c>
      <c r="AM264" s="240">
        <f>+INPUT!BL164</f>
        <v>8.554132116897236</v>
      </c>
      <c r="AN264" s="75">
        <f>+INPUT!BM164</f>
        <v>51627</v>
      </c>
      <c r="AO264" s="240">
        <f>+INPUT!BN164</f>
        <v>4.3644376162367564</v>
      </c>
      <c r="AP264" s="75">
        <f>+INPUT!BO164</f>
        <v>51591</v>
      </c>
      <c r="AQ264" s="240">
        <f>+INPUT!BP164</f>
        <v>2.6298513994708514</v>
      </c>
      <c r="AR264" s="75">
        <f>+INPUT!BQ164</f>
        <v>51667</v>
      </c>
      <c r="AS264" s="240">
        <f>+INPUT!BR164</f>
        <v>1.9857484060717354</v>
      </c>
      <c r="AT264" s="75">
        <f>+INPUT!BS164</f>
        <v>51513</v>
      </c>
      <c r="AU264" s="240">
        <f>+INPUT!BT164</f>
        <v>1.1526528688685573</v>
      </c>
      <c r="AV264" s="75">
        <f>+INPUT!BU164</f>
        <v>50041</v>
      </c>
      <c r="AW264" s="240">
        <f>+INPUT!BV164</f>
        <v>-3.0720359501811032</v>
      </c>
      <c r="AX264" s="75">
        <f>+INPUT!BW164</f>
        <v>50491</v>
      </c>
      <c r="AY264" s="240">
        <f>+INPUT!BX164</f>
        <v>-2.1321548332073519</v>
      </c>
      <c r="AZ264" s="75">
        <f>+INPUT!BY164</f>
        <v>49030</v>
      </c>
      <c r="BA264" s="240">
        <f>+INPUT!BZ164</f>
        <v>-5.1038380397545779</v>
      </c>
      <c r="BB264" s="75">
        <f>+INPUT!CA164</f>
        <v>49475</v>
      </c>
      <c r="BC264" s="240">
        <f>+INPUT!CB164</f>
        <v>-3.9562828800496987</v>
      </c>
      <c r="BD264" s="75">
        <f>+INPUT!CC164</f>
        <v>50137</v>
      </c>
      <c r="BE264" s="240">
        <f>+INPUT!CD164</f>
        <v>0.19184268899500978</v>
      </c>
      <c r="BF264" s="75">
        <f>+INPUT!CE164</f>
        <v>51908</v>
      </c>
      <c r="BG264" s="240">
        <f>+INPUT!CF164</f>
        <v>2.8064407518171492</v>
      </c>
      <c r="BH264" s="75">
        <f>+INPUT!CG164</f>
        <v>52768</v>
      </c>
      <c r="BI264" s="240">
        <f>+INPUT!CH164</f>
        <v>7.6239037324087349</v>
      </c>
      <c r="BJ264" s="75">
        <f>+INPUT!CI164</f>
        <v>55965</v>
      </c>
      <c r="BK264" s="240">
        <f>+INPUT!CJ164</f>
        <v>13.117736230419411</v>
      </c>
      <c r="BL264" s="75">
        <f>+INPUT!CK164</f>
        <v>59062</v>
      </c>
      <c r="BM264" s="240">
        <f>+INPUT!CL164</f>
        <v>17.801224644474132</v>
      </c>
      <c r="BN264" s="75">
        <f>+INPUT!CM164</f>
        <v>64183</v>
      </c>
      <c r="BO264" s="240">
        <f>+INPUT!CN164</f>
        <v>23.647607305232341</v>
      </c>
      <c r="BP264" s="75">
        <f>+INPUT!CO164</f>
        <v>68892</v>
      </c>
      <c r="BQ264" s="240">
        <f>+INPUT!CP164</f>
        <v>30.556397816858691</v>
      </c>
      <c r="BR264" s="75">
        <f>+INPUT!CQ164</f>
        <v>74131</v>
      </c>
      <c r="BS264" s="240">
        <f>+INPUT!CR164</f>
        <v>32.459572947377836</v>
      </c>
      <c r="BT264" s="75">
        <f>+INPUT!CS164</f>
        <v>80513</v>
      </c>
      <c r="BU264" s="240">
        <f>+INPUT!CT164</f>
        <v>36.319460905489137</v>
      </c>
      <c r="BV264" s="75">
        <f>+INPUT!CU164</f>
        <v>90089</v>
      </c>
      <c r="BW264" s="240">
        <f>+INPUT!CV164</f>
        <v>40.362712867893379</v>
      </c>
      <c r="BX264" s="75">
        <f>+INPUT!CW164</f>
        <v>93853</v>
      </c>
      <c r="BY264" s="240">
        <f>+INPUT!CX164</f>
        <v>36.232073390234007</v>
      </c>
      <c r="BZ264" s="75">
        <f>+INPUT!CY164</f>
        <v>102443</v>
      </c>
      <c r="CA264" s="240">
        <f>+INPUT!CZ164</f>
        <v>38.191849563610361</v>
      </c>
      <c r="CB264" s="75">
        <f>+INPUT!DA164</f>
        <v>104646</v>
      </c>
      <c r="CC264" s="240">
        <f>+INPUT!DB164</f>
        <v>29.974041459143251</v>
      </c>
      <c r="CD264" s="75">
        <f>+INPUT!DC164</f>
        <v>141435</v>
      </c>
      <c r="CE264" s="240">
        <f>+INPUT!DD164</f>
        <v>56.994749636470601</v>
      </c>
      <c r="CF264" s="75">
        <f>+INPUT!DE164</f>
        <v>143011</v>
      </c>
      <c r="CG264" s="240">
        <f>+INPUT!DF164</f>
        <v>52.377654417013844</v>
      </c>
      <c r="CH264" s="75">
        <f>+INPUT!DG164</f>
        <v>144101</v>
      </c>
      <c r="CI264" s="240">
        <f>+INPUT!DH164</f>
        <v>40.664564684751525</v>
      </c>
      <c r="CJ264" s="75">
        <f>+INPUT!DI164</f>
        <v>147100</v>
      </c>
      <c r="CK264" s="240">
        <f>+INPUT!DJ164</f>
        <v>40.569156967299278</v>
      </c>
      <c r="CL264" s="75">
        <f>+INPUT!DK164</f>
        <v>149402</v>
      </c>
      <c r="CM264" s="240">
        <f>+INPUT!DL164</f>
        <v>5.6329762788560203</v>
      </c>
      <c r="CN264" s="75">
        <f>+INPUT!DM164</f>
        <v>149661</v>
      </c>
      <c r="CO264" s="240">
        <f>+INPUT!DN164</f>
        <v>4.6499919586605216</v>
      </c>
      <c r="CP264" s="75">
        <f>+INPUT!DO164</f>
        <v>148971</v>
      </c>
      <c r="CQ264" s="240">
        <f>+INPUT!DP164</f>
        <v>3.3795740487574619</v>
      </c>
      <c r="CR264" s="75">
        <f>+INPUT!DQ164</f>
        <v>175526</v>
      </c>
      <c r="CS264" s="240">
        <f>+INPUT!DR164</f>
        <v>19.324269204622709</v>
      </c>
      <c r="CT264" s="75">
        <f>+INPUT!DS164</f>
        <v>179641</v>
      </c>
      <c r="CU264" s="240">
        <f>+INPUT!DT164</f>
        <v>20.240023560594906</v>
      </c>
      <c r="CV264" s="75">
        <f>+INPUT!DU164</f>
        <v>177120</v>
      </c>
      <c r="CW264" s="240">
        <f>+INPUT!DV164</f>
        <v>18.347465271513627</v>
      </c>
      <c r="CX264" s="75">
        <f>+INPUT!DW164</f>
        <v>183798</v>
      </c>
      <c r="CY264" s="240">
        <f>+INPUT!DX164</f>
        <v>23.378375657007069</v>
      </c>
      <c r="CZ264" s="75">
        <f>+INPUT!DY164</f>
        <v>181662</v>
      </c>
      <c r="DA264" s="240">
        <f>+INPUT!DZ164</f>
        <v>3.4957784031995232</v>
      </c>
      <c r="DB264" s="75">
        <f>+INPUT!EA164</f>
        <v>179964</v>
      </c>
      <c r="DC264" s="240">
        <f>+INPUT!EB164</f>
        <v>0.17980305164189758</v>
      </c>
      <c r="DD264" s="75">
        <f>+INPUT!EC164</f>
        <v>180819</v>
      </c>
      <c r="DE264" s="240">
        <f>+INPUT!ED164</f>
        <v>2.0884146341463463</v>
      </c>
      <c r="DF264" s="75">
        <f>+INPUT!EE164</f>
        <v>180882</v>
      </c>
      <c r="DG264" s="240">
        <f>+INPUT!EF164</f>
        <v>-1.5865243364998491</v>
      </c>
      <c r="DH264" s="75">
        <f>+INPUT!EG164</f>
        <v>186224</v>
      </c>
      <c r="DI264" s="240">
        <f>+INPUT!EH164</f>
        <v>2.5112571699089443</v>
      </c>
      <c r="DJ264" s="75">
        <f>+INPUT!EI164</f>
        <v>183376</v>
      </c>
      <c r="DK264" s="240">
        <f>+INPUT!EJ164</f>
        <v>1.8959347425040391</v>
      </c>
      <c r="DL264" s="75">
        <f>+INPUT!EK164</f>
        <v>185115</v>
      </c>
      <c r="DM264" s="240">
        <f>+INPUT!EL164</f>
        <v>2.3758565195029462</v>
      </c>
      <c r="DN264" s="75">
        <f>+INPUT!EM164</f>
        <v>186610</v>
      </c>
      <c r="DO264" s="240">
        <f>+INPUT!EN164</f>
        <v>3.1667053659291753</v>
      </c>
      <c r="DP264" s="75">
        <f>+INPUT!EO164</f>
        <v>188399</v>
      </c>
      <c r="DQ264" s="240">
        <f>+INPUT!EP164</f>
        <v>1.1679482773434131</v>
      </c>
      <c r="DR264" s="75">
        <f>+INPUT!EQ164</f>
        <v>194492</v>
      </c>
      <c r="DS264" s="240">
        <f>+INPUT!ER164</f>
        <v>6.0618619666695821</v>
      </c>
      <c r="DT264" s="75">
        <f>+INPUT!ES164</f>
        <v>194278.0588</v>
      </c>
      <c r="DU264" s="240">
        <f>+INPUT!ET164</f>
        <v>4.9499277746265733</v>
      </c>
      <c r="DV264" s="75">
        <f>+INPUT!EU164</f>
        <v>195929.4222998</v>
      </c>
      <c r="DW264" s="240">
        <f>+INPUT!EV164</f>
        <v>4.9940637156636853</v>
      </c>
      <c r="DX264" s="75">
        <f>+INPUT!EW164</f>
        <v>197594.82238934829</v>
      </c>
      <c r="DY264" s="240">
        <f>+INPUT!EX164</f>
        <v>4.8810356686332312</v>
      </c>
      <c r="DZ264" s="75"/>
      <c r="EA264" s="240"/>
      <c r="EB264" s="155">
        <f>+INPUT!FI164</f>
        <v>-0.43106545010417108</v>
      </c>
      <c r="EC264" s="75">
        <f>+INPUT!FJ164</f>
        <v>41577</v>
      </c>
      <c r="ED264" s="155">
        <f>+INPUT!FK164</f>
        <v>0</v>
      </c>
      <c r="EE264" s="75">
        <f>+INPUT!FL164</f>
        <v>41577</v>
      </c>
      <c r="EF264" s="155">
        <f>+INPUT!FM164</f>
        <v>0</v>
      </c>
      <c r="EG264" s="75">
        <f>+INPUT!FN164</f>
        <v>39296</v>
      </c>
      <c r="EH264" s="155">
        <f>+INPUT!FO164</f>
        <v>-5.4862063159920211</v>
      </c>
      <c r="EI264" s="75">
        <f>+INPUT!FP164</f>
        <v>47680</v>
      </c>
      <c r="EJ264" s="240">
        <f>+INPUT!FQ164</f>
        <v>21.335504885993501</v>
      </c>
      <c r="EK264" s="75">
        <f>+INPUT!FR164</f>
        <v>48080</v>
      </c>
      <c r="EL264" s="240">
        <f>+INPUT!FS164</f>
        <v>0.83892617449663476</v>
      </c>
      <c r="EM264" s="75">
        <f>+INPUT!FT164</f>
        <v>50269</v>
      </c>
      <c r="EN264" s="240">
        <f>+INPUT!FU164</f>
        <v>4.5528286189683911</v>
      </c>
      <c r="EO264" s="75">
        <f>+INPUT!FV164</f>
        <v>51591</v>
      </c>
      <c r="EP264" s="240">
        <f>+INPUT!FW164</f>
        <v>2.6298513994708514</v>
      </c>
      <c r="EQ264" s="75">
        <f>+INPUT!FX164</f>
        <v>50491</v>
      </c>
      <c r="ER264" s="240">
        <f>+INPUT!FY164</f>
        <v>-2.1321548332073519</v>
      </c>
      <c r="ES264" s="75">
        <f>+INPUT!FZ164</f>
        <v>51908</v>
      </c>
      <c r="ET264" s="240">
        <f>+INPUT!GA164</f>
        <v>2.8064407518171492</v>
      </c>
      <c r="EU264" s="75">
        <f>+INPUT!GB164</f>
        <v>64183</v>
      </c>
      <c r="EV264" s="240">
        <f>+INPUT!GC164</f>
        <v>23.647607305232341</v>
      </c>
      <c r="EW264" s="75">
        <f>+INPUT!GD164</f>
        <v>90089</v>
      </c>
      <c r="EX264" s="240">
        <f>+INPUT!GE164</f>
        <v>40.362712867893379</v>
      </c>
      <c r="EY264" s="75">
        <f>+INPUT!GF164</f>
        <v>141435</v>
      </c>
      <c r="EZ264" s="240">
        <f>+INPUT!GG164</f>
        <v>56.994749636470601</v>
      </c>
      <c r="FA264" s="75">
        <f>+INPUT!GH164</f>
        <v>149402</v>
      </c>
      <c r="FB264" s="240">
        <f>+INPUT!GI164</f>
        <v>5.6329762788560203</v>
      </c>
      <c r="FC264" s="75">
        <f>+INPUT!GJ164</f>
        <v>179641</v>
      </c>
      <c r="FD264" s="240">
        <f>+INPUT!GK164</f>
        <v>20.240023560594906</v>
      </c>
      <c r="FE264" s="75">
        <f>+INPUT!GL164</f>
        <v>179964</v>
      </c>
      <c r="FF264" s="240">
        <f>+INPUT!GM164</f>
        <v>0.17980305164189758</v>
      </c>
      <c r="FG264" s="75">
        <f>+INPUT!GN164</f>
        <v>183376</v>
      </c>
      <c r="FH264" s="240">
        <f>+INPUT!GO164</f>
        <v>1.8959347425040391</v>
      </c>
      <c r="FI264" s="75">
        <f>+INPUT!GP164</f>
        <v>194492</v>
      </c>
      <c r="FJ264" s="240">
        <f>+INPUT!GQ164</f>
        <v>6.0618619666695821</v>
      </c>
      <c r="FK264" s="75">
        <f>+INPUT!GR164</f>
        <v>199274.37837965778</v>
      </c>
      <c r="FL264" s="240">
        <f>+INPUT!GS164</f>
        <v>2.4589075024462659</v>
      </c>
      <c r="FM264" s="75">
        <f>+INPUT!GT164</f>
        <v>206049.70724456615</v>
      </c>
      <c r="FN264" s="240">
        <f>+INPUT!GU164</f>
        <v>3.4000000000000057</v>
      </c>
      <c r="FO264" s="75">
        <f>+INPUT!GV164</f>
        <v>213055.39729088137</v>
      </c>
      <c r="FP264" s="240">
        <f>+INPUT!GW164</f>
        <v>3.3999999999999773</v>
      </c>
      <c r="FQ264" s="75">
        <f>+INPUT!GX164</f>
        <v>220299.28079877136</v>
      </c>
      <c r="FR264" s="240">
        <f>+INPUT!GY164</f>
        <v>3.4000000000000057</v>
      </c>
      <c r="FS264" s="240">
        <f>+INPUT!GZ164</f>
        <v>3.7371033027812306</v>
      </c>
    </row>
    <row r="265" spans="1:175" ht="12.75" hidden="1" customHeight="1" outlineLevel="1" x14ac:dyDescent="0.2">
      <c r="A265" s="246" t="str">
        <f>+INPUT!B165</f>
        <v xml:space="preserve">  Deposits</v>
      </c>
      <c r="B265" s="75"/>
      <c r="C265" s="155"/>
      <c r="D265" s="75"/>
      <c r="E265" s="155"/>
      <c r="F265" s="75"/>
      <c r="G265" s="155"/>
      <c r="H265" s="75"/>
      <c r="I265" s="155"/>
      <c r="J265" s="75">
        <f>+INPUT!AI165</f>
        <v>328</v>
      </c>
      <c r="K265" s="155" t="str">
        <f>+INPUT!AJ165</f>
        <v>NA</v>
      </c>
      <c r="L265" s="75">
        <f>+INPUT!AK165</f>
        <v>706</v>
      </c>
      <c r="M265" s="155" t="str">
        <f>+INPUT!AL165</f>
        <v>NA</v>
      </c>
      <c r="N265" s="75">
        <f>+INPUT!AM165</f>
        <v>403</v>
      </c>
      <c r="O265" s="155" t="str">
        <f>+INPUT!AN165</f>
        <v>NA</v>
      </c>
      <c r="P265" s="75">
        <f>+INPUT!AO165</f>
        <v>1514</v>
      </c>
      <c r="Q265" s="155" t="str">
        <f>+INPUT!AP165</f>
        <v>NA</v>
      </c>
      <c r="R265" s="75">
        <f>+INPUT!AQ165</f>
        <v>1243</v>
      </c>
      <c r="S265" s="155" t="str">
        <f>+INPUT!AR165</f>
        <v>NM</v>
      </c>
      <c r="T265" s="75">
        <f>+INPUT!AS165</f>
        <v>1235</v>
      </c>
      <c r="U265" s="155">
        <f>+INPUT!AT165</f>
        <v>74.929178470254953</v>
      </c>
      <c r="V265" s="75">
        <f>+INPUT!AU165</f>
        <v>802</v>
      </c>
      <c r="W265" s="155">
        <f>+INPUT!AV165</f>
        <v>99.00744416873448</v>
      </c>
      <c r="X265" s="75">
        <f>+INPUT!AW165</f>
        <v>785</v>
      </c>
      <c r="Y265" s="155">
        <f>+INPUT!AX165</f>
        <v>-48.150594451783356</v>
      </c>
      <c r="Z265" s="75">
        <f>+INPUT!AY165</f>
        <v>1536</v>
      </c>
      <c r="AA265" s="155">
        <f>+INPUT!AZ165</f>
        <v>23.57200321802091</v>
      </c>
      <c r="AB265" s="75">
        <f>+INPUT!BA165</f>
        <v>1088</v>
      </c>
      <c r="AC265" s="155">
        <f>+INPUT!BB165</f>
        <v>-11.902834008097159</v>
      </c>
      <c r="AD265" s="75">
        <f>+INPUT!BC165</f>
        <v>2004</v>
      </c>
      <c r="AE265" s="155" t="str">
        <f>+INPUT!BD165</f>
        <v>NM</v>
      </c>
      <c r="AF265" s="75">
        <f>+INPUT!BE165</f>
        <v>1365</v>
      </c>
      <c r="AG265" s="155">
        <f>+INPUT!BF165</f>
        <v>73.885350318471353</v>
      </c>
      <c r="AH265" s="75">
        <f>+INPUT!BG165</f>
        <v>1533</v>
      </c>
      <c r="AI265" s="240">
        <f>+INPUT!BH165</f>
        <v>-0.1953125</v>
      </c>
      <c r="AJ265" s="75">
        <f>+INPUT!BI165</f>
        <v>1597</v>
      </c>
      <c r="AK265" s="240">
        <f>+INPUT!BJ165</f>
        <v>46.783088235294116</v>
      </c>
      <c r="AL265" s="75">
        <f>+INPUT!BK165</f>
        <v>545</v>
      </c>
      <c r="AM265" s="240" t="str">
        <f>+INPUT!BL165</f>
        <v>NM</v>
      </c>
      <c r="AN265" s="75">
        <f>+INPUT!BM165</f>
        <v>1298</v>
      </c>
      <c r="AO265" s="240">
        <f>+INPUT!BN165</f>
        <v>-4.9084249084249194</v>
      </c>
      <c r="AP265" s="75">
        <f>+INPUT!BO165</f>
        <v>1810</v>
      </c>
      <c r="AQ265" s="240">
        <f>+INPUT!BP165</f>
        <v>18.069145466405743</v>
      </c>
      <c r="AR265" s="75">
        <f>+INPUT!BQ165</f>
        <v>1606</v>
      </c>
      <c r="AS265" s="240">
        <f>+INPUT!BR165</f>
        <v>0.56355666875391819</v>
      </c>
      <c r="AT265" s="75">
        <f>+INPUT!BS165</f>
        <v>1052</v>
      </c>
      <c r="AU265" s="240">
        <f>+INPUT!BT165</f>
        <v>93.027522935779814</v>
      </c>
      <c r="AV265" s="75">
        <f>+INPUT!BU165</f>
        <v>1270</v>
      </c>
      <c r="AW265" s="240">
        <f>+INPUT!BV165</f>
        <v>-2.1571648690292733</v>
      </c>
      <c r="AX265" s="75">
        <f>+INPUT!BW165</f>
        <v>627</v>
      </c>
      <c r="AY265" s="240" t="str">
        <f>+INPUT!BX165</f>
        <v>NM</v>
      </c>
      <c r="AZ265" s="75">
        <f>+INPUT!BY165</f>
        <v>2343</v>
      </c>
      <c r="BA265" s="240">
        <f>+INPUT!BZ165</f>
        <v>45.890410958904113</v>
      </c>
      <c r="BB265" s="75">
        <f>+INPUT!CA165</f>
        <v>1329</v>
      </c>
      <c r="BC265" s="240">
        <f>+INPUT!CB165</f>
        <v>26.330798479087463</v>
      </c>
      <c r="BD265" s="75">
        <f>+INPUT!CC165</f>
        <v>3487</v>
      </c>
      <c r="BE265" s="240" t="str">
        <f>+INPUT!CD165</f>
        <v>NM</v>
      </c>
      <c r="BF265" s="75">
        <f>+INPUT!CE165</f>
        <v>1876</v>
      </c>
      <c r="BG265" s="240" t="str">
        <f>+INPUT!CF165</f>
        <v>NM</v>
      </c>
      <c r="BH265" s="75">
        <f>+INPUT!CG165</f>
        <v>3692</v>
      </c>
      <c r="BI265" s="240">
        <f>+INPUT!CH165</f>
        <v>57.575757575757564</v>
      </c>
      <c r="BJ265" s="75">
        <f>+INPUT!CI165</f>
        <v>3076</v>
      </c>
      <c r="BK265" s="240" t="str">
        <f>+INPUT!CJ165</f>
        <v>NM</v>
      </c>
      <c r="BL265" s="75">
        <f>+INPUT!CK165</f>
        <v>6654</v>
      </c>
      <c r="BM265" s="240">
        <f>+INPUT!CL165</f>
        <v>90.823057069113844</v>
      </c>
      <c r="BN265" s="75">
        <f>+INPUT!CM165</f>
        <v>5785</v>
      </c>
      <c r="BO265" s="240" t="str">
        <f>+INPUT!CN165</f>
        <v>NM</v>
      </c>
      <c r="BP265" s="75">
        <f>+INPUT!CO165</f>
        <v>5592</v>
      </c>
      <c r="BQ265" s="240">
        <f>+INPUT!CP165</f>
        <v>51.462621885157091</v>
      </c>
      <c r="BR265" s="75">
        <f>+INPUT!CQ165</f>
        <v>5571</v>
      </c>
      <c r="BS265" s="240">
        <f>+INPUT!CR165</f>
        <v>81.111833550065029</v>
      </c>
      <c r="BT265" s="75">
        <f>+INPUT!CS165</f>
        <v>10825</v>
      </c>
      <c r="BU265" s="240">
        <f>+INPUT!CT165</f>
        <v>62.684099789600225</v>
      </c>
      <c r="BV265" s="75">
        <f>+INPUT!CU165</f>
        <v>4399</v>
      </c>
      <c r="BW265" s="240">
        <f>+INPUT!CV165</f>
        <v>-23.958513396715645</v>
      </c>
      <c r="BX265" s="75">
        <f>+INPUT!CW165</f>
        <v>8457</v>
      </c>
      <c r="BY265" s="240">
        <f>+INPUT!CX165</f>
        <v>51.233905579399163</v>
      </c>
      <c r="BZ265" s="75">
        <f>+INPUT!CY165</f>
        <v>2957</v>
      </c>
      <c r="CA265" s="240">
        <f>+INPUT!CZ165</f>
        <v>-46.921558068569382</v>
      </c>
      <c r="CB265" s="75">
        <f>+INPUT!DA165</f>
        <v>39192</v>
      </c>
      <c r="CC265" s="240" t="str">
        <f>+INPUT!DB165</f>
        <v>NM</v>
      </c>
      <c r="CD265" s="75">
        <f>+INPUT!DC165</f>
        <v>3845</v>
      </c>
      <c r="CE265" s="240">
        <f>+INPUT!DD165</f>
        <v>-12.59377131166174</v>
      </c>
      <c r="CF265" s="75">
        <f>+INPUT!DE165</f>
        <v>4360</v>
      </c>
      <c r="CG265" s="240">
        <f>+INPUT!DF165</f>
        <v>-48.445075085727794</v>
      </c>
      <c r="CH265" s="75">
        <f>+INPUT!DG165</f>
        <v>5034</v>
      </c>
      <c r="CI265" s="240">
        <f>+INPUT!DH165</f>
        <v>70.240108217788304</v>
      </c>
      <c r="CJ265" s="75">
        <f>+INPUT!DI165</f>
        <v>4055</v>
      </c>
      <c r="CK265" s="240" t="str">
        <f>+INPUT!DJ165</f>
        <v>NM</v>
      </c>
      <c r="CL265" s="75">
        <f>+INPUT!DK165</f>
        <v>1733</v>
      </c>
      <c r="CM265" s="240" t="str">
        <f>+INPUT!DL165</f>
        <v>NM</v>
      </c>
      <c r="CN265" s="75">
        <f>+INPUT!DM165</f>
        <v>2075</v>
      </c>
      <c r="CO265" s="240" t="str">
        <f>+INPUT!DN165</f>
        <v>NM</v>
      </c>
      <c r="CP265" s="75">
        <f>+INPUT!DO165</f>
        <v>30962</v>
      </c>
      <c r="CQ265" s="240" t="str">
        <f>+INPUT!DP165</f>
        <v>NM</v>
      </c>
      <c r="CR265" s="75">
        <f>+INPUT!DQ165</f>
        <v>8523</v>
      </c>
      <c r="CS265" s="240" t="str">
        <f>+INPUT!DR165</f>
        <v>NM</v>
      </c>
      <c r="CT265" s="75">
        <f>+INPUT!DS165</f>
        <v>969</v>
      </c>
      <c r="CU265" s="240">
        <f>+INPUT!DT165</f>
        <v>-44.085401038661274</v>
      </c>
      <c r="CV265" s="75">
        <f>+INPUT!DU165</f>
        <v>9147</v>
      </c>
      <c r="CW265" s="240" t="str">
        <f>+INPUT!DV165</f>
        <v>NM</v>
      </c>
      <c r="CX265" s="75">
        <f>+INPUT!DW165</f>
        <v>2031</v>
      </c>
      <c r="CY265" s="240" t="str">
        <f>+INPUT!DX165</f>
        <v>NM</v>
      </c>
      <c r="CZ265" s="75">
        <f>+INPUT!DY165</f>
        <v>3425</v>
      </c>
      <c r="DA265" s="240" t="str">
        <f>+INPUT!DZ165</f>
        <v>NM</v>
      </c>
      <c r="DB265" s="75">
        <f>+INPUT!EA165</f>
        <v>2061</v>
      </c>
      <c r="DC265" s="240" t="str">
        <f>+INPUT!EB165</f>
        <v>NM</v>
      </c>
      <c r="DD265" s="75">
        <f>+INPUT!EC165</f>
        <v>3421</v>
      </c>
      <c r="DE265" s="240" t="str">
        <f>+INPUT!ED165</f>
        <v>NM</v>
      </c>
      <c r="DF265" s="75">
        <f>+INPUT!EE165</f>
        <v>6907</v>
      </c>
      <c r="DG265" s="240" t="str">
        <f>+INPUT!EF165</f>
        <v>NM</v>
      </c>
      <c r="DH265" s="75">
        <f>+INPUT!EG165</f>
        <v>3751</v>
      </c>
      <c r="DI265" s="240">
        <f>+INPUT!EH165</f>
        <v>9.5182481751824781</v>
      </c>
      <c r="DJ265" s="75">
        <f>+INPUT!EI165</f>
        <v>4042</v>
      </c>
      <c r="DK265" s="240">
        <f>+INPUT!EJ165</f>
        <v>96.118389131489579</v>
      </c>
      <c r="DL265" s="75">
        <f>+INPUT!EK165</f>
        <v>2557</v>
      </c>
      <c r="DM265" s="240">
        <f>+INPUT!EL165</f>
        <v>-25.255773165741019</v>
      </c>
      <c r="DN265" s="75">
        <f>+INPUT!EM165</f>
        <v>4764</v>
      </c>
      <c r="DO265" s="240">
        <f>+INPUT!EN165</f>
        <v>-31.026494860286675</v>
      </c>
      <c r="DP265" s="75">
        <f>+INPUT!EO165</f>
        <v>10267</v>
      </c>
      <c r="DQ265" s="240" t="str">
        <f>+INPUT!EP165</f>
        <v>NM</v>
      </c>
      <c r="DR265" s="75">
        <f>+INPUT!EQ165</f>
        <v>5348.53</v>
      </c>
      <c r="DS265" s="240">
        <f>+INPUT!ER165</f>
        <v>32.323849579416105</v>
      </c>
      <c r="DT265" s="75">
        <f>+INPUT!ES165</f>
        <v>5342.6466170000003</v>
      </c>
      <c r="DU265" s="240" t="str">
        <f>+INPUT!ET165</f>
        <v>NM</v>
      </c>
      <c r="DV265" s="75">
        <f>+INPUT!EU165</f>
        <v>5388.0591132445006</v>
      </c>
      <c r="DW265" s="240">
        <f>+INPUT!EV165</f>
        <v>13.099477607986998</v>
      </c>
      <c r="DX265" s="75">
        <f>+INPUT!EW165</f>
        <v>5433.8576157070775</v>
      </c>
      <c r="DY265" s="240">
        <f>+INPUT!EX165</f>
        <v>-47.074533790717076</v>
      </c>
      <c r="DZ265" s="75"/>
      <c r="EA265" s="240"/>
      <c r="EB265" s="155" t="str">
        <f>+INPUT!FI165</f>
        <v>NM</v>
      </c>
      <c r="EC265" s="75">
        <f>+INPUT!FJ165</f>
        <v>0</v>
      </c>
      <c r="ED265" s="155" t="str">
        <f>+INPUT!FK165</f>
        <v>NA</v>
      </c>
      <c r="EE265" s="75">
        <f>+INPUT!FL165</f>
        <v>0</v>
      </c>
      <c r="EF265" s="155" t="str">
        <f>+INPUT!FM165</f>
        <v>NA</v>
      </c>
      <c r="EG265" s="75">
        <f>+INPUT!FN165</f>
        <v>2951</v>
      </c>
      <c r="EH265" s="155" t="str">
        <f>+INPUT!FO165</f>
        <v>NA</v>
      </c>
      <c r="EI265" s="75">
        <f>+INPUT!FP165</f>
        <v>4065</v>
      </c>
      <c r="EJ265" s="240">
        <f>+INPUT!FQ165</f>
        <v>37.74991528295493</v>
      </c>
      <c r="EK265" s="75">
        <f>+INPUT!FR165</f>
        <v>5993</v>
      </c>
      <c r="EL265" s="240">
        <f>+INPUT!FS165</f>
        <v>47.429274292742917</v>
      </c>
      <c r="EM265" s="75">
        <f>+INPUT!FT165</f>
        <v>4973</v>
      </c>
      <c r="EN265" s="240">
        <f>+INPUT!FU165</f>
        <v>-17.019856499249116</v>
      </c>
      <c r="EO265" s="75">
        <f>+INPUT!FV165</f>
        <v>5738</v>
      </c>
      <c r="EP265" s="240">
        <f>+INPUT!FW165</f>
        <v>15.383068570279505</v>
      </c>
      <c r="EQ265" s="75">
        <f>+INPUT!FX165</f>
        <v>7786</v>
      </c>
      <c r="ER265" s="240">
        <f>+INPUT!FY165</f>
        <v>35.691878703380979</v>
      </c>
      <c r="ES265" s="75">
        <f>+INPUT!FZ165</f>
        <v>15298</v>
      </c>
      <c r="ET265" s="240">
        <f>+INPUT!GA165</f>
        <v>96.480863087593121</v>
      </c>
      <c r="EU265" s="75">
        <f>+INPUT!GB165</f>
        <v>27773</v>
      </c>
      <c r="EV265" s="240">
        <f>+INPUT!GC165</f>
        <v>81.546607399660076</v>
      </c>
      <c r="EW265" s="75">
        <f>+INPUT!GD165</f>
        <v>55005</v>
      </c>
      <c r="EX265" s="240">
        <f>+INPUT!GE165</f>
        <v>98.052064955172284</v>
      </c>
      <c r="EY265" s="75">
        <f>+INPUT!GF165</f>
        <v>17294</v>
      </c>
      <c r="EZ265" s="240" t="str">
        <f>+INPUT!GG165</f>
        <v>NM</v>
      </c>
      <c r="FA265" s="75">
        <f>+INPUT!GH165</f>
        <v>43293</v>
      </c>
      <c r="FB265" s="240" t="str">
        <f>+INPUT!GI165</f>
        <v>NM</v>
      </c>
      <c r="FC265" s="75">
        <f>+INPUT!GJ165</f>
        <v>15572</v>
      </c>
      <c r="FD265" s="240" t="str">
        <f>+INPUT!GK165</f>
        <v>NM</v>
      </c>
      <c r="FE265" s="75">
        <f>+INPUT!GL165</f>
        <v>16140</v>
      </c>
      <c r="FF265" s="240">
        <f>+INPUT!GM165</f>
        <v>3.6475725661443619</v>
      </c>
      <c r="FG265" s="75">
        <f>+INPUT!GN165</f>
        <v>21630</v>
      </c>
      <c r="FH265" s="240">
        <f>+INPUT!GO165</f>
        <v>34.014869888475829</v>
      </c>
      <c r="FI265" s="75">
        <f>+INPUT!GP165</f>
        <v>21513.09334595158</v>
      </c>
      <c r="FJ265" s="240">
        <f>+INPUT!GQ165</f>
        <v>-0.5404838374869172</v>
      </c>
      <c r="FK265" s="75">
        <f>+INPUT!GR165</f>
        <v>21920.181621762356</v>
      </c>
      <c r="FL265" s="240">
        <f>+INPUT!GS165</f>
        <v>1.8922814551324478</v>
      </c>
      <c r="FM265" s="75">
        <f>+INPUT!GT165</f>
        <v>22665.467796902274</v>
      </c>
      <c r="FN265" s="240">
        <f>+INPUT!GU165</f>
        <v>3.3999999999999773</v>
      </c>
      <c r="FO265" s="75">
        <f>+INPUT!GV165</f>
        <v>23436.093701996953</v>
      </c>
      <c r="FP265" s="240">
        <f>+INPUT!GW165</f>
        <v>3.4000000000000057</v>
      </c>
      <c r="FQ265" s="75">
        <f>+INPUT!GX165</f>
        <v>24232.92088786485</v>
      </c>
      <c r="FR265" s="240">
        <f>+INPUT!GY165</f>
        <v>3.4000000000000057</v>
      </c>
      <c r="FS265" s="240">
        <f>+INPUT!GZ165</f>
        <v>2.2986373967291751</v>
      </c>
    </row>
    <row r="266" spans="1:175" ht="12.75" hidden="1" customHeight="1" outlineLevel="1" x14ac:dyDescent="0.2">
      <c r="A266" s="246" t="str">
        <f>+INPUT!B166</f>
        <v xml:space="preserve">  Withdrawals</v>
      </c>
      <c r="B266" s="75"/>
      <c r="C266" s="155"/>
      <c r="D266" s="75"/>
      <c r="E266" s="155"/>
      <c r="F266" s="75"/>
      <c r="G266" s="155"/>
      <c r="H266" s="75"/>
      <c r="I266" s="155"/>
      <c r="J266" s="75">
        <f>+INPUT!AI166</f>
        <v>-675</v>
      </c>
      <c r="K266" s="155" t="str">
        <f>+INPUT!AJ166</f>
        <v>NA</v>
      </c>
      <c r="L266" s="75">
        <f>+INPUT!AK166</f>
        <v>-1281</v>
      </c>
      <c r="M266" s="155" t="str">
        <f>+INPUT!AL166</f>
        <v>NA</v>
      </c>
      <c r="N266" s="75">
        <f>+INPUT!AM166</f>
        <v>-1094</v>
      </c>
      <c r="O266" s="155" t="str">
        <f>+INPUT!AN166</f>
        <v>NA</v>
      </c>
      <c r="P266" s="75">
        <f>+INPUT!AO166</f>
        <v>-810</v>
      </c>
      <c r="Q266" s="155" t="str">
        <f>+INPUT!AP166</f>
        <v>NA</v>
      </c>
      <c r="R266" s="75">
        <f>+INPUT!AQ166</f>
        <v>-1181</v>
      </c>
      <c r="S266" s="155">
        <f>+INPUT!AR166</f>
        <v>74.962962962962962</v>
      </c>
      <c r="T266" s="75">
        <f>+INPUT!AS166</f>
        <v>-1222</v>
      </c>
      <c r="U266" s="155">
        <f>+INPUT!AT166</f>
        <v>-4.6057767369242839</v>
      </c>
      <c r="V266" s="75">
        <f>+INPUT!AU166</f>
        <v>-896</v>
      </c>
      <c r="W266" s="155">
        <f>+INPUT!AV166</f>
        <v>-18.098720292504566</v>
      </c>
      <c r="X266" s="75">
        <f>+INPUT!AW166</f>
        <v>-2234</v>
      </c>
      <c r="Y266" s="155" t="str">
        <f>+INPUT!AX166</f>
        <v>NM</v>
      </c>
      <c r="Z266" s="75">
        <f>+INPUT!AY166</f>
        <v>-2452</v>
      </c>
      <c r="AA266" s="155" t="str">
        <f>+INPUT!AZ166</f>
        <v>NM</v>
      </c>
      <c r="AB266" s="75">
        <f>+INPUT!BA166</f>
        <v>-1429</v>
      </c>
      <c r="AC266" s="155">
        <f>+INPUT!BB166</f>
        <v>16.939443535188218</v>
      </c>
      <c r="AD266" s="75">
        <f>+INPUT!BC166</f>
        <v>-711</v>
      </c>
      <c r="AE266" s="155">
        <f>+INPUT!BD166</f>
        <v>-20.647321428571431</v>
      </c>
      <c r="AF266" s="75">
        <f>+INPUT!BE166</f>
        <v>-1764</v>
      </c>
      <c r="AG266" s="155">
        <f>+INPUT!BF166</f>
        <v>-21.038495971351836</v>
      </c>
      <c r="AH266" s="75">
        <f>+INPUT!BG166</f>
        <v>-1743</v>
      </c>
      <c r="AI266" s="240">
        <f>+INPUT!BH166</f>
        <v>-28.915171288743878</v>
      </c>
      <c r="AJ266" s="75">
        <f>+INPUT!BI166</f>
        <v>-1399</v>
      </c>
      <c r="AK266" s="240">
        <f>+INPUT!BJ166</f>
        <v>-2.0993701889433112</v>
      </c>
      <c r="AL266" s="75">
        <f>+INPUT!BK166</f>
        <v>-1193</v>
      </c>
      <c r="AM266" s="240">
        <f>+INPUT!BL166</f>
        <v>67.791842475386801</v>
      </c>
      <c r="AN266" s="75">
        <f>+INPUT!BM166</f>
        <v>-1863</v>
      </c>
      <c r="AO266" s="240">
        <f>+INPUT!BN166</f>
        <v>5.6122448979591724</v>
      </c>
      <c r="AP266" s="75">
        <f>+INPUT!BO166</f>
        <v>-1702</v>
      </c>
      <c r="AQ266" s="240">
        <f>+INPUT!BP166</f>
        <v>-2.3522662076878902</v>
      </c>
      <c r="AR266" s="75">
        <f>+INPUT!BQ166</f>
        <v>-1944</v>
      </c>
      <c r="AS266" s="240">
        <f>+INPUT!BR166</f>
        <v>38.956397426733389</v>
      </c>
      <c r="AT266" s="75">
        <f>+INPUT!BS166</f>
        <v>-2114</v>
      </c>
      <c r="AU266" s="240">
        <f>+INPUT!BT166</f>
        <v>77.200335289186938</v>
      </c>
      <c r="AV266" s="75">
        <f>+INPUT!BU166</f>
        <v>-1632</v>
      </c>
      <c r="AW266" s="240">
        <f>+INPUT!BV166</f>
        <v>-12.399355877616742</v>
      </c>
      <c r="AX266" s="75">
        <f>+INPUT!BW166</f>
        <v>-2037</v>
      </c>
      <c r="AY266" s="240">
        <f>+INPUT!BX166</f>
        <v>19.682726204465339</v>
      </c>
      <c r="AZ266" s="75">
        <f>+INPUT!BY166</f>
        <v>-1272</v>
      </c>
      <c r="BA266" s="240">
        <f>+INPUT!BZ166</f>
        <v>-34.567901234567898</v>
      </c>
      <c r="BB266" s="75">
        <f>+INPUT!CA166</f>
        <v>-2523</v>
      </c>
      <c r="BC266" s="240">
        <f>+INPUT!CB166</f>
        <v>19.347209082308424</v>
      </c>
      <c r="BD266" s="75">
        <f>+INPUT!CC166</f>
        <v>-1985</v>
      </c>
      <c r="BE266" s="240">
        <f>+INPUT!CD166</f>
        <v>21.629901960784309</v>
      </c>
      <c r="BF266" s="75">
        <f>+INPUT!CE166</f>
        <v>-2139</v>
      </c>
      <c r="BG266" s="240">
        <f>+INPUT!CF166</f>
        <v>5.0073637702503788</v>
      </c>
      <c r="BH266" s="75">
        <f>+INPUT!CG166</f>
        <v>-2002</v>
      </c>
      <c r="BI266" s="240">
        <f>+INPUT!CH166</f>
        <v>57.389937106918239</v>
      </c>
      <c r="BJ266" s="75">
        <f>+INPUT!CI166</f>
        <v>-1640</v>
      </c>
      <c r="BK266" s="240">
        <f>+INPUT!CJ166</f>
        <v>-34.998018232263178</v>
      </c>
      <c r="BL266" s="75">
        <f>+INPUT!CK166</f>
        <v>-1177</v>
      </c>
      <c r="BM266" s="240">
        <f>+INPUT!CL166</f>
        <v>-40.705289672544076</v>
      </c>
      <c r="BN266" s="75">
        <f>+INPUT!CM166</f>
        <v>-1128</v>
      </c>
      <c r="BO266" s="240">
        <f>+INPUT!CN166</f>
        <v>-47.265077138849932</v>
      </c>
      <c r="BP266" s="75">
        <f>+INPUT!CO166</f>
        <v>-1437</v>
      </c>
      <c r="BQ266" s="240">
        <f>+INPUT!CP166</f>
        <v>-28.221778221778223</v>
      </c>
      <c r="BR266" s="75">
        <f>+INPUT!CQ166</f>
        <v>-1501</v>
      </c>
      <c r="BS266" s="240">
        <f>+INPUT!CR166</f>
        <v>-8.4756097560975547</v>
      </c>
      <c r="BT266" s="75">
        <f>+INPUT!CS166</f>
        <v>-2084</v>
      </c>
      <c r="BU266" s="240">
        <f>+INPUT!CT166</f>
        <v>77.060322854715366</v>
      </c>
      <c r="BV266" s="75">
        <f>+INPUT!CU166</f>
        <v>-1538</v>
      </c>
      <c r="BW266" s="240">
        <f>+INPUT!CV166</f>
        <v>36.347517730496435</v>
      </c>
      <c r="BX266" s="75">
        <f>+INPUT!CW166</f>
        <v>-2832</v>
      </c>
      <c r="BY266" s="240">
        <f>+INPUT!CX166</f>
        <v>97.077244258872639</v>
      </c>
      <c r="BZ266" s="75">
        <f>+INPUT!CY166</f>
        <v>-1539</v>
      </c>
      <c r="CA266" s="240">
        <f>+INPUT!CZ166</f>
        <v>2.5316455696202382</v>
      </c>
      <c r="CB266" s="75">
        <f>+INPUT!DA166</f>
        <v>-2586</v>
      </c>
      <c r="CC266" s="240">
        <f>+INPUT!DB166</f>
        <v>24.088291746641062</v>
      </c>
      <c r="CD266" s="75">
        <f>+INPUT!DC166</f>
        <v>-2319</v>
      </c>
      <c r="CE266" s="240">
        <f>+INPUT!DD166</f>
        <v>50.78023407022107</v>
      </c>
      <c r="CF266" s="75">
        <f>+INPUT!DE166</f>
        <v>-2462</v>
      </c>
      <c r="CG266" s="240">
        <f>+INPUT!DF166</f>
        <v>-13.064971751412429</v>
      </c>
      <c r="CH266" s="75">
        <f>+INPUT!DG166</f>
        <v>-2487</v>
      </c>
      <c r="CI266" s="240">
        <f>+INPUT!DH166</f>
        <v>61.598440545808955</v>
      </c>
      <c r="CJ266" s="75">
        <f>+INPUT!DI166</f>
        <v>-2683</v>
      </c>
      <c r="CK266" s="240">
        <f>+INPUT!DJ166</f>
        <v>3.7509667440061918</v>
      </c>
      <c r="CL266" s="75">
        <f>+INPUT!DK166</f>
        <v>-3017</v>
      </c>
      <c r="CM266" s="240">
        <f>+INPUT!DL166</f>
        <v>30.099180681328164</v>
      </c>
      <c r="CN266" s="75">
        <f>+INPUT!DM166</f>
        <v>-4602</v>
      </c>
      <c r="CO266" s="240">
        <f>+INPUT!DN166</f>
        <v>86.921202274573517</v>
      </c>
      <c r="CP266" s="75">
        <f>+INPUT!DO166</f>
        <v>-3634</v>
      </c>
      <c r="CQ266" s="240">
        <f>+INPUT!DP166</f>
        <v>46.11982308001609</v>
      </c>
      <c r="CR266" s="75">
        <f>+INPUT!DQ166</f>
        <v>-4783</v>
      </c>
      <c r="CS266" s="240">
        <f>+INPUT!DR166</f>
        <v>78.270592620201256</v>
      </c>
      <c r="CT266" s="75">
        <f>+INPUT!DS166</f>
        <v>-3495</v>
      </c>
      <c r="CU266" s="240">
        <f>+INPUT!DT166</f>
        <v>15.843553198541599</v>
      </c>
      <c r="CV266" s="75">
        <f>+INPUT!DU166</f>
        <v>-3808</v>
      </c>
      <c r="CW266" s="240">
        <f>+INPUT!DV166</f>
        <v>-17.253368100825725</v>
      </c>
      <c r="CX266" s="75">
        <f>+INPUT!DW166</f>
        <v>-3940</v>
      </c>
      <c r="CY266" s="240">
        <f>+INPUT!DX166</f>
        <v>8.4204733076499707</v>
      </c>
      <c r="CZ266" s="75">
        <f>+INPUT!DY166</f>
        <v>-4145</v>
      </c>
      <c r="DA266" s="240">
        <f>+INPUT!DZ166</f>
        <v>-13.338908634748066</v>
      </c>
      <c r="DB266" s="75">
        <f>+INPUT!EA166</f>
        <v>-2783</v>
      </c>
      <c r="DC266" s="240">
        <f>+INPUT!EB166</f>
        <v>-20.371959942775391</v>
      </c>
      <c r="DD266" s="75">
        <f>+INPUT!EC166</f>
        <v>-3119</v>
      </c>
      <c r="DE266" s="240">
        <f>+INPUT!ED166</f>
        <v>-18.09348739495799</v>
      </c>
      <c r="DF266" s="75">
        <f>+INPUT!EE166</f>
        <v>-2339</v>
      </c>
      <c r="DG266" s="240">
        <f>+INPUT!EF166</f>
        <v>-40.63451776649746</v>
      </c>
      <c r="DH266" s="75">
        <f>+INPUT!EG166</f>
        <v>-3920</v>
      </c>
      <c r="DI266" s="240">
        <f>+INPUT!EH166</f>
        <v>-5.4282267792521139</v>
      </c>
      <c r="DJ266" s="75">
        <f>+INPUT!EI166</f>
        <v>-4241</v>
      </c>
      <c r="DK266" s="240">
        <f>+INPUT!EJ166</f>
        <v>52.389507725476108</v>
      </c>
      <c r="DL266" s="75">
        <f>+INPUT!EK166</f>
        <v>-4171</v>
      </c>
      <c r="DM266" s="240">
        <f>+INPUT!EL166</f>
        <v>33.728759217697984</v>
      </c>
      <c r="DN266" s="75">
        <f>+INPUT!EM166</f>
        <v>-3552</v>
      </c>
      <c r="DO266" s="240">
        <f>+INPUT!EN166</f>
        <v>51.859769132107743</v>
      </c>
      <c r="DP266" s="75">
        <f>+INPUT!EO166</f>
        <v>-5442</v>
      </c>
      <c r="DQ266" s="240">
        <f>+INPUT!EP166</f>
        <v>38.826530612244909</v>
      </c>
      <c r="DR266" s="75">
        <f>+INPUT!EQ166</f>
        <v>-4862.3</v>
      </c>
      <c r="DS266" s="240">
        <f>+INPUT!ER166</f>
        <v>14.649846734260791</v>
      </c>
      <c r="DT266" s="75">
        <f>+INPUT!ES166</f>
        <v>-4856.95147</v>
      </c>
      <c r="DU266" s="240">
        <f>+INPUT!ET166</f>
        <v>16.44573171901223</v>
      </c>
      <c r="DV266" s="75">
        <f>+INPUT!EU166</f>
        <v>-4898.2355574949997</v>
      </c>
      <c r="DW266" s="240">
        <f>+INPUT!EV166</f>
        <v>37.900775830377256</v>
      </c>
      <c r="DX266" s="75">
        <f>+INPUT!EW166</f>
        <v>-4939.8705597337075</v>
      </c>
      <c r="DY266" s="240">
        <f>+INPUT!EX166</f>
        <v>-9.2269283400641768</v>
      </c>
      <c r="DZ266" s="75"/>
      <c r="EA266" s="240"/>
      <c r="EB266" s="155" t="str">
        <f>+INPUT!FI166</f>
        <v>NM</v>
      </c>
      <c r="EC266" s="75">
        <f>+INPUT!FJ166</f>
        <v>0</v>
      </c>
      <c r="ED266" s="155" t="str">
        <f>+INPUT!FK166</f>
        <v>NA</v>
      </c>
      <c r="EE266" s="75">
        <f>+INPUT!FL166</f>
        <v>0</v>
      </c>
      <c r="EF266" s="155" t="str">
        <f>+INPUT!FM166</f>
        <v>NA</v>
      </c>
      <c r="EG266" s="75">
        <f>+INPUT!FN166</f>
        <v>-3860</v>
      </c>
      <c r="EH266" s="155" t="str">
        <f>+INPUT!FO166</f>
        <v>NA</v>
      </c>
      <c r="EI266" s="75">
        <f>+INPUT!FP166</f>
        <v>-5533</v>
      </c>
      <c r="EJ266" s="240">
        <f>+INPUT!FQ166</f>
        <v>43.341968911917093</v>
      </c>
      <c r="EK266" s="75">
        <f>+INPUT!FR166</f>
        <v>-6356</v>
      </c>
      <c r="EL266" s="240">
        <f>+INPUT!FS166</f>
        <v>14.874390023495394</v>
      </c>
      <c r="EM266" s="75">
        <f>+INPUT!FT166</f>
        <v>-6198</v>
      </c>
      <c r="EN266" s="240">
        <f>+INPUT!FU166</f>
        <v>-2.4858401510383885</v>
      </c>
      <c r="EO266" s="75">
        <f>+INPUT!FV166</f>
        <v>-7392</v>
      </c>
      <c r="EP266" s="240">
        <f>+INPUT!FW166</f>
        <v>19.264278799612782</v>
      </c>
      <c r="EQ266" s="75">
        <f>+INPUT!FX166</f>
        <v>-7817</v>
      </c>
      <c r="ER266" s="240">
        <f>+INPUT!FY166</f>
        <v>5.749458874458881</v>
      </c>
      <c r="ES266" s="75">
        <f>+INPUT!FZ166</f>
        <v>-6958</v>
      </c>
      <c r="ET266" s="240">
        <f>+INPUT!GA166</f>
        <v>-10.988870410643472</v>
      </c>
      <c r="EU266" s="75">
        <f>+INPUT!GB166</f>
        <v>-6150</v>
      </c>
      <c r="EV266" s="240">
        <f>+INPUT!GC166</f>
        <v>-11.612532336878417</v>
      </c>
      <c r="EW266" s="75">
        <f>+INPUT!GD166</f>
        <v>-8495</v>
      </c>
      <c r="EX266" s="240">
        <f>+INPUT!GE166</f>
        <v>38.130081300813004</v>
      </c>
      <c r="EY266" s="75">
        <f>+INPUT!GF166</f>
        <v>-9951</v>
      </c>
      <c r="EZ266" s="240">
        <f>+INPUT!GG166</f>
        <v>17.139493819894057</v>
      </c>
      <c r="FA266" s="75">
        <f>+INPUT!GH166</f>
        <v>-16036</v>
      </c>
      <c r="FB266" s="240">
        <f>+INPUT!GI166</f>
        <v>61.149633202693195</v>
      </c>
      <c r="FC266" s="75">
        <f>+INPUT!GJ166</f>
        <v>-15388</v>
      </c>
      <c r="FD266" s="240">
        <f>+INPUT!GK166</f>
        <v>-4.0409079570965218</v>
      </c>
      <c r="FE266" s="75">
        <f>+INPUT!GL166</f>
        <v>-12161</v>
      </c>
      <c r="FF266" s="240">
        <f>+INPUT!GM166</f>
        <v>-20.970886404990907</v>
      </c>
      <c r="FG266" s="75">
        <f>+INPUT!GN166</f>
        <v>-17406</v>
      </c>
      <c r="FH266" s="240">
        <f>+INPUT!GO166</f>
        <v>43.129676835786512</v>
      </c>
      <c r="FI266" s="75">
        <f>+INPUT!GP166</f>
        <v>-19557.357587228707</v>
      </c>
      <c r="FJ266" s="240">
        <f>+INPUT!GQ166</f>
        <v>12.359862043138619</v>
      </c>
      <c r="FK266" s="75">
        <f>+INPUT!GR166</f>
        <v>-19927.437837965776</v>
      </c>
      <c r="FL266" s="240">
        <f>+INPUT!GS166</f>
        <v>1.8922814551324478</v>
      </c>
      <c r="FM266" s="75">
        <f>+INPUT!GT166</f>
        <v>-20604.970724456616</v>
      </c>
      <c r="FN266" s="240">
        <f>+INPUT!GU166</f>
        <v>3.4000000000000199</v>
      </c>
      <c r="FO266" s="75">
        <f>+INPUT!GV166</f>
        <v>-21305.539729088134</v>
      </c>
      <c r="FP266" s="240">
        <f>+INPUT!GW166</f>
        <v>3.3999999999999631</v>
      </c>
      <c r="FQ266" s="75">
        <f>+INPUT!GX166</f>
        <v>-22029.928079877136</v>
      </c>
      <c r="FR266" s="240">
        <f>+INPUT!GY166</f>
        <v>3.4000000000000199</v>
      </c>
      <c r="FS266" s="240">
        <f>+INPUT!GZ166</f>
        <v>4.8245049431607789</v>
      </c>
    </row>
    <row r="267" spans="1:175" ht="12.75" hidden="1" customHeight="1" outlineLevel="1" x14ac:dyDescent="0.2">
      <c r="A267" s="246" t="str">
        <f>+INPUT!B167</f>
        <v xml:space="preserve">  Market Performance</v>
      </c>
      <c r="B267" s="75"/>
      <c r="C267" s="155"/>
      <c r="D267" s="75"/>
      <c r="E267" s="155"/>
      <c r="F267" s="75"/>
      <c r="G267" s="155"/>
      <c r="H267" s="75"/>
      <c r="I267" s="155"/>
      <c r="J267" s="75">
        <f>+INPUT!AI167</f>
        <v>948</v>
      </c>
      <c r="K267" s="155" t="str">
        <f>+INPUT!AJ167</f>
        <v>NA</v>
      </c>
      <c r="L267" s="75">
        <f>+INPUT!AK167</f>
        <v>-123</v>
      </c>
      <c r="M267" s="155" t="str">
        <f>+INPUT!AL167</f>
        <v>NA</v>
      </c>
      <c r="N267" s="75">
        <f>+INPUT!AM167</f>
        <v>874</v>
      </c>
      <c r="O267" s="155" t="str">
        <f>+INPUT!AN167</f>
        <v>NA</v>
      </c>
      <c r="P267" s="75">
        <f>+INPUT!AO167</f>
        <v>992</v>
      </c>
      <c r="Q267" s="155" t="str">
        <f>+INPUT!AP167</f>
        <v>NA</v>
      </c>
      <c r="R267" s="75">
        <f>+INPUT!AQ167</f>
        <v>318</v>
      </c>
      <c r="S267" s="155" t="str">
        <f>+INPUT!AR167</f>
        <v>NM</v>
      </c>
      <c r="T267" s="75">
        <f>+INPUT!AS167</f>
        <v>1128</v>
      </c>
      <c r="U267" s="155" t="str">
        <f>+INPUT!AT167</f>
        <v>NM</v>
      </c>
      <c r="V267" s="75">
        <f>+INPUT!AU167</f>
        <v>311</v>
      </c>
      <c r="W267" s="155" t="str">
        <f>+INPUT!AV167</f>
        <v>NM</v>
      </c>
      <c r="X267" s="75">
        <f>+INPUT!AW167</f>
        <v>562</v>
      </c>
      <c r="Y267" s="155">
        <f>+INPUT!AX167</f>
        <v>-43.346774193548384</v>
      </c>
      <c r="Z267" s="75">
        <f>+INPUT!AY167</f>
        <v>182</v>
      </c>
      <c r="AA267" s="155">
        <f>+INPUT!AZ167</f>
        <v>-42.767295597484278</v>
      </c>
      <c r="AB267" s="75">
        <f>+INPUT!BA167</f>
        <v>423</v>
      </c>
      <c r="AC267" s="155" t="str">
        <f>+INPUT!BB167</f>
        <v>NM</v>
      </c>
      <c r="AD267" s="75">
        <f>+INPUT!BC167</f>
        <v>995</v>
      </c>
      <c r="AE267" s="155" t="str">
        <f>+INPUT!BD167</f>
        <v>NM</v>
      </c>
      <c r="AF267" s="75">
        <f>+INPUT!BE167</f>
        <v>647</v>
      </c>
      <c r="AG267" s="155">
        <f>+INPUT!BF167</f>
        <v>15.12455516014235</v>
      </c>
      <c r="AH267" s="75">
        <f>+INPUT!BG167</f>
        <v>607</v>
      </c>
      <c r="AI267" s="240" t="str">
        <f>+INPUT!BH167</f>
        <v>NM</v>
      </c>
      <c r="AJ267" s="75">
        <f>+INPUT!BI167</f>
        <v>325</v>
      </c>
      <c r="AK267" s="240">
        <f>+INPUT!BJ167</f>
        <v>-23.167848699763596</v>
      </c>
      <c r="AL267" s="75">
        <f>+INPUT!BK167</f>
        <v>933</v>
      </c>
      <c r="AM267" s="240">
        <f>+INPUT!BL167</f>
        <v>-6.2311557788944754</v>
      </c>
      <c r="AN267" s="75">
        <f>+INPUT!BM167</f>
        <v>900</v>
      </c>
      <c r="AO267" s="240">
        <f>+INPUT!BN167</f>
        <v>39.103554868624428</v>
      </c>
      <c r="AP267" s="75">
        <f>+INPUT!BO167</f>
        <v>561</v>
      </c>
      <c r="AQ267" s="240">
        <f>+INPUT!BP167</f>
        <v>-7.5782537067545377</v>
      </c>
      <c r="AR267" s="75">
        <f>+INPUT!BQ167</f>
        <v>241</v>
      </c>
      <c r="AS267" s="240">
        <f>+INPUT!BR167</f>
        <v>-25.84615384615384</v>
      </c>
      <c r="AT267" s="75">
        <f>+INPUT!BS167</f>
        <v>153</v>
      </c>
      <c r="AU267" s="240" t="str">
        <f>+INPUT!BT167</f>
        <v>NM</v>
      </c>
      <c r="AV267" s="75">
        <f>+INPUT!BU167</f>
        <v>1243</v>
      </c>
      <c r="AW267" s="240">
        <f>+INPUT!BV167</f>
        <v>38.111111111111114</v>
      </c>
      <c r="AX267" s="75">
        <f>+INPUT!BW167</f>
        <v>-152</v>
      </c>
      <c r="AY267" s="240" t="str">
        <f>+INPUT!BX167</f>
        <v>NM</v>
      </c>
      <c r="AZ267" s="75">
        <f>+INPUT!BY167</f>
        <v>678</v>
      </c>
      <c r="BA267" s="240" t="str">
        <f>+INPUT!BZ167</f>
        <v>NM</v>
      </c>
      <c r="BB267" s="75">
        <f>+INPUT!CA167</f>
        <v>1548</v>
      </c>
      <c r="BC267" s="240" t="str">
        <f>+INPUT!CB167</f>
        <v>NM</v>
      </c>
      <c r="BD267" s="75">
        <f>+INPUT!CC167</f>
        <v>213</v>
      </c>
      <c r="BE267" s="240" t="str">
        <f>+INPUT!CD167</f>
        <v>NM</v>
      </c>
      <c r="BF267" s="75">
        <f>+INPUT!CE167</f>
        <v>799</v>
      </c>
      <c r="BG267" s="240" t="str">
        <f>+INPUT!CF167</f>
        <v>NM</v>
      </c>
      <c r="BH267" s="75">
        <f>+INPUT!CG167</f>
        <v>1448</v>
      </c>
      <c r="BI267" s="240" t="str">
        <f>+INPUT!CH167</f>
        <v>NM</v>
      </c>
      <c r="BJ267" s="75">
        <f>+INPUT!CI167</f>
        <v>1298</v>
      </c>
      <c r="BK267" s="240">
        <f>+INPUT!CJ167</f>
        <v>-16.1498708010336</v>
      </c>
      <c r="BL267" s="75">
        <f>+INPUT!CK167</f>
        <v>-175</v>
      </c>
      <c r="BM267" s="240" t="str">
        <f>+INPUT!CL167</f>
        <v>NM</v>
      </c>
      <c r="BN267" s="75">
        <f>+INPUT!CM167</f>
        <v>482</v>
      </c>
      <c r="BO267" s="240">
        <f>+INPUT!CN167</f>
        <v>-39.674593241551939</v>
      </c>
      <c r="BP267" s="75">
        <f>+INPUT!CO167</f>
        <v>1190</v>
      </c>
      <c r="BQ267" s="240">
        <f>+INPUT!CP167</f>
        <v>-17.817679558011051</v>
      </c>
      <c r="BR267" s="75">
        <f>+INPUT!CQ167</f>
        <v>2176</v>
      </c>
      <c r="BS267" s="240">
        <f>+INPUT!CR167</f>
        <v>67.642526964560858</v>
      </c>
      <c r="BT267" s="75">
        <f>+INPUT!CS167</f>
        <v>733</v>
      </c>
      <c r="BU267" s="240" t="str">
        <f>+INPUT!CT167</f>
        <v>NM</v>
      </c>
      <c r="BV267" s="75">
        <f>+INPUT!CU167</f>
        <v>928</v>
      </c>
      <c r="BW267" s="240">
        <f>+INPUT!CV167</f>
        <v>92.531120331950206</v>
      </c>
      <c r="BX267" s="75">
        <f>+INPUT!CW167</f>
        <v>1562</v>
      </c>
      <c r="BY267" s="240">
        <f>+INPUT!CX167</f>
        <v>31.260504201680675</v>
      </c>
      <c r="BZ267" s="75">
        <f>+INPUT!CY167</f>
        <v>1509</v>
      </c>
      <c r="CA267" s="240">
        <f>+INPUT!CZ167</f>
        <v>-30.652573529411768</v>
      </c>
      <c r="CB267" s="75">
        <f>+INPUT!DA167</f>
        <v>788</v>
      </c>
      <c r="CC267" s="240">
        <f>+INPUT!DB167</f>
        <v>7.5034106412005457</v>
      </c>
      <c r="CD267" s="75">
        <f>+INPUT!DC167</f>
        <v>202</v>
      </c>
      <c r="CE267" s="240" t="str">
        <f>+INPUT!DD167</f>
        <v>NM</v>
      </c>
      <c r="CF267" s="75">
        <f>+INPUT!DE167</f>
        <v>-662</v>
      </c>
      <c r="CG267" s="240" t="str">
        <f>+INPUT!DF167</f>
        <v>NM</v>
      </c>
      <c r="CH267" s="75">
        <f>+INPUT!DG167</f>
        <v>412</v>
      </c>
      <c r="CI267" s="240" t="str">
        <f>+INPUT!DH167</f>
        <v>NM</v>
      </c>
      <c r="CJ267" s="75">
        <f>+INPUT!DI167</f>
        <v>968</v>
      </c>
      <c r="CK267" s="240">
        <f>+INPUT!DJ167</f>
        <v>22.842639593908615</v>
      </c>
      <c r="CL267" s="75">
        <f>+INPUT!DK167</f>
        <v>1441</v>
      </c>
      <c r="CM267" s="240" t="str">
        <f>+INPUT!DL167</f>
        <v>NM</v>
      </c>
      <c r="CN267" s="75">
        <f>+INPUT!DM167</f>
        <v>1753</v>
      </c>
      <c r="CO267" s="240" t="str">
        <f>+INPUT!DN167</f>
        <v>NM</v>
      </c>
      <c r="CP267" s="75">
        <f>+INPUT!DO167</f>
        <v>940</v>
      </c>
      <c r="CQ267" s="240" t="str">
        <f>+INPUT!DP167</f>
        <v>NM</v>
      </c>
      <c r="CR267" s="75">
        <f>+INPUT!DQ167</f>
        <v>1699</v>
      </c>
      <c r="CS267" s="240">
        <f>+INPUT!DR167</f>
        <v>75.516528925619838</v>
      </c>
      <c r="CT267" s="75">
        <f>+INPUT!DS167</f>
        <v>1629</v>
      </c>
      <c r="CU267" s="240">
        <f>+INPUT!DT167</f>
        <v>13.046495489243568</v>
      </c>
      <c r="CV267" s="75">
        <f>+INPUT!DU167</f>
        <v>83</v>
      </c>
      <c r="CW267" s="240" t="str">
        <f>+INPUT!DV167</f>
        <v>NM</v>
      </c>
      <c r="CX267" s="75">
        <f>+INPUT!DW167</f>
        <v>1106</v>
      </c>
      <c r="CY267" s="240">
        <f>+INPUT!DX167</f>
        <v>17.659574468085111</v>
      </c>
      <c r="CZ267" s="75">
        <f>+INPUT!DY167</f>
        <v>658</v>
      </c>
      <c r="DA267" s="240" t="str">
        <f>+INPUT!DZ167</f>
        <v>NM</v>
      </c>
      <c r="DB267" s="75">
        <f>+INPUT!EA167</f>
        <v>2198</v>
      </c>
      <c r="DC267" s="240">
        <f>+INPUT!EB167</f>
        <v>34.92940454266423</v>
      </c>
      <c r="DD267" s="75">
        <f>+INPUT!EC167</f>
        <v>2053</v>
      </c>
      <c r="DE267" s="240" t="str">
        <f>+INPUT!ED167</f>
        <v>NM</v>
      </c>
      <c r="DF267" s="75">
        <f>+INPUT!EE167</f>
        <v>1953</v>
      </c>
      <c r="DG267" s="240">
        <f>+INPUT!EF167</f>
        <v>76.582278481012679</v>
      </c>
      <c r="DH267" s="75">
        <f>+INPUT!EG167</f>
        <v>-905</v>
      </c>
      <c r="DI267" s="240" t="str">
        <f>+INPUT!EH167</f>
        <v>NM</v>
      </c>
      <c r="DJ267" s="75">
        <f>+INPUT!EI167</f>
        <v>1229</v>
      </c>
      <c r="DK267" s="240">
        <f>+INPUT!EJ167</f>
        <v>-44.085532302092808</v>
      </c>
      <c r="DL267" s="75">
        <f>+INPUT!EK167</f>
        <v>1673</v>
      </c>
      <c r="DM267" s="240">
        <f>+INPUT!EL167</f>
        <v>-18.509498295177778</v>
      </c>
      <c r="DN267" s="75">
        <f>+INPUT!EM167</f>
        <v>1341</v>
      </c>
      <c r="DO267" s="240">
        <f>+INPUT!EN167</f>
        <v>-31.336405529953907</v>
      </c>
      <c r="DP267" s="75">
        <f>+INPUT!EO167</f>
        <v>947</v>
      </c>
      <c r="DQ267" s="240" t="str">
        <f>+INPUT!EP167</f>
        <v>NM</v>
      </c>
      <c r="DR267" s="75">
        <f>+INPUT!EQ167</f>
        <v>-700.1712</v>
      </c>
      <c r="DS267" s="240" t="str">
        <f>+INPUT!ER167</f>
        <v>NM</v>
      </c>
      <c r="DT267" s="75">
        <f>+INPUT!ES167</f>
        <v>1165.6683528000001</v>
      </c>
      <c r="DU267" s="240">
        <f>+INPUT!ET167</f>
        <v>-30.324665104602502</v>
      </c>
      <c r="DV267" s="75">
        <f>+INPUT!EU167</f>
        <v>1175.5765337988</v>
      </c>
      <c r="DW267" s="240">
        <f>+INPUT!EV167</f>
        <v>-12.335828948635339</v>
      </c>
      <c r="DX267" s="75">
        <f>+INPUT!EW167</f>
        <v>1185.5689343360898</v>
      </c>
      <c r="DY267" s="240">
        <f>+INPUT!EX167</f>
        <v>25.192073319544846</v>
      </c>
      <c r="DZ267" s="75"/>
      <c r="EA267" s="240"/>
      <c r="EB267" s="155" t="str">
        <f>+INPUT!FI167</f>
        <v>NM</v>
      </c>
      <c r="EC267" s="75">
        <f>+INPUT!FJ167</f>
        <v>0</v>
      </c>
      <c r="ED267" s="155" t="str">
        <f>+INPUT!FK167</f>
        <v>NA</v>
      </c>
      <c r="EE267" s="75">
        <f>+INPUT!FL167</f>
        <v>0</v>
      </c>
      <c r="EF267" s="155" t="str">
        <f>+INPUT!FM167</f>
        <v>NA</v>
      </c>
      <c r="EG267" s="75">
        <f>+INPUT!FN167</f>
        <v>2691</v>
      </c>
      <c r="EH267" s="155" t="str">
        <f>+INPUT!FO167</f>
        <v>NA</v>
      </c>
      <c r="EI267" s="75">
        <f>+INPUT!FP167</f>
        <v>2319</v>
      </c>
      <c r="EJ267" s="240">
        <f>+INPUT!FQ167</f>
        <v>-13.823857302118171</v>
      </c>
      <c r="EK267" s="75">
        <f>+INPUT!FR167</f>
        <v>2247</v>
      </c>
      <c r="EL267" s="240">
        <f>+INPUT!FS167</f>
        <v>-3.1047865459249664</v>
      </c>
      <c r="EM267" s="75">
        <f>+INPUT!FT167</f>
        <v>2765</v>
      </c>
      <c r="EN267" s="240">
        <f>+INPUT!FU167</f>
        <v>23.052959501557638</v>
      </c>
      <c r="EO267" s="75">
        <f>+INPUT!FV167</f>
        <v>2198</v>
      </c>
      <c r="EP267" s="240">
        <f>+INPUT!FW167</f>
        <v>-20.506329113924053</v>
      </c>
      <c r="EQ267" s="75">
        <f>+INPUT!FX167</f>
        <v>2287</v>
      </c>
      <c r="ER267" s="240">
        <f>+INPUT!FY167</f>
        <v>4.0491355777979976</v>
      </c>
      <c r="ES267" s="75">
        <f>+INPUT!FZ167</f>
        <v>3370</v>
      </c>
      <c r="ET267" s="240">
        <f>+INPUT!GA167</f>
        <v>47.354613030170526</v>
      </c>
      <c r="EU267" s="75">
        <f>+INPUT!GB167</f>
        <v>4581</v>
      </c>
      <c r="EV267" s="240">
        <f>+INPUT!GC167</f>
        <v>35.934718100890223</v>
      </c>
      <c r="EW267" s="75">
        <f>+INPUT!GD167</f>
        <v>4787</v>
      </c>
      <c r="EX267" s="240">
        <f>+INPUT!GE167</f>
        <v>4.4968347522375041</v>
      </c>
      <c r="EY267" s="75">
        <f>+INPUT!GF167</f>
        <v>920</v>
      </c>
      <c r="EZ267" s="240" t="str">
        <f>+INPUT!GG167</f>
        <v>NM</v>
      </c>
      <c r="FA267" s="75">
        <f>+INPUT!GH167</f>
        <v>5833</v>
      </c>
      <c r="FB267" s="240" t="str">
        <f>+INPUT!GI167</f>
        <v>NM</v>
      </c>
      <c r="FC267" s="75">
        <f>+INPUT!GJ167</f>
        <v>3476</v>
      </c>
      <c r="FD267" s="240">
        <f>+INPUT!GK167</f>
        <v>-40.408023315618038</v>
      </c>
      <c r="FE267" s="75">
        <f>+INPUT!GL167</f>
        <v>5299</v>
      </c>
      <c r="FF267" s="240">
        <f>+INPUT!GM167</f>
        <v>52.445339470655938</v>
      </c>
      <c r="FG267" s="75">
        <f>+INPUT!GN167</f>
        <v>5190</v>
      </c>
      <c r="FH267" s="240">
        <f>+INPUT!GO167</f>
        <v>-2.0569918852613682</v>
      </c>
      <c r="FI267" s="75">
        <f>+INPUT!GP167</f>
        <v>2826.6426209348901</v>
      </c>
      <c r="FJ267" s="240">
        <f>+INPUT!GQ167</f>
        <v>-45.536751041716947</v>
      </c>
      <c r="FK267" s="75">
        <f>+INPUT!GR167</f>
        <v>4782.5850811117871</v>
      </c>
      <c r="FL267" s="240">
        <f>+INPUT!GS167</f>
        <v>69.196666238973791</v>
      </c>
      <c r="FM267" s="75">
        <f>+INPUT!GT167</f>
        <v>4945.1929738695881</v>
      </c>
      <c r="FN267" s="240">
        <f>+INPUT!GU167</f>
        <v>3.4000000000000057</v>
      </c>
      <c r="FO267" s="75">
        <f>+INPUT!GV167</f>
        <v>5113.3295349811533</v>
      </c>
      <c r="FP267" s="240">
        <f>+INPUT!GW167</f>
        <v>3.3999999999999773</v>
      </c>
      <c r="FQ267" s="75">
        <f>+INPUT!GX167</f>
        <v>5287.1827391705128</v>
      </c>
      <c r="FR267" s="240">
        <f>+INPUT!GY167</f>
        <v>3.4000000000000057</v>
      </c>
      <c r="FS267" s="240">
        <f>+INPUT!GZ167</f>
        <v>0.3717260608327777</v>
      </c>
    </row>
    <row r="268" spans="1:175" ht="12.75" hidden="1" customHeight="1" outlineLevel="1" x14ac:dyDescent="0.2">
      <c r="A268" s="246" t="str">
        <f>+INPUT!B168</f>
        <v xml:space="preserve">  Other</v>
      </c>
      <c r="B268" s="75"/>
      <c r="C268" s="155"/>
      <c r="D268" s="75"/>
      <c r="E268" s="155"/>
      <c r="F268" s="75"/>
      <c r="G268" s="155"/>
      <c r="H268" s="75"/>
      <c r="I268" s="155"/>
      <c r="J268" s="75">
        <f>+INPUT!AI168</f>
        <v>-387</v>
      </c>
      <c r="K268" s="155" t="str">
        <f>+INPUT!AJ168</f>
        <v>NA</v>
      </c>
      <c r="L268" s="75">
        <f>+INPUT!AK168</f>
        <v>6873</v>
      </c>
      <c r="M268" s="155" t="str">
        <f>+INPUT!AL168</f>
        <v>NA</v>
      </c>
      <c r="N268" s="75">
        <f>+INPUT!AM168</f>
        <v>-12</v>
      </c>
      <c r="O268" s="155" t="str">
        <f>+INPUT!AN168</f>
        <v>NA</v>
      </c>
      <c r="P268" s="75">
        <f>+INPUT!AO168</f>
        <v>128</v>
      </c>
      <c r="Q268" s="155" t="str">
        <f>+INPUT!AP168</f>
        <v>NA</v>
      </c>
      <c r="R268" s="75">
        <f>+INPUT!AQ168</f>
        <v>-362</v>
      </c>
      <c r="S268" s="155">
        <f>+INPUT!AR168</f>
        <v>-6.4599483204134316</v>
      </c>
      <c r="T268" s="75">
        <f>+INPUT!AS168</f>
        <v>-227</v>
      </c>
      <c r="U268" s="155" t="str">
        <f>+INPUT!AT168</f>
        <v>NM</v>
      </c>
      <c r="V268" s="75">
        <f>+INPUT!AU168</f>
        <v>88</v>
      </c>
      <c r="W268" s="155" t="str">
        <f>+INPUT!AV168</f>
        <v>NM</v>
      </c>
      <c r="X268" s="75">
        <f>+INPUT!AW168</f>
        <v>50</v>
      </c>
      <c r="Y268" s="155" t="str">
        <f>+INPUT!AX168</f>
        <v>NM</v>
      </c>
      <c r="Z268" s="75">
        <f>+INPUT!AY168</f>
        <v>-131</v>
      </c>
      <c r="AA268" s="155" t="str">
        <f>+INPUT!AZ168</f>
        <v>NM</v>
      </c>
      <c r="AB268" s="75">
        <f>+INPUT!BA168</f>
        <v>-384</v>
      </c>
      <c r="AC268" s="155">
        <f>+INPUT!BB168</f>
        <v>69.162995594713664</v>
      </c>
      <c r="AD268" s="75">
        <f>+INPUT!BC168</f>
        <v>267</v>
      </c>
      <c r="AE268" s="155" t="str">
        <f>+INPUT!BD168</f>
        <v>NM</v>
      </c>
      <c r="AF268" s="75">
        <f>+INPUT!BE168</f>
        <v>553</v>
      </c>
      <c r="AG268" s="155" t="str">
        <f>+INPUT!BF168</f>
        <v>NM</v>
      </c>
      <c r="AH268" s="75">
        <f>+INPUT!BG168</f>
        <v>-5</v>
      </c>
      <c r="AI268" s="240" t="str">
        <f>+INPUT!BH168</f>
        <v>NM</v>
      </c>
      <c r="AJ268" s="75">
        <f>+INPUT!BI168</f>
        <v>-258</v>
      </c>
      <c r="AK268" s="240">
        <f>+INPUT!BJ168</f>
        <v>-32.8125</v>
      </c>
      <c r="AL268" s="75">
        <f>+INPUT!BK168</f>
        <v>416</v>
      </c>
      <c r="AM268" s="240">
        <f>+INPUT!BL168</f>
        <v>55.805243445692895</v>
      </c>
      <c r="AN268" s="75">
        <f>+INPUT!BM168</f>
        <v>-371</v>
      </c>
      <c r="AO268" s="240" t="str">
        <f>+INPUT!BN168</f>
        <v>NM</v>
      </c>
      <c r="AP268" s="75">
        <f>+INPUT!BO168</f>
        <v>-593</v>
      </c>
      <c r="AQ268" s="240" t="str">
        <f>+INPUT!BP168</f>
        <v>NM</v>
      </c>
      <c r="AR268" s="75">
        <f>+INPUT!BQ168</f>
        <v>-57</v>
      </c>
      <c r="AS268" s="240" t="str">
        <f>+INPUT!BR168</f>
        <v>NM</v>
      </c>
      <c r="AT268" s="75">
        <f>+INPUT!BS168</f>
        <v>-563</v>
      </c>
      <c r="AU268" s="240" t="str">
        <f>+INPUT!BT168</f>
        <v>NM</v>
      </c>
      <c r="AV268" s="75">
        <f>+INPUT!BU168</f>
        <v>-431</v>
      </c>
      <c r="AW268" s="240">
        <f>+INPUT!BV168</f>
        <v>16.17250673854447</v>
      </c>
      <c r="AX268" s="75">
        <f>+INPUT!BW168</f>
        <v>101</v>
      </c>
      <c r="AY268" s="240" t="str">
        <f>+INPUT!BX168</f>
        <v>NM</v>
      </c>
      <c r="AZ268" s="75">
        <f>+INPUT!BY168</f>
        <v>-1304</v>
      </c>
      <c r="BA268" s="240" t="str">
        <f>+INPUT!BZ168</f>
        <v>NM</v>
      </c>
      <c r="BB268" s="75">
        <f>+INPUT!CA168</f>
        <v>308</v>
      </c>
      <c r="BC268" s="240" t="str">
        <f>+INPUT!CB168</f>
        <v>NM</v>
      </c>
      <c r="BD268" s="75">
        <f>+INPUT!CC168</f>
        <v>56</v>
      </c>
      <c r="BE268" s="240" t="str">
        <f>+INPUT!CD168</f>
        <v>NM</v>
      </c>
      <c r="BF268" s="75">
        <f>+INPUT!CE168</f>
        <v>324</v>
      </c>
      <c r="BG268" s="240" t="str">
        <f>+INPUT!CF168</f>
        <v>NM</v>
      </c>
      <c r="BH268" s="75">
        <f>+INPUT!CG168</f>
        <v>59</v>
      </c>
      <c r="BI268" s="240" t="str">
        <f>+INPUT!CH168</f>
        <v>NM</v>
      </c>
      <c r="BJ268" s="75">
        <f>+INPUT!CI168</f>
        <v>363</v>
      </c>
      <c r="BK268" s="240">
        <f>+INPUT!CJ168</f>
        <v>17.857142857142861</v>
      </c>
      <c r="BL268" s="75">
        <f>+INPUT!CK168</f>
        <v>-181</v>
      </c>
      <c r="BM268" s="240" t="str">
        <f>+INPUT!CL168</f>
        <v>NM</v>
      </c>
      <c r="BN268" s="75">
        <f>+INPUT!CM168</f>
        <v>-430</v>
      </c>
      <c r="BO268" s="240" t="str">
        <f>+INPUT!CN168</f>
        <v>NM</v>
      </c>
      <c r="BP268" s="75">
        <f>+INPUT!CO168</f>
        <v>-106</v>
      </c>
      <c r="BQ268" s="240" t="str">
        <f>+INPUT!CP168</f>
        <v>NM</v>
      </c>
      <c r="BR268" s="75">
        <f>+INPUT!CQ168</f>
        <v>136</v>
      </c>
      <c r="BS268" s="240" t="str">
        <f>+INPUT!CR168</f>
        <v>NM</v>
      </c>
      <c r="BT268" s="75">
        <f>+INPUT!CS168</f>
        <v>102</v>
      </c>
      <c r="BU268" s="240" t="str">
        <f>+INPUT!CT168</f>
        <v>NM</v>
      </c>
      <c r="BV268" s="75">
        <f>+INPUT!CU168</f>
        <v>-25</v>
      </c>
      <c r="BW268" s="240" t="str">
        <f>+INPUT!CV168</f>
        <v>NM</v>
      </c>
      <c r="BX268" s="75">
        <f>+INPUT!CW168</f>
        <v>1403</v>
      </c>
      <c r="BY268" s="240" t="str">
        <f>+INPUT!CX168</f>
        <v>NM</v>
      </c>
      <c r="BZ268" s="75">
        <f>+INPUT!CY168</f>
        <v>-724</v>
      </c>
      <c r="CA268" s="240" t="str">
        <f>+INPUT!CZ168</f>
        <v>NM</v>
      </c>
      <c r="CB268" s="75">
        <f>+INPUT!DA168</f>
        <v>-605</v>
      </c>
      <c r="CC268" s="240" t="str">
        <f>+INPUT!DB168</f>
        <v>NM</v>
      </c>
      <c r="CD268" s="75">
        <f>+INPUT!DC168</f>
        <v>-152</v>
      </c>
      <c r="CE268" s="240" t="str">
        <f>+INPUT!DD168</f>
        <v>NM</v>
      </c>
      <c r="CF268" s="75">
        <f>+INPUT!DE168</f>
        <v>-146</v>
      </c>
      <c r="CG268" s="240" t="str">
        <f>+INPUT!DF168</f>
        <v>NM</v>
      </c>
      <c r="CH268" s="75">
        <f>+INPUT!DG168</f>
        <v>40</v>
      </c>
      <c r="CI268" s="240" t="str">
        <f>+INPUT!DH168</f>
        <v>NM</v>
      </c>
      <c r="CJ268" s="75">
        <f>+INPUT!DI168</f>
        <v>-38</v>
      </c>
      <c r="CK268" s="240" t="str">
        <f>+INPUT!DJ168</f>
        <v>NM</v>
      </c>
      <c r="CL268" s="75">
        <f>+INPUT!DK168</f>
        <v>102</v>
      </c>
      <c r="CM268" s="240" t="str">
        <f>+INPUT!DL168</f>
        <v>NM</v>
      </c>
      <c r="CN268" s="75">
        <f>+INPUT!DM168</f>
        <v>84</v>
      </c>
      <c r="CO268" s="240" t="str">
        <f>+INPUT!DN168</f>
        <v>NM</v>
      </c>
      <c r="CP268" s="75">
        <f>+INPUT!DO168</f>
        <v>-1713</v>
      </c>
      <c r="CQ268" s="240" t="str">
        <f>+INPUT!DP168</f>
        <v>NM</v>
      </c>
      <c r="CR268" s="75">
        <f>+INPUT!DQ168</f>
        <v>-1324</v>
      </c>
      <c r="CS268" s="240" t="str">
        <f>+INPUT!DR168</f>
        <v>NM</v>
      </c>
      <c r="CT268" s="75">
        <f>+INPUT!DS168</f>
        <v>-1624</v>
      </c>
      <c r="CU268" s="240" t="str">
        <f>+INPUT!DT168</f>
        <v>NM</v>
      </c>
      <c r="CV268" s="75">
        <f>+INPUT!DU168</f>
        <v>1256</v>
      </c>
      <c r="CW268" s="240" t="str">
        <f>+INPUT!DV168</f>
        <v>NM</v>
      </c>
      <c r="CX268" s="75">
        <f>+INPUT!DW168</f>
        <v>-1333</v>
      </c>
      <c r="CY268" s="240">
        <f>+INPUT!DX168</f>
        <v>-22.183304144775249</v>
      </c>
      <c r="CZ268" s="75">
        <f>+INPUT!DY168</f>
        <v>-1636</v>
      </c>
      <c r="DA268" s="240">
        <f>+INPUT!DZ168</f>
        <v>23.564954682779458</v>
      </c>
      <c r="DB268" s="75">
        <f>+INPUT!EA168</f>
        <v>-621</v>
      </c>
      <c r="DC268" s="240" t="str">
        <f>+INPUT!EB168</f>
        <v>NM</v>
      </c>
      <c r="DD268" s="75">
        <f>+INPUT!EC168</f>
        <v>-2292</v>
      </c>
      <c r="DE268" s="240" t="str">
        <f>+INPUT!ED168</f>
        <v>NM</v>
      </c>
      <c r="DF268" s="75">
        <f>+INPUT!EE168</f>
        <v>-1179</v>
      </c>
      <c r="DG268" s="240">
        <f>+INPUT!EF168</f>
        <v>-11.552888222055515</v>
      </c>
      <c r="DH268" s="75">
        <f>+INPUT!EG168</f>
        <v>-1774</v>
      </c>
      <c r="DI268" s="240">
        <f>+INPUT!EH168</f>
        <v>8.4352078239608801</v>
      </c>
      <c r="DJ268" s="75">
        <f>+INPUT!EI168</f>
        <v>709</v>
      </c>
      <c r="DK268" s="240" t="str">
        <f>+INPUT!EJ168</f>
        <v>NM</v>
      </c>
      <c r="DL268" s="75">
        <f>+INPUT!EK168</f>
        <v>1436</v>
      </c>
      <c r="DM268" s="240" t="str">
        <f>+INPUT!EL168</f>
        <v>NM</v>
      </c>
      <c r="DN268" s="75">
        <f>+INPUT!EM168</f>
        <v>-764</v>
      </c>
      <c r="DO268" s="240">
        <f>+INPUT!EN168</f>
        <v>-35.199321458863437</v>
      </c>
      <c r="DP268" s="75">
        <f>+INPUT!EO168</f>
        <v>321</v>
      </c>
      <c r="DQ268" s="240" t="str">
        <f>+INPUT!EP168</f>
        <v>NM</v>
      </c>
      <c r="DR268" s="75">
        <f>+INPUT!EQ168</f>
        <v>0</v>
      </c>
      <c r="DS268" s="240" t="str">
        <f>+INPUT!ER168</f>
        <v>NM</v>
      </c>
      <c r="DT268" s="75">
        <f>+INPUT!ES168</f>
        <v>0</v>
      </c>
      <c r="DU268" s="240" t="str">
        <f>+INPUT!ET168</f>
        <v>NM</v>
      </c>
      <c r="DV268" s="75">
        <f>+INPUT!EU168</f>
        <v>0</v>
      </c>
      <c r="DW268" s="240" t="str">
        <f>+INPUT!EV168</f>
        <v>NM</v>
      </c>
      <c r="DX268" s="75">
        <f>+INPUT!EW168</f>
        <v>0</v>
      </c>
      <c r="DY268" s="240" t="str">
        <f>+INPUT!EX168</f>
        <v>NM</v>
      </c>
      <c r="DZ268" s="75"/>
      <c r="EA268" s="240"/>
      <c r="EB268" s="155" t="str">
        <f>+INPUT!FI168</f>
        <v>NM</v>
      </c>
      <c r="EC268" s="75">
        <f>+INPUT!FJ168</f>
        <v>0</v>
      </c>
      <c r="ED268" s="155" t="str">
        <f>+INPUT!FK168</f>
        <v>NA</v>
      </c>
      <c r="EE268" s="75">
        <f>+INPUT!FL168</f>
        <v>0</v>
      </c>
      <c r="EF268" s="155" t="str">
        <f>+INPUT!FM168</f>
        <v>NA</v>
      </c>
      <c r="EG268" s="75">
        <f>+INPUT!FN168</f>
        <v>6602</v>
      </c>
      <c r="EH268" s="155" t="str">
        <f>+INPUT!FO168</f>
        <v>NA</v>
      </c>
      <c r="EI268" s="75">
        <f>+INPUT!FP168</f>
        <v>-451</v>
      </c>
      <c r="EJ268" s="240" t="str">
        <f>+INPUT!FQ168</f>
        <v>NM</v>
      </c>
      <c r="EK268" s="75">
        <f>+INPUT!FR168</f>
        <v>305</v>
      </c>
      <c r="EL268" s="240" t="str">
        <f>+INPUT!FS168</f>
        <v>NM</v>
      </c>
      <c r="EM268" s="75">
        <f>+INPUT!FT168</f>
        <v>-218</v>
      </c>
      <c r="EN268" s="240" t="str">
        <f>+INPUT!FU168</f>
        <v>NM</v>
      </c>
      <c r="EO268" s="75">
        <f>+INPUT!FV168</f>
        <v>-1644</v>
      </c>
      <c r="EP268" s="240" t="str">
        <f>+INPUT!FW168</f>
        <v>NM</v>
      </c>
      <c r="EQ268" s="75">
        <f>+INPUT!FX168</f>
        <v>-839</v>
      </c>
      <c r="ER268" s="240">
        <f>+INPUT!FY168</f>
        <v>-48.965936739659369</v>
      </c>
      <c r="ES268" s="75">
        <f>+INPUT!FZ168</f>
        <v>565</v>
      </c>
      <c r="ET268" s="240" t="str">
        <f>+INPUT!GA168</f>
        <v>NM</v>
      </c>
      <c r="EU268" s="75">
        <f>+INPUT!GB168</f>
        <v>-298</v>
      </c>
      <c r="EV268" s="240" t="str">
        <f>+INPUT!GC168</f>
        <v>NM</v>
      </c>
      <c r="EW268" s="75">
        <f>+INPUT!GD168</f>
        <v>49</v>
      </c>
      <c r="EX268" s="240" t="str">
        <f>+INPUT!GE168</f>
        <v>NM</v>
      </c>
      <c r="EY268" s="75">
        <f>+INPUT!GF168</f>
        <v>-296</v>
      </c>
      <c r="EZ268" s="240" t="str">
        <f>+INPUT!GG168</f>
        <v>NM</v>
      </c>
      <c r="FA268" s="75">
        <f>+INPUT!GH168</f>
        <v>-2851</v>
      </c>
      <c r="FB268" s="240" t="str">
        <f>+INPUT!GI168</f>
        <v>NM</v>
      </c>
      <c r="FC268" s="75">
        <f>+INPUT!GJ168</f>
        <v>-3337</v>
      </c>
      <c r="FD268" s="240">
        <f>+INPUT!GK168</f>
        <v>17.046650298141003</v>
      </c>
      <c r="FE268" s="75">
        <f>+INPUT!GL168</f>
        <v>-5866</v>
      </c>
      <c r="FF268" s="240">
        <f>+INPUT!GM168</f>
        <v>75.786634701827978</v>
      </c>
      <c r="FG268" s="75">
        <f>+INPUT!GN168</f>
        <v>1702</v>
      </c>
      <c r="FH268" s="240" t="str">
        <f>+INPUT!GO168</f>
        <v>NM</v>
      </c>
      <c r="FI268" s="75">
        <f>+INPUT!GP168</f>
        <v>0</v>
      </c>
      <c r="FJ268" s="240" t="str">
        <f>+INPUT!GQ168</f>
        <v>NM</v>
      </c>
      <c r="FK268" s="75">
        <f>+INPUT!GR168</f>
        <v>0</v>
      </c>
      <c r="FL268" s="240" t="str">
        <f>+INPUT!GS168</f>
        <v>NA</v>
      </c>
      <c r="FM268" s="75">
        <f>+INPUT!GT168</f>
        <v>0</v>
      </c>
      <c r="FN268" s="240" t="str">
        <f>+INPUT!GU168</f>
        <v>NA</v>
      </c>
      <c r="FO268" s="75">
        <f>+INPUT!GV168</f>
        <v>0</v>
      </c>
      <c r="FP268" s="240" t="str">
        <f>+INPUT!GW168</f>
        <v>NA</v>
      </c>
      <c r="FQ268" s="75">
        <f>+INPUT!GX168</f>
        <v>0</v>
      </c>
      <c r="FR268" s="240" t="str">
        <f>+INPUT!GY168</f>
        <v>NA</v>
      </c>
      <c r="FS268" s="240" t="str">
        <f>+INPUT!GZ168</f>
        <v>NM</v>
      </c>
    </row>
    <row r="269" spans="1:175" ht="12.75" hidden="1" customHeight="1" outlineLevel="1" x14ac:dyDescent="0.2">
      <c r="A269" s="246" t="str">
        <f>+INPUT!B169</f>
        <v>Ending Assets</v>
      </c>
      <c r="B269" s="75"/>
      <c r="C269" s="155"/>
      <c r="D269" s="75"/>
      <c r="E269" s="155"/>
      <c r="F269" s="75"/>
      <c r="G269" s="155"/>
      <c r="H269" s="75"/>
      <c r="I269" s="155"/>
      <c r="J269" s="75">
        <f>+INPUT!AI169</f>
        <v>39510</v>
      </c>
      <c r="K269" s="155" t="str">
        <f>+INPUT!AJ169</f>
        <v>NA</v>
      </c>
      <c r="L269" s="75">
        <f>+INPUT!AK169</f>
        <v>45685</v>
      </c>
      <c r="M269" s="155" t="str">
        <f>+INPUT!AL169</f>
        <v>NA</v>
      </c>
      <c r="N269" s="75">
        <f>+INPUT!AM169</f>
        <v>45856</v>
      </c>
      <c r="O269" s="155" t="str">
        <f>+INPUT!AN169</f>
        <v>NA</v>
      </c>
      <c r="P269" s="75">
        <f>+INPUT!AO169</f>
        <v>47680</v>
      </c>
      <c r="Q269" s="155" t="str">
        <f>+INPUT!AP169</f>
        <v>NA</v>
      </c>
      <c r="R269" s="75">
        <f>+INPUT!AQ169</f>
        <v>47698</v>
      </c>
      <c r="S269" s="155">
        <f>+INPUT!AR169</f>
        <v>20.723867375348021</v>
      </c>
      <c r="T269" s="75">
        <f>+INPUT!AS169</f>
        <v>48612</v>
      </c>
      <c r="U269" s="155">
        <f>+INPUT!AT169</f>
        <v>6.4069169311590173</v>
      </c>
      <c r="V269" s="75">
        <f>+INPUT!AU169</f>
        <v>48917</v>
      </c>
      <c r="W269" s="155">
        <f>+INPUT!AV169</f>
        <v>6.6752442428471852</v>
      </c>
      <c r="X269" s="75">
        <f>+INPUT!AW169</f>
        <v>48080</v>
      </c>
      <c r="Y269" s="155">
        <f>+INPUT!AX169</f>
        <v>0.83892617449663476</v>
      </c>
      <c r="Z269" s="75">
        <f>+INPUT!AY169</f>
        <v>47215</v>
      </c>
      <c r="AA269" s="155">
        <f>+INPUT!AZ169</f>
        <v>-1.0126210742588739</v>
      </c>
      <c r="AB269" s="75">
        <f>+INPUT!BA169</f>
        <v>46913</v>
      </c>
      <c r="AC269" s="155">
        <f>+INPUT!BB169</f>
        <v>-3.4950218053155595</v>
      </c>
      <c r="AD269" s="75">
        <f>+INPUT!BC169</f>
        <v>49468</v>
      </c>
      <c r="AE269" s="155">
        <f>+INPUT!BD169</f>
        <v>1.1263977758243442</v>
      </c>
      <c r="AF269" s="75">
        <f>+INPUT!BE169</f>
        <v>50269</v>
      </c>
      <c r="AG269" s="155">
        <f>+INPUT!BF169</f>
        <v>4.5528286189683911</v>
      </c>
      <c r="AH269" s="75">
        <f>+INPUT!BG169</f>
        <v>50661</v>
      </c>
      <c r="AI269" s="240">
        <f>+INPUT!BH169</f>
        <v>7.2985280101662653</v>
      </c>
      <c r="AJ269" s="75">
        <f>+INPUT!BI169</f>
        <v>50926</v>
      </c>
      <c r="AK269" s="240">
        <f>+INPUT!BJ169</f>
        <v>8.554132116897236</v>
      </c>
      <c r="AL269" s="75">
        <f>+INPUT!BK169</f>
        <v>51627</v>
      </c>
      <c r="AM269" s="240">
        <f>+INPUT!BL169</f>
        <v>4.3644376162367564</v>
      </c>
      <c r="AN269" s="75">
        <f>+INPUT!BM169</f>
        <v>51591</v>
      </c>
      <c r="AO269" s="240">
        <f>+INPUT!BN169</f>
        <v>2.6298513994708514</v>
      </c>
      <c r="AP269" s="75">
        <f>+INPUT!BO169</f>
        <v>51667</v>
      </c>
      <c r="AQ269" s="240">
        <f>+INPUT!BP169</f>
        <v>1.9857484060717354</v>
      </c>
      <c r="AR269" s="75">
        <f>+INPUT!BQ169</f>
        <v>51513</v>
      </c>
      <c r="AS269" s="240">
        <f>+INPUT!BR169</f>
        <v>1.1526528688685573</v>
      </c>
      <c r="AT269" s="75">
        <f>+INPUT!BS169</f>
        <v>50041</v>
      </c>
      <c r="AU269" s="240">
        <f>+INPUT!BT169</f>
        <v>-3.0720359501811032</v>
      </c>
      <c r="AV269" s="75">
        <f>+INPUT!BU169</f>
        <v>50491</v>
      </c>
      <c r="AW269" s="240">
        <f>+INPUT!BV169</f>
        <v>-2.1321548332073519</v>
      </c>
      <c r="AX269" s="75">
        <f>+INPUT!BW169</f>
        <v>49030</v>
      </c>
      <c r="AY269" s="240">
        <f>+INPUT!BX169</f>
        <v>-5.1038380397545779</v>
      </c>
      <c r="AZ269" s="75">
        <f>+INPUT!BY169</f>
        <v>49475</v>
      </c>
      <c r="BA269" s="240">
        <f>+INPUT!BZ169</f>
        <v>-3.9562828800496987</v>
      </c>
      <c r="BB269" s="75">
        <f>+INPUT!CA169</f>
        <v>50137</v>
      </c>
      <c r="BC269" s="240">
        <f>+INPUT!CB169</f>
        <v>0.19184268899500978</v>
      </c>
      <c r="BD269" s="75">
        <f>+INPUT!CC169</f>
        <v>51908</v>
      </c>
      <c r="BE269" s="240">
        <f>+INPUT!CD169</f>
        <v>2.8064407518171492</v>
      </c>
      <c r="BF269" s="75">
        <f>+INPUT!CE169</f>
        <v>52768</v>
      </c>
      <c r="BG269" s="240">
        <f>+INPUT!CF169</f>
        <v>7.6239037324087349</v>
      </c>
      <c r="BH269" s="75">
        <f>+INPUT!CG169</f>
        <v>55965</v>
      </c>
      <c r="BI269" s="240">
        <f>+INPUT!CH169</f>
        <v>13.117736230419411</v>
      </c>
      <c r="BJ269" s="75">
        <f>+INPUT!CI169</f>
        <v>59062</v>
      </c>
      <c r="BK269" s="240">
        <f>+INPUT!CJ169</f>
        <v>17.801224644474132</v>
      </c>
      <c r="BL269" s="75">
        <f>+INPUT!CK169</f>
        <v>64183</v>
      </c>
      <c r="BM269" s="240">
        <f>+INPUT!CL169</f>
        <v>23.647607305232341</v>
      </c>
      <c r="BN269" s="75">
        <f>+INPUT!CM169</f>
        <v>68892</v>
      </c>
      <c r="BO269" s="240">
        <f>+INPUT!CN169</f>
        <v>30.556397816858691</v>
      </c>
      <c r="BP269" s="75">
        <f>+INPUT!CO169</f>
        <v>74131</v>
      </c>
      <c r="BQ269" s="240">
        <f>+INPUT!CP169</f>
        <v>32.459572947377836</v>
      </c>
      <c r="BR269" s="75">
        <f>+INPUT!CQ169</f>
        <v>80513</v>
      </c>
      <c r="BS269" s="240">
        <f>+INPUT!CR169</f>
        <v>36.319460905489137</v>
      </c>
      <c r="BT269" s="75">
        <f>+INPUT!CS169</f>
        <v>90089</v>
      </c>
      <c r="BU269" s="240">
        <f>+INPUT!CT169</f>
        <v>40.362712867893379</v>
      </c>
      <c r="BV269" s="75">
        <f>+INPUT!CU169</f>
        <v>93853</v>
      </c>
      <c r="BW269" s="240">
        <f>+INPUT!CV169</f>
        <v>36.232073390234007</v>
      </c>
      <c r="BX269" s="75">
        <f>+INPUT!CW169</f>
        <v>102443</v>
      </c>
      <c r="BY269" s="240">
        <f>+INPUT!CX169</f>
        <v>38.191849563610361</v>
      </c>
      <c r="BZ269" s="75">
        <f>+INPUT!CY169</f>
        <v>104646</v>
      </c>
      <c r="CA269" s="240">
        <f>+INPUT!CZ169</f>
        <v>29.974041459143251</v>
      </c>
      <c r="CB269" s="75">
        <f>+INPUT!DA169</f>
        <v>141435</v>
      </c>
      <c r="CC269" s="240">
        <f>+INPUT!DB169</f>
        <v>56.994749636470601</v>
      </c>
      <c r="CD269" s="75">
        <f>+INPUT!DC169</f>
        <v>143011</v>
      </c>
      <c r="CE269" s="240">
        <f>+INPUT!DD169</f>
        <v>52.377654417013844</v>
      </c>
      <c r="CF269" s="75">
        <f>+INPUT!DE169</f>
        <v>144101</v>
      </c>
      <c r="CG269" s="240">
        <f>+INPUT!DF169</f>
        <v>40.664564684751525</v>
      </c>
      <c r="CH269" s="75">
        <f>+INPUT!DG169</f>
        <v>147100</v>
      </c>
      <c r="CI269" s="240">
        <f>+INPUT!DH169</f>
        <v>40.569156967299278</v>
      </c>
      <c r="CJ269" s="75">
        <f>+INPUT!DI169</f>
        <v>149402</v>
      </c>
      <c r="CK269" s="240">
        <f>+INPUT!DJ169</f>
        <v>5.6329762788560203</v>
      </c>
      <c r="CL269" s="75">
        <f>+INPUT!DK169</f>
        <v>149661</v>
      </c>
      <c r="CM269" s="240">
        <f>+INPUT!DL169</f>
        <v>4.6499919586605216</v>
      </c>
      <c r="CN269" s="75">
        <f>+INPUT!DM169</f>
        <v>148971</v>
      </c>
      <c r="CO269" s="240">
        <f>+INPUT!DN169</f>
        <v>3.3795740487574619</v>
      </c>
      <c r="CP269" s="75">
        <f>+INPUT!DO169</f>
        <v>175526</v>
      </c>
      <c r="CQ269" s="240">
        <f>+INPUT!DP169</f>
        <v>19.324269204622709</v>
      </c>
      <c r="CR269" s="75">
        <f>+INPUT!DQ169</f>
        <v>179641</v>
      </c>
      <c r="CS269" s="240">
        <f>+INPUT!DR169</f>
        <v>20.240023560594906</v>
      </c>
      <c r="CT269" s="75">
        <f>+INPUT!DS169</f>
        <v>177120</v>
      </c>
      <c r="CU269" s="240">
        <f>+INPUT!DT169</f>
        <v>18.347465271513627</v>
      </c>
      <c r="CV269" s="75">
        <f>+INPUT!DU169</f>
        <v>183798</v>
      </c>
      <c r="CW269" s="240">
        <f>+INPUT!DV169</f>
        <v>23.378375657007069</v>
      </c>
      <c r="CX269" s="75">
        <f>+INPUT!DW169</f>
        <v>181662</v>
      </c>
      <c r="CY269" s="240">
        <f>+INPUT!DX169</f>
        <v>3.4957784031995232</v>
      </c>
      <c r="CZ269" s="75">
        <f>+INPUT!DY169</f>
        <v>179964</v>
      </c>
      <c r="DA269" s="240">
        <f>+INPUT!DZ169</f>
        <v>0.17980305164189758</v>
      </c>
      <c r="DB269" s="75">
        <f>+INPUT!EA169</f>
        <v>180819</v>
      </c>
      <c r="DC269" s="240">
        <f>+INPUT!EB169</f>
        <v>2.0884146341463463</v>
      </c>
      <c r="DD269" s="75">
        <f>+INPUT!EC169</f>
        <v>180882</v>
      </c>
      <c r="DE269" s="240">
        <f>+INPUT!ED169</f>
        <v>-1.5865243364998491</v>
      </c>
      <c r="DF269" s="75">
        <f>+INPUT!EE169</f>
        <v>186224</v>
      </c>
      <c r="DG269" s="240">
        <f>+INPUT!EF169</f>
        <v>2.5112571699089443</v>
      </c>
      <c r="DH269" s="75">
        <f>+INPUT!EG169</f>
        <v>183376</v>
      </c>
      <c r="DI269" s="240">
        <f>+INPUT!EH169</f>
        <v>1.8959347425040391</v>
      </c>
      <c r="DJ269" s="75">
        <f>+INPUT!EI169</f>
        <v>185115</v>
      </c>
      <c r="DK269" s="240">
        <f>+INPUT!EJ169</f>
        <v>2.3758565195029462</v>
      </c>
      <c r="DL269" s="75">
        <f>+INPUT!EK169</f>
        <v>186610</v>
      </c>
      <c r="DM269" s="240">
        <f>+INPUT!EL169</f>
        <v>3.1667053659291753</v>
      </c>
      <c r="DN269" s="75">
        <f>+INPUT!EM169</f>
        <v>188399</v>
      </c>
      <c r="DO269" s="240">
        <f>+INPUT!EN169</f>
        <v>1.1679482773434131</v>
      </c>
      <c r="DP269" s="75">
        <f>+INPUT!EO169</f>
        <v>194492</v>
      </c>
      <c r="DQ269" s="240">
        <f>+INPUT!EP169</f>
        <v>6.0618619666695821</v>
      </c>
      <c r="DR269" s="75">
        <f>+INPUT!EQ169</f>
        <v>194278.0588</v>
      </c>
      <c r="DS269" s="240">
        <f>+INPUT!ER169</f>
        <v>4.9499277746265733</v>
      </c>
      <c r="DT269" s="75">
        <f>+INPUT!ES169</f>
        <v>195929.4222998</v>
      </c>
      <c r="DU269" s="240">
        <f>+INPUT!ET169</f>
        <v>4.9940637156636853</v>
      </c>
      <c r="DV269" s="75">
        <f>+INPUT!EU169</f>
        <v>197594.82238934829</v>
      </c>
      <c r="DW269" s="240">
        <f>+INPUT!EV169</f>
        <v>4.8810356686332312</v>
      </c>
      <c r="DX269" s="75">
        <f>+INPUT!EW169</f>
        <v>199274.37837965775</v>
      </c>
      <c r="DY269" s="240">
        <f>+INPUT!EX169</f>
        <v>2.4589075024462375</v>
      </c>
      <c r="DZ269" s="75"/>
      <c r="EA269" s="240"/>
      <c r="EB269" s="155">
        <f>+INPUT!FI169</f>
        <v>0</v>
      </c>
      <c r="EC269" s="75">
        <f>+INPUT!FJ169</f>
        <v>41577</v>
      </c>
      <c r="ED269" s="155">
        <f>+INPUT!FK169</f>
        <v>0</v>
      </c>
      <c r="EE269" s="75">
        <f>+INPUT!FL169</f>
        <v>41577</v>
      </c>
      <c r="EF269" s="155">
        <f>+INPUT!FM169</f>
        <v>0</v>
      </c>
      <c r="EG269" s="75">
        <f>+INPUT!FN169</f>
        <v>47680</v>
      </c>
      <c r="EH269" s="155">
        <f>+INPUT!FO169</f>
        <v>14.678788753397328</v>
      </c>
      <c r="EI269" s="75">
        <f>+INPUT!FP169</f>
        <v>48080</v>
      </c>
      <c r="EJ269" s="240">
        <f>+INPUT!FQ169</f>
        <v>0.83892617449663476</v>
      </c>
      <c r="EK269" s="75">
        <f>+INPUT!FR169</f>
        <v>50269</v>
      </c>
      <c r="EL269" s="240">
        <f>+INPUT!FS169</f>
        <v>4.5528286189683911</v>
      </c>
      <c r="EM269" s="75">
        <f>+INPUT!FT169</f>
        <v>51591</v>
      </c>
      <c r="EN269" s="240">
        <f>+INPUT!FU169</f>
        <v>2.6298513994708514</v>
      </c>
      <c r="EO269" s="75">
        <f>+INPUT!FV169</f>
        <v>50491</v>
      </c>
      <c r="EP269" s="240">
        <f>+INPUT!FW169</f>
        <v>-2.1321548332073519</v>
      </c>
      <c r="EQ269" s="75">
        <f>+INPUT!FX169</f>
        <v>51908</v>
      </c>
      <c r="ER269" s="240">
        <f>+INPUT!FY169</f>
        <v>2.8064407518171492</v>
      </c>
      <c r="ES269" s="75">
        <f>+INPUT!FZ169</f>
        <v>64183</v>
      </c>
      <c r="ET269" s="240">
        <f>+INPUT!GA169</f>
        <v>23.647607305232341</v>
      </c>
      <c r="EU269" s="75">
        <f>+INPUT!GB169</f>
        <v>90089</v>
      </c>
      <c r="EV269" s="240">
        <f>+INPUT!GC169</f>
        <v>40.362712867893379</v>
      </c>
      <c r="EW269" s="75">
        <f>+INPUT!GD169</f>
        <v>141435</v>
      </c>
      <c r="EX269" s="240">
        <f>+INPUT!GE169</f>
        <v>56.994749636470601</v>
      </c>
      <c r="EY269" s="75">
        <f>+INPUT!GF169</f>
        <v>149402</v>
      </c>
      <c r="EZ269" s="240">
        <f>+INPUT!GG169</f>
        <v>5.6329762788560203</v>
      </c>
      <c r="FA269" s="75">
        <f>+INPUT!GH169</f>
        <v>179641</v>
      </c>
      <c r="FB269" s="240">
        <f>+INPUT!GI169</f>
        <v>20.240023560594906</v>
      </c>
      <c r="FC269" s="75">
        <f>+INPUT!GJ169</f>
        <v>179964</v>
      </c>
      <c r="FD269" s="240">
        <f>+INPUT!GK169</f>
        <v>0.17980305164189758</v>
      </c>
      <c r="FE269" s="75">
        <f>+INPUT!GL169</f>
        <v>183376</v>
      </c>
      <c r="FF269" s="240">
        <f>+INPUT!GM169</f>
        <v>1.8959347425040391</v>
      </c>
      <c r="FG269" s="75">
        <f>+INPUT!GN169</f>
        <v>194492</v>
      </c>
      <c r="FH269" s="240">
        <f>+INPUT!GO169</f>
        <v>6.0618619666695821</v>
      </c>
      <c r="FI269" s="75">
        <f>+INPUT!GP169</f>
        <v>199274.37837965778</v>
      </c>
      <c r="FJ269" s="240">
        <f>+INPUT!GQ169</f>
        <v>2.4589075024462659</v>
      </c>
      <c r="FK269" s="75">
        <f>+INPUT!GR169</f>
        <v>206049.70724456615</v>
      </c>
      <c r="FL269" s="240">
        <f>+INPUT!GS169</f>
        <v>3.4000000000000057</v>
      </c>
      <c r="FM269" s="75">
        <f>+INPUT!GT169</f>
        <v>213055.39729088137</v>
      </c>
      <c r="FN269" s="240">
        <f>+INPUT!GU169</f>
        <v>3.3999999999999773</v>
      </c>
      <c r="FO269" s="75">
        <f>+INPUT!GV169</f>
        <v>220299.28079877136</v>
      </c>
      <c r="FP269" s="240">
        <f>+INPUT!GW169</f>
        <v>3.4000000000000057</v>
      </c>
      <c r="FQ269" s="75">
        <f>+INPUT!GX169</f>
        <v>227789.45634592956</v>
      </c>
      <c r="FR269" s="240">
        <f>+INPUT!GY169</f>
        <v>3.3999999999999773</v>
      </c>
      <c r="FS269" s="240">
        <f>+INPUT!GZ169</f>
        <v>3.2110925081663133</v>
      </c>
    </row>
    <row r="270" spans="1:175" ht="12.75" hidden="1" customHeight="1" outlineLevel="1" x14ac:dyDescent="0.2">
      <c r="A270" s="246"/>
      <c r="B270" s="75"/>
      <c r="C270" s="155"/>
      <c r="D270" s="75"/>
      <c r="E270" s="155"/>
      <c r="F270" s="75"/>
      <c r="G270" s="155"/>
      <c r="H270" s="75"/>
      <c r="I270" s="155"/>
      <c r="J270" s="75"/>
      <c r="K270" s="155"/>
      <c r="L270" s="75"/>
      <c r="M270" s="155"/>
      <c r="N270" s="75"/>
      <c r="O270" s="155"/>
      <c r="P270" s="75"/>
      <c r="Q270" s="155"/>
      <c r="R270" s="75"/>
      <c r="S270" s="155"/>
      <c r="T270" s="75"/>
      <c r="U270" s="155"/>
      <c r="V270" s="75"/>
      <c r="W270" s="155"/>
      <c r="X270" s="75"/>
      <c r="Y270" s="155"/>
      <c r="Z270" s="75"/>
      <c r="AA270" s="155"/>
      <c r="AB270" s="75"/>
      <c r="AC270" s="155"/>
      <c r="AD270" s="75"/>
      <c r="AE270" s="155"/>
      <c r="AF270" s="75"/>
      <c r="AG270" s="155"/>
      <c r="AH270" s="75"/>
      <c r="AI270" s="240"/>
      <c r="AJ270" s="75"/>
      <c r="AK270" s="240"/>
      <c r="AL270" s="75"/>
      <c r="AM270" s="240"/>
      <c r="AN270" s="75"/>
      <c r="AO270" s="240"/>
      <c r="AP270" s="75"/>
      <c r="AQ270" s="240"/>
      <c r="AR270" s="75"/>
      <c r="AS270" s="240"/>
      <c r="AT270" s="75"/>
      <c r="AU270" s="240"/>
      <c r="AV270" s="75"/>
      <c r="AW270" s="240"/>
      <c r="AX270" s="75"/>
      <c r="AY270" s="240"/>
      <c r="AZ270" s="75"/>
      <c r="BA270" s="240"/>
      <c r="BB270" s="75"/>
      <c r="BC270" s="240"/>
      <c r="BD270" s="75"/>
      <c r="BE270" s="240"/>
      <c r="BF270" s="75"/>
      <c r="BG270" s="240"/>
      <c r="BH270" s="75"/>
      <c r="BI270" s="240"/>
      <c r="BJ270" s="75"/>
      <c r="BK270" s="240"/>
      <c r="BL270" s="75"/>
      <c r="BM270" s="240"/>
      <c r="BN270" s="75"/>
      <c r="BO270" s="240"/>
      <c r="BP270" s="75"/>
      <c r="BQ270" s="240"/>
      <c r="BR270" s="75"/>
      <c r="BS270" s="240"/>
      <c r="BT270" s="75"/>
      <c r="BU270" s="240"/>
      <c r="BV270" s="75"/>
      <c r="BW270" s="240"/>
      <c r="BX270" s="75"/>
      <c r="BY270" s="240"/>
      <c r="BZ270" s="75"/>
      <c r="CA270" s="240"/>
      <c r="CB270" s="75"/>
      <c r="CC270" s="240"/>
      <c r="CD270" s="75"/>
      <c r="CE270" s="240"/>
      <c r="CF270" s="75"/>
      <c r="CG270" s="240"/>
      <c r="CH270" s="75"/>
      <c r="CI270" s="240"/>
      <c r="CJ270" s="75"/>
      <c r="CK270" s="240"/>
      <c r="CL270" s="75"/>
      <c r="CM270" s="240"/>
      <c r="CN270" s="75"/>
      <c r="CO270" s="240"/>
      <c r="CP270" s="75"/>
      <c r="CQ270" s="240"/>
      <c r="CR270" s="75"/>
      <c r="CS270" s="240"/>
      <c r="CT270" s="75"/>
      <c r="CU270" s="240"/>
      <c r="CV270" s="75"/>
      <c r="CW270" s="240"/>
      <c r="CX270" s="75"/>
      <c r="CY270" s="240"/>
      <c r="CZ270" s="75"/>
      <c r="DA270" s="240"/>
      <c r="DB270" s="75"/>
      <c r="DC270" s="240"/>
      <c r="DD270" s="75"/>
      <c r="DE270" s="240"/>
      <c r="DF270" s="75"/>
      <c r="DG270" s="240"/>
      <c r="DH270" s="75"/>
      <c r="DI270" s="240"/>
      <c r="DJ270" s="75"/>
      <c r="DK270" s="240"/>
      <c r="DL270" s="75"/>
      <c r="DM270" s="240"/>
      <c r="DN270" s="75"/>
      <c r="DO270" s="240"/>
      <c r="DP270" s="75"/>
      <c r="DQ270" s="240"/>
      <c r="DR270" s="75"/>
      <c r="DS270" s="240"/>
      <c r="DT270" s="75"/>
      <c r="DU270" s="240"/>
      <c r="DV270" s="75"/>
      <c r="DW270" s="240"/>
      <c r="DX270" s="75"/>
      <c r="DY270" s="240"/>
      <c r="DZ270" s="75"/>
      <c r="EA270" s="240"/>
      <c r="EB270" s="155"/>
      <c r="EC270" s="75"/>
      <c r="ED270" s="155"/>
      <c r="EE270" s="75"/>
      <c r="EF270" s="155"/>
      <c r="EG270" s="75"/>
      <c r="EH270" s="155"/>
      <c r="EI270" s="75"/>
      <c r="EJ270" s="240"/>
      <c r="EK270" s="75"/>
      <c r="EL270" s="240"/>
      <c r="EM270" s="75"/>
      <c r="EN270" s="240"/>
      <c r="EO270" s="75"/>
      <c r="EP270" s="240"/>
      <c r="EQ270" s="75"/>
      <c r="ER270" s="240"/>
      <c r="ES270" s="75"/>
      <c r="ET270" s="240"/>
      <c r="EU270" s="75"/>
      <c r="EV270" s="240"/>
      <c r="EW270" s="75"/>
      <c r="EX270" s="240"/>
      <c r="EY270" s="75"/>
      <c r="EZ270" s="240"/>
      <c r="FA270" s="75"/>
      <c r="FB270" s="240"/>
      <c r="FC270" s="75"/>
      <c r="FD270" s="240"/>
      <c r="FE270" s="75"/>
      <c r="FF270" s="240"/>
      <c r="FG270" s="75"/>
      <c r="FH270" s="240"/>
      <c r="FI270" s="75"/>
      <c r="FJ270" s="240"/>
      <c r="FK270" s="75"/>
      <c r="FL270" s="240"/>
      <c r="FM270" s="75"/>
      <c r="FN270" s="240"/>
      <c r="FO270" s="75"/>
      <c r="FP270" s="240"/>
      <c r="FQ270" s="75"/>
      <c r="FR270" s="240"/>
      <c r="FS270" s="240"/>
    </row>
    <row r="271" spans="1:175" ht="12.75" hidden="1" customHeight="1" outlineLevel="1" x14ac:dyDescent="0.2">
      <c r="A271" s="246" t="str">
        <f>+INPUT!B179</f>
        <v>Spread-lending Products</v>
      </c>
      <c r="B271" s="75"/>
      <c r="C271" s="155"/>
      <c r="D271" s="75"/>
      <c r="E271" s="155"/>
      <c r="F271" s="75"/>
      <c r="G271" s="155"/>
      <c r="H271" s="75"/>
      <c r="I271" s="155"/>
      <c r="J271" s="75">
        <f>+INPUT!AI179</f>
        <v>39510</v>
      </c>
      <c r="K271" s="155" t="str">
        <f>+INPUT!AJ179</f>
        <v>NA</v>
      </c>
      <c r="L271" s="75">
        <f>+INPUT!AK179</f>
        <v>45685</v>
      </c>
      <c r="M271" s="155" t="str">
        <f>+INPUT!AL179</f>
        <v>NA</v>
      </c>
      <c r="N271" s="75">
        <f>+INPUT!AM179</f>
        <v>45856</v>
      </c>
      <c r="O271" s="155" t="str">
        <f>+INPUT!AN179</f>
        <v>NA</v>
      </c>
      <c r="P271" s="75">
        <f>+INPUT!AO179</f>
        <v>47680</v>
      </c>
      <c r="Q271" s="155" t="str">
        <f>+INPUT!AP179</f>
        <v>NA</v>
      </c>
      <c r="R271" s="75">
        <f>+INPUT!AQ179</f>
        <v>47698</v>
      </c>
      <c r="S271" s="155">
        <f>+INPUT!AR179</f>
        <v>20.723867375348021</v>
      </c>
      <c r="T271" s="75">
        <f>+INPUT!AS179</f>
        <v>48612</v>
      </c>
      <c r="U271" s="155">
        <f>+INPUT!AT179</f>
        <v>6.4069169311590173</v>
      </c>
      <c r="V271" s="75">
        <f>+INPUT!AU179</f>
        <v>48917</v>
      </c>
      <c r="W271" s="155">
        <f>+INPUT!AV179</f>
        <v>6.6752442428471852</v>
      </c>
      <c r="X271" s="75">
        <f>+INPUT!AW179</f>
        <v>48080</v>
      </c>
      <c r="Y271" s="155">
        <f>+INPUT!AX179</f>
        <v>0.83892617449663476</v>
      </c>
      <c r="Z271" s="75">
        <f>+INPUT!AY179</f>
        <v>47215</v>
      </c>
      <c r="AA271" s="155">
        <f>+INPUT!AZ179</f>
        <v>-1.0126210742588739</v>
      </c>
      <c r="AB271" s="75">
        <f>+INPUT!BA179</f>
        <v>46913</v>
      </c>
      <c r="AC271" s="155">
        <f>+INPUT!BB179</f>
        <v>-3.4950218053155595</v>
      </c>
      <c r="AD271" s="75">
        <f>+INPUT!BC179</f>
        <v>49468</v>
      </c>
      <c r="AE271" s="155">
        <f>+INPUT!BD179</f>
        <v>1.1263977758243442</v>
      </c>
      <c r="AF271" s="75">
        <f>+INPUT!BE179</f>
        <v>50269</v>
      </c>
      <c r="AG271" s="155">
        <f>+INPUT!BF179</f>
        <v>4.5528286189683911</v>
      </c>
      <c r="AH271" s="75">
        <f>+INPUT!BG179</f>
        <v>50661</v>
      </c>
      <c r="AI271" s="240">
        <f>+INPUT!BH179</f>
        <v>7.2985280101662653</v>
      </c>
      <c r="AJ271" s="75">
        <f>+INPUT!BI179</f>
        <v>50926</v>
      </c>
      <c r="AK271" s="240">
        <f>+INPUT!BJ179</f>
        <v>8.554132116897236</v>
      </c>
      <c r="AL271" s="75">
        <f>+INPUT!BK179</f>
        <v>51627</v>
      </c>
      <c r="AM271" s="240">
        <f>+INPUT!BL179</f>
        <v>4.3644376162367564</v>
      </c>
      <c r="AN271" s="75">
        <f>+INPUT!BM179</f>
        <v>51591</v>
      </c>
      <c r="AO271" s="240">
        <f>+INPUT!BN179</f>
        <v>2.6298513994708514</v>
      </c>
      <c r="AP271" s="75">
        <f>+INPUT!BO179</f>
        <v>51667</v>
      </c>
      <c r="AQ271" s="240">
        <f>+INPUT!BP179</f>
        <v>1.9857484060717354</v>
      </c>
      <c r="AR271" s="75">
        <f>+INPUT!BQ179</f>
        <v>51513</v>
      </c>
      <c r="AS271" s="240">
        <f>+INPUT!BR179</f>
        <v>1.1526528688685573</v>
      </c>
      <c r="AT271" s="75">
        <f>+INPUT!BS179</f>
        <v>50041</v>
      </c>
      <c r="AU271" s="240">
        <f>+INPUT!BT179</f>
        <v>-3.0720359501811032</v>
      </c>
      <c r="AV271" s="75">
        <f>+INPUT!BU179</f>
        <v>50491</v>
      </c>
      <c r="AW271" s="240">
        <f>+INPUT!BV179</f>
        <v>-2.1321548332073519</v>
      </c>
      <c r="AX271" s="75">
        <f>+INPUT!BW179</f>
        <v>49030</v>
      </c>
      <c r="AY271" s="240">
        <f>+INPUT!BX179</f>
        <v>-5.1038380397545779</v>
      </c>
      <c r="AZ271" s="75">
        <f>+INPUT!BY179</f>
        <v>49475</v>
      </c>
      <c r="BA271" s="240">
        <f>+INPUT!BZ179</f>
        <v>-3.9562828800496987</v>
      </c>
      <c r="BB271" s="75">
        <f>+INPUT!CA179</f>
        <v>50137</v>
      </c>
      <c r="BC271" s="240">
        <f>+INPUT!CB179</f>
        <v>0.19184268899500978</v>
      </c>
      <c r="BD271" s="75">
        <f>+INPUT!CC179</f>
        <v>51908</v>
      </c>
      <c r="BE271" s="240">
        <f>+INPUT!CD179</f>
        <v>2.8064407518171492</v>
      </c>
      <c r="BF271" s="75">
        <f>+INPUT!CE179</f>
        <v>52768</v>
      </c>
      <c r="BG271" s="240">
        <f>+INPUT!CF179</f>
        <v>7.6239037324087349</v>
      </c>
      <c r="BH271" s="75">
        <f>+INPUT!CG179</f>
        <v>55965</v>
      </c>
      <c r="BI271" s="240">
        <f>+INPUT!CH179</f>
        <v>13.117736230419411</v>
      </c>
      <c r="BJ271" s="75">
        <f>+INPUT!CI179</f>
        <v>59062</v>
      </c>
      <c r="BK271" s="240">
        <f>+INPUT!CJ179</f>
        <v>17.801224644474132</v>
      </c>
      <c r="BL271" s="75">
        <f>+INPUT!CK179</f>
        <v>64183</v>
      </c>
      <c r="BM271" s="240">
        <f>+INPUT!CL179</f>
        <v>23.647607305232341</v>
      </c>
      <c r="BN271" s="75">
        <f>+INPUT!CM179</f>
        <v>68892</v>
      </c>
      <c r="BO271" s="240">
        <f>+INPUT!CN179</f>
        <v>30.556397816858691</v>
      </c>
      <c r="BP271" s="75">
        <f>+INPUT!CO179</f>
        <v>74131</v>
      </c>
      <c r="BQ271" s="240">
        <f>+INPUT!CP179</f>
        <v>32.459572947377836</v>
      </c>
      <c r="BR271" s="75">
        <f>+INPUT!CQ179</f>
        <v>80513</v>
      </c>
      <c r="BS271" s="240">
        <f>+INPUT!CR179</f>
        <v>36.319460905489137</v>
      </c>
      <c r="BT271" s="75">
        <f>+INPUT!CS179</f>
        <v>90089</v>
      </c>
      <c r="BU271" s="240">
        <f>+INPUT!CT179</f>
        <v>40.362712867893379</v>
      </c>
      <c r="BV271" s="75">
        <f>+INPUT!CU179</f>
        <v>93853</v>
      </c>
      <c r="BW271" s="240">
        <f>+INPUT!CV179</f>
        <v>36.232073390234007</v>
      </c>
      <c r="BX271" s="75">
        <f>+INPUT!CW179</f>
        <v>102443</v>
      </c>
      <c r="BY271" s="240">
        <f>+INPUT!CX179</f>
        <v>38.191849563610361</v>
      </c>
      <c r="BZ271" s="75">
        <f>+INPUT!CY179</f>
        <v>104646</v>
      </c>
      <c r="CA271" s="240">
        <f>+INPUT!CZ179</f>
        <v>29.974041459143251</v>
      </c>
      <c r="CB271" s="75">
        <f>+INPUT!DA179</f>
        <v>141435</v>
      </c>
      <c r="CC271" s="240">
        <f>+INPUT!DB179</f>
        <v>56.994749636470601</v>
      </c>
      <c r="CD271" s="75">
        <f>+INPUT!DC179</f>
        <v>143011</v>
      </c>
      <c r="CE271" s="240">
        <f>+INPUT!DD179</f>
        <v>52.377654417013844</v>
      </c>
      <c r="CF271" s="75">
        <f>+INPUT!DE179</f>
        <v>144101</v>
      </c>
      <c r="CG271" s="240">
        <f>+INPUT!DF179</f>
        <v>40.664564684751525</v>
      </c>
      <c r="CH271" s="75">
        <f>+INPUT!DG179</f>
        <v>147100</v>
      </c>
      <c r="CI271" s="240">
        <f>+INPUT!DH179</f>
        <v>40.569156967299278</v>
      </c>
      <c r="CJ271" s="75">
        <f>+INPUT!DI179</f>
        <v>149402</v>
      </c>
      <c r="CK271" s="240">
        <f>+INPUT!DJ179</f>
        <v>5.6329762788560203</v>
      </c>
      <c r="CL271" s="75">
        <f>+INPUT!DK179</f>
        <v>149661</v>
      </c>
      <c r="CM271" s="240">
        <f>+INPUT!DL179</f>
        <v>4.6499919586605216</v>
      </c>
      <c r="CN271" s="75">
        <f>+INPUT!DM179</f>
        <v>148971</v>
      </c>
      <c r="CO271" s="240">
        <f>+INPUT!DN179</f>
        <v>3.3795740487574619</v>
      </c>
      <c r="CP271" s="75">
        <f>+INPUT!DO179</f>
        <v>175526</v>
      </c>
      <c r="CQ271" s="240">
        <f>+INPUT!DP179</f>
        <v>19.324269204622709</v>
      </c>
      <c r="CR271" s="75">
        <f>+INPUT!DQ179</f>
        <v>179641</v>
      </c>
      <c r="CS271" s="240">
        <f>+INPUT!DR179</f>
        <v>20.240023560594906</v>
      </c>
      <c r="CT271" s="75">
        <f>+INPUT!DS179</f>
        <v>177120</v>
      </c>
      <c r="CU271" s="240">
        <f>+INPUT!DT179</f>
        <v>18.347465271513627</v>
      </c>
      <c r="CV271" s="75">
        <f>+INPUT!DU179</f>
        <v>183798</v>
      </c>
      <c r="CW271" s="240">
        <f>+INPUT!DV179</f>
        <v>23.378375657007069</v>
      </c>
      <c r="CX271" s="75">
        <f>+INPUT!DW179</f>
        <v>181662</v>
      </c>
      <c r="CY271" s="240">
        <f>+INPUT!DX179</f>
        <v>3.4957784031995232</v>
      </c>
      <c r="CZ271" s="75">
        <f>+INPUT!DY179</f>
        <v>179964</v>
      </c>
      <c r="DA271" s="240">
        <f>+INPUT!DZ179</f>
        <v>0.17980305164189758</v>
      </c>
      <c r="DB271" s="75">
        <f>+INPUT!EA179</f>
        <v>180819</v>
      </c>
      <c r="DC271" s="240">
        <f>+INPUT!EB179</f>
        <v>2.0884146341463463</v>
      </c>
      <c r="DD271" s="75">
        <f>+INPUT!EC179</f>
        <v>180882</v>
      </c>
      <c r="DE271" s="240">
        <f>+INPUT!ED179</f>
        <v>-1.5865243364998491</v>
      </c>
      <c r="DF271" s="75">
        <f>+INPUT!EE179</f>
        <v>186224</v>
      </c>
      <c r="DG271" s="240">
        <f>+INPUT!EF179</f>
        <v>2.5112571699089443</v>
      </c>
      <c r="DH271" s="75">
        <f>+INPUT!EG179</f>
        <v>183376</v>
      </c>
      <c r="DI271" s="240">
        <f>+INPUT!EH179</f>
        <v>1.8959347425040391</v>
      </c>
      <c r="DJ271" s="75">
        <f>+INPUT!EI179</f>
        <v>185115</v>
      </c>
      <c r="DK271" s="240">
        <f>+INPUT!EJ179</f>
        <v>2.3758565195029462</v>
      </c>
      <c r="DL271" s="75">
        <f>+INPUT!EK179</f>
        <v>186610</v>
      </c>
      <c r="DM271" s="240">
        <f>+INPUT!EL179</f>
        <v>3.1667053659291753</v>
      </c>
      <c r="DN271" s="75">
        <f>+INPUT!EM179</f>
        <v>188399</v>
      </c>
      <c r="DO271" s="240">
        <f>+INPUT!EN179</f>
        <v>1.1679482773434131</v>
      </c>
      <c r="DP271" s="75">
        <f>+INPUT!EO179</f>
        <v>194492</v>
      </c>
      <c r="DQ271" s="240">
        <f>+INPUT!EP179</f>
        <v>6.0618619666695821</v>
      </c>
      <c r="DR271" s="75">
        <f>+INPUT!EQ179</f>
        <v>194278.0588</v>
      </c>
      <c r="DS271" s="240">
        <f>+INPUT!ER179</f>
        <v>4.9499277746265733</v>
      </c>
      <c r="DT271" s="75">
        <f>+INPUT!ES179</f>
        <v>195929.4222998</v>
      </c>
      <c r="DU271" s="240">
        <f>+INPUT!ET179</f>
        <v>4.9940637156636853</v>
      </c>
      <c r="DV271" s="75">
        <f>+INPUT!EU179</f>
        <v>197594.82238934829</v>
      </c>
      <c r="DW271" s="240">
        <f>+INPUT!EV179</f>
        <v>4.8810356686332312</v>
      </c>
      <c r="DX271" s="75">
        <f>+INPUT!EW179</f>
        <v>199274.37837965775</v>
      </c>
      <c r="DY271" s="240">
        <f>+INPUT!EX179</f>
        <v>2.4589075024462375</v>
      </c>
      <c r="DZ271" s="75"/>
      <c r="EA271" s="240"/>
      <c r="EB271" s="155" t="str">
        <f>+INPUT!FI179</f>
        <v>NA</v>
      </c>
      <c r="EC271" s="75">
        <f>+INPUT!FJ179</f>
        <v>0</v>
      </c>
      <c r="ED271" s="155" t="str">
        <f>+INPUT!FK179</f>
        <v>NA</v>
      </c>
      <c r="EE271" s="75">
        <f>+INPUT!FL179</f>
        <v>0</v>
      </c>
      <c r="EF271" s="155" t="str">
        <f>+INPUT!FM179</f>
        <v>NA</v>
      </c>
      <c r="EG271" s="75">
        <f>+INPUT!FN179</f>
        <v>47680</v>
      </c>
      <c r="EH271" s="155" t="str">
        <f>+INPUT!FO179</f>
        <v>NA</v>
      </c>
      <c r="EI271" s="75">
        <f>+INPUT!FP179</f>
        <v>48080</v>
      </c>
      <c r="EJ271" s="240">
        <f>+INPUT!FQ179</f>
        <v>0.83892617449663476</v>
      </c>
      <c r="EK271" s="75">
        <f>+INPUT!FR179</f>
        <v>50269</v>
      </c>
      <c r="EL271" s="240">
        <f>+INPUT!FS179</f>
        <v>4.5528286189683911</v>
      </c>
      <c r="EM271" s="75">
        <f>+INPUT!FT179</f>
        <v>51591</v>
      </c>
      <c r="EN271" s="240">
        <f>+INPUT!FU179</f>
        <v>2.6298513994708514</v>
      </c>
      <c r="EO271" s="75">
        <f>+INPUT!FV179</f>
        <v>50491</v>
      </c>
      <c r="EP271" s="240">
        <f>+INPUT!FW179</f>
        <v>-2.1321548332073519</v>
      </c>
      <c r="EQ271" s="75">
        <f>+INPUT!FX179</f>
        <v>51908</v>
      </c>
      <c r="ER271" s="240">
        <f>+INPUT!FY179</f>
        <v>2.8064407518171492</v>
      </c>
      <c r="ES271" s="75">
        <f>+INPUT!FZ179</f>
        <v>64183</v>
      </c>
      <c r="ET271" s="240">
        <f>+INPUT!GA179</f>
        <v>23.647607305232341</v>
      </c>
      <c r="EU271" s="75">
        <f>+INPUT!GB179</f>
        <v>90089</v>
      </c>
      <c r="EV271" s="240">
        <f>+INPUT!GC179</f>
        <v>40.362712867893379</v>
      </c>
      <c r="EW271" s="75">
        <f>+INPUT!GD179</f>
        <v>141435</v>
      </c>
      <c r="EX271" s="240">
        <f>+INPUT!GE179</f>
        <v>56.994749636470601</v>
      </c>
      <c r="EY271" s="75">
        <f>+INPUT!GF179</f>
        <v>149402</v>
      </c>
      <c r="EZ271" s="240">
        <f>+INPUT!GG179</f>
        <v>5.6329762788560203</v>
      </c>
      <c r="FA271" s="75">
        <f>+INPUT!GH179</f>
        <v>179641</v>
      </c>
      <c r="FB271" s="240">
        <f>+INPUT!GI179</f>
        <v>20.240023560594906</v>
      </c>
      <c r="FC271" s="75">
        <f>+INPUT!GJ179</f>
        <v>179964</v>
      </c>
      <c r="FD271" s="240">
        <f>+INPUT!GK179</f>
        <v>0.17980305164189758</v>
      </c>
      <c r="FE271" s="75">
        <f>+INPUT!GL179</f>
        <v>183376</v>
      </c>
      <c r="FF271" s="240">
        <f>+INPUT!GM179</f>
        <v>1.8959347425040391</v>
      </c>
      <c r="FG271" s="75">
        <f>+INPUT!GN179</f>
        <v>194492</v>
      </c>
      <c r="FH271" s="240">
        <f>+INPUT!GO179</f>
        <v>6.0618619666695821</v>
      </c>
      <c r="FI271" s="75">
        <f>+INPUT!GP179</f>
        <v>199274.37837965778</v>
      </c>
      <c r="FJ271" s="240">
        <f>+INPUT!GQ179</f>
        <v>2.4589075024462659</v>
      </c>
      <c r="FK271" s="75">
        <f>+INPUT!GR179</f>
        <v>206049.70724456615</v>
      </c>
      <c r="FL271" s="240">
        <f>+INPUT!GS179</f>
        <v>3.4000000000000057</v>
      </c>
      <c r="FM271" s="75">
        <f>+INPUT!GT179</f>
        <v>213055.39729088137</v>
      </c>
      <c r="FN271" s="240">
        <f>+INPUT!GU179</f>
        <v>3.3999999999999773</v>
      </c>
      <c r="FO271" s="75">
        <f>+INPUT!GV179</f>
        <v>220299.28079877136</v>
      </c>
      <c r="FP271" s="240">
        <f>+INPUT!GW179</f>
        <v>3.4000000000000057</v>
      </c>
      <c r="FQ271" s="75">
        <f>+INPUT!GX179</f>
        <v>227789.45634592956</v>
      </c>
      <c r="FR271" s="240">
        <f>+INPUT!GY179</f>
        <v>3.3999999999999773</v>
      </c>
      <c r="FS271" s="240">
        <f>+INPUT!GZ179</f>
        <v>3.2110925081663133</v>
      </c>
    </row>
    <row r="272" spans="1:175" ht="12.75" hidden="1" customHeight="1" outlineLevel="1" x14ac:dyDescent="0.2">
      <c r="A272" s="246" t="str">
        <f>+INPUT!B180</f>
        <v>Fee-based Products</v>
      </c>
      <c r="B272" s="75"/>
      <c r="C272" s="155"/>
      <c r="D272" s="75"/>
      <c r="E272" s="155"/>
      <c r="F272" s="75"/>
      <c r="G272" s="155"/>
      <c r="H272" s="75"/>
      <c r="I272" s="155"/>
      <c r="J272" s="75">
        <f>+INPUT!AI180</f>
        <v>33176</v>
      </c>
      <c r="K272" s="155" t="str">
        <f>+INPUT!AJ180</f>
        <v>NA</v>
      </c>
      <c r="L272" s="75">
        <f>+INPUT!AK180</f>
        <v>80329</v>
      </c>
      <c r="M272" s="155" t="str">
        <f>+INPUT!AL180</f>
        <v>NA</v>
      </c>
      <c r="N272" s="75">
        <f>+INPUT!AM180</f>
        <v>80252</v>
      </c>
      <c r="O272" s="155" t="str">
        <f>+INPUT!AN180</f>
        <v>NA</v>
      </c>
      <c r="P272" s="75">
        <f>+INPUT!AO180</f>
        <v>83891</v>
      </c>
      <c r="Q272" s="155" t="str">
        <f>+INPUT!AP180</f>
        <v>NA</v>
      </c>
      <c r="R272" s="75">
        <f>+INPUT!AQ180</f>
        <v>83927</v>
      </c>
      <c r="S272" s="155" t="str">
        <f>+INPUT!AR180</f>
        <v>NM</v>
      </c>
      <c r="T272" s="75">
        <f>+INPUT!AS180</f>
        <v>85331</v>
      </c>
      <c r="U272" s="155">
        <f>+INPUT!AT180</f>
        <v>6.2268919070323392</v>
      </c>
      <c r="V272" s="75">
        <f>+INPUT!AU180</f>
        <v>88337</v>
      </c>
      <c r="W272" s="155">
        <f>+INPUT!AV180</f>
        <v>10.074515276877833</v>
      </c>
      <c r="X272" s="75">
        <f>+INPUT!AW180</f>
        <v>88385</v>
      </c>
      <c r="Y272" s="155">
        <f>+INPUT!AX180</f>
        <v>5.3569512820207166</v>
      </c>
      <c r="Z272" s="75">
        <f>+INPUT!AY180</f>
        <v>91854</v>
      </c>
      <c r="AA272" s="155">
        <f>+INPUT!AZ180</f>
        <v>9.4451130148819828</v>
      </c>
      <c r="AB272" s="75">
        <f>+INPUT!BA180</f>
        <v>91537</v>
      </c>
      <c r="AC272" s="155">
        <f>+INPUT!BB180</f>
        <v>7.2728551171321101</v>
      </c>
      <c r="AD272" s="75">
        <f>+INPUT!BC180</f>
        <v>93364</v>
      </c>
      <c r="AE272" s="155">
        <f>+INPUT!BD180</f>
        <v>5.6907071781925964</v>
      </c>
      <c r="AF272" s="75">
        <f>+INPUT!BE180</f>
        <v>97430</v>
      </c>
      <c r="AG272" s="155">
        <f>+INPUT!BF180</f>
        <v>10.233636929343206</v>
      </c>
      <c r="AH272" s="75">
        <f>+INPUT!BG180</f>
        <v>99558</v>
      </c>
      <c r="AI272" s="240">
        <f>+INPUT!BH180</f>
        <v>8.3872232020380153</v>
      </c>
      <c r="AJ272" s="75">
        <f>+INPUT!BI180</f>
        <v>104033</v>
      </c>
      <c r="AK272" s="240">
        <f>+INPUT!BJ180</f>
        <v>13.651310399073594</v>
      </c>
      <c r="AL272" s="75">
        <f>+INPUT!BK180</f>
        <v>105601</v>
      </c>
      <c r="AM272" s="240">
        <f>+INPUT!BL180</f>
        <v>13.106764920097675</v>
      </c>
      <c r="AN272" s="75">
        <f>+INPUT!BM180</f>
        <v>112192</v>
      </c>
      <c r="AO272" s="240">
        <f>+INPUT!BN180</f>
        <v>15.151390742071243</v>
      </c>
      <c r="AP272" s="75">
        <f>+INPUT!BO180</f>
        <v>107060</v>
      </c>
      <c r="AQ272" s="240">
        <f>+INPUT!BP180</f>
        <v>7.535306052753171</v>
      </c>
      <c r="AR272" s="75">
        <f>+INPUT!BQ180</f>
        <v>106917</v>
      </c>
      <c r="AS272" s="240">
        <f>+INPUT!BR180</f>
        <v>2.772197283554263</v>
      </c>
      <c r="AT272" s="75">
        <f>+INPUT!BS180</f>
        <v>100463</v>
      </c>
      <c r="AU272" s="240">
        <f>+INPUT!BT180</f>
        <v>-4.8654842283690556</v>
      </c>
      <c r="AV272" s="75">
        <f>+INPUT!BU180</f>
        <v>99738</v>
      </c>
      <c r="AW272" s="240">
        <f>+INPUT!BV180</f>
        <v>-11.10061323445521</v>
      </c>
      <c r="AX272" s="75">
        <f>+INPUT!BW180</f>
        <v>102159</v>
      </c>
      <c r="AY272" s="240">
        <f>+INPUT!BX180</f>
        <v>-4.5778068372874969</v>
      </c>
      <c r="AZ272" s="75">
        <f>+INPUT!BY180</f>
        <v>110950</v>
      </c>
      <c r="BA272" s="240">
        <f>+INPUT!BZ180</f>
        <v>3.7720848882778313</v>
      </c>
      <c r="BB272" s="75">
        <f>+INPUT!CA180</f>
        <v>121756</v>
      </c>
      <c r="BC272" s="240">
        <f>+INPUT!CB180</f>
        <v>21.194867762260742</v>
      </c>
      <c r="BD272" s="75">
        <f>+INPUT!CC180</f>
        <v>126345</v>
      </c>
      <c r="BE272" s="240">
        <f>+INPUT!CD180</f>
        <v>26.676893460867475</v>
      </c>
      <c r="BF272" s="75">
        <f>+INPUT!CE180</f>
        <v>131147</v>
      </c>
      <c r="BG272" s="240">
        <f>+INPUT!CF180</f>
        <v>28.375375639933822</v>
      </c>
      <c r="BH272" s="75">
        <f>+INPUT!CG180</f>
        <v>125176</v>
      </c>
      <c r="BI272" s="240">
        <f>+INPUT!CH180</f>
        <v>12.821991888237932</v>
      </c>
      <c r="BJ272" s="75">
        <f>+INPUT!CI180</f>
        <v>135248</v>
      </c>
      <c r="BK272" s="240">
        <f>+INPUT!CJ180</f>
        <v>11.081178750944517</v>
      </c>
      <c r="BL272" s="75">
        <f>+INPUT!CK180</f>
        <v>141313</v>
      </c>
      <c r="BM272" s="240">
        <f>+INPUT!CL180</f>
        <v>11.846927064782946</v>
      </c>
      <c r="BN272" s="75">
        <f>+INPUT!CM180</f>
        <v>145977</v>
      </c>
      <c r="BO272" s="240">
        <f>+INPUT!CN180</f>
        <v>11.307921645176776</v>
      </c>
      <c r="BP272" s="75">
        <f>+INPUT!CO180</f>
        <v>146580</v>
      </c>
      <c r="BQ272" s="240">
        <f>+INPUT!CP180</f>
        <v>17.099124432798618</v>
      </c>
      <c r="BR272" s="75">
        <f>+INPUT!CQ180</f>
        <v>134198</v>
      </c>
      <c r="BS272" s="240">
        <f>+INPUT!CR180</f>
        <v>-0.77635159115106944</v>
      </c>
      <c r="BT272" s="75">
        <f>+INPUT!CS180</f>
        <v>139430</v>
      </c>
      <c r="BU272" s="240">
        <f>+INPUT!CT180</f>
        <v>-1.3325030251993866</v>
      </c>
      <c r="BV272" s="75">
        <f>+INPUT!CU180</f>
        <v>145991</v>
      </c>
      <c r="BW272" s="240">
        <f>+INPUT!CV180</f>
        <v>9.5905519362560199E-3</v>
      </c>
      <c r="BX272" s="75">
        <f>+INPUT!CW180</f>
        <v>142405</v>
      </c>
      <c r="BY272" s="240">
        <f>+INPUT!CX180</f>
        <v>-2.8482739800791421</v>
      </c>
      <c r="BZ272" s="75">
        <f>+INPUT!CY180</f>
        <v>146934</v>
      </c>
      <c r="CA272" s="240">
        <f>+INPUT!CZ180</f>
        <v>9.4904544031952724</v>
      </c>
      <c r="CB272" s="75">
        <f>+INPUT!DA180</f>
        <v>148405</v>
      </c>
      <c r="CC272" s="240">
        <f>+INPUT!DB180</f>
        <v>6.4369217528508926</v>
      </c>
      <c r="CD272" s="75">
        <f>+INPUT!DC180</f>
        <v>156380</v>
      </c>
      <c r="CE272" s="240">
        <f>+INPUT!DD180</f>
        <v>7.1161920940332095</v>
      </c>
      <c r="CF272" s="75">
        <f>+INPUT!DE180</f>
        <v>157738</v>
      </c>
      <c r="CG272" s="240">
        <f>+INPUT!DF180</f>
        <v>10.767178118745832</v>
      </c>
      <c r="CH272" s="75">
        <f>+INPUT!DG180</f>
        <v>165364</v>
      </c>
      <c r="CI272" s="240">
        <f>+INPUT!DH180</f>
        <v>12.543046537901375</v>
      </c>
      <c r="CJ272" s="75">
        <f>+INPUT!DI180</f>
        <v>173502</v>
      </c>
      <c r="CK272" s="240">
        <f>+INPUT!DJ180</f>
        <v>16.911155284525449</v>
      </c>
      <c r="CL272" s="75">
        <f>+INPUT!DK180</f>
        <v>178150</v>
      </c>
      <c r="CM272" s="240">
        <f>+INPUT!DL180</f>
        <v>13.921217547000879</v>
      </c>
      <c r="CN272" s="75">
        <f>+INPUT!DM180</f>
        <v>181577</v>
      </c>
      <c r="CO272" s="240">
        <f>+INPUT!DN180</f>
        <v>15.113035539945983</v>
      </c>
      <c r="CP272" s="75">
        <f>+INPUT!DO180</f>
        <v>180535</v>
      </c>
      <c r="CQ272" s="240">
        <f>+INPUT!DP180</f>
        <v>9.1743063786555723</v>
      </c>
      <c r="CR272" s="75">
        <f>+INPUT!DQ180</f>
        <v>184196</v>
      </c>
      <c r="CS272" s="240">
        <f>+INPUT!DR180</f>
        <v>6.1636177104586807</v>
      </c>
      <c r="CT272" s="75">
        <f>+INPUT!DS180</f>
        <v>188145</v>
      </c>
      <c r="CU272" s="240">
        <f>+INPUT!DT180</f>
        <v>5.6104406399101805</v>
      </c>
      <c r="CV272" s="75">
        <f>+INPUT!DU180</f>
        <v>188807</v>
      </c>
      <c r="CW272" s="240">
        <f>+INPUT!DV180</f>
        <v>3.9817818336022697</v>
      </c>
      <c r="CX272" s="75">
        <f>+INPUT!DW180</f>
        <v>184515</v>
      </c>
      <c r="CY272" s="240">
        <f>+INPUT!DX180</f>
        <v>2.2045586728335138</v>
      </c>
      <c r="CZ272" s="75">
        <f>+INPUT!DY180</f>
        <v>188961</v>
      </c>
      <c r="DA272" s="240">
        <f>+INPUT!DZ180</f>
        <v>2.5869182826988606</v>
      </c>
      <c r="DB272" s="75">
        <f>+INPUT!EA180</f>
        <v>190953</v>
      </c>
      <c r="DC272" s="240">
        <f>+INPUT!EB180</f>
        <v>1.4924659172446724</v>
      </c>
      <c r="DD272" s="75">
        <f>+INPUT!EC180</f>
        <v>194007</v>
      </c>
      <c r="DE272" s="240">
        <f>+INPUT!ED180</f>
        <v>2.7541351750729461</v>
      </c>
      <c r="DF272" s="75">
        <f>+INPUT!EE180</f>
        <v>200476</v>
      </c>
      <c r="DG272" s="240">
        <f>+INPUT!EF180</f>
        <v>8.650245237514568</v>
      </c>
      <c r="DH272" s="75">
        <f>+INPUT!EG180</f>
        <v>202802</v>
      </c>
      <c r="DI272" s="240">
        <f>+INPUT!EH180</f>
        <v>7.3247918882732392</v>
      </c>
      <c r="DJ272" s="75">
        <f>+INPUT!EI180</f>
        <v>210400</v>
      </c>
      <c r="DK272" s="240">
        <f>+INPUT!EJ180</f>
        <v>10.184181447790806</v>
      </c>
      <c r="DL272" s="75">
        <f>+INPUT!EK180</f>
        <v>214731</v>
      </c>
      <c r="DM272" s="240">
        <f>+INPUT!EL180</f>
        <v>10.682088790610649</v>
      </c>
      <c r="DN272" s="75">
        <f>+INPUT!EM180</f>
        <v>227438</v>
      </c>
      <c r="DO272" s="240">
        <f>+INPUT!EN180</f>
        <v>13.448991400466895</v>
      </c>
      <c r="DP272" s="75">
        <f>+INPUT!EO180</f>
        <v>234616</v>
      </c>
      <c r="DQ272" s="240">
        <f>+INPUT!EP180</f>
        <v>15.68722201950672</v>
      </c>
      <c r="DR272" s="75">
        <f>+INPUT!EQ180</f>
        <v>233377.35229718956</v>
      </c>
      <c r="DS272" s="240">
        <f>+INPUT!ER180</f>
        <v>10.920794818055882</v>
      </c>
      <c r="DT272" s="75">
        <f>+INPUT!ES180</f>
        <v>236208.79064100821</v>
      </c>
      <c r="DU272" s="240">
        <f>+INPUT!ET180</f>
        <v>10.002184426565421</v>
      </c>
      <c r="DV272" s="75">
        <f>+INPUT!EU180</f>
        <v>239074.58126029803</v>
      </c>
      <c r="DW272" s="240">
        <f>+INPUT!EV180</f>
        <v>5.1163751265391113</v>
      </c>
      <c r="DX272" s="75">
        <f>+INPUT!EW180</f>
        <v>241975.14093221843</v>
      </c>
      <c r="DY272" s="240">
        <f>+INPUT!EX180</f>
        <v>3.1366747929461098</v>
      </c>
      <c r="DZ272" s="75"/>
      <c r="EA272" s="240"/>
      <c r="EB272" s="155" t="str">
        <f>+INPUT!FI180</f>
        <v>NA</v>
      </c>
      <c r="EC272" s="75">
        <f>+INPUT!FJ180</f>
        <v>0</v>
      </c>
      <c r="ED272" s="155" t="str">
        <f>+INPUT!FK180</f>
        <v>NA</v>
      </c>
      <c r="EE272" s="75">
        <f>+INPUT!FL180</f>
        <v>0</v>
      </c>
      <c r="EF272" s="155" t="str">
        <f>+INPUT!FM180</f>
        <v>NA</v>
      </c>
      <c r="EG272" s="75">
        <f>+INPUT!FN180</f>
        <v>83891</v>
      </c>
      <c r="EH272" s="155" t="str">
        <f>+INPUT!FO180</f>
        <v>NA</v>
      </c>
      <c r="EI272" s="75">
        <f>+INPUT!FP180</f>
        <v>88385</v>
      </c>
      <c r="EJ272" s="240">
        <f>+INPUT!FQ180</f>
        <v>5.3569512820207166</v>
      </c>
      <c r="EK272" s="75">
        <f>+INPUT!FR180</f>
        <v>97430</v>
      </c>
      <c r="EL272" s="240">
        <f>+INPUT!FS180</f>
        <v>10.233636929343206</v>
      </c>
      <c r="EM272" s="75">
        <f>+INPUT!FT180</f>
        <v>112192</v>
      </c>
      <c r="EN272" s="240">
        <f>+INPUT!FU180</f>
        <v>15.151390742071243</v>
      </c>
      <c r="EO272" s="75">
        <f>+INPUT!FV180</f>
        <v>99738</v>
      </c>
      <c r="EP272" s="240">
        <f>+INPUT!FW180</f>
        <v>-11.10061323445521</v>
      </c>
      <c r="EQ272" s="75">
        <f>+INPUT!FX180</f>
        <v>126345</v>
      </c>
      <c r="ER272" s="240">
        <f>+INPUT!FY180</f>
        <v>26.676893460867475</v>
      </c>
      <c r="ES272" s="75">
        <f>+INPUT!FZ180</f>
        <v>141313</v>
      </c>
      <c r="ET272" s="240">
        <f>+INPUT!GA180</f>
        <v>11.846927064782946</v>
      </c>
      <c r="EU272" s="75">
        <f>+INPUT!GB180</f>
        <v>139430</v>
      </c>
      <c r="EV272" s="240">
        <f>+INPUT!GC180</f>
        <v>-1.3325030251993866</v>
      </c>
      <c r="EW272" s="75">
        <f>+INPUT!GD180</f>
        <v>148405</v>
      </c>
      <c r="EX272" s="240">
        <f>+INPUT!GE180</f>
        <v>6.4369217528508926</v>
      </c>
      <c r="EY272" s="75">
        <f>+INPUT!GF180</f>
        <v>173502</v>
      </c>
      <c r="EZ272" s="240">
        <f>+INPUT!GG180</f>
        <v>16.911155284525449</v>
      </c>
      <c r="FA272" s="75">
        <f>+INPUT!GH180</f>
        <v>184196</v>
      </c>
      <c r="FB272" s="240">
        <f>+INPUT!GI180</f>
        <v>6.1636177104586807</v>
      </c>
      <c r="FC272" s="75">
        <f>+INPUT!GJ180</f>
        <v>188961</v>
      </c>
      <c r="FD272" s="240">
        <f>+INPUT!GK180</f>
        <v>2.5869182826988606</v>
      </c>
      <c r="FE272" s="75">
        <f>+INPUT!GL180</f>
        <v>202802</v>
      </c>
      <c r="FF272" s="240">
        <f>+INPUT!GM180</f>
        <v>7.3247918882732392</v>
      </c>
      <c r="FG272" s="75">
        <f>+INPUT!GN180</f>
        <v>234616</v>
      </c>
      <c r="FH272" s="240">
        <f>+INPUT!GO180</f>
        <v>15.68722201950672</v>
      </c>
      <c r="FI272" s="75">
        <f>+INPUT!GP180</f>
        <v>241975.14093221843</v>
      </c>
      <c r="FJ272" s="240">
        <f>+INPUT!GQ180</f>
        <v>3.1366747929461098</v>
      </c>
      <c r="FK272" s="75">
        <f>+INPUT!GR180</f>
        <v>252870.22687879985</v>
      </c>
      <c r="FL272" s="240">
        <f>+INPUT!GS180</f>
        <v>4.5025641496096114</v>
      </c>
      <c r="FM272" s="75">
        <f>+INPUT!GT180</f>
        <v>264255.87105928117</v>
      </c>
      <c r="FN272" s="240">
        <f>+INPUT!GU180</f>
        <v>4.5025641496096114</v>
      </c>
      <c r="FO272" s="75">
        <f>+INPUT!GV180</f>
        <v>276154.16117283504</v>
      </c>
      <c r="FP272" s="240">
        <f>+INPUT!GW180</f>
        <v>4.5025641496096398</v>
      </c>
      <c r="FQ272" s="75">
        <f>+INPUT!GX180</f>
        <v>288588.17943145829</v>
      </c>
      <c r="FR272" s="240">
        <f>+INPUT!GY180</f>
        <v>4.5025641496096398</v>
      </c>
      <c r="FS272" s="240">
        <f>+INPUT!GZ180</f>
        <v>4.2279467577446939</v>
      </c>
    </row>
    <row r="273" spans="1:176" ht="12.75" hidden="1" customHeight="1" outlineLevel="1" x14ac:dyDescent="0.2">
      <c r="A273" s="246" t="str">
        <f>+INPUT!B181</f>
        <v>Ending Assets</v>
      </c>
      <c r="B273" s="75"/>
      <c r="C273" s="155"/>
      <c r="D273" s="75"/>
      <c r="E273" s="155"/>
      <c r="F273" s="75"/>
      <c r="G273" s="155"/>
      <c r="H273" s="75"/>
      <c r="I273" s="155"/>
      <c r="J273" s="75">
        <f>+INPUT!AI181</f>
        <v>72686</v>
      </c>
      <c r="K273" s="155" t="str">
        <f>+INPUT!AJ181</f>
        <v>NA</v>
      </c>
      <c r="L273" s="75">
        <f>+INPUT!AK181</f>
        <v>126014</v>
      </c>
      <c r="M273" s="155" t="str">
        <f>+INPUT!AL181</f>
        <v>NA</v>
      </c>
      <c r="N273" s="75">
        <f>+INPUT!AM181</f>
        <v>126108</v>
      </c>
      <c r="O273" s="155" t="str">
        <f>+INPUT!AN181</f>
        <v>NA</v>
      </c>
      <c r="P273" s="75">
        <f>+INPUT!AO181</f>
        <v>131571</v>
      </c>
      <c r="Q273" s="155" t="str">
        <f>+INPUT!AP181</f>
        <v>NA</v>
      </c>
      <c r="R273" s="75">
        <f>+INPUT!AQ181</f>
        <v>131625</v>
      </c>
      <c r="S273" s="155">
        <f>+INPUT!AR181</f>
        <v>81.087141953058364</v>
      </c>
      <c r="T273" s="75">
        <f>+INPUT!AS181</f>
        <v>133943</v>
      </c>
      <c r="U273" s="155">
        <f>+INPUT!AT181</f>
        <v>6.2921580141888995</v>
      </c>
      <c r="V273" s="75">
        <f>+INPUT!AU181</f>
        <v>137254</v>
      </c>
      <c r="W273" s="155">
        <f>+INPUT!AV181</f>
        <v>8.838455926666029</v>
      </c>
      <c r="X273" s="75">
        <f>+INPUT!AW181</f>
        <v>136465</v>
      </c>
      <c r="Y273" s="155">
        <f>+INPUT!AX181</f>
        <v>3.7196646677459313</v>
      </c>
      <c r="Z273" s="75">
        <f>+INPUT!AY181</f>
        <v>139069</v>
      </c>
      <c r="AA273" s="155">
        <f>+INPUT!AZ181</f>
        <v>5.6554605887939147</v>
      </c>
      <c r="AB273" s="75">
        <f>+INPUT!BA181</f>
        <v>138450</v>
      </c>
      <c r="AC273" s="155">
        <f>+INPUT!BB181</f>
        <v>3.3648641586346457</v>
      </c>
      <c r="AD273" s="75">
        <f>+INPUT!BC181</f>
        <v>142832</v>
      </c>
      <c r="AE273" s="155">
        <f>+INPUT!BD181</f>
        <v>4.0639981348448799</v>
      </c>
      <c r="AF273" s="75">
        <f>+INPUT!BE181</f>
        <v>147699</v>
      </c>
      <c r="AG273" s="155">
        <f>+INPUT!BF181</f>
        <v>8.2321474370717738</v>
      </c>
      <c r="AH273" s="75">
        <f>+INPUT!BG181</f>
        <v>150219</v>
      </c>
      <c r="AI273" s="240">
        <f>+INPUT!BH181</f>
        <v>8.0176027727243451</v>
      </c>
      <c r="AJ273" s="75">
        <f>+INPUT!BI181</f>
        <v>154959</v>
      </c>
      <c r="AK273" s="240">
        <f>+INPUT!BJ181</f>
        <v>11.924160346695572</v>
      </c>
      <c r="AL273" s="75">
        <f>+INPUT!BK181</f>
        <v>157228</v>
      </c>
      <c r="AM273" s="240">
        <f>+INPUT!BL181</f>
        <v>10.078973899406279</v>
      </c>
      <c r="AN273" s="75">
        <f>+INPUT!BM181</f>
        <v>163783</v>
      </c>
      <c r="AO273" s="240">
        <f>+INPUT!BN181</f>
        <v>10.889714893127248</v>
      </c>
      <c r="AP273" s="75">
        <f>+INPUT!BO181</f>
        <v>158727</v>
      </c>
      <c r="AQ273" s="240">
        <f>+INPUT!BP181</f>
        <v>5.6637309528089048</v>
      </c>
      <c r="AR273" s="75">
        <f>+INPUT!BQ181</f>
        <v>158430</v>
      </c>
      <c r="AS273" s="240">
        <f>+INPUT!BR181</f>
        <v>2.2399473409095378</v>
      </c>
      <c r="AT273" s="75">
        <f>+INPUT!BS181</f>
        <v>150504</v>
      </c>
      <c r="AU273" s="240">
        <f>+INPUT!BT181</f>
        <v>-4.2765919556313179</v>
      </c>
      <c r="AV273" s="75">
        <f>+INPUT!BU181</f>
        <v>150229</v>
      </c>
      <c r="AW273" s="240">
        <f>+INPUT!BV181</f>
        <v>-8.2755841570859019</v>
      </c>
      <c r="AX273" s="75">
        <f>+INPUT!BW181</f>
        <v>151189</v>
      </c>
      <c r="AY273" s="240">
        <f>+INPUT!BX181</f>
        <v>-4.7490345057866676</v>
      </c>
      <c r="AZ273" s="75">
        <f>+INPUT!BY181</f>
        <v>160425</v>
      </c>
      <c r="BA273" s="240">
        <f>+INPUT!BZ181</f>
        <v>1.2592312062109414</v>
      </c>
      <c r="BB273" s="75">
        <f>+INPUT!CA181</f>
        <v>171893</v>
      </c>
      <c r="BC273" s="240">
        <f>+INPUT!CB181</f>
        <v>14.211582416414188</v>
      </c>
      <c r="BD273" s="75">
        <f>+INPUT!CC181</f>
        <v>178253</v>
      </c>
      <c r="BE273" s="240">
        <f>+INPUT!CD181</f>
        <v>18.654187939745313</v>
      </c>
      <c r="BF273" s="75">
        <f>+INPUT!CE181</f>
        <v>183915</v>
      </c>
      <c r="BG273" s="240">
        <f>+INPUT!CF181</f>
        <v>21.645754651462738</v>
      </c>
      <c r="BH273" s="75">
        <f>+INPUT!CG181</f>
        <v>181141</v>
      </c>
      <c r="BI273" s="240">
        <f>+INPUT!CH181</f>
        <v>12.913199314321332</v>
      </c>
      <c r="BJ273" s="75">
        <f>+INPUT!CI181</f>
        <v>194310</v>
      </c>
      <c r="BK273" s="240">
        <f>+INPUT!CJ181</f>
        <v>13.04125240702065</v>
      </c>
      <c r="BL273" s="75">
        <f>+INPUT!CK181</f>
        <v>205496</v>
      </c>
      <c r="BM273" s="240">
        <f>+INPUT!CL181</f>
        <v>15.283333239833269</v>
      </c>
      <c r="BN273" s="75">
        <f>+INPUT!CM181</f>
        <v>214869</v>
      </c>
      <c r="BO273" s="240">
        <f>+INPUT!CN181</f>
        <v>16.830601092896174</v>
      </c>
      <c r="BP273" s="75">
        <f>+INPUT!CO181</f>
        <v>220711</v>
      </c>
      <c r="BQ273" s="240">
        <f>+INPUT!CP181</f>
        <v>21.844861185485343</v>
      </c>
      <c r="BR273" s="75">
        <f>+INPUT!CQ181</f>
        <v>214711</v>
      </c>
      <c r="BS273" s="240">
        <f>+INPUT!CR181</f>
        <v>10.499202305594153</v>
      </c>
      <c r="BT273" s="75">
        <f>+INPUT!CS181</f>
        <v>229519</v>
      </c>
      <c r="BU273" s="240">
        <f>+INPUT!CT181</f>
        <v>11.690251878382057</v>
      </c>
      <c r="BV273" s="75">
        <f>+INPUT!CU181</f>
        <v>239844</v>
      </c>
      <c r="BW273" s="240">
        <f>+INPUT!CV181</f>
        <v>11.623361210784239</v>
      </c>
      <c r="BX273" s="75">
        <f>+INPUT!CW181</f>
        <v>244848</v>
      </c>
      <c r="BY273" s="240">
        <f>+INPUT!CX181</f>
        <v>10.936020406776279</v>
      </c>
      <c r="BZ273" s="75">
        <f>+INPUT!CY181</f>
        <v>251580</v>
      </c>
      <c r="CA273" s="240">
        <f>+INPUT!CZ181</f>
        <v>17.171453721514027</v>
      </c>
      <c r="CB273" s="75">
        <f>+INPUT!DA181</f>
        <v>289840</v>
      </c>
      <c r="CC273" s="240">
        <f>+INPUT!DB181</f>
        <v>26.281484321559432</v>
      </c>
      <c r="CD273" s="75">
        <f>+INPUT!DC181</f>
        <v>299391</v>
      </c>
      <c r="CE273" s="240">
        <f>+INPUT!DD181</f>
        <v>24.827387802071343</v>
      </c>
      <c r="CF273" s="75">
        <f>+INPUT!DE181</f>
        <v>301839</v>
      </c>
      <c r="CG273" s="240">
        <f>+INPUT!DF181</f>
        <v>23.276073318957074</v>
      </c>
      <c r="CH273" s="75">
        <f>+INPUT!DG181</f>
        <v>312464</v>
      </c>
      <c r="CI273" s="240">
        <f>+INPUT!DH181</f>
        <v>24.200651880117661</v>
      </c>
      <c r="CJ273" s="75">
        <f>+INPUT!DI181</f>
        <v>322904</v>
      </c>
      <c r="CK273" s="240">
        <f>+INPUT!DJ181</f>
        <v>11.407673199006354</v>
      </c>
      <c r="CL273" s="75">
        <f>+INPUT!DK181</f>
        <v>327811</v>
      </c>
      <c r="CM273" s="240">
        <f>+INPUT!DL181</f>
        <v>9.4926033180690013</v>
      </c>
      <c r="CN273" s="75">
        <f>+INPUT!DM181</f>
        <v>330548</v>
      </c>
      <c r="CO273" s="240">
        <f>+INPUT!DN181</f>
        <v>9.5113620174994082</v>
      </c>
      <c r="CP273" s="75">
        <f>+INPUT!DO181</f>
        <v>356061</v>
      </c>
      <c r="CQ273" s="240">
        <f>+INPUT!DP181</f>
        <v>13.952647344974139</v>
      </c>
      <c r="CR273" s="75">
        <f>+INPUT!DQ181</f>
        <v>363837</v>
      </c>
      <c r="CS273" s="240">
        <f>+INPUT!DR181</f>
        <v>12.67652305329139</v>
      </c>
      <c r="CT273" s="75">
        <f>+INPUT!DS181</f>
        <v>365265</v>
      </c>
      <c r="CU273" s="240">
        <f>+INPUT!DT181</f>
        <v>11.425486027009455</v>
      </c>
      <c r="CV273" s="75">
        <f>+INPUT!DU181</f>
        <v>372605</v>
      </c>
      <c r="CW273" s="240">
        <f>+INPUT!DV181</f>
        <v>12.723416871377239</v>
      </c>
      <c r="CX273" s="75">
        <f>+INPUT!DW181</f>
        <v>366177</v>
      </c>
      <c r="CY273" s="240">
        <f>+INPUT!DX181</f>
        <v>2.8410862183726948</v>
      </c>
      <c r="CZ273" s="75">
        <f>+INPUT!DY181</f>
        <v>368925</v>
      </c>
      <c r="DA273" s="240">
        <f>+INPUT!DZ181</f>
        <v>1.3984284171208543</v>
      </c>
      <c r="DB273" s="75">
        <f>+INPUT!EA181</f>
        <v>371772</v>
      </c>
      <c r="DC273" s="240">
        <f>+INPUT!EB181</f>
        <v>1.7814463471726043</v>
      </c>
      <c r="DD273" s="75">
        <f>+INPUT!EC181</f>
        <v>374889</v>
      </c>
      <c r="DE273" s="240">
        <f>+INPUT!ED181</f>
        <v>0.61298157566322686</v>
      </c>
      <c r="DF273" s="75">
        <f>+INPUT!EE181</f>
        <v>386700</v>
      </c>
      <c r="DG273" s="240">
        <f>+INPUT!EF181</f>
        <v>5.6046665956627493</v>
      </c>
      <c r="DH273" s="75">
        <f>+INPUT!EG181</f>
        <v>386178</v>
      </c>
      <c r="DI273" s="240">
        <f>+INPUT!EH181</f>
        <v>4.676560276478952</v>
      </c>
      <c r="DJ273" s="75">
        <f>+INPUT!EI181</f>
        <v>395515</v>
      </c>
      <c r="DK273" s="240">
        <f>+INPUT!EJ181</f>
        <v>6.3864411521039841</v>
      </c>
      <c r="DL273" s="75">
        <f>+INPUT!EK181</f>
        <v>401341</v>
      </c>
      <c r="DM273" s="240">
        <f>+INPUT!EL181</f>
        <v>7.0559552294145789</v>
      </c>
      <c r="DN273" s="75">
        <f>+INPUT!EM181</f>
        <v>415837</v>
      </c>
      <c r="DO273" s="240">
        <f>+INPUT!EN181</f>
        <v>7.5347814843547951</v>
      </c>
      <c r="DP273" s="75">
        <f>+INPUT!EO181</f>
        <v>429108</v>
      </c>
      <c r="DQ273" s="240">
        <f>+INPUT!EP181</f>
        <v>11.116635333965164</v>
      </c>
      <c r="DR273" s="75">
        <f>+INPUT!EQ181</f>
        <v>427655.41109718953</v>
      </c>
      <c r="DS273" s="240">
        <f>+INPUT!ER181</f>
        <v>8.1262179935500711</v>
      </c>
      <c r="DT273" s="75">
        <f>+INPUT!ES181</f>
        <v>432138.21294080821</v>
      </c>
      <c r="DU273" s="240">
        <f>+INPUT!ET181</f>
        <v>7.6735775664106711</v>
      </c>
      <c r="DV273" s="75">
        <f>+INPUT!EU181</f>
        <v>436669.40364964632</v>
      </c>
      <c r="DW273" s="240">
        <f>+INPUT!EV181</f>
        <v>5.0097522946843043</v>
      </c>
      <c r="DX273" s="75">
        <f>+INPUT!EW181</f>
        <v>441249.51931187615</v>
      </c>
      <c r="DY273" s="240">
        <f>+INPUT!EX181</f>
        <v>2.8294786654819148</v>
      </c>
      <c r="DZ273" s="75"/>
      <c r="EA273" s="240"/>
      <c r="EB273" s="155" t="str">
        <f>+INPUT!FI181</f>
        <v>NA</v>
      </c>
      <c r="EC273" s="75">
        <f>+INPUT!FJ181</f>
        <v>41577</v>
      </c>
      <c r="ED273" s="155">
        <f>+INPUT!FK181</f>
        <v>0</v>
      </c>
      <c r="EE273" s="75">
        <f>+INPUT!FL181</f>
        <v>41577</v>
      </c>
      <c r="EF273" s="155">
        <f>+INPUT!FM181</f>
        <v>0</v>
      </c>
      <c r="EG273" s="75">
        <f>+INPUT!FN181</f>
        <v>131571</v>
      </c>
      <c r="EH273" s="155" t="str">
        <f>+INPUT!FO181</f>
        <v>NM</v>
      </c>
      <c r="EI273" s="75">
        <f>+INPUT!FP181</f>
        <v>136465</v>
      </c>
      <c r="EJ273" s="240">
        <f>+INPUT!FQ181</f>
        <v>3.7196646677459313</v>
      </c>
      <c r="EK273" s="75">
        <f>+INPUT!FR181</f>
        <v>147699</v>
      </c>
      <c r="EL273" s="240">
        <f>+INPUT!FS181</f>
        <v>8.2321474370717738</v>
      </c>
      <c r="EM273" s="75">
        <f>+INPUT!FT181</f>
        <v>163783</v>
      </c>
      <c r="EN273" s="240">
        <f>+INPUT!FU181</f>
        <v>10.889714893127248</v>
      </c>
      <c r="EO273" s="75">
        <f>+INPUT!FV181</f>
        <v>150229</v>
      </c>
      <c r="EP273" s="240">
        <f>+INPUT!FW181</f>
        <v>-8.2755841570859019</v>
      </c>
      <c r="EQ273" s="75">
        <f>+INPUT!FX181</f>
        <v>178253</v>
      </c>
      <c r="ER273" s="240">
        <f>+INPUT!FY181</f>
        <v>18.654187939745313</v>
      </c>
      <c r="ES273" s="75">
        <f>+INPUT!FZ181</f>
        <v>205496</v>
      </c>
      <c r="ET273" s="240">
        <f>+INPUT!GA181</f>
        <v>15.283333239833269</v>
      </c>
      <c r="EU273" s="75">
        <f>+INPUT!GB181</f>
        <v>229519</v>
      </c>
      <c r="EV273" s="240">
        <f>+INPUT!GC181</f>
        <v>11.690251878382057</v>
      </c>
      <c r="EW273" s="75">
        <f>+INPUT!GD181</f>
        <v>289840</v>
      </c>
      <c r="EX273" s="240">
        <f>+INPUT!GE181</f>
        <v>26.281484321559432</v>
      </c>
      <c r="EY273" s="75">
        <f>+INPUT!GF181</f>
        <v>322904</v>
      </c>
      <c r="EZ273" s="240">
        <f>+INPUT!GG181</f>
        <v>11.407673199006354</v>
      </c>
      <c r="FA273" s="75">
        <f>+INPUT!GH181</f>
        <v>363837</v>
      </c>
      <c r="FB273" s="240">
        <f>+INPUT!GI181</f>
        <v>12.67652305329139</v>
      </c>
      <c r="FC273" s="75">
        <f>+INPUT!GJ181</f>
        <v>368925</v>
      </c>
      <c r="FD273" s="240">
        <f>+INPUT!GK181</f>
        <v>1.3984284171208543</v>
      </c>
      <c r="FE273" s="75">
        <f>+INPUT!GL181</f>
        <v>386178</v>
      </c>
      <c r="FF273" s="240">
        <f>+INPUT!GM181</f>
        <v>4.676560276478952</v>
      </c>
      <c r="FG273" s="75">
        <f>+INPUT!GN181</f>
        <v>429108</v>
      </c>
      <c r="FH273" s="240">
        <f>+INPUT!GO181</f>
        <v>11.116635333965164</v>
      </c>
      <c r="FI273" s="75">
        <f>+INPUT!GP181</f>
        <v>441249.51931187621</v>
      </c>
      <c r="FJ273" s="240">
        <f>+INPUT!GQ181</f>
        <v>2.8294786654819291</v>
      </c>
      <c r="FK273" s="75">
        <f>+INPUT!GR181</f>
        <v>458919.93412336602</v>
      </c>
      <c r="FL273" s="240">
        <f>+INPUT!GS181</f>
        <v>4.0046309487309202</v>
      </c>
      <c r="FM273" s="75">
        <f>+INPUT!GT181</f>
        <v>477311.26835016254</v>
      </c>
      <c r="FN273" s="240">
        <f>+INPUT!GU181</f>
        <v>4.0075256835220756</v>
      </c>
      <c r="FO273" s="75">
        <f>+INPUT!GV181</f>
        <v>496453.4419716064</v>
      </c>
      <c r="FP273" s="240">
        <f>+INPUT!GW181</f>
        <v>4.0104172875719399</v>
      </c>
      <c r="FQ273" s="75">
        <f>+INPUT!GX181</f>
        <v>516377.63577738788</v>
      </c>
      <c r="FR273" s="240">
        <f>+INPUT!GY181</f>
        <v>4.013305603573798</v>
      </c>
      <c r="FS273" s="240">
        <f>+INPUT!GZ181</f>
        <v>3.7719941973045401</v>
      </c>
    </row>
    <row r="274" spans="1:176" ht="12.75" hidden="1" customHeight="1" outlineLevel="1" x14ac:dyDescent="0.2">
      <c r="A274" s="246" t="str">
        <f>+INPUT!B182</f>
        <v>Average Assets</v>
      </c>
      <c r="B274" s="75"/>
      <c r="C274" s="155"/>
      <c r="D274" s="75"/>
      <c r="E274" s="155"/>
      <c r="F274" s="75"/>
      <c r="G274" s="155"/>
      <c r="H274" s="75"/>
      <c r="I274" s="155"/>
      <c r="J274" s="75">
        <f>+INPUT!AI182</f>
        <v>36343</v>
      </c>
      <c r="K274" s="155" t="str">
        <f>+INPUT!AJ182</f>
        <v>NA</v>
      </c>
      <c r="L274" s="75">
        <f>+INPUT!AK182</f>
        <v>63007</v>
      </c>
      <c r="M274" s="155" t="str">
        <f>+INPUT!AL182</f>
        <v>NA</v>
      </c>
      <c r="N274" s="75">
        <f>+INPUT!AM182</f>
        <v>63054</v>
      </c>
      <c r="O274" s="155">
        <f>+INPUT!AN182</f>
        <v>0</v>
      </c>
      <c r="P274" s="75">
        <f>+INPUT!AO182</f>
        <v>65785.5</v>
      </c>
      <c r="Q274" s="155" t="str">
        <f>+INPUT!AP182</f>
        <v>NA</v>
      </c>
      <c r="R274" s="75">
        <f>+INPUT!AQ182</f>
        <v>131598</v>
      </c>
      <c r="S274" s="155" t="str">
        <f>+INPUT!AR182</f>
        <v>NM</v>
      </c>
      <c r="T274" s="75">
        <f>+INPUT!AS182</f>
        <v>132784</v>
      </c>
      <c r="U274" s="155" t="str">
        <f>+INPUT!AT182</f>
        <v>NM</v>
      </c>
      <c r="V274" s="75">
        <f>+INPUT!AU182</f>
        <v>135598.5</v>
      </c>
      <c r="W274" s="155" t="str">
        <f>+INPUT!AV182</f>
        <v>NM</v>
      </c>
      <c r="X274" s="75">
        <f>+INPUT!AW182</f>
        <v>136859.5</v>
      </c>
      <c r="Y274" s="155" t="str">
        <f>+INPUT!AX182</f>
        <v>NM</v>
      </c>
      <c r="Z274" s="75">
        <f>+INPUT!AY182</f>
        <v>137767</v>
      </c>
      <c r="AA274" s="155">
        <f>+INPUT!AZ182</f>
        <v>4.6877612121764685</v>
      </c>
      <c r="AB274" s="75">
        <f>+INPUT!BA182</f>
        <v>138759.5</v>
      </c>
      <c r="AC274" s="155">
        <f>+INPUT!BB182</f>
        <v>4.5001656826123622</v>
      </c>
      <c r="AD274" s="75">
        <f>+INPUT!BC182</f>
        <v>140641</v>
      </c>
      <c r="AE274" s="155">
        <f>+INPUT!BD182</f>
        <v>3.7186989531595032</v>
      </c>
      <c r="AF274" s="75">
        <f>+INPUT!BE182</f>
        <v>145265.5</v>
      </c>
      <c r="AG274" s="155">
        <f>+INPUT!BF182</f>
        <v>6.1420654028401458</v>
      </c>
      <c r="AH274" s="75">
        <f>+INPUT!BG182</f>
        <v>148959</v>
      </c>
      <c r="AI274" s="240">
        <f>+INPUT!BH182</f>
        <v>8.12386130205347</v>
      </c>
      <c r="AJ274" s="75">
        <f>+INPUT!BI182</f>
        <v>152589</v>
      </c>
      <c r="AK274" s="240">
        <f>+INPUT!BJ182</f>
        <v>9.9665248145172143</v>
      </c>
      <c r="AL274" s="75">
        <f>+INPUT!BK182</f>
        <v>156093.5</v>
      </c>
      <c r="AM274" s="240">
        <f>+INPUT!BL182</f>
        <v>10.987194345887758</v>
      </c>
      <c r="AN274" s="75">
        <f>+INPUT!BM182</f>
        <v>160505.5</v>
      </c>
      <c r="AO274" s="240">
        <f>+INPUT!BN182</f>
        <v>10.491135197276719</v>
      </c>
      <c r="AP274" s="75">
        <f>+INPUT!BO182</f>
        <v>161255</v>
      </c>
      <c r="AQ274" s="240">
        <f>+INPUT!BP182</f>
        <v>8.2546203989017073</v>
      </c>
      <c r="AR274" s="75">
        <f>+INPUT!BQ182</f>
        <v>158578.5</v>
      </c>
      <c r="AS274" s="240">
        <f>+INPUT!BR182</f>
        <v>3.9252501818610739</v>
      </c>
      <c r="AT274" s="75">
        <f>+INPUT!BS182</f>
        <v>154467</v>
      </c>
      <c r="AU274" s="240">
        <f>+INPUT!BT182</f>
        <v>-1.0420036708767384</v>
      </c>
      <c r="AV274" s="75">
        <f>+INPUT!BU182</f>
        <v>150366.5</v>
      </c>
      <c r="AW274" s="240">
        <f>+INPUT!BV182</f>
        <v>-6.316917488808798</v>
      </c>
      <c r="AX274" s="75">
        <f>+INPUT!BW182</f>
        <v>150709</v>
      </c>
      <c r="AY274" s="240">
        <f>+INPUT!BX182</f>
        <v>-6.539952249542651</v>
      </c>
      <c r="AZ274" s="75">
        <f>+INPUT!BY182</f>
        <v>155807</v>
      </c>
      <c r="BA274" s="240">
        <f>+INPUT!BZ182</f>
        <v>-1.7477148541573939</v>
      </c>
      <c r="BB274" s="75">
        <f>+INPUT!CA182</f>
        <v>166159</v>
      </c>
      <c r="BC274" s="240">
        <f>+INPUT!CB182</f>
        <v>7.5692542743757656</v>
      </c>
      <c r="BD274" s="75">
        <f>+INPUT!CC182</f>
        <v>175073</v>
      </c>
      <c r="BE274" s="240">
        <f>+INPUT!CD182</f>
        <v>16.430853946856502</v>
      </c>
      <c r="BF274" s="75">
        <f>+INPUT!CE182</f>
        <v>181084</v>
      </c>
      <c r="BG274" s="240">
        <f>+INPUT!CF182</f>
        <v>20.154735284555002</v>
      </c>
      <c r="BH274" s="75">
        <f>+INPUT!CG182</f>
        <v>182528</v>
      </c>
      <c r="BI274" s="240">
        <f>+INPUT!CH182</f>
        <v>17.150063861058882</v>
      </c>
      <c r="BJ274" s="75">
        <f>+INPUT!CI182</f>
        <v>187725.5</v>
      </c>
      <c r="BK274" s="240">
        <f>+INPUT!CJ182</f>
        <v>12.979435360106891</v>
      </c>
      <c r="BL274" s="75">
        <f>+INPUT!CK182</f>
        <v>199903</v>
      </c>
      <c r="BM274" s="240">
        <f>+INPUT!CL182</f>
        <v>14.182655235244738</v>
      </c>
      <c r="BN274" s="75">
        <f>+INPUT!CM182</f>
        <v>210182.5</v>
      </c>
      <c r="BO274" s="240">
        <f>+INPUT!CN182</f>
        <v>16.069061871838471</v>
      </c>
      <c r="BP274" s="75">
        <f>+INPUT!CO182</f>
        <v>217790</v>
      </c>
      <c r="BQ274" s="240">
        <f>+INPUT!CP182</f>
        <v>19.31867987377278</v>
      </c>
      <c r="BR274" s="75">
        <f>+INPUT!CQ182</f>
        <v>217711</v>
      </c>
      <c r="BS274" s="240">
        <f>+INPUT!CR182</f>
        <v>15.973056404164595</v>
      </c>
      <c r="BT274" s="75">
        <f>+INPUT!CS182</f>
        <v>222115</v>
      </c>
      <c r="BU274" s="240">
        <f>+INPUT!CT182</f>
        <v>11.11138902367648</v>
      </c>
      <c r="BV274" s="75">
        <f>+INPUT!CU182</f>
        <v>234681.5</v>
      </c>
      <c r="BW274" s="240">
        <f>+INPUT!CV182</f>
        <v>11.656060804301021</v>
      </c>
      <c r="BX274" s="75">
        <f>+INPUT!CW182</f>
        <v>242346</v>
      </c>
      <c r="BY274" s="240">
        <f>+INPUT!CX182</f>
        <v>11.275081500528032</v>
      </c>
      <c r="BZ274" s="75">
        <f>+INPUT!CY182</f>
        <v>248214</v>
      </c>
      <c r="CA274" s="240">
        <f>+INPUT!CZ182</f>
        <v>14.01077575317737</v>
      </c>
      <c r="CB274" s="75">
        <f>+INPUT!DA182</f>
        <v>270710</v>
      </c>
      <c r="CC274" s="240">
        <f>+INPUT!DB182</f>
        <v>21.878306282781452</v>
      </c>
      <c r="CD274" s="75">
        <f>+INPUT!DC182</f>
        <v>294615.5</v>
      </c>
      <c r="CE274" s="240">
        <f>+INPUT!DD182</f>
        <v>25.538442527425474</v>
      </c>
      <c r="CF274" s="75">
        <f>+INPUT!DE182</f>
        <v>300615</v>
      </c>
      <c r="CG274" s="240">
        <f>+INPUT!DF182</f>
        <v>24.043722611472845</v>
      </c>
      <c r="CH274" s="75">
        <f>+INPUT!DG182</f>
        <v>307151.5</v>
      </c>
      <c r="CI274" s="240">
        <f>+INPUT!DH182</f>
        <v>23.744631648496878</v>
      </c>
      <c r="CJ274" s="75">
        <f>+INPUT!DI182</f>
        <v>317684</v>
      </c>
      <c r="CK274" s="240">
        <f>+INPUT!DJ182</f>
        <v>17.352148055114341</v>
      </c>
      <c r="CL274" s="75">
        <f>+INPUT!DK182</f>
        <v>325357.5</v>
      </c>
      <c r="CM274" s="240">
        <f>+INPUT!DL182</f>
        <v>10.43461732325693</v>
      </c>
      <c r="CN274" s="75">
        <f>+INPUT!DM182</f>
        <v>329179.5</v>
      </c>
      <c r="CO274" s="240">
        <f>+INPUT!DN182</f>
        <v>9.5020208572426554</v>
      </c>
      <c r="CP274" s="75">
        <f>+INPUT!DO182</f>
        <v>343304.5</v>
      </c>
      <c r="CQ274" s="240">
        <f>+INPUT!DP182</f>
        <v>11.77041297210009</v>
      </c>
      <c r="CR274" s="75">
        <f>+INPUT!DQ182</f>
        <v>359949</v>
      </c>
      <c r="CS274" s="240">
        <f>+INPUT!DR182</f>
        <v>13.304100930484381</v>
      </c>
      <c r="CT274" s="75">
        <f>+INPUT!DS182</f>
        <v>364551</v>
      </c>
      <c r="CU274" s="240">
        <f>+INPUT!DT182</f>
        <v>12.046287545238712</v>
      </c>
      <c r="CV274" s="75">
        <f>+INPUT!DU182</f>
        <v>368935</v>
      </c>
      <c r="CW274" s="240">
        <f>+INPUT!DV182</f>
        <v>12.07714939721339</v>
      </c>
      <c r="CX274" s="75">
        <f>+INPUT!DW182</f>
        <v>369391</v>
      </c>
      <c r="CY274" s="240">
        <f>+INPUT!DX182</f>
        <v>7.5986478476105077</v>
      </c>
      <c r="CZ274" s="75">
        <f>+INPUT!DY182</f>
        <v>367551</v>
      </c>
      <c r="DA274" s="240">
        <f>+INPUT!DZ182</f>
        <v>2.1119658618304271</v>
      </c>
      <c r="DB274" s="75">
        <f>+INPUT!EA182</f>
        <v>360589.44999999995</v>
      </c>
      <c r="DC274" s="240">
        <f>+INPUT!EB182</f>
        <v>-1.0866929455686716</v>
      </c>
      <c r="DD274" s="75">
        <f>+INPUT!EC182</f>
        <v>373330.5</v>
      </c>
      <c r="DE274" s="240">
        <f>+INPUT!ED182</f>
        <v>1.1914022795343442</v>
      </c>
      <c r="DF274" s="75">
        <f>+INPUT!EE182</f>
        <v>380794.5</v>
      </c>
      <c r="DG274" s="240">
        <f>+INPUT!EF182</f>
        <v>3.0871082403198784</v>
      </c>
      <c r="DH274" s="75">
        <f>+INPUT!EG182</f>
        <v>386439</v>
      </c>
      <c r="DI274" s="240">
        <f>+INPUT!EH182</f>
        <v>5.138878686223137</v>
      </c>
      <c r="DJ274" s="75">
        <f>+INPUT!EI182</f>
        <v>390846.5</v>
      </c>
      <c r="DK274" s="240">
        <f>+INPUT!EJ182</f>
        <v>8.3909970189089051</v>
      </c>
      <c r="DL274" s="75">
        <f>+INPUT!EK182</f>
        <v>398428</v>
      </c>
      <c r="DM274" s="240">
        <f>+INPUT!EL182</f>
        <v>6.7225956625563725</v>
      </c>
      <c r="DN274" s="75">
        <f>+INPUT!EM182</f>
        <v>408589</v>
      </c>
      <c r="DO274" s="240">
        <f>+INPUT!EN182</f>
        <v>7.2990812629909243</v>
      </c>
      <c r="DP274" s="75">
        <f>+INPUT!EO182</f>
        <v>422472.5</v>
      </c>
      <c r="DQ274" s="240">
        <f>+INPUT!EP182</f>
        <v>9.3244988212887421</v>
      </c>
      <c r="DR274" s="75">
        <f>+INPUT!EQ182</f>
        <v>428381.70554859476</v>
      </c>
      <c r="DS274" s="240">
        <f>+INPUT!ER182</f>
        <v>9.6035670138007561</v>
      </c>
      <c r="DT274" s="75">
        <f>+INPUT!ES182</f>
        <v>429896.8120189989</v>
      </c>
      <c r="DU274" s="240">
        <f>+INPUT!ET182</f>
        <v>7.8982431001332571</v>
      </c>
      <c r="DV274" s="75">
        <f>+INPUT!EU182</f>
        <v>434403.80829522724</v>
      </c>
      <c r="DW274" s="240">
        <f>+INPUT!EV182</f>
        <v>6.3180380027918659</v>
      </c>
      <c r="DX274" s="75">
        <f>+INPUT!EW182</f>
        <v>438959.46148076124</v>
      </c>
      <c r="DY274" s="240">
        <f>+INPUT!EX182</f>
        <v>3.9024934121774066</v>
      </c>
      <c r="DZ274" s="75"/>
      <c r="EA274" s="240"/>
      <c r="EB274" s="155">
        <f>+INPUT!FI182</f>
        <v>5.7705965909079282E-2</v>
      </c>
      <c r="EC274" s="75">
        <f>+INPUT!FJ182</f>
        <v>67623</v>
      </c>
      <c r="ED274" s="155">
        <f>+INPUT!FK182</f>
        <v>0</v>
      </c>
      <c r="EE274" s="75">
        <f>+INPUT!FL182</f>
        <v>67623</v>
      </c>
      <c r="EF274" s="155">
        <f>+INPUT!FM182</f>
        <v>0</v>
      </c>
      <c r="EG274" s="75">
        <f>+INPUT!FN182</f>
        <v>101889</v>
      </c>
      <c r="EH274" s="155">
        <f>+INPUT!FO182</f>
        <v>50.672108602102838</v>
      </c>
      <c r="EI274" s="75">
        <f>+INPUT!FP182</f>
        <v>134018</v>
      </c>
      <c r="EJ274" s="240">
        <f>+INPUT!FQ182</f>
        <v>31.533335296253767</v>
      </c>
      <c r="EK274" s="75">
        <f>+INPUT!FR182</f>
        <v>142082</v>
      </c>
      <c r="EL274" s="240">
        <f>+INPUT!FS182</f>
        <v>6.0171021803041356</v>
      </c>
      <c r="EM274" s="75">
        <f>+INPUT!FT182</f>
        <v>155741</v>
      </c>
      <c r="EN274" s="240">
        <f>+INPUT!FU182</f>
        <v>9.6134626483298291</v>
      </c>
      <c r="EO274" s="75">
        <f>+INPUT!FV182</f>
        <v>157006</v>
      </c>
      <c r="EP274" s="240">
        <f>+INPUT!FW182</f>
        <v>0.81224597247995689</v>
      </c>
      <c r="EQ274" s="75">
        <f>+INPUT!FX182</f>
        <v>164241</v>
      </c>
      <c r="ER274" s="240">
        <f>+INPUT!FY182</f>
        <v>4.6081041488860421</v>
      </c>
      <c r="ES274" s="75">
        <f>+INPUT!FZ182</f>
        <v>191874.5</v>
      </c>
      <c r="ET274" s="240">
        <f>+INPUT!GA182</f>
        <v>16.824970622438968</v>
      </c>
      <c r="EU274" s="75">
        <f>+INPUT!GB182</f>
        <v>217507.5</v>
      </c>
      <c r="EV274" s="240">
        <f>+INPUT!GC182</f>
        <v>13.359253053428148</v>
      </c>
      <c r="EW274" s="75">
        <f>+INPUT!GD182</f>
        <v>259679.5</v>
      </c>
      <c r="EX274" s="240">
        <f>+INPUT!GE182</f>
        <v>19.38875670953874</v>
      </c>
      <c r="EY274" s="75">
        <f>+INPUT!GF182</f>
        <v>306372</v>
      </c>
      <c r="EZ274" s="240">
        <f>+INPUT!GG182</f>
        <v>17.980818663005735</v>
      </c>
      <c r="FA274" s="75">
        <f>+INPUT!GH182</f>
        <v>343370.5</v>
      </c>
      <c r="FB274" s="240">
        <f>+INPUT!GI182</f>
        <v>12.076332040787022</v>
      </c>
      <c r="FC274" s="75">
        <f>+INPUT!GJ182</f>
        <v>366381</v>
      </c>
      <c r="FD274" s="240">
        <f>+INPUT!GK182</f>
        <v>6.701361939945329</v>
      </c>
      <c r="FE274" s="75">
        <f>+INPUT!GL182</f>
        <v>377551.5</v>
      </c>
      <c r="FF274" s="240">
        <f>+INPUT!GM182</f>
        <v>3.0488753510689719</v>
      </c>
      <c r="FG274" s="75">
        <f>+INPUT!GN182</f>
        <v>407643</v>
      </c>
      <c r="FH274" s="240">
        <f>+INPUT!GO182</f>
        <v>7.9701709568098806</v>
      </c>
      <c r="FI274" s="75">
        <f>+INPUT!GP182</f>
        <v>435178.75965593808</v>
      </c>
      <c r="FJ274" s="240">
        <f>+INPUT!GQ182</f>
        <v>6.7548712122955834</v>
      </c>
      <c r="FK274" s="75">
        <f>+INPUT!GR182</f>
        <v>450084.72671762109</v>
      </c>
      <c r="FL274" s="240">
        <f>+INPUT!GS182</f>
        <v>3.4252515158294869</v>
      </c>
      <c r="FM274" s="75">
        <f>+INPUT!GT182</f>
        <v>468115.60123676428</v>
      </c>
      <c r="FN274" s="240">
        <f>+INPUT!GU182</f>
        <v>4.0061067280906713</v>
      </c>
      <c r="FO274" s="75">
        <f>+INPUT!GV182</f>
        <v>486882.35516088444</v>
      </c>
      <c r="FP274" s="240">
        <f>+INPUT!GW182</f>
        <v>4.0089998868950971</v>
      </c>
      <c r="FQ274" s="75">
        <f>+INPUT!GX182</f>
        <v>506415.53887449717</v>
      </c>
      <c r="FR274" s="240">
        <f>+INPUT!GY182</f>
        <v>4.011889834692866</v>
      </c>
      <c r="FS274" s="240">
        <f>+INPUT!GZ182</f>
        <v>4.4348402642053975</v>
      </c>
    </row>
    <row r="275" spans="1:176" ht="12.75" hidden="1" customHeight="1" outlineLevel="1" x14ac:dyDescent="0.2">
      <c r="A275" s="246"/>
      <c r="B275" s="75"/>
      <c r="C275" s="155"/>
      <c r="D275" s="75"/>
      <c r="E275" s="155"/>
      <c r="F275" s="75"/>
      <c r="G275" s="155"/>
      <c r="H275" s="75"/>
      <c r="I275" s="155"/>
      <c r="J275" s="75"/>
      <c r="K275" s="155"/>
      <c r="L275" s="75"/>
      <c r="M275" s="155"/>
      <c r="N275" s="75"/>
      <c r="O275" s="155"/>
      <c r="P275" s="75"/>
      <c r="Q275" s="155"/>
      <c r="R275" s="75"/>
      <c r="S275" s="155"/>
      <c r="T275" s="75"/>
      <c r="U275" s="155"/>
      <c r="V275" s="75"/>
      <c r="W275" s="155"/>
      <c r="X275" s="75"/>
      <c r="Y275" s="155"/>
      <c r="Z275" s="75"/>
      <c r="AA275" s="155"/>
      <c r="AB275" s="75"/>
      <c r="AC275" s="155"/>
      <c r="AD275" s="75"/>
      <c r="AE275" s="155"/>
      <c r="AF275" s="75"/>
      <c r="AG275" s="155"/>
      <c r="AH275" s="75"/>
      <c r="AI275" s="240"/>
      <c r="AJ275" s="75"/>
      <c r="AK275" s="240"/>
      <c r="AL275" s="75"/>
      <c r="AM275" s="240"/>
      <c r="AN275" s="75"/>
      <c r="AO275" s="240"/>
      <c r="AP275" s="75"/>
      <c r="AQ275" s="240"/>
      <c r="AR275" s="75"/>
      <c r="AS275" s="240"/>
      <c r="AT275" s="75"/>
      <c r="AU275" s="240"/>
      <c r="AV275" s="75"/>
      <c r="AW275" s="240"/>
      <c r="AX275" s="75"/>
      <c r="AY275" s="240"/>
      <c r="AZ275" s="75"/>
      <c r="BA275" s="240"/>
      <c r="BB275" s="75"/>
      <c r="BC275" s="240"/>
      <c r="BD275" s="75"/>
      <c r="BE275" s="240"/>
      <c r="BF275" s="75"/>
      <c r="BG275" s="240"/>
      <c r="BH275" s="75"/>
      <c r="BI275" s="240"/>
      <c r="BJ275" s="75"/>
      <c r="BK275" s="240"/>
      <c r="BL275" s="75"/>
      <c r="BM275" s="240"/>
      <c r="BN275" s="75"/>
      <c r="BO275" s="240"/>
      <c r="BP275" s="75"/>
      <c r="BQ275" s="240"/>
      <c r="BR275" s="75"/>
      <c r="BS275" s="240"/>
      <c r="BT275" s="75"/>
      <c r="BU275" s="240"/>
      <c r="BV275" s="75"/>
      <c r="BW275" s="240"/>
      <c r="BX275" s="75"/>
      <c r="BY275" s="240"/>
      <c r="BZ275" s="75"/>
      <c r="CA275" s="240"/>
      <c r="CB275" s="75"/>
      <c r="CC275" s="240"/>
      <c r="CD275" s="75"/>
      <c r="CE275" s="240"/>
      <c r="CF275" s="75"/>
      <c r="CG275" s="240"/>
      <c r="CH275" s="75"/>
      <c r="CI275" s="240"/>
      <c r="CJ275" s="75"/>
      <c r="CK275" s="240"/>
      <c r="CL275" s="75"/>
      <c r="CM275" s="240"/>
      <c r="CN275" s="75"/>
      <c r="CO275" s="240"/>
      <c r="CP275" s="75"/>
      <c r="CQ275" s="240"/>
      <c r="CR275" s="75"/>
      <c r="CS275" s="240"/>
      <c r="CT275" s="75"/>
      <c r="CU275" s="240"/>
      <c r="CV275" s="75"/>
      <c r="CW275" s="240"/>
      <c r="CX275" s="75"/>
      <c r="CY275" s="240"/>
      <c r="CZ275" s="75"/>
      <c r="DA275" s="240"/>
      <c r="DB275" s="75"/>
      <c r="DC275" s="240"/>
      <c r="DD275" s="75"/>
      <c r="DE275" s="240"/>
      <c r="DF275" s="75"/>
      <c r="DG275" s="240"/>
      <c r="DH275" s="75"/>
      <c r="DI275" s="240"/>
      <c r="DJ275" s="75"/>
      <c r="DK275" s="240"/>
      <c r="DL275" s="75"/>
      <c r="DM275" s="240"/>
      <c r="DN275" s="75"/>
      <c r="DO275" s="240"/>
      <c r="DP275" s="75"/>
      <c r="DQ275" s="240"/>
      <c r="DR275" s="75"/>
      <c r="DS275" s="240"/>
      <c r="DT275" s="75"/>
      <c r="DU275" s="240"/>
      <c r="DV275" s="75"/>
      <c r="DW275" s="240"/>
      <c r="DX275" s="75"/>
      <c r="DY275" s="240"/>
      <c r="DZ275" s="75"/>
      <c r="EA275" s="240"/>
      <c r="EB275" s="155"/>
      <c r="EC275" s="75"/>
      <c r="ED275" s="155"/>
      <c r="EE275" s="75"/>
      <c r="EF275" s="155"/>
      <c r="EG275" s="75"/>
      <c r="EH275" s="155"/>
      <c r="EI275" s="75"/>
      <c r="EJ275" s="240"/>
      <c r="EK275" s="75"/>
      <c r="EL275" s="240"/>
      <c r="EM275" s="75"/>
      <c r="EN275" s="240"/>
      <c r="EO275" s="75"/>
      <c r="EP275" s="240"/>
      <c r="EQ275" s="75"/>
      <c r="ER275" s="240"/>
      <c r="ES275" s="75"/>
      <c r="ET275" s="240"/>
      <c r="EU275" s="75"/>
      <c r="EV275" s="240"/>
      <c r="EW275" s="75"/>
      <c r="EX275" s="240"/>
      <c r="EY275" s="75"/>
      <c r="EZ275" s="240"/>
      <c r="FA275" s="75"/>
      <c r="FB275" s="240"/>
      <c r="FC275" s="75"/>
      <c r="FD275" s="240"/>
      <c r="FE275" s="75"/>
      <c r="FF275" s="240"/>
      <c r="FG275" s="75"/>
      <c r="FH275" s="240"/>
      <c r="FI275" s="75"/>
      <c r="FJ275" s="240"/>
      <c r="FK275" s="75"/>
      <c r="FL275" s="240"/>
      <c r="FM275" s="75"/>
      <c r="FN275" s="240"/>
      <c r="FO275" s="75"/>
      <c r="FP275" s="240"/>
      <c r="FQ275" s="75"/>
      <c r="FR275" s="240"/>
      <c r="FS275" s="240"/>
    </row>
    <row r="276" spans="1:176" ht="12.75" hidden="1" customHeight="1" outlineLevel="1" x14ac:dyDescent="0.2">
      <c r="A276" s="514" t="str">
        <f>+INPUT!B172</f>
        <v>Institutional Investment Net Flows</v>
      </c>
      <c r="B276" s="75"/>
      <c r="C276" s="155"/>
      <c r="D276" s="75"/>
      <c r="E276" s="155"/>
      <c r="F276" s="75"/>
      <c r="G276" s="155"/>
      <c r="H276" s="75"/>
      <c r="I276" s="155"/>
      <c r="J276" s="75">
        <f>+INPUT!AI172</f>
        <v>-347</v>
      </c>
      <c r="K276" s="155" t="str">
        <f>+INPUT!AJ172</f>
        <v>NA</v>
      </c>
      <c r="L276" s="75">
        <f>+INPUT!AK172</f>
        <v>-575</v>
      </c>
      <c r="M276" s="155" t="str">
        <f>+INPUT!AL172</f>
        <v>NA</v>
      </c>
      <c r="N276" s="75">
        <f>+INPUT!AM172</f>
        <v>-691</v>
      </c>
      <c r="O276" s="155" t="str">
        <f>+INPUT!AN172</f>
        <v>NA</v>
      </c>
      <c r="P276" s="75">
        <f>+INPUT!AO172</f>
        <v>704</v>
      </c>
      <c r="Q276" s="155" t="str">
        <f>+INPUT!AP172</f>
        <v>NA</v>
      </c>
      <c r="R276" s="75">
        <f>+INPUT!AQ172</f>
        <v>62</v>
      </c>
      <c r="S276" s="155" t="str">
        <f>+INPUT!AR172</f>
        <v>NM</v>
      </c>
      <c r="T276" s="75">
        <f>+INPUT!AS172</f>
        <v>13</v>
      </c>
      <c r="U276" s="155" t="str">
        <f>+INPUT!AT172</f>
        <v>NM</v>
      </c>
      <c r="V276" s="75">
        <f>+INPUT!AU172</f>
        <v>-94</v>
      </c>
      <c r="W276" s="155" t="str">
        <f>+INPUT!AV172</f>
        <v>NM</v>
      </c>
      <c r="X276" s="75">
        <f>+INPUT!AW172</f>
        <v>-1449</v>
      </c>
      <c r="Y276" s="155" t="str">
        <f>+INPUT!AX172</f>
        <v>NM</v>
      </c>
      <c r="Z276" s="75">
        <f>+INPUT!AY172</f>
        <v>-916</v>
      </c>
      <c r="AA276" s="155" t="str">
        <f>+INPUT!AZ172</f>
        <v>NM</v>
      </c>
      <c r="AB276" s="75">
        <f>+INPUT!BA172</f>
        <v>-341</v>
      </c>
      <c r="AC276" s="155" t="str">
        <f>+INPUT!BB172</f>
        <v>NM</v>
      </c>
      <c r="AD276" s="75">
        <f>+INPUT!BC172</f>
        <v>1293</v>
      </c>
      <c r="AE276" s="155" t="str">
        <f>+INPUT!BD172</f>
        <v>NM</v>
      </c>
      <c r="AF276" s="75">
        <f>+INPUT!BE172</f>
        <v>-399</v>
      </c>
      <c r="AG276" s="155" t="str">
        <f>+INPUT!BF172</f>
        <v>NM</v>
      </c>
      <c r="AH276" s="75">
        <f>+INPUT!BG172</f>
        <v>-210</v>
      </c>
      <c r="AI276" s="240" t="str">
        <f>+INPUT!BH172</f>
        <v>NM</v>
      </c>
      <c r="AJ276" s="75">
        <f>+INPUT!BI172</f>
        <v>198</v>
      </c>
      <c r="AK276" s="240" t="str">
        <f>+INPUT!BJ172</f>
        <v>NM</v>
      </c>
      <c r="AL276" s="75">
        <f>+INPUT!BK172</f>
        <v>-648</v>
      </c>
      <c r="AM276" s="240" t="str">
        <f>+INPUT!BL172</f>
        <v>NM</v>
      </c>
      <c r="AN276" s="75">
        <f>+INPUT!BM172</f>
        <v>-565</v>
      </c>
      <c r="AO276" s="240">
        <f>+INPUT!BN172</f>
        <v>41.604010025062678</v>
      </c>
      <c r="AP276" s="75">
        <f>+INPUT!BO172</f>
        <v>108</v>
      </c>
      <c r="AQ276" s="240" t="str">
        <f>+INPUT!BP172</f>
        <v>NM</v>
      </c>
      <c r="AR276" s="75">
        <f>+INPUT!BQ172</f>
        <v>-338</v>
      </c>
      <c r="AS276" s="240" t="str">
        <f>+INPUT!BR172</f>
        <v>NM</v>
      </c>
      <c r="AT276" s="75">
        <f>+INPUT!BS172</f>
        <v>-1062</v>
      </c>
      <c r="AU276" s="240">
        <f>+INPUT!BT172</f>
        <v>63.888888888888886</v>
      </c>
      <c r="AV276" s="75">
        <f>+INPUT!BU172</f>
        <v>-362</v>
      </c>
      <c r="AW276" s="240">
        <f>+INPUT!BV172</f>
        <v>-35.929203539823007</v>
      </c>
      <c r="AX276" s="75">
        <f>+INPUT!BW172</f>
        <v>-1410</v>
      </c>
      <c r="AY276" s="240" t="str">
        <f>+INPUT!BX172</f>
        <v>NM</v>
      </c>
      <c r="AZ276" s="75">
        <f>+INPUT!BY172</f>
        <v>1071</v>
      </c>
      <c r="BA276" s="240" t="str">
        <f>+INPUT!BZ172</f>
        <v>NM</v>
      </c>
      <c r="BB276" s="75">
        <f>+INPUT!CA172</f>
        <v>-1194</v>
      </c>
      <c r="BC276" s="240">
        <f>+INPUT!CB172</f>
        <v>12.429378531073439</v>
      </c>
      <c r="BD276" s="75">
        <f>+INPUT!CC172</f>
        <v>1502</v>
      </c>
      <c r="BE276" s="240" t="str">
        <f>+INPUT!CD172</f>
        <v>NM</v>
      </c>
      <c r="BF276" s="75">
        <f>+INPUT!CE172</f>
        <v>-263</v>
      </c>
      <c r="BG276" s="240" t="str">
        <f>+INPUT!CF172</f>
        <v>NM</v>
      </c>
      <c r="BH276" s="75">
        <f>+INPUT!CG172</f>
        <v>1690</v>
      </c>
      <c r="BI276" s="240">
        <f>+INPUT!CH172</f>
        <v>57.796451914098981</v>
      </c>
      <c r="BJ276" s="75">
        <f>+INPUT!CI172</f>
        <v>1436</v>
      </c>
      <c r="BK276" s="240" t="str">
        <f>+INPUT!CJ172</f>
        <v>NM</v>
      </c>
      <c r="BL276" s="75">
        <f>+INPUT!CK172</f>
        <v>5477</v>
      </c>
      <c r="BM276" s="240" t="str">
        <f>+INPUT!CL172</f>
        <v>NM</v>
      </c>
      <c r="BN276" s="75">
        <f>+INPUT!CM172</f>
        <v>4657</v>
      </c>
      <c r="BO276" s="240" t="str">
        <f>+INPUT!CN172</f>
        <v>NM</v>
      </c>
      <c r="BP276" s="75">
        <f>+INPUT!CO172</f>
        <v>4155</v>
      </c>
      <c r="BQ276" s="240" t="str">
        <f>+INPUT!CP172</f>
        <v>NM</v>
      </c>
      <c r="BR276" s="75">
        <f>+INPUT!CQ172</f>
        <v>4070</v>
      </c>
      <c r="BS276" s="240" t="str">
        <f>+INPUT!CR172</f>
        <v>NM</v>
      </c>
      <c r="BT276" s="75">
        <f>+INPUT!CS172</f>
        <v>8741</v>
      </c>
      <c r="BU276" s="240">
        <f>+INPUT!CT172</f>
        <v>59.594668614204863</v>
      </c>
      <c r="BV276" s="75">
        <f>+INPUT!CU172</f>
        <v>2861</v>
      </c>
      <c r="BW276" s="240">
        <f>+INPUT!CV172</f>
        <v>-38.565600171784411</v>
      </c>
      <c r="BX276" s="75">
        <f>+INPUT!CW172</f>
        <v>5625</v>
      </c>
      <c r="BY276" s="240">
        <f>+INPUT!CX172</f>
        <v>35.379061371841146</v>
      </c>
      <c r="BZ276" s="75">
        <f>+INPUT!CY172</f>
        <v>1418</v>
      </c>
      <c r="CA276" s="240" t="str">
        <f>+INPUT!CZ172</f>
        <v>NM</v>
      </c>
      <c r="CB276" s="75">
        <f>+INPUT!DA172</f>
        <v>36606</v>
      </c>
      <c r="CC276" s="240" t="str">
        <f>+INPUT!DB172</f>
        <v>NM</v>
      </c>
      <c r="CD276" s="75">
        <f>+INPUT!DC172</f>
        <v>1526</v>
      </c>
      <c r="CE276" s="240">
        <f>+INPUT!DD172</f>
        <v>-46.662006291506465</v>
      </c>
      <c r="CF276" s="75">
        <f>+INPUT!DE172</f>
        <v>1898</v>
      </c>
      <c r="CG276" s="240" t="str">
        <f>+INPUT!DF172</f>
        <v>NM</v>
      </c>
      <c r="CH276" s="75">
        <f>+INPUT!DG172</f>
        <v>2547</v>
      </c>
      <c r="CI276" s="240">
        <f>+INPUT!DH172</f>
        <v>79.619181946403387</v>
      </c>
      <c r="CJ276" s="75">
        <f>+INPUT!DI172</f>
        <v>1372</v>
      </c>
      <c r="CK276" s="240" t="str">
        <f>+INPUT!DJ172</f>
        <v>NM</v>
      </c>
      <c r="CL276" s="75">
        <f>+INPUT!DK172</f>
        <v>-1284</v>
      </c>
      <c r="CM276" s="240" t="str">
        <f>+INPUT!DL172</f>
        <v>NM</v>
      </c>
      <c r="CN276" s="75">
        <f>+INPUT!DM172</f>
        <v>-2527</v>
      </c>
      <c r="CO276" s="240" t="str">
        <f>+INPUT!DN172</f>
        <v>NM</v>
      </c>
      <c r="CP276" s="75">
        <f>+INPUT!DO172</f>
        <v>27328</v>
      </c>
      <c r="CQ276" s="240" t="str">
        <f>+INPUT!DP172</f>
        <v>NM</v>
      </c>
      <c r="CR276" s="75">
        <f>+INPUT!DQ172</f>
        <v>3740</v>
      </c>
      <c r="CS276" s="240" t="str">
        <f>+INPUT!DR172</f>
        <v>NM</v>
      </c>
      <c r="CT276" s="75">
        <f>+INPUT!DS172</f>
        <v>-2526</v>
      </c>
      <c r="CU276" s="240">
        <f>+INPUT!DT172</f>
        <v>96.728971962616839</v>
      </c>
      <c r="CV276" s="75">
        <f>+INPUT!DU172</f>
        <v>5339</v>
      </c>
      <c r="CW276" s="240" t="str">
        <f>+INPUT!DV172</f>
        <v>NM</v>
      </c>
      <c r="CX276" s="75">
        <f>+INPUT!DW172</f>
        <v>-1909</v>
      </c>
      <c r="CY276" s="240" t="str">
        <f>+INPUT!DX172</f>
        <v>NM</v>
      </c>
      <c r="CZ276" s="75">
        <f>+INPUT!DY172</f>
        <v>-720</v>
      </c>
      <c r="DA276" s="240" t="str">
        <f>+INPUT!DZ172</f>
        <v>NM</v>
      </c>
      <c r="DB276" s="75">
        <f>+INPUT!EA172</f>
        <v>-722</v>
      </c>
      <c r="DC276" s="240" t="str">
        <f>+INPUT!EB172</f>
        <v>NM</v>
      </c>
      <c r="DD276" s="75">
        <f>+INPUT!EC172</f>
        <v>302</v>
      </c>
      <c r="DE276" s="240" t="str">
        <f>+INPUT!ED172</f>
        <v>NM</v>
      </c>
      <c r="DF276" s="75">
        <f>+INPUT!EE172</f>
        <v>4568</v>
      </c>
      <c r="DG276" s="240" t="str">
        <f>+INPUT!EF172</f>
        <v>NM</v>
      </c>
      <c r="DH276" s="75">
        <f>+INPUT!EG172</f>
        <v>-169</v>
      </c>
      <c r="DI276" s="240" t="str">
        <f>+INPUT!EH172</f>
        <v>NM</v>
      </c>
      <c r="DJ276" s="75">
        <f>+INPUT!EI172</f>
        <v>-199</v>
      </c>
      <c r="DK276" s="240" t="str">
        <f>+INPUT!EJ172</f>
        <v>NM</v>
      </c>
      <c r="DL276" s="75">
        <f>+INPUT!EK172</f>
        <v>-1614</v>
      </c>
      <c r="DM276" s="240" t="str">
        <f>+INPUT!EL172</f>
        <v>NM</v>
      </c>
      <c r="DN276" s="75">
        <f>+INPUT!EM172</f>
        <v>1212</v>
      </c>
      <c r="DO276" s="240" t="str">
        <f>+INPUT!EN172</f>
        <v>NM</v>
      </c>
      <c r="DP276" s="75">
        <f>+INPUT!EO172</f>
        <v>4825</v>
      </c>
      <c r="DQ276" s="240" t="str">
        <f>+INPUT!EP172</f>
        <v>NM</v>
      </c>
      <c r="DR276" s="75">
        <f>+INPUT!EQ172</f>
        <v>486.22999999999956</v>
      </c>
      <c r="DS276" s="240" t="str">
        <f>+INPUT!ER172</f>
        <v>NM</v>
      </c>
      <c r="DT276" s="75">
        <f>+INPUT!ES172</f>
        <v>485.69514700000036</v>
      </c>
      <c r="DU276" s="240" t="str">
        <f>+INPUT!ET172</f>
        <v>NM</v>
      </c>
      <c r="DV276" s="75">
        <f>+INPUT!EU172</f>
        <v>489.82355574950088</v>
      </c>
      <c r="DW276" s="240" t="str">
        <f>+INPUT!EV172</f>
        <v>NM</v>
      </c>
      <c r="DX276" s="75">
        <f>+INPUT!EW172</f>
        <v>493.98705597336993</v>
      </c>
      <c r="DY276" s="240" t="str">
        <f>+INPUT!EX172</f>
        <v>NM</v>
      </c>
      <c r="DZ276" s="75"/>
      <c r="EA276" s="240"/>
      <c r="EB276" s="155" t="str">
        <f>+INPUT!FI172</f>
        <v>NM</v>
      </c>
      <c r="EC276" s="75">
        <f>+INPUT!FJ172</f>
        <v>0</v>
      </c>
      <c r="ED276" s="155" t="str">
        <f>+INPUT!FK172</f>
        <v>NA</v>
      </c>
      <c r="EE276" s="75">
        <f>+INPUT!FL172</f>
        <v>0</v>
      </c>
      <c r="EF276" s="155" t="str">
        <f>+INPUT!FM172</f>
        <v>NA</v>
      </c>
      <c r="EG276" s="75">
        <f>+INPUT!FN172</f>
        <v>-909</v>
      </c>
      <c r="EH276" s="155" t="str">
        <f>+INPUT!FO172</f>
        <v>NA</v>
      </c>
      <c r="EI276" s="75">
        <f>+INPUT!FP172</f>
        <v>-1468</v>
      </c>
      <c r="EJ276" s="240">
        <f>+INPUT!FQ172</f>
        <v>61.496149614961496</v>
      </c>
      <c r="EK276" s="75">
        <f>+INPUT!FR172</f>
        <v>-363</v>
      </c>
      <c r="EL276" s="240" t="str">
        <f>+INPUT!FS172</f>
        <v>NM</v>
      </c>
      <c r="EM276" s="75">
        <f>+INPUT!FT172</f>
        <v>-1225</v>
      </c>
      <c r="EN276" s="240" t="str">
        <f>+INPUT!FU172</f>
        <v>NM</v>
      </c>
      <c r="EO276" s="75">
        <f>+INPUT!FV172</f>
        <v>-1654</v>
      </c>
      <c r="EP276" s="240">
        <f>+INPUT!FW172</f>
        <v>35.020408163265301</v>
      </c>
      <c r="EQ276" s="75">
        <f>+INPUT!FX172</f>
        <v>-31</v>
      </c>
      <c r="ER276" s="240" t="str">
        <f>+INPUT!FY172</f>
        <v>NM</v>
      </c>
      <c r="ES276" s="75">
        <f>+INPUT!FZ172</f>
        <v>8340</v>
      </c>
      <c r="ET276" s="240" t="str">
        <f>+INPUT!GA172</f>
        <v>NM</v>
      </c>
      <c r="EU276" s="75">
        <f>+INPUT!GB172</f>
        <v>21623</v>
      </c>
      <c r="EV276" s="240" t="str">
        <f>+INPUT!GC172</f>
        <v>NM</v>
      </c>
      <c r="EW276" s="75">
        <f>+INPUT!GD172</f>
        <v>46510</v>
      </c>
      <c r="EX276" s="240" t="str">
        <f>+INPUT!GE172</f>
        <v>NM</v>
      </c>
      <c r="EY276" s="75">
        <f>+INPUT!GF172</f>
        <v>7343</v>
      </c>
      <c r="EZ276" s="240" t="str">
        <f>+INPUT!GG172</f>
        <v>NM</v>
      </c>
      <c r="FA276" s="75">
        <f>+INPUT!GH172</f>
        <v>27257</v>
      </c>
      <c r="FB276" s="240" t="str">
        <f>+INPUT!GI172</f>
        <v>NM</v>
      </c>
      <c r="FC276" s="75">
        <f>+INPUT!GJ172</f>
        <v>184</v>
      </c>
      <c r="FD276" s="240" t="str">
        <f>+INPUT!GK172</f>
        <v>NM</v>
      </c>
      <c r="FE276" s="75">
        <f>+INPUT!GL172</f>
        <v>3979</v>
      </c>
      <c r="FF276" s="240" t="str">
        <f>+INPUT!GM172</f>
        <v>NM</v>
      </c>
      <c r="FG276" s="75">
        <f>+INPUT!GN172</f>
        <v>4224</v>
      </c>
      <c r="FH276" s="240">
        <f>+INPUT!GO172</f>
        <v>6.1573259612968059</v>
      </c>
      <c r="FI276" s="75">
        <f>+INPUT!GP172</f>
        <v>1955.7357587228726</v>
      </c>
      <c r="FJ276" s="240" t="str">
        <f>+INPUT!GQ172</f>
        <v>NM</v>
      </c>
      <c r="FK276" s="75">
        <f>+INPUT!GR172</f>
        <v>1992.7437837965808</v>
      </c>
      <c r="FL276" s="240">
        <f>+INPUT!GS172</f>
        <v>1.8922814551325189</v>
      </c>
      <c r="FM276" s="75">
        <f>+INPUT!GT172</f>
        <v>2060.497072445658</v>
      </c>
      <c r="FN276" s="240">
        <f>+INPUT!GU172</f>
        <v>3.3999999999996646</v>
      </c>
      <c r="FO276" s="75">
        <f>+INPUT!GV172</f>
        <v>2130.5539729088196</v>
      </c>
      <c r="FP276" s="240">
        <f>+INPUT!GW172</f>
        <v>3.4000000000004462</v>
      </c>
      <c r="FQ276" s="75">
        <f>+INPUT!GX172</f>
        <v>2202.9928079877136</v>
      </c>
      <c r="FR276" s="240">
        <f>+INPUT!GY172</f>
        <v>3.3999999999997357</v>
      </c>
      <c r="FS276" s="240">
        <f>+INPUT!GZ172</f>
        <v>-12.207415564541002</v>
      </c>
    </row>
    <row r="277" spans="1:176" ht="12.75" hidden="1" customHeight="1" outlineLevel="1" x14ac:dyDescent="0.2">
      <c r="A277" s="246" t="str">
        <f>+INPUT!B174</f>
        <v>Deposits/BOP Assets (%)</v>
      </c>
      <c r="B277" s="73"/>
      <c r="C277" s="155"/>
      <c r="D277" s="73"/>
      <c r="E277" s="155"/>
      <c r="F277" s="73"/>
      <c r="G277" s="155"/>
      <c r="H277" s="73"/>
      <c r="I277" s="155"/>
      <c r="J277" s="73">
        <f>+INPUT!AI174</f>
        <v>3.3387622149837135</v>
      </c>
      <c r="K277" s="155">
        <f>+INPUT!AJ174</f>
        <v>0</v>
      </c>
      <c r="L277" s="73">
        <f>+INPUT!AK174</f>
        <v>7.1475575803594023</v>
      </c>
      <c r="M277" s="155">
        <f>+INPUT!AL174</f>
        <v>0</v>
      </c>
      <c r="N277" s="73">
        <f>+INPUT!AM174</f>
        <v>3.5285104520083177</v>
      </c>
      <c r="O277" s="155">
        <f>+INPUT!AN174</f>
        <v>0</v>
      </c>
      <c r="P277" s="73">
        <f>+INPUT!AO174</f>
        <v>13.20655966503838</v>
      </c>
      <c r="Q277" s="155">
        <f>+INPUT!AP174</f>
        <v>0</v>
      </c>
      <c r="R277" s="73">
        <f>+INPUT!AQ174</f>
        <v>10.427852348993289</v>
      </c>
      <c r="S277" s="155">
        <f>+INPUT!AR174</f>
        <v>0</v>
      </c>
      <c r="T277" s="73">
        <f>+INPUT!AS174</f>
        <v>10.356828378548366</v>
      </c>
      <c r="U277" s="155">
        <f>+INPUT!AT174</f>
        <v>0</v>
      </c>
      <c r="V277" s="73">
        <f>+INPUT!AU174</f>
        <v>6.5991936147453298</v>
      </c>
      <c r="W277" s="155">
        <f>+INPUT!AV174</f>
        <v>0</v>
      </c>
      <c r="X277" s="73">
        <f>+INPUT!AW174</f>
        <v>6.4190363268393407</v>
      </c>
      <c r="Y277" s="155">
        <f>+INPUT!AX174</f>
        <v>0</v>
      </c>
      <c r="Z277" s="73">
        <f>+INPUT!AY174</f>
        <v>12.778702163061565</v>
      </c>
      <c r="AA277" s="155">
        <f>+INPUT!AZ174</f>
        <v>0</v>
      </c>
      <c r="AB277" s="73">
        <f>+INPUT!BA174</f>
        <v>9.2174097214868169</v>
      </c>
      <c r="AC277" s="155">
        <f>+INPUT!BB174</f>
        <v>0</v>
      </c>
      <c r="AD277" s="73">
        <f>+INPUT!BC174</f>
        <v>17.086948180674867</v>
      </c>
      <c r="AE277" s="155">
        <f>+INPUT!BD174</f>
        <v>0</v>
      </c>
      <c r="AF277" s="73">
        <f>+INPUT!BE174</f>
        <v>11.037438343979947</v>
      </c>
      <c r="AG277" s="155">
        <f>+INPUT!BF174</f>
        <v>0</v>
      </c>
      <c r="AH277" s="73">
        <f>+INPUT!BG174</f>
        <v>12.198372754580358</v>
      </c>
      <c r="AI277" s="240">
        <f>+INPUT!BH174</f>
        <v>0</v>
      </c>
      <c r="AJ277" s="73">
        <f>+INPUT!BI174</f>
        <v>12.609304988057875</v>
      </c>
      <c r="AK277" s="240">
        <f>+INPUT!BJ174</f>
        <v>0</v>
      </c>
      <c r="AL277" s="73">
        <f>+INPUT!BK174</f>
        <v>4.2807210462239329</v>
      </c>
      <c r="AM277" s="240">
        <f>+INPUT!BL174</f>
        <v>0</v>
      </c>
      <c r="AN277" s="73">
        <f>+INPUT!BM174</f>
        <v>10.056753249268793</v>
      </c>
      <c r="AO277" s="240">
        <f>+INPUT!BN174</f>
        <v>0</v>
      </c>
      <c r="AP277" s="73">
        <f>+INPUT!BO174</f>
        <v>14.0334554476556</v>
      </c>
      <c r="AQ277" s="240">
        <f>+INPUT!BP174</f>
        <v>0</v>
      </c>
      <c r="AR277" s="73">
        <f>+INPUT!BQ174</f>
        <v>12.433468171173089</v>
      </c>
      <c r="AS277" s="240">
        <f>+INPUT!BR174</f>
        <v>0</v>
      </c>
      <c r="AT277" s="73">
        <f>+INPUT!BS174</f>
        <v>8.1688117562557014</v>
      </c>
      <c r="AU277" s="240">
        <f>+INPUT!BT174</f>
        <v>0</v>
      </c>
      <c r="AV277" s="73">
        <f>+INPUT!BU174</f>
        <v>10.151675625986691</v>
      </c>
      <c r="AW277" s="240">
        <f>+INPUT!BV174</f>
        <v>0</v>
      </c>
      <c r="AX277" s="73">
        <f>+INPUT!BW174</f>
        <v>4.9672218811273297</v>
      </c>
      <c r="AY277" s="240">
        <f>+INPUT!BX174</f>
        <v>0</v>
      </c>
      <c r="AZ277" s="73">
        <f>+INPUT!BY174</f>
        <v>19.114827656536814</v>
      </c>
      <c r="BA277" s="240">
        <f>+INPUT!BZ174</f>
        <v>0</v>
      </c>
      <c r="BB277" s="73">
        <f>+INPUT!CA174</f>
        <v>10.744820616472966</v>
      </c>
      <c r="BC277" s="240">
        <f>+INPUT!CB174</f>
        <v>0</v>
      </c>
      <c r="BD277" s="73">
        <f>+INPUT!CC174</f>
        <v>27.819773819733928</v>
      </c>
      <c r="BE277" s="240">
        <f>+INPUT!CD174</f>
        <v>0</v>
      </c>
      <c r="BF277" s="81">
        <f>+INPUT!CE174</f>
        <v>14.45634584264468</v>
      </c>
      <c r="BG277" s="240">
        <f>+INPUT!CF174</f>
        <v>0</v>
      </c>
      <c r="BH277" s="81">
        <f>+INPUT!CG174</f>
        <v>27.986658580958157</v>
      </c>
      <c r="BI277" s="240">
        <f>+INPUT!CH174</f>
        <v>0</v>
      </c>
      <c r="BJ277" s="81">
        <f>+INPUT!CI174</f>
        <v>21.985169302242475</v>
      </c>
      <c r="BK277" s="240">
        <f>+INPUT!CJ174</f>
        <v>0</v>
      </c>
      <c r="BL277" s="81">
        <f>+INPUT!CK174</f>
        <v>45.064508482611494</v>
      </c>
      <c r="BM277" s="240">
        <f>+INPUT!CL174</f>
        <v>0</v>
      </c>
      <c r="BN277" s="81">
        <f>+INPUT!CM174</f>
        <v>36.053160494211859</v>
      </c>
      <c r="BO277" s="240">
        <f>+INPUT!CN174</f>
        <v>0</v>
      </c>
      <c r="BP277" s="81">
        <f>+INPUT!CO174</f>
        <v>32.468211113046507</v>
      </c>
      <c r="BQ277" s="240">
        <f>+INPUT!CP174</f>
        <v>0</v>
      </c>
      <c r="BR277" s="81">
        <f>+INPUT!CQ174</f>
        <v>30.060298660479422</v>
      </c>
      <c r="BS277" s="240">
        <f>+INPUT!CR174</f>
        <v>0</v>
      </c>
      <c r="BT277" s="81">
        <f>+INPUT!CS174</f>
        <v>53.780134885049627</v>
      </c>
      <c r="BU277" s="240">
        <f>+INPUT!CT174</f>
        <v>0</v>
      </c>
      <c r="BV277" s="81">
        <f>+INPUT!CU174</f>
        <v>19.531796334735652</v>
      </c>
      <c r="BW277" s="240">
        <f>+INPUT!CV174</f>
        <v>0</v>
      </c>
      <c r="BX277" s="81">
        <f>+INPUT!CW174</f>
        <v>36.043600098025635</v>
      </c>
      <c r="BY277" s="240">
        <f>+INPUT!CX174</f>
        <v>0</v>
      </c>
      <c r="BZ277" s="81">
        <f>+INPUT!CY174</f>
        <v>11.54593286022471</v>
      </c>
      <c r="CA277" s="240">
        <f>+INPUT!CZ174</f>
        <v>0</v>
      </c>
      <c r="CB277" s="81">
        <f>+INPUT!DA174</f>
        <v>149.80792385757698</v>
      </c>
      <c r="CC277" s="240">
        <f>+INPUT!DB174</f>
        <v>0</v>
      </c>
      <c r="CD277" s="81">
        <f>+INPUT!DC174</f>
        <v>10.874253190511544</v>
      </c>
      <c r="CE277" s="240">
        <f>+INPUT!DD174</f>
        <v>0</v>
      </c>
      <c r="CF277" s="81">
        <f>+INPUT!DE174</f>
        <v>12.194866129178875</v>
      </c>
      <c r="CG277" s="240">
        <f>+INPUT!DF174</f>
        <v>0</v>
      </c>
      <c r="CH277" s="81">
        <f>+INPUT!DG174</f>
        <v>13.97353245293232</v>
      </c>
      <c r="CI277" s="240">
        <f>+INPUT!DH174</f>
        <v>0</v>
      </c>
      <c r="CJ277" s="81">
        <f>+INPUT!DI174</f>
        <v>11.026512576478586</v>
      </c>
      <c r="CK277" s="240">
        <f>+INPUT!DJ174</f>
        <v>0</v>
      </c>
      <c r="CL277" s="81">
        <f>+INPUT!DK174</f>
        <v>4.6398307920911366</v>
      </c>
      <c r="CM277" s="240">
        <f>+INPUT!DL174</f>
        <v>0</v>
      </c>
      <c r="CN277" s="81">
        <f>+INPUT!DM174</f>
        <v>5.5458669927369186</v>
      </c>
      <c r="CO277" s="240" t="str">
        <f>+INPUT!DN174</f>
        <v>NM</v>
      </c>
      <c r="CP277" s="81">
        <f>+INPUT!DO174</f>
        <v>83.135643850145328</v>
      </c>
      <c r="CQ277" s="240" t="str">
        <f>+INPUT!DP174</f>
        <v>NM</v>
      </c>
      <c r="CR277" s="81">
        <f>+INPUT!DQ174</f>
        <v>19.422763579184853</v>
      </c>
      <c r="CS277" s="240">
        <f>+INPUT!DR174</f>
        <v>76.146024814925511</v>
      </c>
      <c r="CT277" s="81">
        <f>+INPUT!DS174</f>
        <v>2.1576366197026289</v>
      </c>
      <c r="CU277" s="240" t="str">
        <f>+INPUT!DT174</f>
        <v>NM</v>
      </c>
      <c r="CV277" s="81">
        <f>+INPUT!DU174</f>
        <v>20.65718157181572</v>
      </c>
      <c r="CW277" s="240" t="str">
        <f>+INPUT!DV174</f>
        <v>NM</v>
      </c>
      <c r="CX277" s="81">
        <f>+INPUT!DW174</f>
        <v>4.4200698593020604</v>
      </c>
      <c r="CY277" s="240" t="str">
        <f>+INPUT!DX174</f>
        <v>NM</v>
      </c>
      <c r="CZ277" s="81">
        <f>+INPUT!DY174</f>
        <v>7.5414781297134237</v>
      </c>
      <c r="DA277" s="240" t="str">
        <f>+INPUT!DZ174</f>
        <v>NM</v>
      </c>
      <c r="DB277" s="81">
        <f>+INPUT!EA174</f>
        <v>4.5809161832366474</v>
      </c>
      <c r="DC277" s="240" t="str">
        <f>+INPUT!EB174</f>
        <v>NM</v>
      </c>
      <c r="DD277" s="81">
        <f>+INPUT!EC174</f>
        <v>7.5677887832583961</v>
      </c>
      <c r="DE277" s="240" t="str">
        <f>+INPUT!ED174</f>
        <v>NM</v>
      </c>
      <c r="DF277" s="81">
        <f>+INPUT!EE174</f>
        <v>15.274046063179311</v>
      </c>
      <c r="DG277" s="240" t="str">
        <f>+INPUT!EF174</f>
        <v>NM</v>
      </c>
      <c r="DH277" s="81">
        <f>+INPUT!EG174</f>
        <v>8.0569636566715364</v>
      </c>
      <c r="DI277" s="240">
        <f>+INPUT!EH174</f>
        <v>6.8353380874645779</v>
      </c>
      <c r="DJ277" s="81">
        <f>+INPUT!EI174</f>
        <v>8.8168571677864058</v>
      </c>
      <c r="DK277" s="240">
        <f>+INPUT!EJ174</f>
        <v>92.469296863599311</v>
      </c>
      <c r="DL277" s="81">
        <f>+INPUT!EK174</f>
        <v>5.5252140561272718</v>
      </c>
      <c r="DM277" s="240">
        <f>+INPUT!EL174</f>
        <v>-26.990377052405933</v>
      </c>
      <c r="DN277" s="81">
        <f>+INPUT!EM174</f>
        <v>10.211671400246503</v>
      </c>
      <c r="DO277" s="240">
        <f>+INPUT!EN174</f>
        <v>-33.14363883670957</v>
      </c>
      <c r="DP277" s="81">
        <f>+INPUT!EO174</f>
        <v>21.798417189050898</v>
      </c>
      <c r="DQ277" s="240" t="str">
        <f>+INPUT!EP174</f>
        <v>NM</v>
      </c>
      <c r="DR277" s="81">
        <f>+INPUT!EQ174</f>
        <v>11</v>
      </c>
      <c r="DS277" s="240">
        <f>+INPUT!ER174</f>
        <v>24.761009401286486</v>
      </c>
      <c r="DT277" s="81">
        <f>+INPUT!ES174</f>
        <v>11</v>
      </c>
      <c r="DU277" s="240">
        <f>+INPUT!ET174</f>
        <v>99.087309346890891</v>
      </c>
      <c r="DV277" s="81">
        <f>+INPUT!EU174</f>
        <v>11</v>
      </c>
      <c r="DW277" s="240">
        <f>+INPUT!EV174</f>
        <v>7.7198782535684387</v>
      </c>
      <c r="DX277" s="81">
        <f>+INPUT!EW174</f>
        <v>11</v>
      </c>
      <c r="DY277" s="240">
        <f>+INPUT!EX174</f>
        <v>-49.537620531800918</v>
      </c>
      <c r="DZ277" s="81"/>
      <c r="EA277" s="240"/>
      <c r="EB277" s="155">
        <f>+INPUT!FI174</f>
        <v>0</v>
      </c>
      <c r="EC277" s="73">
        <f>+INPUT!FJ174</f>
        <v>0</v>
      </c>
      <c r="ED277" s="155">
        <f>+INPUT!FK174</f>
        <v>0</v>
      </c>
      <c r="EE277" s="73">
        <f>+INPUT!FL174</f>
        <v>0</v>
      </c>
      <c r="EF277" s="155">
        <f>+INPUT!FM174</f>
        <v>0</v>
      </c>
      <c r="EG277" s="73">
        <f>+INPUT!FN174</f>
        <v>7.5096701954397398</v>
      </c>
      <c r="EH277" s="155">
        <f>+INPUT!FO174</f>
        <v>0</v>
      </c>
      <c r="EI277" s="73">
        <f>+INPUT!FP174</f>
        <v>8.5255872483221466</v>
      </c>
      <c r="EJ277" s="240">
        <f>+INPUT!FQ174</f>
        <v>0</v>
      </c>
      <c r="EK277" s="73">
        <f>+INPUT!FR174</f>
        <v>12.464642262895174</v>
      </c>
      <c r="EL277" s="240">
        <f>+INPUT!FS174</f>
        <v>0</v>
      </c>
      <c r="EM277" s="73">
        <f>+INPUT!FT174</f>
        <v>9.8927768604905619</v>
      </c>
      <c r="EN277" s="240">
        <f>+INPUT!FU174</f>
        <v>0</v>
      </c>
      <c r="EO277" s="73">
        <f>+INPUT!FV174</f>
        <v>11.122094939039755</v>
      </c>
      <c r="EP277" s="240">
        <f>+INPUT!FW174</f>
        <v>0</v>
      </c>
      <c r="EQ277" s="81">
        <f>+INPUT!FX174</f>
        <v>15.420570002574715</v>
      </c>
      <c r="ER277" s="240">
        <f>+INPUT!FY174</f>
        <v>0</v>
      </c>
      <c r="ES277" s="81">
        <f>+INPUT!FZ174</f>
        <v>29.471372428142097</v>
      </c>
      <c r="ET277" s="240">
        <f>+INPUT!GA174</f>
        <v>0</v>
      </c>
      <c r="EU277" s="81">
        <f>+INPUT!GB174</f>
        <v>43.271582817880123</v>
      </c>
      <c r="EV277" s="240">
        <f>+INPUT!GC174</f>
        <v>0</v>
      </c>
      <c r="EW277" s="81">
        <f>+INPUT!GD174</f>
        <v>61.056288781094246</v>
      </c>
      <c r="EX277" s="240">
        <f>+INPUT!GE174</f>
        <v>0</v>
      </c>
      <c r="EY277" s="81">
        <f>+INPUT!GF174</f>
        <v>12.227525011489377</v>
      </c>
      <c r="EZ277" s="240">
        <f>+INPUT!GG174</f>
        <v>0</v>
      </c>
      <c r="FA277" s="81">
        <f>+INPUT!GH174</f>
        <v>28.977523727928677</v>
      </c>
      <c r="FB277" s="240" t="str">
        <f>+INPUT!GI174</f>
        <v>NM</v>
      </c>
      <c r="FC277" s="81">
        <f>+INPUT!GJ174</f>
        <v>8.6683997528403882</v>
      </c>
      <c r="FD277" s="240" t="str">
        <f>+INPUT!GK174</f>
        <v>NM</v>
      </c>
      <c r="FE277" s="81">
        <f>+INPUT!GL174</f>
        <v>8.9684603587384135</v>
      </c>
      <c r="FF277" s="240">
        <f>+INPUT!GM174</f>
        <v>3.4615455499696282</v>
      </c>
      <c r="FG277" s="81">
        <f>+INPUT!GN174</f>
        <v>11.795436698368379</v>
      </c>
      <c r="FH277" s="240">
        <f>+INPUT!GO174</f>
        <v>31.521311647160303</v>
      </c>
      <c r="FI277" s="81">
        <f>+INPUT!GP174</f>
        <v>11.061171331443751</v>
      </c>
      <c r="FJ277" s="240">
        <f>+INPUT!GQ174</f>
        <v>-6.2249951884036392</v>
      </c>
      <c r="FK277" s="81">
        <f>+INPUT!GR174</f>
        <v>11</v>
      </c>
      <c r="FL277" s="240">
        <f>+INPUT!GS174</f>
        <v>-0.55302760992280753</v>
      </c>
      <c r="FM277" s="81">
        <f>+INPUT!GT174</f>
        <v>11</v>
      </c>
      <c r="FN277" s="240">
        <f>+INPUT!GU174</f>
        <v>0</v>
      </c>
      <c r="FO277" s="81">
        <f>+INPUT!GV174</f>
        <v>11</v>
      </c>
      <c r="FP277" s="240">
        <f>+INPUT!GW174</f>
        <v>0</v>
      </c>
      <c r="FQ277" s="81">
        <f>+INPUT!GX174</f>
        <v>11</v>
      </c>
      <c r="FR277" s="240">
        <f>+INPUT!GY174</f>
        <v>0</v>
      </c>
      <c r="FS277" s="240">
        <f>+INPUT!GZ174</f>
        <v>0</v>
      </c>
    </row>
    <row r="278" spans="1:176" ht="12.75" hidden="1" customHeight="1" outlineLevel="1" x14ac:dyDescent="0.2">
      <c r="A278" s="246" t="str">
        <f>+INPUT!B175</f>
        <v>Withdrawals/BOP Reserves (%)</v>
      </c>
      <c r="B278" s="73"/>
      <c r="C278" s="155"/>
      <c r="D278" s="73"/>
      <c r="E278" s="155"/>
      <c r="F278" s="73"/>
      <c r="G278" s="155"/>
      <c r="H278" s="73"/>
      <c r="I278" s="155"/>
      <c r="J278" s="73">
        <f>+INPUT!AI175</f>
        <v>6.8709283387622149</v>
      </c>
      <c r="K278" s="155">
        <f>+INPUT!AJ175</f>
        <v>0</v>
      </c>
      <c r="L278" s="73">
        <f>+INPUT!AK175</f>
        <v>12.968868640850417</v>
      </c>
      <c r="M278" s="155">
        <f>+INPUT!AL175</f>
        <v>0</v>
      </c>
      <c r="N278" s="73">
        <f>+INPUT!AM175</f>
        <v>9.5786363138885839</v>
      </c>
      <c r="O278" s="155">
        <f>+INPUT!AN175</f>
        <v>0</v>
      </c>
      <c r="P278" s="73">
        <f>+INPUT!AO175</f>
        <v>7.0655966503838101</v>
      </c>
      <c r="Q278" s="155">
        <f>+INPUT!AP175</f>
        <v>0</v>
      </c>
      <c r="R278" s="73">
        <f>+INPUT!AQ175</f>
        <v>9.9077181208053684</v>
      </c>
      <c r="S278" s="155">
        <f>+INPUT!AR175</f>
        <v>0</v>
      </c>
      <c r="T278" s="73">
        <f>+INPUT!AS175</f>
        <v>10.247809132458384</v>
      </c>
      <c r="U278" s="155">
        <f>+INPUT!AT175</f>
        <v>0</v>
      </c>
      <c r="V278" s="73">
        <f>+INPUT!AU175</f>
        <v>7.3726651855508933</v>
      </c>
      <c r="W278" s="155">
        <f>+INPUT!AV175</f>
        <v>0</v>
      </c>
      <c r="X278" s="73">
        <f>+INPUT!AW175</f>
        <v>18.267677903387369</v>
      </c>
      <c r="Y278" s="155">
        <f>+INPUT!AX175</f>
        <v>0</v>
      </c>
      <c r="Z278" s="73">
        <f>+INPUT!AY175</f>
        <v>20.399334442595674</v>
      </c>
      <c r="AA278" s="155">
        <f>+INPUT!AZ175</f>
        <v>0</v>
      </c>
      <c r="AB278" s="73">
        <f>+INPUT!BA175</f>
        <v>12.106322143386636</v>
      </c>
      <c r="AC278" s="155">
        <f>+INPUT!BB175</f>
        <v>0</v>
      </c>
      <c r="AD278" s="73">
        <f>+INPUT!BC175</f>
        <v>6.062285507215484</v>
      </c>
      <c r="AE278" s="155">
        <f>+INPUT!BD175</f>
        <v>0</v>
      </c>
      <c r="AF278" s="73">
        <f>+INPUT!BE175</f>
        <v>14.263766475297162</v>
      </c>
      <c r="AG278" s="155">
        <f>+INPUT!BF175</f>
        <v>0</v>
      </c>
      <c r="AH278" s="73">
        <f>+INPUT!BG175</f>
        <v>13.869382720961228</v>
      </c>
      <c r="AI278" s="240">
        <f>+INPUT!BH175</f>
        <v>0</v>
      </c>
      <c r="AJ278" s="73">
        <f>+INPUT!BI175</f>
        <v>11.045972246896033</v>
      </c>
      <c r="AK278" s="240">
        <f>+INPUT!BJ175</f>
        <v>0</v>
      </c>
      <c r="AL278" s="73">
        <f>+INPUT!BK175</f>
        <v>9.3704590975140398</v>
      </c>
      <c r="AM278" s="240">
        <f>+INPUT!BL175</f>
        <v>0</v>
      </c>
      <c r="AN278" s="73">
        <f>+INPUT!BM175</f>
        <v>14.434307629728629</v>
      </c>
      <c r="AO278" s="240">
        <f>+INPUT!BN175</f>
        <v>0</v>
      </c>
      <c r="AP278" s="73">
        <f>+INPUT!BO175</f>
        <v>13.196100094977806</v>
      </c>
      <c r="AQ278" s="240">
        <f>+INPUT!BP175</f>
        <v>0</v>
      </c>
      <c r="AR278" s="73">
        <f>+INPUT!BQ175</f>
        <v>15.050225482416243</v>
      </c>
      <c r="AS278" s="240">
        <f>+INPUT!BR175</f>
        <v>0</v>
      </c>
      <c r="AT278" s="73">
        <f>+INPUT!BS175</f>
        <v>16.415273814376956</v>
      </c>
      <c r="AU278" s="240">
        <f>+INPUT!BT175</f>
        <v>0</v>
      </c>
      <c r="AV278" s="73">
        <f>+INPUT!BU175</f>
        <v>13.045302851661638</v>
      </c>
      <c r="AW278" s="240">
        <f>+INPUT!BV175</f>
        <v>0</v>
      </c>
      <c r="AX278" s="73">
        <f>+INPUT!BW175</f>
        <v>16.137529460695966</v>
      </c>
      <c r="AY278" s="240">
        <f>+INPUT!BX175</f>
        <v>0</v>
      </c>
      <c r="AZ278" s="73">
        <f>+INPUT!BY175</f>
        <v>10.377320008158271</v>
      </c>
      <c r="BA278" s="240">
        <f>+INPUT!BZ175</f>
        <v>0</v>
      </c>
      <c r="BB278" s="73">
        <f>+INPUT!CA175</f>
        <v>20.398180899444164</v>
      </c>
      <c r="BC278" s="240">
        <f>+INPUT!CB175</f>
        <v>0</v>
      </c>
      <c r="BD278" s="73">
        <f>+INPUT!CC175</f>
        <v>15.83660769491593</v>
      </c>
      <c r="BE278" s="240">
        <f>+INPUT!CD175</f>
        <v>0</v>
      </c>
      <c r="BF278" s="81">
        <f>+INPUT!CE175</f>
        <v>16.483008399475995</v>
      </c>
      <c r="BG278" s="240">
        <f>+INPUT!CF175</f>
        <v>0</v>
      </c>
      <c r="BH278" s="81">
        <f>+INPUT!CG175</f>
        <v>15.175864160097028</v>
      </c>
      <c r="BI278" s="240">
        <f>+INPUT!CH175</f>
        <v>0</v>
      </c>
      <c r="BJ278" s="81">
        <f>+INPUT!CI175</f>
        <v>11.721611721611721</v>
      </c>
      <c r="BK278" s="240">
        <f>+INPUT!CJ175</f>
        <v>0</v>
      </c>
      <c r="BL278" s="81">
        <f>+INPUT!CK175</f>
        <v>7.9712844129897391</v>
      </c>
      <c r="BM278" s="240">
        <f>+INPUT!CL175</f>
        <v>0</v>
      </c>
      <c r="BN278" s="81">
        <f>+INPUT!CM175</f>
        <v>7.0298988828817608</v>
      </c>
      <c r="BO278" s="240">
        <f>+INPUT!CN175</f>
        <v>0</v>
      </c>
      <c r="BP278" s="81">
        <f>+INPUT!CO175</f>
        <v>8.3434941647796546</v>
      </c>
      <c r="BQ278" s="240">
        <f>+INPUT!CP175</f>
        <v>0</v>
      </c>
      <c r="BR278" s="81">
        <f>+INPUT!CQ175</f>
        <v>8.0991757834104483</v>
      </c>
      <c r="BS278" s="240">
        <f>+INPUT!CR175</f>
        <v>0</v>
      </c>
      <c r="BT278" s="81">
        <f>+INPUT!CS175</f>
        <v>10.35360749195782</v>
      </c>
      <c r="BU278" s="240">
        <f>+INPUT!CT175</f>
        <v>0</v>
      </c>
      <c r="BV278" s="81">
        <f>+INPUT!CU175</f>
        <v>6.8288026285118058</v>
      </c>
      <c r="BW278" s="240">
        <f>+INPUT!CV175</f>
        <v>0</v>
      </c>
      <c r="BX278" s="81">
        <f>+INPUT!CW175</f>
        <v>12.06993916017602</v>
      </c>
      <c r="BY278" s="240">
        <f>+INPUT!CX175</f>
        <v>0</v>
      </c>
      <c r="BZ278" s="81">
        <f>+INPUT!CY175</f>
        <v>6.0091953574182719</v>
      </c>
      <c r="CA278" s="240">
        <f>+INPUT!CZ175</f>
        <v>0</v>
      </c>
      <c r="CB278" s="81">
        <f>+INPUT!DA175</f>
        <v>9.8847543145461856</v>
      </c>
      <c r="CC278" s="240">
        <f>+INPUT!DB175</f>
        <v>0</v>
      </c>
      <c r="CD278" s="81">
        <f>+INPUT!DC175</f>
        <v>6.5584897656167138</v>
      </c>
      <c r="CE278" s="240">
        <f>+INPUT!DD175</f>
        <v>0</v>
      </c>
      <c r="CF278" s="81">
        <f>+INPUT!DE175</f>
        <v>6.886183580284035</v>
      </c>
      <c r="CG278" s="240">
        <f>+INPUT!DF175</f>
        <v>0</v>
      </c>
      <c r="CH278" s="81">
        <f>+INPUT!DG175</f>
        <v>6.9034913012401029</v>
      </c>
      <c r="CI278" s="240">
        <f>+INPUT!DH175</f>
        <v>0</v>
      </c>
      <c r="CJ278" s="81">
        <f>+INPUT!DI175</f>
        <v>7.2957171991842289</v>
      </c>
      <c r="CK278" s="240">
        <f>+INPUT!DJ175</f>
        <v>0</v>
      </c>
      <c r="CL278" s="81">
        <f>+INPUT!DK175</f>
        <v>8.0775357759601611</v>
      </c>
      <c r="CM278" s="240">
        <f>+INPUT!DL175</f>
        <v>0</v>
      </c>
      <c r="CN278" s="81">
        <f>+INPUT!DM175</f>
        <v>12.299797542445928</v>
      </c>
      <c r="CO278" s="240">
        <f>+INPUT!DN175</f>
        <v>78.61559162700388</v>
      </c>
      <c r="CP278" s="81">
        <f>+INPUT!DO175</f>
        <v>9.7576038289331475</v>
      </c>
      <c r="CQ278" s="240">
        <f>+INPUT!DP175</f>
        <v>41.343030694923129</v>
      </c>
      <c r="CR278" s="81">
        <f>+INPUT!DQ175</f>
        <v>10.899809714800087</v>
      </c>
      <c r="CS278" s="240">
        <f>+INPUT!DR175</f>
        <v>49.400112658133878</v>
      </c>
      <c r="CT278" s="81">
        <f>+INPUT!DS175</f>
        <v>7.7821878079057676</v>
      </c>
      <c r="CU278" s="240">
        <f>+INPUT!DT175</f>
        <v>-3.6564117602968622</v>
      </c>
      <c r="CV278" s="81">
        <f>+INPUT!DU175</f>
        <v>8.599819331526648</v>
      </c>
      <c r="CW278" s="240">
        <f>+INPUT!DV175</f>
        <v>-30.081618808365405</v>
      </c>
      <c r="CX278" s="81">
        <f>+INPUT!DW175</f>
        <v>8.5746308447317166</v>
      </c>
      <c r="CY278" s="240">
        <f>+INPUT!DX175</f>
        <v>-12.123601295368147</v>
      </c>
      <c r="CZ278" s="81">
        <f>+INPUT!DY175</f>
        <v>9.1268399555217918</v>
      </c>
      <c r="DA278" s="240">
        <f>+INPUT!DZ175</f>
        <v>-16.266061570514424</v>
      </c>
      <c r="DB278" s="81">
        <f>+INPUT!EA175</f>
        <v>6.1856815807605967</v>
      </c>
      <c r="DC278" s="240">
        <f>+INPUT!EB175</f>
        <v>-20.514876620213556</v>
      </c>
      <c r="DD278" s="81">
        <f>+INPUT!EC175</f>
        <v>6.8997173969549657</v>
      </c>
      <c r="DE278" s="240">
        <f>+INPUT!ED175</f>
        <v>-19.769042453475336</v>
      </c>
      <c r="DF278" s="81">
        <f>+INPUT!EE175</f>
        <v>5.1724328567795581</v>
      </c>
      <c r="DG278" s="240">
        <f>+INPUT!EF175</f>
        <v>-39.677486407971493</v>
      </c>
      <c r="DH278" s="81">
        <f>+INPUT!EG175</f>
        <v>8.4199673511470063</v>
      </c>
      <c r="DI278" s="240">
        <f>+INPUT!EH175</f>
        <v>-7.744987397824616</v>
      </c>
      <c r="DJ278" s="81">
        <f>+INPUT!EI175</f>
        <v>9.2509379635284876</v>
      </c>
      <c r="DK278" s="240">
        <f>+INPUT!EJ175</f>
        <v>49.554060336726621</v>
      </c>
      <c r="DL278" s="81">
        <f>+INPUT!EK175</f>
        <v>9.0127758420441353</v>
      </c>
      <c r="DM278" s="240">
        <f>+INPUT!EL175</f>
        <v>30.625289754935778</v>
      </c>
      <c r="DN278" s="81">
        <f>+INPUT!EM175</f>
        <v>7.6137398853223308</v>
      </c>
      <c r="DO278" s="240">
        <f>+INPUT!EN175</f>
        <v>47.198428595219525</v>
      </c>
      <c r="DP278" s="81">
        <f>+INPUT!EO175</f>
        <v>11.554201455421738</v>
      </c>
      <c r="DQ278" s="240">
        <f>+INPUT!EP175</f>
        <v>37.223827285360812</v>
      </c>
      <c r="DR278" s="81">
        <f>+INPUT!EQ175</f>
        <v>10</v>
      </c>
      <c r="DS278" s="240">
        <f>+INPUT!ER175</f>
        <v>8.0971468993162006</v>
      </c>
      <c r="DT278" s="81">
        <f>+INPUT!ES175</f>
        <v>10</v>
      </c>
      <c r="DU278" s="240">
        <f>+INPUT!ET175</f>
        <v>10.953608247422665</v>
      </c>
      <c r="DV278" s="81">
        <f>+INPUT!EU175</f>
        <v>10</v>
      </c>
      <c r="DW278" s="240">
        <f>+INPUT!EV175</f>
        <v>31.341497747747724</v>
      </c>
      <c r="DX278" s="81">
        <f>+INPUT!EW175</f>
        <v>10</v>
      </c>
      <c r="DY278" s="240">
        <f>+INPUT!EX175</f>
        <v>-13.451396545387723</v>
      </c>
      <c r="DZ278" s="81"/>
      <c r="EA278" s="240"/>
      <c r="EB278" s="155">
        <f>+INPUT!FI175</f>
        <v>0</v>
      </c>
      <c r="EC278" s="73">
        <f>+INPUT!FJ175</f>
        <v>0</v>
      </c>
      <c r="ED278" s="155">
        <f>+INPUT!FK175</f>
        <v>0</v>
      </c>
      <c r="EE278" s="73">
        <f>+INPUT!FL175</f>
        <v>0</v>
      </c>
      <c r="EF278" s="155">
        <f>+INPUT!FM175</f>
        <v>0</v>
      </c>
      <c r="EG278" s="73">
        <f>+INPUT!FN175</f>
        <v>9.8228827361563518</v>
      </c>
      <c r="EH278" s="155">
        <f>+INPUT!FO175</f>
        <v>0</v>
      </c>
      <c r="EI278" s="73">
        <f>+INPUT!FP175</f>
        <v>11.604446308724832</v>
      </c>
      <c r="EJ278" s="240">
        <f>+INPUT!FQ175</f>
        <v>0</v>
      </c>
      <c r="EK278" s="73">
        <f>+INPUT!FR175</f>
        <v>13.219633943427619</v>
      </c>
      <c r="EL278" s="240">
        <f>+INPUT!FS175</f>
        <v>0</v>
      </c>
      <c r="EM278" s="73">
        <f>+INPUT!FT175</f>
        <v>12.329666394795998</v>
      </c>
      <c r="EN278" s="240">
        <f>+INPUT!FU175</f>
        <v>0</v>
      </c>
      <c r="EO278" s="73">
        <f>+INPUT!FV175</f>
        <v>14.328080479153341</v>
      </c>
      <c r="EP278" s="240">
        <f>+INPUT!FW175</f>
        <v>0</v>
      </c>
      <c r="EQ278" s="81">
        <f>+INPUT!FX175</f>
        <v>15.481967083242559</v>
      </c>
      <c r="ER278" s="240">
        <f>+INPUT!FY175</f>
        <v>0</v>
      </c>
      <c r="ES278" s="81">
        <f>+INPUT!FZ175</f>
        <v>13.404484857825382</v>
      </c>
      <c r="ET278" s="240">
        <f>+INPUT!GA175</f>
        <v>0</v>
      </c>
      <c r="EU278" s="81">
        <f>+INPUT!GB175</f>
        <v>9.5819765358428253</v>
      </c>
      <c r="EV278" s="240">
        <f>+INPUT!GC175</f>
        <v>0</v>
      </c>
      <c r="EW278" s="81">
        <f>+INPUT!GD175</f>
        <v>9.4295640977255815</v>
      </c>
      <c r="EX278" s="240">
        <f>+INPUT!GE175</f>
        <v>0</v>
      </c>
      <c r="EY278" s="81">
        <f>+INPUT!GF175</f>
        <v>7.0357407996606209</v>
      </c>
      <c r="EZ278" s="240">
        <f>+INPUT!GG175</f>
        <v>0</v>
      </c>
      <c r="FA278" s="81">
        <f>+INPUT!GH175</f>
        <v>10.733457383435296</v>
      </c>
      <c r="FB278" s="240">
        <f>+INPUT!GI175</f>
        <v>52.55617978355653</v>
      </c>
      <c r="FC278" s="81">
        <f>+INPUT!GJ175</f>
        <v>8.5659732466419136</v>
      </c>
      <c r="FD278" s="240">
        <f>+INPUT!GK175</f>
        <v>-20.193718196882315</v>
      </c>
      <c r="FE278" s="81">
        <f>+INPUT!GL175</f>
        <v>6.7574626036318381</v>
      </c>
      <c r="FF278" s="240">
        <f>+INPUT!GM175</f>
        <v>-21.112728127175259</v>
      </c>
      <c r="FG278" s="81">
        <f>+INPUT!GN175</f>
        <v>9.4919727772445679</v>
      </c>
      <c r="FH278" s="240">
        <f>+INPUT!GO175</f>
        <v>40.466523220462221</v>
      </c>
      <c r="FI278" s="81">
        <f>+INPUT!GP175</f>
        <v>10.0556103013125</v>
      </c>
      <c r="FJ278" s="240">
        <f>+INPUT!GQ175</f>
        <v>5.9380440430587811</v>
      </c>
      <c r="FK278" s="81">
        <f>+INPUT!GR175</f>
        <v>10</v>
      </c>
      <c r="FL278" s="240">
        <f>+INPUT!GS175</f>
        <v>-0.55302760992280753</v>
      </c>
      <c r="FM278" s="81">
        <f>+INPUT!GT175</f>
        <v>10</v>
      </c>
      <c r="FN278" s="240">
        <f>+INPUT!GU175</f>
        <v>0</v>
      </c>
      <c r="FO278" s="81">
        <f>+INPUT!GV175</f>
        <v>10</v>
      </c>
      <c r="FP278" s="240">
        <f>+INPUT!GW175</f>
        <v>0</v>
      </c>
      <c r="FQ278" s="81">
        <f>+INPUT!GX175</f>
        <v>10</v>
      </c>
      <c r="FR278" s="240">
        <f>+INPUT!GY175</f>
        <v>0</v>
      </c>
      <c r="FS278" s="240">
        <f>+INPUT!GZ175</f>
        <v>0</v>
      </c>
    </row>
    <row r="279" spans="1:176" ht="12.75" hidden="1" customHeight="1" outlineLevel="1" x14ac:dyDescent="0.2">
      <c r="A279" s="246" t="str">
        <f>+INPUT!B176</f>
        <v>Inv Perf/BOP AUM (%)</v>
      </c>
      <c r="B279" s="73"/>
      <c r="C279" s="155"/>
      <c r="D279" s="73"/>
      <c r="E279" s="155"/>
      <c r="F279" s="73"/>
      <c r="G279" s="155"/>
      <c r="H279" s="73"/>
      <c r="I279" s="155"/>
      <c r="J279" s="73">
        <f>+INPUT!AI176</f>
        <v>9.6498371335504896</v>
      </c>
      <c r="K279" s="155">
        <f>+INPUT!AJ176</f>
        <v>0</v>
      </c>
      <c r="L279" s="73">
        <f>+INPUT!AK176</f>
        <v>-1.2452543659832953</v>
      </c>
      <c r="M279" s="155">
        <f>+INPUT!AL176</f>
        <v>0</v>
      </c>
      <c r="N279" s="73">
        <f>+INPUT!AM176</f>
        <v>7.6524023202364013</v>
      </c>
      <c r="O279" s="155">
        <f>+INPUT!AN176</f>
        <v>0</v>
      </c>
      <c r="P279" s="73">
        <f>+INPUT!AO176</f>
        <v>8.6531751570132585</v>
      </c>
      <c r="Q279" s="155">
        <f>+INPUT!AP176</f>
        <v>0</v>
      </c>
      <c r="R279" s="73">
        <f>+INPUT!AQ176</f>
        <v>2.6677852348993287</v>
      </c>
      <c r="S279" s="155">
        <f>+INPUT!AR176</f>
        <v>0</v>
      </c>
      <c r="T279" s="73">
        <f>+INPUT!AS176</f>
        <v>9.4595161222692781</v>
      </c>
      <c r="U279" s="155">
        <f>+INPUT!AT176</f>
        <v>0</v>
      </c>
      <c r="V279" s="73">
        <f>+INPUT!AU176</f>
        <v>2.5590389204311692</v>
      </c>
      <c r="W279" s="155">
        <f>+INPUT!AV176</f>
        <v>0</v>
      </c>
      <c r="X279" s="73">
        <f>+INPUT!AW176</f>
        <v>4.5955393830365727</v>
      </c>
      <c r="Y279" s="155">
        <f>+INPUT!AX176</f>
        <v>0</v>
      </c>
      <c r="Z279" s="73">
        <f>+INPUT!AY176</f>
        <v>1.5141430948419301</v>
      </c>
      <c r="AA279" s="155">
        <f>+INPUT!AZ176</f>
        <v>0</v>
      </c>
      <c r="AB279" s="73">
        <f>+INPUT!BA176</f>
        <v>3.5836069045854071</v>
      </c>
      <c r="AC279" s="155">
        <f>+INPUT!BB176</f>
        <v>0</v>
      </c>
      <c r="AD279" s="73">
        <f>+INPUT!BC176</f>
        <v>8.4837891416025411</v>
      </c>
      <c r="AE279" s="155">
        <f>+INPUT!BD176</f>
        <v>0</v>
      </c>
      <c r="AF279" s="73">
        <f>+INPUT!BE176</f>
        <v>5.2316649146923266</v>
      </c>
      <c r="AG279" s="155">
        <f>+INPUT!BF176</f>
        <v>0</v>
      </c>
      <c r="AH279" s="73">
        <f>+INPUT!BG176</f>
        <v>4.8300145218723269</v>
      </c>
      <c r="AI279" s="240">
        <f>+INPUT!BH176</f>
        <v>0</v>
      </c>
      <c r="AJ279" s="73">
        <f>+INPUT!BI176</f>
        <v>2.5660764690787787</v>
      </c>
      <c r="AK279" s="240">
        <f>+INPUT!BJ176</f>
        <v>0</v>
      </c>
      <c r="AL279" s="73">
        <f>+INPUT!BK176</f>
        <v>7.328280249774183</v>
      </c>
      <c r="AM279" s="240">
        <f>+INPUT!BL176</f>
        <v>0</v>
      </c>
      <c r="AN279" s="73">
        <f>+INPUT!BM176</f>
        <v>6.9730954732988559</v>
      </c>
      <c r="AO279" s="240">
        <f>+INPUT!BN176</f>
        <v>0</v>
      </c>
      <c r="AP279" s="73">
        <f>+INPUT!BO176</f>
        <v>4.3495958597429789</v>
      </c>
      <c r="AQ279" s="240">
        <f>+INPUT!BP176</f>
        <v>0</v>
      </c>
      <c r="AR279" s="73">
        <f>+INPUT!BQ176</f>
        <v>1.8657944142295855</v>
      </c>
      <c r="AS279" s="240">
        <f>+INPUT!BR176</f>
        <v>0</v>
      </c>
      <c r="AT279" s="73">
        <f>+INPUT!BS176</f>
        <v>1.1880496185428921</v>
      </c>
      <c r="AU279" s="240">
        <f>+INPUT!BT176</f>
        <v>0</v>
      </c>
      <c r="AV279" s="73">
        <f>+INPUT!BU176</f>
        <v>9.9358526008672889</v>
      </c>
      <c r="AW279" s="240">
        <f>+INPUT!BV176</f>
        <v>0</v>
      </c>
      <c r="AX279" s="73">
        <f>+INPUT!BW176</f>
        <v>-1.2041750014854131</v>
      </c>
      <c r="AY279" s="240">
        <f>+INPUT!BX176</f>
        <v>0</v>
      </c>
      <c r="AZ279" s="73">
        <f>+INPUT!BY176</f>
        <v>5.5313073628390779</v>
      </c>
      <c r="BA279" s="240">
        <f>+INPUT!BZ176</f>
        <v>0</v>
      </c>
      <c r="BB279" s="73">
        <f>+INPUT!CA176</f>
        <v>12.515411824153613</v>
      </c>
      <c r="BC279" s="240">
        <f>+INPUT!CB176</f>
        <v>0</v>
      </c>
      <c r="BD279" s="73">
        <f>+INPUT!CC176</f>
        <v>1.6993437979934978</v>
      </c>
      <c r="BE279" s="240">
        <f>+INPUT!CD176</f>
        <v>0</v>
      </c>
      <c r="BF279" s="81">
        <f>+INPUT!CE176</f>
        <v>6.157047083301225</v>
      </c>
      <c r="BG279" s="240">
        <f>+INPUT!CF176</f>
        <v>0</v>
      </c>
      <c r="BH279" s="81">
        <f>+INPUT!CG176</f>
        <v>10.976349302607641</v>
      </c>
      <c r="BI279" s="240">
        <f>+INPUT!CH176</f>
        <v>0</v>
      </c>
      <c r="BJ279" s="81">
        <f>+INPUT!CI176</f>
        <v>9.2772268382024485</v>
      </c>
      <c r="BK279" s="240">
        <f>+INPUT!CJ176</f>
        <v>0</v>
      </c>
      <c r="BL279" s="81">
        <f>+INPUT!CK176</f>
        <v>-1.185195218583861</v>
      </c>
      <c r="BM279" s="240">
        <f>+INPUT!CL176</f>
        <v>0</v>
      </c>
      <c r="BN279" s="81">
        <f>+INPUT!CM176</f>
        <v>3.003910692862596</v>
      </c>
      <c r="BO279" s="240">
        <f>+INPUT!CN176</f>
        <v>0</v>
      </c>
      <c r="BP279" s="81">
        <f>+INPUT!CO176</f>
        <v>6.9093653834988098</v>
      </c>
      <c r="BQ279" s="240">
        <f>+INPUT!CP176</f>
        <v>0</v>
      </c>
      <c r="BR279" s="81">
        <f>+INPUT!CQ176</f>
        <v>11.741376751966113</v>
      </c>
      <c r="BS279" s="240">
        <f>+INPUT!CR176</f>
        <v>0</v>
      </c>
      <c r="BT279" s="81">
        <f>+INPUT!CS176</f>
        <v>3.6416479326319973</v>
      </c>
      <c r="BU279" s="240">
        <f>+INPUT!CT176</f>
        <v>0</v>
      </c>
      <c r="BV279" s="81">
        <f>+INPUT!CU176</f>
        <v>4.1203698564752633</v>
      </c>
      <c r="BW279" s="240">
        <f>+INPUT!CV176</f>
        <v>0</v>
      </c>
      <c r="BX279" s="81">
        <f>+INPUT!CW176</f>
        <v>6.657219268430417</v>
      </c>
      <c r="BY279" s="240">
        <f>+INPUT!CX176</f>
        <v>0</v>
      </c>
      <c r="BZ279" s="81">
        <f>+INPUT!CY176</f>
        <v>5.8920570463574862</v>
      </c>
      <c r="CA279" s="240">
        <f>+INPUT!CZ176</f>
        <v>0</v>
      </c>
      <c r="CB279" s="81">
        <f>+INPUT!DA176</f>
        <v>3.0120597060566099</v>
      </c>
      <c r="CC279" s="240">
        <f>+INPUT!DB176</f>
        <v>0</v>
      </c>
      <c r="CD279" s="81">
        <f>+INPUT!DC176</f>
        <v>0.57128716371478061</v>
      </c>
      <c r="CE279" s="240">
        <f>+INPUT!DD176</f>
        <v>0</v>
      </c>
      <c r="CF279" s="81">
        <f>+INPUT!DE176</f>
        <v>-1.851605820531288</v>
      </c>
      <c r="CG279" s="240">
        <f>+INPUT!DF176</f>
        <v>0</v>
      </c>
      <c r="CH279" s="81">
        <f>+INPUT!DG176</f>
        <v>1.1436423064378456</v>
      </c>
      <c r="CI279" s="240">
        <f>+INPUT!DH176</f>
        <v>0</v>
      </c>
      <c r="CJ279" s="81">
        <f>+INPUT!DI176</f>
        <v>2.6322229775662813</v>
      </c>
      <c r="CK279" s="240">
        <f>+INPUT!DJ176</f>
        <v>0</v>
      </c>
      <c r="CL279" s="81">
        <f>+INPUT!DK176</f>
        <v>3.8580474156972464</v>
      </c>
      <c r="CM279" s="240">
        <f>+INPUT!DL176</f>
        <v>0</v>
      </c>
      <c r="CN279" s="81">
        <f>+INPUT!DM176</f>
        <v>4.6852553437435276</v>
      </c>
      <c r="CO279" s="240" t="str">
        <f>+INPUT!DN176</f>
        <v>NM</v>
      </c>
      <c r="CP279" s="81">
        <f>+INPUT!DO176</f>
        <v>2.523981177544623</v>
      </c>
      <c r="CQ279" s="240" t="str">
        <f>+INPUT!DP176</f>
        <v>NM</v>
      </c>
      <c r="CR279" s="81">
        <f>+INPUT!DQ176</f>
        <v>3.8717910736870893</v>
      </c>
      <c r="CS279" s="240">
        <f>+INPUT!DR176</f>
        <v>47.092062742606117</v>
      </c>
      <c r="CT279" s="81">
        <f>+INPUT!DS176</f>
        <v>3.6272343173329031</v>
      </c>
      <c r="CU279" s="240">
        <f>+INPUT!DT176</f>
        <v>-5.9826402709628042</v>
      </c>
      <c r="CV279" s="81">
        <f>+INPUT!DU176</f>
        <v>0.1874435411020777</v>
      </c>
      <c r="CW279" s="240" t="str">
        <f>+INPUT!DV176</f>
        <v>NM</v>
      </c>
      <c r="CX279" s="81">
        <f>+INPUT!DW176</f>
        <v>2.4069902828104768</v>
      </c>
      <c r="CY279" s="240">
        <f>+INPUT!DX176</f>
        <v>-4.6351730264469353</v>
      </c>
      <c r="CZ279" s="81">
        <f>+INPUT!DY176</f>
        <v>1.448844557474871</v>
      </c>
      <c r="DA279" s="240" t="str">
        <f>+INPUT!DZ176</f>
        <v>NM</v>
      </c>
      <c r="DB279" s="81">
        <f>+INPUT!EA176</f>
        <v>4.8854215287501948</v>
      </c>
      <c r="DC279" s="240">
        <f>+INPUT!EB176</f>
        <v>34.687232787939479</v>
      </c>
      <c r="DD279" s="81">
        <f>+INPUT!EC176</f>
        <v>4.541558132718353</v>
      </c>
      <c r="DE279" s="240" t="str">
        <f>+INPUT!ED176</f>
        <v>NM</v>
      </c>
      <c r="DF279" s="81">
        <f>+INPUT!EE176</f>
        <v>4.3188376952930634</v>
      </c>
      <c r="DG279" s="240">
        <f>+INPUT!EF176</f>
        <v>79.428962640025873</v>
      </c>
      <c r="DH279" s="81">
        <f>+INPUT!EG176</f>
        <v>-1.9438955236704185</v>
      </c>
      <c r="DI279" s="240" t="str">
        <f>+INPUT!EH176</f>
        <v>NM</v>
      </c>
      <c r="DJ279" s="81">
        <f>+INPUT!EI176</f>
        <v>2.6808306430503448</v>
      </c>
      <c r="DK279" s="240">
        <f>+INPUT!EJ176</f>
        <v>-45.125909253194699</v>
      </c>
      <c r="DL279" s="81">
        <f>+INPUT!EK176</f>
        <v>3.6150501039894118</v>
      </c>
      <c r="DM279" s="240">
        <f>+INPUT!EL176</f>
        <v>-20.400664301843449</v>
      </c>
      <c r="DN279" s="81">
        <f>+INPUT!EM176</f>
        <v>2.8744440276512515</v>
      </c>
      <c r="DO279" s="240">
        <f>+INPUT!EN176</f>
        <v>-33.444036788323899</v>
      </c>
      <c r="DP279" s="81">
        <f>+INPUT!EO176</f>
        <v>2.0106263833672156</v>
      </c>
      <c r="DQ279" s="240" t="str">
        <f>+INPUT!EP176</f>
        <v>NM</v>
      </c>
      <c r="DR279" s="81">
        <f>+INPUT!EQ176</f>
        <v>-1.44</v>
      </c>
      <c r="DS279" s="240" t="str">
        <f>+INPUT!ER176</f>
        <v>NM</v>
      </c>
      <c r="DT279" s="81">
        <f>+INPUT!ES176</f>
        <v>2.4</v>
      </c>
      <c r="DU279" s="240">
        <f>+INPUT!ET176</f>
        <v>-33.610878661087867</v>
      </c>
      <c r="DV279" s="81">
        <f>+INPUT!EU176</f>
        <v>2.4</v>
      </c>
      <c r="DW279" s="240">
        <f>+INPUT!EV176</f>
        <v>-16.50559284116332</v>
      </c>
      <c r="DX279" s="81">
        <f>+INPUT!EW176</f>
        <v>2.4</v>
      </c>
      <c r="DY279" s="240">
        <f>+INPUT!EX176</f>
        <v>19.365786694825744</v>
      </c>
      <c r="DZ279" s="81"/>
      <c r="EA279" s="240"/>
      <c r="EB279" s="155">
        <f>+INPUT!FI176</f>
        <v>0</v>
      </c>
      <c r="EC279" s="73">
        <f>+INPUT!FJ176</f>
        <v>0</v>
      </c>
      <c r="ED279" s="155">
        <f>+INPUT!FK176</f>
        <v>0</v>
      </c>
      <c r="EE279" s="73">
        <f>+INPUT!FL176</f>
        <v>0</v>
      </c>
      <c r="EF279" s="155">
        <f>+INPUT!FM176</f>
        <v>0</v>
      </c>
      <c r="EG279" s="73">
        <f>+INPUT!FN176</f>
        <v>6.8480252442996745</v>
      </c>
      <c r="EH279" s="155">
        <f>+INPUT!FO176</f>
        <v>0</v>
      </c>
      <c r="EI279" s="73">
        <f>+INPUT!FP176</f>
        <v>4.863674496644296</v>
      </c>
      <c r="EJ279" s="240">
        <f>+INPUT!FQ176</f>
        <v>0</v>
      </c>
      <c r="EK279" s="73">
        <f>+INPUT!FR176</f>
        <v>4.6734608985024959</v>
      </c>
      <c r="EL279" s="240">
        <f>+INPUT!FS176</f>
        <v>0</v>
      </c>
      <c r="EM279" s="73">
        <f>+INPUT!FT176</f>
        <v>5.5004078060037003</v>
      </c>
      <c r="EN279" s="240">
        <f>+INPUT!FU176</f>
        <v>0</v>
      </c>
      <c r="EO279" s="73">
        <f>+INPUT!FV176</f>
        <v>4.260433021263399</v>
      </c>
      <c r="EP279" s="240">
        <f>+INPUT!FW176</f>
        <v>0</v>
      </c>
      <c r="EQ279" s="81">
        <f>+INPUT!FX176</f>
        <v>4.5295201124952964</v>
      </c>
      <c r="ER279" s="240">
        <f>+INPUT!FY176</f>
        <v>0</v>
      </c>
      <c r="ES279" s="81">
        <f>+INPUT!FZ176</f>
        <v>6.4922555290128692</v>
      </c>
      <c r="ET279" s="240">
        <f>+INPUT!GA176</f>
        <v>0</v>
      </c>
      <c r="EU279" s="81">
        <f>+INPUT!GB176</f>
        <v>7.137403985479021</v>
      </c>
      <c r="EV279" s="240">
        <f>+INPUT!GC176</f>
        <v>0</v>
      </c>
      <c r="EW279" s="81">
        <f>+INPUT!GD176</f>
        <v>5.3136342949749693</v>
      </c>
      <c r="EX279" s="240">
        <f>+INPUT!GE176</f>
        <v>0</v>
      </c>
      <c r="EY279" s="81">
        <f>+INPUT!GF176</f>
        <v>0.65047548343762152</v>
      </c>
      <c r="EZ279" s="240">
        <f>+INPUT!GG176</f>
        <v>0</v>
      </c>
      <c r="FA279" s="81">
        <f>+INPUT!GH176</f>
        <v>3.9042315363917486</v>
      </c>
      <c r="FB279" s="240" t="str">
        <f>+INPUT!GI176</f>
        <v>NM</v>
      </c>
      <c r="FC279" s="81">
        <f>+INPUT!GJ176</f>
        <v>1.9349703018798605</v>
      </c>
      <c r="FD279" s="240" t="str">
        <f>+INPUT!GK176</f>
        <v>NM</v>
      </c>
      <c r="FE279" s="81">
        <f>+INPUT!GL176</f>
        <v>2.9444777844457781</v>
      </c>
      <c r="FF279" s="240">
        <f>+INPUT!GM176</f>
        <v>52.171730056278477</v>
      </c>
      <c r="FG279" s="81">
        <f>+INPUT!GN176</f>
        <v>2.8302504144490008</v>
      </c>
      <c r="FH279" s="240">
        <f>+INPUT!GO176</f>
        <v>-3.879376186846585</v>
      </c>
      <c r="FI279" s="81">
        <f>+INPUT!GP176</f>
        <v>1.453346472315</v>
      </c>
      <c r="FJ279" s="240">
        <f>+INPUT!GQ176</f>
        <v>-48.6495447577581</v>
      </c>
      <c r="FK279" s="81">
        <f>+INPUT!GR176</f>
        <v>2.4</v>
      </c>
      <c r="FL279" s="240">
        <f>+INPUT!GS176</f>
        <v>65.136121751965902</v>
      </c>
      <c r="FM279" s="81">
        <f>+INPUT!GT176</f>
        <v>2.4000000000000004</v>
      </c>
      <c r="FN279" s="240">
        <f>+INPUT!GU176</f>
        <v>2.8421709430404007E-14</v>
      </c>
      <c r="FO279" s="81">
        <f>+INPUT!GV176</f>
        <v>2.4</v>
      </c>
      <c r="FP279" s="240">
        <f>+INPUT!GW176</f>
        <v>-2.8421709430404007E-14</v>
      </c>
      <c r="FQ279" s="81">
        <f>+INPUT!GX176</f>
        <v>2.4</v>
      </c>
      <c r="FR279" s="240">
        <f>+INPUT!GY176</f>
        <v>0</v>
      </c>
      <c r="FS279" s="240">
        <f>+INPUT!GZ176</f>
        <v>0</v>
      </c>
    </row>
    <row r="280" spans="1:176" ht="12.75" hidden="1" customHeight="1" outlineLevel="1" x14ac:dyDescent="0.2">
      <c r="A280" s="246"/>
      <c r="B280" s="73"/>
      <c r="C280" s="155"/>
      <c r="D280" s="73"/>
      <c r="E280" s="155"/>
      <c r="F280" s="73"/>
      <c r="G280" s="155"/>
      <c r="H280" s="73"/>
      <c r="I280" s="155"/>
      <c r="J280" s="73"/>
      <c r="K280" s="155"/>
      <c r="L280" s="73"/>
      <c r="M280" s="155"/>
      <c r="N280" s="73"/>
      <c r="O280" s="155"/>
      <c r="P280" s="73"/>
      <c r="Q280" s="155"/>
      <c r="R280" s="73"/>
      <c r="S280" s="155"/>
      <c r="T280" s="73"/>
      <c r="U280" s="155"/>
      <c r="V280" s="73"/>
      <c r="W280" s="155"/>
      <c r="X280" s="73"/>
      <c r="Y280" s="155"/>
      <c r="Z280" s="73"/>
      <c r="AA280" s="155"/>
      <c r="AB280" s="73"/>
      <c r="AC280" s="155"/>
      <c r="AD280" s="73"/>
      <c r="AE280" s="155"/>
      <c r="AF280" s="73"/>
      <c r="AG280" s="155"/>
      <c r="AH280" s="73"/>
      <c r="AI280" s="240"/>
      <c r="AJ280" s="73"/>
      <c r="AK280" s="240"/>
      <c r="AL280" s="73"/>
      <c r="AM280" s="240"/>
      <c r="AN280" s="73"/>
      <c r="AO280" s="240"/>
      <c r="AP280" s="73"/>
      <c r="AQ280" s="240"/>
      <c r="AR280" s="73"/>
      <c r="AS280" s="240"/>
      <c r="AT280" s="73"/>
      <c r="AU280" s="240"/>
      <c r="AV280" s="73"/>
      <c r="AW280" s="240"/>
      <c r="AX280" s="73"/>
      <c r="AY280" s="240"/>
      <c r="AZ280" s="73"/>
      <c r="BA280" s="240"/>
      <c r="BB280" s="73"/>
      <c r="BC280" s="240"/>
      <c r="BD280" s="73"/>
      <c r="BE280" s="240"/>
      <c r="BF280" s="73"/>
      <c r="BG280" s="240"/>
      <c r="BH280" s="73"/>
      <c r="BI280" s="240"/>
      <c r="BJ280" s="73"/>
      <c r="BK280" s="240"/>
      <c r="BL280" s="73"/>
      <c r="BM280" s="240"/>
      <c r="BN280" s="73"/>
      <c r="BO280" s="240"/>
      <c r="BP280" s="73"/>
      <c r="BQ280" s="240"/>
      <c r="BR280" s="73"/>
      <c r="BS280" s="240"/>
      <c r="BT280" s="73"/>
      <c r="BU280" s="240"/>
      <c r="BV280" s="73"/>
      <c r="BW280" s="240"/>
      <c r="BX280" s="73"/>
      <c r="BY280" s="240"/>
      <c r="BZ280" s="73"/>
      <c r="CA280" s="240"/>
      <c r="CB280" s="73"/>
      <c r="CC280" s="240"/>
      <c r="CD280" s="73"/>
      <c r="CE280" s="240"/>
      <c r="CF280" s="73"/>
      <c r="CG280" s="240"/>
      <c r="CH280" s="73"/>
      <c r="CI280" s="240"/>
      <c r="CJ280" s="73"/>
      <c r="CK280" s="240"/>
      <c r="CL280" s="73"/>
      <c r="CM280" s="240"/>
      <c r="CN280" s="73"/>
      <c r="CO280" s="240"/>
      <c r="CP280" s="73"/>
      <c r="CQ280" s="240"/>
      <c r="CR280" s="73"/>
      <c r="CS280" s="240"/>
      <c r="CT280" s="73"/>
      <c r="CU280" s="240"/>
      <c r="CV280" s="73"/>
      <c r="CW280" s="240"/>
      <c r="CX280" s="73"/>
      <c r="CY280" s="240"/>
      <c r="CZ280" s="73"/>
      <c r="DA280" s="240"/>
      <c r="DB280" s="73"/>
      <c r="DC280" s="240"/>
      <c r="DD280" s="73"/>
      <c r="DE280" s="240"/>
      <c r="DF280" s="73"/>
      <c r="DG280" s="240"/>
      <c r="DH280" s="73"/>
      <c r="DI280" s="240"/>
      <c r="DJ280" s="73"/>
      <c r="DK280" s="240"/>
      <c r="DL280" s="73"/>
      <c r="DM280" s="240"/>
      <c r="DN280" s="73"/>
      <c r="DO280" s="240"/>
      <c r="DP280" s="73"/>
      <c r="DQ280" s="240"/>
      <c r="DR280" s="73"/>
      <c r="DS280" s="240"/>
      <c r="DT280" s="73"/>
      <c r="DU280" s="240"/>
      <c r="DV280" s="73"/>
      <c r="DW280" s="240"/>
      <c r="DX280" s="73"/>
      <c r="DY280" s="240"/>
      <c r="DZ280" s="73"/>
      <c r="EA280" s="240"/>
      <c r="EB280" s="155"/>
      <c r="EC280" s="73"/>
      <c r="ED280" s="155"/>
      <c r="EE280" s="73"/>
      <c r="EF280" s="155"/>
      <c r="EG280" s="73"/>
      <c r="EH280" s="155"/>
      <c r="EI280" s="73"/>
      <c r="EJ280" s="240"/>
      <c r="EK280" s="73"/>
      <c r="EL280" s="240"/>
      <c r="EM280" s="73"/>
      <c r="EN280" s="240"/>
      <c r="EO280" s="73"/>
      <c r="EP280" s="240"/>
      <c r="EQ280" s="73"/>
      <c r="ER280" s="240"/>
      <c r="ES280" s="73"/>
      <c r="ET280" s="240"/>
      <c r="EU280" s="73"/>
      <c r="EV280" s="240"/>
      <c r="EW280" s="73"/>
      <c r="EX280" s="240"/>
      <c r="EY280" s="73"/>
      <c r="EZ280" s="240"/>
      <c r="FA280" s="73"/>
      <c r="FB280" s="240"/>
      <c r="FC280" s="73"/>
      <c r="FD280" s="240"/>
      <c r="FE280" s="73"/>
      <c r="FF280" s="240"/>
      <c r="FG280" s="73"/>
      <c r="FH280" s="240"/>
      <c r="FI280" s="73"/>
      <c r="FJ280" s="240"/>
      <c r="FK280" s="73"/>
      <c r="FL280" s="240"/>
      <c r="FM280" s="73"/>
      <c r="FN280" s="240"/>
      <c r="FO280" s="73"/>
      <c r="FP280" s="240"/>
      <c r="FQ280" s="73"/>
      <c r="FR280" s="240"/>
      <c r="FS280" s="240"/>
    </row>
    <row r="281" spans="1:176" ht="12.75" hidden="1" customHeight="1" outlineLevel="1" x14ac:dyDescent="0.2">
      <c r="A281" s="246" t="str">
        <f>+INPUT!B184</f>
        <v>Retirement Net Flows</v>
      </c>
      <c r="B281" s="75"/>
      <c r="C281" s="155"/>
      <c r="D281" s="75"/>
      <c r="E281" s="155"/>
      <c r="F281" s="75"/>
      <c r="G281" s="155"/>
      <c r="H281" s="75"/>
      <c r="I281" s="155"/>
      <c r="J281" s="75">
        <f>+INPUT!AI184</f>
        <v>-752</v>
      </c>
      <c r="K281" s="155" t="str">
        <f>+INPUT!AJ184</f>
        <v>NA</v>
      </c>
      <c r="L281" s="75">
        <f>+INPUT!AK184</f>
        <v>-884</v>
      </c>
      <c r="M281" s="155" t="str">
        <f>+INPUT!AL184</f>
        <v>NA</v>
      </c>
      <c r="N281" s="75">
        <f>+INPUT!AM184</f>
        <v>-675</v>
      </c>
      <c r="O281" s="155" t="str">
        <f>+INPUT!AN184</f>
        <v>NA</v>
      </c>
      <c r="P281" s="75">
        <f>+INPUT!AO184</f>
        <v>-20</v>
      </c>
      <c r="Q281" s="155" t="str">
        <f>+INPUT!AP184</f>
        <v>NA</v>
      </c>
      <c r="R281" s="75">
        <f>+INPUT!AQ184</f>
        <v>497</v>
      </c>
      <c r="S281" s="155" t="str">
        <f>+INPUT!AR184</f>
        <v>NM</v>
      </c>
      <c r="T281" s="75">
        <f>+INPUT!AS184</f>
        <v>-157</v>
      </c>
      <c r="U281" s="155" t="str">
        <f>+INPUT!AT184</f>
        <v>NM</v>
      </c>
      <c r="V281" s="75">
        <f>+INPUT!AU184</f>
        <v>213</v>
      </c>
      <c r="W281" s="155" t="str">
        <f>+INPUT!AV184</f>
        <v>NM</v>
      </c>
      <c r="X281" s="75">
        <f>+INPUT!AW184</f>
        <v>-2933</v>
      </c>
      <c r="Y281" s="155" t="str">
        <f>+INPUT!AX184</f>
        <v>NM</v>
      </c>
      <c r="Z281" s="75">
        <f>+INPUT!AY184</f>
        <v>-1006</v>
      </c>
      <c r="AA281" s="155" t="str">
        <f>+INPUT!AZ184</f>
        <v>NM</v>
      </c>
      <c r="AB281" s="75">
        <f>+INPUT!BA184</f>
        <v>385</v>
      </c>
      <c r="AC281" s="155" t="str">
        <f>+INPUT!BB184</f>
        <v>NM</v>
      </c>
      <c r="AD281" s="75">
        <f>+INPUT!BC184</f>
        <v>935</v>
      </c>
      <c r="AE281" s="155" t="str">
        <f>+INPUT!BD184</f>
        <v>NM</v>
      </c>
      <c r="AF281" s="75">
        <f>+INPUT!BE184</f>
        <v>-510</v>
      </c>
      <c r="AG281" s="155" t="str">
        <f>+INPUT!BF184</f>
        <v>NM</v>
      </c>
      <c r="AH281" s="75">
        <f>+INPUT!BG184</f>
        <v>360</v>
      </c>
      <c r="AI281" s="240" t="str">
        <f>+INPUT!BH184</f>
        <v>NM</v>
      </c>
      <c r="AJ281" s="75">
        <f>+INPUT!BI184</f>
        <v>207</v>
      </c>
      <c r="AK281" s="240">
        <f>+INPUT!BJ184</f>
        <v>-46.233766233766239</v>
      </c>
      <c r="AL281" s="75">
        <f>+INPUT!BK184</f>
        <v>-738</v>
      </c>
      <c r="AM281" s="240" t="str">
        <f>+INPUT!BL184</f>
        <v>NM</v>
      </c>
      <c r="AN281" s="75">
        <f>+INPUT!BM184</f>
        <v>-111</v>
      </c>
      <c r="AO281" s="240" t="str">
        <f>+INPUT!BN184</f>
        <v>NM</v>
      </c>
      <c r="AP281" s="75">
        <f>+INPUT!BO184</f>
        <v>761</v>
      </c>
      <c r="AQ281" s="240" t="str">
        <f>+INPUT!BP184</f>
        <v>NM</v>
      </c>
      <c r="AR281" s="75">
        <f>+INPUT!BQ184</f>
        <v>-174</v>
      </c>
      <c r="AS281" s="240" t="str">
        <f>+INPUT!BR184</f>
        <v>NM</v>
      </c>
      <c r="AT281" s="75">
        <f>+INPUT!BS184</f>
        <v>-669</v>
      </c>
      <c r="AU281" s="240">
        <f>+INPUT!BT184</f>
        <v>-9.349593495934954</v>
      </c>
      <c r="AV281" s="75">
        <f>+INPUT!BU184</f>
        <v>2318</v>
      </c>
      <c r="AW281" s="240" t="str">
        <f>+INPUT!BV184</f>
        <v>NM</v>
      </c>
      <c r="AX281" s="75">
        <f>+INPUT!BW184</f>
        <v>4848</v>
      </c>
      <c r="AY281" s="240" t="str">
        <f>+INPUT!BX184</f>
        <v>NM</v>
      </c>
      <c r="AZ281" s="75">
        <f>+INPUT!BY184</f>
        <v>1158</v>
      </c>
      <c r="BA281" s="240" t="str">
        <f>+INPUT!BZ184</f>
        <v>NM</v>
      </c>
      <c r="BB281" s="75">
        <f>+INPUT!CA184</f>
        <v>308</v>
      </c>
      <c r="BC281" s="240" t="str">
        <f>+INPUT!CB184</f>
        <v>NM</v>
      </c>
      <c r="BD281" s="75">
        <f>+INPUT!CC184</f>
        <v>2405</v>
      </c>
      <c r="BE281" s="240">
        <f>+INPUT!CD184</f>
        <v>3.7532355478861064</v>
      </c>
      <c r="BF281" s="75">
        <f>+INPUT!CE184</f>
        <v>842</v>
      </c>
      <c r="BG281" s="240" t="str">
        <f>+INPUT!CF184</f>
        <v>NM</v>
      </c>
      <c r="BH281" s="75">
        <f>+INPUT!CG184</f>
        <v>1976</v>
      </c>
      <c r="BI281" s="240">
        <f>+INPUT!CH184</f>
        <v>70.639032815198618</v>
      </c>
      <c r="BJ281" s="75">
        <f>+INPUT!CI184</f>
        <v>3524</v>
      </c>
      <c r="BK281" s="240" t="str">
        <f>+INPUT!CJ184</f>
        <v>NM</v>
      </c>
      <c r="BL281" s="75">
        <f>+INPUT!CK184</f>
        <v>4460</v>
      </c>
      <c r="BM281" s="240">
        <f>+INPUT!CL184</f>
        <v>85.446985446985451</v>
      </c>
      <c r="BN281" s="75">
        <f>+INPUT!CM184</f>
        <v>4578</v>
      </c>
      <c r="BO281" s="240" t="str">
        <f>+INPUT!CN184</f>
        <v>NM</v>
      </c>
      <c r="BP281" s="75">
        <f>+INPUT!CO184</f>
        <v>4069</v>
      </c>
      <c r="BQ281" s="240" t="str">
        <f>+INPUT!CP184</f>
        <v>NM</v>
      </c>
      <c r="BR281" s="75">
        <f>+INPUT!CQ184</f>
        <v>3910</v>
      </c>
      <c r="BS281" s="240">
        <f>+INPUT!CR184</f>
        <v>10.953461975028375</v>
      </c>
      <c r="BT281" s="75">
        <f>+INPUT!CS184</f>
        <v>6727</v>
      </c>
      <c r="BU281" s="240">
        <f>+INPUT!CT184</f>
        <v>50.829596412556043</v>
      </c>
      <c r="BV281" s="75">
        <f>+INPUT!CU184</f>
        <v>404</v>
      </c>
      <c r="BW281" s="240" t="str">
        <f>+INPUT!CV184</f>
        <v>NM</v>
      </c>
      <c r="BX281" s="75">
        <f>+INPUT!CW184</f>
        <v>6317</v>
      </c>
      <c r="BY281" s="240">
        <f>+INPUT!CX184</f>
        <v>55.246989432292935</v>
      </c>
      <c r="BZ281" s="75">
        <f>+INPUT!CY184</f>
        <v>833</v>
      </c>
      <c r="CA281" s="240" t="str">
        <f>+INPUT!CZ184</f>
        <v>NM</v>
      </c>
      <c r="CB281" s="75">
        <f>+INPUT!DA184</f>
        <v>36123</v>
      </c>
      <c r="CC281" s="240" t="str">
        <f>+INPUT!DB184</f>
        <v>NM</v>
      </c>
      <c r="CD281" s="75">
        <f>+INPUT!DC184</f>
        <v>2529</v>
      </c>
      <c r="CE281" s="240" t="str">
        <f>+INPUT!DD184</f>
        <v>NM</v>
      </c>
      <c r="CF281" s="75">
        <f>+INPUT!DE184</f>
        <v>1973</v>
      </c>
      <c r="CG281" s="240" t="str">
        <f>+INPUT!DF184</f>
        <v>NM</v>
      </c>
      <c r="CH281" s="75">
        <f>+INPUT!DG184</f>
        <v>3375</v>
      </c>
      <c r="CI281" s="240" t="str">
        <f>+INPUT!DH184</f>
        <v>NM</v>
      </c>
      <c r="CJ281" s="75">
        <f>+INPUT!DI184</f>
        <v>1432</v>
      </c>
      <c r="CK281" s="240" t="str">
        <f>+INPUT!DJ184</f>
        <v>NM</v>
      </c>
      <c r="CL281" s="75">
        <f>+INPUT!DK184</f>
        <v>1300</v>
      </c>
      <c r="CM281" s="240">
        <f>+INPUT!DL184</f>
        <v>-48.596283115856068</v>
      </c>
      <c r="CN281" s="75">
        <f>+INPUT!DM184</f>
        <v>-4065</v>
      </c>
      <c r="CO281" s="240" t="str">
        <f>+INPUT!DN184</f>
        <v>NM</v>
      </c>
      <c r="CP281" s="75">
        <f>+INPUT!DO184</f>
        <v>28297</v>
      </c>
      <c r="CQ281" s="240" t="str">
        <f>+INPUT!DP184</f>
        <v>NM</v>
      </c>
      <c r="CR281" s="75">
        <f>+INPUT!DQ184</f>
        <v>3058</v>
      </c>
      <c r="CS281" s="240" t="str">
        <f>+INPUT!DR184</f>
        <v>NM</v>
      </c>
      <c r="CT281" s="75">
        <f>+INPUT!DS184</f>
        <v>-2441</v>
      </c>
      <c r="CU281" s="240" t="str">
        <f>+INPUT!DT184</f>
        <v>NM</v>
      </c>
      <c r="CV281" s="75">
        <f>+INPUT!DU184</f>
        <v>5696</v>
      </c>
      <c r="CW281" s="240" t="str">
        <f>+INPUT!DV184</f>
        <v>NM</v>
      </c>
      <c r="CX281" s="75">
        <f>+INPUT!DW184</f>
        <v>2441</v>
      </c>
      <c r="CY281" s="240" t="str">
        <f>+INPUT!DX184</f>
        <v>NM</v>
      </c>
      <c r="CZ281" s="75">
        <f>+INPUT!DY184</f>
        <v>-1387</v>
      </c>
      <c r="DA281" s="240" t="str">
        <f>+INPUT!DZ184</f>
        <v>NM</v>
      </c>
      <c r="DB281" s="75">
        <f>+INPUT!EA184</f>
        <v>648</v>
      </c>
      <c r="DC281" s="240" t="str">
        <f>+INPUT!EB184</f>
        <v>NM</v>
      </c>
      <c r="DD281" s="75">
        <f>+INPUT!EC184</f>
        <v>488</v>
      </c>
      <c r="DE281" s="240" t="str">
        <f>+INPUT!ED184</f>
        <v>NM</v>
      </c>
      <c r="DF281" s="75">
        <f>+INPUT!EE184</f>
        <v>4960</v>
      </c>
      <c r="DG281" s="240" t="str">
        <f>+INPUT!EF184</f>
        <v>NM</v>
      </c>
      <c r="DH281" s="75">
        <f>+INPUT!EG184</f>
        <v>-316</v>
      </c>
      <c r="DI281" s="240" t="str">
        <f>+INPUT!EH184</f>
        <v>NM</v>
      </c>
      <c r="DJ281" s="75">
        <f>+INPUT!EI184</f>
        <v>-153</v>
      </c>
      <c r="DK281" s="240" t="str">
        <f>+INPUT!EJ184</f>
        <v>NM</v>
      </c>
      <c r="DL281" s="75">
        <f>+INPUT!EK184</f>
        <v>-2629</v>
      </c>
      <c r="DM281" s="240" t="str">
        <f>+INPUT!EL184</f>
        <v>NM</v>
      </c>
      <c r="DN281" s="75">
        <f>+INPUT!EM184</f>
        <v>7268</v>
      </c>
      <c r="DO281" s="240">
        <f>+INPUT!EN184</f>
        <v>46.532258064516128</v>
      </c>
      <c r="DP281" s="75">
        <f>+INPUT!EO184</f>
        <v>4454</v>
      </c>
      <c r="DQ281" s="240" t="str">
        <f>+INPUT!EP184</f>
        <v>NM</v>
      </c>
      <c r="DR281" s="75">
        <f>+INPUT!EQ184</f>
        <v>779.49999999999909</v>
      </c>
      <c r="DS281" s="240" t="str">
        <f>+INPUT!ER184</f>
        <v>NM</v>
      </c>
      <c r="DT281" s="75">
        <f>+INPUT!ES184</f>
        <v>777.41683737148742</v>
      </c>
      <c r="DU281" s="240" t="str">
        <f>+INPUT!ET184</f>
        <v>NM</v>
      </c>
      <c r="DV281" s="75">
        <f>+INPUT!EU184</f>
        <v>785.08454405076191</v>
      </c>
      <c r="DW281" s="240" t="str">
        <f>+INPUT!EV184</f>
        <v>NM</v>
      </c>
      <c r="DX281" s="75">
        <f>+INPUT!EW184</f>
        <v>792.83028254874353</v>
      </c>
      <c r="DY281" s="240" t="str">
        <f>+INPUT!EX184</f>
        <v>NM</v>
      </c>
      <c r="DZ281" s="75"/>
      <c r="EA281" s="240"/>
      <c r="EB281" s="155" t="str">
        <f>+INPUT!FI184</f>
        <v>NM</v>
      </c>
      <c r="EC281" s="75">
        <f>+INPUT!FJ184</f>
        <v>0</v>
      </c>
      <c r="ED281" s="155" t="str">
        <f>+INPUT!FK184</f>
        <v>NA</v>
      </c>
      <c r="EE281" s="75">
        <f>+INPUT!FL184</f>
        <v>0</v>
      </c>
      <c r="EF281" s="155" t="str">
        <f>+INPUT!FM184</f>
        <v>NA</v>
      </c>
      <c r="EG281" s="75">
        <f>+INPUT!FN184</f>
        <v>-2331</v>
      </c>
      <c r="EH281" s="155" t="str">
        <f>+INPUT!FO184</f>
        <v>NA</v>
      </c>
      <c r="EI281" s="75">
        <f>+INPUT!FP184</f>
        <v>-2380</v>
      </c>
      <c r="EJ281" s="240">
        <f>+INPUT!FQ184</f>
        <v>2.1021021021021085</v>
      </c>
      <c r="EK281" s="75">
        <f>+INPUT!FR184</f>
        <v>-196</v>
      </c>
      <c r="EL281" s="240" t="str">
        <f>+INPUT!FS184</f>
        <v>NM</v>
      </c>
      <c r="EM281" s="75">
        <f>+INPUT!FT184</f>
        <v>-282</v>
      </c>
      <c r="EN281" s="240">
        <f>+INPUT!FU184</f>
        <v>43.877551020408163</v>
      </c>
      <c r="EO281" s="75">
        <f>+INPUT!FV184</f>
        <v>2236</v>
      </c>
      <c r="EP281" s="240" t="str">
        <f>+INPUT!FW184</f>
        <v>NM</v>
      </c>
      <c r="EQ281" s="75">
        <f>+INPUT!FX184</f>
        <v>8719</v>
      </c>
      <c r="ER281" s="240" t="str">
        <f>+INPUT!FY184</f>
        <v>NM</v>
      </c>
      <c r="ES281" s="75">
        <f>+INPUT!FZ184</f>
        <v>10802</v>
      </c>
      <c r="ET281" s="240">
        <f>+INPUT!GA184</f>
        <v>23.890354398440181</v>
      </c>
      <c r="EU281" s="75">
        <f>+INPUT!GB184</f>
        <v>19284</v>
      </c>
      <c r="EV281" s="240">
        <f>+INPUT!GC184</f>
        <v>78.522495834104802</v>
      </c>
      <c r="EW281" s="75">
        <f>+INPUT!GD184</f>
        <v>43677</v>
      </c>
      <c r="EX281" s="240" t="str">
        <f>+INPUT!GE184</f>
        <v>NM</v>
      </c>
      <c r="EY281" s="75">
        <f>+INPUT!GF184</f>
        <v>9309</v>
      </c>
      <c r="EZ281" s="240" t="str">
        <f>+INPUT!GG184</f>
        <v>NM</v>
      </c>
      <c r="FA281" s="75">
        <f>+INPUT!GH184</f>
        <v>28590</v>
      </c>
      <c r="FB281" s="240" t="str">
        <f>+INPUT!GI184</f>
        <v>NM</v>
      </c>
      <c r="FC281" s="75">
        <f>+INPUT!GJ184</f>
        <v>4309</v>
      </c>
      <c r="FD281" s="240" t="str">
        <f>+INPUT!GK184</f>
        <v>NM</v>
      </c>
      <c r="FE281" s="75">
        <f>+INPUT!GL184</f>
        <v>5780</v>
      </c>
      <c r="FF281" s="240">
        <f>+INPUT!GM184</f>
        <v>34.137851009514975</v>
      </c>
      <c r="FG281" s="75">
        <f>+INPUT!GN184</f>
        <v>8940</v>
      </c>
      <c r="FH281" s="240">
        <f>+INPUT!GO184</f>
        <v>54.671280276816617</v>
      </c>
      <c r="FI281" s="75">
        <f>+INPUT!GP184</f>
        <v>3134.8316639709956</v>
      </c>
      <c r="FJ281" s="240" t="str">
        <f>+INPUT!GQ184</f>
        <v>NM</v>
      </c>
      <c r="FK281" s="75">
        <f>+INPUT!GR184</f>
        <v>3208.8240930892825</v>
      </c>
      <c r="FL281" s="240">
        <f>+INPUT!GS184</f>
        <v>2.360331815219638</v>
      </c>
      <c r="FM281" s="75">
        <f>+INPUT!GT184</f>
        <v>3331.3321777750389</v>
      </c>
      <c r="FN281" s="240">
        <f>+INPUT!GU184</f>
        <v>3.8178498145036173</v>
      </c>
      <c r="FO281" s="75">
        <f>+INPUT!GV184</f>
        <v>3458.6092440914108</v>
      </c>
      <c r="FP281" s="240">
        <f>+INPUT!GW184</f>
        <v>3.8206056773773582</v>
      </c>
      <c r="FQ281" s="75">
        <f>+INPUT!GX184</f>
        <v>3590.8446196975747</v>
      </c>
      <c r="FR281" s="240">
        <f>+INPUT!GY184</f>
        <v>3.8233684777218286</v>
      </c>
      <c r="FS281" s="240">
        <f>+INPUT!GZ184</f>
        <v>-16.675672184641975</v>
      </c>
    </row>
    <row r="282" spans="1:176" ht="12.75" hidden="1" customHeight="1" outlineLevel="1" x14ac:dyDescent="0.2">
      <c r="A282" s="246"/>
      <c r="B282" s="510"/>
      <c r="C282" s="487"/>
      <c r="D282" s="510"/>
      <c r="E282" s="487"/>
      <c r="F282" s="510"/>
      <c r="G282" s="487"/>
      <c r="H282" s="510"/>
      <c r="I282" s="487"/>
      <c r="J282" s="510"/>
      <c r="K282" s="487"/>
      <c r="L282" s="510"/>
      <c r="M282" s="487"/>
      <c r="N282" s="510"/>
      <c r="O282" s="487"/>
      <c r="P282" s="510"/>
      <c r="Q282" s="487"/>
      <c r="R282" s="510"/>
      <c r="S282" s="487"/>
      <c r="T282" s="510"/>
      <c r="U282" s="487"/>
      <c r="V282" s="510"/>
      <c r="W282" s="487"/>
      <c r="X282" s="510"/>
      <c r="Y282" s="487"/>
      <c r="Z282" s="510"/>
      <c r="AA282" s="487"/>
      <c r="AB282" s="510"/>
      <c r="AC282" s="487"/>
      <c r="AD282" s="510"/>
      <c r="AE282" s="487"/>
      <c r="AF282" s="510"/>
      <c r="AG282" s="487"/>
      <c r="AH282" s="510"/>
      <c r="AI282" s="486"/>
      <c r="AJ282" s="510"/>
      <c r="AK282" s="486"/>
      <c r="AL282" s="510"/>
      <c r="AM282" s="486"/>
      <c r="AN282" s="510"/>
      <c r="AO282" s="486"/>
      <c r="AP282" s="510"/>
      <c r="AQ282" s="486"/>
      <c r="AR282" s="510"/>
      <c r="AS282" s="486"/>
      <c r="AT282" s="510"/>
      <c r="AU282" s="486"/>
      <c r="AV282" s="510"/>
      <c r="AW282" s="486"/>
      <c r="AX282" s="510"/>
      <c r="AY282" s="486"/>
      <c r="AZ282" s="510"/>
      <c r="BA282" s="486"/>
      <c r="BB282" s="510"/>
      <c r="BC282" s="486"/>
      <c r="BD282" s="510"/>
      <c r="BE282" s="486"/>
      <c r="BF282" s="510"/>
      <c r="BG282" s="486"/>
      <c r="BH282" s="510"/>
      <c r="BI282" s="486"/>
      <c r="BJ282" s="510"/>
      <c r="BK282" s="486"/>
      <c r="BL282" s="510"/>
      <c r="BM282" s="486"/>
      <c r="BN282" s="510"/>
      <c r="BO282" s="486"/>
      <c r="BP282" s="510"/>
      <c r="BQ282" s="486"/>
      <c r="BR282" s="510"/>
      <c r="BS282" s="486"/>
      <c r="BT282" s="510"/>
      <c r="BU282" s="486"/>
      <c r="BV282" s="510"/>
      <c r="BW282" s="486"/>
      <c r="BX282" s="510"/>
      <c r="BY282" s="486"/>
      <c r="BZ282" s="510"/>
      <c r="CA282" s="486"/>
      <c r="CB282" s="510"/>
      <c r="CC282" s="486"/>
      <c r="CD282" s="510"/>
      <c r="CE282" s="486"/>
      <c r="CF282" s="510"/>
      <c r="CG282" s="486"/>
      <c r="CH282" s="510"/>
      <c r="CI282" s="486"/>
      <c r="CJ282" s="510"/>
      <c r="CK282" s="486"/>
      <c r="CL282" s="510"/>
      <c r="CM282" s="486"/>
      <c r="CN282" s="510"/>
      <c r="CO282" s="486"/>
      <c r="CP282" s="510"/>
      <c r="CQ282" s="486"/>
      <c r="CR282" s="510"/>
      <c r="CS282" s="486"/>
      <c r="CT282" s="510"/>
      <c r="CU282" s="486"/>
      <c r="CV282" s="510"/>
      <c r="CW282" s="486"/>
      <c r="CX282" s="510"/>
      <c r="CY282" s="486"/>
      <c r="CZ282" s="510"/>
      <c r="DA282" s="486"/>
      <c r="DB282" s="510"/>
      <c r="DC282" s="486"/>
      <c r="DD282" s="510"/>
      <c r="DE282" s="486"/>
      <c r="DF282" s="510"/>
      <c r="DG282" s="486"/>
      <c r="DH282" s="510"/>
      <c r="DI282" s="486"/>
      <c r="DJ282" s="510"/>
      <c r="DK282" s="486"/>
      <c r="DL282" s="510"/>
      <c r="DM282" s="486"/>
      <c r="DN282" s="510"/>
      <c r="DO282" s="486"/>
      <c r="DP282" s="510"/>
      <c r="DQ282" s="486"/>
      <c r="DR282" s="510"/>
      <c r="DS282" s="486"/>
      <c r="DT282" s="510"/>
      <c r="DU282" s="486"/>
      <c r="DV282" s="510"/>
      <c r="DW282" s="486"/>
      <c r="DX282" s="510"/>
      <c r="DY282" s="486"/>
      <c r="DZ282" s="510"/>
      <c r="EA282" s="486"/>
      <c r="EB282" s="487"/>
      <c r="EC282" s="510"/>
      <c r="ED282" s="487"/>
      <c r="EE282" s="510"/>
      <c r="EF282" s="487"/>
      <c r="EG282" s="510"/>
      <c r="EH282" s="487"/>
      <c r="EI282" s="510"/>
      <c r="EJ282" s="486"/>
      <c r="EK282" s="510"/>
      <c r="EL282" s="486"/>
      <c r="EM282" s="510"/>
      <c r="EN282" s="486"/>
      <c r="EO282" s="510"/>
      <c r="EP282" s="486"/>
      <c r="EQ282" s="510"/>
      <c r="ER282" s="486"/>
      <c r="ES282" s="510"/>
      <c r="ET282" s="486"/>
      <c r="EU282" s="510"/>
      <c r="EV282" s="486"/>
      <c r="EW282" s="510"/>
      <c r="EX282" s="486"/>
      <c r="EY282" s="510"/>
      <c r="EZ282" s="486"/>
      <c r="FA282" s="510"/>
      <c r="FB282" s="486"/>
      <c r="FC282" s="510"/>
      <c r="FD282" s="486"/>
      <c r="FE282" s="510"/>
      <c r="FF282" s="486"/>
      <c r="FG282" s="510"/>
      <c r="FH282" s="486"/>
      <c r="FI282" s="510"/>
      <c r="FJ282" s="486"/>
      <c r="FK282" s="510"/>
      <c r="FL282" s="486"/>
      <c r="FM282" s="510"/>
      <c r="FN282" s="486"/>
      <c r="FO282" s="510"/>
      <c r="FP282" s="486"/>
      <c r="FQ282" s="510"/>
      <c r="FR282" s="486"/>
      <c r="FS282" s="486"/>
    </row>
    <row r="283" spans="1:176" ht="12.75" hidden="1" customHeight="1" outlineLevel="1" x14ac:dyDescent="0.2">
      <c r="A283" s="500" t="s">
        <v>507</v>
      </c>
      <c r="B283" s="510"/>
      <c r="C283" s="487"/>
      <c r="D283" s="510"/>
      <c r="E283" s="487"/>
      <c r="F283" s="510"/>
      <c r="G283" s="487"/>
      <c r="H283" s="510"/>
      <c r="I283" s="487"/>
      <c r="J283" s="510"/>
      <c r="K283" s="487"/>
      <c r="L283" s="510"/>
      <c r="M283" s="487"/>
      <c r="N283" s="510"/>
      <c r="O283" s="487"/>
      <c r="P283" s="510"/>
      <c r="Q283" s="487"/>
      <c r="R283" s="510"/>
      <c r="S283" s="487"/>
      <c r="T283" s="510"/>
      <c r="U283" s="487"/>
      <c r="V283" s="510"/>
      <c r="W283" s="487"/>
      <c r="X283" s="510"/>
      <c r="Y283" s="487"/>
      <c r="Z283" s="510"/>
      <c r="AA283" s="487"/>
      <c r="AB283" s="510"/>
      <c r="AC283" s="487"/>
      <c r="AD283" s="510"/>
      <c r="AE283" s="487"/>
      <c r="AF283" s="510"/>
      <c r="AG283" s="487"/>
      <c r="AH283" s="510"/>
      <c r="AI283" s="486"/>
      <c r="AJ283" s="510"/>
      <c r="AK283" s="486"/>
      <c r="AL283" s="510"/>
      <c r="AM283" s="486"/>
      <c r="AN283" s="510"/>
      <c r="AO283" s="486"/>
      <c r="AP283" s="510"/>
      <c r="AQ283" s="486"/>
      <c r="AR283" s="510"/>
      <c r="AS283" s="486"/>
      <c r="AT283" s="510"/>
      <c r="AU283" s="486"/>
      <c r="AV283" s="510"/>
      <c r="AW283" s="486"/>
      <c r="AX283" s="510"/>
      <c r="AY283" s="486"/>
      <c r="AZ283" s="510"/>
      <c r="BA283" s="486"/>
      <c r="BB283" s="510"/>
      <c r="BC283" s="486"/>
      <c r="BD283" s="510"/>
      <c r="BE283" s="486"/>
      <c r="BF283" s="510"/>
      <c r="BG283" s="486"/>
      <c r="BH283" s="510"/>
      <c r="BI283" s="486"/>
      <c r="BJ283" s="510"/>
      <c r="BK283" s="486"/>
      <c r="BL283" s="510"/>
      <c r="BM283" s="486"/>
      <c r="BN283" s="510"/>
      <c r="BO283" s="486"/>
      <c r="BP283" s="510"/>
      <c r="BQ283" s="486"/>
      <c r="BR283" s="510"/>
      <c r="BS283" s="486"/>
      <c r="BT283" s="510"/>
      <c r="BU283" s="486"/>
      <c r="BV283" s="510"/>
      <c r="BW283" s="486"/>
      <c r="BX283" s="510"/>
      <c r="BY283" s="486"/>
      <c r="BZ283" s="510"/>
      <c r="CA283" s="486"/>
      <c r="CB283" s="510"/>
      <c r="CC283" s="486"/>
      <c r="CD283" s="510"/>
      <c r="CE283" s="486"/>
      <c r="CF283" s="510"/>
      <c r="CG283" s="486"/>
      <c r="CH283" s="510"/>
      <c r="CI283" s="486"/>
      <c r="CJ283" s="510"/>
      <c r="CK283" s="486"/>
      <c r="CL283" s="510"/>
      <c r="CM283" s="486"/>
      <c r="CN283" s="510"/>
      <c r="CO283" s="486"/>
      <c r="CP283" s="510"/>
      <c r="CQ283" s="486"/>
      <c r="CR283" s="510"/>
      <c r="CS283" s="486"/>
      <c r="CT283" s="510"/>
      <c r="CU283" s="486"/>
      <c r="CV283" s="510"/>
      <c r="CW283" s="486"/>
      <c r="CX283" s="510"/>
      <c r="CY283" s="486"/>
      <c r="CZ283" s="510"/>
      <c r="DA283" s="486"/>
      <c r="DB283" s="510"/>
      <c r="DC283" s="486"/>
      <c r="DD283" s="510"/>
      <c r="DE283" s="486"/>
      <c r="DF283" s="510"/>
      <c r="DG283" s="486"/>
      <c r="DH283" s="510"/>
      <c r="DI283" s="486"/>
      <c r="DJ283" s="510"/>
      <c r="DK283" s="486"/>
      <c r="DL283" s="510"/>
      <c r="DM283" s="486"/>
      <c r="DN283" s="510"/>
      <c r="DO283" s="486"/>
      <c r="DP283" s="510"/>
      <c r="DQ283" s="486"/>
      <c r="DR283" s="510"/>
      <c r="DS283" s="486"/>
      <c r="DT283" s="510"/>
      <c r="DU283" s="486"/>
      <c r="DV283" s="510"/>
      <c r="DW283" s="486"/>
      <c r="DX283" s="510"/>
      <c r="DY283" s="486"/>
      <c r="DZ283" s="510"/>
      <c r="EA283" s="486"/>
      <c r="EB283" s="487"/>
      <c r="EC283" s="510"/>
      <c r="ED283" s="487"/>
      <c r="EE283" s="510"/>
      <c r="EF283" s="487"/>
      <c r="EG283" s="510"/>
      <c r="EH283" s="487"/>
      <c r="EI283" s="510"/>
      <c r="EJ283" s="486"/>
      <c r="EK283" s="510"/>
      <c r="EL283" s="486"/>
      <c r="EM283" s="510"/>
      <c r="EN283" s="486"/>
      <c r="EO283" s="510"/>
      <c r="EP283" s="486"/>
      <c r="EQ283" s="510"/>
      <c r="ER283" s="486"/>
      <c r="ES283" s="510"/>
      <c r="ET283" s="486"/>
      <c r="EU283" s="510"/>
      <c r="EV283" s="486"/>
      <c r="EW283" s="510"/>
      <c r="EX283" s="486"/>
      <c r="EY283" s="510"/>
      <c r="EZ283" s="486"/>
      <c r="FA283" s="510"/>
      <c r="FB283" s="486"/>
      <c r="FC283" s="510"/>
      <c r="FD283" s="486"/>
      <c r="FE283" s="510"/>
      <c r="FF283" s="486"/>
      <c r="FG283" s="510"/>
      <c r="FH283" s="486"/>
      <c r="FI283" s="510"/>
      <c r="FJ283" s="486"/>
      <c r="FK283" s="510"/>
      <c r="FL283" s="486"/>
      <c r="FM283" s="510"/>
      <c r="FN283" s="486"/>
      <c r="FO283" s="510"/>
      <c r="FP283" s="486"/>
      <c r="FQ283" s="510"/>
      <c r="FR283" s="486"/>
      <c r="FS283" s="486"/>
    </row>
    <row r="284" spans="1:176" ht="12.75" hidden="1" customHeight="1" outlineLevel="1" x14ac:dyDescent="0.2">
      <c r="A284" s="500" t="s">
        <v>543</v>
      </c>
      <c r="B284" s="510"/>
      <c r="C284" s="487"/>
      <c r="D284" s="510"/>
      <c r="E284" s="487"/>
      <c r="F284" s="510"/>
      <c r="G284" s="487"/>
      <c r="H284" s="510"/>
      <c r="I284" s="487"/>
      <c r="J284" s="510"/>
      <c r="K284" s="487"/>
      <c r="L284" s="510"/>
      <c r="M284" s="487"/>
      <c r="N284" s="510"/>
      <c r="O284" s="487"/>
      <c r="P284" s="510"/>
      <c r="Q284" s="487"/>
      <c r="R284" s="510"/>
      <c r="S284" s="487"/>
      <c r="T284" s="510"/>
      <c r="U284" s="487"/>
      <c r="V284" s="510"/>
      <c r="W284" s="487"/>
      <c r="X284" s="510"/>
      <c r="Y284" s="487"/>
      <c r="Z284" s="510"/>
      <c r="AA284" s="487"/>
      <c r="AB284" s="510"/>
      <c r="AC284" s="487"/>
      <c r="AD284" s="510"/>
      <c r="AE284" s="487"/>
      <c r="AF284" s="510"/>
      <c r="AG284" s="487"/>
      <c r="AH284" s="510"/>
      <c r="AI284" s="486"/>
      <c r="AJ284" s="510"/>
      <c r="AK284" s="486"/>
      <c r="AL284" s="510"/>
      <c r="AM284" s="486"/>
      <c r="AN284" s="510"/>
      <c r="AO284" s="486"/>
      <c r="AP284" s="510"/>
      <c r="AQ284" s="486"/>
      <c r="AR284" s="510"/>
      <c r="AS284" s="486"/>
      <c r="AT284" s="510"/>
      <c r="AU284" s="486"/>
      <c r="AV284" s="510"/>
      <c r="AW284" s="486"/>
      <c r="AX284" s="510"/>
      <c r="AY284" s="486"/>
      <c r="AZ284" s="510"/>
      <c r="BA284" s="486"/>
      <c r="BB284" s="510"/>
      <c r="BC284" s="486"/>
      <c r="BD284" s="510"/>
      <c r="BE284" s="486"/>
      <c r="BF284" s="510"/>
      <c r="BG284" s="486"/>
      <c r="BH284" s="510"/>
      <c r="BI284" s="486"/>
      <c r="BJ284" s="510"/>
      <c r="BK284" s="486"/>
      <c r="BL284" s="510"/>
      <c r="BM284" s="486"/>
      <c r="BN284" s="510"/>
      <c r="BO284" s="486"/>
      <c r="BP284" s="510"/>
      <c r="BQ284" s="486"/>
      <c r="BR284" s="510"/>
      <c r="BS284" s="486"/>
      <c r="BT284" s="510"/>
      <c r="BU284" s="486"/>
      <c r="BV284" s="510"/>
      <c r="BW284" s="486"/>
      <c r="BX284" s="510"/>
      <c r="BY284" s="486"/>
      <c r="BZ284" s="510"/>
      <c r="CA284" s="486"/>
      <c r="CB284" s="510"/>
      <c r="CC284" s="486"/>
      <c r="CD284" s="510"/>
      <c r="CE284" s="486"/>
      <c r="CF284" s="510"/>
      <c r="CG284" s="486"/>
      <c r="CH284" s="510"/>
      <c r="CI284" s="486"/>
      <c r="CJ284" s="510"/>
      <c r="CK284" s="486"/>
      <c r="CL284" s="510"/>
      <c r="CM284" s="486"/>
      <c r="CN284" s="510"/>
      <c r="CO284" s="486"/>
      <c r="CP284" s="510"/>
      <c r="CQ284" s="486"/>
      <c r="CR284" s="510"/>
      <c r="CS284" s="486"/>
      <c r="CT284" s="510"/>
      <c r="CU284" s="486"/>
      <c r="CV284" s="510"/>
      <c r="CW284" s="486"/>
      <c r="CX284" s="510"/>
      <c r="CY284" s="486"/>
      <c r="CZ284" s="510"/>
      <c r="DA284" s="486"/>
      <c r="DB284" s="510"/>
      <c r="DC284" s="486"/>
      <c r="DD284" s="510"/>
      <c r="DE284" s="486"/>
      <c r="DF284" s="510"/>
      <c r="DG284" s="486"/>
      <c r="DH284" s="510"/>
      <c r="DI284" s="486"/>
      <c r="DJ284" s="510"/>
      <c r="DK284" s="486"/>
      <c r="DL284" s="510"/>
      <c r="DM284" s="486"/>
      <c r="DN284" s="510"/>
      <c r="DO284" s="486"/>
      <c r="DP284" s="510"/>
      <c r="DQ284" s="486"/>
      <c r="DR284" s="510"/>
      <c r="DS284" s="486"/>
      <c r="DT284" s="510"/>
      <c r="DU284" s="486"/>
      <c r="DV284" s="510"/>
      <c r="DW284" s="486"/>
      <c r="DX284" s="510"/>
      <c r="DY284" s="486"/>
      <c r="DZ284" s="510"/>
      <c r="EA284" s="486"/>
      <c r="EB284" s="487"/>
      <c r="EC284" s="510"/>
      <c r="ED284" s="487"/>
      <c r="EE284" s="510"/>
      <c r="EF284" s="487"/>
      <c r="EG284" s="510"/>
      <c r="EH284" s="487"/>
      <c r="EI284" s="510"/>
      <c r="EJ284" s="486"/>
      <c r="EK284" s="510"/>
      <c r="EL284" s="486"/>
      <c r="EM284" s="510"/>
      <c r="EN284" s="486"/>
      <c r="EO284" s="510"/>
      <c r="EP284" s="486"/>
      <c r="EQ284" s="510"/>
      <c r="ER284" s="486"/>
      <c r="ES284" s="510"/>
      <c r="ET284" s="486"/>
      <c r="EU284" s="510"/>
      <c r="EV284" s="486"/>
      <c r="EW284" s="510"/>
      <c r="EX284" s="486"/>
      <c r="EY284" s="510"/>
      <c r="EZ284" s="486"/>
      <c r="FA284" s="510"/>
      <c r="FB284" s="486"/>
      <c r="FC284" s="510"/>
      <c r="FD284" s="486"/>
      <c r="FE284" s="510"/>
      <c r="FF284" s="486"/>
      <c r="FG284" s="510"/>
      <c r="FH284" s="486"/>
      <c r="FI284" s="510"/>
      <c r="FJ284" s="486"/>
      <c r="FK284" s="510"/>
      <c r="FL284" s="486"/>
      <c r="FM284" s="510"/>
      <c r="FN284" s="486"/>
      <c r="FO284" s="510"/>
      <c r="FP284" s="486"/>
      <c r="FQ284" s="510"/>
      <c r="FR284" s="486"/>
      <c r="FS284" s="486"/>
    </row>
    <row r="285" spans="1:176" ht="12.75" hidden="1" customHeight="1" outlineLevel="1" x14ac:dyDescent="0.2">
      <c r="A285" s="246"/>
      <c r="B285" s="510"/>
      <c r="C285" s="487"/>
      <c r="D285" s="510"/>
      <c r="E285" s="487"/>
      <c r="F285" s="510"/>
      <c r="G285" s="487"/>
      <c r="H285" s="510"/>
      <c r="I285" s="487"/>
      <c r="J285" s="510"/>
      <c r="K285" s="487"/>
      <c r="L285" s="510"/>
      <c r="M285" s="487"/>
      <c r="N285" s="510"/>
      <c r="O285" s="487"/>
      <c r="P285" s="510"/>
      <c r="Q285" s="487"/>
      <c r="R285" s="510"/>
      <c r="S285" s="487"/>
      <c r="T285" s="510"/>
      <c r="U285" s="487"/>
      <c r="V285" s="510"/>
      <c r="W285" s="487"/>
      <c r="X285" s="510"/>
      <c r="Y285" s="487"/>
      <c r="Z285" s="510"/>
      <c r="AA285" s="487"/>
      <c r="AB285" s="510"/>
      <c r="AC285" s="487"/>
      <c r="AD285" s="510"/>
      <c r="AE285" s="487"/>
      <c r="AF285" s="510"/>
      <c r="AG285" s="487"/>
      <c r="AH285" s="510"/>
      <c r="AI285" s="486"/>
      <c r="AJ285" s="510"/>
      <c r="AK285" s="486"/>
      <c r="AL285" s="510"/>
      <c r="AM285" s="486"/>
      <c r="AN285" s="510"/>
      <c r="AO285" s="486"/>
      <c r="AP285" s="510"/>
      <c r="AQ285" s="486"/>
      <c r="AR285" s="510"/>
      <c r="AS285" s="486"/>
      <c r="AT285" s="510"/>
      <c r="AU285" s="486"/>
      <c r="AV285" s="510"/>
      <c r="AW285" s="486"/>
      <c r="AX285" s="510"/>
      <c r="AY285" s="486"/>
      <c r="AZ285" s="510"/>
      <c r="BA285" s="486"/>
      <c r="BB285" s="510"/>
      <c r="BC285" s="486"/>
      <c r="BD285" s="510"/>
      <c r="BE285" s="486"/>
      <c r="BF285" s="510"/>
      <c r="BG285" s="486"/>
      <c r="BH285" s="510"/>
      <c r="BI285" s="486"/>
      <c r="BJ285" s="510"/>
      <c r="BK285" s="486"/>
      <c r="BL285" s="510"/>
      <c r="BM285" s="486"/>
      <c r="BN285" s="510"/>
      <c r="BO285" s="486"/>
      <c r="BP285" s="510"/>
      <c r="BQ285" s="486"/>
      <c r="BR285" s="510"/>
      <c r="BS285" s="486"/>
      <c r="BT285" s="510"/>
      <c r="BU285" s="486"/>
      <c r="BV285" s="510"/>
      <c r="BW285" s="486"/>
      <c r="BX285" s="510"/>
      <c r="BY285" s="486"/>
      <c r="BZ285" s="510"/>
      <c r="CA285" s="486"/>
      <c r="CB285" s="510"/>
      <c r="CC285" s="486"/>
      <c r="CD285" s="510"/>
      <c r="CE285" s="486"/>
      <c r="CF285" s="510"/>
      <c r="CG285" s="486"/>
      <c r="CH285" s="510"/>
      <c r="CI285" s="486"/>
      <c r="CJ285" s="510"/>
      <c r="CK285" s="486"/>
      <c r="CL285" s="510"/>
      <c r="CM285" s="486"/>
      <c r="CN285" s="510"/>
      <c r="CO285" s="486"/>
      <c r="CP285" s="510"/>
      <c r="CQ285" s="486"/>
      <c r="CR285" s="510"/>
      <c r="CS285" s="486"/>
      <c r="CT285" s="510"/>
      <c r="CU285" s="486"/>
      <c r="CV285" s="510"/>
      <c r="CW285" s="486"/>
      <c r="CX285" s="510"/>
      <c r="CY285" s="486"/>
      <c r="CZ285" s="510"/>
      <c r="DA285" s="486"/>
      <c r="DB285" s="510"/>
      <c r="DC285" s="486"/>
      <c r="DD285" s="510"/>
      <c r="DE285" s="486"/>
      <c r="DF285" s="510"/>
      <c r="DG285" s="486"/>
      <c r="DH285" s="510"/>
      <c r="DI285" s="486"/>
      <c r="DJ285" s="510"/>
      <c r="DK285" s="486"/>
      <c r="DL285" s="510"/>
      <c r="DM285" s="486"/>
      <c r="DN285" s="510"/>
      <c r="DO285" s="486"/>
      <c r="DP285" s="510"/>
      <c r="DQ285" s="486"/>
      <c r="DR285" s="510"/>
      <c r="DS285" s="486"/>
      <c r="DT285" s="510"/>
      <c r="DU285" s="486"/>
      <c r="DV285" s="510"/>
      <c r="DW285" s="486"/>
      <c r="DX285" s="510"/>
      <c r="DY285" s="486"/>
      <c r="DZ285" s="510"/>
      <c r="EA285" s="486"/>
      <c r="EB285" s="487"/>
      <c r="EC285" s="510"/>
      <c r="ED285" s="487"/>
      <c r="EE285" s="510"/>
      <c r="EF285" s="487"/>
      <c r="EG285" s="510"/>
      <c r="EH285" s="487"/>
      <c r="EI285" s="510"/>
      <c r="EJ285" s="486"/>
      <c r="EK285" s="510"/>
      <c r="EL285" s="486"/>
      <c r="EM285" s="510"/>
      <c r="EN285" s="486"/>
      <c r="EO285" s="510"/>
      <c r="EP285" s="486"/>
      <c r="EQ285" s="510"/>
      <c r="ER285" s="486"/>
      <c r="ES285" s="510"/>
      <c r="ET285" s="486"/>
      <c r="EU285" s="510"/>
      <c r="EV285" s="486"/>
      <c r="EW285" s="510"/>
      <c r="EX285" s="486"/>
      <c r="EY285" s="510"/>
      <c r="EZ285" s="486"/>
      <c r="FA285" s="510"/>
      <c r="FB285" s="486"/>
      <c r="FC285" s="510"/>
      <c r="FD285" s="486"/>
      <c r="FE285" s="510"/>
      <c r="FF285" s="486"/>
      <c r="FG285" s="510"/>
      <c r="FH285" s="486"/>
      <c r="FI285" s="510"/>
      <c r="FJ285" s="486"/>
      <c r="FK285" s="510"/>
      <c r="FL285" s="486"/>
      <c r="FM285" s="510"/>
      <c r="FN285" s="486"/>
      <c r="FO285" s="510"/>
      <c r="FP285" s="486"/>
      <c r="FQ285" s="510"/>
      <c r="FR285" s="486"/>
      <c r="FS285" s="486"/>
    </row>
    <row r="286" spans="1:176" ht="21.95" hidden="1" customHeight="1" outlineLevel="1" x14ac:dyDescent="0.25">
      <c r="A286" s="353" t="str">
        <f>$A$1</f>
        <v>Prudential Financial, Inc.</v>
      </c>
      <c r="B286" s="486"/>
      <c r="C286" s="487"/>
      <c r="D286" s="486"/>
      <c r="E286" s="487"/>
      <c r="F286" s="486"/>
      <c r="G286" s="487"/>
      <c r="H286" s="486"/>
      <c r="I286" s="487"/>
      <c r="J286" s="486"/>
      <c r="K286" s="487"/>
      <c r="L286" s="486"/>
      <c r="M286" s="487"/>
      <c r="N286" s="486"/>
      <c r="O286" s="487"/>
      <c r="P286" s="486"/>
      <c r="Q286" s="487"/>
      <c r="R286" s="486"/>
      <c r="S286" s="487"/>
      <c r="T286" s="486"/>
      <c r="U286" s="487"/>
      <c r="V286" s="486"/>
      <c r="W286" s="487"/>
      <c r="X286" s="486"/>
      <c r="Y286" s="487"/>
      <c r="Z286" s="486"/>
      <c r="AA286" s="487"/>
      <c r="AB286" s="486"/>
      <c r="AC286" s="487"/>
      <c r="AD286" s="486"/>
      <c r="AE286" s="487"/>
      <c r="AF286" s="486"/>
      <c r="AG286" s="487"/>
      <c r="AH286" s="486"/>
      <c r="AI286" s="486"/>
      <c r="AJ286" s="486"/>
      <c r="AK286" s="486"/>
      <c r="AL286" s="486"/>
      <c r="AM286" s="486"/>
      <c r="AN286" s="486"/>
      <c r="AO286" s="486"/>
      <c r="AP286" s="486"/>
      <c r="AQ286" s="486"/>
      <c r="AR286" s="486"/>
      <c r="AS286" s="486"/>
      <c r="AT286" s="486"/>
      <c r="AU286" s="486"/>
      <c r="AV286" s="486"/>
      <c r="AW286" s="486"/>
      <c r="AX286" s="486"/>
      <c r="AY286" s="486"/>
      <c r="AZ286" s="486"/>
      <c r="BA286" s="486"/>
      <c r="BB286" s="486"/>
      <c r="BC286" s="486"/>
      <c r="BD286" s="486"/>
      <c r="BE286" s="486"/>
      <c r="BF286" s="486"/>
      <c r="BG286" s="486"/>
      <c r="BH286" s="486"/>
      <c r="BI286" s="486"/>
      <c r="BJ286" s="486"/>
      <c r="BK286" s="486"/>
      <c r="BL286" s="486"/>
      <c r="BM286" s="486"/>
      <c r="BN286" s="486"/>
      <c r="BO286" s="486"/>
      <c r="BP286" s="486"/>
      <c r="BQ286" s="486"/>
      <c r="BR286" s="486"/>
      <c r="BS286" s="486"/>
      <c r="BT286" s="486"/>
      <c r="BU286" s="486"/>
      <c r="BV286" s="486"/>
      <c r="BW286" s="486"/>
      <c r="BX286" s="486"/>
      <c r="BY286" s="486"/>
      <c r="BZ286" s="486"/>
      <c r="CA286" s="486"/>
      <c r="CB286" s="486"/>
      <c r="CC286" s="486"/>
      <c r="CD286" s="486"/>
      <c r="CE286" s="486"/>
      <c r="CF286" s="486"/>
      <c r="CG286" s="486"/>
      <c r="CH286" s="486"/>
      <c r="CI286" s="486"/>
      <c r="CJ286" s="486"/>
      <c r="CK286" s="486"/>
      <c r="CL286" s="486"/>
      <c r="CM286" s="486"/>
      <c r="CN286" s="486"/>
      <c r="CO286" s="486"/>
      <c r="CP286" s="486"/>
      <c r="CQ286" s="486"/>
      <c r="CR286" s="486"/>
      <c r="CS286" s="486"/>
      <c r="CT286" s="486"/>
      <c r="CU286" s="486"/>
      <c r="CV286" s="486"/>
      <c r="CW286" s="486"/>
      <c r="CX286" s="486"/>
      <c r="CY286" s="486"/>
      <c r="CZ286" s="486"/>
      <c r="DA286" s="486"/>
      <c r="DB286" s="486"/>
      <c r="DC286" s="486"/>
      <c r="DD286" s="486"/>
      <c r="DE286" s="486"/>
      <c r="DF286" s="486"/>
      <c r="DG286" s="486"/>
      <c r="DH286" s="486"/>
      <c r="DI286" s="486"/>
      <c r="DJ286" s="486"/>
      <c r="DK286" s="486"/>
      <c r="DL286" s="486"/>
      <c r="DM286" s="486"/>
      <c r="DN286" s="486"/>
      <c r="DO286" s="486"/>
      <c r="DP286" s="486"/>
      <c r="DQ286" s="486"/>
      <c r="DR286" s="486"/>
      <c r="DS286" s="486"/>
      <c r="DT286" s="486"/>
      <c r="DU286" s="486"/>
      <c r="DV286" s="486"/>
      <c r="DW286" s="486"/>
      <c r="DX286" s="486"/>
      <c r="DY286" s="486"/>
      <c r="DZ286" s="486"/>
      <c r="EA286" s="486"/>
      <c r="EB286" s="487"/>
      <c r="EC286" s="486"/>
      <c r="ED286" s="487"/>
      <c r="EE286" s="486"/>
      <c r="EF286" s="487"/>
      <c r="EG286" s="486"/>
      <c r="EH286" s="487"/>
      <c r="EI286" s="486"/>
      <c r="EJ286" s="486"/>
      <c r="EK286" s="486"/>
      <c r="EL286" s="486"/>
      <c r="EM286" s="486"/>
      <c r="EN286" s="486"/>
      <c r="EO286" s="486"/>
      <c r="EP286" s="486"/>
      <c r="EQ286" s="486"/>
      <c r="ER286" s="486"/>
      <c r="ES286" s="486"/>
      <c r="ET286" s="486"/>
      <c r="EU286" s="486"/>
      <c r="EV286" s="486"/>
      <c r="EW286" s="486"/>
      <c r="EX286" s="486"/>
      <c r="EY286" s="486"/>
      <c r="EZ286" s="486"/>
      <c r="FA286" s="486"/>
      <c r="FB286" s="486"/>
      <c r="FC286" s="486"/>
      <c r="FD286" s="486"/>
      <c r="FE286" s="486"/>
      <c r="FF286" s="486"/>
      <c r="FG286" s="486"/>
      <c r="FH286" s="486"/>
      <c r="FI286" s="486"/>
      <c r="FJ286" s="486"/>
      <c r="FK286" s="486"/>
      <c r="FL286" s="486"/>
      <c r="FM286" s="486"/>
      <c r="FN286" s="486"/>
      <c r="FO286" s="486"/>
      <c r="FP286" s="486"/>
      <c r="FQ286" s="486"/>
      <c r="FR286" s="486"/>
      <c r="FS286" s="486"/>
    </row>
    <row r="287" spans="1:176" ht="12.75" hidden="1" customHeight="1" outlineLevel="1" x14ac:dyDescent="0.2">
      <c r="A287" s="488" t="s">
        <v>517</v>
      </c>
      <c r="B287" s="489"/>
      <c r="C287" s="490"/>
      <c r="D287" s="489"/>
      <c r="E287" s="490"/>
      <c r="F287" s="489"/>
      <c r="G287" s="490"/>
      <c r="H287" s="489"/>
      <c r="I287" s="490"/>
      <c r="J287" s="489"/>
      <c r="K287" s="490"/>
      <c r="L287" s="489"/>
      <c r="M287" s="490"/>
      <c r="N287" s="489"/>
      <c r="O287" s="490"/>
      <c r="P287" s="489"/>
      <c r="Q287" s="490"/>
      <c r="R287" s="489"/>
      <c r="S287" s="490"/>
      <c r="T287" s="489"/>
      <c r="U287" s="490"/>
      <c r="V287" s="489"/>
      <c r="W287" s="490"/>
      <c r="X287" s="489"/>
      <c r="Y287" s="490"/>
      <c r="Z287" s="489"/>
      <c r="AA287" s="490"/>
      <c r="AB287" s="489"/>
      <c r="AC287" s="490"/>
      <c r="AD287" s="489"/>
      <c r="AE287" s="490"/>
      <c r="AF287" s="489"/>
      <c r="AG287" s="490"/>
      <c r="AH287" s="489"/>
      <c r="AI287" s="489"/>
      <c r="AJ287" s="489"/>
      <c r="AK287" s="489"/>
      <c r="AL287" s="489"/>
      <c r="AM287" s="489"/>
      <c r="AN287" s="489"/>
      <c r="AO287" s="489"/>
      <c r="AP287" s="489"/>
      <c r="AQ287" s="489"/>
      <c r="AR287" s="489"/>
      <c r="AS287" s="489"/>
      <c r="AT287" s="489"/>
      <c r="AU287" s="489"/>
      <c r="AV287" s="489"/>
      <c r="AW287" s="489"/>
      <c r="AX287" s="489"/>
      <c r="AY287" s="489"/>
      <c r="AZ287" s="489"/>
      <c r="BA287" s="489"/>
      <c r="BB287" s="489"/>
      <c r="BC287" s="489"/>
      <c r="BD287" s="489"/>
      <c r="BE287" s="489"/>
      <c r="BF287" s="489"/>
      <c r="BG287" s="489"/>
      <c r="BH287" s="489"/>
      <c r="BI287" s="489"/>
      <c r="BJ287" s="489"/>
      <c r="BK287" s="489"/>
      <c r="BL287" s="489"/>
      <c r="BM287" s="489"/>
      <c r="BN287" s="489"/>
      <c r="BO287" s="489"/>
      <c r="BP287" s="489"/>
      <c r="BQ287" s="489"/>
      <c r="BR287" s="489"/>
      <c r="BS287" s="489"/>
      <c r="BT287" s="489"/>
      <c r="BU287" s="489"/>
      <c r="BV287" s="489"/>
      <c r="BW287" s="489"/>
      <c r="BX287" s="489"/>
      <c r="BY287" s="489"/>
      <c r="BZ287" s="489"/>
      <c r="CA287" s="489"/>
      <c r="CB287" s="489"/>
      <c r="CC287" s="489"/>
      <c r="CD287" s="489"/>
      <c r="CE287" s="489"/>
      <c r="CF287" s="489"/>
      <c r="CG287" s="489"/>
      <c r="CH287" s="489"/>
      <c r="CI287" s="489"/>
      <c r="CJ287" s="489"/>
      <c r="CK287" s="489"/>
      <c r="CL287" s="489"/>
      <c r="CM287" s="489"/>
      <c r="CN287" s="489"/>
      <c r="CO287" s="489"/>
      <c r="CP287" s="489"/>
      <c r="CQ287" s="489"/>
      <c r="CR287" s="489"/>
      <c r="CS287" s="489"/>
      <c r="CT287" s="489"/>
      <c r="CU287" s="489"/>
      <c r="CV287" s="489"/>
      <c r="CW287" s="489"/>
      <c r="CX287" s="489"/>
      <c r="CY287" s="489"/>
      <c r="CZ287" s="489"/>
      <c r="DA287" s="489"/>
      <c r="DB287" s="489"/>
      <c r="DC287" s="489"/>
      <c r="DD287" s="489"/>
      <c r="DE287" s="489"/>
      <c r="DF287" s="489"/>
      <c r="DG287" s="489"/>
      <c r="DH287" s="489"/>
      <c r="DI287" s="489"/>
      <c r="DJ287" s="489"/>
      <c r="DK287" s="489"/>
      <c r="DL287" s="489"/>
      <c r="DM287" s="489"/>
      <c r="DN287" s="489"/>
      <c r="DO287" s="489"/>
      <c r="DP287" s="489"/>
      <c r="DQ287" s="489"/>
      <c r="DR287" s="489"/>
      <c r="DS287" s="489"/>
      <c r="DT287" s="489"/>
      <c r="DU287" s="489"/>
      <c r="DV287" s="489"/>
      <c r="DW287" s="489"/>
      <c r="DX287" s="489"/>
      <c r="DY287" s="489"/>
      <c r="DZ287" s="489"/>
      <c r="EA287" s="489"/>
      <c r="EB287" s="490"/>
      <c r="EC287" s="489"/>
      <c r="ED287" s="490"/>
      <c r="EE287" s="489"/>
      <c r="EF287" s="490"/>
      <c r="EG287" s="489"/>
      <c r="EH287" s="490"/>
      <c r="EI287" s="489"/>
      <c r="EJ287" s="489"/>
      <c r="EK287" s="489"/>
      <c r="EL287" s="489"/>
      <c r="EM287" s="489"/>
      <c r="EN287" s="489"/>
      <c r="EO287" s="489"/>
      <c r="EP287" s="489"/>
      <c r="EQ287" s="489"/>
      <c r="ER287" s="489"/>
      <c r="ES287" s="489"/>
      <c r="ET287" s="489"/>
      <c r="EU287" s="489"/>
      <c r="EV287" s="489"/>
      <c r="EW287" s="489"/>
      <c r="EX287" s="489"/>
      <c r="EY287" s="489"/>
      <c r="EZ287" s="489"/>
      <c r="FA287" s="489"/>
      <c r="FB287" s="489"/>
      <c r="FC287" s="489"/>
      <c r="FD287" s="489"/>
      <c r="FE287" s="489"/>
      <c r="FF287" s="489"/>
      <c r="FG287" s="489"/>
      <c r="FH287" s="489"/>
      <c r="FI287" s="489"/>
      <c r="FJ287" s="489"/>
      <c r="FK287" s="489"/>
      <c r="FL287" s="489"/>
      <c r="FM287" s="489"/>
      <c r="FN287" s="489"/>
      <c r="FO287" s="489"/>
      <c r="FP287" s="489"/>
      <c r="FQ287" s="489"/>
      <c r="FR287" s="489"/>
      <c r="FS287" s="489"/>
    </row>
    <row r="288" spans="1:176" ht="12.75" hidden="1" customHeight="1" outlineLevel="1" x14ac:dyDescent="0.2">
      <c r="A288" s="348" t="str">
        <f>A$3</f>
        <v>($Millions Except Per Share Data)</v>
      </c>
      <c r="B288" s="502"/>
      <c r="C288" s="503" t="str">
        <f>C$3</f>
        <v>1Q03/</v>
      </c>
      <c r="D288" s="502"/>
      <c r="E288" s="503" t="str">
        <f>E$3</f>
        <v>2Q03/</v>
      </c>
      <c r="F288" s="502"/>
      <c r="G288" s="503" t="str">
        <f>G$3</f>
        <v>3Q03/</v>
      </c>
      <c r="H288" s="502"/>
      <c r="I288" s="503" t="str">
        <f>I$3</f>
        <v>4Q03/</v>
      </c>
      <c r="J288" s="502"/>
      <c r="K288" s="503" t="str">
        <f>K$3</f>
        <v>1Q04/</v>
      </c>
      <c r="L288" s="502"/>
      <c r="M288" s="503" t="str">
        <f>M$3</f>
        <v>2Q04/</v>
      </c>
      <c r="N288" s="502"/>
      <c r="O288" s="503" t="str">
        <f>O$3</f>
        <v>3Q04/</v>
      </c>
      <c r="P288" s="502"/>
      <c r="Q288" s="503" t="str">
        <f>Q$3</f>
        <v>4Q04/</v>
      </c>
      <c r="R288" s="502"/>
      <c r="S288" s="503" t="str">
        <f>S$3</f>
        <v>1Q05/</v>
      </c>
      <c r="T288" s="502"/>
      <c r="U288" s="503" t="str">
        <f>U$3</f>
        <v>2Q05/</v>
      </c>
      <c r="V288" s="502"/>
      <c r="W288" s="503" t="str">
        <f>W$3</f>
        <v>3Q05/</v>
      </c>
      <c r="X288" s="502"/>
      <c r="Y288" s="503" t="str">
        <f>Y$3</f>
        <v>4Q05/</v>
      </c>
      <c r="Z288" s="502"/>
      <c r="AA288" s="503" t="str">
        <f>AA$3</f>
        <v>1Q06/</v>
      </c>
      <c r="AB288" s="502"/>
      <c r="AC288" s="503" t="str">
        <f>AC$3</f>
        <v>2Q06/</v>
      </c>
      <c r="AD288" s="502"/>
      <c r="AE288" s="503" t="str">
        <f>AE$3</f>
        <v>3Q06/</v>
      </c>
      <c r="AF288" s="502"/>
      <c r="AG288" s="503" t="str">
        <f>AG$3</f>
        <v>4Q06/</v>
      </c>
      <c r="AH288" s="502"/>
      <c r="AI288" s="504" t="str">
        <f>AI$3</f>
        <v>1Q07/</v>
      </c>
      <c r="AJ288" s="502"/>
      <c r="AK288" s="504" t="str">
        <f>AK$3</f>
        <v>2Q07/</v>
      </c>
      <c r="AL288" s="502"/>
      <c r="AM288" s="504" t="str">
        <f>AM$3</f>
        <v>3Q07/</v>
      </c>
      <c r="AN288" s="502"/>
      <c r="AO288" s="504" t="str">
        <f>AO$3</f>
        <v>4Q07/</v>
      </c>
      <c r="AP288" s="502"/>
      <c r="AQ288" s="504" t="str">
        <f>AQ$3</f>
        <v>1Q08/</v>
      </c>
      <c r="AR288" s="502"/>
      <c r="AS288" s="504" t="str">
        <f>AS$3</f>
        <v>2Q08/</v>
      </c>
      <c r="AT288" s="502"/>
      <c r="AU288" s="504" t="str">
        <f>AU$3</f>
        <v>3Q08/</v>
      </c>
      <c r="AV288" s="502"/>
      <c r="AW288" s="504" t="str">
        <f>AW$3</f>
        <v>4Q08/</v>
      </c>
      <c r="AX288" s="502"/>
      <c r="AY288" s="504" t="str">
        <f>AY$3</f>
        <v>1Q09/</v>
      </c>
      <c r="AZ288" s="502"/>
      <c r="BA288" s="504" t="str">
        <f>BA$3</f>
        <v>2Q09/</v>
      </c>
      <c r="BB288" s="502"/>
      <c r="BC288" s="504" t="str">
        <f>BC$3</f>
        <v>3Q09/</v>
      </c>
      <c r="BD288" s="502"/>
      <c r="BE288" s="504" t="str">
        <f>BE$3</f>
        <v>4Q09/</v>
      </c>
      <c r="BF288" s="502"/>
      <c r="BG288" s="504" t="str">
        <f>BG$3</f>
        <v>1Q10/</v>
      </c>
      <c r="BH288" s="502"/>
      <c r="BI288" s="504" t="str">
        <f>BI$3</f>
        <v>2Q10/</v>
      </c>
      <c r="BJ288" s="502"/>
      <c r="BK288" s="504" t="str">
        <f>BK$3</f>
        <v>3Q10/</v>
      </c>
      <c r="BL288" s="502"/>
      <c r="BM288" s="504" t="str">
        <f>BM$3</f>
        <v>4Q10/</v>
      </c>
      <c r="BN288" s="502"/>
      <c r="BO288" s="504" t="str">
        <f>BO$3</f>
        <v>1Q11/</v>
      </c>
      <c r="BP288" s="502"/>
      <c r="BQ288" s="504" t="str">
        <f>BQ$3</f>
        <v>2Q11/</v>
      </c>
      <c r="BR288" s="502"/>
      <c r="BS288" s="504" t="str">
        <f>BS$3</f>
        <v>3Q11/</v>
      </c>
      <c r="BT288" s="502"/>
      <c r="BU288" s="504" t="str">
        <f>BU$3</f>
        <v>4Q11/</v>
      </c>
      <c r="BV288" s="502"/>
      <c r="BW288" s="504" t="str">
        <f>BW$3</f>
        <v>1Q12/</v>
      </c>
      <c r="BX288" s="502"/>
      <c r="BY288" s="504" t="str">
        <f>BY$3</f>
        <v>2Q12/</v>
      </c>
      <c r="BZ288" s="502"/>
      <c r="CA288" s="504" t="str">
        <f>CA$3</f>
        <v>3Q12/</v>
      </c>
      <c r="CB288" s="502"/>
      <c r="CC288" s="504" t="str">
        <f>CC$3</f>
        <v>4Q12/</v>
      </c>
      <c r="CD288" s="502"/>
      <c r="CE288" s="504" t="str">
        <f>CE$3</f>
        <v>1Q13/</v>
      </c>
      <c r="CF288" s="502"/>
      <c r="CG288" s="504" t="str">
        <f>CG$3</f>
        <v>2Q13/</v>
      </c>
      <c r="CH288" s="502"/>
      <c r="CI288" s="504" t="str">
        <f>CI$3</f>
        <v>3Q13/</v>
      </c>
      <c r="CJ288" s="502"/>
      <c r="CK288" s="504" t="str">
        <f>CK$3</f>
        <v>4Q13/</v>
      </c>
      <c r="CL288" s="502"/>
      <c r="CM288" s="504" t="str">
        <f>CM$3</f>
        <v>1Q14/</v>
      </c>
      <c r="CN288" s="502"/>
      <c r="CO288" s="504" t="str">
        <f>CO$3</f>
        <v>2Q14/</v>
      </c>
      <c r="CP288" s="502"/>
      <c r="CQ288" s="504" t="str">
        <f>CQ$3</f>
        <v>3Q14/</v>
      </c>
      <c r="CR288" s="502"/>
      <c r="CS288" s="504" t="str">
        <f>CS$3</f>
        <v>4Q14/</v>
      </c>
      <c r="CT288" s="502"/>
      <c r="CU288" s="504" t="str">
        <f>CU$3</f>
        <v>1Q15/</v>
      </c>
      <c r="CV288" s="502"/>
      <c r="CW288" s="504" t="str">
        <f>CW$3</f>
        <v>2Q15/</v>
      </c>
      <c r="CX288" s="502"/>
      <c r="CY288" s="504" t="str">
        <f>CY$3</f>
        <v>3Q15/</v>
      </c>
      <c r="CZ288" s="502"/>
      <c r="DA288" s="504" t="str">
        <f>DA$3</f>
        <v>4Q15/</v>
      </c>
      <c r="DB288" s="502"/>
      <c r="DC288" s="504" t="str">
        <f>DC$3</f>
        <v>1Q16/</v>
      </c>
      <c r="DD288" s="502"/>
      <c r="DE288" s="504" t="str">
        <f>DE$3</f>
        <v>2Q16/</v>
      </c>
      <c r="DF288" s="502"/>
      <c r="DG288" s="504" t="str">
        <f>DG$3</f>
        <v>3Q16/</v>
      </c>
      <c r="DH288" s="502"/>
      <c r="DI288" s="504" t="str">
        <f>DI$3</f>
        <v>4Q16/</v>
      </c>
      <c r="DJ288" s="502"/>
      <c r="DK288" s="504" t="str">
        <f>DK$3</f>
        <v>1Q17/</v>
      </c>
      <c r="DL288" s="502"/>
      <c r="DM288" s="504" t="str">
        <f>DM$3</f>
        <v>2Q17/</v>
      </c>
      <c r="DN288" s="502"/>
      <c r="DO288" s="504" t="str">
        <f>DO$3</f>
        <v>3Q17/</v>
      </c>
      <c r="DP288" s="502"/>
      <c r="DQ288" s="504" t="str">
        <f>DQ$3</f>
        <v>4Q17/</v>
      </c>
      <c r="DR288" s="502"/>
      <c r="DS288" s="504" t="str">
        <f>DS$3</f>
        <v>1Q18E/</v>
      </c>
      <c r="DT288" s="502"/>
      <c r="DU288" s="504" t="str">
        <f>DU$3</f>
        <v>2Q18E/</v>
      </c>
      <c r="DV288" s="502"/>
      <c r="DW288" s="504" t="str">
        <f>DW$3</f>
        <v>3Q18E/</v>
      </c>
      <c r="DX288" s="502"/>
      <c r="DY288" s="504" t="str">
        <f>DY$3</f>
        <v>4Q18E/</v>
      </c>
      <c r="DZ288" s="502"/>
      <c r="EA288" s="504"/>
      <c r="EB288" s="503" t="str">
        <f>EB$3</f>
        <v>2001/</v>
      </c>
      <c r="EC288" s="502"/>
      <c r="ED288" s="503" t="str">
        <f>ED$3</f>
        <v>2002/</v>
      </c>
      <c r="EE288" s="502"/>
      <c r="EF288" s="503" t="str">
        <f>EF$3</f>
        <v>2003/</v>
      </c>
      <c r="EG288" s="502"/>
      <c r="EH288" s="503" t="str">
        <f>EH$3</f>
        <v>2004/</v>
      </c>
      <c r="EI288" s="502"/>
      <c r="EJ288" s="504" t="str">
        <f>EJ$3</f>
        <v>2005/</v>
      </c>
      <c r="EK288" s="502"/>
      <c r="EL288" s="504" t="str">
        <f>EL$3</f>
        <v>2006/</v>
      </c>
      <c r="EM288" s="502"/>
      <c r="EN288" s="504" t="str">
        <f>EN$3</f>
        <v>2007/</v>
      </c>
      <c r="EO288" s="502"/>
      <c r="EP288" s="504" t="str">
        <f>EP$3</f>
        <v>2008/</v>
      </c>
      <c r="EQ288" s="502"/>
      <c r="ER288" s="504" t="str">
        <f>ER$3</f>
        <v>2009/</v>
      </c>
      <c r="ES288" s="502"/>
      <c r="ET288" s="504" t="str">
        <f>ET$3</f>
        <v>2010/</v>
      </c>
      <c r="EU288" s="502"/>
      <c r="EV288" s="504" t="str">
        <f>EV$3</f>
        <v>2011/</v>
      </c>
      <c r="EW288" s="502"/>
      <c r="EX288" s="504" t="str">
        <f>EX$3</f>
        <v>2012/</v>
      </c>
      <c r="EY288" s="502"/>
      <c r="EZ288" s="504" t="str">
        <f>EZ$3</f>
        <v>2013/</v>
      </c>
      <c r="FA288" s="502"/>
      <c r="FB288" s="504" t="str">
        <f>FB$3</f>
        <v>2014/</v>
      </c>
      <c r="FC288" s="502"/>
      <c r="FD288" s="504" t="str">
        <f>FD$3</f>
        <v>2015/</v>
      </c>
      <c r="FE288" s="502"/>
      <c r="FF288" s="504" t="str">
        <f>FF$3</f>
        <v>2016/</v>
      </c>
      <c r="FG288" s="502"/>
      <c r="FH288" s="504" t="str">
        <f>FH$3</f>
        <v>2017/</v>
      </c>
      <c r="FI288" s="502"/>
      <c r="FJ288" s="504" t="str">
        <f>FJ$3</f>
        <v>2018E/</v>
      </c>
      <c r="FK288" s="502"/>
      <c r="FL288" s="504" t="str">
        <f>FL$3</f>
        <v>2019E/</v>
      </c>
      <c r="FM288" s="502"/>
      <c r="FN288" s="504" t="str">
        <f>FN$3</f>
        <v>2020E/</v>
      </c>
      <c r="FO288" s="502"/>
      <c r="FP288" s="504" t="str">
        <f>FP$3</f>
        <v>2021E/</v>
      </c>
      <c r="FQ288" s="502"/>
      <c r="FR288" s="504" t="str">
        <f>FR$3</f>
        <v>2022E/</v>
      </c>
      <c r="FS288" s="504" t="str">
        <f>FS$3</f>
        <v>5-Yr</v>
      </c>
      <c r="FT288" s="349"/>
    </row>
    <row r="289" spans="1:176" ht="12.75" hidden="1" customHeight="1" outlineLevel="1" x14ac:dyDescent="0.2">
      <c r="A289" s="492"/>
      <c r="B289" s="491"/>
      <c r="C289" s="490" t="str">
        <f>C$4</f>
        <v>1Q02</v>
      </c>
      <c r="D289" s="491"/>
      <c r="E289" s="490" t="str">
        <f>E$4</f>
        <v>2Q02</v>
      </c>
      <c r="F289" s="491"/>
      <c r="G289" s="490" t="str">
        <f>G$4</f>
        <v>3Q02</v>
      </c>
      <c r="H289" s="491"/>
      <c r="I289" s="490" t="str">
        <f>I$4</f>
        <v>4Q02</v>
      </c>
      <c r="J289" s="491"/>
      <c r="K289" s="490" t="str">
        <f>K$4</f>
        <v>1Q03</v>
      </c>
      <c r="L289" s="491"/>
      <c r="M289" s="490" t="str">
        <f>M$4</f>
        <v>2Q03</v>
      </c>
      <c r="N289" s="491"/>
      <c r="O289" s="490" t="str">
        <f>O$4</f>
        <v>3Q03</v>
      </c>
      <c r="P289" s="491"/>
      <c r="Q289" s="490" t="str">
        <f>Q$4</f>
        <v>4Q03</v>
      </c>
      <c r="R289" s="491"/>
      <c r="S289" s="490" t="str">
        <f>S$4</f>
        <v>1Q04</v>
      </c>
      <c r="T289" s="491"/>
      <c r="U289" s="490" t="str">
        <f>U$4</f>
        <v>2Q04</v>
      </c>
      <c r="V289" s="491"/>
      <c r="W289" s="490" t="str">
        <f>W$4</f>
        <v>3Q04</v>
      </c>
      <c r="X289" s="491"/>
      <c r="Y289" s="490" t="str">
        <f>Y$4</f>
        <v>4Q04</v>
      </c>
      <c r="Z289" s="491"/>
      <c r="AA289" s="490" t="str">
        <f>AA$4</f>
        <v>1Q05</v>
      </c>
      <c r="AB289" s="491"/>
      <c r="AC289" s="490" t="str">
        <f>AC$4</f>
        <v>2Q05</v>
      </c>
      <c r="AD289" s="491"/>
      <c r="AE289" s="490" t="str">
        <f>AE$4</f>
        <v>3Q05</v>
      </c>
      <c r="AF289" s="491"/>
      <c r="AG289" s="490" t="str">
        <f>AG$4</f>
        <v>4Q05</v>
      </c>
      <c r="AH289" s="491"/>
      <c r="AI289" s="489" t="str">
        <f>AI$4</f>
        <v>1Q06</v>
      </c>
      <c r="AJ289" s="491"/>
      <c r="AK289" s="489" t="str">
        <f>AK$4</f>
        <v>2Q06</v>
      </c>
      <c r="AL289" s="491"/>
      <c r="AM289" s="489" t="str">
        <f>AM$4</f>
        <v>3Q06</v>
      </c>
      <c r="AN289" s="491"/>
      <c r="AO289" s="489" t="str">
        <f>AO$4</f>
        <v>4Q06</v>
      </c>
      <c r="AP289" s="491"/>
      <c r="AQ289" s="489" t="str">
        <f>AQ$4</f>
        <v>1Q07</v>
      </c>
      <c r="AR289" s="491"/>
      <c r="AS289" s="489" t="str">
        <f>AS$4</f>
        <v>2Q07</v>
      </c>
      <c r="AT289" s="491"/>
      <c r="AU289" s="489" t="str">
        <f>AU$4</f>
        <v>3Q07</v>
      </c>
      <c r="AV289" s="491"/>
      <c r="AW289" s="489" t="str">
        <f>AW$4</f>
        <v>4Q07</v>
      </c>
      <c r="AX289" s="491"/>
      <c r="AY289" s="489" t="str">
        <f>AY$4</f>
        <v>1Q08</v>
      </c>
      <c r="AZ289" s="491"/>
      <c r="BA289" s="489" t="str">
        <f>BA$4</f>
        <v>2Q08</v>
      </c>
      <c r="BB289" s="491"/>
      <c r="BC289" s="489" t="str">
        <f>BC$4</f>
        <v>3Q08</v>
      </c>
      <c r="BD289" s="491"/>
      <c r="BE289" s="489" t="str">
        <f>BE$4</f>
        <v>4Q08</v>
      </c>
      <c r="BF289" s="491"/>
      <c r="BG289" s="489" t="str">
        <f>BG$4</f>
        <v>1Q09</v>
      </c>
      <c r="BH289" s="491"/>
      <c r="BI289" s="489" t="str">
        <f>BI$4</f>
        <v>2Q09</v>
      </c>
      <c r="BJ289" s="491"/>
      <c r="BK289" s="489" t="str">
        <f>BK$4</f>
        <v>3Q09</v>
      </c>
      <c r="BL289" s="491"/>
      <c r="BM289" s="489" t="str">
        <f>BM$4</f>
        <v>4Q09</v>
      </c>
      <c r="BN289" s="491"/>
      <c r="BO289" s="489" t="str">
        <f>BO$4</f>
        <v>1Q10</v>
      </c>
      <c r="BP289" s="491"/>
      <c r="BQ289" s="489" t="str">
        <f>BQ$4</f>
        <v>2Q10</v>
      </c>
      <c r="BR289" s="491"/>
      <c r="BS289" s="489" t="str">
        <f>BS$4</f>
        <v>3Q10</v>
      </c>
      <c r="BT289" s="491"/>
      <c r="BU289" s="489" t="str">
        <f>BU$4</f>
        <v>4Q10</v>
      </c>
      <c r="BV289" s="491"/>
      <c r="BW289" s="489" t="str">
        <f>BW$4</f>
        <v>1Q11</v>
      </c>
      <c r="BX289" s="491"/>
      <c r="BY289" s="489" t="str">
        <f>BY$4</f>
        <v>2Q11</v>
      </c>
      <c r="BZ289" s="491"/>
      <c r="CA289" s="489" t="str">
        <f>CA$4</f>
        <v>3Q11</v>
      </c>
      <c r="CB289" s="491"/>
      <c r="CC289" s="489" t="str">
        <f>CC$4</f>
        <v>4Q11</v>
      </c>
      <c r="CD289" s="491"/>
      <c r="CE289" s="489" t="str">
        <f>CE$4</f>
        <v>1Q12</v>
      </c>
      <c r="CF289" s="491"/>
      <c r="CG289" s="489" t="str">
        <f>CG$4</f>
        <v>2Q12</v>
      </c>
      <c r="CH289" s="491"/>
      <c r="CI289" s="489" t="str">
        <f>CI$4</f>
        <v>3Q12</v>
      </c>
      <c r="CJ289" s="491"/>
      <c r="CK289" s="489" t="str">
        <f>CK$4</f>
        <v>4Q12</v>
      </c>
      <c r="CL289" s="491"/>
      <c r="CM289" s="489" t="str">
        <f>CM$4</f>
        <v>1Q13</v>
      </c>
      <c r="CN289" s="491"/>
      <c r="CO289" s="489" t="str">
        <f>CO$4</f>
        <v>2Q13</v>
      </c>
      <c r="CP289" s="491"/>
      <c r="CQ289" s="489" t="str">
        <f>CQ$4</f>
        <v>3Q13</v>
      </c>
      <c r="CR289" s="491"/>
      <c r="CS289" s="489" t="str">
        <f>CS$4</f>
        <v>4Q13</v>
      </c>
      <c r="CT289" s="491"/>
      <c r="CU289" s="489" t="str">
        <f>CU$4</f>
        <v>1Q14</v>
      </c>
      <c r="CV289" s="491"/>
      <c r="CW289" s="489" t="str">
        <f>CW$4</f>
        <v>2Q14</v>
      </c>
      <c r="CX289" s="491"/>
      <c r="CY289" s="489" t="str">
        <f>CY$4</f>
        <v>3Q14</v>
      </c>
      <c r="CZ289" s="491"/>
      <c r="DA289" s="489" t="str">
        <f>DA$4</f>
        <v>4Q14</v>
      </c>
      <c r="DB289" s="491"/>
      <c r="DC289" s="489" t="str">
        <f>DC$4</f>
        <v>1Q15</v>
      </c>
      <c r="DD289" s="491"/>
      <c r="DE289" s="489" t="str">
        <f>DE$4</f>
        <v>2Q15</v>
      </c>
      <c r="DF289" s="491"/>
      <c r="DG289" s="489" t="str">
        <f>DG$4</f>
        <v>3Q15</v>
      </c>
      <c r="DH289" s="491"/>
      <c r="DI289" s="489" t="str">
        <f>DI$4</f>
        <v>4Q15</v>
      </c>
      <c r="DJ289" s="491"/>
      <c r="DK289" s="489" t="str">
        <f>DK$4</f>
        <v>1Q16</v>
      </c>
      <c r="DL289" s="491"/>
      <c r="DM289" s="489" t="str">
        <f>DM$4</f>
        <v>2Q16</v>
      </c>
      <c r="DN289" s="491"/>
      <c r="DO289" s="489" t="str">
        <f>DO$4</f>
        <v>3Q16</v>
      </c>
      <c r="DP289" s="491"/>
      <c r="DQ289" s="489" t="str">
        <f>DQ$4</f>
        <v>4Q16</v>
      </c>
      <c r="DR289" s="491"/>
      <c r="DS289" s="489" t="str">
        <f>DS$4</f>
        <v>1Q17</v>
      </c>
      <c r="DT289" s="491"/>
      <c r="DU289" s="489" t="str">
        <f>DU$4</f>
        <v>2Q17</v>
      </c>
      <c r="DV289" s="491"/>
      <c r="DW289" s="489" t="str">
        <f>DW$4</f>
        <v>3Q17</v>
      </c>
      <c r="DX289" s="491"/>
      <c r="DY289" s="489" t="str">
        <f>DY$4</f>
        <v>4Q17</v>
      </c>
      <c r="DZ289" s="491"/>
      <c r="EA289" s="489"/>
      <c r="EB289" s="490" t="str">
        <f>EB$4</f>
        <v>2000</v>
      </c>
      <c r="EC289" s="491"/>
      <c r="ED289" s="490" t="str">
        <f>ED$4</f>
        <v>2001</v>
      </c>
      <c r="EE289" s="491"/>
      <c r="EF289" s="490" t="str">
        <f>EF$4</f>
        <v>2002</v>
      </c>
      <c r="EG289" s="491"/>
      <c r="EH289" s="490" t="str">
        <f>EH$4</f>
        <v>2003</v>
      </c>
      <c r="EI289" s="491"/>
      <c r="EJ289" s="489">
        <f>EJ$4</f>
        <v>2004</v>
      </c>
      <c r="EK289" s="491"/>
      <c r="EL289" s="489" t="str">
        <f>EL$4</f>
        <v>2005</v>
      </c>
      <c r="EM289" s="491"/>
      <c r="EN289" s="489" t="str">
        <f>EN$4</f>
        <v>2006</v>
      </c>
      <c r="EO289" s="491"/>
      <c r="EP289" s="489">
        <f>EP$4</f>
        <v>2007</v>
      </c>
      <c r="EQ289" s="491"/>
      <c r="ER289" s="489" t="str">
        <f>ER$4</f>
        <v>2008</v>
      </c>
      <c r="ES289" s="491"/>
      <c r="ET289" s="489" t="str">
        <f>ET$4</f>
        <v>2009</v>
      </c>
      <c r="EU289" s="491"/>
      <c r="EV289" s="489" t="str">
        <f>EV$4</f>
        <v>2010</v>
      </c>
      <c r="EW289" s="491"/>
      <c r="EX289" s="489" t="str">
        <f>EX$4</f>
        <v>2011</v>
      </c>
      <c r="EY289" s="491"/>
      <c r="EZ289" s="489" t="str">
        <f>EZ$4</f>
        <v>2012</v>
      </c>
      <c r="FA289" s="491"/>
      <c r="FB289" s="489" t="str">
        <f>FB$4</f>
        <v>2013</v>
      </c>
      <c r="FC289" s="491"/>
      <c r="FD289" s="489">
        <f>FD$4</f>
        <v>2014</v>
      </c>
      <c r="FE289" s="491"/>
      <c r="FF289" s="489" t="str">
        <f>FF$4</f>
        <v>2015</v>
      </c>
      <c r="FG289" s="491"/>
      <c r="FH289" s="489">
        <f>FH$4</f>
        <v>2016</v>
      </c>
      <c r="FI289" s="491"/>
      <c r="FJ289" s="489">
        <f>FJ$4</f>
        <v>2017</v>
      </c>
      <c r="FK289" s="491"/>
      <c r="FL289" s="489" t="str">
        <f>FL$4</f>
        <v>2018E</v>
      </c>
      <c r="FM289" s="491"/>
      <c r="FN289" s="489" t="str">
        <f>FN$4</f>
        <v>2019E</v>
      </c>
      <c r="FO289" s="491"/>
      <c r="FP289" s="489" t="str">
        <f>FP$4</f>
        <v>2020E</v>
      </c>
      <c r="FQ289" s="491"/>
      <c r="FR289" s="489" t="str">
        <f>FR$4</f>
        <v>2021E</v>
      </c>
      <c r="FS289" s="489" t="str">
        <f>FS$4</f>
        <v>CAGR</v>
      </c>
      <c r="FT289" s="349"/>
    </row>
    <row r="290" spans="1:176" ht="12.75" hidden="1" customHeight="1" outlineLevel="1" x14ac:dyDescent="0.2">
      <c r="A290" s="493"/>
      <c r="B290" s="494" t="str">
        <f>+B$5</f>
        <v>1Q03</v>
      </c>
      <c r="C290" s="495" t="str">
        <f>C$5</f>
        <v>% Chg</v>
      </c>
      <c r="D290" s="494" t="str">
        <f>+D$5</f>
        <v>2Q03</v>
      </c>
      <c r="E290" s="495" t="str">
        <f>E$5</f>
        <v>% Chg</v>
      </c>
      <c r="F290" s="494" t="str">
        <f>+F$5</f>
        <v>3Q03</v>
      </c>
      <c r="G290" s="495" t="str">
        <f>G$5</f>
        <v>% Chg</v>
      </c>
      <c r="H290" s="494" t="str">
        <f>+H$5</f>
        <v>4Q03</v>
      </c>
      <c r="I290" s="495" t="str">
        <f>I$5</f>
        <v>% Chg</v>
      </c>
      <c r="J290" s="494" t="str">
        <f>+J$5</f>
        <v>1Q04</v>
      </c>
      <c r="K290" s="495" t="str">
        <f>K$5</f>
        <v>% Chg</v>
      </c>
      <c r="L290" s="494" t="str">
        <f>+L$5</f>
        <v>2Q04</v>
      </c>
      <c r="M290" s="495" t="str">
        <f>M$5</f>
        <v>% Chg</v>
      </c>
      <c r="N290" s="494" t="str">
        <f>+N$5</f>
        <v>3Q04</v>
      </c>
      <c r="O290" s="495" t="str">
        <f>O$5</f>
        <v>% Chg</v>
      </c>
      <c r="P290" s="494" t="str">
        <f>+P$5</f>
        <v>4Q04</v>
      </c>
      <c r="Q290" s="495" t="str">
        <f>Q$5</f>
        <v>% Chg</v>
      </c>
      <c r="R290" s="494" t="str">
        <f>+R$5</f>
        <v>1Q05</v>
      </c>
      <c r="S290" s="495" t="str">
        <f>S$5</f>
        <v>% Chg</v>
      </c>
      <c r="T290" s="494" t="str">
        <f>+T$5</f>
        <v>2Q05</v>
      </c>
      <c r="U290" s="495" t="str">
        <f>U$5</f>
        <v>% Chg</v>
      </c>
      <c r="V290" s="494" t="str">
        <f>+V$5</f>
        <v>3Q05</v>
      </c>
      <c r="W290" s="495" t="str">
        <f>W$5</f>
        <v>% Chg</v>
      </c>
      <c r="X290" s="494" t="str">
        <f>+X$5</f>
        <v>4Q05</v>
      </c>
      <c r="Y290" s="495" t="str">
        <f>Y$5</f>
        <v>% Chg</v>
      </c>
      <c r="Z290" s="494" t="str">
        <f>+Z$5</f>
        <v>1Q06</v>
      </c>
      <c r="AA290" s="495" t="str">
        <f>AA$5</f>
        <v>% Chg</v>
      </c>
      <c r="AB290" s="494" t="str">
        <f>+AB$5</f>
        <v>2Q06</v>
      </c>
      <c r="AC290" s="495" t="str">
        <f>AC$5</f>
        <v>% Chg</v>
      </c>
      <c r="AD290" s="494" t="str">
        <f>+AD$5</f>
        <v>3Q06</v>
      </c>
      <c r="AE290" s="495" t="str">
        <f>AE$5</f>
        <v>% Chg</v>
      </c>
      <c r="AF290" s="494" t="str">
        <f>+AF$5</f>
        <v>4Q06</v>
      </c>
      <c r="AG290" s="495" t="str">
        <f>AG$5</f>
        <v>% Chg</v>
      </c>
      <c r="AH290" s="494" t="str">
        <f>+AH$5</f>
        <v>1Q07</v>
      </c>
      <c r="AI290" s="496" t="str">
        <f>AI$5</f>
        <v>% Chg</v>
      </c>
      <c r="AJ290" s="494" t="str">
        <f>+AJ$5</f>
        <v>2Q07</v>
      </c>
      <c r="AK290" s="496" t="str">
        <f>AK$5</f>
        <v>% Chg</v>
      </c>
      <c r="AL290" s="494" t="str">
        <f>+AL$5</f>
        <v>3Q07</v>
      </c>
      <c r="AM290" s="496" t="str">
        <f>AM$5</f>
        <v>% Chg</v>
      </c>
      <c r="AN290" s="494" t="str">
        <f>+AN$5</f>
        <v>4Q07</v>
      </c>
      <c r="AO290" s="496" t="str">
        <f>AO$5</f>
        <v>% Chg</v>
      </c>
      <c r="AP290" s="494" t="str">
        <f>+AP$5</f>
        <v>1Q08</v>
      </c>
      <c r="AQ290" s="496" t="str">
        <f>AQ$5</f>
        <v>% Chg</v>
      </c>
      <c r="AR290" s="494" t="str">
        <f>+AR$5</f>
        <v>2Q08</v>
      </c>
      <c r="AS290" s="496" t="str">
        <f>AS$5</f>
        <v>% Chg</v>
      </c>
      <c r="AT290" s="494" t="str">
        <f>+AT$5</f>
        <v>3Q08</v>
      </c>
      <c r="AU290" s="496" t="str">
        <f>AU$5</f>
        <v>% Chg</v>
      </c>
      <c r="AV290" s="494" t="str">
        <f>+AV$5</f>
        <v>4Q08</v>
      </c>
      <c r="AW290" s="496" t="str">
        <f>AW$5</f>
        <v>% Chg</v>
      </c>
      <c r="AX290" s="494" t="str">
        <f>+AX$5</f>
        <v>1Q09</v>
      </c>
      <c r="AY290" s="496" t="str">
        <f>AY$5</f>
        <v>% Chg</v>
      </c>
      <c r="AZ290" s="494" t="str">
        <f>+AZ$5</f>
        <v>2Q09</v>
      </c>
      <c r="BA290" s="496" t="str">
        <f>BA$5</f>
        <v>% Chg</v>
      </c>
      <c r="BB290" s="494" t="str">
        <f>+BB$5</f>
        <v>3Q09</v>
      </c>
      <c r="BC290" s="496" t="str">
        <f>BC$5</f>
        <v>% Chg</v>
      </c>
      <c r="BD290" s="494" t="str">
        <f>+BD$5</f>
        <v>4Q09</v>
      </c>
      <c r="BE290" s="496" t="str">
        <f>BE$5</f>
        <v>% Chg</v>
      </c>
      <c r="BF290" s="494" t="str">
        <f>+BF$5</f>
        <v>1Q10</v>
      </c>
      <c r="BG290" s="496" t="str">
        <f>BG$5</f>
        <v>% Chg</v>
      </c>
      <c r="BH290" s="494" t="str">
        <f>+BH$5</f>
        <v>2Q10</v>
      </c>
      <c r="BI290" s="496" t="str">
        <f>BI$5</f>
        <v>% Chg</v>
      </c>
      <c r="BJ290" s="494" t="str">
        <f>+BJ$5</f>
        <v>3Q10</v>
      </c>
      <c r="BK290" s="496" t="str">
        <f>BK$5</f>
        <v>% Chg</v>
      </c>
      <c r="BL290" s="494" t="str">
        <f>+BL$5</f>
        <v>4Q10</v>
      </c>
      <c r="BM290" s="496" t="str">
        <f>BM$5</f>
        <v>% Chg</v>
      </c>
      <c r="BN290" s="494" t="str">
        <f>+BN$5</f>
        <v>1Q11</v>
      </c>
      <c r="BO290" s="496" t="str">
        <f>BO$5</f>
        <v>% Chg</v>
      </c>
      <c r="BP290" s="494" t="str">
        <f>+BP$5</f>
        <v>2Q11</v>
      </c>
      <c r="BQ290" s="496" t="str">
        <f>BQ$5</f>
        <v>% Chg</v>
      </c>
      <c r="BR290" s="494" t="str">
        <f>+BR$5</f>
        <v>3Q11</v>
      </c>
      <c r="BS290" s="496" t="str">
        <f>BS$5</f>
        <v>% Chg</v>
      </c>
      <c r="BT290" s="494" t="str">
        <f>+BT$5</f>
        <v>4Q11</v>
      </c>
      <c r="BU290" s="496" t="str">
        <f>BU$5</f>
        <v>% Chg</v>
      </c>
      <c r="BV290" s="494" t="str">
        <f>+BV$5</f>
        <v>1Q12</v>
      </c>
      <c r="BW290" s="496" t="str">
        <f>BW$5</f>
        <v>% Chg</v>
      </c>
      <c r="BX290" s="494" t="str">
        <f>+BX$5</f>
        <v>2Q12</v>
      </c>
      <c r="BY290" s="496" t="str">
        <f>BY$5</f>
        <v>% Chg</v>
      </c>
      <c r="BZ290" s="494" t="str">
        <f>+BZ$5</f>
        <v>3Q12</v>
      </c>
      <c r="CA290" s="496" t="str">
        <f>CA$5</f>
        <v>% Chg</v>
      </c>
      <c r="CB290" s="494" t="str">
        <f>+CB$5</f>
        <v>4Q12</v>
      </c>
      <c r="CC290" s="496" t="str">
        <f>CC$5</f>
        <v>% Chg</v>
      </c>
      <c r="CD290" s="494" t="str">
        <f>+CD$5</f>
        <v>1Q13</v>
      </c>
      <c r="CE290" s="496" t="str">
        <f>CE$5</f>
        <v>% Chg</v>
      </c>
      <c r="CF290" s="494" t="str">
        <f>+CF$5</f>
        <v>2Q13</v>
      </c>
      <c r="CG290" s="496" t="str">
        <f>CG$5</f>
        <v>% Chg</v>
      </c>
      <c r="CH290" s="494" t="str">
        <f>+CH$5</f>
        <v>3Q13</v>
      </c>
      <c r="CI290" s="496" t="str">
        <f>CI$5</f>
        <v>% Chg</v>
      </c>
      <c r="CJ290" s="494" t="str">
        <f>+CJ$5</f>
        <v>4Q13</v>
      </c>
      <c r="CK290" s="496" t="str">
        <f>CK$5</f>
        <v>% Chg</v>
      </c>
      <c r="CL290" s="494" t="str">
        <f>+CL$5</f>
        <v>1Q14</v>
      </c>
      <c r="CM290" s="496" t="str">
        <f>CM$5</f>
        <v>% Chg</v>
      </c>
      <c r="CN290" s="494" t="str">
        <f>+CN$5</f>
        <v>2Q14</v>
      </c>
      <c r="CO290" s="496" t="str">
        <f>CO$5</f>
        <v>% Chg</v>
      </c>
      <c r="CP290" s="494" t="str">
        <f>+CP$5</f>
        <v>3Q14</v>
      </c>
      <c r="CQ290" s="496" t="str">
        <f>CQ$5</f>
        <v>% Chg</v>
      </c>
      <c r="CR290" s="494" t="str">
        <f>+CR$5</f>
        <v>4Q14</v>
      </c>
      <c r="CS290" s="496" t="str">
        <f>CS$5</f>
        <v>% Chg</v>
      </c>
      <c r="CT290" s="494" t="str">
        <f>+CT$5</f>
        <v>1Q15</v>
      </c>
      <c r="CU290" s="496" t="str">
        <f>CU$5</f>
        <v>% Chg</v>
      </c>
      <c r="CV290" s="494" t="str">
        <f>+CV$5</f>
        <v>2Q15</v>
      </c>
      <c r="CW290" s="496" t="str">
        <f>CW$5</f>
        <v>% Chg</v>
      </c>
      <c r="CX290" s="494" t="str">
        <f>+CX$5</f>
        <v>3Q15</v>
      </c>
      <c r="CY290" s="496" t="str">
        <f>CY$5</f>
        <v>% Chg</v>
      </c>
      <c r="CZ290" s="494" t="str">
        <f>+CZ$5</f>
        <v>4Q15</v>
      </c>
      <c r="DA290" s="496" t="str">
        <f>DA$5</f>
        <v>% Chg</v>
      </c>
      <c r="DB290" s="494" t="str">
        <f>+DB$5</f>
        <v>1Q16</v>
      </c>
      <c r="DC290" s="496" t="str">
        <f>DC$5</f>
        <v>% Chg</v>
      </c>
      <c r="DD290" s="494" t="str">
        <f>+DD$5</f>
        <v>2Q16</v>
      </c>
      <c r="DE290" s="496" t="str">
        <f>DE$5</f>
        <v>% Chg</v>
      </c>
      <c r="DF290" s="494" t="str">
        <f>+DF$5</f>
        <v>3Q16</v>
      </c>
      <c r="DG290" s="496" t="str">
        <f>DG$5</f>
        <v>% Chg</v>
      </c>
      <c r="DH290" s="494" t="str">
        <f>+DH$5</f>
        <v>4Q16</v>
      </c>
      <c r="DI290" s="496" t="str">
        <f>DI$5</f>
        <v>% Chg</v>
      </c>
      <c r="DJ290" s="494" t="str">
        <f>+DJ$5</f>
        <v>1Q17</v>
      </c>
      <c r="DK290" s="496" t="str">
        <f>DK$5</f>
        <v>% Chg</v>
      </c>
      <c r="DL290" s="494" t="str">
        <f>+DL$5</f>
        <v>2Q17</v>
      </c>
      <c r="DM290" s="496" t="str">
        <f>DM$5</f>
        <v>% Chg</v>
      </c>
      <c r="DN290" s="494" t="str">
        <f>+DN$5</f>
        <v>3Q17</v>
      </c>
      <c r="DO290" s="496" t="str">
        <f>DO$5</f>
        <v>% Chg</v>
      </c>
      <c r="DP290" s="494" t="str">
        <f>+DP$5</f>
        <v>4Q17</v>
      </c>
      <c r="DQ290" s="496" t="str">
        <f>DQ$5</f>
        <v>% Chg</v>
      </c>
      <c r="DR290" s="494" t="str">
        <f>+DR$5</f>
        <v>1Q18E</v>
      </c>
      <c r="DS290" s="496" t="str">
        <f>DS$5</f>
        <v>% Chg</v>
      </c>
      <c r="DT290" s="494" t="str">
        <f>+DT$5</f>
        <v>2Q18E</v>
      </c>
      <c r="DU290" s="496" t="str">
        <f>DU$5</f>
        <v>% Chg</v>
      </c>
      <c r="DV290" s="494" t="str">
        <f>+DV$5</f>
        <v>3Q18E</v>
      </c>
      <c r="DW290" s="496" t="str">
        <f>DW$5</f>
        <v>% Chg</v>
      </c>
      <c r="DX290" s="494" t="str">
        <f>+DX$5</f>
        <v>4Q18E</v>
      </c>
      <c r="DY290" s="496" t="str">
        <f>DY$5</f>
        <v>% Chg</v>
      </c>
      <c r="DZ290" s="494"/>
      <c r="EA290" s="496"/>
      <c r="EB290" s="495" t="str">
        <f>EB$5</f>
        <v>% Chg</v>
      </c>
      <c r="EC290" s="494" t="str">
        <f t="shared" ref="EC290:FQ290" si="22">+EC$5</f>
        <v>2002</v>
      </c>
      <c r="ED290" s="495" t="str">
        <f>ED$5</f>
        <v>% Chg</v>
      </c>
      <c r="EE290" s="494" t="str">
        <f t="shared" si="22"/>
        <v>2003</v>
      </c>
      <c r="EF290" s="495" t="str">
        <f>EF$5</f>
        <v>% Chg</v>
      </c>
      <c r="EG290" s="494">
        <f t="shared" si="22"/>
        <v>2004</v>
      </c>
      <c r="EH290" s="495" t="str">
        <f>EH$5</f>
        <v>% Chg</v>
      </c>
      <c r="EI290" s="494" t="str">
        <f t="shared" si="22"/>
        <v>2005</v>
      </c>
      <c r="EJ290" s="496" t="str">
        <f>EJ$5</f>
        <v>% Chg</v>
      </c>
      <c r="EK290" s="494" t="str">
        <f t="shared" si="22"/>
        <v>2006</v>
      </c>
      <c r="EL290" s="496" t="str">
        <f>EL$5</f>
        <v>% Chg</v>
      </c>
      <c r="EM290" s="494">
        <f t="shared" si="22"/>
        <v>2007</v>
      </c>
      <c r="EN290" s="496" t="str">
        <f>EN$5</f>
        <v>% Chg</v>
      </c>
      <c r="EO290" s="494" t="str">
        <f t="shared" si="22"/>
        <v>2008</v>
      </c>
      <c r="EP290" s="496" t="str">
        <f>EP$5</f>
        <v>% Chg</v>
      </c>
      <c r="EQ290" s="494" t="str">
        <f t="shared" si="22"/>
        <v>2009</v>
      </c>
      <c r="ER290" s="496" t="str">
        <f>ER$5</f>
        <v>% Chg</v>
      </c>
      <c r="ES290" s="494" t="str">
        <f t="shared" si="22"/>
        <v>2010</v>
      </c>
      <c r="ET290" s="496" t="str">
        <f>ET$5</f>
        <v>% Chg</v>
      </c>
      <c r="EU290" s="494" t="str">
        <f t="shared" si="22"/>
        <v>2011</v>
      </c>
      <c r="EV290" s="496" t="str">
        <f>EV$5</f>
        <v>% Chg</v>
      </c>
      <c r="EW290" s="494" t="str">
        <f t="shared" si="22"/>
        <v>2012</v>
      </c>
      <c r="EX290" s="496" t="str">
        <f>EX$5</f>
        <v>% Chg</v>
      </c>
      <c r="EY290" s="494" t="str">
        <f t="shared" si="22"/>
        <v>2013</v>
      </c>
      <c r="EZ290" s="496" t="str">
        <f>EZ$5</f>
        <v>% Chg</v>
      </c>
      <c r="FA290" s="494">
        <f t="shared" si="22"/>
        <v>2014</v>
      </c>
      <c r="FB290" s="496" t="str">
        <f>FB$5</f>
        <v>% Chg</v>
      </c>
      <c r="FC290" s="494" t="str">
        <f t="shared" si="22"/>
        <v>2015</v>
      </c>
      <c r="FD290" s="496" t="str">
        <f>FD$5</f>
        <v>% Chg</v>
      </c>
      <c r="FE290" s="494">
        <f t="shared" si="22"/>
        <v>2016</v>
      </c>
      <c r="FF290" s="496" t="str">
        <f>FF$5</f>
        <v>% Chg</v>
      </c>
      <c r="FG290" s="494">
        <f t="shared" si="22"/>
        <v>2017</v>
      </c>
      <c r="FH290" s="496" t="str">
        <f>FH$5</f>
        <v>% Chg</v>
      </c>
      <c r="FI290" s="494" t="str">
        <f t="shared" si="22"/>
        <v>2018E</v>
      </c>
      <c r="FJ290" s="496" t="str">
        <f>FJ$5</f>
        <v>% Chg</v>
      </c>
      <c r="FK290" s="494" t="str">
        <f t="shared" si="22"/>
        <v>2019E</v>
      </c>
      <c r="FL290" s="496" t="str">
        <f>FL$5</f>
        <v>% Chg</v>
      </c>
      <c r="FM290" s="494" t="str">
        <f t="shared" si="22"/>
        <v>2020E</v>
      </c>
      <c r="FN290" s="496" t="str">
        <f>FN$5</f>
        <v>% Chg</v>
      </c>
      <c r="FO290" s="494" t="str">
        <f t="shared" si="22"/>
        <v>2021E</v>
      </c>
      <c r="FP290" s="496" t="str">
        <f>FP$5</f>
        <v>% Chg</v>
      </c>
      <c r="FQ290" s="494" t="str">
        <f t="shared" si="22"/>
        <v>2022E</v>
      </c>
      <c r="FR290" s="496" t="str">
        <f>FR$5</f>
        <v>% Chg</v>
      </c>
      <c r="FS290" s="496" t="str">
        <f>FS$5</f>
        <v>(%)</v>
      </c>
      <c r="FT290" s="349"/>
    </row>
    <row r="291" spans="1:176" ht="12.75" hidden="1" customHeight="1" outlineLevel="1" x14ac:dyDescent="0.2">
      <c r="A291" s="70"/>
      <c r="B291" s="497"/>
      <c r="C291" s="155"/>
      <c r="D291" s="497"/>
      <c r="E291" s="155"/>
      <c r="F291" s="497"/>
      <c r="G291" s="155"/>
      <c r="H291" s="497"/>
      <c r="I291" s="155"/>
      <c r="J291" s="497"/>
      <c r="K291" s="155"/>
      <c r="L291" s="497"/>
      <c r="M291" s="155"/>
      <c r="N291" s="497"/>
      <c r="O291" s="155"/>
      <c r="P291" s="497"/>
      <c r="Q291" s="155"/>
      <c r="R291" s="497"/>
      <c r="S291" s="155"/>
      <c r="T291" s="497"/>
      <c r="U291" s="155"/>
      <c r="V291" s="497"/>
      <c r="W291" s="155"/>
      <c r="X291" s="497"/>
      <c r="Y291" s="155"/>
      <c r="Z291" s="497"/>
      <c r="AA291" s="155"/>
      <c r="AB291" s="497"/>
      <c r="AC291" s="155"/>
      <c r="AD291" s="497"/>
      <c r="AE291" s="155"/>
      <c r="AF291" s="497"/>
      <c r="AG291" s="155"/>
      <c r="AH291" s="497"/>
      <c r="AI291" s="240"/>
      <c r="AJ291" s="497"/>
      <c r="AK291" s="240"/>
      <c r="AL291" s="497"/>
      <c r="AM291" s="240"/>
      <c r="AN291" s="497"/>
      <c r="AO291" s="240"/>
      <c r="AP291" s="497"/>
      <c r="AQ291" s="240"/>
      <c r="AR291" s="497"/>
      <c r="AS291" s="240"/>
      <c r="AT291" s="497"/>
      <c r="AU291" s="240"/>
      <c r="AV291" s="497"/>
      <c r="AW291" s="240"/>
      <c r="AX291" s="497"/>
      <c r="AY291" s="240"/>
      <c r="AZ291" s="497"/>
      <c r="BA291" s="240"/>
      <c r="BB291" s="497"/>
      <c r="BC291" s="240"/>
      <c r="BD291" s="497"/>
      <c r="BE291" s="240"/>
      <c r="BF291" s="497"/>
      <c r="BG291" s="240"/>
      <c r="BH291" s="497"/>
      <c r="BI291" s="240"/>
      <c r="BJ291" s="497"/>
      <c r="BK291" s="240"/>
      <c r="BL291" s="497"/>
      <c r="BM291" s="240"/>
      <c r="BN291" s="497"/>
      <c r="BO291" s="240"/>
      <c r="BP291" s="497"/>
      <c r="BQ291" s="240"/>
      <c r="BR291" s="497"/>
      <c r="BS291" s="240"/>
      <c r="BT291" s="497"/>
      <c r="BU291" s="240"/>
      <c r="BV291" s="497"/>
      <c r="BW291" s="240"/>
      <c r="BX291" s="497"/>
      <c r="BY291" s="240"/>
      <c r="BZ291" s="497"/>
      <c r="CA291" s="240"/>
      <c r="CB291" s="497"/>
      <c r="CC291" s="240"/>
      <c r="CD291" s="497"/>
      <c r="CE291" s="240"/>
      <c r="CF291" s="497"/>
      <c r="CG291" s="240"/>
      <c r="CH291" s="497"/>
      <c r="CI291" s="240"/>
      <c r="CJ291" s="497"/>
      <c r="CK291" s="240"/>
      <c r="CL291" s="497"/>
      <c r="CM291" s="240"/>
      <c r="CN291" s="497"/>
      <c r="CO291" s="240"/>
      <c r="CP291" s="497"/>
      <c r="CQ291" s="240"/>
      <c r="CR291" s="497"/>
      <c r="CS291" s="240"/>
      <c r="CT291" s="497"/>
      <c r="CU291" s="240"/>
      <c r="CV291" s="497"/>
      <c r="CW291" s="240"/>
      <c r="CX291" s="497"/>
      <c r="CY291" s="240"/>
      <c r="CZ291" s="497"/>
      <c r="DA291" s="240"/>
      <c r="DB291" s="497"/>
      <c r="DC291" s="240"/>
      <c r="DD291" s="497"/>
      <c r="DE291" s="240"/>
      <c r="DF291" s="497"/>
      <c r="DG291" s="240"/>
      <c r="DH291" s="497"/>
      <c r="DI291" s="240"/>
      <c r="DJ291" s="497"/>
      <c r="DK291" s="240"/>
      <c r="DL291" s="497"/>
      <c r="DM291" s="240"/>
      <c r="DN291" s="497"/>
      <c r="DO291" s="240"/>
      <c r="DP291" s="497"/>
      <c r="DQ291" s="240"/>
      <c r="DR291" s="497"/>
      <c r="DS291" s="240"/>
      <c r="DT291" s="497"/>
      <c r="DU291" s="240"/>
      <c r="DV291" s="497"/>
      <c r="DW291" s="240"/>
      <c r="DX291" s="497"/>
      <c r="DY291" s="240"/>
      <c r="DZ291" s="497"/>
      <c r="EA291" s="240"/>
      <c r="EB291" s="155"/>
      <c r="EC291" s="497"/>
      <c r="ED291" s="155"/>
      <c r="EE291" s="497"/>
      <c r="EF291" s="155"/>
      <c r="EG291" s="497"/>
      <c r="EH291" s="155"/>
      <c r="EI291" s="497"/>
      <c r="EJ291" s="240"/>
      <c r="EK291" s="497"/>
      <c r="EL291" s="240"/>
      <c r="EM291" s="497"/>
      <c r="EN291" s="240"/>
      <c r="EO291" s="497"/>
      <c r="EP291" s="240"/>
      <c r="EQ291" s="497"/>
      <c r="ER291" s="240"/>
      <c r="ES291" s="497"/>
      <c r="ET291" s="240"/>
      <c r="EU291" s="497"/>
      <c r="EV291" s="240"/>
      <c r="EW291" s="497"/>
      <c r="EX291" s="240"/>
      <c r="EY291" s="497"/>
      <c r="EZ291" s="240"/>
      <c r="FA291" s="497"/>
      <c r="FB291" s="240"/>
      <c r="FC291" s="497"/>
      <c r="FD291" s="240"/>
      <c r="FE291" s="497"/>
      <c r="FF291" s="240"/>
      <c r="FG291" s="497"/>
      <c r="FH291" s="240"/>
      <c r="FI291" s="497"/>
      <c r="FJ291" s="240"/>
      <c r="FK291" s="497"/>
      <c r="FL291" s="240"/>
      <c r="FM291" s="497"/>
      <c r="FN291" s="240"/>
      <c r="FO291" s="497"/>
      <c r="FP291" s="240"/>
      <c r="FQ291" s="497"/>
      <c r="FR291" s="240"/>
      <c r="FS291" s="240"/>
    </row>
    <row r="292" spans="1:176" ht="12.75" hidden="1" customHeight="1" outlineLevel="1" x14ac:dyDescent="0.2">
      <c r="A292" s="70" t="s">
        <v>128</v>
      </c>
      <c r="B292" s="75"/>
      <c r="C292" s="155"/>
      <c r="D292" s="75"/>
      <c r="E292" s="155"/>
      <c r="F292" s="75"/>
      <c r="G292" s="155"/>
      <c r="H292" s="75"/>
      <c r="I292" s="155"/>
      <c r="J292" s="75"/>
      <c r="K292" s="155"/>
      <c r="L292" s="75"/>
      <c r="M292" s="155"/>
      <c r="N292" s="75"/>
      <c r="O292" s="155"/>
      <c r="P292" s="75"/>
      <c r="Q292" s="155"/>
      <c r="R292" s="75"/>
      <c r="S292" s="155"/>
      <c r="T292" s="75"/>
      <c r="U292" s="155"/>
      <c r="V292" s="75"/>
      <c r="W292" s="155"/>
      <c r="X292" s="75"/>
      <c r="Y292" s="155"/>
      <c r="Z292" s="75"/>
      <c r="AA292" s="155"/>
      <c r="AB292" s="75"/>
      <c r="AC292" s="155"/>
      <c r="AD292" s="75"/>
      <c r="AE292" s="155"/>
      <c r="AF292" s="75"/>
      <c r="AG292" s="155"/>
      <c r="AH292" s="75"/>
      <c r="AI292" s="240"/>
      <c r="AJ292" s="75"/>
      <c r="AK292" s="240"/>
      <c r="AL292" s="75"/>
      <c r="AM292" s="240"/>
      <c r="AN292" s="75"/>
      <c r="AO292" s="240"/>
      <c r="AP292" s="75"/>
      <c r="AQ292" s="240"/>
      <c r="AR292" s="75"/>
      <c r="AS292" s="240"/>
      <c r="AT292" s="75"/>
      <c r="AU292" s="240"/>
      <c r="AV292" s="75"/>
      <c r="AW292" s="240"/>
      <c r="AX292" s="75"/>
      <c r="AY292" s="240"/>
      <c r="AZ292" s="75"/>
      <c r="BA292" s="240"/>
      <c r="BB292" s="75"/>
      <c r="BC292" s="240"/>
      <c r="BD292" s="75"/>
      <c r="BE292" s="240"/>
      <c r="BF292" s="75"/>
      <c r="BG292" s="240"/>
      <c r="BH292" s="75"/>
      <c r="BI292" s="240"/>
      <c r="BJ292" s="75"/>
      <c r="BK292" s="240"/>
      <c r="BL292" s="75"/>
      <c r="BM292" s="240"/>
      <c r="BN292" s="75"/>
      <c r="BO292" s="240"/>
      <c r="BP292" s="75"/>
      <c r="BQ292" s="240"/>
      <c r="BR292" s="75"/>
      <c r="BS292" s="240"/>
      <c r="BT292" s="75"/>
      <c r="BU292" s="240"/>
      <c r="BV292" s="75"/>
      <c r="BW292" s="240"/>
      <c r="BX292" s="75"/>
      <c r="BY292" s="240"/>
      <c r="BZ292" s="75"/>
      <c r="CA292" s="240"/>
      <c r="CB292" s="75"/>
      <c r="CC292" s="240"/>
      <c r="CD292" s="75"/>
      <c r="CE292" s="240"/>
      <c r="CF292" s="75"/>
      <c r="CG292" s="240"/>
      <c r="CH292" s="75"/>
      <c r="CI292" s="240"/>
      <c r="CJ292" s="75"/>
      <c r="CK292" s="240"/>
      <c r="CL292" s="75"/>
      <c r="CM292" s="240"/>
      <c r="CN292" s="75"/>
      <c r="CO292" s="240"/>
      <c r="CP292" s="75"/>
      <c r="CQ292" s="240"/>
      <c r="CR292" s="75"/>
      <c r="CS292" s="240"/>
      <c r="CT292" s="75"/>
      <c r="CU292" s="240"/>
      <c r="CV292" s="75"/>
      <c r="CW292" s="240"/>
      <c r="CX292" s="75"/>
      <c r="CY292" s="240"/>
      <c r="CZ292" s="75"/>
      <c r="DA292" s="240"/>
      <c r="DB292" s="75"/>
      <c r="DC292" s="240"/>
      <c r="DD292" s="75"/>
      <c r="DE292" s="240"/>
      <c r="DF292" s="75"/>
      <c r="DG292" s="240"/>
      <c r="DH292" s="75"/>
      <c r="DI292" s="240"/>
      <c r="DJ292" s="75"/>
      <c r="DK292" s="240"/>
      <c r="DL292" s="75"/>
      <c r="DM292" s="240"/>
      <c r="DN292" s="75"/>
      <c r="DO292" s="240"/>
      <c r="DP292" s="75"/>
      <c r="DQ292" s="240"/>
      <c r="DR292" s="75"/>
      <c r="DS292" s="240"/>
      <c r="DT292" s="75"/>
      <c r="DU292" s="240"/>
      <c r="DV292" s="75"/>
      <c r="DW292" s="240"/>
      <c r="DX292" s="75"/>
      <c r="DY292" s="240"/>
      <c r="DZ292" s="75"/>
      <c r="EA292" s="240"/>
      <c r="EB292" s="155"/>
      <c r="EC292" s="75"/>
      <c r="ED292" s="155"/>
      <c r="EE292" s="75"/>
      <c r="EF292" s="155"/>
      <c r="EG292" s="75"/>
      <c r="EH292" s="155"/>
      <c r="EI292" s="75"/>
      <c r="EJ292" s="240"/>
      <c r="EK292" s="75"/>
      <c r="EL292" s="240"/>
      <c r="EM292" s="75"/>
      <c r="EN292" s="240"/>
      <c r="EO292" s="75"/>
      <c r="EP292" s="240"/>
      <c r="EQ292" s="75"/>
      <c r="ER292" s="240"/>
      <c r="ES292" s="75"/>
      <c r="ET292" s="240"/>
      <c r="EU292" s="75"/>
      <c r="EV292" s="240"/>
      <c r="EW292" s="75"/>
      <c r="EX292" s="240"/>
      <c r="EY292" s="75"/>
      <c r="EZ292" s="240"/>
      <c r="FA292" s="75"/>
      <c r="FB292" s="240"/>
      <c r="FC292" s="75"/>
      <c r="FD292" s="240"/>
      <c r="FE292" s="75"/>
      <c r="FF292" s="240"/>
      <c r="FG292" s="75"/>
      <c r="FH292" s="240"/>
      <c r="FI292" s="75"/>
      <c r="FJ292" s="240"/>
      <c r="FK292" s="75"/>
      <c r="FL292" s="240"/>
      <c r="FM292" s="75"/>
      <c r="FN292" s="240"/>
      <c r="FO292" s="75"/>
      <c r="FP292" s="240"/>
      <c r="FQ292" s="75"/>
      <c r="FR292" s="240"/>
      <c r="FS292" s="240"/>
    </row>
    <row r="293" spans="1:176" ht="12.75" hidden="1" customHeight="1" outlineLevel="1" x14ac:dyDescent="0.2">
      <c r="A293" s="77" t="str">
        <f>+INPUT!B301</f>
        <v>Net Investment Income</v>
      </c>
      <c r="B293" s="75">
        <f>+INPUT!AA301</f>
        <v>12</v>
      </c>
      <c r="C293" s="155">
        <f>+INPUT!AB301</f>
        <v>-20</v>
      </c>
      <c r="D293" s="75">
        <f>+INPUT!AC301</f>
        <v>13</v>
      </c>
      <c r="E293" s="155">
        <f>+INPUT!AD301</f>
        <v>0</v>
      </c>
      <c r="F293" s="75">
        <f>+INPUT!AE301</f>
        <v>18</v>
      </c>
      <c r="G293" s="155">
        <f>+INPUT!AF301</f>
        <v>5.8823529411764781</v>
      </c>
      <c r="H293" s="75">
        <f>+INPUT!AG301</f>
        <v>13</v>
      </c>
      <c r="I293" s="155">
        <f>+INPUT!AH301</f>
        <v>-13.333333333333329</v>
      </c>
      <c r="J293" s="75">
        <f>+INPUT!AI301</f>
        <v>22</v>
      </c>
      <c r="K293" s="155">
        <f>+INPUT!AJ301</f>
        <v>83.333333333333314</v>
      </c>
      <c r="L293" s="75">
        <f>+INPUT!AK301</f>
        <v>23</v>
      </c>
      <c r="M293" s="155">
        <f>+INPUT!AL301</f>
        <v>76.923076923076906</v>
      </c>
      <c r="N293" s="75">
        <f>+INPUT!AM301</f>
        <v>9</v>
      </c>
      <c r="O293" s="155">
        <f>+INPUT!AN301</f>
        <v>-50</v>
      </c>
      <c r="P293" s="75">
        <f>+INPUT!AO301</f>
        <v>33</v>
      </c>
      <c r="Q293" s="155" t="str">
        <f>+INPUT!AP301</f>
        <v>NM</v>
      </c>
      <c r="R293" s="75">
        <f>+INPUT!AQ301</f>
        <v>27</v>
      </c>
      <c r="S293" s="155">
        <f>+INPUT!AR301</f>
        <v>22.727272727272734</v>
      </c>
      <c r="T293" s="75">
        <f>+INPUT!AS301</f>
        <v>15</v>
      </c>
      <c r="U293" s="155">
        <f>+INPUT!AT301</f>
        <v>-34.782608695652172</v>
      </c>
      <c r="V293" s="75">
        <f>+INPUT!AU301</f>
        <v>33</v>
      </c>
      <c r="W293" s="155" t="str">
        <f>+INPUT!AV301</f>
        <v>NM</v>
      </c>
      <c r="X293" s="75">
        <f>+INPUT!AW301</f>
        <v>30</v>
      </c>
      <c r="Y293" s="155">
        <f>+INPUT!AX301</f>
        <v>-9.0909090909090935</v>
      </c>
      <c r="Z293" s="75">
        <f>+INPUT!AY301</f>
        <v>39</v>
      </c>
      <c r="AA293" s="155">
        <f>+INPUT!AZ301</f>
        <v>44.444444444444429</v>
      </c>
      <c r="AB293" s="75">
        <f>+INPUT!BA301</f>
        <v>37</v>
      </c>
      <c r="AC293" s="155" t="str">
        <f>+INPUT!BB301</f>
        <v>NM</v>
      </c>
      <c r="AD293" s="75">
        <f>+INPUT!BC301</f>
        <v>48</v>
      </c>
      <c r="AE293" s="155">
        <f>+INPUT!BD301</f>
        <v>45.454545454545467</v>
      </c>
      <c r="AF293" s="75">
        <f>+INPUT!BE301</f>
        <v>46</v>
      </c>
      <c r="AG293" s="155">
        <f>+INPUT!BF301</f>
        <v>53.333333333333343</v>
      </c>
      <c r="AH293" s="75">
        <f>+INPUT!BG301</f>
        <v>40</v>
      </c>
      <c r="AI293" s="240">
        <f>+INPUT!BH301</f>
        <v>2.564102564102555</v>
      </c>
      <c r="AJ293" s="75">
        <f>+INPUT!BI301</f>
        <v>62</v>
      </c>
      <c r="AK293" s="240">
        <f>+INPUT!BJ301</f>
        <v>67.567567567567579</v>
      </c>
      <c r="AL293" s="75">
        <f>+INPUT!BK301</f>
        <v>44</v>
      </c>
      <c r="AM293" s="240">
        <f>+INPUT!BL301</f>
        <v>-8.3333333333333428</v>
      </c>
      <c r="AN293" s="75">
        <f>+INPUT!BM301</f>
        <v>70</v>
      </c>
      <c r="AO293" s="240">
        <f>+INPUT!BN301</f>
        <v>52.173913043478279</v>
      </c>
      <c r="AP293" s="75">
        <f>+INPUT!BO301</f>
        <v>71</v>
      </c>
      <c r="AQ293" s="240">
        <f>+INPUT!BP301</f>
        <v>77.5</v>
      </c>
      <c r="AR293" s="75">
        <f>+INPUT!BQ301</f>
        <v>96</v>
      </c>
      <c r="AS293" s="240">
        <f>+INPUT!BR301</f>
        <v>54.838709677419359</v>
      </c>
      <c r="AT293" s="75">
        <f>+INPUT!BS301</f>
        <v>-15</v>
      </c>
      <c r="AU293" s="240" t="str">
        <f>+INPUT!BT301</f>
        <v>NM</v>
      </c>
      <c r="AV293" s="75">
        <f>+INPUT!BU301</f>
        <v>-67</v>
      </c>
      <c r="AW293" s="240" t="str">
        <f>+INPUT!BV301</f>
        <v>NM</v>
      </c>
      <c r="AX293" s="75">
        <f>+INPUT!BW301</f>
        <v>11</v>
      </c>
      <c r="AY293" s="240" t="str">
        <f>+INPUT!BX301</f>
        <v>NM</v>
      </c>
      <c r="AZ293" s="75">
        <f>+INPUT!BY301</f>
        <v>32</v>
      </c>
      <c r="BA293" s="240" t="str">
        <f>+INPUT!BZ301</f>
        <v>NM</v>
      </c>
      <c r="BB293" s="75">
        <f>+INPUT!CA301</f>
        <v>13</v>
      </c>
      <c r="BC293" s="240" t="str">
        <f>+INPUT!CB301</f>
        <v>NM</v>
      </c>
      <c r="BD293" s="75">
        <f>+INPUT!CC301</f>
        <v>34</v>
      </c>
      <c r="BE293" s="240" t="str">
        <f>+INPUT!CD301</f>
        <v>NM</v>
      </c>
      <c r="BF293" s="75">
        <f>+INPUT!CE301</f>
        <v>24</v>
      </c>
      <c r="BG293" s="240" t="str">
        <f>+INPUT!CF301</f>
        <v>NM</v>
      </c>
      <c r="BH293" s="75">
        <f>+INPUT!CG301</f>
        <v>29</v>
      </c>
      <c r="BI293" s="240">
        <f>+INPUT!CH301</f>
        <v>-9.375</v>
      </c>
      <c r="BJ293" s="75">
        <f>+INPUT!CI301</f>
        <v>31</v>
      </c>
      <c r="BK293" s="240" t="str">
        <f>+INPUT!CJ301</f>
        <v>NM</v>
      </c>
      <c r="BL293" s="75">
        <f>+INPUT!CK301</f>
        <v>37</v>
      </c>
      <c r="BM293" s="240">
        <f>+INPUT!CL301</f>
        <v>8.8235294117646959</v>
      </c>
      <c r="BN293" s="75">
        <f>+INPUT!CM301</f>
        <v>38</v>
      </c>
      <c r="BO293" s="240">
        <f>+INPUT!CN301</f>
        <v>58.333333333333314</v>
      </c>
      <c r="BP293" s="75">
        <f>+INPUT!CO301</f>
        <v>32</v>
      </c>
      <c r="BQ293" s="240">
        <f>+INPUT!CP301</f>
        <v>10.34482758620689</v>
      </c>
      <c r="BR293" s="75">
        <f>+INPUT!CQ301</f>
        <v>18</v>
      </c>
      <c r="BS293" s="240">
        <f>+INPUT!CR301</f>
        <v>-41.935483870967737</v>
      </c>
      <c r="BT293" s="75">
        <f>+INPUT!CS301</f>
        <v>32</v>
      </c>
      <c r="BU293" s="240">
        <f>+INPUT!CT301</f>
        <v>-13.513513513513516</v>
      </c>
      <c r="BV293" s="75">
        <f>+INPUT!CU301</f>
        <v>23</v>
      </c>
      <c r="BW293" s="240">
        <f>+INPUT!CV301</f>
        <v>-39.473684210526315</v>
      </c>
      <c r="BX293" s="75">
        <f>+INPUT!CW301</f>
        <v>15</v>
      </c>
      <c r="BY293" s="240" t="str">
        <f>+INPUT!CX301</f>
        <v>NM</v>
      </c>
      <c r="BZ293" s="75">
        <f>+INPUT!CY301</f>
        <v>38</v>
      </c>
      <c r="CA293" s="240" t="str">
        <f>+INPUT!CZ301</f>
        <v>NM</v>
      </c>
      <c r="CB293" s="75">
        <f>+INPUT!DA301</f>
        <v>31</v>
      </c>
      <c r="CC293" s="240">
        <f>+INPUT!DB301</f>
        <v>-3.125</v>
      </c>
      <c r="CD293" s="75">
        <f>+INPUT!DC301</f>
        <v>18</v>
      </c>
      <c r="CE293" s="240">
        <f>+INPUT!DD301</f>
        <v>-21.739130434782609</v>
      </c>
      <c r="CF293" s="75">
        <f>+INPUT!DE301</f>
        <v>20</v>
      </c>
      <c r="CG293" s="240">
        <f>+INPUT!DF301</f>
        <v>33.333333333333314</v>
      </c>
      <c r="CH293" s="75">
        <f>+INPUT!DG301</f>
        <v>22</v>
      </c>
      <c r="CI293" s="240">
        <f>+INPUT!DH301</f>
        <v>-42.105263157894733</v>
      </c>
      <c r="CJ293" s="75">
        <f>+INPUT!DI301</f>
        <v>27</v>
      </c>
      <c r="CK293" s="240">
        <f>+INPUT!DJ301</f>
        <v>-12.903225806451616</v>
      </c>
      <c r="CL293" s="75">
        <f>+INPUT!DK301</f>
        <v>24</v>
      </c>
      <c r="CM293" s="240">
        <f>+INPUT!DL301</f>
        <v>33.333333333333314</v>
      </c>
      <c r="CN293" s="75">
        <f>+INPUT!DM301</f>
        <v>21</v>
      </c>
      <c r="CO293" s="240">
        <f>+INPUT!DN301</f>
        <v>5</v>
      </c>
      <c r="CP293" s="75">
        <f>+INPUT!DO301</f>
        <v>43</v>
      </c>
      <c r="CQ293" s="240">
        <f>+INPUT!DP301</f>
        <v>95.454545454545467</v>
      </c>
      <c r="CR293" s="75">
        <f>+INPUT!DQ301</f>
        <v>32</v>
      </c>
      <c r="CS293" s="240">
        <f>+INPUT!DR301</f>
        <v>18.518518518518505</v>
      </c>
      <c r="CT293" s="75">
        <f>+INPUT!DS301</f>
        <v>25</v>
      </c>
      <c r="CU293" s="240">
        <f>+INPUT!DT301</f>
        <v>4.1666666666666714</v>
      </c>
      <c r="CV293" s="75">
        <f>+INPUT!DU301</f>
        <v>36</v>
      </c>
      <c r="CW293" s="240">
        <f>+INPUT!DV301</f>
        <v>71.428571428571416</v>
      </c>
      <c r="CX293" s="75">
        <f>+INPUT!DW301</f>
        <v>20</v>
      </c>
      <c r="CY293" s="240" t="str">
        <f>+INPUT!DX301</f>
        <v>NM</v>
      </c>
      <c r="CZ293" s="75">
        <f>+INPUT!DY301</f>
        <v>30</v>
      </c>
      <c r="DA293" s="240">
        <f>+INPUT!DZ301</f>
        <v>-6.25</v>
      </c>
      <c r="DB293" s="75">
        <f>+INPUT!EA301</f>
        <v>18</v>
      </c>
      <c r="DC293" s="240">
        <f>+INPUT!EB301</f>
        <v>-28</v>
      </c>
      <c r="DD293" s="75">
        <f>+INPUT!EC301</f>
        <v>23</v>
      </c>
      <c r="DE293" s="240">
        <f>+INPUT!ED301</f>
        <v>-36.111111111111114</v>
      </c>
      <c r="DF293" s="75">
        <f>+INPUT!EE301</f>
        <v>19</v>
      </c>
      <c r="DG293" s="240">
        <f>+INPUT!EF301</f>
        <v>-5</v>
      </c>
      <c r="DH293" s="75">
        <f>+INPUT!EG301</f>
        <v>20</v>
      </c>
      <c r="DI293" s="240">
        <f>+INPUT!EH301</f>
        <v>-33.333333333333343</v>
      </c>
      <c r="DJ293" s="75">
        <f>+INPUT!EI301</f>
        <v>32</v>
      </c>
      <c r="DK293" s="240">
        <f>+INPUT!EJ301</f>
        <v>77.777777777777771</v>
      </c>
      <c r="DL293" s="75">
        <f>+INPUT!EK301</f>
        <v>37</v>
      </c>
      <c r="DM293" s="240">
        <f>+INPUT!EL301</f>
        <v>60.869565217391312</v>
      </c>
      <c r="DN293" s="75">
        <f>+INPUT!EM301</f>
        <v>55</v>
      </c>
      <c r="DO293" s="240" t="str">
        <f>+INPUT!EN301</f>
        <v>NM</v>
      </c>
      <c r="DP293" s="75">
        <f>+INPUT!EO301</f>
        <v>46</v>
      </c>
      <c r="DQ293" s="240" t="str">
        <f>+INPUT!EP301</f>
        <v>NM</v>
      </c>
      <c r="DR293" s="75">
        <f>+INPUT!EQ301</f>
        <v>46.23</v>
      </c>
      <c r="DS293" s="240">
        <f>+INPUT!ER301</f>
        <v>44.46875</v>
      </c>
      <c r="DT293" s="75">
        <f>+INPUT!ES301</f>
        <v>46.461149999999989</v>
      </c>
      <c r="DU293" s="240">
        <f>+INPUT!ET301</f>
        <v>25.570675675675631</v>
      </c>
      <c r="DV293" s="75">
        <f>+INPUT!EU301</f>
        <v>46.693455749999984</v>
      </c>
      <c r="DW293" s="240">
        <f>+INPUT!EV301</f>
        <v>-15.102807727272761</v>
      </c>
      <c r="DX293" s="75">
        <f>+INPUT!EW301</f>
        <v>46.926923028749982</v>
      </c>
      <c r="DY293" s="240">
        <f>+INPUT!EX301</f>
        <v>2.0150500624999523</v>
      </c>
      <c r="DZ293" s="75"/>
      <c r="EA293" s="240"/>
      <c r="EB293" s="155">
        <f>+INPUT!FI301</f>
        <v>50</v>
      </c>
      <c r="EC293" s="75">
        <f>+INPUT!FJ301</f>
        <v>60</v>
      </c>
      <c r="ED293" s="155">
        <f>+INPUT!FK301</f>
        <v>-31.034482758620683</v>
      </c>
      <c r="EE293" s="75">
        <f>+INPUT!FL301</f>
        <v>56</v>
      </c>
      <c r="EF293" s="155">
        <f>+INPUT!FM301</f>
        <v>-6.6666666666666714</v>
      </c>
      <c r="EG293" s="75">
        <f>+INPUT!FN301</f>
        <v>87</v>
      </c>
      <c r="EH293" s="155">
        <f>+INPUT!FO301</f>
        <v>55.357142857142861</v>
      </c>
      <c r="EI293" s="75">
        <f>+INPUT!FP301</f>
        <v>105</v>
      </c>
      <c r="EJ293" s="240">
        <f>+INPUT!FQ301</f>
        <v>20.689655172413794</v>
      </c>
      <c r="EK293" s="75">
        <f>+INPUT!FR301</f>
        <v>170</v>
      </c>
      <c r="EL293" s="240">
        <f>+INPUT!FS301</f>
        <v>61.904761904761898</v>
      </c>
      <c r="EM293" s="75">
        <f>+INPUT!FT301</f>
        <v>216</v>
      </c>
      <c r="EN293" s="240">
        <f>+INPUT!FU301</f>
        <v>27.058823529411754</v>
      </c>
      <c r="EO293" s="75">
        <f>+INPUT!FV301</f>
        <v>85</v>
      </c>
      <c r="EP293" s="240" t="str">
        <f>+INPUT!FW301</f>
        <v>NM</v>
      </c>
      <c r="EQ293" s="75">
        <f>+INPUT!FX301</f>
        <v>90</v>
      </c>
      <c r="ER293" s="240">
        <f>+INPUT!FY301</f>
        <v>5.8823529411764781</v>
      </c>
      <c r="ES293" s="75">
        <f>+INPUT!FZ301</f>
        <v>121</v>
      </c>
      <c r="ET293" s="240">
        <f>+INPUT!GA301</f>
        <v>34.444444444444457</v>
      </c>
      <c r="EU293" s="75">
        <f>+INPUT!GB301</f>
        <v>120</v>
      </c>
      <c r="EV293" s="240">
        <f>+INPUT!GC301</f>
        <v>-0.8264462809917319</v>
      </c>
      <c r="EW293" s="75">
        <f>+INPUT!GD301</f>
        <v>107</v>
      </c>
      <c r="EX293" s="240">
        <f>+INPUT!GE301</f>
        <v>-10.833333333333329</v>
      </c>
      <c r="EY293" s="75">
        <f>+INPUT!GF301</f>
        <v>87</v>
      </c>
      <c r="EZ293" s="240">
        <f>+INPUT!GG301</f>
        <v>-18.691588785046733</v>
      </c>
      <c r="FA293" s="75">
        <f>+INPUT!GH301</f>
        <v>120</v>
      </c>
      <c r="FB293" s="240">
        <f>+INPUT!GI301</f>
        <v>37.931034482758633</v>
      </c>
      <c r="FC293" s="75">
        <f>+INPUT!GJ301</f>
        <v>111</v>
      </c>
      <c r="FD293" s="240">
        <f>+INPUT!GK301</f>
        <v>-7.5</v>
      </c>
      <c r="FE293" s="75">
        <f>+INPUT!GL301</f>
        <v>80</v>
      </c>
      <c r="FF293" s="240">
        <f>+INPUT!GM301</f>
        <v>-27.927927927927925</v>
      </c>
      <c r="FG293" s="75">
        <f>+INPUT!GN301</f>
        <v>170</v>
      </c>
      <c r="FH293" s="240" t="str">
        <f>+INPUT!GO301</f>
        <v>NM</v>
      </c>
      <c r="FI293" s="75">
        <f>+INPUT!GP301</f>
        <v>186.31152877874996</v>
      </c>
      <c r="FJ293" s="240">
        <f>+INPUT!GQ301</f>
        <v>9.5950169286764435</v>
      </c>
      <c r="FK293" s="75">
        <f>+INPUT!GR301</f>
        <v>195.62710521768747</v>
      </c>
      <c r="FL293" s="240">
        <f>+INPUT!GS301</f>
        <v>5</v>
      </c>
      <c r="FM293" s="75">
        <f>+INPUT!GT301</f>
        <v>205.40846047857187</v>
      </c>
      <c r="FN293" s="240">
        <f>+INPUT!GU301</f>
        <v>5</v>
      </c>
      <c r="FO293" s="75">
        <f>+INPUT!GV301</f>
        <v>215.67888350250047</v>
      </c>
      <c r="FP293" s="240">
        <f>+INPUT!GW301</f>
        <v>5</v>
      </c>
      <c r="FQ293" s="75">
        <f>+INPUT!GX301</f>
        <v>226.46282767762551</v>
      </c>
      <c r="FR293" s="240">
        <f>+INPUT!GY301</f>
        <v>5</v>
      </c>
      <c r="FS293" s="240">
        <f>+INPUT!GZ301</f>
        <v>5.9033262673358067</v>
      </c>
    </row>
    <row r="294" spans="1:176" ht="12.75" hidden="1" customHeight="1" outlineLevel="1" x14ac:dyDescent="0.2">
      <c r="A294" s="77" t="str">
        <f>+INPUT!B302</f>
        <v>Commissions, Fees and Other Income</v>
      </c>
      <c r="B294" s="75">
        <f>+INPUT!AA302</f>
        <v>293</v>
      </c>
      <c r="C294" s="155">
        <f>+INPUT!AB302</f>
        <v>-11.48036253776435</v>
      </c>
      <c r="D294" s="75">
        <f>+INPUT!AC302</f>
        <v>322</v>
      </c>
      <c r="E294" s="155">
        <f>+INPUT!AD302</f>
        <v>-0.61728395061729202</v>
      </c>
      <c r="F294" s="75">
        <f>+INPUT!AE302</f>
        <v>324</v>
      </c>
      <c r="G294" s="155">
        <f>+INPUT!AF302</f>
        <v>8</v>
      </c>
      <c r="H294" s="75">
        <f>+INPUT!AG302</f>
        <v>366</v>
      </c>
      <c r="I294" s="155">
        <f>+INPUT!AH302</f>
        <v>18.064516129032256</v>
      </c>
      <c r="J294" s="75">
        <f>+INPUT!AI302</f>
        <v>325</v>
      </c>
      <c r="K294" s="155">
        <f>+INPUT!AJ302</f>
        <v>10.921501706484648</v>
      </c>
      <c r="L294" s="75">
        <f>+INPUT!AK302</f>
        <v>343</v>
      </c>
      <c r="M294" s="155">
        <f>+INPUT!AL302</f>
        <v>6.5217391304347956</v>
      </c>
      <c r="N294" s="75">
        <f>+INPUT!AM302</f>
        <v>324</v>
      </c>
      <c r="O294" s="155">
        <f>+INPUT!AN302</f>
        <v>0</v>
      </c>
      <c r="P294" s="75">
        <f>+INPUT!AO302</f>
        <v>385</v>
      </c>
      <c r="Q294" s="155">
        <f>+INPUT!AP302</f>
        <v>5.1912568306010911</v>
      </c>
      <c r="R294" s="75">
        <f>+INPUT!AQ302</f>
        <v>391</v>
      </c>
      <c r="S294" s="155">
        <f>+INPUT!AR302</f>
        <v>20.307692307692321</v>
      </c>
      <c r="T294" s="75">
        <f>+INPUT!AS302</f>
        <v>386</v>
      </c>
      <c r="U294" s="155">
        <f>+INPUT!AT302</f>
        <v>12.536443148688051</v>
      </c>
      <c r="V294" s="75">
        <f>+INPUT!AU302</f>
        <v>408</v>
      </c>
      <c r="W294" s="155">
        <f>+INPUT!AV302</f>
        <v>25.925925925925924</v>
      </c>
      <c r="X294" s="75">
        <f>+INPUT!AW302</f>
        <v>406</v>
      </c>
      <c r="Y294" s="155">
        <f>+INPUT!AX302</f>
        <v>5.454545454545439</v>
      </c>
      <c r="Z294" s="75">
        <f>+INPUT!AY302</f>
        <v>445</v>
      </c>
      <c r="AA294" s="155">
        <f>+INPUT!AZ302</f>
        <v>13.81074168797953</v>
      </c>
      <c r="AB294" s="75">
        <f>+INPUT!BA302</f>
        <v>418</v>
      </c>
      <c r="AC294" s="155">
        <f>+INPUT!BB302</f>
        <v>8.2901554404145088</v>
      </c>
      <c r="AD294" s="75">
        <f>+INPUT!BC302</f>
        <v>392</v>
      </c>
      <c r="AE294" s="155">
        <f>+INPUT!BD302</f>
        <v>-3.9215686274509807</v>
      </c>
      <c r="AF294" s="75">
        <f>+INPUT!BE302</f>
        <v>566</v>
      </c>
      <c r="AG294" s="155">
        <f>+INPUT!BF302</f>
        <v>39.408866995073879</v>
      </c>
      <c r="AH294" s="75">
        <f>+INPUT!BG302</f>
        <v>505</v>
      </c>
      <c r="AI294" s="240">
        <f>+INPUT!BH302</f>
        <v>13.483146067415746</v>
      </c>
      <c r="AJ294" s="75">
        <f>+INPUT!BI302</f>
        <v>528</v>
      </c>
      <c r="AK294" s="240">
        <f>+INPUT!BJ302</f>
        <v>26.315789473684205</v>
      </c>
      <c r="AL294" s="75">
        <f>+INPUT!BK302</f>
        <v>514</v>
      </c>
      <c r="AM294" s="240">
        <f>+INPUT!BL302</f>
        <v>31.122448979591837</v>
      </c>
      <c r="AN294" s="75">
        <f>+INPUT!BM302</f>
        <v>556</v>
      </c>
      <c r="AO294" s="240">
        <f>+INPUT!BN302</f>
        <v>-1.7667844522968181</v>
      </c>
      <c r="AP294" s="75">
        <f>+INPUT!BO302</f>
        <v>477</v>
      </c>
      <c r="AQ294" s="240">
        <f>+INPUT!BP302</f>
        <v>-5.5445544554455495</v>
      </c>
      <c r="AR294" s="75">
        <f>+INPUT!BQ302</f>
        <v>468</v>
      </c>
      <c r="AS294" s="240">
        <f>+INPUT!BR302</f>
        <v>-11.36363636363636</v>
      </c>
      <c r="AT294" s="75">
        <f>+INPUT!BS302</f>
        <v>360</v>
      </c>
      <c r="AU294" s="240">
        <f>+INPUT!BT302</f>
        <v>-29.961089494163431</v>
      </c>
      <c r="AV294" s="75">
        <f>+INPUT!BU302</f>
        <v>296</v>
      </c>
      <c r="AW294" s="240">
        <f>+INPUT!BV302</f>
        <v>-46.762589928057551</v>
      </c>
      <c r="AX294" s="75">
        <f>+INPUT!BW302</f>
        <v>252</v>
      </c>
      <c r="AY294" s="240">
        <f>+INPUT!BX302</f>
        <v>-47.169811320754718</v>
      </c>
      <c r="AZ294" s="75">
        <f>+INPUT!BY302</f>
        <v>310</v>
      </c>
      <c r="BA294" s="240">
        <f>+INPUT!BZ302</f>
        <v>-33.760683760683762</v>
      </c>
      <c r="BB294" s="75">
        <f>+INPUT!CA302</f>
        <v>278</v>
      </c>
      <c r="BC294" s="240">
        <f>+INPUT!CB302</f>
        <v>-22.777777777777771</v>
      </c>
      <c r="BD294" s="75">
        <f>+INPUT!CC302</f>
        <v>327</v>
      </c>
      <c r="BE294" s="240">
        <f>+INPUT!CD302</f>
        <v>10.472972972972983</v>
      </c>
      <c r="BF294" s="75">
        <f>+INPUT!CE302</f>
        <v>355</v>
      </c>
      <c r="BG294" s="240">
        <f>+INPUT!CF302</f>
        <v>40.873015873015873</v>
      </c>
      <c r="BH294" s="75">
        <f>+INPUT!CG302</f>
        <v>465</v>
      </c>
      <c r="BI294" s="240">
        <f>+INPUT!CH302</f>
        <v>50</v>
      </c>
      <c r="BJ294" s="75">
        <f>+INPUT!CI302</f>
        <v>462</v>
      </c>
      <c r="BK294" s="240">
        <f>+INPUT!CJ302</f>
        <v>66.187050359712231</v>
      </c>
      <c r="BL294" s="75">
        <f>+INPUT!CK302</f>
        <v>485</v>
      </c>
      <c r="BM294" s="240">
        <f>+INPUT!CL302</f>
        <v>48.318042813455662</v>
      </c>
      <c r="BN294" s="75">
        <f>+INPUT!CM302</f>
        <v>510</v>
      </c>
      <c r="BO294" s="240">
        <f>+INPUT!CN302</f>
        <v>43.661971830985919</v>
      </c>
      <c r="BP294" s="75">
        <f>+INPUT!CO302</f>
        <v>624</v>
      </c>
      <c r="BQ294" s="240">
        <f>+INPUT!CP302</f>
        <v>34.193548387096797</v>
      </c>
      <c r="BR294" s="75">
        <f>+INPUT!CQ302</f>
        <v>495</v>
      </c>
      <c r="BS294" s="240">
        <f>+INPUT!CR302</f>
        <v>7.1428571428571388</v>
      </c>
      <c r="BT294" s="75">
        <f>+INPUT!CS302</f>
        <v>681</v>
      </c>
      <c r="BU294" s="240">
        <f>+INPUT!CT302</f>
        <v>40.412371134020617</v>
      </c>
      <c r="BV294" s="75">
        <f>+INPUT!CU302</f>
        <v>540</v>
      </c>
      <c r="BW294" s="240">
        <f>+INPUT!CV302</f>
        <v>5.8823529411764781</v>
      </c>
      <c r="BX294" s="75">
        <f>+INPUT!CW302</f>
        <v>481</v>
      </c>
      <c r="BY294" s="240">
        <f>+INPUT!CX302</f>
        <v>-22.916666666666657</v>
      </c>
      <c r="BZ294" s="75">
        <f>+INPUT!CY302</f>
        <v>594</v>
      </c>
      <c r="CA294" s="240">
        <f>+INPUT!CZ302</f>
        <v>20</v>
      </c>
      <c r="CB294" s="75">
        <f>+INPUT!DA302</f>
        <v>654</v>
      </c>
      <c r="CC294" s="240">
        <f>+INPUT!DB302</f>
        <v>-3.9647577092511028</v>
      </c>
      <c r="CD294" s="75">
        <f>+INPUT!DC302</f>
        <v>624</v>
      </c>
      <c r="CE294" s="240">
        <f>+INPUT!DD302</f>
        <v>15.555555555555543</v>
      </c>
      <c r="CF294" s="75">
        <f>+INPUT!DE302</f>
        <v>642</v>
      </c>
      <c r="CG294" s="240">
        <f>+INPUT!DF302</f>
        <v>33.471933471933482</v>
      </c>
      <c r="CH294" s="75">
        <f>+INPUT!DG302</f>
        <v>627</v>
      </c>
      <c r="CI294" s="240">
        <f>+INPUT!DH302</f>
        <v>5.5555555555555571</v>
      </c>
      <c r="CJ294" s="75">
        <f>+INPUT!DI302</f>
        <v>698</v>
      </c>
      <c r="CK294" s="240">
        <f>+INPUT!DJ302</f>
        <v>6.7278287461773658</v>
      </c>
      <c r="CL294" s="75">
        <f>+INPUT!DK302</f>
        <v>643</v>
      </c>
      <c r="CM294" s="240">
        <f>+INPUT!DL302</f>
        <v>3.0448717948717814</v>
      </c>
      <c r="CN294" s="75">
        <f>+INPUT!DM302</f>
        <v>692</v>
      </c>
      <c r="CO294" s="240">
        <f>+INPUT!DN302</f>
        <v>7.7881619937694637</v>
      </c>
      <c r="CP294" s="75">
        <f>+INPUT!DO302</f>
        <v>678</v>
      </c>
      <c r="CQ294" s="240">
        <f>+INPUT!DP302</f>
        <v>8.1339712918660325</v>
      </c>
      <c r="CR294" s="75">
        <f>+INPUT!DQ302</f>
        <v>707</v>
      </c>
      <c r="CS294" s="240">
        <f>+INPUT!DR302</f>
        <v>1.2893982808023026</v>
      </c>
      <c r="CT294" s="75">
        <f>+INPUT!DS302</f>
        <v>708</v>
      </c>
      <c r="CU294" s="240">
        <f>+INPUT!DT302</f>
        <v>10.108864696734059</v>
      </c>
      <c r="CV294" s="75">
        <f>+INPUT!DU302</f>
        <v>740</v>
      </c>
      <c r="CW294" s="240">
        <f>+INPUT!DV302</f>
        <v>6.9364161849710939</v>
      </c>
      <c r="CX294" s="75">
        <f>+INPUT!DW302</f>
        <v>684</v>
      </c>
      <c r="CY294" s="240">
        <f>+INPUT!DX302</f>
        <v>0.88495575221239164</v>
      </c>
      <c r="CZ294" s="75">
        <f>+INPUT!DY302</f>
        <v>701</v>
      </c>
      <c r="DA294" s="240">
        <f>+INPUT!DZ302</f>
        <v>-0.84865629420085043</v>
      </c>
      <c r="DB294" s="75">
        <f>+INPUT!EA302</f>
        <v>688</v>
      </c>
      <c r="DC294" s="240">
        <f>+INPUT!EB302</f>
        <v>-2.8248587570621453</v>
      </c>
      <c r="DD294" s="75">
        <f>+INPUT!EC302</f>
        <v>709</v>
      </c>
      <c r="DE294" s="240">
        <f>+INPUT!ED302</f>
        <v>-4.189189189189193</v>
      </c>
      <c r="DF294" s="75">
        <f>+INPUT!EE302</f>
        <v>731</v>
      </c>
      <c r="DG294" s="240">
        <f>+INPUT!EF302</f>
        <v>6.8713450292397624</v>
      </c>
      <c r="DH294" s="75">
        <f>+INPUT!EG302</f>
        <v>753</v>
      </c>
      <c r="DI294" s="240">
        <f>+INPUT!EH302</f>
        <v>7.4179743223965744</v>
      </c>
      <c r="DJ294" s="75">
        <f>+INPUT!EI302</f>
        <v>724</v>
      </c>
      <c r="DK294" s="240">
        <f>+INPUT!EJ302</f>
        <v>5.2325581395348877</v>
      </c>
      <c r="DL294" s="75">
        <f>+INPUT!EK302</f>
        <v>750</v>
      </c>
      <c r="DM294" s="240">
        <f>+INPUT!EL302</f>
        <v>5.7827926657263617</v>
      </c>
      <c r="DN294" s="75">
        <f>+INPUT!EM302</f>
        <v>772</v>
      </c>
      <c r="DO294" s="240">
        <f>+INPUT!EN302</f>
        <v>5.6087551299589506</v>
      </c>
      <c r="DP294" s="75">
        <f>+INPUT!EO302</f>
        <v>939</v>
      </c>
      <c r="DQ294" s="240">
        <f>+INPUT!EP302</f>
        <v>24.701195219123505</v>
      </c>
      <c r="DR294" s="75">
        <f>+INPUT!EQ302</f>
        <v>845.96141300000022</v>
      </c>
      <c r="DS294" s="240">
        <f>+INPUT!ER302</f>
        <v>16.845499033149196</v>
      </c>
      <c r="DT294" s="75">
        <f>+INPUT!ES302</f>
        <v>843.64489140935791</v>
      </c>
      <c r="DU294" s="240">
        <f>+INPUT!ET302</f>
        <v>12.485985521247713</v>
      </c>
      <c r="DV294" s="75">
        <f>+INPUT!EU302</f>
        <v>856.53220336721199</v>
      </c>
      <c r="DW294" s="240">
        <f>+INPUT!EV302</f>
        <v>10.949767275545597</v>
      </c>
      <c r="DX294" s="75">
        <f>+INPUT!EW302</f>
        <v>870.17140990224914</v>
      </c>
      <c r="DY294" s="240">
        <f>+INPUT!EX302</f>
        <v>-7.3299882958201152</v>
      </c>
      <c r="DZ294" s="75"/>
      <c r="EA294" s="240"/>
      <c r="EB294" s="155">
        <f>+INPUT!FI302</f>
        <v>-6.7796610169491629</v>
      </c>
      <c r="EC294" s="75">
        <f>+INPUT!FJ302</f>
        <v>1265</v>
      </c>
      <c r="ED294" s="155">
        <f>+INPUT!FK302</f>
        <v>-8</v>
      </c>
      <c r="EE294" s="75">
        <f>+INPUT!FL302</f>
        <v>1305</v>
      </c>
      <c r="EF294" s="155">
        <f>+INPUT!FM302</f>
        <v>3.1620553359683896</v>
      </c>
      <c r="EG294" s="75">
        <f>+INPUT!FN302</f>
        <v>1377</v>
      </c>
      <c r="EH294" s="155">
        <f>+INPUT!FO302</f>
        <v>5.5172413793103487</v>
      </c>
      <c r="EI294" s="75">
        <f>+INPUT!FP302</f>
        <v>1591</v>
      </c>
      <c r="EJ294" s="240">
        <f>+INPUT!FQ302</f>
        <v>15.541031227305751</v>
      </c>
      <c r="EK294" s="75">
        <f>+INPUT!FR302</f>
        <v>1821</v>
      </c>
      <c r="EL294" s="240">
        <f>+INPUT!FS302</f>
        <v>14.456316781898181</v>
      </c>
      <c r="EM294" s="75">
        <f>+INPUT!FT302</f>
        <v>2103</v>
      </c>
      <c r="EN294" s="240">
        <f>+INPUT!FU302</f>
        <v>15.485996705107084</v>
      </c>
      <c r="EO294" s="75">
        <f>+INPUT!FV302</f>
        <v>1601</v>
      </c>
      <c r="EP294" s="240">
        <f>+INPUT!FW302</f>
        <v>-23.870660960532575</v>
      </c>
      <c r="EQ294" s="75">
        <f>+INPUT!FX302</f>
        <v>1167</v>
      </c>
      <c r="ER294" s="240">
        <f>+INPUT!FY302</f>
        <v>-27.108057464084951</v>
      </c>
      <c r="ES294" s="75">
        <f>+INPUT!FZ302</f>
        <v>1767</v>
      </c>
      <c r="ET294" s="240">
        <f>+INPUT!GA302</f>
        <v>51.413881748071987</v>
      </c>
      <c r="EU294" s="75">
        <f>+INPUT!GB302</f>
        <v>2310</v>
      </c>
      <c r="EV294" s="240">
        <f>+INPUT!GC302</f>
        <v>30.73005093378606</v>
      </c>
      <c r="EW294" s="75">
        <f>+INPUT!GD302</f>
        <v>2269</v>
      </c>
      <c r="EX294" s="240">
        <f>+INPUT!GE302</f>
        <v>-1.7748917748917705</v>
      </c>
      <c r="EY294" s="75">
        <f>+INPUT!GF302</f>
        <v>2591</v>
      </c>
      <c r="EZ294" s="240">
        <f>+INPUT!GG302</f>
        <v>14.191273688849719</v>
      </c>
      <c r="FA294" s="75">
        <f>+INPUT!GH302</f>
        <v>2720</v>
      </c>
      <c r="FB294" s="240">
        <f>+INPUT!GI302</f>
        <v>4.9787726746429968</v>
      </c>
      <c r="FC294" s="75">
        <f>+INPUT!GJ302</f>
        <v>2833</v>
      </c>
      <c r="FD294" s="240">
        <f>+INPUT!GK302</f>
        <v>4.154411764705884</v>
      </c>
      <c r="FE294" s="75">
        <f>+INPUT!GL302</f>
        <v>2881</v>
      </c>
      <c r="FF294" s="240">
        <f>+INPUT!GM302</f>
        <v>1.6943169784680521</v>
      </c>
      <c r="FG294" s="75">
        <f>+INPUT!GN302</f>
        <v>3185</v>
      </c>
      <c r="FH294" s="240">
        <f>+INPUT!GO302</f>
        <v>10.551891704269352</v>
      </c>
      <c r="FI294" s="75">
        <f>+INPUT!GP302</f>
        <v>3416.3099176788191</v>
      </c>
      <c r="FJ294" s="240">
        <f>+INPUT!GQ302</f>
        <v>7.2624777921136427</v>
      </c>
      <c r="FK294" s="75">
        <f>+INPUT!GR302</f>
        <v>3606.9110583596548</v>
      </c>
      <c r="FL294" s="240">
        <f>+INPUT!GS302</f>
        <v>5.5791525146622973</v>
      </c>
      <c r="FM294" s="75">
        <f>+INPUT!GT302</f>
        <v>3769.6692298432217</v>
      </c>
      <c r="FN294" s="240">
        <f>+INPUT!GU302</f>
        <v>4.5123976957054595</v>
      </c>
      <c r="FO294" s="75">
        <f>+INPUT!GV302</f>
        <v>3931.4891012084863</v>
      </c>
      <c r="FP294" s="240">
        <f>+INPUT!GW302</f>
        <v>4.2926809090885172</v>
      </c>
      <c r="FQ294" s="75">
        <f>+INPUT!GX302</f>
        <v>4047.6936379080335</v>
      </c>
      <c r="FR294" s="240">
        <f>+INPUT!GY302</f>
        <v>2.9557384926700507</v>
      </c>
      <c r="FS294" s="240">
        <f>+INPUT!GZ302</f>
        <v>4.9106649004007519</v>
      </c>
    </row>
    <row r="295" spans="1:176" ht="12.75" hidden="1" customHeight="1" outlineLevel="1" x14ac:dyDescent="0.2">
      <c r="A295" s="70" t="str">
        <f>+INPUT!B303</f>
        <v xml:space="preserve"> Total Revenues</v>
      </c>
      <c r="B295" s="75">
        <f>+INPUT!AA303</f>
        <v>305</v>
      </c>
      <c r="C295" s="155">
        <f>+INPUT!AB303</f>
        <v>-11.849710982658962</v>
      </c>
      <c r="D295" s="75">
        <f>+INPUT!AC303</f>
        <v>335</v>
      </c>
      <c r="E295" s="155">
        <f>+INPUT!AD303</f>
        <v>-0.59347181008901373</v>
      </c>
      <c r="F295" s="75">
        <f>+INPUT!AE303</f>
        <v>342</v>
      </c>
      <c r="G295" s="155">
        <f>+INPUT!AF303</f>
        <v>7.886435331230274</v>
      </c>
      <c r="H295" s="75">
        <f>+INPUT!AG303</f>
        <v>379</v>
      </c>
      <c r="I295" s="155">
        <f>+INPUT!AH303</f>
        <v>16.615384615384613</v>
      </c>
      <c r="J295" s="75">
        <f>+INPUT!AI303</f>
        <v>347</v>
      </c>
      <c r="K295" s="155">
        <f>+INPUT!AJ303</f>
        <v>13.770491803278702</v>
      </c>
      <c r="L295" s="75">
        <f>+INPUT!AK303</f>
        <v>366</v>
      </c>
      <c r="M295" s="155">
        <f>+INPUT!AL303</f>
        <v>9.2537313432835759</v>
      </c>
      <c r="N295" s="75">
        <f>+INPUT!AM303</f>
        <v>333</v>
      </c>
      <c r="O295" s="155">
        <f>+INPUT!AN303</f>
        <v>-2.6315789473684248</v>
      </c>
      <c r="P295" s="75">
        <f>+INPUT!AO303</f>
        <v>418</v>
      </c>
      <c r="Q295" s="155">
        <f>+INPUT!AP303</f>
        <v>10.290237467018471</v>
      </c>
      <c r="R295" s="75">
        <f>+INPUT!AQ303</f>
        <v>418</v>
      </c>
      <c r="S295" s="155">
        <f>+INPUT!AR303</f>
        <v>20.461095100864554</v>
      </c>
      <c r="T295" s="75">
        <f>+INPUT!AS303</f>
        <v>401</v>
      </c>
      <c r="U295" s="155">
        <f>+INPUT!AT303</f>
        <v>9.5628415300546408</v>
      </c>
      <c r="V295" s="75">
        <f>+INPUT!AU303</f>
        <v>441</v>
      </c>
      <c r="W295" s="155">
        <f>+INPUT!AV303</f>
        <v>32.432432432432421</v>
      </c>
      <c r="X295" s="75">
        <f>+INPUT!AW303</f>
        <v>436</v>
      </c>
      <c r="Y295" s="155">
        <f>+INPUT!AX303</f>
        <v>4.3062200956937744</v>
      </c>
      <c r="Z295" s="75">
        <f>+INPUT!AY303</f>
        <v>484</v>
      </c>
      <c r="AA295" s="155">
        <f>+INPUT!AZ303</f>
        <v>15.789473684210535</v>
      </c>
      <c r="AB295" s="75">
        <f>+INPUT!BA303</f>
        <v>455</v>
      </c>
      <c r="AC295" s="155">
        <f>+INPUT!BB303</f>
        <v>13.466334164588531</v>
      </c>
      <c r="AD295" s="75">
        <f>+INPUT!BC303</f>
        <v>440</v>
      </c>
      <c r="AE295" s="155">
        <f>+INPUT!BD303</f>
        <v>-0.22675736961451776</v>
      </c>
      <c r="AF295" s="75">
        <f>+INPUT!BE303</f>
        <v>612</v>
      </c>
      <c r="AG295" s="155">
        <f>+INPUT!BF303</f>
        <v>40.366972477064223</v>
      </c>
      <c r="AH295" s="75">
        <f>+INPUT!BG303</f>
        <v>545</v>
      </c>
      <c r="AI295" s="240">
        <f>+INPUT!BH303</f>
        <v>12.603305785123965</v>
      </c>
      <c r="AJ295" s="75">
        <f>+INPUT!BI303</f>
        <v>590</v>
      </c>
      <c r="AK295" s="240">
        <f>+INPUT!BJ303</f>
        <v>29.670329670329664</v>
      </c>
      <c r="AL295" s="75">
        <f>+INPUT!BK303</f>
        <v>558</v>
      </c>
      <c r="AM295" s="240">
        <f>+INPUT!BL303</f>
        <v>26.818181818181813</v>
      </c>
      <c r="AN295" s="75">
        <f>+INPUT!BM303</f>
        <v>626</v>
      </c>
      <c r="AO295" s="240">
        <f>+INPUT!BN303</f>
        <v>2.28758169934639</v>
      </c>
      <c r="AP295" s="75">
        <f>+INPUT!BO303</f>
        <v>548</v>
      </c>
      <c r="AQ295" s="240">
        <f>+INPUT!BP303</f>
        <v>0.55045871559633497</v>
      </c>
      <c r="AR295" s="75">
        <f>+INPUT!BQ303</f>
        <v>564</v>
      </c>
      <c r="AS295" s="240">
        <f>+INPUT!BR303</f>
        <v>-4.406779661016941</v>
      </c>
      <c r="AT295" s="75">
        <f>+INPUT!BS303</f>
        <v>345</v>
      </c>
      <c r="AU295" s="240">
        <f>+INPUT!BT303</f>
        <v>-38.172043010752688</v>
      </c>
      <c r="AV295" s="75">
        <f>+INPUT!BU303</f>
        <v>229</v>
      </c>
      <c r="AW295" s="240" t="str">
        <f>+INPUT!BV303</f>
        <v>NM</v>
      </c>
      <c r="AX295" s="75">
        <f>+INPUT!BW303</f>
        <v>263</v>
      </c>
      <c r="AY295" s="240" t="str">
        <f>+INPUT!BX303</f>
        <v>NM</v>
      </c>
      <c r="AZ295" s="75">
        <f>+INPUT!BY303</f>
        <v>342</v>
      </c>
      <c r="BA295" s="240">
        <f>+INPUT!BZ303</f>
        <v>-39.361702127659569</v>
      </c>
      <c r="BB295" s="75">
        <f>+INPUT!CA303</f>
        <v>291</v>
      </c>
      <c r="BC295" s="240">
        <f>+INPUT!CB303</f>
        <v>-15.65217391304347</v>
      </c>
      <c r="BD295" s="75">
        <f>+INPUT!CC303</f>
        <v>361</v>
      </c>
      <c r="BE295" s="240">
        <f>+INPUT!CD303</f>
        <v>57.641921397379917</v>
      </c>
      <c r="BF295" s="75">
        <f>+INPUT!CE303</f>
        <v>379</v>
      </c>
      <c r="BG295" s="240">
        <f>+INPUT!CF303</f>
        <v>44.106463878326991</v>
      </c>
      <c r="BH295" s="75">
        <f>+INPUT!CG303</f>
        <v>494</v>
      </c>
      <c r="BI295" s="240">
        <f>+INPUT!CH303</f>
        <v>44.444444444444429</v>
      </c>
      <c r="BJ295" s="75">
        <f>+INPUT!CI303</f>
        <v>493</v>
      </c>
      <c r="BK295" s="240">
        <f>+INPUT!CJ303</f>
        <v>69.415807560137466</v>
      </c>
      <c r="BL295" s="75">
        <f>+INPUT!CK303</f>
        <v>522</v>
      </c>
      <c r="BM295" s="240">
        <f>+INPUT!CL303</f>
        <v>44.5983379501385</v>
      </c>
      <c r="BN295" s="75">
        <f>+INPUT!CM303</f>
        <v>548</v>
      </c>
      <c r="BO295" s="240">
        <f>+INPUT!CN303</f>
        <v>44.5910290237467</v>
      </c>
      <c r="BP295" s="75">
        <f>+INPUT!CO303</f>
        <v>656</v>
      </c>
      <c r="BQ295" s="240">
        <f>+INPUT!CP303</f>
        <v>32.793522267206498</v>
      </c>
      <c r="BR295" s="75">
        <f>+INPUT!CQ303</f>
        <v>513</v>
      </c>
      <c r="BS295" s="240">
        <f>+INPUT!CR303</f>
        <v>4.0567951318458455</v>
      </c>
      <c r="BT295" s="75">
        <f>+INPUT!CS303</f>
        <v>713</v>
      </c>
      <c r="BU295" s="240">
        <f>+INPUT!CT303</f>
        <v>36.59003831417624</v>
      </c>
      <c r="BV295" s="75">
        <f>+INPUT!CU303</f>
        <v>563</v>
      </c>
      <c r="BW295" s="240">
        <f>+INPUT!CV303</f>
        <v>2.7372262773722724</v>
      </c>
      <c r="BX295" s="75">
        <f>+INPUT!CW303</f>
        <v>496</v>
      </c>
      <c r="BY295" s="240">
        <f>+INPUT!CX303</f>
        <v>-24.390243902439025</v>
      </c>
      <c r="BZ295" s="75">
        <f>+INPUT!CY303</f>
        <v>632</v>
      </c>
      <c r="CA295" s="240">
        <f>+INPUT!CZ303</f>
        <v>23.196881091617925</v>
      </c>
      <c r="CB295" s="75">
        <f>+INPUT!DA303</f>
        <v>685</v>
      </c>
      <c r="CC295" s="240">
        <f>+INPUT!DB303</f>
        <v>-3.9270687237026607</v>
      </c>
      <c r="CD295" s="75">
        <f>+INPUT!DC303</f>
        <v>642</v>
      </c>
      <c r="CE295" s="240">
        <f>+INPUT!DD303</f>
        <v>14.031971580817057</v>
      </c>
      <c r="CF295" s="75">
        <f>+INPUT!DE303</f>
        <v>662</v>
      </c>
      <c r="CG295" s="240">
        <f>+INPUT!DF303</f>
        <v>33.467741935483872</v>
      </c>
      <c r="CH295" s="75">
        <f>+INPUT!DG303</f>
        <v>649</v>
      </c>
      <c r="CI295" s="240">
        <f>+INPUT!DH303</f>
        <v>2.6898734177215147</v>
      </c>
      <c r="CJ295" s="75">
        <f>+INPUT!DI303</f>
        <v>725</v>
      </c>
      <c r="CK295" s="240">
        <f>+INPUT!DJ303</f>
        <v>5.8394160583941499</v>
      </c>
      <c r="CL295" s="75">
        <f>+INPUT!DK303</f>
        <v>667</v>
      </c>
      <c r="CM295" s="240">
        <f>+INPUT!DL303</f>
        <v>3.8940809968847248</v>
      </c>
      <c r="CN295" s="75">
        <f>+INPUT!DM303</f>
        <v>713</v>
      </c>
      <c r="CO295" s="240">
        <f>+INPUT!DN303</f>
        <v>7.7039274924471215</v>
      </c>
      <c r="CP295" s="75">
        <f>+INPUT!DO303</f>
        <v>721</v>
      </c>
      <c r="CQ295" s="240">
        <f>+INPUT!DP303</f>
        <v>11.093990755007695</v>
      </c>
      <c r="CR295" s="75">
        <f>+INPUT!DQ303</f>
        <v>739</v>
      </c>
      <c r="CS295" s="240">
        <f>+INPUT!DR303</f>
        <v>1.9310344827586192</v>
      </c>
      <c r="CT295" s="75">
        <f>+INPUT!DS303</f>
        <v>733</v>
      </c>
      <c r="CU295" s="240">
        <f>+INPUT!DT303</f>
        <v>9.8950524737631156</v>
      </c>
      <c r="CV295" s="75">
        <f>+INPUT!DU303</f>
        <v>776</v>
      </c>
      <c r="CW295" s="240">
        <f>+INPUT!DV303</f>
        <v>8.8359046283309937</v>
      </c>
      <c r="CX295" s="75">
        <f>+INPUT!DW303</f>
        <v>704</v>
      </c>
      <c r="CY295" s="240">
        <f>+INPUT!DX303</f>
        <v>-2.3578363384188634</v>
      </c>
      <c r="CZ295" s="75">
        <f>+INPUT!DY303</f>
        <v>731</v>
      </c>
      <c r="DA295" s="240">
        <f>+INPUT!DZ303</f>
        <v>-1.082543978349122</v>
      </c>
      <c r="DB295" s="75">
        <f>+INPUT!EA303</f>
        <v>706</v>
      </c>
      <c r="DC295" s="240">
        <f>+INPUT!EB303</f>
        <v>-3.6834924965893521</v>
      </c>
      <c r="DD295" s="75">
        <f>+INPUT!EC303</f>
        <v>732</v>
      </c>
      <c r="DE295" s="240">
        <f>+INPUT!ED303</f>
        <v>-5.6701030927835063</v>
      </c>
      <c r="DF295" s="75">
        <f>+INPUT!EE303</f>
        <v>750</v>
      </c>
      <c r="DG295" s="240">
        <f>+INPUT!EF303</f>
        <v>6.5340909090909207</v>
      </c>
      <c r="DH295" s="75">
        <f>+INPUT!EG303</f>
        <v>773</v>
      </c>
      <c r="DI295" s="240">
        <f>+INPUT!EH303</f>
        <v>5.7455540355677073</v>
      </c>
      <c r="DJ295" s="75">
        <f>+INPUT!EI303</f>
        <v>756</v>
      </c>
      <c r="DK295" s="240">
        <f>+INPUT!EJ303</f>
        <v>7.082152974504254</v>
      </c>
      <c r="DL295" s="75">
        <f>+INPUT!EK303</f>
        <v>787</v>
      </c>
      <c r="DM295" s="240">
        <f>+INPUT!EL303</f>
        <v>7.5136612021858014</v>
      </c>
      <c r="DN295" s="75">
        <f>+INPUT!EM303</f>
        <v>827</v>
      </c>
      <c r="DO295" s="240">
        <f>+INPUT!EN303</f>
        <v>10.266666666666666</v>
      </c>
      <c r="DP295" s="75">
        <f>+INPUT!EO303</f>
        <v>985</v>
      </c>
      <c r="DQ295" s="240">
        <f>+INPUT!EP303</f>
        <v>27.425614489003891</v>
      </c>
      <c r="DR295" s="75">
        <f>+INPUT!EQ303</f>
        <v>892.19141300000024</v>
      </c>
      <c r="DS295" s="240">
        <f>+INPUT!ER303</f>
        <v>18.014737169312212</v>
      </c>
      <c r="DT295" s="75">
        <f>+INPUT!ES303</f>
        <v>890.10604140935789</v>
      </c>
      <c r="DU295" s="240">
        <f>+INPUT!ET303</f>
        <v>13.101148844899342</v>
      </c>
      <c r="DV295" s="75">
        <f>+INPUT!EU303</f>
        <v>903.22565911721199</v>
      </c>
      <c r="DW295" s="240">
        <f>+INPUT!EV303</f>
        <v>9.2171292765673485</v>
      </c>
      <c r="DX295" s="75">
        <f>+INPUT!EW303</f>
        <v>917.09833293099916</v>
      </c>
      <c r="DY295" s="240">
        <f>+INPUT!EX303</f>
        <v>-6.8935702608122682</v>
      </c>
      <c r="DZ295" s="75"/>
      <c r="EA295" s="240"/>
      <c r="EB295" s="155">
        <f>+INPUT!FI303</f>
        <v>-4.6314416177429933</v>
      </c>
      <c r="EC295" s="75">
        <f>+INPUT!FJ303</f>
        <v>1325</v>
      </c>
      <c r="ED295" s="155">
        <f>+INPUT!FK303</f>
        <v>-9.3707250341997224</v>
      </c>
      <c r="EE295" s="75">
        <f>+INPUT!FL303</f>
        <v>1361</v>
      </c>
      <c r="EF295" s="155">
        <f>+INPUT!FM303</f>
        <v>2.7169811320754746</v>
      </c>
      <c r="EG295" s="75">
        <f>+INPUT!FN303</f>
        <v>1464</v>
      </c>
      <c r="EH295" s="155">
        <f>+INPUT!FO303</f>
        <v>7.5679647318148398</v>
      </c>
      <c r="EI295" s="75">
        <f>+INPUT!FP303</f>
        <v>1696</v>
      </c>
      <c r="EJ295" s="240">
        <f>+INPUT!FQ303</f>
        <v>15.846994535519116</v>
      </c>
      <c r="EK295" s="75">
        <f>+INPUT!FR303</f>
        <v>1991</v>
      </c>
      <c r="EL295" s="240">
        <f>+INPUT!FS303</f>
        <v>17.393867924528308</v>
      </c>
      <c r="EM295" s="75">
        <f>+INPUT!FT303</f>
        <v>2319</v>
      </c>
      <c r="EN295" s="240">
        <f>+INPUT!FU303</f>
        <v>16.474133601205423</v>
      </c>
      <c r="EO295" s="75">
        <f>+INPUT!FV303</f>
        <v>1686</v>
      </c>
      <c r="EP295" s="240">
        <f>+INPUT!FW303</f>
        <v>-27.296248382923665</v>
      </c>
      <c r="EQ295" s="75">
        <f>+INPUT!FX303</f>
        <v>1257</v>
      </c>
      <c r="ER295" s="240">
        <f>+INPUT!FY303</f>
        <v>-25.444839857651246</v>
      </c>
      <c r="ES295" s="75">
        <f>+INPUT!FZ303</f>
        <v>1888</v>
      </c>
      <c r="ET295" s="240">
        <f>+INPUT!GA303</f>
        <v>50.198886237072401</v>
      </c>
      <c r="EU295" s="75">
        <f>+INPUT!GB303</f>
        <v>2430</v>
      </c>
      <c r="EV295" s="240">
        <f>+INPUT!GC303</f>
        <v>28.707627118644069</v>
      </c>
      <c r="EW295" s="75">
        <f>+INPUT!GD303</f>
        <v>2376</v>
      </c>
      <c r="EX295" s="240">
        <f>+INPUT!GE303</f>
        <v>-2.2222222222222285</v>
      </c>
      <c r="EY295" s="75">
        <f>+INPUT!GF303</f>
        <v>2678</v>
      </c>
      <c r="EZ295" s="240">
        <f>+INPUT!GG303</f>
        <v>12.710437710437716</v>
      </c>
      <c r="FA295" s="75">
        <f>+INPUT!GH303</f>
        <v>2840</v>
      </c>
      <c r="FB295" s="240">
        <f>+INPUT!GI303</f>
        <v>6.0492905153099343</v>
      </c>
      <c r="FC295" s="75">
        <f>+INPUT!GJ303</f>
        <v>2944</v>
      </c>
      <c r="FD295" s="240">
        <f>+INPUT!GK303</f>
        <v>3.6619718309859053</v>
      </c>
      <c r="FE295" s="75">
        <f>+INPUT!GL303</f>
        <v>2961</v>
      </c>
      <c r="FF295" s="240">
        <f>+INPUT!GM303</f>
        <v>0.57744565217390686</v>
      </c>
      <c r="FG295" s="75">
        <f>+INPUT!GN303</f>
        <v>3355</v>
      </c>
      <c r="FH295" s="240">
        <f>+INPUT!GO303</f>
        <v>13.306315433975001</v>
      </c>
      <c r="FI295" s="75">
        <f>+INPUT!GP303</f>
        <v>3602.6214464575692</v>
      </c>
      <c r="FJ295" s="240">
        <f>+INPUT!GQ303</f>
        <v>7.3806690449349901</v>
      </c>
      <c r="FK295" s="75">
        <f>+INPUT!GR303</f>
        <v>3802.5381635773424</v>
      </c>
      <c r="FL295" s="240">
        <f>+INPUT!GS303</f>
        <v>5.5492013271710761</v>
      </c>
      <c r="FM295" s="75">
        <f>+INPUT!GT303</f>
        <v>3975.0776903217934</v>
      </c>
      <c r="FN295" s="240">
        <f>+INPUT!GU303</f>
        <v>4.537483105288004</v>
      </c>
      <c r="FO295" s="75">
        <f>+INPUT!GV303</f>
        <v>4147.1679847109872</v>
      </c>
      <c r="FP295" s="240">
        <f>+INPUT!GW303</f>
        <v>4.3292309684458701</v>
      </c>
      <c r="FQ295" s="75">
        <f>+INPUT!GX303</f>
        <v>4274.1564655856591</v>
      </c>
      <c r="FR295" s="240">
        <f>+INPUT!GY303</f>
        <v>3.0620529803188532</v>
      </c>
      <c r="FS295" s="240">
        <f>+INPUT!GZ303</f>
        <v>4.9618745701216049</v>
      </c>
    </row>
    <row r="296" spans="1:176" ht="12.75" hidden="1" customHeight="1" outlineLevel="1" x14ac:dyDescent="0.2">
      <c r="A296" s="77"/>
      <c r="B296" s="75"/>
      <c r="C296" s="155"/>
      <c r="D296" s="75"/>
      <c r="E296" s="155"/>
      <c r="F296" s="75"/>
      <c r="G296" s="155"/>
      <c r="H296" s="75"/>
      <c r="I296" s="155"/>
      <c r="J296" s="75"/>
      <c r="K296" s="155"/>
      <c r="L296" s="75"/>
      <c r="M296" s="155"/>
      <c r="N296" s="75"/>
      <c r="O296" s="155"/>
      <c r="P296" s="75"/>
      <c r="Q296" s="155"/>
      <c r="R296" s="75"/>
      <c r="S296" s="155"/>
      <c r="T296" s="75"/>
      <c r="U296" s="155"/>
      <c r="V296" s="75"/>
      <c r="W296" s="155"/>
      <c r="X296" s="75"/>
      <c r="Y296" s="155"/>
      <c r="Z296" s="75"/>
      <c r="AA296" s="155"/>
      <c r="AB296" s="75"/>
      <c r="AC296" s="155"/>
      <c r="AD296" s="75"/>
      <c r="AE296" s="155"/>
      <c r="AF296" s="75"/>
      <c r="AG296" s="155"/>
      <c r="AH296" s="75"/>
      <c r="AI296" s="240"/>
      <c r="AJ296" s="75"/>
      <c r="AK296" s="240"/>
      <c r="AL296" s="75"/>
      <c r="AM296" s="240"/>
      <c r="AN296" s="75"/>
      <c r="AO296" s="240"/>
      <c r="AP296" s="75"/>
      <c r="AQ296" s="240"/>
      <c r="AR296" s="75"/>
      <c r="AS296" s="240"/>
      <c r="AT296" s="75"/>
      <c r="AU296" s="240"/>
      <c r="AV296" s="75"/>
      <c r="AW296" s="240"/>
      <c r="AX296" s="75"/>
      <c r="AY296" s="240"/>
      <c r="AZ296" s="75"/>
      <c r="BA296" s="240"/>
      <c r="BB296" s="75"/>
      <c r="BC296" s="240"/>
      <c r="BD296" s="75"/>
      <c r="BE296" s="240"/>
      <c r="BF296" s="75"/>
      <c r="BG296" s="240"/>
      <c r="BH296" s="75"/>
      <c r="BI296" s="240"/>
      <c r="BJ296" s="75"/>
      <c r="BK296" s="240"/>
      <c r="BL296" s="75"/>
      <c r="BM296" s="240"/>
      <c r="BN296" s="75"/>
      <c r="BO296" s="240"/>
      <c r="BP296" s="75"/>
      <c r="BQ296" s="240"/>
      <c r="BR296" s="75"/>
      <c r="BS296" s="240"/>
      <c r="BT296" s="75"/>
      <c r="BU296" s="240"/>
      <c r="BV296" s="75"/>
      <c r="BW296" s="240"/>
      <c r="BX296" s="75"/>
      <c r="BY296" s="240"/>
      <c r="BZ296" s="75"/>
      <c r="CA296" s="240"/>
      <c r="CB296" s="75"/>
      <c r="CC296" s="240"/>
      <c r="CD296" s="75"/>
      <c r="CE296" s="240"/>
      <c r="CF296" s="75"/>
      <c r="CG296" s="240"/>
      <c r="CH296" s="75"/>
      <c r="CI296" s="240"/>
      <c r="CJ296" s="75"/>
      <c r="CK296" s="240"/>
      <c r="CL296" s="75"/>
      <c r="CM296" s="240"/>
      <c r="CN296" s="75"/>
      <c r="CO296" s="240"/>
      <c r="CP296" s="75"/>
      <c r="CQ296" s="240"/>
      <c r="CR296" s="75"/>
      <c r="CS296" s="240"/>
      <c r="CT296" s="75"/>
      <c r="CU296" s="240"/>
      <c r="CV296" s="75"/>
      <c r="CW296" s="240"/>
      <c r="CX296" s="75"/>
      <c r="CY296" s="240"/>
      <c r="CZ296" s="75"/>
      <c r="DA296" s="240"/>
      <c r="DB296" s="75"/>
      <c r="DC296" s="240"/>
      <c r="DD296" s="75"/>
      <c r="DE296" s="240"/>
      <c r="DF296" s="75"/>
      <c r="DG296" s="240"/>
      <c r="DH296" s="75"/>
      <c r="DI296" s="240"/>
      <c r="DJ296" s="75"/>
      <c r="DK296" s="240"/>
      <c r="DL296" s="75"/>
      <c r="DM296" s="240"/>
      <c r="DN296" s="75"/>
      <c r="DO296" s="240"/>
      <c r="DP296" s="75"/>
      <c r="DQ296" s="240"/>
      <c r="DR296" s="75"/>
      <c r="DS296" s="240"/>
      <c r="DT296" s="75"/>
      <c r="DU296" s="240"/>
      <c r="DV296" s="75"/>
      <c r="DW296" s="240"/>
      <c r="DX296" s="75"/>
      <c r="DY296" s="240"/>
      <c r="DZ296" s="75"/>
      <c r="EA296" s="240"/>
      <c r="EB296" s="155"/>
      <c r="EC296" s="75"/>
      <c r="ED296" s="155"/>
      <c r="EE296" s="75"/>
      <c r="EF296" s="155"/>
      <c r="EG296" s="75"/>
      <c r="EH296" s="155"/>
      <c r="EI296" s="75"/>
      <c r="EJ296" s="240"/>
      <c r="EK296" s="75"/>
      <c r="EL296" s="240"/>
      <c r="EM296" s="75"/>
      <c r="EN296" s="240"/>
      <c r="EO296" s="75"/>
      <c r="EP296" s="240"/>
      <c r="EQ296" s="75"/>
      <c r="ER296" s="240"/>
      <c r="ES296" s="75"/>
      <c r="ET296" s="240"/>
      <c r="EU296" s="75"/>
      <c r="EV296" s="240"/>
      <c r="EW296" s="75"/>
      <c r="EX296" s="240"/>
      <c r="EY296" s="75"/>
      <c r="EZ296" s="240"/>
      <c r="FA296" s="75"/>
      <c r="FB296" s="240"/>
      <c r="FC296" s="75"/>
      <c r="FD296" s="240"/>
      <c r="FE296" s="75"/>
      <c r="FF296" s="240"/>
      <c r="FG296" s="75"/>
      <c r="FH296" s="240"/>
      <c r="FI296" s="75"/>
      <c r="FJ296" s="240"/>
      <c r="FK296" s="75"/>
      <c r="FL296" s="240"/>
      <c r="FM296" s="75"/>
      <c r="FN296" s="240"/>
      <c r="FO296" s="75"/>
      <c r="FP296" s="240"/>
      <c r="FQ296" s="75"/>
      <c r="FR296" s="240"/>
      <c r="FS296" s="240"/>
    </row>
    <row r="297" spans="1:176" ht="12.75" hidden="1" customHeight="1" outlineLevel="1" x14ac:dyDescent="0.2">
      <c r="A297" s="70" t="s">
        <v>129</v>
      </c>
      <c r="B297" s="75"/>
      <c r="C297" s="155"/>
      <c r="D297" s="75"/>
      <c r="E297" s="155"/>
      <c r="F297" s="75"/>
      <c r="G297" s="155"/>
      <c r="H297" s="75"/>
      <c r="I297" s="155"/>
      <c r="J297" s="75"/>
      <c r="K297" s="155"/>
      <c r="L297" s="75"/>
      <c r="M297" s="155"/>
      <c r="N297" s="75"/>
      <c r="O297" s="155"/>
      <c r="P297" s="75"/>
      <c r="Q297" s="155"/>
      <c r="R297" s="75"/>
      <c r="S297" s="155"/>
      <c r="T297" s="75"/>
      <c r="U297" s="155"/>
      <c r="V297" s="75"/>
      <c r="W297" s="155"/>
      <c r="X297" s="75"/>
      <c r="Y297" s="155"/>
      <c r="Z297" s="75"/>
      <c r="AA297" s="155"/>
      <c r="AB297" s="75"/>
      <c r="AC297" s="155"/>
      <c r="AD297" s="75"/>
      <c r="AE297" s="155"/>
      <c r="AF297" s="75"/>
      <c r="AG297" s="155"/>
      <c r="AH297" s="75"/>
      <c r="AI297" s="240"/>
      <c r="AJ297" s="75"/>
      <c r="AK297" s="240"/>
      <c r="AL297" s="75"/>
      <c r="AM297" s="240"/>
      <c r="AN297" s="75"/>
      <c r="AO297" s="240"/>
      <c r="AP297" s="75"/>
      <c r="AQ297" s="240"/>
      <c r="AR297" s="75"/>
      <c r="AS297" s="240"/>
      <c r="AT297" s="75"/>
      <c r="AU297" s="240"/>
      <c r="AV297" s="75"/>
      <c r="AW297" s="240"/>
      <c r="AX297" s="75"/>
      <c r="AY297" s="240"/>
      <c r="AZ297" s="75"/>
      <c r="BA297" s="240"/>
      <c r="BB297" s="75"/>
      <c r="BC297" s="240"/>
      <c r="BD297" s="75"/>
      <c r="BE297" s="240"/>
      <c r="BF297" s="75"/>
      <c r="BG297" s="240"/>
      <c r="BH297" s="75"/>
      <c r="BI297" s="240"/>
      <c r="BJ297" s="75"/>
      <c r="BK297" s="240"/>
      <c r="BL297" s="75"/>
      <c r="BM297" s="240"/>
      <c r="BN297" s="75"/>
      <c r="BO297" s="240"/>
      <c r="BP297" s="75"/>
      <c r="BQ297" s="240"/>
      <c r="BR297" s="75"/>
      <c r="BS297" s="240"/>
      <c r="BT297" s="75"/>
      <c r="BU297" s="240"/>
      <c r="BV297" s="75"/>
      <c r="BW297" s="240"/>
      <c r="BX297" s="75"/>
      <c r="BY297" s="240"/>
      <c r="BZ297" s="75"/>
      <c r="CA297" s="240"/>
      <c r="CB297" s="75"/>
      <c r="CC297" s="240"/>
      <c r="CD297" s="75"/>
      <c r="CE297" s="240"/>
      <c r="CF297" s="75"/>
      <c r="CG297" s="240"/>
      <c r="CH297" s="75"/>
      <c r="CI297" s="240"/>
      <c r="CJ297" s="75"/>
      <c r="CK297" s="240"/>
      <c r="CL297" s="75"/>
      <c r="CM297" s="240"/>
      <c r="CN297" s="75"/>
      <c r="CO297" s="240"/>
      <c r="CP297" s="75"/>
      <c r="CQ297" s="240"/>
      <c r="CR297" s="75"/>
      <c r="CS297" s="240"/>
      <c r="CT297" s="75"/>
      <c r="CU297" s="240"/>
      <c r="CV297" s="75"/>
      <c r="CW297" s="240"/>
      <c r="CX297" s="75"/>
      <c r="CY297" s="240"/>
      <c r="CZ297" s="75"/>
      <c r="DA297" s="240"/>
      <c r="DB297" s="75"/>
      <c r="DC297" s="240"/>
      <c r="DD297" s="75"/>
      <c r="DE297" s="240"/>
      <c r="DF297" s="75"/>
      <c r="DG297" s="240"/>
      <c r="DH297" s="75"/>
      <c r="DI297" s="240"/>
      <c r="DJ297" s="75"/>
      <c r="DK297" s="240"/>
      <c r="DL297" s="75"/>
      <c r="DM297" s="240"/>
      <c r="DN297" s="75"/>
      <c r="DO297" s="240"/>
      <c r="DP297" s="75"/>
      <c r="DQ297" s="240"/>
      <c r="DR297" s="75"/>
      <c r="DS297" s="240"/>
      <c r="DT297" s="75"/>
      <c r="DU297" s="240"/>
      <c r="DV297" s="75"/>
      <c r="DW297" s="240"/>
      <c r="DX297" s="75"/>
      <c r="DY297" s="240"/>
      <c r="DZ297" s="75"/>
      <c r="EA297" s="240"/>
      <c r="EB297" s="155"/>
      <c r="EC297" s="75"/>
      <c r="ED297" s="155"/>
      <c r="EE297" s="75"/>
      <c r="EF297" s="155"/>
      <c r="EG297" s="75"/>
      <c r="EH297" s="155"/>
      <c r="EI297" s="75"/>
      <c r="EJ297" s="240"/>
      <c r="EK297" s="75"/>
      <c r="EL297" s="240"/>
      <c r="EM297" s="75"/>
      <c r="EN297" s="240"/>
      <c r="EO297" s="75"/>
      <c r="EP297" s="240"/>
      <c r="EQ297" s="75"/>
      <c r="ER297" s="240"/>
      <c r="ES297" s="75"/>
      <c r="ET297" s="240"/>
      <c r="EU297" s="75"/>
      <c r="EV297" s="240"/>
      <c r="EW297" s="75"/>
      <c r="EX297" s="240"/>
      <c r="EY297" s="75"/>
      <c r="EZ297" s="240"/>
      <c r="FA297" s="75"/>
      <c r="FB297" s="240"/>
      <c r="FC297" s="75"/>
      <c r="FD297" s="240"/>
      <c r="FE297" s="75"/>
      <c r="FF297" s="240"/>
      <c r="FG297" s="75"/>
      <c r="FH297" s="240"/>
      <c r="FI297" s="75"/>
      <c r="FJ297" s="240"/>
      <c r="FK297" s="75"/>
      <c r="FL297" s="240"/>
      <c r="FM297" s="75"/>
      <c r="FN297" s="240"/>
      <c r="FO297" s="75"/>
      <c r="FP297" s="240"/>
      <c r="FQ297" s="75"/>
      <c r="FR297" s="240"/>
      <c r="FS297" s="240"/>
    </row>
    <row r="298" spans="1:176" ht="12.75" hidden="1" customHeight="1" outlineLevel="1" x14ac:dyDescent="0.2">
      <c r="A298" s="77" t="str">
        <f>+INPUT!B308</f>
        <v>Interest Expense</v>
      </c>
      <c r="B298" s="75">
        <f>+INPUT!AA308</f>
        <v>3</v>
      </c>
      <c r="C298" s="155">
        <f>+INPUT!AB308</f>
        <v>50</v>
      </c>
      <c r="D298" s="75">
        <f>+INPUT!AC308</f>
        <v>4</v>
      </c>
      <c r="E298" s="155">
        <f>+INPUT!AD308</f>
        <v>33.333333333333314</v>
      </c>
      <c r="F298" s="75">
        <f>+INPUT!AE308</f>
        <v>6</v>
      </c>
      <c r="G298" s="155">
        <f>+INPUT!AF308</f>
        <v>50</v>
      </c>
      <c r="H298" s="75">
        <f>+INPUT!AG308</f>
        <v>3</v>
      </c>
      <c r="I298" s="155">
        <f>+INPUT!AH308</f>
        <v>0</v>
      </c>
      <c r="J298" s="75">
        <f>+INPUT!AI308</f>
        <v>3</v>
      </c>
      <c r="K298" s="155">
        <f>+INPUT!AJ308</f>
        <v>0</v>
      </c>
      <c r="L298" s="75">
        <f>+INPUT!AK308</f>
        <v>2</v>
      </c>
      <c r="M298" s="155">
        <f>+INPUT!AL308</f>
        <v>-50</v>
      </c>
      <c r="N298" s="75">
        <f>+INPUT!AM308</f>
        <v>3</v>
      </c>
      <c r="O298" s="155">
        <f>+INPUT!AN308</f>
        <v>-50</v>
      </c>
      <c r="P298" s="75">
        <f>+INPUT!AO308</f>
        <v>3</v>
      </c>
      <c r="Q298" s="155">
        <f>+INPUT!AP308</f>
        <v>0</v>
      </c>
      <c r="R298" s="75">
        <f>+INPUT!AQ308</f>
        <v>3</v>
      </c>
      <c r="S298" s="155">
        <f>+INPUT!AR308</f>
        <v>0</v>
      </c>
      <c r="T298" s="75">
        <f>+INPUT!AS308</f>
        <v>4</v>
      </c>
      <c r="U298" s="155">
        <f>+INPUT!AT308</f>
        <v>100</v>
      </c>
      <c r="V298" s="75">
        <f>+INPUT!AU308</f>
        <v>3</v>
      </c>
      <c r="W298" s="155">
        <f>+INPUT!AV308</f>
        <v>0</v>
      </c>
      <c r="X298" s="75">
        <f>+INPUT!AW308</f>
        <v>6</v>
      </c>
      <c r="Y298" s="155">
        <f>+INPUT!AX308</f>
        <v>100</v>
      </c>
      <c r="Z298" s="75">
        <f>+INPUT!AY308</f>
        <v>6</v>
      </c>
      <c r="AA298" s="155">
        <f>+INPUT!AZ308</f>
        <v>100</v>
      </c>
      <c r="AB298" s="75">
        <f>+INPUT!BA308</f>
        <v>9</v>
      </c>
      <c r="AC298" s="155" t="str">
        <f>+INPUT!BB308</f>
        <v>NM</v>
      </c>
      <c r="AD298" s="75">
        <f>+INPUT!BC308</f>
        <v>10</v>
      </c>
      <c r="AE298" s="155" t="str">
        <f>+INPUT!BD308</f>
        <v>NM</v>
      </c>
      <c r="AF298" s="75">
        <f>+INPUT!BE308</f>
        <v>16</v>
      </c>
      <c r="AG298" s="155" t="str">
        <f>+INPUT!BF308</f>
        <v>NM</v>
      </c>
      <c r="AH298" s="75">
        <f>+INPUT!BG308</f>
        <v>10</v>
      </c>
      <c r="AI298" s="240">
        <f>+INPUT!BH308</f>
        <v>66.666666666666686</v>
      </c>
      <c r="AJ298" s="75">
        <f>+INPUT!BI308</f>
        <v>14</v>
      </c>
      <c r="AK298" s="240">
        <f>+INPUT!BJ308</f>
        <v>55.555555555555571</v>
      </c>
      <c r="AL298" s="75">
        <f>+INPUT!BK308</f>
        <v>19</v>
      </c>
      <c r="AM298" s="240">
        <f>+INPUT!BL308</f>
        <v>90</v>
      </c>
      <c r="AN298" s="75">
        <f>+INPUT!BM308</f>
        <v>19</v>
      </c>
      <c r="AO298" s="240">
        <f>+INPUT!BN308</f>
        <v>18.75</v>
      </c>
      <c r="AP298" s="75">
        <f>+INPUT!BO308</f>
        <v>22</v>
      </c>
      <c r="AQ298" s="240" t="str">
        <f>+INPUT!BP308</f>
        <v>NM</v>
      </c>
      <c r="AR298" s="75">
        <f>+INPUT!BQ308</f>
        <v>17</v>
      </c>
      <c r="AS298" s="240">
        <f>+INPUT!BR308</f>
        <v>21.428571428571416</v>
      </c>
      <c r="AT298" s="75">
        <f>+INPUT!BS308</f>
        <v>20</v>
      </c>
      <c r="AU298" s="240">
        <f>+INPUT!BT308</f>
        <v>5.2631578947368354</v>
      </c>
      <c r="AV298" s="75">
        <f>+INPUT!BU308</f>
        <v>19</v>
      </c>
      <c r="AW298" s="240">
        <f>+INPUT!BV308</f>
        <v>0</v>
      </c>
      <c r="AX298" s="75">
        <f>+INPUT!BW308</f>
        <v>9</v>
      </c>
      <c r="AY298" s="240" t="str">
        <f>+INPUT!BX308</f>
        <v>NM</v>
      </c>
      <c r="AZ298" s="75">
        <f>+INPUT!BY308</f>
        <v>7</v>
      </c>
      <c r="BA298" s="240" t="str">
        <f>+INPUT!BZ308</f>
        <v>NM</v>
      </c>
      <c r="BB298" s="75">
        <f>+INPUT!CA308</f>
        <v>6</v>
      </c>
      <c r="BC298" s="240" t="str">
        <f>+INPUT!CB308</f>
        <v>NM</v>
      </c>
      <c r="BD298" s="75">
        <f>+INPUT!CC308</f>
        <v>4</v>
      </c>
      <c r="BE298" s="240" t="str">
        <f>+INPUT!CD308</f>
        <v>NM</v>
      </c>
      <c r="BF298" s="75">
        <f>+INPUT!CE308</f>
        <v>3</v>
      </c>
      <c r="BG298" s="240" t="str">
        <f>+INPUT!CF308</f>
        <v>NM</v>
      </c>
      <c r="BH298" s="75">
        <f>+INPUT!CG308</f>
        <v>4</v>
      </c>
      <c r="BI298" s="240">
        <f>+INPUT!CH308</f>
        <v>-42.857142857142861</v>
      </c>
      <c r="BJ298" s="75">
        <f>+INPUT!CI308</f>
        <v>3</v>
      </c>
      <c r="BK298" s="240">
        <f>+INPUT!CJ308</f>
        <v>-50</v>
      </c>
      <c r="BL298" s="75">
        <f>+INPUT!CK308</f>
        <v>3</v>
      </c>
      <c r="BM298" s="240">
        <f>+INPUT!CL308</f>
        <v>-25</v>
      </c>
      <c r="BN298" s="75">
        <f>+INPUT!CM308</f>
        <v>3</v>
      </c>
      <c r="BO298" s="240">
        <f>+INPUT!CN308</f>
        <v>0</v>
      </c>
      <c r="BP298" s="75">
        <f>+INPUT!CO308</f>
        <v>4</v>
      </c>
      <c r="BQ298" s="240">
        <f>+INPUT!CP308</f>
        <v>0</v>
      </c>
      <c r="BR298" s="75">
        <f>+INPUT!CQ308</f>
        <v>3</v>
      </c>
      <c r="BS298" s="240">
        <f>+INPUT!CR308</f>
        <v>0</v>
      </c>
      <c r="BT298" s="75">
        <f>+INPUT!CS308</f>
        <v>3</v>
      </c>
      <c r="BU298" s="240">
        <f>+INPUT!CT308</f>
        <v>0</v>
      </c>
      <c r="BV298" s="75">
        <f>+INPUT!CU308</f>
        <v>3</v>
      </c>
      <c r="BW298" s="240">
        <f>+INPUT!CV308</f>
        <v>0</v>
      </c>
      <c r="BX298" s="75">
        <f>+INPUT!CW308</f>
        <v>5</v>
      </c>
      <c r="BY298" s="240">
        <f>+INPUT!CX308</f>
        <v>25</v>
      </c>
      <c r="BZ298" s="75">
        <f>+INPUT!CY308</f>
        <v>3</v>
      </c>
      <c r="CA298" s="240">
        <f>+INPUT!CZ308</f>
        <v>0</v>
      </c>
      <c r="CB298" s="75">
        <f>+INPUT!DA308</f>
        <v>4</v>
      </c>
      <c r="CC298" s="240">
        <f>+INPUT!DB308</f>
        <v>33.333333333333314</v>
      </c>
      <c r="CD298" s="75">
        <f>+INPUT!DC308</f>
        <v>3</v>
      </c>
      <c r="CE298" s="240">
        <f>+INPUT!DD308</f>
        <v>0</v>
      </c>
      <c r="CF298" s="75">
        <f>+INPUT!DE308</f>
        <v>3</v>
      </c>
      <c r="CG298" s="240">
        <f>+INPUT!DF308</f>
        <v>-40</v>
      </c>
      <c r="CH298" s="75">
        <f>+INPUT!DG308</f>
        <v>2</v>
      </c>
      <c r="CI298" s="240">
        <f>+INPUT!DH308</f>
        <v>-33.333333333333343</v>
      </c>
      <c r="CJ298" s="75">
        <f>+INPUT!DI308</f>
        <v>3</v>
      </c>
      <c r="CK298" s="240">
        <f>+INPUT!DJ308</f>
        <v>-25</v>
      </c>
      <c r="CL298" s="75">
        <f>+INPUT!DK308</f>
        <v>3</v>
      </c>
      <c r="CM298" s="240">
        <f>+INPUT!DL308</f>
        <v>0</v>
      </c>
      <c r="CN298" s="75">
        <f>+INPUT!DM308</f>
        <v>3</v>
      </c>
      <c r="CO298" s="240">
        <f>+INPUT!DN308</f>
        <v>0</v>
      </c>
      <c r="CP298" s="75">
        <f>+INPUT!DO308</f>
        <v>2</v>
      </c>
      <c r="CQ298" s="240">
        <f>+INPUT!DP308</f>
        <v>0</v>
      </c>
      <c r="CR298" s="75">
        <f>+INPUT!DQ308</f>
        <v>2</v>
      </c>
      <c r="CS298" s="240">
        <f>+INPUT!DR308</f>
        <v>-33.333333333333343</v>
      </c>
      <c r="CT298" s="75">
        <f>+INPUT!DS308</f>
        <v>2</v>
      </c>
      <c r="CU298" s="240">
        <f>+INPUT!DT308</f>
        <v>-33.333333333333343</v>
      </c>
      <c r="CV298" s="75">
        <f>+INPUT!DU308</f>
        <v>2</v>
      </c>
      <c r="CW298" s="240">
        <f>+INPUT!DV308</f>
        <v>-33.333333333333343</v>
      </c>
      <c r="CX298" s="75">
        <f>+INPUT!DW308</f>
        <v>3</v>
      </c>
      <c r="CY298" s="240">
        <f>+INPUT!DX308</f>
        <v>50</v>
      </c>
      <c r="CZ298" s="75">
        <f>+INPUT!DY308</f>
        <v>3</v>
      </c>
      <c r="DA298" s="240">
        <f>+INPUT!DZ308</f>
        <v>50</v>
      </c>
      <c r="DB298" s="75">
        <f>+INPUT!EA308</f>
        <v>3</v>
      </c>
      <c r="DC298" s="240">
        <f>+INPUT!EB308</f>
        <v>50</v>
      </c>
      <c r="DD298" s="75">
        <f>+INPUT!EC308</f>
        <v>4</v>
      </c>
      <c r="DE298" s="240">
        <f>+INPUT!ED308</f>
        <v>100</v>
      </c>
      <c r="DF298" s="75">
        <f>+INPUT!EE308</f>
        <v>4</v>
      </c>
      <c r="DG298" s="240">
        <f>+INPUT!EF308</f>
        <v>33.333333333333314</v>
      </c>
      <c r="DH298" s="75">
        <f>+INPUT!EG308</f>
        <v>4</v>
      </c>
      <c r="DI298" s="240">
        <f>+INPUT!EH308</f>
        <v>33.333333333333314</v>
      </c>
      <c r="DJ298" s="75">
        <f>+INPUT!EI308</f>
        <v>5</v>
      </c>
      <c r="DK298" s="240">
        <f>+INPUT!EJ308</f>
        <v>66.666666666666686</v>
      </c>
      <c r="DL298" s="75">
        <f>+INPUT!EK308</f>
        <v>7</v>
      </c>
      <c r="DM298" s="240">
        <f>+INPUT!EL308</f>
        <v>75</v>
      </c>
      <c r="DN298" s="75">
        <f>+INPUT!EM308</f>
        <v>7</v>
      </c>
      <c r="DO298" s="240">
        <f>+INPUT!EN308</f>
        <v>75</v>
      </c>
      <c r="DP298" s="75">
        <f>+INPUT!EO308</f>
        <v>8</v>
      </c>
      <c r="DQ298" s="240">
        <f>+INPUT!EP308</f>
        <v>100</v>
      </c>
      <c r="DR298" s="75">
        <f>+INPUT!EQ308</f>
        <v>8.08</v>
      </c>
      <c r="DS298" s="240">
        <f>+INPUT!ER308</f>
        <v>61.600000000000023</v>
      </c>
      <c r="DT298" s="75">
        <f>+INPUT!ES308</f>
        <v>8.1608000000000001</v>
      </c>
      <c r="DU298" s="240">
        <f>+INPUT!ET308</f>
        <v>16.582857142857137</v>
      </c>
      <c r="DV298" s="75">
        <f>+INPUT!EU308</f>
        <v>8.2424079999999993</v>
      </c>
      <c r="DW298" s="240">
        <f>+INPUT!EV308</f>
        <v>17.748685714285699</v>
      </c>
      <c r="DX298" s="75">
        <f>+INPUT!EW308</f>
        <v>8.3248320800000002</v>
      </c>
      <c r="DY298" s="240">
        <f>+INPUT!EX308</f>
        <v>4.0604009999999988</v>
      </c>
      <c r="DZ298" s="75"/>
      <c r="EA298" s="240"/>
      <c r="EB298" s="155" t="str">
        <f>+INPUT!FI308</f>
        <v>NM</v>
      </c>
      <c r="EC298" s="75">
        <f>+INPUT!FJ308</f>
        <v>12</v>
      </c>
      <c r="ED298" s="155">
        <f>+INPUT!FK308</f>
        <v>-36.842105263157897</v>
      </c>
      <c r="EE298" s="75">
        <f>+INPUT!FL308</f>
        <v>16</v>
      </c>
      <c r="EF298" s="155">
        <f>+INPUT!FM308</f>
        <v>33.333333333333314</v>
      </c>
      <c r="EG298" s="75">
        <f>+INPUT!FN308</f>
        <v>11</v>
      </c>
      <c r="EH298" s="155">
        <f>+INPUT!FO308</f>
        <v>-31.25</v>
      </c>
      <c r="EI298" s="75">
        <f>+INPUT!FP308</f>
        <v>16</v>
      </c>
      <c r="EJ298" s="240">
        <f>+INPUT!FQ308</f>
        <v>45.454545454545467</v>
      </c>
      <c r="EK298" s="75">
        <f>+INPUT!FR308</f>
        <v>41</v>
      </c>
      <c r="EL298" s="240" t="str">
        <f>+INPUT!FS308</f>
        <v>NM</v>
      </c>
      <c r="EM298" s="75">
        <f>+INPUT!FT308</f>
        <v>62</v>
      </c>
      <c r="EN298" s="240">
        <f>+INPUT!FU308</f>
        <v>51.219512195121951</v>
      </c>
      <c r="EO298" s="75">
        <f>+INPUT!FV308</f>
        <v>78</v>
      </c>
      <c r="EP298" s="240">
        <f>+INPUT!FW308</f>
        <v>25.806451612903231</v>
      </c>
      <c r="EQ298" s="75">
        <f>+INPUT!FX308</f>
        <v>26</v>
      </c>
      <c r="ER298" s="240" t="str">
        <f>+INPUT!FY308</f>
        <v>NM</v>
      </c>
      <c r="ES298" s="75">
        <f>+INPUT!FZ308</f>
        <v>13</v>
      </c>
      <c r="ET298" s="240">
        <f>+INPUT!GA308</f>
        <v>-50</v>
      </c>
      <c r="EU298" s="75">
        <f>+INPUT!GB308</f>
        <v>13</v>
      </c>
      <c r="EV298" s="240">
        <f>+INPUT!GC308</f>
        <v>0</v>
      </c>
      <c r="EW298" s="75">
        <f>+INPUT!GD308</f>
        <v>15</v>
      </c>
      <c r="EX298" s="240">
        <f>+INPUT!GE308</f>
        <v>15.384615384615373</v>
      </c>
      <c r="EY298" s="75">
        <f>+INPUT!GF308</f>
        <v>11</v>
      </c>
      <c r="EZ298" s="240">
        <f>+INPUT!GG308</f>
        <v>-26.666666666666671</v>
      </c>
      <c r="FA298" s="75">
        <f>+INPUT!GH308</f>
        <v>10</v>
      </c>
      <c r="FB298" s="240">
        <f>+INPUT!GI308</f>
        <v>-9.0909090909090935</v>
      </c>
      <c r="FC298" s="75">
        <f>+INPUT!GJ308</f>
        <v>10</v>
      </c>
      <c r="FD298" s="240">
        <f>+INPUT!GK308</f>
        <v>0</v>
      </c>
      <c r="FE298" s="75">
        <f>+INPUT!GL308</f>
        <v>15</v>
      </c>
      <c r="FF298" s="240">
        <f>+INPUT!GM308</f>
        <v>50</v>
      </c>
      <c r="FG298" s="75">
        <f>+INPUT!GN308</f>
        <v>27</v>
      </c>
      <c r="FH298" s="240">
        <f>+INPUT!GO308</f>
        <v>80</v>
      </c>
      <c r="FI298" s="75">
        <f>+INPUT!GP308</f>
        <v>32.808040079999998</v>
      </c>
      <c r="FJ298" s="240">
        <f>+INPUT!GQ308</f>
        <v>21.511259555555554</v>
      </c>
      <c r="FK298" s="75">
        <f>+INPUT!GR308</f>
        <v>35.760763687199997</v>
      </c>
      <c r="FL298" s="240">
        <f>+INPUT!GS308</f>
        <v>9.0000000000000142</v>
      </c>
      <c r="FM298" s="75">
        <f>+INPUT!GT308</f>
        <v>38.979232419048003</v>
      </c>
      <c r="FN298" s="240">
        <f>+INPUT!GU308</f>
        <v>9.0000000000000142</v>
      </c>
      <c r="FO298" s="75">
        <f>+INPUT!GV308</f>
        <v>42.487363336762328</v>
      </c>
      <c r="FP298" s="240">
        <f>+INPUT!GW308</f>
        <v>9.0000000000000142</v>
      </c>
      <c r="FQ298" s="75">
        <f>+INPUT!GX308</f>
        <v>46.311226037070938</v>
      </c>
      <c r="FR298" s="240">
        <f>+INPUT!GY308</f>
        <v>9.0000000000000142</v>
      </c>
      <c r="FS298" s="240">
        <f>+INPUT!GZ308</f>
        <v>11.394693502207121</v>
      </c>
    </row>
    <row r="299" spans="1:176" ht="12.75" hidden="1" customHeight="1" outlineLevel="1" x14ac:dyDescent="0.2">
      <c r="A299" s="77" t="str">
        <f>+INPUT!B309</f>
        <v>General and Administrative Expenses</v>
      </c>
      <c r="B299" s="75">
        <f>+INPUT!AA309</f>
        <v>246</v>
      </c>
      <c r="C299" s="155">
        <f>+INPUT!AB309</f>
        <v>-9.8901098901098834</v>
      </c>
      <c r="D299" s="75">
        <f>+INPUT!AC309</f>
        <v>268</v>
      </c>
      <c r="E299" s="155">
        <f>+INPUT!AD309</f>
        <v>-3.9426523297491087</v>
      </c>
      <c r="F299" s="75">
        <f>+INPUT!AE309</f>
        <v>286</v>
      </c>
      <c r="G299" s="155">
        <f>+INPUT!AF309</f>
        <v>11.284046692607006</v>
      </c>
      <c r="H299" s="75">
        <f>+INPUT!AG309</f>
        <v>300</v>
      </c>
      <c r="I299" s="155">
        <f>+INPUT!AH309</f>
        <v>7.1428571428571388</v>
      </c>
      <c r="J299" s="75">
        <f>+INPUT!AI309</f>
        <v>280</v>
      </c>
      <c r="K299" s="155">
        <f>+INPUT!AJ309</f>
        <v>13.821138211382106</v>
      </c>
      <c r="L299" s="75">
        <f>+INPUT!AK309</f>
        <v>298</v>
      </c>
      <c r="M299" s="155">
        <f>+INPUT!AL309</f>
        <v>11.194029850746261</v>
      </c>
      <c r="N299" s="75">
        <f>+INPUT!AM309</f>
        <v>265</v>
      </c>
      <c r="O299" s="155">
        <f>+INPUT!AN309</f>
        <v>-7.3426573426573469</v>
      </c>
      <c r="P299" s="75">
        <f>+INPUT!AO309</f>
        <v>320</v>
      </c>
      <c r="Q299" s="155">
        <f>+INPUT!AP309</f>
        <v>6.6666666666666714</v>
      </c>
      <c r="R299" s="75">
        <f>+INPUT!AQ309</f>
        <v>276</v>
      </c>
      <c r="S299" s="155">
        <f>+INPUT!AR309</f>
        <v>-1.4285714285714164</v>
      </c>
      <c r="T299" s="75">
        <f>+INPUT!AS309</f>
        <v>288</v>
      </c>
      <c r="U299" s="155">
        <f>+INPUT!AT309</f>
        <v>-3.3557046979865675</v>
      </c>
      <c r="V299" s="75">
        <f>+INPUT!AU309</f>
        <v>319</v>
      </c>
      <c r="W299" s="155">
        <f>+INPUT!AV309</f>
        <v>20.377358490566039</v>
      </c>
      <c r="X299" s="75">
        <f>+INPUT!AW309</f>
        <v>317</v>
      </c>
      <c r="Y299" s="155">
        <f>+INPUT!AX309</f>
        <v>-0.9375</v>
      </c>
      <c r="Z299" s="75">
        <f>+INPUT!AY309</f>
        <v>322</v>
      </c>
      <c r="AA299" s="155">
        <f>+INPUT!AZ309</f>
        <v>16.666666666666671</v>
      </c>
      <c r="AB299" s="75">
        <f>+INPUT!BA309</f>
        <v>317</v>
      </c>
      <c r="AC299" s="155">
        <f>+INPUT!BB309</f>
        <v>10.069444444444443</v>
      </c>
      <c r="AD299" s="75">
        <f>+INPUT!BC309</f>
        <v>325</v>
      </c>
      <c r="AE299" s="155">
        <f>+INPUT!BD309</f>
        <v>1.8808777429467227</v>
      </c>
      <c r="AF299" s="75">
        <f>+INPUT!BE309</f>
        <v>426</v>
      </c>
      <c r="AG299" s="155">
        <f>+INPUT!BF309</f>
        <v>34.384858044164048</v>
      </c>
      <c r="AH299" s="75">
        <f>+INPUT!BG309</f>
        <v>358</v>
      </c>
      <c r="AI299" s="240">
        <f>+INPUT!BH309</f>
        <v>11.18012422360249</v>
      </c>
      <c r="AJ299" s="75">
        <f>+INPUT!BI309</f>
        <v>408</v>
      </c>
      <c r="AK299" s="240">
        <f>+INPUT!BJ309</f>
        <v>28.706624605678229</v>
      </c>
      <c r="AL299" s="75">
        <f>+INPUT!BK309</f>
        <v>378</v>
      </c>
      <c r="AM299" s="240">
        <f>+INPUT!BL309</f>
        <v>16.307692307692307</v>
      </c>
      <c r="AN299" s="75">
        <f>+INPUT!BM309</f>
        <v>408</v>
      </c>
      <c r="AO299" s="240">
        <f>+INPUT!BN309</f>
        <v>-4.2253521126760631</v>
      </c>
      <c r="AP299" s="75">
        <f>+INPUT!BO309</f>
        <v>406</v>
      </c>
      <c r="AQ299" s="240">
        <f>+INPUT!BP309</f>
        <v>13.407821229050285</v>
      </c>
      <c r="AR299" s="75">
        <f>+INPUT!BQ309</f>
        <v>358</v>
      </c>
      <c r="AS299" s="240">
        <f>+INPUT!BR309</f>
        <v>-12.254901960784309</v>
      </c>
      <c r="AT299" s="75">
        <f>+INPUT!BS309</f>
        <v>330</v>
      </c>
      <c r="AU299" s="240">
        <f>+INPUT!BT309</f>
        <v>-12.698412698412696</v>
      </c>
      <c r="AV299" s="75">
        <f>+INPUT!BU309</f>
        <v>276</v>
      </c>
      <c r="AW299" s="240">
        <f>+INPUT!BV309</f>
        <v>-32.35294117647058</v>
      </c>
      <c r="AX299" s="75">
        <f>+INPUT!BW309</f>
        <v>254</v>
      </c>
      <c r="AY299" s="240">
        <f>+INPUT!BX309</f>
        <v>-37.438423645320199</v>
      </c>
      <c r="AZ299" s="75">
        <f>+INPUT!BY309</f>
        <v>303</v>
      </c>
      <c r="BA299" s="240">
        <f>+INPUT!BZ309</f>
        <v>-15.363128491620117</v>
      </c>
      <c r="BB299" s="75">
        <f>+INPUT!CA309</f>
        <v>258</v>
      </c>
      <c r="BC299" s="240">
        <f>+INPUT!CB309</f>
        <v>-21.818181818181813</v>
      </c>
      <c r="BD299" s="75">
        <f>+INPUT!CC309</f>
        <v>365</v>
      </c>
      <c r="BE299" s="240">
        <f>+INPUT!CD309</f>
        <v>32.246376811594217</v>
      </c>
      <c r="BF299" s="75">
        <f>+INPUT!CE309</f>
        <v>293</v>
      </c>
      <c r="BG299" s="240">
        <f>+INPUT!CF309</f>
        <v>15.354330708661408</v>
      </c>
      <c r="BH299" s="75">
        <f>+INPUT!CG309</f>
        <v>365</v>
      </c>
      <c r="BI299" s="240">
        <f>+INPUT!CH309</f>
        <v>20.462046204620464</v>
      </c>
      <c r="BJ299" s="75">
        <f>+INPUT!CI309</f>
        <v>342</v>
      </c>
      <c r="BK299" s="240">
        <f>+INPUT!CJ309</f>
        <v>32.558139534883708</v>
      </c>
      <c r="BL299" s="75">
        <f>+INPUT!CK309</f>
        <v>387</v>
      </c>
      <c r="BM299" s="240">
        <f>+INPUT!CL309</f>
        <v>6.0273972602739718</v>
      </c>
      <c r="BN299" s="75">
        <f>+INPUT!CM309</f>
        <v>392</v>
      </c>
      <c r="BO299" s="240">
        <f>+INPUT!CN309</f>
        <v>33.78839590443684</v>
      </c>
      <c r="BP299" s="75">
        <f>+INPUT!CO309</f>
        <v>425</v>
      </c>
      <c r="BQ299" s="240">
        <f>+INPUT!CP309</f>
        <v>16.438356164383563</v>
      </c>
      <c r="BR299" s="75">
        <f>+INPUT!CQ309</f>
        <v>385</v>
      </c>
      <c r="BS299" s="240">
        <f>+INPUT!CR309</f>
        <v>12.57309941520468</v>
      </c>
      <c r="BT299" s="75">
        <f>+INPUT!CS309</f>
        <v>453</v>
      </c>
      <c r="BU299" s="240">
        <f>+INPUT!CT309</f>
        <v>17.054263565891475</v>
      </c>
      <c r="BV299" s="75">
        <f>+INPUT!CU309</f>
        <v>414</v>
      </c>
      <c r="BW299" s="240">
        <f>+INPUT!CV309</f>
        <v>5.6122448979591724</v>
      </c>
      <c r="BX299" s="75">
        <f>+INPUT!CW309</f>
        <v>436</v>
      </c>
      <c r="BY299" s="240">
        <f>+INPUT!CX309</f>
        <v>2.5882352941176521</v>
      </c>
      <c r="BZ299" s="75">
        <f>+INPUT!CY309</f>
        <v>433</v>
      </c>
      <c r="CA299" s="240">
        <f>+INPUT!CZ309</f>
        <v>12.467532467532465</v>
      </c>
      <c r="CB299" s="75">
        <f>+INPUT!DA309</f>
        <v>496</v>
      </c>
      <c r="CC299" s="240">
        <f>+INPUT!DB309</f>
        <v>9.4922737306843317</v>
      </c>
      <c r="CD299" s="75">
        <f>+INPUT!DC309</f>
        <v>471</v>
      </c>
      <c r="CE299" s="240">
        <f>+INPUT!DD309</f>
        <v>13.768115942028984</v>
      </c>
      <c r="CF299" s="75">
        <f>+INPUT!DE309</f>
        <v>486</v>
      </c>
      <c r="CG299" s="240">
        <f>+INPUT!DF309</f>
        <v>11.467889908256893</v>
      </c>
      <c r="CH299" s="75">
        <f>+INPUT!DG309</f>
        <v>473</v>
      </c>
      <c r="CI299" s="240">
        <f>+INPUT!DH309</f>
        <v>9.2378752886836111</v>
      </c>
      <c r="CJ299" s="75">
        <f>+INPUT!DI309</f>
        <v>511</v>
      </c>
      <c r="CK299" s="240">
        <f>+INPUT!DJ309</f>
        <v>3.0241935483871032</v>
      </c>
      <c r="CL299" s="75">
        <f>+INPUT!DK309</f>
        <v>471</v>
      </c>
      <c r="CM299" s="240">
        <f>+INPUT!DL309</f>
        <v>0</v>
      </c>
      <c r="CN299" s="75">
        <f>+INPUT!DM309</f>
        <v>510</v>
      </c>
      <c r="CO299" s="240">
        <f>+INPUT!DN309</f>
        <v>4.9382716049382651</v>
      </c>
      <c r="CP299" s="75">
        <f>+INPUT!DO309</f>
        <v>517</v>
      </c>
      <c r="CQ299" s="240">
        <f>+INPUT!DP309</f>
        <v>9.3023255813953369</v>
      </c>
      <c r="CR299" s="75">
        <f>+INPUT!DQ309</f>
        <v>543</v>
      </c>
      <c r="CS299" s="240">
        <f>+INPUT!DR309</f>
        <v>6.2622309197651589</v>
      </c>
      <c r="CT299" s="75">
        <f>+INPUT!DS309</f>
        <v>524</v>
      </c>
      <c r="CU299" s="240">
        <f>+INPUT!DT309</f>
        <v>11.252653927813157</v>
      </c>
      <c r="CV299" s="75">
        <f>+INPUT!DU309</f>
        <v>576</v>
      </c>
      <c r="CW299" s="240">
        <f>+INPUT!DV309</f>
        <v>12.941176470588232</v>
      </c>
      <c r="CX299" s="75">
        <f>+INPUT!DW309</f>
        <v>519</v>
      </c>
      <c r="CY299" s="240">
        <f>+INPUT!DX309</f>
        <v>0.38684719535784495</v>
      </c>
      <c r="CZ299" s="75">
        <f>+INPUT!DY309</f>
        <v>528</v>
      </c>
      <c r="DA299" s="240">
        <f>+INPUT!DZ309</f>
        <v>-2.7624309392265189</v>
      </c>
      <c r="DB299" s="75">
        <f>+INPUT!EA309</f>
        <v>537</v>
      </c>
      <c r="DC299" s="240">
        <f>+INPUT!EB309</f>
        <v>2.4809160305343596</v>
      </c>
      <c r="DD299" s="75">
        <f>+INPUT!EC309</f>
        <v>520</v>
      </c>
      <c r="DE299" s="240">
        <f>+INPUT!ED309</f>
        <v>-9.7222222222222143</v>
      </c>
      <c r="DF299" s="75">
        <f>+INPUT!EE309</f>
        <v>554</v>
      </c>
      <c r="DG299" s="240">
        <f>+INPUT!EF309</f>
        <v>6.7437379576107901</v>
      </c>
      <c r="DH299" s="75">
        <f>+INPUT!EG309</f>
        <v>543</v>
      </c>
      <c r="DI299" s="240">
        <f>+INPUT!EH309</f>
        <v>2.8409090909090793</v>
      </c>
      <c r="DJ299" s="75">
        <f>+INPUT!EI309</f>
        <v>553</v>
      </c>
      <c r="DK299" s="240">
        <f>+INPUT!EJ309</f>
        <v>2.9795158286778332</v>
      </c>
      <c r="DL299" s="75">
        <f>+INPUT!EK309</f>
        <v>561</v>
      </c>
      <c r="DM299" s="240">
        <f>+INPUT!EL309</f>
        <v>7.8846153846153726</v>
      </c>
      <c r="DN299" s="75">
        <f>+INPUT!EM309</f>
        <v>561</v>
      </c>
      <c r="DO299" s="240">
        <f>+INPUT!EN309</f>
        <v>1.2635379061371736</v>
      </c>
      <c r="DP299" s="75">
        <f>+INPUT!EO309</f>
        <v>669</v>
      </c>
      <c r="DQ299" s="240">
        <f>+INPUT!EP309</f>
        <v>23.204419889502773</v>
      </c>
      <c r="DR299" s="75">
        <f>+INPUT!EQ309</f>
        <v>633.4559032300001</v>
      </c>
      <c r="DS299" s="240">
        <f>+INPUT!ER309</f>
        <v>14.548987925858967</v>
      </c>
      <c r="DT299" s="75">
        <f>+INPUT!ES309</f>
        <v>631.9752894006441</v>
      </c>
      <c r="DU299" s="240">
        <f>+INPUT!ET309</f>
        <v>12.651566738082721</v>
      </c>
      <c r="DV299" s="75">
        <f>+INPUT!EU309</f>
        <v>641.29021797322048</v>
      </c>
      <c r="DW299" s="240">
        <f>+INPUT!EV309</f>
        <v>14.311981813408295</v>
      </c>
      <c r="DX299" s="75">
        <f>+INPUT!EW309</f>
        <v>655.72530804566441</v>
      </c>
      <c r="DY299" s="240">
        <f>+INPUT!EX309</f>
        <v>-1.9842588870456694</v>
      </c>
      <c r="DZ299" s="75"/>
      <c r="EA299" s="240"/>
      <c r="EB299" s="155">
        <f>+INPUT!FI309</f>
        <v>-4.467084639498438</v>
      </c>
      <c r="EC299" s="75">
        <f>+INPUT!FJ309</f>
        <v>1089</v>
      </c>
      <c r="ED299" s="155">
        <f>+INPUT!FK309</f>
        <v>-10.664479081214111</v>
      </c>
      <c r="EE299" s="75">
        <f>+INPUT!FL309</f>
        <v>1100</v>
      </c>
      <c r="EF299" s="155">
        <f>+INPUT!FM309</f>
        <v>1.0101010101010104</v>
      </c>
      <c r="EG299" s="75">
        <f>+INPUT!FN309</f>
        <v>1163</v>
      </c>
      <c r="EH299" s="155">
        <f>+INPUT!FO309</f>
        <v>5.7272727272727337</v>
      </c>
      <c r="EI299" s="75">
        <f>+INPUT!FP309</f>
        <v>1200</v>
      </c>
      <c r="EJ299" s="240">
        <f>+INPUT!FQ309</f>
        <v>3.1814273430782407</v>
      </c>
      <c r="EK299" s="75">
        <f>+INPUT!FR309</f>
        <v>1390</v>
      </c>
      <c r="EL299" s="240">
        <f>+INPUT!FS309</f>
        <v>15.833333333333343</v>
      </c>
      <c r="EM299" s="75">
        <f>+INPUT!FT309</f>
        <v>1552</v>
      </c>
      <c r="EN299" s="240">
        <f>+INPUT!FU309</f>
        <v>11.654676258992808</v>
      </c>
      <c r="EO299" s="75">
        <f>+INPUT!FV309</f>
        <v>1370</v>
      </c>
      <c r="EP299" s="240">
        <f>+INPUT!FW309</f>
        <v>-11.726804123711347</v>
      </c>
      <c r="EQ299" s="75">
        <f>+INPUT!FX309</f>
        <v>1180</v>
      </c>
      <c r="ER299" s="240">
        <f>+INPUT!FY309</f>
        <v>-13.868613138686143</v>
      </c>
      <c r="ES299" s="75">
        <f>+INPUT!FZ309</f>
        <v>1387</v>
      </c>
      <c r="ET299" s="240">
        <f>+INPUT!GA309</f>
        <v>17.542372881355945</v>
      </c>
      <c r="EU299" s="75">
        <f>+INPUT!GB309</f>
        <v>1655</v>
      </c>
      <c r="EV299" s="240">
        <f>+INPUT!GC309</f>
        <v>19.322278298485941</v>
      </c>
      <c r="EW299" s="75">
        <f>+INPUT!GD309</f>
        <v>1779</v>
      </c>
      <c r="EX299" s="240">
        <f>+INPUT!GE309</f>
        <v>7.4924471299093796</v>
      </c>
      <c r="EY299" s="75">
        <f>+INPUT!GF309</f>
        <v>1941</v>
      </c>
      <c r="EZ299" s="240">
        <f>+INPUT!GG309</f>
        <v>9.1062394603709862</v>
      </c>
      <c r="FA299" s="75">
        <f>+INPUT!GH309</f>
        <v>2041</v>
      </c>
      <c r="FB299" s="240">
        <f>+INPUT!GI309</f>
        <v>5.1519835136527519</v>
      </c>
      <c r="FC299" s="75">
        <f>+INPUT!GJ309</f>
        <v>2147</v>
      </c>
      <c r="FD299" s="240">
        <f>+INPUT!GK309</f>
        <v>5.1935325820676042</v>
      </c>
      <c r="FE299" s="75">
        <f>+INPUT!GL309</f>
        <v>2154</v>
      </c>
      <c r="FF299" s="240">
        <f>+INPUT!GM309</f>
        <v>0.32603632976247354</v>
      </c>
      <c r="FG299" s="75">
        <f>+INPUT!GN309</f>
        <v>2344</v>
      </c>
      <c r="FH299" s="240">
        <f>+INPUT!GO309</f>
        <v>8.8207985143918393</v>
      </c>
      <c r="FI299" s="75">
        <f>+INPUT!GP309</f>
        <v>2562.446718649529</v>
      </c>
      <c r="FJ299" s="240">
        <f>+INPUT!GQ309</f>
        <v>9.319399259792192</v>
      </c>
      <c r="FK299" s="75">
        <f>+INPUT!GR309</f>
        <v>2704.6420459688802</v>
      </c>
      <c r="FL299" s="240">
        <f>+INPUT!GS309</f>
        <v>5.5492013271710761</v>
      </c>
      <c r="FM299" s="75">
        <f>+INPUT!GT309</f>
        <v>2827.3647218632341</v>
      </c>
      <c r="FN299" s="240">
        <f>+INPUT!GU309</f>
        <v>4.537483105288004</v>
      </c>
      <c r="FO299" s="75">
        <f>+INPUT!GV309</f>
        <v>2949.7678709930506</v>
      </c>
      <c r="FP299" s="240">
        <f>+INPUT!GW309</f>
        <v>4.3292309684458701</v>
      </c>
      <c r="FQ299" s="75">
        <f>+INPUT!GX309</f>
        <v>3040.0913259992813</v>
      </c>
      <c r="FR299" s="240">
        <f>+INPUT!GY309</f>
        <v>3.0620529803188532</v>
      </c>
      <c r="FS299" s="240">
        <f>+INPUT!GZ309</f>
        <v>5.3381785683976002</v>
      </c>
    </row>
    <row r="300" spans="1:176" ht="12.75" hidden="1" customHeight="1" outlineLevel="1" x14ac:dyDescent="0.2">
      <c r="A300" s="77" t="str">
        <f>+INPUT!B310</f>
        <v>Net DAC</v>
      </c>
      <c r="B300" s="75">
        <f>+INPUT!AA310</f>
        <v>11</v>
      </c>
      <c r="C300" s="155">
        <f>+INPUT!AB310</f>
        <v>37.5</v>
      </c>
      <c r="D300" s="75">
        <f>+INPUT!AC310</f>
        <v>9</v>
      </c>
      <c r="E300" s="155">
        <f>+INPUT!AD310</f>
        <v>28.571428571428584</v>
      </c>
      <c r="F300" s="75">
        <f>+INPUT!AE310</f>
        <v>8</v>
      </c>
      <c r="G300" s="155">
        <f>+INPUT!AF310</f>
        <v>-42.857142857142861</v>
      </c>
      <c r="H300" s="75">
        <f>+INPUT!AG310</f>
        <v>8</v>
      </c>
      <c r="I300" s="155">
        <f>+INPUT!AH310</f>
        <v>-27.272727272727266</v>
      </c>
      <c r="J300" s="75">
        <f>+INPUT!AI310</f>
        <v>6</v>
      </c>
      <c r="K300" s="155">
        <f>+INPUT!AJ310</f>
        <v>-45.45454545454546</v>
      </c>
      <c r="L300" s="75">
        <f>+INPUT!AK310</f>
        <v>6</v>
      </c>
      <c r="M300" s="155">
        <f>+INPUT!AL310</f>
        <v>-33.333333333333343</v>
      </c>
      <c r="N300" s="75">
        <f>+INPUT!AM310</f>
        <v>7</v>
      </c>
      <c r="O300" s="155">
        <f>+INPUT!AN310</f>
        <v>-12.5</v>
      </c>
      <c r="P300" s="75">
        <f>+INPUT!AO310</f>
        <v>5</v>
      </c>
      <c r="Q300" s="155">
        <f>+INPUT!AP310</f>
        <v>-37.5</v>
      </c>
      <c r="R300" s="75">
        <f>+INPUT!AQ310</f>
        <v>5</v>
      </c>
      <c r="S300" s="155">
        <f>+INPUT!AR310</f>
        <v>-16.666666666666657</v>
      </c>
      <c r="T300" s="75">
        <f>+INPUT!AS310</f>
        <v>4</v>
      </c>
      <c r="U300" s="155">
        <f>+INPUT!AT310</f>
        <v>-33.333333333333343</v>
      </c>
      <c r="V300" s="75">
        <f>+INPUT!AU310</f>
        <v>3</v>
      </c>
      <c r="W300" s="155" t="str">
        <f>+INPUT!AV310</f>
        <v>NM</v>
      </c>
      <c r="X300" s="75">
        <f>+INPUT!AW310</f>
        <v>4</v>
      </c>
      <c r="Y300" s="155">
        <f>+INPUT!AX310</f>
        <v>-20</v>
      </c>
      <c r="Z300" s="75">
        <f>+INPUT!AY310</f>
        <v>2</v>
      </c>
      <c r="AA300" s="155" t="str">
        <f>+INPUT!AZ310</f>
        <v>NM</v>
      </c>
      <c r="AB300" s="75">
        <f>+INPUT!BA310</f>
        <v>2</v>
      </c>
      <c r="AC300" s="155">
        <f>+INPUT!BB310</f>
        <v>-50</v>
      </c>
      <c r="AD300" s="75">
        <f>+INPUT!BC310</f>
        <v>3</v>
      </c>
      <c r="AE300" s="155">
        <f>+INPUT!BD310</f>
        <v>0</v>
      </c>
      <c r="AF300" s="75">
        <f>+INPUT!BE310</f>
        <v>3</v>
      </c>
      <c r="AG300" s="155">
        <f>+INPUT!BF310</f>
        <v>-25</v>
      </c>
      <c r="AH300" s="75">
        <f>+INPUT!BG310</f>
        <v>2</v>
      </c>
      <c r="AI300" s="240">
        <f>+INPUT!BH310</f>
        <v>0</v>
      </c>
      <c r="AJ300" s="75">
        <f>+INPUT!BI310</f>
        <v>1</v>
      </c>
      <c r="AK300" s="240">
        <f>+INPUT!BJ310</f>
        <v>-50</v>
      </c>
      <c r="AL300" s="75">
        <f>+INPUT!BK310</f>
        <v>0</v>
      </c>
      <c r="AM300" s="240" t="str">
        <f>+INPUT!BL310</f>
        <v>NM</v>
      </c>
      <c r="AN300" s="75">
        <f>+INPUT!BM310</f>
        <v>1</v>
      </c>
      <c r="AO300" s="240" t="str">
        <f>+INPUT!BN310</f>
        <v>NM</v>
      </c>
      <c r="AP300" s="75">
        <f>+INPUT!BO310</f>
        <v>1</v>
      </c>
      <c r="AQ300" s="240">
        <f>+INPUT!BP310</f>
        <v>-50</v>
      </c>
      <c r="AR300" s="75">
        <f>+INPUT!BQ310</f>
        <v>-1</v>
      </c>
      <c r="AS300" s="240" t="str">
        <f>+INPUT!BR310</f>
        <v>NM</v>
      </c>
      <c r="AT300" s="75">
        <f>+INPUT!BS310</f>
        <v>3</v>
      </c>
      <c r="AU300" s="240" t="str">
        <f>+INPUT!BT310</f>
        <v>NA</v>
      </c>
      <c r="AV300" s="75">
        <f>+INPUT!BU310</f>
        <v>3</v>
      </c>
      <c r="AW300" s="240" t="str">
        <f>+INPUT!BV310</f>
        <v>NM</v>
      </c>
      <c r="AX300" s="75">
        <f>+INPUT!BW310</f>
        <v>1</v>
      </c>
      <c r="AY300" s="240">
        <f>+INPUT!BX310</f>
        <v>0</v>
      </c>
      <c r="AZ300" s="75">
        <f>+INPUT!BY310</f>
        <v>-1</v>
      </c>
      <c r="BA300" s="240">
        <f>+INPUT!BZ310</f>
        <v>0</v>
      </c>
      <c r="BB300" s="75">
        <f>+INPUT!CA310</f>
        <v>-2</v>
      </c>
      <c r="BC300" s="240" t="str">
        <f>+INPUT!CB310</f>
        <v>NM</v>
      </c>
      <c r="BD300" s="75">
        <f>+INPUT!CC310</f>
        <v>-2</v>
      </c>
      <c r="BE300" s="240" t="str">
        <f>+INPUT!CD310</f>
        <v>NM</v>
      </c>
      <c r="BF300" s="75">
        <f>+INPUT!CE310</f>
        <v>0</v>
      </c>
      <c r="BG300" s="240" t="str">
        <f>+INPUT!CF310</f>
        <v>NM</v>
      </c>
      <c r="BH300" s="75">
        <f>+INPUT!CG310</f>
        <v>1</v>
      </c>
      <c r="BI300" s="240" t="str">
        <f>+INPUT!CH310</f>
        <v>NM</v>
      </c>
      <c r="BJ300" s="75">
        <f>+INPUT!CI310</f>
        <v>0</v>
      </c>
      <c r="BK300" s="240" t="str">
        <f>+INPUT!CJ310</f>
        <v>NM</v>
      </c>
      <c r="BL300" s="75">
        <f>+INPUT!CK310</f>
        <v>0</v>
      </c>
      <c r="BM300" s="240" t="str">
        <f>+INPUT!CL310</f>
        <v>NM</v>
      </c>
      <c r="BN300" s="75">
        <f>+INPUT!CM310</f>
        <v>-1</v>
      </c>
      <c r="BO300" s="240" t="str">
        <f>+INPUT!CN310</f>
        <v>NA</v>
      </c>
      <c r="BP300" s="75">
        <f>+INPUT!CO310</f>
        <v>0</v>
      </c>
      <c r="BQ300" s="240" t="str">
        <f>+INPUT!CP310</f>
        <v>NM</v>
      </c>
      <c r="BR300" s="75">
        <f>+INPUT!CQ310</f>
        <v>2</v>
      </c>
      <c r="BS300" s="240" t="str">
        <f>+INPUT!CR310</f>
        <v>NA</v>
      </c>
      <c r="BT300" s="75">
        <f>+INPUT!CS310</f>
        <v>1</v>
      </c>
      <c r="BU300" s="240" t="str">
        <f>+INPUT!CT310</f>
        <v>NA</v>
      </c>
      <c r="BV300" s="75">
        <f>+INPUT!CU310</f>
        <v>-1</v>
      </c>
      <c r="BW300" s="240">
        <f>+INPUT!CV310</f>
        <v>0</v>
      </c>
      <c r="BX300" s="75">
        <f>+INPUT!CW310</f>
        <v>0</v>
      </c>
      <c r="BY300" s="240" t="str">
        <f>+INPUT!CX310</f>
        <v>NA</v>
      </c>
      <c r="BZ300" s="75">
        <f>+INPUT!CY310</f>
        <v>-1</v>
      </c>
      <c r="CA300" s="240" t="str">
        <f>+INPUT!CZ310</f>
        <v>NM</v>
      </c>
      <c r="CB300" s="75">
        <f>+INPUT!DA310</f>
        <v>0</v>
      </c>
      <c r="CC300" s="240" t="str">
        <f>+INPUT!DB310</f>
        <v>NM</v>
      </c>
      <c r="CD300" s="75">
        <f>+INPUT!DC310</f>
        <v>-1</v>
      </c>
      <c r="CE300" s="240">
        <f>+INPUT!DD310</f>
        <v>0</v>
      </c>
      <c r="CF300" s="75">
        <f>+INPUT!DE310</f>
        <v>1</v>
      </c>
      <c r="CG300" s="240" t="str">
        <f>+INPUT!DF310</f>
        <v>NA</v>
      </c>
      <c r="CH300" s="75">
        <f>+INPUT!DG310</f>
        <v>1</v>
      </c>
      <c r="CI300" s="240" t="str">
        <f>+INPUT!DH310</f>
        <v>NM</v>
      </c>
      <c r="CJ300" s="75">
        <f>+INPUT!DI310</f>
        <v>2</v>
      </c>
      <c r="CK300" s="240" t="str">
        <f>+INPUT!DJ310</f>
        <v>NA</v>
      </c>
      <c r="CL300" s="75">
        <f>+INPUT!DK310</f>
        <v>0</v>
      </c>
      <c r="CM300" s="240" t="str">
        <f>+INPUT!DL310</f>
        <v>NM</v>
      </c>
      <c r="CN300" s="75">
        <f>+INPUT!DM310</f>
        <v>0</v>
      </c>
      <c r="CO300" s="240" t="str">
        <f>+INPUT!DN310</f>
        <v>NM</v>
      </c>
      <c r="CP300" s="75">
        <f>+INPUT!DO310</f>
        <v>2</v>
      </c>
      <c r="CQ300" s="240">
        <f>+INPUT!DP310</f>
        <v>100</v>
      </c>
      <c r="CR300" s="75">
        <f>+INPUT!DQ310</f>
        <v>2</v>
      </c>
      <c r="CS300" s="240">
        <f>+INPUT!DR310</f>
        <v>0</v>
      </c>
      <c r="CT300" s="75">
        <f>+INPUT!DS310</f>
        <v>2</v>
      </c>
      <c r="CU300" s="240" t="str">
        <f>+INPUT!DT310</f>
        <v>NA</v>
      </c>
      <c r="CV300" s="75">
        <f>+INPUT!DU310</f>
        <v>2</v>
      </c>
      <c r="CW300" s="240" t="str">
        <f>+INPUT!DV310</f>
        <v>NA</v>
      </c>
      <c r="CX300" s="75">
        <f>+INPUT!DW310</f>
        <v>2</v>
      </c>
      <c r="CY300" s="240">
        <f>+INPUT!DX310</f>
        <v>0</v>
      </c>
      <c r="CZ300" s="75">
        <f>+INPUT!DY310</f>
        <v>2</v>
      </c>
      <c r="DA300" s="240">
        <f>+INPUT!DZ310</f>
        <v>0</v>
      </c>
      <c r="DB300" s="75">
        <f>+INPUT!EA310</f>
        <v>1</v>
      </c>
      <c r="DC300" s="240">
        <f>+INPUT!EB310</f>
        <v>-50</v>
      </c>
      <c r="DD300" s="75">
        <f>+INPUT!EC310</f>
        <v>1</v>
      </c>
      <c r="DE300" s="240">
        <f>+INPUT!ED310</f>
        <v>-50</v>
      </c>
      <c r="DF300" s="75">
        <f>+INPUT!EE310</f>
        <v>1</v>
      </c>
      <c r="DG300" s="240">
        <f>+INPUT!EF310</f>
        <v>-50</v>
      </c>
      <c r="DH300" s="75">
        <f>+INPUT!EG310</f>
        <v>2</v>
      </c>
      <c r="DI300" s="240">
        <f>+INPUT!EH310</f>
        <v>0</v>
      </c>
      <c r="DJ300" s="75">
        <f>+INPUT!EI310</f>
        <v>2</v>
      </c>
      <c r="DK300" s="240">
        <f>+INPUT!EJ310</f>
        <v>100</v>
      </c>
      <c r="DL300" s="75">
        <f>+INPUT!EK310</f>
        <v>1</v>
      </c>
      <c r="DM300" s="240">
        <f>+INPUT!EL310</f>
        <v>0</v>
      </c>
      <c r="DN300" s="75">
        <f>+INPUT!EM310</f>
        <v>0</v>
      </c>
      <c r="DO300" s="240" t="str">
        <f>+INPUT!EN310</f>
        <v>NM</v>
      </c>
      <c r="DP300" s="75">
        <f>+INPUT!EO310</f>
        <v>2</v>
      </c>
      <c r="DQ300" s="240">
        <f>+INPUT!EP310</f>
        <v>0</v>
      </c>
      <c r="DR300" s="75">
        <f>+INPUT!EQ310</f>
        <v>1.8937396210164428</v>
      </c>
      <c r="DS300" s="240">
        <f>+INPUT!ER310</f>
        <v>-5.3130189491778594</v>
      </c>
      <c r="DT300" s="75">
        <f>+INPUT!ES310</f>
        <v>1.8893132717508045</v>
      </c>
      <c r="DU300" s="240">
        <f>+INPUT!ET310</f>
        <v>88.931327175080469</v>
      </c>
      <c r="DV300" s="75">
        <f>+INPUT!EU310</f>
        <v>1.9171605918481929</v>
      </c>
      <c r="DW300" s="240" t="str">
        <f>+INPUT!EV310</f>
        <v>NA</v>
      </c>
      <c r="DX300" s="75">
        <f>+INPUT!EW310</f>
        <v>1.9603148222590865</v>
      </c>
      <c r="DY300" s="240">
        <f>+INPUT!EX310</f>
        <v>-1.9842588870456694</v>
      </c>
      <c r="DZ300" s="75"/>
      <c r="EA300" s="240"/>
      <c r="EB300" s="155" t="str">
        <f>+INPUT!FI310</f>
        <v>NM</v>
      </c>
      <c r="EC300" s="75">
        <f>+INPUT!FJ310</f>
        <v>40</v>
      </c>
      <c r="ED300" s="155">
        <f>+INPUT!FK310</f>
        <v>42.857142857142861</v>
      </c>
      <c r="EE300" s="75">
        <f>+INPUT!FL310</f>
        <v>36</v>
      </c>
      <c r="EF300" s="155">
        <f>+INPUT!FM310</f>
        <v>-10</v>
      </c>
      <c r="EG300" s="75">
        <f>+INPUT!FN310</f>
        <v>24</v>
      </c>
      <c r="EH300" s="155">
        <f>+INPUT!FO310</f>
        <v>-33.333333333333343</v>
      </c>
      <c r="EI300" s="75">
        <f>+INPUT!FP310</f>
        <v>16</v>
      </c>
      <c r="EJ300" s="240">
        <f>+INPUT!FQ310</f>
        <v>-33.333333333333343</v>
      </c>
      <c r="EK300" s="75">
        <f>+INPUT!FR310</f>
        <v>10</v>
      </c>
      <c r="EL300" s="240">
        <f>+INPUT!FS310</f>
        <v>-37.5</v>
      </c>
      <c r="EM300" s="75">
        <f>+INPUT!FT310</f>
        <v>4</v>
      </c>
      <c r="EN300" s="240" t="str">
        <f>+INPUT!FU310</f>
        <v>NM</v>
      </c>
      <c r="EO300" s="75">
        <f>+INPUT!FV310</f>
        <v>6</v>
      </c>
      <c r="EP300" s="240">
        <f>+INPUT!FW310</f>
        <v>50</v>
      </c>
      <c r="EQ300" s="75">
        <f>+INPUT!FX310</f>
        <v>-4</v>
      </c>
      <c r="ER300" s="240" t="str">
        <f>+INPUT!FY310</f>
        <v>NM</v>
      </c>
      <c r="ES300" s="75">
        <f>+INPUT!FZ310</f>
        <v>1</v>
      </c>
      <c r="ET300" s="240" t="str">
        <f>+INPUT!GA310</f>
        <v>NM</v>
      </c>
      <c r="EU300" s="75">
        <f>+INPUT!GB310</f>
        <v>2</v>
      </c>
      <c r="EV300" s="240">
        <f>+INPUT!GC310</f>
        <v>100</v>
      </c>
      <c r="EW300" s="75">
        <f>+INPUT!GD310</f>
        <v>-2</v>
      </c>
      <c r="EX300" s="240" t="str">
        <f>+INPUT!GE310</f>
        <v>NM</v>
      </c>
      <c r="EY300" s="75">
        <f>+INPUT!GF310</f>
        <v>3</v>
      </c>
      <c r="EZ300" s="240" t="str">
        <f>+INPUT!GG310</f>
        <v>NM</v>
      </c>
      <c r="FA300" s="75">
        <f>+INPUT!GH310</f>
        <v>4</v>
      </c>
      <c r="FB300" s="240">
        <f>+INPUT!GI310</f>
        <v>33.333333333333314</v>
      </c>
      <c r="FC300" s="75">
        <f>+INPUT!GJ310</f>
        <v>8</v>
      </c>
      <c r="FD300" s="240">
        <f>+INPUT!GK310</f>
        <v>100</v>
      </c>
      <c r="FE300" s="75">
        <f>+INPUT!GL310</f>
        <v>5</v>
      </c>
      <c r="FF300" s="240">
        <f>+INPUT!GM310</f>
        <v>-37.5</v>
      </c>
      <c r="FG300" s="75">
        <f>+INPUT!GN310</f>
        <v>5</v>
      </c>
      <c r="FH300" s="240">
        <f>+INPUT!GO310</f>
        <v>0</v>
      </c>
      <c r="FI300" s="75">
        <f>+INPUT!GP310</f>
        <v>7.6605283068745269</v>
      </c>
      <c r="FJ300" s="240">
        <f>+INPUT!GQ310</f>
        <v>53.210566137490531</v>
      </c>
      <c r="FK300" s="75">
        <f>+INPUT!GR310</f>
        <v>8.0856264453479252</v>
      </c>
      <c r="FL300" s="240">
        <f>+INPUT!GS310</f>
        <v>5.5492013271710903</v>
      </c>
      <c r="FM300" s="75">
        <f>+INPUT!GT310</f>
        <v>8.4525103792622858</v>
      </c>
      <c r="FN300" s="240">
        <f>+INPUT!GU310</f>
        <v>4.5374831052879898</v>
      </c>
      <c r="FO300" s="75">
        <f>+INPUT!GV310</f>
        <v>8.8184390762124103</v>
      </c>
      <c r="FP300" s="240">
        <f>+INPUT!GW310</f>
        <v>4.3292309684458701</v>
      </c>
      <c r="FQ300" s="75">
        <f>+INPUT!GX310</f>
        <v>9.0884643527631734</v>
      </c>
      <c r="FR300" s="240">
        <f>+INPUT!GY310</f>
        <v>3.0620529803188248</v>
      </c>
      <c r="FS300" s="240">
        <f>+INPUT!GZ310</f>
        <v>12.694858024405619</v>
      </c>
    </row>
    <row r="301" spans="1:176" ht="12.75" hidden="1" customHeight="1" outlineLevel="1" x14ac:dyDescent="0.2">
      <c r="A301" s="70" t="str">
        <f>+INPUT!B311</f>
        <v xml:space="preserve"> Total Benefits and Expenses</v>
      </c>
      <c r="B301" s="75">
        <f>+INPUT!AA311</f>
        <v>260</v>
      </c>
      <c r="C301" s="155">
        <f>+INPUT!AB311</f>
        <v>-8.1272084805653719</v>
      </c>
      <c r="D301" s="75">
        <f>+INPUT!AC311</f>
        <v>281</v>
      </c>
      <c r="E301" s="155">
        <f>+INPUT!AD311</f>
        <v>-2.7681660899653906</v>
      </c>
      <c r="F301" s="75">
        <f>+INPUT!AE311</f>
        <v>300</v>
      </c>
      <c r="G301" s="155">
        <f>+INPUT!AF311</f>
        <v>9.0909090909090793</v>
      </c>
      <c r="H301" s="75">
        <f>+INPUT!AG311</f>
        <v>311</v>
      </c>
      <c r="I301" s="155">
        <f>+INPUT!AH311</f>
        <v>5.7823129251700607</v>
      </c>
      <c r="J301" s="75">
        <f>+INPUT!AI311</f>
        <v>289</v>
      </c>
      <c r="K301" s="155">
        <f>+INPUT!AJ311</f>
        <v>11.15384615384616</v>
      </c>
      <c r="L301" s="75">
        <f>+INPUT!AK311</f>
        <v>306</v>
      </c>
      <c r="M301" s="155">
        <f>+INPUT!AL311</f>
        <v>8.8967971530249201</v>
      </c>
      <c r="N301" s="75">
        <f>+INPUT!AM311</f>
        <v>275</v>
      </c>
      <c r="O301" s="155">
        <f>+INPUT!AN311</f>
        <v>-8.3333333333333428</v>
      </c>
      <c r="P301" s="75">
        <f>+INPUT!AO311</f>
        <v>328</v>
      </c>
      <c r="Q301" s="155">
        <f>+INPUT!AP311</f>
        <v>5.4662379421221772</v>
      </c>
      <c r="R301" s="75">
        <f>+INPUT!AQ311</f>
        <v>284</v>
      </c>
      <c r="S301" s="155">
        <f>+INPUT!AR311</f>
        <v>-1.7301038062283851</v>
      </c>
      <c r="T301" s="75">
        <f>+INPUT!AS311</f>
        <v>296</v>
      </c>
      <c r="U301" s="155">
        <f>+INPUT!AT311</f>
        <v>-3.2679738562091529</v>
      </c>
      <c r="V301" s="75">
        <f>+INPUT!AU311</f>
        <v>325</v>
      </c>
      <c r="W301" s="155">
        <f>+INPUT!AV311</f>
        <v>18.181818181818187</v>
      </c>
      <c r="X301" s="75">
        <f>+INPUT!AW311</f>
        <v>327</v>
      </c>
      <c r="Y301" s="155">
        <f>+INPUT!AX311</f>
        <v>-0.30487804878049474</v>
      </c>
      <c r="Z301" s="75">
        <f>+INPUT!AY311</f>
        <v>330</v>
      </c>
      <c r="AA301" s="155">
        <f>+INPUT!AZ311</f>
        <v>16.197183098591552</v>
      </c>
      <c r="AB301" s="75">
        <f>+INPUT!BA311</f>
        <v>328</v>
      </c>
      <c r="AC301" s="155">
        <f>+INPUT!BB311</f>
        <v>10.810810810810807</v>
      </c>
      <c r="AD301" s="75">
        <f>+INPUT!BC311</f>
        <v>338</v>
      </c>
      <c r="AE301" s="155">
        <f>+INPUT!BD311</f>
        <v>4</v>
      </c>
      <c r="AF301" s="75">
        <f>+INPUT!BE311</f>
        <v>445</v>
      </c>
      <c r="AG301" s="155">
        <f>+INPUT!BF311</f>
        <v>36.085626911314989</v>
      </c>
      <c r="AH301" s="75">
        <f>+INPUT!BG311</f>
        <v>370</v>
      </c>
      <c r="AI301" s="240">
        <f>+INPUT!BH311</f>
        <v>12.12121212121211</v>
      </c>
      <c r="AJ301" s="75">
        <f>+INPUT!BI311</f>
        <v>423</v>
      </c>
      <c r="AK301" s="240">
        <f>+INPUT!BJ311</f>
        <v>28.963414634146346</v>
      </c>
      <c r="AL301" s="75">
        <f>+INPUT!BK311</f>
        <v>397</v>
      </c>
      <c r="AM301" s="240">
        <f>+INPUT!BL311</f>
        <v>17.455621301775139</v>
      </c>
      <c r="AN301" s="75">
        <f>+INPUT!BM311</f>
        <v>428</v>
      </c>
      <c r="AO301" s="240">
        <f>+INPUT!BN311</f>
        <v>-3.8202247191011338</v>
      </c>
      <c r="AP301" s="75">
        <f>+INPUT!BO311</f>
        <v>429</v>
      </c>
      <c r="AQ301" s="240">
        <f>+INPUT!BP311</f>
        <v>15.945945945945937</v>
      </c>
      <c r="AR301" s="75">
        <f>+INPUT!BQ311</f>
        <v>374</v>
      </c>
      <c r="AS301" s="240">
        <f>+INPUT!BR311</f>
        <v>-11.583924349881798</v>
      </c>
      <c r="AT301" s="75">
        <f>+INPUT!BS311</f>
        <v>353</v>
      </c>
      <c r="AU301" s="240">
        <f>+INPUT!BT311</f>
        <v>-11.083123425692705</v>
      </c>
      <c r="AV301" s="75">
        <f>+INPUT!BU311</f>
        <v>298</v>
      </c>
      <c r="AW301" s="240">
        <f>+INPUT!BV311</f>
        <v>-30.373831775700936</v>
      </c>
      <c r="AX301" s="75">
        <f>+INPUT!BW311</f>
        <v>264</v>
      </c>
      <c r="AY301" s="240">
        <f>+INPUT!BX311</f>
        <v>-38.46153846153846</v>
      </c>
      <c r="AZ301" s="75">
        <f>+INPUT!BY311</f>
        <v>309</v>
      </c>
      <c r="BA301" s="240">
        <f>+INPUT!BZ311</f>
        <v>-17.379679144385022</v>
      </c>
      <c r="BB301" s="75">
        <f>+INPUT!CA311</f>
        <v>262</v>
      </c>
      <c r="BC301" s="240">
        <f>+INPUT!CB311</f>
        <v>-25.779036827195469</v>
      </c>
      <c r="BD301" s="75">
        <f>+INPUT!CC311</f>
        <v>367</v>
      </c>
      <c r="BE301" s="240">
        <f>+INPUT!CD311</f>
        <v>23.154362416107375</v>
      </c>
      <c r="BF301" s="75">
        <f>+INPUT!CE311</f>
        <v>296</v>
      </c>
      <c r="BG301" s="240">
        <f>+INPUT!CF311</f>
        <v>12.12121212121211</v>
      </c>
      <c r="BH301" s="75">
        <f>+INPUT!CG311</f>
        <v>370</v>
      </c>
      <c r="BI301" s="240">
        <f>+INPUT!CH311</f>
        <v>19.741100323624593</v>
      </c>
      <c r="BJ301" s="75">
        <f>+INPUT!CI311</f>
        <v>345</v>
      </c>
      <c r="BK301" s="240">
        <f>+INPUT!CJ311</f>
        <v>31.679389312977094</v>
      </c>
      <c r="BL301" s="75">
        <f>+INPUT!CK311</f>
        <v>390</v>
      </c>
      <c r="BM301" s="240">
        <f>+INPUT!CL311</f>
        <v>6.2670299727520415</v>
      </c>
      <c r="BN301" s="75">
        <f>+INPUT!CM311</f>
        <v>394</v>
      </c>
      <c r="BO301" s="240">
        <f>+INPUT!CN311</f>
        <v>33.108108108108127</v>
      </c>
      <c r="BP301" s="75">
        <f>+INPUT!CO311</f>
        <v>429</v>
      </c>
      <c r="BQ301" s="240">
        <f>+INPUT!CP311</f>
        <v>15.945945945945937</v>
      </c>
      <c r="BR301" s="75">
        <f>+INPUT!CQ311</f>
        <v>390</v>
      </c>
      <c r="BS301" s="240">
        <f>+INPUT!CR311</f>
        <v>13.043478260869563</v>
      </c>
      <c r="BT301" s="75">
        <f>+INPUT!CS311</f>
        <v>457</v>
      </c>
      <c r="BU301" s="240">
        <f>+INPUT!CT311</f>
        <v>17.179487179487182</v>
      </c>
      <c r="BV301" s="75">
        <f>+INPUT!CU311</f>
        <v>416</v>
      </c>
      <c r="BW301" s="240">
        <f>+INPUT!CV311</f>
        <v>5.5837563451776759</v>
      </c>
      <c r="BX301" s="75">
        <f>+INPUT!CW311</f>
        <v>441</v>
      </c>
      <c r="BY301" s="240">
        <f>+INPUT!CX311</f>
        <v>2.797202797202786</v>
      </c>
      <c r="BZ301" s="75">
        <f>+INPUT!CY311</f>
        <v>435</v>
      </c>
      <c r="CA301" s="240">
        <f>+INPUT!CZ311</f>
        <v>11.538461538461547</v>
      </c>
      <c r="CB301" s="75">
        <f>+INPUT!DA311</f>
        <v>500</v>
      </c>
      <c r="CC301" s="240">
        <f>+INPUT!DB311</f>
        <v>9.4091903719912438</v>
      </c>
      <c r="CD301" s="75">
        <f>+INPUT!DC311</f>
        <v>473</v>
      </c>
      <c r="CE301" s="240">
        <f>+INPUT!DD311</f>
        <v>13.70192307692308</v>
      </c>
      <c r="CF301" s="75">
        <f>+INPUT!DE311</f>
        <v>490</v>
      </c>
      <c r="CG301" s="240">
        <f>+INPUT!DF311</f>
        <v>11.111111111111114</v>
      </c>
      <c r="CH301" s="75">
        <f>+INPUT!DG311</f>
        <v>476</v>
      </c>
      <c r="CI301" s="240">
        <f>+INPUT!DH311</f>
        <v>9.4252873563218458</v>
      </c>
      <c r="CJ301" s="75">
        <f>+INPUT!DI311</f>
        <v>516</v>
      </c>
      <c r="CK301" s="240">
        <f>+INPUT!DJ311</f>
        <v>3.2000000000000028</v>
      </c>
      <c r="CL301" s="75">
        <f>+INPUT!DK311</f>
        <v>474</v>
      </c>
      <c r="CM301" s="240">
        <f>+INPUT!DL311</f>
        <v>0.21141649048625766</v>
      </c>
      <c r="CN301" s="75">
        <f>+INPUT!DM311</f>
        <v>513</v>
      </c>
      <c r="CO301" s="240">
        <f>+INPUT!DN311</f>
        <v>4.6938775510203925</v>
      </c>
      <c r="CP301" s="75">
        <f>+INPUT!DO311</f>
        <v>521</v>
      </c>
      <c r="CQ301" s="240">
        <f>+INPUT!DP311</f>
        <v>9.4537815126050475</v>
      </c>
      <c r="CR301" s="75">
        <f>+INPUT!DQ311</f>
        <v>547</v>
      </c>
      <c r="CS301" s="240">
        <f>+INPUT!DR311</f>
        <v>6.0077519379845086</v>
      </c>
      <c r="CT301" s="75">
        <f>+INPUT!DS311</f>
        <v>528</v>
      </c>
      <c r="CU301" s="240">
        <f>+INPUT!DT311</f>
        <v>11.392405063291136</v>
      </c>
      <c r="CV301" s="75">
        <f>+INPUT!DU311</f>
        <v>580</v>
      </c>
      <c r="CW301" s="240">
        <f>+INPUT!DV311</f>
        <v>13.060428849902522</v>
      </c>
      <c r="CX301" s="75">
        <f>+INPUT!DW311</f>
        <v>524</v>
      </c>
      <c r="CY301" s="240">
        <f>+INPUT!DX311</f>
        <v>0.57581573896352722</v>
      </c>
      <c r="CZ301" s="75">
        <f>+INPUT!DY311</f>
        <v>533</v>
      </c>
      <c r="DA301" s="240">
        <f>+INPUT!DZ311</f>
        <v>-2.5594149908592385</v>
      </c>
      <c r="DB301" s="75">
        <f>+INPUT!EA311</f>
        <v>541</v>
      </c>
      <c r="DC301" s="240">
        <f>+INPUT!EB311</f>
        <v>2.4621212121212182</v>
      </c>
      <c r="DD301" s="75">
        <f>+INPUT!EC311</f>
        <v>525</v>
      </c>
      <c r="DE301" s="240">
        <f>+INPUT!ED311</f>
        <v>-9.4827586206896513</v>
      </c>
      <c r="DF301" s="75">
        <f>+INPUT!EE311</f>
        <v>559</v>
      </c>
      <c r="DG301" s="240">
        <f>+INPUT!EF311</f>
        <v>6.6793893129770936</v>
      </c>
      <c r="DH301" s="75">
        <f>+INPUT!EG311</f>
        <v>549</v>
      </c>
      <c r="DI301" s="240">
        <f>+INPUT!EH311</f>
        <v>3.0018761726078793</v>
      </c>
      <c r="DJ301" s="75">
        <f>+INPUT!EI311</f>
        <v>560</v>
      </c>
      <c r="DK301" s="240">
        <f>+INPUT!EJ311</f>
        <v>3.5120147874306866</v>
      </c>
      <c r="DL301" s="75">
        <f>+INPUT!EK311</f>
        <v>569</v>
      </c>
      <c r="DM301" s="240">
        <f>+INPUT!EL311</f>
        <v>8.3809523809523796</v>
      </c>
      <c r="DN301" s="75">
        <f>+INPUT!EM311</f>
        <v>568</v>
      </c>
      <c r="DO301" s="240">
        <f>+INPUT!EN311</f>
        <v>1.6100178890876577</v>
      </c>
      <c r="DP301" s="75">
        <f>+INPUT!EO311</f>
        <v>679</v>
      </c>
      <c r="DQ301" s="240">
        <f>+INPUT!EP311</f>
        <v>23.679417122040064</v>
      </c>
      <c r="DR301" s="75">
        <f>+INPUT!EQ311</f>
        <v>643.42964285101664</v>
      </c>
      <c r="DS301" s="240">
        <f>+INPUT!ER311</f>
        <v>14.898150509110124</v>
      </c>
      <c r="DT301" s="75">
        <f>+INPUT!ES311</f>
        <v>642.02540267239488</v>
      </c>
      <c r="DU301" s="240">
        <f>+INPUT!ET311</f>
        <v>12.833989924849718</v>
      </c>
      <c r="DV301" s="75">
        <f>+INPUT!EU311</f>
        <v>651.44978656506862</v>
      </c>
      <c r="DW301" s="240">
        <f>+INPUT!EV311</f>
        <v>14.69186383187828</v>
      </c>
      <c r="DX301" s="75">
        <f>+INPUT!EW311</f>
        <v>666.01045494792345</v>
      </c>
      <c r="DY301" s="240">
        <f>+INPUT!EX311</f>
        <v>-1.9130405084059703</v>
      </c>
      <c r="DZ301" s="75"/>
      <c r="EA301" s="240"/>
      <c r="EB301" s="155">
        <f>+INPUT!FI311</f>
        <v>-1.5552099533437058</v>
      </c>
      <c r="EC301" s="75">
        <f>+INPUT!FJ311</f>
        <v>1141</v>
      </c>
      <c r="ED301" s="155">
        <f>+INPUT!FK311</f>
        <v>-9.8736176935229025</v>
      </c>
      <c r="EE301" s="75">
        <f>+INPUT!FL311</f>
        <v>1152</v>
      </c>
      <c r="EF301" s="155">
        <f>+INPUT!FM311</f>
        <v>0.96406660823838308</v>
      </c>
      <c r="EG301" s="75">
        <f>+INPUT!FN311</f>
        <v>1198</v>
      </c>
      <c r="EH301" s="155">
        <f>+INPUT!FO311</f>
        <v>3.9930555555555571</v>
      </c>
      <c r="EI301" s="75">
        <f>+INPUT!FP311</f>
        <v>1232</v>
      </c>
      <c r="EJ301" s="240">
        <f>+INPUT!FQ311</f>
        <v>2.8380634390651238</v>
      </c>
      <c r="EK301" s="75">
        <f>+INPUT!FR311</f>
        <v>1441</v>
      </c>
      <c r="EL301" s="240">
        <f>+INPUT!FS311</f>
        <v>16.964285714285722</v>
      </c>
      <c r="EM301" s="75">
        <f>+INPUT!FT311</f>
        <v>1618</v>
      </c>
      <c r="EN301" s="240">
        <f>+INPUT!FU311</f>
        <v>12.283136710617626</v>
      </c>
      <c r="EO301" s="75">
        <f>+INPUT!FV311</f>
        <v>1454</v>
      </c>
      <c r="EP301" s="240">
        <f>+INPUT!FW311</f>
        <v>-10.135970333745377</v>
      </c>
      <c r="EQ301" s="75">
        <f>+INPUT!FX311</f>
        <v>1202</v>
      </c>
      <c r="ER301" s="240">
        <f>+INPUT!FY311</f>
        <v>-17.331499312242087</v>
      </c>
      <c r="ES301" s="75">
        <f>+INPUT!FZ311</f>
        <v>1401</v>
      </c>
      <c r="ET301" s="240">
        <f>+INPUT!GA311</f>
        <v>16.555740432612325</v>
      </c>
      <c r="EU301" s="75">
        <f>+INPUT!GB311</f>
        <v>1670</v>
      </c>
      <c r="EV301" s="240">
        <f>+INPUT!GC311</f>
        <v>19.200571020699499</v>
      </c>
      <c r="EW301" s="75">
        <f>+INPUT!GD311</f>
        <v>1792</v>
      </c>
      <c r="EX301" s="240">
        <f>+INPUT!GE311</f>
        <v>7.3053892215568794</v>
      </c>
      <c r="EY301" s="75">
        <f>+INPUT!GF311</f>
        <v>1955</v>
      </c>
      <c r="EZ301" s="240">
        <f>+INPUT!GG311</f>
        <v>9.0959821428571388</v>
      </c>
      <c r="FA301" s="75">
        <f>+INPUT!GH311</f>
        <v>2055</v>
      </c>
      <c r="FB301" s="240">
        <f>+INPUT!GI311</f>
        <v>5.1150895140664971</v>
      </c>
      <c r="FC301" s="75">
        <f>+INPUT!GJ311</f>
        <v>2165</v>
      </c>
      <c r="FD301" s="240">
        <f>+INPUT!GK311</f>
        <v>5.3527980535279767</v>
      </c>
      <c r="FE301" s="75">
        <f>+INPUT!GL311</f>
        <v>2174</v>
      </c>
      <c r="FF301" s="240">
        <f>+INPUT!GM311</f>
        <v>0.41570438799077181</v>
      </c>
      <c r="FG301" s="75">
        <f>+INPUT!GN311</f>
        <v>2376</v>
      </c>
      <c r="FH301" s="240">
        <f>+INPUT!GO311</f>
        <v>9.2916283348666013</v>
      </c>
      <c r="FI301" s="75">
        <f>+INPUT!GP311</f>
        <v>2602.9152870364032</v>
      </c>
      <c r="FJ301" s="240">
        <f>+INPUT!GQ311</f>
        <v>9.5503066934513186</v>
      </c>
      <c r="FK301" s="75">
        <f>+INPUT!GR311</f>
        <v>2748.4884361014279</v>
      </c>
      <c r="FL301" s="240">
        <f>+INPUT!GS311</f>
        <v>5.5926963812475776</v>
      </c>
      <c r="FM301" s="75">
        <f>+INPUT!GT311</f>
        <v>2874.7964646615442</v>
      </c>
      <c r="FN301" s="240">
        <f>+INPUT!GU311</f>
        <v>4.5955452059051538</v>
      </c>
      <c r="FO301" s="75">
        <f>+INPUT!GV311</f>
        <v>3001.0736734060256</v>
      </c>
      <c r="FP301" s="240">
        <f>+INPUT!GW311</f>
        <v>4.3925617099069427</v>
      </c>
      <c r="FQ301" s="75">
        <f>+INPUT!GX311</f>
        <v>3095.4910163891154</v>
      </c>
      <c r="FR301" s="240">
        <f>+INPUT!GY311</f>
        <v>3.1461187980744256</v>
      </c>
      <c r="FS301" s="240">
        <f>+INPUT!GZ311</f>
        <v>5.4330141247787456</v>
      </c>
    </row>
    <row r="302" spans="1:176" ht="12.75" hidden="1" customHeight="1" outlineLevel="1" x14ac:dyDescent="0.2">
      <c r="A302" s="246"/>
      <c r="B302" s="75"/>
      <c r="C302" s="155"/>
      <c r="D302" s="75"/>
      <c r="E302" s="155"/>
      <c r="F302" s="75"/>
      <c r="G302" s="155"/>
      <c r="H302" s="75"/>
      <c r="I302" s="155"/>
      <c r="J302" s="75"/>
      <c r="K302" s="155"/>
      <c r="L302" s="75"/>
      <c r="M302" s="155"/>
      <c r="N302" s="75"/>
      <c r="O302" s="155"/>
      <c r="P302" s="75"/>
      <c r="Q302" s="155"/>
      <c r="R302" s="75"/>
      <c r="S302" s="155"/>
      <c r="T302" s="75"/>
      <c r="U302" s="155"/>
      <c r="V302" s="75"/>
      <c r="W302" s="155"/>
      <c r="X302" s="75"/>
      <c r="Y302" s="155"/>
      <c r="Z302" s="75"/>
      <c r="AA302" s="155"/>
      <c r="AB302" s="75"/>
      <c r="AC302" s="155"/>
      <c r="AD302" s="75"/>
      <c r="AE302" s="155"/>
      <c r="AF302" s="75"/>
      <c r="AG302" s="155"/>
      <c r="AH302" s="75"/>
      <c r="AI302" s="240"/>
      <c r="AJ302" s="75"/>
      <c r="AK302" s="240"/>
      <c r="AL302" s="75"/>
      <c r="AM302" s="240"/>
      <c r="AN302" s="75"/>
      <c r="AO302" s="240"/>
      <c r="AP302" s="75"/>
      <c r="AQ302" s="240"/>
      <c r="AR302" s="75"/>
      <c r="AS302" s="240"/>
      <c r="AT302" s="75"/>
      <c r="AU302" s="240"/>
      <c r="AV302" s="75"/>
      <c r="AW302" s="240"/>
      <c r="AX302" s="75"/>
      <c r="AY302" s="240"/>
      <c r="AZ302" s="75"/>
      <c r="BA302" s="240"/>
      <c r="BB302" s="75"/>
      <c r="BC302" s="240"/>
      <c r="BD302" s="75"/>
      <c r="BE302" s="240"/>
      <c r="BF302" s="75"/>
      <c r="BG302" s="240"/>
      <c r="BH302" s="75"/>
      <c r="BI302" s="240"/>
      <c r="BJ302" s="75"/>
      <c r="BK302" s="240"/>
      <c r="BL302" s="75"/>
      <c r="BM302" s="240"/>
      <c r="BN302" s="75"/>
      <c r="BO302" s="240"/>
      <c r="BP302" s="75"/>
      <c r="BQ302" s="240"/>
      <c r="BR302" s="75"/>
      <c r="BS302" s="240"/>
      <c r="BT302" s="75"/>
      <c r="BU302" s="240"/>
      <c r="BV302" s="75"/>
      <c r="BW302" s="240"/>
      <c r="BX302" s="75"/>
      <c r="BY302" s="240"/>
      <c r="BZ302" s="75"/>
      <c r="CA302" s="240"/>
      <c r="CB302" s="75"/>
      <c r="CC302" s="240"/>
      <c r="CD302" s="75"/>
      <c r="CE302" s="240"/>
      <c r="CF302" s="75"/>
      <c r="CG302" s="240"/>
      <c r="CH302" s="75"/>
      <c r="CI302" s="240"/>
      <c r="CJ302" s="75"/>
      <c r="CK302" s="240"/>
      <c r="CL302" s="75"/>
      <c r="CM302" s="240"/>
      <c r="CN302" s="75"/>
      <c r="CO302" s="240"/>
      <c r="CP302" s="75"/>
      <c r="CQ302" s="240"/>
      <c r="CR302" s="75"/>
      <c r="CS302" s="240"/>
      <c r="CT302" s="75"/>
      <c r="CU302" s="240"/>
      <c r="CV302" s="75"/>
      <c r="CW302" s="240"/>
      <c r="CX302" s="75"/>
      <c r="CY302" s="240"/>
      <c r="CZ302" s="75"/>
      <c r="DA302" s="240"/>
      <c r="DB302" s="75"/>
      <c r="DC302" s="240"/>
      <c r="DD302" s="75"/>
      <c r="DE302" s="240"/>
      <c r="DF302" s="75"/>
      <c r="DG302" s="240"/>
      <c r="DH302" s="75"/>
      <c r="DI302" s="240"/>
      <c r="DJ302" s="75"/>
      <c r="DK302" s="240"/>
      <c r="DL302" s="75"/>
      <c r="DM302" s="240"/>
      <c r="DN302" s="75"/>
      <c r="DO302" s="240"/>
      <c r="DP302" s="75"/>
      <c r="DQ302" s="240"/>
      <c r="DR302" s="75"/>
      <c r="DS302" s="240"/>
      <c r="DT302" s="75"/>
      <c r="DU302" s="240"/>
      <c r="DV302" s="75"/>
      <c r="DW302" s="240"/>
      <c r="DX302" s="75"/>
      <c r="DY302" s="240"/>
      <c r="DZ302" s="75"/>
      <c r="EA302" s="240"/>
      <c r="EB302" s="155"/>
      <c r="EC302" s="75"/>
      <c r="ED302" s="155"/>
      <c r="EE302" s="75"/>
      <c r="EF302" s="155"/>
      <c r="EG302" s="75"/>
      <c r="EH302" s="155"/>
      <c r="EI302" s="75"/>
      <c r="EJ302" s="240"/>
      <c r="EK302" s="75"/>
      <c r="EL302" s="240"/>
      <c r="EM302" s="75"/>
      <c r="EN302" s="240"/>
      <c r="EO302" s="75"/>
      <c r="EP302" s="240"/>
      <c r="EQ302" s="75"/>
      <c r="ER302" s="240"/>
      <c r="ES302" s="75"/>
      <c r="ET302" s="240"/>
      <c r="EU302" s="75"/>
      <c r="EV302" s="240"/>
      <c r="EW302" s="75"/>
      <c r="EX302" s="240"/>
      <c r="EY302" s="75"/>
      <c r="EZ302" s="240"/>
      <c r="FA302" s="75"/>
      <c r="FB302" s="240"/>
      <c r="FC302" s="75"/>
      <c r="FD302" s="240"/>
      <c r="FE302" s="75"/>
      <c r="FF302" s="240"/>
      <c r="FG302" s="75"/>
      <c r="FH302" s="240"/>
      <c r="FI302" s="75"/>
      <c r="FJ302" s="240"/>
      <c r="FK302" s="75"/>
      <c r="FL302" s="240"/>
      <c r="FM302" s="75"/>
      <c r="FN302" s="240"/>
      <c r="FO302" s="75"/>
      <c r="FP302" s="240"/>
      <c r="FQ302" s="75"/>
      <c r="FR302" s="240"/>
      <c r="FS302" s="240"/>
    </row>
    <row r="303" spans="1:176" ht="12.75" hidden="1" customHeight="1" outlineLevel="1" x14ac:dyDescent="0.2">
      <c r="A303" s="512" t="s">
        <v>706</v>
      </c>
      <c r="B303" s="506">
        <f>+INPUT!AA316</f>
        <v>45</v>
      </c>
      <c r="C303" s="513">
        <f>+INPUT!AB316</f>
        <v>-28.571428571428569</v>
      </c>
      <c r="D303" s="506">
        <f>+INPUT!AC316</f>
        <v>54</v>
      </c>
      <c r="E303" s="513">
        <f>+INPUT!AD316</f>
        <v>12.5</v>
      </c>
      <c r="F303" s="506">
        <f>+INPUT!AE316</f>
        <v>42</v>
      </c>
      <c r="G303" s="513">
        <f>+INPUT!AF316</f>
        <v>0</v>
      </c>
      <c r="H303" s="506">
        <f>+INPUT!AG316</f>
        <v>68</v>
      </c>
      <c r="I303" s="513" t="str">
        <f>+INPUT!AH316</f>
        <v>NM</v>
      </c>
      <c r="J303" s="506">
        <f>+INPUT!AI316</f>
        <v>58</v>
      </c>
      <c r="K303" s="513">
        <f>+INPUT!AJ316</f>
        <v>28.888888888888886</v>
      </c>
      <c r="L303" s="506">
        <f>+INPUT!AK316</f>
        <v>60</v>
      </c>
      <c r="M303" s="513">
        <f>+INPUT!AL316</f>
        <v>11.111111111111114</v>
      </c>
      <c r="N303" s="506">
        <f>+INPUT!AM316</f>
        <v>58</v>
      </c>
      <c r="O303" s="513">
        <f>+INPUT!AN316</f>
        <v>38.095238095238102</v>
      </c>
      <c r="P303" s="506">
        <f>+INPUT!AO316</f>
        <v>90</v>
      </c>
      <c r="Q303" s="513">
        <f>+INPUT!AP316</f>
        <v>32.35294117647058</v>
      </c>
      <c r="R303" s="506">
        <f>+INPUT!AQ316</f>
        <v>134</v>
      </c>
      <c r="S303" s="513" t="str">
        <f>+INPUT!AR316</f>
        <v>NM</v>
      </c>
      <c r="T303" s="506">
        <f>+INPUT!AS316</f>
        <v>105</v>
      </c>
      <c r="U303" s="513">
        <f>+INPUT!AT316</f>
        <v>75</v>
      </c>
      <c r="V303" s="506">
        <f>+INPUT!AU316</f>
        <v>116</v>
      </c>
      <c r="W303" s="513">
        <f>+INPUT!AV316</f>
        <v>100</v>
      </c>
      <c r="X303" s="506">
        <f>+INPUT!AW316</f>
        <v>109</v>
      </c>
      <c r="Y303" s="513">
        <f>+INPUT!AX316</f>
        <v>21.1111111111111</v>
      </c>
      <c r="Z303" s="506">
        <f>+INPUT!AY316</f>
        <v>154</v>
      </c>
      <c r="AA303" s="513">
        <f>+INPUT!AZ316</f>
        <v>14.925373134328353</v>
      </c>
      <c r="AB303" s="506">
        <f>+INPUT!BA316</f>
        <v>127</v>
      </c>
      <c r="AC303" s="513">
        <f>+INPUT!BB316</f>
        <v>20.952380952380949</v>
      </c>
      <c r="AD303" s="506">
        <f>+INPUT!BC316</f>
        <v>102</v>
      </c>
      <c r="AE303" s="513">
        <f>+INPUT!BD316</f>
        <v>-12.068965517241381</v>
      </c>
      <c r="AF303" s="506">
        <f>+INPUT!BE316</f>
        <v>167</v>
      </c>
      <c r="AG303" s="513">
        <f>+INPUT!BF316</f>
        <v>53.211009174311926</v>
      </c>
      <c r="AH303" s="506">
        <f>+INPUT!BG316</f>
        <v>175</v>
      </c>
      <c r="AI303" s="507">
        <f>+INPUT!BH316</f>
        <v>13.63636363636364</v>
      </c>
      <c r="AJ303" s="506">
        <f>+INPUT!BI316</f>
        <v>167</v>
      </c>
      <c r="AK303" s="507">
        <f>+INPUT!BJ316</f>
        <v>31.496062992125985</v>
      </c>
      <c r="AL303" s="506">
        <f>+INPUT!BK316</f>
        <v>161</v>
      </c>
      <c r="AM303" s="507">
        <f>+INPUT!BL316</f>
        <v>57.843137254901961</v>
      </c>
      <c r="AN303" s="506">
        <f>+INPUT!BM316</f>
        <v>198</v>
      </c>
      <c r="AO303" s="507">
        <f>+INPUT!BN316</f>
        <v>18.562874251497007</v>
      </c>
      <c r="AP303" s="506">
        <f>+INPUT!BO316</f>
        <v>119</v>
      </c>
      <c r="AQ303" s="507">
        <f>+INPUT!BP316</f>
        <v>-32</v>
      </c>
      <c r="AR303" s="506">
        <f>+INPUT!BQ316</f>
        <v>190</v>
      </c>
      <c r="AS303" s="507">
        <f>+INPUT!BR316</f>
        <v>13.772455089820369</v>
      </c>
      <c r="AT303" s="506">
        <f>+INPUT!BS316</f>
        <v>-8</v>
      </c>
      <c r="AU303" s="507" t="str">
        <f>+INPUT!BT316</f>
        <v>NM</v>
      </c>
      <c r="AV303" s="506">
        <f>+INPUT!BU316</f>
        <v>-69</v>
      </c>
      <c r="AW303" s="507" t="str">
        <f>+INPUT!BV316</f>
        <v>NM</v>
      </c>
      <c r="AX303" s="506">
        <f>+INPUT!BW316</f>
        <v>-1</v>
      </c>
      <c r="AY303" s="507" t="str">
        <f>+INPUT!BX316</f>
        <v>NM</v>
      </c>
      <c r="AZ303" s="506">
        <f>+INPUT!BY316</f>
        <v>33</v>
      </c>
      <c r="BA303" s="507" t="str">
        <f>+INPUT!BZ316</f>
        <v>NM</v>
      </c>
      <c r="BB303" s="506">
        <f>+INPUT!CA316</f>
        <v>29</v>
      </c>
      <c r="BC303" s="507" t="str">
        <f>+INPUT!CB316</f>
        <v>NM</v>
      </c>
      <c r="BD303" s="506">
        <f>+INPUT!CC316</f>
        <v>-6</v>
      </c>
      <c r="BE303" s="507" t="str">
        <f>+INPUT!CD316</f>
        <v>NM</v>
      </c>
      <c r="BF303" s="506">
        <f>+INPUT!CE316</f>
        <v>83</v>
      </c>
      <c r="BG303" s="507" t="str">
        <f>+INPUT!CF316</f>
        <v>NM</v>
      </c>
      <c r="BH303" s="506">
        <f>+INPUT!CG316</f>
        <v>124</v>
      </c>
      <c r="BI303" s="507" t="str">
        <f>+INPUT!CH316</f>
        <v>NM</v>
      </c>
      <c r="BJ303" s="506">
        <f>+INPUT!CI316</f>
        <v>148</v>
      </c>
      <c r="BK303" s="507" t="str">
        <f>+INPUT!CJ316</f>
        <v>NM</v>
      </c>
      <c r="BL303" s="506">
        <f>+INPUT!CK316</f>
        <v>132</v>
      </c>
      <c r="BM303" s="507" t="str">
        <f>+INPUT!CL316</f>
        <v>NM</v>
      </c>
      <c r="BN303" s="506">
        <f>+INPUT!CM316</f>
        <v>154</v>
      </c>
      <c r="BO303" s="507">
        <f>+INPUT!CN316</f>
        <v>85.542168674698786</v>
      </c>
      <c r="BP303" s="506">
        <f>+INPUT!CO316</f>
        <v>227</v>
      </c>
      <c r="BQ303" s="507">
        <f>+INPUT!CP316</f>
        <v>83.064516129032256</v>
      </c>
      <c r="BR303" s="506">
        <f>+INPUT!CQ316</f>
        <v>123</v>
      </c>
      <c r="BS303" s="507">
        <f>+INPUT!CR316</f>
        <v>-16.891891891891902</v>
      </c>
      <c r="BT303" s="506">
        <f>+INPUT!CS316</f>
        <v>256</v>
      </c>
      <c r="BU303" s="507">
        <f>+INPUT!CT316</f>
        <v>93.939393939393938</v>
      </c>
      <c r="BV303" s="506">
        <f>+INPUT!CU316</f>
        <v>147</v>
      </c>
      <c r="BW303" s="507">
        <f>+INPUT!CV316</f>
        <v>-4.5454545454545467</v>
      </c>
      <c r="BX303" s="506">
        <f>+INPUT!CW316</f>
        <v>55</v>
      </c>
      <c r="BY303" s="507" t="str">
        <f>+INPUT!CX316</f>
        <v>NM</v>
      </c>
      <c r="BZ303" s="506">
        <f>+INPUT!CY316</f>
        <v>197</v>
      </c>
      <c r="CA303" s="507">
        <f>+INPUT!CZ316</f>
        <v>60.162601626016254</v>
      </c>
      <c r="CB303" s="506">
        <f>+INPUT!DA316</f>
        <v>185</v>
      </c>
      <c r="CC303" s="507">
        <f>+INPUT!DB316</f>
        <v>-27.734375</v>
      </c>
      <c r="CD303" s="506">
        <f>+INPUT!DC316</f>
        <v>169</v>
      </c>
      <c r="CE303" s="507">
        <f>+INPUT!DD316</f>
        <v>14.965986394557817</v>
      </c>
      <c r="CF303" s="506">
        <f>+INPUT!DE316</f>
        <v>172</v>
      </c>
      <c r="CG303" s="507" t="str">
        <f>+INPUT!DF316</f>
        <v>NM</v>
      </c>
      <c r="CH303" s="506">
        <f>+INPUT!DG316</f>
        <v>173</v>
      </c>
      <c r="CI303" s="507">
        <f>+INPUT!DH316</f>
        <v>-12.182741116751274</v>
      </c>
      <c r="CJ303" s="506">
        <f>+INPUT!DI316</f>
        <v>209</v>
      </c>
      <c r="CK303" s="507">
        <f>+INPUT!DJ316</f>
        <v>12.972972972972968</v>
      </c>
      <c r="CL303" s="506">
        <f>+INPUT!DK316</f>
        <v>193</v>
      </c>
      <c r="CM303" s="507">
        <f>+INPUT!DL316</f>
        <v>14.201183431952671</v>
      </c>
      <c r="CN303" s="506">
        <f>+INPUT!DM316</f>
        <v>200</v>
      </c>
      <c r="CO303" s="507">
        <f>+INPUT!DN316</f>
        <v>16.279069767441868</v>
      </c>
      <c r="CP303" s="506">
        <f>+INPUT!DO316</f>
        <v>200</v>
      </c>
      <c r="CQ303" s="507">
        <f>+INPUT!DP316</f>
        <v>15.606936416184979</v>
      </c>
      <c r="CR303" s="506">
        <f>+INPUT!DQ316</f>
        <v>192</v>
      </c>
      <c r="CS303" s="507">
        <f>+INPUT!DR316</f>
        <v>-8.1339712918660325</v>
      </c>
      <c r="CT303" s="506">
        <f>+INPUT!DS316</f>
        <v>205</v>
      </c>
      <c r="CU303" s="507">
        <f>+INPUT!DT316</f>
        <v>6.2176165803108745</v>
      </c>
      <c r="CV303" s="506">
        <f>+INPUT!DU316</f>
        <v>196</v>
      </c>
      <c r="CW303" s="507">
        <f>+INPUT!DV316</f>
        <v>-2</v>
      </c>
      <c r="CX303" s="506">
        <f>+INPUT!DW316</f>
        <v>180</v>
      </c>
      <c r="CY303" s="507">
        <f>+INPUT!DX316</f>
        <v>-10</v>
      </c>
      <c r="CZ303" s="506">
        <f>+INPUT!DY316</f>
        <v>198</v>
      </c>
      <c r="DA303" s="507">
        <f>+INPUT!DZ316</f>
        <v>3.125</v>
      </c>
      <c r="DB303" s="506">
        <f>+INPUT!EA316</f>
        <v>165</v>
      </c>
      <c r="DC303" s="507">
        <f>+INPUT!EB316</f>
        <v>-19.512195121951208</v>
      </c>
      <c r="DD303" s="506">
        <f>+INPUT!EC316</f>
        <v>207</v>
      </c>
      <c r="DE303" s="507">
        <f>+INPUT!ED316</f>
        <v>5.6122448979591724</v>
      </c>
      <c r="DF303" s="506">
        <f>+INPUT!EE316</f>
        <v>191</v>
      </c>
      <c r="DG303" s="507">
        <f>+INPUT!EF316</f>
        <v>6.1111111111111143</v>
      </c>
      <c r="DH303" s="506">
        <f>+INPUT!EG316</f>
        <v>224</v>
      </c>
      <c r="DI303" s="507">
        <f>+INPUT!EH316</f>
        <v>13.131313131313121</v>
      </c>
      <c r="DJ303" s="506">
        <f>+INPUT!EI316</f>
        <v>196</v>
      </c>
      <c r="DK303" s="507">
        <f>+INPUT!EJ316</f>
        <v>18.787878787878796</v>
      </c>
      <c r="DL303" s="506">
        <f>+INPUT!EK316</f>
        <v>218</v>
      </c>
      <c r="DM303" s="507">
        <f>+INPUT!EL316</f>
        <v>5.3140096618357546</v>
      </c>
      <c r="DN303" s="506">
        <f>+INPUT!EM316</f>
        <v>259</v>
      </c>
      <c r="DO303" s="507">
        <f>+INPUT!EN316</f>
        <v>35.602094240837687</v>
      </c>
      <c r="DP303" s="506">
        <f>+INPUT!EO316</f>
        <v>306</v>
      </c>
      <c r="DQ303" s="507">
        <f>+INPUT!EP316</f>
        <v>36.607142857142861</v>
      </c>
      <c r="DR303" s="506">
        <f>+INPUT!EQ316</f>
        <v>248.7617701489836</v>
      </c>
      <c r="DS303" s="507">
        <f>+INPUT!ER316</f>
        <v>26.9192704841753</v>
      </c>
      <c r="DT303" s="506">
        <f>+INPUT!ES316</f>
        <v>248.08063873696301</v>
      </c>
      <c r="DU303" s="507">
        <f>+INPUT!ET316</f>
        <v>13.798458136221555</v>
      </c>
      <c r="DV303" s="506">
        <f>+INPUT!EU316</f>
        <v>251.77587255214337</v>
      </c>
      <c r="DW303" s="507">
        <f>+INPUT!EV316</f>
        <v>-2.7892383968558363</v>
      </c>
      <c r="DX303" s="506">
        <f>+INPUT!EW316</f>
        <v>251.08787798307571</v>
      </c>
      <c r="DY303" s="507">
        <f>+INPUT!EX316</f>
        <v>-17.945137914027541</v>
      </c>
      <c r="DZ303" s="506"/>
      <c r="EA303" s="507"/>
      <c r="EB303" s="513">
        <f>+INPUT!FI316</f>
        <v>-20.647773279352222</v>
      </c>
      <c r="EC303" s="506">
        <f>+INPUT!FJ316</f>
        <v>184</v>
      </c>
      <c r="ED303" s="513">
        <f>+INPUT!FK316</f>
        <v>-6.1224489795918373</v>
      </c>
      <c r="EE303" s="506">
        <f>+INPUT!FL316</f>
        <v>209</v>
      </c>
      <c r="EF303" s="513">
        <f>+INPUT!FM316</f>
        <v>13.58695652173914</v>
      </c>
      <c r="EG303" s="506">
        <f>+INPUT!FN316</f>
        <v>266</v>
      </c>
      <c r="EH303" s="513">
        <f>+INPUT!FO316</f>
        <v>27.272727272727266</v>
      </c>
      <c r="EI303" s="506">
        <f>+INPUT!FP316</f>
        <v>464</v>
      </c>
      <c r="EJ303" s="507">
        <f>+INPUT!FQ316</f>
        <v>74.436090225563902</v>
      </c>
      <c r="EK303" s="506">
        <f>+INPUT!FR316</f>
        <v>550</v>
      </c>
      <c r="EL303" s="507">
        <f>+INPUT!FS316</f>
        <v>18.534482758620683</v>
      </c>
      <c r="EM303" s="506">
        <f>+INPUT!FT316</f>
        <v>701</v>
      </c>
      <c r="EN303" s="507">
        <f>+INPUT!FU316</f>
        <v>27.454545454545467</v>
      </c>
      <c r="EO303" s="506">
        <f>+INPUT!FV316</f>
        <v>232</v>
      </c>
      <c r="EP303" s="507" t="str">
        <f>+INPUT!FW316</f>
        <v>NM</v>
      </c>
      <c r="EQ303" s="506">
        <f>+INPUT!FX316</f>
        <v>55</v>
      </c>
      <c r="ER303" s="507" t="str">
        <f>+INPUT!FY316</f>
        <v>NM</v>
      </c>
      <c r="ES303" s="506">
        <f>+INPUT!FZ316</f>
        <v>487</v>
      </c>
      <c r="ET303" s="507" t="str">
        <f>+INPUT!GA316</f>
        <v>NM</v>
      </c>
      <c r="EU303" s="506">
        <f>+INPUT!GB316</f>
        <v>760</v>
      </c>
      <c r="EV303" s="507">
        <f>+INPUT!GC316</f>
        <v>56.057494866529765</v>
      </c>
      <c r="EW303" s="506">
        <f>+INPUT!GD316</f>
        <v>584</v>
      </c>
      <c r="EX303" s="507">
        <f>+INPUT!GE316</f>
        <v>-23.15789473684211</v>
      </c>
      <c r="EY303" s="506">
        <f>+INPUT!GF316</f>
        <v>723</v>
      </c>
      <c r="EZ303" s="507">
        <f>+INPUT!GG316</f>
        <v>23.80136986301369</v>
      </c>
      <c r="FA303" s="506">
        <f>+INPUT!GH316</f>
        <v>785</v>
      </c>
      <c r="FB303" s="507">
        <f>+INPUT!GI316</f>
        <v>8.5753803596127227</v>
      </c>
      <c r="FC303" s="506">
        <f>+INPUT!GJ316</f>
        <v>779</v>
      </c>
      <c r="FD303" s="507">
        <f>+INPUT!GK316</f>
        <v>-0.76433121019108796</v>
      </c>
      <c r="FE303" s="506">
        <f>+INPUT!GL316</f>
        <v>787</v>
      </c>
      <c r="FF303" s="507">
        <f>+INPUT!GM316</f>
        <v>1.0269576379974268</v>
      </c>
      <c r="FG303" s="506">
        <f>+INPUT!GN316</f>
        <v>979</v>
      </c>
      <c r="FH303" s="507">
        <f>+INPUT!GO316</f>
        <v>24.396442185514616</v>
      </c>
      <c r="FI303" s="506">
        <f>+INPUT!GP316</f>
        <v>999.70615942116592</v>
      </c>
      <c r="FJ303" s="507">
        <f>+INPUT!GQ316</f>
        <v>2.1150316058392065</v>
      </c>
      <c r="FK303" s="506">
        <f>+INPUT!GR316</f>
        <v>1054.0497274759146</v>
      </c>
      <c r="FL303" s="507">
        <f>+INPUT!GS316</f>
        <v>5.4359541093768655</v>
      </c>
      <c r="FM303" s="506">
        <f>+INPUT!GT316</f>
        <v>1100.2812256602492</v>
      </c>
      <c r="FN303" s="507">
        <f>+INPUT!GU316</f>
        <v>4.3860832159259928</v>
      </c>
      <c r="FO303" s="506">
        <f>+INPUT!GV316</f>
        <v>1146.0943113049616</v>
      </c>
      <c r="FP303" s="507">
        <f>+INPUT!GW316</f>
        <v>4.1637614617318519</v>
      </c>
      <c r="FQ303" s="506">
        <f>+INPUT!GX316</f>
        <v>1178.6654491965437</v>
      </c>
      <c r="FR303" s="507">
        <f>+INPUT!GY316</f>
        <v>2.8419247500230682</v>
      </c>
      <c r="FS303" s="507">
        <f>+INPUT!GZ316</f>
        <v>3.7818892258121739</v>
      </c>
    </row>
    <row r="304" spans="1:176" ht="12.75" hidden="1" customHeight="1" outlineLevel="2" x14ac:dyDescent="0.2">
      <c r="A304" s="471" t="s">
        <v>683</v>
      </c>
      <c r="B304" s="472">
        <f>(B293+B294-B298-B299-B300)-B303</f>
        <v>0</v>
      </c>
      <c r="C304" s="473"/>
      <c r="D304" s="472">
        <f>(D293+D294-D298-D299-D300)-D303</f>
        <v>0</v>
      </c>
      <c r="E304" s="473"/>
      <c r="F304" s="472">
        <f>(F293+F294-F298-F299-F300)-F303</f>
        <v>0</v>
      </c>
      <c r="G304" s="473"/>
      <c r="H304" s="472">
        <f>(H293+H294-H298-H299-H300)-H303</f>
        <v>0</v>
      </c>
      <c r="I304" s="473"/>
      <c r="J304" s="472">
        <f>(J293+J294-J298-J299-J300)-J303</f>
        <v>0</v>
      </c>
      <c r="K304" s="473"/>
      <c r="L304" s="472">
        <f>(L293+L294-L298-L299-L300)-L303</f>
        <v>0</v>
      </c>
      <c r="M304" s="473"/>
      <c r="N304" s="472">
        <f>(N293+N294-N298-N299-N300)-N303</f>
        <v>0</v>
      </c>
      <c r="O304" s="473"/>
      <c r="P304" s="472">
        <f>(P293+P294-P298-P299-P300)-P303</f>
        <v>0</v>
      </c>
      <c r="Q304" s="473"/>
      <c r="R304" s="472">
        <f>(R293+R294-R298-R299-R300)-R303</f>
        <v>0</v>
      </c>
      <c r="S304" s="473"/>
      <c r="T304" s="472">
        <f>(T293+T294-T298-T299-T300)-T303</f>
        <v>0</v>
      </c>
      <c r="U304" s="473"/>
      <c r="V304" s="472">
        <f>(V293+V294-V298-V299-V300)-V303</f>
        <v>0</v>
      </c>
      <c r="W304" s="473"/>
      <c r="X304" s="472">
        <f>(X293+X294-X298-X299-X300)-X303</f>
        <v>0</v>
      </c>
      <c r="Y304" s="473"/>
      <c r="Z304" s="472">
        <f>(Z293+Z294-Z298-Z299-Z300)-Z303</f>
        <v>0</v>
      </c>
      <c r="AA304" s="473"/>
      <c r="AB304" s="472">
        <f>(AB293+AB294-AB298-AB299-AB300)-AB303</f>
        <v>0</v>
      </c>
      <c r="AC304" s="473"/>
      <c r="AD304" s="472">
        <f>(AD293+AD294-AD298-AD299-AD300)-AD303</f>
        <v>0</v>
      </c>
      <c r="AE304" s="473"/>
      <c r="AF304" s="472">
        <f>(AF293+AF294-AF298-AF299-AF300)-AF303</f>
        <v>0</v>
      </c>
      <c r="AG304" s="473"/>
      <c r="AH304" s="472">
        <f>(AH293+AH294-AH298-AH299-AH300)-AH303</f>
        <v>0</v>
      </c>
      <c r="AI304" s="473"/>
      <c r="AJ304" s="472">
        <f>(AJ293+AJ294-AJ298-AJ299-AJ300)-AJ303</f>
        <v>0</v>
      </c>
      <c r="AK304" s="473"/>
      <c r="AL304" s="472">
        <f>(AL293+AL294-AL298-AL299-AL300)-AL303</f>
        <v>0</v>
      </c>
      <c r="AM304" s="473"/>
      <c r="AN304" s="472">
        <f>(AN293+AN294-AN298-AN299-AN300)-AN303</f>
        <v>0</v>
      </c>
      <c r="AO304" s="473"/>
      <c r="AP304" s="472">
        <f>(AP293+AP294-AP298-AP299-AP300)-AP303</f>
        <v>0</v>
      </c>
      <c r="AQ304" s="473"/>
      <c r="AR304" s="472">
        <f>(AR293+AR294-AR298-AR299-AR300)-AR303</f>
        <v>0</v>
      </c>
      <c r="AS304" s="473"/>
      <c r="AT304" s="472">
        <f>(AT293+AT294-AT298-AT299-AT300)-AT303</f>
        <v>0</v>
      </c>
      <c r="AU304" s="473"/>
      <c r="AV304" s="472">
        <f>(AV293+AV294-AV298-AV299-AV300)-AV303</f>
        <v>0</v>
      </c>
      <c r="AW304" s="473"/>
      <c r="AX304" s="472">
        <f>(AX293+AX294-AX298-AX299-AX300)-AX303</f>
        <v>0</v>
      </c>
      <c r="AY304" s="473"/>
      <c r="AZ304" s="472">
        <f>(AZ293+AZ294-AZ298-AZ299-AZ300)-AZ303</f>
        <v>0</v>
      </c>
      <c r="BA304" s="473"/>
      <c r="BB304" s="472">
        <f>(BB293+BB294-BB298-BB299-BB300)-BB303</f>
        <v>0</v>
      </c>
      <c r="BC304" s="473"/>
      <c r="BD304" s="472">
        <f>(BD293+BD294-BD298-BD299-BD300)-BD303</f>
        <v>0</v>
      </c>
      <c r="BE304" s="473"/>
      <c r="BF304" s="472">
        <f>(BF293+BF294-BF298-BF299-BF300)-BF303</f>
        <v>0</v>
      </c>
      <c r="BG304" s="473"/>
      <c r="BH304" s="472">
        <f>(BH293+BH294-BH298-BH299-BH300)-BH303</f>
        <v>0</v>
      </c>
      <c r="BI304" s="473"/>
      <c r="BJ304" s="472">
        <f>(BJ293+BJ294-BJ298-BJ299-BJ300)-BJ303</f>
        <v>0</v>
      </c>
      <c r="BK304" s="473"/>
      <c r="BL304" s="472">
        <f>(BL293+BL294-BL298-BL299-BL300)-BL303</f>
        <v>0</v>
      </c>
      <c r="BM304" s="473"/>
      <c r="BN304" s="472">
        <f>(BN293+BN294-BN298-BN299-BN300)-BN303</f>
        <v>0</v>
      </c>
      <c r="BO304" s="473"/>
      <c r="BP304" s="472">
        <f>(BP293+BP294-BP298-BP299-BP300)-BP303</f>
        <v>0</v>
      </c>
      <c r="BQ304" s="473"/>
      <c r="BR304" s="472">
        <f>(BR293+BR294-BR298-BR299-BR300)-BR303</f>
        <v>0</v>
      </c>
      <c r="BS304" s="473"/>
      <c r="BT304" s="472">
        <f>(BT293+BT294-BT298-BT299-BT300)-BT303</f>
        <v>0</v>
      </c>
      <c r="BU304" s="473"/>
      <c r="BV304" s="472">
        <f>(BV293+BV294-BV298-BV299-BV300)-BV303</f>
        <v>0</v>
      </c>
      <c r="BW304" s="473"/>
      <c r="BX304" s="472">
        <f>(BX293+BX294-BX298-BX299-BX300)-BX303</f>
        <v>0</v>
      </c>
      <c r="BY304" s="473"/>
      <c r="BZ304" s="472">
        <f>(BZ293+BZ294-BZ298-BZ299-BZ300)-BZ303</f>
        <v>0</v>
      </c>
      <c r="CA304" s="473"/>
      <c r="CB304" s="472">
        <f>(CB293+CB294-CB298-CB299-CB300)-CB303</f>
        <v>0</v>
      </c>
      <c r="CC304" s="473"/>
      <c r="CD304" s="472">
        <f>(CD293+CD294-CD298-CD299-CD300)-CD303</f>
        <v>0</v>
      </c>
      <c r="CE304" s="473"/>
      <c r="CF304" s="472">
        <f>(CF293+CF294-CF298-CF299-CF300)-CF303</f>
        <v>0</v>
      </c>
      <c r="CG304" s="473"/>
      <c r="CH304" s="472">
        <f>(CH293+CH294-CH298-CH299-CH300)-CH303</f>
        <v>0</v>
      </c>
      <c r="CI304" s="473"/>
      <c r="CJ304" s="472">
        <f>(CJ293+CJ294-CJ298-CJ299-CJ300)-CJ303</f>
        <v>0</v>
      </c>
      <c r="CK304" s="473"/>
      <c r="CL304" s="472">
        <f>(CL293+CL294-CL298-CL299-CL300)-CL303</f>
        <v>0</v>
      </c>
      <c r="CM304" s="473"/>
      <c r="CN304" s="472">
        <f>(CN293+CN294-CN298-CN299-CN300)-CN303</f>
        <v>0</v>
      </c>
      <c r="CO304" s="473"/>
      <c r="CP304" s="472">
        <f>(CP293+CP294-CP298-CP299-CP300)-CP303</f>
        <v>0</v>
      </c>
      <c r="CQ304" s="473"/>
      <c r="CR304" s="472">
        <f>(CR293+CR294-CR298-CR299-CR300)-CR303</f>
        <v>0</v>
      </c>
      <c r="CS304" s="473"/>
      <c r="CT304" s="472">
        <f>(CT293+CT294-CT298-CT299-CT300)-CT303</f>
        <v>0</v>
      </c>
      <c r="CU304" s="473"/>
      <c r="CV304" s="472">
        <f>(CV293+CV294-CV298-CV299-CV300)-CV303</f>
        <v>0</v>
      </c>
      <c r="CW304" s="473"/>
      <c r="CX304" s="472">
        <f>(CX293+CX294-CX298-CX299-CX300)-CX303</f>
        <v>0</v>
      </c>
      <c r="CY304" s="473"/>
      <c r="CZ304" s="472">
        <f>(CZ293+CZ294-CZ298-CZ299-CZ300)-CZ303</f>
        <v>0</v>
      </c>
      <c r="DA304" s="473"/>
      <c r="DB304" s="472">
        <f>(DB293+DB294-DB298-DB299-DB300)-DB303</f>
        <v>0</v>
      </c>
      <c r="DC304" s="473"/>
      <c r="DD304" s="472">
        <f>(DD293+DD294-DD298-DD299-DD300)-DD303</f>
        <v>0</v>
      </c>
      <c r="DE304" s="473"/>
      <c r="DF304" s="472">
        <f>(DF293+DF294-DF298-DF299-DF300)-DF303</f>
        <v>0</v>
      </c>
      <c r="DG304" s="473"/>
      <c r="DH304" s="472">
        <f>(DH293+DH294-DH298-DH299-DH300)-DH303</f>
        <v>0</v>
      </c>
      <c r="DI304" s="473"/>
      <c r="DJ304" s="472">
        <f>(DJ293+DJ294-DJ298-DJ299-DJ300)-DJ303</f>
        <v>0</v>
      </c>
      <c r="DK304" s="473"/>
      <c r="DL304" s="472">
        <f>(DL293+DL294-DL298-DL299-DL300)-DL303</f>
        <v>0</v>
      </c>
      <c r="DM304" s="473"/>
      <c r="DN304" s="472">
        <f>(DN293+DN294-DN298-DN299-DN300)-DN303</f>
        <v>0</v>
      </c>
      <c r="DO304" s="473"/>
      <c r="DP304" s="472">
        <f>(DP293+DP294-DP298-DP299-DP300)-DP303</f>
        <v>0</v>
      </c>
      <c r="DQ304" s="473"/>
      <c r="DR304" s="472">
        <f>(DR293+DR294-DR298-DR299-DR300)-DR303</f>
        <v>0</v>
      </c>
      <c r="DS304" s="473"/>
      <c r="DT304" s="472">
        <f>(DT293+DT294-DT298-DT299-DT300)-DT303</f>
        <v>0</v>
      </c>
      <c r="DU304" s="473"/>
      <c r="DV304" s="472">
        <f>(DV293+DV294-DV298-DV299-DV300)-DV303</f>
        <v>0</v>
      </c>
      <c r="DW304" s="473"/>
      <c r="DX304" s="472">
        <f>(DX293+DX294-DX298-DX299-DX300)-DX303</f>
        <v>0</v>
      </c>
      <c r="DY304" s="473"/>
      <c r="DZ304" s="472"/>
      <c r="EA304" s="473"/>
      <c r="EB304" s="473"/>
      <c r="EC304" s="472">
        <f>(EC293+EC294-EC298-EC299-EC300)-EC303</f>
        <v>0</v>
      </c>
      <c r="ED304" s="473"/>
      <c r="EE304" s="472">
        <f>(EE293+EE294-EE298-EE299-EE300)-EE303</f>
        <v>0</v>
      </c>
      <c r="EF304" s="473"/>
      <c r="EG304" s="472">
        <f>(EG293+EG294-EG298-EG299-EG300)-EG303</f>
        <v>0</v>
      </c>
      <c r="EH304" s="473"/>
      <c r="EI304" s="472">
        <f>(EI293+EI294-EI298-EI299-EI300)-EI303</f>
        <v>0</v>
      </c>
      <c r="EJ304" s="473"/>
      <c r="EK304" s="472">
        <f>(EK293+EK294-EK298-EK299-EK300)-EK303</f>
        <v>0</v>
      </c>
      <c r="EL304" s="473"/>
      <c r="EM304" s="472">
        <f>(EM293+EM294-EM298-EM299-EM300)-EM303</f>
        <v>0</v>
      </c>
      <c r="EN304" s="473"/>
      <c r="EO304" s="472">
        <f>(EO293+EO294-EO298-EO299-EO300)-EO303</f>
        <v>0</v>
      </c>
      <c r="EP304" s="473"/>
      <c r="EQ304" s="472">
        <f>(EQ293+EQ294-EQ298-EQ299-EQ300)-EQ303</f>
        <v>0</v>
      </c>
      <c r="ER304" s="473"/>
      <c r="ES304" s="472">
        <f>(ES293+ES294-ES298-ES299-ES300)-ES303</f>
        <v>0</v>
      </c>
      <c r="ET304" s="473"/>
      <c r="EU304" s="472">
        <f>(EU293+EU294-EU298-EU299-EU300)-EU303</f>
        <v>0</v>
      </c>
      <c r="EV304" s="473"/>
      <c r="EW304" s="472">
        <f>(EW293+EW294-EW298-EW299-EW300)-EW303</f>
        <v>0</v>
      </c>
      <c r="EX304" s="473"/>
      <c r="EY304" s="472">
        <f>(EY293+EY294-EY298-EY299-EY300)-EY303</f>
        <v>0</v>
      </c>
      <c r="EZ304" s="473"/>
      <c r="FA304" s="472">
        <f>(FA293+FA294-FA298-FA299-FA300)-FA303</f>
        <v>0</v>
      </c>
      <c r="FB304" s="473"/>
      <c r="FC304" s="472">
        <f>(FC293+FC294-FC298-FC299-FC300)-FC303</f>
        <v>0</v>
      </c>
      <c r="FD304" s="473"/>
      <c r="FE304" s="472">
        <f>(FE293+FE294-FE298-FE299-FE300)-FE303</f>
        <v>0</v>
      </c>
      <c r="FF304" s="473"/>
      <c r="FG304" s="472">
        <f>(FG293+FG294-FG298-FG299-FG300)-FG303</f>
        <v>0</v>
      </c>
      <c r="FH304" s="473"/>
      <c r="FI304" s="472">
        <f>(FI293+FI294-FI298-FI299-FI300)-FI303</f>
        <v>0</v>
      </c>
      <c r="FJ304" s="473"/>
      <c r="FK304" s="472">
        <f>(FK293+FK294-FK298-FK299-FK300)-FK303</f>
        <v>0</v>
      </c>
      <c r="FL304" s="473"/>
      <c r="FM304" s="472">
        <f>(FM293+FM294-FM298-FM299-FM300)-FM303</f>
        <v>0</v>
      </c>
      <c r="FN304" s="473"/>
      <c r="FO304" s="472">
        <f>(FO293+FO294-FO298-FO299-FO300)-FO303</f>
        <v>0</v>
      </c>
      <c r="FP304" s="473"/>
      <c r="FQ304" s="472">
        <f>(FQ293+FQ294-FQ298-FQ299-FQ300)-FQ303</f>
        <v>0</v>
      </c>
      <c r="FR304" s="473"/>
      <c r="FS304" s="474"/>
      <c r="FT304" s="351"/>
    </row>
    <row r="305" spans="1:175" ht="12.75" hidden="1" customHeight="1" outlineLevel="1" collapsed="1" x14ac:dyDescent="0.2">
      <c r="A305" s="76"/>
      <c r="B305" s="75"/>
      <c r="C305" s="155"/>
      <c r="D305" s="75"/>
      <c r="E305" s="155"/>
      <c r="F305" s="75"/>
      <c r="G305" s="155"/>
      <c r="H305" s="75"/>
      <c r="I305" s="155"/>
      <c r="J305" s="75"/>
      <c r="K305" s="155"/>
      <c r="L305" s="75"/>
      <c r="M305" s="155"/>
      <c r="N305" s="75"/>
      <c r="O305" s="155"/>
      <c r="P305" s="75"/>
      <c r="Q305" s="155"/>
      <c r="R305" s="75"/>
      <c r="S305" s="155"/>
      <c r="T305" s="75"/>
      <c r="U305" s="155"/>
      <c r="V305" s="75"/>
      <c r="W305" s="155"/>
      <c r="X305" s="75"/>
      <c r="Y305" s="155"/>
      <c r="Z305" s="75"/>
      <c r="AA305" s="155"/>
      <c r="AB305" s="75"/>
      <c r="AC305" s="155"/>
      <c r="AD305" s="75"/>
      <c r="AE305" s="155"/>
      <c r="AF305" s="75"/>
      <c r="AG305" s="155"/>
      <c r="AH305" s="75"/>
      <c r="AI305" s="240"/>
      <c r="AJ305" s="75"/>
      <c r="AK305" s="240"/>
      <c r="AL305" s="75"/>
      <c r="AM305" s="240"/>
      <c r="AN305" s="75"/>
      <c r="AO305" s="240"/>
      <c r="AP305" s="75"/>
      <c r="AQ305" s="240"/>
      <c r="AR305" s="75"/>
      <c r="AS305" s="240"/>
      <c r="AT305" s="75"/>
      <c r="AU305" s="240"/>
      <c r="AV305" s="75"/>
      <c r="AW305" s="240"/>
      <c r="AX305" s="75"/>
      <c r="AY305" s="240"/>
      <c r="AZ305" s="75"/>
      <c r="BA305" s="240"/>
      <c r="BB305" s="75"/>
      <c r="BC305" s="240"/>
      <c r="BD305" s="75"/>
      <c r="BE305" s="240"/>
      <c r="BF305" s="75"/>
      <c r="BG305" s="240"/>
      <c r="BH305" s="75"/>
      <c r="BI305" s="240"/>
      <c r="BJ305" s="75"/>
      <c r="BK305" s="240"/>
      <c r="BL305" s="75"/>
      <c r="BM305" s="240"/>
      <c r="BN305" s="75"/>
      <c r="BO305" s="240"/>
      <c r="BP305" s="75"/>
      <c r="BQ305" s="240"/>
      <c r="BR305" s="75"/>
      <c r="BS305" s="240"/>
      <c r="BT305" s="75"/>
      <c r="BU305" s="240"/>
      <c r="BV305" s="75"/>
      <c r="BW305" s="240"/>
      <c r="BX305" s="75"/>
      <c r="BY305" s="240"/>
      <c r="BZ305" s="75"/>
      <c r="CA305" s="240"/>
      <c r="CB305" s="75"/>
      <c r="CC305" s="240"/>
      <c r="CD305" s="75"/>
      <c r="CE305" s="240"/>
      <c r="CF305" s="75"/>
      <c r="CG305" s="240"/>
      <c r="CH305" s="75"/>
      <c r="CI305" s="240"/>
      <c r="CJ305" s="75"/>
      <c r="CK305" s="240"/>
      <c r="CL305" s="75"/>
      <c r="CM305" s="240"/>
      <c r="CN305" s="75"/>
      <c r="CO305" s="240"/>
      <c r="CP305" s="75"/>
      <c r="CQ305" s="240"/>
      <c r="CR305" s="75"/>
      <c r="CS305" s="240"/>
      <c r="CT305" s="75"/>
      <c r="CU305" s="240"/>
      <c r="CV305" s="75"/>
      <c r="CW305" s="240"/>
      <c r="CX305" s="75"/>
      <c r="CY305" s="240"/>
      <c r="CZ305" s="75"/>
      <c r="DA305" s="240"/>
      <c r="DB305" s="75"/>
      <c r="DC305" s="240"/>
      <c r="DD305" s="75"/>
      <c r="DE305" s="240"/>
      <c r="DF305" s="75"/>
      <c r="DG305" s="240"/>
      <c r="DH305" s="75"/>
      <c r="DI305" s="240"/>
      <c r="DJ305" s="75"/>
      <c r="DK305" s="240"/>
      <c r="DL305" s="75"/>
      <c r="DM305" s="240"/>
      <c r="DN305" s="75"/>
      <c r="DO305" s="240"/>
      <c r="DP305" s="75"/>
      <c r="DQ305" s="240"/>
      <c r="DR305" s="75"/>
      <c r="DS305" s="240"/>
      <c r="DT305" s="75"/>
      <c r="DU305" s="240"/>
      <c r="DV305" s="75"/>
      <c r="DW305" s="240"/>
      <c r="DX305" s="75"/>
      <c r="DY305" s="240"/>
      <c r="DZ305" s="75"/>
      <c r="EA305" s="240"/>
      <c r="EB305" s="155"/>
      <c r="EC305" s="75"/>
      <c r="ED305" s="155"/>
      <c r="EE305" s="75"/>
      <c r="EF305" s="155"/>
      <c r="EG305" s="75"/>
      <c r="EH305" s="155"/>
      <c r="EI305" s="75"/>
      <c r="EJ305" s="240"/>
      <c r="EK305" s="75"/>
      <c r="EL305" s="240"/>
      <c r="EM305" s="75"/>
      <c r="EN305" s="240"/>
      <c r="EO305" s="75"/>
      <c r="EP305" s="240"/>
      <c r="EQ305" s="75"/>
      <c r="ER305" s="240"/>
      <c r="ES305" s="75"/>
      <c r="ET305" s="240"/>
      <c r="EU305" s="75"/>
      <c r="EV305" s="240"/>
      <c r="EW305" s="75"/>
      <c r="EX305" s="240"/>
      <c r="EY305" s="75"/>
      <c r="EZ305" s="240"/>
      <c r="FA305" s="75"/>
      <c r="FB305" s="240"/>
      <c r="FC305" s="75"/>
      <c r="FD305" s="240"/>
      <c r="FE305" s="75"/>
      <c r="FF305" s="240"/>
      <c r="FG305" s="75"/>
      <c r="FH305" s="240"/>
      <c r="FI305" s="75"/>
      <c r="FJ305" s="240"/>
      <c r="FK305" s="75"/>
      <c r="FL305" s="240"/>
      <c r="FM305" s="75"/>
      <c r="FN305" s="240"/>
      <c r="FO305" s="75"/>
      <c r="FP305" s="240"/>
      <c r="FQ305" s="75"/>
      <c r="FR305" s="240"/>
      <c r="FS305" s="240"/>
    </row>
    <row r="306" spans="1:175" ht="12.75" hidden="1" customHeight="1" outlineLevel="1" x14ac:dyDescent="0.2">
      <c r="A306" s="70" t="s">
        <v>255</v>
      </c>
      <c r="B306" s="75"/>
      <c r="C306" s="155"/>
      <c r="D306" s="75"/>
      <c r="E306" s="155"/>
      <c r="F306" s="75"/>
      <c r="G306" s="155"/>
      <c r="H306" s="75"/>
      <c r="I306" s="155"/>
      <c r="J306" s="75"/>
      <c r="K306" s="155"/>
      <c r="L306" s="75"/>
      <c r="M306" s="155"/>
      <c r="N306" s="75"/>
      <c r="O306" s="155"/>
      <c r="P306" s="75"/>
      <c r="Q306" s="155"/>
      <c r="R306" s="75"/>
      <c r="S306" s="155"/>
      <c r="T306" s="75"/>
      <c r="U306" s="155"/>
      <c r="V306" s="75"/>
      <c r="W306" s="155"/>
      <c r="X306" s="75"/>
      <c r="Y306" s="155"/>
      <c r="Z306" s="75"/>
      <c r="AA306" s="155"/>
      <c r="AB306" s="75"/>
      <c r="AC306" s="155"/>
      <c r="AD306" s="75"/>
      <c r="AE306" s="155"/>
      <c r="AF306" s="75"/>
      <c r="AG306" s="155"/>
      <c r="AH306" s="75"/>
      <c r="AI306" s="240"/>
      <c r="AJ306" s="75"/>
      <c r="AK306" s="240"/>
      <c r="AL306" s="75"/>
      <c r="AM306" s="240"/>
      <c r="AN306" s="75"/>
      <c r="AO306" s="240"/>
      <c r="AP306" s="75"/>
      <c r="AQ306" s="240"/>
      <c r="AR306" s="75"/>
      <c r="AS306" s="240"/>
      <c r="AT306" s="75"/>
      <c r="AU306" s="240"/>
      <c r="AV306" s="75"/>
      <c r="AW306" s="240"/>
      <c r="AX306" s="75"/>
      <c r="AY306" s="240"/>
      <c r="AZ306" s="75"/>
      <c r="BA306" s="240"/>
      <c r="BB306" s="75"/>
      <c r="BC306" s="240"/>
      <c r="BD306" s="75"/>
      <c r="BE306" s="240"/>
      <c r="BF306" s="75"/>
      <c r="BG306" s="240"/>
      <c r="BH306" s="75"/>
      <c r="BI306" s="240"/>
      <c r="BJ306" s="75"/>
      <c r="BK306" s="240"/>
      <c r="BL306" s="75"/>
      <c r="BM306" s="240"/>
      <c r="BN306" s="75"/>
      <c r="BO306" s="240"/>
      <c r="BP306" s="75"/>
      <c r="BQ306" s="240"/>
      <c r="BR306" s="75"/>
      <c r="BS306" s="240"/>
      <c r="BT306" s="75"/>
      <c r="BU306" s="240"/>
      <c r="BV306" s="75"/>
      <c r="BW306" s="240"/>
      <c r="BX306" s="75"/>
      <c r="BY306" s="240"/>
      <c r="BZ306" s="75"/>
      <c r="CA306" s="240"/>
      <c r="CB306" s="75"/>
      <c r="CC306" s="240"/>
      <c r="CD306" s="75"/>
      <c r="CE306" s="240"/>
      <c r="CF306" s="75"/>
      <c r="CG306" s="240"/>
      <c r="CH306" s="75"/>
      <c r="CI306" s="240"/>
      <c r="CJ306" s="75"/>
      <c r="CK306" s="240"/>
      <c r="CL306" s="75"/>
      <c r="CM306" s="240"/>
      <c r="CN306" s="75"/>
      <c r="CO306" s="240"/>
      <c r="CP306" s="75"/>
      <c r="CQ306" s="240"/>
      <c r="CR306" s="75"/>
      <c r="CS306" s="240"/>
      <c r="CT306" s="75"/>
      <c r="CU306" s="240"/>
      <c r="CV306" s="75"/>
      <c r="CW306" s="240"/>
      <c r="CX306" s="75"/>
      <c r="CY306" s="240"/>
      <c r="CZ306" s="75"/>
      <c r="DA306" s="240"/>
      <c r="DB306" s="75"/>
      <c r="DC306" s="240"/>
      <c r="DD306" s="75"/>
      <c r="DE306" s="240"/>
      <c r="DF306" s="75"/>
      <c r="DG306" s="240"/>
      <c r="DH306" s="75"/>
      <c r="DI306" s="240"/>
      <c r="DJ306" s="75"/>
      <c r="DK306" s="240"/>
      <c r="DL306" s="75"/>
      <c r="DM306" s="240"/>
      <c r="DN306" s="75"/>
      <c r="DO306" s="240"/>
      <c r="DP306" s="75"/>
      <c r="DQ306" s="240"/>
      <c r="DR306" s="75"/>
      <c r="DS306" s="240"/>
      <c r="DT306" s="75"/>
      <c r="DU306" s="240"/>
      <c r="DV306" s="75"/>
      <c r="DW306" s="240"/>
      <c r="DX306" s="75"/>
      <c r="DY306" s="240"/>
      <c r="DZ306" s="75"/>
      <c r="EA306" s="240"/>
      <c r="EB306" s="155"/>
      <c r="EC306" s="75"/>
      <c r="ED306" s="155"/>
      <c r="EE306" s="75"/>
      <c r="EF306" s="155"/>
      <c r="EG306" s="75"/>
      <c r="EH306" s="155"/>
      <c r="EI306" s="75"/>
      <c r="EJ306" s="240"/>
      <c r="EK306" s="75"/>
      <c r="EL306" s="240"/>
      <c r="EM306" s="75"/>
      <c r="EN306" s="240"/>
      <c r="EO306" s="75"/>
      <c r="EP306" s="240"/>
      <c r="EQ306" s="75"/>
      <c r="ER306" s="240"/>
      <c r="ES306" s="75"/>
      <c r="ET306" s="240"/>
      <c r="EU306" s="75"/>
      <c r="EV306" s="240"/>
      <c r="EW306" s="75"/>
      <c r="EX306" s="240"/>
      <c r="EY306" s="75"/>
      <c r="EZ306" s="240"/>
      <c r="FA306" s="75"/>
      <c r="FB306" s="240"/>
      <c r="FC306" s="75"/>
      <c r="FD306" s="240"/>
      <c r="FE306" s="75"/>
      <c r="FF306" s="240"/>
      <c r="FG306" s="75"/>
      <c r="FH306" s="240"/>
      <c r="FI306" s="75"/>
      <c r="FJ306" s="240"/>
      <c r="FK306" s="75"/>
      <c r="FL306" s="240"/>
      <c r="FM306" s="75"/>
      <c r="FN306" s="240"/>
      <c r="FO306" s="75"/>
      <c r="FP306" s="240"/>
      <c r="FQ306" s="75"/>
      <c r="FR306" s="240"/>
      <c r="FS306" s="240"/>
    </row>
    <row r="307" spans="1:175" ht="12.75" hidden="1" customHeight="1" outlineLevel="1" x14ac:dyDescent="0.2">
      <c r="A307" s="77" t="str">
        <f>+INPUT!B317</f>
        <v>Pretax Margin</v>
      </c>
      <c r="B307" s="81">
        <f>+INPUT!AA317</f>
        <v>14.754098360655737</v>
      </c>
      <c r="C307" s="155">
        <f>+INPUT!AB317</f>
        <v>-18.969555035128792</v>
      </c>
      <c r="D307" s="81">
        <f>+INPUT!AC317</f>
        <v>16.119402985074625</v>
      </c>
      <c r="E307" s="155">
        <f>+INPUT!AD317</f>
        <v>13.171641791044777</v>
      </c>
      <c r="F307" s="81">
        <f>+INPUT!AE317</f>
        <v>12.280701754385964</v>
      </c>
      <c r="G307" s="155">
        <f>+INPUT!AF317</f>
        <v>-7.3099415204678593</v>
      </c>
      <c r="H307" s="81">
        <f>+INPUT!AG317</f>
        <v>17.941952506596305</v>
      </c>
      <c r="I307" s="155">
        <f>+INPUT!AH317</f>
        <v>88.101114988509664</v>
      </c>
      <c r="J307" s="81">
        <f>+INPUT!AI317</f>
        <v>16.714697406340058</v>
      </c>
      <c r="K307" s="155">
        <f>+INPUT!AJ317</f>
        <v>13.288504642971503</v>
      </c>
      <c r="L307" s="81">
        <f>+INPUT!AK317</f>
        <v>16.393442622950818</v>
      </c>
      <c r="M307" s="155">
        <f>+INPUT!AL317</f>
        <v>1.7000607164541606</v>
      </c>
      <c r="N307" s="81">
        <f>+INPUT!AM317</f>
        <v>17.417417417417415</v>
      </c>
      <c r="O307" s="155">
        <f>+INPUT!AN317</f>
        <v>41.827541827541836</v>
      </c>
      <c r="P307" s="81">
        <f>+INPUT!AO317</f>
        <v>21.5311004784689</v>
      </c>
      <c r="Q307" s="155">
        <f>+INPUT!AP317</f>
        <v>20.004221784407548</v>
      </c>
      <c r="R307" s="81">
        <f>+INPUT!AQ317</f>
        <v>32.057416267942585</v>
      </c>
      <c r="S307" s="155">
        <f>+INPUT!AR317</f>
        <v>91.791783534070305</v>
      </c>
      <c r="T307" s="81">
        <f>+INPUT!AS317</f>
        <v>26.184538653366584</v>
      </c>
      <c r="U307" s="155">
        <f>+INPUT!AT317</f>
        <v>59.725685785536172</v>
      </c>
      <c r="V307" s="81">
        <f>+INPUT!AU317</f>
        <v>26.303854875283445</v>
      </c>
      <c r="W307" s="155">
        <f>+INPUT!AV317</f>
        <v>51.02040816326533</v>
      </c>
      <c r="X307" s="81">
        <f>+INPUT!AW317</f>
        <v>25</v>
      </c>
      <c r="Y307" s="155">
        <f>+INPUT!AX317</f>
        <v>16.1111111111111</v>
      </c>
      <c r="Z307" s="81">
        <f>+INPUT!AY317</f>
        <v>31.818181818181817</v>
      </c>
      <c r="AA307" s="155">
        <f>+INPUT!AZ317</f>
        <v>-0.74626865671643827</v>
      </c>
      <c r="AB307" s="81">
        <f>+INPUT!BA317</f>
        <v>27.912087912087912</v>
      </c>
      <c r="AC307" s="155">
        <f>+INPUT!BB317</f>
        <v>6.597592883307172</v>
      </c>
      <c r="AD307" s="81">
        <f>+INPUT!BC317</f>
        <v>23.18181818181818</v>
      </c>
      <c r="AE307" s="155">
        <f>+INPUT!BD317</f>
        <v>-11.869122257053291</v>
      </c>
      <c r="AF307" s="81">
        <f>+INPUT!BE317</f>
        <v>27.287581699346404</v>
      </c>
      <c r="AG307" s="155">
        <f>+INPUT!BF317</f>
        <v>9.1503267973856168</v>
      </c>
      <c r="AH307" s="81">
        <f>+INPUT!BG317</f>
        <v>32.11009174311927</v>
      </c>
      <c r="AI307" s="240">
        <f>+INPUT!BH317</f>
        <v>0.91743119266057249</v>
      </c>
      <c r="AJ307" s="81">
        <f>+INPUT!BI317</f>
        <v>28.305084745762709</v>
      </c>
      <c r="AK307" s="240">
        <f>+INPUT!BJ317</f>
        <v>1.4079807820632624</v>
      </c>
      <c r="AL307" s="81">
        <f>+INPUT!BK317</f>
        <v>28.853046594982079</v>
      </c>
      <c r="AM307" s="240">
        <f>+INPUT!BL317</f>
        <v>24.464122566589367</v>
      </c>
      <c r="AN307" s="81">
        <f>+INPUT!BM317</f>
        <v>31.629392971246006</v>
      </c>
      <c r="AO307" s="240">
        <f>+INPUT!BN317</f>
        <v>15.911308373668007</v>
      </c>
      <c r="AP307" s="81">
        <f>+INPUT!BO317</f>
        <v>21.715328467153284</v>
      </c>
      <c r="AQ307" s="240">
        <f>+INPUT!BP317</f>
        <v>-32.372262773722639</v>
      </c>
      <c r="AR307" s="81">
        <f>+INPUT!BQ317</f>
        <v>33.687943262411345</v>
      </c>
      <c r="AS307" s="240">
        <f>+INPUT!BR317</f>
        <v>19.017284579776629</v>
      </c>
      <c r="AT307" s="81">
        <f>+INPUT!BS317</f>
        <v>-2.318840579710145</v>
      </c>
      <c r="AU307" s="240" t="str">
        <f>+INPUT!BT317</f>
        <v>NM</v>
      </c>
      <c r="AV307" s="81">
        <f>+INPUT!BU317</f>
        <v>-30.131004366812224</v>
      </c>
      <c r="AW307" s="240" t="str">
        <f>+INPUT!BV317</f>
        <v>NM</v>
      </c>
      <c r="AX307" s="81">
        <f>+INPUT!BW317</f>
        <v>-0.38022813688212925</v>
      </c>
      <c r="AY307" s="240" t="str">
        <f>+INPUT!BX317</f>
        <v>NM</v>
      </c>
      <c r="AZ307" s="81">
        <f>+INPUT!BY317</f>
        <v>9.6491228070175428</v>
      </c>
      <c r="BA307" s="240" t="str">
        <f>+INPUT!BZ317</f>
        <v>NM</v>
      </c>
      <c r="BB307" s="81">
        <f>+INPUT!CA317</f>
        <v>9.9656357388316152</v>
      </c>
      <c r="BC307" s="240" t="str">
        <f>+INPUT!CB317</f>
        <v>NM</v>
      </c>
      <c r="BD307" s="81">
        <f>+INPUT!CC317</f>
        <v>-1.662049861495845</v>
      </c>
      <c r="BE307" s="240" t="str">
        <f>+INPUT!CD317</f>
        <v>NM</v>
      </c>
      <c r="BF307" s="81">
        <f>+INPUT!CE317</f>
        <v>21.899736147757256</v>
      </c>
      <c r="BG307" s="240" t="str">
        <f>+INPUT!CF317</f>
        <v>NM</v>
      </c>
      <c r="BH307" s="81">
        <f>+INPUT!CG317</f>
        <v>25.101214574898783</v>
      </c>
      <c r="BI307" s="240" t="str">
        <f>+INPUT!CH317</f>
        <v>NM</v>
      </c>
      <c r="BJ307" s="81">
        <f>+INPUT!CI317</f>
        <v>30.020283975659229</v>
      </c>
      <c r="BK307" s="240" t="str">
        <f>+INPUT!CJ317</f>
        <v>NM</v>
      </c>
      <c r="BL307" s="81">
        <f>+INPUT!CK317</f>
        <v>25.287356321839084</v>
      </c>
      <c r="BM307" s="240" t="str">
        <f>+INPUT!CL317</f>
        <v>NM</v>
      </c>
      <c r="BN307" s="81">
        <f>+INPUT!CM317</f>
        <v>28.102189781021895</v>
      </c>
      <c r="BO307" s="240">
        <f>+INPUT!CN317</f>
        <v>28.322047313340931</v>
      </c>
      <c r="BP307" s="81">
        <f>+INPUT!CO317</f>
        <v>34.603658536585364</v>
      </c>
      <c r="BQ307" s="240">
        <f>+INPUT!CP317</f>
        <v>37.856510621557845</v>
      </c>
      <c r="BR307" s="81">
        <f>+INPUT!CQ317</f>
        <v>23.976608187134502</v>
      </c>
      <c r="BS307" s="240">
        <f>+INPUT!CR317</f>
        <v>-20.131974079342513</v>
      </c>
      <c r="BT307" s="81">
        <f>+INPUT!CS317</f>
        <v>35.904628330995791</v>
      </c>
      <c r="BU307" s="240">
        <f>+INPUT!CT317</f>
        <v>41.986484763483332</v>
      </c>
      <c r="BV307" s="81">
        <f>+INPUT!CU317</f>
        <v>26.110124333925398</v>
      </c>
      <c r="BW307" s="240">
        <f>+INPUT!CV317</f>
        <v>-7.0886484740836408</v>
      </c>
      <c r="BX307" s="81">
        <f>+INPUT!CW317</f>
        <v>11.088709677419354</v>
      </c>
      <c r="BY307" s="240" t="str">
        <f>+INPUT!CX317</f>
        <v>NM</v>
      </c>
      <c r="BZ307" s="81">
        <f>+INPUT!CY317</f>
        <v>31.170886075949365</v>
      </c>
      <c r="CA307" s="240">
        <f>+INPUT!CZ317</f>
        <v>30.005402902130271</v>
      </c>
      <c r="CB307" s="81">
        <f>+INPUT!DA317</f>
        <v>27.007299270072991</v>
      </c>
      <c r="CC307" s="240">
        <f>+INPUT!DB317</f>
        <v>-24.780451642335763</v>
      </c>
      <c r="CD307" s="81">
        <f>+INPUT!DC317</f>
        <v>26.323987538940806</v>
      </c>
      <c r="CE307" s="240">
        <f>+INPUT!DD317</f>
        <v>0.81908152669166157</v>
      </c>
      <c r="CF307" s="81">
        <f>+INPUT!DE317</f>
        <v>25.981873111782477</v>
      </c>
      <c r="CG307" s="240" t="str">
        <f>+INPUT!DF317</f>
        <v>NM</v>
      </c>
      <c r="CH307" s="81">
        <f>+INPUT!DG317</f>
        <v>26.656394453004623</v>
      </c>
      <c r="CI307" s="240">
        <f>+INPUT!DH317</f>
        <v>-14.483039115233893</v>
      </c>
      <c r="CJ307" s="81">
        <f>+INPUT!DI317</f>
        <v>28.827586206896548</v>
      </c>
      <c r="CK307" s="240">
        <f>+INPUT!DJ317</f>
        <v>6.7399813606709955</v>
      </c>
      <c r="CL307" s="81">
        <f>+INPUT!DK317</f>
        <v>28.935532233883059</v>
      </c>
      <c r="CM307" s="240">
        <f>+INPUT!DL317</f>
        <v>9.9207792553427652</v>
      </c>
      <c r="CN307" s="81">
        <f>+INPUT!DM317</f>
        <v>28.050490883590463</v>
      </c>
      <c r="CO307" s="240">
        <f>+INPUT!DN317</f>
        <v>7.9617730519586445</v>
      </c>
      <c r="CP307" s="81">
        <f>+INPUT!DO317</f>
        <v>27.739251040221912</v>
      </c>
      <c r="CQ307" s="240">
        <f>+INPUT!DP317</f>
        <v>4.0622770237226575</v>
      </c>
      <c r="CR307" s="81">
        <f>+INPUT!DQ317</f>
        <v>25.981055480378888</v>
      </c>
      <c r="CS307" s="240">
        <f>+INPUT!DR317</f>
        <v>-9.8743290752406807</v>
      </c>
      <c r="CT307" s="81">
        <f>+INPUT!DS317</f>
        <v>27.967257844474762</v>
      </c>
      <c r="CU307" s="240">
        <f>+INPUT!DT317</f>
        <v>-3.3463161540690862</v>
      </c>
      <c r="CV307" s="81">
        <f>+INPUT!DU317</f>
        <v>25.257731958762886</v>
      </c>
      <c r="CW307" s="240">
        <f>+INPUT!DV317</f>
        <v>-9.9561855670103085</v>
      </c>
      <c r="CX307" s="81">
        <f>+INPUT!DW317</f>
        <v>25.568181818181817</v>
      </c>
      <c r="CY307" s="240">
        <f>+INPUT!DX317</f>
        <v>-7.8267045454545467</v>
      </c>
      <c r="CZ307" s="81">
        <f>+INPUT!DY317</f>
        <v>27.086183310533517</v>
      </c>
      <c r="DA307" s="240">
        <f>+INPUT!DZ317</f>
        <v>4.2535909712722457</v>
      </c>
      <c r="DB307" s="81">
        <f>+INPUT!EA317</f>
        <v>23.371104815864022</v>
      </c>
      <c r="DC307" s="240">
        <f>+INPUT!EB317</f>
        <v>-16.434049609617915</v>
      </c>
      <c r="DD307" s="81">
        <f>+INPUT!EC317</f>
        <v>28.278688524590162</v>
      </c>
      <c r="DE307" s="240">
        <f>+INPUT!ED317</f>
        <v>11.960521913683507</v>
      </c>
      <c r="DF307" s="81">
        <f>+INPUT!EE317</f>
        <v>25.466666666666665</v>
      </c>
      <c r="DG307" s="240">
        <f>+INPUT!EF317</f>
        <v>-0.39703703703703752</v>
      </c>
      <c r="DH307" s="81">
        <f>+INPUT!EG317</f>
        <v>28.978007761966364</v>
      </c>
      <c r="DI307" s="240">
        <f>+INPUT!EH317</f>
        <v>6.984462999986917</v>
      </c>
      <c r="DJ307" s="81">
        <f>+INPUT!EI317</f>
        <v>25.925925925925924</v>
      </c>
      <c r="DK307" s="240">
        <f>+INPUT!EJ317</f>
        <v>10.931537598204272</v>
      </c>
      <c r="DL307" s="81">
        <f>+INPUT!EK317</f>
        <v>27.700127064803048</v>
      </c>
      <c r="DM307" s="240">
        <f>+INPUT!EL317</f>
        <v>-2.0459274809863217</v>
      </c>
      <c r="DN307" s="81">
        <f>+INPUT!EM317</f>
        <v>31.318016928657798</v>
      </c>
      <c r="DO307" s="240">
        <f>+INPUT!EN317</f>
        <v>22.976506264363096</v>
      </c>
      <c r="DP307" s="81">
        <f>+INPUT!EO317</f>
        <v>31.065989847715734</v>
      </c>
      <c r="DQ307" s="240">
        <f>+INPUT!EP317</f>
        <v>7.2054024655547408</v>
      </c>
      <c r="DR307" s="81">
        <f>+INPUT!EQ317</f>
        <v>27.882107642408293</v>
      </c>
      <c r="DS307" s="240">
        <f>+INPUT!ER317</f>
        <v>7.5452723350034177</v>
      </c>
      <c r="DT307" s="81">
        <f>+INPUT!ES317</f>
        <v>27.870908318312519</v>
      </c>
      <c r="DU307" s="240">
        <f>+INPUT!ET317</f>
        <v>0.61653599317411079</v>
      </c>
      <c r="DV307" s="81">
        <f>+INPUT!EU317</f>
        <v>27.875190436709051</v>
      </c>
      <c r="DW307" s="240">
        <f>+INPUT!EV317</f>
        <v>-10.993117794755264</v>
      </c>
      <c r="DX307" s="81">
        <f>+INPUT!EW317</f>
        <v>27.378512092657694</v>
      </c>
      <c r="DY307" s="240">
        <f>+INPUT!EX317</f>
        <v>-11.869822185399244</v>
      </c>
      <c r="DZ307" s="81"/>
      <c r="EA307" s="240"/>
      <c r="EB307" s="155">
        <f>+INPUT!FI317</f>
        <v>-16.794142569936355</v>
      </c>
      <c r="EC307" s="81">
        <f>+INPUT!FJ317</f>
        <v>13.886792452830187</v>
      </c>
      <c r="ED307" s="155">
        <f>+INPUT!FK317</f>
        <v>3.5841355410088482</v>
      </c>
      <c r="EE307" s="81">
        <f>+INPUT!FL317</f>
        <v>15.35635562086701</v>
      </c>
      <c r="EF307" s="155">
        <f>+INPUT!FM317</f>
        <v>10.582452161134739</v>
      </c>
      <c r="EG307" s="81">
        <f>+INPUT!FN317</f>
        <v>18.169398907103826</v>
      </c>
      <c r="EH307" s="155">
        <f>+INPUT!FO317</f>
        <v>18.318430203676115</v>
      </c>
      <c r="EI307" s="81">
        <f>+INPUT!FP317</f>
        <v>27.358490566037734</v>
      </c>
      <c r="EJ307" s="240">
        <f>+INPUT!FQ317</f>
        <v>50.574549581500889</v>
      </c>
      <c r="EK307" s="81">
        <f>+INPUT!FR317</f>
        <v>27.624309392265197</v>
      </c>
      <c r="EL307" s="240">
        <f>+INPUT!FS317</f>
        <v>0.97161364069349077</v>
      </c>
      <c r="EM307" s="81">
        <f>+INPUT!FT317</f>
        <v>30.228546787408366</v>
      </c>
      <c r="EN307" s="240">
        <f>+INPUT!FU317</f>
        <v>9.4273393704182666</v>
      </c>
      <c r="EO307" s="81">
        <f>+INPUT!FV317</f>
        <v>13.760379596678529</v>
      </c>
      <c r="EP307" s="240" t="str">
        <f>+INPUT!FW317</f>
        <v>NM</v>
      </c>
      <c r="EQ307" s="81">
        <f>+INPUT!FX317</f>
        <v>4.3754972155926808</v>
      </c>
      <c r="ER307" s="240" t="str">
        <f>+INPUT!FY317</f>
        <v>NM</v>
      </c>
      <c r="ES307" s="81">
        <f>+INPUT!FZ317</f>
        <v>25.79449152542373</v>
      </c>
      <c r="ET307" s="240" t="str">
        <f>+INPUT!GA317</f>
        <v>NM</v>
      </c>
      <c r="EU307" s="81">
        <f>+INPUT!GB317</f>
        <v>31.275720164609055</v>
      </c>
      <c r="EV307" s="240">
        <f>+INPUT!GC317</f>
        <v>21.249609180250289</v>
      </c>
      <c r="EW307" s="81">
        <f>+INPUT!GD317</f>
        <v>24.579124579124578</v>
      </c>
      <c r="EX307" s="240">
        <f>+INPUT!GE317</f>
        <v>-21.411483253588528</v>
      </c>
      <c r="EY307" s="81">
        <f>+INPUT!GF317</f>
        <v>26.997759522031366</v>
      </c>
      <c r="EZ307" s="240">
        <f>+INPUT!GG317</f>
        <v>9.8401996992235183</v>
      </c>
      <c r="FA307" s="81">
        <f>+INPUT!GH317</f>
        <v>27.640845070422536</v>
      </c>
      <c r="FB307" s="240">
        <f>+INPUT!GI317</f>
        <v>2.3819959869869365</v>
      </c>
      <c r="FC307" s="81">
        <f>+INPUT!GJ317</f>
        <v>26.460597826086957</v>
      </c>
      <c r="FD307" s="240">
        <f>+INPUT!GK317</f>
        <v>-4.2699390750484696</v>
      </c>
      <c r="FE307" s="81">
        <f>+INPUT!GL317</f>
        <v>26.578858493752112</v>
      </c>
      <c r="FF307" s="240">
        <f>+INPUT!GM317</f>
        <v>0.44693120103494266</v>
      </c>
      <c r="FG307" s="81">
        <f>+INPUT!GN317</f>
        <v>29.180327868852459</v>
      </c>
      <c r="FH307" s="240">
        <f>+INPUT!GO317</f>
        <v>9.7877392880205036</v>
      </c>
      <c r="FI307" s="81">
        <f>+INPUT!GP317</f>
        <v>27.749408986730188</v>
      </c>
      <c r="FJ307" s="240">
        <f>+INPUT!GQ317</f>
        <v>-4.9037107758122715</v>
      </c>
      <c r="FK307" s="81">
        <f>+INPUT!GR317</f>
        <v>27.71963573100048</v>
      </c>
      <c r="FL307" s="240">
        <f>+INPUT!GS317</f>
        <v>-0.10729329674713028</v>
      </c>
      <c r="FM307" s="81">
        <f>+INPUT!GT317</f>
        <v>27.679489845924959</v>
      </c>
      <c r="FN307" s="240">
        <f>+INPUT!GU317</f>
        <v>-0.14482832842793414</v>
      </c>
      <c r="FO307" s="81">
        <f>+INPUT!GV317</f>
        <v>27.635589287199615</v>
      </c>
      <c r="FP307" s="240">
        <f>+INPUT!GW317</f>
        <v>-0.15860320753637325</v>
      </c>
      <c r="FQ307" s="81">
        <f>+INPUT!GX317</f>
        <v>27.576562970654823</v>
      </c>
      <c r="FR307" s="240">
        <f>+INPUT!GY317</f>
        <v>-0.21358805101409928</v>
      </c>
      <c r="FS307" s="240">
        <f>+INPUT!GZ317</f>
        <v>-1.1242037636447821</v>
      </c>
    </row>
    <row r="308" spans="1:175" ht="12.75" hidden="1" customHeight="1" outlineLevel="1" x14ac:dyDescent="0.2">
      <c r="A308" s="70"/>
      <c r="B308" s="81"/>
      <c r="C308" s="155"/>
      <c r="D308" s="81"/>
      <c r="E308" s="155"/>
      <c r="F308" s="81"/>
      <c r="G308" s="155"/>
      <c r="H308" s="81"/>
      <c r="I308" s="155"/>
      <c r="J308" s="81"/>
      <c r="K308" s="155"/>
      <c r="L308" s="81"/>
      <c r="M308" s="155"/>
      <c r="N308" s="81"/>
      <c r="O308" s="155"/>
      <c r="P308" s="81"/>
      <c r="Q308" s="155"/>
      <c r="R308" s="81"/>
      <c r="S308" s="155"/>
      <c r="T308" s="81"/>
      <c r="U308" s="155"/>
      <c r="V308" s="81"/>
      <c r="W308" s="155"/>
      <c r="X308" s="81"/>
      <c r="Y308" s="155"/>
      <c r="Z308" s="81"/>
      <c r="AA308" s="155"/>
      <c r="AB308" s="81"/>
      <c r="AC308" s="155"/>
      <c r="AD308" s="81"/>
      <c r="AE308" s="155"/>
      <c r="AF308" s="81"/>
      <c r="AG308" s="155"/>
      <c r="AH308" s="81"/>
      <c r="AI308" s="240"/>
      <c r="AJ308" s="81"/>
      <c r="AK308" s="240"/>
      <c r="AL308" s="81"/>
      <c r="AM308" s="240"/>
      <c r="AN308" s="81"/>
      <c r="AO308" s="240"/>
      <c r="AP308" s="81"/>
      <c r="AQ308" s="240"/>
      <c r="AR308" s="81"/>
      <c r="AS308" s="240"/>
      <c r="AT308" s="81"/>
      <c r="AU308" s="240"/>
      <c r="AV308" s="81"/>
      <c r="AW308" s="240"/>
      <c r="AX308" s="81"/>
      <c r="AY308" s="240"/>
      <c r="AZ308" s="81"/>
      <c r="BA308" s="240"/>
      <c r="BB308" s="81"/>
      <c r="BC308" s="240"/>
      <c r="BD308" s="81"/>
      <c r="BE308" s="240"/>
      <c r="BF308" s="81"/>
      <c r="BG308" s="240"/>
      <c r="BH308" s="81"/>
      <c r="BI308" s="240"/>
      <c r="BJ308" s="81"/>
      <c r="BK308" s="240"/>
      <c r="BL308" s="81"/>
      <c r="BM308" s="240"/>
      <c r="BN308" s="81"/>
      <c r="BO308" s="240"/>
      <c r="BP308" s="81"/>
      <c r="BQ308" s="240"/>
      <c r="BR308" s="81"/>
      <c r="BS308" s="240"/>
      <c r="BT308" s="81"/>
      <c r="BU308" s="240"/>
      <c r="BV308" s="81"/>
      <c r="BW308" s="240"/>
      <c r="BX308" s="81"/>
      <c r="BY308" s="240"/>
      <c r="BZ308" s="81"/>
      <c r="CA308" s="240"/>
      <c r="CB308" s="81"/>
      <c r="CC308" s="240"/>
      <c r="CD308" s="81"/>
      <c r="CE308" s="240"/>
      <c r="CF308" s="81"/>
      <c r="CG308" s="240"/>
      <c r="CH308" s="81"/>
      <c r="CI308" s="240"/>
      <c r="CJ308" s="81"/>
      <c r="CK308" s="240"/>
      <c r="CL308" s="81"/>
      <c r="CM308" s="240"/>
      <c r="CN308" s="81"/>
      <c r="CO308" s="240"/>
      <c r="CP308" s="81"/>
      <c r="CQ308" s="240"/>
      <c r="CR308" s="81"/>
      <c r="CS308" s="240"/>
      <c r="CT308" s="81"/>
      <c r="CU308" s="240"/>
      <c r="CV308" s="81"/>
      <c r="CW308" s="240"/>
      <c r="CX308" s="81"/>
      <c r="CY308" s="240"/>
      <c r="CZ308" s="81"/>
      <c r="DA308" s="240"/>
      <c r="DB308" s="81"/>
      <c r="DC308" s="240"/>
      <c r="DD308" s="81"/>
      <c r="DE308" s="240"/>
      <c r="DF308" s="81"/>
      <c r="DG308" s="240"/>
      <c r="DH308" s="81"/>
      <c r="DI308" s="240"/>
      <c r="DJ308" s="81"/>
      <c r="DK308" s="240"/>
      <c r="DL308" s="81"/>
      <c r="DM308" s="240"/>
      <c r="DN308" s="81"/>
      <c r="DO308" s="240"/>
      <c r="DP308" s="81"/>
      <c r="DQ308" s="240"/>
      <c r="DR308" s="81"/>
      <c r="DS308" s="240"/>
      <c r="DT308" s="81"/>
      <c r="DU308" s="240"/>
      <c r="DV308" s="81"/>
      <c r="DW308" s="240"/>
      <c r="DX308" s="81"/>
      <c r="DY308" s="240"/>
      <c r="DZ308" s="81"/>
      <c r="EA308" s="240"/>
      <c r="EB308" s="155"/>
      <c r="EC308" s="81"/>
      <c r="ED308" s="155"/>
      <c r="EE308" s="81"/>
      <c r="EF308" s="155"/>
      <c r="EG308" s="81"/>
      <c r="EH308" s="155"/>
      <c r="EI308" s="81"/>
      <c r="EJ308" s="240"/>
      <c r="EK308" s="81"/>
      <c r="EL308" s="240"/>
      <c r="EM308" s="81"/>
      <c r="EN308" s="240"/>
      <c r="EO308" s="81"/>
      <c r="EP308" s="240"/>
      <c r="EQ308" s="81"/>
      <c r="ER308" s="240"/>
      <c r="ES308" s="81"/>
      <c r="ET308" s="240"/>
      <c r="EU308" s="81"/>
      <c r="EV308" s="240"/>
      <c r="EW308" s="81"/>
      <c r="EX308" s="240"/>
      <c r="EY308" s="81"/>
      <c r="EZ308" s="240"/>
      <c r="FA308" s="81"/>
      <c r="FB308" s="240"/>
      <c r="FC308" s="81"/>
      <c r="FD308" s="240"/>
      <c r="FE308" s="81"/>
      <c r="FF308" s="240"/>
      <c r="FG308" s="81"/>
      <c r="FH308" s="240"/>
      <c r="FI308" s="81"/>
      <c r="FJ308" s="240"/>
      <c r="FK308" s="81"/>
      <c r="FL308" s="240"/>
      <c r="FM308" s="81"/>
      <c r="FN308" s="240"/>
      <c r="FO308" s="81"/>
      <c r="FP308" s="240"/>
      <c r="FQ308" s="81"/>
      <c r="FR308" s="240"/>
      <c r="FS308" s="240"/>
    </row>
    <row r="309" spans="1:175" ht="12.75" hidden="1" customHeight="1" outlineLevel="1" x14ac:dyDescent="0.2">
      <c r="A309" s="70" t="s">
        <v>498</v>
      </c>
      <c r="B309" s="81"/>
      <c r="C309" s="155"/>
      <c r="D309" s="81"/>
      <c r="E309" s="155"/>
      <c r="F309" s="81"/>
      <c r="G309" s="155"/>
      <c r="H309" s="81"/>
      <c r="I309" s="155"/>
      <c r="J309" s="81"/>
      <c r="K309" s="155"/>
      <c r="L309" s="81"/>
      <c r="M309" s="155"/>
      <c r="N309" s="81"/>
      <c r="O309" s="155"/>
      <c r="P309" s="81"/>
      <c r="Q309" s="155"/>
      <c r="R309" s="81"/>
      <c r="S309" s="155"/>
      <c r="T309" s="81"/>
      <c r="U309" s="155"/>
      <c r="V309" s="81"/>
      <c r="W309" s="155"/>
      <c r="X309" s="81"/>
      <c r="Y309" s="155"/>
      <c r="Z309" s="81"/>
      <c r="AA309" s="155"/>
      <c r="AB309" s="81"/>
      <c r="AC309" s="155"/>
      <c r="AD309" s="81"/>
      <c r="AE309" s="155"/>
      <c r="AF309" s="81"/>
      <c r="AG309" s="155"/>
      <c r="AH309" s="81"/>
      <c r="AI309" s="240"/>
      <c r="AJ309" s="81"/>
      <c r="AK309" s="240"/>
      <c r="AL309" s="81"/>
      <c r="AM309" s="240"/>
      <c r="AN309" s="81"/>
      <c r="AO309" s="240"/>
      <c r="AP309" s="81"/>
      <c r="AQ309" s="240"/>
      <c r="AR309" s="81"/>
      <c r="AS309" s="240"/>
      <c r="AT309" s="81"/>
      <c r="AU309" s="240"/>
      <c r="AV309" s="81"/>
      <c r="AW309" s="240"/>
      <c r="AX309" s="81"/>
      <c r="AY309" s="240"/>
      <c r="AZ309" s="81"/>
      <c r="BA309" s="240"/>
      <c r="BB309" s="81"/>
      <c r="BC309" s="240"/>
      <c r="BD309" s="81"/>
      <c r="BE309" s="240"/>
      <c r="BF309" s="81"/>
      <c r="BG309" s="240"/>
      <c r="BH309" s="81"/>
      <c r="BI309" s="240"/>
      <c r="BJ309" s="81"/>
      <c r="BK309" s="240"/>
      <c r="BL309" s="81"/>
      <c r="BM309" s="240"/>
      <c r="BN309" s="81"/>
      <c r="BO309" s="240"/>
      <c r="BP309" s="81"/>
      <c r="BQ309" s="240"/>
      <c r="BR309" s="81"/>
      <c r="BS309" s="240"/>
      <c r="BT309" s="81"/>
      <c r="BU309" s="240"/>
      <c r="BV309" s="81"/>
      <c r="BW309" s="240"/>
      <c r="BX309" s="81"/>
      <c r="BY309" s="240"/>
      <c r="BZ309" s="81"/>
      <c r="CA309" s="240"/>
      <c r="CB309" s="81"/>
      <c r="CC309" s="240"/>
      <c r="CD309" s="81"/>
      <c r="CE309" s="240"/>
      <c r="CF309" s="81"/>
      <c r="CG309" s="240"/>
      <c r="CH309" s="81"/>
      <c r="CI309" s="240"/>
      <c r="CJ309" s="81"/>
      <c r="CK309" s="240"/>
      <c r="CL309" s="81"/>
      <c r="CM309" s="240"/>
      <c r="CN309" s="81"/>
      <c r="CO309" s="240"/>
      <c r="CP309" s="81"/>
      <c r="CQ309" s="240"/>
      <c r="CR309" s="81"/>
      <c r="CS309" s="240"/>
      <c r="CT309" s="81"/>
      <c r="CU309" s="240"/>
      <c r="CV309" s="81"/>
      <c r="CW309" s="240"/>
      <c r="CX309" s="81"/>
      <c r="CY309" s="240"/>
      <c r="CZ309" s="81"/>
      <c r="DA309" s="240"/>
      <c r="DB309" s="81"/>
      <c r="DC309" s="240"/>
      <c r="DD309" s="81"/>
      <c r="DE309" s="240"/>
      <c r="DF309" s="81"/>
      <c r="DG309" s="240"/>
      <c r="DH309" s="81"/>
      <c r="DI309" s="240"/>
      <c r="DJ309" s="81"/>
      <c r="DK309" s="240"/>
      <c r="DL309" s="81"/>
      <c r="DM309" s="240"/>
      <c r="DN309" s="81"/>
      <c r="DO309" s="240"/>
      <c r="DP309" s="81"/>
      <c r="DQ309" s="240"/>
      <c r="DR309" s="81"/>
      <c r="DS309" s="240"/>
      <c r="DT309" s="81"/>
      <c r="DU309" s="240"/>
      <c r="DV309" s="81"/>
      <c r="DW309" s="240"/>
      <c r="DX309" s="81"/>
      <c r="DY309" s="240"/>
      <c r="DZ309" s="81"/>
      <c r="EA309" s="240"/>
      <c r="EB309" s="155"/>
      <c r="EC309" s="81"/>
      <c r="ED309" s="155"/>
      <c r="EE309" s="81"/>
      <c r="EF309" s="155"/>
      <c r="EG309" s="81"/>
      <c r="EH309" s="155"/>
      <c r="EI309" s="81"/>
      <c r="EJ309" s="240"/>
      <c r="EK309" s="81"/>
      <c r="EL309" s="240"/>
      <c r="EM309" s="81"/>
      <c r="EN309" s="240"/>
      <c r="EO309" s="81"/>
      <c r="EP309" s="240"/>
      <c r="EQ309" s="81"/>
      <c r="ER309" s="240"/>
      <c r="ES309" s="81"/>
      <c r="ET309" s="240"/>
      <c r="EU309" s="81"/>
      <c r="EV309" s="240"/>
      <c r="EW309" s="81"/>
      <c r="EX309" s="240"/>
      <c r="EY309" s="81"/>
      <c r="EZ309" s="240"/>
      <c r="FA309" s="81"/>
      <c r="FB309" s="240"/>
      <c r="FC309" s="81"/>
      <c r="FD309" s="240"/>
      <c r="FE309" s="81"/>
      <c r="FF309" s="240"/>
      <c r="FG309" s="81"/>
      <c r="FH309" s="240"/>
      <c r="FI309" s="81"/>
      <c r="FJ309" s="240"/>
      <c r="FK309" s="81"/>
      <c r="FL309" s="240"/>
      <c r="FM309" s="81"/>
      <c r="FN309" s="240"/>
      <c r="FO309" s="81"/>
      <c r="FP309" s="240"/>
      <c r="FQ309" s="81"/>
      <c r="FR309" s="240"/>
      <c r="FS309" s="240"/>
    </row>
    <row r="310" spans="1:175" ht="12.75" hidden="1" customHeight="1" outlineLevel="1" x14ac:dyDescent="0.2">
      <c r="A310" s="77" t="s">
        <v>68</v>
      </c>
      <c r="B310" s="81">
        <f>INPUT!AA597</f>
        <v>0</v>
      </c>
      <c r="C310" s="155">
        <f>INPUT!AB597</f>
        <v>0</v>
      </c>
      <c r="D310" s="81">
        <f>INPUT!AC597</f>
        <v>0</v>
      </c>
      <c r="E310" s="155">
        <f>INPUT!AD597</f>
        <v>0</v>
      </c>
      <c r="F310" s="81">
        <f>INPUT!AE597</f>
        <v>0</v>
      </c>
      <c r="G310" s="155">
        <f>INPUT!AF597</f>
        <v>0</v>
      </c>
      <c r="H310" s="81">
        <f>INPUT!AG597</f>
        <v>0</v>
      </c>
      <c r="I310" s="155">
        <f>INPUT!AH597</f>
        <v>0</v>
      </c>
      <c r="J310" s="81">
        <f>INPUT!AI597</f>
        <v>0</v>
      </c>
      <c r="K310" s="155">
        <f>INPUT!AJ597</f>
        <v>0</v>
      </c>
      <c r="L310" s="81">
        <f>INPUT!AK597</f>
        <v>0</v>
      </c>
      <c r="M310" s="155">
        <f>INPUT!AL597</f>
        <v>0</v>
      </c>
      <c r="N310" s="81">
        <f>INPUT!AM597</f>
        <v>0</v>
      </c>
      <c r="O310" s="155">
        <f>INPUT!AN597</f>
        <v>0</v>
      </c>
      <c r="P310" s="81">
        <f>INPUT!AO597</f>
        <v>0</v>
      </c>
      <c r="Q310" s="155">
        <f>INPUT!AP597</f>
        <v>0</v>
      </c>
      <c r="R310" s="81">
        <f>INPUT!AQ597</f>
        <v>0</v>
      </c>
      <c r="S310" s="155">
        <f>INPUT!AR597</f>
        <v>0</v>
      </c>
      <c r="T310" s="81">
        <f>INPUT!AS597</f>
        <v>0</v>
      </c>
      <c r="U310" s="155">
        <f>INPUT!AT597</f>
        <v>0</v>
      </c>
      <c r="V310" s="81">
        <f>INPUT!AU597</f>
        <v>0</v>
      </c>
      <c r="W310" s="155">
        <f>INPUT!AV597</f>
        <v>0</v>
      </c>
      <c r="X310" s="81">
        <f>INPUT!AW597</f>
        <v>0</v>
      </c>
      <c r="Y310" s="155">
        <f>INPUT!AX597</f>
        <v>0</v>
      </c>
      <c r="Z310" s="81">
        <f>INPUT!AY597</f>
        <v>0</v>
      </c>
      <c r="AA310" s="155">
        <f>INPUT!AZ597</f>
        <v>0</v>
      </c>
      <c r="AB310" s="81">
        <f>INPUT!BA597</f>
        <v>0</v>
      </c>
      <c r="AC310" s="155">
        <f>INPUT!BB597</f>
        <v>0</v>
      </c>
      <c r="AD310" s="81">
        <f>INPUT!BC597</f>
        <v>0</v>
      </c>
      <c r="AE310" s="155">
        <f>INPUT!BD597</f>
        <v>0</v>
      </c>
      <c r="AF310" s="81">
        <f>INPUT!BE597</f>
        <v>0</v>
      </c>
      <c r="AG310" s="155">
        <f>INPUT!BF597</f>
        <v>0</v>
      </c>
      <c r="AH310" s="81">
        <f>INPUT!BG597</f>
        <v>0</v>
      </c>
      <c r="AI310" s="240">
        <f>INPUT!BH597</f>
        <v>0</v>
      </c>
      <c r="AJ310" s="81">
        <f>INPUT!BI597</f>
        <v>0</v>
      </c>
      <c r="AK310" s="240">
        <f>INPUT!BJ597</f>
        <v>0</v>
      </c>
      <c r="AL310" s="81">
        <f>INPUT!BK597</f>
        <v>0</v>
      </c>
      <c r="AM310" s="240">
        <f>INPUT!BL597</f>
        <v>0</v>
      </c>
      <c r="AN310" s="81">
        <f>INPUT!BM597</f>
        <v>0</v>
      </c>
      <c r="AO310" s="240">
        <f>INPUT!BN597</f>
        <v>0</v>
      </c>
      <c r="AP310" s="81">
        <f>INPUT!BO597</f>
        <v>0</v>
      </c>
      <c r="AQ310" s="240">
        <f>INPUT!BP597</f>
        <v>0</v>
      </c>
      <c r="AR310" s="81">
        <f>INPUT!BQ597</f>
        <v>0</v>
      </c>
      <c r="AS310" s="240">
        <f>INPUT!BR597</f>
        <v>0</v>
      </c>
      <c r="AT310" s="81">
        <f>INPUT!BS597</f>
        <v>0</v>
      </c>
      <c r="AU310" s="240">
        <f>INPUT!BT597</f>
        <v>0</v>
      </c>
      <c r="AV310" s="81">
        <f>INPUT!BU597</f>
        <v>0</v>
      </c>
      <c r="AW310" s="240">
        <f>INPUT!BV597</f>
        <v>0</v>
      </c>
      <c r="AX310" s="81">
        <f>INPUT!BW597</f>
        <v>0</v>
      </c>
      <c r="AY310" s="240">
        <f>INPUT!BX597</f>
        <v>0</v>
      </c>
      <c r="AZ310" s="81">
        <f>INPUT!BY597</f>
        <v>0</v>
      </c>
      <c r="BA310" s="240">
        <f>INPUT!BZ597</f>
        <v>0</v>
      </c>
      <c r="BB310" s="81">
        <f>INPUT!CA597</f>
        <v>0</v>
      </c>
      <c r="BC310" s="240">
        <f>INPUT!CB597</f>
        <v>0</v>
      </c>
      <c r="BD310" s="81">
        <f>INPUT!CC597</f>
        <v>0</v>
      </c>
      <c r="BE310" s="240">
        <f>INPUT!CD597</f>
        <v>0</v>
      </c>
      <c r="BF310" s="81">
        <f>INPUT!CE597</f>
        <v>0</v>
      </c>
      <c r="BG310" s="240">
        <f>INPUT!CF597</f>
        <v>0</v>
      </c>
      <c r="BH310" s="81">
        <f>INPUT!CG597</f>
        <v>0</v>
      </c>
      <c r="BI310" s="240">
        <f>INPUT!CH597</f>
        <v>0</v>
      </c>
      <c r="BJ310" s="81">
        <f>INPUT!CI597</f>
        <v>0</v>
      </c>
      <c r="BK310" s="240">
        <f>INPUT!CJ597</f>
        <v>0</v>
      </c>
      <c r="BL310" s="81">
        <f>INPUT!CK597</f>
        <v>0</v>
      </c>
      <c r="BM310" s="240">
        <f>INPUT!CL597</f>
        <v>0</v>
      </c>
      <c r="BN310" s="81">
        <f>INPUT!CM597</f>
        <v>0</v>
      </c>
      <c r="BO310" s="240">
        <f>INPUT!CN597</f>
        <v>0</v>
      </c>
      <c r="BP310" s="81">
        <f>INPUT!CO597</f>
        <v>0</v>
      </c>
      <c r="BQ310" s="240">
        <f>INPUT!CP597</f>
        <v>0</v>
      </c>
      <c r="BR310" s="81">
        <f>INPUT!CQ597</f>
        <v>0</v>
      </c>
      <c r="BS310" s="240">
        <f>INPUT!CR597</f>
        <v>0</v>
      </c>
      <c r="BT310" s="81">
        <f>INPUT!CS597</f>
        <v>0</v>
      </c>
      <c r="BU310" s="240">
        <f>INPUT!CT597</f>
        <v>0</v>
      </c>
      <c r="BV310" s="81">
        <f>INPUT!CU597</f>
        <v>0</v>
      </c>
      <c r="BW310" s="240">
        <f>INPUT!CV597</f>
        <v>0</v>
      </c>
      <c r="BX310" s="81">
        <f>INPUT!CW597</f>
        <v>0</v>
      </c>
      <c r="BY310" s="240">
        <f>INPUT!CX597</f>
        <v>0</v>
      </c>
      <c r="BZ310" s="81">
        <f>INPUT!CY597</f>
        <v>0</v>
      </c>
      <c r="CA310" s="240">
        <f>INPUT!CZ597</f>
        <v>0</v>
      </c>
      <c r="CB310" s="81">
        <f>INPUT!DA597</f>
        <v>0</v>
      </c>
      <c r="CC310" s="240">
        <f>INPUT!DB597</f>
        <v>0</v>
      </c>
      <c r="CD310" s="81">
        <f>INPUT!DC597</f>
        <v>0</v>
      </c>
      <c r="CE310" s="240">
        <f>INPUT!DD597</f>
        <v>0</v>
      </c>
      <c r="CF310" s="81">
        <f>INPUT!DE597</f>
        <v>0</v>
      </c>
      <c r="CG310" s="240">
        <f>INPUT!DF597</f>
        <v>0</v>
      </c>
      <c r="CH310" s="81">
        <f>INPUT!DG597</f>
        <v>0</v>
      </c>
      <c r="CI310" s="240">
        <f>INPUT!DH597</f>
        <v>0</v>
      </c>
      <c r="CJ310" s="81">
        <f>INPUT!DI597</f>
        <v>0</v>
      </c>
      <c r="CK310" s="240">
        <f>INPUT!DJ597</f>
        <v>0</v>
      </c>
      <c r="CL310" s="81">
        <f>INPUT!DK597</f>
        <v>0</v>
      </c>
      <c r="CM310" s="240">
        <f>INPUT!DL597</f>
        <v>0</v>
      </c>
      <c r="CN310" s="81">
        <f>INPUT!DM597</f>
        <v>0</v>
      </c>
      <c r="CO310" s="240">
        <f>INPUT!DN597</f>
        <v>0</v>
      </c>
      <c r="CP310" s="81">
        <f>INPUT!DO597</f>
        <v>0</v>
      </c>
      <c r="CQ310" s="240">
        <f>INPUT!DP597</f>
        <v>0</v>
      </c>
      <c r="CR310" s="81">
        <f>INPUT!DQ597</f>
        <v>0</v>
      </c>
      <c r="CS310" s="240">
        <f>INPUT!DR597</f>
        <v>0</v>
      </c>
      <c r="CT310" s="81">
        <f>INPUT!DS597</f>
        <v>0</v>
      </c>
      <c r="CU310" s="240">
        <f>INPUT!DT597</f>
        <v>0</v>
      </c>
      <c r="CV310" s="81">
        <f>INPUT!DU597</f>
        <v>0</v>
      </c>
      <c r="CW310" s="240">
        <f>INPUT!DV597</f>
        <v>0</v>
      </c>
      <c r="CX310" s="81">
        <f>INPUT!DW597</f>
        <v>0</v>
      </c>
      <c r="CY310" s="240">
        <f>INPUT!DX597</f>
        <v>0</v>
      </c>
      <c r="CZ310" s="81">
        <f>INPUT!DY597</f>
        <v>0</v>
      </c>
      <c r="DA310" s="240">
        <f>INPUT!DZ597</f>
        <v>0</v>
      </c>
      <c r="DB310" s="81">
        <f>INPUT!EA597</f>
        <v>0</v>
      </c>
      <c r="DC310" s="240">
        <f>INPUT!EB597</f>
        <v>0</v>
      </c>
      <c r="DD310" s="81">
        <f>INPUT!EC597</f>
        <v>0</v>
      </c>
      <c r="DE310" s="240">
        <f>INPUT!ED597</f>
        <v>0</v>
      </c>
      <c r="DF310" s="81">
        <f>INPUT!EE597</f>
        <v>0</v>
      </c>
      <c r="DG310" s="240">
        <f>INPUT!EF597</f>
        <v>0</v>
      </c>
      <c r="DH310" s="81">
        <f>INPUT!EG597</f>
        <v>0</v>
      </c>
      <c r="DI310" s="240">
        <f>INPUT!EH597</f>
        <v>0</v>
      </c>
      <c r="DJ310" s="81">
        <f>INPUT!EI597</f>
        <v>0</v>
      </c>
      <c r="DK310" s="240">
        <f>INPUT!EJ597</f>
        <v>0</v>
      </c>
      <c r="DL310" s="81">
        <f>INPUT!EK597</f>
        <v>0</v>
      </c>
      <c r="DM310" s="240">
        <f>INPUT!EL597</f>
        <v>0</v>
      </c>
      <c r="DN310" s="81">
        <f>INPUT!EM597</f>
        <v>0</v>
      </c>
      <c r="DO310" s="240">
        <f>INPUT!EN597</f>
        <v>0</v>
      </c>
      <c r="DP310" s="81">
        <f>INPUT!EO597</f>
        <v>0</v>
      </c>
      <c r="DQ310" s="240">
        <f>INPUT!EP597</f>
        <v>0</v>
      </c>
      <c r="DR310" s="81">
        <f>INPUT!EQ597</f>
        <v>0</v>
      </c>
      <c r="DS310" s="240">
        <f>INPUT!ER597</f>
        <v>0</v>
      </c>
      <c r="DT310" s="81">
        <f>INPUT!ES597</f>
        <v>0</v>
      </c>
      <c r="DU310" s="240">
        <f>INPUT!ET597</f>
        <v>0</v>
      </c>
      <c r="DV310" s="81">
        <f>INPUT!EU597</f>
        <v>0</v>
      </c>
      <c r="DW310" s="240">
        <f>INPUT!EV597</f>
        <v>0</v>
      </c>
      <c r="DX310" s="81">
        <f>INPUT!EW597</f>
        <v>0</v>
      </c>
      <c r="DY310" s="240">
        <f>INPUT!EX597</f>
        <v>0</v>
      </c>
      <c r="DZ310" s="81"/>
      <c r="EA310" s="240"/>
      <c r="EB310" s="155">
        <f>INPUT!FI597</f>
        <v>0</v>
      </c>
      <c r="EC310" s="81">
        <f>INPUT!FJ597</f>
        <v>0</v>
      </c>
      <c r="ED310" s="155">
        <f>INPUT!FK597</f>
        <v>0</v>
      </c>
      <c r="EE310" s="81">
        <f>INPUT!FL597</f>
        <v>0</v>
      </c>
      <c r="EF310" s="155">
        <f>INPUT!FM597</f>
        <v>0</v>
      </c>
      <c r="EG310" s="81">
        <f>INPUT!FN597</f>
        <v>0</v>
      </c>
      <c r="EH310" s="155">
        <f>INPUT!FO597</f>
        <v>0</v>
      </c>
      <c r="EI310" s="81">
        <f>INPUT!FP597</f>
        <v>0</v>
      </c>
      <c r="EJ310" s="240">
        <f>INPUT!FQ597</f>
        <v>0</v>
      </c>
      <c r="EK310" s="81">
        <f>INPUT!FR597</f>
        <v>0</v>
      </c>
      <c r="EL310" s="240">
        <f>INPUT!FS597</f>
        <v>0</v>
      </c>
      <c r="EM310" s="81">
        <f>INPUT!FT597</f>
        <v>0</v>
      </c>
      <c r="EN310" s="240">
        <f>INPUT!FU597</f>
        <v>0</v>
      </c>
      <c r="EO310" s="81">
        <f>INPUT!FV597</f>
        <v>0</v>
      </c>
      <c r="EP310" s="240">
        <f>INPUT!FW597</f>
        <v>0</v>
      </c>
      <c r="EQ310" s="81">
        <f>INPUT!FX597</f>
        <v>0</v>
      </c>
      <c r="ER310" s="240">
        <f>INPUT!FY597</f>
        <v>0</v>
      </c>
      <c r="ES310" s="81">
        <f>INPUT!FZ597</f>
        <v>0</v>
      </c>
      <c r="ET310" s="240">
        <f>INPUT!GA597</f>
        <v>0</v>
      </c>
      <c r="EU310" s="81">
        <f>INPUT!GB597</f>
        <v>0</v>
      </c>
      <c r="EV310" s="240">
        <f>INPUT!GC597</f>
        <v>0</v>
      </c>
      <c r="EW310" s="81">
        <f>INPUT!GD597</f>
        <v>0</v>
      </c>
      <c r="EX310" s="240">
        <f>INPUT!GE597</f>
        <v>0</v>
      </c>
      <c r="EY310" s="81">
        <f>INPUT!GF597</f>
        <v>0</v>
      </c>
      <c r="EZ310" s="240">
        <f>INPUT!GG597</f>
        <v>0</v>
      </c>
      <c r="FA310" s="81">
        <f>INPUT!GH597</f>
        <v>0</v>
      </c>
      <c r="FB310" s="240">
        <f>INPUT!GI597</f>
        <v>0</v>
      </c>
      <c r="FC310" s="81">
        <f>INPUT!GJ597</f>
        <v>0</v>
      </c>
      <c r="FD310" s="240">
        <f>INPUT!GK597</f>
        <v>0</v>
      </c>
      <c r="FE310" s="81">
        <f>INPUT!GL597</f>
        <v>0</v>
      </c>
      <c r="FF310" s="240">
        <f>INPUT!GM597</f>
        <v>0</v>
      </c>
      <c r="FG310" s="81">
        <f>INPUT!GN597</f>
        <v>0</v>
      </c>
      <c r="FH310" s="240">
        <f>INPUT!GO597</f>
        <v>0</v>
      </c>
      <c r="FI310" s="81">
        <f>INPUT!GP597</f>
        <v>0</v>
      </c>
      <c r="FJ310" s="240">
        <f>INPUT!GQ597</f>
        <v>0</v>
      </c>
      <c r="FK310" s="81">
        <f>INPUT!GR597</f>
        <v>0</v>
      </c>
      <c r="FL310" s="240">
        <f>INPUT!GS597</f>
        <v>0</v>
      </c>
      <c r="FM310" s="81">
        <f>INPUT!GT597</f>
        <v>0</v>
      </c>
      <c r="FN310" s="240">
        <f>INPUT!GU597</f>
        <v>0</v>
      </c>
      <c r="FO310" s="81">
        <f>INPUT!GV597</f>
        <v>0</v>
      </c>
      <c r="FP310" s="240">
        <f>INPUT!GW597</f>
        <v>0</v>
      </c>
      <c r="FQ310" s="81">
        <f>INPUT!GX597</f>
        <v>0</v>
      </c>
      <c r="FR310" s="240">
        <f>INPUT!GY597</f>
        <v>0</v>
      </c>
      <c r="FS310" s="240">
        <f>INPUT!GZ597</f>
        <v>0</v>
      </c>
    </row>
    <row r="311" spans="1:175" ht="12.75" hidden="1" customHeight="1" outlineLevel="1" x14ac:dyDescent="0.2">
      <c r="A311" s="70"/>
      <c r="B311" s="75"/>
      <c r="C311" s="155"/>
      <c r="D311" s="75"/>
      <c r="E311" s="155"/>
      <c r="F311" s="75"/>
      <c r="G311" s="155"/>
      <c r="H311" s="75"/>
      <c r="I311" s="155"/>
      <c r="J311" s="75"/>
      <c r="K311" s="155"/>
      <c r="L311" s="75"/>
      <c r="M311" s="155"/>
      <c r="N311" s="75"/>
      <c r="O311" s="155"/>
      <c r="P311" s="75"/>
      <c r="Q311" s="155"/>
      <c r="R311" s="75"/>
      <c r="S311" s="155"/>
      <c r="T311" s="75"/>
      <c r="U311" s="155"/>
      <c r="V311" s="75"/>
      <c r="W311" s="155"/>
      <c r="X311" s="75"/>
      <c r="Y311" s="155"/>
      <c r="Z311" s="75"/>
      <c r="AA311" s="155"/>
      <c r="AB311" s="75"/>
      <c r="AC311" s="155"/>
      <c r="AD311" s="75"/>
      <c r="AE311" s="155"/>
      <c r="AF311" s="75"/>
      <c r="AG311" s="155"/>
      <c r="AH311" s="75"/>
      <c r="AI311" s="240"/>
      <c r="AJ311" s="75"/>
      <c r="AK311" s="240"/>
      <c r="AL311" s="75"/>
      <c r="AM311" s="240"/>
      <c r="AN311" s="75"/>
      <c r="AO311" s="240"/>
      <c r="AP311" s="75"/>
      <c r="AQ311" s="240"/>
      <c r="AR311" s="75"/>
      <c r="AS311" s="240"/>
      <c r="AT311" s="75"/>
      <c r="AU311" s="240"/>
      <c r="AV311" s="75"/>
      <c r="AW311" s="240"/>
      <c r="AX311" s="75"/>
      <c r="AY311" s="240"/>
      <c r="AZ311" s="75"/>
      <c r="BA311" s="240"/>
      <c r="BB311" s="75"/>
      <c r="BC311" s="240"/>
      <c r="BD311" s="75"/>
      <c r="BE311" s="240"/>
      <c r="BF311" s="75"/>
      <c r="BG311" s="240"/>
      <c r="BH311" s="75"/>
      <c r="BI311" s="240"/>
      <c r="BJ311" s="75"/>
      <c r="BK311" s="240"/>
      <c r="BL311" s="75"/>
      <c r="BM311" s="240"/>
      <c r="BN311" s="75"/>
      <c r="BO311" s="240"/>
      <c r="BP311" s="75"/>
      <c r="BQ311" s="240"/>
      <c r="BR311" s="75"/>
      <c r="BS311" s="240"/>
      <c r="BT311" s="75"/>
      <c r="BU311" s="240"/>
      <c r="BV311" s="75"/>
      <c r="BW311" s="240"/>
      <c r="BX311" s="75"/>
      <c r="BY311" s="240"/>
      <c r="BZ311" s="75"/>
      <c r="CA311" s="240"/>
      <c r="CB311" s="75"/>
      <c r="CC311" s="240"/>
      <c r="CD311" s="75"/>
      <c r="CE311" s="240"/>
      <c r="CF311" s="75"/>
      <c r="CG311" s="240"/>
      <c r="CH311" s="75"/>
      <c r="CI311" s="240"/>
      <c r="CJ311" s="75"/>
      <c r="CK311" s="240"/>
      <c r="CL311" s="75"/>
      <c r="CM311" s="240"/>
      <c r="CN311" s="75"/>
      <c r="CO311" s="240"/>
      <c r="CP311" s="75"/>
      <c r="CQ311" s="240"/>
      <c r="CR311" s="75"/>
      <c r="CS311" s="240"/>
      <c r="CT311" s="75"/>
      <c r="CU311" s="240"/>
      <c r="CV311" s="75"/>
      <c r="CW311" s="240"/>
      <c r="CX311" s="75"/>
      <c r="CY311" s="240"/>
      <c r="CZ311" s="75"/>
      <c r="DA311" s="240"/>
      <c r="DB311" s="75"/>
      <c r="DC311" s="240"/>
      <c r="DD311" s="75"/>
      <c r="DE311" s="240"/>
      <c r="DF311" s="75"/>
      <c r="DG311" s="240"/>
      <c r="DH311" s="75"/>
      <c r="DI311" s="240"/>
      <c r="DJ311" s="75"/>
      <c r="DK311" s="240"/>
      <c r="DL311" s="75"/>
      <c r="DM311" s="240"/>
      <c r="DN311" s="75"/>
      <c r="DO311" s="240"/>
      <c r="DP311" s="75"/>
      <c r="DQ311" s="240"/>
      <c r="DR311" s="75"/>
      <c r="DS311" s="240"/>
      <c r="DT311" s="75"/>
      <c r="DU311" s="240"/>
      <c r="DV311" s="75"/>
      <c r="DW311" s="240"/>
      <c r="DX311" s="75"/>
      <c r="DY311" s="240"/>
      <c r="DZ311" s="75"/>
      <c r="EA311" s="240"/>
      <c r="EB311" s="155"/>
      <c r="EC311" s="75"/>
      <c r="ED311" s="155"/>
      <c r="EE311" s="75"/>
      <c r="EF311" s="155"/>
      <c r="EG311" s="75"/>
      <c r="EH311" s="155"/>
      <c r="EI311" s="75"/>
      <c r="EJ311" s="240"/>
      <c r="EK311" s="75"/>
      <c r="EL311" s="240"/>
      <c r="EM311" s="75"/>
      <c r="EN311" s="240"/>
      <c r="EO311" s="75"/>
      <c r="EP311" s="240"/>
      <c r="EQ311" s="75"/>
      <c r="ER311" s="240"/>
      <c r="ES311" s="75"/>
      <c r="ET311" s="240"/>
      <c r="EU311" s="75"/>
      <c r="EV311" s="240"/>
      <c r="EW311" s="75"/>
      <c r="EX311" s="240"/>
      <c r="EY311" s="75"/>
      <c r="EZ311" s="240"/>
      <c r="FA311" s="75"/>
      <c r="FB311" s="240"/>
      <c r="FC311" s="75"/>
      <c r="FD311" s="240"/>
      <c r="FE311" s="75"/>
      <c r="FF311" s="240"/>
      <c r="FG311" s="75"/>
      <c r="FH311" s="240"/>
      <c r="FI311" s="75"/>
      <c r="FJ311" s="240"/>
      <c r="FK311" s="75"/>
      <c r="FL311" s="240"/>
      <c r="FM311" s="75"/>
      <c r="FN311" s="240"/>
      <c r="FO311" s="75"/>
      <c r="FP311" s="240"/>
      <c r="FQ311" s="75"/>
      <c r="FR311" s="240"/>
      <c r="FS311" s="240"/>
    </row>
    <row r="312" spans="1:175" ht="12.75" hidden="1" customHeight="1" outlineLevel="1" x14ac:dyDescent="0.2">
      <c r="A312" s="70" t="s">
        <v>707</v>
      </c>
      <c r="B312" s="75"/>
      <c r="C312" s="155"/>
      <c r="D312" s="75"/>
      <c r="E312" s="155"/>
      <c r="F312" s="75"/>
      <c r="G312" s="155"/>
      <c r="H312" s="75"/>
      <c r="I312" s="155"/>
      <c r="J312" s="75"/>
      <c r="K312" s="155"/>
      <c r="L312" s="75"/>
      <c r="M312" s="155"/>
      <c r="N312" s="75"/>
      <c r="O312" s="155"/>
      <c r="P312" s="75"/>
      <c r="Q312" s="155"/>
      <c r="R312" s="75"/>
      <c r="S312" s="155"/>
      <c r="T312" s="75"/>
      <c r="U312" s="155"/>
      <c r="V312" s="75"/>
      <c r="W312" s="155"/>
      <c r="X312" s="75"/>
      <c r="Y312" s="155"/>
      <c r="Z312" s="75"/>
      <c r="AA312" s="155"/>
      <c r="AB312" s="75"/>
      <c r="AC312" s="155"/>
      <c r="AD312" s="75"/>
      <c r="AE312" s="155"/>
      <c r="AF312" s="75"/>
      <c r="AG312" s="155"/>
      <c r="AH312" s="75"/>
      <c r="AI312" s="240"/>
      <c r="AJ312" s="75"/>
      <c r="AK312" s="240"/>
      <c r="AL312" s="75"/>
      <c r="AM312" s="240"/>
      <c r="AN312" s="75"/>
      <c r="AO312" s="240"/>
      <c r="AP312" s="75"/>
      <c r="AQ312" s="240"/>
      <c r="AR312" s="75"/>
      <c r="AS312" s="240"/>
      <c r="AT312" s="75"/>
      <c r="AU312" s="240"/>
      <c r="AV312" s="75"/>
      <c r="AW312" s="240"/>
      <c r="AX312" s="75"/>
      <c r="AY312" s="240"/>
      <c r="AZ312" s="75"/>
      <c r="BA312" s="240"/>
      <c r="BB312" s="75"/>
      <c r="BC312" s="240"/>
      <c r="BD312" s="75"/>
      <c r="BE312" s="240"/>
      <c r="BF312" s="75"/>
      <c r="BG312" s="240"/>
      <c r="BH312" s="75"/>
      <c r="BI312" s="240"/>
      <c r="BJ312" s="75"/>
      <c r="BK312" s="240"/>
      <c r="BL312" s="75"/>
      <c r="BM312" s="240"/>
      <c r="BN312" s="75"/>
      <c r="BO312" s="240"/>
      <c r="BP312" s="75"/>
      <c r="BQ312" s="240"/>
      <c r="BR312" s="75"/>
      <c r="BS312" s="240"/>
      <c r="BT312" s="75"/>
      <c r="BU312" s="240"/>
      <c r="BV312" s="75"/>
      <c r="BW312" s="240"/>
      <c r="BX312" s="75"/>
      <c r="BY312" s="240"/>
      <c r="BZ312" s="75"/>
      <c r="CA312" s="240"/>
      <c r="CB312" s="75"/>
      <c r="CC312" s="240"/>
      <c r="CD312" s="75"/>
      <c r="CE312" s="240"/>
      <c r="CF312" s="75"/>
      <c r="CG312" s="240"/>
      <c r="CH312" s="75"/>
      <c r="CI312" s="240"/>
      <c r="CJ312" s="75"/>
      <c r="CK312" s="240"/>
      <c r="CL312" s="75"/>
      <c r="CM312" s="240"/>
      <c r="CN312" s="75"/>
      <c r="CO312" s="240"/>
      <c r="CP312" s="75"/>
      <c r="CQ312" s="240"/>
      <c r="CR312" s="75"/>
      <c r="CS312" s="240"/>
      <c r="CT312" s="75"/>
      <c r="CU312" s="240"/>
      <c r="CV312" s="75"/>
      <c r="CW312" s="240"/>
      <c r="CX312" s="75"/>
      <c r="CY312" s="240"/>
      <c r="CZ312" s="75"/>
      <c r="DA312" s="240"/>
      <c r="DB312" s="75"/>
      <c r="DC312" s="240"/>
      <c r="DD312" s="75"/>
      <c r="DE312" s="240"/>
      <c r="DF312" s="75"/>
      <c r="DG312" s="240"/>
      <c r="DH312" s="75"/>
      <c r="DI312" s="240"/>
      <c r="DJ312" s="75"/>
      <c r="DK312" s="240"/>
      <c r="DL312" s="75"/>
      <c r="DM312" s="240"/>
      <c r="DN312" s="75"/>
      <c r="DO312" s="240"/>
      <c r="DP312" s="75"/>
      <c r="DQ312" s="240"/>
      <c r="DR312" s="75"/>
      <c r="DS312" s="240"/>
      <c r="DT312" s="75"/>
      <c r="DU312" s="240"/>
      <c r="DV312" s="75"/>
      <c r="DW312" s="240"/>
      <c r="DX312" s="75"/>
      <c r="DY312" s="240"/>
      <c r="DZ312" s="75"/>
      <c r="EA312" s="240"/>
      <c r="EB312" s="155"/>
      <c r="EC312" s="75"/>
      <c r="ED312" s="155"/>
      <c r="EE312" s="75"/>
      <c r="EF312" s="155"/>
      <c r="EG312" s="75"/>
      <c r="EH312" s="155"/>
      <c r="EI312" s="75"/>
      <c r="EJ312" s="240"/>
      <c r="EK312" s="75"/>
      <c r="EL312" s="240"/>
      <c r="EM312" s="75"/>
      <c r="EN312" s="240"/>
      <c r="EO312" s="75"/>
      <c r="EP312" s="240"/>
      <c r="EQ312" s="75"/>
      <c r="ER312" s="240"/>
      <c r="ES312" s="75"/>
      <c r="ET312" s="240"/>
      <c r="EU312" s="75"/>
      <c r="EV312" s="240"/>
      <c r="EW312" s="75"/>
      <c r="EX312" s="240"/>
      <c r="EY312" s="75"/>
      <c r="EZ312" s="240"/>
      <c r="FA312" s="75"/>
      <c r="FB312" s="240"/>
      <c r="FC312" s="75"/>
      <c r="FD312" s="240"/>
      <c r="FE312" s="75"/>
      <c r="FF312" s="240"/>
      <c r="FG312" s="75"/>
      <c r="FH312" s="240"/>
      <c r="FI312" s="75"/>
      <c r="FJ312" s="240"/>
      <c r="FK312" s="75"/>
      <c r="FL312" s="240"/>
      <c r="FM312" s="75"/>
      <c r="FN312" s="240"/>
      <c r="FO312" s="75"/>
      <c r="FP312" s="240"/>
      <c r="FQ312" s="75"/>
      <c r="FR312" s="240"/>
      <c r="FS312" s="240"/>
    </row>
    <row r="313" spans="1:175" ht="12.75" hidden="1" customHeight="1" outlineLevel="1" x14ac:dyDescent="0.2">
      <c r="A313" s="77" t="str">
        <f>+INPUT!B305</f>
        <v>Fees/Average Assets (%)</v>
      </c>
      <c r="B313" s="73">
        <f>+INPUT!AA305</f>
        <v>0</v>
      </c>
      <c r="C313" s="155">
        <f>+INPUT!AB305</f>
        <v>0</v>
      </c>
      <c r="D313" s="73">
        <f>+INPUT!AC305</f>
        <v>0</v>
      </c>
      <c r="E313" s="155">
        <f>+INPUT!AD305</f>
        <v>0</v>
      </c>
      <c r="F313" s="73">
        <f>+INPUT!AE305</f>
        <v>0</v>
      </c>
      <c r="G313" s="155">
        <f>+INPUT!AF305</f>
        <v>0</v>
      </c>
      <c r="H313" s="73">
        <f>+INPUT!AG305</f>
        <v>0</v>
      </c>
      <c r="I313" s="155">
        <f>+INPUT!AH305</f>
        <v>0</v>
      </c>
      <c r="J313" s="73">
        <f>+INPUT!AI305</f>
        <v>0</v>
      </c>
      <c r="K313" s="155">
        <f>+INPUT!AJ305</f>
        <v>0</v>
      </c>
      <c r="L313" s="73">
        <f>+INPUT!AK305</f>
        <v>0</v>
      </c>
      <c r="M313" s="155">
        <f>+INPUT!AL305</f>
        <v>0</v>
      </c>
      <c r="N313" s="73">
        <f>+INPUT!AM305</f>
        <v>0</v>
      </c>
      <c r="O313" s="155">
        <f>+INPUT!AN305</f>
        <v>0</v>
      </c>
      <c r="P313" s="73">
        <f>+INPUT!AO305</f>
        <v>0</v>
      </c>
      <c r="Q313" s="155">
        <f>+INPUT!AP305</f>
        <v>0</v>
      </c>
      <c r="R313" s="73">
        <f>+INPUT!AQ305</f>
        <v>0</v>
      </c>
      <c r="S313" s="155">
        <f>+INPUT!AR305</f>
        <v>0</v>
      </c>
      <c r="T313" s="73">
        <f>+INPUT!AS305</f>
        <v>0</v>
      </c>
      <c r="U313" s="155">
        <f>+INPUT!AT305</f>
        <v>0</v>
      </c>
      <c r="V313" s="73">
        <f>+INPUT!AU305</f>
        <v>0</v>
      </c>
      <c r="W313" s="155">
        <f>+INPUT!AV305</f>
        <v>0</v>
      </c>
      <c r="X313" s="73">
        <f>+INPUT!AW305</f>
        <v>0.79510403916768668</v>
      </c>
      <c r="Y313" s="155" t="str">
        <f>+INPUT!AX305</f>
        <v>NA</v>
      </c>
      <c r="Z313" s="73">
        <f>+INPUT!AY305</f>
        <v>0.84260355029585809</v>
      </c>
      <c r="AA313" s="155" t="str">
        <f>+INPUT!AZ305</f>
        <v>NA</v>
      </c>
      <c r="AB313" s="73">
        <f>+INPUT!BA305</f>
        <v>0.78149100257069426</v>
      </c>
      <c r="AC313" s="155" t="str">
        <f>+INPUT!BB305</f>
        <v>NA</v>
      </c>
      <c r="AD313" s="73">
        <f>+INPUT!BC305</f>
        <v>0.71696387745770473</v>
      </c>
      <c r="AE313" s="155" t="str">
        <f>+INPUT!BD305</f>
        <v>NA</v>
      </c>
      <c r="AF313" s="73">
        <f>+INPUT!BE305</f>
        <v>0.98520452567449956</v>
      </c>
      <c r="AG313" s="155">
        <f>+INPUT!BF305</f>
        <v>23.908882000625951</v>
      </c>
      <c r="AH313" s="73">
        <f>+INPUT!BG305</f>
        <v>0.83991683991683996</v>
      </c>
      <c r="AI313" s="240">
        <f>+INPUT!BH305</f>
        <v>-0.31885818402672328</v>
      </c>
      <c r="AJ313" s="73">
        <f>+INPUT!BI305</f>
        <v>0.84734202607823483</v>
      </c>
      <c r="AK313" s="240">
        <f>+INPUT!BJ305</f>
        <v>8.426331626458321</v>
      </c>
      <c r="AL313" s="73">
        <f>+INPUT!BK305</f>
        <v>0.80328189099433489</v>
      </c>
      <c r="AM313" s="240">
        <f>+INPUT!BL305</f>
        <v>12.039381097232791</v>
      </c>
      <c r="AN313" s="73">
        <f>+INPUT!BM305</f>
        <v>0.85276073619631898</v>
      </c>
      <c r="AO313" s="240">
        <f>+INPUT!BN305</f>
        <v>-13.443278631663375</v>
      </c>
      <c r="AP313" s="73">
        <f>+INPUT!BO305</f>
        <v>0.73526011560693649</v>
      </c>
      <c r="AQ313" s="240">
        <f>+INPUT!BP305</f>
        <v>-12.460367424025634</v>
      </c>
      <c r="AR313" s="73">
        <f>+INPUT!BQ305</f>
        <v>0.72055427251732107</v>
      </c>
      <c r="AS313" s="240">
        <f>+INPUT!BR305</f>
        <v>-14.962996010917493</v>
      </c>
      <c r="AT313" s="73">
        <f>+INPUT!BS305</f>
        <v>0.56481663071190435</v>
      </c>
      <c r="AU313" s="240">
        <f>+INPUT!BT305</f>
        <v>-29.68637323408953</v>
      </c>
      <c r="AV313" s="73">
        <f>+INPUT!BU305</f>
        <v>0.50468883205456105</v>
      </c>
      <c r="AW313" s="240">
        <f>+INPUT!BV305</f>
        <v>-40.817065018062259</v>
      </c>
      <c r="AX313" s="73">
        <f>+INPUT!BW305</f>
        <v>0.46143282215609988</v>
      </c>
      <c r="AY313" s="240">
        <f>+INPUT!BX305</f>
        <v>-37.242234093549321</v>
      </c>
      <c r="AZ313" s="73">
        <f>+INPUT!BY305</f>
        <v>0.55381866904868249</v>
      </c>
      <c r="BA313" s="240">
        <f>+INPUT!BZ305</f>
        <v>-23.139909071128358</v>
      </c>
      <c r="BB313" s="73">
        <f>+INPUT!CA305</f>
        <v>0.45113392024017201</v>
      </c>
      <c r="BC313" s="240">
        <f>+INPUT!CB305</f>
        <v>-20.127365996366777</v>
      </c>
      <c r="BD313" s="73">
        <f>+INPUT!CC305</f>
        <v>0.49176629821791107</v>
      </c>
      <c r="BE313" s="240">
        <f>+INPUT!CD305</f>
        <v>-2.560495302430823</v>
      </c>
      <c r="BF313" s="73">
        <f>+INPUT!CE305</f>
        <v>0.51101194760328206</v>
      </c>
      <c r="BG313" s="240">
        <f>+INPUT!CF305</f>
        <v>10.744603128905709</v>
      </c>
      <c r="BH313" s="73">
        <f>+INPUT!CG305</f>
        <v>0.65005417118093178</v>
      </c>
      <c r="BI313" s="240">
        <f>+INPUT!CH305</f>
        <v>17.376716876944045</v>
      </c>
      <c r="BJ313" s="73">
        <f>+INPUT!CI305</f>
        <v>0.6141983515022601</v>
      </c>
      <c r="BK313" s="240">
        <f>+INPUT!CJ305</f>
        <v>36.145460127510887</v>
      </c>
      <c r="BL313" s="73">
        <f>+INPUT!CK305</f>
        <v>0.5979718275128687</v>
      </c>
      <c r="BM313" s="240">
        <f>+INPUT!CL305</f>
        <v>21.596748227731524</v>
      </c>
      <c r="BN313" s="73">
        <f>+INPUT!CM305</f>
        <v>0.5795619193727094</v>
      </c>
      <c r="BO313" s="240">
        <f>+INPUT!CN305</f>
        <v>13.414553630484832</v>
      </c>
      <c r="BP313" s="73">
        <f>+INPUT!CO305</f>
        <v>0.66889990620393958</v>
      </c>
      <c r="BQ313" s="240">
        <f>+INPUT!CP305</f>
        <v>2.899102237706046</v>
      </c>
      <c r="BR313" s="73">
        <f>+INPUT!CQ305</f>
        <v>0.52153299091268279</v>
      </c>
      <c r="BS313" s="240">
        <f>+INPUT!CR305</f>
        <v>-15.08720437997404</v>
      </c>
      <c r="BT313" s="73">
        <f>+INPUT!CS305</f>
        <v>0.70597382402488007</v>
      </c>
      <c r="BU313" s="240">
        <f>+INPUT!CT305</f>
        <v>18.061385427006101</v>
      </c>
      <c r="BV313" s="73">
        <f>+INPUT!CU305</f>
        <v>0.53845195064190443</v>
      </c>
      <c r="BW313" s="240">
        <f>+INPUT!CV305</f>
        <v>-7.0932832811549247</v>
      </c>
      <c r="BX313" s="73">
        <f>+INPUT!CW305</f>
        <v>0.46244441773825257</v>
      </c>
      <c r="BY313" s="240">
        <f>+INPUT!CX305</f>
        <v>-30.864930096542906</v>
      </c>
      <c r="BZ313" s="73">
        <f>+INPUT!CY305</f>
        <v>0.5539107122042195</v>
      </c>
      <c r="CA313" s="240">
        <f>+INPUT!CZ305</f>
        <v>6.2081827718847933</v>
      </c>
      <c r="CB313" s="73">
        <f>+INPUT!DA305</f>
        <v>0.58826174949404086</v>
      </c>
      <c r="CC313" s="240">
        <f>+INPUT!DB305</f>
        <v>-16.673716577725514</v>
      </c>
      <c r="CD313" s="73">
        <f>+INPUT!DC305</f>
        <v>0.54296280182727852</v>
      </c>
      <c r="CE313" s="240">
        <f>+INPUT!DD305</f>
        <v>0.8377444226911166</v>
      </c>
      <c r="CF313" s="73">
        <f>+INPUT!DE305</f>
        <v>0.54725625998934457</v>
      </c>
      <c r="CG313" s="240">
        <f>+INPUT!DF305</f>
        <v>18.33989967181229</v>
      </c>
      <c r="CH313" s="73">
        <f>+INPUT!DG305</f>
        <v>0.52201061504839208</v>
      </c>
      <c r="CI313" s="240">
        <f>+INPUT!DH305</f>
        <v>-5.7590684659057985</v>
      </c>
      <c r="CJ313" s="73">
        <f>+INPUT!DI305</f>
        <v>0.55739668596526237</v>
      </c>
      <c r="CK313" s="240">
        <f>+INPUT!DJ305</f>
        <v>-5.2468248284586423</v>
      </c>
      <c r="CL313" s="73">
        <f>+INPUT!DK305</f>
        <v>0.49580722891566259</v>
      </c>
      <c r="CM313" s="240">
        <f>+INPUT!DL305</f>
        <v>-8.6848625270311857</v>
      </c>
      <c r="CN313" s="73">
        <f>+INPUT!DM305</f>
        <v>0.51632158179444121</v>
      </c>
      <c r="CO313" s="240">
        <f>+INPUT!DN305</f>
        <v>-5.6526860369775704</v>
      </c>
      <c r="CP313" s="73">
        <f>+INPUT!DO305</f>
        <v>0.4972497249724972</v>
      </c>
      <c r="CQ313" s="240">
        <f>+INPUT!DP305</f>
        <v>-4.7433690737494771</v>
      </c>
      <c r="CR313" s="73">
        <f>+INPUT!DQ305</f>
        <v>0.514275322785961</v>
      </c>
      <c r="CS313" s="240">
        <f>+INPUT!DR305</f>
        <v>-7.7362073125043196</v>
      </c>
      <c r="CT313" s="73">
        <f>+INPUT!DS305</f>
        <v>0.49885502906464674</v>
      </c>
      <c r="CU313" s="240">
        <f>+INPUT!DT305</f>
        <v>0.61471474622298672</v>
      </c>
      <c r="CV313" s="73">
        <f>+INPUT!DU305</f>
        <v>0.51074109222672748</v>
      </c>
      <c r="CW313" s="240">
        <f>+INPUT!DV305</f>
        <v>-1.0808166391803979</v>
      </c>
      <c r="CX313" s="73">
        <f>+INPUT!DW305</f>
        <v>0.47599164926931087</v>
      </c>
      <c r="CY313" s="240">
        <f>+INPUT!DX305</f>
        <v>-4.2751307111053904</v>
      </c>
      <c r="CZ313" s="73">
        <f>+INPUT!DY305</f>
        <v>0.48503719079743979</v>
      </c>
      <c r="DA313" s="240">
        <f>+INPUT!DZ305</f>
        <v>-5.685307206678857</v>
      </c>
      <c r="DB313" s="73">
        <f>+INPUT!EA305</f>
        <v>0.46306579168769962</v>
      </c>
      <c r="DC313" s="240">
        <f>+INPUT!EB305</f>
        <v>-7.1742761507390185</v>
      </c>
      <c r="DD313" s="73">
        <f>+INPUT!EC305</f>
        <v>0.46373967786771297</v>
      </c>
      <c r="DE313" s="240">
        <f>+INPUT!ED305</f>
        <v>-9.2025911120833968</v>
      </c>
      <c r="DF313" s="73">
        <f>+INPUT!EE305</f>
        <v>0.45837905627841341</v>
      </c>
      <c r="DG313" s="240">
        <f>+INPUT!EF305</f>
        <v>-3.7001894923859169</v>
      </c>
      <c r="DH313" s="73">
        <f>+INPUT!EG305</f>
        <v>0.46495832046928048</v>
      </c>
      <c r="DI313" s="240">
        <f>+INPUT!EH305</f>
        <v>-4.1396558262157299</v>
      </c>
      <c r="DJ313" s="73">
        <f>+INPUT!EI305</f>
        <v>0.44434215573456065</v>
      </c>
      <c r="DK313" s="240">
        <f>+INPUT!EJ305</f>
        <v>-4.043407284502365</v>
      </c>
      <c r="DL313" s="73">
        <f>+INPUT!EK305</f>
        <v>0.44273907910271532</v>
      </c>
      <c r="DM313" s="240">
        <f>+INPUT!EL305</f>
        <v>-4.5285317964507499</v>
      </c>
      <c r="DN313" s="73">
        <f>+INPUT!EM305</f>
        <v>0.43782787466326362</v>
      </c>
      <c r="DO313" s="240">
        <f>+INPUT!EN305</f>
        <v>-4.4834469057127393</v>
      </c>
      <c r="DP313" s="73">
        <f>+INPUT!EO305</f>
        <v>0.51689258927957038</v>
      </c>
      <c r="DQ313" s="240">
        <f>+INPUT!EP305</f>
        <v>11.16966113389968</v>
      </c>
      <c r="DR313" s="73">
        <f>+INPUT!EQ305</f>
        <v>0.46</v>
      </c>
      <c r="DS313" s="240">
        <f>+INPUT!ER305</f>
        <v>3.5238259668508647</v>
      </c>
      <c r="DT313" s="73">
        <f>+INPUT!ES305</f>
        <v>0.45500000000000002</v>
      </c>
      <c r="DU313" s="240">
        <f>+INPUT!ET305</f>
        <v>2.7693333333333783</v>
      </c>
      <c r="DV313" s="73">
        <f>+INPUT!EU305</f>
        <v>0.45500000000000002</v>
      </c>
      <c r="DW313" s="240">
        <f>+INPUT!EV305</f>
        <v>3.9221178756477286</v>
      </c>
      <c r="DX313" s="73">
        <f>+INPUT!EW305</f>
        <v>0.45500000000000002</v>
      </c>
      <c r="DY313" s="240">
        <f>+INPUT!EX305</f>
        <v>-11.973974973375888</v>
      </c>
      <c r="DZ313" s="73"/>
      <c r="EA313" s="240"/>
      <c r="EB313" s="155">
        <f>+INPUT!FI305</f>
        <v>0</v>
      </c>
      <c r="EC313" s="73">
        <f>+INPUT!FJ305</f>
        <v>0</v>
      </c>
      <c r="ED313" s="155">
        <f>+INPUT!FK305</f>
        <v>0</v>
      </c>
      <c r="EE313" s="73">
        <f>+INPUT!FL305</f>
        <v>0</v>
      </c>
      <c r="EF313" s="155">
        <f>+INPUT!FM305</f>
        <v>0</v>
      </c>
      <c r="EG313" s="73">
        <f>+INPUT!FN305</f>
        <v>0</v>
      </c>
      <c r="EH313" s="155">
        <f>+INPUT!FO305</f>
        <v>0</v>
      </c>
      <c r="EI313" s="73">
        <f>+INPUT!FP305</f>
        <v>0.76416906820365038</v>
      </c>
      <c r="EJ313" s="240" t="str">
        <f>+INPUT!FQ305</f>
        <v>NA</v>
      </c>
      <c r="EK313" s="73">
        <f>+INPUT!FR305</f>
        <v>0.82027027027027044</v>
      </c>
      <c r="EL313" s="240">
        <f>+INPUT!FS305</f>
        <v>7.3414646576180473</v>
      </c>
      <c r="EM313" s="73">
        <f>+INPUT!FT305</f>
        <v>0.8432237369687251</v>
      </c>
      <c r="EN313" s="240">
        <f>+INPUT!FU305</f>
        <v>2.7982809484112749</v>
      </c>
      <c r="EO313" s="73">
        <f>+INPUT!FV305</f>
        <v>0.65898332990327235</v>
      </c>
      <c r="EP313" s="240">
        <f>+INPUT!FW305</f>
        <v>-21.849528065679465</v>
      </c>
      <c r="EQ313" s="73">
        <f>+INPUT!FX305</f>
        <v>0.4708683021304067</v>
      </c>
      <c r="ER313" s="240">
        <f>+INPUT!FY305</f>
        <v>-28.546249842234673</v>
      </c>
      <c r="ES313" s="73">
        <f>+INPUT!FZ305</f>
        <v>0.58014314794142752</v>
      </c>
      <c r="ET313" s="240">
        <f>+INPUT!GA305</f>
        <v>23.207093218340532</v>
      </c>
      <c r="EU313" s="73">
        <f>+INPUT!GB305</f>
        <v>0.63506900533347999</v>
      </c>
      <c r="EV313" s="240">
        <f>+INPUT!GC305</f>
        <v>9.4676387348451243</v>
      </c>
      <c r="EW313" s="73">
        <f>+INPUT!GD305</f>
        <v>0.53799644339063435</v>
      </c>
      <c r="EX313" s="240">
        <f>+INPUT!GE305</f>
        <v>-15.285356571900721</v>
      </c>
      <c r="EY313" s="73">
        <f>+INPUT!GF305</f>
        <v>0.53710613598673296</v>
      </c>
      <c r="EZ313" s="240">
        <f>+INPUT!GG305</f>
        <v>-0.16548574155812901</v>
      </c>
      <c r="FA313" s="73">
        <f>+INPUT!GH305</f>
        <v>0.50912494150678511</v>
      </c>
      <c r="FB313" s="240">
        <f>+INPUT!GI305</f>
        <v>-5.2096210795549354</v>
      </c>
      <c r="FC313" s="73">
        <f>+INPUT!GJ305</f>
        <v>0.4959299781181617</v>
      </c>
      <c r="FD313" s="240">
        <f>+INPUT!GK305</f>
        <v>-2.5916945552838371</v>
      </c>
      <c r="FE313" s="73">
        <f>+INPUT!GL305</f>
        <v>0.46986871075593239</v>
      </c>
      <c r="FF313" s="240">
        <f>+INPUT!GM305</f>
        <v>-5.2550296437252086</v>
      </c>
      <c r="FG313" s="73">
        <f>+INPUT!GN305</f>
        <v>0.46513326031398317</v>
      </c>
      <c r="FH313" s="240">
        <f>+INPUT!GO305</f>
        <v>-1.0078241716352494</v>
      </c>
      <c r="FI313" s="73">
        <f>+INPUT!GP305</f>
        <v>0.45604960774047598</v>
      </c>
      <c r="FJ313" s="240">
        <f>+INPUT!GQ305</f>
        <v>-1.9529140030483632</v>
      </c>
      <c r="FK313" s="73">
        <f>+INPUT!GR305</f>
        <v>0.45604960774047598</v>
      </c>
      <c r="FL313" s="240">
        <f>+INPUT!GS305</f>
        <v>0</v>
      </c>
      <c r="FM313" s="73">
        <f>+INPUT!GT305</f>
        <v>0.45104960774047598</v>
      </c>
      <c r="FN313" s="240">
        <f>+INPUT!GU305</f>
        <v>-1.0963719549662159</v>
      </c>
      <c r="FO313" s="73">
        <f>+INPUT!GV305</f>
        <v>0.44604960774047597</v>
      </c>
      <c r="FP313" s="240">
        <f>+INPUT!GW305</f>
        <v>-1.1085255178576574</v>
      </c>
      <c r="FQ313" s="73">
        <f>+INPUT!GX305</f>
        <v>0.43604960774047596</v>
      </c>
      <c r="FR313" s="240">
        <f>+INPUT!GY305</f>
        <v>-2.2419031037055106</v>
      </c>
      <c r="FS313" s="240">
        <f>+INPUT!GZ305</f>
        <v>-1.2830563356974523</v>
      </c>
    </row>
    <row r="314" spans="1:175" ht="12.75" hidden="1" customHeight="1" outlineLevel="1" x14ac:dyDescent="0.2">
      <c r="A314" s="70"/>
      <c r="B314" s="75"/>
      <c r="C314" s="155"/>
      <c r="D314" s="75"/>
      <c r="E314" s="155"/>
      <c r="F314" s="75"/>
      <c r="G314" s="155"/>
      <c r="H314" s="75"/>
      <c r="I314" s="155"/>
      <c r="J314" s="75"/>
      <c r="K314" s="155"/>
      <c r="L314" s="75"/>
      <c r="M314" s="155"/>
      <c r="N314" s="75"/>
      <c r="O314" s="155"/>
      <c r="P314" s="75"/>
      <c r="Q314" s="155"/>
      <c r="R314" s="75"/>
      <c r="S314" s="155"/>
      <c r="T314" s="75"/>
      <c r="U314" s="155"/>
      <c r="V314" s="75"/>
      <c r="W314" s="155"/>
      <c r="X314" s="75"/>
      <c r="Y314" s="155"/>
      <c r="Z314" s="75"/>
      <c r="AA314" s="155"/>
      <c r="AB314" s="75"/>
      <c r="AC314" s="155"/>
      <c r="AD314" s="75"/>
      <c r="AE314" s="155"/>
      <c r="AF314" s="75"/>
      <c r="AG314" s="155"/>
      <c r="AH314" s="75"/>
      <c r="AI314" s="240"/>
      <c r="AJ314" s="75"/>
      <c r="AK314" s="240"/>
      <c r="AL314" s="75"/>
      <c r="AM314" s="240"/>
      <c r="AN314" s="75"/>
      <c r="AO314" s="240"/>
      <c r="AP314" s="75"/>
      <c r="AQ314" s="240"/>
      <c r="AR314" s="75"/>
      <c r="AS314" s="240"/>
      <c r="AT314" s="75"/>
      <c r="AU314" s="240"/>
      <c r="AV314" s="75"/>
      <c r="AW314" s="240"/>
      <c r="AX314" s="75"/>
      <c r="AY314" s="240"/>
      <c r="AZ314" s="75"/>
      <c r="BA314" s="240"/>
      <c r="BB314" s="75"/>
      <c r="BC314" s="240"/>
      <c r="BD314" s="75"/>
      <c r="BE314" s="240"/>
      <c r="BF314" s="75"/>
      <c r="BG314" s="240"/>
      <c r="BH314" s="75"/>
      <c r="BI314" s="240"/>
      <c r="BJ314" s="75"/>
      <c r="BK314" s="240"/>
      <c r="BL314" s="75"/>
      <c r="BM314" s="240"/>
      <c r="BN314" s="75"/>
      <c r="BO314" s="240"/>
      <c r="BP314" s="75"/>
      <c r="BQ314" s="240"/>
      <c r="BR314" s="75"/>
      <c r="BS314" s="240"/>
      <c r="BT314" s="75"/>
      <c r="BU314" s="240"/>
      <c r="BV314" s="75"/>
      <c r="BW314" s="240"/>
      <c r="BX314" s="75"/>
      <c r="BY314" s="240"/>
      <c r="BZ314" s="75"/>
      <c r="CA314" s="240"/>
      <c r="CB314" s="75"/>
      <c r="CC314" s="240"/>
      <c r="CD314" s="75"/>
      <c r="CE314" s="240"/>
      <c r="CF314" s="75"/>
      <c r="CG314" s="240"/>
      <c r="CH314" s="75"/>
      <c r="CI314" s="240"/>
      <c r="CJ314" s="75"/>
      <c r="CK314" s="240"/>
      <c r="CL314" s="75"/>
      <c r="CM314" s="240"/>
      <c r="CN314" s="75"/>
      <c r="CO314" s="240"/>
      <c r="CP314" s="75"/>
      <c r="CQ314" s="240"/>
      <c r="CR314" s="75"/>
      <c r="CS314" s="240"/>
      <c r="CT314" s="75"/>
      <c r="CU314" s="240"/>
      <c r="CV314" s="75"/>
      <c r="CW314" s="240"/>
      <c r="CX314" s="75"/>
      <c r="CY314" s="240"/>
      <c r="CZ314" s="75"/>
      <c r="DA314" s="240"/>
      <c r="DB314" s="75"/>
      <c r="DC314" s="240"/>
      <c r="DD314" s="75"/>
      <c r="DE314" s="240"/>
      <c r="DF314" s="75"/>
      <c r="DG314" s="240"/>
      <c r="DH314" s="75"/>
      <c r="DI314" s="240"/>
      <c r="DJ314" s="75"/>
      <c r="DK314" s="240"/>
      <c r="DL314" s="75"/>
      <c r="DM314" s="240"/>
      <c r="DN314" s="75"/>
      <c r="DO314" s="240"/>
      <c r="DP314" s="75"/>
      <c r="DQ314" s="240"/>
      <c r="DR314" s="75"/>
      <c r="DS314" s="240"/>
      <c r="DT314" s="75"/>
      <c r="DU314" s="240"/>
      <c r="DV314" s="75"/>
      <c r="DW314" s="240"/>
      <c r="DX314" s="75"/>
      <c r="DY314" s="240"/>
      <c r="DZ314" s="75"/>
      <c r="EA314" s="240"/>
      <c r="EB314" s="155"/>
      <c r="EC314" s="75"/>
      <c r="ED314" s="155"/>
      <c r="EE314" s="75"/>
      <c r="EF314" s="155"/>
      <c r="EG314" s="75"/>
      <c r="EH314" s="155"/>
      <c r="EI314" s="75"/>
      <c r="EJ314" s="240"/>
      <c r="EK314" s="75"/>
      <c r="EL314" s="240"/>
      <c r="EM314" s="75"/>
      <c r="EN314" s="240"/>
      <c r="EO314" s="75"/>
      <c r="EP314" s="240"/>
      <c r="EQ314" s="75"/>
      <c r="ER314" s="240"/>
      <c r="ES314" s="75"/>
      <c r="ET314" s="240"/>
      <c r="EU314" s="75"/>
      <c r="EV314" s="240"/>
      <c r="EW314" s="75"/>
      <c r="EX314" s="240"/>
      <c r="EY314" s="75"/>
      <c r="EZ314" s="240"/>
      <c r="FA314" s="75"/>
      <c r="FB314" s="240"/>
      <c r="FC314" s="75"/>
      <c r="FD314" s="240"/>
      <c r="FE314" s="75"/>
      <c r="FF314" s="240"/>
      <c r="FG314" s="75"/>
      <c r="FH314" s="240"/>
      <c r="FI314" s="75"/>
      <c r="FJ314" s="240"/>
      <c r="FK314" s="75"/>
      <c r="FL314" s="240"/>
      <c r="FM314" s="75"/>
      <c r="FN314" s="240"/>
      <c r="FO314" s="75"/>
      <c r="FP314" s="240"/>
      <c r="FQ314" s="75"/>
      <c r="FR314" s="240"/>
      <c r="FS314" s="240"/>
    </row>
    <row r="315" spans="1:175" ht="12.75" hidden="1" customHeight="1" outlineLevel="1" x14ac:dyDescent="0.2">
      <c r="A315" s="514" t="s">
        <v>312</v>
      </c>
      <c r="B315" s="75"/>
      <c r="C315" s="155"/>
      <c r="D315" s="75"/>
      <c r="E315" s="155"/>
      <c r="F315" s="75"/>
      <c r="G315" s="155"/>
      <c r="H315" s="75"/>
      <c r="I315" s="155"/>
      <c r="J315" s="75"/>
      <c r="K315" s="155"/>
      <c r="L315" s="75"/>
      <c r="M315" s="155"/>
      <c r="N315" s="75"/>
      <c r="O315" s="155"/>
      <c r="P315" s="75"/>
      <c r="Q315" s="155"/>
      <c r="R315" s="75"/>
      <c r="S315" s="155"/>
      <c r="T315" s="75"/>
      <c r="U315" s="155"/>
      <c r="V315" s="75"/>
      <c r="W315" s="155"/>
      <c r="X315" s="75"/>
      <c r="Y315" s="155"/>
      <c r="Z315" s="75"/>
      <c r="AA315" s="155"/>
      <c r="AB315" s="75"/>
      <c r="AC315" s="155"/>
      <c r="AD315" s="75"/>
      <c r="AE315" s="155"/>
      <c r="AF315" s="75"/>
      <c r="AG315" s="155"/>
      <c r="AH315" s="75"/>
      <c r="AI315" s="240"/>
      <c r="AJ315" s="75"/>
      <c r="AK315" s="240"/>
      <c r="AL315" s="75"/>
      <c r="AM315" s="240"/>
      <c r="AN315" s="75"/>
      <c r="AO315" s="240"/>
      <c r="AP315" s="75"/>
      <c r="AQ315" s="240"/>
      <c r="AR315" s="75"/>
      <c r="AS315" s="240"/>
      <c r="AT315" s="75"/>
      <c r="AU315" s="240"/>
      <c r="AV315" s="75"/>
      <c r="AW315" s="240"/>
      <c r="AX315" s="75"/>
      <c r="AY315" s="240"/>
      <c r="AZ315" s="75"/>
      <c r="BA315" s="240"/>
      <c r="BB315" s="75"/>
      <c r="BC315" s="240"/>
      <c r="BD315" s="75"/>
      <c r="BE315" s="240"/>
      <c r="BF315" s="75"/>
      <c r="BG315" s="240"/>
      <c r="BH315" s="75"/>
      <c r="BI315" s="240"/>
      <c r="BJ315" s="75"/>
      <c r="BK315" s="240"/>
      <c r="BL315" s="75"/>
      <c r="BM315" s="240"/>
      <c r="BN315" s="75"/>
      <c r="BO315" s="240"/>
      <c r="BP315" s="75"/>
      <c r="BQ315" s="240"/>
      <c r="BR315" s="75"/>
      <c r="BS315" s="240"/>
      <c r="BT315" s="75"/>
      <c r="BU315" s="240"/>
      <c r="BV315" s="75"/>
      <c r="BW315" s="240"/>
      <c r="BX315" s="75"/>
      <c r="BY315" s="240"/>
      <c r="BZ315" s="75"/>
      <c r="CA315" s="240"/>
      <c r="CB315" s="75"/>
      <c r="CC315" s="240"/>
      <c r="CD315" s="75"/>
      <c r="CE315" s="240"/>
      <c r="CF315" s="75"/>
      <c r="CG315" s="240"/>
      <c r="CH315" s="75"/>
      <c r="CI315" s="240"/>
      <c r="CJ315" s="75"/>
      <c r="CK315" s="240"/>
      <c r="CL315" s="75"/>
      <c r="CM315" s="240"/>
      <c r="CN315" s="75"/>
      <c r="CO315" s="240"/>
      <c r="CP315" s="75"/>
      <c r="CQ315" s="240"/>
      <c r="CR315" s="75"/>
      <c r="CS315" s="240"/>
      <c r="CT315" s="75"/>
      <c r="CU315" s="240"/>
      <c r="CV315" s="75"/>
      <c r="CW315" s="240"/>
      <c r="CX315" s="75"/>
      <c r="CY315" s="240"/>
      <c r="CZ315" s="75"/>
      <c r="DA315" s="240"/>
      <c r="DB315" s="75"/>
      <c r="DC315" s="240"/>
      <c r="DD315" s="75"/>
      <c r="DE315" s="240"/>
      <c r="DF315" s="75"/>
      <c r="DG315" s="240"/>
      <c r="DH315" s="75"/>
      <c r="DI315" s="240"/>
      <c r="DJ315" s="75"/>
      <c r="DK315" s="240"/>
      <c r="DL315" s="75"/>
      <c r="DM315" s="240"/>
      <c r="DN315" s="75"/>
      <c r="DO315" s="240"/>
      <c r="DP315" s="75"/>
      <c r="DQ315" s="240"/>
      <c r="DR315" s="75"/>
      <c r="DS315" s="240"/>
      <c r="DT315" s="75"/>
      <c r="DU315" s="240"/>
      <c r="DV315" s="75"/>
      <c r="DW315" s="240"/>
      <c r="DX315" s="75"/>
      <c r="DY315" s="240"/>
      <c r="DZ315" s="75"/>
      <c r="EA315" s="240"/>
      <c r="EB315" s="155"/>
      <c r="EC315" s="75"/>
      <c r="ED315" s="155"/>
      <c r="EE315" s="75"/>
      <c r="EF315" s="155"/>
      <c r="EG315" s="75"/>
      <c r="EH315" s="155"/>
      <c r="EI315" s="75"/>
      <c r="EJ315" s="240"/>
      <c r="EK315" s="75"/>
      <c r="EL315" s="240"/>
      <c r="EM315" s="75"/>
      <c r="EN315" s="240"/>
      <c r="EO315" s="75"/>
      <c r="EP315" s="240"/>
      <c r="EQ315" s="75"/>
      <c r="ER315" s="240"/>
      <c r="ES315" s="75"/>
      <c r="ET315" s="240"/>
      <c r="EU315" s="75"/>
      <c r="EV315" s="240"/>
      <c r="EW315" s="75"/>
      <c r="EX315" s="240"/>
      <c r="EY315" s="75"/>
      <c r="EZ315" s="240"/>
      <c r="FA315" s="75"/>
      <c r="FB315" s="240"/>
      <c r="FC315" s="75"/>
      <c r="FD315" s="240"/>
      <c r="FE315" s="75"/>
      <c r="FF315" s="240"/>
      <c r="FG315" s="75"/>
      <c r="FH315" s="240"/>
      <c r="FI315" s="75"/>
      <c r="FJ315" s="240"/>
      <c r="FK315" s="75"/>
      <c r="FL315" s="240"/>
      <c r="FM315" s="75"/>
      <c r="FN315" s="240"/>
      <c r="FO315" s="75"/>
      <c r="FP315" s="240"/>
      <c r="FQ315" s="75"/>
      <c r="FR315" s="240"/>
      <c r="FS315" s="240"/>
    </row>
    <row r="316" spans="1:175" ht="12.75" hidden="1" customHeight="1" outlineLevel="1" x14ac:dyDescent="0.2">
      <c r="A316" s="246" t="str">
        <f>+INPUT!B313</f>
        <v>G&amp;A Expenses/Total Revenues (%)</v>
      </c>
      <c r="B316" s="73">
        <f>+INPUT!AA313</f>
        <v>80.655737704918025</v>
      </c>
      <c r="C316" s="155">
        <f>+INPUT!AB313</f>
        <v>2.2230228787605739</v>
      </c>
      <c r="D316" s="73">
        <f>+INPUT!AC313</f>
        <v>80</v>
      </c>
      <c r="E316" s="155">
        <f>+INPUT!AD313</f>
        <v>-3.3691756272401534</v>
      </c>
      <c r="F316" s="73">
        <f>+INPUT!AE313</f>
        <v>83.62573099415205</v>
      </c>
      <c r="G316" s="155">
        <f>+INPUT!AF313</f>
        <v>3.1492479577673151</v>
      </c>
      <c r="H316" s="73">
        <f>+INPUT!AG313</f>
        <v>79.155672823218993</v>
      </c>
      <c r="I316" s="155">
        <f>+INPUT!AH313</f>
        <v>-8.1228797587636734</v>
      </c>
      <c r="J316" s="73">
        <f>+INPUT!AI313</f>
        <v>80.691642651296831</v>
      </c>
      <c r="K316" s="155">
        <f>+INPUT!AJ313</f>
        <v>4.4516295307062137E-2</v>
      </c>
      <c r="L316" s="73">
        <f>+INPUT!AK313</f>
        <v>81.420765027322403</v>
      </c>
      <c r="M316" s="155">
        <f>+INPUT!AL313</f>
        <v>1.7759562841530112</v>
      </c>
      <c r="N316" s="73">
        <f>+INPUT!AM313</f>
        <v>79.579579579579587</v>
      </c>
      <c r="O316" s="155">
        <f>+INPUT!AN313</f>
        <v>-4.838404838404827</v>
      </c>
      <c r="P316" s="73">
        <f>+INPUT!AO313</f>
        <v>76.555023923444978</v>
      </c>
      <c r="Q316" s="155">
        <f>+INPUT!AP313</f>
        <v>-3.2854864433811741</v>
      </c>
      <c r="R316" s="73">
        <f>+INPUT!AQ313</f>
        <v>66.028708133971293</v>
      </c>
      <c r="S316" s="155">
        <f>+INPUT!AR313</f>
        <v>-18.171565276828431</v>
      </c>
      <c r="T316" s="73">
        <f>+INPUT!AS313</f>
        <v>71.820448877805489</v>
      </c>
      <c r="U316" s="155">
        <f>+INPUT!AT313</f>
        <v>-11.790992317863058</v>
      </c>
      <c r="V316" s="73">
        <f>+INPUT!AU313</f>
        <v>72.335600907029473</v>
      </c>
      <c r="W316" s="155">
        <f>+INPUT!AV313</f>
        <v>-9.1028109356950466</v>
      </c>
      <c r="X316" s="73">
        <f>+INPUT!AW313</f>
        <v>72.706422018348633</v>
      </c>
      <c r="Y316" s="155">
        <f>+INPUT!AX313</f>
        <v>-5.0272362385320974</v>
      </c>
      <c r="Z316" s="73">
        <f>+INPUT!AY313</f>
        <v>66.528925619834709</v>
      </c>
      <c r="AA316" s="155">
        <f>+INPUT!AZ313</f>
        <v>0.75757575757575069</v>
      </c>
      <c r="AB316" s="73">
        <f>+INPUT!BA313</f>
        <v>69.670329670329664</v>
      </c>
      <c r="AC316" s="155">
        <f>+INPUT!BB313</f>
        <v>-2.9937423687423745</v>
      </c>
      <c r="AD316" s="73">
        <f>+INPUT!BC313</f>
        <v>73.86363636363636</v>
      </c>
      <c r="AE316" s="155">
        <f>+INPUT!BD313</f>
        <v>2.1124251923624939</v>
      </c>
      <c r="AF316" s="73">
        <f>+INPUT!BE313</f>
        <v>69.607843137254903</v>
      </c>
      <c r="AG316" s="155">
        <f>+INPUT!BF313</f>
        <v>-4.2617677986021079</v>
      </c>
      <c r="AH316" s="81">
        <f>+INPUT!BG313</f>
        <v>65.688073394495419</v>
      </c>
      <c r="AI316" s="240">
        <f>+INPUT!BH313</f>
        <v>-1.2638896803236435</v>
      </c>
      <c r="AJ316" s="81">
        <f>+INPUT!BI313</f>
        <v>69.152542372881356</v>
      </c>
      <c r="AK316" s="240">
        <f>+INPUT!BJ313</f>
        <v>-0.74319627867186</v>
      </c>
      <c r="AL316" s="81">
        <f>+INPUT!BK313</f>
        <v>67.741935483870961</v>
      </c>
      <c r="AM316" s="240">
        <f>+INPUT!BL313</f>
        <v>-8.2878411910670025</v>
      </c>
      <c r="AN316" s="81">
        <f>+INPUT!BM313</f>
        <v>65.175718849840251</v>
      </c>
      <c r="AO316" s="240">
        <f>+INPUT!BN313</f>
        <v>-6.3672771452999228</v>
      </c>
      <c r="AP316" s="81">
        <f>+INPUT!BO313</f>
        <v>74.087591240875923</v>
      </c>
      <c r="AQ316" s="240">
        <f>+INPUT!BP313</f>
        <v>12.786975492394888</v>
      </c>
      <c r="AR316" s="81">
        <f>+INPUT!BQ313</f>
        <v>63.475177304964539</v>
      </c>
      <c r="AS316" s="240">
        <f>+INPUT!BR313</f>
        <v>-8.2099151717424519</v>
      </c>
      <c r="AT316" s="81">
        <f>+INPUT!BS313</f>
        <v>95.652173913043484</v>
      </c>
      <c r="AU316" s="240">
        <f>+INPUT!BT313</f>
        <v>41.200828157349918</v>
      </c>
      <c r="AV316" s="81">
        <f>+INPUT!BU313</f>
        <v>120.5240174672489</v>
      </c>
      <c r="AW316" s="240">
        <f>+INPUT!BV313</f>
        <v>84.921654251220133</v>
      </c>
      <c r="AX316" s="81">
        <f>+INPUT!BW313</f>
        <v>96.577946768060841</v>
      </c>
      <c r="AY316" s="240">
        <f>+INPUT!BX313</f>
        <v>30.35644046526437</v>
      </c>
      <c r="AZ316" s="81">
        <f>+INPUT!BY313</f>
        <v>88.596491228070178</v>
      </c>
      <c r="BA316" s="240">
        <f>+INPUT!BZ313</f>
        <v>39.576595119082612</v>
      </c>
      <c r="BB316" s="81">
        <f>+INPUT!CA313</f>
        <v>88.659793814432987</v>
      </c>
      <c r="BC316" s="240">
        <f>+INPUT!CB313</f>
        <v>-7.3102155576382444</v>
      </c>
      <c r="BD316" s="81">
        <f>+INPUT!CC313</f>
        <v>101.10803324099722</v>
      </c>
      <c r="BE316" s="240">
        <f>+INPUT!CD313</f>
        <v>-16.109639086274044</v>
      </c>
      <c r="BF316" s="81">
        <f>+INPUT!CE313</f>
        <v>77.308707124010553</v>
      </c>
      <c r="BG316" s="240">
        <f>+INPUT!CF313</f>
        <v>-19.952007977894596</v>
      </c>
      <c r="BH316" s="81">
        <f>+INPUT!CG313</f>
        <v>73.886639676113361</v>
      </c>
      <c r="BI316" s="240">
        <f>+INPUT!CH313</f>
        <v>-16.603198781416609</v>
      </c>
      <c r="BJ316" s="81">
        <f>+INPUT!CI313</f>
        <v>69.371196754563897</v>
      </c>
      <c r="BK316" s="240">
        <f>+INPUT!CJ313</f>
        <v>-21.755743195433737</v>
      </c>
      <c r="BL316" s="81">
        <f>+INPUT!CK313</f>
        <v>74.137931034482762</v>
      </c>
      <c r="BM316" s="240">
        <f>+INPUT!CL313</f>
        <v>-26.674539442607454</v>
      </c>
      <c r="BN316" s="81">
        <f>+INPUT!CM313</f>
        <v>71.532846715328475</v>
      </c>
      <c r="BO316" s="240">
        <f>+INPUT!CN313</f>
        <v>-7.471164146383984</v>
      </c>
      <c r="BP316" s="81">
        <f>+INPUT!CO313</f>
        <v>64.786585365853654</v>
      </c>
      <c r="BQ316" s="240">
        <f>+INPUT!CP313</f>
        <v>-12.316237888406292</v>
      </c>
      <c r="BR316" s="81">
        <f>+INPUT!CQ313</f>
        <v>75.048732943469787</v>
      </c>
      <c r="BS316" s="240">
        <f>+INPUT!CR313</f>
        <v>8.1842846231889013</v>
      </c>
      <c r="BT316" s="81">
        <f>+INPUT!CS313</f>
        <v>63.534361851332399</v>
      </c>
      <c r="BU316" s="240">
        <f>+INPUT!CT313</f>
        <v>-14.302488665644674</v>
      </c>
      <c r="BV316" s="81">
        <f>+INPUT!CU313</f>
        <v>73.53463587921847</v>
      </c>
      <c r="BW316" s="240">
        <f>+INPUT!CV313</f>
        <v>2.7984195454380512</v>
      </c>
      <c r="BX316" s="81">
        <f>+INPUT!CW313</f>
        <v>87.903225806451616</v>
      </c>
      <c r="BY316" s="240">
        <f>+INPUT!CX313</f>
        <v>35.681214421252378</v>
      </c>
      <c r="BZ316" s="81">
        <f>+INPUT!CY313</f>
        <v>68.512658227848107</v>
      </c>
      <c r="CA316" s="240">
        <f>+INPUT!CZ313</f>
        <v>-8.7091073483478425</v>
      </c>
      <c r="CB316" s="81">
        <f>+INPUT!DA313</f>
        <v>72.408759124087595</v>
      </c>
      <c r="CC316" s="240">
        <f>+INPUT!DB313</f>
        <v>13.967870321135663</v>
      </c>
      <c r="CD316" s="81">
        <f>+INPUT!DC313</f>
        <v>73.36448598130842</v>
      </c>
      <c r="CE316" s="240">
        <f>+INPUT!DD313</f>
        <v>-0.23138742155400394</v>
      </c>
      <c r="CF316" s="81">
        <f>+INPUT!DE313</f>
        <v>73.413897280966765</v>
      </c>
      <c r="CG316" s="240">
        <f>+INPUT!DF313</f>
        <v>-16.483272817982765</v>
      </c>
      <c r="CH316" s="81">
        <f>+INPUT!DG313</f>
        <v>72.881355932203391</v>
      </c>
      <c r="CI316" s="240">
        <f>+INPUT!DH313</f>
        <v>6.3764825615532033</v>
      </c>
      <c r="CJ316" s="81">
        <f>+INPUT!DI313</f>
        <v>70.482758620689651</v>
      </c>
      <c r="CK316" s="240">
        <f>+INPUT!DJ313</f>
        <v>-2.6598998887653096</v>
      </c>
      <c r="CL316" s="81">
        <f>+INPUT!DK313</f>
        <v>70.61469265367316</v>
      </c>
      <c r="CM316" s="240">
        <f>+INPUT!DL313</f>
        <v>-3.748125937031503</v>
      </c>
      <c r="CN316" s="81">
        <f>+INPUT!DM313</f>
        <v>71.528751753155689</v>
      </c>
      <c r="CO316" s="240">
        <f>+INPUT!DN313</f>
        <v>-2.5678319740965634</v>
      </c>
      <c r="CP316" s="81">
        <f>+INPUT!DO313</f>
        <v>71.705963938973653</v>
      </c>
      <c r="CQ316" s="240">
        <f>+INPUT!DP313</f>
        <v>-1.6127471535012745</v>
      </c>
      <c r="CR316" s="81">
        <f>+INPUT!DQ313</f>
        <v>73.47767253044654</v>
      </c>
      <c r="CS316" s="240">
        <f>+INPUT!DR313</f>
        <v>4.2491440011228008</v>
      </c>
      <c r="CT316" s="81">
        <f>+INPUT!DS313</f>
        <v>71.487039563437932</v>
      </c>
      <c r="CU316" s="240">
        <f>+INPUT!DT313</f>
        <v>1.2353617596881179</v>
      </c>
      <c r="CV316" s="81">
        <f>+INPUT!DU313</f>
        <v>74.226804123711347</v>
      </c>
      <c r="CW316" s="240">
        <f>+INPUT!DV313</f>
        <v>3.7719830200121152</v>
      </c>
      <c r="CX316" s="81">
        <f>+INPUT!DW313</f>
        <v>73.721590909090907</v>
      </c>
      <c r="CY316" s="240">
        <f>+INPUT!DX313</f>
        <v>2.810961403200281</v>
      </c>
      <c r="CZ316" s="81">
        <f>+INPUT!DY313</f>
        <v>72.229822161422703</v>
      </c>
      <c r="DA316" s="240">
        <f>+INPUT!DZ313</f>
        <v>-1.6982714967009542</v>
      </c>
      <c r="DB316" s="81">
        <f>+INPUT!EA313</f>
        <v>76.062322946175641</v>
      </c>
      <c r="DC316" s="240">
        <f>+INPUT!EB313</f>
        <v>6.4001578617304204</v>
      </c>
      <c r="DD316" s="81">
        <f>+INPUT!EC313</f>
        <v>71.038251366120221</v>
      </c>
      <c r="DE316" s="240">
        <f>+INPUT!ED313</f>
        <v>-4.2956891317547132</v>
      </c>
      <c r="DF316" s="81">
        <f>+INPUT!EE313</f>
        <v>73.866666666666674</v>
      </c>
      <c r="DG316" s="240">
        <f>+INPUT!EF313</f>
        <v>0.19678869621067463</v>
      </c>
      <c r="DH316" s="81">
        <f>+INPUT!EG313</f>
        <v>70.245795601552402</v>
      </c>
      <c r="DI316" s="240">
        <f>+INPUT!EH313</f>
        <v>-2.7468246501234717</v>
      </c>
      <c r="DJ316" s="81">
        <f>+INPUT!EI313</f>
        <v>73.148148148148152</v>
      </c>
      <c r="DK316" s="240">
        <f>+INPUT!EJ313</f>
        <v>-3.8312987102558793</v>
      </c>
      <c r="DL316" s="81">
        <f>+INPUT!EK313</f>
        <v>71.283354510800507</v>
      </c>
      <c r="DM316" s="240">
        <f>+INPUT!EL313</f>
        <v>0.34502981135761956</v>
      </c>
      <c r="DN316" s="81">
        <f>+INPUT!EM313</f>
        <v>67.83555018137848</v>
      </c>
      <c r="DO316" s="240">
        <f>+INPUT!EN313</f>
        <v>-8.1648688880255378</v>
      </c>
      <c r="DP316" s="81">
        <f>+INPUT!EO313</f>
        <v>67.918781725888323</v>
      </c>
      <c r="DQ316" s="240">
        <f>+INPUT!EP313</f>
        <v>-3.3126735283394737</v>
      </c>
      <c r="DR316" s="81">
        <f>+INPUT!EQ313</f>
        <v>71</v>
      </c>
      <c r="DS316" s="240">
        <f>+INPUT!ER313</f>
        <v>-2.9367088607594951</v>
      </c>
      <c r="DT316" s="81">
        <f>+INPUT!ES313</f>
        <v>71</v>
      </c>
      <c r="DU316" s="240">
        <f>+INPUT!ET313</f>
        <v>-0.39750445632797948</v>
      </c>
      <c r="DV316" s="81">
        <f>+INPUT!EU313</f>
        <v>71</v>
      </c>
      <c r="DW316" s="240">
        <f>+INPUT!EV313</f>
        <v>4.6648841354723629</v>
      </c>
      <c r="DX316" s="81">
        <f>+INPUT!EW313</f>
        <v>71.5</v>
      </c>
      <c r="DY316" s="240">
        <f>+INPUT!EX313</f>
        <v>5.2727952167414003</v>
      </c>
      <c r="DZ316" s="81"/>
      <c r="EA316" s="240"/>
      <c r="EB316" s="155">
        <f>+INPUT!FI313</f>
        <v>0.17233874668190197</v>
      </c>
      <c r="EC316" s="73">
        <f>+INPUT!FJ313</f>
        <v>82.188679245283012</v>
      </c>
      <c r="ED316" s="155">
        <f>+INPUT!FK313</f>
        <v>-1.4275233333849542</v>
      </c>
      <c r="EE316" s="73">
        <f>+INPUT!FL313</f>
        <v>80.822924320352683</v>
      </c>
      <c r="EF316" s="155">
        <f>+INPUT!FM313</f>
        <v>-1.6617311988362644</v>
      </c>
      <c r="EG316" s="73">
        <f>+INPUT!FN313</f>
        <v>79.439890710382514</v>
      </c>
      <c r="EH316" s="155">
        <f>+INPUT!FO313</f>
        <v>-1.7111897665176343</v>
      </c>
      <c r="EI316" s="73">
        <f>+INPUT!FP313</f>
        <v>70.754716981132077</v>
      </c>
      <c r="EJ316" s="240">
        <f>+INPUT!FQ313</f>
        <v>-10.933013189701327</v>
      </c>
      <c r="EK316" s="81">
        <f>+INPUT!FR313</f>
        <v>69.814163736815672</v>
      </c>
      <c r="EL316" s="240">
        <f>+INPUT!FS313</f>
        <v>-1.3293152519671878</v>
      </c>
      <c r="EM316" s="81">
        <f>+INPUT!FT313</f>
        <v>66.925398878827082</v>
      </c>
      <c r="EN316" s="240">
        <f>+INPUT!FU313</f>
        <v>-4.1377919656512887</v>
      </c>
      <c r="EO316" s="81">
        <f>+INPUT!FV313</f>
        <v>81.257413997627523</v>
      </c>
      <c r="EP316" s="240">
        <f>+INPUT!FW313</f>
        <v>21.414911765784936</v>
      </c>
      <c r="EQ316" s="81">
        <f>+INPUT!FX313</f>
        <v>93.87430389817024</v>
      </c>
      <c r="ER316" s="240">
        <f>+INPUT!FY313</f>
        <v>15.527063045485406</v>
      </c>
      <c r="ES316" s="81">
        <f>+INPUT!FZ313</f>
        <v>73.46398305084746</v>
      </c>
      <c r="ET316" s="240">
        <f>+INPUT!GA313</f>
        <v>-21.742180767020955</v>
      </c>
      <c r="EU316" s="81">
        <f>+INPUT!GB313</f>
        <v>68.106995884773653</v>
      </c>
      <c r="EV316" s="240">
        <f>+INPUT!GC313</f>
        <v>-7.2919911820817305</v>
      </c>
      <c r="EW316" s="81">
        <f>+INPUT!GD313</f>
        <v>74.87373737373737</v>
      </c>
      <c r="EX316" s="240">
        <f>+INPUT!GE313</f>
        <v>9.9354572919527726</v>
      </c>
      <c r="EY316" s="81">
        <f>+INPUT!GF313</f>
        <v>72.479462285287539</v>
      </c>
      <c r="EZ316" s="240">
        <f>+INPUT!GG313</f>
        <v>-3.197750202449015</v>
      </c>
      <c r="FA316" s="81">
        <f>+INPUT!GH313</f>
        <v>71.866197183098592</v>
      </c>
      <c r="FB316" s="240">
        <f>+INPUT!GI313</f>
        <v>-0.84612258818238217</v>
      </c>
      <c r="FC316" s="81">
        <f>+INPUT!GJ313</f>
        <v>72.927989130434781</v>
      </c>
      <c r="FD316" s="240">
        <f>+INPUT!GK313</f>
        <v>1.4774567028097891</v>
      </c>
      <c r="FE316" s="81">
        <f>+INPUT!GL313</f>
        <v>72.745694022289769</v>
      </c>
      <c r="FF316" s="240">
        <f>+INPUT!GM313</f>
        <v>-0.24996590516018102</v>
      </c>
      <c r="FG316" s="81">
        <f>+INPUT!GN313</f>
        <v>69.865871833084952</v>
      </c>
      <c r="FH316" s="240">
        <f>+INPUT!GO313</f>
        <v>-3.9587527865531484</v>
      </c>
      <c r="FI316" s="81">
        <f>+INPUT!GP313</f>
        <v>71.12728208424906</v>
      </c>
      <c r="FJ316" s="240">
        <f>+INPUT!GQ313</f>
        <v>1.8054741436243944</v>
      </c>
      <c r="FK316" s="81">
        <f>+INPUT!GR313</f>
        <v>71.12728208424906</v>
      </c>
      <c r="FL316" s="240">
        <f>+INPUT!GS313</f>
        <v>0</v>
      </c>
      <c r="FM316" s="81">
        <f>+INPUT!GT313</f>
        <v>71.12728208424906</v>
      </c>
      <c r="FN316" s="240">
        <f>+INPUT!GU313</f>
        <v>0</v>
      </c>
      <c r="FO316" s="81">
        <f>+INPUT!GV313</f>
        <v>71.12728208424906</v>
      </c>
      <c r="FP316" s="240">
        <f>+INPUT!GW313</f>
        <v>0</v>
      </c>
      <c r="FQ316" s="81">
        <f>+INPUT!GX313</f>
        <v>71.12728208424906</v>
      </c>
      <c r="FR316" s="240">
        <f>+INPUT!GY313</f>
        <v>0</v>
      </c>
      <c r="FS316" s="240">
        <f>+INPUT!GZ313</f>
        <v>0.35851493679697199</v>
      </c>
    </row>
    <row r="317" spans="1:175" ht="12.75" hidden="1" customHeight="1" outlineLevel="1" x14ac:dyDescent="0.2">
      <c r="A317" s="246" t="str">
        <f>+INPUT!B314</f>
        <v>Net DAC/G&amp;A Expenses (%)</v>
      </c>
      <c r="B317" s="73">
        <f>+INPUT!AA314</f>
        <v>4.4715447154471546</v>
      </c>
      <c r="C317" s="155">
        <f>+INPUT!AB314</f>
        <v>52.591463414634177</v>
      </c>
      <c r="D317" s="73">
        <f>+INPUT!AC314</f>
        <v>3.3582089552238807</v>
      </c>
      <c r="E317" s="155">
        <f>+INPUT!AD314</f>
        <v>33.848614072494655</v>
      </c>
      <c r="F317" s="73">
        <f>+INPUT!AE314</f>
        <v>2.7972027972027971</v>
      </c>
      <c r="G317" s="155">
        <f>+INPUT!AF314</f>
        <v>-48.651348651348655</v>
      </c>
      <c r="H317" s="73">
        <f>+INPUT!AG314</f>
        <v>2.666666666666667</v>
      </c>
      <c r="I317" s="155">
        <f>+INPUT!AH314</f>
        <v>-32.12121212121211</v>
      </c>
      <c r="J317" s="73">
        <f>+INPUT!AI314</f>
        <v>2.1428571428571428</v>
      </c>
      <c r="K317" s="155" t="str">
        <f>+INPUT!AJ314</f>
        <v>NM</v>
      </c>
      <c r="L317" s="73">
        <f>+INPUT!AK314</f>
        <v>2.0134228187919461</v>
      </c>
      <c r="M317" s="155">
        <f>+INPUT!AL314</f>
        <v>-40.044742729306492</v>
      </c>
      <c r="N317" s="73">
        <f>+INPUT!AM314</f>
        <v>2.6415094339622645</v>
      </c>
      <c r="O317" s="155">
        <f>+INPUT!AN314</f>
        <v>-5.5660377358490365</v>
      </c>
      <c r="P317" s="73">
        <f>+INPUT!AO314</f>
        <v>1.5625</v>
      </c>
      <c r="Q317" s="155">
        <f>+INPUT!AP314</f>
        <v>-41.406250000000014</v>
      </c>
      <c r="R317" s="73">
        <f>+INPUT!AQ314</f>
        <v>1.8115942028985508</v>
      </c>
      <c r="S317" s="155">
        <f>+INPUT!AR314</f>
        <v>-15.45893719806763</v>
      </c>
      <c r="T317" s="73">
        <f>+INPUT!AS314</f>
        <v>1.3888888888888888</v>
      </c>
      <c r="U317" s="155">
        <f>+INPUT!AT314</f>
        <v>-31.018518518518505</v>
      </c>
      <c r="V317" s="73">
        <f>+INPUT!AU314</f>
        <v>0.94043887147335425</v>
      </c>
      <c r="W317" s="155" t="str">
        <f>+INPUT!AV314</f>
        <v>NM</v>
      </c>
      <c r="X317" s="73">
        <f>+INPUT!AW314</f>
        <v>1.2618296529968454</v>
      </c>
      <c r="Y317" s="155">
        <f>+INPUT!AX314</f>
        <v>-19.242902208201897</v>
      </c>
      <c r="Z317" s="73">
        <f>+INPUT!AY314</f>
        <v>0.6211180124223602</v>
      </c>
      <c r="AA317" s="155" t="str">
        <f>+INPUT!AZ314</f>
        <v>NM</v>
      </c>
      <c r="AB317" s="73">
        <f>+INPUT!BA314</f>
        <v>0.63091482649842268</v>
      </c>
      <c r="AC317" s="155" t="str">
        <f>+INPUT!BB314</f>
        <v>NM</v>
      </c>
      <c r="AD317" s="73">
        <f>+INPUT!BC314</f>
        <v>0.92307692307692313</v>
      </c>
      <c r="AE317" s="155">
        <f>+INPUT!BD314</f>
        <v>-1.8461538461538396</v>
      </c>
      <c r="AF317" s="73">
        <f>+INPUT!BE314</f>
        <v>0.70422535211267612</v>
      </c>
      <c r="AG317" s="155">
        <f>+INPUT!BF314</f>
        <v>-44.190140845070417</v>
      </c>
      <c r="AH317" s="81">
        <f>+INPUT!BG314</f>
        <v>0.55865921787709494</v>
      </c>
      <c r="AI317" s="240">
        <f>+INPUT!BH314</f>
        <v>-10.055865921787714</v>
      </c>
      <c r="AJ317" s="81">
        <f>+INPUT!BI314</f>
        <v>0.24509803921568626</v>
      </c>
      <c r="AK317" s="240" t="str">
        <f>+INPUT!BJ314</f>
        <v>NM</v>
      </c>
      <c r="AL317" s="81">
        <f>+INPUT!BK314</f>
        <v>0</v>
      </c>
      <c r="AM317" s="240" t="str">
        <f>+INPUT!BL314</f>
        <v>NM</v>
      </c>
      <c r="AN317" s="81">
        <f>+INPUT!BM314</f>
        <v>0.24509803921568626</v>
      </c>
      <c r="AO317" s="240" t="str">
        <f>+INPUT!BN314</f>
        <v>NM</v>
      </c>
      <c r="AP317" s="81">
        <f>+INPUT!BO314</f>
        <v>0.24630541871921183</v>
      </c>
      <c r="AQ317" s="240" t="str">
        <f>+INPUT!BP314</f>
        <v>NM</v>
      </c>
      <c r="AR317" s="81">
        <f>+INPUT!BQ314</f>
        <v>-0.27932960893854747</v>
      </c>
      <c r="AS317" s="240" t="str">
        <f>+INPUT!BR314</f>
        <v>NM</v>
      </c>
      <c r="AT317" s="81">
        <f>+INPUT!BS314</f>
        <v>0.90909090909090906</v>
      </c>
      <c r="AU317" s="240" t="str">
        <f>+INPUT!BT314</f>
        <v>NA</v>
      </c>
      <c r="AV317" s="81">
        <f>+INPUT!BU314</f>
        <v>1.0869565217391304</v>
      </c>
      <c r="AW317" s="240" t="str">
        <f>+INPUT!BV314</f>
        <v>NM</v>
      </c>
      <c r="AX317" s="81">
        <f>+INPUT!BW314</f>
        <v>0.39370078740157477</v>
      </c>
      <c r="AY317" s="240">
        <f>+INPUT!BX314</f>
        <v>59.842519685039349</v>
      </c>
      <c r="AZ317" s="81">
        <f>+INPUT!BY314</f>
        <v>-0.33003300330033003</v>
      </c>
      <c r="BA317" s="240">
        <f>+INPUT!BZ314</f>
        <v>18.15181518151816</v>
      </c>
      <c r="BB317" s="81">
        <f>+INPUT!CA314</f>
        <v>-0.77519379844961245</v>
      </c>
      <c r="BC317" s="240" t="str">
        <f>+INPUT!CB314</f>
        <v>NM</v>
      </c>
      <c r="BD317" s="81">
        <f>+INPUT!CC314</f>
        <v>-0.54794520547945202</v>
      </c>
      <c r="BE317" s="240" t="str">
        <f>+INPUT!CD314</f>
        <v>NM</v>
      </c>
      <c r="BF317" s="81">
        <f>+INPUT!CE314</f>
        <v>0</v>
      </c>
      <c r="BG317" s="240" t="str">
        <f>+INPUT!CF314</f>
        <v>NM</v>
      </c>
      <c r="BH317" s="81">
        <f>+INPUT!CG314</f>
        <v>0.27397260273972601</v>
      </c>
      <c r="BI317" s="240" t="str">
        <f>+INPUT!CH314</f>
        <v>NM</v>
      </c>
      <c r="BJ317" s="81">
        <f>+INPUT!CI314</f>
        <v>0</v>
      </c>
      <c r="BK317" s="240" t="str">
        <f>+INPUT!CJ314</f>
        <v>NM</v>
      </c>
      <c r="BL317" s="81">
        <f>+INPUT!CK314</f>
        <v>0</v>
      </c>
      <c r="BM317" s="240" t="str">
        <f>+INPUT!CL314</f>
        <v>NM</v>
      </c>
      <c r="BN317" s="81">
        <f>+INPUT!CM314</f>
        <v>-0.25510204081632654</v>
      </c>
      <c r="BO317" s="240" t="str">
        <f>+INPUT!CN314</f>
        <v>NA</v>
      </c>
      <c r="BP317" s="81">
        <f>+INPUT!CO314</f>
        <v>0</v>
      </c>
      <c r="BQ317" s="240" t="str">
        <f>+INPUT!CP314</f>
        <v>NM</v>
      </c>
      <c r="BR317" s="81">
        <f>+INPUT!CQ314</f>
        <v>0.51948051948051943</v>
      </c>
      <c r="BS317" s="240" t="str">
        <f>+INPUT!CR314</f>
        <v>NA</v>
      </c>
      <c r="BT317" s="81">
        <f>+INPUT!CS314</f>
        <v>0.22075055187637968</v>
      </c>
      <c r="BU317" s="240" t="str">
        <f>+INPUT!CT314</f>
        <v>NA</v>
      </c>
      <c r="BV317" s="81">
        <f>+INPUT!CU314</f>
        <v>-0.24154589371980675</v>
      </c>
      <c r="BW317" s="240">
        <f>+INPUT!CV314</f>
        <v>-5.3140096618357546</v>
      </c>
      <c r="BX317" s="81">
        <f>+INPUT!CW314</f>
        <v>0</v>
      </c>
      <c r="BY317" s="240" t="str">
        <f>+INPUT!CX314</f>
        <v>NA</v>
      </c>
      <c r="BZ317" s="81">
        <f>+INPUT!CY314</f>
        <v>-0.23094688221709006</v>
      </c>
      <c r="CA317" s="240" t="str">
        <f>+INPUT!CZ314</f>
        <v>NM</v>
      </c>
      <c r="CB317" s="81">
        <f>+INPUT!DA314</f>
        <v>0</v>
      </c>
      <c r="CC317" s="240" t="str">
        <f>+INPUT!DB314</f>
        <v>NM</v>
      </c>
      <c r="CD317" s="81">
        <f>+INPUT!DC314</f>
        <v>-0.21231422505307856</v>
      </c>
      <c r="CE317" s="240">
        <f>+INPUT!DD314</f>
        <v>-12.101910828025481</v>
      </c>
      <c r="CF317" s="81">
        <f>+INPUT!DE314</f>
        <v>0.20576131687242799</v>
      </c>
      <c r="CG317" s="240" t="str">
        <f>+INPUT!DF314</f>
        <v>NA</v>
      </c>
      <c r="CH317" s="81">
        <f>+INPUT!DG314</f>
        <v>0.21141649048625794</v>
      </c>
      <c r="CI317" s="240" t="str">
        <f>+INPUT!DH314</f>
        <v>NM</v>
      </c>
      <c r="CJ317" s="81">
        <f>+INPUT!DI314</f>
        <v>0.39138943248532287</v>
      </c>
      <c r="CK317" s="240" t="str">
        <f>+INPUT!DJ314</f>
        <v>NA</v>
      </c>
      <c r="CL317" s="81">
        <f>+INPUT!DK314</f>
        <v>0</v>
      </c>
      <c r="CM317" s="240" t="str">
        <f>+INPUT!DL314</f>
        <v>NM</v>
      </c>
      <c r="CN317" s="81">
        <f>+INPUT!DM314</f>
        <v>0</v>
      </c>
      <c r="CO317" s="240" t="str">
        <f>+INPUT!DN314</f>
        <v>NM</v>
      </c>
      <c r="CP317" s="81">
        <f>+INPUT!DO314</f>
        <v>0.38684719535783368</v>
      </c>
      <c r="CQ317" s="240">
        <f>+INPUT!DP314</f>
        <v>82.978723404255305</v>
      </c>
      <c r="CR317" s="81">
        <f>+INPUT!DQ314</f>
        <v>0.36832412523020258</v>
      </c>
      <c r="CS317" s="240">
        <f>+INPUT!DR314</f>
        <v>-5.8931860036832404</v>
      </c>
      <c r="CT317" s="81">
        <f>+INPUT!DS314</f>
        <v>0.38167938931297707</v>
      </c>
      <c r="CU317" s="240" t="str">
        <f>+INPUT!DT314</f>
        <v>NA</v>
      </c>
      <c r="CV317" s="81">
        <f>+INPUT!DU314</f>
        <v>0.34722222222222221</v>
      </c>
      <c r="CW317" s="240" t="str">
        <f>+INPUT!DV314</f>
        <v>NA</v>
      </c>
      <c r="CX317" s="81">
        <f>+INPUT!DW314</f>
        <v>0.38535645472061658</v>
      </c>
      <c r="CY317" s="240">
        <f>+INPUT!DX314</f>
        <v>-0.38535645472062185</v>
      </c>
      <c r="CZ317" s="81">
        <f>+INPUT!DY314</f>
        <v>0.37878787878787878</v>
      </c>
      <c r="DA317" s="240">
        <f>+INPUT!DZ314</f>
        <v>2.8409090909090793</v>
      </c>
      <c r="DB317" s="81">
        <f>+INPUT!EA314</f>
        <v>0.18621973929236499</v>
      </c>
      <c r="DC317" s="240" t="str">
        <f>+INPUT!EB314</f>
        <v>NM</v>
      </c>
      <c r="DD317" s="81">
        <f>+INPUT!EC314</f>
        <v>0.19230769230769232</v>
      </c>
      <c r="DE317" s="240">
        <f>+INPUT!ED314</f>
        <v>-44.615384615384613</v>
      </c>
      <c r="DF317" s="81">
        <f>+INPUT!EE314</f>
        <v>0.18050541516245489</v>
      </c>
      <c r="DG317" s="240" t="str">
        <f>+INPUT!EF314</f>
        <v>NM</v>
      </c>
      <c r="DH317" s="81">
        <f>+INPUT!EG314</f>
        <v>0.36832412523020258</v>
      </c>
      <c r="DI317" s="240">
        <f>+INPUT!EH314</f>
        <v>-2.7624309392265189</v>
      </c>
      <c r="DJ317" s="81">
        <f>+INPUT!EI314</f>
        <v>0.36166365280289331</v>
      </c>
      <c r="DK317" s="240">
        <f>+INPUT!EJ314</f>
        <v>94.213381555153717</v>
      </c>
      <c r="DL317" s="81">
        <f>+INPUT!EK314</f>
        <v>0.17825311942959002</v>
      </c>
      <c r="DM317" s="240">
        <f>+INPUT!EL314</f>
        <v>-7.3083778966131945</v>
      </c>
      <c r="DN317" s="81">
        <f>+INPUT!EM314</f>
        <v>0</v>
      </c>
      <c r="DO317" s="240" t="str">
        <f>+INPUT!EN314</f>
        <v>NM</v>
      </c>
      <c r="DP317" s="81">
        <f>+INPUT!EO314</f>
        <v>0.29895366218236175</v>
      </c>
      <c r="DQ317" s="240">
        <f>+INPUT!EP314</f>
        <v>-18.834080717488789</v>
      </c>
      <c r="DR317" s="81">
        <f>+INPUT!EQ314</f>
        <v>0.29895366218236175</v>
      </c>
      <c r="DS317" s="240">
        <f>+INPUT!ER314</f>
        <v>-17.33931240657698</v>
      </c>
      <c r="DT317" s="81">
        <f>+INPUT!ES314</f>
        <v>0.29895366218236175</v>
      </c>
      <c r="DU317" s="240">
        <f>+INPUT!ET314</f>
        <v>67.713004484304918</v>
      </c>
      <c r="DV317" s="81">
        <f>+INPUT!EU314</f>
        <v>0.29895366218236175</v>
      </c>
      <c r="DW317" s="240" t="str">
        <f>+INPUT!EV314</f>
        <v>NA</v>
      </c>
      <c r="DX317" s="81">
        <f>+INPUT!EW314</f>
        <v>0.29895366218236175</v>
      </c>
      <c r="DY317" s="240">
        <f>+INPUT!EX314</f>
        <v>0</v>
      </c>
      <c r="DZ317" s="81"/>
      <c r="EA317" s="240"/>
      <c r="EB317" s="155" t="str">
        <f>+INPUT!FI314</f>
        <v>NM</v>
      </c>
      <c r="EC317" s="73">
        <f>+INPUT!FJ314</f>
        <v>3.6730945821854912</v>
      </c>
      <c r="ED317" s="155">
        <f>+INPUT!FK314</f>
        <v>59.910796274432641</v>
      </c>
      <c r="EE317" s="73">
        <f>+INPUT!FL314</f>
        <v>3.2727272727272729</v>
      </c>
      <c r="EF317" s="155">
        <f>+INPUT!FM314</f>
        <v>-10.900000000000006</v>
      </c>
      <c r="EG317" s="73">
        <f>+INPUT!FN314</f>
        <v>2.0636285468615649</v>
      </c>
      <c r="EH317" s="155">
        <f>+INPUT!FO314</f>
        <v>-36.944683290341075</v>
      </c>
      <c r="EI317" s="73">
        <f>+INPUT!FP314</f>
        <v>1.3333333333333335</v>
      </c>
      <c r="EJ317" s="240">
        <f>+INPUT!FQ314</f>
        <v>-35.388888888888886</v>
      </c>
      <c r="EK317" s="81">
        <f>+INPUT!FR314</f>
        <v>0.71942446043165476</v>
      </c>
      <c r="EL317" s="240">
        <f>+INPUT!FS314</f>
        <v>-46.043165467625904</v>
      </c>
      <c r="EM317" s="81">
        <f>+INPUT!FT314</f>
        <v>0.25773195876288657</v>
      </c>
      <c r="EN317" s="240" t="str">
        <f>+INPUT!FU314</f>
        <v>NM</v>
      </c>
      <c r="EO317" s="81">
        <f>+INPUT!FV314</f>
        <v>0.43795620437956206</v>
      </c>
      <c r="EP317" s="240">
        <f>+INPUT!FW314</f>
        <v>69.927007299270116</v>
      </c>
      <c r="EQ317" s="81">
        <f>+INPUT!FX314</f>
        <v>-0.33898305084745761</v>
      </c>
      <c r="ER317" s="240" t="str">
        <f>+INPUT!FY314</f>
        <v>NM</v>
      </c>
      <c r="ES317" s="81">
        <f>+INPUT!FZ314</f>
        <v>7.2098053352559477E-2</v>
      </c>
      <c r="ET317" s="240" t="str">
        <f>+INPUT!GA314</f>
        <v>NM</v>
      </c>
      <c r="EU317" s="81">
        <f>+INPUT!GB314</f>
        <v>0.12084592145015105</v>
      </c>
      <c r="EV317" s="240">
        <f>+INPUT!GC314</f>
        <v>67.613293051359534</v>
      </c>
      <c r="EW317" s="81">
        <f>+INPUT!GD314</f>
        <v>-0.11242270938729623</v>
      </c>
      <c r="EX317" s="240" t="str">
        <f>+INPUT!GE314</f>
        <v>NM</v>
      </c>
      <c r="EY317" s="81">
        <f>+INPUT!GF314</f>
        <v>0.15455950540958269</v>
      </c>
      <c r="EZ317" s="240" t="str">
        <f>+INPUT!GG314</f>
        <v>NM</v>
      </c>
      <c r="FA317" s="81">
        <f>+INPUT!GH314</f>
        <v>0.19598236158745713</v>
      </c>
      <c r="FB317" s="240">
        <f>+INPUT!GI314</f>
        <v>26.800587947084779</v>
      </c>
      <c r="FC317" s="81">
        <f>+INPUT!GJ314</f>
        <v>0.37261294829995345</v>
      </c>
      <c r="FD317" s="240">
        <f>+INPUT!GK314</f>
        <v>90.125756870051248</v>
      </c>
      <c r="FE317" s="81">
        <f>+INPUT!GL314</f>
        <v>0.23212627669452179</v>
      </c>
      <c r="FF317" s="240">
        <f>+INPUT!GM314</f>
        <v>-37.703110492107719</v>
      </c>
      <c r="FG317" s="81">
        <f>+INPUT!GN314</f>
        <v>0.21331058020477817</v>
      </c>
      <c r="FH317" s="240">
        <f>+INPUT!GO314</f>
        <v>-8.1058020477815518</v>
      </c>
      <c r="FI317" s="81">
        <f>+INPUT!GP314</f>
        <v>0.2989536621823618</v>
      </c>
      <c r="FJ317" s="240">
        <f>+INPUT!GQ314</f>
        <v>40.149476831091192</v>
      </c>
      <c r="FK317" s="81">
        <f>+INPUT!GR314</f>
        <v>0.2989536621823618</v>
      </c>
      <c r="FL317" s="240">
        <f>+INPUT!GS314</f>
        <v>0</v>
      </c>
      <c r="FM317" s="81">
        <f>+INPUT!GT314</f>
        <v>0.2989536621823618</v>
      </c>
      <c r="FN317" s="240">
        <f>+INPUT!GU314</f>
        <v>0</v>
      </c>
      <c r="FO317" s="81">
        <f>+INPUT!GV314</f>
        <v>0.2989536621823618</v>
      </c>
      <c r="FP317" s="240">
        <f>+INPUT!GW314</f>
        <v>0</v>
      </c>
      <c r="FQ317" s="81">
        <f>+INPUT!GX314</f>
        <v>0.2989536621823618</v>
      </c>
      <c r="FR317" s="240">
        <f>+INPUT!GY314</f>
        <v>0</v>
      </c>
      <c r="FS317" s="240">
        <f>+INPUT!GZ314</f>
        <v>6.9838681055522933</v>
      </c>
    </row>
    <row r="318" spans="1:175" ht="12.75" hidden="1" customHeight="1" outlineLevel="1" x14ac:dyDescent="0.2">
      <c r="A318" s="246"/>
      <c r="B318" s="515"/>
      <c r="C318" s="487"/>
      <c r="D318" s="515"/>
      <c r="E318" s="487"/>
      <c r="F318" s="515"/>
      <c r="G318" s="487"/>
      <c r="H318" s="515"/>
      <c r="I318" s="487"/>
      <c r="J318" s="515"/>
      <c r="K318" s="487"/>
      <c r="L318" s="515"/>
      <c r="M318" s="487"/>
      <c r="N318" s="515"/>
      <c r="O318" s="487"/>
      <c r="P318" s="515"/>
      <c r="Q318" s="487"/>
      <c r="R318" s="515"/>
      <c r="S318" s="487"/>
      <c r="T318" s="515"/>
      <c r="U318" s="487"/>
      <c r="V318" s="515"/>
      <c r="W318" s="487"/>
      <c r="X318" s="515"/>
      <c r="Y318" s="487"/>
      <c r="Z318" s="515"/>
      <c r="AA318" s="487"/>
      <c r="AB318" s="515"/>
      <c r="AC318" s="487"/>
      <c r="AD318" s="515"/>
      <c r="AE318" s="487"/>
      <c r="AF318" s="515"/>
      <c r="AG318" s="487"/>
      <c r="AH318" s="515"/>
      <c r="AI318" s="486"/>
      <c r="AJ318" s="515"/>
      <c r="AK318" s="486"/>
      <c r="AL318" s="515"/>
      <c r="AM318" s="486"/>
      <c r="AN318" s="515"/>
      <c r="AO318" s="486"/>
      <c r="AP318" s="515"/>
      <c r="AQ318" s="486"/>
      <c r="AR318" s="515"/>
      <c r="AS318" s="486"/>
      <c r="AT318" s="515"/>
      <c r="AU318" s="486"/>
      <c r="AV318" s="515"/>
      <c r="AW318" s="486"/>
      <c r="AX318" s="515"/>
      <c r="AY318" s="486"/>
      <c r="AZ318" s="515"/>
      <c r="BA318" s="486"/>
      <c r="BB318" s="515"/>
      <c r="BC318" s="486"/>
      <c r="BD318" s="515"/>
      <c r="BE318" s="486"/>
      <c r="BF318" s="515"/>
      <c r="BG318" s="486"/>
      <c r="BH318" s="515"/>
      <c r="BI318" s="486"/>
      <c r="BJ318" s="515"/>
      <c r="BK318" s="486"/>
      <c r="BL318" s="515"/>
      <c r="BM318" s="486"/>
      <c r="BN318" s="515"/>
      <c r="BO318" s="486"/>
      <c r="BP318" s="515"/>
      <c r="BQ318" s="486"/>
      <c r="BR318" s="515"/>
      <c r="BS318" s="486"/>
      <c r="BT318" s="515"/>
      <c r="BU318" s="486"/>
      <c r="BV318" s="515"/>
      <c r="BW318" s="486"/>
      <c r="BX318" s="515"/>
      <c r="BY318" s="486"/>
      <c r="BZ318" s="515"/>
      <c r="CA318" s="486"/>
      <c r="CB318" s="515"/>
      <c r="CC318" s="486"/>
      <c r="CD318" s="515"/>
      <c r="CE318" s="486"/>
      <c r="CF318" s="515"/>
      <c r="CG318" s="486"/>
      <c r="CH318" s="515"/>
      <c r="CI318" s="486"/>
      <c r="CJ318" s="515"/>
      <c r="CK318" s="486"/>
      <c r="CL318" s="515"/>
      <c r="CM318" s="486"/>
      <c r="CN318" s="515"/>
      <c r="CO318" s="486"/>
      <c r="CP318" s="515"/>
      <c r="CQ318" s="486"/>
      <c r="CR318" s="515"/>
      <c r="CS318" s="486"/>
      <c r="CT318" s="515"/>
      <c r="CU318" s="486"/>
      <c r="CV318" s="515"/>
      <c r="CW318" s="486"/>
      <c r="CX318" s="515"/>
      <c r="CY318" s="486"/>
      <c r="CZ318" s="515"/>
      <c r="DA318" s="486"/>
      <c r="DB318" s="515"/>
      <c r="DC318" s="486"/>
      <c r="DD318" s="515"/>
      <c r="DE318" s="486"/>
      <c r="DF318" s="515"/>
      <c r="DG318" s="486"/>
      <c r="DH318" s="515"/>
      <c r="DI318" s="486"/>
      <c r="DJ318" s="515"/>
      <c r="DK318" s="486"/>
      <c r="DL318" s="515"/>
      <c r="DM318" s="486"/>
      <c r="DN318" s="515"/>
      <c r="DO318" s="486"/>
      <c r="DP318" s="515"/>
      <c r="DQ318" s="486"/>
      <c r="DR318" s="515"/>
      <c r="DS318" s="486"/>
      <c r="DT318" s="515"/>
      <c r="DU318" s="486"/>
      <c r="DV318" s="515"/>
      <c r="DW318" s="486"/>
      <c r="DX318" s="515"/>
      <c r="DY318" s="486"/>
      <c r="DZ318" s="515"/>
      <c r="EA318" s="486"/>
      <c r="EB318" s="487"/>
      <c r="EC318" s="515"/>
      <c r="ED318" s="487"/>
      <c r="EE318" s="515"/>
      <c r="EF318" s="487"/>
      <c r="EG318" s="515"/>
      <c r="EH318" s="487"/>
      <c r="EI318" s="515"/>
      <c r="EJ318" s="486"/>
      <c r="EK318" s="515"/>
      <c r="EL318" s="486"/>
      <c r="EM318" s="515"/>
      <c r="EN318" s="486"/>
      <c r="EO318" s="515"/>
      <c r="EP318" s="486"/>
      <c r="EQ318" s="515"/>
      <c r="ER318" s="486"/>
      <c r="ES318" s="515"/>
      <c r="ET318" s="486"/>
      <c r="EU318" s="515"/>
      <c r="EV318" s="486"/>
      <c r="EW318" s="515"/>
      <c r="EX318" s="486"/>
      <c r="EY318" s="515"/>
      <c r="EZ318" s="486"/>
      <c r="FA318" s="515"/>
      <c r="FB318" s="486"/>
      <c r="FC318" s="515"/>
      <c r="FD318" s="486"/>
      <c r="FE318" s="515"/>
      <c r="FF318" s="486"/>
      <c r="FG318" s="515"/>
      <c r="FH318" s="486"/>
      <c r="FI318" s="515"/>
      <c r="FJ318" s="486"/>
      <c r="FK318" s="515"/>
      <c r="FL318" s="486"/>
      <c r="FM318" s="515"/>
      <c r="FN318" s="486"/>
      <c r="FO318" s="515"/>
      <c r="FP318" s="486"/>
      <c r="FQ318" s="515"/>
      <c r="FR318" s="486"/>
      <c r="FS318" s="486"/>
    </row>
    <row r="319" spans="1:175" ht="12.75" hidden="1" customHeight="1" outlineLevel="1" x14ac:dyDescent="0.2">
      <c r="A319" s="500" t="s">
        <v>507</v>
      </c>
      <c r="B319" s="515"/>
      <c r="C319" s="487"/>
      <c r="D319" s="515"/>
      <c r="E319" s="487"/>
      <c r="F319" s="515"/>
      <c r="G319" s="487"/>
      <c r="H319" s="515"/>
      <c r="I319" s="487"/>
      <c r="J319" s="515"/>
      <c r="K319" s="487"/>
      <c r="L319" s="515"/>
      <c r="M319" s="487"/>
      <c r="N319" s="515"/>
      <c r="O319" s="487"/>
      <c r="P319" s="515"/>
      <c r="Q319" s="487"/>
      <c r="R319" s="515"/>
      <c r="S319" s="487"/>
      <c r="T319" s="515"/>
      <c r="U319" s="487"/>
      <c r="V319" s="515"/>
      <c r="W319" s="487"/>
      <c r="X319" s="515"/>
      <c r="Y319" s="487"/>
      <c r="Z319" s="515"/>
      <c r="AA319" s="487"/>
      <c r="AB319" s="515"/>
      <c r="AC319" s="487"/>
      <c r="AD319" s="515"/>
      <c r="AE319" s="487"/>
      <c r="AF319" s="515"/>
      <c r="AG319" s="487"/>
      <c r="AH319" s="515"/>
      <c r="AI319" s="486"/>
      <c r="AJ319" s="515"/>
      <c r="AK319" s="486"/>
      <c r="AL319" s="515"/>
      <c r="AM319" s="486"/>
      <c r="AN319" s="515"/>
      <c r="AO319" s="486"/>
      <c r="AP319" s="515"/>
      <c r="AQ319" s="486"/>
      <c r="AR319" s="515"/>
      <c r="AS319" s="486"/>
      <c r="AT319" s="515"/>
      <c r="AU319" s="486"/>
      <c r="AV319" s="515"/>
      <c r="AW319" s="486"/>
      <c r="AX319" s="515"/>
      <c r="AY319" s="486"/>
      <c r="AZ319" s="515"/>
      <c r="BA319" s="486"/>
      <c r="BB319" s="515"/>
      <c r="BC319" s="486"/>
      <c r="BD319" s="515"/>
      <c r="BE319" s="486"/>
      <c r="BF319" s="515"/>
      <c r="BG319" s="486"/>
      <c r="BH319" s="515"/>
      <c r="BI319" s="486"/>
      <c r="BJ319" s="515"/>
      <c r="BK319" s="486"/>
      <c r="BL319" s="515"/>
      <c r="BM319" s="486"/>
      <c r="BN319" s="515"/>
      <c r="BO319" s="486"/>
      <c r="BP319" s="515"/>
      <c r="BQ319" s="486"/>
      <c r="BR319" s="515"/>
      <c r="BS319" s="486"/>
      <c r="BT319" s="515"/>
      <c r="BU319" s="486"/>
      <c r="BV319" s="515"/>
      <c r="BW319" s="486"/>
      <c r="BX319" s="515"/>
      <c r="BY319" s="486"/>
      <c r="BZ319" s="515"/>
      <c r="CA319" s="486"/>
      <c r="CB319" s="515"/>
      <c r="CC319" s="486"/>
      <c r="CD319" s="515"/>
      <c r="CE319" s="486"/>
      <c r="CF319" s="515"/>
      <c r="CG319" s="486"/>
      <c r="CH319" s="515"/>
      <c r="CI319" s="486"/>
      <c r="CJ319" s="515"/>
      <c r="CK319" s="486"/>
      <c r="CL319" s="515"/>
      <c r="CM319" s="486"/>
      <c r="CN319" s="515"/>
      <c r="CO319" s="486"/>
      <c r="CP319" s="515"/>
      <c r="CQ319" s="486"/>
      <c r="CR319" s="515"/>
      <c r="CS319" s="486"/>
      <c r="CT319" s="515"/>
      <c r="CU319" s="486"/>
      <c r="CV319" s="515"/>
      <c r="CW319" s="486"/>
      <c r="CX319" s="515"/>
      <c r="CY319" s="486"/>
      <c r="CZ319" s="515"/>
      <c r="DA319" s="486"/>
      <c r="DB319" s="515"/>
      <c r="DC319" s="486"/>
      <c r="DD319" s="515"/>
      <c r="DE319" s="486"/>
      <c r="DF319" s="515"/>
      <c r="DG319" s="486"/>
      <c r="DH319" s="515"/>
      <c r="DI319" s="486"/>
      <c r="DJ319" s="515"/>
      <c r="DK319" s="486"/>
      <c r="DL319" s="515"/>
      <c r="DM319" s="486"/>
      <c r="DN319" s="515"/>
      <c r="DO319" s="486"/>
      <c r="DP319" s="515"/>
      <c r="DQ319" s="486"/>
      <c r="DR319" s="515"/>
      <c r="DS319" s="486"/>
      <c r="DT319" s="515"/>
      <c r="DU319" s="486"/>
      <c r="DV319" s="515"/>
      <c r="DW319" s="486"/>
      <c r="DX319" s="515"/>
      <c r="DY319" s="486"/>
      <c r="DZ319" s="515"/>
      <c r="EA319" s="486"/>
      <c r="EB319" s="487"/>
      <c r="EC319" s="515"/>
      <c r="ED319" s="487"/>
      <c r="EE319" s="515"/>
      <c r="EF319" s="487"/>
      <c r="EG319" s="515"/>
      <c r="EH319" s="487"/>
      <c r="EI319" s="515"/>
      <c r="EJ319" s="486"/>
      <c r="EK319" s="515"/>
      <c r="EL319" s="486"/>
      <c r="EM319" s="515"/>
      <c r="EN319" s="486"/>
      <c r="EO319" s="515"/>
      <c r="EP319" s="486"/>
      <c r="EQ319" s="515"/>
      <c r="ER319" s="486"/>
      <c r="ES319" s="515"/>
      <c r="ET319" s="486"/>
      <c r="EU319" s="515"/>
      <c r="EV319" s="486"/>
      <c r="EW319" s="515"/>
      <c r="EX319" s="486"/>
      <c r="EY319" s="515"/>
      <c r="EZ319" s="486"/>
      <c r="FA319" s="515"/>
      <c r="FB319" s="486"/>
      <c r="FC319" s="515"/>
      <c r="FD319" s="486"/>
      <c r="FE319" s="515"/>
      <c r="FF319" s="486"/>
      <c r="FG319" s="515"/>
      <c r="FH319" s="486"/>
      <c r="FI319" s="515"/>
      <c r="FJ319" s="486"/>
      <c r="FK319" s="515"/>
      <c r="FL319" s="486"/>
      <c r="FM319" s="515"/>
      <c r="FN319" s="486"/>
      <c r="FO319" s="515"/>
      <c r="FP319" s="486"/>
      <c r="FQ319" s="515"/>
      <c r="FR319" s="486"/>
      <c r="FS319" s="486"/>
    </row>
    <row r="320" spans="1:175" ht="12.75" hidden="1" customHeight="1" outlineLevel="1" x14ac:dyDescent="0.2">
      <c r="A320" s="500" t="s">
        <v>317</v>
      </c>
      <c r="B320" s="515"/>
      <c r="C320" s="487"/>
      <c r="D320" s="515"/>
      <c r="E320" s="487"/>
      <c r="F320" s="515"/>
      <c r="G320" s="487"/>
      <c r="H320" s="515"/>
      <c r="I320" s="487"/>
      <c r="J320" s="515"/>
      <c r="K320" s="487"/>
      <c r="L320" s="515"/>
      <c r="M320" s="487"/>
      <c r="N320" s="515"/>
      <c r="O320" s="487"/>
      <c r="P320" s="515"/>
      <c r="Q320" s="487"/>
      <c r="R320" s="515"/>
      <c r="S320" s="487"/>
      <c r="T320" s="515"/>
      <c r="U320" s="487"/>
      <c r="V320" s="515"/>
      <c r="W320" s="487"/>
      <c r="X320" s="515"/>
      <c r="Y320" s="487"/>
      <c r="Z320" s="515"/>
      <c r="AA320" s="487"/>
      <c r="AB320" s="515"/>
      <c r="AC320" s="487"/>
      <c r="AD320" s="515"/>
      <c r="AE320" s="487"/>
      <c r="AF320" s="515"/>
      <c r="AG320" s="487"/>
      <c r="AH320" s="515"/>
      <c r="AI320" s="486"/>
      <c r="AJ320" s="515"/>
      <c r="AK320" s="486"/>
      <c r="AL320" s="515"/>
      <c r="AM320" s="486"/>
      <c r="AN320" s="515"/>
      <c r="AO320" s="486"/>
      <c r="AP320" s="515"/>
      <c r="AQ320" s="486"/>
      <c r="AR320" s="515"/>
      <c r="AS320" s="486"/>
      <c r="AT320" s="515"/>
      <c r="AU320" s="486"/>
      <c r="AV320" s="515"/>
      <c r="AW320" s="486"/>
      <c r="AX320" s="515"/>
      <c r="AY320" s="486"/>
      <c r="AZ320" s="515"/>
      <c r="BA320" s="486"/>
      <c r="BB320" s="515"/>
      <c r="BC320" s="486"/>
      <c r="BD320" s="515"/>
      <c r="BE320" s="486"/>
      <c r="BF320" s="515"/>
      <c r="BG320" s="486"/>
      <c r="BH320" s="515"/>
      <c r="BI320" s="486"/>
      <c r="BJ320" s="515"/>
      <c r="BK320" s="486"/>
      <c r="BL320" s="515"/>
      <c r="BM320" s="486"/>
      <c r="BN320" s="515"/>
      <c r="BO320" s="486"/>
      <c r="BP320" s="515"/>
      <c r="BQ320" s="486"/>
      <c r="BR320" s="515"/>
      <c r="BS320" s="486"/>
      <c r="BT320" s="515"/>
      <c r="BU320" s="486"/>
      <c r="BV320" s="515"/>
      <c r="BW320" s="486"/>
      <c r="BX320" s="515"/>
      <c r="BY320" s="486"/>
      <c r="BZ320" s="515"/>
      <c r="CA320" s="486"/>
      <c r="CB320" s="515"/>
      <c r="CC320" s="486"/>
      <c r="CD320" s="515"/>
      <c r="CE320" s="486"/>
      <c r="CF320" s="515"/>
      <c r="CG320" s="486"/>
      <c r="CH320" s="515"/>
      <c r="CI320" s="486"/>
      <c r="CJ320" s="515"/>
      <c r="CK320" s="486"/>
      <c r="CL320" s="515"/>
      <c r="CM320" s="486"/>
      <c r="CN320" s="515"/>
      <c r="CO320" s="486"/>
      <c r="CP320" s="515"/>
      <c r="CQ320" s="486"/>
      <c r="CR320" s="515"/>
      <c r="CS320" s="486"/>
      <c r="CT320" s="515"/>
      <c r="CU320" s="486"/>
      <c r="CV320" s="515"/>
      <c r="CW320" s="486"/>
      <c r="CX320" s="515"/>
      <c r="CY320" s="486"/>
      <c r="CZ320" s="515"/>
      <c r="DA320" s="486"/>
      <c r="DB320" s="515"/>
      <c r="DC320" s="486"/>
      <c r="DD320" s="515"/>
      <c r="DE320" s="486"/>
      <c r="DF320" s="515"/>
      <c r="DG320" s="486"/>
      <c r="DH320" s="515"/>
      <c r="DI320" s="486"/>
      <c r="DJ320" s="515"/>
      <c r="DK320" s="486"/>
      <c r="DL320" s="515"/>
      <c r="DM320" s="486"/>
      <c r="DN320" s="515"/>
      <c r="DO320" s="486"/>
      <c r="DP320" s="515"/>
      <c r="DQ320" s="486"/>
      <c r="DR320" s="515"/>
      <c r="DS320" s="486"/>
      <c r="DT320" s="515"/>
      <c r="DU320" s="486"/>
      <c r="DV320" s="515"/>
      <c r="DW320" s="486"/>
      <c r="DX320" s="515"/>
      <c r="DY320" s="486"/>
      <c r="DZ320" s="515"/>
      <c r="EA320" s="486"/>
      <c r="EB320" s="487"/>
      <c r="EC320" s="515"/>
      <c r="ED320" s="487"/>
      <c r="EE320" s="515"/>
      <c r="EF320" s="487"/>
      <c r="EG320" s="515"/>
      <c r="EH320" s="487"/>
      <c r="EI320" s="515"/>
      <c r="EJ320" s="486"/>
      <c r="EK320" s="515"/>
      <c r="EL320" s="486"/>
      <c r="EM320" s="515"/>
      <c r="EN320" s="486"/>
      <c r="EO320" s="515"/>
      <c r="EP320" s="486"/>
      <c r="EQ320" s="515"/>
      <c r="ER320" s="486"/>
      <c r="ES320" s="515"/>
      <c r="ET320" s="486"/>
      <c r="EU320" s="515"/>
      <c r="EV320" s="486"/>
      <c r="EW320" s="515"/>
      <c r="EX320" s="486"/>
      <c r="EY320" s="515"/>
      <c r="EZ320" s="486"/>
      <c r="FA320" s="515"/>
      <c r="FB320" s="486"/>
      <c r="FC320" s="515"/>
      <c r="FD320" s="486"/>
      <c r="FE320" s="515"/>
      <c r="FF320" s="486"/>
      <c r="FG320" s="515"/>
      <c r="FH320" s="486"/>
      <c r="FI320" s="515"/>
      <c r="FJ320" s="486"/>
      <c r="FK320" s="515"/>
      <c r="FL320" s="486"/>
      <c r="FM320" s="515"/>
      <c r="FN320" s="486"/>
      <c r="FO320" s="515"/>
      <c r="FP320" s="486"/>
      <c r="FQ320" s="515"/>
      <c r="FR320" s="486"/>
      <c r="FS320" s="486"/>
    </row>
    <row r="321" spans="1:176" ht="12.75" hidden="1" customHeight="1" outlineLevel="1" x14ac:dyDescent="0.2">
      <c r="A321" s="246"/>
      <c r="B321" s="510"/>
      <c r="C321" s="487"/>
      <c r="D321" s="510"/>
      <c r="E321" s="487"/>
      <c r="F321" s="510"/>
      <c r="G321" s="487"/>
      <c r="H321" s="510"/>
      <c r="I321" s="487"/>
      <c r="J321" s="510"/>
      <c r="K321" s="487"/>
      <c r="L321" s="510"/>
      <c r="M321" s="487"/>
      <c r="N321" s="510"/>
      <c r="O321" s="487"/>
      <c r="P321" s="510"/>
      <c r="Q321" s="487"/>
      <c r="R321" s="510"/>
      <c r="S321" s="487"/>
      <c r="T321" s="510"/>
      <c r="U321" s="487"/>
      <c r="V321" s="510"/>
      <c r="W321" s="487"/>
      <c r="X321" s="510"/>
      <c r="Y321" s="487"/>
      <c r="Z321" s="510"/>
      <c r="AA321" s="487"/>
      <c r="AB321" s="510"/>
      <c r="AC321" s="487"/>
      <c r="AD321" s="510"/>
      <c r="AE321" s="487"/>
      <c r="AF321" s="510"/>
      <c r="AG321" s="487"/>
      <c r="AH321" s="510"/>
      <c r="AI321" s="486"/>
      <c r="AJ321" s="510"/>
      <c r="AK321" s="486"/>
      <c r="AL321" s="510"/>
      <c r="AM321" s="486"/>
      <c r="AN321" s="510"/>
      <c r="AO321" s="486"/>
      <c r="AP321" s="510"/>
      <c r="AQ321" s="486"/>
      <c r="AR321" s="510"/>
      <c r="AS321" s="486"/>
      <c r="AT321" s="510"/>
      <c r="AU321" s="486"/>
      <c r="AV321" s="510"/>
      <c r="AW321" s="486"/>
      <c r="AX321" s="510"/>
      <c r="AY321" s="486"/>
      <c r="AZ321" s="510"/>
      <c r="BA321" s="486"/>
      <c r="BB321" s="510"/>
      <c r="BC321" s="486"/>
      <c r="BD321" s="510"/>
      <c r="BE321" s="486"/>
      <c r="BF321" s="510"/>
      <c r="BG321" s="486"/>
      <c r="BH321" s="510"/>
      <c r="BI321" s="486"/>
      <c r="BJ321" s="510"/>
      <c r="BK321" s="486"/>
      <c r="BL321" s="510"/>
      <c r="BM321" s="486"/>
      <c r="BN321" s="510"/>
      <c r="BO321" s="486"/>
      <c r="BP321" s="510"/>
      <c r="BQ321" s="486"/>
      <c r="BR321" s="510"/>
      <c r="BS321" s="486"/>
      <c r="BT321" s="510"/>
      <c r="BU321" s="486"/>
      <c r="BV321" s="510"/>
      <c r="BW321" s="486"/>
      <c r="BX321" s="510"/>
      <c r="BY321" s="486"/>
      <c r="BZ321" s="510"/>
      <c r="CA321" s="486"/>
      <c r="CB321" s="510"/>
      <c r="CC321" s="486"/>
      <c r="CD321" s="510"/>
      <c r="CE321" s="486"/>
      <c r="CF321" s="510"/>
      <c r="CG321" s="486"/>
      <c r="CH321" s="510"/>
      <c r="CI321" s="486"/>
      <c r="CJ321" s="510"/>
      <c r="CK321" s="486"/>
      <c r="CL321" s="510"/>
      <c r="CM321" s="486"/>
      <c r="CN321" s="510"/>
      <c r="CO321" s="486"/>
      <c r="CP321" s="510"/>
      <c r="CQ321" s="486"/>
      <c r="CR321" s="510"/>
      <c r="CS321" s="486"/>
      <c r="CT321" s="510"/>
      <c r="CU321" s="486"/>
      <c r="CV321" s="510"/>
      <c r="CW321" s="486"/>
      <c r="CX321" s="510"/>
      <c r="CY321" s="486"/>
      <c r="CZ321" s="510"/>
      <c r="DA321" s="486"/>
      <c r="DB321" s="510"/>
      <c r="DC321" s="486"/>
      <c r="DD321" s="510"/>
      <c r="DE321" s="486"/>
      <c r="DF321" s="510"/>
      <c r="DG321" s="486"/>
      <c r="DH321" s="510"/>
      <c r="DI321" s="486"/>
      <c r="DJ321" s="510"/>
      <c r="DK321" s="486"/>
      <c r="DL321" s="510"/>
      <c r="DM321" s="486"/>
      <c r="DN321" s="510"/>
      <c r="DO321" s="486"/>
      <c r="DP321" s="510"/>
      <c r="DQ321" s="486"/>
      <c r="DR321" s="510"/>
      <c r="DS321" s="486"/>
      <c r="DT321" s="510"/>
      <c r="DU321" s="486"/>
      <c r="DV321" s="510"/>
      <c r="DW321" s="486"/>
      <c r="DX321" s="510"/>
      <c r="DY321" s="486"/>
      <c r="DZ321" s="510"/>
      <c r="EA321" s="486"/>
      <c r="EB321" s="487"/>
      <c r="EC321" s="510"/>
      <c r="ED321" s="487"/>
      <c r="EE321" s="510"/>
      <c r="EF321" s="487"/>
      <c r="EG321" s="510"/>
      <c r="EH321" s="487"/>
      <c r="EI321" s="510"/>
      <c r="EJ321" s="486"/>
      <c r="EK321" s="510"/>
      <c r="EL321" s="486"/>
      <c r="EM321" s="510"/>
      <c r="EN321" s="486"/>
      <c r="EO321" s="510"/>
      <c r="EP321" s="486"/>
      <c r="EQ321" s="510"/>
      <c r="ER321" s="486"/>
      <c r="ES321" s="510"/>
      <c r="ET321" s="486"/>
      <c r="EU321" s="510"/>
      <c r="EV321" s="486"/>
      <c r="EW321" s="510"/>
      <c r="EX321" s="486"/>
      <c r="EY321" s="510"/>
      <c r="EZ321" s="486"/>
      <c r="FA321" s="510"/>
      <c r="FB321" s="486"/>
      <c r="FC321" s="510"/>
      <c r="FD321" s="486"/>
      <c r="FE321" s="510"/>
      <c r="FF321" s="486"/>
      <c r="FG321" s="510"/>
      <c r="FH321" s="486"/>
      <c r="FI321" s="510"/>
      <c r="FJ321" s="486"/>
      <c r="FK321" s="510"/>
      <c r="FL321" s="486"/>
      <c r="FM321" s="510"/>
      <c r="FN321" s="486"/>
      <c r="FO321" s="510"/>
      <c r="FP321" s="486"/>
      <c r="FQ321" s="510"/>
      <c r="FR321" s="486"/>
      <c r="FS321" s="486"/>
    </row>
    <row r="322" spans="1:176" ht="21.95" hidden="1" customHeight="1" outlineLevel="1" x14ac:dyDescent="0.25">
      <c r="A322" s="353" t="str">
        <f>$A$1</f>
        <v>Prudential Financial, Inc.</v>
      </c>
      <c r="B322" s="486"/>
      <c r="C322" s="487"/>
      <c r="D322" s="486"/>
      <c r="E322" s="487"/>
      <c r="F322" s="486"/>
      <c r="G322" s="487"/>
      <c r="H322" s="486"/>
      <c r="I322" s="487"/>
      <c r="J322" s="486"/>
      <c r="K322" s="487"/>
      <c r="L322" s="486"/>
      <c r="M322" s="487"/>
      <c r="N322" s="486"/>
      <c r="O322" s="487"/>
      <c r="P322" s="486"/>
      <c r="Q322" s="487"/>
      <c r="R322" s="486"/>
      <c r="S322" s="487"/>
      <c r="T322" s="486"/>
      <c r="U322" s="487"/>
      <c r="V322" s="486"/>
      <c r="W322" s="487"/>
      <c r="X322" s="486"/>
      <c r="Y322" s="487"/>
      <c r="Z322" s="486"/>
      <c r="AA322" s="487"/>
      <c r="AB322" s="486"/>
      <c r="AC322" s="487"/>
      <c r="AD322" s="486"/>
      <c r="AE322" s="487"/>
      <c r="AF322" s="486"/>
      <c r="AG322" s="487"/>
      <c r="AH322" s="486"/>
      <c r="AI322" s="486"/>
      <c r="AJ322" s="486"/>
      <c r="AK322" s="486"/>
      <c r="AL322" s="486"/>
      <c r="AM322" s="486"/>
      <c r="AN322" s="486"/>
      <c r="AO322" s="486"/>
      <c r="AP322" s="486"/>
      <c r="AQ322" s="486"/>
      <c r="AR322" s="486"/>
      <c r="AS322" s="486"/>
      <c r="AT322" s="486"/>
      <c r="AU322" s="486"/>
      <c r="AV322" s="486"/>
      <c r="AW322" s="486"/>
      <c r="AX322" s="486"/>
      <c r="AY322" s="486"/>
      <c r="AZ322" s="486"/>
      <c r="BA322" s="486"/>
      <c r="BB322" s="486"/>
      <c r="BC322" s="486"/>
      <c r="BD322" s="486"/>
      <c r="BE322" s="486"/>
      <c r="BF322" s="486"/>
      <c r="BG322" s="486"/>
      <c r="BH322" s="486"/>
      <c r="BI322" s="486"/>
      <c r="BJ322" s="486"/>
      <c r="BK322" s="486"/>
      <c r="BL322" s="486"/>
      <c r="BM322" s="486"/>
      <c r="BN322" s="486"/>
      <c r="BO322" s="486"/>
      <c r="BP322" s="486"/>
      <c r="BQ322" s="486"/>
      <c r="BR322" s="486"/>
      <c r="BS322" s="486"/>
      <c r="BT322" s="486"/>
      <c r="BU322" s="486"/>
      <c r="BV322" s="486"/>
      <c r="BW322" s="486"/>
      <c r="BX322" s="486"/>
      <c r="BY322" s="486"/>
      <c r="BZ322" s="486"/>
      <c r="CA322" s="486"/>
      <c r="CB322" s="486"/>
      <c r="CC322" s="486"/>
      <c r="CD322" s="486"/>
      <c r="CE322" s="486"/>
      <c r="CF322" s="486"/>
      <c r="CG322" s="486"/>
      <c r="CH322" s="486"/>
      <c r="CI322" s="486"/>
      <c r="CJ322" s="486"/>
      <c r="CK322" s="486"/>
      <c r="CL322" s="486"/>
      <c r="CM322" s="486"/>
      <c r="CN322" s="486"/>
      <c r="CO322" s="486"/>
      <c r="CP322" s="486"/>
      <c r="CQ322" s="486"/>
      <c r="CR322" s="486"/>
      <c r="CS322" s="486"/>
      <c r="CT322" s="486"/>
      <c r="CU322" s="486"/>
      <c r="CV322" s="486"/>
      <c r="CW322" s="486"/>
      <c r="CX322" s="486"/>
      <c r="CY322" s="486"/>
      <c r="CZ322" s="486"/>
      <c r="DA322" s="486"/>
      <c r="DB322" s="486"/>
      <c r="DC322" s="486"/>
      <c r="DD322" s="486"/>
      <c r="DE322" s="486"/>
      <c r="DF322" s="486"/>
      <c r="DG322" s="486"/>
      <c r="DH322" s="486"/>
      <c r="DI322" s="486"/>
      <c r="DJ322" s="486"/>
      <c r="DK322" s="486"/>
      <c r="DL322" s="486"/>
      <c r="DM322" s="486"/>
      <c r="DN322" s="486"/>
      <c r="DO322" s="486"/>
      <c r="DP322" s="486"/>
      <c r="DQ322" s="486"/>
      <c r="DR322" s="486"/>
      <c r="DS322" s="486"/>
      <c r="DT322" s="486"/>
      <c r="DU322" s="486"/>
      <c r="DV322" s="486"/>
      <c r="DW322" s="486"/>
      <c r="DX322" s="486"/>
      <c r="DY322" s="486"/>
      <c r="DZ322" s="486"/>
      <c r="EA322" s="486"/>
      <c r="EB322" s="487"/>
      <c r="EC322" s="486"/>
      <c r="ED322" s="487"/>
      <c r="EE322" s="486"/>
      <c r="EF322" s="487"/>
      <c r="EG322" s="486"/>
      <c r="EH322" s="487"/>
      <c r="EI322" s="486"/>
      <c r="EJ322" s="486"/>
      <c r="EK322" s="486"/>
      <c r="EL322" s="486"/>
      <c r="EM322" s="486"/>
      <c r="EN322" s="486"/>
      <c r="EO322" s="486"/>
      <c r="EP322" s="486"/>
      <c r="EQ322" s="486"/>
      <c r="ER322" s="486"/>
      <c r="ES322" s="486"/>
      <c r="ET322" s="486"/>
      <c r="EU322" s="486"/>
      <c r="EV322" s="486"/>
      <c r="EW322" s="486"/>
      <c r="EX322" s="486"/>
      <c r="EY322" s="486"/>
      <c r="EZ322" s="486"/>
      <c r="FA322" s="486"/>
      <c r="FB322" s="486"/>
      <c r="FC322" s="486"/>
      <c r="FD322" s="486"/>
      <c r="FE322" s="486"/>
      <c r="FF322" s="486"/>
      <c r="FG322" s="486"/>
      <c r="FH322" s="486"/>
      <c r="FI322" s="486"/>
      <c r="FJ322" s="486"/>
      <c r="FK322" s="486"/>
      <c r="FL322" s="486"/>
      <c r="FM322" s="486"/>
      <c r="FN322" s="486"/>
      <c r="FO322" s="486"/>
      <c r="FP322" s="486"/>
      <c r="FQ322" s="486"/>
      <c r="FR322" s="486"/>
      <c r="FS322" s="486"/>
    </row>
    <row r="323" spans="1:176" ht="12.75" hidden="1" customHeight="1" outlineLevel="1" x14ac:dyDescent="0.2">
      <c r="A323" s="488" t="s">
        <v>623</v>
      </c>
      <c r="B323" s="489"/>
      <c r="C323" s="490"/>
      <c r="D323" s="489"/>
      <c r="E323" s="490"/>
      <c r="F323" s="489"/>
      <c r="G323" s="490"/>
      <c r="H323" s="489"/>
      <c r="I323" s="490"/>
      <c r="J323" s="489"/>
      <c r="K323" s="490"/>
      <c r="L323" s="489"/>
      <c r="M323" s="490"/>
      <c r="N323" s="489"/>
      <c r="O323" s="490"/>
      <c r="P323" s="489"/>
      <c r="Q323" s="490"/>
      <c r="R323" s="489"/>
      <c r="S323" s="490"/>
      <c r="T323" s="489"/>
      <c r="U323" s="490"/>
      <c r="V323" s="489"/>
      <c r="W323" s="490"/>
      <c r="X323" s="489"/>
      <c r="Y323" s="490"/>
      <c r="Z323" s="489"/>
      <c r="AA323" s="490"/>
      <c r="AB323" s="489"/>
      <c r="AC323" s="490"/>
      <c r="AD323" s="489"/>
      <c r="AE323" s="490"/>
      <c r="AF323" s="489"/>
      <c r="AG323" s="490"/>
      <c r="AH323" s="489"/>
      <c r="AI323" s="489"/>
      <c r="AJ323" s="489"/>
      <c r="AK323" s="489"/>
      <c r="AL323" s="489"/>
      <c r="AM323" s="489"/>
      <c r="AN323" s="489"/>
      <c r="AO323" s="489"/>
      <c r="AP323" s="489"/>
      <c r="AQ323" s="489"/>
      <c r="AR323" s="489"/>
      <c r="AS323" s="489"/>
      <c r="AT323" s="489"/>
      <c r="AU323" s="489"/>
      <c r="AV323" s="489"/>
      <c r="AW323" s="489"/>
      <c r="AX323" s="489"/>
      <c r="AY323" s="489"/>
      <c r="AZ323" s="489"/>
      <c r="BA323" s="489"/>
      <c r="BB323" s="489"/>
      <c r="BC323" s="489"/>
      <c r="BD323" s="489"/>
      <c r="BE323" s="489"/>
      <c r="BF323" s="489"/>
      <c r="BG323" s="489"/>
      <c r="BH323" s="489"/>
      <c r="BI323" s="489"/>
      <c r="BJ323" s="489"/>
      <c r="BK323" s="489"/>
      <c r="BL323" s="489"/>
      <c r="BM323" s="489"/>
      <c r="BN323" s="489"/>
      <c r="BO323" s="489"/>
      <c r="BP323" s="489"/>
      <c r="BQ323" s="489"/>
      <c r="BR323" s="489"/>
      <c r="BS323" s="489"/>
      <c r="BT323" s="489"/>
      <c r="BU323" s="489"/>
      <c r="BV323" s="489"/>
      <c r="BW323" s="489"/>
      <c r="BX323" s="489"/>
      <c r="BY323" s="489"/>
      <c r="BZ323" s="489"/>
      <c r="CA323" s="489"/>
      <c r="CB323" s="489"/>
      <c r="CC323" s="489"/>
      <c r="CD323" s="489"/>
      <c r="CE323" s="489"/>
      <c r="CF323" s="489"/>
      <c r="CG323" s="489"/>
      <c r="CH323" s="489"/>
      <c r="CI323" s="489"/>
      <c r="CJ323" s="489"/>
      <c r="CK323" s="489"/>
      <c r="CL323" s="489"/>
      <c r="CM323" s="489"/>
      <c r="CN323" s="489"/>
      <c r="CO323" s="489"/>
      <c r="CP323" s="489"/>
      <c r="CQ323" s="489"/>
      <c r="CR323" s="489"/>
      <c r="CS323" s="489"/>
      <c r="CT323" s="489"/>
      <c r="CU323" s="489"/>
      <c r="CV323" s="489"/>
      <c r="CW323" s="489"/>
      <c r="CX323" s="489"/>
      <c r="CY323" s="489"/>
      <c r="CZ323" s="489"/>
      <c r="DA323" s="489"/>
      <c r="DB323" s="489"/>
      <c r="DC323" s="489"/>
      <c r="DD323" s="489"/>
      <c r="DE323" s="489"/>
      <c r="DF323" s="489"/>
      <c r="DG323" s="489"/>
      <c r="DH323" s="489"/>
      <c r="DI323" s="489"/>
      <c r="DJ323" s="489"/>
      <c r="DK323" s="489"/>
      <c r="DL323" s="489"/>
      <c r="DM323" s="489"/>
      <c r="DN323" s="489"/>
      <c r="DO323" s="489"/>
      <c r="DP323" s="489"/>
      <c r="DQ323" s="489"/>
      <c r="DR323" s="489"/>
      <c r="DS323" s="489"/>
      <c r="DT323" s="489"/>
      <c r="DU323" s="489"/>
      <c r="DV323" s="489"/>
      <c r="DW323" s="489"/>
      <c r="DX323" s="489"/>
      <c r="DY323" s="489"/>
      <c r="DZ323" s="489"/>
      <c r="EA323" s="489"/>
      <c r="EB323" s="490"/>
      <c r="EC323" s="489"/>
      <c r="ED323" s="490"/>
      <c r="EE323" s="489"/>
      <c r="EF323" s="490"/>
      <c r="EG323" s="489"/>
      <c r="EH323" s="490"/>
      <c r="EI323" s="489"/>
      <c r="EJ323" s="489"/>
      <c r="EK323" s="489"/>
      <c r="EL323" s="489"/>
      <c r="EM323" s="489"/>
      <c r="EN323" s="489"/>
      <c r="EO323" s="489"/>
      <c r="EP323" s="489"/>
      <c r="EQ323" s="489"/>
      <c r="ER323" s="489"/>
      <c r="ES323" s="489"/>
      <c r="ET323" s="489"/>
      <c r="EU323" s="489"/>
      <c r="EV323" s="489"/>
      <c r="EW323" s="489"/>
      <c r="EX323" s="489"/>
      <c r="EY323" s="489"/>
      <c r="EZ323" s="489"/>
      <c r="FA323" s="489"/>
      <c r="FB323" s="489"/>
      <c r="FC323" s="489"/>
      <c r="FD323" s="489"/>
      <c r="FE323" s="489"/>
      <c r="FF323" s="489"/>
      <c r="FG323" s="489"/>
      <c r="FH323" s="489"/>
      <c r="FI323" s="489"/>
      <c r="FJ323" s="489"/>
      <c r="FK323" s="489"/>
      <c r="FL323" s="489"/>
      <c r="FM323" s="489"/>
      <c r="FN323" s="489"/>
      <c r="FO323" s="489"/>
      <c r="FP323" s="489"/>
      <c r="FQ323" s="489"/>
      <c r="FR323" s="489"/>
      <c r="FS323" s="489"/>
    </row>
    <row r="324" spans="1:176" ht="12.75" hidden="1" customHeight="1" outlineLevel="1" x14ac:dyDescent="0.2">
      <c r="A324" s="348" t="str">
        <f>A$3</f>
        <v>($Millions Except Per Share Data)</v>
      </c>
      <c r="B324" s="502"/>
      <c r="C324" s="503" t="str">
        <f>C$3</f>
        <v>1Q03/</v>
      </c>
      <c r="D324" s="502"/>
      <c r="E324" s="503" t="str">
        <f>E$3</f>
        <v>2Q03/</v>
      </c>
      <c r="F324" s="502"/>
      <c r="G324" s="503" t="str">
        <f>G$3</f>
        <v>3Q03/</v>
      </c>
      <c r="H324" s="502"/>
      <c r="I324" s="503" t="str">
        <f>I$3</f>
        <v>4Q03/</v>
      </c>
      <c r="J324" s="502"/>
      <c r="K324" s="503" t="str">
        <f>K$3</f>
        <v>1Q04/</v>
      </c>
      <c r="L324" s="502"/>
      <c r="M324" s="503" t="str">
        <f>M$3</f>
        <v>2Q04/</v>
      </c>
      <c r="N324" s="502"/>
      <c r="O324" s="503" t="str">
        <f>O$3</f>
        <v>3Q04/</v>
      </c>
      <c r="P324" s="502"/>
      <c r="Q324" s="503" t="str">
        <f>Q$3</f>
        <v>4Q04/</v>
      </c>
      <c r="R324" s="502"/>
      <c r="S324" s="503" t="str">
        <f>S$3</f>
        <v>1Q05/</v>
      </c>
      <c r="T324" s="502"/>
      <c r="U324" s="503" t="str">
        <f>U$3</f>
        <v>2Q05/</v>
      </c>
      <c r="V324" s="502"/>
      <c r="W324" s="503" t="str">
        <f>W$3</f>
        <v>3Q05/</v>
      </c>
      <c r="X324" s="502"/>
      <c r="Y324" s="503" t="str">
        <f>Y$3</f>
        <v>4Q05/</v>
      </c>
      <c r="Z324" s="502"/>
      <c r="AA324" s="503" t="str">
        <f>AA$3</f>
        <v>1Q06/</v>
      </c>
      <c r="AB324" s="502"/>
      <c r="AC324" s="503" t="str">
        <f>AC$3</f>
        <v>2Q06/</v>
      </c>
      <c r="AD324" s="502"/>
      <c r="AE324" s="503" t="str">
        <f>AE$3</f>
        <v>3Q06/</v>
      </c>
      <c r="AF324" s="502"/>
      <c r="AG324" s="503" t="str">
        <f>AG$3</f>
        <v>4Q06/</v>
      </c>
      <c r="AH324" s="502"/>
      <c r="AI324" s="504" t="str">
        <f>AI$3</f>
        <v>1Q07/</v>
      </c>
      <c r="AJ324" s="502"/>
      <c r="AK324" s="504" t="str">
        <f>AK$3</f>
        <v>2Q07/</v>
      </c>
      <c r="AL324" s="502"/>
      <c r="AM324" s="504" t="str">
        <f>AM$3</f>
        <v>3Q07/</v>
      </c>
      <c r="AN324" s="502"/>
      <c r="AO324" s="504" t="str">
        <f>AO$3</f>
        <v>4Q07/</v>
      </c>
      <c r="AP324" s="502"/>
      <c r="AQ324" s="504" t="str">
        <f>AQ$3</f>
        <v>1Q08/</v>
      </c>
      <c r="AR324" s="502"/>
      <c r="AS324" s="504" t="str">
        <f>AS$3</f>
        <v>2Q08/</v>
      </c>
      <c r="AT324" s="502"/>
      <c r="AU324" s="504" t="str">
        <f>AU$3</f>
        <v>3Q08/</v>
      </c>
      <c r="AV324" s="502"/>
      <c r="AW324" s="504" t="str">
        <f>AW$3</f>
        <v>4Q08/</v>
      </c>
      <c r="AX324" s="502"/>
      <c r="AY324" s="504" t="str">
        <f>AY$3</f>
        <v>1Q09/</v>
      </c>
      <c r="AZ324" s="502"/>
      <c r="BA324" s="504" t="str">
        <f>BA$3</f>
        <v>2Q09/</v>
      </c>
      <c r="BB324" s="502"/>
      <c r="BC324" s="504" t="str">
        <f>BC$3</f>
        <v>3Q09/</v>
      </c>
      <c r="BD324" s="502"/>
      <c r="BE324" s="504" t="str">
        <f>BE$3</f>
        <v>4Q09/</v>
      </c>
      <c r="BF324" s="502"/>
      <c r="BG324" s="504" t="str">
        <f>BG$3</f>
        <v>1Q10/</v>
      </c>
      <c r="BH324" s="502"/>
      <c r="BI324" s="504" t="str">
        <f>BI$3</f>
        <v>2Q10/</v>
      </c>
      <c r="BJ324" s="502"/>
      <c r="BK324" s="504" t="str">
        <f>BK$3</f>
        <v>3Q10/</v>
      </c>
      <c r="BL324" s="502"/>
      <c r="BM324" s="504" t="str">
        <f>BM$3</f>
        <v>4Q10/</v>
      </c>
      <c r="BN324" s="502"/>
      <c r="BO324" s="504" t="str">
        <f>BO$3</f>
        <v>1Q11/</v>
      </c>
      <c r="BP324" s="502"/>
      <c r="BQ324" s="504" t="str">
        <f>BQ$3</f>
        <v>2Q11/</v>
      </c>
      <c r="BR324" s="502"/>
      <c r="BS324" s="504" t="str">
        <f>BS$3</f>
        <v>3Q11/</v>
      </c>
      <c r="BT324" s="502"/>
      <c r="BU324" s="504" t="str">
        <f>BU$3</f>
        <v>4Q11/</v>
      </c>
      <c r="BV324" s="502"/>
      <c r="BW324" s="504" t="str">
        <f>BW$3</f>
        <v>1Q12/</v>
      </c>
      <c r="BX324" s="502"/>
      <c r="BY324" s="504" t="str">
        <f>BY$3</f>
        <v>2Q12/</v>
      </c>
      <c r="BZ324" s="502"/>
      <c r="CA324" s="504" t="str">
        <f>CA$3</f>
        <v>3Q12/</v>
      </c>
      <c r="CB324" s="502"/>
      <c r="CC324" s="504" t="str">
        <f>CC$3</f>
        <v>4Q12/</v>
      </c>
      <c r="CD324" s="502"/>
      <c r="CE324" s="504" t="str">
        <f>CE$3</f>
        <v>1Q13/</v>
      </c>
      <c r="CF324" s="502"/>
      <c r="CG324" s="504" t="str">
        <f>CG$3</f>
        <v>2Q13/</v>
      </c>
      <c r="CH324" s="502"/>
      <c r="CI324" s="504" t="str">
        <f>CI$3</f>
        <v>3Q13/</v>
      </c>
      <c r="CJ324" s="502"/>
      <c r="CK324" s="504" t="str">
        <f>CK$3</f>
        <v>4Q13/</v>
      </c>
      <c r="CL324" s="502"/>
      <c r="CM324" s="504" t="str">
        <f>CM$3</f>
        <v>1Q14/</v>
      </c>
      <c r="CN324" s="502"/>
      <c r="CO324" s="504" t="str">
        <f>CO$3</f>
        <v>2Q14/</v>
      </c>
      <c r="CP324" s="502"/>
      <c r="CQ324" s="504" t="str">
        <f>CQ$3</f>
        <v>3Q14/</v>
      </c>
      <c r="CR324" s="502"/>
      <c r="CS324" s="504" t="str">
        <f>CS$3</f>
        <v>4Q14/</v>
      </c>
      <c r="CT324" s="502"/>
      <c r="CU324" s="504" t="str">
        <f>CU$3</f>
        <v>1Q15/</v>
      </c>
      <c r="CV324" s="502"/>
      <c r="CW324" s="504" t="str">
        <f>CW$3</f>
        <v>2Q15/</v>
      </c>
      <c r="CX324" s="502"/>
      <c r="CY324" s="504" t="str">
        <f>CY$3</f>
        <v>3Q15/</v>
      </c>
      <c r="CZ324" s="502"/>
      <c r="DA324" s="504" t="str">
        <f>DA$3</f>
        <v>4Q15/</v>
      </c>
      <c r="DB324" s="502"/>
      <c r="DC324" s="504" t="str">
        <f>DC$3</f>
        <v>1Q16/</v>
      </c>
      <c r="DD324" s="502"/>
      <c r="DE324" s="504" t="str">
        <f>DE$3</f>
        <v>2Q16/</v>
      </c>
      <c r="DF324" s="502"/>
      <c r="DG324" s="504" t="str">
        <f>DG$3</f>
        <v>3Q16/</v>
      </c>
      <c r="DH324" s="502"/>
      <c r="DI324" s="504" t="str">
        <f>DI$3</f>
        <v>4Q16/</v>
      </c>
      <c r="DJ324" s="502"/>
      <c r="DK324" s="504" t="str">
        <f>DK$3</f>
        <v>1Q17/</v>
      </c>
      <c r="DL324" s="502"/>
      <c r="DM324" s="504" t="str">
        <f>DM$3</f>
        <v>2Q17/</v>
      </c>
      <c r="DN324" s="502"/>
      <c r="DO324" s="504" t="str">
        <f>DO$3</f>
        <v>3Q17/</v>
      </c>
      <c r="DP324" s="502"/>
      <c r="DQ324" s="504" t="str">
        <f>DQ$3</f>
        <v>4Q17/</v>
      </c>
      <c r="DR324" s="502"/>
      <c r="DS324" s="504" t="str">
        <f>DS$3</f>
        <v>1Q18E/</v>
      </c>
      <c r="DT324" s="502"/>
      <c r="DU324" s="504" t="str">
        <f>DU$3</f>
        <v>2Q18E/</v>
      </c>
      <c r="DV324" s="502"/>
      <c r="DW324" s="504" t="str">
        <f>DW$3</f>
        <v>3Q18E/</v>
      </c>
      <c r="DX324" s="502"/>
      <c r="DY324" s="504" t="str">
        <f>DY$3</f>
        <v>4Q18E/</v>
      </c>
      <c r="DZ324" s="502"/>
      <c r="EA324" s="504"/>
      <c r="EB324" s="503" t="str">
        <f>EB$3</f>
        <v>2001/</v>
      </c>
      <c r="EC324" s="502"/>
      <c r="ED324" s="503" t="str">
        <f>ED$3</f>
        <v>2002/</v>
      </c>
      <c r="EE324" s="502"/>
      <c r="EF324" s="503" t="str">
        <f>EF$3</f>
        <v>2003/</v>
      </c>
      <c r="EG324" s="502"/>
      <c r="EH324" s="503" t="str">
        <f>EH$3</f>
        <v>2004/</v>
      </c>
      <c r="EI324" s="502"/>
      <c r="EJ324" s="504" t="str">
        <f>EJ$3</f>
        <v>2005/</v>
      </c>
      <c r="EK324" s="502"/>
      <c r="EL324" s="504" t="str">
        <f>EL$3</f>
        <v>2006/</v>
      </c>
      <c r="EM324" s="502"/>
      <c r="EN324" s="504" t="str">
        <f>EN$3</f>
        <v>2007/</v>
      </c>
      <c r="EO324" s="502"/>
      <c r="EP324" s="504" t="str">
        <f>EP$3</f>
        <v>2008/</v>
      </c>
      <c r="EQ324" s="502"/>
      <c r="ER324" s="504" t="str">
        <f>ER$3</f>
        <v>2009/</v>
      </c>
      <c r="ES324" s="502"/>
      <c r="ET324" s="504" t="str">
        <f>ET$3</f>
        <v>2010/</v>
      </c>
      <c r="EU324" s="502"/>
      <c r="EV324" s="504" t="str">
        <f>EV$3</f>
        <v>2011/</v>
      </c>
      <c r="EW324" s="502"/>
      <c r="EX324" s="504" t="str">
        <f>EX$3</f>
        <v>2012/</v>
      </c>
      <c r="EY324" s="502"/>
      <c r="EZ324" s="504" t="str">
        <f>EZ$3</f>
        <v>2013/</v>
      </c>
      <c r="FA324" s="502"/>
      <c r="FB324" s="504" t="str">
        <f>FB$3</f>
        <v>2014/</v>
      </c>
      <c r="FC324" s="502"/>
      <c r="FD324" s="504" t="str">
        <f>FD$3</f>
        <v>2015/</v>
      </c>
      <c r="FE324" s="502"/>
      <c r="FF324" s="504" t="str">
        <f>FF$3</f>
        <v>2016/</v>
      </c>
      <c r="FG324" s="502"/>
      <c r="FH324" s="504" t="str">
        <f>FH$3</f>
        <v>2017/</v>
      </c>
      <c r="FI324" s="502"/>
      <c r="FJ324" s="504" t="str">
        <f>FJ$3</f>
        <v>2018E/</v>
      </c>
      <c r="FK324" s="502"/>
      <c r="FL324" s="504" t="str">
        <f>FL$3</f>
        <v>2019E/</v>
      </c>
      <c r="FM324" s="502"/>
      <c r="FN324" s="504" t="str">
        <f>FN$3</f>
        <v>2020E/</v>
      </c>
      <c r="FO324" s="502"/>
      <c r="FP324" s="504" t="str">
        <f>FP$3</f>
        <v>2021E/</v>
      </c>
      <c r="FQ324" s="502"/>
      <c r="FR324" s="504" t="str">
        <f>FR$3</f>
        <v>2022E/</v>
      </c>
      <c r="FS324" s="504" t="str">
        <f>FS$3</f>
        <v>5-Yr</v>
      </c>
      <c r="FT324" s="349"/>
    </row>
    <row r="325" spans="1:176" ht="12.75" hidden="1" customHeight="1" outlineLevel="1" x14ac:dyDescent="0.2">
      <c r="A325" s="492"/>
      <c r="B325" s="491"/>
      <c r="C325" s="490" t="str">
        <f>C$4</f>
        <v>1Q02</v>
      </c>
      <c r="D325" s="491"/>
      <c r="E325" s="490" t="str">
        <f>E$4</f>
        <v>2Q02</v>
      </c>
      <c r="F325" s="491"/>
      <c r="G325" s="490" t="str">
        <f>G$4</f>
        <v>3Q02</v>
      </c>
      <c r="H325" s="491"/>
      <c r="I325" s="490" t="str">
        <f>I$4</f>
        <v>4Q02</v>
      </c>
      <c r="J325" s="491"/>
      <c r="K325" s="490" t="str">
        <f>K$4</f>
        <v>1Q03</v>
      </c>
      <c r="L325" s="491"/>
      <c r="M325" s="490" t="str">
        <f>M$4</f>
        <v>2Q03</v>
      </c>
      <c r="N325" s="491"/>
      <c r="O325" s="490" t="str">
        <f>O$4</f>
        <v>3Q03</v>
      </c>
      <c r="P325" s="491"/>
      <c r="Q325" s="490" t="str">
        <f>Q$4</f>
        <v>4Q03</v>
      </c>
      <c r="R325" s="491"/>
      <c r="S325" s="490" t="str">
        <f>S$4</f>
        <v>1Q04</v>
      </c>
      <c r="T325" s="491"/>
      <c r="U325" s="490" t="str">
        <f>U$4</f>
        <v>2Q04</v>
      </c>
      <c r="V325" s="491"/>
      <c r="W325" s="490" t="str">
        <f>W$4</f>
        <v>3Q04</v>
      </c>
      <c r="X325" s="491"/>
      <c r="Y325" s="490" t="str">
        <f>Y$4</f>
        <v>4Q04</v>
      </c>
      <c r="Z325" s="491"/>
      <c r="AA325" s="490" t="str">
        <f>AA$4</f>
        <v>1Q05</v>
      </c>
      <c r="AB325" s="491"/>
      <c r="AC325" s="490" t="str">
        <f>AC$4</f>
        <v>2Q05</v>
      </c>
      <c r="AD325" s="491"/>
      <c r="AE325" s="490" t="str">
        <f>AE$4</f>
        <v>3Q05</v>
      </c>
      <c r="AF325" s="491"/>
      <c r="AG325" s="490" t="str">
        <f>AG$4</f>
        <v>4Q05</v>
      </c>
      <c r="AH325" s="491"/>
      <c r="AI325" s="489" t="str">
        <f>AI$4</f>
        <v>1Q06</v>
      </c>
      <c r="AJ325" s="491"/>
      <c r="AK325" s="489" t="str">
        <f>AK$4</f>
        <v>2Q06</v>
      </c>
      <c r="AL325" s="491"/>
      <c r="AM325" s="489" t="str">
        <f>AM$4</f>
        <v>3Q06</v>
      </c>
      <c r="AN325" s="491"/>
      <c r="AO325" s="489" t="str">
        <f>AO$4</f>
        <v>4Q06</v>
      </c>
      <c r="AP325" s="491"/>
      <c r="AQ325" s="489" t="str">
        <f>AQ$4</f>
        <v>1Q07</v>
      </c>
      <c r="AR325" s="491"/>
      <c r="AS325" s="489" t="str">
        <f>AS$4</f>
        <v>2Q07</v>
      </c>
      <c r="AT325" s="491"/>
      <c r="AU325" s="489" t="str">
        <f>AU$4</f>
        <v>3Q07</v>
      </c>
      <c r="AV325" s="491"/>
      <c r="AW325" s="489" t="str">
        <f>AW$4</f>
        <v>4Q07</v>
      </c>
      <c r="AX325" s="491"/>
      <c r="AY325" s="489" t="str">
        <f>AY$4</f>
        <v>1Q08</v>
      </c>
      <c r="AZ325" s="491"/>
      <c r="BA325" s="489" t="str">
        <f>BA$4</f>
        <v>2Q08</v>
      </c>
      <c r="BB325" s="491"/>
      <c r="BC325" s="489" t="str">
        <f>BC$4</f>
        <v>3Q08</v>
      </c>
      <c r="BD325" s="491"/>
      <c r="BE325" s="489" t="str">
        <f>BE$4</f>
        <v>4Q08</v>
      </c>
      <c r="BF325" s="491"/>
      <c r="BG325" s="489" t="str">
        <f>BG$4</f>
        <v>1Q09</v>
      </c>
      <c r="BH325" s="491"/>
      <c r="BI325" s="489" t="str">
        <f>BI$4</f>
        <v>2Q09</v>
      </c>
      <c r="BJ325" s="491"/>
      <c r="BK325" s="489" t="str">
        <f>BK$4</f>
        <v>3Q09</v>
      </c>
      <c r="BL325" s="491"/>
      <c r="BM325" s="489" t="str">
        <f>BM$4</f>
        <v>4Q09</v>
      </c>
      <c r="BN325" s="491"/>
      <c r="BO325" s="489" t="str">
        <f>BO$4</f>
        <v>1Q10</v>
      </c>
      <c r="BP325" s="491"/>
      <c r="BQ325" s="489" t="str">
        <f>BQ$4</f>
        <v>2Q10</v>
      </c>
      <c r="BR325" s="491"/>
      <c r="BS325" s="489" t="str">
        <f>BS$4</f>
        <v>3Q10</v>
      </c>
      <c r="BT325" s="491"/>
      <c r="BU325" s="489" t="str">
        <f>BU$4</f>
        <v>4Q10</v>
      </c>
      <c r="BV325" s="491"/>
      <c r="BW325" s="489" t="str">
        <f>BW$4</f>
        <v>1Q11</v>
      </c>
      <c r="BX325" s="491"/>
      <c r="BY325" s="489" t="str">
        <f>BY$4</f>
        <v>2Q11</v>
      </c>
      <c r="BZ325" s="491"/>
      <c r="CA325" s="489" t="str">
        <f>CA$4</f>
        <v>3Q11</v>
      </c>
      <c r="CB325" s="491"/>
      <c r="CC325" s="489" t="str">
        <f>CC$4</f>
        <v>4Q11</v>
      </c>
      <c r="CD325" s="491"/>
      <c r="CE325" s="489" t="str">
        <f>CE$4</f>
        <v>1Q12</v>
      </c>
      <c r="CF325" s="491"/>
      <c r="CG325" s="489" t="str">
        <f>CG$4</f>
        <v>2Q12</v>
      </c>
      <c r="CH325" s="491"/>
      <c r="CI325" s="489" t="str">
        <f>CI$4</f>
        <v>3Q12</v>
      </c>
      <c r="CJ325" s="491"/>
      <c r="CK325" s="489" t="str">
        <f>CK$4</f>
        <v>4Q12</v>
      </c>
      <c r="CL325" s="491"/>
      <c r="CM325" s="489" t="str">
        <f>CM$4</f>
        <v>1Q13</v>
      </c>
      <c r="CN325" s="491"/>
      <c r="CO325" s="489" t="str">
        <f>CO$4</f>
        <v>2Q13</v>
      </c>
      <c r="CP325" s="491"/>
      <c r="CQ325" s="489" t="str">
        <f>CQ$4</f>
        <v>3Q13</v>
      </c>
      <c r="CR325" s="491"/>
      <c r="CS325" s="489" t="str">
        <f>CS$4</f>
        <v>4Q13</v>
      </c>
      <c r="CT325" s="491"/>
      <c r="CU325" s="489" t="str">
        <f>CU$4</f>
        <v>1Q14</v>
      </c>
      <c r="CV325" s="491"/>
      <c r="CW325" s="489" t="str">
        <f>CW$4</f>
        <v>2Q14</v>
      </c>
      <c r="CX325" s="491"/>
      <c r="CY325" s="489" t="str">
        <f>CY$4</f>
        <v>3Q14</v>
      </c>
      <c r="CZ325" s="491"/>
      <c r="DA325" s="489" t="str">
        <f>DA$4</f>
        <v>4Q14</v>
      </c>
      <c r="DB325" s="491"/>
      <c r="DC325" s="489" t="str">
        <f>DC$4</f>
        <v>1Q15</v>
      </c>
      <c r="DD325" s="491"/>
      <c r="DE325" s="489" t="str">
        <f>DE$4</f>
        <v>2Q15</v>
      </c>
      <c r="DF325" s="491"/>
      <c r="DG325" s="489" t="str">
        <f>DG$4</f>
        <v>3Q15</v>
      </c>
      <c r="DH325" s="491"/>
      <c r="DI325" s="489" t="str">
        <f>DI$4</f>
        <v>4Q15</v>
      </c>
      <c r="DJ325" s="491"/>
      <c r="DK325" s="489" t="str">
        <f>DK$4</f>
        <v>1Q16</v>
      </c>
      <c r="DL325" s="491"/>
      <c r="DM325" s="489" t="str">
        <f>DM$4</f>
        <v>2Q16</v>
      </c>
      <c r="DN325" s="491"/>
      <c r="DO325" s="489" t="str">
        <f>DO$4</f>
        <v>3Q16</v>
      </c>
      <c r="DP325" s="491"/>
      <c r="DQ325" s="489" t="str">
        <f>DQ$4</f>
        <v>4Q16</v>
      </c>
      <c r="DR325" s="491"/>
      <c r="DS325" s="489" t="str">
        <f>DS$4</f>
        <v>1Q17</v>
      </c>
      <c r="DT325" s="491"/>
      <c r="DU325" s="489" t="str">
        <f>DU$4</f>
        <v>2Q17</v>
      </c>
      <c r="DV325" s="491"/>
      <c r="DW325" s="489" t="str">
        <f>DW$4</f>
        <v>3Q17</v>
      </c>
      <c r="DX325" s="491"/>
      <c r="DY325" s="489" t="str">
        <f>DY$4</f>
        <v>4Q17</v>
      </c>
      <c r="DZ325" s="491"/>
      <c r="EA325" s="489"/>
      <c r="EB325" s="490" t="str">
        <f>EB$4</f>
        <v>2000</v>
      </c>
      <c r="EC325" s="491"/>
      <c r="ED325" s="490" t="str">
        <f>ED$4</f>
        <v>2001</v>
      </c>
      <c r="EE325" s="491"/>
      <c r="EF325" s="490" t="str">
        <f>EF$4</f>
        <v>2002</v>
      </c>
      <c r="EG325" s="491"/>
      <c r="EH325" s="490" t="str">
        <f>EH$4</f>
        <v>2003</v>
      </c>
      <c r="EI325" s="491"/>
      <c r="EJ325" s="489">
        <f>EJ$4</f>
        <v>2004</v>
      </c>
      <c r="EK325" s="491"/>
      <c r="EL325" s="489" t="str">
        <f>EL$4</f>
        <v>2005</v>
      </c>
      <c r="EM325" s="491"/>
      <c r="EN325" s="489" t="str">
        <f>EN$4</f>
        <v>2006</v>
      </c>
      <c r="EO325" s="491"/>
      <c r="EP325" s="489">
        <f>EP$4</f>
        <v>2007</v>
      </c>
      <c r="EQ325" s="491"/>
      <c r="ER325" s="489" t="str">
        <f>ER$4</f>
        <v>2008</v>
      </c>
      <c r="ES325" s="491"/>
      <c r="ET325" s="489" t="str">
        <f>ET$4</f>
        <v>2009</v>
      </c>
      <c r="EU325" s="491"/>
      <c r="EV325" s="489" t="str">
        <f>EV$4</f>
        <v>2010</v>
      </c>
      <c r="EW325" s="491"/>
      <c r="EX325" s="489" t="str">
        <f>EX$4</f>
        <v>2011</v>
      </c>
      <c r="EY325" s="491"/>
      <c r="EZ325" s="489" t="str">
        <f>EZ$4</f>
        <v>2012</v>
      </c>
      <c r="FA325" s="491"/>
      <c r="FB325" s="489" t="str">
        <f>FB$4</f>
        <v>2013</v>
      </c>
      <c r="FC325" s="491"/>
      <c r="FD325" s="489">
        <f>FD$4</f>
        <v>2014</v>
      </c>
      <c r="FE325" s="491"/>
      <c r="FF325" s="489" t="str">
        <f>FF$4</f>
        <v>2015</v>
      </c>
      <c r="FG325" s="491"/>
      <c r="FH325" s="489">
        <f>FH$4</f>
        <v>2016</v>
      </c>
      <c r="FI325" s="491"/>
      <c r="FJ325" s="489">
        <f>FJ$4</f>
        <v>2017</v>
      </c>
      <c r="FK325" s="491"/>
      <c r="FL325" s="489" t="str">
        <f>FL$4</f>
        <v>2018E</v>
      </c>
      <c r="FM325" s="491"/>
      <c r="FN325" s="489" t="str">
        <f>FN$4</f>
        <v>2019E</v>
      </c>
      <c r="FO325" s="491"/>
      <c r="FP325" s="489" t="str">
        <f>FP$4</f>
        <v>2020E</v>
      </c>
      <c r="FQ325" s="491"/>
      <c r="FR325" s="489" t="str">
        <f>FR$4</f>
        <v>2021E</v>
      </c>
      <c r="FS325" s="489" t="str">
        <f>FS$4</f>
        <v>CAGR</v>
      </c>
      <c r="FT325" s="349"/>
    </row>
    <row r="326" spans="1:176" ht="12.75" hidden="1" customHeight="1" outlineLevel="1" x14ac:dyDescent="0.2">
      <c r="A326" s="493"/>
      <c r="B326" s="494" t="str">
        <f>+B$5</f>
        <v>1Q03</v>
      </c>
      <c r="C326" s="495" t="str">
        <f>C$5</f>
        <v>% Chg</v>
      </c>
      <c r="D326" s="494" t="str">
        <f>+D$5</f>
        <v>2Q03</v>
      </c>
      <c r="E326" s="495" t="str">
        <f>E$5</f>
        <v>% Chg</v>
      </c>
      <c r="F326" s="494" t="str">
        <f>+F$5</f>
        <v>3Q03</v>
      </c>
      <c r="G326" s="495" t="str">
        <f>G$5</f>
        <v>% Chg</v>
      </c>
      <c r="H326" s="494" t="str">
        <f>+H$5</f>
        <v>4Q03</v>
      </c>
      <c r="I326" s="495" t="str">
        <f>I$5</f>
        <v>% Chg</v>
      </c>
      <c r="J326" s="494" t="str">
        <f>+J$5</f>
        <v>1Q04</v>
      </c>
      <c r="K326" s="495" t="str">
        <f>K$5</f>
        <v>% Chg</v>
      </c>
      <c r="L326" s="494" t="str">
        <f>+L$5</f>
        <v>2Q04</v>
      </c>
      <c r="M326" s="495" t="str">
        <f>M$5</f>
        <v>% Chg</v>
      </c>
      <c r="N326" s="494" t="str">
        <f>+N$5</f>
        <v>3Q04</v>
      </c>
      <c r="O326" s="495" t="str">
        <f>O$5</f>
        <v>% Chg</v>
      </c>
      <c r="P326" s="494" t="str">
        <f>+P$5</f>
        <v>4Q04</v>
      </c>
      <c r="Q326" s="495" t="str">
        <f>Q$5</f>
        <v>% Chg</v>
      </c>
      <c r="R326" s="494" t="str">
        <f>+R$5</f>
        <v>1Q05</v>
      </c>
      <c r="S326" s="495" t="str">
        <f>S$5</f>
        <v>% Chg</v>
      </c>
      <c r="T326" s="494" t="str">
        <f>+T$5</f>
        <v>2Q05</v>
      </c>
      <c r="U326" s="495" t="str">
        <f>U$5</f>
        <v>% Chg</v>
      </c>
      <c r="V326" s="494" t="str">
        <f>+V$5</f>
        <v>3Q05</v>
      </c>
      <c r="W326" s="495" t="str">
        <f>W$5</f>
        <v>% Chg</v>
      </c>
      <c r="X326" s="494" t="str">
        <f>+X$5</f>
        <v>4Q05</v>
      </c>
      <c r="Y326" s="495" t="str">
        <f>Y$5</f>
        <v>% Chg</v>
      </c>
      <c r="Z326" s="494" t="str">
        <f>+Z$5</f>
        <v>1Q06</v>
      </c>
      <c r="AA326" s="495" t="str">
        <f>AA$5</f>
        <v>% Chg</v>
      </c>
      <c r="AB326" s="494" t="str">
        <f>+AB$5</f>
        <v>2Q06</v>
      </c>
      <c r="AC326" s="495" t="str">
        <f>AC$5</f>
        <v>% Chg</v>
      </c>
      <c r="AD326" s="494" t="str">
        <f>+AD$5</f>
        <v>3Q06</v>
      </c>
      <c r="AE326" s="495" t="str">
        <f>AE$5</f>
        <v>% Chg</v>
      </c>
      <c r="AF326" s="494" t="str">
        <f>+AF$5</f>
        <v>4Q06</v>
      </c>
      <c r="AG326" s="495" t="str">
        <f>AG$5</f>
        <v>% Chg</v>
      </c>
      <c r="AH326" s="494" t="str">
        <f>+AH$5</f>
        <v>1Q07</v>
      </c>
      <c r="AI326" s="496" t="str">
        <f>AI$5</f>
        <v>% Chg</v>
      </c>
      <c r="AJ326" s="494" t="str">
        <f>+AJ$5</f>
        <v>2Q07</v>
      </c>
      <c r="AK326" s="496" t="str">
        <f>AK$5</f>
        <v>% Chg</v>
      </c>
      <c r="AL326" s="494" t="str">
        <f>+AL$5</f>
        <v>3Q07</v>
      </c>
      <c r="AM326" s="496" t="str">
        <f>AM$5</f>
        <v>% Chg</v>
      </c>
      <c r="AN326" s="494" t="str">
        <f>+AN$5</f>
        <v>4Q07</v>
      </c>
      <c r="AO326" s="496" t="str">
        <f>AO$5</f>
        <v>% Chg</v>
      </c>
      <c r="AP326" s="494" t="str">
        <f>+AP$5</f>
        <v>1Q08</v>
      </c>
      <c r="AQ326" s="496" t="str">
        <f>AQ$5</f>
        <v>% Chg</v>
      </c>
      <c r="AR326" s="494" t="str">
        <f>+AR$5</f>
        <v>2Q08</v>
      </c>
      <c r="AS326" s="496" t="str">
        <f>AS$5</f>
        <v>% Chg</v>
      </c>
      <c r="AT326" s="494" t="str">
        <f>+AT$5</f>
        <v>3Q08</v>
      </c>
      <c r="AU326" s="496" t="str">
        <f>AU$5</f>
        <v>% Chg</v>
      </c>
      <c r="AV326" s="494" t="str">
        <f>+AV$5</f>
        <v>4Q08</v>
      </c>
      <c r="AW326" s="496" t="str">
        <f>AW$5</f>
        <v>% Chg</v>
      </c>
      <c r="AX326" s="494" t="str">
        <f>+AX$5</f>
        <v>1Q09</v>
      </c>
      <c r="AY326" s="496" t="str">
        <f>AY$5</f>
        <v>% Chg</v>
      </c>
      <c r="AZ326" s="494" t="str">
        <f>+AZ$5</f>
        <v>2Q09</v>
      </c>
      <c r="BA326" s="496" t="str">
        <f>BA$5</f>
        <v>% Chg</v>
      </c>
      <c r="BB326" s="494" t="str">
        <f>+BB$5</f>
        <v>3Q09</v>
      </c>
      <c r="BC326" s="496" t="str">
        <f>BC$5</f>
        <v>% Chg</v>
      </c>
      <c r="BD326" s="494" t="str">
        <f>+BD$5</f>
        <v>4Q09</v>
      </c>
      <c r="BE326" s="496" t="str">
        <f>BE$5</f>
        <v>% Chg</v>
      </c>
      <c r="BF326" s="494" t="str">
        <f>+BF$5</f>
        <v>1Q10</v>
      </c>
      <c r="BG326" s="496" t="str">
        <f>BG$5</f>
        <v>% Chg</v>
      </c>
      <c r="BH326" s="494" t="str">
        <f>+BH$5</f>
        <v>2Q10</v>
      </c>
      <c r="BI326" s="496" t="str">
        <f>BI$5</f>
        <v>% Chg</v>
      </c>
      <c r="BJ326" s="494" t="str">
        <f>+BJ$5</f>
        <v>3Q10</v>
      </c>
      <c r="BK326" s="496" t="str">
        <f>BK$5</f>
        <v>% Chg</v>
      </c>
      <c r="BL326" s="494" t="str">
        <f>+BL$5</f>
        <v>4Q10</v>
      </c>
      <c r="BM326" s="496" t="str">
        <f>BM$5</f>
        <v>% Chg</v>
      </c>
      <c r="BN326" s="494" t="str">
        <f>+BN$5</f>
        <v>1Q11</v>
      </c>
      <c r="BO326" s="496" t="str">
        <f>BO$5</f>
        <v>% Chg</v>
      </c>
      <c r="BP326" s="494" t="str">
        <f>+BP$5</f>
        <v>2Q11</v>
      </c>
      <c r="BQ326" s="496" t="str">
        <f>BQ$5</f>
        <v>% Chg</v>
      </c>
      <c r="BR326" s="494" t="str">
        <f>+BR$5</f>
        <v>3Q11</v>
      </c>
      <c r="BS326" s="496" t="str">
        <f>BS$5</f>
        <v>% Chg</v>
      </c>
      <c r="BT326" s="494" t="str">
        <f>+BT$5</f>
        <v>4Q11</v>
      </c>
      <c r="BU326" s="496" t="str">
        <f>BU$5</f>
        <v>% Chg</v>
      </c>
      <c r="BV326" s="494" t="str">
        <f>+BV$5</f>
        <v>1Q12</v>
      </c>
      <c r="BW326" s="496" t="str">
        <f>BW$5</f>
        <v>% Chg</v>
      </c>
      <c r="BX326" s="494" t="str">
        <f>+BX$5</f>
        <v>2Q12</v>
      </c>
      <c r="BY326" s="496" t="str">
        <f>BY$5</f>
        <v>% Chg</v>
      </c>
      <c r="BZ326" s="494" t="str">
        <f>+BZ$5</f>
        <v>3Q12</v>
      </c>
      <c r="CA326" s="496" t="str">
        <f>CA$5</f>
        <v>% Chg</v>
      </c>
      <c r="CB326" s="494" t="str">
        <f>+CB$5</f>
        <v>4Q12</v>
      </c>
      <c r="CC326" s="496" t="str">
        <f>CC$5</f>
        <v>% Chg</v>
      </c>
      <c r="CD326" s="494" t="str">
        <f>+CD$5</f>
        <v>1Q13</v>
      </c>
      <c r="CE326" s="496" t="str">
        <f>CE$5</f>
        <v>% Chg</v>
      </c>
      <c r="CF326" s="494" t="str">
        <f>+CF$5</f>
        <v>2Q13</v>
      </c>
      <c r="CG326" s="496" t="str">
        <f>CG$5</f>
        <v>% Chg</v>
      </c>
      <c r="CH326" s="494" t="str">
        <f>+CH$5</f>
        <v>3Q13</v>
      </c>
      <c r="CI326" s="496" t="str">
        <f>CI$5</f>
        <v>% Chg</v>
      </c>
      <c r="CJ326" s="494" t="str">
        <f>+CJ$5</f>
        <v>4Q13</v>
      </c>
      <c r="CK326" s="496" t="str">
        <f>CK$5</f>
        <v>% Chg</v>
      </c>
      <c r="CL326" s="494" t="str">
        <f>+CL$5</f>
        <v>1Q14</v>
      </c>
      <c r="CM326" s="496" t="str">
        <f>CM$5</f>
        <v>% Chg</v>
      </c>
      <c r="CN326" s="494" t="str">
        <f>+CN$5</f>
        <v>2Q14</v>
      </c>
      <c r="CO326" s="496" t="str">
        <f>CO$5</f>
        <v>% Chg</v>
      </c>
      <c r="CP326" s="494" t="str">
        <f>+CP$5</f>
        <v>3Q14</v>
      </c>
      <c r="CQ326" s="496" t="str">
        <f>CQ$5</f>
        <v>% Chg</v>
      </c>
      <c r="CR326" s="494" t="str">
        <f>+CR$5</f>
        <v>4Q14</v>
      </c>
      <c r="CS326" s="496" t="str">
        <f>CS$5</f>
        <v>% Chg</v>
      </c>
      <c r="CT326" s="494" t="str">
        <f>+CT$5</f>
        <v>1Q15</v>
      </c>
      <c r="CU326" s="496" t="str">
        <f>CU$5</f>
        <v>% Chg</v>
      </c>
      <c r="CV326" s="494" t="str">
        <f>+CV$5</f>
        <v>2Q15</v>
      </c>
      <c r="CW326" s="496" t="str">
        <f>CW$5</f>
        <v>% Chg</v>
      </c>
      <c r="CX326" s="494" t="str">
        <f>+CX$5</f>
        <v>3Q15</v>
      </c>
      <c r="CY326" s="496" t="str">
        <f>CY$5</f>
        <v>% Chg</v>
      </c>
      <c r="CZ326" s="494" t="str">
        <f>+CZ$5</f>
        <v>4Q15</v>
      </c>
      <c r="DA326" s="496" t="str">
        <f>DA$5</f>
        <v>% Chg</v>
      </c>
      <c r="DB326" s="494" t="str">
        <f>+DB$5</f>
        <v>1Q16</v>
      </c>
      <c r="DC326" s="496" t="str">
        <f>DC$5</f>
        <v>% Chg</v>
      </c>
      <c r="DD326" s="494" t="str">
        <f>+DD$5</f>
        <v>2Q16</v>
      </c>
      <c r="DE326" s="496" t="str">
        <f>DE$5</f>
        <v>% Chg</v>
      </c>
      <c r="DF326" s="494" t="str">
        <f>+DF$5</f>
        <v>3Q16</v>
      </c>
      <c r="DG326" s="496" t="str">
        <f>DG$5</f>
        <v>% Chg</v>
      </c>
      <c r="DH326" s="494" t="str">
        <f>+DH$5</f>
        <v>4Q16</v>
      </c>
      <c r="DI326" s="496" t="str">
        <f>DI$5</f>
        <v>% Chg</v>
      </c>
      <c r="DJ326" s="494" t="str">
        <f>+DJ$5</f>
        <v>1Q17</v>
      </c>
      <c r="DK326" s="496" t="str">
        <f>DK$5</f>
        <v>% Chg</v>
      </c>
      <c r="DL326" s="494" t="str">
        <f>+DL$5</f>
        <v>2Q17</v>
      </c>
      <c r="DM326" s="496" t="str">
        <f>DM$5</f>
        <v>% Chg</v>
      </c>
      <c r="DN326" s="494" t="str">
        <f>+DN$5</f>
        <v>3Q17</v>
      </c>
      <c r="DO326" s="496" t="str">
        <f>DO$5</f>
        <v>% Chg</v>
      </c>
      <c r="DP326" s="494" t="str">
        <f>+DP$5</f>
        <v>4Q17</v>
      </c>
      <c r="DQ326" s="496" t="str">
        <f>DQ$5</f>
        <v>% Chg</v>
      </c>
      <c r="DR326" s="494" t="str">
        <f>+DR$5</f>
        <v>1Q18E</v>
      </c>
      <c r="DS326" s="496" t="str">
        <f>DS$5</f>
        <v>% Chg</v>
      </c>
      <c r="DT326" s="494" t="str">
        <f>+DT$5</f>
        <v>2Q18E</v>
      </c>
      <c r="DU326" s="496" t="str">
        <f>DU$5</f>
        <v>% Chg</v>
      </c>
      <c r="DV326" s="494" t="str">
        <f>+DV$5</f>
        <v>3Q18E</v>
      </c>
      <c r="DW326" s="496" t="str">
        <f>DW$5</f>
        <v>% Chg</v>
      </c>
      <c r="DX326" s="494" t="str">
        <f>+DX$5</f>
        <v>4Q18E</v>
      </c>
      <c r="DY326" s="496" t="str">
        <f>DY$5</f>
        <v>% Chg</v>
      </c>
      <c r="DZ326" s="494"/>
      <c r="EA326" s="496"/>
      <c r="EB326" s="495" t="str">
        <f>EB$5</f>
        <v>% Chg</v>
      </c>
      <c r="EC326" s="494" t="str">
        <f t="shared" ref="EC326:FQ326" si="23">+EC$5</f>
        <v>2002</v>
      </c>
      <c r="ED326" s="495" t="str">
        <f>ED$5</f>
        <v>% Chg</v>
      </c>
      <c r="EE326" s="494" t="str">
        <f t="shared" si="23"/>
        <v>2003</v>
      </c>
      <c r="EF326" s="495" t="str">
        <f>EF$5</f>
        <v>% Chg</v>
      </c>
      <c r="EG326" s="494">
        <f t="shared" si="23"/>
        <v>2004</v>
      </c>
      <c r="EH326" s="495" t="str">
        <f>EH$5</f>
        <v>% Chg</v>
      </c>
      <c r="EI326" s="494" t="str">
        <f t="shared" si="23"/>
        <v>2005</v>
      </c>
      <c r="EJ326" s="496" t="str">
        <f>EJ$5</f>
        <v>% Chg</v>
      </c>
      <c r="EK326" s="494" t="str">
        <f t="shared" si="23"/>
        <v>2006</v>
      </c>
      <c r="EL326" s="496" t="str">
        <f>EL$5</f>
        <v>% Chg</v>
      </c>
      <c r="EM326" s="494">
        <f t="shared" si="23"/>
        <v>2007</v>
      </c>
      <c r="EN326" s="496" t="str">
        <f>EN$5</f>
        <v>% Chg</v>
      </c>
      <c r="EO326" s="494" t="str">
        <f t="shared" si="23"/>
        <v>2008</v>
      </c>
      <c r="EP326" s="496" t="str">
        <f>EP$5</f>
        <v>% Chg</v>
      </c>
      <c r="EQ326" s="494" t="str">
        <f t="shared" si="23"/>
        <v>2009</v>
      </c>
      <c r="ER326" s="496" t="str">
        <f>ER$5</f>
        <v>% Chg</v>
      </c>
      <c r="ES326" s="494" t="str">
        <f t="shared" si="23"/>
        <v>2010</v>
      </c>
      <c r="ET326" s="496" t="str">
        <f>ET$5</f>
        <v>% Chg</v>
      </c>
      <c r="EU326" s="494" t="str">
        <f t="shared" si="23"/>
        <v>2011</v>
      </c>
      <c r="EV326" s="496" t="str">
        <f>EV$5</f>
        <v>% Chg</v>
      </c>
      <c r="EW326" s="494" t="str">
        <f t="shared" si="23"/>
        <v>2012</v>
      </c>
      <c r="EX326" s="496" t="str">
        <f>EX$5</f>
        <v>% Chg</v>
      </c>
      <c r="EY326" s="494" t="str">
        <f t="shared" si="23"/>
        <v>2013</v>
      </c>
      <c r="EZ326" s="496" t="str">
        <f>EZ$5</f>
        <v>% Chg</v>
      </c>
      <c r="FA326" s="494">
        <f t="shared" si="23"/>
        <v>2014</v>
      </c>
      <c r="FB326" s="496" t="str">
        <f>FB$5</f>
        <v>% Chg</v>
      </c>
      <c r="FC326" s="494" t="str">
        <f t="shared" si="23"/>
        <v>2015</v>
      </c>
      <c r="FD326" s="496" t="str">
        <f>FD$5</f>
        <v>% Chg</v>
      </c>
      <c r="FE326" s="494">
        <f t="shared" si="23"/>
        <v>2016</v>
      </c>
      <c r="FF326" s="496" t="str">
        <f>FF$5</f>
        <v>% Chg</v>
      </c>
      <c r="FG326" s="494">
        <f t="shared" si="23"/>
        <v>2017</v>
      </c>
      <c r="FH326" s="496" t="str">
        <f>FH$5</f>
        <v>% Chg</v>
      </c>
      <c r="FI326" s="494" t="str">
        <f t="shared" si="23"/>
        <v>2018E</v>
      </c>
      <c r="FJ326" s="496" t="str">
        <f>FJ$5</f>
        <v>% Chg</v>
      </c>
      <c r="FK326" s="494" t="str">
        <f t="shared" si="23"/>
        <v>2019E</v>
      </c>
      <c r="FL326" s="496" t="str">
        <f>FL$5</f>
        <v>% Chg</v>
      </c>
      <c r="FM326" s="494" t="str">
        <f t="shared" si="23"/>
        <v>2020E</v>
      </c>
      <c r="FN326" s="496" t="str">
        <f>FN$5</f>
        <v>% Chg</v>
      </c>
      <c r="FO326" s="494" t="str">
        <f t="shared" si="23"/>
        <v>2021E</v>
      </c>
      <c r="FP326" s="496" t="str">
        <f>FP$5</f>
        <v>% Chg</v>
      </c>
      <c r="FQ326" s="494" t="str">
        <f t="shared" si="23"/>
        <v>2022E</v>
      </c>
      <c r="FR326" s="496" t="str">
        <f>FR$5</f>
        <v>% Chg</v>
      </c>
      <c r="FS326" s="496" t="str">
        <f>FS$5</f>
        <v>(%)</v>
      </c>
      <c r="FT326" s="349"/>
    </row>
    <row r="327" spans="1:176" ht="12.75" hidden="1" customHeight="1" outlineLevel="1" x14ac:dyDescent="0.2">
      <c r="A327" s="70"/>
      <c r="B327" s="497"/>
      <c r="C327" s="155"/>
      <c r="D327" s="497"/>
      <c r="E327" s="155"/>
      <c r="F327" s="497"/>
      <c r="G327" s="155"/>
      <c r="H327" s="497"/>
      <c r="I327" s="155"/>
      <c r="J327" s="497"/>
      <c r="K327" s="155"/>
      <c r="L327" s="497"/>
      <c r="M327" s="155"/>
      <c r="N327" s="497"/>
      <c r="O327" s="155"/>
      <c r="P327" s="497"/>
      <c r="Q327" s="155"/>
      <c r="R327" s="497"/>
      <c r="S327" s="155"/>
      <c r="T327" s="497"/>
      <c r="U327" s="155"/>
      <c r="V327" s="497"/>
      <c r="W327" s="155"/>
      <c r="X327" s="497"/>
      <c r="Y327" s="155"/>
      <c r="Z327" s="497"/>
      <c r="AA327" s="155"/>
      <c r="AB327" s="497"/>
      <c r="AC327" s="155"/>
      <c r="AD327" s="497"/>
      <c r="AE327" s="155"/>
      <c r="AF327" s="497"/>
      <c r="AG327" s="155"/>
      <c r="AH327" s="497"/>
      <c r="AI327" s="240"/>
      <c r="AJ327" s="497"/>
      <c r="AK327" s="240"/>
      <c r="AL327" s="497"/>
      <c r="AM327" s="240"/>
      <c r="AN327" s="497"/>
      <c r="AO327" s="240"/>
      <c r="AP327" s="497"/>
      <c r="AQ327" s="240"/>
      <c r="AR327" s="497"/>
      <c r="AS327" s="240"/>
      <c r="AT327" s="497"/>
      <c r="AU327" s="240"/>
      <c r="AV327" s="497"/>
      <c r="AW327" s="240"/>
      <c r="AX327" s="497"/>
      <c r="AY327" s="240"/>
      <c r="AZ327" s="497"/>
      <c r="BA327" s="240"/>
      <c r="BB327" s="497"/>
      <c r="BC327" s="240"/>
      <c r="BD327" s="497"/>
      <c r="BE327" s="240"/>
      <c r="BF327" s="497"/>
      <c r="BG327" s="240"/>
      <c r="BH327" s="497"/>
      <c r="BI327" s="240"/>
      <c r="BJ327" s="497"/>
      <c r="BK327" s="240"/>
      <c r="BL327" s="497"/>
      <c r="BM327" s="240"/>
      <c r="BN327" s="497"/>
      <c r="BO327" s="240"/>
      <c r="BP327" s="497"/>
      <c r="BQ327" s="240"/>
      <c r="BR327" s="497"/>
      <c r="BS327" s="240"/>
      <c r="BT327" s="497"/>
      <c r="BU327" s="240"/>
      <c r="BV327" s="497"/>
      <c r="BW327" s="240"/>
      <c r="BX327" s="497"/>
      <c r="BY327" s="240"/>
      <c r="BZ327" s="497"/>
      <c r="CA327" s="240"/>
      <c r="CB327" s="497"/>
      <c r="CC327" s="240"/>
      <c r="CD327" s="497"/>
      <c r="CE327" s="240"/>
      <c r="CF327" s="497"/>
      <c r="CG327" s="240"/>
      <c r="CH327" s="497"/>
      <c r="CI327" s="240"/>
      <c r="CJ327" s="497"/>
      <c r="CK327" s="240"/>
      <c r="CL327" s="497"/>
      <c r="CM327" s="240"/>
      <c r="CN327" s="497"/>
      <c r="CO327" s="240"/>
      <c r="CP327" s="497"/>
      <c r="CQ327" s="240"/>
      <c r="CR327" s="497"/>
      <c r="CS327" s="240"/>
      <c r="CT327" s="497"/>
      <c r="CU327" s="240"/>
      <c r="CV327" s="497"/>
      <c r="CW327" s="240"/>
      <c r="CX327" s="497"/>
      <c r="CY327" s="240"/>
      <c r="CZ327" s="497"/>
      <c r="DA327" s="240"/>
      <c r="DB327" s="497"/>
      <c r="DC327" s="240"/>
      <c r="DD327" s="497"/>
      <c r="DE327" s="240"/>
      <c r="DF327" s="497"/>
      <c r="DG327" s="240"/>
      <c r="DH327" s="497"/>
      <c r="DI327" s="240"/>
      <c r="DJ327" s="497"/>
      <c r="DK327" s="240"/>
      <c r="DL327" s="497"/>
      <c r="DM327" s="240"/>
      <c r="DN327" s="497"/>
      <c r="DO327" s="240"/>
      <c r="DP327" s="497"/>
      <c r="DQ327" s="240"/>
      <c r="DR327" s="497"/>
      <c r="DS327" s="240"/>
      <c r="DT327" s="497"/>
      <c r="DU327" s="240"/>
      <c r="DV327" s="497"/>
      <c r="DW327" s="240"/>
      <c r="DX327" s="497"/>
      <c r="DY327" s="240"/>
      <c r="DZ327" s="497"/>
      <c r="EA327" s="240"/>
      <c r="EB327" s="155"/>
      <c r="EC327" s="497"/>
      <c r="ED327" s="155"/>
      <c r="EE327" s="497"/>
      <c r="EF327" s="155"/>
      <c r="EG327" s="497"/>
      <c r="EH327" s="155"/>
      <c r="EI327" s="497"/>
      <c r="EJ327" s="240"/>
      <c r="EK327" s="497"/>
      <c r="EL327" s="240"/>
      <c r="EM327" s="497"/>
      <c r="EN327" s="240"/>
      <c r="EO327" s="497"/>
      <c r="EP327" s="240"/>
      <c r="EQ327" s="497"/>
      <c r="ER327" s="240"/>
      <c r="ES327" s="497"/>
      <c r="ET327" s="240"/>
      <c r="EU327" s="497"/>
      <c r="EV327" s="240"/>
      <c r="EW327" s="497"/>
      <c r="EX327" s="240"/>
      <c r="EY327" s="497"/>
      <c r="EZ327" s="240"/>
      <c r="FA327" s="497"/>
      <c r="FB327" s="240"/>
      <c r="FC327" s="497"/>
      <c r="FD327" s="240"/>
      <c r="FE327" s="497"/>
      <c r="FF327" s="240"/>
      <c r="FG327" s="497"/>
      <c r="FH327" s="240"/>
      <c r="FI327" s="497"/>
      <c r="FJ327" s="240"/>
      <c r="FK327" s="497"/>
      <c r="FL327" s="240"/>
      <c r="FM327" s="497"/>
      <c r="FN327" s="240"/>
      <c r="FO327" s="497"/>
      <c r="FP327" s="240"/>
      <c r="FQ327" s="497"/>
      <c r="FR327" s="240"/>
      <c r="FS327" s="240"/>
    </row>
    <row r="328" spans="1:176" ht="12.75" hidden="1" customHeight="1" outlineLevel="1" x14ac:dyDescent="0.2">
      <c r="A328" s="70" t="s">
        <v>403</v>
      </c>
      <c r="B328" s="75"/>
      <c r="C328" s="155"/>
      <c r="D328" s="75"/>
      <c r="E328" s="155"/>
      <c r="F328" s="75"/>
      <c r="G328" s="155"/>
      <c r="H328" s="75"/>
      <c r="I328" s="155"/>
      <c r="J328" s="75"/>
      <c r="K328" s="155"/>
      <c r="L328" s="75"/>
      <c r="M328" s="155"/>
      <c r="N328" s="75"/>
      <c r="O328" s="155"/>
      <c r="P328" s="75"/>
      <c r="Q328" s="155"/>
      <c r="R328" s="75"/>
      <c r="S328" s="155"/>
      <c r="T328" s="75"/>
      <c r="U328" s="155"/>
      <c r="V328" s="75"/>
      <c r="W328" s="155"/>
      <c r="X328" s="75"/>
      <c r="Y328" s="155"/>
      <c r="Z328" s="75"/>
      <c r="AA328" s="155"/>
      <c r="AB328" s="75"/>
      <c r="AC328" s="155"/>
      <c r="AD328" s="75"/>
      <c r="AE328" s="155"/>
      <c r="AF328" s="75"/>
      <c r="AG328" s="155"/>
      <c r="AH328" s="75"/>
      <c r="AI328" s="240"/>
      <c r="AJ328" s="75"/>
      <c r="AK328" s="240"/>
      <c r="AL328" s="75"/>
      <c r="AM328" s="240"/>
      <c r="AN328" s="75"/>
      <c r="AO328" s="240"/>
      <c r="AP328" s="75"/>
      <c r="AQ328" s="240"/>
      <c r="AR328" s="75"/>
      <c r="AS328" s="240"/>
      <c r="AT328" s="75"/>
      <c r="AU328" s="240"/>
      <c r="AV328" s="75"/>
      <c r="AW328" s="240"/>
      <c r="AX328" s="75"/>
      <c r="AY328" s="240"/>
      <c r="AZ328" s="75"/>
      <c r="BA328" s="240"/>
      <c r="BB328" s="75"/>
      <c r="BC328" s="240"/>
      <c r="BD328" s="75"/>
      <c r="BE328" s="240"/>
      <c r="BF328" s="75"/>
      <c r="BG328" s="240"/>
      <c r="BH328" s="75"/>
      <c r="BI328" s="240"/>
      <c r="BJ328" s="75"/>
      <c r="BK328" s="240"/>
      <c r="BL328" s="75"/>
      <c r="BM328" s="240"/>
      <c r="BN328" s="75"/>
      <c r="BO328" s="240"/>
      <c r="BP328" s="75"/>
      <c r="BQ328" s="240"/>
      <c r="BR328" s="75"/>
      <c r="BS328" s="240"/>
      <c r="BT328" s="75"/>
      <c r="BU328" s="240"/>
      <c r="BV328" s="75"/>
      <c r="BW328" s="240"/>
      <c r="BX328" s="75"/>
      <c r="BY328" s="240"/>
      <c r="BZ328" s="75"/>
      <c r="CA328" s="240"/>
      <c r="CB328" s="75"/>
      <c r="CC328" s="240"/>
      <c r="CD328" s="75"/>
      <c r="CE328" s="240"/>
      <c r="CF328" s="75"/>
      <c r="CG328" s="240"/>
      <c r="CH328" s="75"/>
      <c r="CI328" s="240"/>
      <c r="CJ328" s="75"/>
      <c r="CK328" s="240"/>
      <c r="CL328" s="75"/>
      <c r="CM328" s="240"/>
      <c r="CN328" s="75"/>
      <c r="CO328" s="240"/>
      <c r="CP328" s="75"/>
      <c r="CQ328" s="240"/>
      <c r="CR328" s="75"/>
      <c r="CS328" s="240"/>
      <c r="CT328" s="75"/>
      <c r="CU328" s="240"/>
      <c r="CV328" s="75"/>
      <c r="CW328" s="240"/>
      <c r="CX328" s="75"/>
      <c r="CY328" s="240"/>
      <c r="CZ328" s="75"/>
      <c r="DA328" s="240"/>
      <c r="DB328" s="75"/>
      <c r="DC328" s="240"/>
      <c r="DD328" s="75"/>
      <c r="DE328" s="240"/>
      <c r="DF328" s="75"/>
      <c r="DG328" s="240"/>
      <c r="DH328" s="75"/>
      <c r="DI328" s="240"/>
      <c r="DJ328" s="75"/>
      <c r="DK328" s="240"/>
      <c r="DL328" s="75"/>
      <c r="DM328" s="240"/>
      <c r="DN328" s="75"/>
      <c r="DO328" s="240"/>
      <c r="DP328" s="75"/>
      <c r="DQ328" s="240"/>
      <c r="DR328" s="75"/>
      <c r="DS328" s="240"/>
      <c r="DT328" s="75"/>
      <c r="DU328" s="240"/>
      <c r="DV328" s="75"/>
      <c r="DW328" s="240"/>
      <c r="DX328" s="75"/>
      <c r="DY328" s="240"/>
      <c r="DZ328" s="75"/>
      <c r="EA328" s="240"/>
      <c r="EB328" s="155"/>
      <c r="EC328" s="75"/>
      <c r="ED328" s="155"/>
      <c r="EE328" s="75"/>
      <c r="EF328" s="155"/>
      <c r="EG328" s="75"/>
      <c r="EH328" s="155"/>
      <c r="EI328" s="75"/>
      <c r="EJ328" s="240"/>
      <c r="EK328" s="75"/>
      <c r="EL328" s="240"/>
      <c r="EM328" s="75"/>
      <c r="EN328" s="240"/>
      <c r="EO328" s="75"/>
      <c r="EP328" s="240"/>
      <c r="EQ328" s="75"/>
      <c r="ER328" s="240"/>
      <c r="ES328" s="75"/>
      <c r="ET328" s="240"/>
      <c r="EU328" s="75"/>
      <c r="EV328" s="240"/>
      <c r="EW328" s="75"/>
      <c r="EX328" s="240"/>
      <c r="EY328" s="75"/>
      <c r="EZ328" s="240"/>
      <c r="FA328" s="75"/>
      <c r="FB328" s="240"/>
      <c r="FC328" s="75"/>
      <c r="FD328" s="240"/>
      <c r="FE328" s="75"/>
      <c r="FF328" s="240"/>
      <c r="FG328" s="75"/>
      <c r="FH328" s="240"/>
      <c r="FI328" s="75"/>
      <c r="FJ328" s="240"/>
      <c r="FK328" s="75"/>
      <c r="FL328" s="240"/>
      <c r="FM328" s="75"/>
      <c r="FN328" s="240"/>
      <c r="FO328" s="75"/>
      <c r="FP328" s="240"/>
      <c r="FQ328" s="75"/>
      <c r="FR328" s="240"/>
      <c r="FS328" s="240"/>
    </row>
    <row r="329" spans="1:176" ht="12.75" hidden="1" customHeight="1" outlineLevel="1" x14ac:dyDescent="0.2">
      <c r="A329" s="517" t="str">
        <f>INPUT!B264</f>
        <v>Institutional Assets</v>
      </c>
      <c r="B329" s="75"/>
      <c r="C329" s="155"/>
      <c r="D329" s="510"/>
      <c r="E329" s="487"/>
      <c r="F329" s="510"/>
      <c r="G329" s="487"/>
      <c r="H329" s="510"/>
      <c r="I329" s="487"/>
      <c r="J329" s="75"/>
      <c r="K329" s="155"/>
      <c r="L329" s="510"/>
      <c r="M329" s="487"/>
      <c r="N329" s="510"/>
      <c r="O329" s="487"/>
      <c r="P329" s="510"/>
      <c r="Q329" s="487"/>
      <c r="R329" s="510"/>
      <c r="S329" s="487"/>
      <c r="T329" s="510"/>
      <c r="U329" s="487"/>
      <c r="V329" s="510"/>
      <c r="W329" s="487"/>
      <c r="X329" s="510"/>
      <c r="Y329" s="487"/>
      <c r="Z329" s="510"/>
      <c r="AA329" s="487"/>
      <c r="AB329" s="510"/>
      <c r="AC329" s="487"/>
      <c r="AD329" s="510"/>
      <c r="AE329" s="487"/>
      <c r="AF329" s="510"/>
      <c r="AG329" s="487"/>
      <c r="AH329" s="510"/>
      <c r="AI329" s="486"/>
      <c r="AJ329" s="510"/>
      <c r="AK329" s="486"/>
      <c r="AL329" s="510"/>
      <c r="AM329" s="486"/>
      <c r="AN329" s="510"/>
      <c r="AO329" s="486"/>
      <c r="AP329" s="510"/>
      <c r="AQ329" s="486"/>
      <c r="AR329" s="510"/>
      <c r="AS329" s="486"/>
      <c r="AT329" s="510"/>
      <c r="AU329" s="486"/>
      <c r="AV329" s="510"/>
      <c r="AW329" s="486"/>
      <c r="AX329" s="510"/>
      <c r="AY329" s="486"/>
      <c r="AZ329" s="510"/>
      <c r="BA329" s="486"/>
      <c r="BB329" s="510"/>
      <c r="BC329" s="486"/>
      <c r="BD329" s="510"/>
      <c r="BE329" s="486"/>
      <c r="BF329" s="510"/>
      <c r="BG329" s="486"/>
      <c r="BH329" s="510"/>
      <c r="BI329" s="486"/>
      <c r="BJ329" s="510"/>
      <c r="BK329" s="486"/>
      <c r="BL329" s="510"/>
      <c r="BM329" s="486"/>
      <c r="BN329" s="510"/>
      <c r="BO329" s="486"/>
      <c r="BP329" s="510"/>
      <c r="BQ329" s="486"/>
      <c r="BR329" s="510"/>
      <c r="BS329" s="486"/>
      <c r="BT329" s="510"/>
      <c r="BU329" s="486"/>
      <c r="BV329" s="510"/>
      <c r="BW329" s="486"/>
      <c r="BX329" s="510"/>
      <c r="BY329" s="486"/>
      <c r="BZ329" s="510"/>
      <c r="CA329" s="486"/>
      <c r="CB329" s="510"/>
      <c r="CC329" s="486"/>
      <c r="CD329" s="510"/>
      <c r="CE329" s="486"/>
      <c r="CF329" s="510"/>
      <c r="CG329" s="486"/>
      <c r="CH329" s="510"/>
      <c r="CI329" s="486"/>
      <c r="CJ329" s="510"/>
      <c r="CK329" s="486"/>
      <c r="CL329" s="510"/>
      <c r="CM329" s="486"/>
      <c r="CN329" s="510"/>
      <c r="CO329" s="486"/>
      <c r="CP329" s="510"/>
      <c r="CQ329" s="486"/>
      <c r="CR329" s="510"/>
      <c r="CS329" s="486"/>
      <c r="CT329" s="510"/>
      <c r="CU329" s="486"/>
      <c r="CV329" s="510"/>
      <c r="CW329" s="486"/>
      <c r="CX329" s="510"/>
      <c r="CY329" s="486"/>
      <c r="CZ329" s="510"/>
      <c r="DA329" s="486"/>
      <c r="DB329" s="510"/>
      <c r="DC329" s="486"/>
      <c r="DD329" s="510"/>
      <c r="DE329" s="486"/>
      <c r="DF329" s="510"/>
      <c r="DG329" s="486"/>
      <c r="DH329" s="510"/>
      <c r="DI329" s="486"/>
      <c r="DJ329" s="510"/>
      <c r="DK329" s="486"/>
      <c r="DL329" s="510"/>
      <c r="DM329" s="486"/>
      <c r="DN329" s="510"/>
      <c r="DO329" s="486"/>
      <c r="DP329" s="510"/>
      <c r="DQ329" s="486"/>
      <c r="DR329" s="510"/>
      <c r="DS329" s="486"/>
      <c r="DT329" s="510"/>
      <c r="DU329" s="486"/>
      <c r="DV329" s="510"/>
      <c r="DW329" s="486"/>
      <c r="DX329" s="510"/>
      <c r="DY329" s="486"/>
      <c r="DZ329" s="510"/>
      <c r="EA329" s="486"/>
      <c r="EB329" s="487"/>
      <c r="EC329" s="510"/>
      <c r="ED329" s="487"/>
      <c r="EE329" s="510"/>
      <c r="EF329" s="487"/>
      <c r="EG329" s="510"/>
      <c r="EH329" s="487"/>
      <c r="EI329" s="510"/>
      <c r="EJ329" s="486"/>
      <c r="EK329" s="510"/>
      <c r="EL329" s="486"/>
      <c r="EM329" s="510"/>
      <c r="EN329" s="486"/>
      <c r="EO329" s="510"/>
      <c r="EP329" s="486"/>
      <c r="EQ329" s="510"/>
      <c r="ER329" s="486"/>
      <c r="ES329" s="510"/>
      <c r="ET329" s="486"/>
      <c r="EU329" s="510"/>
      <c r="EV329" s="486"/>
      <c r="EW329" s="510"/>
      <c r="EX329" s="486"/>
      <c r="EY329" s="510"/>
      <c r="EZ329" s="486"/>
      <c r="FA329" s="510"/>
      <c r="FB329" s="486"/>
      <c r="FC329" s="510"/>
      <c r="FD329" s="486"/>
      <c r="FE329" s="510"/>
      <c r="FF329" s="486"/>
      <c r="FG329" s="510"/>
      <c r="FH329" s="486"/>
      <c r="FI329" s="510"/>
      <c r="FJ329" s="486"/>
      <c r="FK329" s="510"/>
      <c r="FL329" s="486"/>
      <c r="FM329" s="510"/>
      <c r="FN329" s="486"/>
      <c r="FO329" s="510"/>
      <c r="FP329" s="486"/>
      <c r="FQ329" s="510"/>
      <c r="FR329" s="486"/>
      <c r="FS329" s="486"/>
    </row>
    <row r="330" spans="1:176" ht="12.75" hidden="1" customHeight="1" outlineLevel="1" x14ac:dyDescent="0.2">
      <c r="A330" s="518" t="str">
        <f>INPUT!B265</f>
        <v>Beginning Assets</v>
      </c>
      <c r="B330" s="509"/>
      <c r="C330" s="508"/>
      <c r="D330" s="509"/>
      <c r="E330" s="508"/>
      <c r="F330" s="509"/>
      <c r="G330" s="508"/>
      <c r="H330" s="509"/>
      <c r="I330" s="508"/>
      <c r="J330" s="509"/>
      <c r="K330" s="508"/>
      <c r="L330" s="509"/>
      <c r="M330" s="508"/>
      <c r="N330" s="509"/>
      <c r="O330" s="508"/>
      <c r="P330" s="509"/>
      <c r="Q330" s="508"/>
      <c r="R330" s="509"/>
      <c r="S330" s="508"/>
      <c r="T330" s="509"/>
      <c r="U330" s="508"/>
      <c r="V330" s="509">
        <f>INPUT!AU265</f>
        <v>91.1</v>
      </c>
      <c r="W330" s="508" t="str">
        <f>INPUT!AV265</f>
        <v>NA</v>
      </c>
      <c r="X330" s="509">
        <f>INPUT!AW265</f>
        <v>95</v>
      </c>
      <c r="Y330" s="508" t="str">
        <f>INPUT!AX265</f>
        <v>NA</v>
      </c>
      <c r="Z330" s="509">
        <f>INPUT!AY265</f>
        <v>101.3</v>
      </c>
      <c r="AA330" s="155" t="str">
        <f>INPUT!AZ265</f>
        <v>NA</v>
      </c>
      <c r="AB330" s="509">
        <f>INPUT!BA265</f>
        <v>106.7</v>
      </c>
      <c r="AC330" s="155" t="str">
        <f>INPUT!BB265</f>
        <v>NA</v>
      </c>
      <c r="AD330" s="509">
        <f>INPUT!BC265</f>
        <v>107.1</v>
      </c>
      <c r="AE330" s="155">
        <f>INPUT!BD265</f>
        <v>17.563117453347971</v>
      </c>
      <c r="AF330" s="509">
        <f>INPUT!BE265</f>
        <v>115</v>
      </c>
      <c r="AG330" s="155">
        <f>INPUT!BF265</f>
        <v>21.05263157894737</v>
      </c>
      <c r="AH330" s="519">
        <f>INPUT!BG265</f>
        <v>122.89999999999999</v>
      </c>
      <c r="AI330" s="240">
        <f>INPUT!BH265</f>
        <v>21.322803553800583</v>
      </c>
      <c r="AJ330" s="519">
        <f>INPUT!BI265</f>
        <v>126.99999999999999</v>
      </c>
      <c r="AK330" s="240">
        <f>INPUT!BJ265</f>
        <v>19.025304592314882</v>
      </c>
      <c r="AL330" s="519">
        <f>INPUT!BK265</f>
        <v>132</v>
      </c>
      <c r="AM330" s="240">
        <f>INPUT!BL265</f>
        <v>23.249299719887958</v>
      </c>
      <c r="AN330" s="519">
        <f>INPUT!BM265</f>
        <v>135</v>
      </c>
      <c r="AO330" s="240">
        <f>INPUT!BN265</f>
        <v>17.391304347826093</v>
      </c>
      <c r="AP330" s="519">
        <f>INPUT!BO265</f>
        <v>141.69999999999999</v>
      </c>
      <c r="AQ330" s="240">
        <f>INPUT!BP265</f>
        <v>15.296989422294544</v>
      </c>
      <c r="AR330" s="519">
        <f>INPUT!BQ265</f>
        <v>140.09999999999997</v>
      </c>
      <c r="AS330" s="240">
        <f>INPUT!BR265</f>
        <v>10.314960629921259</v>
      </c>
      <c r="AT330" s="519">
        <f>INPUT!BS265</f>
        <v>145.79999999999998</v>
      </c>
      <c r="AU330" s="240">
        <f>INPUT!BT265</f>
        <v>10.454545454545453</v>
      </c>
      <c r="AV330" s="519">
        <f>INPUT!BU265</f>
        <v>138.59999999999997</v>
      </c>
      <c r="AW330" s="240">
        <f>INPUT!BV265</f>
        <v>2.666666666666643</v>
      </c>
      <c r="AX330" s="519">
        <f>INPUT!BW265</f>
        <v>128.49999999999997</v>
      </c>
      <c r="AY330" s="240">
        <f>INPUT!BX265</f>
        <v>-9.3154551870148339</v>
      </c>
      <c r="AZ330" s="519">
        <f>INPUT!BY265</f>
        <v>120.59999999999998</v>
      </c>
      <c r="BA330" s="240">
        <f>INPUT!BZ265</f>
        <v>-13.918629550321199</v>
      </c>
      <c r="BB330" s="519">
        <f>INPUT!CA265</f>
        <v>128.89999999999998</v>
      </c>
      <c r="BC330" s="240">
        <f>INPUT!CB265</f>
        <v>-11.591220850480113</v>
      </c>
      <c r="BD330" s="519">
        <f>INPUT!CC265</f>
        <v>143.57999999999998</v>
      </c>
      <c r="BE330" s="240">
        <f>INPUT!CD265</f>
        <v>3.593073593073612</v>
      </c>
      <c r="BF330" s="520">
        <f>INPUT!CE265</f>
        <v>151.88</v>
      </c>
      <c r="BG330" s="240">
        <f>INPUT!CF265</f>
        <v>18.1945525291829</v>
      </c>
      <c r="BH330" s="520">
        <f>INPUT!CG265</f>
        <v>156.88</v>
      </c>
      <c r="BI330" s="240">
        <f>INPUT!CH265</f>
        <v>30.082918739635176</v>
      </c>
      <c r="BJ330" s="520">
        <f>INPUT!CI265</f>
        <v>167.17999999999998</v>
      </c>
      <c r="BK330" s="240">
        <f>INPUT!CJ265</f>
        <v>29.69743987587276</v>
      </c>
      <c r="BL330" s="520">
        <f>INPUT!CK265</f>
        <v>183.98</v>
      </c>
      <c r="BM330" s="240">
        <f>INPUT!CL265</f>
        <v>28.137623624460247</v>
      </c>
      <c r="BN330" s="520">
        <f>INPUT!CM265</f>
        <v>200.1</v>
      </c>
      <c r="BO330" s="240">
        <f>INPUT!CN265</f>
        <v>31.748749012378198</v>
      </c>
      <c r="BP330" s="520">
        <f>INPUT!CO265</f>
        <v>211.9</v>
      </c>
      <c r="BQ330" s="240">
        <f>INPUT!CP265</f>
        <v>35.071392146863843</v>
      </c>
      <c r="BR330" s="520">
        <f>INPUT!CQ265</f>
        <v>221.6</v>
      </c>
      <c r="BS330" s="240">
        <f>INPUT!CR265</f>
        <v>32.551740638832428</v>
      </c>
      <c r="BT330" s="520">
        <f>INPUT!CS265</f>
        <v>224</v>
      </c>
      <c r="BU330" s="240">
        <f>INPUT!CT265</f>
        <v>21.752364387433417</v>
      </c>
      <c r="BV330" s="520">
        <f>INPUT!CU265</f>
        <v>234.20000000000005</v>
      </c>
      <c r="BW330" s="240">
        <f>INPUT!CV265</f>
        <v>17.041479260369854</v>
      </c>
      <c r="BX330" s="520">
        <f>INPUT!CW265</f>
        <v>247.50000000000003</v>
      </c>
      <c r="BY330" s="240">
        <f>INPUT!CX265</f>
        <v>16.800377536573862</v>
      </c>
      <c r="BZ330" s="520">
        <f>INPUT!CY265</f>
        <v>251.40000000000003</v>
      </c>
      <c r="CA330" s="240">
        <f>INPUT!CZ265</f>
        <v>13.447653429602894</v>
      </c>
      <c r="CB330" s="520">
        <f>INPUT!DA265</f>
        <v>263.8</v>
      </c>
      <c r="CC330" s="240">
        <f>INPUT!DB265</f>
        <v>17.767857142857153</v>
      </c>
      <c r="CD330" s="520">
        <f>INPUT!DC265</f>
        <v>274.60000000000008</v>
      </c>
      <c r="CE330" s="240">
        <f>INPUT!DD265</f>
        <v>17.250213492741253</v>
      </c>
      <c r="CF330" s="520">
        <f>INPUT!DE265</f>
        <v>282.90000000000003</v>
      </c>
      <c r="CG330" s="240">
        <f>INPUT!DF265</f>
        <v>14.303030303030312</v>
      </c>
      <c r="CH330" s="520">
        <f>INPUT!DG265</f>
        <v>279.60000000000002</v>
      </c>
      <c r="CI330" s="240">
        <f>INPUT!DH265</f>
        <v>11.217183770883054</v>
      </c>
      <c r="CJ330" s="520">
        <f>INPUT!DI265</f>
        <v>290.00000000000006</v>
      </c>
      <c r="CK330" s="240">
        <f>INPUT!DJ265</f>
        <v>9.9317664897649962</v>
      </c>
      <c r="CL330" s="520">
        <f>INPUT!DK265</f>
        <v>300.50000000000006</v>
      </c>
      <c r="CM330" s="240">
        <f>INPUT!DL265</f>
        <v>9.4319009468317461</v>
      </c>
      <c r="CN330" s="520">
        <f>INPUT!DM265</f>
        <v>310.40000000000003</v>
      </c>
      <c r="CO330" s="240">
        <f>INPUT!DN265</f>
        <v>9.7207493814068613</v>
      </c>
      <c r="CP330" s="520">
        <f>INPUT!DO265</f>
        <v>323.50000000000006</v>
      </c>
      <c r="CQ330" s="240">
        <f>INPUT!DP265</f>
        <v>15.701001430615165</v>
      </c>
      <c r="CR330" s="520">
        <f>INPUT!DQ265</f>
        <v>320.7000000000001</v>
      </c>
      <c r="CS330" s="240">
        <f>INPUT!DR265</f>
        <v>10.586206896551744</v>
      </c>
      <c r="CT330" s="520">
        <f>INPUT!DS265</f>
        <v>323.60000000000014</v>
      </c>
      <c r="CU330" s="240">
        <f>INPUT!DT265</f>
        <v>7.6871880199667544</v>
      </c>
      <c r="CV330" s="520">
        <f>INPUT!DU265</f>
        <v>334.10000000000014</v>
      </c>
      <c r="CW330" s="240">
        <f>INPUT!DV265</f>
        <v>7.6353092783505474</v>
      </c>
      <c r="CX330" s="520">
        <f>INPUT!DW265</f>
        <v>335.90000000000015</v>
      </c>
      <c r="CY330" s="240">
        <f>INPUT!DX265</f>
        <v>3.8330757341576742</v>
      </c>
      <c r="CZ330" s="520">
        <f>INPUT!DY265</f>
        <v>338.60000000000014</v>
      </c>
      <c r="DA330" s="240">
        <f>INPUT!DZ265</f>
        <v>5.5815403804178487</v>
      </c>
      <c r="DB330" s="520">
        <f>INPUT!EA265</f>
        <v>347.10000000000014</v>
      </c>
      <c r="DC330" s="240">
        <f>INPUT!EB265</f>
        <v>7.2620519159456052</v>
      </c>
      <c r="DD330" s="520">
        <f>INPUT!EC265</f>
        <v>359.30000000000013</v>
      </c>
      <c r="DE330" s="240">
        <f>INPUT!ED265</f>
        <v>7.5426519006285559</v>
      </c>
      <c r="DF330" s="520">
        <f>INPUT!EE265</f>
        <v>373.40000000000015</v>
      </c>
      <c r="DG330" s="240">
        <f>INPUT!EF265</f>
        <v>11.164036915748724</v>
      </c>
      <c r="DH330" s="520">
        <f>INPUT!EG265</f>
        <v>398.90000000000009</v>
      </c>
      <c r="DI330" s="240">
        <f>INPUT!EH265</f>
        <v>17.808623744831635</v>
      </c>
      <c r="DJ330" s="520">
        <f>INPUT!EI265</f>
        <v>386.40000000000009</v>
      </c>
      <c r="DK330" s="240">
        <f>INPUT!EJ265</f>
        <v>11.322385479688819</v>
      </c>
      <c r="DL330" s="520">
        <f>INPUT!EK265</f>
        <v>399.10000000000014</v>
      </c>
      <c r="DM330" s="240">
        <f>INPUT!EL265</f>
        <v>11.07709435012525</v>
      </c>
      <c r="DN330" s="520">
        <f>INPUT!EM265</f>
        <v>414.60000000000014</v>
      </c>
      <c r="DO330" s="240">
        <f>INPUT!EN265</f>
        <v>11.033743974290289</v>
      </c>
      <c r="DP330" s="520">
        <f>INPUT!EO265</f>
        <v>431.00000000000017</v>
      </c>
      <c r="DQ330" s="240">
        <f>INPUT!EP265</f>
        <v>8.0471296064176698</v>
      </c>
      <c r="DR330" s="520">
        <f>INPUT!EQ265</f>
        <v>437.90000000000015</v>
      </c>
      <c r="DS330" s="240">
        <f>INPUT!ER265</f>
        <v>13.3281573498965</v>
      </c>
      <c r="DT330" s="520">
        <f>INPUT!ES265</f>
        <v>437.56485000000015</v>
      </c>
      <c r="DU330" s="240">
        <f>INPUT!ET265</f>
        <v>9.6378977699824446</v>
      </c>
      <c r="DV330" s="520">
        <f>INPUT!EU265</f>
        <v>444.57412087500018</v>
      </c>
      <c r="DW330" s="240">
        <f>INPUT!EV265</f>
        <v>7.2296480643994272</v>
      </c>
      <c r="DX330" s="520">
        <f>INPUT!EW265</f>
        <v>451.76277275531265</v>
      </c>
      <c r="DY330" s="240">
        <f>INPUT!EX265</f>
        <v>4.8173486671258701</v>
      </c>
      <c r="DZ330" s="520"/>
      <c r="EA330" s="240"/>
      <c r="EB330" s="508"/>
      <c r="EC330" s="509"/>
      <c r="ED330" s="508"/>
      <c r="EE330" s="509"/>
      <c r="EF330" s="508"/>
      <c r="EG330" s="509"/>
      <c r="EH330" s="508"/>
      <c r="EI330" s="509">
        <f>INPUT!FP265</f>
        <v>91.1</v>
      </c>
      <c r="EJ330" s="240">
        <f>INPUT!FQ265</f>
        <v>0</v>
      </c>
      <c r="EK330" s="519">
        <f>INPUT!FR265</f>
        <v>101.3</v>
      </c>
      <c r="EL330" s="240">
        <f>INPUT!FS265</f>
        <v>11.196487376509339</v>
      </c>
      <c r="EM330" s="519">
        <f>INPUT!FT265</f>
        <v>122.89999999999999</v>
      </c>
      <c r="EN330" s="240">
        <f>INPUT!FU265</f>
        <v>21.322803553800583</v>
      </c>
      <c r="EO330" s="519">
        <f>INPUT!FV265</f>
        <v>141.69999999999999</v>
      </c>
      <c r="EP330" s="240">
        <f>INPUT!FW265</f>
        <v>15.296989422294544</v>
      </c>
      <c r="EQ330" s="520">
        <f>INPUT!FX265</f>
        <v>128.5</v>
      </c>
      <c r="ER330" s="240">
        <f>INPUT!FY265</f>
        <v>-9.3154551870148055</v>
      </c>
      <c r="ES330" s="520">
        <f>INPUT!FZ265</f>
        <v>151.88000000000002</v>
      </c>
      <c r="ET330" s="240">
        <f>INPUT!GA265</f>
        <v>18.1945525291829</v>
      </c>
      <c r="EU330" s="520">
        <f>INPUT!GB265</f>
        <v>200.1</v>
      </c>
      <c r="EV330" s="240">
        <f>INPUT!GC265</f>
        <v>31.74874901237817</v>
      </c>
      <c r="EW330" s="520">
        <f>INPUT!GD265</f>
        <v>234.20000000000002</v>
      </c>
      <c r="EX330" s="240">
        <f>INPUT!GE265</f>
        <v>17.041479260369826</v>
      </c>
      <c r="EY330" s="520">
        <f>INPUT!GF265</f>
        <v>274.60000000000002</v>
      </c>
      <c r="EZ330" s="240">
        <f>INPUT!GG265</f>
        <v>17.250213492741253</v>
      </c>
      <c r="FA330" s="520">
        <f>INPUT!GH265</f>
        <v>300.50000000000006</v>
      </c>
      <c r="FB330" s="240">
        <f>INPUT!GI265</f>
        <v>9.4319009468317745</v>
      </c>
      <c r="FC330" s="520">
        <f>INPUT!GJ265</f>
        <v>323.60000000000008</v>
      </c>
      <c r="FD330" s="240">
        <f>INPUT!GK265</f>
        <v>7.687188019966726</v>
      </c>
      <c r="FE330" s="520">
        <f>INPUT!GL265</f>
        <v>347.10000000000014</v>
      </c>
      <c r="FF330" s="240">
        <f>INPUT!GM265</f>
        <v>7.2620519159456194</v>
      </c>
      <c r="FG330" s="520">
        <f>INPUT!GN265</f>
        <v>386.40000000000009</v>
      </c>
      <c r="FH330" s="240">
        <f>INPUT!GO265</f>
        <v>11.322385479688819</v>
      </c>
      <c r="FI330" s="520">
        <f>INPUT!GP265</f>
        <v>437.90000000000009</v>
      </c>
      <c r="FJ330" s="240">
        <f>INPUT!GQ265</f>
        <v>13.328157349896472</v>
      </c>
      <c r="FK330" s="520">
        <f>INPUT!GR265</f>
        <v>459.13351136031804</v>
      </c>
      <c r="FL330" s="240">
        <f>INPUT!GS265</f>
        <v>4.8489407079968032</v>
      </c>
      <c r="FM330" s="520">
        <f>INPUT!GT265</f>
        <v>489.31488025387921</v>
      </c>
      <c r="FN330" s="240">
        <f>INPUT!GU265</f>
        <v>6.5735495551479062</v>
      </c>
      <c r="FO330" s="520">
        <f>INPUT!GV265</f>
        <v>521.0661807686447</v>
      </c>
      <c r="FP330" s="240">
        <f>INPUT!GW265</f>
        <v>6.4889300930908576</v>
      </c>
      <c r="FQ330" s="520">
        <f>INPUT!GX265</f>
        <v>554.5036556123689</v>
      </c>
      <c r="FR330" s="240">
        <f>INPUT!GY265</f>
        <v>6.4171262841121717</v>
      </c>
      <c r="FS330" s="240">
        <f>INPUT!GZ265</f>
        <v>7.4913356161385281</v>
      </c>
    </row>
    <row r="331" spans="1:176" ht="12.75" hidden="1" customHeight="1" outlineLevel="1" x14ac:dyDescent="0.2">
      <c r="A331" s="518" t="str">
        <f>INPUT!B266</f>
        <v xml:space="preserve">  Deposits</v>
      </c>
      <c r="B331" s="509"/>
      <c r="C331" s="508"/>
      <c r="D331" s="509"/>
      <c r="E331" s="508"/>
      <c r="F331" s="509"/>
      <c r="G331" s="508"/>
      <c r="H331" s="509"/>
      <c r="I331" s="508"/>
      <c r="J331" s="509"/>
      <c r="K331" s="508"/>
      <c r="L331" s="509"/>
      <c r="M331" s="508"/>
      <c r="N331" s="509"/>
      <c r="O331" s="508"/>
      <c r="P331" s="509"/>
      <c r="Q331" s="508"/>
      <c r="R331" s="509"/>
      <c r="S331" s="508"/>
      <c r="T331" s="509"/>
      <c r="U331" s="508"/>
      <c r="V331" s="509">
        <f>INPUT!AU266</f>
        <v>7.1</v>
      </c>
      <c r="W331" s="508" t="str">
        <f>INPUT!AV266</f>
        <v>NA</v>
      </c>
      <c r="X331" s="509">
        <f>INPUT!AW266</f>
        <v>7.3</v>
      </c>
      <c r="Y331" s="508" t="str">
        <f>INPUT!AX266</f>
        <v>NA</v>
      </c>
      <c r="Z331" s="509">
        <f>INPUT!AY266</f>
        <v>7.3</v>
      </c>
      <c r="AA331" s="155" t="str">
        <f>INPUT!AZ266</f>
        <v>NA</v>
      </c>
      <c r="AB331" s="509">
        <f>INPUT!BA266</f>
        <v>5.3</v>
      </c>
      <c r="AC331" s="155" t="str">
        <f>INPUT!BB266</f>
        <v>NA</v>
      </c>
      <c r="AD331" s="509">
        <f>INPUT!BC266</f>
        <v>6.8</v>
      </c>
      <c r="AE331" s="155">
        <f>INPUT!BD266</f>
        <v>-4.2253521126760489</v>
      </c>
      <c r="AF331" s="509">
        <f>INPUT!BE266</f>
        <v>8.3000000000000007</v>
      </c>
      <c r="AG331" s="155">
        <f>INPUT!BF266</f>
        <v>13.69863013698631</v>
      </c>
      <c r="AH331" s="519">
        <f>INPUT!BG266</f>
        <v>5.9</v>
      </c>
      <c r="AI331" s="240">
        <f>INPUT!BH266</f>
        <v>-19.178082191780817</v>
      </c>
      <c r="AJ331" s="519">
        <f>INPUT!BI266</f>
        <v>9.9</v>
      </c>
      <c r="AK331" s="240">
        <f>INPUT!BJ266</f>
        <v>86.792452830188694</v>
      </c>
      <c r="AL331" s="519">
        <f>INPUT!BK266</f>
        <v>5.4</v>
      </c>
      <c r="AM331" s="240">
        <f>INPUT!BL266</f>
        <v>-20.588235294117638</v>
      </c>
      <c r="AN331" s="519">
        <f>INPUT!BM266</f>
        <v>11.1</v>
      </c>
      <c r="AO331" s="240">
        <f>INPUT!BN266</f>
        <v>33.734939759036109</v>
      </c>
      <c r="AP331" s="519">
        <f>INPUT!BO266</f>
        <v>6.5</v>
      </c>
      <c r="AQ331" s="240">
        <f>INPUT!BP266</f>
        <v>10.169491525423723</v>
      </c>
      <c r="AR331" s="519">
        <f>INPUT!BQ266</f>
        <v>10.9</v>
      </c>
      <c r="AS331" s="240">
        <f>INPUT!BR266</f>
        <v>10.101010101010104</v>
      </c>
      <c r="AT331" s="519">
        <f>INPUT!BS266</f>
        <v>6.3</v>
      </c>
      <c r="AU331" s="240">
        <f>INPUT!BT266</f>
        <v>16.666666666666657</v>
      </c>
      <c r="AV331" s="519">
        <f>INPUT!BU266</f>
        <v>6.1</v>
      </c>
      <c r="AW331" s="240">
        <f>INPUT!BV266</f>
        <v>-45.04504504504505</v>
      </c>
      <c r="AX331" s="519">
        <f>INPUT!BW266</f>
        <v>4.9000000000000004</v>
      </c>
      <c r="AY331" s="240">
        <f>INPUT!BX266</f>
        <v>-24.615384615384599</v>
      </c>
      <c r="AZ331" s="519">
        <f>INPUT!BY266</f>
        <v>7.7</v>
      </c>
      <c r="BA331" s="240">
        <f>INPUT!BZ266</f>
        <v>-29.357798165137609</v>
      </c>
      <c r="BB331" s="519">
        <f>INPUT!CA266</f>
        <v>10.4</v>
      </c>
      <c r="BC331" s="240">
        <f>INPUT!CB266</f>
        <v>65.07936507936509</v>
      </c>
      <c r="BD331" s="519">
        <f>INPUT!CC266</f>
        <v>10.8</v>
      </c>
      <c r="BE331" s="240">
        <f>INPUT!CD266</f>
        <v>77.049180327868868</v>
      </c>
      <c r="BF331" s="520">
        <f>INPUT!CE266</f>
        <v>7.7</v>
      </c>
      <c r="BG331" s="240">
        <f>INPUT!CF266</f>
        <v>57.142857142857139</v>
      </c>
      <c r="BH331" s="520">
        <f>INPUT!CG266</f>
        <v>15.2</v>
      </c>
      <c r="BI331" s="240">
        <f>INPUT!CH266</f>
        <v>97.402597402597394</v>
      </c>
      <c r="BJ331" s="520">
        <f>INPUT!CI266</f>
        <v>11</v>
      </c>
      <c r="BK331" s="240">
        <f>INPUT!CJ266</f>
        <v>5.7692307692307736</v>
      </c>
      <c r="BL331" s="520">
        <f>INPUT!CK266</f>
        <v>16.600000000000001</v>
      </c>
      <c r="BM331" s="240">
        <f>INPUT!CL266</f>
        <v>53.703703703703695</v>
      </c>
      <c r="BN331" s="520">
        <f>INPUT!CM266</f>
        <v>13</v>
      </c>
      <c r="BO331" s="240">
        <f>INPUT!CN266</f>
        <v>68.83116883116881</v>
      </c>
      <c r="BP331" s="520">
        <f>INPUT!CO266</f>
        <v>11.1</v>
      </c>
      <c r="BQ331" s="240">
        <f>INPUT!CP266</f>
        <v>-26.973684210526315</v>
      </c>
      <c r="BR331" s="520">
        <f>INPUT!CQ266</f>
        <v>11</v>
      </c>
      <c r="BS331" s="240">
        <f>INPUT!CR266</f>
        <v>0</v>
      </c>
      <c r="BT331" s="520">
        <f>INPUT!CS266</f>
        <v>14.3</v>
      </c>
      <c r="BU331" s="240">
        <f>INPUT!CT266</f>
        <v>-13.855421686746993</v>
      </c>
      <c r="BV331" s="520">
        <f>INPUT!CU266</f>
        <v>14.1</v>
      </c>
      <c r="BW331" s="240">
        <f>INPUT!CV266</f>
        <v>8.4615384615384528</v>
      </c>
      <c r="BX331" s="520">
        <f>INPUT!CW266</f>
        <v>11.2</v>
      </c>
      <c r="BY331" s="240">
        <f>INPUT!CX266</f>
        <v>0.90090090090089348</v>
      </c>
      <c r="BZ331" s="520">
        <f>INPUT!CY266</f>
        <v>12.7</v>
      </c>
      <c r="CA331" s="240">
        <f>INPUT!CZ266</f>
        <v>15.454545454545453</v>
      </c>
      <c r="CB331" s="520">
        <f>INPUT!DA266</f>
        <v>20.8</v>
      </c>
      <c r="CC331" s="240">
        <f>INPUT!DB266</f>
        <v>45.454545454545467</v>
      </c>
      <c r="CD331" s="520">
        <f>INPUT!DC266</f>
        <v>14.4</v>
      </c>
      <c r="CE331" s="240">
        <f>INPUT!DD266</f>
        <v>2.1276595744680975</v>
      </c>
      <c r="CF331" s="520">
        <f>INPUT!DE266</f>
        <v>14.8</v>
      </c>
      <c r="CG331" s="240">
        <f>INPUT!DF266</f>
        <v>32.142857142857167</v>
      </c>
      <c r="CH331" s="520">
        <f>INPUT!DG266</f>
        <v>14.1</v>
      </c>
      <c r="CI331" s="240">
        <f>INPUT!DH266</f>
        <v>11.023622047244103</v>
      </c>
      <c r="CJ331" s="520">
        <f>INPUT!DI266</f>
        <v>13.8</v>
      </c>
      <c r="CK331" s="240">
        <f>INPUT!DJ266</f>
        <v>-33.65384615384616</v>
      </c>
      <c r="CL331" s="520">
        <f>INPUT!DK266</f>
        <v>10.9</v>
      </c>
      <c r="CM331" s="240">
        <f>INPUT!DL266</f>
        <v>-24.305555555555557</v>
      </c>
      <c r="CN331" s="520">
        <f>INPUT!DM266</f>
        <v>10.5</v>
      </c>
      <c r="CO331" s="240">
        <f>INPUT!DN266</f>
        <v>-29.054054054054063</v>
      </c>
      <c r="CP331" s="520">
        <f>INPUT!DO266</f>
        <v>10</v>
      </c>
      <c r="CQ331" s="240">
        <f>INPUT!DP266</f>
        <v>-29.078014184397162</v>
      </c>
      <c r="CR331" s="520">
        <f>INPUT!DQ266</f>
        <v>10.9</v>
      </c>
      <c r="CS331" s="240">
        <f>INPUT!DR266</f>
        <v>-21.014492753623188</v>
      </c>
      <c r="CT331" s="520">
        <f>INPUT!DS266</f>
        <v>16.8</v>
      </c>
      <c r="CU331" s="240">
        <f>INPUT!DT266</f>
        <v>54.128440366972484</v>
      </c>
      <c r="CV331" s="520">
        <f>INPUT!DU266</f>
        <v>18.3</v>
      </c>
      <c r="CW331" s="240">
        <f>INPUT!DV266</f>
        <v>74.285714285714278</v>
      </c>
      <c r="CX331" s="520">
        <f>INPUT!DW266</f>
        <v>15.5</v>
      </c>
      <c r="CY331" s="240">
        <f>INPUT!DX266</f>
        <v>55</v>
      </c>
      <c r="CZ331" s="520">
        <f>INPUT!DY266</f>
        <v>16.3</v>
      </c>
      <c r="DA331" s="240">
        <f>INPUT!DZ266</f>
        <v>49.541284403669721</v>
      </c>
      <c r="DB331" s="520">
        <f>INPUT!EA266</f>
        <v>12.5</v>
      </c>
      <c r="DC331" s="240">
        <f>INPUT!EB266</f>
        <v>-25.595238095238088</v>
      </c>
      <c r="DD331" s="520">
        <f>INPUT!EC266</f>
        <v>14.8</v>
      </c>
      <c r="DE331" s="240">
        <f>INPUT!ED266</f>
        <v>-19.125683060109282</v>
      </c>
      <c r="DF331" s="520">
        <f>INPUT!EE266</f>
        <v>16.399999999999999</v>
      </c>
      <c r="DG331" s="240">
        <f>INPUT!EF266</f>
        <v>5.8064516129032029</v>
      </c>
      <c r="DH331" s="520">
        <f>INPUT!EG266</f>
        <v>15.7</v>
      </c>
      <c r="DI331" s="240">
        <f>INPUT!EH266</f>
        <v>-3.6809815950920353</v>
      </c>
      <c r="DJ331" s="520">
        <f>INPUT!EI266</f>
        <v>15.9</v>
      </c>
      <c r="DK331" s="240">
        <f>INPUT!EJ266</f>
        <v>27.200000000000003</v>
      </c>
      <c r="DL331" s="520">
        <f>INPUT!EK266</f>
        <v>17.2</v>
      </c>
      <c r="DM331" s="240">
        <f>INPUT!EL266</f>
        <v>16.21621621621621</v>
      </c>
      <c r="DN331" s="520">
        <f>INPUT!EM266</f>
        <v>15.9</v>
      </c>
      <c r="DO331" s="240">
        <f>INPUT!EN266</f>
        <v>-3.0487804878048763</v>
      </c>
      <c r="DP331" s="520">
        <f>INPUT!EO266</f>
        <v>16.2</v>
      </c>
      <c r="DQ331" s="240">
        <f>INPUT!EP266</f>
        <v>3.1847133757961785</v>
      </c>
      <c r="DR331" s="520">
        <f>INPUT!EQ266</f>
        <v>16.524000000000001</v>
      </c>
      <c r="DS331" s="240">
        <f>INPUT!ER266</f>
        <v>3.9245283018867809</v>
      </c>
      <c r="DT331" s="520">
        <f>INPUT!ES266</f>
        <v>16.854480000000002</v>
      </c>
      <c r="DU331" s="240">
        <f>INPUT!ET266</f>
        <v>-2.0088372093022997</v>
      </c>
      <c r="DV331" s="520">
        <f>INPUT!EU266</f>
        <v>17.191569600000001</v>
      </c>
      <c r="DW331" s="240">
        <f>INPUT!EV266</f>
        <v>8.1230792452830087</v>
      </c>
      <c r="DX331" s="520">
        <f>INPUT!EW266</f>
        <v>17.535400992000003</v>
      </c>
      <c r="DY331" s="240">
        <f>INPUT!EX266</f>
        <v>8.2432160000000181</v>
      </c>
      <c r="DZ331" s="520"/>
      <c r="EA331" s="240"/>
      <c r="EB331" s="508"/>
      <c r="EC331" s="509"/>
      <c r="ED331" s="508"/>
      <c r="EE331" s="509"/>
      <c r="EF331" s="508"/>
      <c r="EG331" s="509"/>
      <c r="EH331" s="508"/>
      <c r="EI331" s="509">
        <f>INPUT!FP266</f>
        <v>14.399999999999999</v>
      </c>
      <c r="EJ331" s="240">
        <f>INPUT!FQ266</f>
        <v>0</v>
      </c>
      <c r="EK331" s="519">
        <f>INPUT!FR266</f>
        <v>27.7</v>
      </c>
      <c r="EL331" s="240">
        <f>INPUT!FS266</f>
        <v>92.361111111111114</v>
      </c>
      <c r="EM331" s="519">
        <f>INPUT!FT266</f>
        <v>32.300000000000004</v>
      </c>
      <c r="EN331" s="240">
        <f>INPUT!FU266</f>
        <v>16.606498194945857</v>
      </c>
      <c r="EO331" s="519">
        <f>INPUT!FV266</f>
        <v>29.799999999999997</v>
      </c>
      <c r="EP331" s="240">
        <f>INPUT!FW266</f>
        <v>-7.7399380804953779</v>
      </c>
      <c r="EQ331" s="520">
        <f>INPUT!FX266</f>
        <v>33.799999999999997</v>
      </c>
      <c r="ER331" s="240">
        <f>INPUT!FY266</f>
        <v>13.422818791946312</v>
      </c>
      <c r="ES331" s="520">
        <f>INPUT!FZ266</f>
        <v>50.5</v>
      </c>
      <c r="ET331" s="240">
        <f>INPUT!GA266</f>
        <v>49.408284023668671</v>
      </c>
      <c r="EU331" s="520">
        <f>INPUT!GB266</f>
        <v>49.400000000000006</v>
      </c>
      <c r="EV331" s="240">
        <f>INPUT!GC266</f>
        <v>-2.1782178217821695</v>
      </c>
      <c r="EW331" s="520">
        <f>INPUT!GD266</f>
        <v>58.8</v>
      </c>
      <c r="EX331" s="240">
        <f>INPUT!GE266</f>
        <v>19.028340080971645</v>
      </c>
      <c r="EY331" s="520">
        <f>INPUT!GF266</f>
        <v>57.100000000000009</v>
      </c>
      <c r="EZ331" s="240">
        <f>INPUT!GG266</f>
        <v>-2.8911564625850161</v>
      </c>
      <c r="FA331" s="520">
        <f>INPUT!GH266</f>
        <v>42.3</v>
      </c>
      <c r="FB331" s="240">
        <f>INPUT!GI266</f>
        <v>-25.919439579684777</v>
      </c>
      <c r="FC331" s="520">
        <f>INPUT!GJ266</f>
        <v>66.900000000000006</v>
      </c>
      <c r="FD331" s="240">
        <f>INPUT!GK266</f>
        <v>58.156028368794352</v>
      </c>
      <c r="FE331" s="520">
        <f>INPUT!GL266</f>
        <v>59.400000000000006</v>
      </c>
      <c r="FF331" s="240">
        <f>INPUT!GM266</f>
        <v>-11.210762331838566</v>
      </c>
      <c r="FG331" s="520">
        <f>INPUT!GN266</f>
        <v>65.2</v>
      </c>
      <c r="FH331" s="240">
        <f>INPUT!GO266</f>
        <v>9.7643097643097576</v>
      </c>
      <c r="FI331" s="520">
        <f>INPUT!GP266</f>
        <v>68.105450592000011</v>
      </c>
      <c r="FJ331" s="240">
        <f>INPUT!GQ266</f>
        <v>4.4562125644171999</v>
      </c>
      <c r="FK331" s="520">
        <f>INPUT!GR266</f>
        <v>72.191777627520011</v>
      </c>
      <c r="FL331" s="240">
        <f>INPUT!GS266</f>
        <v>6</v>
      </c>
      <c r="FM331" s="520">
        <f>INPUT!GT266</f>
        <v>76.523284285171215</v>
      </c>
      <c r="FN331" s="240">
        <f>INPUT!GU266</f>
        <v>6</v>
      </c>
      <c r="FO331" s="520">
        <f>INPUT!GV266</f>
        <v>81.114681342281486</v>
      </c>
      <c r="FP331" s="240">
        <f>INPUT!GW266</f>
        <v>6</v>
      </c>
      <c r="FQ331" s="520">
        <f>INPUT!GX266</f>
        <v>85.981562222818383</v>
      </c>
      <c r="FR331" s="240">
        <f>INPUT!GY266</f>
        <v>6</v>
      </c>
      <c r="FS331" s="240">
        <f>INPUT!GZ266</f>
        <v>5.6894279314195551</v>
      </c>
    </row>
    <row r="332" spans="1:176" ht="12.75" hidden="1" customHeight="1" outlineLevel="1" x14ac:dyDescent="0.2">
      <c r="A332" s="518" t="str">
        <f>INPUT!B267</f>
        <v xml:space="preserve">  Withdrawals</v>
      </c>
      <c r="B332" s="509"/>
      <c r="C332" s="508"/>
      <c r="D332" s="509"/>
      <c r="E332" s="508"/>
      <c r="F332" s="509"/>
      <c r="G332" s="508"/>
      <c r="H332" s="509"/>
      <c r="I332" s="508"/>
      <c r="J332" s="509"/>
      <c r="K332" s="508"/>
      <c r="L332" s="509"/>
      <c r="M332" s="508"/>
      <c r="N332" s="509"/>
      <c r="O332" s="508"/>
      <c r="P332" s="509"/>
      <c r="Q332" s="508"/>
      <c r="R332" s="509"/>
      <c r="S332" s="508"/>
      <c r="T332" s="509"/>
      <c r="U332" s="508"/>
      <c r="V332" s="509">
        <f>INPUT!AU267</f>
        <v>-5.0999999999999996</v>
      </c>
      <c r="W332" s="508" t="str">
        <f>INPUT!AV267</f>
        <v>NA</v>
      </c>
      <c r="X332" s="509">
        <f>INPUT!AW267</f>
        <v>-3.1</v>
      </c>
      <c r="Y332" s="508" t="str">
        <f>INPUT!AX267</f>
        <v>NA</v>
      </c>
      <c r="Z332" s="509">
        <f>INPUT!AY267</f>
        <v>-4</v>
      </c>
      <c r="AA332" s="155" t="str">
        <f>INPUT!AZ267</f>
        <v>NA</v>
      </c>
      <c r="AB332" s="509">
        <f>INPUT!BA267</f>
        <v>-4.4000000000000004</v>
      </c>
      <c r="AC332" s="155" t="str">
        <f>INPUT!BB267</f>
        <v>NA</v>
      </c>
      <c r="AD332" s="509">
        <f>INPUT!BC267</f>
        <v>-3.6</v>
      </c>
      <c r="AE332" s="155">
        <f>INPUT!BD267</f>
        <v>-29.411764705882348</v>
      </c>
      <c r="AF332" s="509">
        <f>INPUT!BE267</f>
        <v>-4.9000000000000004</v>
      </c>
      <c r="AG332" s="155">
        <f>INPUT!BF267</f>
        <v>58.064516129032285</v>
      </c>
      <c r="AH332" s="519">
        <f>INPUT!BG267</f>
        <v>-4.7</v>
      </c>
      <c r="AI332" s="240">
        <f>INPUT!BH267</f>
        <v>17.5</v>
      </c>
      <c r="AJ332" s="519">
        <f>INPUT!BI267</f>
        <v>-8.1999999999999993</v>
      </c>
      <c r="AK332" s="240">
        <f>INPUT!BJ267</f>
        <v>86.363636363636317</v>
      </c>
      <c r="AL332" s="519">
        <f>INPUT!BK267</f>
        <v>-6</v>
      </c>
      <c r="AM332" s="240">
        <f>INPUT!BL267</f>
        <v>66.666666666666657</v>
      </c>
      <c r="AN332" s="519">
        <f>INPUT!BM267</f>
        <v>-6.4</v>
      </c>
      <c r="AO332" s="240">
        <f>INPUT!BN267</f>
        <v>30.612244897959187</v>
      </c>
      <c r="AP332" s="519">
        <f>INPUT!BO267</f>
        <v>-4.3</v>
      </c>
      <c r="AQ332" s="240">
        <f>INPUT!BP267</f>
        <v>-8.5106382978723474</v>
      </c>
      <c r="AR332" s="519">
        <f>INPUT!BQ267</f>
        <v>-4.5999999999999996</v>
      </c>
      <c r="AS332" s="240">
        <f>INPUT!BR267</f>
        <v>-43.90243902439024</v>
      </c>
      <c r="AT332" s="519">
        <f>INPUT!BS267</f>
        <v>-4.8</v>
      </c>
      <c r="AU332" s="240">
        <f>INPUT!BT267</f>
        <v>-20</v>
      </c>
      <c r="AV332" s="519">
        <f>INPUT!BU267</f>
        <v>-5.9</v>
      </c>
      <c r="AW332" s="240">
        <f>INPUT!BV267</f>
        <v>-7.8125</v>
      </c>
      <c r="AX332" s="519">
        <f>INPUT!BW267</f>
        <v>-4.5999999999999996</v>
      </c>
      <c r="AY332" s="240">
        <f>INPUT!BX267</f>
        <v>6.9767441860465027</v>
      </c>
      <c r="AZ332" s="519">
        <f>INPUT!BY267</f>
        <v>-6.5</v>
      </c>
      <c r="BA332" s="240">
        <f>INPUT!BZ267</f>
        <v>41.304347826086968</v>
      </c>
      <c r="BB332" s="519">
        <f>INPUT!CA267</f>
        <v>-5.6</v>
      </c>
      <c r="BC332" s="240">
        <f>INPUT!CB267</f>
        <v>16.666666666666671</v>
      </c>
      <c r="BD332" s="519">
        <f>INPUT!CC267</f>
        <v>-4.5</v>
      </c>
      <c r="BE332" s="240">
        <f>INPUT!CD267</f>
        <v>-23.728813559322035</v>
      </c>
      <c r="BF332" s="520">
        <f>INPUT!CE267</f>
        <v>-5.7</v>
      </c>
      <c r="BG332" s="240">
        <f>INPUT!CF267</f>
        <v>23.913043478260889</v>
      </c>
      <c r="BH332" s="520">
        <f>INPUT!CG267</f>
        <v>-4.3</v>
      </c>
      <c r="BI332" s="240">
        <f>INPUT!CH267</f>
        <v>-33.846153846153854</v>
      </c>
      <c r="BJ332" s="520">
        <f>INPUT!CI267</f>
        <v>-5.2</v>
      </c>
      <c r="BK332" s="240">
        <f>INPUT!CJ267</f>
        <v>-7.1428571428571246</v>
      </c>
      <c r="BL332" s="520">
        <f>INPUT!CK267</f>
        <v>-6.7</v>
      </c>
      <c r="BM332" s="240">
        <f>INPUT!CL267</f>
        <v>48.888888888888886</v>
      </c>
      <c r="BN332" s="520">
        <f>INPUT!CM267</f>
        <v>-6.9</v>
      </c>
      <c r="BO332" s="240">
        <f>INPUT!CN267</f>
        <v>21.05263157894737</v>
      </c>
      <c r="BP332" s="520">
        <f>INPUT!CO267</f>
        <v>-6.2</v>
      </c>
      <c r="BQ332" s="240">
        <f>INPUT!CP267</f>
        <v>44.186046511627922</v>
      </c>
      <c r="BR332" s="520">
        <f>INPUT!CQ267</f>
        <v>-8.6999999999999993</v>
      </c>
      <c r="BS332" s="240">
        <f>INPUT!CR267</f>
        <v>67.307692307692292</v>
      </c>
      <c r="BT332" s="520">
        <f>INPUT!CS267</f>
        <v>-10.7</v>
      </c>
      <c r="BU332" s="240">
        <f>INPUT!CT267</f>
        <v>59.701492537313413</v>
      </c>
      <c r="BV332" s="520">
        <f>INPUT!CU267</f>
        <v>-8.6999999999999993</v>
      </c>
      <c r="BW332" s="240">
        <f>INPUT!CV267</f>
        <v>26.086956521739111</v>
      </c>
      <c r="BX332" s="520">
        <f>INPUT!CW267</f>
        <v>-11.2</v>
      </c>
      <c r="BY332" s="240">
        <f>INPUT!CX267</f>
        <v>80.645161290322562</v>
      </c>
      <c r="BZ332" s="520">
        <f>INPUT!CY267</f>
        <v>-9.3000000000000007</v>
      </c>
      <c r="CA332" s="240">
        <f>INPUT!CZ267</f>
        <v>6.8965517241379501</v>
      </c>
      <c r="CB332" s="520">
        <f>INPUT!DA267</f>
        <v>-12.4</v>
      </c>
      <c r="CC332" s="240">
        <f>INPUT!DB267</f>
        <v>15.887850467289738</v>
      </c>
      <c r="CD332" s="520">
        <f>INPUT!DC267</f>
        <v>-7.5</v>
      </c>
      <c r="CE332" s="240">
        <f>INPUT!DD267</f>
        <v>-13.793103448275858</v>
      </c>
      <c r="CF332" s="520">
        <f>INPUT!DE267</f>
        <v>-11.7</v>
      </c>
      <c r="CG332" s="240">
        <f>INPUT!DF267</f>
        <v>4.4642857142857224</v>
      </c>
      <c r="CH332" s="520">
        <f>INPUT!DG267</f>
        <v>-10</v>
      </c>
      <c r="CI332" s="240">
        <f>INPUT!DH267</f>
        <v>7.5268817204300973</v>
      </c>
      <c r="CJ332" s="520">
        <f>INPUT!DI267</f>
        <v>-8.5</v>
      </c>
      <c r="CK332" s="240">
        <f>INPUT!DJ267</f>
        <v>-31.451612903225808</v>
      </c>
      <c r="CL332" s="520">
        <f>INPUT!DK267</f>
        <v>-9</v>
      </c>
      <c r="CM332" s="240">
        <f>INPUT!DL267</f>
        <v>20</v>
      </c>
      <c r="CN332" s="520">
        <f>INPUT!DM267</f>
        <v>-7.8</v>
      </c>
      <c r="CO332" s="240">
        <f>INPUT!DN267</f>
        <v>-33.333333333333329</v>
      </c>
      <c r="CP332" s="520">
        <f>INPUT!DO267</f>
        <v>-11.4</v>
      </c>
      <c r="CQ332" s="240">
        <f>INPUT!DP267</f>
        <v>14.000000000000014</v>
      </c>
      <c r="CR332" s="520">
        <f>INPUT!DQ267</f>
        <v>-13.4</v>
      </c>
      <c r="CS332" s="240">
        <f>INPUT!DR267</f>
        <v>57.64705882352942</v>
      </c>
      <c r="CT332" s="520">
        <f>INPUT!DS267</f>
        <v>-13.1</v>
      </c>
      <c r="CU332" s="240">
        <f>INPUT!DT267</f>
        <v>45.555555555555543</v>
      </c>
      <c r="CV332" s="520">
        <f>INPUT!DU267</f>
        <v>-11.5</v>
      </c>
      <c r="CW332" s="240">
        <f>INPUT!DV267</f>
        <v>47.435897435897459</v>
      </c>
      <c r="CX332" s="520">
        <f>INPUT!DW267</f>
        <v>-10.8</v>
      </c>
      <c r="CY332" s="240">
        <f>INPUT!DX267</f>
        <v>-5.2631578947368354</v>
      </c>
      <c r="CZ332" s="520">
        <f>INPUT!DY267</f>
        <v>-10.3</v>
      </c>
      <c r="DA332" s="240">
        <f>INPUT!DZ267</f>
        <v>-23.134328358208961</v>
      </c>
      <c r="DB332" s="520">
        <f>INPUT!EA267</f>
        <v>-15.1</v>
      </c>
      <c r="DC332" s="240">
        <f>INPUT!EB267</f>
        <v>15.267175572519093</v>
      </c>
      <c r="DD332" s="520">
        <f>INPUT!EC267</f>
        <v>-12.8</v>
      </c>
      <c r="DE332" s="240">
        <f>INPUT!ED267</f>
        <v>11.304347826086953</v>
      </c>
      <c r="DF332" s="520">
        <f>INPUT!EE267</f>
        <v>-13</v>
      </c>
      <c r="DG332" s="240">
        <f>INPUT!EF267</f>
        <v>20.370370370370367</v>
      </c>
      <c r="DH332" s="520">
        <f>INPUT!EG267</f>
        <v>-13.2</v>
      </c>
      <c r="DI332" s="240">
        <f>INPUT!EH267</f>
        <v>28.155339805825236</v>
      </c>
      <c r="DJ332" s="520">
        <f>INPUT!EI267</f>
        <v>-15.4</v>
      </c>
      <c r="DK332" s="240">
        <f>INPUT!EJ267</f>
        <v>1.9867549668874318</v>
      </c>
      <c r="DL332" s="520">
        <f>INPUT!EK267</f>
        <v>-10.7</v>
      </c>
      <c r="DM332" s="240">
        <f>INPUT!EL267</f>
        <v>-16.406250000000014</v>
      </c>
      <c r="DN332" s="520">
        <f>INPUT!EM267</f>
        <v>-11.2</v>
      </c>
      <c r="DO332" s="240">
        <f>INPUT!EN267</f>
        <v>-13.846153846153854</v>
      </c>
      <c r="DP332" s="520">
        <f>INPUT!EO267</f>
        <v>-16.3</v>
      </c>
      <c r="DQ332" s="240">
        <f>INPUT!EP267</f>
        <v>23.484848484848484</v>
      </c>
      <c r="DR332" s="520">
        <f>INPUT!EQ267</f>
        <v>-14.231750000000003</v>
      </c>
      <c r="DS332" s="240">
        <f>INPUT!ER267</f>
        <v>-7.5860389610389376</v>
      </c>
      <c r="DT332" s="520">
        <f>INPUT!ES267</f>
        <v>-14.220857625000006</v>
      </c>
      <c r="DU332" s="240">
        <f>INPUT!ET267</f>
        <v>32.90521144859818</v>
      </c>
      <c r="DV332" s="520">
        <f>INPUT!EU267</f>
        <v>-14.448658928437505</v>
      </c>
      <c r="DW332" s="240">
        <f>INPUT!EV267</f>
        <v>29.005883289620584</v>
      </c>
      <c r="DX332" s="520">
        <f>INPUT!EW267</f>
        <v>-14.682290114547662</v>
      </c>
      <c r="DY332" s="240">
        <f>INPUT!EX267</f>
        <v>-9.9246005242474666</v>
      </c>
      <c r="DZ332" s="520"/>
      <c r="EA332" s="240"/>
      <c r="EB332" s="508"/>
      <c r="EC332" s="509"/>
      <c r="ED332" s="508"/>
      <c r="EE332" s="509"/>
      <c r="EF332" s="508"/>
      <c r="EG332" s="509"/>
      <c r="EH332" s="508"/>
      <c r="EI332" s="509">
        <f>INPUT!FP267</f>
        <v>-8.1999999999999993</v>
      </c>
      <c r="EJ332" s="240">
        <f>INPUT!FQ267</f>
        <v>0</v>
      </c>
      <c r="EK332" s="519">
        <f>INPUT!FR267</f>
        <v>-16.899999999999999</v>
      </c>
      <c r="EL332" s="240" t="str">
        <f>INPUT!FS267</f>
        <v>NM</v>
      </c>
      <c r="EM332" s="519">
        <f>INPUT!FT267</f>
        <v>-25.299999999999997</v>
      </c>
      <c r="EN332" s="240">
        <f>INPUT!FU267</f>
        <v>49.704142011834307</v>
      </c>
      <c r="EO332" s="519">
        <f>INPUT!FV267</f>
        <v>-19.600000000000001</v>
      </c>
      <c r="EP332" s="240">
        <f>INPUT!FW267</f>
        <v>-22.529644268774689</v>
      </c>
      <c r="EQ332" s="520">
        <f>INPUT!FX267</f>
        <v>-21.2</v>
      </c>
      <c r="ER332" s="240">
        <f>INPUT!FY267</f>
        <v>8.1632653061224403</v>
      </c>
      <c r="ES332" s="520">
        <f>INPUT!FZ267</f>
        <v>-21.9</v>
      </c>
      <c r="ET332" s="240">
        <f>INPUT!GA267</f>
        <v>3.3018867924528195</v>
      </c>
      <c r="EU332" s="520">
        <f>INPUT!GB267</f>
        <v>-32.5</v>
      </c>
      <c r="EV332" s="240">
        <f>INPUT!GC267</f>
        <v>48.401826484018272</v>
      </c>
      <c r="EW332" s="520">
        <f>INPUT!GD267</f>
        <v>-41.6</v>
      </c>
      <c r="EX332" s="240">
        <f>INPUT!GE267</f>
        <v>28</v>
      </c>
      <c r="EY332" s="520">
        <f>INPUT!GF267</f>
        <v>-37.700000000000003</v>
      </c>
      <c r="EZ332" s="240">
        <f>INPUT!GG267</f>
        <v>-9.375</v>
      </c>
      <c r="FA332" s="520">
        <f>INPUT!GH267</f>
        <v>-41.6</v>
      </c>
      <c r="FB332" s="240">
        <f>INPUT!GI267</f>
        <v>10.34482758620689</v>
      </c>
      <c r="FC332" s="520">
        <f>INPUT!GJ267</f>
        <v>-45.7</v>
      </c>
      <c r="FD332" s="240">
        <f>INPUT!GK267</f>
        <v>9.8557692307692264</v>
      </c>
      <c r="FE332" s="520">
        <f>INPUT!GL267</f>
        <v>-54.099999999999994</v>
      </c>
      <c r="FF332" s="240">
        <f>INPUT!GM267</f>
        <v>18.380743982494522</v>
      </c>
      <c r="FG332" s="520">
        <f>INPUT!GN267</f>
        <v>-53.599999999999994</v>
      </c>
      <c r="FH332" s="240">
        <f>INPUT!GO267</f>
        <v>-0.92421441774492052</v>
      </c>
      <c r="FI332" s="520">
        <f>INPUT!GP267</f>
        <v>-57.583556667985178</v>
      </c>
      <c r="FJ332" s="240">
        <f>INPUT!GQ267</f>
        <v>7.4320087089275688</v>
      </c>
      <c r="FK332" s="520">
        <f>INPUT!GR267</f>
        <v>-60.375749188371522</v>
      </c>
      <c r="FL332" s="240">
        <f>INPUT!GS267</f>
        <v>4.8489407079968174</v>
      </c>
      <c r="FM332" s="520">
        <f>INPUT!GT267</f>
        <v>-64.344578980560925</v>
      </c>
      <c r="FN332" s="240">
        <f>INPUT!GU267</f>
        <v>6.5735495551478778</v>
      </c>
      <c r="FO332" s="520">
        <f>INPUT!GV267</f>
        <v>-68.519853729303165</v>
      </c>
      <c r="FP332" s="240">
        <f>INPUT!GW267</f>
        <v>6.4889300930908576</v>
      </c>
      <c r="FQ332" s="520">
        <f>INPUT!GX267</f>
        <v>-72.916859272801503</v>
      </c>
      <c r="FR332" s="240">
        <f>INPUT!GY267</f>
        <v>6.4171262841122001</v>
      </c>
      <c r="FS332" s="240">
        <f>INPUT!GZ267</f>
        <v>6.3488095599466554</v>
      </c>
    </row>
    <row r="333" spans="1:176" ht="12.75" hidden="1" customHeight="1" outlineLevel="1" x14ac:dyDescent="0.2">
      <c r="A333" s="518" t="str">
        <f>INPUT!B268</f>
        <v xml:space="preserve">  Change in Market Value</v>
      </c>
      <c r="B333" s="509"/>
      <c r="C333" s="508"/>
      <c r="D333" s="509"/>
      <c r="E333" s="508"/>
      <c r="F333" s="509"/>
      <c r="G333" s="508"/>
      <c r="H333" s="509"/>
      <c r="I333" s="508"/>
      <c r="J333" s="509"/>
      <c r="K333" s="508"/>
      <c r="L333" s="509"/>
      <c r="M333" s="508"/>
      <c r="N333" s="509"/>
      <c r="O333" s="508"/>
      <c r="P333" s="509"/>
      <c r="Q333" s="508"/>
      <c r="R333" s="509"/>
      <c r="S333" s="508"/>
      <c r="T333" s="509"/>
      <c r="U333" s="508"/>
      <c r="V333" s="509">
        <f>INPUT!AU268</f>
        <v>2.2000000000000002</v>
      </c>
      <c r="W333" s="508" t="str">
        <f>INPUT!AV268</f>
        <v>NA</v>
      </c>
      <c r="X333" s="509">
        <f>INPUT!AW268</f>
        <v>2</v>
      </c>
      <c r="Y333" s="508" t="str">
        <f>INPUT!AX268</f>
        <v>NA</v>
      </c>
      <c r="Z333" s="509">
        <f>INPUT!AY268</f>
        <v>1.9</v>
      </c>
      <c r="AA333" s="155" t="str">
        <f>INPUT!AZ268</f>
        <v>NA</v>
      </c>
      <c r="AB333" s="509">
        <f>INPUT!BA268</f>
        <v>-0.4</v>
      </c>
      <c r="AC333" s="155" t="str">
        <f>INPUT!BB268</f>
        <v>NA</v>
      </c>
      <c r="AD333" s="509">
        <f>INPUT!BC268</f>
        <v>4.3</v>
      </c>
      <c r="AE333" s="155">
        <f>INPUT!BD268</f>
        <v>95.454545454545439</v>
      </c>
      <c r="AF333" s="509">
        <f>INPUT!BE268</f>
        <v>4.5</v>
      </c>
      <c r="AG333" s="155" t="str">
        <f>INPUT!BF268</f>
        <v>NM</v>
      </c>
      <c r="AH333" s="519">
        <f>INPUT!BG268</f>
        <v>2.5</v>
      </c>
      <c r="AI333" s="240">
        <f>INPUT!BH268</f>
        <v>31.578947368421069</v>
      </c>
      <c r="AJ333" s="519">
        <f>INPUT!BI268</f>
        <v>3.5</v>
      </c>
      <c r="AK333" s="240" t="str">
        <f>INPUT!BJ268</f>
        <v>NM</v>
      </c>
      <c r="AL333" s="519">
        <f>INPUT!BK268</f>
        <v>3.7</v>
      </c>
      <c r="AM333" s="240">
        <f>INPUT!BL268</f>
        <v>-13.95348837209302</v>
      </c>
      <c r="AN333" s="519">
        <f>INPUT!BM268</f>
        <v>1.2</v>
      </c>
      <c r="AO333" s="240" t="str">
        <f>INPUT!BN268</f>
        <v>NM</v>
      </c>
      <c r="AP333" s="519">
        <f>INPUT!BO268</f>
        <v>-2.8</v>
      </c>
      <c r="AQ333" s="240" t="str">
        <f>INPUT!BP268</f>
        <v>NM</v>
      </c>
      <c r="AR333" s="519">
        <f>INPUT!BQ268</f>
        <v>-0.5</v>
      </c>
      <c r="AS333" s="240" t="str">
        <f>INPUT!BR268</f>
        <v>NM</v>
      </c>
      <c r="AT333" s="519">
        <f>INPUT!BS268</f>
        <v>-8.4</v>
      </c>
      <c r="AU333" s="240" t="str">
        <f>INPUT!BT268</f>
        <v>NM</v>
      </c>
      <c r="AV333" s="519">
        <f>INPUT!BU268</f>
        <v>-10.7</v>
      </c>
      <c r="AW333" s="240" t="str">
        <f>INPUT!BV268</f>
        <v>NM</v>
      </c>
      <c r="AX333" s="519">
        <f>INPUT!BW268</f>
        <v>-7.3</v>
      </c>
      <c r="AY333" s="240" t="str">
        <f>INPUT!BX268</f>
        <v>NM</v>
      </c>
      <c r="AZ333" s="519">
        <f>INPUT!BY268</f>
        <v>7.2</v>
      </c>
      <c r="BA333" s="240" t="str">
        <f>INPUT!BZ268</f>
        <v>NM</v>
      </c>
      <c r="BB333" s="519">
        <f>INPUT!CA268</f>
        <v>9.9</v>
      </c>
      <c r="BC333" s="240" t="str">
        <f>INPUT!CB268</f>
        <v>NM</v>
      </c>
      <c r="BD333" s="519">
        <f>INPUT!CC268</f>
        <v>2.1</v>
      </c>
      <c r="BE333" s="240" t="str">
        <f>INPUT!CD268</f>
        <v>NM</v>
      </c>
      <c r="BF333" s="520">
        <f>INPUT!CE268</f>
        <v>3.6</v>
      </c>
      <c r="BG333" s="240" t="str">
        <f>INPUT!CF268</f>
        <v>NM</v>
      </c>
      <c r="BH333" s="520">
        <f>INPUT!CG268</f>
        <v>-0.6</v>
      </c>
      <c r="BI333" s="240" t="str">
        <f>INPUT!CH268</f>
        <v>NM</v>
      </c>
      <c r="BJ333" s="520">
        <f>INPUT!CI268</f>
        <v>11</v>
      </c>
      <c r="BK333" s="240">
        <f>INPUT!CJ268</f>
        <v>11.111111111111114</v>
      </c>
      <c r="BL333" s="520">
        <f>INPUT!CK268</f>
        <v>3</v>
      </c>
      <c r="BM333" s="240">
        <f>INPUT!CL268</f>
        <v>42.857142857142861</v>
      </c>
      <c r="BN333" s="520">
        <f>INPUT!CM268</f>
        <v>5.4</v>
      </c>
      <c r="BO333" s="240">
        <f>INPUT!CN268</f>
        <v>50</v>
      </c>
      <c r="BP333" s="520">
        <f>INPUT!CO268</f>
        <v>4.7</v>
      </c>
      <c r="BQ333" s="240" t="str">
        <f>INPUT!CP268</f>
        <v>NM</v>
      </c>
      <c r="BR333" s="520">
        <f>INPUT!CQ268</f>
        <v>0.4</v>
      </c>
      <c r="BS333" s="240" t="str">
        <f>INPUT!CR268</f>
        <v>NM</v>
      </c>
      <c r="BT333" s="520">
        <f>INPUT!CS268</f>
        <v>6.3</v>
      </c>
      <c r="BU333" s="240" t="str">
        <f>INPUT!CT268</f>
        <v>NM</v>
      </c>
      <c r="BV333" s="520">
        <f>INPUT!CU268</f>
        <v>7.7</v>
      </c>
      <c r="BW333" s="240">
        <f>INPUT!CV268</f>
        <v>42.592592592592581</v>
      </c>
      <c r="BX333" s="520">
        <f>INPUT!CW268</f>
        <v>3.7</v>
      </c>
      <c r="BY333" s="240">
        <f>INPUT!CX268</f>
        <v>-21.276595744680847</v>
      </c>
      <c r="BZ333" s="520">
        <f>INPUT!CY268</f>
        <v>8.9</v>
      </c>
      <c r="CA333" s="240" t="str">
        <f>INPUT!CZ268</f>
        <v>NM</v>
      </c>
      <c r="CB333" s="520">
        <f>INPUT!DA268</f>
        <v>2.8</v>
      </c>
      <c r="CC333" s="240" t="str">
        <f>INPUT!DB268</f>
        <v>NM</v>
      </c>
      <c r="CD333" s="520">
        <f>INPUT!DC268</f>
        <v>1.9</v>
      </c>
      <c r="CE333" s="240" t="str">
        <f>INPUT!DD268</f>
        <v>NM</v>
      </c>
      <c r="CF333" s="520">
        <f>INPUT!DE268</f>
        <v>-6.1</v>
      </c>
      <c r="CG333" s="240" t="str">
        <f>INPUT!DF268</f>
        <v>NM</v>
      </c>
      <c r="CH333" s="520">
        <f>INPUT!DG268</f>
        <v>6</v>
      </c>
      <c r="CI333" s="240">
        <f>INPUT!DH268</f>
        <v>-32.584269662921344</v>
      </c>
      <c r="CJ333" s="520">
        <f>INPUT!DI268</f>
        <v>6</v>
      </c>
      <c r="CK333" s="240" t="str">
        <f>INPUT!DJ268</f>
        <v>NM</v>
      </c>
      <c r="CL333" s="520">
        <f>INPUT!DK268</f>
        <v>8</v>
      </c>
      <c r="CM333" s="240" t="str">
        <f>INPUT!DL268</f>
        <v>NM</v>
      </c>
      <c r="CN333" s="520">
        <f>INPUT!DM268</f>
        <v>10.3</v>
      </c>
      <c r="CO333" s="240" t="str">
        <f>INPUT!DN268</f>
        <v>NM</v>
      </c>
      <c r="CP333" s="520">
        <f>INPUT!DO268</f>
        <v>-1</v>
      </c>
      <c r="CQ333" s="240" t="str">
        <f>INPUT!DP268</f>
        <v>NM</v>
      </c>
      <c r="CR333" s="520">
        <f>INPUT!DQ268</f>
        <v>5.8</v>
      </c>
      <c r="CS333" s="240">
        <f>INPUT!DR268</f>
        <v>-3.3333333333333286</v>
      </c>
      <c r="CT333" s="520">
        <f>INPUT!DS268</f>
        <v>6.6</v>
      </c>
      <c r="CU333" s="240">
        <f>INPUT!DT268</f>
        <v>-17.5</v>
      </c>
      <c r="CV333" s="520">
        <f>INPUT!DU268</f>
        <v>-5</v>
      </c>
      <c r="CW333" s="240" t="str">
        <f>INPUT!DV268</f>
        <v>NM</v>
      </c>
      <c r="CX333" s="520">
        <f>INPUT!DW268</f>
        <v>-1.7</v>
      </c>
      <c r="CY333" s="240">
        <f>INPUT!DX268</f>
        <v>70</v>
      </c>
      <c r="CZ333" s="520">
        <f>INPUT!DY268</f>
        <v>2.2000000000000002</v>
      </c>
      <c r="DA333" s="240" t="str">
        <f>INPUT!DZ268</f>
        <v>NM</v>
      </c>
      <c r="DB333" s="520">
        <f>INPUT!EA268</f>
        <v>12.7</v>
      </c>
      <c r="DC333" s="240">
        <f>INPUT!EB268</f>
        <v>92.424242424242436</v>
      </c>
      <c r="DD333" s="520">
        <f>INPUT!EC268</f>
        <v>11.3</v>
      </c>
      <c r="DE333" s="240" t="str">
        <f>INPUT!ED268</f>
        <v>NM</v>
      </c>
      <c r="DF333" s="520">
        <f>INPUT!EE268</f>
        <v>8.4</v>
      </c>
      <c r="DG333" s="240" t="str">
        <f>INPUT!EF268</f>
        <v>NM</v>
      </c>
      <c r="DH333" s="520">
        <f>INPUT!EG268</f>
        <v>-10.6</v>
      </c>
      <c r="DI333" s="240" t="str">
        <f>INPUT!EH268</f>
        <v>NM</v>
      </c>
      <c r="DJ333" s="520">
        <f>INPUT!EI268</f>
        <v>9.6</v>
      </c>
      <c r="DK333" s="240">
        <f>INPUT!EJ268</f>
        <v>-24.409448818897644</v>
      </c>
      <c r="DL333" s="520">
        <f>INPUT!EK268</f>
        <v>10.8</v>
      </c>
      <c r="DM333" s="240">
        <f>INPUT!EL268</f>
        <v>-4.424778761061944</v>
      </c>
      <c r="DN333" s="520">
        <f>INPUT!EM268</f>
        <v>9.1</v>
      </c>
      <c r="DO333" s="240">
        <f>INPUT!EN268</f>
        <v>8.3333333333333286</v>
      </c>
      <c r="DP333" s="520">
        <f>INPUT!EO268</f>
        <v>8.5</v>
      </c>
      <c r="DQ333" s="240" t="str">
        <f>INPUT!EP268</f>
        <v>NM</v>
      </c>
      <c r="DR333" s="520">
        <f>INPUT!EQ268</f>
        <v>-2.6274000000000011</v>
      </c>
      <c r="DS333" s="240" t="str">
        <f>INPUT!ER268</f>
        <v>NM</v>
      </c>
      <c r="DT333" s="520">
        <f>INPUT!ES268</f>
        <v>4.3756485000000014</v>
      </c>
      <c r="DU333" s="240" t="str">
        <f>INPUT!ET268</f>
        <v>NM</v>
      </c>
      <c r="DV333" s="520">
        <f>INPUT!EU268</f>
        <v>4.4457412087500021</v>
      </c>
      <c r="DW333" s="240" t="str">
        <f>INPUT!EV268</f>
        <v>NM</v>
      </c>
      <c r="DX333" s="520">
        <f>INPUT!EW268</f>
        <v>4.5176277275531262</v>
      </c>
      <c r="DY333" s="240">
        <f>INPUT!EX268</f>
        <v>-46.851438499374986</v>
      </c>
      <c r="DZ333" s="520"/>
      <c r="EA333" s="240"/>
      <c r="EB333" s="508"/>
      <c r="EC333" s="509"/>
      <c r="ED333" s="508"/>
      <c r="EE333" s="509"/>
      <c r="EF333" s="508"/>
      <c r="EG333" s="509"/>
      <c r="EH333" s="508"/>
      <c r="EI333" s="509">
        <f>INPUT!FP268</f>
        <v>4.2</v>
      </c>
      <c r="EJ333" s="240">
        <f>INPUT!FQ268</f>
        <v>0</v>
      </c>
      <c r="EK333" s="519">
        <f>INPUT!FR268</f>
        <v>10.3</v>
      </c>
      <c r="EL333" s="240" t="str">
        <f>INPUT!FS268</f>
        <v>NM</v>
      </c>
      <c r="EM333" s="519">
        <f>INPUT!FT268</f>
        <v>10.899999999999999</v>
      </c>
      <c r="EN333" s="240">
        <f>INPUT!FU268</f>
        <v>5.8252427184465745</v>
      </c>
      <c r="EO333" s="519">
        <f>INPUT!FV268</f>
        <v>-22.4</v>
      </c>
      <c r="EP333" s="240" t="str">
        <f>INPUT!FW268</f>
        <v>NM</v>
      </c>
      <c r="EQ333" s="520">
        <f>INPUT!FX268</f>
        <v>11.9</v>
      </c>
      <c r="ER333" s="240" t="str">
        <f>INPUT!FY268</f>
        <v>NM</v>
      </c>
      <c r="ES333" s="520">
        <f>INPUT!FZ268</f>
        <v>17</v>
      </c>
      <c r="ET333" s="240">
        <f>INPUT!GA268</f>
        <v>42.857142857142861</v>
      </c>
      <c r="EU333" s="520">
        <f>INPUT!GB268</f>
        <v>16.8</v>
      </c>
      <c r="EV333" s="240">
        <f>INPUT!GC268</f>
        <v>-1.1764705882352899</v>
      </c>
      <c r="EW333" s="520">
        <f>INPUT!GD268</f>
        <v>23.1</v>
      </c>
      <c r="EX333" s="240">
        <f>INPUT!GE268</f>
        <v>37.5</v>
      </c>
      <c r="EY333" s="520">
        <f>INPUT!GF268</f>
        <v>7.8000000000000007</v>
      </c>
      <c r="EZ333" s="240" t="str">
        <f>INPUT!GG268</f>
        <v>NM</v>
      </c>
      <c r="FA333" s="520">
        <f>INPUT!GH268</f>
        <v>23.1</v>
      </c>
      <c r="FB333" s="240" t="str">
        <f>INPUT!GI268</f>
        <v>NM</v>
      </c>
      <c r="FC333" s="520">
        <f>INPUT!GJ268</f>
        <v>2.0999999999999996</v>
      </c>
      <c r="FD333" s="240" t="str">
        <f>INPUT!GK268</f>
        <v>NM</v>
      </c>
      <c r="FE333" s="520">
        <f>INPUT!GL268</f>
        <v>21.799999999999997</v>
      </c>
      <c r="FF333" s="240" t="str">
        <f>INPUT!GM268</f>
        <v>NM</v>
      </c>
      <c r="FG333" s="520">
        <f>INPUT!GN268</f>
        <v>38</v>
      </c>
      <c r="FH333" s="240">
        <f>INPUT!GO268</f>
        <v>74.311926605504595</v>
      </c>
      <c r="FI333" s="520">
        <f>INPUT!GP268</f>
        <v>10.711617436303129</v>
      </c>
      <c r="FJ333" s="240" t="str">
        <f>INPUT!GQ268</f>
        <v>NM</v>
      </c>
      <c r="FK333" s="520">
        <f>INPUT!GR268</f>
        <v>18.365340454412721</v>
      </c>
      <c r="FL333" s="240">
        <f>INPUT!GS268</f>
        <v>71.452542658684621</v>
      </c>
      <c r="FM333" s="520">
        <f>INPUT!GT268</f>
        <v>19.572595210155168</v>
      </c>
      <c r="FN333" s="240">
        <f>INPUT!GU268</f>
        <v>6.5735495551479062</v>
      </c>
      <c r="FO333" s="520">
        <f>INPUT!GV268</f>
        <v>20.84264723074579</v>
      </c>
      <c r="FP333" s="240">
        <f>INPUT!GW268</f>
        <v>6.488930093090886</v>
      </c>
      <c r="FQ333" s="520">
        <f>INPUT!GX268</f>
        <v>22.180146224494756</v>
      </c>
      <c r="FR333" s="240">
        <f>INPUT!GY268</f>
        <v>6.4171262841121717</v>
      </c>
      <c r="FS333" s="240">
        <f>INPUT!GZ268</f>
        <v>-10.208306686874591</v>
      </c>
    </row>
    <row r="334" spans="1:176" ht="12.75" hidden="1" customHeight="1" outlineLevel="1" x14ac:dyDescent="0.2">
      <c r="A334" s="518" t="str">
        <f>INPUT!B269</f>
        <v xml:space="preserve">  Net Money Market Flows</v>
      </c>
      <c r="B334" s="509"/>
      <c r="C334" s="508"/>
      <c r="D334" s="509"/>
      <c r="E334" s="508"/>
      <c r="F334" s="509"/>
      <c r="G334" s="508"/>
      <c r="H334" s="509"/>
      <c r="I334" s="508"/>
      <c r="J334" s="509"/>
      <c r="K334" s="508"/>
      <c r="L334" s="509"/>
      <c r="M334" s="508"/>
      <c r="N334" s="509"/>
      <c r="O334" s="508"/>
      <c r="P334" s="509"/>
      <c r="Q334" s="508"/>
      <c r="R334" s="509"/>
      <c r="S334" s="508"/>
      <c r="T334" s="509"/>
      <c r="U334" s="508"/>
      <c r="V334" s="509">
        <f>INPUT!AU269</f>
        <v>-0.3</v>
      </c>
      <c r="W334" s="508" t="str">
        <f>INPUT!AV269</f>
        <v>NA</v>
      </c>
      <c r="X334" s="509">
        <f>INPUT!AW269</f>
        <v>0.1</v>
      </c>
      <c r="Y334" s="508" t="str">
        <f>INPUT!AX269</f>
        <v>NA</v>
      </c>
      <c r="Z334" s="509">
        <f>INPUT!AY269</f>
        <v>0.2</v>
      </c>
      <c r="AA334" s="155" t="str">
        <f>INPUT!AZ269</f>
        <v>NA</v>
      </c>
      <c r="AB334" s="509">
        <f>INPUT!BA269</f>
        <v>-0.1</v>
      </c>
      <c r="AC334" s="155" t="str">
        <f>INPUT!BB269</f>
        <v>NA</v>
      </c>
      <c r="AD334" s="509">
        <f>INPUT!BC269</f>
        <v>0.4</v>
      </c>
      <c r="AE334" s="155" t="str">
        <f>INPUT!BD269</f>
        <v>NM</v>
      </c>
      <c r="AF334" s="509">
        <f>INPUT!BE269</f>
        <v>0</v>
      </c>
      <c r="AG334" s="155" t="str">
        <f>INPUT!BF269</f>
        <v>NM</v>
      </c>
      <c r="AH334" s="519">
        <f>INPUT!BG269</f>
        <v>0.4</v>
      </c>
      <c r="AI334" s="240">
        <f>INPUT!BH269</f>
        <v>100</v>
      </c>
      <c r="AJ334" s="519">
        <f>INPUT!BI269</f>
        <v>-0.2</v>
      </c>
      <c r="AK334" s="240">
        <f>INPUT!BJ269</f>
        <v>100</v>
      </c>
      <c r="AL334" s="519">
        <f>INPUT!BK269</f>
        <v>-0.1</v>
      </c>
      <c r="AM334" s="240" t="str">
        <f>INPUT!BL269</f>
        <v>NM</v>
      </c>
      <c r="AN334" s="519">
        <f>INPUT!BM269</f>
        <v>0.8</v>
      </c>
      <c r="AO334" s="240" t="str">
        <f>INPUT!BN269</f>
        <v>NA</v>
      </c>
      <c r="AP334" s="519">
        <f>INPUT!BO269</f>
        <v>-1</v>
      </c>
      <c r="AQ334" s="240" t="str">
        <f>INPUT!BP269</f>
        <v>NM</v>
      </c>
      <c r="AR334" s="519">
        <f>INPUT!BQ269</f>
        <v>-0.1</v>
      </c>
      <c r="AS334" s="240">
        <f>INPUT!BR269</f>
        <v>-50</v>
      </c>
      <c r="AT334" s="519">
        <f>INPUT!BS269</f>
        <v>-0.3</v>
      </c>
      <c r="AU334" s="240" t="str">
        <f>INPUT!BT269</f>
        <v>NM</v>
      </c>
      <c r="AV334" s="519">
        <f>INPUT!BU269</f>
        <v>0.4</v>
      </c>
      <c r="AW334" s="240">
        <f>INPUT!BV269</f>
        <v>-50</v>
      </c>
      <c r="AX334" s="519">
        <f>INPUT!BW269</f>
        <v>-0.9</v>
      </c>
      <c r="AY334" s="240">
        <f>INPUT!BX269</f>
        <v>-10</v>
      </c>
      <c r="AZ334" s="519">
        <f>INPUT!BY269</f>
        <v>-0.1</v>
      </c>
      <c r="BA334" s="240">
        <f>INPUT!BZ269</f>
        <v>0</v>
      </c>
      <c r="BB334" s="519">
        <f>INPUT!CA269</f>
        <v>-0.02</v>
      </c>
      <c r="BC334" s="240" t="str">
        <f>INPUT!CB269</f>
        <v>NM</v>
      </c>
      <c r="BD334" s="519">
        <f>INPUT!CC269</f>
        <v>-0.1</v>
      </c>
      <c r="BE334" s="240" t="str">
        <f>INPUT!CD269</f>
        <v>NM</v>
      </c>
      <c r="BF334" s="520">
        <f>INPUT!CE269</f>
        <v>-0.6</v>
      </c>
      <c r="BG334" s="240">
        <f>INPUT!CF269</f>
        <v>-33.333333333333343</v>
      </c>
      <c r="BH334" s="520">
        <f>INPUT!CG269</f>
        <v>0</v>
      </c>
      <c r="BI334" s="240" t="str">
        <f>INPUT!CH269</f>
        <v>NM</v>
      </c>
      <c r="BJ334" s="520">
        <f>INPUT!CI269</f>
        <v>0</v>
      </c>
      <c r="BK334" s="240" t="str">
        <f>INPUT!CJ269</f>
        <v>NM</v>
      </c>
      <c r="BL334" s="520">
        <f>INPUT!CK269</f>
        <v>0.6</v>
      </c>
      <c r="BM334" s="240" t="str">
        <f>INPUT!CL269</f>
        <v>NM</v>
      </c>
      <c r="BN334" s="520">
        <f>INPUT!CM269</f>
        <v>0.30000000000000004</v>
      </c>
      <c r="BO334" s="240" t="str">
        <f>INPUT!CN269</f>
        <v>NM</v>
      </c>
      <c r="BP334" s="520">
        <f>INPUT!CO269</f>
        <v>0.1</v>
      </c>
      <c r="BQ334" s="240" t="str">
        <f>INPUT!CP269</f>
        <v>NA</v>
      </c>
      <c r="BR334" s="520">
        <f>INPUT!CQ269</f>
        <v>-0.30000000000000004</v>
      </c>
      <c r="BS334" s="240" t="str">
        <f>INPUT!CR269</f>
        <v>NA</v>
      </c>
      <c r="BT334" s="520">
        <f>INPUT!CS269</f>
        <v>0.3</v>
      </c>
      <c r="BU334" s="240">
        <f>INPUT!CT269</f>
        <v>-50</v>
      </c>
      <c r="BV334" s="520">
        <f>INPUT!CU269</f>
        <v>0.2</v>
      </c>
      <c r="BW334" s="240">
        <f>INPUT!CV269</f>
        <v>-33.333333333333343</v>
      </c>
      <c r="BX334" s="520">
        <f>INPUT!CW269</f>
        <v>0.2</v>
      </c>
      <c r="BY334" s="240">
        <f>INPUT!CX269</f>
        <v>100</v>
      </c>
      <c r="BZ334" s="520">
        <f>INPUT!CY269</f>
        <v>0.1</v>
      </c>
      <c r="CA334" s="240" t="str">
        <f>INPUT!CZ269</f>
        <v>NM</v>
      </c>
      <c r="CB334" s="520">
        <f>INPUT!DA269</f>
        <v>-0.4</v>
      </c>
      <c r="CC334" s="240" t="str">
        <f>INPUT!DB269</f>
        <v>NM</v>
      </c>
      <c r="CD334" s="520">
        <f>INPUT!DC269</f>
        <v>-0.5</v>
      </c>
      <c r="CE334" s="240" t="str">
        <f>INPUT!DD269</f>
        <v>NM</v>
      </c>
      <c r="CF334" s="520">
        <f>INPUT!DE269</f>
        <v>-0.3</v>
      </c>
      <c r="CG334" s="240" t="str">
        <f>INPUT!DF269</f>
        <v>NM</v>
      </c>
      <c r="CH334" s="520">
        <f>INPUT!DG269</f>
        <v>0.30000000000000004</v>
      </c>
      <c r="CI334" s="240" t="str">
        <f>INPUT!DH269</f>
        <v>NM</v>
      </c>
      <c r="CJ334" s="520">
        <f>INPUT!DI269</f>
        <v>-0.8</v>
      </c>
      <c r="CK334" s="240">
        <f>INPUT!DJ269</f>
        <v>100</v>
      </c>
      <c r="CL334" s="520">
        <f>INPUT!DK269</f>
        <v>0</v>
      </c>
      <c r="CM334" s="240" t="str">
        <f>INPUT!DL269</f>
        <v>NM</v>
      </c>
      <c r="CN334" s="520">
        <f>INPUT!DM269</f>
        <v>0.1</v>
      </c>
      <c r="CO334" s="240" t="str">
        <f>INPUT!DN269</f>
        <v>NM</v>
      </c>
      <c r="CP334" s="520">
        <f>INPUT!DO269</f>
        <v>-0.4</v>
      </c>
      <c r="CQ334" s="240" t="str">
        <f>INPUT!DP269</f>
        <v>NM</v>
      </c>
      <c r="CR334" s="520">
        <f>INPUT!DQ269</f>
        <v>-0.4</v>
      </c>
      <c r="CS334" s="240">
        <f>INPUT!DR269</f>
        <v>-50</v>
      </c>
      <c r="CT334" s="520">
        <f>INPUT!DS269</f>
        <v>0.2</v>
      </c>
      <c r="CU334" s="240" t="str">
        <f>INPUT!DT269</f>
        <v>NA</v>
      </c>
      <c r="CV334" s="520">
        <f>INPUT!DU269</f>
        <v>0</v>
      </c>
      <c r="CW334" s="240" t="str">
        <f>INPUT!DV269</f>
        <v>NM</v>
      </c>
      <c r="CX334" s="520">
        <f>INPUT!DW269</f>
        <v>-0.30000000000000004</v>
      </c>
      <c r="CY334" s="240">
        <f>INPUT!DX269</f>
        <v>-24.999999999999986</v>
      </c>
      <c r="CZ334" s="520">
        <f>INPUT!DY269</f>
        <v>0.3</v>
      </c>
      <c r="DA334" s="240" t="str">
        <f>INPUT!DZ269</f>
        <v>NM</v>
      </c>
      <c r="DB334" s="520">
        <f>INPUT!EA269</f>
        <v>2.1</v>
      </c>
      <c r="DC334" s="240" t="str">
        <f>INPUT!EB269</f>
        <v>NM</v>
      </c>
      <c r="DD334" s="520">
        <f>INPUT!EC269</f>
        <v>0.8</v>
      </c>
      <c r="DE334" s="240" t="str">
        <f>INPUT!ED269</f>
        <v>NA</v>
      </c>
      <c r="DF334" s="520">
        <f>INPUT!EE269</f>
        <v>13.7</v>
      </c>
      <c r="DG334" s="240" t="str">
        <f>INPUT!EF269</f>
        <v>NM</v>
      </c>
      <c r="DH334" s="520">
        <f>INPUT!EG269</f>
        <v>-4.4000000000000004</v>
      </c>
      <c r="DI334" s="240" t="str">
        <f>INPUT!EH269</f>
        <v>NM</v>
      </c>
      <c r="DJ334" s="520">
        <f>INPUT!EI269</f>
        <v>2.6</v>
      </c>
      <c r="DK334" s="240">
        <f>INPUT!EJ269</f>
        <v>23.80952380952381</v>
      </c>
      <c r="DL334" s="520">
        <f>INPUT!EK269</f>
        <v>-1.8</v>
      </c>
      <c r="DM334" s="240" t="str">
        <f>INPUT!EL269</f>
        <v>NM</v>
      </c>
      <c r="DN334" s="520">
        <f>INPUT!EM269</f>
        <v>2.6</v>
      </c>
      <c r="DO334" s="240" t="str">
        <f>INPUT!EN269</f>
        <v>NM</v>
      </c>
      <c r="DP334" s="520">
        <f>INPUT!EO269</f>
        <v>-1.5</v>
      </c>
      <c r="DQ334" s="240" t="str">
        <f>INPUT!EP269</f>
        <v>NM</v>
      </c>
      <c r="DR334" s="520">
        <f>INPUT!EQ269</f>
        <v>0</v>
      </c>
      <c r="DS334" s="240" t="str">
        <f>INPUT!ER269</f>
        <v>NM</v>
      </c>
      <c r="DT334" s="520">
        <f>INPUT!ES269</f>
        <v>0</v>
      </c>
      <c r="DU334" s="240" t="str">
        <f>INPUT!ET269</f>
        <v>NM</v>
      </c>
      <c r="DV334" s="520">
        <f>INPUT!EU269</f>
        <v>0</v>
      </c>
      <c r="DW334" s="240" t="str">
        <f>INPUT!EV269</f>
        <v>NM</v>
      </c>
      <c r="DX334" s="520">
        <f>INPUT!EW269</f>
        <v>0</v>
      </c>
      <c r="DY334" s="240" t="str">
        <f>INPUT!EX269</f>
        <v>NM</v>
      </c>
      <c r="DZ334" s="520"/>
      <c r="EA334" s="240"/>
      <c r="EB334" s="508"/>
      <c r="EC334" s="509"/>
      <c r="ED334" s="508"/>
      <c r="EE334" s="509"/>
      <c r="EF334" s="508"/>
      <c r="EG334" s="509"/>
      <c r="EH334" s="508"/>
      <c r="EI334" s="509">
        <f>INPUT!FP269</f>
        <v>-0.19999999999999998</v>
      </c>
      <c r="EJ334" s="240">
        <f>INPUT!FQ269</f>
        <v>0</v>
      </c>
      <c r="EK334" s="519">
        <f>INPUT!FR269</f>
        <v>0.5</v>
      </c>
      <c r="EL334" s="240" t="str">
        <f>INPUT!FS269</f>
        <v>NM</v>
      </c>
      <c r="EM334" s="519">
        <f>INPUT!FT269</f>
        <v>0.9</v>
      </c>
      <c r="EN334" s="240">
        <f>INPUT!FU269</f>
        <v>80</v>
      </c>
      <c r="EO334" s="519">
        <f>INPUT!FV269</f>
        <v>-1</v>
      </c>
      <c r="EP334" s="240" t="str">
        <f>INPUT!FW269</f>
        <v>NM</v>
      </c>
      <c r="EQ334" s="520">
        <f>INPUT!FX269</f>
        <v>-1.1200000000000001</v>
      </c>
      <c r="ER334" s="240">
        <f>INPUT!FY269</f>
        <v>12.000000000000014</v>
      </c>
      <c r="ES334" s="520">
        <f>INPUT!FZ269</f>
        <v>0</v>
      </c>
      <c r="ET334" s="240" t="str">
        <f>INPUT!GA269</f>
        <v>NM</v>
      </c>
      <c r="EU334" s="520">
        <f>INPUT!GB269</f>
        <v>0.39999999999999997</v>
      </c>
      <c r="EV334" s="240" t="str">
        <f>INPUT!GC269</f>
        <v>NA</v>
      </c>
      <c r="EW334" s="520">
        <f>INPUT!GD269</f>
        <v>9.9999999999999978E-2</v>
      </c>
      <c r="EX334" s="240" t="str">
        <f>INPUT!GE269</f>
        <v>NM</v>
      </c>
      <c r="EY334" s="520">
        <f>INPUT!GF269</f>
        <v>-1.3</v>
      </c>
      <c r="EZ334" s="240" t="str">
        <f>INPUT!GG269</f>
        <v>NM</v>
      </c>
      <c r="FA334" s="520">
        <f>INPUT!GH269</f>
        <v>-0.70000000000000007</v>
      </c>
      <c r="FB334" s="240">
        <f>INPUT!GI269</f>
        <v>-46.153846153846146</v>
      </c>
      <c r="FC334" s="520">
        <f>INPUT!GJ269</f>
        <v>0.19999999999999996</v>
      </c>
      <c r="FD334" s="240" t="str">
        <f>INPUT!GK269</f>
        <v>NM</v>
      </c>
      <c r="FE334" s="520">
        <f>INPUT!GL269</f>
        <v>12.200000000000001</v>
      </c>
      <c r="FF334" s="240" t="str">
        <f>INPUT!GM269</f>
        <v>NM</v>
      </c>
      <c r="FG334" s="520">
        <f>INPUT!GN269</f>
        <v>1.9000000000000004</v>
      </c>
      <c r="FH334" s="240" t="str">
        <f>INPUT!GO269</f>
        <v>NM</v>
      </c>
      <c r="FI334" s="520">
        <f>INPUT!GP269</f>
        <v>0</v>
      </c>
      <c r="FJ334" s="240" t="str">
        <f>INPUT!GQ269</f>
        <v>NM</v>
      </c>
      <c r="FK334" s="520">
        <f>INPUT!GR269</f>
        <v>0</v>
      </c>
      <c r="FL334" s="240" t="str">
        <f>INPUT!GS269</f>
        <v>NA</v>
      </c>
      <c r="FM334" s="520">
        <f>INPUT!GT269</f>
        <v>0</v>
      </c>
      <c r="FN334" s="240" t="str">
        <f>INPUT!GU269</f>
        <v>NA</v>
      </c>
      <c r="FO334" s="520">
        <f>INPUT!GV269</f>
        <v>0</v>
      </c>
      <c r="FP334" s="240" t="str">
        <f>INPUT!GW269</f>
        <v>NA</v>
      </c>
      <c r="FQ334" s="520">
        <f>INPUT!GX269</f>
        <v>0</v>
      </c>
      <c r="FR334" s="240" t="str">
        <f>INPUT!GY269</f>
        <v>NA</v>
      </c>
      <c r="FS334" s="240" t="str">
        <f>INPUT!GZ269</f>
        <v>NM</v>
      </c>
    </row>
    <row r="335" spans="1:176" ht="12.75" hidden="1" customHeight="1" outlineLevel="1" x14ac:dyDescent="0.2">
      <c r="A335" s="518" t="str">
        <f>INPUT!B270</f>
        <v>Ending Assets</v>
      </c>
      <c r="B335" s="509"/>
      <c r="C335" s="508"/>
      <c r="D335" s="509"/>
      <c r="E335" s="508"/>
      <c r="F335" s="509"/>
      <c r="G335" s="508"/>
      <c r="H335" s="509"/>
      <c r="I335" s="508"/>
      <c r="J335" s="509"/>
      <c r="K335" s="508"/>
      <c r="L335" s="509"/>
      <c r="M335" s="508"/>
      <c r="N335" s="509"/>
      <c r="O335" s="508"/>
      <c r="P335" s="509"/>
      <c r="Q335" s="508"/>
      <c r="R335" s="509"/>
      <c r="S335" s="508"/>
      <c r="T335" s="509"/>
      <c r="U335" s="508"/>
      <c r="V335" s="509">
        <f>INPUT!AU270</f>
        <v>95</v>
      </c>
      <c r="W335" s="508" t="str">
        <f>INPUT!AV270</f>
        <v>NA</v>
      </c>
      <c r="X335" s="509">
        <f>INPUT!AW270</f>
        <v>101.3</v>
      </c>
      <c r="Y335" s="508" t="str">
        <f>INPUT!AX270</f>
        <v>NA</v>
      </c>
      <c r="Z335" s="509">
        <f>INPUT!AY270</f>
        <v>106.7</v>
      </c>
      <c r="AA335" s="155" t="str">
        <f>INPUT!AZ270</f>
        <v>NA</v>
      </c>
      <c r="AB335" s="509">
        <f>INPUT!BA270</f>
        <v>107.1</v>
      </c>
      <c r="AC335" s="155" t="str">
        <f>INPUT!BB270</f>
        <v>NA</v>
      </c>
      <c r="AD335" s="509">
        <f>INPUT!BC270</f>
        <v>115</v>
      </c>
      <c r="AE335" s="155">
        <f>INPUT!BD270</f>
        <v>21.05263157894737</v>
      </c>
      <c r="AF335" s="509">
        <f>INPUT!BE270</f>
        <v>122.89999999999999</v>
      </c>
      <c r="AG335" s="155">
        <f>INPUT!BF270</f>
        <v>21.322803553800583</v>
      </c>
      <c r="AH335" s="519">
        <f>INPUT!BG270</f>
        <v>126.99999999999999</v>
      </c>
      <c r="AI335" s="240">
        <f>INPUT!BH270</f>
        <v>19.025304592314882</v>
      </c>
      <c r="AJ335" s="519">
        <f>INPUT!BI270</f>
        <v>132</v>
      </c>
      <c r="AK335" s="240">
        <f>INPUT!BJ270</f>
        <v>23.249299719887958</v>
      </c>
      <c r="AL335" s="519">
        <f>INPUT!BK270</f>
        <v>135</v>
      </c>
      <c r="AM335" s="240">
        <f>INPUT!BL270</f>
        <v>17.391304347826093</v>
      </c>
      <c r="AN335" s="519">
        <f>INPUT!BM270</f>
        <v>141.69999999999999</v>
      </c>
      <c r="AO335" s="240">
        <f>INPUT!BN270</f>
        <v>15.296989422294544</v>
      </c>
      <c r="AP335" s="519">
        <f>INPUT!BO270</f>
        <v>140.09999999999997</v>
      </c>
      <c r="AQ335" s="240">
        <f>INPUT!BP270</f>
        <v>10.314960629921259</v>
      </c>
      <c r="AR335" s="519">
        <f>INPUT!BQ270</f>
        <v>145.79999999999998</v>
      </c>
      <c r="AS335" s="240">
        <f>INPUT!BR270</f>
        <v>10.454545454545453</v>
      </c>
      <c r="AT335" s="519">
        <f>INPUT!BS270</f>
        <v>138.59999999999997</v>
      </c>
      <c r="AU335" s="240">
        <f>INPUT!BT270</f>
        <v>2.666666666666643</v>
      </c>
      <c r="AV335" s="519">
        <f>INPUT!BU270</f>
        <v>128.49999999999997</v>
      </c>
      <c r="AW335" s="240">
        <f>INPUT!BV270</f>
        <v>-9.3154551870148339</v>
      </c>
      <c r="AX335" s="519">
        <f>INPUT!BW270</f>
        <v>120.59999999999998</v>
      </c>
      <c r="AY335" s="240">
        <f>INPUT!BX270</f>
        <v>-13.918629550321199</v>
      </c>
      <c r="AZ335" s="519">
        <f>INPUT!BY270</f>
        <v>128.89999999999998</v>
      </c>
      <c r="BA335" s="240">
        <f>INPUT!BZ270</f>
        <v>-11.591220850480113</v>
      </c>
      <c r="BB335" s="519">
        <f>INPUT!CA270</f>
        <v>143.57999999999998</v>
      </c>
      <c r="BC335" s="240">
        <f>INPUT!CB270</f>
        <v>3.593073593073612</v>
      </c>
      <c r="BD335" s="519">
        <f>INPUT!CC270</f>
        <v>151.88</v>
      </c>
      <c r="BE335" s="240">
        <f>INPUT!CD270</f>
        <v>18.1945525291829</v>
      </c>
      <c r="BF335" s="520">
        <f>INPUT!CE270</f>
        <v>156.88</v>
      </c>
      <c r="BG335" s="240">
        <f>INPUT!CF270</f>
        <v>30.082918739635176</v>
      </c>
      <c r="BH335" s="520">
        <f>INPUT!CG270</f>
        <v>167.17999999999998</v>
      </c>
      <c r="BI335" s="240">
        <f>INPUT!CH270</f>
        <v>29.69743987587276</v>
      </c>
      <c r="BJ335" s="520">
        <f>INPUT!CI270</f>
        <v>183.98</v>
      </c>
      <c r="BK335" s="240">
        <f>INPUT!CJ270</f>
        <v>28.137623624460247</v>
      </c>
      <c r="BL335" s="520">
        <f>INPUT!CK270</f>
        <v>197.48</v>
      </c>
      <c r="BM335" s="240">
        <f>INPUT!CL270</f>
        <v>30.023702923360531</v>
      </c>
      <c r="BN335" s="520">
        <f>INPUT!CM270</f>
        <v>211.9</v>
      </c>
      <c r="BO335" s="240">
        <f>INPUT!CN270</f>
        <v>35.071392146863843</v>
      </c>
      <c r="BP335" s="520">
        <f>INPUT!CO270</f>
        <v>221.6</v>
      </c>
      <c r="BQ335" s="240">
        <f>INPUT!CP270</f>
        <v>32.551740638832428</v>
      </c>
      <c r="BR335" s="520">
        <f>INPUT!CQ270</f>
        <v>224</v>
      </c>
      <c r="BS335" s="240">
        <f>INPUT!CR270</f>
        <v>21.752364387433417</v>
      </c>
      <c r="BT335" s="520">
        <f>INPUT!CS270</f>
        <v>234.20000000000005</v>
      </c>
      <c r="BU335" s="240">
        <f>INPUT!CT270</f>
        <v>18.594288029167544</v>
      </c>
      <c r="BV335" s="520">
        <f>INPUT!CU270</f>
        <v>247.50000000000003</v>
      </c>
      <c r="BW335" s="240">
        <f>INPUT!CV270</f>
        <v>16.800377536573862</v>
      </c>
      <c r="BX335" s="520">
        <f>INPUT!CW270</f>
        <v>251.40000000000003</v>
      </c>
      <c r="BY335" s="240">
        <f>INPUT!CX270</f>
        <v>13.447653429602894</v>
      </c>
      <c r="BZ335" s="520">
        <f>INPUT!CY270</f>
        <v>263.8</v>
      </c>
      <c r="CA335" s="240">
        <f>INPUT!CZ270</f>
        <v>17.767857142857153</v>
      </c>
      <c r="CB335" s="520">
        <f>INPUT!DA270</f>
        <v>274.60000000000008</v>
      </c>
      <c r="CC335" s="240">
        <f>INPUT!DB270</f>
        <v>17.250213492741253</v>
      </c>
      <c r="CD335" s="520">
        <f>INPUT!DC270</f>
        <v>282.90000000000003</v>
      </c>
      <c r="CE335" s="240">
        <f>INPUT!DD270</f>
        <v>14.303030303030312</v>
      </c>
      <c r="CF335" s="520">
        <f>INPUT!DE270</f>
        <v>279.60000000000002</v>
      </c>
      <c r="CG335" s="240">
        <f>INPUT!DF270</f>
        <v>11.217183770883054</v>
      </c>
      <c r="CH335" s="520">
        <f>INPUT!DG270</f>
        <v>290.00000000000006</v>
      </c>
      <c r="CI335" s="240">
        <f>INPUT!DH270</f>
        <v>9.9317664897649962</v>
      </c>
      <c r="CJ335" s="520">
        <f>INPUT!DI270</f>
        <v>300.50000000000006</v>
      </c>
      <c r="CK335" s="240">
        <f>INPUT!DJ270</f>
        <v>9.4319009468317461</v>
      </c>
      <c r="CL335" s="520">
        <f>INPUT!DK270</f>
        <v>310.40000000000003</v>
      </c>
      <c r="CM335" s="240">
        <f>INPUT!DL270</f>
        <v>9.7207493814068613</v>
      </c>
      <c r="CN335" s="520">
        <f>INPUT!DM270</f>
        <v>323.50000000000006</v>
      </c>
      <c r="CO335" s="240">
        <f>INPUT!DN270</f>
        <v>15.701001430615165</v>
      </c>
      <c r="CP335" s="520">
        <f>INPUT!DO270</f>
        <v>320.7000000000001</v>
      </c>
      <c r="CQ335" s="240">
        <f>INPUT!DP270</f>
        <v>10.586206896551744</v>
      </c>
      <c r="CR335" s="520">
        <f>INPUT!DQ270</f>
        <v>323.60000000000014</v>
      </c>
      <c r="CS335" s="240">
        <f>INPUT!DR270</f>
        <v>7.6871880199667544</v>
      </c>
      <c r="CT335" s="520">
        <f>INPUT!DS270</f>
        <v>334.10000000000014</v>
      </c>
      <c r="CU335" s="240">
        <f>INPUT!DT270</f>
        <v>7.6353092783505474</v>
      </c>
      <c r="CV335" s="520">
        <f>INPUT!DU270</f>
        <v>335.90000000000015</v>
      </c>
      <c r="CW335" s="240">
        <f>INPUT!DV270</f>
        <v>3.8330757341576742</v>
      </c>
      <c r="CX335" s="520">
        <f>INPUT!DW270</f>
        <v>338.60000000000014</v>
      </c>
      <c r="CY335" s="240">
        <f>INPUT!DX270</f>
        <v>5.5815403804178487</v>
      </c>
      <c r="CZ335" s="520">
        <f>INPUT!DY270</f>
        <v>347.10000000000014</v>
      </c>
      <c r="DA335" s="240">
        <f>INPUT!DZ270</f>
        <v>7.2620519159456052</v>
      </c>
      <c r="DB335" s="520">
        <f>INPUT!EA270</f>
        <v>359.30000000000013</v>
      </c>
      <c r="DC335" s="240">
        <f>INPUT!EB270</f>
        <v>7.5426519006285559</v>
      </c>
      <c r="DD335" s="520">
        <f>INPUT!EC270</f>
        <v>373.40000000000015</v>
      </c>
      <c r="DE335" s="240">
        <f>INPUT!ED270</f>
        <v>11.164036915748724</v>
      </c>
      <c r="DF335" s="520">
        <f>INPUT!EE270</f>
        <v>398.90000000000009</v>
      </c>
      <c r="DG335" s="240">
        <f>INPUT!EF270</f>
        <v>17.808623744831635</v>
      </c>
      <c r="DH335" s="520">
        <f>INPUT!EG270</f>
        <v>386.40000000000009</v>
      </c>
      <c r="DI335" s="240">
        <f>INPUT!EH270</f>
        <v>11.322385479688819</v>
      </c>
      <c r="DJ335" s="520">
        <f>INPUT!EI270</f>
        <v>399.10000000000014</v>
      </c>
      <c r="DK335" s="240">
        <f>INPUT!EJ270</f>
        <v>11.07709435012525</v>
      </c>
      <c r="DL335" s="520">
        <f>INPUT!EK270</f>
        <v>414.60000000000014</v>
      </c>
      <c r="DM335" s="240">
        <f>INPUT!EL270</f>
        <v>11.033743974290289</v>
      </c>
      <c r="DN335" s="520">
        <f>INPUT!EM270</f>
        <v>431.00000000000017</v>
      </c>
      <c r="DO335" s="240">
        <f>INPUT!EN270</f>
        <v>8.0471296064176698</v>
      </c>
      <c r="DP335" s="520">
        <f>INPUT!EO270</f>
        <v>437.90000000000015</v>
      </c>
      <c r="DQ335" s="240">
        <f>INPUT!EP270</f>
        <v>13.3281573498965</v>
      </c>
      <c r="DR335" s="520">
        <f>INPUT!EQ270</f>
        <v>437.56485000000015</v>
      </c>
      <c r="DS335" s="240">
        <f>INPUT!ER270</f>
        <v>9.6378977699824446</v>
      </c>
      <c r="DT335" s="520">
        <f>INPUT!ES270</f>
        <v>444.57412087500018</v>
      </c>
      <c r="DU335" s="240">
        <f>INPUT!ET270</f>
        <v>7.2296480643994272</v>
      </c>
      <c r="DV335" s="520">
        <f>INPUT!EU270</f>
        <v>451.76277275531265</v>
      </c>
      <c r="DW335" s="240">
        <f>INPUT!EV270</f>
        <v>4.8173486671258701</v>
      </c>
      <c r="DX335" s="520">
        <f>INPUT!EW270</f>
        <v>459.13351136031815</v>
      </c>
      <c r="DY335" s="240">
        <f>INPUT!EX270</f>
        <v>4.8489407079968032</v>
      </c>
      <c r="DZ335" s="520"/>
      <c r="EA335" s="240"/>
      <c r="EB335" s="508"/>
      <c r="EC335" s="509"/>
      <c r="ED335" s="508"/>
      <c r="EE335" s="509"/>
      <c r="EF335" s="508"/>
      <c r="EG335" s="509"/>
      <c r="EH335" s="508"/>
      <c r="EI335" s="509">
        <f>INPUT!FP270</f>
        <v>101.3</v>
      </c>
      <c r="EJ335" s="240">
        <f>INPUT!FQ270</f>
        <v>0</v>
      </c>
      <c r="EK335" s="519">
        <f>INPUT!FR270</f>
        <v>122.89999999999999</v>
      </c>
      <c r="EL335" s="240">
        <f>INPUT!FS270</f>
        <v>21.322803553800583</v>
      </c>
      <c r="EM335" s="519">
        <f>INPUT!FT270</f>
        <v>141.69999999999999</v>
      </c>
      <c r="EN335" s="240">
        <f>INPUT!FU270</f>
        <v>15.296989422294544</v>
      </c>
      <c r="EO335" s="519">
        <f>INPUT!FV270</f>
        <v>128.5</v>
      </c>
      <c r="EP335" s="240">
        <f>INPUT!FW270</f>
        <v>-9.3154551870148055</v>
      </c>
      <c r="EQ335" s="520">
        <f>INPUT!FX270</f>
        <v>151.88000000000002</v>
      </c>
      <c r="ER335" s="240">
        <f>INPUT!FY270</f>
        <v>18.1945525291829</v>
      </c>
      <c r="ES335" s="520">
        <f>INPUT!FZ270</f>
        <v>197.48000000000002</v>
      </c>
      <c r="ET335" s="240">
        <f>INPUT!GA270</f>
        <v>30.023702923360531</v>
      </c>
      <c r="EU335" s="520">
        <f>INPUT!GB270</f>
        <v>234.20000000000002</v>
      </c>
      <c r="EV335" s="240">
        <f>INPUT!GC270</f>
        <v>18.594288029167515</v>
      </c>
      <c r="EW335" s="520">
        <f>INPUT!GD270</f>
        <v>274.60000000000002</v>
      </c>
      <c r="EX335" s="240">
        <f>INPUT!GE270</f>
        <v>17.250213492741253</v>
      </c>
      <c r="EY335" s="520">
        <f>INPUT!GF270</f>
        <v>300.50000000000006</v>
      </c>
      <c r="EZ335" s="240">
        <f>INPUT!GG270</f>
        <v>9.4319009468317745</v>
      </c>
      <c r="FA335" s="520">
        <f>INPUT!GH270</f>
        <v>323.60000000000008</v>
      </c>
      <c r="FB335" s="240">
        <f>INPUT!GI270</f>
        <v>7.687188019966726</v>
      </c>
      <c r="FC335" s="520">
        <f>INPUT!GJ270</f>
        <v>347.10000000000014</v>
      </c>
      <c r="FD335" s="240">
        <f>INPUT!GK270</f>
        <v>7.2620519159456194</v>
      </c>
      <c r="FE335" s="520">
        <f>INPUT!GL270</f>
        <v>386.40000000000009</v>
      </c>
      <c r="FF335" s="240">
        <f>INPUT!GM270</f>
        <v>11.322385479688819</v>
      </c>
      <c r="FG335" s="520">
        <f>INPUT!GN270</f>
        <v>437.90000000000009</v>
      </c>
      <c r="FH335" s="240">
        <f>INPUT!GO270</f>
        <v>13.328157349896472</v>
      </c>
      <c r="FI335" s="520">
        <f>INPUT!GP270</f>
        <v>459.13351136031804</v>
      </c>
      <c r="FJ335" s="240">
        <f>INPUT!GQ270</f>
        <v>4.8489407079968032</v>
      </c>
      <c r="FK335" s="520">
        <f>INPUT!GR270</f>
        <v>489.31488025387921</v>
      </c>
      <c r="FL335" s="240">
        <f>INPUT!GS270</f>
        <v>6.5735495551479062</v>
      </c>
      <c r="FM335" s="520">
        <f>INPUT!GT270</f>
        <v>521.0661807686447</v>
      </c>
      <c r="FN335" s="240">
        <f>INPUT!GU270</f>
        <v>6.4889300930908576</v>
      </c>
      <c r="FO335" s="520">
        <f>INPUT!GV270</f>
        <v>554.5036556123689</v>
      </c>
      <c r="FP335" s="240">
        <f>INPUT!GW270</f>
        <v>6.4171262841121717</v>
      </c>
      <c r="FQ335" s="520">
        <f>INPUT!GX270</f>
        <v>589.74850478688052</v>
      </c>
      <c r="FR335" s="240">
        <f>INPUT!GY270</f>
        <v>6.35610763207481</v>
      </c>
      <c r="FS335" s="240">
        <f>INPUT!GZ270</f>
        <v>6.1349404710565159</v>
      </c>
    </row>
    <row r="336" spans="1:176" ht="12.75" hidden="1" customHeight="1" outlineLevel="1" x14ac:dyDescent="0.2">
      <c r="A336" s="518" t="str">
        <f>INPUT!B271</f>
        <v>Affiliated Institutional AUM</v>
      </c>
      <c r="B336" s="509"/>
      <c r="C336" s="508"/>
      <c r="D336" s="509"/>
      <c r="E336" s="508"/>
      <c r="F336" s="509"/>
      <c r="G336" s="508"/>
      <c r="H336" s="509"/>
      <c r="I336" s="508"/>
      <c r="J336" s="509"/>
      <c r="K336" s="508"/>
      <c r="L336" s="509"/>
      <c r="M336" s="508"/>
      <c r="N336" s="509"/>
      <c r="O336" s="508"/>
      <c r="P336" s="509"/>
      <c r="Q336" s="508"/>
      <c r="R336" s="509"/>
      <c r="S336" s="508"/>
      <c r="T336" s="509"/>
      <c r="U336" s="508"/>
      <c r="V336" s="509">
        <f>INPUT!AU271</f>
        <v>34.799999999999997</v>
      </c>
      <c r="W336" s="508" t="str">
        <f>INPUT!AV271</f>
        <v>NA</v>
      </c>
      <c r="X336" s="509">
        <f>INPUT!AW271</f>
        <v>33.4</v>
      </c>
      <c r="Y336" s="508" t="str">
        <f>INPUT!AX271</f>
        <v>NA</v>
      </c>
      <c r="Z336" s="509">
        <f>INPUT!AY271</f>
        <v>32</v>
      </c>
      <c r="AA336" s="155" t="str">
        <f>INPUT!AZ271</f>
        <v>NA</v>
      </c>
      <c r="AB336" s="509">
        <f>INPUT!BA271</f>
        <v>31.4</v>
      </c>
      <c r="AC336" s="155" t="str">
        <f>INPUT!BB271</f>
        <v>NA</v>
      </c>
      <c r="AD336" s="509">
        <f>INPUT!BC271</f>
        <v>32.9</v>
      </c>
      <c r="AE336" s="155">
        <f>INPUT!BD271</f>
        <v>-5.4597701149425291</v>
      </c>
      <c r="AF336" s="509">
        <f>INPUT!BE271</f>
        <v>33.9</v>
      </c>
      <c r="AG336" s="155">
        <f>INPUT!BF271</f>
        <v>1.4970059880239575</v>
      </c>
      <c r="AH336" s="519">
        <f>INPUT!BG271</f>
        <v>34</v>
      </c>
      <c r="AI336" s="240">
        <f>INPUT!BH271</f>
        <v>6.25</v>
      </c>
      <c r="AJ336" s="519">
        <f>INPUT!BI271</f>
        <v>34.200000000000003</v>
      </c>
      <c r="AK336" s="240">
        <f>INPUT!BJ271</f>
        <v>8.9171974522293169</v>
      </c>
      <c r="AL336" s="519">
        <f>INPUT!BK271</f>
        <v>35.1</v>
      </c>
      <c r="AM336" s="240">
        <f>INPUT!BL271</f>
        <v>6.6869300911854168</v>
      </c>
      <c r="AN336" s="519">
        <f>INPUT!BM271</f>
        <v>34.700000000000003</v>
      </c>
      <c r="AO336" s="240">
        <f>INPUT!BN271</f>
        <v>2.3598820058997205</v>
      </c>
      <c r="AP336" s="519">
        <f>INPUT!BO271</f>
        <v>34.1</v>
      </c>
      <c r="AQ336" s="240">
        <f>INPUT!BP271</f>
        <v>0.29411764705882604</v>
      </c>
      <c r="AR336" s="519">
        <f>INPUT!BQ271</f>
        <v>33.5</v>
      </c>
      <c r="AS336" s="240">
        <f>INPUT!BR271</f>
        <v>-2.0467836257309955</v>
      </c>
      <c r="AT336" s="519">
        <f>INPUT!BS271</f>
        <v>32.299999999999997</v>
      </c>
      <c r="AU336" s="240">
        <f>INPUT!BT271</f>
        <v>-7.9772079772079962</v>
      </c>
      <c r="AV336" s="519">
        <f>INPUT!BU271</f>
        <v>32.700000000000003</v>
      </c>
      <c r="AW336" s="240">
        <f>INPUT!BV271</f>
        <v>-5.7636887608069145</v>
      </c>
      <c r="AX336" s="519">
        <f>INPUT!BW271</f>
        <v>32.1</v>
      </c>
      <c r="AY336" s="240">
        <f>INPUT!BX271</f>
        <v>-5.8651026392961825</v>
      </c>
      <c r="AZ336" s="519">
        <f>INPUT!BY271</f>
        <v>34.6</v>
      </c>
      <c r="BA336" s="240">
        <f>INPUT!BZ271</f>
        <v>3.2835820895522403</v>
      </c>
      <c r="BB336" s="519">
        <f>INPUT!CA271</f>
        <v>36.5</v>
      </c>
      <c r="BC336" s="240">
        <f>INPUT!CB271</f>
        <v>13.003095975232213</v>
      </c>
      <c r="BD336" s="519">
        <f>INPUT!CC271</f>
        <v>36.5</v>
      </c>
      <c r="BE336" s="240">
        <f>INPUT!CD271</f>
        <v>11.620795107033615</v>
      </c>
      <c r="BF336" s="520">
        <f>INPUT!CE271</f>
        <v>37.1</v>
      </c>
      <c r="BG336" s="240">
        <f>INPUT!CF271</f>
        <v>15.576323987538942</v>
      </c>
      <c r="BH336" s="520">
        <f>INPUT!CG271</f>
        <v>37.9</v>
      </c>
      <c r="BI336" s="240">
        <f>INPUT!CH271</f>
        <v>9.5375722543352452</v>
      </c>
      <c r="BJ336" s="520">
        <f>INPUT!CI271</f>
        <v>37.9</v>
      </c>
      <c r="BK336" s="240">
        <f>INPUT!CJ271</f>
        <v>3.8356164383561691</v>
      </c>
      <c r="BL336" s="520">
        <f>INPUT!CK271</f>
        <v>37.700000000000003</v>
      </c>
      <c r="BM336" s="240">
        <f>INPUT!CL271</f>
        <v>3.2876712328767184</v>
      </c>
      <c r="BN336" s="520">
        <f>INPUT!CM271</f>
        <v>37</v>
      </c>
      <c r="BO336" s="240">
        <f>INPUT!CN271</f>
        <v>-0.26954177897574993</v>
      </c>
      <c r="BP336" s="520">
        <f>INPUT!CO271</f>
        <v>37.299999999999997</v>
      </c>
      <c r="BQ336" s="240">
        <f>INPUT!CP271</f>
        <v>-1.5831134564643747</v>
      </c>
      <c r="BR336" s="520">
        <f>INPUT!CQ271</f>
        <v>37.200000000000003</v>
      </c>
      <c r="BS336" s="240">
        <f>INPUT!CR271</f>
        <v>-1.8469656992084396</v>
      </c>
      <c r="BT336" s="520">
        <f>INPUT!CS271</f>
        <v>37.6</v>
      </c>
      <c r="BU336" s="240">
        <f>INPUT!CT271</f>
        <v>-0.26525198938992389</v>
      </c>
      <c r="BV336" s="520">
        <f>INPUT!CU271</f>
        <v>38.6</v>
      </c>
      <c r="BW336" s="240">
        <f>INPUT!CV271</f>
        <v>4.3243243243243228</v>
      </c>
      <c r="BX336" s="520">
        <f>INPUT!CW271</f>
        <v>37.799999999999997</v>
      </c>
      <c r="BY336" s="240">
        <f>INPUT!CX271</f>
        <v>1.3404825737265469</v>
      </c>
      <c r="BZ336" s="520">
        <f>INPUT!CY271</f>
        <v>39.299999999999997</v>
      </c>
      <c r="CA336" s="240">
        <f>INPUT!CZ271</f>
        <v>5.6451612903225765</v>
      </c>
      <c r="CB336" s="520">
        <f>INPUT!DA271</f>
        <v>39.1</v>
      </c>
      <c r="CC336" s="240">
        <f>INPUT!DB271</f>
        <v>3.9893617021276668</v>
      </c>
      <c r="CD336" s="520">
        <f>INPUT!DC271</f>
        <v>40.299999999999997</v>
      </c>
      <c r="CE336" s="240">
        <f>INPUT!DD271</f>
        <v>4.4041450777202016</v>
      </c>
      <c r="CF336" s="520">
        <f>INPUT!DE271</f>
        <v>39.5</v>
      </c>
      <c r="CG336" s="240">
        <f>INPUT!DF271</f>
        <v>4.4973544973545074</v>
      </c>
      <c r="CH336" s="520">
        <f>INPUT!DG271</f>
        <v>40.299999999999997</v>
      </c>
      <c r="CI336" s="240">
        <f>INPUT!DH271</f>
        <v>2.544529262086499</v>
      </c>
      <c r="CJ336" s="520">
        <f>INPUT!DI271</f>
        <v>41.2</v>
      </c>
      <c r="CK336" s="240">
        <f>INPUT!DJ271</f>
        <v>5.3708439897698099</v>
      </c>
      <c r="CL336" s="520">
        <f>INPUT!DK271</f>
        <v>41.8</v>
      </c>
      <c r="CM336" s="240">
        <f>INPUT!DL271</f>
        <v>3.7220843672456567</v>
      </c>
      <c r="CN336" s="520">
        <f>INPUT!DM271</f>
        <v>43.5</v>
      </c>
      <c r="CO336" s="240">
        <f>INPUT!DN271</f>
        <v>10.126582278481024</v>
      </c>
      <c r="CP336" s="520">
        <f>INPUT!DO271</f>
        <v>43</v>
      </c>
      <c r="CQ336" s="240">
        <f>INPUT!DP271</f>
        <v>6.6997518610421878</v>
      </c>
      <c r="CR336" s="520">
        <f>INPUT!DQ271</f>
        <v>46.4</v>
      </c>
      <c r="CS336" s="240">
        <f>INPUT!DR271</f>
        <v>12.621359223300971</v>
      </c>
      <c r="CT336" s="520">
        <f>INPUT!DS271</f>
        <v>46.8</v>
      </c>
      <c r="CU336" s="240">
        <f>INPUT!DT271</f>
        <v>11.961722488038291</v>
      </c>
      <c r="CV336" s="520">
        <f>INPUT!DU271</f>
        <v>44.7</v>
      </c>
      <c r="CW336" s="240">
        <f>INPUT!DV271</f>
        <v>2.7586206896551744</v>
      </c>
      <c r="CX336" s="520">
        <f>INPUT!DW271</f>
        <v>42.3</v>
      </c>
      <c r="CY336" s="240">
        <f>INPUT!DX271</f>
        <v>-1.6279069767441996</v>
      </c>
      <c r="CZ336" s="520">
        <f>INPUT!DY271</f>
        <v>42</v>
      </c>
      <c r="DA336" s="240">
        <f>INPUT!DZ271</f>
        <v>-9.4827586206896513</v>
      </c>
      <c r="DB336" s="520">
        <f>INPUT!EA271</f>
        <v>44.3</v>
      </c>
      <c r="DC336" s="240">
        <f>INPUT!EB271</f>
        <v>-5.3418803418803407</v>
      </c>
      <c r="DD336" s="520">
        <f>INPUT!EC271</f>
        <v>45.4</v>
      </c>
      <c r="DE336" s="240">
        <f>INPUT!ED271</f>
        <v>1.5659955257270752</v>
      </c>
      <c r="DF336" s="520">
        <f>INPUT!EE271</f>
        <v>47</v>
      </c>
      <c r="DG336" s="240">
        <f>INPUT!EF271</f>
        <v>11.111111111111114</v>
      </c>
      <c r="DH336" s="520">
        <f>INPUT!EG271</f>
        <v>45.1</v>
      </c>
      <c r="DI336" s="240">
        <f>INPUT!EH271</f>
        <v>7.3809523809523796</v>
      </c>
      <c r="DJ336" s="520">
        <f>INPUT!EI271</f>
        <v>46.1</v>
      </c>
      <c r="DK336" s="240">
        <f>INPUT!EJ271</f>
        <v>4.0632054176072359</v>
      </c>
      <c r="DL336" s="520">
        <f>INPUT!EK271</f>
        <v>46.6</v>
      </c>
      <c r="DM336" s="240">
        <f>INPUT!EL271</f>
        <v>2.6431718061674019</v>
      </c>
      <c r="DN336" s="520">
        <f>INPUT!EM271</f>
        <v>47.3</v>
      </c>
      <c r="DO336" s="240">
        <f>INPUT!EN271</f>
        <v>0.63829787234041646</v>
      </c>
      <c r="DP336" s="520">
        <f>INPUT!EO271</f>
        <v>51.6</v>
      </c>
      <c r="DQ336" s="240">
        <f>INPUT!EP271</f>
        <v>14.412416851441236</v>
      </c>
      <c r="DR336" s="520">
        <f>INPUT!EQ271</f>
        <v>52.425600000000003</v>
      </c>
      <c r="DS336" s="240">
        <f>INPUT!ER271</f>
        <v>13.721475054229941</v>
      </c>
      <c r="DT336" s="520">
        <f>INPUT!ES271</f>
        <v>53.2644096</v>
      </c>
      <c r="DU336" s="240">
        <f>INPUT!ET271</f>
        <v>14.30130815450643</v>
      </c>
      <c r="DV336" s="520">
        <f>INPUT!EU271</f>
        <v>54.116640153600002</v>
      </c>
      <c r="DW336" s="240">
        <f>INPUT!EV271</f>
        <v>14.411501381818198</v>
      </c>
      <c r="DX336" s="520">
        <f>INPUT!EW271</f>
        <v>54.982506396057602</v>
      </c>
      <c r="DY336" s="240">
        <f>INPUT!EX271</f>
        <v>6.5552449536000097</v>
      </c>
      <c r="DZ336" s="520"/>
      <c r="EA336" s="240"/>
      <c r="EB336" s="508"/>
      <c r="EC336" s="509"/>
      <c r="ED336" s="508"/>
      <c r="EE336" s="509"/>
      <c r="EF336" s="508"/>
      <c r="EG336" s="509"/>
      <c r="EH336" s="508"/>
      <c r="EI336" s="509">
        <f>INPUT!FP271</f>
        <v>33.4</v>
      </c>
      <c r="EJ336" s="240">
        <f>INPUT!FQ271</f>
        <v>0</v>
      </c>
      <c r="EK336" s="519">
        <f>INPUT!FR271</f>
        <v>33.9</v>
      </c>
      <c r="EL336" s="240">
        <f>INPUT!FS271</f>
        <v>1.4970059880239575</v>
      </c>
      <c r="EM336" s="519">
        <f>INPUT!FT271</f>
        <v>34.700000000000003</v>
      </c>
      <c r="EN336" s="240">
        <f>INPUT!FU271</f>
        <v>2.3598820058997205</v>
      </c>
      <c r="EO336" s="519">
        <f>INPUT!FV271</f>
        <v>32.700000000000003</v>
      </c>
      <c r="EP336" s="240">
        <f>INPUT!FW271</f>
        <v>-5.7636887608069145</v>
      </c>
      <c r="EQ336" s="520">
        <f>INPUT!FX271</f>
        <v>36.5</v>
      </c>
      <c r="ER336" s="240">
        <f>INPUT!FY271</f>
        <v>11.620795107033615</v>
      </c>
      <c r="ES336" s="520">
        <f>INPUT!FZ271</f>
        <v>37.700000000000003</v>
      </c>
      <c r="ET336" s="240">
        <f>INPUT!GA271</f>
        <v>3.2876712328767184</v>
      </c>
      <c r="EU336" s="520">
        <f>INPUT!GB271</f>
        <v>37.6</v>
      </c>
      <c r="EV336" s="240">
        <f>INPUT!GC271</f>
        <v>-0.26525198938992389</v>
      </c>
      <c r="EW336" s="520">
        <f>INPUT!GD271</f>
        <v>39.1</v>
      </c>
      <c r="EX336" s="240">
        <f>INPUT!GE271</f>
        <v>3.9893617021276668</v>
      </c>
      <c r="EY336" s="520">
        <f>INPUT!GF271</f>
        <v>41.2</v>
      </c>
      <c r="EZ336" s="240">
        <f>INPUT!GG271</f>
        <v>5.3708439897698099</v>
      </c>
      <c r="FA336" s="520">
        <f>INPUT!GH271</f>
        <v>46.4</v>
      </c>
      <c r="FB336" s="240">
        <f>INPUT!GI271</f>
        <v>12.621359223300971</v>
      </c>
      <c r="FC336" s="520">
        <f>INPUT!GJ271</f>
        <v>42</v>
      </c>
      <c r="FD336" s="240">
        <f>INPUT!GK271</f>
        <v>-9.4827586206896513</v>
      </c>
      <c r="FE336" s="520">
        <f>INPUT!GL271</f>
        <v>44.3</v>
      </c>
      <c r="FF336" s="240">
        <f>INPUT!GM271</f>
        <v>5.4761904761904816</v>
      </c>
      <c r="FG336" s="520">
        <f>INPUT!GN271</f>
        <v>46.1</v>
      </c>
      <c r="FH336" s="240">
        <f>INPUT!GO271</f>
        <v>4.0632054176072359</v>
      </c>
      <c r="FI336" s="520">
        <f>INPUT!GP271</f>
        <v>52.425600000000003</v>
      </c>
      <c r="FJ336" s="240">
        <f>INPUT!GQ271</f>
        <v>13.721475054229941</v>
      </c>
      <c r="FK336" s="520">
        <f>INPUT!GR271</f>
        <v>54.522624000000008</v>
      </c>
      <c r="FL336" s="240">
        <f>INPUT!GS271</f>
        <v>4</v>
      </c>
      <c r="FM336" s="520">
        <f>INPUT!GT271</f>
        <v>56.703528960000007</v>
      </c>
      <c r="FN336" s="240">
        <f>INPUT!GU271</f>
        <v>4</v>
      </c>
      <c r="FO336" s="520">
        <f>INPUT!GV271</f>
        <v>58.971670118400006</v>
      </c>
      <c r="FP336" s="240">
        <f>INPUT!GW271</f>
        <v>4</v>
      </c>
      <c r="FQ336" s="520">
        <f>INPUT!GX271</f>
        <v>61.330536923136009</v>
      </c>
      <c r="FR336" s="240">
        <f>INPUT!GY271</f>
        <v>4</v>
      </c>
      <c r="FS336" s="240">
        <f>INPUT!GZ271</f>
        <v>5.8754253924955702</v>
      </c>
    </row>
    <row r="337" spans="1:175" ht="12.75" hidden="1" customHeight="1" outlineLevel="1" x14ac:dyDescent="0.2">
      <c r="A337" s="518" t="str">
        <f>INPUT!B272</f>
        <v>Total Institutional Assets</v>
      </c>
      <c r="B337" s="509"/>
      <c r="C337" s="508"/>
      <c r="D337" s="509"/>
      <c r="E337" s="508"/>
      <c r="F337" s="509"/>
      <c r="G337" s="508"/>
      <c r="H337" s="509"/>
      <c r="I337" s="508"/>
      <c r="J337" s="509"/>
      <c r="K337" s="508"/>
      <c r="L337" s="509"/>
      <c r="M337" s="508"/>
      <c r="N337" s="509"/>
      <c r="O337" s="508"/>
      <c r="P337" s="509"/>
      <c r="Q337" s="508"/>
      <c r="R337" s="509"/>
      <c r="S337" s="508"/>
      <c r="T337" s="509"/>
      <c r="U337" s="508"/>
      <c r="V337" s="509">
        <f>INPUT!AU272</f>
        <v>129.80000000000001</v>
      </c>
      <c r="W337" s="508" t="str">
        <f>INPUT!AV272</f>
        <v>NA</v>
      </c>
      <c r="X337" s="509">
        <f>INPUT!AW272</f>
        <v>134.69999999999999</v>
      </c>
      <c r="Y337" s="508" t="str">
        <f>INPUT!AX272</f>
        <v>NA</v>
      </c>
      <c r="Z337" s="509">
        <f>INPUT!AY272</f>
        <v>138.69999999999999</v>
      </c>
      <c r="AA337" s="155" t="str">
        <f>INPUT!AZ272</f>
        <v>NA</v>
      </c>
      <c r="AB337" s="509">
        <f>INPUT!BA272</f>
        <v>138.5</v>
      </c>
      <c r="AC337" s="155" t="str">
        <f>INPUT!BB272</f>
        <v>NA</v>
      </c>
      <c r="AD337" s="509">
        <f>INPUT!BC272</f>
        <v>147.9</v>
      </c>
      <c r="AE337" s="155">
        <f>INPUT!BD272</f>
        <v>13.944530046224955</v>
      </c>
      <c r="AF337" s="509">
        <f>INPUT!BE272</f>
        <v>156.79999999999998</v>
      </c>
      <c r="AG337" s="155">
        <f>INPUT!BF272</f>
        <v>16.406829992576093</v>
      </c>
      <c r="AH337" s="519">
        <f>INPUT!BG272</f>
        <v>161</v>
      </c>
      <c r="AI337" s="240">
        <f>INPUT!BH272</f>
        <v>16.077865897620768</v>
      </c>
      <c r="AJ337" s="519">
        <f>INPUT!BI272</f>
        <v>166.2</v>
      </c>
      <c r="AK337" s="240">
        <f>INPUT!BJ272</f>
        <v>20</v>
      </c>
      <c r="AL337" s="519">
        <f>INPUT!BK272</f>
        <v>170.1</v>
      </c>
      <c r="AM337" s="240">
        <f>INPUT!BL272</f>
        <v>15.010141987829613</v>
      </c>
      <c r="AN337" s="519">
        <f>INPUT!BM272</f>
        <v>176.39999999999998</v>
      </c>
      <c r="AO337" s="240">
        <f>INPUT!BN272</f>
        <v>12.5</v>
      </c>
      <c r="AP337" s="519">
        <f>INPUT!BO272</f>
        <v>174.19999999999996</v>
      </c>
      <c r="AQ337" s="240">
        <f>INPUT!BP272</f>
        <v>8.1987577639751379</v>
      </c>
      <c r="AR337" s="519">
        <f>INPUT!BQ272</f>
        <v>179.29999999999998</v>
      </c>
      <c r="AS337" s="240">
        <f>INPUT!BR272</f>
        <v>7.882069795427185</v>
      </c>
      <c r="AT337" s="519">
        <f>INPUT!BS272</f>
        <v>170.89999999999998</v>
      </c>
      <c r="AU337" s="240">
        <f>INPUT!BT272</f>
        <v>0.4703115814226777</v>
      </c>
      <c r="AV337" s="519">
        <f>INPUT!BU272</f>
        <v>161.19999999999999</v>
      </c>
      <c r="AW337" s="240">
        <f>INPUT!BV272</f>
        <v>-8.6167800453514758</v>
      </c>
      <c r="AX337" s="519">
        <f>INPUT!BW272</f>
        <v>152.69999999999999</v>
      </c>
      <c r="AY337" s="240">
        <f>INPUT!BX272</f>
        <v>-12.342135476463824</v>
      </c>
      <c r="AZ337" s="519">
        <f>INPUT!BY272</f>
        <v>163.49999999999997</v>
      </c>
      <c r="BA337" s="240">
        <f>INPUT!BZ272</f>
        <v>-8.8120468488566672</v>
      </c>
      <c r="BB337" s="519">
        <f>INPUT!CA272</f>
        <v>180.07999999999998</v>
      </c>
      <c r="BC337" s="240">
        <f>INPUT!CB272</f>
        <v>5.371562317144523</v>
      </c>
      <c r="BD337" s="519">
        <f>INPUT!CC272</f>
        <v>188.38</v>
      </c>
      <c r="BE337" s="240">
        <f>INPUT!CD272</f>
        <v>16.861042183622828</v>
      </c>
      <c r="BF337" s="520">
        <f>INPUT!CE272</f>
        <v>193.98</v>
      </c>
      <c r="BG337" s="240">
        <f>INPUT!CF272</f>
        <v>27.033398821218071</v>
      </c>
      <c r="BH337" s="520">
        <f>INPUT!CG272</f>
        <v>205.07999999999998</v>
      </c>
      <c r="BI337" s="240">
        <f>INPUT!CH272</f>
        <v>25.431192660550465</v>
      </c>
      <c r="BJ337" s="520">
        <f>INPUT!CI272</f>
        <v>221.88</v>
      </c>
      <c r="BK337" s="240">
        <f>INPUT!CJ272</f>
        <v>23.211905819635732</v>
      </c>
      <c r="BL337" s="520">
        <f>INPUT!CK272</f>
        <v>235.18</v>
      </c>
      <c r="BM337" s="240">
        <f>INPUT!CL272</f>
        <v>24.8434016349931</v>
      </c>
      <c r="BN337" s="520">
        <f>INPUT!CM272</f>
        <v>248.9</v>
      </c>
      <c r="BO337" s="240">
        <f>INPUT!CN272</f>
        <v>28.312197133725135</v>
      </c>
      <c r="BP337" s="520">
        <f>INPUT!CO272</f>
        <v>258.89999999999998</v>
      </c>
      <c r="BQ337" s="240">
        <f>INPUT!CP272</f>
        <v>26.243417203042711</v>
      </c>
      <c r="BR337" s="520">
        <f>INPUT!CQ272</f>
        <v>261.2</v>
      </c>
      <c r="BS337" s="240">
        <f>INPUT!CR272</f>
        <v>17.721290787813231</v>
      </c>
      <c r="BT337" s="520">
        <f>INPUT!CS272</f>
        <v>271.80000000000007</v>
      </c>
      <c r="BU337" s="240">
        <f>INPUT!CT272</f>
        <v>15.57105196020072</v>
      </c>
      <c r="BV337" s="520">
        <f>INPUT!CU272</f>
        <v>286.10000000000002</v>
      </c>
      <c r="BW337" s="240">
        <f>INPUT!CV272</f>
        <v>14.945761349939744</v>
      </c>
      <c r="BX337" s="520">
        <f>INPUT!CW272</f>
        <v>289.20000000000005</v>
      </c>
      <c r="BY337" s="240">
        <f>INPUT!CX272</f>
        <v>11.703360370799558</v>
      </c>
      <c r="BZ337" s="520">
        <f>INPUT!CY272</f>
        <v>303.10000000000002</v>
      </c>
      <c r="CA337" s="240">
        <f>INPUT!CZ272</f>
        <v>16.04134762633997</v>
      </c>
      <c r="CB337" s="520">
        <f>INPUT!DA272</f>
        <v>313.7000000000001</v>
      </c>
      <c r="CC337" s="240">
        <f>INPUT!DB272</f>
        <v>15.415746872700538</v>
      </c>
      <c r="CD337" s="520">
        <f>INPUT!DC272</f>
        <v>323.20000000000005</v>
      </c>
      <c r="CE337" s="240">
        <f>INPUT!DD272</f>
        <v>12.967493883257617</v>
      </c>
      <c r="CF337" s="520">
        <f>INPUT!DE272</f>
        <v>319.10000000000002</v>
      </c>
      <c r="CG337" s="240">
        <f>INPUT!DF272</f>
        <v>10.338865836791129</v>
      </c>
      <c r="CH337" s="520">
        <f>INPUT!DG272</f>
        <v>330.30000000000007</v>
      </c>
      <c r="CI337" s="240">
        <f>INPUT!DH272</f>
        <v>8.9739359947212307</v>
      </c>
      <c r="CJ337" s="520">
        <f>INPUT!DI272</f>
        <v>341.70000000000005</v>
      </c>
      <c r="CK337" s="240">
        <f>INPUT!DJ272</f>
        <v>8.9257252151737134</v>
      </c>
      <c r="CL337" s="520">
        <f>INPUT!DK272</f>
        <v>352.20000000000005</v>
      </c>
      <c r="CM337" s="240">
        <f>INPUT!DL272</f>
        <v>8.972772277227719</v>
      </c>
      <c r="CN337" s="520">
        <f>INPUT!DM272</f>
        <v>367.00000000000006</v>
      </c>
      <c r="CO337" s="240">
        <f>INPUT!DN272</f>
        <v>15.010968348480105</v>
      </c>
      <c r="CP337" s="520">
        <f>INPUT!DO272</f>
        <v>363.7000000000001</v>
      </c>
      <c r="CQ337" s="240">
        <f>INPUT!DP272</f>
        <v>10.112019376324554</v>
      </c>
      <c r="CR337" s="520">
        <f>INPUT!DQ272</f>
        <v>370.00000000000011</v>
      </c>
      <c r="CS337" s="240">
        <f>INPUT!DR272</f>
        <v>8.2821188176763485</v>
      </c>
      <c r="CT337" s="520">
        <f>INPUT!DS272</f>
        <v>380.90000000000015</v>
      </c>
      <c r="CU337" s="240">
        <f>INPUT!DT272</f>
        <v>8.1487791027825267</v>
      </c>
      <c r="CV337" s="520">
        <f>INPUT!DU272</f>
        <v>380.60000000000014</v>
      </c>
      <c r="CW337" s="240">
        <f>INPUT!DV272</f>
        <v>3.7057220708447005</v>
      </c>
      <c r="CX337" s="520">
        <f>INPUT!DW272</f>
        <v>380.90000000000015</v>
      </c>
      <c r="CY337" s="240">
        <f>INPUT!DX272</f>
        <v>4.7291723948309112</v>
      </c>
      <c r="CZ337" s="520">
        <f>INPUT!DY272</f>
        <v>389.10000000000014</v>
      </c>
      <c r="DA337" s="240">
        <f>INPUT!DZ272</f>
        <v>5.1621621621621614</v>
      </c>
      <c r="DB337" s="520">
        <f>INPUT!EA272</f>
        <v>403.60000000000014</v>
      </c>
      <c r="DC337" s="240">
        <f>INPUT!EB272</f>
        <v>5.9595694407980915</v>
      </c>
      <c r="DD337" s="520">
        <f>INPUT!EC272</f>
        <v>418.80000000000013</v>
      </c>
      <c r="DE337" s="240">
        <f>INPUT!ED272</f>
        <v>10.036784025223326</v>
      </c>
      <c r="DF337" s="520">
        <f>INPUT!EE272</f>
        <v>445.90000000000009</v>
      </c>
      <c r="DG337" s="240">
        <f>INPUT!EF272</f>
        <v>17.064846416382238</v>
      </c>
      <c r="DH337" s="520">
        <f>INPUT!EG272</f>
        <v>431.50000000000011</v>
      </c>
      <c r="DI337" s="240">
        <f>INPUT!EH272</f>
        <v>10.896941660241581</v>
      </c>
      <c r="DJ337" s="520">
        <f>INPUT!EI272</f>
        <v>445.20000000000016</v>
      </c>
      <c r="DK337" s="240">
        <f>INPUT!EJ272</f>
        <v>10.307234886025768</v>
      </c>
      <c r="DL337" s="520">
        <f>INPUT!EK272</f>
        <v>461.20000000000016</v>
      </c>
      <c r="DM337" s="240">
        <f>INPUT!EL272</f>
        <v>10.124164278892067</v>
      </c>
      <c r="DN337" s="520">
        <f>INPUT!EM272</f>
        <v>478.30000000000018</v>
      </c>
      <c r="DO337" s="240">
        <f>INPUT!EN272</f>
        <v>7.2662031845705428</v>
      </c>
      <c r="DP337" s="520">
        <f>INPUT!EO272</f>
        <v>489.50000000000017</v>
      </c>
      <c r="DQ337" s="240">
        <f>INPUT!EP272</f>
        <v>13.441483198146017</v>
      </c>
      <c r="DR337" s="520">
        <f>INPUT!EQ272</f>
        <v>489.99045000000012</v>
      </c>
      <c r="DS337" s="240">
        <f>INPUT!ER272</f>
        <v>10.060747978436652</v>
      </c>
      <c r="DT337" s="520">
        <f>INPUT!ES272</f>
        <v>497.8385304750002</v>
      </c>
      <c r="DU337" s="240">
        <f>INPUT!ET272</f>
        <v>7.9441739971812808</v>
      </c>
      <c r="DV337" s="520">
        <f>INPUT!EU272</f>
        <v>505.87941290891263</v>
      </c>
      <c r="DW337" s="240">
        <f>INPUT!EV272</f>
        <v>5.7661327428209148</v>
      </c>
      <c r="DX337" s="520">
        <f>INPUT!EW272</f>
        <v>514.11601775637575</v>
      </c>
      <c r="DY337" s="240">
        <f>INPUT!EX272</f>
        <v>5.0288085304138122</v>
      </c>
      <c r="DZ337" s="520"/>
      <c r="EA337" s="240"/>
      <c r="EB337" s="508"/>
      <c r="EC337" s="509"/>
      <c r="ED337" s="508"/>
      <c r="EE337" s="509"/>
      <c r="EF337" s="508"/>
      <c r="EG337" s="509"/>
      <c r="EH337" s="508"/>
      <c r="EI337" s="509">
        <f>INPUT!FP272</f>
        <v>134.69999999999999</v>
      </c>
      <c r="EJ337" s="240">
        <f>INPUT!FQ272</f>
        <v>0</v>
      </c>
      <c r="EK337" s="519">
        <f>INPUT!FR272</f>
        <v>156.79999999999998</v>
      </c>
      <c r="EL337" s="240">
        <f>INPUT!FS272</f>
        <v>16.406829992576093</v>
      </c>
      <c r="EM337" s="519">
        <f>INPUT!FT272</f>
        <v>176.39999999999998</v>
      </c>
      <c r="EN337" s="240">
        <f>INPUT!FU272</f>
        <v>12.5</v>
      </c>
      <c r="EO337" s="519">
        <f>INPUT!FV272</f>
        <v>161.19999999999999</v>
      </c>
      <c r="EP337" s="240">
        <f>INPUT!FW272</f>
        <v>-8.6167800453514758</v>
      </c>
      <c r="EQ337" s="520">
        <f>INPUT!FX272</f>
        <v>188.38000000000002</v>
      </c>
      <c r="ER337" s="240">
        <f>INPUT!FY272</f>
        <v>16.861042183622857</v>
      </c>
      <c r="ES337" s="520">
        <f>INPUT!FZ272</f>
        <v>235.18</v>
      </c>
      <c r="ET337" s="240">
        <f>INPUT!GA272</f>
        <v>24.843401634993086</v>
      </c>
      <c r="EU337" s="520">
        <f>INPUT!GB272</f>
        <v>271.8</v>
      </c>
      <c r="EV337" s="240">
        <f>INPUT!GC272</f>
        <v>15.571051960200705</v>
      </c>
      <c r="EW337" s="520">
        <f>INPUT!GD272</f>
        <v>313.70000000000005</v>
      </c>
      <c r="EX337" s="240">
        <f>INPUT!GE272</f>
        <v>15.415746872700538</v>
      </c>
      <c r="EY337" s="520">
        <f>INPUT!GF272</f>
        <v>341.70000000000005</v>
      </c>
      <c r="EZ337" s="240">
        <f>INPUT!GG272</f>
        <v>8.9257252151737418</v>
      </c>
      <c r="FA337" s="520">
        <f>INPUT!GH272</f>
        <v>370.00000000000006</v>
      </c>
      <c r="FB337" s="240">
        <f>INPUT!GI272</f>
        <v>8.2821188176763343</v>
      </c>
      <c r="FC337" s="520">
        <f>INPUT!GJ272</f>
        <v>389.10000000000014</v>
      </c>
      <c r="FD337" s="240">
        <f>INPUT!GK272</f>
        <v>5.1621621621621898</v>
      </c>
      <c r="FE337" s="520">
        <f>INPUT!GL272</f>
        <v>430.7000000000001</v>
      </c>
      <c r="FF337" s="240">
        <f>INPUT!GM272</f>
        <v>10.691338987406823</v>
      </c>
      <c r="FG337" s="520">
        <f>INPUT!GN272</f>
        <v>484.00000000000011</v>
      </c>
      <c r="FH337" s="240">
        <f>INPUT!GO272</f>
        <v>12.375203157650333</v>
      </c>
      <c r="FI337" s="520">
        <f>INPUT!GP272</f>
        <v>511.55911136031807</v>
      </c>
      <c r="FJ337" s="240">
        <f>INPUT!GQ272</f>
        <v>5.6940312727929552</v>
      </c>
      <c r="FK337" s="520">
        <f>INPUT!GR272</f>
        <v>543.83750425387916</v>
      </c>
      <c r="FL337" s="240">
        <f>INPUT!GS272</f>
        <v>6.3098070539155486</v>
      </c>
      <c r="FM337" s="520">
        <f>INPUT!GT272</f>
        <v>577.76970972864467</v>
      </c>
      <c r="FN337" s="240">
        <f>INPUT!GU272</f>
        <v>6.2394015141193648</v>
      </c>
      <c r="FO337" s="520">
        <f>INPUT!GV272</f>
        <v>613.47532573076887</v>
      </c>
      <c r="FP337" s="240">
        <f>INPUT!GW272</f>
        <v>6.1799044499743161</v>
      </c>
      <c r="FQ337" s="520">
        <f>INPUT!GX272</f>
        <v>651.07904171001655</v>
      </c>
      <c r="FR337" s="240">
        <f>INPUT!GY272</f>
        <v>6.1296215841206418</v>
      </c>
      <c r="FS337" s="240">
        <f>INPUT!GZ272</f>
        <v>6.1103313708377849</v>
      </c>
    </row>
    <row r="338" spans="1:175" ht="12.75" hidden="1" customHeight="1" outlineLevel="1" x14ac:dyDescent="0.2">
      <c r="A338" s="518" t="str">
        <f>INPUT!B274</f>
        <v>Net Institutional Flows</v>
      </c>
      <c r="B338" s="509"/>
      <c r="C338" s="508"/>
      <c r="D338" s="509"/>
      <c r="E338" s="508"/>
      <c r="F338" s="509"/>
      <c r="G338" s="508"/>
      <c r="H338" s="509"/>
      <c r="I338" s="508"/>
      <c r="J338" s="509"/>
      <c r="K338" s="508"/>
      <c r="L338" s="509"/>
      <c r="M338" s="508"/>
      <c r="N338" s="509"/>
      <c r="O338" s="508"/>
      <c r="P338" s="509"/>
      <c r="Q338" s="508"/>
      <c r="R338" s="509"/>
      <c r="S338" s="508"/>
      <c r="T338" s="509"/>
      <c r="U338" s="508"/>
      <c r="V338" s="509">
        <f>INPUT!AU274</f>
        <v>2</v>
      </c>
      <c r="W338" s="508" t="str">
        <f>INPUT!AV274</f>
        <v>NA</v>
      </c>
      <c r="X338" s="509">
        <f>INPUT!AW274</f>
        <v>4.1999999999999993</v>
      </c>
      <c r="Y338" s="508" t="str">
        <f>INPUT!AX274</f>
        <v>NA</v>
      </c>
      <c r="Z338" s="509">
        <f>INPUT!AY274</f>
        <v>3.3</v>
      </c>
      <c r="AA338" s="155" t="str">
        <f>INPUT!AZ274</f>
        <v>NA</v>
      </c>
      <c r="AB338" s="509">
        <f>INPUT!BA274</f>
        <v>0.89999999999999947</v>
      </c>
      <c r="AC338" s="155" t="str">
        <f>INPUT!BB274</f>
        <v>NA</v>
      </c>
      <c r="AD338" s="509">
        <f>INPUT!BC274</f>
        <v>3.1999999999999997</v>
      </c>
      <c r="AE338" s="155">
        <f>INPUT!BD274</f>
        <v>60</v>
      </c>
      <c r="AF338" s="509">
        <f>INPUT!BE274</f>
        <v>3.4000000000000004</v>
      </c>
      <c r="AG338" s="155">
        <f>INPUT!BF274</f>
        <v>-19.047619047619023</v>
      </c>
      <c r="AH338" s="519">
        <f>INPUT!BG274</f>
        <v>1.2000000000000002</v>
      </c>
      <c r="AI338" s="240" t="str">
        <f>INPUT!BH274</f>
        <v>NM</v>
      </c>
      <c r="AJ338" s="519">
        <f>INPUT!BI274</f>
        <v>1.7000000000000011</v>
      </c>
      <c r="AK338" s="240">
        <f>INPUT!BJ274</f>
        <v>88.888888888889142</v>
      </c>
      <c r="AL338" s="519">
        <f>INPUT!BK274</f>
        <v>-0.59999999999999964</v>
      </c>
      <c r="AM338" s="240" t="str">
        <f>INPUT!BL274</f>
        <v>NM</v>
      </c>
      <c r="AN338" s="519">
        <f>INPUT!BM274</f>
        <v>4.6999999999999993</v>
      </c>
      <c r="AO338" s="240">
        <f>INPUT!BN273</f>
        <v>0</v>
      </c>
      <c r="AP338" s="519">
        <f>INPUT!BO274</f>
        <v>2.2000000000000002</v>
      </c>
      <c r="AQ338" s="240">
        <f>INPUT!BP273</f>
        <v>0</v>
      </c>
      <c r="AR338" s="519">
        <f>INPUT!BQ274</f>
        <v>6.3000000000000007</v>
      </c>
      <c r="AS338" s="240">
        <f>INPUT!BR273</f>
        <v>0</v>
      </c>
      <c r="AT338" s="519">
        <f>INPUT!BS274</f>
        <v>1.5</v>
      </c>
      <c r="AU338" s="240">
        <f>INPUT!BT273</f>
        <v>0</v>
      </c>
      <c r="AV338" s="519">
        <f>INPUT!BU274</f>
        <v>0.19999999999999929</v>
      </c>
      <c r="AW338" s="240">
        <f>INPUT!BV273</f>
        <v>0</v>
      </c>
      <c r="AX338" s="519">
        <f>INPUT!BW274</f>
        <v>0.30000000000000071</v>
      </c>
      <c r="AY338" s="240">
        <f>INPUT!BX273</f>
        <v>0</v>
      </c>
      <c r="AZ338" s="519">
        <f>INPUT!BY274</f>
        <v>1.2000000000000002</v>
      </c>
      <c r="BA338" s="240">
        <f>INPUT!BZ273</f>
        <v>0</v>
      </c>
      <c r="BB338" s="519">
        <f>INPUT!CA274</f>
        <v>4.8000000000000007</v>
      </c>
      <c r="BC338" s="240">
        <f>INPUT!CB273</f>
        <v>0</v>
      </c>
      <c r="BD338" s="519">
        <f>INPUT!CC274</f>
        <v>6.3000000000000007</v>
      </c>
      <c r="BE338" s="240">
        <f>INPUT!CD273</f>
        <v>0</v>
      </c>
      <c r="BF338" s="519">
        <f>INPUT!CE274</f>
        <v>2</v>
      </c>
      <c r="BG338" s="240">
        <f>INPUT!CF273</f>
        <v>0</v>
      </c>
      <c r="BH338" s="519">
        <f>INPUT!CG274</f>
        <v>10.899999999999999</v>
      </c>
      <c r="BI338" s="240">
        <f>INPUT!CH273</f>
        <v>0</v>
      </c>
      <c r="BJ338" s="519">
        <f>INPUT!CI274</f>
        <v>5.8</v>
      </c>
      <c r="BK338" s="240">
        <f>INPUT!CJ273</f>
        <v>0</v>
      </c>
      <c r="BL338" s="519">
        <f>INPUT!CK274</f>
        <v>9.9000000000000021</v>
      </c>
      <c r="BM338" s="240">
        <f>INPUT!CL273</f>
        <v>0</v>
      </c>
      <c r="BN338" s="519">
        <f>INPUT!CM274</f>
        <v>6.1</v>
      </c>
      <c r="BO338" s="240">
        <f>INPUT!CN273</f>
        <v>0</v>
      </c>
      <c r="BP338" s="519">
        <f>INPUT!CO274</f>
        <v>4.8999999999999995</v>
      </c>
      <c r="BQ338" s="240">
        <f>INPUT!CP273</f>
        <v>0</v>
      </c>
      <c r="BR338" s="519">
        <f>INPUT!CQ274</f>
        <v>2.3000000000000007</v>
      </c>
      <c r="BS338" s="240">
        <f>INPUT!CR273</f>
        <v>0</v>
      </c>
      <c r="BT338" s="519">
        <f>INPUT!CS274</f>
        <v>3.6000000000000014</v>
      </c>
      <c r="BU338" s="240">
        <f>INPUT!CT273</f>
        <v>0</v>
      </c>
      <c r="BV338" s="519">
        <f>INPUT!CU274</f>
        <v>5.4</v>
      </c>
      <c r="BW338" s="240">
        <f>INPUT!CV273</f>
        <v>0</v>
      </c>
      <c r="BX338" s="519">
        <f>INPUT!CW274</f>
        <v>0</v>
      </c>
      <c r="BY338" s="240">
        <f>INPUT!CX273</f>
        <v>0</v>
      </c>
      <c r="BZ338" s="519">
        <f>INPUT!CY274</f>
        <v>3.3999999999999986</v>
      </c>
      <c r="CA338" s="240">
        <f>INPUT!CZ273</f>
        <v>0</v>
      </c>
      <c r="CB338" s="519">
        <f>INPUT!DA274</f>
        <v>8.4</v>
      </c>
      <c r="CC338" s="240">
        <f>INPUT!DB273</f>
        <v>0</v>
      </c>
      <c r="CD338" s="519">
        <f>INPUT!DC274</f>
        <v>6.9</v>
      </c>
      <c r="CE338" s="240">
        <f>INPUT!DD273</f>
        <v>0</v>
      </c>
      <c r="CF338" s="519">
        <f>INPUT!DE274</f>
        <v>3.1000000000000014</v>
      </c>
      <c r="CG338" s="240">
        <f>INPUT!DF273</f>
        <v>0</v>
      </c>
      <c r="CH338" s="519">
        <f>INPUT!DG274</f>
        <v>4.0999999999999996</v>
      </c>
      <c r="CI338" s="240">
        <f>INPUT!DH273</f>
        <v>0</v>
      </c>
      <c r="CJ338" s="519">
        <f>INPUT!DI274</f>
        <v>5.3000000000000007</v>
      </c>
      <c r="CK338" s="240">
        <f>INPUT!DJ273</f>
        <v>0</v>
      </c>
      <c r="CL338" s="519">
        <f>INPUT!DK274</f>
        <v>1.9000000000000004</v>
      </c>
      <c r="CM338" s="240">
        <f>INPUT!DL273</f>
        <v>0</v>
      </c>
      <c r="CN338" s="519">
        <f>INPUT!DM274</f>
        <v>2.7</v>
      </c>
      <c r="CO338" s="240">
        <f>INPUT!DN273</f>
        <v>0</v>
      </c>
      <c r="CP338" s="519">
        <f>INPUT!DO274</f>
        <v>-1.4000000000000004</v>
      </c>
      <c r="CQ338" s="240">
        <f>INPUT!DP273</f>
        <v>0</v>
      </c>
      <c r="CR338" s="519">
        <f>INPUT!DQ274</f>
        <v>-2.5</v>
      </c>
      <c r="CS338" s="240">
        <f>INPUT!DR273</f>
        <v>0</v>
      </c>
      <c r="CT338" s="519">
        <f>INPUT!DS274</f>
        <v>3.7000000000000011</v>
      </c>
      <c r="CU338" s="240">
        <f>INPUT!DT273</f>
        <v>0</v>
      </c>
      <c r="CV338" s="519">
        <f>INPUT!DU274</f>
        <v>6.8000000000000007</v>
      </c>
      <c r="CW338" s="240">
        <f>INPUT!DV273</f>
        <v>0</v>
      </c>
      <c r="CX338" s="519">
        <f>INPUT!DW274</f>
        <v>4.6999999999999993</v>
      </c>
      <c r="CY338" s="240">
        <f>INPUT!DX273</f>
        <v>0</v>
      </c>
      <c r="CZ338" s="519">
        <f>INPUT!DY274</f>
        <v>6</v>
      </c>
      <c r="DA338" s="240">
        <f>INPUT!DZ273</f>
        <v>0</v>
      </c>
      <c r="DB338" s="519">
        <f>INPUT!EA274</f>
        <v>-2.5999999999999996</v>
      </c>
      <c r="DC338" s="240">
        <f>INPUT!EB273</f>
        <v>0</v>
      </c>
      <c r="DD338" s="519">
        <f>INPUT!EC274</f>
        <v>2</v>
      </c>
      <c r="DE338" s="240">
        <f>INPUT!ED273</f>
        <v>0</v>
      </c>
      <c r="DF338" s="519">
        <f>INPUT!EE274</f>
        <v>3.3999999999999986</v>
      </c>
      <c r="DG338" s="240">
        <f>INPUT!EF273</f>
        <v>0</v>
      </c>
      <c r="DH338" s="519">
        <f>INPUT!EG274</f>
        <v>2.5</v>
      </c>
      <c r="DI338" s="240">
        <f>INPUT!EH273</f>
        <v>0</v>
      </c>
      <c r="DJ338" s="519">
        <f>INPUT!EI274</f>
        <v>0.5</v>
      </c>
      <c r="DK338" s="240">
        <f>INPUT!EJ273</f>
        <v>0</v>
      </c>
      <c r="DL338" s="519">
        <f>INPUT!EK274</f>
        <v>6.5</v>
      </c>
      <c r="DM338" s="240">
        <f>INPUT!EL273</f>
        <v>0</v>
      </c>
      <c r="DN338" s="519">
        <f>INPUT!EM274</f>
        <v>4.7000000000000011</v>
      </c>
      <c r="DO338" s="240">
        <f>INPUT!EN273</f>
        <v>0</v>
      </c>
      <c r="DP338" s="519">
        <f>INPUT!EO274</f>
        <v>-0.10000000000000142</v>
      </c>
      <c r="DQ338" s="240">
        <f>INPUT!EP273</f>
        <v>0</v>
      </c>
      <c r="DR338" s="519">
        <f>INPUT!EQ274</f>
        <v>2.2922499999999975</v>
      </c>
      <c r="DS338" s="240">
        <f>INPUT!ER273</f>
        <v>0</v>
      </c>
      <c r="DT338" s="519">
        <f>INPUT!ES274</f>
        <v>2.6336223749999963</v>
      </c>
      <c r="DU338" s="240">
        <f>INPUT!ET273</f>
        <v>0</v>
      </c>
      <c r="DV338" s="519">
        <f>INPUT!EU274</f>
        <v>2.7429106715624965</v>
      </c>
      <c r="DW338" s="240">
        <f>INPUT!EV273</f>
        <v>0</v>
      </c>
      <c r="DX338" s="519">
        <f>INPUT!EW274</f>
        <v>2.853110877452341</v>
      </c>
      <c r="DY338" s="240">
        <f>INPUT!EX273</f>
        <v>0</v>
      </c>
      <c r="DZ338" s="519"/>
      <c r="EA338" s="240"/>
      <c r="EB338" s="508"/>
      <c r="EC338" s="509"/>
      <c r="ED338" s="508"/>
      <c r="EE338" s="509"/>
      <c r="EF338" s="508"/>
      <c r="EG338" s="509"/>
      <c r="EH338" s="508"/>
      <c r="EI338" s="509">
        <f>INPUT!FP274</f>
        <v>6.1999999999999993</v>
      </c>
      <c r="EJ338" s="240">
        <f>INPUT!FQ274</f>
        <v>0</v>
      </c>
      <c r="EK338" s="519">
        <f>INPUT!FR274</f>
        <v>10.8</v>
      </c>
      <c r="EL338" s="240">
        <f>INPUT!FS274</f>
        <v>74.193548387096797</v>
      </c>
      <c r="EM338" s="519">
        <f>INPUT!FT274</f>
        <v>7.0000000000000071</v>
      </c>
      <c r="EN338" s="240">
        <f>INPUT!FU274</f>
        <v>-35.185185185185119</v>
      </c>
      <c r="EO338" s="519">
        <f>INPUT!FV274</f>
        <v>10.199999999999996</v>
      </c>
      <c r="EP338" s="240">
        <f>INPUT!FW274</f>
        <v>45.714285714285495</v>
      </c>
      <c r="EQ338" s="519">
        <f>INPUT!FX274</f>
        <v>12.599999999999998</v>
      </c>
      <c r="ER338" s="240">
        <f>INPUT!FY274</f>
        <v>23.529411764705912</v>
      </c>
      <c r="ES338" s="519">
        <f>INPUT!FZ274</f>
        <v>28.6</v>
      </c>
      <c r="ET338" s="240" t="str">
        <f>INPUT!GA274</f>
        <v>NM</v>
      </c>
      <c r="EU338" s="519">
        <f>INPUT!GB274</f>
        <v>16.900000000000006</v>
      </c>
      <c r="EV338" s="240">
        <f>INPUT!GC274</f>
        <v>-40.909090909090892</v>
      </c>
      <c r="EW338" s="519">
        <f>INPUT!GD274</f>
        <v>17.199999999999996</v>
      </c>
      <c r="EX338" s="240">
        <f>INPUT!GE274</f>
        <v>1.7751479289940306</v>
      </c>
      <c r="EY338" s="519">
        <f>INPUT!GF274</f>
        <v>19.400000000000006</v>
      </c>
      <c r="EZ338" s="240">
        <f>INPUT!GG274</f>
        <v>12.790697674418666</v>
      </c>
      <c r="FA338" s="519">
        <f>INPUT!GH274</f>
        <v>0.69999999999999574</v>
      </c>
      <c r="FB338" s="240" t="str">
        <f>INPUT!GI274</f>
        <v>NM</v>
      </c>
      <c r="FC338" s="519">
        <f>INPUT!GJ274</f>
        <v>21.200000000000003</v>
      </c>
      <c r="FD338" s="240" t="str">
        <f>INPUT!GK274</f>
        <v>NM</v>
      </c>
      <c r="FE338" s="519">
        <f>INPUT!GL274</f>
        <v>5.3000000000000114</v>
      </c>
      <c r="FF338" s="240" t="str">
        <f>INPUT!GM274</f>
        <v>NM</v>
      </c>
      <c r="FG338" s="519">
        <f>INPUT!GN274</f>
        <v>11.600000000000009</v>
      </c>
      <c r="FH338" s="240" t="str">
        <f>INPUT!GO274</f>
        <v>NM</v>
      </c>
      <c r="FI338" s="519">
        <f>INPUT!GP274</f>
        <v>10.521893924014833</v>
      </c>
      <c r="FJ338" s="240">
        <f>INPUT!GQ274</f>
        <v>-9.2940178964239237</v>
      </c>
      <c r="FK338" s="519">
        <f>INPUT!GR274</f>
        <v>11.816028439148489</v>
      </c>
      <c r="FL338" s="240">
        <f>INPUT!GS274</f>
        <v>12.299444610251825</v>
      </c>
      <c r="FM338" s="519">
        <f>INPUT!GT274</f>
        <v>12.17870530461029</v>
      </c>
      <c r="FN338" s="240">
        <f>INPUT!GU274</f>
        <v>3.0693635118564089</v>
      </c>
      <c r="FO338" s="519">
        <f>INPUT!GV274</f>
        <v>12.594827612978321</v>
      </c>
      <c r="FP338" s="240">
        <f>INPUT!GW274</f>
        <v>3.4168025086419078</v>
      </c>
      <c r="FQ338" s="519">
        <f>INPUT!GX274</f>
        <v>13.06470295001688</v>
      </c>
      <c r="FR338" s="240">
        <f>INPUT!GY274</f>
        <v>3.7307008200285168</v>
      </c>
      <c r="FS338" s="240">
        <f>INPUT!GZ274</f>
        <v>2.4066855291709599</v>
      </c>
    </row>
    <row r="339" spans="1:175" ht="12.75" hidden="1" customHeight="1" outlineLevel="1" x14ac:dyDescent="0.2">
      <c r="A339" s="246"/>
      <c r="B339" s="81"/>
      <c r="C339" s="155"/>
      <c r="D339" s="81"/>
      <c r="E339" s="155"/>
      <c r="F339" s="81"/>
      <c r="G339" s="155"/>
      <c r="H339" s="81"/>
      <c r="I339" s="155"/>
      <c r="J339" s="81"/>
      <c r="K339" s="155"/>
      <c r="L339" s="81"/>
      <c r="M339" s="155"/>
      <c r="N339" s="81"/>
      <c r="O339" s="155"/>
      <c r="P339" s="81"/>
      <c r="Q339" s="155"/>
      <c r="R339" s="81"/>
      <c r="S339" s="155"/>
      <c r="T339" s="81"/>
      <c r="U339" s="155"/>
      <c r="V339" s="81"/>
      <c r="W339" s="499"/>
      <c r="X339" s="81"/>
      <c r="Y339" s="499"/>
      <c r="Z339" s="81"/>
      <c r="AA339" s="155"/>
      <c r="AB339" s="81"/>
      <c r="AC339" s="155"/>
      <c r="AD339" s="81"/>
      <c r="AE339" s="155"/>
      <c r="AF339" s="81"/>
      <c r="AG339" s="155"/>
      <c r="AH339" s="81"/>
      <c r="AI339" s="240"/>
      <c r="AJ339" s="81"/>
      <c r="AK339" s="240"/>
      <c r="AL339" s="81"/>
      <c r="AM339" s="240"/>
      <c r="AN339" s="81"/>
      <c r="AO339" s="240"/>
      <c r="AP339" s="81"/>
      <c r="AQ339" s="240"/>
      <c r="AR339" s="81"/>
      <c r="AS339" s="240"/>
      <c r="AT339" s="81"/>
      <c r="AU339" s="240"/>
      <c r="AV339" s="81"/>
      <c r="AW339" s="240"/>
      <c r="AX339" s="81"/>
      <c r="AY339" s="240"/>
      <c r="AZ339" s="81"/>
      <c r="BA339" s="240"/>
      <c r="BB339" s="81"/>
      <c r="BC339" s="240"/>
      <c r="BD339" s="81"/>
      <c r="BE339" s="240"/>
      <c r="BF339" s="81"/>
      <c r="BG339" s="240"/>
      <c r="BH339" s="81"/>
      <c r="BI339" s="240"/>
      <c r="BJ339" s="81"/>
      <c r="BK339" s="240"/>
      <c r="BL339" s="81"/>
      <c r="BM339" s="240"/>
      <c r="BN339" s="81"/>
      <c r="BO339" s="240"/>
      <c r="BP339" s="81"/>
      <c r="BQ339" s="240"/>
      <c r="BR339" s="81"/>
      <c r="BS339" s="240"/>
      <c r="BT339" s="81"/>
      <c r="BU339" s="240"/>
      <c r="BV339" s="81"/>
      <c r="BW339" s="240"/>
      <c r="BX339" s="81"/>
      <c r="BY339" s="240"/>
      <c r="BZ339" s="81"/>
      <c r="CA339" s="240"/>
      <c r="CB339" s="81"/>
      <c r="CC339" s="240"/>
      <c r="CD339" s="81"/>
      <c r="CE339" s="240"/>
      <c r="CF339" s="81"/>
      <c r="CG339" s="240"/>
      <c r="CH339" s="81"/>
      <c r="CI339" s="240"/>
      <c r="CJ339" s="81"/>
      <c r="CK339" s="240"/>
      <c r="CL339" s="81"/>
      <c r="CM339" s="240"/>
      <c r="CN339" s="81"/>
      <c r="CO339" s="240"/>
      <c r="CP339" s="81"/>
      <c r="CQ339" s="240"/>
      <c r="CR339" s="81"/>
      <c r="CS339" s="240"/>
      <c r="CT339" s="81"/>
      <c r="CU339" s="240"/>
      <c r="CV339" s="81"/>
      <c r="CW339" s="240"/>
      <c r="CX339" s="81"/>
      <c r="CY339" s="240"/>
      <c r="CZ339" s="81"/>
      <c r="DA339" s="240"/>
      <c r="DB339" s="81"/>
      <c r="DC339" s="240"/>
      <c r="DD339" s="81"/>
      <c r="DE339" s="240"/>
      <c r="DF339" s="81"/>
      <c r="DG339" s="240"/>
      <c r="DH339" s="81"/>
      <c r="DI339" s="240"/>
      <c r="DJ339" s="81"/>
      <c r="DK339" s="240"/>
      <c r="DL339" s="81"/>
      <c r="DM339" s="240"/>
      <c r="DN339" s="81"/>
      <c r="DO339" s="240"/>
      <c r="DP339" s="81"/>
      <c r="DQ339" s="240"/>
      <c r="DR339" s="81"/>
      <c r="DS339" s="240"/>
      <c r="DT339" s="81"/>
      <c r="DU339" s="240"/>
      <c r="DV339" s="81"/>
      <c r="DW339" s="240"/>
      <c r="DX339" s="81"/>
      <c r="DY339" s="240"/>
      <c r="DZ339" s="81"/>
      <c r="EA339" s="240"/>
      <c r="EB339" s="155"/>
      <c r="EC339" s="81"/>
      <c r="ED339" s="155"/>
      <c r="EE339" s="81"/>
      <c r="EF339" s="155"/>
      <c r="EG339" s="81"/>
      <c r="EH339" s="155"/>
      <c r="EI339" s="81"/>
      <c r="EJ339" s="240"/>
      <c r="EK339" s="81"/>
      <c r="EL339" s="240"/>
      <c r="EM339" s="81"/>
      <c r="EN339" s="240"/>
      <c r="EO339" s="81"/>
      <c r="EP339" s="240"/>
      <c r="EQ339" s="81"/>
      <c r="ER339" s="240"/>
      <c r="ES339" s="81"/>
      <c r="ET339" s="240"/>
      <c r="EU339" s="81"/>
      <c r="EV339" s="240"/>
      <c r="EW339" s="81"/>
      <c r="EX339" s="240"/>
      <c r="EY339" s="81"/>
      <c r="EZ339" s="240"/>
      <c r="FA339" s="81"/>
      <c r="FB339" s="240"/>
      <c r="FC339" s="81"/>
      <c r="FD339" s="240"/>
      <c r="FE339" s="81"/>
      <c r="FF339" s="240"/>
      <c r="FG339" s="81"/>
      <c r="FH339" s="240"/>
      <c r="FI339" s="81"/>
      <c r="FJ339" s="240"/>
      <c r="FK339" s="81"/>
      <c r="FL339" s="240"/>
      <c r="FM339" s="81"/>
      <c r="FN339" s="240"/>
      <c r="FO339" s="81"/>
      <c r="FP339" s="240"/>
      <c r="FQ339" s="81"/>
      <c r="FR339" s="240"/>
      <c r="FS339" s="240"/>
    </row>
    <row r="340" spans="1:175" ht="12.75" hidden="1" customHeight="1" outlineLevel="1" x14ac:dyDescent="0.2">
      <c r="A340" s="517" t="str">
        <f>INPUT!B280</f>
        <v>Retail Assets</v>
      </c>
      <c r="B340" s="81"/>
      <c r="C340" s="155"/>
      <c r="D340" s="81"/>
      <c r="E340" s="155"/>
      <c r="F340" s="81"/>
      <c r="G340" s="155"/>
      <c r="H340" s="81"/>
      <c r="I340" s="155"/>
      <c r="J340" s="81"/>
      <c r="K340" s="155"/>
      <c r="L340" s="81"/>
      <c r="M340" s="155"/>
      <c r="N340" s="81"/>
      <c r="O340" s="155"/>
      <c r="P340" s="81"/>
      <c r="Q340" s="155"/>
      <c r="R340" s="81"/>
      <c r="S340" s="155"/>
      <c r="T340" s="81"/>
      <c r="U340" s="155"/>
      <c r="V340" s="81"/>
      <c r="W340" s="499"/>
      <c r="X340" s="81"/>
      <c r="Y340" s="499"/>
      <c r="Z340" s="81"/>
      <c r="AA340" s="155"/>
      <c r="AB340" s="81"/>
      <c r="AC340" s="155"/>
      <c r="AD340" s="81"/>
      <c r="AE340" s="155"/>
      <c r="AF340" s="81"/>
      <c r="AG340" s="155"/>
      <c r="AH340" s="81"/>
      <c r="AI340" s="240"/>
      <c r="AJ340" s="81"/>
      <c r="AK340" s="240"/>
      <c r="AL340" s="81"/>
      <c r="AM340" s="240"/>
      <c r="AN340" s="81"/>
      <c r="AO340" s="240"/>
      <c r="AP340" s="81"/>
      <c r="AQ340" s="240"/>
      <c r="AR340" s="81"/>
      <c r="AS340" s="240"/>
      <c r="AT340" s="81"/>
      <c r="AU340" s="240"/>
      <c r="AV340" s="81"/>
      <c r="AW340" s="240"/>
      <c r="AX340" s="81"/>
      <c r="AY340" s="240"/>
      <c r="AZ340" s="81"/>
      <c r="BA340" s="240"/>
      <c r="BB340" s="81"/>
      <c r="BC340" s="240"/>
      <c r="BD340" s="81"/>
      <c r="BE340" s="240"/>
      <c r="BF340" s="81"/>
      <c r="BG340" s="240"/>
      <c r="BH340" s="81"/>
      <c r="BI340" s="240"/>
      <c r="BJ340" s="81"/>
      <c r="BK340" s="240"/>
      <c r="BL340" s="81"/>
      <c r="BM340" s="240"/>
      <c r="BN340" s="81"/>
      <c r="BO340" s="240"/>
      <c r="BP340" s="81"/>
      <c r="BQ340" s="240"/>
      <c r="BR340" s="81"/>
      <c r="BS340" s="240"/>
      <c r="BT340" s="81"/>
      <c r="BU340" s="240"/>
      <c r="BV340" s="81"/>
      <c r="BW340" s="240"/>
      <c r="BX340" s="81"/>
      <c r="BY340" s="240"/>
      <c r="BZ340" s="81"/>
      <c r="CA340" s="240"/>
      <c r="CB340" s="81"/>
      <c r="CC340" s="240"/>
      <c r="CD340" s="81"/>
      <c r="CE340" s="240"/>
      <c r="CF340" s="81"/>
      <c r="CG340" s="240"/>
      <c r="CH340" s="81"/>
      <c r="CI340" s="240"/>
      <c r="CJ340" s="81"/>
      <c r="CK340" s="240"/>
      <c r="CL340" s="81"/>
      <c r="CM340" s="240"/>
      <c r="CN340" s="81"/>
      <c r="CO340" s="240"/>
      <c r="CP340" s="81"/>
      <c r="CQ340" s="240"/>
      <c r="CR340" s="81"/>
      <c r="CS340" s="240"/>
      <c r="CT340" s="81"/>
      <c r="CU340" s="240"/>
      <c r="CV340" s="81"/>
      <c r="CW340" s="240"/>
      <c r="CX340" s="81"/>
      <c r="CY340" s="240"/>
      <c r="CZ340" s="81"/>
      <c r="DA340" s="240"/>
      <c r="DB340" s="81"/>
      <c r="DC340" s="240"/>
      <c r="DD340" s="81"/>
      <c r="DE340" s="240"/>
      <c r="DF340" s="81"/>
      <c r="DG340" s="240"/>
      <c r="DH340" s="81"/>
      <c r="DI340" s="240"/>
      <c r="DJ340" s="81"/>
      <c r="DK340" s="240"/>
      <c r="DL340" s="81"/>
      <c r="DM340" s="240"/>
      <c r="DN340" s="81"/>
      <c r="DO340" s="240"/>
      <c r="DP340" s="81"/>
      <c r="DQ340" s="240"/>
      <c r="DR340" s="81"/>
      <c r="DS340" s="240"/>
      <c r="DT340" s="81"/>
      <c r="DU340" s="240"/>
      <c r="DV340" s="81"/>
      <c r="DW340" s="240"/>
      <c r="DX340" s="81"/>
      <c r="DY340" s="240"/>
      <c r="DZ340" s="81"/>
      <c r="EA340" s="240"/>
      <c r="EB340" s="155"/>
      <c r="EC340" s="81"/>
      <c r="ED340" s="155"/>
      <c r="EE340" s="81"/>
      <c r="EF340" s="155"/>
      <c r="EG340" s="81"/>
      <c r="EH340" s="155"/>
      <c r="EI340" s="81"/>
      <c r="EJ340" s="240"/>
      <c r="EK340" s="81"/>
      <c r="EL340" s="240"/>
      <c r="EM340" s="81"/>
      <c r="EN340" s="240"/>
      <c r="EO340" s="81"/>
      <c r="EP340" s="240"/>
      <c r="EQ340" s="81"/>
      <c r="ER340" s="240"/>
      <c r="ES340" s="81"/>
      <c r="ET340" s="240"/>
      <c r="EU340" s="81"/>
      <c r="EV340" s="240"/>
      <c r="EW340" s="81"/>
      <c r="EX340" s="240"/>
      <c r="EY340" s="81"/>
      <c r="EZ340" s="240"/>
      <c r="FA340" s="81"/>
      <c r="FB340" s="240"/>
      <c r="FC340" s="81"/>
      <c r="FD340" s="240"/>
      <c r="FE340" s="81"/>
      <c r="FF340" s="240"/>
      <c r="FG340" s="81"/>
      <c r="FH340" s="240"/>
      <c r="FI340" s="81"/>
      <c r="FJ340" s="240"/>
      <c r="FK340" s="81"/>
      <c r="FL340" s="240"/>
      <c r="FM340" s="81"/>
      <c r="FN340" s="240"/>
      <c r="FO340" s="81"/>
      <c r="FP340" s="240"/>
      <c r="FQ340" s="81"/>
      <c r="FR340" s="240"/>
      <c r="FS340" s="240"/>
    </row>
    <row r="341" spans="1:175" ht="12.75" hidden="1" customHeight="1" outlineLevel="1" x14ac:dyDescent="0.2">
      <c r="A341" s="246" t="str">
        <f>INPUT!B281</f>
        <v>Beginning Assets</v>
      </c>
      <c r="B341" s="81"/>
      <c r="C341" s="155"/>
      <c r="D341" s="81"/>
      <c r="E341" s="155"/>
      <c r="F341" s="81"/>
      <c r="G341" s="155"/>
      <c r="H341" s="81"/>
      <c r="I341" s="155"/>
      <c r="J341" s="81"/>
      <c r="K341" s="155"/>
      <c r="L341" s="81"/>
      <c r="M341" s="155"/>
      <c r="N341" s="81"/>
      <c r="O341" s="155"/>
      <c r="P341" s="81"/>
      <c r="Q341" s="155"/>
      <c r="R341" s="81"/>
      <c r="S341" s="155"/>
      <c r="T341" s="81"/>
      <c r="U341" s="155"/>
      <c r="V341" s="81">
        <f>INPUT!AU281</f>
        <v>33.6</v>
      </c>
      <c r="W341" s="499" t="str">
        <f>INPUT!AV281</f>
        <v>NA</v>
      </c>
      <c r="X341" s="81">
        <f>INPUT!AW281</f>
        <v>36.800000000000004</v>
      </c>
      <c r="Y341" s="499" t="str">
        <f>INPUT!AX281</f>
        <v>NA</v>
      </c>
      <c r="Z341" s="81">
        <f>INPUT!AY281</f>
        <v>38.700000000000003</v>
      </c>
      <c r="AA341" s="155">
        <f>INPUT!AZ281</f>
        <v>16.566265060240966</v>
      </c>
      <c r="AB341" s="81">
        <f>INPUT!BA281</f>
        <v>40.500000000000007</v>
      </c>
      <c r="AC341" s="155">
        <f>INPUT!BB281</f>
        <v>23.475609756097597</v>
      </c>
      <c r="AD341" s="81">
        <f>INPUT!BC281</f>
        <v>40.700000000000003</v>
      </c>
      <c r="AE341" s="155">
        <f>INPUT!BD281</f>
        <v>21.130952380952394</v>
      </c>
      <c r="AF341" s="81">
        <f>INPUT!BE281</f>
        <v>41.3</v>
      </c>
      <c r="AG341" s="155">
        <f>INPUT!BF281</f>
        <v>12.22826086956519</v>
      </c>
      <c r="AH341" s="519">
        <f>INPUT!BG281</f>
        <v>43.4</v>
      </c>
      <c r="AI341" s="240">
        <f>INPUT!BH281</f>
        <v>12.144702842377257</v>
      </c>
      <c r="AJ341" s="519">
        <f>INPUT!BI281</f>
        <v>47.699999999999996</v>
      </c>
      <c r="AK341" s="240">
        <f>INPUT!BJ281</f>
        <v>17.777777777777743</v>
      </c>
      <c r="AL341" s="519">
        <f>INPUT!BK281</f>
        <v>49.3</v>
      </c>
      <c r="AM341" s="240">
        <f>INPUT!BL281</f>
        <v>21.130221130221116</v>
      </c>
      <c r="AN341" s="519">
        <f>INPUT!BM281</f>
        <v>51.300000000000004</v>
      </c>
      <c r="AO341" s="240">
        <f>INPUT!BN281</f>
        <v>24.213075060532702</v>
      </c>
      <c r="AP341" s="519">
        <f>INPUT!BO281</f>
        <v>50.900000000000006</v>
      </c>
      <c r="AQ341" s="240">
        <f>INPUT!BP281</f>
        <v>17.281105990783431</v>
      </c>
      <c r="AR341" s="519">
        <f>INPUT!BQ281</f>
        <v>48.2</v>
      </c>
      <c r="AS341" s="240">
        <f>INPUT!BR281</f>
        <v>1.0482180293501102</v>
      </c>
      <c r="AT341" s="519">
        <f>INPUT!BS281</f>
        <v>50.7</v>
      </c>
      <c r="AU341" s="240">
        <f>INPUT!BT281</f>
        <v>2.8397565922921046</v>
      </c>
      <c r="AV341" s="519">
        <f>INPUT!BU281</f>
        <v>43.400000000000006</v>
      </c>
      <c r="AW341" s="240">
        <f>INPUT!BV281</f>
        <v>-15.399610136452239</v>
      </c>
      <c r="AX341" s="519">
        <f>INPUT!BW281</f>
        <v>33.500000000000007</v>
      </c>
      <c r="AY341" s="240">
        <f>INPUT!BX281</f>
        <v>-34.18467583497052</v>
      </c>
      <c r="AZ341" s="519">
        <f>INPUT!BY281</f>
        <v>33.500000000000007</v>
      </c>
      <c r="BA341" s="240">
        <f>INPUT!BZ281</f>
        <v>-30.497925311203318</v>
      </c>
      <c r="BB341" s="519">
        <f>INPUT!CA281</f>
        <v>39.500000000000007</v>
      </c>
      <c r="BC341" s="240">
        <f>INPUT!CB281</f>
        <v>-22.09072978303746</v>
      </c>
      <c r="BD341" s="519">
        <f>INPUT!CC281</f>
        <v>47.20000000000001</v>
      </c>
      <c r="BE341" s="240">
        <f>INPUT!CD281</f>
        <v>8.7557603686636156</v>
      </c>
      <c r="BF341" s="519">
        <f>INPUT!CE281</f>
        <v>51.1</v>
      </c>
      <c r="BG341" s="240">
        <f>INPUT!CF281</f>
        <v>52.537313432835788</v>
      </c>
      <c r="BH341" s="519">
        <f>INPUT!CG281</f>
        <v>53.499999999999993</v>
      </c>
      <c r="BI341" s="240">
        <f>INPUT!CH281</f>
        <v>59.701492537313385</v>
      </c>
      <c r="BJ341" s="519">
        <f>INPUT!CI281</f>
        <v>49.099999999999994</v>
      </c>
      <c r="BK341" s="240">
        <f>INPUT!CJ281</f>
        <v>24.303797468354404</v>
      </c>
      <c r="BL341" s="519">
        <f>INPUT!CK281</f>
        <v>55.5</v>
      </c>
      <c r="BM341" s="240">
        <f>INPUT!CL281</f>
        <v>17.584745762711833</v>
      </c>
      <c r="BN341" s="519">
        <f>INPUT!CM281</f>
        <v>75.099999999999994</v>
      </c>
      <c r="BO341" s="240">
        <f>INPUT!CN281</f>
        <v>46.96673189823872</v>
      </c>
      <c r="BP341" s="519">
        <f>INPUT!CO281</f>
        <v>80.7</v>
      </c>
      <c r="BQ341" s="240">
        <f>INPUT!CP281</f>
        <v>50.841121495327144</v>
      </c>
      <c r="BR341" s="520">
        <f>INPUT!CQ281</f>
        <v>82.100000000000009</v>
      </c>
      <c r="BS341" s="240">
        <f>INPUT!CR281</f>
        <v>67.209775967413492</v>
      </c>
      <c r="BT341" s="520">
        <f>INPUT!CS281</f>
        <v>72.2</v>
      </c>
      <c r="BU341" s="240">
        <f>INPUT!CT281</f>
        <v>30.090090090090087</v>
      </c>
      <c r="BV341" s="520">
        <f>INPUT!CU281</f>
        <v>69.600000000000009</v>
      </c>
      <c r="BW341" s="240">
        <f>INPUT!CV281</f>
        <v>-7.3235685752330113</v>
      </c>
      <c r="BX341" s="520">
        <f>INPUT!CW281</f>
        <v>81.100000000000023</v>
      </c>
      <c r="BY341" s="240">
        <f>INPUT!CX281</f>
        <v>0.49566294919456766</v>
      </c>
      <c r="BZ341" s="520">
        <f>INPUT!CY281</f>
        <v>81.100000000000023</v>
      </c>
      <c r="CA341" s="240">
        <f>INPUT!CZ281</f>
        <v>-1.2180267965895126</v>
      </c>
      <c r="CB341" s="520">
        <f>INPUT!DA281</f>
        <v>87.800000000000026</v>
      </c>
      <c r="CC341" s="240">
        <f>INPUT!DB281</f>
        <v>21.606648199446028</v>
      </c>
      <c r="CD341" s="520">
        <f>INPUT!DC281</f>
        <v>91.100000000000023</v>
      </c>
      <c r="CE341" s="240">
        <f>INPUT!DD281</f>
        <v>30.890804597701162</v>
      </c>
      <c r="CF341" s="520">
        <f>INPUT!DE281</f>
        <v>97.900000000000034</v>
      </c>
      <c r="CG341" s="240">
        <f>INPUT!DF281</f>
        <v>20.715166461159072</v>
      </c>
      <c r="CH341" s="520">
        <f>INPUT!DG281</f>
        <v>100.40000000000003</v>
      </c>
      <c r="CI341" s="240">
        <f>INPUT!DH281</f>
        <v>23.797780517879175</v>
      </c>
      <c r="CJ341" s="520">
        <f>INPUT!DI281</f>
        <v>106.50000000000003</v>
      </c>
      <c r="CK341" s="240">
        <f>INPUT!DJ281</f>
        <v>21.298405466970394</v>
      </c>
      <c r="CL341" s="520">
        <f>INPUT!DK281</f>
        <v>115.00000000000003</v>
      </c>
      <c r="CM341" s="240">
        <f>INPUT!DL281</f>
        <v>26.234906695938534</v>
      </c>
      <c r="CN341" s="520">
        <f>INPUT!DM281</f>
        <v>117.00000000000003</v>
      </c>
      <c r="CO341" s="240">
        <f>INPUT!DN281</f>
        <v>19.509703779366689</v>
      </c>
      <c r="CP341" s="520">
        <f>INPUT!DO281</f>
        <v>122.50000000000003</v>
      </c>
      <c r="CQ341" s="240">
        <f>INPUT!DP281</f>
        <v>22.011952191235039</v>
      </c>
      <c r="CR341" s="520">
        <f>INPUT!DQ281</f>
        <v>122.70000000000003</v>
      </c>
      <c r="CS341" s="240">
        <f>INPUT!DR281</f>
        <v>15.211267605633807</v>
      </c>
      <c r="CT341" s="520">
        <f>INPUT!DS281</f>
        <v>126.80000000000003</v>
      </c>
      <c r="CU341" s="240">
        <f>INPUT!DT281</f>
        <v>10.260869565217391</v>
      </c>
      <c r="CV341" s="520">
        <f>INPUT!DU281</f>
        <v>135.10000000000005</v>
      </c>
      <c r="CW341" s="240">
        <f>INPUT!DV281</f>
        <v>15.470085470085479</v>
      </c>
      <c r="CX341" s="520">
        <f>INPUT!DW281</f>
        <v>135.20000000000007</v>
      </c>
      <c r="CY341" s="240">
        <f>INPUT!DX281</f>
        <v>10.36734693877554</v>
      </c>
      <c r="CZ341" s="520">
        <f>INPUT!DY281</f>
        <v>125.90000000000006</v>
      </c>
      <c r="DA341" s="240">
        <f>INPUT!DZ281</f>
        <v>2.607986960065233</v>
      </c>
      <c r="DB341" s="520">
        <f>INPUT!EA281</f>
        <v>128.90000000000006</v>
      </c>
      <c r="DC341" s="240">
        <f>INPUT!EB281</f>
        <v>1.6561514195583982</v>
      </c>
      <c r="DD341" s="520">
        <f>INPUT!EC281</f>
        <v>127.80000000000007</v>
      </c>
      <c r="DE341" s="240">
        <f>INPUT!ED281</f>
        <v>-5.403404885270163</v>
      </c>
      <c r="DF341" s="520">
        <f>INPUT!EE281</f>
        <v>131.30000000000007</v>
      </c>
      <c r="DG341" s="240">
        <f>INPUT!EF281</f>
        <v>-2.8846153846153868</v>
      </c>
      <c r="DH341" s="520">
        <f>INPUT!EG281</f>
        <v>137.70000000000007</v>
      </c>
      <c r="DI341" s="240">
        <f>INPUT!EH281</f>
        <v>9.3725178713264512</v>
      </c>
      <c r="DJ341" s="520">
        <f>INPUT!EI281</f>
        <v>136.60000000000008</v>
      </c>
      <c r="DK341" s="240">
        <f>INPUT!EJ281</f>
        <v>5.9736229635376219</v>
      </c>
      <c r="DL341" s="520">
        <f>INPUT!EK281</f>
        <v>144.20000000000007</v>
      </c>
      <c r="DM341" s="240">
        <f>INPUT!EL281</f>
        <v>12.832550860719877</v>
      </c>
      <c r="DN341" s="520">
        <f>INPUT!EM281</f>
        <v>150.00000000000009</v>
      </c>
      <c r="DO341" s="240">
        <f>INPUT!EN281</f>
        <v>14.242193450114243</v>
      </c>
      <c r="DP341" s="520">
        <f>INPUT!EO281</f>
        <v>157.50000000000009</v>
      </c>
      <c r="DQ341" s="240">
        <f>INPUT!EP281</f>
        <v>14.379084967320253</v>
      </c>
      <c r="DR341" s="520">
        <f>INPUT!EQ281</f>
        <v>164.3000000000001</v>
      </c>
      <c r="DS341" s="240">
        <f>INPUT!ER281</f>
        <v>20.278184480234259</v>
      </c>
      <c r="DT341" s="520">
        <f>INPUT!ES281</f>
        <v>164.0337900000001</v>
      </c>
      <c r="DU341" s="240">
        <f>INPUT!ET281</f>
        <v>13.754361997226084</v>
      </c>
      <c r="DV341" s="520">
        <f>INPUT!EU281</f>
        <v>166.42177672826639</v>
      </c>
      <c r="DW341" s="240">
        <f>INPUT!EV281</f>
        <v>10.947851152177535</v>
      </c>
      <c r="DX341" s="520">
        <f>INPUT!EW281</f>
        <v>169.15336582687476</v>
      </c>
      <c r="DY341" s="240">
        <f>INPUT!EX281</f>
        <v>7.3989624297616956</v>
      </c>
      <c r="DZ341" s="520"/>
      <c r="EA341" s="240"/>
      <c r="EB341" s="155"/>
      <c r="EC341" s="81"/>
      <c r="ED341" s="155"/>
      <c r="EE341" s="81"/>
      <c r="EF341" s="155"/>
      <c r="EG341" s="81"/>
      <c r="EH341" s="155"/>
      <c r="EI341" s="81">
        <f>INPUT!FP281</f>
        <v>33.200000000000003</v>
      </c>
      <c r="EJ341" s="240">
        <f>INPUT!FQ281</f>
        <v>0</v>
      </c>
      <c r="EK341" s="519">
        <f>INPUT!FR281</f>
        <v>38.700000000000003</v>
      </c>
      <c r="EL341" s="240">
        <f>INPUT!FS281</f>
        <v>16.566265060240966</v>
      </c>
      <c r="EM341" s="519">
        <f>INPUT!FT281</f>
        <v>43.400000000000006</v>
      </c>
      <c r="EN341" s="240">
        <f>INPUT!FU281</f>
        <v>12.144702842377271</v>
      </c>
      <c r="EO341" s="519">
        <f>INPUT!FV281</f>
        <v>50.900000000000006</v>
      </c>
      <c r="EP341" s="240">
        <f>INPUT!FW281</f>
        <v>17.281105990783402</v>
      </c>
      <c r="EQ341" s="519">
        <f>INPUT!FX281</f>
        <v>33.5</v>
      </c>
      <c r="ER341" s="240">
        <f>INPUT!FY281</f>
        <v>-34.184675834970534</v>
      </c>
      <c r="ES341" s="519">
        <f>INPUT!FZ281</f>
        <v>51.099999999999994</v>
      </c>
      <c r="ET341" s="240">
        <f>INPUT!GA281</f>
        <v>52.537313432835816</v>
      </c>
      <c r="EU341" s="520">
        <f>INPUT!GB281</f>
        <v>75.099999999999994</v>
      </c>
      <c r="EV341" s="240">
        <f>INPUT!GC281</f>
        <v>46.966731898238748</v>
      </c>
      <c r="EW341" s="520">
        <f>INPUT!GD281</f>
        <v>69.599999999999994</v>
      </c>
      <c r="EX341" s="240">
        <f>INPUT!GE281</f>
        <v>-7.3235685752330255</v>
      </c>
      <c r="EY341" s="520">
        <f>INPUT!GF281</f>
        <v>91.1</v>
      </c>
      <c r="EZ341" s="240">
        <f>INPUT!GG281</f>
        <v>30.890804597701162</v>
      </c>
      <c r="FA341" s="520">
        <f>INPUT!GH281</f>
        <v>115.00000000000001</v>
      </c>
      <c r="FB341" s="240">
        <f>INPUT!GI281</f>
        <v>26.234906695938548</v>
      </c>
      <c r="FC341" s="520">
        <f>INPUT!GJ281</f>
        <v>126.80000000000003</v>
      </c>
      <c r="FD341" s="240">
        <f>INPUT!GK281</f>
        <v>10.260869565217391</v>
      </c>
      <c r="FE341" s="520">
        <f>INPUT!GL281</f>
        <v>128.90000000000003</v>
      </c>
      <c r="FF341" s="240">
        <f>INPUT!GM281</f>
        <v>1.6561514195583698</v>
      </c>
      <c r="FG341" s="520">
        <f>INPUT!GN281</f>
        <v>136.60000000000002</v>
      </c>
      <c r="FH341" s="240">
        <f>INPUT!GO281</f>
        <v>5.9736229635376077</v>
      </c>
      <c r="FI341" s="520">
        <f>INPUT!GP281</f>
        <v>164.3</v>
      </c>
      <c r="FJ341" s="240">
        <f>INPUT!GQ281</f>
        <v>20.278184480234245</v>
      </c>
      <c r="FK341" s="520">
        <f>INPUT!GR281</f>
        <v>172.45833591307695</v>
      </c>
      <c r="FL341" s="240">
        <f>INPUT!GS281</f>
        <v>4.9655118156280764</v>
      </c>
      <c r="FM341" s="520">
        <f>INPUT!GT281</f>
        <v>181.36524358341617</v>
      </c>
      <c r="FN341" s="240">
        <f>INPUT!GU281</f>
        <v>5.1646721645444416</v>
      </c>
      <c r="FO341" s="520">
        <f>INPUT!GV281</f>
        <v>189.04764998247822</v>
      </c>
      <c r="FP341" s="240">
        <f>INPUT!GW281</f>
        <v>4.2358757649883643</v>
      </c>
      <c r="FQ341" s="520">
        <f>INPUT!GX281</f>
        <v>195.84154341698132</v>
      </c>
      <c r="FR341" s="240">
        <f>INPUT!GY281</f>
        <v>3.5937465687263455</v>
      </c>
      <c r="FS341" s="240">
        <f>INPUT!GZ281</f>
        <v>7.4708848867173661</v>
      </c>
    </row>
    <row r="342" spans="1:175" ht="12.75" hidden="1" customHeight="1" outlineLevel="1" x14ac:dyDescent="0.2">
      <c r="A342" s="246" t="str">
        <f>INPUT!B282</f>
        <v xml:space="preserve">  Deposits</v>
      </c>
      <c r="B342" s="75"/>
      <c r="C342" s="155"/>
      <c r="D342" s="75"/>
      <c r="E342" s="155"/>
      <c r="F342" s="75"/>
      <c r="G342" s="155"/>
      <c r="H342" s="75"/>
      <c r="I342" s="155"/>
      <c r="J342" s="75"/>
      <c r="K342" s="155"/>
      <c r="L342" s="75"/>
      <c r="M342" s="155"/>
      <c r="N342" s="75"/>
      <c r="O342" s="155"/>
      <c r="P342" s="75"/>
      <c r="Q342" s="155"/>
      <c r="R342" s="75"/>
      <c r="S342" s="155"/>
      <c r="T342" s="75"/>
      <c r="U342" s="155"/>
      <c r="V342" s="81">
        <f>INPUT!AU282</f>
        <v>2.5</v>
      </c>
      <c r="W342" s="499" t="str">
        <f>INPUT!AV282</f>
        <v>NA</v>
      </c>
      <c r="X342" s="81">
        <f>INPUT!AW282</f>
        <v>3.3</v>
      </c>
      <c r="Y342" s="499" t="str">
        <f>INPUT!AX282</f>
        <v>NA</v>
      </c>
      <c r="Z342" s="81">
        <f>INPUT!AY282</f>
        <v>2.7</v>
      </c>
      <c r="AA342" s="155">
        <f>INPUT!AZ282</f>
        <v>92.85714285714289</v>
      </c>
      <c r="AB342" s="81">
        <f>INPUT!BA282</f>
        <v>3.3</v>
      </c>
      <c r="AC342" s="155" t="str">
        <f>INPUT!BB282</f>
        <v>NM</v>
      </c>
      <c r="AD342" s="81">
        <f>INPUT!BC282</f>
        <v>1.9</v>
      </c>
      <c r="AE342" s="155">
        <f>INPUT!BD282</f>
        <v>-24</v>
      </c>
      <c r="AF342" s="81">
        <f>INPUT!BE282</f>
        <v>2.1</v>
      </c>
      <c r="AG342" s="155">
        <f>INPUT!BF282</f>
        <v>-36.363636363636353</v>
      </c>
      <c r="AH342" s="519">
        <f>INPUT!BG282</f>
        <v>3</v>
      </c>
      <c r="AI342" s="240">
        <f>INPUT!BH282</f>
        <v>11.1111111111111</v>
      </c>
      <c r="AJ342" s="519">
        <f>INPUT!BI282</f>
        <v>2.7</v>
      </c>
      <c r="AK342" s="240">
        <f>INPUT!BJ282</f>
        <v>-18.181818181818173</v>
      </c>
      <c r="AL342" s="519">
        <f>INPUT!BK282</f>
        <v>2.7</v>
      </c>
      <c r="AM342" s="240">
        <f>INPUT!BL282</f>
        <v>42.105263157894768</v>
      </c>
      <c r="AN342" s="519">
        <f>INPUT!BM282</f>
        <v>2.6</v>
      </c>
      <c r="AO342" s="240">
        <f>INPUT!BN282</f>
        <v>23.80952380952381</v>
      </c>
      <c r="AP342" s="519">
        <f>INPUT!BO282</f>
        <v>3.5</v>
      </c>
      <c r="AQ342" s="240">
        <f>INPUT!BP282</f>
        <v>16.666666666666671</v>
      </c>
      <c r="AR342" s="519">
        <f>INPUT!BQ282</f>
        <v>3.8</v>
      </c>
      <c r="AS342" s="240">
        <f>INPUT!BR282</f>
        <v>40.740740740740733</v>
      </c>
      <c r="AT342" s="519">
        <f>INPUT!BS282</f>
        <v>4.4000000000000004</v>
      </c>
      <c r="AU342" s="240">
        <f>INPUT!BT282</f>
        <v>62.96296296296299</v>
      </c>
      <c r="AV342" s="519">
        <f>INPUT!BU282</f>
        <v>3.4</v>
      </c>
      <c r="AW342" s="240">
        <f>INPUT!BV282</f>
        <v>30.769230769230774</v>
      </c>
      <c r="AX342" s="519">
        <f>INPUT!BW282</f>
        <v>3.5</v>
      </c>
      <c r="AY342" s="240">
        <f>INPUT!BX282</f>
        <v>0</v>
      </c>
      <c r="AZ342" s="519">
        <f>INPUT!BY282</f>
        <v>4.5999999999999996</v>
      </c>
      <c r="BA342" s="240">
        <f>INPUT!BZ282</f>
        <v>21.05263157894737</v>
      </c>
      <c r="BB342" s="519">
        <f>INPUT!CA282</f>
        <v>6.1</v>
      </c>
      <c r="BC342" s="240">
        <f>INPUT!CB282</f>
        <v>38.636363636363626</v>
      </c>
      <c r="BD342" s="519">
        <f>INPUT!CC282</f>
        <v>4.4000000000000004</v>
      </c>
      <c r="BE342" s="240">
        <f>INPUT!CD282</f>
        <v>29.411764705882348</v>
      </c>
      <c r="BF342" s="519">
        <f>INPUT!CE282</f>
        <v>4.8</v>
      </c>
      <c r="BG342" s="240">
        <f>INPUT!CF282</f>
        <v>37.142857142857139</v>
      </c>
      <c r="BH342" s="519">
        <f>INPUT!CG282</f>
        <v>6.8</v>
      </c>
      <c r="BI342" s="240">
        <f>INPUT!CH282</f>
        <v>47.826086956521749</v>
      </c>
      <c r="BJ342" s="519">
        <f>INPUT!CI282</f>
        <v>4.0999999999999996</v>
      </c>
      <c r="BK342" s="240">
        <f>INPUT!CJ282</f>
        <v>-32.786885245901644</v>
      </c>
      <c r="BL342" s="519">
        <f>INPUT!CK282</f>
        <v>5.3</v>
      </c>
      <c r="BM342" s="240">
        <f>INPUT!CL282</f>
        <v>20.454545454545439</v>
      </c>
      <c r="BN342" s="519">
        <f>INPUT!CM282</f>
        <v>8.1</v>
      </c>
      <c r="BO342" s="240">
        <f>INPUT!CN282</f>
        <v>68.75</v>
      </c>
      <c r="BP342" s="519">
        <f>INPUT!CO282</f>
        <v>6.1</v>
      </c>
      <c r="BQ342" s="240">
        <f>INPUT!CP282</f>
        <v>-10.294117647058826</v>
      </c>
      <c r="BR342" s="520">
        <f>INPUT!CQ282</f>
        <v>7.5</v>
      </c>
      <c r="BS342" s="240">
        <f>INPUT!CR282</f>
        <v>82.926829268292693</v>
      </c>
      <c r="BT342" s="520">
        <f>INPUT!CS282</f>
        <v>8.1999999999999993</v>
      </c>
      <c r="BU342" s="240">
        <f>INPUT!CT282</f>
        <v>54.71698113207546</v>
      </c>
      <c r="BV342" s="520">
        <f>INPUT!CU282</f>
        <v>9.4</v>
      </c>
      <c r="BW342" s="240">
        <f>INPUT!CV282</f>
        <v>16.049382716049394</v>
      </c>
      <c r="BX342" s="520">
        <f>INPUT!CW282</f>
        <v>9.5</v>
      </c>
      <c r="BY342" s="240">
        <f>INPUT!CX282</f>
        <v>55.737704918032819</v>
      </c>
      <c r="BZ342" s="520">
        <f>INPUT!CY282</f>
        <v>8</v>
      </c>
      <c r="CA342" s="240">
        <f>INPUT!CZ282</f>
        <v>6.6666666666666714</v>
      </c>
      <c r="CB342" s="520">
        <f>INPUT!DA282</f>
        <v>10.1</v>
      </c>
      <c r="CC342" s="240">
        <f>INPUT!DB282</f>
        <v>23.170731707317074</v>
      </c>
      <c r="CD342" s="520">
        <f>INPUT!DC282</f>
        <v>10.9</v>
      </c>
      <c r="CE342" s="240">
        <f>INPUT!DD282</f>
        <v>15.957446808510639</v>
      </c>
      <c r="CF342" s="520">
        <f>INPUT!DE282</f>
        <v>12.4</v>
      </c>
      <c r="CG342" s="240">
        <f>INPUT!DF282</f>
        <v>30.526315789473699</v>
      </c>
      <c r="CH342" s="520">
        <f>INPUT!DG282</f>
        <v>7.1</v>
      </c>
      <c r="CI342" s="240">
        <f>INPUT!DH282</f>
        <v>-11.25</v>
      </c>
      <c r="CJ342" s="520">
        <f>INPUT!DI282</f>
        <v>9.8000000000000007</v>
      </c>
      <c r="CK342" s="240">
        <f>INPUT!DJ282</f>
        <v>-2.9702970297029623</v>
      </c>
      <c r="CL342" s="520">
        <f>INPUT!DK282</f>
        <v>8</v>
      </c>
      <c r="CM342" s="240">
        <f>INPUT!DL282</f>
        <v>-26.605504587155977</v>
      </c>
      <c r="CN342" s="520">
        <f>INPUT!DM282</f>
        <v>8.4</v>
      </c>
      <c r="CO342" s="240">
        <f>INPUT!DN282</f>
        <v>-32.258064516129025</v>
      </c>
      <c r="CP342" s="520">
        <f>INPUT!DO282</f>
        <v>8.5</v>
      </c>
      <c r="CQ342" s="240">
        <f>INPUT!DP282</f>
        <v>19.718309859154928</v>
      </c>
      <c r="CR342" s="520">
        <f>INPUT!DQ282</f>
        <v>11.9</v>
      </c>
      <c r="CS342" s="240">
        <f>INPUT!DR282</f>
        <v>21.428571428571416</v>
      </c>
      <c r="CT342" s="520">
        <f>INPUT!DS282</f>
        <v>13.1</v>
      </c>
      <c r="CU342" s="240">
        <f>INPUT!DT282</f>
        <v>63.75</v>
      </c>
      <c r="CV342" s="520">
        <f>INPUT!DU282</f>
        <v>10.3</v>
      </c>
      <c r="CW342" s="240">
        <f>INPUT!DV282</f>
        <v>22.61904761904762</v>
      </c>
      <c r="CX342" s="520">
        <f>INPUT!DW282</f>
        <v>8.1999999999999993</v>
      </c>
      <c r="CY342" s="240">
        <f>INPUT!DX282</f>
        <v>-3.5294117647058982</v>
      </c>
      <c r="CZ342" s="520">
        <f>INPUT!DY282</f>
        <v>9.3000000000000007</v>
      </c>
      <c r="DA342" s="240">
        <f>INPUT!DZ282</f>
        <v>-21.848739495798313</v>
      </c>
      <c r="DB342" s="520">
        <f>INPUT!EA282</f>
        <v>10.199999999999999</v>
      </c>
      <c r="DC342" s="240">
        <f>INPUT!EB282</f>
        <v>-22.137404580152676</v>
      </c>
      <c r="DD342" s="520">
        <f>INPUT!EC282</f>
        <v>11.5</v>
      </c>
      <c r="DE342" s="240">
        <f>INPUT!ED282</f>
        <v>11.650485436893206</v>
      </c>
      <c r="DF342" s="520">
        <f>INPUT!EE282</f>
        <v>10.5</v>
      </c>
      <c r="DG342" s="240">
        <f>INPUT!EF282</f>
        <v>28.048780487804891</v>
      </c>
      <c r="DH342" s="520">
        <f>INPUT!EG282</f>
        <v>9.9</v>
      </c>
      <c r="DI342" s="240">
        <f>INPUT!EH282</f>
        <v>6.4516129032257936</v>
      </c>
      <c r="DJ342" s="520">
        <f>INPUT!EI282</f>
        <v>13</v>
      </c>
      <c r="DK342" s="240">
        <f>INPUT!EJ282</f>
        <v>27.450980392156879</v>
      </c>
      <c r="DL342" s="520">
        <f>INPUT!EK282</f>
        <v>10.8</v>
      </c>
      <c r="DM342" s="240">
        <f>INPUT!EL282</f>
        <v>-6.0869565217391255</v>
      </c>
      <c r="DN342" s="520">
        <f>INPUT!EM282</f>
        <v>11.9</v>
      </c>
      <c r="DO342" s="240">
        <f>INPUT!EN282</f>
        <v>13.333333333333329</v>
      </c>
      <c r="DP342" s="520">
        <f>INPUT!EO282</f>
        <v>14</v>
      </c>
      <c r="DQ342" s="240">
        <f>INPUT!EP282</f>
        <v>41.414141414141426</v>
      </c>
      <c r="DR342" s="520">
        <f>INPUT!EQ282</f>
        <v>13.65</v>
      </c>
      <c r="DS342" s="240">
        <f>INPUT!ER282</f>
        <v>5</v>
      </c>
      <c r="DT342" s="520">
        <f>INPUT!ES282</f>
        <v>11.340000000000002</v>
      </c>
      <c r="DU342" s="240">
        <f>INPUT!ET282</f>
        <v>5</v>
      </c>
      <c r="DV342" s="520">
        <f>INPUT!EU282</f>
        <v>12.495000000000001</v>
      </c>
      <c r="DW342" s="240">
        <f>INPUT!EV282</f>
        <v>5</v>
      </c>
      <c r="DX342" s="520">
        <f>INPUT!EW282</f>
        <v>14.700000000000001</v>
      </c>
      <c r="DY342" s="240">
        <f>INPUT!EX282</f>
        <v>5</v>
      </c>
      <c r="DZ342" s="520"/>
      <c r="EA342" s="240"/>
      <c r="EB342" s="155"/>
      <c r="EC342" s="75"/>
      <c r="ED342" s="155"/>
      <c r="EE342" s="75"/>
      <c r="EF342" s="155"/>
      <c r="EG342" s="75"/>
      <c r="EH342" s="155"/>
      <c r="EI342" s="81">
        <f>INPUT!FP282</f>
        <v>8.8000000000000007</v>
      </c>
      <c r="EJ342" s="240">
        <f>INPUT!FQ282</f>
        <v>0</v>
      </c>
      <c r="EK342" s="519">
        <f>INPUT!FR282</f>
        <v>10</v>
      </c>
      <c r="EL342" s="240">
        <f>INPUT!FS282</f>
        <v>13.636363636363626</v>
      </c>
      <c r="EM342" s="519">
        <f>INPUT!FT282</f>
        <v>11</v>
      </c>
      <c r="EN342" s="240">
        <f>INPUT!FU282</f>
        <v>10.000000000000014</v>
      </c>
      <c r="EO342" s="519">
        <f>INPUT!FV282</f>
        <v>15.1</v>
      </c>
      <c r="EP342" s="240">
        <f>INPUT!FW282</f>
        <v>37.27272727272728</v>
      </c>
      <c r="EQ342" s="519">
        <f>INPUT!FX282</f>
        <v>18.600000000000001</v>
      </c>
      <c r="ER342" s="240">
        <f>INPUT!FY282</f>
        <v>23.178807947019877</v>
      </c>
      <c r="ES342" s="519">
        <f>INPUT!FZ282</f>
        <v>21</v>
      </c>
      <c r="ET342" s="240">
        <f>INPUT!GA282</f>
        <v>12.903225806451601</v>
      </c>
      <c r="EU342" s="520">
        <f>INPUT!GB282</f>
        <v>29.9</v>
      </c>
      <c r="EV342" s="240">
        <f>INPUT!GC282</f>
        <v>42.380952380952351</v>
      </c>
      <c r="EW342" s="520">
        <f>INPUT!GD282</f>
        <v>37</v>
      </c>
      <c r="EX342" s="240">
        <f>INPUT!GE282</f>
        <v>23.745819397993316</v>
      </c>
      <c r="EY342" s="520">
        <f>INPUT!GF282</f>
        <v>40.200000000000003</v>
      </c>
      <c r="EZ342" s="240">
        <f>INPUT!GG282</f>
        <v>8.6486486486486456</v>
      </c>
      <c r="FA342" s="520">
        <f>INPUT!GH282</f>
        <v>36.799999999999997</v>
      </c>
      <c r="FB342" s="240">
        <f>INPUT!GI282</f>
        <v>-8.457711442786092</v>
      </c>
      <c r="FC342" s="520">
        <f>INPUT!GJ282</f>
        <v>40.9</v>
      </c>
      <c r="FD342" s="240">
        <f>INPUT!GK282</f>
        <v>11.141304347826093</v>
      </c>
      <c r="FE342" s="520">
        <f>INPUT!GL282</f>
        <v>42.1</v>
      </c>
      <c r="FF342" s="240">
        <f>INPUT!GM282</f>
        <v>2.9339853300733694</v>
      </c>
      <c r="FG342" s="520">
        <f>INPUT!GN282</f>
        <v>49.7</v>
      </c>
      <c r="FH342" s="240">
        <f>INPUT!GO282</f>
        <v>18.052256532066508</v>
      </c>
      <c r="FI342" s="520">
        <f>INPUT!GP282</f>
        <v>52.185000000000002</v>
      </c>
      <c r="FJ342" s="240">
        <f>INPUT!GQ282</f>
        <v>5</v>
      </c>
      <c r="FK342" s="520">
        <f>INPUT!GR282</f>
        <v>53.228700000000003</v>
      </c>
      <c r="FL342" s="240">
        <f>INPUT!GS282</f>
        <v>2</v>
      </c>
      <c r="FM342" s="520">
        <f>INPUT!GT282</f>
        <v>54.293274000000004</v>
      </c>
      <c r="FN342" s="240">
        <f>INPUT!GU282</f>
        <v>2</v>
      </c>
      <c r="FO342" s="520">
        <f>INPUT!GV282</f>
        <v>55.379139480000006</v>
      </c>
      <c r="FP342" s="240">
        <f>INPUT!GW282</f>
        <v>2</v>
      </c>
      <c r="FQ342" s="520">
        <f>INPUT!GX282</f>
        <v>56.486722269600008</v>
      </c>
      <c r="FR342" s="240">
        <f>INPUT!GY282</f>
        <v>2</v>
      </c>
      <c r="FS342" s="240">
        <f>INPUT!GZ282</f>
        <v>2.593063235330284</v>
      </c>
    </row>
    <row r="343" spans="1:175" ht="12.75" hidden="1" customHeight="1" outlineLevel="1" x14ac:dyDescent="0.2">
      <c r="A343" s="246" t="str">
        <f>INPUT!B283</f>
        <v xml:space="preserve">  Withdrawals</v>
      </c>
      <c r="B343" s="75"/>
      <c r="C343" s="155"/>
      <c r="D343" s="75"/>
      <c r="E343" s="155"/>
      <c r="F343" s="75"/>
      <c r="G343" s="155"/>
      <c r="H343" s="75"/>
      <c r="I343" s="155"/>
      <c r="J343" s="75"/>
      <c r="K343" s="155"/>
      <c r="L343" s="75"/>
      <c r="M343" s="155"/>
      <c r="N343" s="75"/>
      <c r="O343" s="155"/>
      <c r="P343" s="75"/>
      <c r="Q343" s="155"/>
      <c r="R343" s="75"/>
      <c r="S343" s="155"/>
      <c r="T343" s="75"/>
      <c r="U343" s="155"/>
      <c r="V343" s="81">
        <f>INPUT!AU283</f>
        <v>-2</v>
      </c>
      <c r="W343" s="499" t="str">
        <f>INPUT!AV283</f>
        <v>NA</v>
      </c>
      <c r="X343" s="81">
        <f>INPUT!AW283</f>
        <v>-2.2999999999999998</v>
      </c>
      <c r="Y343" s="499" t="str">
        <f>INPUT!AX283</f>
        <v>NA</v>
      </c>
      <c r="Z343" s="81">
        <f>INPUT!AY283</f>
        <v>-2.2999999999999998</v>
      </c>
      <c r="AA343" s="155">
        <f>INPUT!AZ283</f>
        <v>21.05263157894737</v>
      </c>
      <c r="AB343" s="81">
        <f>INPUT!BA283</f>
        <v>-3</v>
      </c>
      <c r="AC343" s="155">
        <f>INPUT!BB283</f>
        <v>50</v>
      </c>
      <c r="AD343" s="81">
        <f>INPUT!BC283</f>
        <v>-2.6</v>
      </c>
      <c r="AE343" s="155">
        <f>INPUT!BD283</f>
        <v>30</v>
      </c>
      <c r="AF343" s="81">
        <f>INPUT!BE283</f>
        <v>-1.9</v>
      </c>
      <c r="AG343" s="155">
        <f>INPUT!BF283</f>
        <v>-17.391304347826093</v>
      </c>
      <c r="AH343" s="519">
        <f>INPUT!BG283</f>
        <v>-2.7</v>
      </c>
      <c r="AI343" s="240">
        <f>INPUT!BH283</f>
        <v>17.391304347826093</v>
      </c>
      <c r="AJ343" s="519">
        <f>INPUT!BI283</f>
        <v>-3.4</v>
      </c>
      <c r="AK343" s="240">
        <f>INPUT!BJ283</f>
        <v>13.333333333333329</v>
      </c>
      <c r="AL343" s="519">
        <f>INPUT!BK283</f>
        <v>-2.4</v>
      </c>
      <c r="AM343" s="240">
        <f>INPUT!BL283</f>
        <v>-7.6923076923076934</v>
      </c>
      <c r="AN343" s="519">
        <f>INPUT!BM283</f>
        <v>-2.4</v>
      </c>
      <c r="AO343" s="240">
        <f>INPUT!BN283</f>
        <v>26.315789473684205</v>
      </c>
      <c r="AP343" s="519">
        <f>INPUT!BO283</f>
        <v>-2.5</v>
      </c>
      <c r="AQ343" s="240">
        <f>INPUT!BP283</f>
        <v>-7.407407407407419</v>
      </c>
      <c r="AR343" s="519">
        <f>INPUT!BQ283</f>
        <v>-2.9</v>
      </c>
      <c r="AS343" s="240">
        <f>INPUT!BR283</f>
        <v>-14.705882352941174</v>
      </c>
      <c r="AT343" s="519">
        <f>INPUT!BS283</f>
        <v>-4.3</v>
      </c>
      <c r="AU343" s="240">
        <f>INPUT!BT283</f>
        <v>79.166666666666686</v>
      </c>
      <c r="AV343" s="519">
        <f>INPUT!BU283</f>
        <v>-5</v>
      </c>
      <c r="AW343" s="240" t="str">
        <f>INPUT!BV283</f>
        <v>NM</v>
      </c>
      <c r="AX343" s="519">
        <f>INPUT!BW283</f>
        <v>-3.3</v>
      </c>
      <c r="AY343" s="240">
        <f>INPUT!BX283</f>
        <v>31.999999999999972</v>
      </c>
      <c r="AZ343" s="519">
        <f>INPUT!BY283</f>
        <v>-2.7</v>
      </c>
      <c r="BA343" s="240">
        <f>INPUT!BZ283</f>
        <v>-6.8965517241379217</v>
      </c>
      <c r="BB343" s="519">
        <f>INPUT!CA283</f>
        <v>-3.3</v>
      </c>
      <c r="BC343" s="240">
        <f>INPUT!CB283</f>
        <v>-23.255813953488371</v>
      </c>
      <c r="BD343" s="519">
        <f>INPUT!CC283</f>
        <v>-3.2</v>
      </c>
      <c r="BE343" s="240">
        <f>INPUT!CD283</f>
        <v>-36</v>
      </c>
      <c r="BF343" s="519">
        <f>INPUT!CE283</f>
        <v>-3.7</v>
      </c>
      <c r="BG343" s="240">
        <f>INPUT!CF283</f>
        <v>12.121212121212139</v>
      </c>
      <c r="BH343" s="519">
        <f>INPUT!CG283</f>
        <v>-3.9</v>
      </c>
      <c r="BI343" s="240">
        <f>INPUT!CH283</f>
        <v>44.444444444444429</v>
      </c>
      <c r="BJ343" s="519">
        <f>INPUT!CI283</f>
        <v>-2.9</v>
      </c>
      <c r="BK343" s="240">
        <f>INPUT!CJ283</f>
        <v>-12.121212121212125</v>
      </c>
      <c r="BL343" s="519">
        <f>INPUT!CK283</f>
        <v>-4.0999999999999996</v>
      </c>
      <c r="BM343" s="240">
        <f>INPUT!CL283</f>
        <v>28.124999999999972</v>
      </c>
      <c r="BN343" s="519">
        <f>INPUT!CM283</f>
        <v>-5.3</v>
      </c>
      <c r="BO343" s="240">
        <f>INPUT!CN283</f>
        <v>43.243243243243228</v>
      </c>
      <c r="BP343" s="519">
        <f>INPUT!CO283</f>
        <v>-6.1</v>
      </c>
      <c r="BQ343" s="240">
        <f>INPUT!CP283</f>
        <v>56.410256410256409</v>
      </c>
      <c r="BR343" s="520">
        <f>INPUT!CQ283</f>
        <v>-6.8</v>
      </c>
      <c r="BS343" s="240" t="str">
        <f>INPUT!CR283</f>
        <v>NM</v>
      </c>
      <c r="BT343" s="520">
        <f>INPUT!CS283</f>
        <v>-6</v>
      </c>
      <c r="BU343" s="240">
        <f>INPUT!CT283</f>
        <v>46.341463414634177</v>
      </c>
      <c r="BV343" s="520">
        <f>INPUT!CU283</f>
        <v>-6.1</v>
      </c>
      <c r="BW343" s="240">
        <f>INPUT!CV283</f>
        <v>15.094339622641513</v>
      </c>
      <c r="BX343" s="520">
        <f>INPUT!CW283</f>
        <v>-5.9</v>
      </c>
      <c r="BY343" s="240">
        <f>INPUT!CX283</f>
        <v>-3.2786885245901516</v>
      </c>
      <c r="BZ343" s="520">
        <f>INPUT!CY283</f>
        <v>-5.5</v>
      </c>
      <c r="CA343" s="240">
        <f>INPUT!CZ283</f>
        <v>-19.117647058823522</v>
      </c>
      <c r="CB343" s="520">
        <f>INPUT!DA283</f>
        <v>-6.7</v>
      </c>
      <c r="CC343" s="240">
        <f>INPUT!DB283</f>
        <v>11.666666666666671</v>
      </c>
      <c r="CD343" s="520">
        <f>INPUT!DC283</f>
        <v>-9.1</v>
      </c>
      <c r="CE343" s="240">
        <f>INPUT!DD283</f>
        <v>49.180327868852459</v>
      </c>
      <c r="CF343" s="520">
        <f>INPUT!DE283</f>
        <v>-9.9</v>
      </c>
      <c r="CG343" s="240">
        <f>INPUT!DF283</f>
        <v>67.796610169491515</v>
      </c>
      <c r="CH343" s="520">
        <f>INPUT!DG283</f>
        <v>-8.5</v>
      </c>
      <c r="CI343" s="240">
        <f>INPUT!DH283</f>
        <v>54.545454545454533</v>
      </c>
      <c r="CJ343" s="520">
        <f>INPUT!DI283</f>
        <v>-8.3000000000000007</v>
      </c>
      <c r="CK343" s="240">
        <f>INPUT!DJ283</f>
        <v>23.880597014925371</v>
      </c>
      <c r="CL343" s="520">
        <f>INPUT!DK283</f>
        <v>-7.8</v>
      </c>
      <c r="CM343" s="240">
        <f>INPUT!DL283</f>
        <v>-14.285714285714278</v>
      </c>
      <c r="CN343" s="520">
        <f>INPUT!DM283</f>
        <v>-7.7</v>
      </c>
      <c r="CO343" s="240">
        <f>INPUT!DN283</f>
        <v>-22.222222222222214</v>
      </c>
      <c r="CP343" s="520">
        <f>INPUT!DO283</f>
        <v>-7.3</v>
      </c>
      <c r="CQ343" s="240">
        <f>INPUT!DP283</f>
        <v>-14.117647058823536</v>
      </c>
      <c r="CR343" s="520">
        <f>INPUT!DQ283</f>
        <v>-9.3000000000000007</v>
      </c>
      <c r="CS343" s="240">
        <f>INPUT!DR283</f>
        <v>12.048192771084331</v>
      </c>
      <c r="CT343" s="520">
        <f>INPUT!DS283</f>
        <v>-9.1</v>
      </c>
      <c r="CU343" s="240">
        <f>INPUT!DT283</f>
        <v>16.666666666666671</v>
      </c>
      <c r="CV343" s="520">
        <f>INPUT!DU283</f>
        <v>-10.7</v>
      </c>
      <c r="CW343" s="240">
        <f>INPUT!DV283</f>
        <v>38.961038961038952</v>
      </c>
      <c r="CX343" s="520">
        <f>INPUT!DW283</f>
        <v>-9.8000000000000007</v>
      </c>
      <c r="CY343" s="240">
        <f>INPUT!DX283</f>
        <v>34.246575342465746</v>
      </c>
      <c r="CZ343" s="520">
        <f>INPUT!DY283</f>
        <v>-10.5</v>
      </c>
      <c r="DA343" s="240">
        <f>INPUT!DZ283</f>
        <v>12.903225806451601</v>
      </c>
      <c r="DB343" s="520">
        <f>INPUT!EA283</f>
        <v>-10.7</v>
      </c>
      <c r="DC343" s="240">
        <f>INPUT!EB283</f>
        <v>17.582417582417591</v>
      </c>
      <c r="DD343" s="520">
        <f>INPUT!EC283</f>
        <v>-9.9</v>
      </c>
      <c r="DE343" s="240">
        <f>INPUT!ED283</f>
        <v>-7.4766355140186818</v>
      </c>
      <c r="DF343" s="520">
        <f>INPUT!EE283</f>
        <v>-9.6</v>
      </c>
      <c r="DG343" s="240">
        <f>INPUT!EF283</f>
        <v>-2.0408163265306314</v>
      </c>
      <c r="DH343" s="520">
        <f>INPUT!EG283</f>
        <v>-11.5</v>
      </c>
      <c r="DI343" s="240">
        <f>INPUT!EH283</f>
        <v>9.5238095238095326</v>
      </c>
      <c r="DJ343" s="520">
        <f>INPUT!EI283</f>
        <v>-12.9</v>
      </c>
      <c r="DK343" s="240">
        <f>INPUT!EJ283</f>
        <v>20.56074766355141</v>
      </c>
      <c r="DL343" s="520">
        <f>INPUT!EK283</f>
        <v>-9.6</v>
      </c>
      <c r="DM343" s="240">
        <f>INPUT!EL283</f>
        <v>-3.0303030303030454</v>
      </c>
      <c r="DN343" s="520">
        <f>INPUT!EM283</f>
        <v>-10.6</v>
      </c>
      <c r="DO343" s="240">
        <f>INPUT!EN283</f>
        <v>10.416666666666671</v>
      </c>
      <c r="DP343" s="520">
        <f>INPUT!EO283</f>
        <v>-12.5</v>
      </c>
      <c r="DQ343" s="240">
        <f>INPUT!EP283</f>
        <v>8.6956521739130324</v>
      </c>
      <c r="DR343" s="520">
        <f>INPUT!EQ283</f>
        <v>-12.733250000000007</v>
      </c>
      <c r="DS343" s="240">
        <f>INPUT!ER283</f>
        <v>-1.2926356589146764</v>
      </c>
      <c r="DT343" s="520">
        <f>INPUT!ES283</f>
        <v>-10.920418751733703</v>
      </c>
      <c r="DU343" s="240">
        <f>INPUT!ET283</f>
        <v>13.754361997226084</v>
      </c>
      <c r="DV343" s="520">
        <f>INPUT!EU283</f>
        <v>-11.760472222130819</v>
      </c>
      <c r="DW343" s="240">
        <f>INPUT!EV283</f>
        <v>10.947851152177535</v>
      </c>
      <c r="DX343" s="520">
        <f>INPUT!EW283</f>
        <v>-13.424870303720214</v>
      </c>
      <c r="DY343" s="240">
        <f>INPUT!EX283</f>
        <v>7.3989624297616956</v>
      </c>
      <c r="DZ343" s="520"/>
      <c r="EA343" s="240"/>
      <c r="EB343" s="155"/>
      <c r="EC343" s="75"/>
      <c r="ED343" s="155"/>
      <c r="EE343" s="75"/>
      <c r="EF343" s="155"/>
      <c r="EG343" s="75"/>
      <c r="EH343" s="155"/>
      <c r="EI343" s="81">
        <f>INPUT!FP283</f>
        <v>-8.1999999999999993</v>
      </c>
      <c r="EJ343" s="240">
        <f>INPUT!FQ283</f>
        <v>0</v>
      </c>
      <c r="EK343" s="519">
        <f>INPUT!FR283</f>
        <v>-9.8000000000000007</v>
      </c>
      <c r="EL343" s="240">
        <f>INPUT!FS283</f>
        <v>19.512195121951237</v>
      </c>
      <c r="EM343" s="519">
        <f>INPUT!FT283</f>
        <v>-10.9</v>
      </c>
      <c r="EN343" s="240">
        <f>INPUT!FU283</f>
        <v>11.224489795918373</v>
      </c>
      <c r="EO343" s="519">
        <f>INPUT!FV283</f>
        <v>-14.7</v>
      </c>
      <c r="EP343" s="240">
        <f>INPUT!FW283</f>
        <v>34.862385321100902</v>
      </c>
      <c r="EQ343" s="519">
        <f>INPUT!FX283</f>
        <v>-12.5</v>
      </c>
      <c r="ER343" s="240">
        <f>INPUT!FY283</f>
        <v>-14.965986394557817</v>
      </c>
      <c r="ES343" s="519">
        <f>INPUT!FZ283</f>
        <v>-14.6</v>
      </c>
      <c r="ET343" s="240">
        <f>INPUT!GA283</f>
        <v>16.799999999999997</v>
      </c>
      <c r="EU343" s="520">
        <f>INPUT!GB283</f>
        <v>-24.2</v>
      </c>
      <c r="EV343" s="240">
        <f>INPUT!GC283</f>
        <v>65.753424657534254</v>
      </c>
      <c r="EW343" s="520">
        <f>INPUT!GD283</f>
        <v>-24.2</v>
      </c>
      <c r="EX343" s="240">
        <f>INPUT!GE283</f>
        <v>0</v>
      </c>
      <c r="EY343" s="520">
        <f>INPUT!GF283</f>
        <v>-35.799999999999997</v>
      </c>
      <c r="EZ343" s="240">
        <f>INPUT!GG283</f>
        <v>47.933884297520649</v>
      </c>
      <c r="FA343" s="520">
        <f>INPUT!GH283</f>
        <v>-32.1</v>
      </c>
      <c r="FB343" s="240">
        <f>INPUT!GI283</f>
        <v>-10.335195530726253</v>
      </c>
      <c r="FC343" s="520">
        <f>INPUT!GJ283</f>
        <v>-40.099999999999994</v>
      </c>
      <c r="FD343" s="240">
        <f>INPUT!GK283</f>
        <v>24.922118380062287</v>
      </c>
      <c r="FE343" s="520">
        <f>INPUT!GL283</f>
        <v>-41.7</v>
      </c>
      <c r="FF343" s="240">
        <f>INPUT!GM283</f>
        <v>3.9900249376558747</v>
      </c>
      <c r="FG343" s="520">
        <f>INPUT!GN283</f>
        <v>-45.6</v>
      </c>
      <c r="FH343" s="240">
        <f>INPUT!GO283</f>
        <v>9.3525179856114988</v>
      </c>
      <c r="FI343" s="520">
        <f>INPUT!GP283</f>
        <v>-48.839011277584746</v>
      </c>
      <c r="FJ343" s="240">
        <f>INPUT!GQ283</f>
        <v>7.103094906984083</v>
      </c>
      <c r="FK343" s="520">
        <f>INPUT!GR283</f>
        <v>-52.599792453488469</v>
      </c>
      <c r="FL343" s="240">
        <f>INPUT!GS283</f>
        <v>7.700363044879623</v>
      </c>
      <c r="FM343" s="520">
        <f>INPUT!GT283</f>
        <v>-55.316399292941931</v>
      </c>
      <c r="FN343" s="240">
        <f>INPUT!GU283</f>
        <v>5.1646721645444416</v>
      </c>
      <c r="FO343" s="520">
        <f>INPUT!GV283</f>
        <v>-57.659533244655861</v>
      </c>
      <c r="FP343" s="240">
        <f>INPUT!GW283</f>
        <v>4.2358757649883785</v>
      </c>
      <c r="FQ343" s="520">
        <f>INPUT!GX283</f>
        <v>-59.731670742179304</v>
      </c>
      <c r="FR343" s="240">
        <f>INPUT!GY283</f>
        <v>3.5937465687263312</v>
      </c>
      <c r="FS343" s="240">
        <f>INPUT!GZ283</f>
        <v>5.5475031361272853</v>
      </c>
    </row>
    <row r="344" spans="1:175" ht="12.75" hidden="1" customHeight="1" outlineLevel="1" x14ac:dyDescent="0.2">
      <c r="A344" s="246" t="str">
        <f>INPUT!B284</f>
        <v xml:space="preserve">  Change in Market Value</v>
      </c>
      <c r="B344" s="81"/>
      <c r="C344" s="155"/>
      <c r="D344" s="81"/>
      <c r="E344" s="155"/>
      <c r="F344" s="81"/>
      <c r="G344" s="155"/>
      <c r="H344" s="81"/>
      <c r="I344" s="155"/>
      <c r="J344" s="81"/>
      <c r="K344" s="155"/>
      <c r="L344" s="81"/>
      <c r="M344" s="155"/>
      <c r="N344" s="81"/>
      <c r="O344" s="155"/>
      <c r="P344" s="81"/>
      <c r="Q344" s="155"/>
      <c r="R344" s="81"/>
      <c r="S344" s="155"/>
      <c r="T344" s="81"/>
      <c r="U344" s="155"/>
      <c r="V344" s="81">
        <f>INPUT!AU284</f>
        <v>2.2000000000000002</v>
      </c>
      <c r="W344" s="499" t="str">
        <f>INPUT!AV284</f>
        <v>NA</v>
      </c>
      <c r="X344" s="81">
        <f>INPUT!AW284</f>
        <v>1</v>
      </c>
      <c r="Y344" s="499" t="str">
        <f>INPUT!AX284</f>
        <v>NA</v>
      </c>
      <c r="Z344" s="81">
        <f>INPUT!AY284</f>
        <v>1.3</v>
      </c>
      <c r="AA344" s="155" t="str">
        <f>INPUT!AZ284</f>
        <v>NM</v>
      </c>
      <c r="AB344" s="81">
        <f>INPUT!BA284</f>
        <v>-1</v>
      </c>
      <c r="AC344" s="155" t="str">
        <f>INPUT!BB284</f>
        <v>NM</v>
      </c>
      <c r="AD344" s="81">
        <f>INPUT!BC284</f>
        <v>1.3</v>
      </c>
      <c r="AE344" s="155">
        <f>INPUT!BD284</f>
        <v>-40.909090909090921</v>
      </c>
      <c r="AF344" s="81">
        <f>INPUT!BE284</f>
        <v>2</v>
      </c>
      <c r="AG344" s="155">
        <f>INPUT!BF284</f>
        <v>100</v>
      </c>
      <c r="AH344" s="519">
        <f>INPUT!BG284</f>
        <v>1.1000000000000001</v>
      </c>
      <c r="AI344" s="240">
        <f>INPUT!BH284</f>
        <v>-15.384615384615387</v>
      </c>
      <c r="AJ344" s="519">
        <f>INPUT!BI284</f>
        <v>2.2999999999999998</v>
      </c>
      <c r="AK344" s="240" t="str">
        <f>INPUT!BJ284</f>
        <v>NM</v>
      </c>
      <c r="AL344" s="519">
        <f>INPUT!BK284</f>
        <v>1.7</v>
      </c>
      <c r="AM344" s="240">
        <f>INPUT!BL284</f>
        <v>30.769230769230774</v>
      </c>
      <c r="AN344" s="519">
        <f>INPUT!BM284</f>
        <v>-0.2</v>
      </c>
      <c r="AO344" s="240" t="str">
        <f>INPUT!BN284</f>
        <v>NM</v>
      </c>
      <c r="AP344" s="519">
        <f>INPUT!BO284</f>
        <v>-4</v>
      </c>
      <c r="AQ344" s="240" t="str">
        <f>INPUT!BP284</f>
        <v>NM</v>
      </c>
      <c r="AR344" s="519">
        <f>INPUT!BQ284</f>
        <v>1.9</v>
      </c>
      <c r="AS344" s="240">
        <f>INPUT!BR284</f>
        <v>-17.391304347826093</v>
      </c>
      <c r="AT344" s="519">
        <f>INPUT!BS284</f>
        <v>-7.5</v>
      </c>
      <c r="AU344" s="240" t="str">
        <f>INPUT!BT284</f>
        <v>NM</v>
      </c>
      <c r="AV344" s="519">
        <f>INPUT!BU284</f>
        <v>-8.4</v>
      </c>
      <c r="AW344" s="240" t="str">
        <f>INPUT!BV284</f>
        <v>NM</v>
      </c>
      <c r="AX344" s="519">
        <f>INPUT!BW284</f>
        <v>-0.7</v>
      </c>
      <c r="AY344" s="240" t="str">
        <f>INPUT!BX284</f>
        <v>NM</v>
      </c>
      <c r="AZ344" s="519">
        <f>INPUT!BY284</f>
        <v>4.5</v>
      </c>
      <c r="BA344" s="240" t="str">
        <f>INPUT!BZ284</f>
        <v>NM</v>
      </c>
      <c r="BB344" s="519">
        <f>INPUT!CA284</f>
        <v>5.0999999999999996</v>
      </c>
      <c r="BC344" s="240" t="str">
        <f>INPUT!CB284</f>
        <v>NM</v>
      </c>
      <c r="BD344" s="519">
        <f>INPUT!CC284</f>
        <v>2.9</v>
      </c>
      <c r="BE344" s="240" t="str">
        <f>INPUT!CD284</f>
        <v>NM</v>
      </c>
      <c r="BF344" s="519">
        <f>INPUT!CE284</f>
        <v>1.5</v>
      </c>
      <c r="BG344" s="240" t="str">
        <f>INPUT!CF284</f>
        <v>NM</v>
      </c>
      <c r="BH344" s="519">
        <f>INPUT!CG284</f>
        <v>-4.9000000000000004</v>
      </c>
      <c r="BI344" s="240" t="str">
        <f>INPUT!CH284</f>
        <v>NM</v>
      </c>
      <c r="BJ344" s="519">
        <f>INPUT!CI284</f>
        <v>5.2</v>
      </c>
      <c r="BK344" s="240">
        <f>INPUT!CJ284</f>
        <v>1.9607843137255117</v>
      </c>
      <c r="BL344" s="519">
        <f>INPUT!CK284</f>
        <v>4.9000000000000004</v>
      </c>
      <c r="BM344" s="240">
        <f>INPUT!CL284</f>
        <v>68.965517241379331</v>
      </c>
      <c r="BN344" s="519">
        <f>INPUT!CM284</f>
        <v>3</v>
      </c>
      <c r="BO344" s="240">
        <f>INPUT!CN284</f>
        <v>100</v>
      </c>
      <c r="BP344" s="519">
        <f>INPUT!CO284</f>
        <v>1.2</v>
      </c>
      <c r="BQ344" s="240" t="str">
        <f>INPUT!CP284</f>
        <v>NM</v>
      </c>
      <c r="BR344" s="520">
        <f>INPUT!CQ284</f>
        <v>-9.1</v>
      </c>
      <c r="BS344" s="240" t="str">
        <f>INPUT!CR284</f>
        <v>NM</v>
      </c>
      <c r="BT344" s="520">
        <f>INPUT!CS284</f>
        <v>5.2</v>
      </c>
      <c r="BU344" s="240">
        <f>INPUT!CT284</f>
        <v>6.1224489795918373</v>
      </c>
      <c r="BV344" s="520">
        <f>INPUT!CU284</f>
        <v>8.1999999999999993</v>
      </c>
      <c r="BW344" s="240" t="str">
        <f>INPUT!CV284</f>
        <v>NM</v>
      </c>
      <c r="BX344" s="520">
        <f>INPUT!CW284</f>
        <v>-3.6</v>
      </c>
      <c r="BY344" s="240" t="str">
        <f>INPUT!CX284</f>
        <v>NM</v>
      </c>
      <c r="BZ344" s="520">
        <f>INPUT!CY284</f>
        <v>4.3</v>
      </c>
      <c r="CA344" s="240" t="str">
        <f>INPUT!CZ284</f>
        <v>NM</v>
      </c>
      <c r="CB344" s="520">
        <f>INPUT!DA284</f>
        <v>-0.1</v>
      </c>
      <c r="CC344" s="240" t="str">
        <f>INPUT!DB284</f>
        <v>NM</v>
      </c>
      <c r="CD344" s="520">
        <f>INPUT!DC284</f>
        <v>5</v>
      </c>
      <c r="CE344" s="240">
        <f>INPUT!DD284</f>
        <v>-39.024390243902431</v>
      </c>
      <c r="CF344" s="520">
        <f>INPUT!DE284</f>
        <v>0</v>
      </c>
      <c r="CG344" s="240" t="str">
        <f>INPUT!DF284</f>
        <v>NM</v>
      </c>
      <c r="CH344" s="520">
        <f>INPUT!DG284</f>
        <v>7.5</v>
      </c>
      <c r="CI344" s="240">
        <f>INPUT!DH284</f>
        <v>74.418604651162781</v>
      </c>
      <c r="CJ344" s="520">
        <f>INPUT!DI284</f>
        <v>7</v>
      </c>
      <c r="CK344" s="240" t="str">
        <f>INPUT!DJ284</f>
        <v>NM</v>
      </c>
      <c r="CL344" s="520">
        <f>INPUT!DK284</f>
        <v>1.8</v>
      </c>
      <c r="CM344" s="240" t="str">
        <f>INPUT!DL284</f>
        <v>NM</v>
      </c>
      <c r="CN344" s="520">
        <f>INPUT!DM284</f>
        <v>4.8</v>
      </c>
      <c r="CO344" s="240" t="str">
        <f>INPUT!DN284</f>
        <v>NA</v>
      </c>
      <c r="CP344" s="520">
        <f>INPUT!DO284</f>
        <v>-1</v>
      </c>
      <c r="CQ344" s="240" t="str">
        <f>INPUT!DP284</f>
        <v>NM</v>
      </c>
      <c r="CR344" s="520">
        <f>INPUT!DQ284</f>
        <v>1.6</v>
      </c>
      <c r="CS344" s="240" t="str">
        <f>INPUT!DR284</f>
        <v>NM</v>
      </c>
      <c r="CT344" s="520">
        <f>INPUT!DS284</f>
        <v>4.3</v>
      </c>
      <c r="CU344" s="240" t="str">
        <f>INPUT!DT284</f>
        <v>NM</v>
      </c>
      <c r="CV344" s="520">
        <f>INPUT!DU284</f>
        <v>0.5</v>
      </c>
      <c r="CW344" s="240" t="str">
        <f>INPUT!DV284</f>
        <v>NM</v>
      </c>
      <c r="CX344" s="520">
        <f>INPUT!DW284</f>
        <v>-7.6</v>
      </c>
      <c r="CY344" s="240" t="str">
        <f>INPUT!DX284</f>
        <v>NM</v>
      </c>
      <c r="CZ344" s="520">
        <f>INPUT!DY284</f>
        <v>4.2</v>
      </c>
      <c r="DA344" s="240" t="str">
        <f>INPUT!DZ284</f>
        <v>NM</v>
      </c>
      <c r="DB344" s="520">
        <f>INPUT!EA284</f>
        <v>-1.2</v>
      </c>
      <c r="DC344" s="240" t="str">
        <f>INPUT!EB284</f>
        <v>NM</v>
      </c>
      <c r="DD344" s="520">
        <f>INPUT!EC284</f>
        <v>1.9</v>
      </c>
      <c r="DE344" s="240" t="str">
        <f>INPUT!ED284</f>
        <v>NM</v>
      </c>
      <c r="DF344" s="520">
        <f>INPUT!EE284</f>
        <v>5.5</v>
      </c>
      <c r="DG344" s="240" t="str">
        <f>INPUT!EF284</f>
        <v>NM</v>
      </c>
      <c r="DH344" s="520">
        <f>INPUT!EG284</f>
        <v>-1.7</v>
      </c>
      <c r="DI344" s="240" t="str">
        <f>INPUT!EH284</f>
        <v>NM</v>
      </c>
      <c r="DJ344" s="520">
        <f>INPUT!EI284</f>
        <v>7.4</v>
      </c>
      <c r="DK344" s="240" t="str">
        <f>INPUT!EJ284</f>
        <v>NM</v>
      </c>
      <c r="DL344" s="520">
        <f>INPUT!EK284</f>
        <v>4.5999999999999996</v>
      </c>
      <c r="DM344" s="240" t="str">
        <f>INPUT!EL284</f>
        <v>NM</v>
      </c>
      <c r="DN344" s="520">
        <f>INPUT!EM284</f>
        <v>6.2</v>
      </c>
      <c r="DO344" s="240">
        <f>INPUT!EN284</f>
        <v>12.72727272727272</v>
      </c>
      <c r="DP344" s="520">
        <f>INPUT!EO284</f>
        <v>5.3</v>
      </c>
      <c r="DQ344" s="240" t="str">
        <f>INPUT!EP284</f>
        <v>NM</v>
      </c>
      <c r="DR344" s="520">
        <f>INPUT!EQ284</f>
        <v>-1.1829600000000007</v>
      </c>
      <c r="DS344" s="240" t="str">
        <f>INPUT!ER284</f>
        <v>NM</v>
      </c>
      <c r="DT344" s="520">
        <f>INPUT!ES284</f>
        <v>1.9684054800000013</v>
      </c>
      <c r="DU344" s="240" t="str">
        <f>INPUT!ET284</f>
        <v>NM</v>
      </c>
      <c r="DV344" s="520">
        <f>INPUT!EU284</f>
        <v>1.9970613207391967</v>
      </c>
      <c r="DW344" s="240" t="str">
        <f>INPUT!EV284</f>
        <v>NM</v>
      </c>
      <c r="DX344" s="520">
        <f>INPUT!EW284</f>
        <v>2.029840389922497</v>
      </c>
      <c r="DY344" s="240" t="str">
        <f>INPUT!EX284</f>
        <v>NM</v>
      </c>
      <c r="DZ344" s="520"/>
      <c r="EA344" s="240"/>
      <c r="EB344" s="155"/>
      <c r="EC344" s="81"/>
      <c r="ED344" s="155"/>
      <c r="EE344" s="81"/>
      <c r="EF344" s="155"/>
      <c r="EG344" s="81"/>
      <c r="EH344" s="155"/>
      <c r="EI344" s="81">
        <f>INPUT!FP284</f>
        <v>4.1000000000000005</v>
      </c>
      <c r="EJ344" s="240">
        <f>INPUT!FQ284</f>
        <v>0</v>
      </c>
      <c r="EK344" s="519">
        <f>INPUT!FR284</f>
        <v>3.6</v>
      </c>
      <c r="EL344" s="240">
        <f>INPUT!FS284</f>
        <v>-12.195121951219519</v>
      </c>
      <c r="EM344" s="519">
        <f>INPUT!FT284</f>
        <v>4.8999999999999995</v>
      </c>
      <c r="EN344" s="240">
        <f>INPUT!FU284</f>
        <v>36.111111111111086</v>
      </c>
      <c r="EO344" s="519">
        <f>INPUT!FV284</f>
        <v>-18</v>
      </c>
      <c r="EP344" s="240" t="str">
        <f>INPUT!FW284</f>
        <v>NM</v>
      </c>
      <c r="EQ344" s="519">
        <f>INPUT!FX284</f>
        <v>11.799999999999999</v>
      </c>
      <c r="ER344" s="240" t="str">
        <f>INPUT!FY284</f>
        <v>NM</v>
      </c>
      <c r="ES344" s="519">
        <f>INPUT!FZ284</f>
        <v>6.7</v>
      </c>
      <c r="ET344" s="240">
        <f>INPUT!GA284</f>
        <v>-43.220338983050844</v>
      </c>
      <c r="EU344" s="520">
        <f>INPUT!GB284</f>
        <v>0.30000000000000071</v>
      </c>
      <c r="EV344" s="240" t="str">
        <f>INPUT!GC284</f>
        <v>NM</v>
      </c>
      <c r="EW344" s="520">
        <f>INPUT!GD284</f>
        <v>8.7999999999999989</v>
      </c>
      <c r="EX344" s="240" t="str">
        <f>INPUT!GE284</f>
        <v>NM</v>
      </c>
      <c r="EY344" s="520">
        <f>INPUT!GF284</f>
        <v>19.5</v>
      </c>
      <c r="EZ344" s="240" t="str">
        <f>INPUT!GG284</f>
        <v>NM</v>
      </c>
      <c r="FA344" s="520">
        <f>INPUT!GH284</f>
        <v>7.1999999999999993</v>
      </c>
      <c r="FB344" s="240" t="str">
        <f>INPUT!GI284</f>
        <v>NM</v>
      </c>
      <c r="FC344" s="520">
        <f>INPUT!GJ284</f>
        <v>1.4000000000000004</v>
      </c>
      <c r="FD344" s="240" t="str">
        <f>INPUT!GK284</f>
        <v>NM</v>
      </c>
      <c r="FE344" s="520">
        <f>INPUT!GL284</f>
        <v>4.5</v>
      </c>
      <c r="FF344" s="240" t="str">
        <f>INPUT!GM284</f>
        <v>NM</v>
      </c>
      <c r="FG344" s="520">
        <f>INPUT!GN284</f>
        <v>23.5</v>
      </c>
      <c r="FH344" s="240" t="str">
        <f>INPUT!GO284</f>
        <v>NM</v>
      </c>
      <c r="FI344" s="520">
        <f>INPUT!GP284</f>
        <v>4.8123471906616944</v>
      </c>
      <c r="FJ344" s="240" t="str">
        <f>INPUT!GQ284</f>
        <v>NM</v>
      </c>
      <c r="FK344" s="520">
        <f>INPUT!GR284</f>
        <v>8.2780001238276935</v>
      </c>
      <c r="FL344" s="240">
        <f>INPUT!GS284</f>
        <v>72.015854132284119</v>
      </c>
      <c r="FM344" s="520">
        <f>INPUT!GT284</f>
        <v>8.7055316920039765</v>
      </c>
      <c r="FN344" s="240">
        <f>INPUT!GU284</f>
        <v>5.1646721645444416</v>
      </c>
      <c r="FO344" s="520">
        <f>INPUT!GV284</f>
        <v>9.0742871991589542</v>
      </c>
      <c r="FP344" s="240">
        <f>INPUT!GW284</f>
        <v>4.2358757649883643</v>
      </c>
      <c r="FQ344" s="520">
        <f>INPUT!GX284</f>
        <v>9.4003940840151046</v>
      </c>
      <c r="FR344" s="240">
        <f>INPUT!GY284</f>
        <v>3.5937465687263455</v>
      </c>
      <c r="FS344" s="240">
        <f>INPUT!GZ284</f>
        <v>-16.743981195112934</v>
      </c>
    </row>
    <row r="345" spans="1:175" ht="12.75" hidden="1" customHeight="1" outlineLevel="1" x14ac:dyDescent="0.2">
      <c r="A345" s="246" t="str">
        <f>INPUT!B285</f>
        <v xml:space="preserve">  Net Money Market Flows</v>
      </c>
      <c r="B345" s="75"/>
      <c r="C345" s="155"/>
      <c r="D345" s="75"/>
      <c r="E345" s="155"/>
      <c r="F345" s="75"/>
      <c r="G345" s="155"/>
      <c r="H345" s="75"/>
      <c r="I345" s="155"/>
      <c r="J345" s="75"/>
      <c r="K345" s="155"/>
      <c r="L345" s="75"/>
      <c r="M345" s="155"/>
      <c r="N345" s="75"/>
      <c r="O345" s="155"/>
      <c r="P345" s="75"/>
      <c r="Q345" s="155"/>
      <c r="R345" s="75"/>
      <c r="S345" s="155"/>
      <c r="T345" s="75"/>
      <c r="U345" s="155"/>
      <c r="V345" s="81">
        <f>INPUT!AU285</f>
        <v>0</v>
      </c>
      <c r="W345" s="499" t="str">
        <f>INPUT!AV285</f>
        <v>NA</v>
      </c>
      <c r="X345" s="81">
        <f>INPUT!AW285</f>
        <v>0.1</v>
      </c>
      <c r="Y345" s="499" t="str">
        <f>INPUT!AX285</f>
        <v>NA</v>
      </c>
      <c r="Z345" s="81">
        <f>INPUT!AY285</f>
        <v>0.1</v>
      </c>
      <c r="AA345" s="155">
        <f>INPUT!AZ285</f>
        <v>0</v>
      </c>
      <c r="AB345" s="81">
        <f>INPUT!BA285</f>
        <v>0.9</v>
      </c>
      <c r="AC345" s="155" t="str">
        <f>INPUT!BB285</f>
        <v>NM</v>
      </c>
      <c r="AD345" s="81">
        <f>INPUT!BC285</f>
        <v>0</v>
      </c>
      <c r="AE345" s="155" t="str">
        <f>INPUT!BD285</f>
        <v>NA</v>
      </c>
      <c r="AF345" s="81">
        <f>INPUT!BE285</f>
        <v>-0.1</v>
      </c>
      <c r="AG345" s="155" t="str">
        <f>INPUT!BF285</f>
        <v>NM</v>
      </c>
      <c r="AH345" s="519">
        <f>INPUT!BG285</f>
        <v>0.1</v>
      </c>
      <c r="AI345" s="240">
        <f>INPUT!BH285</f>
        <v>0</v>
      </c>
      <c r="AJ345" s="519">
        <f>INPUT!BI285</f>
        <v>0</v>
      </c>
      <c r="AK345" s="240" t="str">
        <f>INPUT!BJ285</f>
        <v>NM</v>
      </c>
      <c r="AL345" s="519">
        <f>INPUT!BK285</f>
        <v>0</v>
      </c>
      <c r="AM345" s="240" t="str">
        <f>INPUT!BL285</f>
        <v>NA</v>
      </c>
      <c r="AN345" s="519">
        <f>INPUT!BM285</f>
        <v>-0.6</v>
      </c>
      <c r="AO345" s="240" t="str">
        <f>INPUT!BN285</f>
        <v>NM</v>
      </c>
      <c r="AP345" s="519">
        <f>INPUT!BO285</f>
        <v>0.3</v>
      </c>
      <c r="AQ345" s="240" t="str">
        <f>INPUT!BP285</f>
        <v>NM</v>
      </c>
      <c r="AR345" s="519">
        <f>INPUT!BQ285</f>
        <v>-0.3</v>
      </c>
      <c r="AS345" s="240" t="str">
        <f>INPUT!BR285</f>
        <v>NA</v>
      </c>
      <c r="AT345" s="519">
        <f>INPUT!BS285</f>
        <v>0.1</v>
      </c>
      <c r="AU345" s="240" t="str">
        <f>INPUT!BT285</f>
        <v>NA</v>
      </c>
      <c r="AV345" s="519">
        <f>INPUT!BU285</f>
        <v>0.1</v>
      </c>
      <c r="AW345" s="240" t="str">
        <f>INPUT!BV285</f>
        <v>NM</v>
      </c>
      <c r="AX345" s="519">
        <f>INPUT!BW285</f>
        <v>0.7</v>
      </c>
      <c r="AY345" s="240" t="str">
        <f>INPUT!BX285</f>
        <v>NM</v>
      </c>
      <c r="AZ345" s="519">
        <f>INPUT!BY285</f>
        <v>-0.4</v>
      </c>
      <c r="BA345" s="240">
        <f>INPUT!BZ285</f>
        <v>33.333333333333343</v>
      </c>
      <c r="BB345" s="519">
        <f>INPUT!CA285</f>
        <v>-0.2</v>
      </c>
      <c r="BC345" s="240" t="str">
        <f>INPUT!CB285</f>
        <v>NM</v>
      </c>
      <c r="BD345" s="519">
        <f>INPUT!CC285</f>
        <v>-0.2</v>
      </c>
      <c r="BE345" s="240" t="str">
        <f>INPUT!CD285</f>
        <v>NM</v>
      </c>
      <c r="BF345" s="519">
        <f>INPUT!CE285</f>
        <v>-0.2</v>
      </c>
      <c r="BG345" s="240" t="str">
        <f>INPUT!CF285</f>
        <v>NM</v>
      </c>
      <c r="BH345" s="519">
        <f>INPUT!CG285</f>
        <v>-2.4</v>
      </c>
      <c r="BI345" s="240" t="str">
        <f>INPUT!CH285</f>
        <v>NM</v>
      </c>
      <c r="BJ345" s="519">
        <f>INPUT!CI285</f>
        <v>0</v>
      </c>
      <c r="BK345" s="240" t="str">
        <f>INPUT!CJ285</f>
        <v>NM</v>
      </c>
      <c r="BL345" s="519">
        <f>INPUT!CK285</f>
        <v>0</v>
      </c>
      <c r="BM345" s="240" t="str">
        <f>INPUT!CL285</f>
        <v>NM</v>
      </c>
      <c r="BN345" s="519">
        <f>INPUT!CM285</f>
        <v>-0.1</v>
      </c>
      <c r="BO345" s="240">
        <f>INPUT!CN285</f>
        <v>-50</v>
      </c>
      <c r="BP345" s="519">
        <f>INPUT!CO285</f>
        <v>0</v>
      </c>
      <c r="BQ345" s="240" t="str">
        <f>INPUT!CP285</f>
        <v>NM</v>
      </c>
      <c r="BR345" s="520">
        <f>INPUT!CQ285</f>
        <v>0</v>
      </c>
      <c r="BS345" s="240" t="str">
        <f>INPUT!CR285</f>
        <v>NA</v>
      </c>
      <c r="BT345" s="520">
        <f>INPUT!CS285</f>
        <v>-1</v>
      </c>
      <c r="BU345" s="240" t="str">
        <f>INPUT!CT285</f>
        <v>NA</v>
      </c>
      <c r="BV345" s="520">
        <f>INPUT!CU285</f>
        <v>0</v>
      </c>
      <c r="BW345" s="240" t="str">
        <f>INPUT!CV285</f>
        <v>NM</v>
      </c>
      <c r="BX345" s="520">
        <f>INPUT!CW285</f>
        <v>0</v>
      </c>
      <c r="BY345" s="240" t="str">
        <f>INPUT!CX285</f>
        <v>NA</v>
      </c>
      <c r="BZ345" s="520">
        <f>INPUT!CY285</f>
        <v>-0.1</v>
      </c>
      <c r="CA345" s="240" t="str">
        <f>INPUT!CZ285</f>
        <v>NA</v>
      </c>
      <c r="CB345" s="520">
        <f>INPUT!DA285</f>
        <v>0</v>
      </c>
      <c r="CC345" s="240" t="str">
        <f>INPUT!DB285</f>
        <v>NM</v>
      </c>
      <c r="CD345" s="520">
        <f>INPUT!DC285</f>
        <v>0</v>
      </c>
      <c r="CE345" s="240" t="str">
        <f>INPUT!DD285</f>
        <v>NA</v>
      </c>
      <c r="CF345" s="520">
        <f>INPUT!DE285</f>
        <v>0</v>
      </c>
      <c r="CG345" s="240" t="str">
        <f>INPUT!DF285</f>
        <v>NA</v>
      </c>
      <c r="CH345" s="520">
        <f>INPUT!DG285</f>
        <v>0</v>
      </c>
      <c r="CI345" s="240" t="str">
        <f>INPUT!DH285</f>
        <v>NM</v>
      </c>
      <c r="CJ345" s="520">
        <f>INPUT!DI285</f>
        <v>0</v>
      </c>
      <c r="CK345" s="240" t="str">
        <f>INPUT!DJ285</f>
        <v>NA</v>
      </c>
      <c r="CL345" s="520">
        <f>INPUT!DK285</f>
        <v>0</v>
      </c>
      <c r="CM345" s="240" t="str">
        <f>INPUT!DL285</f>
        <v>NA</v>
      </c>
      <c r="CN345" s="520">
        <f>INPUT!DM285</f>
        <v>0</v>
      </c>
      <c r="CO345" s="240" t="str">
        <f>INPUT!DN285</f>
        <v>NA</v>
      </c>
      <c r="CP345" s="520">
        <f>INPUT!DO285</f>
        <v>0</v>
      </c>
      <c r="CQ345" s="240" t="str">
        <f>INPUT!DP285</f>
        <v>NA</v>
      </c>
      <c r="CR345" s="520">
        <f>INPUT!DQ285</f>
        <v>0</v>
      </c>
      <c r="CS345" s="240" t="str">
        <f>INPUT!DR285</f>
        <v>NA</v>
      </c>
      <c r="CT345" s="520">
        <f>INPUT!DS285</f>
        <v>0</v>
      </c>
      <c r="CU345" s="240" t="str">
        <f>INPUT!DT285</f>
        <v>NA</v>
      </c>
      <c r="CV345" s="520">
        <f>INPUT!DU285</f>
        <v>0</v>
      </c>
      <c r="CW345" s="240" t="str">
        <f>INPUT!DV285</f>
        <v>NA</v>
      </c>
      <c r="CX345" s="520">
        <f>INPUT!DW285</f>
        <v>0</v>
      </c>
      <c r="CY345" s="240" t="str">
        <f>INPUT!DX285</f>
        <v>NA</v>
      </c>
      <c r="CZ345" s="520">
        <f>INPUT!DY285</f>
        <v>0</v>
      </c>
      <c r="DA345" s="240" t="str">
        <f>INPUT!DZ285</f>
        <v>NA</v>
      </c>
      <c r="DB345" s="520">
        <f>INPUT!EA285</f>
        <v>-0.1</v>
      </c>
      <c r="DC345" s="240" t="str">
        <f>INPUT!EB285</f>
        <v>NA</v>
      </c>
      <c r="DD345" s="520">
        <f>INPUT!EC285</f>
        <v>0</v>
      </c>
      <c r="DE345" s="240" t="str">
        <f>INPUT!ED285</f>
        <v>NA</v>
      </c>
      <c r="DF345" s="520">
        <f>INPUT!EE285</f>
        <v>0</v>
      </c>
      <c r="DG345" s="240" t="str">
        <f>INPUT!EF285</f>
        <v>NA</v>
      </c>
      <c r="DH345" s="520">
        <f>INPUT!EG285</f>
        <v>0</v>
      </c>
      <c r="DI345" s="240" t="str">
        <f>INPUT!EH285</f>
        <v>NA</v>
      </c>
      <c r="DJ345" s="520">
        <f>INPUT!EI285</f>
        <v>0</v>
      </c>
      <c r="DK345" s="240" t="str">
        <f>INPUT!EJ285</f>
        <v>NM</v>
      </c>
      <c r="DL345" s="520">
        <f>INPUT!EK285</f>
        <v>0</v>
      </c>
      <c r="DM345" s="240" t="str">
        <f>INPUT!EL285</f>
        <v>NA</v>
      </c>
      <c r="DN345" s="520">
        <f>INPUT!EM285</f>
        <v>0</v>
      </c>
      <c r="DO345" s="240" t="str">
        <f>INPUT!EN285</f>
        <v>NA</v>
      </c>
      <c r="DP345" s="520">
        <f>INPUT!EO285</f>
        <v>0</v>
      </c>
      <c r="DQ345" s="240" t="str">
        <f>INPUT!EP285</f>
        <v>NA</v>
      </c>
      <c r="DR345" s="520">
        <f>INPUT!EQ285</f>
        <v>0</v>
      </c>
      <c r="DS345" s="240" t="str">
        <f>INPUT!ER285</f>
        <v>NA</v>
      </c>
      <c r="DT345" s="520">
        <f>INPUT!ES285</f>
        <v>0</v>
      </c>
      <c r="DU345" s="240" t="str">
        <f>INPUT!ET285</f>
        <v>NA</v>
      </c>
      <c r="DV345" s="520">
        <f>INPUT!EU285</f>
        <v>0</v>
      </c>
      <c r="DW345" s="240" t="str">
        <f>INPUT!EV285</f>
        <v>NA</v>
      </c>
      <c r="DX345" s="520">
        <f>INPUT!EW285</f>
        <v>0</v>
      </c>
      <c r="DY345" s="240" t="str">
        <f>INPUT!EX285</f>
        <v>NA</v>
      </c>
      <c r="DZ345" s="520"/>
      <c r="EA345" s="240"/>
      <c r="EB345" s="155"/>
      <c r="EC345" s="75"/>
      <c r="ED345" s="155"/>
      <c r="EE345" s="75"/>
      <c r="EF345" s="155"/>
      <c r="EG345" s="75"/>
      <c r="EH345" s="155"/>
      <c r="EI345" s="81">
        <f>INPUT!FP285</f>
        <v>0.1</v>
      </c>
      <c r="EJ345" s="240">
        <f>INPUT!FQ285</f>
        <v>0</v>
      </c>
      <c r="EK345" s="519">
        <f>INPUT!FR285</f>
        <v>0.9</v>
      </c>
      <c r="EL345" s="240" t="str">
        <f>INPUT!FS285</f>
        <v>NM</v>
      </c>
      <c r="EM345" s="519">
        <f>INPUT!FT285</f>
        <v>-0.5</v>
      </c>
      <c r="EN345" s="240" t="str">
        <f>INPUT!FU285</f>
        <v>NM</v>
      </c>
      <c r="EO345" s="519">
        <f>INPUT!FV285</f>
        <v>0.2</v>
      </c>
      <c r="EP345" s="240" t="str">
        <f>INPUT!FW285</f>
        <v>NM</v>
      </c>
      <c r="EQ345" s="519">
        <f>INPUT!FX285</f>
        <v>-0.10000000000000009</v>
      </c>
      <c r="ER345" s="240" t="str">
        <f>INPUT!FY285</f>
        <v>NM</v>
      </c>
      <c r="ES345" s="519">
        <f>INPUT!FZ285</f>
        <v>-2.6</v>
      </c>
      <c r="ET345" s="240" t="str">
        <f>INPUT!GA285</f>
        <v>NM</v>
      </c>
      <c r="EU345" s="520">
        <f>INPUT!GB285</f>
        <v>-1.1000000000000001</v>
      </c>
      <c r="EV345" s="240" t="str">
        <f>INPUT!GC285</f>
        <v>NM</v>
      </c>
      <c r="EW345" s="520">
        <f>INPUT!GD285</f>
        <v>-0.1</v>
      </c>
      <c r="EX345" s="240" t="str">
        <f>INPUT!GE285</f>
        <v>NM</v>
      </c>
      <c r="EY345" s="520">
        <f>INPUT!GF285</f>
        <v>0</v>
      </c>
      <c r="EZ345" s="240" t="str">
        <f>INPUT!GG285</f>
        <v>NM</v>
      </c>
      <c r="FA345" s="520">
        <f>INPUT!GH285</f>
        <v>0</v>
      </c>
      <c r="FB345" s="240" t="str">
        <f>INPUT!GI285</f>
        <v>NA</v>
      </c>
      <c r="FC345" s="520">
        <f>INPUT!GJ285</f>
        <v>0</v>
      </c>
      <c r="FD345" s="240" t="str">
        <f>INPUT!GK285</f>
        <v>NA</v>
      </c>
      <c r="FE345" s="520">
        <f>INPUT!GL285</f>
        <v>-0.1</v>
      </c>
      <c r="FF345" s="240" t="str">
        <f>INPUT!GM285</f>
        <v>NA</v>
      </c>
      <c r="FG345" s="520">
        <f>INPUT!GN285</f>
        <v>0</v>
      </c>
      <c r="FH345" s="240" t="str">
        <f>INPUT!GO285</f>
        <v>NM</v>
      </c>
      <c r="FI345" s="520">
        <f>INPUT!GP285</f>
        <v>0</v>
      </c>
      <c r="FJ345" s="240" t="str">
        <f>INPUT!GQ285</f>
        <v>NA</v>
      </c>
      <c r="FK345" s="520">
        <f>INPUT!GR285</f>
        <v>0</v>
      </c>
      <c r="FL345" s="240" t="str">
        <f>INPUT!GS285</f>
        <v>NA</v>
      </c>
      <c r="FM345" s="520">
        <f>INPUT!GT285</f>
        <v>0</v>
      </c>
      <c r="FN345" s="240" t="str">
        <f>INPUT!GU285</f>
        <v>NA</v>
      </c>
      <c r="FO345" s="520">
        <f>INPUT!GV285</f>
        <v>0</v>
      </c>
      <c r="FP345" s="240" t="str">
        <f>INPUT!GW285</f>
        <v>NA</v>
      </c>
      <c r="FQ345" s="520">
        <f>INPUT!GX285</f>
        <v>0</v>
      </c>
      <c r="FR345" s="240" t="str">
        <f>INPUT!GY285</f>
        <v>NA</v>
      </c>
      <c r="FS345" s="240" t="str">
        <f>INPUT!GZ285</f>
        <v>NA</v>
      </c>
    </row>
    <row r="346" spans="1:175" ht="12.75" hidden="1" customHeight="1" outlineLevel="1" x14ac:dyDescent="0.2">
      <c r="A346" s="246" t="str">
        <f>INPUT!B286</f>
        <v xml:space="preserve">  Other</v>
      </c>
      <c r="B346" s="75"/>
      <c r="C346" s="155"/>
      <c r="D346" s="75"/>
      <c r="E346" s="155"/>
      <c r="F346" s="75"/>
      <c r="G346" s="155"/>
      <c r="H346" s="75"/>
      <c r="I346" s="155"/>
      <c r="J346" s="75"/>
      <c r="K346" s="155"/>
      <c r="L346" s="75"/>
      <c r="M346" s="155"/>
      <c r="N346" s="75"/>
      <c r="O346" s="155"/>
      <c r="P346" s="75"/>
      <c r="Q346" s="155"/>
      <c r="R346" s="75"/>
      <c r="S346" s="155"/>
      <c r="T346" s="75"/>
      <c r="U346" s="155"/>
      <c r="V346" s="81">
        <f>INPUT!AU286</f>
        <v>0.5</v>
      </c>
      <c r="W346" s="499" t="str">
        <f>INPUT!AV286</f>
        <v>NA</v>
      </c>
      <c r="X346" s="81">
        <f>INPUT!AW286</f>
        <v>-0.2</v>
      </c>
      <c r="Y346" s="499" t="str">
        <f>INPUT!AX286</f>
        <v>NA</v>
      </c>
      <c r="Z346" s="81">
        <f>INPUT!AY286</f>
        <v>0</v>
      </c>
      <c r="AA346" s="155" t="str">
        <f>INPUT!AZ286</f>
        <v>NM</v>
      </c>
      <c r="AB346" s="81">
        <f>INPUT!BA286</f>
        <v>0</v>
      </c>
      <c r="AC346" s="155" t="str">
        <f>INPUT!BB286</f>
        <v>NM</v>
      </c>
      <c r="AD346" s="81">
        <f>INPUT!BC286</f>
        <v>0</v>
      </c>
      <c r="AE346" s="155" t="str">
        <f>INPUT!BD286</f>
        <v>NM</v>
      </c>
      <c r="AF346" s="81">
        <f>INPUT!BE286</f>
        <v>0</v>
      </c>
      <c r="AG346" s="155" t="str">
        <f>INPUT!BF286</f>
        <v>NM</v>
      </c>
      <c r="AH346" s="519">
        <f>INPUT!BG286</f>
        <v>2.8</v>
      </c>
      <c r="AI346" s="240" t="str">
        <f>INPUT!BH286</f>
        <v>NA</v>
      </c>
      <c r="AJ346" s="519">
        <f>INPUT!BI286</f>
        <v>0</v>
      </c>
      <c r="AK346" s="240" t="str">
        <f>INPUT!BJ286</f>
        <v>NA</v>
      </c>
      <c r="AL346" s="519">
        <f>INPUT!BK286</f>
        <v>0</v>
      </c>
      <c r="AM346" s="240" t="str">
        <f>INPUT!BL286</f>
        <v>NA</v>
      </c>
      <c r="AN346" s="519">
        <f>INPUT!BM286</f>
        <v>0.2</v>
      </c>
      <c r="AO346" s="240" t="str">
        <f>INPUT!BN286</f>
        <v>NA</v>
      </c>
      <c r="AP346" s="519">
        <f>INPUT!BO286</f>
        <v>0</v>
      </c>
      <c r="AQ346" s="240" t="str">
        <f>INPUT!BP286</f>
        <v>NM</v>
      </c>
      <c r="AR346" s="519">
        <f>INPUT!BQ286</f>
        <v>0</v>
      </c>
      <c r="AS346" s="240" t="str">
        <f>INPUT!BR286</f>
        <v>NA</v>
      </c>
      <c r="AT346" s="519">
        <f>INPUT!BS286</f>
        <v>0</v>
      </c>
      <c r="AU346" s="240" t="str">
        <f>INPUT!BT286</f>
        <v>NA</v>
      </c>
      <c r="AV346" s="519">
        <f>INPUT!BU286</f>
        <v>0</v>
      </c>
      <c r="AW346" s="240" t="str">
        <f>INPUT!BV286</f>
        <v>NM</v>
      </c>
      <c r="AX346" s="519">
        <f>INPUT!BW286</f>
        <v>-0.2</v>
      </c>
      <c r="AY346" s="240" t="str">
        <f>INPUT!BX286</f>
        <v>NA</v>
      </c>
      <c r="AZ346" s="519">
        <f>INPUT!BY286</f>
        <v>0</v>
      </c>
      <c r="BA346" s="240" t="str">
        <f>INPUT!BZ286</f>
        <v>NA</v>
      </c>
      <c r="BB346" s="519">
        <f>INPUT!CA286</f>
        <v>0</v>
      </c>
      <c r="BC346" s="240" t="str">
        <f>INPUT!CB286</f>
        <v>NA</v>
      </c>
      <c r="BD346" s="519">
        <f>INPUT!CC286</f>
        <v>0</v>
      </c>
      <c r="BE346" s="240" t="str">
        <f>INPUT!CD286</f>
        <v>NA</v>
      </c>
      <c r="BF346" s="519">
        <f>INPUT!CE286</f>
        <v>0</v>
      </c>
      <c r="BG346" s="240" t="str">
        <f>INPUT!CF286</f>
        <v>NM</v>
      </c>
      <c r="BH346" s="519">
        <f>INPUT!CG286</f>
        <v>0</v>
      </c>
      <c r="BI346" s="240" t="str">
        <f>INPUT!CH286</f>
        <v>NA</v>
      </c>
      <c r="BJ346" s="519">
        <f>INPUT!CI286</f>
        <v>0</v>
      </c>
      <c r="BK346" s="240" t="str">
        <f>INPUT!CJ286</f>
        <v>NA</v>
      </c>
      <c r="BL346" s="519">
        <f>INPUT!CK286</f>
        <v>0</v>
      </c>
      <c r="BM346" s="240" t="str">
        <f>INPUT!CL286</f>
        <v>NA</v>
      </c>
      <c r="BN346" s="519">
        <f>INPUT!CM286</f>
        <v>-0.1</v>
      </c>
      <c r="BO346" s="240" t="str">
        <f>INPUT!CN286</f>
        <v>NA</v>
      </c>
      <c r="BP346" s="519">
        <f>INPUT!CO286</f>
        <v>0.2</v>
      </c>
      <c r="BQ346" s="240" t="str">
        <f>INPUT!CP286</f>
        <v>NA</v>
      </c>
      <c r="BR346" s="520">
        <f>INPUT!CQ286</f>
        <v>-1.5</v>
      </c>
      <c r="BS346" s="240" t="str">
        <f>INPUT!CR286</f>
        <v>NA</v>
      </c>
      <c r="BT346" s="520">
        <f>INPUT!CS286</f>
        <v>-9</v>
      </c>
      <c r="BU346" s="240" t="str">
        <f>INPUT!CT286</f>
        <v>NA</v>
      </c>
      <c r="BV346" s="520">
        <f>INPUT!CU286</f>
        <v>0</v>
      </c>
      <c r="BW346" s="240" t="str">
        <f>INPUT!CV286</f>
        <v>NM</v>
      </c>
      <c r="BX346" s="520">
        <f>INPUT!CW286</f>
        <v>0</v>
      </c>
      <c r="BY346" s="240" t="str">
        <f>INPUT!CX286</f>
        <v>NM</v>
      </c>
      <c r="BZ346" s="520">
        <f>INPUT!CY286</f>
        <v>0</v>
      </c>
      <c r="CA346" s="240" t="str">
        <f>INPUT!CZ286</f>
        <v>NM</v>
      </c>
      <c r="CB346" s="520">
        <f>INPUT!DA286</f>
        <v>0</v>
      </c>
      <c r="CC346" s="240" t="str">
        <f>INPUT!DB286</f>
        <v>NM</v>
      </c>
      <c r="CD346" s="520">
        <f>INPUT!DC286</f>
        <v>0</v>
      </c>
      <c r="CE346" s="240" t="str">
        <f>INPUT!DD286</f>
        <v>NA</v>
      </c>
      <c r="CF346" s="520">
        <f>INPUT!DE286</f>
        <v>0</v>
      </c>
      <c r="CG346" s="240" t="str">
        <f>INPUT!DF286</f>
        <v>NA</v>
      </c>
      <c r="CH346" s="520">
        <f>INPUT!DG286</f>
        <v>0</v>
      </c>
      <c r="CI346" s="240" t="str">
        <f>INPUT!DH286</f>
        <v>NA</v>
      </c>
      <c r="CJ346" s="520">
        <f>INPUT!DI286</f>
        <v>0</v>
      </c>
      <c r="CK346" s="240" t="str">
        <f>INPUT!DJ286</f>
        <v>NA</v>
      </c>
      <c r="CL346" s="520">
        <f>INPUT!DK286</f>
        <v>0</v>
      </c>
      <c r="CM346" s="240" t="str">
        <f>INPUT!DL286</f>
        <v>NA</v>
      </c>
      <c r="CN346" s="520">
        <f>INPUT!DM286</f>
        <v>0</v>
      </c>
      <c r="CO346" s="240" t="str">
        <f>INPUT!DN286</f>
        <v>NA</v>
      </c>
      <c r="CP346" s="520">
        <f>INPUT!DO286</f>
        <v>0</v>
      </c>
      <c r="CQ346" s="240" t="str">
        <f>INPUT!DP286</f>
        <v>NA</v>
      </c>
      <c r="CR346" s="520">
        <f>INPUT!DQ286</f>
        <v>-0.1</v>
      </c>
      <c r="CS346" s="240" t="str">
        <f>INPUT!DR286</f>
        <v>NA</v>
      </c>
      <c r="CT346" s="520">
        <f>INPUT!DS286</f>
        <v>0</v>
      </c>
      <c r="CU346" s="240" t="str">
        <f>INPUT!DT286</f>
        <v>NA</v>
      </c>
      <c r="CV346" s="520">
        <f>INPUT!DU286</f>
        <v>0</v>
      </c>
      <c r="CW346" s="240" t="str">
        <f>INPUT!DV286</f>
        <v>NA</v>
      </c>
      <c r="CX346" s="520">
        <f>INPUT!DW286</f>
        <v>-0.1</v>
      </c>
      <c r="CY346" s="240" t="str">
        <f>INPUT!DX286</f>
        <v>NA</v>
      </c>
      <c r="CZ346" s="520">
        <f>INPUT!DY286</f>
        <v>0</v>
      </c>
      <c r="DA346" s="240" t="str">
        <f>INPUT!DZ286</f>
        <v>NM</v>
      </c>
      <c r="DB346" s="520">
        <f>INPUT!EA286</f>
        <v>0.7</v>
      </c>
      <c r="DC346" s="240" t="str">
        <f>INPUT!EB286</f>
        <v>NA</v>
      </c>
      <c r="DD346" s="520">
        <f>INPUT!EC286</f>
        <v>0</v>
      </c>
      <c r="DE346" s="240" t="str">
        <f>INPUT!ED286</f>
        <v>NA</v>
      </c>
      <c r="DF346" s="520">
        <f>INPUT!EE286</f>
        <v>0</v>
      </c>
      <c r="DG346" s="240" t="str">
        <f>INPUT!EF286</f>
        <v>NM</v>
      </c>
      <c r="DH346" s="520">
        <f>INPUT!EG286</f>
        <v>2.2000000000000002</v>
      </c>
      <c r="DI346" s="240" t="str">
        <f>INPUT!EH286</f>
        <v>NA</v>
      </c>
      <c r="DJ346" s="520">
        <f>INPUT!EI286</f>
        <v>0.1</v>
      </c>
      <c r="DK346" s="240" t="str">
        <f>INPUT!EJ286</f>
        <v>NM</v>
      </c>
      <c r="DL346" s="520">
        <f>INPUT!EK286</f>
        <v>0</v>
      </c>
      <c r="DM346" s="240" t="str">
        <f>INPUT!EL286</f>
        <v>NA</v>
      </c>
      <c r="DN346" s="520">
        <f>INPUT!EM286</f>
        <v>0</v>
      </c>
      <c r="DO346" s="240" t="str">
        <f>INPUT!EN286</f>
        <v>NA</v>
      </c>
      <c r="DP346" s="520">
        <f>INPUT!EO286</f>
        <v>0</v>
      </c>
      <c r="DQ346" s="240" t="str">
        <f>INPUT!EP286</f>
        <v>NM</v>
      </c>
      <c r="DR346" s="520">
        <f>INPUT!EQ286</f>
        <v>0</v>
      </c>
      <c r="DS346" s="240" t="str">
        <f>INPUT!ER286</f>
        <v>NM</v>
      </c>
      <c r="DT346" s="520">
        <f>INPUT!ES286</f>
        <v>0</v>
      </c>
      <c r="DU346" s="240" t="str">
        <f>INPUT!ET286</f>
        <v>NA</v>
      </c>
      <c r="DV346" s="520">
        <f>INPUT!EU286</f>
        <v>0</v>
      </c>
      <c r="DW346" s="240" t="str">
        <f>INPUT!EV286</f>
        <v>NA</v>
      </c>
      <c r="DX346" s="520">
        <f>INPUT!EW286</f>
        <v>0</v>
      </c>
      <c r="DY346" s="240" t="str">
        <f>INPUT!EX286</f>
        <v>NA</v>
      </c>
      <c r="DZ346" s="520"/>
      <c r="EA346" s="240"/>
      <c r="EB346" s="155"/>
      <c r="EC346" s="75"/>
      <c r="ED346" s="155"/>
      <c r="EE346" s="75"/>
      <c r="EF346" s="155"/>
      <c r="EG346" s="75"/>
      <c r="EH346" s="155"/>
      <c r="EI346" s="81">
        <f>INPUT!FP286</f>
        <v>0.7</v>
      </c>
      <c r="EJ346" s="240">
        <f>INPUT!FQ286</f>
        <v>0</v>
      </c>
      <c r="EK346" s="519">
        <f>INPUT!FR286</f>
        <v>0</v>
      </c>
      <c r="EL346" s="240" t="str">
        <f>INPUT!FS286</f>
        <v>NM</v>
      </c>
      <c r="EM346" s="519">
        <f>INPUT!FT286</f>
        <v>3</v>
      </c>
      <c r="EN346" s="240" t="str">
        <f>INPUT!FU286</f>
        <v>NA</v>
      </c>
      <c r="EO346" s="519">
        <f>INPUT!FV286</f>
        <v>0</v>
      </c>
      <c r="EP346" s="240" t="str">
        <f>INPUT!FW286</f>
        <v>NM</v>
      </c>
      <c r="EQ346" s="519">
        <f>INPUT!FX286</f>
        <v>-0.2</v>
      </c>
      <c r="ER346" s="240" t="str">
        <f>INPUT!FY286</f>
        <v>NA</v>
      </c>
      <c r="ES346" s="519">
        <f>INPUT!FZ286</f>
        <v>0</v>
      </c>
      <c r="ET346" s="240" t="str">
        <f>INPUT!GA286</f>
        <v>NM</v>
      </c>
      <c r="EU346" s="520">
        <f>INPUT!GB286</f>
        <v>-10.4</v>
      </c>
      <c r="EV346" s="240" t="str">
        <f>INPUT!GC286</f>
        <v>NA</v>
      </c>
      <c r="EW346" s="520">
        <f>INPUT!GD286</f>
        <v>0</v>
      </c>
      <c r="EX346" s="240" t="str">
        <f>INPUT!GE286</f>
        <v>NM</v>
      </c>
      <c r="EY346" s="520">
        <f>INPUT!GF286</f>
        <v>0</v>
      </c>
      <c r="EZ346" s="240" t="str">
        <f>INPUT!GG286</f>
        <v>NA</v>
      </c>
      <c r="FA346" s="520">
        <f>INPUT!GH286</f>
        <v>-0.1</v>
      </c>
      <c r="FB346" s="240" t="str">
        <f>INPUT!GI286</f>
        <v>NA</v>
      </c>
      <c r="FC346" s="520">
        <f>INPUT!GJ286</f>
        <v>-0.1</v>
      </c>
      <c r="FD346" s="240">
        <f>INPUT!GK286</f>
        <v>0</v>
      </c>
      <c r="FE346" s="520">
        <f>INPUT!GL286</f>
        <v>2.9000000000000004</v>
      </c>
      <c r="FF346" s="240" t="str">
        <f>INPUT!GM286</f>
        <v>NM</v>
      </c>
      <c r="FG346" s="520">
        <f>INPUT!GN286</f>
        <v>0.1</v>
      </c>
      <c r="FH346" s="240" t="str">
        <f>INPUT!GO286</f>
        <v>NM</v>
      </c>
      <c r="FI346" s="520">
        <f>INPUT!GP286</f>
        <v>0</v>
      </c>
      <c r="FJ346" s="240" t="str">
        <f>INPUT!GQ286</f>
        <v>NM</v>
      </c>
      <c r="FK346" s="520">
        <f>INPUT!GR286</f>
        <v>0</v>
      </c>
      <c r="FL346" s="240" t="str">
        <f>INPUT!GS286</f>
        <v>NA</v>
      </c>
      <c r="FM346" s="520">
        <f>INPUT!GT286</f>
        <v>0</v>
      </c>
      <c r="FN346" s="240" t="str">
        <f>INPUT!GU286</f>
        <v>NA</v>
      </c>
      <c r="FO346" s="520">
        <f>INPUT!GV286</f>
        <v>0</v>
      </c>
      <c r="FP346" s="240" t="str">
        <f>INPUT!GW286</f>
        <v>NA</v>
      </c>
      <c r="FQ346" s="520">
        <f>INPUT!GX286</f>
        <v>0</v>
      </c>
      <c r="FR346" s="240" t="str">
        <f>INPUT!GY286</f>
        <v>NA</v>
      </c>
      <c r="FS346" s="240" t="str">
        <f>INPUT!GZ286</f>
        <v>NM</v>
      </c>
    </row>
    <row r="347" spans="1:175" ht="12.75" hidden="1" customHeight="1" outlineLevel="1" x14ac:dyDescent="0.2">
      <c r="A347" s="246" t="str">
        <f>INPUT!B287</f>
        <v>Ending Assets</v>
      </c>
      <c r="B347" s="75"/>
      <c r="C347" s="155"/>
      <c r="D347" s="75"/>
      <c r="E347" s="155"/>
      <c r="F347" s="75"/>
      <c r="G347" s="155"/>
      <c r="H347" s="75"/>
      <c r="I347" s="155"/>
      <c r="J347" s="75"/>
      <c r="K347" s="155"/>
      <c r="L347" s="75"/>
      <c r="M347" s="155"/>
      <c r="N347" s="75"/>
      <c r="O347" s="155"/>
      <c r="P347" s="75"/>
      <c r="Q347" s="155"/>
      <c r="R347" s="75"/>
      <c r="S347" s="155"/>
      <c r="T347" s="75"/>
      <c r="U347" s="155"/>
      <c r="V347" s="81">
        <f>INPUT!AU287</f>
        <v>36.800000000000004</v>
      </c>
      <c r="W347" s="499" t="str">
        <f>INPUT!AV287</f>
        <v>NA</v>
      </c>
      <c r="X347" s="81">
        <f>INPUT!AW287</f>
        <v>38.700000000000003</v>
      </c>
      <c r="Y347" s="499" t="str">
        <f>INPUT!AX287</f>
        <v>NA</v>
      </c>
      <c r="Z347" s="81">
        <f>INPUT!AY287</f>
        <v>40.500000000000007</v>
      </c>
      <c r="AA347" s="155">
        <f>INPUT!AZ287</f>
        <v>23.475609756097597</v>
      </c>
      <c r="AB347" s="81">
        <f>INPUT!BA287</f>
        <v>40.700000000000003</v>
      </c>
      <c r="AC347" s="155">
        <f>INPUT!BB287</f>
        <v>21.130952380952394</v>
      </c>
      <c r="AD347" s="81">
        <f>INPUT!BC287</f>
        <v>41.3</v>
      </c>
      <c r="AE347" s="155">
        <f>INPUT!BD287</f>
        <v>12.22826086956519</v>
      </c>
      <c r="AF347" s="81">
        <f>INPUT!BE287</f>
        <v>43.4</v>
      </c>
      <c r="AG347" s="155">
        <f>INPUT!BF287</f>
        <v>12.144702842377257</v>
      </c>
      <c r="AH347" s="519">
        <f>INPUT!BG287</f>
        <v>47.699999999999996</v>
      </c>
      <c r="AI347" s="240">
        <f>INPUT!BH287</f>
        <v>17.777777777777743</v>
      </c>
      <c r="AJ347" s="519">
        <f>INPUT!BI287</f>
        <v>49.3</v>
      </c>
      <c r="AK347" s="240">
        <f>INPUT!BJ287</f>
        <v>21.130221130221116</v>
      </c>
      <c r="AL347" s="519">
        <f>INPUT!BK287</f>
        <v>51.300000000000004</v>
      </c>
      <c r="AM347" s="240">
        <f>INPUT!BL287</f>
        <v>24.213075060532702</v>
      </c>
      <c r="AN347" s="519">
        <f>INPUT!BM287</f>
        <v>50.900000000000006</v>
      </c>
      <c r="AO347" s="240">
        <f>INPUT!BN287</f>
        <v>17.281105990783431</v>
      </c>
      <c r="AP347" s="519">
        <f>INPUT!BO287</f>
        <v>48.2</v>
      </c>
      <c r="AQ347" s="240">
        <f>INPUT!BP287</f>
        <v>1.0482180293501102</v>
      </c>
      <c r="AR347" s="519">
        <f>INPUT!BQ287</f>
        <v>50.7</v>
      </c>
      <c r="AS347" s="240">
        <f>INPUT!BR287</f>
        <v>2.8397565922921046</v>
      </c>
      <c r="AT347" s="519">
        <f>INPUT!BS287</f>
        <v>43.400000000000006</v>
      </c>
      <c r="AU347" s="240">
        <f>INPUT!BT287</f>
        <v>-15.399610136452239</v>
      </c>
      <c r="AV347" s="519">
        <f>INPUT!BU287</f>
        <v>33.500000000000007</v>
      </c>
      <c r="AW347" s="240">
        <f>INPUT!BV287</f>
        <v>-34.18467583497052</v>
      </c>
      <c r="AX347" s="519">
        <f>INPUT!BW287</f>
        <v>33.500000000000007</v>
      </c>
      <c r="AY347" s="240">
        <f>INPUT!BX287</f>
        <v>-30.497925311203318</v>
      </c>
      <c r="AZ347" s="519">
        <f>INPUT!BY287</f>
        <v>39.500000000000007</v>
      </c>
      <c r="BA347" s="240">
        <f>INPUT!BZ287</f>
        <v>-22.09072978303746</v>
      </c>
      <c r="BB347" s="519">
        <f>INPUT!CA287</f>
        <v>47.20000000000001</v>
      </c>
      <c r="BC347" s="240">
        <f>INPUT!CB287</f>
        <v>8.7557603686636156</v>
      </c>
      <c r="BD347" s="519">
        <f>INPUT!CC287</f>
        <v>51.1</v>
      </c>
      <c r="BE347" s="240">
        <f>INPUT!CD287</f>
        <v>52.537313432835788</v>
      </c>
      <c r="BF347" s="519">
        <f>INPUT!CE287</f>
        <v>53.499999999999993</v>
      </c>
      <c r="BG347" s="240">
        <f>INPUT!CF287</f>
        <v>59.701492537313385</v>
      </c>
      <c r="BH347" s="519">
        <f>INPUT!CG287</f>
        <v>49.099999999999994</v>
      </c>
      <c r="BI347" s="240">
        <f>INPUT!CH287</f>
        <v>24.303797468354404</v>
      </c>
      <c r="BJ347" s="519">
        <f>INPUT!CI287</f>
        <v>55.5</v>
      </c>
      <c r="BK347" s="240">
        <f>INPUT!CJ287</f>
        <v>17.584745762711833</v>
      </c>
      <c r="BL347" s="519">
        <f>INPUT!CK287</f>
        <v>61.599999999999994</v>
      </c>
      <c r="BM347" s="240">
        <f>INPUT!CL287</f>
        <v>20.547945205479451</v>
      </c>
      <c r="BN347" s="519">
        <f>INPUT!CM287</f>
        <v>80.7</v>
      </c>
      <c r="BO347" s="240">
        <f>INPUT!CN287</f>
        <v>50.841121495327144</v>
      </c>
      <c r="BP347" s="519">
        <f>INPUT!CO287</f>
        <v>82.100000000000009</v>
      </c>
      <c r="BQ347" s="240">
        <f>INPUT!CP287</f>
        <v>67.209775967413492</v>
      </c>
      <c r="BR347" s="520">
        <f>INPUT!CQ287</f>
        <v>72.200000000000017</v>
      </c>
      <c r="BS347" s="240">
        <f>INPUT!CR287</f>
        <v>30.090090090090115</v>
      </c>
      <c r="BT347" s="520">
        <f>INPUT!CS287</f>
        <v>69.600000000000009</v>
      </c>
      <c r="BU347" s="240">
        <f>INPUT!CT287</f>
        <v>12.987012987013017</v>
      </c>
      <c r="BV347" s="520">
        <f>INPUT!CU287</f>
        <v>81.100000000000023</v>
      </c>
      <c r="BW347" s="240">
        <f>INPUT!CV287</f>
        <v>0.49566294919456766</v>
      </c>
      <c r="BX347" s="520">
        <f>INPUT!CW287</f>
        <v>81.100000000000023</v>
      </c>
      <c r="BY347" s="240">
        <f>INPUT!CX287</f>
        <v>-1.2180267965895126</v>
      </c>
      <c r="BZ347" s="520">
        <f>INPUT!CY287</f>
        <v>87.800000000000026</v>
      </c>
      <c r="CA347" s="240">
        <f>INPUT!CZ287</f>
        <v>21.606648199445999</v>
      </c>
      <c r="CB347" s="520">
        <f>INPUT!DA287</f>
        <v>91.100000000000023</v>
      </c>
      <c r="CC347" s="240">
        <f>INPUT!DB287</f>
        <v>30.890804597701162</v>
      </c>
      <c r="CD347" s="520">
        <f>INPUT!DC287</f>
        <v>97.900000000000034</v>
      </c>
      <c r="CE347" s="240">
        <f>INPUT!DD287</f>
        <v>20.715166461159072</v>
      </c>
      <c r="CF347" s="520">
        <f>INPUT!DE287</f>
        <v>100.40000000000003</v>
      </c>
      <c r="CG347" s="240">
        <f>INPUT!DF287</f>
        <v>23.797780517879175</v>
      </c>
      <c r="CH347" s="520">
        <f>INPUT!DG287</f>
        <v>106.50000000000003</v>
      </c>
      <c r="CI347" s="240">
        <f>INPUT!DH287</f>
        <v>21.298405466970394</v>
      </c>
      <c r="CJ347" s="520">
        <f>INPUT!DI287</f>
        <v>115.00000000000003</v>
      </c>
      <c r="CK347" s="240">
        <f>INPUT!DJ287</f>
        <v>26.234906695938534</v>
      </c>
      <c r="CL347" s="520">
        <f>INPUT!DK287</f>
        <v>117.00000000000003</v>
      </c>
      <c r="CM347" s="240">
        <f>INPUT!DL287</f>
        <v>19.509703779366689</v>
      </c>
      <c r="CN347" s="520">
        <f>INPUT!DM287</f>
        <v>122.50000000000003</v>
      </c>
      <c r="CO347" s="240">
        <f>INPUT!DN287</f>
        <v>22.011952191235039</v>
      </c>
      <c r="CP347" s="520">
        <f>INPUT!DO287</f>
        <v>122.70000000000003</v>
      </c>
      <c r="CQ347" s="240">
        <f>INPUT!DP287</f>
        <v>15.211267605633807</v>
      </c>
      <c r="CR347" s="520">
        <f>INPUT!DQ287</f>
        <v>126.80000000000003</v>
      </c>
      <c r="CS347" s="240">
        <f>INPUT!DR287</f>
        <v>10.260869565217391</v>
      </c>
      <c r="CT347" s="520">
        <f>INPUT!DS287</f>
        <v>135.10000000000005</v>
      </c>
      <c r="CU347" s="240">
        <f>INPUT!DT287</f>
        <v>15.470085470085479</v>
      </c>
      <c r="CV347" s="520">
        <f>INPUT!DU287</f>
        <v>135.20000000000007</v>
      </c>
      <c r="CW347" s="240">
        <f>INPUT!DV287</f>
        <v>10.36734693877554</v>
      </c>
      <c r="CX347" s="520">
        <f>INPUT!DW287</f>
        <v>125.90000000000006</v>
      </c>
      <c r="CY347" s="240">
        <f>INPUT!DX287</f>
        <v>2.607986960065233</v>
      </c>
      <c r="CZ347" s="520">
        <f>INPUT!DY287</f>
        <v>128.90000000000006</v>
      </c>
      <c r="DA347" s="240">
        <f>INPUT!DZ287</f>
        <v>1.6561514195583982</v>
      </c>
      <c r="DB347" s="520">
        <f>INPUT!EA287</f>
        <v>127.80000000000007</v>
      </c>
      <c r="DC347" s="240">
        <f>INPUT!EB287</f>
        <v>-5.403404885270163</v>
      </c>
      <c r="DD347" s="520">
        <f>INPUT!EC287</f>
        <v>131.30000000000007</v>
      </c>
      <c r="DE347" s="240">
        <f>INPUT!ED287</f>
        <v>-2.8846153846153868</v>
      </c>
      <c r="DF347" s="520">
        <f>INPUT!EE287</f>
        <v>137.70000000000007</v>
      </c>
      <c r="DG347" s="240">
        <f>INPUT!EF287</f>
        <v>9.3725178713264512</v>
      </c>
      <c r="DH347" s="520">
        <f>INPUT!EG287</f>
        <v>136.60000000000008</v>
      </c>
      <c r="DI347" s="240">
        <f>INPUT!EH287</f>
        <v>5.9736229635376219</v>
      </c>
      <c r="DJ347" s="520">
        <f>INPUT!EI287</f>
        <v>144.20000000000007</v>
      </c>
      <c r="DK347" s="240">
        <f>INPUT!EJ287</f>
        <v>12.832550860719877</v>
      </c>
      <c r="DL347" s="520">
        <f>INPUT!EK287</f>
        <v>150.00000000000009</v>
      </c>
      <c r="DM347" s="240">
        <f>INPUT!EL287</f>
        <v>14.242193450114243</v>
      </c>
      <c r="DN347" s="520">
        <f>INPUT!EM287</f>
        <v>157.50000000000009</v>
      </c>
      <c r="DO347" s="240">
        <f>INPUT!EN287</f>
        <v>14.379084967320253</v>
      </c>
      <c r="DP347" s="520">
        <f>INPUT!EO287</f>
        <v>164.3000000000001</v>
      </c>
      <c r="DQ347" s="240">
        <f>INPUT!EP287</f>
        <v>20.278184480234259</v>
      </c>
      <c r="DR347" s="520">
        <f>INPUT!EQ287</f>
        <v>164.0337900000001</v>
      </c>
      <c r="DS347" s="240">
        <f>INPUT!ER287</f>
        <v>13.754361997226084</v>
      </c>
      <c r="DT347" s="520">
        <f>INPUT!ES287</f>
        <v>166.42177672826639</v>
      </c>
      <c r="DU347" s="240">
        <f>INPUT!ET287</f>
        <v>10.947851152177535</v>
      </c>
      <c r="DV347" s="520">
        <f>INPUT!EU287</f>
        <v>169.15336582687476</v>
      </c>
      <c r="DW347" s="240">
        <f>INPUT!EV287</f>
        <v>7.3989624297616956</v>
      </c>
      <c r="DX347" s="520">
        <f>INPUT!EW287</f>
        <v>172.45833591307704</v>
      </c>
      <c r="DY347" s="240">
        <f>INPUT!EX287</f>
        <v>4.9655118156280764</v>
      </c>
      <c r="DZ347" s="520"/>
      <c r="EA347" s="240"/>
      <c r="EB347" s="155"/>
      <c r="EC347" s="75"/>
      <c r="ED347" s="155"/>
      <c r="EE347" s="75"/>
      <c r="EF347" s="155"/>
      <c r="EG347" s="75"/>
      <c r="EH347" s="155"/>
      <c r="EI347" s="81">
        <f>INPUT!FP287</f>
        <v>38.700000000000003</v>
      </c>
      <c r="EJ347" s="240">
        <f>INPUT!FQ287</f>
        <v>0</v>
      </c>
      <c r="EK347" s="519">
        <f>INPUT!FR287</f>
        <v>43.400000000000006</v>
      </c>
      <c r="EL347" s="240">
        <f>INPUT!FS287</f>
        <v>12.144702842377271</v>
      </c>
      <c r="EM347" s="519">
        <f>INPUT!FT287</f>
        <v>50.900000000000006</v>
      </c>
      <c r="EN347" s="240">
        <f>INPUT!FU287</f>
        <v>17.281105990783402</v>
      </c>
      <c r="EO347" s="519">
        <f>INPUT!FV287</f>
        <v>33.5</v>
      </c>
      <c r="EP347" s="240">
        <f>INPUT!FW287</f>
        <v>-34.184675834970534</v>
      </c>
      <c r="EQ347" s="519">
        <f>INPUT!FX287</f>
        <v>51.099999999999994</v>
      </c>
      <c r="ER347" s="240">
        <f>INPUT!FY287</f>
        <v>52.537313432835816</v>
      </c>
      <c r="ES347" s="519">
        <f>INPUT!FZ287</f>
        <v>61.599999999999987</v>
      </c>
      <c r="ET347" s="240">
        <f>INPUT!GA287</f>
        <v>20.547945205479451</v>
      </c>
      <c r="EU347" s="520">
        <f>INPUT!GB287</f>
        <v>69.599999999999994</v>
      </c>
      <c r="EV347" s="240">
        <f>INPUT!GC287</f>
        <v>12.987012987012989</v>
      </c>
      <c r="EW347" s="520">
        <f>INPUT!GD287</f>
        <v>91.1</v>
      </c>
      <c r="EX347" s="240">
        <f>INPUT!GE287</f>
        <v>30.890804597701162</v>
      </c>
      <c r="EY347" s="520">
        <f>INPUT!GF287</f>
        <v>115.00000000000001</v>
      </c>
      <c r="EZ347" s="240">
        <f>INPUT!GG287</f>
        <v>26.234906695938548</v>
      </c>
      <c r="FA347" s="520">
        <f>INPUT!GH287</f>
        <v>126.80000000000003</v>
      </c>
      <c r="FB347" s="240">
        <f>INPUT!GI287</f>
        <v>10.260869565217391</v>
      </c>
      <c r="FC347" s="520">
        <f>INPUT!GJ287</f>
        <v>128.90000000000003</v>
      </c>
      <c r="FD347" s="240">
        <f>INPUT!GK287</f>
        <v>1.6561514195583698</v>
      </c>
      <c r="FE347" s="520">
        <f>INPUT!GL287</f>
        <v>136.60000000000002</v>
      </c>
      <c r="FF347" s="240">
        <f>INPUT!GM287</f>
        <v>5.9736229635376077</v>
      </c>
      <c r="FG347" s="520">
        <f>INPUT!GN287</f>
        <v>164.3</v>
      </c>
      <c r="FH347" s="240">
        <f>INPUT!GO287</f>
        <v>20.278184480234245</v>
      </c>
      <c r="FI347" s="520">
        <f>INPUT!GP287</f>
        <v>172.45833591307695</v>
      </c>
      <c r="FJ347" s="240">
        <f>INPUT!GQ287</f>
        <v>4.9655118156280764</v>
      </c>
      <c r="FK347" s="520">
        <f>INPUT!GR287</f>
        <v>181.36524358341617</v>
      </c>
      <c r="FL347" s="240">
        <f>INPUT!GS287</f>
        <v>5.1646721645444416</v>
      </c>
      <c r="FM347" s="520">
        <f>INPUT!GT287</f>
        <v>189.04764998247822</v>
      </c>
      <c r="FN347" s="240">
        <f>INPUT!GU287</f>
        <v>4.2358757649883643</v>
      </c>
      <c r="FO347" s="520">
        <f>INPUT!GV287</f>
        <v>195.84154341698132</v>
      </c>
      <c r="FP347" s="240">
        <f>INPUT!GW287</f>
        <v>3.5937465687263455</v>
      </c>
      <c r="FQ347" s="520">
        <f>INPUT!GX287</f>
        <v>201.99698902841715</v>
      </c>
      <c r="FR347" s="240">
        <f>INPUT!GY287</f>
        <v>3.1430744999439497</v>
      </c>
      <c r="FS347" s="240">
        <f>INPUT!GZ287</f>
        <v>4.2176957000570114</v>
      </c>
    </row>
    <row r="348" spans="1:175" ht="12.75" hidden="1" customHeight="1" outlineLevel="1" x14ac:dyDescent="0.2">
      <c r="A348" s="246" t="str">
        <f>INPUT!B288</f>
        <v>Affiliated Retail AUM</v>
      </c>
      <c r="B348" s="75"/>
      <c r="C348" s="155"/>
      <c r="D348" s="75"/>
      <c r="E348" s="155"/>
      <c r="F348" s="75"/>
      <c r="G348" s="155"/>
      <c r="H348" s="75"/>
      <c r="I348" s="155"/>
      <c r="J348" s="75"/>
      <c r="K348" s="155"/>
      <c r="L348" s="75"/>
      <c r="M348" s="155"/>
      <c r="N348" s="75"/>
      <c r="O348" s="155"/>
      <c r="P348" s="75"/>
      <c r="Q348" s="155"/>
      <c r="R348" s="75"/>
      <c r="S348" s="155"/>
      <c r="T348" s="75"/>
      <c r="U348" s="155"/>
      <c r="V348" s="81">
        <f>INPUT!AU288</f>
        <v>33.700000000000003</v>
      </c>
      <c r="W348" s="499" t="str">
        <f>INPUT!AV288</f>
        <v>NA</v>
      </c>
      <c r="X348" s="81">
        <f>INPUT!AW288</f>
        <v>34.799999999999997</v>
      </c>
      <c r="Y348" s="499" t="str">
        <f>INPUT!AX288</f>
        <v>NA</v>
      </c>
      <c r="Z348" s="81">
        <f>INPUT!AY288</f>
        <v>35.1</v>
      </c>
      <c r="AA348" s="155">
        <f>INPUT!AZ288</f>
        <v>9.6875</v>
      </c>
      <c r="AB348" s="81">
        <f>INPUT!BA288</f>
        <v>34.4</v>
      </c>
      <c r="AC348" s="155">
        <f>INPUT!BB288</f>
        <v>7.1651090342678998</v>
      </c>
      <c r="AD348" s="81">
        <f>INPUT!BC288</f>
        <v>34.6</v>
      </c>
      <c r="AE348" s="155">
        <f>INPUT!BD288</f>
        <v>2.6706231454005831</v>
      </c>
      <c r="AF348" s="81">
        <f>INPUT!BE288</f>
        <v>35.6</v>
      </c>
      <c r="AG348" s="155">
        <f>INPUT!BF288</f>
        <v>2.2988505747126595</v>
      </c>
      <c r="AH348" s="519">
        <f>INPUT!BG288</f>
        <v>36.5</v>
      </c>
      <c r="AI348" s="240">
        <f>INPUT!BH288</f>
        <v>3.9886039886039839</v>
      </c>
      <c r="AJ348" s="519">
        <f>INPUT!BI288</f>
        <v>37.799999999999997</v>
      </c>
      <c r="AK348" s="240">
        <f>INPUT!BJ288</f>
        <v>9.8837209302325562</v>
      </c>
      <c r="AL348" s="519">
        <f>INPUT!BK288</f>
        <v>37.200000000000003</v>
      </c>
      <c r="AM348" s="240">
        <f>INPUT!BL288</f>
        <v>7.5144508670520196</v>
      </c>
      <c r="AN348" s="519">
        <f>INPUT!BM288</f>
        <v>35.700000000000003</v>
      </c>
      <c r="AO348" s="240">
        <f>INPUT!BN288</f>
        <v>0.28089887640450684</v>
      </c>
      <c r="AP348" s="519">
        <f>INPUT!BO288</f>
        <v>33.6</v>
      </c>
      <c r="AQ348" s="240">
        <f>INPUT!BP288</f>
        <v>-7.9452054794520564</v>
      </c>
      <c r="AR348" s="519">
        <f>INPUT!BQ288</f>
        <v>33.6</v>
      </c>
      <c r="AS348" s="240">
        <f>INPUT!BR288</f>
        <v>-11.1111111111111</v>
      </c>
      <c r="AT348" s="519">
        <f>INPUT!BS288</f>
        <v>32</v>
      </c>
      <c r="AU348" s="240">
        <f>INPUT!BT288</f>
        <v>-13.978494623655919</v>
      </c>
      <c r="AV348" s="519">
        <f>INPUT!BU288</f>
        <v>28.2</v>
      </c>
      <c r="AW348" s="240">
        <f>INPUT!BV288</f>
        <v>-21.008403361344534</v>
      </c>
      <c r="AX348" s="519">
        <f>INPUT!BW288</f>
        <v>27.8</v>
      </c>
      <c r="AY348" s="240">
        <f>INPUT!BX288</f>
        <v>-17.261904761904773</v>
      </c>
      <c r="AZ348" s="519">
        <f>INPUT!BY288</f>
        <v>30.8</v>
      </c>
      <c r="BA348" s="240">
        <f>INPUT!BZ288</f>
        <v>-8.3333333333333428</v>
      </c>
      <c r="BB348" s="519">
        <f>INPUT!CA288</f>
        <v>31.9</v>
      </c>
      <c r="BC348" s="240">
        <f>INPUT!CB288</f>
        <v>-0.3125</v>
      </c>
      <c r="BD348" s="519">
        <f>INPUT!CC288</f>
        <v>33.299999999999997</v>
      </c>
      <c r="BE348" s="240">
        <f>INPUT!CD288</f>
        <v>18.085106382978708</v>
      </c>
      <c r="BF348" s="519">
        <f>INPUT!CE288</f>
        <v>35.5</v>
      </c>
      <c r="BG348" s="240">
        <f>INPUT!CF288</f>
        <v>27.697841726618705</v>
      </c>
      <c r="BH348" s="519">
        <f>INPUT!CG288</f>
        <v>35.1</v>
      </c>
      <c r="BI348" s="240">
        <f>INPUT!CH288</f>
        <v>13.96103896103898</v>
      </c>
      <c r="BJ348" s="519">
        <f>INPUT!CI288</f>
        <v>35.1</v>
      </c>
      <c r="BK348" s="240">
        <f>INPUT!CJ288</f>
        <v>10.031347962382455</v>
      </c>
      <c r="BL348" s="519">
        <f>INPUT!CK288</f>
        <v>39.6</v>
      </c>
      <c r="BM348" s="240">
        <f>INPUT!CL288</f>
        <v>18.918918918918919</v>
      </c>
      <c r="BN348" s="519">
        <f>INPUT!CM288</f>
        <v>38</v>
      </c>
      <c r="BO348" s="240">
        <f>INPUT!CN288</f>
        <v>7.042253521126753</v>
      </c>
      <c r="BP348" s="519">
        <f>INPUT!CO288</f>
        <v>37.700000000000003</v>
      </c>
      <c r="BQ348" s="240">
        <f>INPUT!CP288</f>
        <v>7.407407407407419</v>
      </c>
      <c r="BR348" s="520">
        <f>INPUT!CQ288</f>
        <v>47.2</v>
      </c>
      <c r="BS348" s="240">
        <f>INPUT!CR288</f>
        <v>34.472934472934469</v>
      </c>
      <c r="BT348" s="520">
        <f>INPUT!CS288</f>
        <v>49.7</v>
      </c>
      <c r="BU348" s="240">
        <f>INPUT!CT288</f>
        <v>25.505050505050491</v>
      </c>
      <c r="BV348" s="520">
        <f>INPUT!CU288</f>
        <v>44</v>
      </c>
      <c r="BW348" s="240">
        <f>INPUT!CV288</f>
        <v>15.789473684210535</v>
      </c>
      <c r="BX348" s="520">
        <f>INPUT!CW288</f>
        <v>50.6</v>
      </c>
      <c r="BY348" s="240">
        <f>INPUT!CX288</f>
        <v>34.217506631299727</v>
      </c>
      <c r="BZ348" s="520">
        <f>INPUT!CY288</f>
        <v>46.1</v>
      </c>
      <c r="CA348" s="240">
        <f>INPUT!CZ288</f>
        <v>-2.330508474576277</v>
      </c>
      <c r="CB348" s="520">
        <f>INPUT!DA288</f>
        <v>47.6</v>
      </c>
      <c r="CC348" s="240">
        <f>INPUT!DB288</f>
        <v>-4.2253521126760631</v>
      </c>
      <c r="CD348" s="520">
        <f>INPUT!DC288</f>
        <v>45.9</v>
      </c>
      <c r="CE348" s="240">
        <f>INPUT!DD288</f>
        <v>4.3181818181818272</v>
      </c>
      <c r="CF348" s="520">
        <f>INPUT!DE288</f>
        <v>52</v>
      </c>
      <c r="CG348" s="240">
        <f>INPUT!DF288</f>
        <v>2.7667984189723427</v>
      </c>
      <c r="CH348" s="520">
        <f>INPUT!DG288</f>
        <v>52.6</v>
      </c>
      <c r="CI348" s="240">
        <f>INPUT!DH288</f>
        <v>14.099783080260295</v>
      </c>
      <c r="CJ348" s="520">
        <f>INPUT!DI288</f>
        <v>55.7</v>
      </c>
      <c r="CK348" s="240">
        <f>INPUT!DJ288</f>
        <v>17.016806722689083</v>
      </c>
      <c r="CL348" s="520">
        <f>INPUT!DK288</f>
        <v>55.9</v>
      </c>
      <c r="CM348" s="240">
        <f>INPUT!DL288</f>
        <v>21.786492374727672</v>
      </c>
      <c r="CN348" s="520">
        <f>INPUT!DM288</f>
        <v>57.6</v>
      </c>
      <c r="CO348" s="240">
        <f>INPUT!DN288</f>
        <v>10.769230769230774</v>
      </c>
      <c r="CP348" s="520">
        <f>INPUT!DO288</f>
        <v>57.3</v>
      </c>
      <c r="CQ348" s="240">
        <f>INPUT!DP288</f>
        <v>8.9353612167300156</v>
      </c>
      <c r="CR348" s="520">
        <f>INPUT!DQ288</f>
        <v>59.3</v>
      </c>
      <c r="CS348" s="240">
        <f>INPUT!DR288</f>
        <v>6.4631956912028556</v>
      </c>
      <c r="CT348" s="520">
        <f>INPUT!DS288</f>
        <v>63.3</v>
      </c>
      <c r="CU348" s="240">
        <f>INPUT!DT288</f>
        <v>13.237924865831843</v>
      </c>
      <c r="CV348" s="520">
        <f>INPUT!DU288</f>
        <v>64</v>
      </c>
      <c r="CW348" s="240">
        <f>INPUT!DV288</f>
        <v>11.111111111111114</v>
      </c>
      <c r="CX348" s="520">
        <f>INPUT!DW288</f>
        <v>63</v>
      </c>
      <c r="CY348" s="240">
        <f>INPUT!DX288</f>
        <v>9.9476439790576023</v>
      </c>
      <c r="CZ348" s="520">
        <f>INPUT!DY288</f>
        <v>68.400000000000006</v>
      </c>
      <c r="DA348" s="240">
        <f>INPUT!DZ288</f>
        <v>15.345699831365948</v>
      </c>
      <c r="DB348" s="520">
        <f>INPUT!EA288</f>
        <v>70.8</v>
      </c>
      <c r="DC348" s="240">
        <f>INPUT!EB288</f>
        <v>11.848341232227483</v>
      </c>
      <c r="DD348" s="520">
        <f>INPUT!EC288</f>
        <v>70.8</v>
      </c>
      <c r="DE348" s="240">
        <f>INPUT!ED288</f>
        <v>10.625</v>
      </c>
      <c r="DF348" s="520">
        <f>INPUT!EE288</f>
        <v>71.3</v>
      </c>
      <c r="DG348" s="240">
        <f>INPUT!EF288</f>
        <v>13.174603174603178</v>
      </c>
      <c r="DH348" s="520">
        <f>INPUT!EG288</f>
        <v>72.599999999999994</v>
      </c>
      <c r="DI348" s="240">
        <f>INPUT!EH288</f>
        <v>6.140350877192958</v>
      </c>
      <c r="DJ348" s="520">
        <f>INPUT!EI288</f>
        <v>73.400000000000006</v>
      </c>
      <c r="DK348" s="240">
        <f>INPUT!EJ288</f>
        <v>3.6723163841807889</v>
      </c>
      <c r="DL348" s="520">
        <f>INPUT!EK288</f>
        <v>81.2</v>
      </c>
      <c r="DM348" s="240">
        <f>INPUT!EL288</f>
        <v>14.689265536723155</v>
      </c>
      <c r="DN348" s="520">
        <f>INPUT!EM288</f>
        <v>82.4</v>
      </c>
      <c r="DO348" s="240">
        <f>INPUT!EN288</f>
        <v>15.568022440392724</v>
      </c>
      <c r="DP348" s="520">
        <f>INPUT!EO288</f>
        <v>81.3</v>
      </c>
      <c r="DQ348" s="240">
        <f>INPUT!EP288</f>
        <v>11.983471074380176</v>
      </c>
      <c r="DR348" s="520">
        <f>INPUT!EQ288</f>
        <v>82.113</v>
      </c>
      <c r="DS348" s="240">
        <f>INPUT!ER288</f>
        <v>11.87057220708445</v>
      </c>
      <c r="DT348" s="520">
        <f>INPUT!ES288</f>
        <v>82.934129999999996</v>
      </c>
      <c r="DU348" s="240">
        <f>INPUT!ET288</f>
        <v>2.1356280788177315</v>
      </c>
      <c r="DV348" s="520">
        <f>INPUT!EU288</f>
        <v>83.763471299999992</v>
      </c>
      <c r="DW348" s="240">
        <f>INPUT!EV288</f>
        <v>1.6546981796116427</v>
      </c>
      <c r="DX348" s="520">
        <f>INPUT!EW288</f>
        <v>84.601106012999992</v>
      </c>
      <c r="DY348" s="240">
        <f>INPUT!EX288</f>
        <v>4.0604009999999988</v>
      </c>
      <c r="DZ348" s="520"/>
      <c r="EA348" s="240"/>
      <c r="EB348" s="155"/>
      <c r="EC348" s="75"/>
      <c r="ED348" s="155"/>
      <c r="EE348" s="75"/>
      <c r="EF348" s="155"/>
      <c r="EG348" s="75"/>
      <c r="EH348" s="155"/>
      <c r="EI348" s="81">
        <f>INPUT!FP288</f>
        <v>34.799999999999997</v>
      </c>
      <c r="EJ348" s="240">
        <f>INPUT!FQ288</f>
        <v>0</v>
      </c>
      <c r="EK348" s="519">
        <f>INPUT!FR288</f>
        <v>35.6</v>
      </c>
      <c r="EL348" s="240">
        <f>INPUT!FS288</f>
        <v>2.2988505747126595</v>
      </c>
      <c r="EM348" s="519">
        <f>INPUT!FT288</f>
        <v>35.700000000000003</v>
      </c>
      <c r="EN348" s="240">
        <f>INPUT!FU288</f>
        <v>0.28089887640450684</v>
      </c>
      <c r="EO348" s="519">
        <f>INPUT!FV288</f>
        <v>28.2</v>
      </c>
      <c r="EP348" s="240">
        <f>INPUT!FW288</f>
        <v>-21.008403361344534</v>
      </c>
      <c r="EQ348" s="519">
        <f>INPUT!FX288</f>
        <v>33.299999999999997</v>
      </c>
      <c r="ER348" s="240">
        <f>INPUT!FY288</f>
        <v>18.085106382978708</v>
      </c>
      <c r="ES348" s="519">
        <f>INPUT!FZ288</f>
        <v>39.6</v>
      </c>
      <c r="ET348" s="240">
        <f>INPUT!GA288</f>
        <v>18.918918918918919</v>
      </c>
      <c r="EU348" s="520">
        <f>INPUT!GB288</f>
        <v>49.7</v>
      </c>
      <c r="EV348" s="240">
        <f>INPUT!GC288</f>
        <v>25.505050505050491</v>
      </c>
      <c r="EW348" s="520">
        <f>INPUT!GD288</f>
        <v>47.6</v>
      </c>
      <c r="EX348" s="240">
        <f>INPUT!GE288</f>
        <v>-4.2253521126760631</v>
      </c>
      <c r="EY348" s="520">
        <f>INPUT!GF288</f>
        <v>55.7</v>
      </c>
      <c r="EZ348" s="240">
        <f>INPUT!GG288</f>
        <v>17.016806722689083</v>
      </c>
      <c r="FA348" s="520">
        <f>INPUT!GH288</f>
        <v>59.3</v>
      </c>
      <c r="FB348" s="240">
        <f>INPUT!GI288</f>
        <v>6.4631956912028556</v>
      </c>
      <c r="FC348" s="520">
        <f>INPUT!GJ288</f>
        <v>68.400000000000006</v>
      </c>
      <c r="FD348" s="240">
        <f>INPUT!GK288</f>
        <v>15.345699831365948</v>
      </c>
      <c r="FE348" s="520">
        <f>INPUT!GL288</f>
        <v>72.599999999999994</v>
      </c>
      <c r="FF348" s="240">
        <f>INPUT!GM288</f>
        <v>6.140350877192958</v>
      </c>
      <c r="FG348" s="520">
        <f>INPUT!GN288</f>
        <v>81.3</v>
      </c>
      <c r="FH348" s="240">
        <f>INPUT!GO288</f>
        <v>11.983471074380176</v>
      </c>
      <c r="FI348" s="520">
        <f>INPUT!GP288</f>
        <v>84.601106012999992</v>
      </c>
      <c r="FJ348" s="240">
        <f>INPUT!GQ288</f>
        <v>4.0604009999999988</v>
      </c>
      <c r="FK348" s="520">
        <f>INPUT!GR288</f>
        <v>87.98515025351999</v>
      </c>
      <c r="FL348" s="240">
        <f>INPUT!GS288</f>
        <v>4</v>
      </c>
      <c r="FM348" s="520">
        <f>INPUT!GT288</f>
        <v>91.504556263660788</v>
      </c>
      <c r="FN348" s="240">
        <f>INPUT!GU288</f>
        <v>4</v>
      </c>
      <c r="FO348" s="520">
        <f>INPUT!GV288</f>
        <v>95.16473851420723</v>
      </c>
      <c r="FP348" s="240">
        <f>INPUT!GW288</f>
        <v>4</v>
      </c>
      <c r="FQ348" s="520">
        <f>INPUT!GX288</f>
        <v>98.971328054775526</v>
      </c>
      <c r="FR348" s="240">
        <f>INPUT!GY288</f>
        <v>4</v>
      </c>
      <c r="FS348" s="240">
        <f>INPUT!GZ288</f>
        <v>4.0120773946076937</v>
      </c>
    </row>
    <row r="349" spans="1:175" ht="12.75" hidden="1" customHeight="1" outlineLevel="1" x14ac:dyDescent="0.2">
      <c r="A349" s="246" t="str">
        <f>INPUT!B289</f>
        <v>Total Institutional Assets</v>
      </c>
      <c r="B349" s="75"/>
      <c r="C349" s="155"/>
      <c r="D349" s="75"/>
      <c r="E349" s="155"/>
      <c r="F349" s="75"/>
      <c r="G349" s="155"/>
      <c r="H349" s="75"/>
      <c r="I349" s="155"/>
      <c r="J349" s="75"/>
      <c r="K349" s="155"/>
      <c r="L349" s="75"/>
      <c r="M349" s="155"/>
      <c r="N349" s="75"/>
      <c r="O349" s="155"/>
      <c r="P349" s="75"/>
      <c r="Q349" s="155"/>
      <c r="R349" s="75"/>
      <c r="S349" s="155"/>
      <c r="T349" s="75"/>
      <c r="U349" s="155"/>
      <c r="V349" s="81">
        <f>INPUT!AU289</f>
        <v>70.5</v>
      </c>
      <c r="W349" s="499" t="str">
        <f>INPUT!AV289</f>
        <v>NA</v>
      </c>
      <c r="X349" s="81">
        <f>INPUT!AW289</f>
        <v>73.5</v>
      </c>
      <c r="Y349" s="499" t="str">
        <f>INPUT!AX289</f>
        <v>NA</v>
      </c>
      <c r="Z349" s="81">
        <f>INPUT!AY289</f>
        <v>75.600000000000009</v>
      </c>
      <c r="AA349" s="155">
        <f>INPUT!AZ289</f>
        <v>16.666666666666671</v>
      </c>
      <c r="AB349" s="81">
        <f>INPUT!BA289</f>
        <v>75.099999999999994</v>
      </c>
      <c r="AC349" s="155">
        <f>INPUT!BB289</f>
        <v>14.30745814307457</v>
      </c>
      <c r="AD349" s="81">
        <f>INPUT!BC289</f>
        <v>75.900000000000006</v>
      </c>
      <c r="AE349" s="155">
        <f>INPUT!BD289</f>
        <v>7.6595744680851112</v>
      </c>
      <c r="AF349" s="81">
        <f>INPUT!BE289</f>
        <v>79</v>
      </c>
      <c r="AG349" s="155">
        <f>INPUT!BF289</f>
        <v>7.4829931972789154</v>
      </c>
      <c r="AH349" s="519">
        <f>INPUT!BG289</f>
        <v>84.199999999999989</v>
      </c>
      <c r="AI349" s="240">
        <f>INPUT!BH289</f>
        <v>11.375661375661352</v>
      </c>
      <c r="AJ349" s="519">
        <f>INPUT!BI289</f>
        <v>87.1</v>
      </c>
      <c r="AK349" s="240">
        <f>INPUT!BJ289</f>
        <v>15.978695073235684</v>
      </c>
      <c r="AL349" s="519">
        <f>INPUT!BK289</f>
        <v>88.5</v>
      </c>
      <c r="AM349" s="240">
        <f>INPUT!BL289</f>
        <v>16.600790513833985</v>
      </c>
      <c r="AN349" s="519">
        <f>INPUT!BM289</f>
        <v>86.600000000000009</v>
      </c>
      <c r="AO349" s="240">
        <f>INPUT!BN289</f>
        <v>9.6202531645569707</v>
      </c>
      <c r="AP349" s="519">
        <f>INPUT!BO289</f>
        <v>81.800000000000011</v>
      </c>
      <c r="AQ349" s="240">
        <f>INPUT!BP289</f>
        <v>-2.8503562945367946</v>
      </c>
      <c r="AR349" s="519">
        <f>INPUT!BQ289</f>
        <v>84.300000000000011</v>
      </c>
      <c r="AS349" s="240">
        <f>INPUT!BR289</f>
        <v>-3.2146957520091632</v>
      </c>
      <c r="AT349" s="519">
        <f>INPUT!BS289</f>
        <v>75.400000000000006</v>
      </c>
      <c r="AU349" s="240">
        <f>INPUT!BT289</f>
        <v>-14.802259887005647</v>
      </c>
      <c r="AV349" s="519">
        <f>INPUT!BU289</f>
        <v>61.7</v>
      </c>
      <c r="AW349" s="240">
        <f>INPUT!BV289</f>
        <v>-28.752886836027713</v>
      </c>
      <c r="AX349" s="519">
        <f>INPUT!BW289</f>
        <v>61.300000000000011</v>
      </c>
      <c r="AY349" s="240">
        <f>INPUT!BX289</f>
        <v>-25.061124694376531</v>
      </c>
      <c r="AZ349" s="519">
        <f>INPUT!BY289</f>
        <v>70.300000000000011</v>
      </c>
      <c r="BA349" s="240">
        <f>INPUT!BZ289</f>
        <v>-16.607354685646499</v>
      </c>
      <c r="BB349" s="519">
        <f>INPUT!CA289</f>
        <v>79.100000000000009</v>
      </c>
      <c r="BC349" s="240">
        <f>INPUT!CB289</f>
        <v>4.9071618037135352</v>
      </c>
      <c r="BD349" s="519">
        <f>INPUT!CC289</f>
        <v>84.4</v>
      </c>
      <c r="BE349" s="240">
        <f>INPUT!CD289</f>
        <v>36.790923824959464</v>
      </c>
      <c r="BF349" s="519">
        <f>INPUT!CE289</f>
        <v>89</v>
      </c>
      <c r="BG349" s="240">
        <f>INPUT!CF289</f>
        <v>45.187601957585628</v>
      </c>
      <c r="BH349" s="519">
        <f>INPUT!CG289</f>
        <v>84.199999999999989</v>
      </c>
      <c r="BI349" s="240">
        <f>INPUT!CH289</f>
        <v>19.772403982930257</v>
      </c>
      <c r="BJ349" s="519">
        <f>INPUT!CI289</f>
        <v>90.6</v>
      </c>
      <c r="BK349" s="240">
        <f>INPUT!CJ289</f>
        <v>14.538558786346385</v>
      </c>
      <c r="BL349" s="519">
        <f>INPUT!CK289</f>
        <v>101.19999999999999</v>
      </c>
      <c r="BM349" s="240">
        <f>INPUT!CL289</f>
        <v>19.90521327014217</v>
      </c>
      <c r="BN349" s="519">
        <f>INPUT!CM289</f>
        <v>118.7</v>
      </c>
      <c r="BO349" s="240">
        <f>INPUT!CN289</f>
        <v>33.37078651685394</v>
      </c>
      <c r="BP349" s="519">
        <f>INPUT!CO289</f>
        <v>119.80000000000001</v>
      </c>
      <c r="BQ349" s="240">
        <f>INPUT!CP289</f>
        <v>42.280285035629475</v>
      </c>
      <c r="BR349" s="520">
        <f>INPUT!CQ289</f>
        <v>119.40000000000002</v>
      </c>
      <c r="BS349" s="240">
        <f>INPUT!CR289</f>
        <v>31.78807947019871</v>
      </c>
      <c r="BT349" s="520">
        <f>INPUT!CS289</f>
        <v>119.30000000000001</v>
      </c>
      <c r="BU349" s="240">
        <f>INPUT!CT289</f>
        <v>17.88537549407117</v>
      </c>
      <c r="BV349" s="520">
        <f>INPUT!CU289</f>
        <v>125.10000000000002</v>
      </c>
      <c r="BW349" s="240">
        <f>INPUT!CV289</f>
        <v>5.3917438921651524</v>
      </c>
      <c r="BX349" s="520">
        <f>INPUT!CW289</f>
        <v>131.70000000000002</v>
      </c>
      <c r="BY349" s="240">
        <f>INPUT!CX289</f>
        <v>9.9332220367278836</v>
      </c>
      <c r="BZ349" s="520">
        <f>INPUT!CY289</f>
        <v>133.90000000000003</v>
      </c>
      <c r="CA349" s="240">
        <f>INPUT!CZ289</f>
        <v>12.144053601340033</v>
      </c>
      <c r="CB349" s="520">
        <f>INPUT!DA289</f>
        <v>138.70000000000002</v>
      </c>
      <c r="CC349" s="240">
        <f>INPUT!DB289</f>
        <v>16.261525565800511</v>
      </c>
      <c r="CD349" s="520">
        <f>INPUT!DC289</f>
        <v>143.80000000000004</v>
      </c>
      <c r="CE349" s="240">
        <f>INPUT!DD289</f>
        <v>14.94804156674661</v>
      </c>
      <c r="CF349" s="520">
        <f>INPUT!DE289</f>
        <v>152.40000000000003</v>
      </c>
      <c r="CG349" s="240">
        <f>INPUT!DF289</f>
        <v>15.717539863325754</v>
      </c>
      <c r="CH349" s="520">
        <f>INPUT!DG289</f>
        <v>159.10000000000002</v>
      </c>
      <c r="CI349" s="240">
        <f>INPUT!DH289</f>
        <v>18.820014936519769</v>
      </c>
      <c r="CJ349" s="520">
        <f>INPUT!DI289</f>
        <v>170.70000000000005</v>
      </c>
      <c r="CK349" s="240">
        <f>INPUT!DJ289</f>
        <v>23.071377072819061</v>
      </c>
      <c r="CL349" s="520">
        <f>INPUT!DK289</f>
        <v>172.90000000000003</v>
      </c>
      <c r="CM349" s="240">
        <f>INPUT!DL289</f>
        <v>20.236439499304581</v>
      </c>
      <c r="CN349" s="520">
        <f>INPUT!DM289</f>
        <v>180.10000000000002</v>
      </c>
      <c r="CO349" s="240">
        <f>INPUT!DN289</f>
        <v>18.175853018372706</v>
      </c>
      <c r="CP349" s="520">
        <f>INPUT!DO289</f>
        <v>180.00000000000003</v>
      </c>
      <c r="CQ349" s="240">
        <f>INPUT!DP289</f>
        <v>13.136392206159655</v>
      </c>
      <c r="CR349" s="520">
        <f>INPUT!DQ289</f>
        <v>186.10000000000002</v>
      </c>
      <c r="CS349" s="240">
        <f>INPUT!DR289</f>
        <v>9.0216754540128647</v>
      </c>
      <c r="CT349" s="520">
        <f>INPUT!DS289</f>
        <v>198.40000000000003</v>
      </c>
      <c r="CU349" s="240">
        <f>INPUT!DT289</f>
        <v>14.748409485251585</v>
      </c>
      <c r="CV349" s="520">
        <f>INPUT!DU289</f>
        <v>199.20000000000007</v>
      </c>
      <c r="CW349" s="240">
        <f>INPUT!DV289</f>
        <v>10.605219322598586</v>
      </c>
      <c r="CX349" s="520">
        <f>INPUT!DW289</f>
        <v>188.90000000000006</v>
      </c>
      <c r="CY349" s="240">
        <f>INPUT!DX289</f>
        <v>4.9444444444444571</v>
      </c>
      <c r="CZ349" s="520">
        <f>INPUT!DY289</f>
        <v>197.30000000000007</v>
      </c>
      <c r="DA349" s="240">
        <f>INPUT!DZ289</f>
        <v>6.0182697474476328</v>
      </c>
      <c r="DB349" s="520">
        <f>INPUT!EA289</f>
        <v>198.60000000000008</v>
      </c>
      <c r="DC349" s="240">
        <f>INPUT!EB289</f>
        <v>0.10080645161292523</v>
      </c>
      <c r="DD349" s="520">
        <f>INPUT!EC289</f>
        <v>202.10000000000008</v>
      </c>
      <c r="DE349" s="240">
        <f>INPUT!ED289</f>
        <v>1.4558232931726849</v>
      </c>
      <c r="DF349" s="520">
        <f>INPUT!EE289</f>
        <v>209.00000000000006</v>
      </c>
      <c r="DG349" s="240">
        <f>INPUT!EF289</f>
        <v>10.640550555849643</v>
      </c>
      <c r="DH349" s="520">
        <f>INPUT!EG289</f>
        <v>209.20000000000007</v>
      </c>
      <c r="DI349" s="240">
        <f>INPUT!EH289</f>
        <v>6.0314242270653722</v>
      </c>
      <c r="DJ349" s="520">
        <f>INPUT!EI289</f>
        <v>217.60000000000008</v>
      </c>
      <c r="DK349" s="240">
        <f>INPUT!EJ289</f>
        <v>9.5669687814702939</v>
      </c>
      <c r="DL349" s="520">
        <f>INPUT!EK289</f>
        <v>231.2000000000001</v>
      </c>
      <c r="DM349" s="240">
        <f>INPUT!EL289</f>
        <v>14.398812469074727</v>
      </c>
      <c r="DN349" s="520">
        <f>INPUT!EM289</f>
        <v>239.90000000000009</v>
      </c>
      <c r="DO349" s="240">
        <f>INPUT!EN289</f>
        <v>14.784688995215319</v>
      </c>
      <c r="DP349" s="520">
        <f>INPUT!EO289</f>
        <v>245.60000000000008</v>
      </c>
      <c r="DQ349" s="240">
        <f>INPUT!EP289</f>
        <v>17.399617590822174</v>
      </c>
      <c r="DR349" s="520">
        <f>INPUT!EQ289</f>
        <v>246.1467900000001</v>
      </c>
      <c r="DS349" s="240">
        <f>INPUT!ER289</f>
        <v>13.11892922794118</v>
      </c>
      <c r="DT349" s="520">
        <f>INPUT!ES289</f>
        <v>249.3559067282664</v>
      </c>
      <c r="DU349" s="240">
        <f>INPUT!ET289</f>
        <v>7.8529008340252062</v>
      </c>
      <c r="DV349" s="520">
        <f>INPUT!EU289</f>
        <v>252.91683712687475</v>
      </c>
      <c r="DW349" s="240">
        <f>INPUT!EV289</f>
        <v>5.4259429457585071</v>
      </c>
      <c r="DX349" s="520">
        <f>INPUT!EW289</f>
        <v>257.05944192607706</v>
      </c>
      <c r="DY349" s="240">
        <f>INPUT!EX289</f>
        <v>4.6658965497056215</v>
      </c>
      <c r="DZ349" s="520"/>
      <c r="EA349" s="240"/>
      <c r="EB349" s="155"/>
      <c r="EC349" s="75"/>
      <c r="ED349" s="155"/>
      <c r="EE349" s="75"/>
      <c r="EF349" s="155"/>
      <c r="EG349" s="75"/>
      <c r="EH349" s="155"/>
      <c r="EI349" s="81">
        <f>INPUT!FP289</f>
        <v>73.5</v>
      </c>
      <c r="EJ349" s="240">
        <f>INPUT!FQ289</f>
        <v>0</v>
      </c>
      <c r="EK349" s="519">
        <f>INPUT!FR289</f>
        <v>79</v>
      </c>
      <c r="EL349" s="240">
        <f>INPUT!FS289</f>
        <v>7.4829931972789154</v>
      </c>
      <c r="EM349" s="519">
        <f>INPUT!FT289</f>
        <v>86.600000000000009</v>
      </c>
      <c r="EN349" s="240">
        <f>INPUT!FU289</f>
        <v>9.6202531645569707</v>
      </c>
      <c r="EO349" s="519">
        <f>INPUT!FV289</f>
        <v>61.7</v>
      </c>
      <c r="EP349" s="240">
        <f>INPUT!FW289</f>
        <v>-28.752886836027713</v>
      </c>
      <c r="EQ349" s="519">
        <f>INPUT!FX289</f>
        <v>84.399999999999991</v>
      </c>
      <c r="ER349" s="240">
        <f>INPUT!FY289</f>
        <v>36.790923824959464</v>
      </c>
      <c r="ES349" s="519">
        <f>INPUT!FZ289</f>
        <v>101.19999999999999</v>
      </c>
      <c r="ET349" s="240">
        <f>INPUT!GA289</f>
        <v>19.905213270142184</v>
      </c>
      <c r="EU349" s="520">
        <f>INPUT!GB289</f>
        <v>119.3</v>
      </c>
      <c r="EV349" s="240">
        <f>INPUT!GC289</f>
        <v>17.88537549407117</v>
      </c>
      <c r="EW349" s="520">
        <f>INPUT!GD289</f>
        <v>138.69999999999999</v>
      </c>
      <c r="EX349" s="240">
        <f>INPUT!GE289</f>
        <v>16.261525565800497</v>
      </c>
      <c r="EY349" s="520">
        <f>INPUT!GF289</f>
        <v>170.70000000000002</v>
      </c>
      <c r="EZ349" s="240">
        <f>INPUT!GG289</f>
        <v>23.071377072819061</v>
      </c>
      <c r="FA349" s="520">
        <f>INPUT!GH289</f>
        <v>186.10000000000002</v>
      </c>
      <c r="FB349" s="240">
        <f>INPUT!GI289</f>
        <v>9.0216754540128932</v>
      </c>
      <c r="FC349" s="520">
        <f>INPUT!GJ289</f>
        <v>197.30000000000004</v>
      </c>
      <c r="FD349" s="240">
        <f>INPUT!GK289</f>
        <v>6.0182697474476186</v>
      </c>
      <c r="FE349" s="520">
        <f>INPUT!GL289</f>
        <v>209.20000000000002</v>
      </c>
      <c r="FF349" s="240">
        <f>INPUT!GM289</f>
        <v>6.0314242270653722</v>
      </c>
      <c r="FG349" s="520">
        <f>INPUT!GN289</f>
        <v>245.60000000000002</v>
      </c>
      <c r="FH349" s="240">
        <f>INPUT!GO289</f>
        <v>17.399617590822174</v>
      </c>
      <c r="FI349" s="520">
        <f>INPUT!GP289</f>
        <v>257.05944192607694</v>
      </c>
      <c r="FJ349" s="240">
        <f>INPUT!GQ289</f>
        <v>4.6658965497055931</v>
      </c>
      <c r="FK349" s="520">
        <f>INPUT!GR289</f>
        <v>269.35039383693618</v>
      </c>
      <c r="FL349" s="240">
        <f>INPUT!GS289</f>
        <v>4.7813656712107075</v>
      </c>
      <c r="FM349" s="520">
        <f>INPUT!GT289</f>
        <v>280.55220624613901</v>
      </c>
      <c r="FN349" s="240">
        <f>INPUT!GU289</f>
        <v>4.158825331432169</v>
      </c>
      <c r="FO349" s="520">
        <f>INPUT!GV289</f>
        <v>291.00628193118854</v>
      </c>
      <c r="FP349" s="240">
        <f>INPUT!GW289</f>
        <v>3.7262496791338009</v>
      </c>
      <c r="FQ349" s="520">
        <f>INPUT!GX289</f>
        <v>300.96831708319269</v>
      </c>
      <c r="FR349" s="240">
        <f>INPUT!GY289</f>
        <v>3.4233058770737301</v>
      </c>
      <c r="FS349" s="240">
        <f>INPUT!GZ289</f>
        <v>4.1498103530525743</v>
      </c>
    </row>
    <row r="350" spans="1:175" ht="12.75" hidden="1" customHeight="1" outlineLevel="1" x14ac:dyDescent="0.2">
      <c r="A350" s="6" t="str">
        <f>INPUT!B291</f>
        <v>Net Retail Flows</v>
      </c>
      <c r="B350" s="221"/>
      <c r="C350" s="521"/>
      <c r="D350" s="221"/>
      <c r="E350" s="521"/>
      <c r="F350" s="221"/>
      <c r="G350" s="521"/>
      <c r="H350" s="221"/>
      <c r="I350" s="521"/>
      <c r="J350" s="221"/>
      <c r="K350" s="521"/>
      <c r="L350" s="221"/>
      <c r="M350" s="521"/>
      <c r="N350" s="221"/>
      <c r="O350" s="521"/>
      <c r="P350" s="221"/>
      <c r="Q350" s="521"/>
      <c r="R350" s="221"/>
      <c r="S350" s="521"/>
      <c r="T350" s="221"/>
      <c r="U350" s="521"/>
      <c r="V350" s="221">
        <f>INPUT!AU291</f>
        <v>0.5</v>
      </c>
      <c r="W350" s="521" t="str">
        <f>INPUT!AV291</f>
        <v>NA</v>
      </c>
      <c r="X350" s="221">
        <f>INPUT!AW291</f>
        <v>1</v>
      </c>
      <c r="Y350" s="521" t="str">
        <f>INPUT!AX291</f>
        <v>NA</v>
      </c>
      <c r="Z350" s="221">
        <f>INPUT!AY291</f>
        <v>0.40000000000000036</v>
      </c>
      <c r="AA350" s="155" t="str">
        <f>INPUT!AZ291</f>
        <v>NM</v>
      </c>
      <c r="AB350" s="221">
        <f>INPUT!BA291</f>
        <v>0.29999999999999982</v>
      </c>
      <c r="AC350" s="155" t="str">
        <f>INPUT!BB291</f>
        <v>NM</v>
      </c>
      <c r="AD350" s="221">
        <f>INPUT!BC291</f>
        <v>-0.70000000000000018</v>
      </c>
      <c r="AE350" s="155" t="str">
        <f>INPUT!BD291</f>
        <v>NM</v>
      </c>
      <c r="AF350" s="221">
        <f>INPUT!BE291</f>
        <v>0.20000000000000018</v>
      </c>
      <c r="AG350" s="155" t="str">
        <f>INPUT!BF291</f>
        <v>NM</v>
      </c>
      <c r="AH350" s="519">
        <f>INPUT!BG291</f>
        <v>0.29999999999999982</v>
      </c>
      <c r="AI350" s="240">
        <f>INPUT!BH291</f>
        <v>-25.000000000000114</v>
      </c>
      <c r="AJ350" s="519">
        <f>INPUT!BI291</f>
        <v>-0.69999999999999973</v>
      </c>
      <c r="AK350" s="240" t="str">
        <f>INPUT!BJ291</f>
        <v>NM</v>
      </c>
      <c r="AL350" s="519">
        <f>INPUT!BK291</f>
        <v>0.30000000000000027</v>
      </c>
      <c r="AM350" s="240" t="str">
        <f>INPUT!BL291</f>
        <v>NM</v>
      </c>
      <c r="AN350" s="519">
        <f>INPUT!BM291</f>
        <v>0.20000000000000018</v>
      </c>
      <c r="AO350" s="240">
        <f>INPUT!BN290</f>
        <v>0</v>
      </c>
      <c r="AP350" s="519">
        <f>INPUT!BO291</f>
        <v>1</v>
      </c>
      <c r="AQ350" s="240">
        <f>INPUT!BP290</f>
        <v>0</v>
      </c>
      <c r="AR350" s="519">
        <f>INPUT!BQ291</f>
        <v>0.89999999999999991</v>
      </c>
      <c r="AS350" s="240">
        <f>INPUT!BR290</f>
        <v>0</v>
      </c>
      <c r="AT350" s="519">
        <f>INPUT!BS291</f>
        <v>0.10000000000000053</v>
      </c>
      <c r="AU350" s="240">
        <f>INPUT!BT290</f>
        <v>0</v>
      </c>
      <c r="AV350" s="519">
        <f>INPUT!BU291</f>
        <v>-1.6</v>
      </c>
      <c r="AW350" s="240">
        <f>INPUT!BV290</f>
        <v>0</v>
      </c>
      <c r="AX350" s="519">
        <f>INPUT!BW291</f>
        <v>0.20000000000000018</v>
      </c>
      <c r="AY350" s="240">
        <f>INPUT!BX290</f>
        <v>0</v>
      </c>
      <c r="AZ350" s="519">
        <f>INPUT!BY291</f>
        <v>1.8999999999999995</v>
      </c>
      <c r="BA350" s="240">
        <f>INPUT!BZ290</f>
        <v>0</v>
      </c>
      <c r="BB350" s="519">
        <f>INPUT!CA291</f>
        <v>2.8</v>
      </c>
      <c r="BC350" s="240">
        <f>INPUT!CB290</f>
        <v>0</v>
      </c>
      <c r="BD350" s="519">
        <f>INPUT!CC291</f>
        <v>1.2000000000000002</v>
      </c>
      <c r="BE350" s="240">
        <f>INPUT!CD290</f>
        <v>0</v>
      </c>
      <c r="BF350" s="519">
        <f>INPUT!CE291</f>
        <v>1.0999999999999996</v>
      </c>
      <c r="BG350" s="240">
        <f>INPUT!CF290</f>
        <v>0</v>
      </c>
      <c r="BH350" s="519">
        <f>INPUT!CG291</f>
        <v>2.9</v>
      </c>
      <c r="BI350" s="240">
        <f>INPUT!CH290</f>
        <v>0</v>
      </c>
      <c r="BJ350" s="519">
        <f>INPUT!CI291</f>
        <v>1.1999999999999997</v>
      </c>
      <c r="BK350" s="240">
        <f>INPUT!CJ290</f>
        <v>0</v>
      </c>
      <c r="BL350" s="519">
        <f>INPUT!CK291</f>
        <v>1.2000000000000002</v>
      </c>
      <c r="BM350" s="240">
        <f>INPUT!CL290</f>
        <v>0</v>
      </c>
      <c r="BN350" s="519">
        <f>INPUT!CM291</f>
        <v>2.8</v>
      </c>
      <c r="BO350" s="240">
        <f>INPUT!CN290</f>
        <v>0</v>
      </c>
      <c r="BP350" s="519">
        <f>INPUT!CO291</f>
        <v>0</v>
      </c>
      <c r="BQ350" s="240">
        <f>INPUT!CP290</f>
        <v>0</v>
      </c>
      <c r="BR350" s="519">
        <f>INPUT!CQ291</f>
        <v>0.70000000000000018</v>
      </c>
      <c r="BS350" s="240">
        <f>INPUT!CR290</f>
        <v>0</v>
      </c>
      <c r="BT350" s="519">
        <f>INPUT!CS291</f>
        <v>2.1999999999999993</v>
      </c>
      <c r="BU350" s="240">
        <f>INPUT!CT290</f>
        <v>0</v>
      </c>
      <c r="BV350" s="519">
        <f>INPUT!CU291</f>
        <v>3.3000000000000007</v>
      </c>
      <c r="BW350" s="240">
        <f>INPUT!CV290</f>
        <v>0</v>
      </c>
      <c r="BX350" s="519">
        <f>INPUT!CW291</f>
        <v>3.5999999999999996</v>
      </c>
      <c r="BY350" s="240">
        <f>INPUT!CX290</f>
        <v>0</v>
      </c>
      <c r="BZ350" s="519">
        <f>INPUT!CY291</f>
        <v>2.5</v>
      </c>
      <c r="CA350" s="240">
        <f>INPUT!CZ290</f>
        <v>0</v>
      </c>
      <c r="CB350" s="519">
        <f>INPUT!DA291</f>
        <v>3.3999999999999995</v>
      </c>
      <c r="CC350" s="240">
        <f>INPUT!DB290</f>
        <v>0</v>
      </c>
      <c r="CD350" s="519">
        <f>INPUT!DC291</f>
        <v>1.8000000000000007</v>
      </c>
      <c r="CE350" s="240">
        <f>INPUT!DD290</f>
        <v>0</v>
      </c>
      <c r="CF350" s="519">
        <f>INPUT!DE291</f>
        <v>2.5</v>
      </c>
      <c r="CG350" s="240">
        <f>INPUT!DF290</f>
        <v>0</v>
      </c>
      <c r="CH350" s="519">
        <f>INPUT!DG291</f>
        <v>-1.4000000000000004</v>
      </c>
      <c r="CI350" s="240">
        <f>INPUT!DH290</f>
        <v>0</v>
      </c>
      <c r="CJ350" s="519">
        <f>INPUT!DI291</f>
        <v>1.5</v>
      </c>
      <c r="CK350" s="240">
        <f>INPUT!DJ290</f>
        <v>0</v>
      </c>
      <c r="CL350" s="519">
        <f>INPUT!DK291</f>
        <v>0.20000000000000018</v>
      </c>
      <c r="CM350" s="240">
        <f>INPUT!DL290</f>
        <v>0</v>
      </c>
      <c r="CN350" s="519">
        <f>INPUT!DM291</f>
        <v>0.70000000000000018</v>
      </c>
      <c r="CO350" s="240">
        <f>INPUT!DN290</f>
        <v>0</v>
      </c>
      <c r="CP350" s="519">
        <f>INPUT!DO291</f>
        <v>1.2000000000000002</v>
      </c>
      <c r="CQ350" s="240">
        <f>INPUT!DP290</f>
        <v>0</v>
      </c>
      <c r="CR350" s="519">
        <f>INPUT!DQ291</f>
        <v>2.5999999999999996</v>
      </c>
      <c r="CS350" s="240">
        <f>INPUT!DR290</f>
        <v>0</v>
      </c>
      <c r="CT350" s="519">
        <f>INPUT!DS291</f>
        <v>4</v>
      </c>
      <c r="CU350" s="240">
        <f>INPUT!DT290</f>
        <v>0</v>
      </c>
      <c r="CV350" s="519">
        <f>INPUT!DU291</f>
        <v>-0.39999999999999858</v>
      </c>
      <c r="CW350" s="240">
        <f>INPUT!DV290</f>
        <v>0</v>
      </c>
      <c r="CX350" s="519">
        <f>INPUT!DW291</f>
        <v>-1.6000000000000014</v>
      </c>
      <c r="CY350" s="240">
        <f>INPUT!DX290</f>
        <v>0</v>
      </c>
      <c r="CZ350" s="519">
        <f>INPUT!DY291</f>
        <v>-1.1999999999999993</v>
      </c>
      <c r="DA350" s="240">
        <f>INPUT!DZ290</f>
        <v>0</v>
      </c>
      <c r="DB350" s="519">
        <f>INPUT!EA291</f>
        <v>-0.5</v>
      </c>
      <c r="DC350" s="240">
        <f>INPUT!EB290</f>
        <v>0</v>
      </c>
      <c r="DD350" s="519">
        <f>INPUT!EC291</f>
        <v>1.5999999999999996</v>
      </c>
      <c r="DE350" s="240">
        <f>INPUT!ED290</f>
        <v>0</v>
      </c>
      <c r="DF350" s="519">
        <f>INPUT!EE291</f>
        <v>0.90000000000000036</v>
      </c>
      <c r="DG350" s="240">
        <f>INPUT!EF290</f>
        <v>0</v>
      </c>
      <c r="DH350" s="519">
        <f>INPUT!EG291</f>
        <v>-1.5999999999999996</v>
      </c>
      <c r="DI350" s="240">
        <f>INPUT!EH290</f>
        <v>0</v>
      </c>
      <c r="DJ350" s="519">
        <f>INPUT!EI291</f>
        <v>9.9999999999999645E-2</v>
      </c>
      <c r="DK350" s="240">
        <f>INPUT!EJ290</f>
        <v>0</v>
      </c>
      <c r="DL350" s="519">
        <f>INPUT!EK291</f>
        <v>1.2000000000000011</v>
      </c>
      <c r="DM350" s="240">
        <f>INPUT!EL290</f>
        <v>0</v>
      </c>
      <c r="DN350" s="519">
        <f>INPUT!EM291</f>
        <v>1.3000000000000007</v>
      </c>
      <c r="DO350" s="240">
        <f>INPUT!EN290</f>
        <v>0</v>
      </c>
      <c r="DP350" s="519">
        <f>INPUT!EO291</f>
        <v>1.5</v>
      </c>
      <c r="DQ350" s="240">
        <f>INPUT!EP290</f>
        <v>0</v>
      </c>
      <c r="DR350" s="519">
        <f>INPUT!EQ291</f>
        <v>0.91674999999999329</v>
      </c>
      <c r="DS350" s="240">
        <f>INPUT!ER290</f>
        <v>0</v>
      </c>
      <c r="DT350" s="519">
        <f>INPUT!ES291</f>
        <v>0.41958124826629906</v>
      </c>
      <c r="DU350" s="240">
        <f>INPUT!ET290</f>
        <v>0</v>
      </c>
      <c r="DV350" s="519">
        <f>INPUT!EU291</f>
        <v>0.73452777786918233</v>
      </c>
      <c r="DW350" s="240">
        <f>INPUT!EV290</f>
        <v>0</v>
      </c>
      <c r="DX350" s="519">
        <f>INPUT!EW291</f>
        <v>1.2751296962797873</v>
      </c>
      <c r="DY350" s="240">
        <f>INPUT!EX290</f>
        <v>0</v>
      </c>
      <c r="DZ350" s="519"/>
      <c r="EA350" s="240"/>
      <c r="EB350" s="521"/>
      <c r="EC350" s="221"/>
      <c r="ED350" s="521"/>
      <c r="EE350" s="221"/>
      <c r="EF350" s="521"/>
      <c r="EG350" s="221"/>
      <c r="EH350" s="521"/>
      <c r="EI350" s="519">
        <f>INPUT!FP291</f>
        <v>0.60000000000000142</v>
      </c>
      <c r="EJ350" s="240">
        <f>INPUT!FQ291</f>
        <v>0</v>
      </c>
      <c r="EK350" s="519">
        <f>INPUT!FR291</f>
        <v>0.19999999999999929</v>
      </c>
      <c r="EL350" s="240" t="str">
        <f>INPUT!FS291</f>
        <v>NM</v>
      </c>
      <c r="EM350" s="519">
        <f>INPUT!FT291</f>
        <v>9.9999999999999645E-2</v>
      </c>
      <c r="EN350" s="240">
        <f>INPUT!FU291</f>
        <v>-50</v>
      </c>
      <c r="EO350" s="519">
        <f>INPUT!FV291</f>
        <v>0.40000000000000036</v>
      </c>
      <c r="EP350" s="240" t="str">
        <f>INPUT!FW291</f>
        <v>NM</v>
      </c>
      <c r="EQ350" s="519">
        <f>INPUT!FX291</f>
        <v>6.1000000000000014</v>
      </c>
      <c r="ER350" s="240" t="str">
        <f>INPUT!FY291</f>
        <v>NM</v>
      </c>
      <c r="ES350" s="519">
        <f>INPUT!FZ291</f>
        <v>6.4</v>
      </c>
      <c r="ET350" s="240">
        <f>INPUT!GA291</f>
        <v>4.9180327868852345</v>
      </c>
      <c r="EU350" s="519">
        <f>INPUT!GB291</f>
        <v>5.6999999999999993</v>
      </c>
      <c r="EV350" s="240">
        <f>INPUT!GC291</f>
        <v>-10.937500000000014</v>
      </c>
      <c r="EW350" s="519">
        <f>INPUT!GD291</f>
        <v>12.8</v>
      </c>
      <c r="EX350" s="240" t="str">
        <f>INPUT!GE291</f>
        <v>NM</v>
      </c>
      <c r="EY350" s="519">
        <f>INPUT!GF291</f>
        <v>4.4000000000000057</v>
      </c>
      <c r="EZ350" s="240" t="str">
        <f>INPUT!GG291</f>
        <v>NM</v>
      </c>
      <c r="FA350" s="519">
        <f>INPUT!GH291</f>
        <v>4.6999999999999957</v>
      </c>
      <c r="FB350" s="240">
        <f>INPUT!GI291</f>
        <v>6.8181818181815856</v>
      </c>
      <c r="FC350" s="519">
        <f>INPUT!GJ291</f>
        <v>0.80000000000000426</v>
      </c>
      <c r="FD350" s="240" t="str">
        <f>INPUT!GK291</f>
        <v>NM</v>
      </c>
      <c r="FE350" s="519">
        <f>INPUT!GL291</f>
        <v>0.39999999999999858</v>
      </c>
      <c r="FF350" s="240" t="str">
        <f>INPUT!GM291</f>
        <v>NM</v>
      </c>
      <c r="FG350" s="519">
        <f>INPUT!GN291</f>
        <v>4.1000000000000014</v>
      </c>
      <c r="FH350" s="240" t="str">
        <f>INPUT!GO291</f>
        <v>NM</v>
      </c>
      <c r="FI350" s="519">
        <f>INPUT!GP291</f>
        <v>3.3459887224152567</v>
      </c>
      <c r="FJ350" s="240">
        <f>INPUT!GQ291</f>
        <v>-18.390518965481576</v>
      </c>
      <c r="FK350" s="519">
        <f>INPUT!GR291</f>
        <v>0.62890754651153458</v>
      </c>
      <c r="FL350" s="240" t="str">
        <f>INPUT!GS291</f>
        <v>NM</v>
      </c>
      <c r="FM350" s="519">
        <f>INPUT!GT291</f>
        <v>-1.023125292941927</v>
      </c>
      <c r="FN350" s="240" t="str">
        <f>INPUT!GU291</f>
        <v>NM</v>
      </c>
      <c r="FO350" s="519">
        <f>INPUT!GV291</f>
        <v>-2.2803937646558552</v>
      </c>
      <c r="FP350" s="240" t="str">
        <f>INPUT!GW291</f>
        <v>NM</v>
      </c>
      <c r="FQ350" s="519">
        <f>INPUT!GX291</f>
        <v>-3.2449484725792956</v>
      </c>
      <c r="FR350" s="240">
        <f>INPUT!GY291</f>
        <v>42.297726071400916</v>
      </c>
      <c r="FS350" s="240" t="str">
        <f>INPUT!GZ291</f>
        <v>NM</v>
      </c>
    </row>
    <row r="351" spans="1:175" ht="12.75" hidden="1" customHeight="1" outlineLevel="1" x14ac:dyDescent="0.2">
      <c r="A351" s="246"/>
      <c r="B351" s="75"/>
      <c r="C351" s="155"/>
      <c r="D351" s="75"/>
      <c r="E351" s="155"/>
      <c r="F351" s="75"/>
      <c r="G351" s="155"/>
      <c r="H351" s="75"/>
      <c r="I351" s="155"/>
      <c r="J351" s="75"/>
      <c r="K351" s="155"/>
      <c r="L351" s="75"/>
      <c r="M351" s="155"/>
      <c r="N351" s="75"/>
      <c r="O351" s="155"/>
      <c r="P351" s="75"/>
      <c r="Q351" s="155"/>
      <c r="R351" s="75"/>
      <c r="S351" s="155"/>
      <c r="T351" s="75"/>
      <c r="U351" s="155"/>
      <c r="V351" s="75"/>
      <c r="W351" s="155"/>
      <c r="X351" s="75"/>
      <c r="Y351" s="155"/>
      <c r="Z351" s="75"/>
      <c r="AA351" s="155"/>
      <c r="AB351" s="75"/>
      <c r="AC351" s="155"/>
      <c r="AD351" s="75"/>
      <c r="AE351" s="155"/>
      <c r="AF351" s="75"/>
      <c r="AG351" s="155"/>
      <c r="AH351" s="75"/>
      <c r="AI351" s="240"/>
      <c r="AJ351" s="75"/>
      <c r="AK351" s="240"/>
      <c r="AL351" s="75"/>
      <c r="AM351" s="240"/>
      <c r="AN351" s="75"/>
      <c r="AO351" s="240"/>
      <c r="AP351" s="75"/>
      <c r="AQ351" s="240"/>
      <c r="AR351" s="75"/>
      <c r="AS351" s="240"/>
      <c r="AT351" s="75"/>
      <c r="AU351" s="240"/>
      <c r="AV351" s="75"/>
      <c r="AW351" s="240"/>
      <c r="AX351" s="75"/>
      <c r="AY351" s="240"/>
      <c r="AZ351" s="75"/>
      <c r="BA351" s="240"/>
      <c r="BB351" s="75"/>
      <c r="BC351" s="240"/>
      <c r="BD351" s="75"/>
      <c r="BE351" s="240"/>
      <c r="BF351" s="75"/>
      <c r="BG351" s="240"/>
      <c r="BH351" s="75"/>
      <c r="BI351" s="240"/>
      <c r="BJ351" s="75"/>
      <c r="BK351" s="240"/>
      <c r="BL351" s="75"/>
      <c r="BM351" s="240"/>
      <c r="BN351" s="75"/>
      <c r="BO351" s="240"/>
      <c r="BP351" s="75"/>
      <c r="BQ351" s="240"/>
      <c r="BR351" s="75"/>
      <c r="BS351" s="240"/>
      <c r="BT351" s="75"/>
      <c r="BU351" s="240"/>
      <c r="BV351" s="75"/>
      <c r="BW351" s="240"/>
      <c r="BX351" s="75"/>
      <c r="BY351" s="240"/>
      <c r="BZ351" s="75"/>
      <c r="CA351" s="240"/>
      <c r="CB351" s="75"/>
      <c r="CC351" s="240"/>
      <c r="CD351" s="75"/>
      <c r="CE351" s="240"/>
      <c r="CF351" s="75"/>
      <c r="CG351" s="240"/>
      <c r="CH351" s="75"/>
      <c r="CI351" s="240"/>
      <c r="CJ351" s="75"/>
      <c r="CK351" s="240"/>
      <c r="CL351" s="75"/>
      <c r="CM351" s="240"/>
      <c r="CN351" s="75"/>
      <c r="CO351" s="240"/>
      <c r="CP351" s="75"/>
      <c r="CQ351" s="240"/>
      <c r="CR351" s="75"/>
      <c r="CS351" s="240"/>
      <c r="CT351" s="75"/>
      <c r="CU351" s="240"/>
      <c r="CV351" s="75"/>
      <c r="CW351" s="240"/>
      <c r="CX351" s="75"/>
      <c r="CY351" s="240"/>
      <c r="CZ351" s="75"/>
      <c r="DA351" s="240"/>
      <c r="DB351" s="75"/>
      <c r="DC351" s="240"/>
      <c r="DD351" s="75"/>
      <c r="DE351" s="240"/>
      <c r="DF351" s="75"/>
      <c r="DG351" s="240"/>
      <c r="DH351" s="75"/>
      <c r="DI351" s="240"/>
      <c r="DJ351" s="75"/>
      <c r="DK351" s="240"/>
      <c r="DL351" s="75"/>
      <c r="DM351" s="240"/>
      <c r="DN351" s="75"/>
      <c r="DO351" s="240"/>
      <c r="DP351" s="75"/>
      <c r="DQ351" s="240"/>
      <c r="DR351" s="75"/>
      <c r="DS351" s="240"/>
      <c r="DT351" s="75"/>
      <c r="DU351" s="240"/>
      <c r="DV351" s="75"/>
      <c r="DW351" s="240"/>
      <c r="DX351" s="75"/>
      <c r="DY351" s="240"/>
      <c r="DZ351" s="75"/>
      <c r="EA351" s="240"/>
      <c r="EB351" s="155"/>
      <c r="EC351" s="75"/>
      <c r="ED351" s="155"/>
      <c r="EE351" s="75"/>
      <c r="EF351" s="155"/>
      <c r="EG351" s="75"/>
      <c r="EH351" s="155"/>
      <c r="EI351" s="75"/>
      <c r="EJ351" s="240"/>
      <c r="EK351" s="75"/>
      <c r="EL351" s="240"/>
      <c r="EM351" s="75"/>
      <c r="EN351" s="240"/>
      <c r="EO351" s="75"/>
      <c r="EP351" s="240"/>
      <c r="EQ351" s="75"/>
      <c r="ER351" s="240"/>
      <c r="ES351" s="75"/>
      <c r="ET351" s="240"/>
      <c r="EU351" s="75"/>
      <c r="EV351" s="240"/>
      <c r="EW351" s="75"/>
      <c r="EX351" s="240"/>
      <c r="EY351" s="75"/>
      <c r="EZ351" s="240"/>
      <c r="FA351" s="75"/>
      <c r="FB351" s="240"/>
      <c r="FC351" s="75"/>
      <c r="FD351" s="240"/>
      <c r="FE351" s="75"/>
      <c r="FF351" s="240"/>
      <c r="FG351" s="75"/>
      <c r="FH351" s="240"/>
      <c r="FI351" s="75"/>
      <c r="FJ351" s="240"/>
      <c r="FK351" s="75"/>
      <c r="FL351" s="240"/>
      <c r="FM351" s="75"/>
      <c r="FN351" s="240"/>
      <c r="FO351" s="75"/>
      <c r="FP351" s="240"/>
      <c r="FQ351" s="75"/>
      <c r="FR351" s="240"/>
      <c r="FS351" s="240"/>
    </row>
    <row r="352" spans="1:175" ht="12.75" hidden="1" customHeight="1" outlineLevel="1" x14ac:dyDescent="0.2">
      <c r="A352" s="500" t="s">
        <v>507</v>
      </c>
      <c r="B352" s="515"/>
      <c r="C352" s="487"/>
      <c r="D352" s="515"/>
      <c r="E352" s="487"/>
      <c r="F352" s="515"/>
      <c r="G352" s="487"/>
      <c r="H352" s="515"/>
      <c r="I352" s="487"/>
      <c r="J352" s="515"/>
      <c r="K352" s="487"/>
      <c r="L352" s="515"/>
      <c r="M352" s="487"/>
      <c r="N352" s="515"/>
      <c r="O352" s="487"/>
      <c r="P352" s="515"/>
      <c r="Q352" s="487"/>
      <c r="R352" s="515"/>
      <c r="S352" s="487"/>
      <c r="T352" s="515"/>
      <c r="U352" s="487"/>
      <c r="V352" s="515"/>
      <c r="W352" s="487"/>
      <c r="X352" s="515"/>
      <c r="Y352" s="487"/>
      <c r="Z352" s="515"/>
      <c r="AA352" s="487"/>
      <c r="AB352" s="515"/>
      <c r="AC352" s="487"/>
      <c r="AD352" s="515"/>
      <c r="AE352" s="487"/>
      <c r="AF352" s="515"/>
      <c r="AG352" s="487"/>
      <c r="AH352" s="515"/>
      <c r="AI352" s="486"/>
      <c r="AJ352" s="515"/>
      <c r="AK352" s="486"/>
      <c r="AL352" s="515"/>
      <c r="AM352" s="486"/>
      <c r="AN352" s="515"/>
      <c r="AO352" s="486"/>
      <c r="AP352" s="515"/>
      <c r="AQ352" s="486"/>
      <c r="AR352" s="515"/>
      <c r="AS352" s="486"/>
      <c r="AT352" s="515"/>
      <c r="AU352" s="486"/>
      <c r="AV352" s="515"/>
      <c r="AW352" s="486"/>
      <c r="AX352" s="515"/>
      <c r="AY352" s="486"/>
      <c r="AZ352" s="515"/>
      <c r="BA352" s="486"/>
      <c r="BB352" s="515"/>
      <c r="BC352" s="486"/>
      <c r="BD352" s="515"/>
      <c r="BE352" s="486"/>
      <c r="BF352" s="515"/>
      <c r="BG352" s="486"/>
      <c r="BH352" s="515"/>
      <c r="BI352" s="486"/>
      <c r="BJ352" s="515"/>
      <c r="BK352" s="486"/>
      <c r="BL352" s="515"/>
      <c r="BM352" s="486"/>
      <c r="BN352" s="515"/>
      <c r="BO352" s="486"/>
      <c r="BP352" s="515"/>
      <c r="BQ352" s="486"/>
      <c r="BR352" s="515"/>
      <c r="BS352" s="486"/>
      <c r="BT352" s="515"/>
      <c r="BU352" s="486"/>
      <c r="BV352" s="515"/>
      <c r="BW352" s="486"/>
      <c r="BX352" s="515"/>
      <c r="BY352" s="486"/>
      <c r="BZ352" s="515"/>
      <c r="CA352" s="486"/>
      <c r="CB352" s="515"/>
      <c r="CC352" s="486"/>
      <c r="CD352" s="515"/>
      <c r="CE352" s="486"/>
      <c r="CF352" s="515"/>
      <c r="CG352" s="486"/>
      <c r="CH352" s="515"/>
      <c r="CI352" s="486"/>
      <c r="CJ352" s="515"/>
      <c r="CK352" s="486"/>
      <c r="CL352" s="515"/>
      <c r="CM352" s="486"/>
      <c r="CN352" s="515"/>
      <c r="CO352" s="486"/>
      <c r="CP352" s="515"/>
      <c r="CQ352" s="486"/>
      <c r="CR352" s="515"/>
      <c r="CS352" s="486"/>
      <c r="CT352" s="515"/>
      <c r="CU352" s="486"/>
      <c r="CV352" s="515"/>
      <c r="CW352" s="486"/>
      <c r="CX352" s="515"/>
      <c r="CY352" s="486"/>
      <c r="CZ352" s="515"/>
      <c r="DA352" s="486"/>
      <c r="DB352" s="515"/>
      <c r="DC352" s="486"/>
      <c r="DD352" s="515"/>
      <c r="DE352" s="486"/>
      <c r="DF352" s="515"/>
      <c r="DG352" s="486"/>
      <c r="DH352" s="515"/>
      <c r="DI352" s="486"/>
      <c r="DJ352" s="515"/>
      <c r="DK352" s="486"/>
      <c r="DL352" s="515"/>
      <c r="DM352" s="486"/>
      <c r="DN352" s="515"/>
      <c r="DO352" s="486"/>
      <c r="DP352" s="515"/>
      <c r="DQ352" s="486"/>
      <c r="DR352" s="515"/>
      <c r="DS352" s="486"/>
      <c r="DT352" s="515"/>
      <c r="DU352" s="486"/>
      <c r="DV352" s="515"/>
      <c r="DW352" s="486"/>
      <c r="DX352" s="515"/>
      <c r="DY352" s="486"/>
      <c r="DZ352" s="515"/>
      <c r="EA352" s="486"/>
      <c r="EB352" s="487"/>
      <c r="EC352" s="515"/>
      <c r="ED352" s="487"/>
      <c r="EE352" s="515"/>
      <c r="EF352" s="487"/>
      <c r="EG352" s="515"/>
      <c r="EH352" s="487"/>
      <c r="EI352" s="515"/>
      <c r="EJ352" s="486"/>
      <c r="EK352" s="515"/>
      <c r="EL352" s="486"/>
      <c r="EM352" s="515"/>
      <c r="EN352" s="486"/>
      <c r="EO352" s="515"/>
      <c r="EP352" s="486"/>
      <c r="EQ352" s="515"/>
      <c r="ER352" s="486"/>
      <c r="ES352" s="515"/>
      <c r="ET352" s="486"/>
      <c r="EU352" s="515"/>
      <c r="EV352" s="486"/>
      <c r="EW352" s="515"/>
      <c r="EX352" s="486"/>
      <c r="EY352" s="515"/>
      <c r="EZ352" s="486"/>
      <c r="FA352" s="515"/>
      <c r="FB352" s="486"/>
      <c r="FC352" s="515"/>
      <c r="FD352" s="486"/>
      <c r="FE352" s="515"/>
      <c r="FF352" s="486"/>
      <c r="FG352" s="515"/>
      <c r="FH352" s="486"/>
      <c r="FI352" s="515"/>
      <c r="FJ352" s="486"/>
      <c r="FK352" s="515"/>
      <c r="FL352" s="486"/>
      <c r="FM352" s="515"/>
      <c r="FN352" s="486"/>
      <c r="FO352" s="515"/>
      <c r="FP352" s="486"/>
      <c r="FQ352" s="515"/>
      <c r="FR352" s="486"/>
      <c r="FS352" s="486"/>
    </row>
    <row r="353" spans="1:176" ht="12.75" hidden="1" customHeight="1" outlineLevel="1" x14ac:dyDescent="0.2">
      <c r="A353" s="500" t="s">
        <v>317</v>
      </c>
      <c r="B353" s="515"/>
      <c r="C353" s="487"/>
      <c r="D353" s="515"/>
      <c r="E353" s="487"/>
      <c r="F353" s="515"/>
      <c r="G353" s="487"/>
      <c r="H353" s="515"/>
      <c r="I353" s="487"/>
      <c r="J353" s="515"/>
      <c r="K353" s="487"/>
      <c r="L353" s="515"/>
      <c r="M353" s="487"/>
      <c r="N353" s="515"/>
      <c r="O353" s="487"/>
      <c r="P353" s="515"/>
      <c r="Q353" s="487"/>
      <c r="R353" s="515"/>
      <c r="S353" s="487"/>
      <c r="T353" s="515"/>
      <c r="U353" s="487"/>
      <c r="V353" s="515"/>
      <c r="W353" s="487"/>
      <c r="X353" s="515"/>
      <c r="Y353" s="487"/>
      <c r="Z353" s="515"/>
      <c r="AA353" s="487"/>
      <c r="AB353" s="515"/>
      <c r="AC353" s="487"/>
      <c r="AD353" s="515"/>
      <c r="AE353" s="487"/>
      <c r="AF353" s="515"/>
      <c r="AG353" s="487"/>
      <c r="AH353" s="515"/>
      <c r="AI353" s="486"/>
      <c r="AJ353" s="515"/>
      <c r="AK353" s="486"/>
      <c r="AL353" s="515"/>
      <c r="AM353" s="486"/>
      <c r="AN353" s="515"/>
      <c r="AO353" s="486"/>
      <c r="AP353" s="515"/>
      <c r="AQ353" s="486"/>
      <c r="AR353" s="515"/>
      <c r="AS353" s="486"/>
      <c r="AT353" s="515"/>
      <c r="AU353" s="486"/>
      <c r="AV353" s="515"/>
      <c r="AW353" s="486"/>
      <c r="AX353" s="515"/>
      <c r="AY353" s="486"/>
      <c r="AZ353" s="515"/>
      <c r="BA353" s="486"/>
      <c r="BB353" s="515"/>
      <c r="BC353" s="486"/>
      <c r="BD353" s="515"/>
      <c r="BE353" s="486"/>
      <c r="BF353" s="515"/>
      <c r="BG353" s="486"/>
      <c r="BH353" s="515"/>
      <c r="BI353" s="486"/>
      <c r="BJ353" s="515"/>
      <c r="BK353" s="486"/>
      <c r="BL353" s="515"/>
      <c r="BM353" s="486"/>
      <c r="BN353" s="515"/>
      <c r="BO353" s="486"/>
      <c r="BP353" s="515"/>
      <c r="BQ353" s="486"/>
      <c r="BR353" s="515"/>
      <c r="BS353" s="486"/>
      <c r="BT353" s="515"/>
      <c r="BU353" s="486"/>
      <c r="BV353" s="515"/>
      <c r="BW353" s="486"/>
      <c r="BX353" s="515"/>
      <c r="BY353" s="486"/>
      <c r="BZ353" s="515"/>
      <c r="CA353" s="486"/>
      <c r="CB353" s="515"/>
      <c r="CC353" s="486"/>
      <c r="CD353" s="515"/>
      <c r="CE353" s="486"/>
      <c r="CF353" s="515"/>
      <c r="CG353" s="486"/>
      <c r="CH353" s="515"/>
      <c r="CI353" s="486"/>
      <c r="CJ353" s="515"/>
      <c r="CK353" s="486"/>
      <c r="CL353" s="515"/>
      <c r="CM353" s="486"/>
      <c r="CN353" s="515"/>
      <c r="CO353" s="486"/>
      <c r="CP353" s="515"/>
      <c r="CQ353" s="486"/>
      <c r="CR353" s="515"/>
      <c r="CS353" s="486"/>
      <c r="CT353" s="515"/>
      <c r="CU353" s="486"/>
      <c r="CV353" s="515"/>
      <c r="CW353" s="486"/>
      <c r="CX353" s="515"/>
      <c r="CY353" s="486"/>
      <c r="CZ353" s="515"/>
      <c r="DA353" s="486"/>
      <c r="DB353" s="515"/>
      <c r="DC353" s="486"/>
      <c r="DD353" s="515"/>
      <c r="DE353" s="486"/>
      <c r="DF353" s="515"/>
      <c r="DG353" s="486"/>
      <c r="DH353" s="515"/>
      <c r="DI353" s="486"/>
      <c r="DJ353" s="515"/>
      <c r="DK353" s="486"/>
      <c r="DL353" s="515"/>
      <c r="DM353" s="486"/>
      <c r="DN353" s="515"/>
      <c r="DO353" s="486"/>
      <c r="DP353" s="515"/>
      <c r="DQ353" s="486"/>
      <c r="DR353" s="515"/>
      <c r="DS353" s="486"/>
      <c r="DT353" s="515"/>
      <c r="DU353" s="486"/>
      <c r="DV353" s="515"/>
      <c r="DW353" s="486"/>
      <c r="DX353" s="515"/>
      <c r="DY353" s="486"/>
      <c r="DZ353" s="515"/>
      <c r="EA353" s="486"/>
      <c r="EB353" s="487"/>
      <c r="EC353" s="515"/>
      <c r="ED353" s="487"/>
      <c r="EE353" s="515"/>
      <c r="EF353" s="487"/>
      <c r="EG353" s="515"/>
      <c r="EH353" s="487"/>
      <c r="EI353" s="515"/>
      <c r="EJ353" s="486"/>
      <c r="EK353" s="515"/>
      <c r="EL353" s="486"/>
      <c r="EM353" s="515"/>
      <c r="EN353" s="486"/>
      <c r="EO353" s="515"/>
      <c r="EP353" s="486"/>
      <c r="EQ353" s="515"/>
      <c r="ER353" s="486"/>
      <c r="ES353" s="515"/>
      <c r="ET353" s="486"/>
      <c r="EU353" s="515"/>
      <c r="EV353" s="486"/>
      <c r="EW353" s="515"/>
      <c r="EX353" s="486"/>
      <c r="EY353" s="515"/>
      <c r="EZ353" s="486"/>
      <c r="FA353" s="515"/>
      <c r="FB353" s="486"/>
      <c r="FC353" s="515"/>
      <c r="FD353" s="486"/>
      <c r="FE353" s="515"/>
      <c r="FF353" s="486"/>
      <c r="FG353" s="515"/>
      <c r="FH353" s="486"/>
      <c r="FI353" s="515"/>
      <c r="FJ353" s="486"/>
      <c r="FK353" s="515"/>
      <c r="FL353" s="486"/>
      <c r="FM353" s="515"/>
      <c r="FN353" s="486"/>
      <c r="FO353" s="515"/>
      <c r="FP353" s="486"/>
      <c r="FQ353" s="515"/>
      <c r="FR353" s="486"/>
      <c r="FS353" s="486"/>
    </row>
    <row r="354" spans="1:176" ht="12.75" hidden="1" customHeight="1" outlineLevel="1" x14ac:dyDescent="0.2">
      <c r="A354" s="246"/>
      <c r="B354" s="510"/>
      <c r="C354" s="487"/>
      <c r="D354" s="510"/>
      <c r="E354" s="487"/>
      <c r="F354" s="510"/>
      <c r="G354" s="487"/>
      <c r="H354" s="510"/>
      <c r="I354" s="487"/>
      <c r="J354" s="510"/>
      <c r="K354" s="487"/>
      <c r="L354" s="510"/>
      <c r="M354" s="487"/>
      <c r="N354" s="510"/>
      <c r="O354" s="487"/>
      <c r="P354" s="510"/>
      <c r="Q354" s="487"/>
      <c r="R354" s="510"/>
      <c r="S354" s="487"/>
      <c r="T354" s="510"/>
      <c r="U354" s="487"/>
      <c r="V354" s="510"/>
      <c r="W354" s="487"/>
      <c r="X354" s="510"/>
      <c r="Y354" s="487"/>
      <c r="Z354" s="510"/>
      <c r="AA354" s="487"/>
      <c r="AB354" s="510"/>
      <c r="AC354" s="487"/>
      <c r="AD354" s="510"/>
      <c r="AE354" s="487"/>
      <c r="AF354" s="510"/>
      <c r="AG354" s="487"/>
      <c r="AH354" s="510"/>
      <c r="AI354" s="486"/>
      <c r="AJ354" s="510"/>
      <c r="AK354" s="486"/>
      <c r="AL354" s="510"/>
      <c r="AM354" s="486"/>
      <c r="AN354" s="510"/>
      <c r="AO354" s="486"/>
      <c r="AP354" s="510"/>
      <c r="AQ354" s="486"/>
      <c r="AR354" s="510"/>
      <c r="AS354" s="486"/>
      <c r="AT354" s="510"/>
      <c r="AU354" s="486"/>
      <c r="AV354" s="510"/>
      <c r="AW354" s="486"/>
      <c r="AX354" s="510"/>
      <c r="AY354" s="486"/>
      <c r="AZ354" s="510"/>
      <c r="BA354" s="486"/>
      <c r="BB354" s="510"/>
      <c r="BC354" s="486"/>
      <c r="BD354" s="510"/>
      <c r="BE354" s="486"/>
      <c r="BF354" s="510"/>
      <c r="BG354" s="486"/>
      <c r="BH354" s="510"/>
      <c r="BI354" s="486"/>
      <c r="BJ354" s="510"/>
      <c r="BK354" s="486"/>
      <c r="BL354" s="510"/>
      <c r="BM354" s="486"/>
      <c r="BN354" s="510"/>
      <c r="BO354" s="486"/>
      <c r="BP354" s="510"/>
      <c r="BQ354" s="486"/>
      <c r="BR354" s="510"/>
      <c r="BS354" s="486"/>
      <c r="BT354" s="510"/>
      <c r="BU354" s="486"/>
      <c r="BV354" s="510"/>
      <c r="BW354" s="486"/>
      <c r="BX354" s="510"/>
      <c r="BY354" s="486"/>
      <c r="BZ354" s="510"/>
      <c r="CA354" s="486"/>
      <c r="CB354" s="510"/>
      <c r="CC354" s="486"/>
      <c r="CD354" s="510"/>
      <c r="CE354" s="486"/>
      <c r="CF354" s="510"/>
      <c r="CG354" s="486"/>
      <c r="CH354" s="510"/>
      <c r="CI354" s="486"/>
      <c r="CJ354" s="510"/>
      <c r="CK354" s="486"/>
      <c r="CL354" s="510"/>
      <c r="CM354" s="486"/>
      <c r="CN354" s="510"/>
      <c r="CO354" s="486"/>
      <c r="CP354" s="510"/>
      <c r="CQ354" s="486"/>
      <c r="CR354" s="510"/>
      <c r="CS354" s="486"/>
      <c r="CT354" s="510"/>
      <c r="CU354" s="486"/>
      <c r="CV354" s="510"/>
      <c r="CW354" s="486"/>
      <c r="CX354" s="510"/>
      <c r="CY354" s="486"/>
      <c r="CZ354" s="510"/>
      <c r="DA354" s="486"/>
      <c r="DB354" s="510"/>
      <c r="DC354" s="486"/>
      <c r="DD354" s="510"/>
      <c r="DE354" s="486"/>
      <c r="DF354" s="510"/>
      <c r="DG354" s="486"/>
      <c r="DH354" s="510"/>
      <c r="DI354" s="486"/>
      <c r="DJ354" s="510"/>
      <c r="DK354" s="486"/>
      <c r="DL354" s="510"/>
      <c r="DM354" s="486"/>
      <c r="DN354" s="510"/>
      <c r="DO354" s="486"/>
      <c r="DP354" s="510"/>
      <c r="DQ354" s="486"/>
      <c r="DR354" s="510"/>
      <c r="DS354" s="486"/>
      <c r="DT354" s="510"/>
      <c r="DU354" s="486"/>
      <c r="DV354" s="510"/>
      <c r="DW354" s="486"/>
      <c r="DX354" s="510"/>
      <c r="DY354" s="486"/>
      <c r="DZ354" s="510"/>
      <c r="EA354" s="486"/>
      <c r="EB354" s="487"/>
      <c r="EC354" s="510"/>
      <c r="ED354" s="487"/>
      <c r="EE354" s="510"/>
      <c r="EF354" s="487"/>
      <c r="EG354" s="510"/>
      <c r="EH354" s="487"/>
      <c r="EI354" s="510"/>
      <c r="EJ354" s="486"/>
      <c r="EK354" s="510"/>
      <c r="EL354" s="486"/>
      <c r="EM354" s="510"/>
      <c r="EN354" s="486"/>
      <c r="EO354" s="510"/>
      <c r="EP354" s="486"/>
      <c r="EQ354" s="510"/>
      <c r="ER354" s="486"/>
      <c r="ES354" s="510"/>
      <c r="ET354" s="486"/>
      <c r="EU354" s="510"/>
      <c r="EV354" s="486"/>
      <c r="EW354" s="510"/>
      <c r="EX354" s="486"/>
      <c r="EY354" s="510"/>
      <c r="EZ354" s="486"/>
      <c r="FA354" s="510"/>
      <c r="FB354" s="486"/>
      <c r="FC354" s="510"/>
      <c r="FD354" s="486"/>
      <c r="FE354" s="510"/>
      <c r="FF354" s="486"/>
      <c r="FG354" s="510"/>
      <c r="FH354" s="486"/>
      <c r="FI354" s="510"/>
      <c r="FJ354" s="486"/>
      <c r="FK354" s="510"/>
      <c r="FL354" s="486"/>
      <c r="FM354" s="510"/>
      <c r="FN354" s="486"/>
      <c r="FO354" s="510"/>
      <c r="FP354" s="486"/>
      <c r="FQ354" s="510"/>
      <c r="FR354" s="486"/>
      <c r="FS354" s="486"/>
    </row>
    <row r="355" spans="1:176" ht="21.95" hidden="1" customHeight="1" outlineLevel="2" x14ac:dyDescent="0.2">
      <c r="A355" s="246" t="str">
        <f>$A$1</f>
        <v>Prudential Financial, Inc.</v>
      </c>
      <c r="B355" s="486"/>
      <c r="C355" s="487"/>
      <c r="D355" s="486"/>
      <c r="E355" s="487"/>
      <c r="F355" s="486"/>
      <c r="G355" s="487"/>
      <c r="H355" s="486"/>
      <c r="I355" s="487"/>
      <c r="J355" s="486"/>
      <c r="K355" s="487"/>
      <c r="L355" s="486"/>
      <c r="M355" s="487"/>
      <c r="N355" s="486"/>
      <c r="O355" s="487"/>
      <c r="P355" s="486"/>
      <c r="Q355" s="487"/>
      <c r="R355" s="486"/>
      <c r="S355" s="487"/>
      <c r="T355" s="486"/>
      <c r="U355" s="487"/>
      <c r="V355" s="486"/>
      <c r="W355" s="487"/>
      <c r="X355" s="486"/>
      <c r="Y355" s="487"/>
      <c r="Z355" s="486"/>
      <c r="AA355" s="487"/>
      <c r="AB355" s="486"/>
      <c r="AC355" s="487"/>
      <c r="AD355" s="486"/>
      <c r="AE355" s="487"/>
      <c r="AF355" s="486"/>
      <c r="AG355" s="487"/>
      <c r="AH355" s="486"/>
      <c r="AI355" s="486"/>
      <c r="AJ355" s="486"/>
      <c r="AK355" s="486"/>
      <c r="AL355" s="486"/>
      <c r="AM355" s="486"/>
      <c r="AN355" s="486"/>
      <c r="AO355" s="486"/>
      <c r="AP355" s="486"/>
      <c r="AQ355" s="486"/>
      <c r="AR355" s="486"/>
      <c r="AS355" s="486"/>
      <c r="AT355" s="486"/>
      <c r="AU355" s="486"/>
      <c r="AV355" s="486"/>
      <c r="AW355" s="486"/>
      <c r="AX355" s="486"/>
      <c r="AY355" s="486"/>
      <c r="AZ355" s="486"/>
      <c r="BA355" s="486"/>
      <c r="BB355" s="486"/>
      <c r="BC355" s="486"/>
      <c r="BD355" s="486"/>
      <c r="BE355" s="486"/>
      <c r="BF355" s="486"/>
      <c r="BG355" s="486"/>
      <c r="BH355" s="486"/>
      <c r="BI355" s="486"/>
      <c r="BJ355" s="486"/>
      <c r="BK355" s="486"/>
      <c r="BL355" s="486"/>
      <c r="BM355" s="486"/>
      <c r="BN355" s="486"/>
      <c r="BO355" s="486"/>
      <c r="BP355" s="486"/>
      <c r="BQ355" s="486"/>
      <c r="BR355" s="486"/>
      <c r="BS355" s="486"/>
      <c r="BT355" s="486"/>
      <c r="BU355" s="486"/>
      <c r="BV355" s="486"/>
      <c r="BW355" s="486"/>
      <c r="BX355" s="486"/>
      <c r="BY355" s="486"/>
      <c r="BZ355" s="486"/>
      <c r="CA355" s="486"/>
      <c r="CB355" s="486"/>
      <c r="CC355" s="486"/>
      <c r="CD355" s="486"/>
      <c r="CE355" s="486"/>
      <c r="CF355" s="486"/>
      <c r="CG355" s="486"/>
      <c r="CH355" s="486"/>
      <c r="CI355" s="486"/>
      <c r="CJ355" s="486"/>
      <c r="CK355" s="486"/>
      <c r="CL355" s="486"/>
      <c r="CM355" s="486"/>
      <c r="CN355" s="486"/>
      <c r="CO355" s="486"/>
      <c r="CP355" s="486"/>
      <c r="CQ355" s="486"/>
      <c r="CR355" s="486"/>
      <c r="CS355" s="486"/>
      <c r="CT355" s="486"/>
      <c r="CU355" s="486"/>
      <c r="CV355" s="486"/>
      <c r="CW355" s="486"/>
      <c r="CX355" s="486"/>
      <c r="CY355" s="486"/>
      <c r="CZ355" s="486"/>
      <c r="DA355" s="486"/>
      <c r="DB355" s="486"/>
      <c r="DC355" s="486"/>
      <c r="DD355" s="486"/>
      <c r="DE355" s="486"/>
      <c r="DF355" s="486"/>
      <c r="DG355" s="486"/>
      <c r="DH355" s="486"/>
      <c r="DI355" s="486"/>
      <c r="DJ355" s="486"/>
      <c r="DK355" s="486"/>
      <c r="DL355" s="486"/>
      <c r="DM355" s="486"/>
      <c r="DN355" s="486"/>
      <c r="DO355" s="486"/>
      <c r="DP355" s="486"/>
      <c r="DQ355" s="486"/>
      <c r="DR355" s="486"/>
      <c r="DS355" s="486"/>
      <c r="DT355" s="486"/>
      <c r="DU355" s="486"/>
      <c r="DV355" s="486"/>
      <c r="DW355" s="486"/>
      <c r="DX355" s="486"/>
      <c r="DY355" s="486"/>
      <c r="DZ355" s="486"/>
      <c r="EA355" s="486"/>
      <c r="EB355" s="487"/>
      <c r="EC355" s="486"/>
      <c r="ED355" s="487"/>
      <c r="EE355" s="486"/>
      <c r="EF355" s="487"/>
      <c r="EG355" s="486"/>
      <c r="EH355" s="487"/>
      <c r="EI355" s="486"/>
      <c r="EJ355" s="486"/>
      <c r="EK355" s="486"/>
      <c r="EL355" s="486"/>
      <c r="EM355" s="486"/>
      <c r="EN355" s="486"/>
      <c r="EO355" s="486"/>
      <c r="EP355" s="486"/>
      <c r="EQ355" s="486"/>
      <c r="ER355" s="486"/>
      <c r="ES355" s="486"/>
      <c r="ET355" s="486"/>
      <c r="EU355" s="486"/>
      <c r="EV355" s="486"/>
      <c r="EW355" s="486"/>
      <c r="EX355" s="486"/>
      <c r="EY355" s="486"/>
      <c r="EZ355" s="486"/>
      <c r="FA355" s="486"/>
      <c r="FB355" s="486"/>
      <c r="FC355" s="486"/>
      <c r="FD355" s="486"/>
      <c r="FE355" s="486"/>
      <c r="FF355" s="486"/>
      <c r="FG355" s="486"/>
      <c r="FH355" s="486"/>
      <c r="FI355" s="486"/>
      <c r="FJ355" s="486"/>
      <c r="FK355" s="486"/>
      <c r="FL355" s="486"/>
      <c r="FM355" s="486"/>
      <c r="FN355" s="486"/>
      <c r="FO355" s="486"/>
      <c r="FP355" s="486"/>
      <c r="FQ355" s="486"/>
      <c r="FR355" s="486"/>
      <c r="FS355" s="486"/>
    </row>
    <row r="356" spans="1:176" ht="12.75" hidden="1" customHeight="1" outlineLevel="2" x14ac:dyDescent="0.2">
      <c r="A356" s="488" t="s">
        <v>592</v>
      </c>
      <c r="B356" s="489"/>
      <c r="C356" s="490"/>
      <c r="D356" s="489"/>
      <c r="E356" s="490"/>
      <c r="F356" s="489"/>
      <c r="G356" s="490"/>
      <c r="H356" s="489"/>
      <c r="I356" s="490"/>
      <c r="J356" s="489"/>
      <c r="K356" s="490"/>
      <c r="L356" s="489"/>
      <c r="M356" s="490"/>
      <c r="N356" s="489"/>
      <c r="O356" s="490"/>
      <c r="P356" s="489"/>
      <c r="Q356" s="490"/>
      <c r="R356" s="489"/>
      <c r="S356" s="490"/>
      <c r="T356" s="489"/>
      <c r="U356" s="490"/>
      <c r="V356" s="489"/>
      <c r="W356" s="490"/>
      <c r="X356" s="489"/>
      <c r="Y356" s="490"/>
      <c r="Z356" s="489"/>
      <c r="AA356" s="490"/>
      <c r="AB356" s="489"/>
      <c r="AC356" s="490"/>
      <c r="AD356" s="489"/>
      <c r="AE356" s="490"/>
      <c r="AF356" s="489"/>
      <c r="AG356" s="490"/>
      <c r="AH356" s="489"/>
      <c r="AI356" s="489"/>
      <c r="AJ356" s="489"/>
      <c r="AK356" s="489"/>
      <c r="AL356" s="489"/>
      <c r="AM356" s="489"/>
      <c r="AN356" s="489"/>
      <c r="AO356" s="489"/>
      <c r="AP356" s="489"/>
      <c r="AQ356" s="489"/>
      <c r="AR356" s="489"/>
      <c r="AS356" s="489"/>
      <c r="AT356" s="489"/>
      <c r="AU356" s="489"/>
      <c r="AV356" s="489"/>
      <c r="AW356" s="489"/>
      <c r="AX356" s="489"/>
      <c r="AY356" s="489"/>
      <c r="AZ356" s="489"/>
      <c r="BA356" s="489"/>
      <c r="BB356" s="489"/>
      <c r="BC356" s="489"/>
      <c r="BD356" s="489"/>
      <c r="BE356" s="489"/>
      <c r="BF356" s="489"/>
      <c r="BG356" s="489"/>
      <c r="BH356" s="489"/>
      <c r="BI356" s="489"/>
      <c r="BJ356" s="489"/>
      <c r="BK356" s="489"/>
      <c r="BL356" s="489"/>
      <c r="BM356" s="489"/>
      <c r="BN356" s="489"/>
      <c r="BO356" s="489"/>
      <c r="BP356" s="489"/>
      <c r="BQ356" s="489"/>
      <c r="BR356" s="489"/>
      <c r="BS356" s="489"/>
      <c r="BT356" s="489"/>
      <c r="BU356" s="489"/>
      <c r="BV356" s="489"/>
      <c r="BW356" s="489"/>
      <c r="BX356" s="489"/>
      <c r="BY356" s="489"/>
      <c r="BZ356" s="489"/>
      <c r="CA356" s="489"/>
      <c r="CB356" s="489"/>
      <c r="CC356" s="489"/>
      <c r="CD356" s="489"/>
      <c r="CE356" s="489"/>
      <c r="CF356" s="489"/>
      <c r="CG356" s="489"/>
      <c r="CH356" s="489"/>
      <c r="CI356" s="489"/>
      <c r="CJ356" s="489"/>
      <c r="CK356" s="489"/>
      <c r="CL356" s="489"/>
      <c r="CM356" s="489"/>
      <c r="CN356" s="489"/>
      <c r="CO356" s="489"/>
      <c r="CP356" s="489"/>
      <c r="CQ356" s="489"/>
      <c r="CR356" s="489"/>
      <c r="CS356" s="489"/>
      <c r="CT356" s="489"/>
      <c r="CU356" s="489"/>
      <c r="CV356" s="489"/>
      <c r="CW356" s="489"/>
      <c r="CX356" s="489"/>
      <c r="CY356" s="489"/>
      <c r="CZ356" s="489"/>
      <c r="DA356" s="489"/>
      <c r="DB356" s="489"/>
      <c r="DC356" s="489"/>
      <c r="DD356" s="489"/>
      <c r="DE356" s="489"/>
      <c r="DF356" s="489"/>
      <c r="DG356" s="489"/>
      <c r="DH356" s="489"/>
      <c r="DI356" s="489"/>
      <c r="DJ356" s="489"/>
      <c r="DK356" s="489"/>
      <c r="DL356" s="489"/>
      <c r="DM356" s="489"/>
      <c r="DN356" s="489"/>
      <c r="DO356" s="489"/>
      <c r="DP356" s="489"/>
      <c r="DQ356" s="489"/>
      <c r="DR356" s="489"/>
      <c r="DS356" s="489"/>
      <c r="DT356" s="489"/>
      <c r="DU356" s="489"/>
      <c r="DV356" s="489"/>
      <c r="DW356" s="489"/>
      <c r="DX356" s="489"/>
      <c r="DY356" s="489"/>
      <c r="DZ356" s="489"/>
      <c r="EA356" s="489"/>
      <c r="EB356" s="490"/>
      <c r="EC356" s="489"/>
      <c r="ED356" s="490"/>
      <c r="EE356" s="489"/>
      <c r="EF356" s="490"/>
      <c r="EG356" s="489"/>
      <c r="EH356" s="490"/>
      <c r="EI356" s="489"/>
      <c r="EJ356" s="489"/>
      <c r="EK356" s="489"/>
      <c r="EL356" s="489"/>
      <c r="EM356" s="489"/>
      <c r="EN356" s="489"/>
      <c r="EO356" s="489"/>
      <c r="EP356" s="489"/>
      <c r="EQ356" s="489"/>
      <c r="ER356" s="489"/>
      <c r="ES356" s="489"/>
      <c r="ET356" s="489"/>
      <c r="EU356" s="489"/>
      <c r="EV356" s="489"/>
      <c r="EW356" s="489"/>
      <c r="EX356" s="489"/>
      <c r="EY356" s="489"/>
      <c r="EZ356" s="489"/>
      <c r="FA356" s="489"/>
      <c r="FB356" s="489"/>
      <c r="FC356" s="489"/>
      <c r="FD356" s="489"/>
      <c r="FE356" s="489"/>
      <c r="FF356" s="489"/>
      <c r="FG356" s="489"/>
      <c r="FH356" s="489"/>
      <c r="FI356" s="489"/>
      <c r="FJ356" s="489"/>
      <c r="FK356" s="489"/>
      <c r="FL356" s="489"/>
      <c r="FM356" s="489"/>
      <c r="FN356" s="489"/>
      <c r="FO356" s="489"/>
      <c r="FP356" s="489"/>
      <c r="FQ356" s="489"/>
      <c r="FR356" s="489"/>
      <c r="FS356" s="489"/>
    </row>
    <row r="357" spans="1:176" ht="12.75" hidden="1" customHeight="1" outlineLevel="2" x14ac:dyDescent="0.2">
      <c r="A357" s="501" t="str">
        <f>A$3</f>
        <v>($Millions Except Per Share Data)</v>
      </c>
      <c r="B357" s="502"/>
      <c r="C357" s="503" t="str">
        <f>C$3</f>
        <v>1Q03/</v>
      </c>
      <c r="D357" s="502"/>
      <c r="E357" s="503" t="str">
        <f>E$3</f>
        <v>2Q03/</v>
      </c>
      <c r="F357" s="502"/>
      <c r="G357" s="503" t="str">
        <f>G$3</f>
        <v>3Q03/</v>
      </c>
      <c r="H357" s="502"/>
      <c r="I357" s="503" t="str">
        <f>I$3</f>
        <v>4Q03/</v>
      </c>
      <c r="J357" s="502"/>
      <c r="K357" s="503" t="str">
        <f>K$3</f>
        <v>1Q04/</v>
      </c>
      <c r="L357" s="502"/>
      <c r="M357" s="503" t="str">
        <f>M$3</f>
        <v>2Q04/</v>
      </c>
      <c r="N357" s="502"/>
      <c r="O357" s="503" t="str">
        <f>O$3</f>
        <v>3Q04/</v>
      </c>
      <c r="P357" s="502"/>
      <c r="Q357" s="503" t="str">
        <f>Q$3</f>
        <v>4Q04/</v>
      </c>
      <c r="R357" s="502"/>
      <c r="S357" s="503" t="str">
        <f>S$3</f>
        <v>1Q05/</v>
      </c>
      <c r="T357" s="502"/>
      <c r="U357" s="503" t="str">
        <f>U$3</f>
        <v>2Q05/</v>
      </c>
      <c r="V357" s="502"/>
      <c r="W357" s="503" t="str">
        <f>W$3</f>
        <v>3Q05/</v>
      </c>
      <c r="X357" s="502"/>
      <c r="Y357" s="503" t="str">
        <f>Y$3</f>
        <v>4Q05/</v>
      </c>
      <c r="Z357" s="502"/>
      <c r="AA357" s="503" t="str">
        <f>AA$3</f>
        <v>1Q06/</v>
      </c>
      <c r="AB357" s="502"/>
      <c r="AC357" s="503" t="str">
        <f>AC$3</f>
        <v>2Q06/</v>
      </c>
      <c r="AD357" s="502"/>
      <c r="AE357" s="503" t="str">
        <f>AE$3</f>
        <v>3Q06/</v>
      </c>
      <c r="AF357" s="502"/>
      <c r="AG357" s="503" t="str">
        <f>AG$3</f>
        <v>4Q06/</v>
      </c>
      <c r="AH357" s="502"/>
      <c r="AI357" s="504" t="str">
        <f>AI$3</f>
        <v>1Q07/</v>
      </c>
      <c r="AJ357" s="502"/>
      <c r="AK357" s="504" t="str">
        <f>AK$3</f>
        <v>2Q07/</v>
      </c>
      <c r="AL357" s="502"/>
      <c r="AM357" s="504" t="str">
        <f>AM$3</f>
        <v>3Q07/</v>
      </c>
      <c r="AN357" s="502"/>
      <c r="AO357" s="504" t="str">
        <f>AO$3</f>
        <v>4Q07/</v>
      </c>
      <c r="AP357" s="502"/>
      <c r="AQ357" s="504" t="str">
        <f>AQ$3</f>
        <v>1Q08/</v>
      </c>
      <c r="AR357" s="502"/>
      <c r="AS357" s="504" t="str">
        <f>AS$3</f>
        <v>2Q08/</v>
      </c>
      <c r="AT357" s="502"/>
      <c r="AU357" s="504" t="str">
        <f>AU$3</f>
        <v>3Q08/</v>
      </c>
      <c r="AV357" s="502"/>
      <c r="AW357" s="504" t="str">
        <f>AW$3</f>
        <v>4Q08/</v>
      </c>
      <c r="AX357" s="502"/>
      <c r="AY357" s="504" t="str">
        <f>AY$3</f>
        <v>1Q09/</v>
      </c>
      <c r="AZ357" s="502"/>
      <c r="BA357" s="504" t="str">
        <f>BA$3</f>
        <v>2Q09/</v>
      </c>
      <c r="BB357" s="502"/>
      <c r="BC357" s="504" t="str">
        <f>BC$3</f>
        <v>3Q09/</v>
      </c>
      <c r="BD357" s="502"/>
      <c r="BE357" s="504" t="str">
        <f>BE$3</f>
        <v>4Q09/</v>
      </c>
      <c r="BF357" s="502"/>
      <c r="BG357" s="504" t="str">
        <f>BG$3</f>
        <v>1Q10/</v>
      </c>
      <c r="BH357" s="502"/>
      <c r="BI357" s="504" t="str">
        <f>BI$3</f>
        <v>2Q10/</v>
      </c>
      <c r="BJ357" s="502"/>
      <c r="BK357" s="504" t="str">
        <f>BK$3</f>
        <v>3Q10/</v>
      </c>
      <c r="BL357" s="502"/>
      <c r="BM357" s="504" t="str">
        <f>BM$3</f>
        <v>4Q10/</v>
      </c>
      <c r="BN357" s="502"/>
      <c r="BO357" s="504" t="str">
        <f>BO$3</f>
        <v>1Q11/</v>
      </c>
      <c r="BP357" s="502"/>
      <c r="BQ357" s="504" t="str">
        <f>BQ$3</f>
        <v>2Q11/</v>
      </c>
      <c r="BR357" s="502"/>
      <c r="BS357" s="504" t="str">
        <f>BS$3</f>
        <v>3Q11/</v>
      </c>
      <c r="BT357" s="502"/>
      <c r="BU357" s="504" t="str">
        <f>BU$3</f>
        <v>4Q11/</v>
      </c>
      <c r="BV357" s="502"/>
      <c r="BW357" s="504" t="str">
        <f>BW$3</f>
        <v>1Q12/</v>
      </c>
      <c r="BX357" s="502"/>
      <c r="BY357" s="504" t="str">
        <f>BY$3</f>
        <v>2Q12/</v>
      </c>
      <c r="BZ357" s="502"/>
      <c r="CA357" s="504" t="str">
        <f>CA$3</f>
        <v>3Q12/</v>
      </c>
      <c r="CB357" s="502"/>
      <c r="CC357" s="504" t="str">
        <f>CC$3</f>
        <v>4Q12/</v>
      </c>
      <c r="CD357" s="502"/>
      <c r="CE357" s="504" t="str">
        <f>CE$3</f>
        <v>1Q13/</v>
      </c>
      <c r="CF357" s="502"/>
      <c r="CG357" s="504" t="str">
        <f>CG$3</f>
        <v>2Q13/</v>
      </c>
      <c r="CH357" s="502"/>
      <c r="CI357" s="504" t="str">
        <f>CI$3</f>
        <v>3Q13/</v>
      </c>
      <c r="CJ357" s="502"/>
      <c r="CK357" s="504" t="str">
        <f>CK$3</f>
        <v>4Q13/</v>
      </c>
      <c r="CL357" s="502"/>
      <c r="CM357" s="504" t="str">
        <f>CM$3</f>
        <v>1Q14/</v>
      </c>
      <c r="CN357" s="502"/>
      <c r="CO357" s="504" t="str">
        <f>CO$3</f>
        <v>2Q14/</v>
      </c>
      <c r="CP357" s="502"/>
      <c r="CQ357" s="504" t="str">
        <f>CQ$3</f>
        <v>3Q14/</v>
      </c>
      <c r="CR357" s="502"/>
      <c r="CS357" s="504" t="str">
        <f>CS$3</f>
        <v>4Q14/</v>
      </c>
      <c r="CT357" s="502"/>
      <c r="CU357" s="504" t="str">
        <f>CU$3</f>
        <v>1Q15/</v>
      </c>
      <c r="CV357" s="502"/>
      <c r="CW357" s="504" t="str">
        <f>CW$3</f>
        <v>2Q15/</v>
      </c>
      <c r="CX357" s="502"/>
      <c r="CY357" s="504" t="str">
        <f>CY$3</f>
        <v>3Q15/</v>
      </c>
      <c r="CZ357" s="502"/>
      <c r="DA357" s="504" t="str">
        <f>DA$3</f>
        <v>4Q15/</v>
      </c>
      <c r="DB357" s="502"/>
      <c r="DC357" s="504" t="str">
        <f>DC$3</f>
        <v>1Q16/</v>
      </c>
      <c r="DD357" s="502"/>
      <c r="DE357" s="504" t="str">
        <f>DE$3</f>
        <v>2Q16/</v>
      </c>
      <c r="DF357" s="502"/>
      <c r="DG357" s="504" t="str">
        <f>DG$3</f>
        <v>3Q16/</v>
      </c>
      <c r="DH357" s="502"/>
      <c r="DI357" s="504" t="str">
        <f>DI$3</f>
        <v>4Q16/</v>
      </c>
      <c r="DJ357" s="502"/>
      <c r="DK357" s="504" t="str">
        <f>DK$3</f>
        <v>1Q17/</v>
      </c>
      <c r="DL357" s="502"/>
      <c r="DM357" s="504" t="str">
        <f>DM$3</f>
        <v>2Q17/</v>
      </c>
      <c r="DN357" s="502"/>
      <c r="DO357" s="504" t="str">
        <f>DO$3</f>
        <v>3Q17/</v>
      </c>
      <c r="DP357" s="502"/>
      <c r="DQ357" s="504" t="str">
        <f>DQ$3</f>
        <v>4Q17/</v>
      </c>
      <c r="DR357" s="502"/>
      <c r="DS357" s="504" t="str">
        <f>DS$3</f>
        <v>1Q18E/</v>
      </c>
      <c r="DT357" s="502"/>
      <c r="DU357" s="504" t="str">
        <f>DU$3</f>
        <v>2Q18E/</v>
      </c>
      <c r="DV357" s="502"/>
      <c r="DW357" s="504" t="str">
        <f>DW$3</f>
        <v>3Q18E/</v>
      </c>
      <c r="DX357" s="502"/>
      <c r="DY357" s="504" t="str">
        <f>DY$3</f>
        <v>4Q18E/</v>
      </c>
      <c r="DZ357" s="502"/>
      <c r="EA357" s="504"/>
      <c r="EB357" s="503" t="str">
        <f>EB$3</f>
        <v>2001/</v>
      </c>
      <c r="EC357" s="502"/>
      <c r="ED357" s="503" t="str">
        <f>ED$3</f>
        <v>2002/</v>
      </c>
      <c r="EE357" s="502"/>
      <c r="EF357" s="503" t="str">
        <f>EF$3</f>
        <v>2003/</v>
      </c>
      <c r="EG357" s="502"/>
      <c r="EH357" s="503" t="str">
        <f>EH$3</f>
        <v>2004/</v>
      </c>
      <c r="EI357" s="502"/>
      <c r="EJ357" s="504" t="str">
        <f>EJ$3</f>
        <v>2005/</v>
      </c>
      <c r="EK357" s="502"/>
      <c r="EL357" s="504" t="str">
        <f>EL$3</f>
        <v>2006/</v>
      </c>
      <c r="EM357" s="502"/>
      <c r="EN357" s="504" t="str">
        <f>EN$3</f>
        <v>2007/</v>
      </c>
      <c r="EO357" s="502"/>
      <c r="EP357" s="504" t="str">
        <f>EP$3</f>
        <v>2008/</v>
      </c>
      <c r="EQ357" s="502"/>
      <c r="ER357" s="504" t="str">
        <f>ER$3</f>
        <v>2009/</v>
      </c>
      <c r="ES357" s="502"/>
      <c r="ET357" s="504" t="str">
        <f>ET$3</f>
        <v>2010/</v>
      </c>
      <c r="EU357" s="502"/>
      <c r="EV357" s="504" t="str">
        <f>EV$3</f>
        <v>2011/</v>
      </c>
      <c r="EW357" s="502"/>
      <c r="EX357" s="504" t="str">
        <f>EX$3</f>
        <v>2012/</v>
      </c>
      <c r="EY357" s="502"/>
      <c r="EZ357" s="504" t="str">
        <f>EZ$3</f>
        <v>2013/</v>
      </c>
      <c r="FA357" s="502"/>
      <c r="FB357" s="504" t="str">
        <f>FB$3</f>
        <v>2014/</v>
      </c>
      <c r="FC357" s="502"/>
      <c r="FD357" s="504" t="str">
        <f>FD$3</f>
        <v>2015/</v>
      </c>
      <c r="FE357" s="502"/>
      <c r="FF357" s="504" t="str">
        <f>FF$3</f>
        <v>2016/</v>
      </c>
      <c r="FG357" s="502"/>
      <c r="FH357" s="504" t="str">
        <f>FH$3</f>
        <v>2017/</v>
      </c>
      <c r="FI357" s="502"/>
      <c r="FJ357" s="504" t="str">
        <f>FJ$3</f>
        <v>2018E/</v>
      </c>
      <c r="FK357" s="502"/>
      <c r="FL357" s="504" t="str">
        <f>FL$3</f>
        <v>2019E/</v>
      </c>
      <c r="FM357" s="502"/>
      <c r="FN357" s="504" t="str">
        <f>FN$3</f>
        <v>2020E/</v>
      </c>
      <c r="FO357" s="502"/>
      <c r="FP357" s="504" t="str">
        <f>FP$3</f>
        <v>2021E/</v>
      </c>
      <c r="FQ357" s="502"/>
      <c r="FR357" s="504" t="str">
        <f>FR$3</f>
        <v>2022E/</v>
      </c>
      <c r="FS357" s="504" t="str">
        <f>FS$3</f>
        <v>5-Yr</v>
      </c>
      <c r="FT357" s="349"/>
    </row>
    <row r="358" spans="1:176" ht="12.75" hidden="1" customHeight="1" outlineLevel="2" x14ac:dyDescent="0.2">
      <c r="A358" s="492"/>
      <c r="B358" s="491"/>
      <c r="C358" s="490" t="str">
        <f>C$4</f>
        <v>1Q02</v>
      </c>
      <c r="D358" s="491"/>
      <c r="E358" s="490" t="str">
        <f>E$4</f>
        <v>2Q02</v>
      </c>
      <c r="F358" s="491"/>
      <c r="G358" s="490" t="str">
        <f>G$4</f>
        <v>3Q02</v>
      </c>
      <c r="H358" s="491"/>
      <c r="I358" s="490" t="str">
        <f>I$4</f>
        <v>4Q02</v>
      </c>
      <c r="J358" s="491"/>
      <c r="K358" s="490" t="str">
        <f>K$4</f>
        <v>1Q03</v>
      </c>
      <c r="L358" s="491"/>
      <c r="M358" s="490" t="str">
        <f>M$4</f>
        <v>2Q03</v>
      </c>
      <c r="N358" s="491"/>
      <c r="O358" s="490" t="str">
        <f>O$4</f>
        <v>3Q03</v>
      </c>
      <c r="P358" s="491"/>
      <c r="Q358" s="490" t="str">
        <f>Q$4</f>
        <v>4Q03</v>
      </c>
      <c r="R358" s="491"/>
      <c r="S358" s="490" t="str">
        <f>S$4</f>
        <v>1Q04</v>
      </c>
      <c r="T358" s="491"/>
      <c r="U358" s="490" t="str">
        <f>U$4</f>
        <v>2Q04</v>
      </c>
      <c r="V358" s="491"/>
      <c r="W358" s="490" t="str">
        <f>W$4</f>
        <v>3Q04</v>
      </c>
      <c r="X358" s="491"/>
      <c r="Y358" s="490" t="str">
        <f>Y$4</f>
        <v>4Q04</v>
      </c>
      <c r="Z358" s="491"/>
      <c r="AA358" s="490" t="str">
        <f>AA$4</f>
        <v>1Q05</v>
      </c>
      <c r="AB358" s="491"/>
      <c r="AC358" s="490" t="str">
        <f>AC$4</f>
        <v>2Q05</v>
      </c>
      <c r="AD358" s="491"/>
      <c r="AE358" s="490" t="str">
        <f>AE$4</f>
        <v>3Q05</v>
      </c>
      <c r="AF358" s="491"/>
      <c r="AG358" s="490" t="str">
        <f>AG$4</f>
        <v>4Q05</v>
      </c>
      <c r="AH358" s="491"/>
      <c r="AI358" s="489" t="str">
        <f>AI$4</f>
        <v>1Q06</v>
      </c>
      <c r="AJ358" s="491"/>
      <c r="AK358" s="489" t="str">
        <f>AK$4</f>
        <v>2Q06</v>
      </c>
      <c r="AL358" s="491"/>
      <c r="AM358" s="489" t="str">
        <f>AM$4</f>
        <v>3Q06</v>
      </c>
      <c r="AN358" s="491"/>
      <c r="AO358" s="489" t="str">
        <f>AO$4</f>
        <v>4Q06</v>
      </c>
      <c r="AP358" s="491"/>
      <c r="AQ358" s="489" t="str">
        <f>AQ$4</f>
        <v>1Q07</v>
      </c>
      <c r="AR358" s="491"/>
      <c r="AS358" s="489" t="str">
        <f>AS$4</f>
        <v>2Q07</v>
      </c>
      <c r="AT358" s="491"/>
      <c r="AU358" s="489" t="str">
        <f>AU$4</f>
        <v>3Q07</v>
      </c>
      <c r="AV358" s="491"/>
      <c r="AW358" s="489" t="str">
        <f>AW$4</f>
        <v>4Q07</v>
      </c>
      <c r="AX358" s="491"/>
      <c r="AY358" s="489" t="str">
        <f>AY$4</f>
        <v>1Q08</v>
      </c>
      <c r="AZ358" s="491"/>
      <c r="BA358" s="489" t="str">
        <f>BA$4</f>
        <v>2Q08</v>
      </c>
      <c r="BB358" s="491"/>
      <c r="BC358" s="489" t="str">
        <f>BC$4</f>
        <v>3Q08</v>
      </c>
      <c r="BD358" s="491"/>
      <c r="BE358" s="489" t="str">
        <f>BE$4</f>
        <v>4Q08</v>
      </c>
      <c r="BF358" s="491"/>
      <c r="BG358" s="489" t="str">
        <f>BG$4</f>
        <v>1Q09</v>
      </c>
      <c r="BH358" s="491"/>
      <c r="BI358" s="489" t="str">
        <f>BI$4</f>
        <v>2Q09</v>
      </c>
      <c r="BJ358" s="491"/>
      <c r="BK358" s="489" t="str">
        <f>BK$4</f>
        <v>3Q09</v>
      </c>
      <c r="BL358" s="491"/>
      <c r="BM358" s="489" t="str">
        <f>BM$4</f>
        <v>4Q09</v>
      </c>
      <c r="BN358" s="491"/>
      <c r="BO358" s="489" t="str">
        <f>BO$4</f>
        <v>1Q10</v>
      </c>
      <c r="BP358" s="491"/>
      <c r="BQ358" s="489" t="str">
        <f>BQ$4</f>
        <v>2Q10</v>
      </c>
      <c r="BR358" s="491"/>
      <c r="BS358" s="489" t="str">
        <f>BS$4</f>
        <v>3Q10</v>
      </c>
      <c r="BT358" s="491"/>
      <c r="BU358" s="489" t="str">
        <f>BU$4</f>
        <v>4Q10</v>
      </c>
      <c r="BV358" s="491"/>
      <c r="BW358" s="489" t="str">
        <f>BW$4</f>
        <v>1Q11</v>
      </c>
      <c r="BX358" s="491"/>
      <c r="BY358" s="489" t="str">
        <f>BY$4</f>
        <v>2Q11</v>
      </c>
      <c r="BZ358" s="491"/>
      <c r="CA358" s="489" t="str">
        <f>CA$4</f>
        <v>3Q11</v>
      </c>
      <c r="CB358" s="491"/>
      <c r="CC358" s="489" t="str">
        <f>CC$4</f>
        <v>4Q11</v>
      </c>
      <c r="CD358" s="491"/>
      <c r="CE358" s="489" t="str">
        <f>CE$4</f>
        <v>1Q12</v>
      </c>
      <c r="CF358" s="491"/>
      <c r="CG358" s="489" t="str">
        <f>CG$4</f>
        <v>2Q12</v>
      </c>
      <c r="CH358" s="491"/>
      <c r="CI358" s="489" t="str">
        <f>CI$4</f>
        <v>3Q12</v>
      </c>
      <c r="CJ358" s="491"/>
      <c r="CK358" s="489" t="str">
        <f>CK$4</f>
        <v>4Q12</v>
      </c>
      <c r="CL358" s="491"/>
      <c r="CM358" s="489" t="str">
        <f>CM$4</f>
        <v>1Q13</v>
      </c>
      <c r="CN358" s="491"/>
      <c r="CO358" s="489" t="str">
        <f>CO$4</f>
        <v>2Q13</v>
      </c>
      <c r="CP358" s="491"/>
      <c r="CQ358" s="489" t="str">
        <f>CQ$4</f>
        <v>3Q13</v>
      </c>
      <c r="CR358" s="491"/>
      <c r="CS358" s="489" t="str">
        <f>CS$4</f>
        <v>4Q13</v>
      </c>
      <c r="CT358" s="491"/>
      <c r="CU358" s="489" t="str">
        <f>CU$4</f>
        <v>1Q14</v>
      </c>
      <c r="CV358" s="491"/>
      <c r="CW358" s="489" t="str">
        <f>CW$4</f>
        <v>2Q14</v>
      </c>
      <c r="CX358" s="491"/>
      <c r="CY358" s="489" t="str">
        <f>CY$4</f>
        <v>3Q14</v>
      </c>
      <c r="CZ358" s="491"/>
      <c r="DA358" s="489" t="str">
        <f>DA$4</f>
        <v>4Q14</v>
      </c>
      <c r="DB358" s="491"/>
      <c r="DC358" s="489" t="str">
        <f>DC$4</f>
        <v>1Q15</v>
      </c>
      <c r="DD358" s="491"/>
      <c r="DE358" s="489" t="str">
        <f>DE$4</f>
        <v>2Q15</v>
      </c>
      <c r="DF358" s="491"/>
      <c r="DG358" s="489" t="str">
        <f>DG$4</f>
        <v>3Q15</v>
      </c>
      <c r="DH358" s="491"/>
      <c r="DI358" s="489" t="str">
        <f>DI$4</f>
        <v>4Q15</v>
      </c>
      <c r="DJ358" s="491"/>
      <c r="DK358" s="489" t="str">
        <f>DK$4</f>
        <v>1Q16</v>
      </c>
      <c r="DL358" s="491"/>
      <c r="DM358" s="489" t="str">
        <f>DM$4</f>
        <v>2Q16</v>
      </c>
      <c r="DN358" s="491"/>
      <c r="DO358" s="489" t="str">
        <f>DO$4</f>
        <v>3Q16</v>
      </c>
      <c r="DP358" s="491"/>
      <c r="DQ358" s="489" t="str">
        <f>DQ$4</f>
        <v>4Q16</v>
      </c>
      <c r="DR358" s="491"/>
      <c r="DS358" s="489" t="str">
        <f>DS$4</f>
        <v>1Q17</v>
      </c>
      <c r="DT358" s="491"/>
      <c r="DU358" s="489" t="str">
        <f>DU$4</f>
        <v>2Q17</v>
      </c>
      <c r="DV358" s="491"/>
      <c r="DW358" s="489" t="str">
        <f>DW$4</f>
        <v>3Q17</v>
      </c>
      <c r="DX358" s="491"/>
      <c r="DY358" s="489" t="str">
        <f>DY$4</f>
        <v>4Q17</v>
      </c>
      <c r="DZ358" s="491"/>
      <c r="EA358" s="489"/>
      <c r="EB358" s="490" t="str">
        <f>EB$4</f>
        <v>2000</v>
      </c>
      <c r="EC358" s="491"/>
      <c r="ED358" s="490" t="str">
        <f>ED$4</f>
        <v>2001</v>
      </c>
      <c r="EE358" s="491"/>
      <c r="EF358" s="490" t="str">
        <f>EF$4</f>
        <v>2002</v>
      </c>
      <c r="EG358" s="491"/>
      <c r="EH358" s="490" t="str">
        <f>EH$4</f>
        <v>2003</v>
      </c>
      <c r="EI358" s="491"/>
      <c r="EJ358" s="489">
        <f>EJ$4</f>
        <v>2004</v>
      </c>
      <c r="EK358" s="491"/>
      <c r="EL358" s="489" t="str">
        <f>EL$4</f>
        <v>2005</v>
      </c>
      <c r="EM358" s="491"/>
      <c r="EN358" s="489" t="str">
        <f>EN$4</f>
        <v>2006</v>
      </c>
      <c r="EO358" s="491"/>
      <c r="EP358" s="489">
        <f>EP$4</f>
        <v>2007</v>
      </c>
      <c r="EQ358" s="491"/>
      <c r="ER358" s="489" t="str">
        <f>ER$4</f>
        <v>2008</v>
      </c>
      <c r="ES358" s="491"/>
      <c r="ET358" s="489" t="str">
        <f>ET$4</f>
        <v>2009</v>
      </c>
      <c r="EU358" s="491"/>
      <c r="EV358" s="489" t="str">
        <f>EV$4</f>
        <v>2010</v>
      </c>
      <c r="EW358" s="491"/>
      <c r="EX358" s="489" t="str">
        <f>EX$4</f>
        <v>2011</v>
      </c>
      <c r="EY358" s="491"/>
      <c r="EZ358" s="489" t="str">
        <f>EZ$4</f>
        <v>2012</v>
      </c>
      <c r="FA358" s="491"/>
      <c r="FB358" s="489" t="str">
        <f>FB$4</f>
        <v>2013</v>
      </c>
      <c r="FC358" s="491"/>
      <c r="FD358" s="489">
        <f>FD$4</f>
        <v>2014</v>
      </c>
      <c r="FE358" s="491"/>
      <c r="FF358" s="489" t="str">
        <f>FF$4</f>
        <v>2015</v>
      </c>
      <c r="FG358" s="491"/>
      <c r="FH358" s="489">
        <f>FH$4</f>
        <v>2016</v>
      </c>
      <c r="FI358" s="491"/>
      <c r="FJ358" s="489">
        <f>FJ$4</f>
        <v>2017</v>
      </c>
      <c r="FK358" s="491"/>
      <c r="FL358" s="489" t="str">
        <f>FL$4</f>
        <v>2018E</v>
      </c>
      <c r="FM358" s="491"/>
      <c r="FN358" s="489" t="str">
        <f>FN$4</f>
        <v>2019E</v>
      </c>
      <c r="FO358" s="491"/>
      <c r="FP358" s="489" t="str">
        <f>FP$4</f>
        <v>2020E</v>
      </c>
      <c r="FQ358" s="491"/>
      <c r="FR358" s="489" t="str">
        <f>FR$4</f>
        <v>2021E</v>
      </c>
      <c r="FS358" s="489" t="str">
        <f>FS$4</f>
        <v>CAGR</v>
      </c>
      <c r="FT358" s="349"/>
    </row>
    <row r="359" spans="1:176" ht="12.75" hidden="1" customHeight="1" outlineLevel="2" x14ac:dyDescent="0.2">
      <c r="A359" s="493"/>
      <c r="B359" s="494" t="str">
        <f>+B$5</f>
        <v>1Q03</v>
      </c>
      <c r="C359" s="495" t="str">
        <f>C$5</f>
        <v>% Chg</v>
      </c>
      <c r="D359" s="494" t="str">
        <f>+D$5</f>
        <v>2Q03</v>
      </c>
      <c r="E359" s="495" t="str">
        <f>E$5</f>
        <v>% Chg</v>
      </c>
      <c r="F359" s="494" t="str">
        <f>+F$5</f>
        <v>3Q03</v>
      </c>
      <c r="G359" s="495" t="str">
        <f>G$5</f>
        <v>% Chg</v>
      </c>
      <c r="H359" s="494" t="str">
        <f>+H$5</f>
        <v>4Q03</v>
      </c>
      <c r="I359" s="495" t="str">
        <f>I$5</f>
        <v>% Chg</v>
      </c>
      <c r="J359" s="494" t="str">
        <f>+J$5</f>
        <v>1Q04</v>
      </c>
      <c r="K359" s="495" t="str">
        <f>K$5</f>
        <v>% Chg</v>
      </c>
      <c r="L359" s="494" t="str">
        <f>+L$5</f>
        <v>2Q04</v>
      </c>
      <c r="M359" s="495" t="str">
        <f>M$5</f>
        <v>% Chg</v>
      </c>
      <c r="N359" s="494" t="str">
        <f>+N$5</f>
        <v>3Q04</v>
      </c>
      <c r="O359" s="495" t="str">
        <f>O$5</f>
        <v>% Chg</v>
      </c>
      <c r="P359" s="494" t="str">
        <f>+P$5</f>
        <v>4Q04</v>
      </c>
      <c r="Q359" s="495" t="str">
        <f>Q$5</f>
        <v>% Chg</v>
      </c>
      <c r="R359" s="494" t="str">
        <f>+R$5</f>
        <v>1Q05</v>
      </c>
      <c r="S359" s="495" t="str">
        <f>S$5</f>
        <v>% Chg</v>
      </c>
      <c r="T359" s="494" t="str">
        <f>+T$5</f>
        <v>2Q05</v>
      </c>
      <c r="U359" s="495" t="str">
        <f>U$5</f>
        <v>% Chg</v>
      </c>
      <c r="V359" s="494" t="str">
        <f>+V$5</f>
        <v>3Q05</v>
      </c>
      <c r="W359" s="495" t="str">
        <f>W$5</f>
        <v>% Chg</v>
      </c>
      <c r="X359" s="494" t="str">
        <f>+X$5</f>
        <v>4Q05</v>
      </c>
      <c r="Y359" s="495" t="str">
        <f>Y$5</f>
        <v>% Chg</v>
      </c>
      <c r="Z359" s="494" t="str">
        <f>+Z$5</f>
        <v>1Q06</v>
      </c>
      <c r="AA359" s="495" t="str">
        <f>AA$5</f>
        <v>% Chg</v>
      </c>
      <c r="AB359" s="494" t="str">
        <f>+AB$5</f>
        <v>2Q06</v>
      </c>
      <c r="AC359" s="495" t="str">
        <f>AC$5</f>
        <v>% Chg</v>
      </c>
      <c r="AD359" s="494" t="str">
        <f>+AD$5</f>
        <v>3Q06</v>
      </c>
      <c r="AE359" s="495" t="str">
        <f>AE$5</f>
        <v>% Chg</v>
      </c>
      <c r="AF359" s="494" t="str">
        <f>+AF$5</f>
        <v>4Q06</v>
      </c>
      <c r="AG359" s="495" t="str">
        <f>AG$5</f>
        <v>% Chg</v>
      </c>
      <c r="AH359" s="494" t="str">
        <f>+AH$5</f>
        <v>1Q07</v>
      </c>
      <c r="AI359" s="496" t="str">
        <f>AI$5</f>
        <v>% Chg</v>
      </c>
      <c r="AJ359" s="494" t="str">
        <f>+AJ$5</f>
        <v>2Q07</v>
      </c>
      <c r="AK359" s="496" t="str">
        <f>AK$5</f>
        <v>% Chg</v>
      </c>
      <c r="AL359" s="494" t="str">
        <f>+AL$5</f>
        <v>3Q07</v>
      </c>
      <c r="AM359" s="496" t="str">
        <f>AM$5</f>
        <v>% Chg</v>
      </c>
      <c r="AN359" s="494" t="str">
        <f>+AN$5</f>
        <v>4Q07</v>
      </c>
      <c r="AO359" s="496" t="str">
        <f>AO$5</f>
        <v>% Chg</v>
      </c>
      <c r="AP359" s="494" t="str">
        <f>+AP$5</f>
        <v>1Q08</v>
      </c>
      <c r="AQ359" s="496" t="str">
        <f>AQ$5</f>
        <v>% Chg</v>
      </c>
      <c r="AR359" s="494" t="str">
        <f>+AR$5</f>
        <v>2Q08</v>
      </c>
      <c r="AS359" s="496" t="str">
        <f>AS$5</f>
        <v>% Chg</v>
      </c>
      <c r="AT359" s="494" t="str">
        <f>+AT$5</f>
        <v>3Q08</v>
      </c>
      <c r="AU359" s="496" t="str">
        <f>AU$5</f>
        <v>% Chg</v>
      </c>
      <c r="AV359" s="494" t="str">
        <f>+AV$5</f>
        <v>4Q08</v>
      </c>
      <c r="AW359" s="496" t="str">
        <f>AW$5</f>
        <v>% Chg</v>
      </c>
      <c r="AX359" s="494" t="str">
        <f>+AX$5</f>
        <v>1Q09</v>
      </c>
      <c r="AY359" s="496" t="str">
        <f>AY$5</f>
        <v>% Chg</v>
      </c>
      <c r="AZ359" s="494" t="str">
        <f>+AZ$5</f>
        <v>2Q09</v>
      </c>
      <c r="BA359" s="496" t="str">
        <f>BA$5</f>
        <v>% Chg</v>
      </c>
      <c r="BB359" s="494" t="str">
        <f>+BB$5</f>
        <v>3Q09</v>
      </c>
      <c r="BC359" s="496" t="str">
        <f>BC$5</f>
        <v>% Chg</v>
      </c>
      <c r="BD359" s="494" t="str">
        <f>+BD$5</f>
        <v>4Q09</v>
      </c>
      <c r="BE359" s="496" t="str">
        <f>BE$5</f>
        <v>% Chg</v>
      </c>
      <c r="BF359" s="494" t="str">
        <f>+BF$5</f>
        <v>1Q10</v>
      </c>
      <c r="BG359" s="496" t="str">
        <f>BG$5</f>
        <v>% Chg</v>
      </c>
      <c r="BH359" s="494" t="str">
        <f>+BH$5</f>
        <v>2Q10</v>
      </c>
      <c r="BI359" s="496" t="str">
        <f>BI$5</f>
        <v>% Chg</v>
      </c>
      <c r="BJ359" s="494" t="str">
        <f>+BJ$5</f>
        <v>3Q10</v>
      </c>
      <c r="BK359" s="496" t="str">
        <f>BK$5</f>
        <v>% Chg</v>
      </c>
      <c r="BL359" s="494" t="str">
        <f>+BL$5</f>
        <v>4Q10</v>
      </c>
      <c r="BM359" s="496" t="str">
        <f>BM$5</f>
        <v>% Chg</v>
      </c>
      <c r="BN359" s="494" t="str">
        <f>+BN$5</f>
        <v>1Q11</v>
      </c>
      <c r="BO359" s="496" t="str">
        <f>BO$5</f>
        <v>% Chg</v>
      </c>
      <c r="BP359" s="494" t="str">
        <f>+BP$5</f>
        <v>2Q11</v>
      </c>
      <c r="BQ359" s="496" t="str">
        <f>BQ$5</f>
        <v>% Chg</v>
      </c>
      <c r="BR359" s="494" t="str">
        <f>+BR$5</f>
        <v>3Q11</v>
      </c>
      <c r="BS359" s="496" t="str">
        <f>BS$5</f>
        <v>% Chg</v>
      </c>
      <c r="BT359" s="494" t="str">
        <f>+BT$5</f>
        <v>4Q11</v>
      </c>
      <c r="BU359" s="496" t="str">
        <f>BU$5</f>
        <v>% Chg</v>
      </c>
      <c r="BV359" s="494" t="str">
        <f>+BV$5</f>
        <v>1Q12</v>
      </c>
      <c r="BW359" s="496" t="str">
        <f>BW$5</f>
        <v>% Chg</v>
      </c>
      <c r="BX359" s="494" t="str">
        <f>+BX$5</f>
        <v>2Q12</v>
      </c>
      <c r="BY359" s="496" t="str">
        <f>BY$5</f>
        <v>% Chg</v>
      </c>
      <c r="BZ359" s="494" t="str">
        <f>+BZ$5</f>
        <v>3Q12</v>
      </c>
      <c r="CA359" s="496" t="str">
        <f>CA$5</f>
        <v>% Chg</v>
      </c>
      <c r="CB359" s="494" t="str">
        <f>+CB$5</f>
        <v>4Q12</v>
      </c>
      <c r="CC359" s="496" t="str">
        <f>CC$5</f>
        <v>% Chg</v>
      </c>
      <c r="CD359" s="494" t="str">
        <f>+CD$5</f>
        <v>1Q13</v>
      </c>
      <c r="CE359" s="496" t="str">
        <f>CE$5</f>
        <v>% Chg</v>
      </c>
      <c r="CF359" s="494" t="str">
        <f>+CF$5</f>
        <v>2Q13</v>
      </c>
      <c r="CG359" s="496" t="str">
        <f>CG$5</f>
        <v>% Chg</v>
      </c>
      <c r="CH359" s="494" t="str">
        <f>+CH$5</f>
        <v>3Q13</v>
      </c>
      <c r="CI359" s="496" t="str">
        <f>CI$5</f>
        <v>% Chg</v>
      </c>
      <c r="CJ359" s="494" t="str">
        <f>+CJ$5</f>
        <v>4Q13</v>
      </c>
      <c r="CK359" s="496" t="str">
        <f>CK$5</f>
        <v>% Chg</v>
      </c>
      <c r="CL359" s="494" t="str">
        <f>+CL$5</f>
        <v>1Q14</v>
      </c>
      <c r="CM359" s="496" t="str">
        <f>CM$5</f>
        <v>% Chg</v>
      </c>
      <c r="CN359" s="494" t="str">
        <f>+CN$5</f>
        <v>2Q14</v>
      </c>
      <c r="CO359" s="496" t="str">
        <f>CO$5</f>
        <v>% Chg</v>
      </c>
      <c r="CP359" s="494" t="str">
        <f>+CP$5</f>
        <v>3Q14</v>
      </c>
      <c r="CQ359" s="496" t="str">
        <f>CQ$5</f>
        <v>% Chg</v>
      </c>
      <c r="CR359" s="494" t="str">
        <f>+CR$5</f>
        <v>4Q14</v>
      </c>
      <c r="CS359" s="496" t="str">
        <f>CS$5</f>
        <v>% Chg</v>
      </c>
      <c r="CT359" s="494" t="str">
        <f>+CT$5</f>
        <v>1Q15</v>
      </c>
      <c r="CU359" s="496" t="str">
        <f>CU$5</f>
        <v>% Chg</v>
      </c>
      <c r="CV359" s="494" t="str">
        <f>+CV$5</f>
        <v>2Q15</v>
      </c>
      <c r="CW359" s="496" t="str">
        <f>CW$5</f>
        <v>% Chg</v>
      </c>
      <c r="CX359" s="494" t="str">
        <f>+CX$5</f>
        <v>3Q15</v>
      </c>
      <c r="CY359" s="496" t="str">
        <f>CY$5</f>
        <v>% Chg</v>
      </c>
      <c r="CZ359" s="494" t="str">
        <f>+CZ$5</f>
        <v>4Q15</v>
      </c>
      <c r="DA359" s="496" t="str">
        <f>DA$5</f>
        <v>% Chg</v>
      </c>
      <c r="DB359" s="494" t="str">
        <f>+DB$5</f>
        <v>1Q16</v>
      </c>
      <c r="DC359" s="496" t="str">
        <f>DC$5</f>
        <v>% Chg</v>
      </c>
      <c r="DD359" s="494" t="str">
        <f>+DD$5</f>
        <v>2Q16</v>
      </c>
      <c r="DE359" s="496" t="str">
        <f>DE$5</f>
        <v>% Chg</v>
      </c>
      <c r="DF359" s="494" t="str">
        <f>+DF$5</f>
        <v>3Q16</v>
      </c>
      <c r="DG359" s="496" t="str">
        <f>DG$5</f>
        <v>% Chg</v>
      </c>
      <c r="DH359" s="494" t="str">
        <f>+DH$5</f>
        <v>4Q16</v>
      </c>
      <c r="DI359" s="496" t="str">
        <f>DI$5</f>
        <v>% Chg</v>
      </c>
      <c r="DJ359" s="494" t="str">
        <f>+DJ$5</f>
        <v>1Q17</v>
      </c>
      <c r="DK359" s="496" t="str">
        <f>DK$5</f>
        <v>% Chg</v>
      </c>
      <c r="DL359" s="494" t="str">
        <f>+DL$5</f>
        <v>2Q17</v>
      </c>
      <c r="DM359" s="496" t="str">
        <f>DM$5</f>
        <v>% Chg</v>
      </c>
      <c r="DN359" s="494" t="str">
        <f>+DN$5</f>
        <v>3Q17</v>
      </c>
      <c r="DO359" s="496" t="str">
        <f>DO$5</f>
        <v>% Chg</v>
      </c>
      <c r="DP359" s="494" t="str">
        <f>+DP$5</f>
        <v>4Q17</v>
      </c>
      <c r="DQ359" s="496" t="str">
        <f>DQ$5</f>
        <v>% Chg</v>
      </c>
      <c r="DR359" s="494" t="str">
        <f>+DR$5</f>
        <v>1Q18E</v>
      </c>
      <c r="DS359" s="496" t="str">
        <f>DS$5</f>
        <v>% Chg</v>
      </c>
      <c r="DT359" s="494" t="str">
        <f>+DT$5</f>
        <v>2Q18E</v>
      </c>
      <c r="DU359" s="496" t="str">
        <f>DU$5</f>
        <v>% Chg</v>
      </c>
      <c r="DV359" s="494" t="str">
        <f>+DV$5</f>
        <v>3Q18E</v>
      </c>
      <c r="DW359" s="496" t="str">
        <f>DW$5</f>
        <v>% Chg</v>
      </c>
      <c r="DX359" s="494" t="str">
        <f>+DX$5</f>
        <v>4Q18E</v>
      </c>
      <c r="DY359" s="496" t="str">
        <f>DY$5</f>
        <v>% Chg</v>
      </c>
      <c r="DZ359" s="494"/>
      <c r="EA359" s="496"/>
      <c r="EB359" s="495" t="str">
        <f>EB$5</f>
        <v>% Chg</v>
      </c>
      <c r="EC359" s="494" t="str">
        <f t="shared" ref="EC359:FQ359" si="24">+EC$5</f>
        <v>2002</v>
      </c>
      <c r="ED359" s="495" t="str">
        <f>ED$5</f>
        <v>% Chg</v>
      </c>
      <c r="EE359" s="494" t="str">
        <f t="shared" si="24"/>
        <v>2003</v>
      </c>
      <c r="EF359" s="495" t="str">
        <f>EF$5</f>
        <v>% Chg</v>
      </c>
      <c r="EG359" s="494">
        <f t="shared" si="24"/>
        <v>2004</v>
      </c>
      <c r="EH359" s="495" t="str">
        <f>EH$5</f>
        <v>% Chg</v>
      </c>
      <c r="EI359" s="494" t="str">
        <f t="shared" si="24"/>
        <v>2005</v>
      </c>
      <c r="EJ359" s="496" t="str">
        <f>EJ$5</f>
        <v>% Chg</v>
      </c>
      <c r="EK359" s="494" t="str">
        <f t="shared" si="24"/>
        <v>2006</v>
      </c>
      <c r="EL359" s="496" t="str">
        <f>EL$5</f>
        <v>% Chg</v>
      </c>
      <c r="EM359" s="494">
        <f t="shared" si="24"/>
        <v>2007</v>
      </c>
      <c r="EN359" s="496" t="str">
        <f>EN$5</f>
        <v>% Chg</v>
      </c>
      <c r="EO359" s="494" t="str">
        <f t="shared" si="24"/>
        <v>2008</v>
      </c>
      <c r="EP359" s="496" t="str">
        <f>EP$5</f>
        <v>% Chg</v>
      </c>
      <c r="EQ359" s="494" t="str">
        <f t="shared" si="24"/>
        <v>2009</v>
      </c>
      <c r="ER359" s="496" t="str">
        <f>ER$5</f>
        <v>% Chg</v>
      </c>
      <c r="ES359" s="494" t="str">
        <f t="shared" si="24"/>
        <v>2010</v>
      </c>
      <c r="ET359" s="496" t="str">
        <f>ET$5</f>
        <v>% Chg</v>
      </c>
      <c r="EU359" s="494" t="str">
        <f t="shared" si="24"/>
        <v>2011</v>
      </c>
      <c r="EV359" s="496" t="str">
        <f>EV$5</f>
        <v>% Chg</v>
      </c>
      <c r="EW359" s="494" t="str">
        <f t="shared" si="24"/>
        <v>2012</v>
      </c>
      <c r="EX359" s="496" t="str">
        <f>EX$5</f>
        <v>% Chg</v>
      </c>
      <c r="EY359" s="494" t="str">
        <f t="shared" si="24"/>
        <v>2013</v>
      </c>
      <c r="EZ359" s="496" t="str">
        <f>EZ$5</f>
        <v>% Chg</v>
      </c>
      <c r="FA359" s="494">
        <f t="shared" si="24"/>
        <v>2014</v>
      </c>
      <c r="FB359" s="496" t="str">
        <f>FB$5</f>
        <v>% Chg</v>
      </c>
      <c r="FC359" s="494" t="str">
        <f t="shared" si="24"/>
        <v>2015</v>
      </c>
      <c r="FD359" s="496" t="str">
        <f>FD$5</f>
        <v>% Chg</v>
      </c>
      <c r="FE359" s="494">
        <f t="shared" si="24"/>
        <v>2016</v>
      </c>
      <c r="FF359" s="496" t="str">
        <f>FF$5</f>
        <v>% Chg</v>
      </c>
      <c r="FG359" s="494">
        <f t="shared" si="24"/>
        <v>2017</v>
      </c>
      <c r="FH359" s="496" t="str">
        <f>FH$5</f>
        <v>% Chg</v>
      </c>
      <c r="FI359" s="494" t="str">
        <f t="shared" si="24"/>
        <v>2018E</v>
      </c>
      <c r="FJ359" s="496" t="str">
        <f>FJ$5</f>
        <v>% Chg</v>
      </c>
      <c r="FK359" s="494" t="str">
        <f t="shared" si="24"/>
        <v>2019E</v>
      </c>
      <c r="FL359" s="496" t="str">
        <f>FL$5</f>
        <v>% Chg</v>
      </c>
      <c r="FM359" s="494" t="str">
        <f t="shared" si="24"/>
        <v>2020E</v>
      </c>
      <c r="FN359" s="496" t="str">
        <f>FN$5</f>
        <v>% Chg</v>
      </c>
      <c r="FO359" s="494" t="str">
        <f t="shared" si="24"/>
        <v>2021E</v>
      </c>
      <c r="FP359" s="496" t="str">
        <f>FP$5</f>
        <v>% Chg</v>
      </c>
      <c r="FQ359" s="494" t="str">
        <f t="shared" si="24"/>
        <v>2022E</v>
      </c>
      <c r="FR359" s="496" t="str">
        <f>FR$5</f>
        <v>% Chg</v>
      </c>
      <c r="FS359" s="496" t="str">
        <f>FS$5</f>
        <v>(%)</v>
      </c>
      <c r="FT359" s="349"/>
    </row>
    <row r="360" spans="1:176" ht="12.75" hidden="1" customHeight="1" outlineLevel="2" x14ac:dyDescent="0.2">
      <c r="A360" s="70"/>
      <c r="B360" s="497"/>
      <c r="C360" s="155"/>
      <c r="D360" s="497"/>
      <c r="E360" s="155"/>
      <c r="F360" s="497"/>
      <c r="G360" s="155"/>
      <c r="H360" s="497"/>
      <c r="I360" s="155"/>
      <c r="J360" s="497"/>
      <c r="K360" s="155"/>
      <c r="L360" s="497"/>
      <c r="M360" s="155"/>
      <c r="N360" s="497"/>
      <c r="O360" s="155"/>
      <c r="P360" s="497"/>
      <c r="Q360" s="155"/>
      <c r="R360" s="497"/>
      <c r="S360" s="155"/>
      <c r="T360" s="497"/>
      <c r="U360" s="155"/>
      <c r="V360" s="497"/>
      <c r="W360" s="155"/>
      <c r="X360" s="497"/>
      <c r="Y360" s="155"/>
      <c r="Z360" s="497"/>
      <c r="AA360" s="155"/>
      <c r="AB360" s="497"/>
      <c r="AC360" s="155"/>
      <c r="AD360" s="497"/>
      <c r="AE360" s="155"/>
      <c r="AF360" s="497"/>
      <c r="AG360" s="155"/>
      <c r="AH360" s="497"/>
      <c r="AI360" s="240"/>
      <c r="AJ360" s="497"/>
      <c r="AK360" s="240"/>
      <c r="AL360" s="497"/>
      <c r="AM360" s="240"/>
      <c r="AN360" s="497"/>
      <c r="AO360" s="240"/>
      <c r="AP360" s="497"/>
      <c r="AQ360" s="240"/>
      <c r="AR360" s="497"/>
      <c r="AS360" s="240"/>
      <c r="AT360" s="497"/>
      <c r="AU360" s="240"/>
      <c r="AV360" s="497"/>
      <c r="AW360" s="240"/>
      <c r="AX360" s="497"/>
      <c r="AY360" s="240"/>
      <c r="AZ360" s="497"/>
      <c r="BA360" s="240"/>
      <c r="BB360" s="497"/>
      <c r="BC360" s="240"/>
      <c r="BD360" s="497"/>
      <c r="BE360" s="240"/>
      <c r="BF360" s="497"/>
      <c r="BG360" s="240"/>
      <c r="BH360" s="497"/>
      <c r="BI360" s="240"/>
      <c r="BJ360" s="497"/>
      <c r="BK360" s="240"/>
      <c r="BL360" s="497"/>
      <c r="BM360" s="240"/>
      <c r="BN360" s="497"/>
      <c r="BO360" s="240"/>
      <c r="BP360" s="497"/>
      <c r="BQ360" s="240"/>
      <c r="BR360" s="497"/>
      <c r="BS360" s="240"/>
      <c r="BT360" s="497"/>
      <c r="BU360" s="240"/>
      <c r="BV360" s="497"/>
      <c r="BW360" s="240"/>
      <c r="BX360" s="497"/>
      <c r="BY360" s="240"/>
      <c r="BZ360" s="497"/>
      <c r="CA360" s="240"/>
      <c r="CB360" s="497"/>
      <c r="CC360" s="240"/>
      <c r="CD360" s="497"/>
      <c r="CE360" s="240"/>
      <c r="CF360" s="497"/>
      <c r="CG360" s="240"/>
      <c r="CH360" s="497"/>
      <c r="CI360" s="240"/>
      <c r="CJ360" s="497"/>
      <c r="CK360" s="240"/>
      <c r="CL360" s="497"/>
      <c r="CM360" s="240"/>
      <c r="CN360" s="497"/>
      <c r="CO360" s="240"/>
      <c r="CP360" s="497"/>
      <c r="CQ360" s="240"/>
      <c r="CR360" s="497"/>
      <c r="CS360" s="240"/>
      <c r="CT360" s="497"/>
      <c r="CU360" s="240"/>
      <c r="CV360" s="497"/>
      <c r="CW360" s="240"/>
      <c r="CX360" s="497"/>
      <c r="CY360" s="240"/>
      <c r="CZ360" s="497"/>
      <c r="DA360" s="240"/>
      <c r="DB360" s="497"/>
      <c r="DC360" s="240"/>
      <c r="DD360" s="497"/>
      <c r="DE360" s="240"/>
      <c r="DF360" s="497"/>
      <c r="DG360" s="240"/>
      <c r="DH360" s="497"/>
      <c r="DI360" s="240"/>
      <c r="DJ360" s="497"/>
      <c r="DK360" s="240"/>
      <c r="DL360" s="497"/>
      <c r="DM360" s="240"/>
      <c r="DN360" s="497"/>
      <c r="DO360" s="240"/>
      <c r="DP360" s="497"/>
      <c r="DQ360" s="240"/>
      <c r="DR360" s="497"/>
      <c r="DS360" s="240"/>
      <c r="DT360" s="497"/>
      <c r="DU360" s="240"/>
      <c r="DV360" s="497"/>
      <c r="DW360" s="240"/>
      <c r="DX360" s="497"/>
      <c r="DY360" s="240"/>
      <c r="DZ360" s="497"/>
      <c r="EA360" s="240"/>
      <c r="EB360" s="155"/>
      <c r="EC360" s="497"/>
      <c r="ED360" s="155"/>
      <c r="EE360" s="497"/>
      <c r="EF360" s="155"/>
      <c r="EG360" s="497"/>
      <c r="EH360" s="155"/>
      <c r="EI360" s="497"/>
      <c r="EJ360" s="240"/>
      <c r="EK360" s="497"/>
      <c r="EL360" s="240"/>
      <c r="EM360" s="497"/>
      <c r="EN360" s="240"/>
      <c r="EO360" s="497"/>
      <c r="EP360" s="240"/>
      <c r="EQ360" s="497"/>
      <c r="ER360" s="240"/>
      <c r="ES360" s="497"/>
      <c r="ET360" s="240"/>
      <c r="EU360" s="497"/>
      <c r="EV360" s="240"/>
      <c r="EW360" s="497"/>
      <c r="EX360" s="240"/>
      <c r="EY360" s="497"/>
      <c r="EZ360" s="240"/>
      <c r="FA360" s="497"/>
      <c r="FB360" s="240"/>
      <c r="FC360" s="497"/>
      <c r="FD360" s="240"/>
      <c r="FE360" s="497"/>
      <c r="FF360" s="240"/>
      <c r="FG360" s="497"/>
      <c r="FH360" s="240"/>
      <c r="FI360" s="497"/>
      <c r="FJ360" s="240"/>
      <c r="FK360" s="497"/>
      <c r="FL360" s="240"/>
      <c r="FM360" s="497"/>
      <c r="FN360" s="240"/>
      <c r="FO360" s="497"/>
      <c r="FP360" s="240"/>
      <c r="FQ360" s="497"/>
      <c r="FR360" s="240"/>
      <c r="FS360" s="240"/>
    </row>
    <row r="361" spans="1:176" ht="12.75" hidden="1" customHeight="1" outlineLevel="2" x14ac:dyDescent="0.2">
      <c r="A361" s="70" t="s">
        <v>216</v>
      </c>
      <c r="B361" s="75"/>
      <c r="C361" s="487"/>
      <c r="D361" s="510"/>
      <c r="E361" s="487"/>
      <c r="F361" s="510"/>
      <c r="G361" s="487"/>
      <c r="H361" s="510"/>
      <c r="I361" s="487"/>
      <c r="J361" s="75"/>
      <c r="K361" s="487"/>
      <c r="L361" s="510"/>
      <c r="M361" s="487"/>
      <c r="N361" s="510"/>
      <c r="O361" s="487"/>
      <c r="P361" s="510"/>
      <c r="Q361" s="487"/>
      <c r="R361" s="510"/>
      <c r="S361" s="487"/>
      <c r="T361" s="510"/>
      <c r="U361" s="487"/>
      <c r="V361" s="510"/>
      <c r="W361" s="487"/>
      <c r="X361" s="510"/>
      <c r="Y361" s="487"/>
      <c r="Z361" s="510"/>
      <c r="AA361" s="487"/>
      <c r="AB361" s="510"/>
      <c r="AC361" s="487"/>
      <c r="AD361" s="510"/>
      <c r="AE361" s="487"/>
      <c r="AF361" s="510"/>
      <c r="AG361" s="487"/>
      <c r="AH361" s="75"/>
      <c r="AI361" s="486"/>
      <c r="AJ361" s="75"/>
      <c r="AK361" s="486"/>
      <c r="AL361" s="75"/>
      <c r="AM361" s="486"/>
      <c r="AN361" s="75"/>
      <c r="AO361" s="486"/>
      <c r="AP361" s="75"/>
      <c r="AQ361" s="486"/>
      <c r="AR361" s="75"/>
      <c r="AS361" s="486"/>
      <c r="AT361" s="75"/>
      <c r="AU361" s="486"/>
      <c r="AV361" s="75"/>
      <c r="AW361" s="486"/>
      <c r="AX361" s="75"/>
      <c r="AY361" s="486"/>
      <c r="AZ361" s="75"/>
      <c r="BA361" s="486"/>
      <c r="BB361" s="75"/>
      <c r="BC361" s="486"/>
      <c r="BD361" s="75"/>
      <c r="BE361" s="486"/>
      <c r="BF361" s="75"/>
      <c r="BG361" s="486"/>
      <c r="BH361" s="75"/>
      <c r="BI361" s="486"/>
      <c r="BJ361" s="75"/>
      <c r="BK361" s="486"/>
      <c r="BL361" s="75"/>
      <c r="BM361" s="486"/>
      <c r="BN361" s="75"/>
      <c r="BO361" s="486"/>
      <c r="BP361" s="75"/>
      <c r="BQ361" s="486"/>
      <c r="BR361" s="75"/>
      <c r="BS361" s="486"/>
      <c r="BT361" s="75"/>
      <c r="BU361" s="486"/>
      <c r="BV361" s="75"/>
      <c r="BW361" s="486"/>
      <c r="BX361" s="75"/>
      <c r="BY361" s="486"/>
      <c r="BZ361" s="75"/>
      <c r="CA361" s="486"/>
      <c r="CB361" s="75"/>
      <c r="CC361" s="486"/>
      <c r="CD361" s="75"/>
      <c r="CE361" s="486"/>
      <c r="CF361" s="75"/>
      <c r="CG361" s="486"/>
      <c r="CH361" s="75"/>
      <c r="CI361" s="486"/>
      <c r="CJ361" s="75"/>
      <c r="CK361" s="486"/>
      <c r="CL361" s="75"/>
      <c r="CM361" s="486"/>
      <c r="CN361" s="75"/>
      <c r="CO361" s="486"/>
      <c r="CP361" s="75"/>
      <c r="CQ361" s="486"/>
      <c r="CR361" s="75"/>
      <c r="CS361" s="486"/>
      <c r="CT361" s="75"/>
      <c r="CU361" s="486"/>
      <c r="CV361" s="75"/>
      <c r="CW361" s="486"/>
      <c r="CX361" s="75"/>
      <c r="CY361" s="486"/>
      <c r="CZ361" s="75"/>
      <c r="DA361" s="486"/>
      <c r="DB361" s="75"/>
      <c r="DC361" s="486"/>
      <c r="DD361" s="75"/>
      <c r="DE361" s="486"/>
      <c r="DF361" s="75"/>
      <c r="DG361" s="486"/>
      <c r="DH361" s="75"/>
      <c r="DI361" s="486"/>
      <c r="DJ361" s="75"/>
      <c r="DK361" s="486"/>
      <c r="DL361" s="75"/>
      <c r="DM361" s="486"/>
      <c r="DN361" s="75"/>
      <c r="DO361" s="486"/>
      <c r="DP361" s="75"/>
      <c r="DQ361" s="486"/>
      <c r="DR361" s="75"/>
      <c r="DS361" s="486"/>
      <c r="DT361" s="75"/>
      <c r="DU361" s="486"/>
      <c r="DV361" s="75"/>
      <c r="DW361" s="486"/>
      <c r="DX361" s="75"/>
      <c r="DY361" s="486"/>
      <c r="DZ361" s="75"/>
      <c r="EA361" s="486"/>
      <c r="EB361" s="487"/>
      <c r="EC361" s="510"/>
      <c r="ED361" s="487"/>
      <c r="EE361" s="510"/>
      <c r="EF361" s="487"/>
      <c r="EG361" s="510"/>
      <c r="EH361" s="487"/>
      <c r="EI361" s="510"/>
      <c r="EJ361" s="486"/>
      <c r="EK361" s="75"/>
      <c r="EL361" s="486"/>
      <c r="EM361" s="75"/>
      <c r="EN361" s="486"/>
      <c r="EO361" s="75"/>
      <c r="EP361" s="486"/>
      <c r="EQ361" s="75"/>
      <c r="ER361" s="486"/>
      <c r="ES361" s="75"/>
      <c r="ET361" s="486"/>
      <c r="EU361" s="75"/>
      <c r="EV361" s="486"/>
      <c r="EW361" s="75"/>
      <c r="EX361" s="486"/>
      <c r="EY361" s="75"/>
      <c r="EZ361" s="486"/>
      <c r="FA361" s="75"/>
      <c r="FB361" s="486"/>
      <c r="FC361" s="75"/>
      <c r="FD361" s="486"/>
      <c r="FE361" s="75"/>
      <c r="FF361" s="486"/>
      <c r="FG361" s="75"/>
      <c r="FH361" s="486"/>
      <c r="FI361" s="75"/>
      <c r="FJ361" s="486"/>
      <c r="FK361" s="75"/>
      <c r="FL361" s="486"/>
      <c r="FM361" s="75"/>
      <c r="FN361" s="486"/>
      <c r="FO361" s="75"/>
      <c r="FP361" s="486"/>
      <c r="FQ361" s="75"/>
      <c r="FR361" s="486"/>
      <c r="FS361" s="486"/>
    </row>
    <row r="362" spans="1:176" ht="12.75" hidden="1" customHeight="1" outlineLevel="2" x14ac:dyDescent="0.2">
      <c r="A362" s="246" t="str">
        <f>+INPUT!B340</f>
        <v>Joint Venture Earnings, Before Trans Costs</v>
      </c>
      <c r="B362" s="75"/>
      <c r="C362" s="155"/>
      <c r="D362" s="75"/>
      <c r="E362" s="155"/>
      <c r="F362" s="75">
        <f>+INPUT!AE340</f>
        <v>47</v>
      </c>
      <c r="G362" s="155" t="str">
        <f>+INPUT!AF340</f>
        <v>NA</v>
      </c>
      <c r="H362" s="75">
        <f>+INPUT!AG340</f>
        <v>41</v>
      </c>
      <c r="I362" s="155" t="str">
        <f>+INPUT!AH340</f>
        <v>NA</v>
      </c>
      <c r="J362" s="75">
        <f>+INPUT!AI340</f>
        <v>54</v>
      </c>
      <c r="K362" s="155" t="str">
        <f>+INPUT!AJ340</f>
        <v>NA</v>
      </c>
      <c r="L362" s="75">
        <f>+INPUT!AK340</f>
        <v>36</v>
      </c>
      <c r="M362" s="155" t="str">
        <f>+INPUT!AL340</f>
        <v>NA</v>
      </c>
      <c r="N362" s="75">
        <f>+INPUT!AM340</f>
        <v>28</v>
      </c>
      <c r="O362" s="155">
        <f>+INPUT!AN340</f>
        <v>-40.425531914893618</v>
      </c>
      <c r="P362" s="75">
        <f>+INPUT!AO340</f>
        <v>54</v>
      </c>
      <c r="Q362" s="155">
        <f>+INPUT!AP340</f>
        <v>31.707317073170742</v>
      </c>
      <c r="R362" s="75">
        <f>+INPUT!AQ340</f>
        <v>50</v>
      </c>
      <c r="S362" s="155">
        <f>+INPUT!AR340</f>
        <v>-7.4074074074074048</v>
      </c>
      <c r="T362" s="75">
        <f>+INPUT!AS340</f>
        <v>47</v>
      </c>
      <c r="U362" s="155">
        <f>+INPUT!AT340</f>
        <v>30.555555555555571</v>
      </c>
      <c r="V362" s="75">
        <f>+INPUT!AU340</f>
        <v>59</v>
      </c>
      <c r="W362" s="155" t="str">
        <f>+INPUT!AV340</f>
        <v>NM</v>
      </c>
      <c r="X362" s="75">
        <f>+INPUT!AW340</f>
        <v>61</v>
      </c>
      <c r="Y362" s="155">
        <f>+INPUT!AX340</f>
        <v>12.962962962962948</v>
      </c>
      <c r="Z362" s="75">
        <f>+INPUT!AY340</f>
        <v>69</v>
      </c>
      <c r="AA362" s="155">
        <f>+INPUT!AZ340</f>
        <v>38</v>
      </c>
      <c r="AB362" s="75">
        <f>+INPUT!BA340</f>
        <v>60</v>
      </c>
      <c r="AC362" s="155">
        <f>+INPUT!BB340</f>
        <v>27.659574468085111</v>
      </c>
      <c r="AD362" s="75">
        <f>+INPUT!BC340</f>
        <v>73</v>
      </c>
      <c r="AE362" s="155">
        <f>+INPUT!BD340</f>
        <v>23.728813559322035</v>
      </c>
      <c r="AF362" s="75">
        <f>+INPUT!BE340</f>
        <v>92</v>
      </c>
      <c r="AG362" s="155">
        <f>+INPUT!BF340</f>
        <v>50.819672131147541</v>
      </c>
      <c r="AH362" s="75">
        <f>+INPUT!BG340</f>
        <v>93</v>
      </c>
      <c r="AI362" s="240">
        <f>+INPUT!BH340</f>
        <v>34.782608695652186</v>
      </c>
      <c r="AJ362" s="75">
        <f>+INPUT!BI340</f>
        <v>97</v>
      </c>
      <c r="AK362" s="240">
        <f>+INPUT!BJ340</f>
        <v>61.666666666666657</v>
      </c>
      <c r="AL362" s="75"/>
      <c r="AM362" s="240"/>
      <c r="AN362" s="75"/>
      <c r="AO362" s="240"/>
      <c r="AP362" s="75"/>
      <c r="AQ362" s="240"/>
      <c r="AR362" s="75"/>
      <c r="AS362" s="240"/>
      <c r="AT362" s="75"/>
      <c r="AU362" s="240"/>
      <c r="AV362" s="75"/>
      <c r="AW362" s="240"/>
      <c r="AX362" s="75"/>
      <c r="AY362" s="240"/>
      <c r="AZ362" s="75"/>
      <c r="BA362" s="240"/>
      <c r="BB362" s="75"/>
      <c r="BC362" s="240"/>
      <c r="BD362" s="75"/>
      <c r="BE362" s="240"/>
      <c r="BF362" s="75"/>
      <c r="BG362" s="240"/>
      <c r="BH362" s="75"/>
      <c r="BI362" s="240"/>
      <c r="BJ362" s="75"/>
      <c r="BK362" s="240"/>
      <c r="BL362" s="75"/>
      <c r="BM362" s="240"/>
      <c r="BN362" s="75"/>
      <c r="BO362" s="240"/>
      <c r="BP362" s="75"/>
      <c r="BQ362" s="240"/>
      <c r="BR362" s="75"/>
      <c r="BS362" s="240"/>
      <c r="BT362" s="75"/>
      <c r="BU362" s="240"/>
      <c r="BV362" s="75"/>
      <c r="BW362" s="240"/>
      <c r="BX362" s="75"/>
      <c r="BY362" s="240"/>
      <c r="BZ362" s="75"/>
      <c r="CA362" s="240"/>
      <c r="CB362" s="75"/>
      <c r="CC362" s="240"/>
      <c r="CD362" s="75"/>
      <c r="CE362" s="240"/>
      <c r="CF362" s="75"/>
      <c r="CG362" s="240"/>
      <c r="CH362" s="75"/>
      <c r="CI362" s="240"/>
      <c r="CJ362" s="75"/>
      <c r="CK362" s="240"/>
      <c r="CL362" s="75"/>
      <c r="CM362" s="240"/>
      <c r="CN362" s="75"/>
      <c r="CO362" s="240"/>
      <c r="CP362" s="75"/>
      <c r="CQ362" s="240"/>
      <c r="CR362" s="75"/>
      <c r="CS362" s="240"/>
      <c r="CT362" s="75"/>
      <c r="CU362" s="240"/>
      <c r="CV362" s="75"/>
      <c r="CW362" s="240"/>
      <c r="CX362" s="75"/>
      <c r="CY362" s="240"/>
      <c r="CZ362" s="75"/>
      <c r="DA362" s="240"/>
      <c r="DB362" s="75"/>
      <c r="DC362" s="240"/>
      <c r="DD362" s="75"/>
      <c r="DE362" s="240"/>
      <c r="DF362" s="75"/>
      <c r="DG362" s="240"/>
      <c r="DH362" s="75"/>
      <c r="DI362" s="240"/>
      <c r="DJ362" s="75"/>
      <c r="DK362" s="240"/>
      <c r="DL362" s="75"/>
      <c r="DM362" s="240"/>
      <c r="DN362" s="75"/>
      <c r="DO362" s="240"/>
      <c r="DP362" s="75"/>
      <c r="DQ362" s="240"/>
      <c r="DR362" s="75"/>
      <c r="DS362" s="240"/>
      <c r="DT362" s="75"/>
      <c r="DU362" s="240"/>
      <c r="DV362" s="75"/>
      <c r="DW362" s="240"/>
      <c r="DX362" s="75"/>
      <c r="DY362" s="240"/>
      <c r="DZ362" s="75"/>
      <c r="EA362" s="240"/>
      <c r="EB362" s="155"/>
      <c r="EC362" s="75"/>
      <c r="ED362" s="155"/>
      <c r="EE362" s="75">
        <f>+INPUT!FL340</f>
        <v>88</v>
      </c>
      <c r="EF362" s="155" t="str">
        <f>+INPUT!FM340</f>
        <v>NA</v>
      </c>
      <c r="EG362" s="75">
        <f>+INPUT!FN340</f>
        <v>172</v>
      </c>
      <c r="EH362" s="155">
        <f>+INPUT!FO340</f>
        <v>95.454545454545467</v>
      </c>
      <c r="EI362" s="75">
        <f>+INPUT!FP340</f>
        <v>217</v>
      </c>
      <c r="EJ362" s="240">
        <f>+INPUT!FQ340</f>
        <v>26.162790697674424</v>
      </c>
      <c r="EK362" s="75">
        <f>+INPUT!FR340</f>
        <v>294</v>
      </c>
      <c r="EL362" s="240">
        <f>+INPUT!FS340</f>
        <v>35.483870967741922</v>
      </c>
      <c r="EM362" s="75">
        <f>+INPUT!FT340</f>
        <v>190</v>
      </c>
      <c r="EN362" s="240">
        <f>+INPUT!FU340</f>
        <v>-35.374149659863946</v>
      </c>
      <c r="EO362" s="75"/>
      <c r="EP362" s="240"/>
      <c r="EQ362" s="75"/>
      <c r="ER362" s="240"/>
      <c r="ES362" s="75"/>
      <c r="ET362" s="240"/>
      <c r="EU362" s="75"/>
      <c r="EV362" s="240"/>
      <c r="EW362" s="75"/>
      <c r="EX362" s="240"/>
      <c r="EY362" s="75"/>
      <c r="EZ362" s="240"/>
      <c r="FA362" s="75"/>
      <c r="FB362" s="240"/>
      <c r="FC362" s="75"/>
      <c r="FD362" s="240"/>
      <c r="FE362" s="75"/>
      <c r="FF362" s="240"/>
      <c r="FG362" s="75"/>
      <c r="FH362" s="240"/>
      <c r="FI362" s="75"/>
      <c r="FJ362" s="240"/>
      <c r="FK362" s="75"/>
      <c r="FL362" s="240"/>
      <c r="FM362" s="75"/>
      <c r="FN362" s="240"/>
      <c r="FO362" s="75"/>
      <c r="FP362" s="240"/>
      <c r="FQ362" s="75"/>
      <c r="FR362" s="240"/>
      <c r="FS362" s="240"/>
    </row>
    <row r="363" spans="1:176" ht="12.75" hidden="1" customHeight="1" outlineLevel="2" x14ac:dyDescent="0.2">
      <c r="A363" s="246" t="str">
        <f>+INPUT!B341</f>
        <v>Litigation Expenses</v>
      </c>
      <c r="B363" s="75"/>
      <c r="C363" s="155"/>
      <c r="D363" s="75"/>
      <c r="E363" s="155"/>
      <c r="F363" s="75">
        <f>+INPUT!AE341</f>
        <v>-28</v>
      </c>
      <c r="G363" s="155" t="str">
        <f>+INPUT!AF341</f>
        <v>NA</v>
      </c>
      <c r="H363" s="75">
        <f>+INPUT!AG341</f>
        <v>-79</v>
      </c>
      <c r="I363" s="155" t="str">
        <f>+INPUT!AH341</f>
        <v>NA</v>
      </c>
      <c r="J363" s="75">
        <f>+INPUT!AI341</f>
        <v>-41</v>
      </c>
      <c r="K363" s="155" t="str">
        <f>+INPUT!AJ341</f>
        <v>NA</v>
      </c>
      <c r="L363" s="75">
        <f>+INPUT!AK341</f>
        <v>-77.400000000000006</v>
      </c>
      <c r="M363" s="155" t="str">
        <f>+INPUT!AL341</f>
        <v>NA</v>
      </c>
      <c r="N363" s="75">
        <f>+INPUT!AM341</f>
        <v>-39</v>
      </c>
      <c r="O363" s="155">
        <f>+INPUT!AN341</f>
        <v>39.285714285714278</v>
      </c>
      <c r="P363" s="75">
        <f>+INPUT!AO341</f>
        <v>-70</v>
      </c>
      <c r="Q363" s="155">
        <f>+INPUT!AP341</f>
        <v>-11.39240506329115</v>
      </c>
      <c r="R363" s="75">
        <f>+INPUT!AQ341</f>
        <v>-27</v>
      </c>
      <c r="S363" s="155">
        <f>+INPUT!AR341</f>
        <v>-34.146341463414629</v>
      </c>
      <c r="T363" s="75">
        <f>+INPUT!AS341</f>
        <v>-136</v>
      </c>
      <c r="U363" s="155">
        <f>+INPUT!AT341</f>
        <v>75.710594315245459</v>
      </c>
      <c r="V363" s="75">
        <f>+INPUT!AU341</f>
        <v>-22</v>
      </c>
      <c r="W363" s="155">
        <f>+INPUT!AV341</f>
        <v>-43.589743589743591</v>
      </c>
      <c r="X363" s="75">
        <f>+INPUT!AW341</f>
        <v>-267</v>
      </c>
      <c r="Y363" s="155" t="str">
        <f>+INPUT!AX341</f>
        <v>NM</v>
      </c>
      <c r="Z363" s="75">
        <f>+INPUT!AY341</f>
        <v>-134</v>
      </c>
      <c r="AA363" s="155" t="str">
        <f>+INPUT!AZ341</f>
        <v>NM</v>
      </c>
      <c r="AB363" s="75">
        <f>+INPUT!BA341</f>
        <v>-30</v>
      </c>
      <c r="AC363" s="155" t="str">
        <f>+INPUT!BB341</f>
        <v>NM</v>
      </c>
      <c r="AD363" s="75">
        <f>+INPUT!BC341</f>
        <v>-22</v>
      </c>
      <c r="AE363" s="155">
        <f>+INPUT!BD341</f>
        <v>0</v>
      </c>
      <c r="AF363" s="75">
        <f>+INPUT!BE341</f>
        <v>-39</v>
      </c>
      <c r="AG363" s="155" t="str">
        <f>+INPUT!BF341</f>
        <v>NM</v>
      </c>
      <c r="AH363" s="75">
        <f>+INPUT!BG341</f>
        <v>-21</v>
      </c>
      <c r="AI363" s="240" t="str">
        <f>+INPUT!BH341</f>
        <v>NM</v>
      </c>
      <c r="AJ363" s="75">
        <f>+INPUT!BI341</f>
        <v>-12</v>
      </c>
      <c r="AK363" s="240" t="str">
        <f>+INPUT!BJ341</f>
        <v>NM</v>
      </c>
      <c r="AL363" s="75"/>
      <c r="AM363" s="240"/>
      <c r="AN363" s="75"/>
      <c r="AO363" s="240"/>
      <c r="AP363" s="75"/>
      <c r="AQ363" s="240"/>
      <c r="AR363" s="75"/>
      <c r="AS363" s="240"/>
      <c r="AT363" s="75"/>
      <c r="AU363" s="240"/>
      <c r="AV363" s="75"/>
      <c r="AW363" s="240"/>
      <c r="AX363" s="75"/>
      <c r="AY363" s="240"/>
      <c r="AZ363" s="75"/>
      <c r="BA363" s="240"/>
      <c r="BB363" s="75"/>
      <c r="BC363" s="240"/>
      <c r="BD363" s="75"/>
      <c r="BE363" s="240"/>
      <c r="BF363" s="75"/>
      <c r="BG363" s="240"/>
      <c r="BH363" s="75"/>
      <c r="BI363" s="240"/>
      <c r="BJ363" s="75"/>
      <c r="BK363" s="240"/>
      <c r="BL363" s="75"/>
      <c r="BM363" s="240"/>
      <c r="BN363" s="75"/>
      <c r="BO363" s="240"/>
      <c r="BP363" s="75"/>
      <c r="BQ363" s="240"/>
      <c r="BR363" s="75"/>
      <c r="BS363" s="240"/>
      <c r="BT363" s="75"/>
      <c r="BU363" s="240"/>
      <c r="BV363" s="75"/>
      <c r="BW363" s="240"/>
      <c r="BX363" s="75"/>
      <c r="BY363" s="240"/>
      <c r="BZ363" s="75"/>
      <c r="CA363" s="240"/>
      <c r="CB363" s="75"/>
      <c r="CC363" s="240"/>
      <c r="CD363" s="75"/>
      <c r="CE363" s="240"/>
      <c r="CF363" s="75"/>
      <c r="CG363" s="240"/>
      <c r="CH363" s="75"/>
      <c r="CI363" s="240"/>
      <c r="CJ363" s="75"/>
      <c r="CK363" s="240"/>
      <c r="CL363" s="75"/>
      <c r="CM363" s="240"/>
      <c r="CN363" s="75"/>
      <c r="CO363" s="240"/>
      <c r="CP363" s="75"/>
      <c r="CQ363" s="240"/>
      <c r="CR363" s="75"/>
      <c r="CS363" s="240"/>
      <c r="CT363" s="75"/>
      <c r="CU363" s="240"/>
      <c r="CV363" s="75"/>
      <c r="CW363" s="240"/>
      <c r="CX363" s="75"/>
      <c r="CY363" s="240"/>
      <c r="CZ363" s="75"/>
      <c r="DA363" s="240"/>
      <c r="DB363" s="75"/>
      <c r="DC363" s="240"/>
      <c r="DD363" s="75"/>
      <c r="DE363" s="240"/>
      <c r="DF363" s="75"/>
      <c r="DG363" s="240"/>
      <c r="DH363" s="75"/>
      <c r="DI363" s="240"/>
      <c r="DJ363" s="75"/>
      <c r="DK363" s="240"/>
      <c r="DL363" s="75"/>
      <c r="DM363" s="240"/>
      <c r="DN363" s="75"/>
      <c r="DO363" s="240"/>
      <c r="DP363" s="75"/>
      <c r="DQ363" s="240"/>
      <c r="DR363" s="75"/>
      <c r="DS363" s="240"/>
      <c r="DT363" s="75"/>
      <c r="DU363" s="240"/>
      <c r="DV363" s="75"/>
      <c r="DW363" s="240"/>
      <c r="DX363" s="75"/>
      <c r="DY363" s="240"/>
      <c r="DZ363" s="75"/>
      <c r="EA363" s="240"/>
      <c r="EB363" s="155"/>
      <c r="EC363" s="75"/>
      <c r="ED363" s="155"/>
      <c r="EE363" s="75">
        <f>+INPUT!FL341</f>
        <v>-107</v>
      </c>
      <c r="EF363" s="155" t="str">
        <f>+INPUT!FM341</f>
        <v>NA</v>
      </c>
      <c r="EG363" s="75">
        <f>+INPUT!FN341</f>
        <v>-227.4</v>
      </c>
      <c r="EH363" s="155" t="str">
        <f>+INPUT!FO341</f>
        <v>NM</v>
      </c>
      <c r="EI363" s="75">
        <f>+INPUT!FP341</f>
        <v>-452</v>
      </c>
      <c r="EJ363" s="240">
        <f>+INPUT!FQ341</f>
        <v>98.76868953386105</v>
      </c>
      <c r="EK363" s="75">
        <f>+INPUT!FR341</f>
        <v>-225</v>
      </c>
      <c r="EL363" s="240" t="str">
        <f>+INPUT!FS341</f>
        <v>NM</v>
      </c>
      <c r="EM363" s="75">
        <f>+INPUT!FT341</f>
        <v>-33</v>
      </c>
      <c r="EN363" s="240" t="str">
        <f>+INPUT!FU341</f>
        <v>NM</v>
      </c>
      <c r="EO363" s="75"/>
      <c r="EP363" s="240"/>
      <c r="EQ363" s="75"/>
      <c r="ER363" s="240"/>
      <c r="ES363" s="75"/>
      <c r="ET363" s="240"/>
      <c r="EU363" s="75"/>
      <c r="EV363" s="240"/>
      <c r="EW363" s="75"/>
      <c r="EX363" s="240"/>
      <c r="EY363" s="75"/>
      <c r="EZ363" s="240"/>
      <c r="FA363" s="75"/>
      <c r="FB363" s="240"/>
      <c r="FC363" s="75"/>
      <c r="FD363" s="240"/>
      <c r="FE363" s="75"/>
      <c r="FF363" s="240"/>
      <c r="FG363" s="75"/>
      <c r="FH363" s="240"/>
      <c r="FI363" s="75"/>
      <c r="FJ363" s="240"/>
      <c r="FK363" s="75"/>
      <c r="FL363" s="240"/>
      <c r="FM363" s="75"/>
      <c r="FN363" s="240"/>
      <c r="FO363" s="75"/>
      <c r="FP363" s="240"/>
      <c r="FQ363" s="75"/>
      <c r="FR363" s="240"/>
      <c r="FS363" s="240"/>
    </row>
    <row r="364" spans="1:176" ht="12.75" hidden="1" customHeight="1" outlineLevel="2" x14ac:dyDescent="0.2">
      <c r="A364" s="246" t="str">
        <f>+INPUT!B342</f>
        <v>Transition Costs -- Prudential's portion</v>
      </c>
      <c r="B364" s="75"/>
      <c r="C364" s="155"/>
      <c r="D364" s="75"/>
      <c r="E364" s="155"/>
      <c r="F364" s="75">
        <f>+INPUT!AE342</f>
        <v>-16</v>
      </c>
      <c r="G364" s="155" t="str">
        <f>+INPUT!AF342</f>
        <v>NA</v>
      </c>
      <c r="H364" s="75">
        <f>+INPUT!AG342</f>
        <v>-16</v>
      </c>
      <c r="I364" s="155" t="str">
        <f>+INPUT!AH342</f>
        <v>NA</v>
      </c>
      <c r="J364" s="75">
        <f>+INPUT!AI342</f>
        <v>-22</v>
      </c>
      <c r="K364" s="155" t="str">
        <f>+INPUT!AJ342</f>
        <v>NA</v>
      </c>
      <c r="L364" s="75">
        <f>+INPUT!AK342</f>
        <v>-25</v>
      </c>
      <c r="M364" s="155" t="str">
        <f>+INPUT!AL342</f>
        <v>NA</v>
      </c>
      <c r="N364" s="75">
        <f>+INPUT!AM342</f>
        <v>-38</v>
      </c>
      <c r="O364" s="155" t="str">
        <f>+INPUT!AN342</f>
        <v>NM</v>
      </c>
      <c r="P364" s="75">
        <f>+INPUT!AO342</f>
        <v>-30</v>
      </c>
      <c r="Q364" s="155">
        <f>+INPUT!AP342</f>
        <v>87.5</v>
      </c>
      <c r="R364" s="75">
        <f>+INPUT!AQ342</f>
        <v>-11</v>
      </c>
      <c r="S364" s="155">
        <f>+INPUT!AR342</f>
        <v>-50</v>
      </c>
      <c r="T364" s="75">
        <f>+INPUT!AS342</f>
        <v>-14</v>
      </c>
      <c r="U364" s="155">
        <f>+INPUT!AT342</f>
        <v>-43.999999999999993</v>
      </c>
      <c r="V364" s="75">
        <f>+INPUT!AU342</f>
        <v>0</v>
      </c>
      <c r="W364" s="155" t="str">
        <f>+INPUT!AV342</f>
        <v>NM</v>
      </c>
      <c r="X364" s="75">
        <f>+INPUT!AW342</f>
        <v>0</v>
      </c>
      <c r="Y364" s="155" t="str">
        <f>+INPUT!AX342</f>
        <v>NM</v>
      </c>
      <c r="Z364" s="75">
        <f>+INPUT!AY342</f>
        <v>0</v>
      </c>
      <c r="AA364" s="155" t="str">
        <f>+INPUT!AZ342</f>
        <v>NM</v>
      </c>
      <c r="AB364" s="75">
        <f>+INPUT!BA342</f>
        <v>-9</v>
      </c>
      <c r="AC364" s="155">
        <f>+INPUT!BB342</f>
        <v>-35.714285714285708</v>
      </c>
      <c r="AD364" s="75">
        <f>+INPUT!BC342</f>
        <v>0</v>
      </c>
      <c r="AE364" s="155" t="str">
        <f>+INPUT!BD342</f>
        <v>NA</v>
      </c>
      <c r="AF364" s="75">
        <f>+INPUT!BE342</f>
        <v>0</v>
      </c>
      <c r="AG364" s="155" t="str">
        <f>+INPUT!BF342</f>
        <v>NA</v>
      </c>
      <c r="AH364" s="75">
        <f>+INPUT!BG342</f>
        <v>0</v>
      </c>
      <c r="AI364" s="240" t="str">
        <f>+INPUT!BH342</f>
        <v>NA</v>
      </c>
      <c r="AJ364" s="75">
        <f>+INPUT!BI342</f>
        <v>0</v>
      </c>
      <c r="AK364" s="240" t="str">
        <f>+INPUT!BJ342</f>
        <v>NM</v>
      </c>
      <c r="AL364" s="75"/>
      <c r="AM364" s="240"/>
      <c r="AN364" s="75"/>
      <c r="AO364" s="240"/>
      <c r="AP364" s="75"/>
      <c r="AQ364" s="240"/>
      <c r="AR364" s="75"/>
      <c r="AS364" s="240"/>
      <c r="AT364" s="75"/>
      <c r="AU364" s="240"/>
      <c r="AV364" s="75"/>
      <c r="AW364" s="240"/>
      <c r="AX364" s="75"/>
      <c r="AY364" s="240"/>
      <c r="AZ364" s="75"/>
      <c r="BA364" s="240"/>
      <c r="BB364" s="75"/>
      <c r="BC364" s="240"/>
      <c r="BD364" s="75"/>
      <c r="BE364" s="240"/>
      <c r="BF364" s="75"/>
      <c r="BG364" s="240"/>
      <c r="BH364" s="75"/>
      <c r="BI364" s="240"/>
      <c r="BJ364" s="75"/>
      <c r="BK364" s="240"/>
      <c r="BL364" s="75"/>
      <c r="BM364" s="240"/>
      <c r="BN364" s="75"/>
      <c r="BO364" s="240"/>
      <c r="BP364" s="75"/>
      <c r="BQ364" s="240"/>
      <c r="BR364" s="75"/>
      <c r="BS364" s="240"/>
      <c r="BT364" s="75"/>
      <c r="BU364" s="240"/>
      <c r="BV364" s="75"/>
      <c r="BW364" s="240"/>
      <c r="BX364" s="75"/>
      <c r="BY364" s="240"/>
      <c r="BZ364" s="75"/>
      <c r="CA364" s="240"/>
      <c r="CB364" s="75"/>
      <c r="CC364" s="240"/>
      <c r="CD364" s="75"/>
      <c r="CE364" s="240"/>
      <c r="CF364" s="75"/>
      <c r="CG364" s="240"/>
      <c r="CH364" s="75"/>
      <c r="CI364" s="240"/>
      <c r="CJ364" s="75"/>
      <c r="CK364" s="240"/>
      <c r="CL364" s="75"/>
      <c r="CM364" s="240"/>
      <c r="CN364" s="75"/>
      <c r="CO364" s="240"/>
      <c r="CP364" s="75"/>
      <c r="CQ364" s="240"/>
      <c r="CR364" s="75"/>
      <c r="CS364" s="240"/>
      <c r="CT364" s="75"/>
      <c r="CU364" s="240"/>
      <c r="CV364" s="75"/>
      <c r="CW364" s="240"/>
      <c r="CX364" s="75"/>
      <c r="CY364" s="240"/>
      <c r="CZ364" s="75"/>
      <c r="DA364" s="240"/>
      <c r="DB364" s="75"/>
      <c r="DC364" s="240"/>
      <c r="DD364" s="75"/>
      <c r="DE364" s="240"/>
      <c r="DF364" s="75"/>
      <c r="DG364" s="240"/>
      <c r="DH364" s="75"/>
      <c r="DI364" s="240"/>
      <c r="DJ364" s="75"/>
      <c r="DK364" s="240"/>
      <c r="DL364" s="75"/>
      <c r="DM364" s="240"/>
      <c r="DN364" s="75"/>
      <c r="DO364" s="240"/>
      <c r="DP364" s="75"/>
      <c r="DQ364" s="240"/>
      <c r="DR364" s="75"/>
      <c r="DS364" s="240"/>
      <c r="DT364" s="75"/>
      <c r="DU364" s="240"/>
      <c r="DV364" s="75"/>
      <c r="DW364" s="240"/>
      <c r="DX364" s="75"/>
      <c r="DY364" s="240"/>
      <c r="DZ364" s="75"/>
      <c r="EA364" s="240"/>
      <c r="EB364" s="155"/>
      <c r="EC364" s="75"/>
      <c r="ED364" s="155"/>
      <c r="EE364" s="75">
        <f>+INPUT!FL342</f>
        <v>-32</v>
      </c>
      <c r="EF364" s="155" t="str">
        <f>+INPUT!FM342</f>
        <v>NA</v>
      </c>
      <c r="EG364" s="75">
        <f>+INPUT!FN342</f>
        <v>-115</v>
      </c>
      <c r="EH364" s="155" t="str">
        <f>+INPUT!FO342</f>
        <v>NM</v>
      </c>
      <c r="EI364" s="75">
        <f>+INPUT!FP342</f>
        <v>-25</v>
      </c>
      <c r="EJ364" s="240" t="str">
        <f>+INPUT!FQ342</f>
        <v>NM</v>
      </c>
      <c r="EK364" s="75">
        <f>+INPUT!FR342</f>
        <v>-9</v>
      </c>
      <c r="EL364" s="240" t="str">
        <f>+INPUT!FS342</f>
        <v>NM</v>
      </c>
      <c r="EM364" s="75">
        <f>+INPUT!FT342</f>
        <v>0</v>
      </c>
      <c r="EN364" s="240" t="str">
        <f>+INPUT!FU342</f>
        <v>NM</v>
      </c>
      <c r="EO364" s="75"/>
      <c r="EP364" s="240"/>
      <c r="EQ364" s="75"/>
      <c r="ER364" s="240"/>
      <c r="ES364" s="75"/>
      <c r="ET364" s="240"/>
      <c r="EU364" s="75"/>
      <c r="EV364" s="240"/>
      <c r="EW364" s="75"/>
      <c r="EX364" s="240"/>
      <c r="EY364" s="75"/>
      <c r="EZ364" s="240"/>
      <c r="FA364" s="75"/>
      <c r="FB364" s="240"/>
      <c r="FC364" s="75"/>
      <c r="FD364" s="240"/>
      <c r="FE364" s="75"/>
      <c r="FF364" s="240"/>
      <c r="FG364" s="75"/>
      <c r="FH364" s="240"/>
      <c r="FI364" s="75"/>
      <c r="FJ364" s="240"/>
      <c r="FK364" s="75"/>
      <c r="FL364" s="240"/>
      <c r="FM364" s="75"/>
      <c r="FN364" s="240"/>
      <c r="FO364" s="75"/>
      <c r="FP364" s="240"/>
      <c r="FQ364" s="75"/>
      <c r="FR364" s="240"/>
      <c r="FS364" s="240"/>
    </row>
    <row r="365" spans="1:176" ht="12.75" hidden="1" customHeight="1" outlineLevel="2" x14ac:dyDescent="0.2">
      <c r="A365" s="246" t="str">
        <f>+INPUT!B343</f>
        <v>Transition Costs -- Prudential only</v>
      </c>
      <c r="B365" s="75"/>
      <c r="C365" s="155"/>
      <c r="D365" s="75"/>
      <c r="E365" s="155"/>
      <c r="F365" s="75">
        <f>+INPUT!AE343</f>
        <v>1</v>
      </c>
      <c r="G365" s="155" t="str">
        <f>+INPUT!AF343</f>
        <v>NA</v>
      </c>
      <c r="H365" s="75">
        <f>+INPUT!AG343</f>
        <v>-10</v>
      </c>
      <c r="I365" s="155" t="str">
        <f>+INPUT!AH343</f>
        <v>NA</v>
      </c>
      <c r="J365" s="75">
        <f>+INPUT!AI343</f>
        <v>-8</v>
      </c>
      <c r="K365" s="155" t="str">
        <f>+INPUT!AJ343</f>
        <v>NA</v>
      </c>
      <c r="L365" s="75">
        <f>+INPUT!AK343</f>
        <v>-13</v>
      </c>
      <c r="M365" s="155" t="str">
        <f>+INPUT!AL343</f>
        <v>NA</v>
      </c>
      <c r="N365" s="75">
        <f>+INPUT!AM343</f>
        <v>-21</v>
      </c>
      <c r="O365" s="155" t="str">
        <f>+INPUT!AN343</f>
        <v>NM</v>
      </c>
      <c r="P365" s="75">
        <f>+INPUT!AO343</f>
        <v>-37</v>
      </c>
      <c r="Q365" s="155" t="str">
        <f>+INPUT!AP343</f>
        <v>NM</v>
      </c>
      <c r="R365" s="75">
        <f>+INPUT!AQ343</f>
        <v>0</v>
      </c>
      <c r="S365" s="155" t="str">
        <f>+INPUT!AR343</f>
        <v>NM</v>
      </c>
      <c r="T365" s="75">
        <f>+INPUT!AS343</f>
        <v>5</v>
      </c>
      <c r="U365" s="155" t="str">
        <f>+INPUT!AT343</f>
        <v>NM</v>
      </c>
      <c r="V365" s="75">
        <f>+INPUT!AU343</f>
        <v>0</v>
      </c>
      <c r="W365" s="155" t="str">
        <f>+INPUT!AV343</f>
        <v>NM</v>
      </c>
      <c r="X365" s="75">
        <f>+INPUT!AW343</f>
        <v>0</v>
      </c>
      <c r="Y365" s="155" t="str">
        <f>+INPUT!AX343</f>
        <v>NM</v>
      </c>
      <c r="Z365" s="75">
        <f>+INPUT!AY343</f>
        <v>0</v>
      </c>
      <c r="AA365" s="155" t="str">
        <f>+INPUT!AZ343</f>
        <v>NA</v>
      </c>
      <c r="AB365" s="75">
        <f>+INPUT!BA343</f>
        <v>0</v>
      </c>
      <c r="AC365" s="155" t="str">
        <f>+INPUT!BB343</f>
        <v>NM</v>
      </c>
      <c r="AD365" s="75">
        <f>+INPUT!BC343</f>
        <v>0</v>
      </c>
      <c r="AE365" s="155" t="str">
        <f>+INPUT!BD343</f>
        <v>NA</v>
      </c>
      <c r="AF365" s="75">
        <f>+INPUT!BE343</f>
        <v>0</v>
      </c>
      <c r="AG365" s="155" t="str">
        <f>+INPUT!BF343</f>
        <v>NA</v>
      </c>
      <c r="AH365" s="75">
        <f>+INPUT!BG343</f>
        <v>0</v>
      </c>
      <c r="AI365" s="240" t="str">
        <f>+INPUT!BH343</f>
        <v>NA</v>
      </c>
      <c r="AJ365" s="75">
        <f>+INPUT!BI343</f>
        <v>0</v>
      </c>
      <c r="AK365" s="240" t="str">
        <f>+INPUT!BJ343</f>
        <v>NA</v>
      </c>
      <c r="AL365" s="75"/>
      <c r="AM365" s="240"/>
      <c r="AN365" s="75"/>
      <c r="AO365" s="240"/>
      <c r="AP365" s="75"/>
      <c r="AQ365" s="240"/>
      <c r="AR365" s="75"/>
      <c r="AS365" s="240"/>
      <c r="AT365" s="75"/>
      <c r="AU365" s="240"/>
      <c r="AV365" s="75"/>
      <c r="AW365" s="240"/>
      <c r="AX365" s="75"/>
      <c r="AY365" s="240"/>
      <c r="AZ365" s="75"/>
      <c r="BA365" s="240"/>
      <c r="BB365" s="75"/>
      <c r="BC365" s="240"/>
      <c r="BD365" s="75"/>
      <c r="BE365" s="240"/>
      <c r="BF365" s="75"/>
      <c r="BG365" s="240"/>
      <c r="BH365" s="75"/>
      <c r="BI365" s="240"/>
      <c r="BJ365" s="75"/>
      <c r="BK365" s="240"/>
      <c r="BL365" s="75"/>
      <c r="BM365" s="240"/>
      <c r="BN365" s="75"/>
      <c r="BO365" s="240"/>
      <c r="BP365" s="75"/>
      <c r="BQ365" s="240"/>
      <c r="BR365" s="75"/>
      <c r="BS365" s="240"/>
      <c r="BT365" s="75"/>
      <c r="BU365" s="240"/>
      <c r="BV365" s="75"/>
      <c r="BW365" s="240"/>
      <c r="BX365" s="75"/>
      <c r="BY365" s="240"/>
      <c r="BZ365" s="75"/>
      <c r="CA365" s="240"/>
      <c r="CB365" s="75"/>
      <c r="CC365" s="240"/>
      <c r="CD365" s="75"/>
      <c r="CE365" s="240"/>
      <c r="CF365" s="75"/>
      <c r="CG365" s="240"/>
      <c r="CH365" s="75"/>
      <c r="CI365" s="240"/>
      <c r="CJ365" s="75"/>
      <c r="CK365" s="240"/>
      <c r="CL365" s="75"/>
      <c r="CM365" s="240"/>
      <c r="CN365" s="75"/>
      <c r="CO365" s="240"/>
      <c r="CP365" s="75"/>
      <c r="CQ365" s="240"/>
      <c r="CR365" s="75"/>
      <c r="CS365" s="240"/>
      <c r="CT365" s="75"/>
      <c r="CU365" s="240"/>
      <c r="CV365" s="75"/>
      <c r="CW365" s="240"/>
      <c r="CX365" s="75"/>
      <c r="CY365" s="240"/>
      <c r="CZ365" s="75"/>
      <c r="DA365" s="240"/>
      <c r="DB365" s="75"/>
      <c r="DC365" s="240"/>
      <c r="DD365" s="75"/>
      <c r="DE365" s="240"/>
      <c r="DF365" s="75"/>
      <c r="DG365" s="240"/>
      <c r="DH365" s="75"/>
      <c r="DI365" s="240"/>
      <c r="DJ365" s="75"/>
      <c r="DK365" s="240"/>
      <c r="DL365" s="75"/>
      <c r="DM365" s="240"/>
      <c r="DN365" s="75"/>
      <c r="DO365" s="240"/>
      <c r="DP365" s="75"/>
      <c r="DQ365" s="240"/>
      <c r="DR365" s="75"/>
      <c r="DS365" s="240"/>
      <c r="DT365" s="75"/>
      <c r="DU365" s="240"/>
      <c r="DV365" s="75"/>
      <c r="DW365" s="240"/>
      <c r="DX365" s="75"/>
      <c r="DY365" s="240"/>
      <c r="DZ365" s="75"/>
      <c r="EA365" s="240"/>
      <c r="EB365" s="155"/>
      <c r="EC365" s="75"/>
      <c r="ED365" s="155"/>
      <c r="EE365" s="75">
        <f>+INPUT!FL343</f>
        <v>-9</v>
      </c>
      <c r="EF365" s="155" t="str">
        <f>+INPUT!FM343</f>
        <v>NA</v>
      </c>
      <c r="EG365" s="75">
        <f>+INPUT!FN343</f>
        <v>-79</v>
      </c>
      <c r="EH365" s="155" t="str">
        <f>+INPUT!FO343</f>
        <v>NM</v>
      </c>
      <c r="EI365" s="75">
        <f>+INPUT!FP343</f>
        <v>5</v>
      </c>
      <c r="EJ365" s="240" t="str">
        <f>+INPUT!FQ343</f>
        <v>NM</v>
      </c>
      <c r="EK365" s="75">
        <f>+INPUT!FR343</f>
        <v>0</v>
      </c>
      <c r="EL365" s="240" t="str">
        <f>+INPUT!FS343</f>
        <v>NM</v>
      </c>
      <c r="EM365" s="75">
        <f>+INPUT!FT343</f>
        <v>0</v>
      </c>
      <c r="EN365" s="240" t="str">
        <f>+INPUT!FU343</f>
        <v>NA</v>
      </c>
      <c r="EO365" s="75"/>
      <c r="EP365" s="240"/>
      <c r="EQ365" s="75"/>
      <c r="ER365" s="240"/>
      <c r="ES365" s="75"/>
      <c r="ET365" s="240"/>
      <c r="EU365" s="75"/>
      <c r="EV365" s="240"/>
      <c r="EW365" s="75"/>
      <c r="EX365" s="240"/>
      <c r="EY365" s="75"/>
      <c r="EZ365" s="240"/>
      <c r="FA365" s="75"/>
      <c r="FB365" s="240"/>
      <c r="FC365" s="75"/>
      <c r="FD365" s="240"/>
      <c r="FE365" s="75"/>
      <c r="FF365" s="240"/>
      <c r="FG365" s="75"/>
      <c r="FH365" s="240"/>
      <c r="FI365" s="75"/>
      <c r="FJ365" s="240"/>
      <c r="FK365" s="75"/>
      <c r="FL365" s="240"/>
      <c r="FM365" s="75"/>
      <c r="FN365" s="240"/>
      <c r="FO365" s="75"/>
      <c r="FP365" s="240"/>
      <c r="FQ365" s="75"/>
      <c r="FR365" s="240"/>
      <c r="FS365" s="240"/>
    </row>
    <row r="366" spans="1:176" ht="12.75" hidden="1" customHeight="1" outlineLevel="2" x14ac:dyDescent="0.2">
      <c r="A366" s="246" t="str">
        <f>+INPUT!B344</f>
        <v>Joint Venture Earnings -- Prudential's Portion</v>
      </c>
      <c r="B366" s="75"/>
      <c r="C366" s="155"/>
      <c r="D366" s="75"/>
      <c r="E366" s="155"/>
      <c r="F366" s="75">
        <f>+INPUT!AE344</f>
        <v>4</v>
      </c>
      <c r="G366" s="155" t="str">
        <f>+INPUT!AF344</f>
        <v>NA</v>
      </c>
      <c r="H366" s="75">
        <f>+INPUT!AG344</f>
        <v>-64</v>
      </c>
      <c r="I366" s="155" t="str">
        <f>+INPUT!AH344</f>
        <v>NA</v>
      </c>
      <c r="J366" s="75">
        <f>+INPUT!AI344</f>
        <v>-17</v>
      </c>
      <c r="K366" s="155" t="str">
        <f>+INPUT!AJ344</f>
        <v>NA</v>
      </c>
      <c r="L366" s="75">
        <f>+INPUT!AK344</f>
        <v>-79.400000000000006</v>
      </c>
      <c r="M366" s="155" t="str">
        <f>+INPUT!AL344</f>
        <v>NA</v>
      </c>
      <c r="N366" s="75">
        <f>+INPUT!AM344</f>
        <v>-70</v>
      </c>
      <c r="O366" s="155" t="str">
        <f>+INPUT!AN344</f>
        <v>NM</v>
      </c>
      <c r="P366" s="75">
        <f>+INPUT!AO344</f>
        <v>-83</v>
      </c>
      <c r="Q366" s="155">
        <f>+INPUT!AP344</f>
        <v>29.6875</v>
      </c>
      <c r="R366" s="75">
        <f>+INPUT!AQ344</f>
        <v>12</v>
      </c>
      <c r="S366" s="155" t="str">
        <f>+INPUT!AR344</f>
        <v>NM</v>
      </c>
      <c r="T366" s="75">
        <f>+INPUT!AS344</f>
        <v>-98</v>
      </c>
      <c r="U366" s="155">
        <f>+INPUT!AT344</f>
        <v>23.42569269521411</v>
      </c>
      <c r="V366" s="75">
        <f>+INPUT!AU344</f>
        <v>37</v>
      </c>
      <c r="W366" s="155" t="str">
        <f>+INPUT!AV344</f>
        <v>NM</v>
      </c>
      <c r="X366" s="75">
        <f>+INPUT!AW344</f>
        <v>-206</v>
      </c>
      <c r="Y366" s="155" t="str">
        <f>+INPUT!AX344</f>
        <v>NM</v>
      </c>
      <c r="Z366" s="75">
        <f>+INPUT!AY344</f>
        <v>-65</v>
      </c>
      <c r="AA366" s="155" t="str">
        <f>+INPUT!AZ344</f>
        <v>NM</v>
      </c>
      <c r="AB366" s="75">
        <f>+INPUT!BA344</f>
        <v>21</v>
      </c>
      <c r="AC366" s="155" t="str">
        <f>+INPUT!BB344</f>
        <v>NM</v>
      </c>
      <c r="AD366" s="75">
        <f>+INPUT!BC344</f>
        <v>51</v>
      </c>
      <c r="AE366" s="155">
        <f>+INPUT!BD344</f>
        <v>37.837837837837839</v>
      </c>
      <c r="AF366" s="75">
        <f>+INPUT!BE344</f>
        <v>53</v>
      </c>
      <c r="AG366" s="155" t="str">
        <f>+INPUT!BF344</f>
        <v>NM</v>
      </c>
      <c r="AH366" s="75">
        <f>+INPUT!BG344</f>
        <v>72</v>
      </c>
      <c r="AI366" s="240" t="str">
        <f>+INPUT!BH344</f>
        <v>NM</v>
      </c>
      <c r="AJ366" s="75">
        <f>+INPUT!BI344</f>
        <v>85</v>
      </c>
      <c r="AK366" s="240" t="str">
        <f>+INPUT!BJ344</f>
        <v>NM</v>
      </c>
      <c r="AL366" s="75"/>
      <c r="AM366" s="240"/>
      <c r="AN366" s="75"/>
      <c r="AO366" s="240"/>
      <c r="AP366" s="75"/>
      <c r="AQ366" s="240"/>
      <c r="AR366" s="75"/>
      <c r="AS366" s="240"/>
      <c r="AT366" s="75"/>
      <c r="AU366" s="240"/>
      <c r="AV366" s="75"/>
      <c r="AW366" s="240"/>
      <c r="AX366" s="75"/>
      <c r="AY366" s="240"/>
      <c r="AZ366" s="75"/>
      <c r="BA366" s="240"/>
      <c r="BB366" s="75"/>
      <c r="BC366" s="240"/>
      <c r="BD366" s="75"/>
      <c r="BE366" s="240"/>
      <c r="BF366" s="75"/>
      <c r="BG366" s="240"/>
      <c r="BH366" s="75"/>
      <c r="BI366" s="240"/>
      <c r="BJ366" s="75"/>
      <c r="BK366" s="240"/>
      <c r="BL366" s="75"/>
      <c r="BM366" s="240"/>
      <c r="BN366" s="75"/>
      <c r="BO366" s="240"/>
      <c r="BP366" s="75"/>
      <c r="BQ366" s="240"/>
      <c r="BR366" s="75"/>
      <c r="BS366" s="240"/>
      <c r="BT366" s="75"/>
      <c r="BU366" s="240"/>
      <c r="BV366" s="75"/>
      <c r="BW366" s="240"/>
      <c r="BX366" s="75"/>
      <c r="BY366" s="240"/>
      <c r="BZ366" s="75"/>
      <c r="CA366" s="240"/>
      <c r="CB366" s="75"/>
      <c r="CC366" s="240"/>
      <c r="CD366" s="75"/>
      <c r="CE366" s="240"/>
      <c r="CF366" s="75"/>
      <c r="CG366" s="240"/>
      <c r="CH366" s="75"/>
      <c r="CI366" s="240"/>
      <c r="CJ366" s="75"/>
      <c r="CK366" s="240"/>
      <c r="CL366" s="75"/>
      <c r="CM366" s="240"/>
      <c r="CN366" s="75"/>
      <c r="CO366" s="240"/>
      <c r="CP366" s="75"/>
      <c r="CQ366" s="240"/>
      <c r="CR366" s="75"/>
      <c r="CS366" s="240"/>
      <c r="CT366" s="75"/>
      <c r="CU366" s="240"/>
      <c r="CV366" s="75"/>
      <c r="CW366" s="240"/>
      <c r="CX366" s="75"/>
      <c r="CY366" s="240"/>
      <c r="CZ366" s="75"/>
      <c r="DA366" s="240"/>
      <c r="DB366" s="75"/>
      <c r="DC366" s="240"/>
      <c r="DD366" s="75"/>
      <c r="DE366" s="240"/>
      <c r="DF366" s="75"/>
      <c r="DG366" s="240"/>
      <c r="DH366" s="75"/>
      <c r="DI366" s="240"/>
      <c r="DJ366" s="75"/>
      <c r="DK366" s="240"/>
      <c r="DL366" s="75"/>
      <c r="DM366" s="240"/>
      <c r="DN366" s="75"/>
      <c r="DO366" s="240"/>
      <c r="DP366" s="75"/>
      <c r="DQ366" s="240"/>
      <c r="DR366" s="75"/>
      <c r="DS366" s="240"/>
      <c r="DT366" s="75"/>
      <c r="DU366" s="240"/>
      <c r="DV366" s="75"/>
      <c r="DW366" s="240"/>
      <c r="DX366" s="75"/>
      <c r="DY366" s="240"/>
      <c r="DZ366" s="75"/>
      <c r="EA366" s="240"/>
      <c r="EB366" s="155"/>
      <c r="EC366" s="75"/>
      <c r="ED366" s="155"/>
      <c r="EE366" s="75">
        <f>+INPUT!FL344</f>
        <v>0</v>
      </c>
      <c r="EF366" s="155" t="str">
        <f>+INPUT!FM344</f>
        <v>NA</v>
      </c>
      <c r="EG366" s="75">
        <f>+INPUT!FN344</f>
        <v>-249.4</v>
      </c>
      <c r="EH366" s="155" t="str">
        <f>+INPUT!FO344</f>
        <v>NA</v>
      </c>
      <c r="EI366" s="75">
        <f>+INPUT!FP344</f>
        <v>-255</v>
      </c>
      <c r="EJ366" s="240">
        <f>+INPUT!FQ344</f>
        <v>2.2453889334402675</v>
      </c>
      <c r="EK366" s="75">
        <f>+INPUT!FR344</f>
        <v>60</v>
      </c>
      <c r="EL366" s="240" t="str">
        <f>+INPUT!FS344</f>
        <v>NM</v>
      </c>
      <c r="EM366" s="75">
        <f>+INPUT!FT344</f>
        <v>157</v>
      </c>
      <c r="EN366" s="240" t="str">
        <f>+INPUT!FU344</f>
        <v>NM</v>
      </c>
      <c r="EO366" s="75"/>
      <c r="EP366" s="240"/>
      <c r="EQ366" s="75"/>
      <c r="ER366" s="240"/>
      <c r="ES366" s="75"/>
      <c r="ET366" s="240"/>
      <c r="EU366" s="75"/>
      <c r="EV366" s="240"/>
      <c r="EW366" s="75"/>
      <c r="EX366" s="240"/>
      <c r="EY366" s="75"/>
      <c r="EZ366" s="240"/>
      <c r="FA366" s="75"/>
      <c r="FB366" s="240"/>
      <c r="FC366" s="75"/>
      <c r="FD366" s="240"/>
      <c r="FE366" s="75"/>
      <c r="FF366" s="240"/>
      <c r="FG366" s="75"/>
      <c r="FH366" s="240"/>
      <c r="FI366" s="75"/>
      <c r="FJ366" s="240"/>
      <c r="FK366" s="75"/>
      <c r="FL366" s="240"/>
      <c r="FM366" s="75"/>
      <c r="FN366" s="240"/>
      <c r="FO366" s="75"/>
      <c r="FP366" s="240"/>
      <c r="FQ366" s="75"/>
      <c r="FR366" s="240"/>
      <c r="FS366" s="240"/>
    </row>
    <row r="367" spans="1:176" ht="12.75" hidden="1" customHeight="1" outlineLevel="2" x14ac:dyDescent="0.2">
      <c r="A367" s="246"/>
      <c r="B367" s="75"/>
      <c r="C367" s="155"/>
      <c r="D367" s="75"/>
      <c r="E367" s="155"/>
      <c r="F367" s="75"/>
      <c r="G367" s="155"/>
      <c r="H367" s="75"/>
      <c r="I367" s="155"/>
      <c r="J367" s="75"/>
      <c r="K367" s="155"/>
      <c r="L367" s="75"/>
      <c r="M367" s="155"/>
      <c r="N367" s="75"/>
      <c r="O367" s="155"/>
      <c r="P367" s="75"/>
      <c r="Q367" s="155"/>
      <c r="R367" s="75"/>
      <c r="S367" s="155"/>
      <c r="T367" s="75"/>
      <c r="U367" s="155"/>
      <c r="V367" s="75"/>
      <c r="W367" s="155"/>
      <c r="X367" s="75"/>
      <c r="Y367" s="155"/>
      <c r="Z367" s="75"/>
      <c r="AA367" s="155"/>
      <c r="AB367" s="75"/>
      <c r="AC367" s="155"/>
      <c r="AD367" s="75"/>
      <c r="AE367" s="155"/>
      <c r="AF367" s="75"/>
      <c r="AG367" s="155"/>
      <c r="AH367" s="75"/>
      <c r="AI367" s="240"/>
      <c r="AJ367" s="75"/>
      <c r="AK367" s="240"/>
      <c r="AL367" s="75"/>
      <c r="AM367" s="240"/>
      <c r="AN367" s="75"/>
      <c r="AO367" s="240"/>
      <c r="AP367" s="75"/>
      <c r="AQ367" s="240"/>
      <c r="AR367" s="75"/>
      <c r="AS367" s="240"/>
      <c r="AT367" s="75"/>
      <c r="AU367" s="240"/>
      <c r="AV367" s="75"/>
      <c r="AW367" s="240"/>
      <c r="AX367" s="75"/>
      <c r="AY367" s="240"/>
      <c r="AZ367" s="75"/>
      <c r="BA367" s="240"/>
      <c r="BB367" s="75"/>
      <c r="BC367" s="240"/>
      <c r="BD367" s="75"/>
      <c r="BE367" s="240"/>
      <c r="BF367" s="75"/>
      <c r="BG367" s="240"/>
      <c r="BH367" s="75"/>
      <c r="BI367" s="240"/>
      <c r="BJ367" s="75"/>
      <c r="BK367" s="240"/>
      <c r="BL367" s="75"/>
      <c r="BM367" s="240"/>
      <c r="BN367" s="75"/>
      <c r="BO367" s="240"/>
      <c r="BP367" s="75"/>
      <c r="BQ367" s="240"/>
      <c r="BR367" s="75"/>
      <c r="BS367" s="240"/>
      <c r="BT367" s="75"/>
      <c r="BU367" s="240"/>
      <c r="BV367" s="75"/>
      <c r="BW367" s="240"/>
      <c r="BX367" s="75"/>
      <c r="BY367" s="240"/>
      <c r="BZ367" s="75"/>
      <c r="CA367" s="240"/>
      <c r="CB367" s="75"/>
      <c r="CC367" s="240"/>
      <c r="CD367" s="75"/>
      <c r="CE367" s="240"/>
      <c r="CF367" s="75"/>
      <c r="CG367" s="240"/>
      <c r="CH367" s="75"/>
      <c r="CI367" s="240"/>
      <c r="CJ367" s="75"/>
      <c r="CK367" s="240"/>
      <c r="CL367" s="75"/>
      <c r="CM367" s="240"/>
      <c r="CN367" s="75"/>
      <c r="CO367" s="240"/>
      <c r="CP367" s="75"/>
      <c r="CQ367" s="240"/>
      <c r="CR367" s="75"/>
      <c r="CS367" s="240"/>
      <c r="CT367" s="75"/>
      <c r="CU367" s="240"/>
      <c r="CV367" s="75"/>
      <c r="CW367" s="240"/>
      <c r="CX367" s="75"/>
      <c r="CY367" s="240"/>
      <c r="CZ367" s="75"/>
      <c r="DA367" s="240"/>
      <c r="DB367" s="75"/>
      <c r="DC367" s="240"/>
      <c r="DD367" s="75"/>
      <c r="DE367" s="240"/>
      <c r="DF367" s="75"/>
      <c r="DG367" s="240"/>
      <c r="DH367" s="75"/>
      <c r="DI367" s="240"/>
      <c r="DJ367" s="75"/>
      <c r="DK367" s="240"/>
      <c r="DL367" s="75"/>
      <c r="DM367" s="240"/>
      <c r="DN367" s="75"/>
      <c r="DO367" s="240"/>
      <c r="DP367" s="75"/>
      <c r="DQ367" s="240"/>
      <c r="DR367" s="75"/>
      <c r="DS367" s="240"/>
      <c r="DT367" s="75"/>
      <c r="DU367" s="240"/>
      <c r="DV367" s="75"/>
      <c r="DW367" s="240"/>
      <c r="DX367" s="75"/>
      <c r="DY367" s="240"/>
      <c r="DZ367" s="75"/>
      <c r="EA367" s="240"/>
      <c r="EB367" s="155"/>
      <c r="EC367" s="75"/>
      <c r="ED367" s="155"/>
      <c r="EE367" s="75"/>
      <c r="EF367" s="155"/>
      <c r="EG367" s="75"/>
      <c r="EH367" s="155"/>
      <c r="EI367" s="75"/>
      <c r="EJ367" s="240"/>
      <c r="EK367" s="75"/>
      <c r="EL367" s="240"/>
      <c r="EM367" s="75"/>
      <c r="EN367" s="240"/>
      <c r="EO367" s="75"/>
      <c r="EP367" s="240"/>
      <c r="EQ367" s="75"/>
      <c r="ER367" s="240"/>
      <c r="ES367" s="75"/>
      <c r="ET367" s="240"/>
      <c r="EU367" s="75"/>
      <c r="EV367" s="240"/>
      <c r="EW367" s="75"/>
      <c r="EX367" s="240"/>
      <c r="EY367" s="75"/>
      <c r="EZ367" s="240"/>
      <c r="FA367" s="75"/>
      <c r="FB367" s="240"/>
      <c r="FC367" s="75"/>
      <c r="FD367" s="240"/>
      <c r="FE367" s="75"/>
      <c r="FF367" s="240"/>
      <c r="FG367" s="75"/>
      <c r="FH367" s="240"/>
      <c r="FI367" s="75"/>
      <c r="FJ367" s="240"/>
      <c r="FK367" s="75"/>
      <c r="FL367" s="240"/>
      <c r="FM367" s="75"/>
      <c r="FN367" s="240"/>
      <c r="FO367" s="75"/>
      <c r="FP367" s="240"/>
      <c r="FQ367" s="75"/>
      <c r="FR367" s="240"/>
      <c r="FS367" s="240"/>
    </row>
    <row r="368" spans="1:176" ht="12.75" hidden="1" customHeight="1" outlineLevel="2" x14ac:dyDescent="0.2">
      <c r="A368" s="246" t="str">
        <f>+INPUT!B345</f>
        <v>Pretax Earnings from Remaining FA business</v>
      </c>
      <c r="B368" s="75"/>
      <c r="C368" s="155"/>
      <c r="D368" s="75"/>
      <c r="E368" s="155"/>
      <c r="F368" s="75">
        <f>+INPUT!AE345</f>
        <v>-2</v>
      </c>
      <c r="G368" s="155" t="str">
        <f>+INPUT!AF345</f>
        <v>NA</v>
      </c>
      <c r="H368" s="75">
        <f>+INPUT!AG345</f>
        <v>-3</v>
      </c>
      <c r="I368" s="155" t="str">
        <f>+INPUT!AH345</f>
        <v>NA</v>
      </c>
      <c r="J368" s="75">
        <f>+INPUT!AI345</f>
        <v>3</v>
      </c>
      <c r="K368" s="155" t="str">
        <f>+INPUT!AJ345</f>
        <v>NA</v>
      </c>
      <c r="L368" s="75">
        <f>+INPUT!AK345</f>
        <v>-1</v>
      </c>
      <c r="M368" s="155" t="str">
        <f>+INPUT!AL345</f>
        <v>NA</v>
      </c>
      <c r="N368" s="75">
        <f>+INPUT!AM345</f>
        <v>-6</v>
      </c>
      <c r="O368" s="155" t="str">
        <f>+INPUT!AN345</f>
        <v>NM</v>
      </c>
      <c r="P368" s="75">
        <f>+INPUT!AO345</f>
        <v>8</v>
      </c>
      <c r="Q368" s="155" t="str">
        <f>+INPUT!AP345</f>
        <v>NM</v>
      </c>
      <c r="R368" s="75">
        <f>+INPUT!AQ345</f>
        <v>3</v>
      </c>
      <c r="S368" s="155">
        <f>+INPUT!AR345</f>
        <v>0</v>
      </c>
      <c r="T368" s="75">
        <f>+INPUT!AS345</f>
        <v>1</v>
      </c>
      <c r="U368" s="155" t="str">
        <f>+INPUT!AT345</f>
        <v>NM</v>
      </c>
      <c r="V368" s="75">
        <f>+INPUT!AU345</f>
        <v>-6</v>
      </c>
      <c r="W368" s="155">
        <f>+INPUT!AV345</f>
        <v>0</v>
      </c>
      <c r="X368" s="75">
        <f>+INPUT!AW345</f>
        <v>2</v>
      </c>
      <c r="Y368" s="155" t="str">
        <f>+INPUT!AX345</f>
        <v>NM</v>
      </c>
      <c r="Z368" s="75">
        <f>+INPUT!AY345</f>
        <v>-42</v>
      </c>
      <c r="AA368" s="155" t="str">
        <f>+INPUT!AZ345</f>
        <v>NM</v>
      </c>
      <c r="AB368" s="75">
        <f>+INPUT!BA345</f>
        <v>9</v>
      </c>
      <c r="AC368" s="155" t="str">
        <f>+INPUT!BB345</f>
        <v>NM</v>
      </c>
      <c r="AD368" s="75">
        <f>+INPUT!BC345</f>
        <v>0</v>
      </c>
      <c r="AE368" s="155" t="str">
        <f>+INPUT!BD345</f>
        <v>NM</v>
      </c>
      <c r="AF368" s="75">
        <f>+INPUT!BE345</f>
        <v>0</v>
      </c>
      <c r="AG368" s="155" t="str">
        <f>+INPUT!BF345</f>
        <v>NM</v>
      </c>
      <c r="AH368" s="75">
        <f>+INPUT!BG345</f>
        <v>0</v>
      </c>
      <c r="AI368" s="240" t="str">
        <f>+INPUT!BH345</f>
        <v>NM</v>
      </c>
      <c r="AJ368" s="75">
        <f>+INPUT!BI345</f>
        <v>0</v>
      </c>
      <c r="AK368" s="240" t="str">
        <f>+INPUT!BJ345</f>
        <v>NM</v>
      </c>
      <c r="AL368" s="75"/>
      <c r="AM368" s="240"/>
      <c r="AN368" s="75"/>
      <c r="AO368" s="240"/>
      <c r="AP368" s="75"/>
      <c r="AQ368" s="240"/>
      <c r="AR368" s="75"/>
      <c r="AS368" s="240"/>
      <c r="AT368" s="75"/>
      <c r="AU368" s="240"/>
      <c r="AV368" s="75"/>
      <c r="AW368" s="240"/>
      <c r="AX368" s="75"/>
      <c r="AY368" s="240"/>
      <c r="AZ368" s="75"/>
      <c r="BA368" s="240"/>
      <c r="BB368" s="75"/>
      <c r="BC368" s="240"/>
      <c r="BD368" s="75"/>
      <c r="BE368" s="240"/>
      <c r="BF368" s="75"/>
      <c r="BG368" s="240"/>
      <c r="BH368" s="75"/>
      <c r="BI368" s="240"/>
      <c r="BJ368" s="75"/>
      <c r="BK368" s="240"/>
      <c r="BL368" s="75"/>
      <c r="BM368" s="240"/>
      <c r="BN368" s="75"/>
      <c r="BO368" s="240"/>
      <c r="BP368" s="75"/>
      <c r="BQ368" s="240"/>
      <c r="BR368" s="75"/>
      <c r="BS368" s="240"/>
      <c r="BT368" s="75"/>
      <c r="BU368" s="240"/>
      <c r="BV368" s="75"/>
      <c r="BW368" s="240"/>
      <c r="BX368" s="75"/>
      <c r="BY368" s="240"/>
      <c r="BZ368" s="75"/>
      <c r="CA368" s="240"/>
      <c r="CB368" s="75"/>
      <c r="CC368" s="240"/>
      <c r="CD368" s="75"/>
      <c r="CE368" s="240"/>
      <c r="CF368" s="75"/>
      <c r="CG368" s="240"/>
      <c r="CH368" s="75"/>
      <c r="CI368" s="240"/>
      <c r="CJ368" s="75"/>
      <c r="CK368" s="240"/>
      <c r="CL368" s="75"/>
      <c r="CM368" s="240"/>
      <c r="CN368" s="75"/>
      <c r="CO368" s="240"/>
      <c r="CP368" s="75"/>
      <c r="CQ368" s="240"/>
      <c r="CR368" s="75"/>
      <c r="CS368" s="240"/>
      <c r="CT368" s="75"/>
      <c r="CU368" s="240"/>
      <c r="CV368" s="75"/>
      <c r="CW368" s="240"/>
      <c r="CX368" s="75"/>
      <c r="CY368" s="240"/>
      <c r="CZ368" s="75"/>
      <c r="DA368" s="240"/>
      <c r="DB368" s="75"/>
      <c r="DC368" s="240"/>
      <c r="DD368" s="75"/>
      <c r="DE368" s="240"/>
      <c r="DF368" s="75"/>
      <c r="DG368" s="240"/>
      <c r="DH368" s="75"/>
      <c r="DI368" s="240"/>
      <c r="DJ368" s="75"/>
      <c r="DK368" s="240"/>
      <c r="DL368" s="75"/>
      <c r="DM368" s="240"/>
      <c r="DN368" s="75"/>
      <c r="DO368" s="240"/>
      <c r="DP368" s="75"/>
      <c r="DQ368" s="240"/>
      <c r="DR368" s="75"/>
      <c r="DS368" s="240"/>
      <c r="DT368" s="75"/>
      <c r="DU368" s="240"/>
      <c r="DV368" s="75"/>
      <c r="DW368" s="240"/>
      <c r="DX368" s="75"/>
      <c r="DY368" s="240"/>
      <c r="DZ368" s="75"/>
      <c r="EA368" s="240"/>
      <c r="EB368" s="155"/>
      <c r="EC368" s="75"/>
      <c r="ED368" s="155"/>
      <c r="EE368" s="75">
        <f>+INPUT!FL345</f>
        <v>0</v>
      </c>
      <c r="EF368" s="155" t="str">
        <f>+INPUT!FM345</f>
        <v>NA</v>
      </c>
      <c r="EG368" s="75">
        <f>+INPUT!FN345</f>
        <v>4</v>
      </c>
      <c r="EH368" s="155" t="str">
        <f>+INPUT!FO345</f>
        <v>NA</v>
      </c>
      <c r="EI368" s="75">
        <f>+INPUT!FP345</f>
        <v>0</v>
      </c>
      <c r="EJ368" s="240" t="str">
        <f>+INPUT!FQ345</f>
        <v>NM</v>
      </c>
      <c r="EK368" s="75">
        <f>+INPUT!FR345</f>
        <v>-33</v>
      </c>
      <c r="EL368" s="240" t="str">
        <f>+INPUT!FS345</f>
        <v>NA</v>
      </c>
      <c r="EM368" s="75">
        <f>+INPUT!FT345</f>
        <v>0</v>
      </c>
      <c r="EN368" s="240" t="str">
        <f>+INPUT!FU345</f>
        <v>NM</v>
      </c>
      <c r="EO368" s="75"/>
      <c r="EP368" s="240"/>
      <c r="EQ368" s="75"/>
      <c r="ER368" s="240"/>
      <c r="ES368" s="75"/>
      <c r="ET368" s="240"/>
      <c r="EU368" s="75"/>
      <c r="EV368" s="240"/>
      <c r="EW368" s="75"/>
      <c r="EX368" s="240"/>
      <c r="EY368" s="75"/>
      <c r="EZ368" s="240"/>
      <c r="FA368" s="75"/>
      <c r="FB368" s="240"/>
      <c r="FC368" s="75"/>
      <c r="FD368" s="240"/>
      <c r="FE368" s="75"/>
      <c r="FF368" s="240"/>
      <c r="FG368" s="75"/>
      <c r="FH368" s="240"/>
      <c r="FI368" s="75"/>
      <c r="FJ368" s="240"/>
      <c r="FK368" s="75"/>
      <c r="FL368" s="240"/>
      <c r="FM368" s="75"/>
      <c r="FN368" s="240"/>
      <c r="FO368" s="75"/>
      <c r="FP368" s="240"/>
      <c r="FQ368" s="75"/>
      <c r="FR368" s="240"/>
      <c r="FS368" s="240"/>
    </row>
    <row r="369" spans="1:176" ht="12.75" hidden="1" customHeight="1" outlineLevel="2" x14ac:dyDescent="0.2">
      <c r="A369" s="246"/>
      <c r="B369" s="75"/>
      <c r="C369" s="155"/>
      <c r="D369" s="75"/>
      <c r="E369" s="155"/>
      <c r="F369" s="75"/>
      <c r="G369" s="155"/>
      <c r="H369" s="75"/>
      <c r="I369" s="155"/>
      <c r="J369" s="75"/>
      <c r="K369" s="155"/>
      <c r="L369" s="75"/>
      <c r="M369" s="155"/>
      <c r="N369" s="75"/>
      <c r="O369" s="155"/>
      <c r="P369" s="75"/>
      <c r="Q369" s="155"/>
      <c r="R369" s="75"/>
      <c r="S369" s="155"/>
      <c r="T369" s="75"/>
      <c r="U369" s="155"/>
      <c r="V369" s="75"/>
      <c r="W369" s="155"/>
      <c r="X369" s="75"/>
      <c r="Y369" s="155"/>
      <c r="Z369" s="75"/>
      <c r="AA369" s="155"/>
      <c r="AB369" s="75"/>
      <c r="AC369" s="155"/>
      <c r="AD369" s="75"/>
      <c r="AE369" s="155"/>
      <c r="AF369" s="75"/>
      <c r="AG369" s="155"/>
      <c r="AH369" s="75"/>
      <c r="AI369" s="240"/>
      <c r="AJ369" s="75"/>
      <c r="AK369" s="240"/>
      <c r="AL369" s="75"/>
      <c r="AM369" s="240"/>
      <c r="AN369" s="75"/>
      <c r="AO369" s="240"/>
      <c r="AP369" s="75"/>
      <c r="AQ369" s="240"/>
      <c r="AR369" s="75"/>
      <c r="AS369" s="240"/>
      <c r="AT369" s="75"/>
      <c r="AU369" s="240"/>
      <c r="AV369" s="75"/>
      <c r="AW369" s="240"/>
      <c r="AX369" s="75"/>
      <c r="AY369" s="240"/>
      <c r="AZ369" s="75"/>
      <c r="BA369" s="240"/>
      <c r="BB369" s="75"/>
      <c r="BC369" s="240"/>
      <c r="BD369" s="75"/>
      <c r="BE369" s="240"/>
      <c r="BF369" s="75"/>
      <c r="BG369" s="240"/>
      <c r="BH369" s="75"/>
      <c r="BI369" s="240"/>
      <c r="BJ369" s="75"/>
      <c r="BK369" s="240"/>
      <c r="BL369" s="75"/>
      <c r="BM369" s="240"/>
      <c r="BN369" s="75"/>
      <c r="BO369" s="240"/>
      <c r="BP369" s="75"/>
      <c r="BQ369" s="240"/>
      <c r="BR369" s="75"/>
      <c r="BS369" s="240"/>
      <c r="BT369" s="75"/>
      <c r="BU369" s="240"/>
      <c r="BV369" s="75"/>
      <c r="BW369" s="240"/>
      <c r="BX369" s="75"/>
      <c r="BY369" s="240"/>
      <c r="BZ369" s="75"/>
      <c r="CA369" s="240"/>
      <c r="CB369" s="75"/>
      <c r="CC369" s="240"/>
      <c r="CD369" s="75"/>
      <c r="CE369" s="240"/>
      <c r="CF369" s="75"/>
      <c r="CG369" s="240"/>
      <c r="CH369" s="75"/>
      <c r="CI369" s="240"/>
      <c r="CJ369" s="75"/>
      <c r="CK369" s="240"/>
      <c r="CL369" s="75"/>
      <c r="CM369" s="240"/>
      <c r="CN369" s="75"/>
      <c r="CO369" s="240"/>
      <c r="CP369" s="75"/>
      <c r="CQ369" s="240"/>
      <c r="CR369" s="75"/>
      <c r="CS369" s="240"/>
      <c r="CT369" s="75"/>
      <c r="CU369" s="240"/>
      <c r="CV369" s="75"/>
      <c r="CW369" s="240"/>
      <c r="CX369" s="75"/>
      <c r="CY369" s="240"/>
      <c r="CZ369" s="75"/>
      <c r="DA369" s="240"/>
      <c r="DB369" s="75"/>
      <c r="DC369" s="240"/>
      <c r="DD369" s="75"/>
      <c r="DE369" s="240"/>
      <c r="DF369" s="75"/>
      <c r="DG369" s="240"/>
      <c r="DH369" s="75"/>
      <c r="DI369" s="240"/>
      <c r="DJ369" s="75"/>
      <c r="DK369" s="240"/>
      <c r="DL369" s="75"/>
      <c r="DM369" s="240"/>
      <c r="DN369" s="75"/>
      <c r="DO369" s="240"/>
      <c r="DP369" s="75"/>
      <c r="DQ369" s="240"/>
      <c r="DR369" s="75"/>
      <c r="DS369" s="240"/>
      <c r="DT369" s="75"/>
      <c r="DU369" s="240"/>
      <c r="DV369" s="75"/>
      <c r="DW369" s="240"/>
      <c r="DX369" s="75"/>
      <c r="DY369" s="240"/>
      <c r="DZ369" s="75"/>
      <c r="EA369" s="240"/>
      <c r="EB369" s="155"/>
      <c r="EC369" s="75"/>
      <c r="ED369" s="155"/>
      <c r="EE369" s="75"/>
      <c r="EF369" s="155"/>
      <c r="EG369" s="75"/>
      <c r="EH369" s="155"/>
      <c r="EI369" s="75"/>
      <c r="EJ369" s="240"/>
      <c r="EK369" s="75"/>
      <c r="EL369" s="240"/>
      <c r="EM369" s="75"/>
      <c r="EN369" s="240"/>
      <c r="EO369" s="75"/>
      <c r="EP369" s="240"/>
      <c r="EQ369" s="75"/>
      <c r="ER369" s="240"/>
      <c r="ES369" s="75"/>
      <c r="ET369" s="240"/>
      <c r="EU369" s="75"/>
      <c r="EV369" s="240"/>
      <c r="EW369" s="75"/>
      <c r="EX369" s="240"/>
      <c r="EY369" s="75"/>
      <c r="EZ369" s="240"/>
      <c r="FA369" s="75"/>
      <c r="FB369" s="240"/>
      <c r="FC369" s="75"/>
      <c r="FD369" s="240"/>
      <c r="FE369" s="75"/>
      <c r="FF369" s="240"/>
      <c r="FG369" s="75"/>
      <c r="FH369" s="240"/>
      <c r="FI369" s="75"/>
      <c r="FJ369" s="240"/>
      <c r="FK369" s="75"/>
      <c r="FL369" s="240"/>
      <c r="FM369" s="75"/>
      <c r="FN369" s="240"/>
      <c r="FO369" s="75"/>
      <c r="FP369" s="240"/>
      <c r="FQ369" s="75"/>
      <c r="FR369" s="240"/>
      <c r="FS369" s="240"/>
    </row>
    <row r="370" spans="1:176" ht="12.75" hidden="1" customHeight="1" outlineLevel="2" x14ac:dyDescent="0.2">
      <c r="A370" s="512" t="s">
        <v>706</v>
      </c>
      <c r="B370" s="506">
        <f>+INPUT!AA346</f>
        <v>-25</v>
      </c>
      <c r="C370" s="513" t="str">
        <f>+INPUT!AB346</f>
        <v>NM</v>
      </c>
      <c r="D370" s="506">
        <f>+INPUT!AC346</f>
        <v>-21</v>
      </c>
      <c r="E370" s="513" t="str">
        <f>+INPUT!AD346</f>
        <v>NM</v>
      </c>
      <c r="F370" s="506">
        <f>+INPUT!AE346</f>
        <v>2</v>
      </c>
      <c r="G370" s="513" t="str">
        <f>+INPUT!AF346</f>
        <v>NM</v>
      </c>
      <c r="H370" s="506">
        <f>+INPUT!AG346</f>
        <v>-67</v>
      </c>
      <c r="I370" s="513" t="str">
        <f>+INPUT!AH346</f>
        <v>NM</v>
      </c>
      <c r="J370" s="506">
        <f>+INPUT!AI346</f>
        <v>-14</v>
      </c>
      <c r="K370" s="513">
        <f>+INPUT!AJ346</f>
        <v>-43.999999999999993</v>
      </c>
      <c r="L370" s="506">
        <f>+INPUT!AK346</f>
        <v>-80.400000000000006</v>
      </c>
      <c r="M370" s="513" t="str">
        <f>+INPUT!AL346</f>
        <v>NM</v>
      </c>
      <c r="N370" s="506">
        <f>+INPUT!AM346</f>
        <v>-76</v>
      </c>
      <c r="O370" s="513" t="str">
        <f>+INPUT!AN346</f>
        <v>NM</v>
      </c>
      <c r="P370" s="506">
        <f>+INPUT!AO346</f>
        <v>-75</v>
      </c>
      <c r="Q370" s="513">
        <f>+INPUT!AP346</f>
        <v>11.940298507462671</v>
      </c>
      <c r="R370" s="506">
        <f>+INPUT!AQ346</f>
        <v>15</v>
      </c>
      <c r="S370" s="513" t="str">
        <f>+INPUT!AR346</f>
        <v>NM</v>
      </c>
      <c r="T370" s="506">
        <f>+INPUT!AS346</f>
        <v>-97</v>
      </c>
      <c r="U370" s="513">
        <f>+INPUT!AT346</f>
        <v>20.646766169154219</v>
      </c>
      <c r="V370" s="506">
        <f>+INPUT!AU346</f>
        <v>31</v>
      </c>
      <c r="W370" s="513" t="str">
        <f>+INPUT!AV346</f>
        <v>NM</v>
      </c>
      <c r="X370" s="506">
        <f>+INPUT!AW346</f>
        <v>-204</v>
      </c>
      <c r="Y370" s="513" t="str">
        <f>+INPUT!AX346</f>
        <v>NM</v>
      </c>
      <c r="Z370" s="506">
        <f>+INPUT!AY346</f>
        <v>-107</v>
      </c>
      <c r="AA370" s="513" t="str">
        <f>+INPUT!AZ346</f>
        <v>NM</v>
      </c>
      <c r="AB370" s="506">
        <f>+INPUT!BA346</f>
        <v>30</v>
      </c>
      <c r="AC370" s="513" t="str">
        <f>+INPUT!BB346</f>
        <v>NM</v>
      </c>
      <c r="AD370" s="506">
        <f>+INPUT!BC346</f>
        <v>51</v>
      </c>
      <c r="AE370" s="513">
        <f>+INPUT!BD346</f>
        <v>64.516129032258078</v>
      </c>
      <c r="AF370" s="506">
        <f>+INPUT!BE346</f>
        <v>53</v>
      </c>
      <c r="AG370" s="513" t="str">
        <f>+INPUT!BF346</f>
        <v>NM</v>
      </c>
      <c r="AH370" s="506">
        <f>+INPUT!BG346</f>
        <v>72</v>
      </c>
      <c r="AI370" s="507" t="str">
        <f>+INPUT!BH346</f>
        <v>NM</v>
      </c>
      <c r="AJ370" s="506">
        <f>+INPUT!BI346</f>
        <v>85</v>
      </c>
      <c r="AK370" s="507" t="str">
        <f>+INPUT!BJ346</f>
        <v>NM</v>
      </c>
      <c r="AL370" s="506"/>
      <c r="AM370" s="507"/>
      <c r="AN370" s="506"/>
      <c r="AO370" s="507"/>
      <c r="AP370" s="506"/>
      <c r="AQ370" s="507"/>
      <c r="AR370" s="506"/>
      <c r="AS370" s="507"/>
      <c r="AT370" s="506"/>
      <c r="AU370" s="507"/>
      <c r="AV370" s="506"/>
      <c r="AW370" s="507"/>
      <c r="AX370" s="506"/>
      <c r="AY370" s="507"/>
      <c r="AZ370" s="506"/>
      <c r="BA370" s="507"/>
      <c r="BB370" s="506"/>
      <c r="BC370" s="507"/>
      <c r="BD370" s="506"/>
      <c r="BE370" s="507"/>
      <c r="BF370" s="506"/>
      <c r="BG370" s="507"/>
      <c r="BH370" s="506"/>
      <c r="BI370" s="507"/>
      <c r="BJ370" s="506"/>
      <c r="BK370" s="507"/>
      <c r="BL370" s="506"/>
      <c r="BM370" s="507"/>
      <c r="BN370" s="506"/>
      <c r="BO370" s="507"/>
      <c r="BP370" s="506"/>
      <c r="BQ370" s="507"/>
      <c r="BR370" s="506"/>
      <c r="BS370" s="507"/>
      <c r="BT370" s="506"/>
      <c r="BU370" s="507"/>
      <c r="BV370" s="506"/>
      <c r="BW370" s="507"/>
      <c r="BX370" s="506"/>
      <c r="BY370" s="507"/>
      <c r="BZ370" s="506"/>
      <c r="CA370" s="507"/>
      <c r="CB370" s="506"/>
      <c r="CC370" s="507"/>
      <c r="CD370" s="506"/>
      <c r="CE370" s="507"/>
      <c r="CF370" s="506"/>
      <c r="CG370" s="507"/>
      <c r="CH370" s="506"/>
      <c r="CI370" s="507"/>
      <c r="CJ370" s="506"/>
      <c r="CK370" s="507"/>
      <c r="CL370" s="506"/>
      <c r="CM370" s="507"/>
      <c r="CN370" s="506"/>
      <c r="CO370" s="507"/>
      <c r="CP370" s="506"/>
      <c r="CQ370" s="507"/>
      <c r="CR370" s="506"/>
      <c r="CS370" s="507"/>
      <c r="CT370" s="506"/>
      <c r="CU370" s="507"/>
      <c r="CV370" s="506"/>
      <c r="CW370" s="507"/>
      <c r="CX370" s="506"/>
      <c r="CY370" s="507"/>
      <c r="CZ370" s="506"/>
      <c r="DA370" s="507"/>
      <c r="DB370" s="506"/>
      <c r="DC370" s="507"/>
      <c r="DD370" s="506"/>
      <c r="DE370" s="507"/>
      <c r="DF370" s="506"/>
      <c r="DG370" s="507"/>
      <c r="DH370" s="506"/>
      <c r="DI370" s="507"/>
      <c r="DJ370" s="506"/>
      <c r="DK370" s="507"/>
      <c r="DL370" s="506"/>
      <c r="DM370" s="507"/>
      <c r="DN370" s="506"/>
      <c r="DO370" s="507"/>
      <c r="DP370" s="506"/>
      <c r="DQ370" s="507"/>
      <c r="DR370" s="506"/>
      <c r="DS370" s="507"/>
      <c r="DT370" s="506"/>
      <c r="DU370" s="507"/>
      <c r="DV370" s="506"/>
      <c r="DW370" s="507"/>
      <c r="DX370" s="506"/>
      <c r="DY370" s="507"/>
      <c r="DZ370" s="506"/>
      <c r="EA370" s="507"/>
      <c r="EB370" s="513" t="str">
        <f>+INPUT!FI346</f>
        <v>NM</v>
      </c>
      <c r="EC370" s="506">
        <f>+INPUT!FJ346</f>
        <v>-43</v>
      </c>
      <c r="ED370" s="513" t="str">
        <f>+INPUT!FK346</f>
        <v>NM</v>
      </c>
      <c r="EE370" s="506">
        <f>+INPUT!FL346</f>
        <v>-111</v>
      </c>
      <c r="EF370" s="513" t="str">
        <f>+INPUT!FM346</f>
        <v>NM</v>
      </c>
      <c r="EG370" s="506">
        <f>+INPUT!FN346</f>
        <v>-245.4</v>
      </c>
      <c r="EH370" s="513" t="str">
        <f>+INPUT!FO346</f>
        <v>NM</v>
      </c>
      <c r="EI370" s="506">
        <f>+INPUT!FP346</f>
        <v>-255</v>
      </c>
      <c r="EJ370" s="507">
        <f>+INPUT!FQ346</f>
        <v>3.9119804400977927</v>
      </c>
      <c r="EK370" s="506">
        <f>+INPUT!FR346</f>
        <v>27</v>
      </c>
      <c r="EL370" s="507" t="str">
        <f>+INPUT!FS346</f>
        <v>NM</v>
      </c>
      <c r="EM370" s="506">
        <f>+INPUT!FT346</f>
        <v>157</v>
      </c>
      <c r="EN370" s="507" t="str">
        <f>+INPUT!FU346</f>
        <v>NM</v>
      </c>
      <c r="EO370" s="506"/>
      <c r="EP370" s="507"/>
      <c r="EQ370" s="506"/>
      <c r="ER370" s="507"/>
      <c r="ES370" s="506"/>
      <c r="ET370" s="507"/>
      <c r="EU370" s="506"/>
      <c r="EV370" s="507"/>
      <c r="EW370" s="506"/>
      <c r="EX370" s="507"/>
      <c r="EY370" s="506"/>
      <c r="EZ370" s="507"/>
      <c r="FA370" s="506"/>
      <c r="FB370" s="507"/>
      <c r="FC370" s="506"/>
      <c r="FD370" s="507"/>
      <c r="FE370" s="506"/>
      <c r="FF370" s="507"/>
      <c r="FG370" s="506"/>
      <c r="FH370" s="507"/>
      <c r="FI370" s="506"/>
      <c r="FJ370" s="507"/>
      <c r="FK370" s="506"/>
      <c r="FL370" s="507"/>
      <c r="FM370" s="506"/>
      <c r="FN370" s="507"/>
      <c r="FO370" s="506"/>
      <c r="FP370" s="507"/>
      <c r="FQ370" s="506"/>
      <c r="FR370" s="507"/>
      <c r="FS370" s="507"/>
    </row>
    <row r="371" spans="1:176" ht="12.75" hidden="1" customHeight="1" outlineLevel="2" x14ac:dyDescent="0.2">
      <c r="A371" s="76"/>
      <c r="B371" s="75"/>
      <c r="C371" s="155"/>
      <c r="D371" s="75"/>
      <c r="E371" s="155"/>
      <c r="F371" s="75"/>
      <c r="G371" s="155"/>
      <c r="H371" s="75"/>
      <c r="I371" s="155"/>
      <c r="J371" s="75"/>
      <c r="K371" s="155"/>
      <c r="L371" s="75"/>
      <c r="M371" s="155"/>
      <c r="N371" s="75"/>
      <c r="O371" s="155"/>
      <c r="P371" s="75"/>
      <c r="Q371" s="155"/>
      <c r="R371" s="75"/>
      <c r="S371" s="155"/>
      <c r="T371" s="75"/>
      <c r="U371" s="155"/>
      <c r="V371" s="75"/>
      <c r="W371" s="155"/>
      <c r="X371" s="75"/>
      <c r="Y371" s="155"/>
      <c r="Z371" s="75"/>
      <c r="AA371" s="155"/>
      <c r="AB371" s="75"/>
      <c r="AC371" s="155"/>
      <c r="AD371" s="75"/>
      <c r="AE371" s="155"/>
      <c r="AF371" s="75"/>
      <c r="AG371" s="155"/>
      <c r="AH371" s="75"/>
      <c r="AI371" s="240"/>
      <c r="AJ371" s="75"/>
      <c r="AK371" s="240"/>
      <c r="AL371" s="75"/>
      <c r="AM371" s="240"/>
      <c r="AN371" s="75"/>
      <c r="AO371" s="240"/>
      <c r="AP371" s="75"/>
      <c r="AQ371" s="240"/>
      <c r="AR371" s="75"/>
      <c r="AS371" s="240"/>
      <c r="AT371" s="75"/>
      <c r="AU371" s="240"/>
      <c r="AV371" s="75"/>
      <c r="AW371" s="240"/>
      <c r="AX371" s="75"/>
      <c r="AY371" s="240"/>
      <c r="AZ371" s="75"/>
      <c r="BA371" s="240"/>
      <c r="BB371" s="75"/>
      <c r="BC371" s="240"/>
      <c r="BD371" s="75"/>
      <c r="BE371" s="240"/>
      <c r="BF371" s="75"/>
      <c r="BG371" s="240"/>
      <c r="BH371" s="75"/>
      <c r="BI371" s="240"/>
      <c r="BJ371" s="75"/>
      <c r="BK371" s="240"/>
      <c r="BL371" s="75"/>
      <c r="BM371" s="240"/>
      <c r="BN371" s="75"/>
      <c r="BO371" s="240"/>
      <c r="BP371" s="75"/>
      <c r="BQ371" s="240"/>
      <c r="BR371" s="75"/>
      <c r="BS371" s="240"/>
      <c r="BT371" s="75"/>
      <c r="BU371" s="240"/>
      <c r="BV371" s="75"/>
      <c r="BW371" s="240"/>
      <c r="BX371" s="75"/>
      <c r="BY371" s="240"/>
      <c r="BZ371" s="75"/>
      <c r="CA371" s="240"/>
      <c r="CB371" s="75"/>
      <c r="CC371" s="240"/>
      <c r="CD371" s="75"/>
      <c r="CE371" s="240"/>
      <c r="CF371" s="75"/>
      <c r="CG371" s="240"/>
      <c r="CH371" s="75"/>
      <c r="CI371" s="240"/>
      <c r="CJ371" s="75"/>
      <c r="CK371" s="240"/>
      <c r="CL371" s="75"/>
      <c r="CM371" s="240"/>
      <c r="CN371" s="75"/>
      <c r="CO371" s="240"/>
      <c r="CP371" s="75"/>
      <c r="CQ371" s="240"/>
      <c r="CR371" s="75"/>
      <c r="CS371" s="240"/>
      <c r="CT371" s="75"/>
      <c r="CU371" s="240"/>
      <c r="CV371" s="75"/>
      <c r="CW371" s="240"/>
      <c r="CX371" s="75"/>
      <c r="CY371" s="240"/>
      <c r="CZ371" s="75"/>
      <c r="DA371" s="240"/>
      <c r="DB371" s="75"/>
      <c r="DC371" s="240"/>
      <c r="DD371" s="75"/>
      <c r="DE371" s="240"/>
      <c r="DF371" s="75"/>
      <c r="DG371" s="240"/>
      <c r="DH371" s="75"/>
      <c r="DI371" s="240"/>
      <c r="DJ371" s="75"/>
      <c r="DK371" s="240"/>
      <c r="DL371" s="75"/>
      <c r="DM371" s="240"/>
      <c r="DN371" s="75"/>
      <c r="DO371" s="240"/>
      <c r="DP371" s="75"/>
      <c r="DQ371" s="240"/>
      <c r="DR371" s="75"/>
      <c r="DS371" s="240"/>
      <c r="DT371" s="75"/>
      <c r="DU371" s="240"/>
      <c r="DV371" s="75"/>
      <c r="DW371" s="240"/>
      <c r="DX371" s="75"/>
      <c r="DY371" s="240"/>
      <c r="DZ371" s="75"/>
      <c r="EA371" s="240"/>
      <c r="EB371" s="155"/>
      <c r="EC371" s="75"/>
      <c r="ED371" s="155"/>
      <c r="EE371" s="75"/>
      <c r="EF371" s="155"/>
      <c r="EG371" s="75"/>
      <c r="EH371" s="155"/>
      <c r="EI371" s="75"/>
      <c r="EJ371" s="240"/>
      <c r="EK371" s="75"/>
      <c r="EL371" s="240"/>
      <c r="EM371" s="75"/>
      <c r="EN371" s="240"/>
      <c r="EO371" s="75"/>
      <c r="EP371" s="240"/>
      <c r="EQ371" s="75"/>
      <c r="ER371" s="240"/>
      <c r="ES371" s="75"/>
      <c r="ET371" s="240"/>
      <c r="EU371" s="75"/>
      <c r="EV371" s="240"/>
      <c r="EW371" s="75"/>
      <c r="EX371" s="240"/>
      <c r="EY371" s="75"/>
      <c r="EZ371" s="240"/>
      <c r="FA371" s="75"/>
      <c r="FB371" s="240"/>
      <c r="FC371" s="75"/>
      <c r="FD371" s="240"/>
      <c r="FE371" s="75"/>
      <c r="FF371" s="240"/>
      <c r="FG371" s="75"/>
      <c r="FH371" s="240"/>
      <c r="FI371" s="75"/>
      <c r="FJ371" s="240"/>
      <c r="FK371" s="75"/>
      <c r="FL371" s="240"/>
      <c r="FM371" s="75"/>
      <c r="FN371" s="240"/>
      <c r="FO371" s="75"/>
      <c r="FP371" s="240"/>
      <c r="FQ371" s="75"/>
      <c r="FR371" s="240"/>
      <c r="FS371" s="240"/>
    </row>
    <row r="372" spans="1:176" ht="12.75" hidden="1" customHeight="1" outlineLevel="2" x14ac:dyDescent="0.2">
      <c r="A372" s="70" t="s">
        <v>498</v>
      </c>
      <c r="B372" s="511"/>
      <c r="C372" s="487"/>
      <c r="D372" s="511"/>
      <c r="E372" s="487"/>
      <c r="F372" s="511"/>
      <c r="G372" s="487"/>
      <c r="H372" s="511"/>
      <c r="I372" s="487"/>
      <c r="J372" s="511"/>
      <c r="K372" s="487"/>
      <c r="L372" s="511"/>
      <c r="M372" s="487"/>
      <c r="N372" s="511"/>
      <c r="O372" s="487"/>
      <c r="P372" s="511"/>
      <c r="Q372" s="487"/>
      <c r="R372" s="511"/>
      <c r="S372" s="487"/>
      <c r="T372" s="511"/>
      <c r="U372" s="487"/>
      <c r="V372" s="511"/>
      <c r="W372" s="487"/>
      <c r="X372" s="511"/>
      <c r="Y372" s="487"/>
      <c r="Z372" s="511"/>
      <c r="AA372" s="487"/>
      <c r="AB372" s="511"/>
      <c r="AC372" s="487"/>
      <c r="AD372" s="511"/>
      <c r="AE372" s="487"/>
      <c r="AF372" s="511"/>
      <c r="AG372" s="487"/>
      <c r="AH372" s="511"/>
      <c r="AI372" s="486"/>
      <c r="AJ372" s="511"/>
      <c r="AK372" s="486"/>
      <c r="AL372" s="511"/>
      <c r="AM372" s="486"/>
      <c r="AN372" s="511"/>
      <c r="AO372" s="486"/>
      <c r="AP372" s="511"/>
      <c r="AQ372" s="486"/>
      <c r="AR372" s="511"/>
      <c r="AS372" s="486"/>
      <c r="AT372" s="511"/>
      <c r="AU372" s="486"/>
      <c r="AV372" s="511"/>
      <c r="AW372" s="486"/>
      <c r="AX372" s="511"/>
      <c r="AY372" s="486"/>
      <c r="AZ372" s="511"/>
      <c r="BA372" s="486"/>
      <c r="BB372" s="511"/>
      <c r="BC372" s="486"/>
      <c r="BD372" s="511"/>
      <c r="BE372" s="486"/>
      <c r="BF372" s="511"/>
      <c r="BG372" s="486"/>
      <c r="BH372" s="511"/>
      <c r="BI372" s="486"/>
      <c r="BJ372" s="511"/>
      <c r="BK372" s="486"/>
      <c r="BL372" s="511"/>
      <c r="BM372" s="486"/>
      <c r="BN372" s="511"/>
      <c r="BO372" s="486"/>
      <c r="BP372" s="511"/>
      <c r="BQ372" s="486"/>
      <c r="BR372" s="511"/>
      <c r="BS372" s="486"/>
      <c r="BT372" s="511"/>
      <c r="BU372" s="486"/>
      <c r="BV372" s="511"/>
      <c r="BW372" s="486"/>
      <c r="BX372" s="511"/>
      <c r="BY372" s="486"/>
      <c r="BZ372" s="511"/>
      <c r="CA372" s="486"/>
      <c r="CB372" s="511"/>
      <c r="CC372" s="486"/>
      <c r="CD372" s="511"/>
      <c r="CE372" s="486"/>
      <c r="CF372" s="511"/>
      <c r="CG372" s="486"/>
      <c r="CH372" s="511"/>
      <c r="CI372" s="486"/>
      <c r="CJ372" s="511"/>
      <c r="CK372" s="486"/>
      <c r="CL372" s="511"/>
      <c r="CM372" s="486"/>
      <c r="CN372" s="511"/>
      <c r="CO372" s="486"/>
      <c r="CP372" s="511"/>
      <c r="CQ372" s="486"/>
      <c r="CR372" s="511"/>
      <c r="CS372" s="486"/>
      <c r="CT372" s="511"/>
      <c r="CU372" s="486"/>
      <c r="CV372" s="511"/>
      <c r="CW372" s="486"/>
      <c r="CX372" s="511"/>
      <c r="CY372" s="486"/>
      <c r="CZ372" s="511"/>
      <c r="DA372" s="486"/>
      <c r="DB372" s="511"/>
      <c r="DC372" s="486"/>
      <c r="DD372" s="511"/>
      <c r="DE372" s="486"/>
      <c r="DF372" s="511"/>
      <c r="DG372" s="486"/>
      <c r="DH372" s="511"/>
      <c r="DI372" s="486"/>
      <c r="DJ372" s="511"/>
      <c r="DK372" s="486"/>
      <c r="DL372" s="511"/>
      <c r="DM372" s="486"/>
      <c r="DN372" s="511"/>
      <c r="DO372" s="486"/>
      <c r="DP372" s="511"/>
      <c r="DQ372" s="486"/>
      <c r="DR372" s="511"/>
      <c r="DS372" s="486"/>
      <c r="DT372" s="511"/>
      <c r="DU372" s="486"/>
      <c r="DV372" s="511"/>
      <c r="DW372" s="486"/>
      <c r="DX372" s="511"/>
      <c r="DY372" s="486"/>
      <c r="DZ372" s="511"/>
      <c r="EA372" s="486"/>
      <c r="EB372" s="487"/>
      <c r="EC372" s="511"/>
      <c r="ED372" s="487"/>
      <c r="EE372" s="511"/>
      <c r="EF372" s="487"/>
      <c r="EG372" s="511"/>
      <c r="EH372" s="487"/>
      <c r="EI372" s="511"/>
      <c r="EJ372" s="486"/>
      <c r="EK372" s="511"/>
      <c r="EL372" s="486"/>
      <c r="EM372" s="511"/>
      <c r="EN372" s="486"/>
      <c r="EO372" s="511"/>
      <c r="EP372" s="486"/>
      <c r="EQ372" s="511"/>
      <c r="ER372" s="486"/>
      <c r="ES372" s="511"/>
      <c r="ET372" s="486"/>
      <c r="EU372" s="511"/>
      <c r="EV372" s="486"/>
      <c r="EW372" s="511"/>
      <c r="EX372" s="486"/>
      <c r="EY372" s="511"/>
      <c r="EZ372" s="486"/>
      <c r="FA372" s="511"/>
      <c r="FB372" s="486"/>
      <c r="FC372" s="511"/>
      <c r="FD372" s="486"/>
      <c r="FE372" s="511"/>
      <c r="FF372" s="486"/>
      <c r="FG372" s="511"/>
      <c r="FH372" s="486"/>
      <c r="FI372" s="511"/>
      <c r="FJ372" s="486"/>
      <c r="FK372" s="511"/>
      <c r="FL372" s="486"/>
      <c r="FM372" s="511"/>
      <c r="FN372" s="486"/>
      <c r="FO372" s="511"/>
      <c r="FP372" s="486"/>
      <c r="FQ372" s="511"/>
      <c r="FR372" s="486"/>
      <c r="FS372" s="486"/>
    </row>
    <row r="373" spans="1:176" ht="12.75" hidden="1" customHeight="1" outlineLevel="2" x14ac:dyDescent="0.2">
      <c r="A373" s="77" t="s">
        <v>68</v>
      </c>
      <c r="B373" s="73" t="e">
        <f>+INPUT!#REF!</f>
        <v>#REF!</v>
      </c>
      <c r="C373" s="155" t="e">
        <f>+INPUT!#REF!</f>
        <v>#REF!</v>
      </c>
      <c r="D373" s="73" t="e">
        <f>+INPUT!#REF!</f>
        <v>#REF!</v>
      </c>
      <c r="E373" s="155" t="e">
        <f>+INPUT!#REF!</f>
        <v>#REF!</v>
      </c>
      <c r="F373" s="73" t="e">
        <f>+INPUT!#REF!</f>
        <v>#REF!</v>
      </c>
      <c r="G373" s="155" t="e">
        <f>+INPUT!#REF!</f>
        <v>#REF!</v>
      </c>
      <c r="H373" s="73" t="e">
        <f>+INPUT!#REF!</f>
        <v>#REF!</v>
      </c>
      <c r="I373" s="155" t="e">
        <f>+INPUT!#REF!</f>
        <v>#REF!</v>
      </c>
      <c r="J373" s="73" t="e">
        <f>+INPUT!#REF!</f>
        <v>#REF!</v>
      </c>
      <c r="K373" s="155" t="e">
        <f>+INPUT!#REF!</f>
        <v>#REF!</v>
      </c>
      <c r="L373" s="73" t="e">
        <f>+INPUT!#REF!</f>
        <v>#REF!</v>
      </c>
      <c r="M373" s="155" t="e">
        <f>+INPUT!#REF!</f>
        <v>#REF!</v>
      </c>
      <c r="N373" s="73" t="e">
        <f>+INPUT!#REF!</f>
        <v>#REF!</v>
      </c>
      <c r="O373" s="155" t="e">
        <f>+INPUT!#REF!</f>
        <v>#REF!</v>
      </c>
      <c r="P373" s="73" t="e">
        <f>+INPUT!#REF!</f>
        <v>#REF!</v>
      </c>
      <c r="Q373" s="155" t="e">
        <f>+INPUT!#REF!</f>
        <v>#REF!</v>
      </c>
      <c r="R373" s="73" t="e">
        <f>+INPUT!#REF!</f>
        <v>#REF!</v>
      </c>
      <c r="S373" s="155" t="e">
        <f>+INPUT!#REF!</f>
        <v>#REF!</v>
      </c>
      <c r="T373" s="73" t="e">
        <f>+INPUT!#REF!</f>
        <v>#REF!</v>
      </c>
      <c r="U373" s="155" t="e">
        <f>+INPUT!#REF!</f>
        <v>#REF!</v>
      </c>
      <c r="V373" s="73" t="e">
        <f>+INPUT!#REF!</f>
        <v>#REF!</v>
      </c>
      <c r="W373" s="155" t="e">
        <f>+INPUT!#REF!</f>
        <v>#REF!</v>
      </c>
      <c r="X373" s="73" t="e">
        <f>+INPUT!#REF!</f>
        <v>#REF!</v>
      </c>
      <c r="Y373" s="155" t="e">
        <f>+INPUT!#REF!</f>
        <v>#REF!</v>
      </c>
      <c r="Z373" s="73" t="e">
        <f>+INPUT!#REF!</f>
        <v>#REF!</v>
      </c>
      <c r="AA373" s="155" t="e">
        <f>+INPUT!#REF!</f>
        <v>#REF!</v>
      </c>
      <c r="AB373" s="73" t="e">
        <f>+INPUT!#REF!</f>
        <v>#REF!</v>
      </c>
      <c r="AC373" s="155" t="e">
        <f>+INPUT!#REF!</f>
        <v>#REF!</v>
      </c>
      <c r="AD373" s="73" t="e">
        <f>+INPUT!#REF!</f>
        <v>#REF!</v>
      </c>
      <c r="AE373" s="155" t="e">
        <f>+INPUT!#REF!</f>
        <v>#REF!</v>
      </c>
      <c r="AF373" s="73" t="e">
        <f>+INPUT!#REF!</f>
        <v>#REF!</v>
      </c>
      <c r="AG373" s="155" t="e">
        <f>+INPUT!#REF!</f>
        <v>#REF!</v>
      </c>
      <c r="AH373" s="81" t="e">
        <f>+INPUT!#REF!</f>
        <v>#REF!</v>
      </c>
      <c r="AI373" s="240" t="e">
        <f>+INPUT!#REF!</f>
        <v>#REF!</v>
      </c>
      <c r="AJ373" s="81" t="e">
        <f>+INPUT!#REF!</f>
        <v>#REF!</v>
      </c>
      <c r="AK373" s="240" t="e">
        <f>+INPUT!#REF!</f>
        <v>#REF!</v>
      </c>
      <c r="AL373" s="81"/>
      <c r="AM373" s="240"/>
      <c r="AN373" s="81"/>
      <c r="AO373" s="240"/>
      <c r="AP373" s="81"/>
      <c r="AQ373" s="240"/>
      <c r="AR373" s="81"/>
      <c r="AS373" s="240"/>
      <c r="AT373" s="81"/>
      <c r="AU373" s="240"/>
      <c r="AV373" s="81"/>
      <c r="AW373" s="240"/>
      <c r="AX373" s="81"/>
      <c r="AY373" s="240"/>
      <c r="AZ373" s="81"/>
      <c r="BA373" s="240"/>
      <c r="BB373" s="81"/>
      <c r="BC373" s="240"/>
      <c r="BD373" s="81"/>
      <c r="BE373" s="240"/>
      <c r="BF373" s="81"/>
      <c r="BG373" s="240"/>
      <c r="BH373" s="81"/>
      <c r="BI373" s="240"/>
      <c r="BJ373" s="81"/>
      <c r="BK373" s="240"/>
      <c r="BL373" s="81"/>
      <c r="BM373" s="240"/>
      <c r="BN373" s="81"/>
      <c r="BO373" s="240"/>
      <c r="BP373" s="81"/>
      <c r="BQ373" s="240"/>
      <c r="BR373" s="81"/>
      <c r="BS373" s="240"/>
      <c r="BT373" s="81"/>
      <c r="BU373" s="240"/>
      <c r="BV373" s="81"/>
      <c r="BW373" s="240"/>
      <c r="BX373" s="81"/>
      <c r="BY373" s="240"/>
      <c r="BZ373" s="81"/>
      <c r="CA373" s="240"/>
      <c r="CB373" s="81"/>
      <c r="CC373" s="240"/>
      <c r="CD373" s="81"/>
      <c r="CE373" s="240"/>
      <c r="CF373" s="81"/>
      <c r="CG373" s="240"/>
      <c r="CH373" s="81"/>
      <c r="CI373" s="240"/>
      <c r="CJ373" s="81"/>
      <c r="CK373" s="240"/>
      <c r="CL373" s="81"/>
      <c r="CM373" s="240"/>
      <c r="CN373" s="81"/>
      <c r="CO373" s="240"/>
      <c r="CP373" s="81"/>
      <c r="CQ373" s="240"/>
      <c r="CR373" s="81"/>
      <c r="CS373" s="240"/>
      <c r="CT373" s="81"/>
      <c r="CU373" s="240"/>
      <c r="CV373" s="81"/>
      <c r="CW373" s="240"/>
      <c r="CX373" s="81"/>
      <c r="CY373" s="240"/>
      <c r="CZ373" s="81"/>
      <c r="DA373" s="240"/>
      <c r="DB373" s="81"/>
      <c r="DC373" s="240"/>
      <c r="DD373" s="81"/>
      <c r="DE373" s="240"/>
      <c r="DF373" s="81"/>
      <c r="DG373" s="240"/>
      <c r="DH373" s="81"/>
      <c r="DI373" s="240"/>
      <c r="DJ373" s="81"/>
      <c r="DK373" s="240"/>
      <c r="DL373" s="81"/>
      <c r="DM373" s="240"/>
      <c r="DN373" s="81"/>
      <c r="DO373" s="240"/>
      <c r="DP373" s="81"/>
      <c r="DQ373" s="240"/>
      <c r="DR373" s="81"/>
      <c r="DS373" s="240"/>
      <c r="DT373" s="81"/>
      <c r="DU373" s="240"/>
      <c r="DV373" s="81"/>
      <c r="DW373" s="240"/>
      <c r="DX373" s="81"/>
      <c r="DY373" s="240"/>
      <c r="DZ373" s="81"/>
      <c r="EA373" s="240"/>
      <c r="EB373" s="155" t="e">
        <f>+INPUT!#REF!</f>
        <v>#REF!</v>
      </c>
      <c r="EC373" s="73" t="e">
        <f>+INPUT!#REF!</f>
        <v>#REF!</v>
      </c>
      <c r="ED373" s="155" t="e">
        <f>+INPUT!#REF!</f>
        <v>#REF!</v>
      </c>
      <c r="EE373" s="73" t="e">
        <f>+INPUT!#REF!</f>
        <v>#REF!</v>
      </c>
      <c r="EF373" s="155" t="e">
        <f>+INPUT!#REF!</f>
        <v>#REF!</v>
      </c>
      <c r="EG373" s="73" t="e">
        <f>+INPUT!#REF!</f>
        <v>#REF!</v>
      </c>
      <c r="EH373" s="155" t="e">
        <f>+INPUT!#REF!</f>
        <v>#REF!</v>
      </c>
      <c r="EI373" s="73" t="e">
        <f>+INPUT!#REF!</f>
        <v>#REF!</v>
      </c>
      <c r="EJ373" s="240" t="e">
        <f>+INPUT!#REF!</f>
        <v>#REF!</v>
      </c>
      <c r="EK373" s="81" t="e">
        <f>+INPUT!#REF!</f>
        <v>#REF!</v>
      </c>
      <c r="EL373" s="240" t="e">
        <f>+INPUT!#REF!</f>
        <v>#REF!</v>
      </c>
      <c r="EM373" s="81" t="e">
        <f>+INPUT!#REF!</f>
        <v>#REF!</v>
      </c>
      <c r="EN373" s="240" t="e">
        <f>+INPUT!#REF!</f>
        <v>#REF!</v>
      </c>
      <c r="EO373" s="81"/>
      <c r="EP373" s="240"/>
      <c r="EQ373" s="81"/>
      <c r="ER373" s="240"/>
      <c r="ES373" s="81"/>
      <c r="ET373" s="240"/>
      <c r="EU373" s="81"/>
      <c r="EV373" s="240"/>
      <c r="EW373" s="81"/>
      <c r="EX373" s="240"/>
      <c r="EY373" s="81"/>
      <c r="EZ373" s="240"/>
      <c r="FA373" s="81"/>
      <c r="FB373" s="240"/>
      <c r="FC373" s="81"/>
      <c r="FD373" s="240"/>
      <c r="FE373" s="81"/>
      <c r="FF373" s="240"/>
      <c r="FG373" s="81"/>
      <c r="FH373" s="240"/>
      <c r="FI373" s="81"/>
      <c r="FJ373" s="240"/>
      <c r="FK373" s="81"/>
      <c r="FL373" s="240"/>
      <c r="FM373" s="81"/>
      <c r="FN373" s="240"/>
      <c r="FO373" s="81"/>
      <c r="FP373" s="240"/>
      <c r="FQ373" s="81"/>
      <c r="FR373" s="240"/>
      <c r="FS373" s="240"/>
    </row>
    <row r="374" spans="1:176" ht="12.75" hidden="1" customHeight="1" outlineLevel="2" x14ac:dyDescent="0.2">
      <c r="A374" s="522"/>
      <c r="B374" s="511"/>
      <c r="C374" s="487"/>
      <c r="D374" s="511"/>
      <c r="E374" s="487"/>
      <c r="F374" s="511"/>
      <c r="G374" s="487"/>
      <c r="H374" s="511"/>
      <c r="I374" s="487"/>
      <c r="J374" s="511"/>
      <c r="K374" s="487"/>
      <c r="L374" s="511"/>
      <c r="M374" s="487"/>
      <c r="N374" s="511"/>
      <c r="O374" s="487"/>
      <c r="P374" s="511"/>
      <c r="Q374" s="487"/>
      <c r="R374" s="511"/>
      <c r="S374" s="487"/>
      <c r="T374" s="511"/>
      <c r="U374" s="487"/>
      <c r="V374" s="511"/>
      <c r="W374" s="487"/>
      <c r="X374" s="511"/>
      <c r="Y374" s="487"/>
      <c r="Z374" s="511"/>
      <c r="AA374" s="487"/>
      <c r="AB374" s="511"/>
      <c r="AC374" s="487"/>
      <c r="AD374" s="511"/>
      <c r="AE374" s="487"/>
      <c r="AF374" s="511"/>
      <c r="AG374" s="487"/>
      <c r="AH374" s="511"/>
      <c r="AI374" s="486"/>
      <c r="AJ374" s="511"/>
      <c r="AK374" s="486"/>
      <c r="AL374" s="511"/>
      <c r="AM374" s="486"/>
      <c r="AN374" s="511"/>
      <c r="AO374" s="486"/>
      <c r="AP374" s="511"/>
      <c r="AQ374" s="486"/>
      <c r="AR374" s="511"/>
      <c r="AS374" s="486"/>
      <c r="AT374" s="511"/>
      <c r="AU374" s="486"/>
      <c r="AV374" s="511"/>
      <c r="AW374" s="486"/>
      <c r="AX374" s="511"/>
      <c r="AY374" s="486"/>
      <c r="AZ374" s="511"/>
      <c r="BA374" s="486"/>
      <c r="BB374" s="511"/>
      <c r="BC374" s="486"/>
      <c r="BD374" s="511"/>
      <c r="BE374" s="486"/>
      <c r="BF374" s="511"/>
      <c r="BG374" s="486"/>
      <c r="BH374" s="511"/>
      <c r="BI374" s="486"/>
      <c r="BJ374" s="511"/>
      <c r="BK374" s="486"/>
      <c r="BL374" s="511"/>
      <c r="BM374" s="486"/>
      <c r="BN374" s="511"/>
      <c r="BO374" s="486"/>
      <c r="BP374" s="511"/>
      <c r="BQ374" s="486"/>
      <c r="BR374" s="511"/>
      <c r="BS374" s="486"/>
      <c r="BT374" s="511"/>
      <c r="BU374" s="486"/>
      <c r="BV374" s="511"/>
      <c r="BW374" s="486"/>
      <c r="BX374" s="511"/>
      <c r="BY374" s="486"/>
      <c r="BZ374" s="511"/>
      <c r="CA374" s="486"/>
      <c r="CB374" s="511"/>
      <c r="CC374" s="486"/>
      <c r="CD374" s="511"/>
      <c r="CE374" s="486"/>
      <c r="CF374" s="511"/>
      <c r="CG374" s="486"/>
      <c r="CH374" s="511"/>
      <c r="CI374" s="486"/>
      <c r="CJ374" s="511"/>
      <c r="CK374" s="486"/>
      <c r="CL374" s="511"/>
      <c r="CM374" s="486"/>
      <c r="CN374" s="511"/>
      <c r="CO374" s="486"/>
      <c r="CP374" s="511"/>
      <c r="CQ374" s="486"/>
      <c r="CR374" s="511"/>
      <c r="CS374" s="486"/>
      <c r="CT374" s="511"/>
      <c r="CU374" s="486"/>
      <c r="CV374" s="511"/>
      <c r="CW374" s="486"/>
      <c r="CX374" s="511"/>
      <c r="CY374" s="486"/>
      <c r="CZ374" s="511"/>
      <c r="DA374" s="486"/>
      <c r="DB374" s="511"/>
      <c r="DC374" s="486"/>
      <c r="DD374" s="511"/>
      <c r="DE374" s="486"/>
      <c r="DF374" s="511"/>
      <c r="DG374" s="486"/>
      <c r="DH374" s="511"/>
      <c r="DI374" s="486"/>
      <c r="DJ374" s="511"/>
      <c r="DK374" s="486"/>
      <c r="DL374" s="511"/>
      <c r="DM374" s="486"/>
      <c r="DN374" s="511"/>
      <c r="DO374" s="486"/>
      <c r="DP374" s="511"/>
      <c r="DQ374" s="486"/>
      <c r="DR374" s="511"/>
      <c r="DS374" s="486"/>
      <c r="DT374" s="511"/>
      <c r="DU374" s="486"/>
      <c r="DV374" s="511"/>
      <c r="DW374" s="486"/>
      <c r="DX374" s="511"/>
      <c r="DY374" s="486"/>
      <c r="DZ374" s="511"/>
      <c r="EA374" s="486"/>
      <c r="EB374" s="487"/>
      <c r="EC374" s="511"/>
      <c r="ED374" s="487"/>
      <c r="EE374" s="511"/>
      <c r="EF374" s="487"/>
      <c r="EG374" s="511"/>
      <c r="EH374" s="487"/>
      <c r="EI374" s="511"/>
      <c r="EJ374" s="486"/>
      <c r="EK374" s="511"/>
      <c r="EL374" s="486"/>
      <c r="EM374" s="511"/>
      <c r="EN374" s="486"/>
      <c r="EO374" s="511"/>
      <c r="EP374" s="486"/>
      <c r="EQ374" s="511"/>
      <c r="ER374" s="486"/>
      <c r="ES374" s="511"/>
      <c r="ET374" s="486"/>
      <c r="EU374" s="511"/>
      <c r="EV374" s="486"/>
      <c r="EW374" s="511"/>
      <c r="EX374" s="486"/>
      <c r="EY374" s="511"/>
      <c r="EZ374" s="486"/>
      <c r="FA374" s="511"/>
      <c r="FB374" s="486"/>
      <c r="FC374" s="511"/>
      <c r="FD374" s="486"/>
      <c r="FE374" s="511"/>
      <c r="FF374" s="486"/>
      <c r="FG374" s="511"/>
      <c r="FH374" s="486"/>
      <c r="FI374" s="511"/>
      <c r="FJ374" s="486"/>
      <c r="FK374" s="511"/>
      <c r="FL374" s="486"/>
      <c r="FM374" s="511"/>
      <c r="FN374" s="486"/>
      <c r="FO374" s="511"/>
      <c r="FP374" s="486"/>
      <c r="FQ374" s="511"/>
      <c r="FR374" s="486"/>
      <c r="FS374" s="486"/>
    </row>
    <row r="375" spans="1:176" ht="12.75" hidden="1" customHeight="1" outlineLevel="2" x14ac:dyDescent="0.2">
      <c r="A375" s="500" t="s">
        <v>507</v>
      </c>
      <c r="B375" s="510"/>
      <c r="C375" s="487"/>
      <c r="D375" s="510"/>
      <c r="E375" s="487"/>
      <c r="F375" s="510"/>
      <c r="G375" s="487"/>
      <c r="H375" s="510"/>
      <c r="I375" s="487"/>
      <c r="J375" s="510"/>
      <c r="K375" s="487"/>
      <c r="L375" s="510"/>
      <c r="M375" s="487"/>
      <c r="N375" s="510"/>
      <c r="O375" s="487"/>
      <c r="P375" s="510"/>
      <c r="Q375" s="487"/>
      <c r="R375" s="510"/>
      <c r="S375" s="487"/>
      <c r="T375" s="510"/>
      <c r="U375" s="487"/>
      <c r="V375" s="510"/>
      <c r="W375" s="487"/>
      <c r="X375" s="510"/>
      <c r="Y375" s="487"/>
      <c r="Z375" s="510"/>
      <c r="AA375" s="487"/>
      <c r="AB375" s="510"/>
      <c r="AC375" s="487"/>
      <c r="AD375" s="510"/>
      <c r="AE375" s="487"/>
      <c r="AF375" s="510"/>
      <c r="AG375" s="487"/>
      <c r="AH375" s="510"/>
      <c r="AI375" s="486"/>
      <c r="AJ375" s="510"/>
      <c r="AK375" s="486"/>
      <c r="AL375" s="510"/>
      <c r="AM375" s="486"/>
      <c r="AN375" s="510"/>
      <c r="AO375" s="486"/>
      <c r="AP375" s="510"/>
      <c r="AQ375" s="486"/>
      <c r="AR375" s="510"/>
      <c r="AS375" s="486"/>
      <c r="AT375" s="510"/>
      <c r="AU375" s="486"/>
      <c r="AV375" s="510"/>
      <c r="AW375" s="486"/>
      <c r="AX375" s="510"/>
      <c r="AY375" s="486"/>
      <c r="AZ375" s="510"/>
      <c r="BA375" s="486"/>
      <c r="BB375" s="510"/>
      <c r="BC375" s="486"/>
      <c r="BD375" s="510"/>
      <c r="BE375" s="486"/>
      <c r="BF375" s="510"/>
      <c r="BG375" s="486"/>
      <c r="BH375" s="510"/>
      <c r="BI375" s="486"/>
      <c r="BJ375" s="510"/>
      <c r="BK375" s="486"/>
      <c r="BL375" s="510"/>
      <c r="BM375" s="486"/>
      <c r="BN375" s="510"/>
      <c r="BO375" s="486"/>
      <c r="BP375" s="510"/>
      <c r="BQ375" s="486"/>
      <c r="BR375" s="510"/>
      <c r="BS375" s="486"/>
      <c r="BT375" s="510"/>
      <c r="BU375" s="486"/>
      <c r="BV375" s="510"/>
      <c r="BW375" s="486"/>
      <c r="BX375" s="510"/>
      <c r="BY375" s="486"/>
      <c r="BZ375" s="510"/>
      <c r="CA375" s="486"/>
      <c r="CB375" s="510"/>
      <c r="CC375" s="486"/>
      <c r="CD375" s="510"/>
      <c r="CE375" s="486"/>
      <c r="CF375" s="510"/>
      <c r="CG375" s="486"/>
      <c r="CH375" s="510"/>
      <c r="CI375" s="486"/>
      <c r="CJ375" s="510"/>
      <c r="CK375" s="486"/>
      <c r="CL375" s="510"/>
      <c r="CM375" s="486"/>
      <c r="CN375" s="510"/>
      <c r="CO375" s="486"/>
      <c r="CP375" s="510"/>
      <c r="CQ375" s="486"/>
      <c r="CR375" s="510"/>
      <c r="CS375" s="486"/>
      <c r="CT375" s="510"/>
      <c r="CU375" s="486"/>
      <c r="CV375" s="510"/>
      <c r="CW375" s="486"/>
      <c r="CX375" s="510"/>
      <c r="CY375" s="486"/>
      <c r="CZ375" s="510"/>
      <c r="DA375" s="486"/>
      <c r="DB375" s="510"/>
      <c r="DC375" s="486"/>
      <c r="DD375" s="510"/>
      <c r="DE375" s="486"/>
      <c r="DF375" s="510"/>
      <c r="DG375" s="486"/>
      <c r="DH375" s="510"/>
      <c r="DI375" s="486"/>
      <c r="DJ375" s="510"/>
      <c r="DK375" s="486"/>
      <c r="DL375" s="510"/>
      <c r="DM375" s="486"/>
      <c r="DN375" s="510"/>
      <c r="DO375" s="486"/>
      <c r="DP375" s="510"/>
      <c r="DQ375" s="486"/>
      <c r="DR375" s="510"/>
      <c r="DS375" s="486"/>
      <c r="DT375" s="510"/>
      <c r="DU375" s="486"/>
      <c r="DV375" s="510"/>
      <c r="DW375" s="486"/>
      <c r="DX375" s="510"/>
      <c r="DY375" s="486"/>
      <c r="DZ375" s="510"/>
      <c r="EA375" s="486"/>
      <c r="EB375" s="487"/>
      <c r="EC375" s="510"/>
      <c r="ED375" s="487"/>
      <c r="EE375" s="510"/>
      <c r="EF375" s="487"/>
      <c r="EG375" s="510"/>
      <c r="EH375" s="487"/>
      <c r="EI375" s="510"/>
      <c r="EJ375" s="486"/>
      <c r="EK375" s="510"/>
      <c r="EL375" s="486"/>
      <c r="EM375" s="510"/>
      <c r="EN375" s="486"/>
      <c r="EO375" s="510"/>
      <c r="EP375" s="486"/>
      <c r="EQ375" s="510"/>
      <c r="ER375" s="486"/>
      <c r="ES375" s="510"/>
      <c r="ET375" s="486"/>
      <c r="EU375" s="510"/>
      <c r="EV375" s="486"/>
      <c r="EW375" s="510"/>
      <c r="EX375" s="486"/>
      <c r="EY375" s="510"/>
      <c r="EZ375" s="486"/>
      <c r="FA375" s="510"/>
      <c r="FB375" s="486"/>
      <c r="FC375" s="510"/>
      <c r="FD375" s="486"/>
      <c r="FE375" s="510"/>
      <c r="FF375" s="486"/>
      <c r="FG375" s="510"/>
      <c r="FH375" s="486"/>
      <c r="FI375" s="510"/>
      <c r="FJ375" s="486"/>
      <c r="FK375" s="510"/>
      <c r="FL375" s="486"/>
      <c r="FM375" s="510"/>
      <c r="FN375" s="486"/>
      <c r="FO375" s="510"/>
      <c r="FP375" s="486"/>
      <c r="FQ375" s="510"/>
      <c r="FR375" s="486"/>
      <c r="FS375" s="486"/>
    </row>
    <row r="376" spans="1:176" ht="12.75" hidden="1" customHeight="1" outlineLevel="2" x14ac:dyDescent="0.2">
      <c r="A376" s="500" t="s">
        <v>101</v>
      </c>
      <c r="B376" s="510"/>
      <c r="C376" s="487"/>
      <c r="D376" s="510"/>
      <c r="E376" s="487"/>
      <c r="F376" s="510"/>
      <c r="G376" s="487"/>
      <c r="H376" s="510"/>
      <c r="I376" s="487"/>
      <c r="J376" s="510"/>
      <c r="K376" s="487"/>
      <c r="L376" s="510"/>
      <c r="M376" s="487"/>
      <c r="N376" s="510"/>
      <c r="O376" s="487"/>
      <c r="P376" s="510"/>
      <c r="Q376" s="487"/>
      <c r="R376" s="510"/>
      <c r="S376" s="487"/>
      <c r="T376" s="510"/>
      <c r="U376" s="487"/>
      <c r="V376" s="510"/>
      <c r="W376" s="487"/>
      <c r="X376" s="510"/>
      <c r="Y376" s="487"/>
      <c r="Z376" s="510"/>
      <c r="AA376" s="487"/>
      <c r="AB376" s="510"/>
      <c r="AC376" s="487"/>
      <c r="AD376" s="510"/>
      <c r="AE376" s="487"/>
      <c r="AF376" s="510"/>
      <c r="AG376" s="487"/>
      <c r="AH376" s="510"/>
      <c r="AI376" s="486"/>
      <c r="AJ376" s="510"/>
      <c r="AK376" s="486"/>
      <c r="AL376" s="510"/>
      <c r="AM376" s="486"/>
      <c r="AN376" s="510"/>
      <c r="AO376" s="486"/>
      <c r="AP376" s="510"/>
      <c r="AQ376" s="486"/>
      <c r="AR376" s="510"/>
      <c r="AS376" s="486"/>
      <c r="AT376" s="510"/>
      <c r="AU376" s="486"/>
      <c r="AV376" s="510"/>
      <c r="AW376" s="486"/>
      <c r="AX376" s="510"/>
      <c r="AY376" s="486"/>
      <c r="AZ376" s="510"/>
      <c r="BA376" s="486"/>
      <c r="BB376" s="510"/>
      <c r="BC376" s="486"/>
      <c r="BD376" s="510"/>
      <c r="BE376" s="486"/>
      <c r="BF376" s="510"/>
      <c r="BG376" s="486"/>
      <c r="BH376" s="510"/>
      <c r="BI376" s="486"/>
      <c r="BJ376" s="510"/>
      <c r="BK376" s="486"/>
      <c r="BL376" s="510"/>
      <c r="BM376" s="486"/>
      <c r="BN376" s="510"/>
      <c r="BO376" s="486"/>
      <c r="BP376" s="510"/>
      <c r="BQ376" s="486"/>
      <c r="BR376" s="510"/>
      <c r="BS376" s="486"/>
      <c r="BT376" s="510"/>
      <c r="BU376" s="486"/>
      <c r="BV376" s="510"/>
      <c r="BW376" s="486"/>
      <c r="BX376" s="510"/>
      <c r="BY376" s="486"/>
      <c r="BZ376" s="510"/>
      <c r="CA376" s="486"/>
      <c r="CB376" s="510"/>
      <c r="CC376" s="486"/>
      <c r="CD376" s="510"/>
      <c r="CE376" s="486"/>
      <c r="CF376" s="510"/>
      <c r="CG376" s="486"/>
      <c r="CH376" s="510"/>
      <c r="CI376" s="486"/>
      <c r="CJ376" s="510"/>
      <c r="CK376" s="486"/>
      <c r="CL376" s="510"/>
      <c r="CM376" s="486"/>
      <c r="CN376" s="510"/>
      <c r="CO376" s="486"/>
      <c r="CP376" s="510"/>
      <c r="CQ376" s="486"/>
      <c r="CR376" s="510"/>
      <c r="CS376" s="486"/>
      <c r="CT376" s="510"/>
      <c r="CU376" s="486"/>
      <c r="CV376" s="510"/>
      <c r="CW376" s="486"/>
      <c r="CX376" s="510"/>
      <c r="CY376" s="486"/>
      <c r="CZ376" s="510"/>
      <c r="DA376" s="486"/>
      <c r="DB376" s="510"/>
      <c r="DC376" s="486"/>
      <c r="DD376" s="510"/>
      <c r="DE376" s="486"/>
      <c r="DF376" s="510"/>
      <c r="DG376" s="486"/>
      <c r="DH376" s="510"/>
      <c r="DI376" s="486"/>
      <c r="DJ376" s="510"/>
      <c r="DK376" s="486"/>
      <c r="DL376" s="510"/>
      <c r="DM376" s="486"/>
      <c r="DN376" s="510"/>
      <c r="DO376" s="486"/>
      <c r="DP376" s="510"/>
      <c r="DQ376" s="486"/>
      <c r="DR376" s="510"/>
      <c r="DS376" s="486"/>
      <c r="DT376" s="510"/>
      <c r="DU376" s="486"/>
      <c r="DV376" s="510"/>
      <c r="DW376" s="486"/>
      <c r="DX376" s="510"/>
      <c r="DY376" s="486"/>
      <c r="DZ376" s="510"/>
      <c r="EA376" s="486"/>
      <c r="EB376" s="487"/>
      <c r="EC376" s="510"/>
      <c r="ED376" s="487"/>
      <c r="EE376" s="510"/>
      <c r="EF376" s="487"/>
      <c r="EG376" s="510"/>
      <c r="EH376" s="487"/>
      <c r="EI376" s="510"/>
      <c r="EJ376" s="486"/>
      <c r="EK376" s="510"/>
      <c r="EL376" s="486"/>
      <c r="EM376" s="510"/>
      <c r="EN376" s="486"/>
      <c r="EO376" s="510"/>
      <c r="EP376" s="486"/>
      <c r="EQ376" s="510"/>
      <c r="ER376" s="486"/>
      <c r="ES376" s="510"/>
      <c r="ET376" s="486"/>
      <c r="EU376" s="510"/>
      <c r="EV376" s="486"/>
      <c r="EW376" s="510"/>
      <c r="EX376" s="486"/>
      <c r="EY376" s="510"/>
      <c r="EZ376" s="486"/>
      <c r="FA376" s="510"/>
      <c r="FB376" s="486"/>
      <c r="FC376" s="510"/>
      <c r="FD376" s="486"/>
      <c r="FE376" s="510"/>
      <c r="FF376" s="486"/>
      <c r="FG376" s="510"/>
      <c r="FH376" s="486"/>
      <c r="FI376" s="510"/>
      <c r="FJ376" s="486"/>
      <c r="FK376" s="510"/>
      <c r="FL376" s="486"/>
      <c r="FM376" s="510"/>
      <c r="FN376" s="486"/>
      <c r="FO376" s="510"/>
      <c r="FP376" s="486"/>
      <c r="FQ376" s="510"/>
      <c r="FR376" s="486"/>
      <c r="FS376" s="486"/>
    </row>
    <row r="377" spans="1:176" ht="12.75" hidden="1" customHeight="1" outlineLevel="2" x14ac:dyDescent="0.2">
      <c r="A377" s="246"/>
      <c r="B377" s="510"/>
      <c r="C377" s="487"/>
      <c r="D377" s="510"/>
      <c r="E377" s="487"/>
      <c r="F377" s="510"/>
      <c r="G377" s="487"/>
      <c r="H377" s="510"/>
      <c r="I377" s="487"/>
      <c r="J377" s="510"/>
      <c r="K377" s="487"/>
      <c r="L377" s="510"/>
      <c r="M377" s="487"/>
      <c r="N377" s="510"/>
      <c r="O377" s="487"/>
      <c r="P377" s="510"/>
      <c r="Q377" s="487"/>
      <c r="R377" s="510"/>
      <c r="S377" s="487"/>
      <c r="T377" s="510"/>
      <c r="U377" s="487"/>
      <c r="V377" s="510"/>
      <c r="W377" s="487"/>
      <c r="X377" s="510"/>
      <c r="Y377" s="487"/>
      <c r="Z377" s="510"/>
      <c r="AA377" s="487"/>
      <c r="AB377" s="510"/>
      <c r="AC377" s="487"/>
      <c r="AD377" s="510"/>
      <c r="AE377" s="487"/>
      <c r="AF377" s="510"/>
      <c r="AG377" s="487"/>
      <c r="AH377" s="510"/>
      <c r="AI377" s="486"/>
      <c r="AJ377" s="510"/>
      <c r="AK377" s="486"/>
      <c r="AL377" s="510"/>
      <c r="AM377" s="486"/>
      <c r="AN377" s="510"/>
      <c r="AO377" s="486"/>
      <c r="AP377" s="510"/>
      <c r="AQ377" s="486"/>
      <c r="AR377" s="510"/>
      <c r="AS377" s="486"/>
      <c r="AT377" s="510"/>
      <c r="AU377" s="486"/>
      <c r="AV377" s="510"/>
      <c r="AW377" s="486"/>
      <c r="AX377" s="510"/>
      <c r="AY377" s="486"/>
      <c r="AZ377" s="510"/>
      <c r="BA377" s="486"/>
      <c r="BB377" s="510"/>
      <c r="BC377" s="486"/>
      <c r="BD377" s="510"/>
      <c r="BE377" s="486"/>
      <c r="BF377" s="510"/>
      <c r="BG377" s="486"/>
      <c r="BH377" s="510"/>
      <c r="BI377" s="486"/>
      <c r="BJ377" s="510"/>
      <c r="BK377" s="486"/>
      <c r="BL377" s="510"/>
      <c r="BM377" s="486"/>
      <c r="BN377" s="510"/>
      <c r="BO377" s="486"/>
      <c r="BP377" s="510"/>
      <c r="BQ377" s="486"/>
      <c r="BR377" s="510"/>
      <c r="BS377" s="486"/>
      <c r="BT377" s="510"/>
      <c r="BU377" s="486"/>
      <c r="BV377" s="510"/>
      <c r="BW377" s="486"/>
      <c r="BX377" s="510"/>
      <c r="BY377" s="486"/>
      <c r="BZ377" s="510"/>
      <c r="CA377" s="486"/>
      <c r="CB377" s="510"/>
      <c r="CC377" s="486"/>
      <c r="CD377" s="510"/>
      <c r="CE377" s="486"/>
      <c r="CF377" s="510"/>
      <c r="CG377" s="486"/>
      <c r="CH377" s="510"/>
      <c r="CI377" s="486"/>
      <c r="CJ377" s="510"/>
      <c r="CK377" s="486"/>
      <c r="CL377" s="510"/>
      <c r="CM377" s="486"/>
      <c r="CN377" s="510"/>
      <c r="CO377" s="486"/>
      <c r="CP377" s="510"/>
      <c r="CQ377" s="486"/>
      <c r="CR377" s="510"/>
      <c r="CS377" s="486"/>
      <c r="CT377" s="510"/>
      <c r="CU377" s="486"/>
      <c r="CV377" s="510"/>
      <c r="CW377" s="486"/>
      <c r="CX377" s="510"/>
      <c r="CY377" s="486"/>
      <c r="CZ377" s="510"/>
      <c r="DA377" s="486"/>
      <c r="DB377" s="510"/>
      <c r="DC377" s="486"/>
      <c r="DD377" s="510"/>
      <c r="DE377" s="486"/>
      <c r="DF377" s="510"/>
      <c r="DG377" s="486"/>
      <c r="DH377" s="510"/>
      <c r="DI377" s="486"/>
      <c r="DJ377" s="510"/>
      <c r="DK377" s="486"/>
      <c r="DL377" s="510"/>
      <c r="DM377" s="486"/>
      <c r="DN377" s="510"/>
      <c r="DO377" s="486"/>
      <c r="DP377" s="510"/>
      <c r="DQ377" s="486"/>
      <c r="DR377" s="510"/>
      <c r="DS377" s="486"/>
      <c r="DT377" s="510"/>
      <c r="DU377" s="486"/>
      <c r="DV377" s="510"/>
      <c r="DW377" s="486"/>
      <c r="DX377" s="510"/>
      <c r="DY377" s="486"/>
      <c r="DZ377" s="510"/>
      <c r="EA377" s="486"/>
      <c r="EB377" s="487"/>
      <c r="EC377" s="510"/>
      <c r="ED377" s="487"/>
      <c r="EE377" s="510"/>
      <c r="EF377" s="487"/>
      <c r="EG377" s="510"/>
      <c r="EH377" s="487"/>
      <c r="EI377" s="510"/>
      <c r="EJ377" s="486"/>
      <c r="EK377" s="510"/>
      <c r="EL377" s="486"/>
      <c r="EM377" s="510"/>
      <c r="EN377" s="486"/>
      <c r="EO377" s="510"/>
      <c r="EP377" s="486"/>
      <c r="EQ377" s="510"/>
      <c r="ER377" s="486"/>
      <c r="ES377" s="510"/>
      <c r="ET377" s="486"/>
      <c r="EU377" s="510"/>
      <c r="EV377" s="486"/>
      <c r="EW377" s="510"/>
      <c r="EX377" s="486"/>
      <c r="EY377" s="510"/>
      <c r="EZ377" s="486"/>
      <c r="FA377" s="510"/>
      <c r="FB377" s="486"/>
      <c r="FC377" s="510"/>
      <c r="FD377" s="486"/>
      <c r="FE377" s="510"/>
      <c r="FF377" s="486"/>
      <c r="FG377" s="510"/>
      <c r="FH377" s="486"/>
      <c r="FI377" s="510"/>
      <c r="FJ377" s="486"/>
      <c r="FK377" s="510"/>
      <c r="FL377" s="486"/>
      <c r="FM377" s="510"/>
      <c r="FN377" s="486"/>
      <c r="FO377" s="510"/>
      <c r="FP377" s="486"/>
      <c r="FQ377" s="510"/>
      <c r="FR377" s="486"/>
      <c r="FS377" s="486"/>
    </row>
    <row r="378" spans="1:176" ht="21.95" hidden="1" customHeight="1" outlineLevel="1" collapsed="1" x14ac:dyDescent="0.25">
      <c r="A378" s="353" t="str">
        <f>$A$1</f>
        <v>Prudential Financial, Inc.</v>
      </c>
      <c r="B378" s="486"/>
      <c r="C378" s="487"/>
      <c r="D378" s="486"/>
      <c r="E378" s="487"/>
      <c r="F378" s="486"/>
      <c r="G378" s="487"/>
      <c r="H378" s="486"/>
      <c r="I378" s="487"/>
      <c r="J378" s="486"/>
      <c r="K378" s="487"/>
      <c r="L378" s="486"/>
      <c r="M378" s="487"/>
      <c r="N378" s="486"/>
      <c r="O378" s="487"/>
      <c r="P378" s="486"/>
      <c r="Q378" s="487"/>
      <c r="R378" s="486"/>
      <c r="S378" s="487"/>
      <c r="T378" s="486"/>
      <c r="U378" s="487"/>
      <c r="V378" s="486"/>
      <c r="W378" s="487"/>
      <c r="X378" s="486"/>
      <c r="Y378" s="487"/>
      <c r="Z378" s="486"/>
      <c r="AA378" s="487"/>
      <c r="AB378" s="486"/>
      <c r="AC378" s="487"/>
      <c r="AD378" s="486"/>
      <c r="AE378" s="487"/>
      <c r="AF378" s="486"/>
      <c r="AG378" s="487"/>
      <c r="AH378" s="486"/>
      <c r="AI378" s="486"/>
      <c r="AJ378" s="486"/>
      <c r="AK378" s="486"/>
      <c r="AL378" s="486"/>
      <c r="AM378" s="486"/>
      <c r="AN378" s="486"/>
      <c r="AO378" s="486"/>
      <c r="AP378" s="486"/>
      <c r="AQ378" s="486"/>
      <c r="AR378" s="486"/>
      <c r="AS378" s="486"/>
      <c r="AT378" s="486"/>
      <c r="AU378" s="486"/>
      <c r="AV378" s="486"/>
      <c r="AW378" s="486"/>
      <c r="AX378" s="486"/>
      <c r="AY378" s="486"/>
      <c r="AZ378" s="486"/>
      <c r="BA378" s="486"/>
      <c r="BB378" s="486"/>
      <c r="BC378" s="486"/>
      <c r="BD378" s="486"/>
      <c r="BE378" s="486"/>
      <c r="BF378" s="486"/>
      <c r="BG378" s="486"/>
      <c r="BH378" s="486"/>
      <c r="BI378" s="486"/>
      <c r="BJ378" s="486"/>
      <c r="BK378" s="486"/>
      <c r="BL378" s="486"/>
      <c r="BM378" s="486"/>
      <c r="BN378" s="486"/>
      <c r="BO378" s="486"/>
      <c r="BP378" s="486"/>
      <c r="BQ378" s="486"/>
      <c r="BR378" s="486"/>
      <c r="BS378" s="486"/>
      <c r="BT378" s="486"/>
      <c r="BU378" s="486"/>
      <c r="BV378" s="486"/>
      <c r="BW378" s="486"/>
      <c r="BX378" s="486"/>
      <c r="BY378" s="486"/>
      <c r="BZ378" s="486"/>
      <c r="CA378" s="486"/>
      <c r="CB378" s="486"/>
      <c r="CC378" s="486"/>
      <c r="CD378" s="486"/>
      <c r="CE378" s="486"/>
      <c r="CF378" s="486"/>
      <c r="CG378" s="486"/>
      <c r="CH378" s="486"/>
      <c r="CI378" s="486"/>
      <c r="CJ378" s="486"/>
      <c r="CK378" s="486"/>
      <c r="CL378" s="486"/>
      <c r="CM378" s="486"/>
      <c r="CN378" s="486"/>
      <c r="CO378" s="486"/>
      <c r="CP378" s="486"/>
      <c r="CQ378" s="486"/>
      <c r="CR378" s="486"/>
      <c r="CS378" s="486"/>
      <c r="CT378" s="486"/>
      <c r="CU378" s="486"/>
      <c r="CV378" s="486"/>
      <c r="CW378" s="486"/>
      <c r="CX378" s="486"/>
      <c r="CY378" s="486"/>
      <c r="CZ378" s="486"/>
      <c r="DA378" s="486"/>
      <c r="DB378" s="486"/>
      <c r="DC378" s="486"/>
      <c r="DD378" s="486"/>
      <c r="DE378" s="486"/>
      <c r="DF378" s="486"/>
      <c r="DG378" s="486"/>
      <c r="DH378" s="486"/>
      <c r="DI378" s="486"/>
      <c r="DJ378" s="486"/>
      <c r="DK378" s="486"/>
      <c r="DL378" s="486"/>
      <c r="DM378" s="486"/>
      <c r="DN378" s="486"/>
      <c r="DO378" s="486"/>
      <c r="DP378" s="486"/>
      <c r="DQ378" s="486"/>
      <c r="DR378" s="486"/>
      <c r="DS378" s="486"/>
      <c r="DT378" s="486"/>
      <c r="DU378" s="486"/>
      <c r="DV378" s="486"/>
      <c r="DW378" s="486"/>
      <c r="DX378" s="486"/>
      <c r="DY378" s="486"/>
      <c r="DZ378" s="486"/>
      <c r="EA378" s="486"/>
      <c r="EB378" s="487"/>
      <c r="EC378" s="486"/>
      <c r="ED378" s="487"/>
      <c r="EE378" s="486"/>
      <c r="EF378" s="487"/>
      <c r="EG378" s="486"/>
      <c r="EH378" s="487"/>
      <c r="EI378" s="486"/>
      <c r="EJ378" s="486"/>
      <c r="EK378" s="486"/>
      <c r="EL378" s="486"/>
      <c r="EM378" s="486"/>
      <c r="EN378" s="486"/>
      <c r="EO378" s="486"/>
      <c r="EP378" s="486"/>
      <c r="EQ378" s="486"/>
      <c r="ER378" s="486"/>
      <c r="ES378" s="486"/>
      <c r="ET378" s="486"/>
      <c r="EU378" s="486"/>
      <c r="EV378" s="486"/>
      <c r="EW378" s="486"/>
      <c r="EX378" s="486"/>
      <c r="EY378" s="486"/>
      <c r="EZ378" s="486"/>
      <c r="FA378" s="486"/>
      <c r="FB378" s="486"/>
      <c r="FC378" s="486"/>
      <c r="FD378" s="486"/>
      <c r="FE378" s="486"/>
      <c r="FF378" s="486"/>
      <c r="FG378" s="486"/>
      <c r="FH378" s="486"/>
      <c r="FI378" s="486"/>
      <c r="FJ378" s="486"/>
      <c r="FK378" s="486"/>
      <c r="FL378" s="486"/>
      <c r="FM378" s="486"/>
      <c r="FN378" s="486"/>
      <c r="FO378" s="486"/>
      <c r="FP378" s="486"/>
      <c r="FQ378" s="486"/>
      <c r="FR378" s="486"/>
      <c r="FS378" s="486"/>
    </row>
    <row r="379" spans="1:176" ht="12.75" hidden="1" customHeight="1" outlineLevel="1" x14ac:dyDescent="0.2">
      <c r="A379" s="488" t="s">
        <v>69</v>
      </c>
      <c r="B379" s="489"/>
      <c r="C379" s="490"/>
      <c r="D379" s="489"/>
      <c r="E379" s="490"/>
      <c r="F379" s="489"/>
      <c r="G379" s="490"/>
      <c r="H379" s="489"/>
      <c r="I379" s="490"/>
      <c r="J379" s="489"/>
      <c r="K379" s="490"/>
      <c r="L379" s="489"/>
      <c r="M379" s="490"/>
      <c r="N379" s="489"/>
      <c r="O379" s="490"/>
      <c r="P379" s="489"/>
      <c r="Q379" s="490"/>
      <c r="R379" s="489"/>
      <c r="S379" s="490"/>
      <c r="T379" s="489"/>
      <c r="U379" s="490"/>
      <c r="V379" s="489"/>
      <c r="W379" s="490"/>
      <c r="X379" s="489"/>
      <c r="Y379" s="490"/>
      <c r="Z379" s="489"/>
      <c r="AA379" s="490"/>
      <c r="AB379" s="489"/>
      <c r="AC379" s="490"/>
      <c r="AD379" s="489"/>
      <c r="AE379" s="490"/>
      <c r="AF379" s="489"/>
      <c r="AG379" s="490"/>
      <c r="AH379" s="489"/>
      <c r="AI379" s="489"/>
      <c r="AJ379" s="489"/>
      <c r="AK379" s="489"/>
      <c r="AL379" s="489"/>
      <c r="AM379" s="489"/>
      <c r="AN379" s="489"/>
      <c r="AO379" s="489"/>
      <c r="AP379" s="489"/>
      <c r="AQ379" s="489"/>
      <c r="AR379" s="489"/>
      <c r="AS379" s="489"/>
      <c r="AT379" s="489"/>
      <c r="AU379" s="489"/>
      <c r="AV379" s="489"/>
      <c r="AW379" s="489"/>
      <c r="AX379" s="489"/>
      <c r="AY379" s="489"/>
      <c r="AZ379" s="489"/>
      <c r="BA379" s="489"/>
      <c r="BB379" s="489"/>
      <c r="BC379" s="489"/>
      <c r="BD379" s="489"/>
      <c r="BE379" s="489"/>
      <c r="BF379" s="489"/>
      <c r="BG379" s="489"/>
      <c r="BH379" s="489"/>
      <c r="BI379" s="489"/>
      <c r="BJ379" s="489"/>
      <c r="BK379" s="489"/>
      <c r="BL379" s="489"/>
      <c r="BM379" s="489"/>
      <c r="BN379" s="489"/>
      <c r="BO379" s="489"/>
      <c r="BP379" s="489"/>
      <c r="BQ379" s="489"/>
      <c r="BR379" s="489"/>
      <c r="BS379" s="489"/>
      <c r="BT379" s="489"/>
      <c r="BU379" s="489"/>
      <c r="BV379" s="489"/>
      <c r="BW379" s="489"/>
      <c r="BX379" s="489"/>
      <c r="BY379" s="489"/>
      <c r="BZ379" s="489"/>
      <c r="CA379" s="489"/>
      <c r="CB379" s="489"/>
      <c r="CC379" s="489"/>
      <c r="CD379" s="489"/>
      <c r="CE379" s="489"/>
      <c r="CF379" s="489"/>
      <c r="CG379" s="489"/>
      <c r="CH379" s="489"/>
      <c r="CI379" s="489"/>
      <c r="CJ379" s="489"/>
      <c r="CK379" s="489"/>
      <c r="CL379" s="489"/>
      <c r="CM379" s="489"/>
      <c r="CN379" s="489"/>
      <c r="CO379" s="489"/>
      <c r="CP379" s="489"/>
      <c r="CQ379" s="489"/>
      <c r="CR379" s="489"/>
      <c r="CS379" s="489"/>
      <c r="CT379" s="489"/>
      <c r="CU379" s="489"/>
      <c r="CV379" s="489"/>
      <c r="CW379" s="489"/>
      <c r="CX379" s="489"/>
      <c r="CY379" s="489"/>
      <c r="CZ379" s="489"/>
      <c r="DA379" s="489"/>
      <c r="DB379" s="489"/>
      <c r="DC379" s="489"/>
      <c r="DD379" s="489"/>
      <c r="DE379" s="489"/>
      <c r="DF379" s="489"/>
      <c r="DG379" s="489"/>
      <c r="DH379" s="489"/>
      <c r="DI379" s="489"/>
      <c r="DJ379" s="489"/>
      <c r="DK379" s="489"/>
      <c r="DL379" s="489"/>
      <c r="DM379" s="489"/>
      <c r="DN379" s="489"/>
      <c r="DO379" s="489"/>
      <c r="DP379" s="489"/>
      <c r="DQ379" s="489"/>
      <c r="DR379" s="489"/>
      <c r="DS379" s="489"/>
      <c r="DT379" s="489"/>
      <c r="DU379" s="489"/>
      <c r="DV379" s="489"/>
      <c r="DW379" s="489"/>
      <c r="DX379" s="489"/>
      <c r="DY379" s="489"/>
      <c r="DZ379" s="489"/>
      <c r="EA379" s="489"/>
      <c r="EB379" s="490"/>
      <c r="EC379" s="489"/>
      <c r="ED379" s="490"/>
      <c r="EE379" s="489"/>
      <c r="EF379" s="490"/>
      <c r="EG379" s="489"/>
      <c r="EH379" s="490"/>
      <c r="EI379" s="489"/>
      <c r="EJ379" s="489"/>
      <c r="EK379" s="489"/>
      <c r="EL379" s="489"/>
      <c r="EM379" s="489"/>
      <c r="EN379" s="489"/>
      <c r="EO379" s="489"/>
      <c r="EP379" s="489"/>
      <c r="EQ379" s="489"/>
      <c r="ER379" s="489"/>
      <c r="ES379" s="489"/>
      <c r="ET379" s="489"/>
      <c r="EU379" s="489"/>
      <c r="EV379" s="489"/>
      <c r="EW379" s="489"/>
      <c r="EX379" s="489"/>
      <c r="EY379" s="489"/>
      <c r="EZ379" s="489"/>
      <c r="FA379" s="489"/>
      <c r="FB379" s="489"/>
      <c r="FC379" s="489"/>
      <c r="FD379" s="489"/>
      <c r="FE379" s="489"/>
      <c r="FF379" s="489"/>
      <c r="FG379" s="489"/>
      <c r="FH379" s="489"/>
      <c r="FI379" s="489"/>
      <c r="FJ379" s="489"/>
      <c r="FK379" s="489"/>
      <c r="FL379" s="489"/>
      <c r="FM379" s="489"/>
      <c r="FN379" s="489"/>
      <c r="FO379" s="489"/>
      <c r="FP379" s="489"/>
      <c r="FQ379" s="489"/>
      <c r="FR379" s="489"/>
      <c r="FS379" s="489"/>
    </row>
    <row r="380" spans="1:176" ht="12.75" hidden="1" customHeight="1" outlineLevel="1" x14ac:dyDescent="0.2">
      <c r="A380" s="348" t="str">
        <f>+A$3</f>
        <v>($Millions Except Per Share Data)</v>
      </c>
      <c r="B380" s="502"/>
      <c r="C380" s="503" t="str">
        <f>+C$3</f>
        <v>1Q03/</v>
      </c>
      <c r="D380" s="502"/>
      <c r="E380" s="503" t="str">
        <f>+E$3</f>
        <v>2Q03/</v>
      </c>
      <c r="F380" s="502"/>
      <c r="G380" s="503" t="str">
        <f>+G$3</f>
        <v>3Q03/</v>
      </c>
      <c r="H380" s="502"/>
      <c r="I380" s="503" t="str">
        <f>+I$3</f>
        <v>4Q03/</v>
      </c>
      <c r="J380" s="502"/>
      <c r="K380" s="503" t="str">
        <f>+K$3</f>
        <v>1Q04/</v>
      </c>
      <c r="L380" s="502"/>
      <c r="M380" s="503" t="str">
        <f>+M$3</f>
        <v>2Q04/</v>
      </c>
      <c r="N380" s="502"/>
      <c r="O380" s="503" t="str">
        <f>+O$3</f>
        <v>3Q04/</v>
      </c>
      <c r="P380" s="502"/>
      <c r="Q380" s="503" t="str">
        <f>+Q$3</f>
        <v>4Q04/</v>
      </c>
      <c r="R380" s="502"/>
      <c r="S380" s="503" t="str">
        <f>+S$3</f>
        <v>1Q05/</v>
      </c>
      <c r="T380" s="502"/>
      <c r="U380" s="503" t="str">
        <f>+U$3</f>
        <v>2Q05/</v>
      </c>
      <c r="V380" s="502"/>
      <c r="W380" s="503" t="str">
        <f>+W$3</f>
        <v>3Q05/</v>
      </c>
      <c r="X380" s="502"/>
      <c r="Y380" s="503" t="str">
        <f>+Y$3</f>
        <v>4Q05/</v>
      </c>
      <c r="Z380" s="502"/>
      <c r="AA380" s="503" t="str">
        <f>+AA$3</f>
        <v>1Q06/</v>
      </c>
      <c r="AB380" s="502"/>
      <c r="AC380" s="503" t="str">
        <f>+AC$3</f>
        <v>2Q06/</v>
      </c>
      <c r="AD380" s="502"/>
      <c r="AE380" s="503" t="str">
        <f>+AE$3</f>
        <v>3Q06/</v>
      </c>
      <c r="AF380" s="502"/>
      <c r="AG380" s="503" t="str">
        <f>+AG$3</f>
        <v>4Q06/</v>
      </c>
      <c r="AH380" s="502"/>
      <c r="AI380" s="504" t="str">
        <f>+AI$3</f>
        <v>1Q07/</v>
      </c>
      <c r="AJ380" s="502"/>
      <c r="AK380" s="504" t="str">
        <f>+AK$3</f>
        <v>2Q07/</v>
      </c>
      <c r="AL380" s="502"/>
      <c r="AM380" s="504" t="str">
        <f>+AM$3</f>
        <v>3Q07/</v>
      </c>
      <c r="AN380" s="502"/>
      <c r="AO380" s="504" t="str">
        <f>+AO$3</f>
        <v>4Q07/</v>
      </c>
      <c r="AP380" s="502"/>
      <c r="AQ380" s="504" t="str">
        <f>+AQ$3</f>
        <v>1Q08/</v>
      </c>
      <c r="AR380" s="502"/>
      <c r="AS380" s="504" t="str">
        <f>+AS$3</f>
        <v>2Q08/</v>
      </c>
      <c r="AT380" s="502"/>
      <c r="AU380" s="504" t="str">
        <f>+AU$3</f>
        <v>3Q08/</v>
      </c>
      <c r="AV380" s="502"/>
      <c r="AW380" s="504" t="str">
        <f>+AW$3</f>
        <v>4Q08/</v>
      </c>
      <c r="AX380" s="502"/>
      <c r="AY380" s="504" t="str">
        <f>+AY$3</f>
        <v>1Q09/</v>
      </c>
      <c r="AZ380" s="502"/>
      <c r="BA380" s="504" t="str">
        <f>+BA$3</f>
        <v>2Q09/</v>
      </c>
      <c r="BB380" s="502"/>
      <c r="BC380" s="504" t="str">
        <f>+BC$3</f>
        <v>3Q09/</v>
      </c>
      <c r="BD380" s="502"/>
      <c r="BE380" s="504" t="str">
        <f>+BE$3</f>
        <v>4Q09/</v>
      </c>
      <c r="BF380" s="502"/>
      <c r="BG380" s="504" t="str">
        <f>+BG$3</f>
        <v>1Q10/</v>
      </c>
      <c r="BH380" s="502"/>
      <c r="BI380" s="504" t="str">
        <f>+BI$3</f>
        <v>2Q10/</v>
      </c>
      <c r="BJ380" s="502"/>
      <c r="BK380" s="504" t="str">
        <f>+BK$3</f>
        <v>3Q10/</v>
      </c>
      <c r="BL380" s="502"/>
      <c r="BM380" s="504" t="str">
        <f>+BM$3</f>
        <v>4Q10/</v>
      </c>
      <c r="BN380" s="502"/>
      <c r="BO380" s="504" t="str">
        <f>+BO$3</f>
        <v>1Q11/</v>
      </c>
      <c r="BP380" s="502"/>
      <c r="BQ380" s="504" t="str">
        <f>+BQ$3</f>
        <v>2Q11/</v>
      </c>
      <c r="BR380" s="502"/>
      <c r="BS380" s="504" t="str">
        <f>+BS$3</f>
        <v>3Q11/</v>
      </c>
      <c r="BT380" s="502"/>
      <c r="BU380" s="504" t="str">
        <f>+BU$3</f>
        <v>4Q11/</v>
      </c>
      <c r="BV380" s="502"/>
      <c r="BW380" s="504" t="str">
        <f>+BW$3</f>
        <v>1Q12/</v>
      </c>
      <c r="BX380" s="502"/>
      <c r="BY380" s="504" t="str">
        <f>+BY$3</f>
        <v>2Q12/</v>
      </c>
      <c r="BZ380" s="502"/>
      <c r="CA380" s="504" t="str">
        <f>+CA$3</f>
        <v>3Q12/</v>
      </c>
      <c r="CB380" s="502"/>
      <c r="CC380" s="504" t="str">
        <f>+CC$3</f>
        <v>4Q12/</v>
      </c>
      <c r="CD380" s="502"/>
      <c r="CE380" s="504" t="str">
        <f>+CE$3</f>
        <v>1Q13/</v>
      </c>
      <c r="CF380" s="502"/>
      <c r="CG380" s="504" t="str">
        <f>+CG$3</f>
        <v>2Q13/</v>
      </c>
      <c r="CH380" s="502"/>
      <c r="CI380" s="504" t="str">
        <f>+CI$3</f>
        <v>3Q13/</v>
      </c>
      <c r="CJ380" s="502"/>
      <c r="CK380" s="504" t="str">
        <f>+CK$3</f>
        <v>4Q13/</v>
      </c>
      <c r="CL380" s="502"/>
      <c r="CM380" s="504" t="str">
        <f>+CM$3</f>
        <v>1Q14/</v>
      </c>
      <c r="CN380" s="502"/>
      <c r="CO380" s="504" t="str">
        <f>+CO$3</f>
        <v>2Q14/</v>
      </c>
      <c r="CP380" s="502"/>
      <c r="CQ380" s="504" t="str">
        <f>+CQ$3</f>
        <v>3Q14/</v>
      </c>
      <c r="CR380" s="502"/>
      <c r="CS380" s="504" t="str">
        <f>+CS$3</f>
        <v>4Q14/</v>
      </c>
      <c r="CT380" s="502"/>
      <c r="CU380" s="504" t="str">
        <f>+CU$3</f>
        <v>1Q15/</v>
      </c>
      <c r="CV380" s="502"/>
      <c r="CW380" s="504" t="str">
        <f>+CW$3</f>
        <v>2Q15/</v>
      </c>
      <c r="CX380" s="502"/>
      <c r="CY380" s="504" t="str">
        <f>+CY$3</f>
        <v>3Q15/</v>
      </c>
      <c r="CZ380" s="502"/>
      <c r="DA380" s="504" t="str">
        <f>+DA$3</f>
        <v>4Q15/</v>
      </c>
      <c r="DB380" s="502"/>
      <c r="DC380" s="504" t="str">
        <f>+DC$3</f>
        <v>1Q16/</v>
      </c>
      <c r="DD380" s="502"/>
      <c r="DE380" s="504" t="str">
        <f>+DE$3</f>
        <v>2Q16/</v>
      </c>
      <c r="DF380" s="502"/>
      <c r="DG380" s="504" t="str">
        <f>+DG$3</f>
        <v>3Q16/</v>
      </c>
      <c r="DH380" s="502"/>
      <c r="DI380" s="504" t="str">
        <f>+DI$3</f>
        <v>4Q16/</v>
      </c>
      <c r="DJ380" s="502"/>
      <c r="DK380" s="504" t="str">
        <f>+DK$3</f>
        <v>1Q17/</v>
      </c>
      <c r="DL380" s="502"/>
      <c r="DM380" s="504" t="str">
        <f>+DM$3</f>
        <v>2Q17/</v>
      </c>
      <c r="DN380" s="502"/>
      <c r="DO380" s="504" t="str">
        <f>+DO$3</f>
        <v>3Q17/</v>
      </c>
      <c r="DP380" s="502"/>
      <c r="DQ380" s="504" t="str">
        <f>+DQ$3</f>
        <v>4Q17/</v>
      </c>
      <c r="DR380" s="502"/>
      <c r="DS380" s="504" t="str">
        <f>+DS$3</f>
        <v>1Q18E/</v>
      </c>
      <c r="DT380" s="502"/>
      <c r="DU380" s="504" t="str">
        <f>+DU$3</f>
        <v>2Q18E/</v>
      </c>
      <c r="DV380" s="502"/>
      <c r="DW380" s="504" t="str">
        <f>+DW$3</f>
        <v>3Q18E/</v>
      </c>
      <c r="DX380" s="502"/>
      <c r="DY380" s="504" t="str">
        <f>+DY$3</f>
        <v>4Q18E/</v>
      </c>
      <c r="DZ380" s="502"/>
      <c r="EA380" s="504"/>
      <c r="EB380" s="503" t="str">
        <f>+EB$3</f>
        <v>2001/</v>
      </c>
      <c r="EC380" s="502"/>
      <c r="ED380" s="503" t="str">
        <f>+ED$3</f>
        <v>2002/</v>
      </c>
      <c r="EE380" s="502"/>
      <c r="EF380" s="503" t="str">
        <f>+EF$3</f>
        <v>2003/</v>
      </c>
      <c r="EG380" s="502"/>
      <c r="EH380" s="503" t="str">
        <f>+EH$3</f>
        <v>2004/</v>
      </c>
      <c r="EI380" s="502"/>
      <c r="EJ380" s="504" t="str">
        <f>+EJ$3</f>
        <v>2005/</v>
      </c>
      <c r="EK380" s="502"/>
      <c r="EL380" s="504" t="str">
        <f>+EL$3</f>
        <v>2006/</v>
      </c>
      <c r="EM380" s="502"/>
      <c r="EN380" s="504" t="str">
        <f>+EN$3</f>
        <v>2007/</v>
      </c>
      <c r="EO380" s="502"/>
      <c r="EP380" s="504" t="str">
        <f>+EP$3</f>
        <v>2008/</v>
      </c>
      <c r="EQ380" s="502"/>
      <c r="ER380" s="504" t="str">
        <f>+ER$3</f>
        <v>2009/</v>
      </c>
      <c r="ES380" s="502"/>
      <c r="ET380" s="504" t="str">
        <f>+ET$3</f>
        <v>2010/</v>
      </c>
      <c r="EU380" s="502"/>
      <c r="EV380" s="504" t="str">
        <f>+EV$3</f>
        <v>2011/</v>
      </c>
      <c r="EW380" s="502"/>
      <c r="EX380" s="504" t="str">
        <f>+EX$3</f>
        <v>2012/</v>
      </c>
      <c r="EY380" s="502"/>
      <c r="EZ380" s="504" t="str">
        <f>+EZ$3</f>
        <v>2013/</v>
      </c>
      <c r="FA380" s="502"/>
      <c r="FB380" s="504" t="str">
        <f>+FB$3</f>
        <v>2014/</v>
      </c>
      <c r="FC380" s="502"/>
      <c r="FD380" s="504" t="str">
        <f>+FD$3</f>
        <v>2015/</v>
      </c>
      <c r="FE380" s="502"/>
      <c r="FF380" s="504" t="str">
        <f>+FF$3</f>
        <v>2016/</v>
      </c>
      <c r="FG380" s="502"/>
      <c r="FH380" s="504" t="str">
        <f>+FH$3</f>
        <v>2017/</v>
      </c>
      <c r="FI380" s="502"/>
      <c r="FJ380" s="504" t="str">
        <f>+FJ$3</f>
        <v>2018E/</v>
      </c>
      <c r="FK380" s="502"/>
      <c r="FL380" s="504" t="str">
        <f>+FL$3</f>
        <v>2019E/</v>
      </c>
      <c r="FM380" s="502"/>
      <c r="FN380" s="504" t="str">
        <f>+FN$3</f>
        <v>2020E/</v>
      </c>
      <c r="FO380" s="502"/>
      <c r="FP380" s="504" t="str">
        <f>+FP$3</f>
        <v>2021E/</v>
      </c>
      <c r="FQ380" s="502"/>
      <c r="FR380" s="504" t="str">
        <f>+FR$3</f>
        <v>2022E/</v>
      </c>
      <c r="FS380" s="504" t="str">
        <f>+FS$3</f>
        <v>5-Yr</v>
      </c>
      <c r="FT380" s="349"/>
    </row>
    <row r="381" spans="1:176" ht="12.75" hidden="1" customHeight="1" outlineLevel="1" x14ac:dyDescent="0.2">
      <c r="A381" s="492"/>
      <c r="B381" s="491"/>
      <c r="C381" s="490" t="str">
        <f>+C$4</f>
        <v>1Q02</v>
      </c>
      <c r="D381" s="491"/>
      <c r="E381" s="490" t="str">
        <f>+E$4</f>
        <v>2Q02</v>
      </c>
      <c r="F381" s="491"/>
      <c r="G381" s="490" t="str">
        <f>+G$4</f>
        <v>3Q02</v>
      </c>
      <c r="H381" s="491"/>
      <c r="I381" s="490" t="str">
        <f>+I$4</f>
        <v>4Q02</v>
      </c>
      <c r="J381" s="491"/>
      <c r="K381" s="490" t="str">
        <f>+K$4</f>
        <v>1Q03</v>
      </c>
      <c r="L381" s="491"/>
      <c r="M381" s="490" t="str">
        <f>+M$4</f>
        <v>2Q03</v>
      </c>
      <c r="N381" s="491"/>
      <c r="O381" s="490" t="str">
        <f>+O$4</f>
        <v>3Q03</v>
      </c>
      <c r="P381" s="491"/>
      <c r="Q381" s="490" t="str">
        <f>+Q$4</f>
        <v>4Q03</v>
      </c>
      <c r="R381" s="491"/>
      <c r="S381" s="490" t="str">
        <f>+S$4</f>
        <v>1Q04</v>
      </c>
      <c r="T381" s="491"/>
      <c r="U381" s="490" t="str">
        <f>+U$4</f>
        <v>2Q04</v>
      </c>
      <c r="V381" s="491"/>
      <c r="W381" s="490" t="str">
        <f>+W$4</f>
        <v>3Q04</v>
      </c>
      <c r="X381" s="491"/>
      <c r="Y381" s="490" t="str">
        <f>+Y$4</f>
        <v>4Q04</v>
      </c>
      <c r="Z381" s="491"/>
      <c r="AA381" s="490" t="str">
        <f>+AA$4</f>
        <v>1Q05</v>
      </c>
      <c r="AB381" s="491"/>
      <c r="AC381" s="490" t="str">
        <f>+AC$4</f>
        <v>2Q05</v>
      </c>
      <c r="AD381" s="491"/>
      <c r="AE381" s="490" t="str">
        <f>+AE$4</f>
        <v>3Q05</v>
      </c>
      <c r="AF381" s="491"/>
      <c r="AG381" s="490" t="str">
        <f>+AG$4</f>
        <v>4Q05</v>
      </c>
      <c r="AH381" s="491"/>
      <c r="AI381" s="489" t="str">
        <f>+AI$4</f>
        <v>1Q06</v>
      </c>
      <c r="AJ381" s="491"/>
      <c r="AK381" s="489" t="str">
        <f>+AK$4</f>
        <v>2Q06</v>
      </c>
      <c r="AL381" s="491"/>
      <c r="AM381" s="489" t="str">
        <f>+AM$4</f>
        <v>3Q06</v>
      </c>
      <c r="AN381" s="491"/>
      <c r="AO381" s="489" t="str">
        <f>+AO$4</f>
        <v>4Q06</v>
      </c>
      <c r="AP381" s="491"/>
      <c r="AQ381" s="489" t="str">
        <f>+AQ$4</f>
        <v>1Q07</v>
      </c>
      <c r="AR381" s="491"/>
      <c r="AS381" s="489" t="str">
        <f>+AS$4</f>
        <v>2Q07</v>
      </c>
      <c r="AT381" s="491"/>
      <c r="AU381" s="489" t="str">
        <f>+AU$4</f>
        <v>3Q07</v>
      </c>
      <c r="AV381" s="491"/>
      <c r="AW381" s="489" t="str">
        <f>+AW$4</f>
        <v>4Q07</v>
      </c>
      <c r="AX381" s="491"/>
      <c r="AY381" s="489" t="str">
        <f>+AY$4</f>
        <v>1Q08</v>
      </c>
      <c r="AZ381" s="491"/>
      <c r="BA381" s="489" t="str">
        <f>+BA$4</f>
        <v>2Q08</v>
      </c>
      <c r="BB381" s="491"/>
      <c r="BC381" s="489" t="str">
        <f>+BC$4</f>
        <v>3Q08</v>
      </c>
      <c r="BD381" s="491"/>
      <c r="BE381" s="489" t="str">
        <f>+BE$4</f>
        <v>4Q08</v>
      </c>
      <c r="BF381" s="491"/>
      <c r="BG381" s="489" t="str">
        <f>+BG$4</f>
        <v>1Q09</v>
      </c>
      <c r="BH381" s="491"/>
      <c r="BI381" s="489" t="str">
        <f>+BI$4</f>
        <v>2Q09</v>
      </c>
      <c r="BJ381" s="491"/>
      <c r="BK381" s="489" t="str">
        <f>+BK$4</f>
        <v>3Q09</v>
      </c>
      <c r="BL381" s="491"/>
      <c r="BM381" s="489" t="str">
        <f>+BM$4</f>
        <v>4Q09</v>
      </c>
      <c r="BN381" s="491"/>
      <c r="BO381" s="489" t="str">
        <f>+BO$4</f>
        <v>1Q10</v>
      </c>
      <c r="BP381" s="491"/>
      <c r="BQ381" s="489" t="str">
        <f>+BQ$4</f>
        <v>2Q10</v>
      </c>
      <c r="BR381" s="491"/>
      <c r="BS381" s="489" t="str">
        <f>+BS$4</f>
        <v>3Q10</v>
      </c>
      <c r="BT381" s="491"/>
      <c r="BU381" s="489" t="str">
        <f>+BU$4</f>
        <v>4Q10</v>
      </c>
      <c r="BV381" s="491"/>
      <c r="BW381" s="489" t="str">
        <f>+BW$4</f>
        <v>1Q11</v>
      </c>
      <c r="BX381" s="491"/>
      <c r="BY381" s="489" t="str">
        <f>+BY$4</f>
        <v>2Q11</v>
      </c>
      <c r="BZ381" s="491"/>
      <c r="CA381" s="489" t="str">
        <f>+CA$4</f>
        <v>3Q11</v>
      </c>
      <c r="CB381" s="491"/>
      <c r="CC381" s="489" t="str">
        <f>+CC$4</f>
        <v>4Q11</v>
      </c>
      <c r="CD381" s="491"/>
      <c r="CE381" s="489" t="str">
        <f>+CE$4</f>
        <v>1Q12</v>
      </c>
      <c r="CF381" s="491"/>
      <c r="CG381" s="489" t="str">
        <f>+CG$4</f>
        <v>2Q12</v>
      </c>
      <c r="CH381" s="491"/>
      <c r="CI381" s="489" t="str">
        <f>+CI$4</f>
        <v>3Q12</v>
      </c>
      <c r="CJ381" s="491"/>
      <c r="CK381" s="489" t="str">
        <f>+CK$4</f>
        <v>4Q12</v>
      </c>
      <c r="CL381" s="491"/>
      <c r="CM381" s="489" t="str">
        <f>+CM$4</f>
        <v>1Q13</v>
      </c>
      <c r="CN381" s="491"/>
      <c r="CO381" s="489" t="str">
        <f>+CO$4</f>
        <v>2Q13</v>
      </c>
      <c r="CP381" s="491"/>
      <c r="CQ381" s="489" t="str">
        <f>+CQ$4</f>
        <v>3Q13</v>
      </c>
      <c r="CR381" s="491"/>
      <c r="CS381" s="489" t="str">
        <f>+CS$4</f>
        <v>4Q13</v>
      </c>
      <c r="CT381" s="491"/>
      <c r="CU381" s="489" t="str">
        <f>+CU$4</f>
        <v>1Q14</v>
      </c>
      <c r="CV381" s="491"/>
      <c r="CW381" s="489" t="str">
        <f>+CW$4</f>
        <v>2Q14</v>
      </c>
      <c r="CX381" s="491"/>
      <c r="CY381" s="489" t="str">
        <f>+CY$4</f>
        <v>3Q14</v>
      </c>
      <c r="CZ381" s="491"/>
      <c r="DA381" s="489" t="str">
        <f>+DA$4</f>
        <v>4Q14</v>
      </c>
      <c r="DB381" s="491"/>
      <c r="DC381" s="489" t="str">
        <f>+DC$4</f>
        <v>1Q15</v>
      </c>
      <c r="DD381" s="491"/>
      <c r="DE381" s="489" t="str">
        <f>+DE$4</f>
        <v>2Q15</v>
      </c>
      <c r="DF381" s="491"/>
      <c r="DG381" s="489" t="str">
        <f>+DG$4</f>
        <v>3Q15</v>
      </c>
      <c r="DH381" s="491"/>
      <c r="DI381" s="489" t="str">
        <f>+DI$4</f>
        <v>4Q15</v>
      </c>
      <c r="DJ381" s="491"/>
      <c r="DK381" s="489" t="str">
        <f>+DK$4</f>
        <v>1Q16</v>
      </c>
      <c r="DL381" s="491"/>
      <c r="DM381" s="489" t="str">
        <f>+DM$4</f>
        <v>2Q16</v>
      </c>
      <c r="DN381" s="491"/>
      <c r="DO381" s="489" t="str">
        <f>+DO$4</f>
        <v>3Q16</v>
      </c>
      <c r="DP381" s="491"/>
      <c r="DQ381" s="489" t="str">
        <f>+DQ$4</f>
        <v>4Q16</v>
      </c>
      <c r="DR381" s="491"/>
      <c r="DS381" s="489" t="str">
        <f>+DS$4</f>
        <v>1Q17</v>
      </c>
      <c r="DT381" s="491"/>
      <c r="DU381" s="489" t="str">
        <f>+DU$4</f>
        <v>2Q17</v>
      </c>
      <c r="DV381" s="491"/>
      <c r="DW381" s="489" t="str">
        <f>+DW$4</f>
        <v>3Q17</v>
      </c>
      <c r="DX381" s="491"/>
      <c r="DY381" s="489" t="str">
        <f>+DY$4</f>
        <v>4Q17</v>
      </c>
      <c r="DZ381" s="491"/>
      <c r="EA381" s="489"/>
      <c r="EB381" s="490" t="str">
        <f>+EB$4</f>
        <v>2000</v>
      </c>
      <c r="EC381" s="491"/>
      <c r="ED381" s="490" t="str">
        <f>+ED$4</f>
        <v>2001</v>
      </c>
      <c r="EE381" s="491"/>
      <c r="EF381" s="490" t="str">
        <f>+EF$4</f>
        <v>2002</v>
      </c>
      <c r="EG381" s="491"/>
      <c r="EH381" s="490" t="str">
        <f>+EH$4</f>
        <v>2003</v>
      </c>
      <c r="EI381" s="491"/>
      <c r="EJ381" s="489">
        <f>+EJ$4</f>
        <v>2004</v>
      </c>
      <c r="EK381" s="491"/>
      <c r="EL381" s="489" t="str">
        <f>+EL$4</f>
        <v>2005</v>
      </c>
      <c r="EM381" s="491"/>
      <c r="EN381" s="489" t="str">
        <f>+EN$4</f>
        <v>2006</v>
      </c>
      <c r="EO381" s="491"/>
      <c r="EP381" s="489">
        <f>+EP$4</f>
        <v>2007</v>
      </c>
      <c r="EQ381" s="491"/>
      <c r="ER381" s="489" t="str">
        <f>+ER$4</f>
        <v>2008</v>
      </c>
      <c r="ES381" s="491"/>
      <c r="ET381" s="489" t="str">
        <f>+ET$4</f>
        <v>2009</v>
      </c>
      <c r="EU381" s="491"/>
      <c r="EV381" s="489" t="str">
        <f>+EV$4</f>
        <v>2010</v>
      </c>
      <c r="EW381" s="491"/>
      <c r="EX381" s="489" t="str">
        <f>+EX$4</f>
        <v>2011</v>
      </c>
      <c r="EY381" s="491"/>
      <c r="EZ381" s="489" t="str">
        <f>+EZ$4</f>
        <v>2012</v>
      </c>
      <c r="FA381" s="491"/>
      <c r="FB381" s="489" t="str">
        <f>+FB$4</f>
        <v>2013</v>
      </c>
      <c r="FC381" s="491"/>
      <c r="FD381" s="489">
        <f>+FD$4</f>
        <v>2014</v>
      </c>
      <c r="FE381" s="491"/>
      <c r="FF381" s="489" t="str">
        <f>+FF$4</f>
        <v>2015</v>
      </c>
      <c r="FG381" s="491"/>
      <c r="FH381" s="489">
        <f>+FH$4</f>
        <v>2016</v>
      </c>
      <c r="FI381" s="491"/>
      <c r="FJ381" s="489">
        <f>+FJ$4</f>
        <v>2017</v>
      </c>
      <c r="FK381" s="491"/>
      <c r="FL381" s="489" t="str">
        <f>+FL$4</f>
        <v>2018E</v>
      </c>
      <c r="FM381" s="491"/>
      <c r="FN381" s="489" t="str">
        <f>+FN$4</f>
        <v>2019E</v>
      </c>
      <c r="FO381" s="491"/>
      <c r="FP381" s="489" t="str">
        <f>+FP$4</f>
        <v>2020E</v>
      </c>
      <c r="FQ381" s="491"/>
      <c r="FR381" s="489" t="str">
        <f>+FR$4</f>
        <v>2021E</v>
      </c>
      <c r="FS381" s="489" t="str">
        <f>+FS$4</f>
        <v>CAGR</v>
      </c>
      <c r="FT381" s="349"/>
    </row>
    <row r="382" spans="1:176" ht="12.75" hidden="1" customHeight="1" outlineLevel="1" x14ac:dyDescent="0.2">
      <c r="A382" s="493"/>
      <c r="B382" s="494" t="str">
        <f t="shared" ref="B382:DJ382" si="25">+B$5</f>
        <v>1Q03</v>
      </c>
      <c r="C382" s="495" t="str">
        <f t="shared" si="25"/>
        <v>% Chg</v>
      </c>
      <c r="D382" s="494" t="str">
        <f t="shared" si="25"/>
        <v>2Q03</v>
      </c>
      <c r="E382" s="495" t="str">
        <f t="shared" si="25"/>
        <v>% Chg</v>
      </c>
      <c r="F382" s="494" t="str">
        <f t="shared" si="25"/>
        <v>3Q03</v>
      </c>
      <c r="G382" s="495" t="str">
        <f t="shared" si="25"/>
        <v>% Chg</v>
      </c>
      <c r="H382" s="494" t="str">
        <f t="shared" si="25"/>
        <v>4Q03</v>
      </c>
      <c r="I382" s="495" t="str">
        <f t="shared" si="25"/>
        <v>% Chg</v>
      </c>
      <c r="J382" s="494" t="str">
        <f t="shared" si="25"/>
        <v>1Q04</v>
      </c>
      <c r="K382" s="495" t="str">
        <f t="shared" si="25"/>
        <v>% Chg</v>
      </c>
      <c r="L382" s="494" t="str">
        <f t="shared" si="25"/>
        <v>2Q04</v>
      </c>
      <c r="M382" s="495" t="str">
        <f t="shared" si="25"/>
        <v>% Chg</v>
      </c>
      <c r="N382" s="494" t="str">
        <f t="shared" si="25"/>
        <v>3Q04</v>
      </c>
      <c r="O382" s="495" t="str">
        <f t="shared" si="25"/>
        <v>% Chg</v>
      </c>
      <c r="P382" s="494" t="str">
        <f t="shared" si="25"/>
        <v>4Q04</v>
      </c>
      <c r="Q382" s="495" t="str">
        <f t="shared" si="25"/>
        <v>% Chg</v>
      </c>
      <c r="R382" s="494" t="str">
        <f t="shared" si="25"/>
        <v>1Q05</v>
      </c>
      <c r="S382" s="495" t="str">
        <f t="shared" si="25"/>
        <v>% Chg</v>
      </c>
      <c r="T382" s="494" t="str">
        <f t="shared" si="25"/>
        <v>2Q05</v>
      </c>
      <c r="U382" s="495" t="str">
        <f t="shared" si="25"/>
        <v>% Chg</v>
      </c>
      <c r="V382" s="494" t="str">
        <f t="shared" si="25"/>
        <v>3Q05</v>
      </c>
      <c r="W382" s="495" t="str">
        <f t="shared" si="25"/>
        <v>% Chg</v>
      </c>
      <c r="X382" s="494" t="str">
        <f t="shared" si="25"/>
        <v>4Q05</v>
      </c>
      <c r="Y382" s="495" t="str">
        <f t="shared" si="25"/>
        <v>% Chg</v>
      </c>
      <c r="Z382" s="494" t="str">
        <f t="shared" si="25"/>
        <v>1Q06</v>
      </c>
      <c r="AA382" s="495" t="str">
        <f t="shared" si="25"/>
        <v>% Chg</v>
      </c>
      <c r="AB382" s="494" t="str">
        <f t="shared" si="25"/>
        <v>2Q06</v>
      </c>
      <c r="AC382" s="495" t="str">
        <f t="shared" si="25"/>
        <v>% Chg</v>
      </c>
      <c r="AD382" s="494" t="str">
        <f t="shared" si="25"/>
        <v>3Q06</v>
      </c>
      <c r="AE382" s="495" t="str">
        <f t="shared" si="25"/>
        <v>% Chg</v>
      </c>
      <c r="AF382" s="494" t="str">
        <f t="shared" si="25"/>
        <v>4Q06</v>
      </c>
      <c r="AG382" s="495" t="str">
        <f t="shared" si="25"/>
        <v>% Chg</v>
      </c>
      <c r="AH382" s="494" t="str">
        <f t="shared" si="25"/>
        <v>1Q07</v>
      </c>
      <c r="AI382" s="496" t="str">
        <f t="shared" si="25"/>
        <v>% Chg</v>
      </c>
      <c r="AJ382" s="494" t="str">
        <f t="shared" si="25"/>
        <v>2Q07</v>
      </c>
      <c r="AK382" s="496" t="str">
        <f t="shared" si="25"/>
        <v>% Chg</v>
      </c>
      <c r="AL382" s="494" t="str">
        <f t="shared" si="25"/>
        <v>3Q07</v>
      </c>
      <c r="AM382" s="496" t="str">
        <f t="shared" si="25"/>
        <v>% Chg</v>
      </c>
      <c r="AN382" s="494" t="str">
        <f t="shared" si="25"/>
        <v>4Q07</v>
      </c>
      <c r="AO382" s="496" t="str">
        <f t="shared" si="25"/>
        <v>% Chg</v>
      </c>
      <c r="AP382" s="494" t="str">
        <f t="shared" si="25"/>
        <v>1Q08</v>
      </c>
      <c r="AQ382" s="496" t="str">
        <f t="shared" si="25"/>
        <v>% Chg</v>
      </c>
      <c r="AR382" s="494" t="str">
        <f t="shared" si="25"/>
        <v>2Q08</v>
      </c>
      <c r="AS382" s="496" t="str">
        <f t="shared" si="25"/>
        <v>% Chg</v>
      </c>
      <c r="AT382" s="494" t="str">
        <f t="shared" si="25"/>
        <v>3Q08</v>
      </c>
      <c r="AU382" s="496" t="str">
        <f t="shared" si="25"/>
        <v>% Chg</v>
      </c>
      <c r="AV382" s="494" t="str">
        <f t="shared" si="25"/>
        <v>4Q08</v>
      </c>
      <c r="AW382" s="496" t="str">
        <f t="shared" si="25"/>
        <v>% Chg</v>
      </c>
      <c r="AX382" s="494" t="str">
        <f t="shared" si="25"/>
        <v>1Q09</v>
      </c>
      <c r="AY382" s="496" t="str">
        <f t="shared" si="25"/>
        <v>% Chg</v>
      </c>
      <c r="AZ382" s="494" t="str">
        <f t="shared" si="25"/>
        <v>2Q09</v>
      </c>
      <c r="BA382" s="496" t="str">
        <f t="shared" si="25"/>
        <v>% Chg</v>
      </c>
      <c r="BB382" s="494" t="str">
        <f t="shared" si="25"/>
        <v>3Q09</v>
      </c>
      <c r="BC382" s="496" t="str">
        <f t="shared" si="25"/>
        <v>% Chg</v>
      </c>
      <c r="BD382" s="494" t="str">
        <f t="shared" si="25"/>
        <v>4Q09</v>
      </c>
      <c r="BE382" s="496" t="str">
        <f t="shared" si="25"/>
        <v>% Chg</v>
      </c>
      <c r="BF382" s="494" t="str">
        <f t="shared" si="25"/>
        <v>1Q10</v>
      </c>
      <c r="BG382" s="496" t="str">
        <f t="shared" si="25"/>
        <v>% Chg</v>
      </c>
      <c r="BH382" s="494" t="str">
        <f t="shared" si="25"/>
        <v>2Q10</v>
      </c>
      <c r="BI382" s="496" t="str">
        <f t="shared" si="25"/>
        <v>% Chg</v>
      </c>
      <c r="BJ382" s="494" t="str">
        <f t="shared" si="25"/>
        <v>3Q10</v>
      </c>
      <c r="BK382" s="496" t="str">
        <f t="shared" si="25"/>
        <v>% Chg</v>
      </c>
      <c r="BL382" s="494" t="str">
        <f t="shared" si="25"/>
        <v>4Q10</v>
      </c>
      <c r="BM382" s="496" t="str">
        <f t="shared" si="25"/>
        <v>% Chg</v>
      </c>
      <c r="BN382" s="494" t="str">
        <f t="shared" si="25"/>
        <v>1Q11</v>
      </c>
      <c r="BO382" s="496" t="str">
        <f t="shared" si="25"/>
        <v>% Chg</v>
      </c>
      <c r="BP382" s="494" t="str">
        <f t="shared" si="25"/>
        <v>2Q11</v>
      </c>
      <c r="BQ382" s="496" t="str">
        <f t="shared" si="25"/>
        <v>% Chg</v>
      </c>
      <c r="BR382" s="494" t="str">
        <f t="shared" si="25"/>
        <v>3Q11</v>
      </c>
      <c r="BS382" s="496" t="str">
        <f t="shared" si="25"/>
        <v>% Chg</v>
      </c>
      <c r="BT382" s="494" t="str">
        <f t="shared" si="25"/>
        <v>4Q11</v>
      </c>
      <c r="BU382" s="496" t="str">
        <f>+BU$5</f>
        <v>% Chg</v>
      </c>
      <c r="BV382" s="494" t="str">
        <f t="shared" si="25"/>
        <v>1Q12</v>
      </c>
      <c r="BW382" s="496" t="str">
        <f>+BW$5</f>
        <v>% Chg</v>
      </c>
      <c r="BX382" s="494" t="str">
        <f t="shared" si="25"/>
        <v>2Q12</v>
      </c>
      <c r="BY382" s="496" t="str">
        <f>+BY$5</f>
        <v>% Chg</v>
      </c>
      <c r="BZ382" s="494" t="str">
        <f t="shared" si="25"/>
        <v>3Q12</v>
      </c>
      <c r="CA382" s="496" t="str">
        <f>+CA$5</f>
        <v>% Chg</v>
      </c>
      <c r="CB382" s="494" t="str">
        <f t="shared" si="25"/>
        <v>4Q12</v>
      </c>
      <c r="CC382" s="496" t="str">
        <f>+CC$5</f>
        <v>% Chg</v>
      </c>
      <c r="CD382" s="494" t="str">
        <f t="shared" si="25"/>
        <v>1Q13</v>
      </c>
      <c r="CE382" s="496" t="str">
        <f>+CE$5</f>
        <v>% Chg</v>
      </c>
      <c r="CF382" s="494" t="str">
        <f t="shared" si="25"/>
        <v>2Q13</v>
      </c>
      <c r="CG382" s="496" t="str">
        <f>+CG$5</f>
        <v>% Chg</v>
      </c>
      <c r="CH382" s="494" t="str">
        <f t="shared" si="25"/>
        <v>3Q13</v>
      </c>
      <c r="CI382" s="496" t="str">
        <f>+CI$5</f>
        <v>% Chg</v>
      </c>
      <c r="CJ382" s="494" t="str">
        <f t="shared" si="25"/>
        <v>4Q13</v>
      </c>
      <c r="CK382" s="496" t="str">
        <f>+CK$5</f>
        <v>% Chg</v>
      </c>
      <c r="CL382" s="494" t="str">
        <f t="shared" si="25"/>
        <v>1Q14</v>
      </c>
      <c r="CM382" s="496" t="str">
        <f>+CM$5</f>
        <v>% Chg</v>
      </c>
      <c r="CN382" s="494" t="str">
        <f t="shared" si="25"/>
        <v>2Q14</v>
      </c>
      <c r="CO382" s="496" t="str">
        <f>+CO$5</f>
        <v>% Chg</v>
      </c>
      <c r="CP382" s="494" t="str">
        <f t="shared" si="25"/>
        <v>3Q14</v>
      </c>
      <c r="CQ382" s="496" t="str">
        <f>+CQ$5</f>
        <v>% Chg</v>
      </c>
      <c r="CR382" s="494" t="str">
        <f t="shared" si="25"/>
        <v>4Q14</v>
      </c>
      <c r="CS382" s="496" t="str">
        <f>+CS$5</f>
        <v>% Chg</v>
      </c>
      <c r="CT382" s="494" t="str">
        <f t="shared" si="25"/>
        <v>1Q15</v>
      </c>
      <c r="CU382" s="496" t="str">
        <f>+CU$5</f>
        <v>% Chg</v>
      </c>
      <c r="CV382" s="494" t="str">
        <f t="shared" si="25"/>
        <v>2Q15</v>
      </c>
      <c r="CW382" s="496" t="str">
        <f>+CW$5</f>
        <v>% Chg</v>
      </c>
      <c r="CX382" s="494" t="str">
        <f t="shared" si="25"/>
        <v>3Q15</v>
      </c>
      <c r="CY382" s="496" t="str">
        <f>+CY$5</f>
        <v>% Chg</v>
      </c>
      <c r="CZ382" s="494" t="str">
        <f t="shared" si="25"/>
        <v>4Q15</v>
      </c>
      <c r="DA382" s="496" t="str">
        <f>+DA$5</f>
        <v>% Chg</v>
      </c>
      <c r="DB382" s="494" t="str">
        <f t="shared" si="25"/>
        <v>1Q16</v>
      </c>
      <c r="DC382" s="496" t="str">
        <f>+DC$5</f>
        <v>% Chg</v>
      </c>
      <c r="DD382" s="494" t="str">
        <f t="shared" si="25"/>
        <v>2Q16</v>
      </c>
      <c r="DE382" s="496" t="str">
        <f>+DE$5</f>
        <v>% Chg</v>
      </c>
      <c r="DF382" s="494" t="str">
        <f t="shared" si="25"/>
        <v>3Q16</v>
      </c>
      <c r="DG382" s="496" t="str">
        <f>+DG$5</f>
        <v>% Chg</v>
      </c>
      <c r="DH382" s="494" t="str">
        <f t="shared" si="25"/>
        <v>4Q16</v>
      </c>
      <c r="DI382" s="496" t="str">
        <f>+DI$5</f>
        <v>% Chg</v>
      </c>
      <c r="DJ382" s="494" t="str">
        <f t="shared" si="25"/>
        <v>1Q17</v>
      </c>
      <c r="DK382" s="496" t="str">
        <f t="shared" ref="DK382:DY382" si="26">+DK$5</f>
        <v>% Chg</v>
      </c>
      <c r="DL382" s="494" t="str">
        <f t="shared" si="26"/>
        <v>2Q17</v>
      </c>
      <c r="DM382" s="496" t="str">
        <f t="shared" si="26"/>
        <v>% Chg</v>
      </c>
      <c r="DN382" s="494" t="str">
        <f t="shared" si="26"/>
        <v>3Q17</v>
      </c>
      <c r="DO382" s="496" t="str">
        <f t="shared" si="26"/>
        <v>% Chg</v>
      </c>
      <c r="DP382" s="494" t="str">
        <f t="shared" si="26"/>
        <v>4Q17</v>
      </c>
      <c r="DQ382" s="496" t="str">
        <f t="shared" si="26"/>
        <v>% Chg</v>
      </c>
      <c r="DR382" s="494" t="str">
        <f t="shared" si="26"/>
        <v>1Q18E</v>
      </c>
      <c r="DS382" s="496" t="str">
        <f t="shared" si="26"/>
        <v>% Chg</v>
      </c>
      <c r="DT382" s="494" t="str">
        <f t="shared" si="26"/>
        <v>2Q18E</v>
      </c>
      <c r="DU382" s="496" t="str">
        <f t="shared" si="26"/>
        <v>% Chg</v>
      </c>
      <c r="DV382" s="494" t="str">
        <f t="shared" si="26"/>
        <v>3Q18E</v>
      </c>
      <c r="DW382" s="496" t="str">
        <f t="shared" si="26"/>
        <v>% Chg</v>
      </c>
      <c r="DX382" s="494" t="str">
        <f t="shared" si="26"/>
        <v>4Q18E</v>
      </c>
      <c r="DY382" s="496" t="str">
        <f t="shared" si="26"/>
        <v>% Chg</v>
      </c>
      <c r="DZ382" s="494"/>
      <c r="EA382" s="496"/>
      <c r="EB382" s="495" t="str">
        <f t="shared" ref="EB382:FS382" si="27">+EB$5</f>
        <v>% Chg</v>
      </c>
      <c r="EC382" s="494" t="str">
        <f t="shared" si="27"/>
        <v>2002</v>
      </c>
      <c r="ED382" s="495" t="str">
        <f t="shared" si="27"/>
        <v>% Chg</v>
      </c>
      <c r="EE382" s="494" t="str">
        <f t="shared" si="27"/>
        <v>2003</v>
      </c>
      <c r="EF382" s="495" t="str">
        <f t="shared" si="27"/>
        <v>% Chg</v>
      </c>
      <c r="EG382" s="494">
        <f t="shared" si="27"/>
        <v>2004</v>
      </c>
      <c r="EH382" s="495" t="str">
        <f t="shared" si="27"/>
        <v>% Chg</v>
      </c>
      <c r="EI382" s="494" t="str">
        <f t="shared" si="27"/>
        <v>2005</v>
      </c>
      <c r="EJ382" s="496" t="str">
        <f t="shared" si="27"/>
        <v>% Chg</v>
      </c>
      <c r="EK382" s="494" t="str">
        <f t="shared" si="27"/>
        <v>2006</v>
      </c>
      <c r="EL382" s="496" t="str">
        <f t="shared" si="27"/>
        <v>% Chg</v>
      </c>
      <c r="EM382" s="494">
        <f t="shared" si="27"/>
        <v>2007</v>
      </c>
      <c r="EN382" s="496" t="str">
        <f t="shared" si="27"/>
        <v>% Chg</v>
      </c>
      <c r="EO382" s="494" t="str">
        <f t="shared" si="27"/>
        <v>2008</v>
      </c>
      <c r="EP382" s="496" t="str">
        <f t="shared" si="27"/>
        <v>% Chg</v>
      </c>
      <c r="EQ382" s="494" t="str">
        <f t="shared" si="27"/>
        <v>2009</v>
      </c>
      <c r="ER382" s="496" t="str">
        <f t="shared" si="27"/>
        <v>% Chg</v>
      </c>
      <c r="ES382" s="494" t="str">
        <f t="shared" si="27"/>
        <v>2010</v>
      </c>
      <c r="ET382" s="496" t="str">
        <f t="shared" si="27"/>
        <v>% Chg</v>
      </c>
      <c r="EU382" s="494" t="str">
        <f t="shared" si="27"/>
        <v>2011</v>
      </c>
      <c r="EV382" s="496" t="str">
        <f t="shared" si="27"/>
        <v>% Chg</v>
      </c>
      <c r="EW382" s="494" t="str">
        <f t="shared" si="27"/>
        <v>2012</v>
      </c>
      <c r="EX382" s="496" t="str">
        <f t="shared" si="27"/>
        <v>% Chg</v>
      </c>
      <c r="EY382" s="494" t="str">
        <f t="shared" si="27"/>
        <v>2013</v>
      </c>
      <c r="EZ382" s="496" t="str">
        <f t="shared" si="27"/>
        <v>% Chg</v>
      </c>
      <c r="FA382" s="494">
        <f t="shared" si="27"/>
        <v>2014</v>
      </c>
      <c r="FB382" s="496" t="str">
        <f t="shared" si="27"/>
        <v>% Chg</v>
      </c>
      <c r="FC382" s="494" t="str">
        <f t="shared" si="27"/>
        <v>2015</v>
      </c>
      <c r="FD382" s="496" t="str">
        <f t="shared" si="27"/>
        <v>% Chg</v>
      </c>
      <c r="FE382" s="494">
        <f t="shared" si="27"/>
        <v>2016</v>
      </c>
      <c r="FF382" s="496" t="str">
        <f t="shared" si="27"/>
        <v>% Chg</v>
      </c>
      <c r="FG382" s="494">
        <f t="shared" si="27"/>
        <v>2017</v>
      </c>
      <c r="FH382" s="496" t="str">
        <f t="shared" si="27"/>
        <v>% Chg</v>
      </c>
      <c r="FI382" s="494" t="str">
        <f t="shared" si="27"/>
        <v>2018E</v>
      </c>
      <c r="FJ382" s="496" t="str">
        <f t="shared" si="27"/>
        <v>% Chg</v>
      </c>
      <c r="FK382" s="494" t="str">
        <f t="shared" si="27"/>
        <v>2019E</v>
      </c>
      <c r="FL382" s="496" t="str">
        <f t="shared" si="27"/>
        <v>% Chg</v>
      </c>
      <c r="FM382" s="494" t="str">
        <f t="shared" si="27"/>
        <v>2020E</v>
      </c>
      <c r="FN382" s="496" t="str">
        <f t="shared" si="27"/>
        <v>% Chg</v>
      </c>
      <c r="FO382" s="494" t="str">
        <f t="shared" si="27"/>
        <v>2021E</v>
      </c>
      <c r="FP382" s="496" t="str">
        <f t="shared" si="27"/>
        <v>% Chg</v>
      </c>
      <c r="FQ382" s="494" t="str">
        <f t="shared" si="27"/>
        <v>2022E</v>
      </c>
      <c r="FR382" s="496" t="str">
        <f t="shared" si="27"/>
        <v>% Chg</v>
      </c>
      <c r="FS382" s="496" t="str">
        <f t="shared" si="27"/>
        <v>(%)</v>
      </c>
      <c r="FT382" s="349"/>
    </row>
    <row r="383" spans="1:176" ht="12.75" hidden="1" customHeight="1" outlineLevel="1" x14ac:dyDescent="0.2">
      <c r="A383" s="70"/>
      <c r="B383" s="497"/>
      <c r="C383" s="155"/>
      <c r="D383" s="497"/>
      <c r="E383" s="155"/>
      <c r="F383" s="497"/>
      <c r="G383" s="155"/>
      <c r="H383" s="497"/>
      <c r="I383" s="155"/>
      <c r="J383" s="497"/>
      <c r="K383" s="155"/>
      <c r="L383" s="497"/>
      <c r="M383" s="155"/>
      <c r="N383" s="497"/>
      <c r="O383" s="155"/>
      <c r="P383" s="497"/>
      <c r="Q383" s="155"/>
      <c r="R383" s="497"/>
      <c r="S383" s="155"/>
      <c r="T383" s="497"/>
      <c r="U383" s="155"/>
      <c r="V383" s="497"/>
      <c r="W383" s="155"/>
      <c r="X383" s="497"/>
      <c r="Y383" s="155"/>
      <c r="Z383" s="497"/>
      <c r="AA383" s="155"/>
      <c r="AB383" s="497"/>
      <c r="AC383" s="155"/>
      <c r="AD383" s="497"/>
      <c r="AE383" s="155"/>
      <c r="AF383" s="497"/>
      <c r="AG383" s="155"/>
      <c r="AH383" s="497"/>
      <c r="AI383" s="240"/>
      <c r="AJ383" s="497"/>
      <c r="AK383" s="240"/>
      <c r="AL383" s="497"/>
      <c r="AM383" s="240"/>
      <c r="AN383" s="497"/>
      <c r="AO383" s="240"/>
      <c r="AP383" s="497"/>
      <c r="AQ383" s="240"/>
      <c r="AR383" s="497"/>
      <c r="AS383" s="240"/>
      <c r="AT383" s="497"/>
      <c r="AU383" s="240"/>
      <c r="AV383" s="497"/>
      <c r="AW383" s="240"/>
      <c r="AX383" s="497"/>
      <c r="AY383" s="240"/>
      <c r="AZ383" s="497"/>
      <c r="BA383" s="240"/>
      <c r="BB383" s="497"/>
      <c r="BC383" s="240"/>
      <c r="BD383" s="497"/>
      <c r="BE383" s="240"/>
      <c r="BF383" s="497"/>
      <c r="BG383" s="240"/>
      <c r="BH383" s="497"/>
      <c r="BI383" s="240"/>
      <c r="BJ383" s="497"/>
      <c r="BK383" s="240"/>
      <c r="BL383" s="497"/>
      <c r="BM383" s="240"/>
      <c r="BN383" s="497"/>
      <c r="BO383" s="240"/>
      <c r="BP383" s="497"/>
      <c r="BQ383" s="240"/>
      <c r="BR383" s="497"/>
      <c r="BS383" s="240"/>
      <c r="BT383" s="497"/>
      <c r="BU383" s="240"/>
      <c r="BV383" s="497"/>
      <c r="BW383" s="240"/>
      <c r="BX383" s="497"/>
      <c r="BY383" s="240"/>
      <c r="BZ383" s="497"/>
      <c r="CA383" s="240"/>
      <c r="CB383" s="497"/>
      <c r="CC383" s="240"/>
      <c r="CD383" s="497"/>
      <c r="CE383" s="240"/>
      <c r="CF383" s="497"/>
      <c r="CG383" s="240"/>
      <c r="CH383" s="497"/>
      <c r="CI383" s="240"/>
      <c r="CJ383" s="497"/>
      <c r="CK383" s="240"/>
      <c r="CL383" s="497"/>
      <c r="CM383" s="240"/>
      <c r="CN383" s="497"/>
      <c r="CO383" s="240"/>
      <c r="CP383" s="497"/>
      <c r="CQ383" s="240"/>
      <c r="CR383" s="497"/>
      <c r="CS383" s="240"/>
      <c r="CT383" s="497"/>
      <c r="CU383" s="240"/>
      <c r="CV383" s="497"/>
      <c r="CW383" s="240"/>
      <c r="CX383" s="497"/>
      <c r="CY383" s="240"/>
      <c r="CZ383" s="497"/>
      <c r="DA383" s="240"/>
      <c r="DB383" s="497"/>
      <c r="DC383" s="240"/>
      <c r="DD383" s="497"/>
      <c r="DE383" s="240"/>
      <c r="DF383" s="497"/>
      <c r="DG383" s="240"/>
      <c r="DH383" s="497"/>
      <c r="DI383" s="240"/>
      <c r="DJ383" s="497"/>
      <c r="DK383" s="240"/>
      <c r="DL383" s="497"/>
      <c r="DM383" s="240"/>
      <c r="DN383" s="497"/>
      <c r="DO383" s="240"/>
      <c r="DP383" s="497"/>
      <c r="DQ383" s="240"/>
      <c r="DR383" s="497"/>
      <c r="DS383" s="240"/>
      <c r="DT383" s="497"/>
      <c r="DU383" s="240"/>
      <c r="DV383" s="497"/>
      <c r="DW383" s="240"/>
      <c r="DX383" s="497"/>
      <c r="DY383" s="240"/>
      <c r="DZ383" s="497"/>
      <c r="EA383" s="240"/>
      <c r="EB383" s="155"/>
      <c r="EC383" s="497"/>
      <c r="ED383" s="155"/>
      <c r="EE383" s="497"/>
      <c r="EF383" s="155"/>
      <c r="EG383" s="497"/>
      <c r="EH383" s="155"/>
      <c r="EI383" s="497"/>
      <c r="EJ383" s="240"/>
      <c r="EK383" s="497"/>
      <c r="EL383" s="240"/>
      <c r="EM383" s="497"/>
      <c r="EN383" s="240"/>
      <c r="EO383" s="497"/>
      <c r="EP383" s="240"/>
      <c r="EQ383" s="497"/>
      <c r="ER383" s="240"/>
      <c r="ES383" s="497"/>
      <c r="ET383" s="240"/>
      <c r="EU383" s="497"/>
      <c r="EV383" s="240"/>
      <c r="EW383" s="497"/>
      <c r="EX383" s="240"/>
      <c r="EY383" s="497"/>
      <c r="EZ383" s="240"/>
      <c r="FA383" s="497"/>
      <c r="FB383" s="240"/>
      <c r="FC383" s="497"/>
      <c r="FD383" s="240"/>
      <c r="FE383" s="497"/>
      <c r="FF383" s="240"/>
      <c r="FG383" s="497"/>
      <c r="FH383" s="240"/>
      <c r="FI383" s="497"/>
      <c r="FJ383" s="240"/>
      <c r="FK383" s="497"/>
      <c r="FL383" s="240"/>
      <c r="FM383" s="497"/>
      <c r="FN383" s="240"/>
      <c r="FO383" s="497"/>
      <c r="FP383" s="240"/>
      <c r="FQ383" s="497"/>
      <c r="FR383" s="240"/>
      <c r="FS383" s="240"/>
    </row>
    <row r="384" spans="1:176" ht="12.75" hidden="1" customHeight="1" outlineLevel="1" x14ac:dyDescent="0.2">
      <c r="A384" s="70" t="s">
        <v>128</v>
      </c>
      <c r="B384" s="75"/>
      <c r="C384" s="155"/>
      <c r="D384" s="75"/>
      <c r="E384" s="155"/>
      <c r="F384" s="75"/>
      <c r="G384" s="155"/>
      <c r="H384" s="75"/>
      <c r="I384" s="155"/>
      <c r="J384" s="75"/>
      <c r="K384" s="155"/>
      <c r="L384" s="75"/>
      <c r="M384" s="155"/>
      <c r="N384" s="75"/>
      <c r="O384" s="155"/>
      <c r="P384" s="75"/>
      <c r="Q384" s="155"/>
      <c r="R384" s="75"/>
      <c r="S384" s="155"/>
      <c r="T384" s="75"/>
      <c r="U384" s="155"/>
      <c r="V384" s="75"/>
      <c r="W384" s="155"/>
      <c r="X384" s="75"/>
      <c r="Y384" s="155"/>
      <c r="Z384" s="75"/>
      <c r="AA384" s="155"/>
      <c r="AB384" s="75"/>
      <c r="AC384" s="155"/>
      <c r="AD384" s="75"/>
      <c r="AE384" s="155"/>
      <c r="AF384" s="75"/>
      <c r="AG384" s="155"/>
      <c r="AH384" s="75"/>
      <c r="AI384" s="240"/>
      <c r="AJ384" s="75"/>
      <c r="AK384" s="240"/>
      <c r="AL384" s="75"/>
      <c r="AM384" s="240"/>
      <c r="AN384" s="75"/>
      <c r="AO384" s="240"/>
      <c r="AP384" s="75"/>
      <c r="AQ384" s="240"/>
      <c r="AR384" s="75"/>
      <c r="AS384" s="240"/>
      <c r="AT384" s="75"/>
      <c r="AU384" s="240"/>
      <c r="AV384" s="75"/>
      <c r="AW384" s="240"/>
      <c r="AX384" s="75"/>
      <c r="AY384" s="240"/>
      <c r="AZ384" s="75"/>
      <c r="BA384" s="240"/>
      <c r="BB384" s="75"/>
      <c r="BC384" s="240"/>
      <c r="BD384" s="75"/>
      <c r="BE384" s="240"/>
      <c r="BF384" s="75"/>
      <c r="BG384" s="240"/>
      <c r="BH384" s="75"/>
      <c r="BI384" s="240"/>
      <c r="BJ384" s="75"/>
      <c r="BK384" s="240"/>
      <c r="BL384" s="75"/>
      <c r="BM384" s="240"/>
      <c r="BN384" s="75"/>
      <c r="BO384" s="240"/>
      <c r="BP384" s="75"/>
      <c r="BQ384" s="240"/>
      <c r="BR384" s="75"/>
      <c r="BS384" s="240"/>
      <c r="BT384" s="75"/>
      <c r="BU384" s="240"/>
      <c r="BV384" s="75"/>
      <c r="BW384" s="240"/>
      <c r="BX384" s="75"/>
      <c r="BY384" s="240"/>
      <c r="BZ384" s="75"/>
      <c r="CA384" s="240"/>
      <c r="CB384" s="75"/>
      <c r="CC384" s="240"/>
      <c r="CD384" s="75"/>
      <c r="CE384" s="240"/>
      <c r="CF384" s="75"/>
      <c r="CG384" s="240"/>
      <c r="CH384" s="75"/>
      <c r="CI384" s="240"/>
      <c r="CJ384" s="75"/>
      <c r="CK384" s="240"/>
      <c r="CL384" s="75"/>
      <c r="CM384" s="240"/>
      <c r="CN384" s="75"/>
      <c r="CO384" s="240"/>
      <c r="CP384" s="75"/>
      <c r="CQ384" s="240"/>
      <c r="CR384" s="75"/>
      <c r="CS384" s="240"/>
      <c r="CT384" s="75"/>
      <c r="CU384" s="240"/>
      <c r="CV384" s="75"/>
      <c r="CW384" s="240"/>
      <c r="CX384" s="75"/>
      <c r="CY384" s="240"/>
      <c r="CZ384" s="75"/>
      <c r="DA384" s="240"/>
      <c r="DB384" s="75"/>
      <c r="DC384" s="240"/>
      <c r="DD384" s="75"/>
      <c r="DE384" s="240"/>
      <c r="DF384" s="75"/>
      <c r="DG384" s="240"/>
      <c r="DH384" s="75"/>
      <c r="DI384" s="240"/>
      <c r="DJ384" s="75"/>
      <c r="DK384" s="240"/>
      <c r="DL384" s="75"/>
      <c r="DM384" s="240"/>
      <c r="DN384" s="75"/>
      <c r="DO384" s="240"/>
      <c r="DP384" s="75"/>
      <c r="DQ384" s="240"/>
      <c r="DR384" s="75"/>
      <c r="DS384" s="240"/>
      <c r="DT384" s="75"/>
      <c r="DU384" s="240"/>
      <c r="DV384" s="75"/>
      <c r="DW384" s="240"/>
      <c r="DX384" s="75"/>
      <c r="DY384" s="240"/>
      <c r="DZ384" s="75"/>
      <c r="EA384" s="240"/>
      <c r="EB384" s="155"/>
      <c r="EC384" s="75"/>
      <c r="ED384" s="155"/>
      <c r="EE384" s="75"/>
      <c r="EF384" s="155"/>
      <c r="EG384" s="75"/>
      <c r="EH384" s="155"/>
      <c r="EI384" s="75"/>
      <c r="EJ384" s="240"/>
      <c r="EK384" s="75"/>
      <c r="EL384" s="240"/>
      <c r="EM384" s="75"/>
      <c r="EN384" s="240"/>
      <c r="EO384" s="75"/>
      <c r="EP384" s="240"/>
      <c r="EQ384" s="75"/>
      <c r="ER384" s="240"/>
      <c r="ES384" s="75"/>
      <c r="ET384" s="240"/>
      <c r="EU384" s="75"/>
      <c r="EV384" s="240"/>
      <c r="EW384" s="75"/>
      <c r="EX384" s="240"/>
      <c r="EY384" s="75"/>
      <c r="EZ384" s="240"/>
      <c r="FA384" s="75"/>
      <c r="FB384" s="240"/>
      <c r="FC384" s="75"/>
      <c r="FD384" s="240"/>
      <c r="FE384" s="75"/>
      <c r="FF384" s="240"/>
      <c r="FG384" s="75"/>
      <c r="FH384" s="240"/>
      <c r="FI384" s="75"/>
      <c r="FJ384" s="240"/>
      <c r="FK384" s="75"/>
      <c r="FL384" s="240"/>
      <c r="FM384" s="75"/>
      <c r="FN384" s="240"/>
      <c r="FO384" s="75"/>
      <c r="FP384" s="240"/>
      <c r="FQ384" s="75"/>
      <c r="FR384" s="240"/>
      <c r="FS384" s="240"/>
    </row>
    <row r="385" spans="1:175" ht="12.75" hidden="1" customHeight="1" outlineLevel="1" x14ac:dyDescent="0.2">
      <c r="A385" s="77" t="str">
        <f>INPUT!B107</f>
        <v>Premiums</v>
      </c>
      <c r="B385" s="75">
        <f>INPUT!AA107</f>
        <v>94</v>
      </c>
      <c r="C385" s="155">
        <f>INPUT!AB107</f>
        <v>67.857142857142861</v>
      </c>
      <c r="D385" s="75">
        <f>INPUT!AC107</f>
        <v>96</v>
      </c>
      <c r="E385" s="155">
        <f>INPUT!AD107</f>
        <v>47.692307692307708</v>
      </c>
      <c r="F385" s="75">
        <f>INPUT!AE107</f>
        <v>77</v>
      </c>
      <c r="G385" s="155">
        <f>INPUT!AF107</f>
        <v>-29.357798165137609</v>
      </c>
      <c r="H385" s="75">
        <f>INPUT!AG107</f>
        <v>85</v>
      </c>
      <c r="I385" s="155">
        <f>INPUT!AH107</f>
        <v>-48.484848484848484</v>
      </c>
      <c r="J385" s="75">
        <f>INPUT!AI107</f>
        <v>81</v>
      </c>
      <c r="K385" s="155">
        <f>INPUT!AJ107</f>
        <v>-13.829787234042556</v>
      </c>
      <c r="L385" s="75">
        <f>INPUT!AK107</f>
        <v>80</v>
      </c>
      <c r="M385" s="155">
        <f>INPUT!AL107</f>
        <v>-16.666666666666657</v>
      </c>
      <c r="N385" s="75">
        <f>INPUT!AM107</f>
        <v>80</v>
      </c>
      <c r="O385" s="155">
        <f>INPUT!AN107</f>
        <v>3.896103896103881</v>
      </c>
      <c r="P385" s="75">
        <f>INPUT!AO107</f>
        <v>93</v>
      </c>
      <c r="Q385" s="155">
        <f>INPUT!AP107</f>
        <v>9.4117647058823621</v>
      </c>
      <c r="R385" s="75">
        <f>INPUT!AQ107</f>
        <v>92</v>
      </c>
      <c r="S385" s="155">
        <f>INPUT!AR107</f>
        <v>13.58024691358024</v>
      </c>
      <c r="T385" s="75">
        <f>INPUT!AS107</f>
        <v>93</v>
      </c>
      <c r="U385" s="155">
        <f>INPUT!AT107</f>
        <v>16.250000000000014</v>
      </c>
      <c r="V385" s="75">
        <f>INPUT!AU107</f>
        <v>97</v>
      </c>
      <c r="W385" s="155">
        <f>INPUT!AV107</f>
        <v>21.249999999999986</v>
      </c>
      <c r="X385" s="75">
        <f>INPUT!AW107</f>
        <v>109</v>
      </c>
      <c r="Y385" s="155">
        <f>INPUT!AX107</f>
        <v>17.20430107526883</v>
      </c>
      <c r="Z385" s="75">
        <f>INPUT!AY107</f>
        <v>100</v>
      </c>
      <c r="AA385" s="155">
        <f>INPUT!AZ107</f>
        <v>8.6956521739130324</v>
      </c>
      <c r="AB385" s="75">
        <f>INPUT!BA107</f>
        <v>103</v>
      </c>
      <c r="AC385" s="155">
        <f>INPUT!BB107</f>
        <v>10.752688172043008</v>
      </c>
      <c r="AD385" s="75">
        <f>INPUT!BC107</f>
        <v>109</v>
      </c>
      <c r="AE385" s="155">
        <f>INPUT!BD107</f>
        <v>12.371134020618555</v>
      </c>
      <c r="AF385" s="75">
        <f>INPUT!BE107</f>
        <v>117</v>
      </c>
      <c r="AG385" s="155">
        <f>INPUT!BF107</f>
        <v>7.3394495412844094</v>
      </c>
      <c r="AH385" s="75">
        <f>INPUT!BG107</f>
        <v>126</v>
      </c>
      <c r="AI385" s="240">
        <f>INPUT!BH107</f>
        <v>26</v>
      </c>
      <c r="AJ385" s="75">
        <f>INPUT!BI107</f>
        <v>126</v>
      </c>
      <c r="AK385" s="240">
        <f>INPUT!BJ107</f>
        <v>22.330097087378633</v>
      </c>
      <c r="AL385" s="75">
        <f>INPUT!BK107</f>
        <v>137</v>
      </c>
      <c r="AM385" s="240">
        <f>INPUT!BL107</f>
        <v>25.688073394495419</v>
      </c>
      <c r="AN385" s="75">
        <f>INPUT!BM107</f>
        <v>144</v>
      </c>
      <c r="AO385" s="240">
        <f>INPUT!BN107</f>
        <v>23.07692307692308</v>
      </c>
      <c r="AP385" s="75">
        <f>INPUT!BO107</f>
        <v>148</v>
      </c>
      <c r="AQ385" s="240">
        <f>INPUT!BP107</f>
        <v>17.460317460317469</v>
      </c>
      <c r="AR385" s="75">
        <f>INPUT!BQ107</f>
        <v>148</v>
      </c>
      <c r="AS385" s="240">
        <f>INPUT!BR107</f>
        <v>17.460317460317469</v>
      </c>
      <c r="AT385" s="75">
        <f>INPUT!BS107</f>
        <v>155</v>
      </c>
      <c r="AU385" s="240">
        <f>INPUT!BT107</f>
        <v>13.138686131386862</v>
      </c>
      <c r="AV385" s="75">
        <f>INPUT!BU107</f>
        <v>162</v>
      </c>
      <c r="AW385" s="240">
        <f>INPUT!BV107</f>
        <v>12.5</v>
      </c>
      <c r="AX385" s="75">
        <f>INPUT!BW107</f>
        <v>160</v>
      </c>
      <c r="AY385" s="240">
        <f>INPUT!BX107</f>
        <v>8.1081081081081123</v>
      </c>
      <c r="AZ385" s="75">
        <f>INPUT!BY107</f>
        <v>170</v>
      </c>
      <c r="BA385" s="240">
        <f>INPUT!BZ107</f>
        <v>14.86486486486487</v>
      </c>
      <c r="BB385" s="75">
        <f>INPUT!CA107</f>
        <v>178</v>
      </c>
      <c r="BC385" s="240">
        <f>INPUT!CB107</f>
        <v>14.838709677419359</v>
      </c>
      <c r="BD385" s="75">
        <f>INPUT!CC107</f>
        <v>178</v>
      </c>
      <c r="BE385" s="240">
        <f>INPUT!CD107</f>
        <v>9.8765432098765444</v>
      </c>
      <c r="BF385" s="75">
        <f>INPUT!CE107</f>
        <v>176</v>
      </c>
      <c r="BG385" s="240">
        <f>INPUT!CF107</f>
        <v>10.000000000000014</v>
      </c>
      <c r="BH385" s="75">
        <f>INPUT!CG107</f>
        <v>177</v>
      </c>
      <c r="BI385" s="240">
        <f>INPUT!CH107</f>
        <v>4.1176470588235361</v>
      </c>
      <c r="BJ385" s="75">
        <f>INPUT!CI107</f>
        <v>181</v>
      </c>
      <c r="BK385" s="240">
        <f>INPUT!CJ107</f>
        <v>1.6853932584269558</v>
      </c>
      <c r="BL385" s="75">
        <f>INPUT!CK107</f>
        <v>180</v>
      </c>
      <c r="BM385" s="240">
        <f>INPUT!CL107</f>
        <v>1.1235955056179847</v>
      </c>
      <c r="BN385" s="75">
        <f>INPUT!CM107</f>
        <v>172</v>
      </c>
      <c r="BO385" s="240">
        <f>INPUT!CN107</f>
        <v>-2.2727272727272663</v>
      </c>
      <c r="BP385" s="75">
        <f>INPUT!CO107</f>
        <v>183</v>
      </c>
      <c r="BQ385" s="240">
        <f>INPUT!CP107</f>
        <v>3.3898305084745743</v>
      </c>
      <c r="BR385" s="75">
        <f>INPUT!CQ107</f>
        <v>182</v>
      </c>
      <c r="BS385" s="240">
        <f>INPUT!CR107</f>
        <v>0.552486187845318</v>
      </c>
      <c r="BT385" s="75">
        <f>INPUT!CS107</f>
        <v>179</v>
      </c>
      <c r="BU385" s="240">
        <f>INPUT!CT107</f>
        <v>-0.55555555555555713</v>
      </c>
      <c r="BV385" s="75">
        <f>INPUT!CU107</f>
        <v>175</v>
      </c>
      <c r="BW385" s="240">
        <f>INPUT!CV107</f>
        <v>1.7441860465116292</v>
      </c>
      <c r="BX385" s="75">
        <f>INPUT!CW107</f>
        <v>183</v>
      </c>
      <c r="BY385" s="240">
        <f>INPUT!CX107</f>
        <v>0</v>
      </c>
      <c r="BZ385" s="75">
        <f>INPUT!CY107</f>
        <v>184</v>
      </c>
      <c r="CA385" s="240">
        <f>INPUT!CZ107</f>
        <v>1.098901098901095</v>
      </c>
      <c r="CB385" s="75">
        <f>INPUT!DA107</f>
        <v>183</v>
      </c>
      <c r="CC385" s="240">
        <f>INPUT!DB107</f>
        <v>2.2346368715083713</v>
      </c>
      <c r="CD385" s="75">
        <f>INPUT!DC107</f>
        <v>193</v>
      </c>
      <c r="CE385" s="240">
        <f>INPUT!DD107</f>
        <v>10.285714285714278</v>
      </c>
      <c r="CF385" s="75">
        <f>INPUT!DE107</f>
        <v>204</v>
      </c>
      <c r="CG385" s="240">
        <f>INPUT!DF107</f>
        <v>11.475409836065566</v>
      </c>
      <c r="CH385" s="75">
        <f>INPUT!DG107</f>
        <v>198</v>
      </c>
      <c r="CI385" s="240">
        <f>INPUT!DH107</f>
        <v>7.6086956521739069</v>
      </c>
      <c r="CJ385" s="75">
        <f>INPUT!DI107</f>
        <v>215</v>
      </c>
      <c r="CK385" s="240">
        <f>INPUT!DJ107</f>
        <v>17.486338797814199</v>
      </c>
      <c r="CL385" s="75">
        <f>INPUT!DK107</f>
        <v>214</v>
      </c>
      <c r="CM385" s="240">
        <f>INPUT!DL107</f>
        <v>10.880829015544037</v>
      </c>
      <c r="CN385" s="75">
        <f>INPUT!DM107</f>
        <v>219</v>
      </c>
      <c r="CO385" s="240">
        <f>INPUT!DN107</f>
        <v>7.3529411764705799</v>
      </c>
      <c r="CP385" s="75">
        <f>INPUT!DO107</f>
        <v>210</v>
      </c>
      <c r="CQ385" s="240">
        <f>INPUT!DP107</f>
        <v>6.0606060606060623</v>
      </c>
      <c r="CR385" s="75">
        <f>INPUT!DQ107</f>
        <v>205</v>
      </c>
      <c r="CS385" s="240">
        <f>INPUT!DR107</f>
        <v>-4.6511627906976685</v>
      </c>
      <c r="CT385" s="75">
        <f>INPUT!DS107</f>
        <v>232</v>
      </c>
      <c r="CU385" s="240">
        <f>INPUT!DT107</f>
        <v>8.4112149532710134</v>
      </c>
      <c r="CV385" s="75">
        <f>INPUT!DU107</f>
        <v>229</v>
      </c>
      <c r="CW385" s="240">
        <f>INPUT!DV107</f>
        <v>4.5662100456621175</v>
      </c>
      <c r="CX385" s="75">
        <f>INPUT!DW107</f>
        <v>219</v>
      </c>
      <c r="CY385" s="240">
        <f>INPUT!DX107</f>
        <v>4.2857142857142918</v>
      </c>
      <c r="CZ385" s="75">
        <f>INPUT!DY107</f>
        <v>216</v>
      </c>
      <c r="DA385" s="240">
        <f>INPUT!DZ107</f>
        <v>5.3658536585365937</v>
      </c>
      <c r="DB385" s="75">
        <f>INPUT!EA107</f>
        <v>210</v>
      </c>
      <c r="DC385" s="240">
        <f>INPUT!EB107</f>
        <v>-9.4827586206896513</v>
      </c>
      <c r="DD385" s="75">
        <f>INPUT!EC107</f>
        <v>216</v>
      </c>
      <c r="DE385" s="240">
        <f>INPUT!ED107</f>
        <v>-5.6768558951965105</v>
      </c>
      <c r="DF385" s="75">
        <f>INPUT!EE107</f>
        <v>216</v>
      </c>
      <c r="DG385" s="240">
        <f>INPUT!EF107</f>
        <v>-1.3698630136986338</v>
      </c>
      <c r="DH385" s="75">
        <f>INPUT!EG107</f>
        <v>218</v>
      </c>
      <c r="DI385" s="240">
        <f>INPUT!EH107</f>
        <v>0.92592592592592382</v>
      </c>
      <c r="DJ385" s="75">
        <f>INPUT!EI107</f>
        <v>216</v>
      </c>
      <c r="DK385" s="240">
        <f>INPUT!EJ107</f>
        <v>2.857142857142847</v>
      </c>
      <c r="DL385" s="75">
        <f>INPUT!EK107</f>
        <v>230</v>
      </c>
      <c r="DM385" s="240">
        <f>INPUT!EL107</f>
        <v>6.4814814814814952</v>
      </c>
      <c r="DN385" s="75">
        <f>INPUT!EM107</f>
        <v>223</v>
      </c>
      <c r="DO385" s="240">
        <f>INPUT!EN107</f>
        <v>3.2407407407407476</v>
      </c>
      <c r="DP385" s="75">
        <f>INPUT!EO107</f>
        <v>226</v>
      </c>
      <c r="DQ385" s="240">
        <f>INPUT!EP107</f>
        <v>3.6697247706422047</v>
      </c>
      <c r="DR385" s="75">
        <f>INPUT!EQ107</f>
        <v>228.96</v>
      </c>
      <c r="DS385" s="240">
        <f>INPUT!ER107</f>
        <v>6</v>
      </c>
      <c r="DT385" s="75">
        <f>INPUT!ES107</f>
        <v>243.8</v>
      </c>
      <c r="DU385" s="240">
        <f>INPUT!ET107</f>
        <v>6</v>
      </c>
      <c r="DV385" s="75">
        <f>INPUT!EU107</f>
        <v>236.38000000000002</v>
      </c>
      <c r="DW385" s="240">
        <f>INPUT!EV107</f>
        <v>6</v>
      </c>
      <c r="DX385" s="75">
        <f>INPUT!EW107</f>
        <v>239.56</v>
      </c>
      <c r="DY385" s="240">
        <f>INPUT!EX107</f>
        <v>6</v>
      </c>
      <c r="DZ385" s="75"/>
      <c r="EA385" s="240"/>
      <c r="EB385" s="155">
        <f>INPUT!FI107</f>
        <v>26.885245901639337</v>
      </c>
      <c r="EC385" s="75">
        <f>INPUT!FJ107</f>
        <v>395</v>
      </c>
      <c r="ED385" s="155">
        <f>INPUT!FK107</f>
        <v>2.0671834625322987</v>
      </c>
      <c r="EE385" s="75">
        <f>INPUT!FL107</f>
        <v>352</v>
      </c>
      <c r="EF385" s="155">
        <f>INPUT!FM107</f>
        <v>-10.886075949367097</v>
      </c>
      <c r="EG385" s="75">
        <f>INPUT!FN107</f>
        <v>334</v>
      </c>
      <c r="EH385" s="155">
        <f>INPUT!FO107</f>
        <v>-5.1136363636363598</v>
      </c>
      <c r="EI385" s="75">
        <f>INPUT!FP107</f>
        <v>391</v>
      </c>
      <c r="EJ385" s="240">
        <f>INPUT!FQ107</f>
        <v>17.06586826347305</v>
      </c>
      <c r="EK385" s="75">
        <f>INPUT!FR107</f>
        <v>429</v>
      </c>
      <c r="EL385" s="240">
        <f>INPUT!FS107</f>
        <v>9.7186700767263261</v>
      </c>
      <c r="EM385" s="75">
        <f>INPUT!FT107</f>
        <v>533</v>
      </c>
      <c r="EN385" s="240">
        <f>INPUT!FU107</f>
        <v>24.242424242424249</v>
      </c>
      <c r="EO385" s="75">
        <f>INPUT!FV107</f>
        <v>613</v>
      </c>
      <c r="EP385" s="240">
        <f>INPUT!FW107</f>
        <v>15.009380863039397</v>
      </c>
      <c r="EQ385" s="75">
        <f>INPUT!FX107</f>
        <v>686</v>
      </c>
      <c r="ER385" s="240">
        <f>INPUT!FY107</f>
        <v>11.908646003262646</v>
      </c>
      <c r="ES385" s="75">
        <f>INPUT!FZ107</f>
        <v>714</v>
      </c>
      <c r="ET385" s="240">
        <f>INPUT!GA107</f>
        <v>4.0816326530612344</v>
      </c>
      <c r="EU385" s="75">
        <f>INPUT!GB107</f>
        <v>716</v>
      </c>
      <c r="EV385" s="240">
        <f>INPUT!GC107</f>
        <v>0.28011204481792618</v>
      </c>
      <c r="EW385" s="75">
        <f>INPUT!GD107</f>
        <v>725</v>
      </c>
      <c r="EX385" s="240">
        <f>INPUT!GE107</f>
        <v>1.2569832402234482</v>
      </c>
      <c r="EY385" s="75">
        <f>INPUT!GF107</f>
        <v>810</v>
      </c>
      <c r="EZ385" s="240">
        <f>INPUT!GG107</f>
        <v>11.724137931034477</v>
      </c>
      <c r="FA385" s="75">
        <f>INPUT!GH107</f>
        <v>848</v>
      </c>
      <c r="FB385" s="240">
        <f>INPUT!GI107</f>
        <v>4.6913580246913682</v>
      </c>
      <c r="FC385" s="75">
        <f>INPUT!GJ107</f>
        <v>896</v>
      </c>
      <c r="FD385" s="240">
        <f>INPUT!GK107</f>
        <v>5.6603773584905639</v>
      </c>
      <c r="FE385" s="75">
        <f>INPUT!GL107</f>
        <v>860</v>
      </c>
      <c r="FF385" s="240">
        <f>INPUT!GM107</f>
        <v>-4.0178571428571388</v>
      </c>
      <c r="FG385" s="75">
        <f>INPUT!GN107</f>
        <v>895</v>
      </c>
      <c r="FH385" s="240">
        <f>INPUT!GO107</f>
        <v>4.0697674418604777</v>
      </c>
      <c r="FI385" s="75">
        <f>INPUT!GP107</f>
        <v>948.7</v>
      </c>
      <c r="FJ385" s="240">
        <f>INPUT!GQ107</f>
        <v>6</v>
      </c>
      <c r="FK385" s="75">
        <f>INPUT!GR107</f>
        <v>1005.6220000000001</v>
      </c>
      <c r="FL385" s="240">
        <f>INPUT!GS107</f>
        <v>6</v>
      </c>
      <c r="FM385" s="75">
        <f>INPUT!GT107</f>
        <v>1065.9593200000002</v>
      </c>
      <c r="FN385" s="240">
        <f>INPUT!GU107</f>
        <v>6</v>
      </c>
      <c r="FO385" s="75">
        <f>INPUT!GV107</f>
        <v>1129.9168792000003</v>
      </c>
      <c r="FP385" s="240">
        <f>INPUT!GW107</f>
        <v>6</v>
      </c>
      <c r="FQ385" s="75">
        <f>INPUT!GX107</f>
        <v>1197.7118919520003</v>
      </c>
      <c r="FR385" s="240">
        <f>INPUT!GY107</f>
        <v>6</v>
      </c>
      <c r="FS385" s="240">
        <f>INPUT!GZ107</f>
        <v>6.0000000000000053</v>
      </c>
    </row>
    <row r="386" spans="1:175" ht="12.75" hidden="1" customHeight="1" outlineLevel="1" x14ac:dyDescent="0.2">
      <c r="A386" s="77" t="str">
        <f>INPUT!B108</f>
        <v>Policy Charges and Fee Income</v>
      </c>
      <c r="B386" s="75">
        <f>INPUT!AA108</f>
        <v>254</v>
      </c>
      <c r="C386" s="155">
        <f>INPUT!AB108</f>
        <v>1.5999999999999943</v>
      </c>
      <c r="D386" s="75">
        <f>INPUT!AC108</f>
        <v>258</v>
      </c>
      <c r="E386" s="155">
        <f>INPUT!AD108</f>
        <v>2.3809523809523796</v>
      </c>
      <c r="F386" s="75">
        <f>INPUT!AE108</f>
        <v>255</v>
      </c>
      <c r="G386" s="155">
        <f>INPUT!AF108</f>
        <v>2.8225806451612954</v>
      </c>
      <c r="H386" s="75">
        <f>INPUT!AG108</f>
        <v>258</v>
      </c>
      <c r="I386" s="155">
        <f>INPUT!AH108</f>
        <v>-2.2727272727272663</v>
      </c>
      <c r="J386" s="75">
        <f>INPUT!AI108</f>
        <v>256</v>
      </c>
      <c r="K386" s="155">
        <f>INPUT!AJ108</f>
        <v>0.7874015748031411</v>
      </c>
      <c r="L386" s="75">
        <f>INPUT!AK108</f>
        <v>254</v>
      </c>
      <c r="M386" s="155">
        <f>INPUT!AL108</f>
        <v>-1.5503875968992276</v>
      </c>
      <c r="N386" s="75">
        <f>INPUT!AM108</f>
        <v>263</v>
      </c>
      <c r="O386" s="155">
        <f>INPUT!AN108</f>
        <v>3.1372549019608016</v>
      </c>
      <c r="P386" s="75">
        <f>INPUT!AO108</f>
        <v>254</v>
      </c>
      <c r="Q386" s="155">
        <f>INPUT!AP108</f>
        <v>-1.5503875968992276</v>
      </c>
      <c r="R386" s="75">
        <f>INPUT!AQ108</f>
        <v>261</v>
      </c>
      <c r="S386" s="155">
        <f>INPUT!AR108</f>
        <v>1.953125</v>
      </c>
      <c r="T386" s="75">
        <f>INPUT!AS108</f>
        <v>259</v>
      </c>
      <c r="U386" s="155">
        <f>INPUT!AT108</f>
        <v>1.968503937007867</v>
      </c>
      <c r="V386" s="75">
        <f>INPUT!AU108</f>
        <v>298</v>
      </c>
      <c r="W386" s="155">
        <f>INPUT!AV108</f>
        <v>13.307984790874514</v>
      </c>
      <c r="X386" s="75">
        <f>INPUT!AW108</f>
        <v>277</v>
      </c>
      <c r="Y386" s="155">
        <f>INPUT!AX108</f>
        <v>9.0551181102362222</v>
      </c>
      <c r="Z386" s="75">
        <f>INPUT!AY108</f>
        <v>266</v>
      </c>
      <c r="AA386" s="155">
        <f>INPUT!AZ108</f>
        <v>1.915708812260533</v>
      </c>
      <c r="AB386" s="75">
        <f>INPUT!BA108</f>
        <v>270</v>
      </c>
      <c r="AC386" s="155">
        <f>INPUT!BB108</f>
        <v>4.2471042471042324</v>
      </c>
      <c r="AD386" s="75">
        <f>INPUT!BC108</f>
        <v>117</v>
      </c>
      <c r="AE386" s="155" t="str">
        <f>INPUT!BD108</f>
        <v>NM</v>
      </c>
      <c r="AF386" s="75">
        <f>INPUT!BE108</f>
        <v>267</v>
      </c>
      <c r="AG386" s="155">
        <f>INPUT!BF108</f>
        <v>-3.6101083032490919</v>
      </c>
      <c r="AH386" s="75">
        <f>INPUT!BG108</f>
        <v>272</v>
      </c>
      <c r="AI386" s="240">
        <f>INPUT!BH108</f>
        <v>2.2556390977443499</v>
      </c>
      <c r="AJ386" s="75">
        <f>INPUT!BI108</f>
        <v>264</v>
      </c>
      <c r="AK386" s="240">
        <f>INPUT!BJ108</f>
        <v>-2.2222222222222285</v>
      </c>
      <c r="AL386" s="75">
        <f>INPUT!BK108</f>
        <v>226</v>
      </c>
      <c r="AM386" s="240">
        <f>INPUT!BL108</f>
        <v>93.162393162393158</v>
      </c>
      <c r="AN386" s="75">
        <f>INPUT!BM108</f>
        <v>278</v>
      </c>
      <c r="AO386" s="240">
        <f>INPUT!BN108</f>
        <v>4.119850187265925</v>
      </c>
      <c r="AP386" s="75">
        <f>INPUT!BO108</f>
        <v>285</v>
      </c>
      <c r="AQ386" s="240">
        <f>INPUT!BP108</f>
        <v>4.779411764705884</v>
      </c>
      <c r="AR386" s="75">
        <f>INPUT!BQ108</f>
        <v>273</v>
      </c>
      <c r="AS386" s="240">
        <f>INPUT!BR108</f>
        <v>3.4090909090909207</v>
      </c>
      <c r="AT386" s="75">
        <f>INPUT!BS108</f>
        <v>209</v>
      </c>
      <c r="AU386" s="240">
        <f>INPUT!BT108</f>
        <v>-7.5221238938053148</v>
      </c>
      <c r="AV386" s="75">
        <f>INPUT!BU108</f>
        <v>299</v>
      </c>
      <c r="AW386" s="240">
        <f>INPUT!BV108</f>
        <v>7.5539568345323715</v>
      </c>
      <c r="AX386" s="75">
        <f>INPUT!BW108</f>
        <v>276</v>
      </c>
      <c r="AY386" s="240">
        <f>INPUT!BX108</f>
        <v>-3.1578947368421098</v>
      </c>
      <c r="AZ386" s="75">
        <f>INPUT!BY108</f>
        <v>278</v>
      </c>
      <c r="BA386" s="240">
        <f>INPUT!BZ108</f>
        <v>1.831501831501825</v>
      </c>
      <c r="BB386" s="75">
        <f>INPUT!CA108</f>
        <v>181</v>
      </c>
      <c r="BC386" s="240">
        <f>INPUT!CB108</f>
        <v>-13.397129186602868</v>
      </c>
      <c r="BD386" s="75">
        <f>INPUT!CC108</f>
        <v>290</v>
      </c>
      <c r="BE386" s="240">
        <f>INPUT!CD108</f>
        <v>-3.0100334448160453</v>
      </c>
      <c r="BF386" s="75">
        <f>INPUT!CE108</f>
        <v>249</v>
      </c>
      <c r="BG386" s="240">
        <f>INPUT!CF108</f>
        <v>-9.7826086956521721</v>
      </c>
      <c r="BH386" s="75">
        <f>INPUT!CG108</f>
        <v>294</v>
      </c>
      <c r="BI386" s="240">
        <f>INPUT!CH108</f>
        <v>5.7553956834532443</v>
      </c>
      <c r="BJ386" s="75">
        <f>INPUT!CI108</f>
        <v>168</v>
      </c>
      <c r="BK386" s="240">
        <f>INPUT!CJ108</f>
        <v>-7.1823204419889493</v>
      </c>
      <c r="BL386" s="75">
        <f>INPUT!CK108</f>
        <v>266</v>
      </c>
      <c r="BM386" s="240">
        <f>INPUT!CL108</f>
        <v>-8.2758620689655231</v>
      </c>
      <c r="BN386" s="75">
        <f>INPUT!CM108</f>
        <v>264</v>
      </c>
      <c r="BO386" s="240">
        <f>INPUT!CN108</f>
        <v>6.0240963855421796</v>
      </c>
      <c r="BP386" s="75">
        <f>INPUT!CO108</f>
        <v>274</v>
      </c>
      <c r="BQ386" s="240">
        <f>INPUT!CP108</f>
        <v>-6.8027210884353764</v>
      </c>
      <c r="BR386" s="75">
        <f>INPUT!CQ108</f>
        <v>156</v>
      </c>
      <c r="BS386" s="240">
        <f>INPUT!CR108</f>
        <v>-7.1428571428571388</v>
      </c>
      <c r="BT386" s="75">
        <f>INPUT!CS108</f>
        <v>258</v>
      </c>
      <c r="BU386" s="240">
        <f>INPUT!CT108</f>
        <v>-3.0075187969924855</v>
      </c>
      <c r="BV386" s="75">
        <f>INPUT!CU108</f>
        <v>265</v>
      </c>
      <c r="BW386" s="240">
        <f>INPUT!CV108</f>
        <v>0.37878787878788955</v>
      </c>
      <c r="BX386" s="75">
        <f>INPUT!CW108</f>
        <v>275</v>
      </c>
      <c r="BY386" s="240">
        <f>INPUT!CX108</f>
        <v>0.36496350364963348</v>
      </c>
      <c r="BZ386" s="75">
        <f>INPUT!CY108</f>
        <v>407</v>
      </c>
      <c r="CA386" s="240" t="str">
        <f>INPUT!CZ108</f>
        <v>NM</v>
      </c>
      <c r="CB386" s="75">
        <f>INPUT!DA108</f>
        <v>304</v>
      </c>
      <c r="CC386" s="240">
        <f>INPUT!DB108</f>
        <v>17.829457364341096</v>
      </c>
      <c r="CD386" s="75">
        <f>INPUT!DC108</f>
        <v>515</v>
      </c>
      <c r="CE386" s="240">
        <f>INPUT!DD108</f>
        <v>94.339622641509436</v>
      </c>
      <c r="CF386" s="75">
        <f>INPUT!DE108</f>
        <v>523</v>
      </c>
      <c r="CG386" s="240">
        <f>INPUT!DF108</f>
        <v>90.181818181818187</v>
      </c>
      <c r="CH386" s="75">
        <f>INPUT!DG108</f>
        <v>374</v>
      </c>
      <c r="CI386" s="240">
        <f>INPUT!DH108</f>
        <v>-8.1081081081080981</v>
      </c>
      <c r="CJ386" s="75">
        <f>INPUT!DI108</f>
        <v>494</v>
      </c>
      <c r="CK386" s="240">
        <f>INPUT!DJ108</f>
        <v>62.5</v>
      </c>
      <c r="CL386" s="75">
        <f>INPUT!DK108</f>
        <v>541</v>
      </c>
      <c r="CM386" s="240">
        <f>INPUT!DL108</f>
        <v>5.0485436893203968</v>
      </c>
      <c r="CN386" s="75">
        <f>INPUT!DM108</f>
        <v>538</v>
      </c>
      <c r="CO386" s="240">
        <f>INPUT!DN108</f>
        <v>2.8680688336520035</v>
      </c>
      <c r="CP386" s="75">
        <f>INPUT!DO108</f>
        <v>502</v>
      </c>
      <c r="CQ386" s="240">
        <f>INPUT!DP108</f>
        <v>34.224598930481278</v>
      </c>
      <c r="CR386" s="75">
        <f>INPUT!DQ108</f>
        <v>562</v>
      </c>
      <c r="CS386" s="240">
        <f>INPUT!DR108</f>
        <v>13.76518218623481</v>
      </c>
      <c r="CT386" s="75">
        <f>INPUT!DS108</f>
        <v>563</v>
      </c>
      <c r="CU386" s="240">
        <f>INPUT!DT108</f>
        <v>4.0665434380776446</v>
      </c>
      <c r="CV386" s="75">
        <f>INPUT!DU108</f>
        <v>360</v>
      </c>
      <c r="CW386" s="240">
        <f>INPUT!DV108</f>
        <v>-33.085501858736052</v>
      </c>
      <c r="CX386" s="75">
        <f>INPUT!DW108</f>
        <v>578</v>
      </c>
      <c r="CY386" s="240">
        <f>INPUT!DX108</f>
        <v>15.139442231075705</v>
      </c>
      <c r="CZ386" s="75">
        <f>INPUT!DY108</f>
        <v>553</v>
      </c>
      <c r="DA386" s="240">
        <f>INPUT!DZ108</f>
        <v>-1.6014234875444799</v>
      </c>
      <c r="DB386" s="75">
        <f>INPUT!EA108</f>
        <v>570</v>
      </c>
      <c r="DC386" s="240">
        <f>INPUT!EB108</f>
        <v>1.2433392539964387</v>
      </c>
      <c r="DD386" s="75">
        <f>INPUT!EC108</f>
        <v>329</v>
      </c>
      <c r="DE386" s="240">
        <f>INPUT!ED108</f>
        <v>-8.6111111111111143</v>
      </c>
      <c r="DF386" s="75">
        <f>INPUT!EE108</f>
        <v>555</v>
      </c>
      <c r="DG386" s="240">
        <f>INPUT!EF108</f>
        <v>-3.9792387543252659</v>
      </c>
      <c r="DH386" s="75">
        <f>INPUT!EG108</f>
        <v>566</v>
      </c>
      <c r="DI386" s="240">
        <f>INPUT!EH108</f>
        <v>2.3508137432188221</v>
      </c>
      <c r="DJ386" s="75">
        <f>INPUT!EI108</f>
        <v>573</v>
      </c>
      <c r="DK386" s="240">
        <f>INPUT!EJ108</f>
        <v>0.52631578947368496</v>
      </c>
      <c r="DL386" s="75">
        <f>INPUT!EK108</f>
        <v>-240</v>
      </c>
      <c r="DM386" s="240" t="str">
        <f>INPUT!EL108</f>
        <v>NM</v>
      </c>
      <c r="DN386" s="75">
        <f>INPUT!EM108</f>
        <v>519</v>
      </c>
      <c r="DO386" s="240">
        <f>INPUT!EN108</f>
        <v>-6.4864864864864842</v>
      </c>
      <c r="DP386" s="75">
        <f>INPUT!EO108</f>
        <v>550</v>
      </c>
      <c r="DQ386" s="240">
        <f>INPUT!EP108</f>
        <v>-2.8268551236749033</v>
      </c>
      <c r="DR386" s="75">
        <f>INPUT!EQ108</f>
        <v>587.32499999999993</v>
      </c>
      <c r="DS386" s="240">
        <f>INPUT!ER108</f>
        <v>2.4999999999999858</v>
      </c>
      <c r="DT386" s="75">
        <f>INPUT!ES108</f>
        <v>384</v>
      </c>
      <c r="DU386" s="240" t="str">
        <f>INPUT!ET108</f>
        <v>NM</v>
      </c>
      <c r="DV386" s="75">
        <f>INPUT!EU108</f>
        <v>531.97499999999991</v>
      </c>
      <c r="DW386" s="240">
        <f>INPUT!EV108</f>
        <v>2.4999999999999858</v>
      </c>
      <c r="DX386" s="75">
        <f>INPUT!EW108</f>
        <v>563.75</v>
      </c>
      <c r="DY386" s="240">
        <f>INPUT!EX108</f>
        <v>2.4999999999999858</v>
      </c>
      <c r="DZ386" s="75"/>
      <c r="EA386" s="240"/>
      <c r="EB386" s="155">
        <f>INPUT!FI108</f>
        <v>-0.58651026392962535</v>
      </c>
      <c r="EC386" s="75">
        <f>INPUT!FJ108</f>
        <v>1014</v>
      </c>
      <c r="ED386" s="155">
        <f>INPUT!FK108</f>
        <v>-0.29498525073746862</v>
      </c>
      <c r="EE386" s="75">
        <f>INPUT!FL108</f>
        <v>1025</v>
      </c>
      <c r="EF386" s="155">
        <f>INPUT!FM108</f>
        <v>1.0848126232741606</v>
      </c>
      <c r="EG386" s="75">
        <f>INPUT!FN108</f>
        <v>1027</v>
      </c>
      <c r="EH386" s="155">
        <f>INPUT!FO108</f>
        <v>0.19512195121950526</v>
      </c>
      <c r="EI386" s="75">
        <f>INPUT!FP108</f>
        <v>1095</v>
      </c>
      <c r="EJ386" s="240">
        <f>INPUT!FQ108</f>
        <v>6.6212268743914393</v>
      </c>
      <c r="EK386" s="75">
        <f>INPUT!FR108</f>
        <v>920</v>
      </c>
      <c r="EL386" s="240">
        <f>INPUT!FS108</f>
        <v>-15.981735159817362</v>
      </c>
      <c r="EM386" s="75">
        <f>INPUT!FT108</f>
        <v>1040</v>
      </c>
      <c r="EN386" s="240">
        <f>INPUT!FU108</f>
        <v>13.043478260869563</v>
      </c>
      <c r="EO386" s="75">
        <f>INPUT!FV108</f>
        <v>1066</v>
      </c>
      <c r="EP386" s="240">
        <f>INPUT!FW108</f>
        <v>2.4999999999999858</v>
      </c>
      <c r="EQ386" s="75">
        <f>INPUT!FX108</f>
        <v>1024</v>
      </c>
      <c r="ER386" s="240">
        <f>INPUT!FY108</f>
        <v>-3.9399624765478478</v>
      </c>
      <c r="ES386" s="75">
        <f>INPUT!FZ108</f>
        <v>977</v>
      </c>
      <c r="ET386" s="240">
        <f>INPUT!GA108</f>
        <v>-4.58984375</v>
      </c>
      <c r="EU386" s="75">
        <f>INPUT!GB108</f>
        <v>952</v>
      </c>
      <c r="EV386" s="240">
        <f>INPUT!GC108</f>
        <v>-2.5588536335721557</v>
      </c>
      <c r="EW386" s="75">
        <f>INPUT!GD108</f>
        <v>1251</v>
      </c>
      <c r="EX386" s="240">
        <f>INPUT!GE108</f>
        <v>31.407563025210095</v>
      </c>
      <c r="EY386" s="75">
        <f>INPUT!GF108</f>
        <v>1906</v>
      </c>
      <c r="EZ386" s="240">
        <f>INPUT!GG108</f>
        <v>52.358113509192634</v>
      </c>
      <c r="FA386" s="75">
        <f>INPUT!GH108</f>
        <v>2143</v>
      </c>
      <c r="FB386" s="240">
        <f>INPUT!GI108</f>
        <v>12.434417628541453</v>
      </c>
      <c r="FC386" s="75">
        <f>INPUT!GJ108</f>
        <v>2054</v>
      </c>
      <c r="FD386" s="240">
        <f>INPUT!GK108</f>
        <v>-4.1530564629024695</v>
      </c>
      <c r="FE386" s="75">
        <f>INPUT!GL108</f>
        <v>2020</v>
      </c>
      <c r="FF386" s="240">
        <f>INPUT!GM108</f>
        <v>-1.6553067185978563</v>
      </c>
      <c r="FG386" s="75">
        <f>INPUT!GN108</f>
        <v>1402</v>
      </c>
      <c r="FH386" s="240">
        <f>INPUT!GO108</f>
        <v>-30.594059405940598</v>
      </c>
      <c r="FI386" s="75">
        <f>INPUT!GP108</f>
        <v>2067.0499999999997</v>
      </c>
      <c r="FJ386" s="240">
        <f>INPUT!GQ108</f>
        <v>47.435805991440759</v>
      </c>
      <c r="FK386" s="75">
        <f>INPUT!GR108</f>
        <v>2191.0729999999999</v>
      </c>
      <c r="FL386" s="240">
        <f>INPUT!GS108</f>
        <v>6</v>
      </c>
      <c r="FM386" s="75">
        <f>INPUT!GT108</f>
        <v>2322.5373799999998</v>
      </c>
      <c r="FN386" s="240">
        <f>INPUT!GU108</f>
        <v>6</v>
      </c>
      <c r="FO386" s="75">
        <f>INPUT!GV108</f>
        <v>2461.8896227999999</v>
      </c>
      <c r="FP386" s="240">
        <f>INPUT!GW108</f>
        <v>6</v>
      </c>
      <c r="FQ386" s="75">
        <f>INPUT!GX108</f>
        <v>2609.6030001680001</v>
      </c>
      <c r="FR386" s="240">
        <f>INPUT!GY108</f>
        <v>6</v>
      </c>
      <c r="FS386" s="240">
        <f>INPUT!GZ108</f>
        <v>13.230985156196539</v>
      </c>
    </row>
    <row r="387" spans="1:175" ht="12.75" hidden="1" customHeight="1" outlineLevel="1" x14ac:dyDescent="0.2">
      <c r="A387" s="77" t="str">
        <f>INPUT!B109</f>
        <v xml:space="preserve">  Total Fees</v>
      </c>
      <c r="B387" s="75">
        <f>INPUT!AA109</f>
        <v>348</v>
      </c>
      <c r="C387" s="155">
        <f>INPUT!AB109</f>
        <v>13.725490196078425</v>
      </c>
      <c r="D387" s="75">
        <f>INPUT!AC109</f>
        <v>354</v>
      </c>
      <c r="E387" s="155">
        <f>INPUT!AD109</f>
        <v>11.671924290220815</v>
      </c>
      <c r="F387" s="75">
        <f>INPUT!AE109</f>
        <v>332</v>
      </c>
      <c r="G387" s="155">
        <f>INPUT!AF109</f>
        <v>-7.0028011204481828</v>
      </c>
      <c r="H387" s="75">
        <f>INPUT!AG109</f>
        <v>343</v>
      </c>
      <c r="I387" s="155">
        <f>INPUT!AH109</f>
        <v>-20.046620046620049</v>
      </c>
      <c r="J387" s="75">
        <f>INPUT!AI109</f>
        <v>337</v>
      </c>
      <c r="K387" s="155">
        <f>INPUT!AJ109</f>
        <v>-3.1609195402298838</v>
      </c>
      <c r="L387" s="75">
        <f>INPUT!AK109</f>
        <v>334</v>
      </c>
      <c r="M387" s="155">
        <f>INPUT!AL109</f>
        <v>-5.6497175141242906</v>
      </c>
      <c r="N387" s="75">
        <f>INPUT!AM109</f>
        <v>343</v>
      </c>
      <c r="O387" s="155">
        <f>INPUT!AN109</f>
        <v>3.3132530120481931</v>
      </c>
      <c r="P387" s="75">
        <f>INPUT!AO109</f>
        <v>347</v>
      </c>
      <c r="Q387" s="155">
        <f>INPUT!AP109</f>
        <v>1.1661807580174894</v>
      </c>
      <c r="R387" s="75">
        <f>INPUT!AQ109</f>
        <v>353</v>
      </c>
      <c r="S387" s="155">
        <f>INPUT!AR109</f>
        <v>4.7477744807121809</v>
      </c>
      <c r="T387" s="75">
        <f>INPUT!AS109</f>
        <v>352</v>
      </c>
      <c r="U387" s="155">
        <f>INPUT!AT109</f>
        <v>5.3892215568862412</v>
      </c>
      <c r="V387" s="75">
        <f>INPUT!AU109</f>
        <v>395</v>
      </c>
      <c r="W387" s="155">
        <f>INPUT!AV109</f>
        <v>15.160349854227405</v>
      </c>
      <c r="X387" s="75">
        <f>INPUT!AW109</f>
        <v>386</v>
      </c>
      <c r="Y387" s="155">
        <f>INPUT!AX109</f>
        <v>11.239193083573483</v>
      </c>
      <c r="Z387" s="75">
        <f>INPUT!AY109</f>
        <v>366</v>
      </c>
      <c r="AA387" s="155">
        <f>INPUT!AZ109</f>
        <v>3.68271954674222</v>
      </c>
      <c r="AB387" s="75">
        <f>INPUT!BA109</f>
        <v>373</v>
      </c>
      <c r="AC387" s="155">
        <f>INPUT!BB109</f>
        <v>5.9659090909090793</v>
      </c>
      <c r="AD387" s="75">
        <f>INPUT!BC109</f>
        <v>226</v>
      </c>
      <c r="AE387" s="155">
        <f>INPUT!BD109</f>
        <v>-42.784810126582272</v>
      </c>
      <c r="AF387" s="75">
        <f>INPUT!BE109</f>
        <v>384</v>
      </c>
      <c r="AG387" s="155">
        <f>INPUT!BF109</f>
        <v>-0.51813471502590858</v>
      </c>
      <c r="AH387" s="75">
        <f>INPUT!BG109</f>
        <v>398</v>
      </c>
      <c r="AI387" s="240">
        <f>INPUT!BH109</f>
        <v>8.7431693989071135</v>
      </c>
      <c r="AJ387" s="75">
        <f>INPUT!BI109</f>
        <v>390</v>
      </c>
      <c r="AK387" s="240">
        <f>INPUT!BJ109</f>
        <v>4.5576407506702452</v>
      </c>
      <c r="AL387" s="75">
        <f>INPUT!BK109</f>
        <v>363</v>
      </c>
      <c r="AM387" s="240">
        <f>INPUT!BL109</f>
        <v>60.619469026548671</v>
      </c>
      <c r="AN387" s="75">
        <f>INPUT!BM109</f>
        <v>422</v>
      </c>
      <c r="AO387" s="240">
        <f>INPUT!BN109</f>
        <v>9.8958333333333286</v>
      </c>
      <c r="AP387" s="75">
        <f>INPUT!BO109</f>
        <v>433</v>
      </c>
      <c r="AQ387" s="240">
        <f>INPUT!BP109</f>
        <v>8.7939698492462242</v>
      </c>
      <c r="AR387" s="75">
        <f>INPUT!BQ109</f>
        <v>421</v>
      </c>
      <c r="AS387" s="240">
        <f>INPUT!BR109</f>
        <v>7.9487179487179418</v>
      </c>
      <c r="AT387" s="75">
        <f>INPUT!BS109</f>
        <v>364</v>
      </c>
      <c r="AU387" s="240">
        <f>INPUT!BT109</f>
        <v>0.27548209366389642</v>
      </c>
      <c r="AV387" s="75">
        <f>INPUT!BU109</f>
        <v>461</v>
      </c>
      <c r="AW387" s="240">
        <f>INPUT!BV109</f>
        <v>9.2417061611374436</v>
      </c>
      <c r="AX387" s="75">
        <f>INPUT!BW109</f>
        <v>436</v>
      </c>
      <c r="AY387" s="240">
        <f>INPUT!BX109</f>
        <v>0.69284064665127687</v>
      </c>
      <c r="AZ387" s="75">
        <f>INPUT!BY109</f>
        <v>448</v>
      </c>
      <c r="BA387" s="240">
        <f>INPUT!BZ109</f>
        <v>6.4133016627078376</v>
      </c>
      <c r="BB387" s="75">
        <f>INPUT!CA109</f>
        <v>359</v>
      </c>
      <c r="BC387" s="240">
        <f>INPUT!CB109</f>
        <v>-1.3736263736263652</v>
      </c>
      <c r="BD387" s="75">
        <f>INPUT!CC109</f>
        <v>468</v>
      </c>
      <c r="BE387" s="240">
        <f>INPUT!CD109</f>
        <v>1.518438177874188</v>
      </c>
      <c r="BF387" s="75">
        <f>INPUT!CE109</f>
        <v>425</v>
      </c>
      <c r="BG387" s="240">
        <f>INPUT!CF109</f>
        <v>-2.5229357798165211</v>
      </c>
      <c r="BH387" s="75">
        <f>INPUT!CG109</f>
        <v>471</v>
      </c>
      <c r="BI387" s="240">
        <f>INPUT!CH109</f>
        <v>5.1339285714285836</v>
      </c>
      <c r="BJ387" s="75">
        <f>INPUT!CI109</f>
        <v>349</v>
      </c>
      <c r="BK387" s="240">
        <f>INPUT!CJ109</f>
        <v>-2.7855153203342695</v>
      </c>
      <c r="BL387" s="75">
        <f>INPUT!CK109</f>
        <v>446</v>
      </c>
      <c r="BM387" s="240">
        <f>INPUT!CL109</f>
        <v>-4.7008547008547055</v>
      </c>
      <c r="BN387" s="75">
        <f>INPUT!CM109</f>
        <v>436</v>
      </c>
      <c r="BO387" s="240">
        <f>INPUT!CN109</f>
        <v>2.5882352941176521</v>
      </c>
      <c r="BP387" s="75">
        <f>INPUT!CO109</f>
        <v>457</v>
      </c>
      <c r="BQ387" s="240">
        <f>INPUT!CP109</f>
        <v>-2.9723991507431009</v>
      </c>
      <c r="BR387" s="75">
        <f>INPUT!CQ109</f>
        <v>338</v>
      </c>
      <c r="BS387" s="240">
        <f>INPUT!CR109</f>
        <v>-3.151862464183381</v>
      </c>
      <c r="BT387" s="75">
        <f>INPUT!CS109</f>
        <v>437</v>
      </c>
      <c r="BU387" s="240">
        <f>INPUT!CT109</f>
        <v>-2.0179372197309391</v>
      </c>
      <c r="BV387" s="75">
        <f>INPUT!CU109</f>
        <v>440</v>
      </c>
      <c r="BW387" s="240">
        <f>INPUT!CV109</f>
        <v>0.91743119266054407</v>
      </c>
      <c r="BX387" s="75">
        <f>INPUT!CW109</f>
        <v>458</v>
      </c>
      <c r="BY387" s="240">
        <f>INPUT!CX109</f>
        <v>0.21881838074398274</v>
      </c>
      <c r="BZ387" s="75">
        <f>INPUT!CY109</f>
        <v>591</v>
      </c>
      <c r="CA387" s="240">
        <f>INPUT!CZ109</f>
        <v>74.852071005917139</v>
      </c>
      <c r="CB387" s="75">
        <f>INPUT!DA109</f>
        <v>487</v>
      </c>
      <c r="CC387" s="240">
        <f>INPUT!DB109</f>
        <v>11.441647597254018</v>
      </c>
      <c r="CD387" s="75">
        <f>INPUT!DC109</f>
        <v>708</v>
      </c>
      <c r="CE387" s="240">
        <f>INPUT!DD109</f>
        <v>60.909090909090907</v>
      </c>
      <c r="CF387" s="75">
        <f>INPUT!DE109</f>
        <v>727</v>
      </c>
      <c r="CG387" s="240">
        <f>INPUT!DF109</f>
        <v>58.733624454148469</v>
      </c>
      <c r="CH387" s="75">
        <f>INPUT!DG109</f>
        <v>572</v>
      </c>
      <c r="CI387" s="240">
        <f>INPUT!DH109</f>
        <v>-3.2148900169204637</v>
      </c>
      <c r="CJ387" s="75">
        <f>INPUT!DI109</f>
        <v>709</v>
      </c>
      <c r="CK387" s="240">
        <f>INPUT!DJ109</f>
        <v>45.585215605749482</v>
      </c>
      <c r="CL387" s="75">
        <f>INPUT!DK109</f>
        <v>755</v>
      </c>
      <c r="CM387" s="240">
        <f>INPUT!DL109</f>
        <v>6.6384180790960414</v>
      </c>
      <c r="CN387" s="75">
        <f>INPUT!DM109</f>
        <v>757</v>
      </c>
      <c r="CO387" s="240">
        <f>INPUT!DN109</f>
        <v>4.1265474552957215</v>
      </c>
      <c r="CP387" s="75">
        <f>INPUT!DO109</f>
        <v>712</v>
      </c>
      <c r="CQ387" s="240">
        <f>INPUT!DP109</f>
        <v>24.47552447552448</v>
      </c>
      <c r="CR387" s="75">
        <f>INPUT!DQ109</f>
        <v>767</v>
      </c>
      <c r="CS387" s="240">
        <f>INPUT!DR109</f>
        <v>8.1805359661495203</v>
      </c>
      <c r="CT387" s="75">
        <f>INPUT!DS109</f>
        <v>795</v>
      </c>
      <c r="CU387" s="240">
        <f>INPUT!DT109</f>
        <v>5.2980132450331183</v>
      </c>
      <c r="CV387" s="75">
        <f>INPUT!DU109</f>
        <v>589</v>
      </c>
      <c r="CW387" s="240">
        <f>INPUT!DV109</f>
        <v>-22.192866578599734</v>
      </c>
      <c r="CX387" s="75">
        <f>INPUT!DW109</f>
        <v>797</v>
      </c>
      <c r="CY387" s="240">
        <f>INPUT!DX109</f>
        <v>11.938202247191015</v>
      </c>
      <c r="CZ387" s="75">
        <f>INPUT!DY109</f>
        <v>769</v>
      </c>
      <c r="DA387" s="240">
        <f>INPUT!DZ109</f>
        <v>0.26075619295957608</v>
      </c>
      <c r="DB387" s="75">
        <f>INPUT!EA109</f>
        <v>780</v>
      </c>
      <c r="DC387" s="240">
        <f>INPUT!EB109</f>
        <v>-1.8867924528301927</v>
      </c>
      <c r="DD387" s="75">
        <f>INPUT!EC109</f>
        <v>545</v>
      </c>
      <c r="DE387" s="240">
        <f>INPUT!ED109</f>
        <v>-7.4702886247877842</v>
      </c>
      <c r="DF387" s="75">
        <f>INPUT!EE109</f>
        <v>771</v>
      </c>
      <c r="DG387" s="240">
        <f>INPUT!EF109</f>
        <v>-3.2622333751568391</v>
      </c>
      <c r="DH387" s="75">
        <f>INPUT!EG109</f>
        <v>784</v>
      </c>
      <c r="DI387" s="240">
        <f>INPUT!EH109</f>
        <v>1.9505851755526606</v>
      </c>
      <c r="DJ387" s="75">
        <f>INPUT!EI109</f>
        <v>789</v>
      </c>
      <c r="DK387" s="240">
        <f>INPUT!EJ109</f>
        <v>1.1538461538461462</v>
      </c>
      <c r="DL387" s="75">
        <f>INPUT!EK109</f>
        <v>-10</v>
      </c>
      <c r="DM387" s="240" t="str">
        <f>INPUT!EL109</f>
        <v>NM</v>
      </c>
      <c r="DN387" s="75">
        <f>INPUT!EM109</f>
        <v>742</v>
      </c>
      <c r="DO387" s="240">
        <f>INPUT!EN109</f>
        <v>-3.7613488975356688</v>
      </c>
      <c r="DP387" s="75">
        <f>INPUT!EO109</f>
        <v>776</v>
      </c>
      <c r="DQ387" s="240">
        <f>INPUT!EP109</f>
        <v>-1.0204081632653015</v>
      </c>
      <c r="DR387" s="75">
        <f>INPUT!EQ109</f>
        <v>816.28499999999997</v>
      </c>
      <c r="DS387" s="240">
        <f>INPUT!ER109</f>
        <v>3.4581749049429504</v>
      </c>
      <c r="DT387" s="75">
        <f>INPUT!ES109</f>
        <v>627.79999999999995</v>
      </c>
      <c r="DU387" s="240" t="str">
        <f>INPUT!ET109</f>
        <v>NM</v>
      </c>
      <c r="DV387" s="75">
        <f>INPUT!EU109</f>
        <v>768.3549999999999</v>
      </c>
      <c r="DW387" s="240">
        <f>INPUT!EV109</f>
        <v>3.5518867924528195</v>
      </c>
      <c r="DX387" s="75">
        <f>INPUT!EW109</f>
        <v>803.31</v>
      </c>
      <c r="DY387" s="240">
        <f>INPUT!EX109</f>
        <v>3.5193298969072231</v>
      </c>
      <c r="DZ387" s="75"/>
      <c r="EA387" s="240"/>
      <c r="EB387" s="155">
        <f>INPUT!FI109</f>
        <v>5.7228915662650621</v>
      </c>
      <c r="EC387" s="75">
        <f>INPUT!FJ109</f>
        <v>1409</v>
      </c>
      <c r="ED387" s="155">
        <f>INPUT!FK109</f>
        <v>0.35612535612534657</v>
      </c>
      <c r="EE387" s="75">
        <f>INPUT!FL109</f>
        <v>1377</v>
      </c>
      <c r="EF387" s="155">
        <f>INPUT!FM109</f>
        <v>-2.2711142654364807</v>
      </c>
      <c r="EG387" s="75">
        <f>INPUT!FN109</f>
        <v>1361</v>
      </c>
      <c r="EH387" s="155">
        <f>INPUT!FO109</f>
        <v>-1.1619462599854842</v>
      </c>
      <c r="EI387" s="75">
        <f>INPUT!FP109</f>
        <v>1486</v>
      </c>
      <c r="EJ387" s="240">
        <f>INPUT!FQ109</f>
        <v>9.1844232182219088</v>
      </c>
      <c r="EK387" s="75">
        <f>INPUT!FR109</f>
        <v>1349</v>
      </c>
      <c r="EL387" s="240">
        <f>INPUT!FS109</f>
        <v>-9.2193808882907149</v>
      </c>
      <c r="EM387" s="75">
        <f>INPUT!FT109</f>
        <v>1573</v>
      </c>
      <c r="EN387" s="240">
        <f>INPUT!FU109</f>
        <v>16.604892512972569</v>
      </c>
      <c r="EO387" s="75">
        <f>INPUT!FV109</f>
        <v>1679</v>
      </c>
      <c r="EP387" s="240">
        <f>INPUT!FW109</f>
        <v>6.7387158296249368</v>
      </c>
      <c r="EQ387" s="75">
        <f>INPUT!FX109</f>
        <v>1710</v>
      </c>
      <c r="ER387" s="240">
        <f>INPUT!FY109</f>
        <v>1.8463371054198774</v>
      </c>
      <c r="ES387" s="75">
        <f>INPUT!FZ109</f>
        <v>1691</v>
      </c>
      <c r="ET387" s="240">
        <f>INPUT!GA109</f>
        <v>-1.1111111111111143</v>
      </c>
      <c r="EU387" s="75">
        <f>INPUT!GB109</f>
        <v>1668</v>
      </c>
      <c r="EV387" s="240">
        <f>INPUT!GC109</f>
        <v>-1.3601419278533484</v>
      </c>
      <c r="EW387" s="75">
        <f>INPUT!GD109</f>
        <v>1976</v>
      </c>
      <c r="EX387" s="240">
        <f>INPUT!GE109</f>
        <v>18.465227817745799</v>
      </c>
      <c r="EY387" s="75">
        <f>INPUT!GF109</f>
        <v>2716</v>
      </c>
      <c r="EZ387" s="240">
        <f>INPUT!GG109</f>
        <v>37.449392712550605</v>
      </c>
      <c r="FA387" s="75">
        <f>INPUT!GH109</f>
        <v>2991</v>
      </c>
      <c r="FB387" s="240">
        <f>INPUT!GI109</f>
        <v>10.125184094256269</v>
      </c>
      <c r="FC387" s="75">
        <f>INPUT!GJ109</f>
        <v>2950</v>
      </c>
      <c r="FD387" s="240">
        <f>INPUT!GK109</f>
        <v>-1.370779003677697</v>
      </c>
      <c r="FE387" s="75">
        <f>INPUT!GL109</f>
        <v>2880</v>
      </c>
      <c r="FF387" s="240">
        <f>INPUT!GM109</f>
        <v>-2.3728813559321935</v>
      </c>
      <c r="FG387" s="75">
        <f>INPUT!GN109</f>
        <v>2297</v>
      </c>
      <c r="FH387" s="240">
        <f>INPUT!GO109</f>
        <v>-20.243055555555557</v>
      </c>
      <c r="FI387" s="75">
        <f>INPUT!GP109</f>
        <v>3015.75</v>
      </c>
      <c r="FJ387" s="240">
        <f>INPUT!GQ109</f>
        <v>31.290814105354826</v>
      </c>
      <c r="FK387" s="75">
        <f>INPUT!GR109</f>
        <v>3196.6949999999997</v>
      </c>
      <c r="FL387" s="240">
        <f>INPUT!GS109</f>
        <v>5.9999999999999858</v>
      </c>
      <c r="FM387" s="75">
        <f>INPUT!GT109</f>
        <v>3388.4966999999997</v>
      </c>
      <c r="FN387" s="240">
        <f>INPUT!GU109</f>
        <v>6</v>
      </c>
      <c r="FO387" s="75">
        <f>INPUT!GV109</f>
        <v>3591.8065020000004</v>
      </c>
      <c r="FP387" s="240">
        <f>INPUT!GW109</f>
        <v>6.0000000000000284</v>
      </c>
      <c r="FQ387" s="75">
        <f>INPUT!GX109</f>
        <v>3807.3148921200004</v>
      </c>
      <c r="FR387" s="240">
        <f>INPUT!GY109</f>
        <v>6</v>
      </c>
      <c r="FS387" s="240">
        <f>INPUT!GZ109</f>
        <v>10.634750420517181</v>
      </c>
    </row>
    <row r="388" spans="1:175" ht="12.75" hidden="1" customHeight="1" outlineLevel="1" x14ac:dyDescent="0.2">
      <c r="A388" s="77" t="str">
        <f>INPUT!B110</f>
        <v>Net Investment Income</v>
      </c>
      <c r="B388" s="75">
        <f>INPUT!AA110</f>
        <v>101</v>
      </c>
      <c r="C388" s="155">
        <f>INPUT!AB110</f>
        <v>-3.8095238095238102</v>
      </c>
      <c r="D388" s="75">
        <f>INPUT!AC110</f>
        <v>101</v>
      </c>
      <c r="E388" s="155">
        <f>INPUT!AD110</f>
        <v>0</v>
      </c>
      <c r="F388" s="75">
        <f>INPUT!AE110</f>
        <v>100</v>
      </c>
      <c r="G388" s="155">
        <f>INPUT!AF110</f>
        <v>-3.8461538461538396</v>
      </c>
      <c r="H388" s="75">
        <f>INPUT!AG110</f>
        <v>106</v>
      </c>
      <c r="I388" s="155">
        <f>INPUT!AH110</f>
        <v>-1.8518518518518476</v>
      </c>
      <c r="J388" s="75">
        <f>INPUT!AI110</f>
        <v>97</v>
      </c>
      <c r="K388" s="155">
        <f>INPUT!AJ110</f>
        <v>-3.9603960396039639</v>
      </c>
      <c r="L388" s="75">
        <f>INPUT!AK110</f>
        <v>97</v>
      </c>
      <c r="M388" s="155">
        <f>INPUT!AL110</f>
        <v>-3.9603960396039639</v>
      </c>
      <c r="N388" s="75">
        <f>INPUT!AM110</f>
        <v>104</v>
      </c>
      <c r="O388" s="155">
        <f>INPUT!AN110</f>
        <v>4</v>
      </c>
      <c r="P388" s="75">
        <f>INPUT!AO110</f>
        <v>123</v>
      </c>
      <c r="Q388" s="155">
        <f>INPUT!AP110</f>
        <v>16.037735849056617</v>
      </c>
      <c r="R388" s="75">
        <f>INPUT!AQ110</f>
        <v>125</v>
      </c>
      <c r="S388" s="155">
        <f>INPUT!AR110</f>
        <v>28.86597938144331</v>
      </c>
      <c r="T388" s="75">
        <f>INPUT!AS110</f>
        <v>119</v>
      </c>
      <c r="U388" s="155">
        <f>INPUT!AT110</f>
        <v>22.680412371134025</v>
      </c>
      <c r="V388" s="75">
        <f>INPUT!AU110</f>
        <v>126</v>
      </c>
      <c r="W388" s="155">
        <f>INPUT!AV110</f>
        <v>21.153846153846146</v>
      </c>
      <c r="X388" s="75">
        <f>INPUT!AW110</f>
        <v>130</v>
      </c>
      <c r="Y388" s="155">
        <f>INPUT!AX110</f>
        <v>5.6910569105691025</v>
      </c>
      <c r="Z388" s="75">
        <f>INPUT!AY110</f>
        <v>126</v>
      </c>
      <c r="AA388" s="155">
        <f>INPUT!AZ110</f>
        <v>0.79999999999999716</v>
      </c>
      <c r="AB388" s="75">
        <f>INPUT!BA110</f>
        <v>136</v>
      </c>
      <c r="AC388" s="155">
        <f>INPUT!BB110</f>
        <v>14.285714285714278</v>
      </c>
      <c r="AD388" s="75">
        <f>INPUT!BC110</f>
        <v>137</v>
      </c>
      <c r="AE388" s="155">
        <f>INPUT!BD110</f>
        <v>8.7301587301587205</v>
      </c>
      <c r="AF388" s="75">
        <f>INPUT!BE110</f>
        <v>149</v>
      </c>
      <c r="AG388" s="155">
        <f>INPUT!BF110</f>
        <v>14.615384615384613</v>
      </c>
      <c r="AH388" s="75">
        <f>INPUT!BG110</f>
        <v>155</v>
      </c>
      <c r="AI388" s="240">
        <f>INPUT!BH110</f>
        <v>23.015873015873026</v>
      </c>
      <c r="AJ388" s="75">
        <f>INPUT!BI110</f>
        <v>161</v>
      </c>
      <c r="AK388" s="240">
        <f>INPUT!BJ110</f>
        <v>18.382352941176478</v>
      </c>
      <c r="AL388" s="75">
        <f>INPUT!BK110</f>
        <v>165</v>
      </c>
      <c r="AM388" s="240">
        <f>INPUT!BL110</f>
        <v>20.43795620437956</v>
      </c>
      <c r="AN388" s="75">
        <f>INPUT!BM110</f>
        <v>175</v>
      </c>
      <c r="AO388" s="240">
        <f>INPUT!BN110</f>
        <v>17.449664429530202</v>
      </c>
      <c r="AP388" s="75">
        <f>INPUT!BO110</f>
        <v>180</v>
      </c>
      <c r="AQ388" s="240">
        <f>INPUT!BP110</f>
        <v>16.129032258064527</v>
      </c>
      <c r="AR388" s="75">
        <f>INPUT!BQ110</f>
        <v>182</v>
      </c>
      <c r="AS388" s="240">
        <f>INPUT!BR110</f>
        <v>13.043478260869563</v>
      </c>
      <c r="AT388" s="75">
        <f>INPUT!BS110</f>
        <v>191</v>
      </c>
      <c r="AU388" s="240">
        <f>INPUT!BT110</f>
        <v>15.757575757575751</v>
      </c>
      <c r="AV388" s="75">
        <f>INPUT!BU110</f>
        <v>196</v>
      </c>
      <c r="AW388" s="240">
        <f>INPUT!BV110</f>
        <v>12.000000000000014</v>
      </c>
      <c r="AX388" s="75">
        <f>INPUT!BW110</f>
        <v>197</v>
      </c>
      <c r="AY388" s="240">
        <f>INPUT!BX110</f>
        <v>9.4444444444444571</v>
      </c>
      <c r="AZ388" s="75">
        <f>INPUT!BY110</f>
        <v>200</v>
      </c>
      <c r="BA388" s="240">
        <f>INPUT!BZ110</f>
        <v>9.8901098901098976</v>
      </c>
      <c r="BB388" s="75">
        <f>INPUT!CA110</f>
        <v>205</v>
      </c>
      <c r="BC388" s="240">
        <f>INPUT!CB110</f>
        <v>7.329842931937165</v>
      </c>
      <c r="BD388" s="75">
        <f>INPUT!CC110</f>
        <v>207</v>
      </c>
      <c r="BE388" s="240">
        <f>INPUT!CD110</f>
        <v>5.6122448979591724</v>
      </c>
      <c r="BF388" s="75">
        <f>INPUT!CE110</f>
        <v>213</v>
      </c>
      <c r="BG388" s="240">
        <f>INPUT!CF110</f>
        <v>8.1218274111675157</v>
      </c>
      <c r="BH388" s="75">
        <f>INPUT!CG110</f>
        <v>223</v>
      </c>
      <c r="BI388" s="240">
        <f>INPUT!CH110</f>
        <v>11.5</v>
      </c>
      <c r="BJ388" s="75">
        <f>INPUT!CI110</f>
        <v>230</v>
      </c>
      <c r="BK388" s="240">
        <f>INPUT!CJ110</f>
        <v>12.195121951219519</v>
      </c>
      <c r="BL388" s="75">
        <f>INPUT!CK110</f>
        <v>237</v>
      </c>
      <c r="BM388" s="240">
        <f>INPUT!CL110</f>
        <v>14.492753623188406</v>
      </c>
      <c r="BN388" s="75">
        <f>INPUT!CM110</f>
        <v>236</v>
      </c>
      <c r="BO388" s="240">
        <f>INPUT!CN110</f>
        <v>10.798122065727696</v>
      </c>
      <c r="BP388" s="75">
        <f>INPUT!CO110</f>
        <v>245</v>
      </c>
      <c r="BQ388" s="240">
        <f>INPUT!CP110</f>
        <v>9.8654708520179497</v>
      </c>
      <c r="BR388" s="75">
        <f>INPUT!CQ110</f>
        <v>248</v>
      </c>
      <c r="BS388" s="240">
        <f>INPUT!CR110</f>
        <v>7.8260869565217348</v>
      </c>
      <c r="BT388" s="75">
        <f>INPUT!CS110</f>
        <v>249</v>
      </c>
      <c r="BU388" s="240">
        <f>INPUT!CT110</f>
        <v>5.0632911392405049</v>
      </c>
      <c r="BV388" s="75">
        <f>INPUT!CU110</f>
        <v>254</v>
      </c>
      <c r="BW388" s="240">
        <f>INPUT!CV110</f>
        <v>7.6271186440677923</v>
      </c>
      <c r="BX388" s="75">
        <f>INPUT!CW110</f>
        <v>256</v>
      </c>
      <c r="BY388" s="240">
        <f>INPUT!CX110</f>
        <v>4.4897959183673493</v>
      </c>
      <c r="BZ388" s="75">
        <f>INPUT!CY110</f>
        <v>261</v>
      </c>
      <c r="CA388" s="240">
        <f>INPUT!CZ110</f>
        <v>5.2419354838709751</v>
      </c>
      <c r="CB388" s="75">
        <f>INPUT!DA110</f>
        <v>262</v>
      </c>
      <c r="CC388" s="240">
        <f>INPUT!DB110</f>
        <v>5.2208835341365472</v>
      </c>
      <c r="CD388" s="75">
        <f>INPUT!DC110</f>
        <v>330</v>
      </c>
      <c r="CE388" s="240">
        <f>INPUT!DD110</f>
        <v>29.921259842519675</v>
      </c>
      <c r="CF388" s="75">
        <f>INPUT!DE110</f>
        <v>354</v>
      </c>
      <c r="CG388" s="240">
        <f>INPUT!DF110</f>
        <v>38.28125</v>
      </c>
      <c r="CH388" s="75">
        <f>INPUT!DG110</f>
        <v>353</v>
      </c>
      <c r="CI388" s="240">
        <f>INPUT!DH110</f>
        <v>35.249042145593876</v>
      </c>
      <c r="CJ388" s="75">
        <f>INPUT!DI110</f>
        <v>369</v>
      </c>
      <c r="CK388" s="240">
        <f>INPUT!DJ110</f>
        <v>40.839694656488547</v>
      </c>
      <c r="CL388" s="75">
        <f>INPUT!DK110</f>
        <v>399</v>
      </c>
      <c r="CM388" s="240">
        <f>INPUT!DL110</f>
        <v>20.909090909090907</v>
      </c>
      <c r="CN388" s="75">
        <f>INPUT!DM110</f>
        <v>395</v>
      </c>
      <c r="CO388" s="240">
        <f>INPUT!DN110</f>
        <v>11.581920903954796</v>
      </c>
      <c r="CP388" s="75">
        <f>INPUT!DO110</f>
        <v>415</v>
      </c>
      <c r="CQ388" s="240">
        <f>INPUT!DP110</f>
        <v>17.563739376770542</v>
      </c>
      <c r="CR388" s="75">
        <f>INPUT!DQ110</f>
        <v>411</v>
      </c>
      <c r="CS388" s="240">
        <f>INPUT!DR110</f>
        <v>11.382113821138205</v>
      </c>
      <c r="CT388" s="75">
        <f>INPUT!DS110</f>
        <v>403</v>
      </c>
      <c r="CU388" s="240">
        <f>INPUT!DT110</f>
        <v>1.0025062656641666</v>
      </c>
      <c r="CV388" s="75">
        <f>INPUT!DU110</f>
        <v>409</v>
      </c>
      <c r="CW388" s="240">
        <f>INPUT!DV110</f>
        <v>3.5443037974683449</v>
      </c>
      <c r="CX388" s="75">
        <f>INPUT!DW110</f>
        <v>436</v>
      </c>
      <c r="CY388" s="240">
        <f>INPUT!DX110</f>
        <v>5.0602409638554207</v>
      </c>
      <c r="CZ388" s="75">
        <f>INPUT!DY110</f>
        <v>421</v>
      </c>
      <c r="DA388" s="240">
        <f>INPUT!DZ110</f>
        <v>2.4330900243308946</v>
      </c>
      <c r="DB388" s="75">
        <f>INPUT!EA110</f>
        <v>436</v>
      </c>
      <c r="DC388" s="240">
        <f>INPUT!EB110</f>
        <v>8.1885856079404391</v>
      </c>
      <c r="DD388" s="75">
        <f>INPUT!EC110</f>
        <v>445</v>
      </c>
      <c r="DE388" s="240">
        <f>INPUT!ED110</f>
        <v>8.8019559902200513</v>
      </c>
      <c r="DF388" s="75">
        <f>INPUT!EE110</f>
        <v>469</v>
      </c>
      <c r="DG388" s="240">
        <f>INPUT!EF110</f>
        <v>7.5688073394495348</v>
      </c>
      <c r="DH388" s="75">
        <f>INPUT!EG110</f>
        <v>472</v>
      </c>
      <c r="DI388" s="240">
        <f>INPUT!EH110</f>
        <v>12.11401425178147</v>
      </c>
      <c r="DJ388" s="75">
        <f>INPUT!EI110</f>
        <v>482</v>
      </c>
      <c r="DK388" s="240">
        <f>INPUT!EJ110</f>
        <v>10.550458715596321</v>
      </c>
      <c r="DL388" s="75">
        <f>INPUT!EK110</f>
        <v>483</v>
      </c>
      <c r="DM388" s="240">
        <f>INPUT!EL110</f>
        <v>8.539325842696627</v>
      </c>
      <c r="DN388" s="75">
        <f>INPUT!EM110</f>
        <v>484</v>
      </c>
      <c r="DO388" s="240">
        <f>INPUT!EN110</f>
        <v>3.1982942430703645</v>
      </c>
      <c r="DP388" s="75">
        <f>INPUT!EO110</f>
        <v>499</v>
      </c>
      <c r="DQ388" s="240">
        <f>INPUT!EP110</f>
        <v>5.7203389830508371</v>
      </c>
      <c r="DR388" s="75">
        <f>INPUT!EQ110</f>
        <v>494.01</v>
      </c>
      <c r="DS388" s="240">
        <f>INPUT!ER110</f>
        <v>2.4917012448132851</v>
      </c>
      <c r="DT388" s="75">
        <f>INPUT!ES110</f>
        <v>498.95010000000002</v>
      </c>
      <c r="DU388" s="240">
        <f>INPUT!ET110</f>
        <v>3.3022981366459732</v>
      </c>
      <c r="DV388" s="75">
        <f>INPUT!EU110</f>
        <v>503.93960100000004</v>
      </c>
      <c r="DW388" s="240">
        <f>INPUT!EV110</f>
        <v>4.1197522727272684</v>
      </c>
      <c r="DX388" s="75">
        <f>INPUT!EW110</f>
        <v>508.97899701000006</v>
      </c>
      <c r="DY388" s="240">
        <f>INPUT!EX110</f>
        <v>1.9997989999999959</v>
      </c>
      <c r="DZ388" s="75"/>
      <c r="EA388" s="240"/>
      <c r="EB388" s="155">
        <f>INPUT!FI110</f>
        <v>4.5454545454545467</v>
      </c>
      <c r="EC388" s="75">
        <f>INPUT!FJ110</f>
        <v>418</v>
      </c>
      <c r="ED388" s="155">
        <f>INPUT!FK110</f>
        <v>6.9053708439897719</v>
      </c>
      <c r="EE388" s="75">
        <f>INPUT!FL110</f>
        <v>408</v>
      </c>
      <c r="EF388" s="155">
        <f>INPUT!FM110</f>
        <v>-2.3923444976076524</v>
      </c>
      <c r="EG388" s="75">
        <f>INPUT!FN110</f>
        <v>421</v>
      </c>
      <c r="EH388" s="155">
        <f>INPUT!FO110</f>
        <v>3.1862745098039369</v>
      </c>
      <c r="EI388" s="75">
        <f>INPUT!FP110</f>
        <v>500</v>
      </c>
      <c r="EJ388" s="240">
        <f>INPUT!FQ110</f>
        <v>18.764845605700714</v>
      </c>
      <c r="EK388" s="75">
        <f>INPUT!FR110</f>
        <v>548</v>
      </c>
      <c r="EL388" s="240">
        <f>INPUT!FS110</f>
        <v>9.6000000000000085</v>
      </c>
      <c r="EM388" s="75">
        <f>INPUT!FT110</f>
        <v>656</v>
      </c>
      <c r="EN388" s="240">
        <f>INPUT!FU110</f>
        <v>19.708029197080307</v>
      </c>
      <c r="EO388" s="75">
        <f>INPUT!FV110</f>
        <v>749</v>
      </c>
      <c r="EP388" s="240">
        <f>INPUT!FW110</f>
        <v>14.176829268292693</v>
      </c>
      <c r="EQ388" s="75">
        <f>INPUT!FX110</f>
        <v>809</v>
      </c>
      <c r="ER388" s="240">
        <f>INPUT!FY110</f>
        <v>8.0106809078771732</v>
      </c>
      <c r="ES388" s="75">
        <f>INPUT!FZ110</f>
        <v>903</v>
      </c>
      <c r="ET388" s="240">
        <f>INPUT!GA110</f>
        <v>11.619283065512988</v>
      </c>
      <c r="EU388" s="75">
        <f>INPUT!GB110</f>
        <v>978</v>
      </c>
      <c r="EV388" s="240">
        <f>INPUT!GC110</f>
        <v>8.305647840531563</v>
      </c>
      <c r="EW388" s="75">
        <f>INPUT!GD110</f>
        <v>1033</v>
      </c>
      <c r="EX388" s="240">
        <f>INPUT!GE110</f>
        <v>5.623721881390594</v>
      </c>
      <c r="EY388" s="75">
        <f>INPUT!GF110</f>
        <v>1406</v>
      </c>
      <c r="EZ388" s="240">
        <f>INPUT!GG110</f>
        <v>36.108422071635999</v>
      </c>
      <c r="FA388" s="75">
        <f>INPUT!GH110</f>
        <v>1620</v>
      </c>
      <c r="FB388" s="240">
        <f>INPUT!GI110</f>
        <v>15.220483641536276</v>
      </c>
      <c r="FC388" s="75">
        <f>INPUT!GJ110</f>
        <v>1669</v>
      </c>
      <c r="FD388" s="240">
        <f>INPUT!GK110</f>
        <v>3.0246913580246968</v>
      </c>
      <c r="FE388" s="75">
        <f>INPUT!GL110</f>
        <v>1822</v>
      </c>
      <c r="FF388" s="240">
        <f>INPUT!GM110</f>
        <v>9.1671659676453032</v>
      </c>
      <c r="FG388" s="75">
        <f>INPUT!GN110</f>
        <v>1948</v>
      </c>
      <c r="FH388" s="240">
        <f>INPUT!GO110</f>
        <v>6.9154774972557647</v>
      </c>
      <c r="FI388" s="75">
        <f>INPUT!GP110</f>
        <v>2005.8786980100001</v>
      </c>
      <c r="FJ388" s="240">
        <f>INPUT!GQ110</f>
        <v>2.9711857294661286</v>
      </c>
      <c r="FK388" s="75">
        <f>INPUT!GR110</f>
        <v>2086.1138459304002</v>
      </c>
      <c r="FL388" s="240">
        <f>INPUT!GS110</f>
        <v>4</v>
      </c>
      <c r="FM388" s="75">
        <f>INPUT!GT110</f>
        <v>2169.5583997676163</v>
      </c>
      <c r="FN388" s="240">
        <f>INPUT!GU110</f>
        <v>4</v>
      </c>
      <c r="FO388" s="75">
        <f>INPUT!GV110</f>
        <v>2256.340735758321</v>
      </c>
      <c r="FP388" s="240">
        <f>INPUT!GW110</f>
        <v>4</v>
      </c>
      <c r="FQ388" s="75">
        <f>INPUT!GX110</f>
        <v>2346.5943651886537</v>
      </c>
      <c r="FR388" s="240">
        <f>INPUT!GY110</f>
        <v>4</v>
      </c>
      <c r="FS388" s="240">
        <f>INPUT!GZ110</f>
        <v>3.7934180804437556</v>
      </c>
    </row>
    <row r="389" spans="1:175" ht="12.75" hidden="1" customHeight="1" outlineLevel="1" x14ac:dyDescent="0.2">
      <c r="A389" s="77" t="str">
        <f>INPUT!B111</f>
        <v>Commissions, Fees and Other Income</v>
      </c>
      <c r="B389" s="75">
        <f>INPUT!AA111</f>
        <v>34</v>
      </c>
      <c r="C389" s="155">
        <f>INPUT!AB111</f>
        <v>6.25</v>
      </c>
      <c r="D389" s="75">
        <f>INPUT!AC111</f>
        <v>31</v>
      </c>
      <c r="E389" s="155">
        <f>INPUT!AD111</f>
        <v>-16.21621621621621</v>
      </c>
      <c r="F389" s="75">
        <f>INPUT!AE111</f>
        <v>35</v>
      </c>
      <c r="G389" s="155">
        <f>INPUT!AF111</f>
        <v>2.941176470588232</v>
      </c>
      <c r="H389" s="75">
        <f>INPUT!AG111</f>
        <v>59</v>
      </c>
      <c r="I389" s="155">
        <f>INPUT!AH111</f>
        <v>78.787878787878782</v>
      </c>
      <c r="J389" s="75">
        <f>INPUT!AI111</f>
        <v>67</v>
      </c>
      <c r="K389" s="155">
        <f>INPUT!AJ111</f>
        <v>97.058823529411768</v>
      </c>
      <c r="L389" s="75">
        <f>INPUT!AK111</f>
        <v>76</v>
      </c>
      <c r="M389" s="155" t="str">
        <f>INPUT!AL111</f>
        <v>NM</v>
      </c>
      <c r="N389" s="75">
        <f>INPUT!AM111</f>
        <v>83</v>
      </c>
      <c r="O389" s="155" t="str">
        <f>INPUT!AN111</f>
        <v>NM</v>
      </c>
      <c r="P389" s="75">
        <f>INPUT!AO111</f>
        <v>65</v>
      </c>
      <c r="Q389" s="155">
        <f>INPUT!AP111</f>
        <v>10.169491525423723</v>
      </c>
      <c r="R389" s="75">
        <f>INPUT!AQ111</f>
        <v>54</v>
      </c>
      <c r="S389" s="155">
        <f>INPUT!AR111</f>
        <v>-19.402985074626869</v>
      </c>
      <c r="T389" s="75">
        <f>INPUT!AS111</f>
        <v>77</v>
      </c>
      <c r="U389" s="155">
        <f>INPUT!AT111</f>
        <v>1.3157894736842053</v>
      </c>
      <c r="V389" s="75">
        <f>INPUT!AU111</f>
        <v>81</v>
      </c>
      <c r="W389" s="155">
        <f>INPUT!AV111</f>
        <v>-2.409638554216869</v>
      </c>
      <c r="X389" s="75">
        <f>INPUT!AW111</f>
        <v>64</v>
      </c>
      <c r="Y389" s="155">
        <f>INPUT!AX111</f>
        <v>-1.538461538461533</v>
      </c>
      <c r="Z389" s="75">
        <f>INPUT!AY111</f>
        <v>67</v>
      </c>
      <c r="AA389" s="155">
        <f>INPUT!AZ111</f>
        <v>24.074074074074076</v>
      </c>
      <c r="AB389" s="75">
        <f>INPUT!BA111</f>
        <v>77</v>
      </c>
      <c r="AC389" s="155">
        <f>INPUT!BB111</f>
        <v>0</v>
      </c>
      <c r="AD389" s="75">
        <f>INPUT!BC111</f>
        <v>104</v>
      </c>
      <c r="AE389" s="155">
        <f>INPUT!BD111</f>
        <v>28.395061728395063</v>
      </c>
      <c r="AF389" s="75">
        <f>INPUT!BE111</f>
        <v>72</v>
      </c>
      <c r="AG389" s="155">
        <f>INPUT!BF111</f>
        <v>12.5</v>
      </c>
      <c r="AH389" s="75">
        <f>INPUT!BG111</f>
        <v>78</v>
      </c>
      <c r="AI389" s="240">
        <f>INPUT!BH111</f>
        <v>16.417910447761201</v>
      </c>
      <c r="AJ389" s="75">
        <f>INPUT!BI111</f>
        <v>78</v>
      </c>
      <c r="AK389" s="240">
        <f>INPUT!BJ111</f>
        <v>1.2987012987012889</v>
      </c>
      <c r="AL389" s="75">
        <f>INPUT!BK111</f>
        <v>144</v>
      </c>
      <c r="AM389" s="240">
        <f>INPUT!BL111</f>
        <v>38.461538461538453</v>
      </c>
      <c r="AN389" s="75">
        <f>INPUT!BM111</f>
        <v>73</v>
      </c>
      <c r="AO389" s="240">
        <f>INPUT!BN111</f>
        <v>1.3888888888888857</v>
      </c>
      <c r="AP389" s="75">
        <f>INPUT!BO111</f>
        <v>67</v>
      </c>
      <c r="AQ389" s="240">
        <f>INPUT!BP111</f>
        <v>-14.102564102564102</v>
      </c>
      <c r="AR389" s="75">
        <f>INPUT!BQ111</f>
        <v>73</v>
      </c>
      <c r="AS389" s="240">
        <f>INPUT!BR111</f>
        <v>-6.4102564102564088</v>
      </c>
      <c r="AT389" s="75">
        <f>INPUT!BS111</f>
        <v>127</v>
      </c>
      <c r="AU389" s="240">
        <f>INPUT!BT111</f>
        <v>-11.805555555555557</v>
      </c>
      <c r="AV389" s="75">
        <f>INPUT!BU111</f>
        <v>59</v>
      </c>
      <c r="AW389" s="240">
        <f>INPUT!BV111</f>
        <v>-19.178082191780817</v>
      </c>
      <c r="AX389" s="75">
        <f>INPUT!BW111</f>
        <v>47</v>
      </c>
      <c r="AY389" s="240">
        <f>INPUT!BX111</f>
        <v>-29.850746268656707</v>
      </c>
      <c r="AZ389" s="75">
        <f>INPUT!BY111</f>
        <v>55</v>
      </c>
      <c r="BA389" s="240">
        <f>INPUT!BZ111</f>
        <v>-24.657534246575338</v>
      </c>
      <c r="BB389" s="75">
        <f>INPUT!CA111</f>
        <v>92</v>
      </c>
      <c r="BC389" s="240">
        <f>INPUT!CB111</f>
        <v>-27.559055118110237</v>
      </c>
      <c r="BD389" s="75">
        <f>INPUT!CC111</f>
        <v>54</v>
      </c>
      <c r="BE389" s="240">
        <f>INPUT!CD111</f>
        <v>-8.4745762711864359</v>
      </c>
      <c r="BF389" s="75">
        <f>INPUT!CE111</f>
        <v>49</v>
      </c>
      <c r="BG389" s="240">
        <f>INPUT!CF111</f>
        <v>4.2553191489361808</v>
      </c>
      <c r="BH389" s="75">
        <f>INPUT!CG111</f>
        <v>57</v>
      </c>
      <c r="BI389" s="240">
        <f>INPUT!CH111</f>
        <v>3.6363636363636402</v>
      </c>
      <c r="BJ389" s="75">
        <f>INPUT!CI111</f>
        <v>61</v>
      </c>
      <c r="BK389" s="240">
        <f>INPUT!CJ111</f>
        <v>-33.695652173913047</v>
      </c>
      <c r="BL389" s="75">
        <f>INPUT!CK111</f>
        <v>56</v>
      </c>
      <c r="BM389" s="240">
        <f>INPUT!CL111</f>
        <v>3.7037037037036953</v>
      </c>
      <c r="BN389" s="75">
        <f>INPUT!CM111</f>
        <v>53</v>
      </c>
      <c r="BO389" s="240">
        <f>INPUT!CN111</f>
        <v>8.1632653061224545</v>
      </c>
      <c r="BP389" s="75">
        <f>INPUT!CO111</f>
        <v>61</v>
      </c>
      <c r="BQ389" s="240">
        <f>INPUT!CP111</f>
        <v>7.0175438596491233</v>
      </c>
      <c r="BR389" s="75">
        <f>INPUT!CQ111</f>
        <v>57</v>
      </c>
      <c r="BS389" s="240">
        <f>INPUT!CR111</f>
        <v>-6.5573770491803174</v>
      </c>
      <c r="BT389" s="75">
        <f>INPUT!CS111</f>
        <v>83</v>
      </c>
      <c r="BU389" s="240">
        <f>INPUT!CT111</f>
        <v>48.214285714285722</v>
      </c>
      <c r="BV389" s="75">
        <f>INPUT!CU111</f>
        <v>82</v>
      </c>
      <c r="BW389" s="240">
        <f>INPUT!CV111</f>
        <v>54.716981132075489</v>
      </c>
      <c r="BX389" s="75">
        <f>INPUT!CW111</f>
        <v>89</v>
      </c>
      <c r="BY389" s="240">
        <f>INPUT!CX111</f>
        <v>45.901639344262293</v>
      </c>
      <c r="BZ389" s="75">
        <f>INPUT!CY111</f>
        <v>96</v>
      </c>
      <c r="CA389" s="240">
        <f>INPUT!CZ111</f>
        <v>68.421052631578931</v>
      </c>
      <c r="CB389" s="75">
        <f>INPUT!DA111</f>
        <v>91</v>
      </c>
      <c r="CC389" s="240">
        <f>INPUT!DB111</f>
        <v>9.638554216867476</v>
      </c>
      <c r="CD389" s="75">
        <f>INPUT!DC111</f>
        <v>117</v>
      </c>
      <c r="CE389" s="240">
        <f>INPUT!DD111</f>
        <v>42.682926829268297</v>
      </c>
      <c r="CF389" s="75">
        <f>INPUT!DE111</f>
        <v>131</v>
      </c>
      <c r="CG389" s="240">
        <f>INPUT!DF111</f>
        <v>47.191011235955074</v>
      </c>
      <c r="CH389" s="75">
        <f>INPUT!DG111</f>
        <v>116</v>
      </c>
      <c r="CI389" s="240">
        <f>INPUT!DH111</f>
        <v>20.833333333333329</v>
      </c>
      <c r="CJ389" s="75">
        <f>INPUT!DI111</f>
        <v>134</v>
      </c>
      <c r="CK389" s="240">
        <f>INPUT!DJ111</f>
        <v>47.25274725274727</v>
      </c>
      <c r="CL389" s="75">
        <f>INPUT!DK111</f>
        <v>142</v>
      </c>
      <c r="CM389" s="240">
        <f>INPUT!DL111</f>
        <v>21.367521367521363</v>
      </c>
      <c r="CN389" s="75">
        <f>INPUT!DM111</f>
        <v>166</v>
      </c>
      <c r="CO389" s="240">
        <f>INPUT!DN111</f>
        <v>26.717557251908389</v>
      </c>
      <c r="CP389" s="75">
        <f>INPUT!DO111</f>
        <v>154</v>
      </c>
      <c r="CQ389" s="240">
        <f>INPUT!DP111</f>
        <v>32.758620689655174</v>
      </c>
      <c r="CR389" s="75">
        <f>INPUT!DQ111</f>
        <v>153</v>
      </c>
      <c r="CS389" s="240">
        <f>INPUT!DR111</f>
        <v>14.179104477611943</v>
      </c>
      <c r="CT389" s="75">
        <f>INPUT!DS111</f>
        <v>153</v>
      </c>
      <c r="CU389" s="240">
        <f>INPUT!DT111</f>
        <v>7.7464788732394254</v>
      </c>
      <c r="CV389" s="75">
        <f>INPUT!DU111</f>
        <v>162</v>
      </c>
      <c r="CW389" s="240">
        <f>INPUT!DV111</f>
        <v>-2.409638554216869</v>
      </c>
      <c r="CX389" s="75">
        <f>INPUT!DW111</f>
        <v>142</v>
      </c>
      <c r="CY389" s="240">
        <f>INPUT!DX111</f>
        <v>-7.7922077922077904</v>
      </c>
      <c r="CZ389" s="75">
        <f>INPUT!DY111</f>
        <v>157</v>
      </c>
      <c r="DA389" s="240">
        <f>INPUT!DZ111</f>
        <v>2.614379084967311</v>
      </c>
      <c r="DB389" s="75">
        <f>INPUT!EA111</f>
        <v>150</v>
      </c>
      <c r="DC389" s="240">
        <f>INPUT!EB111</f>
        <v>-1.9607843137254974</v>
      </c>
      <c r="DD389" s="75">
        <f>INPUT!EC111</f>
        <v>165</v>
      </c>
      <c r="DE389" s="240">
        <f>INPUT!ED111</f>
        <v>1.8518518518518619</v>
      </c>
      <c r="DF389" s="75">
        <f>INPUT!EE111</f>
        <v>170</v>
      </c>
      <c r="DG389" s="240">
        <f>INPUT!EF111</f>
        <v>19.718309859154928</v>
      </c>
      <c r="DH389" s="75">
        <f>INPUT!EG111</f>
        <v>168</v>
      </c>
      <c r="DI389" s="240">
        <f>INPUT!EH111</f>
        <v>7.0063694267515899</v>
      </c>
      <c r="DJ389" s="75">
        <f>INPUT!EI111</f>
        <v>174</v>
      </c>
      <c r="DK389" s="240">
        <f>INPUT!EJ111</f>
        <v>15.999999999999986</v>
      </c>
      <c r="DL389" s="75">
        <f>INPUT!EK111</f>
        <v>181</v>
      </c>
      <c r="DM389" s="240">
        <f>INPUT!EL111</f>
        <v>9.6969696969696884</v>
      </c>
      <c r="DN389" s="75">
        <f>INPUT!EM111</f>
        <v>185</v>
      </c>
      <c r="DO389" s="240">
        <f>INPUT!EN111</f>
        <v>8.8235294117646959</v>
      </c>
      <c r="DP389" s="75">
        <f>INPUT!EO111</f>
        <v>189</v>
      </c>
      <c r="DQ389" s="240">
        <f>INPUT!EP111</f>
        <v>12.5</v>
      </c>
      <c r="DR389" s="75">
        <f>INPUT!EQ111</f>
        <v>190.89000000000001</v>
      </c>
      <c r="DS389" s="240">
        <f>INPUT!ER111</f>
        <v>9.7068965517241423</v>
      </c>
      <c r="DT389" s="75">
        <f>INPUT!ES111</f>
        <v>192.7989</v>
      </c>
      <c r="DU389" s="240">
        <f>INPUT!ET111</f>
        <v>6.5187292817679605</v>
      </c>
      <c r="DV389" s="75">
        <f>INPUT!EU111</f>
        <v>194.726889</v>
      </c>
      <c r="DW389" s="240">
        <f>INPUT!EV111</f>
        <v>5.2577778378378355</v>
      </c>
      <c r="DX389" s="75">
        <f>INPUT!EW111</f>
        <v>196.67415789</v>
      </c>
      <c r="DY389" s="240">
        <f>INPUT!EX111</f>
        <v>4.0604009999999988</v>
      </c>
      <c r="DZ389" s="75"/>
      <c r="EA389" s="240"/>
      <c r="EB389" s="155">
        <f>INPUT!FI111</f>
        <v>-18.954248366013076</v>
      </c>
      <c r="EC389" s="75">
        <f>INPUT!FJ111</f>
        <v>136</v>
      </c>
      <c r="ED389" s="155">
        <f>INPUT!FK111</f>
        <v>9.6774193548387046</v>
      </c>
      <c r="EE389" s="75">
        <f>INPUT!FL111</f>
        <v>159</v>
      </c>
      <c r="EF389" s="155">
        <f>INPUT!FM111</f>
        <v>16.911764705882362</v>
      </c>
      <c r="EG389" s="75">
        <f>INPUT!FN111</f>
        <v>291</v>
      </c>
      <c r="EH389" s="155">
        <f>INPUT!FO111</f>
        <v>83.018867924528308</v>
      </c>
      <c r="EI389" s="75">
        <f>INPUT!FP111</f>
        <v>276</v>
      </c>
      <c r="EJ389" s="240">
        <f>INPUT!FQ111</f>
        <v>-5.1546391752577421</v>
      </c>
      <c r="EK389" s="75">
        <f>INPUT!FR111</f>
        <v>320</v>
      </c>
      <c r="EL389" s="240">
        <f>INPUT!FS111</f>
        <v>15.94202898550725</v>
      </c>
      <c r="EM389" s="75">
        <f>INPUT!FT111</f>
        <v>373</v>
      </c>
      <c r="EN389" s="240">
        <f>INPUT!FU111</f>
        <v>16.562499999999986</v>
      </c>
      <c r="EO389" s="75">
        <f>INPUT!FV111</f>
        <v>326</v>
      </c>
      <c r="EP389" s="240">
        <f>INPUT!FW111</f>
        <v>-12.600536193029484</v>
      </c>
      <c r="EQ389" s="75">
        <f>INPUT!FX111</f>
        <v>248</v>
      </c>
      <c r="ER389" s="240">
        <f>INPUT!FY111</f>
        <v>-23.926380368098151</v>
      </c>
      <c r="ES389" s="75">
        <f>INPUT!FZ111</f>
        <v>223</v>
      </c>
      <c r="ET389" s="240">
        <f>INPUT!GA111</f>
        <v>-10.08064516129032</v>
      </c>
      <c r="EU389" s="75">
        <f>INPUT!GB111</f>
        <v>254</v>
      </c>
      <c r="EV389" s="240">
        <f>INPUT!GC111</f>
        <v>13.901345291479814</v>
      </c>
      <c r="EW389" s="75">
        <f>INPUT!GD111</f>
        <v>358</v>
      </c>
      <c r="EX389" s="240">
        <f>INPUT!GE111</f>
        <v>40.944881889763764</v>
      </c>
      <c r="EY389" s="75">
        <f>INPUT!GF111</f>
        <v>498</v>
      </c>
      <c r="EZ389" s="240">
        <f>INPUT!GG111</f>
        <v>39.10614525139664</v>
      </c>
      <c r="FA389" s="75">
        <f>INPUT!GH111</f>
        <v>615</v>
      </c>
      <c r="FB389" s="240">
        <f>INPUT!GI111</f>
        <v>23.493975903614455</v>
      </c>
      <c r="FC389" s="75">
        <f>INPUT!GJ111</f>
        <v>614</v>
      </c>
      <c r="FD389" s="240">
        <f>INPUT!GK111</f>
        <v>-0.16260162601625439</v>
      </c>
      <c r="FE389" s="75">
        <f>INPUT!GL111</f>
        <v>653</v>
      </c>
      <c r="FF389" s="240">
        <f>INPUT!GM111</f>
        <v>6.3517915309446238</v>
      </c>
      <c r="FG389" s="75">
        <f>INPUT!GN111</f>
        <v>729</v>
      </c>
      <c r="FH389" s="240">
        <f>INPUT!GO111</f>
        <v>11.638591117917301</v>
      </c>
      <c r="FI389" s="75">
        <f>INPUT!GP111</f>
        <v>775.08994688999996</v>
      </c>
      <c r="FJ389" s="240">
        <f>INPUT!GQ111</f>
        <v>6.3223521111111012</v>
      </c>
      <c r="FK389" s="75">
        <f>INPUT!GR111</f>
        <v>806.09354476559997</v>
      </c>
      <c r="FL389" s="240">
        <f>INPUT!GS111</f>
        <v>4</v>
      </c>
      <c r="FM389" s="75">
        <f>INPUT!GT111</f>
        <v>838.33728655622394</v>
      </c>
      <c r="FN389" s="240">
        <f>INPUT!GU111</f>
        <v>4</v>
      </c>
      <c r="FO389" s="75">
        <f>INPUT!GV111</f>
        <v>871.87077801847295</v>
      </c>
      <c r="FP389" s="240">
        <f>INPUT!GW111</f>
        <v>4</v>
      </c>
      <c r="FQ389" s="75">
        <f>INPUT!GX111</f>
        <v>906.74560913921187</v>
      </c>
      <c r="FR389" s="240">
        <f>INPUT!GY111</f>
        <v>4</v>
      </c>
      <c r="FS389" s="240">
        <f>INPUT!GZ111</f>
        <v>4.4603764458175821</v>
      </c>
    </row>
    <row r="390" spans="1:175" ht="12.75" hidden="1" customHeight="1" outlineLevel="1" x14ac:dyDescent="0.2">
      <c r="A390" s="70" t="str">
        <f>INPUT!B112</f>
        <v xml:space="preserve">  Total Revenues</v>
      </c>
      <c r="B390" s="91">
        <f>INPUT!AA112</f>
        <v>483</v>
      </c>
      <c r="C390" s="155">
        <f>INPUT!AB112</f>
        <v>9.0293453724604973</v>
      </c>
      <c r="D390" s="91">
        <f>INPUT!AC112</f>
        <v>486</v>
      </c>
      <c r="E390" s="155">
        <f>INPUT!AD112</f>
        <v>6.8131868131868174</v>
      </c>
      <c r="F390" s="91">
        <f>INPUT!AE112</f>
        <v>467</v>
      </c>
      <c r="G390" s="155">
        <f>INPUT!AF112</f>
        <v>-5.656565656565661</v>
      </c>
      <c r="H390" s="91">
        <f>INPUT!AG112</f>
        <v>508</v>
      </c>
      <c r="I390" s="155">
        <f>INPUT!AH112</f>
        <v>-10.877192982456137</v>
      </c>
      <c r="J390" s="91">
        <f>INPUT!AI112</f>
        <v>501</v>
      </c>
      <c r="K390" s="155">
        <f>INPUT!AJ112</f>
        <v>3.726708074534173</v>
      </c>
      <c r="L390" s="91">
        <f>INPUT!AK112</f>
        <v>507</v>
      </c>
      <c r="M390" s="155">
        <f>INPUT!AL112</f>
        <v>4.3209876543209873</v>
      </c>
      <c r="N390" s="91">
        <f>INPUT!AM112</f>
        <v>530</v>
      </c>
      <c r="O390" s="155">
        <f>INPUT!AN112</f>
        <v>13.490364025695925</v>
      </c>
      <c r="P390" s="91">
        <f>INPUT!AO112</f>
        <v>535</v>
      </c>
      <c r="Q390" s="155">
        <f>INPUT!AP112</f>
        <v>5.3149606299212451</v>
      </c>
      <c r="R390" s="91">
        <f>INPUT!AQ112</f>
        <v>532</v>
      </c>
      <c r="S390" s="155">
        <f>INPUT!AR112</f>
        <v>6.1876247504990118</v>
      </c>
      <c r="T390" s="91">
        <f>INPUT!AS112</f>
        <v>548</v>
      </c>
      <c r="U390" s="155">
        <f>INPUT!AT112</f>
        <v>8.0867850098619272</v>
      </c>
      <c r="V390" s="91">
        <f>INPUT!AU112</f>
        <v>602</v>
      </c>
      <c r="W390" s="155">
        <f>INPUT!AV112</f>
        <v>13.584905660377359</v>
      </c>
      <c r="X390" s="91">
        <f>INPUT!AW112</f>
        <v>580</v>
      </c>
      <c r="Y390" s="155">
        <f>INPUT!AX112</f>
        <v>8.4112149532710134</v>
      </c>
      <c r="Z390" s="91">
        <f>INPUT!AY112</f>
        <v>559</v>
      </c>
      <c r="AA390" s="155">
        <f>INPUT!AZ112</f>
        <v>5.0751879699248121</v>
      </c>
      <c r="AB390" s="91">
        <f>INPUT!BA112</f>
        <v>586</v>
      </c>
      <c r="AC390" s="155">
        <f>INPUT!BB112</f>
        <v>6.9343065693430646</v>
      </c>
      <c r="AD390" s="91">
        <f>INPUT!BC112</f>
        <v>467</v>
      </c>
      <c r="AE390" s="155">
        <f>INPUT!BD112</f>
        <v>-22.425249169435219</v>
      </c>
      <c r="AF390" s="91">
        <f>INPUT!BE112</f>
        <v>605</v>
      </c>
      <c r="AG390" s="155">
        <f>INPUT!BF112</f>
        <v>4.3103448275862064</v>
      </c>
      <c r="AH390" s="91">
        <f>INPUT!BG112</f>
        <v>631</v>
      </c>
      <c r="AI390" s="240">
        <f>INPUT!BH112</f>
        <v>12.880143112701248</v>
      </c>
      <c r="AJ390" s="91">
        <f>INPUT!BI112</f>
        <v>629</v>
      </c>
      <c r="AK390" s="240">
        <f>INPUT!BJ112</f>
        <v>7.3378839590443761</v>
      </c>
      <c r="AL390" s="91">
        <f>INPUT!BK112</f>
        <v>672</v>
      </c>
      <c r="AM390" s="240">
        <f>INPUT!BL112</f>
        <v>43.897216274089942</v>
      </c>
      <c r="AN390" s="91">
        <f>INPUT!BM112</f>
        <v>670</v>
      </c>
      <c r="AO390" s="240">
        <f>INPUT!BN112</f>
        <v>10.743801652892571</v>
      </c>
      <c r="AP390" s="91">
        <f>INPUT!BO112</f>
        <v>680</v>
      </c>
      <c r="AQ390" s="240">
        <f>INPUT!BP112</f>
        <v>7.7654516640253632</v>
      </c>
      <c r="AR390" s="91">
        <f>INPUT!BQ112</f>
        <v>676</v>
      </c>
      <c r="AS390" s="240">
        <f>INPUT!BR112</f>
        <v>7.4721780604133556</v>
      </c>
      <c r="AT390" s="91">
        <f>INPUT!BS112</f>
        <v>682</v>
      </c>
      <c r="AU390" s="240">
        <f>INPUT!BT112</f>
        <v>1.4880952380952266</v>
      </c>
      <c r="AV390" s="91">
        <f>INPUT!BU112</f>
        <v>716</v>
      </c>
      <c r="AW390" s="240">
        <f>INPUT!BV112</f>
        <v>6.8656716417910388</v>
      </c>
      <c r="AX390" s="91">
        <f>INPUT!BW112</f>
        <v>680</v>
      </c>
      <c r="AY390" s="240">
        <f>INPUT!BX112</f>
        <v>0</v>
      </c>
      <c r="AZ390" s="91">
        <f>INPUT!BY112</f>
        <v>703</v>
      </c>
      <c r="BA390" s="240">
        <f>INPUT!BZ112</f>
        <v>3.9940828402366719</v>
      </c>
      <c r="BB390" s="91">
        <f>INPUT!CA112</f>
        <v>656</v>
      </c>
      <c r="BC390" s="240">
        <f>INPUT!CB112</f>
        <v>-3.8123167155425222</v>
      </c>
      <c r="BD390" s="91">
        <f>INPUT!CC112</f>
        <v>729</v>
      </c>
      <c r="BE390" s="240">
        <f>INPUT!CD112</f>
        <v>1.8156424581005552</v>
      </c>
      <c r="BF390" s="91">
        <f>INPUT!CE112</f>
        <v>687</v>
      </c>
      <c r="BG390" s="240">
        <f>INPUT!CF112</f>
        <v>1.029411764705884</v>
      </c>
      <c r="BH390" s="91">
        <f>INPUT!CG112</f>
        <v>751</v>
      </c>
      <c r="BI390" s="240">
        <f>INPUT!CH112</f>
        <v>6.827880512091042</v>
      </c>
      <c r="BJ390" s="91">
        <f>INPUT!CI112</f>
        <v>640</v>
      </c>
      <c r="BK390" s="240">
        <f>INPUT!CJ112</f>
        <v>-2.4390243902439011</v>
      </c>
      <c r="BL390" s="91">
        <f>INPUT!CK112</f>
        <v>739</v>
      </c>
      <c r="BM390" s="240">
        <f>INPUT!CL112</f>
        <v>1.3717421124828491</v>
      </c>
      <c r="BN390" s="91">
        <f>INPUT!CM112</f>
        <v>725</v>
      </c>
      <c r="BO390" s="240">
        <f>INPUT!CN112</f>
        <v>5.5312954876273608</v>
      </c>
      <c r="BP390" s="91">
        <f>INPUT!CO112</f>
        <v>763</v>
      </c>
      <c r="BQ390" s="240">
        <f>INPUT!CP112</f>
        <v>1.5978695073235656</v>
      </c>
      <c r="BR390" s="91">
        <f>INPUT!CQ112</f>
        <v>643</v>
      </c>
      <c r="BS390" s="240">
        <f>INPUT!CR112</f>
        <v>0.46875</v>
      </c>
      <c r="BT390" s="91">
        <f>INPUT!CS112</f>
        <v>769</v>
      </c>
      <c r="BU390" s="240">
        <f>INPUT!CT112</f>
        <v>4.0595399188092074</v>
      </c>
      <c r="BV390" s="91">
        <f>INPUT!CU112</f>
        <v>776</v>
      </c>
      <c r="BW390" s="240">
        <f>INPUT!CV112</f>
        <v>7.0344827586206833</v>
      </c>
      <c r="BX390" s="91">
        <f>INPUT!CW112</f>
        <v>803</v>
      </c>
      <c r="BY390" s="240">
        <f>INPUT!CX112</f>
        <v>5.2424639580602985</v>
      </c>
      <c r="BZ390" s="91">
        <f>INPUT!CY112</f>
        <v>948</v>
      </c>
      <c r="CA390" s="240">
        <f>INPUT!CZ112</f>
        <v>47.433903576982885</v>
      </c>
      <c r="CB390" s="91">
        <f>INPUT!DA112</f>
        <v>840</v>
      </c>
      <c r="CC390" s="240">
        <f>INPUT!DB112</f>
        <v>9.2327698309492945</v>
      </c>
      <c r="CD390" s="91">
        <f>INPUT!DC112</f>
        <v>1155</v>
      </c>
      <c r="CE390" s="240">
        <f>INPUT!DD112</f>
        <v>48.840206185567013</v>
      </c>
      <c r="CF390" s="91">
        <f>INPUT!DE112</f>
        <v>1212</v>
      </c>
      <c r="CG390" s="240">
        <f>INPUT!DF112</f>
        <v>50.933997509339974</v>
      </c>
      <c r="CH390" s="91">
        <f>INPUT!DG112</f>
        <v>1041</v>
      </c>
      <c r="CI390" s="240">
        <f>INPUT!DH112</f>
        <v>9.8101265822784853</v>
      </c>
      <c r="CJ390" s="91">
        <f>INPUT!DI112</f>
        <v>1212</v>
      </c>
      <c r="CK390" s="240">
        <f>INPUT!DJ112</f>
        <v>44.285714285714278</v>
      </c>
      <c r="CL390" s="91">
        <f>INPUT!DK112</f>
        <v>1296</v>
      </c>
      <c r="CM390" s="240">
        <f>INPUT!DL112</f>
        <v>12.207792207792195</v>
      </c>
      <c r="CN390" s="91">
        <f>INPUT!DM112</f>
        <v>1318</v>
      </c>
      <c r="CO390" s="240">
        <f>INPUT!DN112</f>
        <v>8.7458745874587436</v>
      </c>
      <c r="CP390" s="91">
        <f>INPUT!DO112</f>
        <v>1281</v>
      </c>
      <c r="CQ390" s="240">
        <f>INPUT!DP112</f>
        <v>23.054755043227672</v>
      </c>
      <c r="CR390" s="91">
        <f>INPUT!DQ112</f>
        <v>1331</v>
      </c>
      <c r="CS390" s="240">
        <f>INPUT!DR112</f>
        <v>9.8184818481848168</v>
      </c>
      <c r="CT390" s="91">
        <f>INPUT!DS112</f>
        <v>1351</v>
      </c>
      <c r="CU390" s="240">
        <f>INPUT!DT112</f>
        <v>4.2438271604938222</v>
      </c>
      <c r="CV390" s="91">
        <f>INPUT!DU112</f>
        <v>1160</v>
      </c>
      <c r="CW390" s="240">
        <f>INPUT!DV112</f>
        <v>-11.987860394537179</v>
      </c>
      <c r="CX390" s="91">
        <f>INPUT!DW112</f>
        <v>1375</v>
      </c>
      <c r="CY390" s="240">
        <f>INPUT!DX112</f>
        <v>7.3380171740827507</v>
      </c>
      <c r="CZ390" s="91">
        <f>INPUT!DY112</f>
        <v>1347</v>
      </c>
      <c r="DA390" s="240">
        <f>INPUT!DZ112</f>
        <v>1.2021036814425372</v>
      </c>
      <c r="DB390" s="91">
        <f>INPUT!EA112</f>
        <v>1366</v>
      </c>
      <c r="DC390" s="240">
        <f>INPUT!EB112</f>
        <v>1.1102886750555143</v>
      </c>
      <c r="DD390" s="91">
        <f>INPUT!EC112</f>
        <v>1155</v>
      </c>
      <c r="DE390" s="240">
        <f>INPUT!ED112</f>
        <v>-0.43103448275861922</v>
      </c>
      <c r="DF390" s="91">
        <f>INPUT!EE112</f>
        <v>1410</v>
      </c>
      <c r="DG390" s="240">
        <f>INPUT!EF112</f>
        <v>2.5454545454545325</v>
      </c>
      <c r="DH390" s="91">
        <f>INPUT!EG112</f>
        <v>1424</v>
      </c>
      <c r="DI390" s="240">
        <f>INPUT!EH112</f>
        <v>5.7164068299925646</v>
      </c>
      <c r="DJ390" s="91">
        <f>INPUT!EI112</f>
        <v>1445</v>
      </c>
      <c r="DK390" s="240">
        <f>INPUT!EJ112</f>
        <v>5.7833089311859425</v>
      </c>
      <c r="DL390" s="91">
        <f>INPUT!EK112</f>
        <v>654</v>
      </c>
      <c r="DM390" s="240">
        <f>INPUT!EL112</f>
        <v>-43.376623376623378</v>
      </c>
      <c r="DN390" s="91">
        <f>INPUT!EM112</f>
        <v>1411</v>
      </c>
      <c r="DO390" s="240">
        <f>INPUT!EN112</f>
        <v>7.0921985815601829E-2</v>
      </c>
      <c r="DP390" s="91">
        <f>INPUT!EO112</f>
        <v>1464</v>
      </c>
      <c r="DQ390" s="240">
        <f>INPUT!EP112</f>
        <v>2.8089887640449405</v>
      </c>
      <c r="DR390" s="91">
        <f>INPUT!EQ112</f>
        <v>1501.1850000000002</v>
      </c>
      <c r="DS390" s="240">
        <f>INPUT!ER112</f>
        <v>3.8882352941176634</v>
      </c>
      <c r="DT390" s="91">
        <f>INPUT!ES112</f>
        <v>1319.549</v>
      </c>
      <c r="DU390" s="240" t="str">
        <f>INPUT!ET112</f>
        <v>NM</v>
      </c>
      <c r="DV390" s="91">
        <f>INPUT!EU112</f>
        <v>1467.0214900000001</v>
      </c>
      <c r="DW390" s="240">
        <f>INPUT!EV112</f>
        <v>3.9703394755492525</v>
      </c>
      <c r="DX390" s="91">
        <f>INPUT!EW112</f>
        <v>1508.9631549000001</v>
      </c>
      <c r="DY390" s="240">
        <f>INPUT!EX112</f>
        <v>3.071253750000011</v>
      </c>
      <c r="DZ390" s="91"/>
      <c r="EA390" s="240"/>
      <c r="EB390" s="155">
        <f>INPUT!FI112</f>
        <v>3.4501347708894912</v>
      </c>
      <c r="EC390" s="91">
        <f>INPUT!FJ112</f>
        <v>1963</v>
      </c>
      <c r="ED390" s="155">
        <f>INPUT!FK112</f>
        <v>2.2928608650338589</v>
      </c>
      <c r="EE390" s="91">
        <f>INPUT!FL112</f>
        <v>1944</v>
      </c>
      <c r="EF390" s="155">
        <f>INPUT!FM112</f>
        <v>-0.96790626591950968</v>
      </c>
      <c r="EG390" s="91">
        <f>INPUT!FN112</f>
        <v>2073</v>
      </c>
      <c r="EH390" s="155">
        <f>INPUT!FO112</f>
        <v>6.6358024691357969</v>
      </c>
      <c r="EI390" s="91">
        <f>INPUT!FP112</f>
        <v>2262</v>
      </c>
      <c r="EJ390" s="240">
        <f>INPUT!FQ112</f>
        <v>9.1172214182344362</v>
      </c>
      <c r="EK390" s="91">
        <f>INPUT!FR112</f>
        <v>2217</v>
      </c>
      <c r="EL390" s="240">
        <f>INPUT!FS112</f>
        <v>-1.9893899204244008</v>
      </c>
      <c r="EM390" s="91">
        <f>INPUT!FT112</f>
        <v>2602</v>
      </c>
      <c r="EN390" s="240">
        <f>INPUT!FU112</f>
        <v>17.365809652683822</v>
      </c>
      <c r="EO390" s="91">
        <f>INPUT!FV112</f>
        <v>2754</v>
      </c>
      <c r="EP390" s="240">
        <f>INPUT!FW112</f>
        <v>5.841660261337438</v>
      </c>
      <c r="EQ390" s="91">
        <f>INPUT!FX112</f>
        <v>2767</v>
      </c>
      <c r="ER390" s="240">
        <f>INPUT!FY112</f>
        <v>0.4720406681191065</v>
      </c>
      <c r="ES390" s="91">
        <f>INPUT!FZ112</f>
        <v>2817</v>
      </c>
      <c r="ET390" s="240">
        <f>INPUT!GA112</f>
        <v>1.8070112034694716</v>
      </c>
      <c r="EU390" s="91">
        <f>INPUT!GB112</f>
        <v>2900</v>
      </c>
      <c r="EV390" s="240">
        <f>INPUT!GC112</f>
        <v>2.9463968761093327</v>
      </c>
      <c r="EW390" s="91">
        <f>INPUT!GD112</f>
        <v>3367</v>
      </c>
      <c r="EX390" s="240">
        <f>INPUT!GE112</f>
        <v>16.103448275862078</v>
      </c>
      <c r="EY390" s="91">
        <f>INPUT!GF112</f>
        <v>4620</v>
      </c>
      <c r="EZ390" s="240">
        <f>INPUT!GG112</f>
        <v>37.214137214137224</v>
      </c>
      <c r="FA390" s="91">
        <f>INPUT!GH112</f>
        <v>5226</v>
      </c>
      <c r="FB390" s="240">
        <f>INPUT!GI112</f>
        <v>13.11688311688313</v>
      </c>
      <c r="FC390" s="91">
        <f>INPUT!GJ112</f>
        <v>5233</v>
      </c>
      <c r="FD390" s="240">
        <f>INPUT!GK112</f>
        <v>0.13394565633370803</v>
      </c>
      <c r="FE390" s="91">
        <f>INPUT!GL112</f>
        <v>5355</v>
      </c>
      <c r="FF390" s="240">
        <f>INPUT!GM112</f>
        <v>2.3313586852665651</v>
      </c>
      <c r="FG390" s="91">
        <f>INPUT!GN112</f>
        <v>4974</v>
      </c>
      <c r="FH390" s="240">
        <f>INPUT!GO112</f>
        <v>-7.1148459383753533</v>
      </c>
      <c r="FI390" s="91">
        <f>INPUT!GP112</f>
        <v>5796.7186449000001</v>
      </c>
      <c r="FJ390" s="240">
        <f>INPUT!GQ112</f>
        <v>16.540382889022936</v>
      </c>
      <c r="FK390" s="91">
        <f>INPUT!GR112</f>
        <v>6088.9023906960001</v>
      </c>
      <c r="FL390" s="240">
        <f>INPUT!GS112</f>
        <v>5.040502458284152</v>
      </c>
      <c r="FM390" s="91">
        <f>INPUT!GT112</f>
        <v>6396.3923863238406</v>
      </c>
      <c r="FN390" s="240">
        <f>INPUT!GU112</f>
        <v>5.0500069782313091</v>
      </c>
      <c r="FO390" s="91">
        <f>INPUT!GV112</f>
        <v>6720.0180157767945</v>
      </c>
      <c r="FP390" s="240">
        <f>INPUT!GW112</f>
        <v>5.0595024493009504</v>
      </c>
      <c r="FQ390" s="91">
        <f>INPUT!GX112</f>
        <v>7060.6548664478669</v>
      </c>
      <c r="FR390" s="240">
        <f>INPUT!GY112</f>
        <v>5.0689871644889877</v>
      </c>
      <c r="FS390" s="240">
        <f>INPUT!GZ112</f>
        <v>7.2575420853762118</v>
      </c>
    </row>
    <row r="391" spans="1:175" ht="12.75" hidden="1" customHeight="1" outlineLevel="1" x14ac:dyDescent="0.2">
      <c r="A391" s="147"/>
      <c r="B391" s="75"/>
      <c r="C391" s="155"/>
      <c r="D391" s="75"/>
      <c r="E391" s="155"/>
      <c r="F391" s="75"/>
      <c r="G391" s="155"/>
      <c r="H391" s="75"/>
      <c r="I391" s="155"/>
      <c r="J391" s="75"/>
      <c r="K391" s="155"/>
      <c r="L391" s="75"/>
      <c r="M391" s="155"/>
      <c r="N391" s="75"/>
      <c r="O391" s="155"/>
      <c r="P391" s="75"/>
      <c r="Q391" s="155"/>
      <c r="R391" s="75"/>
      <c r="S391" s="155"/>
      <c r="T391" s="75"/>
      <c r="U391" s="155"/>
      <c r="V391" s="75"/>
      <c r="W391" s="155"/>
      <c r="X391" s="75"/>
      <c r="Y391" s="155"/>
      <c r="Z391" s="75"/>
      <c r="AA391" s="155"/>
      <c r="AB391" s="75"/>
      <c r="AC391" s="155"/>
      <c r="AD391" s="75"/>
      <c r="AE391" s="155"/>
      <c r="AF391" s="75"/>
      <c r="AG391" s="155"/>
      <c r="AH391" s="75"/>
      <c r="AI391" s="240"/>
      <c r="AJ391" s="75"/>
      <c r="AK391" s="240"/>
      <c r="AL391" s="75"/>
      <c r="AM391" s="240"/>
      <c r="AN391" s="75"/>
      <c r="AO391" s="240"/>
      <c r="AP391" s="75"/>
      <c r="AQ391" s="240"/>
      <c r="AR391" s="75"/>
      <c r="AS391" s="240"/>
      <c r="AT391" s="75"/>
      <c r="AU391" s="240"/>
      <c r="AV391" s="75"/>
      <c r="AW391" s="240"/>
      <c r="AX391" s="75"/>
      <c r="AY391" s="240"/>
      <c r="AZ391" s="75"/>
      <c r="BA391" s="240"/>
      <c r="BB391" s="75"/>
      <c r="BC391" s="240"/>
      <c r="BD391" s="75"/>
      <c r="BE391" s="240"/>
      <c r="BF391" s="75"/>
      <c r="BG391" s="240"/>
      <c r="BH391" s="75"/>
      <c r="BI391" s="240"/>
      <c r="BJ391" s="75"/>
      <c r="BK391" s="240"/>
      <c r="BL391" s="75"/>
      <c r="BM391" s="240"/>
      <c r="BN391" s="75"/>
      <c r="BO391" s="240"/>
      <c r="BP391" s="75"/>
      <c r="BQ391" s="240"/>
      <c r="BR391" s="75"/>
      <c r="BS391" s="240"/>
      <c r="BT391" s="75"/>
      <c r="BU391" s="240"/>
      <c r="BV391" s="75"/>
      <c r="BW391" s="240"/>
      <c r="BX391" s="75"/>
      <c r="BY391" s="240"/>
      <c r="BZ391" s="75"/>
      <c r="CA391" s="240"/>
      <c r="CB391" s="75"/>
      <c r="CC391" s="240"/>
      <c r="CD391" s="75"/>
      <c r="CE391" s="240"/>
      <c r="CF391" s="75"/>
      <c r="CG391" s="240"/>
      <c r="CH391" s="75"/>
      <c r="CI391" s="240"/>
      <c r="CJ391" s="75"/>
      <c r="CK391" s="240"/>
      <c r="CL391" s="75"/>
      <c r="CM391" s="240"/>
      <c r="CN391" s="75"/>
      <c r="CO391" s="240"/>
      <c r="CP391" s="75"/>
      <c r="CQ391" s="240"/>
      <c r="CR391" s="75"/>
      <c r="CS391" s="240"/>
      <c r="CT391" s="75"/>
      <c r="CU391" s="240"/>
      <c r="CV391" s="75"/>
      <c r="CW391" s="240"/>
      <c r="CX391" s="75"/>
      <c r="CY391" s="240"/>
      <c r="CZ391" s="75"/>
      <c r="DA391" s="240"/>
      <c r="DB391" s="75"/>
      <c r="DC391" s="240"/>
      <c r="DD391" s="75"/>
      <c r="DE391" s="240"/>
      <c r="DF391" s="75"/>
      <c r="DG391" s="240"/>
      <c r="DH391" s="75"/>
      <c r="DI391" s="240"/>
      <c r="DJ391" s="75"/>
      <c r="DK391" s="240"/>
      <c r="DL391" s="75"/>
      <c r="DM391" s="240"/>
      <c r="DN391" s="75"/>
      <c r="DO391" s="240"/>
      <c r="DP391" s="75"/>
      <c r="DQ391" s="240"/>
      <c r="DR391" s="75"/>
      <c r="DS391" s="240"/>
      <c r="DT391" s="75"/>
      <c r="DU391" s="240"/>
      <c r="DV391" s="75"/>
      <c r="DW391" s="240"/>
      <c r="DX391" s="75"/>
      <c r="DY391" s="240"/>
      <c r="DZ391" s="75"/>
      <c r="EA391" s="240"/>
      <c r="EB391" s="155"/>
      <c r="EC391" s="75"/>
      <c r="ED391" s="155"/>
      <c r="EE391" s="75"/>
      <c r="EF391" s="155"/>
      <c r="EG391" s="75"/>
      <c r="EH391" s="155"/>
      <c r="EI391" s="75"/>
      <c r="EJ391" s="240"/>
      <c r="EK391" s="75"/>
      <c r="EL391" s="240"/>
      <c r="EM391" s="75"/>
      <c r="EN391" s="240"/>
      <c r="EO391" s="75"/>
      <c r="EP391" s="240"/>
      <c r="EQ391" s="75"/>
      <c r="ER391" s="240"/>
      <c r="ES391" s="75"/>
      <c r="ET391" s="240"/>
      <c r="EU391" s="75"/>
      <c r="EV391" s="240"/>
      <c r="EW391" s="75"/>
      <c r="EX391" s="240"/>
      <c r="EY391" s="75"/>
      <c r="EZ391" s="240"/>
      <c r="FA391" s="75"/>
      <c r="FB391" s="240"/>
      <c r="FC391" s="75"/>
      <c r="FD391" s="240"/>
      <c r="FE391" s="75"/>
      <c r="FF391" s="240"/>
      <c r="FG391" s="75"/>
      <c r="FH391" s="240"/>
      <c r="FI391" s="75"/>
      <c r="FJ391" s="240"/>
      <c r="FK391" s="75"/>
      <c r="FL391" s="240"/>
      <c r="FM391" s="75"/>
      <c r="FN391" s="240"/>
      <c r="FO391" s="75"/>
      <c r="FP391" s="240"/>
      <c r="FQ391" s="75"/>
      <c r="FR391" s="240"/>
      <c r="FS391" s="240"/>
    </row>
    <row r="392" spans="1:175" ht="12.75" hidden="1" customHeight="1" outlineLevel="1" x14ac:dyDescent="0.2">
      <c r="A392" s="70" t="s">
        <v>129</v>
      </c>
      <c r="B392" s="75"/>
      <c r="C392" s="155"/>
      <c r="D392" s="75"/>
      <c r="E392" s="155"/>
      <c r="F392" s="75"/>
      <c r="G392" s="155"/>
      <c r="H392" s="75"/>
      <c r="I392" s="155"/>
      <c r="J392" s="75"/>
      <c r="K392" s="155"/>
      <c r="L392" s="75"/>
      <c r="M392" s="155"/>
      <c r="N392" s="75"/>
      <c r="O392" s="155"/>
      <c r="P392" s="75"/>
      <c r="Q392" s="155"/>
      <c r="R392" s="75"/>
      <c r="S392" s="155"/>
      <c r="T392" s="75"/>
      <c r="U392" s="155"/>
      <c r="V392" s="75"/>
      <c r="W392" s="155"/>
      <c r="X392" s="75"/>
      <c r="Y392" s="155"/>
      <c r="Z392" s="75"/>
      <c r="AA392" s="155"/>
      <c r="AB392" s="75"/>
      <c r="AC392" s="155"/>
      <c r="AD392" s="75"/>
      <c r="AE392" s="155"/>
      <c r="AF392" s="75"/>
      <c r="AG392" s="155"/>
      <c r="AH392" s="75"/>
      <c r="AI392" s="240"/>
      <c r="AJ392" s="75"/>
      <c r="AK392" s="240"/>
      <c r="AL392" s="75"/>
      <c r="AM392" s="240"/>
      <c r="AN392" s="75"/>
      <c r="AO392" s="240"/>
      <c r="AP392" s="75"/>
      <c r="AQ392" s="240"/>
      <c r="AR392" s="75"/>
      <c r="AS392" s="240"/>
      <c r="AT392" s="75"/>
      <c r="AU392" s="240"/>
      <c r="AV392" s="75"/>
      <c r="AW392" s="240"/>
      <c r="AX392" s="75"/>
      <c r="AY392" s="240"/>
      <c r="AZ392" s="75"/>
      <c r="BA392" s="240"/>
      <c r="BB392" s="75"/>
      <c r="BC392" s="240"/>
      <c r="BD392" s="75"/>
      <c r="BE392" s="240"/>
      <c r="BF392" s="75"/>
      <c r="BG392" s="240"/>
      <c r="BH392" s="75"/>
      <c r="BI392" s="240"/>
      <c r="BJ392" s="75"/>
      <c r="BK392" s="240"/>
      <c r="BL392" s="75"/>
      <c r="BM392" s="240"/>
      <c r="BN392" s="75"/>
      <c r="BO392" s="240"/>
      <c r="BP392" s="75"/>
      <c r="BQ392" s="240"/>
      <c r="BR392" s="75"/>
      <c r="BS392" s="240"/>
      <c r="BT392" s="75"/>
      <c r="BU392" s="240"/>
      <c r="BV392" s="75"/>
      <c r="BW392" s="240"/>
      <c r="BX392" s="75"/>
      <c r="BY392" s="240"/>
      <c r="BZ392" s="75"/>
      <c r="CA392" s="240"/>
      <c r="CB392" s="75"/>
      <c r="CC392" s="240"/>
      <c r="CD392" s="75"/>
      <c r="CE392" s="240"/>
      <c r="CF392" s="75"/>
      <c r="CG392" s="240"/>
      <c r="CH392" s="75"/>
      <c r="CI392" s="240"/>
      <c r="CJ392" s="75"/>
      <c r="CK392" s="240"/>
      <c r="CL392" s="75"/>
      <c r="CM392" s="240"/>
      <c r="CN392" s="75"/>
      <c r="CO392" s="240"/>
      <c r="CP392" s="75"/>
      <c r="CQ392" s="240"/>
      <c r="CR392" s="75"/>
      <c r="CS392" s="240"/>
      <c r="CT392" s="75"/>
      <c r="CU392" s="240"/>
      <c r="CV392" s="75"/>
      <c r="CW392" s="240"/>
      <c r="CX392" s="75"/>
      <c r="CY392" s="240"/>
      <c r="CZ392" s="75"/>
      <c r="DA392" s="240"/>
      <c r="DB392" s="75"/>
      <c r="DC392" s="240"/>
      <c r="DD392" s="75"/>
      <c r="DE392" s="240"/>
      <c r="DF392" s="75"/>
      <c r="DG392" s="240"/>
      <c r="DH392" s="75"/>
      <c r="DI392" s="240"/>
      <c r="DJ392" s="75"/>
      <c r="DK392" s="240"/>
      <c r="DL392" s="75"/>
      <c r="DM392" s="240"/>
      <c r="DN392" s="75"/>
      <c r="DO392" s="240"/>
      <c r="DP392" s="75"/>
      <c r="DQ392" s="240"/>
      <c r="DR392" s="75"/>
      <c r="DS392" s="240"/>
      <c r="DT392" s="75"/>
      <c r="DU392" s="240"/>
      <c r="DV392" s="75"/>
      <c r="DW392" s="240"/>
      <c r="DX392" s="75"/>
      <c r="DY392" s="240"/>
      <c r="DZ392" s="75"/>
      <c r="EA392" s="240"/>
      <c r="EB392" s="155"/>
      <c r="EC392" s="75"/>
      <c r="ED392" s="155"/>
      <c r="EE392" s="75"/>
      <c r="EF392" s="155"/>
      <c r="EG392" s="75"/>
      <c r="EH392" s="155"/>
      <c r="EI392" s="75"/>
      <c r="EJ392" s="240"/>
      <c r="EK392" s="75"/>
      <c r="EL392" s="240"/>
      <c r="EM392" s="75"/>
      <c r="EN392" s="240"/>
      <c r="EO392" s="75"/>
      <c r="EP392" s="240"/>
      <c r="EQ392" s="75"/>
      <c r="ER392" s="240"/>
      <c r="ES392" s="75"/>
      <c r="ET392" s="240"/>
      <c r="EU392" s="75"/>
      <c r="EV392" s="240"/>
      <c r="EW392" s="75"/>
      <c r="EX392" s="240"/>
      <c r="EY392" s="75"/>
      <c r="EZ392" s="240"/>
      <c r="FA392" s="75"/>
      <c r="FB392" s="240"/>
      <c r="FC392" s="75"/>
      <c r="FD392" s="240"/>
      <c r="FE392" s="75"/>
      <c r="FF392" s="240"/>
      <c r="FG392" s="75"/>
      <c r="FH392" s="240"/>
      <c r="FI392" s="75"/>
      <c r="FJ392" s="240"/>
      <c r="FK392" s="75"/>
      <c r="FL392" s="240"/>
      <c r="FM392" s="75"/>
      <c r="FN392" s="240"/>
      <c r="FO392" s="75"/>
      <c r="FP392" s="240"/>
      <c r="FQ392" s="75"/>
      <c r="FR392" s="240"/>
      <c r="FS392" s="240"/>
    </row>
    <row r="393" spans="1:175" ht="12.75" hidden="1" customHeight="1" outlineLevel="1" x14ac:dyDescent="0.2">
      <c r="A393" s="77" t="str">
        <f>INPUT!B115</f>
        <v>Benefits</v>
      </c>
      <c r="B393" s="75">
        <f>INPUT!AA115</f>
        <v>173</v>
      </c>
      <c r="C393" s="155">
        <f>INPUT!AB115</f>
        <v>34.108527131782949</v>
      </c>
      <c r="D393" s="75">
        <f>INPUT!AC115</f>
        <v>178</v>
      </c>
      <c r="E393" s="155">
        <f>INPUT!AD115</f>
        <v>39.0625</v>
      </c>
      <c r="F393" s="75">
        <f>INPUT!AE115</f>
        <v>193</v>
      </c>
      <c r="G393" s="155">
        <f>INPUT!AF115</f>
        <v>26.973684210526301</v>
      </c>
      <c r="H393" s="75">
        <f>INPUT!AG115</f>
        <v>246</v>
      </c>
      <c r="I393" s="155">
        <f>INPUT!AH115</f>
        <v>-13.074204946996474</v>
      </c>
      <c r="J393" s="75">
        <f>INPUT!AI115</f>
        <v>160</v>
      </c>
      <c r="K393" s="155">
        <f>INPUT!AJ115</f>
        <v>-7.5144508670520196</v>
      </c>
      <c r="L393" s="75">
        <f>INPUT!AK115</f>
        <v>147</v>
      </c>
      <c r="M393" s="155">
        <f>INPUT!AL115</f>
        <v>-17.415730337078656</v>
      </c>
      <c r="N393" s="75">
        <f>INPUT!AM115</f>
        <v>146</v>
      </c>
      <c r="O393" s="155">
        <f>INPUT!AN115</f>
        <v>-24.352331606217618</v>
      </c>
      <c r="P393" s="75">
        <f>INPUT!AO115</f>
        <v>156</v>
      </c>
      <c r="Q393" s="155">
        <f>INPUT!AP115</f>
        <v>-36.585365853658537</v>
      </c>
      <c r="R393" s="75">
        <f>INPUT!AQ115</f>
        <v>163</v>
      </c>
      <c r="S393" s="155">
        <f>INPUT!AR115</f>
        <v>1.875</v>
      </c>
      <c r="T393" s="75">
        <f>INPUT!AS115</f>
        <v>160</v>
      </c>
      <c r="U393" s="155">
        <f>INPUT!AT115</f>
        <v>8.8435374149659935</v>
      </c>
      <c r="V393" s="75">
        <f>INPUT!AU115</f>
        <v>133</v>
      </c>
      <c r="W393" s="155">
        <f>INPUT!AV115</f>
        <v>-8.9041095890410986</v>
      </c>
      <c r="X393" s="75">
        <f>INPUT!AW115</f>
        <v>175</v>
      </c>
      <c r="Y393" s="155">
        <f>INPUT!AX115</f>
        <v>12.179487179487182</v>
      </c>
      <c r="Z393" s="75">
        <f>INPUT!AY115</f>
        <v>161</v>
      </c>
      <c r="AA393" s="155">
        <f>INPUT!AZ115</f>
        <v>-1.2269938650306784</v>
      </c>
      <c r="AB393" s="75">
        <f>INPUT!BA115</f>
        <v>199</v>
      </c>
      <c r="AC393" s="155">
        <f>INPUT!BB115</f>
        <v>24.374999999999986</v>
      </c>
      <c r="AD393" s="75">
        <f>INPUT!BC115</f>
        <v>300</v>
      </c>
      <c r="AE393" s="155" t="str">
        <f>INPUT!BD115</f>
        <v>NM</v>
      </c>
      <c r="AF393" s="75">
        <f>INPUT!BE115</f>
        <v>203</v>
      </c>
      <c r="AG393" s="155">
        <f>INPUT!BF115</f>
        <v>15.999999999999986</v>
      </c>
      <c r="AH393" s="75">
        <f>INPUT!BG115</f>
        <v>236</v>
      </c>
      <c r="AI393" s="240">
        <f>INPUT!BH115</f>
        <v>46.583850931677034</v>
      </c>
      <c r="AJ393" s="75">
        <f>INPUT!BI115</f>
        <v>203</v>
      </c>
      <c r="AK393" s="240">
        <f>INPUT!BJ115</f>
        <v>2.0100502512562883</v>
      </c>
      <c r="AL393" s="75">
        <f>INPUT!BK115</f>
        <v>254</v>
      </c>
      <c r="AM393" s="240">
        <f>INPUT!BL115</f>
        <v>-15.333333333333329</v>
      </c>
      <c r="AN393" s="75">
        <f>INPUT!BM115</f>
        <v>211</v>
      </c>
      <c r="AO393" s="240">
        <f>INPUT!BN115</f>
        <v>3.9408866995073879</v>
      </c>
      <c r="AP393" s="75">
        <f>INPUT!BO115</f>
        <v>239</v>
      </c>
      <c r="AQ393" s="240">
        <f>INPUT!BP115</f>
        <v>1.2711864406779654</v>
      </c>
      <c r="AR393" s="75">
        <f>INPUT!BQ115</f>
        <v>249</v>
      </c>
      <c r="AS393" s="240">
        <f>INPUT!BR115</f>
        <v>22.660098522167488</v>
      </c>
      <c r="AT393" s="75">
        <f>INPUT!BS115</f>
        <v>230</v>
      </c>
      <c r="AU393" s="240">
        <f>INPUT!BT115</f>
        <v>-9.4488188976378069</v>
      </c>
      <c r="AV393" s="75">
        <f>INPUT!BU115</f>
        <v>247</v>
      </c>
      <c r="AW393" s="240">
        <f>INPUT!BV115</f>
        <v>17.061611374407576</v>
      </c>
      <c r="AX393" s="75">
        <f>INPUT!BW115</f>
        <v>272</v>
      </c>
      <c r="AY393" s="240">
        <f>INPUT!BX115</f>
        <v>13.807531380753147</v>
      </c>
      <c r="AZ393" s="75">
        <f>INPUT!BY115</f>
        <v>250</v>
      </c>
      <c r="BA393" s="240">
        <f>INPUT!BZ115</f>
        <v>0.40160642570282334</v>
      </c>
      <c r="BB393" s="75">
        <f>INPUT!CA115</f>
        <v>269</v>
      </c>
      <c r="BC393" s="240">
        <f>INPUT!CB115</f>
        <v>16.956521739130423</v>
      </c>
      <c r="BD393" s="75">
        <f>INPUT!CC115</f>
        <v>251</v>
      </c>
      <c r="BE393" s="240">
        <f>INPUT!CD115</f>
        <v>1.6194331983805625</v>
      </c>
      <c r="BF393" s="75">
        <f>INPUT!CE115</f>
        <v>309</v>
      </c>
      <c r="BG393" s="240">
        <f>INPUT!CF115</f>
        <v>13.60294117647058</v>
      </c>
      <c r="BH393" s="75">
        <f>INPUT!CG115</f>
        <v>270</v>
      </c>
      <c r="BI393" s="240">
        <f>INPUT!CH115</f>
        <v>8</v>
      </c>
      <c r="BJ393" s="75">
        <f>INPUT!CI115</f>
        <v>265</v>
      </c>
      <c r="BK393" s="240">
        <f>INPUT!CJ115</f>
        <v>-1.4869888475836461</v>
      </c>
      <c r="BL393" s="75">
        <f>INPUT!CK115</f>
        <v>276</v>
      </c>
      <c r="BM393" s="240">
        <f>INPUT!CL115</f>
        <v>9.9601593625497884</v>
      </c>
      <c r="BN393" s="75">
        <f>INPUT!CM115</f>
        <v>297</v>
      </c>
      <c r="BO393" s="240">
        <f>INPUT!CN115</f>
        <v>-3.8834951456310591</v>
      </c>
      <c r="BP393" s="75">
        <f>INPUT!CO115</f>
        <v>268</v>
      </c>
      <c r="BQ393" s="240">
        <f>INPUT!CP115</f>
        <v>-0.74074074074074758</v>
      </c>
      <c r="BR393" s="75">
        <f>INPUT!CQ115</f>
        <v>303</v>
      </c>
      <c r="BS393" s="240">
        <f>INPUT!CR115</f>
        <v>14.339622641509436</v>
      </c>
      <c r="BT393" s="75">
        <f>INPUT!CS115</f>
        <v>276</v>
      </c>
      <c r="BU393" s="240">
        <f>INPUT!CT115</f>
        <v>0</v>
      </c>
      <c r="BV393" s="75">
        <f>INPUT!CU115</f>
        <v>294</v>
      </c>
      <c r="BW393" s="240">
        <f>INPUT!CV115</f>
        <v>-1.0101010101010104</v>
      </c>
      <c r="BX393" s="75">
        <f>INPUT!CW115</f>
        <v>350</v>
      </c>
      <c r="BY393" s="240">
        <f>INPUT!CX115</f>
        <v>30.597014925373145</v>
      </c>
      <c r="BZ393" s="75">
        <f>INPUT!CY115</f>
        <v>299</v>
      </c>
      <c r="CA393" s="240">
        <f>INPUT!CZ115</f>
        <v>-1.3201320132013308</v>
      </c>
      <c r="CB393" s="75">
        <f>INPUT!DA115</f>
        <v>298</v>
      </c>
      <c r="CC393" s="240">
        <f>INPUT!DB115</f>
        <v>7.9710144927536106</v>
      </c>
      <c r="CD393" s="75">
        <f>INPUT!DC115</f>
        <v>468</v>
      </c>
      <c r="CE393" s="240">
        <f>INPUT!DD115</f>
        <v>59.183673469387742</v>
      </c>
      <c r="CF393" s="75">
        <f>INPUT!DE115</f>
        <v>466</v>
      </c>
      <c r="CG393" s="240">
        <f>INPUT!DF115</f>
        <v>33.142857142857139</v>
      </c>
      <c r="CH393" s="75">
        <f>INPUT!DG115</f>
        <v>487</v>
      </c>
      <c r="CI393" s="240">
        <f>INPUT!DH115</f>
        <v>62.876254180602018</v>
      </c>
      <c r="CJ393" s="75">
        <f>INPUT!DI115</f>
        <v>481</v>
      </c>
      <c r="CK393" s="240">
        <f>INPUT!DJ115</f>
        <v>61.409395973154346</v>
      </c>
      <c r="CL393" s="75">
        <f>INPUT!DK115</f>
        <v>548</v>
      </c>
      <c r="CM393" s="240">
        <f>INPUT!DL115</f>
        <v>17.094017094017104</v>
      </c>
      <c r="CN393" s="75">
        <f>INPUT!DM115</f>
        <v>520</v>
      </c>
      <c r="CO393" s="240">
        <f>INPUT!DN115</f>
        <v>11.58798283261801</v>
      </c>
      <c r="CP393" s="75">
        <f>INPUT!DO115</f>
        <v>548</v>
      </c>
      <c r="CQ393" s="240">
        <f>INPUT!DP115</f>
        <v>12.525667351129371</v>
      </c>
      <c r="CR393" s="75">
        <f>INPUT!DQ115</f>
        <v>524</v>
      </c>
      <c r="CS393" s="240">
        <f>INPUT!DR115</f>
        <v>8.9397089397089502</v>
      </c>
      <c r="CT393" s="75">
        <f>INPUT!DS115</f>
        <v>615</v>
      </c>
      <c r="CU393" s="240">
        <f>INPUT!DT115</f>
        <v>12.226277372262786</v>
      </c>
      <c r="CV393" s="75">
        <f>INPUT!DU115</f>
        <v>540</v>
      </c>
      <c r="CW393" s="240">
        <f>INPUT!DV115</f>
        <v>3.8461538461538538</v>
      </c>
      <c r="CX393" s="75">
        <f>INPUT!DW115</f>
        <v>525</v>
      </c>
      <c r="CY393" s="240">
        <f>INPUT!DX115</f>
        <v>-4.1970802919708063</v>
      </c>
      <c r="CZ393" s="75">
        <f>INPUT!DY115</f>
        <v>598</v>
      </c>
      <c r="DA393" s="240">
        <f>INPUT!DZ115</f>
        <v>14.122137404580144</v>
      </c>
      <c r="DB393" s="75">
        <f>INPUT!EA115</f>
        <v>614</v>
      </c>
      <c r="DC393" s="240">
        <f>INPUT!EB115</f>
        <v>-0.16260162601625439</v>
      </c>
      <c r="DD393" s="75">
        <f>INPUT!EC115</f>
        <v>949</v>
      </c>
      <c r="DE393" s="240">
        <f>INPUT!ED115</f>
        <v>75.740740740740733</v>
      </c>
      <c r="DF393" s="75">
        <f>INPUT!EE115</f>
        <v>619</v>
      </c>
      <c r="DG393" s="240">
        <f>INPUT!EF115</f>
        <v>17.904761904761912</v>
      </c>
      <c r="DH393" s="75">
        <f>INPUT!EG115</f>
        <v>603</v>
      </c>
      <c r="DI393" s="240">
        <f>INPUT!EH115</f>
        <v>0.83612040133780852</v>
      </c>
      <c r="DJ393" s="75">
        <f>INPUT!EI115</f>
        <v>642</v>
      </c>
      <c r="DK393" s="240">
        <f>INPUT!EJ115</f>
        <v>4.5602605863192167</v>
      </c>
      <c r="DL393" s="75">
        <f>INPUT!EK115</f>
        <v>289</v>
      </c>
      <c r="DM393" s="240" t="str">
        <f>INPUT!EL115</f>
        <v>NM</v>
      </c>
      <c r="DN393" s="75">
        <f>INPUT!EM115</f>
        <v>555</v>
      </c>
      <c r="DO393" s="240">
        <f>INPUT!EN115</f>
        <v>-10.339256865912759</v>
      </c>
      <c r="DP393" s="75">
        <f>INPUT!EO115</f>
        <v>650</v>
      </c>
      <c r="DQ393" s="240">
        <f>INPUT!EP115</f>
        <v>7.7943615257048009</v>
      </c>
      <c r="DR393" s="75">
        <f>INPUT!EQ115</f>
        <v>669.3537</v>
      </c>
      <c r="DS393" s="240">
        <f>INPUT!ER115</f>
        <v>4.2607009345794467</v>
      </c>
      <c r="DT393" s="75">
        <f>INPUT!ES115</f>
        <v>508.51799999999997</v>
      </c>
      <c r="DU393" s="240">
        <f>INPUT!ET115</f>
        <v>75.957785467128019</v>
      </c>
      <c r="DV393" s="75">
        <f>INPUT!EU115</f>
        <v>614.68399999999997</v>
      </c>
      <c r="DW393" s="240">
        <f>INPUT!EV115</f>
        <v>10.753873873873872</v>
      </c>
      <c r="DX393" s="75">
        <f>INPUT!EW115</f>
        <v>634.61490000000003</v>
      </c>
      <c r="DY393" s="240">
        <f>INPUT!EX115</f>
        <v>-2.366938461538453</v>
      </c>
      <c r="DZ393" s="75"/>
      <c r="EA393" s="240"/>
      <c r="EB393" s="155">
        <f>INPUT!FI115</f>
        <v>7.3846153846153868</v>
      </c>
      <c r="EC393" s="75">
        <f>INPUT!FJ115</f>
        <v>692</v>
      </c>
      <c r="ED393" s="155">
        <f>INPUT!FK115</f>
        <v>-0.85959885386819224</v>
      </c>
      <c r="EE393" s="75">
        <f>INPUT!FL115</f>
        <v>790</v>
      </c>
      <c r="EF393" s="155">
        <f>INPUT!FM115</f>
        <v>14.161849710982665</v>
      </c>
      <c r="EG393" s="75">
        <f>INPUT!FN115</f>
        <v>609</v>
      </c>
      <c r="EH393" s="155">
        <f>INPUT!FO115</f>
        <v>-22.911392405063296</v>
      </c>
      <c r="EI393" s="75">
        <f>INPUT!FP115</f>
        <v>631</v>
      </c>
      <c r="EJ393" s="240">
        <f>INPUT!FQ115</f>
        <v>3.6124794745484365</v>
      </c>
      <c r="EK393" s="75">
        <f>INPUT!FR115</f>
        <v>863</v>
      </c>
      <c r="EL393" s="240">
        <f>INPUT!FS115</f>
        <v>36.767036450079246</v>
      </c>
      <c r="EM393" s="75">
        <f>INPUT!FT115</f>
        <v>904</v>
      </c>
      <c r="EN393" s="240">
        <f>INPUT!FU115</f>
        <v>4.7508690614136668</v>
      </c>
      <c r="EO393" s="75">
        <f>INPUT!FV115</f>
        <v>965</v>
      </c>
      <c r="EP393" s="240">
        <f>INPUT!FW115</f>
        <v>6.7477876106194685</v>
      </c>
      <c r="EQ393" s="75">
        <f>INPUT!FX115</f>
        <v>1042</v>
      </c>
      <c r="ER393" s="240">
        <f>INPUT!FY115</f>
        <v>7.9792746113989494</v>
      </c>
      <c r="ES393" s="75">
        <f>INPUT!FZ115</f>
        <v>1120</v>
      </c>
      <c r="ET393" s="240">
        <f>INPUT!GA115</f>
        <v>7.485604606525925</v>
      </c>
      <c r="EU393" s="75">
        <f>INPUT!GB115</f>
        <v>1144</v>
      </c>
      <c r="EV393" s="240">
        <f>INPUT!GC115</f>
        <v>2.1428571428571388</v>
      </c>
      <c r="EW393" s="75">
        <f>INPUT!GD115</f>
        <v>1241</v>
      </c>
      <c r="EX393" s="240">
        <f>INPUT!GE115</f>
        <v>8.479020979020973</v>
      </c>
      <c r="EY393" s="75">
        <f>INPUT!GF115</f>
        <v>1902</v>
      </c>
      <c r="EZ393" s="240">
        <f>INPUT!GG115</f>
        <v>53.263497179693786</v>
      </c>
      <c r="FA393" s="75">
        <f>INPUT!GH115</f>
        <v>2140</v>
      </c>
      <c r="FB393" s="240">
        <f>INPUT!GI115</f>
        <v>12.513144058885388</v>
      </c>
      <c r="FC393" s="75">
        <f>INPUT!GJ115</f>
        <v>2278</v>
      </c>
      <c r="FD393" s="240">
        <f>INPUT!GK115</f>
        <v>6.448598130841134</v>
      </c>
      <c r="FE393" s="75">
        <f>INPUT!GL115</f>
        <v>2785</v>
      </c>
      <c r="FF393" s="240">
        <f>INPUT!GM115</f>
        <v>22.256365232660229</v>
      </c>
      <c r="FG393" s="75">
        <f>INPUT!GN115</f>
        <v>2136</v>
      </c>
      <c r="FH393" s="240">
        <f>INPUT!GO115</f>
        <v>-23.303411131059249</v>
      </c>
      <c r="FI393" s="75">
        <f>INPUT!GP115</f>
        <v>2427.1705999999999</v>
      </c>
      <c r="FJ393" s="240">
        <f>INPUT!GQ115</f>
        <v>13.631582397003754</v>
      </c>
      <c r="FK393" s="75">
        <f>INPUT!GR115</f>
        <v>2572.8008359999994</v>
      </c>
      <c r="FL393" s="240">
        <f>INPUT!GS115</f>
        <v>5.9999999999999858</v>
      </c>
      <c r="FM393" s="75">
        <f>INPUT!GT115</f>
        <v>2727.1688861599996</v>
      </c>
      <c r="FN393" s="240">
        <f>INPUT!GU115</f>
        <v>6</v>
      </c>
      <c r="FO393" s="75">
        <f>INPUT!GV115</f>
        <v>2890.7990193295996</v>
      </c>
      <c r="FP393" s="240">
        <f>INPUT!GW115</f>
        <v>6</v>
      </c>
      <c r="FQ393" s="75">
        <f>INPUT!GX115</f>
        <v>3064.2469604893759</v>
      </c>
      <c r="FR393" s="240">
        <f>INPUT!GY115</f>
        <v>6</v>
      </c>
      <c r="FS393" s="240">
        <f>INPUT!GZ115</f>
        <v>7.4841690025876151</v>
      </c>
    </row>
    <row r="394" spans="1:175" ht="12.75" hidden="1" customHeight="1" outlineLevel="1" x14ac:dyDescent="0.2">
      <c r="A394" s="77" t="str">
        <f>INPUT!B116</f>
        <v>Interest Credited</v>
      </c>
      <c r="B394" s="75">
        <f>INPUT!AA116</f>
        <v>36</v>
      </c>
      <c r="C394" s="155">
        <f>INPUT!AB116</f>
        <v>9.0909090909090793</v>
      </c>
      <c r="D394" s="75">
        <f>INPUT!AC116</f>
        <v>38</v>
      </c>
      <c r="E394" s="155">
        <f>INPUT!AD116</f>
        <v>5.5555555555555571</v>
      </c>
      <c r="F394" s="75">
        <f>INPUT!AE116</f>
        <v>39</v>
      </c>
      <c r="G394" s="155">
        <f>INPUT!AF116</f>
        <v>5.4054054054053893</v>
      </c>
      <c r="H394" s="75">
        <f>INPUT!AG116</f>
        <v>39</v>
      </c>
      <c r="I394" s="155">
        <f>INPUT!AH116</f>
        <v>5.4054054054053893</v>
      </c>
      <c r="J394" s="75">
        <f>INPUT!AI116</f>
        <v>39</v>
      </c>
      <c r="K394" s="155">
        <f>INPUT!AJ116</f>
        <v>8.3333333333333286</v>
      </c>
      <c r="L394" s="75">
        <f>INPUT!AK116</f>
        <v>41</v>
      </c>
      <c r="M394" s="155">
        <f>INPUT!AL116</f>
        <v>7.8947368421052602</v>
      </c>
      <c r="N394" s="75">
        <f>INPUT!AM116</f>
        <v>42</v>
      </c>
      <c r="O394" s="155">
        <f>INPUT!AN116</f>
        <v>7.6923076923076934</v>
      </c>
      <c r="P394" s="75">
        <f>INPUT!AO116</f>
        <v>43</v>
      </c>
      <c r="Q394" s="155">
        <f>INPUT!AP116</f>
        <v>10.256410256410263</v>
      </c>
      <c r="R394" s="75">
        <f>INPUT!AQ116</f>
        <v>42</v>
      </c>
      <c r="S394" s="155">
        <f>INPUT!AR116</f>
        <v>7.6923076923076934</v>
      </c>
      <c r="T394" s="75">
        <f>INPUT!AS116</f>
        <v>44</v>
      </c>
      <c r="U394" s="155">
        <f>INPUT!AT116</f>
        <v>7.3170731707317174</v>
      </c>
      <c r="V394" s="75">
        <f>INPUT!AU116</f>
        <v>43</v>
      </c>
      <c r="W394" s="155">
        <f>INPUT!AV116</f>
        <v>2.3809523809523796</v>
      </c>
      <c r="X394" s="75">
        <f>INPUT!AW116</f>
        <v>48</v>
      </c>
      <c r="Y394" s="155">
        <f>INPUT!AX116</f>
        <v>11.627906976744185</v>
      </c>
      <c r="Z394" s="75">
        <f>INPUT!AY116</f>
        <v>48</v>
      </c>
      <c r="AA394" s="155">
        <f>INPUT!AZ116</f>
        <v>14.285714285714278</v>
      </c>
      <c r="AB394" s="75">
        <f>INPUT!BA116</f>
        <v>50</v>
      </c>
      <c r="AC394" s="155">
        <f>INPUT!BB116</f>
        <v>13.63636363636364</v>
      </c>
      <c r="AD394" s="75">
        <f>INPUT!BC116</f>
        <v>51</v>
      </c>
      <c r="AE394" s="155">
        <f>INPUT!BD116</f>
        <v>18.604651162790702</v>
      </c>
      <c r="AF394" s="75">
        <f>INPUT!BE116</f>
        <v>54</v>
      </c>
      <c r="AG394" s="155">
        <f>INPUT!BF116</f>
        <v>12.5</v>
      </c>
      <c r="AH394" s="75">
        <f>INPUT!BG116</f>
        <v>54</v>
      </c>
      <c r="AI394" s="240">
        <f>INPUT!BH116</f>
        <v>12.5</v>
      </c>
      <c r="AJ394" s="75">
        <f>INPUT!BI116</f>
        <v>54</v>
      </c>
      <c r="AK394" s="240">
        <f>INPUT!BJ116</f>
        <v>8</v>
      </c>
      <c r="AL394" s="75">
        <f>INPUT!BK116</f>
        <v>54</v>
      </c>
      <c r="AM394" s="240">
        <f>INPUT!BL116</f>
        <v>5.8823529411764781</v>
      </c>
      <c r="AN394" s="75">
        <f>INPUT!BM116</f>
        <v>56</v>
      </c>
      <c r="AO394" s="240">
        <f>INPUT!BN116</f>
        <v>3.7037037037036953</v>
      </c>
      <c r="AP394" s="75">
        <f>INPUT!BO116</f>
        <v>55</v>
      </c>
      <c r="AQ394" s="240">
        <f>INPUT!BP116</f>
        <v>1.8518518518518619</v>
      </c>
      <c r="AR394" s="75">
        <f>INPUT!BQ116</f>
        <v>57</v>
      </c>
      <c r="AS394" s="240">
        <f>INPUT!BR116</f>
        <v>5.5555555555555571</v>
      </c>
      <c r="AT394" s="75">
        <f>INPUT!BS116</f>
        <v>59</v>
      </c>
      <c r="AU394" s="240">
        <f>INPUT!BT116</f>
        <v>9.2592592592592524</v>
      </c>
      <c r="AV394" s="75">
        <f>INPUT!BU116</f>
        <v>60</v>
      </c>
      <c r="AW394" s="240">
        <f>INPUT!BV116</f>
        <v>7.1428571428571388</v>
      </c>
      <c r="AX394" s="75">
        <f>INPUT!BW116</f>
        <v>62</v>
      </c>
      <c r="AY394" s="240">
        <f>INPUT!BX116</f>
        <v>12.72727272727272</v>
      </c>
      <c r="AZ394" s="75">
        <f>INPUT!BY116</f>
        <v>65</v>
      </c>
      <c r="BA394" s="240">
        <f>INPUT!BZ116</f>
        <v>14.035087719298247</v>
      </c>
      <c r="BB394" s="75">
        <f>INPUT!CA116</f>
        <v>68</v>
      </c>
      <c r="BC394" s="240">
        <f>INPUT!CB116</f>
        <v>15.254237288135599</v>
      </c>
      <c r="BD394" s="75">
        <f>INPUT!CC116</f>
        <v>68</v>
      </c>
      <c r="BE394" s="240">
        <f>INPUT!CD116</f>
        <v>13.333333333333329</v>
      </c>
      <c r="BF394" s="75">
        <f>INPUT!CE116</f>
        <v>69</v>
      </c>
      <c r="BG394" s="240">
        <f>INPUT!CF116</f>
        <v>11.290322580645153</v>
      </c>
      <c r="BH394" s="75">
        <f>INPUT!CG116</f>
        <v>70</v>
      </c>
      <c r="BI394" s="240">
        <f>INPUT!CH116</f>
        <v>7.6923076923076934</v>
      </c>
      <c r="BJ394" s="75">
        <f>INPUT!CI116</f>
        <v>73</v>
      </c>
      <c r="BK394" s="240">
        <f>INPUT!CJ116</f>
        <v>7.3529411764705799</v>
      </c>
      <c r="BL394" s="75">
        <f>INPUT!CK116</f>
        <v>72</v>
      </c>
      <c r="BM394" s="240">
        <f>INPUT!CL116</f>
        <v>5.8823529411764781</v>
      </c>
      <c r="BN394" s="75">
        <f>INPUT!CM116</f>
        <v>71</v>
      </c>
      <c r="BO394" s="240">
        <f>INPUT!CN116</f>
        <v>2.8985507246376727</v>
      </c>
      <c r="BP394" s="75">
        <f>INPUT!CO116</f>
        <v>74</v>
      </c>
      <c r="BQ394" s="240">
        <f>INPUT!CP116</f>
        <v>5.7142857142857224</v>
      </c>
      <c r="BR394" s="75">
        <f>INPUT!CQ116</f>
        <v>77</v>
      </c>
      <c r="BS394" s="240">
        <f>INPUT!CR116</f>
        <v>5.4794520547945211</v>
      </c>
      <c r="BT394" s="75">
        <f>INPUT!CS116</f>
        <v>77</v>
      </c>
      <c r="BU394" s="240">
        <f>INPUT!CT116</f>
        <v>6.9444444444444429</v>
      </c>
      <c r="BV394" s="75">
        <f>INPUT!CU116</f>
        <v>77</v>
      </c>
      <c r="BW394" s="240">
        <f>INPUT!CV116</f>
        <v>8.4507042253521263</v>
      </c>
      <c r="BX394" s="75">
        <f>INPUT!CW116</f>
        <v>81</v>
      </c>
      <c r="BY394" s="240">
        <f>INPUT!CX116</f>
        <v>9.4594594594594525</v>
      </c>
      <c r="BZ394" s="75">
        <f>INPUT!CY116</f>
        <v>83</v>
      </c>
      <c r="CA394" s="240">
        <f>INPUT!CZ116</f>
        <v>7.7922077922077904</v>
      </c>
      <c r="CB394" s="75">
        <f>INPUT!DA116</f>
        <v>88</v>
      </c>
      <c r="CC394" s="240">
        <f>INPUT!DB116</f>
        <v>14.285714285714278</v>
      </c>
      <c r="CD394" s="75">
        <f>INPUT!DC116</f>
        <v>136</v>
      </c>
      <c r="CE394" s="240">
        <f>INPUT!DD116</f>
        <v>76.623376623376629</v>
      </c>
      <c r="CF394" s="75">
        <f>INPUT!DE116</f>
        <v>145</v>
      </c>
      <c r="CG394" s="240">
        <f>INPUT!DF116</f>
        <v>79.012345679012356</v>
      </c>
      <c r="CH394" s="75">
        <f>INPUT!DG116</f>
        <v>149</v>
      </c>
      <c r="CI394" s="240">
        <f>INPUT!DH116</f>
        <v>79.518072289156606</v>
      </c>
      <c r="CJ394" s="75">
        <f>INPUT!DI116</f>
        <v>146</v>
      </c>
      <c r="CK394" s="240">
        <f>INPUT!DJ116</f>
        <v>65.909090909090907</v>
      </c>
      <c r="CL394" s="75">
        <f>INPUT!DK116</f>
        <v>149</v>
      </c>
      <c r="CM394" s="240">
        <f>INPUT!DL116</f>
        <v>9.558823529411768</v>
      </c>
      <c r="CN394" s="75">
        <f>INPUT!DM116</f>
        <v>151</v>
      </c>
      <c r="CO394" s="240">
        <f>INPUT!DN116</f>
        <v>4.1379310344827616</v>
      </c>
      <c r="CP394" s="75">
        <f>INPUT!DO116</f>
        <v>152</v>
      </c>
      <c r="CQ394" s="240">
        <f>INPUT!DP116</f>
        <v>2.0134228187919518</v>
      </c>
      <c r="CR394" s="75">
        <f>INPUT!DQ116</f>
        <v>154</v>
      </c>
      <c r="CS394" s="240">
        <f>INPUT!DR116</f>
        <v>5.4794520547945211</v>
      </c>
      <c r="CT394" s="75">
        <f>INPUT!DS116</f>
        <v>155</v>
      </c>
      <c r="CU394" s="240">
        <f>INPUT!DT116</f>
        <v>4.0268456375838895</v>
      </c>
      <c r="CV394" s="75">
        <f>INPUT!DU116</f>
        <v>160</v>
      </c>
      <c r="CW394" s="240">
        <f>INPUT!DV116</f>
        <v>5.9602649006622528</v>
      </c>
      <c r="CX394" s="75">
        <f>INPUT!DW116</f>
        <v>165</v>
      </c>
      <c r="CY394" s="240">
        <f>INPUT!DX116</f>
        <v>8.5526315789473699</v>
      </c>
      <c r="CZ394" s="75">
        <f>INPUT!DY116</f>
        <v>164</v>
      </c>
      <c r="DA394" s="240">
        <f>INPUT!DZ116</f>
        <v>6.4935064935064872</v>
      </c>
      <c r="DB394" s="75">
        <f>INPUT!EA116</f>
        <v>164</v>
      </c>
      <c r="DC394" s="240">
        <f>INPUT!EB116</f>
        <v>5.8064516129032313</v>
      </c>
      <c r="DD394" s="75">
        <f>INPUT!EC116</f>
        <v>169</v>
      </c>
      <c r="DE394" s="240">
        <f>INPUT!ED116</f>
        <v>5.6249999999999858</v>
      </c>
      <c r="DF394" s="75">
        <f>INPUT!EE116</f>
        <v>171</v>
      </c>
      <c r="DG394" s="240">
        <f>INPUT!EF116</f>
        <v>3.6363636363636402</v>
      </c>
      <c r="DH394" s="75">
        <f>INPUT!EG116</f>
        <v>176</v>
      </c>
      <c r="DI394" s="240">
        <f>INPUT!EH116</f>
        <v>7.3170731707317174</v>
      </c>
      <c r="DJ394" s="75">
        <f>INPUT!EI116</f>
        <v>176</v>
      </c>
      <c r="DK394" s="240">
        <f>INPUT!EJ116</f>
        <v>7.3170731707317174</v>
      </c>
      <c r="DL394" s="75">
        <f>INPUT!EK116</f>
        <v>178</v>
      </c>
      <c r="DM394" s="240">
        <f>INPUT!EL116</f>
        <v>5.3254437869822482</v>
      </c>
      <c r="DN394" s="75">
        <f>INPUT!EM116</f>
        <v>182</v>
      </c>
      <c r="DO394" s="240">
        <f>INPUT!EN116</f>
        <v>6.4327485380117082</v>
      </c>
      <c r="DP394" s="75">
        <f>INPUT!EO116</f>
        <v>183</v>
      </c>
      <c r="DQ394" s="240">
        <f>INPUT!EP116</f>
        <v>3.9772727272727337</v>
      </c>
      <c r="DR394" s="75">
        <f>INPUT!EQ116</f>
        <v>182.78369999999998</v>
      </c>
      <c r="DS394" s="240">
        <f>INPUT!ER116</f>
        <v>3.8543749999999903</v>
      </c>
      <c r="DT394" s="75">
        <f>INPUT!ES116</f>
        <v>184.61153700000003</v>
      </c>
      <c r="DU394" s="240">
        <f>INPUT!ET116</f>
        <v>3.7143466292135088</v>
      </c>
      <c r="DV394" s="75">
        <f>INPUT!EU116</f>
        <v>186.45765237000001</v>
      </c>
      <c r="DW394" s="240">
        <f>INPUT!EV116</f>
        <v>2.4492595439560461</v>
      </c>
      <c r="DX394" s="75">
        <f>INPUT!EW116</f>
        <v>188.32222889370001</v>
      </c>
      <c r="DY394" s="240">
        <f>INPUT!EX116</f>
        <v>2.9083217998360738</v>
      </c>
      <c r="DZ394" s="75"/>
      <c r="EA394" s="240"/>
      <c r="EB394" s="155">
        <f>INPUT!FI116</f>
        <v>4.5801526717557266</v>
      </c>
      <c r="EC394" s="75">
        <f>INPUT!FJ116</f>
        <v>143</v>
      </c>
      <c r="ED394" s="155">
        <f>INPUT!FK116</f>
        <v>4.379562043795616</v>
      </c>
      <c r="EE394" s="75">
        <f>INPUT!FL116</f>
        <v>152</v>
      </c>
      <c r="EF394" s="155">
        <f>INPUT!FM116</f>
        <v>6.2937062937062933</v>
      </c>
      <c r="EG394" s="75">
        <f>INPUT!FN116</f>
        <v>165</v>
      </c>
      <c r="EH394" s="155">
        <f>INPUT!FO116</f>
        <v>8.5526315789473699</v>
      </c>
      <c r="EI394" s="75">
        <f>INPUT!FP116</f>
        <v>177</v>
      </c>
      <c r="EJ394" s="240">
        <f>INPUT!FQ116</f>
        <v>7.2727272727272805</v>
      </c>
      <c r="EK394" s="75">
        <f>INPUT!FR116</f>
        <v>203</v>
      </c>
      <c r="EL394" s="240">
        <f>INPUT!FS116</f>
        <v>14.689265536723155</v>
      </c>
      <c r="EM394" s="75">
        <f>INPUT!FT116</f>
        <v>218</v>
      </c>
      <c r="EN394" s="240">
        <f>INPUT!FU116</f>
        <v>7.3891625615763559</v>
      </c>
      <c r="EO394" s="75">
        <f>INPUT!FV116</f>
        <v>231</v>
      </c>
      <c r="EP394" s="240">
        <f>INPUT!FW116</f>
        <v>5.963302752293572</v>
      </c>
      <c r="EQ394" s="75">
        <f>INPUT!FX116</f>
        <v>263</v>
      </c>
      <c r="ER394" s="240">
        <f>INPUT!FY116</f>
        <v>13.852813852813853</v>
      </c>
      <c r="ES394" s="75">
        <f>INPUT!FZ116</f>
        <v>284</v>
      </c>
      <c r="ET394" s="240">
        <f>INPUT!GA116</f>
        <v>7.9847908745247054</v>
      </c>
      <c r="EU394" s="75">
        <f>INPUT!GB116</f>
        <v>299</v>
      </c>
      <c r="EV394" s="240">
        <f>INPUT!GC116</f>
        <v>5.2816901408450718</v>
      </c>
      <c r="EW394" s="75">
        <f>INPUT!GD116</f>
        <v>329</v>
      </c>
      <c r="EX394" s="240">
        <f>INPUT!GE116</f>
        <v>10.033444816053503</v>
      </c>
      <c r="EY394" s="75">
        <f>INPUT!GF116</f>
        <v>576</v>
      </c>
      <c r="EZ394" s="240">
        <f>INPUT!GG116</f>
        <v>75.075987841945278</v>
      </c>
      <c r="FA394" s="75">
        <f>INPUT!GH116</f>
        <v>606</v>
      </c>
      <c r="FB394" s="240">
        <f>INPUT!GI116</f>
        <v>5.2083333333333286</v>
      </c>
      <c r="FC394" s="75">
        <f>INPUT!GJ116</f>
        <v>644</v>
      </c>
      <c r="FD394" s="240">
        <f>INPUT!GK116</f>
        <v>6.2706270627062679</v>
      </c>
      <c r="FE394" s="75">
        <f>INPUT!GL116</f>
        <v>680</v>
      </c>
      <c r="FF394" s="240">
        <f>INPUT!GM116</f>
        <v>5.5900621118012452</v>
      </c>
      <c r="FG394" s="75">
        <f>INPUT!GN116</f>
        <v>719</v>
      </c>
      <c r="FH394" s="240">
        <f>INPUT!GO116</f>
        <v>5.735294117647058</v>
      </c>
      <c r="FI394" s="75">
        <f>INPUT!GP116</f>
        <v>742.17511826369991</v>
      </c>
      <c r="FJ394" s="240">
        <f>INPUT!GQ116</f>
        <v>3.223243152114037</v>
      </c>
      <c r="FK394" s="75">
        <f>INPUT!GR116</f>
        <v>782.29269222389996</v>
      </c>
      <c r="FL394" s="240">
        <f>INPUT!GS116</f>
        <v>5.4054054054054177</v>
      </c>
      <c r="FM394" s="75">
        <f>INPUT!GT116</f>
        <v>824.43219191169408</v>
      </c>
      <c r="FN394" s="240">
        <f>INPUT!GU116</f>
        <v>5.3866666666666703</v>
      </c>
      <c r="FO394" s="75">
        <f>INPUT!GV116</f>
        <v>861.9221610596785</v>
      </c>
      <c r="FP394" s="240">
        <f>INPUT!GW116</f>
        <v>4.5473684210526386</v>
      </c>
      <c r="FQ394" s="75">
        <f>INPUT!GX116</f>
        <v>901.09223623244293</v>
      </c>
      <c r="FR394" s="240">
        <f>INPUT!GY116</f>
        <v>4.5445026178010437</v>
      </c>
      <c r="FS394" s="240">
        <f>INPUT!GZ116</f>
        <v>4.6183994482946966</v>
      </c>
    </row>
    <row r="395" spans="1:175" ht="12.75" hidden="1" customHeight="1" outlineLevel="1" x14ac:dyDescent="0.2">
      <c r="A395" s="77" t="str">
        <f>INPUT!B117</f>
        <v>Interest Expense</v>
      </c>
      <c r="B395" s="75">
        <f>INPUT!AA117</f>
        <v>-1</v>
      </c>
      <c r="C395" s="155" t="str">
        <f>INPUT!AB117</f>
        <v>NA</v>
      </c>
      <c r="D395" s="75">
        <f>INPUT!AC117</f>
        <v>-1</v>
      </c>
      <c r="E395" s="155" t="str">
        <f>INPUT!AD117</f>
        <v>NA</v>
      </c>
      <c r="F395" s="75">
        <f>INPUT!AE117</f>
        <v>0</v>
      </c>
      <c r="G395" s="155" t="str">
        <f>INPUT!AF117</f>
        <v>NM</v>
      </c>
      <c r="H395" s="75">
        <f>INPUT!AG117</f>
        <v>-1</v>
      </c>
      <c r="I395" s="155">
        <f>INPUT!AH117</f>
        <v>0</v>
      </c>
      <c r="J395" s="75">
        <f>INPUT!AI117</f>
        <v>0</v>
      </c>
      <c r="K395" s="155" t="str">
        <f>INPUT!AJ117</f>
        <v>NM</v>
      </c>
      <c r="L395" s="75">
        <f>INPUT!AK117</f>
        <v>0</v>
      </c>
      <c r="M395" s="155" t="str">
        <f>INPUT!AL117</f>
        <v>NM</v>
      </c>
      <c r="N395" s="75">
        <f>INPUT!AM117</f>
        <v>3</v>
      </c>
      <c r="O395" s="155" t="str">
        <f>INPUT!AN117</f>
        <v>NA</v>
      </c>
      <c r="P395" s="75">
        <f>INPUT!AO117</f>
        <v>12</v>
      </c>
      <c r="Q395" s="155" t="str">
        <f>INPUT!AP117</f>
        <v>NM</v>
      </c>
      <c r="R395" s="75">
        <f>INPUT!AQ117</f>
        <v>15</v>
      </c>
      <c r="S395" s="155" t="str">
        <f>INPUT!AR117</f>
        <v>NA</v>
      </c>
      <c r="T395" s="75">
        <f>INPUT!AS117</f>
        <v>15</v>
      </c>
      <c r="U395" s="155" t="str">
        <f>INPUT!AT117</f>
        <v>NA</v>
      </c>
      <c r="V395" s="75">
        <f>INPUT!AU117</f>
        <v>18</v>
      </c>
      <c r="W395" s="155" t="str">
        <f>INPUT!AV117</f>
        <v>NM</v>
      </c>
      <c r="X395" s="75">
        <f>INPUT!AW117</f>
        <v>18</v>
      </c>
      <c r="Y395" s="155">
        <f>INPUT!AX117</f>
        <v>50</v>
      </c>
      <c r="Z395" s="75">
        <f>INPUT!AY117</f>
        <v>17</v>
      </c>
      <c r="AA395" s="155">
        <f>INPUT!AZ117</f>
        <v>13.333333333333329</v>
      </c>
      <c r="AB395" s="75">
        <f>INPUT!BA117</f>
        <v>18</v>
      </c>
      <c r="AC395" s="155">
        <f>INPUT!BB117</f>
        <v>20</v>
      </c>
      <c r="AD395" s="75">
        <f>INPUT!BC117</f>
        <v>20</v>
      </c>
      <c r="AE395" s="155">
        <f>INPUT!BD117</f>
        <v>11.111111111111114</v>
      </c>
      <c r="AF395" s="75">
        <f>INPUT!BE117</f>
        <v>27</v>
      </c>
      <c r="AG395" s="155">
        <f>INPUT!BF117</f>
        <v>50</v>
      </c>
      <c r="AH395" s="75">
        <f>INPUT!BG117</f>
        <v>38</v>
      </c>
      <c r="AI395" s="240" t="str">
        <f>INPUT!BH117</f>
        <v>NM</v>
      </c>
      <c r="AJ395" s="75">
        <f>INPUT!BI117</f>
        <v>37</v>
      </c>
      <c r="AK395" s="240" t="str">
        <f>INPUT!BJ117</f>
        <v>NM</v>
      </c>
      <c r="AL395" s="75">
        <f>INPUT!BK117</f>
        <v>41</v>
      </c>
      <c r="AM395" s="240" t="str">
        <f>INPUT!BL117</f>
        <v>NM</v>
      </c>
      <c r="AN395" s="75">
        <f>INPUT!BM117</f>
        <v>49</v>
      </c>
      <c r="AO395" s="240">
        <f>INPUT!BN117</f>
        <v>81.481481481481495</v>
      </c>
      <c r="AP395" s="75">
        <f>INPUT!BO117</f>
        <v>52</v>
      </c>
      <c r="AQ395" s="240">
        <f>INPUT!BP117</f>
        <v>36.84210526315789</v>
      </c>
      <c r="AR395" s="75">
        <f>INPUT!BQ117</f>
        <v>49</v>
      </c>
      <c r="AS395" s="240">
        <f>INPUT!BR117</f>
        <v>32.432432432432421</v>
      </c>
      <c r="AT395" s="75">
        <f>INPUT!BS117</f>
        <v>51</v>
      </c>
      <c r="AU395" s="240">
        <f>INPUT!BT117</f>
        <v>24.390243902439025</v>
      </c>
      <c r="AV395" s="75">
        <f>INPUT!BU117</f>
        <v>62</v>
      </c>
      <c r="AW395" s="240">
        <f>INPUT!BV117</f>
        <v>26.530612244897966</v>
      </c>
      <c r="AX395" s="75">
        <f>INPUT!BW117</f>
        <v>51</v>
      </c>
      <c r="AY395" s="240">
        <f>INPUT!BX117</f>
        <v>-1.923076923076934</v>
      </c>
      <c r="AZ395" s="75">
        <f>INPUT!BY117</f>
        <v>47</v>
      </c>
      <c r="BA395" s="240">
        <f>INPUT!BZ117</f>
        <v>-4.0816326530612344</v>
      </c>
      <c r="BB395" s="75">
        <f>INPUT!CA117</f>
        <v>42</v>
      </c>
      <c r="BC395" s="240">
        <f>INPUT!CB117</f>
        <v>-17.64705882352942</v>
      </c>
      <c r="BD395" s="75">
        <f>INPUT!CC117</f>
        <v>41</v>
      </c>
      <c r="BE395" s="240">
        <f>INPUT!CD117</f>
        <v>-33.870967741935488</v>
      </c>
      <c r="BF395" s="75">
        <f>INPUT!CE117</f>
        <v>35</v>
      </c>
      <c r="BG395" s="240">
        <f>INPUT!CF117</f>
        <v>-31.372549019607845</v>
      </c>
      <c r="BH395" s="75">
        <f>INPUT!CG117</f>
        <v>37</v>
      </c>
      <c r="BI395" s="240">
        <f>INPUT!CH117</f>
        <v>-21.276595744680847</v>
      </c>
      <c r="BJ395" s="75">
        <f>INPUT!CI117</f>
        <v>45</v>
      </c>
      <c r="BK395" s="240">
        <f>INPUT!CJ117</f>
        <v>7.1428571428571388</v>
      </c>
      <c r="BL395" s="75">
        <f>INPUT!CK117</f>
        <v>45</v>
      </c>
      <c r="BM395" s="240">
        <f>INPUT!CL117</f>
        <v>9.7560975609756184</v>
      </c>
      <c r="BN395" s="75">
        <f>INPUT!CM117</f>
        <v>45</v>
      </c>
      <c r="BO395" s="240">
        <f>INPUT!CN117</f>
        <v>28.571428571428584</v>
      </c>
      <c r="BP395" s="75">
        <f>INPUT!CO117</f>
        <v>48</v>
      </c>
      <c r="BQ395" s="240">
        <f>INPUT!CP117</f>
        <v>29.72972972972974</v>
      </c>
      <c r="BR395" s="75">
        <f>INPUT!CQ117</f>
        <v>48</v>
      </c>
      <c r="BS395" s="240">
        <f>INPUT!CR117</f>
        <v>6.6666666666666714</v>
      </c>
      <c r="BT395" s="75">
        <f>INPUT!CS117</f>
        <v>73</v>
      </c>
      <c r="BU395" s="240">
        <f>INPUT!CT117</f>
        <v>62.222222222222229</v>
      </c>
      <c r="BV395" s="75">
        <f>INPUT!CU117</f>
        <v>77</v>
      </c>
      <c r="BW395" s="240">
        <f>INPUT!CV117</f>
        <v>71.111111111111114</v>
      </c>
      <c r="BX395" s="75">
        <f>INPUT!CW117</f>
        <v>78</v>
      </c>
      <c r="BY395" s="240">
        <f>INPUT!CX117</f>
        <v>62.5</v>
      </c>
      <c r="BZ395" s="75">
        <f>INPUT!CY117</f>
        <v>80</v>
      </c>
      <c r="CA395" s="240">
        <f>INPUT!CZ117</f>
        <v>66.666666666666686</v>
      </c>
      <c r="CB395" s="75">
        <f>INPUT!DA117</f>
        <v>81</v>
      </c>
      <c r="CC395" s="240">
        <f>INPUT!DB117</f>
        <v>10.958904109589042</v>
      </c>
      <c r="CD395" s="75">
        <f>INPUT!DC117</f>
        <v>94</v>
      </c>
      <c r="CE395" s="240">
        <f>INPUT!DD117</f>
        <v>22.077922077922068</v>
      </c>
      <c r="CF395" s="75">
        <f>INPUT!DE117</f>
        <v>95</v>
      </c>
      <c r="CG395" s="240">
        <f>INPUT!DF117</f>
        <v>21.794871794871781</v>
      </c>
      <c r="CH395" s="75">
        <f>INPUT!DG117</f>
        <v>108</v>
      </c>
      <c r="CI395" s="240">
        <f>INPUT!DH117</f>
        <v>35</v>
      </c>
      <c r="CJ395" s="75">
        <f>INPUT!DI117</f>
        <v>110</v>
      </c>
      <c r="CK395" s="240">
        <f>INPUT!DJ117</f>
        <v>35.802469135802482</v>
      </c>
      <c r="CL395" s="75">
        <f>INPUT!DK117</f>
        <v>122</v>
      </c>
      <c r="CM395" s="240">
        <f>INPUT!DL117</f>
        <v>29.787234042553195</v>
      </c>
      <c r="CN395" s="75">
        <f>INPUT!DM117</f>
        <v>127</v>
      </c>
      <c r="CO395" s="240">
        <f>INPUT!DN117</f>
        <v>33.68421052631578</v>
      </c>
      <c r="CP395" s="75">
        <f>INPUT!DO117</f>
        <v>146</v>
      </c>
      <c r="CQ395" s="240">
        <f>INPUT!DP117</f>
        <v>35.18518518518519</v>
      </c>
      <c r="CR395" s="75">
        <f>INPUT!DQ117</f>
        <v>138</v>
      </c>
      <c r="CS395" s="240">
        <f>INPUT!DR117</f>
        <v>25.454545454545467</v>
      </c>
      <c r="CT395" s="75">
        <f>INPUT!DS117</f>
        <v>134</v>
      </c>
      <c r="CU395" s="240">
        <f>INPUT!DT117</f>
        <v>9.8360655737704974</v>
      </c>
      <c r="CV395" s="75">
        <f>INPUT!DU117</f>
        <v>137</v>
      </c>
      <c r="CW395" s="240">
        <f>INPUT!DV117</f>
        <v>7.8740157480315105</v>
      </c>
      <c r="CX395" s="75">
        <f>INPUT!DW117</f>
        <v>140</v>
      </c>
      <c r="CY395" s="240">
        <f>INPUT!DX117</f>
        <v>-4.1095890410959015</v>
      </c>
      <c r="CZ395" s="75">
        <f>INPUT!DY117</f>
        <v>139</v>
      </c>
      <c r="DA395" s="240">
        <f>INPUT!DZ117</f>
        <v>0.72463768115942173</v>
      </c>
      <c r="DB395" s="75">
        <f>INPUT!EA117</f>
        <v>141</v>
      </c>
      <c r="DC395" s="240">
        <f>INPUT!EB117</f>
        <v>5.2238805970149258</v>
      </c>
      <c r="DD395" s="75">
        <f>INPUT!EC117</f>
        <v>145</v>
      </c>
      <c r="DE395" s="240">
        <f>INPUT!ED117</f>
        <v>5.8394160583941499</v>
      </c>
      <c r="DF395" s="75">
        <f>INPUT!EE117</f>
        <v>146</v>
      </c>
      <c r="DG395" s="240">
        <f>INPUT!EF117</f>
        <v>4.2857142857142918</v>
      </c>
      <c r="DH395" s="75">
        <f>INPUT!EG117</f>
        <v>151</v>
      </c>
      <c r="DI395" s="240">
        <f>INPUT!EH117</f>
        <v>8.6330935251798451</v>
      </c>
      <c r="DJ395" s="75">
        <f>INPUT!EI117</f>
        <v>156</v>
      </c>
      <c r="DK395" s="240">
        <f>INPUT!EJ117</f>
        <v>10.638297872340431</v>
      </c>
      <c r="DL395" s="75">
        <f>INPUT!EK117</f>
        <v>162</v>
      </c>
      <c r="DM395" s="240">
        <f>INPUT!EL117</f>
        <v>11.724137931034477</v>
      </c>
      <c r="DN395" s="75">
        <f>INPUT!EM117</f>
        <v>163</v>
      </c>
      <c r="DO395" s="240">
        <f>INPUT!EN117</f>
        <v>11.643835616438352</v>
      </c>
      <c r="DP395" s="75">
        <f>INPUT!EO117</f>
        <v>167</v>
      </c>
      <c r="DQ395" s="240">
        <f>INPUT!EP117</f>
        <v>10.596026490066237</v>
      </c>
      <c r="DR395" s="75">
        <f>INPUT!EQ117</f>
        <v>163.80000000000001</v>
      </c>
      <c r="DS395" s="240">
        <f>INPUT!ER117</f>
        <v>5</v>
      </c>
      <c r="DT395" s="75">
        <f>INPUT!ES117</f>
        <v>170.1</v>
      </c>
      <c r="DU395" s="240">
        <f>INPUT!ET117</f>
        <v>5</v>
      </c>
      <c r="DV395" s="75">
        <f>INPUT!EU117</f>
        <v>171.15</v>
      </c>
      <c r="DW395" s="240">
        <f>INPUT!EV117</f>
        <v>5</v>
      </c>
      <c r="DX395" s="75">
        <f>INPUT!EW117</f>
        <v>175.35</v>
      </c>
      <c r="DY395" s="240">
        <f>INPUT!EX117</f>
        <v>5</v>
      </c>
      <c r="DZ395" s="75"/>
      <c r="EA395" s="240"/>
      <c r="EB395" s="155" t="str">
        <f>INPUT!FI117</f>
        <v>NM</v>
      </c>
      <c r="EC395" s="75">
        <f>INPUT!FJ117</f>
        <v>-2</v>
      </c>
      <c r="ED395" s="155" t="str">
        <f>INPUT!FK117</f>
        <v>NA</v>
      </c>
      <c r="EE395" s="75">
        <f>INPUT!FL117</f>
        <v>-3</v>
      </c>
      <c r="EF395" s="155">
        <f>INPUT!FM117</f>
        <v>50</v>
      </c>
      <c r="EG395" s="75">
        <f>INPUT!FN117</f>
        <v>15</v>
      </c>
      <c r="EH395" s="155" t="str">
        <f>INPUT!FO117</f>
        <v>NM</v>
      </c>
      <c r="EI395" s="75">
        <f>INPUT!FP117</f>
        <v>66</v>
      </c>
      <c r="EJ395" s="240" t="str">
        <f>INPUT!FQ117</f>
        <v>NM</v>
      </c>
      <c r="EK395" s="75">
        <f>INPUT!FR117</f>
        <v>82</v>
      </c>
      <c r="EL395" s="240">
        <f>INPUT!FS117</f>
        <v>24.242424242424249</v>
      </c>
      <c r="EM395" s="75">
        <f>INPUT!FT117</f>
        <v>165</v>
      </c>
      <c r="EN395" s="240" t="str">
        <f>INPUT!FU117</f>
        <v>NM</v>
      </c>
      <c r="EO395" s="75">
        <f>INPUT!FV117</f>
        <v>214</v>
      </c>
      <c r="EP395" s="240">
        <f>INPUT!FW117</f>
        <v>29.696969696969688</v>
      </c>
      <c r="EQ395" s="75">
        <f>INPUT!FX117</f>
        <v>181</v>
      </c>
      <c r="ER395" s="240">
        <f>INPUT!FY117</f>
        <v>-15.420560747663544</v>
      </c>
      <c r="ES395" s="75">
        <f>INPUT!FZ117</f>
        <v>162</v>
      </c>
      <c r="ET395" s="240">
        <f>INPUT!GA117</f>
        <v>-10.497237569060772</v>
      </c>
      <c r="EU395" s="75">
        <f>INPUT!GB117</f>
        <v>214</v>
      </c>
      <c r="EV395" s="240">
        <f>INPUT!GC117</f>
        <v>32.098765432098787</v>
      </c>
      <c r="EW395" s="75">
        <f>INPUT!GD117</f>
        <v>316</v>
      </c>
      <c r="EX395" s="240">
        <f>INPUT!GE117</f>
        <v>47.663551401869142</v>
      </c>
      <c r="EY395" s="75">
        <f>INPUT!GF117</f>
        <v>407</v>
      </c>
      <c r="EZ395" s="240">
        <f>INPUT!GG117</f>
        <v>28.797468354430379</v>
      </c>
      <c r="FA395" s="75">
        <f>INPUT!GH117</f>
        <v>533</v>
      </c>
      <c r="FB395" s="240">
        <f>INPUT!GI117</f>
        <v>30.958230958230956</v>
      </c>
      <c r="FC395" s="75">
        <f>INPUT!GJ117</f>
        <v>550</v>
      </c>
      <c r="FD395" s="240">
        <f>INPUT!GK117</f>
        <v>3.1894934333958673</v>
      </c>
      <c r="FE395" s="75">
        <f>INPUT!GL117</f>
        <v>583</v>
      </c>
      <c r="FF395" s="240">
        <f>INPUT!GM117</f>
        <v>6</v>
      </c>
      <c r="FG395" s="75">
        <f>INPUT!GN117</f>
        <v>648</v>
      </c>
      <c r="FH395" s="240">
        <f>INPUT!GO117</f>
        <v>11.149228130360214</v>
      </c>
      <c r="FI395" s="75">
        <f>INPUT!GP117</f>
        <v>680.4</v>
      </c>
      <c r="FJ395" s="240">
        <f>INPUT!GQ117</f>
        <v>5</v>
      </c>
      <c r="FK395" s="75">
        <f>INPUT!GR117</f>
        <v>714.42</v>
      </c>
      <c r="FL395" s="240">
        <f>INPUT!GS117</f>
        <v>5</v>
      </c>
      <c r="FM395" s="75">
        <f>INPUT!GT117</f>
        <v>750.14099999999996</v>
      </c>
      <c r="FN395" s="240">
        <f>INPUT!GU117</f>
        <v>5</v>
      </c>
      <c r="FO395" s="75">
        <f>INPUT!GV117</f>
        <v>787.64805000000001</v>
      </c>
      <c r="FP395" s="240">
        <f>INPUT!GW117</f>
        <v>5</v>
      </c>
      <c r="FQ395" s="75">
        <f>INPUT!GX117</f>
        <v>827.03045250000002</v>
      </c>
      <c r="FR395" s="240">
        <f>INPUT!GY117</f>
        <v>5</v>
      </c>
      <c r="FS395" s="240">
        <f>INPUT!GZ117</f>
        <v>5.0000000000000044</v>
      </c>
    </row>
    <row r="396" spans="1:175" ht="12.75" hidden="1" customHeight="1" outlineLevel="1" x14ac:dyDescent="0.2">
      <c r="A396" s="77" t="str">
        <f>INPUT!B118</f>
        <v>Operating Expenses - Ongoing</v>
      </c>
      <c r="B396" s="75">
        <f>INPUT!AA118</f>
        <v>179</v>
      </c>
      <c r="C396" s="155">
        <f>INPUT!AB118</f>
        <v>1.1299435028248439</v>
      </c>
      <c r="D396" s="75">
        <f>INPUT!AC118</f>
        <v>183</v>
      </c>
      <c r="E396" s="155">
        <f>INPUT!AD118</f>
        <v>2.8089887640449405</v>
      </c>
      <c r="F396" s="75">
        <f>INPUT!AE118</f>
        <v>172</v>
      </c>
      <c r="G396" s="155">
        <f>INPUT!AF118</f>
        <v>-2.2727272727272663</v>
      </c>
      <c r="H396" s="75">
        <f>INPUT!AG118</f>
        <v>213</v>
      </c>
      <c r="I396" s="155">
        <f>INPUT!AH118</f>
        <v>12.698412698412696</v>
      </c>
      <c r="J396" s="75">
        <f>INPUT!AI118</f>
        <v>222</v>
      </c>
      <c r="K396" s="155">
        <f>INPUT!AJ118</f>
        <v>24.022346368715077</v>
      </c>
      <c r="L396" s="75">
        <f>INPUT!AK118</f>
        <v>228</v>
      </c>
      <c r="M396" s="155">
        <f>INPUT!AL118</f>
        <v>24.590163934426229</v>
      </c>
      <c r="N396" s="75">
        <f>INPUT!AM118</f>
        <v>235</v>
      </c>
      <c r="O396" s="155">
        <f>INPUT!AN118</f>
        <v>36.627906976744185</v>
      </c>
      <c r="P396" s="75">
        <f>INPUT!AO118</f>
        <v>246</v>
      </c>
      <c r="Q396" s="155">
        <f>INPUT!AP118</f>
        <v>15.492957746478879</v>
      </c>
      <c r="R396" s="75">
        <f>INPUT!AQ118</f>
        <v>197</v>
      </c>
      <c r="S396" s="155">
        <f>INPUT!AR118</f>
        <v>-11.261261261261254</v>
      </c>
      <c r="T396" s="75">
        <f>INPUT!AS118</f>
        <v>219</v>
      </c>
      <c r="U396" s="155">
        <f>INPUT!AT118</f>
        <v>-3.9473684210526301</v>
      </c>
      <c r="V396" s="75">
        <f>INPUT!AU118</f>
        <v>215</v>
      </c>
      <c r="W396" s="155">
        <f>INPUT!AV118</f>
        <v>-8.5106382978723474</v>
      </c>
      <c r="X396" s="75">
        <f>INPUT!AW118</f>
        <v>204</v>
      </c>
      <c r="Y396" s="155">
        <f>INPUT!AX118</f>
        <v>-17.073170731707322</v>
      </c>
      <c r="Z396" s="75">
        <f>INPUT!AY118</f>
        <v>206</v>
      </c>
      <c r="AA396" s="155">
        <f>INPUT!AZ118</f>
        <v>4.5685279187817258</v>
      </c>
      <c r="AB396" s="75">
        <f>INPUT!BA118</f>
        <v>214</v>
      </c>
      <c r="AC396" s="155">
        <f>INPUT!BB118</f>
        <v>-2.2831050228310517</v>
      </c>
      <c r="AD396" s="75">
        <f>INPUT!BC118</f>
        <v>224</v>
      </c>
      <c r="AE396" s="155">
        <f>INPUT!BD118</f>
        <v>4.1860465116279073</v>
      </c>
      <c r="AF396" s="75">
        <f>INPUT!BE118</f>
        <v>229</v>
      </c>
      <c r="AG396" s="155">
        <f>INPUT!BF118</f>
        <v>12.254901960784309</v>
      </c>
      <c r="AH396" s="75">
        <f>INPUT!BG118</f>
        <v>227</v>
      </c>
      <c r="AI396" s="240">
        <f>INPUT!BH118</f>
        <v>10.194174757281544</v>
      </c>
      <c r="AJ396" s="75">
        <f>INPUT!BI118</f>
        <v>245</v>
      </c>
      <c r="AK396" s="240">
        <f>INPUT!BJ118</f>
        <v>14.485981308411212</v>
      </c>
      <c r="AL396" s="75">
        <f>INPUT!BK118</f>
        <v>255</v>
      </c>
      <c r="AM396" s="240">
        <f>INPUT!BL118</f>
        <v>13.839285714285722</v>
      </c>
      <c r="AN396" s="75">
        <f>INPUT!BM118</f>
        <v>254</v>
      </c>
      <c r="AO396" s="240">
        <f>INPUT!BN118</f>
        <v>10.917030567685586</v>
      </c>
      <c r="AP396" s="75">
        <f>INPUT!BO118</f>
        <v>235</v>
      </c>
      <c r="AQ396" s="240">
        <f>INPUT!BP118</f>
        <v>3.5242290748898739</v>
      </c>
      <c r="AR396" s="75">
        <f>INPUT!BQ118</f>
        <v>248</v>
      </c>
      <c r="AS396" s="240">
        <f>INPUT!BR118</f>
        <v>1.2244897959183589</v>
      </c>
      <c r="AT396" s="75">
        <f>INPUT!BS118</f>
        <v>255</v>
      </c>
      <c r="AU396" s="240">
        <f>INPUT!BT118</f>
        <v>0</v>
      </c>
      <c r="AV396" s="75">
        <f>INPUT!BU118</f>
        <v>233</v>
      </c>
      <c r="AW396" s="240">
        <f>INPUT!BV118</f>
        <v>-8.2677165354330668</v>
      </c>
      <c r="AX396" s="75">
        <f>INPUT!BW118</f>
        <v>242</v>
      </c>
      <c r="AY396" s="240">
        <f>INPUT!BX118</f>
        <v>2.9787234042553052</v>
      </c>
      <c r="AZ396" s="75">
        <f>INPUT!BY118</f>
        <v>262</v>
      </c>
      <c r="BA396" s="240">
        <f>INPUT!BZ118</f>
        <v>5.6451612903225765</v>
      </c>
      <c r="BB396" s="75">
        <f>INPUT!CA118</f>
        <v>260</v>
      </c>
      <c r="BC396" s="240">
        <f>INPUT!CB118</f>
        <v>1.9607843137254832</v>
      </c>
      <c r="BD396" s="75">
        <f>INPUT!CC118</f>
        <v>261</v>
      </c>
      <c r="BE396" s="240">
        <f>INPUT!CD118</f>
        <v>12.017167381974247</v>
      </c>
      <c r="BF396" s="75">
        <f>INPUT!CE118</f>
        <v>235</v>
      </c>
      <c r="BG396" s="240">
        <f>INPUT!CF118</f>
        <v>-2.8925619834710687</v>
      </c>
      <c r="BH396" s="75">
        <f>INPUT!CG118</f>
        <v>233</v>
      </c>
      <c r="BI396" s="240">
        <f>INPUT!CH118</f>
        <v>-11.068702290076331</v>
      </c>
      <c r="BJ396" s="75">
        <f>INPUT!CI118</f>
        <v>229</v>
      </c>
      <c r="BK396" s="240">
        <f>INPUT!CJ118</f>
        <v>-11.92307692307692</v>
      </c>
      <c r="BL396" s="75">
        <f>INPUT!CK118</f>
        <v>230</v>
      </c>
      <c r="BM396" s="240">
        <f>INPUT!CL118</f>
        <v>-11.877394636015325</v>
      </c>
      <c r="BN396" s="75">
        <f>INPUT!CM118</f>
        <v>219</v>
      </c>
      <c r="BO396" s="240">
        <f>INPUT!CN118</f>
        <v>-6.8085106382978751</v>
      </c>
      <c r="BP396" s="75">
        <f>INPUT!CO118</f>
        <v>239</v>
      </c>
      <c r="BQ396" s="240">
        <f>INPUT!CP118</f>
        <v>2.5751072961373467</v>
      </c>
      <c r="BR396" s="75">
        <f>INPUT!CQ118</f>
        <v>242</v>
      </c>
      <c r="BS396" s="240">
        <f>INPUT!CR118</f>
        <v>5.6768558951965105</v>
      </c>
      <c r="BT396" s="75">
        <f>INPUT!CS118</f>
        <v>243</v>
      </c>
      <c r="BU396" s="240">
        <f>INPUT!CT118</f>
        <v>5.6521739130434696</v>
      </c>
      <c r="BV396" s="75">
        <f>INPUT!CU118</f>
        <v>249</v>
      </c>
      <c r="BW396" s="240">
        <f>INPUT!CV118</f>
        <v>13.69863013698631</v>
      </c>
      <c r="BX396" s="75">
        <f>INPUT!CW118</f>
        <v>257</v>
      </c>
      <c r="BY396" s="240">
        <f>INPUT!CX118</f>
        <v>7.5313807531380803</v>
      </c>
      <c r="BZ396" s="75">
        <f>INPUT!CY118</f>
        <v>268</v>
      </c>
      <c r="CA396" s="240">
        <f>INPUT!CZ118</f>
        <v>10.743801652892571</v>
      </c>
      <c r="CB396" s="75">
        <f>INPUT!DA118</f>
        <v>340</v>
      </c>
      <c r="CC396" s="240">
        <f>INPUT!DB118</f>
        <v>39.91769547325103</v>
      </c>
      <c r="CD396" s="75">
        <f>INPUT!DC118</f>
        <v>469</v>
      </c>
      <c r="CE396" s="240">
        <f>INPUT!DD118</f>
        <v>88.353413654618493</v>
      </c>
      <c r="CF396" s="75">
        <f>INPUT!DE118</f>
        <v>454</v>
      </c>
      <c r="CG396" s="240">
        <f>INPUT!DF118</f>
        <v>76.653696498054472</v>
      </c>
      <c r="CH396" s="75">
        <f>INPUT!DG118</f>
        <v>435</v>
      </c>
      <c r="CI396" s="240">
        <f>INPUT!DH118</f>
        <v>62.31343283582089</v>
      </c>
      <c r="CJ396" s="75">
        <f>INPUT!DI118</f>
        <v>445</v>
      </c>
      <c r="CK396" s="240">
        <f>INPUT!DJ118</f>
        <v>30.882352941176464</v>
      </c>
      <c r="CL396" s="75">
        <f>INPUT!DK118</f>
        <v>399</v>
      </c>
      <c r="CM396" s="240">
        <f>INPUT!DL118</f>
        <v>-14.925373134328353</v>
      </c>
      <c r="CN396" s="75">
        <f>INPUT!DM118</f>
        <v>394</v>
      </c>
      <c r="CO396" s="240">
        <f>INPUT!DN118</f>
        <v>-13.215859030837009</v>
      </c>
      <c r="CP396" s="75">
        <f>INPUT!DO118</f>
        <v>436</v>
      </c>
      <c r="CQ396" s="240">
        <f>INPUT!DP118</f>
        <v>0.22988505747125032</v>
      </c>
      <c r="CR396" s="75">
        <f>INPUT!DQ118</f>
        <v>422</v>
      </c>
      <c r="CS396" s="240">
        <f>INPUT!DR118</f>
        <v>-5.168539325842687</v>
      </c>
      <c r="CT396" s="75">
        <f>INPUT!DS118</f>
        <v>384</v>
      </c>
      <c r="CU396" s="240">
        <f>INPUT!DT118</f>
        <v>-3.7593984962406068</v>
      </c>
      <c r="CV396" s="75">
        <f>INPUT!DU118</f>
        <v>362</v>
      </c>
      <c r="CW396" s="240">
        <f>INPUT!DV118</f>
        <v>-8.1218274111675157</v>
      </c>
      <c r="CX396" s="75">
        <f>INPUT!DW118</f>
        <v>431</v>
      </c>
      <c r="CY396" s="240">
        <f>INPUT!DX118</f>
        <v>-1.1467889908256836</v>
      </c>
      <c r="CZ396" s="75">
        <f>INPUT!DY118</f>
        <v>466</v>
      </c>
      <c r="DA396" s="240">
        <f>INPUT!DZ118</f>
        <v>10.426540284360186</v>
      </c>
      <c r="DB396" s="75">
        <f>INPUT!EA118</f>
        <v>412</v>
      </c>
      <c r="DC396" s="240">
        <f>INPUT!EB118</f>
        <v>7.2916666666666714</v>
      </c>
      <c r="DD396" s="75">
        <f>INPUT!EC118</f>
        <v>467</v>
      </c>
      <c r="DE396" s="240">
        <f>INPUT!ED118</f>
        <v>29.005524861878456</v>
      </c>
      <c r="DF396" s="75">
        <f>INPUT!EE118</f>
        <v>450</v>
      </c>
      <c r="DG396" s="240">
        <f>INPUT!EF118</f>
        <v>4.4083526682134675</v>
      </c>
      <c r="DH396" s="75">
        <f>INPUT!EG118</f>
        <v>490</v>
      </c>
      <c r="DI396" s="240">
        <f>INPUT!EH118</f>
        <v>5.1502145922746649</v>
      </c>
      <c r="DJ396" s="75">
        <f>INPUT!EI118</f>
        <v>465</v>
      </c>
      <c r="DK396" s="240">
        <f>INPUT!EJ118</f>
        <v>12.864077669902912</v>
      </c>
      <c r="DL396" s="75">
        <f>INPUT!EK118</f>
        <v>490</v>
      </c>
      <c r="DM396" s="240">
        <f>INPUT!EL118</f>
        <v>4.925053533190578</v>
      </c>
      <c r="DN396" s="75">
        <f>INPUT!EM118</f>
        <v>451</v>
      </c>
      <c r="DO396" s="240">
        <f>INPUT!EN118</f>
        <v>0.22222222222221433</v>
      </c>
      <c r="DP396" s="75">
        <f>INPUT!EO118</f>
        <v>464</v>
      </c>
      <c r="DQ396" s="240">
        <f>INPUT!EP118</f>
        <v>-5.3061224489795933</v>
      </c>
      <c r="DR396" s="75">
        <f>INPUT!EQ118</f>
        <v>487.88512500000002</v>
      </c>
      <c r="DS396" s="240">
        <f>INPUT!ER118</f>
        <v>4.9215322580645022</v>
      </c>
      <c r="DT396" s="75">
        <f>INPUT!ES118</f>
        <v>428.85342500000002</v>
      </c>
      <c r="DU396" s="240">
        <f>INPUT!ET118</f>
        <v>-12.478892857142853</v>
      </c>
      <c r="DV396" s="75">
        <f>INPUT!EU118</f>
        <v>476.78198425000005</v>
      </c>
      <c r="DW396" s="240">
        <f>INPUT!EV118</f>
        <v>5.7166262195122073</v>
      </c>
      <c r="DX396" s="75">
        <f>INPUT!EW118</f>
        <v>497.95784111699999</v>
      </c>
      <c r="DY396" s="240">
        <f>INPUT!EX118</f>
        <v>7.318500240732746</v>
      </c>
      <c r="DZ396" s="75"/>
      <c r="EA396" s="240"/>
      <c r="EB396" s="155">
        <f>INPUT!FI118</f>
        <v>-16.587677725118482</v>
      </c>
      <c r="EC396" s="75">
        <f>INPUT!FJ118</f>
        <v>720</v>
      </c>
      <c r="ED396" s="155">
        <f>INPUT!FK118</f>
        <v>-18.181818181818173</v>
      </c>
      <c r="EE396" s="75">
        <f>INPUT!FL118</f>
        <v>747</v>
      </c>
      <c r="EF396" s="155">
        <f>INPUT!FM118</f>
        <v>3.7500000000000142</v>
      </c>
      <c r="EG396" s="75">
        <f>INPUT!FN118</f>
        <v>931</v>
      </c>
      <c r="EH396" s="155">
        <f>INPUT!FO118</f>
        <v>24.631860776439083</v>
      </c>
      <c r="EI396" s="75">
        <f>INPUT!FP118</f>
        <v>835</v>
      </c>
      <c r="EJ396" s="240">
        <f>INPUT!FQ118</f>
        <v>-10.311493018259938</v>
      </c>
      <c r="EK396" s="75">
        <f>INPUT!FR118</f>
        <v>873</v>
      </c>
      <c r="EL396" s="240">
        <f>INPUT!FS118</f>
        <v>4.5508982035928227</v>
      </c>
      <c r="EM396" s="75">
        <f>INPUT!FT118</f>
        <v>981</v>
      </c>
      <c r="EN396" s="240">
        <f>INPUT!FU118</f>
        <v>12.371134020618555</v>
      </c>
      <c r="EO396" s="75">
        <f>INPUT!FV118</f>
        <v>971</v>
      </c>
      <c r="EP396" s="240">
        <f>INPUT!FW118</f>
        <v>-1.0193679918450584</v>
      </c>
      <c r="EQ396" s="75">
        <f>INPUT!FX118</f>
        <v>1025</v>
      </c>
      <c r="ER396" s="240">
        <f>INPUT!FY118</f>
        <v>5.5612770339855899</v>
      </c>
      <c r="ES396" s="75">
        <f>INPUT!FZ118</f>
        <v>927</v>
      </c>
      <c r="ET396" s="240">
        <f>INPUT!GA118</f>
        <v>-9.5609756097560989</v>
      </c>
      <c r="EU396" s="75">
        <f>INPUT!GB118</f>
        <v>943</v>
      </c>
      <c r="EV396" s="240">
        <f>INPUT!GC118</f>
        <v>1.7259978425026929</v>
      </c>
      <c r="EW396" s="75">
        <f>INPUT!GD118</f>
        <v>1114</v>
      </c>
      <c r="EX396" s="240">
        <f>INPUT!GE118</f>
        <v>18.133616118769893</v>
      </c>
      <c r="EY396" s="75">
        <f>INPUT!GF118</f>
        <v>1803</v>
      </c>
      <c r="EZ396" s="240">
        <f>INPUT!GG118</f>
        <v>61.849192100538602</v>
      </c>
      <c r="FA396" s="75">
        <f>INPUT!GH118</f>
        <v>1651</v>
      </c>
      <c r="FB396" s="240">
        <f>INPUT!GI118</f>
        <v>-8.4303937881308997</v>
      </c>
      <c r="FC396" s="75">
        <f>INPUT!GJ118</f>
        <v>1643</v>
      </c>
      <c r="FD396" s="240">
        <f>INPUT!GK118</f>
        <v>-0.48455481526346489</v>
      </c>
      <c r="FE396" s="75">
        <f>INPUT!GL118</f>
        <v>1819</v>
      </c>
      <c r="FF396" s="240">
        <f>INPUT!GM118</f>
        <v>10.712111990261718</v>
      </c>
      <c r="FG396" s="75">
        <f>INPUT!GN118</f>
        <v>1870</v>
      </c>
      <c r="FH396" s="240">
        <f>INPUT!GO118</f>
        <v>2.803738317756995</v>
      </c>
      <c r="FI396" s="75">
        <f>INPUT!GP118</f>
        <v>1891.4783753670001</v>
      </c>
      <c r="FJ396" s="240">
        <f>INPUT!GQ118</f>
        <v>1.1485762228342367</v>
      </c>
      <c r="FK396" s="75">
        <f>INPUT!GR118</f>
        <v>1986.8183893752869</v>
      </c>
      <c r="FL396" s="240">
        <f>INPUT!GS118</f>
        <v>5.040502458284152</v>
      </c>
      <c r="FM396" s="75">
        <f>INPUT!GT118</f>
        <v>2087.1528566835218</v>
      </c>
      <c r="FN396" s="240">
        <f>INPUT!GU118</f>
        <v>5.0500069782313091</v>
      </c>
      <c r="FO396" s="75">
        <f>INPUT!GV118</f>
        <v>2192.7524065880793</v>
      </c>
      <c r="FP396" s="240">
        <f>INPUT!GW118</f>
        <v>5.0595024493009504</v>
      </c>
      <c r="FQ396" s="75">
        <f>INPUT!GX118</f>
        <v>2303.902744627052</v>
      </c>
      <c r="FR396" s="240">
        <f>INPUT!GY118</f>
        <v>5.0689871644889593</v>
      </c>
      <c r="FS396" s="240">
        <f>INPUT!GZ118</f>
        <v>4.2616292375307285</v>
      </c>
    </row>
    <row r="397" spans="1:175" ht="12.75" hidden="1" customHeight="1" outlineLevel="1" x14ac:dyDescent="0.2">
      <c r="A397" s="77" t="str">
        <f>INPUT!B119</f>
        <v>Net DAC</v>
      </c>
      <c r="B397" s="75">
        <f>INPUT!AA119</f>
        <v>-10</v>
      </c>
      <c r="C397" s="155">
        <f>INPUT!AB119</f>
        <v>-23.076923076923066</v>
      </c>
      <c r="D397" s="75">
        <f>INPUT!AC119</f>
        <v>-25</v>
      </c>
      <c r="E397" s="155">
        <f>INPUT!AD119</f>
        <v>47.058823529411768</v>
      </c>
      <c r="F397" s="75">
        <f>INPUT!AE119</f>
        <v>-12</v>
      </c>
      <c r="G397" s="155" t="str">
        <f>INPUT!AF119</f>
        <v>NM</v>
      </c>
      <c r="H397" s="75">
        <f>INPUT!AG119</f>
        <v>-52</v>
      </c>
      <c r="I397" s="155" t="str">
        <f>INPUT!AH119</f>
        <v>NM</v>
      </c>
      <c r="J397" s="75">
        <f>INPUT!AI119</f>
        <v>-7</v>
      </c>
      <c r="K397" s="155">
        <f>INPUT!AJ119</f>
        <v>-30</v>
      </c>
      <c r="L397" s="75">
        <f>INPUT!AK119</f>
        <v>-7</v>
      </c>
      <c r="M397" s="155" t="str">
        <f>INPUT!AL119</f>
        <v>NM</v>
      </c>
      <c r="N397" s="75">
        <f>INPUT!AM119</f>
        <v>3</v>
      </c>
      <c r="O397" s="155" t="str">
        <f>INPUT!AN119</f>
        <v>NM</v>
      </c>
      <c r="P397" s="75">
        <f>INPUT!AO119</f>
        <v>-26</v>
      </c>
      <c r="Q397" s="155">
        <f>INPUT!AP119</f>
        <v>-50</v>
      </c>
      <c r="R397" s="75">
        <f>INPUT!AQ119</f>
        <v>-2</v>
      </c>
      <c r="S397" s="155" t="str">
        <f>INPUT!AR119</f>
        <v>NM</v>
      </c>
      <c r="T397" s="75">
        <f>INPUT!AS119</f>
        <v>-9</v>
      </c>
      <c r="U397" s="155">
        <f>INPUT!AT119</f>
        <v>28.571428571428584</v>
      </c>
      <c r="V397" s="75">
        <f>INPUT!AU119</f>
        <v>73</v>
      </c>
      <c r="W397" s="155" t="str">
        <f>INPUT!AV119</f>
        <v>NM</v>
      </c>
      <c r="X397" s="75">
        <f>INPUT!AW119</f>
        <v>-7</v>
      </c>
      <c r="Y397" s="155" t="str">
        <f>INPUT!AX119</f>
        <v>NM</v>
      </c>
      <c r="Z397" s="75">
        <f>INPUT!AY119</f>
        <v>-6</v>
      </c>
      <c r="AA397" s="155" t="str">
        <f>INPUT!AZ119</f>
        <v>NM</v>
      </c>
      <c r="AB397" s="75">
        <f>INPUT!BA119</f>
        <v>8</v>
      </c>
      <c r="AC397" s="155" t="str">
        <f>INPUT!BB119</f>
        <v>NM</v>
      </c>
      <c r="AD397" s="75">
        <f>INPUT!BC119</f>
        <v>-311</v>
      </c>
      <c r="AE397" s="155" t="str">
        <f>INPUT!BD119</f>
        <v>NM</v>
      </c>
      <c r="AF397" s="75">
        <f>INPUT!BE119</f>
        <v>-40</v>
      </c>
      <c r="AG397" s="155" t="str">
        <f>INPUT!BF119</f>
        <v>NM</v>
      </c>
      <c r="AH397" s="75">
        <f>INPUT!BG119</f>
        <v>-25</v>
      </c>
      <c r="AI397" s="240" t="str">
        <f>INPUT!BH119</f>
        <v>NM</v>
      </c>
      <c r="AJ397" s="75">
        <f>INPUT!BI119</f>
        <v>-51</v>
      </c>
      <c r="AK397" s="240" t="str">
        <f>INPUT!BJ119</f>
        <v>NM</v>
      </c>
      <c r="AL397" s="75">
        <f>INPUT!BK119</f>
        <v>-183</v>
      </c>
      <c r="AM397" s="240">
        <f>INPUT!BL119</f>
        <v>-41.157556270096464</v>
      </c>
      <c r="AN397" s="75">
        <f>INPUT!BM119</f>
        <v>-29</v>
      </c>
      <c r="AO397" s="240">
        <f>INPUT!BN119</f>
        <v>-27.5</v>
      </c>
      <c r="AP397" s="75">
        <f>INPUT!BO119</f>
        <v>3</v>
      </c>
      <c r="AQ397" s="240" t="str">
        <f>INPUT!BP119</f>
        <v>NM</v>
      </c>
      <c r="AR397" s="75">
        <f>INPUT!BQ119</f>
        <v>-30</v>
      </c>
      <c r="AS397" s="240">
        <f>INPUT!BR119</f>
        <v>-41.17647058823529</v>
      </c>
      <c r="AT397" s="75">
        <f>INPUT!BS119</f>
        <v>-151</v>
      </c>
      <c r="AU397" s="240">
        <f>INPUT!BT119</f>
        <v>-17.486338797814199</v>
      </c>
      <c r="AV397" s="75">
        <f>INPUT!BU119</f>
        <v>105</v>
      </c>
      <c r="AW397" s="240" t="str">
        <f>INPUT!BV119</f>
        <v>NM</v>
      </c>
      <c r="AX397" s="75">
        <f>INPUT!BW119</f>
        <v>13</v>
      </c>
      <c r="AY397" s="240" t="str">
        <f>INPUT!BX119</f>
        <v>NM</v>
      </c>
      <c r="AZ397" s="75">
        <f>INPUT!BY119</f>
        <v>-59</v>
      </c>
      <c r="BA397" s="240">
        <f>INPUT!BZ119</f>
        <v>96.666666666666657</v>
      </c>
      <c r="BB397" s="75">
        <f>INPUT!CA119</f>
        <v>-226</v>
      </c>
      <c r="BC397" s="240">
        <f>INPUT!CB119</f>
        <v>49.66887417218544</v>
      </c>
      <c r="BD397" s="75">
        <f>INPUT!CC119</f>
        <v>-33</v>
      </c>
      <c r="BE397" s="240" t="str">
        <f>INPUT!CD119</f>
        <v>NM</v>
      </c>
      <c r="BF397" s="75">
        <f>INPUT!CE119</f>
        <v>-47</v>
      </c>
      <c r="BG397" s="240" t="str">
        <f>INPUT!CF119</f>
        <v>NM</v>
      </c>
      <c r="BH397" s="75">
        <f>INPUT!CG119</f>
        <v>34</v>
      </c>
      <c r="BI397" s="240" t="str">
        <f>INPUT!CH119</f>
        <v>NM</v>
      </c>
      <c r="BJ397" s="75">
        <f>INPUT!CI119</f>
        <v>-129</v>
      </c>
      <c r="BK397" s="240">
        <f>INPUT!CJ119</f>
        <v>-42.920353982300888</v>
      </c>
      <c r="BL397" s="75">
        <f>INPUT!CK119</f>
        <v>-16</v>
      </c>
      <c r="BM397" s="240" t="str">
        <f>INPUT!CL119</f>
        <v>NM</v>
      </c>
      <c r="BN397" s="75">
        <f>INPUT!CM119</f>
        <v>-5</v>
      </c>
      <c r="BO397" s="240" t="str">
        <f>INPUT!CN119</f>
        <v>NM</v>
      </c>
      <c r="BP397" s="75">
        <f>INPUT!CO119</f>
        <v>-1</v>
      </c>
      <c r="BQ397" s="240" t="str">
        <f>INPUT!CP119</f>
        <v>NM</v>
      </c>
      <c r="BR397" s="75">
        <f>INPUT!CQ119</f>
        <v>-138</v>
      </c>
      <c r="BS397" s="240">
        <f>INPUT!CR119</f>
        <v>6.9767441860465027</v>
      </c>
      <c r="BT397" s="75">
        <f>INPUT!CS119</f>
        <v>-38</v>
      </c>
      <c r="BU397" s="240" t="str">
        <f>INPUT!CT119</f>
        <v>NM</v>
      </c>
      <c r="BV397" s="75">
        <f>INPUT!CU119</f>
        <v>-33</v>
      </c>
      <c r="BW397" s="240" t="str">
        <f>INPUT!CV119</f>
        <v>NM</v>
      </c>
      <c r="BX397" s="75">
        <f>INPUT!CW119</f>
        <v>-24</v>
      </c>
      <c r="BY397" s="240" t="str">
        <f>INPUT!CX119</f>
        <v>NM</v>
      </c>
      <c r="BZ397" s="75">
        <f>INPUT!CY119</f>
        <v>106</v>
      </c>
      <c r="CA397" s="240" t="str">
        <f>INPUT!CZ119</f>
        <v>NM</v>
      </c>
      <c r="CB397" s="75">
        <f>INPUT!DA119</f>
        <v>-66</v>
      </c>
      <c r="CC397" s="240">
        <f>INPUT!DB119</f>
        <v>73.684210526315809</v>
      </c>
      <c r="CD397" s="75">
        <f>INPUT!DC119</f>
        <v>-149</v>
      </c>
      <c r="CE397" s="240" t="str">
        <f>INPUT!DD119</f>
        <v>NM</v>
      </c>
      <c r="CF397" s="75">
        <f>INPUT!DE119</f>
        <v>-89</v>
      </c>
      <c r="CG397" s="240" t="str">
        <f>INPUT!DF119</f>
        <v>NM</v>
      </c>
      <c r="CH397" s="75">
        <f>INPUT!DG119</f>
        <v>-286</v>
      </c>
      <c r="CI397" s="240" t="str">
        <f>INPUT!DH119</f>
        <v>NM</v>
      </c>
      <c r="CJ397" s="75">
        <f>INPUT!DI119</f>
        <v>-127</v>
      </c>
      <c r="CK397" s="240">
        <f>INPUT!DJ119</f>
        <v>92.424242424242436</v>
      </c>
      <c r="CL397" s="75">
        <f>INPUT!DK119</f>
        <v>-47</v>
      </c>
      <c r="CM397" s="240" t="str">
        <f>INPUT!DL119</f>
        <v>NM</v>
      </c>
      <c r="CN397" s="75">
        <f>INPUT!DM119</f>
        <v>-32</v>
      </c>
      <c r="CO397" s="240" t="str">
        <f>INPUT!DN119</f>
        <v>NM</v>
      </c>
      <c r="CP397" s="75">
        <f>INPUT!DO119</f>
        <v>-98</v>
      </c>
      <c r="CQ397" s="240" t="str">
        <f>INPUT!DP119</f>
        <v>NM</v>
      </c>
      <c r="CR397" s="75">
        <f>INPUT!DQ119</f>
        <v>-25</v>
      </c>
      <c r="CS397" s="240" t="str">
        <f>INPUT!DR119</f>
        <v>NM</v>
      </c>
      <c r="CT397" s="75">
        <f>INPUT!DS119</f>
        <v>-53</v>
      </c>
      <c r="CU397" s="240">
        <f>INPUT!DT119</f>
        <v>12.7659574468085</v>
      </c>
      <c r="CV397" s="75">
        <f>INPUT!DU119</f>
        <v>-276</v>
      </c>
      <c r="CW397" s="240" t="str">
        <f>INPUT!DV119</f>
        <v>NM</v>
      </c>
      <c r="CX397" s="75">
        <f>INPUT!DW119</f>
        <v>-69</v>
      </c>
      <c r="CY397" s="240">
        <f>INPUT!DX119</f>
        <v>-29.591836734693871</v>
      </c>
      <c r="CZ397" s="75">
        <f>INPUT!DY119</f>
        <v>-119</v>
      </c>
      <c r="DA397" s="240" t="str">
        <f>INPUT!DZ119</f>
        <v>NM</v>
      </c>
      <c r="DB397" s="75">
        <f>INPUT!EA119</f>
        <v>-85</v>
      </c>
      <c r="DC397" s="240">
        <f>INPUT!EB119</f>
        <v>60.377358490566053</v>
      </c>
      <c r="DD397" s="75">
        <f>INPUT!EC119</f>
        <v>-285</v>
      </c>
      <c r="DE397" s="240">
        <f>INPUT!ED119</f>
        <v>3.2608695652173765</v>
      </c>
      <c r="DF397" s="75">
        <f>INPUT!EE119</f>
        <v>-87</v>
      </c>
      <c r="DG397" s="240">
        <f>INPUT!EF119</f>
        <v>26.08695652173914</v>
      </c>
      <c r="DH397" s="75">
        <f>INPUT!EG119</f>
        <v>-134</v>
      </c>
      <c r="DI397" s="240">
        <f>INPUT!EH119</f>
        <v>12.605042016806721</v>
      </c>
      <c r="DJ397" s="75">
        <f>INPUT!EI119</f>
        <v>-112</v>
      </c>
      <c r="DK397" s="240">
        <f>INPUT!EJ119</f>
        <v>31.764705882352928</v>
      </c>
      <c r="DL397" s="75">
        <f>INPUT!EK119</f>
        <v>92</v>
      </c>
      <c r="DM397" s="240" t="str">
        <f>INPUT!EL119</f>
        <v>NM</v>
      </c>
      <c r="DN397" s="75">
        <f>INPUT!EM119</f>
        <v>-90</v>
      </c>
      <c r="DO397" s="240">
        <f>INPUT!EN119</f>
        <v>3.448275862068968</v>
      </c>
      <c r="DP397" s="75">
        <f>INPUT!EO119</f>
        <v>-98</v>
      </c>
      <c r="DQ397" s="240">
        <f>INPUT!EP119</f>
        <v>-26.865671641791039</v>
      </c>
      <c r="DR397" s="75">
        <f>INPUT!EQ119</f>
        <v>-98.165851875000001</v>
      </c>
      <c r="DS397" s="240">
        <f>INPUT!ER119</f>
        <v>-12.351917968750001</v>
      </c>
      <c r="DT397" s="75">
        <f>INPUT!ES119</f>
        <v>-86.28826671982759</v>
      </c>
      <c r="DU397" s="240" t="str">
        <f>INPUT!ET119</f>
        <v>NM</v>
      </c>
      <c r="DV397" s="75">
        <f>INPUT!EU119</f>
        <v>-95.931823382715521</v>
      </c>
      <c r="DW397" s="240">
        <f>INPUT!EV119</f>
        <v>6.5909148696838997</v>
      </c>
      <c r="DX397" s="75">
        <f>INPUT!EW119</f>
        <v>-100.19255182474809</v>
      </c>
      <c r="DY397" s="240">
        <f>INPUT!EX119</f>
        <v>2.2372977803551919</v>
      </c>
      <c r="DZ397" s="75"/>
      <c r="EA397" s="240"/>
      <c r="EB397" s="155">
        <f>INPUT!FI119</f>
        <v>-34.285714285714292</v>
      </c>
      <c r="EC397" s="75">
        <f>INPUT!FJ119</f>
        <v>-22</v>
      </c>
      <c r="ED397" s="155" t="str">
        <f>INPUT!FK119</f>
        <v>NM</v>
      </c>
      <c r="EE397" s="75">
        <f>INPUT!FL119</f>
        <v>-99</v>
      </c>
      <c r="EF397" s="155" t="str">
        <f>INPUT!FM119</f>
        <v>NM</v>
      </c>
      <c r="EG397" s="75">
        <f>INPUT!FN119</f>
        <v>-37</v>
      </c>
      <c r="EH397" s="155" t="str">
        <f>INPUT!FO119</f>
        <v>NM</v>
      </c>
      <c r="EI397" s="75">
        <f>INPUT!FP119</f>
        <v>55</v>
      </c>
      <c r="EJ397" s="240" t="str">
        <f>INPUT!FQ119</f>
        <v>NM</v>
      </c>
      <c r="EK397" s="75">
        <f>INPUT!FR119</f>
        <v>-349</v>
      </c>
      <c r="EL397" s="240" t="str">
        <f>INPUT!FS119</f>
        <v>NM</v>
      </c>
      <c r="EM397" s="75">
        <f>INPUT!FT119</f>
        <v>-288</v>
      </c>
      <c r="EN397" s="240">
        <f>INPUT!FU119</f>
        <v>-17.47851002865329</v>
      </c>
      <c r="EO397" s="75">
        <f>INPUT!FV119</f>
        <v>-90</v>
      </c>
      <c r="EP397" s="240" t="str">
        <f>INPUT!FW119</f>
        <v>NM</v>
      </c>
      <c r="EQ397" s="75">
        <f>INPUT!FX119</f>
        <v>-258</v>
      </c>
      <c r="ER397" s="240" t="str">
        <f>INPUT!FY119</f>
        <v>NM</v>
      </c>
      <c r="ES397" s="75">
        <f>INPUT!FZ119</f>
        <v>-158</v>
      </c>
      <c r="ET397" s="240">
        <f>INPUT!GA119</f>
        <v>-38.759689922480625</v>
      </c>
      <c r="EU397" s="75">
        <f>INPUT!GB119</f>
        <v>-182</v>
      </c>
      <c r="EV397" s="240">
        <f>INPUT!GC119</f>
        <v>15.189873417721515</v>
      </c>
      <c r="EW397" s="75">
        <f>INPUT!GD119</f>
        <v>-17</v>
      </c>
      <c r="EX397" s="240" t="str">
        <f>INPUT!GE119</f>
        <v>NM</v>
      </c>
      <c r="EY397" s="75">
        <f>INPUT!GF119</f>
        <v>-651</v>
      </c>
      <c r="EZ397" s="240" t="str">
        <f>INPUT!GG119</f>
        <v>NM</v>
      </c>
      <c r="FA397" s="75">
        <f>INPUT!GH119</f>
        <v>-202</v>
      </c>
      <c r="FB397" s="240" t="str">
        <f>INPUT!GI119</f>
        <v>NM</v>
      </c>
      <c r="FC397" s="75">
        <f>INPUT!GJ119</f>
        <v>-517</v>
      </c>
      <c r="FD397" s="240" t="str">
        <f>INPUT!GK119</f>
        <v>NM</v>
      </c>
      <c r="FE397" s="75">
        <f>INPUT!GL119</f>
        <v>-591</v>
      </c>
      <c r="FF397" s="240">
        <f>INPUT!GM119</f>
        <v>14.313346228239851</v>
      </c>
      <c r="FG397" s="75">
        <f>INPUT!GN119</f>
        <v>-208</v>
      </c>
      <c r="FH397" s="240" t="str">
        <f>INPUT!GO119</f>
        <v>NM</v>
      </c>
      <c r="FI397" s="75">
        <f>INPUT!GP119</f>
        <v>-380.57849380229118</v>
      </c>
      <c r="FJ397" s="240">
        <f>INPUT!GQ119</f>
        <v>82.970429712639998</v>
      </c>
      <c r="FK397" s="75">
        <f>INPUT!GR119</f>
        <v>-399.76156213809639</v>
      </c>
      <c r="FL397" s="240">
        <f>INPUT!GS119</f>
        <v>5.0405024582841378</v>
      </c>
      <c r="FM397" s="75">
        <f>INPUT!GT119</f>
        <v>-419.94954892235677</v>
      </c>
      <c r="FN397" s="240">
        <f>INPUT!GU119</f>
        <v>5.0500069782313091</v>
      </c>
      <c r="FO397" s="75">
        <f>INPUT!GV119</f>
        <v>-441.19690663591172</v>
      </c>
      <c r="FP397" s="240">
        <f>INPUT!GW119</f>
        <v>5.0595024493009504</v>
      </c>
      <c r="FQ397" s="75">
        <f>INPUT!GX119</f>
        <v>-463.56112120340845</v>
      </c>
      <c r="FR397" s="240">
        <f>INPUT!GY119</f>
        <v>5.0689871644889593</v>
      </c>
      <c r="FS397" s="240">
        <f>INPUT!GZ119</f>
        <v>17.383953888212144</v>
      </c>
    </row>
    <row r="398" spans="1:175" ht="12.75" hidden="1" customHeight="1" outlineLevel="1" x14ac:dyDescent="0.2">
      <c r="A398" s="70" t="str">
        <f>INPUT!B120</f>
        <v>Total Benefits and Expenses</v>
      </c>
      <c r="B398" s="91">
        <f>INPUT!AA120</f>
        <v>377</v>
      </c>
      <c r="C398" s="155">
        <f>INPUT!AB120</f>
        <v>15.644171779141104</v>
      </c>
      <c r="D398" s="91">
        <f>INPUT!AC120</f>
        <v>373</v>
      </c>
      <c r="E398" s="155">
        <f>INPUT!AD120</f>
        <v>14.769230769230774</v>
      </c>
      <c r="F398" s="91">
        <f>INPUT!AE120</f>
        <v>392</v>
      </c>
      <c r="G398" s="155">
        <f>INPUT!AF120</f>
        <v>3.1578947368421098</v>
      </c>
      <c r="H398" s="91">
        <f>INPUT!AG120</f>
        <v>445</v>
      </c>
      <c r="I398" s="155">
        <f>INPUT!AH120</f>
        <v>-11</v>
      </c>
      <c r="J398" s="91">
        <f>INPUT!AI120</f>
        <v>414</v>
      </c>
      <c r="K398" s="155">
        <f>INPUT!AJ120</f>
        <v>9.8143236074270703</v>
      </c>
      <c r="L398" s="91">
        <f>INPUT!AK120</f>
        <v>409</v>
      </c>
      <c r="M398" s="155">
        <f>INPUT!AL120</f>
        <v>9.6514745308311092</v>
      </c>
      <c r="N398" s="91">
        <f>INPUT!AM120</f>
        <v>429</v>
      </c>
      <c r="O398" s="155">
        <f>INPUT!AN120</f>
        <v>9.4387755102040956</v>
      </c>
      <c r="P398" s="91">
        <f>INPUT!AO120</f>
        <v>431</v>
      </c>
      <c r="Q398" s="155">
        <f>INPUT!AP120</f>
        <v>-3.1460674157303288</v>
      </c>
      <c r="R398" s="91">
        <f>INPUT!AQ120</f>
        <v>415</v>
      </c>
      <c r="S398" s="155">
        <f>INPUT!AR120</f>
        <v>0.24154589371980251</v>
      </c>
      <c r="T398" s="91">
        <f>INPUT!AS120</f>
        <v>429</v>
      </c>
      <c r="U398" s="155">
        <f>INPUT!AT120</f>
        <v>4.8899755501222444</v>
      </c>
      <c r="V398" s="91">
        <f>INPUT!AU120</f>
        <v>482</v>
      </c>
      <c r="W398" s="155">
        <f>INPUT!AV120</f>
        <v>12.354312354312341</v>
      </c>
      <c r="X398" s="91">
        <f>INPUT!AW120</f>
        <v>438</v>
      </c>
      <c r="Y398" s="155">
        <f>INPUT!AX120</f>
        <v>1.6241299303944174</v>
      </c>
      <c r="Z398" s="91">
        <f>INPUT!AY120</f>
        <v>426</v>
      </c>
      <c r="AA398" s="155">
        <f>INPUT!AZ120</f>
        <v>2.6506024096385516</v>
      </c>
      <c r="AB398" s="91">
        <f>INPUT!BA120</f>
        <v>489</v>
      </c>
      <c r="AC398" s="155">
        <f>INPUT!BB120</f>
        <v>13.986013986013972</v>
      </c>
      <c r="AD398" s="91">
        <f>INPUT!BC120</f>
        <v>284</v>
      </c>
      <c r="AE398" s="155">
        <f>INPUT!BD120</f>
        <v>-41.078838174273855</v>
      </c>
      <c r="AF398" s="91">
        <f>INPUT!BE120</f>
        <v>473</v>
      </c>
      <c r="AG398" s="155">
        <f>INPUT!BF120</f>
        <v>7.9908675799086808</v>
      </c>
      <c r="AH398" s="91">
        <f>INPUT!BG120</f>
        <v>530</v>
      </c>
      <c r="AI398" s="240">
        <f>INPUT!BH120</f>
        <v>24.413145539906097</v>
      </c>
      <c r="AJ398" s="91">
        <f>INPUT!BI120</f>
        <v>488</v>
      </c>
      <c r="AK398" s="240">
        <f>INPUT!BJ120</f>
        <v>-0.2044989775051107</v>
      </c>
      <c r="AL398" s="91">
        <f>INPUT!BK120</f>
        <v>421</v>
      </c>
      <c r="AM398" s="240">
        <f>INPUT!BL120</f>
        <v>48.239436619718305</v>
      </c>
      <c r="AN398" s="91">
        <f>INPUT!BM120</f>
        <v>541</v>
      </c>
      <c r="AO398" s="240">
        <f>INPUT!BN120</f>
        <v>14.376321353065549</v>
      </c>
      <c r="AP398" s="91">
        <f>INPUT!BO120</f>
        <v>584</v>
      </c>
      <c r="AQ398" s="240">
        <f>INPUT!BP120</f>
        <v>10.188679245283012</v>
      </c>
      <c r="AR398" s="91">
        <f>INPUT!BQ120</f>
        <v>573</v>
      </c>
      <c r="AS398" s="240">
        <f>INPUT!BR120</f>
        <v>17.418032786885249</v>
      </c>
      <c r="AT398" s="91">
        <f>INPUT!BS120</f>
        <v>444</v>
      </c>
      <c r="AU398" s="240">
        <f>INPUT!BT120</f>
        <v>5.4631828978622252</v>
      </c>
      <c r="AV398" s="91">
        <f>INPUT!BU120</f>
        <v>707</v>
      </c>
      <c r="AW398" s="240">
        <f>INPUT!BV120</f>
        <v>30.683918669131259</v>
      </c>
      <c r="AX398" s="91">
        <f>INPUT!BW120</f>
        <v>640</v>
      </c>
      <c r="AY398" s="240">
        <f>INPUT!BX120</f>
        <v>9.5890410958904084</v>
      </c>
      <c r="AZ398" s="91">
        <f>INPUT!BY120</f>
        <v>565</v>
      </c>
      <c r="BA398" s="240">
        <f>INPUT!BZ120</f>
        <v>-1.3961605584642172</v>
      </c>
      <c r="BB398" s="91">
        <f>INPUT!CA120</f>
        <v>413</v>
      </c>
      <c r="BC398" s="240">
        <f>INPUT!CB120</f>
        <v>-6.9819819819819742</v>
      </c>
      <c r="BD398" s="91">
        <f>INPUT!CC120</f>
        <v>588</v>
      </c>
      <c r="BE398" s="240">
        <f>INPUT!CD120</f>
        <v>-16.831683168316829</v>
      </c>
      <c r="BF398" s="91">
        <f>INPUT!CE120</f>
        <v>601</v>
      </c>
      <c r="BG398" s="240">
        <f>INPUT!CF120</f>
        <v>-6.09375</v>
      </c>
      <c r="BH398" s="91">
        <f>INPUT!CG120</f>
        <v>644</v>
      </c>
      <c r="BI398" s="240">
        <f>INPUT!CH120</f>
        <v>13.982300884955762</v>
      </c>
      <c r="BJ398" s="91">
        <f>INPUT!CI120</f>
        <v>483</v>
      </c>
      <c r="BK398" s="240">
        <f>INPUT!CJ120</f>
        <v>16.949152542372886</v>
      </c>
      <c r="BL398" s="91">
        <f>INPUT!CK120</f>
        <v>607</v>
      </c>
      <c r="BM398" s="240">
        <f>INPUT!CL120</f>
        <v>3.231292517006807</v>
      </c>
      <c r="BN398" s="91">
        <f>INPUT!CM120</f>
        <v>627</v>
      </c>
      <c r="BO398" s="240">
        <f>INPUT!CN120</f>
        <v>4.3261231281198036</v>
      </c>
      <c r="BP398" s="91">
        <f>INPUT!CO120</f>
        <v>628</v>
      </c>
      <c r="BQ398" s="240">
        <f>INPUT!CP120</f>
        <v>-2.4844720496894439</v>
      </c>
      <c r="BR398" s="91">
        <f>INPUT!CQ120</f>
        <v>532</v>
      </c>
      <c r="BS398" s="240">
        <f>INPUT!CR120</f>
        <v>10.14492753623189</v>
      </c>
      <c r="BT398" s="91">
        <f>INPUT!CS120</f>
        <v>631</v>
      </c>
      <c r="BU398" s="240">
        <f>INPUT!CT120</f>
        <v>3.9538714991762731</v>
      </c>
      <c r="BV398" s="91">
        <f>INPUT!CU120</f>
        <v>664</v>
      </c>
      <c r="BW398" s="240">
        <f>INPUT!CV120</f>
        <v>5.9011164274322141</v>
      </c>
      <c r="BX398" s="91">
        <f>INPUT!CW120</f>
        <v>742</v>
      </c>
      <c r="BY398" s="240">
        <f>INPUT!CX120</f>
        <v>18.152866242038229</v>
      </c>
      <c r="BZ398" s="91">
        <f>INPUT!CY120</f>
        <v>836</v>
      </c>
      <c r="CA398" s="240">
        <f>INPUT!CZ120</f>
        <v>57.142857142857139</v>
      </c>
      <c r="CB398" s="91">
        <f>INPUT!DA120</f>
        <v>741</v>
      </c>
      <c r="CC398" s="240">
        <f>INPUT!DB120</f>
        <v>17.432646592709972</v>
      </c>
      <c r="CD398" s="91">
        <f>INPUT!DC120</f>
        <v>1018</v>
      </c>
      <c r="CE398" s="240">
        <f>INPUT!DD120</f>
        <v>53.313253012048193</v>
      </c>
      <c r="CF398" s="91">
        <f>INPUT!DE120</f>
        <v>1071</v>
      </c>
      <c r="CG398" s="240">
        <f>INPUT!DF120</f>
        <v>44.339622641509436</v>
      </c>
      <c r="CH398" s="91">
        <f>INPUT!DG120</f>
        <v>893</v>
      </c>
      <c r="CI398" s="240">
        <f>INPUT!DH120</f>
        <v>6.818181818181813</v>
      </c>
      <c r="CJ398" s="91">
        <f>INPUT!DI120</f>
        <v>1055</v>
      </c>
      <c r="CK398" s="240">
        <f>INPUT!DJ120</f>
        <v>42.375168690958162</v>
      </c>
      <c r="CL398" s="91">
        <f>INPUT!DK120</f>
        <v>1171</v>
      </c>
      <c r="CM398" s="240">
        <f>INPUT!DL120</f>
        <v>15.029469548133605</v>
      </c>
      <c r="CN398" s="91">
        <f>INPUT!DM120</f>
        <v>1160</v>
      </c>
      <c r="CO398" s="240">
        <f>INPUT!DN120</f>
        <v>8.3099906629318383</v>
      </c>
      <c r="CP398" s="91">
        <f>INPUT!DO120</f>
        <v>1184</v>
      </c>
      <c r="CQ398" s="240">
        <f>INPUT!DP120</f>
        <v>32.586786114221724</v>
      </c>
      <c r="CR398" s="91">
        <f>INPUT!DQ120</f>
        <v>1213</v>
      </c>
      <c r="CS398" s="240">
        <f>INPUT!DR120</f>
        <v>14.976303317535539</v>
      </c>
      <c r="CT398" s="91">
        <f>INPUT!DS120</f>
        <v>1235</v>
      </c>
      <c r="CU398" s="240">
        <f>INPUT!DT120</f>
        <v>5.4654141759180135</v>
      </c>
      <c r="CV398" s="91">
        <f>INPUT!DU120</f>
        <v>923</v>
      </c>
      <c r="CW398" s="240">
        <f>INPUT!DV120</f>
        <v>-20.431034482758619</v>
      </c>
      <c r="CX398" s="91">
        <f>INPUT!DW120</f>
        <v>1192</v>
      </c>
      <c r="CY398" s="240">
        <f>INPUT!DX120</f>
        <v>0.67567567567567721</v>
      </c>
      <c r="CZ398" s="91">
        <f>INPUT!DY120</f>
        <v>1248</v>
      </c>
      <c r="DA398" s="240">
        <f>INPUT!DZ120</f>
        <v>2.8854080791426213</v>
      </c>
      <c r="DB398" s="91">
        <f>INPUT!EA120</f>
        <v>1246</v>
      </c>
      <c r="DC398" s="240">
        <f>INPUT!EB120</f>
        <v>0.89068825910931082</v>
      </c>
      <c r="DD398" s="91">
        <f>INPUT!EC120</f>
        <v>1445</v>
      </c>
      <c r="DE398" s="240">
        <f>INPUT!ED120</f>
        <v>56.554712892741065</v>
      </c>
      <c r="DF398" s="91">
        <f>INPUT!EE120</f>
        <v>1299</v>
      </c>
      <c r="DG398" s="240">
        <f>INPUT!EF120</f>
        <v>8.9765100671140914</v>
      </c>
      <c r="DH398" s="91">
        <f>INPUT!EG120</f>
        <v>1286</v>
      </c>
      <c r="DI398" s="240">
        <f>INPUT!EH120</f>
        <v>3.0448717948717814</v>
      </c>
      <c r="DJ398" s="91">
        <f>INPUT!EI120</f>
        <v>1327</v>
      </c>
      <c r="DK398" s="240">
        <f>INPUT!EJ120</f>
        <v>6.5008025682183046</v>
      </c>
      <c r="DL398" s="91">
        <f>INPUT!EK120</f>
        <v>1211</v>
      </c>
      <c r="DM398" s="240">
        <f>INPUT!EL120</f>
        <v>-16.193771626297575</v>
      </c>
      <c r="DN398" s="91">
        <f>INPUT!EM120</f>
        <v>1261</v>
      </c>
      <c r="DO398" s="240">
        <f>INPUT!EN120</f>
        <v>-2.9253271747498104</v>
      </c>
      <c r="DP398" s="91">
        <f>INPUT!EO120</f>
        <v>1366</v>
      </c>
      <c r="DQ398" s="240">
        <f>INPUT!EP120</f>
        <v>6.2208398133747949</v>
      </c>
      <c r="DR398" s="91">
        <f>INPUT!EQ120</f>
        <v>1405.656673125</v>
      </c>
      <c r="DS398" s="240">
        <f>INPUT!ER120</f>
        <v>5.9274056612660218</v>
      </c>
      <c r="DT398" s="91">
        <f>INPUT!ES120</f>
        <v>1205.7946952801724</v>
      </c>
      <c r="DU398" s="240">
        <f>INPUT!ET120</f>
        <v>-0.42983523697998294</v>
      </c>
      <c r="DV398" s="91">
        <f>INPUT!EU120</f>
        <v>1353.1418132372844</v>
      </c>
      <c r="DW398" s="240">
        <f>INPUT!EV120</f>
        <v>7.3070430798798185</v>
      </c>
      <c r="DX398" s="91">
        <f>INPUT!EW120</f>
        <v>1396.0524181859519</v>
      </c>
      <c r="DY398" s="240">
        <f>INPUT!EX120</f>
        <v>2.200030613905696</v>
      </c>
      <c r="DZ398" s="91"/>
      <c r="EA398" s="240"/>
      <c r="EB398" s="155">
        <f>INPUT!FI120</f>
        <v>-5.4566341183227962</v>
      </c>
      <c r="EC398" s="91">
        <f>INPUT!FJ120</f>
        <v>1531</v>
      </c>
      <c r="ED398" s="155">
        <f>INPUT!FK120</f>
        <v>-6.9866342648845716</v>
      </c>
      <c r="EE398" s="91">
        <f>INPUT!FL120</f>
        <v>1587</v>
      </c>
      <c r="EF398" s="155">
        <f>INPUT!FM120</f>
        <v>3.6577400391900881</v>
      </c>
      <c r="EG398" s="91">
        <f>INPUT!FN120</f>
        <v>1683</v>
      </c>
      <c r="EH398" s="155">
        <f>INPUT!FO120</f>
        <v>6.0491493383742778</v>
      </c>
      <c r="EI398" s="91">
        <f>INPUT!FP120</f>
        <v>1764</v>
      </c>
      <c r="EJ398" s="240">
        <f>INPUT!FQ120</f>
        <v>4.8128342245989302</v>
      </c>
      <c r="EK398" s="91">
        <f>INPUT!FR120</f>
        <v>1672</v>
      </c>
      <c r="EL398" s="240">
        <f>INPUT!FS120</f>
        <v>-5.2154195011337947</v>
      </c>
      <c r="EM398" s="91">
        <f>INPUT!FT120</f>
        <v>1980</v>
      </c>
      <c r="EN398" s="240">
        <f>INPUT!FU120</f>
        <v>18.421052631578931</v>
      </c>
      <c r="EO398" s="91">
        <f>INPUT!FV120</f>
        <v>2291</v>
      </c>
      <c r="EP398" s="240">
        <f>INPUT!FW120</f>
        <v>15.707070707070713</v>
      </c>
      <c r="EQ398" s="91">
        <f>INPUT!FX120</f>
        <v>2253</v>
      </c>
      <c r="ER398" s="240">
        <f>INPUT!FY120</f>
        <v>-1.6586643387167186</v>
      </c>
      <c r="ES398" s="91">
        <f>INPUT!FZ120</f>
        <v>2335</v>
      </c>
      <c r="ET398" s="240">
        <f>INPUT!GA120</f>
        <v>3.6395916555703565</v>
      </c>
      <c r="EU398" s="91">
        <f>INPUT!GB120</f>
        <v>2418</v>
      </c>
      <c r="EV398" s="240">
        <f>INPUT!GC120</f>
        <v>3.5546038543897254</v>
      </c>
      <c r="EW398" s="91">
        <f>INPUT!GD120</f>
        <v>2983</v>
      </c>
      <c r="EX398" s="240">
        <f>INPUT!GE120</f>
        <v>23.366418527708845</v>
      </c>
      <c r="EY398" s="91">
        <f>INPUT!GF120</f>
        <v>4037</v>
      </c>
      <c r="EZ398" s="240">
        <f>INPUT!GG120</f>
        <v>35.333556821991294</v>
      </c>
      <c r="FA398" s="91">
        <f>INPUT!GH120</f>
        <v>4728</v>
      </c>
      <c r="FB398" s="240">
        <f>INPUT!GI120</f>
        <v>17.116670795144913</v>
      </c>
      <c r="FC398" s="91">
        <f>INPUT!GJ120</f>
        <v>4598</v>
      </c>
      <c r="FD398" s="240">
        <f>INPUT!GK120</f>
        <v>-2.7495769881556669</v>
      </c>
      <c r="FE398" s="91">
        <f>INPUT!GL120</f>
        <v>5276</v>
      </c>
      <c r="FF398" s="240">
        <f>INPUT!GM120</f>
        <v>14.745541539799916</v>
      </c>
      <c r="FG398" s="91">
        <f>INPUT!GN120</f>
        <v>5165</v>
      </c>
      <c r="FH398" s="240">
        <f>INPUT!GO120</f>
        <v>-2.1038665655799775</v>
      </c>
      <c r="FI398" s="91">
        <f>INPUT!GP120</f>
        <v>5360.6455998284091</v>
      </c>
      <c r="FJ398" s="240">
        <f>INPUT!GQ120</f>
        <v>3.7879109356903911</v>
      </c>
      <c r="FK398" s="91">
        <f>INPUT!GR120</f>
        <v>5656.57035546109</v>
      </c>
      <c r="FL398" s="240">
        <f>INPUT!GS120</f>
        <v>5.5203193369498962</v>
      </c>
      <c r="FM398" s="91">
        <f>INPUT!GT120</f>
        <v>5968.9453858328588</v>
      </c>
      <c r="FN398" s="240">
        <f>INPUT!GU120</f>
        <v>5.5223396995352374</v>
      </c>
      <c r="FO398" s="91">
        <f>INPUT!GV120</f>
        <v>6291.9247303414459</v>
      </c>
      <c r="FP398" s="240">
        <f>INPUT!GW120</f>
        <v>5.4109951361788404</v>
      </c>
      <c r="FQ398" s="91">
        <f>INPUT!GX120</f>
        <v>6632.7112726454625</v>
      </c>
      <c r="FR398" s="240">
        <f>INPUT!GY120</f>
        <v>5.4162526875225865</v>
      </c>
      <c r="FS398" s="240">
        <f>INPUT!GZ120</f>
        <v>5.1293921422402189</v>
      </c>
    </row>
    <row r="399" spans="1:175" ht="12.75" hidden="1" customHeight="1" outlineLevel="1" x14ac:dyDescent="0.2">
      <c r="A399" s="70"/>
      <c r="B399" s="75"/>
      <c r="C399" s="155"/>
      <c r="D399" s="75"/>
      <c r="E399" s="155"/>
      <c r="F399" s="75"/>
      <c r="G399" s="155"/>
      <c r="H399" s="75"/>
      <c r="I399" s="155"/>
      <c r="J399" s="75"/>
      <c r="K399" s="155"/>
      <c r="L399" s="75"/>
      <c r="M399" s="155"/>
      <c r="N399" s="75"/>
      <c r="O399" s="155"/>
      <c r="P399" s="75"/>
      <c r="Q399" s="155"/>
      <c r="R399" s="75"/>
      <c r="S399" s="155"/>
      <c r="T399" s="75"/>
      <c r="U399" s="155"/>
      <c r="V399" s="75"/>
      <c r="W399" s="155"/>
      <c r="X399" s="75"/>
      <c r="Y399" s="155"/>
      <c r="Z399" s="75"/>
      <c r="AA399" s="155"/>
      <c r="AB399" s="75"/>
      <c r="AC399" s="155"/>
      <c r="AD399" s="75"/>
      <c r="AE399" s="155"/>
      <c r="AF399" s="75"/>
      <c r="AG399" s="155"/>
      <c r="AH399" s="75"/>
      <c r="AI399" s="240"/>
      <c r="AJ399" s="75"/>
      <c r="AK399" s="240"/>
      <c r="AL399" s="75"/>
      <c r="AM399" s="240"/>
      <c r="AN399" s="75"/>
      <c r="AO399" s="240"/>
      <c r="AP399" s="75"/>
      <c r="AQ399" s="240"/>
      <c r="AR399" s="75"/>
      <c r="AS399" s="240"/>
      <c r="AT399" s="75"/>
      <c r="AU399" s="240"/>
      <c r="AV399" s="75"/>
      <c r="AW399" s="240"/>
      <c r="AX399" s="75"/>
      <c r="AY399" s="240"/>
      <c r="AZ399" s="75"/>
      <c r="BA399" s="240"/>
      <c r="BB399" s="75"/>
      <c r="BC399" s="240"/>
      <c r="BD399" s="75"/>
      <c r="BE399" s="240"/>
      <c r="BF399" s="75"/>
      <c r="BG399" s="240"/>
      <c r="BH399" s="75"/>
      <c r="BI399" s="240"/>
      <c r="BJ399" s="75"/>
      <c r="BK399" s="240"/>
      <c r="BL399" s="75"/>
      <c r="BM399" s="240"/>
      <c r="BN399" s="75"/>
      <c r="BO399" s="240"/>
      <c r="BP399" s="75"/>
      <c r="BQ399" s="240"/>
      <c r="BR399" s="75"/>
      <c r="BS399" s="240"/>
      <c r="BT399" s="75"/>
      <c r="BU399" s="240"/>
      <c r="BV399" s="75"/>
      <c r="BW399" s="240"/>
      <c r="BX399" s="75"/>
      <c r="BY399" s="240"/>
      <c r="BZ399" s="75"/>
      <c r="CA399" s="240"/>
      <c r="CB399" s="75"/>
      <c r="CC399" s="240"/>
      <c r="CD399" s="75"/>
      <c r="CE399" s="240"/>
      <c r="CF399" s="75"/>
      <c r="CG399" s="240"/>
      <c r="CH399" s="75"/>
      <c r="CI399" s="240"/>
      <c r="CJ399" s="75"/>
      <c r="CK399" s="240"/>
      <c r="CL399" s="75"/>
      <c r="CM399" s="240"/>
      <c r="CN399" s="75"/>
      <c r="CO399" s="240"/>
      <c r="CP399" s="75"/>
      <c r="CQ399" s="240"/>
      <c r="CR399" s="75"/>
      <c r="CS399" s="240"/>
      <c r="CT399" s="75"/>
      <c r="CU399" s="240"/>
      <c r="CV399" s="75"/>
      <c r="CW399" s="240"/>
      <c r="CX399" s="75"/>
      <c r="CY399" s="240"/>
      <c r="CZ399" s="75"/>
      <c r="DA399" s="240"/>
      <c r="DB399" s="75"/>
      <c r="DC399" s="240"/>
      <c r="DD399" s="75"/>
      <c r="DE399" s="240"/>
      <c r="DF399" s="75"/>
      <c r="DG399" s="240"/>
      <c r="DH399" s="75"/>
      <c r="DI399" s="240"/>
      <c r="DJ399" s="75"/>
      <c r="DK399" s="240"/>
      <c r="DL399" s="75"/>
      <c r="DM399" s="240"/>
      <c r="DN399" s="75"/>
      <c r="DO399" s="240"/>
      <c r="DP399" s="75"/>
      <c r="DQ399" s="240"/>
      <c r="DR399" s="75"/>
      <c r="DS399" s="240"/>
      <c r="DT399" s="75"/>
      <c r="DU399" s="240"/>
      <c r="DV399" s="75"/>
      <c r="DW399" s="240"/>
      <c r="DX399" s="75"/>
      <c r="DY399" s="240"/>
      <c r="DZ399" s="75"/>
      <c r="EA399" s="240"/>
      <c r="EB399" s="155"/>
      <c r="EC399" s="75"/>
      <c r="ED399" s="155"/>
      <c r="EE399" s="75"/>
      <c r="EF399" s="155"/>
      <c r="EG399" s="75"/>
      <c r="EH399" s="155"/>
      <c r="EI399" s="75"/>
      <c r="EJ399" s="240"/>
      <c r="EK399" s="75"/>
      <c r="EL399" s="240"/>
      <c r="EM399" s="75"/>
      <c r="EN399" s="240"/>
      <c r="EO399" s="75"/>
      <c r="EP399" s="240"/>
      <c r="EQ399" s="75"/>
      <c r="ER399" s="240"/>
      <c r="ES399" s="75"/>
      <c r="ET399" s="240"/>
      <c r="EU399" s="75"/>
      <c r="EV399" s="240"/>
      <c r="EW399" s="75"/>
      <c r="EX399" s="240"/>
      <c r="EY399" s="75"/>
      <c r="EZ399" s="240"/>
      <c r="FA399" s="75"/>
      <c r="FB399" s="240"/>
      <c r="FC399" s="75"/>
      <c r="FD399" s="240"/>
      <c r="FE399" s="75"/>
      <c r="FF399" s="240"/>
      <c r="FG399" s="75"/>
      <c r="FH399" s="240"/>
      <c r="FI399" s="75"/>
      <c r="FJ399" s="240"/>
      <c r="FK399" s="75"/>
      <c r="FL399" s="240"/>
      <c r="FM399" s="75"/>
      <c r="FN399" s="240"/>
      <c r="FO399" s="75"/>
      <c r="FP399" s="240"/>
      <c r="FQ399" s="75"/>
      <c r="FR399" s="240"/>
      <c r="FS399" s="240"/>
    </row>
    <row r="400" spans="1:175" ht="12.75" hidden="1" customHeight="1" outlineLevel="1" x14ac:dyDescent="0.2">
      <c r="A400" s="505" t="s">
        <v>706</v>
      </c>
      <c r="B400" s="506">
        <f>INPUT!AA128</f>
        <v>106</v>
      </c>
      <c r="C400" s="513">
        <f>INPUT!AB128</f>
        <v>-9.4017094017093967</v>
      </c>
      <c r="D400" s="506">
        <f>INPUT!AC128</f>
        <v>113</v>
      </c>
      <c r="E400" s="513">
        <f>INPUT!AD128</f>
        <v>-13.07692307692308</v>
      </c>
      <c r="F400" s="506">
        <f>INPUT!AE128</f>
        <v>75</v>
      </c>
      <c r="G400" s="513">
        <f>INPUT!AF128</f>
        <v>-34.782608695652172</v>
      </c>
      <c r="H400" s="506">
        <f>INPUT!AG128</f>
        <v>63</v>
      </c>
      <c r="I400" s="513">
        <f>INPUT!AH128</f>
        <v>-10</v>
      </c>
      <c r="J400" s="506">
        <f>INPUT!AI128</f>
        <v>87</v>
      </c>
      <c r="K400" s="513">
        <f>INPUT!AJ128</f>
        <v>-17.924528301886795</v>
      </c>
      <c r="L400" s="506">
        <f>INPUT!AK128</f>
        <v>98</v>
      </c>
      <c r="M400" s="513">
        <f>INPUT!AL128</f>
        <v>-13.274336283185846</v>
      </c>
      <c r="N400" s="506">
        <f>INPUT!AM128</f>
        <v>101</v>
      </c>
      <c r="O400" s="513">
        <f>INPUT!AN128</f>
        <v>34.666666666666657</v>
      </c>
      <c r="P400" s="506">
        <f>INPUT!AO128</f>
        <v>104</v>
      </c>
      <c r="Q400" s="513">
        <f>INPUT!AP128</f>
        <v>65.079365079365061</v>
      </c>
      <c r="R400" s="506">
        <f>INPUT!AQ128</f>
        <v>117</v>
      </c>
      <c r="S400" s="513">
        <f>INPUT!AR128</f>
        <v>34.482758620689651</v>
      </c>
      <c r="T400" s="506">
        <f>INPUT!AS128</f>
        <v>119</v>
      </c>
      <c r="U400" s="513">
        <f>INPUT!AT128</f>
        <v>21.428571428571416</v>
      </c>
      <c r="V400" s="506">
        <f>INPUT!AU128</f>
        <v>120</v>
      </c>
      <c r="W400" s="513">
        <f>INPUT!AV128</f>
        <v>18.811881188118804</v>
      </c>
      <c r="X400" s="506">
        <f>INPUT!AW128</f>
        <v>142</v>
      </c>
      <c r="Y400" s="513">
        <f>INPUT!AX128</f>
        <v>36.538461538461547</v>
      </c>
      <c r="Z400" s="506">
        <f>INPUT!AY128</f>
        <v>133</v>
      </c>
      <c r="AA400" s="513">
        <f>INPUT!AZ128</f>
        <v>13.675213675213669</v>
      </c>
      <c r="AB400" s="506">
        <f>INPUT!BA128</f>
        <v>97</v>
      </c>
      <c r="AC400" s="513">
        <f>INPUT!BB128</f>
        <v>-18.487394957983199</v>
      </c>
      <c r="AD400" s="506">
        <f>INPUT!BC128</f>
        <v>183</v>
      </c>
      <c r="AE400" s="513">
        <f>INPUT!BD128</f>
        <v>52.5</v>
      </c>
      <c r="AF400" s="506">
        <f>INPUT!BE128</f>
        <v>132</v>
      </c>
      <c r="AG400" s="513">
        <f>INPUT!BF128</f>
        <v>-7.0422535211267672</v>
      </c>
      <c r="AH400" s="506">
        <f>INPUT!BG128</f>
        <v>101</v>
      </c>
      <c r="AI400" s="507">
        <f>INPUT!BH128</f>
        <v>-24.060150375939855</v>
      </c>
      <c r="AJ400" s="506">
        <f>INPUT!BI128</f>
        <v>141</v>
      </c>
      <c r="AK400" s="507">
        <f>INPUT!BJ128</f>
        <v>45.360824742268022</v>
      </c>
      <c r="AL400" s="506">
        <f>INPUT!BK128</f>
        <v>251</v>
      </c>
      <c r="AM400" s="507">
        <f>INPUT!BL128</f>
        <v>37.158469945355193</v>
      </c>
      <c r="AN400" s="506">
        <f>INPUT!BM128</f>
        <v>129</v>
      </c>
      <c r="AO400" s="507">
        <f>INPUT!BN128</f>
        <v>-2.2727272727272663</v>
      </c>
      <c r="AP400" s="506">
        <f>INPUT!BO128</f>
        <v>96</v>
      </c>
      <c r="AQ400" s="507">
        <f>INPUT!BP128</f>
        <v>-4.9504950495049513</v>
      </c>
      <c r="AR400" s="506">
        <f>INPUT!BQ128</f>
        <v>103</v>
      </c>
      <c r="AS400" s="507">
        <f>INPUT!BR128</f>
        <v>-26.950354609929079</v>
      </c>
      <c r="AT400" s="506">
        <f>INPUT!BS128</f>
        <v>238</v>
      </c>
      <c r="AU400" s="507">
        <f>INPUT!BT128</f>
        <v>-5.1792828685258883</v>
      </c>
      <c r="AV400" s="506">
        <f>INPUT!BU128</f>
        <v>9</v>
      </c>
      <c r="AW400" s="507" t="str">
        <f>INPUT!BV128</f>
        <v>NM</v>
      </c>
      <c r="AX400" s="506">
        <f>INPUT!BW128</f>
        <v>40</v>
      </c>
      <c r="AY400" s="507" t="str">
        <f>INPUT!BX128</f>
        <v>NM</v>
      </c>
      <c r="AZ400" s="506">
        <f>INPUT!BY128</f>
        <v>138</v>
      </c>
      <c r="BA400" s="507">
        <f>INPUT!BZ128</f>
        <v>33.980582524271853</v>
      </c>
      <c r="BB400" s="506">
        <f>INPUT!CA128</f>
        <v>243</v>
      </c>
      <c r="BC400" s="507">
        <f>INPUT!CB128</f>
        <v>2.1008403361344392</v>
      </c>
      <c r="BD400" s="506">
        <f>INPUT!CC128</f>
        <v>141</v>
      </c>
      <c r="BE400" s="507" t="str">
        <f>INPUT!CD128</f>
        <v>NM</v>
      </c>
      <c r="BF400" s="506">
        <f>INPUT!CE128</f>
        <v>86</v>
      </c>
      <c r="BG400" s="507" t="str">
        <f>INPUT!CF128</f>
        <v>NM</v>
      </c>
      <c r="BH400" s="506">
        <f>INPUT!CG128</f>
        <v>107</v>
      </c>
      <c r="BI400" s="507">
        <f>INPUT!CH128</f>
        <v>-22.463768115942031</v>
      </c>
      <c r="BJ400" s="506">
        <f>INPUT!CI128</f>
        <v>157</v>
      </c>
      <c r="BK400" s="507">
        <f>INPUT!CJ128</f>
        <v>-35.390946502057616</v>
      </c>
      <c r="BL400" s="506">
        <f>INPUT!CK128</f>
        <v>132</v>
      </c>
      <c r="BM400" s="507">
        <f>INPUT!CL128</f>
        <v>-6.3829787234042499</v>
      </c>
      <c r="BN400" s="506">
        <f>INPUT!CM128</f>
        <v>98</v>
      </c>
      <c r="BO400" s="507">
        <f>INPUT!CN128</f>
        <v>13.95348837209302</v>
      </c>
      <c r="BP400" s="506">
        <f>INPUT!CO128</f>
        <v>135</v>
      </c>
      <c r="BQ400" s="507">
        <f>INPUT!CP128</f>
        <v>26.168224299065429</v>
      </c>
      <c r="BR400" s="506">
        <f>INPUT!CQ128</f>
        <v>111</v>
      </c>
      <c r="BS400" s="507">
        <f>INPUT!CR128</f>
        <v>-29.29936305732484</v>
      </c>
      <c r="BT400" s="506">
        <f>INPUT!CS128</f>
        <v>138</v>
      </c>
      <c r="BU400" s="507">
        <f>INPUT!CT128</f>
        <v>4.5454545454545467</v>
      </c>
      <c r="BV400" s="506">
        <f>INPUT!CU128</f>
        <v>112</v>
      </c>
      <c r="BW400" s="507">
        <f>INPUT!CV128</f>
        <v>14.285714285714278</v>
      </c>
      <c r="BX400" s="506">
        <f>INPUT!CW128</f>
        <v>61</v>
      </c>
      <c r="BY400" s="507" t="str">
        <f>INPUT!CX128</f>
        <v>NM</v>
      </c>
      <c r="BZ400" s="506">
        <f>INPUT!CY128</f>
        <v>112</v>
      </c>
      <c r="CA400" s="507">
        <f>INPUT!CZ128</f>
        <v>0.90090090090089348</v>
      </c>
      <c r="CB400" s="506">
        <f>INPUT!DA128</f>
        <v>99</v>
      </c>
      <c r="CC400" s="507">
        <f>INPUT!DB128</f>
        <v>-28.260869565217391</v>
      </c>
      <c r="CD400" s="506">
        <f>INPUT!DC128</f>
        <v>137</v>
      </c>
      <c r="CE400" s="507">
        <f>INPUT!DD128</f>
        <v>22.321428571428584</v>
      </c>
      <c r="CF400" s="506">
        <f>INPUT!DE128</f>
        <v>141</v>
      </c>
      <c r="CG400" s="507" t="str">
        <f>INPUT!DF128</f>
        <v>NM</v>
      </c>
      <c r="CH400" s="506">
        <f>INPUT!DG128</f>
        <v>148</v>
      </c>
      <c r="CI400" s="507">
        <f>INPUT!DH128</f>
        <v>32.142857142857139</v>
      </c>
      <c r="CJ400" s="506">
        <f>INPUT!DI128</f>
        <v>157</v>
      </c>
      <c r="CK400" s="507">
        <f>INPUT!DJ128</f>
        <v>58.585858585858574</v>
      </c>
      <c r="CL400" s="506">
        <f>INPUT!DK128</f>
        <v>125</v>
      </c>
      <c r="CM400" s="507">
        <f>INPUT!DL128</f>
        <v>-8.7591240875912462</v>
      </c>
      <c r="CN400" s="506">
        <f>INPUT!DM128</f>
        <v>158</v>
      </c>
      <c r="CO400" s="507">
        <f>INPUT!DN128</f>
        <v>12.056737588652481</v>
      </c>
      <c r="CP400" s="506">
        <f>INPUT!DO128</f>
        <v>97</v>
      </c>
      <c r="CQ400" s="507">
        <f>INPUT!DP128</f>
        <v>-34.459459459459467</v>
      </c>
      <c r="CR400" s="506">
        <f>INPUT!DQ128</f>
        <v>118</v>
      </c>
      <c r="CS400" s="507">
        <f>INPUT!DR128</f>
        <v>-24.840764331210181</v>
      </c>
      <c r="CT400" s="506">
        <f>INPUT!DS128</f>
        <v>116</v>
      </c>
      <c r="CU400" s="507">
        <f>INPUT!DT128</f>
        <v>-7.1999999999999886</v>
      </c>
      <c r="CV400" s="506">
        <f>INPUT!DU128</f>
        <v>237</v>
      </c>
      <c r="CW400" s="507">
        <f>INPUT!DV128</f>
        <v>50</v>
      </c>
      <c r="CX400" s="506">
        <f>INPUT!DW128</f>
        <v>183</v>
      </c>
      <c r="CY400" s="507">
        <f>INPUT!DX128</f>
        <v>88.659793814432987</v>
      </c>
      <c r="CZ400" s="506">
        <f>INPUT!DY128</f>
        <v>99</v>
      </c>
      <c r="DA400" s="507">
        <f>INPUT!DZ128</f>
        <v>-16.101694915254242</v>
      </c>
      <c r="DB400" s="506">
        <f>INPUT!EA128</f>
        <v>120</v>
      </c>
      <c r="DC400" s="507">
        <f>INPUT!EB128</f>
        <v>3.448275862068968</v>
      </c>
      <c r="DD400" s="506">
        <f>INPUT!EC128</f>
        <v>-290</v>
      </c>
      <c r="DE400" s="507" t="str">
        <f>INPUT!ED128</f>
        <v>NM</v>
      </c>
      <c r="DF400" s="506">
        <f>INPUT!EE128</f>
        <v>111</v>
      </c>
      <c r="DG400" s="507">
        <f>INPUT!EF128</f>
        <v>-39.344262295081968</v>
      </c>
      <c r="DH400" s="506">
        <f>INPUT!EG128</f>
        <v>138</v>
      </c>
      <c r="DI400" s="507">
        <f>INPUT!EH128</f>
        <v>39.393939393939405</v>
      </c>
      <c r="DJ400" s="506">
        <f>INPUT!EI128</f>
        <v>118</v>
      </c>
      <c r="DK400" s="507">
        <f>INPUT!EJ128</f>
        <v>-1.6666666666666714</v>
      </c>
      <c r="DL400" s="506">
        <f>INPUT!EK128</f>
        <v>-557</v>
      </c>
      <c r="DM400" s="507">
        <f>INPUT!EL128</f>
        <v>92.068965517241367</v>
      </c>
      <c r="DN400" s="506">
        <f>INPUT!EM128</f>
        <v>150</v>
      </c>
      <c r="DO400" s="507">
        <f>INPUT!EN128</f>
        <v>35.13513513513513</v>
      </c>
      <c r="DP400" s="506">
        <f>INPUT!EO128</f>
        <v>98</v>
      </c>
      <c r="DQ400" s="507">
        <f>INPUT!EP128</f>
        <v>-28.985507246376812</v>
      </c>
      <c r="DR400" s="506">
        <f>INPUT!EQ128</f>
        <v>95.528326875000175</v>
      </c>
      <c r="DS400" s="507">
        <f>INPUT!ER128</f>
        <v>-19.043790783898146</v>
      </c>
      <c r="DT400" s="506">
        <f>INPUT!ES128</f>
        <v>113.75430471982759</v>
      </c>
      <c r="DU400" s="507" t="str">
        <f>INPUT!ET128</f>
        <v>NM</v>
      </c>
      <c r="DV400" s="506">
        <f>INPUT!EU128</f>
        <v>113.87967676271569</v>
      </c>
      <c r="DW400" s="507">
        <f>INPUT!EV128</f>
        <v>-24.080215491522878</v>
      </c>
      <c r="DX400" s="506">
        <f>INPUT!EW128</f>
        <v>112.9107367140482</v>
      </c>
      <c r="DY400" s="507">
        <f>INPUT!EX128</f>
        <v>15.215037463314502</v>
      </c>
      <c r="DZ400" s="506"/>
      <c r="EA400" s="507"/>
      <c r="EB400" s="513" t="str">
        <f>INPUT!FI128</f>
        <v>NM</v>
      </c>
      <c r="EC400" s="506">
        <f>INPUT!FJ128</f>
        <v>432</v>
      </c>
      <c r="ED400" s="513">
        <f>INPUT!FK128</f>
        <v>58.241758241758248</v>
      </c>
      <c r="EE400" s="506">
        <f>INPUT!FL128</f>
        <v>357</v>
      </c>
      <c r="EF400" s="513">
        <f>INPUT!FM128</f>
        <v>-17.361111111111114</v>
      </c>
      <c r="EG400" s="506">
        <f>INPUT!FN128</f>
        <v>390</v>
      </c>
      <c r="EH400" s="513">
        <f>INPUT!FO128</f>
        <v>9.2436974789915922</v>
      </c>
      <c r="EI400" s="506">
        <f>INPUT!FP128</f>
        <v>498</v>
      </c>
      <c r="EJ400" s="507">
        <f>INPUT!FQ128</f>
        <v>27.692307692307679</v>
      </c>
      <c r="EK400" s="506">
        <f>INPUT!FR128</f>
        <v>545</v>
      </c>
      <c r="EL400" s="507">
        <f>INPUT!FS128</f>
        <v>9.4377510040160644</v>
      </c>
      <c r="EM400" s="506">
        <f>INPUT!FT128</f>
        <v>622</v>
      </c>
      <c r="EN400" s="507">
        <f>INPUT!FU128</f>
        <v>14.12844036697247</v>
      </c>
      <c r="EO400" s="506">
        <f>INPUT!FV128</f>
        <v>463</v>
      </c>
      <c r="EP400" s="507">
        <f>INPUT!FW128</f>
        <v>-25.562700964630224</v>
      </c>
      <c r="EQ400" s="506">
        <f>INPUT!FX128</f>
        <v>514</v>
      </c>
      <c r="ER400" s="507">
        <f>INPUT!FY128</f>
        <v>11.015118790496771</v>
      </c>
      <c r="ES400" s="506">
        <f>INPUT!FZ128</f>
        <v>482</v>
      </c>
      <c r="ET400" s="507">
        <f>INPUT!GA128</f>
        <v>-6.2256809338521464</v>
      </c>
      <c r="EU400" s="506">
        <f>INPUT!GB128</f>
        <v>482</v>
      </c>
      <c r="EV400" s="507">
        <f>INPUT!GC128</f>
        <v>0</v>
      </c>
      <c r="EW400" s="506">
        <f>INPUT!GD128</f>
        <v>384</v>
      </c>
      <c r="EX400" s="507">
        <f>INPUT!GE128</f>
        <v>-20.331950207468878</v>
      </c>
      <c r="EY400" s="506">
        <f>INPUT!GF128</f>
        <v>583</v>
      </c>
      <c r="EZ400" s="507">
        <f>INPUT!GG128</f>
        <v>51.822916666666686</v>
      </c>
      <c r="FA400" s="506">
        <f>INPUT!GH128</f>
        <v>498</v>
      </c>
      <c r="FB400" s="507">
        <f>INPUT!GI128</f>
        <v>-14.579759862778729</v>
      </c>
      <c r="FC400" s="506">
        <f>INPUT!GJ128</f>
        <v>635</v>
      </c>
      <c r="FD400" s="507">
        <f>INPUT!GK128</f>
        <v>27.510040160642575</v>
      </c>
      <c r="FE400" s="506">
        <f>INPUT!GL128</f>
        <v>79</v>
      </c>
      <c r="FF400" s="507" t="str">
        <f>INPUT!GM128</f>
        <v>NM</v>
      </c>
      <c r="FG400" s="506">
        <f>INPUT!GN128</f>
        <v>-191</v>
      </c>
      <c r="FH400" s="507" t="str">
        <f>INPUT!GO128</f>
        <v>NM</v>
      </c>
      <c r="FI400" s="506">
        <f>INPUT!GP128</f>
        <v>436.07304507159097</v>
      </c>
      <c r="FJ400" s="507" t="str">
        <f>INPUT!GQ128</f>
        <v>NM</v>
      </c>
      <c r="FK400" s="506">
        <f>INPUT!GR128</f>
        <v>432.33203523491011</v>
      </c>
      <c r="FL400" s="507">
        <f>INPUT!GS128</f>
        <v>-0.85788605348598423</v>
      </c>
      <c r="FM400" s="506">
        <f>INPUT!GT128</f>
        <v>427.44700049098174</v>
      </c>
      <c r="FN400" s="507">
        <f>INPUT!GU128</f>
        <v>-1.1299266179232035</v>
      </c>
      <c r="FO400" s="506">
        <f>INPUT!GV128</f>
        <v>428.09328543534866</v>
      </c>
      <c r="FP400" s="507">
        <f>INPUT!GW128</f>
        <v>0.15119650942094154</v>
      </c>
      <c r="FQ400" s="506">
        <f>INPUT!GX128</f>
        <v>427.94359380240439</v>
      </c>
      <c r="FR400" s="507">
        <f>INPUT!GY128</f>
        <v>-3.4967059292227987E-2</v>
      </c>
      <c r="FS400" s="507" t="str">
        <f>INPUT!GZ128</f>
        <v>NM</v>
      </c>
    </row>
    <row r="401" spans="1:176" ht="12.75" hidden="1" customHeight="1" outlineLevel="2" x14ac:dyDescent="0.2">
      <c r="A401" s="471" t="s">
        <v>683</v>
      </c>
      <c r="B401" s="472">
        <f>(B385+B386+B388+B389-B393-B394-B395-B396-B397)-B400</f>
        <v>0</v>
      </c>
      <c r="C401" s="473"/>
      <c r="D401" s="472">
        <f>(D385+D386+D388+D389-D393-D394-D395-D396-D397)-D400</f>
        <v>0</v>
      </c>
      <c r="E401" s="473"/>
      <c r="F401" s="472">
        <f>(F385+F386+F388+F389-F393-F394-F395-F396-F397)-F400</f>
        <v>0</v>
      </c>
      <c r="G401" s="473"/>
      <c r="H401" s="472">
        <f>(H385+H386+H388+H389-H393-H394-H395-H396-H397)-H400</f>
        <v>0</v>
      </c>
      <c r="I401" s="473"/>
      <c r="J401" s="472">
        <f>(J385+J386+J388+J389-J393-J394-J395-J396-J397)-J400</f>
        <v>0</v>
      </c>
      <c r="K401" s="473"/>
      <c r="L401" s="472">
        <f>(L385+L386+L388+L389-L393-L394-L395-L396-L397)-L400</f>
        <v>0</v>
      </c>
      <c r="M401" s="473"/>
      <c r="N401" s="472">
        <f>(N385+N386+N388+N389-N393-N394-N395-N396-N397)-N400</f>
        <v>0</v>
      </c>
      <c r="O401" s="473"/>
      <c r="P401" s="472">
        <f>(P385+P386+P388+P389-P393-P394-P395-P396-P397)-P400</f>
        <v>0</v>
      </c>
      <c r="Q401" s="473"/>
      <c r="R401" s="472">
        <f>(R385+R386+R388+R389-R393-R394-R395-R396-R397)-R400</f>
        <v>0</v>
      </c>
      <c r="S401" s="473"/>
      <c r="T401" s="472">
        <f>(T385+T386+T388+T389-T393-T394-T395-T396-T397)-T400</f>
        <v>0</v>
      </c>
      <c r="U401" s="473"/>
      <c r="V401" s="472">
        <f>(V385+V386+V388+V389-V393-V394-V395-V396-V397)-V400</f>
        <v>0</v>
      </c>
      <c r="W401" s="473"/>
      <c r="X401" s="472">
        <f>(X385+X386+X388+X389-X393-X394-X395-X396-X397)-X400</f>
        <v>0</v>
      </c>
      <c r="Y401" s="473"/>
      <c r="Z401" s="472">
        <f>(Z385+Z386+Z388+Z389-Z393-Z394-Z395-Z396-Z397)-Z400</f>
        <v>0</v>
      </c>
      <c r="AA401" s="473"/>
      <c r="AB401" s="472">
        <f>(AB385+AB386+AB388+AB389-AB393-AB394-AB395-AB396-AB397)-AB400</f>
        <v>0</v>
      </c>
      <c r="AC401" s="473"/>
      <c r="AD401" s="472">
        <f>(AD385+AD386+AD388+AD389-AD393-AD394-AD395-AD396-AD397)-AD400</f>
        <v>0</v>
      </c>
      <c r="AE401" s="473"/>
      <c r="AF401" s="472">
        <f>(AF385+AF386+AF388+AF389-AF393-AF394-AF395-AF396-AF397)-AF400</f>
        <v>0</v>
      </c>
      <c r="AG401" s="473"/>
      <c r="AH401" s="472">
        <f>(AH385+AH386+AH388+AH389-AH393-AH394-AH395-AH396-AH397)-AH400</f>
        <v>0</v>
      </c>
      <c r="AI401" s="473"/>
      <c r="AJ401" s="472">
        <f>(AJ385+AJ386+AJ388+AJ389-AJ393-AJ394-AJ395-AJ396-AJ397)-AJ400</f>
        <v>0</v>
      </c>
      <c r="AK401" s="473"/>
      <c r="AL401" s="472">
        <f>(AL385+AL386+AL388+AL389-AL393-AL394-AL395-AL396-AL397)-AL400</f>
        <v>0</v>
      </c>
      <c r="AM401" s="473"/>
      <c r="AN401" s="472">
        <f>(AN385+AN386+AN388+AN389-AN393-AN394-AN395-AN396-AN397)-AN400</f>
        <v>0</v>
      </c>
      <c r="AO401" s="473"/>
      <c r="AP401" s="472">
        <f>(AP385+AP386+AP388+AP389-AP393-AP394-AP395-AP396-AP397)-AP400</f>
        <v>0</v>
      </c>
      <c r="AQ401" s="473"/>
      <c r="AR401" s="472">
        <f>(AR385+AR386+AR388+AR389-AR393-AR394-AR395-AR396-AR397)-AR400</f>
        <v>0</v>
      </c>
      <c r="AS401" s="473"/>
      <c r="AT401" s="472">
        <f>(AT385+AT386+AT388+AT389-AT393-AT394-AT395-AT396-AT397)-AT400</f>
        <v>0</v>
      </c>
      <c r="AU401" s="473"/>
      <c r="AV401" s="472">
        <f>(AV385+AV386+AV388+AV389-AV393-AV394-AV395-AV396-AV397)-AV400</f>
        <v>0</v>
      </c>
      <c r="AW401" s="473"/>
      <c r="AX401" s="472">
        <f>(AX385+AX386+AX388+AX389-AX393-AX394-AX395-AX396-AX397)-AX400</f>
        <v>0</v>
      </c>
      <c r="AY401" s="473"/>
      <c r="AZ401" s="472">
        <f>(AZ385+AZ386+AZ388+AZ389-AZ393-AZ394-AZ395-AZ396-AZ397)-AZ400</f>
        <v>0</v>
      </c>
      <c r="BA401" s="473"/>
      <c r="BB401" s="472">
        <f>(BB385+BB386+BB388+BB389-BB393-BB394-BB395-BB396-BB397)-BB400</f>
        <v>0</v>
      </c>
      <c r="BC401" s="473"/>
      <c r="BD401" s="472">
        <f>(BD385+BD386+BD388+BD389-BD393-BD394-BD395-BD396-BD397)-BD400</f>
        <v>0</v>
      </c>
      <c r="BE401" s="473"/>
      <c r="BF401" s="472">
        <f>(BF385+BF386+BF388+BF389-BF393-BF394-BF395-BF396-BF397)-BF400</f>
        <v>0</v>
      </c>
      <c r="BG401" s="473"/>
      <c r="BH401" s="472">
        <f>(BH385+BH386+BH388+BH389-BH393-BH394-BH395-BH396-BH397)-BH400</f>
        <v>0</v>
      </c>
      <c r="BI401" s="473"/>
      <c r="BJ401" s="472">
        <f>(BJ385+BJ386+BJ388+BJ389-BJ393-BJ394-BJ395-BJ396-BJ397)-BJ400</f>
        <v>0</v>
      </c>
      <c r="BK401" s="473"/>
      <c r="BL401" s="472">
        <f>(BL385+BL386+BL388+BL389-BL393-BL394-BL395-BL396-BL397)-BL400</f>
        <v>0</v>
      </c>
      <c r="BM401" s="473"/>
      <c r="BN401" s="472">
        <f>(BN385+BN386+BN388+BN389-BN393-BN394-BN395-BN396-BN397)-BN400</f>
        <v>0</v>
      </c>
      <c r="BO401" s="473"/>
      <c r="BP401" s="472">
        <f>(BP385+BP386+BP388+BP389-BP393-BP394-BP395-BP396-BP397)-BP400</f>
        <v>0</v>
      </c>
      <c r="BQ401" s="473"/>
      <c r="BR401" s="472">
        <f>(BR385+BR386+BR388+BR389-BR393-BR394-BR395-BR396-BR397)-BR400</f>
        <v>0</v>
      </c>
      <c r="BS401" s="473"/>
      <c r="BT401" s="472">
        <f>(BT385+BT386+BT388+BT389-BT393-BT394-BT395-BT396-BT397)-BT400</f>
        <v>0</v>
      </c>
      <c r="BU401" s="473"/>
      <c r="BV401" s="472">
        <f>(BV385+BV386+BV388+BV389-BV393-BV394-BV395-BV396-BV397)-BV400</f>
        <v>0</v>
      </c>
      <c r="BW401" s="473"/>
      <c r="BX401" s="472">
        <f>(BX385+BX386+BX388+BX389-BX393-BX394-BX395-BX396-BX397)-BX400</f>
        <v>0</v>
      </c>
      <c r="BY401" s="473"/>
      <c r="BZ401" s="472">
        <f>(BZ385+BZ386+BZ388+BZ389-BZ393-BZ394-BZ395-BZ396-BZ397)-BZ400</f>
        <v>0</v>
      </c>
      <c r="CA401" s="473"/>
      <c r="CB401" s="472">
        <f>(CB385+CB386+CB388+CB389-CB393-CB394-CB395-CB396-CB397)-CB400</f>
        <v>0</v>
      </c>
      <c r="CC401" s="473"/>
      <c r="CD401" s="472">
        <f>(CD385+CD386+CD388+CD389-CD393-CD394-CD395-CD396-CD397)-CD400</f>
        <v>0</v>
      </c>
      <c r="CE401" s="473"/>
      <c r="CF401" s="472">
        <f>(CF385+CF386+CF388+CF389-CF393-CF394-CF395-CF396-CF397)-CF400</f>
        <v>0</v>
      </c>
      <c r="CG401" s="473"/>
      <c r="CH401" s="472">
        <f>(CH385+CH386+CH388+CH389-CH393-CH394-CH395-CH396-CH397)-CH400</f>
        <v>0</v>
      </c>
      <c r="CI401" s="473"/>
      <c r="CJ401" s="472">
        <f>(CJ385+CJ386+CJ388+CJ389-CJ393-CJ394-CJ395-CJ396-CJ397)-CJ400</f>
        <v>0</v>
      </c>
      <c r="CK401" s="473"/>
      <c r="CL401" s="472">
        <f>(CL385+CL386+CL388+CL389-CL393-CL394-CL395-CL396-CL397)-CL400</f>
        <v>0</v>
      </c>
      <c r="CM401" s="473"/>
      <c r="CN401" s="472">
        <f>(CN385+CN386+CN388+CN389-CN393-CN394-CN395-CN396-CN397)-CN400</f>
        <v>0</v>
      </c>
      <c r="CO401" s="473"/>
      <c r="CP401" s="472">
        <f>(CP385+CP386+CP388+CP389-CP393-CP394-CP395-CP396-CP397)-CP400</f>
        <v>0</v>
      </c>
      <c r="CQ401" s="473"/>
      <c r="CR401" s="472">
        <f>(CR385+CR386+CR388+CR389-CR393-CR394-CR395-CR396-CR397)-CR400</f>
        <v>0</v>
      </c>
      <c r="CS401" s="473"/>
      <c r="CT401" s="472">
        <f>(CT385+CT386+CT388+CT389-CT393-CT394-CT395-CT396-CT397)-CT400</f>
        <v>0</v>
      </c>
      <c r="CU401" s="473"/>
      <c r="CV401" s="472">
        <f>(CV385+CV386+CV388+CV389-CV393-CV394-CV395-CV396-CV397)-CV400</f>
        <v>0</v>
      </c>
      <c r="CW401" s="473"/>
      <c r="CX401" s="472">
        <f>(CX385+CX386+CX388+CX389-CX393-CX394-CX395-CX396-CX397)-CX400</f>
        <v>0</v>
      </c>
      <c r="CY401" s="473"/>
      <c r="CZ401" s="472">
        <f>(CZ385+CZ386+CZ388+CZ389-CZ393-CZ394-CZ395-CZ396-CZ397)-CZ400</f>
        <v>0</v>
      </c>
      <c r="DA401" s="473"/>
      <c r="DB401" s="472">
        <f>(DB385+DB386+DB388+DB389-DB393-DB394-DB395-DB396-DB397)-DB400</f>
        <v>0</v>
      </c>
      <c r="DC401" s="473"/>
      <c r="DD401" s="472">
        <f>(DD385+DD386+DD388+DD389-DD393-DD394-DD395-DD396-DD397)-DD400</f>
        <v>0</v>
      </c>
      <c r="DE401" s="473"/>
      <c r="DF401" s="472">
        <f>(DF385+DF386+DF388+DF389-DF393-DF394-DF395-DF396-DF397)-DF400</f>
        <v>0</v>
      </c>
      <c r="DG401" s="473"/>
      <c r="DH401" s="472">
        <f>(DH385+DH386+DH388+DH389-DH393-DH394-DH395-DH396-DH397)-DH400</f>
        <v>0</v>
      </c>
      <c r="DI401" s="473"/>
      <c r="DJ401" s="472">
        <f>(DJ385+DJ386+DJ388+DJ389-DJ393-DJ394-DJ395-DJ396-DJ397)-DJ400</f>
        <v>0</v>
      </c>
      <c r="DK401" s="473"/>
      <c r="DL401" s="472">
        <f>(DL385+DL386+DL388+DL389-DL393-DL394-DL395-DL396-DL397)-DL400</f>
        <v>0</v>
      </c>
      <c r="DM401" s="473"/>
      <c r="DN401" s="472">
        <f>(DN385+DN386+DN388+DN389-DN393-DN394-DN395-DN396-DN397)-DN400</f>
        <v>0</v>
      </c>
      <c r="DO401" s="473"/>
      <c r="DP401" s="472">
        <f>(DP385+DP386+DP388+DP389-DP393-DP394-DP395-DP396-DP397)-DP400</f>
        <v>0</v>
      </c>
      <c r="DQ401" s="473"/>
      <c r="DR401" s="472">
        <f>(DR385+DR386+DR388+DR389-DR393-DR394-DR395-DR396-DR397)-DR400</f>
        <v>0</v>
      </c>
      <c r="DS401" s="473"/>
      <c r="DT401" s="472">
        <f>(DT385+DT386+DT388+DT389-DT393-DT394-DT395-DT396-DT397)-DT400</f>
        <v>0</v>
      </c>
      <c r="DU401" s="473"/>
      <c r="DV401" s="472">
        <f>(DV385+DV386+DV388+DV389-DV393-DV394-DV395-DV396-DV397)-DV400</f>
        <v>0</v>
      </c>
      <c r="DW401" s="473"/>
      <c r="DX401" s="472">
        <f>(DX385+DX386+DX388+DX389-DX393-DX394-DX395-DX396-DX397)-DX400</f>
        <v>0</v>
      </c>
      <c r="DY401" s="473"/>
      <c r="DZ401" s="472"/>
      <c r="EA401" s="473"/>
      <c r="EB401" s="473"/>
      <c r="EC401" s="472">
        <f>(EC385+EC386+EC388+EC389-EC393-EC394-EC395-EC396-EC397)-EC400</f>
        <v>0</v>
      </c>
      <c r="ED401" s="473"/>
      <c r="EE401" s="472">
        <f>(EE385+EE386+EE388+EE389-EE393-EE394-EE395-EE396-EE397)-EE400</f>
        <v>0</v>
      </c>
      <c r="EF401" s="473"/>
      <c r="EG401" s="472">
        <f>(EG385+EG386+EG388+EG389-EG393-EG394-EG395-EG396-EG397)-EG400</f>
        <v>0</v>
      </c>
      <c r="EH401" s="473"/>
      <c r="EI401" s="472">
        <f>(EI385+EI386+EI388+EI389-EI393-EI394-EI395-EI396-EI397)-EI400</f>
        <v>0</v>
      </c>
      <c r="EJ401" s="473"/>
      <c r="EK401" s="472">
        <f>(EK385+EK386+EK388+EK389-EK393-EK394-EK395-EK396-EK397)-EK400</f>
        <v>0</v>
      </c>
      <c r="EL401" s="473"/>
      <c r="EM401" s="472">
        <f>(EM385+EM386+EM388+EM389-EM393-EM394-EM395-EM396-EM397)-EM400</f>
        <v>0</v>
      </c>
      <c r="EN401" s="473"/>
      <c r="EO401" s="472">
        <f>(EO385+EO386+EO388+EO389-EO393-EO394-EO395-EO396-EO397)-EO400</f>
        <v>0</v>
      </c>
      <c r="EP401" s="473"/>
      <c r="EQ401" s="472">
        <f>(EQ385+EQ386+EQ388+EQ389-EQ393-EQ394-EQ395-EQ396-EQ397)-EQ400</f>
        <v>0</v>
      </c>
      <c r="ER401" s="473"/>
      <c r="ES401" s="472">
        <f>(ES385+ES386+ES388+ES389-ES393-ES394-ES395-ES396-ES397)-ES400</f>
        <v>0</v>
      </c>
      <c r="ET401" s="473"/>
      <c r="EU401" s="472">
        <f>(EU385+EU386+EU388+EU389-EU393-EU394-EU395-EU396-EU397)-EU400</f>
        <v>0</v>
      </c>
      <c r="EV401" s="473"/>
      <c r="EW401" s="472">
        <f>(EW385+EW386+EW388+EW389-EW393-EW394-EW395-EW396-EW397)-EW400</f>
        <v>0</v>
      </c>
      <c r="EX401" s="473"/>
      <c r="EY401" s="472">
        <f>(EY385+EY386+EY388+EY389-EY393-EY394-EY395-EY396-EY397)-EY400</f>
        <v>0</v>
      </c>
      <c r="EZ401" s="473"/>
      <c r="FA401" s="472">
        <f>(FA385+FA386+FA388+FA389-FA393-FA394-FA395-FA396-FA397)-FA400</f>
        <v>0</v>
      </c>
      <c r="FB401" s="473"/>
      <c r="FC401" s="472">
        <f>(FC385+FC386+FC388+FC389-FC393-FC394-FC395-FC396-FC397)-FC400</f>
        <v>0</v>
      </c>
      <c r="FD401" s="473"/>
      <c r="FE401" s="472">
        <f>(FE385+FE386+FE388+FE389-FE393-FE394-FE395-FE396-FE397)-FE400</f>
        <v>0</v>
      </c>
      <c r="FF401" s="473"/>
      <c r="FG401" s="472">
        <f>(FG385+FG386+FG388+FG389-FG393-FG394-FG395-FG396-FG397)-FG400</f>
        <v>0</v>
      </c>
      <c r="FH401" s="473"/>
      <c r="FI401" s="472">
        <f>(FI385+FI386+FI388+FI389-FI393-FI394-FI395-FI396-FI397)-FI400</f>
        <v>0</v>
      </c>
      <c r="FJ401" s="473"/>
      <c r="FK401" s="472">
        <f>(FK385+FK386+FK388+FK389-FK393-FK394-FK395-FK396-FK397)-FK400</f>
        <v>0</v>
      </c>
      <c r="FL401" s="473"/>
      <c r="FM401" s="472">
        <f>(FM385+FM386+FM388+FM389-FM393-FM394-FM395-FM396-FM397)-FM400</f>
        <v>0</v>
      </c>
      <c r="FN401" s="473"/>
      <c r="FO401" s="472">
        <f>(FO385+FO386+FO388+FO389-FO393-FO394-FO395-FO396-FO397)-FO400</f>
        <v>6.2527760746888816E-13</v>
      </c>
      <c r="FP401" s="473"/>
      <c r="FQ401" s="472">
        <f>(FQ385+FQ386+FQ388+FQ389-FQ393-FQ394-FQ395-FQ396-FQ397)-FQ400</f>
        <v>0</v>
      </c>
      <c r="FR401" s="473"/>
      <c r="FS401" s="474"/>
      <c r="FT401" s="351"/>
    </row>
    <row r="402" spans="1:176" ht="12.75" hidden="1" customHeight="1" outlineLevel="1" collapsed="1" x14ac:dyDescent="0.2">
      <c r="A402" s="70"/>
      <c r="B402" s="81"/>
      <c r="C402" s="155"/>
      <c r="D402" s="81"/>
      <c r="E402" s="155"/>
      <c r="F402" s="81"/>
      <c r="G402" s="155"/>
      <c r="H402" s="81"/>
      <c r="I402" s="155"/>
      <c r="J402" s="81"/>
      <c r="K402" s="155"/>
      <c r="L402" s="81"/>
      <c r="M402" s="155"/>
      <c r="N402" s="81"/>
      <c r="O402" s="155"/>
      <c r="P402" s="81"/>
      <c r="Q402" s="155"/>
      <c r="R402" s="81"/>
      <c r="S402" s="155"/>
      <c r="T402" s="81"/>
      <c r="U402" s="155"/>
      <c r="V402" s="81"/>
      <c r="W402" s="155"/>
      <c r="X402" s="81"/>
      <c r="Y402" s="155"/>
      <c r="Z402" s="81"/>
      <c r="AA402" s="155"/>
      <c r="AB402" s="81"/>
      <c r="AC402" s="155"/>
      <c r="AD402" s="81"/>
      <c r="AE402" s="155"/>
      <c r="AF402" s="81"/>
      <c r="AG402" s="155"/>
      <c r="AH402" s="81"/>
      <c r="AI402" s="240"/>
      <c r="AJ402" s="81"/>
      <c r="AK402" s="240"/>
      <c r="AL402" s="81"/>
      <c r="AM402" s="240"/>
      <c r="AN402" s="81"/>
      <c r="AO402" s="240"/>
      <c r="AP402" s="81"/>
      <c r="AQ402" s="240"/>
      <c r="AR402" s="81"/>
      <c r="AS402" s="240"/>
      <c r="AT402" s="81"/>
      <c r="AU402" s="240"/>
      <c r="AV402" s="81"/>
      <c r="AW402" s="240"/>
      <c r="AX402" s="81"/>
      <c r="AY402" s="240"/>
      <c r="AZ402" s="81"/>
      <c r="BA402" s="240"/>
      <c r="BB402" s="81"/>
      <c r="BC402" s="240"/>
      <c r="BD402" s="81"/>
      <c r="BE402" s="240"/>
      <c r="BF402" s="81"/>
      <c r="BG402" s="240"/>
      <c r="BH402" s="81"/>
      <c r="BI402" s="240"/>
      <c r="BJ402" s="81"/>
      <c r="BK402" s="240"/>
      <c r="BL402" s="81"/>
      <c r="BM402" s="240"/>
      <c r="BN402" s="81"/>
      <c r="BO402" s="240"/>
      <c r="BP402" s="81"/>
      <c r="BQ402" s="240"/>
      <c r="BR402" s="81"/>
      <c r="BS402" s="240"/>
      <c r="BT402" s="81"/>
      <c r="BU402" s="240"/>
      <c r="BV402" s="81"/>
      <c r="BW402" s="240"/>
      <c r="BX402" s="81"/>
      <c r="BY402" s="240"/>
      <c r="BZ402" s="81"/>
      <c r="CA402" s="240"/>
      <c r="CB402" s="81"/>
      <c r="CC402" s="240"/>
      <c r="CD402" s="81"/>
      <c r="CE402" s="240"/>
      <c r="CF402" s="81"/>
      <c r="CG402" s="240"/>
      <c r="CH402" s="81"/>
      <c r="CI402" s="240"/>
      <c r="CJ402" s="81"/>
      <c r="CK402" s="240"/>
      <c r="CL402" s="81"/>
      <c r="CM402" s="240"/>
      <c r="CN402" s="81"/>
      <c r="CO402" s="240"/>
      <c r="CP402" s="81"/>
      <c r="CQ402" s="240"/>
      <c r="CR402" s="81"/>
      <c r="CS402" s="240"/>
      <c r="CT402" s="81"/>
      <c r="CU402" s="240"/>
      <c r="CV402" s="81"/>
      <c r="CW402" s="240"/>
      <c r="CX402" s="81"/>
      <c r="CY402" s="240"/>
      <c r="CZ402" s="81"/>
      <c r="DA402" s="240"/>
      <c r="DB402" s="81"/>
      <c r="DC402" s="240"/>
      <c r="DD402" s="81"/>
      <c r="DE402" s="240"/>
      <c r="DF402" s="81"/>
      <c r="DG402" s="240"/>
      <c r="DH402" s="81"/>
      <c r="DI402" s="240"/>
      <c r="DJ402" s="81"/>
      <c r="DK402" s="240"/>
      <c r="DL402" s="81"/>
      <c r="DM402" s="240"/>
      <c r="DN402" s="81"/>
      <c r="DO402" s="240"/>
      <c r="DP402" s="81"/>
      <c r="DQ402" s="240"/>
      <c r="DR402" s="81"/>
      <c r="DS402" s="240"/>
      <c r="DT402" s="81"/>
      <c r="DU402" s="240"/>
      <c r="DV402" s="81"/>
      <c r="DW402" s="240"/>
      <c r="DX402" s="81"/>
      <c r="DY402" s="240"/>
      <c r="DZ402" s="81"/>
      <c r="EA402" s="240"/>
      <c r="EB402" s="155"/>
      <c r="EC402" s="81"/>
      <c r="ED402" s="155"/>
      <c r="EE402" s="81"/>
      <c r="EF402" s="155"/>
      <c r="EG402" s="81"/>
      <c r="EH402" s="155"/>
      <c r="EI402" s="81"/>
      <c r="EJ402" s="240"/>
      <c r="EK402" s="81"/>
      <c r="EL402" s="240"/>
      <c r="EM402" s="81"/>
      <c r="EN402" s="240"/>
      <c r="EO402" s="81"/>
      <c r="EP402" s="240"/>
      <c r="EQ402" s="81"/>
      <c r="ER402" s="240"/>
      <c r="ES402" s="81"/>
      <c r="ET402" s="240"/>
      <c r="EU402" s="81"/>
      <c r="EV402" s="240"/>
      <c r="EW402" s="81"/>
      <c r="EX402" s="240"/>
      <c r="EY402" s="81"/>
      <c r="EZ402" s="240"/>
      <c r="FA402" s="81"/>
      <c r="FB402" s="240"/>
      <c r="FC402" s="81"/>
      <c r="FD402" s="240"/>
      <c r="FE402" s="81"/>
      <c r="FF402" s="240"/>
      <c r="FG402" s="81"/>
      <c r="FH402" s="240"/>
      <c r="FI402" s="81"/>
      <c r="FJ402" s="240"/>
      <c r="FK402" s="81"/>
      <c r="FL402" s="240"/>
      <c r="FM402" s="81"/>
      <c r="FN402" s="240"/>
      <c r="FO402" s="81"/>
      <c r="FP402" s="240"/>
      <c r="FQ402" s="81"/>
      <c r="FR402" s="240"/>
      <c r="FS402" s="240"/>
    </row>
    <row r="403" spans="1:176" ht="12.75" hidden="1" customHeight="1" outlineLevel="1" x14ac:dyDescent="0.2">
      <c r="A403" s="70" t="s">
        <v>255</v>
      </c>
      <c r="B403" s="75"/>
      <c r="C403" s="155"/>
      <c r="D403" s="75"/>
      <c r="E403" s="155"/>
      <c r="F403" s="75"/>
      <c r="G403" s="155"/>
      <c r="H403" s="75"/>
      <c r="I403" s="155"/>
      <c r="J403" s="75"/>
      <c r="K403" s="155"/>
      <c r="L403" s="75"/>
      <c r="M403" s="155"/>
      <c r="N403" s="75"/>
      <c r="O403" s="155"/>
      <c r="P403" s="75"/>
      <c r="Q403" s="155"/>
      <c r="R403" s="75"/>
      <c r="S403" s="155"/>
      <c r="T403" s="75"/>
      <c r="U403" s="155"/>
      <c r="V403" s="75"/>
      <c r="W403" s="155"/>
      <c r="X403" s="75"/>
      <c r="Y403" s="155"/>
      <c r="Z403" s="75"/>
      <c r="AA403" s="155"/>
      <c r="AB403" s="75"/>
      <c r="AC403" s="155"/>
      <c r="AD403" s="75"/>
      <c r="AE403" s="155"/>
      <c r="AF403" s="75"/>
      <c r="AG403" s="155"/>
      <c r="AH403" s="75"/>
      <c r="AI403" s="240"/>
      <c r="AJ403" s="75"/>
      <c r="AK403" s="240"/>
      <c r="AL403" s="75"/>
      <c r="AM403" s="240"/>
      <c r="AN403" s="75"/>
      <c r="AO403" s="240"/>
      <c r="AP403" s="75"/>
      <c r="AQ403" s="240"/>
      <c r="AR403" s="75"/>
      <c r="AS403" s="240"/>
      <c r="AT403" s="75"/>
      <c r="AU403" s="240"/>
      <c r="AV403" s="75"/>
      <c r="AW403" s="240"/>
      <c r="AX403" s="75"/>
      <c r="AY403" s="240"/>
      <c r="AZ403" s="75"/>
      <c r="BA403" s="240"/>
      <c r="BB403" s="75"/>
      <c r="BC403" s="240"/>
      <c r="BD403" s="75"/>
      <c r="BE403" s="240"/>
      <c r="BF403" s="75"/>
      <c r="BG403" s="240"/>
      <c r="BH403" s="75"/>
      <c r="BI403" s="240"/>
      <c r="BJ403" s="75"/>
      <c r="BK403" s="240"/>
      <c r="BL403" s="75"/>
      <c r="BM403" s="240"/>
      <c r="BN403" s="75"/>
      <c r="BO403" s="240"/>
      <c r="BP403" s="75"/>
      <c r="BQ403" s="240"/>
      <c r="BR403" s="75"/>
      <c r="BS403" s="240"/>
      <c r="BT403" s="75"/>
      <c r="BU403" s="240"/>
      <c r="BV403" s="75"/>
      <c r="BW403" s="240"/>
      <c r="BX403" s="75"/>
      <c r="BY403" s="240"/>
      <c r="BZ403" s="75"/>
      <c r="CA403" s="240"/>
      <c r="CB403" s="75"/>
      <c r="CC403" s="240"/>
      <c r="CD403" s="75"/>
      <c r="CE403" s="240"/>
      <c r="CF403" s="75"/>
      <c r="CG403" s="240"/>
      <c r="CH403" s="75"/>
      <c r="CI403" s="240"/>
      <c r="CJ403" s="75"/>
      <c r="CK403" s="240"/>
      <c r="CL403" s="75"/>
      <c r="CM403" s="240"/>
      <c r="CN403" s="75"/>
      <c r="CO403" s="240"/>
      <c r="CP403" s="75"/>
      <c r="CQ403" s="240"/>
      <c r="CR403" s="75"/>
      <c r="CS403" s="240"/>
      <c r="CT403" s="75"/>
      <c r="CU403" s="240"/>
      <c r="CV403" s="75"/>
      <c r="CW403" s="240"/>
      <c r="CX403" s="75"/>
      <c r="CY403" s="240"/>
      <c r="CZ403" s="75"/>
      <c r="DA403" s="240"/>
      <c r="DB403" s="75"/>
      <c r="DC403" s="240"/>
      <c r="DD403" s="75"/>
      <c r="DE403" s="240"/>
      <c r="DF403" s="75"/>
      <c r="DG403" s="240"/>
      <c r="DH403" s="75"/>
      <c r="DI403" s="240"/>
      <c r="DJ403" s="75"/>
      <c r="DK403" s="240"/>
      <c r="DL403" s="75"/>
      <c r="DM403" s="240"/>
      <c r="DN403" s="75"/>
      <c r="DO403" s="240"/>
      <c r="DP403" s="75"/>
      <c r="DQ403" s="240"/>
      <c r="DR403" s="75"/>
      <c r="DS403" s="240"/>
      <c r="DT403" s="75"/>
      <c r="DU403" s="240"/>
      <c r="DV403" s="75"/>
      <c r="DW403" s="240"/>
      <c r="DX403" s="75"/>
      <c r="DY403" s="240"/>
      <c r="DZ403" s="75"/>
      <c r="EA403" s="240"/>
      <c r="EB403" s="155"/>
      <c r="EC403" s="75"/>
      <c r="ED403" s="155"/>
      <c r="EE403" s="75"/>
      <c r="EF403" s="155"/>
      <c r="EG403" s="75"/>
      <c r="EH403" s="155"/>
      <c r="EI403" s="75"/>
      <c r="EJ403" s="240"/>
      <c r="EK403" s="75"/>
      <c r="EL403" s="240"/>
      <c r="EM403" s="75"/>
      <c r="EN403" s="240"/>
      <c r="EO403" s="75"/>
      <c r="EP403" s="240"/>
      <c r="EQ403" s="75"/>
      <c r="ER403" s="240"/>
      <c r="ES403" s="75"/>
      <c r="ET403" s="240"/>
      <c r="EU403" s="75"/>
      <c r="EV403" s="240"/>
      <c r="EW403" s="75"/>
      <c r="EX403" s="240"/>
      <c r="EY403" s="75"/>
      <c r="EZ403" s="240"/>
      <c r="FA403" s="75"/>
      <c r="FB403" s="240"/>
      <c r="FC403" s="75"/>
      <c r="FD403" s="240"/>
      <c r="FE403" s="75"/>
      <c r="FF403" s="240"/>
      <c r="FG403" s="75"/>
      <c r="FH403" s="240"/>
      <c r="FI403" s="75"/>
      <c r="FJ403" s="240"/>
      <c r="FK403" s="75"/>
      <c r="FL403" s="240"/>
      <c r="FM403" s="75"/>
      <c r="FN403" s="240"/>
      <c r="FO403" s="75"/>
      <c r="FP403" s="240"/>
      <c r="FQ403" s="75"/>
      <c r="FR403" s="240"/>
      <c r="FS403" s="240"/>
    </row>
    <row r="404" spans="1:176" ht="12.75" hidden="1" customHeight="1" outlineLevel="1" x14ac:dyDescent="0.2">
      <c r="A404" s="77" t="str">
        <f>INPUT!B129</f>
        <v>Pretax Margin (%)</v>
      </c>
      <c r="B404" s="73">
        <f>INPUT!AA129</f>
        <v>21.946169772256731</v>
      </c>
      <c r="C404" s="155">
        <f>INPUT!AB129</f>
        <v>-16.904673426412558</v>
      </c>
      <c r="D404" s="73">
        <f>INPUT!AC129</f>
        <v>23.251028806584362</v>
      </c>
      <c r="E404" s="155">
        <f>INPUT!AD129</f>
        <v>-18.621399176954725</v>
      </c>
      <c r="F404" s="73">
        <f>INPUT!AE129</f>
        <v>16.059957173447536</v>
      </c>
      <c r="G404" s="155">
        <f>INPUT!AF129</f>
        <v>-30.872358253421467</v>
      </c>
      <c r="H404" s="73">
        <f>INPUT!AG129</f>
        <v>12.401574803149607</v>
      </c>
      <c r="I404" s="155">
        <f>INPUT!AH129</f>
        <v>0.9842519685039548</v>
      </c>
      <c r="J404" s="73">
        <f>INPUT!AI129</f>
        <v>17.365269461077844</v>
      </c>
      <c r="K404" s="155">
        <f>INPUT!AJ129</f>
        <v>-20.87334764433399</v>
      </c>
      <c r="L404" s="73">
        <f>INPUT!AK129</f>
        <v>19.329388560157788</v>
      </c>
      <c r="M404" s="155">
        <f>INPUT!AL129</f>
        <v>-16.866523537728455</v>
      </c>
      <c r="N404" s="73">
        <f>INPUT!AM129</f>
        <v>19.056603773584907</v>
      </c>
      <c r="O404" s="155">
        <f>INPUT!AN129</f>
        <v>18.659119496855368</v>
      </c>
      <c r="P404" s="73">
        <f>INPUT!AO129</f>
        <v>19.439252336448597</v>
      </c>
      <c r="Q404" s="155">
        <f>INPUT!AP129</f>
        <v>56.748256935172805</v>
      </c>
      <c r="R404" s="73">
        <f>INPUT!AQ129</f>
        <v>21.992481203007518</v>
      </c>
      <c r="S404" s="155">
        <f>INPUT!AR129</f>
        <v>26.646357272491585</v>
      </c>
      <c r="T404" s="73">
        <f>INPUT!AS129</f>
        <v>21.715328467153284</v>
      </c>
      <c r="U404" s="155">
        <f>INPUT!AT129</f>
        <v>12.343587069864441</v>
      </c>
      <c r="V404" s="73">
        <f>INPUT!AU129</f>
        <v>19.933554817275748</v>
      </c>
      <c r="W404" s="155">
        <f>INPUT!AV129</f>
        <v>4.6018223084766987</v>
      </c>
      <c r="X404" s="73">
        <f>INPUT!AW129</f>
        <v>24.482758620689655</v>
      </c>
      <c r="Y404" s="155">
        <f>INPUT!AX129</f>
        <v>25.944960212201607</v>
      </c>
      <c r="Z404" s="73">
        <f>INPUT!AY129</f>
        <v>23.792486583184257</v>
      </c>
      <c r="AA404" s="155">
        <f>INPUT!AZ129</f>
        <v>8.1846398483250056</v>
      </c>
      <c r="AB404" s="73">
        <f>INPUT!BA129</f>
        <v>16.552901023890783</v>
      </c>
      <c r="AC404" s="155">
        <f>INPUT!BB129</f>
        <v>-23.773195284939916</v>
      </c>
      <c r="AD404" s="73">
        <f>INPUT!BC129</f>
        <v>39.186295503211994</v>
      </c>
      <c r="AE404" s="155">
        <f>INPUT!BD129</f>
        <v>96.584582441113497</v>
      </c>
      <c r="AF404" s="73">
        <f>INPUT!BE129</f>
        <v>21.818181818181817</v>
      </c>
      <c r="AG404" s="155">
        <f>INPUT!BF129</f>
        <v>-10.883482714468641</v>
      </c>
      <c r="AH404" s="81">
        <f>INPUT!BG129</f>
        <v>16.006339144215531</v>
      </c>
      <c r="AI404" s="240">
        <f>INPUT!BH129</f>
        <v>-32.725236228447514</v>
      </c>
      <c r="AJ404" s="81">
        <f>INPUT!BI129</f>
        <v>22.416534181240063</v>
      </c>
      <c r="AK404" s="240">
        <f>INPUT!BJ129</f>
        <v>35.423598249553379</v>
      </c>
      <c r="AL404" s="81">
        <f>INPUT!BK129</f>
        <v>37.351190476190474</v>
      </c>
      <c r="AM404" s="240">
        <f>INPUT!BL129</f>
        <v>-4.6830275826177541</v>
      </c>
      <c r="AN404" s="81">
        <f>INPUT!BM129</f>
        <v>19.253731343283579</v>
      </c>
      <c r="AO404" s="240">
        <f>INPUT!BN129</f>
        <v>-11.75373134328359</v>
      </c>
      <c r="AP404" s="81">
        <f>INPUT!BO129</f>
        <v>14.117647058823529</v>
      </c>
      <c r="AQ404" s="240">
        <f>INPUT!BP129</f>
        <v>-11.799650553290618</v>
      </c>
      <c r="AR404" s="81">
        <f>INPUT!BQ129</f>
        <v>15.236686390532544</v>
      </c>
      <c r="AS404" s="240">
        <f>INPUT!BR129</f>
        <v>-32.029250073439925</v>
      </c>
      <c r="AT404" s="81">
        <f>INPUT!BS129</f>
        <v>34.897360703812318</v>
      </c>
      <c r="AU404" s="240">
        <f>INPUT!BT129</f>
        <v>-6.5696159642953091</v>
      </c>
      <c r="AV404" s="81">
        <f>INPUT!BU129</f>
        <v>1.2569832402234637</v>
      </c>
      <c r="AW404" s="240" t="str">
        <f>INPUT!BV129</f>
        <v>NM</v>
      </c>
      <c r="AX404" s="81">
        <f>INPUT!BW129</f>
        <v>5.8823529411764701</v>
      </c>
      <c r="AY404" s="240" t="str">
        <f>INPUT!BX129</f>
        <v>NM</v>
      </c>
      <c r="AZ404" s="81">
        <f>INPUT!BY129</f>
        <v>19.630156472261735</v>
      </c>
      <c r="BA404" s="240">
        <f>INPUT!BZ129</f>
        <v>28.834813351931388</v>
      </c>
      <c r="BB404" s="81">
        <f>INPUT!CA129</f>
        <v>37.042682926829265</v>
      </c>
      <c r="BC404" s="240">
        <f>INPUT!CB129</f>
        <v>6.1475199836031891</v>
      </c>
      <c r="BD404" s="81">
        <f>INPUT!CC129</f>
        <v>19.34156378600823</v>
      </c>
      <c r="BE404" s="240" t="str">
        <f>INPUT!CD129</f>
        <v>NM</v>
      </c>
      <c r="BF404" s="81">
        <f>INPUT!CE129</f>
        <v>12.518195050946144</v>
      </c>
      <c r="BG404" s="240" t="str">
        <f>INPUT!CF129</f>
        <v>NM</v>
      </c>
      <c r="BH404" s="81">
        <f>INPUT!CG129</f>
        <v>14.247669773635153</v>
      </c>
      <c r="BI404" s="240">
        <f>INPUT!CH129</f>
        <v>-27.419479341554251</v>
      </c>
      <c r="BJ404" s="81">
        <f>INPUT!CI129</f>
        <v>24.53125</v>
      </c>
      <c r="BK404" s="240">
        <f>INPUT!CJ129</f>
        <v>-33.775720164609041</v>
      </c>
      <c r="BL404" s="81">
        <f>INPUT!CK129</f>
        <v>17.861975642760484</v>
      </c>
      <c r="BM404" s="240">
        <f>INPUT!CL129</f>
        <v>-7.6497855065787661</v>
      </c>
      <c r="BN404" s="81">
        <f>INPUT!CM129</f>
        <v>13.517241379310343</v>
      </c>
      <c r="BO404" s="240">
        <f>INPUT!CN129</f>
        <v>7.9807538091419161</v>
      </c>
      <c r="BP404" s="81">
        <f>INPUT!CO129</f>
        <v>17.693315858453474</v>
      </c>
      <c r="BQ404" s="240">
        <f>INPUT!CP129</f>
        <v>24.183927193444489</v>
      </c>
      <c r="BR404" s="81">
        <f>INPUT!CQ129</f>
        <v>17.262830482115085</v>
      </c>
      <c r="BS404" s="240">
        <f>INPUT!CR129</f>
        <v>-29.629226060167795</v>
      </c>
      <c r="BT404" s="81">
        <f>INPUT!CS129</f>
        <v>17.945383615084527</v>
      </c>
      <c r="BU404" s="240">
        <f>INPUT!CT129</f>
        <v>0.46695826929898487</v>
      </c>
      <c r="BV404" s="81">
        <f>INPUT!CU129</f>
        <v>14.432989690721648</v>
      </c>
      <c r="BW404" s="240">
        <f>INPUT!CV129</f>
        <v>6.7746686303387378</v>
      </c>
      <c r="BX404" s="81">
        <f>INPUT!CW129</f>
        <v>7.5965130759651309</v>
      </c>
      <c r="BY404" s="240" t="str">
        <f>INPUT!CX129</f>
        <v>NM</v>
      </c>
      <c r="BZ404" s="81">
        <f>INPUT!CY129</f>
        <v>11.814345991561181</v>
      </c>
      <c r="CA404" s="240">
        <f>INPUT!CZ129</f>
        <v>-31.561941688523959</v>
      </c>
      <c r="CB404" s="81">
        <f>INPUT!DA129</f>
        <v>11.785714285714285</v>
      </c>
      <c r="CC404" s="240">
        <f>INPUT!DB129</f>
        <v>-34.324534161490689</v>
      </c>
      <c r="CD404" s="81">
        <f>INPUT!DC129</f>
        <v>11.861471861471863</v>
      </c>
      <c r="CE404" s="240">
        <f>INPUT!DD129</f>
        <v>-17.816944959802086</v>
      </c>
      <c r="CF404" s="81">
        <f>INPUT!DE129</f>
        <v>11.633663366336634</v>
      </c>
      <c r="CG404" s="240">
        <f>INPUT!DF129</f>
        <v>53.144781691283896</v>
      </c>
      <c r="CH404" s="81">
        <f>INPUT!DG129</f>
        <v>14.217098943323728</v>
      </c>
      <c r="CI404" s="240">
        <f>INPUT!DH129</f>
        <v>20.337587484561553</v>
      </c>
      <c r="CJ404" s="81">
        <f>INPUT!DI129</f>
        <v>12.953795379537954</v>
      </c>
      <c r="CK404" s="240">
        <f>INPUT!DJ129</f>
        <v>9.9109910991099355</v>
      </c>
      <c r="CL404" s="81">
        <f>INPUT!DK129</f>
        <v>9.6450617283950617</v>
      </c>
      <c r="CM404" s="240">
        <f>INPUT!DL129</f>
        <v>-18.685793457691275</v>
      </c>
      <c r="CN404" s="81">
        <f>INPUT!DM129</f>
        <v>11.987860394537178</v>
      </c>
      <c r="CO404" s="240">
        <f>INPUT!DN129</f>
        <v>3.0445872211280829</v>
      </c>
      <c r="CP404" s="81">
        <f>INPUT!DO129</f>
        <v>7.5722092115534743</v>
      </c>
      <c r="CQ404" s="240">
        <f>INPUT!DP129</f>
        <v>-46.738717640356988</v>
      </c>
      <c r="CR404" s="81">
        <f>INPUT!DQ129</f>
        <v>8.8655146506386178</v>
      </c>
      <c r="CS404" s="240">
        <f>INPUT!DR129</f>
        <v>-31.560485626917171</v>
      </c>
      <c r="CT404" s="81">
        <f>INPUT!DS129</f>
        <v>8.5862324204293117</v>
      </c>
      <c r="CU404" s="240">
        <f>INPUT!DT129</f>
        <v>-10.977942264988897</v>
      </c>
      <c r="CV404" s="81">
        <f>INPUT!DU129</f>
        <v>20.431034482758619</v>
      </c>
      <c r="CW404" s="240">
        <f>INPUT!DV129</f>
        <v>70.431034482758605</v>
      </c>
      <c r="CX404" s="81">
        <f>INPUT!DW129</f>
        <v>13.309090909090909</v>
      </c>
      <c r="CY404" s="240">
        <f>INPUT!DX129</f>
        <v>75.762324273664461</v>
      </c>
      <c r="CZ404" s="81">
        <f>INPUT!DY129</f>
        <v>7.3496659242761693</v>
      </c>
      <c r="DA404" s="240">
        <f>INPUT!DZ129</f>
        <v>-17.098259786342524</v>
      </c>
      <c r="DB404" s="81">
        <f>INPUT!EA129</f>
        <v>8.7847730600292824</v>
      </c>
      <c r="DC404" s="240">
        <f>INPUT!EB129</f>
        <v>2.3123138284444735</v>
      </c>
      <c r="DD404" s="81">
        <f>INPUT!EC129</f>
        <v>-25.108225108225106</v>
      </c>
      <c r="DE404" s="240" t="str">
        <f>INPUT!ED129</f>
        <v>NM</v>
      </c>
      <c r="DF404" s="81">
        <f>INPUT!EE129</f>
        <v>7.8723404255319149</v>
      </c>
      <c r="DG404" s="240">
        <f>INPUT!EF129</f>
        <v>-40.849901174282053</v>
      </c>
      <c r="DH404" s="81">
        <f>INPUT!EG129</f>
        <v>9.691011235955056</v>
      </c>
      <c r="DI404" s="240">
        <f>INPUT!EH129</f>
        <v>31.85648621041878</v>
      </c>
      <c r="DJ404" s="81">
        <f>INPUT!EI129</f>
        <v>8.1660899653979246</v>
      </c>
      <c r="DK404" s="240">
        <f>INPUT!EJ129</f>
        <v>-7.0426758938869511</v>
      </c>
      <c r="DL404" s="81">
        <f>INPUT!EK129</f>
        <v>-85.168195718654431</v>
      </c>
      <c r="DM404" s="240" t="str">
        <f>INPUT!EL129</f>
        <v>NM</v>
      </c>
      <c r="DN404" s="81">
        <f>INPUT!EM129</f>
        <v>10.630758327427356</v>
      </c>
      <c r="DO404" s="240">
        <f>INPUT!EN129</f>
        <v>35.039362537590733</v>
      </c>
      <c r="DP404" s="81">
        <f>INPUT!EO129</f>
        <v>6.6939890710382519</v>
      </c>
      <c r="DQ404" s="240">
        <f>INPUT!EP129</f>
        <v>-30.925793933634267</v>
      </c>
      <c r="DR404" s="81">
        <f>INPUT!EQ129</f>
        <v>6.3635279379290477</v>
      </c>
      <c r="DS404" s="240">
        <f>INPUT!ER129</f>
        <v>-22.073746861801084</v>
      </c>
      <c r="DT404" s="81">
        <f>INPUT!ES129</f>
        <v>8.6206957619480296</v>
      </c>
      <c r="DU404" s="240" t="str">
        <f>INPUT!ET129</f>
        <v>NM</v>
      </c>
      <c r="DV404" s="81">
        <f>INPUT!EU129</f>
        <v>7.7626454376422043</v>
      </c>
      <c r="DW404" s="240">
        <f>INPUT!EV129</f>
        <v>-26.979381916579001</v>
      </c>
      <c r="DX404" s="81">
        <f>INPUT!EW129</f>
        <v>7.4826702260686311</v>
      </c>
      <c r="DY404" s="240">
        <f>INPUT!EX129</f>
        <v>11.781930724127292</v>
      </c>
      <c r="DZ404" s="81"/>
      <c r="EA404" s="240"/>
      <c r="EB404" s="499" t="str">
        <f>INPUT!FI129</f>
        <v>NM</v>
      </c>
      <c r="EC404" s="81">
        <f>INPUT!FJ129</f>
        <v>22.007131940906778</v>
      </c>
      <c r="ED404" s="499">
        <f>INPUT!FK129</f>
        <v>54.694821225641419</v>
      </c>
      <c r="EE404" s="81">
        <f>INPUT!FL129</f>
        <v>18.3641975308642</v>
      </c>
      <c r="EF404" s="499">
        <f>INPUT!FM129</f>
        <v>-16.553426497485134</v>
      </c>
      <c r="EG404" s="81">
        <f>INPUT!FN129</f>
        <v>18.813314037626625</v>
      </c>
      <c r="EH404" s="499">
        <f>INPUT!FO129</f>
        <v>2.4456092132945457</v>
      </c>
      <c r="EI404" s="81">
        <f>INPUT!FP129</f>
        <v>22.015915119363395</v>
      </c>
      <c r="EJ404" s="240">
        <f>INPUT!FQ129</f>
        <v>17.023056519077755</v>
      </c>
      <c r="EK404" s="81">
        <f>INPUT!FR129</f>
        <v>24.582769508344608</v>
      </c>
      <c r="EL404" s="240">
        <f>INPUT!FS129</f>
        <v>11.659085598143577</v>
      </c>
      <c r="EM404" s="81">
        <f>INPUT!FT129</f>
        <v>23.904688700999234</v>
      </c>
      <c r="EN404" s="240">
        <f>INPUT!FU129</f>
        <v>-2.7583580731829187</v>
      </c>
      <c r="EO404" s="81">
        <f>INPUT!FV129</f>
        <v>16.811909949164853</v>
      </c>
      <c r="EP404" s="240">
        <f>INPUT!FW129</f>
        <v>-29.671077672464719</v>
      </c>
      <c r="EQ404" s="81">
        <f>INPUT!FX129</f>
        <v>18.576075171666066</v>
      </c>
      <c r="ER404" s="240">
        <f>INPUT!FY129</f>
        <v>10.493544325633565</v>
      </c>
      <c r="ES404" s="81">
        <f>INPUT!FZ129</f>
        <v>17.110401135960242</v>
      </c>
      <c r="ET404" s="240">
        <f>INPUT!GA129</f>
        <v>-7.8901168420194807</v>
      </c>
      <c r="EU404" s="81">
        <f>INPUT!GB129</f>
        <v>16.620689655172413</v>
      </c>
      <c r="EV404" s="240">
        <f>INPUT!GC129</f>
        <v>-2.8620689655172526</v>
      </c>
      <c r="EW404" s="81">
        <f>INPUT!GD129</f>
        <v>11.404811404811404</v>
      </c>
      <c r="EX404" s="240">
        <f>INPUT!GE129</f>
        <v>-31.381840095533036</v>
      </c>
      <c r="EY404" s="81">
        <f>INPUT!GF129</f>
        <v>12.619047619047619</v>
      </c>
      <c r="EZ404" s="240">
        <f>INPUT!GG129</f>
        <v>10.646701388888886</v>
      </c>
      <c r="FA404" s="81">
        <f>INPUT!GH129</f>
        <v>9.5292766934557971</v>
      </c>
      <c r="FB404" s="240">
        <f>INPUT!GI129</f>
        <v>-24.484977146199341</v>
      </c>
      <c r="FC404" s="81">
        <f>INPUT!GJ129</f>
        <v>12.134530861838332</v>
      </c>
      <c r="FD404" s="240">
        <f>INPUT!GK129</f>
        <v>27.339474465797451</v>
      </c>
      <c r="FE404" s="81">
        <f>INPUT!GL129</f>
        <v>1.4752567693744163</v>
      </c>
      <c r="FF404" s="240" t="str">
        <f>INPUT!GM129</f>
        <v>NM</v>
      </c>
      <c r="FG404" s="81">
        <f>INPUT!GN129</f>
        <v>-3.8399678327301969</v>
      </c>
      <c r="FH404" s="240" t="str">
        <f>INPUT!GO129</f>
        <v>NM</v>
      </c>
      <c r="FI404" s="81">
        <f>INPUT!GP129</f>
        <v>7.5227567833614204</v>
      </c>
      <c r="FJ404" s="240" t="str">
        <f>INPUT!GQ129</f>
        <v>NM</v>
      </c>
      <c r="FK404" s="81">
        <f>INPUT!GR129</f>
        <v>7.1003278997463424</v>
      </c>
      <c r="FL404" s="240">
        <f>INPUT!GS129</f>
        <v>-5.6153468173980059</v>
      </c>
      <c r="FM404" s="81">
        <f>INPUT!GT129</f>
        <v>6.6826263098697378</v>
      </c>
      <c r="FN404" s="240">
        <f>INPUT!GU129</f>
        <v>-5.8828492961786623</v>
      </c>
      <c r="FO404" s="81">
        <f>INPUT!GV129</f>
        <v>6.3704187165912476</v>
      </c>
      <c r="FP404" s="240">
        <f>INPUT!GW129</f>
        <v>-4.6719295498744771</v>
      </c>
      <c r="FQ404" s="81">
        <f>INPUT!GX129</f>
        <v>6.060961793161515</v>
      </c>
      <c r="FR404" s="240">
        <f>INPUT!GY129</f>
        <v>-4.8577171642387782</v>
      </c>
      <c r="FS404" s="240" t="str">
        <f>INPUT!GZ129</f>
        <v>NM</v>
      </c>
    </row>
    <row r="405" spans="1:176" ht="12.75" hidden="1" customHeight="1" outlineLevel="1" x14ac:dyDescent="0.2">
      <c r="A405" s="77"/>
      <c r="B405" s="81"/>
      <c r="C405" s="155"/>
      <c r="D405" s="81"/>
      <c r="E405" s="155"/>
      <c r="F405" s="81"/>
      <c r="G405" s="155"/>
      <c r="H405" s="81"/>
      <c r="I405" s="155"/>
      <c r="J405" s="81"/>
      <c r="K405" s="155"/>
      <c r="L405" s="81"/>
      <c r="M405" s="155"/>
      <c r="N405" s="81"/>
      <c r="O405" s="155"/>
      <c r="P405" s="81"/>
      <c r="Q405" s="155"/>
      <c r="R405" s="81"/>
      <c r="S405" s="155"/>
      <c r="T405" s="81"/>
      <c r="U405" s="155"/>
      <c r="V405" s="81"/>
      <c r="W405" s="155"/>
      <c r="X405" s="81"/>
      <c r="Y405" s="155"/>
      <c r="Z405" s="81"/>
      <c r="AA405" s="155"/>
      <c r="AB405" s="81"/>
      <c r="AC405" s="155"/>
      <c r="AD405" s="81"/>
      <c r="AE405" s="155"/>
      <c r="AF405" s="81"/>
      <c r="AG405" s="155"/>
      <c r="AH405" s="81"/>
      <c r="AI405" s="240"/>
      <c r="AJ405" s="81"/>
      <c r="AK405" s="240"/>
      <c r="AL405" s="81"/>
      <c r="AM405" s="240"/>
      <c r="AN405" s="81"/>
      <c r="AO405" s="240"/>
      <c r="AP405" s="81"/>
      <c r="AQ405" s="240"/>
      <c r="AR405" s="81"/>
      <c r="AS405" s="240"/>
      <c r="AT405" s="81"/>
      <c r="AU405" s="240"/>
      <c r="AV405" s="81"/>
      <c r="AW405" s="240"/>
      <c r="AX405" s="81"/>
      <c r="AY405" s="240"/>
      <c r="AZ405" s="81"/>
      <c r="BA405" s="240"/>
      <c r="BB405" s="81"/>
      <c r="BC405" s="240"/>
      <c r="BD405" s="81"/>
      <c r="BE405" s="240"/>
      <c r="BF405" s="81"/>
      <c r="BG405" s="240"/>
      <c r="BH405" s="81"/>
      <c r="BI405" s="240"/>
      <c r="BJ405" s="81"/>
      <c r="BK405" s="240"/>
      <c r="BL405" s="81"/>
      <c r="BM405" s="240"/>
      <c r="BN405" s="81"/>
      <c r="BO405" s="240"/>
      <c r="BP405" s="81"/>
      <c r="BQ405" s="240"/>
      <c r="BR405" s="81"/>
      <c r="BS405" s="240"/>
      <c r="BT405" s="81"/>
      <c r="BU405" s="240"/>
      <c r="BV405" s="81"/>
      <c r="BW405" s="240"/>
      <c r="BX405" s="81"/>
      <c r="BY405" s="240"/>
      <c r="BZ405" s="81"/>
      <c r="CA405" s="240"/>
      <c r="CB405" s="81"/>
      <c r="CC405" s="240"/>
      <c r="CD405" s="81"/>
      <c r="CE405" s="240"/>
      <c r="CF405" s="81"/>
      <c r="CG405" s="240"/>
      <c r="CH405" s="81"/>
      <c r="CI405" s="240"/>
      <c r="CJ405" s="81"/>
      <c r="CK405" s="240"/>
      <c r="CL405" s="81"/>
      <c r="CM405" s="240"/>
      <c r="CN405" s="81"/>
      <c r="CO405" s="240"/>
      <c r="CP405" s="81"/>
      <c r="CQ405" s="240"/>
      <c r="CR405" s="81"/>
      <c r="CS405" s="240"/>
      <c r="CT405" s="81"/>
      <c r="CU405" s="240"/>
      <c r="CV405" s="81"/>
      <c r="CW405" s="240"/>
      <c r="CX405" s="81"/>
      <c r="CY405" s="240"/>
      <c r="CZ405" s="81"/>
      <c r="DA405" s="240"/>
      <c r="DB405" s="81"/>
      <c r="DC405" s="240"/>
      <c r="DD405" s="81"/>
      <c r="DE405" s="240"/>
      <c r="DF405" s="81"/>
      <c r="DG405" s="240"/>
      <c r="DH405" s="81"/>
      <c r="DI405" s="240"/>
      <c r="DJ405" s="81"/>
      <c r="DK405" s="240"/>
      <c r="DL405" s="81"/>
      <c r="DM405" s="240"/>
      <c r="DN405" s="81"/>
      <c r="DO405" s="240"/>
      <c r="DP405" s="81"/>
      <c r="DQ405" s="240"/>
      <c r="DR405" s="81"/>
      <c r="DS405" s="240"/>
      <c r="DT405" s="81"/>
      <c r="DU405" s="240"/>
      <c r="DV405" s="81"/>
      <c r="DW405" s="240"/>
      <c r="DX405" s="81"/>
      <c r="DY405" s="240"/>
      <c r="DZ405" s="81"/>
      <c r="EA405" s="240"/>
      <c r="EB405" s="155"/>
      <c r="EC405" s="81"/>
      <c r="ED405" s="155"/>
      <c r="EE405" s="81"/>
      <c r="EF405" s="155"/>
      <c r="EG405" s="81"/>
      <c r="EH405" s="155"/>
      <c r="EI405" s="81"/>
      <c r="EJ405" s="240"/>
      <c r="EK405" s="81"/>
      <c r="EL405" s="240"/>
      <c r="EM405" s="81"/>
      <c r="EN405" s="240"/>
      <c r="EO405" s="81"/>
      <c r="EP405" s="240"/>
      <c r="EQ405" s="81"/>
      <c r="ER405" s="240"/>
      <c r="ES405" s="81"/>
      <c r="ET405" s="240"/>
      <c r="EU405" s="81"/>
      <c r="EV405" s="240"/>
      <c r="EW405" s="81"/>
      <c r="EX405" s="240"/>
      <c r="EY405" s="81"/>
      <c r="EZ405" s="240"/>
      <c r="FA405" s="81"/>
      <c r="FB405" s="240"/>
      <c r="FC405" s="81"/>
      <c r="FD405" s="240"/>
      <c r="FE405" s="81"/>
      <c r="FF405" s="240"/>
      <c r="FG405" s="81"/>
      <c r="FH405" s="240"/>
      <c r="FI405" s="81"/>
      <c r="FJ405" s="240"/>
      <c r="FK405" s="81"/>
      <c r="FL405" s="240"/>
      <c r="FM405" s="81"/>
      <c r="FN405" s="240"/>
      <c r="FO405" s="81"/>
      <c r="FP405" s="240"/>
      <c r="FQ405" s="81"/>
      <c r="FR405" s="240"/>
      <c r="FS405" s="240"/>
    </row>
    <row r="406" spans="1:176" ht="12.75" hidden="1" customHeight="1" outlineLevel="1" x14ac:dyDescent="0.2">
      <c r="A406" s="70" t="s">
        <v>498</v>
      </c>
      <c r="B406" s="81"/>
      <c r="C406" s="155"/>
      <c r="D406" s="81"/>
      <c r="E406" s="155"/>
      <c r="F406" s="81"/>
      <c r="G406" s="155"/>
      <c r="H406" s="81"/>
      <c r="I406" s="155"/>
      <c r="J406" s="81"/>
      <c r="K406" s="155"/>
      <c r="L406" s="81"/>
      <c r="M406" s="155"/>
      <c r="N406" s="81"/>
      <c r="O406" s="155"/>
      <c r="P406" s="81"/>
      <c r="Q406" s="155"/>
      <c r="R406" s="81"/>
      <c r="S406" s="155"/>
      <c r="T406" s="81"/>
      <c r="U406" s="155"/>
      <c r="V406" s="81"/>
      <c r="W406" s="155"/>
      <c r="X406" s="81"/>
      <c r="Y406" s="155"/>
      <c r="Z406" s="81"/>
      <c r="AA406" s="155"/>
      <c r="AB406" s="81"/>
      <c r="AC406" s="155"/>
      <c r="AD406" s="81"/>
      <c r="AE406" s="155"/>
      <c r="AF406" s="81"/>
      <c r="AG406" s="155"/>
      <c r="AH406" s="81"/>
      <c r="AI406" s="240"/>
      <c r="AJ406" s="81"/>
      <c r="AK406" s="240"/>
      <c r="AL406" s="81"/>
      <c r="AM406" s="240"/>
      <c r="AN406" s="81"/>
      <c r="AO406" s="240"/>
      <c r="AP406" s="81"/>
      <c r="AQ406" s="240"/>
      <c r="AR406" s="81"/>
      <c r="AS406" s="240"/>
      <c r="AT406" s="81"/>
      <c r="AU406" s="240"/>
      <c r="AV406" s="81"/>
      <c r="AW406" s="240"/>
      <c r="AX406" s="81"/>
      <c r="AY406" s="240"/>
      <c r="AZ406" s="81"/>
      <c r="BA406" s="240"/>
      <c r="BB406" s="81"/>
      <c r="BC406" s="240"/>
      <c r="BD406" s="81"/>
      <c r="BE406" s="240"/>
      <c r="BF406" s="81"/>
      <c r="BG406" s="240"/>
      <c r="BH406" s="81"/>
      <c r="BI406" s="240"/>
      <c r="BJ406" s="81"/>
      <c r="BK406" s="240"/>
      <c r="BL406" s="81"/>
      <c r="BM406" s="240"/>
      <c r="BN406" s="81"/>
      <c r="BO406" s="240"/>
      <c r="BP406" s="81"/>
      <c r="BQ406" s="240"/>
      <c r="BR406" s="81"/>
      <c r="BS406" s="240"/>
      <c r="BT406" s="81"/>
      <c r="BU406" s="240"/>
      <c r="BV406" s="81"/>
      <c r="BW406" s="240"/>
      <c r="BX406" s="81"/>
      <c r="BY406" s="240"/>
      <c r="BZ406" s="81"/>
      <c r="CA406" s="240"/>
      <c r="CB406" s="81"/>
      <c r="CC406" s="240"/>
      <c r="CD406" s="81"/>
      <c r="CE406" s="240"/>
      <c r="CF406" s="81"/>
      <c r="CG406" s="240"/>
      <c r="CH406" s="81"/>
      <c r="CI406" s="240"/>
      <c r="CJ406" s="81"/>
      <c r="CK406" s="240"/>
      <c r="CL406" s="81"/>
      <c r="CM406" s="240"/>
      <c r="CN406" s="81"/>
      <c r="CO406" s="240"/>
      <c r="CP406" s="81"/>
      <c r="CQ406" s="240"/>
      <c r="CR406" s="81"/>
      <c r="CS406" s="240"/>
      <c r="CT406" s="81"/>
      <c r="CU406" s="240"/>
      <c r="CV406" s="81"/>
      <c r="CW406" s="240"/>
      <c r="CX406" s="81"/>
      <c r="CY406" s="240"/>
      <c r="CZ406" s="81"/>
      <c r="DA406" s="240"/>
      <c r="DB406" s="81"/>
      <c r="DC406" s="240"/>
      <c r="DD406" s="81"/>
      <c r="DE406" s="240"/>
      <c r="DF406" s="81"/>
      <c r="DG406" s="240"/>
      <c r="DH406" s="81"/>
      <c r="DI406" s="240"/>
      <c r="DJ406" s="81"/>
      <c r="DK406" s="240"/>
      <c r="DL406" s="81"/>
      <c r="DM406" s="240"/>
      <c r="DN406" s="81"/>
      <c r="DO406" s="240"/>
      <c r="DP406" s="81"/>
      <c r="DQ406" s="240"/>
      <c r="DR406" s="81"/>
      <c r="DS406" s="240"/>
      <c r="DT406" s="81"/>
      <c r="DU406" s="240"/>
      <c r="DV406" s="81"/>
      <c r="DW406" s="240"/>
      <c r="DX406" s="81"/>
      <c r="DY406" s="240"/>
      <c r="DZ406" s="81"/>
      <c r="EA406" s="240"/>
      <c r="EB406" s="155"/>
      <c r="EC406" s="81"/>
      <c r="ED406" s="155"/>
      <c r="EE406" s="81"/>
      <c r="EF406" s="155"/>
      <c r="EG406" s="81"/>
      <c r="EH406" s="155"/>
      <c r="EI406" s="81"/>
      <c r="EJ406" s="240"/>
      <c r="EK406" s="81"/>
      <c r="EL406" s="240"/>
      <c r="EM406" s="81"/>
      <c r="EN406" s="240"/>
      <c r="EO406" s="81"/>
      <c r="EP406" s="240"/>
      <c r="EQ406" s="81"/>
      <c r="ER406" s="240"/>
      <c r="ES406" s="81"/>
      <c r="ET406" s="240"/>
      <c r="EU406" s="81"/>
      <c r="EV406" s="240"/>
      <c r="EW406" s="81"/>
      <c r="EX406" s="240"/>
      <c r="EY406" s="81"/>
      <c r="EZ406" s="240"/>
      <c r="FA406" s="81"/>
      <c r="FB406" s="240"/>
      <c r="FC406" s="81"/>
      <c r="FD406" s="240"/>
      <c r="FE406" s="81"/>
      <c r="FF406" s="240"/>
      <c r="FG406" s="81"/>
      <c r="FH406" s="240"/>
      <c r="FI406" s="81"/>
      <c r="FJ406" s="240"/>
      <c r="FK406" s="81"/>
      <c r="FL406" s="240"/>
      <c r="FM406" s="81"/>
      <c r="FN406" s="240"/>
      <c r="FO406" s="81"/>
      <c r="FP406" s="240"/>
      <c r="FQ406" s="81"/>
      <c r="FR406" s="240"/>
      <c r="FS406" s="240"/>
    </row>
    <row r="407" spans="1:176" ht="12.75" hidden="1" customHeight="1" outlineLevel="1" x14ac:dyDescent="0.2">
      <c r="A407" s="77" t="s">
        <v>68</v>
      </c>
      <c r="B407" s="81">
        <f>INPUT!AA591</f>
        <v>23.245614035087719</v>
      </c>
      <c r="C407" s="155">
        <f>INPUT!AB591</f>
        <v>-1.8518518518518476</v>
      </c>
      <c r="D407" s="81">
        <f>INPUT!AC591</f>
        <v>20.545454545454543</v>
      </c>
      <c r="E407" s="155">
        <f>INPUT!AD591</f>
        <v>-25.878321678321683</v>
      </c>
      <c r="F407" s="81">
        <f>INPUT!AE591</f>
        <v>14.450867052023122</v>
      </c>
      <c r="G407" s="155">
        <f>INPUT!AF591</f>
        <v>-44.458406634832883</v>
      </c>
      <c r="H407" s="81">
        <f>INPUT!AG591</f>
        <v>11.209964412811388</v>
      </c>
      <c r="I407" s="155">
        <f>INPUT!AH591</f>
        <v>-39.786476868327391</v>
      </c>
      <c r="J407" s="81">
        <f>INPUT!AI591</f>
        <v>15.425531914893616</v>
      </c>
      <c r="K407" s="155">
        <f>INPUT!AJ591</f>
        <v>-33.641107988759529</v>
      </c>
      <c r="L407" s="81">
        <f>INPUT!AK591</f>
        <v>13.55463347164592</v>
      </c>
      <c r="M407" s="155">
        <f>INPUT!AL591</f>
        <v>-34.026120270749942</v>
      </c>
      <c r="N407" s="81">
        <f>INPUT!AM591</f>
        <v>14.185393258426968</v>
      </c>
      <c r="O407" s="155">
        <f>INPUT!AN591</f>
        <v>-1.8370786516853883</v>
      </c>
      <c r="P407" s="81">
        <f>INPUT!AO591</f>
        <v>13.055954088952653</v>
      </c>
      <c r="Q407" s="155">
        <f>INPUT!AP591</f>
        <v>16.46739996811732</v>
      </c>
      <c r="R407" s="81">
        <f>INPUT!AQ591</f>
        <v>11.826544021024969</v>
      </c>
      <c r="S407" s="155">
        <f>INPUT!AR591</f>
        <v>-23.331369794734684</v>
      </c>
      <c r="T407" s="81">
        <f>INPUT!AS591</f>
        <v>12.779156327543426</v>
      </c>
      <c r="U407" s="155">
        <f>INPUT!AT591</f>
        <v>-5.7211221957765588</v>
      </c>
      <c r="V407" s="81">
        <f>INPUT!AU591</f>
        <v>12.214611872146119</v>
      </c>
      <c r="W407" s="155">
        <f>INPUT!AV591</f>
        <v>-13.893033138930349</v>
      </c>
      <c r="X407" s="81">
        <f>INPUT!AW591</f>
        <v>15.106382978723405</v>
      </c>
      <c r="Y407" s="155">
        <f>INPUT!AX591</f>
        <v>15.704933364507838</v>
      </c>
      <c r="Z407" s="81">
        <f>INPUT!AY591</f>
        <v>12.225705329153605</v>
      </c>
      <c r="AA407" s="155">
        <f>INPUT!AZ591</f>
        <v>3.3751306165099209</v>
      </c>
      <c r="AB407" s="81">
        <f>INPUT!BA591</f>
        <v>10.839532412327312</v>
      </c>
      <c r="AC407" s="155">
        <f>INPUT!BB591</f>
        <v>-15.178027919069777</v>
      </c>
      <c r="AD407" s="81">
        <f>INPUT!BC591</f>
        <v>11.876988335100743</v>
      </c>
      <c r="AE407" s="155">
        <f>INPUT!BD591</f>
        <v>-2.7640954995490574</v>
      </c>
      <c r="AF407" s="81">
        <f>INPUT!BE591</f>
        <v>13.580246913580247</v>
      </c>
      <c r="AG407" s="155">
        <f>INPUT!BF591</f>
        <v>-10.102590853764568</v>
      </c>
      <c r="AH407" s="81">
        <f>INPUT!BG591</f>
        <v>9.6227134146341466</v>
      </c>
      <c r="AI407" s="240">
        <f>INPUT!BH591</f>
        <v>-21.291138993120697</v>
      </c>
      <c r="AJ407" s="81">
        <f>INPUT!BI591</f>
        <v>12.864963503649635</v>
      </c>
      <c r="AK407" s="240">
        <f>INPUT!BJ591</f>
        <v>18.685594675826536</v>
      </c>
      <c r="AL407" s="81">
        <f>INPUT!BK591</f>
        <v>13.435114503816795</v>
      </c>
      <c r="AM407" s="240">
        <f>INPUT!BL591</f>
        <v>13.118865866957478</v>
      </c>
      <c r="AN407" s="81">
        <f>INPUT!BM591</f>
        <v>11.328790459965928</v>
      </c>
      <c r="AO407" s="240">
        <f>INPUT!BN591</f>
        <v>-16.578906612978159</v>
      </c>
      <c r="AP407" s="81">
        <f>INPUT!BO591</f>
        <v>10.191082802547772</v>
      </c>
      <c r="AQ407" s="240">
        <f>INPUT!BP591</f>
        <v>5.9065396985558607</v>
      </c>
      <c r="AR407" s="81">
        <f>INPUT!BQ591</f>
        <v>9.5903165735567963</v>
      </c>
      <c r="AS407" s="240">
        <f>INPUT!BR591</f>
        <v>-25.453993158735827</v>
      </c>
      <c r="AT407" s="81">
        <f>INPUT!BS591</f>
        <v>11.041666666666666</v>
      </c>
      <c r="AU407" s="240">
        <f>INPUT!BT591</f>
        <v>-17.814867424242436</v>
      </c>
      <c r="AV407" s="81">
        <f>INPUT!BU591</f>
        <v>1.5652173913043479</v>
      </c>
      <c r="AW407" s="240" t="str">
        <f>INPUT!BV591</f>
        <v>NM</v>
      </c>
      <c r="AX407" s="81">
        <f>INPUT!BW591</f>
        <v>11.745513866231647</v>
      </c>
      <c r="AY407" s="240">
        <f>INPUT!BX591</f>
        <v>15.252854812398027</v>
      </c>
      <c r="AZ407" s="81">
        <f>INPUT!BY591</f>
        <v>16.106442577030812</v>
      </c>
      <c r="BA407" s="240">
        <f>INPUT!BZ591</f>
        <v>67.944847842049427</v>
      </c>
      <c r="BB407" s="81">
        <f>INPUT!CA591</f>
        <v>12.81437125748503</v>
      </c>
      <c r="BC407" s="240">
        <f>INPUT!CB591</f>
        <v>16.05468308665688</v>
      </c>
      <c r="BD407" s="81">
        <f>INPUT!CC591</f>
        <v>20.55393586005831</v>
      </c>
      <c r="BE407" s="240" t="str">
        <f>INPUT!CD591</f>
        <v>NM</v>
      </c>
      <c r="BF407" s="81">
        <f>INPUT!CE591</f>
        <v>11.360634081902246</v>
      </c>
      <c r="BG407" s="240">
        <f>INPUT!CF591</f>
        <v>-3.2768237193600385</v>
      </c>
      <c r="BH407" s="81">
        <f>INPUT!CG591</f>
        <v>16.892725030826142</v>
      </c>
      <c r="BI407" s="240">
        <f>INPUT!CH591</f>
        <v>4.8817884522597126</v>
      </c>
      <c r="BJ407" s="81">
        <f>INPUT!CI591</f>
        <v>13.90728476821192</v>
      </c>
      <c r="BK407" s="240">
        <f>INPUT!CJ591</f>
        <v>8.5288110416537677</v>
      </c>
      <c r="BL407" s="81">
        <f>INPUT!CK591</f>
        <v>15.137614678899084</v>
      </c>
      <c r="BM407" s="240">
        <f>INPUT!CL591</f>
        <v>-26.351747023228583</v>
      </c>
      <c r="BN407" s="81">
        <f>INPUT!CM591</f>
        <v>10.319048120459092</v>
      </c>
      <c r="BO407" s="240">
        <f>INPUT!CN591</f>
        <v>-9.1683787536333483</v>
      </c>
      <c r="BP407" s="81">
        <f>INPUT!CO591</f>
        <v>12.217194570135746</v>
      </c>
      <c r="BQ407" s="240">
        <f>INPUT!CP591</f>
        <v>-27.677775208904464</v>
      </c>
      <c r="BR407" s="81">
        <f>INPUT!CQ591</f>
        <v>8.5452695829094605</v>
      </c>
      <c r="BS407" s="240">
        <f>INPUT!CR591</f>
        <v>-38.555442522889116</v>
      </c>
      <c r="BT407" s="81">
        <f>INPUT!CS591</f>
        <v>13.0879345603272</v>
      </c>
      <c r="BU407" s="240">
        <f>INPUT!CT591</f>
        <v>-13.540311086323356</v>
      </c>
      <c r="BV407" s="81">
        <f>INPUT!CU591</f>
        <v>12.068965517241379</v>
      </c>
      <c r="BW407" s="240">
        <f>INPUT!CV591</f>
        <v>16.958128078817737</v>
      </c>
      <c r="BX407" s="81">
        <f>INPUT!CW591</f>
        <v>5.5353901996370229</v>
      </c>
      <c r="BY407" s="240" t="str">
        <f>INPUT!CX591</f>
        <v>NM</v>
      </c>
      <c r="BZ407" s="81">
        <f>INPUT!CY591</f>
        <v>11.710193765796124</v>
      </c>
      <c r="CA407" s="240">
        <f>INPUT!CZ591</f>
        <v>37.037148473542743</v>
      </c>
      <c r="CB407" s="81">
        <f>INPUT!DA591</f>
        <v>10.070671378091872</v>
      </c>
      <c r="CC407" s="240">
        <f>INPUT!DB591</f>
        <v>-23.053776501766805</v>
      </c>
      <c r="CD407" s="81">
        <f>INPUT!DC591</f>
        <v>10.568513119533527</v>
      </c>
      <c r="CE407" s="240">
        <f>INPUT!DD591</f>
        <v>-12.432319866722196</v>
      </c>
      <c r="CF407" s="81">
        <f>INPUT!DE591</f>
        <v>11.086797957695113</v>
      </c>
      <c r="CG407" s="240" t="str">
        <f>INPUT!DF591</f>
        <v>NM</v>
      </c>
      <c r="CH407" s="81">
        <f>INPUT!DG591</f>
        <v>9.5709570957095718</v>
      </c>
      <c r="CI407" s="240">
        <f>INPUT!DH591</f>
        <v>-18.268157751026891</v>
      </c>
      <c r="CJ407" s="81">
        <f>INPUT!DI591</f>
        <v>11.201629327902241</v>
      </c>
      <c r="CK407" s="240">
        <f>INPUT!DJ591</f>
        <v>11.230214027941557</v>
      </c>
      <c r="CL407" s="81">
        <f>INPUT!DK591</f>
        <v>8.2301980198019802</v>
      </c>
      <c r="CM407" s="240">
        <f>INPUT!DL591</f>
        <v>-22.125298736770233</v>
      </c>
      <c r="CN407" s="81">
        <f>INPUT!DM591</f>
        <v>10.152905198776759</v>
      </c>
      <c r="CO407" s="240">
        <f>INPUT!DN591</f>
        <v>-8.423466924191203</v>
      </c>
      <c r="CP407" s="81">
        <f>INPUT!DO591</f>
        <v>10.519724483406387</v>
      </c>
      <c r="CQ407" s="240">
        <f>INPUT!DP591</f>
        <v>9.9129833955908566</v>
      </c>
      <c r="CR407" s="81">
        <f>INPUT!DQ591</f>
        <v>9.0240641711229941</v>
      </c>
      <c r="CS407" s="240">
        <f>INPUT!DR591</f>
        <v>-19.439718035974735</v>
      </c>
      <c r="CT407" s="81">
        <f>INPUT!DS591</f>
        <v>7.5849514563106792</v>
      </c>
      <c r="CU407" s="240">
        <f>INPUT!DT591</f>
        <v>-7.8399883203153564</v>
      </c>
      <c r="CV407" s="81">
        <f>INPUT!DU591</f>
        <v>10.805860805860807</v>
      </c>
      <c r="CW407" s="240">
        <f>INPUT!DV591</f>
        <v>6.4312193830266153</v>
      </c>
      <c r="CX407" s="81">
        <f>INPUT!DW591</f>
        <v>11.829347123464769</v>
      </c>
      <c r="CY407" s="240">
        <f>INPUT!DX591</f>
        <v>12.449210453412121</v>
      </c>
      <c r="CZ407" s="81">
        <f>INPUT!DY591</f>
        <v>9.3369948999607679</v>
      </c>
      <c r="DA407" s="240">
        <f>INPUT!DZ591</f>
        <v>3.4677360766022929</v>
      </c>
      <c r="DB407" s="81">
        <f>INPUT!EA591</f>
        <v>11.595221363316936</v>
      </c>
      <c r="DC407" s="240">
        <f>INPUT!EB591</f>
        <v>52.8713984539705</v>
      </c>
      <c r="DD407" s="81">
        <f>INPUT!EC591</f>
        <v>8.713136729222521</v>
      </c>
      <c r="DE407" s="240">
        <f>INPUT!ED591</f>
        <v>-19.36656518380515</v>
      </c>
      <c r="DF407" s="81">
        <f>INPUT!EE591</f>
        <v>7.6393668272539568</v>
      </c>
      <c r="DG407" s="240">
        <f>INPUT!EF591</f>
        <v>-35.420215946656427</v>
      </c>
      <c r="DH407" s="81">
        <f>INPUT!EG591</f>
        <v>9.5899930507296745</v>
      </c>
      <c r="DI407" s="240">
        <f>INPUT!EH591</f>
        <v>2.7096314550837803</v>
      </c>
      <c r="DJ407" s="81">
        <f>INPUT!EI591</f>
        <v>7.1946832510212788</v>
      </c>
      <c r="DK407" s="240">
        <f>INPUT!EJ591</f>
        <v>-37.951307477555886</v>
      </c>
      <c r="DL407" s="81">
        <f>INPUT!EK591</f>
        <v>5.3452115812917596</v>
      </c>
      <c r="DM407" s="240">
        <f>INPUT!EL591</f>
        <v>-38.653417851636121</v>
      </c>
      <c r="DN407" s="81">
        <f>INPUT!EM591</f>
        <v>8.6405529953917046</v>
      </c>
      <c r="DO407" s="240">
        <f>INPUT!EN591</f>
        <v>13.105617137875214</v>
      </c>
      <c r="DP407" s="81">
        <f>INPUT!EO591</f>
        <v>6.25</v>
      </c>
      <c r="DQ407" s="240">
        <f>INPUT!EP591</f>
        <v>-34.82789855072464</v>
      </c>
      <c r="DR407" s="81">
        <f>INPUT!EQ591</f>
        <v>5.5703564015694402</v>
      </c>
      <c r="DS407" s="240">
        <f>INPUT!ER591</f>
        <v>-22.576766659203045</v>
      </c>
      <c r="DT407" s="81">
        <f>INPUT!ES591</f>
        <v>6.5971073939001048</v>
      </c>
      <c r="DU407" s="240">
        <f>INPUT!ET591</f>
        <v>23.42088416088113</v>
      </c>
      <c r="DV407" s="81">
        <f>INPUT!EU591</f>
        <v>6.6794629694865906</v>
      </c>
      <c r="DW407" s="240">
        <f>INPUT!EV591</f>
        <v>-22.696348566475194</v>
      </c>
      <c r="DX407" s="81">
        <f>INPUT!EW591</f>
        <v>7.3416845376653734</v>
      </c>
      <c r="DY407" s="240">
        <f>INPUT!EX591</f>
        <v>17.466952602645975</v>
      </c>
      <c r="DZ407" s="81"/>
      <c r="EA407" s="240"/>
      <c r="EB407" s="155">
        <f>INPUT!FI591</f>
        <v>99.153302479101626</v>
      </c>
      <c r="EC407" s="81">
        <f>INPUT!FJ591</f>
        <v>24.147568474007823</v>
      </c>
      <c r="ED407" s="155">
        <f>INPUT!FK591</f>
        <v>29.760010810877191</v>
      </c>
      <c r="EE407" s="81">
        <f>INPUT!FL591</f>
        <v>17.016205910390848</v>
      </c>
      <c r="EF407" s="155">
        <f>INPUT!FM591</f>
        <v>-29.532425060904558</v>
      </c>
      <c r="EG407" s="81">
        <f>INPUT!FN591</f>
        <v>13.962962962962964</v>
      </c>
      <c r="EH407" s="155">
        <f>INPUT!FO591</f>
        <v>-17.943147629422128</v>
      </c>
      <c r="EI407" s="81">
        <f>INPUT!FP591</f>
        <v>12.996177594825051</v>
      </c>
      <c r="EJ407" s="240">
        <f>INPUT!FQ591</f>
        <v>-6.9239270397144992</v>
      </c>
      <c r="EK407" s="81">
        <f>INPUT!FR591</f>
        <v>12.20026350461133</v>
      </c>
      <c r="EL407" s="240">
        <f>INPUT!FS591</f>
        <v>-6.1242167891784334</v>
      </c>
      <c r="EM407" s="81">
        <f>INPUT!FT591</f>
        <v>11.966294574990226</v>
      </c>
      <c r="EN407" s="240">
        <f>INPUT!FU591</f>
        <v>-1.9177366909548397</v>
      </c>
      <c r="EO407" s="81">
        <f>INPUT!FV591</f>
        <v>10.190886699507388</v>
      </c>
      <c r="EP407" s="240">
        <f>INPUT!FW591</f>
        <v>-14.836738844733716</v>
      </c>
      <c r="EQ407" s="81">
        <f>INPUT!FX591</f>
        <v>15.146771037181997</v>
      </c>
      <c r="ER407" s="240">
        <f>INPUT!FY591</f>
        <v>48.630550842196783</v>
      </c>
      <c r="ES407" s="81">
        <f>INPUT!FZ591</f>
        <v>14.397496087636933</v>
      </c>
      <c r="ET407" s="240">
        <f>INPUT!GA591</f>
        <v>-4.9467635557820131</v>
      </c>
      <c r="EU407" s="81">
        <f>INPUT!GB591</f>
        <v>11.081505092511891</v>
      </c>
      <c r="EV407" s="240">
        <f>INPUT!GC591</f>
        <v>-23.031720063966318</v>
      </c>
      <c r="EW407" s="81">
        <f>INPUT!GD591</f>
        <v>9.7953552540813984</v>
      </c>
      <c r="EX407" s="240">
        <f>INPUT!GE591</f>
        <v>-11.606273946483896</v>
      </c>
      <c r="EY407" s="81">
        <f>INPUT!GF591</f>
        <v>10.591519804571629</v>
      </c>
      <c r="EZ407" s="240">
        <f>INPUT!GG591</f>
        <v>8.127980352305201</v>
      </c>
      <c r="FA407" s="81">
        <f>INPUT!GH591</f>
        <v>9.4892812105926865</v>
      </c>
      <c r="FB407" s="240">
        <f>INPUT!GI591</f>
        <v>-10.406802935903329</v>
      </c>
      <c r="FC407" s="81">
        <f>INPUT!GJ591</f>
        <v>9.8894801473598033</v>
      </c>
      <c r="FD407" s="240">
        <f>INPUT!GK591</f>
        <v>4.2173788286554696</v>
      </c>
      <c r="FE407" s="81">
        <f>INPUT!GL591</f>
        <v>9.3680041329429997</v>
      </c>
      <c r="FF407" s="240">
        <f>INPUT!GM591</f>
        <v>-5.2730376788917681</v>
      </c>
      <c r="FG407" s="81">
        <f>INPUT!GN591</f>
        <v>6.8544977077491422</v>
      </c>
      <c r="FH407" s="240">
        <f>INPUT!GO591</f>
        <v>-26.830757005699866</v>
      </c>
      <c r="FI407" s="81">
        <f>INPUT!GP591</f>
        <v>6.5259783341113948</v>
      </c>
      <c r="FJ407" s="240">
        <f>INPUT!GQ591</f>
        <v>-4.7927563425449762</v>
      </c>
      <c r="FK407" s="81">
        <f>INPUT!GR591</f>
        <v>6.392309154840917</v>
      </c>
      <c r="FL407" s="240">
        <f>INPUT!GS591</f>
        <v>-2.0482626883970312</v>
      </c>
      <c r="FM407" s="81">
        <f>INPUT!GT591</f>
        <v>6.2551139490842438</v>
      </c>
      <c r="FN407" s="240">
        <f>INPUT!GU591</f>
        <v>-2.1462542319746092</v>
      </c>
      <c r="FO407" s="81">
        <f>INPUT!GV591</f>
        <v>6.1936547973355935</v>
      </c>
      <c r="FP407" s="240">
        <f>INPUT!GW591</f>
        <v>-0.98254248042351833</v>
      </c>
      <c r="FQ407" s="81">
        <f>INPUT!GX591</f>
        <v>6.1311303582491892</v>
      </c>
      <c r="FR407" s="240">
        <f>INPUT!GY591</f>
        <v>-1.0094918288520205</v>
      </c>
      <c r="FS407" s="240">
        <f>INPUT!GZ591</f>
        <v>-2.205825988327903</v>
      </c>
    </row>
    <row r="408" spans="1:176" ht="12.75" hidden="1" customHeight="1" outlineLevel="1" x14ac:dyDescent="0.2">
      <c r="A408" s="77"/>
      <c r="B408" s="81"/>
      <c r="C408" s="155"/>
      <c r="D408" s="81"/>
      <c r="E408" s="155"/>
      <c r="F408" s="81"/>
      <c r="G408" s="155"/>
      <c r="H408" s="81"/>
      <c r="I408" s="155"/>
      <c r="J408" s="81"/>
      <c r="K408" s="155"/>
      <c r="L408" s="81"/>
      <c r="M408" s="155"/>
      <c r="N408" s="81"/>
      <c r="O408" s="155"/>
      <c r="P408" s="81"/>
      <c r="Q408" s="155"/>
      <c r="R408" s="81"/>
      <c r="S408" s="155"/>
      <c r="T408" s="81"/>
      <c r="U408" s="155"/>
      <c r="V408" s="81"/>
      <c r="W408" s="155"/>
      <c r="X408" s="81"/>
      <c r="Y408" s="155"/>
      <c r="Z408" s="81"/>
      <c r="AA408" s="155"/>
      <c r="AB408" s="81"/>
      <c r="AC408" s="155"/>
      <c r="AD408" s="81"/>
      <c r="AE408" s="155"/>
      <c r="AF408" s="81"/>
      <c r="AG408" s="155"/>
      <c r="AH408" s="81"/>
      <c r="AI408" s="240"/>
      <c r="AJ408" s="81"/>
      <c r="AK408" s="240"/>
      <c r="AL408" s="81"/>
      <c r="AM408" s="240"/>
      <c r="AN408" s="81"/>
      <c r="AO408" s="240"/>
      <c r="AP408" s="81"/>
      <c r="AQ408" s="240"/>
      <c r="AR408" s="81"/>
      <c r="AS408" s="240"/>
      <c r="AT408" s="81"/>
      <c r="AU408" s="240"/>
      <c r="AV408" s="81"/>
      <c r="AW408" s="240"/>
      <c r="AX408" s="81"/>
      <c r="AY408" s="240"/>
      <c r="AZ408" s="81"/>
      <c r="BA408" s="240"/>
      <c r="BB408" s="81"/>
      <c r="BC408" s="240"/>
      <c r="BD408" s="81"/>
      <c r="BE408" s="240"/>
      <c r="BF408" s="81"/>
      <c r="BG408" s="240"/>
      <c r="BH408" s="81"/>
      <c r="BI408" s="240"/>
      <c r="BJ408" s="81"/>
      <c r="BK408" s="240"/>
      <c r="BL408" s="81"/>
      <c r="BM408" s="240"/>
      <c r="BN408" s="81"/>
      <c r="BO408" s="240"/>
      <c r="BP408" s="81"/>
      <c r="BQ408" s="240"/>
      <c r="BR408" s="81"/>
      <c r="BS408" s="240"/>
      <c r="BT408" s="81"/>
      <c r="BU408" s="240"/>
      <c r="BV408" s="81"/>
      <c r="BW408" s="240"/>
      <c r="BX408" s="81"/>
      <c r="BY408" s="240"/>
      <c r="BZ408" s="81"/>
      <c r="CA408" s="240"/>
      <c r="CB408" s="81"/>
      <c r="CC408" s="240"/>
      <c r="CD408" s="81"/>
      <c r="CE408" s="240"/>
      <c r="CF408" s="81"/>
      <c r="CG408" s="240"/>
      <c r="CH408" s="81"/>
      <c r="CI408" s="240"/>
      <c r="CJ408" s="81"/>
      <c r="CK408" s="240"/>
      <c r="CL408" s="81"/>
      <c r="CM408" s="240"/>
      <c r="CN408" s="81"/>
      <c r="CO408" s="240"/>
      <c r="CP408" s="81"/>
      <c r="CQ408" s="240"/>
      <c r="CR408" s="81"/>
      <c r="CS408" s="240"/>
      <c r="CT408" s="81"/>
      <c r="CU408" s="240"/>
      <c r="CV408" s="81"/>
      <c r="CW408" s="240"/>
      <c r="CX408" s="81"/>
      <c r="CY408" s="240"/>
      <c r="CZ408" s="81"/>
      <c r="DA408" s="240"/>
      <c r="DB408" s="81"/>
      <c r="DC408" s="240"/>
      <c r="DD408" s="81"/>
      <c r="DE408" s="240"/>
      <c r="DF408" s="81"/>
      <c r="DG408" s="240"/>
      <c r="DH408" s="81"/>
      <c r="DI408" s="240"/>
      <c r="DJ408" s="81"/>
      <c r="DK408" s="240"/>
      <c r="DL408" s="81"/>
      <c r="DM408" s="240"/>
      <c r="DN408" s="81"/>
      <c r="DO408" s="240"/>
      <c r="DP408" s="81"/>
      <c r="DQ408" s="240"/>
      <c r="DR408" s="81"/>
      <c r="DS408" s="240"/>
      <c r="DT408" s="81"/>
      <c r="DU408" s="240"/>
      <c r="DV408" s="81"/>
      <c r="DW408" s="240"/>
      <c r="DX408" s="81"/>
      <c r="DY408" s="240"/>
      <c r="DZ408" s="81"/>
      <c r="EA408" s="240"/>
      <c r="EB408" s="155"/>
      <c r="EC408" s="81"/>
      <c r="ED408" s="155"/>
      <c r="EE408" s="81"/>
      <c r="EF408" s="155"/>
      <c r="EG408" s="81"/>
      <c r="EH408" s="155"/>
      <c r="EI408" s="81"/>
      <c r="EJ408" s="240"/>
      <c r="EK408" s="81"/>
      <c r="EL408" s="240"/>
      <c r="EM408" s="81"/>
      <c r="EN408" s="240"/>
      <c r="EO408" s="81"/>
      <c r="EP408" s="240"/>
      <c r="EQ408" s="81"/>
      <c r="ER408" s="240"/>
      <c r="ES408" s="81"/>
      <c r="ET408" s="240"/>
      <c r="EU408" s="81"/>
      <c r="EV408" s="240"/>
      <c r="EW408" s="81"/>
      <c r="EX408" s="240"/>
      <c r="EY408" s="81"/>
      <c r="EZ408" s="240"/>
      <c r="FA408" s="81"/>
      <c r="FB408" s="240"/>
      <c r="FC408" s="81"/>
      <c r="FD408" s="240"/>
      <c r="FE408" s="81"/>
      <c r="FF408" s="240"/>
      <c r="FG408" s="81"/>
      <c r="FH408" s="240"/>
      <c r="FI408" s="81"/>
      <c r="FJ408" s="240"/>
      <c r="FK408" s="81"/>
      <c r="FL408" s="240"/>
      <c r="FM408" s="81"/>
      <c r="FN408" s="240"/>
      <c r="FO408" s="81"/>
      <c r="FP408" s="240"/>
      <c r="FQ408" s="81"/>
      <c r="FR408" s="240"/>
      <c r="FS408" s="240"/>
    </row>
    <row r="409" spans="1:176" ht="12.75" hidden="1" customHeight="1" outlineLevel="1" x14ac:dyDescent="0.2">
      <c r="A409" s="70" t="s">
        <v>312</v>
      </c>
      <c r="B409" s="81"/>
      <c r="C409" s="155"/>
      <c r="D409" s="81"/>
      <c r="E409" s="155"/>
      <c r="F409" s="81"/>
      <c r="G409" s="155"/>
      <c r="H409" s="81"/>
      <c r="I409" s="155"/>
      <c r="J409" s="81"/>
      <c r="K409" s="155"/>
      <c r="L409" s="81"/>
      <c r="M409" s="155"/>
      <c r="N409" s="81"/>
      <c r="O409" s="155"/>
      <c r="P409" s="81"/>
      <c r="Q409" s="155"/>
      <c r="R409" s="81"/>
      <c r="S409" s="155"/>
      <c r="T409" s="81"/>
      <c r="U409" s="155"/>
      <c r="V409" s="81"/>
      <c r="W409" s="155"/>
      <c r="X409" s="81"/>
      <c r="Y409" s="155"/>
      <c r="Z409" s="81"/>
      <c r="AA409" s="155"/>
      <c r="AB409" s="81"/>
      <c r="AC409" s="155"/>
      <c r="AD409" s="81"/>
      <c r="AE409" s="155"/>
      <c r="AF409" s="81"/>
      <c r="AG409" s="155"/>
      <c r="AH409" s="81"/>
      <c r="AI409" s="240"/>
      <c r="AJ409" s="81"/>
      <c r="AK409" s="240"/>
      <c r="AL409" s="81"/>
      <c r="AM409" s="240"/>
      <c r="AN409" s="81"/>
      <c r="AO409" s="240"/>
      <c r="AP409" s="81"/>
      <c r="AQ409" s="240"/>
      <c r="AR409" s="81"/>
      <c r="AS409" s="240"/>
      <c r="AT409" s="81"/>
      <c r="AU409" s="240"/>
      <c r="AV409" s="81"/>
      <c r="AW409" s="240"/>
      <c r="AX409" s="81"/>
      <c r="AY409" s="240"/>
      <c r="AZ409" s="81"/>
      <c r="BA409" s="240"/>
      <c r="BB409" s="81"/>
      <c r="BC409" s="240"/>
      <c r="BD409" s="81"/>
      <c r="BE409" s="240"/>
      <c r="BF409" s="81"/>
      <c r="BG409" s="240"/>
      <c r="BH409" s="81"/>
      <c r="BI409" s="240"/>
      <c r="BJ409" s="81"/>
      <c r="BK409" s="240"/>
      <c r="BL409" s="81"/>
      <c r="BM409" s="240"/>
      <c r="BN409" s="81"/>
      <c r="BO409" s="240"/>
      <c r="BP409" s="81"/>
      <c r="BQ409" s="240"/>
      <c r="BR409" s="81"/>
      <c r="BS409" s="240"/>
      <c r="BT409" s="81"/>
      <c r="BU409" s="240"/>
      <c r="BV409" s="81"/>
      <c r="BW409" s="240"/>
      <c r="BX409" s="81"/>
      <c r="BY409" s="240"/>
      <c r="BZ409" s="81"/>
      <c r="CA409" s="240"/>
      <c r="CB409" s="81"/>
      <c r="CC409" s="240"/>
      <c r="CD409" s="81"/>
      <c r="CE409" s="240"/>
      <c r="CF409" s="81"/>
      <c r="CG409" s="240"/>
      <c r="CH409" s="81"/>
      <c r="CI409" s="240"/>
      <c r="CJ409" s="81"/>
      <c r="CK409" s="240"/>
      <c r="CL409" s="81"/>
      <c r="CM409" s="240"/>
      <c r="CN409" s="81"/>
      <c r="CO409" s="240"/>
      <c r="CP409" s="81"/>
      <c r="CQ409" s="240"/>
      <c r="CR409" s="81"/>
      <c r="CS409" s="240"/>
      <c r="CT409" s="81"/>
      <c r="CU409" s="240"/>
      <c r="CV409" s="81"/>
      <c r="CW409" s="240"/>
      <c r="CX409" s="81"/>
      <c r="CY409" s="240"/>
      <c r="CZ409" s="81"/>
      <c r="DA409" s="240"/>
      <c r="DB409" s="81"/>
      <c r="DC409" s="240"/>
      <c r="DD409" s="81"/>
      <c r="DE409" s="240"/>
      <c r="DF409" s="81"/>
      <c r="DG409" s="240"/>
      <c r="DH409" s="81"/>
      <c r="DI409" s="240"/>
      <c r="DJ409" s="81"/>
      <c r="DK409" s="240"/>
      <c r="DL409" s="81"/>
      <c r="DM409" s="240"/>
      <c r="DN409" s="81"/>
      <c r="DO409" s="240"/>
      <c r="DP409" s="81"/>
      <c r="DQ409" s="240"/>
      <c r="DR409" s="81"/>
      <c r="DS409" s="240"/>
      <c r="DT409" s="81"/>
      <c r="DU409" s="240"/>
      <c r="DV409" s="81"/>
      <c r="DW409" s="240"/>
      <c r="DX409" s="81"/>
      <c r="DY409" s="240"/>
      <c r="DZ409" s="81"/>
      <c r="EA409" s="240"/>
      <c r="EB409" s="155"/>
      <c r="EC409" s="81"/>
      <c r="ED409" s="155"/>
      <c r="EE409" s="81"/>
      <c r="EF409" s="155"/>
      <c r="EG409" s="81"/>
      <c r="EH409" s="155"/>
      <c r="EI409" s="81"/>
      <c r="EJ409" s="240"/>
      <c r="EK409" s="81"/>
      <c r="EL409" s="240"/>
      <c r="EM409" s="81"/>
      <c r="EN409" s="240"/>
      <c r="EO409" s="81"/>
      <c r="EP409" s="240"/>
      <c r="EQ409" s="81"/>
      <c r="ER409" s="240"/>
      <c r="ES409" s="81"/>
      <c r="ET409" s="240"/>
      <c r="EU409" s="81"/>
      <c r="EV409" s="240"/>
      <c r="EW409" s="81"/>
      <c r="EX409" s="240"/>
      <c r="EY409" s="81"/>
      <c r="EZ409" s="240"/>
      <c r="FA409" s="81"/>
      <c r="FB409" s="240"/>
      <c r="FC409" s="81"/>
      <c r="FD409" s="240"/>
      <c r="FE409" s="81"/>
      <c r="FF409" s="240"/>
      <c r="FG409" s="81"/>
      <c r="FH409" s="240"/>
      <c r="FI409" s="81"/>
      <c r="FJ409" s="240"/>
      <c r="FK409" s="81"/>
      <c r="FL409" s="240"/>
      <c r="FM409" s="81"/>
      <c r="FN409" s="240"/>
      <c r="FO409" s="81"/>
      <c r="FP409" s="240"/>
      <c r="FQ409" s="81"/>
      <c r="FR409" s="240"/>
      <c r="FS409" s="240"/>
    </row>
    <row r="410" spans="1:176" ht="12.75" hidden="1" customHeight="1" outlineLevel="1" x14ac:dyDescent="0.2">
      <c r="A410" s="77" t="str">
        <f>INPUT!B122</f>
        <v>Benefits/Fees (%)</v>
      </c>
      <c r="B410" s="81">
        <f>INPUT!AA122</f>
        <v>49.712643678160916</v>
      </c>
      <c r="C410" s="155">
        <f>INPUT!AB122</f>
        <v>17.923015236567764</v>
      </c>
      <c r="D410" s="81">
        <f>INPUT!AC122</f>
        <v>50.282485875706215</v>
      </c>
      <c r="E410" s="155">
        <f>INPUT!AD122</f>
        <v>24.527718926553675</v>
      </c>
      <c r="F410" s="81">
        <f>INPUT!AE122</f>
        <v>58.132530120481931</v>
      </c>
      <c r="G410" s="155">
        <f>INPUT!AF122</f>
        <v>36.53495561192139</v>
      </c>
      <c r="H410" s="81">
        <f>INPUT!AG122</f>
        <v>71.720116618075807</v>
      </c>
      <c r="I410" s="155">
        <f>INPUT!AH122</f>
        <v>8.7206008097332983</v>
      </c>
      <c r="J410" s="81">
        <f>INPUT!AI122</f>
        <v>47.477744807121667</v>
      </c>
      <c r="K410" s="155">
        <f>INPUT!AJ122</f>
        <v>-4.4956347232465816</v>
      </c>
      <c r="L410" s="81">
        <f>INPUT!AK122</f>
        <v>44.011976047904191</v>
      </c>
      <c r="M410" s="155">
        <f>INPUT!AL122</f>
        <v>-12.470564488999528</v>
      </c>
      <c r="N410" s="81">
        <f>INPUT!AM122</f>
        <v>42.565597667638485</v>
      </c>
      <c r="O410" s="155">
        <f>INPUT!AN122</f>
        <v>-26.778350126134839</v>
      </c>
      <c r="P410" s="81">
        <f>INPUT!AO122</f>
        <v>44.956772334293952</v>
      </c>
      <c r="Q410" s="155">
        <f>INPUT!AP122</f>
        <v>-37.316370281858433</v>
      </c>
      <c r="R410" s="81">
        <f>INPUT!AQ122</f>
        <v>46.175637393767701</v>
      </c>
      <c r="S410" s="155">
        <f>INPUT!AR122</f>
        <v>-2.7425637393767914</v>
      </c>
      <c r="T410" s="81">
        <f>INPUT!AS122</f>
        <v>45.454545454545453</v>
      </c>
      <c r="U410" s="155">
        <f>INPUT!AT122</f>
        <v>3.2776747062461311</v>
      </c>
      <c r="V410" s="81">
        <f>INPUT!AU122</f>
        <v>33.670886075949369</v>
      </c>
      <c r="W410" s="155">
        <f>INPUT!AV122</f>
        <v>-20.896479972255932</v>
      </c>
      <c r="X410" s="81">
        <f>INPUT!AW122</f>
        <v>45.336787564766837</v>
      </c>
      <c r="Y410" s="155">
        <f>INPUT!AX122</f>
        <v>0.84529028829545894</v>
      </c>
      <c r="Z410" s="81">
        <f>INPUT!AY122</f>
        <v>43.989071038251367</v>
      </c>
      <c r="AA410" s="155">
        <f>INPUT!AZ122</f>
        <v>-4.7353246840323067</v>
      </c>
      <c r="AB410" s="81">
        <f>INPUT!BA122</f>
        <v>53.351206434316353</v>
      </c>
      <c r="AC410" s="155">
        <f>INPUT!BB122</f>
        <v>17.372654155495979</v>
      </c>
      <c r="AD410" s="81">
        <f>INPUT!BC122</f>
        <v>132.74336283185841</v>
      </c>
      <c r="AE410" s="155" t="str">
        <f>INPUT!BD122</f>
        <v>NM</v>
      </c>
      <c r="AF410" s="81">
        <f>INPUT!BE122</f>
        <v>52.864583333333336</v>
      </c>
      <c r="AG410" s="155">
        <f>INPUT!BF122</f>
        <v>16.604166666666686</v>
      </c>
      <c r="AH410" s="81">
        <f>INPUT!BG122</f>
        <v>59.2964824120603</v>
      </c>
      <c r="AI410" s="240">
        <f>INPUT!BH122</f>
        <v>34.79821467586379</v>
      </c>
      <c r="AJ410" s="81">
        <f>INPUT!BI122</f>
        <v>52.051282051282058</v>
      </c>
      <c r="AK410" s="240">
        <f>INPUT!BJ122</f>
        <v>-2.4365416827728126</v>
      </c>
      <c r="AL410" s="81">
        <f>INPUT!BK122</f>
        <v>69.972451790633599</v>
      </c>
      <c r="AM410" s="240">
        <f>INPUT!BL122</f>
        <v>-47.28741965105602</v>
      </c>
      <c r="AN410" s="81">
        <f>INPUT!BM122</f>
        <v>50</v>
      </c>
      <c r="AO410" s="240">
        <f>INPUT!BN122</f>
        <v>-5.4187192118226619</v>
      </c>
      <c r="AP410" s="81">
        <f>INPUT!BO122</f>
        <v>55.196304849884527</v>
      </c>
      <c r="AQ410" s="240">
        <f>INPUT!BP122</f>
        <v>-6.9147062277371134</v>
      </c>
      <c r="AR410" s="81">
        <f>INPUT!BQ122</f>
        <v>59.14489311163895</v>
      </c>
      <c r="AS410" s="240">
        <f>INPUT!BR122</f>
        <v>13.628119771129008</v>
      </c>
      <c r="AT410" s="81">
        <f>INPUT!BS122</f>
        <v>63.186813186813183</v>
      </c>
      <c r="AU410" s="240">
        <f>INPUT!BT122</f>
        <v>-9.6975858786882299</v>
      </c>
      <c r="AV410" s="81">
        <f>INPUT!BU122</f>
        <v>53.579175704989154</v>
      </c>
      <c r="AW410" s="240">
        <f>INPUT!BV122</f>
        <v>7.1583514099783088</v>
      </c>
      <c r="AX410" s="81">
        <f>INPUT!BW122</f>
        <v>62.385321100917437</v>
      </c>
      <c r="AY410" s="240">
        <f>INPUT!BX122</f>
        <v>13.024452036390173</v>
      </c>
      <c r="AZ410" s="81">
        <f>INPUT!BY122</f>
        <v>55.803571428571431</v>
      </c>
      <c r="BA410" s="240">
        <f>INPUT!BZ122</f>
        <v>-5.6493832472747982</v>
      </c>
      <c r="BB410" s="81">
        <f>INPUT!CA122</f>
        <v>74.930362116991645</v>
      </c>
      <c r="BC410" s="240">
        <f>INPUT!CB122</f>
        <v>18.585442654717227</v>
      </c>
      <c r="BD410" s="81">
        <f>INPUT!CC122</f>
        <v>53.63247863247863</v>
      </c>
      <c r="BE410" s="240">
        <f>INPUT!CD122</f>
        <v>9.9484411225290614E-2</v>
      </c>
      <c r="BF410" s="81">
        <f>INPUT!CE122</f>
        <v>72.705882352941174</v>
      </c>
      <c r="BG410" s="240">
        <f>INPUT!CF122</f>
        <v>16.543252595155707</v>
      </c>
      <c r="BH410" s="81">
        <f>INPUT!CG122</f>
        <v>57.324840764331206</v>
      </c>
      <c r="BI410" s="240">
        <f>INPUT!CH122</f>
        <v>2.7261146496815059</v>
      </c>
      <c r="BJ410" s="81">
        <f>INPUT!CI122</f>
        <v>75.931232091690546</v>
      </c>
      <c r="BK410" s="240">
        <f>INPUT!CJ122</f>
        <v>1.335733535007094</v>
      </c>
      <c r="BL410" s="81">
        <f>INPUT!CK122</f>
        <v>61.883408071748882</v>
      </c>
      <c r="BM410" s="240">
        <f>INPUT!CL122</f>
        <v>15.384203097922239</v>
      </c>
      <c r="BN410" s="81">
        <f>INPUT!CM122</f>
        <v>68.11926605504587</v>
      </c>
      <c r="BO410" s="240">
        <f>INPUT!CN122</f>
        <v>-6.308452836911016</v>
      </c>
      <c r="BP410" s="81">
        <f>INPUT!CO122</f>
        <v>58.643326039387311</v>
      </c>
      <c r="BQ410" s="240">
        <f>INPUT!CP122</f>
        <v>2.3000243131534432</v>
      </c>
      <c r="BR410" s="81">
        <f>INPUT!CQ122</f>
        <v>89.644970414201183</v>
      </c>
      <c r="BS410" s="240">
        <f>INPUT!CR122</f>
        <v>18.060734620966841</v>
      </c>
      <c r="BT410" s="81">
        <f>INPUT!CS122</f>
        <v>63.157894736842103</v>
      </c>
      <c r="BU410" s="240">
        <f>INPUT!CT122</f>
        <v>2.059496567505704</v>
      </c>
      <c r="BV410" s="81">
        <f>INPUT!CU122</f>
        <v>66.818181818181827</v>
      </c>
      <c r="BW410" s="240">
        <f>INPUT!CV122</f>
        <v>-1.9100091827364452</v>
      </c>
      <c r="BX410" s="81">
        <f>INPUT!CW122</f>
        <v>76.419213973799131</v>
      </c>
      <c r="BY410" s="240">
        <f>INPUT!CX122</f>
        <v>30.31186860457538</v>
      </c>
      <c r="BZ410" s="81">
        <f>INPUT!CY122</f>
        <v>50.592216582064296</v>
      </c>
      <c r="CA410" s="240">
        <f>INPUT!CZ122</f>
        <v>-43.563798004165896</v>
      </c>
      <c r="CB410" s="81">
        <f>INPUT!DA122</f>
        <v>61.190965092402458</v>
      </c>
      <c r="CC410" s="240">
        <f>INPUT!DB122</f>
        <v>-3.1143052703627774</v>
      </c>
      <c r="CD410" s="81">
        <f>INPUT!DC122</f>
        <v>66.101694915254242</v>
      </c>
      <c r="CE410" s="240">
        <f>INPUT!DD122</f>
        <v>-1.0722933241093102</v>
      </c>
      <c r="CF410" s="81">
        <f>INPUT!DE122</f>
        <v>64.099037138927102</v>
      </c>
      <c r="CG410" s="240">
        <f>INPUT!DF122</f>
        <v>-16.121831401061115</v>
      </c>
      <c r="CH410" s="81">
        <f>INPUT!DG122</f>
        <v>85.139860139860133</v>
      </c>
      <c r="CI410" s="240">
        <f>INPUT!DH122</f>
        <v>68.286479406880716</v>
      </c>
      <c r="CJ410" s="81">
        <f>INPUT!DI122</f>
        <v>67.842031029619179</v>
      </c>
      <c r="CK410" s="240">
        <f>INPUT!DJ122</f>
        <v>10.869359434310553</v>
      </c>
      <c r="CL410" s="81">
        <f>INPUT!DK122</f>
        <v>72.58278145695364</v>
      </c>
      <c r="CM410" s="240">
        <f>INPUT!DL122</f>
        <v>9.804720665647821</v>
      </c>
      <c r="CN410" s="81">
        <f>INPUT!DM122</f>
        <v>68.692206076618234</v>
      </c>
      <c r="CO410" s="240">
        <f>INPUT!DN122</f>
        <v>7.1657378062262893</v>
      </c>
      <c r="CP410" s="81">
        <f>INPUT!DO122</f>
        <v>76.966292134831463</v>
      </c>
      <c r="CQ410" s="240">
        <f>INPUT!DP122</f>
        <v>-9.6001661167893246</v>
      </c>
      <c r="CR410" s="81">
        <f>INPUT!DQ122</f>
        <v>68.318122555410682</v>
      </c>
      <c r="CS410" s="240">
        <f>INPUT!DR122</f>
        <v>0.70176484778829717</v>
      </c>
      <c r="CT410" s="81">
        <f>INPUT!DS122</f>
        <v>77.358490566037744</v>
      </c>
      <c r="CU410" s="240">
        <f>INPUT!DT122</f>
        <v>6.5796722214571162</v>
      </c>
      <c r="CV410" s="81">
        <f>INPUT!DU122</f>
        <v>91.68081494057725</v>
      </c>
      <c r="CW410" s="240">
        <f>INPUT!DV122</f>
        <v>33.466109442340354</v>
      </c>
      <c r="CX410" s="81">
        <f>INPUT!DW122</f>
        <v>65.872020075282308</v>
      </c>
      <c r="CY410" s="240">
        <f>INPUT!DX122</f>
        <v>-14.414455668611311</v>
      </c>
      <c r="CZ410" s="81">
        <f>INPUT!DY122</f>
        <v>77.763328998699606</v>
      </c>
      <c r="DA410" s="240">
        <f>INPUT!DZ122</f>
        <v>13.825330805348486</v>
      </c>
      <c r="DB410" s="81">
        <f>INPUT!EA122</f>
        <v>78.717948717948715</v>
      </c>
      <c r="DC410" s="240">
        <f>INPUT!EB122</f>
        <v>1.7573483427141667</v>
      </c>
      <c r="DD410" s="81">
        <f>INPUT!EC122</f>
        <v>174.12844036697248</v>
      </c>
      <c r="DE410" s="240">
        <f>INPUT!ED122</f>
        <v>89.928984029901471</v>
      </c>
      <c r="DF410" s="81">
        <f>INPUT!EE122</f>
        <v>80.285343709468222</v>
      </c>
      <c r="DG410" s="240">
        <f>INPUT!EF122</f>
        <v>21.880797974183182</v>
      </c>
      <c r="DH410" s="81">
        <f>INPUT!EG122</f>
        <v>76.91326530612244</v>
      </c>
      <c r="DI410" s="240">
        <f>INPUT!EH122</f>
        <v>-1.0931421063408777</v>
      </c>
      <c r="DJ410" s="81">
        <f>INPUT!EI122</f>
        <v>81.368821292775664</v>
      </c>
      <c r="DK410" s="240">
        <f>INPUT!EJ122</f>
        <v>3.3675579940798457</v>
      </c>
      <c r="DL410" s="81">
        <f>INPUT!EK122</f>
        <v>-2890</v>
      </c>
      <c r="DM410" s="240" t="str">
        <f>INPUT!EL122</f>
        <v>NM</v>
      </c>
      <c r="DN410" s="81">
        <f>INPUT!EM122</f>
        <v>74.797843665768198</v>
      </c>
      <c r="DO410" s="240">
        <f>INPUT!EN122</f>
        <v>-6.8349960156586747</v>
      </c>
      <c r="DP410" s="81">
        <f>INPUT!EO122</f>
        <v>83.762886597938149</v>
      </c>
      <c r="DQ410" s="240">
        <f>INPUT!EP122</f>
        <v>8.9056436032894055</v>
      </c>
      <c r="DR410" s="81">
        <f>INPUT!EQ122</f>
        <v>82</v>
      </c>
      <c r="DS410" s="240">
        <f>INPUT!ER122</f>
        <v>0.77570093457943301</v>
      </c>
      <c r="DT410" s="81">
        <f>INPUT!ES122</f>
        <v>81</v>
      </c>
      <c r="DU410" s="240" t="str">
        <f>INPUT!ET122</f>
        <v>NM</v>
      </c>
      <c r="DV410" s="81">
        <f>INPUT!EU122</f>
        <v>80</v>
      </c>
      <c r="DW410" s="240">
        <f>INPUT!EV122</f>
        <v>6.9549549549549567</v>
      </c>
      <c r="DX410" s="81">
        <f>INPUT!EW122</f>
        <v>79</v>
      </c>
      <c r="DY410" s="240">
        <f>INPUT!EX122</f>
        <v>-5.6861538461538572</v>
      </c>
      <c r="DZ410" s="81"/>
      <c r="EA410" s="240"/>
      <c r="EB410" s="155">
        <f>INPUT!FI122</f>
        <v>1.5717729563883438</v>
      </c>
      <c r="EC410" s="81">
        <f>INPUT!FJ122</f>
        <v>49.112845990063875</v>
      </c>
      <c r="ED410" s="155">
        <f>INPUT!FK122</f>
        <v>-1.2114100715620566</v>
      </c>
      <c r="EE410" s="81">
        <f>INPUT!FL122</f>
        <v>57.371096586782869</v>
      </c>
      <c r="EF410" s="155">
        <f>INPUT!FM122</f>
        <v>16.814848397076673</v>
      </c>
      <c r="EG410" s="81">
        <f>INPUT!FN122</f>
        <v>44.746509919177072</v>
      </c>
      <c r="EH410" s="155">
        <f>INPUT!FO122</f>
        <v>-22.005133976320479</v>
      </c>
      <c r="EI410" s="81">
        <f>INPUT!FP122</f>
        <v>42.462987886944816</v>
      </c>
      <c r="EJ410" s="240">
        <f>INPUT!FQ122</f>
        <v>-5.1032405350871954</v>
      </c>
      <c r="EK410" s="81">
        <f>INPUT!FR122</f>
        <v>63.973313565604151</v>
      </c>
      <c r="EL410" s="240">
        <f>INPUT!FS122</f>
        <v>50.656646526921975</v>
      </c>
      <c r="EM410" s="81">
        <f>INPUT!FT122</f>
        <v>57.469802924348379</v>
      </c>
      <c r="EN410" s="240">
        <f>INPUT!FU122</f>
        <v>-10.165974339575939</v>
      </c>
      <c r="EO410" s="81">
        <f>INPUT!FV122</f>
        <v>57.474687313877304</v>
      </c>
      <c r="EP410" s="240">
        <f>INPUT!FW122</f>
        <v>8.4990539037619328E-3</v>
      </c>
      <c r="EQ410" s="81">
        <f>INPUT!FX122</f>
        <v>60.935672514619888</v>
      </c>
      <c r="ER410" s="240">
        <f>INPUT!FY122</f>
        <v>6.0217555979759538</v>
      </c>
      <c r="ES410" s="81">
        <f>INPUT!FZ122</f>
        <v>66.232998225901824</v>
      </c>
      <c r="ET410" s="240">
        <f>INPUT!GA122</f>
        <v>8.6933080290711189</v>
      </c>
      <c r="EU410" s="81">
        <f>INPUT!GB122</f>
        <v>68.585131894484405</v>
      </c>
      <c r="EV410" s="240">
        <f>INPUT!GC122</f>
        <v>3.5513018156902945</v>
      </c>
      <c r="EW410" s="81">
        <f>INPUT!GD122</f>
        <v>62.803643724696357</v>
      </c>
      <c r="EX410" s="240">
        <f>INPUT!GE122</f>
        <v>-8.4296523314741734</v>
      </c>
      <c r="EY410" s="81">
        <f>INPUT!GF122</f>
        <v>70.029455081001473</v>
      </c>
      <c r="EZ410" s="240">
        <f>INPUT!GG122</f>
        <v>11.505401482722718</v>
      </c>
      <c r="FA410" s="81">
        <f>INPUT!GH122</f>
        <v>71.547977265128708</v>
      </c>
      <c r="FB410" s="240">
        <f>INPUT!GI122</f>
        <v>2.1684049695528813</v>
      </c>
      <c r="FC410" s="81">
        <f>INPUT!GJ122</f>
        <v>77.220338983050851</v>
      </c>
      <c r="FD410" s="240">
        <f>INPUT!GK122</f>
        <v>7.9280532235070638</v>
      </c>
      <c r="FE410" s="81">
        <f>INPUT!GL122</f>
        <v>96.701388888888886</v>
      </c>
      <c r="FF410" s="240">
        <f>INPUT!GM122</f>
        <v>25.227874109842929</v>
      </c>
      <c r="FG410" s="81">
        <f>INPUT!GN122</f>
        <v>92.99085764040052</v>
      </c>
      <c r="FH410" s="240">
        <f>INPUT!GO122</f>
        <v>-3.8371023323685733</v>
      </c>
      <c r="FI410" s="81">
        <f>INPUT!GP122</f>
        <v>80.483150128492071</v>
      </c>
      <c r="FJ410" s="240">
        <f>INPUT!GQ122</f>
        <v>-13.450470109950246</v>
      </c>
      <c r="FK410" s="81">
        <f>INPUT!GR122</f>
        <v>80.483150128492071</v>
      </c>
      <c r="FL410" s="240">
        <f>INPUT!GS122</f>
        <v>0</v>
      </c>
      <c r="FM410" s="81">
        <f>INPUT!GT122</f>
        <v>80.483150128492071</v>
      </c>
      <c r="FN410" s="240">
        <f>INPUT!GU122</f>
        <v>0</v>
      </c>
      <c r="FO410" s="81">
        <f>INPUT!GV122</f>
        <v>80.483150128492071</v>
      </c>
      <c r="FP410" s="240">
        <f>INPUT!GW122</f>
        <v>0</v>
      </c>
      <c r="FQ410" s="81">
        <f>INPUT!GX122</f>
        <v>80.483150128492071</v>
      </c>
      <c r="FR410" s="240">
        <f>INPUT!GY122</f>
        <v>0</v>
      </c>
      <c r="FS410" s="240">
        <f>INPUT!GZ122</f>
        <v>-2.8477322052559151</v>
      </c>
    </row>
    <row r="411" spans="1:176" ht="12.75" hidden="1" customHeight="1" outlineLevel="1" x14ac:dyDescent="0.2">
      <c r="A411" s="77" t="str">
        <f>INPUT!B124</f>
        <v>Interest Credited/Net investment income (%)</v>
      </c>
      <c r="B411" s="81">
        <f>INPUT!AA124</f>
        <v>35.64356435643564</v>
      </c>
      <c r="C411" s="155">
        <f>INPUT!AB124</f>
        <v>13.4113411341134</v>
      </c>
      <c r="D411" s="81">
        <f>INPUT!AC124</f>
        <v>37.623762376237622</v>
      </c>
      <c r="E411" s="155">
        <f>INPUT!AD124</f>
        <v>5.5555555555555571</v>
      </c>
      <c r="F411" s="81">
        <f>INPUT!AE124</f>
        <v>39</v>
      </c>
      <c r="G411" s="155">
        <f>INPUT!AF124</f>
        <v>9.6216216216216139</v>
      </c>
      <c r="H411" s="81">
        <f>INPUT!AG124</f>
        <v>36.79245283018868</v>
      </c>
      <c r="I411" s="155">
        <f>INPUT!AH124</f>
        <v>7.394186639469666</v>
      </c>
      <c r="J411" s="81">
        <f>INPUT!AI124</f>
        <v>40.206185567010309</v>
      </c>
      <c r="K411" s="155">
        <f>INPUT!AJ124</f>
        <v>12.80068728522339</v>
      </c>
      <c r="L411" s="81">
        <f>INPUT!AK124</f>
        <v>42.268041237113401</v>
      </c>
      <c r="M411" s="155">
        <f>INPUT!AL124</f>
        <v>12.344004340748782</v>
      </c>
      <c r="N411" s="81">
        <f>INPUT!AM124</f>
        <v>40.384615384615387</v>
      </c>
      <c r="O411" s="155">
        <f>INPUT!AN124</f>
        <v>3.5502958579881607</v>
      </c>
      <c r="P411" s="81">
        <f>INPUT!AO124</f>
        <v>34.959349593495936</v>
      </c>
      <c r="Q411" s="155">
        <f>INPUT!AP124</f>
        <v>-4.9822805920366875</v>
      </c>
      <c r="R411" s="81">
        <f>INPUT!AQ124</f>
        <v>33.6</v>
      </c>
      <c r="S411" s="155">
        <f>INPUT!AR124</f>
        <v>-16.430769230769229</v>
      </c>
      <c r="T411" s="81">
        <f>INPUT!AS124</f>
        <v>36.97478991596639</v>
      </c>
      <c r="U411" s="155">
        <f>INPUT!AT124</f>
        <v>-12.523058003689272</v>
      </c>
      <c r="V411" s="81">
        <f>INPUT!AU124</f>
        <v>34.126984126984127</v>
      </c>
      <c r="W411" s="155">
        <f>INPUT!AV124</f>
        <v>-15.495086923658363</v>
      </c>
      <c r="X411" s="81">
        <f>INPUT!AW124</f>
        <v>36.923076923076927</v>
      </c>
      <c r="Y411" s="155">
        <f>INPUT!AX124</f>
        <v>5.6171735241502745</v>
      </c>
      <c r="Z411" s="81">
        <f>INPUT!AY124</f>
        <v>38.095238095238095</v>
      </c>
      <c r="AA411" s="155">
        <f>INPUT!AZ124</f>
        <v>13.378684807256235</v>
      </c>
      <c r="AB411" s="81">
        <f>INPUT!BA124</f>
        <v>36.764705882352942</v>
      </c>
      <c r="AC411" s="155">
        <f>INPUT!BB124</f>
        <v>-0.56818181818182723</v>
      </c>
      <c r="AD411" s="81">
        <f>INPUT!BC124</f>
        <v>37.226277372262771</v>
      </c>
      <c r="AE411" s="155">
        <f>INPUT!BD124</f>
        <v>9.0816499745374131</v>
      </c>
      <c r="AF411" s="81">
        <f>INPUT!BE124</f>
        <v>36.241610738255034</v>
      </c>
      <c r="AG411" s="155">
        <f>INPUT!BF124</f>
        <v>-1.8456375838926249</v>
      </c>
      <c r="AH411" s="81">
        <f>INPUT!BG124</f>
        <v>34.838709677419352</v>
      </c>
      <c r="AI411" s="240">
        <f>INPUT!BH124</f>
        <v>-8.5483870967742064</v>
      </c>
      <c r="AJ411" s="81">
        <f>INPUT!BI124</f>
        <v>33.540372670807457</v>
      </c>
      <c r="AK411" s="240">
        <f>INPUT!BJ124</f>
        <v>-8.7701863354037215</v>
      </c>
      <c r="AL411" s="81">
        <f>INPUT!BK124</f>
        <v>32.727272727272727</v>
      </c>
      <c r="AM411" s="240">
        <f>INPUT!BL124</f>
        <v>-12.085561497326196</v>
      </c>
      <c r="AN411" s="81">
        <f>INPUT!BM124</f>
        <v>32</v>
      </c>
      <c r="AO411" s="240">
        <f>INPUT!BN124</f>
        <v>-11.703703703703709</v>
      </c>
      <c r="AP411" s="81">
        <f>INPUT!BO124</f>
        <v>30.555555555555557</v>
      </c>
      <c r="AQ411" s="240">
        <f>INPUT!BP124</f>
        <v>-12.29423868312756</v>
      </c>
      <c r="AR411" s="81">
        <f>INPUT!BQ124</f>
        <v>31.318681318681318</v>
      </c>
      <c r="AS411" s="240">
        <f>INPUT!BR124</f>
        <v>-6.6239316239316395</v>
      </c>
      <c r="AT411" s="81">
        <f>INPUT!BS124</f>
        <v>30.890052356020941</v>
      </c>
      <c r="AU411" s="240">
        <f>INPUT!BT124</f>
        <v>-5.613728912158237</v>
      </c>
      <c r="AV411" s="81">
        <f>INPUT!BU124</f>
        <v>30.612244897959183</v>
      </c>
      <c r="AW411" s="240">
        <f>INPUT!BV124</f>
        <v>-4.3367346938775597</v>
      </c>
      <c r="AX411" s="81">
        <f>INPUT!BW124</f>
        <v>31.472081218274113</v>
      </c>
      <c r="AY411" s="240">
        <f>INPUT!BX124</f>
        <v>2.9995385325334496</v>
      </c>
      <c r="AZ411" s="81">
        <f>INPUT!BY124</f>
        <v>32.5</v>
      </c>
      <c r="BA411" s="240">
        <f>INPUT!BZ124</f>
        <v>3.771929824561397</v>
      </c>
      <c r="BB411" s="81">
        <f>INPUT!CA124</f>
        <v>33.170731707317074</v>
      </c>
      <c r="BC411" s="240">
        <f>INPUT!CB124</f>
        <v>7.3832162050434107</v>
      </c>
      <c r="BD411" s="81">
        <f>INPUT!CC124</f>
        <v>32.850241545893724</v>
      </c>
      <c r="BE411" s="240">
        <f>INPUT!CD124</f>
        <v>7.3107890499195065</v>
      </c>
      <c r="BF411" s="81">
        <f>INPUT!CE124</f>
        <v>32.394366197183103</v>
      </c>
      <c r="BG411" s="240">
        <f>INPUT!CF124</f>
        <v>2.9304861426624456</v>
      </c>
      <c r="BH411" s="81">
        <f>INPUT!CG124</f>
        <v>31.390134529147986</v>
      </c>
      <c r="BI411" s="240">
        <f>INPUT!CH124</f>
        <v>-3.4149706795446662</v>
      </c>
      <c r="BJ411" s="81">
        <f>INPUT!CI124</f>
        <v>31.739130434782609</v>
      </c>
      <c r="BK411" s="240">
        <f>INPUT!CJ124</f>
        <v>-4.3158567774936074</v>
      </c>
      <c r="BL411" s="81">
        <f>INPUT!CK124</f>
        <v>30.37974683544304</v>
      </c>
      <c r="BM411" s="240">
        <f>INPUT!CL124</f>
        <v>-7.5204765450484103</v>
      </c>
      <c r="BN411" s="81">
        <f>INPUT!CM124</f>
        <v>30.084745762711862</v>
      </c>
      <c r="BO411" s="240">
        <f>INPUT!CN124</f>
        <v>-7.1296978629329573</v>
      </c>
      <c r="BP411" s="81">
        <f>INPUT!CO124</f>
        <v>30.204081632653061</v>
      </c>
      <c r="BQ411" s="240">
        <f>INPUT!CP124</f>
        <v>-3.7784256559766902</v>
      </c>
      <c r="BR411" s="81">
        <f>INPUT!CQ124</f>
        <v>31.048387096774192</v>
      </c>
      <c r="BS411" s="240">
        <f>INPUT!CR124</f>
        <v>-2.1763146266018651</v>
      </c>
      <c r="BT411" s="81">
        <f>INPUT!CS124</f>
        <v>30.923694779116467</v>
      </c>
      <c r="BU411" s="240">
        <f>INPUT!CT124</f>
        <v>1.7904953145916949</v>
      </c>
      <c r="BV411" s="81">
        <f>INPUT!CU124</f>
        <v>30.314960629921263</v>
      </c>
      <c r="BW411" s="240">
        <f>INPUT!CV124</f>
        <v>0.76522124875238262</v>
      </c>
      <c r="BX411" s="81">
        <f>INPUT!CW124</f>
        <v>31.640625</v>
      </c>
      <c r="BY411" s="240">
        <f>INPUT!CX124</f>
        <v>4.756123310810807</v>
      </c>
      <c r="BZ411" s="81">
        <f>INPUT!CY124</f>
        <v>31.800766283524908</v>
      </c>
      <c r="CA411" s="240">
        <f>INPUT!CZ124</f>
        <v>2.4232472508334695</v>
      </c>
      <c r="CB411" s="81">
        <f>INPUT!DA124</f>
        <v>33.587786259541986</v>
      </c>
      <c r="CC411" s="240">
        <f>INPUT!DB124</f>
        <v>8.6150490730643412</v>
      </c>
      <c r="CD411" s="81">
        <f>INPUT!DC124</f>
        <v>41.212121212121211</v>
      </c>
      <c r="CE411" s="240">
        <f>INPUT!DD124</f>
        <v>35.946477764659562</v>
      </c>
      <c r="CF411" s="81">
        <f>INPUT!DE124</f>
        <v>40.960451977401128</v>
      </c>
      <c r="CG411" s="240">
        <f>INPUT!DF124</f>
        <v>29.455255632280114</v>
      </c>
      <c r="CH411" s="81">
        <f>INPUT!DG124</f>
        <v>42.209631728045323</v>
      </c>
      <c r="CI411" s="240">
        <f>INPUT!DH124</f>
        <v>32.73149254240758</v>
      </c>
      <c r="CJ411" s="81">
        <f>INPUT!DI124</f>
        <v>39.566395663956641</v>
      </c>
      <c r="CK411" s="240">
        <f>INPUT!DJ124</f>
        <v>17.799950726779997</v>
      </c>
      <c r="CL411" s="81">
        <f>INPUT!DK124</f>
        <v>37.343358395989974</v>
      </c>
      <c r="CM411" s="240">
        <f>INPUT!DL124</f>
        <v>-9.387439186200794</v>
      </c>
      <c r="CN411" s="81">
        <f>INPUT!DM124</f>
        <v>38.22784810126582</v>
      </c>
      <c r="CO411" s="240">
        <f>INPUT!DN124</f>
        <v>-6.6713225665648253</v>
      </c>
      <c r="CP411" s="81">
        <f>INPUT!DO124</f>
        <v>36.626506024096386</v>
      </c>
      <c r="CQ411" s="240">
        <f>INPUT!DP124</f>
        <v>-13.227136734858888</v>
      </c>
      <c r="CR411" s="81">
        <f>INPUT!DQ124</f>
        <v>37.469586374695865</v>
      </c>
      <c r="CS411" s="240">
        <f>INPUT!DR124</f>
        <v>-5.2994700529947067</v>
      </c>
      <c r="CT411" s="81">
        <f>INPUT!DS124</f>
        <v>38.461538461538467</v>
      </c>
      <c r="CU411" s="240">
        <f>INPUT!DT124</f>
        <v>2.9943211151264961</v>
      </c>
      <c r="CV411" s="81">
        <f>INPUT!DU124</f>
        <v>39.119804400977998</v>
      </c>
      <c r="CW411" s="240">
        <f>INPUT!DV124</f>
        <v>2.3332631681212632</v>
      </c>
      <c r="CX411" s="81">
        <f>INPUT!DW124</f>
        <v>37.844036697247709</v>
      </c>
      <c r="CY411" s="240">
        <f>INPUT!DX124</f>
        <v>3.3241791405118448</v>
      </c>
      <c r="CZ411" s="81">
        <f>INPUT!DY124</f>
        <v>38.954869358669839</v>
      </c>
      <c r="DA411" s="240">
        <f>INPUT!DZ124</f>
        <v>3.9639695221643194</v>
      </c>
      <c r="DB411" s="81">
        <f>INPUT!EA124</f>
        <v>37.61467889908257</v>
      </c>
      <c r="DC411" s="240">
        <f>INPUT!EB124</f>
        <v>-2.2018348623853257</v>
      </c>
      <c r="DD411" s="81">
        <f>INPUT!EC124</f>
        <v>37.977528089887642</v>
      </c>
      <c r="DE411" s="240">
        <f>INPUT!ED124</f>
        <v>-2.9199438202247308</v>
      </c>
      <c r="DF411" s="81">
        <f>INPUT!EE124</f>
        <v>36.460554371002132</v>
      </c>
      <c r="DG411" s="240">
        <f>INPUT!EF124</f>
        <v>-3.6557472378367919</v>
      </c>
      <c r="DH411" s="81">
        <f>INPUT!EG124</f>
        <v>37.288135593220339</v>
      </c>
      <c r="DI411" s="240">
        <f>INPUT!EH124</f>
        <v>-4.278627532038044</v>
      </c>
      <c r="DJ411" s="81">
        <f>INPUT!EI124</f>
        <v>36.514522821576762</v>
      </c>
      <c r="DK411" s="240">
        <f>INPUT!EJ124</f>
        <v>-2.9248051816617817</v>
      </c>
      <c r="DL411" s="81">
        <f>INPUT!EK124</f>
        <v>36.853002070393373</v>
      </c>
      <c r="DM411" s="240">
        <f>INPUT!EL124</f>
        <v>-2.9610300513310648</v>
      </c>
      <c r="DN411" s="81">
        <f>INPUT!EM124</f>
        <v>37.603305785123972</v>
      </c>
      <c r="DO411" s="240">
        <f>INPUT!EN124</f>
        <v>3.1342129428253855</v>
      </c>
      <c r="DP411" s="81">
        <f>INPUT!EO124</f>
        <v>36.673346693386769</v>
      </c>
      <c r="DQ411" s="240">
        <f>INPUT!EP124</f>
        <v>-1.6487520495536643</v>
      </c>
      <c r="DR411" s="81">
        <f>INPUT!EQ124</f>
        <v>37</v>
      </c>
      <c r="DS411" s="240">
        <f>INPUT!ER124</f>
        <v>1.3295454545454675</v>
      </c>
      <c r="DT411" s="81">
        <f>INPUT!ES124</f>
        <v>37</v>
      </c>
      <c r="DU411" s="240">
        <f>INPUT!ET124</f>
        <v>0.39887640449438777</v>
      </c>
      <c r="DV411" s="81">
        <f>INPUT!EU124</f>
        <v>37</v>
      </c>
      <c r="DW411" s="240">
        <f>INPUT!EV124</f>
        <v>-1.60439560439562</v>
      </c>
      <c r="DX411" s="81">
        <f>INPUT!EW124</f>
        <v>37</v>
      </c>
      <c r="DY411" s="240">
        <f>INPUT!EX124</f>
        <v>0.8907103825136744</v>
      </c>
      <c r="DZ411" s="81"/>
      <c r="EA411" s="240"/>
      <c r="EB411" s="155">
        <f>INPUT!FI124</f>
        <v>3.3189512114148556E-2</v>
      </c>
      <c r="EC411" s="81">
        <f>INPUT!FJ124</f>
        <v>34.210526315789473</v>
      </c>
      <c r="ED411" s="155">
        <f>INPUT!FK124</f>
        <v>-2.3626584709950009</v>
      </c>
      <c r="EE411" s="81">
        <f>INPUT!FL124</f>
        <v>37.254901960784316</v>
      </c>
      <c r="EF411" s="155">
        <f>INPUT!FM124</f>
        <v>8.8989441930618511</v>
      </c>
      <c r="EG411" s="81">
        <f>INPUT!FN124</f>
        <v>39.192399049881232</v>
      </c>
      <c r="EH411" s="155">
        <f>INPUT!FO124</f>
        <v>5.2006500812601359</v>
      </c>
      <c r="EI411" s="81">
        <f>INPUT!FP124</f>
        <v>35.4</v>
      </c>
      <c r="EJ411" s="240">
        <f>INPUT!FQ124</f>
        <v>-9.6763636363636323</v>
      </c>
      <c r="EK411" s="81">
        <f>INPUT!FR124</f>
        <v>37.043795620437962</v>
      </c>
      <c r="EL411" s="240">
        <f>INPUT!FS124</f>
        <v>4.6434904532145964</v>
      </c>
      <c r="EM411" s="81">
        <f>INPUT!FT124</f>
        <v>33.231707317073173</v>
      </c>
      <c r="EN411" s="240">
        <f>INPUT!FU124</f>
        <v>-10.290760543073418</v>
      </c>
      <c r="EO411" s="81">
        <f>INPUT!FV124</f>
        <v>30.841121495327101</v>
      </c>
      <c r="EP411" s="240">
        <f>INPUT!FW124</f>
        <v>-7.1936894452542361</v>
      </c>
      <c r="EQ411" s="81">
        <f>INPUT!FX124</f>
        <v>32.509270704573545</v>
      </c>
      <c r="ER411" s="240">
        <f>INPUT!FY124</f>
        <v>5.408847436041512</v>
      </c>
      <c r="ES411" s="81">
        <f>INPUT!FZ124</f>
        <v>31.450719822812843</v>
      </c>
      <c r="ET411" s="240">
        <f>INPUT!GA124</f>
        <v>-3.256150811195468</v>
      </c>
      <c r="EU411" s="81">
        <f>INPUT!GB124</f>
        <v>30.572597137014313</v>
      </c>
      <c r="EV411" s="240">
        <f>INPUT!GC124</f>
        <v>-2.7920591030847675</v>
      </c>
      <c r="EW411" s="81">
        <f>INPUT!GD124</f>
        <v>31.848983543078411</v>
      </c>
      <c r="EX411" s="240">
        <f>INPUT!GE124</f>
        <v>4.1749361375608345</v>
      </c>
      <c r="EY411" s="81">
        <f>INPUT!GF124</f>
        <v>40.96728307254623</v>
      </c>
      <c r="EZ411" s="240">
        <f>INPUT!GG124</f>
        <v>28.629797610760647</v>
      </c>
      <c r="FA411" s="81">
        <f>INPUT!GH124</f>
        <v>37.407407407407405</v>
      </c>
      <c r="FB411" s="240">
        <f>INPUT!GI124</f>
        <v>-8.6895576131687307</v>
      </c>
      <c r="FC411" s="81">
        <f>INPUT!GJ124</f>
        <v>38.585979628520072</v>
      </c>
      <c r="FD411" s="240">
        <f>INPUT!GK124</f>
        <v>3.1506386108952427</v>
      </c>
      <c r="FE411" s="81">
        <f>INPUT!GL124</f>
        <v>37.321624588364429</v>
      </c>
      <c r="FF411" s="240">
        <f>INPUT!GM124</f>
        <v>-3.2767213695959185</v>
      </c>
      <c r="FG411" s="81">
        <f>INPUT!GN124</f>
        <v>36.909650924024639</v>
      </c>
      <c r="FH411" s="240">
        <f>INPUT!GO124</f>
        <v>-1.1038470829810194</v>
      </c>
      <c r="FI411" s="81">
        <f>INPUT!GP124</f>
        <v>36.999999999999993</v>
      </c>
      <c r="FJ411" s="240">
        <f>INPUT!GQ124</f>
        <v>0.24478442280944535</v>
      </c>
      <c r="FK411" s="81">
        <f>INPUT!GR124</f>
        <v>37.499999999999993</v>
      </c>
      <c r="FL411" s="240">
        <f>INPUT!GS124</f>
        <v>1.3513513513513544</v>
      </c>
      <c r="FM411" s="81">
        <f>INPUT!GT124</f>
        <v>37.999999999999993</v>
      </c>
      <c r="FN411" s="240">
        <f>INPUT!GU124</f>
        <v>1.3333333333333428</v>
      </c>
      <c r="FO411" s="81">
        <f>INPUT!GV124</f>
        <v>38.199999999999996</v>
      </c>
      <c r="FP411" s="240">
        <f>INPUT!GW124</f>
        <v>0.52631578947368496</v>
      </c>
      <c r="FQ411" s="81">
        <f>INPUT!GX124</f>
        <v>38.4</v>
      </c>
      <c r="FR411" s="240">
        <f>INPUT!GY124</f>
        <v>0.52356020942410453</v>
      </c>
      <c r="FS411" s="240">
        <f>INPUT!GZ124</f>
        <v>0.79483013769867661</v>
      </c>
    </row>
    <row r="412" spans="1:176" ht="12.75" hidden="1" customHeight="1" outlineLevel="1" x14ac:dyDescent="0.2">
      <c r="A412" s="77" t="str">
        <f>INPUT!B125</f>
        <v>Operating Expenses/Total Revenues (%)</v>
      </c>
      <c r="B412" s="81">
        <f>INPUT!AA125</f>
        <v>37.060041407867494</v>
      </c>
      <c r="C412" s="155">
        <f>INPUT!AB125</f>
        <v>-7.2452070978231546</v>
      </c>
      <c r="D412" s="81">
        <f>INPUT!AC125</f>
        <v>37.654320987654323</v>
      </c>
      <c r="E412" s="155">
        <f>INPUT!AD125</f>
        <v>-3.748786239422941</v>
      </c>
      <c r="F412" s="81">
        <f>INPUT!AE125</f>
        <v>36.83083511777302</v>
      </c>
      <c r="G412" s="155">
        <f>INPUT!AF125</f>
        <v>3.5867237687366043</v>
      </c>
      <c r="H412" s="81">
        <f>INPUT!AG125</f>
        <v>41.929133858267711</v>
      </c>
      <c r="I412" s="155">
        <f>INPUT!AH125</f>
        <v>26.452943382077237</v>
      </c>
      <c r="J412" s="81">
        <f>INPUT!AI125</f>
        <v>44.311377245508979</v>
      </c>
      <c r="K412" s="155">
        <f>INPUT!AJ125</f>
        <v>19.566453684809133</v>
      </c>
      <c r="L412" s="81">
        <f>INPUT!AK125</f>
        <v>44.970414201183431</v>
      </c>
      <c r="M412" s="155">
        <f>INPUT!AL125</f>
        <v>19.429624599864198</v>
      </c>
      <c r="N412" s="81">
        <f>INPUT!AM125</f>
        <v>44.339622641509436</v>
      </c>
      <c r="O412" s="155">
        <f>INPUT!AN125</f>
        <v>20.38723124177271</v>
      </c>
      <c r="P412" s="81">
        <f>INPUT!AO125</f>
        <v>45.981308411214954</v>
      </c>
      <c r="Q412" s="155">
        <f>INPUT!AP125</f>
        <v>9.6643411873107823</v>
      </c>
      <c r="R412" s="81">
        <f>INPUT!AQ125</f>
        <v>37.030075187969928</v>
      </c>
      <c r="S412" s="155">
        <f>INPUT!AR125</f>
        <v>-16.432127616338136</v>
      </c>
      <c r="T412" s="81">
        <f>INPUT!AS125</f>
        <v>39.963503649635037</v>
      </c>
      <c r="U412" s="155">
        <f>INPUT!AT125</f>
        <v>-11.133787936995773</v>
      </c>
      <c r="V412" s="81">
        <f>INPUT!AU125</f>
        <v>35.714285714285715</v>
      </c>
      <c r="W412" s="155">
        <f>INPUT!AV125</f>
        <v>-19.452887537993917</v>
      </c>
      <c r="X412" s="81">
        <f>INPUT!AW125</f>
        <v>35.172413793103445</v>
      </c>
      <c r="Y412" s="155">
        <f>INPUT!AX125</f>
        <v>-23.507148864592097</v>
      </c>
      <c r="Z412" s="81">
        <f>INPUT!AY125</f>
        <v>36.851520572450809</v>
      </c>
      <c r="AA412" s="155">
        <f>INPUT!AZ125</f>
        <v>-0.48218809876229329</v>
      </c>
      <c r="AB412" s="81">
        <f>INPUT!BA125</f>
        <v>36.518771331058019</v>
      </c>
      <c r="AC412" s="155">
        <f>INPUT!BB125</f>
        <v>-8.6196954821013918</v>
      </c>
      <c r="AD412" s="81">
        <f>INPUT!BC125</f>
        <v>47.965738758029978</v>
      </c>
      <c r="AE412" s="155">
        <f>INPUT!BD125</f>
        <v>34.304068522483931</v>
      </c>
      <c r="AF412" s="81">
        <f>INPUT!BE125</f>
        <v>37.851239669421489</v>
      </c>
      <c r="AG412" s="155">
        <f>INPUT!BF125</f>
        <v>7.6162696483552281</v>
      </c>
      <c r="AH412" s="81">
        <f>INPUT!BG125</f>
        <v>35.974643423137877</v>
      </c>
      <c r="AI412" s="240">
        <f>INPUT!BH125</f>
        <v>-2.3794870216792674</v>
      </c>
      <c r="AJ412" s="81">
        <f>INPUT!BI125</f>
        <v>38.950715421303656</v>
      </c>
      <c r="AK412" s="240">
        <f>INPUT!BJ125</f>
        <v>6.6594356863735698</v>
      </c>
      <c r="AL412" s="81">
        <f>INPUT!BK125</f>
        <v>37.946428571428569</v>
      </c>
      <c r="AM412" s="240">
        <f>INPUT!BL125</f>
        <v>-20.888472576530617</v>
      </c>
      <c r="AN412" s="81">
        <f>INPUT!BM125</f>
        <v>37.910447761194028</v>
      </c>
      <c r="AO412" s="240">
        <f>INPUT!BN125</f>
        <v>0.15642312455190677</v>
      </c>
      <c r="AP412" s="81">
        <f>INPUT!BO125</f>
        <v>34.558823529411761</v>
      </c>
      <c r="AQ412" s="240">
        <f>INPUT!BP125</f>
        <v>-3.9356050790360371</v>
      </c>
      <c r="AR412" s="81">
        <f>INPUT!BQ125</f>
        <v>36.68639053254438</v>
      </c>
      <c r="AS412" s="240">
        <f>INPUT!BR125</f>
        <v>-5.8133075715493305</v>
      </c>
      <c r="AT412" s="81">
        <f>INPUT!BS125</f>
        <v>37.390029325513197</v>
      </c>
      <c r="AU412" s="240">
        <f>INPUT!BT125</f>
        <v>-1.4662756598240492</v>
      </c>
      <c r="AV412" s="81">
        <f>INPUT!BU125</f>
        <v>32.541899441340782</v>
      </c>
      <c r="AW412" s="240">
        <f>INPUT!BV125</f>
        <v>-14.161131394888486</v>
      </c>
      <c r="AX412" s="81">
        <f>INPUT!BW125</f>
        <v>35.588235294117645</v>
      </c>
      <c r="AY412" s="240">
        <f>INPUT!BX125</f>
        <v>2.9787234042553337</v>
      </c>
      <c r="AZ412" s="81">
        <f>INPUT!BY125</f>
        <v>37.268847795163587</v>
      </c>
      <c r="BA412" s="240">
        <f>INPUT!BZ125</f>
        <v>1.5876657642362346</v>
      </c>
      <c r="BB412" s="81">
        <f>INPUT!CA125</f>
        <v>39.634146341463413</v>
      </c>
      <c r="BC412" s="240">
        <f>INPUT!CB125</f>
        <v>6.0019129603060719</v>
      </c>
      <c r="BD412" s="81">
        <f>INPUT!CC125</f>
        <v>35.802469135802468</v>
      </c>
      <c r="BE412" s="240">
        <f>INPUT!CD125</f>
        <v>10.019604726328609</v>
      </c>
      <c r="BF412" s="81">
        <f>INPUT!CE125</f>
        <v>34.206695778748184</v>
      </c>
      <c r="BG412" s="240">
        <f>INPUT!CF125</f>
        <v>-3.8820118613687242</v>
      </c>
      <c r="BH412" s="81">
        <f>INPUT!CG125</f>
        <v>31.025299600532623</v>
      </c>
      <c r="BI412" s="240">
        <f>INPUT!CH125</f>
        <v>-16.752726644372402</v>
      </c>
      <c r="BJ412" s="81">
        <f>INPUT!CI125</f>
        <v>35.78125</v>
      </c>
      <c r="BK412" s="240">
        <f>INPUT!CJ125</f>
        <v>-9.7211538461538396</v>
      </c>
      <c r="BL412" s="81">
        <f>INPUT!CK125</f>
        <v>31.123139377537214</v>
      </c>
      <c r="BM412" s="240">
        <f>INPUT!CL125</f>
        <v>-13.069852083430533</v>
      </c>
      <c r="BN412" s="81">
        <f>INPUT!CM125</f>
        <v>30.206896551724139</v>
      </c>
      <c r="BO412" s="240">
        <f>INPUT!CN125</f>
        <v>-11.693030080704332</v>
      </c>
      <c r="BP412" s="81">
        <f>INPUT!CO125</f>
        <v>31.323722149410223</v>
      </c>
      <c r="BQ412" s="240">
        <f>INPUT!CP125</f>
        <v>0.96186838715483702</v>
      </c>
      <c r="BR412" s="81">
        <f>INPUT!CQ125</f>
        <v>37.636080870917574</v>
      </c>
      <c r="BS412" s="240">
        <f>INPUT!CR125</f>
        <v>5.1838068008176634</v>
      </c>
      <c r="BT412" s="81">
        <f>INPUT!CS125</f>
        <v>31.599479843953187</v>
      </c>
      <c r="BU412" s="240">
        <f>INPUT!CT125</f>
        <v>1.5305026290495931</v>
      </c>
      <c r="BV412" s="81">
        <f>INPUT!CU125</f>
        <v>32.087628865979383</v>
      </c>
      <c r="BW412" s="240">
        <f>INPUT!CV125</f>
        <v>6.2261686202513857</v>
      </c>
      <c r="BX412" s="81">
        <f>INPUT!CW125</f>
        <v>32.004981320049815</v>
      </c>
      <c r="BY412" s="240">
        <f>INPUT!CX125</f>
        <v>2.1748985238410512</v>
      </c>
      <c r="BZ412" s="81">
        <f>INPUT!CY125</f>
        <v>28.270042194092827</v>
      </c>
      <c r="CA412" s="240">
        <f>INPUT!CZ125</f>
        <v>-24.885796980158318</v>
      </c>
      <c r="CB412" s="81">
        <f>INPUT!DA125</f>
        <v>40.476190476190474</v>
      </c>
      <c r="CC412" s="240">
        <f>INPUT!DB125</f>
        <v>28.091318832059557</v>
      </c>
      <c r="CD412" s="81">
        <f>INPUT!DC125</f>
        <v>40.606060606060609</v>
      </c>
      <c r="CE412" s="240">
        <f>INPUT!DD125</f>
        <v>26.547401728124626</v>
      </c>
      <c r="CF412" s="81">
        <f>INPUT!DE125</f>
        <v>37.458745874587457</v>
      </c>
      <c r="CG412" s="240">
        <f>INPUT!DF125</f>
        <v>17.040361623710993</v>
      </c>
      <c r="CH412" s="81">
        <f>INPUT!DG125</f>
        <v>41.786743515850148</v>
      </c>
      <c r="CI412" s="240">
        <f>INPUT!DH125</f>
        <v>47.812809153081872</v>
      </c>
      <c r="CJ412" s="81">
        <f>INPUT!DI125</f>
        <v>36.716171617161713</v>
      </c>
      <c r="CK412" s="240">
        <f>INPUT!DJ125</f>
        <v>-9.2894583576004663</v>
      </c>
      <c r="CL412" s="81">
        <f>INPUT!DK125</f>
        <v>30.787037037037035</v>
      </c>
      <c r="CM412" s="240">
        <f>INPUT!DL125</f>
        <v>-24.181177446102836</v>
      </c>
      <c r="CN412" s="81">
        <f>INPUT!DM125</f>
        <v>29.893778452200305</v>
      </c>
      <c r="CO412" s="240">
        <f>INPUT!DN125</f>
        <v>-20.195463691482885</v>
      </c>
      <c r="CP412" s="81">
        <f>INPUT!DO125</f>
        <v>34.03590944574551</v>
      </c>
      <c r="CQ412" s="240">
        <f>INPUT!DP125</f>
        <v>-18.548547740181448</v>
      </c>
      <c r="CR412" s="81">
        <f>INPUT!DQ125</f>
        <v>31.705484598046578</v>
      </c>
      <c r="CS412" s="240">
        <f>INPUT!DR125</f>
        <v>-13.647084645320334</v>
      </c>
      <c r="CT412" s="81">
        <f>INPUT!DS125</f>
        <v>28.423390081421168</v>
      </c>
      <c r="CU412" s="240">
        <f>INPUT!DT125</f>
        <v>-7.6774096603462851</v>
      </c>
      <c r="CV412" s="81">
        <f>INPUT!DU125</f>
        <v>31.206896551724139</v>
      </c>
      <c r="CW412" s="240">
        <f>INPUT!DV125</f>
        <v>4.3926133380010555</v>
      </c>
      <c r="CX412" s="81">
        <f>INPUT!DW125</f>
        <v>31.345454545454544</v>
      </c>
      <c r="CY412" s="240">
        <f>INPUT!DX125</f>
        <v>-7.9047539616346967</v>
      </c>
      <c r="CZ412" s="81">
        <f>INPUT!DY125</f>
        <v>34.595397178916109</v>
      </c>
      <c r="DA412" s="240">
        <f>INPUT!DZ125</f>
        <v>9.1148664576714395</v>
      </c>
      <c r="DB412" s="81">
        <f>INPUT!EA125</f>
        <v>30.161054172767205</v>
      </c>
      <c r="DC412" s="240">
        <f>INPUT!EB125</f>
        <v>6.1135004880429591</v>
      </c>
      <c r="DD412" s="81">
        <f>INPUT!EC125</f>
        <v>40.432900432900432</v>
      </c>
      <c r="DE412" s="240">
        <f>INPUT!ED125</f>
        <v>29.563990337470983</v>
      </c>
      <c r="DF412" s="81">
        <f>INPUT!EE125</f>
        <v>31.914893617021278</v>
      </c>
      <c r="DG412" s="240">
        <f>INPUT!EF125</f>
        <v>1.8166559707755425</v>
      </c>
      <c r="DH412" s="81">
        <f>INPUT!EG125</f>
        <v>34.41011235955056</v>
      </c>
      <c r="DI412" s="240">
        <f>INPUT!EH125</f>
        <v>-0.53557650576264848</v>
      </c>
      <c r="DJ412" s="81">
        <f>INPUT!EI125</f>
        <v>32.179930795847753</v>
      </c>
      <c r="DK412" s="240">
        <f>INPUT!EJ125</f>
        <v>6.6936540464272554</v>
      </c>
      <c r="DL412" s="81">
        <f>INPUT!EK125</f>
        <v>74.923547400611625</v>
      </c>
      <c r="DM412" s="240">
        <f>INPUT!EL125</f>
        <v>85.303420230634742</v>
      </c>
      <c r="DN412" s="81">
        <f>INPUT!EM125</f>
        <v>31.963146704464918</v>
      </c>
      <c r="DO412" s="240">
        <f>INPUT!EN125</f>
        <v>0.1511930073233998</v>
      </c>
      <c r="DP412" s="81">
        <f>INPUT!EO125</f>
        <v>31.693989071038253</v>
      </c>
      <c r="DQ412" s="240">
        <f>INPUT!EP125</f>
        <v>-7.8933868629418811</v>
      </c>
      <c r="DR412" s="81">
        <f>INPUT!EQ125</f>
        <v>32.5</v>
      </c>
      <c r="DS412" s="240">
        <f>INPUT!ER125</f>
        <v>0.99462365591395496</v>
      </c>
      <c r="DT412" s="81">
        <f>INPUT!ES125</f>
        <v>32.5</v>
      </c>
      <c r="DU412" s="240" t="str">
        <f>INPUT!ET125</f>
        <v>NM</v>
      </c>
      <c r="DV412" s="81">
        <f>INPUT!EU125</f>
        <v>32.5</v>
      </c>
      <c r="DW412" s="240">
        <f>INPUT!EV125</f>
        <v>1.6796008869179673</v>
      </c>
      <c r="DX412" s="81">
        <f>INPUT!EW125</f>
        <v>33</v>
      </c>
      <c r="DY412" s="240">
        <f>INPUT!EX125</f>
        <v>4.1206896551723986</v>
      </c>
      <c r="DZ412" s="81"/>
      <c r="EA412" s="240"/>
      <c r="EB412" s="155">
        <f>INPUT!FI125</f>
        <v>-19.369537352837298</v>
      </c>
      <c r="EC412" s="81">
        <f>INPUT!FJ125</f>
        <v>36.678553234844621</v>
      </c>
      <c r="ED412" s="155">
        <f>INPUT!FK125</f>
        <v>-20.015745843560424</v>
      </c>
      <c r="EE412" s="81">
        <f>INPUT!FL125</f>
        <v>38.425925925925924</v>
      </c>
      <c r="EF412" s="155">
        <f>INPUT!FM125</f>
        <v>4.7640174897119323</v>
      </c>
      <c r="EG412" s="81">
        <f>INPUT!FN125</f>
        <v>44.910757356488176</v>
      </c>
      <c r="EH412" s="155">
        <f>INPUT!FO125</f>
        <v>16.876187819294543</v>
      </c>
      <c r="EI412" s="81">
        <f>INPUT!FP125</f>
        <v>36.914235190097259</v>
      </c>
      <c r="EJ412" s="240">
        <f>INPUT!FQ125</f>
        <v>-17.805360312490194</v>
      </c>
      <c r="EK412" s="81">
        <f>INPUT!FR125</f>
        <v>39.377537212449255</v>
      </c>
      <c r="EL412" s="240">
        <f>INPUT!FS125</f>
        <v>6.6730409276170235</v>
      </c>
      <c r="EM412" s="81">
        <f>INPUT!FT125</f>
        <v>37.701767870868565</v>
      </c>
      <c r="EN412" s="240">
        <f>INPUT!FU125</f>
        <v>-4.2556479155605729</v>
      </c>
      <c r="EO412" s="81">
        <f>INPUT!FV125</f>
        <v>35.257806826434276</v>
      </c>
      <c r="EP412" s="240">
        <f>INPUT!FW125</f>
        <v>-6.4823513125566024</v>
      </c>
      <c r="EQ412" s="81">
        <f>INPUT!FX125</f>
        <v>37.043729671123963</v>
      </c>
      <c r="ER412" s="240">
        <f>INPUT!FY125</f>
        <v>5.0653259673279223</v>
      </c>
      <c r="ES412" s="81">
        <f>INPUT!FZ125</f>
        <v>32.907348242811501</v>
      </c>
      <c r="ET412" s="240">
        <f>INPUT!GA125</f>
        <v>-11.16621210940545</v>
      </c>
      <c r="EU412" s="81">
        <f>INPUT!GB125</f>
        <v>32.517241379310349</v>
      </c>
      <c r="EV412" s="240">
        <f>INPUT!GC125</f>
        <v>-1.1854703716102932</v>
      </c>
      <c r="EW412" s="81">
        <f>INPUT!GD125</f>
        <v>33.085833085833087</v>
      </c>
      <c r="EX412" s="240">
        <f>INPUT!GE125</f>
        <v>1.7485853116818078</v>
      </c>
      <c r="EY412" s="81">
        <f>INPUT!GF125</f>
        <v>39.025974025974023</v>
      </c>
      <c r="EZ412" s="240">
        <f>INPUT!GG125</f>
        <v>17.953729394483403</v>
      </c>
      <c r="FA412" s="81">
        <f>INPUT!GH125</f>
        <v>31.592039800995025</v>
      </c>
      <c r="FB412" s="240">
        <f>INPUT!GI125</f>
        <v>-19.048683371826385</v>
      </c>
      <c r="FC412" s="81">
        <f>INPUT!GJ125</f>
        <v>31.396904261417923</v>
      </c>
      <c r="FD412" s="240">
        <f>INPUT!GK125</f>
        <v>-0.61767312527555873</v>
      </c>
      <c r="FE412" s="81">
        <f>INPUT!GL125</f>
        <v>33.968253968253968</v>
      </c>
      <c r="FF412" s="240">
        <f>INPUT!GM125</f>
        <v>8.1898192427711507</v>
      </c>
      <c r="FG412" s="81">
        <f>INPUT!GN125</f>
        <v>37.595496582227582</v>
      </c>
      <c r="FH412" s="240">
        <f>INPUT!GO125</f>
        <v>10.678331059828878</v>
      </c>
      <c r="FI412" s="81">
        <f>INPUT!GP125</f>
        <v>32.630156666843547</v>
      </c>
      <c r="FJ412" s="240">
        <f>INPUT!GQ125</f>
        <v>-13.207273122524171</v>
      </c>
      <c r="FK412" s="81">
        <f>INPUT!GR125</f>
        <v>32.630156666843547</v>
      </c>
      <c r="FL412" s="240">
        <f>INPUT!GS125</f>
        <v>0</v>
      </c>
      <c r="FM412" s="81">
        <f>INPUT!GT125</f>
        <v>32.630156666843547</v>
      </c>
      <c r="FN412" s="240">
        <f>INPUT!GU125</f>
        <v>0</v>
      </c>
      <c r="FO412" s="81">
        <f>INPUT!GV125</f>
        <v>32.630156666843547</v>
      </c>
      <c r="FP412" s="240">
        <f>INPUT!GW125</f>
        <v>0</v>
      </c>
      <c r="FQ412" s="81">
        <f>INPUT!GX125</f>
        <v>32.630156666843547</v>
      </c>
      <c r="FR412" s="240">
        <f>INPUT!GY125</f>
        <v>0</v>
      </c>
      <c r="FS412" s="240">
        <f>INPUT!GZ125</f>
        <v>-2.7931955083035143</v>
      </c>
    </row>
    <row r="413" spans="1:176" ht="12.75" hidden="1" customHeight="1" outlineLevel="1" x14ac:dyDescent="0.2">
      <c r="A413" s="77" t="str">
        <f>INPUT!B126</f>
        <v>Net DAC/Operating Expenses (%)</v>
      </c>
      <c r="B413" s="73">
        <f>INPUT!AA126</f>
        <v>-5.5865921787709496</v>
      </c>
      <c r="C413" s="155">
        <f>INPUT!AB126</f>
        <v>-23.936398796733997</v>
      </c>
      <c r="D413" s="73">
        <f>INPUT!AC126</f>
        <v>-13.661202185792352</v>
      </c>
      <c r="E413" s="155">
        <f>INPUT!AD126</f>
        <v>43.040822886531714</v>
      </c>
      <c r="F413" s="73">
        <f>INPUT!AE126</f>
        <v>-6.9767441860465116</v>
      </c>
      <c r="G413" s="155" t="str">
        <f>INPUT!AF126</f>
        <v>NM</v>
      </c>
      <c r="H413" s="73">
        <f>INPUT!AG126</f>
        <v>-24.413145539906104</v>
      </c>
      <c r="I413" s="155" t="str">
        <f>INPUT!AH126</f>
        <v>NM</v>
      </c>
      <c r="J413" s="73">
        <f>INPUT!AI126</f>
        <v>-3.1531531531531529</v>
      </c>
      <c r="K413" s="155">
        <f>INPUT!AJ126</f>
        <v>-43.558558558558559</v>
      </c>
      <c r="L413" s="73">
        <f>INPUT!AK126</f>
        <v>-3.070175438596491</v>
      </c>
      <c r="M413" s="155" t="str">
        <f>INPUT!AL126</f>
        <v>NM</v>
      </c>
      <c r="N413" s="73">
        <f>INPUT!AM126</f>
        <v>1.2765957446808509</v>
      </c>
      <c r="O413" s="155" t="str">
        <f>INPUT!AN126</f>
        <v>NM</v>
      </c>
      <c r="P413" s="73">
        <f>INPUT!AO126</f>
        <v>-10.569105691056912</v>
      </c>
      <c r="Q413" s="155" t="str">
        <f>INPUT!AP126</f>
        <v>NM</v>
      </c>
      <c r="R413" s="73">
        <f>INPUT!AQ126</f>
        <v>-1.015228426395939</v>
      </c>
      <c r="S413" s="155" t="str">
        <f>INPUT!AR126</f>
        <v>NM</v>
      </c>
      <c r="T413" s="73">
        <f>INPUT!AS126</f>
        <v>-4.10958904109589</v>
      </c>
      <c r="U413" s="155">
        <f>INPUT!AT126</f>
        <v>33.855185909980435</v>
      </c>
      <c r="V413" s="73">
        <f>INPUT!AU126</f>
        <v>33.95348837209302</v>
      </c>
      <c r="W413" s="155" t="str">
        <f>INPUT!AV126</f>
        <v>NM</v>
      </c>
      <c r="X413" s="73">
        <f>INPUT!AW126</f>
        <v>-3.4313725490196081</v>
      </c>
      <c r="Y413" s="155" t="str">
        <f>INPUT!AX126</f>
        <v>NM</v>
      </c>
      <c r="Z413" s="73">
        <f>INPUT!AY126</f>
        <v>-2.912621359223301</v>
      </c>
      <c r="AA413" s="155" t="str">
        <f>INPUT!AZ126</f>
        <v>NM</v>
      </c>
      <c r="AB413" s="73">
        <f>INPUT!BA126</f>
        <v>3.7383177570093453</v>
      </c>
      <c r="AC413" s="155" t="str">
        <f>INPUT!BB126</f>
        <v>NM</v>
      </c>
      <c r="AD413" s="73">
        <f>INPUT!BC126</f>
        <v>-138.83928571428572</v>
      </c>
      <c r="AE413" s="155" t="str">
        <f>INPUT!BD126</f>
        <v>NM</v>
      </c>
      <c r="AF413" s="73">
        <f>INPUT!BE126</f>
        <v>-17.467248908296941</v>
      </c>
      <c r="AG413" s="155" t="str">
        <f>INPUT!BF126</f>
        <v>NM</v>
      </c>
      <c r="AH413" s="81">
        <f>INPUT!BG126</f>
        <v>-11.013215859030836</v>
      </c>
      <c r="AI413" s="240" t="str">
        <f>INPUT!BH126</f>
        <v>NM</v>
      </c>
      <c r="AJ413" s="81">
        <f>INPUT!BI126</f>
        <v>-20.816326530612244</v>
      </c>
      <c r="AK413" s="240" t="str">
        <f>INPUT!BJ126</f>
        <v>NM</v>
      </c>
      <c r="AL413" s="81">
        <f>INPUT!BK126</f>
        <v>-71.764705882352942</v>
      </c>
      <c r="AM413" s="240">
        <f>INPUT!BL126</f>
        <v>-48.310951390202383</v>
      </c>
      <c r="AN413" s="81">
        <f>INPUT!BM126</f>
        <v>-11.41732283464567</v>
      </c>
      <c r="AO413" s="240">
        <f>INPUT!BN126</f>
        <v>-34.635826771653527</v>
      </c>
      <c r="AP413" s="81">
        <f>INPUT!BO126</f>
        <v>1.2765957446808509</v>
      </c>
      <c r="AQ413" s="240" t="str">
        <f>INPUT!BP126</f>
        <v>NM</v>
      </c>
      <c r="AR413" s="81">
        <f>INPUT!BQ126</f>
        <v>-12.096774193548388</v>
      </c>
      <c r="AS413" s="240">
        <f>INPUT!BR126</f>
        <v>-41.888045540796959</v>
      </c>
      <c r="AT413" s="81">
        <f>INPUT!BS126</f>
        <v>-59.215686274509807</v>
      </c>
      <c r="AU413" s="240">
        <f>INPUT!BT126</f>
        <v>-17.486338797814199</v>
      </c>
      <c r="AV413" s="81">
        <f>INPUT!BU126</f>
        <v>45.064377682403432</v>
      </c>
      <c r="AW413" s="240" t="str">
        <f>INPUT!BV126</f>
        <v>NM</v>
      </c>
      <c r="AX413" s="81">
        <f>INPUT!BW126</f>
        <v>5.3719008264462813</v>
      </c>
      <c r="AY413" s="240" t="str">
        <f>INPUT!BX126</f>
        <v>NM</v>
      </c>
      <c r="AZ413" s="81">
        <f>INPUT!BY126</f>
        <v>-22.519083969465647</v>
      </c>
      <c r="BA413" s="240">
        <f>INPUT!BZ126</f>
        <v>86.157760814249343</v>
      </c>
      <c r="BB413" s="81">
        <f>INPUT!CA126</f>
        <v>-86.92307692307692</v>
      </c>
      <c r="BC413" s="240">
        <f>INPUT!CB126</f>
        <v>46.790626591951082</v>
      </c>
      <c r="BD413" s="81">
        <f>INPUT!CC126</f>
        <v>-12.643678160919542</v>
      </c>
      <c r="BE413" s="240" t="str">
        <f>INPUT!CD126</f>
        <v>NM</v>
      </c>
      <c r="BF413" s="81">
        <f>INPUT!CE126</f>
        <v>-20</v>
      </c>
      <c r="BG413" s="240" t="str">
        <f>INPUT!CF126</f>
        <v>NM</v>
      </c>
      <c r="BH413" s="81">
        <f>INPUT!CG126</f>
        <v>14.592274678111588</v>
      </c>
      <c r="BI413" s="240" t="str">
        <f>INPUT!CH126</f>
        <v>NM</v>
      </c>
      <c r="BJ413" s="81">
        <f>INPUT!CI126</f>
        <v>-56.331877729257641</v>
      </c>
      <c r="BK413" s="240">
        <f>INPUT!CJ126</f>
        <v>-35.193415001738998</v>
      </c>
      <c r="BL413" s="81">
        <f>INPUT!CK126</f>
        <v>-6.9565217391304346</v>
      </c>
      <c r="BM413" s="240">
        <f>INPUT!CL126</f>
        <v>-44.980237154150203</v>
      </c>
      <c r="BN413" s="81">
        <f>INPUT!CM126</f>
        <v>-2.2831050228310499</v>
      </c>
      <c r="BO413" s="240" t="str">
        <f>INPUT!CN126</f>
        <v>NM</v>
      </c>
      <c r="BP413" s="81">
        <f>INPUT!CO126</f>
        <v>-0.41841004184100417</v>
      </c>
      <c r="BQ413" s="240" t="str">
        <f>INPUT!CP126</f>
        <v>NM</v>
      </c>
      <c r="BR413" s="81">
        <f>INPUT!CQ126</f>
        <v>-57.02479338842975</v>
      </c>
      <c r="BS413" s="240">
        <f>INPUT!CR126</f>
        <v>1.2300595810109485</v>
      </c>
      <c r="BT413" s="81">
        <f>INPUT!CS126</f>
        <v>-15.637860082304528</v>
      </c>
      <c r="BU413" s="240" t="str">
        <f>INPUT!CT126</f>
        <v>NM</v>
      </c>
      <c r="BV413" s="81">
        <f>INPUT!CU126</f>
        <v>-13.253012048192772</v>
      </c>
      <c r="BW413" s="240" t="str">
        <f>INPUT!CV126</f>
        <v>NM</v>
      </c>
      <c r="BX413" s="81">
        <f>INPUT!CW126</f>
        <v>-9.3385214007782107</v>
      </c>
      <c r="BY413" s="240" t="str">
        <f>INPUT!CX126</f>
        <v>NM</v>
      </c>
      <c r="BZ413" s="81">
        <f>INPUT!CY126</f>
        <v>39.552238805970148</v>
      </c>
      <c r="CA413" s="240" t="str">
        <f>INPUT!CZ126</f>
        <v>NM</v>
      </c>
      <c r="CB413" s="81">
        <f>INPUT!DA126</f>
        <v>-19.411764705882355</v>
      </c>
      <c r="CC413" s="240">
        <f>INPUT!DB126</f>
        <v>24.133126934984531</v>
      </c>
      <c r="CD413" s="81">
        <f>INPUT!DC126</f>
        <v>-31.769722814498934</v>
      </c>
      <c r="CE413" s="240" t="str">
        <f>INPUT!DD126</f>
        <v>NM</v>
      </c>
      <c r="CF413" s="81">
        <f>INPUT!DE126</f>
        <v>-19.603524229074889</v>
      </c>
      <c r="CG413" s="240" t="str">
        <f>INPUT!DF126</f>
        <v>NM</v>
      </c>
      <c r="CH413" s="81">
        <f>INPUT!DG126</f>
        <v>-65.747126436781613</v>
      </c>
      <c r="CI413" s="240" t="str">
        <f>INPUT!DH126</f>
        <v>NM</v>
      </c>
      <c r="CJ413" s="81">
        <f>INPUT!DI126</f>
        <v>-28.539325842696627</v>
      </c>
      <c r="CK413" s="240">
        <f>INPUT!DJ126</f>
        <v>47.020769492679563</v>
      </c>
      <c r="CL413" s="81">
        <f>INPUT!DK126</f>
        <v>-11.779448621553884</v>
      </c>
      <c r="CM413" s="240" t="str">
        <f>INPUT!DL126</f>
        <v>NM</v>
      </c>
      <c r="CN413" s="81">
        <f>INPUT!DM126</f>
        <v>-8.1218274111675122</v>
      </c>
      <c r="CO413" s="240" t="str">
        <f>INPUT!DN126</f>
        <v>NM</v>
      </c>
      <c r="CP413" s="81">
        <f>INPUT!DO126</f>
        <v>-22.477064220183486</v>
      </c>
      <c r="CQ413" s="240" t="str">
        <f>INPUT!DP126</f>
        <v>NM</v>
      </c>
      <c r="CR413" s="81">
        <f>INPUT!DQ126</f>
        <v>-5.9241706161137442</v>
      </c>
      <c r="CS413" s="240" t="str">
        <f>INPUT!DR126</f>
        <v>NM</v>
      </c>
      <c r="CT413" s="81">
        <f>INPUT!DS126</f>
        <v>-13.802083333333334</v>
      </c>
      <c r="CU413" s="240">
        <f>INPUT!DT126</f>
        <v>17.170877659574472</v>
      </c>
      <c r="CV413" s="81">
        <f>INPUT!DU126</f>
        <v>-76.243093922651937</v>
      </c>
      <c r="CW413" s="240" t="str">
        <f>INPUT!DV126</f>
        <v>NM</v>
      </c>
      <c r="CX413" s="81">
        <f>INPUT!DW126</f>
        <v>-16.009280742459396</v>
      </c>
      <c r="CY413" s="240">
        <f>INPUT!DX126</f>
        <v>-28.775036696813302</v>
      </c>
      <c r="CZ413" s="81">
        <f>INPUT!DY126</f>
        <v>-25.536480686695278</v>
      </c>
      <c r="DA413" s="240" t="str">
        <f>INPUT!DZ126</f>
        <v>NM</v>
      </c>
      <c r="DB413" s="81">
        <f>INPUT!EA126</f>
        <v>-20.631067961165048</v>
      </c>
      <c r="DC413" s="240">
        <f>INPUT!EB126</f>
        <v>49.477926360139207</v>
      </c>
      <c r="DD413" s="81">
        <f>INPUT!EC126</f>
        <v>-61.02783725910065</v>
      </c>
      <c r="DE413" s="240">
        <f>INPUT!ED126</f>
        <v>-19.956242435527415</v>
      </c>
      <c r="DF413" s="81">
        <f>INPUT!EE126</f>
        <v>-19.333333333333332</v>
      </c>
      <c r="DG413" s="240">
        <f>INPUT!EF126</f>
        <v>20.763285024154584</v>
      </c>
      <c r="DH413" s="81">
        <f>INPUT!EG126</f>
        <v>-27.346938775510203</v>
      </c>
      <c r="DI413" s="240">
        <f>INPUT!EH126</f>
        <v>7.0896930200651695</v>
      </c>
      <c r="DJ413" s="81">
        <f>INPUT!EI126</f>
        <v>-24.086021505376344</v>
      </c>
      <c r="DK413" s="240">
        <f>INPUT!EJ126</f>
        <v>16.746363061353577</v>
      </c>
      <c r="DL413" s="81">
        <f>INPUT!EK126</f>
        <v>18.775510204081634</v>
      </c>
      <c r="DM413" s="240" t="str">
        <f>INPUT!EL126</f>
        <v>NM</v>
      </c>
      <c r="DN413" s="81">
        <f>INPUT!EM126</f>
        <v>-19.955654101995567</v>
      </c>
      <c r="DO413" s="240">
        <f>INPUT!EN126</f>
        <v>3.218900527563278</v>
      </c>
      <c r="DP413" s="81">
        <f>INPUT!EO126</f>
        <v>-21.120689655172413</v>
      </c>
      <c r="DQ413" s="240">
        <f>INPUT!EP126</f>
        <v>-22.76762738033969</v>
      </c>
      <c r="DR413" s="81">
        <f>INPUT!EQ126</f>
        <v>-20.120689655172413</v>
      </c>
      <c r="DS413" s="240">
        <f>INPUT!ER126</f>
        <v>-16.463208128078819</v>
      </c>
      <c r="DT413" s="81">
        <f>INPUT!ES126</f>
        <v>-20.120689655172413</v>
      </c>
      <c r="DU413" s="240" t="str">
        <f>INPUT!ET126</f>
        <v>NM</v>
      </c>
      <c r="DV413" s="81">
        <f>INPUT!EU126</f>
        <v>-20.120689655172413</v>
      </c>
      <c r="DW413" s="240">
        <f>INPUT!EV126</f>
        <v>0.82701149425285791</v>
      </c>
      <c r="DX413" s="81">
        <f>INPUT!EW126</f>
        <v>-20.120689655172413</v>
      </c>
      <c r="DY413" s="240">
        <f>INPUT!EX126</f>
        <v>-4.7346938775510239</v>
      </c>
      <c r="DZ413" s="81"/>
      <c r="EA413" s="240"/>
      <c r="EB413" s="499">
        <f>INPUT!FI126</f>
        <v>-21.217532467532465</v>
      </c>
      <c r="EC413" s="81">
        <f>INPUT!FJ126</f>
        <v>-3.0555555555555554</v>
      </c>
      <c r="ED413" s="499" t="str">
        <f>INPUT!FK126</f>
        <v>NM</v>
      </c>
      <c r="EE413" s="81">
        <f>INPUT!FL126</f>
        <v>-13.253012048192772</v>
      </c>
      <c r="EF413" s="499" t="str">
        <f>INPUT!FM126</f>
        <v>NM</v>
      </c>
      <c r="EG413" s="81">
        <f>INPUT!FN126</f>
        <v>-3.9742212674543502</v>
      </c>
      <c r="EH413" s="499" t="str">
        <f>INPUT!FO126</f>
        <v>NM</v>
      </c>
      <c r="EI413" s="81">
        <f>INPUT!FP126</f>
        <v>6.5868263473053901</v>
      </c>
      <c r="EJ413" s="240" t="str">
        <f>INPUT!FQ126</f>
        <v>NM</v>
      </c>
      <c r="EK413" s="81">
        <f>INPUT!FR126</f>
        <v>-39.97709049255441</v>
      </c>
      <c r="EL413" s="240" t="str">
        <f>INPUT!FS126</f>
        <v>NM</v>
      </c>
      <c r="EM413" s="81">
        <f>INPUT!FT126</f>
        <v>-29.357798165137616</v>
      </c>
      <c r="EN413" s="240">
        <f>INPUT!FU126</f>
        <v>-26.563444704397881</v>
      </c>
      <c r="EO413" s="81">
        <f>INPUT!FV126</f>
        <v>-9.2687950566426363</v>
      </c>
      <c r="EP413" s="240" t="str">
        <f>INPUT!FW126</f>
        <v>NM</v>
      </c>
      <c r="EQ413" s="81">
        <f>INPUT!FX126</f>
        <v>-25.170731707317074</v>
      </c>
      <c r="ER413" s="240" t="str">
        <f>INPUT!FY126</f>
        <v>NM</v>
      </c>
      <c r="ES413" s="81">
        <f>INPUT!FZ126</f>
        <v>-17.044228694714132</v>
      </c>
      <c r="ET413" s="240">
        <f>INPUT!GA126</f>
        <v>-32.285525534565949</v>
      </c>
      <c r="EU413" s="81">
        <f>INPUT!GB126</f>
        <v>-19.300106044538705</v>
      </c>
      <c r="EV413" s="240">
        <f>INPUT!GC126</f>
        <v>13.235432299287211</v>
      </c>
      <c r="EW413" s="81">
        <f>INPUT!GD126</f>
        <v>-1.5260323159784559</v>
      </c>
      <c r="EX413" s="240" t="str">
        <f>INPUT!GE126</f>
        <v>NM</v>
      </c>
      <c r="EY413" s="81">
        <f>INPUT!GF126</f>
        <v>-36.10648918469218</v>
      </c>
      <c r="EZ413" s="240" t="str">
        <f>INPUT!GG126</f>
        <v>NM</v>
      </c>
      <c r="FA413" s="81">
        <f>INPUT!GH126</f>
        <v>-12.235009085402785</v>
      </c>
      <c r="FB413" s="240" t="str">
        <f>INPUT!GI126</f>
        <v>NM</v>
      </c>
      <c r="FC413" s="81">
        <f>INPUT!GJ126</f>
        <v>-31.466828971393788</v>
      </c>
      <c r="FD413" s="240" t="str">
        <f>INPUT!GK126</f>
        <v>NM</v>
      </c>
      <c r="FE413" s="81">
        <f>INPUT!GL126</f>
        <v>-32.490379329301817</v>
      </c>
      <c r="FF413" s="240">
        <f>INPUT!GM126</f>
        <v>3.2527915629456174</v>
      </c>
      <c r="FG413" s="81">
        <f>INPUT!GN126</f>
        <v>-11.122994652406417</v>
      </c>
      <c r="FH413" s="240" t="str">
        <f>INPUT!GO126</f>
        <v>NM</v>
      </c>
      <c r="FI413" s="81">
        <f>INPUT!GP126</f>
        <v>-20.120689655172409</v>
      </c>
      <c r="FJ413" s="240">
        <f>INPUT!GQ126</f>
        <v>80.892738726790412</v>
      </c>
      <c r="FK413" s="81">
        <f>INPUT!GR126</f>
        <v>-20.120689655172409</v>
      </c>
      <c r="FL413" s="240">
        <f>INPUT!GS126</f>
        <v>0</v>
      </c>
      <c r="FM413" s="81">
        <f>INPUT!GT126</f>
        <v>-20.120689655172409</v>
      </c>
      <c r="FN413" s="240">
        <f>INPUT!GU126</f>
        <v>0</v>
      </c>
      <c r="FO413" s="81">
        <f>INPUT!GV126</f>
        <v>-20.120689655172409</v>
      </c>
      <c r="FP413" s="240">
        <f>INPUT!GW126</f>
        <v>0</v>
      </c>
      <c r="FQ413" s="81">
        <f>INPUT!GX126</f>
        <v>-20.120689655172409</v>
      </c>
      <c r="FR413" s="240">
        <f>INPUT!GY126</f>
        <v>0</v>
      </c>
      <c r="FS413" s="240">
        <f>INPUT!GZ126</f>
        <v>12.585957793529111</v>
      </c>
    </row>
    <row r="414" spans="1:176" ht="12.75" hidden="1" customHeight="1" outlineLevel="1" x14ac:dyDescent="0.2">
      <c r="A414" s="77"/>
      <c r="B414" s="75"/>
      <c r="C414" s="155"/>
      <c r="D414" s="75"/>
      <c r="E414" s="155"/>
      <c r="F414" s="75"/>
      <c r="G414" s="155"/>
      <c r="H414" s="75"/>
      <c r="I414" s="155"/>
      <c r="J414" s="75"/>
      <c r="K414" s="155"/>
      <c r="L414" s="75"/>
      <c r="M414" s="155"/>
      <c r="N414" s="75"/>
      <c r="O414" s="155"/>
      <c r="P414" s="75"/>
      <c r="Q414" s="155"/>
      <c r="R414" s="75"/>
      <c r="S414" s="155"/>
      <c r="T414" s="75"/>
      <c r="U414" s="155"/>
      <c r="V414" s="75"/>
      <c r="W414" s="155"/>
      <c r="X414" s="75"/>
      <c r="Y414" s="155"/>
      <c r="Z414" s="75"/>
      <c r="AA414" s="155"/>
      <c r="AB414" s="75"/>
      <c r="AC414" s="155"/>
      <c r="AD414" s="75"/>
      <c r="AE414" s="155"/>
      <c r="AF414" s="75"/>
      <c r="AG414" s="155"/>
      <c r="AH414" s="75"/>
      <c r="AI414" s="240"/>
      <c r="AJ414" s="75"/>
      <c r="AK414" s="240"/>
      <c r="AL414" s="75"/>
      <c r="AM414" s="240"/>
      <c r="AN414" s="75"/>
      <c r="AO414" s="240"/>
      <c r="AP414" s="75"/>
      <c r="AQ414" s="240"/>
      <c r="AR414" s="75"/>
      <c r="AS414" s="240"/>
      <c r="AT414" s="75"/>
      <c r="AU414" s="240"/>
      <c r="AV414" s="75"/>
      <c r="AW414" s="240"/>
      <c r="AX414" s="75"/>
      <c r="AY414" s="240"/>
      <c r="AZ414" s="75"/>
      <c r="BA414" s="240"/>
      <c r="BB414" s="75"/>
      <c r="BC414" s="240"/>
      <c r="BD414" s="75"/>
      <c r="BE414" s="240"/>
      <c r="BF414" s="75"/>
      <c r="BG414" s="240"/>
      <c r="BH414" s="75"/>
      <c r="BI414" s="240"/>
      <c r="BJ414" s="75"/>
      <c r="BK414" s="240"/>
      <c r="BL414" s="75"/>
      <c r="BM414" s="240"/>
      <c r="BN414" s="75"/>
      <c r="BO414" s="240"/>
      <c r="BP414" s="75"/>
      <c r="BQ414" s="240"/>
      <c r="BR414" s="75"/>
      <c r="BS414" s="240"/>
      <c r="BT414" s="75"/>
      <c r="BU414" s="240"/>
      <c r="BV414" s="75"/>
      <c r="BW414" s="240"/>
      <c r="BX414" s="75"/>
      <c r="BY414" s="240"/>
      <c r="BZ414" s="75"/>
      <c r="CA414" s="240"/>
      <c r="CB414" s="75"/>
      <c r="CC414" s="240"/>
      <c r="CD414" s="75"/>
      <c r="CE414" s="240"/>
      <c r="CF414" s="75"/>
      <c r="CG414" s="240"/>
      <c r="CH414" s="75"/>
      <c r="CI414" s="240"/>
      <c r="CJ414" s="75"/>
      <c r="CK414" s="240"/>
      <c r="CL414" s="75"/>
      <c r="CM414" s="240"/>
      <c r="CN414" s="75"/>
      <c r="CO414" s="240"/>
      <c r="CP414" s="75"/>
      <c r="CQ414" s="240"/>
      <c r="CR414" s="75"/>
      <c r="CS414" s="240"/>
      <c r="CT414" s="75"/>
      <c r="CU414" s="240"/>
      <c r="CV414" s="75"/>
      <c r="CW414" s="240"/>
      <c r="CX414" s="75"/>
      <c r="CY414" s="240"/>
      <c r="CZ414" s="75"/>
      <c r="DA414" s="240"/>
      <c r="DB414" s="75"/>
      <c r="DC414" s="240"/>
      <c r="DD414" s="75"/>
      <c r="DE414" s="240"/>
      <c r="DF414" s="75"/>
      <c r="DG414" s="240"/>
      <c r="DH414" s="75"/>
      <c r="DI414" s="240"/>
      <c r="DJ414" s="75"/>
      <c r="DK414" s="240"/>
      <c r="DL414" s="75"/>
      <c r="DM414" s="240"/>
      <c r="DN414" s="75"/>
      <c r="DO414" s="240"/>
      <c r="DP414" s="75"/>
      <c r="DQ414" s="240"/>
      <c r="DR414" s="75"/>
      <c r="DS414" s="240"/>
      <c r="DT414" s="75"/>
      <c r="DU414" s="240"/>
      <c r="DV414" s="75"/>
      <c r="DW414" s="240"/>
      <c r="DX414" s="75"/>
      <c r="DY414" s="240"/>
      <c r="DZ414" s="75"/>
      <c r="EA414" s="240"/>
      <c r="EB414" s="155"/>
      <c r="EC414" s="75"/>
      <c r="ED414" s="155"/>
      <c r="EE414" s="75"/>
      <c r="EF414" s="155"/>
      <c r="EG414" s="75"/>
      <c r="EH414" s="155"/>
      <c r="EI414" s="75"/>
      <c r="EJ414" s="240"/>
      <c r="EK414" s="75"/>
      <c r="EL414" s="240"/>
      <c r="EM414" s="75"/>
      <c r="EN414" s="240"/>
      <c r="EO414" s="75"/>
      <c r="EP414" s="240"/>
      <c r="EQ414" s="75"/>
      <c r="ER414" s="240"/>
      <c r="ES414" s="75"/>
      <c r="ET414" s="240"/>
      <c r="EU414" s="75"/>
      <c r="EV414" s="240"/>
      <c r="EW414" s="75"/>
      <c r="EX414" s="240"/>
      <c r="EY414" s="75"/>
      <c r="EZ414" s="240"/>
      <c r="FA414" s="75"/>
      <c r="FB414" s="240"/>
      <c r="FC414" s="75"/>
      <c r="FD414" s="240"/>
      <c r="FE414" s="75"/>
      <c r="FF414" s="240"/>
      <c r="FG414" s="75"/>
      <c r="FH414" s="240"/>
      <c r="FI414" s="75"/>
      <c r="FJ414" s="240"/>
      <c r="FK414" s="75"/>
      <c r="FL414" s="240"/>
      <c r="FM414" s="75"/>
      <c r="FN414" s="240"/>
      <c r="FO414" s="75"/>
      <c r="FP414" s="240"/>
      <c r="FQ414" s="75"/>
      <c r="FR414" s="240"/>
      <c r="FS414" s="240"/>
    </row>
    <row r="415" spans="1:176" ht="12.75" hidden="1" customHeight="1" outlineLevel="1" x14ac:dyDescent="0.2">
      <c r="A415" s="500" t="s">
        <v>507</v>
      </c>
      <c r="B415" s="75"/>
      <c r="C415" s="155"/>
      <c r="D415" s="75"/>
      <c r="E415" s="155"/>
      <c r="F415" s="75"/>
      <c r="G415" s="155"/>
      <c r="H415" s="75"/>
      <c r="I415" s="155"/>
      <c r="J415" s="75"/>
      <c r="K415" s="155"/>
      <c r="L415" s="75"/>
      <c r="M415" s="155"/>
      <c r="N415" s="75"/>
      <c r="O415" s="155"/>
      <c r="P415" s="75"/>
      <c r="Q415" s="155"/>
      <c r="R415" s="75"/>
      <c r="S415" s="155"/>
      <c r="T415" s="75"/>
      <c r="U415" s="155"/>
      <c r="V415" s="75"/>
      <c r="W415" s="155"/>
      <c r="X415" s="75"/>
      <c r="Y415" s="155"/>
      <c r="Z415" s="75"/>
      <c r="AA415" s="155"/>
      <c r="AB415" s="75"/>
      <c r="AC415" s="155"/>
      <c r="AD415" s="75"/>
      <c r="AE415" s="155"/>
      <c r="AF415" s="75"/>
      <c r="AG415" s="155"/>
      <c r="AH415" s="75"/>
      <c r="AI415" s="240"/>
      <c r="AJ415" s="75"/>
      <c r="AK415" s="240"/>
      <c r="AL415" s="75"/>
      <c r="AM415" s="240"/>
      <c r="AN415" s="75"/>
      <c r="AO415" s="240"/>
      <c r="AP415" s="75"/>
      <c r="AQ415" s="240"/>
      <c r="AR415" s="75"/>
      <c r="AS415" s="240"/>
      <c r="AT415" s="75"/>
      <c r="AU415" s="240"/>
      <c r="AV415" s="75"/>
      <c r="AW415" s="240"/>
      <c r="AX415" s="75"/>
      <c r="AY415" s="240"/>
      <c r="AZ415" s="75"/>
      <c r="BA415" s="240"/>
      <c r="BB415" s="75"/>
      <c r="BC415" s="240"/>
      <c r="BD415" s="75"/>
      <c r="BE415" s="240"/>
      <c r="BF415" s="75"/>
      <c r="BG415" s="240"/>
      <c r="BH415" s="75"/>
      <c r="BI415" s="240"/>
      <c r="BJ415" s="75"/>
      <c r="BK415" s="240"/>
      <c r="BL415" s="75"/>
      <c r="BM415" s="240"/>
      <c r="BN415" s="75"/>
      <c r="BO415" s="240"/>
      <c r="BP415" s="75"/>
      <c r="BQ415" s="240"/>
      <c r="BR415" s="75"/>
      <c r="BS415" s="240"/>
      <c r="BT415" s="75"/>
      <c r="BU415" s="240"/>
      <c r="BV415" s="75"/>
      <c r="BW415" s="240"/>
      <c r="BX415" s="75"/>
      <c r="BY415" s="240"/>
      <c r="BZ415" s="75"/>
      <c r="CA415" s="240"/>
      <c r="CB415" s="75"/>
      <c r="CC415" s="240"/>
      <c r="CD415" s="75"/>
      <c r="CE415" s="240"/>
      <c r="CF415" s="75"/>
      <c r="CG415" s="240"/>
      <c r="CH415" s="75"/>
      <c r="CI415" s="240"/>
      <c r="CJ415" s="75"/>
      <c r="CK415" s="240"/>
      <c r="CL415" s="75"/>
      <c r="CM415" s="240"/>
      <c r="CN415" s="75"/>
      <c r="CO415" s="240"/>
      <c r="CP415" s="75"/>
      <c r="CQ415" s="240"/>
      <c r="CR415" s="75"/>
      <c r="CS415" s="240"/>
      <c r="CT415" s="75"/>
      <c r="CU415" s="240"/>
      <c r="CV415" s="75"/>
      <c r="CW415" s="240"/>
      <c r="CX415" s="75"/>
      <c r="CY415" s="240"/>
      <c r="CZ415" s="75"/>
      <c r="DA415" s="240"/>
      <c r="DB415" s="75"/>
      <c r="DC415" s="240"/>
      <c r="DD415" s="75"/>
      <c r="DE415" s="240"/>
      <c r="DF415" s="75"/>
      <c r="DG415" s="240"/>
      <c r="DH415" s="75"/>
      <c r="DI415" s="240"/>
      <c r="DJ415" s="75"/>
      <c r="DK415" s="240"/>
      <c r="DL415" s="75"/>
      <c r="DM415" s="240"/>
      <c r="DN415" s="75"/>
      <c r="DO415" s="240"/>
      <c r="DP415" s="75"/>
      <c r="DQ415" s="240"/>
      <c r="DR415" s="75"/>
      <c r="DS415" s="240"/>
      <c r="DT415" s="75"/>
      <c r="DU415" s="240"/>
      <c r="DV415" s="75"/>
      <c r="DW415" s="240"/>
      <c r="DX415" s="75"/>
      <c r="DY415" s="240"/>
      <c r="DZ415" s="75"/>
      <c r="EA415" s="240"/>
      <c r="EB415" s="155"/>
      <c r="EC415" s="75"/>
      <c r="ED415" s="155"/>
      <c r="EE415" s="75"/>
      <c r="EF415" s="155"/>
      <c r="EG415" s="75"/>
      <c r="EH415" s="155"/>
      <c r="EI415" s="75"/>
      <c r="EJ415" s="240"/>
      <c r="EK415" s="75"/>
      <c r="EL415" s="240"/>
      <c r="EM415" s="75"/>
      <c r="EN415" s="240"/>
      <c r="EO415" s="75"/>
      <c r="EP415" s="240"/>
      <c r="EQ415" s="75"/>
      <c r="ER415" s="240"/>
      <c r="ES415" s="75"/>
      <c r="ET415" s="240"/>
      <c r="EU415" s="75"/>
      <c r="EV415" s="240"/>
      <c r="EW415" s="75"/>
      <c r="EX415" s="240"/>
      <c r="EY415" s="75"/>
      <c r="EZ415" s="240"/>
      <c r="FA415" s="75"/>
      <c r="FB415" s="240"/>
      <c r="FC415" s="75"/>
      <c r="FD415" s="240"/>
      <c r="FE415" s="75"/>
      <c r="FF415" s="240"/>
      <c r="FG415" s="75"/>
      <c r="FH415" s="240"/>
      <c r="FI415" s="75"/>
      <c r="FJ415" s="240"/>
      <c r="FK415" s="75"/>
      <c r="FL415" s="240"/>
      <c r="FM415" s="75"/>
      <c r="FN415" s="240"/>
      <c r="FO415" s="75"/>
      <c r="FP415" s="240"/>
      <c r="FQ415" s="75"/>
      <c r="FR415" s="240"/>
      <c r="FS415" s="240"/>
    </row>
    <row r="416" spans="1:176" ht="12.75" hidden="1" customHeight="1" outlineLevel="1" x14ac:dyDescent="0.2">
      <c r="A416" s="500" t="s">
        <v>170</v>
      </c>
      <c r="B416" s="75"/>
      <c r="C416" s="155"/>
      <c r="D416" s="75"/>
      <c r="E416" s="155"/>
      <c r="F416" s="75"/>
      <c r="G416" s="155"/>
      <c r="H416" s="75"/>
      <c r="I416" s="155"/>
      <c r="J416" s="75"/>
      <c r="K416" s="155"/>
      <c r="L416" s="75"/>
      <c r="M416" s="155"/>
      <c r="N416" s="75"/>
      <c r="O416" s="155"/>
      <c r="P416" s="75"/>
      <c r="Q416" s="155"/>
      <c r="R416" s="75"/>
      <c r="S416" s="155"/>
      <c r="T416" s="75"/>
      <c r="U416" s="155"/>
      <c r="V416" s="75"/>
      <c r="W416" s="155"/>
      <c r="X416" s="75"/>
      <c r="Y416" s="155"/>
      <c r="Z416" s="75"/>
      <c r="AA416" s="155"/>
      <c r="AB416" s="75"/>
      <c r="AC416" s="155"/>
      <c r="AD416" s="75"/>
      <c r="AE416" s="155"/>
      <c r="AF416" s="75"/>
      <c r="AG416" s="155"/>
      <c r="AH416" s="75"/>
      <c r="AI416" s="240"/>
      <c r="AJ416" s="75"/>
      <c r="AK416" s="240"/>
      <c r="AL416" s="75"/>
      <c r="AM416" s="240"/>
      <c r="AN416" s="75"/>
      <c r="AO416" s="240"/>
      <c r="AP416" s="75"/>
      <c r="AQ416" s="240"/>
      <c r="AR416" s="75"/>
      <c r="AS416" s="240"/>
      <c r="AT416" s="75"/>
      <c r="AU416" s="240"/>
      <c r="AV416" s="75"/>
      <c r="AW416" s="240"/>
      <c r="AX416" s="75"/>
      <c r="AY416" s="240"/>
      <c r="AZ416" s="75"/>
      <c r="BA416" s="240"/>
      <c r="BB416" s="75"/>
      <c r="BC416" s="240"/>
      <c r="BD416" s="75"/>
      <c r="BE416" s="240"/>
      <c r="BF416" s="75"/>
      <c r="BG416" s="240"/>
      <c r="BH416" s="75"/>
      <c r="BI416" s="240"/>
      <c r="BJ416" s="75"/>
      <c r="BK416" s="240"/>
      <c r="BL416" s="75"/>
      <c r="BM416" s="240"/>
      <c r="BN416" s="75"/>
      <c r="BO416" s="240"/>
      <c r="BP416" s="75"/>
      <c r="BQ416" s="240"/>
      <c r="BR416" s="75"/>
      <c r="BS416" s="240"/>
      <c r="BT416" s="75"/>
      <c r="BU416" s="240"/>
      <c r="BV416" s="75"/>
      <c r="BW416" s="240"/>
      <c r="BX416" s="75"/>
      <c r="BY416" s="240"/>
      <c r="BZ416" s="75"/>
      <c r="CA416" s="240"/>
      <c r="CB416" s="75"/>
      <c r="CC416" s="240"/>
      <c r="CD416" s="75"/>
      <c r="CE416" s="240"/>
      <c r="CF416" s="75"/>
      <c r="CG416" s="240"/>
      <c r="CH416" s="75"/>
      <c r="CI416" s="240"/>
      <c r="CJ416" s="75"/>
      <c r="CK416" s="240"/>
      <c r="CL416" s="75"/>
      <c r="CM416" s="240"/>
      <c r="CN416" s="75"/>
      <c r="CO416" s="240"/>
      <c r="CP416" s="75"/>
      <c r="CQ416" s="240"/>
      <c r="CR416" s="75"/>
      <c r="CS416" s="240"/>
      <c r="CT416" s="75"/>
      <c r="CU416" s="240"/>
      <c r="CV416" s="75"/>
      <c r="CW416" s="240"/>
      <c r="CX416" s="75"/>
      <c r="CY416" s="240"/>
      <c r="CZ416" s="75"/>
      <c r="DA416" s="240"/>
      <c r="DB416" s="75"/>
      <c r="DC416" s="240"/>
      <c r="DD416" s="75"/>
      <c r="DE416" s="240"/>
      <c r="DF416" s="75"/>
      <c r="DG416" s="240"/>
      <c r="DH416" s="75"/>
      <c r="DI416" s="240"/>
      <c r="DJ416" s="75"/>
      <c r="DK416" s="240"/>
      <c r="DL416" s="75"/>
      <c r="DM416" s="240"/>
      <c r="DN416" s="75"/>
      <c r="DO416" s="240"/>
      <c r="DP416" s="75"/>
      <c r="DQ416" s="240"/>
      <c r="DR416" s="75"/>
      <c r="DS416" s="240"/>
      <c r="DT416" s="75"/>
      <c r="DU416" s="240"/>
      <c r="DV416" s="75"/>
      <c r="DW416" s="240"/>
      <c r="DX416" s="75"/>
      <c r="DY416" s="240"/>
      <c r="DZ416" s="75"/>
      <c r="EA416" s="240"/>
      <c r="EB416" s="155"/>
      <c r="EC416" s="75"/>
      <c r="ED416" s="155"/>
      <c r="EE416" s="75"/>
      <c r="EF416" s="155"/>
      <c r="EG416" s="75"/>
      <c r="EH416" s="155"/>
      <c r="EI416" s="75"/>
      <c r="EJ416" s="240"/>
      <c r="EK416" s="75"/>
      <c r="EL416" s="240"/>
      <c r="EM416" s="75"/>
      <c r="EN416" s="240"/>
      <c r="EO416" s="75"/>
      <c r="EP416" s="240"/>
      <c r="EQ416" s="75"/>
      <c r="ER416" s="240"/>
      <c r="ES416" s="75"/>
      <c r="ET416" s="240"/>
      <c r="EU416" s="75"/>
      <c r="EV416" s="240"/>
      <c r="EW416" s="75"/>
      <c r="EX416" s="240"/>
      <c r="EY416" s="75"/>
      <c r="EZ416" s="240"/>
      <c r="FA416" s="75"/>
      <c r="FB416" s="240"/>
      <c r="FC416" s="75"/>
      <c r="FD416" s="240"/>
      <c r="FE416" s="75"/>
      <c r="FF416" s="240"/>
      <c r="FG416" s="75"/>
      <c r="FH416" s="240"/>
      <c r="FI416" s="75"/>
      <c r="FJ416" s="240"/>
      <c r="FK416" s="75"/>
      <c r="FL416" s="240"/>
      <c r="FM416" s="75"/>
      <c r="FN416" s="240"/>
      <c r="FO416" s="75"/>
      <c r="FP416" s="240"/>
      <c r="FQ416" s="75"/>
      <c r="FR416" s="240"/>
      <c r="FS416" s="240"/>
    </row>
    <row r="417" spans="1:176" ht="12.75" hidden="1" customHeight="1" outlineLevel="1" x14ac:dyDescent="0.2">
      <c r="A417" s="500"/>
      <c r="B417" s="75"/>
      <c r="C417" s="155"/>
      <c r="D417" s="75"/>
      <c r="E417" s="155"/>
      <c r="F417" s="75"/>
      <c r="G417" s="155"/>
      <c r="H417" s="75"/>
      <c r="I417" s="155"/>
      <c r="J417" s="75"/>
      <c r="K417" s="155"/>
      <c r="L417" s="75"/>
      <c r="M417" s="155"/>
      <c r="N417" s="75"/>
      <c r="O417" s="155"/>
      <c r="P417" s="75"/>
      <c r="Q417" s="155"/>
      <c r="R417" s="75"/>
      <c r="S417" s="155"/>
      <c r="T417" s="75"/>
      <c r="U417" s="155"/>
      <c r="V417" s="75"/>
      <c r="W417" s="155"/>
      <c r="X417" s="75"/>
      <c r="Y417" s="155"/>
      <c r="Z417" s="75"/>
      <c r="AA417" s="155"/>
      <c r="AB417" s="75"/>
      <c r="AC417" s="155"/>
      <c r="AD417" s="75"/>
      <c r="AE417" s="155"/>
      <c r="AF417" s="75"/>
      <c r="AG417" s="155"/>
      <c r="AH417" s="75"/>
      <c r="AI417" s="240"/>
      <c r="AJ417" s="75"/>
      <c r="AK417" s="240"/>
      <c r="AL417" s="75"/>
      <c r="AM417" s="240"/>
      <c r="AN417" s="75"/>
      <c r="AO417" s="240"/>
      <c r="AP417" s="75"/>
      <c r="AQ417" s="240"/>
      <c r="AR417" s="75"/>
      <c r="AS417" s="240"/>
      <c r="AT417" s="75"/>
      <c r="AU417" s="240"/>
      <c r="AV417" s="75"/>
      <c r="AW417" s="240"/>
      <c r="AX417" s="75"/>
      <c r="AY417" s="240"/>
      <c r="AZ417" s="75"/>
      <c r="BA417" s="240"/>
      <c r="BB417" s="75"/>
      <c r="BC417" s="240"/>
      <c r="BD417" s="75"/>
      <c r="BE417" s="240"/>
      <c r="BF417" s="75"/>
      <c r="BG417" s="240"/>
      <c r="BH417" s="75"/>
      <c r="BI417" s="240"/>
      <c r="BJ417" s="75"/>
      <c r="BK417" s="240"/>
      <c r="BL417" s="75"/>
      <c r="BM417" s="240"/>
      <c r="BN417" s="75"/>
      <c r="BO417" s="240"/>
      <c r="BP417" s="75"/>
      <c r="BQ417" s="240"/>
      <c r="BR417" s="75"/>
      <c r="BS417" s="240"/>
      <c r="BT417" s="75"/>
      <c r="BU417" s="240"/>
      <c r="BV417" s="75"/>
      <c r="BW417" s="240"/>
      <c r="BX417" s="75"/>
      <c r="BY417" s="240"/>
      <c r="BZ417" s="75"/>
      <c r="CA417" s="240"/>
      <c r="CB417" s="75"/>
      <c r="CC417" s="240"/>
      <c r="CD417" s="75"/>
      <c r="CE417" s="240"/>
      <c r="CF417" s="75"/>
      <c r="CG417" s="240"/>
      <c r="CH417" s="75"/>
      <c r="CI417" s="240"/>
      <c r="CJ417" s="75"/>
      <c r="CK417" s="240"/>
      <c r="CL417" s="75"/>
      <c r="CM417" s="240"/>
      <c r="CN417" s="75"/>
      <c r="CO417" s="240"/>
      <c r="CP417" s="75"/>
      <c r="CQ417" s="240"/>
      <c r="CR417" s="75"/>
      <c r="CS417" s="240"/>
      <c r="CT417" s="75"/>
      <c r="CU417" s="240"/>
      <c r="CV417" s="75"/>
      <c r="CW417" s="240"/>
      <c r="CX417" s="75"/>
      <c r="CY417" s="240"/>
      <c r="CZ417" s="75"/>
      <c r="DA417" s="240"/>
      <c r="DB417" s="75"/>
      <c r="DC417" s="240"/>
      <c r="DD417" s="75"/>
      <c r="DE417" s="240"/>
      <c r="DF417" s="75"/>
      <c r="DG417" s="240"/>
      <c r="DH417" s="75"/>
      <c r="DI417" s="240"/>
      <c r="DJ417" s="75"/>
      <c r="DK417" s="240"/>
      <c r="DL417" s="75"/>
      <c r="DM417" s="240"/>
      <c r="DN417" s="75"/>
      <c r="DO417" s="240"/>
      <c r="DP417" s="75"/>
      <c r="DQ417" s="240"/>
      <c r="DR417" s="75"/>
      <c r="DS417" s="240"/>
      <c r="DT417" s="75"/>
      <c r="DU417" s="240"/>
      <c r="DV417" s="75"/>
      <c r="DW417" s="240"/>
      <c r="DX417" s="75"/>
      <c r="DY417" s="240"/>
      <c r="DZ417" s="75"/>
      <c r="EA417" s="240"/>
      <c r="EB417" s="155"/>
      <c r="EC417" s="75"/>
      <c r="ED417" s="155"/>
      <c r="EE417" s="75"/>
      <c r="EF417" s="155"/>
      <c r="EG417" s="75"/>
      <c r="EH417" s="155"/>
      <c r="EI417" s="75"/>
      <c r="EJ417" s="240"/>
      <c r="EK417" s="75"/>
      <c r="EL417" s="240"/>
      <c r="EM417" s="75"/>
      <c r="EN417" s="240"/>
      <c r="EO417" s="75"/>
      <c r="EP417" s="240"/>
      <c r="EQ417" s="75"/>
      <c r="ER417" s="240"/>
      <c r="ES417" s="75"/>
      <c r="ET417" s="240"/>
      <c r="EU417" s="75"/>
      <c r="EV417" s="240"/>
      <c r="EW417" s="75"/>
      <c r="EX417" s="240"/>
      <c r="EY417" s="75"/>
      <c r="EZ417" s="240"/>
      <c r="FA417" s="75"/>
      <c r="FB417" s="240"/>
      <c r="FC417" s="75"/>
      <c r="FD417" s="240"/>
      <c r="FE417" s="75"/>
      <c r="FF417" s="240"/>
      <c r="FG417" s="75"/>
      <c r="FH417" s="240"/>
      <c r="FI417" s="75"/>
      <c r="FJ417" s="240"/>
      <c r="FK417" s="75"/>
      <c r="FL417" s="240"/>
      <c r="FM417" s="75"/>
      <c r="FN417" s="240"/>
      <c r="FO417" s="75"/>
      <c r="FP417" s="240"/>
      <c r="FQ417" s="75"/>
      <c r="FR417" s="240"/>
      <c r="FS417" s="240"/>
    </row>
    <row r="418" spans="1:176" ht="21.95" hidden="1" customHeight="1" outlineLevel="1" x14ac:dyDescent="0.25">
      <c r="A418" s="353" t="str">
        <f>$A$1</f>
        <v>Prudential Financial, Inc.</v>
      </c>
      <c r="B418" s="486"/>
      <c r="C418" s="487"/>
      <c r="D418" s="486"/>
      <c r="E418" s="487"/>
      <c r="F418" s="486"/>
      <c r="G418" s="487"/>
      <c r="H418" s="486"/>
      <c r="I418" s="487"/>
      <c r="J418" s="486"/>
      <c r="K418" s="487"/>
      <c r="L418" s="486"/>
      <c r="M418" s="487"/>
      <c r="N418" s="486"/>
      <c r="O418" s="487"/>
      <c r="P418" s="486"/>
      <c r="Q418" s="487"/>
      <c r="R418" s="486"/>
      <c r="S418" s="487"/>
      <c r="T418" s="486"/>
      <c r="U418" s="487"/>
      <c r="V418" s="486"/>
      <c r="W418" s="487"/>
      <c r="X418" s="486"/>
      <c r="Y418" s="487"/>
      <c r="Z418" s="486"/>
      <c r="AA418" s="487"/>
      <c r="AB418" s="486"/>
      <c r="AC418" s="487"/>
      <c r="AD418" s="486"/>
      <c r="AE418" s="487"/>
      <c r="AF418" s="486"/>
      <c r="AG418" s="487"/>
      <c r="AH418" s="486"/>
      <c r="AI418" s="486"/>
      <c r="AJ418" s="486"/>
      <c r="AK418" s="486"/>
      <c r="AL418" s="486"/>
      <c r="AM418" s="486"/>
      <c r="AN418" s="486"/>
      <c r="AO418" s="486"/>
      <c r="AP418" s="486"/>
      <c r="AQ418" s="486"/>
      <c r="AR418" s="486"/>
      <c r="AS418" s="486"/>
      <c r="AT418" s="486"/>
      <c r="AU418" s="486"/>
      <c r="AV418" s="486"/>
      <c r="AW418" s="486"/>
      <c r="AX418" s="486"/>
      <c r="AY418" s="486"/>
      <c r="AZ418" s="486"/>
      <c r="BA418" s="486"/>
      <c r="BB418" s="486"/>
      <c r="BC418" s="486"/>
      <c r="BD418" s="486"/>
      <c r="BE418" s="486"/>
      <c r="BF418" s="486"/>
      <c r="BG418" s="486"/>
      <c r="BH418" s="486"/>
      <c r="BI418" s="486"/>
      <c r="BJ418" s="486"/>
      <c r="BK418" s="486"/>
      <c r="BL418" s="486"/>
      <c r="BM418" s="486"/>
      <c r="BN418" s="486"/>
      <c r="BO418" s="486"/>
      <c r="BP418" s="486"/>
      <c r="BQ418" s="486"/>
      <c r="BR418" s="486"/>
      <c r="BS418" s="486"/>
      <c r="BT418" s="486"/>
      <c r="BU418" s="486"/>
      <c r="BV418" s="486"/>
      <c r="BW418" s="486"/>
      <c r="BX418" s="486"/>
      <c r="BY418" s="486"/>
      <c r="BZ418" s="486"/>
      <c r="CA418" s="486"/>
      <c r="CB418" s="486"/>
      <c r="CC418" s="486"/>
      <c r="CD418" s="486"/>
      <c r="CE418" s="486"/>
      <c r="CF418" s="486"/>
      <c r="CG418" s="486"/>
      <c r="CH418" s="486"/>
      <c r="CI418" s="486"/>
      <c r="CJ418" s="486"/>
      <c r="CK418" s="486"/>
      <c r="CL418" s="486"/>
      <c r="CM418" s="486"/>
      <c r="CN418" s="486"/>
      <c r="CO418" s="486"/>
      <c r="CP418" s="486"/>
      <c r="CQ418" s="486"/>
      <c r="CR418" s="486"/>
      <c r="CS418" s="486"/>
      <c r="CT418" s="486"/>
      <c r="CU418" s="486"/>
      <c r="CV418" s="486"/>
      <c r="CW418" s="486"/>
      <c r="CX418" s="486"/>
      <c r="CY418" s="486"/>
      <c r="CZ418" s="486"/>
      <c r="DA418" s="486"/>
      <c r="DB418" s="486"/>
      <c r="DC418" s="486"/>
      <c r="DD418" s="486"/>
      <c r="DE418" s="486"/>
      <c r="DF418" s="486"/>
      <c r="DG418" s="486"/>
      <c r="DH418" s="486"/>
      <c r="DI418" s="486"/>
      <c r="DJ418" s="486"/>
      <c r="DK418" s="486"/>
      <c r="DL418" s="486"/>
      <c r="DM418" s="486"/>
      <c r="DN418" s="486"/>
      <c r="DO418" s="486"/>
      <c r="DP418" s="486"/>
      <c r="DQ418" s="486"/>
      <c r="DR418" s="486"/>
      <c r="DS418" s="486"/>
      <c r="DT418" s="486"/>
      <c r="DU418" s="486"/>
      <c r="DV418" s="486"/>
      <c r="DW418" s="486"/>
      <c r="DX418" s="486"/>
      <c r="DY418" s="486"/>
      <c r="DZ418" s="486"/>
      <c r="EA418" s="486"/>
      <c r="EB418" s="487"/>
      <c r="EC418" s="486"/>
      <c r="ED418" s="487"/>
      <c r="EE418" s="486"/>
      <c r="EF418" s="487"/>
      <c r="EG418" s="486"/>
      <c r="EH418" s="487"/>
      <c r="EI418" s="486"/>
      <c r="EJ418" s="486"/>
      <c r="EK418" s="486"/>
      <c r="EL418" s="486"/>
      <c r="EM418" s="486"/>
      <c r="EN418" s="486"/>
      <c r="EO418" s="486"/>
      <c r="EP418" s="486"/>
      <c r="EQ418" s="486"/>
      <c r="ER418" s="486"/>
      <c r="ES418" s="486"/>
      <c r="ET418" s="486"/>
      <c r="EU418" s="486"/>
      <c r="EV418" s="486"/>
      <c r="EW418" s="486"/>
      <c r="EX418" s="486"/>
      <c r="EY418" s="486"/>
      <c r="EZ418" s="486"/>
      <c r="FA418" s="486"/>
      <c r="FB418" s="486"/>
      <c r="FC418" s="486"/>
      <c r="FD418" s="486"/>
      <c r="FE418" s="486"/>
      <c r="FF418" s="486"/>
      <c r="FG418" s="486"/>
      <c r="FH418" s="486"/>
      <c r="FI418" s="486"/>
      <c r="FJ418" s="486"/>
      <c r="FK418" s="486"/>
      <c r="FL418" s="486"/>
      <c r="FM418" s="486"/>
      <c r="FN418" s="486"/>
      <c r="FO418" s="486"/>
      <c r="FP418" s="486"/>
      <c r="FQ418" s="486"/>
      <c r="FR418" s="486"/>
      <c r="FS418" s="486"/>
    </row>
    <row r="419" spans="1:176" ht="12.75" hidden="1" customHeight="1" outlineLevel="1" x14ac:dyDescent="0.2">
      <c r="A419" s="488" t="s">
        <v>304</v>
      </c>
      <c r="B419" s="489"/>
      <c r="C419" s="490"/>
      <c r="D419" s="489"/>
      <c r="E419" s="490"/>
      <c r="F419" s="489"/>
      <c r="G419" s="490"/>
      <c r="H419" s="489"/>
      <c r="I419" s="490"/>
      <c r="J419" s="489"/>
      <c r="K419" s="490"/>
      <c r="L419" s="489"/>
      <c r="M419" s="490"/>
      <c r="N419" s="489"/>
      <c r="O419" s="490"/>
      <c r="P419" s="489"/>
      <c r="Q419" s="490"/>
      <c r="R419" s="489"/>
      <c r="S419" s="490"/>
      <c r="T419" s="489"/>
      <c r="U419" s="490"/>
      <c r="V419" s="489"/>
      <c r="W419" s="490"/>
      <c r="X419" s="489"/>
      <c r="Y419" s="490"/>
      <c r="Z419" s="489"/>
      <c r="AA419" s="490"/>
      <c r="AB419" s="489"/>
      <c r="AC419" s="490"/>
      <c r="AD419" s="489"/>
      <c r="AE419" s="490"/>
      <c r="AF419" s="489"/>
      <c r="AG419" s="490"/>
      <c r="AH419" s="489"/>
      <c r="AI419" s="489"/>
      <c r="AJ419" s="489"/>
      <c r="AK419" s="489"/>
      <c r="AL419" s="489"/>
      <c r="AM419" s="489"/>
      <c r="AN419" s="489"/>
      <c r="AO419" s="489"/>
      <c r="AP419" s="489"/>
      <c r="AQ419" s="489"/>
      <c r="AR419" s="489"/>
      <c r="AS419" s="489"/>
      <c r="AT419" s="489"/>
      <c r="AU419" s="489"/>
      <c r="AV419" s="489"/>
      <c r="AW419" s="489"/>
      <c r="AX419" s="489"/>
      <c r="AY419" s="489"/>
      <c r="AZ419" s="489"/>
      <c r="BA419" s="489"/>
      <c r="BB419" s="489"/>
      <c r="BC419" s="489"/>
      <c r="BD419" s="489"/>
      <c r="BE419" s="489"/>
      <c r="BF419" s="489"/>
      <c r="BG419" s="489"/>
      <c r="BH419" s="489"/>
      <c r="BI419" s="489"/>
      <c r="BJ419" s="489"/>
      <c r="BK419" s="489"/>
      <c r="BL419" s="489"/>
      <c r="BM419" s="489"/>
      <c r="BN419" s="489"/>
      <c r="BO419" s="489"/>
      <c r="BP419" s="489"/>
      <c r="BQ419" s="489"/>
      <c r="BR419" s="489"/>
      <c r="BS419" s="489"/>
      <c r="BT419" s="489"/>
      <c r="BU419" s="489"/>
      <c r="BV419" s="489"/>
      <c r="BW419" s="489"/>
      <c r="BX419" s="489"/>
      <c r="BY419" s="489"/>
      <c r="BZ419" s="489"/>
      <c r="CA419" s="489"/>
      <c r="CB419" s="489"/>
      <c r="CC419" s="489"/>
      <c r="CD419" s="489"/>
      <c r="CE419" s="489"/>
      <c r="CF419" s="489"/>
      <c r="CG419" s="489"/>
      <c r="CH419" s="489"/>
      <c r="CI419" s="489"/>
      <c r="CJ419" s="489"/>
      <c r="CK419" s="489"/>
      <c r="CL419" s="489"/>
      <c r="CM419" s="489"/>
      <c r="CN419" s="489"/>
      <c r="CO419" s="489"/>
      <c r="CP419" s="489"/>
      <c r="CQ419" s="489"/>
      <c r="CR419" s="489"/>
      <c r="CS419" s="489"/>
      <c r="CT419" s="489"/>
      <c r="CU419" s="489"/>
      <c r="CV419" s="489"/>
      <c r="CW419" s="489"/>
      <c r="CX419" s="489"/>
      <c r="CY419" s="489"/>
      <c r="CZ419" s="489"/>
      <c r="DA419" s="489"/>
      <c r="DB419" s="489"/>
      <c r="DC419" s="489"/>
      <c r="DD419" s="489"/>
      <c r="DE419" s="489"/>
      <c r="DF419" s="489"/>
      <c r="DG419" s="489"/>
      <c r="DH419" s="489"/>
      <c r="DI419" s="489"/>
      <c r="DJ419" s="489"/>
      <c r="DK419" s="489"/>
      <c r="DL419" s="489"/>
      <c r="DM419" s="489"/>
      <c r="DN419" s="489"/>
      <c r="DO419" s="489"/>
      <c r="DP419" s="489"/>
      <c r="DQ419" s="489"/>
      <c r="DR419" s="489"/>
      <c r="DS419" s="489"/>
      <c r="DT419" s="489"/>
      <c r="DU419" s="489"/>
      <c r="DV419" s="489"/>
      <c r="DW419" s="489"/>
      <c r="DX419" s="489"/>
      <c r="DY419" s="489"/>
      <c r="DZ419" s="489"/>
      <c r="EA419" s="489"/>
      <c r="EB419" s="490"/>
      <c r="EC419" s="489"/>
      <c r="ED419" s="490"/>
      <c r="EE419" s="489"/>
      <c r="EF419" s="490"/>
      <c r="EG419" s="489"/>
      <c r="EH419" s="490"/>
      <c r="EI419" s="489"/>
      <c r="EJ419" s="489"/>
      <c r="EK419" s="489"/>
      <c r="EL419" s="489"/>
      <c r="EM419" s="489"/>
      <c r="EN419" s="489"/>
      <c r="EO419" s="489"/>
      <c r="EP419" s="489"/>
      <c r="EQ419" s="489"/>
      <c r="ER419" s="489"/>
      <c r="ES419" s="489"/>
      <c r="ET419" s="489"/>
      <c r="EU419" s="489"/>
      <c r="EV419" s="489"/>
      <c r="EW419" s="489"/>
      <c r="EX419" s="489"/>
      <c r="EY419" s="489"/>
      <c r="EZ419" s="489"/>
      <c r="FA419" s="489"/>
      <c r="FB419" s="489"/>
      <c r="FC419" s="489"/>
      <c r="FD419" s="489"/>
      <c r="FE419" s="489"/>
      <c r="FF419" s="489"/>
      <c r="FG419" s="489"/>
      <c r="FH419" s="489"/>
      <c r="FI419" s="489"/>
      <c r="FJ419" s="489"/>
      <c r="FK419" s="489"/>
      <c r="FL419" s="489"/>
      <c r="FM419" s="489"/>
      <c r="FN419" s="489"/>
      <c r="FO419" s="489"/>
      <c r="FP419" s="489"/>
      <c r="FQ419" s="489"/>
      <c r="FR419" s="489"/>
      <c r="FS419" s="489"/>
    </row>
    <row r="420" spans="1:176" ht="12.75" hidden="1" customHeight="1" outlineLevel="1" x14ac:dyDescent="0.2">
      <c r="A420" s="348" t="str">
        <f>A$3</f>
        <v>($Millions Except Per Share Data)</v>
      </c>
      <c r="B420" s="502"/>
      <c r="C420" s="503" t="str">
        <f>C$3</f>
        <v>1Q03/</v>
      </c>
      <c r="D420" s="502"/>
      <c r="E420" s="503" t="str">
        <f>E$3</f>
        <v>2Q03/</v>
      </c>
      <c r="F420" s="502"/>
      <c r="G420" s="503" t="str">
        <f>G$3</f>
        <v>3Q03/</v>
      </c>
      <c r="H420" s="502"/>
      <c r="I420" s="503" t="str">
        <f>I$3</f>
        <v>4Q03/</v>
      </c>
      <c r="J420" s="502"/>
      <c r="K420" s="503" t="str">
        <f>K$3</f>
        <v>1Q04/</v>
      </c>
      <c r="L420" s="502"/>
      <c r="M420" s="503" t="str">
        <f>M$3</f>
        <v>2Q04/</v>
      </c>
      <c r="N420" s="502"/>
      <c r="O420" s="503" t="str">
        <f>O$3</f>
        <v>3Q04/</v>
      </c>
      <c r="P420" s="502"/>
      <c r="Q420" s="503" t="str">
        <f>Q$3</f>
        <v>4Q04/</v>
      </c>
      <c r="R420" s="502"/>
      <c r="S420" s="503" t="str">
        <f>S$3</f>
        <v>1Q05/</v>
      </c>
      <c r="T420" s="502"/>
      <c r="U420" s="503" t="str">
        <f>U$3</f>
        <v>2Q05/</v>
      </c>
      <c r="V420" s="502"/>
      <c r="W420" s="503" t="str">
        <f>W$3</f>
        <v>3Q05/</v>
      </c>
      <c r="X420" s="502"/>
      <c r="Y420" s="503" t="str">
        <f>Y$3</f>
        <v>4Q05/</v>
      </c>
      <c r="Z420" s="502"/>
      <c r="AA420" s="503" t="str">
        <f>AA$3</f>
        <v>1Q06/</v>
      </c>
      <c r="AB420" s="502"/>
      <c r="AC420" s="503" t="str">
        <f>AC$3</f>
        <v>2Q06/</v>
      </c>
      <c r="AD420" s="502"/>
      <c r="AE420" s="503" t="str">
        <f>AE$3</f>
        <v>3Q06/</v>
      </c>
      <c r="AF420" s="502"/>
      <c r="AG420" s="503" t="str">
        <f>AG$3</f>
        <v>4Q06/</v>
      </c>
      <c r="AH420" s="502"/>
      <c r="AI420" s="504" t="str">
        <f>AI$3</f>
        <v>1Q07/</v>
      </c>
      <c r="AJ420" s="502"/>
      <c r="AK420" s="504" t="str">
        <f>AK$3</f>
        <v>2Q07/</v>
      </c>
      <c r="AL420" s="502"/>
      <c r="AM420" s="504" t="str">
        <f>AM$3</f>
        <v>3Q07/</v>
      </c>
      <c r="AN420" s="502"/>
      <c r="AO420" s="504" t="str">
        <f>AO$3</f>
        <v>4Q07/</v>
      </c>
      <c r="AP420" s="502"/>
      <c r="AQ420" s="504" t="str">
        <f>AQ$3</f>
        <v>1Q08/</v>
      </c>
      <c r="AR420" s="502"/>
      <c r="AS420" s="504" t="str">
        <f>AS$3</f>
        <v>2Q08/</v>
      </c>
      <c r="AT420" s="502"/>
      <c r="AU420" s="504" t="str">
        <f>AU$3</f>
        <v>3Q08/</v>
      </c>
      <c r="AV420" s="502"/>
      <c r="AW420" s="504" t="str">
        <f>AW$3</f>
        <v>4Q08/</v>
      </c>
      <c r="AX420" s="502"/>
      <c r="AY420" s="504" t="str">
        <f>AY$3</f>
        <v>1Q09/</v>
      </c>
      <c r="AZ420" s="502"/>
      <c r="BA420" s="504" t="str">
        <f>BA$3</f>
        <v>2Q09/</v>
      </c>
      <c r="BB420" s="502"/>
      <c r="BC420" s="504" t="str">
        <f>BC$3</f>
        <v>3Q09/</v>
      </c>
      <c r="BD420" s="502"/>
      <c r="BE420" s="504" t="str">
        <f>BE$3</f>
        <v>4Q09/</v>
      </c>
      <c r="BF420" s="502"/>
      <c r="BG420" s="504" t="str">
        <f>BG$3</f>
        <v>1Q10/</v>
      </c>
      <c r="BH420" s="502"/>
      <c r="BI420" s="504" t="str">
        <f>BI$3</f>
        <v>2Q10/</v>
      </c>
      <c r="BJ420" s="502"/>
      <c r="BK420" s="504" t="str">
        <f>BK$3</f>
        <v>3Q10/</v>
      </c>
      <c r="BL420" s="502"/>
      <c r="BM420" s="504" t="str">
        <f>BM$3</f>
        <v>4Q10/</v>
      </c>
      <c r="BN420" s="502"/>
      <c r="BO420" s="504" t="str">
        <f>BO$3</f>
        <v>1Q11/</v>
      </c>
      <c r="BP420" s="502"/>
      <c r="BQ420" s="504" t="str">
        <f>BQ$3</f>
        <v>2Q11/</v>
      </c>
      <c r="BR420" s="502"/>
      <c r="BS420" s="504" t="str">
        <f>BS$3</f>
        <v>3Q11/</v>
      </c>
      <c r="BT420" s="502"/>
      <c r="BU420" s="504" t="str">
        <f>BU$3</f>
        <v>4Q11/</v>
      </c>
      <c r="BV420" s="502"/>
      <c r="BW420" s="504" t="str">
        <f>BW$3</f>
        <v>1Q12/</v>
      </c>
      <c r="BX420" s="502"/>
      <c r="BY420" s="504" t="str">
        <f>BY$3</f>
        <v>2Q12/</v>
      </c>
      <c r="BZ420" s="502"/>
      <c r="CA420" s="504" t="str">
        <f>CA$3</f>
        <v>3Q12/</v>
      </c>
      <c r="CB420" s="502"/>
      <c r="CC420" s="504" t="str">
        <f>CC$3</f>
        <v>4Q12/</v>
      </c>
      <c r="CD420" s="502"/>
      <c r="CE420" s="504" t="str">
        <f>CE$3</f>
        <v>1Q13/</v>
      </c>
      <c r="CF420" s="502"/>
      <c r="CG420" s="504" t="str">
        <f>CG$3</f>
        <v>2Q13/</v>
      </c>
      <c r="CH420" s="502"/>
      <c r="CI420" s="504" t="str">
        <f>CI$3</f>
        <v>3Q13/</v>
      </c>
      <c r="CJ420" s="502"/>
      <c r="CK420" s="504" t="str">
        <f>CK$3</f>
        <v>4Q13/</v>
      </c>
      <c r="CL420" s="502"/>
      <c r="CM420" s="504" t="str">
        <f>CM$3</f>
        <v>1Q14/</v>
      </c>
      <c r="CN420" s="502"/>
      <c r="CO420" s="504" t="str">
        <f>CO$3</f>
        <v>2Q14/</v>
      </c>
      <c r="CP420" s="502"/>
      <c r="CQ420" s="504" t="str">
        <f>CQ$3</f>
        <v>3Q14/</v>
      </c>
      <c r="CR420" s="502"/>
      <c r="CS420" s="504" t="str">
        <f>CS$3</f>
        <v>4Q14/</v>
      </c>
      <c r="CT420" s="502"/>
      <c r="CU420" s="504" t="str">
        <f>CU$3</f>
        <v>1Q15/</v>
      </c>
      <c r="CV420" s="502"/>
      <c r="CW420" s="504" t="str">
        <f>CW$3</f>
        <v>2Q15/</v>
      </c>
      <c r="CX420" s="502"/>
      <c r="CY420" s="504" t="str">
        <f>CY$3</f>
        <v>3Q15/</v>
      </c>
      <c r="CZ420" s="502"/>
      <c r="DA420" s="504" t="str">
        <f>DA$3</f>
        <v>4Q15/</v>
      </c>
      <c r="DB420" s="502"/>
      <c r="DC420" s="504" t="str">
        <f>DC$3</f>
        <v>1Q16/</v>
      </c>
      <c r="DD420" s="502"/>
      <c r="DE420" s="504" t="str">
        <f>DE$3</f>
        <v>2Q16/</v>
      </c>
      <c r="DF420" s="502"/>
      <c r="DG420" s="504" t="str">
        <f>DG$3</f>
        <v>3Q16/</v>
      </c>
      <c r="DH420" s="502"/>
      <c r="DI420" s="504" t="str">
        <f>DI$3</f>
        <v>4Q16/</v>
      </c>
      <c r="DJ420" s="502"/>
      <c r="DK420" s="504" t="str">
        <f>DK$3</f>
        <v>1Q17/</v>
      </c>
      <c r="DL420" s="502"/>
      <c r="DM420" s="504" t="str">
        <f>DM$3</f>
        <v>2Q17/</v>
      </c>
      <c r="DN420" s="502"/>
      <c r="DO420" s="504" t="str">
        <f>DO$3</f>
        <v>3Q17/</v>
      </c>
      <c r="DP420" s="502"/>
      <c r="DQ420" s="504" t="str">
        <f>DQ$3</f>
        <v>4Q17/</v>
      </c>
      <c r="DR420" s="502"/>
      <c r="DS420" s="504" t="str">
        <f>DS$3</f>
        <v>1Q18E/</v>
      </c>
      <c r="DT420" s="502"/>
      <c r="DU420" s="504" t="str">
        <f>DU$3</f>
        <v>2Q18E/</v>
      </c>
      <c r="DV420" s="502"/>
      <c r="DW420" s="504" t="str">
        <f>DW$3</f>
        <v>3Q18E/</v>
      </c>
      <c r="DX420" s="502"/>
      <c r="DY420" s="504" t="str">
        <f>DY$3</f>
        <v>4Q18E/</v>
      </c>
      <c r="DZ420" s="502"/>
      <c r="EA420" s="504"/>
      <c r="EB420" s="503" t="str">
        <f>EB$3</f>
        <v>2001/</v>
      </c>
      <c r="EC420" s="502"/>
      <c r="ED420" s="503" t="str">
        <f>ED$3</f>
        <v>2002/</v>
      </c>
      <c r="EE420" s="502"/>
      <c r="EF420" s="503" t="str">
        <f>EF$3</f>
        <v>2003/</v>
      </c>
      <c r="EG420" s="502"/>
      <c r="EH420" s="503" t="str">
        <f>EH$3</f>
        <v>2004/</v>
      </c>
      <c r="EI420" s="502"/>
      <c r="EJ420" s="504" t="str">
        <f>EJ$3</f>
        <v>2005/</v>
      </c>
      <c r="EK420" s="502"/>
      <c r="EL420" s="504" t="str">
        <f>EL$3</f>
        <v>2006/</v>
      </c>
      <c r="EM420" s="502"/>
      <c r="EN420" s="504" t="str">
        <f>EN$3</f>
        <v>2007/</v>
      </c>
      <c r="EO420" s="502"/>
      <c r="EP420" s="504" t="str">
        <f>EP$3</f>
        <v>2008/</v>
      </c>
      <c r="EQ420" s="502"/>
      <c r="ER420" s="504" t="str">
        <f>ER$3</f>
        <v>2009/</v>
      </c>
      <c r="ES420" s="502"/>
      <c r="ET420" s="504" t="str">
        <f>ET$3</f>
        <v>2010/</v>
      </c>
      <c r="EU420" s="502"/>
      <c r="EV420" s="504" t="str">
        <f>EV$3</f>
        <v>2011/</v>
      </c>
      <c r="EW420" s="502"/>
      <c r="EX420" s="504" t="str">
        <f>EX$3</f>
        <v>2012/</v>
      </c>
      <c r="EY420" s="502"/>
      <c r="EZ420" s="504" t="str">
        <f>EZ$3</f>
        <v>2013/</v>
      </c>
      <c r="FA420" s="502"/>
      <c r="FB420" s="504" t="str">
        <f>FB$3</f>
        <v>2014/</v>
      </c>
      <c r="FC420" s="502"/>
      <c r="FD420" s="504" t="str">
        <f>FD$3</f>
        <v>2015/</v>
      </c>
      <c r="FE420" s="502"/>
      <c r="FF420" s="504" t="str">
        <f>FF$3</f>
        <v>2016/</v>
      </c>
      <c r="FG420" s="502"/>
      <c r="FH420" s="504" t="str">
        <f>FH$3</f>
        <v>2017/</v>
      </c>
      <c r="FI420" s="502"/>
      <c r="FJ420" s="504" t="str">
        <f>FJ$3</f>
        <v>2018E/</v>
      </c>
      <c r="FK420" s="502"/>
      <c r="FL420" s="504" t="str">
        <f>FL$3</f>
        <v>2019E/</v>
      </c>
      <c r="FM420" s="502"/>
      <c r="FN420" s="504" t="str">
        <f>FN$3</f>
        <v>2020E/</v>
      </c>
      <c r="FO420" s="502"/>
      <c r="FP420" s="504" t="str">
        <f>FP$3</f>
        <v>2021E/</v>
      </c>
      <c r="FQ420" s="502"/>
      <c r="FR420" s="504" t="str">
        <f>FR$3</f>
        <v>2022E/</v>
      </c>
      <c r="FS420" s="504" t="str">
        <f>FS$3</f>
        <v>5-Yr</v>
      </c>
      <c r="FT420" s="349"/>
    </row>
    <row r="421" spans="1:176" ht="12.75" hidden="1" customHeight="1" outlineLevel="1" x14ac:dyDescent="0.2">
      <c r="A421" s="492"/>
      <c r="B421" s="491"/>
      <c r="C421" s="490" t="str">
        <f>C$4</f>
        <v>1Q02</v>
      </c>
      <c r="D421" s="491"/>
      <c r="E421" s="490" t="str">
        <f>E$4</f>
        <v>2Q02</v>
      </c>
      <c r="F421" s="491"/>
      <c r="G421" s="490" t="str">
        <f>G$4</f>
        <v>3Q02</v>
      </c>
      <c r="H421" s="491"/>
      <c r="I421" s="490" t="str">
        <f>I$4</f>
        <v>4Q02</v>
      </c>
      <c r="J421" s="491"/>
      <c r="K421" s="490" t="str">
        <f>K$4</f>
        <v>1Q03</v>
      </c>
      <c r="L421" s="491"/>
      <c r="M421" s="490" t="str">
        <f>M$4</f>
        <v>2Q03</v>
      </c>
      <c r="N421" s="491"/>
      <c r="O421" s="490" t="str">
        <f>O$4</f>
        <v>3Q03</v>
      </c>
      <c r="P421" s="491"/>
      <c r="Q421" s="490" t="str">
        <f>Q$4</f>
        <v>4Q03</v>
      </c>
      <c r="R421" s="491"/>
      <c r="S421" s="490" t="str">
        <f>S$4</f>
        <v>1Q04</v>
      </c>
      <c r="T421" s="491"/>
      <c r="U421" s="490" t="str">
        <f>U$4</f>
        <v>2Q04</v>
      </c>
      <c r="V421" s="491"/>
      <c r="W421" s="490" t="str">
        <f>W$4</f>
        <v>3Q04</v>
      </c>
      <c r="X421" s="491"/>
      <c r="Y421" s="490" t="str">
        <f>Y$4</f>
        <v>4Q04</v>
      </c>
      <c r="Z421" s="491"/>
      <c r="AA421" s="490" t="str">
        <f>AA$4</f>
        <v>1Q05</v>
      </c>
      <c r="AB421" s="491"/>
      <c r="AC421" s="490" t="str">
        <f>AC$4</f>
        <v>2Q05</v>
      </c>
      <c r="AD421" s="491"/>
      <c r="AE421" s="490" t="str">
        <f>AE$4</f>
        <v>3Q05</v>
      </c>
      <c r="AF421" s="491"/>
      <c r="AG421" s="490" t="str">
        <f>AG$4</f>
        <v>4Q05</v>
      </c>
      <c r="AH421" s="491"/>
      <c r="AI421" s="489" t="str">
        <f>AI$4</f>
        <v>1Q06</v>
      </c>
      <c r="AJ421" s="491"/>
      <c r="AK421" s="489" t="str">
        <f>AK$4</f>
        <v>2Q06</v>
      </c>
      <c r="AL421" s="491"/>
      <c r="AM421" s="489" t="str">
        <f>AM$4</f>
        <v>3Q06</v>
      </c>
      <c r="AN421" s="491"/>
      <c r="AO421" s="489" t="str">
        <f>AO$4</f>
        <v>4Q06</v>
      </c>
      <c r="AP421" s="491"/>
      <c r="AQ421" s="489" t="str">
        <f>AQ$4</f>
        <v>1Q07</v>
      </c>
      <c r="AR421" s="491"/>
      <c r="AS421" s="489" t="str">
        <f>AS$4</f>
        <v>2Q07</v>
      </c>
      <c r="AT421" s="491"/>
      <c r="AU421" s="489" t="str">
        <f>AU$4</f>
        <v>3Q07</v>
      </c>
      <c r="AV421" s="491"/>
      <c r="AW421" s="489" t="str">
        <f>AW$4</f>
        <v>4Q07</v>
      </c>
      <c r="AX421" s="491"/>
      <c r="AY421" s="489" t="str">
        <f>AY$4</f>
        <v>1Q08</v>
      </c>
      <c r="AZ421" s="491"/>
      <c r="BA421" s="489" t="str">
        <f>BA$4</f>
        <v>2Q08</v>
      </c>
      <c r="BB421" s="491"/>
      <c r="BC421" s="489" t="str">
        <f>BC$4</f>
        <v>3Q08</v>
      </c>
      <c r="BD421" s="491"/>
      <c r="BE421" s="489" t="str">
        <f>BE$4</f>
        <v>4Q08</v>
      </c>
      <c r="BF421" s="491"/>
      <c r="BG421" s="489" t="str">
        <f>BG$4</f>
        <v>1Q09</v>
      </c>
      <c r="BH421" s="491"/>
      <c r="BI421" s="489" t="str">
        <f>BI$4</f>
        <v>2Q09</v>
      </c>
      <c r="BJ421" s="491"/>
      <c r="BK421" s="489" t="str">
        <f>BK$4</f>
        <v>3Q09</v>
      </c>
      <c r="BL421" s="491"/>
      <c r="BM421" s="489" t="str">
        <f>BM$4</f>
        <v>4Q09</v>
      </c>
      <c r="BN421" s="491"/>
      <c r="BO421" s="489" t="str">
        <f>BO$4</f>
        <v>1Q10</v>
      </c>
      <c r="BP421" s="491"/>
      <c r="BQ421" s="489" t="str">
        <f>BQ$4</f>
        <v>2Q10</v>
      </c>
      <c r="BR421" s="491"/>
      <c r="BS421" s="489" t="str">
        <f>BS$4</f>
        <v>3Q10</v>
      </c>
      <c r="BT421" s="491"/>
      <c r="BU421" s="489" t="str">
        <f>BU$4</f>
        <v>4Q10</v>
      </c>
      <c r="BV421" s="491"/>
      <c r="BW421" s="489" t="str">
        <f>BW$4</f>
        <v>1Q11</v>
      </c>
      <c r="BX421" s="491"/>
      <c r="BY421" s="489" t="str">
        <f>BY$4</f>
        <v>2Q11</v>
      </c>
      <c r="BZ421" s="491"/>
      <c r="CA421" s="489" t="str">
        <f>CA$4</f>
        <v>3Q11</v>
      </c>
      <c r="CB421" s="491"/>
      <c r="CC421" s="489" t="str">
        <f>CC$4</f>
        <v>4Q11</v>
      </c>
      <c r="CD421" s="491"/>
      <c r="CE421" s="489" t="str">
        <f>CE$4</f>
        <v>1Q12</v>
      </c>
      <c r="CF421" s="491"/>
      <c r="CG421" s="489" t="str">
        <f>CG$4</f>
        <v>2Q12</v>
      </c>
      <c r="CH421" s="491"/>
      <c r="CI421" s="489" t="str">
        <f>CI$4</f>
        <v>3Q12</v>
      </c>
      <c r="CJ421" s="491"/>
      <c r="CK421" s="489" t="str">
        <f>CK$4</f>
        <v>4Q12</v>
      </c>
      <c r="CL421" s="491"/>
      <c r="CM421" s="489" t="str">
        <f>CM$4</f>
        <v>1Q13</v>
      </c>
      <c r="CN421" s="491"/>
      <c r="CO421" s="489" t="str">
        <f>CO$4</f>
        <v>2Q13</v>
      </c>
      <c r="CP421" s="491"/>
      <c r="CQ421" s="489" t="str">
        <f>CQ$4</f>
        <v>3Q13</v>
      </c>
      <c r="CR421" s="491"/>
      <c r="CS421" s="489" t="str">
        <f>CS$4</f>
        <v>4Q13</v>
      </c>
      <c r="CT421" s="491"/>
      <c r="CU421" s="489" t="str">
        <f>CU$4</f>
        <v>1Q14</v>
      </c>
      <c r="CV421" s="491"/>
      <c r="CW421" s="489" t="str">
        <f>CW$4</f>
        <v>2Q14</v>
      </c>
      <c r="CX421" s="491"/>
      <c r="CY421" s="489" t="str">
        <f>CY$4</f>
        <v>3Q14</v>
      </c>
      <c r="CZ421" s="491"/>
      <c r="DA421" s="489" t="str">
        <f>DA$4</f>
        <v>4Q14</v>
      </c>
      <c r="DB421" s="491"/>
      <c r="DC421" s="489" t="str">
        <f>DC$4</f>
        <v>1Q15</v>
      </c>
      <c r="DD421" s="491"/>
      <c r="DE421" s="489" t="str">
        <f>DE$4</f>
        <v>2Q15</v>
      </c>
      <c r="DF421" s="491"/>
      <c r="DG421" s="489" t="str">
        <f>DG$4</f>
        <v>3Q15</v>
      </c>
      <c r="DH421" s="491"/>
      <c r="DI421" s="489" t="str">
        <f>DI$4</f>
        <v>4Q15</v>
      </c>
      <c r="DJ421" s="491"/>
      <c r="DK421" s="489" t="str">
        <f>DK$4</f>
        <v>1Q16</v>
      </c>
      <c r="DL421" s="491"/>
      <c r="DM421" s="489" t="str">
        <f>DM$4</f>
        <v>2Q16</v>
      </c>
      <c r="DN421" s="491"/>
      <c r="DO421" s="489" t="str">
        <f>DO$4</f>
        <v>3Q16</v>
      </c>
      <c r="DP421" s="491"/>
      <c r="DQ421" s="489" t="str">
        <f>DQ$4</f>
        <v>4Q16</v>
      </c>
      <c r="DR421" s="491"/>
      <c r="DS421" s="489" t="str">
        <f>DS$4</f>
        <v>1Q17</v>
      </c>
      <c r="DT421" s="491"/>
      <c r="DU421" s="489" t="str">
        <f>DU$4</f>
        <v>2Q17</v>
      </c>
      <c r="DV421" s="491"/>
      <c r="DW421" s="489" t="str">
        <f>DW$4</f>
        <v>3Q17</v>
      </c>
      <c r="DX421" s="491"/>
      <c r="DY421" s="489" t="str">
        <f>DY$4</f>
        <v>4Q17</v>
      </c>
      <c r="DZ421" s="491"/>
      <c r="EA421" s="489"/>
      <c r="EB421" s="490" t="str">
        <f>EB$4</f>
        <v>2000</v>
      </c>
      <c r="EC421" s="491"/>
      <c r="ED421" s="490" t="str">
        <f>ED$4</f>
        <v>2001</v>
      </c>
      <c r="EE421" s="491"/>
      <c r="EF421" s="490" t="str">
        <f>EF$4</f>
        <v>2002</v>
      </c>
      <c r="EG421" s="491"/>
      <c r="EH421" s="490" t="str">
        <f>EH$4</f>
        <v>2003</v>
      </c>
      <c r="EI421" s="491"/>
      <c r="EJ421" s="489">
        <f>EJ$4</f>
        <v>2004</v>
      </c>
      <c r="EK421" s="491"/>
      <c r="EL421" s="489" t="str">
        <f>EL$4</f>
        <v>2005</v>
      </c>
      <c r="EM421" s="491"/>
      <c r="EN421" s="489" t="str">
        <f>EN$4</f>
        <v>2006</v>
      </c>
      <c r="EO421" s="491"/>
      <c r="EP421" s="489">
        <f>EP$4</f>
        <v>2007</v>
      </c>
      <c r="EQ421" s="491"/>
      <c r="ER421" s="489" t="str">
        <f>ER$4</f>
        <v>2008</v>
      </c>
      <c r="ES421" s="491"/>
      <c r="ET421" s="489" t="str">
        <f>ET$4</f>
        <v>2009</v>
      </c>
      <c r="EU421" s="491"/>
      <c r="EV421" s="489" t="str">
        <f>EV$4</f>
        <v>2010</v>
      </c>
      <c r="EW421" s="491"/>
      <c r="EX421" s="489" t="str">
        <f>EX$4</f>
        <v>2011</v>
      </c>
      <c r="EY421" s="491"/>
      <c r="EZ421" s="489" t="str">
        <f>EZ$4</f>
        <v>2012</v>
      </c>
      <c r="FA421" s="491"/>
      <c r="FB421" s="489" t="str">
        <f>FB$4</f>
        <v>2013</v>
      </c>
      <c r="FC421" s="491"/>
      <c r="FD421" s="489">
        <f>FD$4</f>
        <v>2014</v>
      </c>
      <c r="FE421" s="491"/>
      <c r="FF421" s="489" t="str">
        <f>FF$4</f>
        <v>2015</v>
      </c>
      <c r="FG421" s="491"/>
      <c r="FH421" s="489">
        <f>FH$4</f>
        <v>2016</v>
      </c>
      <c r="FI421" s="491"/>
      <c r="FJ421" s="489">
        <f>FJ$4</f>
        <v>2017</v>
      </c>
      <c r="FK421" s="491"/>
      <c r="FL421" s="489" t="str">
        <f>FL$4</f>
        <v>2018E</v>
      </c>
      <c r="FM421" s="491"/>
      <c r="FN421" s="489" t="str">
        <f>FN$4</f>
        <v>2019E</v>
      </c>
      <c r="FO421" s="491"/>
      <c r="FP421" s="489" t="str">
        <f>FP$4</f>
        <v>2020E</v>
      </c>
      <c r="FQ421" s="491"/>
      <c r="FR421" s="489" t="str">
        <f>FR$4</f>
        <v>2021E</v>
      </c>
      <c r="FS421" s="489" t="str">
        <f>FS$4</f>
        <v>CAGR</v>
      </c>
      <c r="FT421" s="349"/>
    </row>
    <row r="422" spans="1:176" ht="12.75" hidden="1" customHeight="1" outlineLevel="1" x14ac:dyDescent="0.2">
      <c r="A422" s="493"/>
      <c r="B422" s="494" t="str">
        <f>+B$5</f>
        <v>1Q03</v>
      </c>
      <c r="C422" s="495" t="str">
        <f>C$5</f>
        <v>% Chg</v>
      </c>
      <c r="D422" s="494" t="str">
        <f>+D$5</f>
        <v>2Q03</v>
      </c>
      <c r="E422" s="495" t="str">
        <f>E$5</f>
        <v>% Chg</v>
      </c>
      <c r="F422" s="494" t="str">
        <f>+F$5</f>
        <v>3Q03</v>
      </c>
      <c r="G422" s="495" t="str">
        <f>G$5</f>
        <v>% Chg</v>
      </c>
      <c r="H422" s="494" t="str">
        <f>+H$5</f>
        <v>4Q03</v>
      </c>
      <c r="I422" s="495" t="str">
        <f>I$5</f>
        <v>% Chg</v>
      </c>
      <c r="J422" s="494" t="str">
        <f>+J$5</f>
        <v>1Q04</v>
      </c>
      <c r="K422" s="495" t="str">
        <f>K$5</f>
        <v>% Chg</v>
      </c>
      <c r="L422" s="494" t="str">
        <f>+L$5</f>
        <v>2Q04</v>
      </c>
      <c r="M422" s="495" t="str">
        <f>M$5</f>
        <v>% Chg</v>
      </c>
      <c r="N422" s="494" t="str">
        <f>+N$5</f>
        <v>3Q04</v>
      </c>
      <c r="O422" s="495" t="str">
        <f>O$5</f>
        <v>% Chg</v>
      </c>
      <c r="P422" s="494" t="str">
        <f>+P$5</f>
        <v>4Q04</v>
      </c>
      <c r="Q422" s="495" t="str">
        <f>Q$5</f>
        <v>% Chg</v>
      </c>
      <c r="R422" s="494" t="str">
        <f>+R$5</f>
        <v>1Q05</v>
      </c>
      <c r="S422" s="495" t="str">
        <f>S$5</f>
        <v>% Chg</v>
      </c>
      <c r="T422" s="494" t="str">
        <f>+T$5</f>
        <v>2Q05</v>
      </c>
      <c r="U422" s="495" t="str">
        <f>U$5</f>
        <v>% Chg</v>
      </c>
      <c r="V422" s="494" t="str">
        <f>+V$5</f>
        <v>3Q05</v>
      </c>
      <c r="W422" s="495" t="str">
        <f>W$5</f>
        <v>% Chg</v>
      </c>
      <c r="X422" s="494" t="str">
        <f>+X$5</f>
        <v>4Q05</v>
      </c>
      <c r="Y422" s="495" t="str">
        <f>Y$5</f>
        <v>% Chg</v>
      </c>
      <c r="Z422" s="494" t="str">
        <f>+Z$5</f>
        <v>1Q06</v>
      </c>
      <c r="AA422" s="495" t="str">
        <f>AA$5</f>
        <v>% Chg</v>
      </c>
      <c r="AB422" s="494" t="str">
        <f>+AB$5</f>
        <v>2Q06</v>
      </c>
      <c r="AC422" s="495" t="str">
        <f>AC$5</f>
        <v>% Chg</v>
      </c>
      <c r="AD422" s="494" t="str">
        <f>+AD$5</f>
        <v>3Q06</v>
      </c>
      <c r="AE422" s="495" t="str">
        <f>AE$5</f>
        <v>% Chg</v>
      </c>
      <c r="AF422" s="494" t="str">
        <f>+AF$5</f>
        <v>4Q06</v>
      </c>
      <c r="AG422" s="495" t="str">
        <f>AG$5</f>
        <v>% Chg</v>
      </c>
      <c r="AH422" s="494" t="str">
        <f>+AH$5</f>
        <v>1Q07</v>
      </c>
      <c r="AI422" s="496" t="str">
        <f>AI$5</f>
        <v>% Chg</v>
      </c>
      <c r="AJ422" s="494" t="str">
        <f>+AJ$5</f>
        <v>2Q07</v>
      </c>
      <c r="AK422" s="496" t="str">
        <f>AK$5</f>
        <v>% Chg</v>
      </c>
      <c r="AL422" s="494" t="str">
        <f>+AL$5</f>
        <v>3Q07</v>
      </c>
      <c r="AM422" s="496" t="str">
        <f>AM$5</f>
        <v>% Chg</v>
      </c>
      <c r="AN422" s="494" t="str">
        <f>+AN$5</f>
        <v>4Q07</v>
      </c>
      <c r="AO422" s="496" t="str">
        <f>AO$5</f>
        <v>% Chg</v>
      </c>
      <c r="AP422" s="494" t="str">
        <f>+AP$5</f>
        <v>1Q08</v>
      </c>
      <c r="AQ422" s="496" t="str">
        <f>AQ$5</f>
        <v>% Chg</v>
      </c>
      <c r="AR422" s="494" t="str">
        <f>+AR$5</f>
        <v>2Q08</v>
      </c>
      <c r="AS422" s="496" t="str">
        <f>AS$5</f>
        <v>% Chg</v>
      </c>
      <c r="AT422" s="494" t="str">
        <f>+AT$5</f>
        <v>3Q08</v>
      </c>
      <c r="AU422" s="496" t="str">
        <f>AU$5</f>
        <v>% Chg</v>
      </c>
      <c r="AV422" s="494" t="str">
        <f>+AV$5</f>
        <v>4Q08</v>
      </c>
      <c r="AW422" s="496" t="str">
        <f>AW$5</f>
        <v>% Chg</v>
      </c>
      <c r="AX422" s="494" t="str">
        <f>+AX$5</f>
        <v>1Q09</v>
      </c>
      <c r="AY422" s="496" t="str">
        <f>AY$5</f>
        <v>% Chg</v>
      </c>
      <c r="AZ422" s="494" t="str">
        <f>+AZ$5</f>
        <v>2Q09</v>
      </c>
      <c r="BA422" s="496" t="str">
        <f>BA$5</f>
        <v>% Chg</v>
      </c>
      <c r="BB422" s="494" t="str">
        <f>+BB$5</f>
        <v>3Q09</v>
      </c>
      <c r="BC422" s="496" t="str">
        <f>BC$5</f>
        <v>% Chg</v>
      </c>
      <c r="BD422" s="494" t="str">
        <f>+BD$5</f>
        <v>4Q09</v>
      </c>
      <c r="BE422" s="496" t="str">
        <f>BE$5</f>
        <v>% Chg</v>
      </c>
      <c r="BF422" s="494" t="str">
        <f>+BF$5</f>
        <v>1Q10</v>
      </c>
      <c r="BG422" s="496" t="str">
        <f>BG$5</f>
        <v>% Chg</v>
      </c>
      <c r="BH422" s="494" t="str">
        <f>+BH$5</f>
        <v>2Q10</v>
      </c>
      <c r="BI422" s="496" t="str">
        <f>BI$5</f>
        <v>% Chg</v>
      </c>
      <c r="BJ422" s="494" t="str">
        <f>+BJ$5</f>
        <v>3Q10</v>
      </c>
      <c r="BK422" s="496" t="str">
        <f>BK$5</f>
        <v>% Chg</v>
      </c>
      <c r="BL422" s="494" t="str">
        <f>+BL$5</f>
        <v>4Q10</v>
      </c>
      <c r="BM422" s="496" t="str">
        <f>BM$5</f>
        <v>% Chg</v>
      </c>
      <c r="BN422" s="494" t="str">
        <f>+BN$5</f>
        <v>1Q11</v>
      </c>
      <c r="BO422" s="496" t="str">
        <f>BO$5</f>
        <v>% Chg</v>
      </c>
      <c r="BP422" s="494" t="str">
        <f>+BP$5</f>
        <v>2Q11</v>
      </c>
      <c r="BQ422" s="496" t="str">
        <f>BQ$5</f>
        <v>% Chg</v>
      </c>
      <c r="BR422" s="494" t="str">
        <f>+BR$5</f>
        <v>3Q11</v>
      </c>
      <c r="BS422" s="496" t="str">
        <f>BS$5</f>
        <v>% Chg</v>
      </c>
      <c r="BT422" s="494" t="str">
        <f>+BT$5</f>
        <v>4Q11</v>
      </c>
      <c r="BU422" s="496" t="str">
        <f>BU$5</f>
        <v>% Chg</v>
      </c>
      <c r="BV422" s="494" t="str">
        <f>+BV$5</f>
        <v>1Q12</v>
      </c>
      <c r="BW422" s="496" t="str">
        <f>BW$5</f>
        <v>% Chg</v>
      </c>
      <c r="BX422" s="494" t="str">
        <f>+BX$5</f>
        <v>2Q12</v>
      </c>
      <c r="BY422" s="496" t="str">
        <f>BY$5</f>
        <v>% Chg</v>
      </c>
      <c r="BZ422" s="494" t="str">
        <f>+BZ$5</f>
        <v>3Q12</v>
      </c>
      <c r="CA422" s="496" t="str">
        <f>CA$5</f>
        <v>% Chg</v>
      </c>
      <c r="CB422" s="494" t="str">
        <f>+CB$5</f>
        <v>4Q12</v>
      </c>
      <c r="CC422" s="496" t="str">
        <f>CC$5</f>
        <v>% Chg</v>
      </c>
      <c r="CD422" s="494" t="str">
        <f>+CD$5</f>
        <v>1Q13</v>
      </c>
      <c r="CE422" s="496" t="str">
        <f>CE$5</f>
        <v>% Chg</v>
      </c>
      <c r="CF422" s="494" t="str">
        <f>+CF$5</f>
        <v>2Q13</v>
      </c>
      <c r="CG422" s="496" t="str">
        <f>CG$5</f>
        <v>% Chg</v>
      </c>
      <c r="CH422" s="494" t="str">
        <f>+CH$5</f>
        <v>3Q13</v>
      </c>
      <c r="CI422" s="496" t="str">
        <f>CI$5</f>
        <v>% Chg</v>
      </c>
      <c r="CJ422" s="494" t="str">
        <f>+CJ$5</f>
        <v>4Q13</v>
      </c>
      <c r="CK422" s="496" t="str">
        <f>CK$5</f>
        <v>% Chg</v>
      </c>
      <c r="CL422" s="494" t="str">
        <f>+CL$5</f>
        <v>1Q14</v>
      </c>
      <c r="CM422" s="496" t="str">
        <f>CM$5</f>
        <v>% Chg</v>
      </c>
      <c r="CN422" s="494" t="str">
        <f>+CN$5</f>
        <v>2Q14</v>
      </c>
      <c r="CO422" s="496" t="str">
        <f>CO$5</f>
        <v>% Chg</v>
      </c>
      <c r="CP422" s="494" t="str">
        <f>+CP$5</f>
        <v>3Q14</v>
      </c>
      <c r="CQ422" s="496" t="str">
        <f>CQ$5</f>
        <v>% Chg</v>
      </c>
      <c r="CR422" s="494" t="str">
        <f>+CR$5</f>
        <v>4Q14</v>
      </c>
      <c r="CS422" s="496" t="str">
        <f>CS$5</f>
        <v>% Chg</v>
      </c>
      <c r="CT422" s="494" t="str">
        <f>+CT$5</f>
        <v>1Q15</v>
      </c>
      <c r="CU422" s="496" t="str">
        <f>CU$5</f>
        <v>% Chg</v>
      </c>
      <c r="CV422" s="494" t="str">
        <f>+CV$5</f>
        <v>2Q15</v>
      </c>
      <c r="CW422" s="496" t="str">
        <f>CW$5</f>
        <v>% Chg</v>
      </c>
      <c r="CX422" s="494" t="str">
        <f>+CX$5</f>
        <v>3Q15</v>
      </c>
      <c r="CY422" s="496" t="str">
        <f>CY$5</f>
        <v>% Chg</v>
      </c>
      <c r="CZ422" s="494" t="str">
        <f>+CZ$5</f>
        <v>4Q15</v>
      </c>
      <c r="DA422" s="496" t="str">
        <f>DA$5</f>
        <v>% Chg</v>
      </c>
      <c r="DB422" s="494" t="str">
        <f>+DB$5</f>
        <v>1Q16</v>
      </c>
      <c r="DC422" s="496" t="str">
        <f>DC$5</f>
        <v>% Chg</v>
      </c>
      <c r="DD422" s="494" t="str">
        <f>+DD$5</f>
        <v>2Q16</v>
      </c>
      <c r="DE422" s="496" t="str">
        <f>DE$5</f>
        <v>% Chg</v>
      </c>
      <c r="DF422" s="494" t="str">
        <f>+DF$5</f>
        <v>3Q16</v>
      </c>
      <c r="DG422" s="496" t="str">
        <f>DG$5</f>
        <v>% Chg</v>
      </c>
      <c r="DH422" s="494" t="str">
        <f>+DH$5</f>
        <v>4Q16</v>
      </c>
      <c r="DI422" s="496" t="str">
        <f>DI$5</f>
        <v>% Chg</v>
      </c>
      <c r="DJ422" s="494" t="str">
        <f>+DJ$5</f>
        <v>1Q17</v>
      </c>
      <c r="DK422" s="496" t="str">
        <f>DK$5</f>
        <v>% Chg</v>
      </c>
      <c r="DL422" s="494" t="str">
        <f>+DL$5</f>
        <v>2Q17</v>
      </c>
      <c r="DM422" s="496" t="str">
        <f>DM$5</f>
        <v>% Chg</v>
      </c>
      <c r="DN422" s="494" t="str">
        <f>+DN$5</f>
        <v>3Q17</v>
      </c>
      <c r="DO422" s="496" t="str">
        <f>DO$5</f>
        <v>% Chg</v>
      </c>
      <c r="DP422" s="494" t="str">
        <f>+DP$5</f>
        <v>4Q17</v>
      </c>
      <c r="DQ422" s="496" t="str">
        <f>DQ$5</f>
        <v>% Chg</v>
      </c>
      <c r="DR422" s="494" t="str">
        <f>+DR$5</f>
        <v>1Q18E</v>
      </c>
      <c r="DS422" s="496" t="str">
        <f>DS$5</f>
        <v>% Chg</v>
      </c>
      <c r="DT422" s="494" t="str">
        <f>+DT$5</f>
        <v>2Q18E</v>
      </c>
      <c r="DU422" s="496" t="str">
        <f>DU$5</f>
        <v>% Chg</v>
      </c>
      <c r="DV422" s="494" t="str">
        <f>+DV$5</f>
        <v>3Q18E</v>
      </c>
      <c r="DW422" s="496" t="str">
        <f>DW$5</f>
        <v>% Chg</v>
      </c>
      <c r="DX422" s="494" t="str">
        <f>+DX$5</f>
        <v>4Q18E</v>
      </c>
      <c r="DY422" s="496" t="str">
        <f>DY$5</f>
        <v>% Chg</v>
      </c>
      <c r="DZ422" s="494"/>
      <c r="EA422" s="496"/>
      <c r="EB422" s="495" t="str">
        <f>EB$5</f>
        <v>% Chg</v>
      </c>
      <c r="EC422" s="494" t="str">
        <f t="shared" ref="EC422:FQ422" si="28">+EC$5</f>
        <v>2002</v>
      </c>
      <c r="ED422" s="495" t="str">
        <f>ED$5</f>
        <v>% Chg</v>
      </c>
      <c r="EE422" s="494" t="str">
        <f t="shared" si="28"/>
        <v>2003</v>
      </c>
      <c r="EF422" s="495" t="str">
        <f>EF$5</f>
        <v>% Chg</v>
      </c>
      <c r="EG422" s="494">
        <f t="shared" si="28"/>
        <v>2004</v>
      </c>
      <c r="EH422" s="495" t="str">
        <f>EH$5</f>
        <v>% Chg</v>
      </c>
      <c r="EI422" s="494" t="str">
        <f t="shared" si="28"/>
        <v>2005</v>
      </c>
      <c r="EJ422" s="496" t="str">
        <f>EJ$5</f>
        <v>% Chg</v>
      </c>
      <c r="EK422" s="494" t="str">
        <f t="shared" si="28"/>
        <v>2006</v>
      </c>
      <c r="EL422" s="496" t="str">
        <f>EL$5</f>
        <v>% Chg</v>
      </c>
      <c r="EM422" s="494">
        <f t="shared" si="28"/>
        <v>2007</v>
      </c>
      <c r="EN422" s="496" t="str">
        <f>EN$5</f>
        <v>% Chg</v>
      </c>
      <c r="EO422" s="494" t="str">
        <f t="shared" si="28"/>
        <v>2008</v>
      </c>
      <c r="EP422" s="496" t="str">
        <f>EP$5</f>
        <v>% Chg</v>
      </c>
      <c r="EQ422" s="494" t="str">
        <f t="shared" si="28"/>
        <v>2009</v>
      </c>
      <c r="ER422" s="496" t="str">
        <f>ER$5</f>
        <v>% Chg</v>
      </c>
      <c r="ES422" s="494" t="str">
        <f t="shared" si="28"/>
        <v>2010</v>
      </c>
      <c r="ET422" s="496" t="str">
        <f>ET$5</f>
        <v>% Chg</v>
      </c>
      <c r="EU422" s="494" t="str">
        <f t="shared" si="28"/>
        <v>2011</v>
      </c>
      <c r="EV422" s="496" t="str">
        <f>EV$5</f>
        <v>% Chg</v>
      </c>
      <c r="EW422" s="494" t="str">
        <f t="shared" si="28"/>
        <v>2012</v>
      </c>
      <c r="EX422" s="496" t="str">
        <f>EX$5</f>
        <v>% Chg</v>
      </c>
      <c r="EY422" s="494" t="str">
        <f t="shared" si="28"/>
        <v>2013</v>
      </c>
      <c r="EZ422" s="496" t="str">
        <f>EZ$5</f>
        <v>% Chg</v>
      </c>
      <c r="FA422" s="494">
        <f t="shared" si="28"/>
        <v>2014</v>
      </c>
      <c r="FB422" s="496" t="str">
        <f>FB$5</f>
        <v>% Chg</v>
      </c>
      <c r="FC422" s="494" t="str">
        <f t="shared" si="28"/>
        <v>2015</v>
      </c>
      <c r="FD422" s="496" t="str">
        <f>FD$5</f>
        <v>% Chg</v>
      </c>
      <c r="FE422" s="494">
        <f t="shared" si="28"/>
        <v>2016</v>
      </c>
      <c r="FF422" s="496" t="str">
        <f>FF$5</f>
        <v>% Chg</v>
      </c>
      <c r="FG422" s="494">
        <f t="shared" si="28"/>
        <v>2017</v>
      </c>
      <c r="FH422" s="496" t="str">
        <f>FH$5</f>
        <v>% Chg</v>
      </c>
      <c r="FI422" s="494" t="str">
        <f t="shared" si="28"/>
        <v>2018E</v>
      </c>
      <c r="FJ422" s="496" t="str">
        <f>FJ$5</f>
        <v>% Chg</v>
      </c>
      <c r="FK422" s="494" t="str">
        <f t="shared" si="28"/>
        <v>2019E</v>
      </c>
      <c r="FL422" s="496" t="str">
        <f>FL$5</f>
        <v>% Chg</v>
      </c>
      <c r="FM422" s="494" t="str">
        <f t="shared" si="28"/>
        <v>2020E</v>
      </c>
      <c r="FN422" s="496" t="str">
        <f>FN$5</f>
        <v>% Chg</v>
      </c>
      <c r="FO422" s="494" t="str">
        <f t="shared" si="28"/>
        <v>2021E</v>
      </c>
      <c r="FP422" s="496" t="str">
        <f>FP$5</f>
        <v>% Chg</v>
      </c>
      <c r="FQ422" s="494" t="str">
        <f t="shared" si="28"/>
        <v>2022E</v>
      </c>
      <c r="FR422" s="496" t="str">
        <f>FR$5</f>
        <v>% Chg</v>
      </c>
      <c r="FS422" s="496" t="str">
        <f>FS$5</f>
        <v>(%)</v>
      </c>
      <c r="FT422" s="349"/>
    </row>
    <row r="423" spans="1:176" ht="12.75" hidden="1" customHeight="1" outlineLevel="1" x14ac:dyDescent="0.2">
      <c r="A423" s="70"/>
      <c r="B423" s="497"/>
      <c r="C423" s="155"/>
      <c r="D423" s="497"/>
      <c r="E423" s="155"/>
      <c r="F423" s="497"/>
      <c r="G423" s="155"/>
      <c r="H423" s="497"/>
      <c r="I423" s="155"/>
      <c r="J423" s="497"/>
      <c r="K423" s="155"/>
      <c r="L423" s="497"/>
      <c r="M423" s="155"/>
      <c r="N423" s="497"/>
      <c r="O423" s="155"/>
      <c r="P423" s="497"/>
      <c r="Q423" s="155"/>
      <c r="R423" s="497"/>
      <c r="S423" s="155"/>
      <c r="T423" s="497"/>
      <c r="U423" s="155"/>
      <c r="V423" s="497"/>
      <c r="W423" s="155"/>
      <c r="X423" s="497"/>
      <c r="Y423" s="155"/>
      <c r="Z423" s="497"/>
      <c r="AA423" s="155"/>
      <c r="AB423" s="497"/>
      <c r="AC423" s="155"/>
      <c r="AD423" s="497"/>
      <c r="AE423" s="155"/>
      <c r="AF423" s="497"/>
      <c r="AG423" s="155"/>
      <c r="AH423" s="497"/>
      <c r="AI423" s="240"/>
      <c r="AJ423" s="497"/>
      <c r="AK423" s="240"/>
      <c r="AL423" s="497"/>
      <c r="AM423" s="240"/>
      <c r="AN423" s="497"/>
      <c r="AO423" s="240"/>
      <c r="AP423" s="497"/>
      <c r="AQ423" s="240"/>
      <c r="AR423" s="497"/>
      <c r="AS423" s="240"/>
      <c r="AT423" s="497"/>
      <c r="AU423" s="240"/>
      <c r="AV423" s="497"/>
      <c r="AW423" s="240"/>
      <c r="AX423" s="497"/>
      <c r="AY423" s="240"/>
      <c r="AZ423" s="497"/>
      <c r="BA423" s="240"/>
      <c r="BB423" s="497"/>
      <c r="BC423" s="240"/>
      <c r="BD423" s="497"/>
      <c r="BE423" s="240"/>
      <c r="BF423" s="497"/>
      <c r="BG423" s="240"/>
      <c r="BH423" s="497"/>
      <c r="BI423" s="240"/>
      <c r="BJ423" s="497"/>
      <c r="BK423" s="240"/>
      <c r="BL423" s="497"/>
      <c r="BM423" s="240"/>
      <c r="BN423" s="497"/>
      <c r="BO423" s="240"/>
      <c r="BP423" s="497"/>
      <c r="BQ423" s="240"/>
      <c r="BR423" s="497"/>
      <c r="BS423" s="240"/>
      <c r="BT423" s="497"/>
      <c r="BU423" s="240"/>
      <c r="BV423" s="497"/>
      <c r="BW423" s="240"/>
      <c r="BX423" s="497"/>
      <c r="BY423" s="240"/>
      <c r="BZ423" s="497"/>
      <c r="CA423" s="240"/>
      <c r="CB423" s="497"/>
      <c r="CC423" s="240"/>
      <c r="CD423" s="497"/>
      <c r="CE423" s="240"/>
      <c r="CF423" s="497"/>
      <c r="CG423" s="240"/>
      <c r="CH423" s="497"/>
      <c r="CI423" s="240"/>
      <c r="CJ423" s="497"/>
      <c r="CK423" s="240"/>
      <c r="CL423" s="497"/>
      <c r="CM423" s="240"/>
      <c r="CN423" s="497"/>
      <c r="CO423" s="240"/>
      <c r="CP423" s="497"/>
      <c r="CQ423" s="240"/>
      <c r="CR423" s="497"/>
      <c r="CS423" s="240"/>
      <c r="CT423" s="497"/>
      <c r="CU423" s="240"/>
      <c r="CV423" s="497"/>
      <c r="CW423" s="240"/>
      <c r="CX423" s="497"/>
      <c r="CY423" s="240"/>
      <c r="CZ423" s="497"/>
      <c r="DA423" s="240"/>
      <c r="DB423" s="497"/>
      <c r="DC423" s="240"/>
      <c r="DD423" s="497"/>
      <c r="DE423" s="240"/>
      <c r="DF423" s="497"/>
      <c r="DG423" s="240"/>
      <c r="DH423" s="497"/>
      <c r="DI423" s="240"/>
      <c r="DJ423" s="497"/>
      <c r="DK423" s="240"/>
      <c r="DL423" s="497"/>
      <c r="DM423" s="240"/>
      <c r="DN423" s="497"/>
      <c r="DO423" s="240"/>
      <c r="DP423" s="497"/>
      <c r="DQ423" s="240"/>
      <c r="DR423" s="497"/>
      <c r="DS423" s="240"/>
      <c r="DT423" s="497"/>
      <c r="DU423" s="240"/>
      <c r="DV423" s="497"/>
      <c r="DW423" s="240"/>
      <c r="DX423" s="497"/>
      <c r="DY423" s="240"/>
      <c r="DZ423" s="497"/>
      <c r="EA423" s="240"/>
      <c r="EB423" s="155"/>
      <c r="EC423" s="497"/>
      <c r="ED423" s="155"/>
      <c r="EE423" s="497"/>
      <c r="EF423" s="155"/>
      <c r="EG423" s="497"/>
      <c r="EH423" s="155"/>
      <c r="EI423" s="497"/>
      <c r="EJ423" s="240"/>
      <c r="EK423" s="497"/>
      <c r="EL423" s="240"/>
      <c r="EM423" s="497"/>
      <c r="EN423" s="240"/>
      <c r="EO423" s="497"/>
      <c r="EP423" s="240"/>
      <c r="EQ423" s="497"/>
      <c r="ER423" s="240"/>
      <c r="ES423" s="497"/>
      <c r="ET423" s="240"/>
      <c r="EU423" s="497"/>
      <c r="EV423" s="240"/>
      <c r="EW423" s="497"/>
      <c r="EX423" s="240"/>
      <c r="EY423" s="497"/>
      <c r="EZ423" s="240"/>
      <c r="FA423" s="497"/>
      <c r="FB423" s="240"/>
      <c r="FC423" s="497"/>
      <c r="FD423" s="240"/>
      <c r="FE423" s="497"/>
      <c r="FF423" s="240"/>
      <c r="FG423" s="497"/>
      <c r="FH423" s="240"/>
      <c r="FI423" s="497"/>
      <c r="FJ423" s="240"/>
      <c r="FK423" s="497"/>
      <c r="FL423" s="240"/>
      <c r="FM423" s="497"/>
      <c r="FN423" s="240"/>
      <c r="FO423" s="497"/>
      <c r="FP423" s="240"/>
      <c r="FQ423" s="497"/>
      <c r="FR423" s="240"/>
      <c r="FS423" s="240"/>
    </row>
    <row r="424" spans="1:176" ht="12.75" hidden="1" customHeight="1" outlineLevel="1" x14ac:dyDescent="0.2">
      <c r="A424" s="70" t="s">
        <v>128</v>
      </c>
      <c r="B424" s="75"/>
      <c r="C424" s="155"/>
      <c r="D424" s="75"/>
      <c r="E424" s="155"/>
      <c r="F424" s="75"/>
      <c r="G424" s="155"/>
      <c r="H424" s="75"/>
      <c r="I424" s="155"/>
      <c r="J424" s="75"/>
      <c r="K424" s="155"/>
      <c r="L424" s="75"/>
      <c r="M424" s="155"/>
      <c r="N424" s="75"/>
      <c r="O424" s="155"/>
      <c r="P424" s="75"/>
      <c r="Q424" s="155"/>
      <c r="R424" s="75"/>
      <c r="S424" s="155"/>
      <c r="T424" s="75"/>
      <c r="U424" s="155"/>
      <c r="V424" s="75"/>
      <c r="W424" s="155"/>
      <c r="X424" s="75"/>
      <c r="Y424" s="155"/>
      <c r="Z424" s="75"/>
      <c r="AA424" s="155"/>
      <c r="AB424" s="75"/>
      <c r="AC424" s="155"/>
      <c r="AD424" s="75"/>
      <c r="AE424" s="155"/>
      <c r="AF424" s="75"/>
      <c r="AG424" s="155"/>
      <c r="AH424" s="75"/>
      <c r="AI424" s="240"/>
      <c r="AJ424" s="75"/>
      <c r="AK424" s="240"/>
      <c r="AL424" s="75"/>
      <c r="AM424" s="240"/>
      <c r="AN424" s="75"/>
      <c r="AO424" s="240"/>
      <c r="AP424" s="75"/>
      <c r="AQ424" s="240"/>
      <c r="AR424" s="75"/>
      <c r="AS424" s="240"/>
      <c r="AT424" s="75"/>
      <c r="AU424" s="240"/>
      <c r="AV424" s="75"/>
      <c r="AW424" s="240"/>
      <c r="AX424" s="75"/>
      <c r="AY424" s="240"/>
      <c r="AZ424" s="75"/>
      <c r="BA424" s="240"/>
      <c r="BB424" s="75"/>
      <c r="BC424" s="240"/>
      <c r="BD424" s="75"/>
      <c r="BE424" s="240"/>
      <c r="BF424" s="75"/>
      <c r="BG424" s="240"/>
      <c r="BH424" s="75"/>
      <c r="BI424" s="240"/>
      <c r="BJ424" s="75"/>
      <c r="BK424" s="240"/>
      <c r="BL424" s="75"/>
      <c r="BM424" s="240"/>
      <c r="BN424" s="75"/>
      <c r="BO424" s="240"/>
      <c r="BP424" s="75"/>
      <c r="BQ424" s="240"/>
      <c r="BR424" s="75"/>
      <c r="BS424" s="240"/>
      <c r="BT424" s="75"/>
      <c r="BU424" s="240"/>
      <c r="BV424" s="75"/>
      <c r="BW424" s="240"/>
      <c r="BX424" s="75"/>
      <c r="BY424" s="240"/>
      <c r="BZ424" s="75"/>
      <c r="CA424" s="240"/>
      <c r="CB424" s="75"/>
      <c r="CC424" s="240"/>
      <c r="CD424" s="75"/>
      <c r="CE424" s="240"/>
      <c r="CF424" s="75"/>
      <c r="CG424" s="240"/>
      <c r="CH424" s="75"/>
      <c r="CI424" s="240"/>
      <c r="CJ424" s="75"/>
      <c r="CK424" s="240"/>
      <c r="CL424" s="75"/>
      <c r="CM424" s="240"/>
      <c r="CN424" s="75"/>
      <c r="CO424" s="240"/>
      <c r="CP424" s="75"/>
      <c r="CQ424" s="240"/>
      <c r="CR424" s="75"/>
      <c r="CS424" s="240"/>
      <c r="CT424" s="75"/>
      <c r="CU424" s="240"/>
      <c r="CV424" s="75"/>
      <c r="CW424" s="240"/>
      <c r="CX424" s="75"/>
      <c r="CY424" s="240"/>
      <c r="CZ424" s="75"/>
      <c r="DA424" s="240"/>
      <c r="DB424" s="75"/>
      <c r="DC424" s="240"/>
      <c r="DD424" s="75"/>
      <c r="DE424" s="240"/>
      <c r="DF424" s="75"/>
      <c r="DG424" s="240"/>
      <c r="DH424" s="75"/>
      <c r="DI424" s="240"/>
      <c r="DJ424" s="75"/>
      <c r="DK424" s="240"/>
      <c r="DL424" s="75"/>
      <c r="DM424" s="240"/>
      <c r="DN424" s="75"/>
      <c r="DO424" s="240"/>
      <c r="DP424" s="75"/>
      <c r="DQ424" s="240"/>
      <c r="DR424" s="75"/>
      <c r="DS424" s="240"/>
      <c r="DT424" s="75"/>
      <c r="DU424" s="240"/>
      <c r="DV424" s="75"/>
      <c r="DW424" s="240"/>
      <c r="DX424" s="75"/>
      <c r="DY424" s="240"/>
      <c r="DZ424" s="75"/>
      <c r="EA424" s="240"/>
      <c r="EB424" s="155"/>
      <c r="EC424" s="75"/>
      <c r="ED424" s="155"/>
      <c r="EE424" s="75"/>
      <c r="EF424" s="155"/>
      <c r="EG424" s="75"/>
      <c r="EH424" s="155"/>
      <c r="EI424" s="75"/>
      <c r="EJ424" s="240"/>
      <c r="EK424" s="75"/>
      <c r="EL424" s="240"/>
      <c r="EM424" s="75"/>
      <c r="EN424" s="240"/>
      <c r="EO424" s="75"/>
      <c r="EP424" s="240"/>
      <c r="EQ424" s="75"/>
      <c r="ER424" s="240"/>
      <c r="ES424" s="75"/>
      <c r="ET424" s="240"/>
      <c r="EU424" s="75"/>
      <c r="EV424" s="240"/>
      <c r="EW424" s="75"/>
      <c r="EX424" s="240"/>
      <c r="EY424" s="75"/>
      <c r="EZ424" s="240"/>
      <c r="FA424" s="75"/>
      <c r="FB424" s="240"/>
      <c r="FC424" s="75"/>
      <c r="FD424" s="240"/>
      <c r="FE424" s="75"/>
      <c r="FF424" s="240"/>
      <c r="FG424" s="75"/>
      <c r="FH424" s="240"/>
      <c r="FI424" s="75"/>
      <c r="FJ424" s="240"/>
      <c r="FK424" s="75"/>
      <c r="FL424" s="240"/>
      <c r="FM424" s="75"/>
      <c r="FN424" s="240"/>
      <c r="FO424" s="75"/>
      <c r="FP424" s="240"/>
      <c r="FQ424" s="75"/>
      <c r="FR424" s="240"/>
      <c r="FS424" s="240"/>
    </row>
    <row r="425" spans="1:176" ht="12.75" hidden="1" customHeight="1" outlineLevel="1" x14ac:dyDescent="0.2">
      <c r="A425" s="77" t="str">
        <f>INPUT!B227</f>
        <v>Premiums</v>
      </c>
      <c r="B425" s="75">
        <f>INPUT!AA227</f>
        <v>753</v>
      </c>
      <c r="C425" s="155">
        <f>INPUT!AB227</f>
        <v>8.5014409221902127</v>
      </c>
      <c r="D425" s="75">
        <f>INPUT!AC227</f>
        <v>741</v>
      </c>
      <c r="E425" s="155">
        <f>INPUT!AD227</f>
        <v>5.255681818181813</v>
      </c>
      <c r="F425" s="75">
        <f>INPUT!AE227</f>
        <v>719</v>
      </c>
      <c r="G425" s="155">
        <f>INPUT!AF227</f>
        <v>5.8910162002945583</v>
      </c>
      <c r="H425" s="75">
        <f>INPUT!AG227</f>
        <v>699</v>
      </c>
      <c r="I425" s="155">
        <f>INPUT!AH227</f>
        <v>-2.7816411682892976</v>
      </c>
      <c r="J425" s="75">
        <f>INPUT!AI227</f>
        <v>754</v>
      </c>
      <c r="K425" s="155">
        <f>INPUT!AJ227</f>
        <v>0.13280212483400078</v>
      </c>
      <c r="L425" s="75">
        <f>INPUT!AK227</f>
        <v>730</v>
      </c>
      <c r="M425" s="155">
        <f>INPUT!AL227</f>
        <v>-1.4844804318488514</v>
      </c>
      <c r="N425" s="75">
        <f>INPUT!AM227</f>
        <v>741</v>
      </c>
      <c r="O425" s="155">
        <f>INPUT!AN227</f>
        <v>3.059805285118216</v>
      </c>
      <c r="P425" s="75">
        <f>INPUT!AO227</f>
        <v>725</v>
      </c>
      <c r="Q425" s="155">
        <f>INPUT!AP227</f>
        <v>3.7195994277539342</v>
      </c>
      <c r="R425" s="75">
        <f>INPUT!AQ227</f>
        <v>818</v>
      </c>
      <c r="S425" s="155">
        <f>INPUT!AR227</f>
        <v>8.4880636604774509</v>
      </c>
      <c r="T425" s="75">
        <f>INPUT!AS227</f>
        <v>833</v>
      </c>
      <c r="U425" s="155">
        <f>INPUT!AT227</f>
        <v>14.109589041095887</v>
      </c>
      <c r="V425" s="75">
        <f>INPUT!AU227</f>
        <v>802</v>
      </c>
      <c r="W425" s="155">
        <f>INPUT!AV227</f>
        <v>8.2321187584345523</v>
      </c>
      <c r="X425" s="75">
        <f>INPUT!AW227</f>
        <v>817</v>
      </c>
      <c r="Y425" s="155">
        <f>INPUT!AX227</f>
        <v>12.689655172413779</v>
      </c>
      <c r="Z425" s="75">
        <f>INPUT!AY227</f>
        <v>867</v>
      </c>
      <c r="AA425" s="155">
        <f>INPUT!AZ227</f>
        <v>5.9902200488997579</v>
      </c>
      <c r="AB425" s="75">
        <f>INPUT!BA227</f>
        <v>886</v>
      </c>
      <c r="AC425" s="155">
        <f>INPUT!BB227</f>
        <v>6.3625450180071965</v>
      </c>
      <c r="AD425" s="75">
        <f>INPUT!BC227</f>
        <v>892</v>
      </c>
      <c r="AE425" s="155">
        <f>INPUT!BD227</f>
        <v>11.221945137157107</v>
      </c>
      <c r="AF425" s="75">
        <f>INPUT!BE227</f>
        <v>911</v>
      </c>
      <c r="AG425" s="155">
        <f>INPUT!BF227</f>
        <v>11.505507955936338</v>
      </c>
      <c r="AH425" s="75">
        <f>INPUT!BG227</f>
        <v>926</v>
      </c>
      <c r="AI425" s="240">
        <f>INPUT!BH227</f>
        <v>6.8050749711649416</v>
      </c>
      <c r="AJ425" s="75">
        <f>INPUT!BI227</f>
        <v>938</v>
      </c>
      <c r="AK425" s="240">
        <f>INPUT!BJ227</f>
        <v>5.8690744920993296</v>
      </c>
      <c r="AL425" s="75">
        <f>INPUT!BK227</f>
        <v>923</v>
      </c>
      <c r="AM425" s="240">
        <f>INPUT!BL227</f>
        <v>3.4753363228699641</v>
      </c>
      <c r="AN425" s="75">
        <f>INPUT!BM227</f>
        <v>892</v>
      </c>
      <c r="AO425" s="240">
        <f>INPUT!BN227</f>
        <v>-2.0856201975850723</v>
      </c>
      <c r="AP425" s="75">
        <f>INPUT!BO227</f>
        <v>967</v>
      </c>
      <c r="AQ425" s="240">
        <f>INPUT!BP227</f>
        <v>4.427645788336946</v>
      </c>
      <c r="AR425" s="75">
        <f>INPUT!BQ227</f>
        <v>928</v>
      </c>
      <c r="AS425" s="240">
        <f>INPUT!BR227</f>
        <v>-1.0660980810234548</v>
      </c>
      <c r="AT425" s="75">
        <f>INPUT!BS227</f>
        <v>944</v>
      </c>
      <c r="AU425" s="240">
        <f>INPUT!BT227</f>
        <v>2.2751895991332702</v>
      </c>
      <c r="AV425" s="75">
        <f>INPUT!BU227</f>
        <v>929</v>
      </c>
      <c r="AW425" s="240">
        <f>INPUT!BV227</f>
        <v>4.1479820627802582</v>
      </c>
      <c r="AX425" s="75">
        <f>INPUT!BW227</f>
        <v>1030</v>
      </c>
      <c r="AY425" s="240">
        <f>INPUT!BX227</f>
        <v>6.5149948293691864</v>
      </c>
      <c r="AZ425" s="75">
        <f>INPUT!BY227</f>
        <v>986</v>
      </c>
      <c r="BA425" s="240">
        <f>INPUT!BZ227</f>
        <v>6.25</v>
      </c>
      <c r="BB425" s="75">
        <f>INPUT!CA227</f>
        <v>1048</v>
      </c>
      <c r="BC425" s="240">
        <f>INPUT!CB227</f>
        <v>11.016949152542367</v>
      </c>
      <c r="BD425" s="75">
        <f>INPUT!CC227</f>
        <v>987</v>
      </c>
      <c r="BE425" s="240">
        <f>INPUT!CD227</f>
        <v>6.2432723358449778</v>
      </c>
      <c r="BF425" s="75">
        <f>INPUT!CE227</f>
        <v>996</v>
      </c>
      <c r="BG425" s="240">
        <f>INPUT!CF227</f>
        <v>-3.3009708737864116</v>
      </c>
      <c r="BH425" s="75">
        <f>INPUT!CG227</f>
        <v>1013</v>
      </c>
      <c r="BI425" s="240">
        <f>INPUT!CH227</f>
        <v>2.7383367139959489</v>
      </c>
      <c r="BJ425" s="75">
        <f>INPUT!CI227</f>
        <v>1139</v>
      </c>
      <c r="BK425" s="240">
        <f>INPUT!CJ227</f>
        <v>8.6832061068702302</v>
      </c>
      <c r="BL425" s="75">
        <f>INPUT!CK227</f>
        <v>1059</v>
      </c>
      <c r="BM425" s="240">
        <f>INPUT!CL227</f>
        <v>7.2948328267477223</v>
      </c>
      <c r="BN425" s="75">
        <f>INPUT!CM227</f>
        <v>1188</v>
      </c>
      <c r="BO425" s="240">
        <f>INPUT!CN227</f>
        <v>19.277108433734938</v>
      </c>
      <c r="BP425" s="75">
        <f>INPUT!CO227</f>
        <v>1178</v>
      </c>
      <c r="BQ425" s="240">
        <f>INPUT!CP227</f>
        <v>16.28825271470879</v>
      </c>
      <c r="BR425" s="75">
        <f>INPUT!CQ227</f>
        <v>1119</v>
      </c>
      <c r="BS425" s="240">
        <f>INPUT!CR227</f>
        <v>-1.7559262510974492</v>
      </c>
      <c r="BT425" s="75">
        <f>INPUT!CS227</f>
        <v>1097</v>
      </c>
      <c r="BU425" s="240">
        <f>INPUT!CT227</f>
        <v>3.5882908404154819</v>
      </c>
      <c r="BV425" s="75">
        <f>INPUT!CU227</f>
        <v>1094</v>
      </c>
      <c r="BW425" s="240">
        <f>INPUT!CV227</f>
        <v>-7.91245791245791</v>
      </c>
      <c r="BX425" s="75">
        <f>INPUT!CW227</f>
        <v>1107</v>
      </c>
      <c r="BY425" s="240">
        <f>INPUT!CX227</f>
        <v>-6.0271646859083177</v>
      </c>
      <c r="BZ425" s="75">
        <f>INPUT!CY227</f>
        <v>1111</v>
      </c>
      <c r="CA425" s="240">
        <f>INPUT!CZ227</f>
        <v>-0.71492403932082027</v>
      </c>
      <c r="CB425" s="75">
        <f>INPUT!DA227</f>
        <v>1091</v>
      </c>
      <c r="CC425" s="240">
        <f>INPUT!DB227</f>
        <v>-0.54694621695533385</v>
      </c>
      <c r="CD425" s="75">
        <f>INPUT!DC227</f>
        <v>1086</v>
      </c>
      <c r="CE425" s="240">
        <f>INPUT!DD227</f>
        <v>-0.73126142595978649</v>
      </c>
      <c r="CF425" s="75">
        <f>INPUT!DE227</f>
        <v>1090</v>
      </c>
      <c r="CG425" s="240">
        <f>INPUT!DF227</f>
        <v>-1.5356820234869133</v>
      </c>
      <c r="CH425" s="75">
        <f>INPUT!DG227</f>
        <v>1058</v>
      </c>
      <c r="CI425" s="240">
        <f>INPUT!DH227</f>
        <v>-4.7704770477047731</v>
      </c>
      <c r="CJ425" s="75">
        <f>INPUT!DI227</f>
        <v>1054</v>
      </c>
      <c r="CK425" s="240">
        <f>INPUT!DJ227</f>
        <v>-3.3913840513290552</v>
      </c>
      <c r="CL425" s="75">
        <f>INPUT!DK227</f>
        <v>1026</v>
      </c>
      <c r="CM425" s="240">
        <f>INPUT!DL227</f>
        <v>-5.5248618784530379</v>
      </c>
      <c r="CN425" s="75">
        <f>INPUT!DM227</f>
        <v>1022</v>
      </c>
      <c r="CO425" s="240">
        <f>INPUT!DN227</f>
        <v>-6.2385321100917395</v>
      </c>
      <c r="CP425" s="75">
        <f>INPUT!DO227</f>
        <v>1033</v>
      </c>
      <c r="CQ425" s="240">
        <f>INPUT!DP227</f>
        <v>-2.3629489603024609</v>
      </c>
      <c r="CR425" s="75">
        <f>INPUT!DQ227</f>
        <v>978</v>
      </c>
      <c r="CS425" s="240">
        <f>INPUT!DR227</f>
        <v>-7.2106261859582617</v>
      </c>
      <c r="CT425" s="75">
        <f>INPUT!DS227</f>
        <v>956</v>
      </c>
      <c r="CU425" s="240">
        <f>INPUT!DT227</f>
        <v>-6.8226120857699897</v>
      </c>
      <c r="CV425" s="75">
        <f>INPUT!DU227</f>
        <v>971</v>
      </c>
      <c r="CW425" s="240">
        <f>INPUT!DV227</f>
        <v>-4.9902152641878672</v>
      </c>
      <c r="CX425" s="75">
        <f>INPUT!DW227</f>
        <v>984</v>
      </c>
      <c r="CY425" s="240">
        <f>INPUT!DX227</f>
        <v>-4.7434656340755055</v>
      </c>
      <c r="CZ425" s="75">
        <f>INPUT!DY227</f>
        <v>974</v>
      </c>
      <c r="DA425" s="240">
        <f>INPUT!DZ227</f>
        <v>-0.4089979550102214</v>
      </c>
      <c r="DB425" s="75">
        <f>INPUT!EA227</f>
        <v>1009</v>
      </c>
      <c r="DC425" s="240">
        <f>INPUT!EB227</f>
        <v>5.5439330543933067</v>
      </c>
      <c r="DD425" s="75">
        <f>INPUT!EC227</f>
        <v>1018</v>
      </c>
      <c r="DE425" s="240">
        <f>INPUT!ED227</f>
        <v>4.8403707518022543</v>
      </c>
      <c r="DF425" s="75">
        <f>INPUT!EE227</f>
        <v>994</v>
      </c>
      <c r="DG425" s="240">
        <f>INPUT!EF227</f>
        <v>1.0162601626016396</v>
      </c>
      <c r="DH425" s="75">
        <f>INPUT!EG227</f>
        <v>1013</v>
      </c>
      <c r="DI425" s="240">
        <f>INPUT!EH227</f>
        <v>4.0041067761807057</v>
      </c>
      <c r="DJ425" s="75">
        <f>INPUT!EI227</f>
        <v>1052</v>
      </c>
      <c r="DK425" s="240">
        <f>INPUT!EJ227</f>
        <v>4.2616451932606481</v>
      </c>
      <c r="DL425" s="75">
        <f>INPUT!EK227</f>
        <v>1026</v>
      </c>
      <c r="DM425" s="240">
        <f>INPUT!EL227</f>
        <v>0.78585461689586111</v>
      </c>
      <c r="DN425" s="75">
        <f>INPUT!EM227</f>
        <v>1042</v>
      </c>
      <c r="DO425" s="240">
        <f>INPUT!EN227</f>
        <v>4.828973843058364</v>
      </c>
      <c r="DP425" s="75">
        <f>INPUT!EO227</f>
        <v>1038</v>
      </c>
      <c r="DQ425" s="240">
        <f>INPUT!EP227</f>
        <v>2.4679170779861721</v>
      </c>
      <c r="DR425" s="75">
        <f>INPUT!EQ227</f>
        <v>1048.3800000000001</v>
      </c>
      <c r="DS425" s="240">
        <f>INPUT!ER227</f>
        <v>-0.34410646387831889</v>
      </c>
      <c r="DT425" s="75">
        <f>INPUT!ES227</f>
        <v>1058.8638000000001</v>
      </c>
      <c r="DU425" s="240">
        <f>INPUT!ET227</f>
        <v>3.2030994152046901</v>
      </c>
      <c r="DV425" s="75">
        <f>INPUT!EU227</f>
        <v>1069.452438</v>
      </c>
      <c r="DW425" s="240">
        <f>INPUT!EV227</f>
        <v>2.634590978886763</v>
      </c>
      <c r="DX425" s="75">
        <f>INPUT!EW227</f>
        <v>1080.1469623800001</v>
      </c>
      <c r="DY425" s="240">
        <f>INPUT!EX227</f>
        <v>4.0604009999999988</v>
      </c>
      <c r="DZ425" s="75"/>
      <c r="EA425" s="240"/>
      <c r="EB425" s="155">
        <f>INPUT!FI227</f>
        <v>18.54648419065596</v>
      </c>
      <c r="EC425" s="75">
        <f>INPUT!FJ227</f>
        <v>2796</v>
      </c>
      <c r="ED425" s="155">
        <f>INPUT!FK227</f>
        <v>11.30573248407643</v>
      </c>
      <c r="EE425" s="75">
        <f>INPUT!FL227</f>
        <v>2912</v>
      </c>
      <c r="EF425" s="155">
        <f>INPUT!FM227</f>
        <v>4.1487839771101562</v>
      </c>
      <c r="EG425" s="75">
        <f>INPUT!FN227</f>
        <v>2950</v>
      </c>
      <c r="EH425" s="155">
        <f>INPUT!FO227</f>
        <v>1.3049450549450512</v>
      </c>
      <c r="EI425" s="75">
        <f>INPUT!FP227</f>
        <v>3270</v>
      </c>
      <c r="EJ425" s="240">
        <f>INPUT!FQ227</f>
        <v>10.847457627118644</v>
      </c>
      <c r="EK425" s="75">
        <f>INPUT!FR227</f>
        <v>3556</v>
      </c>
      <c r="EL425" s="240">
        <f>INPUT!FS227</f>
        <v>8.7461773700305798</v>
      </c>
      <c r="EM425" s="75">
        <f>INPUT!FT227</f>
        <v>3679</v>
      </c>
      <c r="EN425" s="240">
        <f>INPUT!FU227</f>
        <v>3.4589426321709738</v>
      </c>
      <c r="EO425" s="75">
        <f>INPUT!FV227</f>
        <v>3768</v>
      </c>
      <c r="EP425" s="240">
        <f>INPUT!FW227</f>
        <v>2.419135634683343</v>
      </c>
      <c r="EQ425" s="75">
        <f>INPUT!FX227</f>
        <v>4051</v>
      </c>
      <c r="ER425" s="240">
        <f>INPUT!FY227</f>
        <v>7.5106157112526404</v>
      </c>
      <c r="ES425" s="75">
        <f>INPUT!FZ227</f>
        <v>4207</v>
      </c>
      <c r="ET425" s="240">
        <f>INPUT!GA227</f>
        <v>3.8509010120957754</v>
      </c>
      <c r="EU425" s="75">
        <f>INPUT!GB227</f>
        <v>4582</v>
      </c>
      <c r="EV425" s="240">
        <f>INPUT!GC227</f>
        <v>8.9137152365105692</v>
      </c>
      <c r="EW425" s="75">
        <f>INPUT!GD227</f>
        <v>4403</v>
      </c>
      <c r="EX425" s="240">
        <f>INPUT!GE227</f>
        <v>-3.9065910082933186</v>
      </c>
      <c r="EY425" s="75">
        <f>INPUT!GF227</f>
        <v>4288</v>
      </c>
      <c r="EZ425" s="240">
        <f>INPUT!GG227</f>
        <v>-2.6118555530320293</v>
      </c>
      <c r="FA425" s="75">
        <f>INPUT!GH227</f>
        <v>4059</v>
      </c>
      <c r="FB425" s="240">
        <f>INPUT!GI227</f>
        <v>-5.3404850746268693</v>
      </c>
      <c r="FC425" s="75">
        <f>INPUT!GJ227</f>
        <v>3885</v>
      </c>
      <c r="FD425" s="240">
        <f>INPUT!GK227</f>
        <v>-4.286770140428672</v>
      </c>
      <c r="FE425" s="75">
        <f>INPUT!GL227</f>
        <v>4034</v>
      </c>
      <c r="FF425" s="240">
        <f>INPUT!GM227</f>
        <v>3.8352638352638309</v>
      </c>
      <c r="FG425" s="75">
        <f>INPUT!GN227</f>
        <v>4158</v>
      </c>
      <c r="FH425" s="240">
        <f>INPUT!GO227</f>
        <v>3.0738720872583087</v>
      </c>
      <c r="FI425" s="75">
        <f>INPUT!GP227</f>
        <v>4256.8432003800008</v>
      </c>
      <c r="FJ425" s="240">
        <f>INPUT!GQ227</f>
        <v>2.3771813463203699</v>
      </c>
      <c r="FK425" s="75">
        <f>INPUT!GR227</f>
        <v>4427.1169283952013</v>
      </c>
      <c r="FL425" s="240">
        <f>INPUT!GS227</f>
        <v>4</v>
      </c>
      <c r="FM425" s="75">
        <f>INPUT!GT227</f>
        <v>4604.2016055310096</v>
      </c>
      <c r="FN425" s="240">
        <f>INPUT!GU227</f>
        <v>4</v>
      </c>
      <c r="FO425" s="75">
        <f>INPUT!GV227</f>
        <v>4788.36966975225</v>
      </c>
      <c r="FP425" s="240">
        <f>INPUT!GW227</f>
        <v>4</v>
      </c>
      <c r="FQ425" s="75">
        <f>INPUT!GX227</f>
        <v>4979.9044565423401</v>
      </c>
      <c r="FR425" s="240">
        <f>INPUT!GY227</f>
        <v>4</v>
      </c>
      <c r="FS425" s="240">
        <f>INPUT!GZ227</f>
        <v>3.6733912929317603</v>
      </c>
    </row>
    <row r="426" spans="1:176" ht="12.75" hidden="1" customHeight="1" outlineLevel="1" x14ac:dyDescent="0.2">
      <c r="A426" s="77" t="str">
        <f>INPUT!B228</f>
        <v>Policy Charges and Fee Income</v>
      </c>
      <c r="B426" s="75">
        <f>INPUT!AA228</f>
        <v>49</v>
      </c>
      <c r="C426" s="155">
        <f>INPUT!AB228</f>
        <v>-5.7692307692307736</v>
      </c>
      <c r="D426" s="75">
        <f>INPUT!AC228</f>
        <v>12</v>
      </c>
      <c r="E426" s="155" t="str">
        <f>INPUT!AD228</f>
        <v>NM</v>
      </c>
      <c r="F426" s="75">
        <f>INPUT!AE228</f>
        <v>17</v>
      </c>
      <c r="G426" s="155" t="str">
        <f>INPUT!AF228</f>
        <v>NM</v>
      </c>
      <c r="H426" s="75">
        <f>INPUT!AG228</f>
        <v>78</v>
      </c>
      <c r="I426" s="155" t="str">
        <f>INPUT!AH228</f>
        <v>NM</v>
      </c>
      <c r="J426" s="75">
        <f>INPUT!AI228</f>
        <v>71</v>
      </c>
      <c r="K426" s="155">
        <f>INPUT!AJ228</f>
        <v>44.897959183673464</v>
      </c>
      <c r="L426" s="75">
        <f>INPUT!AK228</f>
        <v>76</v>
      </c>
      <c r="M426" s="155" t="str">
        <f>INPUT!AL228</f>
        <v>NM</v>
      </c>
      <c r="N426" s="75">
        <f>INPUT!AM228</f>
        <v>94</v>
      </c>
      <c r="O426" s="155" t="str">
        <f>INPUT!AN228</f>
        <v>NM</v>
      </c>
      <c r="P426" s="75">
        <f>INPUT!AO228</f>
        <v>101</v>
      </c>
      <c r="Q426" s="155">
        <f>INPUT!AP228</f>
        <v>29.487179487179503</v>
      </c>
      <c r="R426" s="75">
        <f>INPUT!AQ228</f>
        <v>74</v>
      </c>
      <c r="S426" s="155">
        <f>INPUT!AR228</f>
        <v>4.2253521126760489</v>
      </c>
      <c r="T426" s="75">
        <f>INPUT!AS228</f>
        <v>69</v>
      </c>
      <c r="U426" s="155">
        <f>INPUT!AT228</f>
        <v>-9.2105263157894655</v>
      </c>
      <c r="V426" s="75">
        <f>INPUT!AU228</f>
        <v>76</v>
      </c>
      <c r="W426" s="155">
        <f>INPUT!AV228</f>
        <v>-19.148936170212778</v>
      </c>
      <c r="X426" s="75">
        <f>INPUT!AW228</f>
        <v>72</v>
      </c>
      <c r="Y426" s="155">
        <f>INPUT!AX228</f>
        <v>-28.712871287128721</v>
      </c>
      <c r="Z426" s="75">
        <f>INPUT!AY228</f>
        <v>77</v>
      </c>
      <c r="AA426" s="155">
        <f>INPUT!AZ228</f>
        <v>4.0540540540540633</v>
      </c>
      <c r="AB426" s="75">
        <f>INPUT!BA228</f>
        <v>64</v>
      </c>
      <c r="AC426" s="155">
        <f>INPUT!BB228</f>
        <v>-7.2463768115942031</v>
      </c>
      <c r="AD426" s="75">
        <f>INPUT!BC228</f>
        <v>87</v>
      </c>
      <c r="AE426" s="155">
        <f>INPUT!BD228</f>
        <v>14.473684210526301</v>
      </c>
      <c r="AF426" s="75">
        <f>INPUT!BE228</f>
        <v>79</v>
      </c>
      <c r="AG426" s="155">
        <f>INPUT!BF228</f>
        <v>9.7222222222222285</v>
      </c>
      <c r="AH426" s="75">
        <f>INPUT!BG228</f>
        <v>96</v>
      </c>
      <c r="AI426" s="240">
        <f>INPUT!BH228</f>
        <v>24.675324675324674</v>
      </c>
      <c r="AJ426" s="75">
        <f>INPUT!BI228</f>
        <v>88</v>
      </c>
      <c r="AK426" s="240">
        <f>INPUT!BJ228</f>
        <v>37.5</v>
      </c>
      <c r="AL426" s="75">
        <f>INPUT!BK228</f>
        <v>84</v>
      </c>
      <c r="AM426" s="240">
        <f>INPUT!BL228</f>
        <v>-3.448275862068968</v>
      </c>
      <c r="AN426" s="75">
        <f>INPUT!BM228</f>
        <v>98</v>
      </c>
      <c r="AO426" s="240">
        <f>INPUT!BN228</f>
        <v>24.050632911392398</v>
      </c>
      <c r="AP426" s="75">
        <f>INPUT!BO228</f>
        <v>106</v>
      </c>
      <c r="AQ426" s="240">
        <f>INPUT!BP228</f>
        <v>10.416666666666671</v>
      </c>
      <c r="AR426" s="75">
        <f>INPUT!BQ228</f>
        <v>107</v>
      </c>
      <c r="AS426" s="240">
        <f>INPUT!BR228</f>
        <v>21.590909090909079</v>
      </c>
      <c r="AT426" s="75">
        <f>INPUT!BS228</f>
        <v>104</v>
      </c>
      <c r="AU426" s="240">
        <f>INPUT!BT228</f>
        <v>23.80952380952381</v>
      </c>
      <c r="AV426" s="75">
        <f>INPUT!BU228</f>
        <v>142</v>
      </c>
      <c r="AW426" s="240">
        <f>INPUT!BV228</f>
        <v>44.897959183673464</v>
      </c>
      <c r="AX426" s="75">
        <f>INPUT!BW228</f>
        <v>117</v>
      </c>
      <c r="AY426" s="240">
        <f>INPUT!BX228</f>
        <v>10.377358490566053</v>
      </c>
      <c r="AZ426" s="75">
        <f>INPUT!BY228</f>
        <v>134</v>
      </c>
      <c r="BA426" s="240">
        <f>INPUT!BZ228</f>
        <v>25.233644859813069</v>
      </c>
      <c r="BB426" s="75">
        <f>INPUT!CA228</f>
        <v>116</v>
      </c>
      <c r="BC426" s="240">
        <f>INPUT!CB228</f>
        <v>11.538461538461547</v>
      </c>
      <c r="BD426" s="75">
        <f>INPUT!CC228</f>
        <v>117</v>
      </c>
      <c r="BE426" s="240">
        <f>INPUT!CD228</f>
        <v>-17.605633802816897</v>
      </c>
      <c r="BF426" s="75">
        <f>INPUT!CE228</f>
        <v>126</v>
      </c>
      <c r="BG426" s="240">
        <f>INPUT!CF228</f>
        <v>7.6923076923076934</v>
      </c>
      <c r="BH426" s="75">
        <f>INPUT!CG228</f>
        <v>112</v>
      </c>
      <c r="BI426" s="240">
        <f>INPUT!CH228</f>
        <v>-16.417910447761201</v>
      </c>
      <c r="BJ426" s="75">
        <f>INPUT!CI228</f>
        <v>134</v>
      </c>
      <c r="BK426" s="240">
        <f>INPUT!CJ228</f>
        <v>15.517241379310349</v>
      </c>
      <c r="BL426" s="75">
        <f>INPUT!CK228</f>
        <v>106</v>
      </c>
      <c r="BM426" s="240">
        <f>INPUT!CL228</f>
        <v>-9.4017094017093967</v>
      </c>
      <c r="BN426" s="75">
        <f>INPUT!CM228</f>
        <v>121</v>
      </c>
      <c r="BO426" s="240">
        <f>INPUT!CN228</f>
        <v>-3.9682539682539613</v>
      </c>
      <c r="BP426" s="75">
        <f>INPUT!CO228</f>
        <v>110</v>
      </c>
      <c r="BQ426" s="240">
        <f>INPUT!CP228</f>
        <v>-1.7857142857142918</v>
      </c>
      <c r="BR426" s="75">
        <f>INPUT!CQ228</f>
        <v>163</v>
      </c>
      <c r="BS426" s="240">
        <f>INPUT!CR228</f>
        <v>21.641791044776127</v>
      </c>
      <c r="BT426" s="75">
        <f>INPUT!CS228</f>
        <v>126</v>
      </c>
      <c r="BU426" s="240">
        <f>INPUT!CT228</f>
        <v>18.867924528301884</v>
      </c>
      <c r="BV426" s="75">
        <f>INPUT!CU228</f>
        <v>126</v>
      </c>
      <c r="BW426" s="240">
        <f>INPUT!CV228</f>
        <v>4.1322314049586879</v>
      </c>
      <c r="BX426" s="75">
        <f>INPUT!CW228</f>
        <v>114</v>
      </c>
      <c r="BY426" s="240">
        <f>INPUT!CX228</f>
        <v>3.6363636363636402</v>
      </c>
      <c r="BZ426" s="75">
        <f>INPUT!CY228</f>
        <v>130</v>
      </c>
      <c r="CA426" s="240">
        <f>INPUT!CZ228</f>
        <v>-20.245398773006144</v>
      </c>
      <c r="CB426" s="75">
        <f>INPUT!DA228</f>
        <v>135</v>
      </c>
      <c r="CC426" s="240">
        <f>INPUT!DB228</f>
        <v>7.1428571428571388</v>
      </c>
      <c r="CD426" s="75">
        <f>INPUT!DC228</f>
        <v>142</v>
      </c>
      <c r="CE426" s="240">
        <f>INPUT!DD228</f>
        <v>12.698412698412696</v>
      </c>
      <c r="CF426" s="75">
        <f>INPUT!DE228</f>
        <v>131</v>
      </c>
      <c r="CG426" s="240">
        <f>INPUT!DF228</f>
        <v>14.912280701754383</v>
      </c>
      <c r="CH426" s="75">
        <f>INPUT!DG228</f>
        <v>113</v>
      </c>
      <c r="CI426" s="240">
        <f>INPUT!DH228</f>
        <v>-13.07692307692308</v>
      </c>
      <c r="CJ426" s="75">
        <f>INPUT!DI228</f>
        <v>140</v>
      </c>
      <c r="CK426" s="240">
        <f>INPUT!DJ228</f>
        <v>3.7037037037036953</v>
      </c>
      <c r="CL426" s="75">
        <f>INPUT!DK228</f>
        <v>147</v>
      </c>
      <c r="CM426" s="240">
        <f>INPUT!DL228</f>
        <v>3.5211267605633765</v>
      </c>
      <c r="CN426" s="75">
        <f>INPUT!DM228</f>
        <v>143</v>
      </c>
      <c r="CO426" s="240">
        <f>INPUT!DN228</f>
        <v>9.160305343511439</v>
      </c>
      <c r="CP426" s="75">
        <f>INPUT!DO228</f>
        <v>135</v>
      </c>
      <c r="CQ426" s="240">
        <f>INPUT!DP228</f>
        <v>19.469026548672574</v>
      </c>
      <c r="CR426" s="75">
        <f>INPUT!DQ228</f>
        <v>142</v>
      </c>
      <c r="CS426" s="240">
        <f>INPUT!DR228</f>
        <v>1.4285714285714164</v>
      </c>
      <c r="CT426" s="75">
        <f>INPUT!DS228</f>
        <v>142</v>
      </c>
      <c r="CU426" s="240">
        <f>INPUT!DT228</f>
        <v>-3.4013605442176953</v>
      </c>
      <c r="CV426" s="75">
        <f>INPUT!DU228</f>
        <v>156</v>
      </c>
      <c r="CW426" s="240">
        <f>INPUT!DV228</f>
        <v>9.0909090909090793</v>
      </c>
      <c r="CX426" s="75">
        <f>INPUT!DW228</f>
        <v>139</v>
      </c>
      <c r="CY426" s="240">
        <f>INPUT!DX228</f>
        <v>2.9629629629629619</v>
      </c>
      <c r="CZ426" s="75">
        <f>INPUT!DY228</f>
        <v>146</v>
      </c>
      <c r="DA426" s="240">
        <f>INPUT!DZ228</f>
        <v>2.816901408450704</v>
      </c>
      <c r="DB426" s="75">
        <f>INPUT!EA228</f>
        <v>149</v>
      </c>
      <c r="DC426" s="240">
        <f>INPUT!EB228</f>
        <v>4.9295774647887214</v>
      </c>
      <c r="DD426" s="75">
        <f>INPUT!EC228</f>
        <v>176</v>
      </c>
      <c r="DE426" s="240">
        <f>INPUT!ED228</f>
        <v>12.820512820512818</v>
      </c>
      <c r="DF426" s="75">
        <f>INPUT!EE228</f>
        <v>158</v>
      </c>
      <c r="DG426" s="240">
        <f>INPUT!EF228</f>
        <v>13.669064748201436</v>
      </c>
      <c r="DH426" s="75">
        <f>INPUT!EG228</f>
        <v>133</v>
      </c>
      <c r="DI426" s="240">
        <f>INPUT!EH228</f>
        <v>-8.9041095890410986</v>
      </c>
      <c r="DJ426" s="75">
        <f>INPUT!EI228</f>
        <v>144</v>
      </c>
      <c r="DK426" s="240">
        <f>INPUT!EJ228</f>
        <v>-3.3557046979865675</v>
      </c>
      <c r="DL426" s="75">
        <f>INPUT!EK228</f>
        <v>164</v>
      </c>
      <c r="DM426" s="240">
        <f>INPUT!EL228</f>
        <v>-6.8181818181818272</v>
      </c>
      <c r="DN426" s="75">
        <f>INPUT!EM228</f>
        <v>143</v>
      </c>
      <c r="DO426" s="240">
        <f>INPUT!EN228</f>
        <v>-9.4936708860759467</v>
      </c>
      <c r="DP426" s="75">
        <f>INPUT!EO228</f>
        <v>139</v>
      </c>
      <c r="DQ426" s="240">
        <f>INPUT!EP228</f>
        <v>4.5112781954887282</v>
      </c>
      <c r="DR426" s="75">
        <f>INPUT!EQ228</f>
        <v>140.39000000000001</v>
      </c>
      <c r="DS426" s="240">
        <f>INPUT!ER228</f>
        <v>-2.5069444444444429</v>
      </c>
      <c r="DT426" s="75">
        <f>INPUT!ES228</f>
        <v>141.79390000000001</v>
      </c>
      <c r="DU426" s="240">
        <f>INPUT!ET228</f>
        <v>-13.540304878048786</v>
      </c>
      <c r="DV426" s="75">
        <f>INPUT!EU228</f>
        <v>143.211839</v>
      </c>
      <c r="DW426" s="240">
        <f>INPUT!EV228</f>
        <v>0.14813916083915046</v>
      </c>
      <c r="DX426" s="75">
        <f>INPUT!EW228</f>
        <v>144.64395739</v>
      </c>
      <c r="DY426" s="240">
        <f>INPUT!EX228</f>
        <v>4.0604009999999988</v>
      </c>
      <c r="DZ426" s="75"/>
      <c r="EA426" s="240"/>
      <c r="EB426" s="155">
        <f>INPUT!FI228</f>
        <v>-4.6511627906976685</v>
      </c>
      <c r="EC426" s="75">
        <f>INPUT!FJ228</f>
        <v>177</v>
      </c>
      <c r="ED426" s="155">
        <f>INPUT!FK228</f>
        <v>7.9268292682926926</v>
      </c>
      <c r="EE426" s="75">
        <f>INPUT!FL228</f>
        <v>156</v>
      </c>
      <c r="EF426" s="155">
        <f>INPUT!FM228</f>
        <v>-11.864406779661024</v>
      </c>
      <c r="EG426" s="75">
        <f>INPUT!FN228</f>
        <v>342</v>
      </c>
      <c r="EH426" s="155" t="str">
        <f>INPUT!FO228</f>
        <v>NM</v>
      </c>
      <c r="EI426" s="75">
        <f>INPUT!FP228</f>
        <v>291</v>
      </c>
      <c r="EJ426" s="240">
        <f>INPUT!FQ228</f>
        <v>-14.912280701754383</v>
      </c>
      <c r="EK426" s="75">
        <f>INPUT!FR228</f>
        <v>307</v>
      </c>
      <c r="EL426" s="240">
        <f>INPUT!FS228</f>
        <v>5.4982817869415896</v>
      </c>
      <c r="EM426" s="75">
        <f>INPUT!FT228</f>
        <v>366</v>
      </c>
      <c r="EN426" s="240">
        <f>INPUT!FU228</f>
        <v>19.218241042345284</v>
      </c>
      <c r="EO426" s="75">
        <f>INPUT!FV228</f>
        <v>459</v>
      </c>
      <c r="EP426" s="240">
        <f>INPUT!FW228</f>
        <v>25.409836065573771</v>
      </c>
      <c r="EQ426" s="75">
        <f>INPUT!FX228</f>
        <v>484</v>
      </c>
      <c r="ER426" s="240">
        <f>INPUT!FY228</f>
        <v>5.4466230936819073</v>
      </c>
      <c r="ES426" s="75">
        <f>INPUT!FZ228</f>
        <v>478</v>
      </c>
      <c r="ET426" s="240">
        <f>INPUT!GA228</f>
        <v>-1.239669421487605</v>
      </c>
      <c r="EU426" s="75">
        <f>INPUT!GB228</f>
        <v>520</v>
      </c>
      <c r="EV426" s="240">
        <f>INPUT!GC228</f>
        <v>8.7866108786610795</v>
      </c>
      <c r="EW426" s="75">
        <f>INPUT!GD228</f>
        <v>505</v>
      </c>
      <c r="EX426" s="240">
        <f>INPUT!GE228</f>
        <v>-2.8846153846153868</v>
      </c>
      <c r="EY426" s="75">
        <f>INPUT!GF228</f>
        <v>526</v>
      </c>
      <c r="EZ426" s="240">
        <f>INPUT!GG228</f>
        <v>4.1584158415841586</v>
      </c>
      <c r="FA426" s="75">
        <f>INPUT!GH228</f>
        <v>567</v>
      </c>
      <c r="FB426" s="240">
        <f>INPUT!GI228</f>
        <v>7.7946768060836575</v>
      </c>
      <c r="FC426" s="75">
        <f>INPUT!GJ228</f>
        <v>583</v>
      </c>
      <c r="FD426" s="240">
        <f>INPUT!GK228</f>
        <v>2.8218694885361515</v>
      </c>
      <c r="FE426" s="75">
        <f>INPUT!GL228</f>
        <v>616</v>
      </c>
      <c r="FF426" s="240">
        <f>INPUT!GM228</f>
        <v>5.6603773584905639</v>
      </c>
      <c r="FG426" s="75">
        <f>INPUT!GN228</f>
        <v>590</v>
      </c>
      <c r="FH426" s="240">
        <f>INPUT!GO228</f>
        <v>-4.220779220779221</v>
      </c>
      <c r="FI426" s="75">
        <f>INPUT!GP228</f>
        <v>570.03969639000002</v>
      </c>
      <c r="FJ426" s="240">
        <f>INPUT!GQ228</f>
        <v>-3.3831023067796622</v>
      </c>
      <c r="FK426" s="75">
        <f>INPUT!GR228</f>
        <v>604.24207817340005</v>
      </c>
      <c r="FL426" s="240">
        <f>INPUT!GS228</f>
        <v>6</v>
      </c>
      <c r="FM426" s="75">
        <f>INPUT!GT228</f>
        <v>640.49660286380413</v>
      </c>
      <c r="FN426" s="240">
        <f>INPUT!GU228</f>
        <v>6</v>
      </c>
      <c r="FO426" s="75">
        <f>INPUT!GV228</f>
        <v>678.92639903563236</v>
      </c>
      <c r="FP426" s="240">
        <f>INPUT!GW228</f>
        <v>6</v>
      </c>
      <c r="FQ426" s="75">
        <f>INPUT!GX228</f>
        <v>719.66198297777032</v>
      </c>
      <c r="FR426" s="240">
        <f>INPUT!GY228</f>
        <v>6</v>
      </c>
      <c r="FS426" s="240">
        <f>INPUT!GZ228</f>
        <v>4.0531686315266713</v>
      </c>
    </row>
    <row r="427" spans="1:176" ht="12.75" hidden="1" customHeight="1" outlineLevel="1" x14ac:dyDescent="0.2">
      <c r="A427" s="77" t="str">
        <f>INPUT!B229</f>
        <v xml:space="preserve">  Total Fees</v>
      </c>
      <c r="B427" s="75">
        <f>INPUT!AA229</f>
        <v>802</v>
      </c>
      <c r="C427" s="155">
        <f>INPUT!AB229</f>
        <v>7.5067024128686342</v>
      </c>
      <c r="D427" s="75">
        <f>INPUT!AC229</f>
        <v>753</v>
      </c>
      <c r="E427" s="155">
        <f>INPUT!AD229</f>
        <v>0.93833780160856861</v>
      </c>
      <c r="F427" s="75">
        <f>INPUT!AE229</f>
        <v>736</v>
      </c>
      <c r="G427" s="155">
        <f>INPUT!AF229</f>
        <v>1.5172413793103487</v>
      </c>
      <c r="H427" s="75">
        <f>INPUT!AG229</f>
        <v>777</v>
      </c>
      <c r="I427" s="155">
        <f>INPUT!AH229</f>
        <v>2.7777777777777715</v>
      </c>
      <c r="J427" s="75">
        <f>INPUT!AI229</f>
        <v>825</v>
      </c>
      <c r="K427" s="155">
        <f>INPUT!AJ229</f>
        <v>2.8678304239401484</v>
      </c>
      <c r="L427" s="75">
        <f>INPUT!AK229</f>
        <v>806</v>
      </c>
      <c r="M427" s="155">
        <f>INPUT!AL229</f>
        <v>7.0385126162018565</v>
      </c>
      <c r="N427" s="75">
        <f>INPUT!AM229</f>
        <v>835</v>
      </c>
      <c r="O427" s="155">
        <f>INPUT!AN229</f>
        <v>13.451086956521735</v>
      </c>
      <c r="P427" s="75">
        <f>INPUT!AO229</f>
        <v>826</v>
      </c>
      <c r="Q427" s="155">
        <f>INPUT!AP229</f>
        <v>6.3063063063063112</v>
      </c>
      <c r="R427" s="75">
        <f>INPUT!AQ229</f>
        <v>892</v>
      </c>
      <c r="S427" s="155">
        <f>INPUT!AR229</f>
        <v>8.1212121212121247</v>
      </c>
      <c r="T427" s="75">
        <f>INPUT!AS229</f>
        <v>902</v>
      </c>
      <c r="U427" s="155">
        <f>INPUT!AT229</f>
        <v>11.91066997518611</v>
      </c>
      <c r="V427" s="75">
        <f>INPUT!AU229</f>
        <v>878</v>
      </c>
      <c r="W427" s="155">
        <f>INPUT!AV229</f>
        <v>5.1497005988023972</v>
      </c>
      <c r="X427" s="75">
        <f>INPUT!AW229</f>
        <v>889</v>
      </c>
      <c r="Y427" s="155">
        <f>INPUT!AX229</f>
        <v>7.6271186440677923</v>
      </c>
      <c r="Z427" s="75">
        <f>INPUT!AY229</f>
        <v>944</v>
      </c>
      <c r="AA427" s="155">
        <f>INPUT!AZ229</f>
        <v>5.8295964125560431</v>
      </c>
      <c r="AB427" s="75">
        <f>INPUT!BA229</f>
        <v>950</v>
      </c>
      <c r="AC427" s="155">
        <f>INPUT!BB229</f>
        <v>5.3215077605321568</v>
      </c>
      <c r="AD427" s="75">
        <f>INPUT!BC229</f>
        <v>979</v>
      </c>
      <c r="AE427" s="155">
        <f>INPUT!BD229</f>
        <v>11.503416856492038</v>
      </c>
      <c r="AF427" s="75">
        <f>INPUT!BE229</f>
        <v>990</v>
      </c>
      <c r="AG427" s="155">
        <f>INPUT!BF229</f>
        <v>11.361079865016862</v>
      </c>
      <c r="AH427" s="75">
        <f>INPUT!BG229</f>
        <v>1022</v>
      </c>
      <c r="AI427" s="240">
        <f>INPUT!BH229</f>
        <v>8.2627118644067679</v>
      </c>
      <c r="AJ427" s="75">
        <f>INPUT!BI229</f>
        <v>1026</v>
      </c>
      <c r="AK427" s="240">
        <f>INPUT!BJ229</f>
        <v>8</v>
      </c>
      <c r="AL427" s="75">
        <f>INPUT!BK229</f>
        <v>1007</v>
      </c>
      <c r="AM427" s="240">
        <f>INPUT!BL229</f>
        <v>2.8600612870275768</v>
      </c>
      <c r="AN427" s="75">
        <f>INPUT!BM229</f>
        <v>990</v>
      </c>
      <c r="AO427" s="240">
        <f>INPUT!BN229</f>
        <v>0</v>
      </c>
      <c r="AP427" s="75">
        <f>INPUT!BO229</f>
        <v>1073</v>
      </c>
      <c r="AQ427" s="240">
        <f>INPUT!BP229</f>
        <v>4.990215264187853</v>
      </c>
      <c r="AR427" s="75">
        <f>INPUT!BQ229</f>
        <v>1035</v>
      </c>
      <c r="AS427" s="240">
        <f>INPUT!BR229</f>
        <v>0.87719298245613686</v>
      </c>
      <c r="AT427" s="75">
        <f>INPUT!BS229</f>
        <v>1048</v>
      </c>
      <c r="AU427" s="240">
        <f>INPUT!BT229</f>
        <v>4.0714995034756782</v>
      </c>
      <c r="AV427" s="75">
        <f>INPUT!BU229</f>
        <v>1071</v>
      </c>
      <c r="AW427" s="240">
        <f>INPUT!BV229</f>
        <v>8.1818181818181728</v>
      </c>
      <c r="AX427" s="75">
        <f>INPUT!BW229</f>
        <v>1147</v>
      </c>
      <c r="AY427" s="240">
        <f>INPUT!BX229</f>
        <v>6.8965517241379217</v>
      </c>
      <c r="AZ427" s="75">
        <f>INPUT!BY229</f>
        <v>1120</v>
      </c>
      <c r="BA427" s="240">
        <f>INPUT!BZ229</f>
        <v>8.2125603864734273</v>
      </c>
      <c r="BB427" s="75">
        <f>INPUT!CA229</f>
        <v>1164</v>
      </c>
      <c r="BC427" s="240">
        <f>INPUT!CB229</f>
        <v>11.068702290076331</v>
      </c>
      <c r="BD427" s="75">
        <f>INPUT!CC229</f>
        <v>1104</v>
      </c>
      <c r="BE427" s="240">
        <f>INPUT!CD229</f>
        <v>3.0812324929971879</v>
      </c>
      <c r="BF427" s="75">
        <f>INPUT!CE229</f>
        <v>1122</v>
      </c>
      <c r="BG427" s="240">
        <f>INPUT!CF229</f>
        <v>-2.1795989537925067</v>
      </c>
      <c r="BH427" s="75">
        <f>INPUT!CG229</f>
        <v>1125</v>
      </c>
      <c r="BI427" s="240">
        <f>INPUT!CH229</f>
        <v>0.44642857142858361</v>
      </c>
      <c r="BJ427" s="75">
        <f>INPUT!CI229</f>
        <v>1273</v>
      </c>
      <c r="BK427" s="240">
        <f>INPUT!CJ229</f>
        <v>9.3642611683848713</v>
      </c>
      <c r="BL427" s="75">
        <f>INPUT!CK229</f>
        <v>1165</v>
      </c>
      <c r="BM427" s="240">
        <f>INPUT!CL229</f>
        <v>5.5253623188405783</v>
      </c>
      <c r="BN427" s="75">
        <f>INPUT!CM229</f>
        <v>1309</v>
      </c>
      <c r="BO427" s="240">
        <f>INPUT!CN229</f>
        <v>16.666666666666671</v>
      </c>
      <c r="BP427" s="75">
        <f>INPUT!CO229</f>
        <v>1288</v>
      </c>
      <c r="BQ427" s="240">
        <f>INPUT!CP229</f>
        <v>14.48888888888888</v>
      </c>
      <c r="BR427" s="75">
        <f>INPUT!CQ229</f>
        <v>1282</v>
      </c>
      <c r="BS427" s="240">
        <f>INPUT!CR229</f>
        <v>0.70699135899450027</v>
      </c>
      <c r="BT427" s="75">
        <f>INPUT!CS229</f>
        <v>1223</v>
      </c>
      <c r="BU427" s="240">
        <f>INPUT!CT229</f>
        <v>4.9785407725321988</v>
      </c>
      <c r="BV427" s="75">
        <f>INPUT!CU229</f>
        <v>1220</v>
      </c>
      <c r="BW427" s="240">
        <f>INPUT!CV229</f>
        <v>-6.7990832696714989</v>
      </c>
      <c r="BX427" s="75">
        <f>INPUT!CW229</f>
        <v>1221</v>
      </c>
      <c r="BY427" s="240">
        <f>INPUT!CX229</f>
        <v>-5.2018633540372576</v>
      </c>
      <c r="BZ427" s="75">
        <f>INPUT!CY229</f>
        <v>1241</v>
      </c>
      <c r="CA427" s="240">
        <f>INPUT!CZ229</f>
        <v>-3.1981279251170065</v>
      </c>
      <c r="CB427" s="75">
        <f>INPUT!DA229</f>
        <v>1226</v>
      </c>
      <c r="CC427" s="240">
        <f>INPUT!DB229</f>
        <v>0.24529844644317222</v>
      </c>
      <c r="CD427" s="75">
        <f>INPUT!DC229</f>
        <v>1228</v>
      </c>
      <c r="CE427" s="240">
        <f>INPUT!DD229</f>
        <v>0.65573770491802463</v>
      </c>
      <c r="CF427" s="75">
        <f>INPUT!DE229</f>
        <v>1221</v>
      </c>
      <c r="CG427" s="240">
        <f>INPUT!DF229</f>
        <v>0</v>
      </c>
      <c r="CH427" s="75">
        <f>INPUT!DG229</f>
        <v>1171</v>
      </c>
      <c r="CI427" s="240">
        <f>INPUT!DH229</f>
        <v>-5.6406124093472982</v>
      </c>
      <c r="CJ427" s="75">
        <f>INPUT!DI229</f>
        <v>1194</v>
      </c>
      <c r="CK427" s="240">
        <f>INPUT!DJ229</f>
        <v>-2.6101141924959279</v>
      </c>
      <c r="CL427" s="75">
        <f>INPUT!DK229</f>
        <v>1173</v>
      </c>
      <c r="CM427" s="240">
        <f>INPUT!DL229</f>
        <v>-4.4788273615635177</v>
      </c>
      <c r="CN427" s="75">
        <f>INPUT!DM229</f>
        <v>1165</v>
      </c>
      <c r="CO427" s="240">
        <f>INPUT!DN229</f>
        <v>-4.5864045864045977</v>
      </c>
      <c r="CP427" s="75">
        <f>INPUT!DO229</f>
        <v>1168</v>
      </c>
      <c r="CQ427" s="240">
        <f>INPUT!DP229</f>
        <v>-0.25619128949615799</v>
      </c>
      <c r="CR427" s="75">
        <f>INPUT!DQ229</f>
        <v>1120</v>
      </c>
      <c r="CS427" s="240">
        <f>INPUT!DR229</f>
        <v>-6.1976549413735285</v>
      </c>
      <c r="CT427" s="75">
        <f>INPUT!DS229</f>
        <v>1098</v>
      </c>
      <c r="CU427" s="240">
        <f>INPUT!DT229</f>
        <v>-6.3938618925831179</v>
      </c>
      <c r="CV427" s="75">
        <f>INPUT!DU229</f>
        <v>1127</v>
      </c>
      <c r="CW427" s="240">
        <f>INPUT!DV229</f>
        <v>-3.2618025751072963</v>
      </c>
      <c r="CX427" s="75">
        <f>INPUT!DW229</f>
        <v>1123</v>
      </c>
      <c r="CY427" s="240">
        <f>INPUT!DX229</f>
        <v>-3.8527397260273943</v>
      </c>
      <c r="CZ427" s="75">
        <f>INPUT!DY229</f>
        <v>1120</v>
      </c>
      <c r="DA427" s="240">
        <f>INPUT!DZ229</f>
        <v>0</v>
      </c>
      <c r="DB427" s="75">
        <f>INPUT!EA229</f>
        <v>1158</v>
      </c>
      <c r="DC427" s="240">
        <f>INPUT!EB229</f>
        <v>5.4644808743169477</v>
      </c>
      <c r="DD427" s="75">
        <f>INPUT!EC229</f>
        <v>1194</v>
      </c>
      <c r="DE427" s="240">
        <f>INPUT!ED229</f>
        <v>5.9449866903283066</v>
      </c>
      <c r="DF427" s="75">
        <f>INPUT!EE229</f>
        <v>1152</v>
      </c>
      <c r="DG427" s="240">
        <f>INPUT!EF229</f>
        <v>2.5823686553873415</v>
      </c>
      <c r="DH427" s="75">
        <f>INPUT!EG229</f>
        <v>1146</v>
      </c>
      <c r="DI427" s="240">
        <f>INPUT!EH229</f>
        <v>2.3214285714285694</v>
      </c>
      <c r="DJ427" s="75">
        <f>INPUT!EI229</f>
        <v>1196</v>
      </c>
      <c r="DK427" s="240">
        <f>INPUT!EJ229</f>
        <v>3.2815198618307448</v>
      </c>
      <c r="DL427" s="75">
        <f>INPUT!EK229</f>
        <v>1190</v>
      </c>
      <c r="DM427" s="240">
        <f>INPUT!EL229</f>
        <v>-0.33500837520938376</v>
      </c>
      <c r="DN427" s="75">
        <f>INPUT!EM229</f>
        <v>1185</v>
      </c>
      <c r="DO427" s="240">
        <f>INPUT!EN229</f>
        <v>2.8645833333333286</v>
      </c>
      <c r="DP427" s="75">
        <f>INPUT!EO229</f>
        <v>1177</v>
      </c>
      <c r="DQ427" s="240">
        <f>INPUT!EP229</f>
        <v>2.705061082024443</v>
      </c>
      <c r="DR427" s="75">
        <f>INPUT!EQ229</f>
        <v>1188.7700000000002</v>
      </c>
      <c r="DS427" s="240">
        <f>INPUT!ER229</f>
        <v>-0.6045150501672083</v>
      </c>
      <c r="DT427" s="75">
        <f>INPUT!ES229</f>
        <v>1200.6577000000002</v>
      </c>
      <c r="DU427" s="240">
        <f>INPUT!ET229</f>
        <v>0.89560504201682534</v>
      </c>
      <c r="DV427" s="75">
        <f>INPUT!EU229</f>
        <v>1212.6642770000001</v>
      </c>
      <c r="DW427" s="240">
        <f>INPUT!EV229</f>
        <v>2.3345381434599233</v>
      </c>
      <c r="DX427" s="75">
        <f>INPUT!EW229</f>
        <v>1224.7909197700001</v>
      </c>
      <c r="DY427" s="240">
        <f>INPUT!EX229</f>
        <v>4.0604009999999988</v>
      </c>
      <c r="DZ427" s="75"/>
      <c r="EA427" s="240"/>
      <c r="EB427" s="155">
        <f>INPUT!FI229</f>
        <v>16.804888694893052</v>
      </c>
      <c r="EC427" s="75">
        <f>INPUT!FJ229</f>
        <v>2973</v>
      </c>
      <c r="ED427" s="155">
        <f>INPUT!FK229</f>
        <v>11.098654708520186</v>
      </c>
      <c r="EE427" s="75">
        <f>INPUT!FL229</f>
        <v>3068</v>
      </c>
      <c r="EF427" s="155">
        <f>INPUT!FM229</f>
        <v>3.1954254961318611</v>
      </c>
      <c r="EG427" s="75">
        <f>INPUT!FN229</f>
        <v>3292</v>
      </c>
      <c r="EH427" s="155">
        <f>INPUT!FO229</f>
        <v>7.3011734028683151</v>
      </c>
      <c r="EI427" s="75">
        <f>INPUT!FP229</f>
        <v>3561</v>
      </c>
      <c r="EJ427" s="240">
        <f>INPUT!FQ229</f>
        <v>8.1713244228432558</v>
      </c>
      <c r="EK427" s="75">
        <f>INPUT!FR229</f>
        <v>3863</v>
      </c>
      <c r="EL427" s="240">
        <f>INPUT!FS229</f>
        <v>8.480763830384717</v>
      </c>
      <c r="EM427" s="75">
        <f>INPUT!FT229</f>
        <v>4045</v>
      </c>
      <c r="EN427" s="240">
        <f>INPUT!FU229</f>
        <v>4.7113642246958278</v>
      </c>
      <c r="EO427" s="75">
        <f>INPUT!FV229</f>
        <v>4227</v>
      </c>
      <c r="EP427" s="240">
        <f>INPUT!FW229</f>
        <v>4.4993819530284327</v>
      </c>
      <c r="EQ427" s="75">
        <f>INPUT!FX229</f>
        <v>4535</v>
      </c>
      <c r="ER427" s="240">
        <f>INPUT!FY229</f>
        <v>7.2864916016087022</v>
      </c>
      <c r="ES427" s="75">
        <f>INPUT!FZ229</f>
        <v>4685</v>
      </c>
      <c r="ET427" s="240">
        <f>INPUT!GA229</f>
        <v>3.3076074972436516</v>
      </c>
      <c r="EU427" s="75">
        <f>INPUT!GB229</f>
        <v>5102</v>
      </c>
      <c r="EV427" s="240">
        <f>INPUT!GC229</f>
        <v>8.9007470651013705</v>
      </c>
      <c r="EW427" s="75">
        <f>INPUT!GD229</f>
        <v>4908</v>
      </c>
      <c r="EX427" s="240">
        <f>INPUT!GE229</f>
        <v>-3.802430419443354</v>
      </c>
      <c r="EY427" s="75">
        <f>INPUT!GF229</f>
        <v>4814</v>
      </c>
      <c r="EZ427" s="240">
        <f>INPUT!GG229</f>
        <v>-1.9152404237978828</v>
      </c>
      <c r="FA427" s="75">
        <f>INPUT!GH229</f>
        <v>4626</v>
      </c>
      <c r="FB427" s="240">
        <f>INPUT!GI229</f>
        <v>-3.9052762775238818</v>
      </c>
      <c r="FC427" s="75">
        <f>INPUT!GJ229</f>
        <v>4468</v>
      </c>
      <c r="FD427" s="240">
        <f>INPUT!GK229</f>
        <v>-3.4154777345438845</v>
      </c>
      <c r="FE427" s="75">
        <f>INPUT!GL229</f>
        <v>4650</v>
      </c>
      <c r="FF427" s="240">
        <f>INPUT!GM229</f>
        <v>4.0734109221127994</v>
      </c>
      <c r="FG427" s="75">
        <f>INPUT!GN229</f>
        <v>4748</v>
      </c>
      <c r="FH427" s="240">
        <f>INPUT!GO229</f>
        <v>2.1075268817204176</v>
      </c>
      <c r="FI427" s="75">
        <f>INPUT!GP229</f>
        <v>4826.882896770001</v>
      </c>
      <c r="FJ427" s="240">
        <f>INPUT!GQ229</f>
        <v>1.6613920970935254</v>
      </c>
      <c r="FK427" s="75">
        <f>INPUT!GR229</f>
        <v>5031.3590065686012</v>
      </c>
      <c r="FL427" s="240">
        <f>INPUT!GS229</f>
        <v>4.236193712829234</v>
      </c>
      <c r="FM427" s="75">
        <f>INPUT!GT229</f>
        <v>5244.6982083948133</v>
      </c>
      <c r="FN427" s="240">
        <f>INPUT!GU229</f>
        <v>4.2401904047731733</v>
      </c>
      <c r="FO427" s="75">
        <f>INPUT!GV229</f>
        <v>5467.2960687878822</v>
      </c>
      <c r="FP427" s="240">
        <f>INPUT!GW229</f>
        <v>4.2442453607105932</v>
      </c>
      <c r="FQ427" s="75">
        <f>INPUT!GX229</f>
        <v>5699.5664395201102</v>
      </c>
      <c r="FR427" s="240">
        <f>INPUT!GY229</f>
        <v>4.2483591122535245</v>
      </c>
      <c r="FS427" s="240">
        <f>INPUT!GZ229</f>
        <v>3.7208869870745787</v>
      </c>
    </row>
    <row r="428" spans="1:176" ht="12.75" hidden="1" customHeight="1" outlineLevel="1" x14ac:dyDescent="0.2">
      <c r="A428" s="77" t="str">
        <f>INPUT!B230</f>
        <v>Net Investment Income</v>
      </c>
      <c r="B428" s="75">
        <f>INPUT!AA230</f>
        <v>151</v>
      </c>
      <c r="C428" s="155">
        <f>INPUT!AB230</f>
        <v>11.029411764705884</v>
      </c>
      <c r="D428" s="75">
        <f>INPUT!AC230</f>
        <v>150</v>
      </c>
      <c r="E428" s="155">
        <f>INPUT!AD230</f>
        <v>2.0408163265306172</v>
      </c>
      <c r="F428" s="75">
        <f>INPUT!AE230</f>
        <v>138</v>
      </c>
      <c r="G428" s="155">
        <f>INPUT!AF230</f>
        <v>-6.1224489795918373</v>
      </c>
      <c r="H428" s="75">
        <f>INPUT!AG230</f>
        <v>144</v>
      </c>
      <c r="I428" s="155">
        <f>INPUT!AH230</f>
        <v>-2.7027027027026946</v>
      </c>
      <c r="J428" s="75">
        <f>INPUT!AI230</f>
        <v>135</v>
      </c>
      <c r="K428" s="155">
        <f>INPUT!AJ230</f>
        <v>-10.596026490066222</v>
      </c>
      <c r="L428" s="75">
        <f>INPUT!AK230</f>
        <v>138</v>
      </c>
      <c r="M428" s="155">
        <f>INPUT!AL230</f>
        <v>-8</v>
      </c>
      <c r="N428" s="75">
        <f>INPUT!AM230</f>
        <v>143</v>
      </c>
      <c r="O428" s="155">
        <f>INPUT!AN230</f>
        <v>3.6231884057970944</v>
      </c>
      <c r="P428" s="75">
        <f>INPUT!AO230</f>
        <v>145</v>
      </c>
      <c r="Q428" s="155">
        <f>INPUT!AP230</f>
        <v>0.69444444444444287</v>
      </c>
      <c r="R428" s="75">
        <f>INPUT!AQ230</f>
        <v>151</v>
      </c>
      <c r="S428" s="155">
        <f>INPUT!AR230</f>
        <v>11.851851851851848</v>
      </c>
      <c r="T428" s="75">
        <f>INPUT!AS230</f>
        <v>148</v>
      </c>
      <c r="U428" s="155">
        <f>INPUT!AT230</f>
        <v>7.2463768115942173</v>
      </c>
      <c r="V428" s="75">
        <f>INPUT!AU230</f>
        <v>147</v>
      </c>
      <c r="W428" s="155">
        <f>INPUT!AV230</f>
        <v>2.797202797202786</v>
      </c>
      <c r="X428" s="75">
        <f>INPUT!AW230</f>
        <v>147</v>
      </c>
      <c r="Y428" s="155">
        <f>INPUT!AX230</f>
        <v>1.3793103448275872</v>
      </c>
      <c r="Z428" s="75">
        <f>INPUT!AY230</f>
        <v>148</v>
      </c>
      <c r="AA428" s="155">
        <f>INPUT!AZ230</f>
        <v>-1.9867549668874176</v>
      </c>
      <c r="AB428" s="75">
        <f>INPUT!BA230</f>
        <v>153</v>
      </c>
      <c r="AC428" s="155">
        <f>INPUT!BB230</f>
        <v>3.3783783783783718</v>
      </c>
      <c r="AD428" s="75">
        <f>INPUT!BC230</f>
        <v>157</v>
      </c>
      <c r="AE428" s="155">
        <f>INPUT!BD230</f>
        <v>6.8027210884353764</v>
      </c>
      <c r="AF428" s="75">
        <f>INPUT!BE230</f>
        <v>163</v>
      </c>
      <c r="AG428" s="155">
        <f>INPUT!BF230</f>
        <v>10.884353741496582</v>
      </c>
      <c r="AH428" s="75">
        <f>INPUT!BG230</f>
        <v>164</v>
      </c>
      <c r="AI428" s="240">
        <f>INPUT!BH230</f>
        <v>10.810810810810807</v>
      </c>
      <c r="AJ428" s="75">
        <f>INPUT!BI230</f>
        <v>166</v>
      </c>
      <c r="AK428" s="240">
        <f>INPUT!BJ230</f>
        <v>8.4967320261437891</v>
      </c>
      <c r="AL428" s="75">
        <f>INPUT!BK230</f>
        <v>170</v>
      </c>
      <c r="AM428" s="240">
        <f>INPUT!BL230</f>
        <v>8.2802547770700556</v>
      </c>
      <c r="AN428" s="75">
        <f>INPUT!BM230</f>
        <v>171</v>
      </c>
      <c r="AO428" s="240">
        <f>INPUT!BN230</f>
        <v>4.9079754601226995</v>
      </c>
      <c r="AP428" s="75">
        <f>INPUT!BO230</f>
        <v>163</v>
      </c>
      <c r="AQ428" s="240">
        <f>INPUT!BP230</f>
        <v>-0.60975609756097526</v>
      </c>
      <c r="AR428" s="75">
        <f>INPUT!BQ230</f>
        <v>161</v>
      </c>
      <c r="AS428" s="240">
        <f>INPUT!BR230</f>
        <v>-3.0120481927710898</v>
      </c>
      <c r="AT428" s="75">
        <f>INPUT!BS230</f>
        <v>162</v>
      </c>
      <c r="AU428" s="240">
        <f>INPUT!BT230</f>
        <v>-4.7058823529411882</v>
      </c>
      <c r="AV428" s="75">
        <f>INPUT!BU230</f>
        <v>161</v>
      </c>
      <c r="AW428" s="240">
        <f>INPUT!BV230</f>
        <v>-5.8479532163742647</v>
      </c>
      <c r="AX428" s="75">
        <f>INPUT!BW230</f>
        <v>156</v>
      </c>
      <c r="AY428" s="240">
        <f>INPUT!BX230</f>
        <v>-4.2944785276073532</v>
      </c>
      <c r="AZ428" s="75">
        <f>INPUT!BY230</f>
        <v>150</v>
      </c>
      <c r="BA428" s="240">
        <f>INPUT!BZ230</f>
        <v>-6.8322981366459601</v>
      </c>
      <c r="BB428" s="75">
        <f>INPUT!CA230</f>
        <v>156</v>
      </c>
      <c r="BC428" s="240">
        <f>INPUT!CB230</f>
        <v>-3.7037037037037095</v>
      </c>
      <c r="BD428" s="75">
        <f>INPUT!CC230</f>
        <v>161</v>
      </c>
      <c r="BE428" s="240">
        <f>INPUT!CD230</f>
        <v>0</v>
      </c>
      <c r="BF428" s="75">
        <f>INPUT!CE230</f>
        <v>162</v>
      </c>
      <c r="BG428" s="240">
        <f>INPUT!CF230</f>
        <v>3.8461538461538538</v>
      </c>
      <c r="BH428" s="75">
        <f>INPUT!CG230</f>
        <v>166</v>
      </c>
      <c r="BI428" s="240">
        <f>INPUT!CH230</f>
        <v>10.666666666666671</v>
      </c>
      <c r="BJ428" s="75">
        <f>INPUT!CI230</f>
        <v>169</v>
      </c>
      <c r="BK428" s="240">
        <f>INPUT!CJ230</f>
        <v>8.3333333333333286</v>
      </c>
      <c r="BL428" s="75">
        <f>INPUT!CK230</f>
        <v>171</v>
      </c>
      <c r="BM428" s="240">
        <f>INPUT!CL230</f>
        <v>6.2111801242235885</v>
      </c>
      <c r="BN428" s="75">
        <f>INPUT!CM230</f>
        <v>171</v>
      </c>
      <c r="BO428" s="240">
        <f>INPUT!CN230</f>
        <v>5.5555555555555571</v>
      </c>
      <c r="BP428" s="75">
        <f>INPUT!CO230</f>
        <v>173</v>
      </c>
      <c r="BQ428" s="240">
        <f>INPUT!CP230</f>
        <v>4.2168674698795314</v>
      </c>
      <c r="BR428" s="75">
        <f>INPUT!CQ230</f>
        <v>145</v>
      </c>
      <c r="BS428" s="240">
        <f>INPUT!CR230</f>
        <v>-14.201183431952657</v>
      </c>
      <c r="BT428" s="75">
        <f>INPUT!CS230</f>
        <v>140</v>
      </c>
      <c r="BU428" s="240">
        <f>INPUT!CT230</f>
        <v>-18.128654970760238</v>
      </c>
      <c r="BV428" s="75">
        <f>INPUT!CU230</f>
        <v>146</v>
      </c>
      <c r="BW428" s="240">
        <f>INPUT!CV230</f>
        <v>-14.619883040935676</v>
      </c>
      <c r="BX428" s="75">
        <f>INPUT!CW230</f>
        <v>146</v>
      </c>
      <c r="BY428" s="240">
        <f>INPUT!CX230</f>
        <v>-15.606936416184965</v>
      </c>
      <c r="BZ428" s="75">
        <f>INPUT!CY230</f>
        <v>148</v>
      </c>
      <c r="CA428" s="240">
        <f>INPUT!CZ230</f>
        <v>2.0689655172413808</v>
      </c>
      <c r="CB428" s="75">
        <f>INPUT!DA230</f>
        <v>146</v>
      </c>
      <c r="CC428" s="240">
        <f>INPUT!DB230</f>
        <v>4.2857142857142918</v>
      </c>
      <c r="CD428" s="75">
        <f>INPUT!DC230</f>
        <v>143</v>
      </c>
      <c r="CE428" s="240">
        <f>INPUT!DD230</f>
        <v>-2.0547945205479436</v>
      </c>
      <c r="CF428" s="75">
        <f>INPUT!DE230</f>
        <v>150</v>
      </c>
      <c r="CG428" s="240">
        <f>INPUT!DF230</f>
        <v>2.7397260273972677</v>
      </c>
      <c r="CH428" s="75">
        <f>INPUT!DG230</f>
        <v>144</v>
      </c>
      <c r="CI428" s="240">
        <f>INPUT!DH230</f>
        <v>-2.7027027027026946</v>
      </c>
      <c r="CJ428" s="75">
        <f>INPUT!DI230</f>
        <v>148</v>
      </c>
      <c r="CK428" s="240">
        <f>INPUT!DJ230</f>
        <v>1.3698630136986338</v>
      </c>
      <c r="CL428" s="75">
        <f>INPUT!DK230</f>
        <v>159</v>
      </c>
      <c r="CM428" s="240">
        <f>INPUT!DL230</f>
        <v>11.188811188811187</v>
      </c>
      <c r="CN428" s="75">
        <f>INPUT!DM230</f>
        <v>145</v>
      </c>
      <c r="CO428" s="240">
        <f>INPUT!DN230</f>
        <v>-3.3333333333333286</v>
      </c>
      <c r="CP428" s="75">
        <f>INPUT!DO230</f>
        <v>155</v>
      </c>
      <c r="CQ428" s="240">
        <f>INPUT!DP230</f>
        <v>7.6388888888888857</v>
      </c>
      <c r="CR428" s="75">
        <f>INPUT!DQ230</f>
        <v>154</v>
      </c>
      <c r="CS428" s="240">
        <f>INPUT!DR230</f>
        <v>4.0540540540540633</v>
      </c>
      <c r="CT428" s="75">
        <f>INPUT!DS230</f>
        <v>146</v>
      </c>
      <c r="CU428" s="240">
        <f>INPUT!DT230</f>
        <v>-8.1761006289308114</v>
      </c>
      <c r="CV428" s="75">
        <f>INPUT!DU230</f>
        <v>142</v>
      </c>
      <c r="CW428" s="240">
        <f>INPUT!DV230</f>
        <v>-2.0689655172413808</v>
      </c>
      <c r="CX428" s="75">
        <f>INPUT!DW230</f>
        <v>157</v>
      </c>
      <c r="CY428" s="240">
        <f>INPUT!DX230</f>
        <v>1.2903225806451672</v>
      </c>
      <c r="CZ428" s="75">
        <f>INPUT!DY230</f>
        <v>141</v>
      </c>
      <c r="DA428" s="240">
        <f>INPUT!DZ230</f>
        <v>-8.4415584415584419</v>
      </c>
      <c r="DB428" s="75">
        <f>INPUT!EA230</f>
        <v>146</v>
      </c>
      <c r="DC428" s="240">
        <f>INPUT!EB230</f>
        <v>0</v>
      </c>
      <c r="DD428" s="75">
        <f>INPUT!EC230</f>
        <v>148</v>
      </c>
      <c r="DE428" s="240">
        <f>INPUT!ED230</f>
        <v>4.2253521126760489</v>
      </c>
      <c r="DF428" s="75">
        <f>INPUT!EE230</f>
        <v>156</v>
      </c>
      <c r="DG428" s="240">
        <f>INPUT!EF230</f>
        <v>-0.63694267515923286</v>
      </c>
      <c r="DH428" s="75">
        <f>INPUT!EG230</f>
        <v>158</v>
      </c>
      <c r="DI428" s="240">
        <f>INPUT!EH230</f>
        <v>12.056737588652481</v>
      </c>
      <c r="DJ428" s="75">
        <f>INPUT!EI230</f>
        <v>165</v>
      </c>
      <c r="DK428" s="240">
        <f>INPUT!EJ230</f>
        <v>13.013698630137</v>
      </c>
      <c r="DL428" s="75">
        <f>INPUT!EK230</f>
        <v>153</v>
      </c>
      <c r="DM428" s="240">
        <f>INPUT!EL230</f>
        <v>3.3783783783783718</v>
      </c>
      <c r="DN428" s="75">
        <f>INPUT!EM230</f>
        <v>155</v>
      </c>
      <c r="DO428" s="240">
        <f>INPUT!EN230</f>
        <v>-0.6410256410256352</v>
      </c>
      <c r="DP428" s="75">
        <f>INPUT!EO230</f>
        <v>164</v>
      </c>
      <c r="DQ428" s="240">
        <f>INPUT!EP230</f>
        <v>3.7974683544303787</v>
      </c>
      <c r="DR428" s="75">
        <f>INPUT!EQ230</f>
        <v>165.64000000000001</v>
      </c>
      <c r="DS428" s="240">
        <f>INPUT!ER230</f>
        <v>0.38787878787880459</v>
      </c>
      <c r="DT428" s="75">
        <f>INPUT!ES230</f>
        <v>167.29640000000001</v>
      </c>
      <c r="DU428" s="240">
        <f>INPUT!ET230</f>
        <v>9.3440522875817038</v>
      </c>
      <c r="DV428" s="75">
        <f>INPUT!EU230</f>
        <v>168.96936400000001</v>
      </c>
      <c r="DW428" s="240">
        <f>INPUT!EV230</f>
        <v>9.0124929032258052</v>
      </c>
      <c r="DX428" s="75">
        <f>INPUT!EW230</f>
        <v>170.65905764000001</v>
      </c>
      <c r="DY428" s="240">
        <f>INPUT!EX230</f>
        <v>4.0604009999999988</v>
      </c>
      <c r="DZ428" s="75"/>
      <c r="EA428" s="240"/>
      <c r="EB428" s="155">
        <f>INPUT!FI230</f>
        <v>12.783505154639172</v>
      </c>
      <c r="EC428" s="75">
        <f>INPUT!FJ230</f>
        <v>578</v>
      </c>
      <c r="ED428" s="155">
        <f>INPUT!FK230</f>
        <v>5.6672760511883098</v>
      </c>
      <c r="EE428" s="75">
        <f>INPUT!FL230</f>
        <v>583</v>
      </c>
      <c r="EF428" s="155">
        <f>INPUT!FM230</f>
        <v>0.86505190311419256</v>
      </c>
      <c r="EG428" s="75">
        <f>INPUT!FN230</f>
        <v>561</v>
      </c>
      <c r="EH428" s="155">
        <f>INPUT!FO230</f>
        <v>-3.7735849056603712</v>
      </c>
      <c r="EI428" s="75">
        <f>INPUT!FP230</f>
        <v>593</v>
      </c>
      <c r="EJ428" s="240">
        <f>INPUT!FQ230</f>
        <v>5.7040998217468939</v>
      </c>
      <c r="EK428" s="75">
        <f>INPUT!FR230</f>
        <v>621</v>
      </c>
      <c r="EL428" s="240">
        <f>INPUT!FS230</f>
        <v>4.7217537942664478</v>
      </c>
      <c r="EM428" s="75">
        <f>INPUT!FT230</f>
        <v>671</v>
      </c>
      <c r="EN428" s="240">
        <f>INPUT!FU230</f>
        <v>8.0515297906602115</v>
      </c>
      <c r="EO428" s="75">
        <f>INPUT!FV230</f>
        <v>647</v>
      </c>
      <c r="EP428" s="240">
        <f>INPUT!FW230</f>
        <v>-3.576751117734716</v>
      </c>
      <c r="EQ428" s="75">
        <f>INPUT!FX230</f>
        <v>623</v>
      </c>
      <c r="ER428" s="240">
        <f>INPUT!FY230</f>
        <v>-3.7094281298299876</v>
      </c>
      <c r="ES428" s="75">
        <f>INPUT!FZ230</f>
        <v>668</v>
      </c>
      <c r="ET428" s="240">
        <f>INPUT!GA230</f>
        <v>7.223113964687002</v>
      </c>
      <c r="EU428" s="75">
        <f>INPUT!GB230</f>
        <v>629</v>
      </c>
      <c r="EV428" s="240">
        <f>INPUT!GC230</f>
        <v>-5.8383233532934184</v>
      </c>
      <c r="EW428" s="75">
        <f>INPUT!GD230</f>
        <v>586</v>
      </c>
      <c r="EX428" s="240">
        <f>INPUT!GE230</f>
        <v>-6.8362480127185989</v>
      </c>
      <c r="EY428" s="75">
        <f>INPUT!GF230</f>
        <v>585</v>
      </c>
      <c r="EZ428" s="240">
        <f>INPUT!GG230</f>
        <v>-0.1706484641638184</v>
      </c>
      <c r="FA428" s="75">
        <f>INPUT!GH230</f>
        <v>613</v>
      </c>
      <c r="FB428" s="240">
        <f>INPUT!GI230</f>
        <v>4.7863247863247977</v>
      </c>
      <c r="FC428" s="75">
        <f>INPUT!GJ230</f>
        <v>586</v>
      </c>
      <c r="FD428" s="240">
        <f>INPUT!GK230</f>
        <v>-4.4045676998368748</v>
      </c>
      <c r="FE428" s="75">
        <f>INPUT!GL230</f>
        <v>608</v>
      </c>
      <c r="FF428" s="240">
        <f>INPUT!GM230</f>
        <v>3.7542662116040901</v>
      </c>
      <c r="FG428" s="75">
        <f>INPUT!GN230</f>
        <v>637</v>
      </c>
      <c r="FH428" s="240">
        <f>INPUT!GO230</f>
        <v>4.7697368421052602</v>
      </c>
      <c r="FI428" s="75">
        <f>INPUT!GP230</f>
        <v>672.5648216400001</v>
      </c>
      <c r="FJ428" s="240">
        <f>INPUT!GQ230</f>
        <v>5.5831745117739473</v>
      </c>
      <c r="FK428" s="75">
        <f>INPUT!GR230</f>
        <v>699.46741450560012</v>
      </c>
      <c r="FL428" s="240">
        <f>INPUT!GS230</f>
        <v>4</v>
      </c>
      <c r="FM428" s="75">
        <f>INPUT!GT230</f>
        <v>727.4461110858241</v>
      </c>
      <c r="FN428" s="240">
        <f>INPUT!GU230</f>
        <v>4</v>
      </c>
      <c r="FO428" s="75">
        <f>INPUT!GV230</f>
        <v>756.54395552925712</v>
      </c>
      <c r="FP428" s="240">
        <f>INPUT!GW230</f>
        <v>4</v>
      </c>
      <c r="FQ428" s="75">
        <f>INPUT!GX230</f>
        <v>786.80571375042746</v>
      </c>
      <c r="FR428" s="240">
        <f>INPUT!GY230</f>
        <v>4</v>
      </c>
      <c r="FS428" s="240">
        <f>INPUT!GZ230</f>
        <v>4.3147242949610698</v>
      </c>
    </row>
    <row r="429" spans="1:176" ht="12.75" hidden="1" customHeight="1" outlineLevel="1" x14ac:dyDescent="0.2">
      <c r="A429" s="77" t="str">
        <f>INPUT!B231</f>
        <v>Commissions, Fees and Other Income</v>
      </c>
      <c r="B429" s="75">
        <f>INPUT!AA231</f>
        <v>8</v>
      </c>
      <c r="C429" s="155">
        <f>INPUT!AB231</f>
        <v>0</v>
      </c>
      <c r="D429" s="75">
        <f>INPUT!AC231</f>
        <v>7</v>
      </c>
      <c r="E429" s="155">
        <f>INPUT!AD231</f>
        <v>16.666666666666671</v>
      </c>
      <c r="F429" s="75">
        <f>INPUT!AE231</f>
        <v>8</v>
      </c>
      <c r="G429" s="155">
        <f>INPUT!AF231</f>
        <v>-20</v>
      </c>
      <c r="H429" s="75">
        <f>INPUT!AG231</f>
        <v>14</v>
      </c>
      <c r="I429" s="155">
        <f>INPUT!AH231</f>
        <v>100</v>
      </c>
      <c r="J429" s="75">
        <f>INPUT!AI231</f>
        <v>11</v>
      </c>
      <c r="K429" s="155">
        <f>INPUT!AJ231</f>
        <v>37.5</v>
      </c>
      <c r="L429" s="75">
        <f>INPUT!AK231</f>
        <v>9</v>
      </c>
      <c r="M429" s="155">
        <f>INPUT!AL231</f>
        <v>28.571428571428584</v>
      </c>
      <c r="N429" s="75">
        <f>INPUT!AM231</f>
        <v>9</v>
      </c>
      <c r="O429" s="155">
        <f>INPUT!AN231</f>
        <v>12.5</v>
      </c>
      <c r="P429" s="75">
        <f>INPUT!AO231</f>
        <v>10</v>
      </c>
      <c r="Q429" s="155">
        <f>INPUT!AP231</f>
        <v>-28.571428571428569</v>
      </c>
      <c r="R429" s="75">
        <f>INPUT!AQ231</f>
        <v>9</v>
      </c>
      <c r="S429" s="155">
        <f>INPUT!AR231</f>
        <v>-18.181818181818173</v>
      </c>
      <c r="T429" s="75">
        <f>INPUT!AS231</f>
        <v>10</v>
      </c>
      <c r="U429" s="155">
        <f>INPUT!AT231</f>
        <v>11.111111111111114</v>
      </c>
      <c r="V429" s="75">
        <f>INPUT!AU231</f>
        <v>13</v>
      </c>
      <c r="W429" s="155">
        <f>INPUT!AV231</f>
        <v>44.444444444444429</v>
      </c>
      <c r="X429" s="75">
        <f>INPUT!AW231</f>
        <v>14</v>
      </c>
      <c r="Y429" s="155">
        <f>INPUT!AX231</f>
        <v>40</v>
      </c>
      <c r="Z429" s="75">
        <f>INPUT!AY231</f>
        <v>17</v>
      </c>
      <c r="AA429" s="155">
        <f>INPUT!AZ231</f>
        <v>88.888888888888886</v>
      </c>
      <c r="AB429" s="75">
        <f>INPUT!BA231</f>
        <v>14</v>
      </c>
      <c r="AC429" s="155">
        <f>INPUT!BB231</f>
        <v>40</v>
      </c>
      <c r="AD429" s="75">
        <f>INPUT!BC231</f>
        <v>19</v>
      </c>
      <c r="AE429" s="155">
        <f>INPUT!BD231</f>
        <v>46.153846153846132</v>
      </c>
      <c r="AF429" s="75">
        <f>INPUT!BE231</f>
        <v>21</v>
      </c>
      <c r="AG429" s="155">
        <f>INPUT!BF231</f>
        <v>50</v>
      </c>
      <c r="AH429" s="75">
        <f>INPUT!BG231</f>
        <v>19</v>
      </c>
      <c r="AI429" s="240">
        <f>INPUT!BH231</f>
        <v>11.764705882352942</v>
      </c>
      <c r="AJ429" s="75">
        <f>INPUT!BI231</f>
        <v>19</v>
      </c>
      <c r="AK429" s="240">
        <f>INPUT!BJ231</f>
        <v>35.714285714285722</v>
      </c>
      <c r="AL429" s="75">
        <f>INPUT!BK231</f>
        <v>26</v>
      </c>
      <c r="AM429" s="240">
        <f>INPUT!BL231</f>
        <v>36.84210526315789</v>
      </c>
      <c r="AN429" s="75">
        <f>INPUT!BM231</f>
        <v>19</v>
      </c>
      <c r="AO429" s="240">
        <f>INPUT!BN231</f>
        <v>-9.5238095238095184</v>
      </c>
      <c r="AP429" s="75">
        <f>INPUT!BO231</f>
        <v>21</v>
      </c>
      <c r="AQ429" s="240">
        <f>INPUT!BP231</f>
        <v>10.526315789473699</v>
      </c>
      <c r="AR429" s="75">
        <f>INPUT!BQ231</f>
        <v>22</v>
      </c>
      <c r="AS429" s="240">
        <f>INPUT!BR231</f>
        <v>15.789473684210535</v>
      </c>
      <c r="AT429" s="75">
        <f>INPUT!BS231</f>
        <v>22</v>
      </c>
      <c r="AU429" s="240">
        <f>INPUT!BT231</f>
        <v>-15.384615384615387</v>
      </c>
      <c r="AV429" s="75">
        <f>INPUT!BU231</f>
        <v>21</v>
      </c>
      <c r="AW429" s="240">
        <f>INPUT!BV231</f>
        <v>10.526315789473699</v>
      </c>
      <c r="AX429" s="75">
        <f>INPUT!BW231</f>
        <v>30</v>
      </c>
      <c r="AY429" s="240">
        <f>INPUT!BX231</f>
        <v>42.857142857142861</v>
      </c>
      <c r="AZ429" s="75">
        <f>INPUT!BY231</f>
        <v>33</v>
      </c>
      <c r="BA429" s="240">
        <f>INPUT!BZ231</f>
        <v>50</v>
      </c>
      <c r="BB429" s="75">
        <f>INPUT!CA231</f>
        <v>36</v>
      </c>
      <c r="BC429" s="240">
        <f>INPUT!CB231</f>
        <v>63.636363636363654</v>
      </c>
      <c r="BD429" s="75">
        <f>INPUT!CC231</f>
        <v>28</v>
      </c>
      <c r="BE429" s="240">
        <f>INPUT!CD231</f>
        <v>33.333333333333314</v>
      </c>
      <c r="BF429" s="75">
        <f>INPUT!CE231</f>
        <v>27</v>
      </c>
      <c r="BG429" s="240">
        <f>INPUT!CF231</f>
        <v>-10</v>
      </c>
      <c r="BH429" s="75">
        <f>INPUT!CG231</f>
        <v>25</v>
      </c>
      <c r="BI429" s="240">
        <f>INPUT!CH231</f>
        <v>-24.242424242424249</v>
      </c>
      <c r="BJ429" s="75">
        <f>INPUT!CI231</f>
        <v>24</v>
      </c>
      <c r="BK429" s="240">
        <f>INPUT!CJ231</f>
        <v>-33.333333333333343</v>
      </c>
      <c r="BL429" s="75">
        <f>INPUT!CK231</f>
        <v>29</v>
      </c>
      <c r="BM429" s="240">
        <f>INPUT!CL231</f>
        <v>3.5714285714285836</v>
      </c>
      <c r="BN429" s="75">
        <f>INPUT!CM231</f>
        <v>26</v>
      </c>
      <c r="BO429" s="240">
        <f>INPUT!CN231</f>
        <v>-3.7037037037037095</v>
      </c>
      <c r="BP429" s="75">
        <f>INPUT!CO231</f>
        <v>25</v>
      </c>
      <c r="BQ429" s="240">
        <f>INPUT!CP231</f>
        <v>0</v>
      </c>
      <c r="BR429" s="75">
        <f>INPUT!CQ231</f>
        <v>20</v>
      </c>
      <c r="BS429" s="240">
        <f>INPUT!CR231</f>
        <v>-16.666666666666657</v>
      </c>
      <c r="BT429" s="75">
        <f>INPUT!CS231</f>
        <v>21</v>
      </c>
      <c r="BU429" s="240">
        <f>INPUT!CT231</f>
        <v>-27.58620689655173</v>
      </c>
      <c r="BV429" s="75">
        <f>INPUT!CU231</f>
        <v>25</v>
      </c>
      <c r="BW429" s="240">
        <f>INPUT!CV231</f>
        <v>-3.8461538461538396</v>
      </c>
      <c r="BX429" s="75">
        <f>INPUT!CW231</f>
        <v>25</v>
      </c>
      <c r="BY429" s="240">
        <f>INPUT!CX231</f>
        <v>0</v>
      </c>
      <c r="BZ429" s="75">
        <f>INPUT!CY231</f>
        <v>31</v>
      </c>
      <c r="CA429" s="240">
        <f>INPUT!CZ231</f>
        <v>55</v>
      </c>
      <c r="CB429" s="75">
        <f>INPUT!DA231</f>
        <v>26</v>
      </c>
      <c r="CC429" s="240">
        <f>INPUT!DB231</f>
        <v>23.80952380952381</v>
      </c>
      <c r="CD429" s="75">
        <f>INPUT!DC231</f>
        <v>31</v>
      </c>
      <c r="CE429" s="240">
        <f>INPUT!DD231</f>
        <v>24</v>
      </c>
      <c r="CF429" s="75">
        <f>INPUT!DE231</f>
        <v>28</v>
      </c>
      <c r="CG429" s="240">
        <f>INPUT!DF231</f>
        <v>12.000000000000014</v>
      </c>
      <c r="CH429" s="75">
        <f>INPUT!DG231</f>
        <v>27</v>
      </c>
      <c r="CI429" s="240">
        <f>INPUT!DH231</f>
        <v>-12.903225806451616</v>
      </c>
      <c r="CJ429" s="75">
        <f>INPUT!DI231</f>
        <v>33</v>
      </c>
      <c r="CK429" s="240">
        <f>INPUT!DJ231</f>
        <v>26.92307692307692</v>
      </c>
      <c r="CL429" s="75">
        <f>INPUT!DK231</f>
        <v>30</v>
      </c>
      <c r="CM429" s="240">
        <f>INPUT!DL231</f>
        <v>-3.2258064516128968</v>
      </c>
      <c r="CN429" s="75">
        <f>INPUT!DM231</f>
        <v>32</v>
      </c>
      <c r="CO429" s="240">
        <f>INPUT!DN231</f>
        <v>14.285714285714278</v>
      </c>
      <c r="CP429" s="75">
        <f>INPUT!DO231</f>
        <v>26</v>
      </c>
      <c r="CQ429" s="240">
        <f>INPUT!DP231</f>
        <v>-3.7037037037037095</v>
      </c>
      <c r="CR429" s="75">
        <f>INPUT!DQ231</f>
        <v>30</v>
      </c>
      <c r="CS429" s="240">
        <f>INPUT!DR231</f>
        <v>-9.0909090909090935</v>
      </c>
      <c r="CT429" s="75">
        <f>INPUT!DS231</f>
        <v>33</v>
      </c>
      <c r="CU429" s="240">
        <f>INPUT!DT231</f>
        <v>10.000000000000014</v>
      </c>
      <c r="CV429" s="75">
        <f>INPUT!DU231</f>
        <v>22</v>
      </c>
      <c r="CW429" s="240">
        <f>INPUT!DV231</f>
        <v>-31.25</v>
      </c>
      <c r="CX429" s="75">
        <f>INPUT!DW231</f>
        <v>14</v>
      </c>
      <c r="CY429" s="240">
        <f>INPUT!DX231</f>
        <v>-46.153846153846153</v>
      </c>
      <c r="CZ429" s="75">
        <f>INPUT!DY231</f>
        <v>20</v>
      </c>
      <c r="DA429" s="240">
        <f>INPUT!DZ231</f>
        <v>-33.333333333333343</v>
      </c>
      <c r="DB429" s="75">
        <f>INPUT!EA231</f>
        <v>16</v>
      </c>
      <c r="DC429" s="240" t="str">
        <f>INPUT!EB231</f>
        <v>NM</v>
      </c>
      <c r="DD429" s="75">
        <f>INPUT!EC231</f>
        <v>22</v>
      </c>
      <c r="DE429" s="240">
        <f>INPUT!ED231</f>
        <v>0</v>
      </c>
      <c r="DF429" s="75">
        <f>INPUT!EE231</f>
        <v>25</v>
      </c>
      <c r="DG429" s="240">
        <f>INPUT!EF231</f>
        <v>78.571428571428584</v>
      </c>
      <c r="DH429" s="75">
        <f>INPUT!EG231</f>
        <v>22</v>
      </c>
      <c r="DI429" s="240">
        <f>INPUT!EH231</f>
        <v>10.000000000000014</v>
      </c>
      <c r="DJ429" s="75">
        <f>INPUT!EI231</f>
        <v>22</v>
      </c>
      <c r="DK429" s="240">
        <f>INPUT!EJ231</f>
        <v>37.5</v>
      </c>
      <c r="DL429" s="75">
        <f>INPUT!EK231</f>
        <v>19</v>
      </c>
      <c r="DM429" s="240">
        <f>INPUT!EL231</f>
        <v>-13.63636363636364</v>
      </c>
      <c r="DN429" s="75">
        <f>INPUT!EM231</f>
        <v>23</v>
      </c>
      <c r="DO429" s="240">
        <f>INPUT!EN231</f>
        <v>-8</v>
      </c>
      <c r="DP429" s="75">
        <f>INPUT!EO231</f>
        <v>22</v>
      </c>
      <c r="DQ429" s="240">
        <f>INPUT!EP231</f>
        <v>0</v>
      </c>
      <c r="DR429" s="75">
        <f>INPUT!EQ231</f>
        <v>22.22</v>
      </c>
      <c r="DS429" s="240">
        <f>INPUT!ER231</f>
        <v>1</v>
      </c>
      <c r="DT429" s="75">
        <f>INPUT!ES231</f>
        <v>22.4422</v>
      </c>
      <c r="DU429" s="240">
        <f>INPUT!ET231</f>
        <v>18.11684210526316</v>
      </c>
      <c r="DV429" s="75">
        <f>INPUT!EU231</f>
        <v>22.666622</v>
      </c>
      <c r="DW429" s="240">
        <f>INPUT!EV231</f>
        <v>-1.4494695652173846</v>
      </c>
      <c r="DX429" s="75">
        <f>INPUT!EW231</f>
        <v>22.893288219999999</v>
      </c>
      <c r="DY429" s="240">
        <f>INPUT!EX231</f>
        <v>4.0604009999999988</v>
      </c>
      <c r="DZ429" s="75"/>
      <c r="EA429" s="240"/>
      <c r="EB429" s="155">
        <f>INPUT!FI231</f>
        <v>0</v>
      </c>
      <c r="EC429" s="75">
        <f>INPUT!FJ231</f>
        <v>31</v>
      </c>
      <c r="ED429" s="155">
        <f>INPUT!FK231</f>
        <v>24</v>
      </c>
      <c r="EE429" s="75">
        <f>INPUT!FL231</f>
        <v>37</v>
      </c>
      <c r="EF429" s="155">
        <f>INPUT!FM231</f>
        <v>19.354838709677423</v>
      </c>
      <c r="EG429" s="75">
        <f>INPUT!FN231</f>
        <v>39</v>
      </c>
      <c r="EH429" s="155">
        <f>INPUT!FO231</f>
        <v>5.4054054054053893</v>
      </c>
      <c r="EI429" s="75">
        <f>INPUT!FP231</f>
        <v>46</v>
      </c>
      <c r="EJ429" s="240">
        <f>INPUT!FQ231</f>
        <v>17.948717948717956</v>
      </c>
      <c r="EK429" s="75">
        <f>INPUT!FR231</f>
        <v>71</v>
      </c>
      <c r="EL429" s="240">
        <f>INPUT!FS231</f>
        <v>54.34782608695653</v>
      </c>
      <c r="EM429" s="75">
        <f>INPUT!FT231</f>
        <v>83</v>
      </c>
      <c r="EN429" s="240">
        <f>INPUT!FU231</f>
        <v>16.901408450704224</v>
      </c>
      <c r="EO429" s="75">
        <f>INPUT!FV231</f>
        <v>86</v>
      </c>
      <c r="EP429" s="240">
        <f>INPUT!FW231</f>
        <v>3.6144578313252964</v>
      </c>
      <c r="EQ429" s="75">
        <f>INPUT!FX231</f>
        <v>127</v>
      </c>
      <c r="ER429" s="240">
        <f>INPUT!FY231</f>
        <v>47.674418604651152</v>
      </c>
      <c r="ES429" s="75">
        <f>INPUT!FZ231</f>
        <v>105</v>
      </c>
      <c r="ET429" s="240">
        <f>INPUT!GA231</f>
        <v>-17.322834645669289</v>
      </c>
      <c r="EU429" s="75">
        <f>INPUT!GB231</f>
        <v>92</v>
      </c>
      <c r="EV429" s="240">
        <f>INPUT!GC231</f>
        <v>-12.38095238095238</v>
      </c>
      <c r="EW429" s="75">
        <f>INPUT!GD231</f>
        <v>107</v>
      </c>
      <c r="EX429" s="240">
        <f>INPUT!GE231</f>
        <v>16.304347826086968</v>
      </c>
      <c r="EY429" s="75">
        <f>INPUT!GF231</f>
        <v>119</v>
      </c>
      <c r="EZ429" s="240">
        <f>INPUT!GG231</f>
        <v>11.214953271028037</v>
      </c>
      <c r="FA429" s="75">
        <f>INPUT!GH231</f>
        <v>118</v>
      </c>
      <c r="FB429" s="240">
        <f>INPUT!GI231</f>
        <v>-0.84033613445377853</v>
      </c>
      <c r="FC429" s="75">
        <f>INPUT!GJ231</f>
        <v>89</v>
      </c>
      <c r="FD429" s="240">
        <f>INPUT!GK231</f>
        <v>-24.576271186440678</v>
      </c>
      <c r="FE429" s="75">
        <f>INPUT!GL231</f>
        <v>85</v>
      </c>
      <c r="FF429" s="240">
        <f>INPUT!GM231</f>
        <v>-4.4943820224719104</v>
      </c>
      <c r="FG429" s="75">
        <f>INPUT!GN231</f>
        <v>86</v>
      </c>
      <c r="FH429" s="240">
        <f>INPUT!GO231</f>
        <v>1.1764705882352899</v>
      </c>
      <c r="FI429" s="75">
        <f>INPUT!GP231</f>
        <v>90.222110220000005</v>
      </c>
      <c r="FJ429" s="240">
        <f>INPUT!GQ231</f>
        <v>4.9094304883720952</v>
      </c>
      <c r="FK429" s="75">
        <f>INPUT!GR231</f>
        <v>93.830994628800013</v>
      </c>
      <c r="FL429" s="240">
        <f>INPUT!GS231</f>
        <v>4</v>
      </c>
      <c r="FM429" s="75">
        <f>INPUT!GT231</f>
        <v>97.584234413952018</v>
      </c>
      <c r="FN429" s="240">
        <f>INPUT!GU231</f>
        <v>4</v>
      </c>
      <c r="FO429" s="75">
        <f>INPUT!GV231</f>
        <v>101.48760379051011</v>
      </c>
      <c r="FP429" s="240">
        <f>INPUT!GW231</f>
        <v>4</v>
      </c>
      <c r="FQ429" s="75">
        <f>INPUT!GX231</f>
        <v>105.54710794213051</v>
      </c>
      <c r="FR429" s="240">
        <f>INPUT!GY231</f>
        <v>4</v>
      </c>
      <c r="FS429" s="240">
        <f>INPUT!GZ231</f>
        <v>4.1812532124188229</v>
      </c>
    </row>
    <row r="430" spans="1:176" ht="12.75" hidden="1" customHeight="1" outlineLevel="1" x14ac:dyDescent="0.2">
      <c r="A430" s="70" t="str">
        <f>INPUT!B232</f>
        <v xml:space="preserve">  Total Revenues</v>
      </c>
      <c r="B430" s="91">
        <f>INPUT!AA232</f>
        <v>961</v>
      </c>
      <c r="C430" s="155">
        <f>INPUT!AB232</f>
        <v>7.9775280898876275</v>
      </c>
      <c r="D430" s="91">
        <f>INPUT!AC232</f>
        <v>910</v>
      </c>
      <c r="E430" s="155">
        <f>INPUT!AD232</f>
        <v>1.2235817575083416</v>
      </c>
      <c r="F430" s="91">
        <f>INPUT!AE232</f>
        <v>882</v>
      </c>
      <c r="G430" s="155">
        <f>INPUT!AF232</f>
        <v>0</v>
      </c>
      <c r="H430" s="91">
        <f>INPUT!AG232</f>
        <v>935</v>
      </c>
      <c r="I430" s="155">
        <f>INPUT!AH232</f>
        <v>2.6344676180021906</v>
      </c>
      <c r="J430" s="91">
        <f>INPUT!AI232</f>
        <v>971</v>
      </c>
      <c r="K430" s="155">
        <f>INPUT!AJ232</f>
        <v>1.0405827263267469</v>
      </c>
      <c r="L430" s="91">
        <f>INPUT!AK232</f>
        <v>953</v>
      </c>
      <c r="M430" s="155">
        <f>INPUT!AL232</f>
        <v>4.7252747252747298</v>
      </c>
      <c r="N430" s="91">
        <f>INPUT!AM232</f>
        <v>987</v>
      </c>
      <c r="O430" s="155">
        <f>INPUT!AN232</f>
        <v>11.904761904761912</v>
      </c>
      <c r="P430" s="91">
        <f>INPUT!AO232</f>
        <v>981</v>
      </c>
      <c r="Q430" s="155">
        <f>INPUT!AP232</f>
        <v>4.9197860962567006</v>
      </c>
      <c r="R430" s="91">
        <f>INPUT!AQ232</f>
        <v>1052</v>
      </c>
      <c r="S430" s="155">
        <f>INPUT!AR232</f>
        <v>8.3419155509783565</v>
      </c>
      <c r="T430" s="91">
        <f>INPUT!AS232</f>
        <v>1060</v>
      </c>
      <c r="U430" s="155">
        <f>INPUT!AT232</f>
        <v>11.227701993704088</v>
      </c>
      <c r="V430" s="91">
        <f>INPUT!AU232</f>
        <v>1038</v>
      </c>
      <c r="W430" s="155">
        <f>INPUT!AV232</f>
        <v>5.167173252279639</v>
      </c>
      <c r="X430" s="91">
        <f>INPUT!AW232</f>
        <v>1050</v>
      </c>
      <c r="Y430" s="155">
        <f>INPUT!AX232</f>
        <v>7.0336391437308947</v>
      </c>
      <c r="Z430" s="91">
        <f>INPUT!AY232</f>
        <v>1109</v>
      </c>
      <c r="AA430" s="155">
        <f>INPUT!AZ232</f>
        <v>5.4182509505703393</v>
      </c>
      <c r="AB430" s="91">
        <f>INPUT!BA232</f>
        <v>1117</v>
      </c>
      <c r="AC430" s="155">
        <f>INPUT!BB232</f>
        <v>5.3773584905660385</v>
      </c>
      <c r="AD430" s="91">
        <f>INPUT!BC232</f>
        <v>1155</v>
      </c>
      <c r="AE430" s="155">
        <f>INPUT!BD232</f>
        <v>11.271676300578036</v>
      </c>
      <c r="AF430" s="91">
        <f>INPUT!BE232</f>
        <v>1174</v>
      </c>
      <c r="AG430" s="155">
        <f>INPUT!BF232</f>
        <v>11.809523809523796</v>
      </c>
      <c r="AH430" s="91">
        <f>INPUT!BG232</f>
        <v>1205</v>
      </c>
      <c r="AI430" s="240">
        <f>INPUT!BH232</f>
        <v>8.6564472497745726</v>
      </c>
      <c r="AJ430" s="91">
        <f>INPUT!BI232</f>
        <v>1211</v>
      </c>
      <c r="AK430" s="240">
        <f>INPUT!BJ232</f>
        <v>8.4153983885407229</v>
      </c>
      <c r="AL430" s="91">
        <f>INPUT!BK232</f>
        <v>1203</v>
      </c>
      <c r="AM430" s="240">
        <f>INPUT!BL232</f>
        <v>4.1558441558441643</v>
      </c>
      <c r="AN430" s="91">
        <f>INPUT!BM232</f>
        <v>1180</v>
      </c>
      <c r="AO430" s="240">
        <f>INPUT!BN232</f>
        <v>0.51107325383303248</v>
      </c>
      <c r="AP430" s="91">
        <f>INPUT!BO232</f>
        <v>1257</v>
      </c>
      <c r="AQ430" s="240">
        <f>INPUT!BP232</f>
        <v>4.3153526970954488</v>
      </c>
      <c r="AR430" s="91">
        <f>INPUT!BQ232</f>
        <v>1218</v>
      </c>
      <c r="AS430" s="240">
        <f>INPUT!BR232</f>
        <v>0.57803468208092568</v>
      </c>
      <c r="AT430" s="91">
        <f>INPUT!BS232</f>
        <v>1232</v>
      </c>
      <c r="AU430" s="240">
        <f>INPUT!BT232</f>
        <v>2.4106400665004202</v>
      </c>
      <c r="AV430" s="91">
        <f>INPUT!BU232</f>
        <v>1253</v>
      </c>
      <c r="AW430" s="240">
        <f>INPUT!BV232</f>
        <v>6.1864406779661039</v>
      </c>
      <c r="AX430" s="91">
        <f>INPUT!BW232</f>
        <v>1333</v>
      </c>
      <c r="AY430" s="240">
        <f>INPUT!BX232</f>
        <v>6.0461416070007914</v>
      </c>
      <c r="AZ430" s="91">
        <f>INPUT!BY232</f>
        <v>1303</v>
      </c>
      <c r="BA430" s="240">
        <f>INPUT!BZ232</f>
        <v>6.9786535303776702</v>
      </c>
      <c r="BB430" s="91">
        <f>INPUT!CA232</f>
        <v>1356</v>
      </c>
      <c r="BC430" s="240">
        <f>INPUT!CB232</f>
        <v>10.064935064935071</v>
      </c>
      <c r="BD430" s="91">
        <f>INPUT!CC232</f>
        <v>1293</v>
      </c>
      <c r="BE430" s="240">
        <f>INPUT!CD232</f>
        <v>3.1923383878691141</v>
      </c>
      <c r="BF430" s="91">
        <f>INPUT!CE232</f>
        <v>1311</v>
      </c>
      <c r="BG430" s="240">
        <f>INPUT!CF232</f>
        <v>-1.6504126031507838</v>
      </c>
      <c r="BH430" s="91">
        <f>INPUT!CG232</f>
        <v>1316</v>
      </c>
      <c r="BI430" s="240">
        <f>INPUT!CH232</f>
        <v>0.997697620874888</v>
      </c>
      <c r="BJ430" s="91">
        <f>INPUT!CI232</f>
        <v>1466</v>
      </c>
      <c r="BK430" s="240">
        <f>INPUT!CJ232</f>
        <v>8.112094395280252</v>
      </c>
      <c r="BL430" s="91">
        <f>INPUT!CK232</f>
        <v>1365</v>
      </c>
      <c r="BM430" s="240">
        <f>INPUT!CL232</f>
        <v>5.5684454756380575</v>
      </c>
      <c r="BN430" s="91">
        <f>INPUT!CM232</f>
        <v>1506</v>
      </c>
      <c r="BO430" s="240">
        <f>INPUT!CN232</f>
        <v>14.874141876430215</v>
      </c>
      <c r="BP430" s="91">
        <f>INPUT!CO232</f>
        <v>1486</v>
      </c>
      <c r="BQ430" s="240">
        <f>INPUT!CP232</f>
        <v>12.917933130699083</v>
      </c>
      <c r="BR430" s="91">
        <f>INPUT!CQ232</f>
        <v>1447</v>
      </c>
      <c r="BS430" s="240">
        <f>INPUT!CR232</f>
        <v>-1.2960436562073738</v>
      </c>
      <c r="BT430" s="91">
        <f>INPUT!CS232</f>
        <v>1384</v>
      </c>
      <c r="BU430" s="240">
        <f>INPUT!CT232</f>
        <v>1.391941391941387</v>
      </c>
      <c r="BV430" s="91">
        <f>INPUT!CU232</f>
        <v>1391</v>
      </c>
      <c r="BW430" s="240">
        <f>INPUT!CV232</f>
        <v>-7.6361221779548458</v>
      </c>
      <c r="BX430" s="91">
        <f>INPUT!CW232</f>
        <v>1392</v>
      </c>
      <c r="BY430" s="240">
        <f>INPUT!CX232</f>
        <v>-6.3257065948855882</v>
      </c>
      <c r="BZ430" s="91">
        <f>INPUT!CY232</f>
        <v>1420</v>
      </c>
      <c r="CA430" s="240">
        <f>INPUT!CZ232</f>
        <v>-1.8659295093296464</v>
      </c>
      <c r="CB430" s="91">
        <f>INPUT!DA232</f>
        <v>1398</v>
      </c>
      <c r="CC430" s="240">
        <f>INPUT!DB232</f>
        <v>1.0115606936416128</v>
      </c>
      <c r="CD430" s="91">
        <f>INPUT!DC232</f>
        <v>1402</v>
      </c>
      <c r="CE430" s="240">
        <f>INPUT!DD232</f>
        <v>0.79079798705967619</v>
      </c>
      <c r="CF430" s="91">
        <f>INPUT!DE232</f>
        <v>1399</v>
      </c>
      <c r="CG430" s="240">
        <f>INPUT!DF232</f>
        <v>0.50287356321838672</v>
      </c>
      <c r="CH430" s="91">
        <f>INPUT!DG232</f>
        <v>1342</v>
      </c>
      <c r="CI430" s="240">
        <f>INPUT!DH232</f>
        <v>-5.4929577464788792</v>
      </c>
      <c r="CJ430" s="91">
        <f>INPUT!DI232</f>
        <v>1375</v>
      </c>
      <c r="CK430" s="240">
        <f>INPUT!DJ232</f>
        <v>-1.645207439198856</v>
      </c>
      <c r="CL430" s="91">
        <f>INPUT!DK232</f>
        <v>1362</v>
      </c>
      <c r="CM430" s="240">
        <f>INPUT!DL232</f>
        <v>-2.8530670470756121</v>
      </c>
      <c r="CN430" s="91">
        <f>INPUT!DM232</f>
        <v>1342</v>
      </c>
      <c r="CO430" s="240">
        <f>INPUT!DN232</f>
        <v>-4.0743388134381746</v>
      </c>
      <c r="CP430" s="91">
        <f>INPUT!DO232</f>
        <v>1349</v>
      </c>
      <c r="CQ430" s="240">
        <f>INPUT!DP232</f>
        <v>0.52160953800297705</v>
      </c>
      <c r="CR430" s="91">
        <f>INPUT!DQ232</f>
        <v>1304</v>
      </c>
      <c r="CS430" s="240">
        <f>INPUT!DR232</f>
        <v>-5.1636363636363569</v>
      </c>
      <c r="CT430" s="91">
        <f>INPUT!DS232</f>
        <v>1277</v>
      </c>
      <c r="CU430" s="240">
        <f>INPUT!DT232</f>
        <v>-6.2408223201174735</v>
      </c>
      <c r="CV430" s="91">
        <f>INPUT!DU232</f>
        <v>1291</v>
      </c>
      <c r="CW430" s="240">
        <f>INPUT!DV232</f>
        <v>-3.8002980625931428</v>
      </c>
      <c r="CX430" s="91">
        <f>INPUT!DW232</f>
        <v>1294</v>
      </c>
      <c r="CY430" s="240">
        <f>INPUT!DX232</f>
        <v>-4.0770941438102284</v>
      </c>
      <c r="CZ430" s="91">
        <f>INPUT!DY232</f>
        <v>1281</v>
      </c>
      <c r="DA430" s="240">
        <f>INPUT!DZ232</f>
        <v>-1.7638036809815958</v>
      </c>
      <c r="DB430" s="91">
        <f>INPUT!EA232</f>
        <v>1320</v>
      </c>
      <c r="DC430" s="240">
        <f>INPUT!EB232</f>
        <v>3.367267032106497</v>
      </c>
      <c r="DD430" s="91">
        <f>INPUT!EC232</f>
        <v>1364</v>
      </c>
      <c r="DE430" s="240">
        <f>INPUT!ED232</f>
        <v>5.6545313710302025</v>
      </c>
      <c r="DF430" s="91">
        <f>INPUT!EE232</f>
        <v>1333</v>
      </c>
      <c r="DG430" s="240">
        <f>INPUT!EF232</f>
        <v>3.0139103554868569</v>
      </c>
      <c r="DH430" s="91">
        <f>INPUT!EG232</f>
        <v>1326</v>
      </c>
      <c r="DI430" s="240">
        <f>INPUT!EH232</f>
        <v>3.5128805620609</v>
      </c>
      <c r="DJ430" s="91">
        <f>INPUT!EI232</f>
        <v>1383</v>
      </c>
      <c r="DK430" s="240">
        <f>INPUT!EJ232</f>
        <v>4.7727272727272663</v>
      </c>
      <c r="DL430" s="91">
        <f>INPUT!EK232</f>
        <v>1362</v>
      </c>
      <c r="DM430" s="240">
        <f>INPUT!EL232</f>
        <v>-0.14662756598239923</v>
      </c>
      <c r="DN430" s="91">
        <f>INPUT!EM232</f>
        <v>1363</v>
      </c>
      <c r="DO430" s="240">
        <f>INPUT!EN232</f>
        <v>2.2505626406601635</v>
      </c>
      <c r="DP430" s="91">
        <f>INPUT!EO232</f>
        <v>1363</v>
      </c>
      <c r="DQ430" s="240">
        <f>INPUT!EP232</f>
        <v>2.7903469079939498</v>
      </c>
      <c r="DR430" s="91">
        <f>INPUT!EQ232</f>
        <v>1376.6300000000003</v>
      </c>
      <c r="DS430" s="240">
        <f>INPUT!ER232</f>
        <v>-0.46059291395515345</v>
      </c>
      <c r="DT430" s="91">
        <f>INPUT!ES232</f>
        <v>1390.3963000000001</v>
      </c>
      <c r="DU430" s="240">
        <f>INPUT!ET232</f>
        <v>2.0848972099853285</v>
      </c>
      <c r="DV430" s="91">
        <f>INPUT!EU232</f>
        <v>1404.3002630000001</v>
      </c>
      <c r="DW430" s="240">
        <f>INPUT!EV232</f>
        <v>3.0301000000000187</v>
      </c>
      <c r="DX430" s="91">
        <f>INPUT!EW232</f>
        <v>1418.3432656299999</v>
      </c>
      <c r="DY430" s="240">
        <f>INPUT!EX232</f>
        <v>4.0604009999999988</v>
      </c>
      <c r="DZ430" s="91"/>
      <c r="EA430" s="240"/>
      <c r="EB430" s="155">
        <f>INPUT!FI232</f>
        <v>15.958586219207433</v>
      </c>
      <c r="EC430" s="91">
        <f>INPUT!FJ232</f>
        <v>3582</v>
      </c>
      <c r="ED430" s="155">
        <f>INPUT!FK232</f>
        <v>10.283251231527089</v>
      </c>
      <c r="EE430" s="91">
        <f>INPUT!FL232</f>
        <v>3688</v>
      </c>
      <c r="EF430" s="155">
        <f>INPUT!FM232</f>
        <v>2.9592406476828472</v>
      </c>
      <c r="EG430" s="91">
        <f>INPUT!FN232</f>
        <v>3892</v>
      </c>
      <c r="EH430" s="155">
        <f>INPUT!FO232</f>
        <v>5.5314533622559594</v>
      </c>
      <c r="EI430" s="91">
        <f>INPUT!FP232</f>
        <v>4200</v>
      </c>
      <c r="EJ430" s="240">
        <f>INPUT!FQ232</f>
        <v>7.9136690647481913</v>
      </c>
      <c r="EK430" s="91">
        <f>INPUT!FR232</f>
        <v>4555</v>
      </c>
      <c r="EL430" s="240">
        <f>INPUT!FS232</f>
        <v>8.452380952380949</v>
      </c>
      <c r="EM430" s="91">
        <f>INPUT!FT232</f>
        <v>4799</v>
      </c>
      <c r="EN430" s="240">
        <f>INPUT!FU232</f>
        <v>5.3567508232711418</v>
      </c>
      <c r="EO430" s="91">
        <f>INPUT!FV232</f>
        <v>4960</v>
      </c>
      <c r="EP430" s="240">
        <f>INPUT!FW232</f>
        <v>3.3548655969993746</v>
      </c>
      <c r="EQ430" s="91">
        <f>INPUT!FX232</f>
        <v>5285</v>
      </c>
      <c r="ER430" s="240">
        <f>INPUT!FY232</f>
        <v>6.5524193548387046</v>
      </c>
      <c r="ES430" s="91">
        <f>INPUT!FZ232</f>
        <v>5458</v>
      </c>
      <c r="ET430" s="240">
        <f>INPUT!GA232</f>
        <v>3.2734153263954653</v>
      </c>
      <c r="EU430" s="91">
        <f>INPUT!GB232</f>
        <v>5823</v>
      </c>
      <c r="EV430" s="240">
        <f>INPUT!GC232</f>
        <v>6.6874312935140949</v>
      </c>
      <c r="EW430" s="91">
        <f>INPUT!GD232</f>
        <v>5601</v>
      </c>
      <c r="EX430" s="240">
        <f>INPUT!GE232</f>
        <v>-3.8124678001030361</v>
      </c>
      <c r="EY430" s="91">
        <f>INPUT!GF232</f>
        <v>5518</v>
      </c>
      <c r="EZ430" s="240">
        <f>INPUT!GG232</f>
        <v>-1.4818782360292744</v>
      </c>
      <c r="FA430" s="91">
        <f>INPUT!GH232</f>
        <v>5357</v>
      </c>
      <c r="FB430" s="240">
        <f>INPUT!GI232</f>
        <v>-2.9177238129757086</v>
      </c>
      <c r="FC430" s="91">
        <f>INPUT!GJ232</f>
        <v>5143</v>
      </c>
      <c r="FD430" s="240">
        <f>INPUT!GK232</f>
        <v>-3.9947731939518434</v>
      </c>
      <c r="FE430" s="91">
        <f>INPUT!GL232</f>
        <v>5343</v>
      </c>
      <c r="FF430" s="240">
        <f>INPUT!GM232</f>
        <v>3.8887808671981219</v>
      </c>
      <c r="FG430" s="91">
        <f>INPUT!GN232</f>
        <v>5471</v>
      </c>
      <c r="FH430" s="240">
        <f>INPUT!GO232</f>
        <v>2.3956578701104263</v>
      </c>
      <c r="FI430" s="91">
        <f>INPUT!GP232</f>
        <v>5589.6698286300016</v>
      </c>
      <c r="FJ430" s="240">
        <f>INPUT!GQ232</f>
        <v>2.1690701632242906</v>
      </c>
      <c r="FK430" s="91">
        <f>INPUT!GR232</f>
        <v>5824.6574157030018</v>
      </c>
      <c r="FL430" s="240">
        <f>INPUT!GS232</f>
        <v>4.2039618488628037</v>
      </c>
      <c r="FM430" s="91">
        <f>INPUT!GT232</f>
        <v>6069.7285538945889</v>
      </c>
      <c r="FN430" s="240">
        <f>INPUT!GU232</f>
        <v>4.2074772935295215</v>
      </c>
      <c r="FO430" s="91">
        <f>INPUT!GV232</f>
        <v>6325.3276281076496</v>
      </c>
      <c r="FP430" s="240">
        <f>INPUT!GW232</f>
        <v>4.2110462097857351</v>
      </c>
      <c r="FQ430" s="91">
        <f>INPUT!GX232</f>
        <v>6591.9192612126681</v>
      </c>
      <c r="FR430" s="240">
        <f>INPUT!GY232</f>
        <v>4.2146691646512267</v>
      </c>
      <c r="FS430" s="240">
        <f>INPUT!GZ232</f>
        <v>3.7980113301367746</v>
      </c>
    </row>
    <row r="431" spans="1:176" ht="12.75" hidden="1" customHeight="1" outlineLevel="1" x14ac:dyDescent="0.2">
      <c r="A431" s="77"/>
      <c r="B431" s="75"/>
      <c r="C431" s="155"/>
      <c r="D431" s="75"/>
      <c r="E431" s="155"/>
      <c r="F431" s="75"/>
      <c r="G431" s="155"/>
      <c r="H431" s="75"/>
      <c r="I431" s="155"/>
      <c r="J431" s="75"/>
      <c r="K431" s="155"/>
      <c r="L431" s="75"/>
      <c r="M431" s="155"/>
      <c r="N431" s="75"/>
      <c r="O431" s="155"/>
      <c r="P431" s="75"/>
      <c r="Q431" s="155"/>
      <c r="R431" s="75"/>
      <c r="S431" s="155"/>
      <c r="T431" s="75"/>
      <c r="U431" s="155"/>
      <c r="V431" s="75"/>
      <c r="W431" s="155"/>
      <c r="X431" s="75"/>
      <c r="Y431" s="155"/>
      <c r="Z431" s="75"/>
      <c r="AA431" s="155"/>
      <c r="AB431" s="75"/>
      <c r="AC431" s="155"/>
      <c r="AD431" s="75"/>
      <c r="AE431" s="155"/>
      <c r="AF431" s="75"/>
      <c r="AG431" s="155"/>
      <c r="AH431" s="75"/>
      <c r="AI431" s="240"/>
      <c r="AJ431" s="75"/>
      <c r="AK431" s="240"/>
      <c r="AL431" s="75"/>
      <c r="AM431" s="240"/>
      <c r="AN431" s="75"/>
      <c r="AO431" s="240"/>
      <c r="AP431" s="75"/>
      <c r="AQ431" s="240"/>
      <c r="AR431" s="75"/>
      <c r="AS431" s="240"/>
      <c r="AT431" s="75"/>
      <c r="AU431" s="240"/>
      <c r="AV431" s="75"/>
      <c r="AW431" s="240"/>
      <c r="AX431" s="75"/>
      <c r="AY431" s="240"/>
      <c r="AZ431" s="75"/>
      <c r="BA431" s="240"/>
      <c r="BB431" s="75"/>
      <c r="BC431" s="240"/>
      <c r="BD431" s="75"/>
      <c r="BE431" s="240"/>
      <c r="BF431" s="75"/>
      <c r="BG431" s="240"/>
      <c r="BH431" s="75"/>
      <c r="BI431" s="240"/>
      <c r="BJ431" s="75"/>
      <c r="BK431" s="240"/>
      <c r="BL431" s="75"/>
      <c r="BM431" s="240"/>
      <c r="BN431" s="75"/>
      <c r="BO431" s="240"/>
      <c r="BP431" s="75"/>
      <c r="BQ431" s="240"/>
      <c r="BR431" s="75"/>
      <c r="BS431" s="240"/>
      <c r="BT431" s="75"/>
      <c r="BU431" s="240"/>
      <c r="BV431" s="75"/>
      <c r="BW431" s="240"/>
      <c r="BX431" s="75"/>
      <c r="BY431" s="240"/>
      <c r="BZ431" s="75"/>
      <c r="CA431" s="240"/>
      <c r="CB431" s="75"/>
      <c r="CC431" s="240"/>
      <c r="CD431" s="75"/>
      <c r="CE431" s="240"/>
      <c r="CF431" s="75"/>
      <c r="CG431" s="240"/>
      <c r="CH431" s="75"/>
      <c r="CI431" s="240"/>
      <c r="CJ431" s="75"/>
      <c r="CK431" s="240"/>
      <c r="CL431" s="75"/>
      <c r="CM431" s="240"/>
      <c r="CN431" s="75"/>
      <c r="CO431" s="240"/>
      <c r="CP431" s="75"/>
      <c r="CQ431" s="240"/>
      <c r="CR431" s="75"/>
      <c r="CS431" s="240"/>
      <c r="CT431" s="75"/>
      <c r="CU431" s="240"/>
      <c r="CV431" s="75"/>
      <c r="CW431" s="240"/>
      <c r="CX431" s="75"/>
      <c r="CY431" s="240"/>
      <c r="CZ431" s="75"/>
      <c r="DA431" s="240"/>
      <c r="DB431" s="75"/>
      <c r="DC431" s="240"/>
      <c r="DD431" s="75"/>
      <c r="DE431" s="240"/>
      <c r="DF431" s="75"/>
      <c r="DG431" s="240"/>
      <c r="DH431" s="75"/>
      <c r="DI431" s="240"/>
      <c r="DJ431" s="75"/>
      <c r="DK431" s="240"/>
      <c r="DL431" s="75"/>
      <c r="DM431" s="240"/>
      <c r="DN431" s="75"/>
      <c r="DO431" s="240"/>
      <c r="DP431" s="75"/>
      <c r="DQ431" s="240"/>
      <c r="DR431" s="75"/>
      <c r="DS431" s="240"/>
      <c r="DT431" s="75"/>
      <c r="DU431" s="240"/>
      <c r="DV431" s="75"/>
      <c r="DW431" s="240"/>
      <c r="DX431" s="75"/>
      <c r="DY431" s="240"/>
      <c r="DZ431" s="75"/>
      <c r="EA431" s="240"/>
      <c r="EB431" s="155"/>
      <c r="EC431" s="75"/>
      <c r="ED431" s="155"/>
      <c r="EE431" s="75"/>
      <c r="EF431" s="155"/>
      <c r="EG431" s="75"/>
      <c r="EH431" s="155"/>
      <c r="EI431" s="75"/>
      <c r="EJ431" s="240"/>
      <c r="EK431" s="75"/>
      <c r="EL431" s="240"/>
      <c r="EM431" s="75"/>
      <c r="EN431" s="240"/>
      <c r="EO431" s="75"/>
      <c r="EP431" s="240"/>
      <c r="EQ431" s="75"/>
      <c r="ER431" s="240"/>
      <c r="ES431" s="75"/>
      <c r="ET431" s="240"/>
      <c r="EU431" s="75"/>
      <c r="EV431" s="240"/>
      <c r="EW431" s="75"/>
      <c r="EX431" s="240"/>
      <c r="EY431" s="75"/>
      <c r="EZ431" s="240"/>
      <c r="FA431" s="75"/>
      <c r="FB431" s="240"/>
      <c r="FC431" s="75"/>
      <c r="FD431" s="240"/>
      <c r="FE431" s="75"/>
      <c r="FF431" s="240"/>
      <c r="FG431" s="75"/>
      <c r="FH431" s="240"/>
      <c r="FI431" s="75"/>
      <c r="FJ431" s="240"/>
      <c r="FK431" s="75"/>
      <c r="FL431" s="240"/>
      <c r="FM431" s="75"/>
      <c r="FN431" s="240"/>
      <c r="FO431" s="75"/>
      <c r="FP431" s="240"/>
      <c r="FQ431" s="75"/>
      <c r="FR431" s="240"/>
      <c r="FS431" s="240"/>
    </row>
    <row r="432" spans="1:176" ht="12.75" hidden="1" customHeight="1" outlineLevel="1" x14ac:dyDescent="0.2">
      <c r="A432" s="70" t="s">
        <v>129</v>
      </c>
      <c r="B432" s="91"/>
      <c r="C432" s="155"/>
      <c r="D432" s="91"/>
      <c r="E432" s="155"/>
      <c r="F432" s="91"/>
      <c r="G432" s="155"/>
      <c r="H432" s="91"/>
      <c r="I432" s="155"/>
      <c r="J432" s="91"/>
      <c r="K432" s="155"/>
      <c r="L432" s="91"/>
      <c r="M432" s="155"/>
      <c r="N432" s="91"/>
      <c r="O432" s="155"/>
      <c r="P432" s="91"/>
      <c r="Q432" s="155"/>
      <c r="R432" s="91"/>
      <c r="S432" s="155"/>
      <c r="T432" s="91"/>
      <c r="U432" s="155"/>
      <c r="V432" s="91"/>
      <c r="W432" s="155"/>
      <c r="X432" s="91"/>
      <c r="Y432" s="155"/>
      <c r="Z432" s="91"/>
      <c r="AA432" s="155"/>
      <c r="AB432" s="91"/>
      <c r="AC432" s="155"/>
      <c r="AD432" s="91"/>
      <c r="AE432" s="155"/>
      <c r="AF432" s="91"/>
      <c r="AG432" s="155"/>
      <c r="AH432" s="91"/>
      <c r="AI432" s="240"/>
      <c r="AJ432" s="91"/>
      <c r="AK432" s="240"/>
      <c r="AL432" s="91"/>
      <c r="AM432" s="240"/>
      <c r="AN432" s="91"/>
      <c r="AO432" s="240"/>
      <c r="AP432" s="91"/>
      <c r="AQ432" s="240"/>
      <c r="AR432" s="91"/>
      <c r="AS432" s="240"/>
      <c r="AT432" s="91"/>
      <c r="AU432" s="240"/>
      <c r="AV432" s="91"/>
      <c r="AW432" s="240"/>
      <c r="AX432" s="91"/>
      <c r="AY432" s="240"/>
      <c r="AZ432" s="91"/>
      <c r="BA432" s="240"/>
      <c r="BB432" s="91"/>
      <c r="BC432" s="240"/>
      <c r="BD432" s="91"/>
      <c r="BE432" s="240"/>
      <c r="BF432" s="91"/>
      <c r="BG432" s="240"/>
      <c r="BH432" s="91"/>
      <c r="BI432" s="240"/>
      <c r="BJ432" s="91"/>
      <c r="BK432" s="240"/>
      <c r="BL432" s="91"/>
      <c r="BM432" s="240"/>
      <c r="BN432" s="91"/>
      <c r="BO432" s="240"/>
      <c r="BP432" s="91"/>
      <c r="BQ432" s="240"/>
      <c r="BR432" s="91"/>
      <c r="BS432" s="240"/>
      <c r="BT432" s="91"/>
      <c r="BU432" s="240"/>
      <c r="BV432" s="91"/>
      <c r="BW432" s="240"/>
      <c r="BX432" s="91"/>
      <c r="BY432" s="240"/>
      <c r="BZ432" s="91"/>
      <c r="CA432" s="240"/>
      <c r="CB432" s="91"/>
      <c r="CC432" s="240"/>
      <c r="CD432" s="91"/>
      <c r="CE432" s="240"/>
      <c r="CF432" s="91"/>
      <c r="CG432" s="240"/>
      <c r="CH432" s="91"/>
      <c r="CI432" s="240"/>
      <c r="CJ432" s="91"/>
      <c r="CK432" s="240"/>
      <c r="CL432" s="91"/>
      <c r="CM432" s="240"/>
      <c r="CN432" s="91"/>
      <c r="CO432" s="240"/>
      <c r="CP432" s="91"/>
      <c r="CQ432" s="240"/>
      <c r="CR432" s="91"/>
      <c r="CS432" s="240"/>
      <c r="CT432" s="91"/>
      <c r="CU432" s="240"/>
      <c r="CV432" s="91"/>
      <c r="CW432" s="240"/>
      <c r="CX432" s="91"/>
      <c r="CY432" s="240"/>
      <c r="CZ432" s="91"/>
      <c r="DA432" s="240"/>
      <c r="DB432" s="91"/>
      <c r="DC432" s="240"/>
      <c r="DD432" s="91"/>
      <c r="DE432" s="240"/>
      <c r="DF432" s="91"/>
      <c r="DG432" s="240"/>
      <c r="DH432" s="91"/>
      <c r="DI432" s="240"/>
      <c r="DJ432" s="91"/>
      <c r="DK432" s="240"/>
      <c r="DL432" s="91"/>
      <c r="DM432" s="240"/>
      <c r="DN432" s="91"/>
      <c r="DO432" s="240"/>
      <c r="DP432" s="91"/>
      <c r="DQ432" s="240"/>
      <c r="DR432" s="91"/>
      <c r="DS432" s="240"/>
      <c r="DT432" s="91"/>
      <c r="DU432" s="240"/>
      <c r="DV432" s="91"/>
      <c r="DW432" s="240"/>
      <c r="DX432" s="91"/>
      <c r="DY432" s="240"/>
      <c r="DZ432" s="91"/>
      <c r="EA432" s="240"/>
      <c r="EB432" s="155"/>
      <c r="EC432" s="91"/>
      <c r="ED432" s="155"/>
      <c r="EE432" s="91"/>
      <c r="EF432" s="155"/>
      <c r="EG432" s="91"/>
      <c r="EH432" s="155"/>
      <c r="EI432" s="91"/>
      <c r="EJ432" s="240"/>
      <c r="EK432" s="91"/>
      <c r="EL432" s="240"/>
      <c r="EM432" s="91"/>
      <c r="EN432" s="240"/>
      <c r="EO432" s="91"/>
      <c r="EP432" s="240"/>
      <c r="EQ432" s="91"/>
      <c r="ER432" s="240"/>
      <c r="ES432" s="91"/>
      <c r="ET432" s="240"/>
      <c r="EU432" s="91"/>
      <c r="EV432" s="240"/>
      <c r="EW432" s="91"/>
      <c r="EX432" s="240"/>
      <c r="EY432" s="91"/>
      <c r="EZ432" s="240"/>
      <c r="FA432" s="91"/>
      <c r="FB432" s="240"/>
      <c r="FC432" s="91"/>
      <c r="FD432" s="240"/>
      <c r="FE432" s="91"/>
      <c r="FF432" s="240"/>
      <c r="FG432" s="91"/>
      <c r="FH432" s="240"/>
      <c r="FI432" s="91"/>
      <c r="FJ432" s="240"/>
      <c r="FK432" s="91"/>
      <c r="FL432" s="240"/>
      <c r="FM432" s="91"/>
      <c r="FN432" s="240"/>
      <c r="FO432" s="91"/>
      <c r="FP432" s="240"/>
      <c r="FQ432" s="91"/>
      <c r="FR432" s="240"/>
      <c r="FS432" s="240"/>
    </row>
    <row r="433" spans="1:176" ht="12.75" hidden="1" customHeight="1" outlineLevel="1" x14ac:dyDescent="0.2">
      <c r="A433" s="77" t="str">
        <f>INPUT!B235</f>
        <v>Benefits</v>
      </c>
      <c r="B433" s="75">
        <f>INPUT!AA235</f>
        <v>740</v>
      </c>
      <c r="C433" s="155">
        <f>INPUT!AB235</f>
        <v>9.7922848664688331</v>
      </c>
      <c r="D433" s="75">
        <f>INPUT!AC235</f>
        <v>672</v>
      </c>
      <c r="E433" s="155">
        <f>INPUT!AD235</f>
        <v>-2.0408163265306172</v>
      </c>
      <c r="F433" s="75">
        <f>INPUT!AE235</f>
        <v>675</v>
      </c>
      <c r="G433" s="155">
        <f>INPUT!AF235</f>
        <v>0.14836795252226409</v>
      </c>
      <c r="H433" s="75">
        <f>INPUT!AG235</f>
        <v>710</v>
      </c>
      <c r="I433" s="155">
        <f>INPUT!AH235</f>
        <v>6.1285500747384276</v>
      </c>
      <c r="J433" s="75">
        <f>INPUT!AI235</f>
        <v>761</v>
      </c>
      <c r="K433" s="155">
        <f>INPUT!AJ235</f>
        <v>2.8378378378378386</v>
      </c>
      <c r="L433" s="75">
        <f>INPUT!AK235</f>
        <v>716</v>
      </c>
      <c r="M433" s="155">
        <f>INPUT!AL235</f>
        <v>6.547619047619051</v>
      </c>
      <c r="N433" s="75">
        <f>INPUT!AM235</f>
        <v>745</v>
      </c>
      <c r="O433" s="155">
        <f>INPUT!AN235</f>
        <v>10.370370370370367</v>
      </c>
      <c r="P433" s="75">
        <f>INPUT!AO235</f>
        <v>708</v>
      </c>
      <c r="Q433" s="155">
        <f>INPUT!AP235</f>
        <v>-0.28169014084507182</v>
      </c>
      <c r="R433" s="75">
        <f>INPUT!AQ235</f>
        <v>827</v>
      </c>
      <c r="S433" s="155">
        <f>INPUT!AR235</f>
        <v>8.6727989487516339</v>
      </c>
      <c r="T433" s="75">
        <f>INPUT!AS235</f>
        <v>818</v>
      </c>
      <c r="U433" s="155">
        <f>INPUT!AT235</f>
        <v>14.245810055865917</v>
      </c>
      <c r="V433" s="75">
        <f>INPUT!AU235</f>
        <v>789</v>
      </c>
      <c r="W433" s="155">
        <f>INPUT!AV235</f>
        <v>5.9060402684563797</v>
      </c>
      <c r="X433" s="75">
        <f>INPUT!AW235</f>
        <v>780</v>
      </c>
      <c r="Y433" s="155">
        <f>INPUT!AX235</f>
        <v>10.169491525423723</v>
      </c>
      <c r="Z433" s="75">
        <f>INPUT!AY235</f>
        <v>860</v>
      </c>
      <c r="AA433" s="155">
        <f>INPUT!AZ235</f>
        <v>3.9903264812575685</v>
      </c>
      <c r="AB433" s="75">
        <f>INPUT!BA235</f>
        <v>894</v>
      </c>
      <c r="AC433" s="155">
        <f>INPUT!BB235</f>
        <v>9.2909535452322842</v>
      </c>
      <c r="AD433" s="75">
        <f>INPUT!BC235</f>
        <v>859</v>
      </c>
      <c r="AE433" s="155">
        <f>INPUT!BD235</f>
        <v>8.8719898605830139</v>
      </c>
      <c r="AF433" s="75">
        <f>INPUT!BE235</f>
        <v>884</v>
      </c>
      <c r="AG433" s="155">
        <f>INPUT!BF235</f>
        <v>13.333333333333329</v>
      </c>
      <c r="AH433" s="75">
        <f>INPUT!BG235</f>
        <v>935</v>
      </c>
      <c r="AI433" s="240">
        <f>INPUT!BH235</f>
        <v>8.7209302325581319</v>
      </c>
      <c r="AJ433" s="75">
        <f>INPUT!BI235</f>
        <v>920</v>
      </c>
      <c r="AK433" s="240">
        <f>INPUT!BJ235</f>
        <v>2.9082774049217051</v>
      </c>
      <c r="AL433" s="75">
        <f>INPUT!BK235</f>
        <v>876</v>
      </c>
      <c r="AM433" s="240">
        <f>INPUT!BL235</f>
        <v>1.9790454016298042</v>
      </c>
      <c r="AN433" s="75">
        <f>INPUT!BM235</f>
        <v>892</v>
      </c>
      <c r="AO433" s="240">
        <f>INPUT!BN235</f>
        <v>0.90497737556560764</v>
      </c>
      <c r="AP433" s="75">
        <f>INPUT!BO235</f>
        <v>945</v>
      </c>
      <c r="AQ433" s="240">
        <f>INPUT!BP235</f>
        <v>1.0695187165775479</v>
      </c>
      <c r="AR433" s="75">
        <f>INPUT!BQ235</f>
        <v>919</v>
      </c>
      <c r="AS433" s="240">
        <f>INPUT!BR235</f>
        <v>-0.10869565217392108</v>
      </c>
      <c r="AT433" s="75">
        <f>INPUT!BS235</f>
        <v>906</v>
      </c>
      <c r="AU433" s="240">
        <f>INPUT!BT235</f>
        <v>3.4246575342465633</v>
      </c>
      <c r="AV433" s="75">
        <f>INPUT!BU235</f>
        <v>963</v>
      </c>
      <c r="AW433" s="240">
        <f>INPUT!BV235</f>
        <v>7.9596412556053764</v>
      </c>
      <c r="AX433" s="75">
        <f>INPUT!BW235</f>
        <v>1004</v>
      </c>
      <c r="AY433" s="240">
        <f>INPUT!BX235</f>
        <v>6.2433862433862544</v>
      </c>
      <c r="AZ433" s="75">
        <f>INPUT!BY235</f>
        <v>972</v>
      </c>
      <c r="BA433" s="240">
        <f>INPUT!BZ235</f>
        <v>5.767138193688794</v>
      </c>
      <c r="BB433" s="75">
        <f>INPUT!CA235</f>
        <v>1057</v>
      </c>
      <c r="BC433" s="240">
        <f>INPUT!CB235</f>
        <v>16.666666666666671</v>
      </c>
      <c r="BD433" s="75">
        <f>INPUT!CC235</f>
        <v>983</v>
      </c>
      <c r="BE433" s="240">
        <f>INPUT!CD235</f>
        <v>2.0768431983385227</v>
      </c>
      <c r="BF433" s="75">
        <f>INPUT!CE235</f>
        <v>1014</v>
      </c>
      <c r="BG433" s="240">
        <f>INPUT!CF235</f>
        <v>0.99601593625497742</v>
      </c>
      <c r="BH433" s="75">
        <f>INPUT!CG235</f>
        <v>1038</v>
      </c>
      <c r="BI433" s="240">
        <f>INPUT!CH235</f>
        <v>6.790123456790127</v>
      </c>
      <c r="BJ433" s="75">
        <f>INPUT!CI235</f>
        <v>1163</v>
      </c>
      <c r="BK433" s="240">
        <f>INPUT!CJ235</f>
        <v>10.028382213812677</v>
      </c>
      <c r="BL433" s="75">
        <f>INPUT!CK235</f>
        <v>1043</v>
      </c>
      <c r="BM433" s="240">
        <f>INPUT!CL235</f>
        <v>6.1037639877924619</v>
      </c>
      <c r="BN433" s="75">
        <f>INPUT!CM235</f>
        <v>1213</v>
      </c>
      <c r="BO433" s="240">
        <f>INPUT!CN235</f>
        <v>19.625246548323474</v>
      </c>
      <c r="BP433" s="75">
        <f>INPUT!CO235</f>
        <v>1185</v>
      </c>
      <c r="BQ433" s="240">
        <f>INPUT!CP235</f>
        <v>14.161849710982665</v>
      </c>
      <c r="BR433" s="75">
        <f>INPUT!CQ235</f>
        <v>1156</v>
      </c>
      <c r="BS433" s="240">
        <f>INPUT!CR235</f>
        <v>-0.60189165950129109</v>
      </c>
      <c r="BT433" s="75">
        <f>INPUT!CS235</f>
        <v>1091</v>
      </c>
      <c r="BU433" s="240">
        <f>INPUT!CT235</f>
        <v>4.6021093000958757</v>
      </c>
      <c r="BV433" s="75">
        <f>INPUT!CU235</f>
        <v>1179</v>
      </c>
      <c r="BW433" s="240">
        <f>INPUT!CV235</f>
        <v>-2.8029678483099758</v>
      </c>
      <c r="BX433" s="75">
        <f>INPUT!CW235</f>
        <v>1102</v>
      </c>
      <c r="BY433" s="240">
        <f>INPUT!CX235</f>
        <v>-7.0042194092826975</v>
      </c>
      <c r="BZ433" s="75">
        <f>INPUT!CY235</f>
        <v>1134</v>
      </c>
      <c r="CA433" s="240">
        <f>INPUT!CZ235</f>
        <v>-1.9031141868512123</v>
      </c>
      <c r="CB433" s="75">
        <f>INPUT!DA235</f>
        <v>1113</v>
      </c>
      <c r="CC433" s="240">
        <f>INPUT!DB235</f>
        <v>2.0164986251145649</v>
      </c>
      <c r="CD433" s="75">
        <f>INPUT!DC235</f>
        <v>1137</v>
      </c>
      <c r="CE433" s="240">
        <f>INPUT!DD235</f>
        <v>-3.5623409669211128</v>
      </c>
      <c r="CF433" s="75">
        <f>INPUT!DE235</f>
        <v>1112</v>
      </c>
      <c r="CG433" s="240">
        <f>INPUT!DF235</f>
        <v>0.9074410163339337</v>
      </c>
      <c r="CH433" s="75">
        <f>INPUT!DG235</f>
        <v>1009</v>
      </c>
      <c r="CI433" s="240">
        <f>INPUT!DH235</f>
        <v>-11.022927689594354</v>
      </c>
      <c r="CJ433" s="75">
        <f>INPUT!DI235</f>
        <v>1041</v>
      </c>
      <c r="CK433" s="240">
        <f>INPUT!DJ235</f>
        <v>-6.4690026954177853</v>
      </c>
      <c r="CL433" s="75">
        <f>INPUT!DK235</f>
        <v>1073</v>
      </c>
      <c r="CM433" s="240">
        <f>INPUT!DL235</f>
        <v>-5.6288478452066926</v>
      </c>
      <c r="CN433" s="75">
        <f>INPUT!DM235</f>
        <v>1030</v>
      </c>
      <c r="CO433" s="240">
        <f>INPUT!DN235</f>
        <v>-7.3741007194244617</v>
      </c>
      <c r="CP433" s="75">
        <f>INPUT!DO235</f>
        <v>1144</v>
      </c>
      <c r="CQ433" s="240">
        <f>INPUT!DP235</f>
        <v>13.379583746283458</v>
      </c>
      <c r="CR433" s="75">
        <f>INPUT!DQ235</f>
        <v>968</v>
      </c>
      <c r="CS433" s="240">
        <f>INPUT!DR235</f>
        <v>-7.0124879923150871</v>
      </c>
      <c r="CT433" s="75">
        <f>INPUT!DS235</f>
        <v>983</v>
      </c>
      <c r="CU433" s="240">
        <f>INPUT!DT235</f>
        <v>-8.3876980428704684</v>
      </c>
      <c r="CV433" s="75">
        <f>INPUT!DU235</f>
        <v>931</v>
      </c>
      <c r="CW433" s="240">
        <f>INPUT!DV235</f>
        <v>-9.6116504854368969</v>
      </c>
      <c r="CX433" s="75">
        <f>INPUT!DW235</f>
        <v>982</v>
      </c>
      <c r="CY433" s="240">
        <f>INPUT!DX235</f>
        <v>-14.16083916083916</v>
      </c>
      <c r="CZ433" s="75">
        <f>INPUT!DY235</f>
        <v>972</v>
      </c>
      <c r="DA433" s="240">
        <f>INPUT!DZ235</f>
        <v>0.41322314049587305</v>
      </c>
      <c r="DB433" s="75">
        <f>INPUT!EA235</f>
        <v>1020</v>
      </c>
      <c r="DC433" s="240">
        <f>INPUT!EB235</f>
        <v>3.7639877924720224</v>
      </c>
      <c r="DD433" s="75">
        <f>INPUT!EC235</f>
        <v>1001</v>
      </c>
      <c r="DE433" s="240">
        <f>INPUT!ED235</f>
        <v>7.5187969924812137</v>
      </c>
      <c r="DF433" s="75">
        <f>INPUT!EE235</f>
        <v>1003</v>
      </c>
      <c r="DG433" s="240">
        <f>INPUT!EF235</f>
        <v>2.1384928716904312</v>
      </c>
      <c r="DH433" s="75">
        <f>INPUT!EG235</f>
        <v>1008</v>
      </c>
      <c r="DI433" s="240">
        <f>INPUT!EH235</f>
        <v>3.7037037037036953</v>
      </c>
      <c r="DJ433" s="75">
        <f>INPUT!EI235</f>
        <v>1065</v>
      </c>
      <c r="DK433" s="240">
        <f>INPUT!EJ235</f>
        <v>4.4117647058823621</v>
      </c>
      <c r="DL433" s="75">
        <f>INPUT!EK235</f>
        <v>952</v>
      </c>
      <c r="DM433" s="240">
        <f>INPUT!EL235</f>
        <v>-4.8951048951048932</v>
      </c>
      <c r="DN433" s="75">
        <f>INPUT!EM235</f>
        <v>1013</v>
      </c>
      <c r="DO433" s="240">
        <f>INPUT!EN235</f>
        <v>0.99700897308075298</v>
      </c>
      <c r="DP433" s="75">
        <f>INPUT!EO235</f>
        <v>1043</v>
      </c>
      <c r="DQ433" s="240">
        <f>INPUT!EP235</f>
        <v>3.4722222222222285</v>
      </c>
      <c r="DR433" s="75">
        <f>INPUT!EQ235</f>
        <v>1046.1176000000003</v>
      </c>
      <c r="DS433" s="240">
        <f>INPUT!ER235</f>
        <v>-1.7729953051642866</v>
      </c>
      <c r="DT433" s="75">
        <f>INPUT!ES235</f>
        <v>1050.5754875000002</v>
      </c>
      <c r="DU433" s="240">
        <f>INPUT!ET235</f>
        <v>10.354568014705904</v>
      </c>
      <c r="DV433" s="75">
        <f>INPUT!EU235</f>
        <v>1055.0179209900002</v>
      </c>
      <c r="DW433" s="240">
        <f>INPUT!EV235</f>
        <v>4.1478697917078193</v>
      </c>
      <c r="DX433" s="75">
        <f>INPUT!EW235</f>
        <v>1059.4441456010502</v>
      </c>
      <c r="DY433" s="240">
        <f>INPUT!EX235</f>
        <v>1.5766199042234206</v>
      </c>
      <c r="DZ433" s="75"/>
      <c r="EA433" s="240"/>
      <c r="EB433" s="155">
        <f>INPUT!FI235</f>
        <v>21.939275220372181</v>
      </c>
      <c r="EC433" s="75">
        <f>INPUT!FJ235</f>
        <v>2703</v>
      </c>
      <c r="ED433" s="155">
        <f>INPUT!FK235</f>
        <v>8.55421686746989</v>
      </c>
      <c r="EE433" s="75">
        <f>INPUT!FL235</f>
        <v>2797</v>
      </c>
      <c r="EF433" s="155">
        <f>INPUT!FM235</f>
        <v>3.4776174620791807</v>
      </c>
      <c r="EG433" s="75">
        <f>INPUT!FN235</f>
        <v>2930</v>
      </c>
      <c r="EH433" s="155">
        <f>INPUT!FO235</f>
        <v>4.7550947443689751</v>
      </c>
      <c r="EI433" s="75">
        <f>INPUT!FP235</f>
        <v>3214</v>
      </c>
      <c r="EJ433" s="240">
        <f>INPUT!FQ235</f>
        <v>9.6928327645051269</v>
      </c>
      <c r="EK433" s="75">
        <f>INPUT!FR235</f>
        <v>3497</v>
      </c>
      <c r="EL433" s="240">
        <f>INPUT!FS235</f>
        <v>8.805227131300569</v>
      </c>
      <c r="EM433" s="75">
        <f>INPUT!FT235</f>
        <v>3623</v>
      </c>
      <c r="EN433" s="240">
        <f>INPUT!FU235</f>
        <v>3.603088361452663</v>
      </c>
      <c r="EO433" s="75">
        <f>INPUT!FV235</f>
        <v>3733</v>
      </c>
      <c r="EP433" s="240">
        <f>INPUT!FW235</f>
        <v>3.0361578802097711</v>
      </c>
      <c r="EQ433" s="75">
        <f>INPUT!FX235</f>
        <v>4016</v>
      </c>
      <c r="ER433" s="240">
        <f>INPUT!FY235</f>
        <v>7.5810340208947196</v>
      </c>
      <c r="ES433" s="75">
        <f>INPUT!FZ235</f>
        <v>4258</v>
      </c>
      <c r="ET433" s="240">
        <f>INPUT!GA235</f>
        <v>6.0258964143426397</v>
      </c>
      <c r="EU433" s="75">
        <f>INPUT!GB235</f>
        <v>4645</v>
      </c>
      <c r="EV433" s="240">
        <f>INPUT!GC235</f>
        <v>9.088774072334445</v>
      </c>
      <c r="EW433" s="75">
        <f>INPUT!GD235</f>
        <v>4528</v>
      </c>
      <c r="EX433" s="240">
        <f>INPUT!GE235</f>
        <v>-2.518837459634014</v>
      </c>
      <c r="EY433" s="75">
        <f>INPUT!GF235</f>
        <v>4299</v>
      </c>
      <c r="EZ433" s="240">
        <f>INPUT!GG235</f>
        <v>-5.0574204946996559</v>
      </c>
      <c r="FA433" s="75">
        <f>INPUT!GH235</f>
        <v>4215</v>
      </c>
      <c r="FB433" s="240">
        <f>INPUT!GI235</f>
        <v>-1.9539427773900968</v>
      </c>
      <c r="FC433" s="75">
        <f>INPUT!GJ235</f>
        <v>3868</v>
      </c>
      <c r="FD433" s="240">
        <f>INPUT!GK235</f>
        <v>-8.2325029655990534</v>
      </c>
      <c r="FE433" s="75">
        <f>INPUT!GL235</f>
        <v>4032</v>
      </c>
      <c r="FF433" s="240">
        <f>INPUT!GM235</f>
        <v>4.2399172699069396</v>
      </c>
      <c r="FG433" s="75">
        <f>INPUT!GN235</f>
        <v>4073</v>
      </c>
      <c r="FH433" s="240">
        <f>INPUT!GO235</f>
        <v>1.0168650793650755</v>
      </c>
      <c r="FI433" s="75">
        <f>INPUT!GP235</f>
        <v>4211.1551540910514</v>
      </c>
      <c r="FJ433" s="240">
        <f>INPUT!GQ235</f>
        <v>3.3919753029965989</v>
      </c>
      <c r="FK433" s="75">
        <f>INPUT!GR235</f>
        <v>4389.5478439661401</v>
      </c>
      <c r="FL433" s="240">
        <f>INPUT!GS235</f>
        <v>4.2361937128292197</v>
      </c>
      <c r="FM433" s="75">
        <f>INPUT!GT235</f>
        <v>4573.0506813547227</v>
      </c>
      <c r="FN433" s="240">
        <f>INPUT!GU235</f>
        <v>4.1804496479250162</v>
      </c>
      <c r="FO433" s="75">
        <f>INPUT!GV235</f>
        <v>4767.1421727410652</v>
      </c>
      <c r="FP433" s="240">
        <f>INPUT!GW235</f>
        <v>4.2442453607105932</v>
      </c>
      <c r="FQ433" s="75">
        <f>INPUT!GX235</f>
        <v>4969.6674916307902</v>
      </c>
      <c r="FR433" s="240">
        <f>INPUT!GY235</f>
        <v>4.2483591122535245</v>
      </c>
      <c r="FS433" s="240">
        <f>INPUT!GZ235</f>
        <v>4.0597035697247152</v>
      </c>
    </row>
    <row r="434" spans="1:176" ht="12.75" hidden="1" customHeight="1" outlineLevel="1" x14ac:dyDescent="0.2">
      <c r="A434" s="77" t="str">
        <f>INPUT!B236</f>
        <v>Interest Credited</v>
      </c>
      <c r="B434" s="75">
        <f>INPUT!AA236</f>
        <v>60</v>
      </c>
      <c r="C434" s="155">
        <f>INPUT!AB236</f>
        <v>11.111111111111114</v>
      </c>
      <c r="D434" s="75">
        <f>INPUT!AC236</f>
        <v>57</v>
      </c>
      <c r="E434" s="155">
        <f>INPUT!AD236</f>
        <v>0</v>
      </c>
      <c r="F434" s="75">
        <f>INPUT!AE236</f>
        <v>50</v>
      </c>
      <c r="G434" s="155">
        <f>INPUT!AF236</f>
        <v>-16.666666666666657</v>
      </c>
      <c r="H434" s="75">
        <f>INPUT!AG236</f>
        <v>49</v>
      </c>
      <c r="I434" s="155">
        <f>INPUT!AH236</f>
        <v>-23.4375</v>
      </c>
      <c r="J434" s="75">
        <f>INPUT!AI236</f>
        <v>52</v>
      </c>
      <c r="K434" s="155">
        <f>INPUT!AJ236</f>
        <v>-13.333333333333329</v>
      </c>
      <c r="L434" s="75">
        <f>INPUT!AK236</f>
        <v>54</v>
      </c>
      <c r="M434" s="155">
        <f>INPUT!AL236</f>
        <v>-5.2631578947368496</v>
      </c>
      <c r="N434" s="75">
        <f>INPUT!AM236</f>
        <v>53</v>
      </c>
      <c r="O434" s="155">
        <f>INPUT!AN236</f>
        <v>6</v>
      </c>
      <c r="P434" s="75">
        <f>INPUT!AO236</f>
        <v>51</v>
      </c>
      <c r="Q434" s="155">
        <f>INPUT!AP236</f>
        <v>4.0816326530612344</v>
      </c>
      <c r="R434" s="75">
        <f>INPUT!AQ236</f>
        <v>51</v>
      </c>
      <c r="S434" s="155">
        <f>INPUT!AR236</f>
        <v>-1.923076923076934</v>
      </c>
      <c r="T434" s="75">
        <f>INPUT!AS236</f>
        <v>52</v>
      </c>
      <c r="U434" s="155">
        <f>INPUT!AT236</f>
        <v>-3.7037037037037095</v>
      </c>
      <c r="V434" s="75">
        <f>INPUT!AU236</f>
        <v>50</v>
      </c>
      <c r="W434" s="155">
        <f>INPUT!AV236</f>
        <v>-5.6603773584905639</v>
      </c>
      <c r="X434" s="75">
        <f>INPUT!AW236</f>
        <v>48</v>
      </c>
      <c r="Y434" s="155">
        <f>INPUT!AX236</f>
        <v>-5.8823529411764781</v>
      </c>
      <c r="Z434" s="75">
        <f>INPUT!AY236</f>
        <v>49</v>
      </c>
      <c r="AA434" s="155">
        <f>INPUT!AZ236</f>
        <v>-3.9215686274509807</v>
      </c>
      <c r="AB434" s="75">
        <f>INPUT!BA236</f>
        <v>48</v>
      </c>
      <c r="AC434" s="155">
        <f>INPUT!BB236</f>
        <v>-7.6923076923076934</v>
      </c>
      <c r="AD434" s="75">
        <f>INPUT!BC236</f>
        <v>52</v>
      </c>
      <c r="AE434" s="155">
        <f>INPUT!BD236</f>
        <v>4</v>
      </c>
      <c r="AF434" s="75">
        <f>INPUT!BE236</f>
        <v>55</v>
      </c>
      <c r="AG434" s="155">
        <f>INPUT!BF236</f>
        <v>14.583333333333329</v>
      </c>
      <c r="AH434" s="75">
        <f>INPUT!BG236</f>
        <v>59</v>
      </c>
      <c r="AI434" s="240">
        <f>INPUT!BH236</f>
        <v>20.408163265306129</v>
      </c>
      <c r="AJ434" s="75">
        <f>INPUT!BI236</f>
        <v>58</v>
      </c>
      <c r="AK434" s="240">
        <f>INPUT!BJ236</f>
        <v>20.833333333333329</v>
      </c>
      <c r="AL434" s="75">
        <f>INPUT!BK236</f>
        <v>60</v>
      </c>
      <c r="AM434" s="240">
        <f>INPUT!BL236</f>
        <v>15.384615384615373</v>
      </c>
      <c r="AN434" s="75">
        <f>INPUT!BM236</f>
        <v>63</v>
      </c>
      <c r="AO434" s="240">
        <f>INPUT!BN236</f>
        <v>14.545454545454547</v>
      </c>
      <c r="AP434" s="75">
        <f>INPUT!BO236</f>
        <v>59</v>
      </c>
      <c r="AQ434" s="240">
        <f>INPUT!BP236</f>
        <v>0</v>
      </c>
      <c r="AR434" s="75">
        <f>INPUT!BQ236</f>
        <v>56</v>
      </c>
      <c r="AS434" s="240">
        <f>INPUT!BR236</f>
        <v>-3.448275862068968</v>
      </c>
      <c r="AT434" s="75">
        <f>INPUT!BS236</f>
        <v>60</v>
      </c>
      <c r="AU434" s="240">
        <f>INPUT!BT236</f>
        <v>0</v>
      </c>
      <c r="AV434" s="75">
        <f>INPUT!BU236</f>
        <v>57</v>
      </c>
      <c r="AW434" s="240">
        <f>INPUT!BV236</f>
        <v>-9.5238095238095184</v>
      </c>
      <c r="AX434" s="75">
        <f>INPUT!BW236</f>
        <v>57</v>
      </c>
      <c r="AY434" s="240">
        <f>INPUT!BX236</f>
        <v>-3.3898305084745743</v>
      </c>
      <c r="AZ434" s="75">
        <f>INPUT!BY236</f>
        <v>54</v>
      </c>
      <c r="BA434" s="240">
        <f>INPUT!BZ236</f>
        <v>-3.5714285714285694</v>
      </c>
      <c r="BB434" s="75">
        <f>INPUT!CA236</f>
        <v>58</v>
      </c>
      <c r="BC434" s="240">
        <f>INPUT!CB236</f>
        <v>-3.3333333333333286</v>
      </c>
      <c r="BD434" s="75">
        <f>INPUT!CC236</f>
        <v>60</v>
      </c>
      <c r="BE434" s="240">
        <f>INPUT!CD236</f>
        <v>5.2631578947368354</v>
      </c>
      <c r="BF434" s="75">
        <f>INPUT!CE236</f>
        <v>57</v>
      </c>
      <c r="BG434" s="240">
        <f>INPUT!CF236</f>
        <v>0</v>
      </c>
      <c r="BH434" s="75">
        <f>INPUT!CG236</f>
        <v>54</v>
      </c>
      <c r="BI434" s="240">
        <f>INPUT!CH236</f>
        <v>0</v>
      </c>
      <c r="BJ434" s="75">
        <f>INPUT!CI236</f>
        <v>57</v>
      </c>
      <c r="BK434" s="240">
        <f>INPUT!CJ236</f>
        <v>-1.7241379310344911</v>
      </c>
      <c r="BL434" s="75">
        <f>INPUT!CK236</f>
        <v>59</v>
      </c>
      <c r="BM434" s="240">
        <f>INPUT!CL236</f>
        <v>-1.6666666666666714</v>
      </c>
      <c r="BN434" s="75">
        <f>INPUT!CM236</f>
        <v>57</v>
      </c>
      <c r="BO434" s="240">
        <f>INPUT!CN236</f>
        <v>0</v>
      </c>
      <c r="BP434" s="75">
        <f>INPUT!CO236</f>
        <v>56</v>
      </c>
      <c r="BQ434" s="240">
        <f>INPUT!CP236</f>
        <v>3.7037037037036953</v>
      </c>
      <c r="BR434" s="75">
        <f>INPUT!CQ236</f>
        <v>57</v>
      </c>
      <c r="BS434" s="240">
        <f>INPUT!CR236</f>
        <v>0</v>
      </c>
      <c r="BT434" s="75">
        <f>INPUT!CS236</f>
        <v>58</v>
      </c>
      <c r="BU434" s="240">
        <f>INPUT!CT236</f>
        <v>-1.6949152542372872</v>
      </c>
      <c r="BV434" s="75">
        <f>INPUT!CU236</f>
        <v>56</v>
      </c>
      <c r="BW434" s="240">
        <f>INPUT!CV236</f>
        <v>-1.7543859649122879</v>
      </c>
      <c r="BX434" s="75">
        <f>INPUT!CW236</f>
        <v>58</v>
      </c>
      <c r="BY434" s="240">
        <f>INPUT!CX236</f>
        <v>3.5714285714285836</v>
      </c>
      <c r="BZ434" s="75">
        <f>INPUT!CY236</f>
        <v>56</v>
      </c>
      <c r="CA434" s="240">
        <f>INPUT!CZ236</f>
        <v>-1.7543859649122879</v>
      </c>
      <c r="CB434" s="75">
        <f>INPUT!DA236</f>
        <v>58</v>
      </c>
      <c r="CC434" s="240">
        <f>INPUT!DB236</f>
        <v>0</v>
      </c>
      <c r="CD434" s="75">
        <f>INPUT!DC236</f>
        <v>57</v>
      </c>
      <c r="CE434" s="240">
        <f>INPUT!DD236</f>
        <v>1.7857142857142776</v>
      </c>
      <c r="CF434" s="75">
        <f>INPUT!DE236</f>
        <v>56</v>
      </c>
      <c r="CG434" s="240">
        <f>INPUT!DF236</f>
        <v>-3.448275862068968</v>
      </c>
      <c r="CH434" s="75">
        <f>INPUT!DG236</f>
        <v>59</v>
      </c>
      <c r="CI434" s="240">
        <f>INPUT!DH236</f>
        <v>5.3571428571428612</v>
      </c>
      <c r="CJ434" s="75">
        <f>INPUT!DI236</f>
        <v>60</v>
      </c>
      <c r="CK434" s="240">
        <f>INPUT!DJ236</f>
        <v>3.448275862068968</v>
      </c>
      <c r="CL434" s="75">
        <f>INPUT!DK236</f>
        <v>61</v>
      </c>
      <c r="CM434" s="240">
        <f>INPUT!DL236</f>
        <v>7.0175438596491233</v>
      </c>
      <c r="CN434" s="75">
        <f>INPUT!DM236</f>
        <v>60</v>
      </c>
      <c r="CO434" s="240">
        <f>INPUT!DN236</f>
        <v>7.1428571428571388</v>
      </c>
      <c r="CP434" s="75">
        <f>INPUT!DO236</f>
        <v>62</v>
      </c>
      <c r="CQ434" s="240">
        <f>INPUT!DP236</f>
        <v>5.0847457627118757</v>
      </c>
      <c r="CR434" s="75">
        <f>INPUT!DQ236</f>
        <v>65</v>
      </c>
      <c r="CS434" s="240">
        <f>INPUT!DR236</f>
        <v>8.3333333333333286</v>
      </c>
      <c r="CT434" s="75">
        <f>INPUT!DS236</f>
        <v>55</v>
      </c>
      <c r="CU434" s="240">
        <f>INPUT!DT236</f>
        <v>-9.8360655737704974</v>
      </c>
      <c r="CV434" s="75">
        <f>INPUT!DU236</f>
        <v>77</v>
      </c>
      <c r="CW434" s="240">
        <f>INPUT!DV236</f>
        <v>28.333333333333343</v>
      </c>
      <c r="CX434" s="75">
        <f>INPUT!DW236</f>
        <v>63</v>
      </c>
      <c r="CY434" s="240">
        <f>INPUT!DX236</f>
        <v>1.6129032258064484</v>
      </c>
      <c r="CZ434" s="75">
        <f>INPUT!DY236</f>
        <v>62</v>
      </c>
      <c r="DA434" s="240">
        <f>INPUT!DZ236</f>
        <v>-4.6153846153846132</v>
      </c>
      <c r="DB434" s="75">
        <f>INPUT!EA236</f>
        <v>63</v>
      </c>
      <c r="DC434" s="240">
        <f>INPUT!EB236</f>
        <v>14.545454545454547</v>
      </c>
      <c r="DD434" s="75">
        <f>INPUT!EC236</f>
        <v>64</v>
      </c>
      <c r="DE434" s="240">
        <f>INPUT!ED236</f>
        <v>-16.883116883116884</v>
      </c>
      <c r="DF434" s="75">
        <f>INPUT!EE236</f>
        <v>66</v>
      </c>
      <c r="DG434" s="240">
        <f>INPUT!EF236</f>
        <v>4.7619047619047734</v>
      </c>
      <c r="DH434" s="75">
        <f>INPUT!EG236</f>
        <v>70</v>
      </c>
      <c r="DI434" s="240">
        <f>INPUT!EH236</f>
        <v>12.90322580645163</v>
      </c>
      <c r="DJ434" s="75">
        <f>INPUT!EI236</f>
        <v>67</v>
      </c>
      <c r="DK434" s="240">
        <f>INPUT!EJ236</f>
        <v>6.3492063492063551</v>
      </c>
      <c r="DL434" s="75">
        <f>INPUT!EK236</f>
        <v>67</v>
      </c>
      <c r="DM434" s="240">
        <f>INPUT!EL236</f>
        <v>4.6875</v>
      </c>
      <c r="DN434" s="75">
        <f>INPUT!EM236</f>
        <v>68</v>
      </c>
      <c r="DO434" s="240">
        <f>INPUT!EN236</f>
        <v>3.0303030303030312</v>
      </c>
      <c r="DP434" s="75">
        <f>INPUT!EO236</f>
        <v>72</v>
      </c>
      <c r="DQ434" s="240">
        <f>INPUT!EP236</f>
        <v>2.857142857142847</v>
      </c>
      <c r="DR434" s="75">
        <f>INPUT!EQ236</f>
        <v>72.550319999999999</v>
      </c>
      <c r="DS434" s="240">
        <f>INPUT!ER236</f>
        <v>8.2840597014925237</v>
      </c>
      <c r="DT434" s="75">
        <f>INPUT!ES236</f>
        <v>73.275823199999991</v>
      </c>
      <c r="DU434" s="240">
        <f>INPUT!ET236</f>
        <v>9.3669002985074457</v>
      </c>
      <c r="DV434" s="75">
        <f>INPUT!EU236</f>
        <v>74.008581432</v>
      </c>
      <c r="DW434" s="240">
        <f>INPUT!EV236</f>
        <v>8.8361491647058727</v>
      </c>
      <c r="DX434" s="75">
        <f>INPUT!EW236</f>
        <v>74.748667246319997</v>
      </c>
      <c r="DY434" s="240">
        <f>INPUT!EX236</f>
        <v>3.8175933976666556</v>
      </c>
      <c r="DZ434" s="75"/>
      <c r="EA434" s="240"/>
      <c r="EB434" s="155">
        <f>INPUT!FI236</f>
        <v>12.000000000000014</v>
      </c>
      <c r="EC434" s="75">
        <f>INPUT!FJ236</f>
        <v>235</v>
      </c>
      <c r="ED434" s="155">
        <f>INPUT!FK236</f>
        <v>4.9107142857142776</v>
      </c>
      <c r="EE434" s="75">
        <f>INPUT!FL236</f>
        <v>216</v>
      </c>
      <c r="EF434" s="155">
        <f>INPUT!FM236</f>
        <v>-8.0851063829787222</v>
      </c>
      <c r="EG434" s="75">
        <f>INPUT!FN236</f>
        <v>210</v>
      </c>
      <c r="EH434" s="155">
        <f>INPUT!FO236</f>
        <v>-2.7777777777777857</v>
      </c>
      <c r="EI434" s="75">
        <f>INPUT!FP236</f>
        <v>201</v>
      </c>
      <c r="EJ434" s="240">
        <f>INPUT!FQ236</f>
        <v>-4.2857142857142776</v>
      </c>
      <c r="EK434" s="75">
        <f>INPUT!FR236</f>
        <v>204</v>
      </c>
      <c r="EL434" s="240">
        <f>INPUT!FS236</f>
        <v>1.4925373134328339</v>
      </c>
      <c r="EM434" s="75">
        <f>INPUT!FT236</f>
        <v>240</v>
      </c>
      <c r="EN434" s="240">
        <f>INPUT!FU236</f>
        <v>17.64705882352942</v>
      </c>
      <c r="EO434" s="75">
        <f>INPUT!FV236</f>
        <v>232</v>
      </c>
      <c r="EP434" s="240">
        <f>INPUT!FW236</f>
        <v>-3.3333333333333286</v>
      </c>
      <c r="EQ434" s="75">
        <f>INPUT!FX236</f>
        <v>229</v>
      </c>
      <c r="ER434" s="240">
        <f>INPUT!FY236</f>
        <v>-1.2931034482758719</v>
      </c>
      <c r="ES434" s="75">
        <f>INPUT!FZ236</f>
        <v>227</v>
      </c>
      <c r="ET434" s="240">
        <f>INPUT!GA236</f>
        <v>-0.87336244541485542</v>
      </c>
      <c r="EU434" s="75">
        <f>INPUT!GB236</f>
        <v>228</v>
      </c>
      <c r="EV434" s="240">
        <f>INPUT!GC236</f>
        <v>0.44052863436124312</v>
      </c>
      <c r="EW434" s="75">
        <f>INPUT!GD236</f>
        <v>228</v>
      </c>
      <c r="EX434" s="240">
        <f>INPUT!GE236</f>
        <v>0</v>
      </c>
      <c r="EY434" s="75">
        <f>INPUT!GF236</f>
        <v>232</v>
      </c>
      <c r="EZ434" s="240">
        <f>INPUT!GG236</f>
        <v>1.7543859649122879</v>
      </c>
      <c r="FA434" s="75">
        <f>INPUT!GH236</f>
        <v>248</v>
      </c>
      <c r="FB434" s="240">
        <f>INPUT!GI236</f>
        <v>6.8965517241379217</v>
      </c>
      <c r="FC434" s="75">
        <f>INPUT!GJ236</f>
        <v>257</v>
      </c>
      <c r="FD434" s="240">
        <f>INPUT!GK236</f>
        <v>3.6290322580645267</v>
      </c>
      <c r="FE434" s="75">
        <f>INPUT!GL236</f>
        <v>263</v>
      </c>
      <c r="FF434" s="240">
        <f>INPUT!GM236</f>
        <v>2.3346303501945442</v>
      </c>
      <c r="FG434" s="75">
        <f>INPUT!GN236</f>
        <v>274</v>
      </c>
      <c r="FH434" s="240">
        <f>INPUT!GO236</f>
        <v>4.1825095057034218</v>
      </c>
      <c r="FI434" s="75">
        <f>INPUT!GP236</f>
        <v>294.58339187831996</v>
      </c>
      <c r="FJ434" s="240">
        <f>INPUT!GQ236</f>
        <v>7.5121868169050856</v>
      </c>
      <c r="FK434" s="75">
        <f>INPUT!GR236</f>
        <v>306.36672755345279</v>
      </c>
      <c r="FL434" s="240">
        <f>INPUT!GS236</f>
        <v>4</v>
      </c>
      <c r="FM434" s="75">
        <f>INPUT!GT236</f>
        <v>318.62139665559084</v>
      </c>
      <c r="FN434" s="240">
        <f>INPUT!GU236</f>
        <v>3.9999999999999858</v>
      </c>
      <c r="FO434" s="75">
        <f>INPUT!GV236</f>
        <v>331.36625252181454</v>
      </c>
      <c r="FP434" s="240">
        <f>INPUT!GW236</f>
        <v>4.0000000000000284</v>
      </c>
      <c r="FQ434" s="75">
        <f>INPUT!GX236</f>
        <v>344.62090262268714</v>
      </c>
      <c r="FR434" s="240">
        <f>INPUT!GY236</f>
        <v>4</v>
      </c>
      <c r="FS434" s="240">
        <f>INPUT!GZ236</f>
        <v>4.6931363874820775</v>
      </c>
    </row>
    <row r="435" spans="1:176" ht="12.75" hidden="1" customHeight="1" outlineLevel="1" x14ac:dyDescent="0.2">
      <c r="A435" s="77" t="str">
        <f>INPUT!B237</f>
        <v>Interest Expense</v>
      </c>
      <c r="B435" s="75">
        <f>INPUT!AA237</f>
        <v>0</v>
      </c>
      <c r="C435" s="155" t="str">
        <f>INPUT!AB237</f>
        <v>NA</v>
      </c>
      <c r="D435" s="75">
        <f>INPUT!AC237</f>
        <v>0</v>
      </c>
      <c r="E435" s="155" t="str">
        <f>INPUT!AD237</f>
        <v>NM</v>
      </c>
      <c r="F435" s="75">
        <f>INPUT!AE237</f>
        <v>0</v>
      </c>
      <c r="G435" s="155" t="str">
        <f>INPUT!AF237</f>
        <v>NA</v>
      </c>
      <c r="H435" s="75">
        <f>INPUT!AG237</f>
        <v>0</v>
      </c>
      <c r="I435" s="155" t="str">
        <f>INPUT!AH237</f>
        <v>NM</v>
      </c>
      <c r="J435" s="75">
        <f>INPUT!AI237</f>
        <v>0</v>
      </c>
      <c r="K435" s="155" t="str">
        <f>INPUT!AJ237</f>
        <v>NA</v>
      </c>
      <c r="L435" s="75">
        <f>INPUT!AK237</f>
        <v>1</v>
      </c>
      <c r="M435" s="155" t="str">
        <f>INPUT!AL237</f>
        <v>NA</v>
      </c>
      <c r="N435" s="75">
        <f>INPUT!AM237</f>
        <v>3</v>
      </c>
      <c r="O435" s="155" t="str">
        <f>INPUT!AN237</f>
        <v>NA</v>
      </c>
      <c r="P435" s="75">
        <f>INPUT!AO237</f>
        <v>4</v>
      </c>
      <c r="Q435" s="155" t="str">
        <f>INPUT!AP237</f>
        <v>NA</v>
      </c>
      <c r="R435" s="75">
        <f>INPUT!AQ237</f>
        <v>5</v>
      </c>
      <c r="S435" s="155" t="str">
        <f>INPUT!AR237</f>
        <v>NA</v>
      </c>
      <c r="T435" s="75">
        <f>INPUT!AS237</f>
        <v>4</v>
      </c>
      <c r="U435" s="155" t="str">
        <f>INPUT!AT237</f>
        <v>NM</v>
      </c>
      <c r="V435" s="75">
        <f>INPUT!AU237</f>
        <v>4</v>
      </c>
      <c r="W435" s="155">
        <f>INPUT!AV237</f>
        <v>33.333333333333314</v>
      </c>
      <c r="X435" s="75">
        <f>INPUT!AW237</f>
        <v>2</v>
      </c>
      <c r="Y435" s="155">
        <f>INPUT!AX237</f>
        <v>-50</v>
      </c>
      <c r="Z435" s="75">
        <f>INPUT!AY237</f>
        <v>3</v>
      </c>
      <c r="AA435" s="155">
        <f>INPUT!AZ237</f>
        <v>-40</v>
      </c>
      <c r="AB435" s="75">
        <f>INPUT!BA237</f>
        <v>0</v>
      </c>
      <c r="AC435" s="155" t="str">
        <f>INPUT!BB237</f>
        <v>NM</v>
      </c>
      <c r="AD435" s="75">
        <f>INPUT!BC237</f>
        <v>2</v>
      </c>
      <c r="AE435" s="155">
        <f>INPUT!BD237</f>
        <v>-50</v>
      </c>
      <c r="AF435" s="75">
        <f>INPUT!BE237</f>
        <v>2</v>
      </c>
      <c r="AG435" s="155">
        <f>INPUT!BF237</f>
        <v>0</v>
      </c>
      <c r="AH435" s="75">
        <f>INPUT!BG237</f>
        <v>2</v>
      </c>
      <c r="AI435" s="240">
        <f>INPUT!BH237</f>
        <v>-33.333333333333343</v>
      </c>
      <c r="AJ435" s="75">
        <f>INPUT!BI237</f>
        <v>2</v>
      </c>
      <c r="AK435" s="240" t="str">
        <f>INPUT!BJ237</f>
        <v>NA</v>
      </c>
      <c r="AL435" s="75">
        <f>INPUT!BK237</f>
        <v>2</v>
      </c>
      <c r="AM435" s="240">
        <f>INPUT!BL237</f>
        <v>0</v>
      </c>
      <c r="AN435" s="75">
        <f>INPUT!BM237</f>
        <v>2</v>
      </c>
      <c r="AO435" s="240">
        <f>INPUT!BN237</f>
        <v>0</v>
      </c>
      <c r="AP435" s="75">
        <f>INPUT!BO237</f>
        <v>0</v>
      </c>
      <c r="AQ435" s="240" t="str">
        <f>INPUT!BP237</f>
        <v>NM</v>
      </c>
      <c r="AR435" s="75">
        <f>INPUT!BQ237</f>
        <v>1</v>
      </c>
      <c r="AS435" s="240">
        <f>INPUT!BR237</f>
        <v>-50</v>
      </c>
      <c r="AT435" s="75">
        <f>INPUT!BS237</f>
        <v>0</v>
      </c>
      <c r="AU435" s="240" t="str">
        <f>INPUT!BT237</f>
        <v>NM</v>
      </c>
      <c r="AV435" s="75">
        <f>INPUT!BU237</f>
        <v>0</v>
      </c>
      <c r="AW435" s="240" t="str">
        <f>INPUT!BV237</f>
        <v>NM</v>
      </c>
      <c r="AX435" s="75">
        <f>INPUT!BW237</f>
        <v>0</v>
      </c>
      <c r="AY435" s="240" t="str">
        <f>INPUT!BX237</f>
        <v>NA</v>
      </c>
      <c r="AZ435" s="75">
        <f>INPUT!BY237</f>
        <v>0</v>
      </c>
      <c r="BA435" s="240" t="str">
        <f>INPUT!BZ237</f>
        <v>NM</v>
      </c>
      <c r="BB435" s="75">
        <f>INPUT!CA237</f>
        <v>0</v>
      </c>
      <c r="BC435" s="240" t="str">
        <f>INPUT!CB237</f>
        <v>NA</v>
      </c>
      <c r="BD435" s="75">
        <f>INPUT!CC237</f>
        <v>0</v>
      </c>
      <c r="BE435" s="240" t="str">
        <f>INPUT!CD237</f>
        <v>NA</v>
      </c>
      <c r="BF435" s="75">
        <f>INPUT!CE237</f>
        <v>0</v>
      </c>
      <c r="BG435" s="240" t="str">
        <f>INPUT!CF237</f>
        <v>NA</v>
      </c>
      <c r="BH435" s="75">
        <f>INPUT!CG237</f>
        <v>0</v>
      </c>
      <c r="BI435" s="240" t="str">
        <f>INPUT!CH237</f>
        <v>NA</v>
      </c>
      <c r="BJ435" s="75">
        <f>INPUT!CI237</f>
        <v>0</v>
      </c>
      <c r="BK435" s="240" t="str">
        <f>INPUT!CJ237</f>
        <v>NA</v>
      </c>
      <c r="BL435" s="75">
        <f>INPUT!CK237</f>
        <v>0</v>
      </c>
      <c r="BM435" s="240" t="str">
        <f>INPUT!CL237</f>
        <v>NA</v>
      </c>
      <c r="BN435" s="75">
        <f>INPUT!CM237</f>
        <v>0</v>
      </c>
      <c r="BO435" s="240" t="str">
        <f>INPUT!CN237</f>
        <v>NA</v>
      </c>
      <c r="BP435" s="75">
        <f>INPUT!CO237</f>
        <v>0</v>
      </c>
      <c r="BQ435" s="240" t="str">
        <f>INPUT!CP237</f>
        <v>NA</v>
      </c>
      <c r="BR435" s="75">
        <f>INPUT!CQ237</f>
        <v>0</v>
      </c>
      <c r="BS435" s="240" t="str">
        <f>INPUT!CR237</f>
        <v>NA</v>
      </c>
      <c r="BT435" s="75">
        <f>INPUT!CS237</f>
        <v>0</v>
      </c>
      <c r="BU435" s="240" t="str">
        <f>INPUT!CT237</f>
        <v>NA</v>
      </c>
      <c r="BV435" s="75">
        <f>INPUT!CU237</f>
        <v>0</v>
      </c>
      <c r="BW435" s="240" t="str">
        <f>INPUT!CV237</f>
        <v>NA</v>
      </c>
      <c r="BX435" s="75">
        <f>INPUT!CW237</f>
        <v>2</v>
      </c>
      <c r="BY435" s="240" t="str">
        <f>INPUT!CX237</f>
        <v>NA</v>
      </c>
      <c r="BZ435" s="75">
        <f>INPUT!CY237</f>
        <v>3</v>
      </c>
      <c r="CA435" s="240" t="str">
        <f>INPUT!CZ237</f>
        <v>NA</v>
      </c>
      <c r="CB435" s="75">
        <f>INPUT!DA237</f>
        <v>2</v>
      </c>
      <c r="CC435" s="240" t="str">
        <f>INPUT!DB237</f>
        <v>NA</v>
      </c>
      <c r="CD435" s="75">
        <f>INPUT!DC237</f>
        <v>2</v>
      </c>
      <c r="CE435" s="240" t="str">
        <f>INPUT!DD237</f>
        <v>NA</v>
      </c>
      <c r="CF435" s="75">
        <f>INPUT!DE237</f>
        <v>3</v>
      </c>
      <c r="CG435" s="240">
        <f>INPUT!DF237</f>
        <v>50</v>
      </c>
      <c r="CH435" s="75">
        <f>INPUT!DG237</f>
        <v>0</v>
      </c>
      <c r="CI435" s="240" t="str">
        <f>INPUT!DH237</f>
        <v>NM</v>
      </c>
      <c r="CJ435" s="75">
        <f>INPUT!DI237</f>
        <v>2</v>
      </c>
      <c r="CK435" s="240">
        <f>INPUT!DJ237</f>
        <v>0</v>
      </c>
      <c r="CL435" s="75">
        <f>INPUT!DK237</f>
        <v>2</v>
      </c>
      <c r="CM435" s="240">
        <f>INPUT!DL237</f>
        <v>0</v>
      </c>
      <c r="CN435" s="75">
        <f>INPUT!DM237</f>
        <v>2</v>
      </c>
      <c r="CO435" s="240">
        <f>INPUT!DN237</f>
        <v>-33.333333333333343</v>
      </c>
      <c r="CP435" s="75">
        <f>INPUT!DO237</f>
        <v>3</v>
      </c>
      <c r="CQ435" s="240" t="str">
        <f>INPUT!DP237</f>
        <v>NA</v>
      </c>
      <c r="CR435" s="75">
        <f>INPUT!DQ237</f>
        <v>2</v>
      </c>
      <c r="CS435" s="240">
        <f>INPUT!DR237</f>
        <v>0</v>
      </c>
      <c r="CT435" s="75">
        <f>INPUT!DS237</f>
        <v>2</v>
      </c>
      <c r="CU435" s="240">
        <f>INPUT!DT237</f>
        <v>0</v>
      </c>
      <c r="CV435" s="75">
        <f>INPUT!DU237</f>
        <v>3</v>
      </c>
      <c r="CW435" s="240">
        <f>INPUT!DV237</f>
        <v>50</v>
      </c>
      <c r="CX435" s="75">
        <f>INPUT!DW237</f>
        <v>2</v>
      </c>
      <c r="CY435" s="240">
        <f>INPUT!DX237</f>
        <v>-33.333333333333343</v>
      </c>
      <c r="CZ435" s="75">
        <f>INPUT!DY237</f>
        <v>1</v>
      </c>
      <c r="DA435" s="240">
        <f>INPUT!DZ237</f>
        <v>-50</v>
      </c>
      <c r="DB435" s="75">
        <f>INPUT!EA237</f>
        <v>1</v>
      </c>
      <c r="DC435" s="240">
        <f>INPUT!EB237</f>
        <v>-50</v>
      </c>
      <c r="DD435" s="75">
        <f>INPUT!EC237</f>
        <v>1</v>
      </c>
      <c r="DE435" s="240" t="str">
        <f>INPUT!ED237</f>
        <v>NM</v>
      </c>
      <c r="DF435" s="75">
        <f>INPUT!EE237</f>
        <v>1</v>
      </c>
      <c r="DG435" s="240">
        <f>INPUT!EF237</f>
        <v>-50</v>
      </c>
      <c r="DH435" s="75">
        <f>INPUT!EG237</f>
        <v>2</v>
      </c>
      <c r="DI435" s="240">
        <f>INPUT!EH237</f>
        <v>100</v>
      </c>
      <c r="DJ435" s="75">
        <f>INPUT!EI237</f>
        <v>1</v>
      </c>
      <c r="DK435" s="240">
        <f>INPUT!EJ237</f>
        <v>0</v>
      </c>
      <c r="DL435" s="75">
        <f>INPUT!EK237</f>
        <v>2</v>
      </c>
      <c r="DM435" s="240">
        <f>INPUT!EL237</f>
        <v>100</v>
      </c>
      <c r="DN435" s="75">
        <f>INPUT!EM237</f>
        <v>1</v>
      </c>
      <c r="DO435" s="240">
        <f>INPUT!EN237</f>
        <v>0</v>
      </c>
      <c r="DP435" s="75">
        <f>INPUT!EO237</f>
        <v>1</v>
      </c>
      <c r="DQ435" s="240">
        <f>INPUT!EP237</f>
        <v>-50</v>
      </c>
      <c r="DR435" s="75">
        <f>INPUT!EQ237</f>
        <v>1</v>
      </c>
      <c r="DS435" s="240">
        <f>INPUT!ER237</f>
        <v>0</v>
      </c>
      <c r="DT435" s="75">
        <f>INPUT!ES237</f>
        <v>1</v>
      </c>
      <c r="DU435" s="240">
        <f>INPUT!ET237</f>
        <v>-50</v>
      </c>
      <c r="DV435" s="75">
        <f>INPUT!EU237</f>
        <v>1</v>
      </c>
      <c r="DW435" s="240">
        <f>INPUT!EV237</f>
        <v>0</v>
      </c>
      <c r="DX435" s="75">
        <f>INPUT!EW237</f>
        <v>1</v>
      </c>
      <c r="DY435" s="240">
        <f>INPUT!EX237</f>
        <v>0</v>
      </c>
      <c r="DZ435" s="75"/>
      <c r="EA435" s="240"/>
      <c r="EB435" s="155">
        <f>INPUT!FI237</f>
        <v>100</v>
      </c>
      <c r="EC435" s="75">
        <f>INPUT!FJ237</f>
        <v>-2</v>
      </c>
      <c r="ED435" s="155">
        <f>INPUT!FK237</f>
        <v>0</v>
      </c>
      <c r="EE435" s="75">
        <f>INPUT!FL237</f>
        <v>0</v>
      </c>
      <c r="EF435" s="155" t="str">
        <f>INPUT!FM237</f>
        <v>NM</v>
      </c>
      <c r="EG435" s="75">
        <f>INPUT!FN237</f>
        <v>8</v>
      </c>
      <c r="EH435" s="155" t="str">
        <f>INPUT!FO237</f>
        <v>NA</v>
      </c>
      <c r="EI435" s="75">
        <f>INPUT!FP237</f>
        <v>15</v>
      </c>
      <c r="EJ435" s="240">
        <f>INPUT!FQ237</f>
        <v>87.5</v>
      </c>
      <c r="EK435" s="75">
        <f>INPUT!FR237</f>
        <v>7</v>
      </c>
      <c r="EL435" s="240" t="str">
        <f>INPUT!FS237</f>
        <v>NM</v>
      </c>
      <c r="EM435" s="75">
        <f>INPUT!FT237</f>
        <v>8</v>
      </c>
      <c r="EN435" s="240">
        <f>INPUT!FU237</f>
        <v>14.285714285714278</v>
      </c>
      <c r="EO435" s="75">
        <f>INPUT!FV237</f>
        <v>1</v>
      </c>
      <c r="EP435" s="240" t="str">
        <f>INPUT!FW237</f>
        <v>NM</v>
      </c>
      <c r="EQ435" s="75">
        <f>INPUT!FX237</f>
        <v>0</v>
      </c>
      <c r="ER435" s="240" t="str">
        <f>INPUT!FY237</f>
        <v>NM</v>
      </c>
      <c r="ES435" s="75">
        <f>INPUT!FZ237</f>
        <v>0</v>
      </c>
      <c r="ET435" s="240" t="str">
        <f>INPUT!GA237</f>
        <v>NA</v>
      </c>
      <c r="EU435" s="75">
        <f>INPUT!GB237</f>
        <v>0</v>
      </c>
      <c r="EV435" s="240" t="str">
        <f>INPUT!GC237</f>
        <v>NA</v>
      </c>
      <c r="EW435" s="75">
        <f>INPUT!GD237</f>
        <v>7</v>
      </c>
      <c r="EX435" s="240" t="str">
        <f>INPUT!GE237</f>
        <v>NA</v>
      </c>
      <c r="EY435" s="75">
        <f>INPUT!GF237</f>
        <v>7</v>
      </c>
      <c r="EZ435" s="240">
        <f>INPUT!GG237</f>
        <v>0</v>
      </c>
      <c r="FA435" s="75">
        <f>INPUT!GH237</f>
        <v>9</v>
      </c>
      <c r="FB435" s="240">
        <f>INPUT!GI237</f>
        <v>28.571428571428584</v>
      </c>
      <c r="FC435" s="75">
        <f>INPUT!GJ237</f>
        <v>8</v>
      </c>
      <c r="FD435" s="240">
        <f>INPUT!GK237</f>
        <v>-11.111111111111114</v>
      </c>
      <c r="FE435" s="75">
        <f>INPUT!GL237</f>
        <v>5</v>
      </c>
      <c r="FF435" s="240">
        <f>INPUT!GM237</f>
        <v>-37.5</v>
      </c>
      <c r="FG435" s="75">
        <f>INPUT!GN237</f>
        <v>5</v>
      </c>
      <c r="FH435" s="240">
        <f>INPUT!GO237</f>
        <v>0</v>
      </c>
      <c r="FI435" s="75">
        <f>INPUT!GP237</f>
        <v>4</v>
      </c>
      <c r="FJ435" s="240">
        <f>INPUT!GQ237</f>
        <v>-20</v>
      </c>
      <c r="FK435" s="75">
        <f>INPUT!GR237</f>
        <v>4</v>
      </c>
      <c r="FL435" s="240">
        <f>INPUT!GS237</f>
        <v>0</v>
      </c>
      <c r="FM435" s="75">
        <f>INPUT!GT237</f>
        <v>4</v>
      </c>
      <c r="FN435" s="240">
        <f>INPUT!GU237</f>
        <v>0</v>
      </c>
      <c r="FO435" s="75">
        <f>INPUT!GV237</f>
        <v>4</v>
      </c>
      <c r="FP435" s="240">
        <f>INPUT!GW237</f>
        <v>0</v>
      </c>
      <c r="FQ435" s="75">
        <f>INPUT!GX237</f>
        <v>4</v>
      </c>
      <c r="FR435" s="240">
        <f>INPUT!GY237</f>
        <v>0</v>
      </c>
      <c r="FS435" s="240">
        <f>INPUT!GZ237</f>
        <v>-4.3647500209962997</v>
      </c>
    </row>
    <row r="436" spans="1:176" ht="12.75" hidden="1" customHeight="1" outlineLevel="1" x14ac:dyDescent="0.2">
      <c r="A436" s="77" t="str">
        <f>INPUT!B238</f>
        <v>Operating Expenses</v>
      </c>
      <c r="B436" s="75">
        <f>INPUT!AA238</f>
        <v>134</v>
      </c>
      <c r="C436" s="155">
        <f>INPUT!AB238</f>
        <v>3.076923076923066</v>
      </c>
      <c r="D436" s="75">
        <f>INPUT!AC238</f>
        <v>133</v>
      </c>
      <c r="E436" s="155">
        <f>INPUT!AD238</f>
        <v>3.1007751937984551</v>
      </c>
      <c r="F436" s="75">
        <f>INPUT!AE238</f>
        <v>134</v>
      </c>
      <c r="G436" s="155">
        <f>INPUT!AF238</f>
        <v>8.0645161290322562</v>
      </c>
      <c r="H436" s="75">
        <f>INPUT!AG238</f>
        <v>136</v>
      </c>
      <c r="I436" s="155">
        <f>INPUT!AH238</f>
        <v>-2.1582733812949613</v>
      </c>
      <c r="J436" s="75">
        <f>INPUT!AI238</f>
        <v>138</v>
      </c>
      <c r="K436" s="155">
        <f>INPUT!AJ238</f>
        <v>2.985074626865682</v>
      </c>
      <c r="L436" s="75">
        <f>INPUT!AK238</f>
        <v>143</v>
      </c>
      <c r="M436" s="155">
        <f>INPUT!AL238</f>
        <v>7.5187969924812137</v>
      </c>
      <c r="N436" s="75">
        <f>INPUT!AM238</f>
        <v>143</v>
      </c>
      <c r="O436" s="155">
        <f>INPUT!AN238</f>
        <v>6.7164179104477739</v>
      </c>
      <c r="P436" s="75">
        <f>INPUT!AO238</f>
        <v>169</v>
      </c>
      <c r="Q436" s="155">
        <f>INPUT!AP238</f>
        <v>24.264705882352942</v>
      </c>
      <c r="R436" s="75">
        <f>INPUT!AQ238</f>
        <v>138</v>
      </c>
      <c r="S436" s="155">
        <f>INPUT!AR238</f>
        <v>0</v>
      </c>
      <c r="T436" s="75">
        <f>INPUT!AS238</f>
        <v>177</v>
      </c>
      <c r="U436" s="155">
        <f>INPUT!AT238</f>
        <v>23.776223776223773</v>
      </c>
      <c r="V436" s="75">
        <f>INPUT!AU238</f>
        <v>149</v>
      </c>
      <c r="W436" s="155">
        <f>INPUT!AV238</f>
        <v>4.1958041958041861</v>
      </c>
      <c r="X436" s="75">
        <f>INPUT!AW238</f>
        <v>141</v>
      </c>
      <c r="Y436" s="155">
        <f>INPUT!AX238</f>
        <v>-16.568047337278102</v>
      </c>
      <c r="Z436" s="75">
        <f>INPUT!AY238</f>
        <v>207</v>
      </c>
      <c r="AA436" s="155">
        <f>INPUT!AZ238</f>
        <v>50</v>
      </c>
      <c r="AB436" s="75">
        <f>INPUT!BA238</f>
        <v>158</v>
      </c>
      <c r="AC436" s="155">
        <f>INPUT!BB238</f>
        <v>-10.734463276836152</v>
      </c>
      <c r="AD436" s="75">
        <f>INPUT!BC238</f>
        <v>164</v>
      </c>
      <c r="AE436" s="155">
        <f>INPUT!BD238</f>
        <v>10.067114093959731</v>
      </c>
      <c r="AF436" s="75">
        <f>INPUT!BE238</f>
        <v>203</v>
      </c>
      <c r="AG436" s="155">
        <f>INPUT!BF238</f>
        <v>43.971631205673759</v>
      </c>
      <c r="AH436" s="75">
        <f>INPUT!BG238</f>
        <v>170</v>
      </c>
      <c r="AI436" s="240">
        <f>INPUT!BH238</f>
        <v>-17.874396135265698</v>
      </c>
      <c r="AJ436" s="75">
        <f>INPUT!BI238</f>
        <v>165</v>
      </c>
      <c r="AK436" s="240">
        <f>INPUT!BJ238</f>
        <v>4.4303797468354418</v>
      </c>
      <c r="AL436" s="75">
        <f>INPUT!BK238</f>
        <v>179</v>
      </c>
      <c r="AM436" s="240">
        <f>INPUT!BL238</f>
        <v>9.1463414634146432</v>
      </c>
      <c r="AN436" s="75">
        <f>INPUT!BM238</f>
        <v>165</v>
      </c>
      <c r="AO436" s="240">
        <f>INPUT!BN238</f>
        <v>-18.7192118226601</v>
      </c>
      <c r="AP436" s="75">
        <f>INPUT!BO238</f>
        <v>168</v>
      </c>
      <c r="AQ436" s="240">
        <f>INPUT!BP238</f>
        <v>-1.1764705882352899</v>
      </c>
      <c r="AR436" s="75">
        <f>INPUT!BQ238</f>
        <v>167</v>
      </c>
      <c r="AS436" s="240">
        <f>INPUT!BR238</f>
        <v>1.2121212121212182</v>
      </c>
      <c r="AT436" s="75">
        <f>INPUT!BS238</f>
        <v>172</v>
      </c>
      <c r="AU436" s="240">
        <f>INPUT!BT238</f>
        <v>-3.910614525139664</v>
      </c>
      <c r="AV436" s="75">
        <f>INPUT!BU238</f>
        <v>173</v>
      </c>
      <c r="AW436" s="240">
        <f>INPUT!BV238</f>
        <v>4.8484848484848584</v>
      </c>
      <c r="AX436" s="75">
        <f>INPUT!BW238</f>
        <v>181</v>
      </c>
      <c r="AY436" s="240">
        <f>INPUT!BX238</f>
        <v>7.7380952380952266</v>
      </c>
      <c r="AZ436" s="75">
        <f>INPUT!BY238</f>
        <v>175</v>
      </c>
      <c r="BA436" s="240">
        <f>INPUT!BZ238</f>
        <v>4.7904191616766383</v>
      </c>
      <c r="BB436" s="75">
        <f>INPUT!CA238</f>
        <v>192</v>
      </c>
      <c r="BC436" s="240">
        <f>INPUT!CB238</f>
        <v>11.627906976744185</v>
      </c>
      <c r="BD436" s="75">
        <f>INPUT!CC238</f>
        <v>185</v>
      </c>
      <c r="BE436" s="240">
        <f>INPUT!CD238</f>
        <v>6.9364161849710939</v>
      </c>
      <c r="BF436" s="75">
        <f>INPUT!CE238</f>
        <v>193</v>
      </c>
      <c r="BG436" s="240">
        <f>INPUT!CF238</f>
        <v>6.6298342541436455</v>
      </c>
      <c r="BH436" s="75">
        <f>INPUT!CG238</f>
        <v>198</v>
      </c>
      <c r="BI436" s="240">
        <f>INPUT!CH238</f>
        <v>13.142857142857139</v>
      </c>
      <c r="BJ436" s="75">
        <f>INPUT!CI238</f>
        <v>192</v>
      </c>
      <c r="BK436" s="240">
        <f>INPUT!CJ238</f>
        <v>0</v>
      </c>
      <c r="BL436" s="75">
        <f>INPUT!CK238</f>
        <v>196</v>
      </c>
      <c r="BM436" s="240">
        <f>INPUT!CL238</f>
        <v>5.9459459459459509</v>
      </c>
      <c r="BN436" s="75">
        <f>INPUT!CM238</f>
        <v>203</v>
      </c>
      <c r="BO436" s="240">
        <f>INPUT!CN238</f>
        <v>5.1813471502590573</v>
      </c>
      <c r="BP436" s="75">
        <f>INPUT!CO238</f>
        <v>205</v>
      </c>
      <c r="BQ436" s="240">
        <f>INPUT!CP238</f>
        <v>3.5353535353535221</v>
      </c>
      <c r="BR436" s="75">
        <f>INPUT!CQ238</f>
        <v>187</v>
      </c>
      <c r="BS436" s="240">
        <f>INPUT!CR238</f>
        <v>-2.6041666666666572</v>
      </c>
      <c r="BT436" s="75">
        <f>INPUT!CS238</f>
        <v>191</v>
      </c>
      <c r="BU436" s="240">
        <f>INPUT!CT238</f>
        <v>-2.5510204081632679</v>
      </c>
      <c r="BV436" s="75">
        <f>INPUT!CU238</f>
        <v>195</v>
      </c>
      <c r="BW436" s="240">
        <f>INPUT!CV238</f>
        <v>-3.9408866995073879</v>
      </c>
      <c r="BX436" s="75">
        <f>INPUT!CW238</f>
        <v>196</v>
      </c>
      <c r="BY436" s="240">
        <f>INPUT!CX238</f>
        <v>-4.3902439024390247</v>
      </c>
      <c r="BZ436" s="75">
        <f>INPUT!CY238</f>
        <v>191</v>
      </c>
      <c r="CA436" s="240">
        <f>INPUT!CZ238</f>
        <v>2.1390374331550959</v>
      </c>
      <c r="CB436" s="75">
        <f>INPUT!DA238</f>
        <v>290</v>
      </c>
      <c r="CC436" s="240">
        <f>INPUT!DB238</f>
        <v>51.832460732984288</v>
      </c>
      <c r="CD436" s="75">
        <f>INPUT!DC238</f>
        <v>195</v>
      </c>
      <c r="CE436" s="240">
        <f>INPUT!DD238</f>
        <v>0</v>
      </c>
      <c r="CF436" s="75">
        <f>INPUT!DE238</f>
        <v>201</v>
      </c>
      <c r="CG436" s="240">
        <f>INPUT!DF238</f>
        <v>2.5510204081632679</v>
      </c>
      <c r="CH436" s="75">
        <f>INPUT!DG238</f>
        <v>208</v>
      </c>
      <c r="CI436" s="240">
        <f>INPUT!DH238</f>
        <v>8.9005235602094217</v>
      </c>
      <c r="CJ436" s="75">
        <f>INPUT!DI238</f>
        <v>220</v>
      </c>
      <c r="CK436" s="240">
        <f>INPUT!DJ238</f>
        <v>-24.137931034482762</v>
      </c>
      <c r="CL436" s="75">
        <f>INPUT!DK238</f>
        <v>217</v>
      </c>
      <c r="CM436" s="240">
        <f>INPUT!DL238</f>
        <v>11.282051282051285</v>
      </c>
      <c r="CN436" s="75">
        <f>INPUT!DM238</f>
        <v>202</v>
      </c>
      <c r="CO436" s="240">
        <f>INPUT!DN238</f>
        <v>0.49751243781095411</v>
      </c>
      <c r="CP436" s="75">
        <f>INPUT!DO238</f>
        <v>211</v>
      </c>
      <c r="CQ436" s="240">
        <f>INPUT!DP238</f>
        <v>1.4423076923076934</v>
      </c>
      <c r="CR436" s="75">
        <f>INPUT!DQ238</f>
        <v>226</v>
      </c>
      <c r="CS436" s="240">
        <f>INPUT!DR238</f>
        <v>2.7272727272727337</v>
      </c>
      <c r="CT436" s="75">
        <f>INPUT!DS238</f>
        <v>205</v>
      </c>
      <c r="CU436" s="240">
        <f>INPUT!DT238</f>
        <v>-5.5299539170506904</v>
      </c>
      <c r="CV436" s="75">
        <f>INPUT!DU238</f>
        <v>213</v>
      </c>
      <c r="CW436" s="240">
        <f>INPUT!DV238</f>
        <v>5.4455445544554522</v>
      </c>
      <c r="CX436" s="75">
        <f>INPUT!DW238</f>
        <v>202</v>
      </c>
      <c r="CY436" s="240">
        <f>INPUT!DX238</f>
        <v>-4.2654028436018905</v>
      </c>
      <c r="CZ436" s="75">
        <f>INPUT!DY238</f>
        <v>218</v>
      </c>
      <c r="DA436" s="240">
        <f>INPUT!DZ238</f>
        <v>-3.5398230088495666</v>
      </c>
      <c r="DB436" s="75">
        <f>INPUT!EA238</f>
        <v>209</v>
      </c>
      <c r="DC436" s="240">
        <f>INPUT!EB238</f>
        <v>1.9512195121951237</v>
      </c>
      <c r="DD436" s="75">
        <f>INPUT!EC238</f>
        <v>207</v>
      </c>
      <c r="DE436" s="240">
        <f>INPUT!ED238</f>
        <v>-2.816901408450704</v>
      </c>
      <c r="DF436" s="75">
        <f>INPUT!EE238</f>
        <v>200</v>
      </c>
      <c r="DG436" s="240">
        <f>INPUT!EF238</f>
        <v>-0.99009900990098743</v>
      </c>
      <c r="DH436" s="75">
        <f>INPUT!EG238</f>
        <v>201</v>
      </c>
      <c r="DI436" s="240">
        <f>INPUT!EH238</f>
        <v>-7.7981651376146743</v>
      </c>
      <c r="DJ436" s="75">
        <f>INPUT!EI238</f>
        <v>215</v>
      </c>
      <c r="DK436" s="240">
        <f>INPUT!EJ238</f>
        <v>2.8708133971291829</v>
      </c>
      <c r="DL436" s="75">
        <f>INPUT!EK238</f>
        <v>203</v>
      </c>
      <c r="DM436" s="240">
        <f>INPUT!EL238</f>
        <v>-1.9323671497584485</v>
      </c>
      <c r="DN436" s="75">
        <f>INPUT!EM238</f>
        <v>210</v>
      </c>
      <c r="DO436" s="240">
        <f>INPUT!EN238</f>
        <v>5</v>
      </c>
      <c r="DP436" s="75">
        <f>INPUT!EO238</f>
        <v>224</v>
      </c>
      <c r="DQ436" s="240">
        <f>INPUT!EP238</f>
        <v>11.442786069651746</v>
      </c>
      <c r="DR436" s="75">
        <f>INPUT!EQ238</f>
        <v>210.62439000000006</v>
      </c>
      <c r="DS436" s="240">
        <f>INPUT!ER238</f>
        <v>-2.0351674418604375</v>
      </c>
      <c r="DT436" s="75">
        <f>INPUT!ES238</f>
        <v>212.73063390000004</v>
      </c>
      <c r="DU436" s="240">
        <f>INPUT!ET238</f>
        <v>4.7934157142857288</v>
      </c>
      <c r="DV436" s="75">
        <f>INPUT!EU238</f>
        <v>214.85794023900002</v>
      </c>
      <c r="DW436" s="240">
        <f>INPUT!EV238</f>
        <v>2.3133048757142802</v>
      </c>
      <c r="DX436" s="75">
        <f>INPUT!EW238</f>
        <v>232.60829556331996</v>
      </c>
      <c r="DY436" s="240">
        <f>INPUT!EX238</f>
        <v>3.8429890907678299</v>
      </c>
      <c r="DZ436" s="75"/>
      <c r="EA436" s="240"/>
      <c r="EB436" s="155">
        <f>INPUT!FI238</f>
        <v>16.50485436893203</v>
      </c>
      <c r="EC436" s="75">
        <f>INPUT!FJ238</f>
        <v>522</v>
      </c>
      <c r="ED436" s="155">
        <f>INPUT!FK238</f>
        <v>8.7499999999999858</v>
      </c>
      <c r="EE436" s="75">
        <f>INPUT!FL238</f>
        <v>537</v>
      </c>
      <c r="EF436" s="155">
        <f>INPUT!FM238</f>
        <v>2.8735632183908137</v>
      </c>
      <c r="EG436" s="75">
        <f>INPUT!FN238</f>
        <v>593</v>
      </c>
      <c r="EH436" s="155">
        <f>INPUT!FO238</f>
        <v>10.428305400372423</v>
      </c>
      <c r="EI436" s="75">
        <f>INPUT!FP238</f>
        <v>605</v>
      </c>
      <c r="EJ436" s="240">
        <f>INPUT!FQ238</f>
        <v>2.0236087689713429</v>
      </c>
      <c r="EK436" s="75">
        <f>INPUT!FR238</f>
        <v>732</v>
      </c>
      <c r="EL436" s="240">
        <f>INPUT!FS238</f>
        <v>20.991735537190095</v>
      </c>
      <c r="EM436" s="75">
        <f>INPUT!FT238</f>
        <v>679</v>
      </c>
      <c r="EN436" s="240">
        <f>INPUT!FU238</f>
        <v>-7.2404371584699447</v>
      </c>
      <c r="EO436" s="75">
        <f>INPUT!FV238</f>
        <v>680</v>
      </c>
      <c r="EP436" s="240">
        <f>INPUT!FW238</f>
        <v>0.14727540500736325</v>
      </c>
      <c r="EQ436" s="75">
        <f>INPUT!FX238</f>
        <v>733</v>
      </c>
      <c r="ER436" s="240">
        <f>INPUT!FY238</f>
        <v>7.7941176470588118</v>
      </c>
      <c r="ES436" s="75">
        <f>INPUT!FZ238</f>
        <v>779</v>
      </c>
      <c r="ET436" s="240">
        <f>INPUT!GA238</f>
        <v>6.2755798090040855</v>
      </c>
      <c r="EU436" s="75">
        <f>INPUT!GB238</f>
        <v>786</v>
      </c>
      <c r="EV436" s="240">
        <f>INPUT!GC238</f>
        <v>0.89858793324775377</v>
      </c>
      <c r="EW436" s="75">
        <f>INPUT!GD238</f>
        <v>872</v>
      </c>
      <c r="EX436" s="240">
        <f>INPUT!GE238</f>
        <v>10.94147582697201</v>
      </c>
      <c r="EY436" s="75">
        <f>INPUT!GF238</f>
        <v>824</v>
      </c>
      <c r="EZ436" s="240">
        <f>INPUT!GG238</f>
        <v>-5.5045871559633071</v>
      </c>
      <c r="FA436" s="75">
        <f>INPUT!GH238</f>
        <v>856</v>
      </c>
      <c r="FB436" s="240">
        <f>INPUT!GI238</f>
        <v>3.8834951456310591</v>
      </c>
      <c r="FC436" s="75">
        <f>INPUT!GJ238</f>
        <v>838</v>
      </c>
      <c r="FD436" s="240">
        <f>INPUT!GK238</f>
        <v>-2.1028037383177605</v>
      </c>
      <c r="FE436" s="75">
        <f>INPUT!GL238</f>
        <v>817</v>
      </c>
      <c r="FF436" s="240">
        <f>INPUT!GM238</f>
        <v>-2.5059665871121695</v>
      </c>
      <c r="FG436" s="75">
        <f>INPUT!GN238</f>
        <v>852</v>
      </c>
      <c r="FH436" s="240">
        <f>INPUT!GO238</f>
        <v>4.2839657282741683</v>
      </c>
      <c r="FI436" s="75">
        <f>INPUT!GP238</f>
        <v>870.82125970232016</v>
      </c>
      <c r="FJ436" s="240">
        <f>INPUT!GQ238</f>
        <v>2.2090680401784226</v>
      </c>
      <c r="FK436" s="75">
        <f>INPUT!GR238</f>
        <v>907.43025323199208</v>
      </c>
      <c r="FL436" s="240">
        <f>INPUT!GS238</f>
        <v>4.2039618488628037</v>
      </c>
      <c r="FM436" s="75">
        <f>INPUT!GT238</f>
        <v>945.61017509134558</v>
      </c>
      <c r="FN436" s="240">
        <f>INPUT!GU238</f>
        <v>4.2074772935295215</v>
      </c>
      <c r="FO436" s="75">
        <f>INPUT!GV238</f>
        <v>985.43025652887798</v>
      </c>
      <c r="FP436" s="240">
        <f>INPUT!GW238</f>
        <v>4.2110462097857351</v>
      </c>
      <c r="FQ436" s="75">
        <f>INPUT!GX238</f>
        <v>1026.962881689944</v>
      </c>
      <c r="FR436" s="240">
        <f>INPUT!GY238</f>
        <v>4.2146691646512124</v>
      </c>
      <c r="FS436" s="240">
        <f>INPUT!GZ238</f>
        <v>3.8061371750650386</v>
      </c>
    </row>
    <row r="437" spans="1:176" ht="12.75" hidden="1" customHeight="1" outlineLevel="1" x14ac:dyDescent="0.2">
      <c r="A437" s="77" t="str">
        <f>INPUT!B239</f>
        <v>Net DAC</v>
      </c>
      <c r="B437" s="75">
        <f>INPUT!AA239</f>
        <v>-7</v>
      </c>
      <c r="C437" s="155">
        <f>INPUT!AB239</f>
        <v>40</v>
      </c>
      <c r="D437" s="75">
        <f>INPUT!AC239</f>
        <v>-10</v>
      </c>
      <c r="E437" s="155">
        <f>INPUT!AD239</f>
        <v>25</v>
      </c>
      <c r="F437" s="75">
        <f>INPUT!AE239</f>
        <v>-7</v>
      </c>
      <c r="G437" s="155">
        <f>INPUT!AF239</f>
        <v>16.666666666666671</v>
      </c>
      <c r="H437" s="75">
        <f>INPUT!AG239</f>
        <v>-7</v>
      </c>
      <c r="I437" s="155">
        <f>INPUT!AH239</f>
        <v>-41.666666666666664</v>
      </c>
      <c r="J437" s="75">
        <f>INPUT!AI239</f>
        <v>-6</v>
      </c>
      <c r="K437" s="155">
        <f>INPUT!AJ239</f>
        <v>-14.285714285714292</v>
      </c>
      <c r="L437" s="75">
        <f>INPUT!AK239</f>
        <v>-7</v>
      </c>
      <c r="M437" s="155">
        <f>INPUT!AL239</f>
        <v>-30</v>
      </c>
      <c r="N437" s="75">
        <f>INPUT!AM239</f>
        <v>-5</v>
      </c>
      <c r="O437" s="155">
        <f>INPUT!AN239</f>
        <v>-28.571428571428569</v>
      </c>
      <c r="P437" s="75">
        <f>INPUT!AO239</f>
        <v>-5</v>
      </c>
      <c r="Q437" s="155">
        <f>INPUT!AP239</f>
        <v>-28.571428571428569</v>
      </c>
      <c r="R437" s="75">
        <f>INPUT!AQ239</f>
        <v>-7</v>
      </c>
      <c r="S437" s="155">
        <f>INPUT!AR239</f>
        <v>16.666666666666671</v>
      </c>
      <c r="T437" s="75">
        <f>INPUT!AS239</f>
        <v>-37</v>
      </c>
      <c r="U437" s="155" t="str">
        <f>INPUT!AT239</f>
        <v>NM</v>
      </c>
      <c r="V437" s="75">
        <f>INPUT!AU239</f>
        <v>-14</v>
      </c>
      <c r="W437" s="155" t="str">
        <f>INPUT!AV239</f>
        <v>NM</v>
      </c>
      <c r="X437" s="75">
        <f>INPUT!AW239</f>
        <v>-1</v>
      </c>
      <c r="Y437" s="155" t="str">
        <f>INPUT!AX239</f>
        <v>NM</v>
      </c>
      <c r="Z437" s="75">
        <f>INPUT!AY239</f>
        <v>-57</v>
      </c>
      <c r="AA437" s="155" t="str">
        <f>INPUT!AZ239</f>
        <v>NM</v>
      </c>
      <c r="AB437" s="75">
        <f>INPUT!BA239</f>
        <v>-12</v>
      </c>
      <c r="AC437" s="155" t="str">
        <f>INPUT!BB239</f>
        <v>NM</v>
      </c>
      <c r="AD437" s="75">
        <f>INPUT!BC239</f>
        <v>-12</v>
      </c>
      <c r="AE437" s="155">
        <f>INPUT!BD239</f>
        <v>-14.285714285714292</v>
      </c>
      <c r="AF437" s="75">
        <f>INPUT!BE239</f>
        <v>-33</v>
      </c>
      <c r="AG437" s="155" t="str">
        <f>INPUT!BF239</f>
        <v>NM</v>
      </c>
      <c r="AH437" s="75">
        <f>INPUT!BG239</f>
        <v>-12</v>
      </c>
      <c r="AI437" s="240" t="str">
        <f>INPUT!BH239</f>
        <v>NM</v>
      </c>
      <c r="AJ437" s="75">
        <f>INPUT!BI239</f>
        <v>-3</v>
      </c>
      <c r="AK437" s="240" t="str">
        <f>INPUT!BJ239</f>
        <v>NM</v>
      </c>
      <c r="AL437" s="75">
        <f>INPUT!BK239</f>
        <v>-14</v>
      </c>
      <c r="AM437" s="240">
        <f>INPUT!BL239</f>
        <v>16.666666666666671</v>
      </c>
      <c r="AN437" s="75">
        <f>INPUT!BM239</f>
        <v>-8</v>
      </c>
      <c r="AO437" s="240" t="str">
        <f>INPUT!BN239</f>
        <v>NM</v>
      </c>
      <c r="AP437" s="75">
        <f>INPUT!BO239</f>
        <v>-5</v>
      </c>
      <c r="AQ437" s="240" t="str">
        <f>INPUT!BP239</f>
        <v>NM</v>
      </c>
      <c r="AR437" s="75">
        <f>INPUT!BQ239</f>
        <v>-5</v>
      </c>
      <c r="AS437" s="240">
        <f>INPUT!BR239</f>
        <v>66.666666666666686</v>
      </c>
      <c r="AT437" s="75">
        <f>INPUT!BS239</f>
        <v>-7</v>
      </c>
      <c r="AU437" s="240">
        <f>INPUT!BT239</f>
        <v>-50</v>
      </c>
      <c r="AV437" s="75">
        <f>INPUT!BU239</f>
        <v>-9</v>
      </c>
      <c r="AW437" s="240">
        <f>INPUT!BV239</f>
        <v>12.5</v>
      </c>
      <c r="AX437" s="75">
        <f>INPUT!BW239</f>
        <v>-2</v>
      </c>
      <c r="AY437" s="240" t="str">
        <f>INPUT!BX239</f>
        <v>NM</v>
      </c>
      <c r="AZ437" s="75">
        <f>INPUT!BY239</f>
        <v>-3</v>
      </c>
      <c r="BA437" s="240">
        <f>INPUT!BZ239</f>
        <v>-40</v>
      </c>
      <c r="BB437" s="75">
        <f>INPUT!CA239</f>
        <v>-15</v>
      </c>
      <c r="BC437" s="240" t="str">
        <f>INPUT!CB239</f>
        <v>NM</v>
      </c>
      <c r="BD437" s="75">
        <f>INPUT!CC239</f>
        <v>-4</v>
      </c>
      <c r="BE437" s="240" t="str">
        <f>INPUT!CD239</f>
        <v>NM</v>
      </c>
      <c r="BF437" s="75">
        <f>INPUT!CE239</f>
        <v>-5</v>
      </c>
      <c r="BG437" s="240" t="str">
        <f>INPUT!CF239</f>
        <v>NM</v>
      </c>
      <c r="BH437" s="75">
        <f>INPUT!CG239</f>
        <v>-6</v>
      </c>
      <c r="BI437" s="240">
        <f>INPUT!CH239</f>
        <v>100</v>
      </c>
      <c r="BJ437" s="75">
        <f>INPUT!CI239</f>
        <v>-6</v>
      </c>
      <c r="BK437" s="240" t="str">
        <f>INPUT!CJ239</f>
        <v>NM</v>
      </c>
      <c r="BL437" s="75">
        <f>INPUT!CK239</f>
        <v>-1</v>
      </c>
      <c r="BM437" s="240" t="str">
        <f>INPUT!CL239</f>
        <v>NM</v>
      </c>
      <c r="BN437" s="75">
        <f>INPUT!CM239</f>
        <v>-6</v>
      </c>
      <c r="BO437" s="240">
        <f>INPUT!CN239</f>
        <v>20</v>
      </c>
      <c r="BP437" s="75">
        <f>INPUT!CO239</f>
        <v>-9</v>
      </c>
      <c r="BQ437" s="240">
        <f>INPUT!CP239</f>
        <v>50</v>
      </c>
      <c r="BR437" s="75">
        <f>INPUT!CQ239</f>
        <v>2</v>
      </c>
      <c r="BS437" s="240" t="str">
        <f>INPUT!CR239</f>
        <v>NM</v>
      </c>
      <c r="BT437" s="75">
        <f>INPUT!CS239</f>
        <v>2</v>
      </c>
      <c r="BU437" s="240" t="str">
        <f>INPUT!CT239</f>
        <v>NM</v>
      </c>
      <c r="BV437" s="75">
        <f>INPUT!CU239</f>
        <v>1</v>
      </c>
      <c r="BW437" s="240" t="str">
        <f>INPUT!CV239</f>
        <v>NM</v>
      </c>
      <c r="BX437" s="75">
        <f>INPUT!CW239</f>
        <v>1</v>
      </c>
      <c r="BY437" s="240" t="str">
        <f>INPUT!CX239</f>
        <v>NM</v>
      </c>
      <c r="BZ437" s="75">
        <f>INPUT!CY239</f>
        <v>1</v>
      </c>
      <c r="CA437" s="240">
        <f>INPUT!CZ239</f>
        <v>-50</v>
      </c>
      <c r="CB437" s="75">
        <f>INPUT!DA239</f>
        <v>-53</v>
      </c>
      <c r="CC437" s="240" t="str">
        <f>INPUT!DB239</f>
        <v>NM</v>
      </c>
      <c r="CD437" s="75">
        <f>INPUT!DC239</f>
        <v>2</v>
      </c>
      <c r="CE437" s="240">
        <f>INPUT!DD239</f>
        <v>100</v>
      </c>
      <c r="CF437" s="75">
        <f>INPUT!DE239</f>
        <v>5</v>
      </c>
      <c r="CG437" s="240" t="str">
        <f>INPUT!DF239</f>
        <v>NM</v>
      </c>
      <c r="CH437" s="75">
        <f>INPUT!DG239</f>
        <v>-2</v>
      </c>
      <c r="CI437" s="240" t="str">
        <f>INPUT!DH239</f>
        <v>NM</v>
      </c>
      <c r="CJ437" s="75">
        <f>INPUT!DI239</f>
        <v>-6</v>
      </c>
      <c r="CK437" s="240" t="str">
        <f>INPUT!DJ239</f>
        <v>NM</v>
      </c>
      <c r="CL437" s="75">
        <f>INPUT!DK239</f>
        <v>3</v>
      </c>
      <c r="CM437" s="240">
        <f>INPUT!DL239</f>
        <v>50</v>
      </c>
      <c r="CN437" s="75">
        <f>INPUT!DM239</f>
        <v>2</v>
      </c>
      <c r="CO437" s="240" t="str">
        <f>INPUT!DN239</f>
        <v>NM</v>
      </c>
      <c r="CP437" s="75">
        <f>INPUT!DO239</f>
        <v>2</v>
      </c>
      <c r="CQ437" s="240" t="str">
        <f>INPUT!DP239</f>
        <v>NM</v>
      </c>
      <c r="CR437" s="75">
        <f>INPUT!DQ239</f>
        <v>-1</v>
      </c>
      <c r="CS437" s="240" t="str">
        <f>INPUT!DR239</f>
        <v>NM</v>
      </c>
      <c r="CT437" s="75">
        <f>INPUT!DS239</f>
        <v>2</v>
      </c>
      <c r="CU437" s="240">
        <f>INPUT!DT239</f>
        <v>-33.333333333333343</v>
      </c>
      <c r="CV437" s="75">
        <f>INPUT!DU239</f>
        <v>-8</v>
      </c>
      <c r="CW437" s="240" t="str">
        <f>INPUT!DV239</f>
        <v>NM</v>
      </c>
      <c r="CX437" s="75">
        <f>INPUT!DW239</f>
        <v>1</v>
      </c>
      <c r="CY437" s="240">
        <f>INPUT!DX239</f>
        <v>-50</v>
      </c>
      <c r="CZ437" s="75">
        <f>INPUT!DY239</f>
        <v>1</v>
      </c>
      <c r="DA437" s="240" t="str">
        <f>INPUT!DZ239</f>
        <v>NM</v>
      </c>
      <c r="DB437" s="75">
        <f>INPUT!EA239</f>
        <v>1</v>
      </c>
      <c r="DC437" s="240">
        <f>INPUT!EB239</f>
        <v>-50</v>
      </c>
      <c r="DD437" s="75">
        <f>INPUT!EC239</f>
        <v>2</v>
      </c>
      <c r="DE437" s="240" t="str">
        <f>INPUT!ED239</f>
        <v>NM</v>
      </c>
      <c r="DF437" s="75">
        <f>INPUT!EE239</f>
        <v>1</v>
      </c>
      <c r="DG437" s="240">
        <f>INPUT!EF239</f>
        <v>0</v>
      </c>
      <c r="DH437" s="75">
        <f>INPUT!EG239</f>
        <v>2</v>
      </c>
      <c r="DI437" s="240">
        <f>INPUT!EH239</f>
        <v>100</v>
      </c>
      <c r="DJ437" s="75">
        <f>INPUT!EI239</f>
        <v>1</v>
      </c>
      <c r="DK437" s="240">
        <f>INPUT!EJ239</f>
        <v>0</v>
      </c>
      <c r="DL437" s="75">
        <f>INPUT!EK239</f>
        <v>2</v>
      </c>
      <c r="DM437" s="240">
        <f>INPUT!EL239</f>
        <v>0</v>
      </c>
      <c r="DN437" s="75">
        <f>INPUT!EM239</f>
        <v>10</v>
      </c>
      <c r="DO437" s="240" t="str">
        <f>INPUT!EN239</f>
        <v>NM</v>
      </c>
      <c r="DP437" s="75">
        <f>INPUT!EO239</f>
        <v>1</v>
      </c>
      <c r="DQ437" s="240">
        <f>INPUT!EP239</f>
        <v>-50</v>
      </c>
      <c r="DR437" s="75">
        <f>INPUT!EQ239</f>
        <v>3.1593658500000008</v>
      </c>
      <c r="DS437" s="240" t="str">
        <f>INPUT!ER239</f>
        <v>NM</v>
      </c>
      <c r="DT437" s="75">
        <f>INPUT!ES239</f>
        <v>3.1909595085000007</v>
      </c>
      <c r="DU437" s="240">
        <f>INPUT!ET239</f>
        <v>59.547975425000033</v>
      </c>
      <c r="DV437" s="75">
        <f>INPUT!EU239</f>
        <v>3.2228691035849999</v>
      </c>
      <c r="DW437" s="240" t="str">
        <f>INPUT!EV239</f>
        <v>NM</v>
      </c>
      <c r="DX437" s="75">
        <f>INPUT!EW239</f>
        <v>3.4891244334497991</v>
      </c>
      <c r="DY437" s="240" t="str">
        <f>INPUT!EX239</f>
        <v>NM</v>
      </c>
      <c r="DZ437" s="75"/>
      <c r="EA437" s="240"/>
      <c r="EB437" s="155">
        <f>INPUT!FI239</f>
        <v>40</v>
      </c>
      <c r="EC437" s="75">
        <f>INPUT!FJ239</f>
        <v>-31</v>
      </c>
      <c r="ED437" s="155" t="str">
        <f>INPUT!FK239</f>
        <v>NM</v>
      </c>
      <c r="EE437" s="75">
        <f>INPUT!FL239</f>
        <v>-31</v>
      </c>
      <c r="EF437" s="155">
        <f>INPUT!FM239</f>
        <v>0</v>
      </c>
      <c r="EG437" s="75">
        <f>INPUT!FN239</f>
        <v>-23</v>
      </c>
      <c r="EH437" s="155">
        <f>INPUT!FO239</f>
        <v>-25.806451612903231</v>
      </c>
      <c r="EI437" s="75">
        <f>INPUT!FP239</f>
        <v>-59</v>
      </c>
      <c r="EJ437" s="240" t="str">
        <f>INPUT!FQ239</f>
        <v>NM</v>
      </c>
      <c r="EK437" s="75">
        <f>INPUT!FR239</f>
        <v>-114</v>
      </c>
      <c r="EL437" s="240">
        <f>INPUT!FS239</f>
        <v>93.220338983050851</v>
      </c>
      <c r="EM437" s="75">
        <f>INPUT!FT239</f>
        <v>-37</v>
      </c>
      <c r="EN437" s="240" t="str">
        <f>INPUT!FU239</f>
        <v>NM</v>
      </c>
      <c r="EO437" s="75">
        <f>INPUT!FV239</f>
        <v>-22</v>
      </c>
      <c r="EP437" s="240">
        <f>INPUT!FW239</f>
        <v>-40.54054054054054</v>
      </c>
      <c r="EQ437" s="75">
        <f>INPUT!FX239</f>
        <v>-22</v>
      </c>
      <c r="ER437" s="240">
        <f>INPUT!FY239</f>
        <v>0</v>
      </c>
      <c r="ES437" s="75">
        <f>INPUT!FZ239</f>
        <v>-18</v>
      </c>
      <c r="ET437" s="240">
        <f>INPUT!GA239</f>
        <v>-18.181818181818173</v>
      </c>
      <c r="EU437" s="75">
        <f>INPUT!GB239</f>
        <v>-11</v>
      </c>
      <c r="EV437" s="240">
        <f>INPUT!GC239</f>
        <v>-38.888888888888886</v>
      </c>
      <c r="EW437" s="75">
        <f>INPUT!GD239</f>
        <v>-50</v>
      </c>
      <c r="EX437" s="240" t="str">
        <f>INPUT!GE239</f>
        <v>NM</v>
      </c>
      <c r="EY437" s="75">
        <f>INPUT!GF239</f>
        <v>-1</v>
      </c>
      <c r="EZ437" s="240" t="str">
        <f>INPUT!GG239</f>
        <v>NM</v>
      </c>
      <c r="FA437" s="75">
        <f>INPUT!GH239</f>
        <v>6</v>
      </c>
      <c r="FB437" s="240" t="str">
        <f>INPUT!GI239</f>
        <v>NM</v>
      </c>
      <c r="FC437" s="75">
        <f>INPUT!GJ239</f>
        <v>-4</v>
      </c>
      <c r="FD437" s="240" t="str">
        <f>INPUT!GK239</f>
        <v>NM</v>
      </c>
      <c r="FE437" s="75">
        <f>INPUT!GL239</f>
        <v>6</v>
      </c>
      <c r="FF437" s="240" t="str">
        <f>INPUT!GM239</f>
        <v>NM</v>
      </c>
      <c r="FG437" s="75">
        <f>INPUT!GN239</f>
        <v>14</v>
      </c>
      <c r="FH437" s="240" t="str">
        <f>INPUT!GO239</f>
        <v>NM</v>
      </c>
      <c r="FI437" s="75">
        <f>INPUT!GP239</f>
        <v>13.0623188955348</v>
      </c>
      <c r="FJ437" s="240">
        <f>INPUT!GQ239</f>
        <v>-6.6977221747514335</v>
      </c>
      <c r="FK437" s="75">
        <f>INPUT!GR239</f>
        <v>13.611453798479877</v>
      </c>
      <c r="FL437" s="240">
        <f>INPUT!GS239</f>
        <v>4.2039618488627752</v>
      </c>
      <c r="FM437" s="75">
        <f>INPUT!GT239</f>
        <v>14.18415262637018</v>
      </c>
      <c r="FN437" s="240">
        <f>INPUT!GU239</f>
        <v>4.2074772935295215</v>
      </c>
      <c r="FO437" s="75">
        <f>INPUT!GV239</f>
        <v>14.781453847933166</v>
      </c>
      <c r="FP437" s="240">
        <f>INPUT!GW239</f>
        <v>4.2110462097857351</v>
      </c>
      <c r="FQ437" s="75">
        <f>INPUT!GX239</f>
        <v>15.404443225349155</v>
      </c>
      <c r="FR437" s="240">
        <f>INPUT!GY239</f>
        <v>4.2146691646512124</v>
      </c>
      <c r="FS437" s="240">
        <f>INPUT!GZ239</f>
        <v>1.930368444091668</v>
      </c>
    </row>
    <row r="438" spans="1:176" ht="12.75" hidden="1" customHeight="1" outlineLevel="1" x14ac:dyDescent="0.2">
      <c r="A438" s="70" t="str">
        <f>INPUT!B240</f>
        <v>Total Benefits and Expenses</v>
      </c>
      <c r="B438" s="91">
        <f>INPUT!AA240</f>
        <v>927</v>
      </c>
      <c r="C438" s="155">
        <f>INPUT!AB240</f>
        <v>8.6752637749120822</v>
      </c>
      <c r="D438" s="91">
        <f>INPUT!AC240</f>
        <v>852</v>
      </c>
      <c r="E438" s="155">
        <f>INPUT!AD240</f>
        <v>-1.2746234067207496</v>
      </c>
      <c r="F438" s="91">
        <f>INPUT!AE240</f>
        <v>852</v>
      </c>
      <c r="G438" s="155">
        <f>INPUT!AF240</f>
        <v>0</v>
      </c>
      <c r="H438" s="91">
        <f>INPUT!AG240</f>
        <v>888</v>
      </c>
      <c r="I438" s="155">
        <f>INPUT!AH240</f>
        <v>3.3760186263096443</v>
      </c>
      <c r="J438" s="91">
        <f>INPUT!AI240</f>
        <v>945</v>
      </c>
      <c r="K438" s="155">
        <f>INPUT!AJ240</f>
        <v>1.9417475728155296</v>
      </c>
      <c r="L438" s="91">
        <f>INPUT!AK240</f>
        <v>907</v>
      </c>
      <c r="M438" s="155">
        <f>INPUT!AL240</f>
        <v>6.4553990610328782</v>
      </c>
      <c r="N438" s="91">
        <f>INPUT!AM240</f>
        <v>939</v>
      </c>
      <c r="O438" s="155">
        <f>INPUT!AN240</f>
        <v>10.211267605633793</v>
      </c>
      <c r="P438" s="91">
        <f>INPUT!AO240</f>
        <v>927</v>
      </c>
      <c r="Q438" s="155">
        <f>INPUT!AP240</f>
        <v>4.3918918918918877</v>
      </c>
      <c r="R438" s="91">
        <f>INPUT!AQ240</f>
        <v>1014</v>
      </c>
      <c r="S438" s="155">
        <f>INPUT!AR240</f>
        <v>7.3015873015873041</v>
      </c>
      <c r="T438" s="91">
        <f>INPUT!AS240</f>
        <v>1014</v>
      </c>
      <c r="U438" s="155">
        <f>INPUT!AT240</f>
        <v>11.797133406835727</v>
      </c>
      <c r="V438" s="91">
        <f>INPUT!AU240</f>
        <v>978</v>
      </c>
      <c r="W438" s="155">
        <f>INPUT!AV240</f>
        <v>4.1533546325878632</v>
      </c>
      <c r="X438" s="91">
        <f>INPUT!AW240</f>
        <v>970</v>
      </c>
      <c r="Y438" s="155">
        <f>INPUT!AX240</f>
        <v>4.6386192017259873</v>
      </c>
      <c r="Z438" s="91">
        <f>INPUT!AY240</f>
        <v>1062</v>
      </c>
      <c r="AA438" s="155">
        <f>INPUT!AZ240</f>
        <v>4.7337278106508904</v>
      </c>
      <c r="AB438" s="91">
        <f>INPUT!BA240</f>
        <v>1088</v>
      </c>
      <c r="AC438" s="155">
        <f>INPUT!BB240</f>
        <v>7.2978303747534454</v>
      </c>
      <c r="AD438" s="91">
        <f>INPUT!BC240</f>
        <v>1065</v>
      </c>
      <c r="AE438" s="155">
        <f>INPUT!BD240</f>
        <v>8.8957055214723795</v>
      </c>
      <c r="AF438" s="91">
        <f>INPUT!BE240</f>
        <v>1111</v>
      </c>
      <c r="AG438" s="155">
        <f>INPUT!BF240</f>
        <v>14.536082474226802</v>
      </c>
      <c r="AH438" s="91">
        <f>INPUT!BG240</f>
        <v>1154</v>
      </c>
      <c r="AI438" s="240">
        <f>INPUT!BH240</f>
        <v>8.662900188323917</v>
      </c>
      <c r="AJ438" s="91">
        <f>INPUT!BI240</f>
        <v>1142</v>
      </c>
      <c r="AK438" s="240">
        <f>INPUT!BJ240</f>
        <v>4.9632352941176379</v>
      </c>
      <c r="AL438" s="91">
        <f>INPUT!BK240</f>
        <v>1103</v>
      </c>
      <c r="AM438" s="240">
        <f>INPUT!BL240</f>
        <v>3.5680751173708956</v>
      </c>
      <c r="AN438" s="91">
        <f>INPUT!BM240</f>
        <v>1114</v>
      </c>
      <c r="AO438" s="240">
        <f>INPUT!BN240</f>
        <v>0.27002700270027447</v>
      </c>
      <c r="AP438" s="91">
        <f>INPUT!BO240</f>
        <v>1167</v>
      </c>
      <c r="AQ438" s="240">
        <f>INPUT!BP240</f>
        <v>1.1265164644713934</v>
      </c>
      <c r="AR438" s="91">
        <f>INPUT!BQ240</f>
        <v>1138</v>
      </c>
      <c r="AS438" s="240">
        <f>INPUT!BR240</f>
        <v>-0.3502626970227567</v>
      </c>
      <c r="AT438" s="91">
        <f>INPUT!BS240</f>
        <v>1131</v>
      </c>
      <c r="AU438" s="240">
        <f>INPUT!BT240</f>
        <v>2.538531278331817</v>
      </c>
      <c r="AV438" s="91">
        <f>INPUT!BU240</f>
        <v>1184</v>
      </c>
      <c r="AW438" s="240">
        <f>INPUT!BV240</f>
        <v>6.2836624775583374</v>
      </c>
      <c r="AX438" s="91">
        <f>INPUT!BW240</f>
        <v>1240</v>
      </c>
      <c r="AY438" s="240">
        <f>INPUT!BX240</f>
        <v>6.2553556126820951</v>
      </c>
      <c r="AZ438" s="91">
        <f>INPUT!BY240</f>
        <v>1198</v>
      </c>
      <c r="BA438" s="240">
        <f>INPUT!BZ240</f>
        <v>5.2724077328646786</v>
      </c>
      <c r="BB438" s="91">
        <f>INPUT!CA240</f>
        <v>1292</v>
      </c>
      <c r="BC438" s="240">
        <f>INPUT!CB240</f>
        <v>14.235190097259064</v>
      </c>
      <c r="BD438" s="91">
        <f>INPUT!CC240</f>
        <v>1224</v>
      </c>
      <c r="BE438" s="240">
        <f>INPUT!CD240</f>
        <v>3.3783783783783718</v>
      </c>
      <c r="BF438" s="91">
        <f>INPUT!CE240</f>
        <v>1259</v>
      </c>
      <c r="BG438" s="240">
        <f>INPUT!CF240</f>
        <v>1.5322580645161281</v>
      </c>
      <c r="BH438" s="91">
        <f>INPUT!CG240</f>
        <v>1284</v>
      </c>
      <c r="BI438" s="240">
        <f>INPUT!CH240</f>
        <v>7.1786310517529159</v>
      </c>
      <c r="BJ438" s="91">
        <f>INPUT!CI240</f>
        <v>1406</v>
      </c>
      <c r="BK438" s="240">
        <f>INPUT!CJ240</f>
        <v>8.8235294117646959</v>
      </c>
      <c r="BL438" s="91">
        <f>INPUT!CK240</f>
        <v>1297</v>
      </c>
      <c r="BM438" s="240">
        <f>INPUT!CL240</f>
        <v>5.9640522875816941</v>
      </c>
      <c r="BN438" s="91">
        <f>INPUT!CM240</f>
        <v>1467</v>
      </c>
      <c r="BO438" s="240">
        <f>INPUT!CN240</f>
        <v>16.5210484511517</v>
      </c>
      <c r="BP438" s="91">
        <f>INPUT!CO240</f>
        <v>1437</v>
      </c>
      <c r="BQ438" s="240">
        <f>INPUT!CP240</f>
        <v>11.915887850467286</v>
      </c>
      <c r="BR438" s="91">
        <f>INPUT!CQ240</f>
        <v>1402</v>
      </c>
      <c r="BS438" s="240">
        <f>INPUT!CR240</f>
        <v>-0.28449502133712201</v>
      </c>
      <c r="BT438" s="91">
        <f>INPUT!CS240</f>
        <v>1342</v>
      </c>
      <c r="BU438" s="240">
        <f>INPUT!CT240</f>
        <v>3.4695451040863503</v>
      </c>
      <c r="BV438" s="91">
        <f>INPUT!CU240</f>
        <v>1431</v>
      </c>
      <c r="BW438" s="240">
        <f>INPUT!CV240</f>
        <v>-2.4539877300613426</v>
      </c>
      <c r="BX438" s="91">
        <f>INPUT!CW240</f>
        <v>1359</v>
      </c>
      <c r="BY438" s="240">
        <f>INPUT!CX240</f>
        <v>-5.4279749478079395</v>
      </c>
      <c r="BZ438" s="91">
        <f>INPUT!CY240</f>
        <v>1385</v>
      </c>
      <c r="CA438" s="240">
        <f>INPUT!CZ240</f>
        <v>-1.2125534950071284</v>
      </c>
      <c r="CB438" s="91">
        <f>INPUT!DA240</f>
        <v>1410</v>
      </c>
      <c r="CC438" s="240">
        <f>INPUT!DB240</f>
        <v>5.0670640834575238</v>
      </c>
      <c r="CD438" s="91">
        <f>INPUT!DC240</f>
        <v>1393</v>
      </c>
      <c r="CE438" s="240">
        <f>INPUT!DD240</f>
        <v>-2.6554856743535993</v>
      </c>
      <c r="CF438" s="91">
        <f>INPUT!DE240</f>
        <v>1377</v>
      </c>
      <c r="CG438" s="240">
        <f>INPUT!DF240</f>
        <v>1.3245033112582831</v>
      </c>
      <c r="CH438" s="91">
        <f>INPUT!DG240</f>
        <v>1274</v>
      </c>
      <c r="CI438" s="240">
        <f>INPUT!DH240</f>
        <v>-8.0144404332129966</v>
      </c>
      <c r="CJ438" s="91">
        <f>INPUT!DI240</f>
        <v>1317</v>
      </c>
      <c r="CK438" s="240">
        <f>INPUT!DJ240</f>
        <v>-6.5957446808510696</v>
      </c>
      <c r="CL438" s="91">
        <f>INPUT!DK240</f>
        <v>1356</v>
      </c>
      <c r="CM438" s="240">
        <f>INPUT!DL240</f>
        <v>-2.6561378320172224</v>
      </c>
      <c r="CN438" s="91">
        <f>INPUT!DM240</f>
        <v>1296</v>
      </c>
      <c r="CO438" s="240">
        <f>INPUT!DN240</f>
        <v>-5.8823529411764781</v>
      </c>
      <c r="CP438" s="91">
        <f>INPUT!DO240</f>
        <v>1422</v>
      </c>
      <c r="CQ438" s="240">
        <f>INPUT!DP240</f>
        <v>11.616954474097341</v>
      </c>
      <c r="CR438" s="91">
        <f>INPUT!DQ240</f>
        <v>1260</v>
      </c>
      <c r="CS438" s="240">
        <f>INPUT!DR240</f>
        <v>-4.328018223234622</v>
      </c>
      <c r="CT438" s="91">
        <f>INPUT!DS240</f>
        <v>1247</v>
      </c>
      <c r="CU438" s="240">
        <f>INPUT!DT240</f>
        <v>-8.0383480825958742</v>
      </c>
      <c r="CV438" s="91">
        <f>INPUT!DU240</f>
        <v>1216</v>
      </c>
      <c r="CW438" s="240">
        <f>INPUT!DV240</f>
        <v>-6.1728395061728492</v>
      </c>
      <c r="CX438" s="91">
        <f>INPUT!DW240</f>
        <v>1250</v>
      </c>
      <c r="CY438" s="240">
        <f>INPUT!DX240</f>
        <v>-12.095639943741205</v>
      </c>
      <c r="CZ438" s="91">
        <f>INPUT!DY240</f>
        <v>1254</v>
      </c>
      <c r="DA438" s="240">
        <f>INPUT!DZ240</f>
        <v>-0.4761904761904816</v>
      </c>
      <c r="DB438" s="91">
        <f>INPUT!EA240</f>
        <v>1294</v>
      </c>
      <c r="DC438" s="240">
        <f>INPUT!EB240</f>
        <v>3.7690457097032919</v>
      </c>
      <c r="DD438" s="91">
        <f>INPUT!EC240</f>
        <v>1275</v>
      </c>
      <c r="DE438" s="240">
        <f>INPUT!ED240</f>
        <v>4.8519736842105345</v>
      </c>
      <c r="DF438" s="91">
        <f>INPUT!EE240</f>
        <v>1271</v>
      </c>
      <c r="DG438" s="240">
        <f>INPUT!EF240</f>
        <v>1.6799999999999926</v>
      </c>
      <c r="DH438" s="91">
        <f>INPUT!EG240</f>
        <v>1283</v>
      </c>
      <c r="DI438" s="240">
        <f>INPUT!EH240</f>
        <v>2.3125996810207283</v>
      </c>
      <c r="DJ438" s="91">
        <f>INPUT!EI240</f>
        <v>1349</v>
      </c>
      <c r="DK438" s="240">
        <f>INPUT!EJ240</f>
        <v>4.25038639876351</v>
      </c>
      <c r="DL438" s="91">
        <f>INPUT!EK240</f>
        <v>1226</v>
      </c>
      <c r="DM438" s="240">
        <f>INPUT!EL240</f>
        <v>-3.8431372549019613</v>
      </c>
      <c r="DN438" s="91">
        <f>INPUT!EM240</f>
        <v>1302</v>
      </c>
      <c r="DO438" s="240">
        <f>INPUT!EN240</f>
        <v>2.4390243902439011</v>
      </c>
      <c r="DP438" s="91">
        <f>INPUT!EO240</f>
        <v>1341</v>
      </c>
      <c r="DQ438" s="240">
        <f>INPUT!EP240</f>
        <v>4.5206547155105312</v>
      </c>
      <c r="DR438" s="91">
        <f>INPUT!EQ240</f>
        <v>1333.4516758500004</v>
      </c>
      <c r="DS438" s="240">
        <f>INPUT!ER240</f>
        <v>-1.1525814788732163</v>
      </c>
      <c r="DT438" s="91">
        <f>INPUT!ES240</f>
        <v>1340.7729041085006</v>
      </c>
      <c r="DU438" s="240">
        <f>INPUT!ET240</f>
        <v>9.3615745602365905</v>
      </c>
      <c r="DV438" s="91">
        <f>INPUT!EU240</f>
        <v>1348.1073117645853</v>
      </c>
      <c r="DW438" s="240">
        <f>INPUT!EV240</f>
        <v>3.5412681846839718</v>
      </c>
      <c r="DX438" s="91">
        <f>INPUT!EW240</f>
        <v>1371.2902328441398</v>
      </c>
      <c r="DY438" s="240">
        <f>INPUT!EX240</f>
        <v>2.2587794812930468</v>
      </c>
      <c r="DZ438" s="91"/>
      <c r="EA438" s="240"/>
      <c r="EB438" s="155">
        <f>INPUT!FI240</f>
        <v>20.242149073023086</v>
      </c>
      <c r="EC438" s="91">
        <f>INPUT!FJ240</f>
        <v>3427</v>
      </c>
      <c r="ED438" s="155">
        <f>INPUT!FK240</f>
        <v>7.8351164254248005</v>
      </c>
      <c r="EE438" s="91">
        <f>INPUT!FL240</f>
        <v>3519</v>
      </c>
      <c r="EF438" s="155">
        <f>INPUT!FM240</f>
        <v>2.6845637583892596</v>
      </c>
      <c r="EG438" s="91">
        <f>INPUT!FN240</f>
        <v>3718</v>
      </c>
      <c r="EH438" s="155">
        <f>INPUT!FO240</f>
        <v>5.6550156294401717</v>
      </c>
      <c r="EI438" s="91">
        <f>INPUT!FP240</f>
        <v>3976</v>
      </c>
      <c r="EJ438" s="240">
        <f>INPUT!FQ240</f>
        <v>6.9392146315223187</v>
      </c>
      <c r="EK438" s="91">
        <f>INPUT!FR240</f>
        <v>4326</v>
      </c>
      <c r="EL438" s="240">
        <f>INPUT!FS240</f>
        <v>8.8028169014084483</v>
      </c>
      <c r="EM438" s="91">
        <f>INPUT!FT240</f>
        <v>4513</v>
      </c>
      <c r="EN438" s="240">
        <f>INPUT!FU240</f>
        <v>4.3226999537679092</v>
      </c>
      <c r="EO438" s="91">
        <f>INPUT!FV240</f>
        <v>4624</v>
      </c>
      <c r="EP438" s="240">
        <f>INPUT!FW240</f>
        <v>2.459561267449601</v>
      </c>
      <c r="EQ438" s="91">
        <f>INPUT!FX240</f>
        <v>4956</v>
      </c>
      <c r="ER438" s="240">
        <f>INPUT!FY240</f>
        <v>7.1799307958477527</v>
      </c>
      <c r="ES438" s="91">
        <f>INPUT!FZ240</f>
        <v>5246</v>
      </c>
      <c r="ET438" s="240">
        <f>INPUT!GA240</f>
        <v>5.8514931396287437</v>
      </c>
      <c r="EU438" s="91">
        <f>INPUT!GB240</f>
        <v>5648</v>
      </c>
      <c r="EV438" s="240">
        <f>INPUT!GC240</f>
        <v>7.662981319100254</v>
      </c>
      <c r="EW438" s="91">
        <f>INPUT!GD240</f>
        <v>5585</v>
      </c>
      <c r="EX438" s="240">
        <f>INPUT!GE240</f>
        <v>-1.1154390934844116</v>
      </c>
      <c r="EY438" s="91">
        <f>INPUT!GF240</f>
        <v>5361</v>
      </c>
      <c r="EZ438" s="240">
        <f>INPUT!GG240</f>
        <v>-4.010743061772601</v>
      </c>
      <c r="FA438" s="91">
        <f>INPUT!GH240</f>
        <v>5334</v>
      </c>
      <c r="FB438" s="240">
        <f>INPUT!GI240</f>
        <v>-0.50363738108562472</v>
      </c>
      <c r="FC438" s="91">
        <f>INPUT!GJ240</f>
        <v>4967</v>
      </c>
      <c r="FD438" s="240">
        <f>INPUT!GK240</f>
        <v>-6.8803899512560918</v>
      </c>
      <c r="FE438" s="91">
        <f>INPUT!GL240</f>
        <v>5123</v>
      </c>
      <c r="FF438" s="240">
        <f>INPUT!GM240</f>
        <v>3.1407288101469817</v>
      </c>
      <c r="FG438" s="91">
        <f>INPUT!GN240</f>
        <v>5218</v>
      </c>
      <c r="FH438" s="240">
        <f>INPUT!GO240</f>
        <v>1.854382197930903</v>
      </c>
      <c r="FI438" s="91">
        <f>INPUT!GP240</f>
        <v>5393.6221245672259</v>
      </c>
      <c r="FJ438" s="240">
        <f>INPUT!GQ240</f>
        <v>3.3656980560986085</v>
      </c>
      <c r="FK438" s="91">
        <f>INPUT!GR240</f>
        <v>5620.9562785500639</v>
      </c>
      <c r="FL438" s="240">
        <f>INPUT!GS240</f>
        <v>4.2148698728329776</v>
      </c>
      <c r="FM438" s="91">
        <f>INPUT!GT240</f>
        <v>5855.4664057280297</v>
      </c>
      <c r="FN438" s="240">
        <f>INPUT!GU240</f>
        <v>4.1720681598765026</v>
      </c>
      <c r="FO438" s="91">
        <f>INPUT!GV240</f>
        <v>6102.7201356396909</v>
      </c>
      <c r="FP438" s="240">
        <f>INPUT!GW240</f>
        <v>4.2226137557511976</v>
      </c>
      <c r="FQ438" s="91">
        <f>INPUT!GX240</f>
        <v>6360.6557191687707</v>
      </c>
      <c r="FR438" s="240">
        <f>INPUT!GY240</f>
        <v>4.2265674616593429</v>
      </c>
      <c r="FS438" s="240">
        <f>INPUT!GZ240</f>
        <v>4.0398129957472939</v>
      </c>
    </row>
    <row r="439" spans="1:176" ht="12.75" hidden="1" customHeight="1" outlineLevel="1" x14ac:dyDescent="0.2">
      <c r="A439" s="246"/>
      <c r="B439" s="75"/>
      <c r="C439" s="155"/>
      <c r="D439" s="75"/>
      <c r="E439" s="155"/>
      <c r="F439" s="75"/>
      <c r="G439" s="155"/>
      <c r="H439" s="75"/>
      <c r="I439" s="155"/>
      <c r="J439" s="75"/>
      <c r="K439" s="155"/>
      <c r="L439" s="75"/>
      <c r="M439" s="155"/>
      <c r="N439" s="75"/>
      <c r="O439" s="155"/>
      <c r="P439" s="75"/>
      <c r="Q439" s="155"/>
      <c r="R439" s="75"/>
      <c r="S439" s="155"/>
      <c r="T439" s="75"/>
      <c r="U439" s="155"/>
      <c r="V439" s="75"/>
      <c r="W439" s="155"/>
      <c r="X439" s="75"/>
      <c r="Y439" s="155"/>
      <c r="Z439" s="75"/>
      <c r="AA439" s="155"/>
      <c r="AB439" s="75"/>
      <c r="AC439" s="155"/>
      <c r="AD439" s="75"/>
      <c r="AE439" s="155"/>
      <c r="AF439" s="75"/>
      <c r="AG439" s="155"/>
      <c r="AH439" s="75"/>
      <c r="AI439" s="240"/>
      <c r="AJ439" s="75"/>
      <c r="AK439" s="240"/>
      <c r="AL439" s="75"/>
      <c r="AM439" s="240"/>
      <c r="AN439" s="75"/>
      <c r="AO439" s="240"/>
      <c r="AP439" s="75"/>
      <c r="AQ439" s="240"/>
      <c r="AR439" s="75"/>
      <c r="AS439" s="240"/>
      <c r="AT439" s="75"/>
      <c r="AU439" s="240"/>
      <c r="AV439" s="75"/>
      <c r="AW439" s="240"/>
      <c r="AX439" s="75"/>
      <c r="AY439" s="240"/>
      <c r="AZ439" s="75"/>
      <c r="BA439" s="240"/>
      <c r="BB439" s="75"/>
      <c r="BC439" s="240"/>
      <c r="BD439" s="75"/>
      <c r="BE439" s="240"/>
      <c r="BF439" s="75"/>
      <c r="BG439" s="240"/>
      <c r="BH439" s="75"/>
      <c r="BI439" s="240"/>
      <c r="BJ439" s="75"/>
      <c r="BK439" s="240"/>
      <c r="BL439" s="75"/>
      <c r="BM439" s="240"/>
      <c r="BN439" s="75"/>
      <c r="BO439" s="240"/>
      <c r="BP439" s="75"/>
      <c r="BQ439" s="240"/>
      <c r="BR439" s="75"/>
      <c r="BS439" s="240"/>
      <c r="BT439" s="75"/>
      <c r="BU439" s="240"/>
      <c r="BV439" s="75"/>
      <c r="BW439" s="240"/>
      <c r="BX439" s="75"/>
      <c r="BY439" s="240"/>
      <c r="BZ439" s="75"/>
      <c r="CA439" s="240"/>
      <c r="CB439" s="75"/>
      <c r="CC439" s="240"/>
      <c r="CD439" s="75"/>
      <c r="CE439" s="240"/>
      <c r="CF439" s="75"/>
      <c r="CG439" s="240"/>
      <c r="CH439" s="75"/>
      <c r="CI439" s="240"/>
      <c r="CJ439" s="75"/>
      <c r="CK439" s="240"/>
      <c r="CL439" s="75"/>
      <c r="CM439" s="240"/>
      <c r="CN439" s="75"/>
      <c r="CO439" s="240"/>
      <c r="CP439" s="75"/>
      <c r="CQ439" s="240"/>
      <c r="CR439" s="75"/>
      <c r="CS439" s="240"/>
      <c r="CT439" s="75"/>
      <c r="CU439" s="240"/>
      <c r="CV439" s="75"/>
      <c r="CW439" s="240"/>
      <c r="CX439" s="75"/>
      <c r="CY439" s="240"/>
      <c r="CZ439" s="75"/>
      <c r="DA439" s="240"/>
      <c r="DB439" s="75"/>
      <c r="DC439" s="240"/>
      <c r="DD439" s="75"/>
      <c r="DE439" s="240"/>
      <c r="DF439" s="75"/>
      <c r="DG439" s="240"/>
      <c r="DH439" s="75"/>
      <c r="DI439" s="240"/>
      <c r="DJ439" s="75"/>
      <c r="DK439" s="240"/>
      <c r="DL439" s="75"/>
      <c r="DM439" s="240"/>
      <c r="DN439" s="75"/>
      <c r="DO439" s="240"/>
      <c r="DP439" s="75"/>
      <c r="DQ439" s="240"/>
      <c r="DR439" s="75"/>
      <c r="DS439" s="240"/>
      <c r="DT439" s="75"/>
      <c r="DU439" s="240"/>
      <c r="DV439" s="75"/>
      <c r="DW439" s="240"/>
      <c r="DX439" s="75"/>
      <c r="DY439" s="240"/>
      <c r="DZ439" s="75"/>
      <c r="EA439" s="240"/>
      <c r="EB439" s="155"/>
      <c r="EC439" s="75"/>
      <c r="ED439" s="155"/>
      <c r="EE439" s="75"/>
      <c r="EF439" s="155"/>
      <c r="EG439" s="75"/>
      <c r="EH439" s="155"/>
      <c r="EI439" s="75"/>
      <c r="EJ439" s="240"/>
      <c r="EK439" s="75"/>
      <c r="EL439" s="240"/>
      <c r="EM439" s="75"/>
      <c r="EN439" s="240"/>
      <c r="EO439" s="75"/>
      <c r="EP439" s="240"/>
      <c r="EQ439" s="75"/>
      <c r="ER439" s="240"/>
      <c r="ES439" s="75"/>
      <c r="ET439" s="240"/>
      <c r="EU439" s="75"/>
      <c r="EV439" s="240"/>
      <c r="EW439" s="75"/>
      <c r="EX439" s="240"/>
      <c r="EY439" s="75"/>
      <c r="EZ439" s="240"/>
      <c r="FA439" s="75"/>
      <c r="FB439" s="240"/>
      <c r="FC439" s="75"/>
      <c r="FD439" s="240"/>
      <c r="FE439" s="75"/>
      <c r="FF439" s="240"/>
      <c r="FG439" s="75"/>
      <c r="FH439" s="240"/>
      <c r="FI439" s="75"/>
      <c r="FJ439" s="240"/>
      <c r="FK439" s="75"/>
      <c r="FL439" s="240"/>
      <c r="FM439" s="75"/>
      <c r="FN439" s="240"/>
      <c r="FO439" s="75"/>
      <c r="FP439" s="240"/>
      <c r="FQ439" s="75"/>
      <c r="FR439" s="240"/>
      <c r="FS439" s="240"/>
    </row>
    <row r="440" spans="1:176" ht="12.75" hidden="1" customHeight="1" outlineLevel="1" x14ac:dyDescent="0.2">
      <c r="A440" s="512" t="s">
        <v>706</v>
      </c>
      <c r="B440" s="506">
        <f>INPUT!AA248</f>
        <v>34</v>
      </c>
      <c r="C440" s="513">
        <f>INPUT!AB248</f>
        <v>-8.1081081081080981</v>
      </c>
      <c r="D440" s="506">
        <f>INPUT!AC248</f>
        <v>58</v>
      </c>
      <c r="E440" s="513">
        <f>INPUT!AD248</f>
        <v>61.111111111111114</v>
      </c>
      <c r="F440" s="506">
        <f>INPUT!AE248</f>
        <v>30</v>
      </c>
      <c r="G440" s="513">
        <f>INPUT!AF248</f>
        <v>0</v>
      </c>
      <c r="H440" s="506">
        <f>INPUT!AG248</f>
        <v>47</v>
      </c>
      <c r="I440" s="513">
        <f>INPUT!AH248</f>
        <v>-9.6153846153846132</v>
      </c>
      <c r="J440" s="506">
        <f>INPUT!AI248</f>
        <v>26</v>
      </c>
      <c r="K440" s="513">
        <f>INPUT!AJ248</f>
        <v>-23.529411764705884</v>
      </c>
      <c r="L440" s="506">
        <f>INPUT!AK248</f>
        <v>46</v>
      </c>
      <c r="M440" s="513">
        <f>INPUT!AL248</f>
        <v>-20.689655172413794</v>
      </c>
      <c r="N440" s="506">
        <f>INPUT!AM248</f>
        <v>48</v>
      </c>
      <c r="O440" s="513">
        <f>INPUT!AN248</f>
        <v>60</v>
      </c>
      <c r="P440" s="506">
        <f>INPUT!AO248</f>
        <v>54</v>
      </c>
      <c r="Q440" s="513">
        <f>INPUT!AP248</f>
        <v>14.893617021276611</v>
      </c>
      <c r="R440" s="506">
        <f>INPUT!AQ248</f>
        <v>38</v>
      </c>
      <c r="S440" s="513">
        <f>INPUT!AR248</f>
        <v>46.153846153846132</v>
      </c>
      <c r="T440" s="506">
        <f>INPUT!AS248</f>
        <v>46</v>
      </c>
      <c r="U440" s="513">
        <f>INPUT!AT248</f>
        <v>0</v>
      </c>
      <c r="V440" s="506">
        <f>INPUT!AU248</f>
        <v>60</v>
      </c>
      <c r="W440" s="513">
        <f>INPUT!AV248</f>
        <v>25</v>
      </c>
      <c r="X440" s="506">
        <f>INPUT!AW248</f>
        <v>80</v>
      </c>
      <c r="Y440" s="513">
        <f>INPUT!AX248</f>
        <v>48.148148148148152</v>
      </c>
      <c r="Z440" s="506">
        <f>INPUT!AY248</f>
        <v>47</v>
      </c>
      <c r="AA440" s="513">
        <f>INPUT!AZ248</f>
        <v>23.684210526315795</v>
      </c>
      <c r="AB440" s="506">
        <f>INPUT!BA248</f>
        <v>29</v>
      </c>
      <c r="AC440" s="513">
        <f>INPUT!BB248</f>
        <v>-36.95652173913043</v>
      </c>
      <c r="AD440" s="506">
        <f>INPUT!BC248</f>
        <v>90</v>
      </c>
      <c r="AE440" s="513">
        <f>INPUT!BD248</f>
        <v>50</v>
      </c>
      <c r="AF440" s="506">
        <f>INPUT!BE248</f>
        <v>63</v>
      </c>
      <c r="AG440" s="513">
        <f>INPUT!BF248</f>
        <v>-21.25</v>
      </c>
      <c r="AH440" s="506">
        <f>INPUT!BG248</f>
        <v>51</v>
      </c>
      <c r="AI440" s="507">
        <f>INPUT!BH248</f>
        <v>8.5106382978723332</v>
      </c>
      <c r="AJ440" s="506">
        <f>INPUT!BI248</f>
        <v>69</v>
      </c>
      <c r="AK440" s="507" t="str">
        <f>INPUT!BJ248</f>
        <v>NM</v>
      </c>
      <c r="AL440" s="506">
        <f>INPUT!BK248</f>
        <v>100</v>
      </c>
      <c r="AM440" s="507">
        <f>INPUT!BL248</f>
        <v>11.111111111111114</v>
      </c>
      <c r="AN440" s="506">
        <f>INPUT!BM248</f>
        <v>66</v>
      </c>
      <c r="AO440" s="507">
        <f>INPUT!BN248</f>
        <v>4.7619047619047734</v>
      </c>
      <c r="AP440" s="506">
        <f>INPUT!BO248</f>
        <v>90</v>
      </c>
      <c r="AQ440" s="507">
        <f>INPUT!BP248</f>
        <v>76.470588235294116</v>
      </c>
      <c r="AR440" s="506">
        <f>INPUT!BQ248</f>
        <v>80</v>
      </c>
      <c r="AS440" s="507">
        <f>INPUT!BR248</f>
        <v>15.94202898550725</v>
      </c>
      <c r="AT440" s="506">
        <f>INPUT!BS248</f>
        <v>101</v>
      </c>
      <c r="AU440" s="507">
        <f>INPUT!BT248</f>
        <v>1</v>
      </c>
      <c r="AV440" s="506">
        <f>INPUT!BU248</f>
        <v>69</v>
      </c>
      <c r="AW440" s="507">
        <f>INPUT!BV248</f>
        <v>4.5454545454545467</v>
      </c>
      <c r="AX440" s="506">
        <f>INPUT!BW248</f>
        <v>93</v>
      </c>
      <c r="AY440" s="507">
        <f>INPUT!BX248</f>
        <v>3.3333333333333428</v>
      </c>
      <c r="AZ440" s="506">
        <f>INPUT!BY248</f>
        <v>105</v>
      </c>
      <c r="BA440" s="507">
        <f>INPUT!BZ248</f>
        <v>31.25</v>
      </c>
      <c r="BB440" s="506">
        <f>INPUT!CA248</f>
        <v>64</v>
      </c>
      <c r="BC440" s="507">
        <f>INPUT!CB248</f>
        <v>-36.633663366336634</v>
      </c>
      <c r="BD440" s="506">
        <f>INPUT!CC248</f>
        <v>69</v>
      </c>
      <c r="BE440" s="507">
        <f>INPUT!CD248</f>
        <v>0</v>
      </c>
      <c r="BF440" s="506">
        <f>INPUT!CE248</f>
        <v>52</v>
      </c>
      <c r="BG440" s="507">
        <f>INPUT!CF248</f>
        <v>-44.086021505376351</v>
      </c>
      <c r="BH440" s="506">
        <f>INPUT!CG248</f>
        <v>32</v>
      </c>
      <c r="BI440" s="507" t="str">
        <f>INPUT!CH248</f>
        <v>NM</v>
      </c>
      <c r="BJ440" s="506">
        <f>INPUT!CI248</f>
        <v>60</v>
      </c>
      <c r="BK440" s="507">
        <f>INPUT!CJ248</f>
        <v>-6.25</v>
      </c>
      <c r="BL440" s="506">
        <f>INPUT!CK248</f>
        <v>68</v>
      </c>
      <c r="BM440" s="507">
        <f>INPUT!CL248</f>
        <v>-1.4492753623188293</v>
      </c>
      <c r="BN440" s="506">
        <f>INPUT!CM248</f>
        <v>39</v>
      </c>
      <c r="BO440" s="507">
        <f>INPUT!CN248</f>
        <v>-25</v>
      </c>
      <c r="BP440" s="506">
        <f>INPUT!CO248</f>
        <v>49</v>
      </c>
      <c r="BQ440" s="507">
        <f>INPUT!CP248</f>
        <v>53.125</v>
      </c>
      <c r="BR440" s="506">
        <f>INPUT!CQ248</f>
        <v>45</v>
      </c>
      <c r="BS440" s="507">
        <f>INPUT!CR248</f>
        <v>-25</v>
      </c>
      <c r="BT440" s="506">
        <f>INPUT!CS248</f>
        <v>42</v>
      </c>
      <c r="BU440" s="507">
        <f>INPUT!CT248</f>
        <v>-38.235294117647058</v>
      </c>
      <c r="BV440" s="506">
        <f>INPUT!CU248</f>
        <v>-40</v>
      </c>
      <c r="BW440" s="507" t="str">
        <f>INPUT!CV248</f>
        <v>NM</v>
      </c>
      <c r="BX440" s="506">
        <f>INPUT!CW248</f>
        <v>33</v>
      </c>
      <c r="BY440" s="507">
        <f>INPUT!CX248</f>
        <v>-32.653061224489804</v>
      </c>
      <c r="BZ440" s="506">
        <f>INPUT!CY248</f>
        <v>35</v>
      </c>
      <c r="CA440" s="507">
        <f>INPUT!CZ248</f>
        <v>-22.222222222222214</v>
      </c>
      <c r="CB440" s="506">
        <f>INPUT!DA248</f>
        <v>-12</v>
      </c>
      <c r="CC440" s="507" t="str">
        <f>INPUT!DB248</f>
        <v>NM</v>
      </c>
      <c r="CD440" s="506">
        <f>INPUT!DC248</f>
        <v>9</v>
      </c>
      <c r="CE440" s="507" t="str">
        <f>INPUT!DD248</f>
        <v>NM</v>
      </c>
      <c r="CF440" s="506">
        <f>INPUT!DE248</f>
        <v>22</v>
      </c>
      <c r="CG440" s="507">
        <f>INPUT!DF248</f>
        <v>-33.333333333333343</v>
      </c>
      <c r="CH440" s="506">
        <f>INPUT!DG248</f>
        <v>68</v>
      </c>
      <c r="CI440" s="507">
        <f>INPUT!DH248</f>
        <v>94.285714285714278</v>
      </c>
      <c r="CJ440" s="506">
        <f>INPUT!DI248</f>
        <v>58</v>
      </c>
      <c r="CK440" s="507" t="str">
        <f>INPUT!DJ248</f>
        <v>NM</v>
      </c>
      <c r="CL440" s="506">
        <f>INPUT!DK248</f>
        <v>6</v>
      </c>
      <c r="CM440" s="507">
        <f>INPUT!DL248</f>
        <v>-33.333333333333343</v>
      </c>
      <c r="CN440" s="506">
        <f>INPUT!DM248</f>
        <v>46</v>
      </c>
      <c r="CO440" s="507" t="str">
        <f>INPUT!DN248</f>
        <v>NM</v>
      </c>
      <c r="CP440" s="506">
        <f>INPUT!DO248</f>
        <v>-73</v>
      </c>
      <c r="CQ440" s="507" t="str">
        <f>INPUT!DP248</f>
        <v>NM</v>
      </c>
      <c r="CR440" s="506">
        <f>INPUT!DQ248</f>
        <v>44</v>
      </c>
      <c r="CS440" s="507">
        <f>INPUT!DR248</f>
        <v>-24.137931034482762</v>
      </c>
      <c r="CT440" s="506">
        <f>INPUT!DS248</f>
        <v>30</v>
      </c>
      <c r="CU440" s="507" t="str">
        <f>INPUT!DT248</f>
        <v>NM</v>
      </c>
      <c r="CV440" s="506">
        <f>INPUT!DU248</f>
        <v>75</v>
      </c>
      <c r="CW440" s="507">
        <f>INPUT!DV248</f>
        <v>63.043478260869563</v>
      </c>
      <c r="CX440" s="506">
        <f>INPUT!DW248</f>
        <v>44</v>
      </c>
      <c r="CY440" s="507" t="str">
        <f>INPUT!DX248</f>
        <v>NM</v>
      </c>
      <c r="CZ440" s="506">
        <f>INPUT!DY248</f>
        <v>27</v>
      </c>
      <c r="DA440" s="507">
        <f>INPUT!DZ248</f>
        <v>-38.636363636363633</v>
      </c>
      <c r="DB440" s="506">
        <f>INPUT!EA248</f>
        <v>26</v>
      </c>
      <c r="DC440" s="507">
        <f>INPUT!EB248</f>
        <v>-13.333333333333329</v>
      </c>
      <c r="DD440" s="506">
        <f>INPUT!EC248</f>
        <v>89</v>
      </c>
      <c r="DE440" s="507">
        <f>INPUT!ED248</f>
        <v>18.666666666666671</v>
      </c>
      <c r="DF440" s="506">
        <f>INPUT!EE248</f>
        <v>62</v>
      </c>
      <c r="DG440" s="507">
        <f>INPUT!EF248</f>
        <v>40.909090909090907</v>
      </c>
      <c r="DH440" s="506">
        <f>INPUT!EG248</f>
        <v>43</v>
      </c>
      <c r="DI440" s="507">
        <f>INPUT!EH248</f>
        <v>59.259259259259267</v>
      </c>
      <c r="DJ440" s="506">
        <f>INPUT!EI248</f>
        <v>34</v>
      </c>
      <c r="DK440" s="507">
        <f>INPUT!EJ248</f>
        <v>30.769230769230774</v>
      </c>
      <c r="DL440" s="506">
        <f>INPUT!EK248</f>
        <v>136</v>
      </c>
      <c r="DM440" s="507">
        <f>INPUT!EL248</f>
        <v>52.808988764044926</v>
      </c>
      <c r="DN440" s="506">
        <f>INPUT!EM248</f>
        <v>61</v>
      </c>
      <c r="DO440" s="507">
        <f>INPUT!EN248</f>
        <v>-1.6129032258064484</v>
      </c>
      <c r="DP440" s="506">
        <f>INPUT!EO248</f>
        <v>22</v>
      </c>
      <c r="DQ440" s="507">
        <f>INPUT!EP248</f>
        <v>-48.837209302325576</v>
      </c>
      <c r="DR440" s="506">
        <f>INPUT!EQ248</f>
        <v>43.17832414999998</v>
      </c>
      <c r="DS440" s="507">
        <f>INPUT!ER248</f>
        <v>26.995071029411704</v>
      </c>
      <c r="DT440" s="506">
        <f>INPUT!ES248</f>
        <v>49.623395891499513</v>
      </c>
      <c r="DU440" s="507" t="str">
        <f>INPUT!ET248</f>
        <v>NM</v>
      </c>
      <c r="DV440" s="506">
        <f>INPUT!EU248</f>
        <v>56.192951235414739</v>
      </c>
      <c r="DW440" s="507">
        <f>INPUT!EV248</f>
        <v>-7.8804078107955036</v>
      </c>
      <c r="DX440" s="506">
        <f>INPUT!EW248</f>
        <v>47.053032785860069</v>
      </c>
      <c r="DY440" s="507" t="str">
        <f>INPUT!EX248</f>
        <v>NM</v>
      </c>
      <c r="DZ440" s="506"/>
      <c r="EA440" s="507"/>
      <c r="EB440" s="513" t="str">
        <f>INPUT!FI248</f>
        <v>NM</v>
      </c>
      <c r="EC440" s="506">
        <f>INPUT!FJ248</f>
        <v>155</v>
      </c>
      <c r="ED440" s="513" t="str">
        <f>INPUT!FK248</f>
        <v>NM</v>
      </c>
      <c r="EE440" s="506">
        <f>INPUT!FL248</f>
        <v>169</v>
      </c>
      <c r="EF440" s="513">
        <f>INPUT!FM248</f>
        <v>9.0322580645161281</v>
      </c>
      <c r="EG440" s="506">
        <f>INPUT!FN248</f>
        <v>174</v>
      </c>
      <c r="EH440" s="513">
        <f>INPUT!FO248</f>
        <v>2.958579881656803</v>
      </c>
      <c r="EI440" s="506">
        <f>INPUT!FP248</f>
        <v>224</v>
      </c>
      <c r="EJ440" s="507">
        <f>INPUT!FQ248</f>
        <v>28.735632183908052</v>
      </c>
      <c r="EK440" s="506">
        <f>INPUT!FR248</f>
        <v>229</v>
      </c>
      <c r="EL440" s="507">
        <f>INPUT!FS248</f>
        <v>2.2321428571428612</v>
      </c>
      <c r="EM440" s="506">
        <f>INPUT!FT248</f>
        <v>286</v>
      </c>
      <c r="EN440" s="507">
        <f>INPUT!FU248</f>
        <v>24.890829694323145</v>
      </c>
      <c r="EO440" s="506">
        <f>INPUT!FV248</f>
        <v>336</v>
      </c>
      <c r="EP440" s="507">
        <f>INPUT!FW248</f>
        <v>17.48251748251748</v>
      </c>
      <c r="EQ440" s="506">
        <f>INPUT!FX248</f>
        <v>329</v>
      </c>
      <c r="ER440" s="507">
        <f>INPUT!FY248</f>
        <v>-2.0833333333333428</v>
      </c>
      <c r="ES440" s="506">
        <f>INPUT!FZ248</f>
        <v>212</v>
      </c>
      <c r="ET440" s="507">
        <f>INPUT!GA248</f>
        <v>-35.562310030395139</v>
      </c>
      <c r="EU440" s="506">
        <f>INPUT!GB248</f>
        <v>175</v>
      </c>
      <c r="EV440" s="507">
        <f>INPUT!GC248</f>
        <v>-17.452830188679243</v>
      </c>
      <c r="EW440" s="506">
        <f>INPUT!GD248</f>
        <v>16</v>
      </c>
      <c r="EX440" s="507" t="str">
        <f>INPUT!GE248</f>
        <v>NM</v>
      </c>
      <c r="EY440" s="506">
        <f>INPUT!GF248</f>
        <v>157</v>
      </c>
      <c r="EZ440" s="507" t="str">
        <f>INPUT!GG248</f>
        <v>NM</v>
      </c>
      <c r="FA440" s="506">
        <f>INPUT!GH248</f>
        <v>23</v>
      </c>
      <c r="FB440" s="507" t="str">
        <f>INPUT!GI248</f>
        <v>NM</v>
      </c>
      <c r="FC440" s="506">
        <f>INPUT!GJ248</f>
        <v>176</v>
      </c>
      <c r="FD440" s="507" t="str">
        <f>INPUT!GK248</f>
        <v>NM</v>
      </c>
      <c r="FE440" s="506">
        <f>INPUT!GL248</f>
        <v>220</v>
      </c>
      <c r="FF440" s="507">
        <f>INPUT!GM248</f>
        <v>25</v>
      </c>
      <c r="FG440" s="506">
        <f>INPUT!GN248</f>
        <v>253</v>
      </c>
      <c r="FH440" s="507">
        <f>INPUT!GO248</f>
        <v>14.999999999999986</v>
      </c>
      <c r="FI440" s="506">
        <f>INPUT!GP248</f>
        <v>196.04770406277567</v>
      </c>
      <c r="FJ440" s="507">
        <f>INPUT!GQ248</f>
        <v>-22.510788907993799</v>
      </c>
      <c r="FK440" s="506">
        <f>INPUT!GR248</f>
        <v>203.70113715293792</v>
      </c>
      <c r="FL440" s="507">
        <f>INPUT!GS248</f>
        <v>3.9038626474868607</v>
      </c>
      <c r="FM440" s="506">
        <f>INPUT!GT248</f>
        <v>214.2621481665592</v>
      </c>
      <c r="FN440" s="507">
        <f>INPUT!GU248</f>
        <v>5.1845616383045154</v>
      </c>
      <c r="FO440" s="506">
        <f>INPUT!GV248</f>
        <v>222.60749246795876</v>
      </c>
      <c r="FP440" s="507">
        <f>INPUT!GW248</f>
        <v>3.894922352272971</v>
      </c>
      <c r="FQ440" s="506">
        <f>INPUT!GX248</f>
        <v>231.26354204389736</v>
      </c>
      <c r="FR440" s="507">
        <f>INPUT!GY248</f>
        <v>3.8884807874040916</v>
      </c>
      <c r="FS440" s="507">
        <f>INPUT!GZ248</f>
        <v>-1.7805878837331424</v>
      </c>
    </row>
    <row r="441" spans="1:176" ht="12.75" hidden="1" customHeight="1" outlineLevel="2" x14ac:dyDescent="0.2">
      <c r="A441" s="471" t="s">
        <v>683</v>
      </c>
      <c r="B441" s="472">
        <f>(B425+B426+B428+B429-B433-B434-B435-B436-B437)-B440</f>
        <v>0</v>
      </c>
      <c r="C441" s="473"/>
      <c r="D441" s="472">
        <f>(D425+D426+D428+D429-D433-D434-D435-D436-D437)-D440</f>
        <v>0</v>
      </c>
      <c r="E441" s="473"/>
      <c r="F441" s="472">
        <f>(F425+F426+F428+F429-F433-F434-F435-F436-F437)-F440</f>
        <v>0</v>
      </c>
      <c r="G441" s="473"/>
      <c r="H441" s="472">
        <f>(H425+H426+H428+H429-H433-H434-H435-H436-H437)-H440</f>
        <v>0</v>
      </c>
      <c r="I441" s="473"/>
      <c r="J441" s="472">
        <f>(J425+J426+J428+J429-J433-J434-J435-J436-J437)-J440</f>
        <v>0</v>
      </c>
      <c r="K441" s="473"/>
      <c r="L441" s="472">
        <f>(L425+L426+L428+L429-L433-L434-L435-L436-L437)-L440</f>
        <v>0</v>
      </c>
      <c r="M441" s="473"/>
      <c r="N441" s="472">
        <f>(N425+N426+N428+N429-N433-N434-N435-N436-N437)-N440</f>
        <v>0</v>
      </c>
      <c r="O441" s="473"/>
      <c r="P441" s="472">
        <f>(P425+P426+P428+P429-P433-P434-P435-P436-P437)-P440</f>
        <v>0</v>
      </c>
      <c r="Q441" s="473"/>
      <c r="R441" s="472">
        <f>(R425+R426+R428+R429-R433-R434-R435-R436-R437)-R440</f>
        <v>0</v>
      </c>
      <c r="S441" s="473"/>
      <c r="T441" s="472">
        <f>(T425+T426+T428+T429-T433-T434-T435-T436-T437)-T440</f>
        <v>0</v>
      </c>
      <c r="U441" s="473"/>
      <c r="V441" s="472">
        <f>(V425+V426+V428+V429-V433-V434-V435-V436-V437)-V440</f>
        <v>0</v>
      </c>
      <c r="W441" s="473"/>
      <c r="X441" s="472">
        <f>(X425+X426+X428+X429-X433-X434-X435-X436-X437)-X440</f>
        <v>0</v>
      </c>
      <c r="Y441" s="473"/>
      <c r="Z441" s="472">
        <f>(Z425+Z426+Z428+Z429-Z433-Z434-Z435-Z436-Z437)-Z440</f>
        <v>0</v>
      </c>
      <c r="AA441" s="473"/>
      <c r="AB441" s="472">
        <f>(AB425+AB426+AB428+AB429-AB433-AB434-AB435-AB436-AB437)-AB440</f>
        <v>0</v>
      </c>
      <c r="AC441" s="473"/>
      <c r="AD441" s="472">
        <f>(AD425+AD426+AD428+AD429-AD433-AD434-AD435-AD436-AD437)-AD440</f>
        <v>0</v>
      </c>
      <c r="AE441" s="473"/>
      <c r="AF441" s="472">
        <f>(AF425+AF426+AF428+AF429-AF433-AF434-AF435-AF436-AF437)-AF440</f>
        <v>0</v>
      </c>
      <c r="AG441" s="473"/>
      <c r="AH441" s="472">
        <f>(AH425+AH426+AH428+AH429-AH433-AH434-AH435-AH436-AH437)-AH440</f>
        <v>0</v>
      </c>
      <c r="AI441" s="473"/>
      <c r="AJ441" s="472">
        <f>(AJ425+AJ426+AJ428+AJ429-AJ433-AJ434-AJ435-AJ436-AJ437)-AJ440</f>
        <v>0</v>
      </c>
      <c r="AK441" s="473"/>
      <c r="AL441" s="472">
        <f>(AL425+AL426+AL428+AL429-AL433-AL434-AL435-AL436-AL437)-AL440</f>
        <v>0</v>
      </c>
      <c r="AM441" s="473"/>
      <c r="AN441" s="472">
        <f>(AN425+AN426+AN428+AN429-AN433-AN434-AN435-AN436-AN437)-AN440</f>
        <v>0</v>
      </c>
      <c r="AO441" s="473"/>
      <c r="AP441" s="472">
        <f>(AP425+AP426+AP428+AP429-AP433-AP434-AP435-AP436-AP437)-AP440</f>
        <v>0</v>
      </c>
      <c r="AQ441" s="473"/>
      <c r="AR441" s="472">
        <f>(AR425+AR426+AR428+AR429-AR433-AR434-AR435-AR436-AR437)-AR440</f>
        <v>0</v>
      </c>
      <c r="AS441" s="473"/>
      <c r="AT441" s="472">
        <f>(AT425+AT426+AT428+AT429-AT433-AT434-AT435-AT436-AT437)-AT440</f>
        <v>0</v>
      </c>
      <c r="AU441" s="473"/>
      <c r="AV441" s="472">
        <f>(AV425+AV426+AV428+AV429-AV433-AV434-AV435-AV436-AV437)-AV440</f>
        <v>0</v>
      </c>
      <c r="AW441" s="473"/>
      <c r="AX441" s="472">
        <f>(AX425+AX426+AX428+AX429-AX433-AX434-AX435-AX436-AX437)-AX440</f>
        <v>0</v>
      </c>
      <c r="AY441" s="473"/>
      <c r="AZ441" s="472">
        <f>(AZ425+AZ426+AZ428+AZ429-AZ433-AZ434-AZ435-AZ436-AZ437)-AZ440</f>
        <v>0</v>
      </c>
      <c r="BA441" s="473"/>
      <c r="BB441" s="472">
        <f>(BB425+BB426+BB428+BB429-BB433-BB434-BB435-BB436-BB437)-BB440</f>
        <v>0</v>
      </c>
      <c r="BC441" s="473"/>
      <c r="BD441" s="472">
        <f>(BD425+BD426+BD428+BD429-BD433-BD434-BD435-BD436-BD437)-BD440</f>
        <v>0</v>
      </c>
      <c r="BE441" s="473"/>
      <c r="BF441" s="472">
        <f>(BF425+BF426+BF428+BF429-BF433-BF434-BF435-BF436-BF437)-BF440</f>
        <v>0</v>
      </c>
      <c r="BG441" s="473"/>
      <c r="BH441" s="472">
        <f>(BH425+BH426+BH428+BH429-BH433-BH434-BH435-BH436-BH437)-BH440</f>
        <v>0</v>
      </c>
      <c r="BI441" s="473"/>
      <c r="BJ441" s="472">
        <f>(BJ425+BJ426+BJ428+BJ429-BJ433-BJ434-BJ435-BJ436-BJ437)-BJ440</f>
        <v>0</v>
      </c>
      <c r="BK441" s="473"/>
      <c r="BL441" s="472">
        <f>(BL425+BL426+BL428+BL429-BL433-BL434-BL435-BL436-BL437)-BL440</f>
        <v>0</v>
      </c>
      <c r="BM441" s="473"/>
      <c r="BN441" s="472">
        <f>(BN425+BN426+BN428+BN429-BN433-BN434-BN435-BN436-BN437)-BN440</f>
        <v>0</v>
      </c>
      <c r="BO441" s="473"/>
      <c r="BP441" s="472">
        <f>(BP425+BP426+BP428+BP429-BP433-BP434-BP435-BP436-BP437)-BP440</f>
        <v>0</v>
      </c>
      <c r="BQ441" s="473"/>
      <c r="BR441" s="472">
        <f>(BR425+BR426+BR428+BR429-BR433-BR434-BR435-BR436-BR437)-BR440</f>
        <v>0</v>
      </c>
      <c r="BS441" s="473"/>
      <c r="BT441" s="472">
        <f>(BT425+BT426+BT428+BT429-BT433-BT434-BT435-BT436-BT437)-BT440</f>
        <v>0</v>
      </c>
      <c r="BU441" s="473"/>
      <c r="BV441" s="472">
        <f>(BV425+BV426+BV428+BV429-BV433-BV434-BV435-BV436-BV437)-BV440</f>
        <v>0</v>
      </c>
      <c r="BW441" s="473"/>
      <c r="BX441" s="472">
        <f>(BX425+BX426+BX428+BX429-BX433-BX434-BX435-BX436-BX437)-BX440</f>
        <v>0</v>
      </c>
      <c r="BY441" s="473"/>
      <c r="BZ441" s="472">
        <f>(BZ425+BZ426+BZ428+BZ429-BZ433-BZ434-BZ435-BZ436-BZ437)-BZ440</f>
        <v>0</v>
      </c>
      <c r="CA441" s="473"/>
      <c r="CB441" s="472">
        <f>(CB425+CB426+CB428+CB429-CB433-CB434-CB435-CB436-CB437)-CB440</f>
        <v>0</v>
      </c>
      <c r="CC441" s="473"/>
      <c r="CD441" s="472">
        <f>(CD425+CD426+CD428+CD429-CD433-CD434-CD435-CD436-CD437)-CD440</f>
        <v>0</v>
      </c>
      <c r="CE441" s="473"/>
      <c r="CF441" s="472">
        <f>(CF425+CF426+CF428+CF429-CF433-CF434-CF435-CF436-CF437)-CF440</f>
        <v>0</v>
      </c>
      <c r="CG441" s="473"/>
      <c r="CH441" s="472">
        <f>(CH425+CH426+CH428+CH429-CH433-CH434-CH435-CH436-CH437)-CH440</f>
        <v>0</v>
      </c>
      <c r="CI441" s="473"/>
      <c r="CJ441" s="472">
        <f>(CJ425+CJ426+CJ428+CJ429-CJ433-CJ434-CJ435-CJ436-CJ437)-CJ440</f>
        <v>0</v>
      </c>
      <c r="CK441" s="473"/>
      <c r="CL441" s="472">
        <f>(CL425+CL426+CL428+CL429-CL433-CL434-CL435-CL436-CL437)-CL440</f>
        <v>0</v>
      </c>
      <c r="CM441" s="473"/>
      <c r="CN441" s="472">
        <f>(CN425+CN426+CN428+CN429-CN433-CN434-CN435-CN436-CN437)-CN440</f>
        <v>0</v>
      </c>
      <c r="CO441" s="473"/>
      <c r="CP441" s="472">
        <f>(CP425+CP426+CP428+CP429-CP433-CP434-CP435-CP436-CP437)-CP440</f>
        <v>0</v>
      </c>
      <c r="CQ441" s="473"/>
      <c r="CR441" s="472">
        <f>(CR425+CR426+CR428+CR429-CR433-CR434-CR435-CR436-CR437)-CR440</f>
        <v>0</v>
      </c>
      <c r="CS441" s="473"/>
      <c r="CT441" s="472">
        <f>(CT425+CT426+CT428+CT429-CT433-CT434-CT435-CT436-CT437)-CT440</f>
        <v>0</v>
      </c>
      <c r="CU441" s="473"/>
      <c r="CV441" s="472">
        <f>(CV425+CV426+CV428+CV429-CV433-CV434-CV435-CV436-CV437)-CV440</f>
        <v>0</v>
      </c>
      <c r="CW441" s="473"/>
      <c r="CX441" s="472">
        <f>(CX425+CX426+CX428+CX429-CX433-CX434-CX435-CX436-CX437)-CX440</f>
        <v>0</v>
      </c>
      <c r="CY441" s="473"/>
      <c r="CZ441" s="472">
        <f>(CZ425+CZ426+CZ428+CZ429-CZ433-CZ434-CZ435-CZ436-CZ437)-CZ440</f>
        <v>0</v>
      </c>
      <c r="DA441" s="473"/>
      <c r="DB441" s="472">
        <f>(DB425+DB426+DB428+DB429-DB433-DB434-DB435-DB436-DB437)-DB440</f>
        <v>0</v>
      </c>
      <c r="DC441" s="473"/>
      <c r="DD441" s="472">
        <f>(DD425+DD426+DD428+DD429-DD433-DD434-DD435-DD436-DD437)-DD440</f>
        <v>0</v>
      </c>
      <c r="DE441" s="473"/>
      <c r="DF441" s="472">
        <f>(DF425+DF426+DF428+DF429-DF433-DF434-DF435-DF436-DF437)-DF440</f>
        <v>0</v>
      </c>
      <c r="DG441" s="473"/>
      <c r="DH441" s="472">
        <f>(DH425+DH426+DH428+DH429-DH433-DH434-DH435-DH436-DH437)-DH440</f>
        <v>0</v>
      </c>
      <c r="DI441" s="473"/>
      <c r="DJ441" s="472">
        <f>(DJ425+DJ426+DJ428+DJ429-DJ433-DJ434-DJ435-DJ436-DJ437)-DJ440</f>
        <v>0</v>
      </c>
      <c r="DK441" s="473"/>
      <c r="DL441" s="472">
        <f>(DL425+DL426+DL428+DL429-DL433-DL434-DL435-DL436-DL437)-DL440</f>
        <v>0</v>
      </c>
      <c r="DM441" s="473"/>
      <c r="DN441" s="472">
        <f>(DN425+DN426+DN428+DN429-DN433-DN434-DN435-DN436-DN437)-DN440</f>
        <v>0</v>
      </c>
      <c r="DO441" s="473"/>
      <c r="DP441" s="472">
        <f>(DP425+DP426+DP428+DP429-DP433-DP434-DP435-DP436-DP437)-DP440</f>
        <v>0</v>
      </c>
      <c r="DQ441" s="473"/>
      <c r="DR441" s="472">
        <f>(DR425+DR426+DR428+DR429-DR433-DR434-DR435-DR436-DR437)-DR440</f>
        <v>0</v>
      </c>
      <c r="DS441" s="473"/>
      <c r="DT441" s="472">
        <f>(DT425+DT426+DT428+DT429-DT433-DT434-DT435-DT436-DT437)-DT440</f>
        <v>3.2684965844964609E-13</v>
      </c>
      <c r="DU441" s="473"/>
      <c r="DV441" s="472">
        <f>(DV425+DV426+DV428+DV429-DV433-DV434-DV435-DV436-DV437)-DV440</f>
        <v>8.5265128291212022E-14</v>
      </c>
      <c r="DW441" s="473"/>
      <c r="DX441" s="472">
        <f>(DX425+DX426+DX428+DX429-DX433-DX434-DX435-DX436-DX437)-DX440</f>
        <v>-1.1368683772161603E-13</v>
      </c>
      <c r="DY441" s="473"/>
      <c r="DZ441" s="472"/>
      <c r="EA441" s="473"/>
      <c r="EB441" s="473"/>
      <c r="EC441" s="472">
        <f>(EC425+EC426+EC428+EC429-EC433-EC434-EC435-EC436-EC437)-EC440</f>
        <v>0</v>
      </c>
      <c r="ED441" s="473"/>
      <c r="EE441" s="472">
        <f>(EE425+EE426+EE428+EE429-EE433-EE434-EE435-EE436-EE437)-EE440</f>
        <v>0</v>
      </c>
      <c r="EF441" s="473"/>
      <c r="EG441" s="472">
        <f>(EG425+EG426+EG428+EG429-EG433-EG434-EG435-EG436-EG437)-EG440</f>
        <v>0</v>
      </c>
      <c r="EH441" s="473"/>
      <c r="EI441" s="472">
        <f>(EI425+EI426+EI428+EI429-EI433-EI434-EI435-EI436-EI437)-EI440</f>
        <v>0</v>
      </c>
      <c r="EJ441" s="473"/>
      <c r="EK441" s="472">
        <f>(EK425+EK426+EK428+EK429-EK433-EK434-EK435-EK436-EK437)-EK440</f>
        <v>0</v>
      </c>
      <c r="EL441" s="473"/>
      <c r="EM441" s="472">
        <f>(EM425+EM426+EM428+EM429-EM433-EM434-EM435-EM436-EM437)-EM440</f>
        <v>0</v>
      </c>
      <c r="EN441" s="473"/>
      <c r="EO441" s="472">
        <f>(EO425+EO426+EO428+EO429-EO433-EO434-EO435-EO436-EO437)-EO440</f>
        <v>0</v>
      </c>
      <c r="EP441" s="473"/>
      <c r="EQ441" s="472">
        <f>(EQ425+EQ426+EQ428+EQ429-EQ433-EQ434-EQ435-EQ436-EQ437)-EQ440</f>
        <v>0</v>
      </c>
      <c r="ER441" s="473"/>
      <c r="ES441" s="472">
        <f>(ES425+ES426+ES428+ES429-ES433-ES434-ES435-ES436-ES437)-ES440</f>
        <v>0</v>
      </c>
      <c r="ET441" s="473"/>
      <c r="EU441" s="472">
        <f>(EU425+EU426+EU428+EU429-EU433-EU434-EU435-EU436-EU437)-EU440</f>
        <v>0</v>
      </c>
      <c r="EV441" s="473"/>
      <c r="EW441" s="472">
        <f>(EW425+EW426+EW428+EW429-EW433-EW434-EW435-EW436-EW437)-EW440</f>
        <v>0</v>
      </c>
      <c r="EX441" s="473"/>
      <c r="EY441" s="472">
        <f>(EY425+EY426+EY428+EY429-EY433-EY434-EY435-EY436-EY437)-EY440</f>
        <v>0</v>
      </c>
      <c r="EZ441" s="473"/>
      <c r="FA441" s="472">
        <f>(FA425+FA426+FA428+FA429-FA433-FA434-FA435-FA436-FA437)-FA440</f>
        <v>0</v>
      </c>
      <c r="FB441" s="473"/>
      <c r="FC441" s="472">
        <f>(FC425+FC426+FC428+FC429-FC433-FC434-FC435-FC436-FC437)-FC440</f>
        <v>0</v>
      </c>
      <c r="FD441" s="473"/>
      <c r="FE441" s="472">
        <f>(FE425+FE426+FE428+FE429-FE433-FE434-FE435-FE436-FE437)-FE440</f>
        <v>0</v>
      </c>
      <c r="FF441" s="473"/>
      <c r="FG441" s="472">
        <f>(FG425+FG426+FG428+FG429-FG433-FG434-FG435-FG436-FG437)-FG440</f>
        <v>0</v>
      </c>
      <c r="FH441" s="473"/>
      <c r="FI441" s="472">
        <f>(FI425+FI426+FI428+FI429-FI433-FI434-FI435-FI436-FI437)-FI440</f>
        <v>-4.8316906031686813E-13</v>
      </c>
      <c r="FJ441" s="473"/>
      <c r="FK441" s="472">
        <f>(FK425+FK426+FK428+FK429-FK433-FK434-FK435-FK436-FK437)-FK440</f>
        <v>-1.0800249583553523E-12</v>
      </c>
      <c r="FL441" s="473"/>
      <c r="FM441" s="472">
        <f>(FM425+FM426+FM428+FM429-FM433-FM434-FM435-FM436-FM437)-FM440</f>
        <v>4.5474735088646412E-13</v>
      </c>
      <c r="FN441" s="473"/>
      <c r="FO441" s="472">
        <f>(FO425+FO426+FO428+FO429-FO433-FO434-FO435-FO436-FO437)-FO440</f>
        <v>0</v>
      </c>
      <c r="FP441" s="473"/>
      <c r="FQ441" s="472">
        <f>(FQ425+FQ426+FQ428+FQ429-FQ433-FQ434-FQ435-FQ436-FQ437)-FQ440</f>
        <v>3.4106051316484809E-13</v>
      </c>
      <c r="FR441" s="473"/>
      <c r="FS441" s="474"/>
      <c r="FT441" s="351"/>
    </row>
    <row r="442" spans="1:176" ht="12.75" hidden="1" customHeight="1" outlineLevel="1" collapsed="1" x14ac:dyDescent="0.2">
      <c r="A442" s="76"/>
      <c r="B442" s="75"/>
      <c r="C442" s="155"/>
      <c r="D442" s="75"/>
      <c r="E442" s="155"/>
      <c r="F442" s="75"/>
      <c r="G442" s="155"/>
      <c r="H442" s="75"/>
      <c r="I442" s="155"/>
      <c r="J442" s="75"/>
      <c r="K442" s="155"/>
      <c r="L442" s="75"/>
      <c r="M442" s="155"/>
      <c r="N442" s="75"/>
      <c r="O442" s="155"/>
      <c r="P442" s="75"/>
      <c r="Q442" s="155"/>
      <c r="R442" s="75"/>
      <c r="S442" s="155"/>
      <c r="T442" s="75"/>
      <c r="U442" s="155"/>
      <c r="V442" s="75"/>
      <c r="W442" s="155"/>
      <c r="X442" s="75"/>
      <c r="Y442" s="155"/>
      <c r="Z442" s="75"/>
      <c r="AA442" s="155"/>
      <c r="AB442" s="75"/>
      <c r="AC442" s="155"/>
      <c r="AD442" s="75"/>
      <c r="AE442" s="155"/>
      <c r="AF442" s="75"/>
      <c r="AG442" s="155"/>
      <c r="AH442" s="75"/>
      <c r="AI442" s="240"/>
      <c r="AJ442" s="75"/>
      <c r="AK442" s="240"/>
      <c r="AL442" s="75"/>
      <c r="AM442" s="240"/>
      <c r="AN442" s="75"/>
      <c r="AO442" s="240"/>
      <c r="AP442" s="75"/>
      <c r="AQ442" s="240"/>
      <c r="AR442" s="75"/>
      <c r="AS442" s="240"/>
      <c r="AT442" s="75"/>
      <c r="AU442" s="240"/>
      <c r="AV442" s="75"/>
      <c r="AW442" s="240"/>
      <c r="AX442" s="75"/>
      <c r="AY442" s="240"/>
      <c r="AZ442" s="75"/>
      <c r="BA442" s="240"/>
      <c r="BB442" s="75"/>
      <c r="BC442" s="240"/>
      <c r="BD442" s="75"/>
      <c r="BE442" s="240"/>
      <c r="BF442" s="75"/>
      <c r="BG442" s="240"/>
      <c r="BH442" s="75"/>
      <c r="BI442" s="240"/>
      <c r="BJ442" s="75"/>
      <c r="BK442" s="240"/>
      <c r="BL442" s="75"/>
      <c r="BM442" s="240"/>
      <c r="BN442" s="75"/>
      <c r="BO442" s="240"/>
      <c r="BP442" s="75"/>
      <c r="BQ442" s="240"/>
      <c r="BR442" s="75"/>
      <c r="BS442" s="240"/>
      <c r="BT442" s="75"/>
      <c r="BU442" s="240"/>
      <c r="BV442" s="75"/>
      <c r="BW442" s="240"/>
      <c r="BX442" s="75"/>
      <c r="BY442" s="240"/>
      <c r="BZ442" s="75"/>
      <c r="CA442" s="240"/>
      <c r="CB442" s="75"/>
      <c r="CC442" s="240"/>
      <c r="CD442" s="75"/>
      <c r="CE442" s="240"/>
      <c r="CF442" s="75"/>
      <c r="CG442" s="240"/>
      <c r="CH442" s="75"/>
      <c r="CI442" s="240"/>
      <c r="CJ442" s="75"/>
      <c r="CK442" s="240"/>
      <c r="CL442" s="75"/>
      <c r="CM442" s="240"/>
      <c r="CN442" s="75"/>
      <c r="CO442" s="240"/>
      <c r="CP442" s="75"/>
      <c r="CQ442" s="240"/>
      <c r="CR442" s="75"/>
      <c r="CS442" s="240"/>
      <c r="CT442" s="75"/>
      <c r="CU442" s="240"/>
      <c r="CV442" s="75"/>
      <c r="CW442" s="240"/>
      <c r="CX442" s="75"/>
      <c r="CY442" s="240"/>
      <c r="CZ442" s="75"/>
      <c r="DA442" s="240"/>
      <c r="DB442" s="75"/>
      <c r="DC442" s="240"/>
      <c r="DD442" s="75"/>
      <c r="DE442" s="240"/>
      <c r="DF442" s="75"/>
      <c r="DG442" s="240"/>
      <c r="DH442" s="75"/>
      <c r="DI442" s="240"/>
      <c r="DJ442" s="75"/>
      <c r="DK442" s="240"/>
      <c r="DL442" s="75"/>
      <c r="DM442" s="240"/>
      <c r="DN442" s="75"/>
      <c r="DO442" s="240"/>
      <c r="DP442" s="75"/>
      <c r="DQ442" s="240"/>
      <c r="DR442" s="75"/>
      <c r="DS442" s="240"/>
      <c r="DT442" s="75"/>
      <c r="DU442" s="240"/>
      <c r="DV442" s="75"/>
      <c r="DW442" s="240"/>
      <c r="DX442" s="75"/>
      <c r="DY442" s="240"/>
      <c r="DZ442" s="75"/>
      <c r="EA442" s="240"/>
      <c r="EB442" s="155"/>
      <c r="EC442" s="75"/>
      <c r="ED442" s="155"/>
      <c r="EE442" s="75"/>
      <c r="EF442" s="155"/>
      <c r="EG442" s="75"/>
      <c r="EH442" s="155"/>
      <c r="EI442" s="75"/>
      <c r="EJ442" s="240"/>
      <c r="EK442" s="75"/>
      <c r="EL442" s="240"/>
      <c r="EM442" s="75"/>
      <c r="EN442" s="240"/>
      <c r="EO442" s="75"/>
      <c r="EP442" s="240"/>
      <c r="EQ442" s="75"/>
      <c r="ER442" s="240"/>
      <c r="ES442" s="75"/>
      <c r="ET442" s="240"/>
      <c r="EU442" s="75"/>
      <c r="EV442" s="240"/>
      <c r="EW442" s="75"/>
      <c r="EX442" s="240"/>
      <c r="EY442" s="75"/>
      <c r="EZ442" s="240"/>
      <c r="FA442" s="75"/>
      <c r="FB442" s="240"/>
      <c r="FC442" s="75"/>
      <c r="FD442" s="240"/>
      <c r="FE442" s="75"/>
      <c r="FF442" s="240"/>
      <c r="FG442" s="75"/>
      <c r="FH442" s="240"/>
      <c r="FI442" s="75"/>
      <c r="FJ442" s="240"/>
      <c r="FK442" s="75"/>
      <c r="FL442" s="240"/>
      <c r="FM442" s="75"/>
      <c r="FN442" s="240"/>
      <c r="FO442" s="75"/>
      <c r="FP442" s="240"/>
      <c r="FQ442" s="75"/>
      <c r="FR442" s="240"/>
      <c r="FS442" s="240"/>
    </row>
    <row r="443" spans="1:176" ht="12.75" hidden="1" customHeight="1" outlineLevel="1" x14ac:dyDescent="0.2">
      <c r="A443" s="70" t="s">
        <v>255</v>
      </c>
      <c r="B443" s="75"/>
      <c r="C443" s="155"/>
      <c r="D443" s="75"/>
      <c r="E443" s="155"/>
      <c r="F443" s="75"/>
      <c r="G443" s="155"/>
      <c r="H443" s="75"/>
      <c r="I443" s="155"/>
      <c r="J443" s="75"/>
      <c r="K443" s="155"/>
      <c r="L443" s="75"/>
      <c r="M443" s="155"/>
      <c r="N443" s="75"/>
      <c r="O443" s="155"/>
      <c r="P443" s="75"/>
      <c r="Q443" s="155"/>
      <c r="R443" s="75"/>
      <c r="S443" s="155"/>
      <c r="T443" s="75"/>
      <c r="U443" s="155"/>
      <c r="V443" s="75"/>
      <c r="W443" s="155"/>
      <c r="X443" s="75"/>
      <c r="Y443" s="155"/>
      <c r="Z443" s="75"/>
      <c r="AA443" s="155"/>
      <c r="AB443" s="75"/>
      <c r="AC443" s="155"/>
      <c r="AD443" s="75"/>
      <c r="AE443" s="155"/>
      <c r="AF443" s="75"/>
      <c r="AG443" s="155"/>
      <c r="AH443" s="75"/>
      <c r="AI443" s="240"/>
      <c r="AJ443" s="75"/>
      <c r="AK443" s="240"/>
      <c r="AL443" s="75"/>
      <c r="AM443" s="240"/>
      <c r="AN443" s="75"/>
      <c r="AO443" s="240"/>
      <c r="AP443" s="75"/>
      <c r="AQ443" s="240"/>
      <c r="AR443" s="75"/>
      <c r="AS443" s="240"/>
      <c r="AT443" s="75"/>
      <c r="AU443" s="240"/>
      <c r="AV443" s="75"/>
      <c r="AW443" s="240"/>
      <c r="AX443" s="75"/>
      <c r="AY443" s="240"/>
      <c r="AZ443" s="75"/>
      <c r="BA443" s="240"/>
      <c r="BB443" s="75"/>
      <c r="BC443" s="240"/>
      <c r="BD443" s="75"/>
      <c r="BE443" s="240"/>
      <c r="BF443" s="75"/>
      <c r="BG443" s="240"/>
      <c r="BH443" s="75"/>
      <c r="BI443" s="240"/>
      <c r="BJ443" s="75"/>
      <c r="BK443" s="240"/>
      <c r="BL443" s="75"/>
      <c r="BM443" s="240"/>
      <c r="BN443" s="75"/>
      <c r="BO443" s="240"/>
      <c r="BP443" s="75"/>
      <c r="BQ443" s="240"/>
      <c r="BR443" s="75"/>
      <c r="BS443" s="240"/>
      <c r="BT443" s="75"/>
      <c r="BU443" s="240"/>
      <c r="BV443" s="75"/>
      <c r="BW443" s="240"/>
      <c r="BX443" s="75"/>
      <c r="BY443" s="240"/>
      <c r="BZ443" s="75"/>
      <c r="CA443" s="240"/>
      <c r="CB443" s="75"/>
      <c r="CC443" s="240"/>
      <c r="CD443" s="75"/>
      <c r="CE443" s="240"/>
      <c r="CF443" s="75"/>
      <c r="CG443" s="240"/>
      <c r="CH443" s="75"/>
      <c r="CI443" s="240"/>
      <c r="CJ443" s="75"/>
      <c r="CK443" s="240"/>
      <c r="CL443" s="75"/>
      <c r="CM443" s="240"/>
      <c r="CN443" s="75"/>
      <c r="CO443" s="240"/>
      <c r="CP443" s="75"/>
      <c r="CQ443" s="240"/>
      <c r="CR443" s="75"/>
      <c r="CS443" s="240"/>
      <c r="CT443" s="75"/>
      <c r="CU443" s="240"/>
      <c r="CV443" s="75"/>
      <c r="CW443" s="240"/>
      <c r="CX443" s="75"/>
      <c r="CY443" s="240"/>
      <c r="CZ443" s="75"/>
      <c r="DA443" s="240"/>
      <c r="DB443" s="75"/>
      <c r="DC443" s="240"/>
      <c r="DD443" s="75"/>
      <c r="DE443" s="240"/>
      <c r="DF443" s="75"/>
      <c r="DG443" s="240"/>
      <c r="DH443" s="75"/>
      <c r="DI443" s="240"/>
      <c r="DJ443" s="75"/>
      <c r="DK443" s="240"/>
      <c r="DL443" s="75"/>
      <c r="DM443" s="240"/>
      <c r="DN443" s="75"/>
      <c r="DO443" s="240"/>
      <c r="DP443" s="75"/>
      <c r="DQ443" s="240"/>
      <c r="DR443" s="75"/>
      <c r="DS443" s="240"/>
      <c r="DT443" s="75"/>
      <c r="DU443" s="240"/>
      <c r="DV443" s="75"/>
      <c r="DW443" s="240"/>
      <c r="DX443" s="75"/>
      <c r="DY443" s="240"/>
      <c r="DZ443" s="75"/>
      <c r="EA443" s="240"/>
      <c r="EB443" s="155"/>
      <c r="EC443" s="75"/>
      <c r="ED443" s="155"/>
      <c r="EE443" s="75"/>
      <c r="EF443" s="155"/>
      <c r="EG443" s="75"/>
      <c r="EH443" s="155"/>
      <c r="EI443" s="75"/>
      <c r="EJ443" s="240"/>
      <c r="EK443" s="75"/>
      <c r="EL443" s="240"/>
      <c r="EM443" s="75"/>
      <c r="EN443" s="240"/>
      <c r="EO443" s="75"/>
      <c r="EP443" s="240"/>
      <c r="EQ443" s="75"/>
      <c r="ER443" s="240"/>
      <c r="ES443" s="75"/>
      <c r="ET443" s="240"/>
      <c r="EU443" s="75"/>
      <c r="EV443" s="240"/>
      <c r="EW443" s="75"/>
      <c r="EX443" s="240"/>
      <c r="EY443" s="75"/>
      <c r="EZ443" s="240"/>
      <c r="FA443" s="75"/>
      <c r="FB443" s="240"/>
      <c r="FC443" s="75"/>
      <c r="FD443" s="240"/>
      <c r="FE443" s="75"/>
      <c r="FF443" s="240"/>
      <c r="FG443" s="75"/>
      <c r="FH443" s="240"/>
      <c r="FI443" s="75"/>
      <c r="FJ443" s="240"/>
      <c r="FK443" s="75"/>
      <c r="FL443" s="240"/>
      <c r="FM443" s="75"/>
      <c r="FN443" s="240"/>
      <c r="FO443" s="75"/>
      <c r="FP443" s="240"/>
      <c r="FQ443" s="75"/>
      <c r="FR443" s="240"/>
      <c r="FS443" s="240"/>
    </row>
    <row r="444" spans="1:176" ht="12.75" hidden="1" customHeight="1" outlineLevel="1" x14ac:dyDescent="0.2">
      <c r="A444" s="77" t="str">
        <f>INPUT!B249</f>
        <v xml:space="preserve">  Pretax Margin</v>
      </c>
      <c r="B444" s="73">
        <f>INPUT!AA249</f>
        <v>3.5379812695109258</v>
      </c>
      <c r="C444" s="155">
        <f>INPUT!AB249</f>
        <v>-14.897207300953411</v>
      </c>
      <c r="D444" s="73">
        <f>INPUT!AC249</f>
        <v>6.3736263736263732</v>
      </c>
      <c r="E444" s="155">
        <f>INPUT!AD249</f>
        <v>59.163614163614142</v>
      </c>
      <c r="F444" s="73">
        <f>INPUT!AE249</f>
        <v>3.4013605442176873</v>
      </c>
      <c r="G444" s="155">
        <f>INPUT!AF249</f>
        <v>0</v>
      </c>
      <c r="H444" s="73">
        <f>INPUT!AG249</f>
        <v>5.0267379679144391</v>
      </c>
      <c r="I444" s="155">
        <f>INPUT!AH249</f>
        <v>-11.935417523652816</v>
      </c>
      <c r="J444" s="73">
        <f>INPUT!AI249</f>
        <v>2.6776519052523171</v>
      </c>
      <c r="K444" s="155">
        <f>INPUT!AJ249</f>
        <v>-24.316956442721278</v>
      </c>
      <c r="L444" s="73">
        <f>INPUT!AK249</f>
        <v>4.8268625393494222</v>
      </c>
      <c r="M444" s="155">
        <f>INPUT!AL249</f>
        <v>-24.268191192965958</v>
      </c>
      <c r="N444" s="73">
        <f>INPUT!AM249</f>
        <v>4.86322188449848</v>
      </c>
      <c r="O444" s="155">
        <f>INPUT!AN249</f>
        <v>42.978723404255305</v>
      </c>
      <c r="P444" s="73">
        <f>INPUT!AO249</f>
        <v>5.5045871559633035</v>
      </c>
      <c r="Q444" s="155">
        <f>INPUT!AP249</f>
        <v>9.5061487409720939</v>
      </c>
      <c r="R444" s="73">
        <f>INPUT!AQ249</f>
        <v>3.6121673003802277</v>
      </c>
      <c r="S444" s="155">
        <f>INPUT!AR249</f>
        <v>34.900555718046206</v>
      </c>
      <c r="T444" s="73">
        <f>INPUT!AS249</f>
        <v>4.3396226415094334</v>
      </c>
      <c r="U444" s="155">
        <f>INPUT!AT249</f>
        <v>-10.094339622641513</v>
      </c>
      <c r="V444" s="73">
        <f>INPUT!AU249</f>
        <v>5.7803468208092488</v>
      </c>
      <c r="W444" s="155">
        <f>INPUT!AV249</f>
        <v>18.858381502890182</v>
      </c>
      <c r="X444" s="73">
        <f>INPUT!AW249</f>
        <v>7.6190476190476195</v>
      </c>
      <c r="Y444" s="155">
        <f>INPUT!AX249</f>
        <v>38.412698412698404</v>
      </c>
      <c r="Z444" s="73">
        <f>INPUT!AY249</f>
        <v>4.2380522993688015</v>
      </c>
      <c r="AA444" s="155">
        <f>INPUT!AZ249</f>
        <v>17.327132077262618</v>
      </c>
      <c r="AB444" s="73">
        <f>INPUT!BA249</f>
        <v>2.5962399283795885</v>
      </c>
      <c r="AC444" s="155">
        <f>INPUT!BB249</f>
        <v>-40.173601650383382</v>
      </c>
      <c r="AD444" s="73">
        <f>INPUT!BC249</f>
        <v>7.7922077922077921</v>
      </c>
      <c r="AE444" s="155">
        <f>INPUT!BD249</f>
        <v>34.805194805194787</v>
      </c>
      <c r="AF444" s="73">
        <f>INPUT!BE249</f>
        <v>5.3662691652470187</v>
      </c>
      <c r="AG444" s="155">
        <f>INPUT!BF249</f>
        <v>-29.567717206132883</v>
      </c>
      <c r="AH444" s="73">
        <f>INPUT!BG249</f>
        <v>4.2323651452282158</v>
      </c>
      <c r="AI444" s="240">
        <f>INPUT!BH249</f>
        <v>-0.13419263706190065</v>
      </c>
      <c r="AJ444" s="73">
        <f>INPUT!BI249</f>
        <v>5.6977704376548308</v>
      </c>
      <c r="AK444" s="240" t="str">
        <f>INPUT!BJ249</f>
        <v>NM</v>
      </c>
      <c r="AL444" s="73">
        <f>INPUT!BK249</f>
        <v>8.3125519534497094</v>
      </c>
      <c r="AM444" s="240">
        <f>INPUT!BL249</f>
        <v>6.6777500692712692</v>
      </c>
      <c r="AN444" s="73">
        <f>INPUT!BM249</f>
        <v>5.593220338983051</v>
      </c>
      <c r="AO444" s="240">
        <f>INPUT!BN249</f>
        <v>4.2292171105730461</v>
      </c>
      <c r="AP444" s="73">
        <f>INPUT!BO249</f>
        <v>7.1599045346062056</v>
      </c>
      <c r="AQ444" s="240">
        <f>INPUT!BP249</f>
        <v>69.170293415695653</v>
      </c>
      <c r="AR444" s="73">
        <f>INPUT!BQ249</f>
        <v>6.5681444991789819</v>
      </c>
      <c r="AS444" s="240">
        <f>INPUT!BR249</f>
        <v>15.275695485590532</v>
      </c>
      <c r="AT444" s="73">
        <f>INPUT!BS249</f>
        <v>8.1980519480519494</v>
      </c>
      <c r="AU444" s="240">
        <f>INPUT!BT249</f>
        <v>-1.3774350649350566</v>
      </c>
      <c r="AV444" s="73">
        <f>INPUT!BU249</f>
        <v>5.5067837190742219</v>
      </c>
      <c r="AW444" s="240">
        <f>INPUT!BV249</f>
        <v>-1.5453819923093732</v>
      </c>
      <c r="AX444" s="73">
        <f>INPUT!BW249</f>
        <v>6.9767441860465116</v>
      </c>
      <c r="AY444" s="240">
        <f>INPUT!BX249</f>
        <v>-2.5581395348837361</v>
      </c>
      <c r="AZ444" s="73">
        <f>INPUT!BY249</f>
        <v>8.0583269378357638</v>
      </c>
      <c r="BA444" s="240">
        <f>INPUT!BZ249</f>
        <v>22.688027628549506</v>
      </c>
      <c r="BB444" s="73">
        <f>INPUT!CA249</f>
        <v>4.71976401179941</v>
      </c>
      <c r="BC444" s="240">
        <f>INPUT!CB249</f>
        <v>-42.428225123397297</v>
      </c>
      <c r="BD444" s="73">
        <f>INPUT!CC249</f>
        <v>5.3364269141531322</v>
      </c>
      <c r="BE444" s="240">
        <f>INPUT!CD249</f>
        <v>-3.0935808197989303</v>
      </c>
      <c r="BF444" s="81">
        <f>INPUT!CE249</f>
        <v>3.9664378337147213</v>
      </c>
      <c r="BG444" s="240">
        <f>INPUT!CF249</f>
        <v>-43.147724383422329</v>
      </c>
      <c r="BH444" s="81">
        <f>INPUT!CG249</f>
        <v>2.43161094224924</v>
      </c>
      <c r="BI444" s="240" t="str">
        <f>INPUT!CH249</f>
        <v>NM</v>
      </c>
      <c r="BJ444" s="81">
        <f>INPUT!CI249</f>
        <v>4.0927694406548438</v>
      </c>
      <c r="BK444" s="240">
        <f>INPUT!CJ249</f>
        <v>-13.284447476125493</v>
      </c>
      <c r="BL444" s="81">
        <f>INPUT!CK249</f>
        <v>4.9816849816849818</v>
      </c>
      <c r="BM444" s="240">
        <f>INPUT!CL249</f>
        <v>-6.6475553432075145</v>
      </c>
      <c r="BN444" s="81">
        <f>INPUT!CM249</f>
        <v>2.5896414342629481</v>
      </c>
      <c r="BO444" s="240">
        <f>INPUT!CN249</f>
        <v>-34.71115537848604</v>
      </c>
      <c r="BP444" s="81">
        <f>INPUT!CO249</f>
        <v>3.297442799461642</v>
      </c>
      <c r="BQ444" s="240">
        <f>INPUT!CP249</f>
        <v>35.60733512786004</v>
      </c>
      <c r="BR444" s="81">
        <f>INPUT!CQ249</f>
        <v>3.1098825155494123</v>
      </c>
      <c r="BS444" s="240">
        <f>INPUT!CR249</f>
        <v>-24.015203870076036</v>
      </c>
      <c r="BT444" s="81">
        <f>INPUT!CS249</f>
        <v>3.0346820809248554</v>
      </c>
      <c r="BU444" s="240">
        <f>INPUT!CT249</f>
        <v>-39.083219993199592</v>
      </c>
      <c r="BV444" s="81">
        <f>INPUT!CU249</f>
        <v>-2.8756290438533427</v>
      </c>
      <c r="BW444" s="240" t="str">
        <f>INPUT!CV249</f>
        <v>NM</v>
      </c>
      <c r="BX444" s="81">
        <f>INPUT!CW249</f>
        <v>2.3706896551724137</v>
      </c>
      <c r="BY444" s="240">
        <f>INPUT!CX249</f>
        <v>-28.105207600281489</v>
      </c>
      <c r="BZ444" s="81">
        <f>INPUT!CY249</f>
        <v>2.464788732394366</v>
      </c>
      <c r="CA444" s="240">
        <f>INPUT!CZ249</f>
        <v>-20.743348982785605</v>
      </c>
      <c r="CB444" s="81">
        <f>INPUT!DA249</f>
        <v>-0.85836909871244638</v>
      </c>
      <c r="CC444" s="240" t="str">
        <f>INPUT!DB249</f>
        <v>NM</v>
      </c>
      <c r="CD444" s="81">
        <f>INPUT!DC249</f>
        <v>0.64194008559201143</v>
      </c>
      <c r="CE444" s="240" t="str">
        <f>INPUT!DD249</f>
        <v>NM</v>
      </c>
      <c r="CF444" s="81">
        <f>INPUT!DE249</f>
        <v>1.5725518227305217</v>
      </c>
      <c r="CG444" s="240">
        <f>INPUT!DF249</f>
        <v>-33.666904932094354</v>
      </c>
      <c r="CH444" s="81">
        <f>INPUT!DG249</f>
        <v>5.0670640834575256</v>
      </c>
      <c r="CI444" s="240" t="str">
        <f>INPUT!DH249</f>
        <v>NM</v>
      </c>
      <c r="CJ444" s="81">
        <f>INPUT!DI249</f>
        <v>4.2181818181818178</v>
      </c>
      <c r="CK444" s="240" t="str">
        <f>INPUT!DJ249</f>
        <v>NM</v>
      </c>
      <c r="CL444" s="81">
        <f>INPUT!DK249</f>
        <v>0.44052863436123352</v>
      </c>
      <c r="CM444" s="240">
        <f>INPUT!DL249</f>
        <v>-31.375428291727843</v>
      </c>
      <c r="CN444" s="81">
        <f>INPUT!DM249</f>
        <v>3.427719821162444</v>
      </c>
      <c r="CO444" s="240" t="str">
        <f>INPUT!DN249</f>
        <v>NM</v>
      </c>
      <c r="CP444" s="81">
        <f>INPUT!DO249</f>
        <v>-5.4114158636026684</v>
      </c>
      <c r="CQ444" s="240" t="str">
        <f>INPUT!DP249</f>
        <v>NM</v>
      </c>
      <c r="CR444" s="81">
        <f>INPUT!DQ249</f>
        <v>3.3742331288343559</v>
      </c>
      <c r="CS444" s="240">
        <f>INPUT!DR249</f>
        <v>-20.007404273323445</v>
      </c>
      <c r="CT444" s="81">
        <f>INPUT!DS249</f>
        <v>2.3492560689115116</v>
      </c>
      <c r="CU444" s="240" t="str">
        <f>INPUT!DT249</f>
        <v>NM</v>
      </c>
      <c r="CV444" s="81">
        <f>INPUT!DU249</f>
        <v>5.8094500387296666</v>
      </c>
      <c r="CW444" s="240">
        <f>INPUT!DV249</f>
        <v>69.484390260330713</v>
      </c>
      <c r="CX444" s="81">
        <f>INPUT!DW249</f>
        <v>3.400309119010819</v>
      </c>
      <c r="CY444" s="240" t="str">
        <f>INPUT!DX249</f>
        <v>NM</v>
      </c>
      <c r="CZ444" s="81">
        <f>INPUT!DY249</f>
        <v>2.1077283372365341</v>
      </c>
      <c r="DA444" s="240">
        <f>INPUT!DZ249</f>
        <v>-37.534596550989995</v>
      </c>
      <c r="DB444" s="81">
        <f>INPUT!EA249</f>
        <v>1.9696969696969695</v>
      </c>
      <c r="DC444" s="240">
        <f>INPUT!EB249</f>
        <v>-16.156565656565675</v>
      </c>
      <c r="DD444" s="81">
        <f>INPUT!EC249</f>
        <v>6.5249266862170083</v>
      </c>
      <c r="DE444" s="240">
        <f>INPUT!ED249</f>
        <v>12.315738025415442</v>
      </c>
      <c r="DF444" s="81">
        <f>INPUT!EE249</f>
        <v>4.6511627906976747</v>
      </c>
      <c r="DG444" s="240">
        <f>INPUT!EF249</f>
        <v>36.786469344608889</v>
      </c>
      <c r="DH444" s="81">
        <f>INPUT!EG249</f>
        <v>3.2428355957767727</v>
      </c>
      <c r="DI444" s="240">
        <f>INPUT!EH249</f>
        <v>53.854533266297977</v>
      </c>
      <c r="DJ444" s="81">
        <f>INPUT!EI249</f>
        <v>2.4584237165582068</v>
      </c>
      <c r="DK444" s="240">
        <f>INPUT!EJ249</f>
        <v>24.812280994493591</v>
      </c>
      <c r="DL444" s="81">
        <f>INPUT!EK249</f>
        <v>9.9853157121879583</v>
      </c>
      <c r="DM444" s="240">
        <f>INPUT!EL249</f>
        <v>53.033377881172783</v>
      </c>
      <c r="DN444" s="81">
        <f>INPUT!EM249</f>
        <v>4.475421863536317</v>
      </c>
      <c r="DO444" s="240">
        <f>INPUT!EN249</f>
        <v>-3.7784299339691785</v>
      </c>
      <c r="DP444" s="81">
        <f>INPUT!EO249</f>
        <v>1.6140865737344092</v>
      </c>
      <c r="DQ444" s="240" t="str">
        <f>INPUT!EP249</f>
        <v>NM</v>
      </c>
      <c r="DR444" s="81">
        <f>INPUT!EQ249</f>
        <v>3.1365235502640485</v>
      </c>
      <c r="DS444" s="240">
        <f>INPUT!ER249</f>
        <v>27.582707941622914</v>
      </c>
      <c r="DT444" s="81">
        <f>INPUT!ES249</f>
        <v>3.5690109281432578</v>
      </c>
      <c r="DU444" s="240" t="str">
        <f>INPUT!ET249</f>
        <v>NM</v>
      </c>
      <c r="DV444" s="81">
        <f>INPUT!EU249</f>
        <v>4.0014911850383053</v>
      </c>
      <c r="DW444" s="240">
        <f>INPUT!EV249</f>
        <v>-10.589631390045739</v>
      </c>
      <c r="DX444" s="81">
        <f>INPUT!EW249</f>
        <v>3.3174643914539295</v>
      </c>
      <c r="DY444" s="240" t="str">
        <f>INPUT!EX249</f>
        <v>NM</v>
      </c>
      <c r="DZ444" s="81"/>
      <c r="EA444" s="240"/>
      <c r="EB444" s="155" t="str">
        <f>INPUT!FI249</f>
        <v>NM</v>
      </c>
      <c r="EC444" s="73">
        <f>INPUT!FJ249</f>
        <v>4.3271915131211616</v>
      </c>
      <c r="ED444" s="155" t="str">
        <f>INPUT!FK249</f>
        <v>NM</v>
      </c>
      <c r="EE444" s="73">
        <f>INPUT!FL249</f>
        <v>4.5824295010845981</v>
      </c>
      <c r="EF444" s="155">
        <f>INPUT!FM249</f>
        <v>5.898467567000182</v>
      </c>
      <c r="EG444" s="73">
        <f>INPUT!FN249</f>
        <v>4.4707091469681393</v>
      </c>
      <c r="EH444" s="155">
        <f>INPUT!FO249</f>
        <v>-2.4380157750384654</v>
      </c>
      <c r="EI444" s="73">
        <f>INPUT!FP249</f>
        <v>5.3333333333333339</v>
      </c>
      <c r="EJ444" s="240">
        <f>INPUT!FQ249</f>
        <v>19.295019157088149</v>
      </c>
      <c r="EK444" s="73">
        <f>INPUT!FR249</f>
        <v>5.0274423710208564</v>
      </c>
      <c r="EL444" s="240">
        <f>INPUT!FS249</f>
        <v>-5.7354555433589525</v>
      </c>
      <c r="EM444" s="73">
        <f>INPUT!FT249</f>
        <v>5.9595749114398835</v>
      </c>
      <c r="EN444" s="240">
        <f>INPUT!FU249</f>
        <v>18.540889614011661</v>
      </c>
      <c r="EO444" s="73">
        <f>INPUT!FV249</f>
        <v>6.7741935483870979</v>
      </c>
      <c r="EP444" s="240">
        <f>INPUT!FW249</f>
        <v>13.669072862621263</v>
      </c>
      <c r="EQ444" s="81">
        <f>INPUT!FX249</f>
        <v>6.2251655629139071</v>
      </c>
      <c r="ER444" s="240">
        <f>INPUT!FY249</f>
        <v>-8.1046988331756751</v>
      </c>
      <c r="ES444" s="81">
        <f>INPUT!FZ249</f>
        <v>3.884206669109564</v>
      </c>
      <c r="ET444" s="240">
        <f>INPUT!GA249</f>
        <v>-37.604765208984659</v>
      </c>
      <c r="EU444" s="81">
        <f>INPUT!GB249</f>
        <v>3.0053237162974411</v>
      </c>
      <c r="EV444" s="240">
        <f>INPUT!GC249</f>
        <v>-22.627090360606445</v>
      </c>
      <c r="EW444" s="81">
        <f>INPUT!GD249</f>
        <v>0.28566327441528294</v>
      </c>
      <c r="EX444" s="240" t="str">
        <f>INPUT!GE249</f>
        <v>NM</v>
      </c>
      <c r="EY444" s="81">
        <f>INPUT!GF249</f>
        <v>2.8452337803552012</v>
      </c>
      <c r="EZ444" s="240" t="str">
        <f>INPUT!GG249</f>
        <v>NM</v>
      </c>
      <c r="FA444" s="81">
        <f>INPUT!GH249</f>
        <v>0.42934478252753411</v>
      </c>
      <c r="FB444" s="240" t="str">
        <f>INPUT!GI249</f>
        <v>NM</v>
      </c>
      <c r="FC444" s="81">
        <f>INPUT!GJ249</f>
        <v>3.4221271631343573</v>
      </c>
      <c r="FD444" s="240" t="str">
        <f>INPUT!GK249</f>
        <v>NM</v>
      </c>
      <c r="FE444" s="81">
        <f>INPUT!GL249</f>
        <v>4.1175369642522925</v>
      </c>
      <c r="FF444" s="240">
        <f>INPUT!GM249</f>
        <v>20.320980722440567</v>
      </c>
      <c r="FG444" s="81">
        <f>INPUT!GN249</f>
        <v>4.6243831109486386</v>
      </c>
      <c r="FH444" s="240">
        <f>INPUT!GO249</f>
        <v>12.309449826357181</v>
      </c>
      <c r="FI444" s="81">
        <f>INPUT!GP249</f>
        <v>3.507321721555527</v>
      </c>
      <c r="FJ444" s="240">
        <f>INPUT!GQ249</f>
        <v>-24.155900637824956</v>
      </c>
      <c r="FK444" s="81">
        <f>INPUT!GR249</f>
        <v>3.4972209112894648</v>
      </c>
      <c r="FL444" s="240">
        <f>INPUT!GS249</f>
        <v>-0.28799212242162753</v>
      </c>
      <c r="FM444" s="81">
        <f>INPUT!GT249</f>
        <v>3.5300120304239924</v>
      </c>
      <c r="FN444" s="240">
        <f>INPUT!GU249</f>
        <v>0.93763362299115727</v>
      </c>
      <c r="FO444" s="81">
        <f>INPUT!GV249</f>
        <v>3.5193037508249403</v>
      </c>
      <c r="FP444" s="240">
        <f>INPUT!GW249</f>
        <v>-0.30334966302552857</v>
      </c>
      <c r="FQ444" s="81">
        <f>INPUT!GX249</f>
        <v>3.5082884495365239</v>
      </c>
      <c r="FR444" s="240">
        <f>INPUT!GY249</f>
        <v>-0.31299660581541389</v>
      </c>
      <c r="FS444" s="240">
        <f>INPUT!GZ249</f>
        <v>-5.3744760062182539</v>
      </c>
    </row>
    <row r="445" spans="1:176" ht="12.75" hidden="1" customHeight="1" outlineLevel="1" x14ac:dyDescent="0.2">
      <c r="A445" s="70"/>
      <c r="B445" s="75"/>
      <c r="C445" s="155"/>
      <c r="D445" s="75"/>
      <c r="E445" s="155"/>
      <c r="F445" s="75"/>
      <c r="G445" s="155"/>
      <c r="H445" s="75"/>
      <c r="I445" s="155"/>
      <c r="J445" s="75"/>
      <c r="K445" s="155"/>
      <c r="L445" s="75"/>
      <c r="M445" s="155"/>
      <c r="N445" s="75"/>
      <c r="O445" s="155"/>
      <c r="P445" s="75"/>
      <c r="Q445" s="155"/>
      <c r="R445" s="75"/>
      <c r="S445" s="155"/>
      <c r="T445" s="75"/>
      <c r="U445" s="155"/>
      <c r="V445" s="75"/>
      <c r="W445" s="155"/>
      <c r="X445" s="75"/>
      <c r="Y445" s="155"/>
      <c r="Z445" s="75"/>
      <c r="AA445" s="155"/>
      <c r="AB445" s="75"/>
      <c r="AC445" s="155"/>
      <c r="AD445" s="75"/>
      <c r="AE445" s="155"/>
      <c r="AF445" s="75"/>
      <c r="AG445" s="155"/>
      <c r="AH445" s="75"/>
      <c r="AI445" s="240"/>
      <c r="AJ445" s="75"/>
      <c r="AK445" s="240"/>
      <c r="AL445" s="75"/>
      <c r="AM445" s="240"/>
      <c r="AN445" s="75"/>
      <c r="AO445" s="240"/>
      <c r="AP445" s="75"/>
      <c r="AQ445" s="240"/>
      <c r="AR445" s="75"/>
      <c r="AS445" s="240"/>
      <c r="AT445" s="75"/>
      <c r="AU445" s="240"/>
      <c r="AV445" s="75"/>
      <c r="AW445" s="240"/>
      <c r="AX445" s="75"/>
      <c r="AY445" s="240"/>
      <c r="AZ445" s="75"/>
      <c r="BA445" s="240"/>
      <c r="BB445" s="75"/>
      <c r="BC445" s="240"/>
      <c r="BD445" s="75"/>
      <c r="BE445" s="240"/>
      <c r="BF445" s="75"/>
      <c r="BG445" s="240"/>
      <c r="BH445" s="75"/>
      <c r="BI445" s="240"/>
      <c r="BJ445" s="75"/>
      <c r="BK445" s="240"/>
      <c r="BL445" s="75"/>
      <c r="BM445" s="240"/>
      <c r="BN445" s="75"/>
      <c r="BO445" s="240"/>
      <c r="BP445" s="75"/>
      <c r="BQ445" s="240"/>
      <c r="BR445" s="75"/>
      <c r="BS445" s="240"/>
      <c r="BT445" s="75"/>
      <c r="BU445" s="240"/>
      <c r="BV445" s="75"/>
      <c r="BW445" s="240"/>
      <c r="BX445" s="75"/>
      <c r="BY445" s="240"/>
      <c r="BZ445" s="75"/>
      <c r="CA445" s="240"/>
      <c r="CB445" s="75"/>
      <c r="CC445" s="240"/>
      <c r="CD445" s="75"/>
      <c r="CE445" s="240"/>
      <c r="CF445" s="75"/>
      <c r="CG445" s="240"/>
      <c r="CH445" s="75"/>
      <c r="CI445" s="240"/>
      <c r="CJ445" s="75"/>
      <c r="CK445" s="240"/>
      <c r="CL445" s="75"/>
      <c r="CM445" s="240"/>
      <c r="CN445" s="75"/>
      <c r="CO445" s="240"/>
      <c r="CP445" s="75"/>
      <c r="CQ445" s="240"/>
      <c r="CR445" s="75"/>
      <c r="CS445" s="240"/>
      <c r="CT445" s="75"/>
      <c r="CU445" s="240"/>
      <c r="CV445" s="75"/>
      <c r="CW445" s="240"/>
      <c r="CX445" s="75"/>
      <c r="CY445" s="240"/>
      <c r="CZ445" s="75"/>
      <c r="DA445" s="240"/>
      <c r="DB445" s="75"/>
      <c r="DC445" s="240"/>
      <c r="DD445" s="75"/>
      <c r="DE445" s="240"/>
      <c r="DF445" s="75"/>
      <c r="DG445" s="240"/>
      <c r="DH445" s="75"/>
      <c r="DI445" s="240"/>
      <c r="DJ445" s="75"/>
      <c r="DK445" s="240"/>
      <c r="DL445" s="75"/>
      <c r="DM445" s="240"/>
      <c r="DN445" s="75"/>
      <c r="DO445" s="240"/>
      <c r="DP445" s="75"/>
      <c r="DQ445" s="240"/>
      <c r="DR445" s="75"/>
      <c r="DS445" s="240"/>
      <c r="DT445" s="75"/>
      <c r="DU445" s="240"/>
      <c r="DV445" s="75"/>
      <c r="DW445" s="240"/>
      <c r="DX445" s="75"/>
      <c r="DY445" s="240"/>
      <c r="DZ445" s="75"/>
      <c r="EA445" s="240"/>
      <c r="EB445" s="155"/>
      <c r="EC445" s="75"/>
      <c r="ED445" s="155"/>
      <c r="EE445" s="75"/>
      <c r="EF445" s="155"/>
      <c r="EG445" s="75"/>
      <c r="EH445" s="155"/>
      <c r="EI445" s="75"/>
      <c r="EJ445" s="240"/>
      <c r="EK445" s="75"/>
      <c r="EL445" s="240"/>
      <c r="EM445" s="75"/>
      <c r="EN445" s="240"/>
      <c r="EO445" s="75"/>
      <c r="EP445" s="240"/>
      <c r="EQ445" s="75"/>
      <c r="ER445" s="240"/>
      <c r="ES445" s="75"/>
      <c r="ET445" s="240"/>
      <c r="EU445" s="75"/>
      <c r="EV445" s="240"/>
      <c r="EW445" s="75"/>
      <c r="EX445" s="240"/>
      <c r="EY445" s="75"/>
      <c r="EZ445" s="240"/>
      <c r="FA445" s="75"/>
      <c r="FB445" s="240"/>
      <c r="FC445" s="75"/>
      <c r="FD445" s="240"/>
      <c r="FE445" s="75"/>
      <c r="FF445" s="240"/>
      <c r="FG445" s="75"/>
      <c r="FH445" s="240"/>
      <c r="FI445" s="75"/>
      <c r="FJ445" s="240"/>
      <c r="FK445" s="75"/>
      <c r="FL445" s="240"/>
      <c r="FM445" s="75"/>
      <c r="FN445" s="240"/>
      <c r="FO445" s="75"/>
      <c r="FP445" s="240"/>
      <c r="FQ445" s="75"/>
      <c r="FR445" s="240"/>
      <c r="FS445" s="240"/>
    </row>
    <row r="446" spans="1:176" ht="12.75" hidden="1" customHeight="1" outlineLevel="1" x14ac:dyDescent="0.2">
      <c r="A446" s="70" t="s">
        <v>498</v>
      </c>
      <c r="B446" s="75"/>
      <c r="C446" s="155"/>
      <c r="D446" s="75"/>
      <c r="E446" s="155"/>
      <c r="F446" s="75"/>
      <c r="G446" s="155"/>
      <c r="H446" s="75"/>
      <c r="I446" s="155"/>
      <c r="J446" s="75"/>
      <c r="K446" s="155"/>
      <c r="L446" s="75"/>
      <c r="M446" s="155"/>
      <c r="N446" s="75"/>
      <c r="O446" s="155"/>
      <c r="P446" s="75"/>
      <c r="Q446" s="155"/>
      <c r="R446" s="75"/>
      <c r="S446" s="155"/>
      <c r="T446" s="75"/>
      <c r="U446" s="155"/>
      <c r="V446" s="75"/>
      <c r="W446" s="155"/>
      <c r="X446" s="75"/>
      <c r="Y446" s="155"/>
      <c r="Z446" s="75"/>
      <c r="AA446" s="155"/>
      <c r="AB446" s="75"/>
      <c r="AC446" s="155"/>
      <c r="AD446" s="75"/>
      <c r="AE446" s="155"/>
      <c r="AF446" s="75"/>
      <c r="AG446" s="155"/>
      <c r="AH446" s="75"/>
      <c r="AI446" s="240"/>
      <c r="AJ446" s="75"/>
      <c r="AK446" s="240"/>
      <c r="AL446" s="75"/>
      <c r="AM446" s="240"/>
      <c r="AN446" s="75"/>
      <c r="AO446" s="240"/>
      <c r="AP446" s="75"/>
      <c r="AQ446" s="240"/>
      <c r="AR446" s="75"/>
      <c r="AS446" s="240"/>
      <c r="AT446" s="75"/>
      <c r="AU446" s="240"/>
      <c r="AV446" s="75"/>
      <c r="AW446" s="240"/>
      <c r="AX446" s="75"/>
      <c r="AY446" s="240"/>
      <c r="AZ446" s="75"/>
      <c r="BA446" s="240"/>
      <c r="BB446" s="75"/>
      <c r="BC446" s="240"/>
      <c r="BD446" s="75"/>
      <c r="BE446" s="240"/>
      <c r="BF446" s="75"/>
      <c r="BG446" s="240"/>
      <c r="BH446" s="75"/>
      <c r="BI446" s="240"/>
      <c r="BJ446" s="75"/>
      <c r="BK446" s="240"/>
      <c r="BL446" s="75"/>
      <c r="BM446" s="240"/>
      <c r="BN446" s="75"/>
      <c r="BO446" s="240"/>
      <c r="BP446" s="75"/>
      <c r="BQ446" s="240"/>
      <c r="BR446" s="75"/>
      <c r="BS446" s="240"/>
      <c r="BT446" s="75"/>
      <c r="BU446" s="240"/>
      <c r="BV446" s="75"/>
      <c r="BW446" s="240"/>
      <c r="BX446" s="75"/>
      <c r="BY446" s="240"/>
      <c r="BZ446" s="75"/>
      <c r="CA446" s="240"/>
      <c r="CB446" s="75"/>
      <c r="CC446" s="240"/>
      <c r="CD446" s="75"/>
      <c r="CE446" s="240"/>
      <c r="CF446" s="75"/>
      <c r="CG446" s="240"/>
      <c r="CH446" s="75"/>
      <c r="CI446" s="240"/>
      <c r="CJ446" s="75"/>
      <c r="CK446" s="240"/>
      <c r="CL446" s="75"/>
      <c r="CM446" s="240"/>
      <c r="CN446" s="75"/>
      <c r="CO446" s="240"/>
      <c r="CP446" s="75"/>
      <c r="CQ446" s="240"/>
      <c r="CR446" s="75"/>
      <c r="CS446" s="240"/>
      <c r="CT446" s="75"/>
      <c r="CU446" s="240"/>
      <c r="CV446" s="75"/>
      <c r="CW446" s="240"/>
      <c r="CX446" s="75"/>
      <c r="CY446" s="240"/>
      <c r="CZ446" s="75"/>
      <c r="DA446" s="240"/>
      <c r="DB446" s="75"/>
      <c r="DC446" s="240"/>
      <c r="DD446" s="75"/>
      <c r="DE446" s="240"/>
      <c r="DF446" s="75"/>
      <c r="DG446" s="240"/>
      <c r="DH446" s="75"/>
      <c r="DI446" s="240"/>
      <c r="DJ446" s="75"/>
      <c r="DK446" s="240"/>
      <c r="DL446" s="75"/>
      <c r="DM446" s="240"/>
      <c r="DN446" s="75"/>
      <c r="DO446" s="240"/>
      <c r="DP446" s="75"/>
      <c r="DQ446" s="240"/>
      <c r="DR446" s="75"/>
      <c r="DS446" s="240"/>
      <c r="DT446" s="75"/>
      <c r="DU446" s="240"/>
      <c r="DV446" s="75"/>
      <c r="DW446" s="240"/>
      <c r="DX446" s="75"/>
      <c r="DY446" s="240"/>
      <c r="DZ446" s="75"/>
      <c r="EA446" s="240"/>
      <c r="EB446" s="155"/>
      <c r="EC446" s="75"/>
      <c r="ED446" s="155"/>
      <c r="EE446" s="75"/>
      <c r="EF446" s="155"/>
      <c r="EG446" s="75"/>
      <c r="EH446" s="155"/>
      <c r="EI446" s="75"/>
      <c r="EJ446" s="240"/>
      <c r="EK446" s="75"/>
      <c r="EL446" s="240"/>
      <c r="EM446" s="75"/>
      <c r="EN446" s="240"/>
      <c r="EO446" s="75"/>
      <c r="EP446" s="240"/>
      <c r="EQ446" s="75"/>
      <c r="ER446" s="240"/>
      <c r="ES446" s="75"/>
      <c r="ET446" s="240"/>
      <c r="EU446" s="75"/>
      <c r="EV446" s="240"/>
      <c r="EW446" s="75"/>
      <c r="EX446" s="240"/>
      <c r="EY446" s="75"/>
      <c r="EZ446" s="240"/>
      <c r="FA446" s="75"/>
      <c r="FB446" s="240"/>
      <c r="FC446" s="75"/>
      <c r="FD446" s="240"/>
      <c r="FE446" s="75"/>
      <c r="FF446" s="240"/>
      <c r="FG446" s="75"/>
      <c r="FH446" s="240"/>
      <c r="FI446" s="75"/>
      <c r="FJ446" s="240"/>
      <c r="FK446" s="75"/>
      <c r="FL446" s="240"/>
      <c r="FM446" s="75"/>
      <c r="FN446" s="240"/>
      <c r="FO446" s="75"/>
      <c r="FP446" s="240"/>
      <c r="FQ446" s="75"/>
      <c r="FR446" s="240"/>
      <c r="FS446" s="240"/>
    </row>
    <row r="447" spans="1:176" ht="12.75" hidden="1" customHeight="1" outlineLevel="1" x14ac:dyDescent="0.2">
      <c r="A447" s="77" t="s">
        <v>68</v>
      </c>
      <c r="B447" s="81">
        <f>INPUT!AA595</f>
        <v>7.4561403508771926</v>
      </c>
      <c r="C447" s="155">
        <f>INPUT!AB595</f>
        <v>-0.45045045045046095</v>
      </c>
      <c r="D447" s="81">
        <f>INPUT!AC595</f>
        <v>10.545454545454545</v>
      </c>
      <c r="E447" s="155">
        <f>INPUT!AD595</f>
        <v>37.383838383838366</v>
      </c>
      <c r="F447" s="81">
        <f>INPUT!AE595</f>
        <v>5.7803468208092488</v>
      </c>
      <c r="G447" s="155">
        <f>INPUT!AF595</f>
        <v>-14.836223506743735</v>
      </c>
      <c r="H447" s="81">
        <f>INPUT!AG595</f>
        <v>8.362989323843415</v>
      </c>
      <c r="I447" s="155">
        <f>INPUT!AH595</f>
        <v>-39.529154119901463</v>
      </c>
      <c r="J447" s="81">
        <f>INPUT!AI595</f>
        <v>4.6099290780141837</v>
      </c>
      <c r="K447" s="155">
        <f>INPUT!AJ595</f>
        <v>-38.172715894868588</v>
      </c>
      <c r="L447" s="81">
        <f>INPUT!AK595</f>
        <v>6.3623789764868599</v>
      </c>
      <c r="M447" s="155">
        <f>INPUT!AL595</f>
        <v>-39.667095912624603</v>
      </c>
      <c r="N447" s="81">
        <f>INPUT!AM595</f>
        <v>6.7415730337078648</v>
      </c>
      <c r="O447" s="155">
        <f>INPUT!AN595</f>
        <v>16.62921348314606</v>
      </c>
      <c r="P447" s="81">
        <f>INPUT!AO595</f>
        <v>3.873744619799139</v>
      </c>
      <c r="Q447" s="155" t="str">
        <f>INPUT!AP595</f>
        <v>NM</v>
      </c>
      <c r="R447" s="81">
        <f>INPUT!AQ595</f>
        <v>4.4678055190538766</v>
      </c>
      <c r="S447" s="155">
        <f>INPUT!AR595</f>
        <v>-3.0829879712928232</v>
      </c>
      <c r="T447" s="81">
        <f>INPUT!AS595</f>
        <v>5.7071960297766751</v>
      </c>
      <c r="U447" s="155">
        <f>INPUT!AT595</f>
        <v>-10.297766749379647</v>
      </c>
      <c r="V447" s="81">
        <f>INPUT!AU595</f>
        <v>6.8493150684931505</v>
      </c>
      <c r="W447" s="155">
        <f>INPUT!AV595</f>
        <v>1.5981735159817561</v>
      </c>
      <c r="X447" s="81">
        <f>INPUT!AW595</f>
        <v>8.5106382978723403</v>
      </c>
      <c r="Y447" s="155" t="str">
        <f>INPUT!AX595</f>
        <v>NM</v>
      </c>
      <c r="Z447" s="81">
        <f>INPUT!AY595</f>
        <v>4.9111807732497388</v>
      </c>
      <c r="AA447" s="155">
        <f>INPUT!AZ595</f>
        <v>9.9237814247956209</v>
      </c>
      <c r="AB447" s="81">
        <f>INPUT!BA595</f>
        <v>6.1636556854410207</v>
      </c>
      <c r="AC447" s="155">
        <f>INPUT!BB595</f>
        <v>7.9979670101187423</v>
      </c>
      <c r="AD447" s="81">
        <f>INPUT!BC595</f>
        <v>6.1505832449628848</v>
      </c>
      <c r="AE447" s="155">
        <f>INPUT!BD595</f>
        <v>-10.201484623541873</v>
      </c>
      <c r="AF447" s="81">
        <f>INPUT!BE595</f>
        <v>7.9218106995884776</v>
      </c>
      <c r="AG447" s="155">
        <f>INPUT!BF595</f>
        <v>-6.9187242798353878</v>
      </c>
      <c r="AH447" s="81">
        <f>INPUT!BG595</f>
        <v>4.8589939024390247</v>
      </c>
      <c r="AI447" s="240">
        <f>INPUT!BH595</f>
        <v>-1.0626135184224097</v>
      </c>
      <c r="AJ447" s="81">
        <f>INPUT!BI595</f>
        <v>6.2956204379562051</v>
      </c>
      <c r="AK447" s="240">
        <f>INPUT!BJ595</f>
        <v>2.1410143468411746</v>
      </c>
      <c r="AL447" s="81">
        <f>INPUT!BK595</f>
        <v>6.9465648854961826</v>
      </c>
      <c r="AM447" s="240">
        <f>INPUT!BL595</f>
        <v>12.941563569360341</v>
      </c>
      <c r="AN447" s="81">
        <f>INPUT!BM595</f>
        <v>5.9625212947189095</v>
      </c>
      <c r="AO447" s="240">
        <f>INPUT!BN595</f>
        <v>-24.732848071860005</v>
      </c>
      <c r="AP447" s="81">
        <f>INPUT!BO595</f>
        <v>7.4309978768577496</v>
      </c>
      <c r="AQ447" s="240">
        <f>INPUT!BP595</f>
        <v>52.932850422546949</v>
      </c>
      <c r="AR447" s="81">
        <f>INPUT!BQ595</f>
        <v>7.4487895716945998</v>
      </c>
      <c r="AS447" s="240">
        <f>INPUT!BR595</f>
        <v>18.317005370685209</v>
      </c>
      <c r="AT447" s="81">
        <f>INPUT!BS595</f>
        <v>9.1666666666666661</v>
      </c>
      <c r="AU447" s="240">
        <f>INPUT!BT595</f>
        <v>31.959706959706949</v>
      </c>
      <c r="AV447" s="81">
        <f>INPUT!BU595</f>
        <v>12</v>
      </c>
      <c r="AW447" s="240" t="str">
        <f>INPUT!BV595</f>
        <v>NM</v>
      </c>
      <c r="AX447" s="81">
        <f>INPUT!BW595</f>
        <v>15.171288743882544</v>
      </c>
      <c r="AY447" s="240" t="str">
        <f>INPUT!BX595</f>
        <v>NM</v>
      </c>
      <c r="AZ447" s="81">
        <f>INPUT!BY595</f>
        <v>14.705882352941178</v>
      </c>
      <c r="BA447" s="240">
        <f>INPUT!BZ595</f>
        <v>97.426470588235304</v>
      </c>
      <c r="BB447" s="81">
        <f>INPUT!CA595</f>
        <v>7.6646706586826348</v>
      </c>
      <c r="BC447" s="240">
        <f>INPUT!CB595</f>
        <v>-16.385410996189435</v>
      </c>
      <c r="BD447" s="81">
        <f>INPUT!CC595</f>
        <v>10.058309037900875</v>
      </c>
      <c r="BE447" s="240">
        <f>INPUT!CD595</f>
        <v>-16.180758017492707</v>
      </c>
      <c r="BF447" s="81">
        <f>INPUT!CE595</f>
        <v>6.8692206076618234</v>
      </c>
      <c r="BG447" s="240" t="str">
        <f>INPUT!CF595</f>
        <v>NM</v>
      </c>
      <c r="BH447" s="81">
        <f>INPUT!CG595</f>
        <v>4.808877928483354</v>
      </c>
      <c r="BI447" s="240" t="str">
        <f>INPUT!CH595</f>
        <v>NM</v>
      </c>
      <c r="BJ447" s="81">
        <f>INPUT!CI595</f>
        <v>4.2384105960264904</v>
      </c>
      <c r="BK447" s="240">
        <f>INPUT!CJ595</f>
        <v>-44.701986754966882</v>
      </c>
      <c r="BL447" s="81">
        <f>INPUT!CK595</f>
        <v>7.7981651376146797</v>
      </c>
      <c r="BM447" s="240">
        <f>INPUT!CL595</f>
        <v>-22.470416168062755</v>
      </c>
      <c r="BN447" s="81">
        <f>INPUT!CM595</f>
        <v>4.1065599663051486</v>
      </c>
      <c r="BO447" s="240">
        <f>INPUT!CN595</f>
        <v>-40.217963567442361</v>
      </c>
      <c r="BP447" s="81">
        <f>INPUT!CO595</f>
        <v>4.4343891402714934</v>
      </c>
      <c r="BQ447" s="240">
        <f>INPUT!CP595</f>
        <v>-7.7874463394825426</v>
      </c>
      <c r="BR447" s="81">
        <f>INPUT!CQ595</f>
        <v>2.3397761953204474</v>
      </c>
      <c r="BS447" s="240">
        <f>INPUT!CR595</f>
        <v>-44.795905391658195</v>
      </c>
      <c r="BT447" s="81">
        <f>INPUT!CS595</f>
        <v>4.294478527607362</v>
      </c>
      <c r="BU447" s="240">
        <f>INPUT!CT595</f>
        <v>-44.929628293035009</v>
      </c>
      <c r="BV447" s="81">
        <f>INPUT!CU595</f>
        <v>-4.3103448275862073</v>
      </c>
      <c r="BW447" s="240" t="str">
        <f>INPUT!CV595</f>
        <v>NM</v>
      </c>
      <c r="BX447" s="81">
        <f>INPUT!CW595</f>
        <v>2.9945553539019962</v>
      </c>
      <c r="BY447" s="240">
        <f>INPUT!CX595</f>
        <v>-32.469721100781513</v>
      </c>
      <c r="BZ447" s="81">
        <f>INPUT!CY595</f>
        <v>2.3588879528222408</v>
      </c>
      <c r="CA447" s="240">
        <f>INPUT!CZ595</f>
        <v>0.81681989670707367</v>
      </c>
      <c r="CB447" s="81">
        <f>INPUT!DA595</f>
        <v>2.2968197879858656</v>
      </c>
      <c r="CC447" s="240">
        <f>INPUT!DB595</f>
        <v>-46.516910651186272</v>
      </c>
      <c r="CD447" s="81">
        <f>INPUT!DC595</f>
        <v>0.6559766763848397</v>
      </c>
      <c r="CE447" s="240" t="str">
        <f>INPUT!DD595</f>
        <v>NM</v>
      </c>
      <c r="CF447" s="81">
        <f>INPUT!DE595</f>
        <v>1.6046681254558719</v>
      </c>
      <c r="CG447" s="240">
        <f>INPUT!DF595</f>
        <v>-46.413809871140273</v>
      </c>
      <c r="CH447" s="81">
        <f>INPUT!DG595</f>
        <v>1.5181518151815181</v>
      </c>
      <c r="CI447" s="240">
        <f>INPUT!DH595</f>
        <v>-35.641206977840639</v>
      </c>
      <c r="CJ447" s="81">
        <f>INPUT!DI595</f>
        <v>3.9375424304141213</v>
      </c>
      <c r="CK447" s="240">
        <f>INPUT!DJ595</f>
        <v>71.434539662645591</v>
      </c>
      <c r="CL447" s="81">
        <f>INPUT!DK595</f>
        <v>0.37128712871287128</v>
      </c>
      <c r="CM447" s="240">
        <f>INPUT!DL595</f>
        <v>-43.39933993399341</v>
      </c>
      <c r="CN447" s="81">
        <f>INPUT!DM595</f>
        <v>2.8134556574923546</v>
      </c>
      <c r="CO447" s="240">
        <f>INPUT!DN595</f>
        <v>75.329441201000805</v>
      </c>
      <c r="CP447" s="81">
        <f>INPUT!DO595</f>
        <v>2.128991859737007</v>
      </c>
      <c r="CQ447" s="240">
        <f>INPUT!DP595</f>
        <v>40.235768152242002</v>
      </c>
      <c r="CR447" s="81">
        <f>INPUT!DQ595</f>
        <v>2.9411764705882351</v>
      </c>
      <c r="CS447" s="240">
        <f>INPUT!DR595</f>
        <v>-25.304259634888453</v>
      </c>
      <c r="CT447" s="81">
        <f>INPUT!DS595</f>
        <v>1.820388349514563</v>
      </c>
      <c r="CU447" s="240" t="str">
        <f>INPUT!DT595</f>
        <v>NM</v>
      </c>
      <c r="CV447" s="81">
        <f>INPUT!DU595</f>
        <v>2.8693528693528694</v>
      </c>
      <c r="CW447" s="240">
        <f>INPUT!DV595</f>
        <v>1.9867813346074286</v>
      </c>
      <c r="CX447" s="81">
        <f>INPUT!DW595</f>
        <v>2.8442146089204914</v>
      </c>
      <c r="CY447" s="240">
        <f>INPUT!DX595</f>
        <v>33.594433248412486</v>
      </c>
      <c r="CZ447" s="81">
        <f>INPUT!DY595</f>
        <v>2.1184778344448802</v>
      </c>
      <c r="DA447" s="240">
        <f>INPUT!DZ595</f>
        <v>-27.971753628874069</v>
      </c>
      <c r="DB447" s="81">
        <f>INPUT!EA595</f>
        <v>1.8271257905832747</v>
      </c>
      <c r="DC447" s="240">
        <f>INPUT!EB595</f>
        <v>0.37011009604124467</v>
      </c>
      <c r="DD447" s="81">
        <f>INPUT!EC595</f>
        <v>5.9651474530831097</v>
      </c>
      <c r="DE447" s="240" t="str">
        <f>INPUT!ED595</f>
        <v>NM</v>
      </c>
      <c r="DF447" s="81">
        <f>INPUT!EE595</f>
        <v>4.2670337233310391</v>
      </c>
      <c r="DG447" s="240">
        <f>INPUT!EF595</f>
        <v>50.025026590752674</v>
      </c>
      <c r="DH447" s="81">
        <f>INPUT!EG595</f>
        <v>2.9881862404447532</v>
      </c>
      <c r="DI447" s="240">
        <f>INPUT!EH595</f>
        <v>41.053457905438449</v>
      </c>
      <c r="DJ447" s="81">
        <f>INPUT!EI595</f>
        <v>2.0730443265654532</v>
      </c>
      <c r="DK447" s="240">
        <f>INPUT!EJ595</f>
        <v>13.459310642409235</v>
      </c>
      <c r="DL447" s="81">
        <f>INPUT!EK595</f>
        <v>4.5100222717149219</v>
      </c>
      <c r="DM447" s="240">
        <f>INPUT!EL595</f>
        <v>-24.39378393934085</v>
      </c>
      <c r="DN447" s="81">
        <f>INPUT!EM595</f>
        <v>3.5138248847926268</v>
      </c>
      <c r="DO447" s="240">
        <f>INPUT!EN595</f>
        <v>-17.65181358703731</v>
      </c>
      <c r="DP447" s="81">
        <f>INPUT!EO595</f>
        <v>1.403061224489796</v>
      </c>
      <c r="DQ447" s="240" t="str">
        <f>INPUT!EP595</f>
        <v>NM</v>
      </c>
      <c r="DR447" s="81">
        <f>INPUT!EQ595</f>
        <v>2.5177731276788085</v>
      </c>
      <c r="DS447" s="240">
        <f>INPUT!ER595</f>
        <v>21.452932550176882</v>
      </c>
      <c r="DT447" s="81">
        <f>INPUT!ES595</f>
        <v>2.8778767779605809</v>
      </c>
      <c r="DU447" s="240">
        <f>INPUT!ET595</f>
        <v>-36.189300083738232</v>
      </c>
      <c r="DV447" s="81">
        <f>INPUT!EU595</f>
        <v>3.2959237995133188</v>
      </c>
      <c r="DW447" s="240">
        <f>INPUT!EV595</f>
        <v>-6.2012505581127613</v>
      </c>
      <c r="DX447" s="81">
        <f>INPUT!EW595</f>
        <v>3.0594833875637129</v>
      </c>
      <c r="DY447" s="240" t="str">
        <f>INPUT!EX595</f>
        <v>NM</v>
      </c>
      <c r="DZ447" s="81"/>
      <c r="EA447" s="240"/>
      <c r="EB447" s="155" t="str">
        <f>INPUT!FI595</f>
        <v>NM</v>
      </c>
      <c r="EC447" s="81">
        <f>INPUT!FJ595</f>
        <v>8.6640581330352155</v>
      </c>
      <c r="ED447" s="155">
        <f>INPUT!FK595</f>
        <v>81.573904016609418</v>
      </c>
      <c r="EE447" s="81">
        <f>INPUT!FL595</f>
        <v>8.0552907530981894</v>
      </c>
      <c r="EF447" s="155">
        <f>INPUT!FM595</f>
        <v>-7.0263538239183134</v>
      </c>
      <c r="EG447" s="81">
        <f>INPUT!FN595</f>
        <v>5.4444444444444438</v>
      </c>
      <c r="EH447" s="155">
        <f>INPUT!FO595</f>
        <v>-32.411571334648272</v>
      </c>
      <c r="EI447" s="81">
        <f>INPUT!FP595</f>
        <v>6.4686856806821531</v>
      </c>
      <c r="EJ447" s="240">
        <f>INPUT!FQ595</f>
        <v>18.812594134978326</v>
      </c>
      <c r="EK447" s="81">
        <f>INPUT!FR595</f>
        <v>6.3241106719367588</v>
      </c>
      <c r="EL447" s="240">
        <f>INPUT!FS595</f>
        <v>-2.234998203377657</v>
      </c>
      <c r="EM447" s="81">
        <f>INPUT!FT595</f>
        <v>6.1025930591147981</v>
      </c>
      <c r="EN447" s="240">
        <f>INPUT!FU595</f>
        <v>-3.5027472527472554</v>
      </c>
      <c r="EO447" s="81">
        <f>INPUT!FV595</f>
        <v>9.3288177339901477</v>
      </c>
      <c r="EP447" s="240">
        <f>INPUT!FW595</f>
        <v>52.866456006871999</v>
      </c>
      <c r="EQ447" s="81">
        <f>INPUT!FX595</f>
        <v>12.876712328767123</v>
      </c>
      <c r="ER447" s="240">
        <f>INPUT!FY595</f>
        <v>38.031556580315566</v>
      </c>
      <c r="ES447" s="81">
        <f>INPUT!FZ595</f>
        <v>5.9780907668231613</v>
      </c>
      <c r="ET447" s="240" t="str">
        <f>INPUT!GA595</f>
        <v>NM</v>
      </c>
      <c r="EU447" s="81">
        <f>INPUT!GB595</f>
        <v>3.8100455711333017</v>
      </c>
      <c r="EV447" s="240">
        <f>INPUT!GC595</f>
        <v>-36.266515184445559</v>
      </c>
      <c r="EW447" s="81">
        <f>INPUT!GD595</f>
        <v>1.0807082087836284</v>
      </c>
      <c r="EX447" s="240" t="str">
        <f>INPUT!GE595</f>
        <v>NM</v>
      </c>
      <c r="EY447" s="81">
        <f>INPUT!GF595</f>
        <v>1.9542837201186529</v>
      </c>
      <c r="EZ447" s="240">
        <f>INPUT!GG595</f>
        <v>80.833614868000467</v>
      </c>
      <c r="FA447" s="81">
        <f>INPUT!GH595</f>
        <v>2.0491803278688523</v>
      </c>
      <c r="FB447" s="240">
        <f>INPUT!GI595</f>
        <v>4.8558255269320654</v>
      </c>
      <c r="FC447" s="81">
        <f>INPUT!GJ595</f>
        <v>2.4232501023331969</v>
      </c>
      <c r="FD447" s="240">
        <f>INPUT!GK595</f>
        <v>18.254604993860028</v>
      </c>
      <c r="FE447" s="81">
        <f>INPUT!GL595</f>
        <v>3.7885310831754779</v>
      </c>
      <c r="FF447" s="240">
        <f>INPUT!GM595</f>
        <v>56.340902638474546</v>
      </c>
      <c r="FG447" s="81">
        <f>INPUT!GN595</f>
        <v>2.9376418747496325</v>
      </c>
      <c r="FH447" s="240">
        <f>INPUT!GO595</f>
        <v>-22.459607424222199</v>
      </c>
      <c r="FI447" s="81">
        <f>INPUT!GP595</f>
        <v>2.9339191762148795</v>
      </c>
      <c r="FJ447" s="240">
        <f>INPUT!GQ595</f>
        <v>-0.12672404239438606</v>
      </c>
      <c r="FK447" s="81">
        <f>INPUT!GR595</f>
        <v>3.0118532464676493</v>
      </c>
      <c r="FL447" s="240">
        <f>INPUT!GS595</f>
        <v>2.6563127875020314</v>
      </c>
      <c r="FM447" s="81">
        <f>INPUT!GT595</f>
        <v>3.1354393649223313</v>
      </c>
      <c r="FN447" s="240">
        <f>INPUT!GU595</f>
        <v>4.1033247087860474</v>
      </c>
      <c r="FO447" s="81">
        <f>INPUT!GV595</f>
        <v>3.2206857957253372</v>
      </c>
      <c r="FP447" s="240">
        <f>INPUT!GW595</f>
        <v>2.7188033599596366</v>
      </c>
      <c r="FQ447" s="81">
        <f>INPUT!GX595</f>
        <v>3.3133033042580631</v>
      </c>
      <c r="FR447" s="240">
        <f>INPUT!GY595</f>
        <v>2.8757076724358797</v>
      </c>
      <c r="FS447" s="240">
        <f>INPUT!GZ595</f>
        <v>2.4359663210672622</v>
      </c>
    </row>
    <row r="448" spans="1:176" ht="12.75" hidden="1" customHeight="1" outlineLevel="1" x14ac:dyDescent="0.2">
      <c r="A448" s="70"/>
      <c r="B448" s="511"/>
      <c r="C448" s="487"/>
      <c r="D448" s="511"/>
      <c r="E448" s="487"/>
      <c r="F448" s="511"/>
      <c r="G448" s="487"/>
      <c r="H448" s="511"/>
      <c r="I448" s="487"/>
      <c r="J448" s="511"/>
      <c r="K448" s="487"/>
      <c r="L448" s="511"/>
      <c r="M448" s="487"/>
      <c r="N448" s="511"/>
      <c r="O448" s="487"/>
      <c r="P448" s="511"/>
      <c r="Q448" s="487"/>
      <c r="R448" s="511"/>
      <c r="S448" s="487"/>
      <c r="T448" s="511"/>
      <c r="U448" s="487"/>
      <c r="V448" s="511"/>
      <c r="W448" s="487"/>
      <c r="X448" s="511"/>
      <c r="Y448" s="487"/>
      <c r="Z448" s="511"/>
      <c r="AA448" s="487"/>
      <c r="AB448" s="511"/>
      <c r="AC448" s="487"/>
      <c r="AD448" s="511"/>
      <c r="AE448" s="487"/>
      <c r="AF448" s="511"/>
      <c r="AG448" s="487"/>
      <c r="AH448" s="511"/>
      <c r="AI448" s="486"/>
      <c r="AJ448" s="511"/>
      <c r="AK448" s="486"/>
      <c r="AL448" s="511"/>
      <c r="AM448" s="486"/>
      <c r="AN448" s="511"/>
      <c r="AO448" s="486"/>
      <c r="AP448" s="511"/>
      <c r="AQ448" s="240"/>
      <c r="AR448" s="511"/>
      <c r="AS448" s="240"/>
      <c r="AT448" s="511"/>
      <c r="AU448" s="240"/>
      <c r="AV448" s="511"/>
      <c r="AW448" s="486"/>
      <c r="AX448" s="511"/>
      <c r="AY448" s="486"/>
      <c r="AZ448" s="511"/>
      <c r="BA448" s="486"/>
      <c r="BB448" s="511"/>
      <c r="BC448" s="486"/>
      <c r="BD448" s="511"/>
      <c r="BE448" s="486"/>
      <c r="BF448" s="511"/>
      <c r="BG448" s="486"/>
      <c r="BH448" s="511"/>
      <c r="BI448" s="486"/>
      <c r="BJ448" s="511"/>
      <c r="BK448" s="486"/>
      <c r="BL448" s="511"/>
      <c r="BM448" s="486"/>
      <c r="BN448" s="511"/>
      <c r="BO448" s="486"/>
      <c r="BP448" s="511"/>
      <c r="BQ448" s="486"/>
      <c r="BR448" s="511"/>
      <c r="BS448" s="486"/>
      <c r="BT448" s="511"/>
      <c r="BU448" s="486"/>
      <c r="BV448" s="511"/>
      <c r="BW448" s="486"/>
      <c r="BX448" s="511"/>
      <c r="BY448" s="486"/>
      <c r="BZ448" s="511"/>
      <c r="CA448" s="486"/>
      <c r="CB448" s="511"/>
      <c r="CC448" s="486"/>
      <c r="CD448" s="511"/>
      <c r="CE448" s="486"/>
      <c r="CF448" s="511"/>
      <c r="CG448" s="486"/>
      <c r="CH448" s="511"/>
      <c r="CI448" s="486"/>
      <c r="CJ448" s="511"/>
      <c r="CK448" s="486"/>
      <c r="CL448" s="511"/>
      <c r="CM448" s="486"/>
      <c r="CN448" s="511"/>
      <c r="CO448" s="486"/>
      <c r="CP448" s="511"/>
      <c r="CQ448" s="486"/>
      <c r="CR448" s="511"/>
      <c r="CS448" s="486"/>
      <c r="CT448" s="511"/>
      <c r="CU448" s="486"/>
      <c r="CV448" s="511"/>
      <c r="CW448" s="486"/>
      <c r="CX448" s="511"/>
      <c r="CY448" s="486"/>
      <c r="CZ448" s="511"/>
      <c r="DA448" s="486"/>
      <c r="DB448" s="511"/>
      <c r="DC448" s="486"/>
      <c r="DD448" s="511"/>
      <c r="DE448" s="486"/>
      <c r="DF448" s="511"/>
      <c r="DG448" s="486"/>
      <c r="DH448" s="511"/>
      <c r="DI448" s="486"/>
      <c r="DJ448" s="511"/>
      <c r="DK448" s="486"/>
      <c r="DL448" s="511"/>
      <c r="DM448" s="486"/>
      <c r="DN448" s="511"/>
      <c r="DO448" s="486"/>
      <c r="DP448" s="511"/>
      <c r="DQ448" s="486"/>
      <c r="DR448" s="511"/>
      <c r="DS448" s="486"/>
      <c r="DT448" s="511"/>
      <c r="DU448" s="486"/>
      <c r="DV448" s="511"/>
      <c r="DW448" s="486"/>
      <c r="DX448" s="511"/>
      <c r="DY448" s="486"/>
      <c r="DZ448" s="511"/>
      <c r="EA448" s="486"/>
      <c r="EB448" s="155"/>
      <c r="EC448" s="511"/>
      <c r="ED448" s="155"/>
      <c r="EE448" s="511"/>
      <c r="EF448" s="155"/>
      <c r="EG448" s="511"/>
      <c r="EH448" s="155"/>
      <c r="EI448" s="511"/>
      <c r="EJ448" s="240"/>
      <c r="EK448" s="511"/>
      <c r="EL448" s="240"/>
      <c r="EM448" s="511"/>
      <c r="EN448" s="240"/>
      <c r="EO448" s="511"/>
      <c r="EP448" s="240"/>
      <c r="EQ448" s="511"/>
      <c r="ER448" s="240"/>
      <c r="ES448" s="511"/>
      <c r="ET448" s="240"/>
      <c r="EU448" s="511"/>
      <c r="EV448" s="240"/>
      <c r="EW448" s="511"/>
      <c r="EX448" s="240"/>
      <c r="EY448" s="511"/>
      <c r="EZ448" s="240"/>
      <c r="FA448" s="511"/>
      <c r="FB448" s="240"/>
      <c r="FC448" s="511"/>
      <c r="FD448" s="240"/>
      <c r="FE448" s="511"/>
      <c r="FF448" s="240"/>
      <c r="FG448" s="511"/>
      <c r="FH448" s="240"/>
      <c r="FI448" s="511"/>
      <c r="FJ448" s="240"/>
      <c r="FK448" s="511"/>
      <c r="FL448" s="240"/>
      <c r="FM448" s="511"/>
      <c r="FN448" s="240"/>
      <c r="FO448" s="511"/>
      <c r="FP448" s="240"/>
      <c r="FQ448" s="511"/>
      <c r="FR448" s="240"/>
      <c r="FS448" s="240"/>
    </row>
    <row r="449" spans="1:176" ht="12.75" hidden="1" customHeight="1" outlineLevel="1" x14ac:dyDescent="0.2">
      <c r="A449" s="514" t="s">
        <v>312</v>
      </c>
      <c r="B449" s="511"/>
      <c r="C449" s="487"/>
      <c r="D449" s="511"/>
      <c r="E449" s="487"/>
      <c r="F449" s="511"/>
      <c r="G449" s="487"/>
      <c r="H449" s="511"/>
      <c r="I449" s="487"/>
      <c r="J449" s="511"/>
      <c r="K449" s="487"/>
      <c r="L449" s="511"/>
      <c r="M449" s="487"/>
      <c r="N449" s="511"/>
      <c r="O449" s="487"/>
      <c r="P449" s="511"/>
      <c r="Q449" s="487"/>
      <c r="R449" s="511"/>
      <c r="S449" s="487"/>
      <c r="T449" s="511"/>
      <c r="U449" s="487"/>
      <c r="V449" s="511"/>
      <c r="W449" s="487"/>
      <c r="X449" s="511"/>
      <c r="Y449" s="487"/>
      <c r="Z449" s="511"/>
      <c r="AA449" s="487"/>
      <c r="AB449" s="511"/>
      <c r="AC449" s="487"/>
      <c r="AD449" s="511"/>
      <c r="AE449" s="487"/>
      <c r="AF449" s="511"/>
      <c r="AG449" s="487"/>
      <c r="AH449" s="511"/>
      <c r="AI449" s="486"/>
      <c r="AJ449" s="511"/>
      <c r="AK449" s="486"/>
      <c r="AL449" s="511"/>
      <c r="AM449" s="486"/>
      <c r="AN449" s="511"/>
      <c r="AO449" s="486"/>
      <c r="AP449" s="511"/>
      <c r="AQ449" s="240"/>
      <c r="AR449" s="511"/>
      <c r="AS449" s="240"/>
      <c r="AT449" s="511"/>
      <c r="AU449" s="240"/>
      <c r="AV449" s="511"/>
      <c r="AW449" s="486"/>
      <c r="AX449" s="511"/>
      <c r="AY449" s="486"/>
      <c r="AZ449" s="511"/>
      <c r="BA449" s="486"/>
      <c r="BB449" s="511"/>
      <c r="BC449" s="486"/>
      <c r="BD449" s="511"/>
      <c r="BE449" s="486"/>
      <c r="BF449" s="511"/>
      <c r="BG449" s="486"/>
      <c r="BH449" s="511"/>
      <c r="BI449" s="486"/>
      <c r="BJ449" s="511"/>
      <c r="BK449" s="486"/>
      <c r="BL449" s="511"/>
      <c r="BM449" s="486"/>
      <c r="BN449" s="511"/>
      <c r="BO449" s="486"/>
      <c r="BP449" s="511"/>
      <c r="BQ449" s="486"/>
      <c r="BR449" s="511"/>
      <c r="BS449" s="486"/>
      <c r="BT449" s="511"/>
      <c r="BU449" s="486"/>
      <c r="BV449" s="511"/>
      <c r="BW449" s="486"/>
      <c r="BX449" s="511"/>
      <c r="BY449" s="486"/>
      <c r="BZ449" s="511"/>
      <c r="CA449" s="486"/>
      <c r="CB449" s="511"/>
      <c r="CC449" s="486"/>
      <c r="CD449" s="511"/>
      <c r="CE449" s="486"/>
      <c r="CF449" s="511"/>
      <c r="CG449" s="486"/>
      <c r="CH449" s="511"/>
      <c r="CI449" s="486"/>
      <c r="CJ449" s="511"/>
      <c r="CK449" s="486"/>
      <c r="CL449" s="511"/>
      <c r="CM449" s="486"/>
      <c r="CN449" s="511"/>
      <c r="CO449" s="486"/>
      <c r="CP449" s="511"/>
      <c r="CQ449" s="486"/>
      <c r="CR449" s="511"/>
      <c r="CS449" s="486"/>
      <c r="CT449" s="511"/>
      <c r="CU449" s="486"/>
      <c r="CV449" s="511"/>
      <c r="CW449" s="486"/>
      <c r="CX449" s="511"/>
      <c r="CY449" s="486"/>
      <c r="CZ449" s="511"/>
      <c r="DA449" s="486"/>
      <c r="DB449" s="511"/>
      <c r="DC449" s="486"/>
      <c r="DD449" s="511"/>
      <c r="DE449" s="486"/>
      <c r="DF449" s="511"/>
      <c r="DG449" s="486"/>
      <c r="DH449" s="511"/>
      <c r="DI449" s="486"/>
      <c r="DJ449" s="511"/>
      <c r="DK449" s="486"/>
      <c r="DL449" s="511"/>
      <c r="DM449" s="486"/>
      <c r="DN449" s="511"/>
      <c r="DO449" s="486"/>
      <c r="DP449" s="511"/>
      <c r="DQ449" s="486"/>
      <c r="DR449" s="511"/>
      <c r="DS449" s="486"/>
      <c r="DT449" s="511"/>
      <c r="DU449" s="486"/>
      <c r="DV449" s="511"/>
      <c r="DW449" s="486"/>
      <c r="DX449" s="511"/>
      <c r="DY449" s="486"/>
      <c r="DZ449" s="511"/>
      <c r="EA449" s="486"/>
      <c r="EB449" s="155"/>
      <c r="EC449" s="511"/>
      <c r="ED449" s="155"/>
      <c r="EE449" s="511"/>
      <c r="EF449" s="155"/>
      <c r="EG449" s="511"/>
      <c r="EH449" s="155"/>
      <c r="EI449" s="511"/>
      <c r="EJ449" s="240"/>
      <c r="EK449" s="511"/>
      <c r="EL449" s="240"/>
      <c r="EM449" s="511"/>
      <c r="EN449" s="240"/>
      <c r="EO449" s="511"/>
      <c r="EP449" s="240"/>
      <c r="EQ449" s="511"/>
      <c r="ER449" s="240"/>
      <c r="ES449" s="511"/>
      <c r="ET449" s="240"/>
      <c r="EU449" s="511"/>
      <c r="EV449" s="240"/>
      <c r="EW449" s="511"/>
      <c r="EX449" s="240"/>
      <c r="EY449" s="511"/>
      <c r="EZ449" s="240"/>
      <c r="FA449" s="511"/>
      <c r="FB449" s="240"/>
      <c r="FC449" s="511"/>
      <c r="FD449" s="240"/>
      <c r="FE449" s="511"/>
      <c r="FF449" s="240"/>
      <c r="FG449" s="511"/>
      <c r="FH449" s="240"/>
      <c r="FI449" s="511"/>
      <c r="FJ449" s="240"/>
      <c r="FK449" s="511"/>
      <c r="FL449" s="240"/>
      <c r="FM449" s="511"/>
      <c r="FN449" s="240"/>
      <c r="FO449" s="511"/>
      <c r="FP449" s="240"/>
      <c r="FQ449" s="511"/>
      <c r="FR449" s="240"/>
      <c r="FS449" s="240"/>
    </row>
    <row r="450" spans="1:176" ht="12.75" hidden="1" customHeight="1" outlineLevel="1" x14ac:dyDescent="0.2">
      <c r="A450" s="246" t="str">
        <f>INPUT!B242</f>
        <v>Benefits/Fees (%)</v>
      </c>
      <c r="B450" s="523">
        <f>INPUT!AA242</f>
        <v>92.26932668329178</v>
      </c>
      <c r="C450" s="487">
        <f>INPUT!AB242</f>
        <v>2.1259906613288848</v>
      </c>
      <c r="D450" s="523">
        <f>INPUT!AC242</f>
        <v>89.243027888446207</v>
      </c>
      <c r="E450" s="487">
        <f>INPUT!AD242</f>
        <v>-2.9514594682494533</v>
      </c>
      <c r="F450" s="523">
        <f>INPUT!AE242</f>
        <v>91.71195652173914</v>
      </c>
      <c r="G450" s="487">
        <f>INPUT!AF242</f>
        <v>-1.3484147206812054</v>
      </c>
      <c r="H450" s="523">
        <f>INPUT!AG242</f>
        <v>91.377091377091375</v>
      </c>
      <c r="I450" s="487">
        <f>INPUT!AH242</f>
        <v>3.260210883529254</v>
      </c>
      <c r="J450" s="523">
        <f>INPUT!AI242</f>
        <v>92.242424242424235</v>
      </c>
      <c r="K450" s="487">
        <f>INPUT!AJ242</f>
        <v>-2.915642915645833E-2</v>
      </c>
      <c r="L450" s="523">
        <f>INPUT!AK242</f>
        <v>88.833746898263016</v>
      </c>
      <c r="M450" s="487">
        <f>INPUT!AL242</f>
        <v>-0.45861396667848453</v>
      </c>
      <c r="N450" s="523">
        <f>INPUT!AM242</f>
        <v>89.221556886227546</v>
      </c>
      <c r="O450" s="487">
        <f>INPUT!AN242</f>
        <v>-2.7154579729430139</v>
      </c>
      <c r="P450" s="523">
        <f>INPUT!AO242</f>
        <v>85.714285714285708</v>
      </c>
      <c r="Q450" s="487">
        <f>INPUT!AP242</f>
        <v>-6.1971830985915517</v>
      </c>
      <c r="R450" s="523">
        <f>INPUT!AQ242</f>
        <v>92.713004484304932</v>
      </c>
      <c r="S450" s="487">
        <f>INPUT!AR242</f>
        <v>0.51015597838576809</v>
      </c>
      <c r="T450" s="523">
        <f>INPUT!AS242</f>
        <v>90.687361419068736</v>
      </c>
      <c r="U450" s="487">
        <f>INPUT!AT242</f>
        <v>2.0866107594544872</v>
      </c>
      <c r="V450" s="523">
        <f>INPUT!AU242</f>
        <v>89.863325740318913</v>
      </c>
      <c r="W450" s="487">
        <f>INPUT!AV242</f>
        <v>0.71929797740442325</v>
      </c>
      <c r="X450" s="523">
        <f>INPUT!AW242</f>
        <v>87.739032620922387</v>
      </c>
      <c r="Y450" s="487">
        <f>INPUT!AX242</f>
        <v>2.3622047244094659</v>
      </c>
      <c r="Z450" s="523">
        <f>INPUT!AY242</f>
        <v>91.101694915254242</v>
      </c>
      <c r="AA450" s="487">
        <f>INPUT!AZ242</f>
        <v>-1.7379542147439082</v>
      </c>
      <c r="AB450" s="523">
        <f>INPUT!BA242</f>
        <v>94.10526315789474</v>
      </c>
      <c r="AC450" s="487">
        <f>INPUT!BB242</f>
        <v>3.7688843134731798</v>
      </c>
      <c r="AD450" s="523">
        <f>INPUT!BC242</f>
        <v>87.742594484167512</v>
      </c>
      <c r="AE450" s="487">
        <f>INPUT!BD242</f>
        <v>-2.3599518921431297</v>
      </c>
      <c r="AF450" s="523">
        <f>INPUT!BE242</f>
        <v>89.292929292929287</v>
      </c>
      <c r="AG450" s="487">
        <f>INPUT!BF242</f>
        <v>1.7710437710437503</v>
      </c>
      <c r="AH450" s="523">
        <f>INPUT!BG242</f>
        <v>91.487279843444227</v>
      </c>
      <c r="AI450" s="486">
        <f>INPUT!BH242</f>
        <v>0.42324671187365936</v>
      </c>
      <c r="AJ450" s="523">
        <f>INPUT!BI242</f>
        <v>89.668615984405449</v>
      </c>
      <c r="AK450" s="486">
        <f>INPUT!BJ242</f>
        <v>-4.7145579584058481</v>
      </c>
      <c r="AL450" s="523">
        <f>INPUT!BK242</f>
        <v>86.991062562065551</v>
      </c>
      <c r="AM450" s="486">
        <f>INPUT!BL242</f>
        <v>-0.85651891936882407</v>
      </c>
      <c r="AN450" s="523">
        <f>INPUT!BM242</f>
        <v>90.101010101010104</v>
      </c>
      <c r="AO450" s="486">
        <f>INPUT!BN242</f>
        <v>0.90497737556563607</v>
      </c>
      <c r="AP450" s="523">
        <f>INPUT!BO242</f>
        <v>88.070829450139797</v>
      </c>
      <c r="AQ450" s="240">
        <f>INPUT!BP242</f>
        <v>-3.7343447079755379</v>
      </c>
      <c r="AR450" s="523">
        <f>INPUT!BQ242</f>
        <v>88.792270531400959</v>
      </c>
      <c r="AS450" s="240">
        <f>INPUT!BR242</f>
        <v>-0.97731568998109708</v>
      </c>
      <c r="AT450" s="523">
        <f>INPUT!BS242</f>
        <v>86.450381679389309</v>
      </c>
      <c r="AU450" s="240">
        <f>INPUT!BT242</f>
        <v>-0.62153612882987375</v>
      </c>
      <c r="AV450" s="523">
        <f>INPUT!BU242</f>
        <v>89.915966386554629</v>
      </c>
      <c r="AW450" s="486">
        <f>INPUT!BV242</f>
        <v>-0.20537362927233005</v>
      </c>
      <c r="AX450" s="523">
        <f>INPUT!BW242</f>
        <v>87.532693984306889</v>
      </c>
      <c r="AY450" s="486">
        <f>INPUT!BX242</f>
        <v>-0.611025772316097</v>
      </c>
      <c r="AZ450" s="523">
        <f>INPUT!BY242</f>
        <v>86.785714285714292</v>
      </c>
      <c r="BA450" s="486">
        <f>INPUT!BZ242</f>
        <v>-2.2598321156536514</v>
      </c>
      <c r="BB450" s="523">
        <f>INPUT!CA242</f>
        <v>90.807560137457045</v>
      </c>
      <c r="BC450" s="486">
        <f>INPUT!CB242</f>
        <v>5.0400916380297929</v>
      </c>
      <c r="BD450" s="523">
        <f>INPUT!CC242</f>
        <v>89.039855072463766</v>
      </c>
      <c r="BE450" s="486">
        <f>INPUT!CD242</f>
        <v>-0.97436678856834646</v>
      </c>
      <c r="BF450" s="523">
        <f>INPUT!CE242</f>
        <v>90.37433155080214</v>
      </c>
      <c r="BG450" s="486">
        <f>INPUT!CF242</f>
        <v>3.2463727975797383</v>
      </c>
      <c r="BH450" s="523">
        <f>INPUT!CG242</f>
        <v>92.266666666666666</v>
      </c>
      <c r="BI450" s="486">
        <f>INPUT!CH242</f>
        <v>6.3155006858710578</v>
      </c>
      <c r="BJ450" s="523">
        <f>INPUT!CI242</f>
        <v>91.358994501178316</v>
      </c>
      <c r="BK450" s="486">
        <f>INPUT!CJ242</f>
        <v>0.60725600697404047</v>
      </c>
      <c r="BL450" s="523">
        <f>INPUT!CK242</f>
        <v>89.527896995708161</v>
      </c>
      <c r="BM450" s="486">
        <f>INPUT!CL242</f>
        <v>0.54811625967630562</v>
      </c>
      <c r="BN450" s="523">
        <f>INPUT!CM242</f>
        <v>92.66615737203972</v>
      </c>
      <c r="BO450" s="486">
        <f>INPUT!CN242</f>
        <v>2.535925612848672</v>
      </c>
      <c r="BP450" s="523">
        <f>INPUT!CO242</f>
        <v>92.003105590062106</v>
      </c>
      <c r="BQ450" s="486">
        <f>INPUT!CP242</f>
        <v>-0.28565145585753271</v>
      </c>
      <c r="BR450" s="523">
        <f>INPUT!CQ242</f>
        <v>90.171606864274565</v>
      </c>
      <c r="BS450" s="486">
        <f>INPUT!CR242</f>
        <v>-1.2996942921569001</v>
      </c>
      <c r="BT450" s="523">
        <f>INPUT!CS242</f>
        <v>89.206868356500408</v>
      </c>
      <c r="BU450" s="486">
        <f>INPUT!CT242</f>
        <v>-0.35857944839600009</v>
      </c>
      <c r="BV450" s="523">
        <f>INPUT!CU242</f>
        <v>96.639344262295083</v>
      </c>
      <c r="BW450" s="486">
        <f>INPUT!CV242</f>
        <v>4.2876353168543062</v>
      </c>
      <c r="BX450" s="523">
        <f>INPUT!CW242</f>
        <v>90.253890253890262</v>
      </c>
      <c r="BY450" s="486">
        <f>INPUT!CX242</f>
        <v>-1.9012568379656756</v>
      </c>
      <c r="BZ450" s="523">
        <f>INPUT!CY242</f>
        <v>91.377921031426268</v>
      </c>
      <c r="CA450" s="486">
        <f>INPUT!CZ242</f>
        <v>1.3377982372737733</v>
      </c>
      <c r="CB450" s="523">
        <f>INPUT!DA242</f>
        <v>90.783034257748767</v>
      </c>
      <c r="CC450" s="486">
        <f>INPUT!DB242</f>
        <v>1.7668660836175292</v>
      </c>
      <c r="CD450" s="523">
        <f>INPUT!DC242</f>
        <v>92.58957654723126</v>
      </c>
      <c r="CE450" s="486">
        <f>INPUT!DD242</f>
        <v>-4.1905993319574719</v>
      </c>
      <c r="CF450" s="523">
        <f>INPUT!DE242</f>
        <v>91.072891072891068</v>
      </c>
      <c r="CG450" s="486">
        <f>INPUT!DF242</f>
        <v>0.9074410163339337</v>
      </c>
      <c r="CH450" s="523">
        <f>INPUT!DG242</f>
        <v>86.165670367207511</v>
      </c>
      <c r="CI450" s="486">
        <f>INPUT!DH242</f>
        <v>-5.7040591484087173</v>
      </c>
      <c r="CJ450" s="523">
        <f>INPUT!DI242</f>
        <v>87.185929648241199</v>
      </c>
      <c r="CK450" s="486">
        <f>INPUT!DJ242</f>
        <v>-3.9623093003201149</v>
      </c>
      <c r="CL450" s="523">
        <f>INPUT!DK242</f>
        <v>91.474850809889176</v>
      </c>
      <c r="CM450" s="486">
        <f>INPUT!DL242</f>
        <v>-1.2039430127142197</v>
      </c>
      <c r="CN450" s="523">
        <f>INPUT!DM242</f>
        <v>88.412017167381975</v>
      </c>
      <c r="CO450" s="486">
        <f>INPUT!DN242</f>
        <v>-2.9216969771821937</v>
      </c>
      <c r="CP450" s="523">
        <f>INPUT!DO242</f>
        <v>97.945205479452056</v>
      </c>
      <c r="CQ450" s="486">
        <f>INPUT!DP242</f>
        <v>13.670798430563295</v>
      </c>
      <c r="CR450" s="523">
        <f>INPUT!DQ242</f>
        <v>86.428571428571431</v>
      </c>
      <c r="CS450" s="486">
        <f>INPUT!DR242</f>
        <v>-0.86867023466446369</v>
      </c>
      <c r="CT450" s="523">
        <f>INPUT!DS242</f>
        <v>89.526411657559208</v>
      </c>
      <c r="CU450" s="486">
        <f>INPUT!DT242</f>
        <v>-2.1300271441594134</v>
      </c>
      <c r="CV450" s="523">
        <f>INPUT!DU242</f>
        <v>82.608695652173907</v>
      </c>
      <c r="CW450" s="486">
        <f>INPUT!DV242</f>
        <v>-6.5639510341916463</v>
      </c>
      <c r="CX450" s="523">
        <f>INPUT!DW242</f>
        <v>87.444345503116651</v>
      </c>
      <c r="CY450" s="486">
        <f>INPUT!DX242</f>
        <v>-10.721157738076698</v>
      </c>
      <c r="CZ450" s="523">
        <f>INPUT!DY242</f>
        <v>86.785714285714292</v>
      </c>
      <c r="DA450" s="486">
        <f>INPUT!DZ242</f>
        <v>0.41322314049587305</v>
      </c>
      <c r="DB450" s="523">
        <f>INPUT!EA242</f>
        <v>88.082901554404145</v>
      </c>
      <c r="DC450" s="486">
        <f>INPUT!EB242</f>
        <v>-1.6123846320083999</v>
      </c>
      <c r="DD450" s="523">
        <f>INPUT!EC242</f>
        <v>83.835845896147404</v>
      </c>
      <c r="DE450" s="486">
        <f>INPUT!ED242</f>
        <v>1.4854976637573856</v>
      </c>
      <c r="DF450" s="523">
        <f>INPUT!EE242</f>
        <v>87.065972222222214</v>
      </c>
      <c r="DG450" s="486">
        <f>INPUT!EF242</f>
        <v>-0.43270182733651552</v>
      </c>
      <c r="DH450" s="523">
        <f>INPUT!EG242</f>
        <v>87.958115183246079</v>
      </c>
      <c r="DI450" s="486">
        <f>INPUT!EH242</f>
        <v>1.3509146144399296</v>
      </c>
      <c r="DJ450" s="523">
        <f>INPUT!EI242</f>
        <v>89.046822742474916</v>
      </c>
      <c r="DK450" s="486">
        <f>INPUT!EJ242</f>
        <v>1.0943340546920979</v>
      </c>
      <c r="DL450" s="523">
        <f>INPUT!EK242</f>
        <v>80</v>
      </c>
      <c r="DM450" s="486">
        <f>INPUT!EL242</f>
        <v>-4.5754245754245773</v>
      </c>
      <c r="DN450" s="523">
        <f>INPUT!EM242</f>
        <v>85.485232067510552</v>
      </c>
      <c r="DO450" s="486">
        <f>INPUT!EN242</f>
        <v>-1.8155659603468024</v>
      </c>
      <c r="DP450" s="523">
        <f>INPUT!EO242</f>
        <v>88.615123194562457</v>
      </c>
      <c r="DQ450" s="486">
        <f>INPUT!EP242</f>
        <v>0.74695553667515924</v>
      </c>
      <c r="DR450" s="523">
        <f>INPUT!EQ242</f>
        <v>88</v>
      </c>
      <c r="DS450" s="486">
        <f>INPUT!ER242</f>
        <v>-1.1755868544600929</v>
      </c>
      <c r="DT450" s="523">
        <f>INPUT!ES242</f>
        <v>87.5</v>
      </c>
      <c r="DU450" s="486">
        <f>INPUT!ET242</f>
        <v>9.375</v>
      </c>
      <c r="DV450" s="523">
        <f>INPUT!EU242</f>
        <v>87</v>
      </c>
      <c r="DW450" s="486">
        <f>INPUT!EV242</f>
        <v>1.7719644619940738</v>
      </c>
      <c r="DX450" s="523">
        <f>INPUT!EW242</f>
        <v>86.5</v>
      </c>
      <c r="DY450" s="486">
        <f>INPUT!EX242</f>
        <v>-2.386864813039324</v>
      </c>
      <c r="DZ450" s="523"/>
      <c r="EA450" s="486"/>
      <c r="EB450" s="155">
        <f>INPUT!FI242</f>
        <v>4.3956948915817122</v>
      </c>
      <c r="EC450" s="523">
        <f>INPUT!FJ242</f>
        <v>90.918264379414737</v>
      </c>
      <c r="ED450" s="155">
        <f>INPUT!FK242</f>
        <v>-2.2902508115205507</v>
      </c>
      <c r="EE450" s="523">
        <f>INPUT!FL242</f>
        <v>91.166883963494129</v>
      </c>
      <c r="EF450" s="155">
        <f>INPUT!FM242</f>
        <v>0.27345394874880924</v>
      </c>
      <c r="EG450" s="523">
        <f>INPUT!FN242</f>
        <v>89.003645200486019</v>
      </c>
      <c r="EH450" s="155">
        <f>INPUT!FO242</f>
        <v>-2.3728339381154342</v>
      </c>
      <c r="EI450" s="523">
        <f>INPUT!FP242</f>
        <v>90.255546194889078</v>
      </c>
      <c r="EJ450" s="240">
        <f>INPUT!FQ242</f>
        <v>1.4065727213565964</v>
      </c>
      <c r="EK450" s="523">
        <f>INPUT!FR242</f>
        <v>90.525498317369923</v>
      </c>
      <c r="EL450" s="240">
        <f>INPUT!FS242</f>
        <v>0.29909754454084236</v>
      </c>
      <c r="EM450" s="523">
        <f>INPUT!FT242</f>
        <v>89.567367119901107</v>
      </c>
      <c r="EN450" s="240">
        <f>INPUT!FU242</f>
        <v>-1.0584102990626434</v>
      </c>
      <c r="EO450" s="523">
        <f>INPUT!FV242</f>
        <v>88.31322450910811</v>
      </c>
      <c r="EP450" s="240">
        <f>INPUT!FW242</f>
        <v>-1.4002227051221752</v>
      </c>
      <c r="EQ450" s="523">
        <f>INPUT!FX242</f>
        <v>88.55567805953693</v>
      </c>
      <c r="ER450" s="240">
        <f>INPUT!FY242</f>
        <v>0.27453821528600031</v>
      </c>
      <c r="ES450" s="523">
        <f>INPUT!FZ242</f>
        <v>90.885805763073634</v>
      </c>
      <c r="ET450" s="240">
        <f>INPUT!GA242</f>
        <v>2.6312572548652895</v>
      </c>
      <c r="EU450" s="523">
        <f>INPUT!GB242</f>
        <v>91.042728341826745</v>
      </c>
      <c r="EV450" s="240">
        <f>INPUT!GC242</f>
        <v>0.17265906093430772</v>
      </c>
      <c r="EW450" s="523">
        <f>INPUT!GD242</f>
        <v>92.257538712306442</v>
      </c>
      <c r="EX450" s="240">
        <f>INPUT!GE242</f>
        <v>1.3343299268433668</v>
      </c>
      <c r="EY450" s="523">
        <f>INPUT!GF242</f>
        <v>89.302035729123389</v>
      </c>
      <c r="EZ450" s="240">
        <f>INPUT!GG242</f>
        <v>-3.2035354773547766</v>
      </c>
      <c r="FA450" s="523">
        <f>INPUT!GH242</f>
        <v>91.115434500648504</v>
      </c>
      <c r="FB450" s="240">
        <f>INPUT!GI242</f>
        <v>2.0306354236152373</v>
      </c>
      <c r="FC450" s="523">
        <f>INPUT!GJ242</f>
        <v>86.571172784243515</v>
      </c>
      <c r="FD450" s="240">
        <f>INPUT!GK242</f>
        <v>-4.9873676631291772</v>
      </c>
      <c r="FE450" s="523">
        <f>INPUT!GL242</f>
        <v>86.709677419354833</v>
      </c>
      <c r="FF450" s="240">
        <f>INPUT!GM242</f>
        <v>0.15998932514926878</v>
      </c>
      <c r="FG450" s="523">
        <f>INPUT!GN242</f>
        <v>85.783487784330248</v>
      </c>
      <c r="FH450" s="240">
        <f>INPUT!GO242</f>
        <v>-1.0681502487262691</v>
      </c>
      <c r="FI450" s="523">
        <f>INPUT!GP242</f>
        <v>87.243781217667916</v>
      </c>
      <c r="FJ450" s="240">
        <f>INPUT!GQ242</f>
        <v>1.7023013065276871</v>
      </c>
      <c r="FK450" s="523">
        <f>INPUT!GR242</f>
        <v>87.243781217667916</v>
      </c>
      <c r="FL450" s="240">
        <f>INPUT!GS242</f>
        <v>0</v>
      </c>
      <c r="FM450" s="523">
        <f>INPUT!GT242</f>
        <v>87.193781217667919</v>
      </c>
      <c r="FN450" s="240">
        <f>INPUT!GU242</f>
        <v>-5.7310675101589936E-2</v>
      </c>
      <c r="FO450" s="523">
        <f>INPUT!GV242</f>
        <v>87.193781217667919</v>
      </c>
      <c r="FP450" s="240">
        <f>INPUT!GW242</f>
        <v>0</v>
      </c>
      <c r="FQ450" s="523">
        <f>INPUT!GX242</f>
        <v>87.193781217667919</v>
      </c>
      <c r="FR450" s="240">
        <f>INPUT!GY242</f>
        <v>0</v>
      </c>
      <c r="FS450" s="240">
        <f>INPUT!GZ242</f>
        <v>0.32666186386580698</v>
      </c>
    </row>
    <row r="451" spans="1:176" ht="12.75" hidden="1" customHeight="1" outlineLevel="1" x14ac:dyDescent="0.2">
      <c r="A451" s="246" t="str">
        <f>INPUT!B244</f>
        <v>Interest Credited/Net investment income (%)</v>
      </c>
      <c r="B451" s="523">
        <f>INPUT!AA244</f>
        <v>39.735099337748345</v>
      </c>
      <c r="C451" s="487">
        <f>INPUT!AB244</f>
        <v>7.3583517292135525E-2</v>
      </c>
      <c r="D451" s="523">
        <f>INPUT!AC244</f>
        <v>38</v>
      </c>
      <c r="E451" s="487">
        <f>INPUT!AD244</f>
        <v>-2</v>
      </c>
      <c r="F451" s="523">
        <f>INPUT!AE244</f>
        <v>36.231884057971016</v>
      </c>
      <c r="G451" s="487">
        <f>INPUT!AF244</f>
        <v>-11.231884057971016</v>
      </c>
      <c r="H451" s="523">
        <f>INPUT!AG244</f>
        <v>34.027777777777779</v>
      </c>
      <c r="I451" s="487">
        <f>INPUT!AH244</f>
        <v>-21.310763888888886</v>
      </c>
      <c r="J451" s="523">
        <f>INPUT!AI244</f>
        <v>38.518518518518519</v>
      </c>
      <c r="K451" s="487">
        <f>INPUT!AJ244</f>
        <v>-3.0617283950617207</v>
      </c>
      <c r="L451" s="523">
        <f>INPUT!AK244</f>
        <v>39.130434782608695</v>
      </c>
      <c r="M451" s="487">
        <f>INPUT!AL244</f>
        <v>2.9748283752860374</v>
      </c>
      <c r="N451" s="523">
        <f>INPUT!AM244</f>
        <v>37.06293706293706</v>
      </c>
      <c r="O451" s="487">
        <f>INPUT!AN244</f>
        <v>2.2937062937062933</v>
      </c>
      <c r="P451" s="523">
        <f>INPUT!AO244</f>
        <v>35.172413793103445</v>
      </c>
      <c r="Q451" s="487">
        <f>INPUT!AP244</f>
        <v>3.3638282899366487</v>
      </c>
      <c r="R451" s="523">
        <f>INPUT!AQ244</f>
        <v>33.774834437086092</v>
      </c>
      <c r="S451" s="487">
        <f>INPUT!AR244</f>
        <v>-12.315333672949563</v>
      </c>
      <c r="T451" s="523">
        <f>INPUT!AS244</f>
        <v>35.135135135135137</v>
      </c>
      <c r="U451" s="487">
        <f>INPUT!AT244</f>
        <v>-10.210210210210207</v>
      </c>
      <c r="V451" s="523">
        <f>INPUT!AU244</f>
        <v>34.013605442176868</v>
      </c>
      <c r="W451" s="487">
        <f>INPUT!AV244</f>
        <v>-8.2274419201642957</v>
      </c>
      <c r="X451" s="523">
        <f>INPUT!AW244</f>
        <v>32.653061224489797</v>
      </c>
      <c r="Y451" s="487">
        <f>INPUT!AX244</f>
        <v>-7.1628651460584223</v>
      </c>
      <c r="Z451" s="523">
        <f>INPUT!AY244</f>
        <v>33.108108108108105</v>
      </c>
      <c r="AA451" s="487">
        <f>INPUT!AZ244</f>
        <v>-1.9740328563858043</v>
      </c>
      <c r="AB451" s="523">
        <f>INPUT!BA244</f>
        <v>31.372549019607842</v>
      </c>
      <c r="AC451" s="487">
        <f>INPUT!BB244</f>
        <v>-10.708898944193066</v>
      </c>
      <c r="AD451" s="523">
        <f>INPUT!BC244</f>
        <v>33.121019108280251</v>
      </c>
      <c r="AE451" s="487">
        <f>INPUT!BD244</f>
        <v>-2.624203821656053</v>
      </c>
      <c r="AF451" s="523">
        <f>INPUT!BE244</f>
        <v>33.742331288343557</v>
      </c>
      <c r="AG451" s="487">
        <f>INPUT!BF244</f>
        <v>3.3358895705521263</v>
      </c>
      <c r="AH451" s="523">
        <f>INPUT!BG244</f>
        <v>35.975609756097562</v>
      </c>
      <c r="AI451" s="486">
        <f>INPUT!BH244</f>
        <v>8.6610253857640771</v>
      </c>
      <c r="AJ451" s="523">
        <f>INPUT!BI244</f>
        <v>34.939759036144579</v>
      </c>
      <c r="AK451" s="486">
        <f>INPUT!BJ244</f>
        <v>11.370481927710841</v>
      </c>
      <c r="AL451" s="523">
        <f>INPUT!BK244</f>
        <v>35.294117647058826</v>
      </c>
      <c r="AM451" s="486">
        <f>INPUT!BL244</f>
        <v>6.5610859728507052</v>
      </c>
      <c r="AN451" s="523">
        <f>INPUT!BM244</f>
        <v>36.84210526315789</v>
      </c>
      <c r="AO451" s="486">
        <f>INPUT!BN244</f>
        <v>9.1866028708133882</v>
      </c>
      <c r="AP451" s="523">
        <f>INPUT!BO244</f>
        <v>36.196319018404907</v>
      </c>
      <c r="AQ451" s="240">
        <f>INPUT!BP244</f>
        <v>0.61349693251533211</v>
      </c>
      <c r="AR451" s="523">
        <f>INPUT!BQ244</f>
        <v>34.782608695652172</v>
      </c>
      <c r="AS451" s="240">
        <f>INPUT!BR244</f>
        <v>-0.44977511244378832</v>
      </c>
      <c r="AT451" s="523">
        <f>INPUT!BS244</f>
        <v>37.037037037037038</v>
      </c>
      <c r="AU451" s="240">
        <f>INPUT!BT244</f>
        <v>4.9382716049382651</v>
      </c>
      <c r="AV451" s="523">
        <f>INPUT!BU244</f>
        <v>35.403726708074537</v>
      </c>
      <c r="AW451" s="486">
        <f>INPUT!BV244</f>
        <v>-3.9041703637976752</v>
      </c>
      <c r="AX451" s="523">
        <f>INPUT!BW244</f>
        <v>36.538461538461533</v>
      </c>
      <c r="AY451" s="486">
        <f>INPUT!BX244</f>
        <v>0.94524119947847396</v>
      </c>
      <c r="AZ451" s="523">
        <f>INPUT!BY244</f>
        <v>36</v>
      </c>
      <c r="BA451" s="486">
        <f>INPUT!BZ244</f>
        <v>3.5000000000000142</v>
      </c>
      <c r="BB451" s="523">
        <f>INPUT!CA244</f>
        <v>37.179487179487182</v>
      </c>
      <c r="BC451" s="486">
        <f>INPUT!CB244</f>
        <v>0.3846153846153868</v>
      </c>
      <c r="BD451" s="523">
        <f>INPUT!CC244</f>
        <v>37.267080745341616</v>
      </c>
      <c r="BE451" s="486">
        <f>INPUT!CD244</f>
        <v>5.2631578947368354</v>
      </c>
      <c r="BF451" s="523">
        <f>INPUT!CE244</f>
        <v>35.185185185185183</v>
      </c>
      <c r="BG451" s="486">
        <f>INPUT!CF244</f>
        <v>-3.7037037037036953</v>
      </c>
      <c r="BH451" s="523">
        <f>INPUT!CG244</f>
        <v>32.53012048192771</v>
      </c>
      <c r="BI451" s="486">
        <f>INPUT!CH244</f>
        <v>-9.6385542168674618</v>
      </c>
      <c r="BJ451" s="523">
        <f>INPUT!CI244</f>
        <v>33.727810650887577</v>
      </c>
      <c r="BK451" s="486">
        <f>INPUT!CJ244</f>
        <v>-9.2838196286472225</v>
      </c>
      <c r="BL451" s="523">
        <f>INPUT!CK244</f>
        <v>34.502923976608187</v>
      </c>
      <c r="BM451" s="486">
        <f>INPUT!CL244</f>
        <v>-7.4171539961013622</v>
      </c>
      <c r="BN451" s="523">
        <f>INPUT!CM244</f>
        <v>33.333333333333329</v>
      </c>
      <c r="BO451" s="486">
        <f>INPUT!CN244</f>
        <v>-5.2631578947368496</v>
      </c>
      <c r="BP451" s="523">
        <f>INPUT!CO244</f>
        <v>32.369942196531795</v>
      </c>
      <c r="BQ451" s="486">
        <f>INPUT!CP244</f>
        <v>-0.49239991436522246</v>
      </c>
      <c r="BR451" s="523">
        <f>INPUT!CQ244</f>
        <v>39.310344827586206</v>
      </c>
      <c r="BS451" s="486">
        <f>INPUT!CR244</f>
        <v>16.551724137931018</v>
      </c>
      <c r="BT451" s="523">
        <f>INPUT!CS244</f>
        <v>41.428571428571431</v>
      </c>
      <c r="BU451" s="486">
        <f>INPUT!CT244</f>
        <v>20.072639225181604</v>
      </c>
      <c r="BV451" s="523">
        <f>INPUT!CU244</f>
        <v>38.356164383561641</v>
      </c>
      <c r="BW451" s="486">
        <f>INPUT!CV244</f>
        <v>15.068493150684944</v>
      </c>
      <c r="BX451" s="523">
        <f>INPUT!CW244</f>
        <v>39.726027397260275</v>
      </c>
      <c r="BY451" s="486">
        <f>INPUT!CX244</f>
        <v>22.725048923679054</v>
      </c>
      <c r="BZ451" s="523">
        <f>INPUT!CY244</f>
        <v>37.837837837837839</v>
      </c>
      <c r="CA451" s="486">
        <f>INPUT!CZ244</f>
        <v>-3.7458511142721562</v>
      </c>
      <c r="CB451" s="523">
        <f>INPUT!DA244</f>
        <v>39.726027397260275</v>
      </c>
      <c r="CC451" s="486">
        <f>INPUT!DB244</f>
        <v>-4.1095890410959015</v>
      </c>
      <c r="CD451" s="523">
        <f>INPUT!DC244</f>
        <v>39.86013986013986</v>
      </c>
      <c r="CE451" s="486">
        <f>INPUT!DD244</f>
        <v>3.9210789210789301</v>
      </c>
      <c r="CF451" s="523">
        <f>INPUT!DE244</f>
        <v>37.333333333333336</v>
      </c>
      <c r="CG451" s="486">
        <f>INPUT!DF244</f>
        <v>-6.0229885057471222</v>
      </c>
      <c r="CH451" s="523">
        <f>INPUT!DG244</f>
        <v>40.972222222222221</v>
      </c>
      <c r="CI451" s="486">
        <f>INPUT!DH244</f>
        <v>8.2837301587301653</v>
      </c>
      <c r="CJ451" s="523">
        <f>INPUT!DI244</f>
        <v>40.54054054054054</v>
      </c>
      <c r="CK451" s="486">
        <f>INPUT!DJ244</f>
        <v>2.0503261882572303</v>
      </c>
      <c r="CL451" s="523">
        <f>INPUT!DK244</f>
        <v>38.364779874213838</v>
      </c>
      <c r="CM451" s="486">
        <f>INPUT!DL244</f>
        <v>-3.7515171576740585</v>
      </c>
      <c r="CN451" s="523">
        <f>INPUT!DM244</f>
        <v>41.379310344827587</v>
      </c>
      <c r="CO451" s="486">
        <f>INPUT!DN244</f>
        <v>10.83743842364531</v>
      </c>
      <c r="CP451" s="523">
        <f>INPUT!DO244</f>
        <v>40</v>
      </c>
      <c r="CQ451" s="486">
        <f>INPUT!DP244</f>
        <v>-2.3728813559321935</v>
      </c>
      <c r="CR451" s="523">
        <f>INPUT!DQ244</f>
        <v>42.207792207792203</v>
      </c>
      <c r="CS451" s="486">
        <f>INPUT!DR244</f>
        <v>4.1125541125540934</v>
      </c>
      <c r="CT451" s="523">
        <f>INPUT!DS244</f>
        <v>37.671232876712331</v>
      </c>
      <c r="CU451" s="486">
        <f>INPUT!DT244</f>
        <v>-1.8077700426678689</v>
      </c>
      <c r="CV451" s="523">
        <f>INPUT!DU244</f>
        <v>54.225352112676063</v>
      </c>
      <c r="CW451" s="486">
        <f>INPUT!DV244</f>
        <v>31.044600938967136</v>
      </c>
      <c r="CX451" s="523">
        <f>INPUT!DW244</f>
        <v>40.127388535031848</v>
      </c>
      <c r="CY451" s="486">
        <f>INPUT!DX244</f>
        <v>0.31847133757962354</v>
      </c>
      <c r="CZ451" s="523">
        <f>INPUT!DY244</f>
        <v>43.971631205673759</v>
      </c>
      <c r="DA451" s="486">
        <f>INPUT!DZ244</f>
        <v>4.1789416257501415</v>
      </c>
      <c r="DB451" s="523">
        <f>INPUT!EA244</f>
        <v>43.150684931506852</v>
      </c>
      <c r="DC451" s="486">
        <f>INPUT!EB244</f>
        <v>14.545454545454547</v>
      </c>
      <c r="DD451" s="523">
        <f>INPUT!EC244</f>
        <v>43.243243243243242</v>
      </c>
      <c r="DE451" s="486">
        <f>INPUT!ED244</f>
        <v>-20.252720252720266</v>
      </c>
      <c r="DF451" s="523">
        <f>INPUT!EE244</f>
        <v>42.307692307692307</v>
      </c>
      <c r="DG451" s="486">
        <f>INPUT!EF244</f>
        <v>5.4334554334554355</v>
      </c>
      <c r="DH451" s="523">
        <f>INPUT!EG244</f>
        <v>44.303797468354425</v>
      </c>
      <c r="DI451" s="486">
        <f>INPUT!EH244</f>
        <v>0.75541037158022561</v>
      </c>
      <c r="DJ451" s="523">
        <f>INPUT!EI244</f>
        <v>40.606060606060609</v>
      </c>
      <c r="DK451" s="486">
        <f>INPUT!EJ244</f>
        <v>-5.8970658970659002</v>
      </c>
      <c r="DL451" s="523">
        <f>INPUT!EK244</f>
        <v>43.790849673202615</v>
      </c>
      <c r="DM451" s="486">
        <f>INPUT!EL244</f>
        <v>1.2663398692810404</v>
      </c>
      <c r="DN451" s="523">
        <f>INPUT!EM244</f>
        <v>43.870967741935488</v>
      </c>
      <c r="DO451" s="486">
        <f>INPUT!EN244</f>
        <v>3.6950146627566198</v>
      </c>
      <c r="DP451" s="523">
        <f>INPUT!EO244</f>
        <v>43.902439024390247</v>
      </c>
      <c r="DQ451" s="486">
        <f>INPUT!EP244</f>
        <v>-0.9059233449477091</v>
      </c>
      <c r="DR451" s="523">
        <f>INPUT!EQ244</f>
        <v>43.8</v>
      </c>
      <c r="DS451" s="486">
        <f>INPUT!ER244</f>
        <v>7.8656716417910388</v>
      </c>
      <c r="DT451" s="523">
        <f>INPUT!ES244</f>
        <v>43.8</v>
      </c>
      <c r="DU451" s="486">
        <f>INPUT!ET244</f>
        <v>2.0895522388045151E-2</v>
      </c>
      <c r="DV451" s="523">
        <f>INPUT!EU244</f>
        <v>43.8</v>
      </c>
      <c r="DW451" s="486">
        <f>INPUT!EV244</f>
        <v>-0.16176470588237635</v>
      </c>
      <c r="DX451" s="523">
        <f>INPUT!EW244</f>
        <v>43.8</v>
      </c>
      <c r="DY451" s="486">
        <f>INPUT!EX244</f>
        <v>-0.23333333333334849</v>
      </c>
      <c r="DZ451" s="523"/>
      <c r="EA451" s="486"/>
      <c r="EB451" s="155">
        <f>INPUT!FI244</f>
        <v>-0.69469835466176733</v>
      </c>
      <c r="EC451" s="523">
        <f>INPUT!FJ244</f>
        <v>40.65743944636678</v>
      </c>
      <c r="ED451" s="155">
        <f>INPUT!FK244</f>
        <v>-0.71598492338112862</v>
      </c>
      <c r="EE451" s="523">
        <f>INPUT!FL244</f>
        <v>37.049742710120071</v>
      </c>
      <c r="EF451" s="155">
        <f>INPUT!FM244</f>
        <v>-8.8733987810663706</v>
      </c>
      <c r="EG451" s="523">
        <f>INPUT!FN244</f>
        <v>37.433155080213901</v>
      </c>
      <c r="EH451" s="155">
        <f>INPUT!FO244</f>
        <v>1.0348583877995594</v>
      </c>
      <c r="EI451" s="523">
        <f>INPUT!FP244</f>
        <v>33.895446880269816</v>
      </c>
      <c r="EJ451" s="240">
        <f>INPUT!FQ244</f>
        <v>-9.4507347627077678</v>
      </c>
      <c r="EK451" s="523">
        <f>INPUT!FR244</f>
        <v>32.850241545893724</v>
      </c>
      <c r="EL451" s="240">
        <f>INPUT!FS244</f>
        <v>-3.0836157377364373</v>
      </c>
      <c r="EM451" s="523">
        <f>INPUT!FT244</f>
        <v>35.767511177347245</v>
      </c>
      <c r="EN451" s="240">
        <f>INPUT!FU244</f>
        <v>8.8805119663364565</v>
      </c>
      <c r="EO451" s="523">
        <f>INPUT!FV244</f>
        <v>35.857805255023187</v>
      </c>
      <c r="EP451" s="240">
        <f>INPUT!FW244</f>
        <v>0.25244719216898659</v>
      </c>
      <c r="EQ451" s="523">
        <f>INPUT!FX244</f>
        <v>36.757624398073837</v>
      </c>
      <c r="ER451" s="240">
        <f>INPUT!FY244</f>
        <v>2.5094094204903854</v>
      </c>
      <c r="ES451" s="523">
        <f>INPUT!FZ244</f>
        <v>33.982035928143709</v>
      </c>
      <c r="ET451" s="240">
        <f>INPUT!GA244</f>
        <v>-7.5510550950500885</v>
      </c>
      <c r="EU451" s="523">
        <f>INPUT!GB244</f>
        <v>36.248012718600954</v>
      </c>
      <c r="EV451" s="240">
        <f>INPUT!GC244</f>
        <v>6.668160775442459</v>
      </c>
      <c r="EW451" s="523">
        <f>INPUT!GD244</f>
        <v>38.907849829351534</v>
      </c>
      <c r="EX451" s="240">
        <f>INPUT!GE244</f>
        <v>7.3378839590443619</v>
      </c>
      <c r="EY451" s="523">
        <f>INPUT!GF244</f>
        <v>39.658119658119659</v>
      </c>
      <c r="EZ451" s="240">
        <f>INPUT!GG244</f>
        <v>1.9283250862198287</v>
      </c>
      <c r="FA451" s="523">
        <f>INPUT!GH244</f>
        <v>40.456769983686783</v>
      </c>
      <c r="FB451" s="240">
        <f>INPUT!GI244</f>
        <v>2.0138381054171077</v>
      </c>
      <c r="FC451" s="523">
        <f>INPUT!GJ244</f>
        <v>43.856655290102388</v>
      </c>
      <c r="FD451" s="240">
        <f>INPUT!GK244</f>
        <v>8.4037487614224489</v>
      </c>
      <c r="FE451" s="523">
        <f>INPUT!GL244</f>
        <v>43.256578947368425</v>
      </c>
      <c r="FF451" s="240">
        <f>INPUT!GM244</f>
        <v>-1.3682674585295871</v>
      </c>
      <c r="FG451" s="523">
        <f>INPUT!GN244</f>
        <v>43.014128728414441</v>
      </c>
      <c r="FH451" s="240">
        <f>INPUT!GO244</f>
        <v>-0.56049328184039382</v>
      </c>
      <c r="FI451" s="523">
        <f>INPUT!GP244</f>
        <v>43.79999999999999</v>
      </c>
      <c r="FJ451" s="240">
        <f>INPUT!GQ244</f>
        <v>1.8270072992700506</v>
      </c>
      <c r="FK451" s="523">
        <f>INPUT!GR244</f>
        <v>43.79999999999999</v>
      </c>
      <c r="FL451" s="240">
        <f>INPUT!GS244</f>
        <v>0</v>
      </c>
      <c r="FM451" s="523">
        <f>INPUT!GT244</f>
        <v>43.79999999999999</v>
      </c>
      <c r="FN451" s="240">
        <f>INPUT!GU244</f>
        <v>0</v>
      </c>
      <c r="FO451" s="523">
        <f>INPUT!GV244</f>
        <v>43.79999999999999</v>
      </c>
      <c r="FP451" s="240">
        <f>INPUT!GW244</f>
        <v>0</v>
      </c>
      <c r="FQ451" s="523">
        <f>INPUT!GX244</f>
        <v>43.79999999999999</v>
      </c>
      <c r="FR451" s="240">
        <f>INPUT!GY244</f>
        <v>0</v>
      </c>
      <c r="FS451" s="240">
        <f>INPUT!GZ244</f>
        <v>0.36275999872366071</v>
      </c>
    </row>
    <row r="452" spans="1:176" ht="12.75" hidden="1" customHeight="1" outlineLevel="1" x14ac:dyDescent="0.2">
      <c r="A452" s="246" t="str">
        <f>INPUT!B245</f>
        <v>Operating Expenses/Total Revenues (%)</v>
      </c>
      <c r="B452" s="523">
        <f>INPUT!AA245</f>
        <v>13.943808532778357</v>
      </c>
      <c r="C452" s="487">
        <f>INPUT!AB245</f>
        <v>-4.53854158328663</v>
      </c>
      <c r="D452" s="523">
        <f>INPUT!AC245</f>
        <v>14.615384615384617</v>
      </c>
      <c r="E452" s="487">
        <f>INPUT!AD245</f>
        <v>1.85450208706024</v>
      </c>
      <c r="F452" s="523">
        <f>INPUT!AE245</f>
        <v>15.192743764172336</v>
      </c>
      <c r="G452" s="487">
        <f>INPUT!AF245</f>
        <v>8.0645161290322562</v>
      </c>
      <c r="H452" s="523">
        <f>INPUT!AG245</f>
        <v>14.545454545454545</v>
      </c>
      <c r="I452" s="487">
        <f>INPUT!AH245</f>
        <v>-4.6697187704382088</v>
      </c>
      <c r="J452" s="523">
        <f>INPUT!AI245</f>
        <v>14.212152420185376</v>
      </c>
      <c r="K452" s="487">
        <f>INPUT!AJ245</f>
        <v>1.9244662372995833</v>
      </c>
      <c r="L452" s="523">
        <f>INPUT!AK245</f>
        <v>15.005246589716684</v>
      </c>
      <c r="M452" s="487">
        <f>INPUT!AL245</f>
        <v>2.6674766664825711</v>
      </c>
      <c r="N452" s="523">
        <f>INPUT!AM245</f>
        <v>14.488348530901723</v>
      </c>
      <c r="O452" s="487">
        <f>INPUT!AN245</f>
        <v>-4.6363925055573247</v>
      </c>
      <c r="P452" s="523">
        <f>INPUT!AO245</f>
        <v>17.227319062181447</v>
      </c>
      <c r="Q452" s="487">
        <f>INPUT!AP245</f>
        <v>18.437818552497447</v>
      </c>
      <c r="R452" s="523">
        <f>INPUT!AQ245</f>
        <v>13.117870722433461</v>
      </c>
      <c r="S452" s="487">
        <f>INPUT!AR245</f>
        <v>-7.6996197718631265</v>
      </c>
      <c r="T452" s="523">
        <f>INPUT!AS245</f>
        <v>16.69811320754717</v>
      </c>
      <c r="U452" s="487">
        <f>INPUT!AT245</f>
        <v>11.281831376170999</v>
      </c>
      <c r="V452" s="523">
        <f>INPUT!AU245</f>
        <v>14.354527938342967</v>
      </c>
      <c r="W452" s="487">
        <f>INPUT!AV245</f>
        <v>-0.92364283115729506</v>
      </c>
      <c r="X452" s="523">
        <f>INPUT!AW245</f>
        <v>13.428571428571429</v>
      </c>
      <c r="Y452" s="487">
        <f>INPUT!AX245</f>
        <v>-22.050718512256978</v>
      </c>
      <c r="Z452" s="523">
        <f>INPUT!AY245</f>
        <v>18.665464382326423</v>
      </c>
      <c r="AA452" s="487">
        <f>INPUT!AZ245</f>
        <v>42.290351668169535</v>
      </c>
      <c r="AB452" s="523">
        <f>INPUT!BA245</f>
        <v>14.14503133393017</v>
      </c>
      <c r="AC452" s="487">
        <f>INPUT!BB245</f>
        <v>-15.289642858949264</v>
      </c>
      <c r="AD452" s="523">
        <f>INPUT!BC245</f>
        <v>14.1991341991342</v>
      </c>
      <c r="AE452" s="487">
        <f>INPUT!BD245</f>
        <v>-1.0825416194543749</v>
      </c>
      <c r="AF452" s="523">
        <f>INPUT!BE245</f>
        <v>17.291311754684838</v>
      </c>
      <c r="AG452" s="487">
        <f>INPUT!BF245</f>
        <v>28.765087534887101</v>
      </c>
      <c r="AH452" s="523">
        <f>INPUT!BG245</f>
        <v>14.107883817427386</v>
      </c>
      <c r="AI452" s="486">
        <f>INPUT!BH245</f>
        <v>-24.417182833203057</v>
      </c>
      <c r="AJ452" s="523">
        <f>INPUT!BI245</f>
        <v>13.625103220478943</v>
      </c>
      <c r="AK452" s="486">
        <f>INPUT!BJ245</f>
        <v>-3.6756943210444319</v>
      </c>
      <c r="AL452" s="523">
        <f>INPUT!BK245</f>
        <v>14.879467996674981</v>
      </c>
      <c r="AM452" s="486">
        <f>INPUT!BL245</f>
        <v>4.7913752204853779</v>
      </c>
      <c r="AN452" s="523">
        <f>INPUT!BM245</f>
        <v>13.983050847457626</v>
      </c>
      <c r="AO452" s="486">
        <f>INPUT!BN245</f>
        <v>-19.132503965934717</v>
      </c>
      <c r="AP452" s="523">
        <f>INPUT!BO245</f>
        <v>13.365155131264917</v>
      </c>
      <c r="AQ452" s="240">
        <f>INPUT!BP245</f>
        <v>-5.2646356872104434</v>
      </c>
      <c r="AR452" s="523">
        <f>INPUT!BQ245</f>
        <v>13.711001642036125</v>
      </c>
      <c r="AS452" s="240">
        <f>INPUT!BR245</f>
        <v>0.63044235458029618</v>
      </c>
      <c r="AT452" s="523">
        <f>INPUT!BS245</f>
        <v>13.961038961038961</v>
      </c>
      <c r="AU452" s="240">
        <f>INPUT!BT245</f>
        <v>-6.1724588260901214</v>
      </c>
      <c r="AV452" s="523">
        <f>INPUT!BU245</f>
        <v>13.806863527533919</v>
      </c>
      <c r="AW452" s="486">
        <f>INPUT!BV245</f>
        <v>-1.2600062879392482</v>
      </c>
      <c r="AX452" s="523">
        <f>INPUT!BW245</f>
        <v>13.578394598649663</v>
      </c>
      <c r="AY452" s="486">
        <f>INPUT!BX245</f>
        <v>1.5954881577537208</v>
      </c>
      <c r="AZ452" s="523">
        <f>INPUT!BY245</f>
        <v>13.43054489639294</v>
      </c>
      <c r="BA452" s="486">
        <f>INPUT!BZ245</f>
        <v>-2.04548692331376</v>
      </c>
      <c r="BB452" s="523">
        <f>INPUT!CA245</f>
        <v>14.159292035398231</v>
      </c>
      <c r="BC452" s="486">
        <f>INPUT!CB245</f>
        <v>1.4200452768059222</v>
      </c>
      <c r="BD452" s="523">
        <f>INPUT!CC245</f>
        <v>14.30781129156999</v>
      </c>
      <c r="BE452" s="486">
        <f>INPUT!CD245</f>
        <v>3.6282517244924861</v>
      </c>
      <c r="BF452" s="523">
        <f>INPUT!CE245</f>
        <v>14.721586575133486</v>
      </c>
      <c r="BG452" s="486">
        <f>INPUT!CF245</f>
        <v>8.4191983682482743</v>
      </c>
      <c r="BH452" s="523">
        <f>INPUT!CG245</f>
        <v>15.045592705167174</v>
      </c>
      <c r="BI452" s="486">
        <f>INPUT!CH245</f>
        <v>12.025184541901865</v>
      </c>
      <c r="BJ452" s="523">
        <f>INPUT!CI245</f>
        <v>13.096862210095498</v>
      </c>
      <c r="BK452" s="486">
        <f>INPUT!CJ245</f>
        <v>-7.5034106412005457</v>
      </c>
      <c r="BL452" s="523">
        <f>INPUT!CK245</f>
        <v>14.358974358974358</v>
      </c>
      <c r="BM452" s="486">
        <f>INPUT!CL245</f>
        <v>0.35758835758836938</v>
      </c>
      <c r="BN452" s="523">
        <f>INPUT!CM245</f>
        <v>13.479415670650729</v>
      </c>
      <c r="BO452" s="486">
        <f>INPUT!CN245</f>
        <v>-8.4377515843362403</v>
      </c>
      <c r="BP452" s="523">
        <f>INPUT!CO245</f>
        <v>13.79542395693136</v>
      </c>
      <c r="BQ452" s="486">
        <f>INPUT!CP245</f>
        <v>-8.3092023872642926</v>
      </c>
      <c r="BR452" s="523">
        <f>INPUT!CQ245</f>
        <v>12.923289564616447</v>
      </c>
      <c r="BS452" s="486">
        <f>INPUT!CR245</f>
        <v>-1.3252994701681757</v>
      </c>
      <c r="BT452" s="523">
        <f>INPUT!CS245</f>
        <v>13.800578034682081</v>
      </c>
      <c r="BU452" s="486">
        <f>INPUT!CT245</f>
        <v>-3.8888315441783448</v>
      </c>
      <c r="BV452" s="523">
        <f>INPUT!CU245</f>
        <v>14.018691588785046</v>
      </c>
      <c r="BW452" s="486">
        <f>INPUT!CV245</f>
        <v>4.000736614336347</v>
      </c>
      <c r="BX452" s="523">
        <f>INPUT!CW245</f>
        <v>14.080459770114942</v>
      </c>
      <c r="BY452" s="486">
        <f>INPUT!CX245</f>
        <v>2.0661620409307488</v>
      </c>
      <c r="BZ452" s="523">
        <f>INPUT!CY245</f>
        <v>13.450704225352112</v>
      </c>
      <c r="CA452" s="486">
        <f>INPUT!CZ245</f>
        <v>4.0811177223770443</v>
      </c>
      <c r="CB452" s="523">
        <f>INPUT!DA245</f>
        <v>20.743919885550788</v>
      </c>
      <c r="CC452" s="486">
        <f>INPUT!DB245</f>
        <v>50.311963987446546</v>
      </c>
      <c r="CD452" s="523">
        <f>INPUT!DC245</f>
        <v>13.908701854493581</v>
      </c>
      <c r="CE452" s="486">
        <f>INPUT!DD245</f>
        <v>-0.78459343794578729</v>
      </c>
      <c r="CF452" s="523">
        <f>INPUT!DE245</f>
        <v>14.367405289492494</v>
      </c>
      <c r="CG452" s="486">
        <f>INPUT!DF245</f>
        <v>2.0378987906813961</v>
      </c>
      <c r="CH452" s="523">
        <f>INPUT!DG245</f>
        <v>15.499254843517138</v>
      </c>
      <c r="CI452" s="486">
        <f>INPUT!DH245</f>
        <v>15.230062187404897</v>
      </c>
      <c r="CJ452" s="523">
        <f>INPUT!DI245</f>
        <v>16</v>
      </c>
      <c r="CK452" s="486">
        <f>INPUT!DJ245</f>
        <v>-22.868965517241378</v>
      </c>
      <c r="CL452" s="523">
        <f>INPUT!DK245</f>
        <v>15.932452276064609</v>
      </c>
      <c r="CM452" s="486">
        <f>INPUT!DL245</f>
        <v>14.550246620731187</v>
      </c>
      <c r="CN452" s="523">
        <f>INPUT!DM245</f>
        <v>15.052160953800298</v>
      </c>
      <c r="CO452" s="486">
        <f>INPUT!DN245</f>
        <v>4.7660356933662626</v>
      </c>
      <c r="CP452" s="523">
        <f>INPUT!DO245</f>
        <v>15.6412157153447</v>
      </c>
      <c r="CQ452" s="486">
        <f>INPUT!DP245</f>
        <v>0.91592062496437165</v>
      </c>
      <c r="CR452" s="523">
        <f>INPUT!DQ245</f>
        <v>17.331288343558281</v>
      </c>
      <c r="CS452" s="486">
        <f>INPUT!DR245</f>
        <v>8.3205521472392547</v>
      </c>
      <c r="CT452" s="523">
        <f>INPUT!DS245</f>
        <v>16.05324980422866</v>
      </c>
      <c r="CU452" s="486">
        <f>INPUT!DT245</f>
        <v>0.75818540718634608</v>
      </c>
      <c r="CV452" s="523">
        <f>INPUT!DU245</f>
        <v>16.498838109992253</v>
      </c>
      <c r="CW452" s="486">
        <f>INPUT!DV245</f>
        <v>9.6110927901465573</v>
      </c>
      <c r="CX452" s="523">
        <f>INPUT!DW245</f>
        <v>15.610510046367851</v>
      </c>
      <c r="CY452" s="486">
        <f>INPUT!DX245</f>
        <v>-0.19631254715530133</v>
      </c>
      <c r="CZ452" s="523">
        <f>INPUT!DY245</f>
        <v>17.017954722872755</v>
      </c>
      <c r="DA452" s="486">
        <f>INPUT!DZ245</f>
        <v>-1.8079072627164976</v>
      </c>
      <c r="DB452" s="523">
        <f>INPUT!EA245</f>
        <v>15.833333333333332</v>
      </c>
      <c r="DC452" s="486">
        <f>INPUT!EB245</f>
        <v>-1.3699186991869965</v>
      </c>
      <c r="DD452" s="523">
        <f>INPUT!EC245</f>
        <v>15.175953079178885</v>
      </c>
      <c r="DE452" s="486">
        <f>INPUT!ED245</f>
        <v>-8.0180496468547346</v>
      </c>
      <c r="DF452" s="523">
        <f>INPUT!EE245</f>
        <v>15.003750937734434</v>
      </c>
      <c r="DG452" s="486">
        <f>INPUT!EF245</f>
        <v>-3.8868628048101073</v>
      </c>
      <c r="DH452" s="523">
        <f>INPUT!EG245</f>
        <v>15.158371040723981</v>
      </c>
      <c r="DI452" s="486">
        <f>INPUT!EH245</f>
        <v>-10.927186682718244</v>
      </c>
      <c r="DJ452" s="523">
        <f>INPUT!EI245</f>
        <v>15.54591467823572</v>
      </c>
      <c r="DK452" s="486">
        <f>INPUT!EJ245</f>
        <v>-1.8152757164059778</v>
      </c>
      <c r="DL452" s="523">
        <f>INPUT!EK245</f>
        <v>14.904552129221733</v>
      </c>
      <c r="DM452" s="486">
        <f>INPUT!EL245</f>
        <v>-1.7883618151766001</v>
      </c>
      <c r="DN452" s="523">
        <f>INPUT!EM245</f>
        <v>15.407190022010273</v>
      </c>
      <c r="DO452" s="486">
        <f>INPUT!EN245</f>
        <v>2.6889214966984554</v>
      </c>
      <c r="DP452" s="523">
        <f>INPUT!EO245</f>
        <v>16.434336023477623</v>
      </c>
      <c r="DQ452" s="486">
        <f>INPUT!EP245</f>
        <v>8.4175600354792408</v>
      </c>
      <c r="DR452" s="523">
        <f>INPUT!EQ245</f>
        <v>15.3</v>
      </c>
      <c r="DS452" s="486">
        <f>INPUT!ER245</f>
        <v>-1.5818604651162786</v>
      </c>
      <c r="DT452" s="523">
        <f>INPUT!ES245</f>
        <v>15.3</v>
      </c>
      <c r="DU452" s="486">
        <f>INPUT!ET245</f>
        <v>2.6532019704433623</v>
      </c>
      <c r="DV452" s="523">
        <f>INPUT!EU245</f>
        <v>15.3</v>
      </c>
      <c r="DW452" s="486">
        <f>INPUT!EV245</f>
        <v>-0.69571428571428839</v>
      </c>
      <c r="DX452" s="523">
        <f>INPUT!EW245</f>
        <v>16.399999999999999</v>
      </c>
      <c r="DY452" s="486">
        <f>INPUT!EX245</f>
        <v>-0.20892857142857224</v>
      </c>
      <c r="DZ452" s="523"/>
      <c r="EA452" s="486"/>
      <c r="EB452" s="155">
        <f>INPUT!FI245</f>
        <v>0.47108900473482151</v>
      </c>
      <c r="EC452" s="523">
        <f>INPUT!FJ245</f>
        <v>14.572864321608039</v>
      </c>
      <c r="ED452" s="155">
        <f>INPUT!FK245</f>
        <v>-1.3902847571189483</v>
      </c>
      <c r="EE452" s="523">
        <f>INPUT!FL245</f>
        <v>14.560737527114966</v>
      </c>
      <c r="EF452" s="155">
        <f>INPUT!FM245</f>
        <v>-8.3214900142110082E-2</v>
      </c>
      <c r="EG452" s="523">
        <f>INPUT!FN245</f>
        <v>15.236382322713258</v>
      </c>
      <c r="EH452" s="155">
        <f>INPUT!FO245</f>
        <v>4.6401825068277418</v>
      </c>
      <c r="EI452" s="523">
        <f>INPUT!FP245</f>
        <v>14.404761904761903</v>
      </c>
      <c r="EJ452" s="240">
        <f>INPUT!FQ245</f>
        <v>-5.4581225407532372</v>
      </c>
      <c r="EK452" s="523">
        <f>INPUT!FR245</f>
        <v>16.070252469813394</v>
      </c>
      <c r="EL452" s="240">
        <f>INPUT!FS245</f>
        <v>11.562083261514488</v>
      </c>
      <c r="EM452" s="523">
        <f>INPUT!FT245</f>
        <v>14.148780996040841</v>
      </c>
      <c r="EN452" s="240">
        <f>INPUT!FU245</f>
        <v>-11.956697490483563</v>
      </c>
      <c r="EO452" s="523">
        <f>INPUT!FV245</f>
        <v>13.709677419354838</v>
      </c>
      <c r="EP452" s="240">
        <f>INPUT!FW245</f>
        <v>-3.1034728490664634</v>
      </c>
      <c r="EQ452" s="523">
        <f>INPUT!FX245</f>
        <v>13.869441816461684</v>
      </c>
      <c r="ER452" s="240">
        <f>INPUT!FY245</f>
        <v>1.1653403083087426</v>
      </c>
      <c r="ES452" s="523">
        <f>INPUT!FZ245</f>
        <v>14.272627336020522</v>
      </c>
      <c r="ET452" s="240">
        <f>INPUT!GA245</f>
        <v>2.9070060994112623</v>
      </c>
      <c r="EU452" s="523">
        <f>INPUT!GB245</f>
        <v>13.49819680577022</v>
      </c>
      <c r="EV452" s="240">
        <f>INPUT!GC245</f>
        <v>-5.4259843826779672</v>
      </c>
      <c r="EW452" s="523">
        <f>INPUT!GD245</f>
        <v>15.568648455632921</v>
      </c>
      <c r="EX452" s="240">
        <f>INPUT!GE245</f>
        <v>15.338727680853069</v>
      </c>
      <c r="EY452" s="523">
        <f>INPUT!GF245</f>
        <v>14.932946719826024</v>
      </c>
      <c r="EZ452" s="240">
        <f>INPUT!GG245</f>
        <v>-4.0832172273560019</v>
      </c>
      <c r="FA452" s="523">
        <f>INPUT!GH245</f>
        <v>15.979092775807354</v>
      </c>
      <c r="FB452" s="240">
        <f>INPUT!GI245</f>
        <v>7.0056237098361578</v>
      </c>
      <c r="FC452" s="523">
        <f>INPUT!GJ245</f>
        <v>16.293991833560177</v>
      </c>
      <c r="FD452" s="240">
        <f>INPUT!GK245</f>
        <v>1.970694220072275</v>
      </c>
      <c r="FE452" s="523">
        <f>INPUT!GL245</f>
        <v>15.291034999064196</v>
      </c>
      <c r="FF452" s="240">
        <f>INPUT!GM245</f>
        <v>-6.1553782813995639</v>
      </c>
      <c r="FG452" s="523">
        <f>INPUT!GN245</f>
        <v>15.573021385487115</v>
      </c>
      <c r="FH452" s="240">
        <f>INPUT!GO245</f>
        <v>1.8441288404622327</v>
      </c>
      <c r="FI452" s="523">
        <f>INPUT!GP245</f>
        <v>15.579118023072102</v>
      </c>
      <c r="FJ452" s="240">
        <f>INPUT!GQ245</f>
        <v>3.9148713881999697E-2</v>
      </c>
      <c r="FK452" s="523">
        <f>INPUT!GR245</f>
        <v>15.579118023072102</v>
      </c>
      <c r="FL452" s="240">
        <f>INPUT!GS245</f>
        <v>0</v>
      </c>
      <c r="FM452" s="523">
        <f>INPUT!GT245</f>
        <v>15.579118023072102</v>
      </c>
      <c r="FN452" s="240">
        <f>INPUT!GU245</f>
        <v>0</v>
      </c>
      <c r="FO452" s="523">
        <f>INPUT!GV245</f>
        <v>15.579118023072102</v>
      </c>
      <c r="FP452" s="240">
        <f>INPUT!GW245</f>
        <v>0</v>
      </c>
      <c r="FQ452" s="523">
        <f>INPUT!GX245</f>
        <v>15.579118023072102</v>
      </c>
      <c r="FR452" s="240">
        <f>INPUT!GY245</f>
        <v>0</v>
      </c>
      <c r="FS452" s="240">
        <f>INPUT!GZ245</f>
        <v>7.8285169668790289E-3</v>
      </c>
    </row>
    <row r="453" spans="1:176" ht="12.75" hidden="1" customHeight="1" outlineLevel="1" x14ac:dyDescent="0.2">
      <c r="A453" s="246" t="str">
        <f>INPUT!B246</f>
        <v>Net DAC/Operating Expenses (%)</v>
      </c>
      <c r="B453" s="523">
        <f>INPUT!AA246</f>
        <v>5.2238805970149249</v>
      </c>
      <c r="C453" s="487">
        <f>INPUT!AB246</f>
        <v>35.820895522388042</v>
      </c>
      <c r="D453" s="523">
        <f>INPUT!AC246</f>
        <v>7.518796992481203</v>
      </c>
      <c r="E453" s="487">
        <f>INPUT!AD246</f>
        <v>21.240601503759393</v>
      </c>
      <c r="F453" s="523">
        <f>INPUT!AE246</f>
        <v>5.2238805970149249</v>
      </c>
      <c r="G453" s="487">
        <f>INPUT!AF246</f>
        <v>7.9601990049751095</v>
      </c>
      <c r="H453" s="523">
        <f>INPUT!AG246</f>
        <v>5.1470588235294112</v>
      </c>
      <c r="I453" s="487">
        <f>INPUT!AH246</f>
        <v>-40.379901960784316</v>
      </c>
      <c r="J453" s="523">
        <f>INPUT!AI246</f>
        <v>4.3478260869565215</v>
      </c>
      <c r="K453" s="487">
        <f>INPUT!AJ246</f>
        <v>-16.770186335403722</v>
      </c>
      <c r="L453" s="523">
        <f>INPUT!AK246</f>
        <v>4.895104895104895</v>
      </c>
      <c r="M453" s="487">
        <f>INPUT!AL246</f>
        <v>-34.895104895104907</v>
      </c>
      <c r="N453" s="523">
        <f>INPUT!AM246</f>
        <v>3.4965034965034967</v>
      </c>
      <c r="O453" s="487">
        <f>INPUT!AN246</f>
        <v>-33.066933066933061</v>
      </c>
      <c r="P453" s="523">
        <f>INPUT!AO246</f>
        <v>2.9585798816568047</v>
      </c>
      <c r="Q453" s="487">
        <f>INPUT!AP246</f>
        <v>-42.519019442096365</v>
      </c>
      <c r="R453" s="523">
        <f>INPUT!AQ246</f>
        <v>5.0724637681159424</v>
      </c>
      <c r="S453" s="487">
        <f>INPUT!AR246</f>
        <v>16.666666666666671</v>
      </c>
      <c r="T453" s="523">
        <f>INPUT!AS246</f>
        <v>20.903954802259886</v>
      </c>
      <c r="U453" s="487" t="str">
        <f>INPUT!AT246</f>
        <v>NM</v>
      </c>
      <c r="V453" s="523">
        <f>INPUT!AU246</f>
        <v>9.3959731543624159</v>
      </c>
      <c r="W453" s="487" t="str">
        <f>INPUT!AV246</f>
        <v>NM</v>
      </c>
      <c r="X453" s="523">
        <f>INPUT!AW246</f>
        <v>0.70921985815602839</v>
      </c>
      <c r="Y453" s="487" t="str">
        <f>INPUT!AX246</f>
        <v>NM</v>
      </c>
      <c r="Z453" s="523">
        <f>INPUT!AY246</f>
        <v>27.536231884057973</v>
      </c>
      <c r="AA453" s="487" t="str">
        <f>INPUT!AZ246</f>
        <v>NM</v>
      </c>
      <c r="AB453" s="523">
        <f>INPUT!BA246</f>
        <v>7.59493670886076</v>
      </c>
      <c r="AC453" s="487" t="str">
        <f>INPUT!BB246</f>
        <v>NM</v>
      </c>
      <c r="AD453" s="523">
        <f>INPUT!BC246</f>
        <v>7.3170731707317067</v>
      </c>
      <c r="AE453" s="487">
        <f>INPUT!BD246</f>
        <v>-22.125435540069688</v>
      </c>
      <c r="AF453" s="523">
        <f>INPUT!BE246</f>
        <v>16.256157635467979</v>
      </c>
      <c r="AG453" s="487" t="str">
        <f>INPUT!BF246</f>
        <v>NM</v>
      </c>
      <c r="AH453" s="523">
        <f>INPUT!BG246</f>
        <v>7.0588235294117645</v>
      </c>
      <c r="AI453" s="486" t="str">
        <f>INPUT!BH246</f>
        <v>NM</v>
      </c>
      <c r="AJ453" s="523">
        <f>INPUT!BI246</f>
        <v>1.8181818181818181</v>
      </c>
      <c r="AK453" s="486" t="str">
        <f>INPUT!BJ246</f>
        <v>NM</v>
      </c>
      <c r="AL453" s="523">
        <f>INPUT!BK246</f>
        <v>7.8212290502793298</v>
      </c>
      <c r="AM453" s="486">
        <f>INPUT!BL246</f>
        <v>6.8901303538175114</v>
      </c>
      <c r="AN453" s="523">
        <f>INPUT!BM246</f>
        <v>4.8484848484848486</v>
      </c>
      <c r="AO453" s="486" t="str">
        <f>INPUT!BN246</f>
        <v>NM</v>
      </c>
      <c r="AP453" s="523">
        <f>INPUT!BO246</f>
        <v>2.9761904761904758</v>
      </c>
      <c r="AQ453" s="240" t="str">
        <f>INPUT!BP246</f>
        <v>NM</v>
      </c>
      <c r="AR453" s="523">
        <f>INPUT!BQ246</f>
        <v>2.9940119760479043</v>
      </c>
      <c r="AS453" s="240">
        <f>INPUT!BR246</f>
        <v>64.670658682634723</v>
      </c>
      <c r="AT453" s="523">
        <f>INPUT!BS246</f>
        <v>4.0697674418604652</v>
      </c>
      <c r="AU453" s="240">
        <f>INPUT!BT246</f>
        <v>-47.965116279069761</v>
      </c>
      <c r="AV453" s="523">
        <f>INPUT!BU246</f>
        <v>5.202312138728324</v>
      </c>
      <c r="AW453" s="486">
        <f>INPUT!BV246</f>
        <v>7.2976878612716689</v>
      </c>
      <c r="AX453" s="523">
        <f>INPUT!BW246</f>
        <v>1.1049723756906076</v>
      </c>
      <c r="AY453" s="486" t="str">
        <f>INPUT!BX246</f>
        <v>NM</v>
      </c>
      <c r="AZ453" s="523">
        <f>INPUT!BY246</f>
        <v>1.7142857142857144</v>
      </c>
      <c r="BA453" s="486">
        <f>INPUT!BZ246</f>
        <v>-42.74285714285714</v>
      </c>
      <c r="BB453" s="523">
        <f>INPUT!CA246</f>
        <v>7.8125</v>
      </c>
      <c r="BC453" s="486">
        <f>INPUT!CB246</f>
        <v>91.964285714285694</v>
      </c>
      <c r="BD453" s="523">
        <f>INPUT!CC246</f>
        <v>2.1621621621621623</v>
      </c>
      <c r="BE453" s="486" t="str">
        <f>INPUT!CD246</f>
        <v>NM</v>
      </c>
      <c r="BF453" s="523">
        <f>INPUT!CE246</f>
        <v>2.5906735751295336</v>
      </c>
      <c r="BG453" s="486" t="str">
        <f>INPUT!CF246</f>
        <v>NM</v>
      </c>
      <c r="BH453" s="523">
        <f>INPUT!CG246</f>
        <v>3.0303030303030303</v>
      </c>
      <c r="BI453" s="486">
        <f>INPUT!CH246</f>
        <v>76.767676767676761</v>
      </c>
      <c r="BJ453" s="523">
        <f>INPUT!CI246</f>
        <v>3.125</v>
      </c>
      <c r="BK453" s="486" t="str">
        <f>INPUT!CJ246</f>
        <v>NM</v>
      </c>
      <c r="BL453" s="523">
        <f>INPUT!CK246</f>
        <v>0.51020408163265307</v>
      </c>
      <c r="BM453" s="486" t="str">
        <f>INPUT!CL246</f>
        <v>NM</v>
      </c>
      <c r="BN453" s="523">
        <f>INPUT!CM246</f>
        <v>2.9556650246305418</v>
      </c>
      <c r="BO453" s="486">
        <f>INPUT!CN246</f>
        <v>14.088669950738918</v>
      </c>
      <c r="BP453" s="523">
        <f>INPUT!CO246</f>
        <v>4.3902439024390238</v>
      </c>
      <c r="BQ453" s="486">
        <f>INPUT!CP246</f>
        <v>44.878048780487774</v>
      </c>
      <c r="BR453" s="523">
        <f>INPUT!CQ246</f>
        <v>-1.0695187165775399</v>
      </c>
      <c r="BS453" s="486" t="str">
        <f>INPUT!CR246</f>
        <v>NM</v>
      </c>
      <c r="BT453" s="523">
        <f>INPUT!CS246</f>
        <v>-1.0471204188481675</v>
      </c>
      <c r="BU453" s="486" t="str">
        <f>INPUT!CT246</f>
        <v>NM</v>
      </c>
      <c r="BV453" s="523">
        <f>INPUT!CU246</f>
        <v>-0.51282051282051277</v>
      </c>
      <c r="BW453" s="486" t="str">
        <f>INPUT!CV246</f>
        <v>NM</v>
      </c>
      <c r="BX453" s="523">
        <f>INPUT!CW246</f>
        <v>-0.51020408163265307</v>
      </c>
      <c r="BY453" s="486" t="str">
        <f>INPUT!CX246</f>
        <v>NM</v>
      </c>
      <c r="BZ453" s="523">
        <f>INPUT!CY246</f>
        <v>-0.52356020942408377</v>
      </c>
      <c r="CA453" s="486" t="str">
        <f>INPUT!CZ246</f>
        <v>NM</v>
      </c>
      <c r="CB453" s="523">
        <f>INPUT!DA246</f>
        <v>18.275862068965516</v>
      </c>
      <c r="CC453" s="486" t="str">
        <f>INPUT!DB246</f>
        <v>NM</v>
      </c>
      <c r="CD453" s="523">
        <f>INPUT!DC246</f>
        <v>-1.0256410256410255</v>
      </c>
      <c r="CE453" s="486">
        <f>INPUT!DD246</f>
        <v>100</v>
      </c>
      <c r="CF453" s="523">
        <f>INPUT!DE246</f>
        <v>-2.4875621890547266</v>
      </c>
      <c r="CG453" s="486" t="str">
        <f>INPUT!DF246</f>
        <v>NM</v>
      </c>
      <c r="CH453" s="523">
        <f>INPUT!DG246</f>
        <v>0.96153846153846156</v>
      </c>
      <c r="CI453" s="486" t="str">
        <f>INPUT!DH246</f>
        <v>NM</v>
      </c>
      <c r="CJ453" s="523">
        <f>INPUT!DI246</f>
        <v>2.7272727272727271</v>
      </c>
      <c r="CK453" s="486" t="str">
        <f>INPUT!DJ246</f>
        <v>NM</v>
      </c>
      <c r="CL453" s="523">
        <f>INPUT!DK246</f>
        <v>-1.3824884792626728</v>
      </c>
      <c r="CM453" s="486">
        <f>INPUT!DL246</f>
        <v>34.792626728110605</v>
      </c>
      <c r="CN453" s="523">
        <f>INPUT!DM246</f>
        <v>-0.99009900990099009</v>
      </c>
      <c r="CO453" s="486" t="str">
        <f>INPUT!DN246</f>
        <v>NM</v>
      </c>
      <c r="CP453" s="523">
        <f>INPUT!DO246</f>
        <v>-0.94786729857819907</v>
      </c>
      <c r="CQ453" s="486" t="str">
        <f>INPUT!DP246</f>
        <v>NM</v>
      </c>
      <c r="CR453" s="523">
        <f>INPUT!DQ246</f>
        <v>0.44247787610619471</v>
      </c>
      <c r="CS453" s="486" t="str">
        <f>INPUT!DR246</f>
        <v>NM</v>
      </c>
      <c r="CT453" s="523">
        <f>INPUT!DS246</f>
        <v>-0.97560975609756095</v>
      </c>
      <c r="CU453" s="486">
        <f>INPUT!DT246</f>
        <v>-29.430894308943095</v>
      </c>
      <c r="CV453" s="523">
        <f>INPUT!DU246</f>
        <v>3.755868544600939</v>
      </c>
      <c r="CW453" s="486" t="str">
        <f>INPUT!DV246</f>
        <v>NM</v>
      </c>
      <c r="CX453" s="523">
        <f>INPUT!DW246</f>
        <v>-0.49504950495049505</v>
      </c>
      <c r="CY453" s="486">
        <f>INPUT!DX246</f>
        <v>-47.772277227722768</v>
      </c>
      <c r="CZ453" s="523">
        <f>INPUT!DY246</f>
        <v>-0.45871559633027525</v>
      </c>
      <c r="DA453" s="486" t="str">
        <f>INPUT!DZ246</f>
        <v>NM</v>
      </c>
      <c r="DB453" s="523">
        <f>INPUT!EA246</f>
        <v>-0.4784688995215311</v>
      </c>
      <c r="DC453" s="486" t="str">
        <f>INPUT!EB246</f>
        <v>NM</v>
      </c>
      <c r="DD453" s="523">
        <f>INPUT!EC246</f>
        <v>-0.96618357487922701</v>
      </c>
      <c r="DE453" s="486" t="str">
        <f>INPUT!ED246</f>
        <v>NM</v>
      </c>
      <c r="DF453" s="523">
        <f>INPUT!EE246</f>
        <v>-0.5</v>
      </c>
      <c r="DG453" s="486">
        <f>INPUT!EF246</f>
        <v>1</v>
      </c>
      <c r="DH453" s="523">
        <f>INPUT!EG246</f>
        <v>-0.99502487562189057</v>
      </c>
      <c r="DI453" s="486" t="str">
        <f>INPUT!EH246</f>
        <v>NM</v>
      </c>
      <c r="DJ453" s="523">
        <f>INPUT!EI246</f>
        <v>-0.46511627906976744</v>
      </c>
      <c r="DK453" s="486">
        <f>INPUT!EJ246</f>
        <v>-2.7906976744186096</v>
      </c>
      <c r="DL453" s="523">
        <f>INPUT!EK246</f>
        <v>-0.98522167487684731</v>
      </c>
      <c r="DM453" s="486">
        <f>INPUT!EL246</f>
        <v>1.970443349753694</v>
      </c>
      <c r="DN453" s="523">
        <f>INPUT!EM246</f>
        <v>-4.7619047619047619</v>
      </c>
      <c r="DO453" s="486" t="str">
        <f>INPUT!EN246</f>
        <v>NM</v>
      </c>
      <c r="DP453" s="523">
        <f>INPUT!EO246</f>
        <v>-0.4464285714285714</v>
      </c>
      <c r="DQ453" s="486" t="str">
        <f>INPUT!EP246</f>
        <v>NM</v>
      </c>
      <c r="DR453" s="523">
        <f>INPUT!EQ246</f>
        <v>-1.5</v>
      </c>
      <c r="DS453" s="486" t="str">
        <f>INPUT!ER246</f>
        <v>NM</v>
      </c>
      <c r="DT453" s="523">
        <f>INPUT!ES246</f>
        <v>-1.5</v>
      </c>
      <c r="DU453" s="486">
        <f>INPUT!ET246</f>
        <v>52.25</v>
      </c>
      <c r="DV453" s="523">
        <f>INPUT!EU246</f>
        <v>-1.5</v>
      </c>
      <c r="DW453" s="486" t="str">
        <f>INPUT!EV246</f>
        <v>NM</v>
      </c>
      <c r="DX453" s="523">
        <f>INPUT!EW246</f>
        <v>-1.5</v>
      </c>
      <c r="DY453" s="486" t="str">
        <f>INPUT!EX246</f>
        <v>NM</v>
      </c>
      <c r="DZ453" s="523"/>
      <c r="EA453" s="486"/>
      <c r="EB453" s="155">
        <f>INPUT!FI246</f>
        <v>20.166666666666671</v>
      </c>
      <c r="EC453" s="523">
        <f>INPUT!FJ246</f>
        <v>5.9386973180076632</v>
      </c>
      <c r="ED453" s="155" t="str">
        <f>INPUT!FK246</f>
        <v>NM</v>
      </c>
      <c r="EE453" s="523">
        <f>INPUT!FL246</f>
        <v>5.7728119180633151</v>
      </c>
      <c r="EF453" s="155">
        <f>INPUT!FM246</f>
        <v>-2.7932960893854784</v>
      </c>
      <c r="EG453" s="523">
        <f>INPUT!FN246</f>
        <v>3.87858347386172</v>
      </c>
      <c r="EH453" s="155">
        <f>INPUT!FO246</f>
        <v>-32.812924985040539</v>
      </c>
      <c r="EI453" s="523">
        <f>INPUT!FP246</f>
        <v>9.7520661157024797</v>
      </c>
      <c r="EJ453" s="240" t="str">
        <f>INPUT!FQ246</f>
        <v>NM</v>
      </c>
      <c r="EK453" s="523">
        <f>INPUT!FR246</f>
        <v>15.573770491803279</v>
      </c>
      <c r="EL453" s="240">
        <f>INPUT!FS246</f>
        <v>59.697138093914958</v>
      </c>
      <c r="EM453" s="523">
        <f>INPUT!FT246</f>
        <v>5.4491899852724597</v>
      </c>
      <c r="EN453" s="240" t="str">
        <f>INPUT!FU246</f>
        <v>NM</v>
      </c>
      <c r="EO453" s="523">
        <f>INPUT!FV246</f>
        <v>3.2352941176470593</v>
      </c>
      <c r="EP453" s="240">
        <f>INPUT!FW246</f>
        <v>-40.627980922098558</v>
      </c>
      <c r="EQ453" s="523">
        <f>INPUT!FX246</f>
        <v>3.0013642564802185</v>
      </c>
      <c r="ER453" s="240">
        <f>INPUT!FY246</f>
        <v>-7.230559345156891</v>
      </c>
      <c r="ES453" s="523">
        <f>INPUT!FZ246</f>
        <v>2.3106546854942236</v>
      </c>
      <c r="ET453" s="240">
        <f>INPUT!GA246</f>
        <v>-23.01318706966974</v>
      </c>
      <c r="EU453" s="523">
        <f>INPUT!GB246</f>
        <v>1.3994910941475827</v>
      </c>
      <c r="EV453" s="240">
        <f>INPUT!GC246</f>
        <v>-39.433135425501845</v>
      </c>
      <c r="EW453" s="523">
        <f>INPUT!GD246</f>
        <v>5.7339449541284404</v>
      </c>
      <c r="EX453" s="240" t="str">
        <f>INPUT!GE246</f>
        <v>NM</v>
      </c>
      <c r="EY453" s="523">
        <f>INPUT!GF246</f>
        <v>0.12135922330097086</v>
      </c>
      <c r="EZ453" s="240" t="str">
        <f>INPUT!GG246</f>
        <v>NM</v>
      </c>
      <c r="FA453" s="523">
        <f>INPUT!GH246</f>
        <v>-0.7009345794392523</v>
      </c>
      <c r="FB453" s="240" t="str">
        <f>INPUT!GI246</f>
        <v>NM</v>
      </c>
      <c r="FC453" s="523">
        <f>INPUT!GJ246</f>
        <v>0.47732696897374705</v>
      </c>
      <c r="FD453" s="240" t="str">
        <f>INPUT!GK246</f>
        <v>NM</v>
      </c>
      <c r="FE453" s="523">
        <f>INPUT!GL246</f>
        <v>-0.73439412484700128</v>
      </c>
      <c r="FF453" s="240" t="str">
        <f>INPUT!GM246</f>
        <v>NM</v>
      </c>
      <c r="FG453" s="523">
        <f>INPUT!GN246</f>
        <v>-1.643192488262911</v>
      </c>
      <c r="FH453" s="240" t="str">
        <f>INPUT!GO246</f>
        <v>NM</v>
      </c>
      <c r="FI453" s="523">
        <f>INPUT!GP246</f>
        <v>-1.4999999999999996</v>
      </c>
      <c r="FJ453" s="240">
        <f>INPUT!GQ246</f>
        <v>-8.7142857142857508</v>
      </c>
      <c r="FK453" s="523">
        <f>INPUT!GR246</f>
        <v>-1.4999999999999996</v>
      </c>
      <c r="FL453" s="240">
        <f>INPUT!GS246</f>
        <v>0</v>
      </c>
      <c r="FM453" s="523">
        <f>INPUT!GT246</f>
        <v>-1.4999999999999996</v>
      </c>
      <c r="FN453" s="240">
        <f>INPUT!GU246</f>
        <v>0</v>
      </c>
      <c r="FO453" s="523">
        <f>INPUT!GV246</f>
        <v>-1.4999999999999996</v>
      </c>
      <c r="FP453" s="240">
        <f>INPUT!GW246</f>
        <v>0</v>
      </c>
      <c r="FQ453" s="523">
        <f>INPUT!GX246</f>
        <v>-1.4999999999999996</v>
      </c>
      <c r="FR453" s="240">
        <f>INPUT!GY246</f>
        <v>0</v>
      </c>
      <c r="FS453" s="240">
        <f>INPUT!GZ246</f>
        <v>-1.8069921316982929</v>
      </c>
    </row>
    <row r="454" spans="1:176" ht="12.75" hidden="1" customHeight="1" outlineLevel="1" x14ac:dyDescent="0.2">
      <c r="A454" s="246"/>
      <c r="B454" s="510"/>
      <c r="C454" s="487"/>
      <c r="D454" s="510"/>
      <c r="E454" s="487"/>
      <c r="F454" s="510"/>
      <c r="G454" s="487"/>
      <c r="H454" s="510"/>
      <c r="I454" s="487"/>
      <c r="J454" s="510"/>
      <c r="K454" s="487"/>
      <c r="L454" s="510"/>
      <c r="M454" s="487"/>
      <c r="N454" s="510"/>
      <c r="O454" s="487"/>
      <c r="P454" s="510"/>
      <c r="Q454" s="487"/>
      <c r="R454" s="510"/>
      <c r="S454" s="487"/>
      <c r="T454" s="510"/>
      <c r="U454" s="487"/>
      <c r="V454" s="510"/>
      <c r="W454" s="487"/>
      <c r="X454" s="510"/>
      <c r="Y454" s="487"/>
      <c r="Z454" s="510"/>
      <c r="AA454" s="487"/>
      <c r="AB454" s="510"/>
      <c r="AC454" s="487"/>
      <c r="AD454" s="510"/>
      <c r="AE454" s="487"/>
      <c r="AF454" s="510"/>
      <c r="AG454" s="487"/>
      <c r="AH454" s="510"/>
      <c r="AI454" s="486"/>
      <c r="AJ454" s="510"/>
      <c r="AK454" s="486"/>
      <c r="AL454" s="510"/>
      <c r="AM454" s="486"/>
      <c r="AN454" s="510"/>
      <c r="AO454" s="486"/>
      <c r="AP454" s="510"/>
      <c r="AQ454" s="240"/>
      <c r="AR454" s="510"/>
      <c r="AS454" s="240"/>
      <c r="AT454" s="510"/>
      <c r="AU454" s="240"/>
      <c r="AV454" s="510"/>
      <c r="AW454" s="486"/>
      <c r="AX454" s="510"/>
      <c r="AY454" s="486"/>
      <c r="AZ454" s="510"/>
      <c r="BA454" s="486"/>
      <c r="BB454" s="510"/>
      <c r="BC454" s="486"/>
      <c r="BD454" s="510"/>
      <c r="BE454" s="486"/>
      <c r="BF454" s="510"/>
      <c r="BG454" s="486"/>
      <c r="BH454" s="510"/>
      <c r="BI454" s="486"/>
      <c r="BJ454" s="510"/>
      <c r="BK454" s="486"/>
      <c r="BL454" s="510"/>
      <c r="BM454" s="486"/>
      <c r="BN454" s="510"/>
      <c r="BO454" s="486"/>
      <c r="BP454" s="510"/>
      <c r="BQ454" s="486"/>
      <c r="BR454" s="510"/>
      <c r="BS454" s="486"/>
      <c r="BT454" s="510"/>
      <c r="BU454" s="486"/>
      <c r="BV454" s="510"/>
      <c r="BW454" s="486"/>
      <c r="BX454" s="510"/>
      <c r="BY454" s="486"/>
      <c r="BZ454" s="510"/>
      <c r="CA454" s="486"/>
      <c r="CB454" s="510"/>
      <c r="CC454" s="486"/>
      <c r="CD454" s="510"/>
      <c r="CE454" s="486"/>
      <c r="CF454" s="510"/>
      <c r="CG454" s="486"/>
      <c r="CH454" s="510"/>
      <c r="CI454" s="486"/>
      <c r="CJ454" s="510"/>
      <c r="CK454" s="486"/>
      <c r="CL454" s="510"/>
      <c r="CM454" s="486"/>
      <c r="CN454" s="510"/>
      <c r="CO454" s="486"/>
      <c r="CP454" s="510"/>
      <c r="CQ454" s="486"/>
      <c r="CR454" s="510"/>
      <c r="CS454" s="486"/>
      <c r="CT454" s="510"/>
      <c r="CU454" s="486"/>
      <c r="CV454" s="510"/>
      <c r="CW454" s="486"/>
      <c r="CX454" s="510"/>
      <c r="CY454" s="486"/>
      <c r="CZ454" s="510"/>
      <c r="DA454" s="486"/>
      <c r="DB454" s="510"/>
      <c r="DC454" s="486"/>
      <c r="DD454" s="510"/>
      <c r="DE454" s="486"/>
      <c r="DF454" s="510"/>
      <c r="DG454" s="486"/>
      <c r="DH454" s="510"/>
      <c r="DI454" s="486"/>
      <c r="DJ454" s="510"/>
      <c r="DK454" s="486"/>
      <c r="DL454" s="510"/>
      <c r="DM454" s="486"/>
      <c r="DN454" s="510"/>
      <c r="DO454" s="486"/>
      <c r="DP454" s="510"/>
      <c r="DQ454" s="486"/>
      <c r="DR454" s="510"/>
      <c r="DS454" s="486"/>
      <c r="DT454" s="510"/>
      <c r="DU454" s="486"/>
      <c r="DV454" s="510"/>
      <c r="DW454" s="486"/>
      <c r="DX454" s="510"/>
      <c r="DY454" s="486"/>
      <c r="DZ454" s="510"/>
      <c r="EA454" s="486"/>
      <c r="EB454" s="155"/>
      <c r="EC454" s="510"/>
      <c r="ED454" s="155"/>
      <c r="EE454" s="510"/>
      <c r="EF454" s="155"/>
      <c r="EG454" s="510"/>
      <c r="EH454" s="155"/>
      <c r="EI454" s="510"/>
      <c r="EJ454" s="240"/>
      <c r="EK454" s="510"/>
      <c r="EL454" s="240"/>
      <c r="EM454" s="510"/>
      <c r="EN454" s="240"/>
      <c r="EO454" s="510"/>
      <c r="EP454" s="240"/>
      <c r="EQ454" s="510"/>
      <c r="ER454" s="240"/>
      <c r="ES454" s="510"/>
      <c r="ET454" s="240"/>
      <c r="EU454" s="510"/>
      <c r="EV454" s="240"/>
      <c r="EW454" s="510"/>
      <c r="EX454" s="240"/>
      <c r="EY454" s="510"/>
      <c r="EZ454" s="240"/>
      <c r="FA454" s="510"/>
      <c r="FB454" s="240"/>
      <c r="FC454" s="510"/>
      <c r="FD454" s="240"/>
      <c r="FE454" s="510"/>
      <c r="FF454" s="240"/>
      <c r="FG454" s="510"/>
      <c r="FH454" s="240"/>
      <c r="FI454" s="510"/>
      <c r="FJ454" s="240"/>
      <c r="FK454" s="510"/>
      <c r="FL454" s="240"/>
      <c r="FM454" s="510"/>
      <c r="FN454" s="240"/>
      <c r="FO454" s="510"/>
      <c r="FP454" s="240"/>
      <c r="FQ454" s="510"/>
      <c r="FR454" s="240"/>
      <c r="FS454" s="240"/>
    </row>
    <row r="455" spans="1:176" ht="12.75" hidden="1" customHeight="1" outlineLevel="1" x14ac:dyDescent="0.2">
      <c r="A455" s="500" t="s">
        <v>507</v>
      </c>
      <c r="B455" s="510"/>
      <c r="C455" s="487"/>
      <c r="D455" s="510"/>
      <c r="E455" s="487"/>
      <c r="F455" s="510"/>
      <c r="G455" s="487"/>
      <c r="H455" s="510"/>
      <c r="I455" s="487"/>
      <c r="J455" s="510"/>
      <c r="K455" s="487"/>
      <c r="L455" s="510"/>
      <c r="M455" s="487"/>
      <c r="N455" s="510"/>
      <c r="O455" s="487"/>
      <c r="P455" s="510"/>
      <c r="Q455" s="487"/>
      <c r="R455" s="510"/>
      <c r="S455" s="487"/>
      <c r="T455" s="510"/>
      <c r="U455" s="487"/>
      <c r="V455" s="510"/>
      <c r="W455" s="487"/>
      <c r="X455" s="510"/>
      <c r="Y455" s="487"/>
      <c r="Z455" s="510"/>
      <c r="AA455" s="487"/>
      <c r="AB455" s="510"/>
      <c r="AC455" s="487"/>
      <c r="AD455" s="510"/>
      <c r="AE455" s="487"/>
      <c r="AF455" s="510"/>
      <c r="AG455" s="487"/>
      <c r="AH455" s="510"/>
      <c r="AI455" s="486"/>
      <c r="AJ455" s="510"/>
      <c r="AK455" s="486"/>
      <c r="AL455" s="510"/>
      <c r="AM455" s="486"/>
      <c r="AN455" s="510"/>
      <c r="AO455" s="486"/>
      <c r="AP455" s="510"/>
      <c r="AQ455" s="486"/>
      <c r="AR455" s="510"/>
      <c r="AS455" s="486"/>
      <c r="AT455" s="510"/>
      <c r="AU455" s="486"/>
      <c r="AV455" s="510"/>
      <c r="AW455" s="486"/>
      <c r="AX455" s="510"/>
      <c r="AY455" s="486"/>
      <c r="AZ455" s="510"/>
      <c r="BA455" s="486"/>
      <c r="BB455" s="510"/>
      <c r="BC455" s="486"/>
      <c r="BD455" s="510"/>
      <c r="BE455" s="486"/>
      <c r="BF455" s="510"/>
      <c r="BG455" s="486"/>
      <c r="BH455" s="510"/>
      <c r="BI455" s="486"/>
      <c r="BJ455" s="510"/>
      <c r="BK455" s="486"/>
      <c r="BL455" s="510"/>
      <c r="BM455" s="486"/>
      <c r="BN455" s="510"/>
      <c r="BO455" s="486"/>
      <c r="BP455" s="510"/>
      <c r="BQ455" s="486"/>
      <c r="BR455" s="510"/>
      <c r="BS455" s="486"/>
      <c r="BT455" s="510"/>
      <c r="BU455" s="486"/>
      <c r="BV455" s="510"/>
      <c r="BW455" s="486"/>
      <c r="BX455" s="510"/>
      <c r="BY455" s="486"/>
      <c r="BZ455" s="510"/>
      <c r="CA455" s="486"/>
      <c r="CB455" s="510"/>
      <c r="CC455" s="486"/>
      <c r="CD455" s="510"/>
      <c r="CE455" s="486"/>
      <c r="CF455" s="510"/>
      <c r="CG455" s="486"/>
      <c r="CH455" s="510"/>
      <c r="CI455" s="486"/>
      <c r="CJ455" s="510"/>
      <c r="CK455" s="486"/>
      <c r="CL455" s="510"/>
      <c r="CM455" s="486"/>
      <c r="CN455" s="510"/>
      <c r="CO455" s="486"/>
      <c r="CP455" s="510"/>
      <c r="CQ455" s="486"/>
      <c r="CR455" s="510"/>
      <c r="CS455" s="486"/>
      <c r="CT455" s="510"/>
      <c r="CU455" s="486"/>
      <c r="CV455" s="510"/>
      <c r="CW455" s="486"/>
      <c r="CX455" s="510"/>
      <c r="CY455" s="486"/>
      <c r="CZ455" s="510"/>
      <c r="DA455" s="486"/>
      <c r="DB455" s="510"/>
      <c r="DC455" s="486"/>
      <c r="DD455" s="510"/>
      <c r="DE455" s="486"/>
      <c r="DF455" s="510"/>
      <c r="DG455" s="486"/>
      <c r="DH455" s="510"/>
      <c r="DI455" s="486"/>
      <c r="DJ455" s="510"/>
      <c r="DK455" s="486"/>
      <c r="DL455" s="510"/>
      <c r="DM455" s="486"/>
      <c r="DN455" s="510"/>
      <c r="DO455" s="486"/>
      <c r="DP455" s="510"/>
      <c r="DQ455" s="486"/>
      <c r="DR455" s="510"/>
      <c r="DS455" s="486"/>
      <c r="DT455" s="510"/>
      <c r="DU455" s="486"/>
      <c r="DV455" s="510"/>
      <c r="DW455" s="486"/>
      <c r="DX455" s="510"/>
      <c r="DY455" s="486"/>
      <c r="DZ455" s="510"/>
      <c r="EA455" s="486"/>
      <c r="EB455" s="487"/>
      <c r="EC455" s="510"/>
      <c r="ED455" s="487"/>
      <c r="EE455" s="510"/>
      <c r="EF455" s="487"/>
      <c r="EG455" s="510"/>
      <c r="EH455" s="487"/>
      <c r="EI455" s="510"/>
      <c r="EJ455" s="486"/>
      <c r="EK455" s="510"/>
      <c r="EL455" s="486"/>
      <c r="EM455" s="510"/>
      <c r="EN455" s="486"/>
      <c r="EO455" s="510"/>
      <c r="EP455" s="486"/>
      <c r="EQ455" s="510"/>
      <c r="ER455" s="486"/>
      <c r="ES455" s="510"/>
      <c r="ET455" s="486"/>
      <c r="EU455" s="510"/>
      <c r="EV455" s="486"/>
      <c r="EW455" s="510"/>
      <c r="EX455" s="486"/>
      <c r="EY455" s="510"/>
      <c r="EZ455" s="486"/>
      <c r="FA455" s="510"/>
      <c r="FB455" s="486"/>
      <c r="FC455" s="510"/>
      <c r="FD455" s="486"/>
      <c r="FE455" s="510"/>
      <c r="FF455" s="486"/>
      <c r="FG455" s="510"/>
      <c r="FH455" s="486"/>
      <c r="FI455" s="510"/>
      <c r="FJ455" s="486"/>
      <c r="FK455" s="510"/>
      <c r="FL455" s="486"/>
      <c r="FM455" s="510"/>
      <c r="FN455" s="486"/>
      <c r="FO455" s="510"/>
      <c r="FP455" s="486"/>
      <c r="FQ455" s="510"/>
      <c r="FR455" s="486"/>
      <c r="FS455" s="486"/>
    </row>
    <row r="456" spans="1:176" ht="12.75" hidden="1" customHeight="1" outlineLevel="1" x14ac:dyDescent="0.2">
      <c r="A456" s="500" t="s">
        <v>543</v>
      </c>
      <c r="B456" s="510"/>
      <c r="C456" s="487"/>
      <c r="D456" s="510"/>
      <c r="E456" s="487"/>
      <c r="F456" s="510"/>
      <c r="G456" s="487"/>
      <c r="H456" s="510"/>
      <c r="I456" s="487"/>
      <c r="J456" s="510"/>
      <c r="K456" s="487"/>
      <c r="L456" s="510"/>
      <c r="M456" s="487"/>
      <c r="N456" s="510"/>
      <c r="O456" s="487"/>
      <c r="P456" s="510"/>
      <c r="Q456" s="487"/>
      <c r="R456" s="510"/>
      <c r="S456" s="487"/>
      <c r="T456" s="510"/>
      <c r="U456" s="487"/>
      <c r="V456" s="510"/>
      <c r="W456" s="487"/>
      <c r="X456" s="510"/>
      <c r="Y456" s="487"/>
      <c r="Z456" s="510"/>
      <c r="AA456" s="487"/>
      <c r="AB456" s="510"/>
      <c r="AC456" s="487"/>
      <c r="AD456" s="510"/>
      <c r="AE456" s="487"/>
      <c r="AF456" s="510"/>
      <c r="AG456" s="487"/>
      <c r="AH456" s="510"/>
      <c r="AI456" s="486"/>
      <c r="AJ456" s="510"/>
      <c r="AK456" s="486"/>
      <c r="AL456" s="510"/>
      <c r="AM456" s="486"/>
      <c r="AN456" s="510"/>
      <c r="AO456" s="486"/>
      <c r="AP456" s="510"/>
      <c r="AQ456" s="486"/>
      <c r="AR456" s="510"/>
      <c r="AS456" s="486"/>
      <c r="AT456" s="510"/>
      <c r="AU456" s="486"/>
      <c r="AV456" s="510"/>
      <c r="AW456" s="486"/>
      <c r="AX456" s="510"/>
      <c r="AY456" s="486"/>
      <c r="AZ456" s="510"/>
      <c r="BA456" s="486"/>
      <c r="BB456" s="510"/>
      <c r="BC456" s="486"/>
      <c r="BD456" s="510"/>
      <c r="BE456" s="486"/>
      <c r="BF456" s="510"/>
      <c r="BG456" s="486"/>
      <c r="BH456" s="510"/>
      <c r="BI456" s="486"/>
      <c r="BJ456" s="510"/>
      <c r="BK456" s="486"/>
      <c r="BL456" s="510"/>
      <c r="BM456" s="486"/>
      <c r="BN456" s="510"/>
      <c r="BO456" s="486"/>
      <c r="BP456" s="510"/>
      <c r="BQ456" s="486"/>
      <c r="BR456" s="510"/>
      <c r="BS456" s="486"/>
      <c r="BT456" s="510"/>
      <c r="BU456" s="486"/>
      <c r="BV456" s="510"/>
      <c r="BW456" s="486"/>
      <c r="BX456" s="510"/>
      <c r="BY456" s="486"/>
      <c r="BZ456" s="510"/>
      <c r="CA456" s="486"/>
      <c r="CB456" s="510"/>
      <c r="CC456" s="486"/>
      <c r="CD456" s="510"/>
      <c r="CE456" s="486"/>
      <c r="CF456" s="510"/>
      <c r="CG456" s="486"/>
      <c r="CH456" s="510"/>
      <c r="CI456" s="486"/>
      <c r="CJ456" s="510"/>
      <c r="CK456" s="486"/>
      <c r="CL456" s="510"/>
      <c r="CM456" s="486"/>
      <c r="CN456" s="510"/>
      <c r="CO456" s="486"/>
      <c r="CP456" s="510"/>
      <c r="CQ456" s="486"/>
      <c r="CR456" s="510"/>
      <c r="CS456" s="486"/>
      <c r="CT456" s="510"/>
      <c r="CU456" s="486"/>
      <c r="CV456" s="510"/>
      <c r="CW456" s="486"/>
      <c r="CX456" s="510"/>
      <c r="CY456" s="486"/>
      <c r="CZ456" s="510"/>
      <c r="DA456" s="486"/>
      <c r="DB456" s="510"/>
      <c r="DC456" s="486"/>
      <c r="DD456" s="510"/>
      <c r="DE456" s="486"/>
      <c r="DF456" s="510"/>
      <c r="DG456" s="486"/>
      <c r="DH456" s="510"/>
      <c r="DI456" s="486"/>
      <c r="DJ456" s="510"/>
      <c r="DK456" s="486"/>
      <c r="DL456" s="510"/>
      <c r="DM456" s="486"/>
      <c r="DN456" s="510"/>
      <c r="DO456" s="486"/>
      <c r="DP456" s="510"/>
      <c r="DQ456" s="486"/>
      <c r="DR456" s="510"/>
      <c r="DS456" s="486"/>
      <c r="DT456" s="510"/>
      <c r="DU456" s="486"/>
      <c r="DV456" s="510"/>
      <c r="DW456" s="486"/>
      <c r="DX456" s="510"/>
      <c r="DY456" s="486"/>
      <c r="DZ456" s="510"/>
      <c r="EA456" s="486"/>
      <c r="EB456" s="487"/>
      <c r="EC456" s="510"/>
      <c r="ED456" s="487"/>
      <c r="EE456" s="510"/>
      <c r="EF456" s="487"/>
      <c r="EG456" s="510"/>
      <c r="EH456" s="487"/>
      <c r="EI456" s="510"/>
      <c r="EJ456" s="486"/>
      <c r="EK456" s="510"/>
      <c r="EL456" s="486"/>
      <c r="EM456" s="510"/>
      <c r="EN456" s="486"/>
      <c r="EO456" s="510"/>
      <c r="EP456" s="486"/>
      <c r="EQ456" s="510"/>
      <c r="ER456" s="486"/>
      <c r="ES456" s="510"/>
      <c r="ET456" s="486"/>
      <c r="EU456" s="510"/>
      <c r="EV456" s="486"/>
      <c r="EW456" s="510"/>
      <c r="EX456" s="486"/>
      <c r="EY456" s="510"/>
      <c r="EZ456" s="486"/>
      <c r="FA456" s="510"/>
      <c r="FB456" s="486"/>
      <c r="FC456" s="510"/>
      <c r="FD456" s="486"/>
      <c r="FE456" s="510"/>
      <c r="FF456" s="486"/>
      <c r="FG456" s="510"/>
      <c r="FH456" s="486"/>
      <c r="FI456" s="510"/>
      <c r="FJ456" s="486"/>
      <c r="FK456" s="510"/>
      <c r="FL456" s="486"/>
      <c r="FM456" s="510"/>
      <c r="FN456" s="486"/>
      <c r="FO456" s="510"/>
      <c r="FP456" s="486"/>
      <c r="FQ456" s="510"/>
      <c r="FR456" s="486"/>
      <c r="FS456" s="486"/>
    </row>
    <row r="457" spans="1:176" ht="12.75" hidden="1" customHeight="1" outlineLevel="1" x14ac:dyDescent="0.2">
      <c r="A457" s="246"/>
      <c r="B457" s="510"/>
      <c r="C457" s="487"/>
      <c r="D457" s="510"/>
      <c r="E457" s="487"/>
      <c r="F457" s="510"/>
      <c r="G457" s="487"/>
      <c r="H457" s="510"/>
      <c r="I457" s="487"/>
      <c r="J457" s="510"/>
      <c r="K457" s="487"/>
      <c r="L457" s="510"/>
      <c r="M457" s="487"/>
      <c r="N457" s="510"/>
      <c r="O457" s="487"/>
      <c r="P457" s="510"/>
      <c r="Q457" s="487"/>
      <c r="R457" s="510"/>
      <c r="S457" s="487"/>
      <c r="T457" s="510"/>
      <c r="U457" s="487"/>
      <c r="V457" s="510"/>
      <c r="W457" s="487"/>
      <c r="X457" s="510"/>
      <c r="Y457" s="487"/>
      <c r="Z457" s="510"/>
      <c r="AA457" s="487"/>
      <c r="AB457" s="510"/>
      <c r="AC457" s="487"/>
      <c r="AD457" s="510"/>
      <c r="AE457" s="487"/>
      <c r="AF457" s="510"/>
      <c r="AG457" s="487"/>
      <c r="AH457" s="510"/>
      <c r="AI457" s="486"/>
      <c r="AJ457" s="510"/>
      <c r="AK457" s="486"/>
      <c r="AL457" s="510"/>
      <c r="AM457" s="486"/>
      <c r="AN457" s="510"/>
      <c r="AO457" s="486"/>
      <c r="AP457" s="510"/>
      <c r="AQ457" s="486"/>
      <c r="AR457" s="510"/>
      <c r="AS457" s="486"/>
      <c r="AT457" s="510"/>
      <c r="AU457" s="486"/>
      <c r="AV457" s="510"/>
      <c r="AW457" s="486"/>
      <c r="AX457" s="510"/>
      <c r="AY457" s="486"/>
      <c r="AZ457" s="510"/>
      <c r="BA457" s="486"/>
      <c r="BB457" s="510"/>
      <c r="BC457" s="486"/>
      <c r="BD457" s="510"/>
      <c r="BE457" s="486"/>
      <c r="BF457" s="510"/>
      <c r="BG457" s="486"/>
      <c r="BH457" s="510"/>
      <c r="BI457" s="486"/>
      <c r="BJ457" s="510"/>
      <c r="BK457" s="486"/>
      <c r="BL457" s="510"/>
      <c r="BM457" s="486"/>
      <c r="BN457" s="510"/>
      <c r="BO457" s="486"/>
      <c r="BP457" s="510"/>
      <c r="BQ457" s="486"/>
      <c r="BR457" s="510"/>
      <c r="BS457" s="486"/>
      <c r="BT457" s="510"/>
      <c r="BU457" s="486"/>
      <c r="BV457" s="510"/>
      <c r="BW457" s="486"/>
      <c r="BX457" s="510"/>
      <c r="BY457" s="486"/>
      <c r="BZ457" s="510"/>
      <c r="CA457" s="486"/>
      <c r="CB457" s="510"/>
      <c r="CC457" s="486"/>
      <c r="CD457" s="510"/>
      <c r="CE457" s="486"/>
      <c r="CF457" s="510"/>
      <c r="CG457" s="486"/>
      <c r="CH457" s="510"/>
      <c r="CI457" s="486"/>
      <c r="CJ457" s="510"/>
      <c r="CK457" s="486"/>
      <c r="CL457" s="510"/>
      <c r="CM457" s="486"/>
      <c r="CN457" s="510"/>
      <c r="CO457" s="486"/>
      <c r="CP457" s="510"/>
      <c r="CQ457" s="486"/>
      <c r="CR457" s="510"/>
      <c r="CS457" s="486"/>
      <c r="CT457" s="510"/>
      <c r="CU457" s="486"/>
      <c r="CV457" s="510"/>
      <c r="CW457" s="486"/>
      <c r="CX457" s="510"/>
      <c r="CY457" s="486"/>
      <c r="CZ457" s="510"/>
      <c r="DA457" s="486"/>
      <c r="DB457" s="510"/>
      <c r="DC457" s="486"/>
      <c r="DD457" s="510"/>
      <c r="DE457" s="486"/>
      <c r="DF457" s="510"/>
      <c r="DG457" s="486"/>
      <c r="DH457" s="510"/>
      <c r="DI457" s="486"/>
      <c r="DJ457" s="510"/>
      <c r="DK457" s="486"/>
      <c r="DL457" s="510"/>
      <c r="DM457" s="486"/>
      <c r="DN457" s="510"/>
      <c r="DO457" s="486"/>
      <c r="DP457" s="510"/>
      <c r="DQ457" s="486"/>
      <c r="DR457" s="510"/>
      <c r="DS457" s="486"/>
      <c r="DT457" s="510"/>
      <c r="DU457" s="486"/>
      <c r="DV457" s="510"/>
      <c r="DW457" s="486"/>
      <c r="DX457" s="510"/>
      <c r="DY457" s="486"/>
      <c r="DZ457" s="510"/>
      <c r="EA457" s="486"/>
      <c r="EB457" s="487"/>
      <c r="EC457" s="510"/>
      <c r="ED457" s="487"/>
      <c r="EE457" s="510"/>
      <c r="EF457" s="487"/>
      <c r="EG457" s="510"/>
      <c r="EH457" s="487"/>
      <c r="EI457" s="510"/>
      <c r="EJ457" s="486"/>
      <c r="EK457" s="510"/>
      <c r="EL457" s="486"/>
      <c r="EM457" s="510"/>
      <c r="EN457" s="486"/>
      <c r="EO457" s="510"/>
      <c r="EP457" s="486"/>
      <c r="EQ457" s="510"/>
      <c r="ER457" s="486"/>
      <c r="ES457" s="510"/>
      <c r="ET457" s="486"/>
      <c r="EU457" s="510"/>
      <c r="EV457" s="486"/>
      <c r="EW457" s="510"/>
      <c r="EX457" s="486"/>
      <c r="EY457" s="510"/>
      <c r="EZ457" s="486"/>
      <c r="FA457" s="510"/>
      <c r="FB457" s="486"/>
      <c r="FC457" s="510"/>
      <c r="FD457" s="486"/>
      <c r="FE457" s="510"/>
      <c r="FF457" s="486"/>
      <c r="FG457" s="510"/>
      <c r="FH457" s="486"/>
      <c r="FI457" s="510"/>
      <c r="FJ457" s="486"/>
      <c r="FK457" s="510"/>
      <c r="FL457" s="486"/>
      <c r="FM457" s="510"/>
      <c r="FN457" s="486"/>
      <c r="FO457" s="510"/>
      <c r="FP457" s="486"/>
      <c r="FQ457" s="510"/>
      <c r="FR457" s="486"/>
      <c r="FS457" s="486"/>
    </row>
    <row r="458" spans="1:176" ht="21.95" hidden="1" customHeight="1" outlineLevel="1" x14ac:dyDescent="0.25">
      <c r="A458" s="353" t="str">
        <f>$A$1</f>
        <v>Prudential Financial, Inc.</v>
      </c>
      <c r="B458" s="486"/>
      <c r="C458" s="487"/>
      <c r="D458" s="486"/>
      <c r="E458" s="487"/>
      <c r="F458" s="486"/>
      <c r="G458" s="487"/>
      <c r="H458" s="486"/>
      <c r="I458" s="487"/>
      <c r="J458" s="486"/>
      <c r="K458" s="487"/>
      <c r="L458" s="486"/>
      <c r="M458" s="487"/>
      <c r="N458" s="486"/>
      <c r="O458" s="487"/>
      <c r="P458" s="486"/>
      <c r="Q458" s="487"/>
      <c r="R458" s="486"/>
      <c r="S458" s="487"/>
      <c r="T458" s="486"/>
      <c r="U458" s="487"/>
      <c r="V458" s="486"/>
      <c r="W458" s="487"/>
      <c r="X458" s="486"/>
      <c r="Y458" s="487"/>
      <c r="Z458" s="486"/>
      <c r="AA458" s="487"/>
      <c r="AB458" s="486"/>
      <c r="AC458" s="487"/>
      <c r="AD458" s="486"/>
      <c r="AE458" s="487"/>
      <c r="AF458" s="486"/>
      <c r="AG458" s="487"/>
      <c r="AH458" s="486"/>
      <c r="AI458" s="486"/>
      <c r="AJ458" s="486"/>
      <c r="AK458" s="486"/>
      <c r="AL458" s="486"/>
      <c r="AM458" s="486"/>
      <c r="AN458" s="486"/>
      <c r="AO458" s="486"/>
      <c r="AP458" s="486"/>
      <c r="AQ458" s="486"/>
      <c r="AR458" s="486"/>
      <c r="AS458" s="486"/>
      <c r="AT458" s="486"/>
      <c r="AU458" s="486"/>
      <c r="AV458" s="486"/>
      <c r="AW458" s="486"/>
      <c r="AX458" s="486"/>
      <c r="AY458" s="486"/>
      <c r="AZ458" s="486"/>
      <c r="BA458" s="486"/>
      <c r="BB458" s="486"/>
      <c r="BC458" s="486"/>
      <c r="BD458" s="486"/>
      <c r="BE458" s="486"/>
      <c r="BF458" s="486"/>
      <c r="BG458" s="486"/>
      <c r="BH458" s="486"/>
      <c r="BI458" s="486"/>
      <c r="BJ458" s="486"/>
      <c r="BK458" s="486"/>
      <c r="BL458" s="486"/>
      <c r="BM458" s="486"/>
      <c r="BN458" s="486"/>
      <c r="BO458" s="486"/>
      <c r="BP458" s="486"/>
      <c r="BQ458" s="486"/>
      <c r="BR458" s="486"/>
      <c r="BS458" s="486"/>
      <c r="BT458" s="486"/>
      <c r="BU458" s="486"/>
      <c r="BV458" s="486"/>
      <c r="BW458" s="486"/>
      <c r="BX458" s="486"/>
      <c r="BY458" s="486"/>
      <c r="BZ458" s="486"/>
      <c r="CA458" s="486"/>
      <c r="CB458" s="486"/>
      <c r="CC458" s="486"/>
      <c r="CD458" s="486"/>
      <c r="CE458" s="486"/>
      <c r="CF458" s="486"/>
      <c r="CG458" s="486"/>
      <c r="CH458" s="486"/>
      <c r="CI458" s="486"/>
      <c r="CJ458" s="486"/>
      <c r="CK458" s="486"/>
      <c r="CL458" s="486"/>
      <c r="CM458" s="486"/>
      <c r="CN458" s="486"/>
      <c r="CO458" s="486"/>
      <c r="CP458" s="486"/>
      <c r="CQ458" s="486"/>
      <c r="CR458" s="486"/>
      <c r="CS458" s="486"/>
      <c r="CT458" s="486"/>
      <c r="CU458" s="486"/>
      <c r="CV458" s="486"/>
      <c r="CW458" s="486"/>
      <c r="CX458" s="486"/>
      <c r="CY458" s="486"/>
      <c r="CZ458" s="486"/>
      <c r="DA458" s="486"/>
      <c r="DB458" s="486"/>
      <c r="DC458" s="486"/>
      <c r="DD458" s="486"/>
      <c r="DE458" s="486"/>
      <c r="DF458" s="486"/>
      <c r="DG458" s="486"/>
      <c r="DH458" s="486"/>
      <c r="DI458" s="486"/>
      <c r="DJ458" s="486"/>
      <c r="DK458" s="486"/>
      <c r="DL458" s="486"/>
      <c r="DM458" s="486"/>
      <c r="DN458" s="486"/>
      <c r="DO458" s="486"/>
      <c r="DP458" s="486"/>
      <c r="DQ458" s="486"/>
      <c r="DR458" s="486"/>
      <c r="DS458" s="486"/>
      <c r="DT458" s="486"/>
      <c r="DU458" s="486"/>
      <c r="DV458" s="486"/>
      <c r="DW458" s="486"/>
      <c r="DX458" s="486"/>
      <c r="DY458" s="486"/>
      <c r="DZ458" s="486"/>
      <c r="EA458" s="486"/>
      <c r="EB458" s="487"/>
      <c r="EC458" s="486"/>
      <c r="ED458" s="487"/>
      <c r="EE458" s="486"/>
      <c r="EF458" s="487"/>
      <c r="EG458" s="486"/>
      <c r="EH458" s="487"/>
      <c r="EI458" s="486"/>
      <c r="EJ458" s="486"/>
      <c r="EK458" s="486"/>
      <c r="EL458" s="486"/>
      <c r="EM458" s="486"/>
      <c r="EN458" s="486"/>
      <c r="EO458" s="486"/>
      <c r="EP458" s="486"/>
      <c r="EQ458" s="486"/>
      <c r="ER458" s="486"/>
      <c r="ES458" s="486"/>
      <c r="ET458" s="486"/>
      <c r="EU458" s="486"/>
      <c r="EV458" s="486"/>
      <c r="EW458" s="486"/>
      <c r="EX458" s="486"/>
      <c r="EY458" s="486"/>
      <c r="EZ458" s="486"/>
      <c r="FA458" s="486"/>
      <c r="FB458" s="486"/>
      <c r="FC458" s="486"/>
      <c r="FD458" s="486"/>
      <c r="FE458" s="486"/>
      <c r="FF458" s="486"/>
      <c r="FG458" s="486"/>
      <c r="FH458" s="486"/>
      <c r="FI458" s="486"/>
      <c r="FJ458" s="486"/>
      <c r="FK458" s="486"/>
      <c r="FL458" s="486"/>
      <c r="FM458" s="486"/>
      <c r="FN458" s="486"/>
      <c r="FO458" s="486"/>
      <c r="FP458" s="486"/>
      <c r="FQ458" s="486"/>
      <c r="FR458" s="486"/>
      <c r="FS458" s="486"/>
    </row>
    <row r="459" spans="1:176" ht="12.75" hidden="1" customHeight="1" outlineLevel="1" x14ac:dyDescent="0.2">
      <c r="A459" s="488" t="s">
        <v>192</v>
      </c>
      <c r="B459" s="489"/>
      <c r="C459" s="490"/>
      <c r="D459" s="489"/>
      <c r="E459" s="490"/>
      <c r="F459" s="489"/>
      <c r="G459" s="490"/>
      <c r="H459" s="489"/>
      <c r="I459" s="490"/>
      <c r="J459" s="489"/>
      <c r="K459" s="490"/>
      <c r="L459" s="489"/>
      <c r="M459" s="490"/>
      <c r="N459" s="489"/>
      <c r="O459" s="490"/>
      <c r="P459" s="489"/>
      <c r="Q459" s="490"/>
      <c r="R459" s="489"/>
      <c r="S459" s="490"/>
      <c r="T459" s="489"/>
      <c r="U459" s="490"/>
      <c r="V459" s="489"/>
      <c r="W459" s="490"/>
      <c r="X459" s="489"/>
      <c r="Y459" s="490"/>
      <c r="Z459" s="489"/>
      <c r="AA459" s="490"/>
      <c r="AB459" s="489"/>
      <c r="AC459" s="490"/>
      <c r="AD459" s="489"/>
      <c r="AE459" s="490"/>
      <c r="AF459" s="489"/>
      <c r="AG459" s="490"/>
      <c r="AH459" s="489"/>
      <c r="AI459" s="489"/>
      <c r="AJ459" s="489"/>
      <c r="AK459" s="489"/>
      <c r="AL459" s="489"/>
      <c r="AM459" s="489"/>
      <c r="AN459" s="489"/>
      <c r="AO459" s="489"/>
      <c r="AP459" s="489"/>
      <c r="AQ459" s="489"/>
      <c r="AR459" s="489"/>
      <c r="AS459" s="489"/>
      <c r="AT459" s="489"/>
      <c r="AU459" s="489"/>
      <c r="AV459" s="489"/>
      <c r="AW459" s="489"/>
      <c r="AX459" s="489"/>
      <c r="AY459" s="489"/>
      <c r="AZ459" s="489"/>
      <c r="BA459" s="489"/>
      <c r="BB459" s="489"/>
      <c r="BC459" s="489"/>
      <c r="BD459" s="489"/>
      <c r="BE459" s="489"/>
      <c r="BF459" s="489"/>
      <c r="BG459" s="489"/>
      <c r="BH459" s="489"/>
      <c r="BI459" s="489"/>
      <c r="BJ459" s="489"/>
      <c r="BK459" s="489"/>
      <c r="BL459" s="489"/>
      <c r="BM459" s="489"/>
      <c r="BN459" s="489"/>
      <c r="BO459" s="489"/>
      <c r="BP459" s="489"/>
      <c r="BQ459" s="489"/>
      <c r="BR459" s="489"/>
      <c r="BS459" s="489"/>
      <c r="BT459" s="489"/>
      <c r="BU459" s="489"/>
      <c r="BV459" s="489"/>
      <c r="BW459" s="489"/>
      <c r="BX459" s="489"/>
      <c r="BY459" s="489"/>
      <c r="BZ459" s="489"/>
      <c r="CA459" s="489"/>
      <c r="CB459" s="489"/>
      <c r="CC459" s="489"/>
      <c r="CD459" s="489"/>
      <c r="CE459" s="489"/>
      <c r="CF459" s="489"/>
      <c r="CG459" s="489"/>
      <c r="CH459" s="489"/>
      <c r="CI459" s="489"/>
      <c r="CJ459" s="489"/>
      <c r="CK459" s="489"/>
      <c r="CL459" s="489"/>
      <c r="CM459" s="489"/>
      <c r="CN459" s="489"/>
      <c r="CO459" s="489"/>
      <c r="CP459" s="489"/>
      <c r="CQ459" s="489"/>
      <c r="CR459" s="489"/>
      <c r="CS459" s="489"/>
      <c r="CT459" s="489"/>
      <c r="CU459" s="489"/>
      <c r="CV459" s="489"/>
      <c r="CW459" s="489"/>
      <c r="CX459" s="489"/>
      <c r="CY459" s="489"/>
      <c r="CZ459" s="489"/>
      <c r="DA459" s="489"/>
      <c r="DB459" s="489"/>
      <c r="DC459" s="489"/>
      <c r="DD459" s="489"/>
      <c r="DE459" s="489"/>
      <c r="DF459" s="489"/>
      <c r="DG459" s="489"/>
      <c r="DH459" s="489"/>
      <c r="DI459" s="489"/>
      <c r="DJ459" s="489"/>
      <c r="DK459" s="489"/>
      <c r="DL459" s="489"/>
      <c r="DM459" s="489"/>
      <c r="DN459" s="489"/>
      <c r="DO459" s="489"/>
      <c r="DP459" s="489"/>
      <c r="DQ459" s="489"/>
      <c r="DR459" s="489"/>
      <c r="DS459" s="489"/>
      <c r="DT459" s="489"/>
      <c r="DU459" s="489"/>
      <c r="DV459" s="489"/>
      <c r="DW459" s="489"/>
      <c r="DX459" s="489"/>
      <c r="DY459" s="489"/>
      <c r="DZ459" s="489"/>
      <c r="EA459" s="489"/>
      <c r="EB459" s="490"/>
      <c r="EC459" s="489"/>
      <c r="ED459" s="490"/>
      <c r="EE459" s="489"/>
      <c r="EF459" s="490"/>
      <c r="EG459" s="489"/>
      <c r="EH459" s="490"/>
      <c r="EI459" s="489"/>
      <c r="EJ459" s="489"/>
      <c r="EK459" s="489"/>
      <c r="EL459" s="489"/>
      <c r="EM459" s="489"/>
      <c r="EN459" s="489"/>
      <c r="EO459" s="489"/>
      <c r="EP459" s="489"/>
      <c r="EQ459" s="489"/>
      <c r="ER459" s="489"/>
      <c r="ES459" s="489"/>
      <c r="ET459" s="489"/>
      <c r="EU459" s="489"/>
      <c r="EV459" s="489"/>
      <c r="EW459" s="489"/>
      <c r="EX459" s="489"/>
      <c r="EY459" s="489"/>
      <c r="EZ459" s="489"/>
      <c r="FA459" s="489"/>
      <c r="FB459" s="489"/>
      <c r="FC459" s="489"/>
      <c r="FD459" s="489"/>
      <c r="FE459" s="489"/>
      <c r="FF459" s="489"/>
      <c r="FG459" s="489"/>
      <c r="FH459" s="489"/>
      <c r="FI459" s="489"/>
      <c r="FJ459" s="489"/>
      <c r="FK459" s="489"/>
      <c r="FL459" s="489"/>
      <c r="FM459" s="489"/>
      <c r="FN459" s="489"/>
      <c r="FO459" s="489"/>
      <c r="FP459" s="489"/>
      <c r="FQ459" s="489"/>
      <c r="FR459" s="489"/>
      <c r="FS459" s="489"/>
    </row>
    <row r="460" spans="1:176" ht="12.75" hidden="1" customHeight="1" outlineLevel="1" x14ac:dyDescent="0.2">
      <c r="A460" s="348" t="str">
        <f>A$3</f>
        <v>($Millions Except Per Share Data)</v>
      </c>
      <c r="B460" s="502"/>
      <c r="C460" s="503" t="str">
        <f>C$3</f>
        <v>1Q03/</v>
      </c>
      <c r="D460" s="502"/>
      <c r="E460" s="503" t="str">
        <f>E$3</f>
        <v>2Q03/</v>
      </c>
      <c r="F460" s="502"/>
      <c r="G460" s="503" t="str">
        <f>G$3</f>
        <v>3Q03/</v>
      </c>
      <c r="H460" s="502"/>
      <c r="I460" s="503" t="str">
        <f>I$3</f>
        <v>4Q03/</v>
      </c>
      <c r="J460" s="502"/>
      <c r="K460" s="503" t="str">
        <f>K$3</f>
        <v>1Q04/</v>
      </c>
      <c r="L460" s="502"/>
      <c r="M460" s="503" t="str">
        <f>M$3</f>
        <v>2Q04/</v>
      </c>
      <c r="N460" s="502"/>
      <c r="O460" s="503" t="str">
        <f>O$3</f>
        <v>3Q04/</v>
      </c>
      <c r="P460" s="502"/>
      <c r="Q460" s="503" t="str">
        <f>Q$3</f>
        <v>4Q04/</v>
      </c>
      <c r="R460" s="502"/>
      <c r="S460" s="503" t="str">
        <f>S$3</f>
        <v>1Q05/</v>
      </c>
      <c r="T460" s="502"/>
      <c r="U460" s="503" t="str">
        <f>U$3</f>
        <v>2Q05/</v>
      </c>
      <c r="V460" s="502"/>
      <c r="W460" s="503" t="str">
        <f>W$3</f>
        <v>3Q05/</v>
      </c>
      <c r="X460" s="502"/>
      <c r="Y460" s="503" t="str">
        <f>Y$3</f>
        <v>4Q05/</v>
      </c>
      <c r="Z460" s="502"/>
      <c r="AA460" s="503" t="str">
        <f>AA$3</f>
        <v>1Q06/</v>
      </c>
      <c r="AB460" s="502"/>
      <c r="AC460" s="503" t="str">
        <f>AC$3</f>
        <v>2Q06/</v>
      </c>
      <c r="AD460" s="502"/>
      <c r="AE460" s="503" t="str">
        <f>AE$3</f>
        <v>3Q06/</v>
      </c>
      <c r="AF460" s="502"/>
      <c r="AG460" s="503" t="str">
        <f>AG$3</f>
        <v>4Q06/</v>
      </c>
      <c r="AH460" s="502"/>
      <c r="AI460" s="504" t="str">
        <f>AI$3</f>
        <v>1Q07/</v>
      </c>
      <c r="AJ460" s="502"/>
      <c r="AK460" s="504" t="str">
        <f>AK$3</f>
        <v>2Q07/</v>
      </c>
      <c r="AL460" s="502"/>
      <c r="AM460" s="504" t="str">
        <f>AM$3</f>
        <v>3Q07/</v>
      </c>
      <c r="AN460" s="502"/>
      <c r="AO460" s="504" t="str">
        <f>AO$3</f>
        <v>4Q07/</v>
      </c>
      <c r="AP460" s="502"/>
      <c r="AQ460" s="504" t="str">
        <f>AQ$3</f>
        <v>1Q08/</v>
      </c>
      <c r="AR460" s="502"/>
      <c r="AS460" s="504" t="str">
        <f>AS$3</f>
        <v>2Q08/</v>
      </c>
      <c r="AT460" s="502"/>
      <c r="AU460" s="504" t="str">
        <f>AU$3</f>
        <v>3Q08/</v>
      </c>
      <c r="AV460" s="502"/>
      <c r="AW460" s="504" t="str">
        <f>AW$3</f>
        <v>4Q08/</v>
      </c>
      <c r="AX460" s="502"/>
      <c r="AY460" s="504" t="str">
        <f>AY$3</f>
        <v>1Q09/</v>
      </c>
      <c r="AZ460" s="502"/>
      <c r="BA460" s="504" t="str">
        <f>BA$3</f>
        <v>2Q09/</v>
      </c>
      <c r="BB460" s="502"/>
      <c r="BC460" s="504" t="str">
        <f>BC$3</f>
        <v>3Q09/</v>
      </c>
      <c r="BD460" s="502"/>
      <c r="BE460" s="504" t="str">
        <f>BE$3</f>
        <v>4Q09/</v>
      </c>
      <c r="BF460" s="502"/>
      <c r="BG460" s="504" t="str">
        <f>BG$3</f>
        <v>1Q10/</v>
      </c>
      <c r="BH460" s="502"/>
      <c r="BI460" s="504" t="str">
        <f>BI$3</f>
        <v>2Q10/</v>
      </c>
      <c r="BJ460" s="502"/>
      <c r="BK460" s="504" t="str">
        <f>BK$3</f>
        <v>3Q10/</v>
      </c>
      <c r="BL460" s="502"/>
      <c r="BM460" s="504" t="str">
        <f>BM$3</f>
        <v>4Q10/</v>
      </c>
      <c r="BN460" s="502"/>
      <c r="BO460" s="504" t="str">
        <f>BO$3</f>
        <v>1Q11/</v>
      </c>
      <c r="BP460" s="502"/>
      <c r="BQ460" s="504" t="str">
        <f>BQ$3</f>
        <v>2Q11/</v>
      </c>
      <c r="BR460" s="502"/>
      <c r="BS460" s="504" t="str">
        <f>BS$3</f>
        <v>3Q11/</v>
      </c>
      <c r="BT460" s="502"/>
      <c r="BU460" s="504" t="str">
        <f>BU$3</f>
        <v>4Q11/</v>
      </c>
      <c r="BV460" s="502"/>
      <c r="BW460" s="504" t="str">
        <f>BW$3</f>
        <v>1Q12/</v>
      </c>
      <c r="BX460" s="502"/>
      <c r="BY460" s="504" t="str">
        <f>BY$3</f>
        <v>2Q12/</v>
      </c>
      <c r="BZ460" s="502"/>
      <c r="CA460" s="504" t="str">
        <f>CA$3</f>
        <v>3Q12/</v>
      </c>
      <c r="CB460" s="502"/>
      <c r="CC460" s="504" t="str">
        <f>CC$3</f>
        <v>4Q12/</v>
      </c>
      <c r="CD460" s="502"/>
      <c r="CE460" s="504" t="str">
        <f>CE$3</f>
        <v>1Q13/</v>
      </c>
      <c r="CF460" s="502"/>
      <c r="CG460" s="504" t="str">
        <f>CG$3</f>
        <v>2Q13/</v>
      </c>
      <c r="CH460" s="502"/>
      <c r="CI460" s="504" t="str">
        <f>CI$3</f>
        <v>3Q13/</v>
      </c>
      <c r="CJ460" s="502"/>
      <c r="CK460" s="504" t="str">
        <f>CK$3</f>
        <v>4Q13/</v>
      </c>
      <c r="CL460" s="502"/>
      <c r="CM460" s="504" t="str">
        <f>CM$3</f>
        <v>1Q14/</v>
      </c>
      <c r="CN460" s="502"/>
      <c r="CO460" s="504" t="str">
        <f>CO$3</f>
        <v>2Q14/</v>
      </c>
      <c r="CP460" s="502"/>
      <c r="CQ460" s="504" t="str">
        <f>CQ$3</f>
        <v>3Q14/</v>
      </c>
      <c r="CR460" s="502"/>
      <c r="CS460" s="504" t="str">
        <f>CS$3</f>
        <v>4Q14/</v>
      </c>
      <c r="CT460" s="502"/>
      <c r="CU460" s="504" t="str">
        <f>CU$3</f>
        <v>1Q15/</v>
      </c>
      <c r="CV460" s="502"/>
      <c r="CW460" s="504" t="str">
        <f>CW$3</f>
        <v>2Q15/</v>
      </c>
      <c r="CX460" s="502"/>
      <c r="CY460" s="504" t="str">
        <f>CY$3</f>
        <v>3Q15/</v>
      </c>
      <c r="CZ460" s="502"/>
      <c r="DA460" s="504" t="str">
        <f>DA$3</f>
        <v>4Q15/</v>
      </c>
      <c r="DB460" s="502"/>
      <c r="DC460" s="504" t="str">
        <f>DC$3</f>
        <v>1Q16/</v>
      </c>
      <c r="DD460" s="502"/>
      <c r="DE460" s="504" t="str">
        <f>DE$3</f>
        <v>2Q16/</v>
      </c>
      <c r="DF460" s="502"/>
      <c r="DG460" s="504" t="str">
        <f>DG$3</f>
        <v>3Q16/</v>
      </c>
      <c r="DH460" s="502"/>
      <c r="DI460" s="504" t="str">
        <f>DI$3</f>
        <v>4Q16/</v>
      </c>
      <c r="DJ460" s="502"/>
      <c r="DK460" s="504" t="str">
        <f>DK$3</f>
        <v>1Q17/</v>
      </c>
      <c r="DL460" s="502"/>
      <c r="DM460" s="504" t="str">
        <f>DM$3</f>
        <v>2Q17/</v>
      </c>
      <c r="DN460" s="502"/>
      <c r="DO460" s="504" t="str">
        <f>DO$3</f>
        <v>3Q17/</v>
      </c>
      <c r="DP460" s="502"/>
      <c r="DQ460" s="504" t="str">
        <f>DQ$3</f>
        <v>4Q17/</v>
      </c>
      <c r="DR460" s="502"/>
      <c r="DS460" s="504" t="str">
        <f>DS$3</f>
        <v>1Q18E/</v>
      </c>
      <c r="DT460" s="502"/>
      <c r="DU460" s="504" t="str">
        <f>DU$3</f>
        <v>2Q18E/</v>
      </c>
      <c r="DV460" s="502"/>
      <c r="DW460" s="504" t="str">
        <f>DW$3</f>
        <v>3Q18E/</v>
      </c>
      <c r="DX460" s="502"/>
      <c r="DY460" s="504" t="str">
        <f>DY$3</f>
        <v>4Q18E/</v>
      </c>
      <c r="DZ460" s="502"/>
      <c r="EA460" s="504"/>
      <c r="EB460" s="503" t="str">
        <f>EB$3</f>
        <v>2001/</v>
      </c>
      <c r="EC460" s="502"/>
      <c r="ED460" s="503" t="str">
        <f>ED$3</f>
        <v>2002/</v>
      </c>
      <c r="EE460" s="502"/>
      <c r="EF460" s="503" t="str">
        <f>EF$3</f>
        <v>2003/</v>
      </c>
      <c r="EG460" s="502"/>
      <c r="EH460" s="503" t="str">
        <f>EH$3</f>
        <v>2004/</v>
      </c>
      <c r="EI460" s="502"/>
      <c r="EJ460" s="504" t="str">
        <f>EJ$3</f>
        <v>2005/</v>
      </c>
      <c r="EK460" s="502"/>
      <c r="EL460" s="504" t="str">
        <f>EL$3</f>
        <v>2006/</v>
      </c>
      <c r="EM460" s="502"/>
      <c r="EN460" s="504" t="str">
        <f>EN$3</f>
        <v>2007/</v>
      </c>
      <c r="EO460" s="502"/>
      <c r="EP460" s="504" t="str">
        <f>EP$3</f>
        <v>2008/</v>
      </c>
      <c r="EQ460" s="502"/>
      <c r="ER460" s="504" t="str">
        <f>ER$3</f>
        <v>2009/</v>
      </c>
      <c r="ES460" s="502"/>
      <c r="ET460" s="504" t="str">
        <f>ET$3</f>
        <v>2010/</v>
      </c>
      <c r="EU460" s="502"/>
      <c r="EV460" s="504" t="str">
        <f>EV$3</f>
        <v>2011/</v>
      </c>
      <c r="EW460" s="502"/>
      <c r="EX460" s="504" t="str">
        <f>EX$3</f>
        <v>2012/</v>
      </c>
      <c r="EY460" s="502"/>
      <c r="EZ460" s="504" t="str">
        <f>EZ$3</f>
        <v>2013/</v>
      </c>
      <c r="FA460" s="502"/>
      <c r="FB460" s="504" t="str">
        <f>FB$3</f>
        <v>2014/</v>
      </c>
      <c r="FC460" s="502"/>
      <c r="FD460" s="504" t="str">
        <f>FD$3</f>
        <v>2015/</v>
      </c>
      <c r="FE460" s="502"/>
      <c r="FF460" s="504" t="str">
        <f>FF$3</f>
        <v>2016/</v>
      </c>
      <c r="FG460" s="502"/>
      <c r="FH460" s="504" t="str">
        <f>FH$3</f>
        <v>2017/</v>
      </c>
      <c r="FI460" s="502"/>
      <c r="FJ460" s="504" t="str">
        <f>FJ$3</f>
        <v>2018E/</v>
      </c>
      <c r="FK460" s="502"/>
      <c r="FL460" s="504" t="str">
        <f>FL$3</f>
        <v>2019E/</v>
      </c>
      <c r="FM460" s="502"/>
      <c r="FN460" s="504" t="str">
        <f>FN$3</f>
        <v>2020E/</v>
      </c>
      <c r="FO460" s="502"/>
      <c r="FP460" s="504" t="str">
        <f>FP$3</f>
        <v>2021E/</v>
      </c>
      <c r="FQ460" s="502"/>
      <c r="FR460" s="504" t="str">
        <f>FR$3</f>
        <v>2022E/</v>
      </c>
      <c r="FS460" s="504" t="str">
        <f>FS$3</f>
        <v>5-Yr</v>
      </c>
      <c r="FT460" s="349"/>
    </row>
    <row r="461" spans="1:176" ht="12.75" hidden="1" customHeight="1" outlineLevel="1" x14ac:dyDescent="0.2">
      <c r="A461" s="492"/>
      <c r="B461" s="491"/>
      <c r="C461" s="490" t="str">
        <f>C$4</f>
        <v>1Q02</v>
      </c>
      <c r="D461" s="491"/>
      <c r="E461" s="490" t="str">
        <f>E$4</f>
        <v>2Q02</v>
      </c>
      <c r="F461" s="491"/>
      <c r="G461" s="490" t="str">
        <f>G$4</f>
        <v>3Q02</v>
      </c>
      <c r="H461" s="491"/>
      <c r="I461" s="490" t="str">
        <f>I$4</f>
        <v>4Q02</v>
      </c>
      <c r="J461" s="491"/>
      <c r="K461" s="490" t="str">
        <f>K$4</f>
        <v>1Q03</v>
      </c>
      <c r="L461" s="491"/>
      <c r="M461" s="490" t="str">
        <f>M$4</f>
        <v>2Q03</v>
      </c>
      <c r="N461" s="491"/>
      <c r="O461" s="490" t="str">
        <f>O$4</f>
        <v>3Q03</v>
      </c>
      <c r="P461" s="491"/>
      <c r="Q461" s="490" t="str">
        <f>Q$4</f>
        <v>4Q03</v>
      </c>
      <c r="R461" s="491"/>
      <c r="S461" s="490" t="str">
        <f>S$4</f>
        <v>1Q04</v>
      </c>
      <c r="T461" s="491"/>
      <c r="U461" s="490" t="str">
        <f>U$4</f>
        <v>2Q04</v>
      </c>
      <c r="V461" s="491"/>
      <c r="W461" s="490" t="str">
        <f>W$4</f>
        <v>3Q04</v>
      </c>
      <c r="X461" s="491"/>
      <c r="Y461" s="490" t="str">
        <f>Y$4</f>
        <v>4Q04</v>
      </c>
      <c r="Z461" s="491"/>
      <c r="AA461" s="490" t="str">
        <f>AA$4</f>
        <v>1Q05</v>
      </c>
      <c r="AB461" s="491"/>
      <c r="AC461" s="490" t="str">
        <f>AC$4</f>
        <v>2Q05</v>
      </c>
      <c r="AD461" s="491"/>
      <c r="AE461" s="490" t="str">
        <f>AE$4</f>
        <v>3Q05</v>
      </c>
      <c r="AF461" s="491"/>
      <c r="AG461" s="490" t="str">
        <f>AG$4</f>
        <v>4Q05</v>
      </c>
      <c r="AH461" s="491"/>
      <c r="AI461" s="489" t="str">
        <f>AI$4</f>
        <v>1Q06</v>
      </c>
      <c r="AJ461" s="491"/>
      <c r="AK461" s="489" t="str">
        <f>AK$4</f>
        <v>2Q06</v>
      </c>
      <c r="AL461" s="491"/>
      <c r="AM461" s="489" t="str">
        <f>AM$4</f>
        <v>3Q06</v>
      </c>
      <c r="AN461" s="491"/>
      <c r="AO461" s="489" t="str">
        <f>AO$4</f>
        <v>4Q06</v>
      </c>
      <c r="AP461" s="491"/>
      <c r="AQ461" s="489" t="str">
        <f>AQ$4</f>
        <v>1Q07</v>
      </c>
      <c r="AR461" s="491"/>
      <c r="AS461" s="489" t="str">
        <f>AS$4</f>
        <v>2Q07</v>
      </c>
      <c r="AT461" s="491"/>
      <c r="AU461" s="489" t="str">
        <f>AU$4</f>
        <v>3Q07</v>
      </c>
      <c r="AV461" s="491"/>
      <c r="AW461" s="489" t="str">
        <f>AW$4</f>
        <v>4Q07</v>
      </c>
      <c r="AX461" s="491"/>
      <c r="AY461" s="489" t="str">
        <f>AY$4</f>
        <v>1Q08</v>
      </c>
      <c r="AZ461" s="491"/>
      <c r="BA461" s="489" t="str">
        <f>BA$4</f>
        <v>2Q08</v>
      </c>
      <c r="BB461" s="491"/>
      <c r="BC461" s="489" t="str">
        <f>BC$4</f>
        <v>3Q08</v>
      </c>
      <c r="BD461" s="491"/>
      <c r="BE461" s="489" t="str">
        <f>BE$4</f>
        <v>4Q08</v>
      </c>
      <c r="BF461" s="491"/>
      <c r="BG461" s="489" t="str">
        <f>BG$4</f>
        <v>1Q09</v>
      </c>
      <c r="BH461" s="491"/>
      <c r="BI461" s="489" t="str">
        <f>BI$4</f>
        <v>2Q09</v>
      </c>
      <c r="BJ461" s="491"/>
      <c r="BK461" s="489" t="str">
        <f>BK$4</f>
        <v>3Q09</v>
      </c>
      <c r="BL461" s="491"/>
      <c r="BM461" s="489" t="str">
        <f>BM$4</f>
        <v>4Q09</v>
      </c>
      <c r="BN461" s="491"/>
      <c r="BO461" s="489" t="str">
        <f>BO$4</f>
        <v>1Q10</v>
      </c>
      <c r="BP461" s="491"/>
      <c r="BQ461" s="489" t="str">
        <f>BQ$4</f>
        <v>2Q10</v>
      </c>
      <c r="BR461" s="491"/>
      <c r="BS461" s="489" t="str">
        <f>BS$4</f>
        <v>3Q10</v>
      </c>
      <c r="BT461" s="491"/>
      <c r="BU461" s="489" t="str">
        <f>BU$4</f>
        <v>4Q10</v>
      </c>
      <c r="BV461" s="491"/>
      <c r="BW461" s="489" t="str">
        <f>BW$4</f>
        <v>1Q11</v>
      </c>
      <c r="BX461" s="491"/>
      <c r="BY461" s="489" t="str">
        <f>BY$4</f>
        <v>2Q11</v>
      </c>
      <c r="BZ461" s="491"/>
      <c r="CA461" s="489" t="str">
        <f>CA$4</f>
        <v>3Q11</v>
      </c>
      <c r="CB461" s="491"/>
      <c r="CC461" s="489" t="str">
        <f>CC$4</f>
        <v>4Q11</v>
      </c>
      <c r="CD461" s="491"/>
      <c r="CE461" s="489" t="str">
        <f>CE$4</f>
        <v>1Q12</v>
      </c>
      <c r="CF461" s="491"/>
      <c r="CG461" s="489" t="str">
        <f>CG$4</f>
        <v>2Q12</v>
      </c>
      <c r="CH461" s="491"/>
      <c r="CI461" s="489" t="str">
        <f>CI$4</f>
        <v>3Q12</v>
      </c>
      <c r="CJ461" s="491"/>
      <c r="CK461" s="489" t="str">
        <f>CK$4</f>
        <v>4Q12</v>
      </c>
      <c r="CL461" s="491"/>
      <c r="CM461" s="489" t="str">
        <f>CM$4</f>
        <v>1Q13</v>
      </c>
      <c r="CN461" s="491"/>
      <c r="CO461" s="489" t="str">
        <f>CO$4</f>
        <v>2Q13</v>
      </c>
      <c r="CP461" s="491"/>
      <c r="CQ461" s="489" t="str">
        <f>CQ$4</f>
        <v>3Q13</v>
      </c>
      <c r="CR461" s="491"/>
      <c r="CS461" s="489" t="str">
        <f>CS$4</f>
        <v>4Q13</v>
      </c>
      <c r="CT461" s="491"/>
      <c r="CU461" s="489" t="str">
        <f>CU$4</f>
        <v>1Q14</v>
      </c>
      <c r="CV461" s="491"/>
      <c r="CW461" s="489" t="str">
        <f>CW$4</f>
        <v>2Q14</v>
      </c>
      <c r="CX461" s="491"/>
      <c r="CY461" s="489" t="str">
        <f>CY$4</f>
        <v>3Q14</v>
      </c>
      <c r="CZ461" s="491"/>
      <c r="DA461" s="489" t="str">
        <f>DA$4</f>
        <v>4Q14</v>
      </c>
      <c r="DB461" s="491"/>
      <c r="DC461" s="489" t="str">
        <f>DC$4</f>
        <v>1Q15</v>
      </c>
      <c r="DD461" s="491"/>
      <c r="DE461" s="489" t="str">
        <f>DE$4</f>
        <v>2Q15</v>
      </c>
      <c r="DF461" s="491"/>
      <c r="DG461" s="489" t="str">
        <f>DG$4</f>
        <v>3Q15</v>
      </c>
      <c r="DH461" s="491"/>
      <c r="DI461" s="489" t="str">
        <f>DI$4</f>
        <v>4Q15</v>
      </c>
      <c r="DJ461" s="491"/>
      <c r="DK461" s="489" t="str">
        <f>DK$4</f>
        <v>1Q16</v>
      </c>
      <c r="DL461" s="491"/>
      <c r="DM461" s="489" t="str">
        <f>DM$4</f>
        <v>2Q16</v>
      </c>
      <c r="DN461" s="491"/>
      <c r="DO461" s="489" t="str">
        <f>DO$4</f>
        <v>3Q16</v>
      </c>
      <c r="DP461" s="491"/>
      <c r="DQ461" s="489" t="str">
        <f>DQ$4</f>
        <v>4Q16</v>
      </c>
      <c r="DR461" s="491"/>
      <c r="DS461" s="489" t="str">
        <f>DS$4</f>
        <v>1Q17</v>
      </c>
      <c r="DT461" s="491"/>
      <c r="DU461" s="489" t="str">
        <f>DU$4</f>
        <v>2Q17</v>
      </c>
      <c r="DV461" s="491"/>
      <c r="DW461" s="489" t="str">
        <f>DW$4</f>
        <v>3Q17</v>
      </c>
      <c r="DX461" s="491"/>
      <c r="DY461" s="489" t="str">
        <f>DY$4</f>
        <v>4Q17</v>
      </c>
      <c r="DZ461" s="491"/>
      <c r="EA461" s="489"/>
      <c r="EB461" s="490" t="str">
        <f>EB$4</f>
        <v>2000</v>
      </c>
      <c r="EC461" s="491"/>
      <c r="ED461" s="490" t="str">
        <f>ED$4</f>
        <v>2001</v>
      </c>
      <c r="EE461" s="491"/>
      <c r="EF461" s="490" t="str">
        <f>EF$4</f>
        <v>2002</v>
      </c>
      <c r="EG461" s="491"/>
      <c r="EH461" s="490" t="str">
        <f>EH$4</f>
        <v>2003</v>
      </c>
      <c r="EI461" s="491"/>
      <c r="EJ461" s="489">
        <f>EJ$4</f>
        <v>2004</v>
      </c>
      <c r="EK461" s="491"/>
      <c r="EL461" s="489" t="str">
        <f>EL$4</f>
        <v>2005</v>
      </c>
      <c r="EM461" s="491"/>
      <c r="EN461" s="489" t="str">
        <f>EN$4</f>
        <v>2006</v>
      </c>
      <c r="EO461" s="491"/>
      <c r="EP461" s="489">
        <f>EP$4</f>
        <v>2007</v>
      </c>
      <c r="EQ461" s="491"/>
      <c r="ER461" s="489" t="str">
        <f>ER$4</f>
        <v>2008</v>
      </c>
      <c r="ES461" s="491"/>
      <c r="ET461" s="489" t="str">
        <f>ET$4</f>
        <v>2009</v>
      </c>
      <c r="EU461" s="491"/>
      <c r="EV461" s="489" t="str">
        <f>EV$4</f>
        <v>2010</v>
      </c>
      <c r="EW461" s="491"/>
      <c r="EX461" s="489" t="str">
        <f>EX$4</f>
        <v>2011</v>
      </c>
      <c r="EY461" s="491"/>
      <c r="EZ461" s="489" t="str">
        <f>EZ$4</f>
        <v>2012</v>
      </c>
      <c r="FA461" s="491"/>
      <c r="FB461" s="489" t="str">
        <f>FB$4</f>
        <v>2013</v>
      </c>
      <c r="FC461" s="491"/>
      <c r="FD461" s="489">
        <f>FD$4</f>
        <v>2014</v>
      </c>
      <c r="FE461" s="491"/>
      <c r="FF461" s="489" t="str">
        <f>FF$4</f>
        <v>2015</v>
      </c>
      <c r="FG461" s="491"/>
      <c r="FH461" s="489">
        <f>FH$4</f>
        <v>2016</v>
      </c>
      <c r="FI461" s="491"/>
      <c r="FJ461" s="489">
        <f>FJ$4</f>
        <v>2017</v>
      </c>
      <c r="FK461" s="491"/>
      <c r="FL461" s="489" t="str">
        <f>FL$4</f>
        <v>2018E</v>
      </c>
      <c r="FM461" s="491"/>
      <c r="FN461" s="489" t="str">
        <f>FN$4</f>
        <v>2019E</v>
      </c>
      <c r="FO461" s="491"/>
      <c r="FP461" s="489" t="str">
        <f>FP$4</f>
        <v>2020E</v>
      </c>
      <c r="FQ461" s="491"/>
      <c r="FR461" s="489" t="str">
        <f>FR$4</f>
        <v>2021E</v>
      </c>
      <c r="FS461" s="489" t="str">
        <f>FS$4</f>
        <v>CAGR</v>
      </c>
      <c r="FT461" s="349"/>
    </row>
    <row r="462" spans="1:176" ht="12.75" hidden="1" customHeight="1" outlineLevel="1" x14ac:dyDescent="0.2">
      <c r="A462" s="493"/>
      <c r="B462" s="494" t="str">
        <f>+B$5</f>
        <v>1Q03</v>
      </c>
      <c r="C462" s="495" t="str">
        <f>C$5</f>
        <v>% Chg</v>
      </c>
      <c r="D462" s="494" t="str">
        <f>+D$5</f>
        <v>2Q03</v>
      </c>
      <c r="E462" s="495" t="str">
        <f>E$5</f>
        <v>% Chg</v>
      </c>
      <c r="F462" s="494" t="str">
        <f>+F$5</f>
        <v>3Q03</v>
      </c>
      <c r="G462" s="495" t="str">
        <f>G$5</f>
        <v>% Chg</v>
      </c>
      <c r="H462" s="494" t="str">
        <f>+H$5</f>
        <v>4Q03</v>
      </c>
      <c r="I462" s="495" t="str">
        <f>I$5</f>
        <v>% Chg</v>
      </c>
      <c r="J462" s="494" t="str">
        <f>+J$5</f>
        <v>1Q04</v>
      </c>
      <c r="K462" s="495" t="str">
        <f>K$5</f>
        <v>% Chg</v>
      </c>
      <c r="L462" s="494" t="str">
        <f>+L$5</f>
        <v>2Q04</v>
      </c>
      <c r="M462" s="495" t="str">
        <f>M$5</f>
        <v>% Chg</v>
      </c>
      <c r="N462" s="494" t="str">
        <f>+N$5</f>
        <v>3Q04</v>
      </c>
      <c r="O462" s="495" t="str">
        <f>O$5</f>
        <v>% Chg</v>
      </c>
      <c r="P462" s="494" t="str">
        <f>+P$5</f>
        <v>4Q04</v>
      </c>
      <c r="Q462" s="495" t="str">
        <f>Q$5</f>
        <v>% Chg</v>
      </c>
      <c r="R462" s="494" t="str">
        <f>+R$5</f>
        <v>1Q05</v>
      </c>
      <c r="S462" s="495" t="str">
        <f>S$5</f>
        <v>% Chg</v>
      </c>
      <c r="T462" s="494" t="str">
        <f>+T$5</f>
        <v>2Q05</v>
      </c>
      <c r="U462" s="495" t="str">
        <f>U$5</f>
        <v>% Chg</v>
      </c>
      <c r="V462" s="494" t="str">
        <f>+V$5</f>
        <v>3Q05</v>
      </c>
      <c r="W462" s="495" t="str">
        <f>W$5</f>
        <v>% Chg</v>
      </c>
      <c r="X462" s="494" t="str">
        <f>+X$5</f>
        <v>4Q05</v>
      </c>
      <c r="Y462" s="495" t="str">
        <f>Y$5</f>
        <v>% Chg</v>
      </c>
      <c r="Z462" s="494" t="str">
        <f>+Z$5</f>
        <v>1Q06</v>
      </c>
      <c r="AA462" s="495" t="str">
        <f>AA$5</f>
        <v>% Chg</v>
      </c>
      <c r="AB462" s="494" t="str">
        <f>+AB$5</f>
        <v>2Q06</v>
      </c>
      <c r="AC462" s="495" t="str">
        <f>AC$5</f>
        <v>% Chg</v>
      </c>
      <c r="AD462" s="494" t="str">
        <f>+AD$5</f>
        <v>3Q06</v>
      </c>
      <c r="AE462" s="495" t="str">
        <f>AE$5</f>
        <v>% Chg</v>
      </c>
      <c r="AF462" s="494" t="str">
        <f>+AF$5</f>
        <v>4Q06</v>
      </c>
      <c r="AG462" s="495" t="str">
        <f>AG$5</f>
        <v>% Chg</v>
      </c>
      <c r="AH462" s="494" t="str">
        <f>+AH$5</f>
        <v>1Q07</v>
      </c>
      <c r="AI462" s="496" t="str">
        <f>AI$5</f>
        <v>% Chg</v>
      </c>
      <c r="AJ462" s="494" t="str">
        <f>+AJ$5</f>
        <v>2Q07</v>
      </c>
      <c r="AK462" s="496" t="str">
        <f>AK$5</f>
        <v>% Chg</v>
      </c>
      <c r="AL462" s="494" t="str">
        <f>+AL$5</f>
        <v>3Q07</v>
      </c>
      <c r="AM462" s="496" t="str">
        <f>AM$5</f>
        <v>% Chg</v>
      </c>
      <c r="AN462" s="494" t="str">
        <f>+AN$5</f>
        <v>4Q07</v>
      </c>
      <c r="AO462" s="496" t="str">
        <f>AO$5</f>
        <v>% Chg</v>
      </c>
      <c r="AP462" s="494" t="str">
        <f>+AP$5</f>
        <v>1Q08</v>
      </c>
      <c r="AQ462" s="496" t="str">
        <f>AQ$5</f>
        <v>% Chg</v>
      </c>
      <c r="AR462" s="494" t="str">
        <f>+AR$5</f>
        <v>2Q08</v>
      </c>
      <c r="AS462" s="496" t="str">
        <f>AS$5</f>
        <v>% Chg</v>
      </c>
      <c r="AT462" s="494" t="str">
        <f>+AT$5</f>
        <v>3Q08</v>
      </c>
      <c r="AU462" s="496" t="str">
        <f>AU$5</f>
        <v>% Chg</v>
      </c>
      <c r="AV462" s="494" t="str">
        <f>+AV$5</f>
        <v>4Q08</v>
      </c>
      <c r="AW462" s="496" t="str">
        <f>AW$5</f>
        <v>% Chg</v>
      </c>
      <c r="AX462" s="494" t="str">
        <f>+AX$5</f>
        <v>1Q09</v>
      </c>
      <c r="AY462" s="496" t="str">
        <f>AY$5</f>
        <v>% Chg</v>
      </c>
      <c r="AZ462" s="494" t="str">
        <f>+AZ$5</f>
        <v>2Q09</v>
      </c>
      <c r="BA462" s="496" t="str">
        <f>BA$5</f>
        <v>% Chg</v>
      </c>
      <c r="BB462" s="494" t="str">
        <f>+BB$5</f>
        <v>3Q09</v>
      </c>
      <c r="BC462" s="496" t="str">
        <f>BC$5</f>
        <v>% Chg</v>
      </c>
      <c r="BD462" s="494" t="str">
        <f>+BD$5</f>
        <v>4Q09</v>
      </c>
      <c r="BE462" s="496" t="str">
        <f>BE$5</f>
        <v>% Chg</v>
      </c>
      <c r="BF462" s="494" t="str">
        <f>+BF$5</f>
        <v>1Q10</v>
      </c>
      <c r="BG462" s="496" t="str">
        <f>BG$5</f>
        <v>% Chg</v>
      </c>
      <c r="BH462" s="494" t="str">
        <f>+BH$5</f>
        <v>2Q10</v>
      </c>
      <c r="BI462" s="496" t="str">
        <f>BI$5</f>
        <v>% Chg</v>
      </c>
      <c r="BJ462" s="494" t="str">
        <f>+BJ$5</f>
        <v>3Q10</v>
      </c>
      <c r="BK462" s="496" t="str">
        <f>BK$5</f>
        <v>% Chg</v>
      </c>
      <c r="BL462" s="494" t="str">
        <f>+BL$5</f>
        <v>4Q10</v>
      </c>
      <c r="BM462" s="496" t="str">
        <f>BM$5</f>
        <v>% Chg</v>
      </c>
      <c r="BN462" s="494" t="str">
        <f>+BN$5</f>
        <v>1Q11</v>
      </c>
      <c r="BO462" s="496" t="str">
        <f>BO$5</f>
        <v>% Chg</v>
      </c>
      <c r="BP462" s="494" t="str">
        <f>+BP$5</f>
        <v>2Q11</v>
      </c>
      <c r="BQ462" s="496" t="str">
        <f>BQ$5</f>
        <v>% Chg</v>
      </c>
      <c r="BR462" s="494" t="str">
        <f>+BR$5</f>
        <v>3Q11</v>
      </c>
      <c r="BS462" s="496" t="str">
        <f>BS$5</f>
        <v>% Chg</v>
      </c>
      <c r="BT462" s="494" t="str">
        <f>+BT$5</f>
        <v>4Q11</v>
      </c>
      <c r="BU462" s="496" t="str">
        <f>BU$5</f>
        <v>% Chg</v>
      </c>
      <c r="BV462" s="494" t="str">
        <f>+BV$5</f>
        <v>1Q12</v>
      </c>
      <c r="BW462" s="496" t="str">
        <f>BW$5</f>
        <v>% Chg</v>
      </c>
      <c r="BX462" s="494" t="str">
        <f>+BX$5</f>
        <v>2Q12</v>
      </c>
      <c r="BY462" s="496" t="str">
        <f>BY$5</f>
        <v>% Chg</v>
      </c>
      <c r="BZ462" s="494" t="str">
        <f>+BZ$5</f>
        <v>3Q12</v>
      </c>
      <c r="CA462" s="496" t="str">
        <f>CA$5</f>
        <v>% Chg</v>
      </c>
      <c r="CB462" s="494" t="str">
        <f>+CB$5</f>
        <v>4Q12</v>
      </c>
      <c r="CC462" s="496" t="str">
        <f>CC$5</f>
        <v>% Chg</v>
      </c>
      <c r="CD462" s="494" t="str">
        <f>+CD$5</f>
        <v>1Q13</v>
      </c>
      <c r="CE462" s="496" t="str">
        <f>CE$5</f>
        <v>% Chg</v>
      </c>
      <c r="CF462" s="494" t="str">
        <f>+CF$5</f>
        <v>2Q13</v>
      </c>
      <c r="CG462" s="496" t="str">
        <f>CG$5</f>
        <v>% Chg</v>
      </c>
      <c r="CH462" s="494" t="str">
        <f>+CH$5</f>
        <v>3Q13</v>
      </c>
      <c r="CI462" s="496" t="str">
        <f>CI$5</f>
        <v>% Chg</v>
      </c>
      <c r="CJ462" s="494" t="str">
        <f>+CJ$5</f>
        <v>4Q13</v>
      </c>
      <c r="CK462" s="496" t="str">
        <f>CK$5</f>
        <v>% Chg</v>
      </c>
      <c r="CL462" s="494" t="str">
        <f>+CL$5</f>
        <v>1Q14</v>
      </c>
      <c r="CM462" s="496" t="str">
        <f>CM$5</f>
        <v>% Chg</v>
      </c>
      <c r="CN462" s="494" t="str">
        <f>+CN$5</f>
        <v>2Q14</v>
      </c>
      <c r="CO462" s="496" t="str">
        <f>CO$5</f>
        <v>% Chg</v>
      </c>
      <c r="CP462" s="494" t="str">
        <f>+CP$5</f>
        <v>3Q14</v>
      </c>
      <c r="CQ462" s="496" t="str">
        <f>CQ$5</f>
        <v>% Chg</v>
      </c>
      <c r="CR462" s="494" t="str">
        <f>+CR$5</f>
        <v>4Q14</v>
      </c>
      <c r="CS462" s="496" t="str">
        <f>CS$5</f>
        <v>% Chg</v>
      </c>
      <c r="CT462" s="494" t="str">
        <f>+CT$5</f>
        <v>1Q15</v>
      </c>
      <c r="CU462" s="496" t="str">
        <f>CU$5</f>
        <v>% Chg</v>
      </c>
      <c r="CV462" s="494" t="str">
        <f>+CV$5</f>
        <v>2Q15</v>
      </c>
      <c r="CW462" s="496" t="str">
        <f>CW$5</f>
        <v>% Chg</v>
      </c>
      <c r="CX462" s="494" t="str">
        <f>+CX$5</f>
        <v>3Q15</v>
      </c>
      <c r="CY462" s="496" t="str">
        <f>CY$5</f>
        <v>% Chg</v>
      </c>
      <c r="CZ462" s="494" t="str">
        <f>+CZ$5</f>
        <v>4Q15</v>
      </c>
      <c r="DA462" s="496" t="str">
        <f>DA$5</f>
        <v>% Chg</v>
      </c>
      <c r="DB462" s="494" t="str">
        <f>+DB$5</f>
        <v>1Q16</v>
      </c>
      <c r="DC462" s="496" t="str">
        <f>DC$5</f>
        <v>% Chg</v>
      </c>
      <c r="DD462" s="494" t="str">
        <f>+DD$5</f>
        <v>2Q16</v>
      </c>
      <c r="DE462" s="496" t="str">
        <f>DE$5</f>
        <v>% Chg</v>
      </c>
      <c r="DF462" s="494" t="str">
        <f>+DF$5</f>
        <v>3Q16</v>
      </c>
      <c r="DG462" s="496" t="str">
        <f>DG$5</f>
        <v>% Chg</v>
      </c>
      <c r="DH462" s="494" t="str">
        <f>+DH$5</f>
        <v>4Q16</v>
      </c>
      <c r="DI462" s="496" t="str">
        <f>DI$5</f>
        <v>% Chg</v>
      </c>
      <c r="DJ462" s="494" t="str">
        <f>+DJ$5</f>
        <v>1Q17</v>
      </c>
      <c r="DK462" s="496" t="str">
        <f>DK$5</f>
        <v>% Chg</v>
      </c>
      <c r="DL462" s="494" t="str">
        <f>+DL$5</f>
        <v>2Q17</v>
      </c>
      <c r="DM462" s="496" t="str">
        <f>DM$5</f>
        <v>% Chg</v>
      </c>
      <c r="DN462" s="494" t="str">
        <f>+DN$5</f>
        <v>3Q17</v>
      </c>
      <c r="DO462" s="496" t="str">
        <f>DO$5</f>
        <v>% Chg</v>
      </c>
      <c r="DP462" s="494" t="str">
        <f>+DP$5</f>
        <v>4Q17</v>
      </c>
      <c r="DQ462" s="496" t="str">
        <f>DQ$5</f>
        <v>% Chg</v>
      </c>
      <c r="DR462" s="494" t="str">
        <f>+DR$5</f>
        <v>1Q18E</v>
      </c>
      <c r="DS462" s="496" t="str">
        <f>DS$5</f>
        <v>% Chg</v>
      </c>
      <c r="DT462" s="494" t="str">
        <f>+DT$5</f>
        <v>2Q18E</v>
      </c>
      <c r="DU462" s="496" t="str">
        <f>DU$5</f>
        <v>% Chg</v>
      </c>
      <c r="DV462" s="494" t="str">
        <f>+DV$5</f>
        <v>3Q18E</v>
      </c>
      <c r="DW462" s="496" t="str">
        <f>DW$5</f>
        <v>% Chg</v>
      </c>
      <c r="DX462" s="494" t="str">
        <f>+DX$5</f>
        <v>4Q18E</v>
      </c>
      <c r="DY462" s="496" t="str">
        <f>DY$5</f>
        <v>% Chg</v>
      </c>
      <c r="DZ462" s="494"/>
      <c r="EA462" s="496"/>
      <c r="EB462" s="495" t="str">
        <f>EB$5</f>
        <v>% Chg</v>
      </c>
      <c r="EC462" s="494" t="str">
        <f t="shared" ref="EC462:FQ462" si="29">+EC$5</f>
        <v>2002</v>
      </c>
      <c r="ED462" s="495" t="str">
        <f>ED$5</f>
        <v>% Chg</v>
      </c>
      <c r="EE462" s="494" t="str">
        <f t="shared" si="29"/>
        <v>2003</v>
      </c>
      <c r="EF462" s="495" t="str">
        <f>EF$5</f>
        <v>% Chg</v>
      </c>
      <c r="EG462" s="494">
        <f t="shared" si="29"/>
        <v>2004</v>
      </c>
      <c r="EH462" s="495" t="str">
        <f>EH$5</f>
        <v>% Chg</v>
      </c>
      <c r="EI462" s="494" t="str">
        <f t="shared" si="29"/>
        <v>2005</v>
      </c>
      <c r="EJ462" s="496" t="str">
        <f>EJ$5</f>
        <v>% Chg</v>
      </c>
      <c r="EK462" s="494" t="str">
        <f t="shared" si="29"/>
        <v>2006</v>
      </c>
      <c r="EL462" s="496" t="str">
        <f>EL$5</f>
        <v>% Chg</v>
      </c>
      <c r="EM462" s="494">
        <f t="shared" si="29"/>
        <v>2007</v>
      </c>
      <c r="EN462" s="496" t="str">
        <f>EN$5</f>
        <v>% Chg</v>
      </c>
      <c r="EO462" s="494" t="str">
        <f t="shared" si="29"/>
        <v>2008</v>
      </c>
      <c r="EP462" s="496" t="str">
        <f>EP$5</f>
        <v>% Chg</v>
      </c>
      <c r="EQ462" s="494" t="str">
        <f t="shared" si="29"/>
        <v>2009</v>
      </c>
      <c r="ER462" s="496" t="str">
        <f>ER$5</f>
        <v>% Chg</v>
      </c>
      <c r="ES462" s="494" t="str">
        <f t="shared" si="29"/>
        <v>2010</v>
      </c>
      <c r="ET462" s="496" t="str">
        <f>ET$5</f>
        <v>% Chg</v>
      </c>
      <c r="EU462" s="494" t="str">
        <f t="shared" si="29"/>
        <v>2011</v>
      </c>
      <c r="EV462" s="496" t="str">
        <f>EV$5</f>
        <v>% Chg</v>
      </c>
      <c r="EW462" s="494" t="str">
        <f t="shared" si="29"/>
        <v>2012</v>
      </c>
      <c r="EX462" s="496" t="str">
        <f>EX$5</f>
        <v>% Chg</v>
      </c>
      <c r="EY462" s="494" t="str">
        <f t="shared" si="29"/>
        <v>2013</v>
      </c>
      <c r="EZ462" s="496" t="str">
        <f>EZ$5</f>
        <v>% Chg</v>
      </c>
      <c r="FA462" s="494">
        <f t="shared" si="29"/>
        <v>2014</v>
      </c>
      <c r="FB462" s="496" t="str">
        <f>FB$5</f>
        <v>% Chg</v>
      </c>
      <c r="FC462" s="494" t="str">
        <f t="shared" si="29"/>
        <v>2015</v>
      </c>
      <c r="FD462" s="496" t="str">
        <f>FD$5</f>
        <v>% Chg</v>
      </c>
      <c r="FE462" s="494">
        <f t="shared" si="29"/>
        <v>2016</v>
      </c>
      <c r="FF462" s="496" t="str">
        <f>FF$5</f>
        <v>% Chg</v>
      </c>
      <c r="FG462" s="494">
        <f t="shared" si="29"/>
        <v>2017</v>
      </c>
      <c r="FH462" s="496" t="str">
        <f>FH$5</f>
        <v>% Chg</v>
      </c>
      <c r="FI462" s="494" t="str">
        <f t="shared" si="29"/>
        <v>2018E</v>
      </c>
      <c r="FJ462" s="496" t="str">
        <f>FJ$5</f>
        <v>% Chg</v>
      </c>
      <c r="FK462" s="494" t="str">
        <f t="shared" si="29"/>
        <v>2019E</v>
      </c>
      <c r="FL462" s="496" t="str">
        <f>FL$5</f>
        <v>% Chg</v>
      </c>
      <c r="FM462" s="494" t="str">
        <f t="shared" si="29"/>
        <v>2020E</v>
      </c>
      <c r="FN462" s="496" t="str">
        <f>FN$5</f>
        <v>% Chg</v>
      </c>
      <c r="FO462" s="494" t="str">
        <f t="shared" si="29"/>
        <v>2021E</v>
      </c>
      <c r="FP462" s="496" t="str">
        <f>FP$5</f>
        <v>% Chg</v>
      </c>
      <c r="FQ462" s="494" t="str">
        <f t="shared" si="29"/>
        <v>2022E</v>
      </c>
      <c r="FR462" s="496" t="str">
        <f>FR$5</f>
        <v>% Chg</v>
      </c>
      <c r="FS462" s="496" t="str">
        <f>FS$5</f>
        <v>(%)</v>
      </c>
      <c r="FT462" s="349"/>
    </row>
    <row r="463" spans="1:176" ht="12.75" hidden="1" customHeight="1" outlineLevel="1" x14ac:dyDescent="0.2">
      <c r="A463" s="70"/>
      <c r="B463" s="497"/>
      <c r="C463" s="155"/>
      <c r="D463" s="497"/>
      <c r="E463" s="155"/>
      <c r="F463" s="497"/>
      <c r="G463" s="155"/>
      <c r="H463" s="497"/>
      <c r="I463" s="155"/>
      <c r="J463" s="497"/>
      <c r="K463" s="155"/>
      <c r="L463" s="497"/>
      <c r="M463" s="155"/>
      <c r="N463" s="497"/>
      <c r="O463" s="155"/>
      <c r="P463" s="497"/>
      <c r="Q463" s="155"/>
      <c r="R463" s="497"/>
      <c r="S463" s="155"/>
      <c r="T463" s="497"/>
      <c r="U463" s="155"/>
      <c r="V463" s="497"/>
      <c r="W463" s="155"/>
      <c r="X463" s="497"/>
      <c r="Y463" s="155"/>
      <c r="Z463" s="497"/>
      <c r="AA463" s="155"/>
      <c r="AB463" s="497"/>
      <c r="AC463" s="155"/>
      <c r="AD463" s="497"/>
      <c r="AE463" s="155"/>
      <c r="AF463" s="497"/>
      <c r="AG463" s="155"/>
      <c r="AH463" s="497"/>
      <c r="AI463" s="240"/>
      <c r="AJ463" s="497"/>
      <c r="AK463" s="240"/>
      <c r="AL463" s="497"/>
      <c r="AM463" s="240"/>
      <c r="AN463" s="497"/>
      <c r="AO463" s="240"/>
      <c r="AP463" s="497"/>
      <c r="AQ463" s="240"/>
      <c r="AR463" s="497"/>
      <c r="AS463" s="240"/>
      <c r="AT463" s="497"/>
      <c r="AU463" s="240"/>
      <c r="AV463" s="497"/>
      <c r="AW463" s="240"/>
      <c r="AX463" s="497"/>
      <c r="AY463" s="240"/>
      <c r="AZ463" s="497"/>
      <c r="BA463" s="240"/>
      <c r="BB463" s="497"/>
      <c r="BC463" s="240"/>
      <c r="BD463" s="497"/>
      <c r="BE463" s="240"/>
      <c r="BF463" s="497"/>
      <c r="BG463" s="240"/>
      <c r="BH463" s="497"/>
      <c r="BI463" s="240"/>
      <c r="BJ463" s="497"/>
      <c r="BK463" s="240"/>
      <c r="BL463" s="497"/>
      <c r="BM463" s="240"/>
      <c r="BN463" s="497"/>
      <c r="BO463" s="240"/>
      <c r="BP463" s="497"/>
      <c r="BQ463" s="240"/>
      <c r="BR463" s="497"/>
      <c r="BS463" s="240"/>
      <c r="BT463" s="497"/>
      <c r="BU463" s="240"/>
      <c r="BV463" s="497"/>
      <c r="BW463" s="240"/>
      <c r="BX463" s="497"/>
      <c r="BY463" s="240"/>
      <c r="BZ463" s="497"/>
      <c r="CA463" s="240"/>
      <c r="CB463" s="497"/>
      <c r="CC463" s="240"/>
      <c r="CD463" s="497"/>
      <c r="CE463" s="240"/>
      <c r="CF463" s="497"/>
      <c r="CG463" s="240"/>
      <c r="CH463" s="497"/>
      <c r="CI463" s="240"/>
      <c r="CJ463" s="497"/>
      <c r="CK463" s="240"/>
      <c r="CL463" s="497"/>
      <c r="CM463" s="240"/>
      <c r="CN463" s="497"/>
      <c r="CO463" s="240"/>
      <c r="CP463" s="497"/>
      <c r="CQ463" s="240"/>
      <c r="CR463" s="497"/>
      <c r="CS463" s="240"/>
      <c r="CT463" s="497"/>
      <c r="CU463" s="240"/>
      <c r="CV463" s="497"/>
      <c r="CW463" s="240"/>
      <c r="CX463" s="497"/>
      <c r="CY463" s="240"/>
      <c r="CZ463" s="497"/>
      <c r="DA463" s="240"/>
      <c r="DB463" s="497"/>
      <c r="DC463" s="240"/>
      <c r="DD463" s="497"/>
      <c r="DE463" s="240"/>
      <c r="DF463" s="497"/>
      <c r="DG463" s="240"/>
      <c r="DH463" s="497"/>
      <c r="DI463" s="240"/>
      <c r="DJ463" s="497"/>
      <c r="DK463" s="240"/>
      <c r="DL463" s="497"/>
      <c r="DM463" s="240"/>
      <c r="DN463" s="497"/>
      <c r="DO463" s="240"/>
      <c r="DP463" s="497"/>
      <c r="DQ463" s="240"/>
      <c r="DR463" s="497"/>
      <c r="DS463" s="240"/>
      <c r="DT463" s="497"/>
      <c r="DU463" s="240"/>
      <c r="DV463" s="497"/>
      <c r="DW463" s="240"/>
      <c r="DX463" s="497"/>
      <c r="DY463" s="240"/>
      <c r="DZ463" s="497"/>
      <c r="EA463" s="240"/>
      <c r="EB463" s="155"/>
      <c r="EC463" s="497"/>
      <c r="ED463" s="155"/>
      <c r="EE463" s="497"/>
      <c r="EF463" s="155"/>
      <c r="EG463" s="497"/>
      <c r="EH463" s="155"/>
      <c r="EI463" s="497"/>
      <c r="EJ463" s="240"/>
      <c r="EK463" s="497"/>
      <c r="EL463" s="240"/>
      <c r="EM463" s="497"/>
      <c r="EN463" s="240"/>
      <c r="EO463" s="497"/>
      <c r="EP463" s="240"/>
      <c r="EQ463" s="497"/>
      <c r="ER463" s="240"/>
      <c r="ES463" s="497"/>
      <c r="ET463" s="240"/>
      <c r="EU463" s="497"/>
      <c r="EV463" s="240"/>
      <c r="EW463" s="497"/>
      <c r="EX463" s="240"/>
      <c r="EY463" s="497"/>
      <c r="EZ463" s="240"/>
      <c r="FA463" s="497"/>
      <c r="FB463" s="240"/>
      <c r="FC463" s="497"/>
      <c r="FD463" s="240"/>
      <c r="FE463" s="497"/>
      <c r="FF463" s="240"/>
      <c r="FG463" s="497"/>
      <c r="FH463" s="240"/>
      <c r="FI463" s="497"/>
      <c r="FJ463" s="240"/>
      <c r="FK463" s="497"/>
      <c r="FL463" s="240"/>
      <c r="FM463" s="497"/>
      <c r="FN463" s="240"/>
      <c r="FO463" s="497"/>
      <c r="FP463" s="240"/>
      <c r="FQ463" s="497"/>
      <c r="FR463" s="240"/>
      <c r="FS463" s="240"/>
    </row>
    <row r="464" spans="1:176" ht="12.75" hidden="1" customHeight="1" outlineLevel="1" x14ac:dyDescent="0.2">
      <c r="A464" s="70" t="s">
        <v>128</v>
      </c>
      <c r="B464" s="510"/>
      <c r="C464" s="487"/>
      <c r="D464" s="510"/>
      <c r="E464" s="487"/>
      <c r="F464" s="510"/>
      <c r="G464" s="487"/>
      <c r="H464" s="510"/>
      <c r="I464" s="487"/>
      <c r="J464" s="510"/>
      <c r="K464" s="487"/>
      <c r="L464" s="510"/>
      <c r="M464" s="487"/>
      <c r="N464" s="510"/>
      <c r="O464" s="487"/>
      <c r="P464" s="510"/>
      <c r="Q464" s="487"/>
      <c r="R464" s="510"/>
      <c r="S464" s="487"/>
      <c r="T464" s="510"/>
      <c r="U464" s="487"/>
      <c r="V464" s="510"/>
      <c r="W464" s="487"/>
      <c r="X464" s="510"/>
      <c r="Y464" s="487"/>
      <c r="Z464" s="510"/>
      <c r="AA464" s="487"/>
      <c r="AB464" s="510"/>
      <c r="AC464" s="487"/>
      <c r="AD464" s="510"/>
      <c r="AE464" s="487"/>
      <c r="AF464" s="510"/>
      <c r="AG464" s="487"/>
      <c r="AH464" s="510"/>
      <c r="AI464" s="486"/>
      <c r="AJ464" s="510"/>
      <c r="AK464" s="486"/>
      <c r="AL464" s="510"/>
      <c r="AM464" s="486"/>
      <c r="AN464" s="510"/>
      <c r="AO464" s="486"/>
      <c r="AP464" s="510"/>
      <c r="AQ464" s="486"/>
      <c r="AR464" s="510"/>
      <c r="AS464" s="486"/>
      <c r="AT464" s="510"/>
      <c r="AU464" s="486"/>
      <c r="AV464" s="510"/>
      <c r="AW464" s="486"/>
      <c r="AX464" s="510"/>
      <c r="AY464" s="486"/>
      <c r="AZ464" s="510"/>
      <c r="BA464" s="486"/>
      <c r="BB464" s="510"/>
      <c r="BC464" s="486"/>
      <c r="BD464" s="510"/>
      <c r="BE464" s="486"/>
      <c r="BF464" s="510"/>
      <c r="BG464" s="486"/>
      <c r="BH464" s="510"/>
      <c r="BI464" s="486"/>
      <c r="BJ464" s="510"/>
      <c r="BK464" s="486"/>
      <c r="BL464" s="510"/>
      <c r="BM464" s="486"/>
      <c r="BN464" s="510"/>
      <c r="BO464" s="486"/>
      <c r="BP464" s="510"/>
      <c r="BQ464" s="486"/>
      <c r="BR464" s="510"/>
      <c r="BS464" s="486"/>
      <c r="BT464" s="510"/>
      <c r="BU464" s="486"/>
      <c r="BV464" s="510"/>
      <c r="BW464" s="486"/>
      <c r="BX464" s="510"/>
      <c r="BY464" s="486"/>
      <c r="BZ464" s="510"/>
      <c r="CA464" s="486"/>
      <c r="CB464" s="510"/>
      <c r="CC464" s="486"/>
      <c r="CD464" s="510"/>
      <c r="CE464" s="486"/>
      <c r="CF464" s="510"/>
      <c r="CG464" s="486"/>
      <c r="CH464" s="510"/>
      <c r="CI464" s="486"/>
      <c r="CJ464" s="510"/>
      <c r="CK464" s="486"/>
      <c r="CL464" s="510"/>
      <c r="CM464" s="486"/>
      <c r="CN464" s="510"/>
      <c r="CO464" s="486"/>
      <c r="CP464" s="510"/>
      <c r="CQ464" s="486"/>
      <c r="CR464" s="510"/>
      <c r="CS464" s="486"/>
      <c r="CT464" s="510"/>
      <c r="CU464" s="486"/>
      <c r="CV464" s="510"/>
      <c r="CW464" s="486"/>
      <c r="CX464" s="510"/>
      <c r="CY464" s="486"/>
      <c r="CZ464" s="510"/>
      <c r="DA464" s="486"/>
      <c r="DB464" s="510"/>
      <c r="DC464" s="486"/>
      <c r="DD464" s="510"/>
      <c r="DE464" s="486"/>
      <c r="DF464" s="510"/>
      <c r="DG464" s="486"/>
      <c r="DH464" s="510"/>
      <c r="DI464" s="486"/>
      <c r="DJ464" s="510"/>
      <c r="DK464" s="486"/>
      <c r="DL464" s="510"/>
      <c r="DM464" s="486"/>
      <c r="DN464" s="510"/>
      <c r="DO464" s="486"/>
      <c r="DP464" s="510"/>
      <c r="DQ464" s="486"/>
      <c r="DR464" s="510"/>
      <c r="DS464" s="486"/>
      <c r="DT464" s="510"/>
      <c r="DU464" s="486"/>
      <c r="DV464" s="510"/>
      <c r="DW464" s="486"/>
      <c r="DX464" s="510"/>
      <c r="DY464" s="486"/>
      <c r="DZ464" s="510"/>
      <c r="EA464" s="486"/>
      <c r="EB464" s="487"/>
      <c r="EC464" s="510"/>
      <c r="ED464" s="487"/>
      <c r="EE464" s="510"/>
      <c r="EF464" s="487"/>
      <c r="EG464" s="510"/>
      <c r="EH464" s="487"/>
      <c r="EI464" s="510"/>
      <c r="EJ464" s="486"/>
      <c r="EK464" s="510"/>
      <c r="EL464" s="486"/>
      <c r="EM464" s="510"/>
      <c r="EN464" s="486"/>
      <c r="EO464" s="510"/>
      <c r="EP464" s="486"/>
      <c r="EQ464" s="510"/>
      <c r="ER464" s="486"/>
      <c r="ES464" s="510"/>
      <c r="ET464" s="486"/>
      <c r="EU464" s="510"/>
      <c r="EV464" s="486"/>
      <c r="EW464" s="510"/>
      <c r="EX464" s="486"/>
      <c r="EY464" s="510"/>
      <c r="EZ464" s="486"/>
      <c r="FA464" s="510"/>
      <c r="FB464" s="486"/>
      <c r="FC464" s="510"/>
      <c r="FD464" s="486"/>
      <c r="FE464" s="510"/>
      <c r="FF464" s="486"/>
      <c r="FG464" s="510"/>
      <c r="FH464" s="486"/>
      <c r="FI464" s="510"/>
      <c r="FJ464" s="486"/>
      <c r="FK464" s="510"/>
      <c r="FL464" s="486"/>
      <c r="FM464" s="510"/>
      <c r="FN464" s="486"/>
      <c r="FO464" s="510"/>
      <c r="FP464" s="486"/>
      <c r="FQ464" s="510"/>
      <c r="FR464" s="486"/>
      <c r="FS464" s="486"/>
    </row>
    <row r="465" spans="1:175" ht="12.75" hidden="1" customHeight="1" outlineLevel="1" x14ac:dyDescent="0.2">
      <c r="A465" s="77" t="str">
        <f>INPUT!B364</f>
        <v>Premiums</v>
      </c>
      <c r="B465" s="75">
        <f>INPUT!AA364</f>
        <v>626</v>
      </c>
      <c r="C465" s="155">
        <f>INPUT!AB364</f>
        <v>28.806584362139915</v>
      </c>
      <c r="D465" s="75">
        <f>INPUT!AC364</f>
        <v>603</v>
      </c>
      <c r="E465" s="155">
        <f>INPUT!AD364</f>
        <v>21.818181818181827</v>
      </c>
      <c r="F465" s="75">
        <f>INPUT!AE364</f>
        <v>663</v>
      </c>
      <c r="G465" s="155">
        <f>INPUT!AF364</f>
        <v>20.326678765880217</v>
      </c>
      <c r="H465" s="75">
        <f>INPUT!AG364</f>
        <v>689</v>
      </c>
      <c r="I465" s="155">
        <f>INPUT!AH364</f>
        <v>25.045372050816695</v>
      </c>
      <c r="J465" s="75">
        <f>INPUT!AI364</f>
        <v>736</v>
      </c>
      <c r="K465" s="155">
        <f>INPUT!AJ364</f>
        <v>17.571884984025559</v>
      </c>
      <c r="L465" s="75">
        <f>INPUT!AK364</f>
        <v>681</v>
      </c>
      <c r="M465" s="155">
        <f>INPUT!AL364</f>
        <v>12.93532338308458</v>
      </c>
      <c r="N465" s="75">
        <f>INPUT!AM364</f>
        <v>730</v>
      </c>
      <c r="O465" s="155">
        <f>INPUT!AN364</f>
        <v>10.105580693815995</v>
      </c>
      <c r="P465" s="75">
        <f>INPUT!AO364</f>
        <v>801</v>
      </c>
      <c r="Q465" s="155">
        <f>INPUT!AP364</f>
        <v>16.255442670537008</v>
      </c>
      <c r="R465" s="75">
        <f>INPUT!AQ364</f>
        <v>964</v>
      </c>
      <c r="S465" s="155">
        <f>INPUT!AR364</f>
        <v>30.978260869565219</v>
      </c>
      <c r="T465" s="75">
        <f>INPUT!AS364</f>
        <v>911</v>
      </c>
      <c r="U465" s="155">
        <f>INPUT!AT364</f>
        <v>33.773861967694558</v>
      </c>
      <c r="V465" s="75">
        <f>INPUT!AU364</f>
        <v>894</v>
      </c>
      <c r="W465" s="155">
        <f>INPUT!AV364</f>
        <v>22.465753424657535</v>
      </c>
      <c r="X465" s="75">
        <f>INPUT!AW364</f>
        <v>890</v>
      </c>
      <c r="Y465" s="155">
        <f>INPUT!AX364</f>
        <v>11.111111111111114</v>
      </c>
      <c r="Z465" s="75">
        <f>INPUT!AY364</f>
        <v>989</v>
      </c>
      <c r="AA465" s="155">
        <f>INPUT!AZ364</f>
        <v>2.5933609958506167</v>
      </c>
      <c r="AB465" s="75">
        <f>INPUT!BA364</f>
        <v>977</v>
      </c>
      <c r="AC465" s="155">
        <f>INPUT!BB364</f>
        <v>7.2447859495060385</v>
      </c>
      <c r="AD465" s="75">
        <f>INPUT!BC364</f>
        <v>963</v>
      </c>
      <c r="AE465" s="155">
        <f>INPUT!BD364</f>
        <v>7.7181208053691392</v>
      </c>
      <c r="AF465" s="75">
        <f>INPUT!BE364</f>
        <v>988</v>
      </c>
      <c r="AG465" s="155">
        <f>INPUT!BF364</f>
        <v>11.011235955056179</v>
      </c>
      <c r="AH465" s="75">
        <f>INPUT!BG364</f>
        <v>1086</v>
      </c>
      <c r="AI465" s="240">
        <f>INPUT!BH364</f>
        <v>9.8078867542972716</v>
      </c>
      <c r="AJ465" s="75">
        <f>INPUT!BI364</f>
        <v>1024</v>
      </c>
      <c r="AK465" s="240">
        <f>INPUT!BJ364</f>
        <v>4.8106448311156669</v>
      </c>
      <c r="AL465" s="75">
        <f>INPUT!BK364</f>
        <v>1060</v>
      </c>
      <c r="AM465" s="240">
        <f>INPUT!BL364</f>
        <v>10.072689511941846</v>
      </c>
      <c r="AN465" s="75">
        <f>INPUT!BM364</f>
        <v>1106</v>
      </c>
      <c r="AO465" s="240">
        <f>INPUT!BN364</f>
        <v>11.943319838056681</v>
      </c>
      <c r="AP465" s="75">
        <f>INPUT!BO364</f>
        <v>1262</v>
      </c>
      <c r="AQ465" s="240">
        <f>INPUT!BP364</f>
        <v>16.206261510128911</v>
      </c>
      <c r="AR465" s="75">
        <f>INPUT!BQ364</f>
        <v>1161</v>
      </c>
      <c r="AS465" s="240">
        <f>INPUT!BR364</f>
        <v>13.37890625</v>
      </c>
      <c r="AT465" s="75">
        <f>INPUT!BS364</f>
        <v>1129</v>
      </c>
      <c r="AU465" s="240">
        <f>INPUT!BT364</f>
        <v>6.5094339622641542</v>
      </c>
      <c r="AV465" s="75">
        <f>INPUT!BU364</f>
        <v>1158</v>
      </c>
      <c r="AW465" s="240">
        <f>INPUT!BV364</f>
        <v>4.7016274864376157</v>
      </c>
      <c r="AX465" s="75">
        <f>INPUT!BW364</f>
        <v>1285</v>
      </c>
      <c r="AY465" s="240">
        <f>INPUT!BX364</f>
        <v>1.8225039619651255</v>
      </c>
      <c r="AZ465" s="75">
        <f>INPUT!BY364</f>
        <v>1199</v>
      </c>
      <c r="BA465" s="240">
        <f>INPUT!BZ364</f>
        <v>3.2730404823428074</v>
      </c>
      <c r="BB465" s="75">
        <f>INPUT!CA364</f>
        <v>1232</v>
      </c>
      <c r="BC465" s="240">
        <f>INPUT!CB364</f>
        <v>9.1231178033658153</v>
      </c>
      <c r="BD465" s="75">
        <f>INPUT!CC364</f>
        <v>1302</v>
      </c>
      <c r="BE465" s="240">
        <f>INPUT!CD364</f>
        <v>12.435233160621763</v>
      </c>
      <c r="BF465" s="75">
        <f>INPUT!CE364</f>
        <v>1443</v>
      </c>
      <c r="BG465" s="240">
        <f>INPUT!CF364</f>
        <v>12.295719844357976</v>
      </c>
      <c r="BH465" s="75">
        <f>INPUT!CG364</f>
        <v>1311</v>
      </c>
      <c r="BI465" s="240">
        <f>INPUT!CH364</f>
        <v>9.3411175979983341</v>
      </c>
      <c r="BJ465" s="75">
        <f>INPUT!CI364</f>
        <v>1407</v>
      </c>
      <c r="BK465" s="240">
        <f>INPUT!CJ364</f>
        <v>14.204545454545453</v>
      </c>
      <c r="BL465" s="75">
        <f>INPUT!CK364</f>
        <v>1487</v>
      </c>
      <c r="BM465" s="240">
        <f>INPUT!CL364</f>
        <v>14.208909370199692</v>
      </c>
      <c r="BN465" s="75">
        <f>INPUT!CM364</f>
        <v>1655</v>
      </c>
      <c r="BO465" s="240">
        <f>INPUT!CN364</f>
        <v>14.691614691614689</v>
      </c>
      <c r="BP465" s="75">
        <f>INPUT!CO364</f>
        <v>1512</v>
      </c>
      <c r="BQ465" s="240">
        <f>INPUT!CP364</f>
        <v>15.331807780320375</v>
      </c>
      <c r="BR465" s="75">
        <f>INPUT!CQ364</f>
        <v>1612</v>
      </c>
      <c r="BS465" s="240">
        <f>INPUT!CR364</f>
        <v>14.570007107320549</v>
      </c>
      <c r="BT465" s="75">
        <f>INPUT!CS364</f>
        <v>1632</v>
      </c>
      <c r="BU465" s="240">
        <f>INPUT!CT364</f>
        <v>9.751176866173509</v>
      </c>
      <c r="BV465" s="75">
        <f>INPUT!CU364</f>
        <v>1826</v>
      </c>
      <c r="BW465" s="240">
        <f>INPUT!CV364</f>
        <v>10.332326283987925</v>
      </c>
      <c r="BX465" s="75">
        <f>INPUT!CW364</f>
        <v>1690</v>
      </c>
      <c r="BY465" s="240">
        <f>INPUT!CX364</f>
        <v>11.772486772486772</v>
      </c>
      <c r="BZ465" s="75">
        <f>INPUT!CY364</f>
        <v>1727</v>
      </c>
      <c r="CA465" s="240">
        <f>INPUT!CZ364</f>
        <v>7.1339950372208563</v>
      </c>
      <c r="CB465" s="75">
        <f>INPUT!DA364</f>
        <v>1728</v>
      </c>
      <c r="CC465" s="240">
        <f>INPUT!DB364</f>
        <v>5.8823529411764781</v>
      </c>
      <c r="CD465" s="75">
        <f>INPUT!DC364</f>
        <v>1890</v>
      </c>
      <c r="CE465" s="240">
        <f>INPUT!DD364</f>
        <v>3.5049288061336199</v>
      </c>
      <c r="CF465" s="75">
        <f>INPUT!DE364</f>
        <v>1623</v>
      </c>
      <c r="CG465" s="240">
        <f>INPUT!DF364</f>
        <v>-3.9644970414201168</v>
      </c>
      <c r="CH465" s="75">
        <f>INPUT!DG364</f>
        <v>1606</v>
      </c>
      <c r="CI465" s="240">
        <f>INPUT!DH364</f>
        <v>-7.0063694267515899</v>
      </c>
      <c r="CJ465" s="75">
        <f>INPUT!DI364</f>
        <v>1651</v>
      </c>
      <c r="CK465" s="240">
        <f>INPUT!DJ364</f>
        <v>-4.456018518518519</v>
      </c>
      <c r="CL465" s="75">
        <f>INPUT!DK364</f>
        <v>1884</v>
      </c>
      <c r="CM465" s="240">
        <f>INPUT!DL364</f>
        <v>-0.31746031746031633</v>
      </c>
      <c r="CN465" s="75">
        <f>INPUT!DM364</f>
        <v>1686</v>
      </c>
      <c r="CO465" s="240">
        <f>INPUT!DN364</f>
        <v>3.8817005545286491</v>
      </c>
      <c r="CP465" s="75">
        <f>INPUT!DO364</f>
        <v>1693</v>
      </c>
      <c r="CQ465" s="240">
        <f>INPUT!DP364</f>
        <v>5.4171855541718514</v>
      </c>
      <c r="CR465" s="75">
        <f>INPUT!DQ364</f>
        <v>1620</v>
      </c>
      <c r="CS465" s="240">
        <f>INPUT!DR364</f>
        <v>-1.8776499091459726</v>
      </c>
      <c r="CT465" s="75">
        <f>INPUT!DS364</f>
        <v>1830</v>
      </c>
      <c r="CU465" s="240">
        <f>INPUT!DT364</f>
        <v>-2.866242038216555</v>
      </c>
      <c r="CV465" s="75">
        <f>INPUT!DU364</f>
        <v>1627</v>
      </c>
      <c r="CW465" s="240">
        <f>INPUT!DV364</f>
        <v>-3.4994068801898095</v>
      </c>
      <c r="CX465" s="75">
        <f>INPUT!DW364</f>
        <v>1643</v>
      </c>
      <c r="CY465" s="240">
        <f>INPUT!DX364</f>
        <v>-2.9533372711163679</v>
      </c>
      <c r="CZ465" s="75">
        <f>INPUT!DY364</f>
        <v>1628</v>
      </c>
      <c r="DA465" s="240">
        <f>INPUT!DZ364</f>
        <v>0.49382716049382225</v>
      </c>
      <c r="DB465" s="75">
        <f>INPUT!EA364</f>
        <v>1940</v>
      </c>
      <c r="DC465" s="240">
        <f>INPUT!EB364</f>
        <v>6.0109289617486468</v>
      </c>
      <c r="DD465" s="75">
        <f>INPUT!EC364</f>
        <v>1818</v>
      </c>
      <c r="DE465" s="240">
        <f>INPUT!ED364</f>
        <v>11.739397664413033</v>
      </c>
      <c r="DF465" s="75">
        <f>INPUT!EE364</f>
        <v>1882</v>
      </c>
      <c r="DG465" s="240">
        <f>INPUT!EF364</f>
        <v>14.546561168594025</v>
      </c>
      <c r="DH465" s="75">
        <f>INPUT!EG364</f>
        <v>1831</v>
      </c>
      <c r="DI465" s="240">
        <f>INPUT!EH364</f>
        <v>12.469287469287465</v>
      </c>
      <c r="DJ465" s="75">
        <f>INPUT!EI364</f>
        <v>2116</v>
      </c>
      <c r="DK465" s="240">
        <f>INPUT!EJ364</f>
        <v>9.0721649484536044</v>
      </c>
      <c r="DL465" s="75">
        <f>INPUT!EK364</f>
        <v>1933</v>
      </c>
      <c r="DM465" s="240">
        <f>INPUT!EL364</f>
        <v>6.3256325632563346</v>
      </c>
      <c r="DN465" s="75">
        <f>INPUT!EM364</f>
        <v>1938</v>
      </c>
      <c r="DO465" s="240">
        <f>INPUT!EN364</f>
        <v>2.9755579171094553</v>
      </c>
      <c r="DP465" s="75">
        <f>INPUT!EO364</f>
        <v>1966</v>
      </c>
      <c r="DQ465" s="240">
        <f>INPUT!EP364</f>
        <v>7.373020207536868</v>
      </c>
      <c r="DR465" s="75">
        <f>INPUT!EQ364</f>
        <v>2210.1715315315314</v>
      </c>
      <c r="DS465" s="240">
        <f>INPUT!ER364</f>
        <v>4.4504504504504467</v>
      </c>
      <c r="DT465" s="75">
        <f>INPUT!ES364</f>
        <v>2019.0272072072071</v>
      </c>
      <c r="DU465" s="240">
        <f>INPUT!ET364</f>
        <v>4.4504504504504467</v>
      </c>
      <c r="DV465" s="75">
        <f>INPUT!EU364</f>
        <v>2024.2497297297298</v>
      </c>
      <c r="DW465" s="240">
        <f>INPUT!EV364</f>
        <v>4.4504504504504467</v>
      </c>
      <c r="DX465" s="75">
        <f>INPUT!EW364</f>
        <v>2053.495855855856</v>
      </c>
      <c r="DY465" s="240">
        <f>INPUT!EX364</f>
        <v>4.4504504504504467</v>
      </c>
      <c r="DZ465" s="75"/>
      <c r="EA465" s="240"/>
      <c r="EB465" s="155">
        <f>INPUT!FI364</f>
        <v>9.0476190476190368</v>
      </c>
      <c r="EC465" s="75">
        <f>INPUT!FJ364</f>
        <v>2083</v>
      </c>
      <c r="ED465" s="155">
        <f>INPUT!FK364</f>
        <v>13.700873362445407</v>
      </c>
      <c r="EE465" s="75">
        <f>INPUT!FL364</f>
        <v>2581</v>
      </c>
      <c r="EF465" s="155">
        <f>INPUT!FM364</f>
        <v>23.907825252040311</v>
      </c>
      <c r="EG465" s="75">
        <f>INPUT!FN364</f>
        <v>2948</v>
      </c>
      <c r="EH465" s="155">
        <f>INPUT!FO364</f>
        <v>14.219294846958547</v>
      </c>
      <c r="EI465" s="75">
        <f>INPUT!FP364</f>
        <v>3659</v>
      </c>
      <c r="EJ465" s="240">
        <f>INPUT!FQ364</f>
        <v>24.1180461329715</v>
      </c>
      <c r="EK465" s="75">
        <f>INPUT!FR364</f>
        <v>3917</v>
      </c>
      <c r="EL465" s="240">
        <f>INPUT!FS364</f>
        <v>7.0511068597977555</v>
      </c>
      <c r="EM465" s="75">
        <f>INPUT!FT364</f>
        <v>4276</v>
      </c>
      <c r="EN465" s="240">
        <f>INPUT!FU364</f>
        <v>9.1651774317079457</v>
      </c>
      <c r="EO465" s="75">
        <f>INPUT!FV364</f>
        <v>4702</v>
      </c>
      <c r="EP465" s="240">
        <f>INPUT!FW364</f>
        <v>9.962581852198312</v>
      </c>
      <c r="EQ465" s="75">
        <f>INPUT!FX364</f>
        <v>4975</v>
      </c>
      <c r="ER465" s="240">
        <f>INPUT!FY364</f>
        <v>5.8060399829859648</v>
      </c>
      <c r="ES465" s="75">
        <f>INPUT!FZ364</f>
        <v>5648</v>
      </c>
      <c r="ET465" s="240">
        <f>INPUT!GA364</f>
        <v>13.527638190954775</v>
      </c>
      <c r="EU465" s="75">
        <f>INPUT!GB364</f>
        <v>6411</v>
      </c>
      <c r="EV465" s="240">
        <f>INPUT!GC364</f>
        <v>13.509206798866842</v>
      </c>
      <c r="EW465" s="75">
        <f>INPUT!GD364</f>
        <v>6971</v>
      </c>
      <c r="EX465" s="240">
        <f>INPUT!GE364</f>
        <v>8.7349867415379805</v>
      </c>
      <c r="EY465" s="75">
        <f>INPUT!GF364</f>
        <v>6770</v>
      </c>
      <c r="EZ465" s="240">
        <f>INPUT!GG364</f>
        <v>-2.8833739779084766</v>
      </c>
      <c r="FA465" s="75">
        <f>INPUT!GH364</f>
        <v>6883</v>
      </c>
      <c r="FB465" s="240">
        <f>INPUT!GI364</f>
        <v>1.6691285081240892</v>
      </c>
      <c r="FC465" s="75">
        <f>INPUT!GJ364</f>
        <v>6728</v>
      </c>
      <c r="FD465" s="240">
        <f>INPUT!GK364</f>
        <v>-2.2519250326892433</v>
      </c>
      <c r="FE465" s="75">
        <f>INPUT!GL364</f>
        <v>7471</v>
      </c>
      <c r="FF465" s="240">
        <f>INPUT!GM364</f>
        <v>11.043400713436398</v>
      </c>
      <c r="FG465" s="75">
        <f>INPUT!GN364</f>
        <v>7953</v>
      </c>
      <c r="FH465" s="240">
        <f>INPUT!GO364</f>
        <v>6.4516129032257936</v>
      </c>
      <c r="FI465" s="75">
        <f>INPUT!GP364</f>
        <v>8306.944324324324</v>
      </c>
      <c r="FJ465" s="240">
        <f>INPUT!GQ364</f>
        <v>4.4504504504504467</v>
      </c>
      <c r="FK465" s="75">
        <f>INPUT!GR364</f>
        <v>8639.2220972972973</v>
      </c>
      <c r="FL465" s="240">
        <f>INPUT!GS364</f>
        <v>4</v>
      </c>
      <c r="FM465" s="75">
        <f>INPUT!GT364</f>
        <v>8984.7909811891896</v>
      </c>
      <c r="FN465" s="240">
        <f>INPUT!GU364</f>
        <v>4</v>
      </c>
      <c r="FO465" s="75">
        <f>INPUT!GV364</f>
        <v>9344.1826204367571</v>
      </c>
      <c r="FP465" s="240">
        <f>INPUT!GW364</f>
        <v>4</v>
      </c>
      <c r="FQ465" s="75">
        <f>INPUT!GX364</f>
        <v>9717.9499252542282</v>
      </c>
      <c r="FR465" s="240">
        <f>INPUT!GY364</f>
        <v>4</v>
      </c>
      <c r="FS465" s="240">
        <f>INPUT!GZ364</f>
        <v>4.089934413243701</v>
      </c>
    </row>
    <row r="466" spans="1:175" ht="12.75" hidden="1" customHeight="1" outlineLevel="1" x14ac:dyDescent="0.2">
      <c r="A466" s="77" t="str">
        <f>INPUT!B366</f>
        <v>Policy Charges and Fee Income</v>
      </c>
      <c r="B466" s="75">
        <f>INPUT!AA366</f>
        <v>33</v>
      </c>
      <c r="C466" s="155">
        <f>INPUT!AB366</f>
        <v>13.793103448275872</v>
      </c>
      <c r="D466" s="75">
        <f>INPUT!AC366</f>
        <v>32</v>
      </c>
      <c r="E466" s="155">
        <f>INPUT!AD366</f>
        <v>52.38095238095238</v>
      </c>
      <c r="F466" s="75">
        <f>INPUT!AE366</f>
        <v>34</v>
      </c>
      <c r="G466" s="155">
        <f>INPUT!AF366</f>
        <v>21.428571428571416</v>
      </c>
      <c r="H466" s="75">
        <f>INPUT!AG366</f>
        <v>41</v>
      </c>
      <c r="I466" s="155">
        <f>INPUT!AH366</f>
        <v>36.666666666666657</v>
      </c>
      <c r="J466" s="75">
        <f>INPUT!AI366</f>
        <v>44</v>
      </c>
      <c r="K466" s="155">
        <f>INPUT!AJ366</f>
        <v>33.333333333333314</v>
      </c>
      <c r="L466" s="75">
        <f>INPUT!AK366</f>
        <v>38</v>
      </c>
      <c r="M466" s="155">
        <f>INPUT!AL366</f>
        <v>18.75</v>
      </c>
      <c r="N466" s="75">
        <f>INPUT!AM366</f>
        <v>38</v>
      </c>
      <c r="O466" s="155">
        <f>INPUT!AN366</f>
        <v>11.764705882352942</v>
      </c>
      <c r="P466" s="75">
        <f>INPUT!AO366</f>
        <v>44</v>
      </c>
      <c r="Q466" s="155">
        <f>INPUT!AP366</f>
        <v>7.3170731707317174</v>
      </c>
      <c r="R466" s="75">
        <f>INPUT!AQ366</f>
        <v>53</v>
      </c>
      <c r="S466" s="155">
        <f>INPUT!AR366</f>
        <v>20.454545454545453</v>
      </c>
      <c r="T466" s="75">
        <f>INPUT!AS366</f>
        <v>46</v>
      </c>
      <c r="U466" s="155">
        <f>INPUT!AT366</f>
        <v>21.05263157894737</v>
      </c>
      <c r="V466" s="75">
        <f>INPUT!AU366</f>
        <v>54</v>
      </c>
      <c r="W466" s="155">
        <f>INPUT!AV366</f>
        <v>42.10526315789474</v>
      </c>
      <c r="X466" s="75">
        <f>INPUT!AW366</f>
        <v>44</v>
      </c>
      <c r="Y466" s="155">
        <f>INPUT!AX366</f>
        <v>0</v>
      </c>
      <c r="Z466" s="75">
        <f>INPUT!AY366</f>
        <v>58</v>
      </c>
      <c r="AA466" s="155">
        <f>INPUT!AZ366</f>
        <v>9.4339622641509351</v>
      </c>
      <c r="AB466" s="75">
        <f>INPUT!BA366</f>
        <v>51</v>
      </c>
      <c r="AC466" s="155">
        <f>INPUT!BB366</f>
        <v>10.869565217391312</v>
      </c>
      <c r="AD466" s="75">
        <f>INPUT!BC366</f>
        <v>55</v>
      </c>
      <c r="AE466" s="155">
        <f>INPUT!BD366</f>
        <v>1.8518518518518619</v>
      </c>
      <c r="AF466" s="75">
        <f>INPUT!BE366</f>
        <v>57</v>
      </c>
      <c r="AG466" s="155">
        <f>INPUT!BF366</f>
        <v>29.545454545454533</v>
      </c>
      <c r="AH466" s="75">
        <f>INPUT!BG366</f>
        <v>56</v>
      </c>
      <c r="AI466" s="240">
        <f>INPUT!BH366</f>
        <v>-3.448275862068968</v>
      </c>
      <c r="AJ466" s="75">
        <f>INPUT!BI366</f>
        <v>57</v>
      </c>
      <c r="AK466" s="240">
        <f>INPUT!BJ366</f>
        <v>11.764705882352942</v>
      </c>
      <c r="AL466" s="75">
        <f>INPUT!BK366</f>
        <v>58</v>
      </c>
      <c r="AM466" s="240">
        <f>INPUT!BL366</f>
        <v>5.454545454545439</v>
      </c>
      <c r="AN466" s="75">
        <f>INPUT!BM366</f>
        <v>59</v>
      </c>
      <c r="AO466" s="240">
        <f>INPUT!BN366</f>
        <v>3.5087719298245759</v>
      </c>
      <c r="AP466" s="75">
        <f>INPUT!BO366</f>
        <v>70</v>
      </c>
      <c r="AQ466" s="240">
        <f>INPUT!BP366</f>
        <v>25</v>
      </c>
      <c r="AR466" s="75">
        <f>INPUT!BQ366</f>
        <v>64</v>
      </c>
      <c r="AS466" s="240">
        <f>INPUT!BR366</f>
        <v>12.280701754385959</v>
      </c>
      <c r="AT466" s="75">
        <f>INPUT!BS366</f>
        <v>66</v>
      </c>
      <c r="AU466" s="240">
        <f>INPUT!BT366</f>
        <v>13.793103448275872</v>
      </c>
      <c r="AV466" s="75">
        <f>INPUT!BU366</f>
        <v>71</v>
      </c>
      <c r="AW466" s="240">
        <f>INPUT!BV366</f>
        <v>20.338983050847446</v>
      </c>
      <c r="AX466" s="75">
        <f>INPUT!BW366</f>
        <v>78</v>
      </c>
      <c r="AY466" s="240">
        <f>INPUT!BX366</f>
        <v>11.428571428571431</v>
      </c>
      <c r="AZ466" s="75">
        <f>INPUT!BY366</f>
        <v>72</v>
      </c>
      <c r="BA466" s="240">
        <f>INPUT!BZ366</f>
        <v>12.5</v>
      </c>
      <c r="BB466" s="75">
        <f>INPUT!CA366</f>
        <v>71</v>
      </c>
      <c r="BC466" s="240">
        <f>INPUT!CB366</f>
        <v>7.5757575757575637</v>
      </c>
      <c r="BD466" s="75">
        <f>INPUT!CC366</f>
        <v>74</v>
      </c>
      <c r="BE466" s="240">
        <f>INPUT!CD366</f>
        <v>4.2253521126760489</v>
      </c>
      <c r="BF466" s="75">
        <f>INPUT!CE366</f>
        <v>76</v>
      </c>
      <c r="BG466" s="240">
        <f>INPUT!CF366</f>
        <v>-2.5641025641025692</v>
      </c>
      <c r="BH466" s="75">
        <f>INPUT!CG366</f>
        <v>77</v>
      </c>
      <c r="BI466" s="240">
        <f>INPUT!CH366</f>
        <v>6.9444444444444429</v>
      </c>
      <c r="BJ466" s="75">
        <f>INPUT!CI366</f>
        <v>86</v>
      </c>
      <c r="BK466" s="240">
        <f>INPUT!CJ366</f>
        <v>21.126760563380273</v>
      </c>
      <c r="BL466" s="75">
        <f>INPUT!CK366</f>
        <v>86</v>
      </c>
      <c r="BM466" s="240">
        <f>INPUT!CL366</f>
        <v>16.21621621621621</v>
      </c>
      <c r="BN466" s="75">
        <f>INPUT!CM366</f>
        <v>90</v>
      </c>
      <c r="BO466" s="240">
        <f>INPUT!CN366</f>
        <v>18.421052631578931</v>
      </c>
      <c r="BP466" s="75">
        <f>INPUT!CO366</f>
        <v>91</v>
      </c>
      <c r="BQ466" s="240">
        <f>INPUT!CP366</f>
        <v>18.181818181818187</v>
      </c>
      <c r="BR466" s="75">
        <f>INPUT!CQ366</f>
        <v>98</v>
      </c>
      <c r="BS466" s="240">
        <f>INPUT!CR366</f>
        <v>13.95348837209302</v>
      </c>
      <c r="BT466" s="75">
        <f>INPUT!CS366</f>
        <v>92</v>
      </c>
      <c r="BU466" s="240">
        <f>INPUT!CT366</f>
        <v>6.9767441860465027</v>
      </c>
      <c r="BV466" s="75">
        <f>INPUT!CU366</f>
        <v>94</v>
      </c>
      <c r="BW466" s="240">
        <f>INPUT!CV366</f>
        <v>4.4444444444444571</v>
      </c>
      <c r="BX466" s="75">
        <f>INPUT!CW366</f>
        <v>94</v>
      </c>
      <c r="BY466" s="240">
        <f>INPUT!CX366</f>
        <v>3.2967032967033134</v>
      </c>
      <c r="BZ466" s="75">
        <f>INPUT!CY366</f>
        <v>83</v>
      </c>
      <c r="CA466" s="240">
        <f>INPUT!CZ366</f>
        <v>-15.306122448979593</v>
      </c>
      <c r="CB466" s="75">
        <f>INPUT!DA366</f>
        <v>100</v>
      </c>
      <c r="CC466" s="240">
        <f>INPUT!DB366</f>
        <v>8.6956521739130324</v>
      </c>
      <c r="CD466" s="75">
        <f>INPUT!DC366</f>
        <v>90</v>
      </c>
      <c r="CE466" s="240">
        <f>INPUT!DD366</f>
        <v>-4.2553191489361666</v>
      </c>
      <c r="CF466" s="75">
        <f>INPUT!DE366</f>
        <v>85</v>
      </c>
      <c r="CG466" s="240">
        <f>INPUT!DF366</f>
        <v>-9.5744680851063748</v>
      </c>
      <c r="CH466" s="75">
        <f>INPUT!DG366</f>
        <v>88</v>
      </c>
      <c r="CI466" s="240">
        <f>INPUT!DH366</f>
        <v>6.0240963855421796</v>
      </c>
      <c r="CJ466" s="75">
        <f>INPUT!DI366</f>
        <v>86</v>
      </c>
      <c r="CK466" s="240">
        <f>INPUT!DJ366</f>
        <v>-14</v>
      </c>
      <c r="CL466" s="75">
        <f>INPUT!DK366</f>
        <v>91</v>
      </c>
      <c r="CM466" s="240">
        <f>INPUT!DL366</f>
        <v>1.1111111111111143</v>
      </c>
      <c r="CN466" s="75">
        <f>INPUT!DM366</f>
        <v>89</v>
      </c>
      <c r="CO466" s="240">
        <f>INPUT!DN366</f>
        <v>4.7058823529411882</v>
      </c>
      <c r="CP466" s="75">
        <f>INPUT!DO366</f>
        <v>87</v>
      </c>
      <c r="CQ466" s="240">
        <f>INPUT!DP366</f>
        <v>-1.1363636363636402</v>
      </c>
      <c r="CR466" s="75">
        <f>INPUT!DQ366</f>
        <v>106</v>
      </c>
      <c r="CS466" s="240">
        <f>INPUT!DR366</f>
        <v>23.255813953488371</v>
      </c>
      <c r="CT466" s="75">
        <f>INPUT!DS366</f>
        <v>87</v>
      </c>
      <c r="CU466" s="240">
        <f>INPUT!DT366</f>
        <v>-4.3956043956043942</v>
      </c>
      <c r="CV466" s="75">
        <f>INPUT!DU366</f>
        <v>85</v>
      </c>
      <c r="CW466" s="240">
        <f>INPUT!DV366</f>
        <v>-4.4943820224719104</v>
      </c>
      <c r="CX466" s="75">
        <f>INPUT!DW366</f>
        <v>85</v>
      </c>
      <c r="CY466" s="240">
        <f>INPUT!DX366</f>
        <v>-2.2988505747126453</v>
      </c>
      <c r="CZ466" s="75">
        <f>INPUT!DY366</f>
        <v>82</v>
      </c>
      <c r="DA466" s="240">
        <f>INPUT!DZ366</f>
        <v>-22.641509433962256</v>
      </c>
      <c r="DB466" s="75">
        <f>INPUT!EA366</f>
        <v>92</v>
      </c>
      <c r="DC466" s="240">
        <f>INPUT!EB366</f>
        <v>5.7471264367816133</v>
      </c>
      <c r="DD466" s="75">
        <f>INPUT!EC366</f>
        <v>67</v>
      </c>
      <c r="DE466" s="240">
        <f>INPUT!ED366</f>
        <v>-21.17647058823529</v>
      </c>
      <c r="DF466" s="75">
        <f>INPUT!EE366</f>
        <v>97</v>
      </c>
      <c r="DG466" s="240">
        <f>INPUT!EF366</f>
        <v>14.117647058823522</v>
      </c>
      <c r="DH466" s="75">
        <f>INPUT!EG366</f>
        <v>90</v>
      </c>
      <c r="DI466" s="240">
        <f>INPUT!EH366</f>
        <v>9.7560975609756184</v>
      </c>
      <c r="DJ466" s="75">
        <f>INPUT!EI366</f>
        <v>96</v>
      </c>
      <c r="DK466" s="240">
        <f>INPUT!EJ366</f>
        <v>4.3478260869565162</v>
      </c>
      <c r="DL466" s="75">
        <f>INPUT!EK366</f>
        <v>77</v>
      </c>
      <c r="DM466" s="240">
        <f>INPUT!EL366</f>
        <v>14.925373134328353</v>
      </c>
      <c r="DN466" s="75">
        <f>INPUT!EM366</f>
        <v>92</v>
      </c>
      <c r="DO466" s="240">
        <f>INPUT!EN366</f>
        <v>-5.1546391752577421</v>
      </c>
      <c r="DP466" s="75">
        <f>INPUT!EO366</f>
        <v>92</v>
      </c>
      <c r="DQ466" s="240">
        <f>INPUT!EP366</f>
        <v>2.2222222222222143</v>
      </c>
      <c r="DR466" s="75">
        <f>INPUT!EQ366</f>
        <v>100.27243243243242</v>
      </c>
      <c r="DS466" s="240">
        <f>INPUT!ER366</f>
        <v>4.4504504504504467</v>
      </c>
      <c r="DT466" s="75">
        <f>INPUT!ES366</f>
        <v>80.426846846846843</v>
      </c>
      <c r="DU466" s="240">
        <f>INPUT!ET366</f>
        <v>4.4504504504504467</v>
      </c>
      <c r="DV466" s="75">
        <f>INPUT!EU366</f>
        <v>96.094414414414416</v>
      </c>
      <c r="DW466" s="240">
        <f>INPUT!EV366</f>
        <v>4.4504504504504467</v>
      </c>
      <c r="DX466" s="75">
        <f>INPUT!EW366</f>
        <v>96.094414414414416</v>
      </c>
      <c r="DY466" s="240">
        <f>INPUT!EX366</f>
        <v>4.4504504504504467</v>
      </c>
      <c r="DZ466" s="75"/>
      <c r="EA466" s="240"/>
      <c r="EB466" s="155">
        <f>INPUT!FI366</f>
        <v>10.869565217391312</v>
      </c>
      <c r="EC466" s="75">
        <f>INPUT!FJ366</f>
        <v>108</v>
      </c>
      <c r="ED466" s="155">
        <f>INPUT!FK366</f>
        <v>5.8823529411764781</v>
      </c>
      <c r="EE466" s="75">
        <f>INPUT!FL366</f>
        <v>140</v>
      </c>
      <c r="EF466" s="155">
        <f>INPUT!FM366</f>
        <v>29.629629629629619</v>
      </c>
      <c r="EG466" s="75">
        <f>INPUT!FN366</f>
        <v>164</v>
      </c>
      <c r="EH466" s="155">
        <f>INPUT!FO366</f>
        <v>17.142857142857153</v>
      </c>
      <c r="EI466" s="75">
        <f>INPUT!FP366</f>
        <v>197</v>
      </c>
      <c r="EJ466" s="240">
        <f>INPUT!FQ366</f>
        <v>20.121951219512198</v>
      </c>
      <c r="EK466" s="75">
        <f>INPUT!FR366</f>
        <v>221</v>
      </c>
      <c r="EL466" s="240">
        <f>INPUT!FS366</f>
        <v>12.182741116751259</v>
      </c>
      <c r="EM466" s="75">
        <f>INPUT!FT366</f>
        <v>230</v>
      </c>
      <c r="EN466" s="240">
        <f>INPUT!FU366</f>
        <v>4.0723981900452628</v>
      </c>
      <c r="EO466" s="75">
        <f>INPUT!FV366</f>
        <v>271</v>
      </c>
      <c r="EP466" s="240">
        <f>INPUT!FW366</f>
        <v>17.826086956521749</v>
      </c>
      <c r="EQ466" s="75">
        <f>INPUT!FX366</f>
        <v>295</v>
      </c>
      <c r="ER466" s="240">
        <f>INPUT!FY366</f>
        <v>8.8560885608855955</v>
      </c>
      <c r="ES466" s="75">
        <f>INPUT!FZ366</f>
        <v>325</v>
      </c>
      <c r="ET466" s="240">
        <f>INPUT!GA366</f>
        <v>10.169491525423723</v>
      </c>
      <c r="EU466" s="75">
        <f>INPUT!GB366</f>
        <v>371</v>
      </c>
      <c r="EV466" s="240">
        <f>INPUT!GC366</f>
        <v>14.15384615384616</v>
      </c>
      <c r="EW466" s="75">
        <f>INPUT!GD366</f>
        <v>371</v>
      </c>
      <c r="EX466" s="240">
        <f>INPUT!GE366</f>
        <v>0</v>
      </c>
      <c r="EY466" s="75">
        <f>INPUT!GF366</f>
        <v>349</v>
      </c>
      <c r="EZ466" s="240">
        <f>INPUT!GG366</f>
        <v>-5.9299191374663138</v>
      </c>
      <c r="FA466" s="75">
        <f>INPUT!GH366</f>
        <v>373</v>
      </c>
      <c r="FB466" s="240">
        <f>INPUT!GI366</f>
        <v>6.8767908309455663</v>
      </c>
      <c r="FC466" s="75">
        <f>INPUT!GJ366</f>
        <v>339</v>
      </c>
      <c r="FD466" s="240">
        <f>INPUT!GK366</f>
        <v>-9.1152815013404762</v>
      </c>
      <c r="FE466" s="75">
        <f>INPUT!GL366</f>
        <v>346</v>
      </c>
      <c r="FF466" s="240">
        <f>INPUT!GM366</f>
        <v>2.0648967551622377</v>
      </c>
      <c r="FG466" s="75">
        <f>INPUT!GN366</f>
        <v>357</v>
      </c>
      <c r="FH466" s="240">
        <f>INPUT!GO366</f>
        <v>3.179190751445077</v>
      </c>
      <c r="FI466" s="75">
        <f>INPUT!GP366</f>
        <v>372.8881081081081</v>
      </c>
      <c r="FJ466" s="240">
        <f>INPUT!GQ366</f>
        <v>4.4504504504504467</v>
      </c>
      <c r="FK466" s="75">
        <f>INPUT!GR366</f>
        <v>387.80363243243244</v>
      </c>
      <c r="FL466" s="240">
        <f>INPUT!GS366</f>
        <v>4</v>
      </c>
      <c r="FM466" s="75">
        <f>INPUT!GT366</f>
        <v>403.31577772972975</v>
      </c>
      <c r="FN466" s="240">
        <f>INPUT!GU366</f>
        <v>4</v>
      </c>
      <c r="FO466" s="75">
        <f>INPUT!GV366</f>
        <v>419.44840883891897</v>
      </c>
      <c r="FP466" s="240">
        <f>INPUT!GW366</f>
        <v>4</v>
      </c>
      <c r="FQ466" s="75">
        <f>INPUT!GX366</f>
        <v>436.22634519247572</v>
      </c>
      <c r="FR466" s="240">
        <f>INPUT!GY366</f>
        <v>4</v>
      </c>
      <c r="FS466" s="240">
        <f>INPUT!GZ366</f>
        <v>4.089934413243701</v>
      </c>
    </row>
    <row r="467" spans="1:175" ht="12.75" hidden="1" customHeight="1" outlineLevel="1" x14ac:dyDescent="0.2">
      <c r="A467" s="77" t="str">
        <f>INPUT!B367</f>
        <v xml:space="preserve">  Total Fees</v>
      </c>
      <c r="B467" s="75">
        <f>INPUT!AA367</f>
        <v>659</v>
      </c>
      <c r="C467" s="155">
        <f>INPUT!AB367</f>
        <v>27.961165048543691</v>
      </c>
      <c r="D467" s="75">
        <f>INPUT!AC367</f>
        <v>635</v>
      </c>
      <c r="E467" s="155">
        <f>INPUT!AD367</f>
        <v>23.062015503875969</v>
      </c>
      <c r="F467" s="75">
        <f>INPUT!AE367</f>
        <v>697</v>
      </c>
      <c r="G467" s="155">
        <f>INPUT!AF367</f>
        <v>20.379965457685657</v>
      </c>
      <c r="H467" s="75">
        <f>INPUT!AG367</f>
        <v>730</v>
      </c>
      <c r="I467" s="155">
        <f>INPUT!AH367</f>
        <v>25.645438898450948</v>
      </c>
      <c r="J467" s="75">
        <f>INPUT!AI367</f>
        <v>780</v>
      </c>
      <c r="K467" s="155">
        <f>INPUT!AJ367</f>
        <v>18.361153262518968</v>
      </c>
      <c r="L467" s="75">
        <f>INPUT!AK367</f>
        <v>719</v>
      </c>
      <c r="M467" s="155">
        <f>INPUT!AL367</f>
        <v>13.228346456692904</v>
      </c>
      <c r="N467" s="75">
        <f>INPUT!AM367</f>
        <v>768</v>
      </c>
      <c r="O467" s="155">
        <f>INPUT!AN367</f>
        <v>10.186513629842182</v>
      </c>
      <c r="P467" s="75">
        <f>INPUT!AO367</f>
        <v>845</v>
      </c>
      <c r="Q467" s="155">
        <f>INPUT!AP367</f>
        <v>15.753424657534239</v>
      </c>
      <c r="R467" s="75">
        <f>INPUT!AQ367</f>
        <v>1017</v>
      </c>
      <c r="S467" s="155">
        <f>INPUT!AR367</f>
        <v>30.384615384615387</v>
      </c>
      <c r="T467" s="75">
        <f>INPUT!AS367</f>
        <v>957</v>
      </c>
      <c r="U467" s="155">
        <f>INPUT!AT367</f>
        <v>33.101529902642568</v>
      </c>
      <c r="V467" s="75">
        <f>INPUT!AU367</f>
        <v>948</v>
      </c>
      <c r="W467" s="155">
        <f>INPUT!AV367</f>
        <v>23.4375</v>
      </c>
      <c r="X467" s="75">
        <f>INPUT!AW367</f>
        <v>934</v>
      </c>
      <c r="Y467" s="155">
        <f>INPUT!AX367</f>
        <v>10.532544378698219</v>
      </c>
      <c r="Z467" s="75">
        <f>INPUT!AY367</f>
        <v>1047</v>
      </c>
      <c r="AA467" s="155">
        <f>INPUT!AZ367</f>
        <v>2.9498525073746293</v>
      </c>
      <c r="AB467" s="75">
        <f>INPUT!BA367</f>
        <v>1028</v>
      </c>
      <c r="AC467" s="155">
        <f>INPUT!BB367</f>
        <v>7.4190177638453463</v>
      </c>
      <c r="AD467" s="75">
        <f>INPUT!BC367</f>
        <v>1018</v>
      </c>
      <c r="AE467" s="155">
        <f>INPUT!BD367</f>
        <v>7.383966244725741</v>
      </c>
      <c r="AF467" s="75">
        <f>INPUT!BE367</f>
        <v>1045</v>
      </c>
      <c r="AG467" s="155">
        <f>INPUT!BF367</f>
        <v>11.884368308351185</v>
      </c>
      <c r="AH467" s="75">
        <f>INPUT!BG367</f>
        <v>1142</v>
      </c>
      <c r="AI467" s="240">
        <f>INPUT!BH367</f>
        <v>9.0735434574976068</v>
      </c>
      <c r="AJ467" s="75">
        <f>INPUT!BI367</f>
        <v>1081</v>
      </c>
      <c r="AK467" s="240">
        <f>INPUT!BJ367</f>
        <v>5.1556420233463029</v>
      </c>
      <c r="AL467" s="75">
        <f>INPUT!BK367</f>
        <v>1118</v>
      </c>
      <c r="AM467" s="240">
        <f>INPUT!BL367</f>
        <v>9.8231827111984131</v>
      </c>
      <c r="AN467" s="75">
        <f>INPUT!BM367</f>
        <v>1165</v>
      </c>
      <c r="AO467" s="240">
        <f>INPUT!BN367</f>
        <v>11.483253588516746</v>
      </c>
      <c r="AP467" s="75">
        <f>INPUT!BO367</f>
        <v>1332</v>
      </c>
      <c r="AQ467" s="240">
        <f>INPUT!BP367</f>
        <v>16.637478108581433</v>
      </c>
      <c r="AR467" s="75">
        <f>INPUT!BQ367</f>
        <v>1225</v>
      </c>
      <c r="AS467" s="240">
        <f>INPUT!BR367</f>
        <v>13.320999074930626</v>
      </c>
      <c r="AT467" s="75">
        <f>INPUT!BS367</f>
        <v>1195</v>
      </c>
      <c r="AU467" s="240">
        <f>INPUT!BT367</f>
        <v>6.8872987477638645</v>
      </c>
      <c r="AV467" s="75">
        <f>INPUT!BU367</f>
        <v>1229</v>
      </c>
      <c r="AW467" s="240">
        <f>INPUT!BV367</f>
        <v>5.493562231759654</v>
      </c>
      <c r="AX467" s="75">
        <f>INPUT!BW367</f>
        <v>1363</v>
      </c>
      <c r="AY467" s="240">
        <f>INPUT!BX367</f>
        <v>2.3273273273273247</v>
      </c>
      <c r="AZ467" s="75">
        <f>INPUT!BY367</f>
        <v>1271</v>
      </c>
      <c r="BA467" s="240">
        <f>INPUT!BZ367</f>
        <v>3.7551020408163254</v>
      </c>
      <c r="BB467" s="75">
        <f>INPUT!CA367</f>
        <v>1303</v>
      </c>
      <c r="BC467" s="240">
        <f>INPUT!CB367</f>
        <v>9.0376569037657077</v>
      </c>
      <c r="BD467" s="75">
        <f>INPUT!CC367</f>
        <v>1376</v>
      </c>
      <c r="BE467" s="240">
        <f>INPUT!CD367</f>
        <v>11.960943856794131</v>
      </c>
      <c r="BF467" s="75">
        <f>INPUT!CE367</f>
        <v>1519</v>
      </c>
      <c r="BG467" s="240">
        <f>INPUT!CF367</f>
        <v>11.445341159207629</v>
      </c>
      <c r="BH467" s="75">
        <f>INPUT!CG367</f>
        <v>1388</v>
      </c>
      <c r="BI467" s="240">
        <f>INPUT!CH367</f>
        <v>9.2053501180173072</v>
      </c>
      <c r="BJ467" s="75">
        <f>INPUT!CI367</f>
        <v>1493</v>
      </c>
      <c r="BK467" s="240">
        <f>INPUT!CJ367</f>
        <v>14.581734458940915</v>
      </c>
      <c r="BL467" s="75">
        <f>INPUT!CK367</f>
        <v>1573</v>
      </c>
      <c r="BM467" s="240">
        <f>INPUT!CL367</f>
        <v>14.316860465116292</v>
      </c>
      <c r="BN467" s="75">
        <f>INPUT!CM367</f>
        <v>1745</v>
      </c>
      <c r="BO467" s="240">
        <f>INPUT!CN367</f>
        <v>14.878209348255439</v>
      </c>
      <c r="BP467" s="75">
        <f>INPUT!CO367</f>
        <v>1603</v>
      </c>
      <c r="BQ467" s="240">
        <f>INPUT!CP367</f>
        <v>15.489913544668596</v>
      </c>
      <c r="BR467" s="75">
        <f>INPUT!CQ367</f>
        <v>1710</v>
      </c>
      <c r="BS467" s="240">
        <f>INPUT!CR367</f>
        <v>14.534494306764898</v>
      </c>
      <c r="BT467" s="75">
        <f>INPUT!CS367</f>
        <v>1724</v>
      </c>
      <c r="BU467" s="240">
        <f>INPUT!CT367</f>
        <v>9.5994914176732493</v>
      </c>
      <c r="BV467" s="75">
        <f>INPUT!CU367</f>
        <v>1920</v>
      </c>
      <c r="BW467" s="240">
        <f>INPUT!CV367</f>
        <v>10.028653295128947</v>
      </c>
      <c r="BX467" s="75">
        <f>INPUT!CW367</f>
        <v>1784</v>
      </c>
      <c r="BY467" s="240">
        <f>INPUT!CX367</f>
        <v>11.291328758577663</v>
      </c>
      <c r="BZ467" s="75">
        <f>INPUT!CY367</f>
        <v>1810</v>
      </c>
      <c r="CA467" s="240">
        <f>INPUT!CZ367</f>
        <v>5.8479532163742789</v>
      </c>
      <c r="CB467" s="75">
        <f>INPUT!DA367</f>
        <v>1828</v>
      </c>
      <c r="CC467" s="240">
        <f>INPUT!DB367</f>
        <v>6.0324825986078849</v>
      </c>
      <c r="CD467" s="75">
        <f>INPUT!DC367</f>
        <v>1980</v>
      </c>
      <c r="CE467" s="240">
        <f>INPUT!DD367</f>
        <v>3.125</v>
      </c>
      <c r="CF467" s="75">
        <f>INPUT!DE367</f>
        <v>1708</v>
      </c>
      <c r="CG467" s="240">
        <f>INPUT!DF367</f>
        <v>-4.2600896860986524</v>
      </c>
      <c r="CH467" s="75">
        <f>INPUT!DG367</f>
        <v>1694</v>
      </c>
      <c r="CI467" s="240">
        <f>INPUT!DH367</f>
        <v>-6.4088397790055325</v>
      </c>
      <c r="CJ467" s="75">
        <f>INPUT!DI367</f>
        <v>1737</v>
      </c>
      <c r="CK467" s="240">
        <f>INPUT!DJ367</f>
        <v>-4.9781181619256074</v>
      </c>
      <c r="CL467" s="75">
        <f>INPUT!DK367</f>
        <v>1975</v>
      </c>
      <c r="CM467" s="240">
        <f>INPUT!DL367</f>
        <v>-0.25252525252524549</v>
      </c>
      <c r="CN467" s="75">
        <f>INPUT!DM367</f>
        <v>1775</v>
      </c>
      <c r="CO467" s="240">
        <f>INPUT!DN367</f>
        <v>3.9227166276346566</v>
      </c>
      <c r="CP467" s="75">
        <f>INPUT!DO367</f>
        <v>1780</v>
      </c>
      <c r="CQ467" s="240">
        <f>INPUT!DP367</f>
        <v>5.076741440377802</v>
      </c>
      <c r="CR467" s="75">
        <f>INPUT!DQ367</f>
        <v>1726</v>
      </c>
      <c r="CS467" s="240">
        <f>INPUT!DR367</f>
        <v>-0.63327576280943276</v>
      </c>
      <c r="CT467" s="75">
        <f>INPUT!DS367</f>
        <v>1917</v>
      </c>
      <c r="CU467" s="240">
        <f>INPUT!DT367</f>
        <v>-2.9367088607594951</v>
      </c>
      <c r="CV467" s="75">
        <f>INPUT!DU367</f>
        <v>1712</v>
      </c>
      <c r="CW467" s="240">
        <f>INPUT!DV367</f>
        <v>-3.5492957746478879</v>
      </c>
      <c r="CX467" s="75">
        <f>INPUT!DW367</f>
        <v>1728</v>
      </c>
      <c r="CY467" s="240">
        <f>INPUT!DX367</f>
        <v>-2.921348314606746</v>
      </c>
      <c r="CZ467" s="75">
        <f>INPUT!DY367</f>
        <v>1710</v>
      </c>
      <c r="DA467" s="240">
        <f>INPUT!DZ367</f>
        <v>-0.92699884125144649</v>
      </c>
      <c r="DB467" s="75">
        <f>INPUT!EA367</f>
        <v>2032</v>
      </c>
      <c r="DC467" s="240">
        <f>INPUT!EB367</f>
        <v>5.9989567031820457</v>
      </c>
      <c r="DD467" s="75">
        <f>INPUT!EC367</f>
        <v>1885</v>
      </c>
      <c r="DE467" s="240">
        <f>INPUT!ED367</f>
        <v>10.105140186915889</v>
      </c>
      <c r="DF467" s="75">
        <f>INPUT!EE367</f>
        <v>1979</v>
      </c>
      <c r="DG467" s="240">
        <f>INPUT!EF367</f>
        <v>14.525462962962948</v>
      </c>
      <c r="DH467" s="75">
        <f>INPUT!EG367</f>
        <v>1921</v>
      </c>
      <c r="DI467" s="240">
        <f>INPUT!EH367</f>
        <v>12.339181286549717</v>
      </c>
      <c r="DJ467" s="75">
        <f>INPUT!EI367</f>
        <v>2212</v>
      </c>
      <c r="DK467" s="240">
        <f>INPUT!EJ367</f>
        <v>8.8582677165354369</v>
      </c>
      <c r="DL467" s="75">
        <f>INPUT!EK367</f>
        <v>2010</v>
      </c>
      <c r="DM467" s="240">
        <f>INPUT!EL367</f>
        <v>6.631299734748012</v>
      </c>
      <c r="DN467" s="75">
        <f>INPUT!EM367</f>
        <v>2030</v>
      </c>
      <c r="DO467" s="240">
        <f>INPUT!EN367</f>
        <v>2.5770591207680695</v>
      </c>
      <c r="DP467" s="75">
        <f>INPUT!EO367</f>
        <v>2058</v>
      </c>
      <c r="DQ467" s="240">
        <f>INPUT!EP367</f>
        <v>7.1317022384174749</v>
      </c>
      <c r="DR467" s="75">
        <f>INPUT!EQ367</f>
        <v>2310.4439639639641</v>
      </c>
      <c r="DS467" s="240">
        <f>INPUT!ER367</f>
        <v>4.4504504504504467</v>
      </c>
      <c r="DT467" s="75">
        <f>INPUT!ES367</f>
        <v>2099.4540540540538</v>
      </c>
      <c r="DU467" s="240">
        <f>INPUT!ET367</f>
        <v>4.4504504504504467</v>
      </c>
      <c r="DV467" s="75">
        <f>INPUT!EU367</f>
        <v>2120.3441441441441</v>
      </c>
      <c r="DW467" s="240">
        <f>INPUT!EV367</f>
        <v>4.4504504504504467</v>
      </c>
      <c r="DX467" s="75">
        <f>INPUT!EW367</f>
        <v>2149.5902702702706</v>
      </c>
      <c r="DY467" s="240">
        <f>INPUT!EX367</f>
        <v>4.4504504504504752</v>
      </c>
      <c r="DZ467" s="75"/>
      <c r="EA467" s="240"/>
      <c r="EB467" s="155">
        <f>INPUT!FI367</f>
        <v>9.1422121896162594</v>
      </c>
      <c r="EC467" s="75">
        <f>INPUT!FJ367</f>
        <v>2191</v>
      </c>
      <c r="ED467" s="155">
        <f>INPUT!FK367</f>
        <v>13.288521199586341</v>
      </c>
      <c r="EE467" s="75">
        <f>INPUT!FL367</f>
        <v>2721</v>
      </c>
      <c r="EF467" s="155">
        <f>INPUT!FM367</f>
        <v>24.189867640346876</v>
      </c>
      <c r="EG467" s="75">
        <f>INPUT!FN367</f>
        <v>3112</v>
      </c>
      <c r="EH467" s="155">
        <f>INPUT!FO367</f>
        <v>14.369717015803005</v>
      </c>
      <c r="EI467" s="75">
        <f>INPUT!FP367</f>
        <v>3856</v>
      </c>
      <c r="EJ467" s="240">
        <f>INPUT!FQ367</f>
        <v>23.907455012853475</v>
      </c>
      <c r="EK467" s="75">
        <f>INPUT!FR367</f>
        <v>4138</v>
      </c>
      <c r="EL467" s="240">
        <f>INPUT!FS367</f>
        <v>7.3132780082987523</v>
      </c>
      <c r="EM467" s="75">
        <f>INPUT!FT367</f>
        <v>4506</v>
      </c>
      <c r="EN467" s="240">
        <f>INPUT!FU367</f>
        <v>8.8931851135814384</v>
      </c>
      <c r="EO467" s="75">
        <f>INPUT!FV367</f>
        <v>4973</v>
      </c>
      <c r="EP467" s="240">
        <f>INPUT!FW367</f>
        <v>10.363959165557034</v>
      </c>
      <c r="EQ467" s="75">
        <f>INPUT!FX367</f>
        <v>5270</v>
      </c>
      <c r="ER467" s="240">
        <f>INPUT!FY367</f>
        <v>5.9722501508143893</v>
      </c>
      <c r="ES467" s="75">
        <f>INPUT!FZ367</f>
        <v>5973</v>
      </c>
      <c r="ET467" s="240">
        <f>INPUT!GA367</f>
        <v>13.33965844402276</v>
      </c>
      <c r="EU467" s="75">
        <f>INPUT!GB367</f>
        <v>6782</v>
      </c>
      <c r="EV467" s="240">
        <f>INPUT!GC367</f>
        <v>13.544282605056097</v>
      </c>
      <c r="EW467" s="75">
        <f>INPUT!GD367</f>
        <v>7342</v>
      </c>
      <c r="EX467" s="240">
        <f>INPUT!GE367</f>
        <v>8.2571512828074418</v>
      </c>
      <c r="EY467" s="75">
        <f>INPUT!GF367</f>
        <v>7119</v>
      </c>
      <c r="EZ467" s="240">
        <f>INPUT!GG367</f>
        <v>-3.0373195314628134</v>
      </c>
      <c r="FA467" s="75">
        <f>INPUT!GH367</f>
        <v>7256</v>
      </c>
      <c r="FB467" s="240">
        <f>INPUT!GI367</f>
        <v>1.9244275881443969</v>
      </c>
      <c r="FC467" s="75">
        <f>INPUT!GJ367</f>
        <v>7067</v>
      </c>
      <c r="FD467" s="240">
        <f>INPUT!GK367</f>
        <v>-2.6047409040793781</v>
      </c>
      <c r="FE467" s="75">
        <f>INPUT!GL367</f>
        <v>7817</v>
      </c>
      <c r="FF467" s="240">
        <f>INPUT!GM367</f>
        <v>10.612706947785483</v>
      </c>
      <c r="FG467" s="75">
        <f>INPUT!GN367</f>
        <v>8310</v>
      </c>
      <c r="FH467" s="240">
        <f>INPUT!GO367</f>
        <v>6.3067673020340322</v>
      </c>
      <c r="FI467" s="75">
        <f>INPUT!GP367</f>
        <v>8679.8324324324312</v>
      </c>
      <c r="FJ467" s="240">
        <f>INPUT!GQ367</f>
        <v>4.4504504504504325</v>
      </c>
      <c r="FK467" s="75">
        <f>INPUT!GR367</f>
        <v>9027.0257297297303</v>
      </c>
      <c r="FL467" s="240">
        <f>INPUT!GS367</f>
        <v>4.0000000000000284</v>
      </c>
      <c r="FM467" s="75">
        <f>INPUT!GT367</f>
        <v>9388.1067589189188</v>
      </c>
      <c r="FN467" s="240">
        <f>INPUT!GU367</f>
        <v>3.9999999999999858</v>
      </c>
      <c r="FO467" s="75">
        <f>INPUT!GV367</f>
        <v>9763.6310292756752</v>
      </c>
      <c r="FP467" s="240">
        <f>INPUT!GW367</f>
        <v>4</v>
      </c>
      <c r="FQ467" s="75">
        <f>INPUT!GX367</f>
        <v>10154.176270446704</v>
      </c>
      <c r="FR467" s="240">
        <f>INPUT!GY367</f>
        <v>4.0000000000000284</v>
      </c>
      <c r="FS467" s="240">
        <f>INPUT!GZ367</f>
        <v>4.089934413243701</v>
      </c>
    </row>
    <row r="468" spans="1:175" ht="12.75" hidden="1" customHeight="1" outlineLevel="1" x14ac:dyDescent="0.2">
      <c r="A468" s="77" t="str">
        <f>INPUT!B368</f>
        <v>Net Investment Income</v>
      </c>
      <c r="B468" s="75">
        <f>INPUT!AA368</f>
        <v>49</v>
      </c>
      <c r="C468" s="155">
        <f>INPUT!AB368</f>
        <v>19.512195121951208</v>
      </c>
      <c r="D468" s="75">
        <f>INPUT!AC368</f>
        <v>54</v>
      </c>
      <c r="E468" s="155">
        <f>INPUT!AD368</f>
        <v>20</v>
      </c>
      <c r="F468" s="75">
        <f>INPUT!AE368</f>
        <v>60</v>
      </c>
      <c r="G468" s="155">
        <f>INPUT!AF368</f>
        <v>25</v>
      </c>
      <c r="H468" s="75">
        <f>INPUT!AG368</f>
        <v>70</v>
      </c>
      <c r="I468" s="155">
        <f>INPUT!AH368</f>
        <v>45.833333333333314</v>
      </c>
      <c r="J468" s="75">
        <f>INPUT!AI368</f>
        <v>74</v>
      </c>
      <c r="K468" s="155">
        <f>INPUT!AJ368</f>
        <v>51.020408163265301</v>
      </c>
      <c r="L468" s="75">
        <f>INPUT!AK368</f>
        <v>80</v>
      </c>
      <c r="M468" s="155">
        <f>INPUT!AL368</f>
        <v>48.148148148148152</v>
      </c>
      <c r="N468" s="75">
        <f>INPUT!AM368</f>
        <v>85</v>
      </c>
      <c r="O468" s="155">
        <f>INPUT!AN368</f>
        <v>41.666666666666686</v>
      </c>
      <c r="P468" s="75">
        <f>INPUT!AO368</f>
        <v>80</v>
      </c>
      <c r="Q468" s="155">
        <f>INPUT!AP368</f>
        <v>14.285714285714278</v>
      </c>
      <c r="R468" s="75">
        <f>INPUT!AQ368</f>
        <v>144</v>
      </c>
      <c r="S468" s="155">
        <f>INPUT!AR368</f>
        <v>94.594594594594611</v>
      </c>
      <c r="T468" s="75">
        <f>INPUT!AS368</f>
        <v>140</v>
      </c>
      <c r="U468" s="155">
        <f>INPUT!AT368</f>
        <v>75</v>
      </c>
      <c r="V468" s="75">
        <f>INPUT!AU368</f>
        <v>146</v>
      </c>
      <c r="W468" s="155">
        <f>INPUT!AV368</f>
        <v>71.764705882352928</v>
      </c>
      <c r="X468" s="75">
        <f>INPUT!AW368</f>
        <v>193</v>
      </c>
      <c r="Y468" s="155" t="str">
        <f>INPUT!AX368</f>
        <v>NM</v>
      </c>
      <c r="Z468" s="75">
        <f>INPUT!AY368</f>
        <v>156</v>
      </c>
      <c r="AA468" s="155">
        <f>INPUT!AZ368</f>
        <v>8.3333333333333286</v>
      </c>
      <c r="AB468" s="75">
        <f>INPUT!BA368</f>
        <v>162</v>
      </c>
      <c r="AC468" s="155">
        <f>INPUT!BB368</f>
        <v>15.714285714285722</v>
      </c>
      <c r="AD468" s="75">
        <f>INPUT!BC368</f>
        <v>173</v>
      </c>
      <c r="AE468" s="155">
        <f>INPUT!BD368</f>
        <v>18.493150684931521</v>
      </c>
      <c r="AF468" s="75">
        <f>INPUT!BE368</f>
        <v>179</v>
      </c>
      <c r="AG468" s="155">
        <f>INPUT!BF368</f>
        <v>-7.2538860103626916</v>
      </c>
      <c r="AH468" s="75">
        <f>INPUT!BG368</f>
        <v>187</v>
      </c>
      <c r="AI468" s="240">
        <f>INPUT!BH368</f>
        <v>19.871794871794862</v>
      </c>
      <c r="AJ468" s="75">
        <f>INPUT!BI368</f>
        <v>188</v>
      </c>
      <c r="AK468" s="240">
        <f>INPUT!BJ368</f>
        <v>16.049382716049394</v>
      </c>
      <c r="AL468" s="75">
        <f>INPUT!BK368</f>
        <v>207</v>
      </c>
      <c r="AM468" s="240">
        <f>INPUT!BL368</f>
        <v>19.653179190751445</v>
      </c>
      <c r="AN468" s="75">
        <f>INPUT!BM368</f>
        <v>217</v>
      </c>
      <c r="AO468" s="240">
        <f>INPUT!BN368</f>
        <v>21.229050279329613</v>
      </c>
      <c r="AP468" s="75">
        <f>INPUT!BO368</f>
        <v>232</v>
      </c>
      <c r="AQ468" s="240">
        <f>INPUT!BP368</f>
        <v>24.064171122994665</v>
      </c>
      <c r="AR468" s="75">
        <f>INPUT!BQ368</f>
        <v>234</v>
      </c>
      <c r="AS468" s="240">
        <f>INPUT!BR368</f>
        <v>24.468085106382986</v>
      </c>
      <c r="AT468" s="75">
        <f>INPUT!BS368</f>
        <v>247</v>
      </c>
      <c r="AU468" s="240">
        <f>INPUT!BT368</f>
        <v>19.323671497584542</v>
      </c>
      <c r="AV468" s="75">
        <f>INPUT!BU368</f>
        <v>249</v>
      </c>
      <c r="AW468" s="240">
        <f>INPUT!BV368</f>
        <v>14.746543778801851</v>
      </c>
      <c r="AX468" s="75">
        <f>INPUT!BW368</f>
        <v>254</v>
      </c>
      <c r="AY468" s="240">
        <f>INPUT!BX368</f>
        <v>9.4827586206896513</v>
      </c>
      <c r="AZ468" s="75">
        <f>INPUT!BY368</f>
        <v>251</v>
      </c>
      <c r="BA468" s="240">
        <f>INPUT!BZ368</f>
        <v>7.2649572649572605</v>
      </c>
      <c r="BB468" s="75">
        <f>INPUT!CA368</f>
        <v>279</v>
      </c>
      <c r="BC468" s="240">
        <f>INPUT!CB368</f>
        <v>12.955465587044529</v>
      </c>
      <c r="BD468" s="75">
        <f>INPUT!CC368</f>
        <v>285</v>
      </c>
      <c r="BE468" s="240">
        <f>INPUT!CD368</f>
        <v>14.457831325301214</v>
      </c>
      <c r="BF468" s="75">
        <f>INPUT!CE368</f>
        <v>299</v>
      </c>
      <c r="BG468" s="240">
        <f>INPUT!CF368</f>
        <v>17.71653543307086</v>
      </c>
      <c r="BH468" s="75">
        <f>INPUT!CG368</f>
        <v>295</v>
      </c>
      <c r="BI468" s="240">
        <f>INPUT!CH368</f>
        <v>17.529880478087662</v>
      </c>
      <c r="BJ468" s="75">
        <f>INPUT!CI368</f>
        <v>326</v>
      </c>
      <c r="BK468" s="240">
        <f>INPUT!CJ368</f>
        <v>16.84587813620071</v>
      </c>
      <c r="BL468" s="75">
        <f>INPUT!CK368</f>
        <v>336</v>
      </c>
      <c r="BM468" s="240">
        <f>INPUT!CL368</f>
        <v>17.894736842105246</v>
      </c>
      <c r="BN468" s="75">
        <f>INPUT!CM368</f>
        <v>351</v>
      </c>
      <c r="BO468" s="240">
        <f>INPUT!CN368</f>
        <v>17.391304347826093</v>
      </c>
      <c r="BP468" s="75">
        <f>INPUT!CO368</f>
        <v>347</v>
      </c>
      <c r="BQ468" s="240">
        <f>INPUT!CP368</f>
        <v>17.627118644067806</v>
      </c>
      <c r="BR468" s="75">
        <f>INPUT!CQ368</f>
        <v>378</v>
      </c>
      <c r="BS468" s="240">
        <f>INPUT!CR368</f>
        <v>15.950920245398777</v>
      </c>
      <c r="BT468" s="75">
        <f>INPUT!CS368</f>
        <v>375</v>
      </c>
      <c r="BU468" s="240">
        <f>INPUT!CT368</f>
        <v>11.607142857142861</v>
      </c>
      <c r="BV468" s="75">
        <f>INPUT!CU368</f>
        <v>386</v>
      </c>
      <c r="BW468" s="240">
        <f>INPUT!CV368</f>
        <v>9.971509971509974</v>
      </c>
      <c r="BX468" s="75">
        <f>INPUT!CW368</f>
        <v>381</v>
      </c>
      <c r="BY468" s="240">
        <f>INPUT!CX368</f>
        <v>9.7982708933717504</v>
      </c>
      <c r="BZ468" s="75">
        <f>INPUT!CY368</f>
        <v>418</v>
      </c>
      <c r="CA468" s="240">
        <f>INPUT!CZ368</f>
        <v>10.582010582010582</v>
      </c>
      <c r="CB468" s="75">
        <f>INPUT!DA368</f>
        <v>410</v>
      </c>
      <c r="CC468" s="240">
        <f>INPUT!DB368</f>
        <v>9.3333333333333286</v>
      </c>
      <c r="CD468" s="75">
        <f>INPUT!DC368</f>
        <v>403</v>
      </c>
      <c r="CE468" s="240">
        <f>INPUT!DD368</f>
        <v>4.4041450777202016</v>
      </c>
      <c r="CF468" s="75">
        <f>INPUT!DE368</f>
        <v>390</v>
      </c>
      <c r="CG468" s="240">
        <f>INPUT!DF368</f>
        <v>2.3622047244094517</v>
      </c>
      <c r="CH468" s="75">
        <f>INPUT!DG368</f>
        <v>405</v>
      </c>
      <c r="CI468" s="240">
        <f>INPUT!DH368</f>
        <v>-3.1100478468899553</v>
      </c>
      <c r="CJ468" s="75">
        <f>INPUT!DI368</f>
        <v>418</v>
      </c>
      <c r="CK468" s="240">
        <f>INPUT!DJ368</f>
        <v>1.9512195121951237</v>
      </c>
      <c r="CL468" s="75">
        <f>INPUT!DK368</f>
        <v>431</v>
      </c>
      <c r="CM468" s="240">
        <f>INPUT!DL368</f>
        <v>6.9478908188585535</v>
      </c>
      <c r="CN468" s="75">
        <f>INPUT!DM368</f>
        <v>431</v>
      </c>
      <c r="CO468" s="240">
        <f>INPUT!DN368</f>
        <v>10.512820512820525</v>
      </c>
      <c r="CP468" s="75">
        <f>INPUT!DO368</f>
        <v>436</v>
      </c>
      <c r="CQ468" s="240">
        <f>INPUT!DP368</f>
        <v>7.6543209876543301</v>
      </c>
      <c r="CR468" s="75">
        <f>INPUT!DQ368</f>
        <v>429</v>
      </c>
      <c r="CS468" s="240">
        <f>INPUT!DR368</f>
        <v>2.6315789473684248</v>
      </c>
      <c r="CT468" s="75">
        <f>INPUT!DS368</f>
        <v>434</v>
      </c>
      <c r="CU468" s="240">
        <f>INPUT!DT368</f>
        <v>0.69605568445476251</v>
      </c>
      <c r="CV468" s="75">
        <f>INPUT!DU368</f>
        <v>435</v>
      </c>
      <c r="CW468" s="240">
        <f>INPUT!DV368</f>
        <v>0.92807424593968335</v>
      </c>
      <c r="CX468" s="75">
        <f>INPUT!DW368</f>
        <v>434</v>
      </c>
      <c r="CY468" s="240">
        <f>INPUT!DX368</f>
        <v>-0.45871559633027914</v>
      </c>
      <c r="CZ468" s="75">
        <f>INPUT!DY368</f>
        <v>448</v>
      </c>
      <c r="DA468" s="240">
        <f>INPUT!DZ368</f>
        <v>4.428904428904417</v>
      </c>
      <c r="DB468" s="75">
        <f>INPUT!EA368</f>
        <v>464</v>
      </c>
      <c r="DC468" s="240">
        <f>INPUT!EB368</f>
        <v>6.9124423963133665</v>
      </c>
      <c r="DD468" s="75">
        <f>INPUT!EC368</f>
        <v>483</v>
      </c>
      <c r="DE468" s="240">
        <f>INPUT!ED368</f>
        <v>11.034482758620683</v>
      </c>
      <c r="DF468" s="75">
        <f>INPUT!EE368</f>
        <v>513</v>
      </c>
      <c r="DG468" s="240">
        <f>INPUT!EF368</f>
        <v>18.20276497695852</v>
      </c>
      <c r="DH468" s="75">
        <f>INPUT!EG368</f>
        <v>492</v>
      </c>
      <c r="DI468" s="240">
        <f>INPUT!EH368</f>
        <v>9.8214285714285836</v>
      </c>
      <c r="DJ468" s="75">
        <f>INPUT!EI368</f>
        <v>509</v>
      </c>
      <c r="DK468" s="240">
        <f>INPUT!EJ368</f>
        <v>9.698275862068968</v>
      </c>
      <c r="DL468" s="75">
        <f>INPUT!EK368</f>
        <v>516</v>
      </c>
      <c r="DM468" s="240">
        <f>INPUT!EL368</f>
        <v>6.8322981366459601</v>
      </c>
      <c r="DN468" s="75">
        <f>INPUT!EM368</f>
        <v>540</v>
      </c>
      <c r="DO468" s="240">
        <f>INPUT!EN368</f>
        <v>5.2631578947368354</v>
      </c>
      <c r="DP468" s="75">
        <f>INPUT!EO368</f>
        <v>554</v>
      </c>
      <c r="DQ468" s="240">
        <f>INPUT!EP368</f>
        <v>12.601626016260155</v>
      </c>
      <c r="DR468" s="75">
        <f>INPUT!EQ368</f>
        <v>531.65279279279275</v>
      </c>
      <c r="DS468" s="240">
        <f>INPUT!ER368</f>
        <v>4.4504504504504467</v>
      </c>
      <c r="DT468" s="75">
        <f>INPUT!ES368</f>
        <v>538.96432432432437</v>
      </c>
      <c r="DU468" s="240">
        <f>INPUT!ET368</f>
        <v>4.4504504504504467</v>
      </c>
      <c r="DV468" s="75">
        <f>INPUT!EU368</f>
        <v>564.03243243243242</v>
      </c>
      <c r="DW468" s="240">
        <f>INPUT!EV368</f>
        <v>4.4504504504504467</v>
      </c>
      <c r="DX468" s="75">
        <f>INPUT!EW368</f>
        <v>578.65549549549553</v>
      </c>
      <c r="DY468" s="240">
        <f>INPUT!EX368</f>
        <v>4.4504504504504467</v>
      </c>
      <c r="DZ468" s="75"/>
      <c r="EA468" s="240"/>
      <c r="EB468" s="155">
        <f>INPUT!FI368</f>
        <v>13.178294573643413</v>
      </c>
      <c r="EC468" s="75">
        <f>INPUT!FJ368</f>
        <v>182</v>
      </c>
      <c r="ED468" s="155">
        <f>INPUT!FK368</f>
        <v>24.657534246575352</v>
      </c>
      <c r="EE468" s="75">
        <f>INPUT!FL368</f>
        <v>233</v>
      </c>
      <c r="EF468" s="155">
        <f>INPUT!FM368</f>
        <v>28.021978021978015</v>
      </c>
      <c r="EG468" s="75">
        <f>INPUT!FN368</f>
        <v>319</v>
      </c>
      <c r="EH468" s="155">
        <f>INPUT!FO368</f>
        <v>36.909871244635184</v>
      </c>
      <c r="EI468" s="75">
        <f>INPUT!FP368</f>
        <v>623</v>
      </c>
      <c r="EJ468" s="240">
        <f>INPUT!FQ368</f>
        <v>95.29780564263325</v>
      </c>
      <c r="EK468" s="75">
        <f>INPUT!FR368</f>
        <v>670</v>
      </c>
      <c r="EL468" s="240">
        <f>INPUT!FS368</f>
        <v>7.5441412520064262</v>
      </c>
      <c r="EM468" s="75">
        <f>INPUT!FT368</f>
        <v>799</v>
      </c>
      <c r="EN468" s="240">
        <f>INPUT!FU368</f>
        <v>19.25373134328359</v>
      </c>
      <c r="EO468" s="75">
        <f>INPUT!FV368</f>
        <v>962</v>
      </c>
      <c r="EP468" s="240">
        <f>INPUT!FW368</f>
        <v>20.400500625782229</v>
      </c>
      <c r="EQ468" s="75">
        <f>INPUT!FX368</f>
        <v>1069</v>
      </c>
      <c r="ER468" s="240">
        <f>INPUT!FY368</f>
        <v>11.122661122661114</v>
      </c>
      <c r="ES468" s="75">
        <f>INPUT!FZ368</f>
        <v>1256</v>
      </c>
      <c r="ET468" s="240">
        <f>INPUT!GA368</f>
        <v>17.492984097287192</v>
      </c>
      <c r="EU468" s="75">
        <f>INPUT!GB368</f>
        <v>1451</v>
      </c>
      <c r="EV468" s="240">
        <f>INPUT!GC368</f>
        <v>15.52547770700636</v>
      </c>
      <c r="EW468" s="75">
        <f>INPUT!GD368</f>
        <v>1595</v>
      </c>
      <c r="EX468" s="240">
        <f>INPUT!GE368</f>
        <v>9.9241902136457725</v>
      </c>
      <c r="EY468" s="75">
        <f>INPUT!GF368</f>
        <v>1616</v>
      </c>
      <c r="EZ468" s="240">
        <f>INPUT!GG368</f>
        <v>1.3166144200627059</v>
      </c>
      <c r="FA468" s="75">
        <f>INPUT!GH368</f>
        <v>1727</v>
      </c>
      <c r="FB468" s="240">
        <f>INPUT!GI368</f>
        <v>6.8688118811881083</v>
      </c>
      <c r="FC468" s="75">
        <f>INPUT!GJ368</f>
        <v>1751</v>
      </c>
      <c r="FD468" s="240">
        <f>INPUT!GK368</f>
        <v>1.3896931094383262</v>
      </c>
      <c r="FE468" s="75">
        <f>INPUT!GL368</f>
        <v>1952</v>
      </c>
      <c r="FF468" s="240">
        <f>INPUT!GM368</f>
        <v>11.479154768703609</v>
      </c>
      <c r="FG468" s="75">
        <f>INPUT!GN368</f>
        <v>2119</v>
      </c>
      <c r="FH468" s="240">
        <f>INPUT!GO368</f>
        <v>8.5553278688524728</v>
      </c>
      <c r="FI468" s="75">
        <f>INPUT!GP368</f>
        <v>2213.3050450450451</v>
      </c>
      <c r="FJ468" s="240">
        <f>INPUT!GQ368</f>
        <v>4.4504504504504467</v>
      </c>
      <c r="FK468" s="75">
        <f>INPUT!GR368</f>
        <v>2301.8372468468469</v>
      </c>
      <c r="FL468" s="240">
        <f>INPUT!GS368</f>
        <v>4</v>
      </c>
      <c r="FM468" s="75">
        <f>INPUT!GT368</f>
        <v>2393.9107367207207</v>
      </c>
      <c r="FN468" s="240">
        <f>INPUT!GU368</f>
        <v>4</v>
      </c>
      <c r="FO468" s="75">
        <f>INPUT!GV368</f>
        <v>2489.6671661895498</v>
      </c>
      <c r="FP468" s="240">
        <f>INPUT!GW368</f>
        <v>4</v>
      </c>
      <c r="FQ468" s="75">
        <f>INPUT!GX368</f>
        <v>2589.2538528371319</v>
      </c>
      <c r="FR468" s="240">
        <f>INPUT!GY368</f>
        <v>4</v>
      </c>
      <c r="FS468" s="240">
        <f>INPUT!GZ368</f>
        <v>4.089934413243701</v>
      </c>
    </row>
    <row r="469" spans="1:175" ht="12.75" hidden="1" customHeight="1" outlineLevel="1" x14ac:dyDescent="0.2">
      <c r="A469" s="77" t="str">
        <f>INPUT!B369</f>
        <v>Commissions, Fees and Other Income</v>
      </c>
      <c r="B469" s="75">
        <f>INPUT!AA369</f>
        <v>-1</v>
      </c>
      <c r="C469" s="155" t="str">
        <f>INPUT!AB369</f>
        <v>NM</v>
      </c>
      <c r="D469" s="75">
        <f>INPUT!AC369</f>
        <v>0</v>
      </c>
      <c r="E469" s="155" t="str">
        <f>INPUT!AD369</f>
        <v>NM</v>
      </c>
      <c r="F469" s="75">
        <f>INPUT!AE369</f>
        <v>-7</v>
      </c>
      <c r="G469" s="155">
        <f>INPUT!AF369</f>
        <v>40</v>
      </c>
      <c r="H469" s="75">
        <f>INPUT!AG369</f>
        <v>-11</v>
      </c>
      <c r="I469" s="155" t="str">
        <f>INPUT!AH369</f>
        <v>NM</v>
      </c>
      <c r="J469" s="75">
        <f>INPUT!AI369</f>
        <v>-10</v>
      </c>
      <c r="K469" s="155" t="str">
        <f>INPUT!AJ369</f>
        <v>NM</v>
      </c>
      <c r="L469" s="75">
        <f>INPUT!AK369</f>
        <v>0</v>
      </c>
      <c r="M469" s="155" t="str">
        <f>INPUT!AL369</f>
        <v>NA</v>
      </c>
      <c r="N469" s="75">
        <f>INPUT!AM369</f>
        <v>-9</v>
      </c>
      <c r="O469" s="155">
        <f>INPUT!AN369</f>
        <v>28.571428571428584</v>
      </c>
      <c r="P469" s="75">
        <f>INPUT!AO369</f>
        <v>-8</v>
      </c>
      <c r="Q469" s="155">
        <f>INPUT!AP369</f>
        <v>-27.272727272727266</v>
      </c>
      <c r="R469" s="75">
        <f>INPUT!AQ369</f>
        <v>-2</v>
      </c>
      <c r="S469" s="155" t="str">
        <f>INPUT!AR369</f>
        <v>NM</v>
      </c>
      <c r="T469" s="75">
        <f>INPUT!AS369</f>
        <v>-13</v>
      </c>
      <c r="U469" s="155" t="str">
        <f>INPUT!AT369</f>
        <v>NA</v>
      </c>
      <c r="V469" s="75">
        <f>INPUT!AU369</f>
        <v>-3</v>
      </c>
      <c r="W469" s="155" t="str">
        <f>INPUT!AV369</f>
        <v>NM</v>
      </c>
      <c r="X469" s="75">
        <f>INPUT!AW369</f>
        <v>21</v>
      </c>
      <c r="Y469" s="155" t="str">
        <f>INPUT!AX369</f>
        <v>NM</v>
      </c>
      <c r="Z469" s="75">
        <f>INPUT!AY369</f>
        <v>16</v>
      </c>
      <c r="AA469" s="155" t="str">
        <f>INPUT!AZ369</f>
        <v>NM</v>
      </c>
      <c r="AB469" s="75">
        <f>INPUT!BA369</f>
        <v>13</v>
      </c>
      <c r="AC469" s="155" t="str">
        <f>INPUT!BB369</f>
        <v>NM</v>
      </c>
      <c r="AD469" s="75">
        <f>INPUT!BC369</f>
        <v>25</v>
      </c>
      <c r="AE469" s="155" t="str">
        <f>INPUT!BD369</f>
        <v>NM</v>
      </c>
      <c r="AF469" s="75">
        <f>INPUT!BE369</f>
        <v>22</v>
      </c>
      <c r="AG469" s="155">
        <f>INPUT!BF369</f>
        <v>4.7619047619047734</v>
      </c>
      <c r="AH469" s="75">
        <f>INPUT!BG369</f>
        <v>30</v>
      </c>
      <c r="AI469" s="240">
        <f>INPUT!BH369</f>
        <v>87.5</v>
      </c>
      <c r="AJ469" s="75">
        <f>INPUT!BI369</f>
        <v>39</v>
      </c>
      <c r="AK469" s="240" t="str">
        <f>INPUT!BJ369</f>
        <v>NM</v>
      </c>
      <c r="AL469" s="75">
        <f>INPUT!BK369</f>
        <v>19</v>
      </c>
      <c r="AM469" s="240">
        <f>INPUT!BL369</f>
        <v>-24</v>
      </c>
      <c r="AN469" s="75">
        <f>INPUT!BM369</f>
        <v>21</v>
      </c>
      <c r="AO469" s="240">
        <f>INPUT!BN369</f>
        <v>-4.5454545454545467</v>
      </c>
      <c r="AP469" s="75">
        <f>INPUT!BO369</f>
        <v>13</v>
      </c>
      <c r="AQ469" s="240" t="str">
        <f>INPUT!BP369</f>
        <v>NM</v>
      </c>
      <c r="AR469" s="75">
        <f>INPUT!BQ369</f>
        <v>30</v>
      </c>
      <c r="AS469" s="240">
        <f>INPUT!BR369</f>
        <v>-23.076923076923066</v>
      </c>
      <c r="AT469" s="75">
        <f>INPUT!BS369</f>
        <v>20</v>
      </c>
      <c r="AU469" s="240">
        <f>INPUT!BT369</f>
        <v>5.2631578947368354</v>
      </c>
      <c r="AV469" s="75">
        <f>INPUT!BU369</f>
        <v>16</v>
      </c>
      <c r="AW469" s="240">
        <f>INPUT!BV369</f>
        <v>-23.80952380952381</v>
      </c>
      <c r="AX469" s="75">
        <f>INPUT!BW369</f>
        <v>25</v>
      </c>
      <c r="AY469" s="240">
        <f>INPUT!BX369</f>
        <v>92.307692307692321</v>
      </c>
      <c r="AZ469" s="75">
        <f>INPUT!BY369</f>
        <v>17</v>
      </c>
      <c r="BA469" s="240">
        <f>INPUT!BZ369</f>
        <v>-43.333333333333336</v>
      </c>
      <c r="BB469" s="75">
        <f>INPUT!CA369</f>
        <v>14</v>
      </c>
      <c r="BC469" s="240">
        <f>INPUT!CB369</f>
        <v>-30</v>
      </c>
      <c r="BD469" s="75">
        <f>INPUT!CC369</f>
        <v>5</v>
      </c>
      <c r="BE469" s="240" t="str">
        <f>INPUT!CD369</f>
        <v>NM</v>
      </c>
      <c r="BF469" s="75">
        <f>INPUT!CE369</f>
        <v>10</v>
      </c>
      <c r="BG469" s="240" t="str">
        <f>INPUT!CF369</f>
        <v>NM</v>
      </c>
      <c r="BH469" s="75">
        <f>INPUT!CG369</f>
        <v>10</v>
      </c>
      <c r="BI469" s="240">
        <f>INPUT!CH369</f>
        <v>-41.17647058823529</v>
      </c>
      <c r="BJ469" s="75">
        <f>INPUT!CI369</f>
        <v>7</v>
      </c>
      <c r="BK469" s="240">
        <f>INPUT!CJ369</f>
        <v>-50</v>
      </c>
      <c r="BL469" s="75">
        <f>INPUT!CK369</f>
        <v>-4</v>
      </c>
      <c r="BM469" s="240" t="str">
        <f>INPUT!CL369</f>
        <v>NM</v>
      </c>
      <c r="BN469" s="75">
        <f>INPUT!CM369</f>
        <v>1</v>
      </c>
      <c r="BO469" s="240" t="str">
        <f>INPUT!CN369</f>
        <v>NM</v>
      </c>
      <c r="BP469" s="75">
        <f>INPUT!CO369</f>
        <v>-6</v>
      </c>
      <c r="BQ469" s="240" t="str">
        <f>INPUT!CP369</f>
        <v>NM</v>
      </c>
      <c r="BR469" s="75">
        <f>INPUT!CQ369</f>
        <v>-12</v>
      </c>
      <c r="BS469" s="240" t="str">
        <f>INPUT!CR369</f>
        <v>NM</v>
      </c>
      <c r="BT469" s="75">
        <f>INPUT!CS369</f>
        <v>-14</v>
      </c>
      <c r="BU469" s="240" t="str">
        <f>INPUT!CT369</f>
        <v>NM</v>
      </c>
      <c r="BV469" s="75">
        <f>INPUT!CU369</f>
        <v>11</v>
      </c>
      <c r="BW469" s="240" t="str">
        <f>INPUT!CV369</f>
        <v>NM</v>
      </c>
      <c r="BX469" s="75">
        <f>INPUT!CW369</f>
        <v>27</v>
      </c>
      <c r="BY469" s="240" t="str">
        <f>INPUT!CX369</f>
        <v>NM</v>
      </c>
      <c r="BZ469" s="75">
        <f>INPUT!CY369</f>
        <v>9</v>
      </c>
      <c r="CA469" s="240" t="str">
        <f>INPUT!CZ369</f>
        <v>NM</v>
      </c>
      <c r="CB469" s="75">
        <f>INPUT!DA369</f>
        <v>18</v>
      </c>
      <c r="CC469" s="240" t="str">
        <f>INPUT!DB369</f>
        <v>NM</v>
      </c>
      <c r="CD469" s="75">
        <f>INPUT!DC369</f>
        <v>60</v>
      </c>
      <c r="CE469" s="240" t="str">
        <f>INPUT!DD369</f>
        <v>NM</v>
      </c>
      <c r="CF469" s="75">
        <f>INPUT!DE369</f>
        <v>60</v>
      </c>
      <c r="CG469" s="240" t="str">
        <f>INPUT!DF369</f>
        <v>NM</v>
      </c>
      <c r="CH469" s="75">
        <f>INPUT!DG369</f>
        <v>74</v>
      </c>
      <c r="CI469" s="240" t="str">
        <f>INPUT!DH369</f>
        <v>NM</v>
      </c>
      <c r="CJ469" s="75">
        <f>INPUT!DI369</f>
        <v>49</v>
      </c>
      <c r="CK469" s="240" t="str">
        <f>INPUT!DJ369</f>
        <v>NM</v>
      </c>
      <c r="CL469" s="75">
        <f>INPUT!DK369</f>
        <v>73</v>
      </c>
      <c r="CM469" s="240">
        <f>INPUT!DL369</f>
        <v>21.666666666666657</v>
      </c>
      <c r="CN469" s="75">
        <f>INPUT!DM369</f>
        <v>55</v>
      </c>
      <c r="CO469" s="240">
        <f>INPUT!DN369</f>
        <v>-8.3333333333333428</v>
      </c>
      <c r="CP469" s="75">
        <f>INPUT!DO369</f>
        <v>68</v>
      </c>
      <c r="CQ469" s="240">
        <f>INPUT!DP369</f>
        <v>-8.1081081081080981</v>
      </c>
      <c r="CR469" s="75">
        <f>INPUT!DQ369</f>
        <v>88</v>
      </c>
      <c r="CS469" s="240">
        <f>INPUT!DR369</f>
        <v>79.591836734693885</v>
      </c>
      <c r="CT469" s="75">
        <f>INPUT!DS369</f>
        <v>91</v>
      </c>
      <c r="CU469" s="240">
        <f>INPUT!DT369</f>
        <v>24.657534246575352</v>
      </c>
      <c r="CV469" s="75">
        <f>INPUT!DU369</f>
        <v>84</v>
      </c>
      <c r="CW469" s="240">
        <f>INPUT!DV369</f>
        <v>52.727272727272748</v>
      </c>
      <c r="CX469" s="75">
        <f>INPUT!DW369</f>
        <v>88</v>
      </c>
      <c r="CY469" s="240">
        <f>INPUT!DX369</f>
        <v>29.411764705882348</v>
      </c>
      <c r="CZ469" s="75">
        <f>INPUT!DY369</f>
        <v>91</v>
      </c>
      <c r="DA469" s="240">
        <f>INPUT!DZ369</f>
        <v>3.4090909090909207</v>
      </c>
      <c r="DB469" s="75">
        <f>INPUT!EA369</f>
        <v>63</v>
      </c>
      <c r="DC469" s="240">
        <f>INPUT!EB369</f>
        <v>-30.769230769230774</v>
      </c>
      <c r="DD469" s="75">
        <f>INPUT!EC369</f>
        <v>49</v>
      </c>
      <c r="DE469" s="240">
        <f>INPUT!ED369</f>
        <v>-41.666666666666664</v>
      </c>
      <c r="DF469" s="75">
        <f>INPUT!EE369</f>
        <v>41</v>
      </c>
      <c r="DG469" s="240" t="str">
        <f>INPUT!EF369</f>
        <v>NM</v>
      </c>
      <c r="DH469" s="75">
        <f>INPUT!EG369</f>
        <v>64</v>
      </c>
      <c r="DI469" s="240">
        <f>INPUT!EH369</f>
        <v>-29.670329670329664</v>
      </c>
      <c r="DJ469" s="75">
        <f>INPUT!EI369</f>
        <v>57</v>
      </c>
      <c r="DK469" s="240">
        <f>INPUT!EJ369</f>
        <v>-9.5238095238095184</v>
      </c>
      <c r="DL469" s="75">
        <f>INPUT!EK369</f>
        <v>51</v>
      </c>
      <c r="DM469" s="240">
        <f>INPUT!EL369</f>
        <v>4.0816326530612344</v>
      </c>
      <c r="DN469" s="75">
        <f>INPUT!EM369</f>
        <v>57</v>
      </c>
      <c r="DO469" s="240">
        <f>INPUT!EN369</f>
        <v>39.024390243902417</v>
      </c>
      <c r="DP469" s="75">
        <f>INPUT!EO369</f>
        <v>50</v>
      </c>
      <c r="DQ469" s="240">
        <f>INPUT!EP369</f>
        <v>-21.875</v>
      </c>
      <c r="DR469" s="75">
        <f>INPUT!EQ369</f>
        <v>59.536756756756759</v>
      </c>
      <c r="DS469" s="240">
        <f>INPUT!ER369</f>
        <v>4.4504504504504467</v>
      </c>
      <c r="DT469" s="75">
        <f>INPUT!ES369</f>
        <v>53.269729729729733</v>
      </c>
      <c r="DU469" s="240">
        <f>INPUT!ET369</f>
        <v>4.4504504504504467</v>
      </c>
      <c r="DV469" s="75">
        <f>INPUT!EU369</f>
        <v>59.536756756756759</v>
      </c>
      <c r="DW469" s="240">
        <f>INPUT!EV369</f>
        <v>4.4504504504504467</v>
      </c>
      <c r="DX469" s="75">
        <f>INPUT!EW369</f>
        <v>52.225225225225223</v>
      </c>
      <c r="DY469" s="240">
        <f>INPUT!EX369</f>
        <v>4.4504504504504467</v>
      </c>
      <c r="DZ469" s="75"/>
      <c r="EA469" s="240"/>
      <c r="EB469" s="155" t="str">
        <f>INPUT!FI369</f>
        <v>NM</v>
      </c>
      <c r="EC469" s="75">
        <f>INPUT!FJ369</f>
        <v>6</v>
      </c>
      <c r="ED469" s="155" t="str">
        <f>INPUT!FK369</f>
        <v>NM</v>
      </c>
      <c r="EE469" s="75">
        <f>INPUT!FL369</f>
        <v>-19</v>
      </c>
      <c r="EF469" s="155" t="str">
        <f>INPUT!FM369</f>
        <v>NM</v>
      </c>
      <c r="EG469" s="75">
        <f>INPUT!FN369</f>
        <v>-27</v>
      </c>
      <c r="EH469" s="155">
        <f>INPUT!FO369</f>
        <v>42.10526315789474</v>
      </c>
      <c r="EI469" s="75">
        <f>INPUT!FP369</f>
        <v>3</v>
      </c>
      <c r="EJ469" s="240" t="str">
        <f>INPUT!FQ369</f>
        <v>NM</v>
      </c>
      <c r="EK469" s="75">
        <f>INPUT!FR369</f>
        <v>76</v>
      </c>
      <c r="EL469" s="240" t="str">
        <f>INPUT!FS369</f>
        <v>NM</v>
      </c>
      <c r="EM469" s="75">
        <f>INPUT!FT369</f>
        <v>109</v>
      </c>
      <c r="EN469" s="240">
        <f>INPUT!FU369</f>
        <v>43.421052631578931</v>
      </c>
      <c r="EO469" s="75">
        <f>INPUT!FV369</f>
        <v>78</v>
      </c>
      <c r="EP469" s="240">
        <f>INPUT!FW369</f>
        <v>-28.440366972477065</v>
      </c>
      <c r="EQ469" s="75">
        <f>INPUT!FX369</f>
        <v>54</v>
      </c>
      <c r="ER469" s="240">
        <f>INPUT!FY369</f>
        <v>-30.769230769230774</v>
      </c>
      <c r="ES469" s="75">
        <f>INPUT!FZ369</f>
        <v>23</v>
      </c>
      <c r="ET469" s="240" t="str">
        <f>INPUT!GA369</f>
        <v>NM</v>
      </c>
      <c r="EU469" s="75">
        <f>INPUT!GB369</f>
        <v>-31</v>
      </c>
      <c r="EV469" s="240" t="str">
        <f>INPUT!GC369</f>
        <v>NM</v>
      </c>
      <c r="EW469" s="75">
        <f>INPUT!GD369</f>
        <v>65</v>
      </c>
      <c r="EX469" s="240" t="str">
        <f>INPUT!GE369</f>
        <v>NM</v>
      </c>
      <c r="EY469" s="75">
        <f>INPUT!GF369</f>
        <v>243</v>
      </c>
      <c r="EZ469" s="240" t="str">
        <f>INPUT!GG369</f>
        <v>NM</v>
      </c>
      <c r="FA469" s="75">
        <f>INPUT!GH369</f>
        <v>284</v>
      </c>
      <c r="FB469" s="240">
        <f>INPUT!GI369</f>
        <v>16.872427983539097</v>
      </c>
      <c r="FC469" s="75">
        <f>INPUT!GJ369</f>
        <v>354</v>
      </c>
      <c r="FD469" s="240">
        <f>INPUT!GK369</f>
        <v>24.64788732394365</v>
      </c>
      <c r="FE469" s="75">
        <f>INPUT!GL369</f>
        <v>217</v>
      </c>
      <c r="FF469" s="240">
        <f>INPUT!GM369</f>
        <v>-38.700564971751419</v>
      </c>
      <c r="FG469" s="75">
        <f>INPUT!GN369</f>
        <v>215</v>
      </c>
      <c r="FH469" s="240">
        <f>INPUT!GO369</f>
        <v>-0.92165898617511743</v>
      </c>
      <c r="FI469" s="75">
        <f>INPUT!GP369</f>
        <v>224.56846846846847</v>
      </c>
      <c r="FJ469" s="240">
        <f>INPUT!GQ369</f>
        <v>4.4504504504504467</v>
      </c>
      <c r="FK469" s="75">
        <f>INPUT!GR369</f>
        <v>233.55120720720723</v>
      </c>
      <c r="FL469" s="240">
        <f>INPUT!GS369</f>
        <v>4</v>
      </c>
      <c r="FM469" s="75">
        <f>INPUT!GT369</f>
        <v>242.89325549549554</v>
      </c>
      <c r="FN469" s="240">
        <f>INPUT!GU369</f>
        <v>4</v>
      </c>
      <c r="FO469" s="75">
        <f>INPUT!GV369</f>
        <v>252.60898571531536</v>
      </c>
      <c r="FP469" s="240">
        <f>INPUT!GW369</f>
        <v>4</v>
      </c>
      <c r="FQ469" s="75">
        <f>INPUT!GX369</f>
        <v>262.713345143928</v>
      </c>
      <c r="FR469" s="240">
        <f>INPUT!GY369</f>
        <v>4</v>
      </c>
      <c r="FS469" s="240">
        <f>INPUT!GZ369</f>
        <v>4.089934413243701</v>
      </c>
    </row>
    <row r="470" spans="1:175" ht="12.75" hidden="1" customHeight="1" outlineLevel="1" x14ac:dyDescent="0.2">
      <c r="A470" s="70" t="str">
        <f>INPUT!B370</f>
        <v xml:space="preserve">  Total Revenues</v>
      </c>
      <c r="B470" s="91">
        <f>INPUT!AA370</f>
        <v>707</v>
      </c>
      <c r="C470" s="155">
        <f>INPUT!AB370</f>
        <v>24.911660777385151</v>
      </c>
      <c r="D470" s="91">
        <f>INPUT!AC370</f>
        <v>689</v>
      </c>
      <c r="E470" s="155">
        <f>INPUT!AD370</f>
        <v>21.946902654867245</v>
      </c>
      <c r="F470" s="91">
        <f>INPUT!AE370</f>
        <v>750</v>
      </c>
      <c r="G470" s="155">
        <f>INPUT!AF370</f>
        <v>20.578778135048225</v>
      </c>
      <c r="H470" s="91">
        <f>INPUT!AG370</f>
        <v>789</v>
      </c>
      <c r="I470" s="155">
        <f>INPUT!AH370</f>
        <v>26.038338658146969</v>
      </c>
      <c r="J470" s="91">
        <f>INPUT!AI370</f>
        <v>844</v>
      </c>
      <c r="K470" s="155">
        <f>INPUT!AJ370</f>
        <v>19.377652050919366</v>
      </c>
      <c r="L470" s="91">
        <f>INPUT!AK370</f>
        <v>799</v>
      </c>
      <c r="M470" s="155">
        <f>INPUT!AL370</f>
        <v>15.965166908563134</v>
      </c>
      <c r="N470" s="91">
        <f>INPUT!AM370</f>
        <v>844</v>
      </c>
      <c r="O470" s="155">
        <f>INPUT!AN370</f>
        <v>12.533333333333331</v>
      </c>
      <c r="P470" s="91">
        <f>INPUT!AO370</f>
        <v>917</v>
      </c>
      <c r="Q470" s="155">
        <f>INPUT!AP370</f>
        <v>16.223067173637503</v>
      </c>
      <c r="R470" s="91">
        <f>INPUT!AQ370</f>
        <v>1159</v>
      </c>
      <c r="S470" s="155">
        <f>INPUT!AR370</f>
        <v>37.322274881516591</v>
      </c>
      <c r="T470" s="91">
        <f>INPUT!AS370</f>
        <v>1084</v>
      </c>
      <c r="U470" s="155">
        <f>INPUT!AT370</f>
        <v>35.669586983729658</v>
      </c>
      <c r="V470" s="91">
        <f>INPUT!AU370</f>
        <v>1091</v>
      </c>
      <c r="W470" s="155">
        <f>INPUT!AV370</f>
        <v>29.265402843601919</v>
      </c>
      <c r="X470" s="91">
        <f>INPUT!AW370</f>
        <v>1148</v>
      </c>
      <c r="Y470" s="155">
        <f>INPUT!AX370</f>
        <v>25.190839694656503</v>
      </c>
      <c r="Z470" s="91">
        <f>INPUT!AY370</f>
        <v>1219</v>
      </c>
      <c r="AA470" s="155">
        <f>INPUT!AZ370</f>
        <v>5.1768766177739565</v>
      </c>
      <c r="AB470" s="91">
        <f>INPUT!BA370</f>
        <v>1203</v>
      </c>
      <c r="AC470" s="155">
        <f>INPUT!BB370</f>
        <v>10.977859778597775</v>
      </c>
      <c r="AD470" s="91">
        <f>INPUT!BC370</f>
        <v>1216</v>
      </c>
      <c r="AE470" s="155">
        <f>INPUT!BD370</f>
        <v>11.457378551787343</v>
      </c>
      <c r="AF470" s="91">
        <f>INPUT!BE370</f>
        <v>1246</v>
      </c>
      <c r="AG470" s="155">
        <f>INPUT!BF370</f>
        <v>8.5365853658536679</v>
      </c>
      <c r="AH470" s="91">
        <f>INPUT!BG370</f>
        <v>1359</v>
      </c>
      <c r="AI470" s="240">
        <f>INPUT!BH370</f>
        <v>11.484823625922886</v>
      </c>
      <c r="AJ470" s="91">
        <f>INPUT!BI370</f>
        <v>1308</v>
      </c>
      <c r="AK470" s="240">
        <f>INPUT!BJ370</f>
        <v>8.7281795511221958</v>
      </c>
      <c r="AL470" s="91">
        <f>INPUT!BK370</f>
        <v>1344</v>
      </c>
      <c r="AM470" s="240">
        <f>INPUT!BL370</f>
        <v>10.526315789473699</v>
      </c>
      <c r="AN470" s="91">
        <f>INPUT!BM370</f>
        <v>1403</v>
      </c>
      <c r="AO470" s="240">
        <f>INPUT!BN370</f>
        <v>12.600321027287322</v>
      </c>
      <c r="AP470" s="91">
        <f>INPUT!BO370</f>
        <v>1577</v>
      </c>
      <c r="AQ470" s="240">
        <f>INPUT!BP370</f>
        <v>16.041206769683598</v>
      </c>
      <c r="AR470" s="91">
        <f>INPUT!BQ370</f>
        <v>1489</v>
      </c>
      <c r="AS470" s="240">
        <f>INPUT!BR370</f>
        <v>13.837920489296636</v>
      </c>
      <c r="AT470" s="91">
        <f>INPUT!BS370</f>
        <v>1462</v>
      </c>
      <c r="AU470" s="240">
        <f>INPUT!BT370</f>
        <v>8.7797619047619122</v>
      </c>
      <c r="AV470" s="91">
        <f>INPUT!BU370</f>
        <v>1494</v>
      </c>
      <c r="AW470" s="240">
        <f>INPUT!BV370</f>
        <v>6.4861012116892454</v>
      </c>
      <c r="AX470" s="91">
        <f>INPUT!BW370</f>
        <v>1642</v>
      </c>
      <c r="AY470" s="240">
        <f>INPUT!BX370</f>
        <v>4.1217501585288403</v>
      </c>
      <c r="AZ470" s="91">
        <f>INPUT!BY370</f>
        <v>1539</v>
      </c>
      <c r="BA470" s="240">
        <f>INPUT!BZ370</f>
        <v>3.3579583613163209</v>
      </c>
      <c r="BB470" s="91">
        <f>INPUT!CA370</f>
        <v>1596</v>
      </c>
      <c r="BC470" s="240">
        <f>INPUT!CB370</f>
        <v>9.1655266757865803</v>
      </c>
      <c r="BD470" s="91">
        <f>INPUT!CC370</f>
        <v>1666</v>
      </c>
      <c r="BE470" s="240">
        <f>INPUT!CD370</f>
        <v>11.512717536813938</v>
      </c>
      <c r="BF470" s="91">
        <f>INPUT!CE370</f>
        <v>1828</v>
      </c>
      <c r="BG470" s="240">
        <f>INPUT!CF370</f>
        <v>11.32764920828258</v>
      </c>
      <c r="BH470" s="91">
        <f>INPUT!CG370</f>
        <v>1693</v>
      </c>
      <c r="BI470" s="240">
        <f>INPUT!CH370</f>
        <v>10.006497725795981</v>
      </c>
      <c r="BJ470" s="91">
        <f>INPUT!CI370</f>
        <v>1826</v>
      </c>
      <c r="BK470" s="240">
        <f>INPUT!CJ370</f>
        <v>14.411027568922293</v>
      </c>
      <c r="BL470" s="91">
        <f>INPUT!CK370</f>
        <v>1905</v>
      </c>
      <c r="BM470" s="240">
        <f>INPUT!CL370</f>
        <v>14.345738295318128</v>
      </c>
      <c r="BN470" s="91">
        <f>INPUT!CM370</f>
        <v>2097</v>
      </c>
      <c r="BO470" s="240">
        <f>INPUT!CN370</f>
        <v>14.715536105032825</v>
      </c>
      <c r="BP470" s="91">
        <f>INPUT!CO370</f>
        <v>1944</v>
      </c>
      <c r="BQ470" s="240">
        <f>INPUT!CP370</f>
        <v>14.825753101004139</v>
      </c>
      <c r="BR470" s="91">
        <f>INPUT!CQ370</f>
        <v>2076</v>
      </c>
      <c r="BS470" s="240">
        <f>INPUT!CR370</f>
        <v>13.691128148959478</v>
      </c>
      <c r="BT470" s="91">
        <f>INPUT!CS370</f>
        <v>2085</v>
      </c>
      <c r="BU470" s="240">
        <f>INPUT!CT370</f>
        <v>9.4488188976378069</v>
      </c>
      <c r="BV470" s="91">
        <f>INPUT!CU370</f>
        <v>2317</v>
      </c>
      <c r="BW470" s="240">
        <f>INPUT!CV370</f>
        <v>10.491177873152125</v>
      </c>
      <c r="BX470" s="91">
        <f>INPUT!CW370</f>
        <v>2192</v>
      </c>
      <c r="BY470" s="240">
        <f>INPUT!CX370</f>
        <v>12.757201646090536</v>
      </c>
      <c r="BZ470" s="91">
        <f>INPUT!CY370</f>
        <v>2237</v>
      </c>
      <c r="CA470" s="240">
        <f>INPUT!CZ370</f>
        <v>7.7552986512524171</v>
      </c>
      <c r="CB470" s="91">
        <f>INPUT!DA370</f>
        <v>2256</v>
      </c>
      <c r="CC470" s="240">
        <f>INPUT!DB370</f>
        <v>8.2014388489208585</v>
      </c>
      <c r="CD470" s="91">
        <f>INPUT!DC370</f>
        <v>2443</v>
      </c>
      <c r="CE470" s="240">
        <f>INPUT!DD370</f>
        <v>5.4380664652567958</v>
      </c>
      <c r="CF470" s="91">
        <f>INPUT!DE370</f>
        <v>2158</v>
      </c>
      <c r="CG470" s="240">
        <f>INPUT!DF370</f>
        <v>-1.551094890510953</v>
      </c>
      <c r="CH470" s="91">
        <f>INPUT!DG370</f>
        <v>2173</v>
      </c>
      <c r="CI470" s="240">
        <f>INPUT!DH370</f>
        <v>-2.8609745194456906</v>
      </c>
      <c r="CJ470" s="91">
        <f>INPUT!DI370</f>
        <v>2204</v>
      </c>
      <c r="CK470" s="240">
        <f>INPUT!DJ370</f>
        <v>-2.3049645390070879</v>
      </c>
      <c r="CL470" s="91">
        <f>INPUT!DK370</f>
        <v>2479</v>
      </c>
      <c r="CM470" s="240">
        <f>INPUT!DL370</f>
        <v>1.4735980352026132</v>
      </c>
      <c r="CN470" s="91">
        <f>INPUT!DM370</f>
        <v>2261</v>
      </c>
      <c r="CO470" s="240">
        <f>INPUT!DN370</f>
        <v>4.7729379054680265</v>
      </c>
      <c r="CP470" s="91">
        <f>INPUT!DO370</f>
        <v>2284</v>
      </c>
      <c r="CQ470" s="240">
        <f>INPUT!DP370</f>
        <v>5.1081454210768413</v>
      </c>
      <c r="CR470" s="91">
        <f>INPUT!DQ370</f>
        <v>2243</v>
      </c>
      <c r="CS470" s="240">
        <f>INPUT!DR370</f>
        <v>1.7695099818511721</v>
      </c>
      <c r="CT470" s="91">
        <f>INPUT!DS370</f>
        <v>2442</v>
      </c>
      <c r="CU470" s="240">
        <f>INPUT!DT370</f>
        <v>-1.4925373134328339</v>
      </c>
      <c r="CV470" s="91">
        <f>INPUT!DU370</f>
        <v>2231</v>
      </c>
      <c r="CW470" s="240">
        <f>INPUT!DV370</f>
        <v>-1.3268465280849142</v>
      </c>
      <c r="CX470" s="91">
        <f>INPUT!DW370</f>
        <v>2250</v>
      </c>
      <c r="CY470" s="240">
        <f>INPUT!DX370</f>
        <v>-1.488616462346755</v>
      </c>
      <c r="CZ470" s="91">
        <f>INPUT!DY370</f>
        <v>2249</v>
      </c>
      <c r="DA470" s="240">
        <f>INPUT!DZ370</f>
        <v>0.26749888542130407</v>
      </c>
      <c r="DB470" s="91">
        <f>INPUT!EA370</f>
        <v>2559</v>
      </c>
      <c r="DC470" s="240">
        <f>INPUT!EB370</f>
        <v>4.7911547911547956</v>
      </c>
      <c r="DD470" s="91">
        <f>INPUT!EC370</f>
        <v>2417</v>
      </c>
      <c r="DE470" s="240">
        <f>INPUT!ED370</f>
        <v>8.3370685791125112</v>
      </c>
      <c r="DF470" s="91">
        <f>INPUT!EE370</f>
        <v>2533</v>
      </c>
      <c r="DG470" s="240">
        <f>INPUT!EF370</f>
        <v>12.577777777777783</v>
      </c>
      <c r="DH470" s="91">
        <f>INPUT!EG370</f>
        <v>2477</v>
      </c>
      <c r="DI470" s="240">
        <f>INPUT!EH370</f>
        <v>10.137839039573151</v>
      </c>
      <c r="DJ470" s="91">
        <f>INPUT!EI370</f>
        <v>2778</v>
      </c>
      <c r="DK470" s="240">
        <f>INPUT!EJ370</f>
        <v>8.5580304806565124</v>
      </c>
      <c r="DL470" s="91">
        <f>INPUT!EK370</f>
        <v>2577</v>
      </c>
      <c r="DM470" s="240">
        <f>INPUT!EL370</f>
        <v>6.6197765825403394</v>
      </c>
      <c r="DN470" s="91">
        <f>INPUT!EM370</f>
        <v>2627</v>
      </c>
      <c r="DO470" s="240">
        <f>INPUT!EN370</f>
        <v>3.7110146071851489</v>
      </c>
      <c r="DP470" s="91">
        <f>INPUT!EO370</f>
        <v>2662</v>
      </c>
      <c r="DQ470" s="240">
        <f>INPUT!EP370</f>
        <v>7.4687121517965238</v>
      </c>
      <c r="DR470" s="91">
        <f>INPUT!EQ370</f>
        <v>2901.6335135135137</v>
      </c>
      <c r="DS470" s="240">
        <f>INPUT!ER370</f>
        <v>4.4504504504504467</v>
      </c>
      <c r="DT470" s="91">
        <f>INPUT!ES370</f>
        <v>2691.6881081081078</v>
      </c>
      <c r="DU470" s="240">
        <f>INPUT!ET370</f>
        <v>4.4504504504504467</v>
      </c>
      <c r="DV470" s="91">
        <f>INPUT!EU370</f>
        <v>2743.9133333333334</v>
      </c>
      <c r="DW470" s="240">
        <f>INPUT!EV370</f>
        <v>4.4504504504504467</v>
      </c>
      <c r="DX470" s="91">
        <f>INPUT!EW370</f>
        <v>2780.4709909909911</v>
      </c>
      <c r="DY470" s="240">
        <f>INPUT!EX370</f>
        <v>4.4504504504504467</v>
      </c>
      <c r="DZ470" s="91"/>
      <c r="EA470" s="240"/>
      <c r="EB470" s="155">
        <f>INPUT!FI370</f>
        <v>10.416666666666671</v>
      </c>
      <c r="EC470" s="91">
        <f>INPUT!FJ370</f>
        <v>2379</v>
      </c>
      <c r="ED470" s="155">
        <f>INPUT!FK370</f>
        <v>12.216981132075475</v>
      </c>
      <c r="EE470" s="91">
        <f>INPUT!FL370</f>
        <v>2935</v>
      </c>
      <c r="EF470" s="155">
        <f>INPUT!FM370</f>
        <v>23.371164354770912</v>
      </c>
      <c r="EG470" s="91">
        <f>INPUT!FN370</f>
        <v>3404</v>
      </c>
      <c r="EH470" s="155">
        <f>INPUT!FO370</f>
        <v>15.979557069846678</v>
      </c>
      <c r="EI470" s="91">
        <f>INPUT!FP370</f>
        <v>4482</v>
      </c>
      <c r="EJ470" s="240">
        <f>INPUT!FQ370</f>
        <v>31.668625146886029</v>
      </c>
      <c r="EK470" s="91">
        <f>INPUT!FR370</f>
        <v>4884</v>
      </c>
      <c r="EL470" s="240">
        <f>INPUT!FS370</f>
        <v>8.9692101740294561</v>
      </c>
      <c r="EM470" s="91">
        <f>INPUT!FT370</f>
        <v>5414</v>
      </c>
      <c r="EN470" s="240">
        <f>INPUT!FU370</f>
        <v>10.851760851760844</v>
      </c>
      <c r="EO470" s="91">
        <f>INPUT!FV370</f>
        <v>6013</v>
      </c>
      <c r="EP470" s="240">
        <f>INPUT!FW370</f>
        <v>11.063908385666792</v>
      </c>
      <c r="EQ470" s="91">
        <f>INPUT!FX370</f>
        <v>6393</v>
      </c>
      <c r="ER470" s="240">
        <f>INPUT!FY370</f>
        <v>6.3196407783136692</v>
      </c>
      <c r="ES470" s="91">
        <f>INPUT!FZ370</f>
        <v>7252</v>
      </c>
      <c r="ET470" s="240">
        <f>INPUT!GA370</f>
        <v>13.436571249804459</v>
      </c>
      <c r="EU470" s="91">
        <f>INPUT!GB370</f>
        <v>8202</v>
      </c>
      <c r="EV470" s="240">
        <f>INPUT!GC370</f>
        <v>13.09983452840595</v>
      </c>
      <c r="EW470" s="91">
        <f>INPUT!GD370</f>
        <v>9002</v>
      </c>
      <c r="EX470" s="240">
        <f>INPUT!GE370</f>
        <v>9.753718605218225</v>
      </c>
      <c r="EY470" s="91">
        <f>INPUT!GF370</f>
        <v>8978</v>
      </c>
      <c r="EZ470" s="240">
        <f>INPUT!GG370</f>
        <v>-0.26660742057320874</v>
      </c>
      <c r="FA470" s="91">
        <f>INPUT!GH370</f>
        <v>9267</v>
      </c>
      <c r="FB470" s="240">
        <f>INPUT!GI370</f>
        <v>3.2189797282245536</v>
      </c>
      <c r="FC470" s="91">
        <f>INPUT!GJ370</f>
        <v>9172</v>
      </c>
      <c r="FD470" s="240">
        <f>INPUT!GK370</f>
        <v>-1.0251429804683312</v>
      </c>
      <c r="FE470" s="91">
        <f>INPUT!GL370</f>
        <v>9986</v>
      </c>
      <c r="FF470" s="240">
        <f>INPUT!GM370</f>
        <v>8.8748364587876125</v>
      </c>
      <c r="FG470" s="91">
        <f>INPUT!GN370</f>
        <v>10644</v>
      </c>
      <c r="FH470" s="240">
        <f>INPUT!GO370</f>
        <v>6.5892249148808304</v>
      </c>
      <c r="FI470" s="91">
        <f>INPUT!GP370</f>
        <v>11117.705945945945</v>
      </c>
      <c r="FJ470" s="240">
        <f>INPUT!GQ370</f>
        <v>4.4504504504504467</v>
      </c>
      <c r="FK470" s="91">
        <f>INPUT!GR370</f>
        <v>11562.414183783783</v>
      </c>
      <c r="FL470" s="240">
        <f>INPUT!GS370</f>
        <v>4</v>
      </c>
      <c r="FM470" s="91">
        <f>INPUT!GT370</f>
        <v>12024.910751135136</v>
      </c>
      <c r="FN470" s="240">
        <f>INPUT!GU370</f>
        <v>4</v>
      </c>
      <c r="FO470" s="91">
        <f>INPUT!GV370</f>
        <v>12505.907181180539</v>
      </c>
      <c r="FP470" s="240">
        <f>INPUT!GW370</f>
        <v>3.9999999999999858</v>
      </c>
      <c r="FQ470" s="91">
        <f>INPUT!GX370</f>
        <v>13006.143468427763</v>
      </c>
      <c r="FR470" s="240">
        <f>INPUT!GY370</f>
        <v>4.0000000000000284</v>
      </c>
      <c r="FS470" s="240">
        <f>INPUT!GZ370</f>
        <v>4.089934413243701</v>
      </c>
    </row>
    <row r="471" spans="1:175" ht="12.75" hidden="1" customHeight="1" outlineLevel="1" x14ac:dyDescent="0.2">
      <c r="A471" s="77"/>
      <c r="B471" s="511"/>
      <c r="C471" s="487"/>
      <c r="D471" s="511"/>
      <c r="E471" s="487"/>
      <c r="F471" s="511"/>
      <c r="G471" s="487"/>
      <c r="H471" s="511"/>
      <c r="I471" s="487"/>
      <c r="J471" s="511"/>
      <c r="K471" s="487"/>
      <c r="L471" s="511"/>
      <c r="M471" s="487"/>
      <c r="N471" s="511"/>
      <c r="O471" s="487"/>
      <c r="P471" s="511"/>
      <c r="Q471" s="487"/>
      <c r="R471" s="511"/>
      <c r="S471" s="487"/>
      <c r="T471" s="511"/>
      <c r="U471" s="487"/>
      <c r="V471" s="511"/>
      <c r="W471" s="487"/>
      <c r="X471" s="511"/>
      <c r="Y471" s="487"/>
      <c r="Z471" s="511"/>
      <c r="AA471" s="487"/>
      <c r="AB471" s="511"/>
      <c r="AC471" s="487"/>
      <c r="AD471" s="511"/>
      <c r="AE471" s="487"/>
      <c r="AF471" s="511"/>
      <c r="AG471" s="487"/>
      <c r="AH471" s="511"/>
      <c r="AI471" s="486"/>
      <c r="AJ471" s="511"/>
      <c r="AK471" s="486"/>
      <c r="AL471" s="511"/>
      <c r="AM471" s="486"/>
      <c r="AN471" s="511"/>
      <c r="AO471" s="486"/>
      <c r="AP471" s="511"/>
      <c r="AQ471" s="486"/>
      <c r="AR471" s="511"/>
      <c r="AS471" s="486"/>
      <c r="AT471" s="511"/>
      <c r="AU471" s="486"/>
      <c r="AV471" s="511"/>
      <c r="AW471" s="486"/>
      <c r="AX471" s="511"/>
      <c r="AY471" s="486"/>
      <c r="AZ471" s="511"/>
      <c r="BA471" s="486"/>
      <c r="BB471" s="511"/>
      <c r="BC471" s="486"/>
      <c r="BD471" s="511"/>
      <c r="BE471" s="486"/>
      <c r="BF471" s="511"/>
      <c r="BG471" s="486"/>
      <c r="BH471" s="511"/>
      <c r="BI471" s="486"/>
      <c r="BJ471" s="511"/>
      <c r="BK471" s="486"/>
      <c r="BL471" s="511"/>
      <c r="BM471" s="486"/>
      <c r="BN471" s="511"/>
      <c r="BO471" s="486"/>
      <c r="BP471" s="511"/>
      <c r="BQ471" s="486"/>
      <c r="BR471" s="511"/>
      <c r="BS471" s="486"/>
      <c r="BT471" s="511"/>
      <c r="BU471" s="486"/>
      <c r="BV471" s="511"/>
      <c r="BW471" s="486"/>
      <c r="BX471" s="511"/>
      <c r="BY471" s="486"/>
      <c r="BZ471" s="511"/>
      <c r="CA471" s="486"/>
      <c r="CB471" s="511"/>
      <c r="CC471" s="486"/>
      <c r="CD471" s="511"/>
      <c r="CE471" s="486"/>
      <c r="CF471" s="511"/>
      <c r="CG471" s="486"/>
      <c r="CH471" s="511"/>
      <c r="CI471" s="486"/>
      <c r="CJ471" s="511"/>
      <c r="CK471" s="486"/>
      <c r="CL471" s="511"/>
      <c r="CM471" s="486"/>
      <c r="CN471" s="511"/>
      <c r="CO471" s="486"/>
      <c r="CP471" s="511"/>
      <c r="CQ471" s="486"/>
      <c r="CR471" s="511"/>
      <c r="CS471" s="486"/>
      <c r="CT471" s="511"/>
      <c r="CU471" s="486"/>
      <c r="CV471" s="511"/>
      <c r="CW471" s="486"/>
      <c r="CX471" s="511"/>
      <c r="CY471" s="486"/>
      <c r="CZ471" s="511"/>
      <c r="DA471" s="486"/>
      <c r="DB471" s="511"/>
      <c r="DC471" s="486"/>
      <c r="DD471" s="511"/>
      <c r="DE471" s="486"/>
      <c r="DF471" s="511"/>
      <c r="DG471" s="486"/>
      <c r="DH471" s="511"/>
      <c r="DI471" s="486"/>
      <c r="DJ471" s="511"/>
      <c r="DK471" s="486"/>
      <c r="DL471" s="511"/>
      <c r="DM471" s="486"/>
      <c r="DN471" s="511"/>
      <c r="DO471" s="486"/>
      <c r="DP471" s="511"/>
      <c r="DQ471" s="486"/>
      <c r="DR471" s="511"/>
      <c r="DS471" s="486"/>
      <c r="DT471" s="511"/>
      <c r="DU471" s="486"/>
      <c r="DV471" s="511"/>
      <c r="DW471" s="486"/>
      <c r="DX471" s="511"/>
      <c r="DY471" s="486"/>
      <c r="DZ471" s="511"/>
      <c r="EA471" s="486"/>
      <c r="EB471" s="487"/>
      <c r="EC471" s="511"/>
      <c r="ED471" s="487"/>
      <c r="EE471" s="511"/>
      <c r="EF471" s="487"/>
      <c r="EG471" s="511"/>
      <c r="EH471" s="487"/>
      <c r="EI471" s="511"/>
      <c r="EJ471" s="486"/>
      <c r="EK471" s="511"/>
      <c r="EL471" s="486"/>
      <c r="EM471" s="511"/>
      <c r="EN471" s="486"/>
      <c r="EO471" s="511"/>
      <c r="EP471" s="486"/>
      <c r="EQ471" s="511"/>
      <c r="ER471" s="486"/>
      <c r="ES471" s="511"/>
      <c r="ET471" s="486"/>
      <c r="EU471" s="511"/>
      <c r="EV471" s="486"/>
      <c r="EW471" s="511"/>
      <c r="EX471" s="486"/>
      <c r="EY471" s="511"/>
      <c r="EZ471" s="486"/>
      <c r="FA471" s="511"/>
      <c r="FB471" s="486"/>
      <c r="FC471" s="511"/>
      <c r="FD471" s="486"/>
      <c r="FE471" s="511"/>
      <c r="FF471" s="486"/>
      <c r="FG471" s="511"/>
      <c r="FH471" s="486"/>
      <c r="FI471" s="511"/>
      <c r="FJ471" s="486"/>
      <c r="FK471" s="511"/>
      <c r="FL471" s="486"/>
      <c r="FM471" s="511"/>
      <c r="FN471" s="486"/>
      <c r="FO471" s="511"/>
      <c r="FP471" s="486"/>
      <c r="FQ471" s="511"/>
      <c r="FR471" s="486"/>
      <c r="FS471" s="486"/>
    </row>
    <row r="472" spans="1:175" ht="12.75" hidden="1" customHeight="1" outlineLevel="1" x14ac:dyDescent="0.2">
      <c r="A472" s="70" t="s">
        <v>129</v>
      </c>
      <c r="B472" s="511"/>
      <c r="C472" s="487"/>
      <c r="D472" s="511"/>
      <c r="E472" s="487"/>
      <c r="F472" s="511"/>
      <c r="G472" s="487"/>
      <c r="H472" s="511"/>
      <c r="I472" s="487"/>
      <c r="J472" s="511"/>
      <c r="K472" s="487"/>
      <c r="L472" s="511"/>
      <c r="M472" s="487"/>
      <c r="N472" s="511"/>
      <c r="O472" s="487"/>
      <c r="P472" s="511"/>
      <c r="Q472" s="487"/>
      <c r="R472" s="511"/>
      <c r="S472" s="487"/>
      <c r="T472" s="511"/>
      <c r="U472" s="487"/>
      <c r="V472" s="511"/>
      <c r="W472" s="487"/>
      <c r="X472" s="511"/>
      <c r="Y472" s="487"/>
      <c r="Z472" s="511"/>
      <c r="AA472" s="487"/>
      <c r="AB472" s="511"/>
      <c r="AC472" s="487"/>
      <c r="AD472" s="511"/>
      <c r="AE472" s="487"/>
      <c r="AF472" s="511"/>
      <c r="AG472" s="487"/>
      <c r="AH472" s="511"/>
      <c r="AI472" s="486"/>
      <c r="AJ472" s="511"/>
      <c r="AK472" s="486"/>
      <c r="AL472" s="511"/>
      <c r="AM472" s="486"/>
      <c r="AN472" s="511"/>
      <c r="AO472" s="486"/>
      <c r="AP472" s="511"/>
      <c r="AQ472" s="486"/>
      <c r="AR472" s="511"/>
      <c r="AS472" s="486"/>
      <c r="AT472" s="511"/>
      <c r="AU472" s="486"/>
      <c r="AV472" s="511"/>
      <c r="AW472" s="486"/>
      <c r="AX472" s="511"/>
      <c r="AY472" s="486"/>
      <c r="AZ472" s="511"/>
      <c r="BA472" s="486"/>
      <c r="BB472" s="511"/>
      <c r="BC472" s="486"/>
      <c r="BD472" s="511"/>
      <c r="BE472" s="486"/>
      <c r="BF472" s="511"/>
      <c r="BG472" s="486"/>
      <c r="BH472" s="511"/>
      <c r="BI472" s="486"/>
      <c r="BJ472" s="511"/>
      <c r="BK472" s="486"/>
      <c r="BL472" s="511"/>
      <c r="BM472" s="486"/>
      <c r="BN472" s="511"/>
      <c r="BO472" s="486"/>
      <c r="BP472" s="511"/>
      <c r="BQ472" s="486"/>
      <c r="BR472" s="511"/>
      <c r="BS472" s="486"/>
      <c r="BT472" s="511"/>
      <c r="BU472" s="486"/>
      <c r="BV472" s="511"/>
      <c r="BW472" s="486"/>
      <c r="BX472" s="511"/>
      <c r="BY472" s="486"/>
      <c r="BZ472" s="511"/>
      <c r="CA472" s="486"/>
      <c r="CB472" s="511"/>
      <c r="CC472" s="486"/>
      <c r="CD472" s="511"/>
      <c r="CE472" s="486"/>
      <c r="CF472" s="511"/>
      <c r="CG472" s="486"/>
      <c r="CH472" s="511"/>
      <c r="CI472" s="486"/>
      <c r="CJ472" s="511"/>
      <c r="CK472" s="486"/>
      <c r="CL472" s="511"/>
      <c r="CM472" s="486"/>
      <c r="CN472" s="511"/>
      <c r="CO472" s="486"/>
      <c r="CP472" s="511"/>
      <c r="CQ472" s="486"/>
      <c r="CR472" s="511"/>
      <c r="CS472" s="486"/>
      <c r="CT472" s="511"/>
      <c r="CU472" s="486"/>
      <c r="CV472" s="511"/>
      <c r="CW472" s="486"/>
      <c r="CX472" s="511"/>
      <c r="CY472" s="486"/>
      <c r="CZ472" s="511"/>
      <c r="DA472" s="486"/>
      <c r="DB472" s="511"/>
      <c r="DC472" s="486"/>
      <c r="DD472" s="511"/>
      <c r="DE472" s="486"/>
      <c r="DF472" s="511"/>
      <c r="DG472" s="486"/>
      <c r="DH472" s="511"/>
      <c r="DI472" s="486"/>
      <c r="DJ472" s="511"/>
      <c r="DK472" s="486"/>
      <c r="DL472" s="511"/>
      <c r="DM472" s="486"/>
      <c r="DN472" s="511"/>
      <c r="DO472" s="486"/>
      <c r="DP472" s="511"/>
      <c r="DQ472" s="486"/>
      <c r="DR472" s="511"/>
      <c r="DS472" s="486"/>
      <c r="DT472" s="511"/>
      <c r="DU472" s="486"/>
      <c r="DV472" s="511"/>
      <c r="DW472" s="486"/>
      <c r="DX472" s="511"/>
      <c r="DY472" s="486"/>
      <c r="DZ472" s="511"/>
      <c r="EA472" s="486"/>
      <c r="EB472" s="487"/>
      <c r="EC472" s="511"/>
      <c r="ED472" s="487"/>
      <c r="EE472" s="511"/>
      <c r="EF472" s="487"/>
      <c r="EG472" s="511"/>
      <c r="EH472" s="487"/>
      <c r="EI472" s="511"/>
      <c r="EJ472" s="486"/>
      <c r="EK472" s="511"/>
      <c r="EL472" s="486"/>
      <c r="EM472" s="511"/>
      <c r="EN472" s="486"/>
      <c r="EO472" s="511"/>
      <c r="EP472" s="486"/>
      <c r="EQ472" s="511"/>
      <c r="ER472" s="486"/>
      <c r="ES472" s="511"/>
      <c r="ET472" s="486"/>
      <c r="EU472" s="511"/>
      <c r="EV472" s="486"/>
      <c r="EW472" s="511"/>
      <c r="EX472" s="486"/>
      <c r="EY472" s="511"/>
      <c r="EZ472" s="486"/>
      <c r="FA472" s="511"/>
      <c r="FB472" s="486"/>
      <c r="FC472" s="511"/>
      <c r="FD472" s="486"/>
      <c r="FE472" s="511"/>
      <c r="FF472" s="486"/>
      <c r="FG472" s="511"/>
      <c r="FH472" s="486"/>
      <c r="FI472" s="511"/>
      <c r="FJ472" s="486"/>
      <c r="FK472" s="511"/>
      <c r="FL472" s="486"/>
      <c r="FM472" s="511"/>
      <c r="FN472" s="486"/>
      <c r="FO472" s="511"/>
      <c r="FP472" s="486"/>
      <c r="FQ472" s="511"/>
      <c r="FR472" s="486"/>
      <c r="FS472" s="486"/>
    </row>
    <row r="473" spans="1:175" ht="12.75" hidden="1" customHeight="1" outlineLevel="1" x14ac:dyDescent="0.2">
      <c r="A473" s="77" t="str">
        <f>INPUT!B373</f>
        <v>Benefits</v>
      </c>
      <c r="B473" s="75">
        <f>INPUT!AA373</f>
        <v>474</v>
      </c>
      <c r="C473" s="155">
        <f>INPUT!AB373</f>
        <v>33.146067415730329</v>
      </c>
      <c r="D473" s="75">
        <f>INPUT!AC373</f>
        <v>451</v>
      </c>
      <c r="E473" s="155">
        <f>INPUT!AD373</f>
        <v>20.588235294117638</v>
      </c>
      <c r="F473" s="75">
        <f>INPUT!AE373</f>
        <v>480</v>
      </c>
      <c r="G473" s="155">
        <f>INPUT!AF373</f>
        <v>17.64705882352942</v>
      </c>
      <c r="H473" s="75">
        <f>INPUT!AG373</f>
        <v>514</v>
      </c>
      <c r="I473" s="155">
        <f>INPUT!AH373</f>
        <v>25.365853658536579</v>
      </c>
      <c r="J473" s="75">
        <f>INPUT!AI373</f>
        <v>576</v>
      </c>
      <c r="K473" s="155">
        <f>INPUT!AJ373</f>
        <v>21.51898734177216</v>
      </c>
      <c r="L473" s="75">
        <f>INPUT!AK373</f>
        <v>531</v>
      </c>
      <c r="M473" s="155">
        <f>INPUT!AL373</f>
        <v>17.738359201773847</v>
      </c>
      <c r="N473" s="75">
        <f>INPUT!AM373</f>
        <v>545</v>
      </c>
      <c r="O473" s="155">
        <f>INPUT!AN373</f>
        <v>13.541666666666671</v>
      </c>
      <c r="P473" s="75">
        <f>INPUT!AO373</f>
        <v>605</v>
      </c>
      <c r="Q473" s="155">
        <f>INPUT!AP373</f>
        <v>17.704280155642024</v>
      </c>
      <c r="R473" s="75">
        <f>INPUT!AQ373</f>
        <v>770</v>
      </c>
      <c r="S473" s="155">
        <f>INPUT!AR373</f>
        <v>33.680555555555571</v>
      </c>
      <c r="T473" s="75">
        <f>INPUT!AS373</f>
        <v>686</v>
      </c>
      <c r="U473" s="155">
        <f>INPUT!AT373</f>
        <v>29.190207156308844</v>
      </c>
      <c r="V473" s="75">
        <f>INPUT!AU373</f>
        <v>673</v>
      </c>
      <c r="W473" s="155">
        <f>INPUT!AV373</f>
        <v>23.486238532110093</v>
      </c>
      <c r="X473" s="75">
        <f>INPUT!AW373</f>
        <v>707</v>
      </c>
      <c r="Y473" s="155">
        <f>INPUT!AX373</f>
        <v>16.859504132231407</v>
      </c>
      <c r="Z473" s="75">
        <f>INPUT!AY373</f>
        <v>769</v>
      </c>
      <c r="AA473" s="155">
        <f>INPUT!AZ373</f>
        <v>-0.12987012987012747</v>
      </c>
      <c r="AB473" s="75">
        <f>INPUT!BA373</f>
        <v>744</v>
      </c>
      <c r="AC473" s="155">
        <f>INPUT!BB373</f>
        <v>8.4548104956268162</v>
      </c>
      <c r="AD473" s="75">
        <f>INPUT!BC373</f>
        <v>733</v>
      </c>
      <c r="AE473" s="155">
        <f>INPUT!BD373</f>
        <v>8.91530460624071</v>
      </c>
      <c r="AF473" s="75">
        <f>INPUT!BE373</f>
        <v>773</v>
      </c>
      <c r="AG473" s="155">
        <f>INPUT!BF373</f>
        <v>9.3352192362093263</v>
      </c>
      <c r="AH473" s="75">
        <f>INPUT!BG373</f>
        <v>848</v>
      </c>
      <c r="AI473" s="240">
        <f>INPUT!BH373</f>
        <v>10.273081924577369</v>
      </c>
      <c r="AJ473" s="75">
        <f>INPUT!BI373</f>
        <v>807</v>
      </c>
      <c r="AK473" s="240">
        <f>INPUT!BJ373</f>
        <v>8.4677419354838719</v>
      </c>
      <c r="AL473" s="75">
        <f>INPUT!BK373</f>
        <v>837</v>
      </c>
      <c r="AM473" s="240">
        <f>INPUT!BL373</f>
        <v>14.188267394270127</v>
      </c>
      <c r="AN473" s="75">
        <f>INPUT!BM373</f>
        <v>894</v>
      </c>
      <c r="AO473" s="240">
        <f>INPUT!BN373</f>
        <v>15.653298835705058</v>
      </c>
      <c r="AP473" s="75">
        <f>INPUT!BO373</f>
        <v>1001</v>
      </c>
      <c r="AQ473" s="240">
        <f>INPUT!BP373</f>
        <v>18.04245283018868</v>
      </c>
      <c r="AR473" s="75">
        <f>INPUT!BQ373</f>
        <v>916</v>
      </c>
      <c r="AS473" s="240">
        <f>INPUT!BR373</f>
        <v>13.506815365551432</v>
      </c>
      <c r="AT473" s="75">
        <f>INPUT!BS373</f>
        <v>900</v>
      </c>
      <c r="AU473" s="240">
        <f>INPUT!BT373</f>
        <v>7.5268817204300973</v>
      </c>
      <c r="AV473" s="75">
        <f>INPUT!BU373</f>
        <v>921</v>
      </c>
      <c r="AW473" s="240">
        <f>INPUT!BV373</f>
        <v>3.0201342281879135</v>
      </c>
      <c r="AX473" s="75">
        <f>INPUT!BW373</f>
        <v>1018</v>
      </c>
      <c r="AY473" s="240">
        <f>INPUT!BX373</f>
        <v>1.698301698301691</v>
      </c>
      <c r="AZ473" s="75">
        <f>INPUT!BY373</f>
        <v>900</v>
      </c>
      <c r="BA473" s="240">
        <f>INPUT!BZ373</f>
        <v>-1.7467248908296966</v>
      </c>
      <c r="BB473" s="75">
        <f>INPUT!CA373</f>
        <v>970</v>
      </c>
      <c r="BC473" s="240">
        <f>INPUT!CB373</f>
        <v>7.7777777777777715</v>
      </c>
      <c r="BD473" s="75">
        <f>INPUT!CC373</f>
        <v>1013</v>
      </c>
      <c r="BE473" s="240">
        <f>INPUT!CD373</f>
        <v>9.9891422366992515</v>
      </c>
      <c r="BF473" s="75">
        <f>INPUT!CE373</f>
        <v>1163</v>
      </c>
      <c r="BG473" s="240">
        <f>INPUT!CF373</f>
        <v>14.243614931237715</v>
      </c>
      <c r="BH473" s="75">
        <f>INPUT!CG373</f>
        <v>1070</v>
      </c>
      <c r="BI473" s="240">
        <f>INPUT!CH373</f>
        <v>18.888888888888886</v>
      </c>
      <c r="BJ473" s="75">
        <f>INPUT!CI373</f>
        <v>1150</v>
      </c>
      <c r="BK473" s="240">
        <f>INPUT!CJ373</f>
        <v>18.55670103092784</v>
      </c>
      <c r="BL473" s="75">
        <f>INPUT!CK373</f>
        <v>1211</v>
      </c>
      <c r="BM473" s="240">
        <f>INPUT!CL373</f>
        <v>19.545903257650536</v>
      </c>
      <c r="BN473" s="75">
        <f>INPUT!CM373</f>
        <v>1389</v>
      </c>
      <c r="BO473" s="240">
        <f>INPUT!CN373</f>
        <v>19.432502149613072</v>
      </c>
      <c r="BP473" s="75">
        <f>INPUT!CO373</f>
        <v>1229</v>
      </c>
      <c r="BQ473" s="240">
        <f>INPUT!CP373</f>
        <v>14.859813084112147</v>
      </c>
      <c r="BR473" s="75">
        <f>INPUT!CQ373</f>
        <v>1325</v>
      </c>
      <c r="BS473" s="240">
        <f>INPUT!CR373</f>
        <v>15.217391304347828</v>
      </c>
      <c r="BT473" s="75">
        <f>INPUT!CS373</f>
        <v>1351</v>
      </c>
      <c r="BU473" s="240">
        <f>INPUT!CT373</f>
        <v>11.560693641618485</v>
      </c>
      <c r="BV473" s="75">
        <f>INPUT!CU373</f>
        <v>1490</v>
      </c>
      <c r="BW473" s="240">
        <f>INPUT!CV373</f>
        <v>7.2714182865370844</v>
      </c>
      <c r="BX473" s="75">
        <f>INPUT!CW373</f>
        <v>1402</v>
      </c>
      <c r="BY473" s="240">
        <f>INPUT!CX373</f>
        <v>14.076484947111467</v>
      </c>
      <c r="BZ473" s="75">
        <f>INPUT!CY373</f>
        <v>1436</v>
      </c>
      <c r="CA473" s="240">
        <f>INPUT!CZ373</f>
        <v>8.3773584905660385</v>
      </c>
      <c r="CB473" s="75">
        <f>INPUT!DA373</f>
        <v>1471</v>
      </c>
      <c r="CC473" s="240">
        <f>INPUT!DB373</f>
        <v>8.8823094004441145</v>
      </c>
      <c r="CD473" s="75">
        <f>INPUT!DC373</f>
        <v>1591</v>
      </c>
      <c r="CE473" s="240">
        <f>INPUT!DD373</f>
        <v>6.7785234899328799</v>
      </c>
      <c r="CF473" s="75">
        <f>INPUT!DE373</f>
        <v>1381</v>
      </c>
      <c r="CG473" s="240">
        <f>INPUT!DF373</f>
        <v>-1.4978601997146939</v>
      </c>
      <c r="CH473" s="75">
        <f>INPUT!DG373</f>
        <v>1364</v>
      </c>
      <c r="CI473" s="240">
        <f>INPUT!DH373</f>
        <v>-5.0139275766016738</v>
      </c>
      <c r="CJ473" s="75">
        <f>INPUT!DI373</f>
        <v>1478</v>
      </c>
      <c r="CK473" s="240">
        <f>INPUT!DJ373</f>
        <v>0.47586675730795491</v>
      </c>
      <c r="CL473" s="75">
        <f>INPUT!DK373</f>
        <v>1637</v>
      </c>
      <c r="CM473" s="240">
        <f>INPUT!DL373</f>
        <v>2.891263356379639</v>
      </c>
      <c r="CN473" s="75">
        <f>INPUT!DM373</f>
        <v>1457</v>
      </c>
      <c r="CO473" s="240">
        <f>INPUT!DN373</f>
        <v>5.503258508327292</v>
      </c>
      <c r="CP473" s="75">
        <f>INPUT!DO373</f>
        <v>1486</v>
      </c>
      <c r="CQ473" s="240">
        <f>INPUT!DP373</f>
        <v>8.94428152492668</v>
      </c>
      <c r="CR473" s="75">
        <f>INPUT!DQ373</f>
        <v>1434</v>
      </c>
      <c r="CS473" s="240">
        <f>INPUT!DR373</f>
        <v>-2.9769959404600854</v>
      </c>
      <c r="CT473" s="75">
        <f>INPUT!DS373</f>
        <v>1591</v>
      </c>
      <c r="CU473" s="240">
        <f>INPUT!DT373</f>
        <v>-2.8100183262064746</v>
      </c>
      <c r="CV473" s="75">
        <f>INPUT!DU373</f>
        <v>1450</v>
      </c>
      <c r="CW473" s="240">
        <f>INPUT!DV373</f>
        <v>-0.48043925875084881</v>
      </c>
      <c r="CX473" s="75">
        <f>INPUT!DW373</f>
        <v>1444</v>
      </c>
      <c r="CY473" s="240">
        <f>INPUT!DX373</f>
        <v>-2.8263795423956992</v>
      </c>
      <c r="CZ473" s="75">
        <f>INPUT!DY373</f>
        <v>1448</v>
      </c>
      <c r="DA473" s="240">
        <f>INPUT!DZ373</f>
        <v>0.97629009762900409</v>
      </c>
      <c r="DB473" s="75">
        <f>INPUT!EA373</f>
        <v>1709</v>
      </c>
      <c r="DC473" s="240">
        <f>INPUT!EB373</f>
        <v>7.4167190446260207</v>
      </c>
      <c r="DD473" s="75">
        <f>INPUT!EC373</f>
        <v>1632</v>
      </c>
      <c r="DE473" s="240">
        <f>INPUT!ED373</f>
        <v>12.551724137931046</v>
      </c>
      <c r="DF473" s="75">
        <f>INPUT!EE373</f>
        <v>1658</v>
      </c>
      <c r="DG473" s="240">
        <f>INPUT!EF373</f>
        <v>14.819944598337955</v>
      </c>
      <c r="DH473" s="75">
        <f>INPUT!EG373</f>
        <v>1608</v>
      </c>
      <c r="DI473" s="240">
        <f>INPUT!EH373</f>
        <v>11.049723756906076</v>
      </c>
      <c r="DJ473" s="75">
        <f>INPUT!EI373</f>
        <v>1866</v>
      </c>
      <c r="DK473" s="240">
        <f>INPUT!EJ373</f>
        <v>9.1866588648332339</v>
      </c>
      <c r="DL473" s="75">
        <f>INPUT!EK373</f>
        <v>1711</v>
      </c>
      <c r="DM473" s="240">
        <f>INPUT!EL373</f>
        <v>4.8406862745097925</v>
      </c>
      <c r="DN473" s="75">
        <f>INPUT!EM373</f>
        <v>1701</v>
      </c>
      <c r="DO473" s="240">
        <f>INPUT!EN373</f>
        <v>2.5934861278648924</v>
      </c>
      <c r="DP473" s="75">
        <f>INPUT!EO373</f>
        <v>1741</v>
      </c>
      <c r="DQ473" s="240">
        <f>INPUT!EP373</f>
        <v>8.271144278606954</v>
      </c>
      <c r="DR473" s="75">
        <f>INPUT!EQ373</f>
        <v>1940.7729297297296</v>
      </c>
      <c r="DS473" s="240">
        <f>INPUT!ER373</f>
        <v>4.0071237797282748</v>
      </c>
      <c r="DT473" s="75">
        <f>INPUT!ES373</f>
        <v>1774.0386756756752</v>
      </c>
      <c r="DU473" s="240">
        <f>INPUT!ET373</f>
        <v>3.6843176899868695</v>
      </c>
      <c r="DV473" s="75">
        <f>INPUT!EU373</f>
        <v>1785.3297693693694</v>
      </c>
      <c r="DW473" s="240">
        <f>INPUT!EV373</f>
        <v>4.9576583991398877</v>
      </c>
      <c r="DX473" s="75">
        <f>INPUT!EW373</f>
        <v>1809.9550075675679</v>
      </c>
      <c r="DY473" s="240">
        <f>INPUT!EX373</f>
        <v>3.9606552307620717</v>
      </c>
      <c r="DZ473" s="75"/>
      <c r="EA473" s="240"/>
      <c r="EB473" s="155">
        <f>INPUT!FI373</f>
        <v>9.3280632411067046</v>
      </c>
      <c r="EC473" s="75">
        <f>INPUT!FJ373</f>
        <v>1548</v>
      </c>
      <c r="ED473" s="155">
        <f>INPUT!FK373</f>
        <v>11.930585683297195</v>
      </c>
      <c r="EE473" s="75">
        <f>INPUT!FL373</f>
        <v>1919</v>
      </c>
      <c r="EF473" s="155">
        <f>INPUT!FM373</f>
        <v>23.966408268733844</v>
      </c>
      <c r="EG473" s="75">
        <f>INPUT!FN373</f>
        <v>2257</v>
      </c>
      <c r="EH473" s="155">
        <f>INPUT!FO373</f>
        <v>17.61334028139656</v>
      </c>
      <c r="EI473" s="75">
        <f>INPUT!FP373</f>
        <v>2836</v>
      </c>
      <c r="EJ473" s="240">
        <f>INPUT!FQ373</f>
        <v>25.653522374833841</v>
      </c>
      <c r="EK473" s="75">
        <f>INPUT!FR373</f>
        <v>3019</v>
      </c>
      <c r="EL473" s="240">
        <f>INPUT!FS373</f>
        <v>6.4527503526093</v>
      </c>
      <c r="EM473" s="75">
        <f>INPUT!FT373</f>
        <v>3386</v>
      </c>
      <c r="EN473" s="240">
        <f>INPUT!FU373</f>
        <v>12.156343159986747</v>
      </c>
      <c r="EO473" s="75">
        <f>INPUT!FV373</f>
        <v>3738</v>
      </c>
      <c r="EP473" s="240">
        <f>INPUT!FW373</f>
        <v>10.395747194329587</v>
      </c>
      <c r="EQ473" s="75">
        <f>INPUT!FX373</f>
        <v>3901</v>
      </c>
      <c r="ER473" s="240">
        <f>INPUT!FY373</f>
        <v>4.360620652755486</v>
      </c>
      <c r="ES473" s="75">
        <f>INPUT!FZ373</f>
        <v>4594</v>
      </c>
      <c r="ET473" s="240">
        <f>INPUT!GA373</f>
        <v>17.764675724173287</v>
      </c>
      <c r="EU473" s="75">
        <f>INPUT!GB373</f>
        <v>5294</v>
      </c>
      <c r="EV473" s="240">
        <f>INPUT!GC373</f>
        <v>15.237265999129292</v>
      </c>
      <c r="EW473" s="75">
        <f>INPUT!GD373</f>
        <v>5799</v>
      </c>
      <c r="EX473" s="240">
        <f>INPUT!GE373</f>
        <v>9.5391008689081929</v>
      </c>
      <c r="EY473" s="75">
        <f>INPUT!GF373</f>
        <v>5814</v>
      </c>
      <c r="EZ473" s="240">
        <f>INPUT!GG373</f>
        <v>0.25866528711846115</v>
      </c>
      <c r="FA473" s="75">
        <f>INPUT!GH373</f>
        <v>6014</v>
      </c>
      <c r="FB473" s="240">
        <f>INPUT!GI373</f>
        <v>3.4399724802201632</v>
      </c>
      <c r="FC473" s="75">
        <f>INPUT!GJ373</f>
        <v>5933</v>
      </c>
      <c r="FD473" s="240">
        <f>INPUT!GK373</f>
        <v>-1.3468573328899254</v>
      </c>
      <c r="FE473" s="75">
        <f>INPUT!GL373</f>
        <v>6607</v>
      </c>
      <c r="FF473" s="240">
        <f>INPUT!GM373</f>
        <v>11.360188774650254</v>
      </c>
      <c r="FG473" s="75">
        <f>INPUT!GN373</f>
        <v>7019</v>
      </c>
      <c r="FH473" s="240">
        <f>INPUT!GO373</f>
        <v>6.2358105040108995</v>
      </c>
      <c r="FI473" s="75">
        <f>INPUT!GP373</f>
        <v>7310.0963823423417</v>
      </c>
      <c r="FJ473" s="240">
        <f>INPUT!GQ373</f>
        <v>4.147262891328424</v>
      </c>
      <c r="FK473" s="75">
        <f>INPUT!GR373</f>
        <v>7602.500237636038</v>
      </c>
      <c r="FL473" s="240">
        <f>INPUT!GS373</f>
        <v>4.0000000000000284</v>
      </c>
      <c r="FM473" s="75">
        <f>INPUT!GT373</f>
        <v>7906.6002471414777</v>
      </c>
      <c r="FN473" s="240">
        <f>INPUT!GU373</f>
        <v>3.9999999999999858</v>
      </c>
      <c r="FO473" s="75">
        <f>INPUT!GV373</f>
        <v>8222.8642570271368</v>
      </c>
      <c r="FP473" s="240">
        <f>INPUT!GW373</f>
        <v>4</v>
      </c>
      <c r="FQ473" s="75">
        <f>INPUT!GX373</f>
        <v>8551.7788273082242</v>
      </c>
      <c r="FR473" s="240">
        <f>INPUT!GY373</f>
        <v>4.0000000000000284</v>
      </c>
      <c r="FS473" s="240">
        <f>INPUT!GZ373</f>
        <v>4.0294359106096689</v>
      </c>
    </row>
    <row r="474" spans="1:175" ht="12.75" hidden="1" customHeight="1" outlineLevel="1" x14ac:dyDescent="0.2">
      <c r="A474" s="77" t="str">
        <f>INPUT!B374</f>
        <v>Interest Credited</v>
      </c>
      <c r="B474" s="75">
        <f>INPUT!AA374</f>
        <v>3</v>
      </c>
      <c r="C474" s="155" t="str">
        <f>INPUT!AB374</f>
        <v>NM</v>
      </c>
      <c r="D474" s="75">
        <f>INPUT!AC374</f>
        <v>3</v>
      </c>
      <c r="E474" s="155">
        <f>INPUT!AD374</f>
        <v>50</v>
      </c>
      <c r="F474" s="75">
        <f>INPUT!AE374</f>
        <v>3</v>
      </c>
      <c r="G474" s="155">
        <f>INPUT!AF374</f>
        <v>50</v>
      </c>
      <c r="H474" s="75">
        <f>INPUT!AG374</f>
        <v>4</v>
      </c>
      <c r="I474" s="155">
        <f>INPUT!AH374</f>
        <v>100</v>
      </c>
      <c r="J474" s="75">
        <f>INPUT!AI374</f>
        <v>6</v>
      </c>
      <c r="K474" s="155">
        <f>INPUT!AJ374</f>
        <v>100</v>
      </c>
      <c r="L474" s="75">
        <f>INPUT!AK374</f>
        <v>6</v>
      </c>
      <c r="M474" s="155">
        <f>INPUT!AL374</f>
        <v>100</v>
      </c>
      <c r="N474" s="75">
        <f>INPUT!AM374</f>
        <v>7</v>
      </c>
      <c r="O474" s="155" t="str">
        <f>INPUT!AN374</f>
        <v>NM</v>
      </c>
      <c r="P474" s="75">
        <f>INPUT!AO374</f>
        <v>9</v>
      </c>
      <c r="Q474" s="155" t="str">
        <f>INPUT!AP374</f>
        <v>NM</v>
      </c>
      <c r="R474" s="75">
        <f>INPUT!AQ374</f>
        <v>25</v>
      </c>
      <c r="S474" s="155" t="str">
        <f>INPUT!AR374</f>
        <v>NM</v>
      </c>
      <c r="T474" s="75">
        <f>INPUT!AS374</f>
        <v>29</v>
      </c>
      <c r="U474" s="155" t="str">
        <f>INPUT!AT374</f>
        <v>NM</v>
      </c>
      <c r="V474" s="75">
        <f>INPUT!AU374</f>
        <v>25</v>
      </c>
      <c r="W474" s="155" t="str">
        <f>INPUT!AV374</f>
        <v>NM</v>
      </c>
      <c r="X474" s="75">
        <f>INPUT!AW374</f>
        <v>23</v>
      </c>
      <c r="Y474" s="155" t="str">
        <f>INPUT!AX374</f>
        <v>NM</v>
      </c>
      <c r="Z474" s="75">
        <f>INPUT!AY374</f>
        <v>27</v>
      </c>
      <c r="AA474" s="155">
        <f>INPUT!AZ374</f>
        <v>8</v>
      </c>
      <c r="AB474" s="75">
        <f>INPUT!BA374</f>
        <v>27</v>
      </c>
      <c r="AC474" s="155">
        <f>INPUT!BB374</f>
        <v>-6.8965517241379359</v>
      </c>
      <c r="AD474" s="75">
        <f>INPUT!BC374</f>
        <v>27</v>
      </c>
      <c r="AE474" s="155">
        <f>INPUT!BD374</f>
        <v>8</v>
      </c>
      <c r="AF474" s="75">
        <f>INPUT!BE374</f>
        <v>25</v>
      </c>
      <c r="AG474" s="155">
        <f>INPUT!BF374</f>
        <v>8.6956521739130324</v>
      </c>
      <c r="AH474" s="75">
        <f>INPUT!BG374</f>
        <v>34</v>
      </c>
      <c r="AI474" s="240">
        <f>INPUT!BH374</f>
        <v>25.925925925925924</v>
      </c>
      <c r="AJ474" s="75">
        <f>INPUT!BI374</f>
        <v>31</v>
      </c>
      <c r="AK474" s="240">
        <f>INPUT!BJ374</f>
        <v>14.81481481481481</v>
      </c>
      <c r="AL474" s="75">
        <f>INPUT!BK374</f>
        <v>36</v>
      </c>
      <c r="AM474" s="240">
        <f>INPUT!BL374</f>
        <v>33.333333333333314</v>
      </c>
      <c r="AN474" s="75">
        <f>INPUT!BM374</f>
        <v>36</v>
      </c>
      <c r="AO474" s="240">
        <f>INPUT!BN374</f>
        <v>44</v>
      </c>
      <c r="AP474" s="75">
        <f>INPUT!BO374</f>
        <v>43</v>
      </c>
      <c r="AQ474" s="240">
        <f>INPUT!BP374</f>
        <v>26.470588235294116</v>
      </c>
      <c r="AR474" s="75">
        <f>INPUT!BQ374</f>
        <v>40</v>
      </c>
      <c r="AS474" s="240">
        <f>INPUT!BR374</f>
        <v>29.032258064516128</v>
      </c>
      <c r="AT474" s="75">
        <f>INPUT!BS374</f>
        <v>42</v>
      </c>
      <c r="AU474" s="240">
        <f>INPUT!BT374</f>
        <v>16.666666666666671</v>
      </c>
      <c r="AV474" s="75">
        <f>INPUT!BU374</f>
        <v>42</v>
      </c>
      <c r="AW474" s="240">
        <f>INPUT!BV374</f>
        <v>16.666666666666671</v>
      </c>
      <c r="AX474" s="75">
        <f>INPUT!BW374</f>
        <v>48</v>
      </c>
      <c r="AY474" s="240">
        <f>INPUT!BX374</f>
        <v>11.627906976744185</v>
      </c>
      <c r="AZ474" s="75">
        <f>INPUT!BY374</f>
        <v>40</v>
      </c>
      <c r="BA474" s="240">
        <f>INPUT!BZ374</f>
        <v>0</v>
      </c>
      <c r="BB474" s="75">
        <f>INPUT!CA374</f>
        <v>49</v>
      </c>
      <c r="BC474" s="240">
        <f>INPUT!CB374</f>
        <v>16.666666666666671</v>
      </c>
      <c r="BD474" s="75">
        <f>INPUT!CC374</f>
        <v>49</v>
      </c>
      <c r="BE474" s="240">
        <f>INPUT!CD374</f>
        <v>16.666666666666671</v>
      </c>
      <c r="BF474" s="75">
        <f>INPUT!CE374</f>
        <v>53</v>
      </c>
      <c r="BG474" s="240">
        <f>INPUT!CF374</f>
        <v>10.416666666666671</v>
      </c>
      <c r="BH474" s="75">
        <f>INPUT!CG374</f>
        <v>47</v>
      </c>
      <c r="BI474" s="240">
        <f>INPUT!CH374</f>
        <v>17.5</v>
      </c>
      <c r="BJ474" s="75">
        <f>INPUT!CI374</f>
        <v>59</v>
      </c>
      <c r="BK474" s="240">
        <f>INPUT!CJ374</f>
        <v>20.408163265306129</v>
      </c>
      <c r="BL474" s="75">
        <f>INPUT!CK374</f>
        <v>54</v>
      </c>
      <c r="BM474" s="240">
        <f>INPUT!CL374</f>
        <v>10.204081632653043</v>
      </c>
      <c r="BN474" s="75">
        <f>INPUT!CM374</f>
        <v>62</v>
      </c>
      <c r="BO474" s="240">
        <f>INPUT!CN374</f>
        <v>16.981132075471692</v>
      </c>
      <c r="BP474" s="75">
        <f>INPUT!CO374</f>
        <v>56</v>
      </c>
      <c r="BQ474" s="240">
        <f>INPUT!CP374</f>
        <v>19.148936170212764</v>
      </c>
      <c r="BR474" s="75">
        <f>INPUT!CQ374</f>
        <v>66</v>
      </c>
      <c r="BS474" s="240">
        <f>INPUT!CR374</f>
        <v>11.86440677966101</v>
      </c>
      <c r="BT474" s="75">
        <f>INPUT!CS374</f>
        <v>61</v>
      </c>
      <c r="BU474" s="240">
        <f>INPUT!CT374</f>
        <v>12.962962962962948</v>
      </c>
      <c r="BV474" s="75">
        <f>INPUT!CU374</f>
        <v>68</v>
      </c>
      <c r="BW474" s="240">
        <f>INPUT!CV374</f>
        <v>9.6774193548387046</v>
      </c>
      <c r="BX474" s="75">
        <f>INPUT!CW374</f>
        <v>61</v>
      </c>
      <c r="BY474" s="240">
        <f>INPUT!CX374</f>
        <v>8.9285714285714164</v>
      </c>
      <c r="BZ474" s="75">
        <f>INPUT!CY374</f>
        <v>80</v>
      </c>
      <c r="CA474" s="240">
        <f>INPUT!CZ374</f>
        <v>21.212121212121218</v>
      </c>
      <c r="CB474" s="75">
        <f>INPUT!DA374</f>
        <v>52</v>
      </c>
      <c r="CC474" s="240">
        <f>INPUT!DB374</f>
        <v>-14.754098360655746</v>
      </c>
      <c r="CD474" s="75">
        <f>INPUT!DC374</f>
        <v>69</v>
      </c>
      <c r="CE474" s="240">
        <f>INPUT!DD374</f>
        <v>1.470588235294116</v>
      </c>
      <c r="CF474" s="75">
        <f>INPUT!DE374</f>
        <v>55</v>
      </c>
      <c r="CG474" s="240">
        <f>INPUT!DF374</f>
        <v>-9.8360655737704974</v>
      </c>
      <c r="CH474" s="75">
        <f>INPUT!DG374</f>
        <v>63</v>
      </c>
      <c r="CI474" s="240">
        <f>INPUT!DH374</f>
        <v>-21.25</v>
      </c>
      <c r="CJ474" s="75">
        <f>INPUT!DI374</f>
        <v>57</v>
      </c>
      <c r="CK474" s="240">
        <f>INPUT!DJ374</f>
        <v>9.6153846153846274</v>
      </c>
      <c r="CL474" s="75">
        <f>INPUT!DK374</f>
        <v>60</v>
      </c>
      <c r="CM474" s="240">
        <f>INPUT!DL374</f>
        <v>-13.043478260869563</v>
      </c>
      <c r="CN474" s="75">
        <f>INPUT!DM374</f>
        <v>53</v>
      </c>
      <c r="CO474" s="240">
        <f>INPUT!DN374</f>
        <v>-3.6363636363636402</v>
      </c>
      <c r="CP474" s="75">
        <f>INPUT!DO374</f>
        <v>59</v>
      </c>
      <c r="CQ474" s="240">
        <f>INPUT!DP374</f>
        <v>-6.3492063492063551</v>
      </c>
      <c r="CR474" s="75">
        <f>INPUT!DQ374</f>
        <v>49</v>
      </c>
      <c r="CS474" s="240">
        <f>INPUT!DR374</f>
        <v>-14.035087719298247</v>
      </c>
      <c r="CT474" s="75">
        <f>INPUT!DS374</f>
        <v>55</v>
      </c>
      <c r="CU474" s="240">
        <f>INPUT!DT374</f>
        <v>-8.3333333333333428</v>
      </c>
      <c r="CV474" s="75">
        <f>INPUT!DU374</f>
        <v>48</v>
      </c>
      <c r="CW474" s="240">
        <f>INPUT!DV374</f>
        <v>-9.4339622641509351</v>
      </c>
      <c r="CX474" s="75">
        <f>INPUT!DW374</f>
        <v>54</v>
      </c>
      <c r="CY474" s="240">
        <f>INPUT!DX374</f>
        <v>-8.4745762711864359</v>
      </c>
      <c r="CZ474" s="75">
        <f>INPUT!DY374</f>
        <v>47</v>
      </c>
      <c r="DA474" s="240">
        <f>INPUT!DZ374</f>
        <v>-4.0816326530612344</v>
      </c>
      <c r="DB474" s="75">
        <f>INPUT!EA374</f>
        <v>59</v>
      </c>
      <c r="DC474" s="240">
        <f>INPUT!EB374</f>
        <v>7.2727272727272805</v>
      </c>
      <c r="DD474" s="75">
        <f>INPUT!EC374</f>
        <v>56</v>
      </c>
      <c r="DE474" s="240">
        <f>INPUT!ED374</f>
        <v>16.666666666666671</v>
      </c>
      <c r="DF474" s="75">
        <f>INPUT!EE374</f>
        <v>64</v>
      </c>
      <c r="DG474" s="240">
        <f>INPUT!EF374</f>
        <v>18.518518518518505</v>
      </c>
      <c r="DH474" s="75">
        <f>INPUT!EG374</f>
        <v>55</v>
      </c>
      <c r="DI474" s="240">
        <f>INPUT!EH374</f>
        <v>17.021276595744681</v>
      </c>
      <c r="DJ474" s="75">
        <f>INPUT!EI374</f>
        <v>62</v>
      </c>
      <c r="DK474" s="240">
        <f>INPUT!EJ374</f>
        <v>5.0847457627118757</v>
      </c>
      <c r="DL474" s="75">
        <f>INPUT!EK374</f>
        <v>56</v>
      </c>
      <c r="DM474" s="240">
        <f>INPUT!EL374</f>
        <v>0</v>
      </c>
      <c r="DN474" s="75">
        <f>INPUT!EM374</f>
        <v>64</v>
      </c>
      <c r="DO474" s="240">
        <f>INPUT!EN374</f>
        <v>0</v>
      </c>
      <c r="DP474" s="75">
        <f>INPUT!EO374</f>
        <v>56</v>
      </c>
      <c r="DQ474" s="240">
        <f>INPUT!EP374</f>
        <v>1.818181818181813</v>
      </c>
      <c r="DR474" s="75">
        <f>INPUT!EQ374</f>
        <v>64.759279279279284</v>
      </c>
      <c r="DS474" s="240">
        <f>INPUT!ER374</f>
        <v>4.4504504504504467</v>
      </c>
      <c r="DT474" s="75">
        <f>INPUT!ES374</f>
        <v>58.49225225225225</v>
      </c>
      <c r="DU474" s="240">
        <f>INPUT!ET374</f>
        <v>4.4504504504504467</v>
      </c>
      <c r="DV474" s="75">
        <f>INPUT!EU374</f>
        <v>66.848288288288288</v>
      </c>
      <c r="DW474" s="240">
        <f>INPUT!EV374</f>
        <v>4.4504504504504467</v>
      </c>
      <c r="DX474" s="75">
        <f>INPUT!EW374</f>
        <v>58.49225225225225</v>
      </c>
      <c r="DY474" s="240">
        <f>INPUT!EX374</f>
        <v>4.4504504504504467</v>
      </c>
      <c r="DZ474" s="75"/>
      <c r="EA474" s="240"/>
      <c r="EB474" s="155" t="str">
        <f>INPUT!FI374</f>
        <v>NM</v>
      </c>
      <c r="EC474" s="75">
        <f>INPUT!FJ374</f>
        <v>7</v>
      </c>
      <c r="ED474" s="155">
        <f>INPUT!FK374</f>
        <v>40</v>
      </c>
      <c r="EE474" s="75">
        <f>INPUT!FL374</f>
        <v>13</v>
      </c>
      <c r="EF474" s="155">
        <f>INPUT!FM374</f>
        <v>85.714285714285722</v>
      </c>
      <c r="EG474" s="75">
        <f>INPUT!FN374</f>
        <v>28</v>
      </c>
      <c r="EH474" s="155" t="str">
        <f>INPUT!FO374</f>
        <v>NM</v>
      </c>
      <c r="EI474" s="75">
        <f>INPUT!FP374</f>
        <v>102</v>
      </c>
      <c r="EJ474" s="240" t="str">
        <f>INPUT!FQ374</f>
        <v>NM</v>
      </c>
      <c r="EK474" s="75">
        <f>INPUT!FR374</f>
        <v>106</v>
      </c>
      <c r="EL474" s="240">
        <f>INPUT!FS374</f>
        <v>3.9215686274509949</v>
      </c>
      <c r="EM474" s="75">
        <f>INPUT!FT374</f>
        <v>137</v>
      </c>
      <c r="EN474" s="240">
        <f>INPUT!FU374</f>
        <v>29.245283018867923</v>
      </c>
      <c r="EO474" s="75">
        <f>INPUT!FV374</f>
        <v>167</v>
      </c>
      <c r="EP474" s="240">
        <f>INPUT!FW374</f>
        <v>21.897810218978094</v>
      </c>
      <c r="EQ474" s="75">
        <f>INPUT!FX374</f>
        <v>186</v>
      </c>
      <c r="ER474" s="240">
        <f>INPUT!FY374</f>
        <v>11.377245508982028</v>
      </c>
      <c r="ES474" s="75">
        <f>INPUT!FZ374</f>
        <v>213</v>
      </c>
      <c r="ET474" s="240">
        <f>INPUT!GA374</f>
        <v>14.516129032258078</v>
      </c>
      <c r="EU474" s="75">
        <f>INPUT!GB374</f>
        <v>245</v>
      </c>
      <c r="EV474" s="240">
        <f>INPUT!GC374</f>
        <v>15.023474178403745</v>
      </c>
      <c r="EW474" s="75">
        <f>INPUT!GD374</f>
        <v>261</v>
      </c>
      <c r="EX474" s="240">
        <f>INPUT!GE374</f>
        <v>6.5306122448979522</v>
      </c>
      <c r="EY474" s="75">
        <f>INPUT!GF374</f>
        <v>244</v>
      </c>
      <c r="EZ474" s="240">
        <f>INPUT!GG374</f>
        <v>-6.5134099616858236</v>
      </c>
      <c r="FA474" s="75">
        <f>INPUT!GH374</f>
        <v>221</v>
      </c>
      <c r="FB474" s="240">
        <f>INPUT!GI374</f>
        <v>-9.4262295081967267</v>
      </c>
      <c r="FC474" s="75">
        <f>INPUT!GJ374</f>
        <v>204</v>
      </c>
      <c r="FD474" s="240">
        <f>INPUT!GK374</f>
        <v>-7.6923076923076934</v>
      </c>
      <c r="FE474" s="75">
        <f>INPUT!GL374</f>
        <v>234</v>
      </c>
      <c r="FF474" s="240">
        <f>INPUT!GM374</f>
        <v>14.705882352941174</v>
      </c>
      <c r="FG474" s="75">
        <f>INPUT!GN374</f>
        <v>238</v>
      </c>
      <c r="FH474" s="240">
        <f>INPUT!GO374</f>
        <v>1.7094017094017033</v>
      </c>
      <c r="FI474" s="75">
        <f>INPUT!GP374</f>
        <v>248.59207207207206</v>
      </c>
      <c r="FJ474" s="240">
        <f>INPUT!GQ374</f>
        <v>4.4504504504504467</v>
      </c>
      <c r="FK474" s="75">
        <f>INPUT!GR374</f>
        <v>258.53575495495494</v>
      </c>
      <c r="FL474" s="240">
        <f>INPUT!GS374</f>
        <v>4</v>
      </c>
      <c r="FM474" s="75">
        <f>INPUT!GT374</f>
        <v>268.87718515315316</v>
      </c>
      <c r="FN474" s="240">
        <f>INPUT!GU374</f>
        <v>4</v>
      </c>
      <c r="FO474" s="75">
        <f>INPUT!GV374</f>
        <v>279.63227255927927</v>
      </c>
      <c r="FP474" s="240">
        <f>INPUT!GW374</f>
        <v>4</v>
      </c>
      <c r="FQ474" s="75">
        <f>INPUT!GX374</f>
        <v>290.81756346165048</v>
      </c>
      <c r="FR474" s="240">
        <f>INPUT!GY374</f>
        <v>4</v>
      </c>
      <c r="FS474" s="240">
        <f>INPUT!GZ374</f>
        <v>4.089934413243701</v>
      </c>
    </row>
    <row r="475" spans="1:175" ht="12.75" hidden="1" customHeight="1" outlineLevel="1" x14ac:dyDescent="0.2">
      <c r="A475" s="77" t="str">
        <f>INPUT!B375</f>
        <v>Interest Expense</v>
      </c>
      <c r="B475" s="75">
        <f>INPUT!AA375</f>
        <v>3</v>
      </c>
      <c r="C475" s="155" t="str">
        <f>INPUT!AB375</f>
        <v>NM</v>
      </c>
      <c r="D475" s="75">
        <f>INPUT!AC375</f>
        <v>3</v>
      </c>
      <c r="E475" s="155" t="str">
        <f>INPUT!AD375</f>
        <v>NM</v>
      </c>
      <c r="F475" s="75">
        <f>INPUT!AE375</f>
        <v>3</v>
      </c>
      <c r="G475" s="155" t="str">
        <f>INPUT!AF375</f>
        <v>NM</v>
      </c>
      <c r="H475" s="75">
        <f>INPUT!AG375</f>
        <v>3</v>
      </c>
      <c r="I475" s="155" t="str">
        <f>INPUT!AH375</f>
        <v>NM</v>
      </c>
      <c r="J475" s="75">
        <f>INPUT!AI375</f>
        <v>3</v>
      </c>
      <c r="K475" s="155">
        <f>INPUT!AJ375</f>
        <v>0</v>
      </c>
      <c r="L475" s="75">
        <f>INPUT!AK375</f>
        <v>3</v>
      </c>
      <c r="M475" s="155">
        <f>INPUT!AL375</f>
        <v>0</v>
      </c>
      <c r="N475" s="75">
        <f>INPUT!AM375</f>
        <v>2</v>
      </c>
      <c r="O475" s="155">
        <f>INPUT!AN375</f>
        <v>-33.333333333333343</v>
      </c>
      <c r="P475" s="75">
        <f>INPUT!AO375</f>
        <v>4</v>
      </c>
      <c r="Q475" s="155">
        <f>INPUT!AP375</f>
        <v>33.333333333333314</v>
      </c>
      <c r="R475" s="75">
        <f>INPUT!AQ375</f>
        <v>6</v>
      </c>
      <c r="S475" s="155">
        <f>INPUT!AR375</f>
        <v>100</v>
      </c>
      <c r="T475" s="75">
        <f>INPUT!AS375</f>
        <v>5</v>
      </c>
      <c r="U475" s="155">
        <f>INPUT!AT375</f>
        <v>66.666666666666686</v>
      </c>
      <c r="V475" s="75">
        <f>INPUT!AU375</f>
        <v>6</v>
      </c>
      <c r="W475" s="155" t="str">
        <f>INPUT!AV375</f>
        <v>NM</v>
      </c>
      <c r="X475" s="75">
        <f>INPUT!AW375</f>
        <v>4</v>
      </c>
      <c r="Y475" s="155">
        <f>INPUT!AX375</f>
        <v>0</v>
      </c>
      <c r="Z475" s="75">
        <f>INPUT!AY375</f>
        <v>3</v>
      </c>
      <c r="AA475" s="155">
        <f>INPUT!AZ375</f>
        <v>-50</v>
      </c>
      <c r="AB475" s="75">
        <f>INPUT!BA375</f>
        <v>3</v>
      </c>
      <c r="AC475" s="155">
        <f>INPUT!BB375</f>
        <v>-40</v>
      </c>
      <c r="AD475" s="75">
        <f>INPUT!BC375</f>
        <v>3</v>
      </c>
      <c r="AE475" s="155">
        <f>INPUT!BD375</f>
        <v>-50</v>
      </c>
      <c r="AF475" s="75">
        <f>INPUT!BE375</f>
        <v>2</v>
      </c>
      <c r="AG475" s="155">
        <f>INPUT!BF375</f>
        <v>-50</v>
      </c>
      <c r="AH475" s="75">
        <f>INPUT!BG375</f>
        <v>3</v>
      </c>
      <c r="AI475" s="240">
        <f>INPUT!BH375</f>
        <v>0</v>
      </c>
      <c r="AJ475" s="75">
        <f>INPUT!BI375</f>
        <v>3</v>
      </c>
      <c r="AK475" s="240">
        <f>INPUT!BJ375</f>
        <v>0</v>
      </c>
      <c r="AL475" s="75">
        <f>INPUT!BK375</f>
        <v>2</v>
      </c>
      <c r="AM475" s="240">
        <f>INPUT!BL375</f>
        <v>-33.333333333333343</v>
      </c>
      <c r="AN475" s="75">
        <f>INPUT!BM375</f>
        <v>4</v>
      </c>
      <c r="AO475" s="240">
        <f>INPUT!BN375</f>
        <v>100</v>
      </c>
      <c r="AP475" s="75">
        <f>INPUT!BO375</f>
        <v>3</v>
      </c>
      <c r="AQ475" s="240">
        <f>INPUT!BP375</f>
        <v>0</v>
      </c>
      <c r="AR475" s="75">
        <f>INPUT!BQ375</f>
        <v>4</v>
      </c>
      <c r="AS475" s="240">
        <f>INPUT!BR375</f>
        <v>33.333333333333314</v>
      </c>
      <c r="AT475" s="75">
        <f>INPUT!BS375</f>
        <v>2</v>
      </c>
      <c r="AU475" s="240">
        <f>INPUT!BT375</f>
        <v>0</v>
      </c>
      <c r="AV475" s="75">
        <f>INPUT!BU375</f>
        <v>4</v>
      </c>
      <c r="AW475" s="240">
        <f>INPUT!BV375</f>
        <v>0</v>
      </c>
      <c r="AX475" s="75">
        <f>INPUT!BW375</f>
        <v>3</v>
      </c>
      <c r="AY475" s="240">
        <f>INPUT!BX375</f>
        <v>0</v>
      </c>
      <c r="AZ475" s="75">
        <f>INPUT!BY375</f>
        <v>-1</v>
      </c>
      <c r="BA475" s="240" t="str">
        <f>INPUT!BZ375</f>
        <v>NM</v>
      </c>
      <c r="BB475" s="75">
        <f>INPUT!CA375</f>
        <v>0</v>
      </c>
      <c r="BC475" s="240" t="str">
        <f>INPUT!CB375</f>
        <v>NM</v>
      </c>
      <c r="BD475" s="75">
        <f>INPUT!CC375</f>
        <v>1</v>
      </c>
      <c r="BE475" s="240" t="str">
        <f>INPUT!CD375</f>
        <v>NM</v>
      </c>
      <c r="BF475" s="75">
        <f>INPUT!CE375</f>
        <v>1</v>
      </c>
      <c r="BG475" s="240" t="str">
        <f>INPUT!CF375</f>
        <v>NM</v>
      </c>
      <c r="BH475" s="75">
        <f>INPUT!CG375</f>
        <v>0</v>
      </c>
      <c r="BI475" s="240" t="str">
        <f>INPUT!CH375</f>
        <v>NM</v>
      </c>
      <c r="BJ475" s="75">
        <f>INPUT!CI375</f>
        <v>0</v>
      </c>
      <c r="BK475" s="240" t="str">
        <f>INPUT!CJ375</f>
        <v>NA</v>
      </c>
      <c r="BL475" s="75">
        <f>INPUT!CK375</f>
        <v>1</v>
      </c>
      <c r="BM475" s="240">
        <f>INPUT!CL375</f>
        <v>0</v>
      </c>
      <c r="BN475" s="75">
        <f>INPUT!CM375</f>
        <v>0</v>
      </c>
      <c r="BO475" s="240" t="str">
        <f>INPUT!CN375</f>
        <v>NM</v>
      </c>
      <c r="BP475" s="75">
        <f>INPUT!CO375</f>
        <v>0</v>
      </c>
      <c r="BQ475" s="240" t="str">
        <f>INPUT!CP375</f>
        <v>NA</v>
      </c>
      <c r="BR475" s="75">
        <f>INPUT!CQ375</f>
        <v>0</v>
      </c>
      <c r="BS475" s="240" t="str">
        <f>INPUT!CR375</f>
        <v>NA</v>
      </c>
      <c r="BT475" s="75">
        <f>INPUT!CS375</f>
        <v>-1</v>
      </c>
      <c r="BU475" s="240" t="str">
        <f>INPUT!CT375</f>
        <v>NM</v>
      </c>
      <c r="BV475" s="75">
        <f>INPUT!CU375</f>
        <v>0</v>
      </c>
      <c r="BW475" s="240" t="str">
        <f>INPUT!CV375</f>
        <v>NA</v>
      </c>
      <c r="BX475" s="75">
        <f>INPUT!CW375</f>
        <v>0</v>
      </c>
      <c r="BY475" s="240" t="str">
        <f>INPUT!CX375</f>
        <v>NA</v>
      </c>
      <c r="BZ475" s="75">
        <f>INPUT!CY375</f>
        <v>0</v>
      </c>
      <c r="CA475" s="240" t="str">
        <f>INPUT!CZ375</f>
        <v>NA</v>
      </c>
      <c r="CB475" s="75">
        <f>INPUT!DA375</f>
        <v>0</v>
      </c>
      <c r="CC475" s="240" t="str">
        <f>INPUT!DB375</f>
        <v>NM</v>
      </c>
      <c r="CD475" s="75">
        <f>INPUT!DC375</f>
        <v>1</v>
      </c>
      <c r="CE475" s="240" t="str">
        <f>INPUT!DD375</f>
        <v>NA</v>
      </c>
      <c r="CF475" s="75">
        <f>INPUT!DE375</f>
        <v>0</v>
      </c>
      <c r="CG475" s="240" t="str">
        <f>INPUT!DF375</f>
        <v>NA</v>
      </c>
      <c r="CH475" s="75">
        <f>INPUT!DG375</f>
        <v>0</v>
      </c>
      <c r="CI475" s="240" t="str">
        <f>INPUT!DH375</f>
        <v>NA</v>
      </c>
      <c r="CJ475" s="75">
        <f>INPUT!DI375</f>
        <v>1</v>
      </c>
      <c r="CK475" s="240" t="str">
        <f>INPUT!DJ375</f>
        <v>NA</v>
      </c>
      <c r="CL475" s="75">
        <f>INPUT!DK375</f>
        <v>0</v>
      </c>
      <c r="CM475" s="240" t="str">
        <f>INPUT!DL375</f>
        <v>NM</v>
      </c>
      <c r="CN475" s="75">
        <f>INPUT!DM375</f>
        <v>1</v>
      </c>
      <c r="CO475" s="240" t="str">
        <f>INPUT!DN375</f>
        <v>NA</v>
      </c>
      <c r="CP475" s="75">
        <f>INPUT!DO375</f>
        <v>1</v>
      </c>
      <c r="CQ475" s="240" t="str">
        <f>INPUT!DP375</f>
        <v>NA</v>
      </c>
      <c r="CR475" s="75">
        <f>INPUT!DQ375</f>
        <v>0</v>
      </c>
      <c r="CS475" s="240" t="str">
        <f>INPUT!DR375</f>
        <v>NM</v>
      </c>
      <c r="CT475" s="75">
        <f>INPUT!DS375</f>
        <v>1</v>
      </c>
      <c r="CU475" s="240" t="str">
        <f>INPUT!DT375</f>
        <v>NA</v>
      </c>
      <c r="CV475" s="75">
        <f>INPUT!DU375</f>
        <v>0</v>
      </c>
      <c r="CW475" s="240" t="str">
        <f>INPUT!DV375</f>
        <v>NM</v>
      </c>
      <c r="CX475" s="75">
        <f>INPUT!DW375</f>
        <v>1</v>
      </c>
      <c r="CY475" s="240">
        <f>INPUT!DX375</f>
        <v>0</v>
      </c>
      <c r="CZ475" s="75">
        <f>INPUT!DY375</f>
        <v>1</v>
      </c>
      <c r="DA475" s="240" t="str">
        <f>INPUT!DZ375</f>
        <v>NA</v>
      </c>
      <c r="DB475" s="75">
        <f>INPUT!EA375</f>
        <v>1</v>
      </c>
      <c r="DC475" s="240">
        <f>INPUT!EB375</f>
        <v>0</v>
      </c>
      <c r="DD475" s="75">
        <f>INPUT!EC375</f>
        <v>1</v>
      </c>
      <c r="DE475" s="240" t="str">
        <f>INPUT!ED375</f>
        <v>NA</v>
      </c>
      <c r="DF475" s="75">
        <f>INPUT!EE375</f>
        <v>1</v>
      </c>
      <c r="DG475" s="240">
        <f>INPUT!EF375</f>
        <v>0</v>
      </c>
      <c r="DH475" s="75">
        <f>INPUT!EG375</f>
        <v>2</v>
      </c>
      <c r="DI475" s="240">
        <f>INPUT!EH375</f>
        <v>100</v>
      </c>
      <c r="DJ475" s="75">
        <f>INPUT!EI375</f>
        <v>2</v>
      </c>
      <c r="DK475" s="240">
        <f>INPUT!EJ375</f>
        <v>100</v>
      </c>
      <c r="DL475" s="75">
        <f>INPUT!EK375</f>
        <v>2</v>
      </c>
      <c r="DM475" s="240">
        <f>INPUT!EL375</f>
        <v>100</v>
      </c>
      <c r="DN475" s="75">
        <f>INPUT!EM375</f>
        <v>2</v>
      </c>
      <c r="DO475" s="240">
        <f>INPUT!EN375</f>
        <v>100</v>
      </c>
      <c r="DP475" s="75">
        <f>INPUT!EO375</f>
        <v>2</v>
      </c>
      <c r="DQ475" s="240">
        <f>INPUT!EP375</f>
        <v>0</v>
      </c>
      <c r="DR475" s="75">
        <f>INPUT!EQ375</f>
        <v>2.2200000000000002</v>
      </c>
      <c r="DS475" s="240">
        <f>INPUT!ER375</f>
        <v>11.000000000000014</v>
      </c>
      <c r="DT475" s="75">
        <f>INPUT!ES375</f>
        <v>2.2200000000000002</v>
      </c>
      <c r="DU475" s="240">
        <f>INPUT!ET375</f>
        <v>11.000000000000014</v>
      </c>
      <c r="DV475" s="75">
        <f>INPUT!EU375</f>
        <v>2.2200000000000002</v>
      </c>
      <c r="DW475" s="240">
        <f>INPUT!EV375</f>
        <v>11.000000000000014</v>
      </c>
      <c r="DX475" s="75">
        <f>INPUT!EW375</f>
        <v>2.2200000000000002</v>
      </c>
      <c r="DY475" s="240">
        <f>INPUT!EX375</f>
        <v>11.000000000000014</v>
      </c>
      <c r="DZ475" s="75"/>
      <c r="EA475" s="240"/>
      <c r="EB475" s="155">
        <f>INPUT!FI375</f>
        <v>25</v>
      </c>
      <c r="EC475" s="75">
        <f>INPUT!FJ375</f>
        <v>4</v>
      </c>
      <c r="ED475" s="155">
        <f>INPUT!FK375</f>
        <v>-20</v>
      </c>
      <c r="EE475" s="75">
        <f>INPUT!FL375</f>
        <v>12</v>
      </c>
      <c r="EF475" s="155" t="str">
        <f>INPUT!FM375</f>
        <v>NM</v>
      </c>
      <c r="EG475" s="75">
        <f>INPUT!FN375</f>
        <v>12</v>
      </c>
      <c r="EH475" s="155">
        <f>INPUT!FO375</f>
        <v>0</v>
      </c>
      <c r="EI475" s="75">
        <f>INPUT!FP375</f>
        <v>21</v>
      </c>
      <c r="EJ475" s="240">
        <f>INPUT!FQ375</f>
        <v>75</v>
      </c>
      <c r="EK475" s="75">
        <f>INPUT!FR375</f>
        <v>11</v>
      </c>
      <c r="EL475" s="240">
        <f>INPUT!FS375</f>
        <v>-47.619047619047613</v>
      </c>
      <c r="EM475" s="75">
        <f>INPUT!FT375</f>
        <v>12</v>
      </c>
      <c r="EN475" s="240">
        <f>INPUT!FU375</f>
        <v>9.0909090909090793</v>
      </c>
      <c r="EO475" s="75">
        <f>INPUT!FV375</f>
        <v>13</v>
      </c>
      <c r="EP475" s="240">
        <f>INPUT!FW375</f>
        <v>8.3333333333333286</v>
      </c>
      <c r="EQ475" s="75">
        <f>INPUT!FX375</f>
        <v>3</v>
      </c>
      <c r="ER475" s="240" t="str">
        <f>INPUT!FY375</f>
        <v>NM</v>
      </c>
      <c r="ES475" s="75">
        <f>INPUT!FZ375</f>
        <v>2</v>
      </c>
      <c r="ET475" s="240">
        <f>INPUT!GA375</f>
        <v>-33.333333333333343</v>
      </c>
      <c r="EU475" s="75">
        <f>INPUT!GB375</f>
        <v>-1</v>
      </c>
      <c r="EV475" s="240" t="str">
        <f>INPUT!GC375</f>
        <v>NM</v>
      </c>
      <c r="EW475" s="75">
        <f>INPUT!GD375</f>
        <v>0</v>
      </c>
      <c r="EX475" s="240" t="str">
        <f>INPUT!GE375</f>
        <v>NM</v>
      </c>
      <c r="EY475" s="75">
        <f>INPUT!GF375</f>
        <v>2</v>
      </c>
      <c r="EZ475" s="240" t="str">
        <f>INPUT!GG375</f>
        <v>NA</v>
      </c>
      <c r="FA475" s="75">
        <f>INPUT!GH375</f>
        <v>2</v>
      </c>
      <c r="FB475" s="240">
        <f>INPUT!GI375</f>
        <v>0</v>
      </c>
      <c r="FC475" s="75">
        <f>INPUT!GJ375</f>
        <v>3</v>
      </c>
      <c r="FD475" s="240">
        <f>INPUT!GK375</f>
        <v>50</v>
      </c>
      <c r="FE475" s="75">
        <f>INPUT!GL375</f>
        <v>5</v>
      </c>
      <c r="FF475" s="240">
        <f>INPUT!GM375</f>
        <v>66.666666666666686</v>
      </c>
      <c r="FG475" s="75">
        <f>INPUT!GN375</f>
        <v>8</v>
      </c>
      <c r="FH475" s="240">
        <f>INPUT!GO375</f>
        <v>60</v>
      </c>
      <c r="FI475" s="75">
        <f>INPUT!GP375</f>
        <v>8.8800000000000008</v>
      </c>
      <c r="FJ475" s="240">
        <f>INPUT!GQ375</f>
        <v>11.000000000000014</v>
      </c>
      <c r="FK475" s="75">
        <f>INPUT!GR375</f>
        <v>9.8568000000000016</v>
      </c>
      <c r="FL475" s="240">
        <f>INPUT!GS375</f>
        <v>11.000000000000014</v>
      </c>
      <c r="FM475" s="75">
        <f>INPUT!GT375</f>
        <v>10.941048000000002</v>
      </c>
      <c r="FN475" s="240">
        <f>INPUT!GU375</f>
        <v>11.000000000000014</v>
      </c>
      <c r="FO475" s="75">
        <f>INPUT!GV375</f>
        <v>12.144563280000003</v>
      </c>
      <c r="FP475" s="240">
        <f>INPUT!GW375</f>
        <v>11.000000000000014</v>
      </c>
      <c r="FQ475" s="75">
        <f>INPUT!GX375</f>
        <v>13.480465240800005</v>
      </c>
      <c r="FR475" s="240">
        <f>INPUT!GY375</f>
        <v>11.000000000000014</v>
      </c>
      <c r="FS475" s="240">
        <f>INPUT!GZ375</f>
        <v>11.000000000000011</v>
      </c>
    </row>
    <row r="476" spans="1:175" ht="12.75" hidden="1" customHeight="1" outlineLevel="1" x14ac:dyDescent="0.2">
      <c r="A476" s="77" t="str">
        <f>INPUT!B376</f>
        <v>Operating Expenses</v>
      </c>
      <c r="B476" s="75">
        <f>INPUT!AA376</f>
        <v>193</v>
      </c>
      <c r="C476" s="155">
        <f>INPUT!AB376</f>
        <v>14.201183431952671</v>
      </c>
      <c r="D476" s="75">
        <f>INPUT!AC376</f>
        <v>184</v>
      </c>
      <c r="E476" s="155">
        <f>INPUT!AD376</f>
        <v>11.51515151515153</v>
      </c>
      <c r="F476" s="75">
        <f>INPUT!AE376</f>
        <v>210</v>
      </c>
      <c r="G476" s="155">
        <f>INPUT!AF376</f>
        <v>14.130434782608688</v>
      </c>
      <c r="H476" s="75">
        <f>INPUT!AG376</f>
        <v>220</v>
      </c>
      <c r="I476" s="155">
        <f>INPUT!AH376</f>
        <v>21.546961325966848</v>
      </c>
      <c r="J476" s="75">
        <f>INPUT!AI376</f>
        <v>228</v>
      </c>
      <c r="K476" s="155">
        <f>INPUT!AJ376</f>
        <v>18.134715025906729</v>
      </c>
      <c r="L476" s="75">
        <f>INPUT!AK376</f>
        <v>211</v>
      </c>
      <c r="M476" s="155">
        <f>INPUT!AL376</f>
        <v>14.673913043478265</v>
      </c>
      <c r="N476" s="75">
        <f>INPUT!AM376</f>
        <v>228</v>
      </c>
      <c r="O476" s="155">
        <f>INPUT!AN376</f>
        <v>8.5714285714285694</v>
      </c>
      <c r="P476" s="75">
        <f>INPUT!AO376</f>
        <v>264</v>
      </c>
      <c r="Q476" s="155">
        <f>INPUT!AP376</f>
        <v>20</v>
      </c>
      <c r="R476" s="75">
        <f>INPUT!AQ376</f>
        <v>298</v>
      </c>
      <c r="S476" s="155">
        <f>INPUT!AR376</f>
        <v>30.701754385964932</v>
      </c>
      <c r="T476" s="75">
        <f>INPUT!AS376</f>
        <v>295</v>
      </c>
      <c r="U476" s="155">
        <f>INPUT!AT376</f>
        <v>39.81042654028434</v>
      </c>
      <c r="V476" s="75">
        <f>INPUT!AU376</f>
        <v>272</v>
      </c>
      <c r="W476" s="155">
        <f>INPUT!AV376</f>
        <v>19.298245614035082</v>
      </c>
      <c r="X476" s="75">
        <f>INPUT!AW376</f>
        <v>292</v>
      </c>
      <c r="Y476" s="155">
        <f>INPUT!AX376</f>
        <v>10.606060606060595</v>
      </c>
      <c r="Z476" s="75">
        <f>INPUT!AY376</f>
        <v>290</v>
      </c>
      <c r="AA476" s="155">
        <f>INPUT!AZ376</f>
        <v>-2.6845637583892596</v>
      </c>
      <c r="AB476" s="75">
        <f>INPUT!BA376</f>
        <v>287</v>
      </c>
      <c r="AC476" s="155">
        <f>INPUT!BB376</f>
        <v>-2.711864406779668</v>
      </c>
      <c r="AD476" s="75">
        <f>INPUT!BC376</f>
        <v>288</v>
      </c>
      <c r="AE476" s="155">
        <f>INPUT!BD376</f>
        <v>5.8823529411764781</v>
      </c>
      <c r="AF476" s="75">
        <f>INPUT!BE376</f>
        <v>313</v>
      </c>
      <c r="AG476" s="155">
        <f>INPUT!BF376</f>
        <v>7.1917808219178028</v>
      </c>
      <c r="AH476" s="75">
        <f>INPUT!BG376</f>
        <v>304</v>
      </c>
      <c r="AI476" s="240">
        <f>INPUT!BH376</f>
        <v>4.8275862068965552</v>
      </c>
      <c r="AJ476" s="75">
        <f>INPUT!BI376</f>
        <v>308</v>
      </c>
      <c r="AK476" s="240">
        <f>INPUT!BJ376</f>
        <v>7.3170731707317174</v>
      </c>
      <c r="AL476" s="75">
        <f>INPUT!BK376</f>
        <v>316</v>
      </c>
      <c r="AM476" s="240">
        <f>INPUT!BL376</f>
        <v>9.7222222222222285</v>
      </c>
      <c r="AN476" s="75">
        <f>INPUT!BM376</f>
        <v>352</v>
      </c>
      <c r="AO476" s="240">
        <f>INPUT!BN376</f>
        <v>12.460063897763575</v>
      </c>
      <c r="AP476" s="75">
        <f>INPUT!BO376</f>
        <v>345</v>
      </c>
      <c r="AQ476" s="240">
        <f>INPUT!BP376</f>
        <v>13.486842105263165</v>
      </c>
      <c r="AR476" s="75">
        <f>INPUT!BQ376</f>
        <v>341</v>
      </c>
      <c r="AS476" s="240">
        <f>INPUT!BR376</f>
        <v>10.714285714285722</v>
      </c>
      <c r="AT476" s="75">
        <f>INPUT!BS376</f>
        <v>325</v>
      </c>
      <c r="AU476" s="240">
        <f>INPUT!BT376</f>
        <v>2.8481012658227769</v>
      </c>
      <c r="AV476" s="75">
        <f>INPUT!BU376</f>
        <v>350</v>
      </c>
      <c r="AW476" s="240">
        <f>INPUT!BV376</f>
        <v>-0.56818181818182723</v>
      </c>
      <c r="AX476" s="75">
        <f>INPUT!BW376</f>
        <v>360</v>
      </c>
      <c r="AY476" s="240">
        <f>INPUT!BX376</f>
        <v>4.3478260869565162</v>
      </c>
      <c r="AZ476" s="75">
        <f>INPUT!BY376</f>
        <v>339</v>
      </c>
      <c r="BA476" s="240">
        <f>INPUT!BZ376</f>
        <v>-0.58651026392962535</v>
      </c>
      <c r="BB476" s="75">
        <f>INPUT!CA376</f>
        <v>360</v>
      </c>
      <c r="BC476" s="240">
        <f>INPUT!CB376</f>
        <v>10.769230769230774</v>
      </c>
      <c r="BD476" s="75">
        <f>INPUT!CC376</f>
        <v>399</v>
      </c>
      <c r="BE476" s="240">
        <f>INPUT!CD376</f>
        <v>13.999999999999986</v>
      </c>
      <c r="BF476" s="75">
        <f>INPUT!CE376</f>
        <v>377</v>
      </c>
      <c r="BG476" s="240">
        <f>INPUT!CF376</f>
        <v>4.7222222222222285</v>
      </c>
      <c r="BH476" s="75">
        <f>INPUT!CG376</f>
        <v>355</v>
      </c>
      <c r="BI476" s="240">
        <f>INPUT!CH376</f>
        <v>4.7197640117994126</v>
      </c>
      <c r="BJ476" s="75">
        <f>INPUT!CI376</f>
        <v>377</v>
      </c>
      <c r="BK476" s="240">
        <f>INPUT!CJ376</f>
        <v>4.7222222222222285</v>
      </c>
      <c r="BL476" s="75">
        <f>INPUT!CK376</f>
        <v>417</v>
      </c>
      <c r="BM476" s="240">
        <f>INPUT!CL376</f>
        <v>4.5112781954887282</v>
      </c>
      <c r="BN476" s="75">
        <f>INPUT!CM376</f>
        <v>425</v>
      </c>
      <c r="BO476" s="240">
        <f>INPUT!CN376</f>
        <v>12.732095490716191</v>
      </c>
      <c r="BP476" s="75">
        <f>INPUT!CO376</f>
        <v>409</v>
      </c>
      <c r="BQ476" s="240">
        <f>INPUT!CP376</f>
        <v>15.211267605633807</v>
      </c>
      <c r="BR476" s="75">
        <f>INPUT!CQ376</f>
        <v>418</v>
      </c>
      <c r="BS476" s="240">
        <f>INPUT!CR376</f>
        <v>10.875331564986752</v>
      </c>
      <c r="BT476" s="75">
        <f>INPUT!CS376</f>
        <v>441</v>
      </c>
      <c r="BU476" s="240">
        <f>INPUT!CT376</f>
        <v>5.7553956834532443</v>
      </c>
      <c r="BV476" s="75">
        <f>INPUT!CU376</f>
        <v>463</v>
      </c>
      <c r="BW476" s="240">
        <f>INPUT!CV376</f>
        <v>8.941176470588232</v>
      </c>
      <c r="BX476" s="75">
        <f>INPUT!CW376</f>
        <v>457</v>
      </c>
      <c r="BY476" s="240">
        <f>INPUT!CX376</f>
        <v>11.735941320293406</v>
      </c>
      <c r="BZ476" s="75">
        <f>INPUT!CY376</f>
        <v>442</v>
      </c>
      <c r="CA476" s="240">
        <f>INPUT!CZ376</f>
        <v>5.7416267942583801</v>
      </c>
      <c r="CB476" s="75">
        <f>INPUT!DA376</f>
        <v>477</v>
      </c>
      <c r="CC476" s="240">
        <f>INPUT!DB376</f>
        <v>8.1632653061224545</v>
      </c>
      <c r="CD476" s="75">
        <f>INPUT!DC376</f>
        <v>450</v>
      </c>
      <c r="CE476" s="240">
        <f>INPUT!DD376</f>
        <v>-2.8077753779697616</v>
      </c>
      <c r="CF476" s="75">
        <f>INPUT!DE376</f>
        <v>403</v>
      </c>
      <c r="CG476" s="240">
        <f>INPUT!DF376</f>
        <v>-11.816192560175054</v>
      </c>
      <c r="CH476" s="75">
        <f>INPUT!DG376</f>
        <v>379</v>
      </c>
      <c r="CI476" s="240">
        <f>INPUT!DH376</f>
        <v>-14.25339366515837</v>
      </c>
      <c r="CJ476" s="75">
        <f>INPUT!DI376</f>
        <v>428</v>
      </c>
      <c r="CK476" s="240">
        <f>INPUT!DJ376</f>
        <v>-10.272536687631032</v>
      </c>
      <c r="CL476" s="75">
        <f>INPUT!DK376</f>
        <v>438</v>
      </c>
      <c r="CM476" s="240">
        <f>INPUT!DL376</f>
        <v>-2.6666666666666572</v>
      </c>
      <c r="CN476" s="75">
        <f>INPUT!DM376</f>
        <v>440</v>
      </c>
      <c r="CO476" s="240">
        <f>INPUT!DN376</f>
        <v>9.1811414392059589</v>
      </c>
      <c r="CP476" s="75">
        <f>INPUT!DO376</f>
        <v>425</v>
      </c>
      <c r="CQ476" s="240">
        <f>INPUT!DP376</f>
        <v>12.137203166226911</v>
      </c>
      <c r="CR476" s="75">
        <f>INPUT!DQ376</f>
        <v>459</v>
      </c>
      <c r="CS476" s="240">
        <f>INPUT!DR376</f>
        <v>7.2429906542056131</v>
      </c>
      <c r="CT476" s="75">
        <f>INPUT!DS376</f>
        <v>437</v>
      </c>
      <c r="CU476" s="240">
        <f>INPUT!DT376</f>
        <v>-0.22831050228310801</v>
      </c>
      <c r="CV476" s="75">
        <f>INPUT!DU376</f>
        <v>418</v>
      </c>
      <c r="CW476" s="240">
        <f>INPUT!DV376</f>
        <v>-5</v>
      </c>
      <c r="CX476" s="75">
        <f>INPUT!DW376</f>
        <v>411</v>
      </c>
      <c r="CY476" s="240">
        <f>INPUT!DX376</f>
        <v>-3.294117647058826</v>
      </c>
      <c r="CZ476" s="75">
        <f>INPUT!DY376</f>
        <v>461</v>
      </c>
      <c r="DA476" s="240">
        <f>INPUT!DZ376</f>
        <v>0.43572984749455657</v>
      </c>
      <c r="DB476" s="75">
        <f>INPUT!EA376</f>
        <v>462</v>
      </c>
      <c r="DC476" s="240">
        <f>INPUT!EB376</f>
        <v>5.720823798626995</v>
      </c>
      <c r="DD476" s="75">
        <f>INPUT!EC376</f>
        <v>455</v>
      </c>
      <c r="DE476" s="240">
        <f>INPUT!ED376</f>
        <v>8.8516746411483354</v>
      </c>
      <c r="DF476" s="75">
        <f>INPUT!EE376</f>
        <v>505</v>
      </c>
      <c r="DG476" s="240">
        <f>INPUT!EF376</f>
        <v>22.871046228710455</v>
      </c>
      <c r="DH476" s="75">
        <f>INPUT!EG376</f>
        <v>507</v>
      </c>
      <c r="DI476" s="240">
        <f>INPUT!EH376</f>
        <v>9.978308026030362</v>
      </c>
      <c r="DJ476" s="75">
        <f>INPUT!EI376</f>
        <v>557</v>
      </c>
      <c r="DK476" s="240">
        <f>INPUT!EJ376</f>
        <v>20.562770562770567</v>
      </c>
      <c r="DL476" s="75">
        <f>INPUT!EK376</f>
        <v>591</v>
      </c>
      <c r="DM476" s="240">
        <f>INPUT!EL376</f>
        <v>29.890109890109898</v>
      </c>
      <c r="DN476" s="75">
        <f>INPUT!EM376</f>
        <v>566</v>
      </c>
      <c r="DO476" s="240">
        <f>INPUT!EN376</f>
        <v>12.079207920792086</v>
      </c>
      <c r="DP476" s="75">
        <f>INPUT!EO376</f>
        <v>568</v>
      </c>
      <c r="DQ476" s="240">
        <f>INPUT!EP376</f>
        <v>12.031558185404336</v>
      </c>
      <c r="DR476" s="75">
        <f>INPUT!EQ376</f>
        <v>581.78900900900908</v>
      </c>
      <c r="DS476" s="240">
        <f>INPUT!ER376</f>
        <v>4.4504504504504752</v>
      </c>
      <c r="DT476" s="75">
        <f>INPUT!ES376</f>
        <v>570.63787891891889</v>
      </c>
      <c r="DU476" s="240">
        <f>INPUT!ET376</f>
        <v>-3.4453673572049297</v>
      </c>
      <c r="DV476" s="75">
        <f>INPUT!EU376</f>
        <v>581.70962666666662</v>
      </c>
      <c r="DW476" s="240">
        <f>INPUT!EV376</f>
        <v>2.7755524146054142</v>
      </c>
      <c r="DX476" s="75">
        <f>INPUT!EW376</f>
        <v>603.36220504504502</v>
      </c>
      <c r="DY476" s="240">
        <f>INPUT!EX376</f>
        <v>6.2257403248318752</v>
      </c>
      <c r="DZ476" s="75"/>
      <c r="EA476" s="240"/>
      <c r="EB476" s="155">
        <f>INPUT!FI376</f>
        <v>11.62029459901801</v>
      </c>
      <c r="EC476" s="75">
        <f>INPUT!FJ376</f>
        <v>699</v>
      </c>
      <c r="ED476" s="155">
        <f>INPUT!FK376</f>
        <v>2.4926686217008722</v>
      </c>
      <c r="EE476" s="75">
        <f>INPUT!FL376</f>
        <v>807</v>
      </c>
      <c r="EF476" s="155">
        <f>INPUT!FM376</f>
        <v>15.450643776824037</v>
      </c>
      <c r="EG476" s="75">
        <f>INPUT!FN376</f>
        <v>931</v>
      </c>
      <c r="EH476" s="155">
        <f>INPUT!FO376</f>
        <v>15.365551425030972</v>
      </c>
      <c r="EI476" s="75">
        <f>INPUT!FP376</f>
        <v>1157</v>
      </c>
      <c r="EJ476" s="240">
        <f>INPUT!FQ376</f>
        <v>24.274973147153588</v>
      </c>
      <c r="EK476" s="75">
        <f>INPUT!FR376</f>
        <v>1178</v>
      </c>
      <c r="EL476" s="240">
        <f>INPUT!FS376</f>
        <v>1.8150388936905699</v>
      </c>
      <c r="EM476" s="75">
        <f>INPUT!FT376</f>
        <v>1280</v>
      </c>
      <c r="EN476" s="240">
        <f>INPUT!FU376</f>
        <v>8.6587436332767425</v>
      </c>
      <c r="EO476" s="75">
        <f>INPUT!FV376</f>
        <v>1361</v>
      </c>
      <c r="EP476" s="240">
        <f>INPUT!FW376</f>
        <v>6.328125</v>
      </c>
      <c r="EQ476" s="75">
        <f>INPUT!FX376</f>
        <v>1458</v>
      </c>
      <c r="ER476" s="240">
        <f>INPUT!FY376</f>
        <v>7.1271124173401859</v>
      </c>
      <c r="ES476" s="75">
        <f>INPUT!FZ376</f>
        <v>1526</v>
      </c>
      <c r="ET476" s="240">
        <f>INPUT!GA376</f>
        <v>4.6639231824417067</v>
      </c>
      <c r="EU476" s="75">
        <f>INPUT!GB376</f>
        <v>1693</v>
      </c>
      <c r="EV476" s="240">
        <f>INPUT!GC376</f>
        <v>10.943643512450848</v>
      </c>
      <c r="EW476" s="75">
        <f>INPUT!GD376</f>
        <v>1839</v>
      </c>
      <c r="EX476" s="240">
        <f>INPUT!GE376</f>
        <v>8.6237448316597778</v>
      </c>
      <c r="EY476" s="75">
        <f>INPUT!GF376</f>
        <v>1660</v>
      </c>
      <c r="EZ476" s="240">
        <f>INPUT!GG376</f>
        <v>-9.7335508428493682</v>
      </c>
      <c r="FA476" s="75">
        <f>INPUT!GH376</f>
        <v>1762</v>
      </c>
      <c r="FB476" s="240">
        <f>INPUT!GI376</f>
        <v>6.1445783132530067</v>
      </c>
      <c r="FC476" s="75">
        <f>INPUT!GJ376</f>
        <v>1727</v>
      </c>
      <c r="FD476" s="240">
        <f>INPUT!GK376</f>
        <v>-1.9863791146424603</v>
      </c>
      <c r="FE476" s="75">
        <f>INPUT!GL376</f>
        <v>1929</v>
      </c>
      <c r="FF476" s="240">
        <f>INPUT!GM376</f>
        <v>11.696583671105955</v>
      </c>
      <c r="FG476" s="75">
        <f>INPUT!GN376</f>
        <v>2282</v>
      </c>
      <c r="FH476" s="240">
        <f>INPUT!GO376</f>
        <v>18.299637117677548</v>
      </c>
      <c r="FI476" s="75">
        <f>INPUT!GP376</f>
        <v>2337.4987196396396</v>
      </c>
      <c r="FJ476" s="240">
        <f>INPUT!GQ376</f>
        <v>2.4320210183891078</v>
      </c>
      <c r="FK476" s="75">
        <f>INPUT!GR376</f>
        <v>2430.9986684252253</v>
      </c>
      <c r="FL476" s="240">
        <f>INPUT!GS376</f>
        <v>4</v>
      </c>
      <c r="FM476" s="75">
        <f>INPUT!GT376</f>
        <v>2528.2386151622345</v>
      </c>
      <c r="FN476" s="240">
        <f>INPUT!GU376</f>
        <v>4</v>
      </c>
      <c r="FO476" s="75">
        <f>INPUT!GV376</f>
        <v>2629.3681597687232</v>
      </c>
      <c r="FP476" s="240">
        <f>INPUT!GW376</f>
        <v>3.9999999999999858</v>
      </c>
      <c r="FQ476" s="75">
        <f>INPUT!GX376</f>
        <v>2734.5428861594728</v>
      </c>
      <c r="FR476" s="240">
        <f>INPUT!GY376</f>
        <v>4.0000000000000284</v>
      </c>
      <c r="FS476" s="240">
        <f>INPUT!GZ376</f>
        <v>3.6844957146608293</v>
      </c>
    </row>
    <row r="477" spans="1:175" ht="12.75" hidden="1" customHeight="1" outlineLevel="1" x14ac:dyDescent="0.2">
      <c r="A477" s="77" t="str">
        <f>INPUT!B377</f>
        <v>Net DAC</v>
      </c>
      <c r="B477" s="75">
        <f>INPUT!AA377</f>
        <v>-66</v>
      </c>
      <c r="C477" s="155">
        <f>INPUT!AB377</f>
        <v>8.1967213114754145</v>
      </c>
      <c r="D477" s="75">
        <f>INPUT!AC377</f>
        <v>-61</v>
      </c>
      <c r="E477" s="155">
        <f>INPUT!AD377</f>
        <v>-3.1746031746031775</v>
      </c>
      <c r="F477" s="75">
        <f>INPUT!AE377</f>
        <v>-57</v>
      </c>
      <c r="G477" s="155">
        <f>INPUT!AF377</f>
        <v>0</v>
      </c>
      <c r="H477" s="75">
        <f>INPUT!AG377</f>
        <v>-81</v>
      </c>
      <c r="I477" s="155">
        <f>INPUT!AH377</f>
        <v>5.1948051948051983</v>
      </c>
      <c r="J477" s="75">
        <f>INPUT!AI377</f>
        <v>-90</v>
      </c>
      <c r="K477" s="155">
        <f>INPUT!AJ377</f>
        <v>36.363636363636346</v>
      </c>
      <c r="L477" s="75">
        <f>INPUT!AK377</f>
        <v>-81</v>
      </c>
      <c r="M477" s="155">
        <f>INPUT!AL377</f>
        <v>32.78688524590163</v>
      </c>
      <c r="N477" s="75">
        <f>INPUT!AM377</f>
        <v>-77</v>
      </c>
      <c r="O477" s="155">
        <f>INPUT!AN377</f>
        <v>35.087719298245617</v>
      </c>
      <c r="P477" s="75">
        <f>INPUT!AO377</f>
        <v>-91</v>
      </c>
      <c r="Q477" s="155">
        <f>INPUT!AP377</f>
        <v>12.345679012345684</v>
      </c>
      <c r="R477" s="75">
        <f>INPUT!AQ377</f>
        <v>-119</v>
      </c>
      <c r="S477" s="155">
        <f>INPUT!AR377</f>
        <v>32.222222222222229</v>
      </c>
      <c r="T477" s="75">
        <f>INPUT!AS377</f>
        <v>-114</v>
      </c>
      <c r="U477" s="155">
        <f>INPUT!AT377</f>
        <v>40.740740740740733</v>
      </c>
      <c r="V477" s="75">
        <f>INPUT!AU377</f>
        <v>-102</v>
      </c>
      <c r="W477" s="155">
        <f>INPUT!AV377</f>
        <v>32.467532467532465</v>
      </c>
      <c r="X477" s="75">
        <f>INPUT!AW377</f>
        <v>-107</v>
      </c>
      <c r="Y477" s="155">
        <f>INPUT!AX377</f>
        <v>17.582417582417591</v>
      </c>
      <c r="Z477" s="75">
        <f>INPUT!AY377</f>
        <v>-100</v>
      </c>
      <c r="AA477" s="155">
        <f>INPUT!AZ377</f>
        <v>-15.966386554621849</v>
      </c>
      <c r="AB477" s="75">
        <f>INPUT!BA377</f>
        <v>-86</v>
      </c>
      <c r="AC477" s="155">
        <f>INPUT!BB377</f>
        <v>-24.561403508771932</v>
      </c>
      <c r="AD477" s="75">
        <f>INPUT!BC377</f>
        <v>-82</v>
      </c>
      <c r="AE477" s="155">
        <f>INPUT!BD377</f>
        <v>-19.607843137254903</v>
      </c>
      <c r="AF477" s="75">
        <f>INPUT!BE377</f>
        <v>-99</v>
      </c>
      <c r="AG477" s="155">
        <f>INPUT!BF377</f>
        <v>-7.476635514018696</v>
      </c>
      <c r="AH477" s="75">
        <f>INPUT!BG377</f>
        <v>-99</v>
      </c>
      <c r="AI477" s="240">
        <f>INPUT!BH377</f>
        <v>-1</v>
      </c>
      <c r="AJ477" s="75">
        <f>INPUT!BI377</f>
        <v>-94</v>
      </c>
      <c r="AK477" s="240">
        <f>INPUT!BJ377</f>
        <v>9.3023255813953369</v>
      </c>
      <c r="AL477" s="75">
        <f>INPUT!BK377</f>
        <v>-113</v>
      </c>
      <c r="AM477" s="240">
        <f>INPUT!BL377</f>
        <v>37.804878048780466</v>
      </c>
      <c r="AN477" s="75">
        <f>INPUT!BM377</f>
        <v>-115</v>
      </c>
      <c r="AO477" s="240">
        <f>INPUT!BN377</f>
        <v>16.161616161616152</v>
      </c>
      <c r="AP477" s="75">
        <f>INPUT!BO377</f>
        <v>-100</v>
      </c>
      <c r="AQ477" s="240">
        <f>INPUT!BP377</f>
        <v>1.0101010101010104</v>
      </c>
      <c r="AR477" s="75">
        <f>INPUT!BQ377</f>
        <v>-98</v>
      </c>
      <c r="AS477" s="240">
        <f>INPUT!BR377</f>
        <v>4.2553191489361808</v>
      </c>
      <c r="AT477" s="75">
        <f>INPUT!BS377</f>
        <v>-100</v>
      </c>
      <c r="AU477" s="240">
        <f>INPUT!BT377</f>
        <v>-11.504424778761063</v>
      </c>
      <c r="AV477" s="75">
        <f>INPUT!BU377</f>
        <v>-84</v>
      </c>
      <c r="AW477" s="240">
        <f>INPUT!BV377</f>
        <v>-26.956521739130437</v>
      </c>
      <c r="AX477" s="75">
        <f>INPUT!BW377</f>
        <v>-81</v>
      </c>
      <c r="AY477" s="240">
        <f>INPUT!BX377</f>
        <v>-19</v>
      </c>
      <c r="AZ477" s="75">
        <f>INPUT!BY377</f>
        <v>-54</v>
      </c>
      <c r="BA477" s="240">
        <f>INPUT!BZ377</f>
        <v>-44.897959183673478</v>
      </c>
      <c r="BB477" s="75">
        <f>INPUT!CA377</f>
        <v>-93</v>
      </c>
      <c r="BC477" s="240">
        <f>INPUT!CB377</f>
        <v>-7</v>
      </c>
      <c r="BD477" s="75">
        <f>INPUT!CC377</f>
        <v>-98</v>
      </c>
      <c r="BE477" s="240">
        <f>INPUT!CD377</f>
        <v>16.666666666666671</v>
      </c>
      <c r="BF477" s="75">
        <f>INPUT!CE377</f>
        <v>-64</v>
      </c>
      <c r="BG477" s="240">
        <f>INPUT!CF377</f>
        <v>-20.987654320987659</v>
      </c>
      <c r="BH477" s="75">
        <f>INPUT!CG377</f>
        <v>-44</v>
      </c>
      <c r="BI477" s="240">
        <f>INPUT!CH377</f>
        <v>-18.518518518518519</v>
      </c>
      <c r="BJ477" s="75">
        <f>INPUT!CI377</f>
        <v>-56</v>
      </c>
      <c r="BK477" s="240">
        <f>INPUT!CJ377</f>
        <v>-39.784946236559136</v>
      </c>
      <c r="BL477" s="75">
        <f>INPUT!CK377</f>
        <v>-68</v>
      </c>
      <c r="BM477" s="240">
        <f>INPUT!CL377</f>
        <v>-30.612244897959187</v>
      </c>
      <c r="BN477" s="75">
        <f>INPUT!CM377</f>
        <v>-79</v>
      </c>
      <c r="BO477" s="240">
        <f>INPUT!CN377</f>
        <v>23.4375</v>
      </c>
      <c r="BP477" s="75">
        <f>INPUT!CO377</f>
        <v>-65</v>
      </c>
      <c r="BQ477" s="240">
        <f>INPUT!CP377</f>
        <v>47.72727272727272</v>
      </c>
      <c r="BR477" s="75">
        <f>INPUT!CQ377</f>
        <v>-64</v>
      </c>
      <c r="BS477" s="240">
        <f>INPUT!CR377</f>
        <v>14.285714285714278</v>
      </c>
      <c r="BT477" s="75">
        <f>INPUT!CS377</f>
        <v>-67</v>
      </c>
      <c r="BU477" s="240">
        <f>INPUT!CT377</f>
        <v>-1.470588235294116</v>
      </c>
      <c r="BV477" s="75">
        <f>INPUT!CU377</f>
        <v>-86</v>
      </c>
      <c r="BW477" s="240">
        <f>INPUT!CV377</f>
        <v>8.8607594936708836</v>
      </c>
      <c r="BX477" s="75">
        <f>INPUT!CW377</f>
        <v>-102</v>
      </c>
      <c r="BY477" s="240">
        <f>INPUT!CX377</f>
        <v>56.923076923076934</v>
      </c>
      <c r="BZ477" s="75">
        <f>INPUT!CY377</f>
        <v>-114</v>
      </c>
      <c r="CA477" s="240">
        <f>INPUT!CZ377</f>
        <v>78.125</v>
      </c>
      <c r="CB477" s="75">
        <f>INPUT!DA377</f>
        <v>-76</v>
      </c>
      <c r="CC477" s="240">
        <f>INPUT!DB377</f>
        <v>13.432835820895519</v>
      </c>
      <c r="CD477" s="75">
        <f>INPUT!DC377</f>
        <v>-90</v>
      </c>
      <c r="CE477" s="240">
        <f>INPUT!DD377</f>
        <v>4.6511627906976827</v>
      </c>
      <c r="CF477" s="75">
        <f>INPUT!DE377</f>
        <v>-49</v>
      </c>
      <c r="CG477" s="240" t="str">
        <f>INPUT!DF377</f>
        <v>NM</v>
      </c>
      <c r="CH477" s="75">
        <f>INPUT!DG377</f>
        <v>-57</v>
      </c>
      <c r="CI477" s="240">
        <f>INPUT!DH377</f>
        <v>-50</v>
      </c>
      <c r="CJ477" s="75">
        <f>INPUT!DI377</f>
        <v>-63</v>
      </c>
      <c r="CK477" s="240">
        <f>INPUT!DJ377</f>
        <v>-17.10526315789474</v>
      </c>
      <c r="CL477" s="75">
        <f>INPUT!DK377</f>
        <v>-75</v>
      </c>
      <c r="CM477" s="240">
        <f>INPUT!DL377</f>
        <v>-16.666666666666657</v>
      </c>
      <c r="CN477" s="75">
        <f>INPUT!DM377</f>
        <v>-72</v>
      </c>
      <c r="CO477" s="240">
        <f>INPUT!DN377</f>
        <v>46.938775510204096</v>
      </c>
      <c r="CP477" s="75">
        <f>INPUT!DO377</f>
        <v>-101</v>
      </c>
      <c r="CQ477" s="240">
        <f>INPUT!DP377</f>
        <v>77.192982456140356</v>
      </c>
      <c r="CR477" s="75">
        <f>INPUT!DQ377</f>
        <v>-73</v>
      </c>
      <c r="CS477" s="240">
        <f>INPUT!DR377</f>
        <v>15.873015873015888</v>
      </c>
      <c r="CT477" s="75">
        <f>INPUT!DS377</f>
        <v>-81</v>
      </c>
      <c r="CU477" s="240">
        <f>INPUT!DT377</f>
        <v>8</v>
      </c>
      <c r="CV477" s="75">
        <f>INPUT!DU377</f>
        <v>-66</v>
      </c>
      <c r="CW477" s="240">
        <f>INPUT!DV377</f>
        <v>-8.3333333333333428</v>
      </c>
      <c r="CX477" s="75">
        <f>INPUT!DW377</f>
        <v>-58</v>
      </c>
      <c r="CY477" s="240">
        <f>INPUT!DX377</f>
        <v>-42.57425742574258</v>
      </c>
      <c r="CZ477" s="75">
        <f>INPUT!DY377</f>
        <v>-75</v>
      </c>
      <c r="DA477" s="240">
        <f>INPUT!DZ377</f>
        <v>2.7397260273972677</v>
      </c>
      <c r="DB477" s="75">
        <f>INPUT!EA377</f>
        <v>-82</v>
      </c>
      <c r="DC477" s="240">
        <f>INPUT!EB377</f>
        <v>1.2345679012345698</v>
      </c>
      <c r="DD477" s="75">
        <f>INPUT!EC377</f>
        <v>-70</v>
      </c>
      <c r="DE477" s="240">
        <f>INPUT!ED377</f>
        <v>6.0606060606060623</v>
      </c>
      <c r="DF477" s="75">
        <f>INPUT!EE377</f>
        <v>-86</v>
      </c>
      <c r="DG477" s="240">
        <f>INPUT!EF377</f>
        <v>48.275862068965523</v>
      </c>
      <c r="DH477" s="75">
        <f>INPUT!EG377</f>
        <v>-90</v>
      </c>
      <c r="DI477" s="240">
        <f>INPUT!EH377</f>
        <v>20</v>
      </c>
      <c r="DJ477" s="75">
        <f>INPUT!EI377</f>
        <v>-117</v>
      </c>
      <c r="DK477" s="240">
        <f>INPUT!EJ377</f>
        <v>42.682926829268297</v>
      </c>
      <c r="DL477" s="75">
        <f>INPUT!EK377</f>
        <v>-112</v>
      </c>
      <c r="DM477" s="240">
        <f>INPUT!EL377</f>
        <v>60</v>
      </c>
      <c r="DN477" s="75">
        <f>INPUT!EM377</f>
        <v>-79</v>
      </c>
      <c r="DO477" s="240">
        <f>INPUT!EN377</f>
        <v>-8.1395348837209269</v>
      </c>
      <c r="DP477" s="75">
        <f>INPUT!EO377</f>
        <v>-88</v>
      </c>
      <c r="DQ477" s="240">
        <f>INPUT!EP377</f>
        <v>-2.2222222222222285</v>
      </c>
      <c r="DR477" s="75">
        <f>INPUT!EQ377</f>
        <v>-122.20702702702702</v>
      </c>
      <c r="DS477" s="240">
        <f>INPUT!ER377</f>
        <v>4.4504504504504467</v>
      </c>
      <c r="DT477" s="75">
        <f>INPUT!ES377</f>
        <v>-116.9845045045045</v>
      </c>
      <c r="DU477" s="240">
        <f>INPUT!ET377</f>
        <v>4.4504504504504467</v>
      </c>
      <c r="DV477" s="75">
        <f>INPUT!EU377</f>
        <v>-82.515855855855861</v>
      </c>
      <c r="DW477" s="240">
        <f>INPUT!EV377</f>
        <v>4.4504504504504467</v>
      </c>
      <c r="DX477" s="75">
        <f>INPUT!EW377</f>
        <v>-91.916396396396394</v>
      </c>
      <c r="DY477" s="240">
        <f>INPUT!EX377</f>
        <v>4.4504504504504467</v>
      </c>
      <c r="DZ477" s="75"/>
      <c r="EA477" s="240"/>
      <c r="EB477" s="155">
        <f>INPUT!FI377</f>
        <v>17.829457364341096</v>
      </c>
      <c r="EC477" s="75">
        <f>INPUT!FJ377</f>
        <v>-258</v>
      </c>
      <c r="ED477" s="155">
        <f>INPUT!FK377</f>
        <v>-15.131578947368425</v>
      </c>
      <c r="EE477" s="75">
        <f>INPUT!FL377</f>
        <v>-265</v>
      </c>
      <c r="EF477" s="155">
        <f>INPUT!FM377</f>
        <v>2.7131782945736518</v>
      </c>
      <c r="EG477" s="75">
        <f>INPUT!FN377</f>
        <v>-339</v>
      </c>
      <c r="EH477" s="155">
        <f>INPUT!FO377</f>
        <v>27.924528301886781</v>
      </c>
      <c r="EI477" s="75">
        <f>INPUT!FP377</f>
        <v>-442</v>
      </c>
      <c r="EJ477" s="240">
        <f>INPUT!FQ377</f>
        <v>30.383480825958685</v>
      </c>
      <c r="EK477" s="75">
        <f>INPUT!FR377</f>
        <v>-367</v>
      </c>
      <c r="EL477" s="240">
        <f>INPUT!FS377</f>
        <v>-16.968325791855193</v>
      </c>
      <c r="EM477" s="75">
        <f>INPUT!FT377</f>
        <v>-421</v>
      </c>
      <c r="EN477" s="240">
        <f>INPUT!FU377</f>
        <v>14.713896457765657</v>
      </c>
      <c r="EO477" s="75">
        <f>INPUT!FV377</f>
        <v>-264</v>
      </c>
      <c r="EP477" s="240">
        <f>INPUT!FW377</f>
        <v>-37.292161520190028</v>
      </c>
      <c r="EQ477" s="75">
        <f>INPUT!FX377</f>
        <v>-214</v>
      </c>
      <c r="ER477" s="240">
        <f>INPUT!FY377</f>
        <v>-18.939393939393938</v>
      </c>
      <c r="ES477" s="75">
        <f>INPUT!FZ377</f>
        <v>-232</v>
      </c>
      <c r="ET477" s="240">
        <f>INPUT!GA377</f>
        <v>8.4112149532710134</v>
      </c>
      <c r="EU477" s="75">
        <f>INPUT!GB377</f>
        <v>-275</v>
      </c>
      <c r="EV477" s="240">
        <f>INPUT!GC377</f>
        <v>18.534482758620683</v>
      </c>
      <c r="EW477" s="75">
        <f>INPUT!GD377</f>
        <v>-378</v>
      </c>
      <c r="EX477" s="240">
        <f>INPUT!GE377</f>
        <v>37.454545454545439</v>
      </c>
      <c r="EY477" s="75">
        <f>INPUT!GF377</f>
        <v>-259</v>
      </c>
      <c r="EZ477" s="240">
        <f>INPUT!GG377</f>
        <v>-31.481481481481481</v>
      </c>
      <c r="FA477" s="75">
        <f>INPUT!GH377</f>
        <v>-321</v>
      </c>
      <c r="FB477" s="240">
        <f>INPUT!GI377</f>
        <v>23.938223938223928</v>
      </c>
      <c r="FC477" s="75">
        <f>INPUT!GJ377</f>
        <v>-280</v>
      </c>
      <c r="FD477" s="240">
        <f>INPUT!GK377</f>
        <v>-12.772585669781932</v>
      </c>
      <c r="FE477" s="75">
        <f>INPUT!GL377</f>
        <v>-328</v>
      </c>
      <c r="FF477" s="240">
        <f>INPUT!GM377</f>
        <v>17.142857142857153</v>
      </c>
      <c r="FG477" s="75">
        <f>INPUT!GN377</f>
        <v>-396</v>
      </c>
      <c r="FH477" s="240">
        <f>INPUT!GO377</f>
        <v>20.731707317073173</v>
      </c>
      <c r="FI477" s="75">
        <f>INPUT!GP377</f>
        <v>-413.62378378378378</v>
      </c>
      <c r="FJ477" s="240">
        <f>INPUT!GQ377</f>
        <v>4.4504504504504467</v>
      </c>
      <c r="FK477" s="75">
        <f>INPUT!GR377</f>
        <v>-430.16873513513514</v>
      </c>
      <c r="FL477" s="240">
        <f>INPUT!GS377</f>
        <v>4</v>
      </c>
      <c r="FM477" s="75">
        <f>INPUT!GT377</f>
        <v>-447.37548454054058</v>
      </c>
      <c r="FN477" s="240">
        <f>INPUT!GU377</f>
        <v>4</v>
      </c>
      <c r="FO477" s="75">
        <f>INPUT!GV377</f>
        <v>-465.27050392216222</v>
      </c>
      <c r="FP477" s="240">
        <f>INPUT!GW377</f>
        <v>4</v>
      </c>
      <c r="FQ477" s="75">
        <f>INPUT!GX377</f>
        <v>-483.88132407904874</v>
      </c>
      <c r="FR477" s="240">
        <f>INPUT!GY377</f>
        <v>4</v>
      </c>
      <c r="FS477" s="240">
        <f>INPUT!GZ377</f>
        <v>4.089934413243701</v>
      </c>
    </row>
    <row r="478" spans="1:175" ht="12.75" hidden="1" customHeight="1" outlineLevel="1" x14ac:dyDescent="0.2">
      <c r="A478" s="70" t="str">
        <f>INPUT!B378</f>
        <v>Total Benefits and Expenses</v>
      </c>
      <c r="B478" s="91">
        <f>INPUT!AA378</f>
        <v>607</v>
      </c>
      <c r="C478" s="155">
        <f>INPUT!AB378</f>
        <v>30.257510729613728</v>
      </c>
      <c r="D478" s="91">
        <f>INPUT!AC378</f>
        <v>580</v>
      </c>
      <c r="E478" s="155">
        <f>INPUT!AD378</f>
        <v>21.085594989561599</v>
      </c>
      <c r="F478" s="91">
        <f>INPUT!AE378</f>
        <v>639</v>
      </c>
      <c r="G478" s="155">
        <f>INPUT!AF378</f>
        <v>18.773234200743502</v>
      </c>
      <c r="H478" s="91">
        <f>INPUT!AG378</f>
        <v>660</v>
      </c>
      <c r="I478" s="155">
        <f>INPUT!AH378</f>
        <v>27.659574468085111</v>
      </c>
      <c r="J478" s="91">
        <f>INPUT!AI378</f>
        <v>723</v>
      </c>
      <c r="K478" s="155">
        <f>INPUT!AJ378</f>
        <v>19.110378912685348</v>
      </c>
      <c r="L478" s="91">
        <f>INPUT!AK378</f>
        <v>670</v>
      </c>
      <c r="M478" s="155">
        <f>INPUT!AL378</f>
        <v>15.517241379310349</v>
      </c>
      <c r="N478" s="91">
        <f>INPUT!AM378</f>
        <v>705</v>
      </c>
      <c r="O478" s="155">
        <f>INPUT!AN378</f>
        <v>10.328638497652577</v>
      </c>
      <c r="P478" s="91">
        <f>INPUT!AO378</f>
        <v>791</v>
      </c>
      <c r="Q478" s="155">
        <f>INPUT!AP378</f>
        <v>19.848484848484844</v>
      </c>
      <c r="R478" s="91">
        <f>INPUT!AQ378</f>
        <v>980</v>
      </c>
      <c r="S478" s="155">
        <f>INPUT!AR378</f>
        <v>35.546334716459199</v>
      </c>
      <c r="T478" s="91">
        <f>INPUT!AS378</f>
        <v>901</v>
      </c>
      <c r="U478" s="155">
        <f>INPUT!AT378</f>
        <v>34.477611940298516</v>
      </c>
      <c r="V478" s="91">
        <f>INPUT!AU378</f>
        <v>874</v>
      </c>
      <c r="W478" s="155">
        <f>INPUT!AV378</f>
        <v>23.971631205673759</v>
      </c>
      <c r="X478" s="91">
        <f>INPUT!AW378</f>
        <v>919</v>
      </c>
      <c r="Y478" s="155">
        <f>INPUT!AX378</f>
        <v>16.182048040455115</v>
      </c>
      <c r="Z478" s="91">
        <f>INPUT!AY378</f>
        <v>989</v>
      </c>
      <c r="AA478" s="155">
        <f>INPUT!AZ378</f>
        <v>0.91836734693877986</v>
      </c>
      <c r="AB478" s="91">
        <f>INPUT!BA378</f>
        <v>975</v>
      </c>
      <c r="AC478" s="155">
        <f>INPUT!BB378</f>
        <v>8.2130965593784708</v>
      </c>
      <c r="AD478" s="91">
        <f>INPUT!BC378</f>
        <v>969</v>
      </c>
      <c r="AE478" s="155">
        <f>INPUT!BD378</f>
        <v>10.869565217391312</v>
      </c>
      <c r="AF478" s="91">
        <f>INPUT!BE378</f>
        <v>1014</v>
      </c>
      <c r="AG478" s="155">
        <f>INPUT!BF378</f>
        <v>10.337323177366713</v>
      </c>
      <c r="AH478" s="91">
        <f>INPUT!BG378</f>
        <v>1090</v>
      </c>
      <c r="AI478" s="240">
        <f>INPUT!BH378</f>
        <v>10.212335692618808</v>
      </c>
      <c r="AJ478" s="91">
        <f>INPUT!BI378</f>
        <v>1055</v>
      </c>
      <c r="AK478" s="240">
        <f>INPUT!BJ378</f>
        <v>8.2051282051282044</v>
      </c>
      <c r="AL478" s="91">
        <f>INPUT!BK378</f>
        <v>1078</v>
      </c>
      <c r="AM478" s="240">
        <f>INPUT!BL378</f>
        <v>11.248710010319911</v>
      </c>
      <c r="AN478" s="91">
        <f>INPUT!BM378</f>
        <v>1171</v>
      </c>
      <c r="AO478" s="240">
        <f>INPUT!BN378</f>
        <v>15.483234714003942</v>
      </c>
      <c r="AP478" s="91">
        <f>INPUT!BO378</f>
        <v>1292</v>
      </c>
      <c r="AQ478" s="240">
        <f>INPUT!BP378</f>
        <v>18.532110091743121</v>
      </c>
      <c r="AR478" s="91">
        <f>INPUT!BQ378</f>
        <v>1203</v>
      </c>
      <c r="AS478" s="240">
        <f>INPUT!BR378</f>
        <v>14.028436018957336</v>
      </c>
      <c r="AT478" s="91">
        <f>INPUT!BS378</f>
        <v>1169</v>
      </c>
      <c r="AU478" s="240">
        <f>INPUT!BT378</f>
        <v>8.4415584415584561</v>
      </c>
      <c r="AV478" s="91">
        <f>INPUT!BU378</f>
        <v>1233</v>
      </c>
      <c r="AW478" s="240">
        <f>INPUT!BV378</f>
        <v>5.2946199829205796</v>
      </c>
      <c r="AX478" s="91">
        <f>INPUT!BW378</f>
        <v>1348</v>
      </c>
      <c r="AY478" s="240">
        <f>INPUT!BX378</f>
        <v>4.3343653250773997</v>
      </c>
      <c r="AZ478" s="91">
        <f>INPUT!BY378</f>
        <v>1224</v>
      </c>
      <c r="BA478" s="240">
        <f>INPUT!BZ378</f>
        <v>1.7456359102244363</v>
      </c>
      <c r="BB478" s="91">
        <f>INPUT!CA378</f>
        <v>1286</v>
      </c>
      <c r="BC478" s="240">
        <f>INPUT!CB378</f>
        <v>10.008554319931577</v>
      </c>
      <c r="BD478" s="91">
        <f>INPUT!CC378</f>
        <v>1364</v>
      </c>
      <c r="BE478" s="240">
        <f>INPUT!CD378</f>
        <v>10.624493106244941</v>
      </c>
      <c r="BF478" s="91">
        <f>INPUT!CE378</f>
        <v>1530</v>
      </c>
      <c r="BG478" s="240">
        <f>INPUT!CF378</f>
        <v>13.501483679525222</v>
      </c>
      <c r="BH478" s="91">
        <f>INPUT!CG378</f>
        <v>1428</v>
      </c>
      <c r="BI478" s="240">
        <f>INPUT!CH378</f>
        <v>16.666666666666671</v>
      </c>
      <c r="BJ478" s="91">
        <f>INPUT!CI378</f>
        <v>1530</v>
      </c>
      <c r="BK478" s="240">
        <f>INPUT!CJ378</f>
        <v>18.973561430793168</v>
      </c>
      <c r="BL478" s="91">
        <f>INPUT!CK378</f>
        <v>1615</v>
      </c>
      <c r="BM478" s="240">
        <f>INPUT!CL378</f>
        <v>18.401759530791793</v>
      </c>
      <c r="BN478" s="91">
        <f>INPUT!CM378</f>
        <v>1797</v>
      </c>
      <c r="BO478" s="240">
        <f>INPUT!CN378</f>
        <v>17.450980392156865</v>
      </c>
      <c r="BP478" s="91">
        <f>INPUT!CO378</f>
        <v>1629</v>
      </c>
      <c r="BQ478" s="240">
        <f>INPUT!CP378</f>
        <v>14.075630252100837</v>
      </c>
      <c r="BR478" s="91">
        <f>INPUT!CQ378</f>
        <v>1745</v>
      </c>
      <c r="BS478" s="240">
        <f>INPUT!CR378</f>
        <v>14.052287581699346</v>
      </c>
      <c r="BT478" s="91">
        <f>INPUT!CS378</f>
        <v>1785</v>
      </c>
      <c r="BU478" s="240">
        <f>INPUT!CT378</f>
        <v>10.526315789473699</v>
      </c>
      <c r="BV478" s="91">
        <f>INPUT!CU378</f>
        <v>1935</v>
      </c>
      <c r="BW478" s="240">
        <f>INPUT!CV378</f>
        <v>7.6794657762938101</v>
      </c>
      <c r="BX478" s="91">
        <f>INPUT!CW378</f>
        <v>1818</v>
      </c>
      <c r="BY478" s="240">
        <f>INPUT!CX378</f>
        <v>11.60220994475138</v>
      </c>
      <c r="BZ478" s="91">
        <f>INPUT!CY378</f>
        <v>1844</v>
      </c>
      <c r="CA478" s="240">
        <f>INPUT!CZ378</f>
        <v>5.6733524355300915</v>
      </c>
      <c r="CB478" s="91">
        <f>INPUT!DA378</f>
        <v>1924</v>
      </c>
      <c r="CC478" s="240">
        <f>INPUT!DB378</f>
        <v>7.7871148459383761</v>
      </c>
      <c r="CD478" s="91">
        <f>INPUT!DC378</f>
        <v>2021</v>
      </c>
      <c r="CE478" s="240">
        <f>INPUT!DD378</f>
        <v>4.4444444444444571</v>
      </c>
      <c r="CF478" s="91">
        <f>INPUT!DE378</f>
        <v>1790</v>
      </c>
      <c r="CG478" s="240">
        <f>INPUT!DF378</f>
        <v>-1.5401540154015407</v>
      </c>
      <c r="CH478" s="91">
        <f>INPUT!DG378</f>
        <v>1749</v>
      </c>
      <c r="CI478" s="240">
        <f>INPUT!DH378</f>
        <v>-5.1518438177874089</v>
      </c>
      <c r="CJ478" s="91">
        <f>INPUT!DI378</f>
        <v>1901</v>
      </c>
      <c r="CK478" s="240">
        <f>INPUT!DJ378</f>
        <v>-1.1954261954261938</v>
      </c>
      <c r="CL478" s="91">
        <f>INPUT!DK378</f>
        <v>2060</v>
      </c>
      <c r="CM478" s="240">
        <f>INPUT!DL378</f>
        <v>1.9297377535873323</v>
      </c>
      <c r="CN478" s="91">
        <f>INPUT!DM378</f>
        <v>1879</v>
      </c>
      <c r="CO478" s="240">
        <f>INPUT!DN378</f>
        <v>4.9720670391061503</v>
      </c>
      <c r="CP478" s="91">
        <f>INPUT!DO378</f>
        <v>1870</v>
      </c>
      <c r="CQ478" s="240">
        <f>INPUT!DP378</f>
        <v>6.9182389937106876</v>
      </c>
      <c r="CR478" s="91">
        <f>INPUT!DQ378</f>
        <v>1869</v>
      </c>
      <c r="CS478" s="240">
        <f>INPUT!DR378</f>
        <v>-1.6833245660178875</v>
      </c>
      <c r="CT478" s="91">
        <f>INPUT!DS378</f>
        <v>2003</v>
      </c>
      <c r="CU478" s="240">
        <f>INPUT!DT378</f>
        <v>-2.7669902912621325</v>
      </c>
      <c r="CV478" s="91">
        <f>INPUT!DU378</f>
        <v>1850</v>
      </c>
      <c r="CW478" s="240">
        <f>INPUT!DV378</f>
        <v>-1.5433741351782828</v>
      </c>
      <c r="CX478" s="91">
        <f>INPUT!DW378</f>
        <v>1852</v>
      </c>
      <c r="CY478" s="240">
        <f>INPUT!DX378</f>
        <v>-0.96256684491979172</v>
      </c>
      <c r="CZ478" s="91">
        <f>INPUT!DY378</f>
        <v>1882</v>
      </c>
      <c r="DA478" s="240">
        <f>INPUT!DZ378</f>
        <v>0.69555912252540963</v>
      </c>
      <c r="DB478" s="91">
        <f>INPUT!EA378</f>
        <v>2149</v>
      </c>
      <c r="DC478" s="240">
        <f>INPUT!EB378</f>
        <v>7.2890664003993919</v>
      </c>
      <c r="DD478" s="91">
        <f>INPUT!EC378</f>
        <v>2074</v>
      </c>
      <c r="DE478" s="240">
        <f>INPUT!ED378</f>
        <v>12.108108108108112</v>
      </c>
      <c r="DF478" s="91">
        <f>INPUT!EE378</f>
        <v>2142</v>
      </c>
      <c r="DG478" s="240">
        <f>INPUT!EF378</f>
        <v>15.658747300215992</v>
      </c>
      <c r="DH478" s="91">
        <f>INPUT!EG378</f>
        <v>2082</v>
      </c>
      <c r="DI478" s="240">
        <f>INPUT!EH378</f>
        <v>10.626992561105197</v>
      </c>
      <c r="DJ478" s="91">
        <f>INPUT!EI378</f>
        <v>2370</v>
      </c>
      <c r="DK478" s="240">
        <f>INPUT!EJ378</f>
        <v>10.283852954862738</v>
      </c>
      <c r="DL478" s="91">
        <f>INPUT!EK378</f>
        <v>2248</v>
      </c>
      <c r="DM478" s="240">
        <f>INPUT!EL378</f>
        <v>8.3895853423336462</v>
      </c>
      <c r="DN478" s="91">
        <f>INPUT!EM378</f>
        <v>2254</v>
      </c>
      <c r="DO478" s="240">
        <f>INPUT!EN378</f>
        <v>5.2287581699346504</v>
      </c>
      <c r="DP478" s="91">
        <f>INPUT!EO378</f>
        <v>2279</v>
      </c>
      <c r="DQ478" s="240">
        <f>INPUT!EP378</f>
        <v>9.4620557156580105</v>
      </c>
      <c r="DR478" s="91">
        <f>INPUT!EQ378</f>
        <v>2467.3341909909914</v>
      </c>
      <c r="DS478" s="240">
        <f>INPUT!ER378</f>
        <v>4.1069278899152408</v>
      </c>
      <c r="DT478" s="91">
        <f>INPUT!ES378</f>
        <v>2288.4043023423419</v>
      </c>
      <c r="DU478" s="240">
        <f>INPUT!ET378</f>
        <v>1.7973444102465237</v>
      </c>
      <c r="DV478" s="91">
        <f>INPUT!EU378</f>
        <v>2353.5918284684685</v>
      </c>
      <c r="DW478" s="240">
        <f>INPUT!EV378</f>
        <v>4.4184484679888385</v>
      </c>
      <c r="DX478" s="91">
        <f>INPUT!EW378</f>
        <v>2382.1130684684686</v>
      </c>
      <c r="DY478" s="240">
        <f>INPUT!EX378</f>
        <v>4.5244874273132325</v>
      </c>
      <c r="DZ478" s="91"/>
      <c r="EA478" s="240"/>
      <c r="EB478" s="155">
        <f>INPUT!FI378</f>
        <v>9.051724137931032</v>
      </c>
      <c r="EC478" s="91">
        <f>INPUT!FJ378</f>
        <v>2000</v>
      </c>
      <c r="ED478" s="155">
        <f>INPUT!FK378</f>
        <v>12.9305477131564</v>
      </c>
      <c r="EE478" s="91">
        <f>INPUT!FL378</f>
        <v>2486</v>
      </c>
      <c r="EF478" s="155">
        <f>INPUT!FM378</f>
        <v>24.300000000000011</v>
      </c>
      <c r="EG478" s="91">
        <f>INPUT!FN378</f>
        <v>2889</v>
      </c>
      <c r="EH478" s="155">
        <f>INPUT!FO378</f>
        <v>16.210780370072399</v>
      </c>
      <c r="EI478" s="91">
        <f>INPUT!FP378</f>
        <v>3674</v>
      </c>
      <c r="EJ478" s="240">
        <f>INPUT!FQ378</f>
        <v>27.172031844929052</v>
      </c>
      <c r="EK478" s="91">
        <f>INPUT!FR378</f>
        <v>3947</v>
      </c>
      <c r="EL478" s="240">
        <f>INPUT!FS378</f>
        <v>7.4305933587370845</v>
      </c>
      <c r="EM478" s="91">
        <f>INPUT!FT378</f>
        <v>4394</v>
      </c>
      <c r="EN478" s="240">
        <f>INPUT!FU378</f>
        <v>11.325057005320488</v>
      </c>
      <c r="EO478" s="91">
        <f>INPUT!FV378</f>
        <v>5015</v>
      </c>
      <c r="EP478" s="240">
        <f>INPUT!FW378</f>
        <v>14.132908511606729</v>
      </c>
      <c r="EQ478" s="91">
        <f>INPUT!FX378</f>
        <v>5334</v>
      </c>
      <c r="ER478" s="240">
        <f>INPUT!FY378</f>
        <v>6.3609172482552196</v>
      </c>
      <c r="ES478" s="91">
        <f>INPUT!FZ378</f>
        <v>6103</v>
      </c>
      <c r="ET478" s="240">
        <f>INPUT!GA378</f>
        <v>14.416947881514815</v>
      </c>
      <c r="EU478" s="91">
        <f>INPUT!GB378</f>
        <v>6956</v>
      </c>
      <c r="EV478" s="240">
        <f>INPUT!GC378</f>
        <v>13.976732754383093</v>
      </c>
      <c r="EW478" s="91">
        <f>INPUT!GD378</f>
        <v>7521</v>
      </c>
      <c r="EX478" s="240">
        <f>INPUT!GE378</f>
        <v>8.1224841863139829</v>
      </c>
      <c r="EY478" s="91">
        <f>INPUT!GF378</f>
        <v>7461</v>
      </c>
      <c r="EZ478" s="240">
        <f>INPUT!GG378</f>
        <v>-0.79776625448742777</v>
      </c>
      <c r="FA478" s="91">
        <f>INPUT!GH378</f>
        <v>7678</v>
      </c>
      <c r="FB478" s="240">
        <f>INPUT!GI378</f>
        <v>2.9084573113523646</v>
      </c>
      <c r="FC478" s="91">
        <f>INPUT!GJ378</f>
        <v>7587</v>
      </c>
      <c r="FD478" s="240">
        <f>INPUT!GK378</f>
        <v>-1.1852044803334252</v>
      </c>
      <c r="FE478" s="91">
        <f>INPUT!GL378</f>
        <v>8447</v>
      </c>
      <c r="FF478" s="240">
        <f>INPUT!GM378</f>
        <v>11.335178594965072</v>
      </c>
      <c r="FG478" s="91">
        <f>INPUT!GN378</f>
        <v>9151</v>
      </c>
      <c r="FH478" s="240">
        <f>INPUT!GO378</f>
        <v>8.3343198768793627</v>
      </c>
      <c r="FI478" s="91">
        <f>INPUT!GP378</f>
        <v>9491.4433902702694</v>
      </c>
      <c r="FJ478" s="240">
        <f>INPUT!GQ378</f>
        <v>3.7202862011831428</v>
      </c>
      <c r="FK478" s="91">
        <f>INPUT!GR378</f>
        <v>9871.7227258810817</v>
      </c>
      <c r="FL478" s="240">
        <f>INPUT!GS378</f>
        <v>4.0065490566022675</v>
      </c>
      <c r="FM478" s="91">
        <f>INPUT!GT378</f>
        <v>10267.281610916325</v>
      </c>
      <c r="FN478" s="240">
        <f>INPUT!GU378</f>
        <v>4.0069894183533989</v>
      </c>
      <c r="FO478" s="91">
        <f>INPUT!GV378</f>
        <v>10678.738748712978</v>
      </c>
      <c r="FP478" s="240">
        <f>INPUT!GW378</f>
        <v>4.0074593586600997</v>
      </c>
      <c r="FQ478" s="91">
        <f>INPUT!GX378</f>
        <v>11106.738418091098</v>
      </c>
      <c r="FR478" s="240">
        <f>INPUT!GY378</f>
        <v>4.0079608598880867</v>
      </c>
      <c r="FS478" s="240">
        <f>INPUT!GZ378</f>
        <v>3.9497855370064894</v>
      </c>
    </row>
    <row r="479" spans="1:175" ht="12.75" hidden="1" customHeight="1" outlineLevel="1" x14ac:dyDescent="0.2">
      <c r="A479" s="246"/>
      <c r="B479" s="511"/>
      <c r="C479" s="487"/>
      <c r="D479" s="511"/>
      <c r="E479" s="487"/>
      <c r="F479" s="511"/>
      <c r="G479" s="487"/>
      <c r="H479" s="511"/>
      <c r="I479" s="487"/>
      <c r="J479" s="511"/>
      <c r="K479" s="487"/>
      <c r="L479" s="511"/>
      <c r="M479" s="487"/>
      <c r="N479" s="511"/>
      <c r="O479" s="487"/>
      <c r="P479" s="511"/>
      <c r="Q479" s="487"/>
      <c r="R479" s="511"/>
      <c r="S479" s="487"/>
      <c r="T479" s="511"/>
      <c r="U479" s="487"/>
      <c r="V479" s="511"/>
      <c r="W479" s="487"/>
      <c r="X479" s="511"/>
      <c r="Y479" s="487"/>
      <c r="Z479" s="511"/>
      <c r="AA479" s="487"/>
      <c r="AB479" s="511"/>
      <c r="AC479" s="487"/>
      <c r="AD479" s="511"/>
      <c r="AE479" s="487"/>
      <c r="AF479" s="511"/>
      <c r="AG479" s="487"/>
      <c r="AH479" s="511"/>
      <c r="AI479" s="486"/>
      <c r="AJ479" s="511"/>
      <c r="AK479" s="486"/>
      <c r="AL479" s="511"/>
      <c r="AM479" s="486"/>
      <c r="AN479" s="511"/>
      <c r="AO479" s="486"/>
      <c r="AP479" s="511"/>
      <c r="AQ479" s="486"/>
      <c r="AR479" s="511"/>
      <c r="AS479" s="486"/>
      <c r="AT479" s="511"/>
      <c r="AU479" s="486"/>
      <c r="AV479" s="511"/>
      <c r="AW479" s="486"/>
      <c r="AX479" s="511"/>
      <c r="AY479" s="486"/>
      <c r="AZ479" s="511"/>
      <c r="BA479" s="486"/>
      <c r="BB479" s="511"/>
      <c r="BC479" s="486"/>
      <c r="BD479" s="511"/>
      <c r="BE479" s="486"/>
      <c r="BF479" s="511"/>
      <c r="BG479" s="486"/>
      <c r="BH479" s="511"/>
      <c r="BI479" s="486"/>
      <c r="BJ479" s="511"/>
      <c r="BK479" s="486"/>
      <c r="BL479" s="511"/>
      <c r="BM479" s="486"/>
      <c r="BN479" s="511"/>
      <c r="BO479" s="486"/>
      <c r="BP479" s="511"/>
      <c r="BQ479" s="486"/>
      <c r="BR479" s="511"/>
      <c r="BS479" s="486"/>
      <c r="BT479" s="511"/>
      <c r="BU479" s="486"/>
      <c r="BV479" s="511"/>
      <c r="BW479" s="486"/>
      <c r="BX479" s="511"/>
      <c r="BY479" s="486"/>
      <c r="BZ479" s="511"/>
      <c r="CA479" s="486"/>
      <c r="CB479" s="511"/>
      <c r="CC479" s="486"/>
      <c r="CD479" s="511"/>
      <c r="CE479" s="486"/>
      <c r="CF479" s="511"/>
      <c r="CG479" s="486"/>
      <c r="CH479" s="511"/>
      <c r="CI479" s="486"/>
      <c r="CJ479" s="511"/>
      <c r="CK479" s="486"/>
      <c r="CL479" s="511"/>
      <c r="CM479" s="486"/>
      <c r="CN479" s="511"/>
      <c r="CO479" s="486"/>
      <c r="CP479" s="511"/>
      <c r="CQ479" s="486"/>
      <c r="CR479" s="511"/>
      <c r="CS479" s="486"/>
      <c r="CT479" s="511"/>
      <c r="CU479" s="486"/>
      <c r="CV479" s="511"/>
      <c r="CW479" s="486"/>
      <c r="CX479" s="511"/>
      <c r="CY479" s="486"/>
      <c r="CZ479" s="511"/>
      <c r="DA479" s="486"/>
      <c r="DB479" s="511"/>
      <c r="DC479" s="486"/>
      <c r="DD479" s="511"/>
      <c r="DE479" s="486"/>
      <c r="DF479" s="511"/>
      <c r="DG479" s="486"/>
      <c r="DH479" s="511"/>
      <c r="DI479" s="486"/>
      <c r="DJ479" s="511"/>
      <c r="DK479" s="486"/>
      <c r="DL479" s="511"/>
      <c r="DM479" s="486"/>
      <c r="DN479" s="511"/>
      <c r="DO479" s="486"/>
      <c r="DP479" s="511"/>
      <c r="DQ479" s="486"/>
      <c r="DR479" s="511"/>
      <c r="DS479" s="486"/>
      <c r="DT479" s="511"/>
      <c r="DU479" s="486"/>
      <c r="DV479" s="511"/>
      <c r="DW479" s="486"/>
      <c r="DX479" s="511"/>
      <c r="DY479" s="486"/>
      <c r="DZ479" s="511"/>
      <c r="EA479" s="486"/>
      <c r="EB479" s="487"/>
      <c r="EC479" s="511"/>
      <c r="ED479" s="487"/>
      <c r="EE479" s="511"/>
      <c r="EF479" s="487"/>
      <c r="EG479" s="511"/>
      <c r="EH479" s="487"/>
      <c r="EI479" s="511"/>
      <c r="EJ479" s="486"/>
      <c r="EK479" s="511"/>
      <c r="EL479" s="486"/>
      <c r="EM479" s="511"/>
      <c r="EN479" s="486"/>
      <c r="EO479" s="511"/>
      <c r="EP479" s="486"/>
      <c r="EQ479" s="511"/>
      <c r="ER479" s="486"/>
      <c r="ES479" s="511"/>
      <c r="ET479" s="486"/>
      <c r="EU479" s="511"/>
      <c r="EV479" s="486"/>
      <c r="EW479" s="511"/>
      <c r="EX479" s="486"/>
      <c r="EY479" s="511"/>
      <c r="EZ479" s="486"/>
      <c r="FA479" s="511"/>
      <c r="FB479" s="486"/>
      <c r="FC479" s="511"/>
      <c r="FD479" s="486"/>
      <c r="FE479" s="511"/>
      <c r="FF479" s="486"/>
      <c r="FG479" s="511"/>
      <c r="FH479" s="486"/>
      <c r="FI479" s="511"/>
      <c r="FJ479" s="486"/>
      <c r="FK479" s="511"/>
      <c r="FL479" s="486"/>
      <c r="FM479" s="511"/>
      <c r="FN479" s="486"/>
      <c r="FO479" s="511"/>
      <c r="FP479" s="486"/>
      <c r="FQ479" s="511"/>
      <c r="FR479" s="486"/>
      <c r="FS479" s="486"/>
    </row>
    <row r="480" spans="1:175" ht="12.75" hidden="1" customHeight="1" outlineLevel="1" x14ac:dyDescent="0.2">
      <c r="A480" s="512" t="s">
        <v>706</v>
      </c>
      <c r="B480" s="506">
        <f>INPUT!AA383</f>
        <v>100</v>
      </c>
      <c r="C480" s="513">
        <f>INPUT!AB383</f>
        <v>0</v>
      </c>
      <c r="D480" s="506">
        <f>INPUT!AC383</f>
        <v>109</v>
      </c>
      <c r="E480" s="513">
        <f>INPUT!AD383</f>
        <v>26.744186046511629</v>
      </c>
      <c r="F480" s="506">
        <f>INPUT!AE383</f>
        <v>111</v>
      </c>
      <c r="G480" s="513">
        <f>INPUT!AF383</f>
        <v>32.142857142857139</v>
      </c>
      <c r="H480" s="506">
        <f>INPUT!AG383</f>
        <v>129</v>
      </c>
      <c r="I480" s="513">
        <f>INPUT!AH383</f>
        <v>18.348623853211009</v>
      </c>
      <c r="J480" s="506">
        <f>INPUT!AI383</f>
        <v>121</v>
      </c>
      <c r="K480" s="513">
        <f>INPUT!AJ383</f>
        <v>21</v>
      </c>
      <c r="L480" s="506">
        <f>INPUT!AK383</f>
        <v>129</v>
      </c>
      <c r="M480" s="513">
        <f>INPUT!AL383</f>
        <v>18.348623853211009</v>
      </c>
      <c r="N480" s="506">
        <f>INPUT!AM383</f>
        <v>139</v>
      </c>
      <c r="O480" s="513">
        <f>INPUT!AN383</f>
        <v>25.22522522522523</v>
      </c>
      <c r="P480" s="506">
        <f>INPUT!AO383</f>
        <v>126</v>
      </c>
      <c r="Q480" s="513">
        <f>INPUT!AP383</f>
        <v>-2.3255813953488484</v>
      </c>
      <c r="R480" s="506">
        <f>INPUT!AQ383</f>
        <v>179</v>
      </c>
      <c r="S480" s="513">
        <f>INPUT!AR383</f>
        <v>47.933884297520649</v>
      </c>
      <c r="T480" s="506">
        <f>INPUT!AS383</f>
        <v>183</v>
      </c>
      <c r="U480" s="513">
        <f>INPUT!AT383</f>
        <v>41.860465116279073</v>
      </c>
      <c r="V480" s="506">
        <f>INPUT!AU383</f>
        <v>217</v>
      </c>
      <c r="W480" s="513">
        <f>INPUT!AV383</f>
        <v>56.115107913669078</v>
      </c>
      <c r="X480" s="506">
        <f>INPUT!AW383</f>
        <v>229</v>
      </c>
      <c r="Y480" s="513">
        <f>INPUT!AX383</f>
        <v>81.746031746031747</v>
      </c>
      <c r="Z480" s="506">
        <f>INPUT!AY383</f>
        <v>230</v>
      </c>
      <c r="AA480" s="513">
        <f>INPUT!AZ383</f>
        <v>28.491620111731862</v>
      </c>
      <c r="AB480" s="506">
        <f>INPUT!BA383</f>
        <v>228</v>
      </c>
      <c r="AC480" s="513">
        <f>INPUT!BB383</f>
        <v>24.590163934426229</v>
      </c>
      <c r="AD480" s="506">
        <f>INPUT!BC383</f>
        <v>247</v>
      </c>
      <c r="AE480" s="513">
        <f>INPUT!BD383</f>
        <v>13.824884792626733</v>
      </c>
      <c r="AF480" s="506">
        <f>INPUT!BE383</f>
        <v>232</v>
      </c>
      <c r="AG480" s="513">
        <f>INPUT!BF383</f>
        <v>1.3100436681222618</v>
      </c>
      <c r="AH480" s="506">
        <f>INPUT!BG383</f>
        <v>269</v>
      </c>
      <c r="AI480" s="507">
        <f>INPUT!BH383</f>
        <v>16.956521739130423</v>
      </c>
      <c r="AJ480" s="506">
        <f>INPUT!BI383</f>
        <v>253</v>
      </c>
      <c r="AK480" s="507">
        <f>INPUT!BJ383</f>
        <v>10.964912280701753</v>
      </c>
      <c r="AL480" s="506">
        <f>INPUT!BK383</f>
        <v>266</v>
      </c>
      <c r="AM480" s="507">
        <f>INPUT!BL383</f>
        <v>7.6923076923076934</v>
      </c>
      <c r="AN480" s="506">
        <f>INPUT!BM383</f>
        <v>232</v>
      </c>
      <c r="AO480" s="507">
        <f>INPUT!BN383</f>
        <v>0</v>
      </c>
      <c r="AP480" s="506">
        <f>INPUT!BO383</f>
        <v>285</v>
      </c>
      <c r="AQ480" s="507">
        <f>INPUT!BP383</f>
        <v>5.9479553903345703</v>
      </c>
      <c r="AR480" s="506">
        <f>INPUT!BQ383</f>
        <v>286</v>
      </c>
      <c r="AS480" s="507">
        <f>INPUT!BR383</f>
        <v>13.043478260869563</v>
      </c>
      <c r="AT480" s="506">
        <f>INPUT!BS383</f>
        <v>293</v>
      </c>
      <c r="AU480" s="507">
        <f>INPUT!BT383</f>
        <v>10.150375939849624</v>
      </c>
      <c r="AV480" s="506">
        <f>INPUT!BU383</f>
        <v>261</v>
      </c>
      <c r="AW480" s="507">
        <f>INPUT!BV383</f>
        <v>12.5</v>
      </c>
      <c r="AX480" s="506">
        <f>INPUT!BW383</f>
        <v>294</v>
      </c>
      <c r="AY480" s="507">
        <f>INPUT!BX383</f>
        <v>3.1578947368421098</v>
      </c>
      <c r="AZ480" s="506">
        <f>INPUT!BY383</f>
        <v>315</v>
      </c>
      <c r="BA480" s="507">
        <f>INPUT!BZ383</f>
        <v>10.139860139860147</v>
      </c>
      <c r="BB480" s="506">
        <f>INPUT!CA383</f>
        <v>310</v>
      </c>
      <c r="BC480" s="507">
        <f>INPUT!CB383</f>
        <v>5.8020477815699678</v>
      </c>
      <c r="BD480" s="506">
        <f>INPUT!CC383</f>
        <v>302</v>
      </c>
      <c r="BE480" s="507">
        <f>INPUT!CD383</f>
        <v>15.708812260536405</v>
      </c>
      <c r="BF480" s="506">
        <f>INPUT!CE383</f>
        <v>298</v>
      </c>
      <c r="BG480" s="507">
        <f>INPUT!CF383</f>
        <v>1.3605442176870781</v>
      </c>
      <c r="BH480" s="506">
        <f>INPUT!CG383</f>
        <v>265</v>
      </c>
      <c r="BI480" s="507">
        <f>INPUT!CH383</f>
        <v>-15.873015873015873</v>
      </c>
      <c r="BJ480" s="506">
        <f>INPUT!CI383</f>
        <v>296</v>
      </c>
      <c r="BK480" s="507">
        <f>INPUT!CJ383</f>
        <v>-4.5161290322580641</v>
      </c>
      <c r="BL480" s="506">
        <f>INPUT!CK383</f>
        <v>290</v>
      </c>
      <c r="BM480" s="507">
        <f>INPUT!CL383</f>
        <v>-3.9735099337748352</v>
      </c>
      <c r="BN480" s="506">
        <f>INPUT!CM383</f>
        <v>300</v>
      </c>
      <c r="BO480" s="507">
        <f>INPUT!CN383</f>
        <v>0.67114093959732202</v>
      </c>
      <c r="BP480" s="506">
        <f>INPUT!CO383</f>
        <v>315</v>
      </c>
      <c r="BQ480" s="507">
        <f>INPUT!CP383</f>
        <v>18.867924528301884</v>
      </c>
      <c r="BR480" s="506">
        <f>INPUT!CQ383</f>
        <v>331</v>
      </c>
      <c r="BS480" s="507">
        <f>INPUT!CR383</f>
        <v>11.824324324324323</v>
      </c>
      <c r="BT480" s="506">
        <f>INPUT!CS383</f>
        <v>300</v>
      </c>
      <c r="BU480" s="507">
        <f>INPUT!CT383</f>
        <v>3.448275862068968</v>
      </c>
      <c r="BV480" s="506">
        <f>INPUT!CU383</f>
        <v>382</v>
      </c>
      <c r="BW480" s="507">
        <f>INPUT!CV383</f>
        <v>27.333333333333343</v>
      </c>
      <c r="BX480" s="506">
        <f>INPUT!CW383</f>
        <v>374</v>
      </c>
      <c r="BY480" s="507">
        <f>INPUT!CX383</f>
        <v>18.730158730158735</v>
      </c>
      <c r="BZ480" s="506">
        <f>INPUT!CY383</f>
        <v>393</v>
      </c>
      <c r="CA480" s="507">
        <f>INPUT!CZ383</f>
        <v>18.731117824773406</v>
      </c>
      <c r="CB480" s="506">
        <f>INPUT!DA383</f>
        <v>332</v>
      </c>
      <c r="CC480" s="507">
        <f>INPUT!DB383</f>
        <v>10.666666666666671</v>
      </c>
      <c r="CD480" s="506">
        <f>INPUT!DC383</f>
        <v>422</v>
      </c>
      <c r="CE480" s="507">
        <f>INPUT!DD383</f>
        <v>10.471204188481693</v>
      </c>
      <c r="CF480" s="506">
        <f>INPUT!DE383</f>
        <v>368</v>
      </c>
      <c r="CG480" s="507">
        <f>INPUT!DF383</f>
        <v>-1.6042780748663006</v>
      </c>
      <c r="CH480" s="506">
        <f>INPUT!DG383</f>
        <v>424</v>
      </c>
      <c r="CI480" s="507">
        <f>INPUT!DH383</f>
        <v>7.8880407124681966</v>
      </c>
      <c r="CJ480" s="506">
        <f>INPUT!DI383</f>
        <v>303</v>
      </c>
      <c r="CK480" s="507">
        <f>INPUT!DJ383</f>
        <v>-8.7349397590361377</v>
      </c>
      <c r="CL480" s="506">
        <f>INPUT!DK383</f>
        <v>419</v>
      </c>
      <c r="CM480" s="507">
        <f>INPUT!DL383</f>
        <v>-0.71090047393364841</v>
      </c>
      <c r="CN480" s="506">
        <f>INPUT!DM383</f>
        <v>382</v>
      </c>
      <c r="CO480" s="507">
        <f>INPUT!DN383</f>
        <v>3.8043478260869676</v>
      </c>
      <c r="CP480" s="506">
        <f>INPUT!DO383</f>
        <v>414</v>
      </c>
      <c r="CQ480" s="507">
        <f>INPUT!DP383</f>
        <v>-2.3584905660377444</v>
      </c>
      <c r="CR480" s="506">
        <f>INPUT!DQ383</f>
        <v>374</v>
      </c>
      <c r="CS480" s="507">
        <f>INPUT!DR383</f>
        <v>23.43234323432344</v>
      </c>
      <c r="CT480" s="506">
        <f>INPUT!DS383</f>
        <v>439</v>
      </c>
      <c r="CU480" s="507">
        <f>INPUT!DT383</f>
        <v>4.7732696897374751</v>
      </c>
      <c r="CV480" s="506">
        <f>INPUT!DU383</f>
        <v>381</v>
      </c>
      <c r="CW480" s="507">
        <f>INPUT!DV383</f>
        <v>-0.26178010471204516</v>
      </c>
      <c r="CX480" s="506">
        <f>INPUT!DW383</f>
        <v>398</v>
      </c>
      <c r="CY480" s="507">
        <f>INPUT!DX383</f>
        <v>-3.864734299516897</v>
      </c>
      <c r="CZ480" s="506">
        <f>INPUT!DY383</f>
        <v>367</v>
      </c>
      <c r="DA480" s="507">
        <f>INPUT!DZ383</f>
        <v>-1.8716577540106982</v>
      </c>
      <c r="DB480" s="506">
        <f>INPUT!EA383</f>
        <v>410</v>
      </c>
      <c r="DC480" s="507">
        <f>INPUT!EB383</f>
        <v>-6.6059225512528457</v>
      </c>
      <c r="DD480" s="506">
        <f>INPUT!EC383</f>
        <v>343</v>
      </c>
      <c r="DE480" s="507">
        <f>INPUT!ED383</f>
        <v>-9.9737532808398868</v>
      </c>
      <c r="DF480" s="506">
        <f>INPUT!EE383</f>
        <v>391</v>
      </c>
      <c r="DG480" s="507">
        <f>INPUT!EF383</f>
        <v>-1.7587939698492505</v>
      </c>
      <c r="DH480" s="506">
        <f>INPUT!EG383</f>
        <v>395</v>
      </c>
      <c r="DI480" s="507">
        <f>INPUT!EH383</f>
        <v>7.6294277929155356</v>
      </c>
      <c r="DJ480" s="506">
        <f>INPUT!EI383</f>
        <v>408</v>
      </c>
      <c r="DK480" s="507">
        <f>INPUT!EJ383</f>
        <v>-0.48780487804877737</v>
      </c>
      <c r="DL480" s="506">
        <f>INPUT!EK383</f>
        <v>329</v>
      </c>
      <c r="DM480" s="507">
        <f>INPUT!EL383</f>
        <v>-4.0816326530612344</v>
      </c>
      <c r="DN480" s="506">
        <f>INPUT!EM383</f>
        <v>373</v>
      </c>
      <c r="DO480" s="507">
        <f>INPUT!EN383</f>
        <v>-4.6035805626598432</v>
      </c>
      <c r="DP480" s="506">
        <f>INPUT!EO383</f>
        <v>383</v>
      </c>
      <c r="DQ480" s="507">
        <f>INPUT!EP383</f>
        <v>-3.0379746835443058</v>
      </c>
      <c r="DR480" s="506">
        <f>INPUT!EQ383</f>
        <v>434.29932252252229</v>
      </c>
      <c r="DS480" s="507">
        <f>INPUT!ER383</f>
        <v>6.4459123829711444</v>
      </c>
      <c r="DT480" s="506">
        <f>INPUT!ES383</f>
        <v>403.28380576576592</v>
      </c>
      <c r="DU480" s="507">
        <f>INPUT!ET383</f>
        <v>22.578664366494209</v>
      </c>
      <c r="DV480" s="506">
        <f>INPUT!EU383</f>
        <v>390.32150486486489</v>
      </c>
      <c r="DW480" s="507">
        <f>INPUT!EV383</f>
        <v>4.643835084414178</v>
      </c>
      <c r="DX480" s="506">
        <f>INPUT!EW383</f>
        <v>398.35792252252259</v>
      </c>
      <c r="DY480" s="507">
        <f>INPUT!EX383</f>
        <v>4.0099014419119072</v>
      </c>
      <c r="DZ480" s="506"/>
      <c r="EA480" s="507"/>
      <c r="EB480" s="513">
        <f>INPUT!FI383</f>
        <v>17.905405405405389</v>
      </c>
      <c r="EC480" s="506">
        <f>INPUT!FJ383</f>
        <v>379</v>
      </c>
      <c r="ED480" s="513">
        <f>INPUT!FK383</f>
        <v>8.5959885386819508</v>
      </c>
      <c r="EE480" s="506">
        <f>INPUT!FL383</f>
        <v>449</v>
      </c>
      <c r="EF480" s="513">
        <f>INPUT!FM383</f>
        <v>18.469656992084424</v>
      </c>
      <c r="EG480" s="506">
        <f>INPUT!FN383</f>
        <v>515</v>
      </c>
      <c r="EH480" s="513">
        <f>INPUT!FO383</f>
        <v>14.699331848552347</v>
      </c>
      <c r="EI480" s="506">
        <f>INPUT!FP383</f>
        <v>808</v>
      </c>
      <c r="EJ480" s="507">
        <f>INPUT!FQ383</f>
        <v>56.893203883495147</v>
      </c>
      <c r="EK480" s="506">
        <f>INPUT!FR383</f>
        <v>937</v>
      </c>
      <c r="EL480" s="507">
        <f>INPUT!FS383</f>
        <v>15.965346534653463</v>
      </c>
      <c r="EM480" s="506">
        <f>INPUT!FT383</f>
        <v>1020</v>
      </c>
      <c r="EN480" s="507">
        <f>INPUT!FU383</f>
        <v>8.858057630736397</v>
      </c>
      <c r="EO480" s="506">
        <f>INPUT!FV383</f>
        <v>998</v>
      </c>
      <c r="EP480" s="507">
        <f>INPUT!FW383</f>
        <v>-2.1568627450980387</v>
      </c>
      <c r="EQ480" s="506">
        <f>INPUT!FX383</f>
        <v>1059</v>
      </c>
      <c r="ER480" s="507">
        <f>INPUT!FY383</f>
        <v>6.1122244488977913</v>
      </c>
      <c r="ES480" s="506">
        <f>INPUT!FZ383</f>
        <v>1149</v>
      </c>
      <c r="ET480" s="507">
        <f>INPUT!GA383</f>
        <v>8.4985835694050991</v>
      </c>
      <c r="EU480" s="506">
        <f>INPUT!GB383</f>
        <v>1246</v>
      </c>
      <c r="EV480" s="507">
        <f>INPUT!GC383</f>
        <v>8.4421235857267192</v>
      </c>
      <c r="EW480" s="506">
        <f>INPUT!GD383</f>
        <v>1481</v>
      </c>
      <c r="EX480" s="507">
        <f>INPUT!GE383</f>
        <v>18.860353130016065</v>
      </c>
      <c r="EY480" s="506">
        <f>INPUT!GF383</f>
        <v>1517</v>
      </c>
      <c r="EZ480" s="507">
        <f>INPUT!GG383</f>
        <v>2.4307900067521899</v>
      </c>
      <c r="FA480" s="506">
        <f>INPUT!GH383</f>
        <v>1589</v>
      </c>
      <c r="FB480" s="507">
        <f>INPUT!GI383</f>
        <v>4.7462096242583982</v>
      </c>
      <c r="FC480" s="506">
        <f>INPUT!GJ383</f>
        <v>1585</v>
      </c>
      <c r="FD480" s="507">
        <f>INPUT!GK383</f>
        <v>-0.25173064820641855</v>
      </c>
      <c r="FE480" s="506">
        <f>INPUT!GL383</f>
        <v>1539</v>
      </c>
      <c r="FF480" s="507">
        <f>INPUT!GM383</f>
        <v>-2.9022082018927478</v>
      </c>
      <c r="FG480" s="506">
        <f>INPUT!GN383</f>
        <v>1493</v>
      </c>
      <c r="FH480" s="507">
        <f>INPUT!GO383</f>
        <v>-2.9889538661468436</v>
      </c>
      <c r="FI480" s="506">
        <f>INPUT!GP383</f>
        <v>1626.2625556756757</v>
      </c>
      <c r="FJ480" s="507">
        <f>INPUT!GQ383</f>
        <v>8.9258242247606034</v>
      </c>
      <c r="FK480" s="506">
        <f>INPUT!GR383</f>
        <v>1690.6914579027016</v>
      </c>
      <c r="FL480" s="507">
        <f>INPUT!GS383</f>
        <v>3.9617773896452491</v>
      </c>
      <c r="FM480" s="506">
        <f>INPUT!GT383</f>
        <v>1757.6291402188108</v>
      </c>
      <c r="FN480" s="507">
        <f>INPUT!GU383</f>
        <v>3.9591897151444471</v>
      </c>
      <c r="FO480" s="506">
        <f>INPUT!GV383</f>
        <v>1827.1684324675607</v>
      </c>
      <c r="FP480" s="507">
        <f>INPUT!GW383</f>
        <v>3.95642577023348</v>
      </c>
      <c r="FQ480" s="506">
        <f>INPUT!GX383</f>
        <v>1899.4050503366652</v>
      </c>
      <c r="FR480" s="507">
        <f>INPUT!GY383</f>
        <v>3.9534733955287322</v>
      </c>
      <c r="FS480" s="507">
        <f>INPUT!GZ383</f>
        <v>4.93287116057326</v>
      </c>
    </row>
    <row r="481" spans="1:176" ht="12.75" hidden="1" customHeight="1" outlineLevel="2" x14ac:dyDescent="0.2">
      <c r="A481" s="471" t="s">
        <v>683</v>
      </c>
      <c r="B481" s="472">
        <f>(B465+B466+B468+B469-B473-B474-B475-B476-B477)-B480</f>
        <v>0</v>
      </c>
      <c r="C481" s="473"/>
      <c r="D481" s="472">
        <f>(D465+D466+D468+D469-D473-D474-D475-D476-D477)-D480</f>
        <v>0</v>
      </c>
      <c r="E481" s="473"/>
      <c r="F481" s="472">
        <f>(F465+F466+F468+F469-F473-F474-F475-F476-F477)-F480</f>
        <v>0</v>
      </c>
      <c r="G481" s="473"/>
      <c r="H481" s="472">
        <f>(H465+H466+H468+H469-H473-H474-H475-H476-H477)-H480</f>
        <v>0</v>
      </c>
      <c r="I481" s="473"/>
      <c r="J481" s="472">
        <f>(J465+J466+J468+J469-J473-J474-J475-J476-J477)-J480</f>
        <v>0</v>
      </c>
      <c r="K481" s="473"/>
      <c r="L481" s="472">
        <f>(L465+L466+L468+L469-L473-L474-L475-L476-L477)-L480</f>
        <v>0</v>
      </c>
      <c r="M481" s="473"/>
      <c r="N481" s="472">
        <f>(N465+N466+N468+N469-N473-N474-N475-N476-N477)-N480</f>
        <v>0</v>
      </c>
      <c r="O481" s="473"/>
      <c r="P481" s="472">
        <f>(P465+P466+P468+P469-P473-P474-P475-P476-P477)-P480</f>
        <v>0</v>
      </c>
      <c r="Q481" s="473"/>
      <c r="R481" s="472">
        <f>(R465+R466+R468+R469-R473-R474-R475-R476-R477)-R480</f>
        <v>0</v>
      </c>
      <c r="S481" s="473"/>
      <c r="T481" s="472">
        <f>(T465+T466+T468+T469-T473-T474-T475-T476-T477)-T480</f>
        <v>0</v>
      </c>
      <c r="U481" s="473"/>
      <c r="V481" s="472">
        <f>(V465+V466+V468+V469-V473-V474-V475-V476-V477)-V480</f>
        <v>0</v>
      </c>
      <c r="W481" s="473"/>
      <c r="X481" s="472">
        <f>(X465+X466+X468+X469-X473-X474-X475-X476-X477)-X480</f>
        <v>0</v>
      </c>
      <c r="Y481" s="473"/>
      <c r="Z481" s="472">
        <f>(Z465+Z466+Z468+Z469-Z473-Z474-Z475-Z476-Z477)-Z480</f>
        <v>0</v>
      </c>
      <c r="AA481" s="473"/>
      <c r="AB481" s="472">
        <f>(AB465+AB466+AB468+AB469-AB473-AB474-AB475-AB476-AB477)-AB480</f>
        <v>0</v>
      </c>
      <c r="AC481" s="473"/>
      <c r="AD481" s="472">
        <f>(AD465+AD466+AD468+AD469-AD473-AD474-AD475-AD476-AD477)-AD480</f>
        <v>0</v>
      </c>
      <c r="AE481" s="473"/>
      <c r="AF481" s="472">
        <f>(AF465+AF466+AF468+AF469-AF473-AF474-AF475-AF476-AF477)-AF480</f>
        <v>0</v>
      </c>
      <c r="AG481" s="473"/>
      <c r="AH481" s="472">
        <f>(AH465+AH466+AH468+AH469-AH473-AH474-AH475-AH476-AH477)-AH480</f>
        <v>0</v>
      </c>
      <c r="AI481" s="473"/>
      <c r="AJ481" s="472">
        <f>(AJ465+AJ466+AJ468+AJ469-AJ473-AJ474-AJ475-AJ476-AJ477)-AJ480</f>
        <v>0</v>
      </c>
      <c r="AK481" s="473"/>
      <c r="AL481" s="472">
        <f>(AL465+AL466+AL468+AL469-AL473-AL474-AL475-AL476-AL477)-AL480</f>
        <v>0</v>
      </c>
      <c r="AM481" s="473"/>
      <c r="AN481" s="472">
        <f>(AN465+AN466+AN468+AN469-AN473-AN474-AN475-AN476-AN477)-AN480</f>
        <v>0</v>
      </c>
      <c r="AO481" s="473"/>
      <c r="AP481" s="472">
        <f>(AP465+AP466+AP468+AP469-AP473-AP474-AP475-AP476-AP477)-AP480</f>
        <v>0</v>
      </c>
      <c r="AQ481" s="473"/>
      <c r="AR481" s="472">
        <f>(AR465+AR466+AR468+AR469-AR473-AR474-AR475-AR476-AR477)-AR480</f>
        <v>0</v>
      </c>
      <c r="AS481" s="473"/>
      <c r="AT481" s="472">
        <f>(AT465+AT466+AT468+AT469-AT473-AT474-AT475-AT476-AT477)-AT480</f>
        <v>0</v>
      </c>
      <c r="AU481" s="473"/>
      <c r="AV481" s="472">
        <f>(AV465+AV466+AV468+AV469-AV473-AV474-AV475-AV476-AV477)-AV480</f>
        <v>0</v>
      </c>
      <c r="AW481" s="473"/>
      <c r="AX481" s="472">
        <f>(AX465+AX466+AX468+AX469-AX473-AX474-AX475-AX476-AX477)-AX480</f>
        <v>0</v>
      </c>
      <c r="AY481" s="473"/>
      <c r="AZ481" s="472">
        <f>(AZ465+AZ466+AZ468+AZ469-AZ473-AZ474-AZ475-AZ476-AZ477)-AZ480</f>
        <v>0</v>
      </c>
      <c r="BA481" s="473"/>
      <c r="BB481" s="472">
        <f>(BB465+BB466+BB468+BB469-BB473-BB474-BB475-BB476-BB477)-BB480</f>
        <v>0</v>
      </c>
      <c r="BC481" s="473"/>
      <c r="BD481" s="472">
        <f>(BD465+BD466+BD468+BD469-BD473-BD474-BD475-BD476-BD477)-BD480</f>
        <v>0</v>
      </c>
      <c r="BE481" s="473"/>
      <c r="BF481" s="472">
        <f>(BF465+BF466+BF468+BF469-BF473-BF474-BF475-BF476-BF477)-BF480</f>
        <v>0</v>
      </c>
      <c r="BG481" s="473"/>
      <c r="BH481" s="472">
        <f>(BH465+BH466+BH468+BH469-BH473-BH474-BH475-BH476-BH477)-BH480</f>
        <v>0</v>
      </c>
      <c r="BI481" s="473"/>
      <c r="BJ481" s="472">
        <f>(BJ465+BJ466+BJ468+BJ469-BJ473-BJ474-BJ475-BJ476-BJ477)-BJ480</f>
        <v>0</v>
      </c>
      <c r="BK481" s="473"/>
      <c r="BL481" s="472">
        <f>(BL465+BL466+BL468+BL469-BL473-BL474-BL475-BL476-BL477)-BL480</f>
        <v>0</v>
      </c>
      <c r="BM481" s="473"/>
      <c r="BN481" s="472">
        <f>(BN465+BN466+BN468+BN469-BN473-BN474-BN475-BN476-BN477)-BN480</f>
        <v>0</v>
      </c>
      <c r="BO481" s="473"/>
      <c r="BP481" s="472">
        <f>(BP465+BP466+BP468+BP469-BP473-BP474-BP475-BP476-BP477)-BP480</f>
        <v>0</v>
      </c>
      <c r="BQ481" s="473"/>
      <c r="BR481" s="472">
        <f>(BR465+BR466+BR468+BR469-BR473-BR474-BR475-BR476-BR477)-BR480</f>
        <v>0</v>
      </c>
      <c r="BS481" s="473"/>
      <c r="BT481" s="472">
        <f>(BT465+BT466+BT468+BT469-BT473-BT474-BT475-BT476-BT477)-BT480</f>
        <v>0</v>
      </c>
      <c r="BU481" s="473"/>
      <c r="BV481" s="472">
        <f>(BV465+BV466+BV468+BV469-BV473-BV474-BV475-BV476-BV477)-BV480</f>
        <v>0</v>
      </c>
      <c r="BW481" s="473"/>
      <c r="BX481" s="472">
        <f>(BX465+BX466+BX468+BX469-BX473-BX474-BX475-BX476-BX477)-BX480</f>
        <v>0</v>
      </c>
      <c r="BY481" s="473"/>
      <c r="BZ481" s="472">
        <f>(BZ465+BZ466+BZ468+BZ469-BZ473-BZ474-BZ475-BZ476-BZ477)-BZ480</f>
        <v>0</v>
      </c>
      <c r="CA481" s="473"/>
      <c r="CB481" s="472">
        <f>(CB465+CB466+CB468+CB469-CB473-CB474-CB475-CB476-CB477)-CB480</f>
        <v>0</v>
      </c>
      <c r="CC481" s="473"/>
      <c r="CD481" s="472">
        <f>(CD465+CD466+CD468+CD469-CD473-CD474-CD475-CD476-CD477)-CD480</f>
        <v>0</v>
      </c>
      <c r="CE481" s="473"/>
      <c r="CF481" s="472">
        <f>(CF465+CF466+CF468+CF469-CF473-CF474-CF475-CF476-CF477)-CF480</f>
        <v>0</v>
      </c>
      <c r="CG481" s="473"/>
      <c r="CH481" s="472">
        <f>(CH465+CH466+CH468+CH469-CH473-CH474-CH475-CH476-CH477)-CH480</f>
        <v>0</v>
      </c>
      <c r="CI481" s="473"/>
      <c r="CJ481" s="472">
        <f>(CJ465+CJ466+CJ468+CJ469-CJ473-CJ474-CJ475-CJ476-CJ477)-CJ480</f>
        <v>0</v>
      </c>
      <c r="CK481" s="473"/>
      <c r="CL481" s="472">
        <f>(CL465+CL466+CL468+CL469-CL473-CL474-CL475-CL476-CL477)-CL480</f>
        <v>0</v>
      </c>
      <c r="CM481" s="473"/>
      <c r="CN481" s="472">
        <f>(CN465+CN466+CN468+CN469-CN473-CN474-CN475-CN476-CN477)-CN480</f>
        <v>0</v>
      </c>
      <c r="CO481" s="473"/>
      <c r="CP481" s="472">
        <f>(CP465+CP466+CP468+CP469-CP473-CP474-CP475-CP476-CP477)-CP480</f>
        <v>0</v>
      </c>
      <c r="CQ481" s="473"/>
      <c r="CR481" s="472">
        <f>(CR465+CR466+CR468+CR469-CR473-CR474-CR475-CR476-CR477)-CR480</f>
        <v>0</v>
      </c>
      <c r="CS481" s="473"/>
      <c r="CT481" s="472">
        <f>(CT465+CT466+CT468+CT469-CT473-CT474-CT475-CT476-CT477)-CT480</f>
        <v>0</v>
      </c>
      <c r="CU481" s="473"/>
      <c r="CV481" s="472">
        <f>(CV465+CV466+CV468+CV469-CV473-CV474-CV475-CV476-CV477)-CV480</f>
        <v>0</v>
      </c>
      <c r="CW481" s="473"/>
      <c r="CX481" s="472">
        <f>(CX465+CX466+CX468+CX469-CX473-CX474-CX475-CX476-CX477)-CX480</f>
        <v>0</v>
      </c>
      <c r="CY481" s="473"/>
      <c r="CZ481" s="472">
        <f>(CZ465+CZ466+CZ468+CZ469-CZ473-CZ474-CZ475-CZ476-CZ477)-CZ480</f>
        <v>0</v>
      </c>
      <c r="DA481" s="473"/>
      <c r="DB481" s="472">
        <f>(DB465+DB466+DB468+DB469-DB473-DB474-DB475-DB476-DB477)-DB480</f>
        <v>0</v>
      </c>
      <c r="DC481" s="473"/>
      <c r="DD481" s="472">
        <f>(DD465+DD466+DD468+DD469-DD473-DD474-DD475-DD476-DD477)-DD480</f>
        <v>0</v>
      </c>
      <c r="DE481" s="473"/>
      <c r="DF481" s="472">
        <f>(DF465+DF466+DF468+DF469-DF473-DF474-DF475-DF476-DF477)-DF480</f>
        <v>0</v>
      </c>
      <c r="DG481" s="473"/>
      <c r="DH481" s="472">
        <f>(DH465+DH466+DH468+DH469-DH473-DH474-DH475-DH476-DH477)-DH480</f>
        <v>0</v>
      </c>
      <c r="DI481" s="473"/>
      <c r="DJ481" s="472">
        <f>(DJ465+DJ466+DJ468+DJ469-DJ473-DJ474-DJ475-DJ476-DJ477)-DJ480</f>
        <v>0</v>
      </c>
      <c r="DK481" s="473"/>
      <c r="DL481" s="472">
        <f>(DL465+DL466+DL468+DL469-DL473-DL474-DL475-DL476-DL477)-DL480</f>
        <v>0</v>
      </c>
      <c r="DM481" s="473"/>
      <c r="DN481" s="472">
        <f>(DN465+DN466+DN468+DN469-DN473-DN474-DN475-DN476-DN477)-DN480</f>
        <v>0</v>
      </c>
      <c r="DO481" s="473"/>
      <c r="DP481" s="472">
        <f>(DP465+DP466+DP468+DP469-DP473-DP474-DP475-DP476-DP477)-DP480</f>
        <v>0</v>
      </c>
      <c r="DQ481" s="473"/>
      <c r="DR481" s="472">
        <f>(DR465+DR466+DR468+DR469-DR473-DR474-DR475-DR476-DR477)-DR480</f>
        <v>0</v>
      </c>
      <c r="DS481" s="473"/>
      <c r="DT481" s="472">
        <f>(DT465+DT466+DT468+DT469-DT473-DT474-DT475-DT476-DT477)-DT480</f>
        <v>0</v>
      </c>
      <c r="DU481" s="473"/>
      <c r="DV481" s="472">
        <f>(DV465+DV466+DV468+DV469-DV473-DV474-DV475-DV476-DV477)-DV480</f>
        <v>0</v>
      </c>
      <c r="DW481" s="473"/>
      <c r="DX481" s="472">
        <f>(DX465+DX466+DX468+DX469-DX473-DX474-DX475-DX476-DX477)-DX480</f>
        <v>0</v>
      </c>
      <c r="DY481" s="473"/>
      <c r="DZ481" s="472"/>
      <c r="EA481" s="473"/>
      <c r="EB481" s="473"/>
      <c r="EC481" s="472">
        <f>(EC465+EC466+EC468+EC469-EC473-EC474-EC475-EC476-EC477)-EC480</f>
        <v>0</v>
      </c>
      <c r="ED481" s="473"/>
      <c r="EE481" s="472">
        <f>(EE465+EE466+EE468+EE469-EE473-EE474-EE475-EE476-EE477)-EE480</f>
        <v>0</v>
      </c>
      <c r="EF481" s="473"/>
      <c r="EG481" s="472">
        <f>(EG465+EG466+EG468+EG469-EG473-EG474-EG475-EG476-EG477)-EG480</f>
        <v>0</v>
      </c>
      <c r="EH481" s="473"/>
      <c r="EI481" s="472">
        <f>(EI465+EI466+EI468+EI469-EI473-EI474-EI475-EI476-EI477)-EI480</f>
        <v>0</v>
      </c>
      <c r="EJ481" s="473"/>
      <c r="EK481" s="472">
        <f>(EK465+EK466+EK468+EK469-EK473-EK474-EK475-EK476-EK477)-EK480</f>
        <v>0</v>
      </c>
      <c r="EL481" s="473"/>
      <c r="EM481" s="472">
        <f>(EM465+EM466+EM468+EM469-EM473-EM474-EM475-EM476-EM477)-EM480</f>
        <v>0</v>
      </c>
      <c r="EN481" s="473"/>
      <c r="EO481" s="472">
        <f>(EO465+EO466+EO468+EO469-EO473-EO474-EO475-EO476-EO477)-EO480</f>
        <v>0</v>
      </c>
      <c r="EP481" s="473"/>
      <c r="EQ481" s="472">
        <f>(EQ465+EQ466+EQ468+EQ469-EQ473-EQ474-EQ475-EQ476-EQ477)-EQ480</f>
        <v>0</v>
      </c>
      <c r="ER481" s="473"/>
      <c r="ES481" s="472">
        <f>(ES465+ES466+ES468+ES469-ES473-ES474-ES475-ES476-ES477)-ES480</f>
        <v>0</v>
      </c>
      <c r="ET481" s="473"/>
      <c r="EU481" s="472">
        <f>(EU465+EU466+EU468+EU469-EU473-EU474-EU475-EU476-EU477)-EU480</f>
        <v>0</v>
      </c>
      <c r="EV481" s="473"/>
      <c r="EW481" s="472">
        <f>(EW465+EW466+EW468+EW469-EW473-EW474-EW475-EW476-EW477)-EW480</f>
        <v>0</v>
      </c>
      <c r="EX481" s="473"/>
      <c r="EY481" s="472">
        <f>(EY465+EY466+EY468+EY469-EY473-EY474-EY475-EY476-EY477)-EY480</f>
        <v>0</v>
      </c>
      <c r="EZ481" s="473"/>
      <c r="FA481" s="472">
        <f>(FA465+FA466+FA468+FA469-FA473-FA474-FA475-FA476-FA477)-FA480</f>
        <v>0</v>
      </c>
      <c r="FB481" s="473"/>
      <c r="FC481" s="472">
        <f>(FC465+FC466+FC468+FC469-FC473-FC474-FC475-FC476-FC477)-FC480</f>
        <v>0</v>
      </c>
      <c r="FD481" s="473"/>
      <c r="FE481" s="472">
        <f>(FE465+FE466+FE468+FE469-FE473-FE474-FE475-FE476-FE477)-FE480</f>
        <v>0</v>
      </c>
      <c r="FF481" s="473"/>
      <c r="FG481" s="472">
        <f>(FG465+FG466+FG468+FG469-FG473-FG474-FG475-FG476-FG477)-FG480</f>
        <v>0</v>
      </c>
      <c r="FH481" s="473"/>
      <c r="FI481" s="472">
        <f>(FI465+FI466+FI468+FI469-FI473-FI474-FI475-FI476-FI477)-FI480</f>
        <v>0</v>
      </c>
      <c r="FJ481" s="473"/>
      <c r="FK481" s="472">
        <f>(FK465+FK466+FK468+FK469-FK473-FK474-FK475-FK476-FK477)-FK480</f>
        <v>0</v>
      </c>
      <c r="FL481" s="473"/>
      <c r="FM481" s="472">
        <f>(FM465+FM466+FM468+FM469-FM473-FM474-FM475-FM476-FM477)-FM480</f>
        <v>0</v>
      </c>
      <c r="FN481" s="473"/>
      <c r="FO481" s="472">
        <f>(FO465+FO466+FO468+FO469-FO473-FO474-FO475-FO476-FO477)-FO480</f>
        <v>0</v>
      </c>
      <c r="FP481" s="473"/>
      <c r="FQ481" s="472">
        <f>(FQ465+FQ466+FQ468+FQ469-FQ473-FQ474-FQ475-FQ476-FQ477)-FQ480</f>
        <v>-1.8189894035458565E-12</v>
      </c>
      <c r="FR481" s="473"/>
      <c r="FS481" s="474"/>
      <c r="FT481" s="351"/>
    </row>
    <row r="482" spans="1:176" ht="12.75" hidden="1" customHeight="1" outlineLevel="1" collapsed="1" x14ac:dyDescent="0.2">
      <c r="A482" s="76"/>
      <c r="B482" s="511"/>
      <c r="C482" s="487"/>
      <c r="D482" s="511"/>
      <c r="E482" s="487"/>
      <c r="F482" s="511"/>
      <c r="G482" s="487"/>
      <c r="H482" s="511"/>
      <c r="I482" s="487"/>
      <c r="J482" s="511"/>
      <c r="K482" s="487"/>
      <c r="L482" s="511"/>
      <c r="M482" s="487"/>
      <c r="N482" s="511"/>
      <c r="O482" s="487"/>
      <c r="P482" s="511"/>
      <c r="Q482" s="487"/>
      <c r="R482" s="511"/>
      <c r="S482" s="487"/>
      <c r="T482" s="511"/>
      <c r="U482" s="487"/>
      <c r="V482" s="511"/>
      <c r="W482" s="487"/>
      <c r="X482" s="511"/>
      <c r="Y482" s="487"/>
      <c r="Z482" s="511"/>
      <c r="AA482" s="487"/>
      <c r="AB482" s="511"/>
      <c r="AC482" s="487"/>
      <c r="AD482" s="511"/>
      <c r="AE482" s="487"/>
      <c r="AF482" s="511"/>
      <c r="AG482" s="487"/>
      <c r="AH482" s="511"/>
      <c r="AI482" s="486"/>
      <c r="AJ482" s="511"/>
      <c r="AK482" s="486"/>
      <c r="AL482" s="511"/>
      <c r="AM482" s="486"/>
      <c r="AN482" s="511"/>
      <c r="AO482" s="486"/>
      <c r="AP482" s="511"/>
      <c r="AQ482" s="486"/>
      <c r="AR482" s="511"/>
      <c r="AS482" s="486"/>
      <c r="AT482" s="511"/>
      <c r="AU482" s="486"/>
      <c r="AV482" s="511"/>
      <c r="AW482" s="486"/>
      <c r="AX482" s="511"/>
      <c r="AY482" s="486"/>
      <c r="AZ482" s="511"/>
      <c r="BA482" s="486"/>
      <c r="BB482" s="511"/>
      <c r="BC482" s="486"/>
      <c r="BD482" s="511"/>
      <c r="BE482" s="486"/>
      <c r="BF482" s="511"/>
      <c r="BG482" s="486"/>
      <c r="BH482" s="511"/>
      <c r="BI482" s="486"/>
      <c r="BJ482" s="511"/>
      <c r="BK482" s="486"/>
      <c r="BL482" s="511"/>
      <c r="BM482" s="486"/>
      <c r="BN482" s="511"/>
      <c r="BO482" s="486"/>
      <c r="BP482" s="511"/>
      <c r="BQ482" s="486"/>
      <c r="BR482" s="511"/>
      <c r="BS482" s="486"/>
      <c r="BT482" s="511"/>
      <c r="BU482" s="486"/>
      <c r="BV482" s="511"/>
      <c r="BW482" s="486"/>
      <c r="BX482" s="511"/>
      <c r="BY482" s="486"/>
      <c r="BZ482" s="511"/>
      <c r="CA482" s="486"/>
      <c r="CB482" s="511"/>
      <c r="CC482" s="486"/>
      <c r="CD482" s="511"/>
      <c r="CE482" s="486"/>
      <c r="CF482" s="511"/>
      <c r="CG482" s="486"/>
      <c r="CH482" s="511"/>
      <c r="CI482" s="486"/>
      <c r="CJ482" s="511"/>
      <c r="CK482" s="486"/>
      <c r="CL482" s="511"/>
      <c r="CM482" s="486"/>
      <c r="CN482" s="511"/>
      <c r="CO482" s="486"/>
      <c r="CP482" s="511"/>
      <c r="CQ482" s="486"/>
      <c r="CR482" s="511"/>
      <c r="CS482" s="486"/>
      <c r="CT482" s="511"/>
      <c r="CU482" s="486"/>
      <c r="CV482" s="511"/>
      <c r="CW482" s="486"/>
      <c r="CX482" s="511"/>
      <c r="CY482" s="486"/>
      <c r="CZ482" s="511"/>
      <c r="DA482" s="486"/>
      <c r="DB482" s="511"/>
      <c r="DC482" s="486"/>
      <c r="DD482" s="511"/>
      <c r="DE482" s="486"/>
      <c r="DF482" s="511"/>
      <c r="DG482" s="486"/>
      <c r="DH482" s="511"/>
      <c r="DI482" s="486"/>
      <c r="DJ482" s="511"/>
      <c r="DK482" s="486"/>
      <c r="DL482" s="511"/>
      <c r="DM482" s="486"/>
      <c r="DN482" s="511"/>
      <c r="DO482" s="486"/>
      <c r="DP482" s="511"/>
      <c r="DQ482" s="486"/>
      <c r="DR482" s="511"/>
      <c r="DS482" s="486"/>
      <c r="DT482" s="511"/>
      <c r="DU482" s="486"/>
      <c r="DV482" s="511"/>
      <c r="DW482" s="486"/>
      <c r="DX482" s="511"/>
      <c r="DY482" s="486"/>
      <c r="DZ482" s="511"/>
      <c r="EA482" s="486"/>
      <c r="EB482" s="487"/>
      <c r="EC482" s="511"/>
      <c r="ED482" s="487"/>
      <c r="EE482" s="511"/>
      <c r="EF482" s="487"/>
      <c r="EG482" s="511"/>
      <c r="EH482" s="487"/>
      <c r="EI482" s="511"/>
      <c r="EJ482" s="486"/>
      <c r="EK482" s="511"/>
      <c r="EL482" s="486"/>
      <c r="EM482" s="511"/>
      <c r="EN482" s="486"/>
      <c r="EO482" s="511"/>
      <c r="EP482" s="486"/>
      <c r="EQ482" s="511"/>
      <c r="ER482" s="486"/>
      <c r="ES482" s="511"/>
      <c r="ET482" s="486"/>
      <c r="EU482" s="511"/>
      <c r="EV482" s="486"/>
      <c r="EW482" s="511"/>
      <c r="EX482" s="486"/>
      <c r="EY482" s="511"/>
      <c r="EZ482" s="486"/>
      <c r="FA482" s="511"/>
      <c r="FB482" s="486"/>
      <c r="FC482" s="511"/>
      <c r="FD482" s="486"/>
      <c r="FE482" s="511"/>
      <c r="FF482" s="486"/>
      <c r="FG482" s="511"/>
      <c r="FH482" s="486"/>
      <c r="FI482" s="511"/>
      <c r="FJ482" s="486"/>
      <c r="FK482" s="511"/>
      <c r="FL482" s="486"/>
      <c r="FM482" s="511"/>
      <c r="FN482" s="486"/>
      <c r="FO482" s="511"/>
      <c r="FP482" s="486"/>
      <c r="FQ482" s="511"/>
      <c r="FR482" s="486"/>
      <c r="FS482" s="486"/>
    </row>
    <row r="483" spans="1:176" ht="12.75" hidden="1" customHeight="1" outlineLevel="1" x14ac:dyDescent="0.2">
      <c r="A483" s="70" t="s">
        <v>255</v>
      </c>
      <c r="B483" s="511"/>
      <c r="C483" s="487"/>
      <c r="D483" s="511"/>
      <c r="E483" s="487"/>
      <c r="F483" s="511"/>
      <c r="G483" s="487"/>
      <c r="H483" s="511"/>
      <c r="I483" s="487"/>
      <c r="J483" s="511"/>
      <c r="K483" s="487"/>
      <c r="L483" s="511"/>
      <c r="M483" s="487"/>
      <c r="N483" s="511"/>
      <c r="O483" s="487"/>
      <c r="P483" s="511"/>
      <c r="Q483" s="487"/>
      <c r="R483" s="511"/>
      <c r="S483" s="487"/>
      <c r="T483" s="511"/>
      <c r="U483" s="487"/>
      <c r="V483" s="511"/>
      <c r="W483" s="487"/>
      <c r="X483" s="511"/>
      <c r="Y483" s="487"/>
      <c r="Z483" s="511"/>
      <c r="AA483" s="487"/>
      <c r="AB483" s="511"/>
      <c r="AC483" s="487"/>
      <c r="AD483" s="511"/>
      <c r="AE483" s="487"/>
      <c r="AF483" s="511"/>
      <c r="AG483" s="487"/>
      <c r="AH483" s="511"/>
      <c r="AI483" s="486"/>
      <c r="AJ483" s="511"/>
      <c r="AK483" s="486"/>
      <c r="AL483" s="511"/>
      <c r="AM483" s="486"/>
      <c r="AN483" s="511"/>
      <c r="AO483" s="486"/>
      <c r="AP483" s="511"/>
      <c r="AQ483" s="486"/>
      <c r="AR483" s="511"/>
      <c r="AS483" s="486"/>
      <c r="AT483" s="511"/>
      <c r="AU483" s="486"/>
      <c r="AV483" s="511"/>
      <c r="AW483" s="486"/>
      <c r="AX483" s="511"/>
      <c r="AY483" s="486"/>
      <c r="AZ483" s="511"/>
      <c r="BA483" s="486"/>
      <c r="BB483" s="511"/>
      <c r="BC483" s="486"/>
      <c r="BD483" s="511"/>
      <c r="BE483" s="486"/>
      <c r="BF483" s="511"/>
      <c r="BG483" s="486"/>
      <c r="BH483" s="511"/>
      <c r="BI483" s="486"/>
      <c r="BJ483" s="511"/>
      <c r="BK483" s="486"/>
      <c r="BL483" s="511"/>
      <c r="BM483" s="486"/>
      <c r="BN483" s="511"/>
      <c r="BO483" s="486"/>
      <c r="BP483" s="511"/>
      <c r="BQ483" s="486"/>
      <c r="BR483" s="511"/>
      <c r="BS483" s="486"/>
      <c r="BT483" s="511"/>
      <c r="BU483" s="486"/>
      <c r="BV483" s="511"/>
      <c r="BW483" s="486"/>
      <c r="BX483" s="511"/>
      <c r="BY483" s="486"/>
      <c r="BZ483" s="511"/>
      <c r="CA483" s="486"/>
      <c r="CB483" s="511"/>
      <c r="CC483" s="486"/>
      <c r="CD483" s="511"/>
      <c r="CE483" s="486"/>
      <c r="CF483" s="511"/>
      <c r="CG483" s="486"/>
      <c r="CH483" s="511"/>
      <c r="CI483" s="486"/>
      <c r="CJ483" s="511"/>
      <c r="CK483" s="486"/>
      <c r="CL483" s="511"/>
      <c r="CM483" s="486"/>
      <c r="CN483" s="511"/>
      <c r="CO483" s="486"/>
      <c r="CP483" s="511"/>
      <c r="CQ483" s="486"/>
      <c r="CR483" s="511"/>
      <c r="CS483" s="486"/>
      <c r="CT483" s="511"/>
      <c r="CU483" s="486"/>
      <c r="CV483" s="511"/>
      <c r="CW483" s="486"/>
      <c r="CX483" s="511"/>
      <c r="CY483" s="486"/>
      <c r="CZ483" s="511"/>
      <c r="DA483" s="486"/>
      <c r="DB483" s="511"/>
      <c r="DC483" s="486"/>
      <c r="DD483" s="511"/>
      <c r="DE483" s="486"/>
      <c r="DF483" s="511"/>
      <c r="DG483" s="486"/>
      <c r="DH483" s="511"/>
      <c r="DI483" s="486"/>
      <c r="DJ483" s="511"/>
      <c r="DK483" s="486"/>
      <c r="DL483" s="511"/>
      <c r="DM483" s="486"/>
      <c r="DN483" s="511"/>
      <c r="DO483" s="486"/>
      <c r="DP483" s="511"/>
      <c r="DQ483" s="486"/>
      <c r="DR483" s="511"/>
      <c r="DS483" s="486"/>
      <c r="DT483" s="511"/>
      <c r="DU483" s="486"/>
      <c r="DV483" s="511"/>
      <c r="DW483" s="486"/>
      <c r="DX483" s="511"/>
      <c r="DY483" s="486"/>
      <c r="DZ483" s="511"/>
      <c r="EA483" s="486"/>
      <c r="EB483" s="487"/>
      <c r="EC483" s="511"/>
      <c r="ED483" s="487"/>
      <c r="EE483" s="511"/>
      <c r="EF483" s="487"/>
      <c r="EG483" s="511"/>
      <c r="EH483" s="487"/>
      <c r="EI483" s="511"/>
      <c r="EJ483" s="486"/>
      <c r="EK483" s="511"/>
      <c r="EL483" s="486"/>
      <c r="EM483" s="511"/>
      <c r="EN483" s="486"/>
      <c r="EO483" s="511"/>
      <c r="EP483" s="486"/>
      <c r="EQ483" s="511"/>
      <c r="ER483" s="486"/>
      <c r="ES483" s="511"/>
      <c r="ET483" s="486"/>
      <c r="EU483" s="511"/>
      <c r="EV483" s="486"/>
      <c r="EW483" s="511"/>
      <c r="EX483" s="486"/>
      <c r="EY483" s="511"/>
      <c r="EZ483" s="486"/>
      <c r="FA483" s="511"/>
      <c r="FB483" s="486"/>
      <c r="FC483" s="511"/>
      <c r="FD483" s="486"/>
      <c r="FE483" s="511"/>
      <c r="FF483" s="486"/>
      <c r="FG483" s="511"/>
      <c r="FH483" s="486"/>
      <c r="FI483" s="511"/>
      <c r="FJ483" s="486"/>
      <c r="FK483" s="511"/>
      <c r="FL483" s="486"/>
      <c r="FM483" s="511"/>
      <c r="FN483" s="486"/>
      <c r="FO483" s="511"/>
      <c r="FP483" s="486"/>
      <c r="FQ483" s="511"/>
      <c r="FR483" s="486"/>
      <c r="FS483" s="486"/>
    </row>
    <row r="484" spans="1:176" ht="12.75" hidden="1" customHeight="1" outlineLevel="1" x14ac:dyDescent="0.2">
      <c r="A484" s="77" t="str">
        <f>INPUT!B384</f>
        <v>Pretax Margin</v>
      </c>
      <c r="B484" s="73">
        <f>INPUT!AA384</f>
        <v>14.144271570014144</v>
      </c>
      <c r="C484" s="155">
        <f>INPUT!AB384</f>
        <v>-19.943422913719957</v>
      </c>
      <c r="D484" s="73">
        <f>INPUT!AC384</f>
        <v>15.820029027576195</v>
      </c>
      <c r="E484" s="155">
        <f>INPUT!AD384</f>
        <v>3.933911634657548</v>
      </c>
      <c r="F484" s="73">
        <f>INPUT!AE384</f>
        <v>14.799999999999999</v>
      </c>
      <c r="G484" s="155">
        <f>INPUT!AF384</f>
        <v>9.5904761904761671</v>
      </c>
      <c r="H484" s="73">
        <f>INPUT!AG384</f>
        <v>16.34980988593156</v>
      </c>
      <c r="I484" s="155">
        <f>INPUT!AH384</f>
        <v>-6.1010918477692258</v>
      </c>
      <c r="J484" s="73">
        <f>INPUT!AI384</f>
        <v>14.336492890995261</v>
      </c>
      <c r="K484" s="155">
        <f>INPUT!AJ384</f>
        <v>1.3590047393364983</v>
      </c>
      <c r="L484" s="73">
        <f>INPUT!AK384</f>
        <v>16.145181476846059</v>
      </c>
      <c r="M484" s="155">
        <f>INPUT!AL384</f>
        <v>2.0553214453847346</v>
      </c>
      <c r="N484" s="73">
        <f>INPUT!AM384</f>
        <v>16.469194312796208</v>
      </c>
      <c r="O484" s="155">
        <f>INPUT!AN384</f>
        <v>11.278339951325748</v>
      </c>
      <c r="P484" s="73">
        <f>INPUT!AO384</f>
        <v>13.740458015267176</v>
      </c>
      <c r="Q484" s="155">
        <f>INPUT!AP384</f>
        <v>-15.959524232203094</v>
      </c>
      <c r="R484" s="73">
        <f>INPUT!AQ384</f>
        <v>15.44434857635893</v>
      </c>
      <c r="S484" s="155">
        <f>INPUT!AR384</f>
        <v>7.7275223012143357</v>
      </c>
      <c r="T484" s="73">
        <f>INPUT!AS384</f>
        <v>16.88191881918819</v>
      </c>
      <c r="U484" s="155">
        <f>INPUT!AT384</f>
        <v>4.5632026087702542</v>
      </c>
      <c r="V484" s="73">
        <f>INPUT!AU384</f>
        <v>19.890009165902843</v>
      </c>
      <c r="W484" s="155">
        <f>INPUT!AV384</f>
        <v>20.770990906633074</v>
      </c>
      <c r="X484" s="73">
        <f>INPUT!AW384</f>
        <v>19.94773519163763</v>
      </c>
      <c r="Y484" s="155">
        <f>INPUT!AX384</f>
        <v>45.17518389469609</v>
      </c>
      <c r="Z484" s="73">
        <f>INPUT!AY384</f>
        <v>18.867924528301888</v>
      </c>
      <c r="AA484" s="155">
        <f>INPUT!AZ384</f>
        <v>22.167176135764734</v>
      </c>
      <c r="AB484" s="73">
        <f>INPUT!BA384</f>
        <v>18.952618453865338</v>
      </c>
      <c r="AC484" s="155">
        <f>INPUT!BB384</f>
        <v>12.265783628360822</v>
      </c>
      <c r="AD484" s="73">
        <f>INPUT!BC384</f>
        <v>20.3125</v>
      </c>
      <c r="AE484" s="155">
        <f>INPUT!BD384</f>
        <v>2.1241359447004413</v>
      </c>
      <c r="AF484" s="73">
        <f>INPUT!BE384</f>
        <v>18.619582664526487</v>
      </c>
      <c r="AG484" s="155">
        <f>INPUT!BF384</f>
        <v>-6.6581620136401511</v>
      </c>
      <c r="AH484" s="81">
        <f>INPUT!BG384</f>
        <v>19.793966151582048</v>
      </c>
      <c r="AI484" s="240">
        <f>INPUT!BH384</f>
        <v>4.9080206033848413</v>
      </c>
      <c r="AJ484" s="81">
        <f>INPUT!BI384</f>
        <v>19.342507645259939</v>
      </c>
      <c r="AK484" s="240">
        <f>INPUT!BJ384</f>
        <v>2.0571784967004589</v>
      </c>
      <c r="AL484" s="81">
        <f>INPUT!BK384</f>
        <v>19.791666666666664</v>
      </c>
      <c r="AM484" s="240">
        <f>INPUT!BL384</f>
        <v>-2.5641025641025834</v>
      </c>
      <c r="AN484" s="81">
        <f>INPUT!BM384</f>
        <v>16.535994297933001</v>
      </c>
      <c r="AO484" s="240">
        <f>INPUT!BN384</f>
        <v>-11.190306486101221</v>
      </c>
      <c r="AP484" s="81">
        <f>INPUT!BO384</f>
        <v>18.072289156626507</v>
      </c>
      <c r="AQ484" s="240">
        <f>INPUT!BP384</f>
        <v>-8.6979889819501182</v>
      </c>
      <c r="AR484" s="81">
        <f>INPUT!BQ384</f>
        <v>19.207521826729348</v>
      </c>
      <c r="AS484" s="240">
        <f>INPUT!BR384</f>
        <v>-0.69787134639530279</v>
      </c>
      <c r="AT484" s="81">
        <f>INPUT!BS384</f>
        <v>20.041039671682626</v>
      </c>
      <c r="AU484" s="240">
        <f>INPUT!BT384</f>
        <v>1.2599899200806561</v>
      </c>
      <c r="AV484" s="81">
        <f>INPUT!BU384</f>
        <v>17.46987951807229</v>
      </c>
      <c r="AW484" s="240">
        <f>INPUT!BV384</f>
        <v>5.6475903614457792</v>
      </c>
      <c r="AX484" s="81">
        <f>INPUT!BW384</f>
        <v>17.904993909866018</v>
      </c>
      <c r="AY484" s="240">
        <f>INPUT!BX384</f>
        <v>-0.92570036540803358</v>
      </c>
      <c r="AZ484" s="81">
        <f>INPUT!BY384</f>
        <v>20.467836257309941</v>
      </c>
      <c r="BA484" s="240">
        <f>INPUT!BZ384</f>
        <v>6.5615670878828638</v>
      </c>
      <c r="BB484" s="81">
        <f>INPUT!CA384</f>
        <v>19.423558897243108</v>
      </c>
      <c r="BC484" s="240">
        <f>INPUT!CB384</f>
        <v>-3.0810815434490593</v>
      </c>
      <c r="BD484" s="81">
        <f>INPUT!CC384</f>
        <v>18.127250900360146</v>
      </c>
      <c r="BE484" s="240">
        <f>INPUT!CD384</f>
        <v>3.7628844641304937</v>
      </c>
      <c r="BF484" s="81">
        <f>INPUT!CE384</f>
        <v>16.301969365426697</v>
      </c>
      <c r="BG484" s="240">
        <f>INPUT!CF384</f>
        <v>-8.9529466053379707</v>
      </c>
      <c r="BH484" s="81">
        <f>INPUT!CG384</f>
        <v>15.652687536916716</v>
      </c>
      <c r="BI484" s="240">
        <f>INPUT!CH384</f>
        <v>-23.525440891064036</v>
      </c>
      <c r="BJ484" s="81">
        <f>INPUT!CI384</f>
        <v>16.210295728368017</v>
      </c>
      <c r="BK484" s="240">
        <f>INPUT!CJ384</f>
        <v>-16.543122637176282</v>
      </c>
      <c r="BL484" s="81">
        <f>INPUT!CK384</f>
        <v>15.223097112860891</v>
      </c>
      <c r="BM484" s="240">
        <f>INPUT!CL384</f>
        <v>-16.020927847595217</v>
      </c>
      <c r="BN484" s="81">
        <f>INPUT!CM384</f>
        <v>14.306151645207441</v>
      </c>
      <c r="BO484" s="240">
        <f>INPUT!CN384</f>
        <v>-12.242801317318126</v>
      </c>
      <c r="BP484" s="81">
        <f>INPUT!CO384</f>
        <v>16.203703703703702</v>
      </c>
      <c r="BQ484" s="240">
        <f>INPUT!CP384</f>
        <v>3.520265548567437</v>
      </c>
      <c r="BR484" s="81">
        <f>INPUT!CQ384</f>
        <v>15.944123314065511</v>
      </c>
      <c r="BS484" s="240">
        <f>INPUT!CR384</f>
        <v>-1.6419960422850579</v>
      </c>
      <c r="BT484" s="81">
        <f>INPUT!CS384</f>
        <v>14.388489208633093</v>
      </c>
      <c r="BU484" s="240">
        <f>INPUT!CT384</f>
        <v>-5.4825105432895072</v>
      </c>
      <c r="BV484" s="81">
        <f>INPUT!CU384</f>
        <v>16.486836426413465</v>
      </c>
      <c r="BW484" s="240">
        <f>INPUT!CV384</f>
        <v>15.242986620630106</v>
      </c>
      <c r="BX484" s="81">
        <f>INPUT!CW384</f>
        <v>17.062043795620436</v>
      </c>
      <c r="BY484" s="240">
        <f>INPUT!CX384</f>
        <v>5.2971845672575597</v>
      </c>
      <c r="BZ484" s="81">
        <f>INPUT!CY384</f>
        <v>17.568171658471165</v>
      </c>
      <c r="CA484" s="240">
        <f>INPUT!CZ384</f>
        <v>10.185874208417346</v>
      </c>
      <c r="CB484" s="81">
        <f>INPUT!DA384</f>
        <v>14.716312056737587</v>
      </c>
      <c r="CC484" s="240">
        <f>INPUT!DB384</f>
        <v>2.2783687943262407</v>
      </c>
      <c r="CD484" s="81">
        <f>INPUT!DC384</f>
        <v>17.273843634875153</v>
      </c>
      <c r="CE484" s="240">
        <f>INPUT!DD384</f>
        <v>4.7735489581301778</v>
      </c>
      <c r="CF484" s="81">
        <f>INPUT!DE384</f>
        <v>17.052826691380911</v>
      </c>
      <c r="CG484" s="240">
        <f>INPUT!DF384</f>
        <v>-5.4021102922561681E-2</v>
      </c>
      <c r="CH484" s="81">
        <f>INPUT!DG384</f>
        <v>19.512195121951219</v>
      </c>
      <c r="CI484" s="240">
        <f>INPUT!DH384</f>
        <v>11.065599205610383</v>
      </c>
      <c r="CJ484" s="81">
        <f>INPUT!DI384</f>
        <v>13.747731397459164</v>
      </c>
      <c r="CK484" s="240">
        <f>INPUT!DJ384</f>
        <v>-6.5816806244943393</v>
      </c>
      <c r="CL484" s="81">
        <f>INPUT!DK384</f>
        <v>16.901976603469141</v>
      </c>
      <c r="CM484" s="240">
        <f>INPUT!DL384</f>
        <v>-2.1527752552722461</v>
      </c>
      <c r="CN484" s="81">
        <f>INPUT!DM384</f>
        <v>16.895179124281292</v>
      </c>
      <c r="CO484" s="240">
        <f>INPUT!DN384</f>
        <v>-0.92446589619831343</v>
      </c>
      <c r="CP484" s="81">
        <f>INPUT!DO384</f>
        <v>18.126094570928196</v>
      </c>
      <c r="CQ484" s="240">
        <f>INPUT!DP384</f>
        <v>-7.1037653239929881</v>
      </c>
      <c r="CR484" s="81">
        <f>INPUT!DQ384</f>
        <v>16.674097191261701</v>
      </c>
      <c r="CS484" s="240">
        <f>INPUT!DR384</f>
        <v>21.286172308715479</v>
      </c>
      <c r="CT484" s="81">
        <f>INPUT!DS384</f>
        <v>17.977067977067975</v>
      </c>
      <c r="CU484" s="240">
        <f>INPUT!DT384</f>
        <v>6.3607434729152885</v>
      </c>
      <c r="CV484" s="81">
        <f>INPUT!DU384</f>
        <v>17.077543702375618</v>
      </c>
      <c r="CW484" s="240">
        <f>INPUT!DV384</f>
        <v>1.0793882488776774</v>
      </c>
      <c r="CX484" s="81">
        <f>INPUT!DW384</f>
        <v>17.68888888888889</v>
      </c>
      <c r="CY484" s="240">
        <f>INPUT!DX384</f>
        <v>-2.412023617820708</v>
      </c>
      <c r="CZ484" s="81">
        <f>INPUT!DY384</f>
        <v>16.318363717207649</v>
      </c>
      <c r="DA484" s="240">
        <f>INPUT!DZ384</f>
        <v>-2.1334496853027787</v>
      </c>
      <c r="DB484" s="81">
        <f>INPUT!EA384</f>
        <v>16.021883548261041</v>
      </c>
      <c r="DC484" s="240">
        <f>INPUT!EB384</f>
        <v>-10.875991742930609</v>
      </c>
      <c r="DD484" s="81">
        <f>INPUT!EC384</f>
        <v>14.191146048820851</v>
      </c>
      <c r="DE484" s="240">
        <f>INPUT!ED384</f>
        <v>-16.901714344043782</v>
      </c>
      <c r="DF484" s="81">
        <f>INPUT!EE384</f>
        <v>15.436241610738255</v>
      </c>
      <c r="DG484" s="240">
        <f>INPUT!EF384</f>
        <v>-12.734815014670673</v>
      </c>
      <c r="DH484" s="81">
        <f>INPUT!EG384</f>
        <v>15.946709729511504</v>
      </c>
      <c r="DI484" s="240">
        <f>INPUT!EH384</f>
        <v>-2.2775199409499436</v>
      </c>
      <c r="DJ484" s="81">
        <f>INPUT!EI384</f>
        <v>14.686825053995682</v>
      </c>
      <c r="DK484" s="240">
        <f>INPUT!EJ384</f>
        <v>-8.3327187483537983</v>
      </c>
      <c r="DL484" s="81">
        <f>INPUT!EK384</f>
        <v>12.766783081102057</v>
      </c>
      <c r="DM484" s="240">
        <f>INPUT!EL384</f>
        <v>-10.036983361447014</v>
      </c>
      <c r="DN484" s="81">
        <f>INPUT!EM384</f>
        <v>14.198705748001522</v>
      </c>
      <c r="DO484" s="240">
        <f>INPUT!EN384</f>
        <v>-8.0170801542510048</v>
      </c>
      <c r="DP484" s="81">
        <f>INPUT!EO384</f>
        <v>14.387678437265214</v>
      </c>
      <c r="DQ484" s="240">
        <f>INPUT!EP384</f>
        <v>-9.7765076225166183</v>
      </c>
      <c r="DR484" s="81">
        <f>INPUT!EQ384</f>
        <v>14.967407858363217</v>
      </c>
      <c r="DS484" s="240">
        <f>INPUT!ER384</f>
        <v>1.9104388003260198</v>
      </c>
      <c r="DT484" s="81">
        <f>INPUT!ES384</f>
        <v>14.982560741378755</v>
      </c>
      <c r="DU484" s="240">
        <f>INPUT!ET384</f>
        <v>17.355802524416575</v>
      </c>
      <c r="DV484" s="81">
        <f>INPUT!EU384</f>
        <v>14.224993921025137</v>
      </c>
      <c r="DW484" s="240">
        <f>INPUT!EV384</f>
        <v>0.18514485397595593</v>
      </c>
      <c r="DX484" s="81">
        <f>INPUT!EW384</f>
        <v>14.326994376608956</v>
      </c>
      <c r="DY484" s="240">
        <f>INPUT!EX384</f>
        <v>-0.42177798816437928</v>
      </c>
      <c r="DZ484" s="81"/>
      <c r="EA484" s="240"/>
      <c r="EB484" s="155">
        <f>INPUT!FI384</f>
        <v>6.7822539520652469</v>
      </c>
      <c r="EC484" s="73">
        <f>INPUT!FJ384</f>
        <v>15.931063472047077</v>
      </c>
      <c r="ED484" s="155">
        <f>INPUT!FK384</f>
        <v>-3.2267777629231773</v>
      </c>
      <c r="EE484" s="73">
        <f>INPUT!FL384</f>
        <v>15.298126064735944</v>
      </c>
      <c r="EF484" s="155">
        <f>INPUT!FM384</f>
        <v>-3.9729764960242306</v>
      </c>
      <c r="EG484" s="73">
        <f>INPUT!FN384</f>
        <v>15.129259694477085</v>
      </c>
      <c r="EH484" s="155">
        <f>INPUT!FO384</f>
        <v>-1.1038369637188339</v>
      </c>
      <c r="EI484" s="73">
        <f>INPUT!FP384</f>
        <v>18.027666220437304</v>
      </c>
      <c r="EJ484" s="240">
        <f>INPUT!FQ384</f>
        <v>19.15762294052152</v>
      </c>
      <c r="EK484" s="81">
        <f>INPUT!FR384</f>
        <v>19.185094185094183</v>
      </c>
      <c r="EL484" s="240">
        <f>INPUT!FS384</f>
        <v>6.4202872990001651</v>
      </c>
      <c r="EM484" s="81">
        <f>INPUT!FT384</f>
        <v>18.840044329516068</v>
      </c>
      <c r="EN484" s="240">
        <f>INPUT!FU384</f>
        <v>-1.7985309441232715</v>
      </c>
      <c r="EO484" s="81">
        <f>INPUT!FV384</f>
        <v>16.597372359886911</v>
      </c>
      <c r="EP484" s="240">
        <f>INPUT!FW384</f>
        <v>-11.903751023110061</v>
      </c>
      <c r="EQ484" s="81">
        <f>INPUT!FX384</f>
        <v>16.56499296105115</v>
      </c>
      <c r="ER484" s="240">
        <f>INPUT!FY384</f>
        <v>-0.19508750019983268</v>
      </c>
      <c r="ES484" s="81">
        <f>INPUT!FZ384</f>
        <v>15.843905129619415</v>
      </c>
      <c r="ET484" s="240">
        <f>INPUT!GA384</f>
        <v>-4.3530826311077249</v>
      </c>
      <c r="EU484" s="81">
        <f>INPUT!GB384</f>
        <v>15.191416727627407</v>
      </c>
      <c r="EV484" s="240">
        <f>INPUT!GC384</f>
        <v>-4.1182296703620835</v>
      </c>
      <c r="EW484" s="81">
        <f>INPUT!GD384</f>
        <v>16.451899577871583</v>
      </c>
      <c r="EX484" s="240">
        <f>INPUT!GE384</f>
        <v>8.2973357445447249</v>
      </c>
      <c r="EY484" s="81">
        <f>INPUT!GF384</f>
        <v>16.896858988638897</v>
      </c>
      <c r="EZ484" s="240">
        <f>INPUT!GG384</f>
        <v>2.7046081132527746</v>
      </c>
      <c r="FA484" s="81">
        <f>INPUT!GH384</f>
        <v>17.146865220675515</v>
      </c>
      <c r="FB484" s="240">
        <f>INPUT!GI384</f>
        <v>1.4796018135957496</v>
      </c>
      <c r="FC484" s="81">
        <f>INPUT!GJ384</f>
        <v>17.280854775403402</v>
      </c>
      <c r="FD484" s="240">
        <f>INPUT!GK384</f>
        <v>0.78142303565972782</v>
      </c>
      <c r="FE484" s="81">
        <f>INPUT!GL384</f>
        <v>15.411576206689364</v>
      </c>
      <c r="FF484" s="240">
        <f>INPUT!GM384</f>
        <v>-10.817049231700409</v>
      </c>
      <c r="FG484" s="81">
        <f>INPUT!GN384</f>
        <v>14.026681698609544</v>
      </c>
      <c r="FH484" s="240">
        <f>INPUT!GO384</f>
        <v>-8.9860666391715966</v>
      </c>
      <c r="FI484" s="81">
        <f>INPUT!GP384</f>
        <v>14.627680958486671</v>
      </c>
      <c r="FJ484" s="240">
        <f>INPUT!GQ384</f>
        <v>4.2846859491842935</v>
      </c>
      <c r="FK484" s="81">
        <f>INPUT!GR384</f>
        <v>14.622304918586002</v>
      </c>
      <c r="FL484" s="240">
        <f>INPUT!GS384</f>
        <v>-3.6752509956471613E-2</v>
      </c>
      <c r="FM484" s="81">
        <f>INPUT!GT384</f>
        <v>14.61656702984588</v>
      </c>
      <c r="FN484" s="240">
        <f>INPUT!GU384</f>
        <v>-3.9240658514984261E-2</v>
      </c>
      <c r="FO484" s="81">
        <f>INPUT!GV384</f>
        <v>14.610442937055918</v>
      </c>
      <c r="FP484" s="240">
        <f>INPUT!GW384</f>
        <v>-4.1898297852412725E-2</v>
      </c>
      <c r="FQ484" s="81">
        <f>INPUT!GX384</f>
        <v>14.603906645712813</v>
      </c>
      <c r="FR484" s="240">
        <f>INPUT!GY384</f>
        <v>-4.4737119683944115E-2</v>
      </c>
      <c r="FS484" s="240">
        <f>INPUT!GZ384</f>
        <v>0.80981581176047257</v>
      </c>
    </row>
    <row r="485" spans="1:176" ht="12.75" hidden="1" customHeight="1" outlineLevel="1" x14ac:dyDescent="0.2">
      <c r="A485" s="70"/>
      <c r="B485" s="91"/>
      <c r="C485" s="155"/>
      <c r="D485" s="91"/>
      <c r="E485" s="155"/>
      <c r="F485" s="91"/>
      <c r="G485" s="155"/>
      <c r="H485" s="91"/>
      <c r="I485" s="155"/>
      <c r="J485" s="91"/>
      <c r="K485" s="155"/>
      <c r="L485" s="91"/>
      <c r="M485" s="155"/>
      <c r="N485" s="91"/>
      <c r="O485" s="155"/>
      <c r="P485" s="91"/>
      <c r="Q485" s="155"/>
      <c r="R485" s="91"/>
      <c r="S485" s="155"/>
      <c r="T485" s="91"/>
      <c r="U485" s="155"/>
      <c r="V485" s="91"/>
      <c r="W485" s="155"/>
      <c r="X485" s="91"/>
      <c r="Y485" s="155"/>
      <c r="Z485" s="91"/>
      <c r="AA485" s="155"/>
      <c r="AB485" s="91"/>
      <c r="AC485" s="155"/>
      <c r="AD485" s="91"/>
      <c r="AE485" s="155"/>
      <c r="AF485" s="91"/>
      <c r="AG485" s="155"/>
      <c r="AH485" s="91"/>
      <c r="AI485" s="240"/>
      <c r="AJ485" s="91"/>
      <c r="AK485" s="240"/>
      <c r="AL485" s="91"/>
      <c r="AM485" s="240"/>
      <c r="AN485" s="91"/>
      <c r="AO485" s="240"/>
      <c r="AP485" s="91"/>
      <c r="AQ485" s="240"/>
      <c r="AR485" s="91"/>
      <c r="AS485" s="240"/>
      <c r="AT485" s="91"/>
      <c r="AU485" s="240"/>
      <c r="AV485" s="91"/>
      <c r="AW485" s="240"/>
      <c r="AX485" s="91"/>
      <c r="AY485" s="240"/>
      <c r="AZ485" s="91"/>
      <c r="BA485" s="240"/>
      <c r="BB485" s="91"/>
      <c r="BC485" s="240"/>
      <c r="BD485" s="91"/>
      <c r="BE485" s="240"/>
      <c r="BF485" s="91"/>
      <c r="BG485" s="240"/>
      <c r="BH485" s="91"/>
      <c r="BI485" s="240"/>
      <c r="BJ485" s="91"/>
      <c r="BK485" s="240"/>
      <c r="BL485" s="91"/>
      <c r="BM485" s="240"/>
      <c r="BN485" s="91"/>
      <c r="BO485" s="240"/>
      <c r="BP485" s="91"/>
      <c r="BQ485" s="240"/>
      <c r="BR485" s="91"/>
      <c r="BS485" s="240"/>
      <c r="BT485" s="91"/>
      <c r="BU485" s="240"/>
      <c r="BV485" s="91"/>
      <c r="BW485" s="240"/>
      <c r="BX485" s="91"/>
      <c r="BY485" s="240"/>
      <c r="BZ485" s="91"/>
      <c r="CA485" s="240"/>
      <c r="CB485" s="91"/>
      <c r="CC485" s="240"/>
      <c r="CD485" s="91"/>
      <c r="CE485" s="240"/>
      <c r="CF485" s="91"/>
      <c r="CG485" s="240"/>
      <c r="CH485" s="91"/>
      <c r="CI485" s="240"/>
      <c r="CJ485" s="91"/>
      <c r="CK485" s="240"/>
      <c r="CL485" s="91"/>
      <c r="CM485" s="240"/>
      <c r="CN485" s="91"/>
      <c r="CO485" s="240"/>
      <c r="CP485" s="91"/>
      <c r="CQ485" s="240"/>
      <c r="CR485" s="91"/>
      <c r="CS485" s="240"/>
      <c r="CT485" s="91"/>
      <c r="CU485" s="240"/>
      <c r="CV485" s="91"/>
      <c r="CW485" s="240"/>
      <c r="CX485" s="91"/>
      <c r="CY485" s="240"/>
      <c r="CZ485" s="91"/>
      <c r="DA485" s="240"/>
      <c r="DB485" s="91"/>
      <c r="DC485" s="240"/>
      <c r="DD485" s="91"/>
      <c r="DE485" s="240"/>
      <c r="DF485" s="91"/>
      <c r="DG485" s="240"/>
      <c r="DH485" s="91"/>
      <c r="DI485" s="240"/>
      <c r="DJ485" s="91"/>
      <c r="DK485" s="240"/>
      <c r="DL485" s="91"/>
      <c r="DM485" s="240"/>
      <c r="DN485" s="91"/>
      <c r="DO485" s="240"/>
      <c r="DP485" s="91"/>
      <c r="DQ485" s="240"/>
      <c r="DR485" s="91"/>
      <c r="DS485" s="240"/>
      <c r="DT485" s="91"/>
      <c r="DU485" s="240"/>
      <c r="DV485" s="91"/>
      <c r="DW485" s="240"/>
      <c r="DX485" s="91"/>
      <c r="DY485" s="240"/>
      <c r="DZ485" s="91"/>
      <c r="EA485" s="240"/>
      <c r="EB485" s="155"/>
      <c r="EC485" s="91"/>
      <c r="ED485" s="155"/>
      <c r="EE485" s="91"/>
      <c r="EF485" s="155"/>
      <c r="EG485" s="91"/>
      <c r="EH485" s="155"/>
      <c r="EI485" s="91"/>
      <c r="EJ485" s="240"/>
      <c r="EK485" s="91"/>
      <c r="EL485" s="240"/>
      <c r="EM485" s="91"/>
      <c r="EN485" s="240"/>
      <c r="EO485" s="91"/>
      <c r="EP485" s="240"/>
      <c r="EQ485" s="91"/>
      <c r="ER485" s="240"/>
      <c r="ES485" s="91"/>
      <c r="ET485" s="240"/>
      <c r="EU485" s="91"/>
      <c r="EV485" s="240"/>
      <c r="EW485" s="91"/>
      <c r="EX485" s="240"/>
      <c r="EY485" s="91"/>
      <c r="EZ485" s="240"/>
      <c r="FA485" s="91"/>
      <c r="FB485" s="240"/>
      <c r="FC485" s="91"/>
      <c r="FD485" s="240"/>
      <c r="FE485" s="91"/>
      <c r="FF485" s="240"/>
      <c r="FG485" s="91"/>
      <c r="FH485" s="240"/>
      <c r="FI485" s="91"/>
      <c r="FJ485" s="240"/>
      <c r="FK485" s="91"/>
      <c r="FL485" s="240"/>
      <c r="FM485" s="91"/>
      <c r="FN485" s="240"/>
      <c r="FO485" s="91"/>
      <c r="FP485" s="240"/>
      <c r="FQ485" s="91"/>
      <c r="FR485" s="240"/>
      <c r="FS485" s="240"/>
    </row>
    <row r="486" spans="1:176" ht="12.75" hidden="1" customHeight="1" outlineLevel="1" x14ac:dyDescent="0.2">
      <c r="A486" s="70" t="s">
        <v>498</v>
      </c>
      <c r="B486" s="91"/>
      <c r="C486" s="155"/>
      <c r="D486" s="91"/>
      <c r="E486" s="155"/>
      <c r="F486" s="91"/>
      <c r="G486" s="155"/>
      <c r="H486" s="91"/>
      <c r="I486" s="155"/>
      <c r="J486" s="91"/>
      <c r="K486" s="155"/>
      <c r="L486" s="91"/>
      <c r="M486" s="155"/>
      <c r="N486" s="91"/>
      <c r="O486" s="155"/>
      <c r="P486" s="91"/>
      <c r="Q486" s="155"/>
      <c r="R486" s="91"/>
      <c r="S486" s="155"/>
      <c r="T486" s="91"/>
      <c r="U486" s="155"/>
      <c r="V486" s="91"/>
      <c r="W486" s="155"/>
      <c r="X486" s="91"/>
      <c r="Y486" s="155"/>
      <c r="Z486" s="91"/>
      <c r="AA486" s="155"/>
      <c r="AB486" s="91"/>
      <c r="AC486" s="155"/>
      <c r="AD486" s="91"/>
      <c r="AE486" s="155"/>
      <c r="AF486" s="91"/>
      <c r="AG486" s="155"/>
      <c r="AH486" s="91"/>
      <c r="AI486" s="240"/>
      <c r="AJ486" s="91"/>
      <c r="AK486" s="240"/>
      <c r="AL486" s="91"/>
      <c r="AM486" s="240"/>
      <c r="AN486" s="91"/>
      <c r="AO486" s="240"/>
      <c r="AP486" s="91"/>
      <c r="AQ486" s="240"/>
      <c r="AR486" s="91"/>
      <c r="AS486" s="240"/>
      <c r="AT486" s="91"/>
      <c r="AU486" s="240"/>
      <c r="AV486" s="91"/>
      <c r="AW486" s="240"/>
      <c r="AX486" s="91"/>
      <c r="AY486" s="240"/>
      <c r="AZ486" s="91"/>
      <c r="BA486" s="240"/>
      <c r="BB486" s="91"/>
      <c r="BC486" s="240"/>
      <c r="BD486" s="91"/>
      <c r="BE486" s="240"/>
      <c r="BF486" s="91"/>
      <c r="BG486" s="240"/>
      <c r="BH486" s="91"/>
      <c r="BI486" s="240"/>
      <c r="BJ486" s="91"/>
      <c r="BK486" s="240"/>
      <c r="BL486" s="91"/>
      <c r="BM486" s="240"/>
      <c r="BN486" s="91"/>
      <c r="BO486" s="240"/>
      <c r="BP486" s="91"/>
      <c r="BQ486" s="240"/>
      <c r="BR486" s="91"/>
      <c r="BS486" s="240"/>
      <c r="BT486" s="91"/>
      <c r="BU486" s="240"/>
      <c r="BV486" s="91"/>
      <c r="BW486" s="240"/>
      <c r="BX486" s="91"/>
      <c r="BY486" s="240"/>
      <c r="BZ486" s="91"/>
      <c r="CA486" s="240"/>
      <c r="CB486" s="91"/>
      <c r="CC486" s="240"/>
      <c r="CD486" s="91"/>
      <c r="CE486" s="240"/>
      <c r="CF486" s="91"/>
      <c r="CG486" s="240"/>
      <c r="CH486" s="91"/>
      <c r="CI486" s="240"/>
      <c r="CJ486" s="91"/>
      <c r="CK486" s="240"/>
      <c r="CL486" s="91"/>
      <c r="CM486" s="240"/>
      <c r="CN486" s="91"/>
      <c r="CO486" s="240"/>
      <c r="CP486" s="91"/>
      <c r="CQ486" s="240"/>
      <c r="CR486" s="91"/>
      <c r="CS486" s="240"/>
      <c r="CT486" s="91"/>
      <c r="CU486" s="240"/>
      <c r="CV486" s="91"/>
      <c r="CW486" s="240"/>
      <c r="CX486" s="91"/>
      <c r="CY486" s="240"/>
      <c r="CZ486" s="91"/>
      <c r="DA486" s="240"/>
      <c r="DB486" s="91"/>
      <c r="DC486" s="240"/>
      <c r="DD486" s="91"/>
      <c r="DE486" s="240"/>
      <c r="DF486" s="91"/>
      <c r="DG486" s="240"/>
      <c r="DH486" s="91"/>
      <c r="DI486" s="240"/>
      <c r="DJ486" s="91"/>
      <c r="DK486" s="240"/>
      <c r="DL486" s="91"/>
      <c r="DM486" s="240"/>
      <c r="DN486" s="91"/>
      <c r="DO486" s="240"/>
      <c r="DP486" s="91"/>
      <c r="DQ486" s="240"/>
      <c r="DR486" s="91"/>
      <c r="DS486" s="240"/>
      <c r="DT486" s="91"/>
      <c r="DU486" s="240"/>
      <c r="DV486" s="91"/>
      <c r="DW486" s="240"/>
      <c r="DX486" s="91"/>
      <c r="DY486" s="240"/>
      <c r="DZ486" s="91"/>
      <c r="EA486" s="240"/>
      <c r="EB486" s="155"/>
      <c r="EC486" s="91"/>
      <c r="ED486" s="155"/>
      <c r="EE486" s="91"/>
      <c r="EF486" s="155"/>
      <c r="EG486" s="91"/>
      <c r="EH486" s="155"/>
      <c r="EI486" s="91"/>
      <c r="EJ486" s="240"/>
      <c r="EK486" s="91"/>
      <c r="EL486" s="240"/>
      <c r="EM486" s="91"/>
      <c r="EN486" s="240"/>
      <c r="EO486" s="91"/>
      <c r="EP486" s="240"/>
      <c r="EQ486" s="91"/>
      <c r="ER486" s="240"/>
      <c r="ES486" s="91"/>
      <c r="ET486" s="240"/>
      <c r="EU486" s="91"/>
      <c r="EV486" s="240"/>
      <c r="EW486" s="91"/>
      <c r="EX486" s="240"/>
      <c r="EY486" s="91"/>
      <c r="EZ486" s="240"/>
      <c r="FA486" s="91"/>
      <c r="FB486" s="240"/>
      <c r="FC486" s="91"/>
      <c r="FD486" s="240"/>
      <c r="FE486" s="91"/>
      <c r="FF486" s="240"/>
      <c r="FG486" s="91"/>
      <c r="FH486" s="240"/>
      <c r="FI486" s="91"/>
      <c r="FJ486" s="240"/>
      <c r="FK486" s="91"/>
      <c r="FL486" s="240"/>
      <c r="FM486" s="91"/>
      <c r="FN486" s="240"/>
      <c r="FO486" s="91"/>
      <c r="FP486" s="240"/>
      <c r="FQ486" s="91"/>
      <c r="FR486" s="240"/>
      <c r="FS486" s="240"/>
    </row>
    <row r="487" spans="1:176" ht="12.75" hidden="1" customHeight="1" outlineLevel="1" x14ac:dyDescent="0.2">
      <c r="A487" s="77" t="s">
        <v>68</v>
      </c>
      <c r="B487" s="81" t="e">
        <f>INPUT!#REF!</f>
        <v>#REF!</v>
      </c>
      <c r="C487" s="155" t="e">
        <f>INPUT!#REF!</f>
        <v>#REF!</v>
      </c>
      <c r="D487" s="81" t="e">
        <f>INPUT!#REF!</f>
        <v>#REF!</v>
      </c>
      <c r="E487" s="155" t="e">
        <f>INPUT!#REF!</f>
        <v>#REF!</v>
      </c>
      <c r="F487" s="81" t="e">
        <f>INPUT!#REF!</f>
        <v>#REF!</v>
      </c>
      <c r="G487" s="155" t="e">
        <f>INPUT!#REF!</f>
        <v>#REF!</v>
      </c>
      <c r="H487" s="81" t="e">
        <f>INPUT!#REF!</f>
        <v>#REF!</v>
      </c>
      <c r="I487" s="155" t="e">
        <f>INPUT!#REF!</f>
        <v>#REF!</v>
      </c>
      <c r="J487" s="81" t="e">
        <f>INPUT!#REF!</f>
        <v>#REF!</v>
      </c>
      <c r="K487" s="155" t="e">
        <f>INPUT!#REF!</f>
        <v>#REF!</v>
      </c>
      <c r="L487" s="81" t="e">
        <f>INPUT!#REF!</f>
        <v>#REF!</v>
      </c>
      <c r="M487" s="155" t="e">
        <f>INPUT!#REF!</f>
        <v>#REF!</v>
      </c>
      <c r="N487" s="81" t="e">
        <f>INPUT!#REF!</f>
        <v>#REF!</v>
      </c>
      <c r="O487" s="155" t="e">
        <f>INPUT!#REF!</f>
        <v>#REF!</v>
      </c>
      <c r="P487" s="81" t="e">
        <f>INPUT!#REF!</f>
        <v>#REF!</v>
      </c>
      <c r="Q487" s="155" t="e">
        <f>INPUT!#REF!</f>
        <v>#REF!</v>
      </c>
      <c r="R487" s="81" t="e">
        <f>INPUT!#REF!</f>
        <v>#REF!</v>
      </c>
      <c r="S487" s="155" t="e">
        <f>INPUT!#REF!</f>
        <v>#REF!</v>
      </c>
      <c r="T487" s="81" t="e">
        <f>INPUT!#REF!</f>
        <v>#REF!</v>
      </c>
      <c r="U487" s="155" t="e">
        <f>INPUT!#REF!</f>
        <v>#REF!</v>
      </c>
      <c r="V487" s="81" t="e">
        <f>INPUT!#REF!</f>
        <v>#REF!</v>
      </c>
      <c r="W487" s="155" t="e">
        <f>INPUT!#REF!</f>
        <v>#REF!</v>
      </c>
      <c r="X487" s="81" t="e">
        <f>INPUT!#REF!</f>
        <v>#REF!</v>
      </c>
      <c r="Y487" s="155" t="e">
        <f>INPUT!#REF!</f>
        <v>#REF!</v>
      </c>
      <c r="Z487" s="81" t="e">
        <f>INPUT!#REF!</f>
        <v>#REF!</v>
      </c>
      <c r="AA487" s="155" t="e">
        <f>INPUT!#REF!</f>
        <v>#REF!</v>
      </c>
      <c r="AB487" s="81" t="e">
        <f>INPUT!#REF!</f>
        <v>#REF!</v>
      </c>
      <c r="AC487" s="155" t="e">
        <f>INPUT!#REF!</f>
        <v>#REF!</v>
      </c>
      <c r="AD487" s="81" t="e">
        <f>INPUT!#REF!</f>
        <v>#REF!</v>
      </c>
      <c r="AE487" s="155" t="e">
        <f>INPUT!#REF!</f>
        <v>#REF!</v>
      </c>
      <c r="AF487" s="81" t="e">
        <f>INPUT!#REF!</f>
        <v>#REF!</v>
      </c>
      <c r="AG487" s="155" t="e">
        <f>INPUT!#REF!</f>
        <v>#REF!</v>
      </c>
      <c r="AH487" s="81" t="e">
        <f>INPUT!#REF!</f>
        <v>#REF!</v>
      </c>
      <c r="AI487" s="240" t="e">
        <f>INPUT!#REF!</f>
        <v>#REF!</v>
      </c>
      <c r="AJ487" s="81" t="e">
        <f>INPUT!#REF!</f>
        <v>#REF!</v>
      </c>
      <c r="AK487" s="240" t="e">
        <f>INPUT!#REF!</f>
        <v>#REF!</v>
      </c>
      <c r="AL487" s="81" t="e">
        <f>INPUT!#REF!</f>
        <v>#REF!</v>
      </c>
      <c r="AM487" s="240" t="e">
        <f>INPUT!#REF!</f>
        <v>#REF!</v>
      </c>
      <c r="AN487" s="81" t="e">
        <f>INPUT!#REF!</f>
        <v>#REF!</v>
      </c>
      <c r="AO487" s="240" t="e">
        <f>INPUT!#REF!</f>
        <v>#REF!</v>
      </c>
      <c r="AP487" s="81" t="e">
        <f>INPUT!#REF!</f>
        <v>#REF!</v>
      </c>
      <c r="AQ487" s="240" t="e">
        <f>INPUT!#REF!</f>
        <v>#REF!</v>
      </c>
      <c r="AR487" s="81" t="e">
        <f>INPUT!#REF!</f>
        <v>#REF!</v>
      </c>
      <c r="AS487" s="240" t="e">
        <f>INPUT!#REF!</f>
        <v>#REF!</v>
      </c>
      <c r="AT487" s="81" t="e">
        <f>INPUT!#REF!</f>
        <v>#REF!</v>
      </c>
      <c r="AU487" s="240" t="e">
        <f>INPUT!#REF!</f>
        <v>#REF!</v>
      </c>
      <c r="AV487" s="81" t="e">
        <f>INPUT!#REF!</f>
        <v>#REF!</v>
      </c>
      <c r="AW487" s="240" t="e">
        <f>INPUT!#REF!</f>
        <v>#REF!</v>
      </c>
      <c r="AX487" s="81" t="e">
        <f>INPUT!#REF!</f>
        <v>#REF!</v>
      </c>
      <c r="AY487" s="240" t="e">
        <f>INPUT!#REF!</f>
        <v>#REF!</v>
      </c>
      <c r="AZ487" s="81" t="e">
        <f>INPUT!#REF!</f>
        <v>#REF!</v>
      </c>
      <c r="BA487" s="240" t="e">
        <f>INPUT!#REF!</f>
        <v>#REF!</v>
      </c>
      <c r="BB487" s="81" t="e">
        <f>INPUT!#REF!</f>
        <v>#REF!</v>
      </c>
      <c r="BC487" s="240" t="e">
        <f>INPUT!#REF!</f>
        <v>#REF!</v>
      </c>
      <c r="BD487" s="81" t="e">
        <f>INPUT!#REF!</f>
        <v>#REF!</v>
      </c>
      <c r="BE487" s="240" t="e">
        <f>INPUT!#REF!</f>
        <v>#REF!</v>
      </c>
      <c r="BF487" s="81" t="e">
        <f>INPUT!#REF!</f>
        <v>#REF!</v>
      </c>
      <c r="BG487" s="240" t="e">
        <f>INPUT!#REF!</f>
        <v>#REF!</v>
      </c>
      <c r="BH487" s="81" t="e">
        <f>INPUT!#REF!</f>
        <v>#REF!</v>
      </c>
      <c r="BI487" s="240" t="e">
        <f>INPUT!#REF!</f>
        <v>#REF!</v>
      </c>
      <c r="BJ487" s="81" t="e">
        <f>INPUT!#REF!</f>
        <v>#REF!</v>
      </c>
      <c r="BK487" s="240" t="e">
        <f>INPUT!#REF!</f>
        <v>#REF!</v>
      </c>
      <c r="BL487" s="81" t="e">
        <f>INPUT!#REF!</f>
        <v>#REF!</v>
      </c>
      <c r="BM487" s="240" t="e">
        <f>INPUT!#REF!</f>
        <v>#REF!</v>
      </c>
      <c r="BN487" s="81" t="e">
        <f>INPUT!#REF!</f>
        <v>#REF!</v>
      </c>
      <c r="BO487" s="240" t="e">
        <f>INPUT!#REF!</f>
        <v>#REF!</v>
      </c>
      <c r="BP487" s="81" t="e">
        <f>INPUT!#REF!</f>
        <v>#REF!</v>
      </c>
      <c r="BQ487" s="240" t="e">
        <f>INPUT!#REF!</f>
        <v>#REF!</v>
      </c>
      <c r="BR487" s="81" t="e">
        <f>INPUT!#REF!</f>
        <v>#REF!</v>
      </c>
      <c r="BS487" s="240" t="e">
        <f>INPUT!#REF!</f>
        <v>#REF!</v>
      </c>
      <c r="BT487" s="81" t="e">
        <f>INPUT!#REF!</f>
        <v>#REF!</v>
      </c>
      <c r="BU487" s="240" t="e">
        <f>INPUT!#REF!</f>
        <v>#REF!</v>
      </c>
      <c r="BV487" s="81" t="e">
        <f>INPUT!#REF!</f>
        <v>#REF!</v>
      </c>
      <c r="BW487" s="240" t="e">
        <f>INPUT!#REF!</f>
        <v>#REF!</v>
      </c>
      <c r="BX487" s="81" t="e">
        <f>INPUT!#REF!</f>
        <v>#REF!</v>
      </c>
      <c r="BY487" s="240" t="e">
        <f>INPUT!#REF!</f>
        <v>#REF!</v>
      </c>
      <c r="BZ487" s="81" t="e">
        <f>INPUT!#REF!</f>
        <v>#REF!</v>
      </c>
      <c r="CA487" s="240" t="e">
        <f>INPUT!#REF!</f>
        <v>#REF!</v>
      </c>
      <c r="CB487" s="81" t="e">
        <f>INPUT!#REF!</f>
        <v>#REF!</v>
      </c>
      <c r="CC487" s="240" t="e">
        <f>INPUT!#REF!</f>
        <v>#REF!</v>
      </c>
      <c r="CD487" s="81" t="e">
        <f>INPUT!#REF!</f>
        <v>#REF!</v>
      </c>
      <c r="CE487" s="240" t="e">
        <f>INPUT!#REF!</f>
        <v>#REF!</v>
      </c>
      <c r="CF487" s="81" t="e">
        <f>INPUT!#REF!</f>
        <v>#REF!</v>
      </c>
      <c r="CG487" s="240" t="e">
        <f>INPUT!#REF!</f>
        <v>#REF!</v>
      </c>
      <c r="CH487" s="81" t="e">
        <f>INPUT!#REF!</f>
        <v>#REF!</v>
      </c>
      <c r="CI487" s="240" t="e">
        <f>INPUT!#REF!</f>
        <v>#REF!</v>
      </c>
      <c r="CJ487" s="81" t="e">
        <f>INPUT!#REF!</f>
        <v>#REF!</v>
      </c>
      <c r="CK487" s="240" t="e">
        <f>INPUT!#REF!</f>
        <v>#REF!</v>
      </c>
      <c r="CL487" s="81" t="e">
        <f>INPUT!#REF!</f>
        <v>#REF!</v>
      </c>
      <c r="CM487" s="240" t="e">
        <f>INPUT!#REF!</f>
        <v>#REF!</v>
      </c>
      <c r="CN487" s="81" t="e">
        <f>INPUT!#REF!</f>
        <v>#REF!</v>
      </c>
      <c r="CO487" s="240" t="e">
        <f>INPUT!#REF!</f>
        <v>#REF!</v>
      </c>
      <c r="CP487" s="81" t="e">
        <f>INPUT!#REF!</f>
        <v>#REF!</v>
      </c>
      <c r="CQ487" s="240" t="e">
        <f>INPUT!#REF!</f>
        <v>#REF!</v>
      </c>
      <c r="CR487" s="81" t="e">
        <f>INPUT!#REF!</f>
        <v>#REF!</v>
      </c>
      <c r="CS487" s="240" t="e">
        <f>INPUT!#REF!</f>
        <v>#REF!</v>
      </c>
      <c r="CT487" s="81" t="e">
        <f>INPUT!#REF!</f>
        <v>#REF!</v>
      </c>
      <c r="CU487" s="240" t="e">
        <f>INPUT!#REF!</f>
        <v>#REF!</v>
      </c>
      <c r="CV487" s="81" t="e">
        <f>INPUT!#REF!</f>
        <v>#REF!</v>
      </c>
      <c r="CW487" s="240" t="e">
        <f>INPUT!#REF!</f>
        <v>#REF!</v>
      </c>
      <c r="CX487" s="81" t="e">
        <f>INPUT!#REF!</f>
        <v>#REF!</v>
      </c>
      <c r="CY487" s="240" t="e">
        <f>INPUT!#REF!</f>
        <v>#REF!</v>
      </c>
      <c r="CZ487" s="81" t="e">
        <f>INPUT!#REF!</f>
        <v>#REF!</v>
      </c>
      <c r="DA487" s="240" t="e">
        <f>INPUT!#REF!</f>
        <v>#REF!</v>
      </c>
      <c r="DB487" s="81" t="e">
        <f>INPUT!#REF!</f>
        <v>#REF!</v>
      </c>
      <c r="DC487" s="240" t="e">
        <f>INPUT!#REF!</f>
        <v>#REF!</v>
      </c>
      <c r="DD487" s="81" t="e">
        <f>INPUT!#REF!</f>
        <v>#REF!</v>
      </c>
      <c r="DE487" s="240" t="e">
        <f>INPUT!#REF!</f>
        <v>#REF!</v>
      </c>
      <c r="DF487" s="81" t="e">
        <f>INPUT!#REF!</f>
        <v>#REF!</v>
      </c>
      <c r="DG487" s="240" t="e">
        <f>INPUT!#REF!</f>
        <v>#REF!</v>
      </c>
      <c r="DH487" s="81" t="e">
        <f>INPUT!#REF!</f>
        <v>#REF!</v>
      </c>
      <c r="DI487" s="240" t="e">
        <f>INPUT!#REF!</f>
        <v>#REF!</v>
      </c>
      <c r="DJ487" s="81" t="e">
        <f>INPUT!#REF!</f>
        <v>#REF!</v>
      </c>
      <c r="DK487" s="240" t="e">
        <f>INPUT!#REF!</f>
        <v>#REF!</v>
      </c>
      <c r="DL487" s="81" t="e">
        <f>INPUT!#REF!</f>
        <v>#REF!</v>
      </c>
      <c r="DM487" s="240" t="e">
        <f>INPUT!#REF!</f>
        <v>#REF!</v>
      </c>
      <c r="DN487" s="81" t="e">
        <f>INPUT!#REF!</f>
        <v>#REF!</v>
      </c>
      <c r="DO487" s="240" t="e">
        <f>INPUT!#REF!</f>
        <v>#REF!</v>
      </c>
      <c r="DP487" s="81" t="e">
        <f>INPUT!#REF!</f>
        <v>#REF!</v>
      </c>
      <c r="DQ487" s="240" t="e">
        <f>INPUT!#REF!</f>
        <v>#REF!</v>
      </c>
      <c r="DR487" s="81" t="e">
        <f>INPUT!#REF!</f>
        <v>#REF!</v>
      </c>
      <c r="DS487" s="240" t="e">
        <f>INPUT!#REF!</f>
        <v>#REF!</v>
      </c>
      <c r="DT487" s="81" t="e">
        <f>INPUT!#REF!</f>
        <v>#REF!</v>
      </c>
      <c r="DU487" s="240" t="e">
        <f>INPUT!#REF!</f>
        <v>#REF!</v>
      </c>
      <c r="DV487" s="81" t="e">
        <f>INPUT!#REF!</f>
        <v>#REF!</v>
      </c>
      <c r="DW487" s="240" t="e">
        <f>INPUT!#REF!</f>
        <v>#REF!</v>
      </c>
      <c r="DX487" s="81" t="e">
        <f>INPUT!#REF!</f>
        <v>#REF!</v>
      </c>
      <c r="DY487" s="240" t="e">
        <f>INPUT!#REF!</f>
        <v>#REF!</v>
      </c>
      <c r="DZ487" s="81"/>
      <c r="EA487" s="240"/>
      <c r="EB487" s="155" t="e">
        <f>INPUT!#REF!</f>
        <v>#REF!</v>
      </c>
      <c r="EC487" s="81" t="e">
        <f>INPUT!#REF!</f>
        <v>#REF!</v>
      </c>
      <c r="ED487" s="155" t="e">
        <f>INPUT!#REF!</f>
        <v>#REF!</v>
      </c>
      <c r="EE487" s="81" t="e">
        <f>INPUT!#REF!</f>
        <v>#REF!</v>
      </c>
      <c r="EF487" s="155" t="e">
        <f>INPUT!#REF!</f>
        <v>#REF!</v>
      </c>
      <c r="EG487" s="81" t="e">
        <f>INPUT!#REF!</f>
        <v>#REF!</v>
      </c>
      <c r="EH487" s="155" t="e">
        <f>INPUT!#REF!</f>
        <v>#REF!</v>
      </c>
      <c r="EI487" s="81" t="e">
        <f>INPUT!#REF!</f>
        <v>#REF!</v>
      </c>
      <c r="EJ487" s="240" t="e">
        <f>INPUT!#REF!</f>
        <v>#REF!</v>
      </c>
      <c r="EK487" s="81" t="e">
        <f>INPUT!#REF!</f>
        <v>#REF!</v>
      </c>
      <c r="EL487" s="240" t="e">
        <f>INPUT!#REF!</f>
        <v>#REF!</v>
      </c>
      <c r="EM487" s="81" t="e">
        <f>INPUT!#REF!</f>
        <v>#REF!</v>
      </c>
      <c r="EN487" s="240" t="e">
        <f>INPUT!#REF!</f>
        <v>#REF!</v>
      </c>
      <c r="EO487" s="81" t="e">
        <f>INPUT!#REF!</f>
        <v>#REF!</v>
      </c>
      <c r="EP487" s="240" t="e">
        <f>INPUT!#REF!</f>
        <v>#REF!</v>
      </c>
      <c r="EQ487" s="81" t="e">
        <f>INPUT!#REF!</f>
        <v>#REF!</v>
      </c>
      <c r="ER487" s="240" t="e">
        <f>INPUT!#REF!</f>
        <v>#REF!</v>
      </c>
      <c r="ES487" s="81" t="e">
        <f>INPUT!#REF!</f>
        <v>#REF!</v>
      </c>
      <c r="ET487" s="240" t="e">
        <f>INPUT!#REF!</f>
        <v>#REF!</v>
      </c>
      <c r="EU487" s="81" t="e">
        <f>INPUT!#REF!</f>
        <v>#REF!</v>
      </c>
      <c r="EV487" s="240" t="e">
        <f>INPUT!#REF!</f>
        <v>#REF!</v>
      </c>
      <c r="EW487" s="81" t="e">
        <f>INPUT!#REF!</f>
        <v>#REF!</v>
      </c>
      <c r="EX487" s="240" t="e">
        <f>INPUT!#REF!</f>
        <v>#REF!</v>
      </c>
      <c r="EY487" s="81" t="e">
        <f>INPUT!#REF!</f>
        <v>#REF!</v>
      </c>
      <c r="EZ487" s="240" t="e">
        <f>INPUT!#REF!</f>
        <v>#REF!</v>
      </c>
      <c r="FA487" s="81" t="e">
        <f>INPUT!#REF!</f>
        <v>#REF!</v>
      </c>
      <c r="FB487" s="240" t="e">
        <f>INPUT!#REF!</f>
        <v>#REF!</v>
      </c>
      <c r="FC487" s="81" t="e">
        <f>INPUT!#REF!</f>
        <v>#REF!</v>
      </c>
      <c r="FD487" s="240" t="e">
        <f>INPUT!#REF!</f>
        <v>#REF!</v>
      </c>
      <c r="FE487" s="81" t="e">
        <f>INPUT!#REF!</f>
        <v>#REF!</v>
      </c>
      <c r="FF487" s="240" t="e">
        <f>INPUT!#REF!</f>
        <v>#REF!</v>
      </c>
      <c r="FG487" s="81" t="e">
        <f>INPUT!#REF!</f>
        <v>#REF!</v>
      </c>
      <c r="FH487" s="240" t="e">
        <f>INPUT!#REF!</f>
        <v>#REF!</v>
      </c>
      <c r="FI487" s="81" t="e">
        <f>INPUT!#REF!</f>
        <v>#REF!</v>
      </c>
      <c r="FJ487" s="240" t="e">
        <f>INPUT!#REF!</f>
        <v>#REF!</v>
      </c>
      <c r="FK487" s="81" t="e">
        <f>INPUT!#REF!</f>
        <v>#REF!</v>
      </c>
      <c r="FL487" s="240" t="e">
        <f>INPUT!#REF!</f>
        <v>#REF!</v>
      </c>
      <c r="FM487" s="81" t="e">
        <f>INPUT!#REF!</f>
        <v>#REF!</v>
      </c>
      <c r="FN487" s="240" t="e">
        <f>INPUT!#REF!</f>
        <v>#REF!</v>
      </c>
      <c r="FO487" s="81" t="e">
        <f>INPUT!#REF!</f>
        <v>#REF!</v>
      </c>
      <c r="FP487" s="240" t="e">
        <f>INPUT!#REF!</f>
        <v>#REF!</v>
      </c>
      <c r="FQ487" s="81" t="e">
        <f>INPUT!#REF!</f>
        <v>#REF!</v>
      </c>
      <c r="FR487" s="240" t="e">
        <f>INPUT!#REF!</f>
        <v>#REF!</v>
      </c>
      <c r="FS487" s="240" t="e">
        <f>INPUT!#REF!</f>
        <v>#REF!</v>
      </c>
    </row>
    <row r="488" spans="1:176" ht="12.75" hidden="1" customHeight="1" outlineLevel="1" x14ac:dyDescent="0.2">
      <c r="A488" s="70"/>
      <c r="B488" s="91"/>
      <c r="C488" s="155"/>
      <c r="D488" s="91"/>
      <c r="E488" s="155"/>
      <c r="F488" s="91"/>
      <c r="G488" s="155"/>
      <c r="H488" s="91"/>
      <c r="I488" s="155"/>
      <c r="J488" s="91"/>
      <c r="K488" s="155"/>
      <c r="L488" s="91"/>
      <c r="M488" s="155"/>
      <c r="N488" s="91"/>
      <c r="O488" s="155"/>
      <c r="P488" s="91"/>
      <c r="Q488" s="155"/>
      <c r="R488" s="91"/>
      <c r="S488" s="155"/>
      <c r="T488" s="91"/>
      <c r="U488" s="155"/>
      <c r="V488" s="91"/>
      <c r="W488" s="155"/>
      <c r="X488" s="91"/>
      <c r="Y488" s="155"/>
      <c r="Z488" s="91"/>
      <c r="AA488" s="155"/>
      <c r="AB488" s="91"/>
      <c r="AC488" s="155"/>
      <c r="AD488" s="91"/>
      <c r="AE488" s="155"/>
      <c r="AF488" s="91"/>
      <c r="AG488" s="155"/>
      <c r="AH488" s="91"/>
      <c r="AI488" s="240"/>
      <c r="AJ488" s="91"/>
      <c r="AK488" s="240"/>
      <c r="AL488" s="91"/>
      <c r="AM488" s="240"/>
      <c r="AN488" s="91"/>
      <c r="AO488" s="240"/>
      <c r="AP488" s="91"/>
      <c r="AQ488" s="240"/>
      <c r="AR488" s="91"/>
      <c r="AS488" s="240"/>
      <c r="AT488" s="91"/>
      <c r="AU488" s="240"/>
      <c r="AV488" s="91"/>
      <c r="AW488" s="240"/>
      <c r="AX488" s="91"/>
      <c r="AY488" s="240"/>
      <c r="AZ488" s="91"/>
      <c r="BA488" s="240"/>
      <c r="BB488" s="91"/>
      <c r="BC488" s="240"/>
      <c r="BD488" s="91"/>
      <c r="BE488" s="240"/>
      <c r="BF488" s="91"/>
      <c r="BG488" s="240"/>
      <c r="BH488" s="91"/>
      <c r="BI488" s="240"/>
      <c r="BJ488" s="91"/>
      <c r="BK488" s="240"/>
      <c r="BL488" s="91"/>
      <c r="BM488" s="240"/>
      <c r="BN488" s="91"/>
      <c r="BO488" s="240"/>
      <c r="BP488" s="91"/>
      <c r="BQ488" s="240"/>
      <c r="BR488" s="91"/>
      <c r="BS488" s="240"/>
      <c r="BT488" s="91"/>
      <c r="BU488" s="240"/>
      <c r="BV488" s="91"/>
      <c r="BW488" s="240"/>
      <c r="BX488" s="91"/>
      <c r="BY488" s="240"/>
      <c r="BZ488" s="91"/>
      <c r="CA488" s="240"/>
      <c r="CB488" s="91"/>
      <c r="CC488" s="240"/>
      <c r="CD488" s="91"/>
      <c r="CE488" s="240"/>
      <c r="CF488" s="91"/>
      <c r="CG488" s="240"/>
      <c r="CH488" s="91"/>
      <c r="CI488" s="240"/>
      <c r="CJ488" s="91"/>
      <c r="CK488" s="240"/>
      <c r="CL488" s="91"/>
      <c r="CM488" s="240"/>
      <c r="CN488" s="91"/>
      <c r="CO488" s="240"/>
      <c r="CP488" s="91"/>
      <c r="CQ488" s="240"/>
      <c r="CR488" s="91"/>
      <c r="CS488" s="240"/>
      <c r="CT488" s="91"/>
      <c r="CU488" s="240"/>
      <c r="CV488" s="91"/>
      <c r="CW488" s="240"/>
      <c r="CX488" s="91"/>
      <c r="CY488" s="240"/>
      <c r="CZ488" s="91"/>
      <c r="DA488" s="240"/>
      <c r="DB488" s="91"/>
      <c r="DC488" s="240"/>
      <c r="DD488" s="91"/>
      <c r="DE488" s="240"/>
      <c r="DF488" s="91"/>
      <c r="DG488" s="240"/>
      <c r="DH488" s="91"/>
      <c r="DI488" s="240"/>
      <c r="DJ488" s="91"/>
      <c r="DK488" s="240"/>
      <c r="DL488" s="91"/>
      <c r="DM488" s="240"/>
      <c r="DN488" s="91"/>
      <c r="DO488" s="240"/>
      <c r="DP488" s="91"/>
      <c r="DQ488" s="240"/>
      <c r="DR488" s="91"/>
      <c r="DS488" s="240"/>
      <c r="DT488" s="91"/>
      <c r="DU488" s="240"/>
      <c r="DV488" s="91"/>
      <c r="DW488" s="240"/>
      <c r="DX488" s="91"/>
      <c r="DY488" s="240"/>
      <c r="DZ488" s="91"/>
      <c r="EA488" s="240"/>
      <c r="EB488" s="155"/>
      <c r="EC488" s="91"/>
      <c r="ED488" s="155"/>
      <c r="EE488" s="91"/>
      <c r="EF488" s="155"/>
      <c r="EG488" s="91"/>
      <c r="EH488" s="155"/>
      <c r="EI488" s="91"/>
      <c r="EJ488" s="240"/>
      <c r="EK488" s="91"/>
      <c r="EL488" s="240"/>
      <c r="EM488" s="91"/>
      <c r="EN488" s="240"/>
      <c r="EO488" s="91"/>
      <c r="EP488" s="240"/>
      <c r="EQ488" s="91"/>
      <c r="ER488" s="240"/>
      <c r="ES488" s="91"/>
      <c r="ET488" s="240"/>
      <c r="EU488" s="91"/>
      <c r="EV488" s="240"/>
      <c r="EW488" s="91"/>
      <c r="EX488" s="240"/>
      <c r="EY488" s="91"/>
      <c r="EZ488" s="240"/>
      <c r="FA488" s="91"/>
      <c r="FB488" s="240"/>
      <c r="FC488" s="91"/>
      <c r="FD488" s="240"/>
      <c r="FE488" s="91"/>
      <c r="FF488" s="240"/>
      <c r="FG488" s="91"/>
      <c r="FH488" s="240"/>
      <c r="FI488" s="91"/>
      <c r="FJ488" s="240"/>
      <c r="FK488" s="91"/>
      <c r="FL488" s="240"/>
      <c r="FM488" s="91"/>
      <c r="FN488" s="240"/>
      <c r="FO488" s="91"/>
      <c r="FP488" s="240"/>
      <c r="FQ488" s="91"/>
      <c r="FR488" s="240"/>
      <c r="FS488" s="240"/>
    </row>
    <row r="489" spans="1:176" ht="12.75" hidden="1" customHeight="1" outlineLevel="1" x14ac:dyDescent="0.2">
      <c r="A489" s="70" t="s">
        <v>193</v>
      </c>
      <c r="B489" s="91"/>
      <c r="C489" s="155"/>
      <c r="D489" s="91"/>
      <c r="E489" s="155"/>
      <c r="F489" s="91"/>
      <c r="G489" s="155"/>
      <c r="H489" s="91"/>
      <c r="I489" s="155"/>
      <c r="J489" s="91"/>
      <c r="K489" s="155"/>
      <c r="L489" s="91"/>
      <c r="M489" s="155"/>
      <c r="N489" s="91"/>
      <c r="O489" s="155"/>
      <c r="P489" s="91"/>
      <c r="Q489" s="155"/>
      <c r="R489" s="91"/>
      <c r="S489" s="155"/>
      <c r="T489" s="91"/>
      <c r="U489" s="155"/>
      <c r="V489" s="91"/>
      <c r="W489" s="155"/>
      <c r="X489" s="91"/>
      <c r="Y489" s="155"/>
      <c r="Z489" s="91"/>
      <c r="AA489" s="155"/>
      <c r="AB489" s="91"/>
      <c r="AC489" s="155"/>
      <c r="AD489" s="91"/>
      <c r="AE489" s="155"/>
      <c r="AF489" s="91"/>
      <c r="AG489" s="155"/>
      <c r="AH489" s="91"/>
      <c r="AI489" s="240"/>
      <c r="AJ489" s="91"/>
      <c r="AK489" s="240"/>
      <c r="AL489" s="91"/>
      <c r="AM489" s="240"/>
      <c r="AN489" s="91"/>
      <c r="AO489" s="240"/>
      <c r="AP489" s="91"/>
      <c r="AQ489" s="240"/>
      <c r="AR489" s="91"/>
      <c r="AS489" s="240"/>
      <c r="AT489" s="91"/>
      <c r="AU489" s="240"/>
      <c r="AV489" s="91"/>
      <c r="AW489" s="240"/>
      <c r="AX489" s="91"/>
      <c r="AY489" s="240"/>
      <c r="AZ489" s="91"/>
      <c r="BA489" s="240"/>
      <c r="BB489" s="91"/>
      <c r="BC489" s="240"/>
      <c r="BD489" s="91"/>
      <c r="BE489" s="240"/>
      <c r="BF489" s="91"/>
      <c r="BG489" s="240"/>
      <c r="BH489" s="91"/>
      <c r="BI489" s="240"/>
      <c r="BJ489" s="91"/>
      <c r="BK489" s="240"/>
      <c r="BL489" s="91"/>
      <c r="BM489" s="240"/>
      <c r="BN489" s="91"/>
      <c r="BO489" s="240"/>
      <c r="BP489" s="91"/>
      <c r="BQ489" s="240"/>
      <c r="BR489" s="91"/>
      <c r="BS489" s="240"/>
      <c r="BT489" s="91"/>
      <c r="BU489" s="240"/>
      <c r="BV489" s="91"/>
      <c r="BW489" s="240"/>
      <c r="BX489" s="91"/>
      <c r="BY489" s="240"/>
      <c r="BZ489" s="91"/>
      <c r="CA489" s="240"/>
      <c r="CB489" s="91"/>
      <c r="CC489" s="240"/>
      <c r="CD489" s="91"/>
      <c r="CE489" s="240"/>
      <c r="CF489" s="91"/>
      <c r="CG489" s="240"/>
      <c r="CH489" s="91"/>
      <c r="CI489" s="240"/>
      <c r="CJ489" s="91"/>
      <c r="CK489" s="240"/>
      <c r="CL489" s="91"/>
      <c r="CM489" s="240"/>
      <c r="CN489" s="91"/>
      <c r="CO489" s="240"/>
      <c r="CP489" s="91"/>
      <c r="CQ489" s="240"/>
      <c r="CR489" s="91"/>
      <c r="CS489" s="240"/>
      <c r="CT489" s="91"/>
      <c r="CU489" s="240"/>
      <c r="CV489" s="91"/>
      <c r="CW489" s="240"/>
      <c r="CX489" s="91"/>
      <c r="CY489" s="240"/>
      <c r="CZ489" s="91"/>
      <c r="DA489" s="240"/>
      <c r="DB489" s="91"/>
      <c r="DC489" s="240"/>
      <c r="DD489" s="91"/>
      <c r="DE489" s="240"/>
      <c r="DF489" s="91"/>
      <c r="DG489" s="240"/>
      <c r="DH489" s="91"/>
      <c r="DI489" s="240"/>
      <c r="DJ489" s="91"/>
      <c r="DK489" s="240"/>
      <c r="DL489" s="91"/>
      <c r="DM489" s="240"/>
      <c r="DN489" s="91"/>
      <c r="DO489" s="240"/>
      <c r="DP489" s="91"/>
      <c r="DQ489" s="240"/>
      <c r="DR489" s="91"/>
      <c r="DS489" s="240"/>
      <c r="DT489" s="91"/>
      <c r="DU489" s="240"/>
      <c r="DV489" s="91"/>
      <c r="DW489" s="240"/>
      <c r="DX489" s="91"/>
      <c r="DY489" s="240"/>
      <c r="DZ489" s="91"/>
      <c r="EA489" s="240"/>
      <c r="EB489" s="155"/>
      <c r="EC489" s="91"/>
      <c r="ED489" s="155"/>
      <c r="EE489" s="91"/>
      <c r="EF489" s="155"/>
      <c r="EG489" s="91"/>
      <c r="EH489" s="155"/>
      <c r="EI489" s="91"/>
      <c r="EJ489" s="240"/>
      <c r="EK489" s="91"/>
      <c r="EL489" s="240"/>
      <c r="EM489" s="91"/>
      <c r="EN489" s="240"/>
      <c r="EO489" s="91"/>
      <c r="EP489" s="240"/>
      <c r="EQ489" s="91"/>
      <c r="ER489" s="240"/>
      <c r="ES489" s="91"/>
      <c r="ET489" s="240"/>
      <c r="EU489" s="91"/>
      <c r="EV489" s="240"/>
      <c r="EW489" s="91"/>
      <c r="EX489" s="240"/>
      <c r="EY489" s="91"/>
      <c r="EZ489" s="240"/>
      <c r="FA489" s="91"/>
      <c r="FB489" s="240"/>
      <c r="FC489" s="91"/>
      <c r="FD489" s="240"/>
      <c r="FE489" s="91"/>
      <c r="FF489" s="240"/>
      <c r="FG489" s="91"/>
      <c r="FH489" s="240"/>
      <c r="FI489" s="91"/>
      <c r="FJ489" s="240"/>
      <c r="FK489" s="91"/>
      <c r="FL489" s="240"/>
      <c r="FM489" s="91"/>
      <c r="FN489" s="240"/>
      <c r="FO489" s="91"/>
      <c r="FP489" s="240"/>
      <c r="FQ489" s="91"/>
      <c r="FR489" s="240"/>
      <c r="FS489" s="240"/>
    </row>
    <row r="490" spans="1:176" ht="12.75" hidden="1" customHeight="1" outlineLevel="1" x14ac:dyDescent="0.2">
      <c r="A490" s="246" t="str">
        <f>INPUT!B393</f>
        <v>New Sales</v>
      </c>
      <c r="B490" s="81">
        <f>INPUT!AA393</f>
        <v>156</v>
      </c>
      <c r="C490" s="155">
        <f>INPUT!AB393</f>
        <v>20</v>
      </c>
      <c r="D490" s="81">
        <f>INPUT!AC393</f>
        <v>131</v>
      </c>
      <c r="E490" s="155">
        <f>INPUT!AD393</f>
        <v>11.016949152542367</v>
      </c>
      <c r="F490" s="81">
        <f>INPUT!AE393</f>
        <v>148</v>
      </c>
      <c r="G490" s="155">
        <f>INPUT!AF393</f>
        <v>20.325203252032537</v>
      </c>
      <c r="H490" s="81">
        <f>INPUT!AG393</f>
        <v>173</v>
      </c>
      <c r="I490" s="155">
        <f>INPUT!AH393</f>
        <v>24.460431654676256</v>
      </c>
      <c r="J490" s="81">
        <f>INPUT!AI393</f>
        <v>178</v>
      </c>
      <c r="K490" s="155">
        <f>INPUT!AJ393</f>
        <v>14.102564102564102</v>
      </c>
      <c r="L490" s="81">
        <f>INPUT!AK393</f>
        <v>143</v>
      </c>
      <c r="M490" s="155">
        <f>INPUT!AL393</f>
        <v>9.160305343511439</v>
      </c>
      <c r="N490" s="81">
        <f>INPUT!AM393</f>
        <v>153</v>
      </c>
      <c r="O490" s="155">
        <f>INPUT!AN393</f>
        <v>3.3783783783783718</v>
      </c>
      <c r="P490" s="81">
        <f>INPUT!AO393</f>
        <v>194</v>
      </c>
      <c r="Q490" s="155">
        <f>INPUT!AP393</f>
        <v>12.138728323699425</v>
      </c>
      <c r="R490" s="81">
        <f>INPUT!AQ393</f>
        <v>237</v>
      </c>
      <c r="S490" s="155">
        <f>INPUT!AR393</f>
        <v>33.146067415730329</v>
      </c>
      <c r="T490" s="81">
        <f>INPUT!AS393</f>
        <v>247</v>
      </c>
      <c r="U490" s="155">
        <f>INPUT!AT393</f>
        <v>72.72727272727272</v>
      </c>
      <c r="V490" s="81">
        <f>INPUT!AU393</f>
        <v>181</v>
      </c>
      <c r="W490" s="155">
        <f>INPUT!AV393</f>
        <v>18.300653594771248</v>
      </c>
      <c r="X490" s="81">
        <f>INPUT!AW393</f>
        <v>191</v>
      </c>
      <c r="Y490" s="155">
        <f>INPUT!AX393</f>
        <v>-1.546391752577307</v>
      </c>
      <c r="Z490" s="81">
        <f>INPUT!AY393</f>
        <v>216</v>
      </c>
      <c r="AA490" s="155">
        <f>INPUT!AZ393</f>
        <v>-8.8607594936708836</v>
      </c>
      <c r="AB490" s="81">
        <f>INPUT!BA393</f>
        <v>185</v>
      </c>
      <c r="AC490" s="155">
        <f>INPUT!BB393</f>
        <v>-25.10121457489879</v>
      </c>
      <c r="AD490" s="81">
        <f>INPUT!BC393</f>
        <v>174</v>
      </c>
      <c r="AE490" s="155">
        <f>INPUT!BD393</f>
        <v>-3.8674033149171265</v>
      </c>
      <c r="AF490" s="81">
        <f>INPUT!BE393</f>
        <v>192</v>
      </c>
      <c r="AG490" s="155">
        <f>INPUT!BF393</f>
        <v>0.52356020942407611</v>
      </c>
      <c r="AH490" s="75">
        <f>INPUT!BG393</f>
        <v>223</v>
      </c>
      <c r="AI490" s="240">
        <f>INPUT!BH393</f>
        <v>3.2407407407407476</v>
      </c>
      <c r="AJ490" s="75">
        <f>INPUT!BI393</f>
        <v>178</v>
      </c>
      <c r="AK490" s="240">
        <f>INPUT!BJ393</f>
        <v>-3.7837837837837753</v>
      </c>
      <c r="AL490" s="75">
        <f>INPUT!BK393</f>
        <v>178</v>
      </c>
      <c r="AM490" s="240">
        <f>INPUT!BL393</f>
        <v>2.2988505747126453</v>
      </c>
      <c r="AN490" s="75">
        <f>INPUT!BM393</f>
        <v>209</v>
      </c>
      <c r="AO490" s="240">
        <f>INPUT!BN393</f>
        <v>8.8541666666666714</v>
      </c>
      <c r="AP490" s="75">
        <f>INPUT!BO393</f>
        <v>235</v>
      </c>
      <c r="AQ490" s="240">
        <f>INPUT!BP393</f>
        <v>5.381165919282509</v>
      </c>
      <c r="AR490" s="75">
        <f>INPUT!BQ393</f>
        <v>188</v>
      </c>
      <c r="AS490" s="240">
        <f>INPUT!BR393</f>
        <v>5.6179775280898809</v>
      </c>
      <c r="AT490" s="75">
        <f>INPUT!BS393</f>
        <v>175</v>
      </c>
      <c r="AU490" s="240">
        <f>INPUT!BT393</f>
        <v>-1.68539325842697</v>
      </c>
      <c r="AV490" s="75">
        <f>INPUT!BU393</f>
        <v>177</v>
      </c>
      <c r="AW490" s="240">
        <f>INPUT!BV393</f>
        <v>-15.311004784689004</v>
      </c>
      <c r="AX490" s="75">
        <f>INPUT!BW393</f>
        <v>220</v>
      </c>
      <c r="AY490" s="240">
        <f>INPUT!BX393</f>
        <v>-6.3829787234042499</v>
      </c>
      <c r="AZ490" s="75">
        <f>INPUT!BY393</f>
        <v>181</v>
      </c>
      <c r="BA490" s="240">
        <f>INPUT!BZ393</f>
        <v>-3.7234042553191529</v>
      </c>
      <c r="BB490" s="75">
        <f>INPUT!CA393</f>
        <v>205</v>
      </c>
      <c r="BC490" s="240">
        <f>INPUT!CB393</f>
        <v>17.142857142857153</v>
      </c>
      <c r="BD490" s="75">
        <f>INPUT!CC393</f>
        <v>227</v>
      </c>
      <c r="BE490" s="240">
        <f>INPUT!CD393</f>
        <v>28.248587570621481</v>
      </c>
      <c r="BF490" s="75">
        <f>INPUT!CE393</f>
        <v>248</v>
      </c>
      <c r="BG490" s="240">
        <f>INPUT!CF393</f>
        <v>12.72727272727272</v>
      </c>
      <c r="BH490" s="75">
        <f>INPUT!CG393</f>
        <v>198</v>
      </c>
      <c r="BI490" s="240">
        <f>INPUT!CH393</f>
        <v>9.3922651933701786</v>
      </c>
      <c r="BJ490" s="75">
        <f>INPUT!CI393</f>
        <v>242</v>
      </c>
      <c r="BK490" s="240">
        <f>INPUT!CJ393</f>
        <v>18.048780487804876</v>
      </c>
      <c r="BL490" s="75">
        <f>INPUT!CK393</f>
        <v>276</v>
      </c>
      <c r="BM490" s="240">
        <f>INPUT!CL393</f>
        <v>21.58590308370043</v>
      </c>
      <c r="BN490" s="75">
        <f>INPUT!CM393</f>
        <v>307</v>
      </c>
      <c r="BO490" s="240">
        <f>INPUT!CN393</f>
        <v>23.790322580645153</v>
      </c>
      <c r="BP490" s="75">
        <f>INPUT!CO393</f>
        <v>258</v>
      </c>
      <c r="BQ490" s="240">
        <f>INPUT!CP393</f>
        <v>30.303030303030312</v>
      </c>
      <c r="BR490" s="75">
        <f>INPUT!CQ393</f>
        <v>291</v>
      </c>
      <c r="BS490" s="240">
        <f>INPUT!CR393</f>
        <v>20.247933884297538</v>
      </c>
      <c r="BT490" s="75">
        <f>INPUT!CS393</f>
        <v>294</v>
      </c>
      <c r="BU490" s="240">
        <f>INPUT!CT393</f>
        <v>6.5217391304347956</v>
      </c>
      <c r="BV490" s="75">
        <f>INPUT!CU393</f>
        <v>394</v>
      </c>
      <c r="BW490" s="240">
        <f>INPUT!CV393</f>
        <v>28.338762214983717</v>
      </c>
      <c r="BX490" s="75">
        <f>INPUT!CW393</f>
        <v>402</v>
      </c>
      <c r="BY490" s="240">
        <f>INPUT!CX393</f>
        <v>55.813953488372107</v>
      </c>
      <c r="BZ490" s="75">
        <f>INPUT!CY393</f>
        <v>274</v>
      </c>
      <c r="CA490" s="240">
        <f>INPUT!CZ393</f>
        <v>-5.8419243986254372</v>
      </c>
      <c r="CB490" s="75">
        <f>INPUT!DA393</f>
        <v>284</v>
      </c>
      <c r="CC490" s="240">
        <f>INPUT!DB393</f>
        <v>-3.4013605442176953</v>
      </c>
      <c r="CD490" s="75">
        <f>INPUT!DC393</f>
        <v>345</v>
      </c>
      <c r="CE490" s="240">
        <f>INPUT!DD393</f>
        <v>-12.436548223350258</v>
      </c>
      <c r="CF490" s="75">
        <f>INPUT!DE393</f>
        <v>255</v>
      </c>
      <c r="CG490" s="240">
        <f>INPUT!DF393</f>
        <v>-36.567164179104473</v>
      </c>
      <c r="CH490" s="75">
        <f>INPUT!DG393</f>
        <v>237</v>
      </c>
      <c r="CI490" s="240">
        <f>INPUT!DH393</f>
        <v>-13.503649635036496</v>
      </c>
      <c r="CJ490" s="75">
        <f>INPUT!DI393</f>
        <v>291</v>
      </c>
      <c r="CK490" s="240">
        <f>INPUT!DJ393</f>
        <v>2.4647887323943678</v>
      </c>
      <c r="CL490" s="75">
        <f>INPUT!DK393</f>
        <v>331</v>
      </c>
      <c r="CM490" s="240">
        <f>INPUT!DL393</f>
        <v>-4.0579710144927503</v>
      </c>
      <c r="CN490" s="75">
        <f>INPUT!DM393</f>
        <v>272</v>
      </c>
      <c r="CO490" s="240">
        <f>INPUT!DN393</f>
        <v>6.6666666666666714</v>
      </c>
      <c r="CP490" s="75">
        <f>INPUT!DO393</f>
        <v>274</v>
      </c>
      <c r="CQ490" s="240">
        <f>INPUT!DP393</f>
        <v>15.611814345991576</v>
      </c>
      <c r="CR490" s="75">
        <f>INPUT!DQ393</f>
        <v>284</v>
      </c>
      <c r="CS490" s="240">
        <f>INPUT!DR393</f>
        <v>-2.4054982817869472</v>
      </c>
      <c r="CT490" s="75">
        <f>INPUT!DS393</f>
        <v>316</v>
      </c>
      <c r="CU490" s="240">
        <f>INPUT!DT393</f>
        <v>-4.5317220543806656</v>
      </c>
      <c r="CV490" s="75">
        <f>INPUT!DU393</f>
        <v>258</v>
      </c>
      <c r="CW490" s="240">
        <f>INPUT!DV393</f>
        <v>-5.1470588235294201</v>
      </c>
      <c r="CX490" s="75">
        <f>INPUT!DW393</f>
        <v>263</v>
      </c>
      <c r="CY490" s="240">
        <f>INPUT!DX393</f>
        <v>-4.0145985401459825</v>
      </c>
      <c r="CZ490" s="75">
        <f>INPUT!DY393</f>
        <v>280</v>
      </c>
      <c r="DA490" s="240">
        <f>INPUT!DZ393</f>
        <v>-1.4084507042253449</v>
      </c>
      <c r="DB490" s="75">
        <f>INPUT!EA393</f>
        <v>335</v>
      </c>
      <c r="DC490" s="240">
        <f>INPUT!EB393</f>
        <v>6.0126582278481067</v>
      </c>
      <c r="DD490" s="75">
        <f>INPUT!EC393</f>
        <v>289</v>
      </c>
      <c r="DE490" s="240">
        <f>INPUT!ED393</f>
        <v>12.015503875968989</v>
      </c>
      <c r="DF490" s="75">
        <f>INPUT!EE393</f>
        <v>323</v>
      </c>
      <c r="DG490" s="240">
        <f>INPUT!EF393</f>
        <v>22.813688212927758</v>
      </c>
      <c r="DH490" s="75">
        <f>INPUT!EG393</f>
        <v>329</v>
      </c>
      <c r="DI490" s="240">
        <f>INPUT!EH393</f>
        <v>17.5</v>
      </c>
      <c r="DJ490" s="75">
        <f>INPUT!EI393</f>
        <v>464</v>
      </c>
      <c r="DK490" s="240">
        <f>INPUT!EJ393</f>
        <v>38.50746268656718</v>
      </c>
      <c r="DL490" s="75">
        <f>INPUT!EK393</f>
        <v>357</v>
      </c>
      <c r="DM490" s="240">
        <f>INPUT!EL393</f>
        <v>23.529411764705884</v>
      </c>
      <c r="DN490" s="75">
        <f>INPUT!EM393</f>
        <v>277</v>
      </c>
      <c r="DO490" s="240">
        <f>INPUT!EN393</f>
        <v>-14.241486068111456</v>
      </c>
      <c r="DP490" s="75">
        <f>INPUT!EO393</f>
        <v>293</v>
      </c>
      <c r="DQ490" s="240">
        <f>INPUT!EP393</f>
        <v>-10.942249240121583</v>
      </c>
      <c r="DR490" s="75">
        <f>INPUT!EQ393</f>
        <v>487.20000000000005</v>
      </c>
      <c r="DS490" s="240">
        <f>INPUT!ER393</f>
        <v>5</v>
      </c>
      <c r="DT490" s="75">
        <f>INPUT!ES393</f>
        <v>374.85</v>
      </c>
      <c r="DU490" s="240">
        <f>INPUT!ET393</f>
        <v>5</v>
      </c>
      <c r="DV490" s="75">
        <f>INPUT!EU393</f>
        <v>290.85000000000002</v>
      </c>
      <c r="DW490" s="240">
        <f>INPUT!EV393</f>
        <v>5</v>
      </c>
      <c r="DX490" s="75">
        <f>INPUT!EW393</f>
        <v>307.65000000000003</v>
      </c>
      <c r="DY490" s="240">
        <f>INPUT!EX393</f>
        <v>5</v>
      </c>
      <c r="DZ490" s="75"/>
      <c r="EA490" s="240"/>
      <c r="EB490" s="155">
        <f>INPUT!FI393</f>
        <v>14.341846758349703</v>
      </c>
      <c r="EC490" s="81">
        <f>INPUT!FJ393</f>
        <v>510</v>
      </c>
      <c r="ED490" s="155">
        <f>INPUT!FK393</f>
        <v>-12.371134020618555</v>
      </c>
      <c r="EE490" s="81">
        <f>INPUT!FL393</f>
        <v>608</v>
      </c>
      <c r="EF490" s="155">
        <f>INPUT!FM393</f>
        <v>19.215686274509807</v>
      </c>
      <c r="EG490" s="81">
        <f>INPUT!FN393</f>
        <v>668</v>
      </c>
      <c r="EH490" s="155">
        <f>INPUT!FO393</f>
        <v>9.8684210526315752</v>
      </c>
      <c r="EI490" s="81">
        <f>INPUT!FP393</f>
        <v>856</v>
      </c>
      <c r="EJ490" s="240">
        <f>INPUT!FQ393</f>
        <v>28.143712574850298</v>
      </c>
      <c r="EK490" s="75">
        <f>INPUT!FR393</f>
        <v>767</v>
      </c>
      <c r="EL490" s="240">
        <f>INPUT!FS393</f>
        <v>-10.39719626168224</v>
      </c>
      <c r="EM490" s="75">
        <f>INPUT!FT393</f>
        <v>788</v>
      </c>
      <c r="EN490" s="240">
        <f>INPUT!FU393</f>
        <v>2.7379400260756199</v>
      </c>
      <c r="EO490" s="75">
        <f>INPUT!FV393</f>
        <v>775</v>
      </c>
      <c r="EP490" s="240">
        <f>INPUT!FW393</f>
        <v>-1.649746192893403</v>
      </c>
      <c r="EQ490" s="75">
        <f>INPUT!FX393</f>
        <v>833</v>
      </c>
      <c r="ER490" s="240">
        <f>INPUT!FY393</f>
        <v>7.4838709677419502</v>
      </c>
      <c r="ES490" s="75">
        <f>INPUT!FZ393</f>
        <v>964</v>
      </c>
      <c r="ET490" s="240">
        <f>INPUT!GA393</f>
        <v>15.72629051620649</v>
      </c>
      <c r="EU490" s="75">
        <f>INPUT!GB393</f>
        <v>1150</v>
      </c>
      <c r="EV490" s="240">
        <f>INPUT!GC393</f>
        <v>19.294605809128626</v>
      </c>
      <c r="EW490" s="75">
        <f>INPUT!GD393</f>
        <v>1354</v>
      </c>
      <c r="EX490" s="240">
        <f>INPUT!GE393</f>
        <v>17.739130434782609</v>
      </c>
      <c r="EY490" s="75">
        <f>INPUT!GF393</f>
        <v>1128</v>
      </c>
      <c r="EZ490" s="240">
        <f>INPUT!GG393</f>
        <v>-16.691285081240764</v>
      </c>
      <c r="FA490" s="75">
        <f>INPUT!GH393</f>
        <v>1161</v>
      </c>
      <c r="FB490" s="240">
        <f>INPUT!GI393</f>
        <v>2.9255319148936252</v>
      </c>
      <c r="FC490" s="75">
        <f>INPUT!GJ393</f>
        <v>1117</v>
      </c>
      <c r="FD490" s="240">
        <f>INPUT!GK393</f>
        <v>-3.7898363479758785</v>
      </c>
      <c r="FE490" s="75">
        <f>INPUT!GL393</f>
        <v>1276</v>
      </c>
      <c r="FF490" s="240">
        <f>INPUT!GM393</f>
        <v>14.234556848701871</v>
      </c>
      <c r="FG490" s="75">
        <f>INPUT!GN393</f>
        <v>1391</v>
      </c>
      <c r="FH490" s="240">
        <f>INPUT!GO393</f>
        <v>9.0125391849529706</v>
      </c>
      <c r="FI490" s="75">
        <f>INPUT!GP393</f>
        <v>1460.5500000000002</v>
      </c>
      <c r="FJ490" s="240">
        <f>INPUT!GQ393</f>
        <v>5</v>
      </c>
      <c r="FK490" s="75">
        <f>INPUT!GR393</f>
        <v>1533.5775000000003</v>
      </c>
      <c r="FL490" s="240">
        <f>INPUT!GS393</f>
        <v>5</v>
      </c>
      <c r="FM490" s="75">
        <f>INPUT!GT393</f>
        <v>1610.2563750000004</v>
      </c>
      <c r="FN490" s="240">
        <f>INPUT!GU393</f>
        <v>5</v>
      </c>
      <c r="FO490" s="75">
        <f>INPUT!GV393</f>
        <v>1690.7691937500006</v>
      </c>
      <c r="FP490" s="240">
        <f>INPUT!GW393</f>
        <v>5</v>
      </c>
      <c r="FQ490" s="75">
        <f>INPUT!GX393</f>
        <v>1775.3076534375007</v>
      </c>
      <c r="FR490" s="240">
        <f>INPUT!GY393</f>
        <v>5</v>
      </c>
      <c r="FS490" s="240">
        <f>INPUT!GZ393</f>
        <v>5.0000000000000044</v>
      </c>
    </row>
    <row r="491" spans="1:176" ht="12.75" hidden="1" customHeight="1" outlineLevel="1" x14ac:dyDescent="0.2">
      <c r="A491" s="70"/>
      <c r="B491" s="91"/>
      <c r="C491" s="155"/>
      <c r="D491" s="91"/>
      <c r="E491" s="155"/>
      <c r="F491" s="91"/>
      <c r="G491" s="155"/>
      <c r="H491" s="91"/>
      <c r="I491" s="155"/>
      <c r="J491" s="91"/>
      <c r="K491" s="155"/>
      <c r="L491" s="91"/>
      <c r="M491" s="155"/>
      <c r="N491" s="91"/>
      <c r="O491" s="155"/>
      <c r="P491" s="91"/>
      <c r="Q491" s="155"/>
      <c r="R491" s="91"/>
      <c r="S491" s="155"/>
      <c r="T491" s="91"/>
      <c r="U491" s="155"/>
      <c r="V491" s="91"/>
      <c r="W491" s="155"/>
      <c r="X491" s="91"/>
      <c r="Y491" s="155"/>
      <c r="Z491" s="91"/>
      <c r="AA491" s="155"/>
      <c r="AB491" s="91"/>
      <c r="AC491" s="155"/>
      <c r="AD491" s="91"/>
      <c r="AE491" s="155"/>
      <c r="AF491" s="91"/>
      <c r="AG491" s="155"/>
      <c r="AH491" s="91"/>
      <c r="AI491" s="240"/>
      <c r="AJ491" s="91"/>
      <c r="AK491" s="240"/>
      <c r="AL491" s="91"/>
      <c r="AM491" s="240"/>
      <c r="AN491" s="91"/>
      <c r="AO491" s="240"/>
      <c r="AP491" s="91"/>
      <c r="AQ491" s="240"/>
      <c r="AR491" s="91"/>
      <c r="AS491" s="240"/>
      <c r="AT491" s="91"/>
      <c r="AU491" s="240"/>
      <c r="AV491" s="91"/>
      <c r="AW491" s="240"/>
      <c r="AX491" s="91"/>
      <c r="AY491" s="240"/>
      <c r="AZ491" s="91"/>
      <c r="BA491" s="240"/>
      <c r="BB491" s="91"/>
      <c r="BC491" s="240"/>
      <c r="BD491" s="91"/>
      <c r="BE491" s="240"/>
      <c r="BF491" s="91"/>
      <c r="BG491" s="240"/>
      <c r="BH491" s="91"/>
      <c r="BI491" s="240"/>
      <c r="BJ491" s="91"/>
      <c r="BK491" s="240"/>
      <c r="BL491" s="91"/>
      <c r="BM491" s="240"/>
      <c r="BN491" s="91"/>
      <c r="BO491" s="240"/>
      <c r="BP491" s="91"/>
      <c r="BQ491" s="240"/>
      <c r="BR491" s="91"/>
      <c r="BS491" s="240"/>
      <c r="BT491" s="91"/>
      <c r="BU491" s="240"/>
      <c r="BV491" s="91"/>
      <c r="BW491" s="240"/>
      <c r="BX491" s="91"/>
      <c r="BY491" s="240"/>
      <c r="BZ491" s="91"/>
      <c r="CA491" s="240"/>
      <c r="CB491" s="91"/>
      <c r="CC491" s="240"/>
      <c r="CD491" s="91"/>
      <c r="CE491" s="240"/>
      <c r="CF491" s="91"/>
      <c r="CG491" s="240"/>
      <c r="CH491" s="91"/>
      <c r="CI491" s="240"/>
      <c r="CJ491" s="91"/>
      <c r="CK491" s="240"/>
      <c r="CL491" s="91"/>
      <c r="CM491" s="240"/>
      <c r="CN491" s="91"/>
      <c r="CO491" s="240"/>
      <c r="CP491" s="91"/>
      <c r="CQ491" s="240"/>
      <c r="CR491" s="91"/>
      <c r="CS491" s="240"/>
      <c r="CT491" s="91"/>
      <c r="CU491" s="240"/>
      <c r="CV491" s="91"/>
      <c r="CW491" s="240"/>
      <c r="CX491" s="91"/>
      <c r="CY491" s="240"/>
      <c r="CZ491" s="91"/>
      <c r="DA491" s="240"/>
      <c r="DB491" s="91"/>
      <c r="DC491" s="240"/>
      <c r="DD491" s="91"/>
      <c r="DE491" s="240"/>
      <c r="DF491" s="91"/>
      <c r="DG491" s="240"/>
      <c r="DH491" s="91"/>
      <c r="DI491" s="240"/>
      <c r="DJ491" s="91"/>
      <c r="DK491" s="240"/>
      <c r="DL491" s="91"/>
      <c r="DM491" s="240"/>
      <c r="DN491" s="91"/>
      <c r="DO491" s="240"/>
      <c r="DP491" s="91"/>
      <c r="DQ491" s="240"/>
      <c r="DR491" s="91"/>
      <c r="DS491" s="240"/>
      <c r="DT491" s="91"/>
      <c r="DU491" s="240"/>
      <c r="DV491" s="91"/>
      <c r="DW491" s="240"/>
      <c r="DX491" s="91"/>
      <c r="DY491" s="240"/>
      <c r="DZ491" s="91"/>
      <c r="EA491" s="240"/>
      <c r="EB491" s="155"/>
      <c r="EC491" s="91"/>
      <c r="ED491" s="155"/>
      <c r="EE491" s="91"/>
      <c r="EF491" s="155"/>
      <c r="EG491" s="91"/>
      <c r="EH491" s="155"/>
      <c r="EI491" s="91"/>
      <c r="EJ491" s="240"/>
      <c r="EK491" s="91"/>
      <c r="EL491" s="240"/>
      <c r="EM491" s="91"/>
      <c r="EN491" s="240"/>
      <c r="EO491" s="91"/>
      <c r="EP491" s="240"/>
      <c r="EQ491" s="91"/>
      <c r="ER491" s="240"/>
      <c r="ES491" s="91"/>
      <c r="ET491" s="240"/>
      <c r="EU491" s="91"/>
      <c r="EV491" s="240"/>
      <c r="EW491" s="91"/>
      <c r="EX491" s="240"/>
      <c r="EY491" s="91"/>
      <c r="EZ491" s="240"/>
      <c r="FA491" s="91"/>
      <c r="FB491" s="240"/>
      <c r="FC491" s="91"/>
      <c r="FD491" s="240"/>
      <c r="FE491" s="91"/>
      <c r="FF491" s="240"/>
      <c r="FG491" s="91"/>
      <c r="FH491" s="240"/>
      <c r="FI491" s="91"/>
      <c r="FJ491" s="240"/>
      <c r="FK491" s="91"/>
      <c r="FL491" s="240"/>
      <c r="FM491" s="91"/>
      <c r="FN491" s="240"/>
      <c r="FO491" s="91"/>
      <c r="FP491" s="240"/>
      <c r="FQ491" s="91"/>
      <c r="FR491" s="240"/>
      <c r="FS491" s="240"/>
    </row>
    <row r="492" spans="1:176" ht="12.75" hidden="1" customHeight="1" outlineLevel="1" x14ac:dyDescent="0.2">
      <c r="A492" s="514" t="s">
        <v>312</v>
      </c>
      <c r="B492" s="524"/>
      <c r="C492" s="487"/>
      <c r="D492" s="524"/>
      <c r="E492" s="487"/>
      <c r="F492" s="524"/>
      <c r="G492" s="487"/>
      <c r="H492" s="524"/>
      <c r="I492" s="487"/>
      <c r="J492" s="524"/>
      <c r="K492" s="487"/>
      <c r="L492" s="524"/>
      <c r="M492" s="487"/>
      <c r="N492" s="524"/>
      <c r="O492" s="487"/>
      <c r="P492" s="524"/>
      <c r="Q492" s="487"/>
      <c r="R492" s="524"/>
      <c r="S492" s="487"/>
      <c r="T492" s="524"/>
      <c r="U492" s="487"/>
      <c r="V492" s="524"/>
      <c r="W492" s="487"/>
      <c r="X492" s="524"/>
      <c r="Y492" s="487"/>
      <c r="Z492" s="524"/>
      <c r="AA492" s="487"/>
      <c r="AB492" s="524"/>
      <c r="AC492" s="487"/>
      <c r="AD492" s="524"/>
      <c r="AE492" s="487"/>
      <c r="AF492" s="524"/>
      <c r="AG492" s="487"/>
      <c r="AH492" s="524"/>
      <c r="AI492" s="486"/>
      <c r="AJ492" s="524"/>
      <c r="AK492" s="486"/>
      <c r="AL492" s="524"/>
      <c r="AM492" s="486"/>
      <c r="AN492" s="524"/>
      <c r="AO492" s="486"/>
      <c r="AP492" s="524"/>
      <c r="AQ492" s="486"/>
      <c r="AR492" s="524"/>
      <c r="AS492" s="486"/>
      <c r="AT492" s="524"/>
      <c r="AU492" s="486"/>
      <c r="AV492" s="524"/>
      <c r="AW492" s="486"/>
      <c r="AX492" s="524"/>
      <c r="AY492" s="486"/>
      <c r="AZ492" s="524"/>
      <c r="BA492" s="486"/>
      <c r="BB492" s="524"/>
      <c r="BC492" s="486"/>
      <c r="BD492" s="524"/>
      <c r="BE492" s="486"/>
      <c r="BF492" s="524"/>
      <c r="BG492" s="486"/>
      <c r="BH492" s="524"/>
      <c r="BI492" s="486"/>
      <c r="BJ492" s="524"/>
      <c r="BK492" s="486"/>
      <c r="BL492" s="524"/>
      <c r="BM492" s="486"/>
      <c r="BN492" s="524"/>
      <c r="BO492" s="486"/>
      <c r="BP492" s="524"/>
      <c r="BQ492" s="486"/>
      <c r="BR492" s="524"/>
      <c r="BS492" s="486"/>
      <c r="BT492" s="524"/>
      <c r="BU492" s="486"/>
      <c r="BV492" s="524"/>
      <c r="BW492" s="486"/>
      <c r="BX492" s="524"/>
      <c r="BY492" s="486"/>
      <c r="BZ492" s="524"/>
      <c r="CA492" s="486"/>
      <c r="CB492" s="524"/>
      <c r="CC492" s="486"/>
      <c r="CD492" s="524"/>
      <c r="CE492" s="486"/>
      <c r="CF492" s="524"/>
      <c r="CG492" s="486"/>
      <c r="CH492" s="524"/>
      <c r="CI492" s="486"/>
      <c r="CJ492" s="524"/>
      <c r="CK492" s="486"/>
      <c r="CL492" s="524"/>
      <c r="CM492" s="486"/>
      <c r="CN492" s="524"/>
      <c r="CO492" s="486"/>
      <c r="CP492" s="524"/>
      <c r="CQ492" s="486"/>
      <c r="CR492" s="524"/>
      <c r="CS492" s="486"/>
      <c r="CT492" s="524"/>
      <c r="CU492" s="486"/>
      <c r="CV492" s="524"/>
      <c r="CW492" s="486"/>
      <c r="CX492" s="524"/>
      <c r="CY492" s="486"/>
      <c r="CZ492" s="524"/>
      <c r="DA492" s="486"/>
      <c r="DB492" s="524"/>
      <c r="DC492" s="486"/>
      <c r="DD492" s="524"/>
      <c r="DE492" s="486"/>
      <c r="DF492" s="524"/>
      <c r="DG492" s="486"/>
      <c r="DH492" s="524"/>
      <c r="DI492" s="486"/>
      <c r="DJ492" s="524"/>
      <c r="DK492" s="486"/>
      <c r="DL492" s="524"/>
      <c r="DM492" s="486"/>
      <c r="DN492" s="524"/>
      <c r="DO492" s="486"/>
      <c r="DP492" s="524"/>
      <c r="DQ492" s="486"/>
      <c r="DR492" s="524"/>
      <c r="DS492" s="486"/>
      <c r="DT492" s="524"/>
      <c r="DU492" s="486"/>
      <c r="DV492" s="524"/>
      <c r="DW492" s="486"/>
      <c r="DX492" s="524"/>
      <c r="DY492" s="486"/>
      <c r="DZ492" s="524"/>
      <c r="EA492" s="486"/>
      <c r="EB492" s="487"/>
      <c r="EC492" s="524"/>
      <c r="ED492" s="487"/>
      <c r="EE492" s="524"/>
      <c r="EF492" s="487"/>
      <c r="EG492" s="524"/>
      <c r="EH492" s="487"/>
      <c r="EI492" s="524"/>
      <c r="EJ492" s="486"/>
      <c r="EK492" s="524"/>
      <c r="EL492" s="486"/>
      <c r="EM492" s="524"/>
      <c r="EN492" s="486"/>
      <c r="EO492" s="524"/>
      <c r="EP492" s="486"/>
      <c r="EQ492" s="524"/>
      <c r="ER492" s="486"/>
      <c r="ES492" s="524"/>
      <c r="ET492" s="486"/>
      <c r="EU492" s="524"/>
      <c r="EV492" s="486"/>
      <c r="EW492" s="524"/>
      <c r="EX492" s="486"/>
      <c r="EY492" s="524"/>
      <c r="EZ492" s="486"/>
      <c r="FA492" s="524"/>
      <c r="FB492" s="486"/>
      <c r="FC492" s="524"/>
      <c r="FD492" s="486"/>
      <c r="FE492" s="524"/>
      <c r="FF492" s="486"/>
      <c r="FG492" s="524"/>
      <c r="FH492" s="486"/>
      <c r="FI492" s="524"/>
      <c r="FJ492" s="486"/>
      <c r="FK492" s="524"/>
      <c r="FL492" s="486"/>
      <c r="FM492" s="524"/>
      <c r="FN492" s="486"/>
      <c r="FO492" s="524"/>
      <c r="FP492" s="486"/>
      <c r="FQ492" s="524"/>
      <c r="FR492" s="486"/>
      <c r="FS492" s="486"/>
    </row>
    <row r="493" spans="1:176" ht="12.75" hidden="1" customHeight="1" outlineLevel="1" x14ac:dyDescent="0.2">
      <c r="A493" s="246" t="str">
        <f>INPUT!B380</f>
        <v>Benefits/Fees (%)</v>
      </c>
      <c r="B493" s="81">
        <f>INPUT!AA380</f>
        <v>71.927162367223062</v>
      </c>
      <c r="C493" s="155">
        <f>INPUT!AB380</f>
        <v>4.0519343233704319</v>
      </c>
      <c r="D493" s="81">
        <f>INPUT!AC380</f>
        <v>71.023622047244089</v>
      </c>
      <c r="E493" s="155">
        <f>INPUT!AD380</f>
        <v>-2.0101899027327335</v>
      </c>
      <c r="F493" s="81">
        <f>INPUT!AE380</f>
        <v>68.866571018651371</v>
      </c>
      <c r="G493" s="155">
        <f>INPUT!AF380</f>
        <v>-2.2702337750020973</v>
      </c>
      <c r="H493" s="81">
        <f>INPUT!AG380</f>
        <v>70.410958904109592</v>
      </c>
      <c r="I493" s="155">
        <f>INPUT!AH380</f>
        <v>-0.22251921149347709</v>
      </c>
      <c r="J493" s="81">
        <f>INPUT!AI380</f>
        <v>73.846153846153854</v>
      </c>
      <c r="K493" s="155">
        <f>INPUT!AJ380</f>
        <v>2.6679649464459629</v>
      </c>
      <c r="L493" s="81">
        <f>INPUT!AK380</f>
        <v>73.852573018080676</v>
      </c>
      <c r="M493" s="155">
        <f>INPUT!AL380</f>
        <v>3.9831127859894337</v>
      </c>
      <c r="N493" s="81">
        <f>INPUT!AM380</f>
        <v>70.963541666666657</v>
      </c>
      <c r="O493" s="155">
        <f>INPUT!AN380</f>
        <v>3.0449761284721859</v>
      </c>
      <c r="P493" s="81">
        <f>INPUT!AO380</f>
        <v>71.597633136094672</v>
      </c>
      <c r="Q493" s="155">
        <f>INPUT!AP380</f>
        <v>1.6853544539865908</v>
      </c>
      <c r="R493" s="81">
        <f>INPUT!AQ380</f>
        <v>75.712881022615548</v>
      </c>
      <c r="S493" s="155">
        <f>INPUT!AR380</f>
        <v>2.5278597181252138</v>
      </c>
      <c r="T493" s="81">
        <f>INPUT!AS380</f>
        <v>71.682340647857885</v>
      </c>
      <c r="U493" s="155">
        <f>INPUT!AT380</f>
        <v>-2.938600893013529</v>
      </c>
      <c r="V493" s="81">
        <f>INPUT!AU380</f>
        <v>70.991561181434605</v>
      </c>
      <c r="W493" s="155">
        <f>INPUT!AV380</f>
        <v>3.9484380443639111E-2</v>
      </c>
      <c r="X493" s="81">
        <f>INPUT!AW380</f>
        <v>75.695931477516069</v>
      </c>
      <c r="Y493" s="155">
        <f>INPUT!AX380</f>
        <v>5.7240695842993148</v>
      </c>
      <c r="Z493" s="81">
        <f>INPUT!AY380</f>
        <v>73.447946513849089</v>
      </c>
      <c r="AA493" s="155">
        <f>INPUT!AZ380</f>
        <v>-2.9914784356045345</v>
      </c>
      <c r="AB493" s="81">
        <f>INPUT!BA380</f>
        <v>72.373540856031127</v>
      </c>
      <c r="AC493" s="155">
        <f>INPUT!BB380</f>
        <v>0.96425451781603044</v>
      </c>
      <c r="AD493" s="81">
        <f>INPUT!BC380</f>
        <v>72.003929273084481</v>
      </c>
      <c r="AE493" s="155">
        <f>INPUT!BD380</f>
        <v>1.4260400458901756</v>
      </c>
      <c r="AF493" s="81">
        <f>INPUT!BE380</f>
        <v>73.971291866028707</v>
      </c>
      <c r="AG493" s="155">
        <f>INPUT!BF380</f>
        <v>-2.2783782137612292</v>
      </c>
      <c r="AH493" s="81">
        <f>INPUT!BG380</f>
        <v>74.255691768826608</v>
      </c>
      <c r="AI493" s="240">
        <f>INPUT!BH380</f>
        <v>1.0997519921475316</v>
      </c>
      <c r="AJ493" s="81">
        <f>INPUT!BI380</f>
        <v>74.653098982423685</v>
      </c>
      <c r="AK493" s="240">
        <f>INPUT!BJ380</f>
        <v>3.1497120348542325</v>
      </c>
      <c r="AL493" s="81">
        <f>INPUT!BK380</f>
        <v>74.865831842576029</v>
      </c>
      <c r="AM493" s="240">
        <f>INPUT!BL380</f>
        <v>3.9746477704534584</v>
      </c>
      <c r="AN493" s="81">
        <f>INPUT!BM380</f>
        <v>76.738197424892704</v>
      </c>
      <c r="AO493" s="240">
        <f>INPUT!BN380</f>
        <v>3.7405126895380079</v>
      </c>
      <c r="AP493" s="81">
        <f>INPUT!BO380</f>
        <v>75.150150150150154</v>
      </c>
      <c r="AQ493" s="240">
        <f>INPUT!BP380</f>
        <v>1.2045654144710909</v>
      </c>
      <c r="AR493" s="81">
        <f>INPUT!BQ380</f>
        <v>74.775510204081627</v>
      </c>
      <c r="AS493" s="240">
        <f>INPUT!BR380</f>
        <v>0.16397339604985461</v>
      </c>
      <c r="AT493" s="81">
        <f>INPUT!BS380</f>
        <v>75.313807531380746</v>
      </c>
      <c r="AU493" s="240">
        <f>INPUT!BT380</f>
        <v>0.59837135015969523</v>
      </c>
      <c r="AV493" s="81">
        <f>INPUT!BU380</f>
        <v>74.93897477624084</v>
      </c>
      <c r="AW493" s="240">
        <f>INPUT!BV380</f>
        <v>-2.3446245924825746</v>
      </c>
      <c r="AX493" s="81">
        <f>INPUT!BW380</f>
        <v>74.688187820983117</v>
      </c>
      <c r="AY493" s="240">
        <f>INPUT!BX380</f>
        <v>-0.61471910334715574</v>
      </c>
      <c r="AZ493" s="81">
        <f>INPUT!BY380</f>
        <v>70.810385523210073</v>
      </c>
      <c r="BA493" s="240">
        <f>INPUT!BZ380</f>
        <v>-5.3027049498555243</v>
      </c>
      <c r="BB493" s="81">
        <f>INPUT!CA380</f>
        <v>74.443591711435147</v>
      </c>
      <c r="BC493" s="240">
        <f>INPUT!CB380</f>
        <v>-1.1554532275944354</v>
      </c>
      <c r="BD493" s="81">
        <f>INPUT!CC380</f>
        <v>73.619186046511629</v>
      </c>
      <c r="BE493" s="240">
        <f>INPUT!CD380</f>
        <v>-1.7611513016690594</v>
      </c>
      <c r="BF493" s="81">
        <f>INPUT!CE380</f>
        <v>76.563528637261356</v>
      </c>
      <c r="BG493" s="240">
        <f>INPUT!CF380</f>
        <v>2.5108934504786333</v>
      </c>
      <c r="BH493" s="81">
        <f>INPUT!CG380</f>
        <v>77.089337175792508</v>
      </c>
      <c r="BI493" s="240">
        <f>INPUT!CH380</f>
        <v>8.8672750560358651</v>
      </c>
      <c r="BJ493" s="81">
        <f>INPUT!CI380</f>
        <v>77.026121902210306</v>
      </c>
      <c r="BK493" s="240">
        <f>INPUT!CJ380</f>
        <v>3.4691101428660147</v>
      </c>
      <c r="BL493" s="81">
        <f>INPUT!CK380</f>
        <v>76.986649713922446</v>
      </c>
      <c r="BM493" s="240">
        <f>INPUT!CL380</f>
        <v>4.5741658503033449</v>
      </c>
      <c r="BN493" s="81">
        <f>INPUT!CM380</f>
        <v>79.598853868194837</v>
      </c>
      <c r="BO493" s="240">
        <f>INPUT!CN380</f>
        <v>3.9644531606087412</v>
      </c>
      <c r="BP493" s="81">
        <f>INPUT!CO380</f>
        <v>76.66874610106052</v>
      </c>
      <c r="BQ493" s="240">
        <f>INPUT!CP380</f>
        <v>-0.54558916983926053</v>
      </c>
      <c r="BR493" s="81">
        <f>INPUT!CQ380</f>
        <v>77.485380116959064</v>
      </c>
      <c r="BS493" s="240">
        <f>INPUT!CR380</f>
        <v>0.59623696923469538</v>
      </c>
      <c r="BT493" s="81">
        <f>INPUT!CS380</f>
        <v>78.364269141531324</v>
      </c>
      <c r="BU493" s="240">
        <f>INPUT!CT380</f>
        <v>1.7894263911055077</v>
      </c>
      <c r="BV493" s="81">
        <f>INPUT!CU380</f>
        <v>77.604166666666657</v>
      </c>
      <c r="BW493" s="240">
        <f>INPUT!CV380</f>
        <v>-2.5059245260379157</v>
      </c>
      <c r="BX493" s="81">
        <f>INPUT!CW380</f>
        <v>78.587443946188344</v>
      </c>
      <c r="BY493" s="240">
        <f>INPUT!CX380</f>
        <v>2.5025814855491433</v>
      </c>
      <c r="BZ493" s="81">
        <f>INPUT!CY380</f>
        <v>79.337016574585633</v>
      </c>
      <c r="CA493" s="240">
        <f>INPUT!CZ380</f>
        <v>2.3896591264463751</v>
      </c>
      <c r="CB493" s="81">
        <f>INPUT!DA380</f>
        <v>80.470459518599554</v>
      </c>
      <c r="CC493" s="240">
        <f>INPUT!DB380</f>
        <v>2.687692235429779</v>
      </c>
      <c r="CD493" s="81">
        <f>INPUT!DC380</f>
        <v>80.353535353535349</v>
      </c>
      <c r="CE493" s="240">
        <f>INPUT!DD380</f>
        <v>3.5428106569046207</v>
      </c>
      <c r="CF493" s="81">
        <f>INPUT!DE380</f>
        <v>80.854800936768143</v>
      </c>
      <c r="CG493" s="240">
        <f>INPUT!DF380</f>
        <v>2.8851389951457804</v>
      </c>
      <c r="CH493" s="81">
        <f>INPUT!DG380</f>
        <v>80.519480519480524</v>
      </c>
      <c r="CI493" s="240">
        <f>INPUT!DH380</f>
        <v>1.4904315739970428</v>
      </c>
      <c r="CJ493" s="81">
        <f>INPUT!DI380</f>
        <v>85.089234312032232</v>
      </c>
      <c r="CK493" s="240">
        <f>INPUT!DJ380</f>
        <v>5.7397146991128096</v>
      </c>
      <c r="CL493" s="81">
        <f>INPUT!DK380</f>
        <v>82.886075949367083</v>
      </c>
      <c r="CM493" s="240">
        <f>INPUT!DL380</f>
        <v>3.1517475674084352</v>
      </c>
      <c r="CN493" s="81">
        <f>INPUT!DM380</f>
        <v>82.08450704225352</v>
      </c>
      <c r="CO493" s="240">
        <f>INPUT!DN380</f>
        <v>1.5208819899848152</v>
      </c>
      <c r="CP493" s="81">
        <f>INPUT!DO380</f>
        <v>83.483146067415731</v>
      </c>
      <c r="CQ493" s="240">
        <f>INPUT!DP380</f>
        <v>3.6806814063066184</v>
      </c>
      <c r="CR493" s="81">
        <f>INPUT!DQ380</f>
        <v>83.082271147161066</v>
      </c>
      <c r="CS493" s="240">
        <f>INPUT!DR380</f>
        <v>-2.3586569806368232</v>
      </c>
      <c r="CT493" s="81">
        <f>INPUT!DS380</f>
        <v>82.994261867501308</v>
      </c>
      <c r="CU493" s="240">
        <f>INPUT!DT380</f>
        <v>0.13052363366834641</v>
      </c>
      <c r="CV493" s="81">
        <f>INPUT!DU380</f>
        <v>84.696261682242991</v>
      </c>
      <c r="CW493" s="240">
        <f>INPUT!DV380</f>
        <v>3.1817875675918401</v>
      </c>
      <c r="CX493" s="81">
        <f>INPUT!DW380</f>
        <v>83.56481481481481</v>
      </c>
      <c r="CY493" s="240">
        <f>INPUT!DX380</f>
        <v>9.7826628782215153E-2</v>
      </c>
      <c r="CZ493" s="81">
        <f>INPUT!DY380</f>
        <v>84.67836257309942</v>
      </c>
      <c r="DA493" s="240">
        <f>INPUT!DZ380</f>
        <v>1.9210974903553648</v>
      </c>
      <c r="DB493" s="81">
        <f>INPUT!EA380</f>
        <v>84.104330708661408</v>
      </c>
      <c r="DC493" s="240">
        <f>INPUT!EB380</f>
        <v>1.3375248073563171</v>
      </c>
      <c r="DD493" s="81">
        <f>INPUT!EC380</f>
        <v>86.57824933687003</v>
      </c>
      <c r="DE493" s="240">
        <f>INPUT!ED380</f>
        <v>2.2220433549803289</v>
      </c>
      <c r="DF493" s="81">
        <f>INPUT!EE380</f>
        <v>83.779686710459828</v>
      </c>
      <c r="DG493" s="240">
        <f>INPUT!EF380</f>
        <v>0.25713201916524042</v>
      </c>
      <c r="DH493" s="81">
        <f>INPUT!EG380</f>
        <v>83.70640291514836</v>
      </c>
      <c r="DI493" s="240">
        <f>INPUT!EH380</f>
        <v>-1.14782528666872</v>
      </c>
      <c r="DJ493" s="81">
        <f>INPUT!EI380</f>
        <v>84.358047016274867</v>
      </c>
      <c r="DK493" s="240">
        <f>INPUT!EJ380</f>
        <v>0.30166854129348053</v>
      </c>
      <c r="DL493" s="81">
        <f>INPUT!EK380</f>
        <v>85.124378109452735</v>
      </c>
      <c r="DM493" s="240">
        <f>INPUT!EL380</f>
        <v>-1.6792569017656973</v>
      </c>
      <c r="DN493" s="81">
        <f>INPUT!EM380</f>
        <v>83.793103448275858</v>
      </c>
      <c r="DO493" s="240">
        <f>INPUT!EN380</f>
        <v>1.6014308888983919E-2</v>
      </c>
      <c r="DP493" s="81">
        <f>INPUT!EO380</f>
        <v>84.596695821185619</v>
      </c>
      <c r="DQ493" s="240">
        <f>INPUT!EP380</f>
        <v>1.0635899704587075</v>
      </c>
      <c r="DR493" s="81">
        <f>INPUT!EQ380</f>
        <v>84</v>
      </c>
      <c r="DS493" s="240">
        <f>INPUT!ER380</f>
        <v>-0.4244372990353753</v>
      </c>
      <c r="DT493" s="81">
        <f>INPUT!ES380</f>
        <v>84.5</v>
      </c>
      <c r="DU493" s="240">
        <f>INPUT!ET380</f>
        <v>-0.73348918760957815</v>
      </c>
      <c r="DV493" s="81">
        <f>INPUT!EU380</f>
        <v>84.2</v>
      </c>
      <c r="DW493" s="240">
        <f>INPUT!EV380</f>
        <v>0.48559670781894226</v>
      </c>
      <c r="DX493" s="81">
        <f>INPUT!EW380</f>
        <v>84.2</v>
      </c>
      <c r="DY493" s="240">
        <f>INPUT!EX380</f>
        <v>-0.46892590465249384</v>
      </c>
      <c r="DZ493" s="81"/>
      <c r="EA493" s="240"/>
      <c r="EB493" s="155">
        <f>INPUT!FI380</f>
        <v>0.17028338326841208</v>
      </c>
      <c r="EC493" s="81">
        <f>INPUT!FJ380</f>
        <v>70.652670013692372</v>
      </c>
      <c r="ED493" s="155">
        <f>INPUT!FK380</f>
        <v>-1.1986523452776225</v>
      </c>
      <c r="EE493" s="81">
        <f>INPUT!FL380</f>
        <v>70.525542080117603</v>
      </c>
      <c r="EF493" s="155">
        <f>INPUT!FM380</f>
        <v>-0.17993365792139571</v>
      </c>
      <c r="EG493" s="81">
        <f>INPUT!FN380</f>
        <v>72.525706940874031</v>
      </c>
      <c r="EH493" s="155">
        <f>INPUT!FO380</f>
        <v>2.8360857666067005</v>
      </c>
      <c r="EI493" s="81">
        <f>INPUT!FP380</f>
        <v>73.547717842323664</v>
      </c>
      <c r="EJ493" s="240">
        <f>INPUT!FQ380</f>
        <v>1.409170547324436</v>
      </c>
      <c r="EK493" s="81">
        <f>INPUT!FR380</f>
        <v>72.957950700821655</v>
      </c>
      <c r="EL493" s="240">
        <f>INPUT!FS380</f>
        <v>-0.80188367335392741</v>
      </c>
      <c r="EM493" s="81">
        <f>INPUT!FT380</f>
        <v>75.144252108300051</v>
      </c>
      <c r="EN493" s="240">
        <f>INPUT!FU380</f>
        <v>2.9966595641423055</v>
      </c>
      <c r="EO493" s="81">
        <f>INPUT!FV380</f>
        <v>75.165895837522626</v>
      </c>
      <c r="EP493" s="240">
        <f>INPUT!FW380</f>
        <v>2.8802907228865138E-2</v>
      </c>
      <c r="EQ493" s="81">
        <f>INPUT!FX380</f>
        <v>74.022770398481981</v>
      </c>
      <c r="ER493" s="240">
        <f>INPUT!FY380</f>
        <v>-1.5208033195155508</v>
      </c>
      <c r="ES493" s="81">
        <f>INPUT!FZ380</f>
        <v>76.912774150343211</v>
      </c>
      <c r="ET493" s="240">
        <f>INPUT!GA380</f>
        <v>3.9042091187666301</v>
      </c>
      <c r="EU493" s="81">
        <f>INPUT!GB380</f>
        <v>78.059569448540259</v>
      </c>
      <c r="EV493" s="240">
        <f>INPUT!GC380</f>
        <v>1.491033590799077</v>
      </c>
      <c r="EW493" s="81">
        <f>INPUT!GD380</f>
        <v>78.983928084990467</v>
      </c>
      <c r="EX493" s="240">
        <f>INPUT!GE380</f>
        <v>1.1841708108056821</v>
      </c>
      <c r="EY493" s="81">
        <f>INPUT!GF380</f>
        <v>81.66877370417194</v>
      </c>
      <c r="EZ493" s="240">
        <f>INPUT!GG380</f>
        <v>3.3992303045404952</v>
      </c>
      <c r="FA493" s="81">
        <f>INPUT!GH380</f>
        <v>82.883131201764058</v>
      </c>
      <c r="FB493" s="240">
        <f>INPUT!GI380</f>
        <v>1.4869300009216175</v>
      </c>
      <c r="FC493" s="81">
        <f>INPUT!GJ380</f>
        <v>83.953587094948361</v>
      </c>
      <c r="FD493" s="240">
        <f>INPUT!GK380</f>
        <v>1.291524436472443</v>
      </c>
      <c r="FE493" s="81">
        <f>INPUT!GL380</f>
        <v>84.520915952411414</v>
      </c>
      <c r="FF493" s="240">
        <f>INPUT!GM380</f>
        <v>0.67576488044689142</v>
      </c>
      <c r="FG493" s="81">
        <f>INPUT!GN380</f>
        <v>84.464500601684719</v>
      </c>
      <c r="FH493" s="240">
        <f>INPUT!GO380</f>
        <v>-6.6747206997206376E-2</v>
      </c>
      <c r="FI493" s="81">
        <f>INPUT!GP380</f>
        <v>84.219326113116736</v>
      </c>
      <c r="FJ493" s="240">
        <f>INPUT!GQ380</f>
        <v>-0.29026926912665374</v>
      </c>
      <c r="FK493" s="81">
        <f>INPUT!GR380</f>
        <v>84.219326113116736</v>
      </c>
      <c r="FL493" s="240">
        <f>INPUT!GS380</f>
        <v>0</v>
      </c>
      <c r="FM493" s="81">
        <f>INPUT!GT380</f>
        <v>84.219326113116736</v>
      </c>
      <c r="FN493" s="240">
        <f>INPUT!GU380</f>
        <v>0</v>
      </c>
      <c r="FO493" s="81">
        <f>INPUT!GV380</f>
        <v>84.219326113116736</v>
      </c>
      <c r="FP493" s="240">
        <f>INPUT!GW380</f>
        <v>0</v>
      </c>
      <c r="FQ493" s="81">
        <f>INPUT!GX380</f>
        <v>84.219326113116736</v>
      </c>
      <c r="FR493" s="240">
        <f>INPUT!GY380</f>
        <v>0</v>
      </c>
      <c r="FS493" s="240">
        <f>INPUT!GZ380</f>
        <v>-5.8121376456865548E-2</v>
      </c>
    </row>
    <row r="494" spans="1:176" ht="12.75" hidden="1" customHeight="1" outlineLevel="1" x14ac:dyDescent="0.2">
      <c r="A494" s="246" t="str">
        <f>INPUT!B381</f>
        <v>Operating Expenses/Total Revenues (%)</v>
      </c>
      <c r="B494" s="81">
        <f>INPUT!AA381</f>
        <v>27.298444130127297</v>
      </c>
      <c r="C494" s="155">
        <f>INPUT!AB381</f>
        <v>-8.5744415523547417</v>
      </c>
      <c r="D494" s="81">
        <f>INPUT!AC381</f>
        <v>26.705370101596515</v>
      </c>
      <c r="E494" s="155">
        <f>INPUT!AD381</f>
        <v>-8.5543387430179934</v>
      </c>
      <c r="F494" s="81">
        <f>INPUT!AE381</f>
        <v>28.000000000000004</v>
      </c>
      <c r="G494" s="155">
        <f>INPUT!AF381</f>
        <v>-5.347826086956502</v>
      </c>
      <c r="H494" s="81">
        <f>INPUT!AG381</f>
        <v>27.883396704689478</v>
      </c>
      <c r="I494" s="155">
        <f>INPUT!AH381</f>
        <v>-3.5635008998032305</v>
      </c>
      <c r="J494" s="81">
        <f>INPUT!AI381</f>
        <v>27.014218009478675</v>
      </c>
      <c r="K494" s="155">
        <f>INPUT!AJ381</f>
        <v>-1.0411806595781172</v>
      </c>
      <c r="L494" s="81">
        <f>INPUT!AK381</f>
        <v>26.408010012515643</v>
      </c>
      <c r="M494" s="155">
        <f>INPUT!AL381</f>
        <v>-1.1134842466126145</v>
      </c>
      <c r="N494" s="81">
        <f>INPUT!AM381</f>
        <v>27.014218009478675</v>
      </c>
      <c r="O494" s="155">
        <f>INPUT!AN381</f>
        <v>-3.5206499661476016</v>
      </c>
      <c r="P494" s="81">
        <f>INPUT!AO381</f>
        <v>28.789531079607418</v>
      </c>
      <c r="Q494" s="155">
        <f>INPUT!AP381</f>
        <v>3.2497273718647932</v>
      </c>
      <c r="R494" s="81">
        <f>INPUT!AQ381</f>
        <v>25.711820534943918</v>
      </c>
      <c r="S494" s="155">
        <f>INPUT!AR381</f>
        <v>-4.8211555636286647</v>
      </c>
      <c r="T494" s="81">
        <f>INPUT!AS381</f>
        <v>27.214022140221399</v>
      </c>
      <c r="U494" s="155">
        <f>INPUT!AT381</f>
        <v>3.0521501897483319</v>
      </c>
      <c r="V494" s="81">
        <f>INPUT!AU381</f>
        <v>24.931255728689276</v>
      </c>
      <c r="W494" s="155">
        <f>INPUT!AV381</f>
        <v>-7.7106147587116283</v>
      </c>
      <c r="X494" s="81">
        <f>INPUT!AW381</f>
        <v>25.435540069686414</v>
      </c>
      <c r="Y494" s="155">
        <f>INPUT!AX381</f>
        <v>-11.650036954914995</v>
      </c>
      <c r="Z494" s="81">
        <f>INPUT!AY381</f>
        <v>23.789991796554553</v>
      </c>
      <c r="AA494" s="155">
        <f>INPUT!AZ381</f>
        <v>-7.4744949925948845</v>
      </c>
      <c r="AB494" s="81">
        <f>INPUT!BA381</f>
        <v>23.857024106400665</v>
      </c>
      <c r="AC494" s="155">
        <f>INPUT!BB381</f>
        <v>-12.335545317497207</v>
      </c>
      <c r="AD494" s="81">
        <f>INPUT!BC381</f>
        <v>23.684210526315788</v>
      </c>
      <c r="AE494" s="155">
        <f>INPUT!BD381</f>
        <v>-5.0019349845201333</v>
      </c>
      <c r="AF494" s="81">
        <f>INPUT!BE381</f>
        <v>25.120385232744784</v>
      </c>
      <c r="AG494" s="155">
        <f>INPUT!BF381</f>
        <v>-1.2390334000307917</v>
      </c>
      <c r="AH494" s="81">
        <f>INPUT!BG381</f>
        <v>22.369389256806478</v>
      </c>
      <c r="AI494" s="240">
        <f>INPUT!BH381</f>
        <v>-5.9714292963893172</v>
      </c>
      <c r="AJ494" s="81">
        <f>INPUT!BI381</f>
        <v>23.547400611620795</v>
      </c>
      <c r="AK494" s="240">
        <f>INPUT!BJ381</f>
        <v>-1.297829492056394</v>
      </c>
      <c r="AL494" s="81">
        <f>INPUT!BK381</f>
        <v>23.511904761904763</v>
      </c>
      <c r="AM494" s="240">
        <f>INPUT!BL381</f>
        <v>-0.72751322751322789</v>
      </c>
      <c r="AN494" s="81">
        <f>INPUT!BM381</f>
        <v>25.089094796863865</v>
      </c>
      <c r="AO494" s="240">
        <f>INPUT!BN381</f>
        <v>-0.12456192686141776</v>
      </c>
      <c r="AP494" s="81">
        <f>INPUT!BO381</f>
        <v>21.876981610653139</v>
      </c>
      <c r="AQ494" s="240">
        <f>INPUT!BP381</f>
        <v>-2.2012565497446843</v>
      </c>
      <c r="AR494" s="81">
        <f>INPUT!BQ381</f>
        <v>22.901276024177299</v>
      </c>
      <c r="AS494" s="240">
        <f>INPUT!BR381</f>
        <v>-2.7439316895327579</v>
      </c>
      <c r="AT494" s="81">
        <f>INPUT!BS381</f>
        <v>22.229822161422707</v>
      </c>
      <c r="AU494" s="240">
        <f>INPUT!BT381</f>
        <v>-5.4529082754679763</v>
      </c>
      <c r="AV494" s="81">
        <f>INPUT!BU381</f>
        <v>23.427041499330656</v>
      </c>
      <c r="AW494" s="240">
        <f>INPUT!BV381</f>
        <v>-6.6246044785201406</v>
      </c>
      <c r="AX494" s="81">
        <f>INPUT!BW381</f>
        <v>21.924482338611451</v>
      </c>
      <c r="AY494" s="240">
        <f>INPUT!BX381</f>
        <v>0.21712651591379029</v>
      </c>
      <c r="AZ494" s="81">
        <f>INPUT!BY381</f>
        <v>22.027290448343077</v>
      </c>
      <c r="BA494" s="240">
        <f>INPUT!BZ381</f>
        <v>-3.8163182475576463</v>
      </c>
      <c r="BB494" s="81">
        <f>INPUT!CA381</f>
        <v>22.556390977443609</v>
      </c>
      <c r="BC494" s="240">
        <f>INPUT!CB381</f>
        <v>1.4690572585309525</v>
      </c>
      <c r="BD494" s="81">
        <f>INPUT!CC381</f>
        <v>23.949579831932773</v>
      </c>
      <c r="BE494" s="240">
        <f>INPUT!CD381</f>
        <v>2.2304921968787426</v>
      </c>
      <c r="BF494" s="81">
        <f>INPUT!CE381</f>
        <v>20.623632385120349</v>
      </c>
      <c r="BG494" s="240">
        <f>INPUT!CF381</f>
        <v>-5.9333211767566354</v>
      </c>
      <c r="BH494" s="81">
        <f>INPUT!CG381</f>
        <v>20.968694624926165</v>
      </c>
      <c r="BI494" s="240">
        <f>INPUT!CH381</f>
        <v>-4.8058376762201362</v>
      </c>
      <c r="BJ494" s="81">
        <f>INPUT!CI381</f>
        <v>20.646221248630887</v>
      </c>
      <c r="BK494" s="240">
        <f>INPUT!CJ381</f>
        <v>-8.4684191310697372</v>
      </c>
      <c r="BL494" s="81">
        <f>INPUT!CK381</f>
        <v>21.889763779527559</v>
      </c>
      <c r="BM494" s="240">
        <f>INPUT!CL381</f>
        <v>-8.6006354468849366</v>
      </c>
      <c r="BN494" s="81">
        <f>INPUT!CM381</f>
        <v>20.267048164043871</v>
      </c>
      <c r="BO494" s="240">
        <f>INPUT!CN381</f>
        <v>-1.7290078411878085</v>
      </c>
      <c r="BP494" s="81">
        <f>INPUT!CO381</f>
        <v>21.039094650205762</v>
      </c>
      <c r="BQ494" s="240">
        <f>INPUT!CP381</f>
        <v>0.33573871210805351</v>
      </c>
      <c r="BR494" s="81">
        <f>INPUT!CQ381</f>
        <v>20.134874759152215</v>
      </c>
      <c r="BS494" s="240">
        <f>INPUT!CR381</f>
        <v>-2.4767073999683191</v>
      </c>
      <c r="BT494" s="81">
        <f>INPUT!CS381</f>
        <v>21.151079136690647</v>
      </c>
      <c r="BU494" s="240">
        <f>INPUT!CT381</f>
        <v>-3.3745665338232982</v>
      </c>
      <c r="BV494" s="81">
        <f>INPUT!CU381</f>
        <v>19.982736296935695</v>
      </c>
      <c r="BW494" s="240">
        <f>INPUT!CV381</f>
        <v>-1.4028282007666917</v>
      </c>
      <c r="BX494" s="81">
        <f>INPUT!CW381</f>
        <v>20.8485401459854</v>
      </c>
      <c r="BY494" s="240">
        <f>INPUT!CX381</f>
        <v>-0.90571627433834578</v>
      </c>
      <c r="BZ494" s="81">
        <f>INPUT!CY381</f>
        <v>19.75860527492177</v>
      </c>
      <c r="CA494" s="240">
        <f>INPUT!CZ381</f>
        <v>-1.8687450939291921</v>
      </c>
      <c r="CB494" s="81">
        <f>INPUT!DA381</f>
        <v>21.143617021276594</v>
      </c>
      <c r="CC494" s="240">
        <f>INPUT!DB381</f>
        <v>-3.5280069474609377E-2</v>
      </c>
      <c r="CD494" s="81">
        <f>INPUT!DC381</f>
        <v>18.419975440032747</v>
      </c>
      <c r="CE494" s="240">
        <f>INPUT!DD381</f>
        <v>-7.8205548713696089</v>
      </c>
      <c r="CF494" s="81">
        <f>INPUT!DE381</f>
        <v>18.674698795180721</v>
      </c>
      <c r="CG494" s="240">
        <f>INPUT!DF381</f>
        <v>-10.426827660752423</v>
      </c>
      <c r="CH494" s="81">
        <f>INPUT!DG381</f>
        <v>17.441325356649791</v>
      </c>
      <c r="CI494" s="240">
        <f>INPUT!DH381</f>
        <v>-11.727952889534876</v>
      </c>
      <c r="CJ494" s="81">
        <f>INPUT!DI381</f>
        <v>19.419237749546276</v>
      </c>
      <c r="CK494" s="240">
        <f>INPUT!DJ381</f>
        <v>-8.1555547945987286</v>
      </c>
      <c r="CL494" s="81">
        <f>INPUT!DK381</f>
        <v>17.668414683340057</v>
      </c>
      <c r="CM494" s="240">
        <f>INPUT!DL381</f>
        <v>-4.0801398413338745</v>
      </c>
      <c r="CN494" s="81">
        <f>INPUT!DM381</f>
        <v>19.460415745245466</v>
      </c>
      <c r="CO494" s="240">
        <f>INPUT!DN381</f>
        <v>4.2073875390563842</v>
      </c>
      <c r="CP494" s="81">
        <f>INPUT!DO381</f>
        <v>18.607705779334502</v>
      </c>
      <c r="CQ494" s="240">
        <f>INPUT!DP381</f>
        <v>6.6874529247859584</v>
      </c>
      <c r="CR494" s="81">
        <f>INPUT!DQ381</f>
        <v>20.463664734730273</v>
      </c>
      <c r="CS494" s="240">
        <f>INPUT!DR381</f>
        <v>5.3783109237045039</v>
      </c>
      <c r="CT494" s="81">
        <f>INPUT!DS381</f>
        <v>17.895167895167894</v>
      </c>
      <c r="CU494" s="240">
        <f>INPUT!DT381</f>
        <v>1.2833817628337982</v>
      </c>
      <c r="CV494" s="81">
        <f>INPUT!DU381</f>
        <v>18.735992828328104</v>
      </c>
      <c r="CW494" s="240">
        <f>INPUT!DV381</f>
        <v>-3.7225459435230874</v>
      </c>
      <c r="CX494" s="81">
        <f>INPUT!DW381</f>
        <v>18.266666666666666</v>
      </c>
      <c r="CY494" s="240">
        <f>INPUT!DX381</f>
        <v>-1.8327843137254973</v>
      </c>
      <c r="CZ494" s="81">
        <f>INPUT!DY381</f>
        <v>20.497999110715874</v>
      </c>
      <c r="DA494" s="240">
        <f>INPUT!DZ381</f>
        <v>0.16778214670087266</v>
      </c>
      <c r="DB494" s="81">
        <f>INPUT!EA381</f>
        <v>18.053927315357562</v>
      </c>
      <c r="DC494" s="240">
        <f>INPUT!EB381</f>
        <v>0.8871636249500483</v>
      </c>
      <c r="DD494" s="81">
        <f>INPUT!EC381</f>
        <v>18.82498965659909</v>
      </c>
      <c r="DE494" s="240">
        <f>INPUT!ED381</f>
        <v>0.47500460256596</v>
      </c>
      <c r="DF494" s="81">
        <f>INPUT!EE381</f>
        <v>19.936833793920254</v>
      </c>
      <c r="DG494" s="240">
        <f>INPUT!EF381</f>
        <v>9.1432506966437188</v>
      </c>
      <c r="DH494" s="81">
        <f>INPUT!EG381</f>
        <v>20.468308437626163</v>
      </c>
      <c r="DI494" s="240">
        <f>INPUT!EH381</f>
        <v>-0.144846689324865</v>
      </c>
      <c r="DJ494" s="81">
        <f>INPUT!EI381</f>
        <v>20.050395968322533</v>
      </c>
      <c r="DK494" s="240">
        <f>INPUT!EJ381</f>
        <v>11.058362084279992</v>
      </c>
      <c r="DL494" s="81">
        <f>INPUT!EK381</f>
        <v>22.933643771827704</v>
      </c>
      <c r="DM494" s="240">
        <f>INPUT!EL381</f>
        <v>21.825531860456167</v>
      </c>
      <c r="DN494" s="81">
        <f>INPUT!EM381</f>
        <v>21.545489151122954</v>
      </c>
      <c r="DO494" s="240">
        <f>INPUT!EN381</f>
        <v>8.068760435236527</v>
      </c>
      <c r="DP494" s="81">
        <f>INPUT!EO381</f>
        <v>21.337340345604808</v>
      </c>
      <c r="DQ494" s="240">
        <f>INPUT!EP381</f>
        <v>4.245743660873984</v>
      </c>
      <c r="DR494" s="81">
        <f>INPUT!EQ381</f>
        <v>20.050395968322533</v>
      </c>
      <c r="DS494" s="240">
        <f>INPUT!ER381</f>
        <v>0</v>
      </c>
      <c r="DT494" s="81">
        <f>INPUT!ES381</f>
        <v>21.2</v>
      </c>
      <c r="DU494" s="240">
        <f>INPUT!ET381</f>
        <v>-7.5593908629441557</v>
      </c>
      <c r="DV494" s="81">
        <f>INPUT!EU381</f>
        <v>21.2</v>
      </c>
      <c r="DW494" s="240">
        <f>INPUT!EV381</f>
        <v>-1.6035335689046093</v>
      </c>
      <c r="DX494" s="81">
        <f>INPUT!EW381</f>
        <v>21.7</v>
      </c>
      <c r="DY494" s="240">
        <f>INPUT!EX381</f>
        <v>1.6996478873239482</v>
      </c>
      <c r="DZ494" s="81"/>
      <c r="EA494" s="240"/>
      <c r="EB494" s="155">
        <f>INPUT!FI381</f>
        <v>1.0900781274125251</v>
      </c>
      <c r="EC494" s="81">
        <f>INPUT!FJ381</f>
        <v>29.382093316519548</v>
      </c>
      <c r="ED494" s="155">
        <f>INPUT!FK381</f>
        <v>-8.6656336788541921</v>
      </c>
      <c r="EE494" s="81">
        <f>INPUT!FL381</f>
        <v>27.495741056218058</v>
      </c>
      <c r="EF494" s="155">
        <f>INPUT!FM381</f>
        <v>-6.4200744309831776</v>
      </c>
      <c r="EG494" s="81">
        <f>INPUT!FN381</f>
        <v>27.350176263219737</v>
      </c>
      <c r="EH494" s="155">
        <f>INPUT!FO381</f>
        <v>-0.52940850985139321</v>
      </c>
      <c r="EI494" s="81">
        <f>INPUT!FP381</f>
        <v>25.814368585452925</v>
      </c>
      <c r="EJ494" s="240">
        <f>INPUT!FQ381</f>
        <v>-5.615348372844494</v>
      </c>
      <c r="EK494" s="81">
        <f>INPUT!FR381</f>
        <v>24.119574119574118</v>
      </c>
      <c r="EL494" s="240">
        <f>INPUT!FS381</f>
        <v>-6.5653144304829851</v>
      </c>
      <c r="EM494" s="81">
        <f>INPUT!FT381</f>
        <v>23.642408570373107</v>
      </c>
      <c r="EN494" s="240">
        <f>INPUT!FU381</f>
        <v>-1.9783332277569912</v>
      </c>
      <c r="EO494" s="81">
        <f>INPUT!FV381</f>
        <v>22.634292366539167</v>
      </c>
      <c r="EP494" s="240">
        <f>INPUT!FW381</f>
        <v>-4.2640165059038679</v>
      </c>
      <c r="EQ494" s="81">
        <f>INPUT!FX381</f>
        <v>22.806194274988268</v>
      </c>
      <c r="ER494" s="240">
        <f>INPUT!FY381</f>
        <v>0.75947551469835162</v>
      </c>
      <c r="ES494" s="81">
        <f>INPUT!FZ381</f>
        <v>21.042471042471043</v>
      </c>
      <c r="ET494" s="240">
        <f>INPUT!GA381</f>
        <v>-7.7335271779716237</v>
      </c>
      <c r="EU494" s="81">
        <f>INPUT!GB381</f>
        <v>20.6413069982931</v>
      </c>
      <c r="EV494" s="240">
        <f>INPUT!GC381</f>
        <v>-1.9064493108639908</v>
      </c>
      <c r="EW494" s="81">
        <f>INPUT!GD381</f>
        <v>20.428793601421908</v>
      </c>
      <c r="EX494" s="240">
        <f>INPUT!GE381</f>
        <v>-1.0295539758638625</v>
      </c>
      <c r="EY494" s="81">
        <f>INPUT!GF381</f>
        <v>18.489641345511249</v>
      </c>
      <c r="EZ494" s="240">
        <f>INPUT!GG381</f>
        <v>-9.4922504663989997</v>
      </c>
      <c r="FA494" s="81">
        <f>INPUT!GH381</f>
        <v>19.013704543002049</v>
      </c>
      <c r="FB494" s="240">
        <f>INPUT!GI381</f>
        <v>2.8343610765496408</v>
      </c>
      <c r="FC494" s="81">
        <f>INPUT!GJ381</f>
        <v>18.829044919319667</v>
      </c>
      <c r="FD494" s="240">
        <f>INPUT!GK381</f>
        <v>-0.97119224328298515</v>
      </c>
      <c r="FE494" s="81">
        <f>INPUT!GL381</f>
        <v>19.317043861405971</v>
      </c>
      <c r="FF494" s="240">
        <f>INPUT!GM381</f>
        <v>2.5917349720993457</v>
      </c>
      <c r="FG494" s="81">
        <f>INPUT!GN381</f>
        <v>21.439308530627585</v>
      </c>
      <c r="FH494" s="240">
        <f>INPUT!GO381</f>
        <v>10.986487810703508</v>
      </c>
      <c r="FI494" s="81">
        <f>INPUT!GP381</f>
        <v>21.0250093949643</v>
      </c>
      <c r="FJ494" s="240">
        <f>INPUT!GQ381</f>
        <v>-1.9324276950043782</v>
      </c>
      <c r="FK494" s="81">
        <f>INPUT!GR381</f>
        <v>21.0250093949643</v>
      </c>
      <c r="FL494" s="240">
        <f>INPUT!GS381</f>
        <v>0</v>
      </c>
      <c r="FM494" s="81">
        <f>INPUT!GT381</f>
        <v>21.0250093949643</v>
      </c>
      <c r="FN494" s="240">
        <f>INPUT!GU381</f>
        <v>0</v>
      </c>
      <c r="FO494" s="81">
        <f>INPUT!GV381</f>
        <v>21.0250093949643</v>
      </c>
      <c r="FP494" s="240">
        <f>INPUT!GW381</f>
        <v>0</v>
      </c>
      <c r="FQ494" s="81">
        <f>INPUT!GX381</f>
        <v>21.0250093949643</v>
      </c>
      <c r="FR494" s="240">
        <f>INPUT!GY381</f>
        <v>0</v>
      </c>
      <c r="FS494" s="240">
        <f>INPUT!GZ381</f>
        <v>-0.38950807382899244</v>
      </c>
    </row>
    <row r="495" spans="1:176" ht="12.75" hidden="1" customHeight="1" outlineLevel="1" x14ac:dyDescent="0.2">
      <c r="A495" s="246"/>
      <c r="B495" s="510"/>
      <c r="C495" s="487"/>
      <c r="D495" s="510"/>
      <c r="E495" s="487"/>
      <c r="F495" s="510"/>
      <c r="G495" s="487"/>
      <c r="H495" s="510"/>
      <c r="I495" s="487"/>
      <c r="J495" s="510"/>
      <c r="K495" s="487"/>
      <c r="L495" s="510"/>
      <c r="M495" s="487"/>
      <c r="N495" s="510"/>
      <c r="O495" s="487"/>
      <c r="P495" s="510"/>
      <c r="Q495" s="487"/>
      <c r="R495" s="510"/>
      <c r="S495" s="487"/>
      <c r="T495" s="510"/>
      <c r="U495" s="487"/>
      <c r="V495" s="510"/>
      <c r="W495" s="487"/>
      <c r="X495" s="510"/>
      <c r="Y495" s="487"/>
      <c r="Z495" s="510"/>
      <c r="AA495" s="487"/>
      <c r="AB495" s="510"/>
      <c r="AC495" s="487"/>
      <c r="AD495" s="510"/>
      <c r="AE495" s="487"/>
      <c r="AF495" s="510"/>
      <c r="AG495" s="487"/>
      <c r="AH495" s="510"/>
      <c r="AI495" s="486"/>
      <c r="AJ495" s="510"/>
      <c r="AK495" s="486"/>
      <c r="AL495" s="510"/>
      <c r="AM495" s="486"/>
      <c r="AN495" s="510"/>
      <c r="AO495" s="486"/>
      <c r="AP495" s="510"/>
      <c r="AQ495" s="486"/>
      <c r="AR495" s="510"/>
      <c r="AS495" s="486"/>
      <c r="AT495" s="510"/>
      <c r="AU495" s="486"/>
      <c r="AV495" s="510"/>
      <c r="AW495" s="486"/>
      <c r="AX495" s="510"/>
      <c r="AY495" s="486"/>
      <c r="AZ495" s="510"/>
      <c r="BA495" s="486"/>
      <c r="BB495" s="510"/>
      <c r="BC495" s="486"/>
      <c r="BD495" s="510"/>
      <c r="BE495" s="486"/>
      <c r="BF495" s="510"/>
      <c r="BG495" s="486"/>
      <c r="BH495" s="510"/>
      <c r="BI495" s="486"/>
      <c r="BJ495" s="510"/>
      <c r="BK495" s="486"/>
      <c r="BL495" s="510"/>
      <c r="BM495" s="486"/>
      <c r="BN495" s="510"/>
      <c r="BO495" s="486"/>
      <c r="BP495" s="510"/>
      <c r="BQ495" s="486"/>
      <c r="BR495" s="510"/>
      <c r="BS495" s="486"/>
      <c r="BT495" s="510"/>
      <c r="BU495" s="486"/>
      <c r="BV495" s="510"/>
      <c r="BW495" s="486"/>
      <c r="BX495" s="510"/>
      <c r="BY495" s="486"/>
      <c r="BZ495" s="510"/>
      <c r="CA495" s="486"/>
      <c r="CB495" s="510"/>
      <c r="CC495" s="486"/>
      <c r="CD495" s="510"/>
      <c r="CE495" s="486"/>
      <c r="CF495" s="510"/>
      <c r="CG495" s="486"/>
      <c r="CH495" s="510"/>
      <c r="CI495" s="486"/>
      <c r="CJ495" s="510"/>
      <c r="CK495" s="486"/>
      <c r="CL495" s="510"/>
      <c r="CM495" s="486"/>
      <c r="CN495" s="510"/>
      <c r="CO495" s="486"/>
      <c r="CP495" s="510"/>
      <c r="CQ495" s="486"/>
      <c r="CR495" s="510"/>
      <c r="CS495" s="486"/>
      <c r="CT495" s="510"/>
      <c r="CU495" s="486"/>
      <c r="CV495" s="510"/>
      <c r="CW495" s="486"/>
      <c r="CX495" s="510"/>
      <c r="CY495" s="486"/>
      <c r="CZ495" s="510"/>
      <c r="DA495" s="486"/>
      <c r="DB495" s="510"/>
      <c r="DC495" s="486"/>
      <c r="DD495" s="510"/>
      <c r="DE495" s="486"/>
      <c r="DF495" s="510"/>
      <c r="DG495" s="486"/>
      <c r="DH495" s="510"/>
      <c r="DI495" s="486"/>
      <c r="DJ495" s="510"/>
      <c r="DK495" s="486"/>
      <c r="DL495" s="510"/>
      <c r="DM495" s="486"/>
      <c r="DN495" s="510"/>
      <c r="DO495" s="486"/>
      <c r="DP495" s="510"/>
      <c r="DQ495" s="486"/>
      <c r="DR495" s="510"/>
      <c r="DS495" s="486"/>
      <c r="DT495" s="510"/>
      <c r="DU495" s="486"/>
      <c r="DV495" s="510"/>
      <c r="DW495" s="486"/>
      <c r="DX495" s="510"/>
      <c r="DY495" s="486"/>
      <c r="DZ495" s="510"/>
      <c r="EA495" s="486"/>
      <c r="EB495" s="487"/>
      <c r="EC495" s="510"/>
      <c r="ED495" s="487"/>
      <c r="EE495" s="510"/>
      <c r="EF495" s="487"/>
      <c r="EG495" s="510"/>
      <c r="EH495" s="487"/>
      <c r="EI495" s="510"/>
      <c r="EJ495" s="486"/>
      <c r="EK495" s="510"/>
      <c r="EL495" s="486"/>
      <c r="EM495" s="510"/>
      <c r="EN495" s="486"/>
      <c r="EO495" s="510"/>
      <c r="EP495" s="486"/>
      <c r="EQ495" s="510"/>
      <c r="ER495" s="486"/>
      <c r="ES495" s="510"/>
      <c r="ET495" s="486"/>
      <c r="EU495" s="510"/>
      <c r="EV495" s="486"/>
      <c r="EW495" s="510"/>
      <c r="EX495" s="486"/>
      <c r="EY495" s="510"/>
      <c r="EZ495" s="486"/>
      <c r="FA495" s="510"/>
      <c r="FB495" s="486"/>
      <c r="FC495" s="510"/>
      <c r="FD495" s="486"/>
      <c r="FE495" s="510"/>
      <c r="FF495" s="486"/>
      <c r="FG495" s="510"/>
      <c r="FH495" s="486"/>
      <c r="FI495" s="510"/>
      <c r="FJ495" s="486"/>
      <c r="FK495" s="510"/>
      <c r="FL495" s="486"/>
      <c r="FM495" s="510"/>
      <c r="FN495" s="486"/>
      <c r="FO495" s="510"/>
      <c r="FP495" s="486"/>
      <c r="FQ495" s="510"/>
      <c r="FR495" s="486"/>
      <c r="FS495" s="486"/>
    </row>
    <row r="496" spans="1:176" ht="12.75" hidden="1" customHeight="1" outlineLevel="1" x14ac:dyDescent="0.2">
      <c r="A496" s="500" t="s">
        <v>507</v>
      </c>
      <c r="B496" s="510"/>
      <c r="C496" s="487"/>
      <c r="D496" s="510"/>
      <c r="E496" s="487"/>
      <c r="F496" s="510"/>
      <c r="G496" s="487"/>
      <c r="H496" s="510"/>
      <c r="I496" s="487"/>
      <c r="J496" s="510"/>
      <c r="K496" s="487"/>
      <c r="L496" s="510"/>
      <c r="M496" s="487"/>
      <c r="N496" s="510"/>
      <c r="O496" s="487"/>
      <c r="P496" s="510"/>
      <c r="Q496" s="487"/>
      <c r="R496" s="510"/>
      <c r="S496" s="487"/>
      <c r="T496" s="510"/>
      <c r="U496" s="487"/>
      <c r="V496" s="510"/>
      <c r="W496" s="487"/>
      <c r="X496" s="510"/>
      <c r="Y496" s="487"/>
      <c r="Z496" s="510"/>
      <c r="AA496" s="487"/>
      <c r="AB496" s="510"/>
      <c r="AC496" s="487"/>
      <c r="AD496" s="510"/>
      <c r="AE496" s="487"/>
      <c r="AF496" s="510"/>
      <c r="AG496" s="487"/>
      <c r="AH496" s="510"/>
      <c r="AI496" s="486"/>
      <c r="AJ496" s="510"/>
      <c r="AK496" s="486"/>
      <c r="AL496" s="510"/>
      <c r="AM496" s="486"/>
      <c r="AN496" s="510"/>
      <c r="AO496" s="486"/>
      <c r="AP496" s="510"/>
      <c r="AQ496" s="486"/>
      <c r="AR496" s="510"/>
      <c r="AS496" s="486"/>
      <c r="AT496" s="510"/>
      <c r="AU496" s="486"/>
      <c r="AV496" s="510"/>
      <c r="AW496" s="486"/>
      <c r="AX496" s="510"/>
      <c r="AY496" s="486"/>
      <c r="AZ496" s="510"/>
      <c r="BA496" s="486"/>
      <c r="BB496" s="510"/>
      <c r="BC496" s="486"/>
      <c r="BD496" s="510"/>
      <c r="BE496" s="486"/>
      <c r="BF496" s="510"/>
      <c r="BG496" s="486"/>
      <c r="BH496" s="510"/>
      <c r="BI496" s="486"/>
      <c r="BJ496" s="510"/>
      <c r="BK496" s="486"/>
      <c r="BL496" s="510"/>
      <c r="BM496" s="486"/>
      <c r="BN496" s="510"/>
      <c r="BO496" s="486"/>
      <c r="BP496" s="510"/>
      <c r="BQ496" s="486"/>
      <c r="BR496" s="510"/>
      <c r="BS496" s="486"/>
      <c r="BT496" s="510"/>
      <c r="BU496" s="486"/>
      <c r="BV496" s="510"/>
      <c r="BW496" s="486"/>
      <c r="BX496" s="510"/>
      <c r="BY496" s="486"/>
      <c r="BZ496" s="510"/>
      <c r="CA496" s="486"/>
      <c r="CB496" s="510"/>
      <c r="CC496" s="486"/>
      <c r="CD496" s="510"/>
      <c r="CE496" s="486"/>
      <c r="CF496" s="510"/>
      <c r="CG496" s="486"/>
      <c r="CH496" s="510"/>
      <c r="CI496" s="486"/>
      <c r="CJ496" s="510"/>
      <c r="CK496" s="486"/>
      <c r="CL496" s="510"/>
      <c r="CM496" s="486"/>
      <c r="CN496" s="510"/>
      <c r="CO496" s="486"/>
      <c r="CP496" s="510"/>
      <c r="CQ496" s="486"/>
      <c r="CR496" s="510"/>
      <c r="CS496" s="486"/>
      <c r="CT496" s="510"/>
      <c r="CU496" s="486"/>
      <c r="CV496" s="510"/>
      <c r="CW496" s="486"/>
      <c r="CX496" s="510"/>
      <c r="CY496" s="486"/>
      <c r="CZ496" s="510"/>
      <c r="DA496" s="486"/>
      <c r="DB496" s="510"/>
      <c r="DC496" s="486"/>
      <c r="DD496" s="510"/>
      <c r="DE496" s="486"/>
      <c r="DF496" s="510"/>
      <c r="DG496" s="486"/>
      <c r="DH496" s="510"/>
      <c r="DI496" s="486"/>
      <c r="DJ496" s="510"/>
      <c r="DK496" s="486"/>
      <c r="DL496" s="510"/>
      <c r="DM496" s="486"/>
      <c r="DN496" s="510"/>
      <c r="DO496" s="486"/>
      <c r="DP496" s="510"/>
      <c r="DQ496" s="486"/>
      <c r="DR496" s="510"/>
      <c r="DS496" s="486"/>
      <c r="DT496" s="510"/>
      <c r="DU496" s="486"/>
      <c r="DV496" s="510"/>
      <c r="DW496" s="486"/>
      <c r="DX496" s="510"/>
      <c r="DY496" s="486"/>
      <c r="DZ496" s="510"/>
      <c r="EA496" s="486"/>
      <c r="EB496" s="487"/>
      <c r="EC496" s="510"/>
      <c r="ED496" s="487"/>
      <c r="EE496" s="510"/>
      <c r="EF496" s="487"/>
      <c r="EG496" s="510"/>
      <c r="EH496" s="487"/>
      <c r="EI496" s="510"/>
      <c r="EJ496" s="486"/>
      <c r="EK496" s="510"/>
      <c r="EL496" s="486"/>
      <c r="EM496" s="510"/>
      <c r="EN496" s="486"/>
      <c r="EO496" s="510"/>
      <c r="EP496" s="486"/>
      <c r="EQ496" s="510"/>
      <c r="ER496" s="486"/>
      <c r="ES496" s="510"/>
      <c r="ET496" s="486"/>
      <c r="EU496" s="510"/>
      <c r="EV496" s="486"/>
      <c r="EW496" s="510"/>
      <c r="EX496" s="486"/>
      <c r="EY496" s="510"/>
      <c r="EZ496" s="486"/>
      <c r="FA496" s="510"/>
      <c r="FB496" s="486"/>
      <c r="FC496" s="510"/>
      <c r="FD496" s="486"/>
      <c r="FE496" s="510"/>
      <c r="FF496" s="486"/>
      <c r="FG496" s="510"/>
      <c r="FH496" s="486"/>
      <c r="FI496" s="510"/>
      <c r="FJ496" s="486"/>
      <c r="FK496" s="510"/>
      <c r="FL496" s="486"/>
      <c r="FM496" s="510"/>
      <c r="FN496" s="486"/>
      <c r="FO496" s="510"/>
      <c r="FP496" s="486"/>
      <c r="FQ496" s="510"/>
      <c r="FR496" s="486"/>
      <c r="FS496" s="486"/>
    </row>
    <row r="497" spans="1:176" ht="12.75" hidden="1" customHeight="1" outlineLevel="1" x14ac:dyDescent="0.2">
      <c r="A497" s="500" t="s">
        <v>543</v>
      </c>
      <c r="B497" s="510"/>
      <c r="C497" s="487"/>
      <c r="D497" s="510"/>
      <c r="E497" s="487"/>
      <c r="F497" s="510"/>
      <c r="G497" s="487"/>
      <c r="H497" s="510"/>
      <c r="I497" s="487"/>
      <c r="J497" s="510"/>
      <c r="K497" s="487"/>
      <c r="L497" s="510"/>
      <c r="M497" s="487"/>
      <c r="N497" s="510"/>
      <c r="O497" s="487"/>
      <c r="P497" s="510"/>
      <c r="Q497" s="487"/>
      <c r="R497" s="510"/>
      <c r="S497" s="487"/>
      <c r="T497" s="510"/>
      <c r="U497" s="487"/>
      <c r="V497" s="510"/>
      <c r="W497" s="487"/>
      <c r="X497" s="510"/>
      <c r="Y497" s="487"/>
      <c r="Z497" s="510"/>
      <c r="AA497" s="487"/>
      <c r="AB497" s="510"/>
      <c r="AC497" s="487"/>
      <c r="AD497" s="510"/>
      <c r="AE497" s="487"/>
      <c r="AF497" s="510"/>
      <c r="AG497" s="487"/>
      <c r="AH497" s="510"/>
      <c r="AI497" s="486"/>
      <c r="AJ497" s="510"/>
      <c r="AK497" s="486"/>
      <c r="AL497" s="510"/>
      <c r="AM497" s="486"/>
      <c r="AN497" s="510"/>
      <c r="AO497" s="486"/>
      <c r="AP497" s="510"/>
      <c r="AQ497" s="486"/>
      <c r="AR497" s="510"/>
      <c r="AS497" s="486"/>
      <c r="AT497" s="510"/>
      <c r="AU497" s="486"/>
      <c r="AV497" s="510"/>
      <c r="AW497" s="486"/>
      <c r="AX497" s="510"/>
      <c r="AY497" s="486"/>
      <c r="AZ497" s="510"/>
      <c r="BA497" s="486"/>
      <c r="BB497" s="510"/>
      <c r="BC497" s="486"/>
      <c r="BD497" s="510"/>
      <c r="BE497" s="486"/>
      <c r="BF497" s="510"/>
      <c r="BG497" s="486"/>
      <c r="BH497" s="510"/>
      <c r="BI497" s="486"/>
      <c r="BJ497" s="510"/>
      <c r="BK497" s="486"/>
      <c r="BL497" s="510"/>
      <c r="BM497" s="486"/>
      <c r="BN497" s="510"/>
      <c r="BO497" s="486"/>
      <c r="BP497" s="510"/>
      <c r="BQ497" s="486"/>
      <c r="BR497" s="510"/>
      <c r="BS497" s="486"/>
      <c r="BT497" s="510"/>
      <c r="BU497" s="486"/>
      <c r="BV497" s="510"/>
      <c r="BW497" s="486"/>
      <c r="BX497" s="510"/>
      <c r="BY497" s="486"/>
      <c r="BZ497" s="510"/>
      <c r="CA497" s="486"/>
      <c r="CB497" s="510"/>
      <c r="CC497" s="486"/>
      <c r="CD497" s="510"/>
      <c r="CE497" s="486"/>
      <c r="CF497" s="510"/>
      <c r="CG497" s="486"/>
      <c r="CH497" s="510"/>
      <c r="CI497" s="486"/>
      <c r="CJ497" s="510"/>
      <c r="CK497" s="486"/>
      <c r="CL497" s="510"/>
      <c r="CM497" s="486"/>
      <c r="CN497" s="510"/>
      <c r="CO497" s="486"/>
      <c r="CP497" s="510"/>
      <c r="CQ497" s="486"/>
      <c r="CR497" s="510"/>
      <c r="CS497" s="486"/>
      <c r="CT497" s="510"/>
      <c r="CU497" s="486"/>
      <c r="CV497" s="510"/>
      <c r="CW497" s="486"/>
      <c r="CX497" s="510"/>
      <c r="CY497" s="486"/>
      <c r="CZ497" s="510"/>
      <c r="DA497" s="486"/>
      <c r="DB497" s="510"/>
      <c r="DC497" s="486"/>
      <c r="DD497" s="510"/>
      <c r="DE497" s="486"/>
      <c r="DF497" s="510"/>
      <c r="DG497" s="486"/>
      <c r="DH497" s="510"/>
      <c r="DI497" s="486"/>
      <c r="DJ497" s="510"/>
      <c r="DK497" s="486"/>
      <c r="DL497" s="510"/>
      <c r="DM497" s="486"/>
      <c r="DN497" s="510"/>
      <c r="DO497" s="486"/>
      <c r="DP497" s="510"/>
      <c r="DQ497" s="486"/>
      <c r="DR497" s="510"/>
      <c r="DS497" s="486"/>
      <c r="DT497" s="510"/>
      <c r="DU497" s="486"/>
      <c r="DV497" s="510"/>
      <c r="DW497" s="486"/>
      <c r="DX497" s="510"/>
      <c r="DY497" s="486"/>
      <c r="DZ497" s="510"/>
      <c r="EA497" s="486"/>
      <c r="EB497" s="487"/>
      <c r="EC497" s="510"/>
      <c r="ED497" s="487"/>
      <c r="EE497" s="510"/>
      <c r="EF497" s="487"/>
      <c r="EG497" s="510"/>
      <c r="EH497" s="487"/>
      <c r="EI497" s="510"/>
      <c r="EJ497" s="486"/>
      <c r="EK497" s="510"/>
      <c r="EL497" s="486"/>
      <c r="EM497" s="510"/>
      <c r="EN497" s="486"/>
      <c r="EO497" s="510"/>
      <c r="EP497" s="486"/>
      <c r="EQ497" s="510"/>
      <c r="ER497" s="486"/>
      <c r="ES497" s="510"/>
      <c r="ET497" s="486"/>
      <c r="EU497" s="510"/>
      <c r="EV497" s="486"/>
      <c r="EW497" s="510"/>
      <c r="EX497" s="486"/>
      <c r="EY497" s="510"/>
      <c r="EZ497" s="486"/>
      <c r="FA497" s="510"/>
      <c r="FB497" s="486"/>
      <c r="FC497" s="510"/>
      <c r="FD497" s="486"/>
      <c r="FE497" s="510"/>
      <c r="FF497" s="486"/>
      <c r="FG497" s="510"/>
      <c r="FH497" s="486"/>
      <c r="FI497" s="510"/>
      <c r="FJ497" s="486"/>
      <c r="FK497" s="510"/>
      <c r="FL497" s="486"/>
      <c r="FM497" s="510"/>
      <c r="FN497" s="486"/>
      <c r="FO497" s="510"/>
      <c r="FP497" s="486"/>
      <c r="FQ497" s="510"/>
      <c r="FR497" s="486"/>
      <c r="FS497" s="486"/>
    </row>
    <row r="498" spans="1:176" ht="12.75" hidden="1" customHeight="1" outlineLevel="1" x14ac:dyDescent="0.2">
      <c r="A498" s="246"/>
      <c r="B498" s="510"/>
      <c r="C498" s="487"/>
      <c r="D498" s="510"/>
      <c r="E498" s="487"/>
      <c r="F498" s="510"/>
      <c r="G498" s="487"/>
      <c r="H498" s="510"/>
      <c r="I498" s="487"/>
      <c r="J498" s="510"/>
      <c r="K498" s="487"/>
      <c r="L498" s="510"/>
      <c r="M498" s="487"/>
      <c r="N498" s="510"/>
      <c r="O498" s="487"/>
      <c r="P498" s="510"/>
      <c r="Q498" s="487"/>
      <c r="R498" s="510"/>
      <c r="S498" s="487"/>
      <c r="T498" s="510"/>
      <c r="U498" s="487"/>
      <c r="V498" s="510"/>
      <c r="W498" s="487"/>
      <c r="X498" s="510"/>
      <c r="Y498" s="487"/>
      <c r="Z498" s="510"/>
      <c r="AA498" s="487"/>
      <c r="AB498" s="510"/>
      <c r="AC498" s="487"/>
      <c r="AD498" s="510"/>
      <c r="AE498" s="487"/>
      <c r="AF498" s="510"/>
      <c r="AG498" s="487"/>
      <c r="AH498" s="510"/>
      <c r="AI498" s="486"/>
      <c r="AJ498" s="510"/>
      <c r="AK498" s="486"/>
      <c r="AL498" s="510"/>
      <c r="AM498" s="486"/>
      <c r="AN498" s="510"/>
      <c r="AO498" s="486"/>
      <c r="AP498" s="510"/>
      <c r="AQ498" s="486"/>
      <c r="AR498" s="510"/>
      <c r="AS498" s="486"/>
      <c r="AT498" s="510"/>
      <c r="AU498" s="486"/>
      <c r="AV498" s="510"/>
      <c r="AW498" s="486"/>
      <c r="AX498" s="510"/>
      <c r="AY498" s="486"/>
      <c r="AZ498" s="510"/>
      <c r="BA498" s="486"/>
      <c r="BB498" s="510"/>
      <c r="BC498" s="486"/>
      <c r="BD498" s="510"/>
      <c r="BE498" s="486"/>
      <c r="BF498" s="510"/>
      <c r="BG498" s="486"/>
      <c r="BH498" s="510"/>
      <c r="BI498" s="486"/>
      <c r="BJ498" s="510"/>
      <c r="BK498" s="486"/>
      <c r="BL498" s="510"/>
      <c r="BM498" s="486"/>
      <c r="BN498" s="510"/>
      <c r="BO498" s="486"/>
      <c r="BP498" s="510"/>
      <c r="BQ498" s="486"/>
      <c r="BR498" s="510"/>
      <c r="BS498" s="486"/>
      <c r="BT498" s="510"/>
      <c r="BU498" s="486"/>
      <c r="BV498" s="510"/>
      <c r="BW498" s="486"/>
      <c r="BX498" s="510"/>
      <c r="BY498" s="486"/>
      <c r="BZ498" s="510"/>
      <c r="CA498" s="486"/>
      <c r="CB498" s="510"/>
      <c r="CC498" s="486"/>
      <c r="CD498" s="510"/>
      <c r="CE498" s="486"/>
      <c r="CF498" s="510"/>
      <c r="CG498" s="486"/>
      <c r="CH498" s="510"/>
      <c r="CI498" s="486"/>
      <c r="CJ498" s="510"/>
      <c r="CK498" s="486"/>
      <c r="CL498" s="510"/>
      <c r="CM498" s="486"/>
      <c r="CN498" s="510"/>
      <c r="CO498" s="486"/>
      <c r="CP498" s="510"/>
      <c r="CQ498" s="486"/>
      <c r="CR498" s="510"/>
      <c r="CS498" s="486"/>
      <c r="CT498" s="510"/>
      <c r="CU498" s="486"/>
      <c r="CV498" s="510"/>
      <c r="CW498" s="486"/>
      <c r="CX498" s="510"/>
      <c r="CY498" s="486"/>
      <c r="CZ498" s="510"/>
      <c r="DA498" s="486"/>
      <c r="DB498" s="510"/>
      <c r="DC498" s="486"/>
      <c r="DD498" s="510"/>
      <c r="DE498" s="486"/>
      <c r="DF498" s="510"/>
      <c r="DG498" s="486"/>
      <c r="DH498" s="510"/>
      <c r="DI498" s="486"/>
      <c r="DJ498" s="510"/>
      <c r="DK498" s="486"/>
      <c r="DL498" s="510"/>
      <c r="DM498" s="486"/>
      <c r="DN498" s="510"/>
      <c r="DO498" s="486"/>
      <c r="DP498" s="510"/>
      <c r="DQ498" s="486"/>
      <c r="DR498" s="510"/>
      <c r="DS498" s="486"/>
      <c r="DT498" s="510"/>
      <c r="DU498" s="486"/>
      <c r="DV498" s="510"/>
      <c r="DW498" s="486"/>
      <c r="DX498" s="510"/>
      <c r="DY498" s="486"/>
      <c r="DZ498" s="510"/>
      <c r="EA498" s="486"/>
      <c r="EB498" s="487"/>
      <c r="EC498" s="510"/>
      <c r="ED498" s="487"/>
      <c r="EE498" s="510"/>
      <c r="EF498" s="487"/>
      <c r="EG498" s="510"/>
      <c r="EH498" s="487"/>
      <c r="EI498" s="510"/>
      <c r="EJ498" s="486"/>
      <c r="EK498" s="510"/>
      <c r="EL498" s="486"/>
      <c r="EM498" s="510"/>
      <c r="EN498" s="486"/>
      <c r="EO498" s="510"/>
      <c r="EP498" s="486"/>
      <c r="EQ498" s="510"/>
      <c r="ER498" s="486"/>
      <c r="ES498" s="510"/>
      <c r="ET498" s="486"/>
      <c r="EU498" s="510"/>
      <c r="EV498" s="486"/>
      <c r="EW498" s="510"/>
      <c r="EX498" s="486"/>
      <c r="EY498" s="510"/>
      <c r="EZ498" s="486"/>
      <c r="FA498" s="510"/>
      <c r="FB498" s="486"/>
      <c r="FC498" s="510"/>
      <c r="FD498" s="486"/>
      <c r="FE498" s="510"/>
      <c r="FF498" s="486"/>
      <c r="FG498" s="510"/>
      <c r="FH498" s="486"/>
      <c r="FI498" s="510"/>
      <c r="FJ498" s="486"/>
      <c r="FK498" s="510"/>
      <c r="FL498" s="486"/>
      <c r="FM498" s="510"/>
      <c r="FN498" s="486"/>
      <c r="FO498" s="510"/>
      <c r="FP498" s="486"/>
      <c r="FQ498" s="510"/>
      <c r="FR498" s="486"/>
      <c r="FS498" s="486"/>
    </row>
    <row r="499" spans="1:176" ht="21.95" hidden="1" customHeight="1" outlineLevel="1" x14ac:dyDescent="0.25">
      <c r="A499" s="353" t="str">
        <f>$A$1</f>
        <v>Prudential Financial, Inc.</v>
      </c>
      <c r="B499" s="486"/>
      <c r="C499" s="487"/>
      <c r="D499" s="486"/>
      <c r="E499" s="487"/>
      <c r="F499" s="486"/>
      <c r="G499" s="487"/>
      <c r="H499" s="486"/>
      <c r="I499" s="487"/>
      <c r="J499" s="486"/>
      <c r="K499" s="487"/>
      <c r="L499" s="486"/>
      <c r="M499" s="487"/>
      <c r="N499" s="486"/>
      <c r="O499" s="487"/>
      <c r="P499" s="486"/>
      <c r="Q499" s="487"/>
      <c r="R499" s="486"/>
      <c r="S499" s="487"/>
      <c r="T499" s="486"/>
      <c r="U499" s="487"/>
      <c r="V499" s="486"/>
      <c r="W499" s="487"/>
      <c r="X499" s="486"/>
      <c r="Y499" s="487"/>
      <c r="Z499" s="486"/>
      <c r="AA499" s="487"/>
      <c r="AB499" s="486"/>
      <c r="AC499" s="487"/>
      <c r="AD499" s="486"/>
      <c r="AE499" s="487"/>
      <c r="AF499" s="486"/>
      <c r="AG499" s="487"/>
      <c r="AH499" s="486"/>
      <c r="AI499" s="486"/>
      <c r="AJ499" s="486"/>
      <c r="AK499" s="486"/>
      <c r="AL499" s="486"/>
      <c r="AM499" s="486"/>
      <c r="AN499" s="486"/>
      <c r="AO499" s="486"/>
      <c r="AP499" s="486"/>
      <c r="AQ499" s="486"/>
      <c r="AR499" s="486"/>
      <c r="AS499" s="486"/>
      <c r="AT499" s="486"/>
      <c r="AU499" s="486"/>
      <c r="AV499" s="486"/>
      <c r="AW499" s="486"/>
      <c r="AX499" s="486"/>
      <c r="AY499" s="486"/>
      <c r="AZ499" s="486"/>
      <c r="BA499" s="486"/>
      <c r="BB499" s="486"/>
      <c r="BC499" s="486"/>
      <c r="BD499" s="486"/>
      <c r="BE499" s="486"/>
      <c r="BF499" s="486"/>
      <c r="BG499" s="486"/>
      <c r="BH499" s="486"/>
      <c r="BI499" s="486"/>
      <c r="BJ499" s="486"/>
      <c r="BK499" s="486"/>
      <c r="BL499" s="486"/>
      <c r="BM499" s="486"/>
      <c r="BN499" s="486"/>
      <c r="BO499" s="486"/>
      <c r="BP499" s="486"/>
      <c r="BQ499" s="486"/>
      <c r="BR499" s="486"/>
      <c r="BS499" s="486"/>
      <c r="BT499" s="486"/>
      <c r="BU499" s="486"/>
      <c r="BV499" s="486"/>
      <c r="BW499" s="486"/>
      <c r="BX499" s="486"/>
      <c r="BY499" s="486"/>
      <c r="BZ499" s="486"/>
      <c r="CA499" s="486"/>
      <c r="CB499" s="486"/>
      <c r="CC499" s="486"/>
      <c r="CD499" s="486"/>
      <c r="CE499" s="486"/>
      <c r="CF499" s="486"/>
      <c r="CG499" s="486"/>
      <c r="CH499" s="486"/>
      <c r="CI499" s="486"/>
      <c r="CJ499" s="486"/>
      <c r="CK499" s="486"/>
      <c r="CL499" s="486"/>
      <c r="CM499" s="486"/>
      <c r="CN499" s="486"/>
      <c r="CO499" s="486"/>
      <c r="CP499" s="486"/>
      <c r="CQ499" s="486"/>
      <c r="CR499" s="486"/>
      <c r="CS499" s="486"/>
      <c r="CT499" s="486"/>
      <c r="CU499" s="486"/>
      <c r="CV499" s="486"/>
      <c r="CW499" s="486"/>
      <c r="CX499" s="486"/>
      <c r="CY499" s="486"/>
      <c r="CZ499" s="486"/>
      <c r="DA499" s="486"/>
      <c r="DB499" s="486"/>
      <c r="DC499" s="486"/>
      <c r="DD499" s="486"/>
      <c r="DE499" s="486"/>
      <c r="DF499" s="486"/>
      <c r="DG499" s="486"/>
      <c r="DH499" s="486"/>
      <c r="DI499" s="486"/>
      <c r="DJ499" s="486"/>
      <c r="DK499" s="486"/>
      <c r="DL499" s="486"/>
      <c r="DM499" s="486"/>
      <c r="DN499" s="486"/>
      <c r="DO499" s="486"/>
      <c r="DP499" s="486"/>
      <c r="DQ499" s="486"/>
      <c r="DR499" s="486"/>
      <c r="DS499" s="486"/>
      <c r="DT499" s="486"/>
      <c r="DU499" s="486"/>
      <c r="DV499" s="486"/>
      <c r="DW499" s="486"/>
      <c r="DX499" s="486"/>
      <c r="DY499" s="486"/>
      <c r="DZ499" s="486"/>
      <c r="EA499" s="486"/>
      <c r="EB499" s="487"/>
      <c r="EC499" s="486"/>
      <c r="ED499" s="487"/>
      <c r="EE499" s="486"/>
      <c r="EF499" s="487"/>
      <c r="EG499" s="486"/>
      <c r="EH499" s="487"/>
      <c r="EI499" s="486"/>
      <c r="EJ499" s="486"/>
      <c r="EK499" s="486"/>
      <c r="EL499" s="486"/>
      <c r="EM499" s="486"/>
      <c r="EN499" s="486"/>
      <c r="EO499" s="486"/>
      <c r="EP499" s="486"/>
      <c r="EQ499" s="486"/>
      <c r="ER499" s="486"/>
      <c r="ES499" s="486"/>
      <c r="ET499" s="486"/>
      <c r="EU499" s="486"/>
      <c r="EV499" s="486"/>
      <c r="EW499" s="486"/>
      <c r="EX499" s="486"/>
      <c r="EY499" s="486"/>
      <c r="EZ499" s="486"/>
      <c r="FA499" s="486"/>
      <c r="FB499" s="486"/>
      <c r="FC499" s="486"/>
      <c r="FD499" s="486"/>
      <c r="FE499" s="486"/>
      <c r="FF499" s="486"/>
      <c r="FG499" s="486"/>
      <c r="FH499" s="486"/>
      <c r="FI499" s="486"/>
      <c r="FJ499" s="486"/>
      <c r="FK499" s="486"/>
      <c r="FL499" s="486"/>
      <c r="FM499" s="486"/>
      <c r="FN499" s="486"/>
      <c r="FO499" s="486"/>
      <c r="FP499" s="486"/>
      <c r="FQ499" s="486"/>
      <c r="FR499" s="486"/>
      <c r="FS499" s="486"/>
    </row>
    <row r="500" spans="1:176" ht="12.75" hidden="1" customHeight="1" outlineLevel="1" x14ac:dyDescent="0.2">
      <c r="A500" s="488" t="s">
        <v>387</v>
      </c>
      <c r="B500" s="489"/>
      <c r="C500" s="490"/>
      <c r="D500" s="489"/>
      <c r="E500" s="490"/>
      <c r="F500" s="489"/>
      <c r="G500" s="490"/>
      <c r="H500" s="489"/>
      <c r="I500" s="490"/>
      <c r="J500" s="489"/>
      <c r="K500" s="490"/>
      <c r="L500" s="489"/>
      <c r="M500" s="490"/>
      <c r="N500" s="489"/>
      <c r="O500" s="490"/>
      <c r="P500" s="489"/>
      <c r="Q500" s="490"/>
      <c r="R500" s="489"/>
      <c r="S500" s="490"/>
      <c r="T500" s="489"/>
      <c r="U500" s="490"/>
      <c r="V500" s="489"/>
      <c r="W500" s="490"/>
      <c r="X500" s="489"/>
      <c r="Y500" s="490"/>
      <c r="Z500" s="489"/>
      <c r="AA500" s="490"/>
      <c r="AB500" s="489"/>
      <c r="AC500" s="490"/>
      <c r="AD500" s="489"/>
      <c r="AE500" s="490"/>
      <c r="AF500" s="489"/>
      <c r="AG500" s="490"/>
      <c r="AH500" s="489"/>
      <c r="AI500" s="489"/>
      <c r="AJ500" s="489"/>
      <c r="AK500" s="489"/>
      <c r="AL500" s="489"/>
      <c r="AM500" s="489"/>
      <c r="AN500" s="489"/>
      <c r="AO500" s="489"/>
      <c r="AP500" s="489"/>
      <c r="AQ500" s="489"/>
      <c r="AR500" s="489"/>
      <c r="AS500" s="489"/>
      <c r="AT500" s="489"/>
      <c r="AU500" s="489"/>
      <c r="AV500" s="489"/>
      <c r="AW500" s="489"/>
      <c r="AX500" s="489"/>
      <c r="AY500" s="489"/>
      <c r="AZ500" s="489"/>
      <c r="BA500" s="489"/>
      <c r="BB500" s="489"/>
      <c r="BC500" s="489"/>
      <c r="BD500" s="489"/>
      <c r="BE500" s="489"/>
      <c r="BF500" s="489"/>
      <c r="BG500" s="489"/>
      <c r="BH500" s="489"/>
      <c r="BI500" s="489"/>
      <c r="BJ500" s="489"/>
      <c r="BK500" s="489"/>
      <c r="BL500" s="489"/>
      <c r="BM500" s="489"/>
      <c r="BN500" s="489"/>
      <c r="BO500" s="489"/>
      <c r="BP500" s="489"/>
      <c r="BQ500" s="489"/>
      <c r="BR500" s="489"/>
      <c r="BS500" s="489"/>
      <c r="BT500" s="489"/>
      <c r="BU500" s="489"/>
      <c r="BV500" s="489"/>
      <c r="BW500" s="489"/>
      <c r="BX500" s="489"/>
      <c r="BY500" s="489"/>
      <c r="BZ500" s="489"/>
      <c r="CA500" s="489"/>
      <c r="CB500" s="489"/>
      <c r="CC500" s="489"/>
      <c r="CD500" s="489"/>
      <c r="CE500" s="489"/>
      <c r="CF500" s="489"/>
      <c r="CG500" s="489"/>
      <c r="CH500" s="489"/>
      <c r="CI500" s="489"/>
      <c r="CJ500" s="489"/>
      <c r="CK500" s="489"/>
      <c r="CL500" s="489"/>
      <c r="CM500" s="489"/>
      <c r="CN500" s="489"/>
      <c r="CO500" s="489"/>
      <c r="CP500" s="489"/>
      <c r="CQ500" s="489"/>
      <c r="CR500" s="489"/>
      <c r="CS500" s="489"/>
      <c r="CT500" s="489"/>
      <c r="CU500" s="489"/>
      <c r="CV500" s="489"/>
      <c r="CW500" s="489"/>
      <c r="CX500" s="489"/>
      <c r="CY500" s="489"/>
      <c r="CZ500" s="489"/>
      <c r="DA500" s="489"/>
      <c r="DB500" s="489"/>
      <c r="DC500" s="489"/>
      <c r="DD500" s="489"/>
      <c r="DE500" s="489"/>
      <c r="DF500" s="489"/>
      <c r="DG500" s="489"/>
      <c r="DH500" s="489"/>
      <c r="DI500" s="489"/>
      <c r="DJ500" s="489"/>
      <c r="DK500" s="489"/>
      <c r="DL500" s="489"/>
      <c r="DM500" s="489"/>
      <c r="DN500" s="489"/>
      <c r="DO500" s="489"/>
      <c r="DP500" s="489"/>
      <c r="DQ500" s="489"/>
      <c r="DR500" s="489"/>
      <c r="DS500" s="489"/>
      <c r="DT500" s="489"/>
      <c r="DU500" s="489"/>
      <c r="DV500" s="489"/>
      <c r="DW500" s="489"/>
      <c r="DX500" s="489"/>
      <c r="DY500" s="489"/>
      <c r="DZ500" s="489"/>
      <c r="EA500" s="489"/>
      <c r="EB500" s="490"/>
      <c r="EC500" s="489"/>
      <c r="ED500" s="490"/>
      <c r="EE500" s="489"/>
      <c r="EF500" s="490"/>
      <c r="EG500" s="489"/>
      <c r="EH500" s="490"/>
      <c r="EI500" s="489"/>
      <c r="EJ500" s="489"/>
      <c r="EK500" s="489"/>
      <c r="EL500" s="489"/>
      <c r="EM500" s="489"/>
      <c r="EN500" s="489"/>
      <c r="EO500" s="489"/>
      <c r="EP500" s="489"/>
      <c r="EQ500" s="489"/>
      <c r="ER500" s="489"/>
      <c r="ES500" s="489"/>
      <c r="ET500" s="489"/>
      <c r="EU500" s="489"/>
      <c r="EV500" s="489"/>
      <c r="EW500" s="489"/>
      <c r="EX500" s="489"/>
      <c r="EY500" s="489"/>
      <c r="EZ500" s="489"/>
      <c r="FA500" s="489"/>
      <c r="FB500" s="489"/>
      <c r="FC500" s="489"/>
      <c r="FD500" s="489"/>
      <c r="FE500" s="489"/>
      <c r="FF500" s="489"/>
      <c r="FG500" s="489"/>
      <c r="FH500" s="489"/>
      <c r="FI500" s="489"/>
      <c r="FJ500" s="489"/>
      <c r="FK500" s="489"/>
      <c r="FL500" s="489"/>
      <c r="FM500" s="489"/>
      <c r="FN500" s="489"/>
      <c r="FO500" s="489"/>
      <c r="FP500" s="489"/>
      <c r="FQ500" s="489"/>
      <c r="FR500" s="489"/>
      <c r="FS500" s="489"/>
    </row>
    <row r="501" spans="1:176" ht="12.75" hidden="1" customHeight="1" outlineLevel="1" x14ac:dyDescent="0.2">
      <c r="A501" s="348" t="str">
        <f>A$3</f>
        <v>($Millions Except Per Share Data)</v>
      </c>
      <c r="B501" s="502"/>
      <c r="C501" s="503" t="str">
        <f>C$3</f>
        <v>1Q03/</v>
      </c>
      <c r="D501" s="502"/>
      <c r="E501" s="503" t="str">
        <f>E$3</f>
        <v>2Q03/</v>
      </c>
      <c r="F501" s="502"/>
      <c r="G501" s="503" t="str">
        <f>G$3</f>
        <v>3Q03/</v>
      </c>
      <c r="H501" s="502"/>
      <c r="I501" s="503" t="str">
        <f>I$3</f>
        <v>4Q03/</v>
      </c>
      <c r="J501" s="502"/>
      <c r="K501" s="503" t="str">
        <f>K$3</f>
        <v>1Q04/</v>
      </c>
      <c r="L501" s="502"/>
      <c r="M501" s="503" t="str">
        <f>M$3</f>
        <v>2Q04/</v>
      </c>
      <c r="N501" s="502"/>
      <c r="O501" s="503" t="str">
        <f>O$3</f>
        <v>3Q04/</v>
      </c>
      <c r="P501" s="502"/>
      <c r="Q501" s="503" t="str">
        <f>Q$3</f>
        <v>4Q04/</v>
      </c>
      <c r="R501" s="502"/>
      <c r="S501" s="503" t="str">
        <f>S$3</f>
        <v>1Q05/</v>
      </c>
      <c r="T501" s="502"/>
      <c r="U501" s="503" t="str">
        <f>U$3</f>
        <v>2Q05/</v>
      </c>
      <c r="V501" s="502"/>
      <c r="W501" s="503" t="str">
        <f>W$3</f>
        <v>3Q05/</v>
      </c>
      <c r="X501" s="502"/>
      <c r="Y501" s="503" t="str">
        <f>Y$3</f>
        <v>4Q05/</v>
      </c>
      <c r="Z501" s="502"/>
      <c r="AA501" s="503" t="str">
        <f>AA$3</f>
        <v>1Q06/</v>
      </c>
      <c r="AB501" s="502"/>
      <c r="AC501" s="503" t="str">
        <f>AC$3</f>
        <v>2Q06/</v>
      </c>
      <c r="AD501" s="502"/>
      <c r="AE501" s="503" t="str">
        <f>AE$3</f>
        <v>3Q06/</v>
      </c>
      <c r="AF501" s="502"/>
      <c r="AG501" s="503" t="str">
        <f>AG$3</f>
        <v>4Q06/</v>
      </c>
      <c r="AH501" s="502"/>
      <c r="AI501" s="504" t="str">
        <f>AI$3</f>
        <v>1Q07/</v>
      </c>
      <c r="AJ501" s="502"/>
      <c r="AK501" s="504" t="str">
        <f>AK$3</f>
        <v>2Q07/</v>
      </c>
      <c r="AL501" s="502"/>
      <c r="AM501" s="504" t="str">
        <f>AM$3</f>
        <v>3Q07/</v>
      </c>
      <c r="AN501" s="502"/>
      <c r="AO501" s="504" t="str">
        <f>AO$3</f>
        <v>4Q07/</v>
      </c>
      <c r="AP501" s="502"/>
      <c r="AQ501" s="504" t="str">
        <f>AQ$3</f>
        <v>1Q08/</v>
      </c>
      <c r="AR501" s="502"/>
      <c r="AS501" s="504" t="str">
        <f>AS$3</f>
        <v>2Q08/</v>
      </c>
      <c r="AT501" s="502"/>
      <c r="AU501" s="504" t="str">
        <f>AU$3</f>
        <v>3Q08/</v>
      </c>
      <c r="AV501" s="502"/>
      <c r="AW501" s="504" t="str">
        <f>AW$3</f>
        <v>4Q08/</v>
      </c>
      <c r="AX501" s="502"/>
      <c r="AY501" s="504" t="str">
        <f>AY$3</f>
        <v>1Q09/</v>
      </c>
      <c r="AZ501" s="502"/>
      <c r="BA501" s="504" t="str">
        <f>BA$3</f>
        <v>2Q09/</v>
      </c>
      <c r="BB501" s="502"/>
      <c r="BC501" s="504" t="str">
        <f>BC$3</f>
        <v>3Q09/</v>
      </c>
      <c r="BD501" s="502"/>
      <c r="BE501" s="504" t="str">
        <f>BE$3</f>
        <v>4Q09/</v>
      </c>
      <c r="BF501" s="502"/>
      <c r="BG501" s="504" t="str">
        <f>BG$3</f>
        <v>1Q10/</v>
      </c>
      <c r="BH501" s="502"/>
      <c r="BI501" s="504" t="str">
        <f>BI$3</f>
        <v>2Q10/</v>
      </c>
      <c r="BJ501" s="502"/>
      <c r="BK501" s="504" t="str">
        <f>BK$3</f>
        <v>3Q10/</v>
      </c>
      <c r="BL501" s="502"/>
      <c r="BM501" s="504" t="str">
        <f>BM$3</f>
        <v>4Q10/</v>
      </c>
      <c r="BN501" s="502"/>
      <c r="BO501" s="504" t="str">
        <f>BO$3</f>
        <v>1Q11/</v>
      </c>
      <c r="BP501" s="502"/>
      <c r="BQ501" s="504" t="str">
        <f>BQ$3</f>
        <v>2Q11/</v>
      </c>
      <c r="BR501" s="502"/>
      <c r="BS501" s="504" t="str">
        <f>BS$3</f>
        <v>3Q11/</v>
      </c>
      <c r="BT501" s="502"/>
      <c r="BU501" s="504" t="str">
        <f>BU$3</f>
        <v>4Q11/</v>
      </c>
      <c r="BV501" s="502"/>
      <c r="BW501" s="504" t="str">
        <f>BW$3</f>
        <v>1Q12/</v>
      </c>
      <c r="BX501" s="502"/>
      <c r="BY501" s="504" t="str">
        <f>BY$3</f>
        <v>2Q12/</v>
      </c>
      <c r="BZ501" s="502"/>
      <c r="CA501" s="504" t="str">
        <f>CA$3</f>
        <v>3Q12/</v>
      </c>
      <c r="CB501" s="502"/>
      <c r="CC501" s="504" t="str">
        <f>CC$3</f>
        <v>4Q12/</v>
      </c>
      <c r="CD501" s="502"/>
      <c r="CE501" s="504" t="str">
        <f>CE$3</f>
        <v>1Q13/</v>
      </c>
      <c r="CF501" s="502"/>
      <c r="CG501" s="504" t="str">
        <f>CG$3</f>
        <v>2Q13/</v>
      </c>
      <c r="CH501" s="502"/>
      <c r="CI501" s="504" t="str">
        <f>CI$3</f>
        <v>3Q13/</v>
      </c>
      <c r="CJ501" s="502"/>
      <c r="CK501" s="504" t="str">
        <f>CK$3</f>
        <v>4Q13/</v>
      </c>
      <c r="CL501" s="502"/>
      <c r="CM501" s="504" t="str">
        <f>CM$3</f>
        <v>1Q14/</v>
      </c>
      <c r="CN501" s="502"/>
      <c r="CO501" s="504" t="str">
        <f>CO$3</f>
        <v>2Q14/</v>
      </c>
      <c r="CP501" s="502"/>
      <c r="CQ501" s="504" t="str">
        <f>CQ$3</f>
        <v>3Q14/</v>
      </c>
      <c r="CR501" s="502"/>
      <c r="CS501" s="504" t="str">
        <f>CS$3</f>
        <v>4Q14/</v>
      </c>
      <c r="CT501" s="502"/>
      <c r="CU501" s="504" t="str">
        <f>CU$3</f>
        <v>1Q15/</v>
      </c>
      <c r="CV501" s="502"/>
      <c r="CW501" s="504" t="str">
        <f>CW$3</f>
        <v>2Q15/</v>
      </c>
      <c r="CX501" s="502"/>
      <c r="CY501" s="504" t="str">
        <f>CY$3</f>
        <v>3Q15/</v>
      </c>
      <c r="CZ501" s="502"/>
      <c r="DA501" s="504" t="str">
        <f>DA$3</f>
        <v>4Q15/</v>
      </c>
      <c r="DB501" s="502"/>
      <c r="DC501" s="504" t="str">
        <f>DC$3</f>
        <v>1Q16/</v>
      </c>
      <c r="DD501" s="502"/>
      <c r="DE501" s="504" t="str">
        <f>DE$3</f>
        <v>2Q16/</v>
      </c>
      <c r="DF501" s="502"/>
      <c r="DG501" s="504" t="str">
        <f>DG$3</f>
        <v>3Q16/</v>
      </c>
      <c r="DH501" s="502"/>
      <c r="DI501" s="504" t="str">
        <f>DI$3</f>
        <v>4Q16/</v>
      </c>
      <c r="DJ501" s="502"/>
      <c r="DK501" s="504" t="str">
        <f>DK$3</f>
        <v>1Q17/</v>
      </c>
      <c r="DL501" s="502"/>
      <c r="DM501" s="504" t="str">
        <f>DM$3</f>
        <v>2Q17/</v>
      </c>
      <c r="DN501" s="502"/>
      <c r="DO501" s="504" t="str">
        <f>DO$3</f>
        <v>3Q17/</v>
      </c>
      <c r="DP501" s="502"/>
      <c r="DQ501" s="504" t="str">
        <f>DQ$3</f>
        <v>4Q17/</v>
      </c>
      <c r="DR501" s="502"/>
      <c r="DS501" s="504" t="str">
        <f>DS$3</f>
        <v>1Q18E/</v>
      </c>
      <c r="DT501" s="502"/>
      <c r="DU501" s="504" t="str">
        <f>DU$3</f>
        <v>2Q18E/</v>
      </c>
      <c r="DV501" s="502"/>
      <c r="DW501" s="504" t="str">
        <f>DW$3</f>
        <v>3Q18E/</v>
      </c>
      <c r="DX501" s="502"/>
      <c r="DY501" s="504" t="str">
        <f>DY$3</f>
        <v>4Q18E/</v>
      </c>
      <c r="DZ501" s="502"/>
      <c r="EA501" s="504"/>
      <c r="EB501" s="503" t="str">
        <f>EB$3</f>
        <v>2001/</v>
      </c>
      <c r="EC501" s="502"/>
      <c r="ED501" s="503" t="str">
        <f>ED$3</f>
        <v>2002/</v>
      </c>
      <c r="EE501" s="502"/>
      <c r="EF501" s="503" t="str">
        <f>EF$3</f>
        <v>2003/</v>
      </c>
      <c r="EG501" s="502"/>
      <c r="EH501" s="503" t="str">
        <f>EH$3</f>
        <v>2004/</v>
      </c>
      <c r="EI501" s="502"/>
      <c r="EJ501" s="504" t="str">
        <f>EJ$3</f>
        <v>2005/</v>
      </c>
      <c r="EK501" s="502"/>
      <c r="EL501" s="504" t="str">
        <f>EL$3</f>
        <v>2006/</v>
      </c>
      <c r="EM501" s="502"/>
      <c r="EN501" s="504" t="str">
        <f>EN$3</f>
        <v>2007/</v>
      </c>
      <c r="EO501" s="502"/>
      <c r="EP501" s="504" t="str">
        <f>EP$3</f>
        <v>2008/</v>
      </c>
      <c r="EQ501" s="502"/>
      <c r="ER501" s="504" t="str">
        <f>ER$3</f>
        <v>2009/</v>
      </c>
      <c r="ES501" s="502"/>
      <c r="ET501" s="504" t="str">
        <f>ET$3</f>
        <v>2010/</v>
      </c>
      <c r="EU501" s="502"/>
      <c r="EV501" s="504" t="str">
        <f>EV$3</f>
        <v>2011/</v>
      </c>
      <c r="EW501" s="502"/>
      <c r="EX501" s="504" t="str">
        <f>EX$3</f>
        <v>2012/</v>
      </c>
      <c r="EY501" s="502"/>
      <c r="EZ501" s="504" t="str">
        <f>EZ$3</f>
        <v>2013/</v>
      </c>
      <c r="FA501" s="502"/>
      <c r="FB501" s="504" t="str">
        <f>FB$3</f>
        <v>2014/</v>
      </c>
      <c r="FC501" s="502"/>
      <c r="FD501" s="504" t="str">
        <f>FD$3</f>
        <v>2015/</v>
      </c>
      <c r="FE501" s="502"/>
      <c r="FF501" s="504" t="str">
        <f>FF$3</f>
        <v>2016/</v>
      </c>
      <c r="FG501" s="502"/>
      <c r="FH501" s="504" t="str">
        <f>FH$3</f>
        <v>2017/</v>
      </c>
      <c r="FI501" s="502"/>
      <c r="FJ501" s="504" t="str">
        <f>FJ$3</f>
        <v>2018E/</v>
      </c>
      <c r="FK501" s="502"/>
      <c r="FL501" s="504" t="str">
        <f>FL$3</f>
        <v>2019E/</v>
      </c>
      <c r="FM501" s="502"/>
      <c r="FN501" s="504" t="str">
        <f>FN$3</f>
        <v>2020E/</v>
      </c>
      <c r="FO501" s="502"/>
      <c r="FP501" s="504" t="str">
        <f>FP$3</f>
        <v>2021E/</v>
      </c>
      <c r="FQ501" s="502"/>
      <c r="FR501" s="504" t="str">
        <f>FR$3</f>
        <v>2022E/</v>
      </c>
      <c r="FS501" s="504" t="str">
        <f>FS$3</f>
        <v>5-Yr</v>
      </c>
      <c r="FT501" s="349"/>
    </row>
    <row r="502" spans="1:176" ht="12.75" hidden="1" customHeight="1" outlineLevel="1" x14ac:dyDescent="0.2">
      <c r="A502" s="492"/>
      <c r="B502" s="491"/>
      <c r="C502" s="490" t="str">
        <f>C$4</f>
        <v>1Q02</v>
      </c>
      <c r="D502" s="491"/>
      <c r="E502" s="490" t="str">
        <f>E$4</f>
        <v>2Q02</v>
      </c>
      <c r="F502" s="491"/>
      <c r="G502" s="490" t="str">
        <f>G$4</f>
        <v>3Q02</v>
      </c>
      <c r="H502" s="491"/>
      <c r="I502" s="490" t="str">
        <f>I$4</f>
        <v>4Q02</v>
      </c>
      <c r="J502" s="491"/>
      <c r="K502" s="490" t="str">
        <f>K$4</f>
        <v>1Q03</v>
      </c>
      <c r="L502" s="491"/>
      <c r="M502" s="490" t="str">
        <f>M$4</f>
        <v>2Q03</v>
      </c>
      <c r="N502" s="491"/>
      <c r="O502" s="490" t="str">
        <f>O$4</f>
        <v>3Q03</v>
      </c>
      <c r="P502" s="491"/>
      <c r="Q502" s="490" t="str">
        <f>Q$4</f>
        <v>4Q03</v>
      </c>
      <c r="R502" s="491"/>
      <c r="S502" s="490" t="str">
        <f>S$4</f>
        <v>1Q04</v>
      </c>
      <c r="T502" s="491"/>
      <c r="U502" s="490" t="str">
        <f>U$4</f>
        <v>2Q04</v>
      </c>
      <c r="V502" s="491"/>
      <c r="W502" s="490" t="str">
        <f>W$4</f>
        <v>3Q04</v>
      </c>
      <c r="X502" s="491"/>
      <c r="Y502" s="490" t="str">
        <f>Y$4</f>
        <v>4Q04</v>
      </c>
      <c r="Z502" s="491"/>
      <c r="AA502" s="490" t="str">
        <f>AA$4</f>
        <v>1Q05</v>
      </c>
      <c r="AB502" s="491"/>
      <c r="AC502" s="490" t="str">
        <f>AC$4</f>
        <v>2Q05</v>
      </c>
      <c r="AD502" s="491"/>
      <c r="AE502" s="490" t="str">
        <f>AE$4</f>
        <v>3Q05</v>
      </c>
      <c r="AF502" s="491"/>
      <c r="AG502" s="490" t="str">
        <f>AG$4</f>
        <v>4Q05</v>
      </c>
      <c r="AH502" s="491"/>
      <c r="AI502" s="489" t="str">
        <f>AI$4</f>
        <v>1Q06</v>
      </c>
      <c r="AJ502" s="491"/>
      <c r="AK502" s="489" t="str">
        <f>AK$4</f>
        <v>2Q06</v>
      </c>
      <c r="AL502" s="491"/>
      <c r="AM502" s="489" t="str">
        <f>AM$4</f>
        <v>3Q06</v>
      </c>
      <c r="AN502" s="491"/>
      <c r="AO502" s="489" t="str">
        <f>AO$4</f>
        <v>4Q06</v>
      </c>
      <c r="AP502" s="491"/>
      <c r="AQ502" s="489" t="str">
        <f>AQ$4</f>
        <v>1Q07</v>
      </c>
      <c r="AR502" s="491"/>
      <c r="AS502" s="489" t="str">
        <f>AS$4</f>
        <v>2Q07</v>
      </c>
      <c r="AT502" s="491"/>
      <c r="AU502" s="489" t="str">
        <f>AU$4</f>
        <v>3Q07</v>
      </c>
      <c r="AV502" s="491"/>
      <c r="AW502" s="489" t="str">
        <f>AW$4</f>
        <v>4Q07</v>
      </c>
      <c r="AX502" s="491"/>
      <c r="AY502" s="489" t="str">
        <f>AY$4</f>
        <v>1Q08</v>
      </c>
      <c r="AZ502" s="491"/>
      <c r="BA502" s="489" t="str">
        <f>BA$4</f>
        <v>2Q08</v>
      </c>
      <c r="BB502" s="491"/>
      <c r="BC502" s="489" t="str">
        <f>BC$4</f>
        <v>3Q08</v>
      </c>
      <c r="BD502" s="491"/>
      <c r="BE502" s="489" t="str">
        <f>BE$4</f>
        <v>4Q08</v>
      </c>
      <c r="BF502" s="491"/>
      <c r="BG502" s="489" t="str">
        <f>BG$4</f>
        <v>1Q09</v>
      </c>
      <c r="BH502" s="491"/>
      <c r="BI502" s="489" t="str">
        <f>BI$4</f>
        <v>2Q09</v>
      </c>
      <c r="BJ502" s="491"/>
      <c r="BK502" s="489" t="str">
        <f>BK$4</f>
        <v>3Q09</v>
      </c>
      <c r="BL502" s="491"/>
      <c r="BM502" s="489" t="str">
        <f>BM$4</f>
        <v>4Q09</v>
      </c>
      <c r="BN502" s="491"/>
      <c r="BO502" s="489" t="str">
        <f>BO$4</f>
        <v>1Q10</v>
      </c>
      <c r="BP502" s="491"/>
      <c r="BQ502" s="489" t="str">
        <f>BQ$4</f>
        <v>2Q10</v>
      </c>
      <c r="BR502" s="491"/>
      <c r="BS502" s="489" t="str">
        <f>BS$4</f>
        <v>3Q10</v>
      </c>
      <c r="BT502" s="491"/>
      <c r="BU502" s="489" t="str">
        <f>BU$4</f>
        <v>4Q10</v>
      </c>
      <c r="BV502" s="491"/>
      <c r="BW502" s="489" t="str">
        <f>BW$4</f>
        <v>1Q11</v>
      </c>
      <c r="BX502" s="491"/>
      <c r="BY502" s="489" t="str">
        <f>BY$4</f>
        <v>2Q11</v>
      </c>
      <c r="BZ502" s="491"/>
      <c r="CA502" s="489" t="str">
        <f>CA$4</f>
        <v>3Q11</v>
      </c>
      <c r="CB502" s="491"/>
      <c r="CC502" s="489" t="str">
        <f>CC$4</f>
        <v>4Q11</v>
      </c>
      <c r="CD502" s="491"/>
      <c r="CE502" s="489" t="str">
        <f>CE$4</f>
        <v>1Q12</v>
      </c>
      <c r="CF502" s="491"/>
      <c r="CG502" s="489" t="str">
        <f>CG$4</f>
        <v>2Q12</v>
      </c>
      <c r="CH502" s="491"/>
      <c r="CI502" s="489" t="str">
        <f>CI$4</f>
        <v>3Q12</v>
      </c>
      <c r="CJ502" s="491"/>
      <c r="CK502" s="489" t="str">
        <f>CK$4</f>
        <v>4Q12</v>
      </c>
      <c r="CL502" s="491"/>
      <c r="CM502" s="489" t="str">
        <f>CM$4</f>
        <v>1Q13</v>
      </c>
      <c r="CN502" s="491"/>
      <c r="CO502" s="489" t="str">
        <f>CO$4</f>
        <v>2Q13</v>
      </c>
      <c r="CP502" s="491"/>
      <c r="CQ502" s="489" t="str">
        <f>CQ$4</f>
        <v>3Q13</v>
      </c>
      <c r="CR502" s="491"/>
      <c r="CS502" s="489" t="str">
        <f>CS$4</f>
        <v>4Q13</v>
      </c>
      <c r="CT502" s="491"/>
      <c r="CU502" s="489" t="str">
        <f>CU$4</f>
        <v>1Q14</v>
      </c>
      <c r="CV502" s="491"/>
      <c r="CW502" s="489" t="str">
        <f>CW$4</f>
        <v>2Q14</v>
      </c>
      <c r="CX502" s="491"/>
      <c r="CY502" s="489" t="str">
        <f>CY$4</f>
        <v>3Q14</v>
      </c>
      <c r="CZ502" s="491"/>
      <c r="DA502" s="489" t="str">
        <f>DA$4</f>
        <v>4Q14</v>
      </c>
      <c r="DB502" s="491"/>
      <c r="DC502" s="489" t="str">
        <f>DC$4</f>
        <v>1Q15</v>
      </c>
      <c r="DD502" s="491"/>
      <c r="DE502" s="489" t="str">
        <f>DE$4</f>
        <v>2Q15</v>
      </c>
      <c r="DF502" s="491"/>
      <c r="DG502" s="489" t="str">
        <f>DG$4</f>
        <v>3Q15</v>
      </c>
      <c r="DH502" s="491"/>
      <c r="DI502" s="489" t="str">
        <f>DI$4</f>
        <v>4Q15</v>
      </c>
      <c r="DJ502" s="491"/>
      <c r="DK502" s="489" t="str">
        <f>DK$4</f>
        <v>1Q16</v>
      </c>
      <c r="DL502" s="491"/>
      <c r="DM502" s="489" t="str">
        <f>DM$4</f>
        <v>2Q16</v>
      </c>
      <c r="DN502" s="491"/>
      <c r="DO502" s="489" t="str">
        <f>DO$4</f>
        <v>3Q16</v>
      </c>
      <c r="DP502" s="491"/>
      <c r="DQ502" s="489" t="str">
        <f>DQ$4</f>
        <v>4Q16</v>
      </c>
      <c r="DR502" s="491"/>
      <c r="DS502" s="489" t="str">
        <f>DS$4</f>
        <v>1Q17</v>
      </c>
      <c r="DT502" s="491"/>
      <c r="DU502" s="489" t="str">
        <f>DU$4</f>
        <v>2Q17</v>
      </c>
      <c r="DV502" s="491"/>
      <c r="DW502" s="489" t="str">
        <f>DW$4</f>
        <v>3Q17</v>
      </c>
      <c r="DX502" s="491"/>
      <c r="DY502" s="489" t="str">
        <f>DY$4</f>
        <v>4Q17</v>
      </c>
      <c r="DZ502" s="491"/>
      <c r="EA502" s="489"/>
      <c r="EB502" s="490" t="str">
        <f>EB$4</f>
        <v>2000</v>
      </c>
      <c r="EC502" s="491"/>
      <c r="ED502" s="490" t="str">
        <f>ED$4</f>
        <v>2001</v>
      </c>
      <c r="EE502" s="491"/>
      <c r="EF502" s="490" t="str">
        <f>EF$4</f>
        <v>2002</v>
      </c>
      <c r="EG502" s="491"/>
      <c r="EH502" s="490" t="str">
        <f>EH$4</f>
        <v>2003</v>
      </c>
      <c r="EI502" s="491"/>
      <c r="EJ502" s="489">
        <f>EJ$4</f>
        <v>2004</v>
      </c>
      <c r="EK502" s="491"/>
      <c r="EL502" s="489" t="str">
        <f>EL$4</f>
        <v>2005</v>
      </c>
      <c r="EM502" s="491"/>
      <c r="EN502" s="489" t="str">
        <f>EN$4</f>
        <v>2006</v>
      </c>
      <c r="EO502" s="491"/>
      <c r="EP502" s="489">
        <f>EP$4</f>
        <v>2007</v>
      </c>
      <c r="EQ502" s="491"/>
      <c r="ER502" s="489" t="str">
        <f>ER$4</f>
        <v>2008</v>
      </c>
      <c r="ES502" s="491"/>
      <c r="ET502" s="489" t="str">
        <f>ET$4</f>
        <v>2009</v>
      </c>
      <c r="EU502" s="491"/>
      <c r="EV502" s="489" t="str">
        <f>EV$4</f>
        <v>2010</v>
      </c>
      <c r="EW502" s="491"/>
      <c r="EX502" s="489" t="str">
        <f>EX$4</f>
        <v>2011</v>
      </c>
      <c r="EY502" s="491"/>
      <c r="EZ502" s="489" t="str">
        <f>EZ$4</f>
        <v>2012</v>
      </c>
      <c r="FA502" s="491"/>
      <c r="FB502" s="489" t="str">
        <f>FB$4</f>
        <v>2013</v>
      </c>
      <c r="FC502" s="491"/>
      <c r="FD502" s="489">
        <f>FD$4</f>
        <v>2014</v>
      </c>
      <c r="FE502" s="491"/>
      <c r="FF502" s="489" t="str">
        <f>FF$4</f>
        <v>2015</v>
      </c>
      <c r="FG502" s="491"/>
      <c r="FH502" s="489">
        <f>FH$4</f>
        <v>2016</v>
      </c>
      <c r="FI502" s="491"/>
      <c r="FJ502" s="489">
        <f>FJ$4</f>
        <v>2017</v>
      </c>
      <c r="FK502" s="491"/>
      <c r="FL502" s="489" t="str">
        <f>FL$4</f>
        <v>2018E</v>
      </c>
      <c r="FM502" s="491"/>
      <c r="FN502" s="489" t="str">
        <f>FN$4</f>
        <v>2019E</v>
      </c>
      <c r="FO502" s="491"/>
      <c r="FP502" s="489" t="str">
        <f>FP$4</f>
        <v>2020E</v>
      </c>
      <c r="FQ502" s="491"/>
      <c r="FR502" s="489" t="str">
        <f>FR$4</f>
        <v>2021E</v>
      </c>
      <c r="FS502" s="489" t="str">
        <f>FS$4</f>
        <v>CAGR</v>
      </c>
      <c r="FT502" s="349"/>
    </row>
    <row r="503" spans="1:176" ht="12.75" hidden="1" customHeight="1" outlineLevel="1" x14ac:dyDescent="0.2">
      <c r="A503" s="493"/>
      <c r="B503" s="494" t="str">
        <f>+B$5</f>
        <v>1Q03</v>
      </c>
      <c r="C503" s="495" t="str">
        <f>C$5</f>
        <v>% Chg</v>
      </c>
      <c r="D503" s="494" t="str">
        <f>+D$5</f>
        <v>2Q03</v>
      </c>
      <c r="E503" s="495" t="str">
        <f>E$5</f>
        <v>% Chg</v>
      </c>
      <c r="F503" s="494" t="str">
        <f>+F$5</f>
        <v>3Q03</v>
      </c>
      <c r="G503" s="495" t="str">
        <f>G$5</f>
        <v>% Chg</v>
      </c>
      <c r="H503" s="494" t="str">
        <f>+H$5</f>
        <v>4Q03</v>
      </c>
      <c r="I503" s="495" t="str">
        <f>I$5</f>
        <v>% Chg</v>
      </c>
      <c r="J503" s="494" t="str">
        <f>+J$5</f>
        <v>1Q04</v>
      </c>
      <c r="K503" s="495" t="str">
        <f>K$5</f>
        <v>% Chg</v>
      </c>
      <c r="L503" s="494" t="str">
        <f>+L$5</f>
        <v>2Q04</v>
      </c>
      <c r="M503" s="495" t="str">
        <f>M$5</f>
        <v>% Chg</v>
      </c>
      <c r="N503" s="494" t="str">
        <f>+N$5</f>
        <v>3Q04</v>
      </c>
      <c r="O503" s="495" t="str">
        <f>O$5</f>
        <v>% Chg</v>
      </c>
      <c r="P503" s="494" t="str">
        <f>+P$5</f>
        <v>4Q04</v>
      </c>
      <c r="Q503" s="495" t="str">
        <f>Q$5</f>
        <v>% Chg</v>
      </c>
      <c r="R503" s="494" t="str">
        <f>+R$5</f>
        <v>1Q05</v>
      </c>
      <c r="S503" s="495" t="str">
        <f>S$5</f>
        <v>% Chg</v>
      </c>
      <c r="T503" s="494" t="str">
        <f>+T$5</f>
        <v>2Q05</v>
      </c>
      <c r="U503" s="495" t="str">
        <f>U$5</f>
        <v>% Chg</v>
      </c>
      <c r="V503" s="494" t="str">
        <f>+V$5</f>
        <v>3Q05</v>
      </c>
      <c r="W503" s="495" t="str">
        <f>W$5</f>
        <v>% Chg</v>
      </c>
      <c r="X503" s="494" t="str">
        <f>+X$5</f>
        <v>4Q05</v>
      </c>
      <c r="Y503" s="495" t="str">
        <f>Y$5</f>
        <v>% Chg</v>
      </c>
      <c r="Z503" s="494" t="str">
        <f>+Z$5</f>
        <v>1Q06</v>
      </c>
      <c r="AA503" s="495" t="str">
        <f>AA$5</f>
        <v>% Chg</v>
      </c>
      <c r="AB503" s="494" t="str">
        <f>+AB$5</f>
        <v>2Q06</v>
      </c>
      <c r="AC503" s="495" t="str">
        <f>AC$5</f>
        <v>% Chg</v>
      </c>
      <c r="AD503" s="494" t="str">
        <f>+AD$5</f>
        <v>3Q06</v>
      </c>
      <c r="AE503" s="495" t="str">
        <f>AE$5</f>
        <v>% Chg</v>
      </c>
      <c r="AF503" s="494" t="str">
        <f>+AF$5</f>
        <v>4Q06</v>
      </c>
      <c r="AG503" s="495" t="str">
        <f>AG$5</f>
        <v>% Chg</v>
      </c>
      <c r="AH503" s="494" t="str">
        <f>+AH$5</f>
        <v>1Q07</v>
      </c>
      <c r="AI503" s="496" t="str">
        <f>AI$5</f>
        <v>% Chg</v>
      </c>
      <c r="AJ503" s="494" t="str">
        <f>+AJ$5</f>
        <v>2Q07</v>
      </c>
      <c r="AK503" s="496" t="str">
        <f>AK$5</f>
        <v>% Chg</v>
      </c>
      <c r="AL503" s="494" t="str">
        <f>+AL$5</f>
        <v>3Q07</v>
      </c>
      <c r="AM503" s="496" t="str">
        <f>AM$5</f>
        <v>% Chg</v>
      </c>
      <c r="AN503" s="494" t="str">
        <f>+AN$5</f>
        <v>4Q07</v>
      </c>
      <c r="AO503" s="496" t="str">
        <f>AO$5</f>
        <v>% Chg</v>
      </c>
      <c r="AP503" s="494" t="str">
        <f>+AP$5</f>
        <v>1Q08</v>
      </c>
      <c r="AQ503" s="496" t="str">
        <f>AQ$5</f>
        <v>% Chg</v>
      </c>
      <c r="AR503" s="494" t="str">
        <f>+AR$5</f>
        <v>2Q08</v>
      </c>
      <c r="AS503" s="496" t="str">
        <f>AS$5</f>
        <v>% Chg</v>
      </c>
      <c r="AT503" s="494" t="str">
        <f>+AT$5</f>
        <v>3Q08</v>
      </c>
      <c r="AU503" s="496" t="str">
        <f>AU$5</f>
        <v>% Chg</v>
      </c>
      <c r="AV503" s="494" t="str">
        <f>+AV$5</f>
        <v>4Q08</v>
      </c>
      <c r="AW503" s="496" t="str">
        <f>AW$5</f>
        <v>% Chg</v>
      </c>
      <c r="AX503" s="494" t="str">
        <f>+AX$5</f>
        <v>1Q09</v>
      </c>
      <c r="AY503" s="496" t="str">
        <f>AY$5</f>
        <v>% Chg</v>
      </c>
      <c r="AZ503" s="494" t="str">
        <f>+AZ$5</f>
        <v>2Q09</v>
      </c>
      <c r="BA503" s="496" t="str">
        <f>BA$5</f>
        <v>% Chg</v>
      </c>
      <c r="BB503" s="494" t="str">
        <f>+BB$5</f>
        <v>3Q09</v>
      </c>
      <c r="BC503" s="496" t="str">
        <f>BC$5</f>
        <v>% Chg</v>
      </c>
      <c r="BD503" s="494" t="str">
        <f>+BD$5</f>
        <v>4Q09</v>
      </c>
      <c r="BE503" s="496" t="str">
        <f>BE$5</f>
        <v>% Chg</v>
      </c>
      <c r="BF503" s="494" t="str">
        <f>+BF$5</f>
        <v>1Q10</v>
      </c>
      <c r="BG503" s="496" t="str">
        <f>BG$5</f>
        <v>% Chg</v>
      </c>
      <c r="BH503" s="494" t="str">
        <f>+BH$5</f>
        <v>2Q10</v>
      </c>
      <c r="BI503" s="496" t="str">
        <f>BI$5</f>
        <v>% Chg</v>
      </c>
      <c r="BJ503" s="494" t="str">
        <f>+BJ$5</f>
        <v>3Q10</v>
      </c>
      <c r="BK503" s="496" t="str">
        <f>BK$5</f>
        <v>% Chg</v>
      </c>
      <c r="BL503" s="494" t="str">
        <f>+BL$5</f>
        <v>4Q10</v>
      </c>
      <c r="BM503" s="496" t="str">
        <f>BM$5</f>
        <v>% Chg</v>
      </c>
      <c r="BN503" s="494" t="str">
        <f>+BN$5</f>
        <v>1Q11</v>
      </c>
      <c r="BO503" s="496" t="str">
        <f>BO$5</f>
        <v>% Chg</v>
      </c>
      <c r="BP503" s="494" t="str">
        <f>+BP$5</f>
        <v>2Q11</v>
      </c>
      <c r="BQ503" s="496" t="str">
        <f>BQ$5</f>
        <v>% Chg</v>
      </c>
      <c r="BR503" s="494" t="str">
        <f>+BR$5</f>
        <v>3Q11</v>
      </c>
      <c r="BS503" s="496" t="str">
        <f>BS$5</f>
        <v>% Chg</v>
      </c>
      <c r="BT503" s="494" t="str">
        <f>+BT$5</f>
        <v>4Q11</v>
      </c>
      <c r="BU503" s="496" t="str">
        <f>BU$5</f>
        <v>% Chg</v>
      </c>
      <c r="BV503" s="494" t="str">
        <f>+BV$5</f>
        <v>1Q12</v>
      </c>
      <c r="BW503" s="496" t="str">
        <f>BW$5</f>
        <v>% Chg</v>
      </c>
      <c r="BX503" s="494" t="str">
        <f>+BX$5</f>
        <v>2Q12</v>
      </c>
      <c r="BY503" s="496" t="str">
        <f>BY$5</f>
        <v>% Chg</v>
      </c>
      <c r="BZ503" s="494" t="str">
        <f>+BZ$5</f>
        <v>3Q12</v>
      </c>
      <c r="CA503" s="496" t="str">
        <f>CA$5</f>
        <v>% Chg</v>
      </c>
      <c r="CB503" s="494" t="str">
        <f>+CB$5</f>
        <v>4Q12</v>
      </c>
      <c r="CC503" s="496" t="str">
        <f>CC$5</f>
        <v>% Chg</v>
      </c>
      <c r="CD503" s="494" t="str">
        <f>+CD$5</f>
        <v>1Q13</v>
      </c>
      <c r="CE503" s="496" t="str">
        <f>CE$5</f>
        <v>% Chg</v>
      </c>
      <c r="CF503" s="494" t="str">
        <f>+CF$5</f>
        <v>2Q13</v>
      </c>
      <c r="CG503" s="496" t="str">
        <f>CG$5</f>
        <v>% Chg</v>
      </c>
      <c r="CH503" s="494" t="str">
        <f>+CH$5</f>
        <v>3Q13</v>
      </c>
      <c r="CI503" s="496" t="str">
        <f>CI$5</f>
        <v>% Chg</v>
      </c>
      <c r="CJ503" s="494" t="str">
        <f>+CJ$5</f>
        <v>4Q13</v>
      </c>
      <c r="CK503" s="496" t="str">
        <f>CK$5</f>
        <v>% Chg</v>
      </c>
      <c r="CL503" s="494" t="str">
        <f>+CL$5</f>
        <v>1Q14</v>
      </c>
      <c r="CM503" s="496" t="str">
        <f>CM$5</f>
        <v>% Chg</v>
      </c>
      <c r="CN503" s="494" t="str">
        <f>+CN$5</f>
        <v>2Q14</v>
      </c>
      <c r="CO503" s="496" t="str">
        <f>CO$5</f>
        <v>% Chg</v>
      </c>
      <c r="CP503" s="494" t="str">
        <f>+CP$5</f>
        <v>3Q14</v>
      </c>
      <c r="CQ503" s="496" t="str">
        <f>CQ$5</f>
        <v>% Chg</v>
      </c>
      <c r="CR503" s="494" t="str">
        <f>+CR$5</f>
        <v>4Q14</v>
      </c>
      <c r="CS503" s="496" t="str">
        <f>CS$5</f>
        <v>% Chg</v>
      </c>
      <c r="CT503" s="494" t="str">
        <f>+CT$5</f>
        <v>1Q15</v>
      </c>
      <c r="CU503" s="496" t="str">
        <f>CU$5</f>
        <v>% Chg</v>
      </c>
      <c r="CV503" s="494" t="str">
        <f>+CV$5</f>
        <v>2Q15</v>
      </c>
      <c r="CW503" s="496" t="str">
        <f>CW$5</f>
        <v>% Chg</v>
      </c>
      <c r="CX503" s="494" t="str">
        <f>+CX$5</f>
        <v>3Q15</v>
      </c>
      <c r="CY503" s="496" t="str">
        <f>CY$5</f>
        <v>% Chg</v>
      </c>
      <c r="CZ503" s="494" t="str">
        <f>+CZ$5</f>
        <v>4Q15</v>
      </c>
      <c r="DA503" s="496" t="str">
        <f>DA$5</f>
        <v>% Chg</v>
      </c>
      <c r="DB503" s="494" t="str">
        <f>+DB$5</f>
        <v>1Q16</v>
      </c>
      <c r="DC503" s="496" t="str">
        <f>DC$5</f>
        <v>% Chg</v>
      </c>
      <c r="DD503" s="494" t="str">
        <f>+DD$5</f>
        <v>2Q16</v>
      </c>
      <c r="DE503" s="496" t="str">
        <f>DE$5</f>
        <v>% Chg</v>
      </c>
      <c r="DF503" s="494" t="str">
        <f>+DF$5</f>
        <v>3Q16</v>
      </c>
      <c r="DG503" s="496" t="str">
        <f>DG$5</f>
        <v>% Chg</v>
      </c>
      <c r="DH503" s="494" t="str">
        <f>+DH$5</f>
        <v>4Q16</v>
      </c>
      <c r="DI503" s="496" t="str">
        <f>DI$5</f>
        <v>% Chg</v>
      </c>
      <c r="DJ503" s="494" t="str">
        <f>+DJ$5</f>
        <v>1Q17</v>
      </c>
      <c r="DK503" s="496" t="str">
        <f>DK$5</f>
        <v>% Chg</v>
      </c>
      <c r="DL503" s="494" t="str">
        <f>+DL$5</f>
        <v>2Q17</v>
      </c>
      <c r="DM503" s="496" t="str">
        <f>DM$5</f>
        <v>% Chg</v>
      </c>
      <c r="DN503" s="494" t="str">
        <f>+DN$5</f>
        <v>3Q17</v>
      </c>
      <c r="DO503" s="496" t="str">
        <f>DO$5</f>
        <v>% Chg</v>
      </c>
      <c r="DP503" s="494" t="str">
        <f>+DP$5</f>
        <v>4Q17</v>
      </c>
      <c r="DQ503" s="496" t="str">
        <f>DQ$5</f>
        <v>% Chg</v>
      </c>
      <c r="DR503" s="494" t="str">
        <f>+DR$5</f>
        <v>1Q18E</v>
      </c>
      <c r="DS503" s="496" t="str">
        <f>DS$5</f>
        <v>% Chg</v>
      </c>
      <c r="DT503" s="494" t="str">
        <f>+DT$5</f>
        <v>2Q18E</v>
      </c>
      <c r="DU503" s="496" t="str">
        <f>DU$5</f>
        <v>% Chg</v>
      </c>
      <c r="DV503" s="494" t="str">
        <f>+DV$5</f>
        <v>3Q18E</v>
      </c>
      <c r="DW503" s="496" t="str">
        <f>DW$5</f>
        <v>% Chg</v>
      </c>
      <c r="DX503" s="494" t="str">
        <f>+DX$5</f>
        <v>4Q18E</v>
      </c>
      <c r="DY503" s="496" t="str">
        <f>DY$5</f>
        <v>% Chg</v>
      </c>
      <c r="DZ503" s="494"/>
      <c r="EA503" s="496"/>
      <c r="EB503" s="495" t="str">
        <f>EB$5</f>
        <v>% Chg</v>
      </c>
      <c r="EC503" s="494" t="str">
        <f t="shared" ref="EC503:FQ503" si="30">+EC$5</f>
        <v>2002</v>
      </c>
      <c r="ED503" s="495" t="str">
        <f>ED$5</f>
        <v>% Chg</v>
      </c>
      <c r="EE503" s="494" t="str">
        <f t="shared" si="30"/>
        <v>2003</v>
      </c>
      <c r="EF503" s="495" t="str">
        <f>EF$5</f>
        <v>% Chg</v>
      </c>
      <c r="EG503" s="494">
        <f t="shared" si="30"/>
        <v>2004</v>
      </c>
      <c r="EH503" s="495" t="str">
        <f>EH$5</f>
        <v>% Chg</v>
      </c>
      <c r="EI503" s="494" t="str">
        <f t="shared" si="30"/>
        <v>2005</v>
      </c>
      <c r="EJ503" s="496" t="str">
        <f>EJ$5</f>
        <v>% Chg</v>
      </c>
      <c r="EK503" s="494" t="str">
        <f t="shared" si="30"/>
        <v>2006</v>
      </c>
      <c r="EL503" s="496" t="str">
        <f>EL$5</f>
        <v>% Chg</v>
      </c>
      <c r="EM503" s="494">
        <f t="shared" si="30"/>
        <v>2007</v>
      </c>
      <c r="EN503" s="496" t="str">
        <f>EN$5</f>
        <v>% Chg</v>
      </c>
      <c r="EO503" s="494" t="str">
        <f t="shared" si="30"/>
        <v>2008</v>
      </c>
      <c r="EP503" s="496" t="str">
        <f>EP$5</f>
        <v>% Chg</v>
      </c>
      <c r="EQ503" s="494" t="str">
        <f t="shared" si="30"/>
        <v>2009</v>
      </c>
      <c r="ER503" s="496" t="str">
        <f>ER$5</f>
        <v>% Chg</v>
      </c>
      <c r="ES503" s="494" t="str">
        <f t="shared" si="30"/>
        <v>2010</v>
      </c>
      <c r="ET503" s="496" t="str">
        <f>ET$5</f>
        <v>% Chg</v>
      </c>
      <c r="EU503" s="494" t="str">
        <f t="shared" si="30"/>
        <v>2011</v>
      </c>
      <c r="EV503" s="496" t="str">
        <f>EV$5</f>
        <v>% Chg</v>
      </c>
      <c r="EW503" s="494" t="str">
        <f t="shared" si="30"/>
        <v>2012</v>
      </c>
      <c r="EX503" s="496" t="str">
        <f>EX$5</f>
        <v>% Chg</v>
      </c>
      <c r="EY503" s="494" t="str">
        <f t="shared" si="30"/>
        <v>2013</v>
      </c>
      <c r="EZ503" s="496" t="str">
        <f>EZ$5</f>
        <v>% Chg</v>
      </c>
      <c r="FA503" s="494">
        <f t="shared" si="30"/>
        <v>2014</v>
      </c>
      <c r="FB503" s="496" t="str">
        <f>FB$5</f>
        <v>% Chg</v>
      </c>
      <c r="FC503" s="494" t="str">
        <f t="shared" si="30"/>
        <v>2015</v>
      </c>
      <c r="FD503" s="496" t="str">
        <f>FD$5</f>
        <v>% Chg</v>
      </c>
      <c r="FE503" s="494">
        <f t="shared" si="30"/>
        <v>2016</v>
      </c>
      <c r="FF503" s="496" t="str">
        <f>FF$5</f>
        <v>% Chg</v>
      </c>
      <c r="FG503" s="494">
        <f t="shared" si="30"/>
        <v>2017</v>
      </c>
      <c r="FH503" s="496" t="str">
        <f>FH$5</f>
        <v>% Chg</v>
      </c>
      <c r="FI503" s="494" t="str">
        <f t="shared" si="30"/>
        <v>2018E</v>
      </c>
      <c r="FJ503" s="496" t="str">
        <f>FJ$5</f>
        <v>% Chg</v>
      </c>
      <c r="FK503" s="494" t="str">
        <f t="shared" si="30"/>
        <v>2019E</v>
      </c>
      <c r="FL503" s="496" t="str">
        <f>FL$5</f>
        <v>% Chg</v>
      </c>
      <c r="FM503" s="494" t="str">
        <f t="shared" si="30"/>
        <v>2020E</v>
      </c>
      <c r="FN503" s="496" t="str">
        <f>FN$5</f>
        <v>% Chg</v>
      </c>
      <c r="FO503" s="494" t="str">
        <f t="shared" si="30"/>
        <v>2021E</v>
      </c>
      <c r="FP503" s="496" t="str">
        <f>FP$5</f>
        <v>% Chg</v>
      </c>
      <c r="FQ503" s="494" t="str">
        <f t="shared" si="30"/>
        <v>2022E</v>
      </c>
      <c r="FR503" s="496" t="str">
        <f>FR$5</f>
        <v>% Chg</v>
      </c>
      <c r="FS503" s="496" t="str">
        <f>FS$5</f>
        <v>(%)</v>
      </c>
      <c r="FT503" s="349"/>
    </row>
    <row r="504" spans="1:176" ht="12.75" hidden="1" customHeight="1" outlineLevel="1" x14ac:dyDescent="0.2">
      <c r="A504" s="70"/>
      <c r="B504" s="497"/>
      <c r="C504" s="155"/>
      <c r="D504" s="497"/>
      <c r="E504" s="155"/>
      <c r="F504" s="497"/>
      <c r="G504" s="155"/>
      <c r="H504" s="497"/>
      <c r="I504" s="155"/>
      <c r="J504" s="497"/>
      <c r="K504" s="155"/>
      <c r="L504" s="497"/>
      <c r="M504" s="155"/>
      <c r="N504" s="497"/>
      <c r="O504" s="155"/>
      <c r="P504" s="497"/>
      <c r="Q504" s="155"/>
      <c r="R504" s="497"/>
      <c r="S504" s="155"/>
      <c r="T504" s="497"/>
      <c r="U504" s="155"/>
      <c r="V504" s="497"/>
      <c r="W504" s="155"/>
      <c r="X504" s="497"/>
      <c r="Y504" s="155"/>
      <c r="Z504" s="497"/>
      <c r="AA504" s="155"/>
      <c r="AB504" s="497"/>
      <c r="AC504" s="155"/>
      <c r="AD504" s="497"/>
      <c r="AE504" s="155"/>
      <c r="AF504" s="497"/>
      <c r="AG504" s="155"/>
      <c r="AH504" s="497"/>
      <c r="AI504" s="240"/>
      <c r="AJ504" s="497"/>
      <c r="AK504" s="240"/>
      <c r="AL504" s="497"/>
      <c r="AM504" s="240"/>
      <c r="AN504" s="497"/>
      <c r="AO504" s="240"/>
      <c r="AP504" s="497"/>
      <c r="AQ504" s="240"/>
      <c r="AR504" s="497"/>
      <c r="AS504" s="240"/>
      <c r="AT504" s="497"/>
      <c r="AU504" s="240"/>
      <c r="AV504" s="497"/>
      <c r="AW504" s="240"/>
      <c r="AX504" s="497"/>
      <c r="AY504" s="240"/>
      <c r="AZ504" s="497"/>
      <c r="BA504" s="240"/>
      <c r="BB504" s="497"/>
      <c r="BC504" s="240"/>
      <c r="BD504" s="497"/>
      <c r="BE504" s="240"/>
      <c r="BF504" s="497"/>
      <c r="BG504" s="240"/>
      <c r="BH504" s="497"/>
      <c r="BI504" s="240"/>
      <c r="BJ504" s="497"/>
      <c r="BK504" s="240"/>
      <c r="BL504" s="497"/>
      <c r="BM504" s="240"/>
      <c r="BN504" s="497"/>
      <c r="BO504" s="240"/>
      <c r="BP504" s="497"/>
      <c r="BQ504" s="240"/>
      <c r="BR504" s="497"/>
      <c r="BS504" s="240"/>
      <c r="BT504" s="497"/>
      <c r="BU504" s="240"/>
      <c r="BV504" s="497"/>
      <c r="BW504" s="240"/>
      <c r="BX504" s="497"/>
      <c r="BY504" s="240"/>
      <c r="BZ504" s="497"/>
      <c r="CA504" s="240"/>
      <c r="CB504" s="497"/>
      <c r="CC504" s="240"/>
      <c r="CD504" s="497"/>
      <c r="CE504" s="240"/>
      <c r="CF504" s="497"/>
      <c r="CG504" s="240"/>
      <c r="CH504" s="497"/>
      <c r="CI504" s="240"/>
      <c r="CJ504" s="497"/>
      <c r="CK504" s="240"/>
      <c r="CL504" s="497"/>
      <c r="CM504" s="240"/>
      <c r="CN504" s="497"/>
      <c r="CO504" s="240"/>
      <c r="CP504" s="497"/>
      <c r="CQ504" s="240"/>
      <c r="CR504" s="497"/>
      <c r="CS504" s="240"/>
      <c r="CT504" s="497"/>
      <c r="CU504" s="240"/>
      <c r="CV504" s="497"/>
      <c r="CW504" s="240"/>
      <c r="CX504" s="497"/>
      <c r="CY504" s="240"/>
      <c r="CZ504" s="497"/>
      <c r="DA504" s="240"/>
      <c r="DB504" s="497"/>
      <c r="DC504" s="240"/>
      <c r="DD504" s="497"/>
      <c r="DE504" s="240"/>
      <c r="DF504" s="497"/>
      <c r="DG504" s="240"/>
      <c r="DH504" s="497"/>
      <c r="DI504" s="240"/>
      <c r="DJ504" s="497"/>
      <c r="DK504" s="240"/>
      <c r="DL504" s="497"/>
      <c r="DM504" s="240"/>
      <c r="DN504" s="497"/>
      <c r="DO504" s="240"/>
      <c r="DP504" s="497"/>
      <c r="DQ504" s="240"/>
      <c r="DR504" s="497"/>
      <c r="DS504" s="240"/>
      <c r="DT504" s="497"/>
      <c r="DU504" s="240"/>
      <c r="DV504" s="497"/>
      <c r="DW504" s="240"/>
      <c r="DX504" s="497"/>
      <c r="DY504" s="240"/>
      <c r="DZ504" s="497"/>
      <c r="EA504" s="240"/>
      <c r="EB504" s="155"/>
      <c r="EC504" s="497"/>
      <c r="ED504" s="155"/>
      <c r="EE504" s="497"/>
      <c r="EF504" s="155"/>
      <c r="EG504" s="497"/>
      <c r="EH504" s="155"/>
      <c r="EI504" s="497"/>
      <c r="EJ504" s="240"/>
      <c r="EK504" s="497"/>
      <c r="EL504" s="240"/>
      <c r="EM504" s="497"/>
      <c r="EN504" s="240"/>
      <c r="EO504" s="497"/>
      <c r="EP504" s="240"/>
      <c r="EQ504" s="497"/>
      <c r="ER504" s="240"/>
      <c r="ES504" s="497"/>
      <c r="ET504" s="240"/>
      <c r="EU504" s="497"/>
      <c r="EV504" s="240"/>
      <c r="EW504" s="497"/>
      <c r="EX504" s="240"/>
      <c r="EY504" s="497"/>
      <c r="EZ504" s="240"/>
      <c r="FA504" s="497"/>
      <c r="FB504" s="240"/>
      <c r="FC504" s="497"/>
      <c r="FD504" s="240"/>
      <c r="FE504" s="497"/>
      <c r="FF504" s="240"/>
      <c r="FG504" s="497"/>
      <c r="FH504" s="240"/>
      <c r="FI504" s="497"/>
      <c r="FJ504" s="240"/>
      <c r="FK504" s="497"/>
      <c r="FL504" s="240"/>
      <c r="FM504" s="497"/>
      <c r="FN504" s="240"/>
      <c r="FO504" s="497"/>
      <c r="FP504" s="240"/>
      <c r="FQ504" s="497"/>
      <c r="FR504" s="240"/>
      <c r="FS504" s="240"/>
    </row>
    <row r="505" spans="1:176" ht="12.75" hidden="1" customHeight="1" outlineLevel="1" x14ac:dyDescent="0.2">
      <c r="A505" s="70" t="s">
        <v>128</v>
      </c>
      <c r="B505" s="510"/>
      <c r="C505" s="487"/>
      <c r="D505" s="510"/>
      <c r="E505" s="487"/>
      <c r="F505" s="510"/>
      <c r="G505" s="487"/>
      <c r="H505" s="510"/>
      <c r="I505" s="487"/>
      <c r="J505" s="510"/>
      <c r="K505" s="487"/>
      <c r="L505" s="510"/>
      <c r="M505" s="487"/>
      <c r="N505" s="510"/>
      <c r="O505" s="487"/>
      <c r="P505" s="510"/>
      <c r="Q505" s="487"/>
      <c r="R505" s="510"/>
      <c r="S505" s="487"/>
      <c r="T505" s="510"/>
      <c r="U505" s="487"/>
      <c r="V505" s="510"/>
      <c r="W505" s="487"/>
      <c r="X505" s="510"/>
      <c r="Y505" s="487"/>
      <c r="Z505" s="510"/>
      <c r="AA505" s="487"/>
      <c r="AB505" s="510"/>
      <c r="AC505" s="487"/>
      <c r="AD505" s="510"/>
      <c r="AE505" s="487"/>
      <c r="AF505" s="510"/>
      <c r="AG505" s="487"/>
      <c r="AH505" s="510"/>
      <c r="AI505" s="486"/>
      <c r="AJ505" s="510"/>
      <c r="AK505" s="486"/>
      <c r="AL505" s="510"/>
      <c r="AM505" s="486"/>
      <c r="AN505" s="510"/>
      <c r="AO505" s="486"/>
      <c r="AP505" s="510"/>
      <c r="AQ505" s="486"/>
      <c r="AR505" s="510"/>
      <c r="AS505" s="486"/>
      <c r="AT505" s="510"/>
      <c r="AU505" s="486"/>
      <c r="AV505" s="510"/>
      <c r="AW505" s="486"/>
      <c r="AX505" s="510"/>
      <c r="AY505" s="486"/>
      <c r="AZ505" s="510"/>
      <c r="BA505" s="486"/>
      <c r="BB505" s="510"/>
      <c r="BC505" s="486"/>
      <c r="BD505" s="510"/>
      <c r="BE505" s="486"/>
      <c r="BF505" s="510"/>
      <c r="BG505" s="486"/>
      <c r="BH505" s="510"/>
      <c r="BI505" s="486"/>
      <c r="BJ505" s="510"/>
      <c r="BK505" s="486"/>
      <c r="BL505" s="510"/>
      <c r="BM505" s="486"/>
      <c r="BN505" s="510"/>
      <c r="BO505" s="486"/>
      <c r="BP505" s="510"/>
      <c r="BQ505" s="486"/>
      <c r="BR505" s="510"/>
      <c r="BS505" s="486"/>
      <c r="BT505" s="510"/>
      <c r="BU505" s="486"/>
      <c r="BV505" s="510"/>
      <c r="BW505" s="486"/>
      <c r="BX505" s="510"/>
      <c r="BY505" s="486"/>
      <c r="BZ505" s="510"/>
      <c r="CA505" s="486"/>
      <c r="CB505" s="510"/>
      <c r="CC505" s="486"/>
      <c r="CD505" s="510"/>
      <c r="CE505" s="486"/>
      <c r="CF505" s="510"/>
      <c r="CG505" s="486"/>
      <c r="CH505" s="510"/>
      <c r="CI505" s="486"/>
      <c r="CJ505" s="510"/>
      <c r="CK505" s="486"/>
      <c r="CL505" s="510"/>
      <c r="CM505" s="486"/>
      <c r="CN505" s="510"/>
      <c r="CO505" s="486"/>
      <c r="CP505" s="510"/>
      <c r="CQ505" s="486"/>
      <c r="CR505" s="510"/>
      <c r="CS505" s="486"/>
      <c r="CT505" s="510"/>
      <c r="CU505" s="486"/>
      <c r="CV505" s="510"/>
      <c r="CW505" s="486"/>
      <c r="CX505" s="510"/>
      <c r="CY505" s="486"/>
      <c r="CZ505" s="510"/>
      <c r="DA505" s="486"/>
      <c r="DB505" s="510"/>
      <c r="DC505" s="486"/>
      <c r="DD505" s="510"/>
      <c r="DE505" s="486"/>
      <c r="DF505" s="510"/>
      <c r="DG505" s="486"/>
      <c r="DH505" s="510"/>
      <c r="DI505" s="486"/>
      <c r="DJ505" s="510"/>
      <c r="DK505" s="486"/>
      <c r="DL505" s="510"/>
      <c r="DM505" s="486"/>
      <c r="DN505" s="510"/>
      <c r="DO505" s="486"/>
      <c r="DP505" s="510"/>
      <c r="DQ505" s="486"/>
      <c r="DR505" s="510"/>
      <c r="DS505" s="486"/>
      <c r="DT505" s="510"/>
      <c r="DU505" s="486"/>
      <c r="DV505" s="510"/>
      <c r="DW505" s="486"/>
      <c r="DX505" s="510"/>
      <c r="DY505" s="486"/>
      <c r="DZ505" s="510"/>
      <c r="EA505" s="486"/>
      <c r="EB505" s="487"/>
      <c r="EC505" s="510"/>
      <c r="ED505" s="487"/>
      <c r="EE505" s="510"/>
      <c r="EF505" s="487"/>
      <c r="EG505" s="510"/>
      <c r="EH505" s="487"/>
      <c r="EI505" s="510"/>
      <c r="EJ505" s="486"/>
      <c r="EK505" s="510"/>
      <c r="EL505" s="486"/>
      <c r="EM505" s="510"/>
      <c r="EN505" s="486"/>
      <c r="EO505" s="510"/>
      <c r="EP505" s="486"/>
      <c r="EQ505" s="510"/>
      <c r="ER505" s="486"/>
      <c r="ES505" s="510"/>
      <c r="ET505" s="486"/>
      <c r="EU505" s="510"/>
      <c r="EV505" s="486"/>
      <c r="EW505" s="510"/>
      <c r="EX505" s="486"/>
      <c r="EY505" s="510"/>
      <c r="EZ505" s="486"/>
      <c r="FA505" s="510"/>
      <c r="FB505" s="486"/>
      <c r="FC505" s="510"/>
      <c r="FD505" s="486"/>
      <c r="FE505" s="510"/>
      <c r="FF505" s="486"/>
      <c r="FG505" s="510"/>
      <c r="FH505" s="486"/>
      <c r="FI505" s="510"/>
      <c r="FJ505" s="486"/>
      <c r="FK505" s="510"/>
      <c r="FL505" s="486"/>
      <c r="FM505" s="510"/>
      <c r="FN505" s="486"/>
      <c r="FO505" s="510"/>
      <c r="FP505" s="486"/>
      <c r="FQ505" s="510"/>
      <c r="FR505" s="486"/>
      <c r="FS505" s="486"/>
    </row>
    <row r="506" spans="1:176" ht="12.75" hidden="1" customHeight="1" outlineLevel="1" x14ac:dyDescent="0.2">
      <c r="A506" s="77" t="str">
        <f>INPUT!B402</f>
        <v>Premiums</v>
      </c>
      <c r="B506" s="75">
        <f>INPUT!AA402</f>
        <v>515</v>
      </c>
      <c r="C506" s="155">
        <f>INPUT!AB402</f>
        <v>-2.8301886792452819</v>
      </c>
      <c r="D506" s="75">
        <f>INPUT!AC402</f>
        <v>526</v>
      </c>
      <c r="E506" s="155">
        <f>INPUT!AD402</f>
        <v>2.9354207436399236</v>
      </c>
      <c r="F506" s="75">
        <f>INPUT!AE402</f>
        <v>507</v>
      </c>
      <c r="G506" s="155">
        <f>INPUT!AF402</f>
        <v>-0.58823529411765207</v>
      </c>
      <c r="H506" s="75">
        <f>INPUT!AG402</f>
        <v>547</v>
      </c>
      <c r="I506" s="155">
        <f>INPUT!AH402</f>
        <v>8.7475149105367791</v>
      </c>
      <c r="J506" s="75">
        <f>INPUT!AI402</f>
        <v>571</v>
      </c>
      <c r="K506" s="155">
        <f>INPUT!AJ402</f>
        <v>10.873786407767</v>
      </c>
      <c r="L506" s="75">
        <f>INPUT!AK402</f>
        <v>636</v>
      </c>
      <c r="M506" s="155">
        <f>INPUT!AL402</f>
        <v>20.912547528517095</v>
      </c>
      <c r="N506" s="75">
        <f>INPUT!AM402</f>
        <v>542</v>
      </c>
      <c r="O506" s="155">
        <f>INPUT!AN402</f>
        <v>6.9033530571991975</v>
      </c>
      <c r="P506" s="75">
        <f>INPUT!AO402</f>
        <v>540</v>
      </c>
      <c r="Q506" s="155">
        <f>INPUT!AP402</f>
        <v>-1.2797074954296193</v>
      </c>
      <c r="R506" s="75">
        <f>INPUT!AQ402</f>
        <v>568</v>
      </c>
      <c r="S506" s="155">
        <f>INPUT!AR402</f>
        <v>-0.52539404553415636</v>
      </c>
      <c r="T506" s="75">
        <f>INPUT!AS402</f>
        <v>615</v>
      </c>
      <c r="U506" s="155">
        <f>INPUT!AT402</f>
        <v>-3.3018867924528337</v>
      </c>
      <c r="V506" s="75">
        <f>INPUT!AU402</f>
        <v>652</v>
      </c>
      <c r="W506" s="155">
        <f>INPUT!AV402</f>
        <v>20.295202952029513</v>
      </c>
      <c r="X506" s="75">
        <f>INPUT!AW402</f>
        <v>528</v>
      </c>
      <c r="Y506" s="155">
        <f>INPUT!AX402</f>
        <v>-2.2222222222222285</v>
      </c>
      <c r="Z506" s="75">
        <f>INPUT!AY402</f>
        <v>544</v>
      </c>
      <c r="AA506" s="155">
        <f>INPUT!AZ402</f>
        <v>-4.2253521126760631</v>
      </c>
      <c r="AB506" s="75">
        <f>INPUT!BA402</f>
        <v>540</v>
      </c>
      <c r="AC506" s="155">
        <f>INPUT!BB402</f>
        <v>-12.195121951219505</v>
      </c>
      <c r="AD506" s="75">
        <f>INPUT!BC402</f>
        <v>475</v>
      </c>
      <c r="AE506" s="155">
        <f>INPUT!BD402</f>
        <v>-27.147239263803684</v>
      </c>
      <c r="AF506" s="75">
        <f>INPUT!BE402</f>
        <v>470</v>
      </c>
      <c r="AG506" s="155">
        <f>INPUT!BF402</f>
        <v>-10.984848484848484</v>
      </c>
      <c r="AH506" s="75">
        <f>INPUT!BG402</f>
        <v>467</v>
      </c>
      <c r="AI506" s="240">
        <f>INPUT!BH402</f>
        <v>-14.154411764705884</v>
      </c>
      <c r="AJ506" s="75">
        <f>INPUT!BI402</f>
        <v>507</v>
      </c>
      <c r="AK506" s="240">
        <f>INPUT!BJ402</f>
        <v>-6.1111111111111143</v>
      </c>
      <c r="AL506" s="75">
        <f>INPUT!BK402</f>
        <v>458</v>
      </c>
      <c r="AM506" s="240">
        <f>INPUT!BL402</f>
        <v>-3.5789473684210549</v>
      </c>
      <c r="AN506" s="75">
        <f>INPUT!BM402</f>
        <v>484</v>
      </c>
      <c r="AO506" s="240">
        <f>INPUT!BN402</f>
        <v>2.9787234042553052</v>
      </c>
      <c r="AP506" s="75">
        <f>INPUT!BO402</f>
        <v>510</v>
      </c>
      <c r="AQ506" s="240">
        <f>INPUT!BP402</f>
        <v>9.2077087794432515</v>
      </c>
      <c r="AR506" s="75">
        <f>INPUT!BQ402</f>
        <v>575</v>
      </c>
      <c r="AS506" s="240">
        <f>INPUT!BR402</f>
        <v>13.41222879684419</v>
      </c>
      <c r="AT506" s="75">
        <f>INPUT!BS402</f>
        <v>498</v>
      </c>
      <c r="AU506" s="240">
        <f>INPUT!BT402</f>
        <v>8.7336244541484689</v>
      </c>
      <c r="AV506" s="75">
        <f>INPUT!BU402</f>
        <v>540</v>
      </c>
      <c r="AW506" s="240">
        <f>INPUT!BV402</f>
        <v>11.570247933884303</v>
      </c>
      <c r="AX506" s="75">
        <f>INPUT!BW402</f>
        <v>614</v>
      </c>
      <c r="AY506" s="240">
        <f>INPUT!BX402</f>
        <v>20.392156862745097</v>
      </c>
      <c r="AZ506" s="75">
        <f>INPUT!BY402</f>
        <v>712</v>
      </c>
      <c r="BA506" s="240">
        <f>INPUT!BZ402</f>
        <v>23.826086956521735</v>
      </c>
      <c r="BB506" s="75">
        <f>INPUT!CA402</f>
        <v>783</v>
      </c>
      <c r="BC506" s="240">
        <f>INPUT!CB402</f>
        <v>57.228915662650593</v>
      </c>
      <c r="BD506" s="75">
        <f>INPUT!CC402</f>
        <v>751</v>
      </c>
      <c r="BE506" s="240">
        <f>INPUT!CD402</f>
        <v>39.074074074074076</v>
      </c>
      <c r="BF506" s="75">
        <f>INPUT!CE402</f>
        <v>768</v>
      </c>
      <c r="BG506" s="240">
        <f>INPUT!CF402</f>
        <v>25.081433224755685</v>
      </c>
      <c r="BH506" s="75">
        <f>INPUT!CG402</f>
        <v>916</v>
      </c>
      <c r="BI506" s="240">
        <f>INPUT!CH402</f>
        <v>28.651685393258418</v>
      </c>
      <c r="BJ506" s="75">
        <f>INPUT!CI402</f>
        <v>841</v>
      </c>
      <c r="BK506" s="240">
        <f>INPUT!CJ402</f>
        <v>7.407407407407419</v>
      </c>
      <c r="BL506" s="75">
        <f>INPUT!CK402</f>
        <v>921</v>
      </c>
      <c r="BM506" s="240">
        <f>INPUT!CL402</f>
        <v>22.636484687083879</v>
      </c>
      <c r="BN506" s="75">
        <f>INPUT!CM402</f>
        <v>1601</v>
      </c>
      <c r="BO506" s="240" t="str">
        <f>INPUT!CN402</f>
        <v>NM</v>
      </c>
      <c r="BP506" s="75">
        <f>INPUT!CO402</f>
        <v>2391</v>
      </c>
      <c r="BQ506" s="240" t="str">
        <f>INPUT!CP402</f>
        <v>NM</v>
      </c>
      <c r="BR506" s="75">
        <f>INPUT!CQ402</f>
        <v>2226</v>
      </c>
      <c r="BS506" s="240" t="str">
        <f>INPUT!CR402</f>
        <v>NM</v>
      </c>
      <c r="BT506" s="75">
        <f>INPUT!CS402</f>
        <v>2386</v>
      </c>
      <c r="BU506" s="240" t="str">
        <f>INPUT!CT402</f>
        <v>NM</v>
      </c>
      <c r="BV506" s="75">
        <f>INPUT!CU402</f>
        <v>2779</v>
      </c>
      <c r="BW506" s="240">
        <f>INPUT!CV402</f>
        <v>73.579013116802003</v>
      </c>
      <c r="BX506" s="75">
        <f>INPUT!CW402</f>
        <v>3474</v>
      </c>
      <c r="BY506" s="240">
        <f>INPUT!CX402</f>
        <v>45.294855708908415</v>
      </c>
      <c r="BZ506" s="75">
        <f>INPUT!CY402</f>
        <v>5087</v>
      </c>
      <c r="CA506" s="240" t="str">
        <f>INPUT!CZ402</f>
        <v>NM</v>
      </c>
      <c r="CB506" s="75">
        <f>INPUT!DA402</f>
        <v>6173</v>
      </c>
      <c r="CC506" s="240" t="str">
        <f>INPUT!DB402</f>
        <v>NM</v>
      </c>
      <c r="CD506" s="75">
        <f>INPUT!DC402</f>
        <v>3024</v>
      </c>
      <c r="CE506" s="240">
        <f>INPUT!DD402</f>
        <v>8.816120906801018</v>
      </c>
      <c r="CF506" s="75">
        <f>INPUT!DE402</f>
        <v>2947</v>
      </c>
      <c r="CG506" s="240">
        <f>INPUT!DF402</f>
        <v>-15.169833045480715</v>
      </c>
      <c r="CH506" s="75">
        <f>INPUT!DG402</f>
        <v>2283</v>
      </c>
      <c r="CI506" s="240" t="str">
        <f>INPUT!DH402</f>
        <v>NM</v>
      </c>
      <c r="CJ506" s="75">
        <f>INPUT!DI402</f>
        <v>2013</v>
      </c>
      <c r="CK506" s="240" t="str">
        <f>INPUT!DJ402</f>
        <v>NM</v>
      </c>
      <c r="CL506" s="75">
        <f>INPUT!DK402</f>
        <v>1812</v>
      </c>
      <c r="CM506" s="240">
        <f>INPUT!DL402</f>
        <v>-40.079365079365083</v>
      </c>
      <c r="CN506" s="75">
        <f>INPUT!DM402</f>
        <v>2136</v>
      </c>
      <c r="CO506" s="240">
        <f>INPUT!DN402</f>
        <v>-27.51951136749237</v>
      </c>
      <c r="CP506" s="75">
        <f>INPUT!DO402</f>
        <v>1875</v>
      </c>
      <c r="CQ506" s="240">
        <f>INPUT!DP402</f>
        <v>-17.871222076215503</v>
      </c>
      <c r="CR506" s="75">
        <f>INPUT!DQ402</f>
        <v>1718</v>
      </c>
      <c r="CS506" s="240">
        <f>INPUT!DR402</f>
        <v>-14.654744162940887</v>
      </c>
      <c r="CT506" s="75">
        <f>INPUT!DS402</f>
        <v>1689</v>
      </c>
      <c r="CU506" s="240">
        <f>INPUT!DT402</f>
        <v>-6.7880794701986673</v>
      </c>
      <c r="CV506" s="75">
        <f>INPUT!DU402</f>
        <v>2006</v>
      </c>
      <c r="CW506" s="240">
        <f>INPUT!DV402</f>
        <v>-6.0861423220973734</v>
      </c>
      <c r="CX506" s="75">
        <f>INPUT!DW402</f>
        <v>1742</v>
      </c>
      <c r="CY506" s="240">
        <f>INPUT!DX402</f>
        <v>-7.0933333333333337</v>
      </c>
      <c r="CZ506" s="75">
        <f>INPUT!DY402</f>
        <v>1679</v>
      </c>
      <c r="DA506" s="240">
        <f>INPUT!DZ402</f>
        <v>-2.2700814901047721</v>
      </c>
      <c r="DB506" s="75">
        <f>INPUT!EA402</f>
        <v>1756</v>
      </c>
      <c r="DC506" s="240">
        <f>INPUT!EB402</f>
        <v>3.9668442865600895</v>
      </c>
      <c r="DD506" s="75">
        <f>INPUT!EC402</f>
        <v>2081</v>
      </c>
      <c r="DE506" s="240">
        <f>INPUT!ED402</f>
        <v>3.7387836490528485</v>
      </c>
      <c r="DF506" s="75">
        <f>INPUT!EE402</f>
        <v>2057</v>
      </c>
      <c r="DG506" s="240">
        <f>INPUT!EF402</f>
        <v>18.082663605051664</v>
      </c>
      <c r="DH506" s="75">
        <f>INPUT!EG402</f>
        <v>1983</v>
      </c>
      <c r="DI506" s="240">
        <f>INPUT!EH402</f>
        <v>18.10601548540798</v>
      </c>
      <c r="DJ506" s="75">
        <f>INPUT!EI402</f>
        <v>1846</v>
      </c>
      <c r="DK506" s="240">
        <f>INPUT!EJ402</f>
        <v>5.1252847380409889</v>
      </c>
      <c r="DL506" s="75">
        <f>INPUT!EK402</f>
        <v>2099</v>
      </c>
      <c r="DM506" s="240">
        <f>INPUT!EL402</f>
        <v>0.86496876501682607</v>
      </c>
      <c r="DN506" s="75">
        <f>INPUT!EM402</f>
        <v>1953</v>
      </c>
      <c r="DO506" s="240">
        <f>INPUT!EN402</f>
        <v>-5.0559066601847462</v>
      </c>
      <c r="DP506" s="75">
        <f>INPUT!EO402</f>
        <v>1856</v>
      </c>
      <c r="DQ506" s="240">
        <f>INPUT!EP402</f>
        <v>-6.4044377206253102</v>
      </c>
      <c r="DR506" s="75">
        <f>INPUT!EQ402</f>
        <v>1872.7753153153153</v>
      </c>
      <c r="DS506" s="240">
        <f>INPUT!ER402</f>
        <v>1.4504504504504467</v>
      </c>
      <c r="DT506" s="75">
        <f>INPUT!ES402</f>
        <v>2129.4449549549549</v>
      </c>
      <c r="DU506" s="240">
        <f>INPUT!ET402</f>
        <v>1.4504504504504467</v>
      </c>
      <c r="DV506" s="75">
        <f>INPUT!EU402</f>
        <v>1981.3272972972973</v>
      </c>
      <c r="DW506" s="240">
        <f>INPUT!EV402</f>
        <v>1.4504504504504467</v>
      </c>
      <c r="DX506" s="75">
        <f>INPUT!EW402</f>
        <v>1882.9203603603603</v>
      </c>
      <c r="DY506" s="240">
        <f>INPUT!EX402</f>
        <v>1.4504504504504467</v>
      </c>
      <c r="DZ506" s="75"/>
      <c r="EA506" s="240"/>
      <c r="EB506" s="498" t="str">
        <f>INPUT!FI402</f>
        <v>NA</v>
      </c>
      <c r="EC506" s="75">
        <f>INPUT!FJ402</f>
        <v>2054</v>
      </c>
      <c r="ED506" s="155">
        <f>INPUT!FK402</f>
        <v>36.478405315614623</v>
      </c>
      <c r="EE506" s="75">
        <f>INPUT!FL402</f>
        <v>2095</v>
      </c>
      <c r="EF506" s="155">
        <f>INPUT!FM402</f>
        <v>1.9961051606621254</v>
      </c>
      <c r="EG506" s="75">
        <f>INPUT!FN402</f>
        <v>2289</v>
      </c>
      <c r="EH506" s="155">
        <f>INPUT!FO402</f>
        <v>9.2601431980907023</v>
      </c>
      <c r="EI506" s="75">
        <f>INPUT!FP402</f>
        <v>2363</v>
      </c>
      <c r="EJ506" s="240">
        <f>INPUT!FQ402</f>
        <v>3.2328527741371857</v>
      </c>
      <c r="EK506" s="75">
        <f>INPUT!FR402</f>
        <v>2029</v>
      </c>
      <c r="EL506" s="240">
        <f>INPUT!FS402</f>
        <v>-14.134574693186636</v>
      </c>
      <c r="EM506" s="75">
        <f>INPUT!FT402</f>
        <v>1916</v>
      </c>
      <c r="EN506" s="240">
        <f>INPUT!FU402</f>
        <v>-5.5692459339576175</v>
      </c>
      <c r="EO506" s="75">
        <f>INPUT!FV402</f>
        <v>2122</v>
      </c>
      <c r="EP506" s="240">
        <f>INPUT!FW402</f>
        <v>10.751565762004176</v>
      </c>
      <c r="EQ506" s="75">
        <f>INPUT!FX402</f>
        <v>2860</v>
      </c>
      <c r="ER506" s="240">
        <f>INPUT!FY402</f>
        <v>34.778510838831295</v>
      </c>
      <c r="ES506" s="75">
        <f>INPUT!FZ402</f>
        <v>3446</v>
      </c>
      <c r="ET506" s="240">
        <f>INPUT!GA402</f>
        <v>20.489510489510494</v>
      </c>
      <c r="EU506" s="75">
        <f>INPUT!GB402</f>
        <v>8604</v>
      </c>
      <c r="EV506" s="240" t="str">
        <f>INPUT!GC402</f>
        <v>NM</v>
      </c>
      <c r="EW506" s="75">
        <f>INPUT!GD402</f>
        <v>17513</v>
      </c>
      <c r="EX506" s="240" t="str">
        <f>INPUT!GE402</f>
        <v>NM</v>
      </c>
      <c r="EY506" s="75">
        <f>INPUT!GF402</f>
        <v>10267</v>
      </c>
      <c r="EZ506" s="240">
        <f>INPUT!GG402</f>
        <v>-41.374978587335121</v>
      </c>
      <c r="FA506" s="75">
        <f>INPUT!GH402</f>
        <v>7541</v>
      </c>
      <c r="FB506" s="240">
        <f>INPUT!GI402</f>
        <v>-26.551086003701172</v>
      </c>
      <c r="FC506" s="75">
        <f>INPUT!GJ402</f>
        <v>7116</v>
      </c>
      <c r="FD506" s="240">
        <f>INPUT!GK402</f>
        <v>-5.635857313353668</v>
      </c>
      <c r="FE506" s="75">
        <f>INPUT!GL402</f>
        <v>7877</v>
      </c>
      <c r="FF506" s="240">
        <f>INPUT!GM402</f>
        <v>10.694210230466553</v>
      </c>
      <c r="FG506" s="75">
        <f>INPUT!GN402</f>
        <v>7754</v>
      </c>
      <c r="FH506" s="240">
        <f>INPUT!GO402</f>
        <v>-1.5615081883966013</v>
      </c>
      <c r="FI506" s="75">
        <f>INPUT!GP402</f>
        <v>7866.467927927928</v>
      </c>
      <c r="FJ506" s="240">
        <f>INPUT!GQ402</f>
        <v>1.4504504504504467</v>
      </c>
      <c r="FK506" s="75">
        <f>INPUT!GR402</f>
        <v>7945.132607207207</v>
      </c>
      <c r="FL506" s="240">
        <f>INPUT!GS402</f>
        <v>1</v>
      </c>
      <c r="FM506" s="75">
        <f>INPUT!GT402</f>
        <v>8024.5839332792793</v>
      </c>
      <c r="FN506" s="240">
        <f>INPUT!GU402</f>
        <v>1</v>
      </c>
      <c r="FO506" s="75">
        <f>INPUT!GV402</f>
        <v>8104.8297726120718</v>
      </c>
      <c r="FP506" s="240">
        <f>INPUT!GW402</f>
        <v>1</v>
      </c>
      <c r="FQ506" s="75">
        <f>INPUT!GX402</f>
        <v>8185.8780703381926</v>
      </c>
      <c r="FR506" s="240">
        <f>INPUT!GY402</f>
        <v>1</v>
      </c>
      <c r="FS506" s="240">
        <f>INPUT!GZ402</f>
        <v>1.0899298015088821</v>
      </c>
    </row>
    <row r="507" spans="1:176" ht="12.75" hidden="1" customHeight="1" outlineLevel="1" x14ac:dyDescent="0.2">
      <c r="A507" s="77" t="str">
        <f>INPUT!B404</f>
        <v>Policy Charges and Fee Income</v>
      </c>
      <c r="B507" s="75">
        <f>INPUT!AA404</f>
        <v>21</v>
      </c>
      <c r="C507" s="155">
        <f>INPUT!AB404</f>
        <v>-25</v>
      </c>
      <c r="D507" s="75">
        <f>INPUT!AC404</f>
        <v>26</v>
      </c>
      <c r="E507" s="155">
        <f>INPUT!AD404</f>
        <v>-7.1428571428571388</v>
      </c>
      <c r="F507" s="75">
        <f>INPUT!AE404</f>
        <v>20</v>
      </c>
      <c r="G507" s="155">
        <f>INPUT!AF404</f>
        <v>11.111111111111114</v>
      </c>
      <c r="H507" s="75">
        <f>INPUT!AG404</f>
        <v>19</v>
      </c>
      <c r="I507" s="155">
        <f>INPUT!AH404</f>
        <v>-13.63636363636364</v>
      </c>
      <c r="J507" s="75">
        <f>INPUT!AI404</f>
        <v>19</v>
      </c>
      <c r="K507" s="155">
        <f>INPUT!AJ404</f>
        <v>-9.5238095238095184</v>
      </c>
      <c r="L507" s="75">
        <f>INPUT!AK404</f>
        <v>23</v>
      </c>
      <c r="M507" s="155">
        <f>INPUT!AL404</f>
        <v>-11.538461538461547</v>
      </c>
      <c r="N507" s="75">
        <f>INPUT!AM404</f>
        <v>17</v>
      </c>
      <c r="O507" s="155">
        <f>INPUT!AN404</f>
        <v>-15</v>
      </c>
      <c r="P507" s="75">
        <f>INPUT!AO404</f>
        <v>17</v>
      </c>
      <c r="Q507" s="155">
        <f>INPUT!AP404</f>
        <v>-10.526315789473685</v>
      </c>
      <c r="R507" s="75">
        <f>INPUT!AQ404</f>
        <v>18</v>
      </c>
      <c r="S507" s="155">
        <f>INPUT!AR404</f>
        <v>-5.2631578947368496</v>
      </c>
      <c r="T507" s="75">
        <f>INPUT!AS404</f>
        <v>20</v>
      </c>
      <c r="U507" s="155">
        <f>INPUT!AT404</f>
        <v>-13.043478260869563</v>
      </c>
      <c r="V507" s="75">
        <f>INPUT!AU404</f>
        <v>13</v>
      </c>
      <c r="W507" s="155">
        <f>INPUT!AV404</f>
        <v>-23.529411764705884</v>
      </c>
      <c r="X507" s="75">
        <f>INPUT!AW404</f>
        <v>16</v>
      </c>
      <c r="Y507" s="155">
        <f>INPUT!AX404</f>
        <v>-5.8823529411764781</v>
      </c>
      <c r="Z507" s="75">
        <f>INPUT!AY404</f>
        <v>18</v>
      </c>
      <c r="AA507" s="155">
        <f>INPUT!AZ404</f>
        <v>0</v>
      </c>
      <c r="AB507" s="75">
        <f>INPUT!BA404</f>
        <v>19</v>
      </c>
      <c r="AC507" s="155">
        <f>INPUT!BB404</f>
        <v>-5</v>
      </c>
      <c r="AD507" s="75">
        <f>INPUT!BC404</f>
        <v>15</v>
      </c>
      <c r="AE507" s="155">
        <f>INPUT!BD404</f>
        <v>15.384615384615373</v>
      </c>
      <c r="AF507" s="75">
        <f>INPUT!BE404</f>
        <v>13</v>
      </c>
      <c r="AG507" s="155">
        <f>INPUT!BF404</f>
        <v>-18.75</v>
      </c>
      <c r="AH507" s="75">
        <f>INPUT!BG404</f>
        <v>16</v>
      </c>
      <c r="AI507" s="240">
        <f>INPUT!BH404</f>
        <v>-11.111111111111114</v>
      </c>
      <c r="AJ507" s="75">
        <f>INPUT!BI404</f>
        <v>16</v>
      </c>
      <c r="AK507" s="240">
        <f>INPUT!BJ404</f>
        <v>-15.789473684210535</v>
      </c>
      <c r="AL507" s="75">
        <f>INPUT!BK404</f>
        <v>14</v>
      </c>
      <c r="AM507" s="240">
        <f>INPUT!BL404</f>
        <v>-6.6666666666666714</v>
      </c>
      <c r="AN507" s="75">
        <f>INPUT!BM404</f>
        <v>17</v>
      </c>
      <c r="AO507" s="240">
        <f>INPUT!BN404</f>
        <v>30.769230769230774</v>
      </c>
      <c r="AP507" s="75">
        <f>INPUT!BO404</f>
        <v>17</v>
      </c>
      <c r="AQ507" s="240">
        <f>INPUT!BP404</f>
        <v>6.25</v>
      </c>
      <c r="AR507" s="75">
        <f>INPUT!BQ404</f>
        <v>18</v>
      </c>
      <c r="AS507" s="240">
        <f>INPUT!BR404</f>
        <v>12.5</v>
      </c>
      <c r="AT507" s="75">
        <f>INPUT!BS404</f>
        <v>17</v>
      </c>
      <c r="AU507" s="240">
        <f>INPUT!BT404</f>
        <v>21.428571428571416</v>
      </c>
      <c r="AV507" s="75">
        <f>INPUT!BU404</f>
        <v>19</v>
      </c>
      <c r="AW507" s="240">
        <f>INPUT!BV404</f>
        <v>11.764705882352942</v>
      </c>
      <c r="AX507" s="75">
        <f>INPUT!BW404</f>
        <v>21</v>
      </c>
      <c r="AY507" s="240">
        <f>INPUT!BX404</f>
        <v>23.529411764705884</v>
      </c>
      <c r="AZ507" s="75">
        <f>INPUT!BY404</f>
        <v>19</v>
      </c>
      <c r="BA507" s="240">
        <f>INPUT!BZ404</f>
        <v>5.5555555555555571</v>
      </c>
      <c r="BB507" s="75">
        <f>INPUT!CA404</f>
        <v>19</v>
      </c>
      <c r="BC507" s="240">
        <f>INPUT!CB404</f>
        <v>11.764705882352942</v>
      </c>
      <c r="BD507" s="75">
        <f>INPUT!CC404</f>
        <v>20</v>
      </c>
      <c r="BE507" s="240">
        <f>INPUT!CD404</f>
        <v>5.2631578947368354</v>
      </c>
      <c r="BF507" s="75">
        <f>INPUT!CE404</f>
        <v>19</v>
      </c>
      <c r="BG507" s="240">
        <f>INPUT!CF404</f>
        <v>-9.5238095238095184</v>
      </c>
      <c r="BH507" s="75">
        <f>INPUT!CG404</f>
        <v>19</v>
      </c>
      <c r="BI507" s="240">
        <f>INPUT!CH404</f>
        <v>0</v>
      </c>
      <c r="BJ507" s="75">
        <f>INPUT!CI404</f>
        <v>21</v>
      </c>
      <c r="BK507" s="240">
        <f>INPUT!CJ404</f>
        <v>10.526315789473699</v>
      </c>
      <c r="BL507" s="75">
        <f>INPUT!CK404</f>
        <v>23</v>
      </c>
      <c r="BM507" s="240">
        <f>INPUT!CL404</f>
        <v>14.999999999999986</v>
      </c>
      <c r="BN507" s="75">
        <f>INPUT!CM404</f>
        <v>23</v>
      </c>
      <c r="BO507" s="240">
        <f>INPUT!CN404</f>
        <v>21.05263157894737</v>
      </c>
      <c r="BP507" s="75">
        <f>INPUT!CO404</f>
        <v>52</v>
      </c>
      <c r="BQ507" s="240" t="str">
        <f>INPUT!CP404</f>
        <v>NM</v>
      </c>
      <c r="BR507" s="75">
        <f>INPUT!CQ404</f>
        <v>52</v>
      </c>
      <c r="BS507" s="240" t="str">
        <f>INPUT!CR404</f>
        <v>NM</v>
      </c>
      <c r="BT507" s="75">
        <f>INPUT!CS404</f>
        <v>54</v>
      </c>
      <c r="BU507" s="240" t="str">
        <f>INPUT!CT404</f>
        <v>NM</v>
      </c>
      <c r="BV507" s="75">
        <f>INPUT!CU404</f>
        <v>58</v>
      </c>
      <c r="BW507" s="240" t="str">
        <f>INPUT!CV404</f>
        <v>NM</v>
      </c>
      <c r="BX507" s="75">
        <f>INPUT!CW404</f>
        <v>56</v>
      </c>
      <c r="BY507" s="240">
        <f>INPUT!CX404</f>
        <v>7.6923076923076934</v>
      </c>
      <c r="BZ507" s="75">
        <f>INPUT!CY404</f>
        <v>56</v>
      </c>
      <c r="CA507" s="240">
        <f>INPUT!CZ404</f>
        <v>7.6923076923076934</v>
      </c>
      <c r="CB507" s="75">
        <f>INPUT!DA404</f>
        <v>56</v>
      </c>
      <c r="CC507" s="240">
        <f>INPUT!DB404</f>
        <v>3.7037037037036953</v>
      </c>
      <c r="CD507" s="75">
        <f>INPUT!DC404</f>
        <v>69</v>
      </c>
      <c r="CE507" s="240">
        <f>INPUT!DD404</f>
        <v>18.965517241379317</v>
      </c>
      <c r="CF507" s="75">
        <f>INPUT!DE404</f>
        <v>77</v>
      </c>
      <c r="CG507" s="240">
        <f>INPUT!DF404</f>
        <v>37.5</v>
      </c>
      <c r="CH507" s="75">
        <f>INPUT!DG404</f>
        <v>54</v>
      </c>
      <c r="CI507" s="240">
        <f>INPUT!DH404</f>
        <v>-3.5714285714285694</v>
      </c>
      <c r="CJ507" s="75">
        <f>INPUT!DI404</f>
        <v>50</v>
      </c>
      <c r="CK507" s="240">
        <f>INPUT!DJ404</f>
        <v>-10.714285714285708</v>
      </c>
      <c r="CL507" s="75">
        <f>INPUT!DK404</f>
        <v>47</v>
      </c>
      <c r="CM507" s="240">
        <f>INPUT!DL404</f>
        <v>-31.884057971014485</v>
      </c>
      <c r="CN507" s="75">
        <f>INPUT!DM404</f>
        <v>49</v>
      </c>
      <c r="CO507" s="240">
        <f>INPUT!DN404</f>
        <v>-36.363636363636367</v>
      </c>
      <c r="CP507" s="75">
        <f>INPUT!DO404</f>
        <v>69</v>
      </c>
      <c r="CQ507" s="240">
        <f>INPUT!DP404</f>
        <v>27.777777777777771</v>
      </c>
      <c r="CR507" s="75">
        <f>INPUT!DQ404</f>
        <v>58</v>
      </c>
      <c r="CS507" s="240">
        <f>INPUT!DR404</f>
        <v>15.999999999999986</v>
      </c>
      <c r="CT507" s="75">
        <f>INPUT!DS404</f>
        <v>53</v>
      </c>
      <c r="CU507" s="240">
        <f>INPUT!DT404</f>
        <v>12.7659574468085</v>
      </c>
      <c r="CV507" s="75">
        <f>INPUT!DU404</f>
        <v>54</v>
      </c>
      <c r="CW507" s="240">
        <f>INPUT!DV404</f>
        <v>10.204081632653043</v>
      </c>
      <c r="CX507" s="75">
        <f>INPUT!DW404</f>
        <v>44</v>
      </c>
      <c r="CY507" s="240">
        <f>INPUT!DX404</f>
        <v>-36.231884057971023</v>
      </c>
      <c r="CZ507" s="75">
        <f>INPUT!DY404</f>
        <v>40</v>
      </c>
      <c r="DA507" s="240">
        <f>INPUT!DZ404</f>
        <v>-31.034482758620683</v>
      </c>
      <c r="DB507" s="75">
        <f>INPUT!EA404</f>
        <v>38</v>
      </c>
      <c r="DC507" s="240">
        <f>INPUT!EB404</f>
        <v>-28.301886792452834</v>
      </c>
      <c r="DD507" s="75">
        <f>INPUT!EC404</f>
        <v>39</v>
      </c>
      <c r="DE507" s="240">
        <f>INPUT!ED404</f>
        <v>-27.777777777777786</v>
      </c>
      <c r="DF507" s="75">
        <f>INPUT!EE404</f>
        <v>37</v>
      </c>
      <c r="DG507" s="240">
        <f>INPUT!EF404</f>
        <v>-15.909090909090907</v>
      </c>
      <c r="DH507" s="75">
        <f>INPUT!EG404</f>
        <v>39</v>
      </c>
      <c r="DI507" s="240">
        <f>INPUT!EH404</f>
        <v>-2.5</v>
      </c>
      <c r="DJ507" s="75">
        <f>INPUT!EI404</f>
        <v>38</v>
      </c>
      <c r="DK507" s="240">
        <f>INPUT!EJ404</f>
        <v>0</v>
      </c>
      <c r="DL507" s="75">
        <f>INPUT!EK404</f>
        <v>35</v>
      </c>
      <c r="DM507" s="240">
        <f>INPUT!EL404</f>
        <v>-10.256410256410248</v>
      </c>
      <c r="DN507" s="75">
        <f>INPUT!EM404</f>
        <v>36</v>
      </c>
      <c r="DO507" s="240">
        <f>INPUT!EN404</f>
        <v>-2.7027027027026946</v>
      </c>
      <c r="DP507" s="75">
        <f>INPUT!EO404</f>
        <v>37</v>
      </c>
      <c r="DQ507" s="240">
        <f>INPUT!EP404</f>
        <v>-5.1282051282051384</v>
      </c>
      <c r="DR507" s="75">
        <f>INPUT!EQ404</f>
        <v>38.55117117117117</v>
      </c>
      <c r="DS507" s="240">
        <f>INPUT!ER404</f>
        <v>1.4504504504504467</v>
      </c>
      <c r="DT507" s="75">
        <f>INPUT!ES404</f>
        <v>35.50765765765766</v>
      </c>
      <c r="DU507" s="240">
        <f>INPUT!ET404</f>
        <v>1.4504504504504467</v>
      </c>
      <c r="DV507" s="75">
        <f>INPUT!EU404</f>
        <v>36.522162162162161</v>
      </c>
      <c r="DW507" s="240">
        <f>INPUT!EV404</f>
        <v>1.4504504504504467</v>
      </c>
      <c r="DX507" s="75">
        <f>INPUT!EW404</f>
        <v>37.536666666666662</v>
      </c>
      <c r="DY507" s="240">
        <f>INPUT!EX404</f>
        <v>1.4504504504504467</v>
      </c>
      <c r="DZ507" s="75"/>
      <c r="EA507" s="240"/>
      <c r="EB507" s="498" t="str">
        <f>INPUT!FI404</f>
        <v>NA</v>
      </c>
      <c r="EC507" s="75">
        <f>INPUT!FJ404</f>
        <v>96</v>
      </c>
      <c r="ED507" s="155" t="str">
        <f>INPUT!FK404</f>
        <v>NM</v>
      </c>
      <c r="EE507" s="75">
        <f>INPUT!FL404</f>
        <v>86</v>
      </c>
      <c r="EF507" s="155">
        <f>INPUT!FM404</f>
        <v>-10.416666666666657</v>
      </c>
      <c r="EG507" s="75">
        <f>INPUT!FN404</f>
        <v>76</v>
      </c>
      <c r="EH507" s="155">
        <f>INPUT!FO404</f>
        <v>-11.627906976744185</v>
      </c>
      <c r="EI507" s="75">
        <f>INPUT!FP404</f>
        <v>67</v>
      </c>
      <c r="EJ507" s="240">
        <f>INPUT!FQ404</f>
        <v>-11.842105263157904</v>
      </c>
      <c r="EK507" s="75">
        <f>INPUT!FR404</f>
        <v>65</v>
      </c>
      <c r="EL507" s="240">
        <f>INPUT!FS404</f>
        <v>-2.9850746268656678</v>
      </c>
      <c r="EM507" s="75">
        <f>INPUT!FT404</f>
        <v>63</v>
      </c>
      <c r="EN507" s="240">
        <f>INPUT!FU404</f>
        <v>-3.0769230769230802</v>
      </c>
      <c r="EO507" s="75">
        <f>INPUT!FV404</f>
        <v>71</v>
      </c>
      <c r="EP507" s="240">
        <f>INPUT!FW404</f>
        <v>12.698412698412696</v>
      </c>
      <c r="EQ507" s="75">
        <f>INPUT!FX404</f>
        <v>79</v>
      </c>
      <c r="ER507" s="240">
        <f>INPUT!FY404</f>
        <v>11.26760563380283</v>
      </c>
      <c r="ES507" s="75">
        <f>INPUT!FZ404</f>
        <v>82</v>
      </c>
      <c r="ET507" s="240">
        <f>INPUT!GA404</f>
        <v>3.7974683544303787</v>
      </c>
      <c r="EU507" s="75">
        <f>INPUT!GB404</f>
        <v>181</v>
      </c>
      <c r="EV507" s="240" t="str">
        <f>INPUT!GC404</f>
        <v>NM</v>
      </c>
      <c r="EW507" s="75">
        <f>INPUT!GD404</f>
        <v>226</v>
      </c>
      <c r="EX507" s="240">
        <f>INPUT!GE404</f>
        <v>24.861878453038671</v>
      </c>
      <c r="EY507" s="75">
        <f>INPUT!GF404</f>
        <v>250</v>
      </c>
      <c r="EZ507" s="240">
        <f>INPUT!GG404</f>
        <v>10.619469026548671</v>
      </c>
      <c r="FA507" s="75">
        <f>INPUT!GH404</f>
        <v>223</v>
      </c>
      <c r="FB507" s="240">
        <f>INPUT!GI404</f>
        <v>-10.799999999999997</v>
      </c>
      <c r="FC507" s="75">
        <f>INPUT!GJ404</f>
        <v>191</v>
      </c>
      <c r="FD507" s="240">
        <f>INPUT!GK404</f>
        <v>-14.349775784753362</v>
      </c>
      <c r="FE507" s="75">
        <f>INPUT!GL404</f>
        <v>153</v>
      </c>
      <c r="FF507" s="240">
        <f>INPUT!GM404</f>
        <v>-19.895287958115176</v>
      </c>
      <c r="FG507" s="75">
        <f>INPUT!GN404</f>
        <v>146</v>
      </c>
      <c r="FH507" s="240">
        <f>INPUT!GO404</f>
        <v>-4.5751633986928084</v>
      </c>
      <c r="FI507" s="75">
        <f>INPUT!GP404</f>
        <v>148.11765765765767</v>
      </c>
      <c r="FJ507" s="240">
        <f>INPUT!GQ404</f>
        <v>1.4504504504504752</v>
      </c>
      <c r="FK507" s="75">
        <f>INPUT!GR404</f>
        <v>149.59883423423426</v>
      </c>
      <c r="FL507" s="240">
        <f>INPUT!GS404</f>
        <v>1</v>
      </c>
      <c r="FM507" s="75">
        <f>INPUT!GT404</f>
        <v>151.0948225765766</v>
      </c>
      <c r="FN507" s="240">
        <f>INPUT!GU404</f>
        <v>1</v>
      </c>
      <c r="FO507" s="75">
        <f>INPUT!GV404</f>
        <v>152.60577080234236</v>
      </c>
      <c r="FP507" s="240">
        <f>INPUT!GW404</f>
        <v>1</v>
      </c>
      <c r="FQ507" s="75">
        <f>INPUT!GX404</f>
        <v>154.13182851036578</v>
      </c>
      <c r="FR507" s="240">
        <f>INPUT!GY404</f>
        <v>1</v>
      </c>
      <c r="FS507" s="240">
        <f>INPUT!GZ404</f>
        <v>1.0899298015088821</v>
      </c>
    </row>
    <row r="508" spans="1:176" ht="12.75" hidden="1" customHeight="1" outlineLevel="1" x14ac:dyDescent="0.2">
      <c r="A508" s="77" t="str">
        <f>INPUT!B405</f>
        <v xml:space="preserve">  Total Fees</v>
      </c>
      <c r="B508" s="75">
        <f>INPUT!AA405</f>
        <v>536</v>
      </c>
      <c r="C508" s="155">
        <f>INPUT!AB405</f>
        <v>-3.9426523297491087</v>
      </c>
      <c r="D508" s="75">
        <f>INPUT!AC405</f>
        <v>552</v>
      </c>
      <c r="E508" s="155">
        <f>INPUT!AD405</f>
        <v>2.4118738404452813</v>
      </c>
      <c r="F508" s="75">
        <f>INPUT!AE405</f>
        <v>527</v>
      </c>
      <c r="G508" s="155">
        <f>INPUT!AF405</f>
        <v>-0.18939393939393767</v>
      </c>
      <c r="H508" s="75">
        <f>INPUT!AG405</f>
        <v>566</v>
      </c>
      <c r="I508" s="155">
        <f>INPUT!AH405</f>
        <v>7.809523809523796</v>
      </c>
      <c r="J508" s="75">
        <f>INPUT!AI405</f>
        <v>590</v>
      </c>
      <c r="K508" s="155">
        <f>INPUT!AJ405</f>
        <v>10.074626865671647</v>
      </c>
      <c r="L508" s="75">
        <f>INPUT!AK405</f>
        <v>659</v>
      </c>
      <c r="M508" s="155">
        <f>INPUT!AL405</f>
        <v>19.384057971014499</v>
      </c>
      <c r="N508" s="75">
        <f>INPUT!AM405</f>
        <v>559</v>
      </c>
      <c r="O508" s="155">
        <f>INPUT!AN405</f>
        <v>6.072106261859588</v>
      </c>
      <c r="P508" s="75">
        <f>INPUT!AO405</f>
        <v>557</v>
      </c>
      <c r="Q508" s="155">
        <f>INPUT!AP405</f>
        <v>-1.5901060070671349</v>
      </c>
      <c r="R508" s="75">
        <f>INPUT!AQ405</f>
        <v>586</v>
      </c>
      <c r="S508" s="155">
        <f>INPUT!AR405</f>
        <v>-0.67796610169492055</v>
      </c>
      <c r="T508" s="75">
        <f>INPUT!AS405</f>
        <v>635</v>
      </c>
      <c r="U508" s="155">
        <f>INPUT!AT405</f>
        <v>-3.6418816388467405</v>
      </c>
      <c r="V508" s="75">
        <f>INPUT!AU405</f>
        <v>665</v>
      </c>
      <c r="W508" s="155">
        <f>INPUT!AV405</f>
        <v>18.962432915921283</v>
      </c>
      <c r="X508" s="75">
        <f>INPUT!AW405</f>
        <v>544</v>
      </c>
      <c r="Y508" s="155">
        <f>INPUT!AX405</f>
        <v>-2.3339317773788224</v>
      </c>
      <c r="Z508" s="75">
        <f>INPUT!AY405</f>
        <v>562</v>
      </c>
      <c r="AA508" s="155">
        <f>INPUT!AZ405</f>
        <v>-4.0955631399317411</v>
      </c>
      <c r="AB508" s="75">
        <f>INPUT!BA405</f>
        <v>559</v>
      </c>
      <c r="AC508" s="155">
        <f>INPUT!BB405</f>
        <v>-11.968503937007881</v>
      </c>
      <c r="AD508" s="75">
        <f>INPUT!BC405</f>
        <v>490</v>
      </c>
      <c r="AE508" s="155">
        <f>INPUT!BD405</f>
        <v>-26.31578947368422</v>
      </c>
      <c r="AF508" s="75">
        <f>INPUT!BE405</f>
        <v>483</v>
      </c>
      <c r="AG508" s="155">
        <f>INPUT!BF405</f>
        <v>-11.213235294117652</v>
      </c>
      <c r="AH508" s="75">
        <f>INPUT!BG405</f>
        <v>483</v>
      </c>
      <c r="AI508" s="240">
        <f>INPUT!BH405</f>
        <v>-14.056939501779368</v>
      </c>
      <c r="AJ508" s="75">
        <f>INPUT!BI405</f>
        <v>523</v>
      </c>
      <c r="AK508" s="240">
        <f>INPUT!BJ405</f>
        <v>-6.440071556350631</v>
      </c>
      <c r="AL508" s="75">
        <f>INPUT!BK405</f>
        <v>472</v>
      </c>
      <c r="AM508" s="240">
        <f>INPUT!BL405</f>
        <v>-3.6734693877551052</v>
      </c>
      <c r="AN508" s="75">
        <f>INPUT!BM405</f>
        <v>501</v>
      </c>
      <c r="AO508" s="240">
        <f>INPUT!BN405</f>
        <v>3.726708074534173</v>
      </c>
      <c r="AP508" s="75">
        <f>INPUT!BO405</f>
        <v>527</v>
      </c>
      <c r="AQ508" s="240">
        <f>INPUT!BP405</f>
        <v>9.1097308488612896</v>
      </c>
      <c r="AR508" s="75">
        <f>INPUT!BQ405</f>
        <v>593</v>
      </c>
      <c r="AS508" s="240">
        <f>INPUT!BR405</f>
        <v>13.384321223709364</v>
      </c>
      <c r="AT508" s="75">
        <f>INPUT!BS405</f>
        <v>515</v>
      </c>
      <c r="AU508" s="240">
        <f>INPUT!BT405</f>
        <v>9.1101694915254257</v>
      </c>
      <c r="AV508" s="75">
        <f>INPUT!BU405</f>
        <v>559</v>
      </c>
      <c r="AW508" s="240">
        <f>INPUT!BV405</f>
        <v>11.576846307385225</v>
      </c>
      <c r="AX508" s="75">
        <f>INPUT!BW405</f>
        <v>635</v>
      </c>
      <c r="AY508" s="240">
        <f>INPUT!BX405</f>
        <v>20.493358633776083</v>
      </c>
      <c r="AZ508" s="75">
        <f>INPUT!BY405</f>
        <v>731</v>
      </c>
      <c r="BA508" s="240">
        <f>INPUT!BZ405</f>
        <v>23.271500843170315</v>
      </c>
      <c r="BB508" s="75">
        <f>INPUT!CA405</f>
        <v>802</v>
      </c>
      <c r="BC508" s="240">
        <f>INPUT!CB405</f>
        <v>55.728155339805824</v>
      </c>
      <c r="BD508" s="75">
        <f>INPUT!CC405</f>
        <v>771</v>
      </c>
      <c r="BE508" s="240">
        <f>INPUT!CD405</f>
        <v>37.924865831842567</v>
      </c>
      <c r="BF508" s="75">
        <f>INPUT!CE405</f>
        <v>787</v>
      </c>
      <c r="BG508" s="240">
        <f>INPUT!CF405</f>
        <v>23.937007874015762</v>
      </c>
      <c r="BH508" s="75">
        <f>INPUT!CG405</f>
        <v>935</v>
      </c>
      <c r="BI508" s="240">
        <f>INPUT!CH405</f>
        <v>27.906976744186053</v>
      </c>
      <c r="BJ508" s="75">
        <f>INPUT!CI405</f>
        <v>862</v>
      </c>
      <c r="BK508" s="240">
        <f>INPUT!CJ405</f>
        <v>7.4812967581047332</v>
      </c>
      <c r="BL508" s="75">
        <f>INPUT!CK405</f>
        <v>944</v>
      </c>
      <c r="BM508" s="240">
        <f>INPUT!CL405</f>
        <v>22.438391699092094</v>
      </c>
      <c r="BN508" s="75">
        <f>INPUT!CM405</f>
        <v>1624</v>
      </c>
      <c r="BO508" s="240" t="str">
        <f>INPUT!CN405</f>
        <v>NM</v>
      </c>
      <c r="BP508" s="75">
        <f>INPUT!CO405</f>
        <v>2443</v>
      </c>
      <c r="BQ508" s="240" t="str">
        <f>INPUT!CP405</f>
        <v>NM</v>
      </c>
      <c r="BR508" s="75">
        <f>INPUT!CQ405</f>
        <v>2278</v>
      </c>
      <c r="BS508" s="240" t="str">
        <f>INPUT!CR405</f>
        <v>NM</v>
      </c>
      <c r="BT508" s="75">
        <f>INPUT!CS405</f>
        <v>2440</v>
      </c>
      <c r="BU508" s="240" t="str">
        <f>INPUT!CT405</f>
        <v>NM</v>
      </c>
      <c r="BV508" s="75">
        <f>INPUT!CU405</f>
        <v>2837</v>
      </c>
      <c r="BW508" s="240">
        <f>INPUT!CV405</f>
        <v>74.692118226600968</v>
      </c>
      <c r="BX508" s="75">
        <f>INPUT!CW405</f>
        <v>3530</v>
      </c>
      <c r="BY508" s="240">
        <f>INPUT!CX405</f>
        <v>44.494474007367984</v>
      </c>
      <c r="BZ508" s="75">
        <f>INPUT!CY405</f>
        <v>5143</v>
      </c>
      <c r="CA508" s="240" t="str">
        <f>INPUT!CZ405</f>
        <v>NM</v>
      </c>
      <c r="CB508" s="75">
        <f>INPUT!DA405</f>
        <v>6229</v>
      </c>
      <c r="CC508" s="240" t="str">
        <f>INPUT!DB405</f>
        <v>NM</v>
      </c>
      <c r="CD508" s="75">
        <f>INPUT!DC405</f>
        <v>3093</v>
      </c>
      <c r="CE508" s="240">
        <f>INPUT!DD405</f>
        <v>9.0236164962988994</v>
      </c>
      <c r="CF508" s="75">
        <f>INPUT!DE405</f>
        <v>3024</v>
      </c>
      <c r="CG508" s="240">
        <f>INPUT!DF405</f>
        <v>-14.334277620396591</v>
      </c>
      <c r="CH508" s="75">
        <f>INPUT!DG405</f>
        <v>2337</v>
      </c>
      <c r="CI508" s="240" t="str">
        <f>INPUT!DH405</f>
        <v>NM</v>
      </c>
      <c r="CJ508" s="75">
        <f>INPUT!DI405</f>
        <v>2063</v>
      </c>
      <c r="CK508" s="240" t="str">
        <f>INPUT!DJ405</f>
        <v>NM</v>
      </c>
      <c r="CL508" s="75">
        <f>INPUT!DK405</f>
        <v>1859</v>
      </c>
      <c r="CM508" s="240">
        <f>INPUT!DL405</f>
        <v>-39.896540575493042</v>
      </c>
      <c r="CN508" s="75">
        <f>INPUT!DM405</f>
        <v>2185</v>
      </c>
      <c r="CO508" s="240">
        <f>INPUT!DN405</f>
        <v>-27.744708994709001</v>
      </c>
      <c r="CP508" s="75">
        <f>INPUT!DO405</f>
        <v>1944</v>
      </c>
      <c r="CQ508" s="240">
        <f>INPUT!DP405</f>
        <v>-16.816431322207961</v>
      </c>
      <c r="CR508" s="75">
        <f>INPUT!DQ405</f>
        <v>1776</v>
      </c>
      <c r="CS508" s="240">
        <f>INPUT!DR405</f>
        <v>-13.911778962675712</v>
      </c>
      <c r="CT508" s="75">
        <f>INPUT!DS405</f>
        <v>1742</v>
      </c>
      <c r="CU508" s="240">
        <f>INPUT!DT405</f>
        <v>-6.2937062937062933</v>
      </c>
      <c r="CV508" s="75">
        <f>INPUT!DU405</f>
        <v>2060</v>
      </c>
      <c r="CW508" s="240">
        <f>INPUT!DV405</f>
        <v>-5.7208237986270092</v>
      </c>
      <c r="CX508" s="75">
        <f>INPUT!DW405</f>
        <v>1786</v>
      </c>
      <c r="CY508" s="240">
        <f>INPUT!DX405</f>
        <v>-8.1275720164609027</v>
      </c>
      <c r="CZ508" s="75">
        <f>INPUT!DY405</f>
        <v>1719</v>
      </c>
      <c r="DA508" s="240">
        <f>INPUT!DZ405</f>
        <v>-3.2094594594594668</v>
      </c>
      <c r="DB508" s="75">
        <f>INPUT!EA405</f>
        <v>1794</v>
      </c>
      <c r="DC508" s="240">
        <f>INPUT!EB405</f>
        <v>2.985074626865682</v>
      </c>
      <c r="DD508" s="75">
        <f>INPUT!EC405</f>
        <v>2120</v>
      </c>
      <c r="DE508" s="240">
        <f>INPUT!ED405</f>
        <v>2.9126213592232943</v>
      </c>
      <c r="DF508" s="75">
        <f>INPUT!EE405</f>
        <v>2094</v>
      </c>
      <c r="DG508" s="240">
        <f>INPUT!EF405</f>
        <v>17.245240761478158</v>
      </c>
      <c r="DH508" s="75">
        <f>INPUT!EG405</f>
        <v>2022</v>
      </c>
      <c r="DI508" s="240">
        <f>INPUT!EH405</f>
        <v>17.626527050610832</v>
      </c>
      <c r="DJ508" s="75">
        <f>INPUT!EI405</f>
        <v>1884</v>
      </c>
      <c r="DK508" s="240">
        <f>INPUT!EJ405</f>
        <v>5.0167224080267516</v>
      </c>
      <c r="DL508" s="75">
        <f>INPUT!EK405</f>
        <v>2134</v>
      </c>
      <c r="DM508" s="240">
        <f>INPUT!EL405</f>
        <v>0.66037735849056389</v>
      </c>
      <c r="DN508" s="75">
        <f>INPUT!EM405</f>
        <v>1989</v>
      </c>
      <c r="DO508" s="240">
        <f>INPUT!EN405</f>
        <v>-5.0143266475644737</v>
      </c>
      <c r="DP508" s="75">
        <f>INPUT!EO405</f>
        <v>1893</v>
      </c>
      <c r="DQ508" s="240">
        <f>INPUT!EP405</f>
        <v>-6.3798219584569722</v>
      </c>
      <c r="DR508" s="75">
        <f>INPUT!EQ405</f>
        <v>1911.3264864864864</v>
      </c>
      <c r="DS508" s="240">
        <f>INPUT!ER405</f>
        <v>1.4504504504504467</v>
      </c>
      <c r="DT508" s="75">
        <f>INPUT!ES405</f>
        <v>2164.9526126126125</v>
      </c>
      <c r="DU508" s="240">
        <f>INPUT!ET405</f>
        <v>1.4504504504504467</v>
      </c>
      <c r="DV508" s="75">
        <f>INPUT!EU405</f>
        <v>2017.8494594594595</v>
      </c>
      <c r="DW508" s="240">
        <f>INPUT!EV405</f>
        <v>1.4504504504504467</v>
      </c>
      <c r="DX508" s="75">
        <f>INPUT!EW405</f>
        <v>1920.4570270270269</v>
      </c>
      <c r="DY508" s="240">
        <f>INPUT!EX405</f>
        <v>1.4504504504504467</v>
      </c>
      <c r="DZ508" s="75"/>
      <c r="EA508" s="240"/>
      <c r="EB508" s="498" t="str">
        <f>INPUT!FI405</f>
        <v>NA</v>
      </c>
      <c r="EC508" s="75">
        <f>INPUT!FJ405</f>
        <v>2150</v>
      </c>
      <c r="ED508" s="155">
        <f>INPUT!FK405</f>
        <v>25.730994152046776</v>
      </c>
      <c r="EE508" s="75">
        <f>INPUT!FL405</f>
        <v>2181</v>
      </c>
      <c r="EF508" s="155">
        <f>INPUT!FM405</f>
        <v>1.4418604651162781</v>
      </c>
      <c r="EG508" s="75">
        <f>INPUT!FN405</f>
        <v>2365</v>
      </c>
      <c r="EH508" s="155">
        <f>INPUT!FO405</f>
        <v>8.4364970197157163</v>
      </c>
      <c r="EI508" s="75">
        <f>INPUT!FP405</f>
        <v>2430</v>
      </c>
      <c r="EJ508" s="240">
        <f>INPUT!FQ405</f>
        <v>2.7484143763213638</v>
      </c>
      <c r="EK508" s="75">
        <f>INPUT!FR405</f>
        <v>2094</v>
      </c>
      <c r="EL508" s="240">
        <f>INPUT!FS405</f>
        <v>-13.827160493827165</v>
      </c>
      <c r="EM508" s="75">
        <f>INPUT!FT405</f>
        <v>1979</v>
      </c>
      <c r="EN508" s="240">
        <f>INPUT!FU405</f>
        <v>-5.4918815663801297</v>
      </c>
      <c r="EO508" s="75">
        <f>INPUT!FV405</f>
        <v>2193</v>
      </c>
      <c r="EP508" s="240">
        <f>INPUT!FW405</f>
        <v>10.813542193026777</v>
      </c>
      <c r="EQ508" s="75">
        <f>INPUT!FX405</f>
        <v>2939</v>
      </c>
      <c r="ER508" s="240">
        <f>INPUT!FY405</f>
        <v>34.017327861377112</v>
      </c>
      <c r="ES508" s="75">
        <f>INPUT!FZ405</f>
        <v>3528</v>
      </c>
      <c r="ET508" s="240">
        <f>INPUT!GA405</f>
        <v>20.040830214358635</v>
      </c>
      <c r="EU508" s="75">
        <f>INPUT!GB405</f>
        <v>8785</v>
      </c>
      <c r="EV508" s="240" t="str">
        <f>INPUT!GC405</f>
        <v>NM</v>
      </c>
      <c r="EW508" s="75">
        <f>INPUT!GD405</f>
        <v>17739</v>
      </c>
      <c r="EX508" s="240" t="str">
        <f>INPUT!GE405</f>
        <v>NM</v>
      </c>
      <c r="EY508" s="75">
        <f>INPUT!GF405</f>
        <v>10517</v>
      </c>
      <c r="EZ508" s="240">
        <f>INPUT!GG405</f>
        <v>-40.712554258977399</v>
      </c>
      <c r="FA508" s="75">
        <f>INPUT!GH405</f>
        <v>7764</v>
      </c>
      <c r="FB508" s="240">
        <f>INPUT!GI405</f>
        <v>-26.176666349719497</v>
      </c>
      <c r="FC508" s="75">
        <f>INPUT!GJ405</f>
        <v>7307</v>
      </c>
      <c r="FD508" s="240">
        <f>INPUT!GK405</f>
        <v>-5.8861411643482739</v>
      </c>
      <c r="FE508" s="75">
        <f>INPUT!GL405</f>
        <v>8030</v>
      </c>
      <c r="FF508" s="240">
        <f>INPUT!GM405</f>
        <v>9.8946215957301149</v>
      </c>
      <c r="FG508" s="75">
        <f>INPUT!GN405</f>
        <v>7900</v>
      </c>
      <c r="FH508" s="240">
        <f>INPUT!GO405</f>
        <v>-1.6189290161892842</v>
      </c>
      <c r="FI508" s="75">
        <f>INPUT!GP405</f>
        <v>8014.5855855855852</v>
      </c>
      <c r="FJ508" s="240">
        <f>INPUT!GQ405</f>
        <v>1.4504504504504467</v>
      </c>
      <c r="FK508" s="75">
        <f>INPUT!GR405</f>
        <v>8094.7314414414413</v>
      </c>
      <c r="FL508" s="240">
        <f>INPUT!GS405</f>
        <v>1</v>
      </c>
      <c r="FM508" s="75">
        <f>INPUT!GT405</f>
        <v>8175.6787558558563</v>
      </c>
      <c r="FN508" s="240">
        <f>INPUT!GU405</f>
        <v>1</v>
      </c>
      <c r="FO508" s="75">
        <f>INPUT!GV405</f>
        <v>8257.4355434144145</v>
      </c>
      <c r="FP508" s="240">
        <f>INPUT!GW405</f>
        <v>1</v>
      </c>
      <c r="FQ508" s="75">
        <f>INPUT!GX405</f>
        <v>8340.0098988485588</v>
      </c>
      <c r="FR508" s="240">
        <f>INPUT!GY405</f>
        <v>1</v>
      </c>
      <c r="FS508" s="240">
        <f>INPUT!GZ405</f>
        <v>1.0899298015088821</v>
      </c>
    </row>
    <row r="509" spans="1:176" ht="12.75" hidden="1" customHeight="1" outlineLevel="1" x14ac:dyDescent="0.2">
      <c r="A509" s="77" t="str">
        <f>INPUT!B406</f>
        <v>Net Investment Income</v>
      </c>
      <c r="B509" s="75">
        <f>INPUT!AA406</f>
        <v>132</v>
      </c>
      <c r="C509" s="155">
        <f>INPUT!AB406</f>
        <v>21.10091743119267</v>
      </c>
      <c r="D509" s="75">
        <f>INPUT!AC406</f>
        <v>140</v>
      </c>
      <c r="E509" s="155">
        <f>INPUT!AD406</f>
        <v>11.111111111111114</v>
      </c>
      <c r="F509" s="75">
        <f>INPUT!AE406</f>
        <v>143</v>
      </c>
      <c r="G509" s="155">
        <f>INPUT!AF406</f>
        <v>3.6231884057970944</v>
      </c>
      <c r="H509" s="75">
        <f>INPUT!AG406</f>
        <v>139</v>
      </c>
      <c r="I509" s="155">
        <f>INPUT!AH406</f>
        <v>9.4488188976378069</v>
      </c>
      <c r="J509" s="75">
        <f>INPUT!AI406</f>
        <v>151</v>
      </c>
      <c r="K509" s="155">
        <f>INPUT!AJ406</f>
        <v>14.393939393939405</v>
      </c>
      <c r="L509" s="75">
        <f>INPUT!AK406</f>
        <v>148</v>
      </c>
      <c r="M509" s="155">
        <f>INPUT!AL406</f>
        <v>5.7142857142857224</v>
      </c>
      <c r="N509" s="75">
        <f>INPUT!AM406</f>
        <v>151</v>
      </c>
      <c r="O509" s="155">
        <f>INPUT!AN406</f>
        <v>5.5944055944056004</v>
      </c>
      <c r="P509" s="75">
        <f>INPUT!AO406</f>
        <v>150</v>
      </c>
      <c r="Q509" s="155">
        <f>INPUT!AP406</f>
        <v>7.9136690647481913</v>
      </c>
      <c r="R509" s="75">
        <f>INPUT!AQ406</f>
        <v>156</v>
      </c>
      <c r="S509" s="155">
        <f>INPUT!AR406</f>
        <v>3.3112582781456865</v>
      </c>
      <c r="T509" s="75">
        <f>INPUT!AS406</f>
        <v>170</v>
      </c>
      <c r="U509" s="155">
        <f>INPUT!AT406</f>
        <v>14.86486486486487</v>
      </c>
      <c r="V509" s="75">
        <f>INPUT!AU406</f>
        <v>179</v>
      </c>
      <c r="W509" s="155">
        <f>INPUT!AV406</f>
        <v>18.543046357615907</v>
      </c>
      <c r="X509" s="75">
        <f>INPUT!AW406</f>
        <v>171</v>
      </c>
      <c r="Y509" s="155">
        <f>INPUT!AX406</f>
        <v>13.999999999999986</v>
      </c>
      <c r="Z509" s="75">
        <f>INPUT!AY406</f>
        <v>167</v>
      </c>
      <c r="AA509" s="155">
        <f>INPUT!AZ406</f>
        <v>7.051282051282044</v>
      </c>
      <c r="AB509" s="75">
        <f>INPUT!BA406</f>
        <v>175</v>
      </c>
      <c r="AC509" s="155">
        <f>INPUT!BB406</f>
        <v>2.941176470588232</v>
      </c>
      <c r="AD509" s="75">
        <f>INPUT!BC406</f>
        <v>196</v>
      </c>
      <c r="AE509" s="155">
        <f>INPUT!BD406</f>
        <v>9.4972067039106065</v>
      </c>
      <c r="AF509" s="75">
        <f>INPUT!BE406</f>
        <v>186</v>
      </c>
      <c r="AG509" s="155">
        <f>INPUT!BF406</f>
        <v>8.7719298245614112</v>
      </c>
      <c r="AH509" s="75">
        <f>INPUT!BG406</f>
        <v>191</v>
      </c>
      <c r="AI509" s="240">
        <f>INPUT!BH406</f>
        <v>14.371257485029943</v>
      </c>
      <c r="AJ509" s="75">
        <f>INPUT!BI406</f>
        <v>208</v>
      </c>
      <c r="AK509" s="240">
        <f>INPUT!BJ406</f>
        <v>18.857142857142861</v>
      </c>
      <c r="AL509" s="75">
        <f>INPUT!BK406</f>
        <v>201</v>
      </c>
      <c r="AM509" s="240">
        <f>INPUT!BL406</f>
        <v>2.5510204081632679</v>
      </c>
      <c r="AN509" s="75">
        <f>INPUT!BM406</f>
        <v>209</v>
      </c>
      <c r="AO509" s="240">
        <f>INPUT!BN406</f>
        <v>12.365591397849457</v>
      </c>
      <c r="AP509" s="75">
        <f>INPUT!BO406</f>
        <v>216</v>
      </c>
      <c r="AQ509" s="240">
        <f>INPUT!BP406</f>
        <v>13.089005235602102</v>
      </c>
      <c r="AR509" s="75">
        <f>INPUT!BQ406</f>
        <v>258</v>
      </c>
      <c r="AS509" s="240">
        <f>INPUT!BR406</f>
        <v>24.038461538461547</v>
      </c>
      <c r="AT509" s="75">
        <f>INPUT!BS406</f>
        <v>255</v>
      </c>
      <c r="AU509" s="240">
        <f>INPUT!BT406</f>
        <v>26.865671641791053</v>
      </c>
      <c r="AV509" s="75">
        <f>INPUT!BU406</f>
        <v>266</v>
      </c>
      <c r="AW509" s="240">
        <f>INPUT!BV406</f>
        <v>27.272727272727266</v>
      </c>
      <c r="AX509" s="75">
        <f>INPUT!BW406</f>
        <v>277</v>
      </c>
      <c r="AY509" s="240">
        <f>INPUT!BX406</f>
        <v>28.240740740740733</v>
      </c>
      <c r="AZ509" s="75">
        <f>INPUT!BY406</f>
        <v>258</v>
      </c>
      <c r="BA509" s="240">
        <f>INPUT!BZ406</f>
        <v>0</v>
      </c>
      <c r="BB509" s="75">
        <f>INPUT!CA406</f>
        <v>286</v>
      </c>
      <c r="BC509" s="240">
        <f>INPUT!CB406</f>
        <v>12.156862745098039</v>
      </c>
      <c r="BD509" s="75">
        <f>INPUT!CC406</f>
        <v>282</v>
      </c>
      <c r="BE509" s="240">
        <f>INPUT!CD406</f>
        <v>6.0150375939849567</v>
      </c>
      <c r="BF509" s="75">
        <f>INPUT!CE406</f>
        <v>286</v>
      </c>
      <c r="BG509" s="240">
        <f>INPUT!CF406</f>
        <v>3.2490974729241913</v>
      </c>
      <c r="BH509" s="75">
        <f>INPUT!CG406</f>
        <v>285</v>
      </c>
      <c r="BI509" s="240">
        <f>INPUT!CH406</f>
        <v>10.465116279069761</v>
      </c>
      <c r="BJ509" s="75">
        <f>INPUT!CI406</f>
        <v>316</v>
      </c>
      <c r="BK509" s="240">
        <f>INPUT!CJ406</f>
        <v>10.489510489510479</v>
      </c>
      <c r="BL509" s="75">
        <f>INPUT!CK406</f>
        <v>326</v>
      </c>
      <c r="BM509" s="240">
        <f>INPUT!CL406</f>
        <v>15.60283687943263</v>
      </c>
      <c r="BN509" s="75">
        <f>INPUT!CM406</f>
        <v>414</v>
      </c>
      <c r="BO509" s="240">
        <f>INPUT!CN406</f>
        <v>44.755244755244746</v>
      </c>
      <c r="BP509" s="75">
        <f>INPUT!CO406</f>
        <v>614</v>
      </c>
      <c r="BQ509" s="240" t="str">
        <f>INPUT!CP406</f>
        <v>NM</v>
      </c>
      <c r="BR509" s="75">
        <f>INPUT!CQ406</f>
        <v>648</v>
      </c>
      <c r="BS509" s="240" t="str">
        <f>INPUT!CR406</f>
        <v>NM</v>
      </c>
      <c r="BT509" s="75">
        <f>INPUT!CS406</f>
        <v>643</v>
      </c>
      <c r="BU509" s="240">
        <f>INPUT!CT406</f>
        <v>97.239263803680984</v>
      </c>
      <c r="BV509" s="75">
        <f>INPUT!CU406</f>
        <v>628</v>
      </c>
      <c r="BW509" s="240">
        <f>INPUT!CV406</f>
        <v>51.690821256038646</v>
      </c>
      <c r="BX509" s="75">
        <f>INPUT!CW406</f>
        <v>649</v>
      </c>
      <c r="BY509" s="240">
        <f>INPUT!CX406</f>
        <v>5.7003257328990316</v>
      </c>
      <c r="BZ509" s="75">
        <f>INPUT!CY406</f>
        <v>701</v>
      </c>
      <c r="CA509" s="240">
        <f>INPUT!CZ406</f>
        <v>8.1790123456790127</v>
      </c>
      <c r="CB509" s="75">
        <f>INPUT!DA406</f>
        <v>695</v>
      </c>
      <c r="CC509" s="240">
        <f>INPUT!DB406</f>
        <v>8.0870917573872418</v>
      </c>
      <c r="CD509" s="75">
        <f>INPUT!DC406</f>
        <v>690</v>
      </c>
      <c r="CE509" s="240">
        <f>INPUT!DD406</f>
        <v>9.8726114649681591</v>
      </c>
      <c r="CF509" s="75">
        <f>INPUT!DE406</f>
        <v>677</v>
      </c>
      <c r="CG509" s="240">
        <f>INPUT!DF406</f>
        <v>4.3143297380585466</v>
      </c>
      <c r="CH509" s="75">
        <f>INPUT!DG406</f>
        <v>681</v>
      </c>
      <c r="CI509" s="240">
        <f>INPUT!DH406</f>
        <v>-2.8530670470756121</v>
      </c>
      <c r="CJ509" s="75">
        <f>INPUT!DI406</f>
        <v>642</v>
      </c>
      <c r="CK509" s="240">
        <f>INPUT!DJ406</f>
        <v>-7.6258992805755383</v>
      </c>
      <c r="CL509" s="75">
        <f>INPUT!DK406</f>
        <v>653</v>
      </c>
      <c r="CM509" s="240">
        <f>INPUT!DL406</f>
        <v>-5.3623188405797038</v>
      </c>
      <c r="CN509" s="75">
        <f>INPUT!DM406</f>
        <v>697</v>
      </c>
      <c r="CO509" s="240">
        <f>INPUT!DN406</f>
        <v>2.9542097488921826</v>
      </c>
      <c r="CP509" s="75">
        <f>INPUT!DO406</f>
        <v>702</v>
      </c>
      <c r="CQ509" s="240">
        <f>INPUT!DP406</f>
        <v>3.0837004405286308</v>
      </c>
      <c r="CR509" s="75">
        <f>INPUT!DQ406</f>
        <v>655</v>
      </c>
      <c r="CS509" s="240">
        <f>INPUT!DR406</f>
        <v>2.0249221183800614</v>
      </c>
      <c r="CT509" s="75">
        <f>INPUT!DS406</f>
        <v>665</v>
      </c>
      <c r="CU509" s="240">
        <f>INPUT!DT406</f>
        <v>1.8376722817764204</v>
      </c>
      <c r="CV509" s="75">
        <f>INPUT!DU406</f>
        <v>664</v>
      </c>
      <c r="CW509" s="240">
        <f>INPUT!DV406</f>
        <v>-4.734576757532281</v>
      </c>
      <c r="CX509" s="75">
        <f>INPUT!DW406</f>
        <v>647</v>
      </c>
      <c r="CY509" s="240">
        <f>INPUT!DX406</f>
        <v>-7.8347578347578377</v>
      </c>
      <c r="CZ509" s="75">
        <f>INPUT!DY406</f>
        <v>630</v>
      </c>
      <c r="DA509" s="240">
        <f>INPUT!DZ406</f>
        <v>-3.8167938931297698</v>
      </c>
      <c r="DB509" s="75">
        <f>INPUT!EA406</f>
        <v>656</v>
      </c>
      <c r="DC509" s="240">
        <f>INPUT!EB406</f>
        <v>-1.3533834586466185</v>
      </c>
      <c r="DD509" s="75">
        <f>INPUT!EC406</f>
        <v>721</v>
      </c>
      <c r="DE509" s="240">
        <f>INPUT!ED406</f>
        <v>8.5843373493975861</v>
      </c>
      <c r="DF509" s="75">
        <f>INPUT!EE406</f>
        <v>716</v>
      </c>
      <c r="DG509" s="240">
        <f>INPUT!EF406</f>
        <v>10.664605873261209</v>
      </c>
      <c r="DH509" s="75">
        <f>INPUT!EG406</f>
        <v>714</v>
      </c>
      <c r="DI509" s="240">
        <f>INPUT!EH406</f>
        <v>13.333333333333329</v>
      </c>
      <c r="DJ509" s="75">
        <f>INPUT!EI406</f>
        <v>696</v>
      </c>
      <c r="DK509" s="240">
        <f>INPUT!EJ406</f>
        <v>6.0975609756097668</v>
      </c>
      <c r="DL509" s="75">
        <f>INPUT!EK406</f>
        <v>744</v>
      </c>
      <c r="DM509" s="240">
        <f>INPUT!EL406</f>
        <v>3.1900138696255169</v>
      </c>
      <c r="DN509" s="75">
        <f>INPUT!EM406</f>
        <v>738</v>
      </c>
      <c r="DO509" s="240">
        <f>INPUT!EN406</f>
        <v>3.0726256983240319</v>
      </c>
      <c r="DP509" s="75">
        <f>INPUT!EO406</f>
        <v>730</v>
      </c>
      <c r="DQ509" s="240">
        <f>INPUT!EP406</f>
        <v>2.2408963585434094</v>
      </c>
      <c r="DR509" s="75">
        <f>INPUT!EQ406</f>
        <v>705</v>
      </c>
      <c r="DS509" s="240">
        <f>INPUT!ER406</f>
        <v>1.2931034482758719</v>
      </c>
      <c r="DT509" s="75">
        <f>INPUT!ES406</f>
        <v>705</v>
      </c>
      <c r="DU509" s="240">
        <f>INPUT!ET406</f>
        <v>-5.2419354838709609</v>
      </c>
      <c r="DV509" s="75">
        <f>INPUT!EU406</f>
        <v>705</v>
      </c>
      <c r="DW509" s="240">
        <f>INPUT!EV406</f>
        <v>-4.4715447154471519</v>
      </c>
      <c r="DX509" s="75">
        <f>INPUT!EW406</f>
        <v>705</v>
      </c>
      <c r="DY509" s="240">
        <f>INPUT!EX406</f>
        <v>-3.4246575342465775</v>
      </c>
      <c r="DZ509" s="75"/>
      <c r="EA509" s="240"/>
      <c r="EB509" s="498" t="str">
        <f>INPUT!FI406</f>
        <v>NA</v>
      </c>
      <c r="EC509" s="75">
        <f>INPUT!FJ406</f>
        <v>500</v>
      </c>
      <c r="ED509" s="155">
        <f>INPUT!FK406</f>
        <v>60.256410256410277</v>
      </c>
      <c r="EE509" s="75">
        <f>INPUT!FL406</f>
        <v>554</v>
      </c>
      <c r="EF509" s="155">
        <f>INPUT!FM406</f>
        <v>10.800000000000011</v>
      </c>
      <c r="EG509" s="75">
        <f>INPUT!FN406</f>
        <v>600</v>
      </c>
      <c r="EH509" s="155">
        <f>INPUT!FO406</f>
        <v>8.3032490974729285</v>
      </c>
      <c r="EI509" s="75">
        <f>INPUT!FP406</f>
        <v>676</v>
      </c>
      <c r="EJ509" s="240">
        <f>INPUT!FQ406</f>
        <v>12.666666666666671</v>
      </c>
      <c r="EK509" s="75">
        <f>INPUT!FR406</f>
        <v>724</v>
      </c>
      <c r="EL509" s="240">
        <f>INPUT!FS406</f>
        <v>7.1005917159763214</v>
      </c>
      <c r="EM509" s="75">
        <f>INPUT!FT406</f>
        <v>809</v>
      </c>
      <c r="EN509" s="240">
        <f>INPUT!FU406</f>
        <v>11.740331491712695</v>
      </c>
      <c r="EO509" s="75">
        <f>INPUT!FV406</f>
        <v>1007</v>
      </c>
      <c r="EP509" s="240">
        <f>INPUT!FW406</f>
        <v>24.474660074165627</v>
      </c>
      <c r="EQ509" s="75">
        <f>INPUT!FX406</f>
        <v>1103</v>
      </c>
      <c r="ER509" s="240">
        <f>INPUT!FY406</f>
        <v>9.5332671300893708</v>
      </c>
      <c r="ES509" s="75">
        <f>INPUT!FZ406</f>
        <v>1213</v>
      </c>
      <c r="ET509" s="240">
        <f>INPUT!GA406</f>
        <v>9.9728014505893015</v>
      </c>
      <c r="EU509" s="75">
        <f>INPUT!GB406</f>
        <v>2319</v>
      </c>
      <c r="EV509" s="240">
        <f>INPUT!GC406</f>
        <v>91.178895300906845</v>
      </c>
      <c r="EW509" s="75">
        <f>INPUT!GD406</f>
        <v>2673</v>
      </c>
      <c r="EX509" s="240">
        <f>INPUT!GE406</f>
        <v>15.265200517464422</v>
      </c>
      <c r="EY509" s="75">
        <f>INPUT!GF406</f>
        <v>2690</v>
      </c>
      <c r="EZ509" s="240">
        <f>INPUT!GG406</f>
        <v>0.63598952487842553</v>
      </c>
      <c r="FA509" s="75">
        <f>INPUT!GH406</f>
        <v>2707</v>
      </c>
      <c r="FB509" s="240">
        <f>INPUT!GI406</f>
        <v>0.63197026022305636</v>
      </c>
      <c r="FC509" s="75">
        <f>INPUT!GJ406</f>
        <v>2606</v>
      </c>
      <c r="FD509" s="240">
        <f>INPUT!GK406</f>
        <v>-3.7310676025120131</v>
      </c>
      <c r="FE509" s="75">
        <f>INPUT!GL406</f>
        <v>2807</v>
      </c>
      <c r="FF509" s="240">
        <f>INPUT!GM406</f>
        <v>7.7129700690713605</v>
      </c>
      <c r="FG509" s="75">
        <f>INPUT!GN406</f>
        <v>2908</v>
      </c>
      <c r="FH509" s="240">
        <f>INPUT!GO406</f>
        <v>3.5981474884218017</v>
      </c>
      <c r="FI509" s="75">
        <f>INPUT!GP406</f>
        <v>2820</v>
      </c>
      <c r="FJ509" s="240">
        <f>INPUT!GQ406</f>
        <v>-3.02613480055021</v>
      </c>
      <c r="FK509" s="75">
        <f>INPUT!GR406</f>
        <v>2848.2</v>
      </c>
      <c r="FL509" s="240">
        <f>INPUT!GS406</f>
        <v>1</v>
      </c>
      <c r="FM509" s="75">
        <f>INPUT!GT406</f>
        <v>2876.6819999999998</v>
      </c>
      <c r="FN509" s="240">
        <f>INPUT!GU406</f>
        <v>1</v>
      </c>
      <c r="FO509" s="75">
        <f>INPUT!GV406</f>
        <v>2905.4488199999996</v>
      </c>
      <c r="FP509" s="240">
        <f>INPUT!GW406</f>
        <v>1</v>
      </c>
      <c r="FQ509" s="75">
        <f>INPUT!GX406</f>
        <v>2934.5033081999995</v>
      </c>
      <c r="FR509" s="240">
        <f>INPUT!GY406</f>
        <v>1</v>
      </c>
      <c r="FS509" s="240">
        <f>INPUT!GZ406</f>
        <v>0.18161769935505223</v>
      </c>
    </row>
    <row r="510" spans="1:176" ht="12.75" hidden="1" customHeight="1" outlineLevel="1" x14ac:dyDescent="0.2">
      <c r="A510" s="77" t="str">
        <f>INPUT!B407</f>
        <v>Commissions, Fees and Other Income</v>
      </c>
      <c r="B510" s="75">
        <f>INPUT!AA407</f>
        <v>-2</v>
      </c>
      <c r="C510" s="155" t="str">
        <f>INPUT!AB407</f>
        <v>NM</v>
      </c>
      <c r="D510" s="75">
        <f>INPUT!AC407</f>
        <v>0</v>
      </c>
      <c r="E510" s="155" t="str">
        <f>INPUT!AD407</f>
        <v>NM</v>
      </c>
      <c r="F510" s="75">
        <f>INPUT!AE407</f>
        <v>-1</v>
      </c>
      <c r="G510" s="155">
        <f>INPUT!AF407</f>
        <v>0</v>
      </c>
      <c r="H510" s="75">
        <f>INPUT!AG407</f>
        <v>-12</v>
      </c>
      <c r="I510" s="155" t="str">
        <f>INPUT!AH407</f>
        <v>NM</v>
      </c>
      <c r="J510" s="75">
        <f>INPUT!AI407</f>
        <v>-10</v>
      </c>
      <c r="K510" s="155" t="str">
        <f>INPUT!AJ407</f>
        <v>NM</v>
      </c>
      <c r="L510" s="75">
        <f>INPUT!AK407</f>
        <v>-3</v>
      </c>
      <c r="M510" s="155" t="str">
        <f>INPUT!AL407</f>
        <v>NA</v>
      </c>
      <c r="N510" s="75">
        <f>INPUT!AM407</f>
        <v>-6</v>
      </c>
      <c r="O510" s="155" t="str">
        <f>INPUT!AN407</f>
        <v>NM</v>
      </c>
      <c r="P510" s="75">
        <f>INPUT!AO407</f>
        <v>-8</v>
      </c>
      <c r="Q510" s="155">
        <f>INPUT!AP407</f>
        <v>-33.333333333333343</v>
      </c>
      <c r="R510" s="75">
        <f>INPUT!AQ407</f>
        <v>-1</v>
      </c>
      <c r="S510" s="155" t="str">
        <f>INPUT!AR407</f>
        <v>NM</v>
      </c>
      <c r="T510" s="75">
        <f>INPUT!AS407</f>
        <v>-1</v>
      </c>
      <c r="U510" s="155" t="str">
        <f>INPUT!AT407</f>
        <v>NM</v>
      </c>
      <c r="V510" s="75">
        <f>INPUT!AU407</f>
        <v>3</v>
      </c>
      <c r="W510" s="155" t="str">
        <f>INPUT!AV407</f>
        <v>NM</v>
      </c>
      <c r="X510" s="75">
        <f>INPUT!AW407</f>
        <v>6</v>
      </c>
      <c r="Y510" s="155" t="str">
        <f>INPUT!AX407</f>
        <v>NM</v>
      </c>
      <c r="Z510" s="75">
        <f>INPUT!AY407</f>
        <v>2</v>
      </c>
      <c r="AA510" s="155" t="str">
        <f>INPUT!AZ407</f>
        <v>NM</v>
      </c>
      <c r="AB510" s="75">
        <f>INPUT!BA407</f>
        <v>3</v>
      </c>
      <c r="AC510" s="155" t="str">
        <f>INPUT!BB407</f>
        <v>NM</v>
      </c>
      <c r="AD510" s="75">
        <f>INPUT!BC407</f>
        <v>21</v>
      </c>
      <c r="AE510" s="155" t="str">
        <f>INPUT!BD407</f>
        <v>NM</v>
      </c>
      <c r="AF510" s="75">
        <f>INPUT!BE407</f>
        <v>7</v>
      </c>
      <c r="AG510" s="155">
        <f>INPUT!BF407</f>
        <v>16.666666666666671</v>
      </c>
      <c r="AH510" s="75">
        <f>INPUT!BG407</f>
        <v>20</v>
      </c>
      <c r="AI510" s="240" t="str">
        <f>INPUT!BH407</f>
        <v>NM</v>
      </c>
      <c r="AJ510" s="75">
        <f>INPUT!BI407</f>
        <v>16</v>
      </c>
      <c r="AK510" s="240" t="str">
        <f>INPUT!BJ407</f>
        <v>NM</v>
      </c>
      <c r="AL510" s="75">
        <f>INPUT!BK407</f>
        <v>23</v>
      </c>
      <c r="AM510" s="240">
        <f>INPUT!BL407</f>
        <v>9.5238095238095326</v>
      </c>
      <c r="AN510" s="75">
        <f>INPUT!BM407</f>
        <v>-3</v>
      </c>
      <c r="AO510" s="240" t="str">
        <f>INPUT!BN407</f>
        <v>NM</v>
      </c>
      <c r="AP510" s="75">
        <f>INPUT!BO407</f>
        <v>5</v>
      </c>
      <c r="AQ510" s="240" t="str">
        <f>INPUT!BP407</f>
        <v>NM</v>
      </c>
      <c r="AR510" s="75">
        <f>INPUT!BQ407</f>
        <v>-11</v>
      </c>
      <c r="AS510" s="240" t="str">
        <f>INPUT!BR407</f>
        <v>NM</v>
      </c>
      <c r="AT510" s="75">
        <f>INPUT!BS407</f>
        <v>-6</v>
      </c>
      <c r="AU510" s="240" t="str">
        <f>INPUT!BT407</f>
        <v>NM</v>
      </c>
      <c r="AV510" s="75">
        <f>INPUT!BU407</f>
        <v>-14</v>
      </c>
      <c r="AW510" s="240" t="str">
        <f>INPUT!BV407</f>
        <v>NM</v>
      </c>
      <c r="AX510" s="75">
        <f>INPUT!BW407</f>
        <v>14</v>
      </c>
      <c r="AY510" s="240" t="str">
        <f>INPUT!BX407</f>
        <v>NM</v>
      </c>
      <c r="AZ510" s="75">
        <f>INPUT!BY407</f>
        <v>36</v>
      </c>
      <c r="BA510" s="240" t="str">
        <f>INPUT!BZ407</f>
        <v>NM</v>
      </c>
      <c r="BB510" s="75">
        <f>INPUT!CA407</f>
        <v>16</v>
      </c>
      <c r="BC510" s="240" t="str">
        <f>INPUT!CB407</f>
        <v>NM</v>
      </c>
      <c r="BD510" s="75">
        <f>INPUT!CC407</f>
        <v>41</v>
      </c>
      <c r="BE510" s="240" t="str">
        <f>INPUT!CD407</f>
        <v>NM</v>
      </c>
      <c r="BF510" s="75">
        <f>INPUT!CE407</f>
        <v>40</v>
      </c>
      <c r="BG510" s="240" t="str">
        <f>INPUT!CF407</f>
        <v>NM</v>
      </c>
      <c r="BH510" s="75">
        <f>INPUT!CG407</f>
        <v>38</v>
      </c>
      <c r="BI510" s="240">
        <f>INPUT!CH407</f>
        <v>5.5555555555555571</v>
      </c>
      <c r="BJ510" s="75">
        <f>INPUT!CI407</f>
        <v>36</v>
      </c>
      <c r="BK510" s="240" t="str">
        <f>INPUT!CJ407</f>
        <v>NM</v>
      </c>
      <c r="BL510" s="75">
        <f>INPUT!CK407</f>
        <v>95</v>
      </c>
      <c r="BM510" s="240" t="str">
        <f>INPUT!CL407</f>
        <v>NM</v>
      </c>
      <c r="BN510" s="75">
        <f>INPUT!CM407</f>
        <v>186</v>
      </c>
      <c r="BO510" s="240" t="str">
        <f>INPUT!CN407</f>
        <v>NM</v>
      </c>
      <c r="BP510" s="75">
        <f>INPUT!CO407</f>
        <v>47</v>
      </c>
      <c r="BQ510" s="240">
        <f>INPUT!CP407</f>
        <v>23.684210526315795</v>
      </c>
      <c r="BR510" s="75">
        <f>INPUT!CQ407</f>
        <v>128</v>
      </c>
      <c r="BS510" s="240" t="str">
        <f>INPUT!CR407</f>
        <v>NM</v>
      </c>
      <c r="BT510" s="75">
        <f>INPUT!CS407</f>
        <v>10</v>
      </c>
      <c r="BU510" s="240" t="str">
        <f>INPUT!CT407</f>
        <v>NM</v>
      </c>
      <c r="BV510" s="75">
        <f>INPUT!CU407</f>
        <v>35</v>
      </c>
      <c r="BW510" s="240" t="str">
        <f>INPUT!CV407</f>
        <v>NM</v>
      </c>
      <c r="BX510" s="75">
        <f>INPUT!CW407</f>
        <v>35</v>
      </c>
      <c r="BY510" s="240">
        <f>INPUT!CX407</f>
        <v>-25.531914893617028</v>
      </c>
      <c r="BZ510" s="75">
        <f>INPUT!CY407</f>
        <v>73</v>
      </c>
      <c r="CA510" s="240">
        <f>INPUT!CZ407</f>
        <v>-42.96875</v>
      </c>
      <c r="CB510" s="75">
        <f>INPUT!DA407</f>
        <v>29</v>
      </c>
      <c r="CC510" s="240" t="str">
        <f>INPUT!DB407</f>
        <v>NM</v>
      </c>
      <c r="CD510" s="75">
        <f>INPUT!DC407</f>
        <v>124</v>
      </c>
      <c r="CE510" s="240" t="str">
        <f>INPUT!DD407</f>
        <v>NM</v>
      </c>
      <c r="CF510" s="75">
        <f>INPUT!DE407</f>
        <v>81</v>
      </c>
      <c r="CG510" s="240" t="str">
        <f>INPUT!DF407</f>
        <v>NM</v>
      </c>
      <c r="CH510" s="75">
        <f>INPUT!DG407</f>
        <v>68</v>
      </c>
      <c r="CI510" s="240">
        <f>INPUT!DH407</f>
        <v>-6.849315068493155</v>
      </c>
      <c r="CJ510" s="75">
        <f>INPUT!DI407</f>
        <v>82</v>
      </c>
      <c r="CK510" s="240" t="str">
        <f>INPUT!DJ407</f>
        <v>NM</v>
      </c>
      <c r="CL510" s="75">
        <f>INPUT!DK407</f>
        <v>84</v>
      </c>
      <c r="CM510" s="240">
        <f>INPUT!DL407</f>
        <v>-32.258064516129039</v>
      </c>
      <c r="CN510" s="75">
        <f>INPUT!DM407</f>
        <v>109</v>
      </c>
      <c r="CO510" s="240">
        <f>INPUT!DN407</f>
        <v>34.567901234567898</v>
      </c>
      <c r="CP510" s="75">
        <f>INPUT!DO407</f>
        <v>72</v>
      </c>
      <c r="CQ510" s="240">
        <f>INPUT!DP407</f>
        <v>5.8823529411764781</v>
      </c>
      <c r="CR510" s="75">
        <f>INPUT!DQ407</f>
        <v>63</v>
      </c>
      <c r="CS510" s="240">
        <f>INPUT!DR407</f>
        <v>-23.170731707317074</v>
      </c>
      <c r="CT510" s="75">
        <f>INPUT!DS407</f>
        <v>57</v>
      </c>
      <c r="CU510" s="240">
        <f>INPUT!DT407</f>
        <v>-32.142857142857139</v>
      </c>
      <c r="CV510" s="75">
        <f>INPUT!DU407</f>
        <v>82</v>
      </c>
      <c r="CW510" s="240">
        <f>INPUT!DV407</f>
        <v>-24.77064220183486</v>
      </c>
      <c r="CX510" s="75">
        <f>INPUT!DW407</f>
        <v>67</v>
      </c>
      <c r="CY510" s="240">
        <f>INPUT!DX407</f>
        <v>-6.9444444444444429</v>
      </c>
      <c r="CZ510" s="75">
        <f>INPUT!DY407</f>
        <v>73</v>
      </c>
      <c r="DA510" s="240">
        <f>INPUT!DZ407</f>
        <v>15.873015873015888</v>
      </c>
      <c r="DB510" s="75">
        <f>INPUT!EA407</f>
        <v>35</v>
      </c>
      <c r="DC510" s="240">
        <f>INPUT!EB407</f>
        <v>-38.596491228070171</v>
      </c>
      <c r="DD510" s="75">
        <f>INPUT!EC407</f>
        <v>85</v>
      </c>
      <c r="DE510" s="240">
        <f>INPUT!ED407</f>
        <v>3.6585365853658516</v>
      </c>
      <c r="DF510" s="75">
        <f>INPUT!EE407</f>
        <v>41</v>
      </c>
      <c r="DG510" s="240">
        <f>INPUT!EF407</f>
        <v>-38.805970149253731</v>
      </c>
      <c r="DH510" s="75">
        <f>INPUT!EG407</f>
        <v>25</v>
      </c>
      <c r="DI510" s="240" t="str">
        <f>INPUT!EH407</f>
        <v>NM</v>
      </c>
      <c r="DJ510" s="75">
        <f>INPUT!EI407</f>
        <v>51</v>
      </c>
      <c r="DK510" s="240">
        <f>INPUT!EJ407</f>
        <v>45.714285714285694</v>
      </c>
      <c r="DL510" s="75">
        <f>INPUT!EK407</f>
        <v>28</v>
      </c>
      <c r="DM510" s="240" t="str">
        <f>INPUT!EL407</f>
        <v>NM</v>
      </c>
      <c r="DN510" s="75">
        <f>INPUT!EM407</f>
        <v>22</v>
      </c>
      <c r="DO510" s="240">
        <f>INPUT!EN407</f>
        <v>-46.341463414634141</v>
      </c>
      <c r="DP510" s="75">
        <f>INPUT!EO407</f>
        <v>7</v>
      </c>
      <c r="DQ510" s="240" t="str">
        <f>INPUT!EP407</f>
        <v>NM</v>
      </c>
      <c r="DR510" s="75">
        <f>INPUT!EQ407</f>
        <v>51.739729729729731</v>
      </c>
      <c r="DS510" s="240">
        <f>INPUT!ER407</f>
        <v>1.4504504504504467</v>
      </c>
      <c r="DT510" s="75">
        <f>INPUT!ES407</f>
        <v>28.406126126126125</v>
      </c>
      <c r="DU510" s="240">
        <f>INPUT!ET407</f>
        <v>1.4504504504504467</v>
      </c>
      <c r="DV510" s="75">
        <f>INPUT!EU407</f>
        <v>22.319099099099098</v>
      </c>
      <c r="DW510" s="240">
        <f>INPUT!EV407</f>
        <v>1.4504504504504467</v>
      </c>
      <c r="DX510" s="75">
        <f>INPUT!EW407</f>
        <v>7.1015315315315313</v>
      </c>
      <c r="DY510" s="240">
        <f>INPUT!EX407</f>
        <v>1.4504504504504467</v>
      </c>
      <c r="DZ510" s="75"/>
      <c r="EA510" s="240"/>
      <c r="EB510" s="498" t="str">
        <f>INPUT!FI407</f>
        <v>NA</v>
      </c>
      <c r="EC510" s="75">
        <f>INPUT!FJ407</f>
        <v>44</v>
      </c>
      <c r="ED510" s="155">
        <f>INPUT!FK407</f>
        <v>-48.235294117647051</v>
      </c>
      <c r="EE510" s="75">
        <f>INPUT!FL407</f>
        <v>-15</v>
      </c>
      <c r="EF510" s="155" t="str">
        <f>INPUT!FM407</f>
        <v>NM</v>
      </c>
      <c r="EG510" s="75">
        <f>INPUT!FN407</f>
        <v>-27</v>
      </c>
      <c r="EH510" s="155">
        <f>INPUT!FO407</f>
        <v>80</v>
      </c>
      <c r="EI510" s="75">
        <f>INPUT!FP407</f>
        <v>7</v>
      </c>
      <c r="EJ510" s="240" t="str">
        <f>INPUT!FQ407</f>
        <v>NM</v>
      </c>
      <c r="EK510" s="75">
        <f>INPUT!FR407</f>
        <v>33</v>
      </c>
      <c r="EL510" s="240" t="str">
        <f>INPUT!FS407</f>
        <v>NM</v>
      </c>
      <c r="EM510" s="75">
        <f>INPUT!FT407</f>
        <v>56</v>
      </c>
      <c r="EN510" s="240">
        <f>INPUT!FU407</f>
        <v>69.696969696969688</v>
      </c>
      <c r="EO510" s="75">
        <f>INPUT!FV407</f>
        <v>-235</v>
      </c>
      <c r="EP510" s="240" t="str">
        <f>INPUT!FW407</f>
        <v>NM</v>
      </c>
      <c r="EQ510" s="75">
        <f>INPUT!FX407</f>
        <v>107</v>
      </c>
      <c r="ER510" s="240" t="str">
        <f>INPUT!FY407</f>
        <v>NM</v>
      </c>
      <c r="ES510" s="75">
        <f>INPUT!FZ407</f>
        <v>209</v>
      </c>
      <c r="ET510" s="240">
        <f>INPUT!GA407</f>
        <v>95.327102803738342</v>
      </c>
      <c r="EU510" s="75">
        <f>INPUT!GB407</f>
        <v>371</v>
      </c>
      <c r="EV510" s="240">
        <f>INPUT!GC407</f>
        <v>77.511961722488053</v>
      </c>
      <c r="EW510" s="75">
        <f>INPUT!GD407</f>
        <v>172</v>
      </c>
      <c r="EX510" s="240" t="str">
        <f>INPUT!GE407</f>
        <v>NM</v>
      </c>
      <c r="EY510" s="75">
        <f>INPUT!GF407</f>
        <v>355</v>
      </c>
      <c r="EZ510" s="240" t="str">
        <f>INPUT!GG407</f>
        <v>NM</v>
      </c>
      <c r="FA510" s="75">
        <f>INPUT!GH407</f>
        <v>328</v>
      </c>
      <c r="FB510" s="240">
        <f>INPUT!GI407</f>
        <v>-7.6056338028168966</v>
      </c>
      <c r="FC510" s="75">
        <f>INPUT!GJ407</f>
        <v>279</v>
      </c>
      <c r="FD510" s="240">
        <f>INPUT!GK407</f>
        <v>-14.939024390243901</v>
      </c>
      <c r="FE510" s="75">
        <f>INPUT!GL407</f>
        <v>186</v>
      </c>
      <c r="FF510" s="240">
        <f>INPUT!GM407</f>
        <v>-33.333333333333343</v>
      </c>
      <c r="FG510" s="75">
        <f>INPUT!GN407</f>
        <v>108</v>
      </c>
      <c r="FH510" s="240">
        <f>INPUT!GO407</f>
        <v>-41.935483870967737</v>
      </c>
      <c r="FI510" s="75">
        <f>INPUT!GP407</f>
        <v>109.56648648648648</v>
      </c>
      <c r="FJ510" s="240">
        <f>INPUT!GQ407</f>
        <v>1.4504504504504467</v>
      </c>
      <c r="FK510" s="75">
        <f>INPUT!GR407</f>
        <v>110.66215135135135</v>
      </c>
      <c r="FL510" s="240">
        <f>INPUT!GS407</f>
        <v>1</v>
      </c>
      <c r="FM510" s="75">
        <f>INPUT!GT407</f>
        <v>111.76877286486487</v>
      </c>
      <c r="FN510" s="240">
        <f>INPUT!GU407</f>
        <v>1</v>
      </c>
      <c r="FO510" s="75">
        <f>INPUT!GV407</f>
        <v>112.88646059351352</v>
      </c>
      <c r="FP510" s="240">
        <f>INPUT!GW407</f>
        <v>1</v>
      </c>
      <c r="FQ510" s="75">
        <f>INPUT!GX407</f>
        <v>114.01532519944865</v>
      </c>
      <c r="FR510" s="240">
        <f>INPUT!GY407</f>
        <v>1</v>
      </c>
      <c r="FS510" s="240">
        <f>INPUT!GZ407</f>
        <v>1.0899298015088821</v>
      </c>
    </row>
    <row r="511" spans="1:176" ht="12.75" hidden="1" customHeight="1" outlineLevel="1" x14ac:dyDescent="0.2">
      <c r="A511" s="70" t="str">
        <f>INPUT!B408</f>
        <v xml:space="preserve">  Total Revenues</v>
      </c>
      <c r="B511" s="91">
        <f>INPUT!AA408</f>
        <v>666</v>
      </c>
      <c r="C511" s="155">
        <f>INPUT!AB408</f>
        <v>-2.489019033674964</v>
      </c>
      <c r="D511" s="91">
        <f>INPUT!AC408</f>
        <v>692</v>
      </c>
      <c r="E511" s="155">
        <f>INPUT!AD408</f>
        <v>1.3177159590043885</v>
      </c>
      <c r="F511" s="91">
        <f>INPUT!AE408</f>
        <v>669</v>
      </c>
      <c r="G511" s="155">
        <f>INPUT!AF408</f>
        <v>0.6015037593984971</v>
      </c>
      <c r="H511" s="91">
        <f>INPUT!AG408</f>
        <v>693</v>
      </c>
      <c r="I511" s="155">
        <f>INPUT!AH408</f>
        <v>4.5248868778280666</v>
      </c>
      <c r="J511" s="91">
        <f>INPUT!AI408</f>
        <v>731</v>
      </c>
      <c r="K511" s="155">
        <f>INPUT!AJ408</f>
        <v>9.7597597597597598</v>
      </c>
      <c r="L511" s="91">
        <f>INPUT!AK408</f>
        <v>804</v>
      </c>
      <c r="M511" s="155">
        <f>INPUT!AL408</f>
        <v>16.184971098265891</v>
      </c>
      <c r="N511" s="91">
        <f>INPUT!AM408</f>
        <v>704</v>
      </c>
      <c r="O511" s="155">
        <f>INPUT!AN408</f>
        <v>5.2316890881913309</v>
      </c>
      <c r="P511" s="91">
        <f>INPUT!AO408</f>
        <v>699</v>
      </c>
      <c r="Q511" s="155">
        <f>INPUT!AP408</f>
        <v>0.86580086580086402</v>
      </c>
      <c r="R511" s="91">
        <f>INPUT!AQ408</f>
        <v>741</v>
      </c>
      <c r="S511" s="155">
        <f>INPUT!AR408</f>
        <v>1.3679890560875521</v>
      </c>
      <c r="T511" s="91">
        <f>INPUT!AS408</f>
        <v>804</v>
      </c>
      <c r="U511" s="155">
        <f>INPUT!AT408</f>
        <v>0</v>
      </c>
      <c r="V511" s="91">
        <f>INPUT!AU408</f>
        <v>847</v>
      </c>
      <c r="W511" s="155">
        <f>INPUT!AV408</f>
        <v>20.3125</v>
      </c>
      <c r="X511" s="91">
        <f>INPUT!AW408</f>
        <v>721</v>
      </c>
      <c r="Y511" s="155">
        <f>INPUT!AX408</f>
        <v>3.1473533619456191</v>
      </c>
      <c r="Z511" s="91">
        <f>INPUT!AY408</f>
        <v>731</v>
      </c>
      <c r="AA511" s="155">
        <f>INPUT!AZ408</f>
        <v>-1.3495276653171402</v>
      </c>
      <c r="AB511" s="91">
        <f>INPUT!BA408</f>
        <v>737</v>
      </c>
      <c r="AC511" s="155">
        <f>INPUT!BB408</f>
        <v>-8.3333333333333428</v>
      </c>
      <c r="AD511" s="91">
        <f>INPUT!BC408</f>
        <v>707</v>
      </c>
      <c r="AE511" s="155">
        <f>INPUT!BD408</f>
        <v>-16.528925619834709</v>
      </c>
      <c r="AF511" s="91">
        <f>INPUT!BE408</f>
        <v>676</v>
      </c>
      <c r="AG511" s="155">
        <f>INPUT!BF408</f>
        <v>-6.2413314840499226</v>
      </c>
      <c r="AH511" s="91">
        <f>INPUT!BG408</f>
        <v>694</v>
      </c>
      <c r="AI511" s="240">
        <f>INPUT!BH408</f>
        <v>-5.0615595075239384</v>
      </c>
      <c r="AJ511" s="91">
        <f>INPUT!BI408</f>
        <v>747</v>
      </c>
      <c r="AK511" s="240">
        <f>INPUT!BJ408</f>
        <v>1.3568521031207581</v>
      </c>
      <c r="AL511" s="91">
        <f>INPUT!BK408</f>
        <v>696</v>
      </c>
      <c r="AM511" s="240">
        <f>INPUT!BL408</f>
        <v>-1.5558698727015496</v>
      </c>
      <c r="AN511" s="91">
        <f>INPUT!BM408</f>
        <v>707</v>
      </c>
      <c r="AO511" s="240">
        <f>INPUT!BN408</f>
        <v>4.5857988165680439</v>
      </c>
      <c r="AP511" s="91">
        <f>INPUT!BO408</f>
        <v>748</v>
      </c>
      <c r="AQ511" s="240">
        <f>INPUT!BP408</f>
        <v>7.7809798270893396</v>
      </c>
      <c r="AR511" s="91">
        <f>INPUT!BQ408</f>
        <v>840</v>
      </c>
      <c r="AS511" s="240">
        <f>INPUT!BR408</f>
        <v>12.449799196787154</v>
      </c>
      <c r="AT511" s="91">
        <f>INPUT!BS408</f>
        <v>764</v>
      </c>
      <c r="AU511" s="240">
        <f>INPUT!BT408</f>
        <v>9.7701149425287355</v>
      </c>
      <c r="AV511" s="91">
        <f>INPUT!BU408</f>
        <v>811</v>
      </c>
      <c r="AW511" s="240">
        <f>INPUT!BV408</f>
        <v>14.710042432814703</v>
      </c>
      <c r="AX511" s="91">
        <f>INPUT!BW408</f>
        <v>926</v>
      </c>
      <c r="AY511" s="240">
        <f>INPUT!BX408</f>
        <v>23.796791443850267</v>
      </c>
      <c r="AZ511" s="91">
        <f>INPUT!BY408</f>
        <v>1025</v>
      </c>
      <c r="BA511" s="240">
        <f>INPUT!BZ408</f>
        <v>22.023809523809533</v>
      </c>
      <c r="BB511" s="91">
        <f>INPUT!CA408</f>
        <v>1104</v>
      </c>
      <c r="BC511" s="240">
        <f>INPUT!CB408</f>
        <v>44.502617801047109</v>
      </c>
      <c r="BD511" s="91">
        <f>INPUT!CC408</f>
        <v>1094</v>
      </c>
      <c r="BE511" s="240">
        <f>INPUT!CD408</f>
        <v>34.895191122071509</v>
      </c>
      <c r="BF511" s="91">
        <f>INPUT!CE408</f>
        <v>1113</v>
      </c>
      <c r="BG511" s="240">
        <f>INPUT!CF408</f>
        <v>20.194384449244069</v>
      </c>
      <c r="BH511" s="91">
        <f>INPUT!CG408</f>
        <v>1258</v>
      </c>
      <c r="BI511" s="240">
        <f>INPUT!CH408</f>
        <v>22.731707317073173</v>
      </c>
      <c r="BJ511" s="91">
        <f>INPUT!CI408</f>
        <v>1214</v>
      </c>
      <c r="BK511" s="240">
        <f>INPUT!CJ408</f>
        <v>9.9637681159420453</v>
      </c>
      <c r="BL511" s="91">
        <f>INPUT!CK408</f>
        <v>1365</v>
      </c>
      <c r="BM511" s="240">
        <f>INPUT!CL408</f>
        <v>24.771480804387551</v>
      </c>
      <c r="BN511" s="91">
        <f>INPUT!CM408</f>
        <v>2224</v>
      </c>
      <c r="BO511" s="240">
        <f>INPUT!CN408</f>
        <v>99.820305480682833</v>
      </c>
      <c r="BP511" s="91">
        <f>INPUT!CO408</f>
        <v>3104</v>
      </c>
      <c r="BQ511" s="240" t="str">
        <f>INPUT!CP408</f>
        <v>NM</v>
      </c>
      <c r="BR511" s="91">
        <f>INPUT!CQ408</f>
        <v>3054</v>
      </c>
      <c r="BS511" s="240" t="str">
        <f>INPUT!CR408</f>
        <v>NM</v>
      </c>
      <c r="BT511" s="91">
        <f>INPUT!CS408</f>
        <v>3093</v>
      </c>
      <c r="BU511" s="240" t="str">
        <f>INPUT!CT408</f>
        <v>NM</v>
      </c>
      <c r="BV511" s="91">
        <f>INPUT!CU408</f>
        <v>3500</v>
      </c>
      <c r="BW511" s="240">
        <f>INPUT!CV408</f>
        <v>57.374100719424462</v>
      </c>
      <c r="BX511" s="91">
        <f>INPUT!CW408</f>
        <v>4214</v>
      </c>
      <c r="BY511" s="240">
        <f>INPUT!CX408</f>
        <v>35.760309278350519</v>
      </c>
      <c r="BZ511" s="91">
        <f>INPUT!CY408</f>
        <v>5917</v>
      </c>
      <c r="CA511" s="240">
        <f>INPUT!CZ408</f>
        <v>93.74590700720367</v>
      </c>
      <c r="CB511" s="91">
        <f>INPUT!DA408</f>
        <v>6953</v>
      </c>
      <c r="CC511" s="240" t="str">
        <f>INPUT!DB408</f>
        <v>NM</v>
      </c>
      <c r="CD511" s="91">
        <f>INPUT!DC408</f>
        <v>3907</v>
      </c>
      <c r="CE511" s="240">
        <f>INPUT!DD408</f>
        <v>11.628571428571433</v>
      </c>
      <c r="CF511" s="91">
        <f>INPUT!DE408</f>
        <v>3782</v>
      </c>
      <c r="CG511" s="240">
        <f>INPUT!DF408</f>
        <v>-10.251542477456098</v>
      </c>
      <c r="CH511" s="91">
        <f>INPUT!DG408</f>
        <v>3086</v>
      </c>
      <c r="CI511" s="240">
        <f>INPUT!DH408</f>
        <v>-47.845191820179146</v>
      </c>
      <c r="CJ511" s="91">
        <f>INPUT!DI408</f>
        <v>2787</v>
      </c>
      <c r="CK511" s="240" t="str">
        <f>INPUT!DJ408</f>
        <v>NM</v>
      </c>
      <c r="CL511" s="91">
        <f>INPUT!DK408</f>
        <v>2596</v>
      </c>
      <c r="CM511" s="240">
        <f>INPUT!DL408</f>
        <v>-33.555157409777323</v>
      </c>
      <c r="CN511" s="91">
        <f>INPUT!DM408</f>
        <v>2991</v>
      </c>
      <c r="CO511" s="240">
        <f>INPUT!DN408</f>
        <v>-20.914859862506603</v>
      </c>
      <c r="CP511" s="91">
        <f>INPUT!DO408</f>
        <v>2718</v>
      </c>
      <c r="CQ511" s="240">
        <f>INPUT!DP408</f>
        <v>-11.924821775761501</v>
      </c>
      <c r="CR511" s="91">
        <f>INPUT!DQ408</f>
        <v>2494</v>
      </c>
      <c r="CS511" s="240">
        <f>INPUT!DR408</f>
        <v>-10.513096519555077</v>
      </c>
      <c r="CT511" s="91">
        <f>INPUT!DS408</f>
        <v>2464</v>
      </c>
      <c r="CU511" s="240">
        <f>INPUT!DT408</f>
        <v>-5.0847457627118615</v>
      </c>
      <c r="CV511" s="91">
        <f>INPUT!DU408</f>
        <v>2806</v>
      </c>
      <c r="CW511" s="240">
        <f>INPUT!DV408</f>
        <v>-6.1852223336676673</v>
      </c>
      <c r="CX511" s="91">
        <f>INPUT!DW408</f>
        <v>2500</v>
      </c>
      <c r="CY511" s="240">
        <f>INPUT!DX408</f>
        <v>-8.0206033848417917</v>
      </c>
      <c r="CZ511" s="91">
        <f>INPUT!DY408</f>
        <v>2422</v>
      </c>
      <c r="DA511" s="240">
        <f>INPUT!DZ408</f>
        <v>-2.8869286287089011</v>
      </c>
      <c r="DB511" s="91">
        <f>INPUT!EA408</f>
        <v>2485</v>
      </c>
      <c r="DC511" s="240">
        <f>INPUT!EB408</f>
        <v>0.85227272727273373</v>
      </c>
      <c r="DD511" s="91">
        <f>INPUT!EC408</f>
        <v>2926</v>
      </c>
      <c r="DE511" s="240">
        <f>INPUT!ED408</f>
        <v>4.2765502494654299</v>
      </c>
      <c r="DF511" s="91">
        <f>INPUT!EE408</f>
        <v>2851</v>
      </c>
      <c r="DG511" s="240">
        <f>INPUT!EF408</f>
        <v>14.040000000000006</v>
      </c>
      <c r="DH511" s="91">
        <f>INPUT!EG408</f>
        <v>2761</v>
      </c>
      <c r="DI511" s="240">
        <f>INPUT!EH408</f>
        <v>13.996696944673829</v>
      </c>
      <c r="DJ511" s="91">
        <f>INPUT!EI408</f>
        <v>2631</v>
      </c>
      <c r="DK511" s="240">
        <f>INPUT!EJ408</f>
        <v>5.8752515090543227</v>
      </c>
      <c r="DL511" s="91">
        <f>INPUT!EK408</f>
        <v>2906</v>
      </c>
      <c r="DM511" s="240">
        <f>INPUT!EL408</f>
        <v>-0.6835269993164701</v>
      </c>
      <c r="DN511" s="91">
        <f>INPUT!EM408</f>
        <v>2749</v>
      </c>
      <c r="DO511" s="240">
        <f>INPUT!EN408</f>
        <v>-3.5776920378814481</v>
      </c>
      <c r="DP511" s="91">
        <f>INPUT!EO408</f>
        <v>2630</v>
      </c>
      <c r="DQ511" s="240">
        <f>INPUT!EP408</f>
        <v>-4.7446577327055337</v>
      </c>
      <c r="DR511" s="91">
        <f>INPUT!EQ408</f>
        <v>2668.0662162162162</v>
      </c>
      <c r="DS511" s="240">
        <f>INPUT!ER408</f>
        <v>1.408826157970978</v>
      </c>
      <c r="DT511" s="91">
        <f>INPUT!ES408</f>
        <v>2898.3587387387388</v>
      </c>
      <c r="DU511" s="240">
        <f>INPUT!ET408</f>
        <v>-0.26294773782728953</v>
      </c>
      <c r="DV511" s="91">
        <f>INPUT!EU408</f>
        <v>2745.1685585585587</v>
      </c>
      <c r="DW511" s="240">
        <f>INPUT!EV408</f>
        <v>-0.13937582544348004</v>
      </c>
      <c r="DX511" s="91">
        <f>INPUT!EW408</f>
        <v>2632.5585585585586</v>
      </c>
      <c r="DY511" s="240">
        <f>INPUT!EX408</f>
        <v>9.7283595382464227E-2</v>
      </c>
      <c r="DZ511" s="91"/>
      <c r="EA511" s="240"/>
      <c r="EB511" s="498" t="str">
        <f>INPUT!FI408</f>
        <v>NA</v>
      </c>
      <c r="EC511" s="91">
        <f>INPUT!FJ408</f>
        <v>2694</v>
      </c>
      <c r="ED511" s="155">
        <f>INPUT!FK408</f>
        <v>27.859515899382998</v>
      </c>
      <c r="EE511" s="91">
        <f>INPUT!FL408</f>
        <v>2720</v>
      </c>
      <c r="EF511" s="155">
        <f>INPUT!FM408</f>
        <v>0.96510764662211557</v>
      </c>
      <c r="EG511" s="91">
        <f>INPUT!FN408</f>
        <v>2938</v>
      </c>
      <c r="EH511" s="155">
        <f>INPUT!FO408</f>
        <v>8.0147058823529278</v>
      </c>
      <c r="EI511" s="91">
        <f>INPUT!FP408</f>
        <v>3113</v>
      </c>
      <c r="EJ511" s="240">
        <f>INPUT!FQ408</f>
        <v>5.9564329475833944</v>
      </c>
      <c r="EK511" s="91">
        <f>INPUT!FR408</f>
        <v>2851</v>
      </c>
      <c r="EL511" s="240">
        <f>INPUT!FS408</f>
        <v>-8.4163186636684912</v>
      </c>
      <c r="EM511" s="91">
        <f>INPUT!FT408</f>
        <v>2844</v>
      </c>
      <c r="EN511" s="240">
        <f>INPUT!FU408</f>
        <v>-0.24552788495265077</v>
      </c>
      <c r="EO511" s="91">
        <f>INPUT!FV408</f>
        <v>2965</v>
      </c>
      <c r="EP511" s="240">
        <f>INPUT!FW408</f>
        <v>4.2545710267229282</v>
      </c>
      <c r="EQ511" s="91">
        <f>INPUT!FX408</f>
        <v>4149</v>
      </c>
      <c r="ER511" s="240">
        <f>INPUT!FY408</f>
        <v>39.932546374367632</v>
      </c>
      <c r="ES511" s="91">
        <f>INPUT!FZ408</f>
        <v>4950</v>
      </c>
      <c r="ET511" s="240">
        <f>INPUT!GA408</f>
        <v>19.305856832971784</v>
      </c>
      <c r="EU511" s="91">
        <f>INPUT!GB408</f>
        <v>11475</v>
      </c>
      <c r="EV511" s="240" t="str">
        <f>INPUT!GC408</f>
        <v>NM</v>
      </c>
      <c r="EW511" s="91">
        <f>INPUT!GD408</f>
        <v>20584</v>
      </c>
      <c r="EX511" s="240">
        <f>INPUT!GE408</f>
        <v>79.381263616557732</v>
      </c>
      <c r="EY511" s="91">
        <f>INPUT!GF408</f>
        <v>13562</v>
      </c>
      <c r="EZ511" s="240">
        <f>INPUT!GG408</f>
        <v>-34.113874854255727</v>
      </c>
      <c r="FA511" s="91">
        <f>INPUT!GH408</f>
        <v>10799</v>
      </c>
      <c r="FB511" s="240">
        <f>INPUT!GI408</f>
        <v>-20.373101312490789</v>
      </c>
      <c r="FC511" s="91">
        <f>INPUT!GJ408</f>
        <v>10192</v>
      </c>
      <c r="FD511" s="240">
        <f>INPUT!GK408</f>
        <v>-5.6208908232243715</v>
      </c>
      <c r="FE511" s="91">
        <f>INPUT!GL408</f>
        <v>11023</v>
      </c>
      <c r="FF511" s="240">
        <f>INPUT!GM408</f>
        <v>8.153453689167975</v>
      </c>
      <c r="FG511" s="91">
        <f>INPUT!GN408</f>
        <v>10916</v>
      </c>
      <c r="FH511" s="240">
        <f>INPUT!GO408</f>
        <v>-0.97069763222353345</v>
      </c>
      <c r="FI511" s="91">
        <f>INPUT!GP408</f>
        <v>10944.152072072071</v>
      </c>
      <c r="FJ511" s="240">
        <f>INPUT!GQ408</f>
        <v>0.25789732568770773</v>
      </c>
      <c r="FK511" s="91">
        <f>INPUT!GR408</f>
        <v>11053.593592792791</v>
      </c>
      <c r="FL511" s="240">
        <f>INPUT!GS408</f>
        <v>1</v>
      </c>
      <c r="FM511" s="91">
        <f>INPUT!GT408</f>
        <v>11164.129528720721</v>
      </c>
      <c r="FN511" s="240">
        <f>INPUT!GU408</f>
        <v>1.0000000000000284</v>
      </c>
      <c r="FO511" s="91">
        <f>INPUT!GV408</f>
        <v>11275.770824007928</v>
      </c>
      <c r="FP511" s="240">
        <f>INPUT!GW408</f>
        <v>1</v>
      </c>
      <c r="FQ511" s="91">
        <f>INPUT!GX408</f>
        <v>11388.528532248007</v>
      </c>
      <c r="FR511" s="240">
        <f>INPUT!GY408</f>
        <v>1</v>
      </c>
      <c r="FS511" s="240">
        <f>INPUT!GZ408</f>
        <v>0.85114132114818553</v>
      </c>
    </row>
    <row r="512" spans="1:176" ht="12.75" hidden="1" customHeight="1" outlineLevel="1" x14ac:dyDescent="0.2">
      <c r="A512" s="77"/>
      <c r="B512" s="511"/>
      <c r="C512" s="487"/>
      <c r="D512" s="511"/>
      <c r="E512" s="487"/>
      <c r="F512" s="511"/>
      <c r="G512" s="487"/>
      <c r="H512" s="511"/>
      <c r="I512" s="487"/>
      <c r="J512" s="511"/>
      <c r="K512" s="487"/>
      <c r="L512" s="511"/>
      <c r="M512" s="487"/>
      <c r="N512" s="511"/>
      <c r="O512" s="487"/>
      <c r="P512" s="511"/>
      <c r="Q512" s="487"/>
      <c r="R512" s="511"/>
      <c r="S512" s="487"/>
      <c r="T512" s="511"/>
      <c r="U512" s="487"/>
      <c r="V512" s="511"/>
      <c r="W512" s="487"/>
      <c r="X512" s="511"/>
      <c r="Y512" s="487"/>
      <c r="Z512" s="511"/>
      <c r="AA512" s="487"/>
      <c r="AB512" s="511"/>
      <c r="AC512" s="487"/>
      <c r="AD512" s="511"/>
      <c r="AE512" s="487"/>
      <c r="AF512" s="511"/>
      <c r="AG512" s="487"/>
      <c r="AH512" s="511"/>
      <c r="AI512" s="486"/>
      <c r="AJ512" s="511"/>
      <c r="AK512" s="486"/>
      <c r="AL512" s="511"/>
      <c r="AM512" s="486"/>
      <c r="AN512" s="511"/>
      <c r="AO512" s="486"/>
      <c r="AP512" s="511"/>
      <c r="AQ512" s="486"/>
      <c r="AR512" s="511"/>
      <c r="AS512" s="486"/>
      <c r="AT512" s="511"/>
      <c r="AU512" s="486"/>
      <c r="AV512" s="511"/>
      <c r="AW512" s="486"/>
      <c r="AX512" s="511"/>
      <c r="AY512" s="486"/>
      <c r="AZ512" s="511"/>
      <c r="BA512" s="486"/>
      <c r="BB512" s="511"/>
      <c r="BC512" s="486"/>
      <c r="BD512" s="511"/>
      <c r="BE512" s="486"/>
      <c r="BF512" s="511"/>
      <c r="BG512" s="486"/>
      <c r="BH512" s="511"/>
      <c r="BI512" s="486"/>
      <c r="BJ512" s="511"/>
      <c r="BK512" s="486"/>
      <c r="BL512" s="511"/>
      <c r="BM512" s="486"/>
      <c r="BN512" s="511"/>
      <c r="BO512" s="486"/>
      <c r="BP512" s="511"/>
      <c r="BQ512" s="486"/>
      <c r="BR512" s="511"/>
      <c r="BS512" s="486"/>
      <c r="BT512" s="511"/>
      <c r="BU512" s="486"/>
      <c r="BV512" s="511"/>
      <c r="BW512" s="486"/>
      <c r="BX512" s="511"/>
      <c r="BY512" s="486"/>
      <c r="BZ512" s="511"/>
      <c r="CA512" s="486"/>
      <c r="CB512" s="511"/>
      <c r="CC512" s="486"/>
      <c r="CD512" s="511"/>
      <c r="CE512" s="486"/>
      <c r="CF512" s="511"/>
      <c r="CG512" s="486"/>
      <c r="CH512" s="511"/>
      <c r="CI512" s="486"/>
      <c r="CJ512" s="511"/>
      <c r="CK512" s="486"/>
      <c r="CL512" s="511"/>
      <c r="CM512" s="486"/>
      <c r="CN512" s="511"/>
      <c r="CO512" s="486"/>
      <c r="CP512" s="511"/>
      <c r="CQ512" s="486"/>
      <c r="CR512" s="511"/>
      <c r="CS512" s="486"/>
      <c r="CT512" s="511"/>
      <c r="CU512" s="486"/>
      <c r="CV512" s="511"/>
      <c r="CW512" s="486"/>
      <c r="CX512" s="511"/>
      <c r="CY512" s="486"/>
      <c r="CZ512" s="511"/>
      <c r="DA512" s="486"/>
      <c r="DB512" s="511"/>
      <c r="DC512" s="486"/>
      <c r="DD512" s="511"/>
      <c r="DE512" s="486"/>
      <c r="DF512" s="511"/>
      <c r="DG512" s="486"/>
      <c r="DH512" s="511"/>
      <c r="DI512" s="486"/>
      <c r="DJ512" s="511"/>
      <c r="DK512" s="486"/>
      <c r="DL512" s="511"/>
      <c r="DM512" s="486"/>
      <c r="DN512" s="511"/>
      <c r="DO512" s="486"/>
      <c r="DP512" s="511"/>
      <c r="DQ512" s="486"/>
      <c r="DR512" s="511"/>
      <c r="DS512" s="486"/>
      <c r="DT512" s="511"/>
      <c r="DU512" s="486"/>
      <c r="DV512" s="511"/>
      <c r="DW512" s="486"/>
      <c r="DX512" s="511"/>
      <c r="DY512" s="486"/>
      <c r="DZ512" s="511"/>
      <c r="EA512" s="486"/>
      <c r="EB512" s="525"/>
      <c r="EC512" s="511"/>
      <c r="ED512" s="487"/>
      <c r="EE512" s="511"/>
      <c r="EF512" s="487"/>
      <c r="EG512" s="511"/>
      <c r="EH512" s="487"/>
      <c r="EI512" s="511"/>
      <c r="EJ512" s="486"/>
      <c r="EK512" s="511"/>
      <c r="EL512" s="486"/>
      <c r="EM512" s="511"/>
      <c r="EN512" s="486"/>
      <c r="EO512" s="511"/>
      <c r="EP512" s="486"/>
      <c r="EQ512" s="511"/>
      <c r="ER512" s="486"/>
      <c r="ES512" s="511"/>
      <c r="ET512" s="486"/>
      <c r="EU512" s="511"/>
      <c r="EV512" s="486"/>
      <c r="EW512" s="511"/>
      <c r="EX512" s="486"/>
      <c r="EY512" s="511"/>
      <c r="EZ512" s="486"/>
      <c r="FA512" s="511"/>
      <c r="FB512" s="486"/>
      <c r="FC512" s="511"/>
      <c r="FD512" s="486"/>
      <c r="FE512" s="511"/>
      <c r="FF512" s="486"/>
      <c r="FG512" s="511"/>
      <c r="FH512" s="486"/>
      <c r="FI512" s="511"/>
      <c r="FJ512" s="486"/>
      <c r="FK512" s="511"/>
      <c r="FL512" s="486"/>
      <c r="FM512" s="511"/>
      <c r="FN512" s="486"/>
      <c r="FO512" s="511"/>
      <c r="FP512" s="486"/>
      <c r="FQ512" s="511"/>
      <c r="FR512" s="486"/>
      <c r="FS512" s="486"/>
    </row>
    <row r="513" spans="1:176" ht="12.75" hidden="1" customHeight="1" outlineLevel="1" x14ac:dyDescent="0.2">
      <c r="A513" s="70" t="s">
        <v>129</v>
      </c>
      <c r="B513" s="511"/>
      <c r="C513" s="487"/>
      <c r="D513" s="511"/>
      <c r="E513" s="487"/>
      <c r="F513" s="511"/>
      <c r="G513" s="487"/>
      <c r="H513" s="511"/>
      <c r="I513" s="487"/>
      <c r="J513" s="511"/>
      <c r="K513" s="487"/>
      <c r="L513" s="511"/>
      <c r="M513" s="487"/>
      <c r="N513" s="511"/>
      <c r="O513" s="487"/>
      <c r="P513" s="511"/>
      <c r="Q513" s="487"/>
      <c r="R513" s="511"/>
      <c r="S513" s="487"/>
      <c r="T513" s="511"/>
      <c r="U513" s="487"/>
      <c r="V513" s="511"/>
      <c r="W513" s="487"/>
      <c r="X513" s="511"/>
      <c r="Y513" s="487"/>
      <c r="Z513" s="511"/>
      <c r="AA513" s="487"/>
      <c r="AB513" s="511"/>
      <c r="AC513" s="487"/>
      <c r="AD513" s="511"/>
      <c r="AE513" s="487"/>
      <c r="AF513" s="511"/>
      <c r="AG513" s="487"/>
      <c r="AH513" s="511"/>
      <c r="AI513" s="486"/>
      <c r="AJ513" s="511"/>
      <c r="AK513" s="486"/>
      <c r="AL513" s="511"/>
      <c r="AM513" s="486"/>
      <c r="AN513" s="511"/>
      <c r="AO513" s="486"/>
      <c r="AP513" s="511"/>
      <c r="AQ513" s="486"/>
      <c r="AR513" s="511"/>
      <c r="AS513" s="486"/>
      <c r="AT513" s="511"/>
      <c r="AU513" s="486"/>
      <c r="AV513" s="511"/>
      <c r="AW513" s="486"/>
      <c r="AX513" s="511"/>
      <c r="AY513" s="486"/>
      <c r="AZ513" s="511"/>
      <c r="BA513" s="486"/>
      <c r="BB513" s="511"/>
      <c r="BC513" s="486"/>
      <c r="BD513" s="511"/>
      <c r="BE513" s="486"/>
      <c r="BF513" s="511"/>
      <c r="BG513" s="486"/>
      <c r="BH513" s="511"/>
      <c r="BI513" s="486"/>
      <c r="BJ513" s="511"/>
      <c r="BK513" s="486"/>
      <c r="BL513" s="511"/>
      <c r="BM513" s="486"/>
      <c r="BN513" s="511"/>
      <c r="BO513" s="486"/>
      <c r="BP513" s="511"/>
      <c r="BQ513" s="486"/>
      <c r="BR513" s="511"/>
      <c r="BS513" s="486"/>
      <c r="BT513" s="511"/>
      <c r="BU513" s="486"/>
      <c r="BV513" s="511"/>
      <c r="BW513" s="486"/>
      <c r="BX513" s="511"/>
      <c r="BY513" s="486"/>
      <c r="BZ513" s="511"/>
      <c r="CA513" s="486"/>
      <c r="CB513" s="511"/>
      <c r="CC513" s="486"/>
      <c r="CD513" s="511"/>
      <c r="CE513" s="486"/>
      <c r="CF513" s="511"/>
      <c r="CG513" s="486"/>
      <c r="CH513" s="511"/>
      <c r="CI513" s="486"/>
      <c r="CJ513" s="511"/>
      <c r="CK513" s="486"/>
      <c r="CL513" s="511"/>
      <c r="CM513" s="486"/>
      <c r="CN513" s="511"/>
      <c r="CO513" s="486"/>
      <c r="CP513" s="511"/>
      <c r="CQ513" s="486"/>
      <c r="CR513" s="511"/>
      <c r="CS513" s="486"/>
      <c r="CT513" s="511"/>
      <c r="CU513" s="486"/>
      <c r="CV513" s="511"/>
      <c r="CW513" s="486"/>
      <c r="CX513" s="511"/>
      <c r="CY513" s="486"/>
      <c r="CZ513" s="511"/>
      <c r="DA513" s="486"/>
      <c r="DB513" s="511"/>
      <c r="DC513" s="486"/>
      <c r="DD513" s="511"/>
      <c r="DE513" s="486"/>
      <c r="DF513" s="511"/>
      <c r="DG513" s="486"/>
      <c r="DH513" s="511"/>
      <c r="DI513" s="486"/>
      <c r="DJ513" s="511"/>
      <c r="DK513" s="486"/>
      <c r="DL513" s="511"/>
      <c r="DM513" s="486"/>
      <c r="DN513" s="511"/>
      <c r="DO513" s="486"/>
      <c r="DP513" s="511"/>
      <c r="DQ513" s="486"/>
      <c r="DR513" s="511"/>
      <c r="DS513" s="486"/>
      <c r="DT513" s="511"/>
      <c r="DU513" s="486"/>
      <c r="DV513" s="511"/>
      <c r="DW513" s="486"/>
      <c r="DX513" s="511"/>
      <c r="DY513" s="486"/>
      <c r="DZ513" s="511"/>
      <c r="EA513" s="486"/>
      <c r="EB513" s="525"/>
      <c r="EC513" s="511"/>
      <c r="ED513" s="487"/>
      <c r="EE513" s="511"/>
      <c r="EF513" s="487"/>
      <c r="EG513" s="511"/>
      <c r="EH513" s="487"/>
      <c r="EI513" s="511"/>
      <c r="EJ513" s="486"/>
      <c r="EK513" s="511"/>
      <c r="EL513" s="486"/>
      <c r="EM513" s="511"/>
      <c r="EN513" s="486"/>
      <c r="EO513" s="511"/>
      <c r="EP513" s="486"/>
      <c r="EQ513" s="511"/>
      <c r="ER513" s="486"/>
      <c r="ES513" s="511"/>
      <c r="ET513" s="486"/>
      <c r="EU513" s="511"/>
      <c r="EV513" s="486"/>
      <c r="EW513" s="511"/>
      <c r="EX513" s="486"/>
      <c r="EY513" s="511"/>
      <c r="EZ513" s="486"/>
      <c r="FA513" s="511"/>
      <c r="FB513" s="486"/>
      <c r="FC513" s="511"/>
      <c r="FD513" s="486"/>
      <c r="FE513" s="511"/>
      <c r="FF513" s="486"/>
      <c r="FG513" s="511"/>
      <c r="FH513" s="486"/>
      <c r="FI513" s="511"/>
      <c r="FJ513" s="486"/>
      <c r="FK513" s="511"/>
      <c r="FL513" s="486"/>
      <c r="FM513" s="511"/>
      <c r="FN513" s="486"/>
      <c r="FO513" s="511"/>
      <c r="FP513" s="486"/>
      <c r="FQ513" s="511"/>
      <c r="FR513" s="486"/>
      <c r="FS513" s="486"/>
    </row>
    <row r="514" spans="1:176" ht="12.75" hidden="1" customHeight="1" outlineLevel="1" x14ac:dyDescent="0.2">
      <c r="A514" s="77" t="str">
        <f>INPUT!B411</f>
        <v>Benefits</v>
      </c>
      <c r="B514" s="75">
        <f>INPUT!AA411</f>
        <v>432</v>
      </c>
      <c r="C514" s="155">
        <f>INPUT!AB411</f>
        <v>1.1709601873536286</v>
      </c>
      <c r="D514" s="75">
        <f>INPUT!AC411</f>
        <v>414</v>
      </c>
      <c r="E514" s="155">
        <f>INPUT!AD411</f>
        <v>-2.5882352941176521</v>
      </c>
      <c r="F514" s="75">
        <f>INPUT!AE411</f>
        <v>414</v>
      </c>
      <c r="G514" s="155">
        <f>INPUT!AF411</f>
        <v>-1.895734597156391</v>
      </c>
      <c r="H514" s="75">
        <f>INPUT!AG411</f>
        <v>435</v>
      </c>
      <c r="I514" s="155">
        <f>INPUT!AH411</f>
        <v>-4.6052631578947398</v>
      </c>
      <c r="J514" s="75">
        <f>INPUT!AI411</f>
        <v>484</v>
      </c>
      <c r="K514" s="155">
        <f>INPUT!AJ411</f>
        <v>12.037037037037052</v>
      </c>
      <c r="L514" s="75">
        <f>INPUT!AK411</f>
        <v>522</v>
      </c>
      <c r="M514" s="155">
        <f>INPUT!AL411</f>
        <v>26.08695652173914</v>
      </c>
      <c r="N514" s="75">
        <f>INPUT!AM411</f>
        <v>449</v>
      </c>
      <c r="O514" s="155">
        <f>INPUT!AN411</f>
        <v>8.4541062801932298</v>
      </c>
      <c r="P514" s="75">
        <f>INPUT!AO411</f>
        <v>432</v>
      </c>
      <c r="Q514" s="155">
        <f>INPUT!AP411</f>
        <v>-0.68965517241379359</v>
      </c>
      <c r="R514" s="75">
        <f>INPUT!AQ411</f>
        <v>467</v>
      </c>
      <c r="S514" s="155">
        <f>INPUT!AR411</f>
        <v>-3.5123966942148854</v>
      </c>
      <c r="T514" s="75">
        <f>INPUT!AS411</f>
        <v>490</v>
      </c>
      <c r="U514" s="155">
        <f>INPUT!AT411</f>
        <v>-6.1302681992337114</v>
      </c>
      <c r="V514" s="75">
        <f>INPUT!AU411</f>
        <v>561</v>
      </c>
      <c r="W514" s="155">
        <f>INPUT!AV411</f>
        <v>24.944320712694875</v>
      </c>
      <c r="X514" s="75">
        <f>INPUT!AW411</f>
        <v>435</v>
      </c>
      <c r="Y514" s="155">
        <f>INPUT!AX411</f>
        <v>0.69444444444444287</v>
      </c>
      <c r="Z514" s="75">
        <f>INPUT!AY411</f>
        <v>455</v>
      </c>
      <c r="AA514" s="155">
        <f>INPUT!AZ411</f>
        <v>-2.5695931477516041</v>
      </c>
      <c r="AB514" s="75">
        <f>INPUT!BA411</f>
        <v>459</v>
      </c>
      <c r="AC514" s="155">
        <f>INPUT!BB411</f>
        <v>-6.3265306122448948</v>
      </c>
      <c r="AD514" s="75">
        <f>INPUT!BC411</f>
        <v>380</v>
      </c>
      <c r="AE514" s="155">
        <f>INPUT!BD411</f>
        <v>-32.263814616755795</v>
      </c>
      <c r="AF514" s="75">
        <f>INPUT!BE411</f>
        <v>370</v>
      </c>
      <c r="AG514" s="155">
        <f>INPUT!BF411</f>
        <v>-14.942528735632195</v>
      </c>
      <c r="AH514" s="75">
        <f>INPUT!BG411</f>
        <v>371</v>
      </c>
      <c r="AI514" s="240">
        <f>INPUT!BH411</f>
        <v>-18.461538461538467</v>
      </c>
      <c r="AJ514" s="75">
        <f>INPUT!BI411</f>
        <v>412</v>
      </c>
      <c r="AK514" s="240">
        <f>INPUT!BJ411</f>
        <v>-10.239651416122015</v>
      </c>
      <c r="AL514" s="75">
        <f>INPUT!BK411</f>
        <v>357</v>
      </c>
      <c r="AM514" s="240">
        <f>INPUT!BL411</f>
        <v>-6.0526315789473699</v>
      </c>
      <c r="AN514" s="75">
        <f>INPUT!BM411</f>
        <v>381</v>
      </c>
      <c r="AO514" s="240">
        <f>INPUT!BN411</f>
        <v>2.9729729729729684</v>
      </c>
      <c r="AP514" s="75">
        <f>INPUT!BO411</f>
        <v>412</v>
      </c>
      <c r="AQ514" s="240">
        <f>INPUT!BP411</f>
        <v>11.051212938005392</v>
      </c>
      <c r="AR514" s="75">
        <f>INPUT!BQ411</f>
        <v>444</v>
      </c>
      <c r="AS514" s="240">
        <f>INPUT!BR411</f>
        <v>7.7669902912621325</v>
      </c>
      <c r="AT514" s="75">
        <f>INPUT!BS411</f>
        <v>379</v>
      </c>
      <c r="AU514" s="240">
        <f>INPUT!BT411</f>
        <v>6.1624649859944043</v>
      </c>
      <c r="AV514" s="75">
        <f>INPUT!BU411</f>
        <v>404</v>
      </c>
      <c r="AW514" s="240">
        <f>INPUT!BV411</f>
        <v>6.0367454068241528</v>
      </c>
      <c r="AX514" s="75">
        <f>INPUT!BW411</f>
        <v>483</v>
      </c>
      <c r="AY514" s="240">
        <f>INPUT!BX411</f>
        <v>17.233009708737868</v>
      </c>
      <c r="AZ514" s="75">
        <f>INPUT!BY411</f>
        <v>565</v>
      </c>
      <c r="BA514" s="240">
        <f>INPUT!BZ411</f>
        <v>27.252252252252248</v>
      </c>
      <c r="BB514" s="75">
        <f>INPUT!CA411</f>
        <v>602</v>
      </c>
      <c r="BC514" s="240">
        <f>INPUT!CB411</f>
        <v>58.839050131926115</v>
      </c>
      <c r="BD514" s="75">
        <f>INPUT!CC411</f>
        <v>588</v>
      </c>
      <c r="BE514" s="240">
        <f>INPUT!CD411</f>
        <v>45.544554455445535</v>
      </c>
      <c r="BF514" s="75">
        <f>INPUT!CE411</f>
        <v>607</v>
      </c>
      <c r="BG514" s="240">
        <f>INPUT!CF411</f>
        <v>25.672877846790882</v>
      </c>
      <c r="BH514" s="75">
        <f>INPUT!CG411</f>
        <v>745</v>
      </c>
      <c r="BI514" s="240">
        <f>INPUT!CH411</f>
        <v>31.858407079646014</v>
      </c>
      <c r="BJ514" s="75">
        <f>INPUT!CI411</f>
        <v>651</v>
      </c>
      <c r="BK514" s="240">
        <f>INPUT!CJ411</f>
        <v>8.1395348837209269</v>
      </c>
      <c r="BL514" s="75">
        <f>INPUT!CK411</f>
        <v>718</v>
      </c>
      <c r="BM514" s="240">
        <f>INPUT!CL411</f>
        <v>22.108843537414955</v>
      </c>
      <c r="BN514" s="75">
        <f>INPUT!CM411</f>
        <v>1317</v>
      </c>
      <c r="BO514" s="240" t="str">
        <f>INPUT!CN411</f>
        <v>NM</v>
      </c>
      <c r="BP514" s="75">
        <f>INPUT!CO411</f>
        <v>1941</v>
      </c>
      <c r="BQ514" s="240" t="str">
        <f>INPUT!CP411</f>
        <v>NM</v>
      </c>
      <c r="BR514" s="75">
        <f>INPUT!CQ411</f>
        <v>1709</v>
      </c>
      <c r="BS514" s="240" t="str">
        <f>INPUT!CR411</f>
        <v>NM</v>
      </c>
      <c r="BT514" s="75">
        <f>INPUT!CS411</f>
        <v>1824</v>
      </c>
      <c r="BU514" s="240" t="str">
        <f>INPUT!CT411</f>
        <v>NM</v>
      </c>
      <c r="BV514" s="75">
        <f>INPUT!CU411</f>
        <v>2262</v>
      </c>
      <c r="BW514" s="240">
        <f>INPUT!CV411</f>
        <v>71.753986332574044</v>
      </c>
      <c r="BX514" s="75">
        <f>INPUT!CW411</f>
        <v>2901</v>
      </c>
      <c r="BY514" s="240">
        <f>INPUT!CX411</f>
        <v>49.459041731066463</v>
      </c>
      <c r="BZ514" s="75">
        <f>INPUT!CY411</f>
        <v>4546</v>
      </c>
      <c r="CA514" s="240" t="str">
        <f>INPUT!CZ411</f>
        <v>NM</v>
      </c>
      <c r="CB514" s="75">
        <f>INPUT!DA411</f>
        <v>5597</v>
      </c>
      <c r="CC514" s="240" t="str">
        <f>INPUT!DB411</f>
        <v>NM</v>
      </c>
      <c r="CD514" s="75">
        <f>INPUT!DC411</f>
        <v>2612</v>
      </c>
      <c r="CE514" s="240">
        <f>INPUT!DD411</f>
        <v>15.473032714412028</v>
      </c>
      <c r="CF514" s="75">
        <f>INPUT!DE411</f>
        <v>2523</v>
      </c>
      <c r="CG514" s="240">
        <f>INPUT!DF411</f>
        <v>-13.029989658738359</v>
      </c>
      <c r="CH514" s="75">
        <f>INPUT!DG411</f>
        <v>1985</v>
      </c>
      <c r="CI514" s="240" t="str">
        <f>INPUT!DH411</f>
        <v>NM</v>
      </c>
      <c r="CJ514" s="75">
        <f>INPUT!DI411</f>
        <v>1672</v>
      </c>
      <c r="CK514" s="240" t="str">
        <f>INPUT!DJ411</f>
        <v>NM</v>
      </c>
      <c r="CL514" s="75">
        <f>INPUT!DK411</f>
        <v>1476</v>
      </c>
      <c r="CM514" s="240">
        <f>INPUT!DL411</f>
        <v>-43.491577335375183</v>
      </c>
      <c r="CN514" s="75">
        <f>INPUT!DM411</f>
        <v>1760</v>
      </c>
      <c r="CO514" s="240">
        <f>INPUT!DN411</f>
        <v>-30.241775663892184</v>
      </c>
      <c r="CP514" s="75">
        <f>INPUT!DO411</f>
        <v>1565</v>
      </c>
      <c r="CQ514" s="240">
        <f>INPUT!DP411</f>
        <v>-21.158690176322409</v>
      </c>
      <c r="CR514" s="75">
        <f>INPUT!DQ411</f>
        <v>1469</v>
      </c>
      <c r="CS514" s="240">
        <f>INPUT!DR411</f>
        <v>-12.141148325358856</v>
      </c>
      <c r="CT514" s="75">
        <f>INPUT!DS411</f>
        <v>1411</v>
      </c>
      <c r="CU514" s="240">
        <f>INPUT!DT411</f>
        <v>-4.4037940379403722</v>
      </c>
      <c r="CV514" s="75">
        <f>INPUT!DU411</f>
        <v>1683</v>
      </c>
      <c r="CW514" s="240">
        <f>INPUT!DV411</f>
        <v>-4.375</v>
      </c>
      <c r="CX514" s="75">
        <f>INPUT!DW411</f>
        <v>1460</v>
      </c>
      <c r="CY514" s="240">
        <f>INPUT!DX411</f>
        <v>-6.7092651757188548</v>
      </c>
      <c r="CZ514" s="75">
        <f>INPUT!DY411</f>
        <v>1385</v>
      </c>
      <c r="DA514" s="240">
        <f>INPUT!DZ411</f>
        <v>-5.7181756296800614</v>
      </c>
      <c r="DB514" s="75">
        <f>INPUT!EA411</f>
        <v>1464</v>
      </c>
      <c r="DC514" s="240">
        <f>INPUT!EB411</f>
        <v>3.7562012756910121</v>
      </c>
      <c r="DD514" s="75">
        <f>INPUT!EC411</f>
        <v>1765</v>
      </c>
      <c r="DE514" s="240">
        <f>INPUT!ED411</f>
        <v>4.8722519310754535</v>
      </c>
      <c r="DF514" s="75">
        <f>INPUT!EE411</f>
        <v>1724</v>
      </c>
      <c r="DG514" s="240">
        <f>INPUT!EF411</f>
        <v>18.082191780821915</v>
      </c>
      <c r="DH514" s="75">
        <f>INPUT!EG411</f>
        <v>1672</v>
      </c>
      <c r="DI514" s="240">
        <f>INPUT!EH411</f>
        <v>20.72202166064983</v>
      </c>
      <c r="DJ514" s="75">
        <f>INPUT!EI411</f>
        <v>1567</v>
      </c>
      <c r="DK514" s="240">
        <f>INPUT!EJ411</f>
        <v>7.0355191256830523</v>
      </c>
      <c r="DL514" s="75">
        <f>INPUT!EK411</f>
        <v>1711</v>
      </c>
      <c r="DM514" s="240">
        <f>INPUT!EL411</f>
        <v>-3.0594900849858391</v>
      </c>
      <c r="DN514" s="75">
        <f>INPUT!EM411</f>
        <v>1641</v>
      </c>
      <c r="DO514" s="240">
        <f>INPUT!EN411</f>
        <v>-4.8143851508120576</v>
      </c>
      <c r="DP514" s="75">
        <f>INPUT!EO411</f>
        <v>1550</v>
      </c>
      <c r="DQ514" s="240">
        <f>INPUT!EP411</f>
        <v>-7.2966507177033435</v>
      </c>
      <c r="DR514" s="75">
        <f>INPUT!EQ411</f>
        <v>1589.7285585585587</v>
      </c>
      <c r="DS514" s="240">
        <f>INPUT!ER411</f>
        <v>1.4504504504504752</v>
      </c>
      <c r="DT514" s="75">
        <f>INPUT!ES411</f>
        <v>1735.817207207207</v>
      </c>
      <c r="DU514" s="240">
        <f>INPUT!ET411</f>
        <v>1.4504504504504467</v>
      </c>
      <c r="DV514" s="75">
        <f>INPUT!EU411</f>
        <v>1646.6412467567563</v>
      </c>
      <c r="DW514" s="240">
        <f>INPUT!EV411</f>
        <v>0.34376884562806254</v>
      </c>
      <c r="DX514" s="75">
        <f>INPUT!EW411</f>
        <v>1562.8796968468469</v>
      </c>
      <c r="DY514" s="240">
        <f>INPUT!EX411</f>
        <v>0.83094818366753032</v>
      </c>
      <c r="DZ514" s="75"/>
      <c r="EA514" s="240"/>
      <c r="EB514" s="498" t="str">
        <f>INPUT!FI411</f>
        <v>NA</v>
      </c>
      <c r="EC514" s="75">
        <f>INPUT!FJ411</f>
        <v>1730</v>
      </c>
      <c r="ED514" s="155">
        <f>INPUT!FK411</f>
        <v>34.004647560030975</v>
      </c>
      <c r="EE514" s="75">
        <f>INPUT!FL411</f>
        <v>1695</v>
      </c>
      <c r="EF514" s="155">
        <f>INPUT!FM411</f>
        <v>-2.0231213872832399</v>
      </c>
      <c r="EG514" s="75">
        <f>INPUT!FN411</f>
        <v>1887</v>
      </c>
      <c r="EH514" s="155">
        <f>INPUT!FO411</f>
        <v>11.327433628318587</v>
      </c>
      <c r="EI514" s="75">
        <f>INPUT!FP411</f>
        <v>1953</v>
      </c>
      <c r="EJ514" s="240">
        <f>INPUT!FQ411</f>
        <v>3.4976152623211476</v>
      </c>
      <c r="EK514" s="75">
        <f>INPUT!FR411</f>
        <v>1664</v>
      </c>
      <c r="EL514" s="240">
        <f>INPUT!FS411</f>
        <v>-14.79774705581157</v>
      </c>
      <c r="EM514" s="75">
        <f>INPUT!FT411</f>
        <v>1521</v>
      </c>
      <c r="EN514" s="240">
        <f>INPUT!FU411</f>
        <v>-8.59375</v>
      </c>
      <c r="EO514" s="75">
        <f>INPUT!FV411</f>
        <v>1639</v>
      </c>
      <c r="EP514" s="240">
        <f>INPUT!FW411</f>
        <v>7.7580539119000775</v>
      </c>
      <c r="EQ514" s="75">
        <f>INPUT!FX411</f>
        <v>2238</v>
      </c>
      <c r="ER514" s="240">
        <f>INPUT!FY411</f>
        <v>36.546674801708377</v>
      </c>
      <c r="ES514" s="75">
        <f>INPUT!FZ411</f>
        <v>2721</v>
      </c>
      <c r="ET514" s="240">
        <f>INPUT!GA411</f>
        <v>21.58176943699732</v>
      </c>
      <c r="EU514" s="75">
        <f>INPUT!GB411</f>
        <v>6791</v>
      </c>
      <c r="EV514" s="240" t="str">
        <f>INPUT!GC411</f>
        <v>NM</v>
      </c>
      <c r="EW514" s="75">
        <f>INPUT!GD411</f>
        <v>15306</v>
      </c>
      <c r="EX514" s="240" t="str">
        <f>INPUT!GE411</f>
        <v>NM</v>
      </c>
      <c r="EY514" s="75">
        <f>INPUT!GF411</f>
        <v>8792</v>
      </c>
      <c r="EZ514" s="240">
        <f>INPUT!GG411</f>
        <v>-42.558473801123739</v>
      </c>
      <c r="FA514" s="75">
        <f>INPUT!GH411</f>
        <v>6270</v>
      </c>
      <c r="FB514" s="240">
        <f>INPUT!GI411</f>
        <v>-28.685168334849863</v>
      </c>
      <c r="FC514" s="75">
        <f>INPUT!GJ411</f>
        <v>5939</v>
      </c>
      <c r="FD514" s="240">
        <f>INPUT!GK411</f>
        <v>-5.2791068580542344</v>
      </c>
      <c r="FE514" s="75">
        <f>INPUT!GL411</f>
        <v>6625</v>
      </c>
      <c r="FF514" s="240">
        <f>INPUT!GM411</f>
        <v>11.550766122242791</v>
      </c>
      <c r="FG514" s="75">
        <f>INPUT!GN411</f>
        <v>6469</v>
      </c>
      <c r="FH514" s="240">
        <f>INPUT!GO411</f>
        <v>-2.3547169811320714</v>
      </c>
      <c r="FI514" s="75">
        <f>INPUT!GP411</f>
        <v>6535.0667093693692</v>
      </c>
      <c r="FJ514" s="240">
        <f>INPUT!GQ411</f>
        <v>1.0212816412021937</v>
      </c>
      <c r="FK514" s="75">
        <f>INPUT!GR411</f>
        <v>6596.3700107423429</v>
      </c>
      <c r="FL514" s="240">
        <f>INPUT!GS411</f>
        <v>0.93806695630334502</v>
      </c>
      <c r="FM514" s="75">
        <f>INPUT!GT411</f>
        <v>6662.3337108497672</v>
      </c>
      <c r="FN514" s="240">
        <f>INPUT!GU411</f>
        <v>1.0000000000000284</v>
      </c>
      <c r="FO514" s="75">
        <f>INPUT!GV411</f>
        <v>6728.9570479582644</v>
      </c>
      <c r="FP514" s="240">
        <f>INPUT!GW411</f>
        <v>1</v>
      </c>
      <c r="FQ514" s="75">
        <f>INPUT!GX411</f>
        <v>6796.2466184378472</v>
      </c>
      <c r="FR514" s="240">
        <f>INPUT!GY411</f>
        <v>1</v>
      </c>
      <c r="FS514" s="240">
        <f>INPUT!GZ411</f>
        <v>0.99186579943038033</v>
      </c>
    </row>
    <row r="515" spans="1:176" ht="12.75" hidden="1" customHeight="1" outlineLevel="1" x14ac:dyDescent="0.2">
      <c r="A515" s="77" t="str">
        <f>INPUT!B412</f>
        <v>Interest Credited</v>
      </c>
      <c r="B515" s="75">
        <f>INPUT!AA412</f>
        <v>22</v>
      </c>
      <c r="C515" s="155">
        <f>INPUT!AB412</f>
        <v>-4.3478260869565162</v>
      </c>
      <c r="D515" s="75">
        <f>INPUT!AC412</f>
        <v>24</v>
      </c>
      <c r="E515" s="155">
        <f>INPUT!AD412</f>
        <v>9.0909090909090793</v>
      </c>
      <c r="F515" s="75">
        <f>INPUT!AE412</f>
        <v>24</v>
      </c>
      <c r="G515" s="155">
        <f>INPUT!AF412</f>
        <v>9.0909090909090793</v>
      </c>
      <c r="H515" s="75">
        <f>INPUT!AG412</f>
        <v>26</v>
      </c>
      <c r="I515" s="155">
        <f>INPUT!AH412</f>
        <v>18.181818181818187</v>
      </c>
      <c r="J515" s="75">
        <f>INPUT!AI412</f>
        <v>22</v>
      </c>
      <c r="K515" s="155">
        <f>INPUT!AJ412</f>
        <v>0</v>
      </c>
      <c r="L515" s="75">
        <f>INPUT!AK412</f>
        <v>26</v>
      </c>
      <c r="M515" s="155">
        <f>INPUT!AL412</f>
        <v>8.3333333333333286</v>
      </c>
      <c r="N515" s="75">
        <f>INPUT!AM412</f>
        <v>24</v>
      </c>
      <c r="O515" s="155">
        <f>INPUT!AN412</f>
        <v>0</v>
      </c>
      <c r="P515" s="75">
        <f>INPUT!AO412</f>
        <v>29</v>
      </c>
      <c r="Q515" s="155">
        <f>INPUT!AP412</f>
        <v>11.538461538461547</v>
      </c>
      <c r="R515" s="75">
        <f>INPUT!AQ412</f>
        <v>23</v>
      </c>
      <c r="S515" s="155">
        <f>INPUT!AR412</f>
        <v>4.5454545454545467</v>
      </c>
      <c r="T515" s="75">
        <f>INPUT!AS412</f>
        <v>26</v>
      </c>
      <c r="U515" s="155">
        <f>INPUT!AT412</f>
        <v>0</v>
      </c>
      <c r="V515" s="75">
        <f>INPUT!AU412</f>
        <v>29</v>
      </c>
      <c r="W515" s="155">
        <f>INPUT!AV412</f>
        <v>20.833333333333329</v>
      </c>
      <c r="X515" s="75">
        <f>INPUT!AW412</f>
        <v>27</v>
      </c>
      <c r="Y515" s="155">
        <f>INPUT!AX412</f>
        <v>-6.8965517241379359</v>
      </c>
      <c r="Z515" s="75">
        <f>INPUT!AY412</f>
        <v>30</v>
      </c>
      <c r="AA515" s="155">
        <f>INPUT!AZ412</f>
        <v>30.434782608695656</v>
      </c>
      <c r="AB515" s="75">
        <f>INPUT!BA412</f>
        <v>34</v>
      </c>
      <c r="AC515" s="155">
        <f>INPUT!BB412</f>
        <v>30.769230769230774</v>
      </c>
      <c r="AD515" s="75">
        <f>INPUT!BC412</f>
        <v>39</v>
      </c>
      <c r="AE515" s="155">
        <f>INPUT!BD412</f>
        <v>34.482758620689651</v>
      </c>
      <c r="AF515" s="75">
        <f>INPUT!BE412</f>
        <v>42</v>
      </c>
      <c r="AG515" s="155">
        <f>INPUT!BF412</f>
        <v>55.555555555555571</v>
      </c>
      <c r="AH515" s="75">
        <f>INPUT!BG412</f>
        <v>43</v>
      </c>
      <c r="AI515" s="240">
        <f>INPUT!BH412</f>
        <v>43.333333333333343</v>
      </c>
      <c r="AJ515" s="75">
        <f>INPUT!BI412</f>
        <v>48</v>
      </c>
      <c r="AK515" s="240">
        <f>INPUT!BJ412</f>
        <v>41.176470588235304</v>
      </c>
      <c r="AL515" s="75">
        <f>INPUT!BK412</f>
        <v>48</v>
      </c>
      <c r="AM515" s="240">
        <f>INPUT!BL412</f>
        <v>23.07692307692308</v>
      </c>
      <c r="AN515" s="75">
        <f>INPUT!BM412</f>
        <v>54</v>
      </c>
      <c r="AO515" s="240">
        <f>INPUT!BN412</f>
        <v>28.571428571428584</v>
      </c>
      <c r="AP515" s="75">
        <f>INPUT!BO412</f>
        <v>57</v>
      </c>
      <c r="AQ515" s="240">
        <f>INPUT!BP412</f>
        <v>32.558139534883708</v>
      </c>
      <c r="AR515" s="75">
        <f>INPUT!BQ412</f>
        <v>61</v>
      </c>
      <c r="AS515" s="240">
        <f>INPUT!BR412</f>
        <v>27.083333333333329</v>
      </c>
      <c r="AT515" s="75">
        <f>INPUT!BS412</f>
        <v>64</v>
      </c>
      <c r="AU515" s="240">
        <f>INPUT!BT412</f>
        <v>33.333333333333314</v>
      </c>
      <c r="AV515" s="75">
        <f>INPUT!BU412</f>
        <v>67</v>
      </c>
      <c r="AW515" s="240">
        <f>INPUT!BV412</f>
        <v>24.074074074074076</v>
      </c>
      <c r="AX515" s="75">
        <f>INPUT!BW412</f>
        <v>71</v>
      </c>
      <c r="AY515" s="240">
        <f>INPUT!BX412</f>
        <v>24.561403508771946</v>
      </c>
      <c r="AZ515" s="75">
        <f>INPUT!BY412</f>
        <v>70</v>
      </c>
      <c r="BA515" s="240">
        <f>INPUT!BZ412</f>
        <v>14.754098360655732</v>
      </c>
      <c r="BB515" s="75">
        <f>INPUT!CA412</f>
        <v>74</v>
      </c>
      <c r="BC515" s="240">
        <f>INPUT!CB412</f>
        <v>15.625</v>
      </c>
      <c r="BD515" s="75">
        <f>INPUT!CC412</f>
        <v>79</v>
      </c>
      <c r="BE515" s="240">
        <f>INPUT!CD412</f>
        <v>17.910447761194035</v>
      </c>
      <c r="BF515" s="75">
        <f>INPUT!CE412</f>
        <v>81</v>
      </c>
      <c r="BG515" s="240">
        <f>INPUT!CF412</f>
        <v>14.08450704225352</v>
      </c>
      <c r="BH515" s="75">
        <f>INPUT!CG412</f>
        <v>83</v>
      </c>
      <c r="BI515" s="240">
        <f>INPUT!CH412</f>
        <v>18.571428571428569</v>
      </c>
      <c r="BJ515" s="75">
        <f>INPUT!CI412</f>
        <v>89</v>
      </c>
      <c r="BK515" s="240">
        <f>INPUT!CJ412</f>
        <v>20.27027027027026</v>
      </c>
      <c r="BL515" s="75">
        <f>INPUT!CK412</f>
        <v>96</v>
      </c>
      <c r="BM515" s="240">
        <f>INPUT!CL412</f>
        <v>21.51898734177216</v>
      </c>
      <c r="BN515" s="75">
        <f>INPUT!CM412</f>
        <v>99</v>
      </c>
      <c r="BO515" s="240">
        <f>INPUT!CN412</f>
        <v>22.222222222222229</v>
      </c>
      <c r="BP515" s="75">
        <f>INPUT!CO412</f>
        <v>193</v>
      </c>
      <c r="BQ515" s="240" t="str">
        <f>INPUT!CP412</f>
        <v>NM</v>
      </c>
      <c r="BR515" s="75">
        <f>INPUT!CQ412</f>
        <v>226</v>
      </c>
      <c r="BS515" s="240" t="str">
        <f>INPUT!CR412</f>
        <v>NM</v>
      </c>
      <c r="BT515" s="75">
        <f>INPUT!CS412</f>
        <v>215</v>
      </c>
      <c r="BU515" s="240" t="str">
        <f>INPUT!CT412</f>
        <v>NM</v>
      </c>
      <c r="BV515" s="75">
        <f>INPUT!CU412</f>
        <v>210</v>
      </c>
      <c r="BW515" s="240" t="str">
        <f>INPUT!CV412</f>
        <v>NM</v>
      </c>
      <c r="BX515" s="75">
        <f>INPUT!CW412</f>
        <v>209</v>
      </c>
      <c r="BY515" s="240">
        <f>INPUT!CX412</f>
        <v>8.2901554404145088</v>
      </c>
      <c r="BZ515" s="75">
        <f>INPUT!CY412</f>
        <v>223</v>
      </c>
      <c r="CA515" s="240">
        <f>INPUT!CZ412</f>
        <v>-1.3274336283185875</v>
      </c>
      <c r="CB515" s="75">
        <f>INPUT!DA412</f>
        <v>219</v>
      </c>
      <c r="CC515" s="240">
        <f>INPUT!DB412</f>
        <v>1.8604651162790589</v>
      </c>
      <c r="CD515" s="75">
        <f>INPUT!DC412</f>
        <v>198</v>
      </c>
      <c r="CE515" s="240">
        <f>INPUT!DD412</f>
        <v>-5.7142857142857224</v>
      </c>
      <c r="CF515" s="75">
        <f>INPUT!DE412</f>
        <v>178</v>
      </c>
      <c r="CG515" s="240">
        <f>INPUT!DF412</f>
        <v>-14.832535885167459</v>
      </c>
      <c r="CH515" s="75">
        <f>INPUT!DG412</f>
        <v>182</v>
      </c>
      <c r="CI515" s="240">
        <f>INPUT!DH412</f>
        <v>-18.38565022421524</v>
      </c>
      <c r="CJ515" s="75">
        <f>INPUT!DI412</f>
        <v>182</v>
      </c>
      <c r="CK515" s="240">
        <f>INPUT!DJ412</f>
        <v>-16.894977168949779</v>
      </c>
      <c r="CL515" s="75">
        <f>INPUT!DK412</f>
        <v>179</v>
      </c>
      <c r="CM515" s="240">
        <f>INPUT!DL412</f>
        <v>-9.5959595959595845</v>
      </c>
      <c r="CN515" s="75">
        <f>INPUT!DM412</f>
        <v>189</v>
      </c>
      <c r="CO515" s="240">
        <f>INPUT!DN412</f>
        <v>6.1797752808988804</v>
      </c>
      <c r="CP515" s="75">
        <f>INPUT!DO412</f>
        <v>197</v>
      </c>
      <c r="CQ515" s="240">
        <f>INPUT!DP412</f>
        <v>8.2417582417582338</v>
      </c>
      <c r="CR515" s="75">
        <f>INPUT!DQ412</f>
        <v>175</v>
      </c>
      <c r="CS515" s="240">
        <f>INPUT!DR412</f>
        <v>-3.8461538461538396</v>
      </c>
      <c r="CT515" s="75">
        <f>INPUT!DS412</f>
        <v>169</v>
      </c>
      <c r="CU515" s="240">
        <f>INPUT!DT412</f>
        <v>-5.5865921787709567</v>
      </c>
      <c r="CV515" s="75">
        <f>INPUT!DU412</f>
        <v>176</v>
      </c>
      <c r="CW515" s="240">
        <f>INPUT!DV412</f>
        <v>-6.878306878306887</v>
      </c>
      <c r="CX515" s="75">
        <f>INPUT!DW412</f>
        <v>165</v>
      </c>
      <c r="CY515" s="240">
        <f>INPUT!DX412</f>
        <v>-16.243654822335031</v>
      </c>
      <c r="CZ515" s="75">
        <f>INPUT!DY412</f>
        <v>166</v>
      </c>
      <c r="DA515" s="240">
        <f>INPUT!DZ412</f>
        <v>-5.1428571428571388</v>
      </c>
      <c r="DB515" s="75">
        <f>INPUT!EA412</f>
        <v>168</v>
      </c>
      <c r="DC515" s="240">
        <f>INPUT!EB412</f>
        <v>-0.59171597633135775</v>
      </c>
      <c r="DD515" s="75">
        <f>INPUT!EC412</f>
        <v>174</v>
      </c>
      <c r="DE515" s="240">
        <f>INPUT!ED412</f>
        <v>-1.1363636363636402</v>
      </c>
      <c r="DF515" s="75">
        <f>INPUT!EE412</f>
        <v>173</v>
      </c>
      <c r="DG515" s="240">
        <f>INPUT!EF412</f>
        <v>4.8484848484848584</v>
      </c>
      <c r="DH515" s="75">
        <f>INPUT!EG412</f>
        <v>171</v>
      </c>
      <c r="DI515" s="240">
        <f>INPUT!EH412</f>
        <v>3.0120481927710756</v>
      </c>
      <c r="DJ515" s="75">
        <f>INPUT!EI412</f>
        <v>164</v>
      </c>
      <c r="DK515" s="240">
        <f>INPUT!EJ412</f>
        <v>-2.3809523809523796</v>
      </c>
      <c r="DL515" s="75">
        <f>INPUT!EK412</f>
        <v>166</v>
      </c>
      <c r="DM515" s="240">
        <f>INPUT!EL412</f>
        <v>-4.5977011494252906</v>
      </c>
      <c r="DN515" s="75">
        <f>INPUT!EM412</f>
        <v>166</v>
      </c>
      <c r="DO515" s="240">
        <f>INPUT!EN412</f>
        <v>-4.0462427745664797</v>
      </c>
      <c r="DP515" s="75">
        <f>INPUT!EO412</f>
        <v>165</v>
      </c>
      <c r="DQ515" s="240">
        <f>INPUT!EP412</f>
        <v>-3.5087719298245617</v>
      </c>
      <c r="DR515" s="75">
        <f>INPUT!EQ412</f>
        <v>157.29838709677421</v>
      </c>
      <c r="DS515" s="240">
        <f>INPUT!ER412</f>
        <v>-4.0863493312352404</v>
      </c>
      <c r="DT515" s="75">
        <f>INPUT!ES412</f>
        <v>160.74</v>
      </c>
      <c r="DU515" s="240">
        <f>INPUT!ET412</f>
        <v>-3.1686746987951722</v>
      </c>
      <c r="DV515" s="75">
        <f>INPUT!EU412</f>
        <v>160.74</v>
      </c>
      <c r="DW515" s="240">
        <f>INPUT!EV412</f>
        <v>-3.1686746987951722</v>
      </c>
      <c r="DX515" s="75">
        <f>INPUT!EW412</f>
        <v>160.74</v>
      </c>
      <c r="DY515" s="240">
        <f>INPUT!EX412</f>
        <v>-2.5818181818181785</v>
      </c>
      <c r="DZ515" s="75"/>
      <c r="EA515" s="240"/>
      <c r="EB515" s="498" t="str">
        <f>INPUT!FI412</f>
        <v>NA</v>
      </c>
      <c r="EC515" s="75">
        <f>INPUT!FJ412</f>
        <v>89</v>
      </c>
      <c r="ED515" s="155">
        <f>INPUT!FK412</f>
        <v>32.835820895522403</v>
      </c>
      <c r="EE515" s="75">
        <f>INPUT!FL412</f>
        <v>96</v>
      </c>
      <c r="EF515" s="155">
        <f>INPUT!FM412</f>
        <v>7.8651685393258362</v>
      </c>
      <c r="EG515" s="75">
        <f>INPUT!FN412</f>
        <v>101</v>
      </c>
      <c r="EH515" s="155">
        <f>INPUT!FO412</f>
        <v>5.2083333333333286</v>
      </c>
      <c r="EI515" s="75">
        <f>INPUT!FP412</f>
        <v>105</v>
      </c>
      <c r="EJ515" s="240">
        <f>INPUT!FQ412</f>
        <v>3.9603960396039639</v>
      </c>
      <c r="EK515" s="75">
        <f>INPUT!FR412</f>
        <v>145</v>
      </c>
      <c r="EL515" s="240">
        <f>INPUT!FS412</f>
        <v>38.095238095238102</v>
      </c>
      <c r="EM515" s="75">
        <f>INPUT!FT412</f>
        <v>193</v>
      </c>
      <c r="EN515" s="240">
        <f>INPUT!FU412</f>
        <v>33.103448275862064</v>
      </c>
      <c r="EO515" s="75">
        <f>INPUT!FV412</f>
        <v>249</v>
      </c>
      <c r="EP515" s="240">
        <f>INPUT!FW412</f>
        <v>29.015544041450767</v>
      </c>
      <c r="EQ515" s="75">
        <f>INPUT!FX412</f>
        <v>294</v>
      </c>
      <c r="ER515" s="240">
        <f>INPUT!FY412</f>
        <v>18.07228915662651</v>
      </c>
      <c r="ES515" s="75">
        <f>INPUT!FZ412</f>
        <v>349</v>
      </c>
      <c r="ET515" s="240">
        <f>INPUT!GA412</f>
        <v>18.707482993197289</v>
      </c>
      <c r="EU515" s="75">
        <f>INPUT!GB412</f>
        <v>733</v>
      </c>
      <c r="EV515" s="240" t="str">
        <f>INPUT!GC412</f>
        <v>NM</v>
      </c>
      <c r="EW515" s="75">
        <f>INPUT!GD412</f>
        <v>861</v>
      </c>
      <c r="EX515" s="240">
        <f>INPUT!GE412</f>
        <v>17.462482946793997</v>
      </c>
      <c r="EY515" s="75">
        <f>INPUT!GF412</f>
        <v>740</v>
      </c>
      <c r="EZ515" s="240">
        <f>INPUT!GG412</f>
        <v>-14.053426248548192</v>
      </c>
      <c r="FA515" s="75">
        <f>INPUT!GH412</f>
        <v>740</v>
      </c>
      <c r="FB515" s="240">
        <f>INPUT!GI412</f>
        <v>0</v>
      </c>
      <c r="FC515" s="75">
        <f>INPUT!GJ412</f>
        <v>676</v>
      </c>
      <c r="FD515" s="240">
        <f>INPUT!GK412</f>
        <v>-8.6486486486486456</v>
      </c>
      <c r="FE515" s="75">
        <f>INPUT!GL412</f>
        <v>686</v>
      </c>
      <c r="FF515" s="240">
        <f>INPUT!GM412</f>
        <v>1.4792899408283944</v>
      </c>
      <c r="FG515" s="75">
        <f>INPUT!GN412</f>
        <v>661</v>
      </c>
      <c r="FH515" s="240">
        <f>INPUT!GO412</f>
        <v>-3.6443148688046705</v>
      </c>
      <c r="FI515" s="75">
        <f>INPUT!GP412</f>
        <v>639.51838709677418</v>
      </c>
      <c r="FJ515" s="240">
        <f>INPUT!GQ412</f>
        <v>-3.2498657947391649</v>
      </c>
      <c r="FK515" s="75">
        <f>INPUT!GR412</f>
        <v>653.03407096774185</v>
      </c>
      <c r="FL515" s="240">
        <f>INPUT!GS412</f>
        <v>2.1134159929826097</v>
      </c>
      <c r="FM515" s="75">
        <f>INPUT!GT412</f>
        <v>673.94782167741926</v>
      </c>
      <c r="FN515" s="240">
        <f>INPUT!GU412</f>
        <v>3.2025512357548109</v>
      </c>
      <c r="FO515" s="75">
        <f>INPUT!GV412</f>
        <v>695.21454399419338</v>
      </c>
      <c r="FP515" s="240">
        <f>INPUT!GW412</f>
        <v>3.1555443363319142</v>
      </c>
      <c r="FQ515" s="75">
        <f>INPUT!GX412</f>
        <v>716.83920597513531</v>
      </c>
      <c r="FR515" s="240">
        <f>INPUT!GY412</f>
        <v>3.1105019547926105</v>
      </c>
      <c r="FS515" s="240">
        <f>INPUT!GZ412</f>
        <v>1.6351794069707548</v>
      </c>
    </row>
    <row r="516" spans="1:176" ht="12.75" hidden="1" customHeight="1" outlineLevel="1" x14ac:dyDescent="0.2">
      <c r="A516" s="77" t="str">
        <f>INPUT!B413</f>
        <v>Interest Expense</v>
      </c>
      <c r="B516" s="75">
        <f>INPUT!AA413</f>
        <v>-3</v>
      </c>
      <c r="C516" s="155" t="str">
        <f>INPUT!AB413</f>
        <v>NM</v>
      </c>
      <c r="D516" s="75">
        <f>INPUT!AC413</f>
        <v>-2</v>
      </c>
      <c r="E516" s="155">
        <f>INPUT!AD413</f>
        <v>100</v>
      </c>
      <c r="F516" s="75">
        <f>INPUT!AE413</f>
        <v>-2</v>
      </c>
      <c r="G516" s="155">
        <f>INPUT!AF413</f>
        <v>100</v>
      </c>
      <c r="H516" s="75">
        <f>INPUT!AG413</f>
        <v>-2</v>
      </c>
      <c r="I516" s="155" t="str">
        <f>INPUT!AH413</f>
        <v>NA</v>
      </c>
      <c r="J516" s="75">
        <f>INPUT!AI413</f>
        <v>-3</v>
      </c>
      <c r="K516" s="155">
        <f>INPUT!AJ413</f>
        <v>0</v>
      </c>
      <c r="L516" s="75">
        <f>INPUT!AK413</f>
        <v>-1</v>
      </c>
      <c r="M516" s="155">
        <f>INPUT!AL413</f>
        <v>-50</v>
      </c>
      <c r="N516" s="75">
        <f>INPUT!AM413</f>
        <v>-2</v>
      </c>
      <c r="O516" s="155">
        <f>INPUT!AN413</f>
        <v>0</v>
      </c>
      <c r="P516" s="75">
        <f>INPUT!AO413</f>
        <v>-1</v>
      </c>
      <c r="Q516" s="155">
        <f>INPUT!AP413</f>
        <v>-50</v>
      </c>
      <c r="R516" s="75">
        <f>INPUT!AQ413</f>
        <v>-1</v>
      </c>
      <c r="S516" s="155" t="str">
        <f>INPUT!AR413</f>
        <v>NM</v>
      </c>
      <c r="T516" s="75">
        <f>INPUT!AS413</f>
        <v>0</v>
      </c>
      <c r="U516" s="155" t="str">
        <f>INPUT!AT413</f>
        <v>NM</v>
      </c>
      <c r="V516" s="75">
        <f>INPUT!AU413</f>
        <v>0</v>
      </c>
      <c r="W516" s="155" t="str">
        <f>INPUT!AV413</f>
        <v>NM</v>
      </c>
      <c r="X516" s="75">
        <f>INPUT!AW413</f>
        <v>0</v>
      </c>
      <c r="Y516" s="155" t="str">
        <f>INPUT!AX413</f>
        <v>NM</v>
      </c>
      <c r="Z516" s="75">
        <f>INPUT!AY413</f>
        <v>0</v>
      </c>
      <c r="AA516" s="155" t="str">
        <f>INPUT!AZ413</f>
        <v>NM</v>
      </c>
      <c r="AB516" s="75">
        <f>INPUT!BA413</f>
        <v>0</v>
      </c>
      <c r="AC516" s="155" t="str">
        <f>INPUT!BB413</f>
        <v>NA</v>
      </c>
      <c r="AD516" s="75">
        <f>INPUT!BC413</f>
        <v>0</v>
      </c>
      <c r="AE516" s="155" t="str">
        <f>INPUT!BD413</f>
        <v>NA</v>
      </c>
      <c r="AF516" s="75">
        <f>INPUT!BE413</f>
        <v>-2</v>
      </c>
      <c r="AG516" s="155" t="str">
        <f>INPUT!BF413</f>
        <v>NA</v>
      </c>
      <c r="AH516" s="75">
        <f>INPUT!BG413</f>
        <v>-2</v>
      </c>
      <c r="AI516" s="240" t="str">
        <f>INPUT!BH413</f>
        <v>NA</v>
      </c>
      <c r="AJ516" s="75">
        <f>INPUT!BI413</f>
        <v>-2</v>
      </c>
      <c r="AK516" s="240" t="str">
        <f>INPUT!BJ413</f>
        <v>NA</v>
      </c>
      <c r="AL516" s="75">
        <f>INPUT!BK413</f>
        <v>4</v>
      </c>
      <c r="AM516" s="240" t="str">
        <f>INPUT!BL413</f>
        <v>NA</v>
      </c>
      <c r="AN516" s="75">
        <f>INPUT!BM413</f>
        <v>1</v>
      </c>
      <c r="AO516" s="240" t="str">
        <f>INPUT!BN413</f>
        <v>NM</v>
      </c>
      <c r="AP516" s="75">
        <f>INPUT!BO413</f>
        <v>-2</v>
      </c>
      <c r="AQ516" s="240">
        <f>INPUT!BP413</f>
        <v>0</v>
      </c>
      <c r="AR516" s="75">
        <f>INPUT!BQ413</f>
        <v>-2</v>
      </c>
      <c r="AS516" s="240">
        <f>INPUT!BR413</f>
        <v>0</v>
      </c>
      <c r="AT516" s="75">
        <f>INPUT!BS413</f>
        <v>-2</v>
      </c>
      <c r="AU516" s="240" t="str">
        <f>INPUT!BT413</f>
        <v>NM</v>
      </c>
      <c r="AV516" s="75">
        <f>INPUT!BU413</f>
        <v>-2</v>
      </c>
      <c r="AW516" s="240" t="str">
        <f>INPUT!BV413</f>
        <v>NM</v>
      </c>
      <c r="AX516" s="75">
        <f>INPUT!BW413</f>
        <v>-2</v>
      </c>
      <c r="AY516" s="240">
        <f>INPUT!BX413</f>
        <v>0</v>
      </c>
      <c r="AZ516" s="75">
        <f>INPUT!BY413</f>
        <v>2</v>
      </c>
      <c r="BA516" s="240" t="str">
        <f>INPUT!BZ413</f>
        <v>NM</v>
      </c>
      <c r="BB516" s="75">
        <f>INPUT!CA413</f>
        <v>1</v>
      </c>
      <c r="BC516" s="240" t="str">
        <f>INPUT!CB413</f>
        <v>NM</v>
      </c>
      <c r="BD516" s="75">
        <f>INPUT!CC413</f>
        <v>0</v>
      </c>
      <c r="BE516" s="240" t="str">
        <f>INPUT!CD413</f>
        <v>NM</v>
      </c>
      <c r="BF516" s="75">
        <f>INPUT!CE413</f>
        <v>0</v>
      </c>
      <c r="BG516" s="240" t="str">
        <f>INPUT!CF413</f>
        <v>NM</v>
      </c>
      <c r="BH516" s="75">
        <f>INPUT!CG413</f>
        <v>0</v>
      </c>
      <c r="BI516" s="240" t="str">
        <f>INPUT!CH413</f>
        <v>NM</v>
      </c>
      <c r="BJ516" s="75">
        <f>INPUT!CI413</f>
        <v>1</v>
      </c>
      <c r="BK516" s="240">
        <f>INPUT!CJ413</f>
        <v>0</v>
      </c>
      <c r="BL516" s="75">
        <f>INPUT!CK413</f>
        <v>0</v>
      </c>
      <c r="BM516" s="240" t="str">
        <f>INPUT!CL413</f>
        <v>NA</v>
      </c>
      <c r="BN516" s="75">
        <f>INPUT!CM413</f>
        <v>0</v>
      </c>
      <c r="BO516" s="240" t="str">
        <f>INPUT!CN413</f>
        <v>NA</v>
      </c>
      <c r="BP516" s="75">
        <f>INPUT!CO413</f>
        <v>1</v>
      </c>
      <c r="BQ516" s="240" t="str">
        <f>INPUT!CP413</f>
        <v>NA</v>
      </c>
      <c r="BR516" s="75">
        <f>INPUT!CQ413</f>
        <v>0</v>
      </c>
      <c r="BS516" s="240" t="str">
        <f>INPUT!CR413</f>
        <v>NM</v>
      </c>
      <c r="BT516" s="75">
        <f>INPUT!CS413</f>
        <v>1</v>
      </c>
      <c r="BU516" s="240" t="str">
        <f>INPUT!CT413</f>
        <v>NA</v>
      </c>
      <c r="BV516" s="75">
        <f>INPUT!CU413</f>
        <v>1</v>
      </c>
      <c r="BW516" s="240" t="str">
        <f>INPUT!CV413</f>
        <v>NA</v>
      </c>
      <c r="BX516" s="75">
        <f>INPUT!CW413</f>
        <v>-1</v>
      </c>
      <c r="BY516" s="240" t="str">
        <f>INPUT!CX413</f>
        <v>NM</v>
      </c>
      <c r="BZ516" s="75">
        <f>INPUT!CY413</f>
        <v>1</v>
      </c>
      <c r="CA516" s="240" t="str">
        <f>INPUT!CZ413</f>
        <v>NA</v>
      </c>
      <c r="CB516" s="75">
        <f>INPUT!DA413</f>
        <v>2</v>
      </c>
      <c r="CC516" s="240">
        <f>INPUT!DB413</f>
        <v>100</v>
      </c>
      <c r="CD516" s="75">
        <f>INPUT!DC413</f>
        <v>0</v>
      </c>
      <c r="CE516" s="240" t="str">
        <f>INPUT!DD413</f>
        <v>NM</v>
      </c>
      <c r="CF516" s="75">
        <f>INPUT!DE413</f>
        <v>0</v>
      </c>
      <c r="CG516" s="240" t="str">
        <f>INPUT!DF413</f>
        <v>NM</v>
      </c>
      <c r="CH516" s="75">
        <f>INPUT!DG413</f>
        <v>0</v>
      </c>
      <c r="CI516" s="240" t="str">
        <f>INPUT!DH413</f>
        <v>NM</v>
      </c>
      <c r="CJ516" s="75">
        <f>INPUT!DI413</f>
        <v>1</v>
      </c>
      <c r="CK516" s="240">
        <f>INPUT!DJ413</f>
        <v>-50</v>
      </c>
      <c r="CL516" s="75">
        <f>INPUT!DK413</f>
        <v>0</v>
      </c>
      <c r="CM516" s="240" t="str">
        <f>INPUT!DL413</f>
        <v>NA</v>
      </c>
      <c r="CN516" s="75">
        <f>INPUT!DM413</f>
        <v>1</v>
      </c>
      <c r="CO516" s="240" t="str">
        <f>INPUT!DN413</f>
        <v>NA</v>
      </c>
      <c r="CP516" s="75">
        <f>INPUT!DO413</f>
        <v>0</v>
      </c>
      <c r="CQ516" s="240" t="str">
        <f>INPUT!DP413</f>
        <v>NA</v>
      </c>
      <c r="CR516" s="75">
        <f>INPUT!DQ413</f>
        <v>1</v>
      </c>
      <c r="CS516" s="240">
        <f>INPUT!DR413</f>
        <v>0</v>
      </c>
      <c r="CT516" s="75">
        <f>INPUT!DS413</f>
        <v>0</v>
      </c>
      <c r="CU516" s="240" t="str">
        <f>INPUT!DT413</f>
        <v>NA</v>
      </c>
      <c r="CV516" s="75">
        <f>INPUT!DU413</f>
        <v>1</v>
      </c>
      <c r="CW516" s="240">
        <f>INPUT!DV413</f>
        <v>0</v>
      </c>
      <c r="CX516" s="75">
        <f>INPUT!DW413</f>
        <v>1</v>
      </c>
      <c r="CY516" s="240" t="str">
        <f>INPUT!DX413</f>
        <v>NA</v>
      </c>
      <c r="CZ516" s="75">
        <f>INPUT!DY413</f>
        <v>0</v>
      </c>
      <c r="DA516" s="240" t="str">
        <f>INPUT!DZ413</f>
        <v>NM</v>
      </c>
      <c r="DB516" s="75">
        <f>INPUT!EA413</f>
        <v>1</v>
      </c>
      <c r="DC516" s="240" t="str">
        <f>INPUT!EB413</f>
        <v>NA</v>
      </c>
      <c r="DD516" s="75">
        <f>INPUT!EC413</f>
        <v>0</v>
      </c>
      <c r="DE516" s="240" t="str">
        <f>INPUT!ED413</f>
        <v>NM</v>
      </c>
      <c r="DF516" s="75">
        <f>INPUT!EE413</f>
        <v>1</v>
      </c>
      <c r="DG516" s="240">
        <f>INPUT!EF413</f>
        <v>0</v>
      </c>
      <c r="DH516" s="75">
        <f>INPUT!EG413</f>
        <v>1</v>
      </c>
      <c r="DI516" s="240" t="str">
        <f>INPUT!EH413</f>
        <v>NA</v>
      </c>
      <c r="DJ516" s="75">
        <f>INPUT!EI413</f>
        <v>1</v>
      </c>
      <c r="DK516" s="240">
        <f>INPUT!EJ413</f>
        <v>0</v>
      </c>
      <c r="DL516" s="75">
        <f>INPUT!EK413</f>
        <v>1</v>
      </c>
      <c r="DM516" s="240" t="str">
        <f>INPUT!EL413</f>
        <v>NA</v>
      </c>
      <c r="DN516" s="75">
        <f>INPUT!EM413</f>
        <v>2</v>
      </c>
      <c r="DO516" s="240">
        <f>INPUT!EN413</f>
        <v>100</v>
      </c>
      <c r="DP516" s="75">
        <f>INPUT!EO413</f>
        <v>1</v>
      </c>
      <c r="DQ516" s="240">
        <f>INPUT!EP413</f>
        <v>0</v>
      </c>
      <c r="DR516" s="75">
        <f>INPUT!EQ413</f>
        <v>1</v>
      </c>
      <c r="DS516" s="240">
        <f>INPUT!ER413</f>
        <v>0</v>
      </c>
      <c r="DT516" s="75">
        <f>INPUT!ES413</f>
        <v>1</v>
      </c>
      <c r="DU516" s="240">
        <f>INPUT!ET413</f>
        <v>0</v>
      </c>
      <c r="DV516" s="75">
        <f>INPUT!EU413</f>
        <v>1</v>
      </c>
      <c r="DW516" s="240">
        <f>INPUT!EV413</f>
        <v>-50</v>
      </c>
      <c r="DX516" s="75">
        <f>INPUT!EW413</f>
        <v>1</v>
      </c>
      <c r="DY516" s="240">
        <f>INPUT!EX413</f>
        <v>0</v>
      </c>
      <c r="DZ516" s="75"/>
      <c r="EA516" s="240"/>
      <c r="EB516" s="498" t="str">
        <f>INPUT!FI413</f>
        <v>NA</v>
      </c>
      <c r="EC516" s="75">
        <f>INPUT!FJ413</f>
        <v>-3</v>
      </c>
      <c r="ED516" s="155" t="str">
        <f>INPUT!FK413</f>
        <v>NM</v>
      </c>
      <c r="EE516" s="75">
        <f>INPUT!FL413</f>
        <v>-9</v>
      </c>
      <c r="EF516" s="155" t="str">
        <f>INPUT!FM413</f>
        <v>NM</v>
      </c>
      <c r="EG516" s="75">
        <f>INPUT!FN413</f>
        <v>-7</v>
      </c>
      <c r="EH516" s="155">
        <f>INPUT!FO413</f>
        <v>-22.222222222222214</v>
      </c>
      <c r="EI516" s="75">
        <f>INPUT!FP413</f>
        <v>-1</v>
      </c>
      <c r="EJ516" s="240" t="str">
        <f>INPUT!FQ413</f>
        <v>NM</v>
      </c>
      <c r="EK516" s="75">
        <f>INPUT!FR413</f>
        <v>-2</v>
      </c>
      <c r="EL516" s="240">
        <f>INPUT!FS413</f>
        <v>100</v>
      </c>
      <c r="EM516" s="75">
        <f>INPUT!FT413</f>
        <v>1</v>
      </c>
      <c r="EN516" s="240" t="str">
        <f>INPUT!FU413</f>
        <v>NM</v>
      </c>
      <c r="EO516" s="75">
        <f>INPUT!FV413</f>
        <v>-5</v>
      </c>
      <c r="EP516" s="240" t="str">
        <f>INPUT!FW413</f>
        <v>NM</v>
      </c>
      <c r="EQ516" s="75">
        <f>INPUT!FX413</f>
        <v>1</v>
      </c>
      <c r="ER516" s="240" t="str">
        <f>INPUT!FY413</f>
        <v>NM</v>
      </c>
      <c r="ES516" s="75">
        <f>INPUT!FZ413</f>
        <v>1</v>
      </c>
      <c r="ET516" s="240">
        <f>INPUT!GA413</f>
        <v>0</v>
      </c>
      <c r="EU516" s="75">
        <f>INPUT!GB413</f>
        <v>2</v>
      </c>
      <c r="EV516" s="240">
        <f>INPUT!GC413</f>
        <v>100</v>
      </c>
      <c r="EW516" s="75">
        <f>INPUT!GD413</f>
        <v>3</v>
      </c>
      <c r="EX516" s="240">
        <f>INPUT!GE413</f>
        <v>50</v>
      </c>
      <c r="EY516" s="75">
        <f>INPUT!GF413</f>
        <v>1</v>
      </c>
      <c r="EZ516" s="240" t="str">
        <f>INPUT!GG413</f>
        <v>NM</v>
      </c>
      <c r="FA516" s="75">
        <f>INPUT!GH413</f>
        <v>2</v>
      </c>
      <c r="FB516" s="240">
        <f>INPUT!GI413</f>
        <v>100</v>
      </c>
      <c r="FC516" s="75">
        <f>INPUT!GJ413</f>
        <v>2</v>
      </c>
      <c r="FD516" s="240">
        <f>INPUT!GK413</f>
        <v>0</v>
      </c>
      <c r="FE516" s="75">
        <f>INPUT!GL413</f>
        <v>3</v>
      </c>
      <c r="FF516" s="240">
        <f>INPUT!GM413</f>
        <v>50</v>
      </c>
      <c r="FG516" s="75">
        <f>INPUT!GN413</f>
        <v>5</v>
      </c>
      <c r="FH516" s="240">
        <f>INPUT!GO413</f>
        <v>66.666666666666686</v>
      </c>
      <c r="FI516" s="75">
        <f>INPUT!GP413</f>
        <v>4</v>
      </c>
      <c r="FJ516" s="240">
        <f>INPUT!GQ413</f>
        <v>-20</v>
      </c>
      <c r="FK516" s="75">
        <f>INPUT!GR413</f>
        <v>4</v>
      </c>
      <c r="FL516" s="240">
        <f>INPUT!GS413</f>
        <v>0</v>
      </c>
      <c r="FM516" s="75">
        <f>INPUT!GT413</f>
        <v>4</v>
      </c>
      <c r="FN516" s="240">
        <f>INPUT!GU413</f>
        <v>0</v>
      </c>
      <c r="FO516" s="75">
        <f>INPUT!GV413</f>
        <v>4</v>
      </c>
      <c r="FP516" s="240">
        <f>INPUT!GW413</f>
        <v>0</v>
      </c>
      <c r="FQ516" s="75">
        <f>INPUT!GX413</f>
        <v>4</v>
      </c>
      <c r="FR516" s="240">
        <f>INPUT!GY413</f>
        <v>0</v>
      </c>
      <c r="FS516" s="240">
        <f>INPUT!GZ413</f>
        <v>-4.3647500209962997</v>
      </c>
    </row>
    <row r="517" spans="1:176" ht="12.75" hidden="1" customHeight="1" outlineLevel="1" x14ac:dyDescent="0.2">
      <c r="A517" s="77" t="str">
        <f>INPUT!B414</f>
        <v>Operating Expenses</v>
      </c>
      <c r="B517" s="75">
        <f>INPUT!AA414</f>
        <v>177</v>
      </c>
      <c r="C517" s="155">
        <f>INPUT!AB414</f>
        <v>14.193548387096769</v>
      </c>
      <c r="D517" s="75">
        <f>INPUT!AC414</f>
        <v>201</v>
      </c>
      <c r="E517" s="155">
        <f>INPUT!AD414</f>
        <v>14.204545454545453</v>
      </c>
      <c r="F517" s="75">
        <f>INPUT!AE414</f>
        <v>160</v>
      </c>
      <c r="G517" s="155">
        <f>INPUT!AF414</f>
        <v>-0.62111801242235742</v>
      </c>
      <c r="H517" s="75">
        <f>INPUT!AG414</f>
        <v>176</v>
      </c>
      <c r="I517" s="155">
        <f>INPUT!AH414</f>
        <v>19.72789115646259</v>
      </c>
      <c r="J517" s="75">
        <f>INPUT!AI414</f>
        <v>174</v>
      </c>
      <c r="K517" s="155">
        <f>INPUT!AJ414</f>
        <v>-1.6949152542372872</v>
      </c>
      <c r="L517" s="75">
        <f>INPUT!AK414</f>
        <v>175</v>
      </c>
      <c r="M517" s="155">
        <f>INPUT!AL414</f>
        <v>-12.93532338308458</v>
      </c>
      <c r="N517" s="75">
        <f>INPUT!AM414</f>
        <v>170</v>
      </c>
      <c r="O517" s="155">
        <f>INPUT!AN414</f>
        <v>6.25</v>
      </c>
      <c r="P517" s="75">
        <f>INPUT!AO414</f>
        <v>181</v>
      </c>
      <c r="Q517" s="155">
        <f>INPUT!AP414</f>
        <v>2.8409090909090793</v>
      </c>
      <c r="R517" s="75">
        <f>INPUT!AQ414</f>
        <v>177</v>
      </c>
      <c r="S517" s="155">
        <f>INPUT!AR414</f>
        <v>1.7241379310344769</v>
      </c>
      <c r="T517" s="75">
        <f>INPUT!AS414</f>
        <v>187</v>
      </c>
      <c r="U517" s="155">
        <f>INPUT!AT414</f>
        <v>6.857142857142847</v>
      </c>
      <c r="V517" s="75">
        <f>INPUT!AU414</f>
        <v>167</v>
      </c>
      <c r="W517" s="155">
        <f>INPUT!AV414</f>
        <v>-1.764705882352942</v>
      </c>
      <c r="X517" s="75">
        <f>INPUT!AW414</f>
        <v>194</v>
      </c>
      <c r="Y517" s="155">
        <f>INPUT!AX414</f>
        <v>7.1823204419889493</v>
      </c>
      <c r="Z517" s="75">
        <f>INPUT!AY414</f>
        <v>177</v>
      </c>
      <c r="AA517" s="155">
        <f>INPUT!AZ414</f>
        <v>0</v>
      </c>
      <c r="AB517" s="75">
        <f>INPUT!BA414</f>
        <v>198</v>
      </c>
      <c r="AC517" s="155">
        <f>INPUT!BB414</f>
        <v>5.8823529411764781</v>
      </c>
      <c r="AD517" s="75">
        <f>INPUT!BC414</f>
        <v>189</v>
      </c>
      <c r="AE517" s="155">
        <f>INPUT!BD414</f>
        <v>13.173652694610766</v>
      </c>
      <c r="AF517" s="75">
        <f>INPUT!BE414</f>
        <v>176</v>
      </c>
      <c r="AG517" s="155">
        <f>INPUT!BF414</f>
        <v>-9.278350515463913</v>
      </c>
      <c r="AH517" s="75">
        <f>INPUT!BG414</f>
        <v>173</v>
      </c>
      <c r="AI517" s="240">
        <f>INPUT!BH414</f>
        <v>-2.2598870056497162</v>
      </c>
      <c r="AJ517" s="75">
        <f>INPUT!BI414</f>
        <v>171</v>
      </c>
      <c r="AK517" s="240">
        <f>INPUT!BJ414</f>
        <v>-13.63636363636364</v>
      </c>
      <c r="AL517" s="75">
        <f>INPUT!BK414</f>
        <v>167</v>
      </c>
      <c r="AM517" s="240">
        <f>INPUT!BL414</f>
        <v>-11.640211640211646</v>
      </c>
      <c r="AN517" s="75">
        <f>INPUT!BM414</f>
        <v>190</v>
      </c>
      <c r="AO517" s="240">
        <f>INPUT!BN414</f>
        <v>7.9545454545454533</v>
      </c>
      <c r="AP517" s="75">
        <f>INPUT!BO414</f>
        <v>187</v>
      </c>
      <c r="AQ517" s="240">
        <f>INPUT!BP414</f>
        <v>8.0924855491329595</v>
      </c>
      <c r="AR517" s="75">
        <f>INPUT!BQ414</f>
        <v>219</v>
      </c>
      <c r="AS517" s="240">
        <f>INPUT!BR414</f>
        <v>28.070175438596493</v>
      </c>
      <c r="AT517" s="75">
        <f>INPUT!BS414</f>
        <v>193</v>
      </c>
      <c r="AU517" s="240">
        <f>INPUT!BT414</f>
        <v>15.568862275449092</v>
      </c>
      <c r="AV517" s="75">
        <f>INPUT!BU414</f>
        <v>215</v>
      </c>
      <c r="AW517" s="240">
        <f>INPUT!BV414</f>
        <v>13.157894736842096</v>
      </c>
      <c r="AX517" s="75">
        <f>INPUT!BW414</f>
        <v>264</v>
      </c>
      <c r="AY517" s="240">
        <f>INPUT!BX414</f>
        <v>41.176470588235304</v>
      </c>
      <c r="AZ517" s="75">
        <f>INPUT!BY414</f>
        <v>261</v>
      </c>
      <c r="BA517" s="240">
        <f>INPUT!BZ414</f>
        <v>19.178082191780831</v>
      </c>
      <c r="BB517" s="75">
        <f>INPUT!CA414</f>
        <v>264</v>
      </c>
      <c r="BC517" s="240">
        <f>INPUT!CB414</f>
        <v>36.787564766839381</v>
      </c>
      <c r="BD517" s="75">
        <f>INPUT!CC414</f>
        <v>304</v>
      </c>
      <c r="BE517" s="240">
        <f>INPUT!CD414</f>
        <v>41.395348837209298</v>
      </c>
      <c r="BF517" s="75">
        <f>INPUT!CE414</f>
        <v>298</v>
      </c>
      <c r="BG517" s="240">
        <f>INPUT!CF414</f>
        <v>12.87878787878789</v>
      </c>
      <c r="BH517" s="75">
        <f>INPUT!CG414</f>
        <v>306</v>
      </c>
      <c r="BI517" s="240">
        <f>INPUT!CH414</f>
        <v>17.241379310344811</v>
      </c>
      <c r="BJ517" s="75">
        <f>INPUT!CI414</f>
        <v>317</v>
      </c>
      <c r="BK517" s="240">
        <f>INPUT!CJ414</f>
        <v>20.075757575757564</v>
      </c>
      <c r="BL517" s="75">
        <f>INPUT!CK414</f>
        <v>355</v>
      </c>
      <c r="BM517" s="240">
        <f>INPUT!CL414</f>
        <v>16.776315789473699</v>
      </c>
      <c r="BN517" s="75">
        <f>INPUT!CM414</f>
        <v>536</v>
      </c>
      <c r="BO517" s="240">
        <f>INPUT!CN414</f>
        <v>79.865771812080538</v>
      </c>
      <c r="BP517" s="75">
        <f>INPUT!CO414</f>
        <v>946</v>
      </c>
      <c r="BQ517" s="240" t="str">
        <f>INPUT!CP414</f>
        <v>NM</v>
      </c>
      <c r="BR517" s="75">
        <f>INPUT!CQ414</f>
        <v>958</v>
      </c>
      <c r="BS517" s="240" t="str">
        <f>INPUT!CR414</f>
        <v>NM</v>
      </c>
      <c r="BT517" s="75">
        <f>INPUT!CS414</f>
        <v>994</v>
      </c>
      <c r="BU517" s="240" t="str">
        <f>INPUT!CT414</f>
        <v>NM</v>
      </c>
      <c r="BV517" s="75">
        <f>INPUT!CU414</f>
        <v>936</v>
      </c>
      <c r="BW517" s="240">
        <f>INPUT!CV414</f>
        <v>74.626865671641781</v>
      </c>
      <c r="BX517" s="75">
        <f>INPUT!CW414</f>
        <v>957</v>
      </c>
      <c r="BY517" s="240">
        <f>INPUT!CX414</f>
        <v>1.1627906976744242</v>
      </c>
      <c r="BZ517" s="75">
        <f>INPUT!CY414</f>
        <v>859</v>
      </c>
      <c r="CA517" s="240">
        <f>INPUT!CZ414</f>
        <v>-10.334029227557409</v>
      </c>
      <c r="CB517" s="75">
        <f>INPUT!DA414</f>
        <v>912</v>
      </c>
      <c r="CC517" s="240">
        <f>INPUT!DB414</f>
        <v>-8.2494969818913404</v>
      </c>
      <c r="CD517" s="75">
        <f>INPUT!DC414</f>
        <v>709</v>
      </c>
      <c r="CE517" s="240">
        <f>INPUT!DD414</f>
        <v>-24.252136752136749</v>
      </c>
      <c r="CF517" s="75">
        <f>INPUT!DE414</f>
        <v>672</v>
      </c>
      <c r="CG517" s="240">
        <f>INPUT!DF414</f>
        <v>-29.780564263322887</v>
      </c>
      <c r="CH517" s="75">
        <f>INPUT!DG414</f>
        <v>621</v>
      </c>
      <c r="CI517" s="240">
        <f>INPUT!DH414</f>
        <v>-27.706635622817231</v>
      </c>
      <c r="CJ517" s="75">
        <f>INPUT!DI414</f>
        <v>665</v>
      </c>
      <c r="CK517" s="240">
        <f>INPUT!DJ414</f>
        <v>-27.083333333333343</v>
      </c>
      <c r="CL517" s="75">
        <f>INPUT!DK414</f>
        <v>610</v>
      </c>
      <c r="CM517" s="240">
        <f>INPUT!DL414</f>
        <v>-13.963328631875882</v>
      </c>
      <c r="CN517" s="75">
        <f>INPUT!DM414</f>
        <v>631</v>
      </c>
      <c r="CO517" s="240">
        <f>INPUT!DN414</f>
        <v>-6.1011904761904816</v>
      </c>
      <c r="CP517" s="75">
        <f>INPUT!DO414</f>
        <v>630</v>
      </c>
      <c r="CQ517" s="240">
        <f>INPUT!DP414</f>
        <v>1.4492753623188435</v>
      </c>
      <c r="CR517" s="75">
        <f>INPUT!DQ414</f>
        <v>612</v>
      </c>
      <c r="CS517" s="240">
        <f>INPUT!DR414</f>
        <v>-7.9699248120300723</v>
      </c>
      <c r="CT517" s="75">
        <f>INPUT!DS414</f>
        <v>557</v>
      </c>
      <c r="CU517" s="240">
        <f>INPUT!DT414</f>
        <v>-8.6885245901639365</v>
      </c>
      <c r="CV517" s="75">
        <f>INPUT!DU414</f>
        <v>559</v>
      </c>
      <c r="CW517" s="240">
        <f>INPUT!DV414</f>
        <v>-11.410459587955629</v>
      </c>
      <c r="CX517" s="75">
        <f>INPUT!DW414</f>
        <v>535</v>
      </c>
      <c r="CY517" s="240">
        <f>INPUT!DX414</f>
        <v>-15.079365079365076</v>
      </c>
      <c r="CZ517" s="75">
        <f>INPUT!DY414</f>
        <v>579</v>
      </c>
      <c r="DA517" s="240">
        <f>INPUT!DZ414</f>
        <v>-5.3921568627450966</v>
      </c>
      <c r="DB517" s="75">
        <f>INPUT!EA414</f>
        <v>567</v>
      </c>
      <c r="DC517" s="240">
        <f>INPUT!EB414</f>
        <v>1.7953321364452535</v>
      </c>
      <c r="DD517" s="75">
        <f>INPUT!EC414</f>
        <v>620</v>
      </c>
      <c r="DE517" s="240">
        <f>INPUT!ED414</f>
        <v>10.912343470482995</v>
      </c>
      <c r="DF517" s="75">
        <f>INPUT!EE414</f>
        <v>669</v>
      </c>
      <c r="DG517" s="240">
        <f>INPUT!EF414</f>
        <v>25.046728971962608</v>
      </c>
      <c r="DH517" s="75">
        <f>INPUT!EG414</f>
        <v>629</v>
      </c>
      <c r="DI517" s="240">
        <f>INPUT!EH414</f>
        <v>8.6355785837651098</v>
      </c>
      <c r="DJ517" s="75">
        <f>INPUT!EI414</f>
        <v>571</v>
      </c>
      <c r="DK517" s="240">
        <f>INPUT!EJ414</f>
        <v>0.70546737213403787</v>
      </c>
      <c r="DL517" s="75">
        <f>INPUT!EK414</f>
        <v>625</v>
      </c>
      <c r="DM517" s="240">
        <f>INPUT!EL414</f>
        <v>0.80645161290323131</v>
      </c>
      <c r="DN517" s="75">
        <f>INPUT!EM414</f>
        <v>577</v>
      </c>
      <c r="DO517" s="240">
        <f>INPUT!EN414</f>
        <v>-13.751868460388636</v>
      </c>
      <c r="DP517" s="75">
        <f>INPUT!EO414</f>
        <v>576</v>
      </c>
      <c r="DQ517" s="240">
        <f>INPUT!EP414</f>
        <v>-8.4260731319554765</v>
      </c>
      <c r="DR517" s="75">
        <f>INPUT!EQ414</f>
        <v>581.63843513513518</v>
      </c>
      <c r="DS517" s="240">
        <f>INPUT!ER414</f>
        <v>1.8631234912671175</v>
      </c>
      <c r="DT517" s="75">
        <f>INPUT!ES414</f>
        <v>623.35657663857944</v>
      </c>
      <c r="DU517" s="240">
        <f>INPUT!ET414</f>
        <v>-0.26294773782728953</v>
      </c>
      <c r="DV517" s="75">
        <f>INPUT!EU414</f>
        <v>576.19580148719103</v>
      </c>
      <c r="DW517" s="240">
        <f>INPUT!EV414</f>
        <v>-0.13937582544349425</v>
      </c>
      <c r="DX517" s="75">
        <f>INPUT!EW414</f>
        <v>568.63264864864868</v>
      </c>
      <c r="DY517" s="240">
        <f>INPUT!EX414</f>
        <v>-1.2790540540540576</v>
      </c>
      <c r="DZ517" s="75"/>
      <c r="EA517" s="240"/>
      <c r="EB517" s="498" t="str">
        <f>INPUT!FI414</f>
        <v>NA</v>
      </c>
      <c r="EC517" s="75">
        <f>INPUT!FJ414</f>
        <v>639</v>
      </c>
      <c r="ED517" s="155">
        <f>INPUT!FK414</f>
        <v>33.402922755741116</v>
      </c>
      <c r="EE517" s="75">
        <f>INPUT!FL414</f>
        <v>714</v>
      </c>
      <c r="EF517" s="155">
        <f>INPUT!FM414</f>
        <v>11.737089201877922</v>
      </c>
      <c r="EG517" s="75">
        <f>INPUT!FN414</f>
        <v>700</v>
      </c>
      <c r="EH517" s="155">
        <f>INPUT!FO414</f>
        <v>-1.9607843137254974</v>
      </c>
      <c r="EI517" s="75">
        <f>INPUT!FP414</f>
        <v>725</v>
      </c>
      <c r="EJ517" s="240">
        <f>INPUT!FQ414</f>
        <v>3.5714285714285836</v>
      </c>
      <c r="EK517" s="75">
        <f>INPUT!FR414</f>
        <v>740</v>
      </c>
      <c r="EL517" s="240">
        <f>INPUT!FS414</f>
        <v>2.0689655172413808</v>
      </c>
      <c r="EM517" s="75">
        <f>INPUT!FT414</f>
        <v>701</v>
      </c>
      <c r="EN517" s="240">
        <f>INPUT!FU414</f>
        <v>-5.2702702702702737</v>
      </c>
      <c r="EO517" s="75">
        <f>INPUT!FV414</f>
        <v>1025</v>
      </c>
      <c r="EP517" s="240">
        <f>INPUT!FW414</f>
        <v>46.219686162624811</v>
      </c>
      <c r="EQ517" s="75">
        <f>INPUT!FX414</f>
        <v>1093</v>
      </c>
      <c r="ER517" s="240">
        <f>INPUT!FY414</f>
        <v>6.6341463414634205</v>
      </c>
      <c r="ES517" s="75">
        <f>INPUT!FZ414</f>
        <v>1276</v>
      </c>
      <c r="ET517" s="240">
        <f>INPUT!GA414</f>
        <v>16.742909423604772</v>
      </c>
      <c r="EU517" s="75">
        <f>INPUT!GB414</f>
        <v>3434</v>
      </c>
      <c r="EV517" s="240" t="str">
        <f>INPUT!GC414</f>
        <v>NM</v>
      </c>
      <c r="EW517" s="75">
        <f>INPUT!GD414</f>
        <v>3664</v>
      </c>
      <c r="EX517" s="240">
        <f>INPUT!GE414</f>
        <v>6.6977285963890409</v>
      </c>
      <c r="EY517" s="75">
        <f>INPUT!GF414</f>
        <v>2667</v>
      </c>
      <c r="EZ517" s="240">
        <f>INPUT!GG414</f>
        <v>-27.210698689956331</v>
      </c>
      <c r="FA517" s="75">
        <f>INPUT!GH414</f>
        <v>2483</v>
      </c>
      <c r="FB517" s="240">
        <f>INPUT!GI414</f>
        <v>-6.8991376077990196</v>
      </c>
      <c r="FC517" s="75">
        <f>INPUT!GJ414</f>
        <v>2230</v>
      </c>
      <c r="FD517" s="240">
        <f>INPUT!GK414</f>
        <v>-10.189287152637945</v>
      </c>
      <c r="FE517" s="75">
        <f>INPUT!GL414</f>
        <v>2485</v>
      </c>
      <c r="FF517" s="240">
        <f>INPUT!GM414</f>
        <v>11.43497757847534</v>
      </c>
      <c r="FG517" s="75">
        <f>INPUT!GN414</f>
        <v>2349</v>
      </c>
      <c r="FH517" s="240">
        <f>INPUT!GO414</f>
        <v>-5.4728370221327935</v>
      </c>
      <c r="FI517" s="75">
        <f>INPUT!GP414</f>
        <v>2349.8234619095542</v>
      </c>
      <c r="FJ517" s="240">
        <f>INPUT!GQ414</f>
        <v>3.5055849704306752E-2</v>
      </c>
      <c r="FK517" s="75">
        <f>INPUT!GR414</f>
        <v>2373.3216965286497</v>
      </c>
      <c r="FL517" s="240">
        <f>INPUT!GS414</f>
        <v>1</v>
      </c>
      <c r="FM517" s="75">
        <f>INPUT!GT414</f>
        <v>2397.0549134939365</v>
      </c>
      <c r="FN517" s="240">
        <f>INPUT!GU414</f>
        <v>1.0000000000000284</v>
      </c>
      <c r="FO517" s="75">
        <f>INPUT!GV414</f>
        <v>2421.0254626288761</v>
      </c>
      <c r="FP517" s="240">
        <f>INPUT!GW414</f>
        <v>1</v>
      </c>
      <c r="FQ517" s="75">
        <f>INPUT!GX414</f>
        <v>2445.2357172551642</v>
      </c>
      <c r="FR517" s="240">
        <f>INPUT!GY414</f>
        <v>0.99999999999997158</v>
      </c>
      <c r="FS517" s="240">
        <f>INPUT!GZ414</f>
        <v>0.80626939516712515</v>
      </c>
    </row>
    <row r="518" spans="1:176" ht="12.75" hidden="1" customHeight="1" outlineLevel="1" x14ac:dyDescent="0.2">
      <c r="A518" s="77" t="str">
        <f>INPUT!B415</f>
        <v>Net DAC</v>
      </c>
      <c r="B518" s="75">
        <f>INPUT!AA415</f>
        <v>-37</v>
      </c>
      <c r="C518" s="155">
        <f>INPUT!AB415</f>
        <v>48</v>
      </c>
      <c r="D518" s="75">
        <f>INPUT!AC415</f>
        <v>-43</v>
      </c>
      <c r="E518" s="155">
        <f>INPUT!AD415</f>
        <v>7.5</v>
      </c>
      <c r="F518" s="75">
        <f>INPUT!AE415</f>
        <v>-31</v>
      </c>
      <c r="G518" s="155">
        <f>INPUT!AF415</f>
        <v>-24.390243902439025</v>
      </c>
      <c r="H518" s="75">
        <f>INPUT!AG415</f>
        <v>-35</v>
      </c>
      <c r="I518" s="155">
        <f>INPUT!AH415</f>
        <v>6.0606060606060623</v>
      </c>
      <c r="J518" s="75">
        <f>INPUT!AI415</f>
        <v>-40</v>
      </c>
      <c r="K518" s="155">
        <f>INPUT!AJ415</f>
        <v>8.1081081081081123</v>
      </c>
      <c r="L518" s="75">
        <f>INPUT!AK415</f>
        <v>-33</v>
      </c>
      <c r="M518" s="155">
        <f>INPUT!AL415</f>
        <v>-23.255813953488371</v>
      </c>
      <c r="N518" s="75">
        <f>INPUT!AM415</f>
        <v>-37</v>
      </c>
      <c r="O518" s="155">
        <f>INPUT!AN415</f>
        <v>19.354838709677423</v>
      </c>
      <c r="P518" s="75">
        <f>INPUT!AO415</f>
        <v>-35</v>
      </c>
      <c r="Q518" s="155">
        <f>INPUT!AP415</f>
        <v>0</v>
      </c>
      <c r="R518" s="75">
        <f>INPUT!AQ415</f>
        <v>-31</v>
      </c>
      <c r="S518" s="155">
        <f>INPUT!AR415</f>
        <v>-22.5</v>
      </c>
      <c r="T518" s="75">
        <f>INPUT!AS415</f>
        <v>-43</v>
      </c>
      <c r="U518" s="155">
        <f>INPUT!AT415</f>
        <v>30.303030303030312</v>
      </c>
      <c r="V518" s="75">
        <f>INPUT!AU415</f>
        <v>-51</v>
      </c>
      <c r="W518" s="155">
        <f>INPUT!AV415</f>
        <v>37.837837837837839</v>
      </c>
      <c r="X518" s="75">
        <f>INPUT!AW415</f>
        <v>-46</v>
      </c>
      <c r="Y518" s="155">
        <f>INPUT!AX415</f>
        <v>31.428571428571416</v>
      </c>
      <c r="Z518" s="75">
        <f>INPUT!AY415</f>
        <v>-40</v>
      </c>
      <c r="AA518" s="155">
        <f>INPUT!AZ415</f>
        <v>29.032258064516128</v>
      </c>
      <c r="AB518" s="75">
        <f>INPUT!BA415</f>
        <v>-56</v>
      </c>
      <c r="AC518" s="155">
        <f>INPUT!BB415</f>
        <v>30.232558139534888</v>
      </c>
      <c r="AD518" s="75">
        <f>INPUT!BC415</f>
        <v>-49</v>
      </c>
      <c r="AE518" s="155">
        <f>INPUT!BD415</f>
        <v>-3.9215686274509807</v>
      </c>
      <c r="AF518" s="75">
        <f>INPUT!BE415</f>
        <v>-41</v>
      </c>
      <c r="AG518" s="155">
        <f>INPUT!BF415</f>
        <v>-10.869565217391312</v>
      </c>
      <c r="AH518" s="75">
        <f>INPUT!BG415</f>
        <v>-34</v>
      </c>
      <c r="AI518" s="240">
        <f>INPUT!BH415</f>
        <v>-15</v>
      </c>
      <c r="AJ518" s="75">
        <f>INPUT!BI415</f>
        <v>-39</v>
      </c>
      <c r="AK518" s="240">
        <f>INPUT!BJ415</f>
        <v>-30.357142857142861</v>
      </c>
      <c r="AL518" s="75">
        <f>INPUT!BK415</f>
        <v>-37</v>
      </c>
      <c r="AM518" s="240">
        <f>INPUT!BL415</f>
        <v>-24.489795918367349</v>
      </c>
      <c r="AN518" s="75">
        <f>INPUT!BM415</f>
        <v>-40</v>
      </c>
      <c r="AO518" s="240">
        <f>INPUT!BN415</f>
        <v>-2.4390243902439011</v>
      </c>
      <c r="AP518" s="75">
        <f>INPUT!BO415</f>
        <v>-34</v>
      </c>
      <c r="AQ518" s="240">
        <f>INPUT!BP415</f>
        <v>0</v>
      </c>
      <c r="AR518" s="75">
        <f>INPUT!BQ415</f>
        <v>-49</v>
      </c>
      <c r="AS518" s="240">
        <f>INPUT!BR415</f>
        <v>25.641025641025635</v>
      </c>
      <c r="AT518" s="75">
        <f>INPUT!BS415</f>
        <v>-37</v>
      </c>
      <c r="AU518" s="240">
        <f>INPUT!BT415</f>
        <v>0</v>
      </c>
      <c r="AV518" s="75">
        <f>INPUT!BU415</f>
        <v>-33</v>
      </c>
      <c r="AW518" s="240">
        <f>INPUT!BV415</f>
        <v>-17.5</v>
      </c>
      <c r="AX518" s="75">
        <f>INPUT!BW415</f>
        <v>-26</v>
      </c>
      <c r="AY518" s="240">
        <f>INPUT!BX415</f>
        <v>-23.529411764705884</v>
      </c>
      <c r="AZ518" s="75">
        <f>INPUT!BY415</f>
        <v>-31</v>
      </c>
      <c r="BA518" s="240">
        <f>INPUT!BZ415</f>
        <v>-36.734693877551017</v>
      </c>
      <c r="BB518" s="75">
        <f>INPUT!CA415</f>
        <v>-34</v>
      </c>
      <c r="BC518" s="240">
        <f>INPUT!CB415</f>
        <v>-8.1081081081080981</v>
      </c>
      <c r="BD518" s="75">
        <f>INPUT!CC415</f>
        <v>-33</v>
      </c>
      <c r="BE518" s="240">
        <f>INPUT!CD415</f>
        <v>0</v>
      </c>
      <c r="BF518" s="75">
        <f>INPUT!CE415</f>
        <v>-29</v>
      </c>
      <c r="BG518" s="240">
        <f>INPUT!CF415</f>
        <v>11.538461538461547</v>
      </c>
      <c r="BH518" s="75">
        <f>INPUT!CG415</f>
        <v>-39</v>
      </c>
      <c r="BI518" s="240">
        <f>INPUT!CH415</f>
        <v>25.806451612903231</v>
      </c>
      <c r="BJ518" s="75">
        <f>INPUT!CI415</f>
        <v>-43</v>
      </c>
      <c r="BK518" s="240">
        <f>INPUT!CJ415</f>
        <v>26.470588235294116</v>
      </c>
      <c r="BL518" s="75">
        <f>INPUT!CK415</f>
        <v>-52</v>
      </c>
      <c r="BM518" s="240">
        <f>INPUT!CL415</f>
        <v>57.575757575757564</v>
      </c>
      <c r="BN518" s="75">
        <f>INPUT!CM415</f>
        <v>-56</v>
      </c>
      <c r="BO518" s="240">
        <f>INPUT!CN415</f>
        <v>93.103448275862064</v>
      </c>
      <c r="BP518" s="75">
        <f>INPUT!CO415</f>
        <v>-162</v>
      </c>
      <c r="BQ518" s="240" t="str">
        <f>INPUT!CP415</f>
        <v>NM</v>
      </c>
      <c r="BR518" s="75">
        <f>INPUT!CQ415</f>
        <v>-168</v>
      </c>
      <c r="BS518" s="240" t="str">
        <f>INPUT!CR415</f>
        <v>NM</v>
      </c>
      <c r="BT518" s="75">
        <f>INPUT!CS415</f>
        <v>-143</v>
      </c>
      <c r="BU518" s="240" t="str">
        <f>INPUT!CT415</f>
        <v>NM</v>
      </c>
      <c r="BV518" s="75">
        <f>INPUT!CU415</f>
        <v>-124</v>
      </c>
      <c r="BW518" s="240" t="str">
        <f>INPUT!CV415</f>
        <v>NM</v>
      </c>
      <c r="BX518" s="75">
        <f>INPUT!CW415</f>
        <v>-156</v>
      </c>
      <c r="BY518" s="240">
        <f>INPUT!CX415</f>
        <v>-3.7037037037037095</v>
      </c>
      <c r="BZ518" s="75">
        <f>INPUT!CY415</f>
        <v>-101</v>
      </c>
      <c r="CA518" s="240">
        <f>INPUT!CZ415</f>
        <v>-39.880952380952387</v>
      </c>
      <c r="CB518" s="75">
        <f>INPUT!DA415</f>
        <v>-92</v>
      </c>
      <c r="CC518" s="240">
        <f>INPUT!DB415</f>
        <v>-35.664335664335667</v>
      </c>
      <c r="CD518" s="75">
        <f>INPUT!DC415</f>
        <v>-67</v>
      </c>
      <c r="CE518" s="240">
        <f>INPUT!DD415</f>
        <v>-45.967741935483872</v>
      </c>
      <c r="CF518" s="75">
        <f>INPUT!DE415</f>
        <v>-73</v>
      </c>
      <c r="CG518" s="240" t="str">
        <f>INPUT!DF415</f>
        <v>NM</v>
      </c>
      <c r="CH518" s="75">
        <f>INPUT!DG415</f>
        <v>-56</v>
      </c>
      <c r="CI518" s="240">
        <f>INPUT!DH415</f>
        <v>-44.554455445544548</v>
      </c>
      <c r="CJ518" s="75">
        <f>INPUT!DI415</f>
        <v>-77</v>
      </c>
      <c r="CK518" s="240">
        <f>INPUT!DJ415</f>
        <v>-16.304347826086953</v>
      </c>
      <c r="CL518" s="75">
        <f>INPUT!DK415</f>
        <v>-87</v>
      </c>
      <c r="CM518" s="240">
        <f>INPUT!DL415</f>
        <v>29.850746268656707</v>
      </c>
      <c r="CN518" s="75">
        <f>INPUT!DM415</f>
        <v>-92</v>
      </c>
      <c r="CO518" s="240">
        <f>INPUT!DN415</f>
        <v>26.027397260273972</v>
      </c>
      <c r="CP518" s="75">
        <f>INPUT!DO415</f>
        <v>-105</v>
      </c>
      <c r="CQ518" s="240">
        <f>INPUT!DP415</f>
        <v>87.5</v>
      </c>
      <c r="CR518" s="75">
        <f>INPUT!DQ415</f>
        <v>-75</v>
      </c>
      <c r="CS518" s="240">
        <f>INPUT!DR415</f>
        <v>-2.5974025974025921</v>
      </c>
      <c r="CT518" s="75">
        <f>INPUT!DS415</f>
        <v>-68</v>
      </c>
      <c r="CU518" s="240">
        <f>INPUT!DT415</f>
        <v>-21.839080459770116</v>
      </c>
      <c r="CV518" s="75">
        <f>INPUT!DU415</f>
        <v>-74</v>
      </c>
      <c r="CW518" s="240">
        <f>INPUT!DV415</f>
        <v>-19.565217391304344</v>
      </c>
      <c r="CX518" s="75">
        <f>INPUT!DW415</f>
        <v>-75</v>
      </c>
      <c r="CY518" s="240">
        <f>INPUT!DX415</f>
        <v>-28.571428571428569</v>
      </c>
      <c r="CZ518" s="75">
        <f>INPUT!DY415</f>
        <v>-79</v>
      </c>
      <c r="DA518" s="240">
        <f>INPUT!DZ415</f>
        <v>5.3333333333333286</v>
      </c>
      <c r="DB518" s="75">
        <f>INPUT!EA415</f>
        <v>-84</v>
      </c>
      <c r="DC518" s="240">
        <f>INPUT!EB415</f>
        <v>23.529411764705884</v>
      </c>
      <c r="DD518" s="75">
        <f>INPUT!EC415</f>
        <v>-93</v>
      </c>
      <c r="DE518" s="240">
        <f>INPUT!ED415</f>
        <v>25.675675675675677</v>
      </c>
      <c r="DF518" s="75">
        <f>INPUT!EE415</f>
        <v>-105</v>
      </c>
      <c r="DG518" s="240">
        <f>INPUT!EF415</f>
        <v>40</v>
      </c>
      <c r="DH518" s="75">
        <f>INPUT!EG415</f>
        <v>-72</v>
      </c>
      <c r="DI518" s="240">
        <f>INPUT!EH415</f>
        <v>-8.8607594936708836</v>
      </c>
      <c r="DJ518" s="75">
        <f>INPUT!EI415</f>
        <v>-63</v>
      </c>
      <c r="DK518" s="240">
        <f>INPUT!EJ415</f>
        <v>-25</v>
      </c>
      <c r="DL518" s="75">
        <f>INPUT!EK415</f>
        <v>-91</v>
      </c>
      <c r="DM518" s="240">
        <f>INPUT!EL415</f>
        <v>-2.1505376344086073</v>
      </c>
      <c r="DN518" s="75">
        <f>INPUT!EM415</f>
        <v>-63</v>
      </c>
      <c r="DO518" s="240">
        <f>INPUT!EN415</f>
        <v>-40</v>
      </c>
      <c r="DP518" s="75">
        <f>INPUT!EO415</f>
        <v>-56</v>
      </c>
      <c r="DQ518" s="240">
        <f>INPUT!EP415</f>
        <v>-22.222222222222214</v>
      </c>
      <c r="DR518" s="75">
        <f>INPUT!EQ415</f>
        <v>-80</v>
      </c>
      <c r="DS518" s="240">
        <f>INPUT!ER415</f>
        <v>26.984126984126974</v>
      </c>
      <c r="DT518" s="75">
        <f>INPUT!ES415</f>
        <v>-63</v>
      </c>
      <c r="DU518" s="240">
        <f>INPUT!ET415</f>
        <v>-30.769230769230774</v>
      </c>
      <c r="DV518" s="75">
        <f>INPUT!EU415</f>
        <v>-63</v>
      </c>
      <c r="DW518" s="240">
        <f>INPUT!EV415</f>
        <v>0</v>
      </c>
      <c r="DX518" s="75">
        <f>INPUT!EW415</f>
        <v>-63</v>
      </c>
      <c r="DY518" s="240">
        <f>INPUT!EX415</f>
        <v>12.5</v>
      </c>
      <c r="DZ518" s="75"/>
      <c r="EA518" s="240"/>
      <c r="EB518" s="498" t="str">
        <f>INPUT!FI415</f>
        <v>NA</v>
      </c>
      <c r="EC518" s="75">
        <f>INPUT!FJ415</f>
        <v>-139</v>
      </c>
      <c r="ED518" s="155">
        <f>INPUT!FK415</f>
        <v>93.055555555555571</v>
      </c>
      <c r="EE518" s="75">
        <f>INPUT!FL415</f>
        <v>-146</v>
      </c>
      <c r="EF518" s="155">
        <f>INPUT!FM415</f>
        <v>5.0359712230215763</v>
      </c>
      <c r="EG518" s="75">
        <f>INPUT!FN415</f>
        <v>-145</v>
      </c>
      <c r="EH518" s="155">
        <f>INPUT!FO415</f>
        <v>-0.68493150684932402</v>
      </c>
      <c r="EI518" s="75">
        <f>INPUT!FP415</f>
        <v>-171</v>
      </c>
      <c r="EJ518" s="240">
        <f>INPUT!FQ415</f>
        <v>17.931034482758605</v>
      </c>
      <c r="EK518" s="75">
        <f>INPUT!FR415</f>
        <v>-186</v>
      </c>
      <c r="EL518" s="240">
        <f>INPUT!FS415</f>
        <v>8.7719298245614112</v>
      </c>
      <c r="EM518" s="75">
        <f>INPUT!FT415</f>
        <v>-150</v>
      </c>
      <c r="EN518" s="240">
        <f>INPUT!FU415</f>
        <v>-19.354838709677423</v>
      </c>
      <c r="EO518" s="75">
        <f>INPUT!FV415</f>
        <v>-114</v>
      </c>
      <c r="EP518" s="240">
        <f>INPUT!FW415</f>
        <v>-24</v>
      </c>
      <c r="EQ518" s="75">
        <f>INPUT!FX415</f>
        <v>-95</v>
      </c>
      <c r="ER518" s="240">
        <f>INPUT!FY415</f>
        <v>-16.666666666666657</v>
      </c>
      <c r="ES518" s="75">
        <f>INPUT!FZ415</f>
        <v>-163</v>
      </c>
      <c r="ET518" s="240">
        <f>INPUT!GA415</f>
        <v>71.578947368421041</v>
      </c>
      <c r="EU518" s="75">
        <f>INPUT!GB415</f>
        <v>-529</v>
      </c>
      <c r="EV518" s="240" t="str">
        <f>INPUT!GC415</f>
        <v>NM</v>
      </c>
      <c r="EW518" s="75">
        <f>INPUT!GD415</f>
        <v>-473</v>
      </c>
      <c r="EX518" s="240">
        <f>INPUT!GE415</f>
        <v>-10.586011342155004</v>
      </c>
      <c r="EY518" s="75">
        <f>INPUT!GF415</f>
        <v>-273</v>
      </c>
      <c r="EZ518" s="240">
        <f>INPUT!GG415</f>
        <v>-42.283298097251588</v>
      </c>
      <c r="FA518" s="75">
        <f>INPUT!GH415</f>
        <v>-359</v>
      </c>
      <c r="FB518" s="240">
        <f>INPUT!GI415</f>
        <v>31.501831501831504</v>
      </c>
      <c r="FC518" s="75">
        <f>INPUT!GJ415</f>
        <v>-296</v>
      </c>
      <c r="FD518" s="240">
        <f>INPUT!GK415</f>
        <v>-17.548746518105844</v>
      </c>
      <c r="FE518" s="75">
        <f>INPUT!GL415</f>
        <v>-354</v>
      </c>
      <c r="FF518" s="240">
        <f>INPUT!GM415</f>
        <v>19.594594594594611</v>
      </c>
      <c r="FG518" s="75">
        <f>INPUT!GN415</f>
        <v>-273</v>
      </c>
      <c r="FH518" s="240">
        <f>INPUT!GO415</f>
        <v>-22.881355932203391</v>
      </c>
      <c r="FI518" s="75">
        <f>INPUT!GP415</f>
        <v>-269</v>
      </c>
      <c r="FJ518" s="240">
        <f>INPUT!GQ415</f>
        <v>-1.46520146520146</v>
      </c>
      <c r="FK518" s="75">
        <f>INPUT!GR415</f>
        <v>-271.69</v>
      </c>
      <c r="FL518" s="240">
        <f>INPUT!GS415</f>
        <v>1</v>
      </c>
      <c r="FM518" s="75">
        <f>INPUT!GT415</f>
        <v>-274.40690000000001</v>
      </c>
      <c r="FN518" s="240">
        <f>INPUT!GU415</f>
        <v>1</v>
      </c>
      <c r="FO518" s="75">
        <f>INPUT!GV415</f>
        <v>-277.15096900000003</v>
      </c>
      <c r="FP518" s="240">
        <f>INPUT!GW415</f>
        <v>1</v>
      </c>
      <c r="FQ518" s="75">
        <f>INPUT!GX415</f>
        <v>-279.92247869000005</v>
      </c>
      <c r="FR518" s="240">
        <f>INPUT!GY415</f>
        <v>1</v>
      </c>
      <c r="FS518" s="240">
        <f>INPUT!GZ415</f>
        <v>0.5020743469218214</v>
      </c>
    </row>
    <row r="519" spans="1:176" ht="12.75" hidden="1" customHeight="1" outlineLevel="1" x14ac:dyDescent="0.2">
      <c r="A519" s="70" t="str">
        <f>INPUT!B416</f>
        <v>Total Benefits and Expenses</v>
      </c>
      <c r="B519" s="91">
        <f>INPUT!AA416</f>
        <v>591</v>
      </c>
      <c r="C519" s="155">
        <f>INPUT!AB416</f>
        <v>2.0725388601036343</v>
      </c>
      <c r="D519" s="91">
        <f>INPUT!AC416</f>
        <v>594</v>
      </c>
      <c r="E519" s="155">
        <f>INPUT!AD416</f>
        <v>2.0618556701030855</v>
      </c>
      <c r="F519" s="91">
        <f>INPUT!AE416</f>
        <v>565</v>
      </c>
      <c r="G519" s="155">
        <f>INPUT!AF416</f>
        <v>0.35523978685611723</v>
      </c>
      <c r="H519" s="91">
        <f>INPUT!AG416</f>
        <v>600</v>
      </c>
      <c r="I519" s="155">
        <f>INPUT!AH416</f>
        <v>1.3513513513513544</v>
      </c>
      <c r="J519" s="91">
        <f>INPUT!AI416</f>
        <v>637</v>
      </c>
      <c r="K519" s="155">
        <f>INPUT!AJ416</f>
        <v>7.7834179357022037</v>
      </c>
      <c r="L519" s="91">
        <f>INPUT!AK416</f>
        <v>689</v>
      </c>
      <c r="M519" s="155">
        <f>INPUT!AL416</f>
        <v>15.993265993266007</v>
      </c>
      <c r="N519" s="91">
        <f>INPUT!AM416</f>
        <v>604</v>
      </c>
      <c r="O519" s="155">
        <f>INPUT!AN416</f>
        <v>6.9026548672566292</v>
      </c>
      <c r="P519" s="91">
        <f>INPUT!AO416</f>
        <v>606</v>
      </c>
      <c r="Q519" s="155">
        <f>INPUT!AP416</f>
        <v>1</v>
      </c>
      <c r="R519" s="91">
        <f>INPUT!AQ416</f>
        <v>635</v>
      </c>
      <c r="S519" s="155">
        <f>INPUT!AR416</f>
        <v>-0.31397174254317406</v>
      </c>
      <c r="T519" s="91">
        <f>INPUT!AS416</f>
        <v>660</v>
      </c>
      <c r="U519" s="155">
        <f>INPUT!AT416</f>
        <v>-4.2089985486211958</v>
      </c>
      <c r="V519" s="91">
        <f>INPUT!AU416</f>
        <v>706</v>
      </c>
      <c r="W519" s="155">
        <f>INPUT!AV416</f>
        <v>16.88741721854305</v>
      </c>
      <c r="X519" s="91">
        <f>INPUT!AW416</f>
        <v>610</v>
      </c>
      <c r="Y519" s="155">
        <f>INPUT!AX416</f>
        <v>0.66006600660067249</v>
      </c>
      <c r="Z519" s="91">
        <f>INPUT!AY416</f>
        <v>622</v>
      </c>
      <c r="AA519" s="155">
        <f>INPUT!AZ416</f>
        <v>-2.0472440944881924</v>
      </c>
      <c r="AB519" s="91">
        <f>INPUT!BA416</f>
        <v>635</v>
      </c>
      <c r="AC519" s="155">
        <f>INPUT!BB416</f>
        <v>-3.7878787878787818</v>
      </c>
      <c r="AD519" s="91">
        <f>INPUT!BC416</f>
        <v>559</v>
      </c>
      <c r="AE519" s="155">
        <f>INPUT!BD416</f>
        <v>-20.821529745042483</v>
      </c>
      <c r="AF519" s="91">
        <f>INPUT!BE416</f>
        <v>545</v>
      </c>
      <c r="AG519" s="155">
        <f>INPUT!BF416</f>
        <v>-10.655737704918039</v>
      </c>
      <c r="AH519" s="91">
        <f>INPUT!BG416</f>
        <v>551</v>
      </c>
      <c r="AI519" s="240">
        <f>INPUT!BH416</f>
        <v>-11.414790996784561</v>
      </c>
      <c r="AJ519" s="91">
        <f>INPUT!BI416</f>
        <v>590</v>
      </c>
      <c r="AK519" s="240">
        <f>INPUT!BJ416</f>
        <v>-7.086614173228341</v>
      </c>
      <c r="AL519" s="91">
        <f>INPUT!BK416</f>
        <v>539</v>
      </c>
      <c r="AM519" s="240">
        <f>INPUT!BL416</f>
        <v>-3.5778175313059108</v>
      </c>
      <c r="AN519" s="91">
        <f>INPUT!BM416</f>
        <v>586</v>
      </c>
      <c r="AO519" s="240">
        <f>INPUT!BN416</f>
        <v>7.5229357798165069</v>
      </c>
      <c r="AP519" s="91">
        <f>INPUT!BO416</f>
        <v>620</v>
      </c>
      <c r="AQ519" s="240">
        <f>INPUT!BP416</f>
        <v>12.522686025408362</v>
      </c>
      <c r="AR519" s="91">
        <f>INPUT!BQ416</f>
        <v>673</v>
      </c>
      <c r="AS519" s="240">
        <f>INPUT!BR416</f>
        <v>14.067796610169481</v>
      </c>
      <c r="AT519" s="91">
        <f>INPUT!BS416</f>
        <v>597</v>
      </c>
      <c r="AU519" s="240">
        <f>INPUT!BT416</f>
        <v>10.760667903525061</v>
      </c>
      <c r="AV519" s="91">
        <f>INPUT!BU416</f>
        <v>651</v>
      </c>
      <c r="AW519" s="240">
        <f>INPUT!BV416</f>
        <v>11.092150170648466</v>
      </c>
      <c r="AX519" s="91">
        <f>INPUT!BW416</f>
        <v>790</v>
      </c>
      <c r="AY519" s="240">
        <f>INPUT!BX416</f>
        <v>27.41935483870968</v>
      </c>
      <c r="AZ519" s="91">
        <f>INPUT!BY416</f>
        <v>867</v>
      </c>
      <c r="BA519" s="240">
        <f>INPUT!BZ416</f>
        <v>28.826151560178317</v>
      </c>
      <c r="BB519" s="91">
        <f>INPUT!CA416</f>
        <v>907</v>
      </c>
      <c r="BC519" s="240">
        <f>INPUT!CB416</f>
        <v>51.926298157453942</v>
      </c>
      <c r="BD519" s="91">
        <f>INPUT!CC416</f>
        <v>938</v>
      </c>
      <c r="BE519" s="240">
        <f>INPUT!CD416</f>
        <v>44.086021505376351</v>
      </c>
      <c r="BF519" s="91">
        <f>INPUT!CE416</f>
        <v>957</v>
      </c>
      <c r="BG519" s="240">
        <f>INPUT!CF416</f>
        <v>21.139240506329116</v>
      </c>
      <c r="BH519" s="91">
        <f>INPUT!CG416</f>
        <v>1095</v>
      </c>
      <c r="BI519" s="240">
        <f>INPUT!CH416</f>
        <v>26.297577854671289</v>
      </c>
      <c r="BJ519" s="91">
        <f>INPUT!CI416</f>
        <v>1015</v>
      </c>
      <c r="BK519" s="240">
        <f>INPUT!CJ416</f>
        <v>11.907386990077185</v>
      </c>
      <c r="BL519" s="91">
        <f>INPUT!CK416</f>
        <v>1117</v>
      </c>
      <c r="BM519" s="240">
        <f>INPUT!CL416</f>
        <v>19.083155650319839</v>
      </c>
      <c r="BN519" s="91">
        <f>INPUT!CM416</f>
        <v>1896</v>
      </c>
      <c r="BO519" s="240">
        <f>INPUT!CN416</f>
        <v>98.119122257053277</v>
      </c>
      <c r="BP519" s="91">
        <f>INPUT!CO416</f>
        <v>2919</v>
      </c>
      <c r="BQ519" s="240" t="str">
        <f>INPUT!CP416</f>
        <v>NM</v>
      </c>
      <c r="BR519" s="91">
        <f>INPUT!CQ416</f>
        <v>2725</v>
      </c>
      <c r="BS519" s="240" t="str">
        <f>INPUT!CR416</f>
        <v>NM</v>
      </c>
      <c r="BT519" s="91">
        <f>INPUT!CS416</f>
        <v>2891</v>
      </c>
      <c r="BU519" s="240" t="str">
        <f>INPUT!CT416</f>
        <v>NM</v>
      </c>
      <c r="BV519" s="91">
        <f>INPUT!CU416</f>
        <v>3285</v>
      </c>
      <c r="BW519" s="240">
        <f>INPUT!CV416</f>
        <v>73.259493670886059</v>
      </c>
      <c r="BX519" s="91">
        <f>INPUT!CW416</f>
        <v>3910</v>
      </c>
      <c r="BY519" s="240">
        <f>INPUT!CX416</f>
        <v>33.949982870846185</v>
      </c>
      <c r="BZ519" s="91">
        <f>INPUT!CY416</f>
        <v>5528</v>
      </c>
      <c r="CA519" s="240" t="str">
        <f>INPUT!CZ416</f>
        <v>NM</v>
      </c>
      <c r="CB519" s="91">
        <f>INPUT!DA416</f>
        <v>6638</v>
      </c>
      <c r="CC519" s="240" t="str">
        <f>INPUT!DB416</f>
        <v>NM</v>
      </c>
      <c r="CD519" s="91">
        <f>INPUT!DC416</f>
        <v>3452</v>
      </c>
      <c r="CE519" s="240">
        <f>INPUT!DD416</f>
        <v>5.0837138508371424</v>
      </c>
      <c r="CF519" s="91">
        <f>INPUT!DE416</f>
        <v>3300</v>
      </c>
      <c r="CG519" s="240">
        <f>INPUT!DF416</f>
        <v>-15.601023017902818</v>
      </c>
      <c r="CH519" s="91">
        <f>INPUT!DG416</f>
        <v>2732</v>
      </c>
      <c r="CI519" s="240" t="str">
        <f>INPUT!DH416</f>
        <v>NM</v>
      </c>
      <c r="CJ519" s="91">
        <f>INPUT!DI416</f>
        <v>2443</v>
      </c>
      <c r="CK519" s="240" t="str">
        <f>INPUT!DJ416</f>
        <v>NM</v>
      </c>
      <c r="CL519" s="91">
        <f>INPUT!DK416</f>
        <v>2178</v>
      </c>
      <c r="CM519" s="240">
        <f>INPUT!DL416</f>
        <v>-36.906141367323286</v>
      </c>
      <c r="CN519" s="91">
        <f>INPUT!DM416</f>
        <v>2489</v>
      </c>
      <c r="CO519" s="240">
        <f>INPUT!DN416</f>
        <v>-24.575757575757578</v>
      </c>
      <c r="CP519" s="91">
        <f>INPUT!DO416</f>
        <v>2287</v>
      </c>
      <c r="CQ519" s="240">
        <f>INPUT!DP416</f>
        <v>-16.288433382137626</v>
      </c>
      <c r="CR519" s="91">
        <f>INPUT!DQ416</f>
        <v>2182</v>
      </c>
      <c r="CS519" s="240">
        <f>INPUT!DR416</f>
        <v>-10.683585755218999</v>
      </c>
      <c r="CT519" s="91">
        <f>INPUT!DS416</f>
        <v>2069</v>
      </c>
      <c r="CU519" s="240">
        <f>INPUT!DT416</f>
        <v>-5.0045913682277217</v>
      </c>
      <c r="CV519" s="91">
        <f>INPUT!DU416</f>
        <v>2345</v>
      </c>
      <c r="CW519" s="240">
        <f>INPUT!DV416</f>
        <v>-5.7854560064282765</v>
      </c>
      <c r="CX519" s="91">
        <f>INPUT!DW416</f>
        <v>2086</v>
      </c>
      <c r="CY519" s="240">
        <f>INPUT!DX416</f>
        <v>-8.7888062964582332</v>
      </c>
      <c r="CZ519" s="91">
        <f>INPUT!DY416</f>
        <v>2051</v>
      </c>
      <c r="DA519" s="240">
        <f>INPUT!DZ416</f>
        <v>-6.0036663611365668</v>
      </c>
      <c r="DB519" s="91">
        <f>INPUT!EA416</f>
        <v>2116</v>
      </c>
      <c r="DC519" s="240">
        <f>INPUT!EB416</f>
        <v>2.2716288061865697</v>
      </c>
      <c r="DD519" s="91">
        <f>INPUT!EC416</f>
        <v>2466</v>
      </c>
      <c r="DE519" s="240">
        <f>INPUT!ED416</f>
        <v>5.1599147121535083</v>
      </c>
      <c r="DF519" s="91">
        <f>INPUT!EE416</f>
        <v>2462</v>
      </c>
      <c r="DG519" s="240">
        <f>INPUT!EF416</f>
        <v>18.024928092042188</v>
      </c>
      <c r="DH519" s="91">
        <f>INPUT!EG416</f>
        <v>2401</v>
      </c>
      <c r="DI519" s="240">
        <f>INPUT!EH416</f>
        <v>17.064846416382267</v>
      </c>
      <c r="DJ519" s="91">
        <f>INPUT!EI416</f>
        <v>2240</v>
      </c>
      <c r="DK519" s="240">
        <f>INPUT!EJ416</f>
        <v>5.8601134215500821</v>
      </c>
      <c r="DL519" s="91">
        <f>INPUT!EK416</f>
        <v>2412</v>
      </c>
      <c r="DM519" s="240">
        <f>INPUT!EL416</f>
        <v>-2.1897810218978009</v>
      </c>
      <c r="DN519" s="91">
        <f>INPUT!EM416</f>
        <v>2323</v>
      </c>
      <c r="DO519" s="240">
        <f>INPUT!EN416</f>
        <v>-5.645816409423233</v>
      </c>
      <c r="DP519" s="91">
        <f>INPUT!EO416</f>
        <v>2236</v>
      </c>
      <c r="DQ519" s="240">
        <f>INPUT!EP416</f>
        <v>-6.8721366097459367</v>
      </c>
      <c r="DR519" s="91">
        <f>INPUT!EQ416</f>
        <v>2249.6653807904681</v>
      </c>
      <c r="DS519" s="240">
        <f>INPUT!ER416</f>
        <v>0.43149021386017239</v>
      </c>
      <c r="DT519" s="91">
        <f>INPUT!ES416</f>
        <v>2457.9137838457864</v>
      </c>
      <c r="DU519" s="240">
        <f>INPUT!ET416</f>
        <v>1.9035565441868414</v>
      </c>
      <c r="DV519" s="91">
        <f>INPUT!EU416</f>
        <v>2321.5770482439475</v>
      </c>
      <c r="DW519" s="240">
        <f>INPUT!EV416</f>
        <v>-6.1254918469757058E-2</v>
      </c>
      <c r="DX519" s="91">
        <f>INPUT!EW416</f>
        <v>2230.2523454954953</v>
      </c>
      <c r="DY519" s="240">
        <f>INPUT!EX416</f>
        <v>-0.25705073812632406</v>
      </c>
      <c r="DZ519" s="91"/>
      <c r="EA519" s="240"/>
      <c r="EB519" s="498" t="str">
        <f>INPUT!FI416</f>
        <v>NA</v>
      </c>
      <c r="EC519" s="91">
        <f>INPUT!FJ416</f>
        <v>2316</v>
      </c>
      <c r="ED519" s="155">
        <f>INPUT!FK416</f>
        <v>31.292517006802711</v>
      </c>
      <c r="EE519" s="91">
        <f>INPUT!FL416</f>
        <v>2350</v>
      </c>
      <c r="EF519" s="155">
        <f>INPUT!FM416</f>
        <v>1.4680483592400577</v>
      </c>
      <c r="EG519" s="91">
        <f>INPUT!FN416</f>
        <v>2536</v>
      </c>
      <c r="EH519" s="155">
        <f>INPUT!FO416</f>
        <v>7.9148936170212636</v>
      </c>
      <c r="EI519" s="91">
        <f>INPUT!FP416</f>
        <v>2611</v>
      </c>
      <c r="EJ519" s="240">
        <f>INPUT!FQ416</f>
        <v>2.9574132492113563</v>
      </c>
      <c r="EK519" s="91">
        <f>INPUT!FR416</f>
        <v>2361</v>
      </c>
      <c r="EL519" s="240">
        <f>INPUT!FS416</f>
        <v>-9.5748755266181576</v>
      </c>
      <c r="EM519" s="91">
        <f>INPUT!FT416</f>
        <v>2266</v>
      </c>
      <c r="EN519" s="240">
        <f>INPUT!FU416</f>
        <v>-4.0237187632359195</v>
      </c>
      <c r="EO519" s="91">
        <f>INPUT!FV416</f>
        <v>2794</v>
      </c>
      <c r="EP519" s="240">
        <f>INPUT!FW416</f>
        <v>23.300970873786397</v>
      </c>
      <c r="EQ519" s="91">
        <f>INPUT!FX416</f>
        <v>3531</v>
      </c>
      <c r="ER519" s="240">
        <f>INPUT!FY416</f>
        <v>26.377952755905511</v>
      </c>
      <c r="ES519" s="91">
        <f>INPUT!FZ416</f>
        <v>4184</v>
      </c>
      <c r="ET519" s="240">
        <f>INPUT!GA416</f>
        <v>18.493344661568955</v>
      </c>
      <c r="EU519" s="91">
        <f>INPUT!GB416</f>
        <v>10431</v>
      </c>
      <c r="EV519" s="240" t="str">
        <f>INPUT!GC416</f>
        <v>NM</v>
      </c>
      <c r="EW519" s="91">
        <f>INPUT!GD416</f>
        <v>19361</v>
      </c>
      <c r="EX519" s="240">
        <f>INPUT!GE416</f>
        <v>85.61020036429872</v>
      </c>
      <c r="EY519" s="91">
        <f>INPUT!GF416</f>
        <v>11927</v>
      </c>
      <c r="EZ519" s="240">
        <f>INPUT!GG416</f>
        <v>-38.396777025980064</v>
      </c>
      <c r="FA519" s="91">
        <f>INPUT!GH416</f>
        <v>9136</v>
      </c>
      <c r="FB519" s="240">
        <f>INPUT!GI416</f>
        <v>-23.400687515720634</v>
      </c>
      <c r="FC519" s="91">
        <f>INPUT!GJ416</f>
        <v>8551</v>
      </c>
      <c r="FD519" s="240">
        <f>INPUT!GK416</f>
        <v>-6.4032399299474605</v>
      </c>
      <c r="FE519" s="91">
        <f>INPUT!GL416</f>
        <v>9445</v>
      </c>
      <c r="FF519" s="240">
        <f>INPUT!GM416</f>
        <v>10.454917553502526</v>
      </c>
      <c r="FG519" s="91">
        <f>INPUT!GN416</f>
        <v>9211</v>
      </c>
      <c r="FH519" s="240">
        <f>INPUT!GO416</f>
        <v>-2.4775013234515626</v>
      </c>
      <c r="FI519" s="91">
        <f>INPUT!GP416</f>
        <v>9259.4085583756969</v>
      </c>
      <c r="FJ519" s="240">
        <f>INPUT!GQ416</f>
        <v>0.5255516054249938</v>
      </c>
      <c r="FK519" s="91">
        <f>INPUT!GR416</f>
        <v>9355.0357782387346</v>
      </c>
      <c r="FL519" s="240">
        <f>INPUT!GS416</f>
        <v>1.0327573220271944</v>
      </c>
      <c r="FM519" s="91">
        <f>INPUT!GT416</f>
        <v>9462.9295460211233</v>
      </c>
      <c r="FN519" s="240">
        <f>INPUT!GU416</f>
        <v>1.1533228770045554</v>
      </c>
      <c r="FO519" s="91">
        <f>INPUT!GV416</f>
        <v>9572.0460855813344</v>
      </c>
      <c r="FP519" s="240">
        <f>INPUT!GW416</f>
        <v>1.1530947052870175</v>
      </c>
      <c r="FQ519" s="91">
        <f>INPUT!GX416</f>
        <v>9682.3990629781474</v>
      </c>
      <c r="FR519" s="240">
        <f>INPUT!GY416</f>
        <v>1.1528671760475646</v>
      </c>
      <c r="FS519" s="240">
        <f>INPUT!GZ416</f>
        <v>1.0032246056440375</v>
      </c>
    </row>
    <row r="520" spans="1:176" ht="12.75" hidden="1" customHeight="1" outlineLevel="1" x14ac:dyDescent="0.2">
      <c r="A520" s="522"/>
      <c r="B520" s="511"/>
      <c r="C520" s="487"/>
      <c r="D520" s="511"/>
      <c r="E520" s="487"/>
      <c r="F520" s="511"/>
      <c r="G520" s="487"/>
      <c r="H520" s="511"/>
      <c r="I520" s="487"/>
      <c r="J520" s="511"/>
      <c r="K520" s="487"/>
      <c r="L520" s="511"/>
      <c r="M520" s="487"/>
      <c r="N520" s="511"/>
      <c r="O520" s="487"/>
      <c r="P520" s="511"/>
      <c r="Q520" s="487"/>
      <c r="R520" s="511"/>
      <c r="S520" s="487"/>
      <c r="T520" s="511"/>
      <c r="U520" s="487"/>
      <c r="V520" s="511"/>
      <c r="W520" s="487"/>
      <c r="X520" s="511"/>
      <c r="Y520" s="487"/>
      <c r="Z520" s="511"/>
      <c r="AA520" s="487"/>
      <c r="AB520" s="511"/>
      <c r="AC520" s="487"/>
      <c r="AD520" s="511"/>
      <c r="AE520" s="487"/>
      <c r="AF520" s="511"/>
      <c r="AG520" s="487"/>
      <c r="AH520" s="511"/>
      <c r="AI520" s="486"/>
      <c r="AJ520" s="511"/>
      <c r="AK520" s="486"/>
      <c r="AL520" s="511"/>
      <c r="AM520" s="486"/>
      <c r="AN520" s="511"/>
      <c r="AO520" s="486"/>
      <c r="AP520" s="511"/>
      <c r="AQ520" s="486"/>
      <c r="AR520" s="511"/>
      <c r="AS520" s="486"/>
      <c r="AT520" s="511"/>
      <c r="AU520" s="486"/>
      <c r="AV520" s="511"/>
      <c r="AW520" s="486"/>
      <c r="AX520" s="511"/>
      <c r="AY520" s="486"/>
      <c r="AZ520" s="511"/>
      <c r="BA520" s="486"/>
      <c r="BB520" s="511"/>
      <c r="BC520" s="486"/>
      <c r="BD520" s="511"/>
      <c r="BE520" s="486"/>
      <c r="BF520" s="511"/>
      <c r="BG520" s="486"/>
      <c r="BH520" s="511"/>
      <c r="BI520" s="486"/>
      <c r="BJ520" s="511"/>
      <c r="BK520" s="486"/>
      <c r="BL520" s="511"/>
      <c r="BM520" s="486"/>
      <c r="BN520" s="511"/>
      <c r="BO520" s="486"/>
      <c r="BP520" s="511"/>
      <c r="BQ520" s="486"/>
      <c r="BR520" s="511"/>
      <c r="BS520" s="486"/>
      <c r="BT520" s="511"/>
      <c r="BU520" s="486"/>
      <c r="BV520" s="511"/>
      <c r="BW520" s="486"/>
      <c r="BX520" s="511"/>
      <c r="BY520" s="486"/>
      <c r="BZ520" s="511"/>
      <c r="CA520" s="486"/>
      <c r="CB520" s="511"/>
      <c r="CC520" s="486"/>
      <c r="CD520" s="511"/>
      <c r="CE520" s="486"/>
      <c r="CF520" s="511"/>
      <c r="CG520" s="486"/>
      <c r="CH520" s="511"/>
      <c r="CI520" s="486"/>
      <c r="CJ520" s="511"/>
      <c r="CK520" s="486"/>
      <c r="CL520" s="511"/>
      <c r="CM520" s="486"/>
      <c r="CN520" s="511"/>
      <c r="CO520" s="486"/>
      <c r="CP520" s="511"/>
      <c r="CQ520" s="486"/>
      <c r="CR520" s="511"/>
      <c r="CS520" s="486"/>
      <c r="CT520" s="511"/>
      <c r="CU520" s="486"/>
      <c r="CV520" s="511"/>
      <c r="CW520" s="486"/>
      <c r="CX520" s="511"/>
      <c r="CY520" s="486"/>
      <c r="CZ520" s="511"/>
      <c r="DA520" s="486"/>
      <c r="DB520" s="511"/>
      <c r="DC520" s="486"/>
      <c r="DD520" s="511"/>
      <c r="DE520" s="486"/>
      <c r="DF520" s="511"/>
      <c r="DG520" s="486"/>
      <c r="DH520" s="511"/>
      <c r="DI520" s="486"/>
      <c r="DJ520" s="511"/>
      <c r="DK520" s="486"/>
      <c r="DL520" s="511"/>
      <c r="DM520" s="486"/>
      <c r="DN520" s="511"/>
      <c r="DO520" s="486"/>
      <c r="DP520" s="511"/>
      <c r="DQ520" s="486"/>
      <c r="DR520" s="511"/>
      <c r="DS520" s="486"/>
      <c r="DT520" s="511"/>
      <c r="DU520" s="486"/>
      <c r="DV520" s="511"/>
      <c r="DW520" s="486"/>
      <c r="DX520" s="511"/>
      <c r="DY520" s="486"/>
      <c r="DZ520" s="511"/>
      <c r="EA520" s="486"/>
      <c r="EB520" s="525"/>
      <c r="EC520" s="511"/>
      <c r="ED520" s="487"/>
      <c r="EE520" s="511"/>
      <c r="EF520" s="487"/>
      <c r="EG520" s="511"/>
      <c r="EH520" s="487"/>
      <c r="EI520" s="511"/>
      <c r="EJ520" s="486"/>
      <c r="EK520" s="511"/>
      <c r="EL520" s="486"/>
      <c r="EM520" s="511"/>
      <c r="EN520" s="486"/>
      <c r="EO520" s="511"/>
      <c r="EP520" s="486"/>
      <c r="EQ520" s="511"/>
      <c r="ER520" s="486"/>
      <c r="ES520" s="511"/>
      <c r="ET520" s="486"/>
      <c r="EU520" s="511"/>
      <c r="EV520" s="486"/>
      <c r="EW520" s="511"/>
      <c r="EX520" s="486"/>
      <c r="EY520" s="511"/>
      <c r="EZ520" s="486"/>
      <c r="FA520" s="511"/>
      <c r="FB520" s="486"/>
      <c r="FC520" s="511"/>
      <c r="FD520" s="486"/>
      <c r="FE520" s="511"/>
      <c r="FF520" s="486"/>
      <c r="FG520" s="511"/>
      <c r="FH520" s="486"/>
      <c r="FI520" s="511"/>
      <c r="FJ520" s="486"/>
      <c r="FK520" s="511"/>
      <c r="FL520" s="486"/>
      <c r="FM520" s="511"/>
      <c r="FN520" s="486"/>
      <c r="FO520" s="511"/>
      <c r="FP520" s="486"/>
      <c r="FQ520" s="511"/>
      <c r="FR520" s="486"/>
      <c r="FS520" s="486"/>
    </row>
    <row r="521" spans="1:176" ht="12.75" hidden="1" customHeight="1" outlineLevel="1" x14ac:dyDescent="0.2">
      <c r="A521" s="512" t="s">
        <v>706</v>
      </c>
      <c r="B521" s="506">
        <f>INPUT!AA422</f>
        <v>75</v>
      </c>
      <c r="C521" s="513">
        <f>INPUT!AB422</f>
        <v>-27.884615384615387</v>
      </c>
      <c r="D521" s="506">
        <f>INPUT!AC422</f>
        <v>98</v>
      </c>
      <c r="E521" s="513">
        <f>INPUT!AD422</f>
        <v>-2.9702970297029765</v>
      </c>
      <c r="F521" s="506">
        <f>INPUT!AE422</f>
        <v>104</v>
      </c>
      <c r="G521" s="513">
        <f>INPUT!AF422</f>
        <v>1.9607843137254832</v>
      </c>
      <c r="H521" s="506">
        <f>INPUT!AG422</f>
        <v>93</v>
      </c>
      <c r="I521" s="513">
        <f>INPUT!AH422</f>
        <v>30.985915492957758</v>
      </c>
      <c r="J521" s="506">
        <f>INPUT!AI422</f>
        <v>94</v>
      </c>
      <c r="K521" s="513">
        <f>INPUT!AJ422</f>
        <v>25.333333333333343</v>
      </c>
      <c r="L521" s="506">
        <f>INPUT!AK422</f>
        <v>115</v>
      </c>
      <c r="M521" s="513">
        <f>INPUT!AL422</f>
        <v>17.34693877551021</v>
      </c>
      <c r="N521" s="506">
        <f>INPUT!AM422</f>
        <v>100</v>
      </c>
      <c r="O521" s="513">
        <f>INPUT!AN422</f>
        <v>-3.8461538461538396</v>
      </c>
      <c r="P521" s="506">
        <f>INPUT!AO422</f>
        <v>93</v>
      </c>
      <c r="Q521" s="513">
        <f>INPUT!AP422</f>
        <v>0</v>
      </c>
      <c r="R521" s="506">
        <f>INPUT!AQ422</f>
        <v>106</v>
      </c>
      <c r="S521" s="513">
        <f>INPUT!AR422</f>
        <v>12.7659574468085</v>
      </c>
      <c r="T521" s="506">
        <f>INPUT!AS422</f>
        <v>144</v>
      </c>
      <c r="U521" s="513">
        <f>INPUT!AT422</f>
        <v>25.217391304347842</v>
      </c>
      <c r="V521" s="506">
        <f>INPUT!AU422</f>
        <v>141</v>
      </c>
      <c r="W521" s="513">
        <f>INPUT!AV422</f>
        <v>41</v>
      </c>
      <c r="X521" s="506">
        <f>INPUT!AW422</f>
        <v>111</v>
      </c>
      <c r="Y521" s="513">
        <f>INPUT!AX422</f>
        <v>19.354838709677423</v>
      </c>
      <c r="Z521" s="506">
        <f>INPUT!AY422</f>
        <v>109</v>
      </c>
      <c r="AA521" s="513">
        <f>INPUT!AZ422</f>
        <v>2.8301886792452962</v>
      </c>
      <c r="AB521" s="506">
        <f>INPUT!BA422</f>
        <v>102</v>
      </c>
      <c r="AC521" s="513">
        <f>INPUT!BB422</f>
        <v>-29.166666666666657</v>
      </c>
      <c r="AD521" s="506">
        <f>INPUT!BC422</f>
        <v>148</v>
      </c>
      <c r="AE521" s="513">
        <f>INPUT!BD422</f>
        <v>4.9645390070921991</v>
      </c>
      <c r="AF521" s="506">
        <f>INPUT!BE422</f>
        <v>131</v>
      </c>
      <c r="AG521" s="513">
        <f>INPUT!BF422</f>
        <v>18.018018018018012</v>
      </c>
      <c r="AH521" s="506">
        <f>INPUT!BG422</f>
        <v>143</v>
      </c>
      <c r="AI521" s="507">
        <f>INPUT!BH422</f>
        <v>31.192660550458697</v>
      </c>
      <c r="AJ521" s="506">
        <f>INPUT!BI422</f>
        <v>157</v>
      </c>
      <c r="AK521" s="507">
        <f>INPUT!BJ422</f>
        <v>53.921568627450995</v>
      </c>
      <c r="AL521" s="506">
        <f>INPUT!BK422</f>
        <v>157</v>
      </c>
      <c r="AM521" s="507">
        <f>INPUT!BL422</f>
        <v>6.0810810810810807</v>
      </c>
      <c r="AN521" s="506">
        <f>INPUT!BM422</f>
        <v>121</v>
      </c>
      <c r="AO521" s="507">
        <f>INPUT!BN422</f>
        <v>-7.6335877862595396</v>
      </c>
      <c r="AP521" s="506">
        <f>INPUT!BO422</f>
        <v>128</v>
      </c>
      <c r="AQ521" s="507">
        <f>INPUT!BP422</f>
        <v>-10.489510489510494</v>
      </c>
      <c r="AR521" s="506">
        <f>INPUT!BQ422</f>
        <v>167</v>
      </c>
      <c r="AS521" s="507">
        <f>INPUT!BR422</f>
        <v>6.369426751592357</v>
      </c>
      <c r="AT521" s="506">
        <f>INPUT!BS422</f>
        <v>167</v>
      </c>
      <c r="AU521" s="507">
        <f>INPUT!BT422</f>
        <v>6.369426751592357</v>
      </c>
      <c r="AV521" s="506">
        <f>INPUT!BU422</f>
        <v>160</v>
      </c>
      <c r="AW521" s="507">
        <f>INPUT!BV422</f>
        <v>32.2314049586777</v>
      </c>
      <c r="AX521" s="506">
        <f>INPUT!BW422</f>
        <v>136</v>
      </c>
      <c r="AY521" s="507">
        <f>INPUT!BX422</f>
        <v>6.25</v>
      </c>
      <c r="AZ521" s="506">
        <f>INPUT!BY422</f>
        <v>158</v>
      </c>
      <c r="BA521" s="507">
        <f>INPUT!BZ422</f>
        <v>-5.3892215568862269</v>
      </c>
      <c r="BB521" s="506">
        <f>INPUT!CA422</f>
        <v>197</v>
      </c>
      <c r="BC521" s="507">
        <f>INPUT!CB422</f>
        <v>17.964071856287433</v>
      </c>
      <c r="BD521" s="506">
        <f>INPUT!CC422</f>
        <v>156</v>
      </c>
      <c r="BE521" s="507">
        <f>INPUT!CD422</f>
        <v>-2.5</v>
      </c>
      <c r="BF521" s="506">
        <f>INPUT!CE422</f>
        <v>156</v>
      </c>
      <c r="BG521" s="507">
        <f>INPUT!CF422</f>
        <v>14.705882352941174</v>
      </c>
      <c r="BH521" s="506">
        <f>INPUT!CG422</f>
        <v>163</v>
      </c>
      <c r="BI521" s="507">
        <f>INPUT!CH422</f>
        <v>3.1645569620253156</v>
      </c>
      <c r="BJ521" s="506">
        <f>INPUT!CI422</f>
        <v>199</v>
      </c>
      <c r="BK521" s="507">
        <f>INPUT!CJ422</f>
        <v>1.0152284263959359</v>
      </c>
      <c r="BL521" s="506">
        <f>INPUT!CK422</f>
        <v>248</v>
      </c>
      <c r="BM521" s="507">
        <f>INPUT!CL422</f>
        <v>58.974358974358978</v>
      </c>
      <c r="BN521" s="506">
        <f>INPUT!CM422</f>
        <v>328</v>
      </c>
      <c r="BO521" s="507" t="str">
        <f>INPUT!CN422</f>
        <v>NM</v>
      </c>
      <c r="BP521" s="506">
        <f>INPUT!CO422</f>
        <v>185</v>
      </c>
      <c r="BQ521" s="507">
        <f>INPUT!CP422</f>
        <v>13.496932515337434</v>
      </c>
      <c r="BR521" s="506">
        <f>INPUT!CQ422</f>
        <v>329</v>
      </c>
      <c r="BS521" s="507">
        <f>INPUT!CR422</f>
        <v>65.326633165829151</v>
      </c>
      <c r="BT521" s="506">
        <f>INPUT!CS422</f>
        <v>202</v>
      </c>
      <c r="BU521" s="507">
        <f>INPUT!CT422</f>
        <v>-18.548387096774192</v>
      </c>
      <c r="BV521" s="506">
        <f>INPUT!CU422</f>
        <v>215</v>
      </c>
      <c r="BW521" s="507">
        <f>INPUT!CV422</f>
        <v>-34.451219512195124</v>
      </c>
      <c r="BX521" s="506">
        <f>INPUT!CW422</f>
        <v>304</v>
      </c>
      <c r="BY521" s="507">
        <f>INPUT!CX422</f>
        <v>64.324324324324323</v>
      </c>
      <c r="BZ521" s="506">
        <f>INPUT!CY422</f>
        <v>389</v>
      </c>
      <c r="CA521" s="507">
        <f>INPUT!CZ422</f>
        <v>18.237082066869291</v>
      </c>
      <c r="CB521" s="506">
        <f>INPUT!DA422</f>
        <v>315</v>
      </c>
      <c r="CC521" s="507">
        <f>INPUT!DB422</f>
        <v>55.940594059405953</v>
      </c>
      <c r="CD521" s="506">
        <f>INPUT!DC422</f>
        <v>455</v>
      </c>
      <c r="CE521" s="507" t="str">
        <f>INPUT!DD422</f>
        <v>NM</v>
      </c>
      <c r="CF521" s="506">
        <f>INPUT!DE422</f>
        <v>482</v>
      </c>
      <c r="CG521" s="507">
        <f>INPUT!DF422</f>
        <v>58.55263157894737</v>
      </c>
      <c r="CH521" s="506">
        <f>INPUT!DG422</f>
        <v>354</v>
      </c>
      <c r="CI521" s="507">
        <f>INPUT!DH422</f>
        <v>-8.9974293059125898</v>
      </c>
      <c r="CJ521" s="506">
        <f>INPUT!DI422</f>
        <v>344</v>
      </c>
      <c r="CK521" s="507">
        <f>INPUT!DJ422</f>
        <v>9.2063492063492021</v>
      </c>
      <c r="CL521" s="506">
        <f>INPUT!DK422</f>
        <v>418</v>
      </c>
      <c r="CM521" s="507">
        <f>INPUT!DL422</f>
        <v>-8.1318681318681314</v>
      </c>
      <c r="CN521" s="506">
        <f>INPUT!DM422</f>
        <v>502</v>
      </c>
      <c r="CO521" s="507">
        <f>INPUT!DN422</f>
        <v>4.1493775933610095</v>
      </c>
      <c r="CP521" s="506">
        <f>INPUT!DO422</f>
        <v>431</v>
      </c>
      <c r="CQ521" s="507">
        <f>INPUT!DP422</f>
        <v>21.751412429378519</v>
      </c>
      <c r="CR521" s="506">
        <f>INPUT!DQ422</f>
        <v>312</v>
      </c>
      <c r="CS521" s="507">
        <f>INPUT!DR422</f>
        <v>-9.3023255813953512</v>
      </c>
      <c r="CT521" s="506">
        <f>INPUT!DS422</f>
        <v>395</v>
      </c>
      <c r="CU521" s="507">
        <f>INPUT!DT422</f>
        <v>-5.5023923444976077</v>
      </c>
      <c r="CV521" s="506">
        <f>INPUT!DU422</f>
        <v>461</v>
      </c>
      <c r="CW521" s="507">
        <f>INPUT!DV422</f>
        <v>-8.1673306772908347</v>
      </c>
      <c r="CX521" s="506">
        <f>INPUT!DW422</f>
        <v>414</v>
      </c>
      <c r="CY521" s="507">
        <f>INPUT!DX422</f>
        <v>-3.9443155452436116</v>
      </c>
      <c r="CZ521" s="506">
        <f>INPUT!DY422</f>
        <v>371</v>
      </c>
      <c r="DA521" s="507">
        <f>INPUT!DZ422</f>
        <v>18.910256410256409</v>
      </c>
      <c r="DB521" s="506">
        <f>INPUT!EA422</f>
        <v>369</v>
      </c>
      <c r="DC521" s="507">
        <f>INPUT!EB422</f>
        <v>-6.5822784810126649</v>
      </c>
      <c r="DD521" s="506">
        <f>INPUT!EC422</f>
        <v>460</v>
      </c>
      <c r="DE521" s="507">
        <f>INPUT!ED422</f>
        <v>-0.21691973969630851</v>
      </c>
      <c r="DF521" s="506">
        <f>INPUT!EE422</f>
        <v>389</v>
      </c>
      <c r="DG521" s="507">
        <f>INPUT!EF422</f>
        <v>-6.0386473429951764</v>
      </c>
      <c r="DH521" s="506">
        <f>INPUT!EG422</f>
        <v>360</v>
      </c>
      <c r="DI521" s="507">
        <f>INPUT!EH422</f>
        <v>-2.9649595687331498</v>
      </c>
      <c r="DJ521" s="506">
        <f>INPUT!EI422</f>
        <v>391</v>
      </c>
      <c r="DK521" s="507">
        <f>INPUT!EJ422</f>
        <v>5.9620596205962215</v>
      </c>
      <c r="DL521" s="506">
        <f>INPUT!EK422</f>
        <v>494</v>
      </c>
      <c r="DM521" s="507">
        <f>INPUT!EL422</f>
        <v>7.3913043478260931</v>
      </c>
      <c r="DN521" s="506">
        <f>INPUT!EM422</f>
        <v>426</v>
      </c>
      <c r="DO521" s="507">
        <f>INPUT!EN422</f>
        <v>9.5115681233933174</v>
      </c>
      <c r="DP521" s="506">
        <f>INPUT!EO422</f>
        <v>394</v>
      </c>
      <c r="DQ521" s="507">
        <f>INPUT!EP422</f>
        <v>9.4444444444444571</v>
      </c>
      <c r="DR521" s="506">
        <f>INPUT!EQ422</f>
        <v>418.40083542574803</v>
      </c>
      <c r="DS521" s="507">
        <f>INPUT!ER422</f>
        <v>7.0078862981452801</v>
      </c>
      <c r="DT521" s="506">
        <f>INPUT!ES422</f>
        <v>440.44495489295241</v>
      </c>
      <c r="DU521" s="507">
        <f>INPUT!ET422</f>
        <v>-10.8411022483902</v>
      </c>
      <c r="DV521" s="506">
        <f>INPUT!EU422</f>
        <v>423.59151031461124</v>
      </c>
      <c r="DW521" s="507">
        <f>INPUT!EV422</f>
        <v>-0.56537316558421935</v>
      </c>
      <c r="DX521" s="506">
        <f>INPUT!EW422</f>
        <v>402.3062130630633</v>
      </c>
      <c r="DY521" s="507">
        <f>INPUT!EX422</f>
        <v>2.1081759043307926</v>
      </c>
      <c r="DZ521" s="506"/>
      <c r="EA521" s="507"/>
      <c r="EB521" s="526" t="str">
        <f>INPUT!FI422</f>
        <v>NA</v>
      </c>
      <c r="EC521" s="506">
        <f>INPUT!FJ422</f>
        <v>378</v>
      </c>
      <c r="ED521" s="513">
        <f>INPUT!FK422</f>
        <v>10.204081632653043</v>
      </c>
      <c r="EE521" s="506">
        <f>INPUT!FL422</f>
        <v>370</v>
      </c>
      <c r="EF521" s="513">
        <f>INPUT!FM422</f>
        <v>-2.1164021164021136</v>
      </c>
      <c r="EG521" s="506">
        <f>INPUT!FN422</f>
        <v>402</v>
      </c>
      <c r="EH521" s="513">
        <f>INPUT!FO422</f>
        <v>8.6486486486486456</v>
      </c>
      <c r="EI521" s="506">
        <f>INPUT!FP422</f>
        <v>502</v>
      </c>
      <c r="EJ521" s="507">
        <f>INPUT!FQ422</f>
        <v>24.875621890547265</v>
      </c>
      <c r="EK521" s="506">
        <f>INPUT!FR422</f>
        <v>490</v>
      </c>
      <c r="EL521" s="507">
        <f>INPUT!FS422</f>
        <v>-2.3904382470119572</v>
      </c>
      <c r="EM521" s="506">
        <f>INPUT!FT422</f>
        <v>578</v>
      </c>
      <c r="EN521" s="507">
        <f>INPUT!FU422</f>
        <v>17.959183673469383</v>
      </c>
      <c r="EO521" s="506">
        <f>INPUT!FV422</f>
        <v>171</v>
      </c>
      <c r="EP521" s="507" t="str">
        <f>INPUT!FW422</f>
        <v>NM</v>
      </c>
      <c r="EQ521" s="506">
        <f>INPUT!FX422</f>
        <v>618</v>
      </c>
      <c r="ER521" s="507" t="str">
        <f>INPUT!FY422</f>
        <v>NM</v>
      </c>
      <c r="ES521" s="506">
        <f>INPUT!FZ422</f>
        <v>766</v>
      </c>
      <c r="ET521" s="507">
        <f>INPUT!GA422</f>
        <v>23.948220064724921</v>
      </c>
      <c r="EU521" s="506">
        <f>INPUT!GB422</f>
        <v>1044</v>
      </c>
      <c r="EV521" s="507">
        <f>INPUT!GC422</f>
        <v>36.292428198433413</v>
      </c>
      <c r="EW521" s="506">
        <f>INPUT!GD422</f>
        <v>1223</v>
      </c>
      <c r="EX521" s="507">
        <f>INPUT!GE422</f>
        <v>17.145593869731798</v>
      </c>
      <c r="EY521" s="506">
        <f>INPUT!GF422</f>
        <v>1635</v>
      </c>
      <c r="EZ521" s="507">
        <f>INPUT!GG422</f>
        <v>33.687653311529033</v>
      </c>
      <c r="FA521" s="506">
        <f>INPUT!GH422</f>
        <v>1663</v>
      </c>
      <c r="FB521" s="507">
        <f>INPUT!GI422</f>
        <v>1.7125382262996851</v>
      </c>
      <c r="FC521" s="506">
        <f>INPUT!GJ422</f>
        <v>1641</v>
      </c>
      <c r="FD521" s="507">
        <f>INPUT!GK422</f>
        <v>-1.3229104028863503</v>
      </c>
      <c r="FE521" s="506">
        <f>INPUT!GL422</f>
        <v>1578</v>
      </c>
      <c r="FF521" s="507">
        <f>INPUT!GM422</f>
        <v>-3.8391224862888436</v>
      </c>
      <c r="FG521" s="506">
        <f>INPUT!GN422</f>
        <v>1705</v>
      </c>
      <c r="FH521" s="507">
        <f>INPUT!GO422</f>
        <v>8.0481622306717355</v>
      </c>
      <c r="FI521" s="506">
        <f>INPUT!GP422</f>
        <v>1684.7435136963741</v>
      </c>
      <c r="FJ521" s="507">
        <f>INPUT!GQ422</f>
        <v>-1.1880637128226397</v>
      </c>
      <c r="FK521" s="506">
        <f>INPUT!GR422</f>
        <v>1698.5578145540567</v>
      </c>
      <c r="FL521" s="507">
        <f>INPUT!GS422</f>
        <v>0.8199646263883551</v>
      </c>
      <c r="FM521" s="506">
        <f>INPUT!GT422</f>
        <v>1701.199982699598</v>
      </c>
      <c r="FN521" s="507">
        <f>INPUT!GU422</f>
        <v>0.1555536186582458</v>
      </c>
      <c r="FO521" s="506">
        <f>INPUT!GV422</f>
        <v>1703.7247384265938</v>
      </c>
      <c r="FP521" s="507">
        <f>INPUT!GW422</f>
        <v>0.14841028407425938</v>
      </c>
      <c r="FQ521" s="506">
        <f>INPUT!GX422</f>
        <v>1706.1294692698593</v>
      </c>
      <c r="FR521" s="507">
        <f>INPUT!GY422</f>
        <v>0.14114550249979629</v>
      </c>
      <c r="FS521" s="507">
        <f>INPUT!GZ422</f>
        <v>1.3245397115624336E-2</v>
      </c>
    </row>
    <row r="522" spans="1:176" ht="12.75" hidden="1" customHeight="1" outlineLevel="2" x14ac:dyDescent="0.2">
      <c r="A522" s="471" t="s">
        <v>683</v>
      </c>
      <c r="B522" s="472">
        <f>(B506+B507+B509+B510-B514-B515-B516-B517-B518)-B521</f>
        <v>0</v>
      </c>
      <c r="C522" s="473"/>
      <c r="D522" s="472">
        <f>(D506+D507+D509+D510-D514-D515-D516-D517-D518)-D521</f>
        <v>0</v>
      </c>
      <c r="E522" s="473"/>
      <c r="F522" s="472">
        <f>(F506+F507+F509+F510-F514-F515-F516-F517-F518)-F521</f>
        <v>0</v>
      </c>
      <c r="G522" s="473"/>
      <c r="H522" s="472">
        <f>(H506+H507+H509+H510-H514-H515-H516-H517-H518)-H521</f>
        <v>0</v>
      </c>
      <c r="I522" s="473"/>
      <c r="J522" s="472">
        <f>(J506+J507+J509+J510-J514-J515-J516-J517-J518)-J521</f>
        <v>0</v>
      </c>
      <c r="K522" s="473"/>
      <c r="L522" s="472">
        <f>(L506+L507+L509+L510-L514-L515-L516-L517-L518)-L521</f>
        <v>0</v>
      </c>
      <c r="M522" s="473"/>
      <c r="N522" s="472">
        <f>(N506+N507+N509+N510-N514-N515-N516-N517-N518)-N521</f>
        <v>0</v>
      </c>
      <c r="O522" s="473"/>
      <c r="P522" s="472">
        <f>(P506+P507+P509+P510-P514-P515-P516-P517-P518)-P521</f>
        <v>0</v>
      </c>
      <c r="Q522" s="473"/>
      <c r="R522" s="472">
        <f>(R506+R507+R509+R510-R514-R515-R516-R517-R518)-R521</f>
        <v>0</v>
      </c>
      <c r="S522" s="473"/>
      <c r="T522" s="472">
        <f>(T506+T507+T509+T510-T514-T515-T516-T517-T518)-T521</f>
        <v>0</v>
      </c>
      <c r="U522" s="473"/>
      <c r="V522" s="472">
        <f>(V506+V507+V509+V510-V514-V515-V516-V517-V518)-V521</f>
        <v>0</v>
      </c>
      <c r="W522" s="473"/>
      <c r="X522" s="472">
        <f>(X506+X507+X509+X510-X514-X515-X516-X517-X518)-X521</f>
        <v>0</v>
      </c>
      <c r="Y522" s="473"/>
      <c r="Z522" s="472">
        <f>(Z506+Z507+Z509+Z510-Z514-Z515-Z516-Z517-Z518)-Z521</f>
        <v>0</v>
      </c>
      <c r="AA522" s="473"/>
      <c r="AB522" s="472">
        <f>(AB506+AB507+AB509+AB510-AB514-AB515-AB516-AB517-AB518)-AB521</f>
        <v>0</v>
      </c>
      <c r="AC522" s="473"/>
      <c r="AD522" s="472">
        <f>(AD506+AD507+AD509+AD510-AD514-AD515-AD516-AD517-AD518)-AD521</f>
        <v>0</v>
      </c>
      <c r="AE522" s="473"/>
      <c r="AF522" s="472">
        <f>(AF506+AF507+AF509+AF510-AF514-AF515-AF516-AF517-AF518)-AF521</f>
        <v>0</v>
      </c>
      <c r="AG522" s="473"/>
      <c r="AH522" s="472">
        <f>(AH506+AH507+AH509+AH510-AH514-AH515-AH516-AH517-AH518)-AH521</f>
        <v>0</v>
      </c>
      <c r="AI522" s="473"/>
      <c r="AJ522" s="472">
        <f>(AJ506+AJ507+AJ509+AJ510-AJ514-AJ515-AJ516-AJ517-AJ518)-AJ521</f>
        <v>0</v>
      </c>
      <c r="AK522" s="473"/>
      <c r="AL522" s="472">
        <f>(AL506+AL507+AL509+AL510-AL514-AL515-AL516-AL517-AL518)-AL521</f>
        <v>0</v>
      </c>
      <c r="AM522" s="473"/>
      <c r="AN522" s="472">
        <f>(AN506+AN507+AN509+AN510-AN514-AN515-AN516-AN517-AN518)-AN521</f>
        <v>0</v>
      </c>
      <c r="AO522" s="473"/>
      <c r="AP522" s="472">
        <f>(AP506+AP507+AP509+AP510-AP514-AP515-AP516-AP517-AP518)-AP521</f>
        <v>0</v>
      </c>
      <c r="AQ522" s="473"/>
      <c r="AR522" s="472">
        <f>(AR506+AR507+AR509+AR510-AR514-AR515-AR516-AR517-AR518)-AR521</f>
        <v>0</v>
      </c>
      <c r="AS522" s="473"/>
      <c r="AT522" s="472">
        <f>(AT506+AT507+AT509+AT510-AT514-AT515-AT516-AT517-AT518)-AT521</f>
        <v>0</v>
      </c>
      <c r="AU522" s="473"/>
      <c r="AV522" s="472">
        <f>(AV506+AV507+AV509+AV510-AV514-AV515-AV516-AV517-AV518)-AV521</f>
        <v>0</v>
      </c>
      <c r="AW522" s="473"/>
      <c r="AX522" s="472">
        <f>(AX506+AX507+AX509+AX510-AX514-AX515-AX516-AX517-AX518)-AX521</f>
        <v>0</v>
      </c>
      <c r="AY522" s="473"/>
      <c r="AZ522" s="472">
        <f>(AZ506+AZ507+AZ509+AZ510-AZ514-AZ515-AZ516-AZ517-AZ518)-AZ521</f>
        <v>0</v>
      </c>
      <c r="BA522" s="473"/>
      <c r="BB522" s="472">
        <f>(BB506+BB507+BB509+BB510-BB514-BB515-BB516-BB517-BB518)-BB521</f>
        <v>0</v>
      </c>
      <c r="BC522" s="473"/>
      <c r="BD522" s="472">
        <f>(BD506+BD507+BD509+BD510-BD514-BD515-BD516-BD517-BD518)-BD521</f>
        <v>0</v>
      </c>
      <c r="BE522" s="473"/>
      <c r="BF522" s="472">
        <f>(BF506+BF507+BF509+BF510-BF514-BF515-BF516-BF517-BF518)-BF521</f>
        <v>0</v>
      </c>
      <c r="BG522" s="473"/>
      <c r="BH522" s="472">
        <f>(BH506+BH507+BH509+BH510-BH514-BH515-BH516-BH517-BH518)-BH521</f>
        <v>0</v>
      </c>
      <c r="BI522" s="473"/>
      <c r="BJ522" s="472">
        <f>(BJ506+BJ507+BJ509+BJ510-BJ514-BJ515-BJ516-BJ517-BJ518)-BJ521</f>
        <v>0</v>
      </c>
      <c r="BK522" s="473"/>
      <c r="BL522" s="472">
        <f>(BL506+BL507+BL509+BL510-BL514-BL515-BL516-BL517-BL518)-BL521</f>
        <v>0</v>
      </c>
      <c r="BM522" s="473"/>
      <c r="BN522" s="472">
        <f>(BN506+BN507+BN509+BN510-BN514-BN515-BN516-BN517-BN518)-BN521</f>
        <v>0</v>
      </c>
      <c r="BO522" s="473"/>
      <c r="BP522" s="472">
        <f>(BP506+BP507+BP509+BP510-BP514-BP515-BP516-BP517-BP518)-BP521</f>
        <v>0</v>
      </c>
      <c r="BQ522" s="473"/>
      <c r="BR522" s="472">
        <f>(BR506+BR507+BR509+BR510-BR514-BR515-BR516-BR517-BR518)-BR521</f>
        <v>0</v>
      </c>
      <c r="BS522" s="473"/>
      <c r="BT522" s="472">
        <f>(BT506+BT507+BT509+BT510-BT514-BT515-BT516-BT517-BT518)-BT521</f>
        <v>0</v>
      </c>
      <c r="BU522" s="473"/>
      <c r="BV522" s="472">
        <f>(BV506+BV507+BV509+BV510-BV514-BV515-BV516-BV517-BV518)-BV521</f>
        <v>0</v>
      </c>
      <c r="BW522" s="473"/>
      <c r="BX522" s="472">
        <f>(BX506+BX507+BX509+BX510-BX514-BX515-BX516-BX517-BX518)-BX521</f>
        <v>0</v>
      </c>
      <c r="BY522" s="473"/>
      <c r="BZ522" s="472">
        <f>(BZ506+BZ507+BZ509+BZ510-BZ514-BZ515-BZ516-BZ517-BZ518)-BZ521</f>
        <v>0</v>
      </c>
      <c r="CA522" s="473"/>
      <c r="CB522" s="472">
        <f>(CB506+CB507+CB509+CB510-CB514-CB515-CB516-CB517-CB518)-CB521</f>
        <v>0</v>
      </c>
      <c r="CC522" s="473"/>
      <c r="CD522" s="472">
        <f>(CD506+CD507+CD509+CD510-CD514-CD515-CD516-CD517-CD518)-CD521</f>
        <v>0</v>
      </c>
      <c r="CE522" s="473"/>
      <c r="CF522" s="472">
        <f>(CF506+CF507+CF509+CF510-CF514-CF515-CF516-CF517-CF518)-CF521</f>
        <v>0</v>
      </c>
      <c r="CG522" s="473"/>
      <c r="CH522" s="472">
        <f>(CH506+CH507+CH509+CH510-CH514-CH515-CH516-CH517-CH518)-CH521</f>
        <v>0</v>
      </c>
      <c r="CI522" s="473"/>
      <c r="CJ522" s="472">
        <f>(CJ506+CJ507+CJ509+CJ510-CJ514-CJ515-CJ516-CJ517-CJ518)-CJ521</f>
        <v>0</v>
      </c>
      <c r="CK522" s="473"/>
      <c r="CL522" s="472">
        <f>(CL506+CL507+CL509+CL510-CL514-CL515-CL516-CL517-CL518)-CL521</f>
        <v>0</v>
      </c>
      <c r="CM522" s="473"/>
      <c r="CN522" s="472">
        <f>(CN506+CN507+CN509+CN510-CN514-CN515-CN516-CN517-CN518)-CN521</f>
        <v>0</v>
      </c>
      <c r="CO522" s="473"/>
      <c r="CP522" s="472">
        <f>(CP506+CP507+CP509+CP510-CP514-CP515-CP516-CP517-CP518)-CP521</f>
        <v>0</v>
      </c>
      <c r="CQ522" s="473"/>
      <c r="CR522" s="472">
        <f>(CR506+CR507+CR509+CR510-CR514-CR515-CR516-CR517-CR518)-CR521</f>
        <v>0</v>
      </c>
      <c r="CS522" s="473"/>
      <c r="CT522" s="472">
        <f>(CT506+CT507+CT509+CT510-CT514-CT515-CT516-CT517-CT518)-CT521</f>
        <v>0</v>
      </c>
      <c r="CU522" s="473"/>
      <c r="CV522" s="472">
        <f>(CV506+CV507+CV509+CV510-CV514-CV515-CV516-CV517-CV518)-CV521</f>
        <v>0</v>
      </c>
      <c r="CW522" s="473"/>
      <c r="CX522" s="472">
        <f>(CX506+CX507+CX509+CX510-CX514-CX515-CX516-CX517-CX518)-CX521</f>
        <v>0</v>
      </c>
      <c r="CY522" s="473"/>
      <c r="CZ522" s="472">
        <f>(CZ506+CZ507+CZ509+CZ510-CZ514-CZ515-CZ516-CZ517-CZ518)-CZ521</f>
        <v>0</v>
      </c>
      <c r="DA522" s="473"/>
      <c r="DB522" s="472">
        <f>(DB506+DB507+DB509+DB510-DB514-DB515-DB516-DB517-DB518)-DB521</f>
        <v>0</v>
      </c>
      <c r="DC522" s="473"/>
      <c r="DD522" s="472">
        <f>(DD506+DD507+DD509+DD510-DD514-DD515-DD516-DD517-DD518)-DD521</f>
        <v>0</v>
      </c>
      <c r="DE522" s="473"/>
      <c r="DF522" s="472">
        <f>(DF506+DF507+DF509+DF510-DF514-DF515-DF516-DF517-DF518)-DF521</f>
        <v>0</v>
      </c>
      <c r="DG522" s="473"/>
      <c r="DH522" s="472">
        <f>(DH506+DH507+DH509+DH510-DH514-DH515-DH516-DH517-DH518)-DH521</f>
        <v>0</v>
      </c>
      <c r="DI522" s="473"/>
      <c r="DJ522" s="472">
        <f>(DJ506+DJ507+DJ509+DJ510-DJ514-DJ515-DJ516-DJ517-DJ518)-DJ521</f>
        <v>0</v>
      </c>
      <c r="DK522" s="473"/>
      <c r="DL522" s="472">
        <f>(DL506+DL507+DL509+DL510-DL514-DL515-DL516-DL517-DL518)-DL521</f>
        <v>0</v>
      </c>
      <c r="DM522" s="473"/>
      <c r="DN522" s="472">
        <f>(DN506+DN507+DN509+DN510-DN514-DN515-DN516-DN517-DN518)-DN521</f>
        <v>0</v>
      </c>
      <c r="DO522" s="473"/>
      <c r="DP522" s="472">
        <f>(DP506+DP507+DP509+DP510-DP514-DP515-DP516-DP517-DP518)-DP521</f>
        <v>0</v>
      </c>
      <c r="DQ522" s="473"/>
      <c r="DR522" s="472">
        <f>(DR506+DR507+DR509+DR510-DR514-DR515-DR516-DR517-DR518)-DR521</f>
        <v>0</v>
      </c>
      <c r="DS522" s="473"/>
      <c r="DT522" s="472">
        <f>(DT506+DT507+DT509+DT510-DT514-DT515-DT516-DT517-DT518)-DT521</f>
        <v>0</v>
      </c>
      <c r="DU522" s="473"/>
      <c r="DV522" s="472">
        <f>(DV506+DV507+DV509+DV510-DV514-DV515-DV516-DV517-DV518)-DV521</f>
        <v>0</v>
      </c>
      <c r="DW522" s="473"/>
      <c r="DX522" s="472">
        <f>(DX506+DX507+DX509+DX510-DX514-DX515-DX516-DX517-DX518)-DX521</f>
        <v>0</v>
      </c>
      <c r="DY522" s="473"/>
      <c r="DZ522" s="472"/>
      <c r="EA522" s="473"/>
      <c r="EB522" s="473"/>
      <c r="EC522" s="472">
        <f>(EC506+EC507+EC509+EC510-EC514-EC515-EC516-EC517-EC518)-EC521</f>
        <v>0</v>
      </c>
      <c r="ED522" s="473"/>
      <c r="EE522" s="472">
        <f>(EE506+EE507+EE509+EE510-EE514-EE515-EE516-EE517-EE518)-EE521</f>
        <v>0</v>
      </c>
      <c r="EF522" s="473"/>
      <c r="EG522" s="472">
        <f>(EG506+EG507+EG509+EG510-EG514-EG515-EG516-EG517-EG518)-EG521</f>
        <v>0</v>
      </c>
      <c r="EH522" s="473"/>
      <c r="EI522" s="472">
        <f>(EI506+EI507+EI509+EI510-EI514-EI515-EI516-EI517-EI518)-EI521</f>
        <v>0</v>
      </c>
      <c r="EJ522" s="473"/>
      <c r="EK522" s="472">
        <f>(EK506+EK507+EK509+EK510-EK514-EK515-EK516-EK517-EK518)-EK521</f>
        <v>0</v>
      </c>
      <c r="EL522" s="473"/>
      <c r="EM522" s="472">
        <f>(EM506+EM507+EM509+EM510-EM514-EM515-EM516-EM517-EM518)-EM521</f>
        <v>0</v>
      </c>
      <c r="EN522" s="473"/>
      <c r="EO522" s="472">
        <f>(EO506+EO507+EO509+EO510-EO514-EO515-EO516-EO517-EO518)-EO521</f>
        <v>0</v>
      </c>
      <c r="EP522" s="473"/>
      <c r="EQ522" s="472">
        <f>(EQ506+EQ507+EQ509+EQ510-EQ514-EQ515-EQ516-EQ517-EQ518)-EQ521</f>
        <v>0</v>
      </c>
      <c r="ER522" s="473"/>
      <c r="ES522" s="472">
        <f>(ES506+ES507+ES509+ES510-ES514-ES515-ES516-ES517-ES518)-ES521</f>
        <v>0</v>
      </c>
      <c r="ET522" s="473"/>
      <c r="EU522" s="472">
        <f>(EU506+EU507+EU509+EU510-EU514-EU515-EU516-EU517-EU518)-EU521</f>
        <v>0</v>
      </c>
      <c r="EV522" s="473"/>
      <c r="EW522" s="472">
        <f>(EW506+EW507+EW509+EW510-EW514-EW515-EW516-EW517-EW518)-EW521</f>
        <v>0</v>
      </c>
      <c r="EX522" s="473"/>
      <c r="EY522" s="472">
        <f>(EY506+EY507+EY509+EY510-EY514-EY515-EY516-EY517-EY518)-EY521</f>
        <v>0</v>
      </c>
      <c r="EZ522" s="473"/>
      <c r="FA522" s="472">
        <f>(FA506+FA507+FA509+FA510-FA514-FA515-FA516-FA517-FA518)-FA521</f>
        <v>0</v>
      </c>
      <c r="FB522" s="473"/>
      <c r="FC522" s="472">
        <f>(FC506+FC507+FC509+FC510-FC514-FC515-FC516-FC517-FC518)-FC521</f>
        <v>0</v>
      </c>
      <c r="FD522" s="473"/>
      <c r="FE522" s="472">
        <f>(FE506+FE507+FE509+FE510-FE514-FE515-FE516-FE517-FE518)-FE521</f>
        <v>0</v>
      </c>
      <c r="FF522" s="473"/>
      <c r="FG522" s="472">
        <f>(FG506+FG507+FG509+FG510-FG514-FG515-FG516-FG517-FG518)-FG521</f>
        <v>0</v>
      </c>
      <c r="FH522" s="473"/>
      <c r="FI522" s="472">
        <f>(FI506+FI507+FI509+FI510-FI514-FI515-FI516-FI517-FI518)-FI521</f>
        <v>0</v>
      </c>
      <c r="FJ522" s="473"/>
      <c r="FK522" s="472">
        <f>(FK506+FK507+FK509+FK510-FK514-FK515-FK516-FK517-FK518)-FK521</f>
        <v>0</v>
      </c>
      <c r="FL522" s="473"/>
      <c r="FM522" s="472">
        <f>(FM506+FM507+FM509+FM510-FM514-FM515-FM516-FM517-FM518)-FM521</f>
        <v>0</v>
      </c>
      <c r="FN522" s="473"/>
      <c r="FO522" s="472">
        <f>(FO506+FO507+FO509+FO510-FO514-FO515-FO516-FO517-FO518)-FO521</f>
        <v>0</v>
      </c>
      <c r="FP522" s="473"/>
      <c r="FQ522" s="472">
        <f>(FQ506+FQ507+FQ509+FQ510-FQ514-FQ515-FQ516-FQ517-FQ518)-FQ521</f>
        <v>0</v>
      </c>
      <c r="FR522" s="473"/>
      <c r="FS522" s="474"/>
      <c r="FT522" s="351"/>
    </row>
    <row r="523" spans="1:176" ht="12.75" hidden="1" customHeight="1" outlineLevel="1" collapsed="1" x14ac:dyDescent="0.2">
      <c r="A523" s="76"/>
      <c r="B523" s="511"/>
      <c r="C523" s="487"/>
      <c r="D523" s="511"/>
      <c r="E523" s="487"/>
      <c r="F523" s="511"/>
      <c r="G523" s="487"/>
      <c r="H523" s="511"/>
      <c r="I523" s="487"/>
      <c r="J523" s="511"/>
      <c r="K523" s="487"/>
      <c r="L523" s="511"/>
      <c r="M523" s="487"/>
      <c r="N523" s="511"/>
      <c r="O523" s="487"/>
      <c r="P523" s="511"/>
      <c r="Q523" s="487"/>
      <c r="R523" s="511"/>
      <c r="S523" s="487"/>
      <c r="T523" s="511"/>
      <c r="U523" s="487"/>
      <c r="V523" s="511"/>
      <c r="W523" s="487"/>
      <c r="X523" s="511"/>
      <c r="Y523" s="487"/>
      <c r="Z523" s="511"/>
      <c r="AA523" s="487"/>
      <c r="AB523" s="511"/>
      <c r="AC523" s="487"/>
      <c r="AD523" s="511"/>
      <c r="AE523" s="487"/>
      <c r="AF523" s="511"/>
      <c r="AG523" s="487"/>
      <c r="AH523" s="511"/>
      <c r="AI523" s="486"/>
      <c r="AJ523" s="511"/>
      <c r="AK523" s="486"/>
      <c r="AL523" s="511"/>
      <c r="AM523" s="486"/>
      <c r="AN523" s="511"/>
      <c r="AO523" s="486"/>
      <c r="AP523" s="511"/>
      <c r="AQ523" s="486"/>
      <c r="AR523" s="511"/>
      <c r="AS523" s="486"/>
      <c r="AT523" s="511"/>
      <c r="AU523" s="486"/>
      <c r="AV523" s="511"/>
      <c r="AW523" s="486"/>
      <c r="AX523" s="511"/>
      <c r="AY523" s="486"/>
      <c r="AZ523" s="511"/>
      <c r="BA523" s="486"/>
      <c r="BB523" s="511"/>
      <c r="BC523" s="486"/>
      <c r="BD523" s="511"/>
      <c r="BE523" s="486"/>
      <c r="BF523" s="511"/>
      <c r="BG523" s="486"/>
      <c r="BH523" s="511"/>
      <c r="BI523" s="486"/>
      <c r="BJ523" s="511"/>
      <c r="BK523" s="486"/>
      <c r="BL523" s="511"/>
      <c r="BM523" s="486"/>
      <c r="BN523" s="511"/>
      <c r="BO523" s="486"/>
      <c r="BP523" s="511"/>
      <c r="BQ523" s="486"/>
      <c r="BR523" s="511"/>
      <c r="BS523" s="486"/>
      <c r="BT523" s="511"/>
      <c r="BU523" s="486"/>
      <c r="BV523" s="511"/>
      <c r="BW523" s="486"/>
      <c r="BX523" s="511"/>
      <c r="BY523" s="486"/>
      <c r="BZ523" s="511"/>
      <c r="CA523" s="486"/>
      <c r="CB523" s="511"/>
      <c r="CC523" s="486"/>
      <c r="CD523" s="511"/>
      <c r="CE523" s="486"/>
      <c r="CF523" s="511"/>
      <c r="CG523" s="486"/>
      <c r="CH523" s="511"/>
      <c r="CI523" s="486"/>
      <c r="CJ523" s="511"/>
      <c r="CK523" s="486"/>
      <c r="CL523" s="511"/>
      <c r="CM523" s="486"/>
      <c r="CN523" s="511"/>
      <c r="CO523" s="486"/>
      <c r="CP523" s="511"/>
      <c r="CQ523" s="486"/>
      <c r="CR523" s="511"/>
      <c r="CS523" s="486"/>
      <c r="CT523" s="511"/>
      <c r="CU523" s="486"/>
      <c r="CV523" s="511"/>
      <c r="CW523" s="486"/>
      <c r="CX523" s="511"/>
      <c r="CY523" s="486"/>
      <c r="CZ523" s="511"/>
      <c r="DA523" s="486"/>
      <c r="DB523" s="511"/>
      <c r="DC523" s="486"/>
      <c r="DD523" s="511"/>
      <c r="DE523" s="486"/>
      <c r="DF523" s="511"/>
      <c r="DG523" s="486"/>
      <c r="DH523" s="511"/>
      <c r="DI523" s="486"/>
      <c r="DJ523" s="511"/>
      <c r="DK523" s="486"/>
      <c r="DL523" s="511"/>
      <c r="DM523" s="486"/>
      <c r="DN523" s="511"/>
      <c r="DO523" s="486"/>
      <c r="DP523" s="511"/>
      <c r="DQ523" s="486"/>
      <c r="DR523" s="511"/>
      <c r="DS523" s="486"/>
      <c r="DT523" s="511"/>
      <c r="DU523" s="486"/>
      <c r="DV523" s="511"/>
      <c r="DW523" s="486"/>
      <c r="DX523" s="511"/>
      <c r="DY523" s="486"/>
      <c r="DZ523" s="511"/>
      <c r="EA523" s="486"/>
      <c r="EB523" s="525"/>
      <c r="EC523" s="511"/>
      <c r="ED523" s="487"/>
      <c r="EE523" s="511"/>
      <c r="EF523" s="487"/>
      <c r="EG523" s="511"/>
      <c r="EH523" s="487"/>
      <c r="EI523" s="511"/>
      <c r="EJ523" s="486"/>
      <c r="EK523" s="511"/>
      <c r="EL523" s="486"/>
      <c r="EM523" s="511"/>
      <c r="EN523" s="486"/>
      <c r="EO523" s="511"/>
      <c r="EP523" s="486"/>
      <c r="EQ523" s="511"/>
      <c r="ER523" s="486"/>
      <c r="ES523" s="511"/>
      <c r="ET523" s="486"/>
      <c r="EU523" s="511"/>
      <c r="EV523" s="486"/>
      <c r="EW523" s="511"/>
      <c r="EX523" s="486"/>
      <c r="EY523" s="511"/>
      <c r="EZ523" s="486"/>
      <c r="FA523" s="511"/>
      <c r="FB523" s="486"/>
      <c r="FC523" s="511"/>
      <c r="FD523" s="486"/>
      <c r="FE523" s="511"/>
      <c r="FF523" s="486"/>
      <c r="FG523" s="511"/>
      <c r="FH523" s="486"/>
      <c r="FI523" s="511"/>
      <c r="FJ523" s="486"/>
      <c r="FK523" s="511"/>
      <c r="FL523" s="486"/>
      <c r="FM523" s="511"/>
      <c r="FN523" s="486"/>
      <c r="FO523" s="511"/>
      <c r="FP523" s="486"/>
      <c r="FQ523" s="511"/>
      <c r="FR523" s="486"/>
      <c r="FS523" s="486"/>
    </row>
    <row r="524" spans="1:176" ht="12.75" hidden="1" customHeight="1" outlineLevel="1" x14ac:dyDescent="0.2">
      <c r="A524" s="70" t="s">
        <v>255</v>
      </c>
      <c r="B524" s="511"/>
      <c r="C524" s="487"/>
      <c r="D524" s="511"/>
      <c r="E524" s="487"/>
      <c r="F524" s="511"/>
      <c r="G524" s="487"/>
      <c r="H524" s="511"/>
      <c r="I524" s="487"/>
      <c r="J524" s="511"/>
      <c r="K524" s="487"/>
      <c r="L524" s="511"/>
      <c r="M524" s="487"/>
      <c r="N524" s="511"/>
      <c r="O524" s="487"/>
      <c r="P524" s="511"/>
      <c r="Q524" s="487"/>
      <c r="R524" s="511"/>
      <c r="S524" s="487"/>
      <c r="T524" s="511"/>
      <c r="U524" s="487"/>
      <c r="V524" s="511"/>
      <c r="W524" s="487"/>
      <c r="X524" s="511"/>
      <c r="Y524" s="487"/>
      <c r="Z524" s="511"/>
      <c r="AA524" s="487"/>
      <c r="AB524" s="511"/>
      <c r="AC524" s="487"/>
      <c r="AD524" s="511"/>
      <c r="AE524" s="487"/>
      <c r="AF524" s="511"/>
      <c r="AG524" s="487"/>
      <c r="AH524" s="511"/>
      <c r="AI524" s="486"/>
      <c r="AJ524" s="511"/>
      <c r="AK524" s="486"/>
      <c r="AL524" s="511"/>
      <c r="AM524" s="486"/>
      <c r="AN524" s="511"/>
      <c r="AO524" s="486"/>
      <c r="AP524" s="511"/>
      <c r="AQ524" s="486"/>
      <c r="AR524" s="511"/>
      <c r="AS524" s="486"/>
      <c r="AT524" s="511"/>
      <c r="AU524" s="486"/>
      <c r="AV524" s="511"/>
      <c r="AW524" s="486"/>
      <c r="AX524" s="511"/>
      <c r="AY524" s="486"/>
      <c r="AZ524" s="511"/>
      <c r="BA524" s="486"/>
      <c r="BB524" s="511"/>
      <c r="BC524" s="486"/>
      <c r="BD524" s="511"/>
      <c r="BE524" s="486"/>
      <c r="BF524" s="511"/>
      <c r="BG524" s="486"/>
      <c r="BH524" s="511"/>
      <c r="BI524" s="486"/>
      <c r="BJ524" s="511"/>
      <c r="BK524" s="486"/>
      <c r="BL524" s="511"/>
      <c r="BM524" s="486"/>
      <c r="BN524" s="511"/>
      <c r="BO524" s="486"/>
      <c r="BP524" s="511"/>
      <c r="BQ524" s="486"/>
      <c r="BR524" s="511"/>
      <c r="BS524" s="486"/>
      <c r="BT524" s="511"/>
      <c r="BU524" s="486"/>
      <c r="BV524" s="511"/>
      <c r="BW524" s="486"/>
      <c r="BX524" s="511"/>
      <c r="BY524" s="486"/>
      <c r="BZ524" s="511"/>
      <c r="CA524" s="486"/>
      <c r="CB524" s="511"/>
      <c r="CC524" s="486"/>
      <c r="CD524" s="511"/>
      <c r="CE524" s="486"/>
      <c r="CF524" s="511"/>
      <c r="CG524" s="486"/>
      <c r="CH524" s="511"/>
      <c r="CI524" s="486"/>
      <c r="CJ524" s="511"/>
      <c r="CK524" s="486"/>
      <c r="CL524" s="511"/>
      <c r="CM524" s="486"/>
      <c r="CN524" s="511"/>
      <c r="CO524" s="486"/>
      <c r="CP524" s="511"/>
      <c r="CQ524" s="486"/>
      <c r="CR524" s="511"/>
      <c r="CS524" s="486"/>
      <c r="CT524" s="511"/>
      <c r="CU524" s="486"/>
      <c r="CV524" s="511"/>
      <c r="CW524" s="486"/>
      <c r="CX524" s="511"/>
      <c r="CY524" s="486"/>
      <c r="CZ524" s="511"/>
      <c r="DA524" s="486"/>
      <c r="DB524" s="511"/>
      <c r="DC524" s="486"/>
      <c r="DD524" s="511"/>
      <c r="DE524" s="486"/>
      <c r="DF524" s="511"/>
      <c r="DG524" s="486"/>
      <c r="DH524" s="511"/>
      <c r="DI524" s="486"/>
      <c r="DJ524" s="511"/>
      <c r="DK524" s="486"/>
      <c r="DL524" s="511"/>
      <c r="DM524" s="486"/>
      <c r="DN524" s="511"/>
      <c r="DO524" s="486"/>
      <c r="DP524" s="511"/>
      <c r="DQ524" s="486"/>
      <c r="DR524" s="511"/>
      <c r="DS524" s="486"/>
      <c r="DT524" s="511"/>
      <c r="DU524" s="486"/>
      <c r="DV524" s="511"/>
      <c r="DW524" s="486"/>
      <c r="DX524" s="511"/>
      <c r="DY524" s="486"/>
      <c r="DZ524" s="511"/>
      <c r="EA524" s="486"/>
      <c r="EB524" s="525"/>
      <c r="EC524" s="511"/>
      <c r="ED524" s="487"/>
      <c r="EE524" s="511"/>
      <c r="EF524" s="487"/>
      <c r="EG524" s="511"/>
      <c r="EH524" s="487"/>
      <c r="EI524" s="511"/>
      <c r="EJ524" s="486"/>
      <c r="EK524" s="511"/>
      <c r="EL524" s="486"/>
      <c r="EM524" s="511"/>
      <c r="EN524" s="486"/>
      <c r="EO524" s="511"/>
      <c r="EP524" s="486"/>
      <c r="EQ524" s="511"/>
      <c r="ER524" s="486"/>
      <c r="ES524" s="511"/>
      <c r="ET524" s="486"/>
      <c r="EU524" s="511"/>
      <c r="EV524" s="486"/>
      <c r="EW524" s="511"/>
      <c r="EX524" s="486"/>
      <c r="EY524" s="511"/>
      <c r="EZ524" s="486"/>
      <c r="FA524" s="511"/>
      <c r="FB524" s="486"/>
      <c r="FC524" s="511"/>
      <c r="FD524" s="486"/>
      <c r="FE524" s="511"/>
      <c r="FF524" s="486"/>
      <c r="FG524" s="511"/>
      <c r="FH524" s="486"/>
      <c r="FI524" s="511"/>
      <c r="FJ524" s="486"/>
      <c r="FK524" s="511"/>
      <c r="FL524" s="486"/>
      <c r="FM524" s="511"/>
      <c r="FN524" s="486"/>
      <c r="FO524" s="511"/>
      <c r="FP524" s="486"/>
      <c r="FQ524" s="511"/>
      <c r="FR524" s="486"/>
      <c r="FS524" s="486"/>
    </row>
    <row r="525" spans="1:176" ht="12.75" hidden="1" customHeight="1" outlineLevel="1" x14ac:dyDescent="0.2">
      <c r="A525" s="77" t="str">
        <f>INPUT!B423</f>
        <v>Pretax Margin</v>
      </c>
      <c r="B525" s="73">
        <f>INPUT!AA423</f>
        <v>11.261261261261261</v>
      </c>
      <c r="C525" s="155">
        <f>INPUT!AB423</f>
        <v>-26.04383229383231</v>
      </c>
      <c r="D525" s="73">
        <f>INPUT!AC423</f>
        <v>14.16184971098266</v>
      </c>
      <c r="E525" s="155">
        <f>INPUT!AD423</f>
        <v>-4.2322440336519094</v>
      </c>
      <c r="F525" s="73">
        <f>INPUT!AE423</f>
        <v>15.545590433482809</v>
      </c>
      <c r="G525" s="155">
        <f>INPUT!AF423</f>
        <v>1.3511533163339919</v>
      </c>
      <c r="H525" s="73">
        <f>INPUT!AG423</f>
        <v>13.419913419913421</v>
      </c>
      <c r="I525" s="155">
        <f>INPUT!AH423</f>
        <v>25.31552954088167</v>
      </c>
      <c r="J525" s="73">
        <f>INPUT!AI423</f>
        <v>12.859097127222983</v>
      </c>
      <c r="K525" s="155">
        <f>INPUT!AJ423</f>
        <v>14.188782489740092</v>
      </c>
      <c r="L525" s="73">
        <f>INPUT!AK423</f>
        <v>14.303482587064675</v>
      </c>
      <c r="M525" s="155">
        <f>INPUT!AL423</f>
        <v>1.0001015331505556</v>
      </c>
      <c r="N525" s="73">
        <f>INPUT!AM423</f>
        <v>14.204545454545455</v>
      </c>
      <c r="O525" s="155">
        <f>INPUT!AN423</f>
        <v>-8.6265297202797058</v>
      </c>
      <c r="P525" s="73">
        <f>INPUT!AO423</f>
        <v>13.304721030042918</v>
      </c>
      <c r="Q525" s="155">
        <f>INPUT!AP423</f>
        <v>-0.85836909871245837</v>
      </c>
      <c r="R525" s="73">
        <f>INPUT!AQ423</f>
        <v>14.304993252361673</v>
      </c>
      <c r="S525" s="155">
        <f>INPUT!AR423</f>
        <v>11.244149654004062</v>
      </c>
      <c r="T525" s="73">
        <f>INPUT!AS423</f>
        <v>17.910447761194028</v>
      </c>
      <c r="U525" s="155">
        <f>INPUT!AT423</f>
        <v>25.217391304347842</v>
      </c>
      <c r="V525" s="73">
        <f>INPUT!AU423</f>
        <v>16.646989374262102</v>
      </c>
      <c r="W525" s="155">
        <f>INPUT!AV423</f>
        <v>17.194805194805184</v>
      </c>
      <c r="X525" s="73">
        <f>INPUT!AW423</f>
        <v>15.395284327323161</v>
      </c>
      <c r="Y525" s="155">
        <f>INPUT!AX423</f>
        <v>15.712943492461179</v>
      </c>
      <c r="Z525" s="73">
        <f>INPUT!AY423</f>
        <v>14.911080711354311</v>
      </c>
      <c r="AA525" s="155">
        <f>INPUT!AZ423</f>
        <v>4.2368944067315653</v>
      </c>
      <c r="AB525" s="73">
        <f>INPUT!BA423</f>
        <v>13.83989145183175</v>
      </c>
      <c r="AC525" s="155">
        <f>INPUT!BB423</f>
        <v>-22.72727272727272</v>
      </c>
      <c r="AD525" s="73">
        <f>INPUT!BC423</f>
        <v>20.933521923620933</v>
      </c>
      <c r="AE525" s="155">
        <f>INPUT!BD423</f>
        <v>25.749596236219375</v>
      </c>
      <c r="AF525" s="73">
        <f>INPUT!BE423</f>
        <v>19.378698224852069</v>
      </c>
      <c r="AG525" s="155">
        <f>INPUT!BF423</f>
        <v>25.87424702809318</v>
      </c>
      <c r="AH525" s="81">
        <f>INPUT!BG423</f>
        <v>20.605187319884728</v>
      </c>
      <c r="AI525" s="240">
        <f>INPUT!BH423</f>
        <v>38.187081934272783</v>
      </c>
      <c r="AJ525" s="81">
        <f>INPUT!BI423</f>
        <v>21.01740294511379</v>
      </c>
      <c r="AK525" s="240">
        <f>INPUT!BJ423</f>
        <v>51.861038926949647</v>
      </c>
      <c r="AL525" s="81">
        <f>INPUT!BK423</f>
        <v>22.557471264367816</v>
      </c>
      <c r="AM525" s="240">
        <f>INPUT!BL423</f>
        <v>7.7576498912705887</v>
      </c>
      <c r="AN525" s="81">
        <f>INPUT!BM423</f>
        <v>17.114568599717114</v>
      </c>
      <c r="AO525" s="240">
        <f>INPUT!BN423</f>
        <v>-11.683600202986483</v>
      </c>
      <c r="AP525" s="81">
        <f>INPUT!BO423</f>
        <v>17.112299465240639</v>
      </c>
      <c r="AQ525" s="240">
        <f>INPUT!BP423</f>
        <v>-16.951497700160829</v>
      </c>
      <c r="AR525" s="81">
        <f>INPUT!BQ423</f>
        <v>19.88095238095238</v>
      </c>
      <c r="AS525" s="240">
        <f>INPUT!BR423</f>
        <v>-5.407188353048241</v>
      </c>
      <c r="AT525" s="81">
        <f>INPUT!BS423</f>
        <v>21.858638743455497</v>
      </c>
      <c r="AU525" s="240">
        <f>INPUT!BT423</f>
        <v>-3.09800913729282</v>
      </c>
      <c r="AV525" s="81">
        <f>INPUT!BU423</f>
        <v>19.728729963008632</v>
      </c>
      <c r="AW525" s="240">
        <f>INPUT!BV423</f>
        <v>15.274480031794255</v>
      </c>
      <c r="AX525" s="81">
        <f>INPUT!BW423</f>
        <v>14.686825053995682</v>
      </c>
      <c r="AY525" s="240">
        <f>INPUT!BX423</f>
        <v>-14.173866090712721</v>
      </c>
      <c r="AZ525" s="81">
        <f>INPUT!BY423</f>
        <v>15.414634146341463</v>
      </c>
      <c r="BA525" s="240">
        <f>INPUT!BZ423</f>
        <v>-22.46531327588724</v>
      </c>
      <c r="BB525" s="81">
        <f>INPUT!CA423</f>
        <v>17.844202898550723</v>
      </c>
      <c r="BC525" s="240">
        <f>INPUT!CB423</f>
        <v>-18.36544302698951</v>
      </c>
      <c r="BD525" s="81">
        <f>INPUT!CC423</f>
        <v>14.259597806215721</v>
      </c>
      <c r="BE525" s="240">
        <f>INPUT!CD423</f>
        <v>-27.721663619744064</v>
      </c>
      <c r="BF525" s="81">
        <f>INPUT!CE423</f>
        <v>14.016172506738545</v>
      </c>
      <c r="BG525" s="240">
        <f>INPUT!CF423</f>
        <v>-4.5663548438243282</v>
      </c>
      <c r="BH525" s="81">
        <f>INPUT!CG423</f>
        <v>12.957074721780604</v>
      </c>
      <c r="BI525" s="240">
        <f>INPUT!CH423</f>
        <v>-15.943027912499247</v>
      </c>
      <c r="BJ525" s="81">
        <f>INPUT!CI423</f>
        <v>16.392092257001647</v>
      </c>
      <c r="BK525" s="240">
        <f>INPUT!CJ423</f>
        <v>-8.1377164886811215</v>
      </c>
      <c r="BL525" s="81">
        <f>INPUT!CK423</f>
        <v>18.168498168498168</v>
      </c>
      <c r="BM525" s="240">
        <f>INPUT!CL423</f>
        <v>27.412416643185878</v>
      </c>
      <c r="BN525" s="81">
        <f>INPUT!CM423</f>
        <v>14.748201438848922</v>
      </c>
      <c r="BO525" s="240">
        <f>INPUT!CN423</f>
        <v>5.222744881018258</v>
      </c>
      <c r="BP525" s="81">
        <f>INPUT!CO423</f>
        <v>5.9600515463917532</v>
      </c>
      <c r="BQ525" s="240" t="str">
        <f>INPUT!CP423</f>
        <v>NM</v>
      </c>
      <c r="BR525" s="81">
        <f>INPUT!CQ423</f>
        <v>10.77275703994761</v>
      </c>
      <c r="BS525" s="240">
        <f>INPUT!CR423</f>
        <v>-34.28076861057086</v>
      </c>
      <c r="BT525" s="81">
        <f>INPUT!CS423</f>
        <v>6.5308761720012933</v>
      </c>
      <c r="BU525" s="240" t="str">
        <f>INPUT!CT423</f>
        <v>NM</v>
      </c>
      <c r="BV525" s="81">
        <f>INPUT!CU423</f>
        <v>6.1428571428571432</v>
      </c>
      <c r="BW525" s="240" t="str">
        <f>INPUT!CV423</f>
        <v>NM</v>
      </c>
      <c r="BX525" s="81">
        <f>INPUT!CW423</f>
        <v>7.2140484100616993</v>
      </c>
      <c r="BY525" s="240">
        <f>INPUT!CX423</f>
        <v>21.040033863954122</v>
      </c>
      <c r="BZ525" s="81">
        <f>INPUT!CY423</f>
        <v>6.5742775054926481</v>
      </c>
      <c r="CA525" s="240">
        <f>INPUT!CZ423</f>
        <v>-38.973120055396514</v>
      </c>
      <c r="CB525" s="81">
        <f>INPUT!DA423</f>
        <v>4.5304185243779669</v>
      </c>
      <c r="CC525" s="240">
        <f>INPUT!DB423</f>
        <v>-30.630769822272015</v>
      </c>
      <c r="CD525" s="81">
        <f>INPUT!DC423</f>
        <v>11.645764013309444</v>
      </c>
      <c r="CE525" s="240">
        <f>INPUT!DD423</f>
        <v>89.582204867828153</v>
      </c>
      <c r="CF525" s="81">
        <f>INPUT!DE423</f>
        <v>12.74457958751983</v>
      </c>
      <c r="CG525" s="240">
        <f>INPUT!DF423</f>
        <v>76.663349940159748</v>
      </c>
      <c r="CH525" s="81">
        <f>INPUT!DG423</f>
        <v>11.471160077770577</v>
      </c>
      <c r="CI525" s="240">
        <f>INPUT!DH423</f>
        <v>74.485486324340627</v>
      </c>
      <c r="CJ525" s="81">
        <f>INPUT!DI423</f>
        <v>12.343021169716542</v>
      </c>
      <c r="CK525" s="240" t="str">
        <f>INPUT!DJ423</f>
        <v>NM</v>
      </c>
      <c r="CL525" s="81">
        <f>INPUT!DK423</f>
        <v>16.101694915254235</v>
      </c>
      <c r="CM525" s="240">
        <f>INPUT!DL423</f>
        <v>38.262246228347919</v>
      </c>
      <c r="CN525" s="81">
        <f>INPUT!DM423</f>
        <v>16.783684386492812</v>
      </c>
      <c r="CO525" s="240">
        <f>INPUT!DN423</f>
        <v>31.692726866630352</v>
      </c>
      <c r="CP525" s="81">
        <f>INPUT!DO423</f>
        <v>15.857247976453273</v>
      </c>
      <c r="CQ525" s="240">
        <f>INPUT!DP423</f>
        <v>38.235783207160466</v>
      </c>
      <c r="CR525" s="81">
        <f>INPUT!DQ423</f>
        <v>12.510024057738573</v>
      </c>
      <c r="CS525" s="240">
        <f>INPUT!DR423</f>
        <v>1.3530146770854685</v>
      </c>
      <c r="CT525" s="81">
        <f>INPUT!DS423</f>
        <v>16.030844155844157</v>
      </c>
      <c r="CU525" s="240">
        <f>INPUT!DT423</f>
        <v>-0.44002050580995444</v>
      </c>
      <c r="CV525" s="81">
        <f>INPUT!DU423</f>
        <v>16.429080541696365</v>
      </c>
      <c r="CW525" s="240">
        <f>INPUT!DV423</f>
        <v>-2.1127890433987488</v>
      </c>
      <c r="CX525" s="81">
        <f>INPUT!DW423</f>
        <v>16.559999999999999</v>
      </c>
      <c r="CY525" s="240">
        <f>INPUT!DX423</f>
        <v>4.4317401392111435</v>
      </c>
      <c r="CZ525" s="81">
        <f>INPUT!DY423</f>
        <v>15.317919075144509</v>
      </c>
      <c r="DA525" s="240">
        <f>INPUT!DZ423</f>
        <v>22.445160812212833</v>
      </c>
      <c r="DB525" s="81">
        <f>INPUT!EA423</f>
        <v>14.849094567404428</v>
      </c>
      <c r="DC525" s="240">
        <f>INPUT!EB423</f>
        <v>-7.3717240149759391</v>
      </c>
      <c r="DD525" s="81">
        <f>INPUT!EC423</f>
        <v>15.72112098427888</v>
      </c>
      <c r="DE525" s="240">
        <f>INPUT!ED423</f>
        <v>-4.3091855056691202</v>
      </c>
      <c r="DF525" s="81">
        <f>INPUT!EE423</f>
        <v>13.644335320940021</v>
      </c>
      <c r="DG525" s="240">
        <f>INPUT!EF423</f>
        <v>-17.606670767270387</v>
      </c>
      <c r="DH525" s="81">
        <f>INPUT!EG423</f>
        <v>13.038754074610647</v>
      </c>
      <c r="DI525" s="240">
        <f>INPUT!EH423</f>
        <v>-14.879077173296523</v>
      </c>
      <c r="DJ525" s="81">
        <f>INPUT!EI423</f>
        <v>14.861269479285443</v>
      </c>
      <c r="DK525" s="240">
        <f>INPUT!EJ423</f>
        <v>8.1990937735284319E-2</v>
      </c>
      <c r="DL525" s="81">
        <f>INPUT!EK423</f>
        <v>16.999311768754303</v>
      </c>
      <c r="DM525" s="240">
        <f>INPUT!EL423</f>
        <v>8.1304048595110601</v>
      </c>
      <c r="DN525" s="81">
        <f>INPUT!EM423</f>
        <v>15.496544197890142</v>
      </c>
      <c r="DO525" s="240">
        <f>INPUT!EN423</f>
        <v>13.574929326953196</v>
      </c>
      <c r="DP525" s="81">
        <f>INPUT!EO423</f>
        <v>14.980988593155894</v>
      </c>
      <c r="DQ525" s="240">
        <f>INPUT!EP423</f>
        <v>14.89585973806507</v>
      </c>
      <c r="DR525" s="81">
        <f>INPUT!EQ423</f>
        <v>15.681801031876693</v>
      </c>
      <c r="DS525" s="240">
        <f>INPUT!ER423</f>
        <v>5.521274974085884</v>
      </c>
      <c r="DT525" s="81">
        <f>INPUT!ES423</f>
        <v>15.196357476597882</v>
      </c>
      <c r="DU525" s="240">
        <f>INPUT!ET423</f>
        <v>-10.606042860337155</v>
      </c>
      <c r="DV525" s="81">
        <f>INPUT!EU423</f>
        <v>15.430437194611901</v>
      </c>
      <c r="DW525" s="240">
        <f>INPUT!EV423</f>
        <v>-0.42659190613117914</v>
      </c>
      <c r="DX525" s="81">
        <f>INPUT!EW423</f>
        <v>15.281947357073932</v>
      </c>
      <c r="DY525" s="240">
        <f>INPUT!EX423</f>
        <v>2.0089379418894282</v>
      </c>
      <c r="DZ525" s="81"/>
      <c r="EA525" s="240"/>
      <c r="EB525" s="527" t="str">
        <f>INPUT!FI423</f>
        <v>NA</v>
      </c>
      <c r="EC525" s="73">
        <f>INPUT!FJ423</f>
        <v>14.03118040089087</v>
      </c>
      <c r="ED525" s="155">
        <f>INPUT!FK423</f>
        <v>-13.808463251670375</v>
      </c>
      <c r="EE525" s="73">
        <f>INPUT!FL423</f>
        <v>13.602941176470587</v>
      </c>
      <c r="EF525" s="155">
        <f>INPUT!FM423</f>
        <v>-3.0520541549953606</v>
      </c>
      <c r="EG525" s="73">
        <f>INPUT!FN423</f>
        <v>13.682777399591558</v>
      </c>
      <c r="EH525" s="155">
        <f>INPUT!FO423</f>
        <v>0.58690412672713421</v>
      </c>
      <c r="EI525" s="73">
        <f>INPUT!FP423</f>
        <v>16.125923546418246</v>
      </c>
      <c r="EJ525" s="240">
        <f>INPUT!FQ423</f>
        <v>17.855630296957244</v>
      </c>
      <c r="EK525" s="81">
        <f>INPUT!FR423</f>
        <v>17.186951946685376</v>
      </c>
      <c r="EL525" s="240">
        <f>INPUT!FS423</f>
        <v>6.5796442430907831</v>
      </c>
      <c r="EM525" s="81">
        <f>INPUT!FT423</f>
        <v>20.323488045007032</v>
      </c>
      <c r="EN525" s="240">
        <f>INPUT!FU423</f>
        <v>18.249519216969475</v>
      </c>
      <c r="EO525" s="81">
        <f>INPUT!FV423</f>
        <v>5.7672849915682969</v>
      </c>
      <c r="EP525" s="240" t="str">
        <f>INPUT!FW423</f>
        <v>NM</v>
      </c>
      <c r="EQ525" s="81">
        <f>INPUT!FX423</f>
        <v>14.895155459146784</v>
      </c>
      <c r="ER525" s="240" t="str">
        <f>INPUT!FY423</f>
        <v>NM</v>
      </c>
      <c r="ES525" s="81">
        <f>INPUT!FZ423</f>
        <v>15.474747474747474</v>
      </c>
      <c r="ET525" s="240">
        <f>INPUT!GA423</f>
        <v>3.8911444542512328</v>
      </c>
      <c r="EU525" s="81">
        <f>INPUT!GB423</f>
        <v>9.0980392156862742</v>
      </c>
      <c r="EV525" s="240">
        <f>INPUT!GC423</f>
        <v>-41.207187835969897</v>
      </c>
      <c r="EW525" s="81">
        <f>INPUT!GD423</f>
        <v>5.9415079673532842</v>
      </c>
      <c r="EX525" s="240">
        <f>INPUT!GE423</f>
        <v>-34.694632255384164</v>
      </c>
      <c r="EY525" s="81">
        <f>INPUT!GF423</f>
        <v>12.055743990561863</v>
      </c>
      <c r="EZ525" s="240" t="str">
        <f>INPUT!GG423</f>
        <v>NM</v>
      </c>
      <c r="FA525" s="81">
        <f>INPUT!GH423</f>
        <v>15.399574034632838</v>
      </c>
      <c r="FB525" s="240">
        <f>INPUT!GI423</f>
        <v>27.73640553987191</v>
      </c>
      <c r="FC525" s="81">
        <f>INPUT!GJ423</f>
        <v>16.100863422291994</v>
      </c>
      <c r="FD525" s="240">
        <f>INPUT!GK423</f>
        <v>4.55395315534048</v>
      </c>
      <c r="FE525" s="81">
        <f>INPUT!GL423</f>
        <v>14.31552209017509</v>
      </c>
      <c r="FF525" s="240">
        <f>INPUT!GM423</f>
        <v>-11.08848193597531</v>
      </c>
      <c r="FG525" s="81">
        <f>INPUT!GN423</f>
        <v>15.619274459508977</v>
      </c>
      <c r="FH525" s="240">
        <f>INPUT!GO423</f>
        <v>9.1072638575205644</v>
      </c>
      <c r="FI525" s="81">
        <f>INPUT!GP423</f>
        <v>15.394006795607321</v>
      </c>
      <c r="FJ525" s="240">
        <f>INPUT!GQ423</f>
        <v>-1.4422415361586332</v>
      </c>
      <c r="FK525" s="81">
        <f>INPUT!GR423</f>
        <v>15.366566540510021</v>
      </c>
      <c r="FL525" s="240">
        <f>INPUT!GS423</f>
        <v>-0.17825284516004558</v>
      </c>
      <c r="FM525" s="81">
        <f>INPUT!GT423</f>
        <v>15.238088901809219</v>
      </c>
      <c r="FN525" s="240">
        <f>INPUT!GU423</f>
        <v>-0.8360855260809501</v>
      </c>
      <c r="FO525" s="81">
        <f>INPUT!GV423</f>
        <v>15.109607715679092</v>
      </c>
      <c r="FP525" s="240">
        <f>INPUT!GW423</f>
        <v>-0.84315813457993727</v>
      </c>
      <c r="FQ525" s="81">
        <f>INPUT!GX423</f>
        <v>14.981123017242709</v>
      </c>
      <c r="FR525" s="240">
        <f>INPUT!GY423</f>
        <v>-0.85035098762395478</v>
      </c>
      <c r="FS525" s="240">
        <f>INPUT!GZ423</f>
        <v>-0.83082443396884642</v>
      </c>
    </row>
    <row r="526" spans="1:176" ht="12.75" hidden="1" customHeight="1" outlineLevel="1" x14ac:dyDescent="0.2">
      <c r="A526" s="70"/>
      <c r="B526" s="91"/>
      <c r="C526" s="155"/>
      <c r="D526" s="91"/>
      <c r="E526" s="155"/>
      <c r="F526" s="91"/>
      <c r="G526" s="155"/>
      <c r="H526" s="91"/>
      <c r="I526" s="155"/>
      <c r="J526" s="91"/>
      <c r="K526" s="155"/>
      <c r="L526" s="91"/>
      <c r="M526" s="155"/>
      <c r="N526" s="91"/>
      <c r="O526" s="155"/>
      <c r="P526" s="91"/>
      <c r="Q526" s="155"/>
      <c r="R526" s="91"/>
      <c r="S526" s="155"/>
      <c r="T526" s="91"/>
      <c r="U526" s="155"/>
      <c r="V526" s="91"/>
      <c r="W526" s="155"/>
      <c r="X526" s="91"/>
      <c r="Y526" s="155"/>
      <c r="Z526" s="91"/>
      <c r="AA526" s="155"/>
      <c r="AB526" s="91"/>
      <c r="AC526" s="155"/>
      <c r="AD526" s="91"/>
      <c r="AE526" s="155"/>
      <c r="AF526" s="91"/>
      <c r="AG526" s="155"/>
      <c r="AH526" s="91"/>
      <c r="AI526" s="240"/>
      <c r="AJ526" s="91"/>
      <c r="AK526" s="240"/>
      <c r="AL526" s="91"/>
      <c r="AM526" s="240"/>
      <c r="AN526" s="91"/>
      <c r="AO526" s="240"/>
      <c r="AP526" s="91"/>
      <c r="AQ526" s="240"/>
      <c r="AR526" s="91"/>
      <c r="AS526" s="240"/>
      <c r="AT526" s="91"/>
      <c r="AU526" s="240"/>
      <c r="AV526" s="91"/>
      <c r="AW526" s="240"/>
      <c r="AX526" s="91"/>
      <c r="AY526" s="240"/>
      <c r="AZ526" s="91"/>
      <c r="BA526" s="240"/>
      <c r="BB526" s="91"/>
      <c r="BC526" s="240"/>
      <c r="BD526" s="91"/>
      <c r="BE526" s="240"/>
      <c r="BF526" s="91"/>
      <c r="BG526" s="240"/>
      <c r="BH526" s="91"/>
      <c r="BI526" s="240"/>
      <c r="BJ526" s="91"/>
      <c r="BK526" s="240"/>
      <c r="BL526" s="91"/>
      <c r="BM526" s="240"/>
      <c r="BN526" s="91"/>
      <c r="BO526" s="240"/>
      <c r="BP526" s="91"/>
      <c r="BQ526" s="240"/>
      <c r="BR526" s="91"/>
      <c r="BS526" s="240"/>
      <c r="BT526" s="91"/>
      <c r="BU526" s="240"/>
      <c r="BV526" s="91"/>
      <c r="BW526" s="240"/>
      <c r="BX526" s="91"/>
      <c r="BY526" s="240"/>
      <c r="BZ526" s="91"/>
      <c r="CA526" s="240"/>
      <c r="CB526" s="91"/>
      <c r="CC526" s="240"/>
      <c r="CD526" s="91"/>
      <c r="CE526" s="240"/>
      <c r="CF526" s="91"/>
      <c r="CG526" s="240"/>
      <c r="CH526" s="91"/>
      <c r="CI526" s="240"/>
      <c r="CJ526" s="91"/>
      <c r="CK526" s="240"/>
      <c r="CL526" s="91"/>
      <c r="CM526" s="240"/>
      <c r="CN526" s="91"/>
      <c r="CO526" s="240"/>
      <c r="CP526" s="91"/>
      <c r="CQ526" s="240"/>
      <c r="CR526" s="91"/>
      <c r="CS526" s="240"/>
      <c r="CT526" s="91"/>
      <c r="CU526" s="240"/>
      <c r="CV526" s="91"/>
      <c r="CW526" s="240"/>
      <c r="CX526" s="91"/>
      <c r="CY526" s="240"/>
      <c r="CZ526" s="91"/>
      <c r="DA526" s="240"/>
      <c r="DB526" s="91"/>
      <c r="DC526" s="240"/>
      <c r="DD526" s="91"/>
      <c r="DE526" s="240"/>
      <c r="DF526" s="91"/>
      <c r="DG526" s="240"/>
      <c r="DH526" s="91"/>
      <c r="DI526" s="240"/>
      <c r="DJ526" s="91"/>
      <c r="DK526" s="240"/>
      <c r="DL526" s="91"/>
      <c r="DM526" s="240"/>
      <c r="DN526" s="91"/>
      <c r="DO526" s="240"/>
      <c r="DP526" s="91"/>
      <c r="DQ526" s="240"/>
      <c r="DR526" s="91"/>
      <c r="DS526" s="240"/>
      <c r="DT526" s="91"/>
      <c r="DU526" s="240"/>
      <c r="DV526" s="91"/>
      <c r="DW526" s="240"/>
      <c r="DX526" s="91"/>
      <c r="DY526" s="240"/>
      <c r="DZ526" s="91"/>
      <c r="EA526" s="240"/>
      <c r="EB526" s="498"/>
      <c r="EC526" s="91"/>
      <c r="ED526" s="155"/>
      <c r="EE526" s="91"/>
      <c r="EF526" s="155"/>
      <c r="EG526" s="91"/>
      <c r="EH526" s="155"/>
      <c r="EI526" s="91"/>
      <c r="EJ526" s="240"/>
      <c r="EK526" s="91"/>
      <c r="EL526" s="240"/>
      <c r="EM526" s="91"/>
      <c r="EN526" s="240"/>
      <c r="EO526" s="91"/>
      <c r="EP526" s="240"/>
      <c r="EQ526" s="91"/>
      <c r="ER526" s="240"/>
      <c r="ES526" s="91"/>
      <c r="ET526" s="240"/>
      <c r="EU526" s="91"/>
      <c r="EV526" s="240"/>
      <c r="EW526" s="91"/>
      <c r="EX526" s="240"/>
      <c r="EY526" s="91"/>
      <c r="EZ526" s="240"/>
      <c r="FA526" s="91"/>
      <c r="FB526" s="240"/>
      <c r="FC526" s="91"/>
      <c r="FD526" s="240"/>
      <c r="FE526" s="91"/>
      <c r="FF526" s="240"/>
      <c r="FG526" s="91"/>
      <c r="FH526" s="240"/>
      <c r="FI526" s="91"/>
      <c r="FJ526" s="240"/>
      <c r="FK526" s="91"/>
      <c r="FL526" s="240"/>
      <c r="FM526" s="91"/>
      <c r="FN526" s="240"/>
      <c r="FO526" s="91"/>
      <c r="FP526" s="240"/>
      <c r="FQ526" s="91"/>
      <c r="FR526" s="240"/>
      <c r="FS526" s="240"/>
    </row>
    <row r="527" spans="1:176" ht="12.75" hidden="1" customHeight="1" outlineLevel="1" x14ac:dyDescent="0.2">
      <c r="A527" s="70" t="s">
        <v>498</v>
      </c>
      <c r="B527" s="91"/>
      <c r="C527" s="155"/>
      <c r="D527" s="91"/>
      <c r="E527" s="155"/>
      <c r="F527" s="91"/>
      <c r="G527" s="155"/>
      <c r="H527" s="91"/>
      <c r="I527" s="155"/>
      <c r="J527" s="91"/>
      <c r="K527" s="155"/>
      <c r="L527" s="91"/>
      <c r="M527" s="155"/>
      <c r="N527" s="91"/>
      <c r="O527" s="155"/>
      <c r="P527" s="91"/>
      <c r="Q527" s="155"/>
      <c r="R527" s="91"/>
      <c r="S527" s="155"/>
      <c r="T527" s="91"/>
      <c r="U527" s="155"/>
      <c r="V527" s="91"/>
      <c r="W527" s="155"/>
      <c r="X527" s="91"/>
      <c r="Y527" s="155"/>
      <c r="Z527" s="91"/>
      <c r="AA527" s="155"/>
      <c r="AB527" s="91"/>
      <c r="AC527" s="155"/>
      <c r="AD527" s="91"/>
      <c r="AE527" s="155"/>
      <c r="AF527" s="91"/>
      <c r="AG527" s="155"/>
      <c r="AH527" s="91"/>
      <c r="AI527" s="240"/>
      <c r="AJ527" s="91"/>
      <c r="AK527" s="240"/>
      <c r="AL527" s="91"/>
      <c r="AM527" s="240"/>
      <c r="AN527" s="91"/>
      <c r="AO527" s="240"/>
      <c r="AP527" s="91"/>
      <c r="AQ527" s="240"/>
      <c r="AR527" s="91"/>
      <c r="AS527" s="240"/>
      <c r="AT527" s="91"/>
      <c r="AU527" s="240"/>
      <c r="AV527" s="91"/>
      <c r="AW527" s="240"/>
      <c r="AX527" s="91"/>
      <c r="AY527" s="240"/>
      <c r="AZ527" s="91"/>
      <c r="BA527" s="240"/>
      <c r="BB527" s="91"/>
      <c r="BC527" s="240"/>
      <c r="BD527" s="91"/>
      <c r="BE527" s="240"/>
      <c r="BF527" s="91"/>
      <c r="BG527" s="240"/>
      <c r="BH527" s="91"/>
      <c r="BI527" s="240"/>
      <c r="BJ527" s="91"/>
      <c r="BK527" s="240"/>
      <c r="BL527" s="91"/>
      <c r="BM527" s="240"/>
      <c r="BN527" s="91"/>
      <c r="BO527" s="240"/>
      <c r="BP527" s="91"/>
      <c r="BQ527" s="240"/>
      <c r="BR527" s="91"/>
      <c r="BS527" s="240"/>
      <c r="BT527" s="91"/>
      <c r="BU527" s="240"/>
      <c r="BV527" s="91"/>
      <c r="BW527" s="240"/>
      <c r="BX527" s="91"/>
      <c r="BY527" s="240"/>
      <c r="BZ527" s="91"/>
      <c r="CA527" s="240"/>
      <c r="CB527" s="91"/>
      <c r="CC527" s="240"/>
      <c r="CD527" s="91"/>
      <c r="CE527" s="240"/>
      <c r="CF527" s="91"/>
      <c r="CG527" s="240"/>
      <c r="CH527" s="91"/>
      <c r="CI527" s="240"/>
      <c r="CJ527" s="91"/>
      <c r="CK527" s="240"/>
      <c r="CL527" s="91"/>
      <c r="CM527" s="240"/>
      <c r="CN527" s="91"/>
      <c r="CO527" s="240"/>
      <c r="CP527" s="91"/>
      <c r="CQ527" s="240"/>
      <c r="CR527" s="91"/>
      <c r="CS527" s="240"/>
      <c r="CT527" s="91"/>
      <c r="CU527" s="240"/>
      <c r="CV527" s="91"/>
      <c r="CW527" s="240"/>
      <c r="CX527" s="91"/>
      <c r="CY527" s="240"/>
      <c r="CZ527" s="91"/>
      <c r="DA527" s="240"/>
      <c r="DB527" s="91"/>
      <c r="DC527" s="240"/>
      <c r="DD527" s="91"/>
      <c r="DE527" s="240"/>
      <c r="DF527" s="91"/>
      <c r="DG527" s="240"/>
      <c r="DH527" s="91"/>
      <c r="DI527" s="240"/>
      <c r="DJ527" s="91"/>
      <c r="DK527" s="240"/>
      <c r="DL527" s="91"/>
      <c r="DM527" s="240"/>
      <c r="DN527" s="91"/>
      <c r="DO527" s="240"/>
      <c r="DP527" s="91"/>
      <c r="DQ527" s="240"/>
      <c r="DR527" s="91"/>
      <c r="DS527" s="240"/>
      <c r="DT527" s="91"/>
      <c r="DU527" s="240"/>
      <c r="DV527" s="91"/>
      <c r="DW527" s="240"/>
      <c r="DX527" s="91"/>
      <c r="DY527" s="240"/>
      <c r="DZ527" s="91"/>
      <c r="EA527" s="240"/>
      <c r="EB527" s="498"/>
      <c r="EC527" s="91"/>
      <c r="ED527" s="155"/>
      <c r="EE527" s="91"/>
      <c r="EF527" s="155"/>
      <c r="EG527" s="91"/>
      <c r="EH527" s="155"/>
      <c r="EI527" s="91"/>
      <c r="EJ527" s="240"/>
      <c r="EK527" s="91"/>
      <c r="EL527" s="240"/>
      <c r="EM527" s="91"/>
      <c r="EN527" s="240"/>
      <c r="EO527" s="91"/>
      <c r="EP527" s="240"/>
      <c r="EQ527" s="91"/>
      <c r="ER527" s="240"/>
      <c r="ES527" s="91"/>
      <c r="ET527" s="240"/>
      <c r="EU527" s="91"/>
      <c r="EV527" s="240"/>
      <c r="EW527" s="91"/>
      <c r="EX527" s="240"/>
      <c r="EY527" s="91"/>
      <c r="EZ527" s="240"/>
      <c r="FA527" s="91"/>
      <c r="FB527" s="240"/>
      <c r="FC527" s="91"/>
      <c r="FD527" s="240"/>
      <c r="FE527" s="91"/>
      <c r="FF527" s="240"/>
      <c r="FG527" s="91"/>
      <c r="FH527" s="240"/>
      <c r="FI527" s="91"/>
      <c r="FJ527" s="240"/>
      <c r="FK527" s="91"/>
      <c r="FL527" s="240"/>
      <c r="FM527" s="91"/>
      <c r="FN527" s="240"/>
      <c r="FO527" s="91"/>
      <c r="FP527" s="240"/>
      <c r="FQ527" s="91"/>
      <c r="FR527" s="240"/>
      <c r="FS527" s="240"/>
    </row>
    <row r="528" spans="1:176" ht="12.75" hidden="1" customHeight="1" outlineLevel="1" x14ac:dyDescent="0.2">
      <c r="A528" s="77" t="s">
        <v>68</v>
      </c>
      <c r="B528" s="81">
        <f>INPUT!AA600</f>
        <v>21.929824561403507</v>
      </c>
      <c r="C528" s="155">
        <f>INPUT!AB600</f>
        <v>8.3333333333333286</v>
      </c>
      <c r="D528" s="81">
        <f>INPUT!AC600</f>
        <v>19.818181818181817</v>
      </c>
      <c r="E528" s="155">
        <f>INPUT!AD600</f>
        <v>8.0782241014798899</v>
      </c>
      <c r="F528" s="81">
        <f>INPUT!AE600</f>
        <v>21.387283236994222</v>
      </c>
      <c r="G528" s="155">
        <f>INPUT!AF600</f>
        <v>12.537847508945774</v>
      </c>
      <c r="H528" s="81">
        <f>INPUT!AG600</f>
        <v>22.953736654804271</v>
      </c>
      <c r="I528" s="155">
        <f>INPUT!AH600</f>
        <v>-20.820137777922881</v>
      </c>
      <c r="J528" s="81">
        <f>INPUT!AI600</f>
        <v>21.453900709219859</v>
      </c>
      <c r="K528" s="155">
        <f>INPUT!AJ600</f>
        <v>-2.1702127659574302</v>
      </c>
      <c r="L528" s="81">
        <f>INPUT!AK600</f>
        <v>17.842323651452283</v>
      </c>
      <c r="M528" s="155">
        <f>INPUT!AL600</f>
        <v>-9.9699265293692179</v>
      </c>
      <c r="N528" s="81">
        <f>INPUT!AM600</f>
        <v>19.522471910112358</v>
      </c>
      <c r="O528" s="155">
        <f>INPUT!AN600</f>
        <v>-8.7192529608260116</v>
      </c>
      <c r="P528" s="81">
        <f>INPUT!AO600</f>
        <v>19.655667144906744</v>
      </c>
      <c r="Q528" s="155">
        <f>INPUT!AP600</f>
        <v>-14.368333833817132</v>
      </c>
      <c r="R528" s="81">
        <f>INPUT!AQ600</f>
        <v>22.601839684625492</v>
      </c>
      <c r="S528" s="155">
        <f>INPUT!AR600</f>
        <v>5.3507238192460846</v>
      </c>
      <c r="T528" s="81">
        <f>INPUT!AS600</f>
        <v>22.70471464019851</v>
      </c>
      <c r="U528" s="155">
        <f>INPUT!AT600</f>
        <v>27.252005309019552</v>
      </c>
      <c r="V528" s="81">
        <f>INPUT!AU600</f>
        <v>23.63013698630137</v>
      </c>
      <c r="W528" s="155">
        <f>INPUT!AV600</f>
        <v>21.040701685227162</v>
      </c>
      <c r="X528" s="81">
        <f>INPUT!AW600</f>
        <v>21.808510638297875</v>
      </c>
      <c r="Y528" s="155">
        <f>INPUT!AX600</f>
        <v>10.952787699953433</v>
      </c>
      <c r="Z528" s="81">
        <f>INPUT!AY600</f>
        <v>24.033437826541274</v>
      </c>
      <c r="AA528" s="155">
        <f>INPUT!AZ600</f>
        <v>6.3339894534762351</v>
      </c>
      <c r="AB528" s="81">
        <f>INPUT!BA600</f>
        <v>24.229543039319871</v>
      </c>
      <c r="AC528" s="155">
        <f>INPUT!BB600</f>
        <v>6.7159108726328753</v>
      </c>
      <c r="AD528" s="81">
        <f>INPUT!BC600</f>
        <v>25.132555673382821</v>
      </c>
      <c r="AE528" s="155">
        <f>INPUT!BD600</f>
        <v>6.3580616902577418</v>
      </c>
      <c r="AF528" s="81">
        <f>INPUT!BE600</f>
        <v>23.868312757201647</v>
      </c>
      <c r="AG528" s="155">
        <f>INPUT!BF600</f>
        <v>9.4449463013148431</v>
      </c>
      <c r="AH528" s="81">
        <f>INPUT!BG600</f>
        <v>25.628810975609756</v>
      </c>
      <c r="AI528" s="240">
        <f>INPUT!BH600</f>
        <v>6.6381395811240651</v>
      </c>
      <c r="AJ528" s="81">
        <f>INPUT!BI600</f>
        <v>23.083941605839417</v>
      </c>
      <c r="AK528" s="240">
        <f>INPUT!BJ600</f>
        <v>-4.7281181969522237</v>
      </c>
      <c r="AL528" s="81">
        <f>INPUT!BK600</f>
        <v>24.351145038167939</v>
      </c>
      <c r="AM528" s="240">
        <f>INPUT!BL600</f>
        <v>-3.1091570844204028</v>
      </c>
      <c r="AN528" s="81">
        <f>INPUT!BM600</f>
        <v>23.93526405451448</v>
      </c>
      <c r="AO528" s="240">
        <f>INPUT!BN600</f>
        <v>0.2805028490865169</v>
      </c>
      <c r="AP528" s="81">
        <f>INPUT!BO600</f>
        <v>30.254777070063692</v>
      </c>
      <c r="AQ528" s="240">
        <f>INPUT!BP600</f>
        <v>18.049866218360052</v>
      </c>
      <c r="AR528" s="81">
        <f>INPUT!BQ600</f>
        <v>26.629422718808193</v>
      </c>
      <c r="AS528" s="240">
        <f>INPUT!BR600</f>
        <v>15.359080236418095</v>
      </c>
      <c r="AT528" s="81">
        <f>INPUT!BS600</f>
        <v>30.520833333333336</v>
      </c>
      <c r="AU528" s="240">
        <f>INPUT!BT600</f>
        <v>25.336337513061665</v>
      </c>
      <c r="AV528" s="81">
        <f>INPUT!BU600</f>
        <v>45.391304347826086</v>
      </c>
      <c r="AW528" s="240">
        <f>INPUT!BV600</f>
        <v>89.641961937180895</v>
      </c>
      <c r="AX528" s="81">
        <f>INPUT!BW600</f>
        <v>48.613376835236544</v>
      </c>
      <c r="AY528" s="240">
        <f>INPUT!BX600</f>
        <v>60.680003434360799</v>
      </c>
      <c r="AZ528" s="81">
        <f>INPUT!BY600</f>
        <v>45.098039215686278</v>
      </c>
      <c r="BA528" s="240">
        <f>INPUT!BZ600</f>
        <v>69.354175236528192</v>
      </c>
      <c r="BB528" s="81">
        <f>INPUT!CA600</f>
        <v>35.32934131736527</v>
      </c>
      <c r="BC528" s="240">
        <f>INPUT!CB600</f>
        <v>15.75483844597494</v>
      </c>
      <c r="BD528" s="81">
        <f>INPUT!CC600</f>
        <v>44.023323615160351</v>
      </c>
      <c r="BE528" s="240">
        <f>INPUT!CD600</f>
        <v>-3.0137506562559366</v>
      </c>
      <c r="BF528" s="81">
        <f>INPUT!CE600</f>
        <v>39.365918097754296</v>
      </c>
      <c r="BG528" s="240">
        <f>INPUT!CF600</f>
        <v>-19.022457067371207</v>
      </c>
      <c r="BH528" s="81">
        <f>INPUT!CG600</f>
        <v>32.675709001233045</v>
      </c>
      <c r="BI528" s="240">
        <f>INPUT!CH600</f>
        <v>-27.545166997265852</v>
      </c>
      <c r="BJ528" s="81">
        <f>INPUT!CI600</f>
        <v>39.205298013245034</v>
      </c>
      <c r="BK528" s="240">
        <f>INPUT!CJ600</f>
        <v>10.970928274778331</v>
      </c>
      <c r="BL528" s="81">
        <f>INPUT!CK600</f>
        <v>33.256880733944953</v>
      </c>
      <c r="BM528" s="240">
        <f>INPUT!CL600</f>
        <v>-24.456224557992584</v>
      </c>
      <c r="BN528" s="81">
        <f>INPUT!CM600</f>
        <v>33.536906391492053</v>
      </c>
      <c r="BO528" s="240">
        <f>INPUT!CN600</f>
        <v>-14.807254569263478</v>
      </c>
      <c r="BP528" s="81">
        <f>INPUT!CO600</f>
        <v>27.963800904977376</v>
      </c>
      <c r="BQ528" s="240">
        <f>INPUT!CP600</f>
        <v>-14.420216853069235</v>
      </c>
      <c r="BR528" s="81">
        <f>INPUT!CQ600</f>
        <v>33.672431332655137</v>
      </c>
      <c r="BS528" s="240">
        <f>INPUT!CR600</f>
        <v>-14.11254845893707</v>
      </c>
      <c r="BT528" s="81">
        <f>INPUT!CS600</f>
        <v>30.674846625766872</v>
      </c>
      <c r="BU528" s="240">
        <f>INPUT!CT600</f>
        <v>-7.7639094563147921</v>
      </c>
      <c r="BV528" s="81">
        <f>INPUT!CU600</f>
        <v>41.163793103448278</v>
      </c>
      <c r="BW528" s="240">
        <f>INPUT!CV600</f>
        <v>22.741771775022983</v>
      </c>
      <c r="BX528" s="81">
        <f>INPUT!CW600</f>
        <v>33.938294010889294</v>
      </c>
      <c r="BY528" s="240">
        <f>INPUT!CX600</f>
        <v>21.365096705607328</v>
      </c>
      <c r="BZ528" s="81">
        <f>INPUT!CY600</f>
        <v>31.42375737152485</v>
      </c>
      <c r="CA528" s="240">
        <f>INPUT!CZ600</f>
        <v>-6.6780861141724159</v>
      </c>
      <c r="CB528" s="81">
        <f>INPUT!DA600</f>
        <v>29.328621908127207</v>
      </c>
      <c r="CC528" s="240">
        <f>INPUT!DB600</f>
        <v>-4.3886925795053031</v>
      </c>
      <c r="CD528" s="81">
        <f>INPUT!DC600</f>
        <v>30.758017492711371</v>
      </c>
      <c r="CE528" s="240">
        <f>INPUT!DD600</f>
        <v>-25.278952269015306</v>
      </c>
      <c r="CF528" s="81">
        <f>INPUT!DE600</f>
        <v>26.841721371261851</v>
      </c>
      <c r="CG528" s="240">
        <f>INPUT!DF600</f>
        <v>-20.910222055800645</v>
      </c>
      <c r="CH528" s="81">
        <f>INPUT!DG600</f>
        <v>26.732673267326735</v>
      </c>
      <c r="CI528" s="240">
        <f>INPUT!DH600</f>
        <v>-14.928463355718932</v>
      </c>
      <c r="CJ528" s="81">
        <f>INPUT!DI600</f>
        <v>25.865580448065174</v>
      </c>
      <c r="CK528" s="240">
        <f>INPUT!DJ600</f>
        <v>-11.807719677078993</v>
      </c>
      <c r="CL528" s="81">
        <f>INPUT!DK600</f>
        <v>26.918316831683171</v>
      </c>
      <c r="CM528" s="240">
        <f>INPUT!DL600</f>
        <v>-12.483576556707803</v>
      </c>
      <c r="CN528" s="81">
        <f>INPUT!DM600</f>
        <v>23.363914373088683</v>
      </c>
      <c r="CO528" s="240">
        <f>INPUT!DN600</f>
        <v>-12.956721180694061</v>
      </c>
      <c r="CP528" s="81">
        <f>INPUT!DO600</f>
        <v>24.85911083281152</v>
      </c>
      <c r="CQ528" s="240">
        <f>INPUT!DP600</f>
        <v>-7.0085113291124657</v>
      </c>
      <c r="CR528" s="81">
        <f>INPUT!DQ600</f>
        <v>25.534759358288774</v>
      </c>
      <c r="CS528" s="240">
        <f>INPUT!DR600</f>
        <v>-1.2790012211040391</v>
      </c>
      <c r="CT528" s="81">
        <f>INPUT!DS600</f>
        <v>26.63834951456311</v>
      </c>
      <c r="CU528" s="240">
        <f>INPUT!DT600</f>
        <v>-1.0400624930253315</v>
      </c>
      <c r="CV528" s="81">
        <f>INPUT!DU600</f>
        <v>23.931623931623932</v>
      </c>
      <c r="CW528" s="240">
        <f>INPUT!DV600</f>
        <v>2.4298563565579485</v>
      </c>
      <c r="CX528" s="81">
        <f>INPUT!DW600</f>
        <v>25.727213962508078</v>
      </c>
      <c r="CY528" s="240">
        <f>INPUT!DX600</f>
        <v>3.4920924386030237</v>
      </c>
      <c r="CZ528" s="81">
        <f>INPUT!DY600</f>
        <v>28.795606120047079</v>
      </c>
      <c r="DA528" s="240">
        <f>INPUT!DZ600</f>
        <v>12.77022710887546</v>
      </c>
      <c r="DB528" s="81">
        <f>INPUT!EA600</f>
        <v>28.812368236120872</v>
      </c>
      <c r="DC528" s="240">
        <f>INPUT!EB600</f>
        <v>8.1612365674879044</v>
      </c>
      <c r="DD528" s="81">
        <f>INPUT!EC600</f>
        <v>22.989276139410187</v>
      </c>
      <c r="DE528" s="240">
        <f>INPUT!ED600</f>
        <v>-3.9376675603217279</v>
      </c>
      <c r="DF528" s="81">
        <f>INPUT!EE600</f>
        <v>26.909841706813491</v>
      </c>
      <c r="DG528" s="240">
        <f>INPUT!EF600</f>
        <v>4.5967967850263136</v>
      </c>
      <c r="DH528" s="81">
        <f>INPUT!EG600</f>
        <v>27.449617790132034</v>
      </c>
      <c r="DI528" s="240">
        <f>INPUT!EH600</f>
        <v>-4.6742837233698253</v>
      </c>
      <c r="DJ528" s="81">
        <f>INPUT!EI600</f>
        <v>24.876531918785442</v>
      </c>
      <c r="DK528" s="240">
        <f>INPUT!EJ600</f>
        <v>-13.660231901386126</v>
      </c>
      <c r="DL528" s="81">
        <f>INPUT!EK600</f>
        <v>22.048997772828507</v>
      </c>
      <c r="DM528" s="240">
        <f>INPUT!EL600</f>
        <v>-4.0900738278130291</v>
      </c>
      <c r="DN528" s="81">
        <f>INPUT!EM600</f>
        <v>21.486175115207374</v>
      </c>
      <c r="DO528" s="240">
        <f>INPUT!EN600</f>
        <v>-20.154955390290766</v>
      </c>
      <c r="DP528" s="81">
        <f>INPUT!EO600</f>
        <v>24.426020408163264</v>
      </c>
      <c r="DQ528" s="240">
        <f>INPUT!EP600</f>
        <v>-11.015080082665975</v>
      </c>
      <c r="DR528" s="81">
        <f>INPUT!EQ600</f>
        <v>25.324446586154014</v>
      </c>
      <c r="DS528" s="240">
        <f>INPUT!ER600</f>
        <v>1.8005510930176456</v>
      </c>
      <c r="DT528" s="81">
        <f>INPUT!ES600</f>
        <v>23.388183712345938</v>
      </c>
      <c r="DU528" s="240">
        <f>INPUT!ET600</f>
        <v>6.0736816852861182</v>
      </c>
      <c r="DV528" s="81">
        <f>INPUT!EU600</f>
        <v>22.893795557318658</v>
      </c>
      <c r="DW528" s="240">
        <f>INPUT!EV600</f>
        <v>6.5512844169039965</v>
      </c>
      <c r="DX528" s="81">
        <f>INPUT!EW600</f>
        <v>25.902038064341383</v>
      </c>
      <c r="DY528" s="240">
        <f>INPUT!EX600</f>
        <v>6.0428085767292146</v>
      </c>
      <c r="DZ528" s="81"/>
      <c r="EA528" s="240"/>
      <c r="EB528" s="499">
        <f>INPUT!FI600</f>
        <v>-1.9464249525599229</v>
      </c>
      <c r="EC528" s="81">
        <f>INPUT!FJ600</f>
        <v>21.185019564002236</v>
      </c>
      <c r="ED528" s="155">
        <f>INPUT!FK600</f>
        <v>-10.950075357045037</v>
      </c>
      <c r="EE528" s="81">
        <f>INPUT!FL600</f>
        <v>21.401334604385127</v>
      </c>
      <c r="EF528" s="155">
        <f>INPUT!FM600</f>
        <v>1.0210754808575047</v>
      </c>
      <c r="EG528" s="81">
        <f>INPUT!FN600</f>
        <v>19.481481481481481</v>
      </c>
      <c r="EH528" s="155">
        <f>INPUT!FO600</f>
        <v>-8.9707168192691569</v>
      </c>
      <c r="EI528" s="81">
        <f>INPUT!FP600</f>
        <v>22.552190532196413</v>
      </c>
      <c r="EJ528" s="240">
        <f>INPUT!FQ600</f>
        <v>15.762194747015812</v>
      </c>
      <c r="EK528" s="81">
        <f>INPUT!FR600</f>
        <v>24.426877470355731</v>
      </c>
      <c r="EL528" s="240">
        <f>INPUT!FS600</f>
        <v>8.3126600738981011</v>
      </c>
      <c r="EM528" s="81">
        <f>INPUT!FT600</f>
        <v>24.36693741041567</v>
      </c>
      <c r="EN528" s="240">
        <f>INPUT!FU600</f>
        <v>-0.24538568227889357</v>
      </c>
      <c r="EO528" s="81">
        <f>INPUT!FV600</f>
        <v>30.726600985221676</v>
      </c>
      <c r="EP528" s="240">
        <f>INPUT!FW600</f>
        <v>26.099560513860737</v>
      </c>
      <c r="EQ528" s="81">
        <f>INPUT!FX600</f>
        <v>41.291585127201564</v>
      </c>
      <c r="ER528" s="240">
        <f>INPUT!FY600</f>
        <v>34.383836165481654</v>
      </c>
      <c r="ES528" s="81">
        <f>INPUT!FZ600</f>
        <v>35.962441314553992</v>
      </c>
      <c r="ET528" s="240">
        <f>INPUT!GA600</f>
        <v>-12.906125536791038</v>
      </c>
      <c r="EU528" s="81">
        <f>INPUT!GB600</f>
        <v>31.339492491969022</v>
      </c>
      <c r="EV528" s="240">
        <f>INPUT!GC600</f>
        <v>-12.854936021026091</v>
      </c>
      <c r="EW528" s="81">
        <f>INPUT!GD600</f>
        <v>33.593929638997473</v>
      </c>
      <c r="EX528" s="240">
        <f>INPUT!GE600</f>
        <v>7.1935981337482247</v>
      </c>
      <c r="EY528" s="81">
        <f>INPUT!GF600</f>
        <v>27.499563775955334</v>
      </c>
      <c r="EZ528" s="240">
        <f>INPUT!GG600</f>
        <v>-18.14127114193721</v>
      </c>
      <c r="FA528" s="81">
        <f>INPUT!GH600</f>
        <v>25.15762925598991</v>
      </c>
      <c r="FB528" s="240">
        <f>INPUT!GI600</f>
        <v>-8.5162606179707154</v>
      </c>
      <c r="FC528" s="81">
        <f>INPUT!GJ600</f>
        <v>26.131805157593124</v>
      </c>
      <c r="FD528" s="240">
        <f>INPUT!GK600</f>
        <v>3.8722881702824452</v>
      </c>
      <c r="FE528" s="81">
        <f>INPUT!GL600</f>
        <v>26.50249698639573</v>
      </c>
      <c r="FF528" s="240">
        <f>INPUT!GM600</f>
        <v>1.4185465817117233</v>
      </c>
      <c r="FG528" s="81">
        <f>INPUT!GN600</f>
        <v>23.145057194997108</v>
      </c>
      <c r="FH528" s="240">
        <f>INPUT!GO600</f>
        <v>-12.668390427973875</v>
      </c>
      <c r="FI528" s="81">
        <f>INPUT!GP600</f>
        <v>24.33756069966153</v>
      </c>
      <c r="FJ528" s="240">
        <f>INPUT!GQ600</f>
        <v>5.1523031229414613</v>
      </c>
      <c r="FK528" s="81">
        <f>INPUT!GR600</f>
        <v>24.997968236359121</v>
      </c>
      <c r="FL528" s="240">
        <f>INPUT!GS600</f>
        <v>2.7135321606276364</v>
      </c>
      <c r="FM528" s="81">
        <f>INPUT!GT600</f>
        <v>25.720546733679988</v>
      </c>
      <c r="FN528" s="240">
        <f>INPUT!GU600</f>
        <v>2.8905489057702312</v>
      </c>
      <c r="FO528" s="81">
        <f>INPUT!GV600</f>
        <v>26.435477762245707</v>
      </c>
      <c r="FP528" s="240">
        <f>INPUT!GW600</f>
        <v>2.7796105423744564</v>
      </c>
      <c r="FQ528" s="81">
        <f>INPUT!GX600</f>
        <v>27.212698438262095</v>
      </c>
      <c r="FR528" s="240">
        <f>INPUT!GY600</f>
        <v>2.9400666899479688</v>
      </c>
      <c r="FS528" s="240">
        <f>INPUT!GZ600</f>
        <v>3.2910447405585241</v>
      </c>
    </row>
    <row r="529" spans="1:176" ht="12.75" hidden="1" customHeight="1" outlineLevel="1" x14ac:dyDescent="0.2">
      <c r="A529" s="77"/>
      <c r="B529" s="81"/>
      <c r="C529" s="155"/>
      <c r="D529" s="81"/>
      <c r="E529" s="155"/>
      <c r="F529" s="81"/>
      <c r="G529" s="155"/>
      <c r="H529" s="81"/>
      <c r="I529" s="155"/>
      <c r="J529" s="81"/>
      <c r="K529" s="155"/>
      <c r="L529" s="81"/>
      <c r="M529" s="155"/>
      <c r="N529" s="81"/>
      <c r="O529" s="155"/>
      <c r="P529" s="81"/>
      <c r="Q529" s="155"/>
      <c r="R529" s="81"/>
      <c r="S529" s="155"/>
      <c r="T529" s="81"/>
      <c r="U529" s="155"/>
      <c r="V529" s="81"/>
      <c r="W529" s="155"/>
      <c r="X529" s="81"/>
      <c r="Y529" s="155"/>
      <c r="Z529" s="81"/>
      <c r="AA529" s="155"/>
      <c r="AB529" s="81"/>
      <c r="AC529" s="155"/>
      <c r="AD529" s="81"/>
      <c r="AE529" s="155"/>
      <c r="AF529" s="81"/>
      <c r="AG529" s="155"/>
      <c r="AH529" s="81"/>
      <c r="AI529" s="240"/>
      <c r="AJ529" s="81"/>
      <c r="AK529" s="240"/>
      <c r="AL529" s="81"/>
      <c r="AM529" s="240"/>
      <c r="AN529" s="81"/>
      <c r="AO529" s="240"/>
      <c r="AP529" s="81"/>
      <c r="AQ529" s="240"/>
      <c r="AR529" s="81"/>
      <c r="AS529" s="240"/>
      <c r="AT529" s="81"/>
      <c r="AU529" s="240"/>
      <c r="AV529" s="81"/>
      <c r="AW529" s="240"/>
      <c r="AX529" s="81"/>
      <c r="AY529" s="240"/>
      <c r="AZ529" s="81"/>
      <c r="BA529" s="240"/>
      <c r="BB529" s="81"/>
      <c r="BC529" s="240"/>
      <c r="BD529" s="81"/>
      <c r="BE529" s="240"/>
      <c r="BF529" s="81"/>
      <c r="BG529" s="240"/>
      <c r="BH529" s="81"/>
      <c r="BI529" s="240"/>
      <c r="BJ529" s="81"/>
      <c r="BK529" s="240"/>
      <c r="BL529" s="81"/>
      <c r="BM529" s="240"/>
      <c r="BN529" s="81"/>
      <c r="BO529" s="240"/>
      <c r="BP529" s="81"/>
      <c r="BQ529" s="240"/>
      <c r="BR529" s="81"/>
      <c r="BS529" s="240"/>
      <c r="BT529" s="81"/>
      <c r="BU529" s="240"/>
      <c r="BV529" s="81"/>
      <c r="BW529" s="240"/>
      <c r="BX529" s="81"/>
      <c r="BY529" s="240"/>
      <c r="BZ529" s="81"/>
      <c r="CA529" s="240"/>
      <c r="CB529" s="81"/>
      <c r="CC529" s="240"/>
      <c r="CD529" s="81"/>
      <c r="CE529" s="240"/>
      <c r="CF529" s="81"/>
      <c r="CG529" s="240"/>
      <c r="CH529" s="81"/>
      <c r="CI529" s="240"/>
      <c r="CJ529" s="81"/>
      <c r="CK529" s="240"/>
      <c r="CL529" s="81"/>
      <c r="CM529" s="240"/>
      <c r="CN529" s="81"/>
      <c r="CO529" s="240"/>
      <c r="CP529" s="81"/>
      <c r="CQ529" s="240"/>
      <c r="CR529" s="81"/>
      <c r="CS529" s="240"/>
      <c r="CT529" s="81"/>
      <c r="CU529" s="240"/>
      <c r="CV529" s="81"/>
      <c r="CW529" s="240"/>
      <c r="CX529" s="81"/>
      <c r="CY529" s="240"/>
      <c r="CZ529" s="81"/>
      <c r="DA529" s="240"/>
      <c r="DB529" s="81"/>
      <c r="DC529" s="240"/>
      <c r="DD529" s="81"/>
      <c r="DE529" s="240"/>
      <c r="DF529" s="81"/>
      <c r="DG529" s="240"/>
      <c r="DH529" s="81"/>
      <c r="DI529" s="240"/>
      <c r="DJ529" s="81"/>
      <c r="DK529" s="240"/>
      <c r="DL529" s="81"/>
      <c r="DM529" s="240"/>
      <c r="DN529" s="81"/>
      <c r="DO529" s="240"/>
      <c r="DP529" s="81"/>
      <c r="DQ529" s="240"/>
      <c r="DR529" s="81"/>
      <c r="DS529" s="240"/>
      <c r="DT529" s="81"/>
      <c r="DU529" s="240"/>
      <c r="DV529" s="81"/>
      <c r="DW529" s="240"/>
      <c r="DX529" s="81"/>
      <c r="DY529" s="240"/>
      <c r="DZ529" s="81"/>
      <c r="EA529" s="240"/>
      <c r="EB529" s="499"/>
      <c r="EC529" s="81"/>
      <c r="ED529" s="155"/>
      <c r="EE529" s="81"/>
      <c r="EF529" s="155"/>
      <c r="EG529" s="81"/>
      <c r="EH529" s="155"/>
      <c r="EI529" s="81"/>
      <c r="EJ529" s="240"/>
      <c r="EK529" s="81"/>
      <c r="EL529" s="240"/>
      <c r="EM529" s="81"/>
      <c r="EN529" s="240"/>
      <c r="EO529" s="81"/>
      <c r="EP529" s="240"/>
      <c r="EQ529" s="81"/>
      <c r="ER529" s="240"/>
      <c r="ES529" s="81"/>
      <c r="ET529" s="240"/>
      <c r="EU529" s="81"/>
      <c r="EV529" s="240"/>
      <c r="EW529" s="81"/>
      <c r="EX529" s="240"/>
      <c r="EY529" s="81"/>
      <c r="EZ529" s="240"/>
      <c r="FA529" s="81"/>
      <c r="FB529" s="240"/>
      <c r="FC529" s="81"/>
      <c r="FD529" s="240"/>
      <c r="FE529" s="81"/>
      <c r="FF529" s="240"/>
      <c r="FG529" s="81"/>
      <c r="FH529" s="240"/>
      <c r="FI529" s="81"/>
      <c r="FJ529" s="240"/>
      <c r="FK529" s="81"/>
      <c r="FL529" s="240"/>
      <c r="FM529" s="81"/>
      <c r="FN529" s="240"/>
      <c r="FO529" s="81"/>
      <c r="FP529" s="240"/>
      <c r="FQ529" s="81"/>
      <c r="FR529" s="240"/>
      <c r="FS529" s="240"/>
    </row>
    <row r="530" spans="1:176" ht="12.75" hidden="1" customHeight="1" outlineLevel="1" x14ac:dyDescent="0.2">
      <c r="A530" s="70" t="s">
        <v>193</v>
      </c>
      <c r="B530" s="81"/>
      <c r="C530" s="155"/>
      <c r="D530" s="81"/>
      <c r="E530" s="155"/>
      <c r="F530" s="81"/>
      <c r="G530" s="155"/>
      <c r="H530" s="81"/>
      <c r="I530" s="155"/>
      <c r="J530" s="81"/>
      <c r="K530" s="155"/>
      <c r="L530" s="81"/>
      <c r="M530" s="155"/>
      <c r="N530" s="81"/>
      <c r="O530" s="155"/>
      <c r="P530" s="81"/>
      <c r="Q530" s="155"/>
      <c r="R530" s="81"/>
      <c r="S530" s="155"/>
      <c r="T530" s="81"/>
      <c r="U530" s="155"/>
      <c r="V530" s="81"/>
      <c r="W530" s="155"/>
      <c r="X530" s="81"/>
      <c r="Y530" s="155"/>
      <c r="Z530" s="81"/>
      <c r="AA530" s="155"/>
      <c r="AB530" s="81"/>
      <c r="AC530" s="155"/>
      <c r="AD530" s="81"/>
      <c r="AE530" s="155"/>
      <c r="AF530" s="81"/>
      <c r="AG530" s="155"/>
      <c r="AH530" s="81"/>
      <c r="AI530" s="240"/>
      <c r="AJ530" s="81"/>
      <c r="AK530" s="240"/>
      <c r="AL530" s="81"/>
      <c r="AM530" s="240"/>
      <c r="AN530" s="81"/>
      <c r="AO530" s="240"/>
      <c r="AP530" s="81"/>
      <c r="AQ530" s="240"/>
      <c r="AR530" s="81"/>
      <c r="AS530" s="240"/>
      <c r="AT530" s="81"/>
      <c r="AU530" s="240"/>
      <c r="AV530" s="81"/>
      <c r="AW530" s="240"/>
      <c r="AX530" s="81"/>
      <c r="AY530" s="240"/>
      <c r="AZ530" s="81"/>
      <c r="BA530" s="240"/>
      <c r="BB530" s="81"/>
      <c r="BC530" s="240"/>
      <c r="BD530" s="81"/>
      <c r="BE530" s="240"/>
      <c r="BF530" s="81"/>
      <c r="BG530" s="240"/>
      <c r="BH530" s="81"/>
      <c r="BI530" s="240"/>
      <c r="BJ530" s="81"/>
      <c r="BK530" s="240"/>
      <c r="BL530" s="81"/>
      <c r="BM530" s="240"/>
      <c r="BN530" s="81"/>
      <c r="BO530" s="240"/>
      <c r="BP530" s="81"/>
      <c r="BQ530" s="240"/>
      <c r="BR530" s="81"/>
      <c r="BS530" s="240"/>
      <c r="BT530" s="81"/>
      <c r="BU530" s="240"/>
      <c r="BV530" s="81"/>
      <c r="BW530" s="240"/>
      <c r="BX530" s="81"/>
      <c r="BY530" s="240"/>
      <c r="BZ530" s="81"/>
      <c r="CA530" s="240"/>
      <c r="CB530" s="81"/>
      <c r="CC530" s="240"/>
      <c r="CD530" s="81"/>
      <c r="CE530" s="240"/>
      <c r="CF530" s="81"/>
      <c r="CG530" s="240"/>
      <c r="CH530" s="81"/>
      <c r="CI530" s="240"/>
      <c r="CJ530" s="81"/>
      <c r="CK530" s="240"/>
      <c r="CL530" s="81"/>
      <c r="CM530" s="240"/>
      <c r="CN530" s="81"/>
      <c r="CO530" s="240"/>
      <c r="CP530" s="81"/>
      <c r="CQ530" s="240"/>
      <c r="CR530" s="81"/>
      <c r="CS530" s="240"/>
      <c r="CT530" s="81"/>
      <c r="CU530" s="240"/>
      <c r="CV530" s="81"/>
      <c r="CW530" s="240"/>
      <c r="CX530" s="81"/>
      <c r="CY530" s="240"/>
      <c r="CZ530" s="81"/>
      <c r="DA530" s="240"/>
      <c r="DB530" s="81"/>
      <c r="DC530" s="240"/>
      <c r="DD530" s="81"/>
      <c r="DE530" s="240"/>
      <c r="DF530" s="81"/>
      <c r="DG530" s="240"/>
      <c r="DH530" s="81"/>
      <c r="DI530" s="240"/>
      <c r="DJ530" s="81"/>
      <c r="DK530" s="240"/>
      <c r="DL530" s="81"/>
      <c r="DM530" s="240"/>
      <c r="DN530" s="81"/>
      <c r="DO530" s="240"/>
      <c r="DP530" s="81"/>
      <c r="DQ530" s="240"/>
      <c r="DR530" s="81"/>
      <c r="DS530" s="240"/>
      <c r="DT530" s="81"/>
      <c r="DU530" s="240"/>
      <c r="DV530" s="81"/>
      <c r="DW530" s="240"/>
      <c r="DX530" s="81"/>
      <c r="DY530" s="240"/>
      <c r="DZ530" s="81"/>
      <c r="EA530" s="240"/>
      <c r="EB530" s="499"/>
      <c r="EC530" s="81"/>
      <c r="ED530" s="155"/>
      <c r="EE530" s="81"/>
      <c r="EF530" s="155"/>
      <c r="EG530" s="81"/>
      <c r="EH530" s="155"/>
      <c r="EI530" s="81"/>
      <c r="EJ530" s="240"/>
      <c r="EK530" s="81"/>
      <c r="EL530" s="240"/>
      <c r="EM530" s="81"/>
      <c r="EN530" s="240"/>
      <c r="EO530" s="81"/>
      <c r="EP530" s="240"/>
      <c r="EQ530" s="81"/>
      <c r="ER530" s="240"/>
      <c r="ES530" s="81"/>
      <c r="ET530" s="240"/>
      <c r="EU530" s="81"/>
      <c r="EV530" s="240"/>
      <c r="EW530" s="81"/>
      <c r="EX530" s="240"/>
      <c r="EY530" s="81"/>
      <c r="EZ530" s="240"/>
      <c r="FA530" s="81"/>
      <c r="FB530" s="240"/>
      <c r="FC530" s="81"/>
      <c r="FD530" s="240"/>
      <c r="FE530" s="81"/>
      <c r="FF530" s="240"/>
      <c r="FG530" s="81"/>
      <c r="FH530" s="240"/>
      <c r="FI530" s="81"/>
      <c r="FJ530" s="240"/>
      <c r="FK530" s="81"/>
      <c r="FL530" s="240"/>
      <c r="FM530" s="81"/>
      <c r="FN530" s="240"/>
      <c r="FO530" s="81"/>
      <c r="FP530" s="240"/>
      <c r="FQ530" s="81"/>
      <c r="FR530" s="240"/>
      <c r="FS530" s="240"/>
    </row>
    <row r="531" spans="1:176" ht="12.75" hidden="1" customHeight="1" outlineLevel="1" x14ac:dyDescent="0.2">
      <c r="A531" s="246" t="str">
        <f>INPUT!B434</f>
        <v>Non-Bank Sales</v>
      </c>
      <c r="B531" s="81">
        <f>INPUT!AA434</f>
        <v>64</v>
      </c>
      <c r="C531" s="155">
        <f>INPUT!AB434</f>
        <v>30.612244897959187</v>
      </c>
      <c r="D531" s="81">
        <f>INPUT!AC434</f>
        <v>89</v>
      </c>
      <c r="E531" s="155">
        <f>INPUT!AD434</f>
        <v>50.847457627118644</v>
      </c>
      <c r="F531" s="81">
        <f>INPUT!AE434</f>
        <v>75</v>
      </c>
      <c r="G531" s="155">
        <f>INPUT!AF434</f>
        <v>20.967741935483872</v>
      </c>
      <c r="H531" s="81">
        <f>INPUT!AG434</f>
        <v>68</v>
      </c>
      <c r="I531" s="155">
        <f>INPUT!AH434</f>
        <v>7.9365079365079367</v>
      </c>
      <c r="J531" s="81">
        <f>INPUT!AI434</f>
        <v>62</v>
      </c>
      <c r="K531" s="155">
        <f>INPUT!AJ434</f>
        <v>-3.125</v>
      </c>
      <c r="L531" s="81">
        <f>INPUT!AK434</f>
        <v>81</v>
      </c>
      <c r="M531" s="155">
        <f>INPUT!AL434</f>
        <v>-8.9887640449438209</v>
      </c>
      <c r="N531" s="81">
        <f>INPUT!AM434</f>
        <v>68</v>
      </c>
      <c r="O531" s="155">
        <f>INPUT!AN434</f>
        <v>-9.3333333333333428</v>
      </c>
      <c r="P531" s="81">
        <f>INPUT!AO434</f>
        <v>66</v>
      </c>
      <c r="Q531" s="155">
        <f>INPUT!AP434</f>
        <v>-2.941176470588232</v>
      </c>
      <c r="R531" s="81">
        <f>INPUT!AQ434</f>
        <v>71</v>
      </c>
      <c r="S531" s="155">
        <f>INPUT!AR434</f>
        <v>14.516129032258078</v>
      </c>
      <c r="T531" s="81">
        <f>INPUT!AS434</f>
        <v>96</v>
      </c>
      <c r="U531" s="155">
        <f>INPUT!AT434</f>
        <v>18.518518518518505</v>
      </c>
      <c r="V531" s="81">
        <f>INPUT!AU434</f>
        <v>82</v>
      </c>
      <c r="W531" s="155">
        <f>INPUT!AV434</f>
        <v>20.588235294117638</v>
      </c>
      <c r="X531" s="81">
        <f>INPUT!AW434</f>
        <v>74</v>
      </c>
      <c r="Y531" s="155">
        <f>INPUT!AX434</f>
        <v>12.12121212121211</v>
      </c>
      <c r="Z531" s="81">
        <f>INPUT!AY434</f>
        <v>73</v>
      </c>
      <c r="AA531" s="155">
        <f>INPUT!AZ434</f>
        <v>2.816901408450704</v>
      </c>
      <c r="AB531" s="81">
        <f>INPUT!BA434</f>
        <v>115</v>
      </c>
      <c r="AC531" s="155">
        <f>INPUT!BB434</f>
        <v>19.791666666666671</v>
      </c>
      <c r="AD531" s="81">
        <f>INPUT!BC434</f>
        <v>71</v>
      </c>
      <c r="AE531" s="155">
        <f>INPUT!BD434</f>
        <v>-13.41463414634147</v>
      </c>
      <c r="AF531" s="81">
        <f>INPUT!BE434</f>
        <v>68</v>
      </c>
      <c r="AG531" s="155">
        <f>INPUT!BF434</f>
        <v>-8.1081081081080981</v>
      </c>
      <c r="AH531" s="81">
        <f>INPUT!BG434</f>
        <v>67</v>
      </c>
      <c r="AI531" s="240">
        <f>INPUT!BH434</f>
        <v>-8.2191780821917746</v>
      </c>
      <c r="AJ531" s="81">
        <f>INPUT!BI434</f>
        <v>85</v>
      </c>
      <c r="AK531" s="240">
        <f>INPUT!BJ434</f>
        <v>-26.08695652173914</v>
      </c>
      <c r="AL531" s="81">
        <f>INPUT!BK434</f>
        <v>82</v>
      </c>
      <c r="AM531" s="240">
        <f>INPUT!BL434</f>
        <v>15.492957746478879</v>
      </c>
      <c r="AN531" s="81">
        <f>INPUT!BM434</f>
        <v>86</v>
      </c>
      <c r="AO531" s="240">
        <f>INPUT!BN434</f>
        <v>26.470588235294116</v>
      </c>
      <c r="AP531" s="81">
        <f>INPUT!BO434</f>
        <v>88</v>
      </c>
      <c r="AQ531" s="240">
        <f>INPUT!BP434</f>
        <v>31.343283582089555</v>
      </c>
      <c r="AR531" s="81">
        <f>INPUT!BQ434</f>
        <v>127</v>
      </c>
      <c r="AS531" s="240">
        <f>INPUT!BR434</f>
        <v>49.411764705882348</v>
      </c>
      <c r="AT531" s="81">
        <f>INPUT!BS434</f>
        <v>96</v>
      </c>
      <c r="AU531" s="240">
        <f>INPUT!BT434</f>
        <v>17.073170731707307</v>
      </c>
      <c r="AV531" s="81">
        <f>INPUT!BU434</f>
        <v>89</v>
      </c>
      <c r="AW531" s="240">
        <f>INPUT!BV434</f>
        <v>3.4883720930232585</v>
      </c>
      <c r="AX531" s="81">
        <f>INPUT!BW434</f>
        <v>92</v>
      </c>
      <c r="AY531" s="240">
        <f>INPUT!BX434</f>
        <v>4.5454545454545467</v>
      </c>
      <c r="AZ531" s="81">
        <f>INPUT!BY434</f>
        <v>122</v>
      </c>
      <c r="BA531" s="240">
        <f>INPUT!BZ434</f>
        <v>-3.9370078740157481</v>
      </c>
      <c r="BB531" s="81">
        <f>INPUT!CA434</f>
        <v>111</v>
      </c>
      <c r="BC531" s="240">
        <f>INPUT!CB434</f>
        <v>15.625</v>
      </c>
      <c r="BD531" s="81">
        <f>INPUT!CC434</f>
        <v>111</v>
      </c>
      <c r="BE531" s="240">
        <f>INPUT!CD434</f>
        <v>24.719101123595493</v>
      </c>
      <c r="BF531" s="75">
        <f>INPUT!CE434</f>
        <v>107</v>
      </c>
      <c r="BG531" s="240">
        <f>INPUT!CF434</f>
        <v>16.304347826086968</v>
      </c>
      <c r="BH531" s="75">
        <f>INPUT!CG434</f>
        <v>143</v>
      </c>
      <c r="BI531" s="240">
        <f>INPUT!CH434</f>
        <v>17.21311475409837</v>
      </c>
      <c r="BJ531" s="75">
        <f>INPUT!CI434</f>
        <v>142</v>
      </c>
      <c r="BK531" s="240">
        <f>INPUT!CJ434</f>
        <v>27.927927927927925</v>
      </c>
      <c r="BL531" s="75">
        <f>INPUT!CK434</f>
        <v>150</v>
      </c>
      <c r="BM531" s="240">
        <f>INPUT!CL434</f>
        <v>35.13513513513513</v>
      </c>
      <c r="BN531" s="75">
        <f>INPUT!CM434</f>
        <v>238</v>
      </c>
      <c r="BO531" s="240" t="str">
        <f>INPUT!CN434</f>
        <v>NM</v>
      </c>
      <c r="BP531" s="75">
        <f>INPUT!CO434</f>
        <v>401</v>
      </c>
      <c r="BQ531" s="240" t="str">
        <f>INPUT!CP434</f>
        <v>NM</v>
      </c>
      <c r="BR531" s="75">
        <f>INPUT!CQ434</f>
        <v>397</v>
      </c>
      <c r="BS531" s="240" t="str">
        <f>INPUT!CR434</f>
        <v>NM</v>
      </c>
      <c r="BT531" s="75">
        <f>INPUT!CS434</f>
        <v>393</v>
      </c>
      <c r="BU531" s="240" t="str">
        <f>INPUT!CT434</f>
        <v>NM</v>
      </c>
      <c r="BV531" s="75">
        <f>INPUT!CU434</f>
        <v>276</v>
      </c>
      <c r="BW531" s="240">
        <f>INPUT!CV434</f>
        <v>15.966386554621863</v>
      </c>
      <c r="BX531" s="75">
        <f>INPUT!CW434</f>
        <v>501</v>
      </c>
      <c r="BY531" s="240">
        <f>INPUT!CX434</f>
        <v>24.937655860349125</v>
      </c>
      <c r="BZ531" s="75">
        <f>INPUT!CY434</f>
        <v>247</v>
      </c>
      <c r="CA531" s="240">
        <f>INPUT!CZ434</f>
        <v>-37.783375314861459</v>
      </c>
      <c r="CB531" s="75">
        <f>INPUT!DA434</f>
        <v>266</v>
      </c>
      <c r="CC531" s="240">
        <f>INPUT!DB434</f>
        <v>-32.315521628498729</v>
      </c>
      <c r="CD531" s="75">
        <f>INPUT!DC434</f>
        <v>250</v>
      </c>
      <c r="CE531" s="240">
        <f>INPUT!DD434</f>
        <v>-9.4202898550724683</v>
      </c>
      <c r="CF531" s="75">
        <f>INPUT!DE434</f>
        <v>301</v>
      </c>
      <c r="CG531" s="240">
        <f>INPUT!DF434</f>
        <v>-39.920159680638726</v>
      </c>
      <c r="CH531" s="75">
        <f>INPUT!DG434</f>
        <v>225</v>
      </c>
      <c r="CI531" s="240">
        <f>INPUT!DH434</f>
        <v>-8.9068825910931082</v>
      </c>
      <c r="CJ531" s="75">
        <f>INPUT!DI434</f>
        <v>223</v>
      </c>
      <c r="CK531" s="240">
        <f>INPUT!DJ434</f>
        <v>-16.165413533834581</v>
      </c>
      <c r="CL531" s="75">
        <f>INPUT!DK434</f>
        <v>217</v>
      </c>
      <c r="CM531" s="240">
        <f>INPUT!DL434</f>
        <v>-13.200000000000003</v>
      </c>
      <c r="CN531" s="75">
        <f>INPUT!DM434</f>
        <v>281</v>
      </c>
      <c r="CO531" s="240">
        <f>INPUT!DN434</f>
        <v>-6.6445182724252447</v>
      </c>
      <c r="CP531" s="75">
        <f>INPUT!DO434</f>
        <v>239</v>
      </c>
      <c r="CQ531" s="240">
        <f>INPUT!DP434</f>
        <v>6.2222222222222143</v>
      </c>
      <c r="CR531" s="75">
        <f>INPUT!DQ434</f>
        <v>221</v>
      </c>
      <c r="CS531" s="240">
        <f>INPUT!DR434</f>
        <v>-0.89686098654708246</v>
      </c>
      <c r="CT531" s="75">
        <f>INPUT!DS434</f>
        <v>204</v>
      </c>
      <c r="CU531" s="240">
        <f>INPUT!DT434</f>
        <v>-5.9907834101382491</v>
      </c>
      <c r="CV531" s="75">
        <f>INPUT!DU434</f>
        <v>239</v>
      </c>
      <c r="CW531" s="240">
        <f>INPUT!DV434</f>
        <v>-14.946619217081846</v>
      </c>
      <c r="CX531" s="75">
        <f>INPUT!DW434</f>
        <v>222</v>
      </c>
      <c r="CY531" s="240">
        <f>INPUT!DX434</f>
        <v>-7.1129707112970664</v>
      </c>
      <c r="CZ531" s="75">
        <f>INPUT!DY434</f>
        <v>204</v>
      </c>
      <c r="DA531" s="240">
        <f>INPUT!DZ434</f>
        <v>-7.6923076923076934</v>
      </c>
      <c r="DB531" s="75">
        <f>INPUT!EA434</f>
        <v>215</v>
      </c>
      <c r="DC531" s="240">
        <f>INPUT!EB434</f>
        <v>5.3921568627450966</v>
      </c>
      <c r="DD531" s="75">
        <f>INPUT!EC434</f>
        <v>273</v>
      </c>
      <c r="DE531" s="240">
        <f>INPUT!ED434</f>
        <v>14.225941422594147</v>
      </c>
      <c r="DF531" s="75">
        <f>INPUT!EE434</f>
        <v>272</v>
      </c>
      <c r="DG531" s="240">
        <f>INPUT!EF434</f>
        <v>22.522522522522507</v>
      </c>
      <c r="DH531" s="75">
        <f>INPUT!EG434</f>
        <v>250</v>
      </c>
      <c r="DI531" s="240">
        <f>INPUT!EH434</f>
        <v>22.54901960784315</v>
      </c>
      <c r="DJ531" s="75">
        <f>INPUT!EI434</f>
        <v>226</v>
      </c>
      <c r="DK531" s="240">
        <f>INPUT!EJ434</f>
        <v>5.1162790697674438</v>
      </c>
      <c r="DL531" s="75">
        <f>INPUT!EK434</f>
        <v>322</v>
      </c>
      <c r="DM531" s="240">
        <f>INPUT!EL434</f>
        <v>17.948717948717956</v>
      </c>
      <c r="DN531" s="75">
        <f>INPUT!EM434</f>
        <v>229</v>
      </c>
      <c r="DO531" s="240">
        <f>INPUT!EN434</f>
        <v>-15.808823529411768</v>
      </c>
      <c r="DP531" s="75">
        <f>INPUT!EO434</f>
        <v>209</v>
      </c>
      <c r="DQ531" s="240">
        <f>INPUT!EP434</f>
        <v>-16.400000000000006</v>
      </c>
      <c r="DR531" s="75">
        <f>INPUT!EQ434</f>
        <v>239.56</v>
      </c>
      <c r="DS531" s="240">
        <f>INPUT!ER434</f>
        <v>6</v>
      </c>
      <c r="DT531" s="75">
        <f>INPUT!ES434</f>
        <v>341.32</v>
      </c>
      <c r="DU531" s="240">
        <f>INPUT!ET434</f>
        <v>6</v>
      </c>
      <c r="DV531" s="75">
        <f>INPUT!EU434</f>
        <v>242.74</v>
      </c>
      <c r="DW531" s="240">
        <f>INPUT!EV434</f>
        <v>6</v>
      </c>
      <c r="DX531" s="75">
        <f>INPUT!EW434</f>
        <v>221.54000000000002</v>
      </c>
      <c r="DY531" s="240">
        <f>INPUT!EX434</f>
        <v>6</v>
      </c>
      <c r="DZ531" s="75"/>
      <c r="EA531" s="240"/>
      <c r="EB531" s="499" t="str">
        <f>INPUT!FI434</f>
        <v>NA</v>
      </c>
      <c r="EC531" s="81">
        <f>INPUT!FJ434</f>
        <v>233</v>
      </c>
      <c r="ED531" s="155" t="str">
        <f>INPUT!FK434</f>
        <v>NM</v>
      </c>
      <c r="EE531" s="81">
        <f>INPUT!FL434</f>
        <v>296</v>
      </c>
      <c r="EF531" s="155">
        <f>INPUT!FM434</f>
        <v>27.038626609442048</v>
      </c>
      <c r="EG531" s="81">
        <f>INPUT!FN434</f>
        <v>277</v>
      </c>
      <c r="EH531" s="155">
        <f>INPUT!FO434</f>
        <v>-6.4189189189189193</v>
      </c>
      <c r="EI531" s="81">
        <f>INPUT!FP434</f>
        <v>323</v>
      </c>
      <c r="EJ531" s="240">
        <f>INPUT!FQ434</f>
        <v>16.606498194945843</v>
      </c>
      <c r="EK531" s="81">
        <f>INPUT!FR434</f>
        <v>327</v>
      </c>
      <c r="EL531" s="240">
        <f>INPUT!FS434</f>
        <v>1.2383900928792428</v>
      </c>
      <c r="EM531" s="81">
        <f>INPUT!FT434</f>
        <v>320</v>
      </c>
      <c r="EN531" s="240">
        <f>INPUT!FU434</f>
        <v>-2.140672782874617</v>
      </c>
      <c r="EO531" s="81">
        <f>INPUT!FV434</f>
        <v>400</v>
      </c>
      <c r="EP531" s="240">
        <f>INPUT!FW434</f>
        <v>25</v>
      </c>
      <c r="EQ531" s="75">
        <f>INPUT!FX434</f>
        <v>436</v>
      </c>
      <c r="ER531" s="240">
        <f>INPUT!FY434</f>
        <v>9.0000000000000142</v>
      </c>
      <c r="ES531" s="75">
        <f>INPUT!FZ434</f>
        <v>542</v>
      </c>
      <c r="ET531" s="240">
        <f>INPUT!GA434</f>
        <v>24.311926605504581</v>
      </c>
      <c r="EU531" s="75">
        <f>INPUT!GB434</f>
        <v>1429</v>
      </c>
      <c r="EV531" s="240" t="str">
        <f>INPUT!GC434</f>
        <v>NM</v>
      </c>
      <c r="EW531" s="75">
        <f>INPUT!GD434</f>
        <v>1290</v>
      </c>
      <c r="EX531" s="240">
        <f>INPUT!GE434</f>
        <v>-9.7270818754373778</v>
      </c>
      <c r="EY531" s="75">
        <f>INPUT!GF434</f>
        <v>999</v>
      </c>
      <c r="EZ531" s="240">
        <f>INPUT!GG434</f>
        <v>-22.558139534883722</v>
      </c>
      <c r="FA531" s="75">
        <f>INPUT!GH434</f>
        <v>958</v>
      </c>
      <c r="FB531" s="240">
        <f>INPUT!GI434</f>
        <v>-4.1041041041040955</v>
      </c>
      <c r="FC531" s="75">
        <f>INPUT!GJ434</f>
        <v>869</v>
      </c>
      <c r="FD531" s="240">
        <f>INPUT!GK434</f>
        <v>-9.2901878914405103</v>
      </c>
      <c r="FE531" s="75">
        <f>INPUT!GL434</f>
        <v>1010</v>
      </c>
      <c r="FF531" s="240">
        <f>INPUT!GM434</f>
        <v>16.225546605293445</v>
      </c>
      <c r="FG531" s="75">
        <f>INPUT!GN434</f>
        <v>986</v>
      </c>
      <c r="FH531" s="240">
        <f>INPUT!GO434</f>
        <v>-2.3762376237623783</v>
      </c>
      <c r="FI531" s="75">
        <f>INPUT!GP434</f>
        <v>1045.1600000000001</v>
      </c>
      <c r="FJ531" s="240">
        <f>INPUT!GQ434</f>
        <v>6</v>
      </c>
      <c r="FK531" s="75">
        <f>INPUT!GR434</f>
        <v>1107.8696000000002</v>
      </c>
      <c r="FL531" s="240">
        <f>INPUT!GS434</f>
        <v>6</v>
      </c>
      <c r="FM531" s="75">
        <f>INPUT!GT434</f>
        <v>1174.3417760000002</v>
      </c>
      <c r="FN531" s="240">
        <f>INPUT!GU434</f>
        <v>6</v>
      </c>
      <c r="FO531" s="75">
        <f>INPUT!GV434</f>
        <v>1244.8022825600003</v>
      </c>
      <c r="FP531" s="240">
        <f>INPUT!GW434</f>
        <v>6</v>
      </c>
      <c r="FQ531" s="75">
        <f>INPUT!GX434</f>
        <v>1319.4904195136005</v>
      </c>
      <c r="FR531" s="240">
        <f>INPUT!GY434</f>
        <v>6</v>
      </c>
      <c r="FS531" s="240">
        <f>INPUT!GZ434</f>
        <v>6.0000000000000053</v>
      </c>
    </row>
    <row r="532" spans="1:176" ht="12.75" hidden="1" customHeight="1" outlineLevel="1" x14ac:dyDescent="0.2">
      <c r="A532" s="70"/>
      <c r="B532" s="91"/>
      <c r="C532" s="155"/>
      <c r="D532" s="91"/>
      <c r="E532" s="155"/>
      <c r="F532" s="91"/>
      <c r="G532" s="155"/>
      <c r="H532" s="91"/>
      <c r="I532" s="155"/>
      <c r="J532" s="91"/>
      <c r="K532" s="155"/>
      <c r="L532" s="91"/>
      <c r="M532" s="155"/>
      <c r="N532" s="91"/>
      <c r="O532" s="155"/>
      <c r="P532" s="91"/>
      <c r="Q532" s="155"/>
      <c r="R532" s="91"/>
      <c r="S532" s="155"/>
      <c r="T532" s="91"/>
      <c r="U532" s="155"/>
      <c r="V532" s="91"/>
      <c r="W532" s="155"/>
      <c r="X532" s="91"/>
      <c r="Y532" s="155"/>
      <c r="Z532" s="91"/>
      <c r="AA532" s="155"/>
      <c r="AB532" s="91"/>
      <c r="AC532" s="155"/>
      <c r="AD532" s="91"/>
      <c r="AE532" s="155"/>
      <c r="AF532" s="91"/>
      <c r="AG532" s="155"/>
      <c r="AH532" s="91"/>
      <c r="AI532" s="240"/>
      <c r="AJ532" s="91"/>
      <c r="AK532" s="240"/>
      <c r="AL532" s="91"/>
      <c r="AM532" s="240"/>
      <c r="AN532" s="91"/>
      <c r="AO532" s="240"/>
      <c r="AP532" s="91"/>
      <c r="AQ532" s="240"/>
      <c r="AR532" s="91"/>
      <c r="AS532" s="240"/>
      <c r="AT532" s="91"/>
      <c r="AU532" s="240"/>
      <c r="AV532" s="91"/>
      <c r="AW532" s="240"/>
      <c r="AX532" s="91"/>
      <c r="AY532" s="240"/>
      <c r="AZ532" s="91"/>
      <c r="BA532" s="240"/>
      <c r="BB532" s="91"/>
      <c r="BC532" s="240"/>
      <c r="BD532" s="91"/>
      <c r="BE532" s="240"/>
      <c r="BF532" s="91"/>
      <c r="BG532" s="240"/>
      <c r="BH532" s="91"/>
      <c r="BI532" s="240"/>
      <c r="BJ532" s="91"/>
      <c r="BK532" s="240"/>
      <c r="BL532" s="91"/>
      <c r="BM532" s="240"/>
      <c r="BN532" s="91"/>
      <c r="BO532" s="240"/>
      <c r="BP532" s="91"/>
      <c r="BQ532" s="240"/>
      <c r="BR532" s="91"/>
      <c r="BS532" s="240"/>
      <c r="BT532" s="91"/>
      <c r="BU532" s="240"/>
      <c r="BV532" s="91"/>
      <c r="BW532" s="240"/>
      <c r="BX532" s="91"/>
      <c r="BY532" s="240"/>
      <c r="BZ532" s="91"/>
      <c r="CA532" s="240"/>
      <c r="CB532" s="91"/>
      <c r="CC532" s="240"/>
      <c r="CD532" s="91"/>
      <c r="CE532" s="240"/>
      <c r="CF532" s="91"/>
      <c r="CG532" s="240"/>
      <c r="CH532" s="91"/>
      <c r="CI532" s="240"/>
      <c r="CJ532" s="91"/>
      <c r="CK532" s="240"/>
      <c r="CL532" s="91"/>
      <c r="CM532" s="240"/>
      <c r="CN532" s="91"/>
      <c r="CO532" s="240"/>
      <c r="CP532" s="91"/>
      <c r="CQ532" s="240"/>
      <c r="CR532" s="91"/>
      <c r="CS532" s="240"/>
      <c r="CT532" s="91"/>
      <c r="CU532" s="240"/>
      <c r="CV532" s="91"/>
      <c r="CW532" s="240"/>
      <c r="CX532" s="91"/>
      <c r="CY532" s="240"/>
      <c r="CZ532" s="91"/>
      <c r="DA532" s="240"/>
      <c r="DB532" s="91"/>
      <c r="DC532" s="240"/>
      <c r="DD532" s="91"/>
      <c r="DE532" s="240"/>
      <c r="DF532" s="91"/>
      <c r="DG532" s="240"/>
      <c r="DH532" s="91"/>
      <c r="DI532" s="240"/>
      <c r="DJ532" s="91"/>
      <c r="DK532" s="240"/>
      <c r="DL532" s="91"/>
      <c r="DM532" s="240"/>
      <c r="DN532" s="91"/>
      <c r="DO532" s="240"/>
      <c r="DP532" s="91"/>
      <c r="DQ532" s="240"/>
      <c r="DR532" s="91"/>
      <c r="DS532" s="240"/>
      <c r="DT532" s="91"/>
      <c r="DU532" s="240"/>
      <c r="DV532" s="91"/>
      <c r="DW532" s="240"/>
      <c r="DX532" s="91"/>
      <c r="DY532" s="240"/>
      <c r="DZ532" s="91"/>
      <c r="EA532" s="240"/>
      <c r="EB532" s="498"/>
      <c r="EC532" s="91"/>
      <c r="ED532" s="155"/>
      <c r="EE532" s="91"/>
      <c r="EF532" s="155"/>
      <c r="EG532" s="91"/>
      <c r="EH532" s="155"/>
      <c r="EI532" s="91"/>
      <c r="EJ532" s="240"/>
      <c r="EK532" s="91"/>
      <c r="EL532" s="240"/>
      <c r="EM532" s="91"/>
      <c r="EN532" s="240"/>
      <c r="EO532" s="91"/>
      <c r="EP532" s="240"/>
      <c r="EQ532" s="91"/>
      <c r="ER532" s="240"/>
      <c r="ES532" s="91"/>
      <c r="ET532" s="240"/>
      <c r="EU532" s="91"/>
      <c r="EV532" s="240"/>
      <c r="EW532" s="91"/>
      <c r="EX532" s="240"/>
      <c r="EY532" s="91"/>
      <c r="EZ532" s="240"/>
      <c r="FA532" s="91"/>
      <c r="FB532" s="240"/>
      <c r="FC532" s="91"/>
      <c r="FD532" s="240"/>
      <c r="FE532" s="91"/>
      <c r="FF532" s="240"/>
      <c r="FG532" s="91"/>
      <c r="FH532" s="240"/>
      <c r="FI532" s="91"/>
      <c r="FJ532" s="240"/>
      <c r="FK532" s="91"/>
      <c r="FL532" s="240"/>
      <c r="FM532" s="91"/>
      <c r="FN532" s="240"/>
      <c r="FO532" s="91"/>
      <c r="FP532" s="240"/>
      <c r="FQ532" s="91"/>
      <c r="FR532" s="240"/>
      <c r="FS532" s="240"/>
    </row>
    <row r="533" spans="1:176" ht="12.75" hidden="1" customHeight="1" outlineLevel="1" x14ac:dyDescent="0.2">
      <c r="A533" s="514" t="s">
        <v>312</v>
      </c>
      <c r="B533" s="524"/>
      <c r="C533" s="487"/>
      <c r="D533" s="524"/>
      <c r="E533" s="487"/>
      <c r="F533" s="524"/>
      <c r="G533" s="487"/>
      <c r="H533" s="524"/>
      <c r="I533" s="487"/>
      <c r="J533" s="524"/>
      <c r="K533" s="487"/>
      <c r="L533" s="524"/>
      <c r="M533" s="487"/>
      <c r="N533" s="524"/>
      <c r="O533" s="487"/>
      <c r="P533" s="524"/>
      <c r="Q533" s="487"/>
      <c r="R533" s="524"/>
      <c r="S533" s="487"/>
      <c r="T533" s="524"/>
      <c r="U533" s="487"/>
      <c r="V533" s="524"/>
      <c r="W533" s="487"/>
      <c r="X533" s="524"/>
      <c r="Y533" s="487"/>
      <c r="Z533" s="524"/>
      <c r="AA533" s="487"/>
      <c r="AB533" s="524"/>
      <c r="AC533" s="487"/>
      <c r="AD533" s="524"/>
      <c r="AE533" s="487"/>
      <c r="AF533" s="524"/>
      <c r="AG533" s="487"/>
      <c r="AH533" s="524"/>
      <c r="AI533" s="486"/>
      <c r="AJ533" s="524"/>
      <c r="AK533" s="486"/>
      <c r="AL533" s="524"/>
      <c r="AM533" s="486"/>
      <c r="AN533" s="524"/>
      <c r="AO533" s="486"/>
      <c r="AP533" s="524"/>
      <c r="AQ533" s="486"/>
      <c r="AR533" s="524"/>
      <c r="AS533" s="486"/>
      <c r="AT533" s="524"/>
      <c r="AU533" s="486"/>
      <c r="AV533" s="524"/>
      <c r="AW533" s="486"/>
      <c r="AX533" s="524"/>
      <c r="AY533" s="486"/>
      <c r="AZ533" s="524"/>
      <c r="BA533" s="486"/>
      <c r="BB533" s="524"/>
      <c r="BC533" s="486"/>
      <c r="BD533" s="524"/>
      <c r="BE533" s="486"/>
      <c r="BF533" s="524"/>
      <c r="BG533" s="486"/>
      <c r="BH533" s="524"/>
      <c r="BI533" s="486"/>
      <c r="BJ533" s="524"/>
      <c r="BK533" s="486"/>
      <c r="BL533" s="524"/>
      <c r="BM533" s="486"/>
      <c r="BN533" s="524"/>
      <c r="BO533" s="486"/>
      <c r="BP533" s="524"/>
      <c r="BQ533" s="486"/>
      <c r="BR533" s="524"/>
      <c r="BS533" s="486"/>
      <c r="BT533" s="524"/>
      <c r="BU533" s="486"/>
      <c r="BV533" s="524"/>
      <c r="BW533" s="486"/>
      <c r="BX533" s="524"/>
      <c r="BY533" s="486"/>
      <c r="BZ533" s="524"/>
      <c r="CA533" s="486"/>
      <c r="CB533" s="524"/>
      <c r="CC533" s="486"/>
      <c r="CD533" s="524"/>
      <c r="CE533" s="486"/>
      <c r="CF533" s="524"/>
      <c r="CG533" s="486"/>
      <c r="CH533" s="524"/>
      <c r="CI533" s="486"/>
      <c r="CJ533" s="524"/>
      <c r="CK533" s="486"/>
      <c r="CL533" s="524"/>
      <c r="CM533" s="486"/>
      <c r="CN533" s="524"/>
      <c r="CO533" s="486"/>
      <c r="CP533" s="524"/>
      <c r="CQ533" s="486"/>
      <c r="CR533" s="524"/>
      <c r="CS533" s="486"/>
      <c r="CT533" s="524"/>
      <c r="CU533" s="486"/>
      <c r="CV533" s="524"/>
      <c r="CW533" s="486"/>
      <c r="CX533" s="524"/>
      <c r="CY533" s="486"/>
      <c r="CZ533" s="524"/>
      <c r="DA533" s="486"/>
      <c r="DB533" s="524"/>
      <c r="DC533" s="486"/>
      <c r="DD533" s="524"/>
      <c r="DE533" s="486"/>
      <c r="DF533" s="524"/>
      <c r="DG533" s="486"/>
      <c r="DH533" s="524"/>
      <c r="DI533" s="486"/>
      <c r="DJ533" s="524"/>
      <c r="DK533" s="486"/>
      <c r="DL533" s="524"/>
      <c r="DM533" s="486"/>
      <c r="DN533" s="524"/>
      <c r="DO533" s="486"/>
      <c r="DP533" s="524"/>
      <c r="DQ533" s="486"/>
      <c r="DR533" s="524"/>
      <c r="DS533" s="486"/>
      <c r="DT533" s="524"/>
      <c r="DU533" s="486"/>
      <c r="DV533" s="524"/>
      <c r="DW533" s="486"/>
      <c r="DX533" s="524"/>
      <c r="DY533" s="486"/>
      <c r="DZ533" s="524"/>
      <c r="EA533" s="486"/>
      <c r="EB533" s="525"/>
      <c r="EC533" s="524"/>
      <c r="ED533" s="487"/>
      <c r="EE533" s="524"/>
      <c r="EF533" s="487"/>
      <c r="EG533" s="524"/>
      <c r="EH533" s="487"/>
      <c r="EI533" s="524"/>
      <c r="EJ533" s="486"/>
      <c r="EK533" s="524"/>
      <c r="EL533" s="486"/>
      <c r="EM533" s="524"/>
      <c r="EN533" s="486"/>
      <c r="EO533" s="524"/>
      <c r="EP533" s="486"/>
      <c r="EQ533" s="524"/>
      <c r="ER533" s="486"/>
      <c r="ES533" s="524"/>
      <c r="ET533" s="486"/>
      <c r="EU533" s="524"/>
      <c r="EV533" s="486"/>
      <c r="EW533" s="524"/>
      <c r="EX533" s="486"/>
      <c r="EY533" s="524"/>
      <c r="EZ533" s="486"/>
      <c r="FA533" s="524"/>
      <c r="FB533" s="486"/>
      <c r="FC533" s="524"/>
      <c r="FD533" s="486"/>
      <c r="FE533" s="524"/>
      <c r="FF533" s="486"/>
      <c r="FG533" s="524"/>
      <c r="FH533" s="486"/>
      <c r="FI533" s="524"/>
      <c r="FJ533" s="486"/>
      <c r="FK533" s="524"/>
      <c r="FL533" s="486"/>
      <c r="FM533" s="524"/>
      <c r="FN533" s="486"/>
      <c r="FO533" s="524"/>
      <c r="FP533" s="486"/>
      <c r="FQ533" s="524"/>
      <c r="FR533" s="486"/>
      <c r="FS533" s="486"/>
    </row>
    <row r="534" spans="1:176" ht="12.75" hidden="1" customHeight="1" outlineLevel="1" x14ac:dyDescent="0.2">
      <c r="A534" s="246" t="str">
        <f>INPUT!B418</f>
        <v>Benefits/Fees (%)</v>
      </c>
      <c r="B534" s="81">
        <f>INPUT!AA418</f>
        <v>80.597014925373131</v>
      </c>
      <c r="C534" s="155">
        <f>INPUT!AB418</f>
        <v>5.3234995980286044</v>
      </c>
      <c r="D534" s="81">
        <f>INPUT!AC418</f>
        <v>75</v>
      </c>
      <c r="E534" s="155">
        <f>INPUT!AD418</f>
        <v>-4.8823529411764639</v>
      </c>
      <c r="F534" s="81">
        <f>INPUT!AE418</f>
        <v>78.557874762808339</v>
      </c>
      <c r="G534" s="155">
        <f>INPUT!AF418</f>
        <v>-1.7095784958227398</v>
      </c>
      <c r="H534" s="81">
        <f>INPUT!AG418</f>
        <v>76.855123674911667</v>
      </c>
      <c r="I534" s="155">
        <f>INPUT!AH418</f>
        <v>-11.515482611121442</v>
      </c>
      <c r="J534" s="81">
        <f>INPUT!AI418</f>
        <v>82.033898305084733</v>
      </c>
      <c r="K534" s="155">
        <f>INPUT!AJ418</f>
        <v>1.7827997489014251</v>
      </c>
      <c r="L534" s="81">
        <f>INPUT!AK418</f>
        <v>79.210925644916543</v>
      </c>
      <c r="M534" s="155">
        <f>INPUT!AL418</f>
        <v>5.6145675265553763</v>
      </c>
      <c r="N534" s="81">
        <f>INPUT!AM418</f>
        <v>80.32200357781754</v>
      </c>
      <c r="O534" s="155">
        <f>INPUT!AN418</f>
        <v>2.2456422355310366</v>
      </c>
      <c r="P534" s="81">
        <f>INPUT!AO418</f>
        <v>77.558348294434467</v>
      </c>
      <c r="Q534" s="155">
        <f>INPUT!AP418</f>
        <v>0.91500030954001943</v>
      </c>
      <c r="R534" s="81">
        <f>INPUT!AQ418</f>
        <v>79.692832764505113</v>
      </c>
      <c r="S534" s="155">
        <f>INPUT!AR418</f>
        <v>-2.8537782416156574</v>
      </c>
      <c r="T534" s="81">
        <f>INPUT!AS418</f>
        <v>77.165354330708652</v>
      </c>
      <c r="U534" s="155">
        <f>INPUT!AT418</f>
        <v>-2.5824358162126515</v>
      </c>
      <c r="V534" s="81">
        <f>INPUT!AU418</f>
        <v>84.360902255639104</v>
      </c>
      <c r="W534" s="155">
        <f>INPUT!AV418</f>
        <v>5.0283838772878795</v>
      </c>
      <c r="X534" s="81">
        <f>INPUT!AW418</f>
        <v>79.963235294117652</v>
      </c>
      <c r="Y534" s="155">
        <f>INPUT!AX418</f>
        <v>3.1007455065359579</v>
      </c>
      <c r="Z534" s="81">
        <f>INPUT!AY418</f>
        <v>80.960854092526688</v>
      </c>
      <c r="AA534" s="155">
        <f>INPUT!AZ418</f>
        <v>1.5911359704938661</v>
      </c>
      <c r="AB534" s="81">
        <f>INPUT!BA418</f>
        <v>82.110912343470488</v>
      </c>
      <c r="AC534" s="155">
        <f>INPUT!BB418</f>
        <v>6.4090394655178926</v>
      </c>
      <c r="AD534" s="81">
        <f>INPUT!BC418</f>
        <v>77.551020408163268</v>
      </c>
      <c r="AE534" s="155">
        <f>INPUT!BD418</f>
        <v>-8.0723198370257165</v>
      </c>
      <c r="AF534" s="81">
        <f>INPUT!BE418</f>
        <v>76.604554865424433</v>
      </c>
      <c r="AG534" s="155">
        <f>INPUT!BF418</f>
        <v>-4.2002808119749631</v>
      </c>
      <c r="AH534" s="81">
        <f>INPUT!BG418</f>
        <v>76.811594202898547</v>
      </c>
      <c r="AI534" s="240">
        <f>INPUT!BH418</f>
        <v>-5.125019907628598</v>
      </c>
      <c r="AJ534" s="81">
        <f>INPUT!BI418</f>
        <v>78.77629063097514</v>
      </c>
      <c r="AK534" s="240">
        <f>INPUT!BJ418</f>
        <v>-4.0611188176141582</v>
      </c>
      <c r="AL534" s="81">
        <f>INPUT!BK418</f>
        <v>75.635593220338976</v>
      </c>
      <c r="AM534" s="240">
        <f>INPUT!BL418</f>
        <v>-2.469892952720798</v>
      </c>
      <c r="AN534" s="81">
        <f>INPUT!BM418</f>
        <v>76.047904191616766</v>
      </c>
      <c r="AO534" s="240">
        <f>INPUT!BN418</f>
        <v>-0.72665479851109183</v>
      </c>
      <c r="AP534" s="81">
        <f>INPUT!BO418</f>
        <v>78.178368121442119</v>
      </c>
      <c r="AQ534" s="240">
        <f>INPUT!BP418</f>
        <v>1.7793849128208876</v>
      </c>
      <c r="AR534" s="81">
        <f>INPUT!BQ418</f>
        <v>74.873524451939289</v>
      </c>
      <c r="AS534" s="240">
        <f>INPUT!BR418</f>
        <v>-4.9542395913489088</v>
      </c>
      <c r="AT534" s="81">
        <f>INPUT!BS418</f>
        <v>73.592233009708735</v>
      </c>
      <c r="AU534" s="240">
        <f>INPUT!BT418</f>
        <v>-2.7015854885643478</v>
      </c>
      <c r="AV534" s="81">
        <f>INPUT!BU418</f>
        <v>72.271914132379251</v>
      </c>
      <c r="AW534" s="240">
        <f>INPUT!BV418</f>
        <v>-4.9652782668713797</v>
      </c>
      <c r="AX534" s="81">
        <f>INPUT!BW418</f>
        <v>76.062992125984252</v>
      </c>
      <c r="AY534" s="240">
        <f>INPUT!BX418</f>
        <v>-2.7058328873939246</v>
      </c>
      <c r="AZ534" s="81">
        <f>INPUT!BY418</f>
        <v>77.291381668946642</v>
      </c>
      <c r="BA534" s="240">
        <f>INPUT!BZ418</f>
        <v>3.2292552470390916</v>
      </c>
      <c r="BB534" s="81">
        <f>INPUT!CA418</f>
        <v>75.062344139650875</v>
      </c>
      <c r="BC534" s="240">
        <f>INPUT!CB418</f>
        <v>1.9976444113989515</v>
      </c>
      <c r="BD534" s="81">
        <f>INPUT!CC418</f>
        <v>76.264591439688715</v>
      </c>
      <c r="BE534" s="240">
        <f>INPUT!CD418</f>
        <v>5.5245213237276971</v>
      </c>
      <c r="BF534" s="81">
        <f>INPUT!CE418</f>
        <v>77.128335451080048</v>
      </c>
      <c r="BG534" s="240">
        <f>INPUT!CF418</f>
        <v>1.4006066489354652</v>
      </c>
      <c r="BH534" s="81">
        <f>INPUT!CG418</f>
        <v>79.679144385026731</v>
      </c>
      <c r="BI534" s="240">
        <f>INPUT!CH418</f>
        <v>3.0893000804505135</v>
      </c>
      <c r="BJ534" s="81">
        <f>INPUT!CI418</f>
        <v>75.522041763341065</v>
      </c>
      <c r="BK534" s="240">
        <f>INPUT!CJ418</f>
        <v>0.61242108671018514</v>
      </c>
      <c r="BL534" s="81">
        <f>INPUT!CK418</f>
        <v>76.059322033898297</v>
      </c>
      <c r="BM534" s="240">
        <f>INPUT!CL418</f>
        <v>-0.26915427187825003</v>
      </c>
      <c r="BN534" s="81">
        <f>INPUT!CM418</f>
        <v>81.096059113300484</v>
      </c>
      <c r="BO534" s="240">
        <f>INPUT!CN418</f>
        <v>5.1443138750699973</v>
      </c>
      <c r="BP534" s="81">
        <f>INPUT!CO418</f>
        <v>79.451494064674577</v>
      </c>
      <c r="BQ534" s="240">
        <f>INPUT!CP418</f>
        <v>-0.28570879131444826</v>
      </c>
      <c r="BR534" s="81">
        <f>INPUT!CQ418</f>
        <v>75.021949078138718</v>
      </c>
      <c r="BS534" s="240">
        <f>INPUT!CR418</f>
        <v>-0.66218109776409051</v>
      </c>
      <c r="BT534" s="81">
        <f>INPUT!CS418</f>
        <v>74.754098360655746</v>
      </c>
      <c r="BU534" s="240">
        <f>INPUT!CT418</f>
        <v>-1.7160600940682116</v>
      </c>
      <c r="BV534" s="81">
        <f>INPUT!CU418</f>
        <v>79.732111385266123</v>
      </c>
      <c r="BW534" s="240">
        <f>INPUT!CV418</f>
        <v>-1.6818915036657529</v>
      </c>
      <c r="BX534" s="81">
        <f>INPUT!CW418</f>
        <v>82.181303116147305</v>
      </c>
      <c r="BY534" s="240">
        <f>INPUT!CX418</f>
        <v>3.4358183991488431</v>
      </c>
      <c r="BZ534" s="81">
        <f>INPUT!CY418</f>
        <v>88.391989111413565</v>
      </c>
      <c r="CA534" s="240">
        <f>INPUT!CZ418</f>
        <v>17.821504503101295</v>
      </c>
      <c r="CB534" s="81">
        <f>INPUT!DA418</f>
        <v>89.853909134692572</v>
      </c>
      <c r="CC534" s="240">
        <f>INPUT!DB418</f>
        <v>20.199308272286103</v>
      </c>
      <c r="CD534" s="81">
        <f>INPUT!DC418</f>
        <v>84.448755253798907</v>
      </c>
      <c r="CE534" s="240">
        <f>INPUT!DD418</f>
        <v>5.9156139058477208</v>
      </c>
      <c r="CF534" s="81">
        <f>INPUT!DE418</f>
        <v>83.432539682539684</v>
      </c>
      <c r="CG534" s="240">
        <f>INPUT!DF418</f>
        <v>1.5225319129145305</v>
      </c>
      <c r="CH534" s="81">
        <f>INPUT!DG418</f>
        <v>84.937954642704312</v>
      </c>
      <c r="CI534" s="240">
        <f>INPUT!DH418</f>
        <v>-3.9076329240148908</v>
      </c>
      <c r="CJ534" s="81">
        <f>INPUT!DI418</f>
        <v>81.047018904507993</v>
      </c>
      <c r="CK534" s="240">
        <f>INPUT!DJ418</f>
        <v>-9.801343441811639</v>
      </c>
      <c r="CL534" s="81">
        <f>INPUT!DK418</f>
        <v>79.3975255513717</v>
      </c>
      <c r="CM534" s="240">
        <f>INPUT!DL418</f>
        <v>-5.9814140389002119</v>
      </c>
      <c r="CN534" s="81">
        <f>INPUT!DM418</f>
        <v>80.549199084668189</v>
      </c>
      <c r="CO534" s="240">
        <f>INPUT!DN418</f>
        <v>-3.4558945572585742</v>
      </c>
      <c r="CP534" s="81">
        <f>INPUT!DO418</f>
        <v>80.504115226337447</v>
      </c>
      <c r="CQ534" s="240">
        <f>INPUT!DP418</f>
        <v>-5.220092048387599</v>
      </c>
      <c r="CR534" s="81">
        <f>INPUT!DQ418</f>
        <v>82.713963963963963</v>
      </c>
      <c r="CS534" s="240">
        <f>INPUT!DR418</f>
        <v>2.0567629531445419</v>
      </c>
      <c r="CT534" s="81">
        <f>INPUT!DS418</f>
        <v>80.998851894374283</v>
      </c>
      <c r="CU534" s="240">
        <f>INPUT!DT418</f>
        <v>2.0168466610039246</v>
      </c>
      <c r="CV534" s="81">
        <f>INPUT!DU418</f>
        <v>81.699029126213603</v>
      </c>
      <c r="CW534" s="240">
        <f>INPUT!DV418</f>
        <v>1.4274878640776905</v>
      </c>
      <c r="CX534" s="81">
        <f>INPUT!DW418</f>
        <v>81.746920492721159</v>
      </c>
      <c r="CY534" s="240">
        <f>INPUT!DX418</f>
        <v>1.5437785545366864</v>
      </c>
      <c r="CZ534" s="81">
        <f>INPUT!DY418</f>
        <v>80.57009889470622</v>
      </c>
      <c r="DA534" s="240">
        <f>INPUT!DZ418</f>
        <v>-2.591902221240133</v>
      </c>
      <c r="DB534" s="81">
        <f>INPUT!EA418</f>
        <v>81.605351170568568</v>
      </c>
      <c r="DC534" s="240">
        <f>INPUT!EB418</f>
        <v>0.74877515175792553</v>
      </c>
      <c r="DD534" s="81">
        <f>INPUT!EC418</f>
        <v>83.254716981132077</v>
      </c>
      <c r="DE534" s="240">
        <f>INPUT!ED418</f>
        <v>1.9041693292525679</v>
      </c>
      <c r="DF534" s="81">
        <f>INPUT!EE418</f>
        <v>82.330468003820428</v>
      </c>
      <c r="DG534" s="240">
        <f>INPUT!EF418</f>
        <v>0.7138464759063794</v>
      </c>
      <c r="DH534" s="81">
        <f>INPUT!EG418</f>
        <v>82.690405539070227</v>
      </c>
      <c r="DI534" s="240">
        <f>INPUT!EH418</f>
        <v>2.6316296907304917</v>
      </c>
      <c r="DJ534" s="81">
        <f>INPUT!EI418</f>
        <v>83.174097664543524</v>
      </c>
      <c r="DK534" s="240">
        <f>INPUT!EJ418</f>
        <v>1.9223573840102972</v>
      </c>
      <c r="DL534" s="81">
        <f>INPUT!EK418</f>
        <v>80.178069353327089</v>
      </c>
      <c r="DM534" s="240">
        <f>INPUT!EL418</f>
        <v>-3.6954634396297905</v>
      </c>
      <c r="DN534" s="81">
        <f>INPUT!EM418</f>
        <v>82.503770739064848</v>
      </c>
      <c r="DO534" s="240">
        <f>INPUT!EN418</f>
        <v>0.21049647772726132</v>
      </c>
      <c r="DP534" s="81">
        <f>INPUT!EO418</f>
        <v>81.880612783940833</v>
      </c>
      <c r="DQ534" s="240">
        <f>INPUT!EP418</f>
        <v>-0.97930678879882294</v>
      </c>
      <c r="DR534" s="81">
        <f>INPUT!EQ418</f>
        <v>83.174097664543524</v>
      </c>
      <c r="DS534" s="240">
        <f>INPUT!ER418</f>
        <v>0</v>
      </c>
      <c r="DT534" s="81">
        <f>INPUT!ES418</f>
        <v>80.178069353327089</v>
      </c>
      <c r="DU534" s="240">
        <f>INPUT!ET418</f>
        <v>0</v>
      </c>
      <c r="DV534" s="81">
        <f>INPUT!EU418</f>
        <v>81.603770739064842</v>
      </c>
      <c r="DW534" s="240">
        <f>INPUT!EV418</f>
        <v>-1.0908592321755179</v>
      </c>
      <c r="DX534" s="81">
        <f>INPUT!EW418</f>
        <v>81.380612783940833</v>
      </c>
      <c r="DY534" s="240">
        <f>INPUT!EX418</f>
        <v>-0.61064516129032143</v>
      </c>
      <c r="DZ534" s="81"/>
      <c r="EA534" s="240"/>
      <c r="EB534" s="499" t="str">
        <f>INPUT!FI418</f>
        <v>NA</v>
      </c>
      <c r="EC534" s="81">
        <f>INPUT!FJ418</f>
        <v>80.465116279069775</v>
      </c>
      <c r="ED534" s="155">
        <f>INPUT!FK418</f>
        <v>6.5804406175130197</v>
      </c>
      <c r="EE534" s="81">
        <f>INPUT!FL418</f>
        <v>77.716643741403018</v>
      </c>
      <c r="EF534" s="155">
        <f>INPUT!FM418</f>
        <v>-3.4157317664644751</v>
      </c>
      <c r="EG534" s="81">
        <f>INPUT!FN418</f>
        <v>79.788583509513742</v>
      </c>
      <c r="EH534" s="155">
        <f>INPUT!FO418</f>
        <v>2.6660180733035332</v>
      </c>
      <c r="EI534" s="81">
        <f>INPUT!FP418</f>
        <v>80.370370370370367</v>
      </c>
      <c r="EJ534" s="240">
        <f>INPUT!FQ418</f>
        <v>0.72916053308209428</v>
      </c>
      <c r="EK534" s="81">
        <f>INPUT!FR418</f>
        <v>79.465138490926464</v>
      </c>
      <c r="EL534" s="240">
        <f>INPUT!FS418</f>
        <v>-1.1263253799532436</v>
      </c>
      <c r="EM534" s="81">
        <f>INPUT!FT418</f>
        <v>76.856998484082879</v>
      </c>
      <c r="EN534" s="240">
        <f>INPUT!FU418</f>
        <v>-3.2821184941889783</v>
      </c>
      <c r="EO534" s="81">
        <f>INPUT!FV418</f>
        <v>74.737802097583213</v>
      </c>
      <c r="EP534" s="240">
        <f>INPUT!FW418</f>
        <v>-2.7573238980163239</v>
      </c>
      <c r="EQ534" s="81">
        <f>INPUT!FX418</f>
        <v>76.148349778836348</v>
      </c>
      <c r="ER534" s="240">
        <f>INPUT!FY418</f>
        <v>1.8873282885833618</v>
      </c>
      <c r="ES534" s="81">
        <f>INPUT!FZ418</f>
        <v>77.125850340136054</v>
      </c>
      <c r="ET534" s="240">
        <f>INPUT!GA418</f>
        <v>1.2836792447094894</v>
      </c>
      <c r="EU534" s="81">
        <f>INPUT!GB418</f>
        <v>77.302219692657943</v>
      </c>
      <c r="EV534" s="240">
        <f>INPUT!GC418</f>
        <v>0.22867735233266728</v>
      </c>
      <c r="EW534" s="81">
        <f>INPUT!GD418</f>
        <v>86.284457973955682</v>
      </c>
      <c r="EX534" s="240">
        <f>INPUT!GE418</f>
        <v>11.619638241967408</v>
      </c>
      <c r="EY534" s="81">
        <f>INPUT!GF418</f>
        <v>83.597984216031179</v>
      </c>
      <c r="EZ534" s="240">
        <f>INPUT!GG418</f>
        <v>-3.1135082968654615</v>
      </c>
      <c r="FA534" s="81">
        <f>INPUT!GH418</f>
        <v>80.75734157650696</v>
      </c>
      <c r="FB534" s="240">
        <f>INPUT!GI418</f>
        <v>-3.3979798271014801</v>
      </c>
      <c r="FC534" s="81">
        <f>INPUT!GJ418</f>
        <v>81.278226358286574</v>
      </c>
      <c r="FD534" s="240">
        <f>INPUT!GK418</f>
        <v>0.64499991160079162</v>
      </c>
      <c r="FE534" s="81">
        <f>INPUT!GL418</f>
        <v>82.503113325031137</v>
      </c>
      <c r="FF534" s="240">
        <f>INPUT!GM418</f>
        <v>1.5070296457320325</v>
      </c>
      <c r="FG534" s="81">
        <f>INPUT!GN418</f>
        <v>81.886075949367083</v>
      </c>
      <c r="FH534" s="240">
        <f>INPUT!GO418</f>
        <v>-0.7478958681633685</v>
      </c>
      <c r="FI534" s="81">
        <f>INPUT!GP418</f>
        <v>81.539670886075953</v>
      </c>
      <c r="FJ534" s="240">
        <f>INPUT!GQ418</f>
        <v>-0.42303292626371558</v>
      </c>
      <c r="FK534" s="81">
        <f>INPUT!GR418</f>
        <v>81.489670886075956</v>
      </c>
      <c r="FL534" s="240">
        <f>INPUT!GS418</f>
        <v>-6.1319845244227622E-2</v>
      </c>
      <c r="FM534" s="81">
        <f>INPUT!GT418</f>
        <v>81.489670886075956</v>
      </c>
      <c r="FN534" s="240">
        <f>INPUT!GU418</f>
        <v>0</v>
      </c>
      <c r="FO534" s="81">
        <f>INPUT!GV418</f>
        <v>81.489670886075956</v>
      </c>
      <c r="FP534" s="240">
        <f>INPUT!GW418</f>
        <v>0</v>
      </c>
      <c r="FQ534" s="81">
        <f>INPUT!GX418</f>
        <v>81.489670886075956</v>
      </c>
      <c r="FR534" s="240">
        <f>INPUT!GY418</f>
        <v>0</v>
      </c>
      <c r="FS534" s="240">
        <f>INPUT!GZ418</f>
        <v>-9.7006697176515999E-2</v>
      </c>
    </row>
    <row r="535" spans="1:176" ht="12.75" hidden="1" customHeight="1" outlineLevel="1" x14ac:dyDescent="0.2">
      <c r="A535" s="246" t="str">
        <f>INPUT!B419</f>
        <v>Interest Credited/Net investment income (%)</v>
      </c>
      <c r="B535" s="81">
        <f>INPUT!AA419</f>
        <v>16.666666666666664</v>
      </c>
      <c r="C535" s="155">
        <f>INPUT!AB419</f>
        <v>-21.014492753623202</v>
      </c>
      <c r="D535" s="81">
        <f>INPUT!AC419</f>
        <v>17.142857142857142</v>
      </c>
      <c r="E535" s="155">
        <f>INPUT!AD419</f>
        <v>-1.818181818181813</v>
      </c>
      <c r="F535" s="81">
        <f>INPUT!AE419</f>
        <v>16.783216783216783</v>
      </c>
      <c r="G535" s="155">
        <f>INPUT!AF419</f>
        <v>5.2765416401780101</v>
      </c>
      <c r="H535" s="81">
        <f>INPUT!AG419</f>
        <v>18.705035971223023</v>
      </c>
      <c r="I535" s="155">
        <f>INPUT!AH419</f>
        <v>7.9790712884238104</v>
      </c>
      <c r="J535" s="81">
        <f>INPUT!AI419</f>
        <v>14.569536423841059</v>
      </c>
      <c r="K535" s="155">
        <f>INPUT!AJ419</f>
        <v>-12.582781456953626</v>
      </c>
      <c r="L535" s="81">
        <f>INPUT!AK419</f>
        <v>17.567567567567568</v>
      </c>
      <c r="M535" s="155">
        <f>INPUT!AL419</f>
        <v>2.4774774774774926</v>
      </c>
      <c r="N535" s="81">
        <f>INPUT!AM419</f>
        <v>15.894039735099339</v>
      </c>
      <c r="O535" s="155">
        <f>INPUT!AN419</f>
        <v>-5.2980132450331041</v>
      </c>
      <c r="P535" s="81">
        <f>INPUT!AO419</f>
        <v>19.333333333333332</v>
      </c>
      <c r="Q535" s="155">
        <f>INPUT!AP419</f>
        <v>3.3589743589743364</v>
      </c>
      <c r="R535" s="81">
        <f>INPUT!AQ419</f>
        <v>14.743589743589745</v>
      </c>
      <c r="S535" s="155">
        <f>INPUT!AR419</f>
        <v>1.194638694638698</v>
      </c>
      <c r="T535" s="81">
        <f>INPUT!AS419</f>
        <v>15.294117647058824</v>
      </c>
      <c r="U535" s="155">
        <f>INPUT!AT419</f>
        <v>-12.941176470588232</v>
      </c>
      <c r="V535" s="81">
        <f>INPUT!AU419</f>
        <v>16.201117318435752</v>
      </c>
      <c r="W535" s="155">
        <f>INPUT!AV419</f>
        <v>1.9320297951582717</v>
      </c>
      <c r="X535" s="81">
        <f>INPUT!AW419</f>
        <v>15.789473684210526</v>
      </c>
      <c r="Y535" s="155">
        <f>INPUT!AX419</f>
        <v>-18.330308529945555</v>
      </c>
      <c r="Z535" s="81">
        <f>INPUT!AY419</f>
        <v>17.964071856287426</v>
      </c>
      <c r="AA535" s="155">
        <f>INPUT!AZ419</f>
        <v>21.843269981775563</v>
      </c>
      <c r="AB535" s="81">
        <f>INPUT!BA419</f>
        <v>19.428571428571427</v>
      </c>
      <c r="AC535" s="155">
        <f>INPUT!BB419</f>
        <v>27.032967032967022</v>
      </c>
      <c r="AD535" s="81">
        <f>INPUT!BC419</f>
        <v>19.897959183673468</v>
      </c>
      <c r="AE535" s="155">
        <f>INPUT!BD419</f>
        <v>22.818437719915565</v>
      </c>
      <c r="AF535" s="81">
        <f>INPUT!BE419</f>
        <v>22.58064516129032</v>
      </c>
      <c r="AG535" s="155">
        <f>INPUT!BF419</f>
        <v>43.010752688172033</v>
      </c>
      <c r="AH535" s="81">
        <f>INPUT!BG419</f>
        <v>22.513089005235599</v>
      </c>
      <c r="AI535" s="240">
        <f>INPUT!BH419</f>
        <v>25.322862129144823</v>
      </c>
      <c r="AJ535" s="81">
        <f>INPUT!BI419</f>
        <v>23.076923076923077</v>
      </c>
      <c r="AK535" s="240">
        <f>INPUT!BJ419</f>
        <v>18.778280542986423</v>
      </c>
      <c r="AL535" s="81">
        <f>INPUT!BK419</f>
        <v>23.880597014925371</v>
      </c>
      <c r="AM535" s="240">
        <f>INPUT!BL419</f>
        <v>20.015308075009571</v>
      </c>
      <c r="AN535" s="81">
        <f>INPUT!BM419</f>
        <v>25.837320574162682</v>
      </c>
      <c r="AO535" s="240">
        <f>INPUT!BN419</f>
        <v>14.422419685577609</v>
      </c>
      <c r="AP535" s="81">
        <f>INPUT!BO419</f>
        <v>26.388888888888889</v>
      </c>
      <c r="AQ535" s="240">
        <f>INPUT!BP419</f>
        <v>17.215762273901831</v>
      </c>
      <c r="AR535" s="81">
        <f>INPUT!BQ419</f>
        <v>23.643410852713178</v>
      </c>
      <c r="AS535" s="240">
        <f>INPUT!BR419</f>
        <v>2.454780361757102</v>
      </c>
      <c r="AT535" s="81">
        <f>INPUT!BS419</f>
        <v>25.098039215686274</v>
      </c>
      <c r="AU535" s="240">
        <f>INPUT!BT419</f>
        <v>5.0980392156862848</v>
      </c>
      <c r="AV535" s="81">
        <f>INPUT!BU419</f>
        <v>25.18796992481203</v>
      </c>
      <c r="AW535" s="240">
        <f>INPUT!BV419</f>
        <v>-2.5132275132275197</v>
      </c>
      <c r="AX535" s="81">
        <f>INPUT!BW419</f>
        <v>25.63176895306859</v>
      </c>
      <c r="AY535" s="240">
        <f>INPUT!BX419</f>
        <v>-2.8690860725821778</v>
      </c>
      <c r="AZ535" s="81">
        <f>INPUT!BY419</f>
        <v>27.131782945736433</v>
      </c>
      <c r="BA535" s="240">
        <f>INPUT!BZ419</f>
        <v>14.754098360655732</v>
      </c>
      <c r="BB535" s="81">
        <f>INPUT!CA419</f>
        <v>25.874125874125873</v>
      </c>
      <c r="BC535" s="240">
        <f>INPUT!CB419</f>
        <v>3.0922202797202658</v>
      </c>
      <c r="BD535" s="81">
        <f>INPUT!CC419</f>
        <v>28.01418439716312</v>
      </c>
      <c r="BE535" s="240">
        <f>INPUT!CD419</f>
        <v>11.220493278289396</v>
      </c>
      <c r="BF535" s="81">
        <f>INPUT!CE419</f>
        <v>28.321678321678323</v>
      </c>
      <c r="BG535" s="240">
        <f>INPUT!CF419</f>
        <v>10.494435142322487</v>
      </c>
      <c r="BH535" s="81">
        <f>INPUT!CG419</f>
        <v>29.122807017543863</v>
      </c>
      <c r="BI535" s="240">
        <f>INPUT!CH419</f>
        <v>7.3383458646616617</v>
      </c>
      <c r="BJ535" s="81">
        <f>INPUT!CI419</f>
        <v>28.164556962025316</v>
      </c>
      <c r="BK535" s="240">
        <f>INPUT!CJ419</f>
        <v>8.8522066370167636</v>
      </c>
      <c r="BL535" s="81">
        <f>INPUT!CK419</f>
        <v>29.447852760736197</v>
      </c>
      <c r="BM535" s="240">
        <f>INPUT!CL419</f>
        <v>5.117651626931746</v>
      </c>
      <c r="BN535" s="81">
        <f>INPUT!CM419</f>
        <v>23.913043478260871</v>
      </c>
      <c r="BO535" s="240">
        <f>INPUT!CN419</f>
        <v>-15.566290928609774</v>
      </c>
      <c r="BP535" s="81">
        <f>INPUT!CO419</f>
        <v>31.433224755700323</v>
      </c>
      <c r="BQ535" s="240">
        <f>INPUT!CP419</f>
        <v>7.933362112946881</v>
      </c>
      <c r="BR535" s="81">
        <f>INPUT!CQ419</f>
        <v>34.876543209876544</v>
      </c>
      <c r="BS535" s="240">
        <f>INPUT!CR419</f>
        <v>23.831321958662798</v>
      </c>
      <c r="BT535" s="81">
        <f>INPUT!CS419</f>
        <v>33.437013996889583</v>
      </c>
      <c r="BU535" s="240">
        <f>INPUT!CT419</f>
        <v>13.546526697770872</v>
      </c>
      <c r="BV535" s="81">
        <f>INPUT!CU419</f>
        <v>33.439490445859867</v>
      </c>
      <c r="BW535" s="240">
        <f>INPUT!CV419</f>
        <v>39.837869137232161</v>
      </c>
      <c r="BX535" s="81">
        <f>INPUT!CW419</f>
        <v>32.20338983050847</v>
      </c>
      <c r="BY535" s="240">
        <f>INPUT!CX419</f>
        <v>2.4501624659699672</v>
      </c>
      <c r="BZ535" s="81">
        <f>INPUT!CY419</f>
        <v>31.81169757489301</v>
      </c>
      <c r="CA535" s="240">
        <f>INPUT!CZ419</f>
        <v>-8.7876989888023473</v>
      </c>
      <c r="CB535" s="81">
        <f>INPUT!DA419</f>
        <v>31.510791366906478</v>
      </c>
      <c r="CC535" s="240">
        <f>INPUT!DB419</f>
        <v>-5.7607495399029602</v>
      </c>
      <c r="CD535" s="81">
        <f>INPUT!DC419</f>
        <v>28.695652173913043</v>
      </c>
      <c r="CE535" s="240">
        <f>INPUT!DD419</f>
        <v>-14.186335403726687</v>
      </c>
      <c r="CF535" s="81">
        <f>INPUT!DE419</f>
        <v>26.292466765140325</v>
      </c>
      <c r="CG535" s="240">
        <f>INPUT!DF419</f>
        <v>-18.35497162403793</v>
      </c>
      <c r="CH535" s="81">
        <f>INPUT!DG419</f>
        <v>26.725403817914835</v>
      </c>
      <c r="CI535" s="240">
        <f>INPUT!DH419</f>
        <v>-15.988753020814812</v>
      </c>
      <c r="CJ535" s="81">
        <f>INPUT!DI419</f>
        <v>28.348909657320871</v>
      </c>
      <c r="CK535" s="240">
        <f>INPUT!DJ419</f>
        <v>-10.034282137726009</v>
      </c>
      <c r="CL535" s="81">
        <f>INPUT!DK419</f>
        <v>27.411944869831544</v>
      </c>
      <c r="CM535" s="240">
        <f>INPUT!DL419</f>
        <v>-4.4735254536173414</v>
      </c>
      <c r="CN535" s="81">
        <f>INPUT!DM419</f>
        <v>27.116212338593975</v>
      </c>
      <c r="CO535" s="240">
        <f>INPUT!DN419</f>
        <v>3.133009849596192</v>
      </c>
      <c r="CP535" s="81">
        <f>INPUT!DO419</f>
        <v>28.062678062678064</v>
      </c>
      <c r="CQ535" s="240">
        <f>INPUT!DP419</f>
        <v>5.0037569268338302</v>
      </c>
      <c r="CR535" s="81">
        <f>INPUT!DQ419</f>
        <v>26.717557251908396</v>
      </c>
      <c r="CS535" s="240">
        <f>INPUT!DR419</f>
        <v>-5.7545507927187316</v>
      </c>
      <c r="CT535" s="81">
        <f>INPUT!DS419</f>
        <v>25.413533834586467</v>
      </c>
      <c r="CU535" s="240">
        <f>INPUT!DT419</f>
        <v>-7.2902927710337195</v>
      </c>
      <c r="CV535" s="81">
        <f>INPUT!DU419</f>
        <v>26.506024096385545</v>
      </c>
      <c r="CW535" s="240">
        <f>INPUT!DV419</f>
        <v>-2.2502709249697119</v>
      </c>
      <c r="CX535" s="81">
        <f>INPUT!DW419</f>
        <v>25.502318392581142</v>
      </c>
      <c r="CY535" s="240">
        <f>INPUT!DX419</f>
        <v>-9.1237182152692355</v>
      </c>
      <c r="CZ535" s="81">
        <f>INPUT!DY419</f>
        <v>26.349206349206352</v>
      </c>
      <c r="DA535" s="240">
        <f>INPUT!DZ419</f>
        <v>-1.3786848072562208</v>
      </c>
      <c r="DB535" s="81">
        <f>INPUT!EA419</f>
        <v>25.609756097560975</v>
      </c>
      <c r="DC535" s="240">
        <f>INPUT!EB419</f>
        <v>0.77211718862750445</v>
      </c>
      <c r="DD535" s="81">
        <f>INPUT!EC419</f>
        <v>24.133148404993065</v>
      </c>
      <c r="DE535" s="240">
        <f>INPUT!ED419</f>
        <v>-8.9522128357079964</v>
      </c>
      <c r="DF535" s="81">
        <f>INPUT!EE419</f>
        <v>24.162011173184357</v>
      </c>
      <c r="DG535" s="240">
        <f>INPUT!EF419</f>
        <v>-5.2556289148467954</v>
      </c>
      <c r="DH535" s="81">
        <f>INPUT!EG419</f>
        <v>23.949579831932773</v>
      </c>
      <c r="DI535" s="240">
        <f>INPUT!EH419</f>
        <v>-9.1070163004961131</v>
      </c>
      <c r="DJ535" s="81">
        <f>INPUT!EI419</f>
        <v>23.563218390804597</v>
      </c>
      <c r="DK535" s="240">
        <f>INPUT!EJ419</f>
        <v>-7.9912424740010977</v>
      </c>
      <c r="DL535" s="81">
        <f>INPUT!EK419</f>
        <v>22.311827956989248</v>
      </c>
      <c r="DM535" s="240">
        <f>INPUT!EL419</f>
        <v>-7.5469657644296149</v>
      </c>
      <c r="DN535" s="81">
        <f>INPUT!EM419</f>
        <v>22.493224932249323</v>
      </c>
      <c r="DO535" s="240">
        <f>INPUT!EN419</f>
        <v>-6.9066528815577186</v>
      </c>
      <c r="DP535" s="81">
        <f>INPUT!EO419</f>
        <v>22.602739726027394</v>
      </c>
      <c r="DQ535" s="240">
        <f>INPUT!EP419</f>
        <v>-5.623648161499645</v>
      </c>
      <c r="DR535" s="81">
        <f>INPUT!EQ419</f>
        <v>22.311827956989248</v>
      </c>
      <c r="DS535" s="240">
        <f>INPUT!ER419</f>
        <v>-5.3107789142407427</v>
      </c>
      <c r="DT535" s="81">
        <f>INPUT!ES419</f>
        <v>22.8</v>
      </c>
      <c r="DU535" s="240">
        <f>INPUT!ET419</f>
        <v>2.1879518072288988</v>
      </c>
      <c r="DV535" s="81">
        <f>INPUT!EU419</f>
        <v>22.8</v>
      </c>
      <c r="DW535" s="240">
        <f>INPUT!EV419</f>
        <v>1.3638554216867504</v>
      </c>
      <c r="DX535" s="81">
        <f>INPUT!EW419</f>
        <v>22.8</v>
      </c>
      <c r="DY535" s="240">
        <f>INPUT!EX419</f>
        <v>0.87272727272728901</v>
      </c>
      <c r="DZ535" s="81"/>
      <c r="EA535" s="240"/>
      <c r="EB535" s="499" t="str">
        <f>INPUT!FI419</f>
        <v>NA</v>
      </c>
      <c r="EC535" s="81">
        <f>INPUT!FJ419</f>
        <v>17.8</v>
      </c>
      <c r="ED535" s="155">
        <f>INPUT!FK419</f>
        <v>-17.110447761194024</v>
      </c>
      <c r="EE535" s="81">
        <f>INPUT!FL419</f>
        <v>17.328519855595665</v>
      </c>
      <c r="EF535" s="155">
        <f>INPUT!FM419</f>
        <v>-2.6487648562041386</v>
      </c>
      <c r="EG535" s="81">
        <f>INPUT!FN419</f>
        <v>16.833333333333332</v>
      </c>
      <c r="EH535" s="155">
        <f>INPUT!FO419</f>
        <v>-2.8576388888888857</v>
      </c>
      <c r="EI535" s="81">
        <f>INPUT!FP419</f>
        <v>15.532544378698224</v>
      </c>
      <c r="EJ535" s="240">
        <f>INPUT!FQ419</f>
        <v>-7.7274591364461855</v>
      </c>
      <c r="EK535" s="81">
        <f>INPUT!FR419</f>
        <v>20.027624309392262</v>
      </c>
      <c r="EL535" s="240">
        <f>INPUT!FS419</f>
        <v>28.939752696658758</v>
      </c>
      <c r="EM535" s="81">
        <f>INPUT!FT419</f>
        <v>23.856613102595798</v>
      </c>
      <c r="EN535" s="240">
        <f>INPUT!FU419</f>
        <v>19.118537146754193</v>
      </c>
      <c r="EO535" s="81">
        <f>INPUT!FV419</f>
        <v>24.726911618669316</v>
      </c>
      <c r="EP535" s="240">
        <f>INPUT!FW419</f>
        <v>3.648038857530949</v>
      </c>
      <c r="EQ535" s="81">
        <f>INPUT!FX419</f>
        <v>26.654578422484132</v>
      </c>
      <c r="ER535" s="240">
        <f>INPUT!FY419</f>
        <v>7.7958251865121184</v>
      </c>
      <c r="ES535" s="81">
        <f>INPUT!FZ419</f>
        <v>28.771640560593571</v>
      </c>
      <c r="ET535" s="240">
        <f>INPUT!GA419</f>
        <v>7.9425834637235226</v>
      </c>
      <c r="EU535" s="81">
        <f>INPUT!GB419</f>
        <v>31.608451918930573</v>
      </c>
      <c r="EV535" s="240">
        <f>INPUT!GC419</f>
        <v>9.8597483600652964</v>
      </c>
      <c r="EW535" s="81">
        <f>INPUT!GD419</f>
        <v>32.210998877665546</v>
      </c>
      <c r="EX535" s="240">
        <f>INPUT!GE419</f>
        <v>1.9062843073757136</v>
      </c>
      <c r="EY535" s="81">
        <f>INPUT!GF419</f>
        <v>27.509293680297397</v>
      </c>
      <c r="EZ535" s="240">
        <f>INPUT!GG419</f>
        <v>-14.596583034338053</v>
      </c>
      <c r="FA535" s="81">
        <f>INPUT!GH419</f>
        <v>27.336534909493903</v>
      </c>
      <c r="FB535" s="240">
        <f>INPUT!GI419</f>
        <v>-0.62800147765054248</v>
      </c>
      <c r="FC535" s="81">
        <f>INPUT!GJ419</f>
        <v>25.940138142747504</v>
      </c>
      <c r="FD535" s="240">
        <f>INPUT!GK419</f>
        <v>-5.1081703345709428</v>
      </c>
      <c r="FE535" s="81">
        <f>INPUT!GL419</f>
        <v>24.438902743142144</v>
      </c>
      <c r="FF535" s="240">
        <f>INPUT!GM419</f>
        <v>-5.7873068807271721</v>
      </c>
      <c r="FG535" s="81">
        <f>INPUT!GN419</f>
        <v>22.730398899587346</v>
      </c>
      <c r="FH535" s="240">
        <f>INPUT!GO419</f>
        <v>-6.9909187884232011</v>
      </c>
      <c r="FI535" s="81">
        <f>INPUT!GP419</f>
        <v>22.67795698924731</v>
      </c>
      <c r="FJ535" s="240">
        <f>INPUT!GQ419</f>
        <v>-0.23071267060336709</v>
      </c>
      <c r="FK535" s="81">
        <f>INPUT!GR419</f>
        <v>22.92795698924731</v>
      </c>
      <c r="FL535" s="240">
        <f>INPUT!GS419</f>
        <v>1.1023920722600167</v>
      </c>
      <c r="FM535" s="81">
        <f>INPUT!GT419</f>
        <v>23.42795698924731</v>
      </c>
      <c r="FN535" s="240">
        <f>INPUT!GU419</f>
        <v>2.1807437977770405</v>
      </c>
      <c r="FO535" s="81">
        <f>INPUT!GV419</f>
        <v>23.92795698924731</v>
      </c>
      <c r="FP535" s="240">
        <f>INPUT!GW419</f>
        <v>2.1342023131999213</v>
      </c>
      <c r="FQ535" s="81">
        <f>INPUT!GX419</f>
        <v>24.42795698924731</v>
      </c>
      <c r="FR535" s="240">
        <f>INPUT!GY419</f>
        <v>2.0896058958342678</v>
      </c>
      <c r="FS535" s="240">
        <f>INPUT!GZ419</f>
        <v>1.4509265681633021</v>
      </c>
    </row>
    <row r="536" spans="1:176" ht="12.75" hidden="1" customHeight="1" outlineLevel="1" x14ac:dyDescent="0.2">
      <c r="A536" s="246" t="str">
        <f>INPUT!B420</f>
        <v>Operating Expenses/Total Revenues (%)</v>
      </c>
      <c r="B536" s="81">
        <f>INPUT!AA420</f>
        <v>26.576576576576578</v>
      </c>
      <c r="C536" s="155">
        <f>INPUT!AB420</f>
        <v>17.108398721301967</v>
      </c>
      <c r="D536" s="81">
        <f>INPUT!AC420</f>
        <v>29.046242774566473</v>
      </c>
      <c r="E536" s="155">
        <f>INPUT!AD420</f>
        <v>12.719226221755122</v>
      </c>
      <c r="F536" s="81">
        <f>INPUT!AE420</f>
        <v>23.916292974588938</v>
      </c>
      <c r="G536" s="155">
        <f>INPUT!AF420</f>
        <v>-1.2153116266978543</v>
      </c>
      <c r="H536" s="81">
        <f>INPUT!AG420</f>
        <v>25.396825396825395</v>
      </c>
      <c r="I536" s="155">
        <f>INPUT!AH420</f>
        <v>14.544865565273724</v>
      </c>
      <c r="J536" s="81">
        <f>INPUT!AI420</f>
        <v>23.803009575923394</v>
      </c>
      <c r="K536" s="155">
        <f>INPUT!AJ420</f>
        <v>-10.436133460084861</v>
      </c>
      <c r="L536" s="81">
        <f>INPUT!AK420</f>
        <v>21.766169154228855</v>
      </c>
      <c r="M536" s="155">
        <f>INPUT!AL420</f>
        <v>-25.063736046137478</v>
      </c>
      <c r="N536" s="81">
        <f>INPUT!AM420</f>
        <v>24.147727272727273</v>
      </c>
      <c r="O536" s="155">
        <f>INPUT!AN420</f>
        <v>0.96768465909092072</v>
      </c>
      <c r="P536" s="81">
        <f>INPUT!AO420</f>
        <v>25.894134477825464</v>
      </c>
      <c r="Q536" s="155">
        <f>INPUT!AP420</f>
        <v>1.958154506437765</v>
      </c>
      <c r="R536" s="81">
        <f>INPUT!AQ420</f>
        <v>23.886639676113361</v>
      </c>
      <c r="S536" s="155">
        <f>INPUT!AR420</f>
        <v>0.35134254734981596</v>
      </c>
      <c r="T536" s="81">
        <f>INPUT!AS420</f>
        <v>23.258706467661693</v>
      </c>
      <c r="U536" s="155">
        <f>INPUT!AT420</f>
        <v>6.8571428571428754</v>
      </c>
      <c r="V536" s="81">
        <f>INPUT!AU420</f>
        <v>19.716646989374262</v>
      </c>
      <c r="W536" s="155">
        <f>INPUT!AV420</f>
        <v>-18.349885408708943</v>
      </c>
      <c r="X536" s="81">
        <f>INPUT!AW420</f>
        <v>26.907073509015255</v>
      </c>
      <c r="Y536" s="155">
        <f>INPUT!AX420</f>
        <v>3.9118474187937409</v>
      </c>
      <c r="Z536" s="81">
        <f>INPUT!AY420</f>
        <v>24.21340629274966</v>
      </c>
      <c r="AA536" s="155">
        <f>INPUT!AZ420</f>
        <v>1.3679890560875521</v>
      </c>
      <c r="AB536" s="81">
        <f>INPUT!BA420</f>
        <v>26.865671641791046</v>
      </c>
      <c r="AC536" s="155">
        <f>INPUT!BB420</f>
        <v>15.508021390374324</v>
      </c>
      <c r="AD536" s="81">
        <f>INPUT!BC420</f>
        <v>26.732673267326735</v>
      </c>
      <c r="AE536" s="155">
        <f>INPUT!BD420</f>
        <v>35.584276990573329</v>
      </c>
      <c r="AF536" s="81">
        <f>INPUT!BE420</f>
        <v>26.035502958579883</v>
      </c>
      <c r="AG536" s="155">
        <f>INPUT!BF420</f>
        <v>-3.2391874580613518</v>
      </c>
      <c r="AH536" s="81">
        <f>INPUT!BG420</f>
        <v>24.927953890489913</v>
      </c>
      <c r="AI536" s="240">
        <f>INPUT!BH420</f>
        <v>2.9510412087464744</v>
      </c>
      <c r="AJ536" s="81">
        <f>INPUT!BI420</f>
        <v>22.891566265060241</v>
      </c>
      <c r="AK536" s="240">
        <f>INPUT!BJ420</f>
        <v>-14.792503346720224</v>
      </c>
      <c r="AL536" s="81">
        <f>INPUT!BK420</f>
        <v>23.994252873563219</v>
      </c>
      <c r="AM536" s="240">
        <f>INPUT!BL420</f>
        <v>-10.243720732226478</v>
      </c>
      <c r="AN536" s="81">
        <f>INPUT!BM420</f>
        <v>26.874115983026876</v>
      </c>
      <c r="AO536" s="240">
        <f>INPUT!BN420</f>
        <v>3.2210363893532303</v>
      </c>
      <c r="AP536" s="81">
        <f>INPUT!BO420</f>
        <v>25</v>
      </c>
      <c r="AQ536" s="240">
        <f>INPUT!BP420</f>
        <v>0.28901734104044863</v>
      </c>
      <c r="AR536" s="81">
        <f>INPUT!BQ420</f>
        <v>26.071428571428573</v>
      </c>
      <c r="AS536" s="240">
        <f>INPUT!BR420</f>
        <v>13.890977443609032</v>
      </c>
      <c r="AT536" s="81">
        <f>INPUT!BS420</f>
        <v>25.261780104712038</v>
      </c>
      <c r="AU536" s="240">
        <f>INPUT!BT420</f>
        <v>5.2826284603567473</v>
      </c>
      <c r="AV536" s="81">
        <f>INPUT!BU420</f>
        <v>26.510480887792848</v>
      </c>
      <c r="AW536" s="240">
        <f>INPUT!BV420</f>
        <v>-1.3531053280550367</v>
      </c>
      <c r="AX536" s="81">
        <f>INPUT!BW420</f>
        <v>28.509719222462206</v>
      </c>
      <c r="AY536" s="240">
        <f>INPUT!BX420</f>
        <v>14.038876889848822</v>
      </c>
      <c r="AZ536" s="81">
        <f>INPUT!BY420</f>
        <v>25.463414634146343</v>
      </c>
      <c r="BA536" s="240">
        <f>INPUT!BZ420</f>
        <v>-2.3321082525893644</v>
      </c>
      <c r="BB536" s="81">
        <f>INPUT!CA420</f>
        <v>23.913043478260871</v>
      </c>
      <c r="BC536" s="240">
        <f>INPUT!CB420</f>
        <v>-5.3390403243973736</v>
      </c>
      <c r="BD536" s="81">
        <f>INPUT!CC420</f>
        <v>27.787934186471663</v>
      </c>
      <c r="BE536" s="240">
        <f>INPUT!CD420</f>
        <v>4.8186726754814799</v>
      </c>
      <c r="BF536" s="81">
        <f>INPUT!CE420</f>
        <v>26.774483378256964</v>
      </c>
      <c r="BG536" s="240">
        <f>INPUT!CF420</f>
        <v>-6.0864711808108183</v>
      </c>
      <c r="BH536" s="81">
        <f>INPUT!CG420</f>
        <v>24.324324324324326</v>
      </c>
      <c r="BI536" s="240">
        <f>INPUT!CH420</f>
        <v>-4.4734389561975689</v>
      </c>
      <c r="BJ536" s="81">
        <f>INPUT!CI420</f>
        <v>26.112026359143325</v>
      </c>
      <c r="BK536" s="240">
        <f>INPUT!CJ420</f>
        <v>9.1957465927811768</v>
      </c>
      <c r="BL536" s="81">
        <f>INPUT!CK420</f>
        <v>26.007326007326011</v>
      </c>
      <c r="BM536" s="240">
        <f>INPUT!CL420</f>
        <v>-6.4078465394254778</v>
      </c>
      <c r="BN536" s="81">
        <f>INPUT!CM420</f>
        <v>24.100719424460433</v>
      </c>
      <c r="BO536" s="240">
        <f>INPUT!CN420</f>
        <v>-9.9862391965622095</v>
      </c>
      <c r="BP536" s="81">
        <f>INPUT!CO420</f>
        <v>30.476804123711343</v>
      </c>
      <c r="BQ536" s="240">
        <f>INPUT!CP420</f>
        <v>25.293528064146614</v>
      </c>
      <c r="BR536" s="81">
        <f>INPUT!CQ420</f>
        <v>31.368696791093647</v>
      </c>
      <c r="BS536" s="240">
        <f>INPUT!CR420</f>
        <v>20.131223673147304</v>
      </c>
      <c r="BT536" s="81">
        <f>INPUT!CS420</f>
        <v>32.137083737471713</v>
      </c>
      <c r="BU536" s="240">
        <f>INPUT!CT420</f>
        <v>23.569350145489793</v>
      </c>
      <c r="BV536" s="81">
        <f>INPUT!CU420</f>
        <v>26.74285714285714</v>
      </c>
      <c r="BW536" s="240">
        <f>INPUT!CV420</f>
        <v>10.962899786780383</v>
      </c>
      <c r="BX536" s="81">
        <f>INPUT!CW420</f>
        <v>22.710014238253439</v>
      </c>
      <c r="BY536" s="240">
        <f>INPUT!CX420</f>
        <v>-25.484266178077519</v>
      </c>
      <c r="BZ536" s="81">
        <f>INPUT!CY420</f>
        <v>14.517491972283253</v>
      </c>
      <c r="CA536" s="240" t="str">
        <f>INPUT!CZ420</f>
        <v>NM</v>
      </c>
      <c r="CB536" s="81">
        <f>INPUT!DA420</f>
        <v>13.116640299151443</v>
      </c>
      <c r="CC536" s="240" t="str">
        <f>INPUT!DB420</f>
        <v>NM</v>
      </c>
      <c r="CD536" s="81">
        <f>INPUT!DC420</f>
        <v>18.146915792167903</v>
      </c>
      <c r="CE536" s="240">
        <f>INPUT!DD420</f>
        <v>-32.14294308484223</v>
      </c>
      <c r="CF536" s="81">
        <f>INPUT!DE420</f>
        <v>17.768376520359599</v>
      </c>
      <c r="CG536" s="240">
        <f>INPUT!DF420</f>
        <v>-21.759729721216985</v>
      </c>
      <c r="CH536" s="81">
        <f>INPUT!DG420</f>
        <v>20.123136746597538</v>
      </c>
      <c r="CI536" s="240">
        <f>INPUT!DH420</f>
        <v>38.613038567657298</v>
      </c>
      <c r="CJ536" s="81">
        <f>INPUT!DI420</f>
        <v>23.860782203085755</v>
      </c>
      <c r="CK536" s="240">
        <f>INPUT!DJ420</f>
        <v>81.912301160148331</v>
      </c>
      <c r="CL536" s="81">
        <f>INPUT!DK420</f>
        <v>23.497688751926042</v>
      </c>
      <c r="CM536" s="240">
        <f>INPUT!DL420</f>
        <v>29.48585324933012</v>
      </c>
      <c r="CN536" s="81">
        <f>INPUT!DM420</f>
        <v>21.096623202942162</v>
      </c>
      <c r="CO536" s="240">
        <f>INPUT!DN420</f>
        <v>18.73129308560604</v>
      </c>
      <c r="CP536" s="81">
        <f>INPUT!DO420</f>
        <v>23.178807947019866</v>
      </c>
      <c r="CQ536" s="240">
        <f>INPUT!DP420</f>
        <v>15.184865256849122</v>
      </c>
      <c r="CR536" s="81">
        <f>INPUT!DQ420</f>
        <v>24.538893344025663</v>
      </c>
      <c r="CS536" s="240">
        <f>INPUT!DR420</f>
        <v>2.8419484959391355</v>
      </c>
      <c r="CT536" s="81">
        <f>INPUT!DS420</f>
        <v>22.605519480519483</v>
      </c>
      <c r="CU536" s="240">
        <f>INPUT!DT420</f>
        <v>-3.7968384074941355</v>
      </c>
      <c r="CV536" s="81">
        <f>INPUT!DU420</f>
        <v>19.9215965787598</v>
      </c>
      <c r="CW536" s="240">
        <f>INPUT!DV420</f>
        <v>-5.5697379285728204</v>
      </c>
      <c r="CX536" s="81">
        <f>INPUT!DW420</f>
        <v>21.4</v>
      </c>
      <c r="CY536" s="240">
        <f>INPUT!DX420</f>
        <v>-7.6742857142857162</v>
      </c>
      <c r="CZ536" s="81">
        <f>INPUT!DY420</f>
        <v>23.905862923203962</v>
      </c>
      <c r="DA536" s="240">
        <f>INPUT!DZ420</f>
        <v>-2.579702401191696</v>
      </c>
      <c r="DB536" s="81">
        <f>INPUT!EA420</f>
        <v>22.816901408450704</v>
      </c>
      <c r="DC536" s="240">
        <f>INPUT!EB420</f>
        <v>0.93508989303865064</v>
      </c>
      <c r="DD536" s="81">
        <f>INPUT!EC420</f>
        <v>21.189336978810662</v>
      </c>
      <c r="DE536" s="240">
        <f>INPUT!ED420</f>
        <v>6.3636485913107492</v>
      </c>
      <c r="DF536" s="81">
        <f>INPUT!EE420</f>
        <v>23.46545071904595</v>
      </c>
      <c r="DG536" s="240">
        <f>INPUT!EF420</f>
        <v>9.6516388740464976</v>
      </c>
      <c r="DH536" s="81">
        <f>INPUT!EG420</f>
        <v>22.781600869250269</v>
      </c>
      <c r="DI536" s="240">
        <f>INPUT!EH420</f>
        <v>-4.702871666106816</v>
      </c>
      <c r="DJ536" s="81">
        <f>INPUT!EI420</f>
        <v>21.702774610414291</v>
      </c>
      <c r="DK536" s="240">
        <f>INPUT!EJ420</f>
        <v>-4.8829013988015646</v>
      </c>
      <c r="DL536" s="81">
        <f>INPUT!EK420</f>
        <v>21.507226428079836</v>
      </c>
      <c r="DM536" s="240">
        <f>INPUT!EL420</f>
        <v>1.5002331105832241</v>
      </c>
      <c r="DN536" s="81">
        <f>INPUT!EM420</f>
        <v>20.989450709348851</v>
      </c>
      <c r="DO536" s="240">
        <f>INPUT!EN420</f>
        <v>-10.551683150443097</v>
      </c>
      <c r="DP536" s="81">
        <f>INPUT!EO420</f>
        <v>21.901140684410649</v>
      </c>
      <c r="DQ536" s="240">
        <f>INPUT!EP420</f>
        <v>-3.8647862803532433</v>
      </c>
      <c r="DR536" s="81">
        <f>INPUT!EQ420</f>
        <v>21.8</v>
      </c>
      <c r="DS536" s="240">
        <f>INPUT!ER420</f>
        <v>0.44798598949211055</v>
      </c>
      <c r="DT536" s="81">
        <f>INPUT!ES420</f>
        <v>21.507226428079836</v>
      </c>
      <c r="DU536" s="240">
        <f>INPUT!ET420</f>
        <v>0</v>
      </c>
      <c r="DV536" s="81">
        <f>INPUT!EU420</f>
        <v>20.989450709348851</v>
      </c>
      <c r="DW536" s="240">
        <f>INPUT!EV420</f>
        <v>0</v>
      </c>
      <c r="DX536" s="81">
        <f>INPUT!EW420</f>
        <v>21.6</v>
      </c>
      <c r="DY536" s="240">
        <f>INPUT!EX420</f>
        <v>-1.375</v>
      </c>
      <c r="DZ536" s="81"/>
      <c r="EA536" s="240"/>
      <c r="EB536" s="499" t="str">
        <f>INPUT!FI420</f>
        <v>NA</v>
      </c>
      <c r="EC536" s="81">
        <f>INPUT!FJ420</f>
        <v>23.719376391982184</v>
      </c>
      <c r="ED536" s="155">
        <f>INPUT!FK420</f>
        <v>4.3355450060677612</v>
      </c>
      <c r="EE536" s="81">
        <f>INPUT!FL420</f>
        <v>26.25</v>
      </c>
      <c r="EF536" s="155">
        <f>INPUT!FM420</f>
        <v>10.66901408450704</v>
      </c>
      <c r="EG536" s="81">
        <f>INPUT!FN420</f>
        <v>23.82573179033356</v>
      </c>
      <c r="EH536" s="155">
        <f>INPUT!FO420</f>
        <v>-9.2353074653959624</v>
      </c>
      <c r="EI536" s="81">
        <f>INPUT!FP420</f>
        <v>23.289431416639896</v>
      </c>
      <c r="EJ536" s="240">
        <f>INPUT!FQ420</f>
        <v>-2.2509292827314056</v>
      </c>
      <c r="EK536" s="81">
        <f>INPUT!FR420</f>
        <v>25.955804980708525</v>
      </c>
      <c r="EL536" s="240">
        <f>INPUT!FS420</f>
        <v>11.448856420614689</v>
      </c>
      <c r="EM536" s="81">
        <f>INPUT!FT420</f>
        <v>24.648382559774966</v>
      </c>
      <c r="EN536" s="240">
        <f>INPUT!FU420</f>
        <v>-5.0371098947048267</v>
      </c>
      <c r="EO536" s="81">
        <f>INPUT!FV420</f>
        <v>34.569983136593592</v>
      </c>
      <c r="EP536" s="240">
        <f>INPUT!FW420</f>
        <v>40.252542140473849</v>
      </c>
      <c r="EQ536" s="81">
        <f>INPUT!FX420</f>
        <v>26.343697276452154</v>
      </c>
      <c r="ER536" s="240">
        <f>INPUT!FY420</f>
        <v>-23.796036658848166</v>
      </c>
      <c r="ES536" s="81">
        <f>INPUT!FZ420</f>
        <v>25.777777777777779</v>
      </c>
      <c r="ET536" s="240">
        <f>INPUT!GA420</f>
        <v>-2.1482159194876402</v>
      </c>
      <c r="EU536" s="81">
        <f>INPUT!GB420</f>
        <v>29.925925925925927</v>
      </c>
      <c r="EV536" s="240">
        <f>INPUT!GC420</f>
        <v>16.091954022988503</v>
      </c>
      <c r="EW536" s="81">
        <f>INPUT!GD420</f>
        <v>17.800233190827829</v>
      </c>
      <c r="EX536" s="240">
        <f>INPUT!GE420</f>
        <v>-40.519022753421865</v>
      </c>
      <c r="EY536" s="81">
        <f>INPUT!GF420</f>
        <v>19.665241114879812</v>
      </c>
      <c r="EZ536" s="240">
        <f>INPUT!GG420</f>
        <v>10.47743534625711</v>
      </c>
      <c r="FA536" s="81">
        <f>INPUT!GH420</f>
        <v>22.992869710158349</v>
      </c>
      <c r="FB536" s="240">
        <f>INPUT!GI420</f>
        <v>16.92137195694319</v>
      </c>
      <c r="FC536" s="81">
        <f>INPUT!GJ420</f>
        <v>21.879905808477236</v>
      </c>
      <c r="FD536" s="240">
        <f>INPUT!GK420</f>
        <v>-4.840474093537793</v>
      </c>
      <c r="FE536" s="81">
        <f>INPUT!GL420</f>
        <v>22.543772112854938</v>
      </c>
      <c r="FF536" s="240">
        <f>INPUT!GM420</f>
        <v>3.0341369391110078</v>
      </c>
      <c r="FG536" s="81">
        <f>INPUT!GN420</f>
        <v>21.51887138145841</v>
      </c>
      <c r="FH536" s="240">
        <f>INPUT!GO420</f>
        <v>-4.5462699244200877</v>
      </c>
      <c r="FI536" s="81">
        <f>INPUT!GP420</f>
        <v>21.471041762166038</v>
      </c>
      <c r="FJ536" s="240">
        <f>INPUT!GQ420</f>
        <v>-0.22226825210537982</v>
      </c>
      <c r="FK536" s="81">
        <f>INPUT!GR420</f>
        <v>21.471041762166038</v>
      </c>
      <c r="FL536" s="240">
        <f>INPUT!GS420</f>
        <v>0</v>
      </c>
      <c r="FM536" s="81">
        <f>INPUT!GT420</f>
        <v>21.471041762166038</v>
      </c>
      <c r="FN536" s="240">
        <f>INPUT!GU420</f>
        <v>0</v>
      </c>
      <c r="FO536" s="81">
        <f>INPUT!GV420</f>
        <v>21.471041762166038</v>
      </c>
      <c r="FP536" s="240">
        <f>INPUT!GW420</f>
        <v>0</v>
      </c>
      <c r="FQ536" s="81">
        <f>INPUT!GX420</f>
        <v>21.471041762166038</v>
      </c>
      <c r="FR536" s="240">
        <f>INPUT!GY420</f>
        <v>0</v>
      </c>
      <c r="FS536" s="240">
        <f>INPUT!GZ420</f>
        <v>-4.4493225751573995E-2</v>
      </c>
    </row>
    <row r="537" spans="1:176" ht="12.75" hidden="1" customHeight="1" outlineLevel="1" x14ac:dyDescent="0.2">
      <c r="A537" s="246"/>
      <c r="B537" s="515"/>
      <c r="C537" s="487"/>
      <c r="D537" s="515"/>
      <c r="E537" s="487"/>
      <c r="F537" s="515"/>
      <c r="G537" s="487"/>
      <c r="H537" s="515"/>
      <c r="I537" s="487"/>
      <c r="J537" s="515"/>
      <c r="K537" s="487"/>
      <c r="L537" s="515"/>
      <c r="M537" s="487"/>
      <c r="N537" s="515"/>
      <c r="O537" s="487"/>
      <c r="P537" s="515"/>
      <c r="Q537" s="487"/>
      <c r="R537" s="515"/>
      <c r="S537" s="487"/>
      <c r="T537" s="515"/>
      <c r="U537" s="487"/>
      <c r="V537" s="515"/>
      <c r="W537" s="487"/>
      <c r="X537" s="515"/>
      <c r="Y537" s="487"/>
      <c r="Z537" s="515"/>
      <c r="AA537" s="487"/>
      <c r="AB537" s="515"/>
      <c r="AC537" s="487"/>
      <c r="AD537" s="515"/>
      <c r="AE537" s="487"/>
      <c r="AF537" s="515"/>
      <c r="AG537" s="487"/>
      <c r="AH537" s="515"/>
      <c r="AI537" s="486"/>
      <c r="AJ537" s="515"/>
      <c r="AK537" s="486"/>
      <c r="AL537" s="515"/>
      <c r="AM537" s="486"/>
      <c r="AN537" s="515"/>
      <c r="AO537" s="486"/>
      <c r="AP537" s="515"/>
      <c r="AQ537" s="486"/>
      <c r="AR537" s="515"/>
      <c r="AS537" s="486"/>
      <c r="AT537" s="515"/>
      <c r="AU537" s="486"/>
      <c r="AV537" s="515"/>
      <c r="AW537" s="486"/>
      <c r="AX537" s="515"/>
      <c r="AY537" s="486"/>
      <c r="AZ537" s="515"/>
      <c r="BA537" s="486"/>
      <c r="BB537" s="515"/>
      <c r="BC537" s="486"/>
      <c r="BD537" s="515"/>
      <c r="BE537" s="486"/>
      <c r="BF537" s="515"/>
      <c r="BG537" s="486"/>
      <c r="BH537" s="515"/>
      <c r="BI537" s="486"/>
      <c r="BJ537" s="515"/>
      <c r="BK537" s="486"/>
      <c r="BL537" s="515"/>
      <c r="BM537" s="486"/>
      <c r="BN537" s="515"/>
      <c r="BO537" s="486"/>
      <c r="BP537" s="515"/>
      <c r="BQ537" s="486"/>
      <c r="BR537" s="515"/>
      <c r="BS537" s="486"/>
      <c r="BT537" s="515"/>
      <c r="BU537" s="486"/>
      <c r="BV537" s="515"/>
      <c r="BW537" s="486"/>
      <c r="BX537" s="515"/>
      <c r="BY537" s="486"/>
      <c r="BZ537" s="515"/>
      <c r="CA537" s="486"/>
      <c r="CB537" s="515"/>
      <c r="CC537" s="486"/>
      <c r="CD537" s="515"/>
      <c r="CE537" s="486"/>
      <c r="CF537" s="515"/>
      <c r="CG537" s="486"/>
      <c r="CH537" s="515"/>
      <c r="CI537" s="486"/>
      <c r="CJ537" s="515"/>
      <c r="CK537" s="486"/>
      <c r="CL537" s="515"/>
      <c r="CM537" s="486"/>
      <c r="CN537" s="515"/>
      <c r="CO537" s="486"/>
      <c r="CP537" s="515"/>
      <c r="CQ537" s="486"/>
      <c r="CR537" s="515"/>
      <c r="CS537" s="486"/>
      <c r="CT537" s="515"/>
      <c r="CU537" s="486"/>
      <c r="CV537" s="515"/>
      <c r="CW537" s="486"/>
      <c r="CX537" s="515"/>
      <c r="CY537" s="486"/>
      <c r="CZ537" s="515"/>
      <c r="DA537" s="486"/>
      <c r="DB537" s="515"/>
      <c r="DC537" s="486"/>
      <c r="DD537" s="515"/>
      <c r="DE537" s="486"/>
      <c r="DF537" s="515"/>
      <c r="DG537" s="486"/>
      <c r="DH537" s="515"/>
      <c r="DI537" s="486"/>
      <c r="DJ537" s="515"/>
      <c r="DK537" s="486"/>
      <c r="DL537" s="515"/>
      <c r="DM537" s="486"/>
      <c r="DN537" s="515"/>
      <c r="DO537" s="486"/>
      <c r="DP537" s="515"/>
      <c r="DQ537" s="486"/>
      <c r="DR537" s="515"/>
      <c r="DS537" s="486"/>
      <c r="DT537" s="515"/>
      <c r="DU537" s="486"/>
      <c r="DV537" s="515"/>
      <c r="DW537" s="486"/>
      <c r="DX537" s="515"/>
      <c r="DY537" s="486"/>
      <c r="DZ537" s="515"/>
      <c r="EA537" s="486"/>
      <c r="EB537" s="487"/>
      <c r="EC537" s="515"/>
      <c r="ED537" s="487"/>
      <c r="EE537" s="515"/>
      <c r="EF537" s="487"/>
      <c r="EG537" s="515"/>
      <c r="EH537" s="487"/>
      <c r="EI537" s="515"/>
      <c r="EJ537" s="486"/>
      <c r="EK537" s="515"/>
      <c r="EL537" s="486"/>
      <c r="EM537" s="515"/>
      <c r="EN537" s="486"/>
      <c r="EO537" s="515"/>
      <c r="EP537" s="486"/>
      <c r="EQ537" s="515"/>
      <c r="ER537" s="486"/>
      <c r="ES537" s="515"/>
      <c r="ET537" s="486"/>
      <c r="EU537" s="515"/>
      <c r="EV537" s="486"/>
      <c r="EW537" s="515"/>
      <c r="EX537" s="486"/>
      <c r="EY537" s="515"/>
      <c r="EZ537" s="486"/>
      <c r="FA537" s="515"/>
      <c r="FB537" s="486"/>
      <c r="FC537" s="515"/>
      <c r="FD537" s="486"/>
      <c r="FE537" s="515"/>
      <c r="FF537" s="486"/>
      <c r="FG537" s="515"/>
      <c r="FH537" s="486"/>
      <c r="FI537" s="515"/>
      <c r="FJ537" s="486"/>
      <c r="FK537" s="515"/>
      <c r="FL537" s="486"/>
      <c r="FM537" s="515"/>
      <c r="FN537" s="486"/>
      <c r="FO537" s="515"/>
      <c r="FP537" s="486"/>
      <c r="FQ537" s="515"/>
      <c r="FR537" s="486"/>
      <c r="FS537" s="486"/>
    </row>
    <row r="538" spans="1:176" ht="12.75" hidden="1" customHeight="1" outlineLevel="1" x14ac:dyDescent="0.2">
      <c r="A538" s="500" t="s">
        <v>507</v>
      </c>
      <c r="B538" s="510"/>
      <c r="C538" s="487"/>
      <c r="D538" s="510"/>
      <c r="E538" s="487"/>
      <c r="F538" s="510"/>
      <c r="G538" s="487"/>
      <c r="H538" s="510"/>
      <c r="I538" s="487"/>
      <c r="J538" s="510"/>
      <c r="K538" s="487"/>
      <c r="L538" s="510"/>
      <c r="M538" s="487"/>
      <c r="N538" s="510"/>
      <c r="O538" s="487"/>
      <c r="P538" s="510"/>
      <c r="Q538" s="487"/>
      <c r="R538" s="510"/>
      <c r="S538" s="487"/>
      <c r="T538" s="510"/>
      <c r="U538" s="487"/>
      <c r="V538" s="510"/>
      <c r="W538" s="487"/>
      <c r="X538" s="510"/>
      <c r="Y538" s="487"/>
      <c r="Z538" s="510"/>
      <c r="AA538" s="487"/>
      <c r="AB538" s="510"/>
      <c r="AC538" s="487"/>
      <c r="AD538" s="510"/>
      <c r="AE538" s="487"/>
      <c r="AF538" s="510"/>
      <c r="AG538" s="487"/>
      <c r="AH538" s="510"/>
      <c r="AI538" s="486"/>
      <c r="AJ538" s="510"/>
      <c r="AK538" s="486"/>
      <c r="AL538" s="510"/>
      <c r="AM538" s="486"/>
      <c r="AN538" s="510"/>
      <c r="AO538" s="486"/>
      <c r="AP538" s="510"/>
      <c r="AQ538" s="486"/>
      <c r="AR538" s="510"/>
      <c r="AS538" s="486"/>
      <c r="AT538" s="510"/>
      <c r="AU538" s="486"/>
      <c r="AV538" s="510"/>
      <c r="AW538" s="486"/>
      <c r="AX538" s="510"/>
      <c r="AY538" s="486"/>
      <c r="AZ538" s="510"/>
      <c r="BA538" s="486"/>
      <c r="BB538" s="510"/>
      <c r="BC538" s="486"/>
      <c r="BD538" s="510"/>
      <c r="BE538" s="486"/>
      <c r="BF538" s="510"/>
      <c r="BG538" s="486"/>
      <c r="BH538" s="510"/>
      <c r="BI538" s="486"/>
      <c r="BJ538" s="510"/>
      <c r="BK538" s="486"/>
      <c r="BL538" s="510"/>
      <c r="BM538" s="486"/>
      <c r="BN538" s="510"/>
      <c r="BO538" s="486"/>
      <c r="BP538" s="510"/>
      <c r="BQ538" s="486"/>
      <c r="BR538" s="510"/>
      <c r="BS538" s="486"/>
      <c r="BT538" s="510"/>
      <c r="BU538" s="486"/>
      <c r="BV538" s="510"/>
      <c r="BW538" s="486"/>
      <c r="BX538" s="510"/>
      <c r="BY538" s="486"/>
      <c r="BZ538" s="510"/>
      <c r="CA538" s="486"/>
      <c r="CB538" s="510"/>
      <c r="CC538" s="486"/>
      <c r="CD538" s="510"/>
      <c r="CE538" s="486"/>
      <c r="CF538" s="510"/>
      <c r="CG538" s="486"/>
      <c r="CH538" s="510"/>
      <c r="CI538" s="486"/>
      <c r="CJ538" s="510"/>
      <c r="CK538" s="486"/>
      <c r="CL538" s="510"/>
      <c r="CM538" s="486"/>
      <c r="CN538" s="510"/>
      <c r="CO538" s="486"/>
      <c r="CP538" s="510"/>
      <c r="CQ538" s="486"/>
      <c r="CR538" s="510"/>
      <c r="CS538" s="486"/>
      <c r="CT538" s="510"/>
      <c r="CU538" s="486"/>
      <c r="CV538" s="510"/>
      <c r="CW538" s="486"/>
      <c r="CX538" s="510"/>
      <c r="CY538" s="486"/>
      <c r="CZ538" s="510"/>
      <c r="DA538" s="486"/>
      <c r="DB538" s="510"/>
      <c r="DC538" s="486"/>
      <c r="DD538" s="510"/>
      <c r="DE538" s="486"/>
      <c r="DF538" s="510"/>
      <c r="DG538" s="486"/>
      <c r="DH538" s="510"/>
      <c r="DI538" s="486"/>
      <c r="DJ538" s="510"/>
      <c r="DK538" s="486"/>
      <c r="DL538" s="510"/>
      <c r="DM538" s="486"/>
      <c r="DN538" s="510"/>
      <c r="DO538" s="486"/>
      <c r="DP538" s="510"/>
      <c r="DQ538" s="486"/>
      <c r="DR538" s="510"/>
      <c r="DS538" s="486"/>
      <c r="DT538" s="510"/>
      <c r="DU538" s="486"/>
      <c r="DV538" s="510"/>
      <c r="DW538" s="486"/>
      <c r="DX538" s="510"/>
      <c r="DY538" s="486"/>
      <c r="DZ538" s="510"/>
      <c r="EA538" s="486"/>
      <c r="EB538" s="487"/>
      <c r="EC538" s="510"/>
      <c r="ED538" s="487"/>
      <c r="EE538" s="510"/>
      <c r="EF538" s="487"/>
      <c r="EG538" s="510"/>
      <c r="EH538" s="487"/>
      <c r="EI538" s="510"/>
      <c r="EJ538" s="486"/>
      <c r="EK538" s="510"/>
      <c r="EL538" s="486"/>
      <c r="EM538" s="510"/>
      <c r="EN538" s="486"/>
      <c r="EO538" s="510"/>
      <c r="EP538" s="486"/>
      <c r="EQ538" s="510"/>
      <c r="ER538" s="486"/>
      <c r="ES538" s="510"/>
      <c r="ET538" s="486"/>
      <c r="EU538" s="510"/>
      <c r="EV538" s="486"/>
      <c r="EW538" s="510"/>
      <c r="EX538" s="486"/>
      <c r="EY538" s="510"/>
      <c r="EZ538" s="486"/>
      <c r="FA538" s="510"/>
      <c r="FB538" s="486"/>
      <c r="FC538" s="510"/>
      <c r="FD538" s="486"/>
      <c r="FE538" s="510"/>
      <c r="FF538" s="486"/>
      <c r="FG538" s="510"/>
      <c r="FH538" s="486"/>
      <c r="FI538" s="510"/>
      <c r="FJ538" s="486"/>
      <c r="FK538" s="510"/>
      <c r="FL538" s="486"/>
      <c r="FM538" s="510"/>
      <c r="FN538" s="486"/>
      <c r="FO538" s="510"/>
      <c r="FP538" s="486"/>
      <c r="FQ538" s="510"/>
      <c r="FR538" s="486"/>
      <c r="FS538" s="486"/>
    </row>
    <row r="539" spans="1:176" ht="12.75" hidden="1" customHeight="1" outlineLevel="1" x14ac:dyDescent="0.2">
      <c r="A539" s="500" t="s">
        <v>543</v>
      </c>
      <c r="B539" s="510"/>
      <c r="C539" s="487"/>
      <c r="D539" s="510"/>
      <c r="E539" s="487"/>
      <c r="F539" s="510"/>
      <c r="G539" s="487"/>
      <c r="H539" s="510"/>
      <c r="I539" s="487"/>
      <c r="J539" s="510"/>
      <c r="K539" s="487"/>
      <c r="L539" s="510"/>
      <c r="M539" s="487"/>
      <c r="N539" s="510"/>
      <c r="O539" s="487"/>
      <c r="P539" s="510"/>
      <c r="Q539" s="487"/>
      <c r="R539" s="510"/>
      <c r="S539" s="487"/>
      <c r="T539" s="510"/>
      <c r="U539" s="487"/>
      <c r="V539" s="510"/>
      <c r="W539" s="487"/>
      <c r="X539" s="510"/>
      <c r="Y539" s="487"/>
      <c r="Z539" s="510"/>
      <c r="AA539" s="487"/>
      <c r="AB539" s="510"/>
      <c r="AC539" s="487"/>
      <c r="AD539" s="510"/>
      <c r="AE539" s="487"/>
      <c r="AF539" s="510"/>
      <c r="AG539" s="487"/>
      <c r="AH539" s="510"/>
      <c r="AI539" s="486"/>
      <c r="AJ539" s="510"/>
      <c r="AK539" s="486"/>
      <c r="AL539" s="510"/>
      <c r="AM539" s="486"/>
      <c r="AN539" s="510"/>
      <c r="AO539" s="486"/>
      <c r="AP539" s="510"/>
      <c r="AQ539" s="486"/>
      <c r="AR539" s="510"/>
      <c r="AS539" s="486"/>
      <c r="AT539" s="510"/>
      <c r="AU539" s="486"/>
      <c r="AV539" s="510"/>
      <c r="AW539" s="486"/>
      <c r="AX539" s="510"/>
      <c r="AY539" s="486"/>
      <c r="AZ539" s="510"/>
      <c r="BA539" s="486"/>
      <c r="BB539" s="510"/>
      <c r="BC539" s="486"/>
      <c r="BD539" s="510"/>
      <c r="BE539" s="486"/>
      <c r="BF539" s="510"/>
      <c r="BG539" s="486"/>
      <c r="BH539" s="510"/>
      <c r="BI539" s="486"/>
      <c r="BJ539" s="510"/>
      <c r="BK539" s="486"/>
      <c r="BL539" s="510"/>
      <c r="BM539" s="486"/>
      <c r="BN539" s="510"/>
      <c r="BO539" s="486"/>
      <c r="BP539" s="510"/>
      <c r="BQ539" s="486"/>
      <c r="BR539" s="510"/>
      <c r="BS539" s="486"/>
      <c r="BT539" s="510"/>
      <c r="BU539" s="486"/>
      <c r="BV539" s="510"/>
      <c r="BW539" s="486"/>
      <c r="BX539" s="510"/>
      <c r="BY539" s="486"/>
      <c r="BZ539" s="510"/>
      <c r="CA539" s="486"/>
      <c r="CB539" s="510"/>
      <c r="CC539" s="486"/>
      <c r="CD539" s="510"/>
      <c r="CE539" s="486"/>
      <c r="CF539" s="510"/>
      <c r="CG539" s="486"/>
      <c r="CH539" s="510"/>
      <c r="CI539" s="486"/>
      <c r="CJ539" s="510"/>
      <c r="CK539" s="486"/>
      <c r="CL539" s="510"/>
      <c r="CM539" s="486"/>
      <c r="CN539" s="510"/>
      <c r="CO539" s="486"/>
      <c r="CP539" s="510"/>
      <c r="CQ539" s="486"/>
      <c r="CR539" s="510"/>
      <c r="CS539" s="486"/>
      <c r="CT539" s="510"/>
      <c r="CU539" s="486"/>
      <c r="CV539" s="510"/>
      <c r="CW539" s="486"/>
      <c r="CX539" s="510"/>
      <c r="CY539" s="486"/>
      <c r="CZ539" s="510"/>
      <c r="DA539" s="486"/>
      <c r="DB539" s="510"/>
      <c r="DC539" s="486"/>
      <c r="DD539" s="510"/>
      <c r="DE539" s="486"/>
      <c r="DF539" s="510"/>
      <c r="DG539" s="486"/>
      <c r="DH539" s="510"/>
      <c r="DI539" s="486"/>
      <c r="DJ539" s="510"/>
      <c r="DK539" s="486"/>
      <c r="DL539" s="510"/>
      <c r="DM539" s="486"/>
      <c r="DN539" s="510"/>
      <c r="DO539" s="486"/>
      <c r="DP539" s="510"/>
      <c r="DQ539" s="486"/>
      <c r="DR539" s="510"/>
      <c r="DS539" s="486"/>
      <c r="DT539" s="510"/>
      <c r="DU539" s="486"/>
      <c r="DV539" s="510"/>
      <c r="DW539" s="486"/>
      <c r="DX539" s="510"/>
      <c r="DY539" s="486"/>
      <c r="DZ539" s="510"/>
      <c r="EA539" s="486"/>
      <c r="EB539" s="487"/>
      <c r="EC539" s="510"/>
      <c r="ED539" s="487"/>
      <c r="EE539" s="510"/>
      <c r="EF539" s="487"/>
      <c r="EG539" s="510"/>
      <c r="EH539" s="487"/>
      <c r="EI539" s="510"/>
      <c r="EJ539" s="486"/>
      <c r="EK539" s="510"/>
      <c r="EL539" s="486"/>
      <c r="EM539" s="510"/>
      <c r="EN539" s="486"/>
      <c r="EO539" s="510"/>
      <c r="EP539" s="486"/>
      <c r="EQ539" s="510"/>
      <c r="ER539" s="486"/>
      <c r="ES539" s="510"/>
      <c r="ET539" s="486"/>
      <c r="EU539" s="510"/>
      <c r="EV539" s="486"/>
      <c r="EW539" s="510"/>
      <c r="EX539" s="486"/>
      <c r="EY539" s="510"/>
      <c r="EZ539" s="486"/>
      <c r="FA539" s="510"/>
      <c r="FB539" s="486"/>
      <c r="FC539" s="510"/>
      <c r="FD539" s="486"/>
      <c r="FE539" s="510"/>
      <c r="FF539" s="486"/>
      <c r="FG539" s="510"/>
      <c r="FH539" s="486"/>
      <c r="FI539" s="510"/>
      <c r="FJ539" s="486"/>
      <c r="FK539" s="510"/>
      <c r="FL539" s="486"/>
      <c r="FM539" s="510"/>
      <c r="FN539" s="486"/>
      <c r="FO539" s="510"/>
      <c r="FP539" s="486"/>
      <c r="FQ539" s="510"/>
      <c r="FR539" s="486"/>
      <c r="FS539" s="486"/>
    </row>
    <row r="540" spans="1:176" ht="12.75" customHeight="1" collapsed="1" x14ac:dyDescent="0.2">
      <c r="A540" s="246"/>
      <c r="B540" s="510"/>
      <c r="C540" s="487"/>
      <c r="D540" s="510"/>
      <c r="E540" s="487"/>
      <c r="F540" s="510"/>
      <c r="G540" s="487"/>
      <c r="H540" s="510"/>
      <c r="I540" s="487"/>
      <c r="J540" s="510"/>
      <c r="K540" s="487"/>
      <c r="L540" s="510"/>
      <c r="M540" s="487"/>
      <c r="N540" s="510"/>
      <c r="O540" s="487"/>
      <c r="P540" s="510"/>
      <c r="Q540" s="487"/>
      <c r="R540" s="510"/>
      <c r="S540" s="487"/>
      <c r="T540" s="510"/>
      <c r="U540" s="487"/>
      <c r="V540" s="510"/>
      <c r="W540" s="487"/>
      <c r="X540" s="510"/>
      <c r="Y540" s="487"/>
      <c r="Z540" s="510"/>
      <c r="AA540" s="487"/>
      <c r="AB540" s="510"/>
      <c r="AC540" s="487"/>
      <c r="AD540" s="510"/>
      <c r="AE540" s="487"/>
      <c r="AF540" s="510"/>
      <c r="AG540" s="487"/>
      <c r="AH540" s="510"/>
      <c r="AI540" s="486"/>
      <c r="AJ540" s="510"/>
      <c r="AK540" s="486"/>
      <c r="AL540" s="510"/>
      <c r="AM540" s="486"/>
      <c r="AN540" s="510"/>
      <c r="AO540" s="486"/>
      <c r="AP540" s="510"/>
      <c r="AQ540" s="486"/>
      <c r="AR540" s="510"/>
      <c r="AS540" s="486"/>
      <c r="AT540" s="510"/>
      <c r="AU540" s="486"/>
      <c r="AV540" s="510"/>
      <c r="AW540" s="486"/>
      <c r="AX540" s="510"/>
      <c r="AY540" s="486"/>
      <c r="AZ540" s="510"/>
      <c r="BA540" s="486"/>
      <c r="BB540" s="510"/>
      <c r="BC540" s="486"/>
      <c r="BD540" s="510"/>
      <c r="BE540" s="486"/>
      <c r="BF540" s="510"/>
      <c r="BG540" s="486"/>
      <c r="BH540" s="510"/>
      <c r="BI540" s="486"/>
      <c r="BJ540" s="510"/>
      <c r="BK540" s="486"/>
      <c r="BL540" s="510"/>
      <c r="BM540" s="486"/>
      <c r="BN540" s="510"/>
      <c r="BO540" s="486"/>
      <c r="BP540" s="510"/>
      <c r="BQ540" s="486"/>
      <c r="BR540" s="510"/>
      <c r="BS540" s="486"/>
      <c r="BT540" s="510"/>
      <c r="BU540" s="486"/>
      <c r="BV540" s="510"/>
      <c r="BW540" s="486"/>
      <c r="BX540" s="510"/>
      <c r="BY540" s="486"/>
      <c r="BZ540" s="510"/>
      <c r="CA540" s="486"/>
      <c r="CB540" s="510"/>
      <c r="CC540" s="486"/>
      <c r="CD540" s="510"/>
      <c r="CE540" s="486"/>
      <c r="CF540" s="510"/>
      <c r="CG540" s="486"/>
      <c r="CH540" s="510"/>
      <c r="CI540" s="486"/>
      <c r="CJ540" s="510"/>
      <c r="CK540" s="486"/>
      <c r="CL540" s="510"/>
      <c r="CM540" s="486"/>
      <c r="CN540" s="510"/>
      <c r="CO540" s="486"/>
      <c r="CP540" s="510"/>
      <c r="CQ540" s="486"/>
      <c r="CR540" s="510"/>
      <c r="CS540" s="486"/>
      <c r="CT540" s="510"/>
      <c r="CU540" s="486"/>
      <c r="CV540" s="510"/>
      <c r="CW540" s="486"/>
      <c r="CX540" s="510"/>
      <c r="CY540" s="486"/>
      <c r="CZ540" s="510"/>
      <c r="DA540" s="486"/>
      <c r="DB540" s="510"/>
      <c r="DC540" s="486"/>
      <c r="DD540" s="510"/>
      <c r="DE540" s="486"/>
      <c r="DF540" s="510"/>
      <c r="DG540" s="486"/>
      <c r="DH540" s="510"/>
      <c r="DI540" s="486"/>
      <c r="DJ540" s="510"/>
      <c r="DK540" s="486"/>
      <c r="DL540" s="510"/>
      <c r="DM540" s="486"/>
      <c r="DN540" s="510"/>
      <c r="DO540" s="486"/>
      <c r="DP540" s="510"/>
      <c r="DQ540" s="486"/>
      <c r="DR540" s="510"/>
      <c r="DS540" s="486"/>
      <c r="DT540" s="510"/>
      <c r="DU540" s="486"/>
      <c r="DV540" s="510"/>
      <c r="DW540" s="486"/>
      <c r="DX540" s="510"/>
      <c r="DY540" s="486"/>
      <c r="DZ540" s="510"/>
      <c r="EA540" s="486"/>
      <c r="EB540" s="487"/>
      <c r="EC540" s="510"/>
      <c r="ED540" s="487"/>
      <c r="EE540" s="510"/>
      <c r="EF540" s="487"/>
      <c r="EG540" s="510"/>
      <c r="EH540" s="487"/>
      <c r="EI540" s="510"/>
      <c r="EJ540" s="486"/>
      <c r="EK540" s="510"/>
      <c r="EL540" s="486"/>
      <c r="EM540" s="510"/>
      <c r="EN540" s="486"/>
      <c r="EO540" s="510"/>
      <c r="EP540" s="486"/>
      <c r="EQ540" s="510"/>
      <c r="ER540" s="486"/>
      <c r="ES540" s="510"/>
      <c r="ET540" s="486"/>
      <c r="EU540" s="510"/>
      <c r="EV540" s="486"/>
      <c r="EW540" s="510"/>
      <c r="EX540" s="486"/>
      <c r="EY540" s="510"/>
      <c r="EZ540" s="486"/>
      <c r="FA540" s="510"/>
      <c r="FB540" s="486"/>
      <c r="FC540" s="510"/>
      <c r="FD540" s="486"/>
      <c r="FE540" s="510"/>
      <c r="FF540" s="486"/>
      <c r="FG540" s="510"/>
      <c r="FH540" s="486"/>
      <c r="FI540" s="510"/>
      <c r="FJ540" s="486"/>
      <c r="FK540" s="510"/>
      <c r="FL540" s="486"/>
      <c r="FM540" s="510"/>
      <c r="FN540" s="486"/>
      <c r="FO540" s="510"/>
      <c r="FP540" s="486"/>
      <c r="FQ540" s="510"/>
      <c r="FR540" s="486"/>
      <c r="FS540" s="486"/>
    </row>
    <row r="541" spans="1:176" ht="21.95" hidden="1" customHeight="1" outlineLevel="1" x14ac:dyDescent="0.2">
      <c r="A541" s="246" t="str">
        <f>$A$1</f>
        <v>Prudential Financial, Inc.</v>
      </c>
      <c r="B541" s="486"/>
      <c r="C541" s="487"/>
      <c r="D541" s="486"/>
      <c r="E541" s="487"/>
      <c r="F541" s="486"/>
      <c r="G541" s="487"/>
      <c r="H541" s="486"/>
      <c r="I541" s="487"/>
      <c r="J541" s="486"/>
      <c r="K541" s="487"/>
      <c r="L541" s="486"/>
      <c r="M541" s="487"/>
      <c r="N541" s="486"/>
      <c r="O541" s="487"/>
      <c r="P541" s="486"/>
      <c r="Q541" s="487"/>
      <c r="R541" s="486"/>
      <c r="S541" s="487"/>
      <c r="T541" s="486"/>
      <c r="U541" s="487"/>
      <c r="V541" s="486"/>
      <c r="W541" s="487"/>
      <c r="X541" s="486"/>
      <c r="Y541" s="487"/>
      <c r="Z541" s="486"/>
      <c r="AA541" s="487"/>
      <c r="AB541" s="486"/>
      <c r="AC541" s="487"/>
      <c r="AD541" s="486"/>
      <c r="AE541" s="487"/>
      <c r="AF541" s="486"/>
      <c r="AG541" s="487"/>
      <c r="AH541" s="486"/>
      <c r="AI541" s="486"/>
      <c r="AJ541" s="486"/>
      <c r="AK541" s="486"/>
      <c r="AL541" s="486"/>
      <c r="AM541" s="486"/>
      <c r="AN541" s="486"/>
      <c r="AO541" s="486"/>
      <c r="AP541" s="486"/>
      <c r="AQ541" s="486"/>
      <c r="AR541" s="486"/>
      <c r="AS541" s="486"/>
      <c r="AT541" s="486"/>
      <c r="AU541" s="486"/>
      <c r="AV541" s="486"/>
      <c r="AW541" s="486"/>
      <c r="AX541" s="486"/>
      <c r="AY541" s="486"/>
      <c r="AZ541" s="486"/>
      <c r="BA541" s="486"/>
      <c r="BB541" s="486"/>
      <c r="BC541" s="486"/>
      <c r="BD541" s="486"/>
      <c r="BE541" s="486"/>
      <c r="BF541" s="486"/>
      <c r="BG541" s="486"/>
      <c r="BH541" s="486"/>
      <c r="BI541" s="486"/>
      <c r="BJ541" s="486"/>
      <c r="BK541" s="486"/>
      <c r="BL541" s="486"/>
      <c r="BM541" s="486"/>
      <c r="BN541" s="486"/>
      <c r="BO541" s="486"/>
      <c r="BP541" s="486"/>
      <c r="BQ541" s="486"/>
      <c r="BR541" s="486"/>
      <c r="BS541" s="486"/>
      <c r="BT541" s="486"/>
      <c r="BU541" s="486"/>
      <c r="BV541" s="486"/>
      <c r="BW541" s="486"/>
      <c r="BX541" s="486"/>
      <c r="BY541" s="486"/>
      <c r="BZ541" s="486"/>
      <c r="CA541" s="486"/>
      <c r="CB541" s="486"/>
      <c r="CC541" s="486"/>
      <c r="CD541" s="486"/>
      <c r="CE541" s="486"/>
      <c r="CF541" s="486"/>
      <c r="CG541" s="486"/>
      <c r="CH541" s="486"/>
      <c r="CI541" s="486"/>
      <c r="CJ541" s="486"/>
      <c r="CK541" s="486"/>
      <c r="CL541" s="486"/>
      <c r="CM541" s="486"/>
      <c r="CN541" s="486"/>
      <c r="CO541" s="486"/>
      <c r="CP541" s="486"/>
      <c r="CQ541" s="486"/>
      <c r="CR541" s="486"/>
      <c r="CS541" s="486"/>
      <c r="CT541" s="486"/>
      <c r="CU541" s="486"/>
      <c r="CV541" s="486"/>
      <c r="CW541" s="486"/>
      <c r="CX541" s="486"/>
      <c r="CY541" s="486"/>
      <c r="CZ541" s="486"/>
      <c r="DA541" s="486"/>
      <c r="DB541" s="486"/>
      <c r="DC541" s="486"/>
      <c r="DD541" s="486"/>
      <c r="DE541" s="486"/>
      <c r="DF541" s="486"/>
      <c r="DG541" s="486"/>
      <c r="DH541" s="486"/>
      <c r="DI541" s="486"/>
      <c r="DJ541" s="486"/>
      <c r="DK541" s="486"/>
      <c r="DL541" s="486"/>
      <c r="DM541" s="486"/>
      <c r="DN541" s="486"/>
      <c r="DO541" s="486"/>
      <c r="DP541" s="486"/>
      <c r="DQ541" s="486"/>
      <c r="DR541" s="486"/>
      <c r="DS541" s="486"/>
      <c r="DT541" s="486"/>
      <c r="DU541" s="486"/>
      <c r="DV541" s="486"/>
      <c r="DW541" s="486"/>
      <c r="DX541" s="486"/>
      <c r="DY541" s="486"/>
      <c r="DZ541" s="486"/>
      <c r="EA541" s="486"/>
      <c r="EB541" s="487"/>
      <c r="EC541" s="486"/>
      <c r="ED541" s="487"/>
      <c r="EE541" s="486"/>
      <c r="EF541" s="487"/>
      <c r="EG541" s="486"/>
      <c r="EH541" s="487"/>
      <c r="EI541" s="486"/>
      <c r="EJ541" s="486"/>
      <c r="EK541" s="486"/>
      <c r="EL541" s="486"/>
      <c r="EM541" s="486"/>
      <c r="EN541" s="486"/>
      <c r="EO541" s="486"/>
      <c r="EP541" s="486"/>
      <c r="EQ541" s="486"/>
      <c r="ER541" s="486"/>
      <c r="ES541" s="486"/>
      <c r="ET541" s="486"/>
      <c r="EU541" s="486"/>
      <c r="EV541" s="486"/>
      <c r="EW541" s="486"/>
      <c r="EX541" s="486"/>
      <c r="EY541" s="486"/>
      <c r="EZ541" s="486"/>
      <c r="FA541" s="486"/>
      <c r="FB541" s="486"/>
      <c r="FC541" s="486"/>
      <c r="FD541" s="486"/>
      <c r="FE541" s="486"/>
      <c r="FF541" s="486"/>
      <c r="FG541" s="486"/>
      <c r="FH541" s="486"/>
      <c r="FI541" s="486"/>
      <c r="FJ541" s="486"/>
      <c r="FK541" s="486"/>
      <c r="FL541" s="486"/>
      <c r="FM541" s="486"/>
      <c r="FN541" s="486"/>
      <c r="FO541" s="486"/>
      <c r="FP541" s="486"/>
      <c r="FQ541" s="486"/>
      <c r="FR541" s="486"/>
      <c r="FS541" s="486"/>
    </row>
    <row r="542" spans="1:176" ht="12.75" hidden="1" customHeight="1" outlineLevel="1" x14ac:dyDescent="0.2">
      <c r="A542" s="488" t="s">
        <v>593</v>
      </c>
      <c r="B542" s="489"/>
      <c r="C542" s="490"/>
      <c r="D542" s="489"/>
      <c r="E542" s="490"/>
      <c r="F542" s="489"/>
      <c r="G542" s="490"/>
      <c r="H542" s="489"/>
      <c r="I542" s="490"/>
      <c r="J542" s="489"/>
      <c r="K542" s="490"/>
      <c r="L542" s="489"/>
      <c r="M542" s="490"/>
      <c r="N542" s="489"/>
      <c r="O542" s="490"/>
      <c r="P542" s="489"/>
      <c r="Q542" s="490"/>
      <c r="R542" s="489"/>
      <c r="S542" s="490"/>
      <c r="T542" s="489"/>
      <c r="U542" s="490"/>
      <c r="V542" s="489"/>
      <c r="W542" s="490"/>
      <c r="X542" s="489"/>
      <c r="Y542" s="490"/>
      <c r="Z542" s="489"/>
      <c r="AA542" s="490"/>
      <c r="AB542" s="489"/>
      <c r="AC542" s="490"/>
      <c r="AD542" s="489"/>
      <c r="AE542" s="490"/>
      <c r="AF542" s="489"/>
      <c r="AG542" s="490"/>
      <c r="AH542" s="489"/>
      <c r="AI542" s="489"/>
      <c r="AJ542" s="489"/>
      <c r="AK542" s="489"/>
      <c r="AL542" s="489"/>
      <c r="AM542" s="489"/>
      <c r="AN542" s="489"/>
      <c r="AO542" s="489"/>
      <c r="AP542" s="489"/>
      <c r="AQ542" s="489"/>
      <c r="AR542" s="489"/>
      <c r="AS542" s="489"/>
      <c r="AT542" s="489"/>
      <c r="AU542" s="489"/>
      <c r="AV542" s="489"/>
      <c r="AW542" s="489"/>
      <c r="AX542" s="489"/>
      <c r="AY542" s="489"/>
      <c r="AZ542" s="489"/>
      <c r="BA542" s="489"/>
      <c r="BB542" s="489"/>
      <c r="BC542" s="489"/>
      <c r="BD542" s="489"/>
      <c r="BE542" s="489"/>
      <c r="BF542" s="489"/>
      <c r="BG542" s="489"/>
      <c r="BH542" s="489"/>
      <c r="BI542" s="489"/>
      <c r="BJ542" s="489"/>
      <c r="BK542" s="489"/>
      <c r="BL542" s="489"/>
      <c r="BM542" s="489"/>
      <c r="BN542" s="489"/>
      <c r="BO542" s="489"/>
      <c r="BP542" s="489"/>
      <c r="BQ542" s="489"/>
      <c r="BR542" s="489"/>
      <c r="BS542" s="489"/>
      <c r="BT542" s="489"/>
      <c r="BU542" s="489"/>
      <c r="BV542" s="489"/>
      <c r="BW542" s="489"/>
      <c r="BX542" s="489"/>
      <c r="BY542" s="489"/>
      <c r="BZ542" s="489"/>
      <c r="CA542" s="489"/>
      <c r="CB542" s="489"/>
      <c r="CC542" s="489"/>
      <c r="CD542" s="489"/>
      <c r="CE542" s="489"/>
      <c r="CF542" s="489"/>
      <c r="CG542" s="489"/>
      <c r="CH542" s="489"/>
      <c r="CI542" s="489"/>
      <c r="CJ542" s="489"/>
      <c r="CK542" s="489"/>
      <c r="CL542" s="489"/>
      <c r="CM542" s="489"/>
      <c r="CN542" s="489"/>
      <c r="CO542" s="489"/>
      <c r="CP542" s="489"/>
      <c r="CQ542" s="489"/>
      <c r="CR542" s="489"/>
      <c r="CS542" s="489"/>
      <c r="CT542" s="489"/>
      <c r="CU542" s="489"/>
      <c r="CV542" s="489"/>
      <c r="CW542" s="489"/>
      <c r="CX542" s="489"/>
      <c r="CY542" s="489"/>
      <c r="CZ542" s="489"/>
      <c r="DA542" s="489"/>
      <c r="DB542" s="489"/>
      <c r="DC542" s="489"/>
      <c r="DD542" s="489"/>
      <c r="DE542" s="489"/>
      <c r="DF542" s="489"/>
      <c r="DG542" s="489"/>
      <c r="DH542" s="489"/>
      <c r="DI542" s="489"/>
      <c r="DJ542" s="489"/>
      <c r="DK542" s="489"/>
      <c r="DL542" s="489"/>
      <c r="DM542" s="489"/>
      <c r="DN542" s="489"/>
      <c r="DO542" s="489"/>
      <c r="DP542" s="489"/>
      <c r="DQ542" s="489"/>
      <c r="DR542" s="489"/>
      <c r="DS542" s="489"/>
      <c r="DT542" s="489"/>
      <c r="DU542" s="489"/>
      <c r="DV542" s="489"/>
      <c r="DW542" s="489"/>
      <c r="DX542" s="489"/>
      <c r="DY542" s="489"/>
      <c r="DZ542" s="489"/>
      <c r="EA542" s="489"/>
      <c r="EB542" s="490"/>
      <c r="EC542" s="489"/>
      <c r="ED542" s="490"/>
      <c r="EE542" s="489"/>
      <c r="EF542" s="490"/>
      <c r="EG542" s="489"/>
      <c r="EH542" s="490"/>
      <c r="EI542" s="489"/>
      <c r="EJ542" s="489"/>
      <c r="EK542" s="489"/>
      <c r="EL542" s="489"/>
      <c r="EM542" s="489"/>
      <c r="EN542" s="489"/>
      <c r="EO542" s="489"/>
      <c r="EP542" s="489"/>
      <c r="EQ542" s="489"/>
      <c r="ER542" s="489"/>
      <c r="ES542" s="489"/>
      <c r="ET542" s="489"/>
      <c r="EU542" s="489"/>
      <c r="EV542" s="489"/>
      <c r="EW542" s="489"/>
      <c r="EX542" s="489"/>
      <c r="EY542" s="489"/>
      <c r="EZ542" s="489"/>
      <c r="FA542" s="489"/>
      <c r="FB542" s="489"/>
      <c r="FC542" s="489"/>
      <c r="FD542" s="489"/>
      <c r="FE542" s="489"/>
      <c r="FF542" s="489"/>
      <c r="FG542" s="489"/>
      <c r="FH542" s="489"/>
      <c r="FI542" s="489"/>
      <c r="FJ542" s="489"/>
      <c r="FK542" s="489"/>
      <c r="FL542" s="489"/>
      <c r="FM542" s="489"/>
      <c r="FN542" s="489"/>
      <c r="FO542" s="489"/>
      <c r="FP542" s="489"/>
      <c r="FQ542" s="489"/>
      <c r="FR542" s="489"/>
      <c r="FS542" s="489"/>
    </row>
    <row r="543" spans="1:176" ht="12.75" hidden="1" customHeight="1" outlineLevel="1" x14ac:dyDescent="0.2">
      <c r="A543" s="501" t="str">
        <f>A$3</f>
        <v>($Millions Except Per Share Data)</v>
      </c>
      <c r="B543" s="502"/>
      <c r="C543" s="503" t="str">
        <f>C$3</f>
        <v>1Q03/</v>
      </c>
      <c r="D543" s="502"/>
      <c r="E543" s="503" t="str">
        <f>E$3</f>
        <v>2Q03/</v>
      </c>
      <c r="F543" s="502"/>
      <c r="G543" s="503" t="str">
        <f>G$3</f>
        <v>3Q03/</v>
      </c>
      <c r="H543" s="502"/>
      <c r="I543" s="503" t="str">
        <f>I$3</f>
        <v>4Q03/</v>
      </c>
      <c r="J543" s="502"/>
      <c r="K543" s="503" t="str">
        <f>K$3</f>
        <v>1Q04/</v>
      </c>
      <c r="L543" s="502"/>
      <c r="M543" s="503" t="str">
        <f>M$3</f>
        <v>2Q04/</v>
      </c>
      <c r="N543" s="502"/>
      <c r="O543" s="503" t="str">
        <f>O$3</f>
        <v>3Q04/</v>
      </c>
      <c r="P543" s="502"/>
      <c r="Q543" s="503" t="str">
        <f>Q$3</f>
        <v>4Q04/</v>
      </c>
      <c r="R543" s="502"/>
      <c r="S543" s="503" t="str">
        <f>S$3</f>
        <v>1Q05/</v>
      </c>
      <c r="T543" s="502"/>
      <c r="U543" s="503" t="str">
        <f>U$3</f>
        <v>2Q05/</v>
      </c>
      <c r="V543" s="502"/>
      <c r="W543" s="503" t="str">
        <f>W$3</f>
        <v>3Q05/</v>
      </c>
      <c r="X543" s="502"/>
      <c r="Y543" s="503" t="str">
        <f>Y$3</f>
        <v>4Q05/</v>
      </c>
      <c r="Z543" s="502"/>
      <c r="AA543" s="503" t="str">
        <f>AA$3</f>
        <v>1Q06/</v>
      </c>
      <c r="AB543" s="502"/>
      <c r="AC543" s="503" t="str">
        <f>AC$3</f>
        <v>2Q06/</v>
      </c>
      <c r="AD543" s="502"/>
      <c r="AE543" s="503" t="str">
        <f>AE$3</f>
        <v>3Q06/</v>
      </c>
      <c r="AF543" s="502"/>
      <c r="AG543" s="503" t="str">
        <f>AG$3</f>
        <v>4Q06/</v>
      </c>
      <c r="AH543" s="502"/>
      <c r="AI543" s="504" t="str">
        <f>AI$3</f>
        <v>1Q07/</v>
      </c>
      <c r="AJ543" s="502"/>
      <c r="AK543" s="504" t="str">
        <f>AK$3</f>
        <v>2Q07/</v>
      </c>
      <c r="AL543" s="502"/>
      <c r="AM543" s="504" t="str">
        <f>AM$3</f>
        <v>3Q07/</v>
      </c>
      <c r="AN543" s="502"/>
      <c r="AO543" s="504" t="str">
        <f>AO$3</f>
        <v>4Q07/</v>
      </c>
      <c r="AP543" s="502"/>
      <c r="AQ543" s="504" t="str">
        <f>AQ$3</f>
        <v>1Q08/</v>
      </c>
      <c r="AR543" s="502"/>
      <c r="AS543" s="504" t="str">
        <f>AS$3</f>
        <v>2Q08/</v>
      </c>
      <c r="AT543" s="502"/>
      <c r="AU543" s="504" t="str">
        <f>AU$3</f>
        <v>3Q08/</v>
      </c>
      <c r="AV543" s="502"/>
      <c r="AW543" s="504" t="str">
        <f>AW$3</f>
        <v>4Q08/</v>
      </c>
      <c r="AX543" s="502"/>
      <c r="AY543" s="504" t="str">
        <f>AY$3</f>
        <v>1Q09/</v>
      </c>
      <c r="AZ543" s="502"/>
      <c r="BA543" s="504" t="str">
        <f>BA$3</f>
        <v>2Q09/</v>
      </c>
      <c r="BB543" s="502"/>
      <c r="BC543" s="504" t="str">
        <f>BC$3</f>
        <v>3Q09/</v>
      </c>
      <c r="BD543" s="502"/>
      <c r="BE543" s="504" t="str">
        <f>BE$3</f>
        <v>4Q09/</v>
      </c>
      <c r="BF543" s="502"/>
      <c r="BG543" s="504" t="str">
        <f>BG$3</f>
        <v>1Q10/</v>
      </c>
      <c r="BH543" s="502"/>
      <c r="BI543" s="504" t="str">
        <f>BI$3</f>
        <v>2Q10/</v>
      </c>
      <c r="BJ543" s="502"/>
      <c r="BK543" s="504" t="str">
        <f>BK$3</f>
        <v>3Q10/</v>
      </c>
      <c r="BL543" s="502"/>
      <c r="BM543" s="504" t="str">
        <f>BM$3</f>
        <v>4Q10/</v>
      </c>
      <c r="BN543" s="502"/>
      <c r="BO543" s="504" t="str">
        <f>BO$3</f>
        <v>1Q11/</v>
      </c>
      <c r="BP543" s="502"/>
      <c r="BQ543" s="504" t="str">
        <f>BQ$3</f>
        <v>2Q11/</v>
      </c>
      <c r="BR543" s="502"/>
      <c r="BS543" s="504" t="str">
        <f>BS$3</f>
        <v>3Q11/</v>
      </c>
      <c r="BT543" s="502"/>
      <c r="BU543" s="504" t="str">
        <f>BU$3</f>
        <v>4Q11/</v>
      </c>
      <c r="BV543" s="502"/>
      <c r="BW543" s="504" t="str">
        <f>BW$3</f>
        <v>1Q12/</v>
      </c>
      <c r="BX543" s="502"/>
      <c r="BY543" s="504" t="str">
        <f>BY$3</f>
        <v>2Q12/</v>
      </c>
      <c r="BZ543" s="502"/>
      <c r="CA543" s="504" t="str">
        <f>CA$3</f>
        <v>3Q12/</v>
      </c>
      <c r="CB543" s="502"/>
      <c r="CC543" s="504" t="str">
        <f>CC$3</f>
        <v>4Q12/</v>
      </c>
      <c r="CD543" s="502"/>
      <c r="CE543" s="504" t="str">
        <f>CE$3</f>
        <v>1Q13/</v>
      </c>
      <c r="CF543" s="502"/>
      <c r="CG543" s="504" t="str">
        <f>CG$3</f>
        <v>2Q13/</v>
      </c>
      <c r="CH543" s="502"/>
      <c r="CI543" s="504" t="str">
        <f>CI$3</f>
        <v>3Q13/</v>
      </c>
      <c r="CJ543" s="502"/>
      <c r="CK543" s="504" t="str">
        <f>CK$3</f>
        <v>4Q13/</v>
      </c>
      <c r="CL543" s="502"/>
      <c r="CM543" s="504" t="str">
        <f>CM$3</f>
        <v>1Q14/</v>
      </c>
      <c r="CN543" s="502"/>
      <c r="CO543" s="504" t="str">
        <f>CO$3</f>
        <v>2Q14/</v>
      </c>
      <c r="CP543" s="502"/>
      <c r="CQ543" s="504" t="str">
        <f>CQ$3</f>
        <v>3Q14/</v>
      </c>
      <c r="CR543" s="502"/>
      <c r="CS543" s="504" t="str">
        <f>CS$3</f>
        <v>4Q14/</v>
      </c>
      <c r="CT543" s="502"/>
      <c r="CU543" s="504" t="str">
        <f>CU$3</f>
        <v>1Q15/</v>
      </c>
      <c r="CV543" s="502"/>
      <c r="CW543" s="504" t="str">
        <f>CW$3</f>
        <v>2Q15/</v>
      </c>
      <c r="CX543" s="502"/>
      <c r="CY543" s="504" t="str">
        <f>CY$3</f>
        <v>3Q15/</v>
      </c>
      <c r="CZ543" s="502"/>
      <c r="DA543" s="504" t="str">
        <f>DA$3</f>
        <v>4Q15/</v>
      </c>
      <c r="DB543" s="502"/>
      <c r="DC543" s="504" t="str">
        <f>DC$3</f>
        <v>1Q16/</v>
      </c>
      <c r="DD543" s="502"/>
      <c r="DE543" s="504" t="str">
        <f>DE$3</f>
        <v>2Q16/</v>
      </c>
      <c r="DF543" s="502"/>
      <c r="DG543" s="504" t="str">
        <f>DG$3</f>
        <v>3Q16/</v>
      </c>
      <c r="DH543" s="502"/>
      <c r="DI543" s="504" t="str">
        <f>DI$3</f>
        <v>4Q16/</v>
      </c>
      <c r="DJ543" s="502"/>
      <c r="DK543" s="504" t="str">
        <f>DK$3</f>
        <v>1Q17/</v>
      </c>
      <c r="DL543" s="502"/>
      <c r="DM543" s="504" t="str">
        <f>DM$3</f>
        <v>2Q17/</v>
      </c>
      <c r="DN543" s="502"/>
      <c r="DO543" s="504" t="str">
        <f>DO$3</f>
        <v>3Q17/</v>
      </c>
      <c r="DP543" s="502"/>
      <c r="DQ543" s="504" t="str">
        <f>DQ$3</f>
        <v>4Q17/</v>
      </c>
      <c r="DR543" s="502"/>
      <c r="DS543" s="504" t="str">
        <f>DS$3</f>
        <v>1Q18E/</v>
      </c>
      <c r="DT543" s="502"/>
      <c r="DU543" s="504" t="str">
        <f>DU$3</f>
        <v>2Q18E/</v>
      </c>
      <c r="DV543" s="502"/>
      <c r="DW543" s="504" t="str">
        <f>DW$3</f>
        <v>3Q18E/</v>
      </c>
      <c r="DX543" s="502"/>
      <c r="DY543" s="504" t="str">
        <f>DY$3</f>
        <v>4Q18E/</v>
      </c>
      <c r="DZ543" s="502"/>
      <c r="EA543" s="504"/>
      <c r="EB543" s="503" t="str">
        <f>EB$3</f>
        <v>2001/</v>
      </c>
      <c r="EC543" s="502"/>
      <c r="ED543" s="503" t="str">
        <f>ED$3</f>
        <v>2002/</v>
      </c>
      <c r="EE543" s="502"/>
      <c r="EF543" s="503" t="str">
        <f>EF$3</f>
        <v>2003/</v>
      </c>
      <c r="EG543" s="502"/>
      <c r="EH543" s="503" t="str">
        <f>EH$3</f>
        <v>2004/</v>
      </c>
      <c r="EI543" s="502"/>
      <c r="EJ543" s="504" t="str">
        <f>EJ$3</f>
        <v>2005/</v>
      </c>
      <c r="EK543" s="502"/>
      <c r="EL543" s="504" t="str">
        <f>EL$3</f>
        <v>2006/</v>
      </c>
      <c r="EM543" s="502"/>
      <c r="EN543" s="504" t="str">
        <f>EN$3</f>
        <v>2007/</v>
      </c>
      <c r="EO543" s="502"/>
      <c r="EP543" s="504" t="str">
        <f>EP$3</f>
        <v>2008/</v>
      </c>
      <c r="EQ543" s="502"/>
      <c r="ER543" s="504" t="str">
        <f>ER$3</f>
        <v>2009/</v>
      </c>
      <c r="ES543" s="502"/>
      <c r="ET543" s="504" t="str">
        <f>ET$3</f>
        <v>2010/</v>
      </c>
      <c r="EU543" s="502"/>
      <c r="EV543" s="504" t="str">
        <f>EV$3</f>
        <v>2011/</v>
      </c>
      <c r="EW543" s="502"/>
      <c r="EX543" s="504" t="str">
        <f>EX$3</f>
        <v>2012/</v>
      </c>
      <c r="EY543" s="502"/>
      <c r="EZ543" s="504" t="str">
        <f>EZ$3</f>
        <v>2013/</v>
      </c>
      <c r="FA543" s="502"/>
      <c r="FB543" s="504" t="str">
        <f>FB$3</f>
        <v>2014/</v>
      </c>
      <c r="FC543" s="502"/>
      <c r="FD543" s="504" t="str">
        <f>FD$3</f>
        <v>2015/</v>
      </c>
      <c r="FE543" s="502"/>
      <c r="FF543" s="504" t="str">
        <f>FF$3</f>
        <v>2016/</v>
      </c>
      <c r="FG543" s="502"/>
      <c r="FH543" s="504" t="str">
        <f>FH$3</f>
        <v>2017/</v>
      </c>
      <c r="FI543" s="502"/>
      <c r="FJ543" s="504" t="str">
        <f>FJ$3</f>
        <v>2018E/</v>
      </c>
      <c r="FK543" s="502"/>
      <c r="FL543" s="504" t="str">
        <f>FL$3</f>
        <v>2019E/</v>
      </c>
      <c r="FM543" s="502"/>
      <c r="FN543" s="504" t="str">
        <f>FN$3</f>
        <v>2020E/</v>
      </c>
      <c r="FO543" s="502"/>
      <c r="FP543" s="504" t="str">
        <f>FP$3</f>
        <v>2021E/</v>
      </c>
      <c r="FQ543" s="502"/>
      <c r="FR543" s="504" t="str">
        <f>FR$3</f>
        <v>2022E/</v>
      </c>
      <c r="FS543" s="504" t="str">
        <f>FS$3</f>
        <v>5-Yr</v>
      </c>
      <c r="FT543" s="349"/>
    </row>
    <row r="544" spans="1:176" ht="12.75" hidden="1" customHeight="1" outlineLevel="1" x14ac:dyDescent="0.2">
      <c r="A544" s="492"/>
      <c r="B544" s="491"/>
      <c r="C544" s="490" t="str">
        <f>C$4</f>
        <v>1Q02</v>
      </c>
      <c r="D544" s="491"/>
      <c r="E544" s="490" t="str">
        <f>E$4</f>
        <v>2Q02</v>
      </c>
      <c r="F544" s="491"/>
      <c r="G544" s="490" t="str">
        <f>G$4</f>
        <v>3Q02</v>
      </c>
      <c r="H544" s="491"/>
      <c r="I544" s="490" t="str">
        <f>I$4</f>
        <v>4Q02</v>
      </c>
      <c r="J544" s="491"/>
      <c r="K544" s="490" t="str">
        <f>K$4</f>
        <v>1Q03</v>
      </c>
      <c r="L544" s="491"/>
      <c r="M544" s="490" t="str">
        <f>M$4</f>
        <v>2Q03</v>
      </c>
      <c r="N544" s="491"/>
      <c r="O544" s="490" t="str">
        <f>O$4</f>
        <v>3Q03</v>
      </c>
      <c r="P544" s="491"/>
      <c r="Q544" s="490" t="str">
        <f>Q$4</f>
        <v>4Q03</v>
      </c>
      <c r="R544" s="491"/>
      <c r="S544" s="490" t="str">
        <f>S$4</f>
        <v>1Q04</v>
      </c>
      <c r="T544" s="491"/>
      <c r="U544" s="490" t="str">
        <f>U$4</f>
        <v>2Q04</v>
      </c>
      <c r="V544" s="491"/>
      <c r="W544" s="490" t="str">
        <f>W$4</f>
        <v>3Q04</v>
      </c>
      <c r="X544" s="491"/>
      <c r="Y544" s="490" t="str">
        <f>Y$4</f>
        <v>4Q04</v>
      </c>
      <c r="Z544" s="491"/>
      <c r="AA544" s="490" t="str">
        <f>AA$4</f>
        <v>1Q05</v>
      </c>
      <c r="AB544" s="491"/>
      <c r="AC544" s="490" t="str">
        <f>AC$4</f>
        <v>2Q05</v>
      </c>
      <c r="AD544" s="491"/>
      <c r="AE544" s="490" t="str">
        <f>AE$4</f>
        <v>3Q05</v>
      </c>
      <c r="AF544" s="491"/>
      <c r="AG544" s="490" t="str">
        <f>AG$4</f>
        <v>4Q05</v>
      </c>
      <c r="AH544" s="491"/>
      <c r="AI544" s="489" t="str">
        <f>AI$4</f>
        <v>1Q06</v>
      </c>
      <c r="AJ544" s="491"/>
      <c r="AK544" s="489" t="str">
        <f>AK$4</f>
        <v>2Q06</v>
      </c>
      <c r="AL544" s="491"/>
      <c r="AM544" s="489" t="str">
        <f>AM$4</f>
        <v>3Q06</v>
      </c>
      <c r="AN544" s="491"/>
      <c r="AO544" s="489" t="str">
        <f>AO$4</f>
        <v>4Q06</v>
      </c>
      <c r="AP544" s="491"/>
      <c r="AQ544" s="489" t="str">
        <f>AQ$4</f>
        <v>1Q07</v>
      </c>
      <c r="AR544" s="491"/>
      <c r="AS544" s="489" t="str">
        <f>AS$4</f>
        <v>2Q07</v>
      </c>
      <c r="AT544" s="491"/>
      <c r="AU544" s="489" t="str">
        <f>AU$4</f>
        <v>3Q07</v>
      </c>
      <c r="AV544" s="491"/>
      <c r="AW544" s="489" t="str">
        <f>AW$4</f>
        <v>4Q07</v>
      </c>
      <c r="AX544" s="491"/>
      <c r="AY544" s="489" t="str">
        <f>AY$4</f>
        <v>1Q08</v>
      </c>
      <c r="AZ544" s="491"/>
      <c r="BA544" s="489" t="str">
        <f>BA$4</f>
        <v>2Q08</v>
      </c>
      <c r="BB544" s="491"/>
      <c r="BC544" s="489" t="str">
        <f>BC$4</f>
        <v>3Q08</v>
      </c>
      <c r="BD544" s="491"/>
      <c r="BE544" s="489" t="str">
        <f>BE$4</f>
        <v>4Q08</v>
      </c>
      <c r="BF544" s="491"/>
      <c r="BG544" s="489" t="str">
        <f>BG$4</f>
        <v>1Q09</v>
      </c>
      <c r="BH544" s="491"/>
      <c r="BI544" s="489" t="str">
        <f>BI$4</f>
        <v>2Q09</v>
      </c>
      <c r="BJ544" s="491"/>
      <c r="BK544" s="489" t="str">
        <f>BK$4</f>
        <v>3Q09</v>
      </c>
      <c r="BL544" s="491"/>
      <c r="BM544" s="489" t="str">
        <f>BM$4</f>
        <v>4Q09</v>
      </c>
      <c r="BN544" s="491"/>
      <c r="BO544" s="489" t="str">
        <f>BO$4</f>
        <v>1Q10</v>
      </c>
      <c r="BP544" s="491"/>
      <c r="BQ544" s="489" t="str">
        <f>BQ$4</f>
        <v>2Q10</v>
      </c>
      <c r="BR544" s="491"/>
      <c r="BS544" s="489" t="str">
        <f>BS$4</f>
        <v>3Q10</v>
      </c>
      <c r="BT544" s="491"/>
      <c r="BU544" s="489" t="str">
        <f>BU$4</f>
        <v>4Q10</v>
      </c>
      <c r="BV544" s="491"/>
      <c r="BW544" s="489" t="str">
        <f>BW$4</f>
        <v>1Q11</v>
      </c>
      <c r="BX544" s="491"/>
      <c r="BY544" s="489" t="str">
        <f>BY$4</f>
        <v>2Q11</v>
      </c>
      <c r="BZ544" s="491"/>
      <c r="CA544" s="489" t="str">
        <f>CA$4</f>
        <v>3Q11</v>
      </c>
      <c r="CB544" s="491"/>
      <c r="CC544" s="489" t="str">
        <f>CC$4</f>
        <v>4Q11</v>
      </c>
      <c r="CD544" s="491"/>
      <c r="CE544" s="489" t="str">
        <f>CE$4</f>
        <v>1Q12</v>
      </c>
      <c r="CF544" s="491"/>
      <c r="CG544" s="489" t="str">
        <f>CG$4</f>
        <v>2Q12</v>
      </c>
      <c r="CH544" s="491"/>
      <c r="CI544" s="489" t="str">
        <f>CI$4</f>
        <v>3Q12</v>
      </c>
      <c r="CJ544" s="491"/>
      <c r="CK544" s="489" t="str">
        <f>CK$4</f>
        <v>4Q12</v>
      </c>
      <c r="CL544" s="491"/>
      <c r="CM544" s="489" t="str">
        <f>CM$4</f>
        <v>1Q13</v>
      </c>
      <c r="CN544" s="491"/>
      <c r="CO544" s="489" t="str">
        <f>CO$4</f>
        <v>2Q13</v>
      </c>
      <c r="CP544" s="491"/>
      <c r="CQ544" s="489" t="str">
        <f>CQ$4</f>
        <v>3Q13</v>
      </c>
      <c r="CR544" s="491"/>
      <c r="CS544" s="489" t="str">
        <f>CS$4</f>
        <v>4Q13</v>
      </c>
      <c r="CT544" s="491"/>
      <c r="CU544" s="489" t="str">
        <f>CU$4</f>
        <v>1Q14</v>
      </c>
      <c r="CV544" s="491"/>
      <c r="CW544" s="489" t="str">
        <f>CW$4</f>
        <v>2Q14</v>
      </c>
      <c r="CX544" s="491"/>
      <c r="CY544" s="489" t="str">
        <f>CY$4</f>
        <v>3Q14</v>
      </c>
      <c r="CZ544" s="491"/>
      <c r="DA544" s="489" t="str">
        <f>DA$4</f>
        <v>4Q14</v>
      </c>
      <c r="DB544" s="491"/>
      <c r="DC544" s="489" t="str">
        <f>DC$4</f>
        <v>1Q15</v>
      </c>
      <c r="DD544" s="491"/>
      <c r="DE544" s="489" t="str">
        <f>DE$4</f>
        <v>2Q15</v>
      </c>
      <c r="DF544" s="491"/>
      <c r="DG544" s="489" t="str">
        <f>DG$4</f>
        <v>3Q15</v>
      </c>
      <c r="DH544" s="491"/>
      <c r="DI544" s="489" t="str">
        <f>DI$4</f>
        <v>4Q15</v>
      </c>
      <c r="DJ544" s="491"/>
      <c r="DK544" s="489" t="str">
        <f>DK$4</f>
        <v>1Q16</v>
      </c>
      <c r="DL544" s="491"/>
      <c r="DM544" s="489" t="str">
        <f>DM$4</f>
        <v>2Q16</v>
      </c>
      <c r="DN544" s="491"/>
      <c r="DO544" s="489" t="str">
        <f>DO$4</f>
        <v>3Q16</v>
      </c>
      <c r="DP544" s="491"/>
      <c r="DQ544" s="489" t="str">
        <f>DQ$4</f>
        <v>4Q16</v>
      </c>
      <c r="DR544" s="491"/>
      <c r="DS544" s="489" t="str">
        <f>DS$4</f>
        <v>1Q17</v>
      </c>
      <c r="DT544" s="491"/>
      <c r="DU544" s="489" t="str">
        <f>DU$4</f>
        <v>2Q17</v>
      </c>
      <c r="DV544" s="491"/>
      <c r="DW544" s="489" t="str">
        <f>DW$4</f>
        <v>3Q17</v>
      </c>
      <c r="DX544" s="491"/>
      <c r="DY544" s="489" t="str">
        <f>DY$4</f>
        <v>4Q17</v>
      </c>
      <c r="DZ544" s="491"/>
      <c r="EA544" s="489"/>
      <c r="EB544" s="490" t="str">
        <f>EB$4</f>
        <v>2000</v>
      </c>
      <c r="EC544" s="491"/>
      <c r="ED544" s="490" t="str">
        <f>ED$4</f>
        <v>2001</v>
      </c>
      <c r="EE544" s="491"/>
      <c r="EF544" s="490" t="str">
        <f>EF$4</f>
        <v>2002</v>
      </c>
      <c r="EG544" s="491"/>
      <c r="EH544" s="490" t="str">
        <f>EH$4</f>
        <v>2003</v>
      </c>
      <c r="EI544" s="491"/>
      <c r="EJ544" s="489">
        <f>EJ$4</f>
        <v>2004</v>
      </c>
      <c r="EK544" s="491"/>
      <c r="EL544" s="489" t="str">
        <f>EL$4</f>
        <v>2005</v>
      </c>
      <c r="EM544" s="491"/>
      <c r="EN544" s="489" t="str">
        <f>EN$4</f>
        <v>2006</v>
      </c>
      <c r="EO544" s="491"/>
      <c r="EP544" s="489">
        <f>EP$4</f>
        <v>2007</v>
      </c>
      <c r="EQ544" s="491"/>
      <c r="ER544" s="489" t="str">
        <f>ER$4</f>
        <v>2008</v>
      </c>
      <c r="ES544" s="491"/>
      <c r="ET544" s="489" t="str">
        <f>ET$4</f>
        <v>2009</v>
      </c>
      <c r="EU544" s="491"/>
      <c r="EV544" s="489" t="str">
        <f>EV$4</f>
        <v>2010</v>
      </c>
      <c r="EW544" s="491"/>
      <c r="EX544" s="489" t="str">
        <f>EX$4</f>
        <v>2011</v>
      </c>
      <c r="EY544" s="491"/>
      <c r="EZ544" s="489" t="str">
        <f>EZ$4</f>
        <v>2012</v>
      </c>
      <c r="FA544" s="491"/>
      <c r="FB544" s="489" t="str">
        <f>FB$4</f>
        <v>2013</v>
      </c>
      <c r="FC544" s="491"/>
      <c r="FD544" s="489">
        <f>FD$4</f>
        <v>2014</v>
      </c>
      <c r="FE544" s="491"/>
      <c r="FF544" s="489" t="str">
        <f>FF$4</f>
        <v>2015</v>
      </c>
      <c r="FG544" s="491"/>
      <c r="FH544" s="489">
        <f>FH$4</f>
        <v>2016</v>
      </c>
      <c r="FI544" s="491"/>
      <c r="FJ544" s="489">
        <f>FJ$4</f>
        <v>2017</v>
      </c>
      <c r="FK544" s="491"/>
      <c r="FL544" s="489" t="str">
        <f>FL$4</f>
        <v>2018E</v>
      </c>
      <c r="FM544" s="491"/>
      <c r="FN544" s="489" t="str">
        <f>FN$4</f>
        <v>2019E</v>
      </c>
      <c r="FO544" s="491"/>
      <c r="FP544" s="489" t="str">
        <f>FP$4</f>
        <v>2020E</v>
      </c>
      <c r="FQ544" s="491"/>
      <c r="FR544" s="489" t="str">
        <f>FR$4</f>
        <v>2021E</v>
      </c>
      <c r="FS544" s="489" t="str">
        <f>FS$4</f>
        <v>CAGR</v>
      </c>
      <c r="FT544" s="349"/>
    </row>
    <row r="545" spans="1:176" ht="12.75" hidden="1" customHeight="1" outlineLevel="1" x14ac:dyDescent="0.2">
      <c r="A545" s="493"/>
      <c r="B545" s="494" t="str">
        <f>+B$5</f>
        <v>1Q03</v>
      </c>
      <c r="C545" s="495" t="str">
        <f>C$5</f>
        <v>% Chg</v>
      </c>
      <c r="D545" s="494" t="str">
        <f>+D$5</f>
        <v>2Q03</v>
      </c>
      <c r="E545" s="495" t="str">
        <f>E$5</f>
        <v>% Chg</v>
      </c>
      <c r="F545" s="494" t="str">
        <f>+F$5</f>
        <v>3Q03</v>
      </c>
      <c r="G545" s="495" t="str">
        <f>G$5</f>
        <v>% Chg</v>
      </c>
      <c r="H545" s="494" t="str">
        <f>+H$5</f>
        <v>4Q03</v>
      </c>
      <c r="I545" s="495" t="str">
        <f>I$5</f>
        <v>% Chg</v>
      </c>
      <c r="J545" s="494" t="str">
        <f>+J$5</f>
        <v>1Q04</v>
      </c>
      <c r="K545" s="495" t="str">
        <f>K$5</f>
        <v>% Chg</v>
      </c>
      <c r="L545" s="494" t="str">
        <f>+L$5</f>
        <v>2Q04</v>
      </c>
      <c r="M545" s="495" t="str">
        <f>M$5</f>
        <v>% Chg</v>
      </c>
      <c r="N545" s="494" t="str">
        <f>+N$5</f>
        <v>3Q04</v>
      </c>
      <c r="O545" s="495" t="str">
        <f>O$5</f>
        <v>% Chg</v>
      </c>
      <c r="P545" s="494" t="str">
        <f>+P$5</f>
        <v>4Q04</v>
      </c>
      <c r="Q545" s="495" t="str">
        <f>Q$5</f>
        <v>% Chg</v>
      </c>
      <c r="R545" s="494" t="str">
        <f>+R$5</f>
        <v>1Q05</v>
      </c>
      <c r="S545" s="495" t="str">
        <f>S$5</f>
        <v>% Chg</v>
      </c>
      <c r="T545" s="494" t="str">
        <f>+T$5</f>
        <v>2Q05</v>
      </c>
      <c r="U545" s="495" t="str">
        <f>U$5</f>
        <v>% Chg</v>
      </c>
      <c r="V545" s="494" t="str">
        <f>+V$5</f>
        <v>3Q05</v>
      </c>
      <c r="W545" s="495" t="str">
        <f>W$5</f>
        <v>% Chg</v>
      </c>
      <c r="X545" s="494" t="str">
        <f>+X$5</f>
        <v>4Q05</v>
      </c>
      <c r="Y545" s="495" t="str">
        <f>Y$5</f>
        <v>% Chg</v>
      </c>
      <c r="Z545" s="494" t="str">
        <f>+Z$5</f>
        <v>1Q06</v>
      </c>
      <c r="AA545" s="495" t="str">
        <f>AA$5</f>
        <v>% Chg</v>
      </c>
      <c r="AB545" s="494" t="str">
        <f>+AB$5</f>
        <v>2Q06</v>
      </c>
      <c r="AC545" s="495" t="str">
        <f>AC$5</f>
        <v>% Chg</v>
      </c>
      <c r="AD545" s="494" t="str">
        <f>+AD$5</f>
        <v>3Q06</v>
      </c>
      <c r="AE545" s="495" t="str">
        <f>AE$5</f>
        <v>% Chg</v>
      </c>
      <c r="AF545" s="494" t="str">
        <f>+AF$5</f>
        <v>4Q06</v>
      </c>
      <c r="AG545" s="495" t="str">
        <f>AG$5</f>
        <v>% Chg</v>
      </c>
      <c r="AH545" s="494" t="str">
        <f>+AH$5</f>
        <v>1Q07</v>
      </c>
      <c r="AI545" s="496" t="str">
        <f>AI$5</f>
        <v>% Chg</v>
      </c>
      <c r="AJ545" s="494" t="str">
        <f>+AJ$5</f>
        <v>2Q07</v>
      </c>
      <c r="AK545" s="496" t="str">
        <f>AK$5</f>
        <v>% Chg</v>
      </c>
      <c r="AL545" s="494" t="str">
        <f>+AL$5</f>
        <v>3Q07</v>
      </c>
      <c r="AM545" s="496" t="str">
        <f>AM$5</f>
        <v>% Chg</v>
      </c>
      <c r="AN545" s="494" t="str">
        <f>+AN$5</f>
        <v>4Q07</v>
      </c>
      <c r="AO545" s="496" t="str">
        <f>AO$5</f>
        <v>% Chg</v>
      </c>
      <c r="AP545" s="494" t="str">
        <f>+AP$5</f>
        <v>1Q08</v>
      </c>
      <c r="AQ545" s="496" t="str">
        <f>AQ$5</f>
        <v>% Chg</v>
      </c>
      <c r="AR545" s="494" t="str">
        <f>+AR$5</f>
        <v>2Q08</v>
      </c>
      <c r="AS545" s="496" t="str">
        <f>AS$5</f>
        <v>% Chg</v>
      </c>
      <c r="AT545" s="494" t="str">
        <f>+AT$5</f>
        <v>3Q08</v>
      </c>
      <c r="AU545" s="496" t="str">
        <f>AU$5</f>
        <v>% Chg</v>
      </c>
      <c r="AV545" s="494" t="str">
        <f>+AV$5</f>
        <v>4Q08</v>
      </c>
      <c r="AW545" s="496" t="str">
        <f>AW$5</f>
        <v>% Chg</v>
      </c>
      <c r="AX545" s="494" t="str">
        <f>+AX$5</f>
        <v>1Q09</v>
      </c>
      <c r="AY545" s="496" t="str">
        <f>AY$5</f>
        <v>% Chg</v>
      </c>
      <c r="AZ545" s="494" t="str">
        <f>+AZ$5</f>
        <v>2Q09</v>
      </c>
      <c r="BA545" s="496" t="str">
        <f>BA$5</f>
        <v>% Chg</v>
      </c>
      <c r="BB545" s="494" t="str">
        <f>+BB$5</f>
        <v>3Q09</v>
      </c>
      <c r="BC545" s="496" t="str">
        <f>BC$5</f>
        <v>% Chg</v>
      </c>
      <c r="BD545" s="494" t="str">
        <f>+BD$5</f>
        <v>4Q09</v>
      </c>
      <c r="BE545" s="496" t="str">
        <f>BE$5</f>
        <v>% Chg</v>
      </c>
      <c r="BF545" s="494" t="str">
        <f>+BF$5</f>
        <v>1Q10</v>
      </c>
      <c r="BG545" s="496" t="str">
        <f>BG$5</f>
        <v>% Chg</v>
      </c>
      <c r="BH545" s="494" t="str">
        <f>+BH$5</f>
        <v>2Q10</v>
      </c>
      <c r="BI545" s="496" t="str">
        <f>BI$5</f>
        <v>% Chg</v>
      </c>
      <c r="BJ545" s="494" t="str">
        <f>+BJ$5</f>
        <v>3Q10</v>
      </c>
      <c r="BK545" s="496" t="str">
        <f>BK$5</f>
        <v>% Chg</v>
      </c>
      <c r="BL545" s="494" t="str">
        <f>+BL$5</f>
        <v>4Q10</v>
      </c>
      <c r="BM545" s="496" t="str">
        <f>BM$5</f>
        <v>% Chg</v>
      </c>
      <c r="BN545" s="494" t="str">
        <f>+BN$5</f>
        <v>1Q11</v>
      </c>
      <c r="BO545" s="496" t="str">
        <f>BO$5</f>
        <v>% Chg</v>
      </c>
      <c r="BP545" s="494" t="str">
        <f>+BP$5</f>
        <v>2Q11</v>
      </c>
      <c r="BQ545" s="496" t="str">
        <f>BQ$5</f>
        <v>% Chg</v>
      </c>
      <c r="BR545" s="494" t="str">
        <f>+BR$5</f>
        <v>3Q11</v>
      </c>
      <c r="BS545" s="496" t="str">
        <f>BS$5</f>
        <v>% Chg</v>
      </c>
      <c r="BT545" s="494" t="str">
        <f>+BT$5</f>
        <v>4Q11</v>
      </c>
      <c r="BU545" s="496" t="str">
        <f>BU$5</f>
        <v>% Chg</v>
      </c>
      <c r="BV545" s="494" t="str">
        <f>+BV$5</f>
        <v>1Q12</v>
      </c>
      <c r="BW545" s="496" t="str">
        <f>BW$5</f>
        <v>% Chg</v>
      </c>
      <c r="BX545" s="494" t="str">
        <f>+BX$5</f>
        <v>2Q12</v>
      </c>
      <c r="BY545" s="496" t="str">
        <f>BY$5</f>
        <v>% Chg</v>
      </c>
      <c r="BZ545" s="494" t="str">
        <f>+BZ$5</f>
        <v>3Q12</v>
      </c>
      <c r="CA545" s="496" t="str">
        <f>CA$5</f>
        <v>% Chg</v>
      </c>
      <c r="CB545" s="494" t="str">
        <f>+CB$5</f>
        <v>4Q12</v>
      </c>
      <c r="CC545" s="496" t="str">
        <f>CC$5</f>
        <v>% Chg</v>
      </c>
      <c r="CD545" s="494" t="str">
        <f>+CD$5</f>
        <v>1Q13</v>
      </c>
      <c r="CE545" s="496" t="str">
        <f>CE$5</f>
        <v>% Chg</v>
      </c>
      <c r="CF545" s="494" t="str">
        <f>+CF$5</f>
        <v>2Q13</v>
      </c>
      <c r="CG545" s="496" t="str">
        <f>CG$5</f>
        <v>% Chg</v>
      </c>
      <c r="CH545" s="494" t="str">
        <f>+CH$5</f>
        <v>3Q13</v>
      </c>
      <c r="CI545" s="496" t="str">
        <f>CI$5</f>
        <v>% Chg</v>
      </c>
      <c r="CJ545" s="494" t="str">
        <f>+CJ$5</f>
        <v>4Q13</v>
      </c>
      <c r="CK545" s="496" t="str">
        <f>CK$5</f>
        <v>% Chg</v>
      </c>
      <c r="CL545" s="494" t="str">
        <f>+CL$5</f>
        <v>1Q14</v>
      </c>
      <c r="CM545" s="496" t="str">
        <f>CM$5</f>
        <v>% Chg</v>
      </c>
      <c r="CN545" s="494" t="str">
        <f>+CN$5</f>
        <v>2Q14</v>
      </c>
      <c r="CO545" s="496" t="str">
        <f>CO$5</f>
        <v>% Chg</v>
      </c>
      <c r="CP545" s="494" t="str">
        <f>+CP$5</f>
        <v>3Q14</v>
      </c>
      <c r="CQ545" s="496" t="str">
        <f>CQ$5</f>
        <v>% Chg</v>
      </c>
      <c r="CR545" s="494" t="str">
        <f>+CR$5</f>
        <v>4Q14</v>
      </c>
      <c r="CS545" s="496" t="str">
        <f>CS$5</f>
        <v>% Chg</v>
      </c>
      <c r="CT545" s="494" t="str">
        <f>+CT$5</f>
        <v>1Q15</v>
      </c>
      <c r="CU545" s="496" t="str">
        <f>CU$5</f>
        <v>% Chg</v>
      </c>
      <c r="CV545" s="494" t="str">
        <f>+CV$5</f>
        <v>2Q15</v>
      </c>
      <c r="CW545" s="496" t="str">
        <f>CW$5</f>
        <v>% Chg</v>
      </c>
      <c r="CX545" s="494" t="str">
        <f>+CX$5</f>
        <v>3Q15</v>
      </c>
      <c r="CY545" s="496" t="str">
        <f>CY$5</f>
        <v>% Chg</v>
      </c>
      <c r="CZ545" s="494" t="str">
        <f>+CZ$5</f>
        <v>4Q15</v>
      </c>
      <c r="DA545" s="496" t="str">
        <f>DA$5</f>
        <v>% Chg</v>
      </c>
      <c r="DB545" s="494" t="str">
        <f>+DB$5</f>
        <v>1Q16</v>
      </c>
      <c r="DC545" s="496" t="str">
        <f>DC$5</f>
        <v>% Chg</v>
      </c>
      <c r="DD545" s="494" t="str">
        <f>+DD$5</f>
        <v>2Q16</v>
      </c>
      <c r="DE545" s="496" t="str">
        <f>DE$5</f>
        <v>% Chg</v>
      </c>
      <c r="DF545" s="494" t="str">
        <f>+DF$5</f>
        <v>3Q16</v>
      </c>
      <c r="DG545" s="496" t="str">
        <f>DG$5</f>
        <v>% Chg</v>
      </c>
      <c r="DH545" s="494" t="str">
        <f>+DH$5</f>
        <v>4Q16</v>
      </c>
      <c r="DI545" s="496" t="str">
        <f>DI$5</f>
        <v>% Chg</v>
      </c>
      <c r="DJ545" s="494" t="str">
        <f>+DJ$5</f>
        <v>1Q17</v>
      </c>
      <c r="DK545" s="496" t="str">
        <f>DK$5</f>
        <v>% Chg</v>
      </c>
      <c r="DL545" s="494" t="str">
        <f>+DL$5</f>
        <v>2Q17</v>
      </c>
      <c r="DM545" s="496" t="str">
        <f>DM$5</f>
        <v>% Chg</v>
      </c>
      <c r="DN545" s="494" t="str">
        <f>+DN$5</f>
        <v>3Q17</v>
      </c>
      <c r="DO545" s="496" t="str">
        <f>DO$5</f>
        <v>% Chg</v>
      </c>
      <c r="DP545" s="494" t="str">
        <f>+DP$5</f>
        <v>4Q17</v>
      </c>
      <c r="DQ545" s="496" t="str">
        <f>DQ$5</f>
        <v>% Chg</v>
      </c>
      <c r="DR545" s="494" t="str">
        <f>+DR$5</f>
        <v>1Q18E</v>
      </c>
      <c r="DS545" s="496" t="str">
        <f>DS$5</f>
        <v>% Chg</v>
      </c>
      <c r="DT545" s="494" t="str">
        <f>+DT$5</f>
        <v>2Q18E</v>
      </c>
      <c r="DU545" s="496" t="str">
        <f>DU$5</f>
        <v>% Chg</v>
      </c>
      <c r="DV545" s="494" t="str">
        <f>+DV$5</f>
        <v>3Q18E</v>
      </c>
      <c r="DW545" s="496" t="str">
        <f>DW$5</f>
        <v>% Chg</v>
      </c>
      <c r="DX545" s="494" t="str">
        <f>+DX$5</f>
        <v>4Q18E</v>
      </c>
      <c r="DY545" s="496" t="str">
        <f>DY$5</f>
        <v>% Chg</v>
      </c>
      <c r="DZ545" s="494"/>
      <c r="EA545" s="496"/>
      <c r="EB545" s="495" t="str">
        <f>EB$5</f>
        <v>% Chg</v>
      </c>
      <c r="EC545" s="494" t="str">
        <f t="shared" ref="EC545:FQ545" si="31">+EC$5</f>
        <v>2002</v>
      </c>
      <c r="ED545" s="495" t="str">
        <f>ED$5</f>
        <v>% Chg</v>
      </c>
      <c r="EE545" s="494" t="str">
        <f t="shared" si="31"/>
        <v>2003</v>
      </c>
      <c r="EF545" s="495" t="str">
        <f>EF$5</f>
        <v>% Chg</v>
      </c>
      <c r="EG545" s="494">
        <f t="shared" si="31"/>
        <v>2004</v>
      </c>
      <c r="EH545" s="495" t="str">
        <f>EH$5</f>
        <v>% Chg</v>
      </c>
      <c r="EI545" s="494" t="str">
        <f t="shared" si="31"/>
        <v>2005</v>
      </c>
      <c r="EJ545" s="496" t="str">
        <f>EJ$5</f>
        <v>% Chg</v>
      </c>
      <c r="EK545" s="494" t="str">
        <f t="shared" si="31"/>
        <v>2006</v>
      </c>
      <c r="EL545" s="496" t="str">
        <f>EL$5</f>
        <v>% Chg</v>
      </c>
      <c r="EM545" s="494">
        <f t="shared" si="31"/>
        <v>2007</v>
      </c>
      <c r="EN545" s="496" t="str">
        <f>EN$5</f>
        <v>% Chg</v>
      </c>
      <c r="EO545" s="494" t="str">
        <f t="shared" si="31"/>
        <v>2008</v>
      </c>
      <c r="EP545" s="496" t="str">
        <f>EP$5</f>
        <v>% Chg</v>
      </c>
      <c r="EQ545" s="494" t="str">
        <f t="shared" si="31"/>
        <v>2009</v>
      </c>
      <c r="ER545" s="496" t="str">
        <f>ER$5</f>
        <v>% Chg</v>
      </c>
      <c r="ES545" s="494" t="str">
        <f t="shared" si="31"/>
        <v>2010</v>
      </c>
      <c r="ET545" s="496" t="str">
        <f>ET$5</f>
        <v>% Chg</v>
      </c>
      <c r="EU545" s="494" t="str">
        <f t="shared" si="31"/>
        <v>2011</v>
      </c>
      <c r="EV545" s="496" t="str">
        <f>EV$5</f>
        <v>% Chg</v>
      </c>
      <c r="EW545" s="494" t="str">
        <f t="shared" si="31"/>
        <v>2012</v>
      </c>
      <c r="EX545" s="496" t="str">
        <f>EX$5</f>
        <v>% Chg</v>
      </c>
      <c r="EY545" s="494" t="str">
        <f t="shared" si="31"/>
        <v>2013</v>
      </c>
      <c r="EZ545" s="496" t="str">
        <f>EZ$5</f>
        <v>% Chg</v>
      </c>
      <c r="FA545" s="494">
        <f t="shared" si="31"/>
        <v>2014</v>
      </c>
      <c r="FB545" s="496" t="str">
        <f>FB$5</f>
        <v>% Chg</v>
      </c>
      <c r="FC545" s="494" t="str">
        <f t="shared" si="31"/>
        <v>2015</v>
      </c>
      <c r="FD545" s="496" t="str">
        <f>FD$5</f>
        <v>% Chg</v>
      </c>
      <c r="FE545" s="494">
        <f t="shared" si="31"/>
        <v>2016</v>
      </c>
      <c r="FF545" s="496" t="str">
        <f>FF$5</f>
        <v>% Chg</v>
      </c>
      <c r="FG545" s="494">
        <f t="shared" si="31"/>
        <v>2017</v>
      </c>
      <c r="FH545" s="496" t="str">
        <f>FH$5</f>
        <v>% Chg</v>
      </c>
      <c r="FI545" s="494" t="str">
        <f t="shared" si="31"/>
        <v>2018E</v>
      </c>
      <c r="FJ545" s="496" t="str">
        <f>FJ$5</f>
        <v>% Chg</v>
      </c>
      <c r="FK545" s="494" t="str">
        <f t="shared" si="31"/>
        <v>2019E</v>
      </c>
      <c r="FL545" s="496" t="str">
        <f>FL$5</f>
        <v>% Chg</v>
      </c>
      <c r="FM545" s="494" t="str">
        <f t="shared" si="31"/>
        <v>2020E</v>
      </c>
      <c r="FN545" s="496" t="str">
        <f>FN$5</f>
        <v>% Chg</v>
      </c>
      <c r="FO545" s="494" t="str">
        <f t="shared" si="31"/>
        <v>2021E</v>
      </c>
      <c r="FP545" s="496" t="str">
        <f>FP$5</f>
        <v>% Chg</v>
      </c>
      <c r="FQ545" s="494" t="str">
        <f t="shared" si="31"/>
        <v>2022E</v>
      </c>
      <c r="FR545" s="496" t="str">
        <f>FR$5</f>
        <v>% Chg</v>
      </c>
      <c r="FS545" s="496" t="str">
        <f>FS$5</f>
        <v>(%)</v>
      </c>
      <c r="FT545" s="349"/>
    </row>
    <row r="546" spans="1:176" ht="12.75" hidden="1" customHeight="1" outlineLevel="1" x14ac:dyDescent="0.2">
      <c r="A546" s="70"/>
      <c r="B546" s="497"/>
      <c r="C546" s="155"/>
      <c r="D546" s="497"/>
      <c r="E546" s="155"/>
      <c r="F546" s="497"/>
      <c r="G546" s="155"/>
      <c r="H546" s="497"/>
      <c r="I546" s="155"/>
      <c r="J546" s="497"/>
      <c r="K546" s="155"/>
      <c r="L546" s="497"/>
      <c r="M546" s="155"/>
      <c r="N546" s="497"/>
      <c r="O546" s="155"/>
      <c r="P546" s="497"/>
      <c r="Q546" s="155"/>
      <c r="R546" s="497"/>
      <c r="S546" s="155"/>
      <c r="T546" s="497"/>
      <c r="U546" s="155"/>
      <c r="V546" s="497"/>
      <c r="W546" s="155"/>
      <c r="X546" s="497"/>
      <c r="Y546" s="155"/>
      <c r="Z546" s="497"/>
      <c r="AA546" s="155"/>
      <c r="AB546" s="497"/>
      <c r="AC546" s="155"/>
      <c r="AD546" s="497"/>
      <c r="AE546" s="155"/>
      <c r="AF546" s="497"/>
      <c r="AG546" s="155"/>
      <c r="AH546" s="497"/>
      <c r="AI546" s="240"/>
      <c r="AJ546" s="497"/>
      <c r="AK546" s="240"/>
      <c r="AL546" s="497"/>
      <c r="AM546" s="240"/>
      <c r="AN546" s="497"/>
      <c r="AO546" s="240"/>
      <c r="AP546" s="497"/>
      <c r="AQ546" s="240"/>
      <c r="AR546" s="497"/>
      <c r="AS546" s="240"/>
      <c r="AT546" s="497"/>
      <c r="AU546" s="240"/>
      <c r="AV546" s="497"/>
      <c r="AW546" s="240"/>
      <c r="AX546" s="497"/>
      <c r="AY546" s="240"/>
      <c r="AZ546" s="497"/>
      <c r="BA546" s="240"/>
      <c r="BB546" s="497"/>
      <c r="BC546" s="240"/>
      <c r="BD546" s="497"/>
      <c r="BE546" s="240"/>
      <c r="BF546" s="497"/>
      <c r="BG546" s="240"/>
      <c r="BH546" s="497"/>
      <c r="BI546" s="240"/>
      <c r="BJ546" s="497"/>
      <c r="BK546" s="240"/>
      <c r="BL546" s="497"/>
      <c r="BM546" s="240"/>
      <c r="BN546" s="497"/>
      <c r="BO546" s="240"/>
      <c r="BP546" s="497"/>
      <c r="BQ546" s="240"/>
      <c r="BR546" s="497"/>
      <c r="BS546" s="240"/>
      <c r="BT546" s="497"/>
      <c r="BU546" s="240"/>
      <c r="BV546" s="497"/>
      <c r="BW546" s="240"/>
      <c r="BX546" s="497"/>
      <c r="BY546" s="240"/>
      <c r="BZ546" s="497"/>
      <c r="CA546" s="240"/>
      <c r="CB546" s="497"/>
      <c r="CC546" s="240"/>
      <c r="CD546" s="497"/>
      <c r="CE546" s="240"/>
      <c r="CF546" s="497"/>
      <c r="CG546" s="240"/>
      <c r="CH546" s="497"/>
      <c r="CI546" s="240"/>
      <c r="CJ546" s="497"/>
      <c r="CK546" s="240"/>
      <c r="CL546" s="497"/>
      <c r="CM546" s="240"/>
      <c r="CN546" s="497"/>
      <c r="CO546" s="240"/>
      <c r="CP546" s="497"/>
      <c r="CQ546" s="240"/>
      <c r="CR546" s="497"/>
      <c r="CS546" s="240"/>
      <c r="CT546" s="497"/>
      <c r="CU546" s="240"/>
      <c r="CV546" s="497"/>
      <c r="CW546" s="240"/>
      <c r="CX546" s="497"/>
      <c r="CY546" s="240"/>
      <c r="CZ546" s="497"/>
      <c r="DA546" s="240"/>
      <c r="DB546" s="497"/>
      <c r="DC546" s="240"/>
      <c r="DD546" s="497"/>
      <c r="DE546" s="240"/>
      <c r="DF546" s="497"/>
      <c r="DG546" s="240"/>
      <c r="DH546" s="497"/>
      <c r="DI546" s="240"/>
      <c r="DJ546" s="497"/>
      <c r="DK546" s="240"/>
      <c r="DL546" s="497"/>
      <c r="DM546" s="240"/>
      <c r="DN546" s="497"/>
      <c r="DO546" s="240"/>
      <c r="DP546" s="497"/>
      <c r="DQ546" s="240"/>
      <c r="DR546" s="497"/>
      <c r="DS546" s="240"/>
      <c r="DT546" s="497"/>
      <c r="DU546" s="240"/>
      <c r="DV546" s="497"/>
      <c r="DW546" s="240"/>
      <c r="DX546" s="497"/>
      <c r="DY546" s="240"/>
      <c r="DZ546" s="497"/>
      <c r="EA546" s="240"/>
      <c r="EB546" s="155"/>
      <c r="EC546" s="497"/>
      <c r="ED546" s="155"/>
      <c r="EE546" s="497"/>
      <c r="EF546" s="155"/>
      <c r="EG546" s="497"/>
      <c r="EH546" s="155"/>
      <c r="EI546" s="497"/>
      <c r="EJ546" s="240"/>
      <c r="EK546" s="497"/>
      <c r="EL546" s="240"/>
      <c r="EM546" s="497"/>
      <c r="EN546" s="240"/>
      <c r="EO546" s="497"/>
      <c r="EP546" s="240"/>
      <c r="EQ546" s="497"/>
      <c r="ER546" s="240"/>
      <c r="ES546" s="497"/>
      <c r="ET546" s="240"/>
      <c r="EU546" s="497"/>
      <c r="EV546" s="240"/>
      <c r="EW546" s="497"/>
      <c r="EX546" s="240"/>
      <c r="EY546" s="497"/>
      <c r="EZ546" s="240"/>
      <c r="FA546" s="497"/>
      <c r="FB546" s="240"/>
      <c r="FC546" s="497"/>
      <c r="FD546" s="240"/>
      <c r="FE546" s="497"/>
      <c r="FF546" s="240"/>
      <c r="FG546" s="497"/>
      <c r="FH546" s="240"/>
      <c r="FI546" s="497"/>
      <c r="FJ546" s="240"/>
      <c r="FK546" s="497"/>
      <c r="FL546" s="240"/>
      <c r="FM546" s="497"/>
      <c r="FN546" s="240"/>
      <c r="FO546" s="497"/>
      <c r="FP546" s="240"/>
      <c r="FQ546" s="497"/>
      <c r="FR546" s="240"/>
      <c r="FS546" s="240"/>
    </row>
    <row r="547" spans="1:176" ht="12.75" hidden="1" customHeight="1" outlineLevel="1" x14ac:dyDescent="0.2">
      <c r="A547" s="70" t="s">
        <v>128</v>
      </c>
      <c r="B547" s="510"/>
      <c r="C547" s="487"/>
      <c r="D547" s="510"/>
      <c r="E547" s="487"/>
      <c r="F547" s="510"/>
      <c r="G547" s="487"/>
      <c r="H547" s="510"/>
      <c r="I547" s="487"/>
      <c r="J547" s="510"/>
      <c r="K547" s="487"/>
      <c r="L547" s="510"/>
      <c r="M547" s="487"/>
      <c r="N547" s="510"/>
      <c r="O547" s="487"/>
      <c r="P547" s="510"/>
      <c r="Q547" s="487"/>
      <c r="R547" s="510"/>
      <c r="S547" s="487"/>
      <c r="T547" s="510"/>
      <c r="U547" s="487"/>
      <c r="V547" s="510"/>
      <c r="W547" s="487"/>
      <c r="X547" s="510"/>
      <c r="Y547" s="487"/>
      <c r="Z547" s="510"/>
      <c r="AA547" s="487"/>
      <c r="AB547" s="510"/>
      <c r="AC547" s="487"/>
      <c r="AD547" s="510"/>
      <c r="AE547" s="487"/>
      <c r="AF547" s="510"/>
      <c r="AG547" s="487"/>
      <c r="AH547" s="510"/>
      <c r="AI547" s="486"/>
      <c r="AJ547" s="510"/>
      <c r="AK547" s="486"/>
      <c r="AL547" s="510"/>
      <c r="AM547" s="486"/>
      <c r="AN547" s="510"/>
      <c r="AO547" s="486"/>
      <c r="AP547" s="510"/>
      <c r="AQ547" s="486"/>
      <c r="AR547" s="510"/>
      <c r="AS547" s="486"/>
      <c r="AT547" s="510"/>
      <c r="AU547" s="486"/>
      <c r="AV547" s="510"/>
      <c r="AW547" s="486"/>
      <c r="AX547" s="510"/>
      <c r="AY547" s="486"/>
      <c r="AZ547" s="510"/>
      <c r="BA547" s="486"/>
      <c r="BB547" s="510"/>
      <c r="BC547" s="486"/>
      <c r="BD547" s="510"/>
      <c r="BE547" s="486"/>
      <c r="BF547" s="510"/>
      <c r="BG547" s="486"/>
      <c r="BH547" s="510"/>
      <c r="BI547" s="486"/>
      <c r="BJ547" s="510"/>
      <c r="BK547" s="486"/>
      <c r="BL547" s="510"/>
      <c r="BM547" s="486"/>
      <c r="BN547" s="510"/>
      <c r="BO547" s="486"/>
      <c r="BP547" s="510"/>
      <c r="BQ547" s="486"/>
      <c r="BR547" s="510"/>
      <c r="BS547" s="486"/>
      <c r="BT547" s="510"/>
      <c r="BU547" s="486"/>
      <c r="BV547" s="510"/>
      <c r="BW547" s="486"/>
      <c r="BX547" s="510"/>
      <c r="BY547" s="486"/>
      <c r="BZ547" s="510"/>
      <c r="CA547" s="486"/>
      <c r="CB547" s="510"/>
      <c r="CC547" s="486"/>
      <c r="CD547" s="510"/>
      <c r="CE547" s="486"/>
      <c r="CF547" s="510"/>
      <c r="CG547" s="486"/>
      <c r="CH547" s="510"/>
      <c r="CI547" s="486"/>
      <c r="CJ547" s="510"/>
      <c r="CK547" s="486"/>
      <c r="CL547" s="510"/>
      <c r="CM547" s="486"/>
      <c r="CN547" s="510"/>
      <c r="CO547" s="486"/>
      <c r="CP547" s="510"/>
      <c r="CQ547" s="486"/>
      <c r="CR547" s="510"/>
      <c r="CS547" s="486"/>
      <c r="CT547" s="510"/>
      <c r="CU547" s="486"/>
      <c r="CV547" s="510"/>
      <c r="CW547" s="486"/>
      <c r="CX547" s="510"/>
      <c r="CY547" s="486"/>
      <c r="CZ547" s="510"/>
      <c r="DA547" s="486"/>
      <c r="DB547" s="510"/>
      <c r="DC547" s="486"/>
      <c r="DD547" s="510"/>
      <c r="DE547" s="486"/>
      <c r="DF547" s="510"/>
      <c r="DG547" s="486"/>
      <c r="DH547" s="510"/>
      <c r="DI547" s="486"/>
      <c r="DJ547" s="510"/>
      <c r="DK547" s="486"/>
      <c r="DL547" s="510"/>
      <c r="DM547" s="486"/>
      <c r="DN547" s="510"/>
      <c r="DO547" s="486"/>
      <c r="DP547" s="510"/>
      <c r="DQ547" s="486"/>
      <c r="DR547" s="510"/>
      <c r="DS547" s="486"/>
      <c r="DT547" s="510"/>
      <c r="DU547" s="486"/>
      <c r="DV547" s="510"/>
      <c r="DW547" s="486"/>
      <c r="DX547" s="510"/>
      <c r="DY547" s="486"/>
      <c r="DZ547" s="510"/>
      <c r="EA547" s="486"/>
      <c r="EB547" s="487"/>
      <c r="EC547" s="510"/>
      <c r="ED547" s="487"/>
      <c r="EE547" s="510"/>
      <c r="EF547" s="487"/>
      <c r="EG547" s="510"/>
      <c r="EH547" s="487"/>
      <c r="EI547" s="510"/>
      <c r="EJ547" s="486"/>
      <c r="EK547" s="510"/>
      <c r="EL547" s="486"/>
      <c r="EM547" s="510"/>
      <c r="EN547" s="486"/>
      <c r="EO547" s="510"/>
      <c r="EP547" s="486"/>
      <c r="EQ547" s="510"/>
      <c r="ER547" s="486"/>
      <c r="ES547" s="510"/>
      <c r="ET547" s="486"/>
      <c r="EU547" s="510"/>
      <c r="EV547" s="486"/>
      <c r="EW547" s="510"/>
      <c r="EX547" s="486"/>
      <c r="EY547" s="510"/>
      <c r="EZ547" s="486"/>
      <c r="FA547" s="510"/>
      <c r="FB547" s="486"/>
      <c r="FC547" s="510"/>
      <c r="FD547" s="486"/>
      <c r="FE547" s="510"/>
      <c r="FF547" s="486"/>
      <c r="FG547" s="510"/>
      <c r="FH547" s="486"/>
      <c r="FI547" s="510"/>
      <c r="FJ547" s="486"/>
      <c r="FK547" s="510"/>
      <c r="FL547" s="486"/>
      <c r="FM547" s="510"/>
      <c r="FN547" s="486"/>
      <c r="FO547" s="510"/>
      <c r="FP547" s="486"/>
      <c r="FQ547" s="510"/>
      <c r="FR547" s="486"/>
      <c r="FS547" s="486"/>
    </row>
    <row r="548" spans="1:176" ht="12.75" hidden="1" customHeight="1" outlineLevel="1" x14ac:dyDescent="0.2">
      <c r="A548" s="77" t="str">
        <f>INPUT!B441</f>
        <v>Net Investment Income</v>
      </c>
      <c r="B548" s="75">
        <f>INPUT!AA441</f>
        <v>10</v>
      </c>
      <c r="C548" s="155">
        <f>INPUT!AB441</f>
        <v>25</v>
      </c>
      <c r="D548" s="75">
        <f>INPUT!AC441</f>
        <v>10</v>
      </c>
      <c r="E548" s="155">
        <f>INPUT!AD441</f>
        <v>0</v>
      </c>
      <c r="F548" s="75">
        <f>INPUT!AE441</f>
        <v>6</v>
      </c>
      <c r="G548" s="155">
        <f>INPUT!AF441</f>
        <v>-33.333333333333343</v>
      </c>
      <c r="H548" s="75">
        <f>INPUT!AG441</f>
        <v>-23</v>
      </c>
      <c r="I548" s="155" t="str">
        <f>INPUT!AH441</f>
        <v>NM</v>
      </c>
      <c r="J548" s="75">
        <f>INPUT!AI441</f>
        <v>3</v>
      </c>
      <c r="K548" s="155" t="str">
        <f>INPUT!AJ441</f>
        <v>NM</v>
      </c>
      <c r="L548" s="75">
        <f>INPUT!AK441</f>
        <v>4</v>
      </c>
      <c r="M548" s="155" t="str">
        <f>INPUT!AL441</f>
        <v>NM</v>
      </c>
      <c r="N548" s="75">
        <f>INPUT!AM441</f>
        <v>4</v>
      </c>
      <c r="O548" s="155">
        <f>INPUT!AN441</f>
        <v>-33.333333333333343</v>
      </c>
      <c r="P548" s="75">
        <f>INPUT!AO441</f>
        <v>3</v>
      </c>
      <c r="Q548" s="155" t="str">
        <f>INPUT!AP441</f>
        <v>NM</v>
      </c>
      <c r="R548" s="75">
        <f>INPUT!AQ441</f>
        <v>5</v>
      </c>
      <c r="S548" s="155">
        <f>INPUT!AR441</f>
        <v>66.666666666666686</v>
      </c>
      <c r="T548" s="75">
        <f>INPUT!AS441</f>
        <v>5</v>
      </c>
      <c r="U548" s="155">
        <f>INPUT!AT441</f>
        <v>25</v>
      </c>
      <c r="V548" s="75">
        <f>INPUT!AU441</f>
        <v>8</v>
      </c>
      <c r="W548" s="155">
        <f>INPUT!AV441</f>
        <v>100</v>
      </c>
      <c r="X548" s="75">
        <f>INPUT!AW441</f>
        <v>7</v>
      </c>
      <c r="Y548" s="155" t="str">
        <f>INPUT!AX441</f>
        <v>NM</v>
      </c>
      <c r="Z548" s="75">
        <f>INPUT!AY441</f>
        <v>7</v>
      </c>
      <c r="AA548" s="155">
        <f>INPUT!AZ441</f>
        <v>40</v>
      </c>
      <c r="AB548" s="75">
        <f>INPUT!BA441</f>
        <v>6</v>
      </c>
      <c r="AC548" s="155">
        <f>INPUT!BB441</f>
        <v>20</v>
      </c>
      <c r="AD548" s="75">
        <f>INPUT!BC441</f>
        <v>7</v>
      </c>
      <c r="AE548" s="155">
        <f>INPUT!BD441</f>
        <v>-12.5</v>
      </c>
      <c r="AF548" s="75">
        <f>INPUT!BE441</f>
        <v>11</v>
      </c>
      <c r="AG548" s="155">
        <f>INPUT!BF441</f>
        <v>57.142857142857139</v>
      </c>
      <c r="AH548" s="75">
        <f>INPUT!BG441</f>
        <v>8</v>
      </c>
      <c r="AI548" s="240">
        <f>INPUT!BH441</f>
        <v>14.285714285714278</v>
      </c>
      <c r="AJ548" s="75">
        <f>INPUT!BI441</f>
        <v>9</v>
      </c>
      <c r="AK548" s="240">
        <f>INPUT!BJ441</f>
        <v>50</v>
      </c>
      <c r="AL548" s="75">
        <f>INPUT!BK441</f>
        <v>11</v>
      </c>
      <c r="AM548" s="240">
        <f>INPUT!BL441</f>
        <v>57.142857142857139</v>
      </c>
      <c r="AN548" s="75">
        <f>INPUT!BM441</f>
        <v>8</v>
      </c>
      <c r="AO548" s="240">
        <f>INPUT!BN441</f>
        <v>-27.272727272727266</v>
      </c>
      <c r="AP548" s="75">
        <f>INPUT!BO441</f>
        <v>6</v>
      </c>
      <c r="AQ548" s="240">
        <f>INPUT!BP441</f>
        <v>-25</v>
      </c>
      <c r="AR548" s="75">
        <f>INPUT!BQ441</f>
        <v>8</v>
      </c>
      <c r="AS548" s="240">
        <f>INPUT!BR441</f>
        <v>-11.111111111111114</v>
      </c>
      <c r="AT548" s="75">
        <f>INPUT!BS441</f>
        <v>7</v>
      </c>
      <c r="AU548" s="240">
        <f>INPUT!BT441</f>
        <v>-36.363636363636367</v>
      </c>
      <c r="AV548" s="75">
        <f>INPUT!BU441</f>
        <v>8</v>
      </c>
      <c r="AW548" s="240">
        <f>INPUT!BV441</f>
        <v>0</v>
      </c>
      <c r="AX548" s="75"/>
      <c r="AY548" s="240"/>
      <c r="AZ548" s="75"/>
      <c r="BA548" s="240"/>
      <c r="BB548" s="75"/>
      <c r="BC548" s="240"/>
      <c r="BD548" s="75"/>
      <c r="BE548" s="240"/>
      <c r="BF548" s="75"/>
      <c r="BG548" s="240"/>
      <c r="BH548" s="75"/>
      <c r="BI548" s="240"/>
      <c r="BJ548" s="75"/>
      <c r="BK548" s="240"/>
      <c r="BL548" s="75"/>
      <c r="BM548" s="240"/>
      <c r="BN548" s="75"/>
      <c r="BO548" s="240"/>
      <c r="BP548" s="75"/>
      <c r="BQ548" s="240"/>
      <c r="BR548" s="75"/>
      <c r="BS548" s="240"/>
      <c r="BT548" s="75"/>
      <c r="BU548" s="240"/>
      <c r="BV548" s="75"/>
      <c r="BW548" s="240"/>
      <c r="BX548" s="75"/>
      <c r="BY548" s="240"/>
      <c r="BZ548" s="75"/>
      <c r="CA548" s="240"/>
      <c r="CB548" s="75"/>
      <c r="CC548" s="240"/>
      <c r="CD548" s="75"/>
      <c r="CE548" s="240"/>
      <c r="CF548" s="75"/>
      <c r="CG548" s="240"/>
      <c r="CH548" s="75"/>
      <c r="CI548" s="240"/>
      <c r="CJ548" s="75"/>
      <c r="CK548" s="240"/>
      <c r="CL548" s="75"/>
      <c r="CM548" s="240"/>
      <c r="CN548" s="75"/>
      <c r="CO548" s="240"/>
      <c r="CP548" s="75"/>
      <c r="CQ548" s="240"/>
      <c r="CR548" s="75"/>
      <c r="CS548" s="240"/>
      <c r="CT548" s="75"/>
      <c r="CU548" s="240"/>
      <c r="CV548" s="75"/>
      <c r="CW548" s="240"/>
      <c r="CX548" s="75"/>
      <c r="CY548" s="240"/>
      <c r="CZ548" s="75"/>
      <c r="DA548" s="240"/>
      <c r="DB548" s="75"/>
      <c r="DC548" s="240"/>
      <c r="DD548" s="75"/>
      <c r="DE548" s="240"/>
      <c r="DF548" s="75"/>
      <c r="DG548" s="240"/>
      <c r="DH548" s="75"/>
      <c r="DI548" s="240"/>
      <c r="DJ548" s="75"/>
      <c r="DK548" s="240"/>
      <c r="DL548" s="75"/>
      <c r="DM548" s="240"/>
      <c r="DN548" s="75"/>
      <c r="DO548" s="240"/>
      <c r="DP548" s="75"/>
      <c r="DQ548" s="240"/>
      <c r="DR548" s="75"/>
      <c r="DS548" s="240"/>
      <c r="DT548" s="75"/>
      <c r="DU548" s="240"/>
      <c r="DV548" s="75"/>
      <c r="DW548" s="240"/>
      <c r="DX548" s="75"/>
      <c r="DY548" s="240"/>
      <c r="DZ548" s="75"/>
      <c r="EA548" s="240"/>
      <c r="EB548" s="155">
        <f>INPUT!FI441</f>
        <v>-50</v>
      </c>
      <c r="EC548" s="75">
        <f>INPUT!FJ441</f>
        <v>37</v>
      </c>
      <c r="ED548" s="155">
        <f>INPUT!FK441</f>
        <v>12.12121212121211</v>
      </c>
      <c r="EE548" s="75">
        <f>INPUT!FL441</f>
        <v>3</v>
      </c>
      <c r="EF548" s="155" t="str">
        <f>INPUT!FM441</f>
        <v>NM</v>
      </c>
      <c r="EG548" s="75">
        <f>INPUT!FN441</f>
        <v>14</v>
      </c>
      <c r="EH548" s="155" t="str">
        <f>INPUT!FO441</f>
        <v>NM</v>
      </c>
      <c r="EI548" s="75">
        <f>INPUT!FP441</f>
        <v>25</v>
      </c>
      <c r="EJ548" s="240">
        <f>INPUT!FQ441</f>
        <v>78.571428571428584</v>
      </c>
      <c r="EK548" s="75">
        <f>INPUT!FR441</f>
        <v>31</v>
      </c>
      <c r="EL548" s="240">
        <f>INPUT!FS441</f>
        <v>24</v>
      </c>
      <c r="EM548" s="75">
        <f>INPUT!FT441</f>
        <v>36</v>
      </c>
      <c r="EN548" s="240">
        <f>INPUT!FU441</f>
        <v>16.129032258064527</v>
      </c>
      <c r="EO548" s="75">
        <f>INPUT!FV441</f>
        <v>29</v>
      </c>
      <c r="EP548" s="240">
        <f>INPUT!FW441</f>
        <v>-19.444444444444443</v>
      </c>
      <c r="EQ548" s="75"/>
      <c r="ER548" s="240"/>
      <c r="ES548" s="75"/>
      <c r="ET548" s="240"/>
      <c r="EU548" s="75"/>
      <c r="EV548" s="240"/>
      <c r="EW548" s="75"/>
      <c r="EX548" s="240"/>
      <c r="EY548" s="75"/>
      <c r="EZ548" s="240"/>
      <c r="FA548" s="75"/>
      <c r="FB548" s="240"/>
      <c r="FC548" s="75"/>
      <c r="FD548" s="240"/>
      <c r="FE548" s="75"/>
      <c r="FF548" s="240"/>
      <c r="FG548" s="75"/>
      <c r="FH548" s="240"/>
      <c r="FI548" s="75"/>
      <c r="FJ548" s="240"/>
      <c r="FK548" s="75"/>
      <c r="FL548" s="240"/>
      <c r="FM548" s="75"/>
      <c r="FN548" s="240"/>
      <c r="FO548" s="75"/>
      <c r="FP548" s="240"/>
      <c r="FQ548" s="75"/>
      <c r="FR548" s="240"/>
      <c r="FS548" s="240"/>
    </row>
    <row r="549" spans="1:176" ht="12.75" hidden="1" customHeight="1" outlineLevel="1" x14ac:dyDescent="0.2">
      <c r="A549" s="77" t="str">
        <f>INPUT!B442</f>
        <v>Commissions, Fees and Other Income</v>
      </c>
      <c r="B549" s="75">
        <f>INPUT!AA442</f>
        <v>55</v>
      </c>
      <c r="C549" s="155">
        <f>INPUT!AB442</f>
        <v>-23.611111111111114</v>
      </c>
      <c r="D549" s="75">
        <f>INPUT!AC442</f>
        <v>59</v>
      </c>
      <c r="E549" s="155">
        <f>INPUT!AD442</f>
        <v>-16.901408450704224</v>
      </c>
      <c r="F549" s="75">
        <f>INPUT!AE442</f>
        <v>62</v>
      </c>
      <c r="G549" s="155">
        <f>INPUT!AF442</f>
        <v>-16.21621621621621</v>
      </c>
      <c r="H549" s="75">
        <f>INPUT!AG442</f>
        <v>59</v>
      </c>
      <c r="I549" s="155">
        <f>INPUT!AH442</f>
        <v>-16.901408450704224</v>
      </c>
      <c r="J549" s="75">
        <f>INPUT!AI442</f>
        <v>84</v>
      </c>
      <c r="K549" s="155">
        <f>INPUT!AJ442</f>
        <v>52.727272727272748</v>
      </c>
      <c r="L549" s="75">
        <f>INPUT!AK442</f>
        <v>110</v>
      </c>
      <c r="M549" s="155">
        <f>INPUT!AL442</f>
        <v>86.440677966101674</v>
      </c>
      <c r="N549" s="75">
        <f>INPUT!AM442</f>
        <v>114</v>
      </c>
      <c r="O549" s="155">
        <f>INPUT!AN442</f>
        <v>83.870967741935488</v>
      </c>
      <c r="P549" s="75">
        <f>INPUT!AO442</f>
        <v>124</v>
      </c>
      <c r="Q549" s="155" t="str">
        <f>INPUT!AP442</f>
        <v>NM</v>
      </c>
      <c r="R549" s="75">
        <f>INPUT!AQ442</f>
        <v>123</v>
      </c>
      <c r="S549" s="155">
        <f>INPUT!AR442</f>
        <v>46.428571428571416</v>
      </c>
      <c r="T549" s="75">
        <f>INPUT!AS442</f>
        <v>101</v>
      </c>
      <c r="U549" s="155">
        <f>INPUT!AT442</f>
        <v>-8.1818181818181728</v>
      </c>
      <c r="V549" s="75">
        <f>INPUT!AU442</f>
        <v>114</v>
      </c>
      <c r="W549" s="155">
        <f>INPUT!AV442</f>
        <v>0</v>
      </c>
      <c r="X549" s="75">
        <f>INPUT!AW442</f>
        <v>124</v>
      </c>
      <c r="Y549" s="155">
        <f>INPUT!AX442</f>
        <v>0</v>
      </c>
      <c r="Z549" s="75">
        <f>INPUT!AY442</f>
        <v>143</v>
      </c>
      <c r="AA549" s="155">
        <f>INPUT!AZ442</f>
        <v>16.260162601626021</v>
      </c>
      <c r="AB549" s="75">
        <f>INPUT!BA442</f>
        <v>140</v>
      </c>
      <c r="AC549" s="155">
        <f>INPUT!BB442</f>
        <v>38.613861386138609</v>
      </c>
      <c r="AD549" s="75">
        <f>INPUT!BC442</f>
        <v>125</v>
      </c>
      <c r="AE549" s="155">
        <f>INPUT!BD442</f>
        <v>9.6491228070175481</v>
      </c>
      <c r="AF549" s="75">
        <f>INPUT!BE442</f>
        <v>151</v>
      </c>
      <c r="AG549" s="155">
        <f>INPUT!BF442</f>
        <v>21.774193548387103</v>
      </c>
      <c r="AH549" s="75">
        <f>INPUT!BG442</f>
        <v>169</v>
      </c>
      <c r="AI549" s="240">
        <f>INPUT!BH442</f>
        <v>18.181818181818187</v>
      </c>
      <c r="AJ549" s="75">
        <f>INPUT!BI442</f>
        <v>160</v>
      </c>
      <c r="AK549" s="240">
        <f>INPUT!BJ442</f>
        <v>14.285714285714278</v>
      </c>
      <c r="AL549" s="75">
        <f>INPUT!BK442</f>
        <v>240</v>
      </c>
      <c r="AM549" s="240">
        <f>INPUT!BL442</f>
        <v>92</v>
      </c>
      <c r="AN549" s="75">
        <f>INPUT!BM442</f>
        <v>164</v>
      </c>
      <c r="AO549" s="240">
        <f>INPUT!BN442</f>
        <v>8.6092715231788048</v>
      </c>
      <c r="AP549" s="75">
        <f>INPUT!BO442</f>
        <v>110</v>
      </c>
      <c r="AQ549" s="240">
        <f>INPUT!BP442</f>
        <v>-34.911242603550292</v>
      </c>
      <c r="AR549" s="75">
        <f>INPUT!BQ442</f>
        <v>92</v>
      </c>
      <c r="AS549" s="240">
        <f>INPUT!BR442</f>
        <v>-42.500000000000007</v>
      </c>
      <c r="AT549" s="75">
        <f>INPUT!BS442</f>
        <v>101</v>
      </c>
      <c r="AU549" s="240" t="str">
        <f>INPUT!BT442</f>
        <v>NM</v>
      </c>
      <c r="AV549" s="75">
        <f>INPUT!BU442</f>
        <v>-239</v>
      </c>
      <c r="AW549" s="240" t="str">
        <f>INPUT!BV442</f>
        <v>NM</v>
      </c>
      <c r="AX549" s="75"/>
      <c r="AY549" s="240"/>
      <c r="AZ549" s="75"/>
      <c r="BA549" s="240"/>
      <c r="BB549" s="75"/>
      <c r="BC549" s="240"/>
      <c r="BD549" s="75"/>
      <c r="BE549" s="240"/>
      <c r="BF549" s="75"/>
      <c r="BG549" s="240"/>
      <c r="BH549" s="75"/>
      <c r="BI549" s="240"/>
      <c r="BJ549" s="75"/>
      <c r="BK549" s="240"/>
      <c r="BL549" s="75"/>
      <c r="BM549" s="240"/>
      <c r="BN549" s="75"/>
      <c r="BO549" s="240"/>
      <c r="BP549" s="75"/>
      <c r="BQ549" s="240"/>
      <c r="BR549" s="75"/>
      <c r="BS549" s="240"/>
      <c r="BT549" s="75"/>
      <c r="BU549" s="240"/>
      <c r="BV549" s="75"/>
      <c r="BW549" s="240"/>
      <c r="BX549" s="75"/>
      <c r="BY549" s="240"/>
      <c r="BZ549" s="75"/>
      <c r="CA549" s="240"/>
      <c r="CB549" s="75"/>
      <c r="CC549" s="240"/>
      <c r="CD549" s="75"/>
      <c r="CE549" s="240"/>
      <c r="CF549" s="75"/>
      <c r="CG549" s="240"/>
      <c r="CH549" s="75"/>
      <c r="CI549" s="240"/>
      <c r="CJ549" s="75"/>
      <c r="CK549" s="240"/>
      <c r="CL549" s="75"/>
      <c r="CM549" s="240"/>
      <c r="CN549" s="75"/>
      <c r="CO549" s="240"/>
      <c r="CP549" s="75"/>
      <c r="CQ549" s="240"/>
      <c r="CR549" s="75"/>
      <c r="CS549" s="240"/>
      <c r="CT549" s="75"/>
      <c r="CU549" s="240"/>
      <c r="CV549" s="75"/>
      <c r="CW549" s="240"/>
      <c r="CX549" s="75"/>
      <c r="CY549" s="240"/>
      <c r="CZ549" s="75"/>
      <c r="DA549" s="240"/>
      <c r="DB549" s="75"/>
      <c r="DC549" s="240"/>
      <c r="DD549" s="75"/>
      <c r="DE549" s="240"/>
      <c r="DF549" s="75"/>
      <c r="DG549" s="240"/>
      <c r="DH549" s="75"/>
      <c r="DI549" s="240"/>
      <c r="DJ549" s="75"/>
      <c r="DK549" s="240"/>
      <c r="DL549" s="75"/>
      <c r="DM549" s="240"/>
      <c r="DN549" s="75"/>
      <c r="DO549" s="240"/>
      <c r="DP549" s="75"/>
      <c r="DQ549" s="240"/>
      <c r="DR549" s="75"/>
      <c r="DS549" s="240"/>
      <c r="DT549" s="75"/>
      <c r="DU549" s="240"/>
      <c r="DV549" s="75"/>
      <c r="DW549" s="240"/>
      <c r="DX549" s="75"/>
      <c r="DY549" s="240"/>
      <c r="DZ549" s="75"/>
      <c r="EA549" s="240"/>
      <c r="EB549" s="155" t="str">
        <f>INPUT!FI442</f>
        <v>NM</v>
      </c>
      <c r="EC549" s="75">
        <f>INPUT!FJ442</f>
        <v>288</v>
      </c>
      <c r="ED549" s="155">
        <f>INPUT!FK442</f>
        <v>6.6666666666666714</v>
      </c>
      <c r="EE549" s="75">
        <f>INPUT!FL442</f>
        <v>235</v>
      </c>
      <c r="EF549" s="155">
        <f>INPUT!FM442</f>
        <v>-18.402777777777786</v>
      </c>
      <c r="EG549" s="75">
        <f>INPUT!FN442</f>
        <v>432</v>
      </c>
      <c r="EH549" s="155">
        <f>INPUT!FO442</f>
        <v>83.829787234042556</v>
      </c>
      <c r="EI549" s="75">
        <f>INPUT!FP442</f>
        <v>462</v>
      </c>
      <c r="EJ549" s="240">
        <f>INPUT!FQ442</f>
        <v>6.9444444444444429</v>
      </c>
      <c r="EK549" s="75">
        <f>INPUT!FR442</f>
        <v>559</v>
      </c>
      <c r="EL549" s="240">
        <f>INPUT!FS442</f>
        <v>20.995670995670991</v>
      </c>
      <c r="EM549" s="75">
        <f>INPUT!FT442</f>
        <v>733</v>
      </c>
      <c r="EN549" s="240">
        <f>INPUT!FU442</f>
        <v>31.127012522361355</v>
      </c>
      <c r="EO549" s="75">
        <f>INPUT!FV442</f>
        <v>64</v>
      </c>
      <c r="EP549" s="240" t="str">
        <f>INPUT!FW442</f>
        <v>NM</v>
      </c>
      <c r="EQ549" s="75"/>
      <c r="ER549" s="240"/>
      <c r="ES549" s="75"/>
      <c r="ET549" s="240"/>
      <c r="EU549" s="75"/>
      <c r="EV549" s="240"/>
      <c r="EW549" s="75"/>
      <c r="EX549" s="240"/>
      <c r="EY549" s="75"/>
      <c r="EZ549" s="240"/>
      <c r="FA549" s="75"/>
      <c r="FB549" s="240"/>
      <c r="FC549" s="75"/>
      <c r="FD549" s="240"/>
      <c r="FE549" s="75"/>
      <c r="FF549" s="240"/>
      <c r="FG549" s="75"/>
      <c r="FH549" s="240"/>
      <c r="FI549" s="75"/>
      <c r="FJ549" s="240"/>
      <c r="FK549" s="75"/>
      <c r="FL549" s="240"/>
      <c r="FM549" s="75"/>
      <c r="FN549" s="240"/>
      <c r="FO549" s="75"/>
      <c r="FP549" s="240"/>
      <c r="FQ549" s="75"/>
      <c r="FR549" s="240"/>
      <c r="FS549" s="240"/>
    </row>
    <row r="550" spans="1:176" ht="12.75" hidden="1" customHeight="1" outlineLevel="1" x14ac:dyDescent="0.2">
      <c r="A550" s="70" t="str">
        <f>INPUT!B443</f>
        <v xml:space="preserve">  Total Revenues</v>
      </c>
      <c r="B550" s="91">
        <f>INPUT!AA443</f>
        <v>65</v>
      </c>
      <c r="C550" s="155">
        <f>INPUT!AB443</f>
        <v>-18.75</v>
      </c>
      <c r="D550" s="91">
        <f>INPUT!AC443</f>
        <v>69</v>
      </c>
      <c r="E550" s="155">
        <f>INPUT!AD443</f>
        <v>-14.81481481481481</v>
      </c>
      <c r="F550" s="91">
        <f>INPUT!AE443</f>
        <v>68</v>
      </c>
      <c r="G550" s="155">
        <f>INPUT!AF443</f>
        <v>-18.07228915662651</v>
      </c>
      <c r="H550" s="91">
        <f>INPUT!AG443</f>
        <v>36</v>
      </c>
      <c r="I550" s="155" t="str">
        <f>INPUT!AH443</f>
        <v>NM</v>
      </c>
      <c r="J550" s="91">
        <f>INPUT!AI443</f>
        <v>87</v>
      </c>
      <c r="K550" s="155">
        <f>INPUT!AJ443</f>
        <v>33.84615384615384</v>
      </c>
      <c r="L550" s="91">
        <f>INPUT!AK443</f>
        <v>114</v>
      </c>
      <c r="M550" s="155">
        <f>INPUT!AL443</f>
        <v>65.217391304347814</v>
      </c>
      <c r="N550" s="91">
        <f>INPUT!AM443</f>
        <v>118</v>
      </c>
      <c r="O550" s="155">
        <f>INPUT!AN443</f>
        <v>73.529411764705884</v>
      </c>
      <c r="P550" s="91">
        <f>INPUT!AO443</f>
        <v>127</v>
      </c>
      <c r="Q550" s="155" t="str">
        <f>INPUT!AP443</f>
        <v>NM</v>
      </c>
      <c r="R550" s="91">
        <f>INPUT!AQ443</f>
        <v>128</v>
      </c>
      <c r="S550" s="155">
        <f>INPUT!AR443</f>
        <v>47.126436781609186</v>
      </c>
      <c r="T550" s="91">
        <f>INPUT!AS443</f>
        <v>106</v>
      </c>
      <c r="U550" s="155">
        <f>INPUT!AT443</f>
        <v>-7.0175438596491233</v>
      </c>
      <c r="V550" s="91">
        <f>INPUT!AU443</f>
        <v>122</v>
      </c>
      <c r="W550" s="155">
        <f>INPUT!AV443</f>
        <v>3.3898305084745743</v>
      </c>
      <c r="X550" s="91">
        <f>INPUT!AW443</f>
        <v>131</v>
      </c>
      <c r="Y550" s="155">
        <f>INPUT!AX443</f>
        <v>3.1496062992125928</v>
      </c>
      <c r="Z550" s="91">
        <f>INPUT!AY443</f>
        <v>150</v>
      </c>
      <c r="AA550" s="155">
        <f>INPUT!AZ443</f>
        <v>17.1875</v>
      </c>
      <c r="AB550" s="91">
        <f>INPUT!BA443</f>
        <v>146</v>
      </c>
      <c r="AC550" s="155">
        <f>INPUT!BB443</f>
        <v>37.735849056603769</v>
      </c>
      <c r="AD550" s="91">
        <f>INPUT!BC443</f>
        <v>132</v>
      </c>
      <c r="AE550" s="155">
        <f>INPUT!BD443</f>
        <v>8.1967213114754145</v>
      </c>
      <c r="AF550" s="91">
        <f>INPUT!BE443</f>
        <v>162</v>
      </c>
      <c r="AG550" s="155">
        <f>INPUT!BF443</f>
        <v>23.66412213740459</v>
      </c>
      <c r="AH550" s="91">
        <f>INPUT!BG443</f>
        <v>177</v>
      </c>
      <c r="AI550" s="240">
        <f>INPUT!BH443</f>
        <v>18</v>
      </c>
      <c r="AJ550" s="91">
        <f>INPUT!BI443</f>
        <v>169</v>
      </c>
      <c r="AK550" s="240">
        <f>INPUT!BJ443</f>
        <v>15.753424657534239</v>
      </c>
      <c r="AL550" s="91">
        <f>INPUT!BK443</f>
        <v>251</v>
      </c>
      <c r="AM550" s="240">
        <f>INPUT!BL443</f>
        <v>90.151515151515156</v>
      </c>
      <c r="AN550" s="91">
        <f>INPUT!BM443</f>
        <v>172</v>
      </c>
      <c r="AO550" s="240">
        <f>INPUT!BN443</f>
        <v>6.1728395061728492</v>
      </c>
      <c r="AP550" s="91">
        <f>INPUT!BO443</f>
        <v>116</v>
      </c>
      <c r="AQ550" s="240">
        <f>INPUT!BP443</f>
        <v>-34.463276836158201</v>
      </c>
      <c r="AR550" s="91">
        <f>INPUT!BQ443</f>
        <v>100</v>
      </c>
      <c r="AS550" s="240">
        <f>INPUT!BR443</f>
        <v>-40.828402366863905</v>
      </c>
      <c r="AT550" s="91">
        <f>INPUT!BS443</f>
        <v>108</v>
      </c>
      <c r="AU550" s="240" t="str">
        <f>INPUT!BT443</f>
        <v>NM</v>
      </c>
      <c r="AV550" s="91">
        <f>INPUT!BU443</f>
        <v>-231</v>
      </c>
      <c r="AW550" s="240" t="str">
        <f>INPUT!BV443</f>
        <v>NM</v>
      </c>
      <c r="AX550" s="91"/>
      <c r="AY550" s="240"/>
      <c r="AZ550" s="91"/>
      <c r="BA550" s="240"/>
      <c r="BB550" s="91"/>
      <c r="BC550" s="240"/>
      <c r="BD550" s="91"/>
      <c r="BE550" s="240"/>
      <c r="BF550" s="91"/>
      <c r="BG550" s="240"/>
      <c r="BH550" s="91"/>
      <c r="BI550" s="240"/>
      <c r="BJ550" s="91"/>
      <c r="BK550" s="240"/>
      <c r="BL550" s="91"/>
      <c r="BM550" s="240"/>
      <c r="BN550" s="91"/>
      <c r="BO550" s="240"/>
      <c r="BP550" s="91"/>
      <c r="BQ550" s="240"/>
      <c r="BR550" s="91"/>
      <c r="BS550" s="240"/>
      <c r="BT550" s="91"/>
      <c r="BU550" s="240"/>
      <c r="BV550" s="91"/>
      <c r="BW550" s="240"/>
      <c r="BX550" s="91"/>
      <c r="BY550" s="240"/>
      <c r="BZ550" s="91"/>
      <c r="CA550" s="240"/>
      <c r="CB550" s="91"/>
      <c r="CC550" s="240"/>
      <c r="CD550" s="91"/>
      <c r="CE550" s="240"/>
      <c r="CF550" s="91"/>
      <c r="CG550" s="240"/>
      <c r="CH550" s="91"/>
      <c r="CI550" s="240"/>
      <c r="CJ550" s="91"/>
      <c r="CK550" s="240"/>
      <c r="CL550" s="91"/>
      <c r="CM550" s="240"/>
      <c r="CN550" s="91"/>
      <c r="CO550" s="240"/>
      <c r="CP550" s="91"/>
      <c r="CQ550" s="240"/>
      <c r="CR550" s="91"/>
      <c r="CS550" s="240"/>
      <c r="CT550" s="91"/>
      <c r="CU550" s="240"/>
      <c r="CV550" s="91"/>
      <c r="CW550" s="240"/>
      <c r="CX550" s="91"/>
      <c r="CY550" s="240"/>
      <c r="CZ550" s="91"/>
      <c r="DA550" s="240"/>
      <c r="DB550" s="91"/>
      <c r="DC550" s="240"/>
      <c r="DD550" s="91"/>
      <c r="DE550" s="240"/>
      <c r="DF550" s="91"/>
      <c r="DG550" s="240"/>
      <c r="DH550" s="91"/>
      <c r="DI550" s="240"/>
      <c r="DJ550" s="91"/>
      <c r="DK550" s="240"/>
      <c r="DL550" s="91"/>
      <c r="DM550" s="240"/>
      <c r="DN550" s="91"/>
      <c r="DO550" s="240"/>
      <c r="DP550" s="91"/>
      <c r="DQ550" s="240"/>
      <c r="DR550" s="91"/>
      <c r="DS550" s="240"/>
      <c r="DT550" s="91"/>
      <c r="DU550" s="240"/>
      <c r="DV550" s="91"/>
      <c r="DW550" s="240"/>
      <c r="DX550" s="91"/>
      <c r="DY550" s="240"/>
      <c r="DZ550" s="91"/>
      <c r="EA550" s="240"/>
      <c r="EB550" s="155" t="str">
        <f>INPUT!FI443</f>
        <v>NM</v>
      </c>
      <c r="EC550" s="91">
        <f>INPUT!FJ443</f>
        <v>325</v>
      </c>
      <c r="ED550" s="155">
        <f>INPUT!FK443</f>
        <v>7.2607260726072553</v>
      </c>
      <c r="EE550" s="91">
        <f>INPUT!FL443</f>
        <v>238</v>
      </c>
      <c r="EF550" s="155">
        <f>INPUT!FM443</f>
        <v>-26.769230769230774</v>
      </c>
      <c r="EG550" s="91">
        <f>INPUT!FN443</f>
        <v>446</v>
      </c>
      <c r="EH550" s="155">
        <f>INPUT!FO443</f>
        <v>87.394957983193279</v>
      </c>
      <c r="EI550" s="91">
        <f>INPUT!FP443</f>
        <v>487</v>
      </c>
      <c r="EJ550" s="240">
        <f>INPUT!FQ443</f>
        <v>9.192825112107613</v>
      </c>
      <c r="EK550" s="91">
        <f>INPUT!FR443</f>
        <v>590</v>
      </c>
      <c r="EL550" s="240">
        <f>INPUT!FS443</f>
        <v>21.149897330595493</v>
      </c>
      <c r="EM550" s="91">
        <f>INPUT!FT443</f>
        <v>769</v>
      </c>
      <c r="EN550" s="240">
        <f>INPUT!FU443</f>
        <v>30.338983050847446</v>
      </c>
      <c r="EO550" s="91">
        <f>INPUT!FV443</f>
        <v>93</v>
      </c>
      <c r="EP550" s="240" t="str">
        <f>INPUT!FW443</f>
        <v>NM</v>
      </c>
      <c r="EQ550" s="91"/>
      <c r="ER550" s="240"/>
      <c r="ES550" s="91"/>
      <c r="ET550" s="240"/>
      <c r="EU550" s="91"/>
      <c r="EV550" s="240"/>
      <c r="EW550" s="91"/>
      <c r="EX550" s="240"/>
      <c r="EY550" s="91"/>
      <c r="EZ550" s="240"/>
      <c r="FA550" s="91"/>
      <c r="FB550" s="240"/>
      <c r="FC550" s="91"/>
      <c r="FD550" s="240"/>
      <c r="FE550" s="91"/>
      <c r="FF550" s="240"/>
      <c r="FG550" s="91"/>
      <c r="FH550" s="240"/>
      <c r="FI550" s="91"/>
      <c r="FJ550" s="240"/>
      <c r="FK550" s="91"/>
      <c r="FL550" s="240"/>
      <c r="FM550" s="91"/>
      <c r="FN550" s="240"/>
      <c r="FO550" s="91"/>
      <c r="FP550" s="240"/>
      <c r="FQ550" s="91"/>
      <c r="FR550" s="240"/>
      <c r="FS550" s="240"/>
    </row>
    <row r="551" spans="1:176" ht="12.75" hidden="1" customHeight="1" outlineLevel="1" x14ac:dyDescent="0.2">
      <c r="A551" s="77"/>
      <c r="B551" s="75"/>
      <c r="C551" s="155"/>
      <c r="D551" s="75"/>
      <c r="E551" s="155"/>
      <c r="F551" s="75"/>
      <c r="G551" s="155"/>
      <c r="H551" s="75"/>
      <c r="I551" s="155"/>
      <c r="J551" s="75"/>
      <c r="K551" s="155"/>
      <c r="L551" s="75"/>
      <c r="M551" s="155"/>
      <c r="N551" s="75"/>
      <c r="O551" s="155"/>
      <c r="P551" s="75"/>
      <c r="Q551" s="155"/>
      <c r="R551" s="75"/>
      <c r="S551" s="155"/>
      <c r="T551" s="75"/>
      <c r="U551" s="155"/>
      <c r="V551" s="75"/>
      <c r="W551" s="155"/>
      <c r="X551" s="75"/>
      <c r="Y551" s="155"/>
      <c r="Z551" s="75"/>
      <c r="AA551" s="155"/>
      <c r="AB551" s="75"/>
      <c r="AC551" s="155"/>
      <c r="AD551" s="75"/>
      <c r="AE551" s="155"/>
      <c r="AF551" s="75"/>
      <c r="AG551" s="155"/>
      <c r="AH551" s="75"/>
      <c r="AI551" s="240"/>
      <c r="AJ551" s="75"/>
      <c r="AK551" s="240"/>
      <c r="AL551" s="75"/>
      <c r="AM551" s="240"/>
      <c r="AN551" s="75"/>
      <c r="AO551" s="240"/>
      <c r="AP551" s="75"/>
      <c r="AQ551" s="240"/>
      <c r="AR551" s="75"/>
      <c r="AS551" s="240"/>
      <c r="AT551" s="75"/>
      <c r="AU551" s="240"/>
      <c r="AV551" s="75"/>
      <c r="AW551" s="240"/>
      <c r="AX551" s="75"/>
      <c r="AY551" s="240"/>
      <c r="AZ551" s="75"/>
      <c r="BA551" s="240"/>
      <c r="BB551" s="75"/>
      <c r="BC551" s="240"/>
      <c r="BD551" s="75"/>
      <c r="BE551" s="240"/>
      <c r="BF551" s="75"/>
      <c r="BG551" s="240"/>
      <c r="BH551" s="75"/>
      <c r="BI551" s="240"/>
      <c r="BJ551" s="75"/>
      <c r="BK551" s="240"/>
      <c r="BL551" s="75"/>
      <c r="BM551" s="240"/>
      <c r="BN551" s="75"/>
      <c r="BO551" s="240"/>
      <c r="BP551" s="75"/>
      <c r="BQ551" s="240"/>
      <c r="BR551" s="75"/>
      <c r="BS551" s="240"/>
      <c r="BT551" s="75"/>
      <c r="BU551" s="240"/>
      <c r="BV551" s="75"/>
      <c r="BW551" s="240"/>
      <c r="BX551" s="75"/>
      <c r="BY551" s="240"/>
      <c r="BZ551" s="75"/>
      <c r="CA551" s="240"/>
      <c r="CB551" s="75"/>
      <c r="CC551" s="240"/>
      <c r="CD551" s="75"/>
      <c r="CE551" s="240"/>
      <c r="CF551" s="75"/>
      <c r="CG551" s="240"/>
      <c r="CH551" s="75"/>
      <c r="CI551" s="240"/>
      <c r="CJ551" s="75"/>
      <c r="CK551" s="240"/>
      <c r="CL551" s="75"/>
      <c r="CM551" s="240"/>
      <c r="CN551" s="75"/>
      <c r="CO551" s="240"/>
      <c r="CP551" s="75"/>
      <c r="CQ551" s="240"/>
      <c r="CR551" s="75"/>
      <c r="CS551" s="240"/>
      <c r="CT551" s="75"/>
      <c r="CU551" s="240"/>
      <c r="CV551" s="75"/>
      <c r="CW551" s="240"/>
      <c r="CX551" s="75"/>
      <c r="CY551" s="240"/>
      <c r="CZ551" s="75"/>
      <c r="DA551" s="240"/>
      <c r="DB551" s="75"/>
      <c r="DC551" s="240"/>
      <c r="DD551" s="75"/>
      <c r="DE551" s="240"/>
      <c r="DF551" s="75"/>
      <c r="DG551" s="240"/>
      <c r="DH551" s="75"/>
      <c r="DI551" s="240"/>
      <c r="DJ551" s="75"/>
      <c r="DK551" s="240"/>
      <c r="DL551" s="75"/>
      <c r="DM551" s="240"/>
      <c r="DN551" s="75"/>
      <c r="DO551" s="240"/>
      <c r="DP551" s="75"/>
      <c r="DQ551" s="240"/>
      <c r="DR551" s="75"/>
      <c r="DS551" s="240"/>
      <c r="DT551" s="75"/>
      <c r="DU551" s="240"/>
      <c r="DV551" s="75"/>
      <c r="DW551" s="240"/>
      <c r="DX551" s="75"/>
      <c r="DY551" s="240"/>
      <c r="DZ551" s="75"/>
      <c r="EA551" s="240"/>
      <c r="EB551" s="155"/>
      <c r="EC551" s="75"/>
      <c r="ED551" s="155"/>
      <c r="EE551" s="75"/>
      <c r="EF551" s="155"/>
      <c r="EG551" s="75"/>
      <c r="EH551" s="155"/>
      <c r="EI551" s="75"/>
      <c r="EJ551" s="240"/>
      <c r="EK551" s="75"/>
      <c r="EL551" s="240"/>
      <c r="EM551" s="75"/>
      <c r="EN551" s="240"/>
      <c r="EO551" s="75"/>
      <c r="EP551" s="240"/>
      <c r="EQ551" s="75"/>
      <c r="ER551" s="240"/>
      <c r="ES551" s="75"/>
      <c r="ET551" s="240"/>
      <c r="EU551" s="75"/>
      <c r="EV551" s="240"/>
      <c r="EW551" s="75"/>
      <c r="EX551" s="240"/>
      <c r="EY551" s="75"/>
      <c r="EZ551" s="240"/>
      <c r="FA551" s="75"/>
      <c r="FB551" s="240"/>
      <c r="FC551" s="75"/>
      <c r="FD551" s="240"/>
      <c r="FE551" s="75"/>
      <c r="FF551" s="240"/>
      <c r="FG551" s="75"/>
      <c r="FH551" s="240"/>
      <c r="FI551" s="75"/>
      <c r="FJ551" s="240"/>
      <c r="FK551" s="75"/>
      <c r="FL551" s="240"/>
      <c r="FM551" s="75"/>
      <c r="FN551" s="240"/>
      <c r="FO551" s="75"/>
      <c r="FP551" s="240"/>
      <c r="FQ551" s="75"/>
      <c r="FR551" s="240"/>
      <c r="FS551" s="240"/>
    </row>
    <row r="552" spans="1:176" ht="12.75" hidden="1" customHeight="1" outlineLevel="1" x14ac:dyDescent="0.2">
      <c r="A552" s="70" t="s">
        <v>129</v>
      </c>
      <c r="B552" s="511"/>
      <c r="C552" s="487"/>
      <c r="D552" s="511"/>
      <c r="E552" s="487"/>
      <c r="F552" s="511"/>
      <c r="G552" s="487"/>
      <c r="H552" s="511"/>
      <c r="I552" s="487"/>
      <c r="J552" s="511"/>
      <c r="K552" s="487"/>
      <c r="L552" s="511"/>
      <c r="M552" s="487"/>
      <c r="N552" s="511"/>
      <c r="O552" s="487"/>
      <c r="P552" s="511"/>
      <c r="Q552" s="487"/>
      <c r="R552" s="511"/>
      <c r="S552" s="487"/>
      <c r="T552" s="511"/>
      <c r="U552" s="487"/>
      <c r="V552" s="511"/>
      <c r="W552" s="487"/>
      <c r="X552" s="511"/>
      <c r="Y552" s="487"/>
      <c r="Z552" s="511"/>
      <c r="AA552" s="487"/>
      <c r="AB552" s="511"/>
      <c r="AC552" s="487"/>
      <c r="AD552" s="511"/>
      <c r="AE552" s="487"/>
      <c r="AF552" s="511"/>
      <c r="AG552" s="487"/>
      <c r="AH552" s="511"/>
      <c r="AI552" s="486"/>
      <c r="AJ552" s="511"/>
      <c r="AK552" s="486"/>
      <c r="AL552" s="511"/>
      <c r="AM552" s="486"/>
      <c r="AN552" s="511"/>
      <c r="AO552" s="486"/>
      <c r="AP552" s="511"/>
      <c r="AQ552" s="486"/>
      <c r="AR552" s="511"/>
      <c r="AS552" s="486"/>
      <c r="AT552" s="511"/>
      <c r="AU552" s="486"/>
      <c r="AV552" s="511"/>
      <c r="AW552" s="486"/>
      <c r="AX552" s="511"/>
      <c r="AY552" s="486"/>
      <c r="AZ552" s="511"/>
      <c r="BA552" s="486"/>
      <c r="BB552" s="511"/>
      <c r="BC552" s="486"/>
      <c r="BD552" s="511"/>
      <c r="BE552" s="486"/>
      <c r="BF552" s="511"/>
      <c r="BG552" s="486"/>
      <c r="BH552" s="511"/>
      <c r="BI552" s="486"/>
      <c r="BJ552" s="511"/>
      <c r="BK552" s="486"/>
      <c r="BL552" s="511"/>
      <c r="BM552" s="486"/>
      <c r="BN552" s="511"/>
      <c r="BO552" s="486"/>
      <c r="BP552" s="511"/>
      <c r="BQ552" s="486"/>
      <c r="BR552" s="511"/>
      <c r="BS552" s="486"/>
      <c r="BT552" s="511"/>
      <c r="BU552" s="486"/>
      <c r="BV552" s="511"/>
      <c r="BW552" s="486"/>
      <c r="BX552" s="511"/>
      <c r="BY552" s="486"/>
      <c r="BZ552" s="511"/>
      <c r="CA552" s="486"/>
      <c r="CB552" s="511"/>
      <c r="CC552" s="486"/>
      <c r="CD552" s="511"/>
      <c r="CE552" s="486"/>
      <c r="CF552" s="511"/>
      <c r="CG552" s="486"/>
      <c r="CH552" s="511"/>
      <c r="CI552" s="486"/>
      <c r="CJ552" s="511"/>
      <c r="CK552" s="486"/>
      <c r="CL552" s="511"/>
      <c r="CM552" s="486"/>
      <c r="CN552" s="511"/>
      <c r="CO552" s="486"/>
      <c r="CP552" s="511"/>
      <c r="CQ552" s="486"/>
      <c r="CR552" s="511"/>
      <c r="CS552" s="486"/>
      <c r="CT552" s="511"/>
      <c r="CU552" s="486"/>
      <c r="CV552" s="511"/>
      <c r="CW552" s="486"/>
      <c r="CX552" s="511"/>
      <c r="CY552" s="486"/>
      <c r="CZ552" s="511"/>
      <c r="DA552" s="486"/>
      <c r="DB552" s="511"/>
      <c r="DC552" s="486"/>
      <c r="DD552" s="511"/>
      <c r="DE552" s="486"/>
      <c r="DF552" s="511"/>
      <c r="DG552" s="486"/>
      <c r="DH552" s="511"/>
      <c r="DI552" s="486"/>
      <c r="DJ552" s="511"/>
      <c r="DK552" s="486"/>
      <c r="DL552" s="511"/>
      <c r="DM552" s="486"/>
      <c r="DN552" s="511"/>
      <c r="DO552" s="486"/>
      <c r="DP552" s="511"/>
      <c r="DQ552" s="486"/>
      <c r="DR552" s="511"/>
      <c r="DS552" s="486"/>
      <c r="DT552" s="511"/>
      <c r="DU552" s="486"/>
      <c r="DV552" s="511"/>
      <c r="DW552" s="486"/>
      <c r="DX552" s="511"/>
      <c r="DY552" s="486"/>
      <c r="DZ552" s="511"/>
      <c r="EA552" s="486"/>
      <c r="EB552" s="487"/>
      <c r="EC552" s="511"/>
      <c r="ED552" s="487"/>
      <c r="EE552" s="511"/>
      <c r="EF552" s="487"/>
      <c r="EG552" s="511"/>
      <c r="EH552" s="487"/>
      <c r="EI552" s="511"/>
      <c r="EJ552" s="486"/>
      <c r="EK552" s="511"/>
      <c r="EL552" s="486"/>
      <c r="EM552" s="511"/>
      <c r="EN552" s="486"/>
      <c r="EO552" s="511"/>
      <c r="EP552" s="486"/>
      <c r="EQ552" s="511"/>
      <c r="ER552" s="486"/>
      <c r="ES552" s="511"/>
      <c r="ET552" s="486"/>
      <c r="EU552" s="511"/>
      <c r="EV552" s="486"/>
      <c r="EW552" s="511"/>
      <c r="EX552" s="486"/>
      <c r="EY552" s="511"/>
      <c r="EZ552" s="486"/>
      <c r="FA552" s="511"/>
      <c r="FB552" s="486"/>
      <c r="FC552" s="511"/>
      <c r="FD552" s="486"/>
      <c r="FE552" s="511"/>
      <c r="FF552" s="486"/>
      <c r="FG552" s="511"/>
      <c r="FH552" s="486"/>
      <c r="FI552" s="511"/>
      <c r="FJ552" s="486"/>
      <c r="FK552" s="511"/>
      <c r="FL552" s="486"/>
      <c r="FM552" s="511"/>
      <c r="FN552" s="486"/>
      <c r="FO552" s="511"/>
      <c r="FP552" s="486"/>
      <c r="FQ552" s="511"/>
      <c r="FR552" s="486"/>
      <c r="FS552" s="486"/>
    </row>
    <row r="553" spans="1:176" ht="12.75" hidden="1" customHeight="1" outlineLevel="1" x14ac:dyDescent="0.2">
      <c r="A553" s="77" t="str">
        <f>INPUT!B447</f>
        <v>Operating Expenses</v>
      </c>
      <c r="B553" s="75">
        <f>INPUT!AA447</f>
        <v>63</v>
      </c>
      <c r="C553" s="155">
        <f>INPUT!AB447</f>
        <v>-21.25</v>
      </c>
      <c r="D553" s="75">
        <f>INPUT!AC447</f>
        <v>60</v>
      </c>
      <c r="E553" s="155">
        <f>INPUT!AD447</f>
        <v>-29.411764705882348</v>
      </c>
      <c r="F553" s="75">
        <f>INPUT!AE447</f>
        <v>60</v>
      </c>
      <c r="G553" s="155">
        <f>INPUT!AF447</f>
        <v>-25</v>
      </c>
      <c r="H553" s="75">
        <f>INPUT!AG447</f>
        <v>67</v>
      </c>
      <c r="I553" s="155">
        <f>INPUT!AH447</f>
        <v>-21.17647058823529</v>
      </c>
      <c r="J553" s="75">
        <f>INPUT!AI447</f>
        <v>82</v>
      </c>
      <c r="K553" s="155">
        <f>INPUT!AJ447</f>
        <v>30.158730158730151</v>
      </c>
      <c r="L553" s="75">
        <f>INPUT!AK447</f>
        <v>94</v>
      </c>
      <c r="M553" s="155">
        <f>INPUT!AL447</f>
        <v>56.666666666666657</v>
      </c>
      <c r="N553" s="75">
        <f>INPUT!AM447</f>
        <v>99</v>
      </c>
      <c r="O553" s="155">
        <f>INPUT!AN447</f>
        <v>65</v>
      </c>
      <c r="P553" s="75">
        <f>INPUT!AO447</f>
        <v>94</v>
      </c>
      <c r="Q553" s="155">
        <f>INPUT!AP447</f>
        <v>40.298507462686587</v>
      </c>
      <c r="R553" s="75">
        <f>INPUT!AQ447</f>
        <v>103</v>
      </c>
      <c r="S553" s="155">
        <f>INPUT!AR447</f>
        <v>25.609756097560975</v>
      </c>
      <c r="T553" s="75">
        <f>INPUT!AS447</f>
        <v>87</v>
      </c>
      <c r="U553" s="155">
        <f>INPUT!AT447</f>
        <v>-7.4468085106383057</v>
      </c>
      <c r="V553" s="75">
        <f>INPUT!AU447</f>
        <v>97</v>
      </c>
      <c r="W553" s="155">
        <f>INPUT!AV447</f>
        <v>-2.0202020202020208</v>
      </c>
      <c r="X553" s="75">
        <f>INPUT!AW447</f>
        <v>94</v>
      </c>
      <c r="Y553" s="155">
        <f>INPUT!AX447</f>
        <v>0</v>
      </c>
      <c r="Z553" s="75">
        <f>INPUT!AY447</f>
        <v>106</v>
      </c>
      <c r="AA553" s="155">
        <f>INPUT!AZ447</f>
        <v>2.9126213592232943</v>
      </c>
      <c r="AB553" s="75">
        <f>INPUT!BA447</f>
        <v>112</v>
      </c>
      <c r="AC553" s="155">
        <f>INPUT!BB447</f>
        <v>28.735632183908052</v>
      </c>
      <c r="AD553" s="75">
        <f>INPUT!BC447</f>
        <v>101</v>
      </c>
      <c r="AE553" s="155">
        <f>INPUT!BD447</f>
        <v>4.1237113402061993</v>
      </c>
      <c r="AF553" s="75">
        <f>INPUT!BE447</f>
        <v>128</v>
      </c>
      <c r="AG553" s="155">
        <f>INPUT!BF447</f>
        <v>36.170212765957444</v>
      </c>
      <c r="AH553" s="75">
        <f>INPUT!BG447</f>
        <v>115</v>
      </c>
      <c r="AI553" s="240">
        <f>INPUT!BH447</f>
        <v>8.49056603773586</v>
      </c>
      <c r="AJ553" s="75">
        <f>INPUT!BI447</f>
        <v>126</v>
      </c>
      <c r="AK553" s="240">
        <f>INPUT!BJ447</f>
        <v>12.5</v>
      </c>
      <c r="AL553" s="75">
        <f>INPUT!BK447</f>
        <v>137</v>
      </c>
      <c r="AM553" s="240">
        <f>INPUT!BL447</f>
        <v>35.643564356435661</v>
      </c>
      <c r="AN553" s="75">
        <f>INPUT!BM447</f>
        <v>132</v>
      </c>
      <c r="AO553" s="240">
        <f>INPUT!BN447</f>
        <v>3.125</v>
      </c>
      <c r="AP553" s="75">
        <f>INPUT!BO447</f>
        <v>109</v>
      </c>
      <c r="AQ553" s="240">
        <f>INPUT!BP447</f>
        <v>-5.2173913043478279</v>
      </c>
      <c r="AR553" s="75">
        <f>INPUT!BQ447</f>
        <v>87</v>
      </c>
      <c r="AS553" s="240">
        <f>INPUT!BR447</f>
        <v>-30.952380952380949</v>
      </c>
      <c r="AT553" s="75">
        <f>INPUT!BS447</f>
        <v>81</v>
      </c>
      <c r="AU553" s="240">
        <f>INPUT!BT447</f>
        <v>-40.87591240875912</v>
      </c>
      <c r="AV553" s="75">
        <f>INPUT!BU447</f>
        <v>176</v>
      </c>
      <c r="AW553" s="240">
        <f>INPUT!BV447</f>
        <v>33.333333333333314</v>
      </c>
      <c r="AX553" s="75"/>
      <c r="AY553" s="240"/>
      <c r="AZ553" s="75"/>
      <c r="BA553" s="240"/>
      <c r="BB553" s="75"/>
      <c r="BC553" s="240"/>
      <c r="BD553" s="75"/>
      <c r="BE553" s="240"/>
      <c r="BF553" s="75"/>
      <c r="BG553" s="240"/>
      <c r="BH553" s="75"/>
      <c r="BI553" s="240"/>
      <c r="BJ553" s="75"/>
      <c r="BK553" s="240"/>
      <c r="BL553" s="75"/>
      <c r="BM553" s="240"/>
      <c r="BN553" s="75"/>
      <c r="BO553" s="240"/>
      <c r="BP553" s="75"/>
      <c r="BQ553" s="240"/>
      <c r="BR553" s="75"/>
      <c r="BS553" s="240"/>
      <c r="BT553" s="75"/>
      <c r="BU553" s="240"/>
      <c r="BV553" s="75"/>
      <c r="BW553" s="240"/>
      <c r="BX553" s="75"/>
      <c r="BY553" s="240"/>
      <c r="BZ553" s="75"/>
      <c r="CA553" s="240"/>
      <c r="CB553" s="75"/>
      <c r="CC553" s="240"/>
      <c r="CD553" s="75"/>
      <c r="CE553" s="240"/>
      <c r="CF553" s="75"/>
      <c r="CG553" s="240"/>
      <c r="CH553" s="75"/>
      <c r="CI553" s="240"/>
      <c r="CJ553" s="75"/>
      <c r="CK553" s="240"/>
      <c r="CL553" s="75"/>
      <c r="CM553" s="240"/>
      <c r="CN553" s="75"/>
      <c r="CO553" s="240"/>
      <c r="CP553" s="75"/>
      <c r="CQ553" s="240"/>
      <c r="CR553" s="75"/>
      <c r="CS553" s="240"/>
      <c r="CT553" s="75"/>
      <c r="CU553" s="240"/>
      <c r="CV553" s="75"/>
      <c r="CW553" s="240"/>
      <c r="CX553" s="75"/>
      <c r="CY553" s="240"/>
      <c r="CZ553" s="75"/>
      <c r="DA553" s="240"/>
      <c r="DB553" s="75"/>
      <c r="DC553" s="240"/>
      <c r="DD553" s="75"/>
      <c r="DE553" s="240"/>
      <c r="DF553" s="75"/>
      <c r="DG553" s="240"/>
      <c r="DH553" s="75"/>
      <c r="DI553" s="240"/>
      <c r="DJ553" s="75"/>
      <c r="DK553" s="240"/>
      <c r="DL553" s="75"/>
      <c r="DM553" s="240"/>
      <c r="DN553" s="75"/>
      <c r="DO553" s="240"/>
      <c r="DP553" s="75"/>
      <c r="DQ553" s="240"/>
      <c r="DR553" s="75"/>
      <c r="DS553" s="240"/>
      <c r="DT553" s="75"/>
      <c r="DU553" s="240"/>
      <c r="DV553" s="75"/>
      <c r="DW553" s="240"/>
      <c r="DX553" s="75"/>
      <c r="DY553" s="240"/>
      <c r="DZ553" s="75"/>
      <c r="EA553" s="240"/>
      <c r="EB553" s="155" t="str">
        <f>INPUT!FI447</f>
        <v>NM</v>
      </c>
      <c r="EC553" s="75">
        <f>INPUT!FJ447</f>
        <v>330</v>
      </c>
      <c r="ED553" s="155">
        <f>INPUT!FK447</f>
        <v>-3.7900874635568442</v>
      </c>
      <c r="EE553" s="75">
        <f>INPUT!FL447</f>
        <v>250</v>
      </c>
      <c r="EF553" s="155">
        <f>INPUT!FM447</f>
        <v>-24.242424242424249</v>
      </c>
      <c r="EG553" s="75">
        <f>INPUT!FN447</f>
        <v>369</v>
      </c>
      <c r="EH553" s="155">
        <f>INPUT!FO447</f>
        <v>47.599999999999994</v>
      </c>
      <c r="EI553" s="75">
        <f>INPUT!FP447</f>
        <v>381</v>
      </c>
      <c r="EJ553" s="240">
        <f>INPUT!FQ447</f>
        <v>3.2520325203252014</v>
      </c>
      <c r="EK553" s="75">
        <f>INPUT!FR447</f>
        <v>447</v>
      </c>
      <c r="EL553" s="240">
        <f>INPUT!FS447</f>
        <v>17.322834645669289</v>
      </c>
      <c r="EM553" s="75">
        <f>INPUT!FT447</f>
        <v>510</v>
      </c>
      <c r="EN553" s="240">
        <f>INPUT!FU447</f>
        <v>14.09395973154362</v>
      </c>
      <c r="EO553" s="75">
        <f>INPUT!FV447</f>
        <v>453</v>
      </c>
      <c r="EP553" s="240">
        <f>INPUT!FW447</f>
        <v>-11.176470588235304</v>
      </c>
      <c r="EQ553" s="75"/>
      <c r="ER553" s="240"/>
      <c r="ES553" s="75"/>
      <c r="ET553" s="240"/>
      <c r="EU553" s="75"/>
      <c r="EV553" s="240"/>
      <c r="EW553" s="75"/>
      <c r="EX553" s="240"/>
      <c r="EY553" s="75"/>
      <c r="EZ553" s="240"/>
      <c r="FA553" s="75"/>
      <c r="FB553" s="240"/>
      <c r="FC553" s="75"/>
      <c r="FD553" s="240"/>
      <c r="FE553" s="75"/>
      <c r="FF553" s="240"/>
      <c r="FG553" s="75"/>
      <c r="FH553" s="240"/>
      <c r="FI553" s="75"/>
      <c r="FJ553" s="240"/>
      <c r="FK553" s="75"/>
      <c r="FL553" s="240"/>
      <c r="FM553" s="75"/>
      <c r="FN553" s="240"/>
      <c r="FO553" s="75"/>
      <c r="FP553" s="240"/>
      <c r="FQ553" s="75"/>
      <c r="FR553" s="240"/>
      <c r="FS553" s="240"/>
    </row>
    <row r="554" spans="1:176" ht="12.75" hidden="1" customHeight="1" outlineLevel="1" x14ac:dyDescent="0.2">
      <c r="A554" s="77" t="str">
        <f>INPUT!B448</f>
        <v>Net DAC</v>
      </c>
      <c r="B554" s="75">
        <f>INPUT!AA448</f>
        <v>0</v>
      </c>
      <c r="C554" s="155" t="str">
        <f>INPUT!AB448</f>
        <v>NA</v>
      </c>
      <c r="D554" s="75">
        <f>INPUT!AC448</f>
        <v>0</v>
      </c>
      <c r="E554" s="155" t="str">
        <f>INPUT!AD448</f>
        <v>NA</v>
      </c>
      <c r="F554" s="75">
        <f>INPUT!AE448</f>
        <v>0</v>
      </c>
      <c r="G554" s="155" t="str">
        <f>INPUT!AF448</f>
        <v>NM</v>
      </c>
      <c r="H554" s="75">
        <f>INPUT!AG448</f>
        <v>0</v>
      </c>
      <c r="I554" s="155" t="str">
        <f>INPUT!AH448</f>
        <v>NA</v>
      </c>
      <c r="J554" s="75">
        <f>INPUT!AI448</f>
        <v>0</v>
      </c>
      <c r="K554" s="155" t="str">
        <f>INPUT!AJ448</f>
        <v>NA</v>
      </c>
      <c r="L554" s="75">
        <f>INPUT!AK448</f>
        <v>0</v>
      </c>
      <c r="M554" s="155" t="str">
        <f>INPUT!AL448</f>
        <v>NA</v>
      </c>
      <c r="N554" s="75">
        <f>INPUT!AM448</f>
        <v>0</v>
      </c>
      <c r="O554" s="155" t="str">
        <f>INPUT!AN448</f>
        <v>NA</v>
      </c>
      <c r="P554" s="75">
        <f>INPUT!AO448</f>
        <v>0</v>
      </c>
      <c r="Q554" s="155" t="str">
        <f>INPUT!AP448</f>
        <v>NA</v>
      </c>
      <c r="R554" s="75">
        <f>INPUT!AQ448</f>
        <v>0</v>
      </c>
      <c r="S554" s="155" t="str">
        <f>INPUT!AR448</f>
        <v>NA</v>
      </c>
      <c r="T554" s="75">
        <f>INPUT!AS448</f>
        <v>0</v>
      </c>
      <c r="U554" s="155" t="str">
        <f>INPUT!AT448</f>
        <v>NA</v>
      </c>
      <c r="V554" s="75">
        <f>INPUT!AU448</f>
        <v>0</v>
      </c>
      <c r="W554" s="155" t="str">
        <f>INPUT!AV448</f>
        <v>NA</v>
      </c>
      <c r="X554" s="75">
        <f>INPUT!AW448</f>
        <v>0</v>
      </c>
      <c r="Y554" s="155" t="str">
        <f>INPUT!AX448</f>
        <v>NA</v>
      </c>
      <c r="Z554" s="75">
        <f>INPUT!AY448</f>
        <v>0</v>
      </c>
      <c r="AA554" s="155" t="str">
        <f>INPUT!AZ448</f>
        <v>NA</v>
      </c>
      <c r="AB554" s="75">
        <f>INPUT!BA448</f>
        <v>0</v>
      </c>
      <c r="AC554" s="155" t="str">
        <f>INPUT!BB448</f>
        <v>NA</v>
      </c>
      <c r="AD554" s="75">
        <f>INPUT!BC448</f>
        <v>0</v>
      </c>
      <c r="AE554" s="155" t="str">
        <f>INPUT!BD448</f>
        <v>NA</v>
      </c>
      <c r="AF554" s="75">
        <f>INPUT!BE448</f>
        <v>0</v>
      </c>
      <c r="AG554" s="155" t="str">
        <f>INPUT!BF448</f>
        <v>NA</v>
      </c>
      <c r="AH554" s="75">
        <f>INPUT!BG448</f>
        <v>0</v>
      </c>
      <c r="AI554" s="240" t="str">
        <f>INPUT!BH448</f>
        <v>NA</v>
      </c>
      <c r="AJ554" s="75">
        <f>INPUT!BI448</f>
        <v>0</v>
      </c>
      <c r="AK554" s="240" t="str">
        <f>INPUT!BJ448</f>
        <v>NA</v>
      </c>
      <c r="AL554" s="75">
        <f>INPUT!BK448</f>
        <v>0</v>
      </c>
      <c r="AM554" s="240" t="str">
        <f>INPUT!BL448</f>
        <v>NA</v>
      </c>
      <c r="AN554" s="75">
        <f>INPUT!BM448</f>
        <v>0</v>
      </c>
      <c r="AO554" s="240" t="str">
        <f>INPUT!BN448</f>
        <v>NA</v>
      </c>
      <c r="AP554" s="75">
        <f>INPUT!BO448</f>
        <v>0</v>
      </c>
      <c r="AQ554" s="240" t="str">
        <f>INPUT!BP448</f>
        <v>NA</v>
      </c>
      <c r="AR554" s="75">
        <f>INPUT!BQ448</f>
        <v>0</v>
      </c>
      <c r="AS554" s="240" t="str">
        <f>INPUT!BR448</f>
        <v>NA</v>
      </c>
      <c r="AT554" s="75">
        <f>INPUT!BS448</f>
        <v>0</v>
      </c>
      <c r="AU554" s="240" t="str">
        <f>INPUT!BT448</f>
        <v>NA</v>
      </c>
      <c r="AV554" s="75">
        <f>INPUT!BU448</f>
        <v>0</v>
      </c>
      <c r="AW554" s="240" t="str">
        <f>INPUT!BV448</f>
        <v>NA</v>
      </c>
      <c r="AX554" s="75"/>
      <c r="AY554" s="240"/>
      <c r="AZ554" s="75"/>
      <c r="BA554" s="240"/>
      <c r="BB554" s="75"/>
      <c r="BC554" s="240"/>
      <c r="BD554" s="75"/>
      <c r="BE554" s="240"/>
      <c r="BF554" s="75"/>
      <c r="BG554" s="240"/>
      <c r="BH554" s="75"/>
      <c r="BI554" s="240"/>
      <c r="BJ554" s="75"/>
      <c r="BK554" s="240"/>
      <c r="BL554" s="75"/>
      <c r="BM554" s="240"/>
      <c r="BN554" s="75"/>
      <c r="BO554" s="240"/>
      <c r="BP554" s="75"/>
      <c r="BQ554" s="240"/>
      <c r="BR554" s="75"/>
      <c r="BS554" s="240"/>
      <c r="BT554" s="75"/>
      <c r="BU554" s="240"/>
      <c r="BV554" s="75"/>
      <c r="BW554" s="240"/>
      <c r="BX554" s="75"/>
      <c r="BY554" s="240"/>
      <c r="BZ554" s="75"/>
      <c r="CA554" s="240"/>
      <c r="CB554" s="75"/>
      <c r="CC554" s="240"/>
      <c r="CD554" s="75"/>
      <c r="CE554" s="240"/>
      <c r="CF554" s="75"/>
      <c r="CG554" s="240"/>
      <c r="CH554" s="75"/>
      <c r="CI554" s="240"/>
      <c r="CJ554" s="75"/>
      <c r="CK554" s="240"/>
      <c r="CL554" s="75"/>
      <c r="CM554" s="240"/>
      <c r="CN554" s="75"/>
      <c r="CO554" s="240"/>
      <c r="CP554" s="75"/>
      <c r="CQ554" s="240"/>
      <c r="CR554" s="75"/>
      <c r="CS554" s="240"/>
      <c r="CT554" s="75"/>
      <c r="CU554" s="240"/>
      <c r="CV554" s="75"/>
      <c r="CW554" s="240"/>
      <c r="CX554" s="75"/>
      <c r="CY554" s="240"/>
      <c r="CZ554" s="75"/>
      <c r="DA554" s="240"/>
      <c r="DB554" s="75"/>
      <c r="DC554" s="240"/>
      <c r="DD554" s="75"/>
      <c r="DE554" s="240"/>
      <c r="DF554" s="75"/>
      <c r="DG554" s="240"/>
      <c r="DH554" s="75"/>
      <c r="DI554" s="240"/>
      <c r="DJ554" s="75"/>
      <c r="DK554" s="240"/>
      <c r="DL554" s="75"/>
      <c r="DM554" s="240"/>
      <c r="DN554" s="75"/>
      <c r="DO554" s="240"/>
      <c r="DP554" s="75"/>
      <c r="DQ554" s="240"/>
      <c r="DR554" s="75"/>
      <c r="DS554" s="240"/>
      <c r="DT554" s="75"/>
      <c r="DU554" s="240"/>
      <c r="DV554" s="75"/>
      <c r="DW554" s="240"/>
      <c r="DX554" s="75"/>
      <c r="DY554" s="240"/>
      <c r="DZ554" s="75"/>
      <c r="EA554" s="240"/>
      <c r="EB554" s="155" t="str">
        <f>INPUT!FI448</f>
        <v>NA</v>
      </c>
      <c r="EC554" s="75">
        <f>INPUT!FJ448</f>
        <v>1</v>
      </c>
      <c r="ED554" s="155">
        <f>INPUT!FK448</f>
        <v>0</v>
      </c>
      <c r="EE554" s="75">
        <f>INPUT!FL448</f>
        <v>0</v>
      </c>
      <c r="EF554" s="155" t="str">
        <f>INPUT!FM448</f>
        <v>NM</v>
      </c>
      <c r="EG554" s="75">
        <f>INPUT!FN448</f>
        <v>0</v>
      </c>
      <c r="EH554" s="155" t="str">
        <f>INPUT!FO448</f>
        <v>NA</v>
      </c>
      <c r="EI554" s="75">
        <f>INPUT!FP448</f>
        <v>0</v>
      </c>
      <c r="EJ554" s="240" t="str">
        <f>INPUT!FQ448</f>
        <v>NA</v>
      </c>
      <c r="EK554" s="75">
        <f>INPUT!FR448</f>
        <v>0</v>
      </c>
      <c r="EL554" s="240" t="str">
        <f>INPUT!FS448</f>
        <v>NA</v>
      </c>
      <c r="EM554" s="75">
        <f>INPUT!FT448</f>
        <v>0</v>
      </c>
      <c r="EN554" s="240" t="str">
        <f>INPUT!FU448</f>
        <v>NA</v>
      </c>
      <c r="EO554" s="75">
        <f>INPUT!FV448</f>
        <v>0</v>
      </c>
      <c r="EP554" s="240" t="str">
        <f>INPUT!FW448</f>
        <v>NA</v>
      </c>
      <c r="EQ554" s="75"/>
      <c r="ER554" s="240"/>
      <c r="ES554" s="75"/>
      <c r="ET554" s="240"/>
      <c r="EU554" s="75"/>
      <c r="EV554" s="240"/>
      <c r="EW554" s="75"/>
      <c r="EX554" s="240"/>
      <c r="EY554" s="75"/>
      <c r="EZ554" s="240"/>
      <c r="FA554" s="75"/>
      <c r="FB554" s="240"/>
      <c r="FC554" s="75"/>
      <c r="FD554" s="240"/>
      <c r="FE554" s="75"/>
      <c r="FF554" s="240"/>
      <c r="FG554" s="75"/>
      <c r="FH554" s="240"/>
      <c r="FI554" s="75"/>
      <c r="FJ554" s="240"/>
      <c r="FK554" s="75"/>
      <c r="FL554" s="240"/>
      <c r="FM554" s="75"/>
      <c r="FN554" s="240"/>
      <c r="FO554" s="75"/>
      <c r="FP554" s="240"/>
      <c r="FQ554" s="75"/>
      <c r="FR554" s="240"/>
      <c r="FS554" s="240"/>
    </row>
    <row r="555" spans="1:176" ht="12.75" hidden="1" customHeight="1" outlineLevel="1" x14ac:dyDescent="0.2">
      <c r="A555" s="70" t="str">
        <f>INPUT!B449</f>
        <v>Total Benefits and Expenses</v>
      </c>
      <c r="B555" s="91">
        <f>INPUT!AA449</f>
        <v>63</v>
      </c>
      <c r="C555" s="155">
        <f>INPUT!AB449</f>
        <v>-21.25</v>
      </c>
      <c r="D555" s="91">
        <f>INPUT!AC449</f>
        <v>60</v>
      </c>
      <c r="E555" s="155">
        <f>INPUT!AD449</f>
        <v>-29.411764705882348</v>
      </c>
      <c r="F555" s="91">
        <f>INPUT!AE449</f>
        <v>60</v>
      </c>
      <c r="G555" s="155">
        <f>INPUT!AF449</f>
        <v>-25.925925925925924</v>
      </c>
      <c r="H555" s="91">
        <f>INPUT!AG449</f>
        <v>67</v>
      </c>
      <c r="I555" s="155">
        <f>INPUT!AH449</f>
        <v>-21.17647058823529</v>
      </c>
      <c r="J555" s="91">
        <f>INPUT!AI449</f>
        <v>82</v>
      </c>
      <c r="K555" s="155">
        <f>INPUT!AJ449</f>
        <v>30.158730158730151</v>
      </c>
      <c r="L555" s="91">
        <f>INPUT!AK449</f>
        <v>94</v>
      </c>
      <c r="M555" s="155">
        <f>INPUT!AL449</f>
        <v>56.666666666666657</v>
      </c>
      <c r="N555" s="91">
        <f>INPUT!AM449</f>
        <v>99</v>
      </c>
      <c r="O555" s="155">
        <f>INPUT!AN449</f>
        <v>65</v>
      </c>
      <c r="P555" s="91">
        <f>INPUT!AO449</f>
        <v>94</v>
      </c>
      <c r="Q555" s="155">
        <f>INPUT!AP449</f>
        <v>40.298507462686587</v>
      </c>
      <c r="R555" s="91">
        <f>INPUT!AQ449</f>
        <v>103</v>
      </c>
      <c r="S555" s="155">
        <f>INPUT!AR449</f>
        <v>25.609756097560975</v>
      </c>
      <c r="T555" s="91">
        <f>INPUT!AS449</f>
        <v>87</v>
      </c>
      <c r="U555" s="155">
        <f>INPUT!AT449</f>
        <v>-7.4468085106383057</v>
      </c>
      <c r="V555" s="91">
        <f>INPUT!AU449</f>
        <v>97</v>
      </c>
      <c r="W555" s="155">
        <f>INPUT!AV449</f>
        <v>-2.0202020202020208</v>
      </c>
      <c r="X555" s="91">
        <f>INPUT!AW449</f>
        <v>94</v>
      </c>
      <c r="Y555" s="155">
        <f>INPUT!AX449</f>
        <v>0</v>
      </c>
      <c r="Z555" s="91">
        <f>INPUT!AY449</f>
        <v>106</v>
      </c>
      <c r="AA555" s="155">
        <f>INPUT!AZ449</f>
        <v>2.9126213592232943</v>
      </c>
      <c r="AB555" s="91">
        <f>INPUT!BA449</f>
        <v>112</v>
      </c>
      <c r="AC555" s="155">
        <f>INPUT!BB449</f>
        <v>28.735632183908052</v>
      </c>
      <c r="AD555" s="91">
        <f>INPUT!BC449</f>
        <v>101</v>
      </c>
      <c r="AE555" s="155">
        <f>INPUT!BD449</f>
        <v>4.1237113402061993</v>
      </c>
      <c r="AF555" s="91">
        <f>INPUT!BE449</f>
        <v>128</v>
      </c>
      <c r="AG555" s="155">
        <f>INPUT!BF449</f>
        <v>36.170212765957444</v>
      </c>
      <c r="AH555" s="91">
        <f>INPUT!BG449</f>
        <v>115</v>
      </c>
      <c r="AI555" s="240">
        <f>INPUT!BH449</f>
        <v>8.49056603773586</v>
      </c>
      <c r="AJ555" s="91">
        <f>INPUT!BI449</f>
        <v>126</v>
      </c>
      <c r="AK555" s="240">
        <f>INPUT!BJ449</f>
        <v>12.5</v>
      </c>
      <c r="AL555" s="91">
        <f>INPUT!BK449</f>
        <v>137</v>
      </c>
      <c r="AM555" s="240">
        <f>INPUT!BL449</f>
        <v>35.643564356435661</v>
      </c>
      <c r="AN555" s="91">
        <f>INPUT!BM449</f>
        <v>132</v>
      </c>
      <c r="AO555" s="240">
        <f>INPUT!BN449</f>
        <v>3.125</v>
      </c>
      <c r="AP555" s="91">
        <f>INPUT!BO449</f>
        <v>109</v>
      </c>
      <c r="AQ555" s="240">
        <f>INPUT!BP449</f>
        <v>-5.2173913043478279</v>
      </c>
      <c r="AR555" s="91">
        <f>INPUT!BQ449</f>
        <v>87</v>
      </c>
      <c r="AS555" s="240">
        <f>INPUT!BR449</f>
        <v>-30.952380952380949</v>
      </c>
      <c r="AT555" s="91">
        <f>INPUT!BS449</f>
        <v>81</v>
      </c>
      <c r="AU555" s="240">
        <f>INPUT!BT449</f>
        <v>-40.87591240875912</v>
      </c>
      <c r="AV555" s="91">
        <f>INPUT!BU449</f>
        <v>176</v>
      </c>
      <c r="AW555" s="240">
        <f>INPUT!BV449</f>
        <v>33.333333333333314</v>
      </c>
      <c r="AX555" s="91"/>
      <c r="AY555" s="240"/>
      <c r="AZ555" s="91"/>
      <c r="BA555" s="240"/>
      <c r="BB555" s="91"/>
      <c r="BC555" s="240"/>
      <c r="BD555" s="91"/>
      <c r="BE555" s="240"/>
      <c r="BF555" s="91"/>
      <c r="BG555" s="240"/>
      <c r="BH555" s="91"/>
      <c r="BI555" s="240"/>
      <c r="BJ555" s="91"/>
      <c r="BK555" s="240"/>
      <c r="BL555" s="91"/>
      <c r="BM555" s="240"/>
      <c r="BN555" s="91"/>
      <c r="BO555" s="240"/>
      <c r="BP555" s="91"/>
      <c r="BQ555" s="240"/>
      <c r="BR555" s="91"/>
      <c r="BS555" s="240"/>
      <c r="BT555" s="91"/>
      <c r="BU555" s="240"/>
      <c r="BV555" s="91"/>
      <c r="BW555" s="240"/>
      <c r="BX555" s="91"/>
      <c r="BY555" s="240"/>
      <c r="BZ555" s="91"/>
      <c r="CA555" s="240"/>
      <c r="CB555" s="91"/>
      <c r="CC555" s="240"/>
      <c r="CD555" s="91"/>
      <c r="CE555" s="240"/>
      <c r="CF555" s="91"/>
      <c r="CG555" s="240"/>
      <c r="CH555" s="91"/>
      <c r="CI555" s="240"/>
      <c r="CJ555" s="91"/>
      <c r="CK555" s="240"/>
      <c r="CL555" s="91"/>
      <c r="CM555" s="240"/>
      <c r="CN555" s="91"/>
      <c r="CO555" s="240"/>
      <c r="CP555" s="91"/>
      <c r="CQ555" s="240"/>
      <c r="CR555" s="91"/>
      <c r="CS555" s="240"/>
      <c r="CT555" s="91"/>
      <c r="CU555" s="240"/>
      <c r="CV555" s="91"/>
      <c r="CW555" s="240"/>
      <c r="CX555" s="91"/>
      <c r="CY555" s="240"/>
      <c r="CZ555" s="91"/>
      <c r="DA555" s="240"/>
      <c r="DB555" s="91"/>
      <c r="DC555" s="240"/>
      <c r="DD555" s="91"/>
      <c r="DE555" s="240"/>
      <c r="DF555" s="91"/>
      <c r="DG555" s="240"/>
      <c r="DH555" s="91"/>
      <c r="DI555" s="240"/>
      <c r="DJ555" s="91"/>
      <c r="DK555" s="240"/>
      <c r="DL555" s="91"/>
      <c r="DM555" s="240"/>
      <c r="DN555" s="91"/>
      <c r="DO555" s="240"/>
      <c r="DP555" s="91"/>
      <c r="DQ555" s="240"/>
      <c r="DR555" s="91"/>
      <c r="DS555" s="240"/>
      <c r="DT555" s="91"/>
      <c r="DU555" s="240"/>
      <c r="DV555" s="91"/>
      <c r="DW555" s="240"/>
      <c r="DX555" s="91"/>
      <c r="DY555" s="240"/>
      <c r="DZ555" s="91"/>
      <c r="EA555" s="240"/>
      <c r="EB555" s="155">
        <f>INPUT!FI449</f>
        <v>-49.262536873156336</v>
      </c>
      <c r="EC555" s="91">
        <f>INPUT!FJ449</f>
        <v>331</v>
      </c>
      <c r="ED555" s="155">
        <f>INPUT!FK449</f>
        <v>-3.7790697674418539</v>
      </c>
      <c r="EE555" s="91">
        <f>INPUT!FL449</f>
        <v>250</v>
      </c>
      <c r="EF555" s="155">
        <f>INPUT!FM449</f>
        <v>-24.471299093655588</v>
      </c>
      <c r="EG555" s="91">
        <f>INPUT!FN449</f>
        <v>369</v>
      </c>
      <c r="EH555" s="155">
        <f>INPUT!FO449</f>
        <v>47.599999999999994</v>
      </c>
      <c r="EI555" s="91">
        <f>INPUT!FP449</f>
        <v>381</v>
      </c>
      <c r="EJ555" s="240">
        <f>INPUT!FQ449</f>
        <v>3.2520325203252014</v>
      </c>
      <c r="EK555" s="91">
        <f>INPUT!FR449</f>
        <v>447</v>
      </c>
      <c r="EL555" s="240">
        <f>INPUT!FS449</f>
        <v>17.322834645669289</v>
      </c>
      <c r="EM555" s="91">
        <f>INPUT!FT449</f>
        <v>510</v>
      </c>
      <c r="EN555" s="240">
        <f>INPUT!FU449</f>
        <v>14.09395973154362</v>
      </c>
      <c r="EO555" s="91">
        <f>INPUT!FV449</f>
        <v>453</v>
      </c>
      <c r="EP555" s="240">
        <f>INPUT!FW449</f>
        <v>-11.176470588235304</v>
      </c>
      <c r="EQ555" s="91"/>
      <c r="ER555" s="240"/>
      <c r="ES555" s="91"/>
      <c r="ET555" s="240"/>
      <c r="EU555" s="91"/>
      <c r="EV555" s="240"/>
      <c r="EW555" s="91"/>
      <c r="EX555" s="240"/>
      <c r="EY555" s="91"/>
      <c r="EZ555" s="240"/>
      <c r="FA555" s="91"/>
      <c r="FB555" s="240"/>
      <c r="FC555" s="91"/>
      <c r="FD555" s="240"/>
      <c r="FE555" s="91"/>
      <c r="FF555" s="240"/>
      <c r="FG555" s="91"/>
      <c r="FH555" s="240"/>
      <c r="FI555" s="91"/>
      <c r="FJ555" s="240"/>
      <c r="FK555" s="91"/>
      <c r="FL555" s="240"/>
      <c r="FM555" s="91"/>
      <c r="FN555" s="240"/>
      <c r="FO555" s="91"/>
      <c r="FP555" s="240"/>
      <c r="FQ555" s="91"/>
      <c r="FR555" s="240"/>
      <c r="FS555" s="240"/>
    </row>
    <row r="556" spans="1:176" ht="12.75" hidden="1" customHeight="1" outlineLevel="1" x14ac:dyDescent="0.2">
      <c r="A556" s="77"/>
      <c r="B556" s="511"/>
      <c r="C556" s="487"/>
      <c r="D556" s="511"/>
      <c r="E556" s="487"/>
      <c r="F556" s="511"/>
      <c r="G556" s="487"/>
      <c r="H556" s="511"/>
      <c r="I556" s="487"/>
      <c r="J556" s="511"/>
      <c r="K556" s="487"/>
      <c r="L556" s="511"/>
      <c r="M556" s="487"/>
      <c r="N556" s="511"/>
      <c r="O556" s="487"/>
      <c r="P556" s="511"/>
      <c r="Q556" s="487"/>
      <c r="R556" s="511"/>
      <c r="S556" s="487"/>
      <c r="T556" s="511"/>
      <c r="U556" s="487"/>
      <c r="V556" s="511"/>
      <c r="W556" s="487"/>
      <c r="X556" s="511"/>
      <c r="Y556" s="487"/>
      <c r="Z556" s="511"/>
      <c r="AA556" s="487"/>
      <c r="AB556" s="511"/>
      <c r="AC556" s="487"/>
      <c r="AD556" s="511"/>
      <c r="AE556" s="487"/>
      <c r="AF556" s="511"/>
      <c r="AG556" s="487"/>
      <c r="AH556" s="511"/>
      <c r="AI556" s="486"/>
      <c r="AJ556" s="511"/>
      <c r="AK556" s="486"/>
      <c r="AL556" s="511"/>
      <c r="AM556" s="486"/>
      <c r="AN556" s="511"/>
      <c r="AO556" s="486"/>
      <c r="AP556" s="511"/>
      <c r="AQ556" s="486"/>
      <c r="AR556" s="511"/>
      <c r="AS556" s="486"/>
      <c r="AT556" s="511"/>
      <c r="AU556" s="486"/>
      <c r="AV556" s="511"/>
      <c r="AW556" s="486"/>
      <c r="AX556" s="511"/>
      <c r="AY556" s="486"/>
      <c r="AZ556" s="511"/>
      <c r="BA556" s="486"/>
      <c r="BB556" s="511"/>
      <c r="BC556" s="486"/>
      <c r="BD556" s="511"/>
      <c r="BE556" s="486"/>
      <c r="BF556" s="511"/>
      <c r="BG556" s="486"/>
      <c r="BH556" s="511"/>
      <c r="BI556" s="486"/>
      <c r="BJ556" s="511"/>
      <c r="BK556" s="486"/>
      <c r="BL556" s="511"/>
      <c r="BM556" s="486"/>
      <c r="BN556" s="511"/>
      <c r="BO556" s="486"/>
      <c r="BP556" s="511"/>
      <c r="BQ556" s="486"/>
      <c r="BR556" s="511"/>
      <c r="BS556" s="486"/>
      <c r="BT556" s="511"/>
      <c r="BU556" s="486"/>
      <c r="BV556" s="511"/>
      <c r="BW556" s="486"/>
      <c r="BX556" s="511"/>
      <c r="BY556" s="486"/>
      <c r="BZ556" s="511"/>
      <c r="CA556" s="486"/>
      <c r="CB556" s="511"/>
      <c r="CC556" s="486"/>
      <c r="CD556" s="511"/>
      <c r="CE556" s="486"/>
      <c r="CF556" s="511"/>
      <c r="CG556" s="486"/>
      <c r="CH556" s="511"/>
      <c r="CI556" s="486"/>
      <c r="CJ556" s="511"/>
      <c r="CK556" s="486"/>
      <c r="CL556" s="511"/>
      <c r="CM556" s="486"/>
      <c r="CN556" s="511"/>
      <c r="CO556" s="486"/>
      <c r="CP556" s="511"/>
      <c r="CQ556" s="486"/>
      <c r="CR556" s="511"/>
      <c r="CS556" s="486"/>
      <c r="CT556" s="511"/>
      <c r="CU556" s="486"/>
      <c r="CV556" s="511"/>
      <c r="CW556" s="486"/>
      <c r="CX556" s="511"/>
      <c r="CY556" s="486"/>
      <c r="CZ556" s="511"/>
      <c r="DA556" s="486"/>
      <c r="DB556" s="511"/>
      <c r="DC556" s="486"/>
      <c r="DD556" s="511"/>
      <c r="DE556" s="486"/>
      <c r="DF556" s="511"/>
      <c r="DG556" s="486"/>
      <c r="DH556" s="511"/>
      <c r="DI556" s="486"/>
      <c r="DJ556" s="511"/>
      <c r="DK556" s="486"/>
      <c r="DL556" s="511"/>
      <c r="DM556" s="486"/>
      <c r="DN556" s="511"/>
      <c r="DO556" s="486"/>
      <c r="DP556" s="511"/>
      <c r="DQ556" s="486"/>
      <c r="DR556" s="511"/>
      <c r="DS556" s="486"/>
      <c r="DT556" s="511"/>
      <c r="DU556" s="486"/>
      <c r="DV556" s="511"/>
      <c r="DW556" s="486"/>
      <c r="DX556" s="511"/>
      <c r="DY556" s="486"/>
      <c r="DZ556" s="511"/>
      <c r="EA556" s="486"/>
      <c r="EB556" s="487"/>
      <c r="EC556" s="511"/>
      <c r="ED556" s="487"/>
      <c r="EE556" s="511"/>
      <c r="EF556" s="487"/>
      <c r="EG556" s="511"/>
      <c r="EH556" s="487"/>
      <c r="EI556" s="511"/>
      <c r="EJ556" s="486"/>
      <c r="EK556" s="511"/>
      <c r="EL556" s="486"/>
      <c r="EM556" s="511"/>
      <c r="EN556" s="486"/>
      <c r="EO556" s="511"/>
      <c r="EP556" s="486"/>
      <c r="EQ556" s="511"/>
      <c r="ER556" s="486"/>
      <c r="ES556" s="511"/>
      <c r="ET556" s="486"/>
      <c r="EU556" s="511"/>
      <c r="EV556" s="486"/>
      <c r="EW556" s="511"/>
      <c r="EX556" s="486"/>
      <c r="EY556" s="511"/>
      <c r="EZ556" s="486"/>
      <c r="FA556" s="511"/>
      <c r="FB556" s="486"/>
      <c r="FC556" s="511"/>
      <c r="FD556" s="486"/>
      <c r="FE556" s="511"/>
      <c r="FF556" s="486"/>
      <c r="FG556" s="511"/>
      <c r="FH556" s="486"/>
      <c r="FI556" s="511"/>
      <c r="FJ556" s="486"/>
      <c r="FK556" s="511"/>
      <c r="FL556" s="486"/>
      <c r="FM556" s="511"/>
      <c r="FN556" s="486"/>
      <c r="FO556" s="511"/>
      <c r="FP556" s="486"/>
      <c r="FQ556" s="511"/>
      <c r="FR556" s="486"/>
      <c r="FS556" s="486"/>
    </row>
    <row r="557" spans="1:176" ht="12.75" hidden="1" customHeight="1" outlineLevel="1" x14ac:dyDescent="0.2">
      <c r="A557" s="512" t="s">
        <v>706</v>
      </c>
      <c r="B557" s="506">
        <f>INPUT!AA453</f>
        <v>2</v>
      </c>
      <c r="C557" s="513" t="str">
        <f>INPUT!AB453</f>
        <v>NA</v>
      </c>
      <c r="D557" s="506">
        <f>INPUT!AC453</f>
        <v>9</v>
      </c>
      <c r="E557" s="513" t="str">
        <f>INPUT!AD453</f>
        <v>NM</v>
      </c>
      <c r="F557" s="506">
        <f>INPUT!AE453</f>
        <v>8</v>
      </c>
      <c r="G557" s="513" t="str">
        <f>INPUT!AF453</f>
        <v>NM</v>
      </c>
      <c r="H557" s="506">
        <f>INPUT!AG453</f>
        <v>-31</v>
      </c>
      <c r="I557" s="513" t="str">
        <f>INPUT!AH453</f>
        <v>NM</v>
      </c>
      <c r="J557" s="506">
        <f>INPUT!AI453</f>
        <v>5</v>
      </c>
      <c r="K557" s="513" t="str">
        <f>INPUT!AJ453</f>
        <v>NM</v>
      </c>
      <c r="L557" s="506">
        <f>INPUT!AK453</f>
        <v>20</v>
      </c>
      <c r="M557" s="513" t="str">
        <f>INPUT!AL453</f>
        <v>NM</v>
      </c>
      <c r="N557" s="506">
        <f>INPUT!AM453</f>
        <v>19</v>
      </c>
      <c r="O557" s="513" t="str">
        <f>INPUT!AN453</f>
        <v>NM</v>
      </c>
      <c r="P557" s="506">
        <f>INPUT!AO453</f>
        <v>33</v>
      </c>
      <c r="Q557" s="513" t="str">
        <f>INPUT!AP453</f>
        <v>NM</v>
      </c>
      <c r="R557" s="506">
        <f>INPUT!AQ453</f>
        <v>25</v>
      </c>
      <c r="S557" s="513" t="str">
        <f>INPUT!AR453</f>
        <v>NM</v>
      </c>
      <c r="T557" s="506">
        <f>INPUT!AS453</f>
        <v>19</v>
      </c>
      <c r="U557" s="513">
        <f>INPUT!AT453</f>
        <v>-5</v>
      </c>
      <c r="V557" s="506">
        <f>INPUT!AU453</f>
        <v>25</v>
      </c>
      <c r="W557" s="513">
        <f>INPUT!AV453</f>
        <v>31.578947368421069</v>
      </c>
      <c r="X557" s="506">
        <f>INPUT!AW453</f>
        <v>37</v>
      </c>
      <c r="Y557" s="513">
        <f>INPUT!AX453</f>
        <v>12.12121212121211</v>
      </c>
      <c r="Z557" s="506">
        <f>INPUT!AY453</f>
        <v>44</v>
      </c>
      <c r="AA557" s="513">
        <f>INPUT!AZ453</f>
        <v>76</v>
      </c>
      <c r="AB557" s="506">
        <f>INPUT!BA453</f>
        <v>34</v>
      </c>
      <c r="AC557" s="513">
        <f>INPUT!BB453</f>
        <v>78.94736842105263</v>
      </c>
      <c r="AD557" s="506">
        <f>INPUT!BC453</f>
        <v>31</v>
      </c>
      <c r="AE557" s="513">
        <f>INPUT!BD453</f>
        <v>24</v>
      </c>
      <c r="AF557" s="506">
        <f>INPUT!BE453</f>
        <v>34</v>
      </c>
      <c r="AG557" s="513">
        <f>INPUT!BF453</f>
        <v>-8.1081081081080981</v>
      </c>
      <c r="AH557" s="506">
        <f>INPUT!BG453</f>
        <v>62</v>
      </c>
      <c r="AI557" s="507">
        <f>INPUT!BH453</f>
        <v>40.909090909090907</v>
      </c>
      <c r="AJ557" s="506">
        <f>INPUT!BI453</f>
        <v>43</v>
      </c>
      <c r="AK557" s="507">
        <f>INPUT!BJ453</f>
        <v>26.470588235294116</v>
      </c>
      <c r="AL557" s="506">
        <f>INPUT!BK453</f>
        <v>114</v>
      </c>
      <c r="AM557" s="507" t="str">
        <f>INPUT!BL453</f>
        <v>NM</v>
      </c>
      <c r="AN557" s="506">
        <f>INPUT!BM453</f>
        <v>40</v>
      </c>
      <c r="AO557" s="507">
        <f>INPUT!BN453</f>
        <v>17.64705882352942</v>
      </c>
      <c r="AP557" s="506">
        <f>INPUT!BO453</f>
        <v>7</v>
      </c>
      <c r="AQ557" s="507" t="str">
        <f>INPUT!BP453</f>
        <v>NM</v>
      </c>
      <c r="AR557" s="506">
        <f>INPUT!BQ453</f>
        <v>13</v>
      </c>
      <c r="AS557" s="507" t="str">
        <f>INPUT!BR453</f>
        <v>NM</v>
      </c>
      <c r="AT557" s="506">
        <f>INPUT!BS453</f>
        <v>27</v>
      </c>
      <c r="AU557" s="507" t="str">
        <f>INPUT!BT453</f>
        <v>NM</v>
      </c>
      <c r="AV557" s="506">
        <f>INPUT!BU453</f>
        <v>-407</v>
      </c>
      <c r="AW557" s="507" t="str">
        <f>INPUT!BV453</f>
        <v>NM</v>
      </c>
      <c r="AX557" s="506"/>
      <c r="AY557" s="507"/>
      <c r="AZ557" s="506"/>
      <c r="BA557" s="507"/>
      <c r="BB557" s="506"/>
      <c r="BC557" s="507"/>
      <c r="BD557" s="506"/>
      <c r="BE557" s="507"/>
      <c r="BF557" s="506"/>
      <c r="BG557" s="507"/>
      <c r="BH557" s="506"/>
      <c r="BI557" s="507"/>
      <c r="BJ557" s="506"/>
      <c r="BK557" s="507"/>
      <c r="BL557" s="506"/>
      <c r="BM557" s="507"/>
      <c r="BN557" s="506"/>
      <c r="BO557" s="507"/>
      <c r="BP557" s="506"/>
      <c r="BQ557" s="507"/>
      <c r="BR557" s="506"/>
      <c r="BS557" s="507"/>
      <c r="BT557" s="506"/>
      <c r="BU557" s="507"/>
      <c r="BV557" s="506"/>
      <c r="BW557" s="507"/>
      <c r="BX557" s="506"/>
      <c r="BY557" s="507"/>
      <c r="BZ557" s="506"/>
      <c r="CA557" s="507"/>
      <c r="CB557" s="506"/>
      <c r="CC557" s="507"/>
      <c r="CD557" s="506"/>
      <c r="CE557" s="507"/>
      <c r="CF557" s="506"/>
      <c r="CG557" s="507"/>
      <c r="CH557" s="506"/>
      <c r="CI557" s="507"/>
      <c r="CJ557" s="506"/>
      <c r="CK557" s="507"/>
      <c r="CL557" s="506"/>
      <c r="CM557" s="507"/>
      <c r="CN557" s="506"/>
      <c r="CO557" s="507"/>
      <c r="CP557" s="506"/>
      <c r="CQ557" s="507"/>
      <c r="CR557" s="506"/>
      <c r="CS557" s="507"/>
      <c r="CT557" s="506"/>
      <c r="CU557" s="507"/>
      <c r="CV557" s="506"/>
      <c r="CW557" s="507"/>
      <c r="CX557" s="506"/>
      <c r="CY557" s="507"/>
      <c r="CZ557" s="506"/>
      <c r="DA557" s="507"/>
      <c r="DB557" s="506"/>
      <c r="DC557" s="507"/>
      <c r="DD557" s="506"/>
      <c r="DE557" s="507"/>
      <c r="DF557" s="506"/>
      <c r="DG557" s="507"/>
      <c r="DH557" s="506"/>
      <c r="DI557" s="507"/>
      <c r="DJ557" s="506"/>
      <c r="DK557" s="507"/>
      <c r="DL557" s="506"/>
      <c r="DM557" s="507"/>
      <c r="DN557" s="506"/>
      <c r="DO557" s="507"/>
      <c r="DP557" s="506"/>
      <c r="DQ557" s="507"/>
      <c r="DR557" s="506"/>
      <c r="DS557" s="507"/>
      <c r="DT557" s="506"/>
      <c r="DU557" s="507"/>
      <c r="DV557" s="506"/>
      <c r="DW557" s="507"/>
      <c r="DX557" s="506"/>
      <c r="DY557" s="507"/>
      <c r="DZ557" s="506"/>
      <c r="EA557" s="507"/>
      <c r="EB557" s="513" t="str">
        <f>INPUT!FI453</f>
        <v>NM</v>
      </c>
      <c r="EC557" s="506">
        <f>INPUT!FJ453</f>
        <v>-6</v>
      </c>
      <c r="ED557" s="513" t="str">
        <f>INPUT!FK453</f>
        <v>NM</v>
      </c>
      <c r="EE557" s="506">
        <f>INPUT!FL453</f>
        <v>-12</v>
      </c>
      <c r="EF557" s="513">
        <f>INPUT!FM453</f>
        <v>100</v>
      </c>
      <c r="EG557" s="506">
        <f>INPUT!FN453</f>
        <v>77</v>
      </c>
      <c r="EH557" s="513" t="str">
        <f>INPUT!FO453</f>
        <v>NM</v>
      </c>
      <c r="EI557" s="506">
        <f>INPUT!FP453</f>
        <v>106</v>
      </c>
      <c r="EJ557" s="507">
        <f>INPUT!FQ453</f>
        <v>37.662337662337677</v>
      </c>
      <c r="EK557" s="506">
        <f>INPUT!FR453</f>
        <v>143</v>
      </c>
      <c r="EL557" s="507">
        <f>INPUT!FS453</f>
        <v>34.905660377358487</v>
      </c>
      <c r="EM557" s="506">
        <f>INPUT!FT453</f>
        <v>259</v>
      </c>
      <c r="EN557" s="507">
        <f>INPUT!FU453</f>
        <v>81.11888111888112</v>
      </c>
      <c r="EO557" s="506">
        <f>INPUT!FV453</f>
        <v>-360</v>
      </c>
      <c r="EP557" s="507" t="str">
        <f>INPUT!FW453</f>
        <v>NM</v>
      </c>
      <c r="EQ557" s="506"/>
      <c r="ER557" s="507"/>
      <c r="ES557" s="506"/>
      <c r="ET557" s="507"/>
      <c r="EU557" s="506"/>
      <c r="EV557" s="507"/>
      <c r="EW557" s="506"/>
      <c r="EX557" s="507"/>
      <c r="EY557" s="506"/>
      <c r="EZ557" s="507"/>
      <c r="FA557" s="506"/>
      <c r="FB557" s="507"/>
      <c r="FC557" s="506"/>
      <c r="FD557" s="507"/>
      <c r="FE557" s="506"/>
      <c r="FF557" s="507"/>
      <c r="FG557" s="506"/>
      <c r="FH557" s="507"/>
      <c r="FI557" s="506"/>
      <c r="FJ557" s="507"/>
      <c r="FK557" s="506"/>
      <c r="FL557" s="507"/>
      <c r="FM557" s="506"/>
      <c r="FN557" s="507"/>
      <c r="FO557" s="506"/>
      <c r="FP557" s="507"/>
      <c r="FQ557" s="506"/>
      <c r="FR557" s="507"/>
      <c r="FS557" s="507"/>
    </row>
    <row r="558" spans="1:176" ht="12.75" hidden="1" customHeight="1" outlineLevel="1" x14ac:dyDescent="0.2">
      <c r="A558" s="76"/>
      <c r="B558" s="511"/>
      <c r="C558" s="487"/>
      <c r="D558" s="511"/>
      <c r="E558" s="487"/>
      <c r="F558" s="511"/>
      <c r="G558" s="487"/>
      <c r="H558" s="511"/>
      <c r="I558" s="487"/>
      <c r="J558" s="511"/>
      <c r="K558" s="487"/>
      <c r="L558" s="511"/>
      <c r="M558" s="487"/>
      <c r="N558" s="511"/>
      <c r="O558" s="487"/>
      <c r="P558" s="511"/>
      <c r="Q558" s="487"/>
      <c r="R558" s="511"/>
      <c r="S558" s="487"/>
      <c r="T558" s="511"/>
      <c r="U558" s="487"/>
      <c r="V558" s="511"/>
      <c r="W558" s="487"/>
      <c r="X558" s="511"/>
      <c r="Y558" s="487"/>
      <c r="Z558" s="511"/>
      <c r="AA558" s="487"/>
      <c r="AB558" s="511"/>
      <c r="AC558" s="487"/>
      <c r="AD558" s="511"/>
      <c r="AE558" s="487"/>
      <c r="AF558" s="511"/>
      <c r="AG558" s="487"/>
      <c r="AH558" s="511"/>
      <c r="AI558" s="486"/>
      <c r="AJ558" s="511"/>
      <c r="AK558" s="486"/>
      <c r="AL558" s="511"/>
      <c r="AM558" s="486"/>
      <c r="AN558" s="511"/>
      <c r="AO558" s="486"/>
      <c r="AP558" s="511"/>
      <c r="AQ558" s="486"/>
      <c r="AR558" s="511"/>
      <c r="AS558" s="486"/>
      <c r="AT558" s="511"/>
      <c r="AU558" s="486"/>
      <c r="AV558" s="511"/>
      <c r="AW558" s="486"/>
      <c r="AX558" s="511"/>
      <c r="AY558" s="486"/>
      <c r="AZ558" s="511"/>
      <c r="BA558" s="486"/>
      <c r="BB558" s="511"/>
      <c r="BC558" s="486"/>
      <c r="BD558" s="511"/>
      <c r="BE558" s="486"/>
      <c r="BF558" s="511"/>
      <c r="BG558" s="486"/>
      <c r="BH558" s="511"/>
      <c r="BI558" s="486"/>
      <c r="BJ558" s="511"/>
      <c r="BK558" s="486"/>
      <c r="BL558" s="511"/>
      <c r="BM558" s="486"/>
      <c r="BN558" s="511"/>
      <c r="BO558" s="486"/>
      <c r="BP558" s="511"/>
      <c r="BQ558" s="486"/>
      <c r="BR558" s="511"/>
      <c r="BS558" s="486"/>
      <c r="BT558" s="511"/>
      <c r="BU558" s="486"/>
      <c r="BV558" s="511"/>
      <c r="BW558" s="486"/>
      <c r="BX558" s="511"/>
      <c r="BY558" s="486"/>
      <c r="BZ558" s="511"/>
      <c r="CA558" s="486"/>
      <c r="CB558" s="511"/>
      <c r="CC558" s="486"/>
      <c r="CD558" s="511"/>
      <c r="CE558" s="486"/>
      <c r="CF558" s="511"/>
      <c r="CG558" s="486"/>
      <c r="CH558" s="511"/>
      <c r="CI558" s="486"/>
      <c r="CJ558" s="511"/>
      <c r="CK558" s="486"/>
      <c r="CL558" s="511"/>
      <c r="CM558" s="486"/>
      <c r="CN558" s="511"/>
      <c r="CO558" s="486"/>
      <c r="CP558" s="511"/>
      <c r="CQ558" s="486"/>
      <c r="CR558" s="511"/>
      <c r="CS558" s="486"/>
      <c r="CT558" s="511"/>
      <c r="CU558" s="486"/>
      <c r="CV558" s="511"/>
      <c r="CW558" s="486"/>
      <c r="CX558" s="511"/>
      <c r="CY558" s="486"/>
      <c r="CZ558" s="511"/>
      <c r="DA558" s="486"/>
      <c r="DB558" s="511"/>
      <c r="DC558" s="486"/>
      <c r="DD558" s="511"/>
      <c r="DE558" s="486"/>
      <c r="DF558" s="511"/>
      <c r="DG558" s="486"/>
      <c r="DH558" s="511"/>
      <c r="DI558" s="486"/>
      <c r="DJ558" s="511"/>
      <c r="DK558" s="486"/>
      <c r="DL558" s="511"/>
      <c r="DM558" s="486"/>
      <c r="DN558" s="511"/>
      <c r="DO558" s="486"/>
      <c r="DP558" s="511"/>
      <c r="DQ558" s="486"/>
      <c r="DR558" s="511"/>
      <c r="DS558" s="486"/>
      <c r="DT558" s="511"/>
      <c r="DU558" s="486"/>
      <c r="DV558" s="511"/>
      <c r="DW558" s="486"/>
      <c r="DX558" s="511"/>
      <c r="DY558" s="486"/>
      <c r="DZ558" s="511"/>
      <c r="EA558" s="486"/>
      <c r="EB558" s="487"/>
      <c r="EC558" s="511"/>
      <c r="ED558" s="487"/>
      <c r="EE558" s="511"/>
      <c r="EF558" s="487"/>
      <c r="EG558" s="511"/>
      <c r="EH558" s="487"/>
      <c r="EI558" s="511"/>
      <c r="EJ558" s="486"/>
      <c r="EK558" s="511"/>
      <c r="EL558" s="486"/>
      <c r="EM558" s="511"/>
      <c r="EN558" s="486"/>
      <c r="EO558" s="511"/>
      <c r="EP558" s="486"/>
      <c r="EQ558" s="511"/>
      <c r="ER558" s="486"/>
      <c r="ES558" s="511"/>
      <c r="ET558" s="486"/>
      <c r="EU558" s="511"/>
      <c r="EV558" s="486"/>
      <c r="EW558" s="511"/>
      <c r="EX558" s="486"/>
      <c r="EY558" s="511"/>
      <c r="EZ558" s="486"/>
      <c r="FA558" s="511"/>
      <c r="FB558" s="486"/>
      <c r="FC558" s="511"/>
      <c r="FD558" s="486"/>
      <c r="FE558" s="511"/>
      <c r="FF558" s="486"/>
      <c r="FG558" s="511"/>
      <c r="FH558" s="486"/>
      <c r="FI558" s="511"/>
      <c r="FJ558" s="486"/>
      <c r="FK558" s="511"/>
      <c r="FL558" s="486"/>
      <c r="FM558" s="511"/>
      <c r="FN558" s="486"/>
      <c r="FO558" s="511"/>
      <c r="FP558" s="486"/>
      <c r="FQ558" s="511"/>
      <c r="FR558" s="486"/>
      <c r="FS558" s="486"/>
    </row>
    <row r="559" spans="1:176" ht="12.75" hidden="1" customHeight="1" outlineLevel="1" x14ac:dyDescent="0.2">
      <c r="A559" s="70" t="s">
        <v>255</v>
      </c>
      <c r="B559" s="511"/>
      <c r="C559" s="487"/>
      <c r="D559" s="511"/>
      <c r="E559" s="487"/>
      <c r="F559" s="511"/>
      <c r="G559" s="487"/>
      <c r="H559" s="511"/>
      <c r="I559" s="487"/>
      <c r="J559" s="511"/>
      <c r="K559" s="487"/>
      <c r="L559" s="511"/>
      <c r="M559" s="487"/>
      <c r="N559" s="511"/>
      <c r="O559" s="487"/>
      <c r="P559" s="511"/>
      <c r="Q559" s="487"/>
      <c r="R559" s="511"/>
      <c r="S559" s="487"/>
      <c r="T559" s="511"/>
      <c r="U559" s="487"/>
      <c r="V559" s="511"/>
      <c r="W559" s="487"/>
      <c r="X559" s="511"/>
      <c r="Y559" s="487"/>
      <c r="Z559" s="511"/>
      <c r="AA559" s="487"/>
      <c r="AB559" s="511"/>
      <c r="AC559" s="487"/>
      <c r="AD559" s="511"/>
      <c r="AE559" s="487"/>
      <c r="AF559" s="511"/>
      <c r="AG559" s="487"/>
      <c r="AH559" s="511"/>
      <c r="AI559" s="486"/>
      <c r="AJ559" s="511"/>
      <c r="AK559" s="486"/>
      <c r="AL559" s="511"/>
      <c r="AM559" s="486"/>
      <c r="AN559" s="511"/>
      <c r="AO559" s="486"/>
      <c r="AP559" s="511"/>
      <c r="AQ559" s="486"/>
      <c r="AR559" s="511"/>
      <c r="AS559" s="486"/>
      <c r="AT559" s="511"/>
      <c r="AU559" s="486"/>
      <c r="AV559" s="511"/>
      <c r="AW559" s="486"/>
      <c r="AX559" s="511"/>
      <c r="AY559" s="486"/>
      <c r="AZ559" s="511"/>
      <c r="BA559" s="486"/>
      <c r="BB559" s="511"/>
      <c r="BC559" s="486"/>
      <c r="BD559" s="511"/>
      <c r="BE559" s="486"/>
      <c r="BF559" s="511"/>
      <c r="BG559" s="486"/>
      <c r="BH559" s="511"/>
      <c r="BI559" s="486"/>
      <c r="BJ559" s="511"/>
      <c r="BK559" s="486"/>
      <c r="BL559" s="511"/>
      <c r="BM559" s="486"/>
      <c r="BN559" s="511"/>
      <c r="BO559" s="486"/>
      <c r="BP559" s="511"/>
      <c r="BQ559" s="486"/>
      <c r="BR559" s="511"/>
      <c r="BS559" s="486"/>
      <c r="BT559" s="511"/>
      <c r="BU559" s="486"/>
      <c r="BV559" s="511"/>
      <c r="BW559" s="486"/>
      <c r="BX559" s="511"/>
      <c r="BY559" s="486"/>
      <c r="BZ559" s="511"/>
      <c r="CA559" s="486"/>
      <c r="CB559" s="511"/>
      <c r="CC559" s="486"/>
      <c r="CD559" s="511"/>
      <c r="CE559" s="486"/>
      <c r="CF559" s="511"/>
      <c r="CG559" s="486"/>
      <c r="CH559" s="511"/>
      <c r="CI559" s="486"/>
      <c r="CJ559" s="511"/>
      <c r="CK559" s="486"/>
      <c r="CL559" s="511"/>
      <c r="CM559" s="486"/>
      <c r="CN559" s="511"/>
      <c r="CO559" s="486"/>
      <c r="CP559" s="511"/>
      <c r="CQ559" s="486"/>
      <c r="CR559" s="511"/>
      <c r="CS559" s="486"/>
      <c r="CT559" s="511"/>
      <c r="CU559" s="486"/>
      <c r="CV559" s="511"/>
      <c r="CW559" s="486"/>
      <c r="CX559" s="511"/>
      <c r="CY559" s="486"/>
      <c r="CZ559" s="511"/>
      <c r="DA559" s="486"/>
      <c r="DB559" s="511"/>
      <c r="DC559" s="486"/>
      <c r="DD559" s="511"/>
      <c r="DE559" s="486"/>
      <c r="DF559" s="511"/>
      <c r="DG559" s="486"/>
      <c r="DH559" s="511"/>
      <c r="DI559" s="486"/>
      <c r="DJ559" s="511"/>
      <c r="DK559" s="486"/>
      <c r="DL559" s="511"/>
      <c r="DM559" s="486"/>
      <c r="DN559" s="511"/>
      <c r="DO559" s="486"/>
      <c r="DP559" s="511"/>
      <c r="DQ559" s="486"/>
      <c r="DR559" s="511"/>
      <c r="DS559" s="486"/>
      <c r="DT559" s="511"/>
      <c r="DU559" s="486"/>
      <c r="DV559" s="511"/>
      <c r="DW559" s="486"/>
      <c r="DX559" s="511"/>
      <c r="DY559" s="486"/>
      <c r="DZ559" s="511"/>
      <c r="EA559" s="486"/>
      <c r="EB559" s="487"/>
      <c r="EC559" s="511"/>
      <c r="ED559" s="487"/>
      <c r="EE559" s="511"/>
      <c r="EF559" s="487"/>
      <c r="EG559" s="511"/>
      <c r="EH559" s="487"/>
      <c r="EI559" s="511"/>
      <c r="EJ559" s="486"/>
      <c r="EK559" s="511"/>
      <c r="EL559" s="486"/>
      <c r="EM559" s="511"/>
      <c r="EN559" s="486"/>
      <c r="EO559" s="511"/>
      <c r="EP559" s="486"/>
      <c r="EQ559" s="511"/>
      <c r="ER559" s="486"/>
      <c r="ES559" s="511"/>
      <c r="ET559" s="486"/>
      <c r="EU559" s="511"/>
      <c r="EV559" s="486"/>
      <c r="EW559" s="511"/>
      <c r="EX559" s="486"/>
      <c r="EY559" s="511"/>
      <c r="EZ559" s="486"/>
      <c r="FA559" s="511"/>
      <c r="FB559" s="486"/>
      <c r="FC559" s="511"/>
      <c r="FD559" s="486"/>
      <c r="FE559" s="511"/>
      <c r="FF559" s="486"/>
      <c r="FG559" s="511"/>
      <c r="FH559" s="486"/>
      <c r="FI559" s="511"/>
      <c r="FJ559" s="486"/>
      <c r="FK559" s="511"/>
      <c r="FL559" s="486"/>
      <c r="FM559" s="511"/>
      <c r="FN559" s="486"/>
      <c r="FO559" s="511"/>
      <c r="FP559" s="486"/>
      <c r="FQ559" s="511"/>
      <c r="FR559" s="486"/>
      <c r="FS559" s="486"/>
    </row>
    <row r="560" spans="1:176" ht="12.75" hidden="1" customHeight="1" outlineLevel="1" x14ac:dyDescent="0.2">
      <c r="A560" s="77" t="str">
        <f>INPUT!B454</f>
        <v xml:space="preserve">  Pretax Margin</v>
      </c>
      <c r="B560" s="515">
        <f>INPUT!AA454</f>
        <v>3.0769230769230771</v>
      </c>
      <c r="C560" s="487" t="str">
        <f>INPUT!AB454</f>
        <v>NA</v>
      </c>
      <c r="D560" s="515">
        <f>INPUT!AC454</f>
        <v>13.043478260869565</v>
      </c>
      <c r="E560" s="487" t="str">
        <f>INPUT!AD454</f>
        <v>NM</v>
      </c>
      <c r="F560" s="515">
        <f>INPUT!AE454</f>
        <v>11.76470588235294</v>
      </c>
      <c r="G560" s="487" t="str">
        <f>INPUT!AF454</f>
        <v>NM</v>
      </c>
      <c r="H560" s="515">
        <f>INPUT!AG454</f>
        <v>-86.111111111111114</v>
      </c>
      <c r="I560" s="487" t="str">
        <f>INPUT!AH454</f>
        <v>NM</v>
      </c>
      <c r="J560" s="515">
        <f>INPUT!AI454</f>
        <v>5.7471264367816088</v>
      </c>
      <c r="K560" s="487">
        <f>INPUT!AJ454</f>
        <v>86.781609195402268</v>
      </c>
      <c r="L560" s="515">
        <f>INPUT!AK454</f>
        <v>17.543859649122805</v>
      </c>
      <c r="M560" s="487">
        <f>INPUT!AL454</f>
        <v>34.502923976608173</v>
      </c>
      <c r="N560" s="515">
        <f>INPUT!AM454</f>
        <v>16.101694915254235</v>
      </c>
      <c r="O560" s="487">
        <f>INPUT!AN454</f>
        <v>36.86440677966101</v>
      </c>
      <c r="P560" s="515">
        <f>INPUT!AO454</f>
        <v>25.984251968503933</v>
      </c>
      <c r="Q560" s="487" t="str">
        <f>INPUT!AP454</f>
        <v>NM</v>
      </c>
      <c r="R560" s="515">
        <f>INPUT!AQ454</f>
        <v>19.53125</v>
      </c>
      <c r="S560" s="487" t="str">
        <f>INPUT!AR454</f>
        <v>NM</v>
      </c>
      <c r="T560" s="515">
        <f>INPUT!AS454</f>
        <v>17.924528301886792</v>
      </c>
      <c r="U560" s="487">
        <f>INPUT!AT454</f>
        <v>2.1698113207547323</v>
      </c>
      <c r="V560" s="515">
        <f>INPUT!AU454</f>
        <v>20.491803278688526</v>
      </c>
      <c r="W560" s="487">
        <f>INPUT!AV454</f>
        <v>27.264883520276115</v>
      </c>
      <c r="X560" s="515">
        <f>INPUT!AW454</f>
        <v>28.244274809160309</v>
      </c>
      <c r="Y560" s="487">
        <f>INPUT!AX454</f>
        <v>8.6976636594957597</v>
      </c>
      <c r="Z560" s="515">
        <f>INPUT!AY454</f>
        <v>29.333333333333332</v>
      </c>
      <c r="AA560" s="487">
        <f>INPUT!AZ454</f>
        <v>50.186666666666667</v>
      </c>
      <c r="AB560" s="515">
        <f>INPUT!BA454</f>
        <v>23.287671232876711</v>
      </c>
      <c r="AC560" s="487">
        <f>INPUT!BB454</f>
        <v>29.920692141312202</v>
      </c>
      <c r="AD560" s="515">
        <f>INPUT!BC454</f>
        <v>23.484848484848484</v>
      </c>
      <c r="AE560" s="487">
        <f>INPUT!BD454</f>
        <v>14.606060606060595</v>
      </c>
      <c r="AF560" s="515">
        <f>INPUT!BE454</f>
        <v>20.987654320987652</v>
      </c>
      <c r="AG560" s="487">
        <f>INPUT!BF454</f>
        <v>-25.692359025692383</v>
      </c>
      <c r="AH560" s="523">
        <f>INPUT!BG454</f>
        <v>35.028248587570623</v>
      </c>
      <c r="AI560" s="486">
        <f>INPUT!BH454</f>
        <v>19.414483821263502</v>
      </c>
      <c r="AJ560" s="523">
        <f>INPUT!BI454</f>
        <v>25.443786982248522</v>
      </c>
      <c r="AK560" s="486">
        <f>INPUT!BJ454</f>
        <v>9.2586146884789571</v>
      </c>
      <c r="AL560" s="523">
        <f>INPUT!BK454</f>
        <v>45.418326693227087</v>
      </c>
      <c r="AM560" s="486">
        <f>INPUT!BL454</f>
        <v>93.394165274386296</v>
      </c>
      <c r="AN560" s="523">
        <f>INPUT!BM454</f>
        <v>23.255813953488371</v>
      </c>
      <c r="AO560" s="486">
        <f>INPUT!BN454</f>
        <v>10.807113543091674</v>
      </c>
      <c r="AP560" s="523">
        <f>INPUT!BO454</f>
        <v>6.0344827586206895</v>
      </c>
      <c r="AQ560" s="486" t="str">
        <f>INPUT!BP454</f>
        <v>NM</v>
      </c>
      <c r="AR560" s="523">
        <f>INPUT!BQ454</f>
        <v>13</v>
      </c>
      <c r="AS560" s="486">
        <f>INPUT!BR454</f>
        <v>-48.906976744186046</v>
      </c>
      <c r="AT560" s="523">
        <f>INPUT!BS454</f>
        <v>25</v>
      </c>
      <c r="AU560" s="486">
        <f>INPUT!BT454</f>
        <v>-44.956140350877185</v>
      </c>
      <c r="AV560" s="523">
        <f>INPUT!BU454</f>
        <v>176.19047619047618</v>
      </c>
      <c r="AW560" s="486" t="str">
        <f>INPUT!BV454</f>
        <v>NM</v>
      </c>
      <c r="AX560" s="523"/>
      <c r="AY560" s="486"/>
      <c r="AZ560" s="523"/>
      <c r="BA560" s="486"/>
      <c r="BB560" s="523"/>
      <c r="BC560" s="486"/>
      <c r="BD560" s="523"/>
      <c r="BE560" s="486"/>
      <c r="BF560" s="523"/>
      <c r="BG560" s="486"/>
      <c r="BH560" s="523"/>
      <c r="BI560" s="486"/>
      <c r="BJ560" s="523"/>
      <c r="BK560" s="486"/>
      <c r="BL560" s="523"/>
      <c r="BM560" s="486"/>
      <c r="BN560" s="523"/>
      <c r="BO560" s="486"/>
      <c r="BP560" s="523"/>
      <c r="BQ560" s="486"/>
      <c r="BR560" s="523"/>
      <c r="BS560" s="486"/>
      <c r="BT560" s="523"/>
      <c r="BU560" s="486"/>
      <c r="BV560" s="523"/>
      <c r="BW560" s="486"/>
      <c r="BX560" s="523"/>
      <c r="BY560" s="486"/>
      <c r="BZ560" s="523"/>
      <c r="CA560" s="486"/>
      <c r="CB560" s="523"/>
      <c r="CC560" s="486"/>
      <c r="CD560" s="523"/>
      <c r="CE560" s="486"/>
      <c r="CF560" s="523"/>
      <c r="CG560" s="486"/>
      <c r="CH560" s="523"/>
      <c r="CI560" s="486"/>
      <c r="CJ560" s="523"/>
      <c r="CK560" s="486"/>
      <c r="CL560" s="523"/>
      <c r="CM560" s="486"/>
      <c r="CN560" s="523"/>
      <c r="CO560" s="486"/>
      <c r="CP560" s="523"/>
      <c r="CQ560" s="486"/>
      <c r="CR560" s="523"/>
      <c r="CS560" s="486"/>
      <c r="CT560" s="523"/>
      <c r="CU560" s="486"/>
      <c r="CV560" s="523"/>
      <c r="CW560" s="486"/>
      <c r="CX560" s="523"/>
      <c r="CY560" s="486"/>
      <c r="CZ560" s="523"/>
      <c r="DA560" s="486"/>
      <c r="DB560" s="523"/>
      <c r="DC560" s="486"/>
      <c r="DD560" s="523"/>
      <c r="DE560" s="486"/>
      <c r="DF560" s="523"/>
      <c r="DG560" s="486"/>
      <c r="DH560" s="523"/>
      <c r="DI560" s="486"/>
      <c r="DJ560" s="523"/>
      <c r="DK560" s="486"/>
      <c r="DL560" s="523"/>
      <c r="DM560" s="486"/>
      <c r="DN560" s="523"/>
      <c r="DO560" s="486"/>
      <c r="DP560" s="523"/>
      <c r="DQ560" s="486"/>
      <c r="DR560" s="523"/>
      <c r="DS560" s="486"/>
      <c r="DT560" s="523"/>
      <c r="DU560" s="486"/>
      <c r="DV560" s="523"/>
      <c r="DW560" s="486"/>
      <c r="DX560" s="523"/>
      <c r="DY560" s="486"/>
      <c r="DZ560" s="523"/>
      <c r="EA560" s="486"/>
      <c r="EB560" s="487" t="str">
        <f>INPUT!FI454</f>
        <v>NM</v>
      </c>
      <c r="EC560" s="515">
        <f>INPUT!FJ454</f>
        <v>-1.8461538461538463</v>
      </c>
      <c r="ED560" s="487" t="str">
        <f>INPUT!FK454</f>
        <v>NM</v>
      </c>
      <c r="EE560" s="515">
        <f>INPUT!FL454</f>
        <v>-5.0420168067226889</v>
      </c>
      <c r="EF560" s="487" t="str">
        <f>INPUT!FM454</f>
        <v>NM</v>
      </c>
      <c r="EG560" s="515">
        <f>INPUT!FN454</f>
        <v>17.264573991031391</v>
      </c>
      <c r="EH560" s="487" t="str">
        <f>INPUT!FO454</f>
        <v>NM</v>
      </c>
      <c r="EI560" s="515">
        <f>INPUT!FP454</f>
        <v>21.765913757700204</v>
      </c>
      <c r="EJ560" s="486">
        <f>INPUT!FQ454</f>
        <v>26.072695271873897</v>
      </c>
      <c r="EK560" s="523">
        <f>INPUT!FR454</f>
        <v>24.237288135593221</v>
      </c>
      <c r="EL560" s="486">
        <f>INPUT!FS454</f>
        <v>11.354333226734894</v>
      </c>
      <c r="EM560" s="523">
        <f>INPUT!FT454</f>
        <v>33.68010403120936</v>
      </c>
      <c r="EN560" s="486">
        <f>INPUT!FU454</f>
        <v>38.959869779115536</v>
      </c>
      <c r="EO560" s="523">
        <f>INPUT!FV454</f>
        <v>-387.09677419354841</v>
      </c>
      <c r="EP560" s="486" t="str">
        <f>INPUT!FW454</f>
        <v>NM</v>
      </c>
      <c r="EQ560" s="523"/>
      <c r="ER560" s="486"/>
      <c r="ES560" s="523"/>
      <c r="ET560" s="486"/>
      <c r="EU560" s="523"/>
      <c r="EV560" s="486"/>
      <c r="EW560" s="523"/>
      <c r="EX560" s="486"/>
      <c r="EY560" s="523"/>
      <c r="EZ560" s="486"/>
      <c r="FA560" s="523"/>
      <c r="FB560" s="486"/>
      <c r="FC560" s="523"/>
      <c r="FD560" s="486"/>
      <c r="FE560" s="523"/>
      <c r="FF560" s="486"/>
      <c r="FG560" s="523"/>
      <c r="FH560" s="486"/>
      <c r="FI560" s="523"/>
      <c r="FJ560" s="486"/>
      <c r="FK560" s="523"/>
      <c r="FL560" s="486"/>
      <c r="FM560" s="523"/>
      <c r="FN560" s="486"/>
      <c r="FO560" s="523"/>
      <c r="FP560" s="486"/>
      <c r="FQ560" s="523"/>
      <c r="FR560" s="486"/>
      <c r="FS560" s="486"/>
    </row>
    <row r="561" spans="1:175" ht="12.75" hidden="1" customHeight="1" outlineLevel="1" x14ac:dyDescent="0.2">
      <c r="A561" s="70"/>
      <c r="B561" s="91"/>
      <c r="C561" s="155"/>
      <c r="D561" s="91"/>
      <c r="E561" s="155"/>
      <c r="F561" s="91"/>
      <c r="G561" s="155"/>
      <c r="H561" s="91"/>
      <c r="I561" s="155"/>
      <c r="J561" s="91"/>
      <c r="K561" s="155"/>
      <c r="L561" s="91"/>
      <c r="M561" s="155"/>
      <c r="N561" s="91"/>
      <c r="O561" s="155"/>
      <c r="P561" s="91"/>
      <c r="Q561" s="155"/>
      <c r="R561" s="91"/>
      <c r="S561" s="155"/>
      <c r="T561" s="91"/>
      <c r="U561" s="155"/>
      <c r="V561" s="91"/>
      <c r="W561" s="155"/>
      <c r="X561" s="91"/>
      <c r="Y561" s="155"/>
      <c r="Z561" s="91"/>
      <c r="AA561" s="155"/>
      <c r="AB561" s="91"/>
      <c r="AC561" s="155"/>
      <c r="AD561" s="91"/>
      <c r="AE561" s="155"/>
      <c r="AF561" s="91"/>
      <c r="AG561" s="155"/>
      <c r="AH561" s="91"/>
      <c r="AI561" s="240"/>
      <c r="AJ561" s="91"/>
      <c r="AK561" s="240"/>
      <c r="AL561" s="91"/>
      <c r="AM561" s="240"/>
      <c r="AN561" s="91"/>
      <c r="AO561" s="240"/>
      <c r="AP561" s="91"/>
      <c r="AQ561" s="240"/>
      <c r="AR561" s="91"/>
      <c r="AS561" s="240"/>
      <c r="AT561" s="91"/>
      <c r="AU561" s="240"/>
      <c r="AV561" s="91"/>
      <c r="AW561" s="240"/>
      <c r="AX561" s="91"/>
      <c r="AY561" s="240"/>
      <c r="AZ561" s="91"/>
      <c r="BA561" s="240"/>
      <c r="BB561" s="91"/>
      <c r="BC561" s="240"/>
      <c r="BD561" s="91"/>
      <c r="BE561" s="240"/>
      <c r="BF561" s="91"/>
      <c r="BG561" s="240"/>
      <c r="BH561" s="91"/>
      <c r="BI561" s="240"/>
      <c r="BJ561" s="91"/>
      <c r="BK561" s="240"/>
      <c r="BL561" s="91"/>
      <c r="BM561" s="240"/>
      <c r="BN561" s="91"/>
      <c r="BO561" s="240"/>
      <c r="BP561" s="91"/>
      <c r="BQ561" s="240"/>
      <c r="BR561" s="91"/>
      <c r="BS561" s="240"/>
      <c r="BT561" s="91"/>
      <c r="BU561" s="240"/>
      <c r="BV561" s="91"/>
      <c r="BW561" s="240"/>
      <c r="BX561" s="91"/>
      <c r="BY561" s="240"/>
      <c r="BZ561" s="91"/>
      <c r="CA561" s="240"/>
      <c r="CB561" s="91"/>
      <c r="CC561" s="240"/>
      <c r="CD561" s="91"/>
      <c r="CE561" s="240"/>
      <c r="CF561" s="91"/>
      <c r="CG561" s="240"/>
      <c r="CH561" s="91"/>
      <c r="CI561" s="240"/>
      <c r="CJ561" s="91"/>
      <c r="CK561" s="240"/>
      <c r="CL561" s="91"/>
      <c r="CM561" s="240"/>
      <c r="CN561" s="91"/>
      <c r="CO561" s="240"/>
      <c r="CP561" s="91"/>
      <c r="CQ561" s="240"/>
      <c r="CR561" s="91"/>
      <c r="CS561" s="240"/>
      <c r="CT561" s="91"/>
      <c r="CU561" s="240"/>
      <c r="CV561" s="91"/>
      <c r="CW561" s="240"/>
      <c r="CX561" s="91"/>
      <c r="CY561" s="240"/>
      <c r="CZ561" s="91"/>
      <c r="DA561" s="240"/>
      <c r="DB561" s="91"/>
      <c r="DC561" s="240"/>
      <c r="DD561" s="91"/>
      <c r="DE561" s="240"/>
      <c r="DF561" s="91"/>
      <c r="DG561" s="240"/>
      <c r="DH561" s="91"/>
      <c r="DI561" s="240"/>
      <c r="DJ561" s="91"/>
      <c r="DK561" s="240"/>
      <c r="DL561" s="91"/>
      <c r="DM561" s="240"/>
      <c r="DN561" s="91"/>
      <c r="DO561" s="240"/>
      <c r="DP561" s="91"/>
      <c r="DQ561" s="240"/>
      <c r="DR561" s="91"/>
      <c r="DS561" s="240"/>
      <c r="DT561" s="91"/>
      <c r="DU561" s="240"/>
      <c r="DV561" s="91"/>
      <c r="DW561" s="240"/>
      <c r="DX561" s="91"/>
      <c r="DY561" s="240"/>
      <c r="DZ561" s="91"/>
      <c r="EA561" s="240"/>
      <c r="EB561" s="155"/>
      <c r="EC561" s="91"/>
      <c r="ED561" s="155"/>
      <c r="EE561" s="91"/>
      <c r="EF561" s="155"/>
      <c r="EG561" s="91"/>
      <c r="EH561" s="155"/>
      <c r="EI561" s="91"/>
      <c r="EJ561" s="240"/>
      <c r="EK561" s="91"/>
      <c r="EL561" s="240"/>
      <c r="EM561" s="91"/>
      <c r="EN561" s="240"/>
      <c r="EO561" s="91"/>
      <c r="EP561" s="240"/>
      <c r="EQ561" s="91"/>
      <c r="ER561" s="240"/>
      <c r="ES561" s="91"/>
      <c r="ET561" s="240"/>
      <c r="EU561" s="91"/>
      <c r="EV561" s="240"/>
      <c r="EW561" s="91"/>
      <c r="EX561" s="240"/>
      <c r="EY561" s="91"/>
      <c r="EZ561" s="240"/>
      <c r="FA561" s="91"/>
      <c r="FB561" s="240"/>
      <c r="FC561" s="91"/>
      <c r="FD561" s="240"/>
      <c r="FE561" s="91"/>
      <c r="FF561" s="240"/>
      <c r="FG561" s="91"/>
      <c r="FH561" s="240"/>
      <c r="FI561" s="91"/>
      <c r="FJ561" s="240"/>
      <c r="FK561" s="91"/>
      <c r="FL561" s="240"/>
      <c r="FM561" s="91"/>
      <c r="FN561" s="240"/>
      <c r="FO561" s="91"/>
      <c r="FP561" s="240"/>
      <c r="FQ561" s="91"/>
      <c r="FR561" s="240"/>
      <c r="FS561" s="240"/>
    </row>
    <row r="562" spans="1:175" ht="12.75" hidden="1" customHeight="1" outlineLevel="1" x14ac:dyDescent="0.2">
      <c r="A562" s="70" t="s">
        <v>498</v>
      </c>
      <c r="B562" s="91"/>
      <c r="C562" s="155"/>
      <c r="D562" s="91"/>
      <c r="E562" s="155"/>
      <c r="F562" s="91"/>
      <c r="G562" s="155"/>
      <c r="H562" s="91"/>
      <c r="I562" s="155"/>
      <c r="J562" s="91"/>
      <c r="K562" s="155"/>
      <c r="L562" s="91"/>
      <c r="M562" s="155"/>
      <c r="N562" s="91"/>
      <c r="O562" s="155"/>
      <c r="P562" s="91"/>
      <c r="Q562" s="155"/>
      <c r="R562" s="91"/>
      <c r="S562" s="155"/>
      <c r="T562" s="91"/>
      <c r="U562" s="155"/>
      <c r="V562" s="91"/>
      <c r="W562" s="155"/>
      <c r="X562" s="91"/>
      <c r="Y562" s="155"/>
      <c r="Z562" s="91"/>
      <c r="AA562" s="155"/>
      <c r="AB562" s="91"/>
      <c r="AC562" s="155"/>
      <c r="AD562" s="91"/>
      <c r="AE562" s="155"/>
      <c r="AF562" s="91"/>
      <c r="AG562" s="155"/>
      <c r="AH562" s="91"/>
      <c r="AI562" s="240"/>
      <c r="AJ562" s="91"/>
      <c r="AK562" s="240"/>
      <c r="AL562" s="91"/>
      <c r="AM562" s="240"/>
      <c r="AN562" s="91"/>
      <c r="AO562" s="240"/>
      <c r="AP562" s="91"/>
      <c r="AQ562" s="240"/>
      <c r="AR562" s="91"/>
      <c r="AS562" s="240"/>
      <c r="AT562" s="91"/>
      <c r="AU562" s="240"/>
      <c r="AV562" s="91"/>
      <c r="AW562" s="240"/>
      <c r="AX562" s="91"/>
      <c r="AY562" s="240"/>
      <c r="AZ562" s="91"/>
      <c r="BA562" s="240"/>
      <c r="BB562" s="91"/>
      <c r="BC562" s="240"/>
      <c r="BD562" s="91"/>
      <c r="BE562" s="240"/>
      <c r="BF562" s="91"/>
      <c r="BG562" s="240"/>
      <c r="BH562" s="91"/>
      <c r="BI562" s="240"/>
      <c r="BJ562" s="91"/>
      <c r="BK562" s="240"/>
      <c r="BL562" s="91"/>
      <c r="BM562" s="240"/>
      <c r="BN562" s="91"/>
      <c r="BO562" s="240"/>
      <c r="BP562" s="91"/>
      <c r="BQ562" s="240"/>
      <c r="BR562" s="91"/>
      <c r="BS562" s="240"/>
      <c r="BT562" s="91"/>
      <c r="BU562" s="240"/>
      <c r="BV562" s="91"/>
      <c r="BW562" s="240"/>
      <c r="BX562" s="91"/>
      <c r="BY562" s="240"/>
      <c r="BZ562" s="91"/>
      <c r="CA562" s="240"/>
      <c r="CB562" s="91"/>
      <c r="CC562" s="240"/>
      <c r="CD562" s="91"/>
      <c r="CE562" s="240"/>
      <c r="CF562" s="91"/>
      <c r="CG562" s="240"/>
      <c r="CH562" s="91"/>
      <c r="CI562" s="240"/>
      <c r="CJ562" s="91"/>
      <c r="CK562" s="240"/>
      <c r="CL562" s="91"/>
      <c r="CM562" s="240"/>
      <c r="CN562" s="91"/>
      <c r="CO562" s="240"/>
      <c r="CP562" s="91"/>
      <c r="CQ562" s="240"/>
      <c r="CR562" s="91"/>
      <c r="CS562" s="240"/>
      <c r="CT562" s="91"/>
      <c r="CU562" s="240"/>
      <c r="CV562" s="91"/>
      <c r="CW562" s="240"/>
      <c r="CX562" s="91"/>
      <c r="CY562" s="240"/>
      <c r="CZ562" s="91"/>
      <c r="DA562" s="240"/>
      <c r="DB562" s="91"/>
      <c r="DC562" s="240"/>
      <c r="DD562" s="91"/>
      <c r="DE562" s="240"/>
      <c r="DF562" s="91"/>
      <c r="DG562" s="240"/>
      <c r="DH562" s="91"/>
      <c r="DI562" s="240"/>
      <c r="DJ562" s="91"/>
      <c r="DK562" s="240"/>
      <c r="DL562" s="91"/>
      <c r="DM562" s="240"/>
      <c r="DN562" s="91"/>
      <c r="DO562" s="240"/>
      <c r="DP562" s="91"/>
      <c r="DQ562" s="240"/>
      <c r="DR562" s="91"/>
      <c r="DS562" s="240"/>
      <c r="DT562" s="91"/>
      <c r="DU562" s="240"/>
      <c r="DV562" s="91"/>
      <c r="DW562" s="240"/>
      <c r="DX562" s="91"/>
      <c r="DY562" s="240"/>
      <c r="DZ562" s="91"/>
      <c r="EA562" s="240"/>
      <c r="EB562" s="155"/>
      <c r="EC562" s="91"/>
      <c r="ED562" s="155"/>
      <c r="EE562" s="91"/>
      <c r="EF562" s="155"/>
      <c r="EG562" s="91"/>
      <c r="EH562" s="155"/>
      <c r="EI562" s="91"/>
      <c r="EJ562" s="240"/>
      <c r="EK562" s="91"/>
      <c r="EL562" s="240"/>
      <c r="EM562" s="91"/>
      <c r="EN562" s="240"/>
      <c r="EO562" s="91"/>
      <c r="EP562" s="240"/>
      <c r="EQ562" s="91"/>
      <c r="ER562" s="240"/>
      <c r="ES562" s="91"/>
      <c r="ET562" s="240"/>
      <c r="EU562" s="91"/>
      <c r="EV562" s="240"/>
      <c r="EW562" s="91"/>
      <c r="EX562" s="240"/>
      <c r="EY562" s="91"/>
      <c r="EZ562" s="240"/>
      <c r="FA562" s="91"/>
      <c r="FB562" s="240"/>
      <c r="FC562" s="91"/>
      <c r="FD562" s="240"/>
      <c r="FE562" s="91"/>
      <c r="FF562" s="240"/>
      <c r="FG562" s="91"/>
      <c r="FH562" s="240"/>
      <c r="FI562" s="91"/>
      <c r="FJ562" s="240"/>
      <c r="FK562" s="91"/>
      <c r="FL562" s="240"/>
      <c r="FM562" s="91"/>
      <c r="FN562" s="240"/>
      <c r="FO562" s="91"/>
      <c r="FP562" s="240"/>
      <c r="FQ562" s="91"/>
      <c r="FR562" s="240"/>
      <c r="FS562" s="240"/>
    </row>
    <row r="563" spans="1:175" ht="12.75" hidden="1" customHeight="1" outlineLevel="1" x14ac:dyDescent="0.2">
      <c r="A563" s="77" t="s">
        <v>68</v>
      </c>
      <c r="B563" s="81">
        <f>INPUT!AA601</f>
        <v>16.447368421052634</v>
      </c>
      <c r="C563" s="155">
        <f>INPUT!AB601</f>
        <v>-21.874999999999972</v>
      </c>
      <c r="D563" s="81">
        <f>INPUT!AC601</f>
        <v>17.81818181818182</v>
      </c>
      <c r="E563" s="155">
        <f>INPUT!AD601</f>
        <v>-17.260126012601233</v>
      </c>
      <c r="F563" s="81">
        <f>INPUT!AE601</f>
        <v>20.038535645472059</v>
      </c>
      <c r="G563" s="155">
        <f>INPUT!AF601</f>
        <v>-13.166345536287736</v>
      </c>
      <c r="H563" s="81">
        <f>INPUT!AG601</f>
        <v>16.548042704626333</v>
      </c>
      <c r="I563" s="155">
        <f>INPUT!AH601</f>
        <v>-12.365294972683088</v>
      </c>
      <c r="J563" s="81">
        <f>INPUT!AI601</f>
        <v>16.666666666666664</v>
      </c>
      <c r="K563" s="155">
        <f>INPUT!AJ601</f>
        <v>1.3333333333333002</v>
      </c>
      <c r="L563" s="81">
        <f>INPUT!AK601</f>
        <v>15.905947441217149</v>
      </c>
      <c r="M563" s="155">
        <f>INPUT!AL601</f>
        <v>-10.731927625822138</v>
      </c>
      <c r="N563" s="81">
        <f>INPUT!AM601</f>
        <v>14.04494382022472</v>
      </c>
      <c r="O563" s="155">
        <f>INPUT!AN601</f>
        <v>-29.91032843560933</v>
      </c>
      <c r="P563" s="81">
        <f>INPUT!AO601</f>
        <v>13.916786226685796</v>
      </c>
      <c r="Q563" s="155">
        <f>INPUT!AP601</f>
        <v>-15.900711189275071</v>
      </c>
      <c r="R563" s="81">
        <f>INPUT!AQ601</f>
        <v>13.929040735873849</v>
      </c>
      <c r="S563" s="155">
        <f>INPUT!AR601</f>
        <v>-16.425755584756899</v>
      </c>
      <c r="T563" s="81">
        <f>INPUT!AS601</f>
        <v>13.895781637717123</v>
      </c>
      <c r="U563" s="155">
        <f>INPUT!AT601</f>
        <v>-12.637825008091468</v>
      </c>
      <c r="V563" s="81">
        <f>INPUT!AU601</f>
        <v>14.954337899543379</v>
      </c>
      <c r="W563" s="155">
        <f>INPUT!AV601</f>
        <v>6.4748858447488402</v>
      </c>
      <c r="X563" s="81">
        <f>INPUT!AW601</f>
        <v>13.404255319148936</v>
      </c>
      <c r="Y563" s="155">
        <f>INPUT!AX601</f>
        <v>-3.6828251809607337</v>
      </c>
      <c r="Z563" s="81">
        <f>INPUT!AY601</f>
        <v>11.389759665621735</v>
      </c>
      <c r="AA563" s="155">
        <f>INPUT!AZ601</f>
        <v>-18.230121645866589</v>
      </c>
      <c r="AB563" s="81">
        <f>INPUT!BA601</f>
        <v>13.708820403825717</v>
      </c>
      <c r="AC563" s="155">
        <f>INPUT!BB601</f>
        <v>-1.345453165325651</v>
      </c>
      <c r="AD563" s="81">
        <f>INPUT!BC601</f>
        <v>14.316012725344645</v>
      </c>
      <c r="AE563" s="155">
        <f>INPUT!BD601</f>
        <v>-4.2684950580006813</v>
      </c>
      <c r="AF563" s="81">
        <f>INPUT!BE601</f>
        <v>13.477366255144032</v>
      </c>
      <c r="AG563" s="155">
        <f>INPUT!BF601</f>
        <v>0.54543079234437641</v>
      </c>
      <c r="AH563" s="81">
        <f>INPUT!BG601</f>
        <v>13.624237804878051</v>
      </c>
      <c r="AI563" s="240">
        <f>INPUT!BH601</f>
        <v>19.618308066681593</v>
      </c>
      <c r="AJ563" s="81">
        <f>INPUT!BI601</f>
        <v>13.321167883211679</v>
      </c>
      <c r="AK563" s="240">
        <f>INPUT!BJ601</f>
        <v>-2.8277598596729376</v>
      </c>
      <c r="AL563" s="81">
        <f>INPUT!BK601</f>
        <v>12.213740458015266</v>
      </c>
      <c r="AM563" s="240">
        <f>INPUT!BL601</f>
        <v>-14.684761096974853</v>
      </c>
      <c r="AN563" s="81">
        <f>INPUT!BM601</f>
        <v>10.988074957410563</v>
      </c>
      <c r="AO563" s="240">
        <f>INPUT!BN601</f>
        <v>-18.470161384709399</v>
      </c>
      <c r="AP563" s="81">
        <f>INPUT!BO601</f>
        <v>13.588110403397028</v>
      </c>
      <c r="AQ563" s="240">
        <f>INPUT!BP601</f>
        <v>-0.26517007408727977</v>
      </c>
      <c r="AR563" s="81">
        <f>INPUT!BQ601</f>
        <v>15.549348230912477</v>
      </c>
      <c r="AS563" s="240">
        <f>INPUT!BR601</f>
        <v>16.726614116986809</v>
      </c>
      <c r="AT563" s="81">
        <f>INPUT!BS601</f>
        <v>17.395833333333332</v>
      </c>
      <c r="AU563" s="240">
        <f>INPUT!BT601</f>
        <v>42.428385416666657</v>
      </c>
      <c r="AV563" s="81">
        <f>INPUT!BU601</f>
        <v>26.260869565217394</v>
      </c>
      <c r="AW563" s="240" t="str">
        <f>INPUT!BV601</f>
        <v>NM</v>
      </c>
      <c r="AX563" s="81"/>
      <c r="AY563" s="240"/>
      <c r="AZ563" s="81"/>
      <c r="BA563" s="240"/>
      <c r="BB563" s="81"/>
      <c r="BC563" s="240"/>
      <c r="BD563" s="81"/>
      <c r="BE563" s="240"/>
      <c r="BF563" s="81"/>
      <c r="BG563" s="240"/>
      <c r="BH563" s="81"/>
      <c r="BI563" s="240"/>
      <c r="BJ563" s="81"/>
      <c r="BK563" s="240"/>
      <c r="BL563" s="81"/>
      <c r="BM563" s="240"/>
      <c r="BN563" s="81"/>
      <c r="BO563" s="240"/>
      <c r="BP563" s="81"/>
      <c r="BQ563" s="240"/>
      <c r="BR563" s="81"/>
      <c r="BS563" s="240"/>
      <c r="BT563" s="81"/>
      <c r="BU563" s="240"/>
      <c r="BV563" s="81"/>
      <c r="BW563" s="240"/>
      <c r="BX563" s="81"/>
      <c r="BY563" s="240"/>
      <c r="BZ563" s="81"/>
      <c r="CA563" s="240"/>
      <c r="CB563" s="81"/>
      <c r="CC563" s="240"/>
      <c r="CD563" s="81"/>
      <c r="CE563" s="240"/>
      <c r="CF563" s="81"/>
      <c r="CG563" s="240"/>
      <c r="CH563" s="81"/>
      <c r="CI563" s="240"/>
      <c r="CJ563" s="81"/>
      <c r="CK563" s="240"/>
      <c r="CL563" s="81"/>
      <c r="CM563" s="240"/>
      <c r="CN563" s="81"/>
      <c r="CO563" s="240"/>
      <c r="CP563" s="81"/>
      <c r="CQ563" s="240"/>
      <c r="CR563" s="81"/>
      <c r="CS563" s="240"/>
      <c r="CT563" s="81"/>
      <c r="CU563" s="240"/>
      <c r="CV563" s="81"/>
      <c r="CW563" s="240"/>
      <c r="CX563" s="81"/>
      <c r="CY563" s="240"/>
      <c r="CZ563" s="81"/>
      <c r="DA563" s="240"/>
      <c r="DB563" s="81"/>
      <c r="DC563" s="240"/>
      <c r="DD563" s="81"/>
      <c r="DE563" s="240"/>
      <c r="DF563" s="81"/>
      <c r="DG563" s="240"/>
      <c r="DH563" s="81"/>
      <c r="DI563" s="240"/>
      <c r="DJ563" s="81"/>
      <c r="DK563" s="240"/>
      <c r="DL563" s="81"/>
      <c r="DM563" s="240"/>
      <c r="DN563" s="81"/>
      <c r="DO563" s="240"/>
      <c r="DP563" s="81"/>
      <c r="DQ563" s="240"/>
      <c r="DR563" s="81"/>
      <c r="DS563" s="240"/>
      <c r="DT563" s="81"/>
      <c r="DU563" s="240"/>
      <c r="DV563" s="81"/>
      <c r="DW563" s="240"/>
      <c r="DX563" s="81"/>
      <c r="DY563" s="240"/>
      <c r="DZ563" s="81"/>
      <c r="EA563" s="240"/>
      <c r="EB563" s="155" t="str">
        <f>INPUT!FI601</f>
        <v>NA</v>
      </c>
      <c r="EC563" s="81">
        <f>INPUT!FJ601</f>
        <v>21.12912241475685</v>
      </c>
      <c r="ED563" s="155">
        <f>INPUT!FK601</f>
        <v>-9.6314210424247761</v>
      </c>
      <c r="EE563" s="81">
        <f>INPUT!FL601</f>
        <v>18.160152526215441</v>
      </c>
      <c r="EF563" s="155">
        <f>INPUT!FM601</f>
        <v>-14.051553255557096</v>
      </c>
      <c r="EG563" s="81">
        <f>INPUT!FN601</f>
        <v>15.185185185185185</v>
      </c>
      <c r="EH563" s="155">
        <f>INPUT!FO601</f>
        <v>-16.381841158744038</v>
      </c>
      <c r="EI563" s="81">
        <f>INPUT!FP601</f>
        <v>14.495736548074095</v>
      </c>
      <c r="EJ563" s="240">
        <f>INPUT!FQ601</f>
        <v>-4.5402715126827786</v>
      </c>
      <c r="EK563" s="81">
        <f>INPUT!FR601</f>
        <v>12.806324110671937</v>
      </c>
      <c r="EL563" s="240">
        <f>INPUT!FS601</f>
        <v>-11.654547058021777</v>
      </c>
      <c r="EM563" s="81">
        <f>INPUT!FT601</f>
        <v>12.009729401033747</v>
      </c>
      <c r="EN563" s="240">
        <f>INPUT!FU601</f>
        <v>-6.2203228869895781</v>
      </c>
      <c r="EO563" s="81">
        <f>INPUT!FV601</f>
        <v>4.4950738916256157</v>
      </c>
      <c r="EP563" s="240" t="str">
        <f>INPUT!FW601</f>
        <v>NM</v>
      </c>
      <c r="EQ563" s="81"/>
      <c r="ER563" s="240"/>
      <c r="ES563" s="81"/>
      <c r="ET563" s="240"/>
      <c r="EU563" s="81"/>
      <c r="EV563" s="240"/>
      <c r="EW563" s="81"/>
      <c r="EX563" s="240"/>
      <c r="EY563" s="81"/>
      <c r="EZ563" s="240"/>
      <c r="FA563" s="81"/>
      <c r="FB563" s="240"/>
      <c r="FC563" s="81"/>
      <c r="FD563" s="240"/>
      <c r="FE563" s="81"/>
      <c r="FF563" s="240"/>
      <c r="FG563" s="81"/>
      <c r="FH563" s="240"/>
      <c r="FI563" s="81"/>
      <c r="FJ563" s="240"/>
      <c r="FK563" s="81"/>
      <c r="FL563" s="240"/>
      <c r="FM563" s="81"/>
      <c r="FN563" s="240"/>
      <c r="FO563" s="81"/>
      <c r="FP563" s="240"/>
      <c r="FQ563" s="81"/>
      <c r="FR563" s="240"/>
      <c r="FS563" s="240"/>
    </row>
    <row r="564" spans="1:175" ht="12.75" hidden="1" customHeight="1" outlineLevel="1" x14ac:dyDescent="0.2">
      <c r="A564" s="70"/>
      <c r="B564" s="91"/>
      <c r="C564" s="155"/>
      <c r="D564" s="91"/>
      <c r="E564" s="155"/>
      <c r="F564" s="91"/>
      <c r="G564" s="155"/>
      <c r="H564" s="91"/>
      <c r="I564" s="155"/>
      <c r="J564" s="91"/>
      <c r="K564" s="155"/>
      <c r="L564" s="91"/>
      <c r="M564" s="155"/>
      <c r="N564" s="91"/>
      <c r="O564" s="155"/>
      <c r="P564" s="91"/>
      <c r="Q564" s="155"/>
      <c r="R564" s="91"/>
      <c r="S564" s="155"/>
      <c r="T564" s="91"/>
      <c r="U564" s="155"/>
      <c r="V564" s="91"/>
      <c r="W564" s="155"/>
      <c r="X564" s="91"/>
      <c r="Y564" s="155"/>
      <c r="Z564" s="91"/>
      <c r="AA564" s="155"/>
      <c r="AB564" s="91"/>
      <c r="AC564" s="155"/>
      <c r="AD564" s="91"/>
      <c r="AE564" s="155"/>
      <c r="AF564" s="91"/>
      <c r="AG564" s="155"/>
      <c r="AH564" s="91"/>
      <c r="AI564" s="240"/>
      <c r="AJ564" s="91"/>
      <c r="AK564" s="240"/>
      <c r="AL564" s="91"/>
      <c r="AM564" s="240"/>
      <c r="AN564" s="91"/>
      <c r="AO564" s="240"/>
      <c r="AP564" s="91"/>
      <c r="AQ564" s="240"/>
      <c r="AR564" s="91"/>
      <c r="AS564" s="240"/>
      <c r="AT564" s="91"/>
      <c r="AU564" s="240"/>
      <c r="AV564" s="91"/>
      <c r="AW564" s="240"/>
      <c r="AX564" s="91"/>
      <c r="AY564" s="240"/>
      <c r="AZ564" s="91"/>
      <c r="BA564" s="240"/>
      <c r="BB564" s="91"/>
      <c r="BC564" s="240"/>
      <c r="BD564" s="91"/>
      <c r="BE564" s="240"/>
      <c r="BF564" s="91"/>
      <c r="BG564" s="240"/>
      <c r="BH564" s="91"/>
      <c r="BI564" s="240"/>
      <c r="BJ564" s="91"/>
      <c r="BK564" s="240"/>
      <c r="BL564" s="91"/>
      <c r="BM564" s="240"/>
      <c r="BN564" s="91"/>
      <c r="BO564" s="240"/>
      <c r="BP564" s="91"/>
      <c r="BQ564" s="240"/>
      <c r="BR564" s="91"/>
      <c r="BS564" s="240"/>
      <c r="BT564" s="91"/>
      <c r="BU564" s="240"/>
      <c r="BV564" s="91"/>
      <c r="BW564" s="240"/>
      <c r="BX564" s="91"/>
      <c r="BY564" s="240"/>
      <c r="BZ564" s="91"/>
      <c r="CA564" s="240"/>
      <c r="CB564" s="91"/>
      <c r="CC564" s="240"/>
      <c r="CD564" s="91"/>
      <c r="CE564" s="240"/>
      <c r="CF564" s="91"/>
      <c r="CG564" s="240"/>
      <c r="CH564" s="91"/>
      <c r="CI564" s="240"/>
      <c r="CJ564" s="91"/>
      <c r="CK564" s="240"/>
      <c r="CL564" s="91"/>
      <c r="CM564" s="240"/>
      <c r="CN564" s="91"/>
      <c r="CO564" s="240"/>
      <c r="CP564" s="91"/>
      <c r="CQ564" s="240"/>
      <c r="CR564" s="91"/>
      <c r="CS564" s="240"/>
      <c r="CT564" s="91"/>
      <c r="CU564" s="240"/>
      <c r="CV564" s="91"/>
      <c r="CW564" s="240"/>
      <c r="CX564" s="91"/>
      <c r="CY564" s="240"/>
      <c r="CZ564" s="91"/>
      <c r="DA564" s="240"/>
      <c r="DB564" s="91"/>
      <c r="DC564" s="240"/>
      <c r="DD564" s="91"/>
      <c r="DE564" s="240"/>
      <c r="DF564" s="91"/>
      <c r="DG564" s="240"/>
      <c r="DH564" s="91"/>
      <c r="DI564" s="240"/>
      <c r="DJ564" s="91"/>
      <c r="DK564" s="240"/>
      <c r="DL564" s="91"/>
      <c r="DM564" s="240"/>
      <c r="DN564" s="91"/>
      <c r="DO564" s="240"/>
      <c r="DP564" s="91"/>
      <c r="DQ564" s="240"/>
      <c r="DR564" s="91"/>
      <c r="DS564" s="240"/>
      <c r="DT564" s="91"/>
      <c r="DU564" s="240"/>
      <c r="DV564" s="91"/>
      <c r="DW564" s="240"/>
      <c r="DX564" s="91"/>
      <c r="DY564" s="240"/>
      <c r="DZ564" s="91"/>
      <c r="EA564" s="240"/>
      <c r="EB564" s="155"/>
      <c r="EC564" s="91"/>
      <c r="ED564" s="155"/>
      <c r="EE564" s="91"/>
      <c r="EF564" s="155"/>
      <c r="EG564" s="91"/>
      <c r="EH564" s="155"/>
      <c r="EI564" s="91"/>
      <c r="EJ564" s="240"/>
      <c r="EK564" s="91"/>
      <c r="EL564" s="240"/>
      <c r="EM564" s="91"/>
      <c r="EN564" s="240"/>
      <c r="EO564" s="91"/>
      <c r="EP564" s="240"/>
      <c r="EQ564" s="91"/>
      <c r="ER564" s="240"/>
      <c r="ES564" s="91"/>
      <c r="ET564" s="240"/>
      <c r="EU564" s="91"/>
      <c r="EV564" s="240"/>
      <c r="EW564" s="91"/>
      <c r="EX564" s="240"/>
      <c r="EY564" s="91"/>
      <c r="EZ564" s="240"/>
      <c r="FA564" s="91"/>
      <c r="FB564" s="240"/>
      <c r="FC564" s="91"/>
      <c r="FD564" s="240"/>
      <c r="FE564" s="91"/>
      <c r="FF564" s="240"/>
      <c r="FG564" s="91"/>
      <c r="FH564" s="240"/>
      <c r="FI564" s="91"/>
      <c r="FJ564" s="240"/>
      <c r="FK564" s="91"/>
      <c r="FL564" s="240"/>
      <c r="FM564" s="91"/>
      <c r="FN564" s="240"/>
      <c r="FO564" s="91"/>
      <c r="FP564" s="240"/>
      <c r="FQ564" s="91"/>
      <c r="FR564" s="240"/>
      <c r="FS564" s="240"/>
    </row>
    <row r="565" spans="1:175" ht="12.75" hidden="1" customHeight="1" outlineLevel="1" x14ac:dyDescent="0.2">
      <c r="A565" s="514" t="s">
        <v>312</v>
      </c>
      <c r="B565" s="524"/>
      <c r="C565" s="487"/>
      <c r="D565" s="524"/>
      <c r="E565" s="487"/>
      <c r="F565" s="524"/>
      <c r="G565" s="487"/>
      <c r="H565" s="524"/>
      <c r="I565" s="487"/>
      <c r="J565" s="524"/>
      <c r="K565" s="487"/>
      <c r="L565" s="524"/>
      <c r="M565" s="487"/>
      <c r="N565" s="524"/>
      <c r="O565" s="487"/>
      <c r="P565" s="524"/>
      <c r="Q565" s="487"/>
      <c r="R565" s="524"/>
      <c r="S565" s="487"/>
      <c r="T565" s="524"/>
      <c r="U565" s="487"/>
      <c r="V565" s="524"/>
      <c r="W565" s="487"/>
      <c r="X565" s="524"/>
      <c r="Y565" s="487"/>
      <c r="Z565" s="524"/>
      <c r="AA565" s="487"/>
      <c r="AB565" s="524"/>
      <c r="AC565" s="487"/>
      <c r="AD565" s="524"/>
      <c r="AE565" s="487"/>
      <c r="AF565" s="524"/>
      <c r="AG565" s="487"/>
      <c r="AH565" s="524"/>
      <c r="AI565" s="486"/>
      <c r="AJ565" s="524"/>
      <c r="AK565" s="486"/>
      <c r="AL565" s="524"/>
      <c r="AM565" s="486"/>
      <c r="AN565" s="524"/>
      <c r="AO565" s="486"/>
      <c r="AP565" s="524"/>
      <c r="AQ565" s="486"/>
      <c r="AR565" s="524"/>
      <c r="AS565" s="486"/>
      <c r="AT565" s="524"/>
      <c r="AU565" s="486"/>
      <c r="AV565" s="524"/>
      <c r="AW565" s="486"/>
      <c r="AX565" s="524"/>
      <c r="AY565" s="486"/>
      <c r="AZ565" s="524"/>
      <c r="BA565" s="486"/>
      <c r="BB565" s="524"/>
      <c r="BC565" s="486"/>
      <c r="BD565" s="524"/>
      <c r="BE565" s="486"/>
      <c r="BF565" s="524"/>
      <c r="BG565" s="486"/>
      <c r="BH565" s="524"/>
      <c r="BI565" s="486"/>
      <c r="BJ565" s="524"/>
      <c r="BK565" s="486"/>
      <c r="BL565" s="524"/>
      <c r="BM565" s="486"/>
      <c r="BN565" s="524"/>
      <c r="BO565" s="486"/>
      <c r="BP565" s="524"/>
      <c r="BQ565" s="486"/>
      <c r="BR565" s="524"/>
      <c r="BS565" s="486"/>
      <c r="BT565" s="524"/>
      <c r="BU565" s="486"/>
      <c r="BV565" s="524"/>
      <c r="BW565" s="486"/>
      <c r="BX565" s="524"/>
      <c r="BY565" s="486"/>
      <c r="BZ565" s="524"/>
      <c r="CA565" s="486"/>
      <c r="CB565" s="524"/>
      <c r="CC565" s="486"/>
      <c r="CD565" s="524"/>
      <c r="CE565" s="486"/>
      <c r="CF565" s="524"/>
      <c r="CG565" s="486"/>
      <c r="CH565" s="524"/>
      <c r="CI565" s="486"/>
      <c r="CJ565" s="524"/>
      <c r="CK565" s="486"/>
      <c r="CL565" s="524"/>
      <c r="CM565" s="486"/>
      <c r="CN565" s="524"/>
      <c r="CO565" s="486"/>
      <c r="CP565" s="524"/>
      <c r="CQ565" s="486"/>
      <c r="CR565" s="524"/>
      <c r="CS565" s="486"/>
      <c r="CT565" s="524"/>
      <c r="CU565" s="486"/>
      <c r="CV565" s="524"/>
      <c r="CW565" s="486"/>
      <c r="CX565" s="524"/>
      <c r="CY565" s="486"/>
      <c r="CZ565" s="524"/>
      <c r="DA565" s="486"/>
      <c r="DB565" s="524"/>
      <c r="DC565" s="486"/>
      <c r="DD565" s="524"/>
      <c r="DE565" s="486"/>
      <c r="DF565" s="524"/>
      <c r="DG565" s="486"/>
      <c r="DH565" s="524"/>
      <c r="DI565" s="486"/>
      <c r="DJ565" s="524"/>
      <c r="DK565" s="486"/>
      <c r="DL565" s="524"/>
      <c r="DM565" s="486"/>
      <c r="DN565" s="524"/>
      <c r="DO565" s="486"/>
      <c r="DP565" s="524"/>
      <c r="DQ565" s="486"/>
      <c r="DR565" s="524"/>
      <c r="DS565" s="486"/>
      <c r="DT565" s="524"/>
      <c r="DU565" s="486"/>
      <c r="DV565" s="524"/>
      <c r="DW565" s="486"/>
      <c r="DX565" s="524"/>
      <c r="DY565" s="486"/>
      <c r="DZ565" s="524"/>
      <c r="EA565" s="486"/>
      <c r="EB565" s="487"/>
      <c r="EC565" s="524"/>
      <c r="ED565" s="487"/>
      <c r="EE565" s="524"/>
      <c r="EF565" s="487"/>
      <c r="EG565" s="524"/>
      <c r="EH565" s="487"/>
      <c r="EI565" s="524"/>
      <c r="EJ565" s="486"/>
      <c r="EK565" s="524"/>
      <c r="EL565" s="486"/>
      <c r="EM565" s="524"/>
      <c r="EN565" s="486"/>
      <c r="EO565" s="524"/>
      <c r="EP565" s="486"/>
      <c r="EQ565" s="524"/>
      <c r="ER565" s="486"/>
      <c r="ES565" s="524"/>
      <c r="ET565" s="486"/>
      <c r="EU565" s="524"/>
      <c r="EV565" s="486"/>
      <c r="EW565" s="524"/>
      <c r="EX565" s="486"/>
      <c r="EY565" s="524"/>
      <c r="EZ565" s="486"/>
      <c r="FA565" s="524"/>
      <c r="FB565" s="486"/>
      <c r="FC565" s="524"/>
      <c r="FD565" s="486"/>
      <c r="FE565" s="524"/>
      <c r="FF565" s="486"/>
      <c r="FG565" s="524"/>
      <c r="FH565" s="486"/>
      <c r="FI565" s="524"/>
      <c r="FJ565" s="486"/>
      <c r="FK565" s="524"/>
      <c r="FL565" s="486"/>
      <c r="FM565" s="524"/>
      <c r="FN565" s="486"/>
      <c r="FO565" s="524"/>
      <c r="FP565" s="486"/>
      <c r="FQ565" s="524"/>
      <c r="FR565" s="486"/>
      <c r="FS565" s="486"/>
    </row>
    <row r="566" spans="1:175" ht="12.75" hidden="1" customHeight="1" outlineLevel="1" x14ac:dyDescent="0.2">
      <c r="A566" s="246" t="str">
        <f>INPUT!B451</f>
        <v>Operating Expenses/Total Revenues (%)</v>
      </c>
      <c r="B566" s="515">
        <f>INPUT!AA451</f>
        <v>96.92307692307692</v>
      </c>
      <c r="C566" s="487">
        <f>INPUT!AB451</f>
        <v>-3.0769230769230802</v>
      </c>
      <c r="D566" s="515">
        <f>INPUT!AC451</f>
        <v>86.956521739130437</v>
      </c>
      <c r="E566" s="487">
        <f>INPUT!AD451</f>
        <v>-17.135549872122752</v>
      </c>
      <c r="F566" s="515">
        <f>INPUT!AE451</f>
        <v>88.235294117647058</v>
      </c>
      <c r="G566" s="487">
        <f>INPUT!AF451</f>
        <v>-8.455882352941174</v>
      </c>
      <c r="H566" s="515">
        <f>INPUT!AG451</f>
        <v>186.11111111111111</v>
      </c>
      <c r="I566" s="487">
        <f>INPUT!AH451</f>
        <v>77.352941176470608</v>
      </c>
      <c r="J566" s="515">
        <f>INPUT!AI451</f>
        <v>94.252873563218387</v>
      </c>
      <c r="K566" s="487">
        <f>INPUT!AJ451</f>
        <v>-2.7549717204889674</v>
      </c>
      <c r="L566" s="515">
        <f>INPUT!AK451</f>
        <v>82.456140350877192</v>
      </c>
      <c r="M566" s="487">
        <f>INPUT!AL451</f>
        <v>-5.1754385964912331</v>
      </c>
      <c r="N566" s="515">
        <f>INPUT!AM451</f>
        <v>83.898305084745758</v>
      </c>
      <c r="O566" s="487">
        <f>INPUT!AN451</f>
        <v>-4.9152542372881385</v>
      </c>
      <c r="P566" s="515">
        <f>INPUT!AO451</f>
        <v>74.015748031496059</v>
      </c>
      <c r="Q566" s="487" t="str">
        <f>INPUT!AP451</f>
        <v>NM</v>
      </c>
      <c r="R566" s="515">
        <f>INPUT!AQ451</f>
        <v>80.46875</v>
      </c>
      <c r="S566" s="487">
        <f>INPUT!AR451</f>
        <v>-14.624618902439025</v>
      </c>
      <c r="T566" s="515">
        <f>INPUT!AS451</f>
        <v>82.075471698113205</v>
      </c>
      <c r="U566" s="487">
        <f>INPUT!AT451</f>
        <v>-0.46166198313930806</v>
      </c>
      <c r="V566" s="515">
        <f>INPUT!AU451</f>
        <v>79.508196721311478</v>
      </c>
      <c r="W566" s="487">
        <f>INPUT!AV451</f>
        <v>-5.2326544129822707</v>
      </c>
      <c r="X566" s="515">
        <f>INPUT!AW451</f>
        <v>71.755725190839698</v>
      </c>
      <c r="Y566" s="487">
        <f>INPUT!AX451</f>
        <v>-3.053435114503813</v>
      </c>
      <c r="Z566" s="515">
        <f>INPUT!AY451</f>
        <v>70.666666666666671</v>
      </c>
      <c r="AA566" s="487">
        <f>INPUT!AZ451</f>
        <v>-12.181229773462775</v>
      </c>
      <c r="AB566" s="515">
        <f>INPUT!BA451</f>
        <v>76.712328767123282</v>
      </c>
      <c r="AC566" s="487">
        <f>INPUT!BB451</f>
        <v>-6.5344040308612819</v>
      </c>
      <c r="AD566" s="515">
        <f>INPUT!BC451</f>
        <v>76.515151515151516</v>
      </c>
      <c r="AE566" s="487">
        <f>INPUT!BD451</f>
        <v>-3.7644486098094347</v>
      </c>
      <c r="AF566" s="515">
        <f>INPUT!BE451</f>
        <v>79.012345679012341</v>
      </c>
      <c r="AG566" s="487">
        <f>INPUT!BF451</f>
        <v>10.112949829261879</v>
      </c>
      <c r="AH566" s="523">
        <f>INPUT!BG451</f>
        <v>64.971751412429384</v>
      </c>
      <c r="AI566" s="486">
        <f>INPUT!BH451</f>
        <v>-8.0588423409018191</v>
      </c>
      <c r="AJ566" s="523">
        <f>INPUT!BI451</f>
        <v>74.556213017751489</v>
      </c>
      <c r="AK566" s="486">
        <f>INPUT!BJ451</f>
        <v>-2.8106508875739422</v>
      </c>
      <c r="AL566" s="523">
        <f>INPUT!BK451</f>
        <v>54.581673306772906</v>
      </c>
      <c r="AM566" s="486">
        <f>INPUT!BL451</f>
        <v>-28.665535876296801</v>
      </c>
      <c r="AN566" s="523">
        <f>INPUT!BM451</f>
        <v>76.744186046511629</v>
      </c>
      <c r="AO566" s="486">
        <f>INPUT!BN451</f>
        <v>-2.8706395348837077</v>
      </c>
      <c r="AP566" s="523">
        <f>INPUT!BO451</f>
        <v>93.965517241379317</v>
      </c>
      <c r="AQ566" s="486">
        <f>INPUT!BP451</f>
        <v>44.625187406296845</v>
      </c>
      <c r="AR566" s="523">
        <f>INPUT!BQ451</f>
        <v>87</v>
      </c>
      <c r="AS566" s="486">
        <f>INPUT!BR451</f>
        <v>16.690476190476161</v>
      </c>
      <c r="AT566" s="523">
        <f>INPUT!BS451</f>
        <v>75</v>
      </c>
      <c r="AU566" s="486">
        <f>INPUT!BT451</f>
        <v>37.408759124087595</v>
      </c>
      <c r="AV566" s="523">
        <f>INPUT!BU451</f>
        <v>-76.19047619047619</v>
      </c>
      <c r="AW566" s="486" t="str">
        <f>INPUT!BV451</f>
        <v>NM</v>
      </c>
      <c r="AX566" s="523"/>
      <c r="AY566" s="486"/>
      <c r="AZ566" s="523"/>
      <c r="BA566" s="486"/>
      <c r="BB566" s="523"/>
      <c r="BC566" s="486"/>
      <c r="BD566" s="523"/>
      <c r="BE566" s="486"/>
      <c r="BF566" s="523"/>
      <c r="BG566" s="486"/>
      <c r="BH566" s="523"/>
      <c r="BI566" s="486"/>
      <c r="BJ566" s="523"/>
      <c r="BK566" s="486"/>
      <c r="BL566" s="523"/>
      <c r="BM566" s="486"/>
      <c r="BN566" s="523"/>
      <c r="BO566" s="486"/>
      <c r="BP566" s="523"/>
      <c r="BQ566" s="486"/>
      <c r="BR566" s="523"/>
      <c r="BS566" s="486"/>
      <c r="BT566" s="523"/>
      <c r="BU566" s="486"/>
      <c r="BV566" s="523"/>
      <c r="BW566" s="486"/>
      <c r="BX566" s="523"/>
      <c r="BY566" s="486"/>
      <c r="BZ566" s="523"/>
      <c r="CA566" s="486"/>
      <c r="CB566" s="523"/>
      <c r="CC566" s="486"/>
      <c r="CD566" s="523"/>
      <c r="CE566" s="486"/>
      <c r="CF566" s="523"/>
      <c r="CG566" s="486"/>
      <c r="CH566" s="523"/>
      <c r="CI566" s="486"/>
      <c r="CJ566" s="523"/>
      <c r="CK566" s="486"/>
      <c r="CL566" s="523"/>
      <c r="CM566" s="486"/>
      <c r="CN566" s="523"/>
      <c r="CO566" s="486"/>
      <c r="CP566" s="523"/>
      <c r="CQ566" s="486"/>
      <c r="CR566" s="523"/>
      <c r="CS566" s="486"/>
      <c r="CT566" s="523"/>
      <c r="CU566" s="486"/>
      <c r="CV566" s="523"/>
      <c r="CW566" s="486"/>
      <c r="CX566" s="523"/>
      <c r="CY566" s="486"/>
      <c r="CZ566" s="523"/>
      <c r="DA566" s="486"/>
      <c r="DB566" s="523"/>
      <c r="DC566" s="486"/>
      <c r="DD566" s="523"/>
      <c r="DE566" s="486"/>
      <c r="DF566" s="523"/>
      <c r="DG566" s="486"/>
      <c r="DH566" s="523"/>
      <c r="DI566" s="486"/>
      <c r="DJ566" s="523"/>
      <c r="DK566" s="486"/>
      <c r="DL566" s="523"/>
      <c r="DM566" s="486"/>
      <c r="DN566" s="523"/>
      <c r="DO566" s="486"/>
      <c r="DP566" s="523"/>
      <c r="DQ566" s="486"/>
      <c r="DR566" s="523"/>
      <c r="DS566" s="486"/>
      <c r="DT566" s="523"/>
      <c r="DU566" s="486"/>
      <c r="DV566" s="523"/>
      <c r="DW566" s="486"/>
      <c r="DX566" s="523"/>
      <c r="DY566" s="486"/>
      <c r="DZ566" s="523"/>
      <c r="EA566" s="486"/>
      <c r="EB566" s="487" t="str">
        <f>INPUT!FI451</f>
        <v>NM</v>
      </c>
      <c r="EC566" s="515">
        <f>INPUT!FJ451</f>
        <v>101.53846153846153</v>
      </c>
      <c r="ED566" s="487">
        <f>INPUT!FK451</f>
        <v>-10.302758466023789</v>
      </c>
      <c r="EE566" s="515">
        <f>INPUT!FL451</f>
        <v>105.0420168067227</v>
      </c>
      <c r="EF566" s="487">
        <f>INPUT!FM451</f>
        <v>3.4504710975299417</v>
      </c>
      <c r="EG566" s="515">
        <f>INPUT!FN451</f>
        <v>82.735426008968602</v>
      </c>
      <c r="EH566" s="487">
        <f>INPUT!FO451</f>
        <v>-21.235874439461895</v>
      </c>
      <c r="EI566" s="515">
        <f>INPUT!FP451</f>
        <v>78.234086242299796</v>
      </c>
      <c r="EJ566" s="486">
        <f>INPUT!FQ451</f>
        <v>-5.4406437288192109</v>
      </c>
      <c r="EK566" s="523">
        <f>INPUT!FR451</f>
        <v>75.762711864406782</v>
      </c>
      <c r="EL566" s="486">
        <f>INPUT!FS451</f>
        <v>-3.1589483517950043</v>
      </c>
      <c r="EM566" s="523">
        <f>INPUT!FT451</f>
        <v>66.319895968790632</v>
      </c>
      <c r="EN566" s="486">
        <f>INPUT!FU451</f>
        <v>-12.463671987502295</v>
      </c>
      <c r="EO566" s="523">
        <f>INPUT!FV451</f>
        <v>487.09677419354841</v>
      </c>
      <c r="EP566" s="486" t="str">
        <f>INPUT!FW451</f>
        <v>NM</v>
      </c>
      <c r="EQ566" s="523"/>
      <c r="ER566" s="486"/>
      <c r="ES566" s="523"/>
      <c r="ET566" s="486"/>
      <c r="EU566" s="523"/>
      <c r="EV566" s="486"/>
      <c r="EW566" s="523"/>
      <c r="EX566" s="486"/>
      <c r="EY566" s="523"/>
      <c r="EZ566" s="486"/>
      <c r="FA566" s="523"/>
      <c r="FB566" s="486"/>
      <c r="FC566" s="523"/>
      <c r="FD566" s="486"/>
      <c r="FE566" s="523"/>
      <c r="FF566" s="486"/>
      <c r="FG566" s="523"/>
      <c r="FH566" s="486"/>
      <c r="FI566" s="523"/>
      <c r="FJ566" s="486"/>
      <c r="FK566" s="523"/>
      <c r="FL566" s="486"/>
      <c r="FM566" s="523"/>
      <c r="FN566" s="486"/>
      <c r="FO566" s="523"/>
      <c r="FP566" s="486"/>
      <c r="FQ566" s="523"/>
      <c r="FR566" s="486"/>
      <c r="FS566" s="486"/>
    </row>
    <row r="567" spans="1:175" ht="12.75" hidden="1" customHeight="1" outlineLevel="1" x14ac:dyDescent="0.2">
      <c r="A567" s="246"/>
      <c r="B567" s="515"/>
      <c r="C567" s="487"/>
      <c r="D567" s="515"/>
      <c r="E567" s="487"/>
      <c r="F567" s="515"/>
      <c r="G567" s="487"/>
      <c r="H567" s="515"/>
      <c r="I567" s="487"/>
      <c r="J567" s="515"/>
      <c r="K567" s="487"/>
      <c r="L567" s="515"/>
      <c r="M567" s="487"/>
      <c r="N567" s="515"/>
      <c r="O567" s="487"/>
      <c r="P567" s="515"/>
      <c r="Q567" s="487"/>
      <c r="R567" s="515"/>
      <c r="S567" s="487"/>
      <c r="T567" s="515"/>
      <c r="U567" s="487"/>
      <c r="V567" s="515"/>
      <c r="W567" s="487"/>
      <c r="X567" s="515"/>
      <c r="Y567" s="487"/>
      <c r="Z567" s="515"/>
      <c r="AA567" s="487"/>
      <c r="AB567" s="515"/>
      <c r="AC567" s="487"/>
      <c r="AD567" s="515"/>
      <c r="AE567" s="487"/>
      <c r="AF567" s="515"/>
      <c r="AG567" s="487"/>
      <c r="AH567" s="515"/>
      <c r="AI567" s="486"/>
      <c r="AJ567" s="515"/>
      <c r="AK567" s="486"/>
      <c r="AL567" s="515"/>
      <c r="AM567" s="486"/>
      <c r="AN567" s="515"/>
      <c r="AO567" s="486"/>
      <c r="AP567" s="515"/>
      <c r="AQ567" s="486"/>
      <c r="AR567" s="515"/>
      <c r="AS567" s="486"/>
      <c r="AT567" s="515"/>
      <c r="AU567" s="486"/>
      <c r="AV567" s="515"/>
      <c r="AW567" s="486"/>
      <c r="AX567" s="515"/>
      <c r="AY567" s="486"/>
      <c r="AZ567" s="515"/>
      <c r="BA567" s="486"/>
      <c r="BB567" s="515"/>
      <c r="BC567" s="486"/>
      <c r="BD567" s="515"/>
      <c r="BE567" s="486"/>
      <c r="BF567" s="515"/>
      <c r="BG567" s="486"/>
      <c r="BH567" s="515"/>
      <c r="BI567" s="486"/>
      <c r="BJ567" s="515"/>
      <c r="BK567" s="486"/>
      <c r="BL567" s="515"/>
      <c r="BM567" s="486"/>
      <c r="BN567" s="515"/>
      <c r="BO567" s="486"/>
      <c r="BP567" s="515"/>
      <c r="BQ567" s="486"/>
      <c r="BR567" s="515"/>
      <c r="BS567" s="486"/>
      <c r="BT567" s="515"/>
      <c r="BU567" s="486"/>
      <c r="BV567" s="515"/>
      <c r="BW567" s="486"/>
      <c r="BX567" s="515"/>
      <c r="BY567" s="486"/>
      <c r="BZ567" s="515"/>
      <c r="CA567" s="486"/>
      <c r="CB567" s="515"/>
      <c r="CC567" s="486"/>
      <c r="CD567" s="515"/>
      <c r="CE567" s="486"/>
      <c r="CF567" s="515"/>
      <c r="CG567" s="486"/>
      <c r="CH567" s="515"/>
      <c r="CI567" s="486"/>
      <c r="CJ567" s="515"/>
      <c r="CK567" s="486"/>
      <c r="CL567" s="515"/>
      <c r="CM567" s="486"/>
      <c r="CN567" s="515"/>
      <c r="CO567" s="486"/>
      <c r="CP567" s="515"/>
      <c r="CQ567" s="486"/>
      <c r="CR567" s="515"/>
      <c r="CS567" s="486"/>
      <c r="CT567" s="515"/>
      <c r="CU567" s="486"/>
      <c r="CV567" s="515"/>
      <c r="CW567" s="486"/>
      <c r="CX567" s="515"/>
      <c r="CY567" s="486"/>
      <c r="CZ567" s="515"/>
      <c r="DA567" s="486"/>
      <c r="DB567" s="515"/>
      <c r="DC567" s="486"/>
      <c r="DD567" s="515"/>
      <c r="DE567" s="486"/>
      <c r="DF567" s="515"/>
      <c r="DG567" s="486"/>
      <c r="DH567" s="515"/>
      <c r="DI567" s="486"/>
      <c r="DJ567" s="515"/>
      <c r="DK567" s="486"/>
      <c r="DL567" s="515"/>
      <c r="DM567" s="486"/>
      <c r="DN567" s="515"/>
      <c r="DO567" s="486"/>
      <c r="DP567" s="515"/>
      <c r="DQ567" s="486"/>
      <c r="DR567" s="515"/>
      <c r="DS567" s="486"/>
      <c r="DT567" s="515"/>
      <c r="DU567" s="486"/>
      <c r="DV567" s="515"/>
      <c r="DW567" s="486"/>
      <c r="DX567" s="515"/>
      <c r="DY567" s="486"/>
      <c r="DZ567" s="515"/>
      <c r="EA567" s="486"/>
      <c r="EB567" s="487"/>
      <c r="EC567" s="515"/>
      <c r="ED567" s="487"/>
      <c r="EE567" s="515"/>
      <c r="EF567" s="487"/>
      <c r="EG567" s="515"/>
      <c r="EH567" s="487"/>
      <c r="EI567" s="515"/>
      <c r="EJ567" s="486"/>
      <c r="EK567" s="515"/>
      <c r="EL567" s="486"/>
      <c r="EM567" s="515"/>
      <c r="EN567" s="486"/>
      <c r="EO567" s="515"/>
      <c r="EP567" s="486"/>
      <c r="EQ567" s="515"/>
      <c r="ER567" s="486"/>
      <c r="ES567" s="515"/>
      <c r="ET567" s="486"/>
      <c r="EU567" s="515"/>
      <c r="EV567" s="486"/>
      <c r="EW567" s="515"/>
      <c r="EX567" s="486"/>
      <c r="EY567" s="515"/>
      <c r="EZ567" s="486"/>
      <c r="FA567" s="515"/>
      <c r="FB567" s="486"/>
      <c r="FC567" s="515"/>
      <c r="FD567" s="486"/>
      <c r="FE567" s="515"/>
      <c r="FF567" s="486"/>
      <c r="FG567" s="515"/>
      <c r="FH567" s="486"/>
      <c r="FI567" s="515"/>
      <c r="FJ567" s="486"/>
      <c r="FK567" s="515"/>
      <c r="FL567" s="486"/>
      <c r="FM567" s="515"/>
      <c r="FN567" s="486"/>
      <c r="FO567" s="515"/>
      <c r="FP567" s="486"/>
      <c r="FQ567" s="515"/>
      <c r="FR567" s="486"/>
      <c r="FS567" s="486"/>
    </row>
    <row r="568" spans="1:175" ht="12.75" hidden="1" customHeight="1" outlineLevel="1" x14ac:dyDescent="0.2">
      <c r="A568" s="500" t="s">
        <v>507</v>
      </c>
      <c r="B568" s="515"/>
      <c r="C568" s="487"/>
      <c r="D568" s="515"/>
      <c r="E568" s="487"/>
      <c r="F568" s="515"/>
      <c r="G568" s="487"/>
      <c r="H568" s="515"/>
      <c r="I568" s="487"/>
      <c r="J568" s="515"/>
      <c r="K568" s="487"/>
      <c r="L568" s="515"/>
      <c r="M568" s="487"/>
      <c r="N568" s="515"/>
      <c r="O568" s="487"/>
      <c r="P568" s="515"/>
      <c r="Q568" s="487"/>
      <c r="R568" s="515"/>
      <c r="S568" s="487"/>
      <c r="T568" s="515"/>
      <c r="U568" s="487"/>
      <c r="V568" s="515"/>
      <c r="W568" s="487"/>
      <c r="X568" s="515"/>
      <c r="Y568" s="487"/>
      <c r="Z568" s="515"/>
      <c r="AA568" s="487"/>
      <c r="AB568" s="515"/>
      <c r="AC568" s="487"/>
      <c r="AD568" s="515"/>
      <c r="AE568" s="487"/>
      <c r="AF568" s="515"/>
      <c r="AG568" s="487"/>
      <c r="AH568" s="515"/>
      <c r="AI568" s="486"/>
      <c r="AJ568" s="515"/>
      <c r="AK568" s="486"/>
      <c r="AL568" s="515"/>
      <c r="AM568" s="486"/>
      <c r="AN568" s="515"/>
      <c r="AO568" s="486"/>
      <c r="AP568" s="515"/>
      <c r="AQ568" s="486"/>
      <c r="AR568" s="515"/>
      <c r="AS568" s="486"/>
      <c r="AT568" s="515"/>
      <c r="AU568" s="486"/>
      <c r="AV568" s="515"/>
      <c r="AW568" s="486"/>
      <c r="AX568" s="515"/>
      <c r="AY568" s="486"/>
      <c r="AZ568" s="515"/>
      <c r="BA568" s="486"/>
      <c r="BB568" s="515"/>
      <c r="BC568" s="486"/>
      <c r="BD568" s="515"/>
      <c r="BE568" s="486"/>
      <c r="BF568" s="515"/>
      <c r="BG568" s="486"/>
      <c r="BH568" s="515"/>
      <c r="BI568" s="486"/>
      <c r="BJ568" s="515"/>
      <c r="BK568" s="486"/>
      <c r="BL568" s="515"/>
      <c r="BM568" s="486"/>
      <c r="BN568" s="515"/>
      <c r="BO568" s="486"/>
      <c r="BP568" s="515"/>
      <c r="BQ568" s="486"/>
      <c r="BR568" s="515"/>
      <c r="BS568" s="486"/>
      <c r="BT568" s="515"/>
      <c r="BU568" s="486"/>
      <c r="BV568" s="515"/>
      <c r="BW568" s="486"/>
      <c r="BX568" s="515"/>
      <c r="BY568" s="486"/>
      <c r="BZ568" s="515"/>
      <c r="CA568" s="486"/>
      <c r="CB568" s="515"/>
      <c r="CC568" s="486"/>
      <c r="CD568" s="515"/>
      <c r="CE568" s="486"/>
      <c r="CF568" s="515"/>
      <c r="CG568" s="486"/>
      <c r="CH568" s="515"/>
      <c r="CI568" s="486"/>
      <c r="CJ568" s="515"/>
      <c r="CK568" s="486"/>
      <c r="CL568" s="515"/>
      <c r="CM568" s="486"/>
      <c r="CN568" s="515"/>
      <c r="CO568" s="486"/>
      <c r="CP568" s="515"/>
      <c r="CQ568" s="486"/>
      <c r="CR568" s="515"/>
      <c r="CS568" s="486"/>
      <c r="CT568" s="515"/>
      <c r="CU568" s="486"/>
      <c r="CV568" s="515"/>
      <c r="CW568" s="486"/>
      <c r="CX568" s="515"/>
      <c r="CY568" s="486"/>
      <c r="CZ568" s="515"/>
      <c r="DA568" s="486"/>
      <c r="DB568" s="515"/>
      <c r="DC568" s="486"/>
      <c r="DD568" s="515"/>
      <c r="DE568" s="486"/>
      <c r="DF568" s="515"/>
      <c r="DG568" s="486"/>
      <c r="DH568" s="515"/>
      <c r="DI568" s="486"/>
      <c r="DJ568" s="515"/>
      <c r="DK568" s="486"/>
      <c r="DL568" s="515"/>
      <c r="DM568" s="486"/>
      <c r="DN568" s="515"/>
      <c r="DO568" s="486"/>
      <c r="DP568" s="515"/>
      <c r="DQ568" s="486"/>
      <c r="DR568" s="515"/>
      <c r="DS568" s="486"/>
      <c r="DT568" s="515"/>
      <c r="DU568" s="486"/>
      <c r="DV568" s="515"/>
      <c r="DW568" s="486"/>
      <c r="DX568" s="515"/>
      <c r="DY568" s="486"/>
      <c r="DZ568" s="515"/>
      <c r="EA568" s="486"/>
      <c r="EB568" s="487"/>
      <c r="EC568" s="515"/>
      <c r="ED568" s="487"/>
      <c r="EE568" s="515"/>
      <c r="EF568" s="487"/>
      <c r="EG568" s="515"/>
      <c r="EH568" s="487"/>
      <c r="EI568" s="515"/>
      <c r="EJ568" s="486"/>
      <c r="EK568" s="515"/>
      <c r="EL568" s="486"/>
      <c r="EM568" s="515"/>
      <c r="EN568" s="486"/>
      <c r="EO568" s="515"/>
      <c r="EP568" s="486"/>
      <c r="EQ568" s="515"/>
      <c r="ER568" s="486"/>
      <c r="ES568" s="515"/>
      <c r="ET568" s="486"/>
      <c r="EU568" s="515"/>
      <c r="EV568" s="486"/>
      <c r="EW568" s="515"/>
      <c r="EX568" s="486"/>
      <c r="EY568" s="515"/>
      <c r="EZ568" s="486"/>
      <c r="FA568" s="515"/>
      <c r="FB568" s="486"/>
      <c r="FC568" s="515"/>
      <c r="FD568" s="486"/>
      <c r="FE568" s="515"/>
      <c r="FF568" s="486"/>
      <c r="FG568" s="515"/>
      <c r="FH568" s="486"/>
      <c r="FI568" s="515"/>
      <c r="FJ568" s="486"/>
      <c r="FK568" s="515"/>
      <c r="FL568" s="486"/>
      <c r="FM568" s="515"/>
      <c r="FN568" s="486"/>
      <c r="FO568" s="515"/>
      <c r="FP568" s="486"/>
      <c r="FQ568" s="515"/>
      <c r="FR568" s="486"/>
      <c r="FS568" s="486"/>
    </row>
    <row r="569" spans="1:175" ht="12.75" hidden="1" customHeight="1" outlineLevel="1" x14ac:dyDescent="0.2">
      <c r="A569" s="500" t="s">
        <v>710</v>
      </c>
      <c r="B569" s="510"/>
      <c r="C569" s="487"/>
      <c r="D569" s="510"/>
      <c r="E569" s="487"/>
      <c r="F569" s="510"/>
      <c r="G569" s="487"/>
      <c r="H569" s="510"/>
      <c r="I569" s="487"/>
      <c r="J569" s="510"/>
      <c r="K569" s="487"/>
      <c r="L569" s="510"/>
      <c r="M569" s="487"/>
      <c r="N569" s="510"/>
      <c r="O569" s="487"/>
      <c r="P569" s="510"/>
      <c r="Q569" s="487"/>
      <c r="R569" s="510"/>
      <c r="S569" s="487"/>
      <c r="T569" s="510"/>
      <c r="U569" s="487"/>
      <c r="V569" s="510"/>
      <c r="W569" s="487"/>
      <c r="X569" s="510"/>
      <c r="Y569" s="487"/>
      <c r="Z569" s="510"/>
      <c r="AA569" s="487"/>
      <c r="AB569" s="510"/>
      <c r="AC569" s="487"/>
      <c r="AD569" s="510"/>
      <c r="AE569" s="487"/>
      <c r="AF569" s="510"/>
      <c r="AG569" s="487"/>
      <c r="AH569" s="510"/>
      <c r="AI569" s="486"/>
      <c r="AJ569" s="510"/>
      <c r="AK569" s="486"/>
      <c r="AL569" s="510"/>
      <c r="AM569" s="486"/>
      <c r="AN569" s="510"/>
      <c r="AO569" s="486"/>
      <c r="AP569" s="510"/>
      <c r="AQ569" s="486"/>
      <c r="AR569" s="510"/>
      <c r="AS569" s="486"/>
      <c r="AT569" s="510"/>
      <c r="AU569" s="486"/>
      <c r="AV569" s="510"/>
      <c r="AW569" s="486"/>
      <c r="AX569" s="510"/>
      <c r="AY569" s="486"/>
      <c r="AZ569" s="510"/>
      <c r="BA569" s="486"/>
      <c r="BB569" s="510"/>
      <c r="BC569" s="486"/>
      <c r="BD569" s="510"/>
      <c r="BE569" s="486"/>
      <c r="BF569" s="510"/>
      <c r="BG569" s="486"/>
      <c r="BH569" s="510"/>
      <c r="BI569" s="486"/>
      <c r="BJ569" s="510"/>
      <c r="BK569" s="486"/>
      <c r="BL569" s="510"/>
      <c r="BM569" s="486"/>
      <c r="BN569" s="510"/>
      <c r="BO569" s="486"/>
      <c r="BP569" s="510"/>
      <c r="BQ569" s="486"/>
      <c r="BR569" s="510"/>
      <c r="BS569" s="486"/>
      <c r="BT569" s="510"/>
      <c r="BU569" s="486"/>
      <c r="BV569" s="510"/>
      <c r="BW569" s="486"/>
      <c r="BX569" s="510"/>
      <c r="BY569" s="486"/>
      <c r="BZ569" s="510"/>
      <c r="CA569" s="486"/>
      <c r="CB569" s="510"/>
      <c r="CC569" s="486"/>
      <c r="CD569" s="510"/>
      <c r="CE569" s="486"/>
      <c r="CF569" s="510"/>
      <c r="CG569" s="486"/>
      <c r="CH569" s="510"/>
      <c r="CI569" s="486"/>
      <c r="CJ569" s="510"/>
      <c r="CK569" s="486"/>
      <c r="CL569" s="510"/>
      <c r="CM569" s="486"/>
      <c r="CN569" s="510"/>
      <c r="CO569" s="486"/>
      <c r="CP569" s="510"/>
      <c r="CQ569" s="486"/>
      <c r="CR569" s="510"/>
      <c r="CS569" s="486"/>
      <c r="CT569" s="510"/>
      <c r="CU569" s="486"/>
      <c r="CV569" s="510"/>
      <c r="CW569" s="486"/>
      <c r="CX569" s="510"/>
      <c r="CY569" s="486"/>
      <c r="CZ569" s="510"/>
      <c r="DA569" s="486"/>
      <c r="DB569" s="510"/>
      <c r="DC569" s="486"/>
      <c r="DD569" s="510"/>
      <c r="DE569" s="486"/>
      <c r="DF569" s="510"/>
      <c r="DG569" s="486"/>
      <c r="DH569" s="510"/>
      <c r="DI569" s="486"/>
      <c r="DJ569" s="510"/>
      <c r="DK569" s="486"/>
      <c r="DL569" s="510"/>
      <c r="DM569" s="486"/>
      <c r="DN569" s="510"/>
      <c r="DO569" s="486"/>
      <c r="DP569" s="510"/>
      <c r="DQ569" s="486"/>
      <c r="DR569" s="510"/>
      <c r="DS569" s="486"/>
      <c r="DT569" s="510"/>
      <c r="DU569" s="486"/>
      <c r="DV569" s="510"/>
      <c r="DW569" s="486"/>
      <c r="DX569" s="510"/>
      <c r="DY569" s="486"/>
      <c r="DZ569" s="510"/>
      <c r="EA569" s="486"/>
      <c r="EB569" s="487"/>
      <c r="EC569" s="510"/>
      <c r="ED569" s="487"/>
      <c r="EE569" s="510"/>
      <c r="EF569" s="487"/>
      <c r="EG569" s="510"/>
      <c r="EH569" s="487"/>
      <c r="EI569" s="510"/>
      <c r="EJ569" s="486"/>
      <c r="EK569" s="510"/>
      <c r="EL569" s="486"/>
      <c r="EM569" s="510"/>
      <c r="EN569" s="486"/>
      <c r="EO569" s="510"/>
      <c r="EP569" s="486"/>
      <c r="EQ569" s="510"/>
      <c r="ER569" s="486"/>
      <c r="ES569" s="510"/>
      <c r="ET569" s="486"/>
      <c r="EU569" s="510"/>
      <c r="EV569" s="486"/>
      <c r="EW569" s="510"/>
      <c r="EX569" s="486"/>
      <c r="EY569" s="510"/>
      <c r="EZ569" s="486"/>
      <c r="FA569" s="510"/>
      <c r="FB569" s="486"/>
      <c r="FC569" s="510"/>
      <c r="FD569" s="486"/>
      <c r="FE569" s="510"/>
      <c r="FF569" s="486"/>
      <c r="FG569" s="510"/>
      <c r="FH569" s="486"/>
      <c r="FI569" s="510"/>
      <c r="FJ569" s="486"/>
      <c r="FK569" s="510"/>
      <c r="FL569" s="486"/>
      <c r="FM569" s="510"/>
      <c r="FN569" s="486"/>
      <c r="FO569" s="510"/>
      <c r="FP569" s="486"/>
      <c r="FQ569" s="510"/>
      <c r="FR569" s="486"/>
      <c r="FS569" s="486"/>
    </row>
    <row r="570" spans="1:175" ht="12.75" customHeight="1" collapsed="1" x14ac:dyDescent="0.2">
      <c r="C570" s="263"/>
      <c r="E570" s="263"/>
      <c r="G570" s="263"/>
      <c r="I570" s="263"/>
      <c r="K570" s="263"/>
      <c r="M570" s="263"/>
      <c r="O570" s="263"/>
      <c r="Q570" s="263"/>
      <c r="S570" s="263"/>
      <c r="U570" s="263"/>
      <c r="W570" s="263"/>
      <c r="Y570" s="263"/>
      <c r="AA570" s="263"/>
      <c r="AC570" s="263"/>
      <c r="AE570" s="263"/>
      <c r="AG570" s="263"/>
      <c r="AI570" s="263"/>
      <c r="AK570" s="263"/>
      <c r="AM570" s="263"/>
      <c r="AO570" s="263"/>
      <c r="AQ570" s="263"/>
      <c r="AS570" s="263"/>
      <c r="AU570" s="263"/>
      <c r="AW570" s="263"/>
      <c r="AY570" s="263"/>
      <c r="BA570" s="263"/>
      <c r="BC570" s="263"/>
      <c r="BE570" s="263"/>
      <c r="BG570" s="263"/>
      <c r="BI570" s="263"/>
      <c r="BK570" s="263"/>
      <c r="BM570" s="263"/>
      <c r="BO570" s="263"/>
      <c r="BQ570" s="263"/>
      <c r="BS570" s="263"/>
      <c r="BU570" s="263"/>
      <c r="BW570" s="263"/>
      <c r="BY570" s="263"/>
      <c r="CA570" s="263"/>
      <c r="CC570" s="263"/>
      <c r="CE570" s="263"/>
      <c r="CG570" s="263"/>
      <c r="CI570" s="263"/>
      <c r="CK570" s="263"/>
      <c r="CM570" s="263"/>
      <c r="CO570" s="263"/>
      <c r="CQ570" s="263"/>
      <c r="CS570" s="263"/>
      <c r="CU570" s="263"/>
      <c r="CW570" s="263"/>
      <c r="CY570" s="263"/>
      <c r="DA570" s="263"/>
      <c r="DC570" s="263"/>
      <c r="DE570" s="263"/>
      <c r="DG570" s="263"/>
      <c r="DI570" s="263"/>
      <c r="DK570" s="263"/>
      <c r="DM570" s="263"/>
      <c r="DO570" s="263"/>
      <c r="DQ570" s="263"/>
      <c r="DS570" s="263"/>
      <c r="DU570" s="263"/>
      <c r="DW570" s="263"/>
      <c r="DY570" s="263"/>
      <c r="EA570" s="263"/>
      <c r="EB570" s="263"/>
      <c r="ED570" s="263"/>
      <c r="EF570" s="263"/>
      <c r="EH570" s="263"/>
      <c r="EJ570" s="263"/>
      <c r="EL570" s="263"/>
      <c r="EN570" s="263"/>
      <c r="EP570" s="263"/>
      <c r="ER570" s="263"/>
      <c r="ET570" s="263"/>
      <c r="EV570" s="263"/>
      <c r="EX570" s="263"/>
      <c r="EZ570" s="263"/>
      <c r="FB570" s="263"/>
      <c r="FD570" s="263"/>
      <c r="FF570" s="263"/>
      <c r="FH570" s="263"/>
      <c r="FJ570" s="263"/>
      <c r="FL570" s="263"/>
      <c r="FN570" s="263"/>
      <c r="FP570" s="263"/>
      <c r="FR570" s="263"/>
      <c r="FS570" s="263"/>
    </row>
  </sheetData>
  <dataConsolidate/>
  <phoneticPr fontId="5" type="noConversion"/>
  <pageMargins left="0" right="0" top="0" bottom="0" header="0" footer="0"/>
  <pageSetup paperSize="5" scale="51" orientation="landscape" horizontalDpi="300" r:id="rId1"/>
  <headerFooter alignWithMargins="0"/>
  <rowBreaks count="13" manualBreakCount="13">
    <brk id="62" max="174" man="1"/>
    <brk id="108" max="174" man="1"/>
    <brk id="153" max="174" man="1"/>
    <brk id="196" max="174" man="1"/>
    <brk id="243" max="174" man="1"/>
    <brk id="285" max="174" man="1"/>
    <brk id="321" max="174" man="1"/>
    <brk id="354" max="174" man="1"/>
    <brk id="377" max="174" man="1"/>
    <brk id="417" max="174" man="1"/>
    <brk id="457" max="174" man="1"/>
    <brk id="498" max="174" man="1"/>
    <brk id="540" max="174" man="1"/>
  </rowBreaks>
  <ignoredErrors>
    <ignoredError sqref="FT26 FT73:FT86 FE220:FF303 FT41 FT52:FT55 FT46 EB201:EV218 FT131:FT218 FE305:FF361 FT220:FT303 EB220:EV303 BF201:BU218 FE375:FF400 FT482:FT521 EB305:ED361 BF523:BU547 EJ305:EL329 BF305:BU361 EB523:EP570 FE523:FF547 EO305:EV361 FE402:FF440 EM305:EN400 EE305:EI400 EB370:ED400 EB402:EV440 BF374:BU400 EO375:EV400 FE442:FF480 FT375:FT400 EJ351:EL400 FT402:FT440 EB442:EV480 BF402:BU440 FE482:FF521 FT442:FT480 EB17:EP20 BF442:BU480 FE569:FF570 FT305:FT361 BF569:BU570 BF220:BU303 EQ18:EV19 FT17:FT22 FT32:FT33 FT60:FT68 EB52:ER55 EB482:EV521 FT569:FT570 EQ523:EV547 FE201:FF218 EB22:EV22 FT523:FT547 EB73:ER86 BF482:BU521 FT48:FT50 EB60:ER68 EQ569:EV570 EB131:ER200 FT88:FT129 EB88:ER129 EB46:ER46 FT29:FT30 EB48:ER50 FT24" formula="1"/>
  </ignoredErrors>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HP563"/>
  <sheetViews>
    <sheetView showGridLines="0" zoomScaleNormal="100" zoomScaleSheetLayoutView="100" workbookViewId="0">
      <pane xSplit="1" ySplit="5" topLeftCell="CL6" activePane="bottomRight" state="frozen"/>
      <selection activeCell="A86" sqref="A86"/>
      <selection pane="topRight" activeCell="A86" sqref="A86"/>
      <selection pane="bottomLeft" activeCell="A86" sqref="A86"/>
      <selection pane="bottomRight" activeCell="A86" sqref="A86"/>
    </sheetView>
  </sheetViews>
  <sheetFormatPr defaultRowHeight="12.75" customHeight="1" outlineLevelRow="2" outlineLevelCol="1" x14ac:dyDescent="0.2"/>
  <cols>
    <col min="1" max="1" width="30.7109375" style="547" customWidth="1"/>
    <col min="2" max="2" width="7.42578125" style="547" hidden="1" customWidth="1" outlineLevel="1"/>
    <col min="3" max="3" width="7.42578125" style="553" hidden="1" customWidth="1" outlineLevel="1"/>
    <col min="4" max="4" width="7.42578125" style="547" hidden="1" customWidth="1" outlineLevel="1"/>
    <col min="5" max="5" width="7.42578125" style="553" hidden="1" customWidth="1" outlineLevel="1"/>
    <col min="6" max="6" width="7.42578125" style="547" hidden="1" customWidth="1" outlineLevel="1"/>
    <col min="7" max="7" width="7.42578125" style="553" hidden="1" customWidth="1" outlineLevel="1"/>
    <col min="8" max="8" width="7.42578125" style="547" hidden="1" customWidth="1" outlineLevel="1"/>
    <col min="9" max="9" width="7.42578125" style="553" hidden="1" customWidth="1" outlineLevel="1"/>
    <col min="10" max="10" width="7.42578125" style="547" hidden="1" customWidth="1" outlineLevel="1"/>
    <col min="11" max="11" width="7.42578125" style="553" hidden="1" customWidth="1" outlineLevel="1"/>
    <col min="12" max="12" width="7.42578125" style="547" hidden="1" customWidth="1" outlineLevel="1"/>
    <col min="13" max="13" width="7.42578125" style="553" hidden="1" customWidth="1" outlineLevel="1"/>
    <col min="14" max="14" width="7.42578125" style="547" hidden="1" customWidth="1" outlineLevel="1"/>
    <col min="15" max="15" width="7.42578125" style="553" hidden="1" customWidth="1" outlineLevel="1"/>
    <col min="16" max="16" width="7.42578125" style="547" hidden="1" customWidth="1" outlineLevel="1"/>
    <col min="17" max="17" width="7.42578125" style="553" hidden="1" customWidth="1" outlineLevel="1"/>
    <col min="18" max="18" width="7.42578125" style="547" hidden="1" customWidth="1" outlineLevel="1"/>
    <col min="19" max="19" width="7.42578125" style="553" hidden="1" customWidth="1" outlineLevel="1"/>
    <col min="20" max="20" width="7.42578125" style="547" hidden="1" customWidth="1" outlineLevel="1"/>
    <col min="21" max="21" width="7.42578125" style="553" hidden="1" customWidth="1" outlineLevel="1"/>
    <col min="22" max="22" width="7.42578125" style="547" hidden="1" customWidth="1" outlineLevel="1"/>
    <col min="23" max="23" width="7.42578125" style="553" hidden="1" customWidth="1" outlineLevel="1"/>
    <col min="24" max="24" width="7.42578125" style="547" hidden="1" customWidth="1" outlineLevel="1"/>
    <col min="25" max="25" width="7.42578125" style="553" hidden="1" customWidth="1" outlineLevel="1"/>
    <col min="26" max="26" width="7.42578125" style="547" hidden="1" customWidth="1" outlineLevel="1"/>
    <col min="27" max="27" width="7.42578125" style="553" hidden="1" customWidth="1" outlineLevel="1"/>
    <col min="28" max="28" width="7.42578125" style="547" hidden="1" customWidth="1" outlineLevel="1"/>
    <col min="29" max="29" width="7.42578125" style="553" hidden="1" customWidth="1" outlineLevel="1"/>
    <col min="30" max="30" width="7.42578125" style="547" hidden="1" customWidth="1" outlineLevel="1"/>
    <col min="31" max="31" width="7.42578125" style="553" hidden="1" customWidth="1" outlineLevel="1"/>
    <col min="32" max="32" width="7.42578125" style="547" hidden="1" customWidth="1" outlineLevel="1"/>
    <col min="33" max="33" width="7.42578125" style="553" hidden="1" customWidth="1" outlineLevel="1"/>
    <col min="34" max="34" width="7.42578125" style="547" hidden="1" customWidth="1" outlineLevel="1" collapsed="1"/>
    <col min="35" max="35" width="7.42578125" style="553" hidden="1" customWidth="1" outlineLevel="1"/>
    <col min="36" max="36" width="7.42578125" style="547" hidden="1" customWidth="1" outlineLevel="1"/>
    <col min="37" max="37" width="7.42578125" style="553" hidden="1" customWidth="1" outlineLevel="1"/>
    <col min="38" max="38" width="7.42578125" style="547" hidden="1" customWidth="1" outlineLevel="1"/>
    <col min="39" max="39" width="7.42578125" style="553" hidden="1" customWidth="1" outlineLevel="1"/>
    <col min="40" max="40" width="7.42578125" style="547" hidden="1" customWidth="1" outlineLevel="1"/>
    <col min="41" max="41" width="7.42578125" style="553" hidden="1" customWidth="1" outlineLevel="1"/>
    <col min="42" max="42" width="7.42578125" style="547" hidden="1" customWidth="1" outlineLevel="1" collapsed="1"/>
    <col min="43" max="43" width="7.42578125" style="553" hidden="1" customWidth="1" outlineLevel="1"/>
    <col min="44" max="44" width="7.42578125" style="547" hidden="1" customWidth="1" outlineLevel="1"/>
    <col min="45" max="45" width="7.42578125" style="553" hidden="1" customWidth="1" outlineLevel="1"/>
    <col min="46" max="46" width="7.42578125" style="547" hidden="1" customWidth="1" outlineLevel="1"/>
    <col min="47" max="47" width="7.42578125" style="553" hidden="1" customWidth="1" outlineLevel="1"/>
    <col min="48" max="48" width="7.42578125" style="547" hidden="1" customWidth="1" outlineLevel="1"/>
    <col min="49" max="49" width="7.42578125" style="553" hidden="1" customWidth="1" outlineLevel="1"/>
    <col min="50" max="50" width="7.42578125" style="547" hidden="1" customWidth="1" outlineLevel="1" collapsed="1"/>
    <col min="51" max="51" width="7.42578125" style="553" hidden="1" customWidth="1" outlineLevel="1"/>
    <col min="52" max="52" width="7.42578125" style="547" hidden="1" customWidth="1" outlineLevel="1" collapsed="1"/>
    <col min="53" max="53" width="7.42578125" style="553" hidden="1" customWidth="1" outlineLevel="1"/>
    <col min="54" max="54" width="7.42578125" style="547" hidden="1" customWidth="1" outlineLevel="1" collapsed="1"/>
    <col min="55" max="55" width="7.42578125" style="553" hidden="1" customWidth="1" outlineLevel="1"/>
    <col min="56" max="56" width="7.42578125" style="547" hidden="1" customWidth="1" outlineLevel="1" collapsed="1"/>
    <col min="57" max="57" width="7.42578125" style="553" hidden="1" customWidth="1" outlineLevel="1"/>
    <col min="58" max="58" width="7.42578125" style="547" hidden="1" customWidth="1" outlineLevel="1" collapsed="1"/>
    <col min="59" max="59" width="7.42578125" style="553" hidden="1" customWidth="1" outlineLevel="1"/>
    <col min="60" max="60" width="7.42578125" style="547" hidden="1" customWidth="1" outlineLevel="1" collapsed="1"/>
    <col min="61" max="61" width="7.42578125" style="553" hidden="1" customWidth="1" outlineLevel="1"/>
    <col min="62" max="62" width="7.42578125" style="547" hidden="1" customWidth="1" outlineLevel="1" collapsed="1"/>
    <col min="63" max="63" width="7.42578125" style="553" hidden="1" customWidth="1" outlineLevel="1"/>
    <col min="64" max="64" width="7.42578125" style="547" hidden="1" customWidth="1" outlineLevel="1" collapsed="1"/>
    <col min="65" max="65" width="7.42578125" style="553" hidden="1" customWidth="1" outlineLevel="1"/>
    <col min="66" max="66" width="7.42578125" style="547" hidden="1" customWidth="1" outlineLevel="1"/>
    <col min="67" max="67" width="7.42578125" style="553" hidden="1" customWidth="1" outlineLevel="1"/>
    <col min="68" max="68" width="7.42578125" style="547" hidden="1" customWidth="1" outlineLevel="1"/>
    <col min="69" max="69" width="7.42578125" style="553" hidden="1" customWidth="1" outlineLevel="1"/>
    <col min="70" max="70" width="7.42578125" style="547" hidden="1" customWidth="1" outlineLevel="1"/>
    <col min="71" max="71" width="7.42578125" style="553" hidden="1" customWidth="1" outlineLevel="1"/>
    <col min="72" max="72" width="7.42578125" style="547" hidden="1" customWidth="1" outlineLevel="1"/>
    <col min="73" max="73" width="7.42578125" style="553" hidden="1" customWidth="1" outlineLevel="1"/>
    <col min="74" max="74" width="7.42578125" style="547" hidden="1" customWidth="1" outlineLevel="1" collapsed="1"/>
    <col min="75" max="75" width="7.42578125" style="553" hidden="1" customWidth="1" outlineLevel="1"/>
    <col min="76" max="76" width="7.42578125" style="547" hidden="1" customWidth="1" outlineLevel="1" collapsed="1"/>
    <col min="77" max="77" width="7.42578125" style="553" hidden="1" customWidth="1" outlineLevel="1"/>
    <col min="78" max="78" width="7.42578125" style="547" hidden="1" customWidth="1" outlineLevel="1" collapsed="1"/>
    <col min="79" max="79" width="7.42578125" style="553" hidden="1" customWidth="1" outlineLevel="1"/>
    <col min="80" max="80" width="7.42578125" style="547" hidden="1" customWidth="1" outlineLevel="1" collapsed="1"/>
    <col min="81" max="81" width="7.42578125" style="553" hidden="1" customWidth="1" outlineLevel="1"/>
    <col min="82" max="82" width="7.42578125" style="547" hidden="1" customWidth="1" outlineLevel="1" collapsed="1"/>
    <col min="83" max="83" width="7.42578125" style="553" hidden="1" customWidth="1" outlineLevel="1"/>
    <col min="84" max="84" width="7.42578125" style="547" hidden="1" customWidth="1" outlineLevel="1" collapsed="1"/>
    <col min="85" max="85" width="7.42578125" style="553" hidden="1" customWidth="1" outlineLevel="1"/>
    <col min="86" max="86" width="7.42578125" style="547" hidden="1" customWidth="1" outlineLevel="1" collapsed="1"/>
    <col min="87" max="87" width="7.42578125" style="553" hidden="1" customWidth="1" outlineLevel="1"/>
    <col min="88" max="88" width="7.42578125" style="547" hidden="1" customWidth="1" outlineLevel="1" collapsed="1"/>
    <col min="89" max="89" width="7.42578125" style="553" hidden="1" customWidth="1" outlineLevel="1"/>
    <col min="90" max="90" width="7.42578125" style="547" customWidth="1" collapsed="1"/>
    <col min="91" max="91" width="7.42578125" style="553" hidden="1" customWidth="1" outlineLevel="1"/>
    <col min="92" max="92" width="7.42578125" style="547" customWidth="1" collapsed="1"/>
    <col min="93" max="93" width="7.42578125" style="553" hidden="1" customWidth="1" outlineLevel="1"/>
    <col min="94" max="94" width="7.42578125" style="547" customWidth="1" collapsed="1"/>
    <col min="95" max="95" width="7.42578125" style="553" hidden="1" customWidth="1" outlineLevel="1"/>
    <col min="96" max="96" width="7.42578125" style="547" customWidth="1" collapsed="1"/>
    <col min="97" max="97" width="7.42578125" style="553" hidden="1" customWidth="1" outlineLevel="1"/>
    <col min="98" max="98" width="7.42578125" style="547" customWidth="1" collapsed="1"/>
    <col min="99" max="99" width="7.42578125" style="553" hidden="1" customWidth="1" outlineLevel="1"/>
    <col min="100" max="100" width="7.42578125" style="547" customWidth="1" collapsed="1"/>
    <col min="101" max="101" width="7.42578125" style="553" hidden="1" customWidth="1" outlineLevel="1"/>
    <col min="102" max="102" width="7.42578125" style="547" customWidth="1" collapsed="1"/>
    <col min="103" max="103" width="7.42578125" style="553" hidden="1" customWidth="1" outlineLevel="1"/>
    <col min="104" max="104" width="7.42578125" style="547" customWidth="1" collapsed="1"/>
    <col min="105" max="105" width="7.42578125" style="553" hidden="1" customWidth="1" outlineLevel="1"/>
    <col min="106" max="106" width="0.85546875" style="547" customWidth="1" collapsed="1"/>
    <col min="107" max="107" width="7.42578125" style="547" hidden="1" customWidth="1" outlineLevel="1"/>
    <col min="108" max="108" width="7.42578125" style="553" hidden="1" customWidth="1" outlineLevel="1"/>
    <col min="109" max="109" width="7.42578125" style="547" hidden="1" customWidth="1" outlineLevel="1"/>
    <col min="110" max="110" width="7.42578125" style="553" hidden="1" customWidth="1" outlineLevel="1"/>
    <col min="111" max="111" width="7.42578125" style="547" hidden="1" customWidth="1" outlineLevel="1"/>
    <col min="112" max="112" width="7.42578125" style="553" hidden="1" customWidth="1" outlineLevel="1"/>
    <col min="113" max="113" width="7.42578125" style="547" hidden="1" customWidth="1" outlineLevel="1"/>
    <col min="114" max="114" width="7.42578125" style="553" hidden="1" customWidth="1" outlineLevel="1"/>
    <col min="115" max="115" width="7.42578125" style="547" hidden="1" customWidth="1" outlineLevel="1"/>
    <col min="116" max="116" width="7.42578125" style="553" hidden="1" customWidth="1" outlineLevel="1"/>
    <col min="117" max="117" width="7.42578125" style="547" hidden="1" customWidth="1" outlineLevel="1" collapsed="1"/>
    <col min="118" max="118" width="7.42578125" style="553" hidden="1" customWidth="1" outlineLevel="1"/>
    <col min="119" max="119" width="7.42578125" style="547" hidden="1" customWidth="1" outlineLevel="1" collapsed="1"/>
    <col min="120" max="120" width="7.42578125" style="553" hidden="1" customWidth="1" outlineLevel="1"/>
    <col min="121" max="121" width="7.42578125" style="547" hidden="1" customWidth="1" collapsed="1"/>
    <col min="122" max="122" width="7.42578125" style="553" hidden="1" customWidth="1" outlineLevel="1"/>
    <col min="123" max="123" width="7.42578125" style="547" hidden="1" customWidth="1" outlineLevel="1" collapsed="1"/>
    <col min="124" max="124" width="7.42578125" style="553" hidden="1" customWidth="1" outlineLevel="1"/>
    <col min="125" max="125" width="7.42578125" style="547" hidden="1" customWidth="1" outlineLevel="1" collapsed="1"/>
    <col min="126" max="126" width="7.42578125" style="553" hidden="1" customWidth="1" outlineLevel="1"/>
    <col min="127" max="127" width="7.42578125" style="547" customWidth="1" collapsed="1"/>
    <col min="128" max="128" width="7.42578125" style="553" hidden="1" customWidth="1" outlineLevel="1"/>
    <col min="129" max="129" width="7.42578125" style="547" customWidth="1" collapsed="1"/>
    <col min="130" max="130" width="7.42578125" style="553" hidden="1" customWidth="1" outlineLevel="1"/>
    <col min="131" max="131" width="7.42578125" style="547" customWidth="1" collapsed="1"/>
    <col min="132" max="132" width="7.42578125" style="553" hidden="1" customWidth="1" outlineLevel="1"/>
    <col min="133" max="133" width="7.42578125" style="547" customWidth="1" collapsed="1"/>
    <col min="134" max="134" width="7.42578125" style="553" hidden="1" customWidth="1" outlineLevel="1"/>
    <col min="135" max="135" width="7.42578125" style="547" customWidth="1" collapsed="1"/>
    <col min="136" max="136" width="7.42578125" style="553" hidden="1" customWidth="1" outlineLevel="1"/>
    <col min="137" max="137" width="7.42578125" style="547" customWidth="1" collapsed="1"/>
    <col min="138" max="138" width="7.42578125" style="553" hidden="1" customWidth="1" outlineLevel="1"/>
    <col min="139" max="139" width="7.42578125" style="547" customWidth="1" collapsed="1"/>
    <col min="140" max="140" width="7.42578125" style="553" hidden="1" customWidth="1" outlineLevel="1"/>
    <col min="141" max="141" width="7.42578125" style="547" customWidth="1" collapsed="1"/>
    <col min="142" max="142" width="7.42578125" style="553" hidden="1" customWidth="1" outlineLevel="1"/>
    <col min="143" max="143" width="7.42578125" style="553" customWidth="1" collapsed="1"/>
    <col min="144" max="144" width="8.7109375" style="547" customWidth="1"/>
    <col min="145" max="16384" width="9.140625" style="547"/>
  </cols>
  <sheetData>
    <row r="1" spans="1:224" s="632" customFormat="1" ht="21.95" customHeight="1" x14ac:dyDescent="0.25">
      <c r="A1" s="627" t="str">
        <f>INPUT!B4</f>
        <v>Prudential Financial, Inc.</v>
      </c>
      <c r="B1" s="628"/>
      <c r="C1" s="629"/>
      <c r="D1" s="628"/>
      <c r="E1" s="629"/>
      <c r="F1" s="628"/>
      <c r="G1" s="629"/>
      <c r="H1" s="628"/>
      <c r="I1" s="629"/>
      <c r="J1" s="628"/>
      <c r="K1" s="629"/>
      <c r="L1" s="628"/>
      <c r="M1" s="629"/>
      <c r="N1" s="628"/>
      <c r="O1" s="629"/>
      <c r="P1" s="628"/>
      <c r="Q1" s="629"/>
      <c r="R1" s="628"/>
      <c r="S1" s="629"/>
      <c r="T1" s="628"/>
      <c r="U1" s="629"/>
      <c r="V1" s="628"/>
      <c r="W1" s="629"/>
      <c r="X1" s="628"/>
      <c r="Y1" s="629"/>
      <c r="Z1" s="628"/>
      <c r="AA1" s="629"/>
      <c r="AB1" s="628"/>
      <c r="AC1" s="629"/>
      <c r="AD1" s="628"/>
      <c r="AE1" s="629"/>
      <c r="AF1" s="628"/>
      <c r="AG1" s="629"/>
      <c r="AH1" s="628"/>
      <c r="AI1" s="629"/>
      <c r="AJ1" s="628"/>
      <c r="AK1" s="629"/>
      <c r="AL1" s="628"/>
      <c r="AM1" s="629"/>
      <c r="AN1" s="628"/>
      <c r="AO1" s="629"/>
      <c r="AP1" s="628"/>
      <c r="AQ1" s="629"/>
      <c r="AR1" s="628"/>
      <c r="AS1" s="629"/>
      <c r="AT1" s="628"/>
      <c r="AU1" s="629"/>
      <c r="AV1" s="628"/>
      <c r="AW1" s="629"/>
      <c r="AX1" s="628"/>
      <c r="AY1" s="629"/>
      <c r="AZ1" s="628"/>
      <c r="BA1" s="629"/>
      <c r="BB1" s="628"/>
      <c r="BC1" s="629"/>
      <c r="BD1" s="628"/>
      <c r="BE1" s="629"/>
      <c r="BF1" s="628"/>
      <c r="BG1" s="629"/>
      <c r="BH1" s="628"/>
      <c r="BI1" s="629"/>
      <c r="BJ1" s="628"/>
      <c r="BK1" s="629"/>
      <c r="BL1" s="628"/>
      <c r="BM1" s="629"/>
      <c r="BN1" s="628"/>
      <c r="BO1" s="629"/>
      <c r="BP1" s="628"/>
      <c r="BQ1" s="629"/>
      <c r="BR1" s="628"/>
      <c r="BS1" s="629"/>
      <c r="BT1" s="628"/>
      <c r="BU1" s="629"/>
      <c r="BV1" s="628"/>
      <c r="BW1" s="629"/>
      <c r="BX1" s="628"/>
      <c r="BY1" s="629"/>
      <c r="BZ1" s="628"/>
      <c r="CA1" s="629"/>
      <c r="CB1" s="628"/>
      <c r="CC1" s="629"/>
      <c r="CD1" s="628"/>
      <c r="CE1" s="629"/>
      <c r="CF1" s="628"/>
      <c r="CG1" s="629"/>
      <c r="CH1" s="628"/>
      <c r="CI1" s="629"/>
      <c r="CJ1" s="628"/>
      <c r="CK1" s="629"/>
      <c r="CL1" s="628"/>
      <c r="CM1" s="629"/>
      <c r="CN1" s="628"/>
      <c r="CO1" s="629"/>
      <c r="CP1" s="628"/>
      <c r="CQ1" s="629"/>
      <c r="CR1" s="628"/>
      <c r="CS1" s="629"/>
      <c r="CT1" s="628"/>
      <c r="CU1" s="629"/>
      <c r="CV1" s="628"/>
      <c r="CW1" s="629"/>
      <c r="CX1" s="628"/>
      <c r="CY1" s="629"/>
      <c r="CZ1" s="628"/>
      <c r="DA1" s="629"/>
      <c r="DB1" s="630"/>
      <c r="DC1" s="628"/>
      <c r="DD1" s="629"/>
      <c r="DE1" s="628"/>
      <c r="DF1" s="629"/>
      <c r="DG1" s="628"/>
      <c r="DH1" s="629"/>
      <c r="DI1" s="628"/>
      <c r="DJ1" s="629"/>
      <c r="DK1" s="628"/>
      <c r="DL1" s="629"/>
      <c r="DM1" s="628"/>
      <c r="DN1" s="629"/>
      <c r="DO1" s="628"/>
      <c r="DP1" s="629"/>
      <c r="DQ1" s="628"/>
      <c r="DR1" s="629"/>
      <c r="DS1" s="628"/>
      <c r="DT1" s="629"/>
      <c r="DU1" s="631"/>
      <c r="DV1" s="629"/>
      <c r="DW1" s="631"/>
      <c r="DX1" s="629"/>
      <c r="DY1" s="628"/>
      <c r="DZ1" s="629"/>
      <c r="EA1" s="628"/>
      <c r="EB1" s="629"/>
      <c r="EC1" s="628"/>
      <c r="ED1" s="629"/>
      <c r="EE1" s="628"/>
      <c r="EF1" s="629"/>
      <c r="EG1" s="628"/>
      <c r="EH1" s="629"/>
      <c r="EI1" s="628"/>
      <c r="EJ1" s="629"/>
      <c r="EK1" s="628"/>
      <c r="EL1" s="629"/>
      <c r="EM1" s="628"/>
    </row>
    <row r="2" spans="1:224" s="632" customFormat="1" ht="12.75" customHeight="1" x14ac:dyDescent="0.2">
      <c r="A2" s="633" t="s">
        <v>0</v>
      </c>
      <c r="B2" s="634"/>
      <c r="C2" s="635"/>
      <c r="D2" s="634"/>
      <c r="E2" s="635"/>
      <c r="F2" s="634"/>
      <c r="G2" s="635"/>
      <c r="H2" s="634"/>
      <c r="I2" s="635"/>
      <c r="J2" s="634"/>
      <c r="K2" s="635"/>
      <c r="L2" s="634"/>
      <c r="M2" s="635"/>
      <c r="N2" s="634"/>
      <c r="O2" s="635"/>
      <c r="P2" s="634"/>
      <c r="Q2" s="635"/>
      <c r="R2" s="634"/>
      <c r="S2" s="635"/>
      <c r="T2" s="634"/>
      <c r="U2" s="635"/>
      <c r="V2" s="634"/>
      <c r="W2" s="635"/>
      <c r="X2" s="634"/>
      <c r="Y2" s="635"/>
      <c r="Z2" s="634"/>
      <c r="AA2" s="635"/>
      <c r="AB2" s="634"/>
      <c r="AC2" s="635"/>
      <c r="AD2" s="634"/>
      <c r="AE2" s="635"/>
      <c r="AF2" s="634"/>
      <c r="AG2" s="635"/>
      <c r="AH2" s="634"/>
      <c r="AI2" s="635"/>
      <c r="AJ2" s="634"/>
      <c r="AK2" s="635"/>
      <c r="AL2" s="634"/>
      <c r="AM2" s="635"/>
      <c r="AN2" s="634"/>
      <c r="AO2" s="635"/>
      <c r="AP2" s="634"/>
      <c r="AQ2" s="635"/>
      <c r="AR2" s="634"/>
      <c r="AS2" s="635"/>
      <c r="AT2" s="634"/>
      <c r="AU2" s="635"/>
      <c r="AV2" s="634"/>
      <c r="AW2" s="635"/>
      <c r="AX2" s="634"/>
      <c r="AY2" s="635"/>
      <c r="AZ2" s="634"/>
      <c r="BA2" s="635"/>
      <c r="BB2" s="634"/>
      <c r="BC2" s="635"/>
      <c r="BD2" s="634"/>
      <c r="BE2" s="635"/>
      <c r="BF2" s="634"/>
      <c r="BG2" s="635"/>
      <c r="BH2" s="634"/>
      <c r="BI2" s="635"/>
      <c r="BJ2" s="634"/>
      <c r="BK2" s="635"/>
      <c r="BL2" s="634"/>
      <c r="BM2" s="635"/>
      <c r="BN2" s="634"/>
      <c r="BO2" s="635"/>
      <c r="BP2" s="634"/>
      <c r="BQ2" s="635"/>
      <c r="BR2" s="634"/>
      <c r="BS2" s="635"/>
      <c r="BT2" s="634"/>
      <c r="BU2" s="635"/>
      <c r="BV2" s="634"/>
      <c r="BW2" s="635"/>
      <c r="BX2" s="634"/>
      <c r="BY2" s="635"/>
      <c r="BZ2" s="634"/>
      <c r="CA2" s="635"/>
      <c r="CB2" s="634"/>
      <c r="CC2" s="635"/>
      <c r="CD2" s="634"/>
      <c r="CE2" s="635"/>
      <c r="CF2" s="634"/>
      <c r="CG2" s="635"/>
      <c r="CH2" s="634"/>
      <c r="CI2" s="635"/>
      <c r="CJ2" s="634"/>
      <c r="CK2" s="635"/>
      <c r="CL2" s="634"/>
      <c r="CM2" s="635"/>
      <c r="CN2" s="634"/>
      <c r="CO2" s="635"/>
      <c r="CP2" s="634"/>
      <c r="CQ2" s="635"/>
      <c r="CR2" s="634"/>
      <c r="CS2" s="635"/>
      <c r="CT2" s="634"/>
      <c r="CU2" s="635"/>
      <c r="CV2" s="634"/>
      <c r="CW2" s="635"/>
      <c r="CX2" s="634"/>
      <c r="CY2" s="635"/>
      <c r="CZ2" s="634"/>
      <c r="DA2" s="635"/>
      <c r="DB2" s="636"/>
      <c r="DC2" s="637"/>
      <c r="DD2" s="635"/>
      <c r="DE2" s="634"/>
      <c r="DF2" s="635"/>
      <c r="DG2" s="634"/>
      <c r="DH2" s="635"/>
      <c r="DI2" s="634"/>
      <c r="DJ2" s="635"/>
      <c r="DK2" s="634"/>
      <c r="DL2" s="635"/>
      <c r="DM2" s="634"/>
      <c r="DN2" s="635"/>
      <c r="DO2" s="634"/>
      <c r="DP2" s="635"/>
      <c r="DQ2" s="634"/>
      <c r="DR2" s="635"/>
      <c r="DS2" s="634"/>
      <c r="DT2" s="635"/>
      <c r="DU2" s="634"/>
      <c r="DV2" s="635"/>
      <c r="DW2" s="634"/>
      <c r="DX2" s="635"/>
      <c r="DY2" s="634"/>
      <c r="DZ2" s="635"/>
      <c r="EA2" s="634"/>
      <c r="EB2" s="635"/>
      <c r="EC2" s="634"/>
      <c r="ED2" s="635"/>
      <c r="EE2" s="634"/>
      <c r="EF2" s="635"/>
      <c r="EG2" s="634"/>
      <c r="EH2" s="635"/>
      <c r="EI2" s="634"/>
      <c r="EJ2" s="635"/>
      <c r="EK2" s="634"/>
      <c r="EL2" s="635"/>
      <c r="EM2" s="634"/>
    </row>
    <row r="3" spans="1:224" s="632" customFormat="1" ht="12.75" customHeight="1" x14ac:dyDescent="0.2">
      <c r="A3" s="638" t="s">
        <v>672</v>
      </c>
      <c r="B3" s="639"/>
      <c r="C3" s="640" t="str">
        <f>INPUT!AZ$4</f>
        <v>1Q06/</v>
      </c>
      <c r="D3" s="639"/>
      <c r="E3" s="640" t="str">
        <f>INPUT!BB$4</f>
        <v>2Q06/</v>
      </c>
      <c r="F3" s="639"/>
      <c r="G3" s="640" t="str">
        <f>INPUT!BD$4</f>
        <v>3Q06/</v>
      </c>
      <c r="H3" s="639"/>
      <c r="I3" s="640" t="str">
        <f>INPUT!BF$4</f>
        <v>4Q06/</v>
      </c>
      <c r="J3" s="639"/>
      <c r="K3" s="640" t="str">
        <f>INPUT!BH$4</f>
        <v>1Q07/</v>
      </c>
      <c r="L3" s="639"/>
      <c r="M3" s="640" t="str">
        <f>INPUT!BJ$4</f>
        <v>2Q07/</v>
      </c>
      <c r="N3" s="639"/>
      <c r="O3" s="640" t="str">
        <f>INPUT!BL$4</f>
        <v>3Q07/</v>
      </c>
      <c r="P3" s="639"/>
      <c r="Q3" s="640" t="str">
        <f>INPUT!BN$4</f>
        <v>4Q07/</v>
      </c>
      <c r="R3" s="639"/>
      <c r="S3" s="640" t="str">
        <f>INPUT!BP$4</f>
        <v>1Q08/</v>
      </c>
      <c r="T3" s="639"/>
      <c r="U3" s="640" t="str">
        <f>INPUT!BR$4</f>
        <v>2Q08/</v>
      </c>
      <c r="V3" s="639"/>
      <c r="W3" s="640" t="str">
        <f>INPUT!BT$4</f>
        <v>3Q08/</v>
      </c>
      <c r="X3" s="639"/>
      <c r="Y3" s="640" t="str">
        <f>INPUT!BV$4</f>
        <v>4Q08/</v>
      </c>
      <c r="Z3" s="639"/>
      <c r="AA3" s="640" t="str">
        <f>INPUT!BX$4</f>
        <v>1Q09/</v>
      </c>
      <c r="AB3" s="639"/>
      <c r="AC3" s="640" t="str">
        <f>INPUT!BZ$4</f>
        <v>2Q09/</v>
      </c>
      <c r="AD3" s="639"/>
      <c r="AE3" s="640" t="str">
        <f>INPUT!CB$4</f>
        <v>3Q09/</v>
      </c>
      <c r="AF3" s="639"/>
      <c r="AG3" s="640" t="str">
        <f>INPUT!CD$4</f>
        <v>4Q09/</v>
      </c>
      <c r="AH3" s="639"/>
      <c r="AI3" s="640" t="str">
        <f>INPUT!CF$4</f>
        <v>1Q10/</v>
      </c>
      <c r="AJ3" s="639"/>
      <c r="AK3" s="640" t="str">
        <f>INPUT!CH$4</f>
        <v>2Q10/</v>
      </c>
      <c r="AL3" s="639"/>
      <c r="AM3" s="640" t="str">
        <f>INPUT!CJ$4</f>
        <v>3Q10/</v>
      </c>
      <c r="AN3" s="639"/>
      <c r="AO3" s="640" t="str">
        <f>INPUT!CL$4</f>
        <v>4Q10/</v>
      </c>
      <c r="AP3" s="639"/>
      <c r="AQ3" s="640" t="str">
        <f>INPUT!CN$4</f>
        <v>1Q11/</v>
      </c>
      <c r="AR3" s="639"/>
      <c r="AS3" s="640" t="str">
        <f>INPUT!CP$4</f>
        <v>2Q11/</v>
      </c>
      <c r="AT3" s="639"/>
      <c r="AU3" s="640" t="str">
        <f>INPUT!CR$4</f>
        <v>3Q11/</v>
      </c>
      <c r="AV3" s="639"/>
      <c r="AW3" s="640" t="str">
        <f>INPUT!CT$4</f>
        <v>4Q11/</v>
      </c>
      <c r="AX3" s="639"/>
      <c r="AY3" s="640" t="str">
        <f>INPUT!CV$4</f>
        <v>1Q12/</v>
      </c>
      <c r="AZ3" s="639"/>
      <c r="BA3" s="640" t="str">
        <f>INPUT!CX$4</f>
        <v>2Q12/</v>
      </c>
      <c r="BB3" s="639"/>
      <c r="BC3" s="640" t="str">
        <f>INPUT!CZ$4</f>
        <v>3Q12/</v>
      </c>
      <c r="BD3" s="639"/>
      <c r="BE3" s="640" t="str">
        <f>INPUT!DB$4</f>
        <v>4Q12/</v>
      </c>
      <c r="BF3" s="639"/>
      <c r="BG3" s="640" t="str">
        <f>INPUT!DD$4</f>
        <v>1Q13/</v>
      </c>
      <c r="BH3" s="639"/>
      <c r="BI3" s="640" t="str">
        <f>INPUT!DF$4</f>
        <v>2Q13/</v>
      </c>
      <c r="BJ3" s="639"/>
      <c r="BK3" s="640" t="str">
        <f>INPUT!DH$4</f>
        <v>3Q13/</v>
      </c>
      <c r="BL3" s="639"/>
      <c r="BM3" s="640" t="str">
        <f>INPUT!DJ$4</f>
        <v>4Q13/</v>
      </c>
      <c r="BN3" s="639"/>
      <c r="BO3" s="640" t="str">
        <f>INPUT!DL$4</f>
        <v>1Q14/</v>
      </c>
      <c r="BP3" s="639"/>
      <c r="BQ3" s="640" t="str">
        <f>INPUT!DN$4</f>
        <v>2Q14/</v>
      </c>
      <c r="BR3" s="639"/>
      <c r="BS3" s="640" t="str">
        <f>INPUT!DP$4</f>
        <v>3Q14/</v>
      </c>
      <c r="BT3" s="639"/>
      <c r="BU3" s="640" t="str">
        <f>INPUT!DR$4</f>
        <v>4Q14/</v>
      </c>
      <c r="BV3" s="639"/>
      <c r="BW3" s="640" t="str">
        <f>INPUT!DT$4</f>
        <v>1Q15/</v>
      </c>
      <c r="BX3" s="639"/>
      <c r="BY3" s="640" t="str">
        <f>INPUT!DV$4</f>
        <v>2Q15/</v>
      </c>
      <c r="BZ3" s="639"/>
      <c r="CA3" s="640" t="str">
        <f>INPUT!DX$4</f>
        <v>3Q15/</v>
      </c>
      <c r="CB3" s="639"/>
      <c r="CC3" s="640" t="str">
        <f>INPUT!DZ$4</f>
        <v>4Q15/</v>
      </c>
      <c r="CD3" s="639"/>
      <c r="CE3" s="640" t="str">
        <f>INPUT!EB$4</f>
        <v>1Q16/</v>
      </c>
      <c r="CF3" s="639"/>
      <c r="CG3" s="640" t="str">
        <f>INPUT!ED$4</f>
        <v>2Q16/</v>
      </c>
      <c r="CH3" s="639"/>
      <c r="CI3" s="640" t="str">
        <f>INPUT!EF$4</f>
        <v>3Q16/</v>
      </c>
      <c r="CJ3" s="639"/>
      <c r="CK3" s="640" t="str">
        <f>INPUT!EH$4</f>
        <v>4Q16/</v>
      </c>
      <c r="CL3" s="639"/>
      <c r="CM3" s="640" t="str">
        <f>INPUT!EJ$4</f>
        <v>1Q17/</v>
      </c>
      <c r="CN3" s="639"/>
      <c r="CO3" s="640" t="str">
        <f>INPUT!EL$4</f>
        <v>2Q17/</v>
      </c>
      <c r="CP3" s="639"/>
      <c r="CQ3" s="640" t="str">
        <f>INPUT!EN$4</f>
        <v>3Q17/</v>
      </c>
      <c r="CR3" s="639"/>
      <c r="CS3" s="640" t="str">
        <f>INPUT!EP$4</f>
        <v>4Q17/</v>
      </c>
      <c r="CT3" s="639"/>
      <c r="CU3" s="640" t="str">
        <f>INPUT!ER$4</f>
        <v>1Q18E/</v>
      </c>
      <c r="CV3" s="639"/>
      <c r="CW3" s="640" t="str">
        <f>INPUT!ET$4</f>
        <v>2Q18E/</v>
      </c>
      <c r="CX3" s="639"/>
      <c r="CY3" s="640" t="str">
        <f>INPUT!EV$4</f>
        <v>3Q18E/</v>
      </c>
      <c r="CZ3" s="639"/>
      <c r="DA3" s="640" t="str">
        <f>INPUT!EX$4</f>
        <v>4Q18E/</v>
      </c>
      <c r="DB3" s="641"/>
      <c r="DC3" s="639"/>
      <c r="DD3" s="640" t="str">
        <f>INPUT!FQ$4</f>
        <v>2005/</v>
      </c>
      <c r="DE3" s="639"/>
      <c r="DF3" s="640" t="str">
        <f>INPUT!FS$4</f>
        <v>2006/</v>
      </c>
      <c r="DG3" s="639"/>
      <c r="DH3" s="640" t="str">
        <f>INPUT!FU$4</f>
        <v>2007/</v>
      </c>
      <c r="DI3" s="639"/>
      <c r="DJ3" s="640" t="str">
        <f>INPUT!FW$4</f>
        <v>2008/</v>
      </c>
      <c r="DK3" s="639"/>
      <c r="DL3" s="640" t="str">
        <f>INPUT!FY$4</f>
        <v>2009/</v>
      </c>
      <c r="DM3" s="639"/>
      <c r="DN3" s="640" t="str">
        <f>INPUT!GA$4</f>
        <v>2010/</v>
      </c>
      <c r="DO3" s="639"/>
      <c r="DP3" s="640" t="str">
        <f>INPUT!GC$4</f>
        <v>2011/</v>
      </c>
      <c r="DQ3" s="639"/>
      <c r="DR3" s="640" t="str">
        <f>INPUT!GE$4</f>
        <v>2012/</v>
      </c>
      <c r="DS3" s="639"/>
      <c r="DT3" s="640" t="str">
        <f>INPUT!GG$4</f>
        <v>2013/</v>
      </c>
      <c r="DU3" s="639"/>
      <c r="DV3" s="640" t="str">
        <f>INPUT!GI$4</f>
        <v>2014/</v>
      </c>
      <c r="DW3" s="639"/>
      <c r="DX3" s="640" t="str">
        <f>INPUT!GK$4</f>
        <v>2015/</v>
      </c>
      <c r="DY3" s="639"/>
      <c r="DZ3" s="640" t="str">
        <f>INPUT!GM$4</f>
        <v>2016/</v>
      </c>
      <c r="EA3" s="639"/>
      <c r="EB3" s="640" t="str">
        <f>INPUT!GO$4</f>
        <v>2017/</v>
      </c>
      <c r="EC3" s="639"/>
      <c r="ED3" s="640" t="str">
        <f>INPUT!GQ$4</f>
        <v>2018E/</v>
      </c>
      <c r="EE3" s="639"/>
      <c r="EF3" s="640" t="str">
        <f>INPUT!GS$4</f>
        <v>2019E/</v>
      </c>
      <c r="EG3" s="639"/>
      <c r="EH3" s="640" t="str">
        <f>INPUT!GU$4</f>
        <v>2020E/</v>
      </c>
      <c r="EI3" s="639"/>
      <c r="EJ3" s="640" t="str">
        <f>INPUT!GW$4</f>
        <v>2021E/</v>
      </c>
      <c r="EK3" s="639"/>
      <c r="EL3" s="640" t="str">
        <f>INPUT!GY$4</f>
        <v>2022E/</v>
      </c>
      <c r="EM3" s="642" t="str">
        <f>INPUT!GZ$4</f>
        <v>5-Yr</v>
      </c>
      <c r="EN3" s="643"/>
    </row>
    <row r="4" spans="1:224" s="632" customFormat="1" ht="12.75" customHeight="1" x14ac:dyDescent="0.2">
      <c r="A4" s="644"/>
      <c r="B4" s="645"/>
      <c r="C4" s="635" t="str">
        <f>INPUT!AZ$5</f>
        <v>1Q05</v>
      </c>
      <c r="D4" s="645"/>
      <c r="E4" s="635" t="str">
        <f>INPUT!BB$5</f>
        <v>2Q05</v>
      </c>
      <c r="F4" s="645"/>
      <c r="G4" s="635" t="str">
        <f>INPUT!BD$5</f>
        <v>3Q05</v>
      </c>
      <c r="H4" s="645"/>
      <c r="I4" s="635" t="str">
        <f>INPUT!BF$5</f>
        <v>4Q05</v>
      </c>
      <c r="J4" s="645"/>
      <c r="K4" s="635" t="str">
        <f>INPUT!BH$5</f>
        <v>1Q06</v>
      </c>
      <c r="L4" s="645"/>
      <c r="M4" s="635" t="str">
        <f>INPUT!BJ$5</f>
        <v>2Q06</v>
      </c>
      <c r="N4" s="645"/>
      <c r="O4" s="635" t="str">
        <f>INPUT!BL$5</f>
        <v>3Q06</v>
      </c>
      <c r="P4" s="645"/>
      <c r="Q4" s="635" t="str">
        <f>INPUT!BN$5</f>
        <v>4Q06</v>
      </c>
      <c r="R4" s="645"/>
      <c r="S4" s="635" t="str">
        <f>INPUT!BP$5</f>
        <v>1Q07</v>
      </c>
      <c r="T4" s="645"/>
      <c r="U4" s="635" t="str">
        <f>INPUT!BR$5</f>
        <v>2Q07</v>
      </c>
      <c r="V4" s="645"/>
      <c r="W4" s="635" t="str">
        <f>INPUT!BT$5</f>
        <v>3Q07</v>
      </c>
      <c r="X4" s="645"/>
      <c r="Y4" s="635" t="str">
        <f>INPUT!BV$5</f>
        <v>4Q07</v>
      </c>
      <c r="Z4" s="645"/>
      <c r="AA4" s="635" t="str">
        <f>INPUT!BX$5</f>
        <v>1Q08</v>
      </c>
      <c r="AB4" s="645"/>
      <c r="AC4" s="635" t="str">
        <f>INPUT!BZ$5</f>
        <v>2Q08</v>
      </c>
      <c r="AD4" s="645"/>
      <c r="AE4" s="635" t="str">
        <f>INPUT!CB$5</f>
        <v>3Q08</v>
      </c>
      <c r="AF4" s="645"/>
      <c r="AG4" s="635" t="str">
        <f>INPUT!CD$5</f>
        <v>4Q08</v>
      </c>
      <c r="AH4" s="645"/>
      <c r="AI4" s="635" t="str">
        <f>INPUT!CF$5</f>
        <v>1Q09</v>
      </c>
      <c r="AJ4" s="645"/>
      <c r="AK4" s="635" t="str">
        <f>INPUT!CH$5</f>
        <v>2Q09</v>
      </c>
      <c r="AL4" s="645"/>
      <c r="AM4" s="635" t="str">
        <f>INPUT!CJ$5</f>
        <v>3Q09</v>
      </c>
      <c r="AN4" s="645"/>
      <c r="AO4" s="635" t="str">
        <f>INPUT!CL$5</f>
        <v>4Q09</v>
      </c>
      <c r="AP4" s="645"/>
      <c r="AQ4" s="635" t="str">
        <f>INPUT!CN$5</f>
        <v>1Q10</v>
      </c>
      <c r="AR4" s="645"/>
      <c r="AS4" s="635" t="str">
        <f>INPUT!CP$5</f>
        <v>2Q10</v>
      </c>
      <c r="AT4" s="645"/>
      <c r="AU4" s="635" t="str">
        <f>INPUT!CR$5</f>
        <v>3Q10</v>
      </c>
      <c r="AV4" s="645"/>
      <c r="AW4" s="635" t="str">
        <f>INPUT!CT$5</f>
        <v>4Q10</v>
      </c>
      <c r="AX4" s="645"/>
      <c r="AY4" s="635" t="str">
        <f>INPUT!CV$5</f>
        <v>1Q11</v>
      </c>
      <c r="AZ4" s="645"/>
      <c r="BA4" s="635" t="str">
        <f>INPUT!CX$5</f>
        <v>2Q11</v>
      </c>
      <c r="BB4" s="645"/>
      <c r="BC4" s="635" t="str">
        <f>INPUT!CZ$5</f>
        <v>3Q11</v>
      </c>
      <c r="BD4" s="645"/>
      <c r="BE4" s="635" t="str">
        <f>INPUT!DB$5</f>
        <v>4Q11</v>
      </c>
      <c r="BF4" s="645"/>
      <c r="BG4" s="635" t="str">
        <f>INPUT!DD$5</f>
        <v>1Q12</v>
      </c>
      <c r="BH4" s="645"/>
      <c r="BI4" s="635" t="str">
        <f>INPUT!DF$5</f>
        <v>2Q12</v>
      </c>
      <c r="BJ4" s="645"/>
      <c r="BK4" s="635" t="str">
        <f>INPUT!DH$5</f>
        <v>3Q12</v>
      </c>
      <c r="BL4" s="645"/>
      <c r="BM4" s="635" t="str">
        <f>INPUT!DJ$5</f>
        <v>4Q12</v>
      </c>
      <c r="BN4" s="645"/>
      <c r="BO4" s="635" t="str">
        <f>INPUT!DL$5</f>
        <v>1Q13</v>
      </c>
      <c r="BP4" s="645"/>
      <c r="BQ4" s="635" t="str">
        <f>INPUT!DN$5</f>
        <v>2Q13</v>
      </c>
      <c r="BR4" s="645"/>
      <c r="BS4" s="635" t="str">
        <f>INPUT!DP$5</f>
        <v>3Q13</v>
      </c>
      <c r="BT4" s="645"/>
      <c r="BU4" s="635" t="str">
        <f>INPUT!DR$5</f>
        <v>4Q13</v>
      </c>
      <c r="BV4" s="645"/>
      <c r="BW4" s="635" t="str">
        <f>INPUT!DT$5</f>
        <v>1Q14</v>
      </c>
      <c r="BX4" s="645"/>
      <c r="BY4" s="635" t="str">
        <f>INPUT!DV$5</f>
        <v>2Q14</v>
      </c>
      <c r="BZ4" s="645"/>
      <c r="CA4" s="635" t="str">
        <f>INPUT!DX$5</f>
        <v>3Q14</v>
      </c>
      <c r="CB4" s="645"/>
      <c r="CC4" s="635" t="str">
        <f>INPUT!DZ$5</f>
        <v>4Q14</v>
      </c>
      <c r="CD4" s="645"/>
      <c r="CE4" s="635" t="str">
        <f>INPUT!EB$5</f>
        <v>1Q15</v>
      </c>
      <c r="CF4" s="645"/>
      <c r="CG4" s="635" t="str">
        <f>INPUT!ED$5</f>
        <v>2Q15</v>
      </c>
      <c r="CH4" s="645"/>
      <c r="CI4" s="635" t="str">
        <f>INPUT!EF$5</f>
        <v>3Q15</v>
      </c>
      <c r="CJ4" s="645"/>
      <c r="CK4" s="635" t="str">
        <f>INPUT!EH$5</f>
        <v>4Q15</v>
      </c>
      <c r="CL4" s="645"/>
      <c r="CM4" s="635" t="str">
        <f>INPUT!EJ$5</f>
        <v>1Q16</v>
      </c>
      <c r="CN4" s="645"/>
      <c r="CO4" s="635" t="str">
        <f>INPUT!EL$5</f>
        <v>2Q16</v>
      </c>
      <c r="CP4" s="645"/>
      <c r="CQ4" s="635" t="str">
        <f>INPUT!EN$5</f>
        <v>3Q16</v>
      </c>
      <c r="CR4" s="645"/>
      <c r="CS4" s="635" t="str">
        <f>INPUT!EP$5</f>
        <v>4Q16</v>
      </c>
      <c r="CT4" s="645"/>
      <c r="CU4" s="635" t="str">
        <f>INPUT!ER$5</f>
        <v>1Q17</v>
      </c>
      <c r="CV4" s="645"/>
      <c r="CW4" s="635" t="str">
        <f>INPUT!ET$5</f>
        <v>2Q17</v>
      </c>
      <c r="CX4" s="645"/>
      <c r="CY4" s="635" t="str">
        <f>INPUT!EV$5</f>
        <v>3Q17</v>
      </c>
      <c r="CZ4" s="645"/>
      <c r="DA4" s="635" t="str">
        <f>INPUT!EX$5</f>
        <v>4Q17</v>
      </c>
      <c r="DB4" s="636"/>
      <c r="DC4" s="645"/>
      <c r="DD4" s="645">
        <f>INPUT!FQ$5</f>
        <v>2004</v>
      </c>
      <c r="DE4" s="645"/>
      <c r="DF4" s="635" t="str">
        <f>INPUT!FS$5</f>
        <v>2005</v>
      </c>
      <c r="DG4" s="645"/>
      <c r="DH4" s="635" t="str">
        <f>INPUT!FU$5</f>
        <v>2006</v>
      </c>
      <c r="DI4" s="645"/>
      <c r="DJ4" s="646">
        <f>INPUT!FW$5</f>
        <v>2007</v>
      </c>
      <c r="DK4" s="645"/>
      <c r="DL4" s="635" t="str">
        <f>INPUT!FY$5</f>
        <v>2008</v>
      </c>
      <c r="DM4" s="645"/>
      <c r="DN4" s="635" t="str">
        <f>INPUT!GA$5</f>
        <v>2009</v>
      </c>
      <c r="DO4" s="645"/>
      <c r="DP4" s="635" t="str">
        <f>INPUT!GC$5</f>
        <v>2010</v>
      </c>
      <c r="DQ4" s="645"/>
      <c r="DR4" s="635" t="str">
        <f>INPUT!GE$5</f>
        <v>2011</v>
      </c>
      <c r="DS4" s="645"/>
      <c r="DT4" s="635" t="str">
        <f>INPUT!GG$5</f>
        <v>2012</v>
      </c>
      <c r="DU4" s="645"/>
      <c r="DV4" s="635" t="str">
        <f>INPUT!GI$5</f>
        <v>2013</v>
      </c>
      <c r="DW4" s="645"/>
      <c r="DX4" s="634">
        <f>INPUT!GK$5</f>
        <v>2014</v>
      </c>
      <c r="DY4" s="645"/>
      <c r="DZ4" s="635" t="str">
        <f>INPUT!GM$5</f>
        <v>2015</v>
      </c>
      <c r="EA4" s="645"/>
      <c r="EB4" s="635">
        <f>INPUT!GO$5</f>
        <v>2016</v>
      </c>
      <c r="EC4" s="645"/>
      <c r="ED4" s="635">
        <f>INPUT!GQ$5</f>
        <v>2017</v>
      </c>
      <c r="EE4" s="645"/>
      <c r="EF4" s="635" t="str">
        <f>INPUT!GS$5</f>
        <v>2018E</v>
      </c>
      <c r="EG4" s="645"/>
      <c r="EH4" s="635" t="str">
        <f>INPUT!GU$5</f>
        <v>2019E</v>
      </c>
      <c r="EI4" s="645"/>
      <c r="EJ4" s="635" t="str">
        <f>INPUT!GW$5</f>
        <v>2020E</v>
      </c>
      <c r="EK4" s="645"/>
      <c r="EL4" s="635" t="str">
        <f>INPUT!GY$5</f>
        <v>2021E</v>
      </c>
      <c r="EM4" s="634" t="str">
        <f>INPUT!GZ$5</f>
        <v>CAGR</v>
      </c>
      <c r="EN4" s="643"/>
    </row>
    <row r="5" spans="1:224" s="632" customFormat="1" ht="12.75" customHeight="1" x14ac:dyDescent="0.2">
      <c r="A5" s="647"/>
      <c r="B5" s="648" t="str">
        <f>INPUT!AY$6</f>
        <v>1Q06</v>
      </c>
      <c r="C5" s="649" t="str">
        <f>INPUT!AZ$6</f>
        <v>% Chg</v>
      </c>
      <c r="D5" s="648" t="str">
        <f>INPUT!BA$6</f>
        <v>2Q06</v>
      </c>
      <c r="E5" s="649" t="str">
        <f>INPUT!BB$6</f>
        <v>% Chg</v>
      </c>
      <c r="F5" s="648" t="str">
        <f>INPUT!BC$6</f>
        <v>3Q06</v>
      </c>
      <c r="G5" s="649" t="str">
        <f>INPUT!BD$6</f>
        <v>% Chg</v>
      </c>
      <c r="H5" s="648" t="str">
        <f>INPUT!BE$6</f>
        <v>4Q06</v>
      </c>
      <c r="I5" s="649" t="str">
        <f>INPUT!BF$6</f>
        <v>% Chg</v>
      </c>
      <c r="J5" s="648" t="str">
        <f>INPUT!BG$6</f>
        <v>1Q07</v>
      </c>
      <c r="K5" s="649" t="str">
        <f>INPUT!AZ$6</f>
        <v>% Chg</v>
      </c>
      <c r="L5" s="648" t="str">
        <f>INPUT!BI$6</f>
        <v>2Q07</v>
      </c>
      <c r="M5" s="649" t="str">
        <f>INPUT!BJ$6</f>
        <v>% Chg</v>
      </c>
      <c r="N5" s="648" t="str">
        <f>INPUT!BK$6</f>
        <v>3Q07</v>
      </c>
      <c r="O5" s="649" t="str">
        <f>INPUT!BL$6</f>
        <v>% Chg</v>
      </c>
      <c r="P5" s="648" t="str">
        <f>INPUT!BM$6</f>
        <v>4Q07</v>
      </c>
      <c r="Q5" s="649" t="str">
        <f>INPUT!BN$6</f>
        <v>% Chg</v>
      </c>
      <c r="R5" s="648" t="str">
        <f>INPUT!BO$6</f>
        <v>1Q08</v>
      </c>
      <c r="S5" s="649" t="str">
        <f>INPUT!BP$6</f>
        <v>% Chg</v>
      </c>
      <c r="T5" s="648" t="str">
        <f>INPUT!BQ$6</f>
        <v>2Q08</v>
      </c>
      <c r="U5" s="649" t="str">
        <f>INPUT!BR$6</f>
        <v>% Chg</v>
      </c>
      <c r="V5" s="648" t="str">
        <f>INPUT!BS$6</f>
        <v>3Q08</v>
      </c>
      <c r="W5" s="649" t="str">
        <f>INPUT!BT$6</f>
        <v>% Chg</v>
      </c>
      <c r="X5" s="648" t="str">
        <f>INPUT!BU$6</f>
        <v>4Q08</v>
      </c>
      <c r="Y5" s="649" t="str">
        <f>INPUT!BV$6</f>
        <v>% Chg</v>
      </c>
      <c r="Z5" s="648" t="str">
        <f>INPUT!BW$6</f>
        <v>1Q09</v>
      </c>
      <c r="AA5" s="649" t="str">
        <f>INPUT!BX$6</f>
        <v>% Chg</v>
      </c>
      <c r="AB5" s="648" t="str">
        <f>INPUT!BY$6</f>
        <v>2Q09</v>
      </c>
      <c r="AC5" s="649" t="str">
        <f>INPUT!BZ$6</f>
        <v>% Chg</v>
      </c>
      <c r="AD5" s="648" t="str">
        <f>INPUT!CA$6</f>
        <v>3Q09</v>
      </c>
      <c r="AE5" s="649" t="str">
        <f>INPUT!CB$6</f>
        <v>% Chg</v>
      </c>
      <c r="AF5" s="648" t="str">
        <f>INPUT!CC$6</f>
        <v>4Q09</v>
      </c>
      <c r="AG5" s="649" t="str">
        <f>INPUT!CD$6</f>
        <v>% Chg</v>
      </c>
      <c r="AH5" s="648" t="str">
        <f>INPUT!CE$6</f>
        <v>1Q10</v>
      </c>
      <c r="AI5" s="649" t="str">
        <f>INPUT!CF$6</f>
        <v>% Chg</v>
      </c>
      <c r="AJ5" s="648" t="str">
        <f>INPUT!CG$6</f>
        <v>2Q10</v>
      </c>
      <c r="AK5" s="649" t="str">
        <f>INPUT!CH$6</f>
        <v>% Chg</v>
      </c>
      <c r="AL5" s="648" t="str">
        <f>INPUT!CI$6</f>
        <v>3Q10</v>
      </c>
      <c r="AM5" s="649" t="str">
        <f>INPUT!CJ$6</f>
        <v>% Chg</v>
      </c>
      <c r="AN5" s="648" t="str">
        <f>INPUT!CK$6</f>
        <v>4Q10</v>
      </c>
      <c r="AO5" s="649" t="str">
        <f>INPUT!CL$6</f>
        <v>% Chg</v>
      </c>
      <c r="AP5" s="648" t="str">
        <f>INPUT!CM$6</f>
        <v>1Q11</v>
      </c>
      <c r="AQ5" s="649" t="str">
        <f>INPUT!CN$6</f>
        <v>% Chg</v>
      </c>
      <c r="AR5" s="648" t="str">
        <f>INPUT!CO$6</f>
        <v>2Q11</v>
      </c>
      <c r="AS5" s="649" t="str">
        <f>INPUT!CP$6</f>
        <v>% Chg</v>
      </c>
      <c r="AT5" s="648" t="str">
        <f>INPUT!CQ$6</f>
        <v>3Q11</v>
      </c>
      <c r="AU5" s="649" t="str">
        <f>INPUT!CR$6</f>
        <v>% Chg</v>
      </c>
      <c r="AV5" s="648" t="str">
        <f>INPUT!CS$6</f>
        <v>4Q11</v>
      </c>
      <c r="AW5" s="649" t="str">
        <f>INPUT!CT$6</f>
        <v>% Chg</v>
      </c>
      <c r="AX5" s="648" t="str">
        <f>INPUT!CU$6</f>
        <v>1Q12</v>
      </c>
      <c r="AY5" s="649" t="str">
        <f>INPUT!CV$6</f>
        <v>% Chg</v>
      </c>
      <c r="AZ5" s="648" t="str">
        <f>INPUT!CW$6</f>
        <v>2Q12</v>
      </c>
      <c r="BA5" s="649" t="str">
        <f>INPUT!CX$6</f>
        <v>% Chg</v>
      </c>
      <c r="BB5" s="648" t="str">
        <f>INPUT!CY$6</f>
        <v>3Q12</v>
      </c>
      <c r="BC5" s="649" t="str">
        <f>INPUT!CZ$6</f>
        <v>% Chg</v>
      </c>
      <c r="BD5" s="648" t="str">
        <f>INPUT!DA$6</f>
        <v>4Q12</v>
      </c>
      <c r="BE5" s="649" t="str">
        <f>INPUT!DB$6</f>
        <v>% Chg</v>
      </c>
      <c r="BF5" s="648" t="str">
        <f>INPUT!DC$6</f>
        <v>1Q13</v>
      </c>
      <c r="BG5" s="649" t="str">
        <f>INPUT!DD$6</f>
        <v>% Chg</v>
      </c>
      <c r="BH5" s="648" t="str">
        <f>INPUT!DE$6</f>
        <v>2Q13</v>
      </c>
      <c r="BI5" s="649" t="str">
        <f>INPUT!DF$6</f>
        <v>% Chg</v>
      </c>
      <c r="BJ5" s="648" t="str">
        <f>INPUT!DG$6</f>
        <v>3Q13</v>
      </c>
      <c r="BK5" s="649" t="str">
        <f>INPUT!DH$6</f>
        <v>% Chg</v>
      </c>
      <c r="BL5" s="648" t="str">
        <f>INPUT!DI$6</f>
        <v>4Q13</v>
      </c>
      <c r="BM5" s="649" t="str">
        <f>INPUT!DJ$6</f>
        <v>% Chg</v>
      </c>
      <c r="BN5" s="648" t="str">
        <f>INPUT!DK$6</f>
        <v>1Q14</v>
      </c>
      <c r="BO5" s="649" t="str">
        <f>INPUT!DL$6</f>
        <v>% Chg</v>
      </c>
      <c r="BP5" s="648" t="str">
        <f>INPUT!DM$6</f>
        <v>2Q14</v>
      </c>
      <c r="BQ5" s="649" t="str">
        <f>INPUT!DN$6</f>
        <v>% Chg</v>
      </c>
      <c r="BR5" s="648" t="str">
        <f>INPUT!DO$6</f>
        <v>3Q14</v>
      </c>
      <c r="BS5" s="649" t="str">
        <f>INPUT!DP$6</f>
        <v>% Chg</v>
      </c>
      <c r="BT5" s="648" t="str">
        <f>INPUT!DQ$6</f>
        <v>4Q14</v>
      </c>
      <c r="BU5" s="649" t="str">
        <f>INPUT!DR$6</f>
        <v>% Chg</v>
      </c>
      <c r="BV5" s="648" t="str">
        <f>INPUT!DS$6</f>
        <v>1Q15</v>
      </c>
      <c r="BW5" s="649" t="str">
        <f>INPUT!DT$6</f>
        <v>% Chg</v>
      </c>
      <c r="BX5" s="648" t="str">
        <f>INPUT!DU$6</f>
        <v>2Q15</v>
      </c>
      <c r="BY5" s="649" t="str">
        <f>INPUT!DV$6</f>
        <v>% Chg</v>
      </c>
      <c r="BZ5" s="648" t="str">
        <f>INPUT!DW$6</f>
        <v>3Q15</v>
      </c>
      <c r="CA5" s="649" t="str">
        <f>INPUT!DX$6</f>
        <v>% Chg</v>
      </c>
      <c r="CB5" s="648" t="str">
        <f>INPUT!DY$6</f>
        <v>4Q15</v>
      </c>
      <c r="CC5" s="649" t="str">
        <f>INPUT!DZ$6</f>
        <v>% Chg</v>
      </c>
      <c r="CD5" s="648" t="str">
        <f>INPUT!EA$6</f>
        <v>1Q16</v>
      </c>
      <c r="CE5" s="649" t="str">
        <f>INPUT!EB$6</f>
        <v>% Chg</v>
      </c>
      <c r="CF5" s="648" t="str">
        <f>INPUT!EC$6</f>
        <v>2Q16</v>
      </c>
      <c r="CG5" s="649" t="str">
        <f>INPUT!ED$6</f>
        <v>% Chg</v>
      </c>
      <c r="CH5" s="648" t="str">
        <f>INPUT!EE$6</f>
        <v>3Q16</v>
      </c>
      <c r="CI5" s="649" t="str">
        <f>INPUT!EF$6</f>
        <v>% Chg</v>
      </c>
      <c r="CJ5" s="648" t="str">
        <f>INPUT!EG$6</f>
        <v>4Q16</v>
      </c>
      <c r="CK5" s="649" t="str">
        <f>INPUT!EH$6</f>
        <v>% Chg</v>
      </c>
      <c r="CL5" s="648" t="str">
        <f>INPUT!EI$6</f>
        <v>1Q17</v>
      </c>
      <c r="CM5" s="649" t="str">
        <f>INPUT!EJ$6</f>
        <v>% Chg</v>
      </c>
      <c r="CN5" s="648" t="str">
        <f>INPUT!EK$6</f>
        <v>2Q17</v>
      </c>
      <c r="CO5" s="649" t="str">
        <f>INPUT!EL$6</f>
        <v>% Chg</v>
      </c>
      <c r="CP5" s="648" t="str">
        <f>INPUT!EM$6</f>
        <v>3Q17</v>
      </c>
      <c r="CQ5" s="649" t="str">
        <f>INPUT!EN$6</f>
        <v>% Chg</v>
      </c>
      <c r="CR5" s="648" t="str">
        <f>INPUT!EO$6</f>
        <v>4Q17</v>
      </c>
      <c r="CS5" s="649" t="str">
        <f>INPUT!EP$6</f>
        <v>% Chg</v>
      </c>
      <c r="CT5" s="648" t="str">
        <f>INPUT!EQ$6</f>
        <v>1Q18E</v>
      </c>
      <c r="CU5" s="649" t="str">
        <f>INPUT!ER$6</f>
        <v>% Chg</v>
      </c>
      <c r="CV5" s="648" t="str">
        <f>INPUT!ES$6</f>
        <v>2Q18E</v>
      </c>
      <c r="CW5" s="649" t="str">
        <f>INPUT!ET$6</f>
        <v>% Chg</v>
      </c>
      <c r="CX5" s="648" t="str">
        <f>INPUT!EU$6</f>
        <v>3Q18E</v>
      </c>
      <c r="CY5" s="649" t="str">
        <f>INPUT!EV$6</f>
        <v>% Chg</v>
      </c>
      <c r="CZ5" s="648" t="str">
        <f>INPUT!EW$6</f>
        <v>4Q18E</v>
      </c>
      <c r="DA5" s="649" t="str">
        <f>INPUT!EX$6</f>
        <v>% Chg</v>
      </c>
      <c r="DB5" s="650"/>
      <c r="DC5" s="648" t="str">
        <f>INPUT!FP$6</f>
        <v>2005</v>
      </c>
      <c r="DD5" s="649" t="str">
        <f>INPUT!FQ$6</f>
        <v>% Chg</v>
      </c>
      <c r="DE5" s="648" t="str">
        <f>INPUT!FR$6</f>
        <v>2006</v>
      </c>
      <c r="DF5" s="649" t="str">
        <f>INPUT!FS$6</f>
        <v>% Chg</v>
      </c>
      <c r="DG5" s="648">
        <f>INPUT!FT$6</f>
        <v>2007</v>
      </c>
      <c r="DH5" s="649" t="str">
        <f>INPUT!FU$6</f>
        <v>% Chg</v>
      </c>
      <c r="DI5" s="648" t="str">
        <f>INPUT!FV$6</f>
        <v>2008</v>
      </c>
      <c r="DJ5" s="649" t="str">
        <f>INPUT!FW$6</f>
        <v>% Chg</v>
      </c>
      <c r="DK5" s="648" t="str">
        <f>INPUT!FX$6</f>
        <v>2009</v>
      </c>
      <c r="DL5" s="649" t="str">
        <f>INPUT!FY$6</f>
        <v>% Chg</v>
      </c>
      <c r="DM5" s="648" t="str">
        <f>INPUT!FZ$6</f>
        <v>2010</v>
      </c>
      <c r="DN5" s="649" t="str">
        <f>INPUT!GA$6</f>
        <v>% Chg</v>
      </c>
      <c r="DO5" s="648" t="str">
        <f>INPUT!GB$6</f>
        <v>2011</v>
      </c>
      <c r="DP5" s="649" t="str">
        <f>INPUT!GC$6</f>
        <v>% Chg</v>
      </c>
      <c r="DQ5" s="648" t="str">
        <f>INPUT!GD$6</f>
        <v>2012</v>
      </c>
      <c r="DR5" s="649" t="str">
        <f>INPUT!GE$6</f>
        <v>% Chg</v>
      </c>
      <c r="DS5" s="648" t="str">
        <f>INPUT!GF$6</f>
        <v>2013</v>
      </c>
      <c r="DT5" s="649" t="str">
        <f>INPUT!GG$6</f>
        <v>% Chg</v>
      </c>
      <c r="DU5" s="648">
        <f>INPUT!GH$6</f>
        <v>2014</v>
      </c>
      <c r="DV5" s="649" t="str">
        <f>INPUT!GI$6</f>
        <v>% Chg</v>
      </c>
      <c r="DW5" s="648" t="str">
        <f>INPUT!GJ$6</f>
        <v>2015</v>
      </c>
      <c r="DX5" s="649" t="str">
        <f>INPUT!GK$6</f>
        <v>% Chg</v>
      </c>
      <c r="DY5" s="648">
        <f>INPUT!GL$6</f>
        <v>2016</v>
      </c>
      <c r="DZ5" s="649" t="str">
        <f>INPUT!GM$6</f>
        <v>% Chg</v>
      </c>
      <c r="EA5" s="648">
        <f>INPUT!GN$6</f>
        <v>2017</v>
      </c>
      <c r="EB5" s="649" t="str">
        <f>INPUT!GO$6</f>
        <v>% Chg</v>
      </c>
      <c r="EC5" s="648" t="str">
        <f>INPUT!GP$6</f>
        <v>2018E</v>
      </c>
      <c r="ED5" s="649" t="str">
        <f>INPUT!GQ$6</f>
        <v>% Chg</v>
      </c>
      <c r="EE5" s="648" t="str">
        <f>INPUT!GR$6</f>
        <v>2019E</v>
      </c>
      <c r="EF5" s="649" t="str">
        <f>INPUT!GS$6</f>
        <v>% Chg</v>
      </c>
      <c r="EG5" s="648" t="str">
        <f>INPUT!GT$6</f>
        <v>2020E</v>
      </c>
      <c r="EH5" s="649" t="str">
        <f>INPUT!GU$6</f>
        <v>% Chg</v>
      </c>
      <c r="EI5" s="648" t="str">
        <f>INPUT!GV$6</f>
        <v>2021E</v>
      </c>
      <c r="EJ5" s="649" t="str">
        <f>INPUT!GW$6</f>
        <v>% Chg</v>
      </c>
      <c r="EK5" s="648" t="str">
        <f>INPUT!GX$6</f>
        <v>2022E</v>
      </c>
      <c r="EL5" s="649" t="str">
        <f>INPUT!GY$6</f>
        <v>% Chg</v>
      </c>
      <c r="EM5" s="651" t="str">
        <f>INPUT!GZ$6</f>
        <v>(%)</v>
      </c>
      <c r="EN5" s="643"/>
    </row>
    <row r="6" spans="1:224" s="632" customFormat="1" ht="12.75" customHeight="1" x14ac:dyDescent="0.2">
      <c r="A6" s="652"/>
      <c r="B6" s="653"/>
      <c r="C6" s="635"/>
      <c r="D6" s="653"/>
      <c r="E6" s="635"/>
      <c r="F6" s="653"/>
      <c r="G6" s="635"/>
      <c r="H6" s="653"/>
      <c r="I6" s="635"/>
      <c r="J6" s="653"/>
      <c r="K6" s="635"/>
      <c r="L6" s="653"/>
      <c r="M6" s="635"/>
      <c r="N6" s="653"/>
      <c r="O6" s="635"/>
      <c r="P6" s="653"/>
      <c r="Q6" s="635"/>
      <c r="R6" s="653"/>
      <c r="S6" s="635"/>
      <c r="T6" s="653"/>
      <c r="U6" s="635"/>
      <c r="V6" s="653"/>
      <c r="W6" s="635"/>
      <c r="X6" s="653"/>
      <c r="Y6" s="635"/>
      <c r="Z6" s="653"/>
      <c r="AA6" s="635"/>
      <c r="AB6" s="653"/>
      <c r="AC6" s="635"/>
      <c r="AD6" s="653"/>
      <c r="AE6" s="635"/>
      <c r="AF6" s="653"/>
      <c r="AG6" s="635"/>
      <c r="AH6" s="653"/>
      <c r="AI6" s="635"/>
      <c r="AJ6" s="653"/>
      <c r="AK6" s="635"/>
      <c r="AL6" s="653"/>
      <c r="AM6" s="635"/>
      <c r="AN6" s="653"/>
      <c r="AO6" s="635"/>
      <c r="AP6" s="653"/>
      <c r="AQ6" s="635"/>
      <c r="AR6" s="653"/>
      <c r="AS6" s="635"/>
      <c r="AT6" s="653"/>
      <c r="AU6" s="635"/>
      <c r="AV6" s="653"/>
      <c r="AW6" s="635"/>
      <c r="AX6" s="653"/>
      <c r="AY6" s="635"/>
      <c r="AZ6" s="653"/>
      <c r="BA6" s="635"/>
      <c r="BB6" s="653"/>
      <c r="BC6" s="635"/>
      <c r="BD6" s="653"/>
      <c r="BE6" s="635"/>
      <c r="BF6" s="653"/>
      <c r="BG6" s="635"/>
      <c r="BH6" s="653"/>
      <c r="BI6" s="635"/>
      <c r="BJ6" s="653"/>
      <c r="BK6" s="635"/>
      <c r="BL6" s="653"/>
      <c r="BM6" s="635"/>
      <c r="BN6" s="653"/>
      <c r="BO6" s="635"/>
      <c r="BP6" s="653"/>
      <c r="BQ6" s="635"/>
      <c r="BR6" s="653"/>
      <c r="BS6" s="635"/>
      <c r="BT6" s="653"/>
      <c r="BU6" s="635"/>
      <c r="BV6" s="653"/>
      <c r="BW6" s="635"/>
      <c r="BX6" s="653"/>
      <c r="BY6" s="635"/>
      <c r="BZ6" s="653"/>
      <c r="CA6" s="635"/>
      <c r="CB6" s="653"/>
      <c r="CC6" s="635"/>
      <c r="CD6" s="653"/>
      <c r="CE6" s="635"/>
      <c r="CF6" s="653"/>
      <c r="CG6" s="635"/>
      <c r="CH6" s="653"/>
      <c r="CI6" s="635"/>
      <c r="CJ6" s="653"/>
      <c r="CK6" s="635"/>
      <c r="CL6" s="653"/>
      <c r="CM6" s="635"/>
      <c r="CN6" s="653"/>
      <c r="CO6" s="635"/>
      <c r="CP6" s="653"/>
      <c r="CQ6" s="635"/>
      <c r="CR6" s="653"/>
      <c r="CS6" s="635"/>
      <c r="CT6" s="653"/>
      <c r="CU6" s="635"/>
      <c r="CV6" s="653"/>
      <c r="CW6" s="635"/>
      <c r="CX6" s="653"/>
      <c r="CY6" s="635"/>
      <c r="CZ6" s="653"/>
      <c r="DA6" s="635"/>
      <c r="DB6" s="654"/>
      <c r="DC6" s="653"/>
      <c r="DD6" s="635"/>
      <c r="DE6" s="653"/>
      <c r="DF6" s="635"/>
      <c r="DG6" s="653"/>
      <c r="DH6" s="635"/>
      <c r="DI6" s="653"/>
      <c r="DJ6" s="644"/>
      <c r="DK6" s="655"/>
      <c r="DL6" s="635"/>
      <c r="DM6" s="655"/>
      <c r="DN6" s="635"/>
      <c r="DO6" s="655"/>
      <c r="DP6" s="635"/>
      <c r="DQ6" s="655"/>
      <c r="DR6" s="635"/>
      <c r="DS6" s="655"/>
      <c r="DT6" s="635"/>
      <c r="DU6" s="655"/>
      <c r="DV6" s="635"/>
      <c r="DW6" s="655"/>
      <c r="DX6" s="635"/>
      <c r="DY6" s="655"/>
      <c r="DZ6" s="635"/>
      <c r="EA6" s="655"/>
      <c r="EB6" s="635"/>
      <c r="EC6" s="655"/>
      <c r="ED6" s="635"/>
      <c r="EE6" s="655"/>
      <c r="EF6" s="635"/>
      <c r="EG6" s="655"/>
      <c r="EH6" s="635"/>
      <c r="EI6" s="655"/>
      <c r="EJ6" s="635"/>
      <c r="EK6" s="655"/>
      <c r="EL6" s="635"/>
      <c r="EM6" s="655"/>
      <c r="EN6" s="635"/>
      <c r="EO6" s="655"/>
      <c r="EP6" s="635"/>
      <c r="EQ6" s="655"/>
      <c r="ER6" s="635"/>
      <c r="ES6" s="655"/>
      <c r="ET6" s="635"/>
      <c r="EU6" s="655"/>
      <c r="EV6" s="635"/>
      <c r="EW6" s="655"/>
      <c r="EX6" s="635"/>
      <c r="EY6" s="655"/>
      <c r="EZ6" s="635"/>
      <c r="FA6" s="655"/>
      <c r="FB6" s="635"/>
      <c r="FC6" s="655"/>
      <c r="FD6" s="635"/>
      <c r="FE6" s="655"/>
      <c r="FF6" s="635"/>
      <c r="FG6" s="655"/>
      <c r="FH6" s="635"/>
      <c r="FI6" s="655"/>
      <c r="FJ6" s="635"/>
      <c r="FK6" s="655"/>
      <c r="FL6" s="635"/>
      <c r="FM6" s="655"/>
      <c r="FN6" s="635"/>
      <c r="FO6" s="655"/>
      <c r="FP6" s="635"/>
      <c r="FQ6" s="655"/>
      <c r="FR6" s="635"/>
      <c r="FS6" s="655"/>
      <c r="FT6" s="635"/>
      <c r="FU6" s="655"/>
      <c r="FV6" s="635"/>
      <c r="FW6" s="655"/>
      <c r="FX6" s="635"/>
      <c r="FY6" s="655"/>
      <c r="FZ6" s="635"/>
      <c r="GA6" s="655"/>
      <c r="GB6" s="635"/>
      <c r="GC6" s="655"/>
      <c r="GD6" s="635"/>
      <c r="GE6" s="655"/>
      <c r="GF6" s="635"/>
      <c r="GG6" s="655"/>
      <c r="GH6" s="635"/>
      <c r="GI6" s="655"/>
      <c r="GJ6" s="635"/>
      <c r="GK6" s="655"/>
      <c r="GL6" s="635"/>
      <c r="GM6" s="655"/>
      <c r="GN6" s="655"/>
      <c r="GO6" s="635"/>
      <c r="GP6" s="655"/>
      <c r="GQ6" s="635"/>
      <c r="GR6" s="655"/>
      <c r="GS6" s="635"/>
      <c r="GT6" s="655"/>
      <c r="GU6" s="635"/>
      <c r="GV6" s="655"/>
      <c r="GW6" s="635"/>
      <c r="GX6" s="655"/>
      <c r="GY6" s="635"/>
      <c r="GZ6" s="655"/>
      <c r="HA6" s="635"/>
      <c r="HB6" s="655"/>
      <c r="HC6" s="635"/>
      <c r="HD6" s="655"/>
      <c r="HE6" s="635"/>
      <c r="HF6" s="655"/>
      <c r="HG6" s="635"/>
      <c r="HH6" s="655"/>
      <c r="HI6" s="635"/>
      <c r="HJ6" s="655"/>
      <c r="HK6" s="635"/>
      <c r="HL6" s="655"/>
      <c r="HM6" s="635"/>
      <c r="HN6" s="655"/>
      <c r="HO6" s="635"/>
      <c r="HP6" s="635"/>
    </row>
    <row r="7" spans="1:224" s="632" customFormat="1" ht="12.75" customHeight="1" x14ac:dyDescent="0.2">
      <c r="A7" s="652" t="s">
        <v>706</v>
      </c>
      <c r="B7" s="656"/>
      <c r="C7" s="635"/>
      <c r="D7" s="656"/>
      <c r="E7" s="635"/>
      <c r="F7" s="656"/>
      <c r="G7" s="635"/>
      <c r="H7" s="656"/>
      <c r="I7" s="635"/>
      <c r="J7" s="656"/>
      <c r="K7" s="635"/>
      <c r="L7" s="656"/>
      <c r="M7" s="635"/>
      <c r="N7" s="656"/>
      <c r="O7" s="635"/>
      <c r="P7" s="656"/>
      <c r="Q7" s="635"/>
      <c r="R7" s="656"/>
      <c r="S7" s="635"/>
      <c r="T7" s="656"/>
      <c r="U7" s="635"/>
      <c r="V7" s="656"/>
      <c r="W7" s="635"/>
      <c r="X7" s="656"/>
      <c r="Y7" s="635"/>
      <c r="Z7" s="656"/>
      <c r="AA7" s="635"/>
      <c r="AB7" s="656"/>
      <c r="AC7" s="635"/>
      <c r="AD7" s="656"/>
      <c r="AE7" s="635"/>
      <c r="AF7" s="656"/>
      <c r="AG7" s="635"/>
      <c r="AH7" s="656"/>
      <c r="AI7" s="635"/>
      <c r="AJ7" s="656"/>
      <c r="AK7" s="635"/>
      <c r="AL7" s="656"/>
      <c r="AM7" s="635"/>
      <c r="AN7" s="656"/>
      <c r="AO7" s="635"/>
      <c r="AP7" s="656"/>
      <c r="AQ7" s="635"/>
      <c r="AR7" s="656"/>
      <c r="AS7" s="635"/>
      <c r="AT7" s="656"/>
      <c r="AU7" s="635"/>
      <c r="AV7" s="656"/>
      <c r="AW7" s="635"/>
      <c r="AX7" s="656"/>
      <c r="AY7" s="635"/>
      <c r="AZ7" s="656"/>
      <c r="BA7" s="635"/>
      <c r="BB7" s="656"/>
      <c r="BC7" s="635"/>
      <c r="BD7" s="656"/>
      <c r="BE7" s="635"/>
      <c r="BF7" s="656"/>
      <c r="BG7" s="635"/>
      <c r="BH7" s="656"/>
      <c r="BI7" s="635"/>
      <c r="BJ7" s="656"/>
      <c r="BK7" s="635"/>
      <c r="BL7" s="656"/>
      <c r="BM7" s="635"/>
      <c r="BN7" s="656"/>
      <c r="BO7" s="635"/>
      <c r="BP7" s="656"/>
      <c r="BQ7" s="635"/>
      <c r="BR7" s="656"/>
      <c r="BS7" s="635"/>
      <c r="BT7" s="656"/>
      <c r="BU7" s="635"/>
      <c r="BV7" s="656"/>
      <c r="BW7" s="635"/>
      <c r="BX7" s="656"/>
      <c r="BY7" s="635"/>
      <c r="BZ7" s="656"/>
      <c r="CA7" s="635"/>
      <c r="CB7" s="656"/>
      <c r="CC7" s="635"/>
      <c r="CD7" s="656"/>
      <c r="CE7" s="635"/>
      <c r="CF7" s="656"/>
      <c r="CG7" s="635"/>
      <c r="CH7" s="656"/>
      <c r="CI7" s="635"/>
      <c r="CJ7" s="656"/>
      <c r="CK7" s="635"/>
      <c r="CL7" s="656"/>
      <c r="CM7" s="635"/>
      <c r="CN7" s="656"/>
      <c r="CO7" s="635"/>
      <c r="CP7" s="656"/>
      <c r="CQ7" s="635"/>
      <c r="CR7" s="656"/>
      <c r="CS7" s="635"/>
      <c r="CT7" s="656"/>
      <c r="CU7" s="635"/>
      <c r="CV7" s="656"/>
      <c r="CW7" s="635"/>
      <c r="CX7" s="656"/>
      <c r="CY7" s="635"/>
      <c r="CZ7" s="656"/>
      <c r="DA7" s="635"/>
      <c r="DB7" s="653"/>
      <c r="DC7" s="656"/>
      <c r="DD7" s="635"/>
      <c r="DE7" s="656"/>
      <c r="DF7" s="635"/>
      <c r="DG7" s="656"/>
      <c r="DH7" s="635"/>
      <c r="DI7" s="656"/>
      <c r="DJ7" s="635"/>
      <c r="DK7" s="656"/>
      <c r="DL7" s="635"/>
      <c r="DM7" s="656"/>
      <c r="DN7" s="635"/>
      <c r="DO7" s="656"/>
      <c r="DP7" s="635"/>
      <c r="DQ7" s="656"/>
      <c r="DR7" s="635"/>
      <c r="DS7" s="656"/>
      <c r="DT7" s="635"/>
      <c r="DU7" s="656"/>
      <c r="DV7" s="635"/>
      <c r="DW7" s="656"/>
      <c r="DX7" s="635"/>
      <c r="DY7" s="656"/>
      <c r="DZ7" s="635"/>
      <c r="EA7" s="656"/>
      <c r="EB7" s="635"/>
      <c r="EC7" s="656"/>
      <c r="ED7" s="635"/>
      <c r="EE7" s="656"/>
      <c r="EF7" s="635"/>
      <c r="EG7" s="656"/>
      <c r="EH7" s="635"/>
      <c r="EI7" s="656"/>
      <c r="EJ7" s="635"/>
      <c r="EK7" s="656"/>
      <c r="EL7" s="635"/>
      <c r="EM7" s="634"/>
    </row>
    <row r="8" spans="1:224" s="632" customFormat="1" ht="12.75" customHeight="1" x14ac:dyDescent="0.2">
      <c r="A8" s="826" t="s">
        <v>102</v>
      </c>
      <c r="B8" s="655">
        <f>INPUT!AY93</f>
        <v>118</v>
      </c>
      <c r="C8" s="635">
        <f>INPUT!AZ93</f>
        <v>18</v>
      </c>
      <c r="D8" s="655">
        <f>INPUT!BA93</f>
        <v>122</v>
      </c>
      <c r="E8" s="635">
        <f>INPUT!BB93</f>
        <v>20.792079207920793</v>
      </c>
      <c r="F8" s="655">
        <f>INPUT!BC93</f>
        <v>192</v>
      </c>
      <c r="G8" s="635">
        <f>INPUT!BD93</f>
        <v>19.254658385093165</v>
      </c>
      <c r="H8" s="655">
        <f>INPUT!BE93</f>
        <v>154</v>
      </c>
      <c r="I8" s="635">
        <f>INPUT!BF93</f>
        <v>7.6923076923076934</v>
      </c>
      <c r="J8" s="655">
        <f>INPUT!BG93</f>
        <v>166</v>
      </c>
      <c r="K8" s="635">
        <f>INPUT!BH93</f>
        <v>40.677966101694921</v>
      </c>
      <c r="L8" s="655">
        <f>INPUT!BI93</f>
        <v>180</v>
      </c>
      <c r="M8" s="635">
        <f>INPUT!BJ93</f>
        <v>47.540983606557376</v>
      </c>
      <c r="N8" s="655">
        <f>INPUT!BK93</f>
        <v>205</v>
      </c>
      <c r="O8" s="635">
        <f>INPUT!BL93</f>
        <v>6.7708333333333286</v>
      </c>
      <c r="P8" s="655">
        <f>INPUT!BM93</f>
        <v>171</v>
      </c>
      <c r="Q8" s="635">
        <f>INPUT!BN93</f>
        <v>11.038961038961048</v>
      </c>
      <c r="R8" s="655">
        <f>INPUT!BO93</f>
        <v>115</v>
      </c>
      <c r="S8" s="635">
        <f>INPUT!BP93</f>
        <v>-30.722891566265062</v>
      </c>
      <c r="T8" s="655">
        <f>INPUT!BQ93</f>
        <v>154</v>
      </c>
      <c r="U8" s="635">
        <f>INPUT!BR93</f>
        <v>-14.444444444444443</v>
      </c>
      <c r="V8" s="655">
        <f>INPUT!BS93</f>
        <v>-307</v>
      </c>
      <c r="W8" s="635" t="str">
        <f>INPUT!BT93</f>
        <v>NM</v>
      </c>
      <c r="X8" s="655">
        <f>INPUT!BU93</f>
        <v>-1039</v>
      </c>
      <c r="Y8" s="635" t="str">
        <f>INPUT!BV93</f>
        <v>NM</v>
      </c>
      <c r="Z8" s="655">
        <f>INPUT!BW93</f>
        <v>-244</v>
      </c>
      <c r="AA8" s="635" t="str">
        <f>INPUT!BX93</f>
        <v>NM</v>
      </c>
      <c r="AB8" s="655">
        <f>INPUT!BY93</f>
        <v>489</v>
      </c>
      <c r="AC8" s="635" t="str">
        <f>INPUT!BZ93</f>
        <v>NM</v>
      </c>
      <c r="AD8" s="655">
        <f>INPUT!CA93</f>
        <v>315</v>
      </c>
      <c r="AE8" s="635" t="str">
        <f>INPUT!CB93</f>
        <v>NM</v>
      </c>
      <c r="AF8" s="655">
        <f>INPUT!CC93</f>
        <v>197</v>
      </c>
      <c r="AG8" s="635" t="str">
        <f>INPUT!CD93</f>
        <v>NM</v>
      </c>
      <c r="AH8" s="655">
        <f>INPUT!CE93</f>
        <v>225</v>
      </c>
      <c r="AI8" s="635" t="str">
        <f>INPUT!CF93</f>
        <v>NM</v>
      </c>
      <c r="AJ8" s="655">
        <f>INPUT!CG93</f>
        <v>-144</v>
      </c>
      <c r="AK8" s="635" t="str">
        <f>INPUT!CH93</f>
        <v>NM</v>
      </c>
      <c r="AL8" s="655">
        <f>INPUT!CI93</f>
        <v>552</v>
      </c>
      <c r="AM8" s="635">
        <f>INPUT!CJ93</f>
        <v>75.238095238095241</v>
      </c>
      <c r="AN8" s="655">
        <f>INPUT!CK93</f>
        <v>317</v>
      </c>
      <c r="AO8" s="635">
        <f>INPUT!CL93</f>
        <v>60.913705583756354</v>
      </c>
      <c r="AP8" s="655">
        <f>INPUT!CM93</f>
        <v>274</v>
      </c>
      <c r="AQ8" s="635">
        <f>INPUT!CN93</f>
        <v>21.777777777777786</v>
      </c>
      <c r="AR8" s="655">
        <f>INPUT!CO93</f>
        <v>207</v>
      </c>
      <c r="AS8" s="635" t="str">
        <f>INPUT!CP93</f>
        <v>NM</v>
      </c>
      <c r="AT8" s="655">
        <f>INPUT!CQ93</f>
        <v>-192</v>
      </c>
      <c r="AU8" s="635" t="str">
        <f>INPUT!CR93</f>
        <v>NM</v>
      </c>
      <c r="AV8" s="655">
        <f>INPUT!CS93</f>
        <v>373</v>
      </c>
      <c r="AW8" s="635">
        <f>INPUT!CT93</f>
        <v>17.66561514195584</v>
      </c>
      <c r="AX8" s="655">
        <f>INPUT!CU93</f>
        <v>421</v>
      </c>
      <c r="AY8" s="635">
        <f>INPUT!CV93</f>
        <v>53.649635036496363</v>
      </c>
      <c r="AZ8" s="655">
        <f>INPUT!CW93</f>
        <v>107</v>
      </c>
      <c r="BA8" s="635">
        <f>INPUT!CX93</f>
        <v>-48.309178743961354</v>
      </c>
      <c r="BB8" s="655">
        <f>INPUT!CY93</f>
        <v>207</v>
      </c>
      <c r="BC8" s="635" t="str">
        <f>INPUT!CZ93</f>
        <v>NM</v>
      </c>
      <c r="BD8" s="655">
        <f>INPUT!DA93</f>
        <v>304</v>
      </c>
      <c r="BE8" s="635">
        <f>INPUT!DB93</f>
        <v>-18.498659517426276</v>
      </c>
      <c r="BF8" s="655">
        <f>INPUT!DC93</f>
        <v>372</v>
      </c>
      <c r="BG8" s="635">
        <f>INPUT!DD93</f>
        <v>-11.63895486935867</v>
      </c>
      <c r="BH8" s="655">
        <f>INPUT!DE93</f>
        <v>400</v>
      </c>
      <c r="BI8" s="635" t="str">
        <f>INPUT!DF93</f>
        <v>NM</v>
      </c>
      <c r="BJ8" s="655">
        <f>INPUT!DG93</f>
        <v>821</v>
      </c>
      <c r="BK8" s="635" t="str">
        <f>INPUT!DH93</f>
        <v>NM</v>
      </c>
      <c r="BL8" s="655">
        <f>INPUT!DI93</f>
        <v>492</v>
      </c>
      <c r="BM8" s="635">
        <f>INPUT!DJ93</f>
        <v>61.84210526315789</v>
      </c>
      <c r="BN8" s="655">
        <f>INPUT!DK93</f>
        <v>388</v>
      </c>
      <c r="BO8" s="635">
        <f>INPUT!DL93</f>
        <v>4.3010752688172005</v>
      </c>
      <c r="BP8" s="655">
        <f>INPUT!DM93</f>
        <v>390</v>
      </c>
      <c r="BQ8" s="635">
        <f>INPUT!DN93</f>
        <v>-2.5</v>
      </c>
      <c r="BR8" s="655">
        <f>INPUT!DO93</f>
        <v>367</v>
      </c>
      <c r="BS8" s="635" t="str">
        <f>INPUT!DP93</f>
        <v>NM</v>
      </c>
      <c r="BT8" s="655">
        <f>INPUT!DQ93</f>
        <v>322</v>
      </c>
      <c r="BU8" s="635">
        <f>INPUT!DR93</f>
        <v>-34.552845528455293</v>
      </c>
      <c r="BV8" s="655">
        <f>INPUT!DS93</f>
        <v>529</v>
      </c>
      <c r="BW8" s="635">
        <f>INPUT!DT93</f>
        <v>36.340206185567013</v>
      </c>
      <c r="BX8" s="655">
        <f>INPUT!DU93</f>
        <v>548</v>
      </c>
      <c r="BY8" s="635">
        <f>INPUT!DV93</f>
        <v>40.512820512820497</v>
      </c>
      <c r="BZ8" s="655">
        <f>INPUT!DW93</f>
        <v>310</v>
      </c>
      <c r="CA8" s="635">
        <f>INPUT!DX93</f>
        <v>-15.53133514986375</v>
      </c>
      <c r="CB8" s="655">
        <f>INPUT!DY93</f>
        <v>410</v>
      </c>
      <c r="CC8" s="635">
        <f>INPUT!DZ93</f>
        <v>27.329192546583855</v>
      </c>
      <c r="CD8" s="655">
        <f>INPUT!EA93</f>
        <v>328</v>
      </c>
      <c r="CE8" s="635">
        <f>INPUT!EB93</f>
        <v>-37.996219281663514</v>
      </c>
      <c r="CF8" s="655">
        <f>INPUT!EC93</f>
        <v>427</v>
      </c>
      <c r="CG8" s="635">
        <f>INPUT!ED93</f>
        <v>-22.080291970802918</v>
      </c>
      <c r="CH8" s="655">
        <f>INPUT!EE93</f>
        <v>588</v>
      </c>
      <c r="CI8" s="635">
        <f>INPUT!EF93</f>
        <v>89.677419354838719</v>
      </c>
      <c r="CJ8" s="655">
        <f>INPUT!EG93</f>
        <v>422</v>
      </c>
      <c r="CK8" s="635">
        <f>INPUT!EH93</f>
        <v>2.9268292682926926</v>
      </c>
      <c r="CL8" s="655">
        <f>INPUT!EI93</f>
        <v>468</v>
      </c>
      <c r="CM8" s="655">
        <f>INPUT!EJ93</f>
        <v>42.682926829268297</v>
      </c>
      <c r="CN8" s="655">
        <f>INPUT!EK93</f>
        <v>612</v>
      </c>
      <c r="CO8" s="655">
        <f>INPUT!EL93</f>
        <v>43.325526932084301</v>
      </c>
      <c r="CP8" s="655">
        <f>INPUT!EM93</f>
        <v>577</v>
      </c>
      <c r="CQ8" s="655">
        <f>INPUT!EN93</f>
        <v>-1.8707482993197289</v>
      </c>
      <c r="CR8" s="655">
        <f>INPUT!EO93</f>
        <v>541</v>
      </c>
      <c r="CS8" s="655">
        <f>INPUT!EP93</f>
        <v>28.199052132701411</v>
      </c>
      <c r="CT8" s="655">
        <f>INPUT!EQ93</f>
        <v>527.21518307284816</v>
      </c>
      <c r="CU8" s="655">
        <f>INPUT!ER93</f>
        <v>12.652816895907733</v>
      </c>
      <c r="CV8" s="655">
        <f>INPUT!ES93</f>
        <v>523.69219613527025</v>
      </c>
      <c r="CW8" s="655">
        <f>INPUT!ET93</f>
        <v>-14.42937971645911</v>
      </c>
      <c r="CX8" s="655">
        <f>INPUT!EU93</f>
        <v>524.33437578534028</v>
      </c>
      <c r="CY8" s="655">
        <f>INPUT!EV93</f>
        <v>-9.1274911983812359</v>
      </c>
      <c r="CZ8" s="655">
        <f>INPUT!EW93</f>
        <v>504.2175605180164</v>
      </c>
      <c r="DA8" s="655">
        <f>INPUT!EX93</f>
        <v>-6.798972177815827</v>
      </c>
      <c r="DB8" s="655">
        <f>INPUT!EY93</f>
        <v>0</v>
      </c>
      <c r="DC8" s="655">
        <f>INPUT!FP93</f>
        <v>505</v>
      </c>
      <c r="DD8" s="635">
        <f>INPUT!FQ93</f>
        <v>18.266978922716632</v>
      </c>
      <c r="DE8" s="655">
        <f>INPUT!FR93</f>
        <v>586</v>
      </c>
      <c r="DF8" s="635">
        <f>INPUT!FS93</f>
        <v>16.039603960396036</v>
      </c>
      <c r="DG8" s="655">
        <f>INPUT!FT93</f>
        <v>722</v>
      </c>
      <c r="DH8" s="635">
        <f>INPUT!FU93</f>
        <v>23.208191126279857</v>
      </c>
      <c r="DI8" s="655">
        <f>INPUT!FV93</f>
        <v>-955</v>
      </c>
      <c r="DJ8" s="635" t="str">
        <f>INPUT!FW93</f>
        <v>NM</v>
      </c>
      <c r="DK8" s="655">
        <f>INPUT!FX93</f>
        <v>672</v>
      </c>
      <c r="DL8" s="635" t="str">
        <f>INPUT!FY93</f>
        <v>NM</v>
      </c>
      <c r="DM8" s="655">
        <f>INPUT!FZ93</f>
        <v>950</v>
      </c>
      <c r="DN8" s="635">
        <f>INPUT!GA93</f>
        <v>41.36904761904762</v>
      </c>
      <c r="DO8" s="655">
        <f>INPUT!GB93</f>
        <v>662</v>
      </c>
      <c r="DP8" s="635">
        <f>INPUT!GC93</f>
        <v>-30.315789473684205</v>
      </c>
      <c r="DQ8" s="655">
        <f>INPUT!GD93</f>
        <v>1039</v>
      </c>
      <c r="DR8" s="635">
        <f>INPUT!GE93</f>
        <v>56.948640483383684</v>
      </c>
      <c r="DS8" s="655">
        <f>INPUT!GF93</f>
        <v>2085</v>
      </c>
      <c r="DT8" s="635" t="str">
        <f>INPUT!GG93</f>
        <v>NM</v>
      </c>
      <c r="DU8" s="655">
        <f>INPUT!GH93</f>
        <v>1467</v>
      </c>
      <c r="DV8" s="635">
        <f>INPUT!GI93</f>
        <v>-29.640287769784166</v>
      </c>
      <c r="DW8" s="655">
        <f>INPUT!GJ93</f>
        <v>1797</v>
      </c>
      <c r="DX8" s="655">
        <f>INPUT!GK93</f>
        <v>22.494887525562362</v>
      </c>
      <c r="DY8" s="655">
        <f>INPUT!GL93</f>
        <v>1765</v>
      </c>
      <c r="DZ8" s="655">
        <f>INPUT!GM93</f>
        <v>-1.780745687256541</v>
      </c>
      <c r="EA8" s="655">
        <f>INPUT!GN93</f>
        <v>2198</v>
      </c>
      <c r="EB8" s="655">
        <f>INPUT!GO93</f>
        <v>24.532577903682721</v>
      </c>
      <c r="EC8" s="655">
        <f>INPUT!GP93</f>
        <v>2079.4593155114753</v>
      </c>
      <c r="ED8" s="655">
        <f>INPUT!GQ93</f>
        <v>-5.3931157638091349</v>
      </c>
      <c r="EE8" s="655">
        <f>INPUT!GR93</f>
        <v>2045.8808109448855</v>
      </c>
      <c r="EF8" s="655">
        <f>INPUT!GS93</f>
        <v>-1.6147709318530588</v>
      </c>
      <c r="EG8" s="655">
        <f>INPUT!GT93</f>
        <v>2016.1961540738039</v>
      </c>
      <c r="EH8" s="655">
        <f>INPUT!GU93</f>
        <v>-1.4509475191456573</v>
      </c>
      <c r="EI8" s="655">
        <f>INPUT!GV93</f>
        <v>1990.0737062204503</v>
      </c>
      <c r="EJ8" s="655">
        <f>INPUT!GW93</f>
        <v>-1.2956302788581411</v>
      </c>
      <c r="EK8" s="655">
        <f>INPUT!GX93</f>
        <v>1967.4739029153461</v>
      </c>
      <c r="EL8" s="655">
        <f>INPUT!GY93</f>
        <v>-1.135626446119204</v>
      </c>
      <c r="EM8" s="655">
        <f>INPUT!GZ93</f>
        <v>-2.1915765948057664</v>
      </c>
    </row>
    <row r="9" spans="1:224" s="632" customFormat="1" ht="12.75" customHeight="1" x14ac:dyDescent="0.2">
      <c r="A9" s="826" t="s">
        <v>75</v>
      </c>
      <c r="B9" s="655">
        <f>INPUT!AY213</f>
        <v>137</v>
      </c>
      <c r="C9" s="635">
        <f>INPUT!AZ213</f>
        <v>-11.612903225806448</v>
      </c>
      <c r="D9" s="655">
        <f>INPUT!BA213</f>
        <v>143</v>
      </c>
      <c r="E9" s="635">
        <f>INPUT!BB213</f>
        <v>0.70422535211267245</v>
      </c>
      <c r="F9" s="655">
        <f>INPUT!BC213</f>
        <v>109</v>
      </c>
      <c r="G9" s="635">
        <f>INPUT!BD213</f>
        <v>-0.90909090909090651</v>
      </c>
      <c r="H9" s="655">
        <f>INPUT!BE213</f>
        <v>121</v>
      </c>
      <c r="I9" s="635">
        <f>INPUT!BF213</f>
        <v>32.967032967032964</v>
      </c>
      <c r="J9" s="655">
        <f>INPUT!BG213</f>
        <v>148</v>
      </c>
      <c r="K9" s="635">
        <f>INPUT!BH213</f>
        <v>8.029197080291965</v>
      </c>
      <c r="L9" s="655">
        <f>INPUT!BI213</f>
        <v>138</v>
      </c>
      <c r="M9" s="635">
        <f>INPUT!BJ213</f>
        <v>-3.4965034965034931</v>
      </c>
      <c r="N9" s="655">
        <f>INPUT!BK213</f>
        <v>65</v>
      </c>
      <c r="O9" s="635">
        <f>INPUT!BL213</f>
        <v>-40.366972477064223</v>
      </c>
      <c r="P9" s="655">
        <f>INPUT!BM213</f>
        <v>131</v>
      </c>
      <c r="Q9" s="635">
        <f>INPUT!BN213</f>
        <v>8.2644628099173474</v>
      </c>
      <c r="R9" s="655">
        <f>INPUT!BO213</f>
        <v>124</v>
      </c>
      <c r="S9" s="635">
        <f>INPUT!BP213</f>
        <v>-16.21621621621621</v>
      </c>
      <c r="T9" s="655">
        <f>INPUT!BQ213</f>
        <v>141</v>
      </c>
      <c r="U9" s="635">
        <f>INPUT!BR213</f>
        <v>2.1739130434782652</v>
      </c>
      <c r="V9" s="655">
        <f>INPUT!BS213</f>
        <v>133</v>
      </c>
      <c r="W9" s="635" t="str">
        <f>INPUT!BT213</f>
        <v>NM</v>
      </c>
      <c r="X9" s="655">
        <f>INPUT!BU213</f>
        <v>133</v>
      </c>
      <c r="Y9" s="635">
        <f>INPUT!BV213</f>
        <v>1.5267175572519136</v>
      </c>
      <c r="Z9" s="655">
        <f>INPUT!BW213</f>
        <v>140</v>
      </c>
      <c r="AA9" s="635">
        <f>INPUT!BX213</f>
        <v>12.90322580645163</v>
      </c>
      <c r="AB9" s="655">
        <f>INPUT!BY213</f>
        <v>105</v>
      </c>
      <c r="AC9" s="635">
        <f>INPUT!BZ213</f>
        <v>-25.531914893617028</v>
      </c>
      <c r="AD9" s="655">
        <f>INPUT!CA213</f>
        <v>117</v>
      </c>
      <c r="AE9" s="635">
        <f>INPUT!CB213</f>
        <v>-12.030075187969928</v>
      </c>
      <c r="AF9" s="655">
        <f>INPUT!CC213</f>
        <v>132</v>
      </c>
      <c r="AG9" s="635">
        <f>INPUT!CD213</f>
        <v>-0.75187969924812137</v>
      </c>
      <c r="AH9" s="655">
        <f>INPUT!CE213</f>
        <v>167</v>
      </c>
      <c r="AI9" s="635">
        <f>INPUT!CF213</f>
        <v>19.285714285714278</v>
      </c>
      <c r="AJ9" s="655">
        <f>INPUT!CG213</f>
        <v>134</v>
      </c>
      <c r="AK9" s="635">
        <f>INPUT!CH213</f>
        <v>27.619047619047606</v>
      </c>
      <c r="AL9" s="655">
        <f>INPUT!CI213</f>
        <v>118</v>
      </c>
      <c r="AM9" s="635">
        <f>INPUT!CJ213</f>
        <v>0.85470085470085166</v>
      </c>
      <c r="AN9" s="655">
        <f>INPUT!CK213</f>
        <v>146</v>
      </c>
      <c r="AO9" s="635">
        <f>INPUT!CL213</f>
        <v>10.606060606060595</v>
      </c>
      <c r="AP9" s="655">
        <f>INPUT!CM213</f>
        <v>172</v>
      </c>
      <c r="AQ9" s="635">
        <f>INPUT!CN213</f>
        <v>2.9940119760479007</v>
      </c>
      <c r="AR9" s="655">
        <f>INPUT!CO213</f>
        <v>171</v>
      </c>
      <c r="AS9" s="635">
        <f>INPUT!CP213</f>
        <v>27.611940298507463</v>
      </c>
      <c r="AT9" s="655">
        <f>INPUT!CQ213</f>
        <v>111</v>
      </c>
      <c r="AU9" s="635">
        <f>INPUT!CR213</f>
        <v>-5.9322033898305051</v>
      </c>
      <c r="AV9" s="655">
        <f>INPUT!CS213</f>
        <v>140</v>
      </c>
      <c r="AW9" s="635">
        <f>INPUT!CT213</f>
        <v>-4.1095890410959015</v>
      </c>
      <c r="AX9" s="655">
        <f>INPUT!CU213</f>
        <v>156</v>
      </c>
      <c r="AY9" s="635">
        <f>INPUT!CV213</f>
        <v>-9.3023255813953512</v>
      </c>
      <c r="AZ9" s="655">
        <f>INPUT!CW213</f>
        <v>147</v>
      </c>
      <c r="BA9" s="635">
        <f>INPUT!CX213</f>
        <v>-14.035087719298247</v>
      </c>
      <c r="BB9" s="655">
        <f>INPUT!CY213</f>
        <v>110</v>
      </c>
      <c r="BC9" s="635">
        <f>INPUT!CZ213</f>
        <v>-0.90090090090090769</v>
      </c>
      <c r="BD9" s="655">
        <f>INPUT!DA213</f>
        <v>225</v>
      </c>
      <c r="BE9" s="635">
        <f>INPUT!DB213</f>
        <v>60.714285714285722</v>
      </c>
      <c r="BF9" s="655">
        <f>INPUT!DC213</f>
        <v>228</v>
      </c>
      <c r="BG9" s="635">
        <f>INPUT!DD213</f>
        <v>46.153846153846132</v>
      </c>
      <c r="BH9" s="655">
        <f>INPUT!DE213</f>
        <v>279</v>
      </c>
      <c r="BI9" s="635">
        <f>INPUT!DF213</f>
        <v>89.795918367346957</v>
      </c>
      <c r="BJ9" s="655">
        <f>INPUT!DG213</f>
        <v>237</v>
      </c>
      <c r="BK9" s="635" t="str">
        <f>INPUT!DH213</f>
        <v>NM</v>
      </c>
      <c r="BL9" s="655">
        <f>INPUT!DI213</f>
        <v>295</v>
      </c>
      <c r="BM9" s="635">
        <f>INPUT!DJ213</f>
        <v>31.111111111111114</v>
      </c>
      <c r="BN9" s="655">
        <f>INPUT!DK213</f>
        <v>364</v>
      </c>
      <c r="BO9" s="635">
        <f>INPUT!DL213</f>
        <v>59.649122807017562</v>
      </c>
      <c r="BP9" s="655">
        <f>INPUT!DM213</f>
        <v>286</v>
      </c>
      <c r="BQ9" s="635">
        <f>INPUT!DN213</f>
        <v>2.5089605734766991</v>
      </c>
      <c r="BR9" s="655">
        <f>INPUT!DO213</f>
        <v>256</v>
      </c>
      <c r="BS9" s="635">
        <f>INPUT!DP213</f>
        <v>8.0168776371307899</v>
      </c>
      <c r="BT9" s="655">
        <f>INPUT!DQ213</f>
        <v>309</v>
      </c>
      <c r="BU9" s="635">
        <f>INPUT!DR213</f>
        <v>4.7457627118644012</v>
      </c>
      <c r="BV9" s="655">
        <f>INPUT!DS213</f>
        <v>284</v>
      </c>
      <c r="BW9" s="635">
        <f>INPUT!DT213</f>
        <v>-21.978021978021971</v>
      </c>
      <c r="BX9" s="655">
        <f>INPUT!DU213</f>
        <v>237</v>
      </c>
      <c r="BY9" s="635">
        <f>INPUT!DV213</f>
        <v>-17.132867132867133</v>
      </c>
      <c r="BZ9" s="655">
        <f>INPUT!DW213</f>
        <v>242</v>
      </c>
      <c r="CA9" s="635">
        <f>INPUT!DX213</f>
        <v>-5.46875</v>
      </c>
      <c r="CB9" s="655">
        <f>INPUT!DY213</f>
        <v>168</v>
      </c>
      <c r="CC9" s="635">
        <f>INPUT!DZ213</f>
        <v>-45.631067961165051</v>
      </c>
      <c r="CD9" s="655">
        <f>INPUT!EA213</f>
        <v>219</v>
      </c>
      <c r="CE9" s="635">
        <f>INPUT!EB213</f>
        <v>-22.887323943661968</v>
      </c>
      <c r="CF9" s="655">
        <f>INPUT!EC213</f>
        <v>236</v>
      </c>
      <c r="CG9" s="635">
        <f>INPUT!ED213</f>
        <v>-0.4219409282700326</v>
      </c>
      <c r="CH9" s="655">
        <f>INPUT!EE213</f>
        <v>239</v>
      </c>
      <c r="CI9" s="635">
        <f>INPUT!EF213</f>
        <v>-1.239669421487605</v>
      </c>
      <c r="CJ9" s="655">
        <f>INPUT!EG213</f>
        <v>318</v>
      </c>
      <c r="CK9" s="635">
        <f>INPUT!EH213</f>
        <v>89.285714285714278</v>
      </c>
      <c r="CL9" s="655">
        <f>INPUT!EI128</f>
        <v>118</v>
      </c>
      <c r="CM9" s="655">
        <f>INPUT!EJ128</f>
        <v>-1.6666666666666714</v>
      </c>
      <c r="CN9" s="655">
        <f>INPUT!EK128</f>
        <v>-557</v>
      </c>
      <c r="CO9" s="655">
        <f>INPUT!EL128</f>
        <v>92.068965517241367</v>
      </c>
      <c r="CP9" s="655">
        <f>INPUT!EM128</f>
        <v>150</v>
      </c>
      <c r="CQ9" s="655">
        <f>INPUT!EN128</f>
        <v>35.13513513513513</v>
      </c>
      <c r="CR9" s="655">
        <f>INPUT!EO128</f>
        <v>98</v>
      </c>
      <c r="CS9" s="655">
        <f>INPUT!EP128</f>
        <v>-28.985507246376812</v>
      </c>
      <c r="CT9" s="655">
        <f>INPUT!EQ128</f>
        <v>95.528326875000175</v>
      </c>
      <c r="CU9" s="655">
        <f>INPUT!ER128</f>
        <v>-19.043790783898146</v>
      </c>
      <c r="CV9" s="655">
        <f>INPUT!ES128</f>
        <v>113.75430471982759</v>
      </c>
      <c r="CW9" s="655" t="str">
        <f>INPUT!ET128</f>
        <v>NM</v>
      </c>
      <c r="CX9" s="655">
        <f>INPUT!EU128</f>
        <v>113.87967676271569</v>
      </c>
      <c r="CY9" s="655">
        <f>INPUT!EV128</f>
        <v>-24.080215491522878</v>
      </c>
      <c r="CZ9" s="655">
        <f>INPUT!EW128</f>
        <v>112.9107367140482</v>
      </c>
      <c r="DA9" s="655">
        <f>INPUT!EX128</f>
        <v>15.215037463314502</v>
      </c>
      <c r="DB9" s="655">
        <f>INPUT!EY128</f>
        <v>0</v>
      </c>
      <c r="DC9" s="655">
        <f>INPUT!FP213</f>
        <v>498</v>
      </c>
      <c r="DD9" s="635">
        <f>INPUT!FQ213</f>
        <v>49.101796407185645</v>
      </c>
      <c r="DE9" s="655">
        <f>INPUT!FR213</f>
        <v>510</v>
      </c>
      <c r="DF9" s="635">
        <f>INPUT!FS213</f>
        <v>2.409638554216869</v>
      </c>
      <c r="DG9" s="655">
        <f>INPUT!FT213</f>
        <v>482</v>
      </c>
      <c r="DH9" s="635">
        <f>INPUT!FU213</f>
        <v>-5.4901960784313815</v>
      </c>
      <c r="DI9" s="655">
        <f>INPUT!FV213</f>
        <v>535</v>
      </c>
      <c r="DJ9" s="635">
        <f>INPUT!FW213</f>
        <v>10.99585062240665</v>
      </c>
      <c r="DK9" s="655">
        <f>INPUT!FX213</f>
        <v>491</v>
      </c>
      <c r="DL9" s="635">
        <f>INPUT!FY213</f>
        <v>-8.2242990654205528</v>
      </c>
      <c r="DM9" s="655">
        <f>INPUT!FZ213</f>
        <v>565</v>
      </c>
      <c r="DN9" s="635">
        <f>INPUT!GA213</f>
        <v>15.071283095723004</v>
      </c>
      <c r="DO9" s="655">
        <f>INPUT!GB213</f>
        <v>594</v>
      </c>
      <c r="DP9" s="635">
        <f>INPUT!GC213</f>
        <v>5.132743362831846</v>
      </c>
      <c r="DQ9" s="655">
        <f>INPUT!GD213</f>
        <v>638</v>
      </c>
      <c r="DR9" s="635">
        <f>INPUT!GE213</f>
        <v>7.407407407407419</v>
      </c>
      <c r="DS9" s="655">
        <f>INPUT!GF213</f>
        <v>1039</v>
      </c>
      <c r="DT9" s="635">
        <f>INPUT!GG213</f>
        <v>62.852664576802511</v>
      </c>
      <c r="DU9" s="655">
        <f>INPUT!GH213</f>
        <v>1215</v>
      </c>
      <c r="DV9" s="635">
        <f>INPUT!GI213</f>
        <v>16.939364773820984</v>
      </c>
      <c r="DW9" s="655">
        <f>INPUT!GJ128</f>
        <v>635</v>
      </c>
      <c r="DX9" s="655">
        <f>INPUT!GK128</f>
        <v>27.510040160642575</v>
      </c>
      <c r="DY9" s="655">
        <f>INPUT!GL128</f>
        <v>79</v>
      </c>
      <c r="DZ9" s="655" t="str">
        <f>INPUT!GM128</f>
        <v>NM</v>
      </c>
      <c r="EA9" s="655">
        <f>INPUT!GN128</f>
        <v>-191</v>
      </c>
      <c r="EB9" s="655" t="str">
        <f>INPUT!GO128</f>
        <v>NM</v>
      </c>
      <c r="EC9" s="655">
        <f>INPUT!GP128</f>
        <v>436.07304507159097</v>
      </c>
      <c r="ED9" s="655" t="str">
        <f>INPUT!GQ128</f>
        <v>NM</v>
      </c>
      <c r="EE9" s="655">
        <f>INPUT!GR128</f>
        <v>432.33203523491011</v>
      </c>
      <c r="EF9" s="655">
        <f>INPUT!GS128</f>
        <v>-0.85788605348598423</v>
      </c>
      <c r="EG9" s="655">
        <f>INPUT!GT128</f>
        <v>427.44700049098174</v>
      </c>
      <c r="EH9" s="655">
        <f>INPUT!GU128</f>
        <v>-1.1299266179232035</v>
      </c>
      <c r="EI9" s="655">
        <f>INPUT!GV128</f>
        <v>428.09328543534866</v>
      </c>
      <c r="EJ9" s="655">
        <f>INPUT!GW128</f>
        <v>0.15119650942094154</v>
      </c>
      <c r="EK9" s="655">
        <f>INPUT!GX128</f>
        <v>427.94359380240439</v>
      </c>
      <c r="EL9" s="655">
        <f>INPUT!GY128</f>
        <v>-3.4967059292227987E-2</v>
      </c>
      <c r="EM9" s="655" t="str">
        <f>INPUT!GZ128</f>
        <v>NM</v>
      </c>
    </row>
    <row r="10" spans="1:224" s="632" customFormat="1" ht="12.75" customHeight="1" x14ac:dyDescent="0.2">
      <c r="A10" s="829" t="s">
        <v>827</v>
      </c>
      <c r="B10" s="655">
        <f>INPUT!AY316</f>
        <v>154</v>
      </c>
      <c r="C10" s="635">
        <f>INPUT!AZ316</f>
        <v>14.925373134328353</v>
      </c>
      <c r="D10" s="655">
        <f>INPUT!BA316</f>
        <v>127</v>
      </c>
      <c r="E10" s="635">
        <f>INPUT!BB316</f>
        <v>20.952380952380949</v>
      </c>
      <c r="F10" s="655">
        <f>INPUT!BC316</f>
        <v>102</v>
      </c>
      <c r="G10" s="635">
        <f>INPUT!BD316</f>
        <v>-12.068965517241381</v>
      </c>
      <c r="H10" s="655">
        <f>INPUT!BE316</f>
        <v>167</v>
      </c>
      <c r="I10" s="635">
        <f>INPUT!BF316</f>
        <v>53.211009174311926</v>
      </c>
      <c r="J10" s="655">
        <f>INPUT!BG316</f>
        <v>175</v>
      </c>
      <c r="K10" s="635">
        <f>INPUT!BH316</f>
        <v>13.63636363636364</v>
      </c>
      <c r="L10" s="655">
        <f>INPUT!BI316</f>
        <v>167</v>
      </c>
      <c r="M10" s="635">
        <f>INPUT!BJ316</f>
        <v>31.496062992125985</v>
      </c>
      <c r="N10" s="655">
        <f>INPUT!BK316</f>
        <v>161</v>
      </c>
      <c r="O10" s="635">
        <f>INPUT!BL316</f>
        <v>57.843137254901961</v>
      </c>
      <c r="P10" s="655">
        <f>INPUT!BM316</f>
        <v>198</v>
      </c>
      <c r="Q10" s="635">
        <f>INPUT!BN316</f>
        <v>18.562874251497007</v>
      </c>
      <c r="R10" s="655">
        <f>INPUT!BO316</f>
        <v>119</v>
      </c>
      <c r="S10" s="635">
        <f>INPUT!BP316</f>
        <v>-32</v>
      </c>
      <c r="T10" s="655">
        <f>INPUT!BQ316</f>
        <v>190</v>
      </c>
      <c r="U10" s="635">
        <f>INPUT!BR316</f>
        <v>13.772455089820369</v>
      </c>
      <c r="V10" s="655">
        <f>INPUT!BS316</f>
        <v>-8</v>
      </c>
      <c r="W10" s="635" t="str">
        <f>INPUT!BT316</f>
        <v>NM</v>
      </c>
      <c r="X10" s="655">
        <f>INPUT!BU316</f>
        <v>-69</v>
      </c>
      <c r="Y10" s="635" t="str">
        <f>INPUT!BV316</f>
        <v>NM</v>
      </c>
      <c r="Z10" s="655">
        <f>INPUT!BW316</f>
        <v>-1</v>
      </c>
      <c r="AA10" s="635" t="str">
        <f>INPUT!BX316</f>
        <v>NM</v>
      </c>
      <c r="AB10" s="655">
        <f>INPUT!BY316</f>
        <v>33</v>
      </c>
      <c r="AC10" s="635" t="str">
        <f>INPUT!BZ316</f>
        <v>NM</v>
      </c>
      <c r="AD10" s="655">
        <f>INPUT!CA316</f>
        <v>29</v>
      </c>
      <c r="AE10" s="635" t="str">
        <f>INPUT!CB316</f>
        <v>NM</v>
      </c>
      <c r="AF10" s="655">
        <f>INPUT!CC316</f>
        <v>-6</v>
      </c>
      <c r="AG10" s="635" t="str">
        <f>INPUT!CD316</f>
        <v>NM</v>
      </c>
      <c r="AH10" s="655">
        <f>INPUT!CE316</f>
        <v>83</v>
      </c>
      <c r="AI10" s="635" t="str">
        <f>INPUT!CF316</f>
        <v>NM</v>
      </c>
      <c r="AJ10" s="655">
        <f>INPUT!CG316</f>
        <v>124</v>
      </c>
      <c r="AK10" s="635" t="str">
        <f>INPUT!CH316</f>
        <v>NM</v>
      </c>
      <c r="AL10" s="655">
        <f>INPUT!CI316</f>
        <v>148</v>
      </c>
      <c r="AM10" s="635" t="str">
        <f>INPUT!CJ316</f>
        <v>NM</v>
      </c>
      <c r="AN10" s="655">
        <f>INPUT!CK316</f>
        <v>132</v>
      </c>
      <c r="AO10" s="635" t="str">
        <f>INPUT!CL316</f>
        <v>NM</v>
      </c>
      <c r="AP10" s="655">
        <f>INPUT!CM316</f>
        <v>154</v>
      </c>
      <c r="AQ10" s="635">
        <f>INPUT!CN316</f>
        <v>85.542168674698786</v>
      </c>
      <c r="AR10" s="655">
        <f>INPUT!CO316</f>
        <v>227</v>
      </c>
      <c r="AS10" s="635">
        <f>INPUT!CP316</f>
        <v>83.064516129032256</v>
      </c>
      <c r="AT10" s="655">
        <f>INPUT!CQ316</f>
        <v>123</v>
      </c>
      <c r="AU10" s="635">
        <f>INPUT!CR316</f>
        <v>-16.891891891891902</v>
      </c>
      <c r="AV10" s="655">
        <f>INPUT!CS316</f>
        <v>256</v>
      </c>
      <c r="AW10" s="635">
        <f>INPUT!CT316</f>
        <v>93.939393939393938</v>
      </c>
      <c r="AX10" s="655">
        <f>INPUT!CU316</f>
        <v>147</v>
      </c>
      <c r="AY10" s="635">
        <f>INPUT!CV316</f>
        <v>-4.5454545454545467</v>
      </c>
      <c r="AZ10" s="655">
        <f>INPUT!CW316</f>
        <v>55</v>
      </c>
      <c r="BA10" s="635" t="str">
        <f>INPUT!CX316</f>
        <v>NM</v>
      </c>
      <c r="BB10" s="655">
        <f>INPUT!CY316</f>
        <v>197</v>
      </c>
      <c r="BC10" s="635">
        <f>INPUT!CZ316</f>
        <v>60.162601626016254</v>
      </c>
      <c r="BD10" s="655">
        <f>INPUT!DA316</f>
        <v>185</v>
      </c>
      <c r="BE10" s="635">
        <f>INPUT!DB316</f>
        <v>-27.734375</v>
      </c>
      <c r="BF10" s="655">
        <f>INPUT!DC316</f>
        <v>169</v>
      </c>
      <c r="BG10" s="635">
        <f>INPUT!DD316</f>
        <v>14.965986394557817</v>
      </c>
      <c r="BH10" s="655">
        <f>INPUT!DE316</f>
        <v>172</v>
      </c>
      <c r="BI10" s="635" t="str">
        <f>INPUT!DF316</f>
        <v>NM</v>
      </c>
      <c r="BJ10" s="655">
        <f>INPUT!DG316</f>
        <v>173</v>
      </c>
      <c r="BK10" s="635">
        <f>INPUT!DH316</f>
        <v>-12.182741116751274</v>
      </c>
      <c r="BL10" s="655">
        <f>INPUT!DI316</f>
        <v>209</v>
      </c>
      <c r="BM10" s="635">
        <f>INPUT!DJ316</f>
        <v>12.972972972972968</v>
      </c>
      <c r="BN10" s="655">
        <f>INPUT!DK316</f>
        <v>193</v>
      </c>
      <c r="BO10" s="635">
        <f>INPUT!DL316</f>
        <v>14.201183431952671</v>
      </c>
      <c r="BP10" s="655">
        <f>INPUT!DM316</f>
        <v>200</v>
      </c>
      <c r="BQ10" s="635">
        <f>INPUT!DN316</f>
        <v>16.279069767441868</v>
      </c>
      <c r="BR10" s="655">
        <f>INPUT!DO316</f>
        <v>200</v>
      </c>
      <c r="BS10" s="635">
        <f>INPUT!DP316</f>
        <v>15.606936416184979</v>
      </c>
      <c r="BT10" s="655">
        <f>INPUT!DQ316</f>
        <v>192</v>
      </c>
      <c r="BU10" s="635">
        <f>INPUT!DR316</f>
        <v>-8.1339712918660325</v>
      </c>
      <c r="BV10" s="655">
        <f>INPUT!DS316</f>
        <v>205</v>
      </c>
      <c r="BW10" s="635">
        <f>INPUT!DT316</f>
        <v>6.2176165803108745</v>
      </c>
      <c r="BX10" s="655">
        <f>INPUT!DU316</f>
        <v>196</v>
      </c>
      <c r="BY10" s="635">
        <f>INPUT!DV316</f>
        <v>-2</v>
      </c>
      <c r="BZ10" s="655">
        <f>INPUT!DW316</f>
        <v>180</v>
      </c>
      <c r="CA10" s="635">
        <f>INPUT!DX316</f>
        <v>-10</v>
      </c>
      <c r="CB10" s="655">
        <f>INPUT!DY316</f>
        <v>198</v>
      </c>
      <c r="CC10" s="635">
        <f>INPUT!DZ316</f>
        <v>3.125</v>
      </c>
      <c r="CD10" s="655">
        <f>INPUT!EA316</f>
        <v>165</v>
      </c>
      <c r="CE10" s="635">
        <f>INPUT!EB316</f>
        <v>-19.512195121951208</v>
      </c>
      <c r="CF10" s="655">
        <f>INPUT!EC316</f>
        <v>207</v>
      </c>
      <c r="CG10" s="635">
        <f>INPUT!ED316</f>
        <v>5.6122448979591724</v>
      </c>
      <c r="CH10" s="655">
        <f>INPUT!EE316</f>
        <v>191</v>
      </c>
      <c r="CI10" s="635">
        <f>INPUT!EF316</f>
        <v>6.1111111111111143</v>
      </c>
      <c r="CJ10" s="655">
        <f>INPUT!EG316</f>
        <v>224</v>
      </c>
      <c r="CK10" s="635">
        <f>INPUT!EH316</f>
        <v>13.131313131313121</v>
      </c>
      <c r="CL10" s="655">
        <f>SUM(CL8:CL9)</f>
        <v>586</v>
      </c>
      <c r="CM10" s="655">
        <f t="shared" ref="CM10:DB10" si="0">SUM(CM8:CM9)</f>
        <v>41.016260162601625</v>
      </c>
      <c r="CN10" s="655">
        <f t="shared" si="0"/>
        <v>55</v>
      </c>
      <c r="CO10" s="655">
        <f t="shared" si="0"/>
        <v>135.39449244932567</v>
      </c>
      <c r="CP10" s="655">
        <f t="shared" si="0"/>
        <v>727</v>
      </c>
      <c r="CQ10" s="655">
        <f t="shared" si="0"/>
        <v>33.264386835815401</v>
      </c>
      <c r="CR10" s="655">
        <f t="shared" si="0"/>
        <v>639</v>
      </c>
      <c r="CS10" s="655">
        <f t="shared" si="0"/>
        <v>-0.78645511367540166</v>
      </c>
      <c r="CT10" s="655">
        <f t="shared" si="0"/>
        <v>622.74350994784834</v>
      </c>
      <c r="CU10" s="655">
        <f t="shared" si="0"/>
        <v>-6.3909738879904125</v>
      </c>
      <c r="CV10" s="655">
        <f t="shared" si="0"/>
        <v>637.44650085509784</v>
      </c>
      <c r="CW10" s="655">
        <f t="shared" si="0"/>
        <v>-14.42937971645911</v>
      </c>
      <c r="CX10" s="655">
        <f t="shared" si="0"/>
        <v>638.21405254805597</v>
      </c>
      <c r="CY10" s="655">
        <f t="shared" si="0"/>
        <v>-33.207706689904114</v>
      </c>
      <c r="CZ10" s="655">
        <f t="shared" si="0"/>
        <v>617.1282972320646</v>
      </c>
      <c r="DA10" s="655">
        <f t="shared" si="0"/>
        <v>8.4160652854986751</v>
      </c>
      <c r="DB10" s="655">
        <f t="shared" si="0"/>
        <v>0</v>
      </c>
      <c r="DC10" s="655">
        <f>INPUT!FP316</f>
        <v>464</v>
      </c>
      <c r="DD10" s="635">
        <f>INPUT!FQ316</f>
        <v>74.436090225563902</v>
      </c>
      <c r="DE10" s="655">
        <f>INPUT!FR316</f>
        <v>550</v>
      </c>
      <c r="DF10" s="635">
        <f>INPUT!FS316</f>
        <v>18.534482758620683</v>
      </c>
      <c r="DG10" s="655">
        <f>INPUT!FT316</f>
        <v>701</v>
      </c>
      <c r="DH10" s="635">
        <f>INPUT!FU316</f>
        <v>27.454545454545467</v>
      </c>
      <c r="DI10" s="655">
        <f>INPUT!FV316</f>
        <v>232</v>
      </c>
      <c r="DJ10" s="635" t="str">
        <f>INPUT!FW316</f>
        <v>NM</v>
      </c>
      <c r="DK10" s="655">
        <f>INPUT!FX316</f>
        <v>55</v>
      </c>
      <c r="DL10" s="635" t="str">
        <f>INPUT!FY316</f>
        <v>NM</v>
      </c>
      <c r="DM10" s="655">
        <f>INPUT!FZ316</f>
        <v>487</v>
      </c>
      <c r="DN10" s="635" t="str">
        <f>INPUT!GA316</f>
        <v>NM</v>
      </c>
      <c r="DO10" s="655">
        <f>INPUT!GB316</f>
        <v>760</v>
      </c>
      <c r="DP10" s="635">
        <f>INPUT!GC316</f>
        <v>56.057494866529765</v>
      </c>
      <c r="DQ10" s="655">
        <f>INPUT!GD316</f>
        <v>584</v>
      </c>
      <c r="DR10" s="635">
        <f>INPUT!GE316</f>
        <v>-23.15789473684211</v>
      </c>
      <c r="DS10" s="655">
        <f>INPUT!GF316</f>
        <v>723</v>
      </c>
      <c r="DT10" s="635">
        <f>INPUT!GG316</f>
        <v>23.80136986301369</v>
      </c>
      <c r="DU10" s="655">
        <f>INPUT!GH316</f>
        <v>785</v>
      </c>
      <c r="DV10" s="635">
        <f>INPUT!GI316</f>
        <v>8.5753803596127227</v>
      </c>
      <c r="DW10" s="655">
        <f t="shared" ref="DW10" si="1">SUM(DW8:DW9)</f>
        <v>2432</v>
      </c>
      <c r="DX10" s="655">
        <f t="shared" ref="DX10" si="2">SUM(DX8:DX9)</f>
        <v>50.004927686204937</v>
      </c>
      <c r="DY10" s="655">
        <f t="shared" ref="DY10" si="3">SUM(DY8:DY9)</f>
        <v>1844</v>
      </c>
      <c r="DZ10" s="655">
        <f t="shared" ref="DZ10" si="4">SUM(DZ8:DZ9)</f>
        <v>-1.780745687256541</v>
      </c>
      <c r="EA10" s="655">
        <f t="shared" ref="EA10" si="5">SUM(EA8:EA9)</f>
        <v>2007</v>
      </c>
      <c r="EB10" s="655">
        <f t="shared" ref="EB10" si="6">SUM(EB8:EB9)</f>
        <v>24.532577903682721</v>
      </c>
      <c r="EC10" s="655">
        <f t="shared" ref="EC10" si="7">SUM(EC8:EC9)</f>
        <v>2515.5323605830663</v>
      </c>
      <c r="ED10" s="655">
        <f t="shared" ref="ED10" si="8">SUM(ED8:ED9)</f>
        <v>-5.3931157638091349</v>
      </c>
      <c r="EE10" s="655">
        <f t="shared" ref="EE10" si="9">SUM(EE8:EE9)</f>
        <v>2478.2128461797956</v>
      </c>
      <c r="EF10" s="655">
        <f t="shared" ref="EF10" si="10">SUM(EF8:EF9)</f>
        <v>-2.472656985339043</v>
      </c>
      <c r="EG10" s="655">
        <f t="shared" ref="EG10" si="11">SUM(EG8:EG9)</f>
        <v>2443.6431545647856</v>
      </c>
      <c r="EH10" s="655">
        <f t="shared" ref="EH10" si="12">SUM(EH8:EH9)</f>
        <v>-2.5808741370688608</v>
      </c>
      <c r="EI10" s="655">
        <f t="shared" ref="EI10" si="13">SUM(EI8:EI9)</f>
        <v>2418.1669916557989</v>
      </c>
      <c r="EJ10" s="655">
        <f t="shared" ref="EJ10" si="14">SUM(EJ8:EJ9)</f>
        <v>-1.1444337694371995</v>
      </c>
      <c r="EK10" s="655">
        <f t="shared" ref="EK10" si="15">SUM(EK8:EK9)</f>
        <v>2395.4174967177505</v>
      </c>
      <c r="EL10" s="655">
        <f t="shared" ref="EL10" si="16">SUM(EL8:EL9)</f>
        <v>-1.170593505411432</v>
      </c>
      <c r="EM10" s="655">
        <f t="shared" ref="EM10" si="17">SUM(EM8:EM9)</f>
        <v>-2.1915765948057664</v>
      </c>
    </row>
    <row r="11" spans="1:224" s="632" customFormat="1" ht="12.75" hidden="1" customHeight="1" outlineLevel="1" x14ac:dyDescent="0.2">
      <c r="A11" s="644" t="s">
        <v>568</v>
      </c>
      <c r="B11" s="655">
        <f>INPUT!AY346</f>
        <v>-107</v>
      </c>
      <c r="C11" s="635" t="str">
        <f>INPUT!AZ346</f>
        <v>NM</v>
      </c>
      <c r="D11" s="655">
        <f>INPUT!BA346</f>
        <v>30</v>
      </c>
      <c r="E11" s="635" t="str">
        <f>INPUT!BB346</f>
        <v>NM</v>
      </c>
      <c r="F11" s="655">
        <f>INPUT!BC346</f>
        <v>51</v>
      </c>
      <c r="G11" s="635">
        <f>INPUT!BD346</f>
        <v>64.516129032258078</v>
      </c>
      <c r="H11" s="655">
        <f>INPUT!BE346</f>
        <v>53</v>
      </c>
      <c r="I11" s="635" t="str">
        <f>INPUT!BF346</f>
        <v>NM</v>
      </c>
      <c r="J11" s="655"/>
      <c r="K11" s="635"/>
      <c r="L11" s="655"/>
      <c r="M11" s="635"/>
      <c r="N11" s="655"/>
      <c r="O11" s="635"/>
      <c r="P11" s="655"/>
      <c r="Q11" s="635"/>
      <c r="R11" s="655"/>
      <c r="S11" s="635"/>
      <c r="T11" s="655"/>
      <c r="U11" s="635"/>
      <c r="V11" s="655"/>
      <c r="W11" s="635"/>
      <c r="X11" s="655"/>
      <c r="Y11" s="635"/>
      <c r="Z11" s="655"/>
      <c r="AA11" s="635"/>
      <c r="AB11" s="655"/>
      <c r="AC11" s="635"/>
      <c r="AD11" s="655"/>
      <c r="AE11" s="635"/>
      <c r="AF11" s="655"/>
      <c r="AG11" s="635"/>
      <c r="AH11" s="655"/>
      <c r="AI11" s="635"/>
      <c r="AJ11" s="655"/>
      <c r="AK11" s="635"/>
      <c r="AL11" s="655"/>
      <c r="AM11" s="635"/>
      <c r="AN11" s="655"/>
      <c r="AO11" s="635"/>
      <c r="AP11" s="655"/>
      <c r="AQ11" s="635"/>
      <c r="AR11" s="655"/>
      <c r="AS11" s="635"/>
      <c r="AT11" s="655"/>
      <c r="AU11" s="635"/>
      <c r="AV11" s="655"/>
      <c r="AW11" s="635"/>
      <c r="AX11" s="655"/>
      <c r="AY11" s="635"/>
      <c r="AZ11" s="655"/>
      <c r="BA11" s="635"/>
      <c r="BB11" s="655"/>
      <c r="BC11" s="635"/>
      <c r="BD11" s="655"/>
      <c r="BE11" s="635"/>
      <c r="BF11" s="655"/>
      <c r="BG11" s="635"/>
      <c r="BH11" s="655"/>
      <c r="BI11" s="635"/>
      <c r="BJ11" s="655"/>
      <c r="BK11" s="635"/>
      <c r="BL11" s="655"/>
      <c r="BM11" s="635"/>
      <c r="BN11" s="655"/>
      <c r="BO11" s="635"/>
      <c r="BP11" s="655"/>
      <c r="BQ11" s="635"/>
      <c r="BR11" s="655"/>
      <c r="BS11" s="635"/>
      <c r="BT11" s="655"/>
      <c r="BU11" s="635"/>
      <c r="BV11" s="655"/>
      <c r="BW11" s="635"/>
      <c r="BX11" s="655"/>
      <c r="BY11" s="635"/>
      <c r="BZ11" s="655"/>
      <c r="CA11" s="635"/>
      <c r="CB11" s="655"/>
      <c r="CC11" s="635"/>
      <c r="CD11" s="655"/>
      <c r="CE11" s="635"/>
      <c r="CF11" s="655"/>
      <c r="CG11" s="635"/>
      <c r="CH11" s="655"/>
      <c r="CI11" s="635"/>
      <c r="CJ11" s="655"/>
      <c r="CK11" s="635"/>
      <c r="CL11" s="655"/>
      <c r="CM11" s="655"/>
      <c r="CN11" s="655"/>
      <c r="CO11" s="655"/>
      <c r="CP11" s="655"/>
      <c r="CQ11" s="655"/>
      <c r="CR11" s="655"/>
      <c r="CS11" s="655"/>
      <c r="CT11" s="655"/>
      <c r="CU11" s="655"/>
      <c r="CV11" s="655"/>
      <c r="CW11" s="655"/>
      <c r="CX11" s="655"/>
      <c r="CY11" s="655"/>
      <c r="CZ11" s="655"/>
      <c r="DA11" s="655"/>
      <c r="DB11" s="655"/>
      <c r="DC11" s="655">
        <f>INPUT!FP346</f>
        <v>-255</v>
      </c>
      <c r="DD11" s="635">
        <f>INPUT!FQ346</f>
        <v>3.9119804400977927</v>
      </c>
      <c r="DE11" s="655">
        <f>INPUT!FR346</f>
        <v>27</v>
      </c>
      <c r="DF11" s="635" t="str">
        <f>INPUT!FS346</f>
        <v>NM</v>
      </c>
      <c r="DG11" s="655"/>
      <c r="DH11" s="635"/>
      <c r="DI11" s="655"/>
      <c r="DJ11" s="635"/>
      <c r="DK11" s="655"/>
      <c r="DL11" s="635"/>
      <c r="DM11" s="655"/>
      <c r="DN11" s="635"/>
      <c r="DO11" s="655"/>
      <c r="DP11" s="635"/>
      <c r="DQ11" s="655"/>
      <c r="DR11" s="635"/>
      <c r="DS11" s="655"/>
      <c r="DT11" s="635"/>
      <c r="DU11" s="655"/>
      <c r="DV11" s="635"/>
      <c r="DW11" s="655"/>
      <c r="DX11" s="655"/>
      <c r="DY11" s="655"/>
      <c r="DZ11" s="655"/>
      <c r="EA11" s="655"/>
      <c r="EB11" s="655"/>
      <c r="EC11" s="655"/>
      <c r="ED11" s="655"/>
      <c r="EE11" s="655"/>
      <c r="EF11" s="655"/>
      <c r="EG11" s="655"/>
      <c r="EH11" s="655"/>
      <c r="EI11" s="655"/>
      <c r="EJ11" s="655"/>
      <c r="EK11" s="655"/>
      <c r="EL11" s="655"/>
      <c r="EM11" s="655"/>
    </row>
    <row r="12" spans="1:224" s="632" customFormat="1" ht="12.75" customHeight="1" collapsed="1" x14ac:dyDescent="0.2">
      <c r="A12" s="826" t="s">
        <v>117</v>
      </c>
      <c r="B12" s="655">
        <f>B8+B9+B10+B11</f>
        <v>302</v>
      </c>
      <c r="C12" s="635"/>
      <c r="D12" s="655">
        <f>D8+D9+D10+D11</f>
        <v>422</v>
      </c>
      <c r="E12" s="635"/>
      <c r="F12" s="655">
        <f>F8+F9+F10+F11</f>
        <v>454</v>
      </c>
      <c r="G12" s="635"/>
      <c r="H12" s="655">
        <f>H8+H9+H10+H11</f>
        <v>495</v>
      </c>
      <c r="I12" s="635"/>
      <c r="J12" s="655">
        <f>J8+J9+J10+J11</f>
        <v>489</v>
      </c>
      <c r="K12" s="629">
        <f>IF(ISERROR(J12/B12),"NA",IF(OR(J12/B12&gt;2,J12/B12&lt;0.5),"NM",J12/B12*100-100))</f>
        <v>61.920529801324506</v>
      </c>
      <c r="L12" s="655">
        <f>L8+L9+L10+L11</f>
        <v>485</v>
      </c>
      <c r="M12" s="629">
        <f>IF(ISERROR(L12/D12),"NA",IF(OR(L12/D12&gt;2,L12/D12&lt;0.5),"NM",L12/D12*100-100))</f>
        <v>14.928909952606631</v>
      </c>
      <c r="N12" s="655">
        <f>N8+N9+N10+N11</f>
        <v>431</v>
      </c>
      <c r="O12" s="629">
        <f>IF(ISERROR(N12/F12),"NA",IF(OR(N12/F12&gt;2,N12/F12&lt;0.5),"NM",N12/F12*100-100))</f>
        <v>-5.0660792951541822</v>
      </c>
      <c r="P12" s="655">
        <f>P8+P9+P10+P11</f>
        <v>500</v>
      </c>
      <c r="Q12" s="629">
        <f>IF(ISERROR(P12/H12),"NA",IF(OR(P12/H12&gt;2,P12/H12&lt;0.5),"NM",P12/H12*100-100))</f>
        <v>1.0101010101010104</v>
      </c>
      <c r="R12" s="655">
        <f>R8+R9+R10+R11</f>
        <v>358</v>
      </c>
      <c r="S12" s="629">
        <f>IF(ISERROR(R12/J12),"NA",IF(OR(R12/J12&gt;2,R12/J12&lt;0.5),"NM",R12/J12*100-100))</f>
        <v>-26.789366053169744</v>
      </c>
      <c r="T12" s="655">
        <f>T8+T9+T10+T11</f>
        <v>485</v>
      </c>
      <c r="U12" s="629">
        <f>IF(ISERROR(T12/L12),"NA",IF(OR(T12/L12&gt;2,T12/L12&lt;0.5),"NM",T12/L12*100-100))</f>
        <v>0</v>
      </c>
      <c r="V12" s="655">
        <f>V8+V9+V10+V11</f>
        <v>-182</v>
      </c>
      <c r="W12" s="629" t="str">
        <f>IF(ISERROR(V12/N12),"NA",IF(OR(V12/N12&gt;2,V12/N12&lt;0.5),"NM",V12/N12*100-100))</f>
        <v>NM</v>
      </c>
      <c r="X12" s="655">
        <f>X8+X9+X10+X11</f>
        <v>-975</v>
      </c>
      <c r="Y12" s="629" t="str">
        <f>IF(ISERROR(X12/P12),"NA",IF(OR(X12/P12&gt;2,X12/P12&lt;0.5),"NM",X12/P12*100-100))</f>
        <v>NM</v>
      </c>
      <c r="Z12" s="655">
        <f>Z8+Z9+Z10+Z11</f>
        <v>-105</v>
      </c>
      <c r="AA12" s="629" t="str">
        <f>IF(ISERROR(Z12/R12),"NA",IF(OR(Z12/R12&gt;2,Z12/R12&lt;0.5),"NM",Z12/R12*100-100))</f>
        <v>NM</v>
      </c>
      <c r="AB12" s="655">
        <f>AB8+AB9+AB10+AB11</f>
        <v>627</v>
      </c>
      <c r="AC12" s="629">
        <f>IF(ISERROR(AB12/T12),"NA",IF(OR(AB12/T12&gt;2,AB12/T12&lt;0.5),"NM",AB12/T12*100-100))</f>
        <v>29.278350515463927</v>
      </c>
      <c r="AD12" s="655">
        <f>AD8+AD9+AD10+AD11</f>
        <v>461</v>
      </c>
      <c r="AE12" s="629" t="str">
        <f>IF(ISERROR(AD12/V12),"NA",IF(OR(AD12/V12&gt;2,AD12/V12&lt;0.5),"NM",AD12/V12*100-100))</f>
        <v>NM</v>
      </c>
      <c r="AF12" s="655">
        <f>AF8+AF9+AF10+AF11</f>
        <v>323</v>
      </c>
      <c r="AG12" s="629" t="str">
        <f>IF(ISERROR(AF12/X12),"NA",IF(OR(AF12/X12&gt;2,AF12/X12&lt;0.5),"NM",AF12/X12*100-100))</f>
        <v>NM</v>
      </c>
      <c r="AH12" s="655">
        <f>AH8+AH9+AH10+AH11</f>
        <v>475</v>
      </c>
      <c r="AI12" s="629" t="str">
        <f>IF(ISERROR(AH12/Z12),"NA",IF(OR(AH12/Z12&gt;2,AH12/Z12&lt;0.5),"NM",AH12/Z12*100-100))</f>
        <v>NM</v>
      </c>
      <c r="AJ12" s="655">
        <f>AJ8+AJ9+AJ10+AJ11</f>
        <v>114</v>
      </c>
      <c r="AK12" s="629" t="str">
        <f>IF(ISERROR(AJ12/AB12),"NA",IF(OR(AJ12/AB12&gt;2,AJ12/AB12&lt;0.5),"NM",AJ12/AB12*100-100))</f>
        <v>NM</v>
      </c>
      <c r="AL12" s="655">
        <f>AL8+AL9+AL10+AL11</f>
        <v>818</v>
      </c>
      <c r="AM12" s="629">
        <f>IF(ISERROR(AL12/AD12),"NA",IF(OR(AL12/AD12&gt;2,AL12/AD12&lt;0.5),"NM",AL12/AD12*100-100))</f>
        <v>77.440347071583517</v>
      </c>
      <c r="AN12" s="655">
        <f>AN8+AN9+AN10+AN11</f>
        <v>595</v>
      </c>
      <c r="AO12" s="629">
        <f>IF(ISERROR(AN12/AF12),"NA",IF(OR(AN12/AF12&gt;2,AN12/AF12&lt;0.5),"NM",AN12/AF12*100-100))</f>
        <v>84.21052631578948</v>
      </c>
      <c r="AP12" s="655">
        <f>AP8+AP9+AP10+AP11</f>
        <v>600</v>
      </c>
      <c r="AQ12" s="629">
        <f>IF(ISERROR(AP12/AH12),"NA",IF(OR(AP12/AH12&gt;2,AP12/AH12&lt;0.5),"NM",AP12/AH12*100-100))</f>
        <v>26.315789473684205</v>
      </c>
      <c r="AR12" s="655">
        <f>AR8+AR9+AR10+AR11</f>
        <v>605</v>
      </c>
      <c r="AS12" s="629" t="str">
        <f>IF(ISERROR(AR12/AJ12),"NA",IF(OR(AR12/AJ12&gt;2,AR12/AJ12&lt;0.5),"NM",AR12/AJ12*100-100))</f>
        <v>NM</v>
      </c>
      <c r="AT12" s="655">
        <f>AT8+AT9+AT10+AT11</f>
        <v>42</v>
      </c>
      <c r="AU12" s="629" t="str">
        <f>IF(ISERROR(AT12/AL12),"NA",IF(OR(AT12/AL12&gt;2,AT12/AL12&lt;0.5),"NM",AT12/AL12*100-100))</f>
        <v>NM</v>
      </c>
      <c r="AV12" s="655">
        <f>AV8+AV9+AV10+AV11</f>
        <v>769</v>
      </c>
      <c r="AW12" s="629">
        <f>IF(ISERROR(AV12/AN12),"NA",IF(OR(AV12/AN12&gt;2,AV12/AN12&lt;0.5),"NM",AV12/AN12*100-100))</f>
        <v>29.243697478991606</v>
      </c>
      <c r="AX12" s="655">
        <f>AX8+AX9+AX10+AX11</f>
        <v>724</v>
      </c>
      <c r="AY12" s="629">
        <f>IF(ISERROR(AX12/AP12),"NA",IF(OR(AX12/AP12&gt;2,AX12/AP12&lt;0.5),"NM",AX12/AP12*100-100))</f>
        <v>20.666666666666671</v>
      </c>
      <c r="AZ12" s="655">
        <f>AZ8+AZ9+AZ10+AZ11</f>
        <v>309</v>
      </c>
      <c r="BA12" s="629">
        <f>IF(ISERROR(AZ12/AR12),"NA",IF(OR(AZ12/AR12&gt;2,AZ12/AR12&lt;0.5),"NM",AZ12/AR12*100-100))</f>
        <v>-48.925619834710744</v>
      </c>
      <c r="BB12" s="655">
        <f>BB8+BB9+BB10+BB11</f>
        <v>514</v>
      </c>
      <c r="BC12" s="629" t="str">
        <f>IF(ISERROR(BB12/AT12),"NA",IF(OR(BB12/AT12&gt;2,BB12/AT12&lt;0.5),"NM",BB12/AT12*100-100))</f>
        <v>NM</v>
      </c>
      <c r="BD12" s="655">
        <f>BD8+BD9+BD10+BD11</f>
        <v>714</v>
      </c>
      <c r="BE12" s="629">
        <f>IF(ISERROR(BD12/AV12),"NA",IF(OR(BD12/AV12&gt;2,BD12/AV12&lt;0.5),"NM",BD12/AV12*100-100))</f>
        <v>-7.1521456436931032</v>
      </c>
      <c r="BF12" s="655">
        <f>BF8+BF9+BF10+BF11</f>
        <v>769</v>
      </c>
      <c r="BG12" s="629">
        <f>IF(ISERROR(BF12/AX12),"NA",IF(OR(BF12/AX12&gt;2,BF12/AX12&lt;0.5),"NM",BF12/AX12*100-100))</f>
        <v>6.2154696132596712</v>
      </c>
      <c r="BH12" s="655">
        <f>BH8+BH9+BH10+BH11</f>
        <v>851</v>
      </c>
      <c r="BI12" s="629" t="str">
        <f>IF(ISERROR(BH12/AZ12),"NA",IF(OR(BH12/AZ12&gt;2,BH12/AZ12&lt;0.5),"NM",BH12/AZ12*100-100))</f>
        <v>NM</v>
      </c>
      <c r="BJ12" s="655">
        <f>BJ8+BJ9+BJ10+BJ11</f>
        <v>1231</v>
      </c>
      <c r="BK12" s="629" t="str">
        <f>IF(ISERROR(BJ12/BB12),"NA",IF(OR(BJ12/BB12&gt;2,BJ12/BB12&lt;0.5),"NM",BJ12/BB12*100-100))</f>
        <v>NM</v>
      </c>
      <c r="BL12" s="655">
        <f>BL8+BL9+BL10+BL11</f>
        <v>996</v>
      </c>
      <c r="BM12" s="629">
        <f>IF(ISERROR(BL12/BD12),"NA",IF(OR(BL12/BD12&gt;2,BL12/BD12&lt;0.5),"NM",BL12/BD12*100-100))</f>
        <v>39.495798319327719</v>
      </c>
      <c r="BN12" s="655">
        <f>BN8+BN9+BN10+BN11</f>
        <v>945</v>
      </c>
      <c r="BO12" s="629">
        <f>IF(ISERROR(BN12/BF12),"NA",IF(OR(BN12/BF12&gt;2,BN12/BF12&lt;0.5),"NM",BN12/BF12*100-100))</f>
        <v>22.886866059817962</v>
      </c>
      <c r="BP12" s="655">
        <f>BP8+BP9+BP10+BP11</f>
        <v>876</v>
      </c>
      <c r="BQ12" s="629">
        <f>IF(ISERROR(BP12/BH12),"NA",IF(OR(BP12/BH12&gt;2,BP12/BH12&lt;0.5),"NM",BP12/BH12*100-100))</f>
        <v>2.9377203290246854</v>
      </c>
      <c r="BR12" s="655">
        <f>BR8+BR9+BR10+BR11</f>
        <v>823</v>
      </c>
      <c r="BS12" s="629">
        <f>IF(ISERROR(BR12/BJ12),"NA",IF(OR(BR12/BJ12&gt;2,BR12/BJ12&lt;0.5),"NM",BR12/BJ12*100-100))</f>
        <v>-33.143785540211212</v>
      </c>
      <c r="BT12" s="655">
        <f>BT8+BT9+BT10+BT11</f>
        <v>823</v>
      </c>
      <c r="BU12" s="629">
        <f>IF(ISERROR(BT12/BL12),"NA",IF(OR(BT12/BL12&gt;2,BT12/BL12&lt;0.5),"NM",BT12/BL12*100-100))</f>
        <v>-17.369477911646598</v>
      </c>
      <c r="BV12" s="655">
        <f>BV8+BV9+BV10+BV11</f>
        <v>1018</v>
      </c>
      <c r="BW12" s="629">
        <f>IF(ISERROR(BV12/BN12),"NA",IF(OR(BV12/BN12&gt;2,BV12/BN12&lt;0.5),"NM",BV12/BN12*100-100))</f>
        <v>7.7248677248677353</v>
      </c>
      <c r="BX12" s="655">
        <f>BX8+BX9+BX10+BX11</f>
        <v>981</v>
      </c>
      <c r="BY12" s="629">
        <f>IF(ISERROR(BX12/BP12),"NA",IF(OR(BX12/BP12&gt;2,BX12/BP12&lt;0.5),"NM",BX12/BP12*100-100))</f>
        <v>11.986301369863</v>
      </c>
      <c r="BZ12" s="655">
        <f>BZ8+BZ9+BZ10+BZ11</f>
        <v>732</v>
      </c>
      <c r="CA12" s="629">
        <f>IF(ISERROR(BZ12/BR12),"NA",IF(OR(BZ12/BR12&gt;2,BZ12/BR12&lt;0.5),"NM",BZ12/BR12*100-100))</f>
        <v>-11.057108140947747</v>
      </c>
      <c r="CB12" s="655">
        <f>CB8+CB9+CB10+CB11</f>
        <v>776</v>
      </c>
      <c r="CC12" s="629">
        <f>IF(ISERROR(CB12/BT12),"NA",IF(OR(CB12/BT12&gt;2,CB12/BT12&lt;0.5),"NM",CB12/BT12*100-100))</f>
        <v>-5.710814094775202</v>
      </c>
      <c r="CD12" s="655">
        <f>CD8+CD9+CD10+CD11</f>
        <v>712</v>
      </c>
      <c r="CE12" s="629">
        <f>IF(ISERROR(CD12/BV12),"NA",IF(OR(CD12/BV12&gt;2,CD12/BV12&lt;0.5),"NM",CD12/BV12*100-100))</f>
        <v>-30.058939096267196</v>
      </c>
      <c r="CF12" s="655">
        <f>CF8+CF9+CF10+CF11</f>
        <v>870</v>
      </c>
      <c r="CG12" s="629">
        <f>IF(ISERROR(CF12/BX12),"NA",IF(OR(CF12/BX12&gt;2,CF12/BX12&lt;0.5),"NM",CF12/BX12*100-100))</f>
        <v>-11.314984709480129</v>
      </c>
      <c r="CH12" s="655">
        <f>CH8+CH9+CH10+CH11</f>
        <v>1018</v>
      </c>
      <c r="CI12" s="629">
        <f>IF(ISERROR(CH12/BZ12),"NA",IF(OR(CH12/BZ12&gt;2,CH12/BZ12&lt;0.5),"NM",CH12/BZ12*100-100))</f>
        <v>39.071038251366133</v>
      </c>
      <c r="CJ12" s="655">
        <f>CJ8+CJ9+CJ10+CJ11</f>
        <v>964</v>
      </c>
      <c r="CK12" s="629">
        <f>IF(ISERROR(CJ12/CB12),"NA",IF(OR(CJ12/CB12&gt;2,CJ12/CB12&lt;0.5),"NM",CJ12/CB12*100-100))</f>
        <v>24.226804123711347</v>
      </c>
      <c r="CL12" s="655">
        <f>INPUT!EI213</f>
        <v>397</v>
      </c>
      <c r="CM12" s="655">
        <f>INPUT!EJ213</f>
        <v>81.278538812785399</v>
      </c>
      <c r="CN12" s="655">
        <f>INPUT!EK213</f>
        <v>308</v>
      </c>
      <c r="CO12" s="655">
        <f>INPUT!EL213</f>
        <v>30.508474576271198</v>
      </c>
      <c r="CP12" s="655">
        <f>INPUT!EM213</f>
        <v>248</v>
      </c>
      <c r="CQ12" s="655">
        <f>INPUT!EN213</f>
        <v>3.7656903765690402</v>
      </c>
      <c r="CR12" s="655">
        <f>INPUT!EO213</f>
        <v>291</v>
      </c>
      <c r="CS12" s="655">
        <f>INPUT!EP213</f>
        <v>-8.4905660377358458</v>
      </c>
      <c r="CT12" s="655">
        <f>INPUT!EQ213</f>
        <v>307.55725752286753</v>
      </c>
      <c r="CU12" s="655">
        <f>INPUT!ER213</f>
        <v>-22.529658054693314</v>
      </c>
      <c r="CV12" s="655">
        <f>INPUT!ES213</f>
        <v>285.4264931648413</v>
      </c>
      <c r="CW12" s="655">
        <f>INPUT!ET213</f>
        <v>-7.3290606607658049</v>
      </c>
      <c r="CX12" s="655">
        <f>INPUT!EU213</f>
        <v>264.82675395724391</v>
      </c>
      <c r="CY12" s="655">
        <f>INPUT!EV213</f>
        <v>6.7849814343725399</v>
      </c>
      <c r="CZ12" s="655">
        <f>INPUT!EW213</f>
        <v>252.00711319519451</v>
      </c>
      <c r="DA12" s="655">
        <f>INPUT!EX213</f>
        <v>-13.399617458696042</v>
      </c>
      <c r="DB12" s="655">
        <f>INPUT!EY213</f>
        <v>0</v>
      </c>
      <c r="DC12" s="655">
        <f>DC8+DC9+DC10+DC11</f>
        <v>1212</v>
      </c>
      <c r="DD12" s="635"/>
      <c r="DE12" s="655">
        <f>DE8+DE9+DE10+DE11</f>
        <v>1673</v>
      </c>
      <c r="DF12" s="629">
        <f>IF(ISERROR(DE12/DC12),"NA",IF(OR(DE12/DC12&gt;2,DE12/DC12&lt;0.5),"NM",DE12/DC12*100-100))</f>
        <v>38.036303630363022</v>
      </c>
      <c r="DG12" s="655">
        <f>DG8+DG9+DG10+DG11</f>
        <v>1905</v>
      </c>
      <c r="DH12" s="629">
        <f>IF(ISERROR(DG12/DE12),"NA",IF(OR(DG12/DE12&gt;2,DG12/DE12&lt;0.5),"NM",DG12/DE12*100-100))</f>
        <v>13.867304243873278</v>
      </c>
      <c r="DI12" s="655">
        <f>DI8+DI9+DI10+DI11</f>
        <v>-188</v>
      </c>
      <c r="DJ12" s="629" t="str">
        <f>IF(ISERROR(DI12/DG12),"NA",IF(OR(DI12/DG12&gt;2,DI12/DG12&lt;0.5),"NM",DI12/DG12*100-100))</f>
        <v>NM</v>
      </c>
      <c r="DK12" s="655">
        <f>DK8+DK9+DK10+DK11</f>
        <v>1218</v>
      </c>
      <c r="DL12" s="629" t="str">
        <f>IF(ISERROR(DK12/DI12),"NA",IF(OR(DK12/DI12&gt;2,DK12/DI12&lt;0.5),"NM",DK12/DI12*100-100))</f>
        <v>NM</v>
      </c>
      <c r="DM12" s="655">
        <f>DM8+DM9+DM10+DM11</f>
        <v>2002</v>
      </c>
      <c r="DN12" s="629">
        <f>IF(ISERROR(DM12/DK12),"NA",IF(OR(DM12/DK12&gt;2,DM12/DK12&lt;0.5),"NM",DM12/DK12*100-100))</f>
        <v>64.36781609195404</v>
      </c>
      <c r="DO12" s="655">
        <f>DO8+DO9+DO10+DO11</f>
        <v>2016</v>
      </c>
      <c r="DP12" s="629">
        <f>IF(ISERROR(DO12/DM12),"NA",IF(OR(DO12/DM12&gt;2,DO12/DM12&lt;0.5),"NM",DO12/DM12*100-100))</f>
        <v>0.69930069930070715</v>
      </c>
      <c r="DQ12" s="655">
        <f>DQ8+DQ9+DQ10+DQ11</f>
        <v>2261</v>
      </c>
      <c r="DR12" s="629">
        <f>IF(ISERROR(DQ12/DO12),"NA",IF(OR(DQ12/DO12&gt;2,DQ12/DO12&lt;0.5),"NM",DQ12/DO12*100-100))</f>
        <v>12.152777777777771</v>
      </c>
      <c r="DS12" s="655">
        <f>DS8+DS9+DS10+DS11</f>
        <v>3847</v>
      </c>
      <c r="DT12" s="629">
        <f>IF(ISERROR(DS12/DQ12),"NA",IF(OR(DS12/DQ12&gt;2,DS12/DQ12&lt;0.5),"NM",DS12/DQ12*100-100))</f>
        <v>70.145953118089324</v>
      </c>
      <c r="DU12" s="655">
        <f>DU8+DU9+DU10+DU11</f>
        <v>3467</v>
      </c>
      <c r="DV12" s="629">
        <f>IF(ISERROR(DU12/DS12),"NA",IF(OR(DU12/DS12&gt;2,DU12/DS12&lt;0.5),"NM",DU12/DS12*100-100))</f>
        <v>-9.8778268780868217</v>
      </c>
      <c r="DW12" s="655">
        <f>INPUT!GJ213</f>
        <v>931</v>
      </c>
      <c r="DX12" s="655">
        <f>INPUT!GK213</f>
        <v>-23.374485596707814</v>
      </c>
      <c r="DY12" s="655">
        <f>INPUT!GL213</f>
        <v>1012</v>
      </c>
      <c r="DZ12" s="655">
        <f>INPUT!GM213</f>
        <v>8.7003222341568147</v>
      </c>
      <c r="EA12" s="655">
        <f>INPUT!GN213</f>
        <v>1244</v>
      </c>
      <c r="EB12" s="655">
        <f>INPUT!GO213</f>
        <v>22.92490118577075</v>
      </c>
      <c r="EC12" s="655">
        <f>INPUT!GP213</f>
        <v>1109.8176178401463</v>
      </c>
      <c r="ED12" s="655">
        <f>INPUT!GQ213</f>
        <v>-10.786365125390162</v>
      </c>
      <c r="EE12" s="655">
        <f>INPUT!GR213</f>
        <v>1138.8525066855709</v>
      </c>
      <c r="EF12" s="655">
        <f>INPUT!GS213</f>
        <v>2.6161856127253031</v>
      </c>
      <c r="EG12" s="655">
        <f>INPUT!GT213</f>
        <v>1162.3174196138971</v>
      </c>
      <c r="EH12" s="655">
        <f>INPUT!GU213</f>
        <v>2.0603996382829735</v>
      </c>
      <c r="EI12" s="655">
        <f>INPUT!GV213</f>
        <v>1186.1877959747781</v>
      </c>
      <c r="EJ12" s="655">
        <f>INPUT!GW213</f>
        <v>2.0536882574478028</v>
      </c>
      <c r="EK12" s="655">
        <f>INPUT!GX213</f>
        <v>1210.4694135748559</v>
      </c>
      <c r="EL12" s="655">
        <f>INPUT!GY213</f>
        <v>2.0470297943104185</v>
      </c>
      <c r="EM12" s="655">
        <f>INPUT!GZ213</f>
        <v>-0.54498483671280296</v>
      </c>
    </row>
    <row r="13" spans="1:224" s="632" customFormat="1" ht="12.75" customHeight="1" x14ac:dyDescent="0.2">
      <c r="A13" s="826" t="s">
        <v>342</v>
      </c>
      <c r="B13" s="655">
        <f>INPUT!AY128</f>
        <v>133</v>
      </c>
      <c r="C13" s="635">
        <f>INPUT!AZ128</f>
        <v>13.675213675213669</v>
      </c>
      <c r="D13" s="655">
        <f>INPUT!BA128</f>
        <v>97</v>
      </c>
      <c r="E13" s="635">
        <f>INPUT!BB128</f>
        <v>-18.487394957983199</v>
      </c>
      <c r="F13" s="655">
        <f>INPUT!BC128</f>
        <v>183</v>
      </c>
      <c r="G13" s="635">
        <f>INPUT!BD128</f>
        <v>52.5</v>
      </c>
      <c r="H13" s="655">
        <f>INPUT!BE128</f>
        <v>132</v>
      </c>
      <c r="I13" s="635">
        <f>INPUT!BF128</f>
        <v>-7.0422535211267672</v>
      </c>
      <c r="J13" s="655">
        <f>INPUT!BG128</f>
        <v>101</v>
      </c>
      <c r="K13" s="635">
        <f>INPUT!BH128</f>
        <v>-24.060150375939855</v>
      </c>
      <c r="L13" s="655">
        <f>INPUT!BI128</f>
        <v>141</v>
      </c>
      <c r="M13" s="635">
        <f>INPUT!BJ128</f>
        <v>45.360824742268022</v>
      </c>
      <c r="N13" s="655">
        <f>INPUT!BK128</f>
        <v>251</v>
      </c>
      <c r="O13" s="635">
        <f>INPUT!BL128</f>
        <v>37.158469945355193</v>
      </c>
      <c r="P13" s="655">
        <f>INPUT!BM128</f>
        <v>129</v>
      </c>
      <c r="Q13" s="635">
        <f>INPUT!BN128</f>
        <v>-2.2727272727272663</v>
      </c>
      <c r="R13" s="655">
        <f>INPUT!BO128</f>
        <v>96</v>
      </c>
      <c r="S13" s="635">
        <f>INPUT!BP128</f>
        <v>-4.9504950495049513</v>
      </c>
      <c r="T13" s="655">
        <f>INPUT!BQ128</f>
        <v>103</v>
      </c>
      <c r="U13" s="635">
        <f>INPUT!BR128</f>
        <v>-26.950354609929079</v>
      </c>
      <c r="V13" s="655">
        <f>INPUT!BS128</f>
        <v>238</v>
      </c>
      <c r="W13" s="635">
        <f>INPUT!BT128</f>
        <v>-5.1792828685258883</v>
      </c>
      <c r="X13" s="655">
        <f>INPUT!BU128</f>
        <v>9</v>
      </c>
      <c r="Y13" s="635" t="str">
        <f>INPUT!BV128</f>
        <v>NM</v>
      </c>
      <c r="Z13" s="655">
        <f>INPUT!BW128</f>
        <v>40</v>
      </c>
      <c r="AA13" s="635" t="str">
        <f>INPUT!BX128</f>
        <v>NM</v>
      </c>
      <c r="AB13" s="655">
        <f>INPUT!BY128</f>
        <v>138</v>
      </c>
      <c r="AC13" s="635">
        <f>INPUT!BZ128</f>
        <v>33.980582524271853</v>
      </c>
      <c r="AD13" s="655">
        <f>INPUT!CA128</f>
        <v>243</v>
      </c>
      <c r="AE13" s="635">
        <f>INPUT!CB128</f>
        <v>2.1008403361344392</v>
      </c>
      <c r="AF13" s="655">
        <f>INPUT!CC128</f>
        <v>141</v>
      </c>
      <c r="AG13" s="635" t="str">
        <f>INPUT!CD128</f>
        <v>NM</v>
      </c>
      <c r="AH13" s="655">
        <f>INPUT!CE128</f>
        <v>86</v>
      </c>
      <c r="AI13" s="635" t="str">
        <f>INPUT!CF128</f>
        <v>NM</v>
      </c>
      <c r="AJ13" s="655">
        <f>INPUT!CG128</f>
        <v>107</v>
      </c>
      <c r="AK13" s="635">
        <f>INPUT!CH128</f>
        <v>-22.463768115942031</v>
      </c>
      <c r="AL13" s="655">
        <f>INPUT!CI128</f>
        <v>157</v>
      </c>
      <c r="AM13" s="635">
        <f>INPUT!CJ128</f>
        <v>-35.390946502057616</v>
      </c>
      <c r="AN13" s="655">
        <f>INPUT!CK128</f>
        <v>132</v>
      </c>
      <c r="AO13" s="635">
        <f>INPUT!CL128</f>
        <v>-6.3829787234042499</v>
      </c>
      <c r="AP13" s="655">
        <f>INPUT!CM128</f>
        <v>98</v>
      </c>
      <c r="AQ13" s="635">
        <f>INPUT!CN128</f>
        <v>13.95348837209302</v>
      </c>
      <c r="AR13" s="655">
        <f>INPUT!CO128</f>
        <v>135</v>
      </c>
      <c r="AS13" s="635">
        <f>INPUT!CP128</f>
        <v>26.168224299065429</v>
      </c>
      <c r="AT13" s="655">
        <f>INPUT!CQ128</f>
        <v>111</v>
      </c>
      <c r="AU13" s="635">
        <f>INPUT!CR128</f>
        <v>-29.29936305732484</v>
      </c>
      <c r="AV13" s="655">
        <f>INPUT!CS128</f>
        <v>138</v>
      </c>
      <c r="AW13" s="635">
        <f>INPUT!CT128</f>
        <v>4.5454545454545467</v>
      </c>
      <c r="AX13" s="655">
        <f>INPUT!CU128</f>
        <v>112</v>
      </c>
      <c r="AY13" s="635">
        <f>INPUT!CV128</f>
        <v>14.285714285714278</v>
      </c>
      <c r="AZ13" s="655">
        <f>INPUT!CW128</f>
        <v>61</v>
      </c>
      <c r="BA13" s="635" t="str">
        <f>INPUT!CX128</f>
        <v>NM</v>
      </c>
      <c r="BB13" s="655">
        <f>INPUT!CY128</f>
        <v>112</v>
      </c>
      <c r="BC13" s="635">
        <f>INPUT!CZ128</f>
        <v>0.90090090090089348</v>
      </c>
      <c r="BD13" s="655">
        <f>INPUT!DA128</f>
        <v>99</v>
      </c>
      <c r="BE13" s="635">
        <f>INPUT!DB128</f>
        <v>-28.260869565217391</v>
      </c>
      <c r="BF13" s="655">
        <f>INPUT!DC128</f>
        <v>137</v>
      </c>
      <c r="BG13" s="635">
        <f>INPUT!DD128</f>
        <v>22.321428571428584</v>
      </c>
      <c r="BH13" s="655">
        <f>INPUT!DE128</f>
        <v>141</v>
      </c>
      <c r="BI13" s="635" t="str">
        <f>INPUT!DF128</f>
        <v>NM</v>
      </c>
      <c r="BJ13" s="655">
        <f>INPUT!DG128</f>
        <v>148</v>
      </c>
      <c r="BK13" s="635">
        <f>INPUT!DH128</f>
        <v>32.142857142857139</v>
      </c>
      <c r="BL13" s="655">
        <f>INPUT!DI128</f>
        <v>157</v>
      </c>
      <c r="BM13" s="635">
        <f>INPUT!DJ128</f>
        <v>58.585858585858574</v>
      </c>
      <c r="BN13" s="655">
        <f>INPUT!DK128</f>
        <v>125</v>
      </c>
      <c r="BO13" s="635">
        <f>INPUT!DL128</f>
        <v>-8.7591240875912462</v>
      </c>
      <c r="BP13" s="655">
        <f>INPUT!DM128</f>
        <v>158</v>
      </c>
      <c r="BQ13" s="635">
        <f>INPUT!DN128</f>
        <v>12.056737588652481</v>
      </c>
      <c r="BR13" s="655">
        <f>INPUT!DO128</f>
        <v>97</v>
      </c>
      <c r="BS13" s="635">
        <f>INPUT!DP128</f>
        <v>-34.459459459459467</v>
      </c>
      <c r="BT13" s="655">
        <f>INPUT!DQ128</f>
        <v>118</v>
      </c>
      <c r="BU13" s="635">
        <f>INPUT!DR128</f>
        <v>-24.840764331210181</v>
      </c>
      <c r="BV13" s="655">
        <f>INPUT!DS128</f>
        <v>116</v>
      </c>
      <c r="BW13" s="635">
        <f>INPUT!DT128</f>
        <v>-7.1999999999999886</v>
      </c>
      <c r="BX13" s="655">
        <f>INPUT!DU128</f>
        <v>237</v>
      </c>
      <c r="BY13" s="635">
        <f>INPUT!DV128</f>
        <v>50</v>
      </c>
      <c r="BZ13" s="655">
        <f>INPUT!DW128</f>
        <v>183</v>
      </c>
      <c r="CA13" s="635">
        <f>INPUT!DX128</f>
        <v>88.659793814432987</v>
      </c>
      <c r="CB13" s="655">
        <f>INPUT!DY128</f>
        <v>99</v>
      </c>
      <c r="CC13" s="635">
        <f>INPUT!DZ128</f>
        <v>-16.101694915254242</v>
      </c>
      <c r="CD13" s="655">
        <f>INPUT!EA128</f>
        <v>120</v>
      </c>
      <c r="CE13" s="635">
        <f>INPUT!EB128</f>
        <v>3.448275862068968</v>
      </c>
      <c r="CF13" s="655">
        <f>INPUT!EC128</f>
        <v>-290</v>
      </c>
      <c r="CG13" s="635" t="str">
        <f>INPUT!ED128</f>
        <v>NM</v>
      </c>
      <c r="CH13" s="655">
        <f>INPUT!EE128</f>
        <v>111</v>
      </c>
      <c r="CI13" s="635">
        <f>INPUT!EF128</f>
        <v>-39.344262295081968</v>
      </c>
      <c r="CJ13" s="655">
        <f>INPUT!EG128</f>
        <v>138</v>
      </c>
      <c r="CK13" s="635">
        <f>INPUT!EH128</f>
        <v>39.393939393939405</v>
      </c>
      <c r="CL13" s="655">
        <f>INPUT!EI248</f>
        <v>34</v>
      </c>
      <c r="CM13" s="655">
        <f>INPUT!EJ248</f>
        <v>30.769230769230774</v>
      </c>
      <c r="CN13" s="655">
        <f>INPUT!EK248</f>
        <v>136</v>
      </c>
      <c r="CO13" s="655">
        <f>INPUT!EL248</f>
        <v>52.808988764044926</v>
      </c>
      <c r="CP13" s="655">
        <f>INPUT!EM248</f>
        <v>61</v>
      </c>
      <c r="CQ13" s="655">
        <f>INPUT!EN248</f>
        <v>-1.6129032258064484</v>
      </c>
      <c r="CR13" s="655">
        <f>INPUT!EO248</f>
        <v>22</v>
      </c>
      <c r="CS13" s="655">
        <f>INPUT!EP248</f>
        <v>-48.837209302325576</v>
      </c>
      <c r="CT13" s="655">
        <f>INPUT!EQ248</f>
        <v>43.17832414999998</v>
      </c>
      <c r="CU13" s="655">
        <f>INPUT!ER248</f>
        <v>26.995071029411704</v>
      </c>
      <c r="CV13" s="655">
        <f>INPUT!ES248</f>
        <v>49.623395891499513</v>
      </c>
      <c r="CW13" s="655" t="str">
        <f>INPUT!ET248</f>
        <v>NM</v>
      </c>
      <c r="CX13" s="655">
        <f>INPUT!EU248</f>
        <v>56.192951235414739</v>
      </c>
      <c r="CY13" s="655">
        <f>INPUT!EV248</f>
        <v>-7.8804078107955036</v>
      </c>
      <c r="CZ13" s="655">
        <f>INPUT!EW248</f>
        <v>47.053032785860069</v>
      </c>
      <c r="DA13" s="655" t="str">
        <f>INPUT!EX248</f>
        <v>NM</v>
      </c>
      <c r="DB13" s="655">
        <f>INPUT!EY248</f>
        <v>0</v>
      </c>
      <c r="DC13" s="655">
        <f>INPUT!FP128</f>
        <v>498</v>
      </c>
      <c r="DD13" s="635">
        <f>INPUT!FQ128</f>
        <v>27.692307692307679</v>
      </c>
      <c r="DE13" s="655">
        <f>INPUT!FR128</f>
        <v>545</v>
      </c>
      <c r="DF13" s="635">
        <f>INPUT!FS128</f>
        <v>9.4377510040160644</v>
      </c>
      <c r="DG13" s="655">
        <f>INPUT!FT128</f>
        <v>622</v>
      </c>
      <c r="DH13" s="635">
        <f>INPUT!FU128</f>
        <v>14.12844036697247</v>
      </c>
      <c r="DI13" s="655">
        <f>INPUT!FV128</f>
        <v>463</v>
      </c>
      <c r="DJ13" s="635">
        <f>INPUT!FW128</f>
        <v>-25.562700964630224</v>
      </c>
      <c r="DK13" s="655">
        <f>INPUT!FX128</f>
        <v>514</v>
      </c>
      <c r="DL13" s="635">
        <f>INPUT!FY128</f>
        <v>11.015118790496771</v>
      </c>
      <c r="DM13" s="655">
        <f>INPUT!FZ128</f>
        <v>482</v>
      </c>
      <c r="DN13" s="635">
        <f>INPUT!GA128</f>
        <v>-6.2256809338521464</v>
      </c>
      <c r="DO13" s="655">
        <f>INPUT!GB128</f>
        <v>482</v>
      </c>
      <c r="DP13" s="635">
        <f>INPUT!GC128</f>
        <v>0</v>
      </c>
      <c r="DQ13" s="655">
        <f>INPUT!GD128</f>
        <v>384</v>
      </c>
      <c r="DR13" s="635">
        <f>INPUT!GE128</f>
        <v>-20.331950207468878</v>
      </c>
      <c r="DS13" s="655">
        <f>INPUT!GF128</f>
        <v>583</v>
      </c>
      <c r="DT13" s="635">
        <f>INPUT!GG128</f>
        <v>51.822916666666686</v>
      </c>
      <c r="DU13" s="655">
        <f>INPUT!GH128</f>
        <v>498</v>
      </c>
      <c r="DV13" s="635">
        <f>INPUT!GI128</f>
        <v>-14.579759862778729</v>
      </c>
      <c r="DW13" s="655">
        <f>INPUT!GJ248</f>
        <v>176</v>
      </c>
      <c r="DX13" s="655" t="str">
        <f>INPUT!GK248</f>
        <v>NM</v>
      </c>
      <c r="DY13" s="655">
        <f>INPUT!GL248</f>
        <v>220</v>
      </c>
      <c r="DZ13" s="655">
        <f>INPUT!GM248</f>
        <v>25</v>
      </c>
      <c r="EA13" s="655">
        <f>INPUT!GN248</f>
        <v>253</v>
      </c>
      <c r="EB13" s="655">
        <f>INPUT!GO248</f>
        <v>14.999999999999986</v>
      </c>
      <c r="EC13" s="655">
        <f>INPUT!GP248</f>
        <v>196.04770406277567</v>
      </c>
      <c r="ED13" s="655">
        <f>INPUT!GQ248</f>
        <v>-22.510788907993799</v>
      </c>
      <c r="EE13" s="655">
        <f>INPUT!GR248</f>
        <v>203.70113715293792</v>
      </c>
      <c r="EF13" s="655">
        <f>INPUT!GS248</f>
        <v>3.9038626474868607</v>
      </c>
      <c r="EG13" s="655">
        <f>INPUT!GT248</f>
        <v>214.2621481665592</v>
      </c>
      <c r="EH13" s="655">
        <f>INPUT!GU248</f>
        <v>5.1845616383045154</v>
      </c>
      <c r="EI13" s="655">
        <f>INPUT!GV248</f>
        <v>222.60749246795876</v>
      </c>
      <c r="EJ13" s="655">
        <f>INPUT!GW248</f>
        <v>3.894922352272971</v>
      </c>
      <c r="EK13" s="655">
        <f>INPUT!GX248</f>
        <v>231.26354204389736</v>
      </c>
      <c r="EL13" s="655">
        <f>INPUT!GY248</f>
        <v>3.8884807874040916</v>
      </c>
      <c r="EM13" s="655">
        <f>INPUT!GZ248</f>
        <v>-1.7805878837331424</v>
      </c>
    </row>
    <row r="14" spans="1:224" s="632" customFormat="1" ht="12.75" customHeight="1" x14ac:dyDescent="0.2">
      <c r="A14" s="829" t="s">
        <v>828</v>
      </c>
      <c r="B14" s="655">
        <f>INPUT!AY248</f>
        <v>47</v>
      </c>
      <c r="C14" s="635">
        <f>INPUT!AZ248</f>
        <v>23.684210526315795</v>
      </c>
      <c r="D14" s="655">
        <f>INPUT!BA248</f>
        <v>29</v>
      </c>
      <c r="E14" s="635">
        <f>INPUT!BB248</f>
        <v>-36.95652173913043</v>
      </c>
      <c r="F14" s="655">
        <f>INPUT!BC248</f>
        <v>90</v>
      </c>
      <c r="G14" s="635">
        <f>INPUT!BD248</f>
        <v>50</v>
      </c>
      <c r="H14" s="655">
        <f>INPUT!BE248</f>
        <v>63</v>
      </c>
      <c r="I14" s="635">
        <f>INPUT!BF248</f>
        <v>-21.25</v>
      </c>
      <c r="J14" s="655">
        <f>INPUT!BG248</f>
        <v>51</v>
      </c>
      <c r="K14" s="635">
        <f>INPUT!BH248</f>
        <v>8.5106382978723332</v>
      </c>
      <c r="L14" s="655">
        <f>INPUT!BI248</f>
        <v>69</v>
      </c>
      <c r="M14" s="635" t="str">
        <f>INPUT!BJ248</f>
        <v>NM</v>
      </c>
      <c r="N14" s="655">
        <f>INPUT!BK248</f>
        <v>100</v>
      </c>
      <c r="O14" s="635">
        <f>INPUT!BL248</f>
        <v>11.111111111111114</v>
      </c>
      <c r="P14" s="655">
        <f>INPUT!BM248</f>
        <v>66</v>
      </c>
      <c r="Q14" s="635">
        <f>INPUT!BN248</f>
        <v>4.7619047619047734</v>
      </c>
      <c r="R14" s="655">
        <f>INPUT!BO248</f>
        <v>90</v>
      </c>
      <c r="S14" s="635">
        <f>INPUT!BP248</f>
        <v>76.470588235294116</v>
      </c>
      <c r="T14" s="655">
        <f>INPUT!BQ248</f>
        <v>80</v>
      </c>
      <c r="U14" s="635">
        <f>INPUT!BR248</f>
        <v>15.94202898550725</v>
      </c>
      <c r="V14" s="655">
        <f>INPUT!BS248</f>
        <v>101</v>
      </c>
      <c r="W14" s="635">
        <f>INPUT!BT248</f>
        <v>1</v>
      </c>
      <c r="X14" s="655">
        <f>INPUT!BU248</f>
        <v>69</v>
      </c>
      <c r="Y14" s="635">
        <f>INPUT!BV248</f>
        <v>4.5454545454545467</v>
      </c>
      <c r="Z14" s="655">
        <f>INPUT!BW248</f>
        <v>93</v>
      </c>
      <c r="AA14" s="635">
        <f>INPUT!BX248</f>
        <v>3.3333333333333428</v>
      </c>
      <c r="AB14" s="655">
        <f>INPUT!BY248</f>
        <v>105</v>
      </c>
      <c r="AC14" s="635">
        <f>INPUT!BZ248</f>
        <v>31.25</v>
      </c>
      <c r="AD14" s="655">
        <f>INPUT!CA248</f>
        <v>64</v>
      </c>
      <c r="AE14" s="635">
        <f>INPUT!CB248</f>
        <v>-36.633663366336634</v>
      </c>
      <c r="AF14" s="655">
        <f>INPUT!CC248</f>
        <v>69</v>
      </c>
      <c r="AG14" s="635">
        <f>INPUT!CD248</f>
        <v>0</v>
      </c>
      <c r="AH14" s="655">
        <f>INPUT!CE248</f>
        <v>52</v>
      </c>
      <c r="AI14" s="635">
        <f>INPUT!CF248</f>
        <v>-44.086021505376351</v>
      </c>
      <c r="AJ14" s="655">
        <f>INPUT!CG248</f>
        <v>32</v>
      </c>
      <c r="AK14" s="635" t="str">
        <f>INPUT!CH248</f>
        <v>NM</v>
      </c>
      <c r="AL14" s="655">
        <f>INPUT!CI248</f>
        <v>60</v>
      </c>
      <c r="AM14" s="635">
        <f>INPUT!CJ248</f>
        <v>-6.25</v>
      </c>
      <c r="AN14" s="655">
        <f>INPUT!CK248</f>
        <v>68</v>
      </c>
      <c r="AO14" s="635">
        <f>INPUT!CL248</f>
        <v>-1.4492753623188293</v>
      </c>
      <c r="AP14" s="655">
        <f>INPUT!CM248</f>
        <v>39</v>
      </c>
      <c r="AQ14" s="635">
        <f>INPUT!CN248</f>
        <v>-25</v>
      </c>
      <c r="AR14" s="655">
        <f>INPUT!CO248</f>
        <v>49</v>
      </c>
      <c r="AS14" s="635">
        <f>INPUT!CP248</f>
        <v>53.125</v>
      </c>
      <c r="AT14" s="655">
        <f>INPUT!CQ248</f>
        <v>45</v>
      </c>
      <c r="AU14" s="635">
        <f>INPUT!CR248</f>
        <v>-25</v>
      </c>
      <c r="AV14" s="655">
        <f>INPUT!CS248</f>
        <v>42</v>
      </c>
      <c r="AW14" s="635">
        <f>INPUT!CT248</f>
        <v>-38.235294117647058</v>
      </c>
      <c r="AX14" s="655">
        <f>INPUT!CU248</f>
        <v>-40</v>
      </c>
      <c r="AY14" s="635" t="str">
        <f>INPUT!CV248</f>
        <v>NM</v>
      </c>
      <c r="AZ14" s="655">
        <f>INPUT!CW248</f>
        <v>33</v>
      </c>
      <c r="BA14" s="635">
        <f>INPUT!CX248</f>
        <v>-32.653061224489804</v>
      </c>
      <c r="BB14" s="655">
        <f>INPUT!CY248</f>
        <v>35</v>
      </c>
      <c r="BC14" s="635">
        <f>INPUT!CZ248</f>
        <v>-22.222222222222214</v>
      </c>
      <c r="BD14" s="655">
        <f>INPUT!DA248</f>
        <v>-12</v>
      </c>
      <c r="BE14" s="635" t="str">
        <f>INPUT!DB248</f>
        <v>NM</v>
      </c>
      <c r="BF14" s="655">
        <f>INPUT!DC248</f>
        <v>9</v>
      </c>
      <c r="BG14" s="635" t="str">
        <f>INPUT!DD248</f>
        <v>NM</v>
      </c>
      <c r="BH14" s="655">
        <f>INPUT!DE248</f>
        <v>22</v>
      </c>
      <c r="BI14" s="635">
        <f>INPUT!DF248</f>
        <v>-33.333333333333343</v>
      </c>
      <c r="BJ14" s="655">
        <f>INPUT!DG248</f>
        <v>68</v>
      </c>
      <c r="BK14" s="635">
        <f>INPUT!DH248</f>
        <v>94.285714285714278</v>
      </c>
      <c r="BL14" s="655">
        <f>INPUT!DI248</f>
        <v>58</v>
      </c>
      <c r="BM14" s="635" t="str">
        <f>INPUT!DJ248</f>
        <v>NM</v>
      </c>
      <c r="BN14" s="655">
        <f>INPUT!DK248</f>
        <v>6</v>
      </c>
      <c r="BO14" s="635">
        <f>INPUT!DL248</f>
        <v>-33.333333333333343</v>
      </c>
      <c r="BP14" s="655">
        <f>INPUT!DM248</f>
        <v>46</v>
      </c>
      <c r="BQ14" s="635" t="str">
        <f>INPUT!DN248</f>
        <v>NM</v>
      </c>
      <c r="BR14" s="655">
        <f>INPUT!DO248</f>
        <v>-73</v>
      </c>
      <c r="BS14" s="635" t="str">
        <f>INPUT!DP248</f>
        <v>NM</v>
      </c>
      <c r="BT14" s="655">
        <f>INPUT!DQ248</f>
        <v>44</v>
      </c>
      <c r="BU14" s="635">
        <f>INPUT!DR248</f>
        <v>-24.137931034482762</v>
      </c>
      <c r="BV14" s="655">
        <f>INPUT!DS248</f>
        <v>30</v>
      </c>
      <c r="BW14" s="635" t="str">
        <f>INPUT!DT248</f>
        <v>NM</v>
      </c>
      <c r="BX14" s="655">
        <f>INPUT!DU248</f>
        <v>75</v>
      </c>
      <c r="BY14" s="635">
        <f>INPUT!DV248</f>
        <v>63.043478260869563</v>
      </c>
      <c r="BZ14" s="655">
        <f>INPUT!DW248</f>
        <v>44</v>
      </c>
      <c r="CA14" s="635" t="str">
        <f>INPUT!DX248</f>
        <v>NM</v>
      </c>
      <c r="CB14" s="655">
        <f>INPUT!DY248</f>
        <v>27</v>
      </c>
      <c r="CC14" s="635">
        <f>INPUT!DZ248</f>
        <v>-38.636363636363633</v>
      </c>
      <c r="CD14" s="655">
        <f>INPUT!EA248</f>
        <v>26</v>
      </c>
      <c r="CE14" s="635">
        <f>INPUT!EB248</f>
        <v>-13.333333333333329</v>
      </c>
      <c r="CF14" s="655">
        <f>INPUT!EC248</f>
        <v>89</v>
      </c>
      <c r="CG14" s="635">
        <f>INPUT!ED248</f>
        <v>18.666666666666671</v>
      </c>
      <c r="CH14" s="655">
        <f>INPUT!EE248</f>
        <v>62</v>
      </c>
      <c r="CI14" s="635">
        <f>INPUT!EF248</f>
        <v>40.909090909090907</v>
      </c>
      <c r="CJ14" s="655">
        <f>INPUT!EG248</f>
        <v>43</v>
      </c>
      <c r="CK14" s="635">
        <f>INPUT!EH248</f>
        <v>59.259259259259267</v>
      </c>
      <c r="CL14" s="655">
        <f>SUM(CL12:CL13)</f>
        <v>431</v>
      </c>
      <c r="CM14" s="655">
        <f t="shared" ref="CM14:DB14" si="18">SUM(CM12:CM13)</f>
        <v>112.04776958201617</v>
      </c>
      <c r="CN14" s="655">
        <f t="shared" si="18"/>
        <v>444</v>
      </c>
      <c r="CO14" s="655">
        <f t="shared" si="18"/>
        <v>83.317463340316124</v>
      </c>
      <c r="CP14" s="655">
        <f t="shared" si="18"/>
        <v>309</v>
      </c>
      <c r="CQ14" s="655">
        <f t="shared" si="18"/>
        <v>2.1527871507625918</v>
      </c>
      <c r="CR14" s="655">
        <f t="shared" si="18"/>
        <v>313</v>
      </c>
      <c r="CS14" s="655">
        <f t="shared" si="18"/>
        <v>-57.327775340061422</v>
      </c>
      <c r="CT14" s="655">
        <f t="shared" si="18"/>
        <v>350.73558167286751</v>
      </c>
      <c r="CU14" s="655">
        <f t="shared" si="18"/>
        <v>4.4654129747183902</v>
      </c>
      <c r="CV14" s="655">
        <f t="shared" si="18"/>
        <v>335.04988905634082</v>
      </c>
      <c r="CW14" s="655">
        <f t="shared" si="18"/>
        <v>-7.3290606607658049</v>
      </c>
      <c r="CX14" s="655">
        <f t="shared" si="18"/>
        <v>321.01970519265865</v>
      </c>
      <c r="CY14" s="655">
        <f t="shared" si="18"/>
        <v>-1.0954263764229637</v>
      </c>
      <c r="CZ14" s="655">
        <f t="shared" si="18"/>
        <v>299.06014598105457</v>
      </c>
      <c r="DA14" s="655">
        <f t="shared" si="18"/>
        <v>-13.399617458696042</v>
      </c>
      <c r="DB14" s="655">
        <f t="shared" si="18"/>
        <v>0</v>
      </c>
      <c r="DC14" s="655">
        <f>INPUT!FP248</f>
        <v>224</v>
      </c>
      <c r="DD14" s="635">
        <f>INPUT!FQ248</f>
        <v>28.735632183908052</v>
      </c>
      <c r="DE14" s="655">
        <f>INPUT!FR248</f>
        <v>229</v>
      </c>
      <c r="DF14" s="635">
        <f>INPUT!FS248</f>
        <v>2.2321428571428612</v>
      </c>
      <c r="DG14" s="655">
        <f>INPUT!FT248</f>
        <v>286</v>
      </c>
      <c r="DH14" s="635">
        <f>INPUT!FU248</f>
        <v>24.890829694323145</v>
      </c>
      <c r="DI14" s="655">
        <f>INPUT!FV248</f>
        <v>336</v>
      </c>
      <c r="DJ14" s="635">
        <f>INPUT!FW248</f>
        <v>17.48251748251748</v>
      </c>
      <c r="DK14" s="655">
        <f>INPUT!FX248</f>
        <v>329</v>
      </c>
      <c r="DL14" s="635">
        <f>INPUT!FY248</f>
        <v>-2.0833333333333428</v>
      </c>
      <c r="DM14" s="655">
        <f>INPUT!FZ248</f>
        <v>212</v>
      </c>
      <c r="DN14" s="635">
        <f>INPUT!GA248</f>
        <v>-35.562310030395139</v>
      </c>
      <c r="DO14" s="655">
        <f>INPUT!GB248</f>
        <v>175</v>
      </c>
      <c r="DP14" s="635">
        <f>INPUT!GC248</f>
        <v>-17.452830188679243</v>
      </c>
      <c r="DQ14" s="655">
        <f>INPUT!GD248</f>
        <v>16</v>
      </c>
      <c r="DR14" s="635" t="str">
        <f>INPUT!GE248</f>
        <v>NM</v>
      </c>
      <c r="DS14" s="655">
        <f>INPUT!GF248</f>
        <v>157</v>
      </c>
      <c r="DT14" s="635" t="str">
        <f>INPUT!GG248</f>
        <v>NM</v>
      </c>
      <c r="DU14" s="655">
        <f>INPUT!GH248</f>
        <v>23</v>
      </c>
      <c r="DV14" s="635" t="str">
        <f>INPUT!GI248</f>
        <v>NM</v>
      </c>
      <c r="DW14" s="655">
        <f t="shared" ref="DW14" si="19">SUM(DW12:DW13)</f>
        <v>1107</v>
      </c>
      <c r="DX14" s="655">
        <f t="shared" ref="DX14" si="20">SUM(DX12:DX13)</f>
        <v>-23.374485596707814</v>
      </c>
      <c r="DY14" s="655">
        <f t="shared" ref="DY14" si="21">SUM(DY12:DY13)</f>
        <v>1232</v>
      </c>
      <c r="DZ14" s="655">
        <f t="shared" ref="DZ14" si="22">SUM(DZ12:DZ13)</f>
        <v>33.700322234156815</v>
      </c>
      <c r="EA14" s="655">
        <f t="shared" ref="EA14" si="23">SUM(EA12:EA13)</f>
        <v>1497</v>
      </c>
      <c r="EB14" s="655">
        <f t="shared" ref="EB14" si="24">SUM(EB12:EB13)</f>
        <v>37.924901185770736</v>
      </c>
      <c r="EC14" s="655">
        <f t="shared" ref="EC14" si="25">SUM(EC12:EC13)</f>
        <v>1305.865321902922</v>
      </c>
      <c r="ED14" s="655">
        <f t="shared" ref="ED14" si="26">SUM(ED12:ED13)</f>
        <v>-33.297154033383961</v>
      </c>
      <c r="EE14" s="655">
        <f t="shared" ref="EE14" si="27">SUM(EE12:EE13)</f>
        <v>1342.5536438385088</v>
      </c>
      <c r="EF14" s="655">
        <f t="shared" ref="EF14" si="28">SUM(EF12:EF13)</f>
        <v>6.5200482602121639</v>
      </c>
      <c r="EG14" s="655">
        <f t="shared" ref="EG14" si="29">SUM(EG12:EG13)</f>
        <v>1376.5795677804563</v>
      </c>
      <c r="EH14" s="655">
        <f t="shared" ref="EH14" si="30">SUM(EH12:EH13)</f>
        <v>7.2449612765874889</v>
      </c>
      <c r="EI14" s="655">
        <f t="shared" ref="EI14" si="31">SUM(EI12:EI13)</f>
        <v>1408.7952884427368</v>
      </c>
      <c r="EJ14" s="655">
        <f t="shared" ref="EJ14" si="32">SUM(EJ12:EJ13)</f>
        <v>5.9486106097207738</v>
      </c>
      <c r="EK14" s="655">
        <f t="shared" ref="EK14" si="33">SUM(EK12:EK13)</f>
        <v>1441.7329556187533</v>
      </c>
      <c r="EL14" s="655">
        <f t="shared" ref="EL14" si="34">SUM(EL12:EL13)</f>
        <v>5.9355105817145102</v>
      </c>
      <c r="EM14" s="655">
        <f t="shared" ref="EM14" si="35">SUM(EM12:EM13)</f>
        <v>-2.3255727204459453</v>
      </c>
    </row>
    <row r="15" spans="1:224" s="632" customFormat="1" ht="12.75" customHeight="1" x14ac:dyDescent="0.2">
      <c r="A15" s="644" t="s">
        <v>292</v>
      </c>
      <c r="B15" s="655">
        <f>B13+B14</f>
        <v>180</v>
      </c>
      <c r="C15" s="635"/>
      <c r="D15" s="655">
        <f>D13+D14</f>
        <v>126</v>
      </c>
      <c r="E15" s="635"/>
      <c r="F15" s="655">
        <f>F13+F14</f>
        <v>273</v>
      </c>
      <c r="G15" s="635"/>
      <c r="H15" s="655">
        <f>H13+H14</f>
        <v>195</v>
      </c>
      <c r="I15" s="635"/>
      <c r="J15" s="655">
        <f>J13+J14</f>
        <v>152</v>
      </c>
      <c r="K15" s="629">
        <f>IF(ISERROR(J15/B15),"NA",IF(OR(J15/B15&gt;2,J15/B15&lt;0.5),"NM",J15/B15*100-100))</f>
        <v>-15.555555555555557</v>
      </c>
      <c r="L15" s="655">
        <f>L13+L14</f>
        <v>210</v>
      </c>
      <c r="M15" s="629">
        <f>IF(ISERROR(L15/D15),"NA",IF(OR(L15/D15&gt;2,L15/D15&lt;0.5),"NM",L15/D15*100-100))</f>
        <v>66.666666666666686</v>
      </c>
      <c r="N15" s="655">
        <f>N13+N14</f>
        <v>351</v>
      </c>
      <c r="O15" s="629">
        <f>IF(ISERROR(N15/F15),"NA",IF(OR(N15/F15&gt;2,N15/F15&lt;0.5),"NM",N15/F15*100-100))</f>
        <v>28.571428571428584</v>
      </c>
      <c r="P15" s="655">
        <f>P13+P14</f>
        <v>195</v>
      </c>
      <c r="Q15" s="629">
        <f>IF(ISERROR(P15/H15),"NA",IF(OR(P15/H15&gt;2,P15/H15&lt;0.5),"NM",P15/H15*100-100))</f>
        <v>0</v>
      </c>
      <c r="R15" s="655">
        <f>R13+R14</f>
        <v>186</v>
      </c>
      <c r="S15" s="629">
        <f>IF(ISERROR(R15/J15),"NA",IF(OR(R15/J15&gt;2,R15/J15&lt;0.5),"NM",R15/J15*100-100))</f>
        <v>22.368421052631575</v>
      </c>
      <c r="T15" s="655">
        <f>T13+T14</f>
        <v>183</v>
      </c>
      <c r="U15" s="629">
        <f>IF(ISERROR(T15/L15),"NA",IF(OR(T15/L15&gt;2,T15/L15&lt;0.5),"NM",T15/L15*100-100))</f>
        <v>-12.857142857142861</v>
      </c>
      <c r="V15" s="655">
        <f>V13+V14</f>
        <v>339</v>
      </c>
      <c r="W15" s="629">
        <f>IF(ISERROR(V15/N15),"NA",IF(OR(V15/N15&gt;2,V15/N15&lt;0.5),"NM",V15/N15*100-100))</f>
        <v>-3.4188034188034209</v>
      </c>
      <c r="X15" s="655">
        <f>X13+X14</f>
        <v>78</v>
      </c>
      <c r="Y15" s="629" t="str">
        <f>IF(ISERROR(X15/P15),"NA",IF(OR(X15/P15&gt;2,X15/P15&lt;0.5),"NM",X15/P15*100-100))</f>
        <v>NM</v>
      </c>
      <c r="Z15" s="655">
        <f>Z13+Z14</f>
        <v>133</v>
      </c>
      <c r="AA15" s="629">
        <f>IF(ISERROR(Z15/R15),"NA",IF(OR(Z15/R15&gt;2,Z15/R15&lt;0.5),"NM",Z15/R15*100-100))</f>
        <v>-28.494623655913969</v>
      </c>
      <c r="AB15" s="655">
        <f>AB13+AB14</f>
        <v>243</v>
      </c>
      <c r="AC15" s="629">
        <f>IF(ISERROR(AB15/T15),"NA",IF(OR(AB15/T15&gt;2,AB15/T15&lt;0.5),"NM",AB15/T15*100-100))</f>
        <v>32.78688524590163</v>
      </c>
      <c r="AD15" s="655">
        <f>AD13+AD14</f>
        <v>307</v>
      </c>
      <c r="AE15" s="629">
        <f>IF(ISERROR(AD15/V15),"NA",IF(OR(AD15/V15&gt;2,AD15/V15&lt;0.5),"NM",AD15/V15*100-100))</f>
        <v>-9.4395280235988253</v>
      </c>
      <c r="AF15" s="655">
        <f>AF13+AF14</f>
        <v>210</v>
      </c>
      <c r="AG15" s="629" t="str">
        <f>IF(ISERROR(AF15/X15),"NA",IF(OR(AF15/X15&gt;2,AF15/X15&lt;0.5),"NM",AF15/X15*100-100))</f>
        <v>NM</v>
      </c>
      <c r="AH15" s="655">
        <f>AH13+AH14</f>
        <v>138</v>
      </c>
      <c r="AI15" s="629">
        <f>IF(ISERROR(AH15/Z15),"NA",IF(OR(AH15/Z15&gt;2,AH15/Z15&lt;0.5),"NM",AH15/Z15*100-100))</f>
        <v>3.7593984962406068</v>
      </c>
      <c r="AJ15" s="655">
        <f>AJ13+AJ14</f>
        <v>139</v>
      </c>
      <c r="AK15" s="629">
        <f>IF(ISERROR(AJ15/AB15),"NA",IF(OR(AJ15/AB15&gt;2,AJ15/AB15&lt;0.5),"NM",AJ15/AB15*100-100))</f>
        <v>-42.798353909465028</v>
      </c>
      <c r="AL15" s="655">
        <f>AL13+AL14</f>
        <v>217</v>
      </c>
      <c r="AM15" s="629">
        <f>IF(ISERROR(AL15/AD15),"NA",IF(OR(AL15/AD15&gt;2,AL15/AD15&lt;0.5),"NM",AL15/AD15*100-100))</f>
        <v>-29.31596091205212</v>
      </c>
      <c r="AN15" s="655">
        <f>AN13+AN14</f>
        <v>200</v>
      </c>
      <c r="AO15" s="629">
        <f>IF(ISERROR(AN15/AF15),"NA",IF(OR(AN15/AF15&gt;2,AN15/AF15&lt;0.5),"NM",AN15/AF15*100-100))</f>
        <v>-4.7619047619047734</v>
      </c>
      <c r="AP15" s="655">
        <f>AP13+AP14</f>
        <v>137</v>
      </c>
      <c r="AQ15" s="629">
        <f>IF(ISERROR(AP15/AH15),"NA",IF(OR(AP15/AH15&gt;2,AP15/AH15&lt;0.5),"NM",AP15/AH15*100-100))</f>
        <v>-0.72463768115942173</v>
      </c>
      <c r="AR15" s="655">
        <f>AR13+AR14</f>
        <v>184</v>
      </c>
      <c r="AS15" s="629">
        <f>IF(ISERROR(AR15/AJ15),"NA",IF(OR(AR15/AJ15&gt;2,AR15/AJ15&lt;0.5),"NM",AR15/AJ15*100-100))</f>
        <v>32.374100719424462</v>
      </c>
      <c r="AT15" s="655">
        <f>AT13+AT14</f>
        <v>156</v>
      </c>
      <c r="AU15" s="629">
        <f>IF(ISERROR(AT15/AL15),"NA",IF(OR(AT15/AL15&gt;2,AT15/AL15&lt;0.5),"NM",AT15/AL15*100-100))</f>
        <v>-28.110599078341011</v>
      </c>
      <c r="AV15" s="655">
        <f>AV13+AV14</f>
        <v>180</v>
      </c>
      <c r="AW15" s="629">
        <f>IF(ISERROR(AV15/AN15),"NA",IF(OR(AV15/AN15&gt;2,AV15/AN15&lt;0.5),"NM",AV15/AN15*100-100))</f>
        <v>-10</v>
      </c>
      <c r="AX15" s="655">
        <f>AX13+AX14</f>
        <v>72</v>
      </c>
      <c r="AY15" s="629">
        <f>IF(ISERROR(AX15/AP15),"NA",IF(OR(AX15/AP15&gt;2,AX15/AP15&lt;0.5),"NM",AX15/AP15*100-100))</f>
        <v>-47.445255474452551</v>
      </c>
      <c r="AZ15" s="655">
        <f>AZ13+AZ14</f>
        <v>94</v>
      </c>
      <c r="BA15" s="629">
        <f>IF(ISERROR(AZ15/AR15),"NA",IF(OR(AZ15/AR15&gt;2,AZ15/AR15&lt;0.5),"NM",AZ15/AR15*100-100))</f>
        <v>-48.913043478260867</v>
      </c>
      <c r="BB15" s="655">
        <f>BB13+BB14</f>
        <v>147</v>
      </c>
      <c r="BC15" s="629">
        <f>IF(ISERROR(BB15/AT15),"NA",IF(OR(BB15/AT15&gt;2,BB15/AT15&lt;0.5),"NM",BB15/AT15*100-100))</f>
        <v>-5.7692307692307736</v>
      </c>
      <c r="BD15" s="655">
        <f>BD13+BD14</f>
        <v>87</v>
      </c>
      <c r="BE15" s="629" t="str">
        <f>IF(ISERROR(BD15/AV15),"NA",IF(OR(BD15/AV15&gt;2,BD15/AV15&lt;0.5),"NM",BD15/AV15*100-100))</f>
        <v>NM</v>
      </c>
      <c r="BF15" s="655">
        <f>BF13+BF14</f>
        <v>146</v>
      </c>
      <c r="BG15" s="629" t="str">
        <f>IF(ISERROR(BF15/AX15),"NA",IF(OR(BF15/AX15&gt;2,BF15/AX15&lt;0.5),"NM",BF15/AX15*100-100))</f>
        <v>NM</v>
      </c>
      <c r="BH15" s="655">
        <f>BH13+BH14</f>
        <v>163</v>
      </c>
      <c r="BI15" s="629">
        <f>IF(ISERROR(BH15/AZ15),"NA",IF(OR(BH15/AZ15&gt;2,BH15/AZ15&lt;0.5),"NM",BH15/AZ15*100-100))</f>
        <v>73.404255319148945</v>
      </c>
      <c r="BJ15" s="655">
        <f>BJ13+BJ14</f>
        <v>216</v>
      </c>
      <c r="BK15" s="629">
        <f>IF(ISERROR(BJ15/BB15),"NA",IF(OR(BJ15/BB15&gt;2,BJ15/BB15&lt;0.5),"NM",BJ15/BB15*100-100))</f>
        <v>46.938775510204096</v>
      </c>
      <c r="BL15" s="655">
        <f>BL13+BL14</f>
        <v>215</v>
      </c>
      <c r="BM15" s="629" t="str">
        <f>IF(ISERROR(BL15/BD15),"NA",IF(OR(BL15/BD15&gt;2,BL15/BD15&lt;0.5),"NM",BL15/BD15*100-100))</f>
        <v>NM</v>
      </c>
      <c r="BN15" s="655">
        <f>BN13+BN14</f>
        <v>131</v>
      </c>
      <c r="BO15" s="629">
        <f>IF(ISERROR(BN15/BF15),"NA",IF(OR(BN15/BF15&gt;2,BN15/BF15&lt;0.5),"NM",BN15/BF15*100-100))</f>
        <v>-10.273972602739718</v>
      </c>
      <c r="BP15" s="655">
        <f>BP13+BP14</f>
        <v>204</v>
      </c>
      <c r="BQ15" s="629">
        <f>IF(ISERROR(BP15/BH15),"NA",IF(OR(BP15/BH15&gt;2,BP15/BH15&lt;0.5),"NM",BP15/BH15*100-100))</f>
        <v>25.153374233128844</v>
      </c>
      <c r="BR15" s="655">
        <f>BR13+BR14</f>
        <v>24</v>
      </c>
      <c r="BS15" s="629" t="str">
        <f>IF(ISERROR(BR15/BJ15),"NA",IF(OR(BR15/BJ15&gt;2,BR15/BJ15&lt;0.5),"NM",BR15/BJ15*100-100))</f>
        <v>NM</v>
      </c>
      <c r="BT15" s="655">
        <f>BT13+BT14</f>
        <v>162</v>
      </c>
      <c r="BU15" s="629">
        <f>IF(ISERROR(BT15/BL15),"NA",IF(OR(BT15/BL15&gt;2,BT15/BL15&lt;0.5),"NM",BT15/BL15*100-100))</f>
        <v>-24.651162790697683</v>
      </c>
      <c r="BV15" s="655">
        <f>BV13+BV14</f>
        <v>146</v>
      </c>
      <c r="BW15" s="629">
        <f>IF(ISERROR(BV15/BN15),"NA",IF(OR(BV15/BN15&gt;2,BV15/BN15&lt;0.5),"NM",BV15/BN15*100-100))</f>
        <v>11.450381679389324</v>
      </c>
      <c r="BX15" s="655">
        <f>BX13+BX14</f>
        <v>312</v>
      </c>
      <c r="BY15" s="629">
        <f>IF(ISERROR(BX15/BP15),"NA",IF(OR(BX15/BP15&gt;2,BX15/BP15&lt;0.5),"NM",BX15/BP15*100-100))</f>
        <v>52.941176470588232</v>
      </c>
      <c r="BZ15" s="655">
        <f>BZ13+BZ14</f>
        <v>227</v>
      </c>
      <c r="CA15" s="629" t="str">
        <f>IF(ISERROR(BZ15/BR15),"NA",IF(OR(BZ15/BR15&gt;2,BZ15/BR15&lt;0.5),"NM",BZ15/BR15*100-100))</f>
        <v>NM</v>
      </c>
      <c r="CB15" s="655">
        <f>CB13+CB14</f>
        <v>126</v>
      </c>
      <c r="CC15" s="629">
        <f>IF(ISERROR(CB15/BT15),"NA",IF(OR(CB15/BT15&gt;2,CB15/BT15&lt;0.5),"NM",CB15/BT15*100-100))</f>
        <v>-22.222222222222214</v>
      </c>
      <c r="CD15" s="655">
        <f>CD13+CD14</f>
        <v>146</v>
      </c>
      <c r="CE15" s="629">
        <f>IF(ISERROR(CD15/BV15),"NA",IF(OR(CD15/BV15&gt;2,CD15/BV15&lt;0.5),"NM",CD15/BV15*100-100))</f>
        <v>0</v>
      </c>
      <c r="CF15" s="655">
        <f>CF13+CF14</f>
        <v>-201</v>
      </c>
      <c r="CG15" s="629" t="str">
        <f>IF(ISERROR(CF15/BX15),"NA",IF(OR(CF15/BX15&gt;2,CF15/BX15&lt;0.5),"NM",CF15/BX15*100-100))</f>
        <v>NM</v>
      </c>
      <c r="CH15" s="655">
        <f>CH13+CH14</f>
        <v>173</v>
      </c>
      <c r="CI15" s="629">
        <f>IF(ISERROR(CH15/BZ15),"NA",IF(OR(CH15/BZ15&gt;2,CH15/BZ15&lt;0.5),"NM",CH15/BZ15*100-100))</f>
        <v>-23.788546255506603</v>
      </c>
      <c r="CJ15" s="655">
        <f>CJ13+CJ14</f>
        <v>181</v>
      </c>
      <c r="CK15" s="629">
        <f>IF(ISERROR(CJ15/CB15),"NA",IF(OR(CJ15/CB15&gt;2,CJ15/CB15&lt;0.5),"NM",CJ15/CB15*100-100))</f>
        <v>43.650793650793645</v>
      </c>
      <c r="CL15" s="655">
        <f>INPUT!EI316</f>
        <v>196</v>
      </c>
      <c r="CM15" s="655">
        <f>INPUT!EJ316</f>
        <v>18.787878787878796</v>
      </c>
      <c r="CN15" s="655">
        <f>INPUT!EK316</f>
        <v>218</v>
      </c>
      <c r="CO15" s="655">
        <f>INPUT!EL316</f>
        <v>5.3140096618357546</v>
      </c>
      <c r="CP15" s="655">
        <f>INPUT!EM316</f>
        <v>259</v>
      </c>
      <c r="CQ15" s="655">
        <f>INPUT!EN316</f>
        <v>35.602094240837687</v>
      </c>
      <c r="CR15" s="655">
        <f>INPUT!EO316</f>
        <v>306</v>
      </c>
      <c r="CS15" s="655">
        <f>INPUT!EP316</f>
        <v>36.607142857142861</v>
      </c>
      <c r="CT15" s="655">
        <f>INPUT!EQ316</f>
        <v>248.7617701489836</v>
      </c>
      <c r="CU15" s="655">
        <f>INPUT!ER316</f>
        <v>26.9192704841753</v>
      </c>
      <c r="CV15" s="655">
        <f>INPUT!ES316</f>
        <v>248.08063873696301</v>
      </c>
      <c r="CW15" s="655">
        <f>INPUT!ET316</f>
        <v>13.798458136221555</v>
      </c>
      <c r="CX15" s="655">
        <f>INPUT!EU316</f>
        <v>251.77587255214337</v>
      </c>
      <c r="CY15" s="655">
        <f>INPUT!EV316</f>
        <v>-2.7892383968558363</v>
      </c>
      <c r="CZ15" s="655">
        <f>INPUT!EW316</f>
        <v>251.08787798307571</v>
      </c>
      <c r="DA15" s="655">
        <f>INPUT!EX316</f>
        <v>-17.945137914027541</v>
      </c>
      <c r="DB15" s="655">
        <f>INPUT!EY316</f>
        <v>0</v>
      </c>
      <c r="DC15" s="655">
        <f>DC13+DC14</f>
        <v>722</v>
      </c>
      <c r="DD15" s="635"/>
      <c r="DE15" s="655">
        <f>DE13+DE14</f>
        <v>774</v>
      </c>
      <c r="DF15" s="629">
        <f>IF(ISERROR(DE15/DC15),"NA",IF(OR(DE15/DC15&gt;2,DE15/DC15&lt;0.5),"NM",DE15/DC15*100-100))</f>
        <v>7.202216066481995</v>
      </c>
      <c r="DG15" s="655">
        <f>DG13+DG14</f>
        <v>908</v>
      </c>
      <c r="DH15" s="629">
        <f>IF(ISERROR(DG15/DE15),"NA",IF(OR(DG15/DE15&gt;2,DG15/DE15&lt;0.5),"NM",DG15/DE15*100-100))</f>
        <v>17.31266149870801</v>
      </c>
      <c r="DI15" s="655">
        <f>DI13+DI14</f>
        <v>799</v>
      </c>
      <c r="DJ15" s="629">
        <f>IF(ISERROR(DI15/DG15),"NA",IF(OR(DI15/DG15&gt;2,DI15/DG15&lt;0.5),"NM",DI15/DG15*100-100))</f>
        <v>-12.004405286343612</v>
      </c>
      <c r="DK15" s="655">
        <f>DK13+DK14</f>
        <v>843</v>
      </c>
      <c r="DL15" s="629">
        <f>IF(ISERROR(DK15/DI15),"NA",IF(OR(DK15/DI15&gt;2,DK15/DI15&lt;0.5),"NM",DK15/DI15*100-100))</f>
        <v>5.5068836045056457</v>
      </c>
      <c r="DM15" s="655">
        <f>DM13+DM14</f>
        <v>694</v>
      </c>
      <c r="DN15" s="629">
        <f>IF(ISERROR(DM15/DK15),"NA",IF(OR(DM15/DK15&gt;2,DM15/DK15&lt;0.5),"NM",DM15/DK15*100-100))</f>
        <v>-17.674970344009495</v>
      </c>
      <c r="DO15" s="655">
        <f>DO13+DO14</f>
        <v>657</v>
      </c>
      <c r="DP15" s="629">
        <f>IF(ISERROR(DO15/DM15),"NA",IF(OR(DO15/DM15&gt;2,DO15/DM15&lt;0.5),"NM",DO15/DM15*100-100))</f>
        <v>-5.331412103746402</v>
      </c>
      <c r="DQ15" s="655">
        <f>DQ13+DQ14</f>
        <v>400</v>
      </c>
      <c r="DR15" s="629">
        <f>IF(ISERROR(DQ15/DO15),"NA",IF(OR(DQ15/DO15&gt;2,DQ15/DO15&lt;0.5),"NM",DQ15/DO15*100-100))</f>
        <v>-39.117199391171994</v>
      </c>
      <c r="DS15" s="655">
        <f>DS13+DS14</f>
        <v>740</v>
      </c>
      <c r="DT15" s="629">
        <f>IF(ISERROR(DS15/DQ15),"NA",IF(OR(DS15/DQ15&gt;2,DS15/DQ15&lt;0.5),"NM",DS15/DQ15*100-100))</f>
        <v>85</v>
      </c>
      <c r="DU15" s="655">
        <f>DU13+DU14</f>
        <v>521</v>
      </c>
      <c r="DV15" s="629">
        <f>IF(ISERROR(DU15/DS15),"NA",IF(OR(DU15/DS15&gt;2,DU15/DS15&lt;0.5),"NM",DU15/DS15*100-100))</f>
        <v>-29.594594594594597</v>
      </c>
      <c r="DW15" s="655">
        <f>INPUT!GJ316</f>
        <v>779</v>
      </c>
      <c r="DX15" s="655">
        <f>INPUT!GK316</f>
        <v>-0.76433121019108796</v>
      </c>
      <c r="DY15" s="655">
        <f>INPUT!GL316</f>
        <v>787</v>
      </c>
      <c r="DZ15" s="655">
        <f>INPUT!GM316</f>
        <v>1.0269576379974268</v>
      </c>
      <c r="EA15" s="655">
        <f>INPUT!GN316</f>
        <v>979</v>
      </c>
      <c r="EB15" s="655">
        <f>INPUT!GO316</f>
        <v>24.396442185514616</v>
      </c>
      <c r="EC15" s="655">
        <f>INPUT!GP316</f>
        <v>999.70615942116592</v>
      </c>
      <c r="ED15" s="655">
        <f>INPUT!GQ316</f>
        <v>2.1150316058392065</v>
      </c>
      <c r="EE15" s="655">
        <f>INPUT!GR316</f>
        <v>1054.0497274759146</v>
      </c>
      <c r="EF15" s="655">
        <f>INPUT!GS316</f>
        <v>5.4359541093768655</v>
      </c>
      <c r="EG15" s="655">
        <f>INPUT!GT316</f>
        <v>1100.2812256602492</v>
      </c>
      <c r="EH15" s="655">
        <f>INPUT!GU316</f>
        <v>4.3860832159259928</v>
      </c>
      <c r="EI15" s="655">
        <f>INPUT!GV316</f>
        <v>1146.0943113049616</v>
      </c>
      <c r="EJ15" s="655">
        <f>INPUT!GW316</f>
        <v>4.1637614617318519</v>
      </c>
      <c r="EK15" s="655">
        <f>INPUT!GX316</f>
        <v>1178.6654491965437</v>
      </c>
      <c r="EL15" s="655">
        <f>INPUT!GY316</f>
        <v>2.8419247500230682</v>
      </c>
      <c r="EM15" s="655">
        <f>INPUT!GZ316</f>
        <v>3.7818892258121739</v>
      </c>
    </row>
    <row r="16" spans="1:224" s="632" customFormat="1" ht="12.75" customHeight="1" x14ac:dyDescent="0.2">
      <c r="A16" s="652" t="s">
        <v>829</v>
      </c>
      <c r="B16" s="655">
        <f>INPUT!AY383</f>
        <v>230</v>
      </c>
      <c r="C16" s="635">
        <f>INPUT!AZ383</f>
        <v>28.491620111731862</v>
      </c>
      <c r="D16" s="655">
        <f>INPUT!BA383</f>
        <v>228</v>
      </c>
      <c r="E16" s="635">
        <f>INPUT!BB383</f>
        <v>24.590163934426229</v>
      </c>
      <c r="F16" s="655">
        <f>INPUT!BC383</f>
        <v>247</v>
      </c>
      <c r="G16" s="635">
        <f>INPUT!BD383</f>
        <v>13.824884792626733</v>
      </c>
      <c r="H16" s="655">
        <f>INPUT!BE383</f>
        <v>232</v>
      </c>
      <c r="I16" s="635">
        <f>INPUT!BF383</f>
        <v>1.3100436681222618</v>
      </c>
      <c r="J16" s="655">
        <f>INPUT!BG383</f>
        <v>269</v>
      </c>
      <c r="K16" s="635">
        <f>INPUT!BH383</f>
        <v>16.956521739130423</v>
      </c>
      <c r="L16" s="655">
        <f>INPUT!BI383</f>
        <v>253</v>
      </c>
      <c r="M16" s="635">
        <f>INPUT!BJ383</f>
        <v>10.964912280701753</v>
      </c>
      <c r="N16" s="655">
        <f>INPUT!BK383</f>
        <v>266</v>
      </c>
      <c r="O16" s="635">
        <f>INPUT!BL383</f>
        <v>7.6923076923076934</v>
      </c>
      <c r="P16" s="655">
        <f>INPUT!BM383</f>
        <v>232</v>
      </c>
      <c r="Q16" s="635">
        <f>INPUT!BN383</f>
        <v>0</v>
      </c>
      <c r="R16" s="655">
        <f>INPUT!BO383</f>
        <v>285</v>
      </c>
      <c r="S16" s="635">
        <f>INPUT!BP383</f>
        <v>5.9479553903345703</v>
      </c>
      <c r="T16" s="655">
        <f>INPUT!BQ383</f>
        <v>286</v>
      </c>
      <c r="U16" s="635">
        <f>INPUT!BR383</f>
        <v>13.043478260869563</v>
      </c>
      <c r="V16" s="655">
        <f>INPUT!BS383</f>
        <v>293</v>
      </c>
      <c r="W16" s="635">
        <f>INPUT!BT383</f>
        <v>10.150375939849624</v>
      </c>
      <c r="X16" s="655">
        <f>INPUT!BU383</f>
        <v>261</v>
      </c>
      <c r="Y16" s="635">
        <f>INPUT!BV383</f>
        <v>12.5</v>
      </c>
      <c r="Z16" s="655">
        <f>INPUT!BW383</f>
        <v>294</v>
      </c>
      <c r="AA16" s="635">
        <f>INPUT!BX383</f>
        <v>3.1578947368421098</v>
      </c>
      <c r="AB16" s="655">
        <f>INPUT!BY383</f>
        <v>315</v>
      </c>
      <c r="AC16" s="635">
        <f>INPUT!BZ383</f>
        <v>10.139860139860147</v>
      </c>
      <c r="AD16" s="655">
        <f>INPUT!CA383</f>
        <v>310</v>
      </c>
      <c r="AE16" s="635">
        <f>INPUT!CB383</f>
        <v>5.8020477815699678</v>
      </c>
      <c r="AF16" s="655">
        <f>INPUT!CC383</f>
        <v>302</v>
      </c>
      <c r="AG16" s="635">
        <f>INPUT!CD383</f>
        <v>15.708812260536405</v>
      </c>
      <c r="AH16" s="655">
        <f>INPUT!CE383</f>
        <v>298</v>
      </c>
      <c r="AI16" s="635">
        <f>INPUT!CF383</f>
        <v>1.3605442176870781</v>
      </c>
      <c r="AJ16" s="655">
        <f>INPUT!CG383</f>
        <v>265</v>
      </c>
      <c r="AK16" s="635">
        <f>INPUT!CH383</f>
        <v>-15.873015873015873</v>
      </c>
      <c r="AL16" s="655">
        <f>INPUT!CI383</f>
        <v>296</v>
      </c>
      <c r="AM16" s="635">
        <f>INPUT!CJ383</f>
        <v>-4.5161290322580641</v>
      </c>
      <c r="AN16" s="655">
        <f>INPUT!CK383</f>
        <v>290</v>
      </c>
      <c r="AO16" s="635">
        <f>INPUT!CL383</f>
        <v>-3.9735099337748352</v>
      </c>
      <c r="AP16" s="655">
        <f>INPUT!CM383</f>
        <v>300</v>
      </c>
      <c r="AQ16" s="635">
        <f>INPUT!CN383</f>
        <v>0.67114093959732202</v>
      </c>
      <c r="AR16" s="655">
        <f>INPUT!CO383</f>
        <v>315</v>
      </c>
      <c r="AS16" s="635">
        <f>INPUT!CP383</f>
        <v>18.867924528301884</v>
      </c>
      <c r="AT16" s="655">
        <f>INPUT!CQ383</f>
        <v>331</v>
      </c>
      <c r="AU16" s="635">
        <f>INPUT!CR383</f>
        <v>11.824324324324323</v>
      </c>
      <c r="AV16" s="655">
        <f>INPUT!CS383</f>
        <v>300</v>
      </c>
      <c r="AW16" s="635">
        <f>INPUT!CT383</f>
        <v>3.448275862068968</v>
      </c>
      <c r="AX16" s="655">
        <f>INPUT!CU383</f>
        <v>382</v>
      </c>
      <c r="AY16" s="635">
        <f>INPUT!CV383</f>
        <v>27.333333333333343</v>
      </c>
      <c r="AZ16" s="655">
        <f>INPUT!CW383</f>
        <v>374</v>
      </c>
      <c r="BA16" s="635">
        <f>INPUT!CX383</f>
        <v>18.730158730158735</v>
      </c>
      <c r="BB16" s="655">
        <f>INPUT!CY383</f>
        <v>393</v>
      </c>
      <c r="BC16" s="635">
        <f>INPUT!CZ383</f>
        <v>18.731117824773406</v>
      </c>
      <c r="BD16" s="655">
        <f>INPUT!DA383</f>
        <v>332</v>
      </c>
      <c r="BE16" s="635">
        <f>INPUT!DB383</f>
        <v>10.666666666666671</v>
      </c>
      <c r="BF16" s="655">
        <f>INPUT!DC383</f>
        <v>422</v>
      </c>
      <c r="BG16" s="635">
        <f>INPUT!DD383</f>
        <v>10.471204188481693</v>
      </c>
      <c r="BH16" s="655">
        <f>INPUT!DE383</f>
        <v>368</v>
      </c>
      <c r="BI16" s="635">
        <f>INPUT!DF383</f>
        <v>-1.6042780748663006</v>
      </c>
      <c r="BJ16" s="655">
        <f>INPUT!DG383</f>
        <v>424</v>
      </c>
      <c r="BK16" s="635">
        <f>INPUT!DH383</f>
        <v>7.8880407124681966</v>
      </c>
      <c r="BL16" s="655">
        <f>INPUT!DI383</f>
        <v>303</v>
      </c>
      <c r="BM16" s="635">
        <f>INPUT!DJ383</f>
        <v>-8.7349397590361377</v>
      </c>
      <c r="BN16" s="655">
        <f>INPUT!DK383</f>
        <v>419</v>
      </c>
      <c r="BO16" s="635">
        <f>INPUT!DL383</f>
        <v>-0.71090047393364841</v>
      </c>
      <c r="BP16" s="655">
        <f>INPUT!DM383</f>
        <v>382</v>
      </c>
      <c r="BQ16" s="635">
        <f>INPUT!DN383</f>
        <v>3.8043478260869676</v>
      </c>
      <c r="BR16" s="655">
        <f>INPUT!DO383</f>
        <v>414</v>
      </c>
      <c r="BS16" s="635">
        <f>INPUT!DP383</f>
        <v>-2.3584905660377444</v>
      </c>
      <c r="BT16" s="655">
        <f>INPUT!DQ383</f>
        <v>374</v>
      </c>
      <c r="BU16" s="635">
        <f>INPUT!DR383</f>
        <v>23.43234323432344</v>
      </c>
      <c r="BV16" s="655">
        <f>INPUT!DS383</f>
        <v>439</v>
      </c>
      <c r="BW16" s="635">
        <f>INPUT!DT383</f>
        <v>4.7732696897374751</v>
      </c>
      <c r="BX16" s="655">
        <f>INPUT!DU383</f>
        <v>381</v>
      </c>
      <c r="BY16" s="635">
        <f>INPUT!DV383</f>
        <v>-0.26178010471204516</v>
      </c>
      <c r="BZ16" s="655">
        <f>INPUT!DW383</f>
        <v>398</v>
      </c>
      <c r="CA16" s="635">
        <f>INPUT!DX383</f>
        <v>-3.864734299516897</v>
      </c>
      <c r="CB16" s="655">
        <f>INPUT!DY383</f>
        <v>367</v>
      </c>
      <c r="CC16" s="635">
        <f>INPUT!DZ383</f>
        <v>-1.8716577540106982</v>
      </c>
      <c r="CD16" s="655">
        <f>INPUT!EA383</f>
        <v>410</v>
      </c>
      <c r="CE16" s="635">
        <f>INPUT!EB383</f>
        <v>-6.6059225512528457</v>
      </c>
      <c r="CF16" s="655">
        <f>INPUT!EC383</f>
        <v>343</v>
      </c>
      <c r="CG16" s="635">
        <f>INPUT!ED383</f>
        <v>-9.9737532808398868</v>
      </c>
      <c r="CH16" s="655">
        <f>INPUT!EE383</f>
        <v>391</v>
      </c>
      <c r="CI16" s="635">
        <f>INPUT!EF383</f>
        <v>-1.7587939698492505</v>
      </c>
      <c r="CJ16" s="655">
        <f>INPUT!EG383</f>
        <v>395</v>
      </c>
      <c r="CK16" s="635">
        <f>INPUT!EH383</f>
        <v>7.6294277929155356</v>
      </c>
      <c r="CL16" s="655">
        <f>CL15</f>
        <v>196</v>
      </c>
      <c r="CM16" s="655">
        <f t="shared" ref="CM16:DB16" si="36">CM15</f>
        <v>18.787878787878796</v>
      </c>
      <c r="CN16" s="655">
        <f t="shared" si="36"/>
        <v>218</v>
      </c>
      <c r="CO16" s="655">
        <f t="shared" si="36"/>
        <v>5.3140096618357546</v>
      </c>
      <c r="CP16" s="655">
        <f t="shared" si="36"/>
        <v>259</v>
      </c>
      <c r="CQ16" s="655">
        <f t="shared" si="36"/>
        <v>35.602094240837687</v>
      </c>
      <c r="CR16" s="655">
        <f t="shared" si="36"/>
        <v>306</v>
      </c>
      <c r="CS16" s="655">
        <f t="shared" si="36"/>
        <v>36.607142857142861</v>
      </c>
      <c r="CT16" s="655">
        <f t="shared" si="36"/>
        <v>248.7617701489836</v>
      </c>
      <c r="CU16" s="655">
        <f t="shared" si="36"/>
        <v>26.9192704841753</v>
      </c>
      <c r="CV16" s="655">
        <f t="shared" si="36"/>
        <v>248.08063873696301</v>
      </c>
      <c r="CW16" s="655">
        <f t="shared" si="36"/>
        <v>13.798458136221555</v>
      </c>
      <c r="CX16" s="655">
        <f t="shared" si="36"/>
        <v>251.77587255214337</v>
      </c>
      <c r="CY16" s="655">
        <f t="shared" si="36"/>
        <v>-2.7892383968558363</v>
      </c>
      <c r="CZ16" s="655">
        <f t="shared" si="36"/>
        <v>251.08787798307571</v>
      </c>
      <c r="DA16" s="655">
        <f t="shared" si="36"/>
        <v>-17.945137914027541</v>
      </c>
      <c r="DB16" s="655">
        <f t="shared" si="36"/>
        <v>0</v>
      </c>
      <c r="DC16" s="655">
        <f>INPUT!FP383</f>
        <v>808</v>
      </c>
      <c r="DD16" s="635">
        <f>INPUT!FQ383</f>
        <v>56.893203883495147</v>
      </c>
      <c r="DE16" s="655">
        <f>INPUT!FR383</f>
        <v>937</v>
      </c>
      <c r="DF16" s="635">
        <f>INPUT!FS383</f>
        <v>15.965346534653463</v>
      </c>
      <c r="DG16" s="655">
        <f>INPUT!FT383</f>
        <v>1020</v>
      </c>
      <c r="DH16" s="635">
        <f>INPUT!FU383</f>
        <v>8.858057630736397</v>
      </c>
      <c r="DI16" s="655">
        <f>INPUT!FV383</f>
        <v>998</v>
      </c>
      <c r="DJ16" s="635">
        <f>INPUT!FW383</f>
        <v>-2.1568627450980387</v>
      </c>
      <c r="DK16" s="655">
        <f>INPUT!FX383</f>
        <v>1059</v>
      </c>
      <c r="DL16" s="635">
        <f>INPUT!FY383</f>
        <v>6.1122244488977913</v>
      </c>
      <c r="DM16" s="655">
        <f>INPUT!FZ383</f>
        <v>1149</v>
      </c>
      <c r="DN16" s="635">
        <f>INPUT!GA383</f>
        <v>8.4985835694050991</v>
      </c>
      <c r="DO16" s="655">
        <f>INPUT!GB383</f>
        <v>1246</v>
      </c>
      <c r="DP16" s="635">
        <f>INPUT!GC383</f>
        <v>8.4421235857267192</v>
      </c>
      <c r="DQ16" s="655">
        <f>INPUT!GD383</f>
        <v>1481</v>
      </c>
      <c r="DR16" s="635">
        <f>INPUT!GE383</f>
        <v>18.860353130016065</v>
      </c>
      <c r="DS16" s="655">
        <f>INPUT!GF383</f>
        <v>1517</v>
      </c>
      <c r="DT16" s="635">
        <f>INPUT!GG383</f>
        <v>2.4307900067521899</v>
      </c>
      <c r="DU16" s="655">
        <f>INPUT!GH383</f>
        <v>1589</v>
      </c>
      <c r="DV16" s="635">
        <f>INPUT!GI383</f>
        <v>4.7462096242583982</v>
      </c>
      <c r="DW16" s="655">
        <f t="shared" ref="DW16" si="37">DW15</f>
        <v>779</v>
      </c>
      <c r="DX16" s="655">
        <f t="shared" ref="DX16" si="38">DX15</f>
        <v>-0.76433121019108796</v>
      </c>
      <c r="DY16" s="655">
        <f t="shared" ref="DY16" si="39">DY15</f>
        <v>787</v>
      </c>
      <c r="DZ16" s="655">
        <f t="shared" ref="DZ16" si="40">DZ15</f>
        <v>1.0269576379974268</v>
      </c>
      <c r="EA16" s="655">
        <f t="shared" ref="EA16" si="41">EA15</f>
        <v>979</v>
      </c>
      <c r="EB16" s="655">
        <f t="shared" ref="EB16" si="42">EB15</f>
        <v>24.396442185514616</v>
      </c>
      <c r="EC16" s="655">
        <f t="shared" ref="EC16" si="43">EC15</f>
        <v>999.70615942116592</v>
      </c>
      <c r="ED16" s="655">
        <f t="shared" ref="ED16" si="44">ED15</f>
        <v>2.1150316058392065</v>
      </c>
      <c r="EE16" s="655">
        <f t="shared" ref="EE16" si="45">EE15</f>
        <v>1054.0497274759146</v>
      </c>
      <c r="EF16" s="655">
        <f t="shared" ref="EF16" si="46">EF15</f>
        <v>5.4359541093768655</v>
      </c>
      <c r="EG16" s="655">
        <f t="shared" ref="EG16" si="47">EG15</f>
        <v>1100.2812256602492</v>
      </c>
      <c r="EH16" s="655">
        <f t="shared" ref="EH16" si="48">EH15</f>
        <v>4.3860832159259928</v>
      </c>
      <c r="EI16" s="655">
        <f t="shared" ref="EI16" si="49">EI15</f>
        <v>1146.0943113049616</v>
      </c>
      <c r="EJ16" s="655">
        <f t="shared" ref="EJ16" si="50">EJ15</f>
        <v>4.1637614617318519</v>
      </c>
      <c r="EK16" s="655">
        <f t="shared" ref="EK16" si="51">EK15</f>
        <v>1178.6654491965437</v>
      </c>
      <c r="EL16" s="655">
        <f t="shared" ref="EL16" si="52">EL15</f>
        <v>2.8419247500230682</v>
      </c>
      <c r="EM16" s="655">
        <f t="shared" ref="EM16" si="53">EM15</f>
        <v>3.7818892258121739</v>
      </c>
    </row>
    <row r="17" spans="1:144" s="632" customFormat="1" ht="12.75" customHeight="1" x14ac:dyDescent="0.2">
      <c r="A17" s="644" t="s">
        <v>82</v>
      </c>
      <c r="B17" s="655">
        <f>INPUT!AY422</f>
        <v>109</v>
      </c>
      <c r="C17" s="635">
        <f>INPUT!AZ422</f>
        <v>2.8301886792452962</v>
      </c>
      <c r="D17" s="655">
        <f>INPUT!BA422</f>
        <v>102</v>
      </c>
      <c r="E17" s="635">
        <f>INPUT!BB422</f>
        <v>-29.166666666666657</v>
      </c>
      <c r="F17" s="655">
        <f>INPUT!BC422</f>
        <v>148</v>
      </c>
      <c r="G17" s="635">
        <f>INPUT!BD422</f>
        <v>4.9645390070921991</v>
      </c>
      <c r="H17" s="655">
        <f>INPUT!BE422</f>
        <v>131</v>
      </c>
      <c r="I17" s="635">
        <f>INPUT!BF422</f>
        <v>18.018018018018012</v>
      </c>
      <c r="J17" s="655">
        <f>INPUT!BG422</f>
        <v>143</v>
      </c>
      <c r="K17" s="635">
        <f>INPUT!BH422</f>
        <v>31.192660550458697</v>
      </c>
      <c r="L17" s="655">
        <f>INPUT!BI422</f>
        <v>157</v>
      </c>
      <c r="M17" s="635">
        <f>INPUT!BJ422</f>
        <v>53.921568627450995</v>
      </c>
      <c r="N17" s="655">
        <f>INPUT!BK422</f>
        <v>157</v>
      </c>
      <c r="O17" s="635">
        <f>INPUT!BL422</f>
        <v>6.0810810810810807</v>
      </c>
      <c r="P17" s="655">
        <f>INPUT!BM422</f>
        <v>121</v>
      </c>
      <c r="Q17" s="635">
        <f>INPUT!BN422</f>
        <v>-7.6335877862595396</v>
      </c>
      <c r="R17" s="655">
        <f>INPUT!BO422</f>
        <v>128</v>
      </c>
      <c r="S17" s="635">
        <f>INPUT!BP422</f>
        <v>-10.489510489510494</v>
      </c>
      <c r="T17" s="655">
        <f>INPUT!BQ422</f>
        <v>167</v>
      </c>
      <c r="U17" s="635">
        <f>INPUT!BR422</f>
        <v>6.369426751592357</v>
      </c>
      <c r="V17" s="655">
        <f>INPUT!BS422</f>
        <v>167</v>
      </c>
      <c r="W17" s="635">
        <f>INPUT!BT422</f>
        <v>6.369426751592357</v>
      </c>
      <c r="X17" s="655">
        <f>INPUT!BU422</f>
        <v>160</v>
      </c>
      <c r="Y17" s="635">
        <f>INPUT!BV422</f>
        <v>32.2314049586777</v>
      </c>
      <c r="Z17" s="655">
        <f>INPUT!BW422</f>
        <v>136</v>
      </c>
      <c r="AA17" s="635">
        <f>INPUT!BX422</f>
        <v>6.25</v>
      </c>
      <c r="AB17" s="655">
        <f>INPUT!BY422</f>
        <v>158</v>
      </c>
      <c r="AC17" s="635">
        <f>INPUT!BZ422</f>
        <v>-5.3892215568862269</v>
      </c>
      <c r="AD17" s="655">
        <f>INPUT!CA422</f>
        <v>197</v>
      </c>
      <c r="AE17" s="635">
        <f>INPUT!CB422</f>
        <v>17.964071856287433</v>
      </c>
      <c r="AF17" s="655">
        <f>INPUT!CC422</f>
        <v>156</v>
      </c>
      <c r="AG17" s="635">
        <f>INPUT!CD422</f>
        <v>-2.5</v>
      </c>
      <c r="AH17" s="655">
        <f>INPUT!CE422</f>
        <v>156</v>
      </c>
      <c r="AI17" s="635">
        <f>INPUT!CF422</f>
        <v>14.705882352941174</v>
      </c>
      <c r="AJ17" s="655">
        <f>INPUT!CG422</f>
        <v>163</v>
      </c>
      <c r="AK17" s="635">
        <f>INPUT!CH422</f>
        <v>3.1645569620253156</v>
      </c>
      <c r="AL17" s="655">
        <f>INPUT!CI422</f>
        <v>199</v>
      </c>
      <c r="AM17" s="635">
        <f>INPUT!CJ422</f>
        <v>1.0152284263959359</v>
      </c>
      <c r="AN17" s="655">
        <f>INPUT!CK422</f>
        <v>248</v>
      </c>
      <c r="AO17" s="635">
        <f>INPUT!CL422</f>
        <v>58.974358974358978</v>
      </c>
      <c r="AP17" s="655">
        <f>INPUT!CM422</f>
        <v>328</v>
      </c>
      <c r="AQ17" s="635" t="str">
        <f>INPUT!CN422</f>
        <v>NM</v>
      </c>
      <c r="AR17" s="655">
        <f>INPUT!CO422</f>
        <v>185</v>
      </c>
      <c r="AS17" s="635">
        <f>INPUT!CP422</f>
        <v>13.496932515337434</v>
      </c>
      <c r="AT17" s="655">
        <f>INPUT!CQ422</f>
        <v>329</v>
      </c>
      <c r="AU17" s="635">
        <f>INPUT!CR422</f>
        <v>65.326633165829151</v>
      </c>
      <c r="AV17" s="655">
        <f>INPUT!CS422</f>
        <v>202</v>
      </c>
      <c r="AW17" s="635">
        <f>INPUT!CT422</f>
        <v>-18.548387096774192</v>
      </c>
      <c r="AX17" s="655">
        <f>INPUT!CU422</f>
        <v>215</v>
      </c>
      <c r="AY17" s="635">
        <f>INPUT!CV422</f>
        <v>-34.451219512195124</v>
      </c>
      <c r="AZ17" s="655">
        <f>INPUT!CW422</f>
        <v>304</v>
      </c>
      <c r="BA17" s="635">
        <f>INPUT!CX422</f>
        <v>64.324324324324323</v>
      </c>
      <c r="BB17" s="655">
        <f>INPUT!CY422</f>
        <v>389</v>
      </c>
      <c r="BC17" s="635">
        <f>INPUT!CZ422</f>
        <v>18.237082066869291</v>
      </c>
      <c r="BD17" s="655">
        <f>INPUT!DA422</f>
        <v>315</v>
      </c>
      <c r="BE17" s="635">
        <f>INPUT!DB422</f>
        <v>55.940594059405953</v>
      </c>
      <c r="BF17" s="655">
        <f>INPUT!DC422</f>
        <v>455</v>
      </c>
      <c r="BG17" s="635" t="str">
        <f>INPUT!DD422</f>
        <v>NM</v>
      </c>
      <c r="BH17" s="655">
        <f>INPUT!DE422</f>
        <v>482</v>
      </c>
      <c r="BI17" s="635">
        <f>INPUT!DF422</f>
        <v>58.55263157894737</v>
      </c>
      <c r="BJ17" s="655">
        <f>INPUT!DG422</f>
        <v>354</v>
      </c>
      <c r="BK17" s="635">
        <f>INPUT!DH422</f>
        <v>-8.9974293059125898</v>
      </c>
      <c r="BL17" s="655">
        <f>INPUT!DI422</f>
        <v>344</v>
      </c>
      <c r="BM17" s="635">
        <f>INPUT!DJ422</f>
        <v>9.2063492063492021</v>
      </c>
      <c r="BN17" s="655">
        <f>INPUT!DK422</f>
        <v>418</v>
      </c>
      <c r="BO17" s="635">
        <f>INPUT!DL422</f>
        <v>-8.1318681318681314</v>
      </c>
      <c r="BP17" s="655">
        <f>INPUT!DM422</f>
        <v>502</v>
      </c>
      <c r="BQ17" s="635">
        <f>INPUT!DN422</f>
        <v>4.1493775933610095</v>
      </c>
      <c r="BR17" s="655">
        <f>INPUT!DO422</f>
        <v>431</v>
      </c>
      <c r="BS17" s="635">
        <f>INPUT!DP422</f>
        <v>21.751412429378519</v>
      </c>
      <c r="BT17" s="655">
        <f>INPUT!DQ422</f>
        <v>312</v>
      </c>
      <c r="BU17" s="635">
        <f>INPUT!DR422</f>
        <v>-9.3023255813953512</v>
      </c>
      <c r="BV17" s="655">
        <f>INPUT!DS422</f>
        <v>395</v>
      </c>
      <c r="BW17" s="635">
        <f>INPUT!DT422</f>
        <v>-5.5023923444976077</v>
      </c>
      <c r="BX17" s="655">
        <f>INPUT!DU422</f>
        <v>461</v>
      </c>
      <c r="BY17" s="635">
        <f>INPUT!DV422</f>
        <v>-8.1673306772908347</v>
      </c>
      <c r="BZ17" s="655">
        <f>INPUT!DW422</f>
        <v>414</v>
      </c>
      <c r="CA17" s="635">
        <f>INPUT!DX422</f>
        <v>-3.9443155452436116</v>
      </c>
      <c r="CB17" s="655">
        <f>INPUT!DY422</f>
        <v>371</v>
      </c>
      <c r="CC17" s="635">
        <f>INPUT!DZ422</f>
        <v>18.910256410256409</v>
      </c>
      <c r="CD17" s="655">
        <f>INPUT!EA422</f>
        <v>369</v>
      </c>
      <c r="CE17" s="635">
        <f>INPUT!EB422</f>
        <v>-6.5822784810126649</v>
      </c>
      <c r="CF17" s="655">
        <f>INPUT!EC422</f>
        <v>460</v>
      </c>
      <c r="CG17" s="635">
        <f>INPUT!ED422</f>
        <v>-0.21691973969630851</v>
      </c>
      <c r="CH17" s="655">
        <f>INPUT!EE422</f>
        <v>389</v>
      </c>
      <c r="CI17" s="635">
        <f>INPUT!EF422</f>
        <v>-6.0386473429951764</v>
      </c>
      <c r="CJ17" s="655">
        <f>INPUT!EG422</f>
        <v>360</v>
      </c>
      <c r="CK17" s="635">
        <f>INPUT!EH422</f>
        <v>-2.9649595687331498</v>
      </c>
      <c r="CL17" s="655">
        <f>INPUT!EI383</f>
        <v>408</v>
      </c>
      <c r="CM17" s="655">
        <f>INPUT!EJ383</f>
        <v>-0.48780487804877737</v>
      </c>
      <c r="CN17" s="655">
        <f>INPUT!EK383</f>
        <v>329</v>
      </c>
      <c r="CO17" s="655">
        <f>INPUT!EL383</f>
        <v>-4.0816326530612344</v>
      </c>
      <c r="CP17" s="655">
        <f>INPUT!EM383</f>
        <v>373</v>
      </c>
      <c r="CQ17" s="655">
        <f>INPUT!EN383</f>
        <v>-4.6035805626598432</v>
      </c>
      <c r="CR17" s="655">
        <f>INPUT!EO383</f>
        <v>383</v>
      </c>
      <c r="CS17" s="655">
        <f>INPUT!EP383</f>
        <v>-3.0379746835443058</v>
      </c>
      <c r="CT17" s="655">
        <f>INPUT!EQ383</f>
        <v>434.29932252252229</v>
      </c>
      <c r="CU17" s="655">
        <f>INPUT!ER383</f>
        <v>6.4459123829711444</v>
      </c>
      <c r="CV17" s="655">
        <f>INPUT!ES383</f>
        <v>403.28380576576592</v>
      </c>
      <c r="CW17" s="655">
        <f>INPUT!ET383</f>
        <v>22.578664366494209</v>
      </c>
      <c r="CX17" s="655">
        <f>INPUT!EU383</f>
        <v>390.32150486486489</v>
      </c>
      <c r="CY17" s="655">
        <f>INPUT!EV383</f>
        <v>4.643835084414178</v>
      </c>
      <c r="CZ17" s="655">
        <f>INPUT!EW383</f>
        <v>398.35792252252259</v>
      </c>
      <c r="DA17" s="655">
        <f>INPUT!EX383</f>
        <v>4.0099014419119072</v>
      </c>
      <c r="DB17" s="655">
        <f>INPUT!EY383</f>
        <v>0</v>
      </c>
      <c r="DC17" s="655">
        <f>INPUT!FP422</f>
        <v>502</v>
      </c>
      <c r="DD17" s="635">
        <f>INPUT!FQ422</f>
        <v>24.875621890547265</v>
      </c>
      <c r="DE17" s="655">
        <f>INPUT!FR422</f>
        <v>490</v>
      </c>
      <c r="DF17" s="635">
        <f>INPUT!FS422</f>
        <v>-2.3904382470119572</v>
      </c>
      <c r="DG17" s="655">
        <f>INPUT!FT422</f>
        <v>578</v>
      </c>
      <c r="DH17" s="635">
        <f>INPUT!FU422</f>
        <v>17.959183673469383</v>
      </c>
      <c r="DI17" s="655">
        <f>INPUT!FV422</f>
        <v>171</v>
      </c>
      <c r="DJ17" s="635" t="str">
        <f>INPUT!FW422</f>
        <v>NM</v>
      </c>
      <c r="DK17" s="655">
        <f>INPUT!FX422</f>
        <v>618</v>
      </c>
      <c r="DL17" s="635" t="str">
        <f>INPUT!FY422</f>
        <v>NM</v>
      </c>
      <c r="DM17" s="655">
        <f>INPUT!FZ422</f>
        <v>766</v>
      </c>
      <c r="DN17" s="635">
        <f>INPUT!GA422</f>
        <v>23.948220064724921</v>
      </c>
      <c r="DO17" s="655">
        <f>INPUT!GB422</f>
        <v>1044</v>
      </c>
      <c r="DP17" s="635">
        <f>INPUT!GC422</f>
        <v>36.292428198433413</v>
      </c>
      <c r="DQ17" s="655">
        <f>INPUT!GD422</f>
        <v>1223</v>
      </c>
      <c r="DR17" s="635">
        <f>INPUT!GE422</f>
        <v>17.145593869731798</v>
      </c>
      <c r="DS17" s="655">
        <f>INPUT!GF422</f>
        <v>1635</v>
      </c>
      <c r="DT17" s="635">
        <f>INPUT!GG422</f>
        <v>33.687653311529033</v>
      </c>
      <c r="DU17" s="655">
        <f>INPUT!GH422</f>
        <v>1663</v>
      </c>
      <c r="DV17" s="635">
        <f>INPUT!GI422</f>
        <v>1.7125382262996851</v>
      </c>
      <c r="DW17" s="655">
        <f>INPUT!GJ383</f>
        <v>1585</v>
      </c>
      <c r="DX17" s="655">
        <f>INPUT!GK383</f>
        <v>-0.25173064820641855</v>
      </c>
      <c r="DY17" s="655">
        <f>INPUT!GL383</f>
        <v>1539</v>
      </c>
      <c r="DZ17" s="655">
        <f>INPUT!GM383</f>
        <v>-2.9022082018927478</v>
      </c>
      <c r="EA17" s="655">
        <f>INPUT!GN383</f>
        <v>1493</v>
      </c>
      <c r="EB17" s="655">
        <f>INPUT!GO383</f>
        <v>-2.9889538661468436</v>
      </c>
      <c r="EC17" s="655">
        <f>INPUT!GP383</f>
        <v>1626.2625556756757</v>
      </c>
      <c r="ED17" s="655">
        <f>INPUT!GQ383</f>
        <v>8.9258242247606034</v>
      </c>
      <c r="EE17" s="655">
        <f>INPUT!GR383</f>
        <v>1690.6914579027016</v>
      </c>
      <c r="EF17" s="655">
        <f>INPUT!GS383</f>
        <v>3.9617773896452491</v>
      </c>
      <c r="EG17" s="655">
        <f>INPUT!GT383</f>
        <v>1757.6291402188108</v>
      </c>
      <c r="EH17" s="655">
        <f>INPUT!GU383</f>
        <v>3.9591897151444471</v>
      </c>
      <c r="EI17" s="655">
        <f>INPUT!GV383</f>
        <v>1827.1684324675607</v>
      </c>
      <c r="EJ17" s="655">
        <f>INPUT!GW383</f>
        <v>3.95642577023348</v>
      </c>
      <c r="EK17" s="655">
        <f>INPUT!GX383</f>
        <v>1899.4050503366652</v>
      </c>
      <c r="EL17" s="655">
        <f>INPUT!GY383</f>
        <v>3.9534733955287322</v>
      </c>
      <c r="EM17" s="655">
        <f>INPUT!GZ383</f>
        <v>4.93287116057326</v>
      </c>
    </row>
    <row r="18" spans="1:144" s="632" customFormat="1" ht="12.75" customHeight="1" x14ac:dyDescent="0.2">
      <c r="A18" s="644" t="s">
        <v>322</v>
      </c>
      <c r="B18" s="655">
        <f>INPUT!AY453</f>
        <v>44</v>
      </c>
      <c r="C18" s="635">
        <f>INPUT!AZ453</f>
        <v>76</v>
      </c>
      <c r="D18" s="655">
        <f>INPUT!BA453</f>
        <v>34</v>
      </c>
      <c r="E18" s="635">
        <f>INPUT!BB453</f>
        <v>78.94736842105263</v>
      </c>
      <c r="F18" s="655">
        <f>INPUT!BC453</f>
        <v>31</v>
      </c>
      <c r="G18" s="635">
        <f>INPUT!BD453</f>
        <v>24</v>
      </c>
      <c r="H18" s="655">
        <f>INPUT!BE453</f>
        <v>34</v>
      </c>
      <c r="I18" s="635">
        <f>INPUT!BF453</f>
        <v>-8.1081081081080981</v>
      </c>
      <c r="J18" s="655">
        <f>INPUT!BG453</f>
        <v>62</v>
      </c>
      <c r="K18" s="635">
        <f>INPUT!BH453</f>
        <v>40.909090909090907</v>
      </c>
      <c r="L18" s="655">
        <f>INPUT!BI453</f>
        <v>43</v>
      </c>
      <c r="M18" s="635">
        <f>INPUT!BJ453</f>
        <v>26.470588235294116</v>
      </c>
      <c r="N18" s="655">
        <f>INPUT!BK453</f>
        <v>114</v>
      </c>
      <c r="O18" s="635" t="str">
        <f>INPUT!BL453</f>
        <v>NM</v>
      </c>
      <c r="P18" s="655">
        <f>INPUT!BM453</f>
        <v>40</v>
      </c>
      <c r="Q18" s="635">
        <f>INPUT!BN453</f>
        <v>17.64705882352942</v>
      </c>
      <c r="R18" s="655">
        <f>INPUT!BO453</f>
        <v>7</v>
      </c>
      <c r="S18" s="635" t="str">
        <f>INPUT!BP453</f>
        <v>NM</v>
      </c>
      <c r="T18" s="655">
        <f>INPUT!BQ453</f>
        <v>13</v>
      </c>
      <c r="U18" s="635" t="str">
        <f>INPUT!BR453</f>
        <v>NM</v>
      </c>
      <c r="V18" s="655">
        <f>INPUT!BS453</f>
        <v>27</v>
      </c>
      <c r="W18" s="635" t="str">
        <f>INPUT!BT453</f>
        <v>NM</v>
      </c>
      <c r="X18" s="655">
        <f>INPUT!BU453</f>
        <v>-407</v>
      </c>
      <c r="Y18" s="635" t="str">
        <f>INPUT!BV453</f>
        <v>NM</v>
      </c>
      <c r="Z18" s="655">
        <f>INPUT!BW453</f>
        <v>0</v>
      </c>
      <c r="AA18" s="635">
        <f>INPUT!BX453</f>
        <v>0</v>
      </c>
      <c r="AB18" s="655">
        <f>INPUT!BY453</f>
        <v>0</v>
      </c>
      <c r="AC18" s="635">
        <f>INPUT!BZ453</f>
        <v>0</v>
      </c>
      <c r="AD18" s="655">
        <f>INPUT!CA453</f>
        <v>0</v>
      </c>
      <c r="AE18" s="635">
        <f>INPUT!CB453</f>
        <v>0</v>
      </c>
      <c r="AF18" s="655">
        <f>INPUT!CC453</f>
        <v>0</v>
      </c>
      <c r="AG18" s="635">
        <f>INPUT!CD453</f>
        <v>0</v>
      </c>
      <c r="AH18" s="655">
        <f>INPUT!CE453</f>
        <v>0</v>
      </c>
      <c r="AI18" s="635">
        <f>INPUT!CF453</f>
        <v>0</v>
      </c>
      <c r="AJ18" s="655">
        <f>INPUT!CG453</f>
        <v>0</v>
      </c>
      <c r="AK18" s="635">
        <f>INPUT!CH453</f>
        <v>0</v>
      </c>
      <c r="AL18" s="655">
        <f>INPUT!CI453</f>
        <v>0</v>
      </c>
      <c r="AM18" s="635">
        <f>INPUT!CJ453</f>
        <v>0</v>
      </c>
      <c r="AN18" s="655">
        <f>INPUT!CK453</f>
        <v>0</v>
      </c>
      <c r="AO18" s="635">
        <f>INPUT!CL453</f>
        <v>0</v>
      </c>
      <c r="AP18" s="655">
        <f>INPUT!CM453</f>
        <v>0</v>
      </c>
      <c r="AQ18" s="635">
        <f>INPUT!CN453</f>
        <v>0</v>
      </c>
      <c r="AR18" s="655">
        <f>INPUT!CO453</f>
        <v>0</v>
      </c>
      <c r="AS18" s="635">
        <f>INPUT!CP453</f>
        <v>0</v>
      </c>
      <c r="AT18" s="655">
        <f>INPUT!CQ453</f>
        <v>0</v>
      </c>
      <c r="AU18" s="635">
        <f>INPUT!CR453</f>
        <v>0</v>
      </c>
      <c r="AV18" s="655">
        <f>INPUT!CS453</f>
        <v>0</v>
      </c>
      <c r="AW18" s="635">
        <f>INPUT!CT453</f>
        <v>0</v>
      </c>
      <c r="AX18" s="655">
        <f>INPUT!CU453</f>
        <v>0</v>
      </c>
      <c r="AY18" s="635">
        <f>INPUT!CV453</f>
        <v>0</v>
      </c>
      <c r="AZ18" s="655">
        <f>INPUT!CW453</f>
        <v>0</v>
      </c>
      <c r="BA18" s="635">
        <f>INPUT!CX453</f>
        <v>0</v>
      </c>
      <c r="BB18" s="655">
        <f>INPUT!CY453</f>
        <v>0</v>
      </c>
      <c r="BC18" s="635">
        <f>INPUT!CZ453</f>
        <v>0</v>
      </c>
      <c r="BD18" s="655">
        <f>INPUT!DA453</f>
        <v>0</v>
      </c>
      <c r="BE18" s="635">
        <f>INPUT!DB453</f>
        <v>0</v>
      </c>
      <c r="BF18" s="655">
        <f>INPUT!DC453</f>
        <v>0</v>
      </c>
      <c r="BG18" s="635">
        <f>INPUT!DD453</f>
        <v>0</v>
      </c>
      <c r="BH18" s="655">
        <f>INPUT!DE453</f>
        <v>0</v>
      </c>
      <c r="BI18" s="635">
        <f>INPUT!DF453</f>
        <v>0</v>
      </c>
      <c r="BJ18" s="655">
        <f>INPUT!DG453</f>
        <v>0</v>
      </c>
      <c r="BK18" s="635">
        <f>INPUT!DH453</f>
        <v>0</v>
      </c>
      <c r="BL18" s="655">
        <f>INPUT!DI453</f>
        <v>0</v>
      </c>
      <c r="BM18" s="635">
        <f>INPUT!DJ453</f>
        <v>0</v>
      </c>
      <c r="BN18" s="655">
        <f>INPUT!DK453</f>
        <v>0</v>
      </c>
      <c r="BO18" s="635">
        <f>INPUT!DL453</f>
        <v>0</v>
      </c>
      <c r="BP18" s="655">
        <f>INPUT!DM453</f>
        <v>0</v>
      </c>
      <c r="BQ18" s="635">
        <f>INPUT!DN453</f>
        <v>0</v>
      </c>
      <c r="BR18" s="655">
        <f>INPUT!DO453</f>
        <v>0</v>
      </c>
      <c r="BS18" s="635">
        <f>INPUT!DP453</f>
        <v>0</v>
      </c>
      <c r="BT18" s="655">
        <f>INPUT!DQ453</f>
        <v>0</v>
      </c>
      <c r="BU18" s="635">
        <f>INPUT!DR453</f>
        <v>0</v>
      </c>
      <c r="BV18" s="655">
        <f>INPUT!DS453</f>
        <v>0</v>
      </c>
      <c r="BW18" s="635">
        <f>INPUT!DT453</f>
        <v>0</v>
      </c>
      <c r="BX18" s="655">
        <f>INPUT!DU453</f>
        <v>0</v>
      </c>
      <c r="BY18" s="635">
        <f>INPUT!DV453</f>
        <v>0</v>
      </c>
      <c r="BZ18" s="655">
        <f>INPUT!DW453</f>
        <v>0</v>
      </c>
      <c r="CA18" s="635">
        <f>INPUT!DX453</f>
        <v>0</v>
      </c>
      <c r="CB18" s="655">
        <f>INPUT!DY453</f>
        <v>0</v>
      </c>
      <c r="CC18" s="635">
        <f>INPUT!DZ453</f>
        <v>0</v>
      </c>
      <c r="CD18" s="655">
        <f>INPUT!EA453</f>
        <v>0</v>
      </c>
      <c r="CE18" s="635">
        <f>INPUT!EB453</f>
        <v>0</v>
      </c>
      <c r="CF18" s="655">
        <f>INPUT!EC453</f>
        <v>0</v>
      </c>
      <c r="CG18" s="635">
        <f>INPUT!ED453</f>
        <v>0</v>
      </c>
      <c r="CH18" s="655">
        <f>INPUT!EE453</f>
        <v>0</v>
      </c>
      <c r="CI18" s="635">
        <f>INPUT!EF453</f>
        <v>0</v>
      </c>
      <c r="CJ18" s="655">
        <f>INPUT!EG453</f>
        <v>0</v>
      </c>
      <c r="CK18" s="635">
        <f>INPUT!EH453</f>
        <v>0</v>
      </c>
      <c r="CL18" s="655">
        <f>INPUT!EI422</f>
        <v>391</v>
      </c>
      <c r="CM18" s="655">
        <f>INPUT!EJ422</f>
        <v>5.9620596205962215</v>
      </c>
      <c r="CN18" s="655">
        <f>INPUT!EK422</f>
        <v>494</v>
      </c>
      <c r="CO18" s="655">
        <f>INPUT!EL422</f>
        <v>7.3913043478260931</v>
      </c>
      <c r="CP18" s="655">
        <f>INPUT!EM422</f>
        <v>426</v>
      </c>
      <c r="CQ18" s="655">
        <f>INPUT!EN422</f>
        <v>9.5115681233933174</v>
      </c>
      <c r="CR18" s="655">
        <f>INPUT!EO422</f>
        <v>394</v>
      </c>
      <c r="CS18" s="655">
        <f>INPUT!EP422</f>
        <v>9.4444444444444571</v>
      </c>
      <c r="CT18" s="655">
        <f>INPUT!EQ422</f>
        <v>418.40083542574803</v>
      </c>
      <c r="CU18" s="655">
        <f>INPUT!ER422</f>
        <v>7.0078862981452801</v>
      </c>
      <c r="CV18" s="655">
        <f>INPUT!ES422</f>
        <v>440.44495489295241</v>
      </c>
      <c r="CW18" s="655">
        <f>INPUT!ET422</f>
        <v>-10.8411022483902</v>
      </c>
      <c r="CX18" s="655">
        <f>INPUT!EU422</f>
        <v>423.59151031461124</v>
      </c>
      <c r="CY18" s="655">
        <f>INPUT!EV422</f>
        <v>-0.56537316558421935</v>
      </c>
      <c r="CZ18" s="655">
        <f>INPUT!EW422</f>
        <v>402.3062130630633</v>
      </c>
      <c r="DA18" s="655">
        <f>INPUT!EX422</f>
        <v>2.1081759043307926</v>
      </c>
      <c r="DB18" s="655">
        <f>INPUT!EY422</f>
        <v>0</v>
      </c>
      <c r="DC18" s="655">
        <f>INPUT!FP453</f>
        <v>106</v>
      </c>
      <c r="DD18" s="635">
        <f>INPUT!FQ453</f>
        <v>37.662337662337677</v>
      </c>
      <c r="DE18" s="655">
        <f>INPUT!FR453</f>
        <v>143</v>
      </c>
      <c r="DF18" s="635">
        <f>INPUT!FS453</f>
        <v>34.905660377358487</v>
      </c>
      <c r="DG18" s="655">
        <f>INPUT!FT453</f>
        <v>259</v>
      </c>
      <c r="DH18" s="635">
        <f>INPUT!FU453</f>
        <v>81.11888111888112</v>
      </c>
      <c r="DI18" s="655"/>
      <c r="DJ18" s="635"/>
      <c r="DK18" s="655"/>
      <c r="DL18" s="635"/>
      <c r="DM18" s="655"/>
      <c r="DN18" s="635"/>
      <c r="DO18" s="655"/>
      <c r="DP18" s="635"/>
      <c r="DQ18" s="655"/>
      <c r="DR18" s="635"/>
      <c r="DS18" s="655"/>
      <c r="DT18" s="635"/>
      <c r="DU18" s="655"/>
      <c r="DV18" s="635"/>
      <c r="DW18" s="655">
        <f>INPUT!GJ422</f>
        <v>1641</v>
      </c>
      <c r="DX18" s="655">
        <f>INPUT!GK422</f>
        <v>-1.3229104028863503</v>
      </c>
      <c r="DY18" s="655">
        <f>INPUT!GL422</f>
        <v>1578</v>
      </c>
      <c r="DZ18" s="655">
        <f>INPUT!GM422</f>
        <v>-3.8391224862888436</v>
      </c>
      <c r="EA18" s="655">
        <f>INPUT!GN422</f>
        <v>1705</v>
      </c>
      <c r="EB18" s="655">
        <f>INPUT!GO422</f>
        <v>8.0481622306717355</v>
      </c>
      <c r="EC18" s="655">
        <f>INPUT!GP422</f>
        <v>1684.7435136963741</v>
      </c>
      <c r="ED18" s="655">
        <f>INPUT!GQ422</f>
        <v>-1.1880637128226397</v>
      </c>
      <c r="EE18" s="655">
        <f>INPUT!GR422</f>
        <v>1698.5578145540567</v>
      </c>
      <c r="EF18" s="655">
        <f>INPUT!GS422</f>
        <v>0.8199646263883551</v>
      </c>
      <c r="EG18" s="655">
        <f>INPUT!GT422</f>
        <v>1701.199982699598</v>
      </c>
      <c r="EH18" s="655">
        <f>INPUT!GU422</f>
        <v>0.1555536186582458</v>
      </c>
      <c r="EI18" s="655">
        <f>INPUT!GV422</f>
        <v>1703.7247384265938</v>
      </c>
      <c r="EJ18" s="655">
        <f>INPUT!GW422</f>
        <v>0.14841028407425938</v>
      </c>
      <c r="EK18" s="655">
        <f>INPUT!GX422</f>
        <v>1706.1294692698593</v>
      </c>
      <c r="EL18" s="655">
        <f>INPUT!GY422</f>
        <v>0.14114550249979629</v>
      </c>
      <c r="EM18" s="655">
        <f>INPUT!GZ422</f>
        <v>1.3245397115624336E-2</v>
      </c>
    </row>
    <row r="19" spans="1:144" s="632" customFormat="1" ht="12.75" customHeight="1" x14ac:dyDescent="0.2">
      <c r="A19" s="652" t="s">
        <v>376</v>
      </c>
      <c r="B19" s="655">
        <f>B16+B17+B18</f>
        <v>383</v>
      </c>
      <c r="C19" s="635"/>
      <c r="D19" s="655">
        <f>D16+D17+D18</f>
        <v>364</v>
      </c>
      <c r="E19" s="635"/>
      <c r="F19" s="655">
        <f>F16+F17+F18</f>
        <v>426</v>
      </c>
      <c r="G19" s="635"/>
      <c r="H19" s="655">
        <f>H16+H17+H18</f>
        <v>397</v>
      </c>
      <c r="I19" s="635"/>
      <c r="J19" s="655">
        <f>J16+J17+J18</f>
        <v>474</v>
      </c>
      <c r="K19" s="629">
        <f>IF(ISERROR(J19/B19),"NA",IF(OR(J19/B19&gt;2,J19/B19&lt;0.5),"NM",J19/B19*100-100))</f>
        <v>23.759791122715399</v>
      </c>
      <c r="L19" s="655">
        <f>L16+L17+L18</f>
        <v>453</v>
      </c>
      <c r="M19" s="629">
        <f>IF(ISERROR(L19/D19),"NA",IF(OR(L19/D19&gt;2,L19/D19&lt;0.5),"NM",L19/D19*100-100))</f>
        <v>24.45054945054946</v>
      </c>
      <c r="N19" s="655">
        <f>N16+N17+N18</f>
        <v>537</v>
      </c>
      <c r="O19" s="629">
        <f>IF(ISERROR(N19/F19),"NA",IF(OR(N19/F19&gt;2,N19/F19&lt;0.5),"NM",N19/F19*100-100))</f>
        <v>26.056338028169023</v>
      </c>
      <c r="P19" s="655">
        <f>P16+P17+P18</f>
        <v>393</v>
      </c>
      <c r="Q19" s="629">
        <f>IF(ISERROR(P19/H19),"NA",IF(OR(P19/H19&gt;2,P19/H19&lt;0.5),"NM",P19/H19*100-100))</f>
        <v>-1.0075566750629719</v>
      </c>
      <c r="R19" s="655">
        <f>R16+R17+R18</f>
        <v>420</v>
      </c>
      <c r="S19" s="629">
        <f>IF(ISERROR(R19/J19),"NA",IF(OR(R19/J19&gt;2,R19/J19&lt;0.5),"NM",R19/J19*100-100))</f>
        <v>-11.39240506329115</v>
      </c>
      <c r="T19" s="655">
        <f>T16+T17+T18</f>
        <v>466</v>
      </c>
      <c r="U19" s="629">
        <f>IF(ISERROR(T19/L19),"NA",IF(OR(T19/L19&gt;2,T19/L19&lt;0.5),"NM",T19/L19*100-100))</f>
        <v>2.8697571743929302</v>
      </c>
      <c r="V19" s="655">
        <f>V16+V17+V18</f>
        <v>487</v>
      </c>
      <c r="W19" s="629">
        <f>IF(ISERROR(V19/N19),"NA",IF(OR(V19/N19&gt;2,V19/N19&lt;0.5),"NM",V19/N19*100-100))</f>
        <v>-9.3109869646182517</v>
      </c>
      <c r="X19" s="655">
        <f>X16+X17+X18</f>
        <v>14</v>
      </c>
      <c r="Y19" s="629" t="str">
        <f>IF(ISERROR(X19/P19),"NA",IF(OR(X19/P19&gt;2,X19/P19&lt;0.5),"NM",X19/P19*100-100))</f>
        <v>NM</v>
      </c>
      <c r="Z19" s="655">
        <f>Z16+Z17+Z18</f>
        <v>430</v>
      </c>
      <c r="AA19" s="629">
        <f>IF(ISERROR(Z19/R19),"NA",IF(OR(Z19/R19&gt;2,Z19/R19&lt;0.5),"NM",Z19/R19*100-100))</f>
        <v>2.3809523809523796</v>
      </c>
      <c r="AB19" s="655">
        <f>AB16+AB17+AB18</f>
        <v>473</v>
      </c>
      <c r="AC19" s="629">
        <f>IF(ISERROR(AB19/T19),"NA",IF(OR(AB19/T19&gt;2,AB19/T19&lt;0.5),"NM",AB19/T19*100-100))</f>
        <v>1.5021459227467773</v>
      </c>
      <c r="AD19" s="655">
        <f>AD16+AD17+AD18</f>
        <v>507</v>
      </c>
      <c r="AE19" s="629">
        <f>IF(ISERROR(AD19/V19),"NA",IF(OR(AD19/V19&gt;2,AD19/V19&lt;0.5),"NM",AD19/V19*100-100))</f>
        <v>4.106776180698148</v>
      </c>
      <c r="AF19" s="655">
        <f>AF16+AF17+AF18</f>
        <v>458</v>
      </c>
      <c r="AG19" s="629" t="str">
        <f>IF(ISERROR(AF19/X19),"NA",IF(OR(AF19/X19&gt;2,AF19/X19&lt;0.5),"NM",AF19/X19*100-100))</f>
        <v>NM</v>
      </c>
      <c r="AH19" s="655">
        <f>AH16+AH17+AH18</f>
        <v>454</v>
      </c>
      <c r="AI19" s="629">
        <f>IF(ISERROR(AH19/Z19),"NA",IF(OR(AH19/Z19&gt;2,AH19/Z19&lt;0.5),"NM",AH19/Z19*100-100))</f>
        <v>5.5813953488372192</v>
      </c>
      <c r="AJ19" s="655">
        <f>AJ16+AJ17+AJ18</f>
        <v>428</v>
      </c>
      <c r="AK19" s="629">
        <f>IF(ISERROR(AJ19/AB19),"NA",IF(OR(AJ19/AB19&gt;2,AJ19/AB19&lt;0.5),"NM",AJ19/AB19*100-100))</f>
        <v>-9.5137420718816088</v>
      </c>
      <c r="AL19" s="655">
        <f>AL16+AL17+AL18</f>
        <v>495</v>
      </c>
      <c r="AM19" s="629">
        <f>IF(ISERROR(AL19/AD19),"NA",IF(OR(AL19/AD19&gt;2,AL19/AD19&lt;0.5),"NM",AL19/AD19*100-100))</f>
        <v>-2.3668639053254452</v>
      </c>
      <c r="AN19" s="655">
        <f>AN16+AN17+AN18</f>
        <v>538</v>
      </c>
      <c r="AO19" s="629">
        <f>IF(ISERROR(AN19/AF19),"NA",IF(OR(AN19/AF19&gt;2,AN19/AF19&lt;0.5),"NM",AN19/AF19*100-100))</f>
        <v>17.467248908296938</v>
      </c>
      <c r="AP19" s="655">
        <f>AP16+AP17+AP18</f>
        <v>628</v>
      </c>
      <c r="AQ19" s="629">
        <f>IF(ISERROR(AP19/AH19),"NA",IF(OR(AP19/AH19&gt;2,AP19/AH19&lt;0.5),"NM",AP19/AH19*100-100))</f>
        <v>38.325991189427327</v>
      </c>
      <c r="AR19" s="655">
        <f>AR16+AR17+AR18</f>
        <v>500</v>
      </c>
      <c r="AS19" s="629">
        <f>IF(ISERROR(AR19/AJ19),"NA",IF(OR(AR19/AJ19&gt;2,AR19/AJ19&lt;0.5),"NM",AR19/AJ19*100-100))</f>
        <v>16.822429906542055</v>
      </c>
      <c r="AT19" s="655">
        <f>AT16+AT17+AT18</f>
        <v>660</v>
      </c>
      <c r="AU19" s="629">
        <f>IF(ISERROR(AT19/AL19),"NA",IF(OR(AT19/AL19&gt;2,AT19/AL19&lt;0.5),"NM",AT19/AL19*100-100))</f>
        <v>33.333333333333314</v>
      </c>
      <c r="AV19" s="655">
        <f>AV16+AV17+AV18</f>
        <v>502</v>
      </c>
      <c r="AW19" s="629">
        <f>IF(ISERROR(AV19/AN19),"NA",IF(OR(AV19/AN19&gt;2,AV19/AN19&lt;0.5),"NM",AV19/AN19*100-100))</f>
        <v>-6.6914498141264005</v>
      </c>
      <c r="AX19" s="655">
        <f>AX16+AX17+AX18</f>
        <v>597</v>
      </c>
      <c r="AY19" s="629">
        <f>IF(ISERROR(AX19/AP19),"NA",IF(OR(AX19/AP19&gt;2,AX19/AP19&lt;0.5),"NM",AX19/AP19*100-100))</f>
        <v>-4.9363057324840867</v>
      </c>
      <c r="AZ19" s="655">
        <f>AZ16+AZ17+AZ18</f>
        <v>678</v>
      </c>
      <c r="BA19" s="629">
        <f>IF(ISERROR(AZ19/AR19),"NA",IF(OR(AZ19/AR19&gt;2,AZ19/AR19&lt;0.5),"NM",AZ19/AR19*100-100))</f>
        <v>35.600000000000023</v>
      </c>
      <c r="BB19" s="655">
        <f>BB16+BB17+BB18</f>
        <v>782</v>
      </c>
      <c r="BC19" s="629">
        <f>IF(ISERROR(BB19/AT19),"NA",IF(OR(BB19/AT19&gt;2,BB19/AT19&lt;0.5),"NM",BB19/AT19*100-100))</f>
        <v>18.484848484848484</v>
      </c>
      <c r="BD19" s="655">
        <f>BD16+BD17+BD18</f>
        <v>647</v>
      </c>
      <c r="BE19" s="629">
        <f>IF(ISERROR(BD19/AV19),"NA",IF(OR(BD19/AV19&gt;2,BD19/AV19&lt;0.5),"NM",BD19/AV19*100-100))</f>
        <v>28.884462151394416</v>
      </c>
      <c r="BF19" s="655">
        <f>BF16+BF17+BF18</f>
        <v>877</v>
      </c>
      <c r="BG19" s="629">
        <f>IF(ISERROR(BF19/AX19),"NA",IF(OR(BF19/AX19&gt;2,BF19/AX19&lt;0.5),"NM",BF19/AX19*100-100))</f>
        <v>46.901172529313214</v>
      </c>
      <c r="BH19" s="655">
        <f>BH16+BH17+BH18</f>
        <v>850</v>
      </c>
      <c r="BI19" s="629">
        <f>IF(ISERROR(BH19/AZ19),"NA",IF(OR(BH19/AZ19&gt;2,BH19/AZ19&lt;0.5),"NM",BH19/AZ19*100-100))</f>
        <v>25.368731563421832</v>
      </c>
      <c r="BJ19" s="655">
        <f>BJ16+BJ17+BJ18</f>
        <v>778</v>
      </c>
      <c r="BK19" s="629">
        <f>IF(ISERROR(BJ19/BB19),"NA",IF(OR(BJ19/BB19&gt;2,BJ19/BB19&lt;0.5),"NM",BJ19/BB19*100-100))</f>
        <v>-0.51150895140665398</v>
      </c>
      <c r="BL19" s="655">
        <f>BL16+BL17+BL18</f>
        <v>647</v>
      </c>
      <c r="BM19" s="629">
        <f>IF(ISERROR(BL19/BD19),"NA",IF(OR(BL19/BD19&gt;2,BL19/BD19&lt;0.5),"NM",BL19/BD19*100-100))</f>
        <v>0</v>
      </c>
      <c r="BN19" s="655">
        <f>BN16+BN17+BN18</f>
        <v>837</v>
      </c>
      <c r="BO19" s="629">
        <f>IF(ISERROR(BN19/BF19),"NA",IF(OR(BN19/BF19&gt;2,BN19/BF19&lt;0.5),"NM",BN19/BF19*100-100))</f>
        <v>-4.56100342075257</v>
      </c>
      <c r="BP19" s="655">
        <f>BP16+BP17+BP18</f>
        <v>884</v>
      </c>
      <c r="BQ19" s="629">
        <f>IF(ISERROR(BP19/BH19),"NA",IF(OR(BP19/BH19&gt;2,BP19/BH19&lt;0.5),"NM",BP19/BH19*100-100))</f>
        <v>4</v>
      </c>
      <c r="BR19" s="655">
        <f>BR16+BR17+BR18</f>
        <v>845</v>
      </c>
      <c r="BS19" s="629">
        <f>IF(ISERROR(BR19/BJ19),"NA",IF(OR(BR19/BJ19&gt;2,BR19/BJ19&lt;0.5),"NM",BR19/BJ19*100-100))</f>
        <v>8.6118251928020584</v>
      </c>
      <c r="BT19" s="655">
        <f>BT16+BT17+BT18</f>
        <v>686</v>
      </c>
      <c r="BU19" s="629">
        <f>IF(ISERROR(BT19/BL19),"NA",IF(OR(BT19/BL19&gt;2,BT19/BL19&lt;0.5),"NM",BT19/BL19*100-100))</f>
        <v>6.0278207109737139</v>
      </c>
      <c r="BV19" s="655">
        <f>BV16+BV17+BV18</f>
        <v>834</v>
      </c>
      <c r="BW19" s="629">
        <f>IF(ISERROR(BV19/BN19),"NA",IF(OR(BV19/BN19&gt;2,BV19/BN19&lt;0.5),"NM",BV19/BN19*100-100))</f>
        <v>-0.35842293906810596</v>
      </c>
      <c r="BX19" s="655">
        <f>BX16+BX17+BX18</f>
        <v>842</v>
      </c>
      <c r="BY19" s="629">
        <f>IF(ISERROR(BX19/BP19),"NA",IF(OR(BX19/BP19&gt;2,BX19/BP19&lt;0.5),"NM",BX19/BP19*100-100))</f>
        <v>-4.7511312217194615</v>
      </c>
      <c r="BZ19" s="655">
        <f>BZ16+BZ17+BZ18</f>
        <v>812</v>
      </c>
      <c r="CA19" s="629">
        <f>IF(ISERROR(BZ19/BR19),"NA",IF(OR(BZ19/BR19&gt;2,BZ19/BR19&lt;0.5),"NM",BZ19/BR19*100-100))</f>
        <v>-3.9053254437869782</v>
      </c>
      <c r="CB19" s="655">
        <f>CB16+CB17+CB18</f>
        <v>738</v>
      </c>
      <c r="CC19" s="629">
        <f>IF(ISERROR(CB19/BT19),"NA",IF(OR(CB19/BT19&gt;2,CB19/BT19&lt;0.5),"NM",CB19/BT19*100-100))</f>
        <v>7.5801749271136885</v>
      </c>
      <c r="CD19" s="655">
        <f>CD16+CD17+CD18</f>
        <v>779</v>
      </c>
      <c r="CE19" s="629">
        <f>IF(ISERROR(CD19/BV19),"NA",IF(OR(CD19/BV19&gt;2,CD19/BV19&lt;0.5),"NM",CD19/BV19*100-100))</f>
        <v>-6.5947242206235046</v>
      </c>
      <c r="CF19" s="655">
        <f>CF16+CF17+CF18</f>
        <v>803</v>
      </c>
      <c r="CG19" s="629">
        <f>IF(ISERROR(CF19/BX19),"NA",IF(OR(CF19/BX19&gt;2,CF19/BX19&lt;0.5),"NM",CF19/BX19*100-100))</f>
        <v>-4.6318289786223374</v>
      </c>
      <c r="CH19" s="655">
        <f>CH16+CH17+CH18</f>
        <v>780</v>
      </c>
      <c r="CI19" s="629">
        <f>IF(ISERROR(CH19/BZ19),"NA",IF(OR(CH19/BZ19&gt;2,CH19/BZ19&lt;0.5),"NM",CH19/BZ19*100-100))</f>
        <v>-3.9408866995073879</v>
      </c>
      <c r="CJ19" s="655">
        <f>CJ16+CJ17+CJ18</f>
        <v>755</v>
      </c>
      <c r="CK19" s="629">
        <f>IF(ISERROR(CJ19/CB19),"NA",IF(OR(CJ19/CB19&gt;2,CJ19/CB19&lt;0.5),"NM",CJ19/CB19*100-100))</f>
        <v>2.3035230352303557</v>
      </c>
      <c r="CL19" s="655">
        <f>SUM(CL17:CL18)</f>
        <v>799</v>
      </c>
      <c r="CM19" s="655">
        <f t="shared" ref="CM19:DB19" si="54">SUM(CM17:CM18)</f>
        <v>5.4742547425474442</v>
      </c>
      <c r="CN19" s="655">
        <f t="shared" si="54"/>
        <v>823</v>
      </c>
      <c r="CO19" s="655">
        <f t="shared" si="54"/>
        <v>3.3096716947648588</v>
      </c>
      <c r="CP19" s="655">
        <f t="shared" si="54"/>
        <v>799</v>
      </c>
      <c r="CQ19" s="655">
        <f t="shared" si="54"/>
        <v>4.9079875607334742</v>
      </c>
      <c r="CR19" s="655">
        <f t="shared" si="54"/>
        <v>777</v>
      </c>
      <c r="CS19" s="655">
        <f t="shared" si="54"/>
        <v>6.4064697609001513</v>
      </c>
      <c r="CT19" s="655">
        <f t="shared" si="54"/>
        <v>852.70015794827032</v>
      </c>
      <c r="CU19" s="655">
        <f t="shared" si="54"/>
        <v>13.453798681116425</v>
      </c>
      <c r="CV19" s="655">
        <f t="shared" si="54"/>
        <v>843.72876065871833</v>
      </c>
      <c r="CW19" s="655">
        <f t="shared" si="54"/>
        <v>11.737562118104009</v>
      </c>
      <c r="CX19" s="655">
        <f t="shared" si="54"/>
        <v>813.91301517947613</v>
      </c>
      <c r="CY19" s="655">
        <f t="shared" si="54"/>
        <v>4.0784619188299587</v>
      </c>
      <c r="CZ19" s="655">
        <f t="shared" si="54"/>
        <v>800.66413558558588</v>
      </c>
      <c r="DA19" s="655">
        <f t="shared" si="54"/>
        <v>6.1180773462426998</v>
      </c>
      <c r="DB19" s="655">
        <f t="shared" si="54"/>
        <v>0</v>
      </c>
      <c r="DC19" s="655">
        <f>DC16+DC17+DC18</f>
        <v>1416</v>
      </c>
      <c r="DD19" s="635"/>
      <c r="DE19" s="655">
        <f>DE16+DE17+DE18</f>
        <v>1570</v>
      </c>
      <c r="DF19" s="629">
        <f>IF(ISERROR(DE19/DC19),"NA",IF(OR(DE19/DC19&gt;2,DE19/DC19&lt;0.5),"NM",DE19/DC19*100-100))</f>
        <v>10.875706214689274</v>
      </c>
      <c r="DG19" s="655">
        <f>DG16+DG17+DG18</f>
        <v>1857</v>
      </c>
      <c r="DH19" s="629">
        <f>IF(ISERROR(DG19/DE19),"NA",IF(OR(DG19/DE19&gt;2,DG19/DE19&lt;0.5),"NM",DG19/DE19*100-100))</f>
        <v>18.28025477707007</v>
      </c>
      <c r="DI19" s="655">
        <f>DI16+DI17+DI18</f>
        <v>1169</v>
      </c>
      <c r="DJ19" s="629">
        <f>IF(ISERROR(DI19/DG19),"NA",IF(OR(DI19/DG19&gt;2,DI19/DG19&lt;0.5),"NM",DI19/DG19*100-100))</f>
        <v>-37.049003769520731</v>
      </c>
      <c r="DK19" s="655">
        <f>DK16+DK17+DK18</f>
        <v>1677</v>
      </c>
      <c r="DL19" s="629">
        <f>IF(ISERROR(DK19/DI19),"NA",IF(OR(DK19/DI19&gt;2,DK19/DI19&lt;0.5),"NM",DK19/DI19*100-100))</f>
        <v>43.455945252352421</v>
      </c>
      <c r="DM19" s="655">
        <f>DM16+DM17+DM18</f>
        <v>1915</v>
      </c>
      <c r="DN19" s="629">
        <f>IF(ISERROR(DM19/DK19),"NA",IF(OR(DM19/DK19&gt;2,DM19/DK19&lt;0.5),"NM",DM19/DK19*100-100))</f>
        <v>14.19200954084674</v>
      </c>
      <c r="DO19" s="655">
        <f>DO16+DO17+DO18</f>
        <v>2290</v>
      </c>
      <c r="DP19" s="629">
        <f>IF(ISERROR(DO19/DM19),"NA",IF(OR(DO19/DM19&gt;2,DO19/DM19&lt;0.5),"NM",DO19/DM19*100-100))</f>
        <v>19.582245430809394</v>
      </c>
      <c r="DQ19" s="655">
        <f>DQ16+DQ17+DQ18</f>
        <v>2704</v>
      </c>
      <c r="DR19" s="629">
        <f>IF(ISERROR(DQ19/DO19),"NA",IF(OR(DQ19/DO19&gt;2,DQ19/DO19&lt;0.5),"NM",DQ19/DO19*100-100))</f>
        <v>18.078602620087338</v>
      </c>
      <c r="DS19" s="655">
        <f>DS16+DS17+DS18</f>
        <v>3152</v>
      </c>
      <c r="DT19" s="629">
        <f>IF(ISERROR(DS19/DQ19),"NA",IF(OR(DS19/DQ19&gt;2,DS19/DQ19&lt;0.5),"NM",DS19/DQ19*100-100))</f>
        <v>16.568047337278102</v>
      </c>
      <c r="DU19" s="655">
        <f>DU16+DU17+DU18</f>
        <v>3252</v>
      </c>
      <c r="DV19" s="629">
        <f>IF(ISERROR(DU19/DS19),"NA",IF(OR(DU19/DS19&gt;2,DU19/DS19&lt;0.5),"NM",DU19/DS19*100-100))</f>
        <v>3.1725888324872926</v>
      </c>
      <c r="DW19" s="655">
        <f t="shared" ref="DW19" si="55">SUM(DW17:DW18)</f>
        <v>3226</v>
      </c>
      <c r="DX19" s="655">
        <f t="shared" ref="DX19" si="56">SUM(DX17:DX18)</f>
        <v>-1.5746410510927689</v>
      </c>
      <c r="DY19" s="655">
        <f t="shared" ref="DY19" si="57">SUM(DY17:DY18)</f>
        <v>3117</v>
      </c>
      <c r="DZ19" s="655">
        <f t="shared" ref="DZ19" si="58">SUM(DZ17:DZ18)</f>
        <v>-6.7413306881815913</v>
      </c>
      <c r="EA19" s="655">
        <f t="shared" ref="EA19" si="59">SUM(EA17:EA18)</f>
        <v>3198</v>
      </c>
      <c r="EB19" s="655">
        <f t="shared" ref="EB19" si="60">SUM(EB17:EB18)</f>
        <v>5.059208364524892</v>
      </c>
      <c r="EC19" s="655">
        <f t="shared" ref="EC19" si="61">SUM(EC17:EC18)</f>
        <v>3311.0060693720498</v>
      </c>
      <c r="ED19" s="655">
        <f t="shared" ref="ED19" si="62">SUM(ED17:ED18)</f>
        <v>7.7377605119379638</v>
      </c>
      <c r="EE19" s="655">
        <f t="shared" ref="EE19" si="63">SUM(EE17:EE18)</f>
        <v>3389.2492724567583</v>
      </c>
      <c r="EF19" s="655">
        <f t="shared" ref="EF19" si="64">SUM(EF17:EF18)</f>
        <v>4.7817420160336042</v>
      </c>
      <c r="EG19" s="655">
        <f t="shared" ref="EG19" si="65">SUM(EG17:EG18)</f>
        <v>3458.8291229184088</v>
      </c>
      <c r="EH19" s="655">
        <f t="shared" ref="EH19" si="66">SUM(EH17:EH18)</f>
        <v>4.1147433338026929</v>
      </c>
      <c r="EI19" s="655">
        <f t="shared" ref="EI19" si="67">SUM(EI17:EI18)</f>
        <v>3530.8931708941545</v>
      </c>
      <c r="EJ19" s="655">
        <f t="shared" ref="EJ19" si="68">SUM(EJ17:EJ18)</f>
        <v>4.1048360543077393</v>
      </c>
      <c r="EK19" s="655">
        <f t="shared" ref="EK19" si="69">SUM(EK17:EK18)</f>
        <v>3605.5345196065246</v>
      </c>
      <c r="EL19" s="655">
        <f t="shared" ref="EL19" si="70">SUM(EL17:EL18)</f>
        <v>4.0946188980285285</v>
      </c>
      <c r="EM19" s="655">
        <f t="shared" ref="EM19" si="71">SUM(EM17:EM18)</f>
        <v>4.9461165576888844</v>
      </c>
    </row>
    <row r="20" spans="1:144" s="632" customFormat="1" ht="12.75" customHeight="1" x14ac:dyDescent="0.2">
      <c r="A20" s="644" t="s">
        <v>520</v>
      </c>
      <c r="B20" s="655">
        <f>INPUT!AY486</f>
        <v>16</v>
      </c>
      <c r="C20" s="635">
        <f>INPUT!AZ486</f>
        <v>-5.8823529411764781</v>
      </c>
      <c r="D20" s="655">
        <f>INPUT!BA486</f>
        <v>40</v>
      </c>
      <c r="E20" s="635">
        <f>INPUT!BB486</f>
        <v>-32.203389830508485</v>
      </c>
      <c r="F20" s="655">
        <f>INPUT!BC486</f>
        <v>4</v>
      </c>
      <c r="G20" s="635" t="str">
        <f>INPUT!BD486</f>
        <v>NM</v>
      </c>
      <c r="H20" s="655">
        <f>INPUT!BE486</f>
        <v>-13</v>
      </c>
      <c r="I20" s="635" t="str">
        <f>INPUT!BF486</f>
        <v>NM</v>
      </c>
      <c r="J20" s="655">
        <f>INPUT!BG486</f>
        <v>-17.400000000000006</v>
      </c>
      <c r="K20" s="635" t="str">
        <f>INPUT!BH486</f>
        <v>NM</v>
      </c>
      <c r="L20" s="655">
        <f>INPUT!BI486</f>
        <v>-27</v>
      </c>
      <c r="M20" s="635" t="str">
        <f>INPUT!BJ486</f>
        <v>NM</v>
      </c>
      <c r="N20" s="655">
        <f>INPUT!BK486</f>
        <v>-24</v>
      </c>
      <c r="O20" s="635" t="str">
        <f>INPUT!BL486</f>
        <v>NM</v>
      </c>
      <c r="P20" s="655">
        <f>INPUT!BM486</f>
        <v>-64</v>
      </c>
      <c r="Q20" s="635" t="str">
        <f>INPUT!BN486</f>
        <v>NM</v>
      </c>
      <c r="R20" s="655">
        <f>INPUT!BO486</f>
        <v>-51</v>
      </c>
      <c r="S20" s="635" t="str">
        <f>INPUT!BP486</f>
        <v>NM</v>
      </c>
      <c r="T20" s="655">
        <f>INPUT!BQ486</f>
        <v>-20</v>
      </c>
      <c r="U20" s="635">
        <f>INPUT!BR486</f>
        <v>-25.925925925925924</v>
      </c>
      <c r="V20" s="655">
        <f>INPUT!BS486</f>
        <v>-40</v>
      </c>
      <c r="W20" s="635">
        <f>INPUT!BT486</f>
        <v>66.666666666666686</v>
      </c>
      <c r="X20" s="655">
        <f>INPUT!BU486</f>
        <v>-299</v>
      </c>
      <c r="Y20" s="635" t="str">
        <f>INPUT!BV486</f>
        <v>NM</v>
      </c>
      <c r="Z20" s="655">
        <f>INPUT!BW486</f>
        <v>-213</v>
      </c>
      <c r="AA20" s="635" t="str">
        <f>INPUT!BX486</f>
        <v>NM</v>
      </c>
      <c r="AB20" s="655">
        <f>INPUT!BY486</f>
        <v>-176</v>
      </c>
      <c r="AC20" s="635" t="str">
        <f>INPUT!BZ486</f>
        <v>NM</v>
      </c>
      <c r="AD20" s="655">
        <f>INPUT!CA486</f>
        <v>-209</v>
      </c>
      <c r="AE20" s="635" t="str">
        <f>INPUT!CB486</f>
        <v>NM</v>
      </c>
      <c r="AF20" s="655">
        <f>INPUT!CC486</f>
        <v>-226</v>
      </c>
      <c r="AG20" s="635">
        <f>INPUT!CD486</f>
        <v>-24.414715719063537</v>
      </c>
      <c r="AH20" s="655">
        <f>INPUT!CE486</f>
        <v>-211</v>
      </c>
      <c r="AI20" s="635">
        <f>INPUT!CF486</f>
        <v>-0.93896713615023941</v>
      </c>
      <c r="AJ20" s="655">
        <f>INPUT!CG486</f>
        <v>-191</v>
      </c>
      <c r="AK20" s="635">
        <f>INPUT!CH486</f>
        <v>8.5227272727272663</v>
      </c>
      <c r="AL20" s="655">
        <f>INPUT!CI486</f>
        <v>-298</v>
      </c>
      <c r="AM20" s="635">
        <f>INPUT!CJ486</f>
        <v>42.583732057416256</v>
      </c>
      <c r="AN20" s="655">
        <f>INPUT!CK486</f>
        <v>-249</v>
      </c>
      <c r="AO20" s="635">
        <f>INPUT!CL486</f>
        <v>10.17699115044249</v>
      </c>
      <c r="AP20" s="655">
        <f>INPUT!CM486</f>
        <v>-269</v>
      </c>
      <c r="AQ20" s="635">
        <f>INPUT!CN486</f>
        <v>27.488151658767762</v>
      </c>
      <c r="AR20" s="655">
        <f>INPUT!CO486</f>
        <v>-237</v>
      </c>
      <c r="AS20" s="635">
        <f>INPUT!CP486</f>
        <v>24.083769633507842</v>
      </c>
      <c r="AT20" s="655">
        <f>INPUT!CQ486</f>
        <v>-349</v>
      </c>
      <c r="AU20" s="635">
        <f>INPUT!CR486</f>
        <v>17.114093959731534</v>
      </c>
      <c r="AV20" s="655">
        <f>INPUT!CS486</f>
        <v>-285</v>
      </c>
      <c r="AW20" s="635">
        <f>INPUT!CT486</f>
        <v>14.457831325301214</v>
      </c>
      <c r="AX20" s="655">
        <f>INPUT!CU486</f>
        <v>-326</v>
      </c>
      <c r="AY20" s="635">
        <f>INPUT!CV486</f>
        <v>21.189591078066911</v>
      </c>
      <c r="AZ20" s="655">
        <f>INPUT!CW486</f>
        <v>-225</v>
      </c>
      <c r="BA20" s="635">
        <f>INPUT!CX486</f>
        <v>-5.0632911392405049</v>
      </c>
      <c r="BB20" s="655">
        <f>INPUT!CY486</f>
        <v>-414</v>
      </c>
      <c r="BC20" s="635">
        <f>INPUT!CZ486</f>
        <v>18.624641833810898</v>
      </c>
      <c r="BD20" s="655">
        <f>INPUT!DA486</f>
        <v>-372</v>
      </c>
      <c r="BE20" s="635">
        <f>INPUT!DB486</f>
        <v>30.526315789473699</v>
      </c>
      <c r="BF20" s="655">
        <f>INPUT!DC486</f>
        <v>-314</v>
      </c>
      <c r="BG20" s="635">
        <f>INPUT!DD486</f>
        <v>-3.6809815950920211</v>
      </c>
      <c r="BH20" s="655">
        <f>INPUT!DE486</f>
        <v>-347</v>
      </c>
      <c r="BI20" s="635">
        <f>INPUT!DF486</f>
        <v>54.222222222222229</v>
      </c>
      <c r="BJ20" s="655">
        <f>INPUT!DG486</f>
        <v>-312</v>
      </c>
      <c r="BK20" s="635">
        <f>INPUT!DH486</f>
        <v>-24.637681159420282</v>
      </c>
      <c r="BL20" s="655">
        <f>INPUT!DI486</f>
        <v>-397</v>
      </c>
      <c r="BM20" s="635">
        <f>INPUT!DJ486</f>
        <v>6.7204301075268802</v>
      </c>
      <c r="BN20" s="655">
        <f>INPUT!DK486</f>
        <v>-342</v>
      </c>
      <c r="BO20" s="635">
        <f>INPUT!DL486</f>
        <v>8.9171974522293027</v>
      </c>
      <c r="BP20" s="655">
        <f>INPUT!DM486</f>
        <v>-341</v>
      </c>
      <c r="BQ20" s="635">
        <f>INPUT!DN486</f>
        <v>-1.7291066282420786</v>
      </c>
      <c r="BR20" s="655">
        <f>INPUT!DO486</f>
        <v>-339</v>
      </c>
      <c r="BS20" s="635">
        <f>INPUT!DP486</f>
        <v>8.6538461538461462</v>
      </c>
      <c r="BT20" s="655">
        <f>INPUT!DQ486</f>
        <v>-326</v>
      </c>
      <c r="BU20" s="635">
        <f>INPUT!DR486</f>
        <v>-17.884130982367765</v>
      </c>
      <c r="BV20" s="655">
        <f>INPUT!DS486</f>
        <v>-253</v>
      </c>
      <c r="BW20" s="635">
        <f>INPUT!DT486</f>
        <v>-26.023391812865498</v>
      </c>
      <c r="BX20" s="655">
        <f>INPUT!DU486</f>
        <v>-294</v>
      </c>
      <c r="BY20" s="635">
        <f>INPUT!DV486</f>
        <v>-13.782991202346039</v>
      </c>
      <c r="BZ20" s="655">
        <f>INPUT!DW486</f>
        <v>-308</v>
      </c>
      <c r="CA20" s="635">
        <f>INPUT!DX486</f>
        <v>-9.1445427728613566</v>
      </c>
      <c r="CB20" s="655">
        <f>INPUT!DY486</f>
        <v>-458</v>
      </c>
      <c r="CC20" s="635">
        <f>INPUT!DZ486</f>
        <v>40.490797546012288</v>
      </c>
      <c r="CD20" s="655">
        <f>INPUT!EA486</f>
        <v>-312</v>
      </c>
      <c r="CE20" s="635">
        <f>INPUT!EB486</f>
        <v>23.320158102766797</v>
      </c>
      <c r="CF20" s="655">
        <f>INPUT!EC486</f>
        <v>-415</v>
      </c>
      <c r="CG20" s="635">
        <f>INPUT!ED486</f>
        <v>41.156462585034006</v>
      </c>
      <c r="CH20" s="655">
        <f>INPUT!EE486</f>
        <v>-413</v>
      </c>
      <c r="CI20" s="635">
        <f>INPUT!EF486</f>
        <v>34.090909090909093</v>
      </c>
      <c r="CJ20" s="655">
        <f>INPUT!EG486</f>
        <v>-441</v>
      </c>
      <c r="CK20" s="635">
        <f>INPUT!EH486</f>
        <v>-3.7117903930131035</v>
      </c>
      <c r="CL20" s="655">
        <f>INPUT!EI486</f>
        <v>-352</v>
      </c>
      <c r="CM20" s="655">
        <f>INPUT!EJ486</f>
        <v>12.820512820512818</v>
      </c>
      <c r="CN20" s="655">
        <f>INPUT!EK486</f>
        <v>-312</v>
      </c>
      <c r="CO20" s="655">
        <f>INPUT!EL486</f>
        <v>-24.819277108433738</v>
      </c>
      <c r="CP20" s="655">
        <f>INPUT!EM486</f>
        <v>-310</v>
      </c>
      <c r="CQ20" s="655">
        <f>INPUT!EN486</f>
        <v>-24.939467312348668</v>
      </c>
      <c r="CR20" s="655">
        <f>INPUT!EO486</f>
        <v>-463</v>
      </c>
      <c r="CS20" s="655">
        <f>INPUT!EP486</f>
        <v>4.988662131519277</v>
      </c>
      <c r="CT20" s="655">
        <f>INPUT!EQ486</f>
        <v>-360</v>
      </c>
      <c r="CU20" s="655">
        <f>INPUT!ER486</f>
        <v>2.2727272727272663</v>
      </c>
      <c r="CV20" s="655">
        <f>INPUT!ES486</f>
        <v>-340</v>
      </c>
      <c r="CW20" s="655">
        <f>INPUT!ET486</f>
        <v>8.9743589743589638</v>
      </c>
      <c r="CX20" s="655">
        <f>INPUT!EU486</f>
        <v>-320</v>
      </c>
      <c r="CY20" s="655">
        <f>INPUT!EV486</f>
        <v>3.2258064516128968</v>
      </c>
      <c r="CZ20" s="655">
        <f>INPUT!EW486</f>
        <v>-430</v>
      </c>
      <c r="DA20" s="655">
        <f>INPUT!EX486</f>
        <v>-7.1274298056155487</v>
      </c>
      <c r="DB20" s="655">
        <f>INPUT!EY486</f>
        <v>0</v>
      </c>
      <c r="DC20" s="655">
        <f>INPUT!FP486</f>
        <v>202</v>
      </c>
      <c r="DD20" s="635">
        <f>INPUT!FQ486</f>
        <v>14.772727272727266</v>
      </c>
      <c r="DE20" s="655">
        <f>INPUT!FR486</f>
        <v>47</v>
      </c>
      <c r="DF20" s="635" t="str">
        <f>INPUT!FS486</f>
        <v>NM</v>
      </c>
      <c r="DG20" s="655">
        <f>INPUT!FT486</f>
        <v>-132.39999999999998</v>
      </c>
      <c r="DH20" s="635" t="str">
        <f>INPUT!FU486</f>
        <v>NM</v>
      </c>
      <c r="DI20" s="655">
        <f>INPUT!FV486</f>
        <v>-258</v>
      </c>
      <c r="DJ20" s="635">
        <f>INPUT!FW486</f>
        <v>94.864048338368605</v>
      </c>
      <c r="DK20" s="655">
        <f>INPUT!FX486</f>
        <v>-788</v>
      </c>
      <c r="DL20" s="635" t="str">
        <f>INPUT!FY486</f>
        <v>NM</v>
      </c>
      <c r="DM20" s="655">
        <f>INPUT!FZ486</f>
        <v>-949</v>
      </c>
      <c r="DN20" s="635">
        <f>INPUT!GA486</f>
        <v>20.431472081218274</v>
      </c>
      <c r="DO20" s="655">
        <f>INPUT!GB486</f>
        <v>-1140</v>
      </c>
      <c r="DP20" s="635">
        <f>INPUT!GC486</f>
        <v>20.126448893572174</v>
      </c>
      <c r="DQ20" s="655">
        <f>INPUT!GD486</f>
        <v>-1337</v>
      </c>
      <c r="DR20" s="635">
        <f>INPUT!GE486</f>
        <v>17.280701754385959</v>
      </c>
      <c r="DS20" s="655">
        <f>INPUT!GF486</f>
        <v>-1370</v>
      </c>
      <c r="DT20" s="635">
        <f>INPUT!GG486</f>
        <v>2.4682124158563994</v>
      </c>
      <c r="DU20" s="655">
        <f>INPUT!GH486</f>
        <v>-1348</v>
      </c>
      <c r="DV20" s="635">
        <f>INPUT!GI486</f>
        <v>-1.6058394160584015</v>
      </c>
      <c r="DW20" s="655">
        <f>INPUT!GJ486</f>
        <v>-1313</v>
      </c>
      <c r="DX20" s="655">
        <f>INPUT!GK486</f>
        <v>-2.5964391691394582</v>
      </c>
      <c r="DY20" s="655">
        <f>INPUT!GL486</f>
        <v>-1581</v>
      </c>
      <c r="DZ20" s="655">
        <f>INPUT!GM486</f>
        <v>20.411271896420402</v>
      </c>
      <c r="EA20" s="655">
        <f>INPUT!GN486</f>
        <v>-1437</v>
      </c>
      <c r="EB20" s="655">
        <f>INPUT!GO486</f>
        <v>-9.1081593927893749</v>
      </c>
      <c r="EC20" s="655">
        <f>INPUT!GP486</f>
        <v>-1450</v>
      </c>
      <c r="ED20" s="655">
        <f>INPUT!GQ486</f>
        <v>0.90466249130132326</v>
      </c>
      <c r="EE20" s="655">
        <f>INPUT!GR486</f>
        <v>-1500.7499999999998</v>
      </c>
      <c r="EF20" s="655">
        <f>INPUT!GS486</f>
        <v>3.4999999999999858</v>
      </c>
      <c r="EG20" s="655">
        <f>INPUT!GT486</f>
        <v>-1545.7724999999998</v>
      </c>
      <c r="EH20" s="655">
        <f>INPUT!GU486</f>
        <v>3</v>
      </c>
      <c r="EI20" s="655">
        <f>INPUT!GV486</f>
        <v>-1592.1456749999998</v>
      </c>
      <c r="EJ20" s="655">
        <f>INPUT!GW486</f>
        <v>3</v>
      </c>
      <c r="EK20" s="655">
        <f>INPUT!GX486</f>
        <v>-1641.5021909249997</v>
      </c>
      <c r="EL20" s="655">
        <f>INPUT!GY486</f>
        <v>3.0999999999999943</v>
      </c>
      <c r="EM20" s="655">
        <f>INPUT!GZ486</f>
        <v>2.6968067130735962</v>
      </c>
    </row>
    <row r="21" spans="1:144" s="632" customFormat="1" ht="12.75" customHeight="1" x14ac:dyDescent="0.2">
      <c r="A21" s="644"/>
      <c r="B21" s="655"/>
      <c r="C21" s="635"/>
      <c r="D21" s="655"/>
      <c r="E21" s="635"/>
      <c r="F21" s="655"/>
      <c r="G21" s="635"/>
      <c r="H21" s="655"/>
      <c r="I21" s="635"/>
      <c r="J21" s="655"/>
      <c r="K21" s="635"/>
      <c r="L21" s="655"/>
      <c r="M21" s="635"/>
      <c r="N21" s="655"/>
      <c r="O21" s="635"/>
      <c r="P21" s="655"/>
      <c r="Q21" s="635"/>
      <c r="R21" s="655"/>
      <c r="S21" s="635"/>
      <c r="T21" s="655"/>
      <c r="U21" s="635"/>
      <c r="V21" s="655"/>
      <c r="W21" s="635"/>
      <c r="X21" s="655"/>
      <c r="Y21" s="635"/>
      <c r="Z21" s="655"/>
      <c r="AA21" s="635"/>
      <c r="AB21" s="655"/>
      <c r="AC21" s="635"/>
      <c r="AD21" s="655"/>
      <c r="AE21" s="635"/>
      <c r="AF21" s="655"/>
      <c r="AG21" s="635"/>
      <c r="AH21" s="655"/>
      <c r="AI21" s="635"/>
      <c r="AJ21" s="655"/>
      <c r="AK21" s="635"/>
      <c r="AL21" s="655"/>
      <c r="AM21" s="635"/>
      <c r="AN21" s="655"/>
      <c r="AO21" s="635"/>
      <c r="AP21" s="655"/>
      <c r="AQ21" s="635"/>
      <c r="AR21" s="655"/>
      <c r="AS21" s="635"/>
      <c r="AT21" s="655"/>
      <c r="AU21" s="635"/>
      <c r="AV21" s="655"/>
      <c r="AW21" s="635"/>
      <c r="AX21" s="655"/>
      <c r="AY21" s="635"/>
      <c r="AZ21" s="655"/>
      <c r="BA21" s="635"/>
      <c r="BB21" s="655"/>
      <c r="BC21" s="635"/>
      <c r="BD21" s="655"/>
      <c r="BE21" s="635"/>
      <c r="BF21" s="655"/>
      <c r="BG21" s="635"/>
      <c r="BH21" s="655"/>
      <c r="BI21" s="635"/>
      <c r="BJ21" s="655"/>
      <c r="BK21" s="635"/>
      <c r="BL21" s="655"/>
      <c r="BM21" s="635"/>
      <c r="BN21" s="655"/>
      <c r="BO21" s="635"/>
      <c r="BP21" s="655"/>
      <c r="BQ21" s="635"/>
      <c r="BR21" s="655"/>
      <c r="BS21" s="635"/>
      <c r="BT21" s="655"/>
      <c r="BU21" s="635"/>
      <c r="BV21" s="655"/>
      <c r="BW21" s="635"/>
      <c r="BX21" s="655"/>
      <c r="BY21" s="635"/>
      <c r="BZ21" s="655"/>
      <c r="CA21" s="635"/>
      <c r="CB21" s="655"/>
      <c r="CC21" s="635"/>
      <c r="CD21" s="655"/>
      <c r="CE21" s="635"/>
      <c r="CF21" s="655"/>
      <c r="CG21" s="635"/>
      <c r="CH21" s="655"/>
      <c r="CI21" s="635"/>
      <c r="CJ21" s="655"/>
      <c r="CK21" s="635"/>
      <c r="CL21" s="655"/>
      <c r="CM21" s="655"/>
      <c r="CN21" s="655"/>
      <c r="CO21" s="655"/>
      <c r="CP21" s="655"/>
      <c r="CQ21" s="655"/>
      <c r="CR21" s="655"/>
      <c r="CS21" s="655"/>
      <c r="CT21" s="655"/>
      <c r="CU21" s="655"/>
      <c r="CV21" s="655"/>
      <c r="CW21" s="655"/>
      <c r="CX21" s="655"/>
      <c r="CY21" s="655"/>
      <c r="CZ21" s="655"/>
      <c r="DA21" s="655"/>
      <c r="DB21" s="655"/>
      <c r="DC21" s="655"/>
      <c r="DD21" s="635"/>
      <c r="DE21" s="655"/>
      <c r="DF21" s="635"/>
      <c r="DG21" s="655"/>
      <c r="DH21" s="635"/>
      <c r="DI21" s="655"/>
      <c r="DJ21" s="635"/>
      <c r="DK21" s="655"/>
      <c r="DL21" s="635"/>
      <c r="DM21" s="655"/>
      <c r="DN21" s="635"/>
      <c r="DO21" s="655"/>
      <c r="DP21" s="635"/>
      <c r="DQ21" s="655"/>
      <c r="DR21" s="635"/>
      <c r="DS21" s="655"/>
      <c r="DT21" s="635"/>
      <c r="DU21" s="655"/>
      <c r="DV21" s="635"/>
      <c r="DW21" s="655"/>
      <c r="DX21" s="655"/>
      <c r="DY21" s="655"/>
      <c r="DZ21" s="655"/>
      <c r="EA21" s="655"/>
      <c r="EB21" s="655"/>
      <c r="EC21" s="655"/>
      <c r="ED21" s="655"/>
      <c r="EE21" s="655"/>
      <c r="EF21" s="655"/>
      <c r="EG21" s="655"/>
      <c r="EH21" s="655"/>
      <c r="EI21" s="655"/>
      <c r="EJ21" s="655"/>
      <c r="EK21" s="655"/>
      <c r="EL21" s="655"/>
      <c r="EM21" s="655"/>
    </row>
    <row r="22" spans="1:144" s="632" customFormat="1" ht="12.75" customHeight="1" x14ac:dyDescent="0.2">
      <c r="A22" s="652" t="s">
        <v>545</v>
      </c>
      <c r="B22" s="657">
        <f>+B20+B19+B15+B12</f>
        <v>881</v>
      </c>
      <c r="C22" s="629"/>
      <c r="D22" s="657">
        <f>+D20+D19+D15+D12</f>
        <v>952</v>
      </c>
      <c r="E22" s="629"/>
      <c r="F22" s="657">
        <f>+F20+F19+F15+F12</f>
        <v>1157</v>
      </c>
      <c r="G22" s="629"/>
      <c r="H22" s="657">
        <f>+H20+H19+H15+H12</f>
        <v>1074</v>
      </c>
      <c r="I22" s="629"/>
      <c r="J22" s="657">
        <f>+J20+J19+J15+J12</f>
        <v>1097.5999999999999</v>
      </c>
      <c r="K22" s="629">
        <f>IF(ISERROR(J22/B22),"NA",IF(OR(J22/B22&gt;2,J22/B22&lt;0.5),"NM",J22/B22*100-100))</f>
        <v>24.585698070374562</v>
      </c>
      <c r="L22" s="657">
        <f>+L20+L19+L15+L12</f>
        <v>1121</v>
      </c>
      <c r="M22" s="629">
        <f>IF(ISERROR(L22/D22),"NA",IF(OR(L22/D22&gt;2,L22/D22&lt;0.5),"NM",L22/D22*100-100))</f>
        <v>17.752100840336141</v>
      </c>
      <c r="N22" s="657">
        <f>+N20+N19+N15+N12</f>
        <v>1295</v>
      </c>
      <c r="O22" s="629">
        <f>IF(ISERROR(N22/F22),"NA",IF(OR(N22/F22&gt;2,N22/F22&lt;0.5),"NM",N22/F22*100-100))</f>
        <v>11.927398444252361</v>
      </c>
      <c r="P22" s="657">
        <f>+P20+P19+P15+P12</f>
        <v>1024</v>
      </c>
      <c r="Q22" s="629">
        <f>IF(ISERROR(P22/H22),"NA",IF(OR(P22/H22&gt;2,P22/H22&lt;0.5),"NM",P22/H22*100-100))</f>
        <v>-4.6554934823091259</v>
      </c>
      <c r="R22" s="657">
        <f>+R20+R19+R15+R12</f>
        <v>913</v>
      </c>
      <c r="S22" s="629">
        <f>IF(ISERROR(R22/J22),"NA",IF(OR(R22/J22&gt;2,R22/J22&lt;0.5),"NM",R22/J22*100-100))</f>
        <v>-16.81851311953352</v>
      </c>
      <c r="T22" s="657">
        <f>+T20+T19+T15+T12</f>
        <v>1114</v>
      </c>
      <c r="U22" s="629">
        <f>IF(ISERROR(T22/L22),"NA",IF(OR(T22/L22&gt;2,T22/L22&lt;0.5),"NM",T22/L22*100-100))</f>
        <v>-0.62444246208742982</v>
      </c>
      <c r="V22" s="657">
        <f>+V20+V19+V15+V12</f>
        <v>604</v>
      </c>
      <c r="W22" s="629" t="str">
        <f>IF(ISERROR(V22/N22),"NA",IF(OR(V22/N22&gt;2,V22/N22&lt;0.5),"NM",V22/N22*100-100))</f>
        <v>NM</v>
      </c>
      <c r="X22" s="657">
        <f>+X20+X19+X15+X12</f>
        <v>-1182</v>
      </c>
      <c r="Y22" s="629" t="str">
        <f>IF(ISERROR(X22/P22),"NA",IF(OR(X22/P22&gt;2,X22/P22&lt;0.5),"NM",X22/P22*100-100))</f>
        <v>NM</v>
      </c>
      <c r="Z22" s="657">
        <f>+Z20+Z19+Z15+Z12</f>
        <v>245</v>
      </c>
      <c r="AA22" s="629" t="str">
        <f>IF(ISERROR(Z22/R22),"NA",IF(OR(Z22/R22&gt;2,Z22/R22&lt;0.5),"NM",Z22/R22*100-100))</f>
        <v>NM</v>
      </c>
      <c r="AB22" s="657">
        <f>+AB20+AB19+AB15+AB12</f>
        <v>1167</v>
      </c>
      <c r="AC22" s="629">
        <f>IF(ISERROR(AB22/T22),"NA",IF(OR(AB22/T22&gt;2,AB22/T22&lt;0.5),"NM",AB22/T22*100-100))</f>
        <v>4.7576301615798826</v>
      </c>
      <c r="AD22" s="657">
        <f>+AD20+AD19+AD15+AD12</f>
        <v>1066</v>
      </c>
      <c r="AE22" s="629">
        <f>IF(ISERROR(AD22/V22),"NA",IF(OR(AD22/V22&gt;2,AD22/V22&lt;0.5),"NM",AD22/V22*100-100))</f>
        <v>76.490066225165577</v>
      </c>
      <c r="AF22" s="657">
        <f>+AF20+AF19+AF15+AF12</f>
        <v>765</v>
      </c>
      <c r="AG22" s="629" t="str">
        <f>IF(ISERROR(AF22/X22),"NA",IF(OR(AF22/X22&gt;2,AF22/X22&lt;0.5),"NM",AF22/X22*100-100))</f>
        <v>NM</v>
      </c>
      <c r="AH22" s="657">
        <f>+AH20+AH19+AH15+AH12</f>
        <v>856</v>
      </c>
      <c r="AI22" s="629" t="str">
        <f>IF(ISERROR(AH22/Z22),"NA",IF(OR(AH22/Z22&gt;2,AH22/Z22&lt;0.5),"NM",AH22/Z22*100-100))</f>
        <v>NM</v>
      </c>
      <c r="AJ22" s="657">
        <f>+AJ20+AJ19+AJ15+AJ12</f>
        <v>490</v>
      </c>
      <c r="AK22" s="629" t="str">
        <f>IF(ISERROR(AJ22/AB22),"NA",IF(OR(AJ22/AB22&gt;2,AJ22/AB22&lt;0.5),"NM",AJ22/AB22*100-100))</f>
        <v>NM</v>
      </c>
      <c r="AL22" s="657">
        <f>+AL20+AL19+AL15+AL12</f>
        <v>1232</v>
      </c>
      <c r="AM22" s="629">
        <f>IF(ISERROR(AL22/AD22),"NA",IF(OR(AL22/AD22&gt;2,AL22/AD22&lt;0.5),"NM",AL22/AD22*100-100))</f>
        <v>15.572232645403375</v>
      </c>
      <c r="AN22" s="657">
        <f>+AN20+AN19+AN15+AN12</f>
        <v>1084</v>
      </c>
      <c r="AO22" s="629">
        <f>IF(ISERROR(AN22/AF22),"NA",IF(OR(AN22/AF22&gt;2,AN22/AF22&lt;0.5),"NM",AN22/AF22*100-100))</f>
        <v>41.699346405228766</v>
      </c>
      <c r="AP22" s="657">
        <f>+AP20+AP19+AP15+AP12</f>
        <v>1096</v>
      </c>
      <c r="AQ22" s="629">
        <f>IF(ISERROR(AP22/AH22),"NA",IF(OR(AP22/AH22&gt;2,AP22/AH22&lt;0.5),"NM",AP22/AH22*100-100))</f>
        <v>28.037383177570092</v>
      </c>
      <c r="AR22" s="657">
        <f>+AR20+AR19+AR15+AR12</f>
        <v>1052</v>
      </c>
      <c r="AS22" s="629" t="str">
        <f>IF(ISERROR(AR22/AJ22),"NA",IF(OR(AR22/AJ22&gt;2,AR22/AJ22&lt;0.5),"NM",AR22/AJ22*100-100))</f>
        <v>NM</v>
      </c>
      <c r="AT22" s="657">
        <f>+AT20+AT19+AT15+AT12</f>
        <v>509</v>
      </c>
      <c r="AU22" s="629" t="str">
        <f>IF(ISERROR(AT22/AL22),"NA",IF(OR(AT22/AL22&gt;2,AT22/AL22&lt;0.5),"NM",AT22/AL22*100-100))</f>
        <v>NM</v>
      </c>
      <c r="AV22" s="657">
        <f>+AV20+AV19+AV15+AV12</f>
        <v>1166</v>
      </c>
      <c r="AW22" s="629">
        <f>IF(ISERROR(AV22/AN22),"NA",IF(OR(AV22/AN22&gt;2,AV22/AN22&lt;0.5),"NM",AV22/AN22*100-100))</f>
        <v>7.5645756457564488</v>
      </c>
      <c r="AX22" s="657">
        <f>+AX20+AX19+AX15+AX12</f>
        <v>1067</v>
      </c>
      <c r="AY22" s="629">
        <f>IF(ISERROR(AX22/AP22),"NA",IF(OR(AX22/AP22&gt;2,AX22/AP22&lt;0.5),"NM",AX22/AP22*100-100))</f>
        <v>-2.6459854014598534</v>
      </c>
      <c r="AZ22" s="657">
        <f>+AZ20+AZ19+AZ15+AZ12</f>
        <v>856</v>
      </c>
      <c r="BA22" s="629">
        <f>IF(ISERROR(AZ22/AR22),"NA",IF(OR(AZ22/AR22&gt;2,AZ22/AR22&lt;0.5),"NM",AZ22/AR22*100-100))</f>
        <v>-18.631178707224336</v>
      </c>
      <c r="BB22" s="657">
        <f>+BB20+BB19+BB15+BB12</f>
        <v>1029</v>
      </c>
      <c r="BC22" s="629" t="str">
        <f>IF(ISERROR(BB22/AT22),"NA",IF(OR(BB22/AT22&gt;2,BB22/AT22&lt;0.5),"NM",BB22/AT22*100-100))</f>
        <v>NM</v>
      </c>
      <c r="BD22" s="657">
        <f>+BD20+BD19+BD15+BD12</f>
        <v>1076</v>
      </c>
      <c r="BE22" s="629">
        <f>IF(ISERROR(BD22/AV22),"NA",IF(OR(BD22/AV22&gt;2,BD22/AV22&lt;0.5),"NM",BD22/AV22*100-100))</f>
        <v>-7.7186963979416845</v>
      </c>
      <c r="BF22" s="657">
        <f>+BF20+BF19+BF15+BF12</f>
        <v>1478</v>
      </c>
      <c r="BG22" s="629">
        <f>IF(ISERROR(BF22/AX22),"NA",IF(OR(BF22/AX22&gt;2,BF22/AX22&lt;0.5),"NM",BF22/AX22*100-100))</f>
        <v>38.519212746016876</v>
      </c>
      <c r="BH22" s="657">
        <f>+BH20+BH19+BH15+BH12</f>
        <v>1517</v>
      </c>
      <c r="BI22" s="629">
        <f>IF(ISERROR(BH22/AZ22),"NA",IF(OR(BH22/AZ22&gt;2,BH22/AZ22&lt;0.5),"NM",BH22/AZ22*100-100))</f>
        <v>77.219626168224295</v>
      </c>
      <c r="BJ22" s="657">
        <f>+BJ20+BJ19+BJ15+BJ12</f>
        <v>1913</v>
      </c>
      <c r="BK22" s="629">
        <f>IF(ISERROR(BJ22/BB22),"NA",IF(OR(BJ22/BB22&gt;2,BJ22/BB22&lt;0.5),"NM",BJ22/BB22*100-100))</f>
        <v>85.908649173955297</v>
      </c>
      <c r="BL22" s="657">
        <f>+BL20+BL19+BL15+BL12</f>
        <v>1461</v>
      </c>
      <c r="BM22" s="629">
        <f>IF(ISERROR(BL22/BD22),"NA",IF(OR(BL22/BD22&gt;2,BL22/BD22&lt;0.5),"NM",BL22/BD22*100-100))</f>
        <v>35.780669144981402</v>
      </c>
      <c r="BN22" s="657">
        <f>+BN20+BN19+BN15+BN12</f>
        <v>1571</v>
      </c>
      <c r="BO22" s="629">
        <f>IF(ISERROR(BN22/BF22),"NA",IF(OR(BN22/BF22&gt;2,BN22/BF22&lt;0.5),"NM",BN22/BF22*100-100))</f>
        <v>6.2922868741542572</v>
      </c>
      <c r="BP22" s="657">
        <f>+BP20+BP19+BP15+BP12</f>
        <v>1623</v>
      </c>
      <c r="BQ22" s="629">
        <f>IF(ISERROR(BP22/BH22),"NA",IF(OR(BP22/BH22&gt;2,BP22/BH22&lt;0.5),"NM",BP22/BH22*100-100))</f>
        <v>6.9874752801582218</v>
      </c>
      <c r="BR22" s="657">
        <f>+BR20+BR19+BR15+BR12</f>
        <v>1353</v>
      </c>
      <c r="BS22" s="629">
        <f>IF(ISERROR(BR22/BJ22),"NA",IF(OR(BR22/BJ22&gt;2,BR22/BJ22&lt;0.5),"NM",BR22/BJ22*100-100))</f>
        <v>-29.273392577104033</v>
      </c>
      <c r="BT22" s="657">
        <f>+BT20+BT19+BT15+BT12</f>
        <v>1345</v>
      </c>
      <c r="BU22" s="629">
        <f>IF(ISERROR(BT22/BL22),"NA",IF(OR(BT22/BL22&gt;2,BT22/BL22&lt;0.5),"NM",BT22/BL22*100-100))</f>
        <v>-7.9397672826830927</v>
      </c>
      <c r="BV22" s="657">
        <f>+BV20+BV19+BV15+BV12</f>
        <v>1745</v>
      </c>
      <c r="BW22" s="629">
        <f>IF(ISERROR(BV22/BN22),"NA",IF(OR(BV22/BN22&gt;2,BV22/BN22&lt;0.5),"NM",BV22/BN22*100-100))</f>
        <v>11.075747931253986</v>
      </c>
      <c r="BX22" s="657">
        <f>+BX20+BX19+BX15+BX12</f>
        <v>1841</v>
      </c>
      <c r="BY22" s="629">
        <f>IF(ISERROR(BX22/BP22),"NA",IF(OR(BX22/BP22&gt;2,BX22/BP22&lt;0.5),"NM",BX22/BP22*100-100))</f>
        <v>13.431916204559457</v>
      </c>
      <c r="BZ22" s="657">
        <f>+BZ20+BZ19+BZ15+BZ12</f>
        <v>1463</v>
      </c>
      <c r="CA22" s="629">
        <f>IF(ISERROR(BZ22/BR22),"NA",IF(OR(BZ22/BR22&gt;2,BZ22/BR22&lt;0.5),"NM",BZ22/BR22*100-100))</f>
        <v>8.1300813008130035</v>
      </c>
      <c r="CB22" s="657">
        <f>+CB20+CB19+CB15+CB12</f>
        <v>1182</v>
      </c>
      <c r="CC22" s="629">
        <f>IF(ISERROR(CB22/BT22),"NA",IF(OR(CB22/BT22&gt;2,CB22/BT22&lt;0.5),"NM",CB22/BT22*100-100))</f>
        <v>-12.118959107806688</v>
      </c>
      <c r="CD22" s="657">
        <f>+CD20+CD19+CD15+CD12</f>
        <v>1325</v>
      </c>
      <c r="CE22" s="629">
        <f>IF(ISERROR(CD22/BV22),"NA",IF(OR(CD22/BV22&gt;2,CD22/BV22&lt;0.5),"NM",CD22/BV22*100-100))</f>
        <v>-24.068767908309454</v>
      </c>
      <c r="CF22" s="657">
        <f>+CF20+CF19+CF15+CF12</f>
        <v>1057</v>
      </c>
      <c r="CG22" s="629">
        <f>IF(ISERROR(CF22/BX22),"NA",IF(OR(CF22/BX22&gt;2,CF22/BX22&lt;0.5),"NM",CF22/BX22*100-100))</f>
        <v>-42.585551330798474</v>
      </c>
      <c r="CH22" s="657">
        <f>+CH20+CH19+CH15+CH12</f>
        <v>1558</v>
      </c>
      <c r="CI22" s="629">
        <f>IF(ISERROR(CH22/BZ22),"NA",IF(OR(CH22/BZ22&gt;2,CH22/BZ22&lt;0.5),"NM",CH22/BZ22*100-100))</f>
        <v>6.4935064935064872</v>
      </c>
      <c r="CJ22" s="657">
        <f>+CJ20+CJ19+CJ15+CJ12</f>
        <v>1459</v>
      </c>
      <c r="CK22" s="629">
        <f>IF(ISERROR(CJ22/CB22),"NA",IF(OR(CJ22/CB22&gt;2,CJ22/CB22&lt;0.5),"NM",CJ22/CB22*100-100))</f>
        <v>23.434856175972925</v>
      </c>
      <c r="CL22" s="657">
        <f>CL10+CL14+CL16+CL19+CL20</f>
        <v>1660</v>
      </c>
      <c r="CM22" s="657">
        <f t="shared" ref="CM22:DB22" si="72">CM10+CM14+CM16+CM19+CM20</f>
        <v>190.14667609555687</v>
      </c>
      <c r="CN22" s="657">
        <f t="shared" si="72"/>
        <v>1228</v>
      </c>
      <c r="CO22" s="657">
        <f t="shared" si="72"/>
        <v>202.51636003780865</v>
      </c>
      <c r="CP22" s="657">
        <f t="shared" si="72"/>
        <v>1784</v>
      </c>
      <c r="CQ22" s="657">
        <f t="shared" si="72"/>
        <v>50.987788475800485</v>
      </c>
      <c r="CR22" s="657">
        <f t="shared" si="72"/>
        <v>1572</v>
      </c>
      <c r="CS22" s="657">
        <f t="shared" si="72"/>
        <v>-10.111955704174534</v>
      </c>
      <c r="CT22" s="657">
        <f t="shared" si="72"/>
        <v>1714.9410197179695</v>
      </c>
      <c r="CU22" s="657">
        <f t="shared" si="72"/>
        <v>40.720235524746968</v>
      </c>
      <c r="CV22" s="657">
        <f t="shared" si="72"/>
        <v>1724.30578930712</v>
      </c>
      <c r="CW22" s="657">
        <f t="shared" si="72"/>
        <v>12.751938851459613</v>
      </c>
      <c r="CX22" s="657">
        <f t="shared" si="72"/>
        <v>1704.9226454723341</v>
      </c>
      <c r="CY22" s="657">
        <f t="shared" si="72"/>
        <v>-29.788103092740059</v>
      </c>
      <c r="CZ22" s="657">
        <f t="shared" si="72"/>
        <v>1537.9404567817808</v>
      </c>
      <c r="DA22" s="657">
        <f t="shared" si="72"/>
        <v>-23.938042546597757</v>
      </c>
      <c r="DB22" s="657">
        <f t="shared" si="72"/>
        <v>0</v>
      </c>
      <c r="DC22" s="657">
        <f>+DC20+DC19+DC15+DC12</f>
        <v>3552</v>
      </c>
      <c r="DD22" s="635"/>
      <c r="DE22" s="657">
        <f>+DE20+DE19+DE15+DE12</f>
        <v>4064</v>
      </c>
      <c r="DF22" s="629">
        <f>IF(ISERROR(DE22/DC22),"NA",IF(OR(DE22/DC22&gt;2,DE22/DC22&lt;0.5),"NM",DE22/DC22*100-100))</f>
        <v>14.414414414414424</v>
      </c>
      <c r="DG22" s="657">
        <f>+DG20+DG19+DG15+DG12</f>
        <v>4537.6000000000004</v>
      </c>
      <c r="DH22" s="629">
        <f>IF(ISERROR(DG22/DE22),"NA",IF(OR(DG22/DE22&gt;2,DG22/DE22&lt;0.5),"NM",DG22/DE22*100-100))</f>
        <v>11.653543307086636</v>
      </c>
      <c r="DI22" s="657">
        <f>+DI20+DI19+DI15+DI12</f>
        <v>1522</v>
      </c>
      <c r="DJ22" s="629" t="str">
        <f>IF(ISERROR(DI22/DG22),"NA",IF(OR(DI22/DG22&gt;2,DI22/DG22&lt;0.5),"NM",DI22/DG22*100-100))</f>
        <v>NM</v>
      </c>
      <c r="DK22" s="657">
        <f>+DK20+DK19+DK15+DK12</f>
        <v>2950</v>
      </c>
      <c r="DL22" s="629">
        <f>IF(ISERROR(DK22/DI22),"NA",IF(OR(DK22/DI22&gt;2,DK22/DI22&lt;0.5),"NM",DK22/DI22*100-100))</f>
        <v>93.823915900131425</v>
      </c>
      <c r="DM22" s="657">
        <f>+DM20+DM19+DM15+DM12</f>
        <v>3662</v>
      </c>
      <c r="DN22" s="629">
        <f>IF(ISERROR(DM22/DK22),"NA",IF(OR(DM22/DK22&gt;2,DM22/DK22&lt;0.5),"NM",DM22/DK22*100-100))</f>
        <v>24.135593220338976</v>
      </c>
      <c r="DO22" s="657">
        <f>+DO20+DO19+DO15+DO12</f>
        <v>3823</v>
      </c>
      <c r="DP22" s="629">
        <f>IF(ISERROR(DO22/DM22),"NA",IF(OR(DO22/DM22&gt;2,DO22/DM22&lt;0.5),"NM",DO22/DM22*100-100))</f>
        <v>4.3965046422719922</v>
      </c>
      <c r="DQ22" s="657">
        <f>+DQ20+DQ19+DQ15+DQ12</f>
        <v>4028</v>
      </c>
      <c r="DR22" s="629">
        <f>IF(ISERROR(DQ22/DO22),"NA",IF(OR(DQ22/DO22&gt;2,DQ22/DO22&lt;0.5),"NM",DQ22/DO22*100-100))</f>
        <v>5.3622809312058592</v>
      </c>
      <c r="DS22" s="657">
        <f>+DS20+DS19+DS15+DS12</f>
        <v>6369</v>
      </c>
      <c r="DT22" s="629">
        <f>IF(ISERROR(DS22/DQ22),"NA",IF(OR(DS22/DQ22&gt;2,DS22/DQ22&lt;0.5),"NM",DS22/DQ22*100-100))</f>
        <v>58.11817279046673</v>
      </c>
      <c r="DU22" s="657">
        <f>+DU20+DU19+DU15+DU12</f>
        <v>5892</v>
      </c>
      <c r="DV22" s="629">
        <f>IF(ISERROR(DU22/DS22),"NA",IF(OR(DU22/DS22&gt;2,DU22/DS22&lt;0.5),"NM",DU22/DS22*100-100))</f>
        <v>-7.4894017899199241</v>
      </c>
      <c r="DW22" s="657">
        <f t="shared" ref="DW22:EM22" si="73">DW10+DW14+DW16+DW19+DW20</f>
        <v>6231</v>
      </c>
      <c r="DX22" s="657">
        <f t="shared" si="73"/>
        <v>21.695030659073808</v>
      </c>
      <c r="DY22" s="657">
        <f t="shared" si="73"/>
        <v>5399</v>
      </c>
      <c r="DZ22" s="657">
        <f t="shared" si="73"/>
        <v>46.616475393136511</v>
      </c>
      <c r="EA22" s="657">
        <f t="shared" si="73"/>
        <v>6244</v>
      </c>
      <c r="EB22" s="657">
        <f t="shared" si="73"/>
        <v>82.80497024670359</v>
      </c>
      <c r="EC22" s="657">
        <f t="shared" si="73"/>
        <v>6682.1099112792035</v>
      </c>
      <c r="ED22" s="657">
        <f t="shared" si="73"/>
        <v>-27.932815188114603</v>
      </c>
      <c r="EE22" s="657">
        <f t="shared" si="73"/>
        <v>6763.3154899509773</v>
      </c>
      <c r="EF22" s="657">
        <f t="shared" si="73"/>
        <v>17.765087400283576</v>
      </c>
      <c r="EG22" s="657">
        <f t="shared" si="73"/>
        <v>6833.5605709238998</v>
      </c>
      <c r="EH22" s="657">
        <f t="shared" si="73"/>
        <v>16.164913689247314</v>
      </c>
      <c r="EI22" s="657">
        <f t="shared" si="73"/>
        <v>6911.8040872976526</v>
      </c>
      <c r="EJ22" s="657">
        <f t="shared" si="73"/>
        <v>16.072774356323166</v>
      </c>
      <c r="EK22" s="657">
        <f t="shared" si="73"/>
        <v>6979.8482302145721</v>
      </c>
      <c r="EL22" s="657">
        <f t="shared" si="73"/>
        <v>14.801460724354669</v>
      </c>
      <c r="EM22" s="657">
        <f t="shared" si="73"/>
        <v>6.9076631813229428</v>
      </c>
    </row>
    <row r="23" spans="1:144" s="632" customFormat="1" ht="12.75" customHeight="1" x14ac:dyDescent="0.2">
      <c r="A23" s="644"/>
      <c r="B23" s="655"/>
      <c r="C23" s="635"/>
      <c r="D23" s="655"/>
      <c r="E23" s="635"/>
      <c r="F23" s="655"/>
      <c r="G23" s="635"/>
      <c r="H23" s="655"/>
      <c r="I23" s="635"/>
      <c r="J23" s="655"/>
      <c r="K23" s="635"/>
      <c r="L23" s="655"/>
      <c r="M23" s="635"/>
      <c r="N23" s="655"/>
      <c r="O23" s="635"/>
      <c r="P23" s="655"/>
      <c r="Q23" s="635"/>
      <c r="R23" s="655"/>
      <c r="S23" s="635"/>
      <c r="T23" s="655"/>
      <c r="U23" s="635"/>
      <c r="V23" s="655"/>
      <c r="W23" s="635"/>
      <c r="X23" s="655"/>
      <c r="Y23" s="635"/>
      <c r="Z23" s="655"/>
      <c r="AA23" s="635"/>
      <c r="AB23" s="655"/>
      <c r="AC23" s="635"/>
      <c r="AD23" s="655"/>
      <c r="AE23" s="635"/>
      <c r="AF23" s="655"/>
      <c r="AG23" s="635"/>
      <c r="AH23" s="655"/>
      <c r="AI23" s="635"/>
      <c r="AJ23" s="655"/>
      <c r="AK23" s="635"/>
      <c r="AL23" s="655"/>
      <c r="AM23" s="635"/>
      <c r="AN23" s="655"/>
      <c r="AO23" s="635"/>
      <c r="AP23" s="655"/>
      <c r="AQ23" s="635"/>
      <c r="AR23" s="655"/>
      <c r="AS23" s="635"/>
      <c r="AT23" s="655"/>
      <c r="AU23" s="635"/>
      <c r="AV23" s="655"/>
      <c r="AW23" s="635"/>
      <c r="AX23" s="655"/>
      <c r="AY23" s="635"/>
      <c r="AZ23" s="655"/>
      <c r="BA23" s="635"/>
      <c r="BB23" s="655"/>
      <c r="BC23" s="635"/>
      <c r="BD23" s="655"/>
      <c r="BE23" s="635"/>
      <c r="BF23" s="655"/>
      <c r="BG23" s="635"/>
      <c r="BH23" s="655"/>
      <c r="BI23" s="635"/>
      <c r="BJ23" s="655"/>
      <c r="BK23" s="635"/>
      <c r="BL23" s="655"/>
      <c r="BM23" s="635"/>
      <c r="BN23" s="655"/>
      <c r="BO23" s="635"/>
      <c r="BP23" s="655"/>
      <c r="BQ23" s="635"/>
      <c r="BR23" s="655"/>
      <c r="BS23" s="635"/>
      <c r="BT23" s="655"/>
      <c r="BU23" s="635"/>
      <c r="BV23" s="655"/>
      <c r="BW23" s="635"/>
      <c r="BX23" s="655"/>
      <c r="BY23" s="635"/>
      <c r="BZ23" s="655"/>
      <c r="CA23" s="635"/>
      <c r="CB23" s="655"/>
      <c r="CC23" s="635"/>
      <c r="CD23" s="655"/>
      <c r="CE23" s="635"/>
      <c r="CF23" s="655"/>
      <c r="CG23" s="635"/>
      <c r="CH23" s="655"/>
      <c r="CI23" s="635"/>
      <c r="CJ23" s="655"/>
      <c r="CK23" s="635"/>
      <c r="CL23" s="655"/>
      <c r="CM23" s="655"/>
      <c r="CN23" s="655"/>
      <c r="CO23" s="655"/>
      <c r="CP23" s="655"/>
      <c r="CQ23" s="655"/>
      <c r="CR23" s="655"/>
      <c r="CS23" s="655"/>
      <c r="CT23" s="655"/>
      <c r="CU23" s="655"/>
      <c r="CV23" s="655"/>
      <c r="CW23" s="655"/>
      <c r="CX23" s="655"/>
      <c r="CY23" s="655"/>
      <c r="CZ23" s="655"/>
      <c r="DA23" s="655"/>
      <c r="DB23" s="655"/>
      <c r="DC23" s="655"/>
      <c r="DD23" s="635"/>
      <c r="DE23" s="655"/>
      <c r="DF23" s="635"/>
      <c r="DG23" s="655"/>
      <c r="DH23" s="635"/>
      <c r="DI23" s="655"/>
      <c r="DJ23" s="635"/>
      <c r="DK23" s="655"/>
      <c r="DL23" s="635"/>
      <c r="DM23" s="655"/>
      <c r="DN23" s="635"/>
      <c r="DO23" s="655"/>
      <c r="DP23" s="635"/>
      <c r="DQ23" s="655"/>
      <c r="DR23" s="635"/>
      <c r="DS23" s="655"/>
      <c r="DT23" s="635"/>
      <c r="DU23" s="655"/>
      <c r="DV23" s="635"/>
      <c r="DW23" s="655"/>
      <c r="DX23" s="655"/>
      <c r="DY23" s="655"/>
      <c r="DZ23" s="655"/>
      <c r="EA23" s="655"/>
      <c r="EB23" s="655"/>
      <c r="EC23" s="655"/>
      <c r="ED23" s="655"/>
      <c r="EE23" s="655"/>
      <c r="EF23" s="655"/>
      <c r="EG23" s="655"/>
      <c r="EH23" s="655"/>
      <c r="EI23" s="655"/>
      <c r="EJ23" s="655"/>
      <c r="EK23" s="655"/>
      <c r="EL23" s="655"/>
      <c r="EM23" s="655"/>
    </row>
    <row r="24" spans="1:144" s="632" customFormat="1" ht="12.75" customHeight="1" x14ac:dyDescent="0.2">
      <c r="A24" s="644" t="s">
        <v>260</v>
      </c>
      <c r="B24" s="655">
        <f>INPUT!AY550</f>
        <v>252</v>
      </c>
      <c r="C24" s="635" t="str">
        <f>INPUT!AZ550</f>
        <v>NA</v>
      </c>
      <c r="D24" s="655">
        <f>INPUT!BA550</f>
        <v>274</v>
      </c>
      <c r="E24" s="635" t="str">
        <f>INPUT!BB550</f>
        <v>NA</v>
      </c>
      <c r="F24" s="655">
        <f>INPUT!BC550</f>
        <v>330</v>
      </c>
      <c r="G24" s="635" t="str">
        <f>INPUT!BD550</f>
        <v>NA</v>
      </c>
      <c r="H24" s="655">
        <f>INPUT!BE550</f>
        <v>304</v>
      </c>
      <c r="I24" s="635" t="str">
        <f>INPUT!BF550</f>
        <v>NA</v>
      </c>
      <c r="J24" s="655">
        <f>INPUT!BG550</f>
        <v>314</v>
      </c>
      <c r="K24" s="635">
        <f>INPUT!BH550</f>
        <v>24.603174603174608</v>
      </c>
      <c r="L24" s="655">
        <f>INPUT!BI550</f>
        <v>321</v>
      </c>
      <c r="M24" s="635">
        <f>INPUT!BJ550</f>
        <v>17.153284671532859</v>
      </c>
      <c r="N24" s="655">
        <f>INPUT!BK550</f>
        <v>379</v>
      </c>
      <c r="O24" s="635">
        <f>INPUT!BL550</f>
        <v>14.848484848484844</v>
      </c>
      <c r="P24" s="655">
        <f>INPUT!BM550</f>
        <v>244</v>
      </c>
      <c r="Q24" s="635">
        <f>INPUT!BN550</f>
        <v>-19.73684210526315</v>
      </c>
      <c r="R24" s="655">
        <f>INPUT!BO550</f>
        <v>240</v>
      </c>
      <c r="S24" s="635">
        <f>INPUT!BP550</f>
        <v>-23.566878980891715</v>
      </c>
      <c r="T24" s="655">
        <f>INPUT!BQ550</f>
        <v>282</v>
      </c>
      <c r="U24" s="635">
        <f>INPUT!BR550</f>
        <v>-12.149532710280369</v>
      </c>
      <c r="V24" s="655">
        <f>INPUT!BS550</f>
        <v>186</v>
      </c>
      <c r="W24" s="635" t="str">
        <f>INPUT!BT550</f>
        <v>NM</v>
      </c>
      <c r="X24" s="655">
        <f>INPUT!BU550</f>
        <v>-304</v>
      </c>
      <c r="Y24" s="635" t="str">
        <f>INPUT!BV550</f>
        <v>NM</v>
      </c>
      <c r="Z24" s="655">
        <f>INPUT!BW550</f>
        <v>56</v>
      </c>
      <c r="AA24" s="635" t="str">
        <f>INPUT!BX550</f>
        <v>NM</v>
      </c>
      <c r="AB24" s="655">
        <f>INPUT!BY550</f>
        <v>306</v>
      </c>
      <c r="AC24" s="635">
        <f>INPUT!BZ550</f>
        <v>8.5106382978723332</v>
      </c>
      <c r="AD24" s="655">
        <f>INPUT!CA550</f>
        <v>246</v>
      </c>
      <c r="AE24" s="635">
        <f>INPUT!CB550</f>
        <v>32.258064516129025</v>
      </c>
      <c r="AF24" s="655">
        <f>INPUT!CC550</f>
        <v>211</v>
      </c>
      <c r="AG24" s="635" t="str">
        <f>INPUT!CD550</f>
        <v>NM</v>
      </c>
      <c r="AH24" s="655">
        <f>INPUT!CE550</f>
        <v>222</v>
      </c>
      <c r="AI24" s="635" t="str">
        <f>INPUT!CF550</f>
        <v>NM</v>
      </c>
      <c r="AJ24" s="655">
        <f>INPUT!CG550</f>
        <v>111</v>
      </c>
      <c r="AK24" s="635" t="str">
        <f>INPUT!CH550</f>
        <v>NM</v>
      </c>
      <c r="AL24" s="655">
        <f>INPUT!CI550</f>
        <v>330</v>
      </c>
      <c r="AM24" s="635">
        <f>INPUT!CJ550</f>
        <v>34.146341463414643</v>
      </c>
      <c r="AN24" s="655">
        <f>INPUT!CK550</f>
        <v>298</v>
      </c>
      <c r="AO24" s="635">
        <f>INPUT!CL550</f>
        <v>41.232227488151665</v>
      </c>
      <c r="AP24" s="655">
        <f>INPUT!CM550</f>
        <v>296</v>
      </c>
      <c r="AQ24" s="635">
        <f>INPUT!CN550</f>
        <v>33.333333333333314</v>
      </c>
      <c r="AR24" s="655">
        <f>INPUT!CO550</f>
        <v>279</v>
      </c>
      <c r="AS24" s="635" t="str">
        <f>INPUT!CP550</f>
        <v>NM</v>
      </c>
      <c r="AT24" s="655">
        <f>INPUT!CQ550</f>
        <v>103</v>
      </c>
      <c r="AU24" s="635" t="str">
        <f>INPUT!CR550</f>
        <v>NM</v>
      </c>
      <c r="AV24" s="655">
        <f>INPUT!CS550</f>
        <v>311</v>
      </c>
      <c r="AW24" s="635">
        <f>INPUT!CT550</f>
        <v>4.3624161073825434</v>
      </c>
      <c r="AX24" s="655">
        <f>INPUT!CU550</f>
        <v>283</v>
      </c>
      <c r="AY24" s="635">
        <f>INPUT!CV550</f>
        <v>-4.3918918918919019</v>
      </c>
      <c r="AZ24" s="655">
        <f>INPUT!CW550</f>
        <v>205</v>
      </c>
      <c r="BA24" s="635">
        <f>INPUT!CX550</f>
        <v>-26.523297491039415</v>
      </c>
      <c r="BB24" s="655">
        <f>INPUT!CY550</f>
        <v>270</v>
      </c>
      <c r="BC24" s="635" t="str">
        <f>INPUT!CZ550</f>
        <v>NM</v>
      </c>
      <c r="BD24" s="655">
        <f>INPUT!DA550</f>
        <v>245</v>
      </c>
      <c r="BE24" s="635">
        <f>INPUT!DB550</f>
        <v>-21.221864951768481</v>
      </c>
      <c r="BF24" s="655">
        <f>INPUT!DC550</f>
        <v>406</v>
      </c>
      <c r="BG24" s="635">
        <f>INPUT!DD550</f>
        <v>43.462897526501763</v>
      </c>
      <c r="BH24" s="655">
        <f>INPUT!DE550</f>
        <v>424</v>
      </c>
      <c r="BI24" s="635" t="str">
        <f>INPUT!DF550</f>
        <v>NM</v>
      </c>
      <c r="BJ24" s="655">
        <f>INPUT!DG550</f>
        <v>540</v>
      </c>
      <c r="BK24" s="635">
        <f>INPUT!DH550</f>
        <v>100</v>
      </c>
      <c r="BL24" s="655">
        <f>INPUT!DI550</f>
        <v>413</v>
      </c>
      <c r="BM24" s="635">
        <f>INPUT!DJ550</f>
        <v>68.571428571428584</v>
      </c>
      <c r="BN24" s="655">
        <f>INPUT!DK550</f>
        <v>434</v>
      </c>
      <c r="BO24" s="635">
        <f>INPUT!DL550</f>
        <v>6.8965517241379217</v>
      </c>
      <c r="BP24" s="655">
        <f>INPUT!DM550</f>
        <v>447</v>
      </c>
      <c r="BQ24" s="635">
        <f>INPUT!DN550</f>
        <v>5.4245283018867951</v>
      </c>
      <c r="BR24" s="655">
        <f>INPUT!DO550</f>
        <v>319</v>
      </c>
      <c r="BS24" s="635">
        <f>INPUT!DP550</f>
        <v>-40.925925925925924</v>
      </c>
      <c r="BT24" s="655">
        <f>INPUT!DQ550</f>
        <v>337</v>
      </c>
      <c r="BU24" s="635">
        <f>INPUT!DR550</f>
        <v>-18.401937046004846</v>
      </c>
      <c r="BV24" s="655">
        <f>INPUT!DS550</f>
        <v>447</v>
      </c>
      <c r="BW24" s="635">
        <f>INPUT!DT550</f>
        <v>2.9953917050691246</v>
      </c>
      <c r="BX24" s="655">
        <f>INPUT!DU550</f>
        <v>491</v>
      </c>
      <c r="BY24" s="635">
        <f>INPUT!DV550</f>
        <v>9.8434004474272854</v>
      </c>
      <c r="BZ24" s="655">
        <f>INPUT!DW550</f>
        <v>353</v>
      </c>
      <c r="CA24" s="635">
        <f>INPUT!DX550</f>
        <v>10.658307210031339</v>
      </c>
      <c r="CB24" s="655">
        <f>INPUT!DY550</f>
        <v>291</v>
      </c>
      <c r="CC24" s="635">
        <f>INPUT!DZ550</f>
        <v>-13.649851632047486</v>
      </c>
      <c r="CD24" s="655">
        <f>INPUT!EA550</f>
        <v>328</v>
      </c>
      <c r="CE24" s="635">
        <f>INPUT!EB550</f>
        <v>-26.621923937360179</v>
      </c>
      <c r="CF24" s="655">
        <f>INPUT!EC550</f>
        <v>228</v>
      </c>
      <c r="CG24" s="635" t="str">
        <f>INPUT!ED550</f>
        <v>NM</v>
      </c>
      <c r="CH24" s="655">
        <f>INPUT!EE550</f>
        <v>367</v>
      </c>
      <c r="CI24" s="635">
        <f>INPUT!EF550</f>
        <v>3.9660056657223777</v>
      </c>
      <c r="CJ24" s="655">
        <f>INPUT!EG550</f>
        <v>369</v>
      </c>
      <c r="CK24" s="635">
        <f>INPUT!EH550</f>
        <v>26.804123711340196</v>
      </c>
      <c r="CL24" s="655">
        <f>INPUT!EI550</f>
        <v>423</v>
      </c>
      <c r="CM24" s="655">
        <f>INPUT!EJ550</f>
        <v>28.963414634146346</v>
      </c>
      <c r="CN24" s="655">
        <f>INPUT!EK550</f>
        <v>309</v>
      </c>
      <c r="CO24" s="655">
        <f>INPUT!EL550</f>
        <v>35.526315789473699</v>
      </c>
      <c r="CP24" s="655">
        <f>INPUT!EM550</f>
        <v>461</v>
      </c>
      <c r="CQ24" s="655">
        <f>INPUT!EN550</f>
        <v>25.613079019073567</v>
      </c>
      <c r="CR24" s="655">
        <f>INPUT!EO550</f>
        <v>399</v>
      </c>
      <c r="CS24" s="655">
        <f>INPUT!EP550</f>
        <v>8.1300813008130035</v>
      </c>
      <c r="CT24" s="655">
        <f>INPUT!EQ550</f>
        <v>377.28702433795343</v>
      </c>
      <c r="CU24" s="655">
        <f>INPUT!ER550</f>
        <v>-10.80685003830888</v>
      </c>
      <c r="CV24" s="655">
        <f>INPUT!ES550</f>
        <v>379.3472736475664</v>
      </c>
      <c r="CW24" s="655">
        <f>INPUT!ET550</f>
        <v>22.766107976558715</v>
      </c>
      <c r="CX24" s="655">
        <f>INPUT!EU550</f>
        <v>375.08298200391351</v>
      </c>
      <c r="CY24" s="655">
        <f>INPUT!EV550</f>
        <v>-18.637097179194456</v>
      </c>
      <c r="CZ24" s="655">
        <f>INPUT!EW550</f>
        <v>338.34690049199179</v>
      </c>
      <c r="DA24" s="655">
        <f>INPUT!EX550</f>
        <v>-15.201278072182518</v>
      </c>
      <c r="DB24" s="655">
        <f>INPUT!EY550</f>
        <v>0</v>
      </c>
      <c r="DC24" s="655">
        <f>INPUT!FP550</f>
        <v>1345</v>
      </c>
      <c r="DD24" s="635">
        <f>INPUT!FQ550</f>
        <v>0</v>
      </c>
      <c r="DE24" s="655">
        <f>INPUT!FR550</f>
        <v>1615</v>
      </c>
      <c r="DF24" s="635">
        <f>INPUT!FS550</f>
        <v>20.074349442379173</v>
      </c>
      <c r="DG24" s="655">
        <f>INPUT!FT550</f>
        <v>1783</v>
      </c>
      <c r="DH24" s="635">
        <f>INPUT!FU550</f>
        <v>10.402476780185751</v>
      </c>
      <c r="DI24" s="655">
        <f>INPUT!FV550</f>
        <v>1811</v>
      </c>
      <c r="DJ24" s="635">
        <f>INPUT!FW550</f>
        <v>1.5703869882220971</v>
      </c>
      <c r="DK24" s="655">
        <f>INPUT!FX550</f>
        <v>1834</v>
      </c>
      <c r="DL24" s="635">
        <f>INPUT!FY550</f>
        <v>1.2700165654334654</v>
      </c>
      <c r="DM24" s="655">
        <f>INPUT!FZ550</f>
        <v>1613</v>
      </c>
      <c r="DN24" s="635">
        <f>INPUT!GA550</f>
        <v>-12.050163576881133</v>
      </c>
      <c r="DO24" s="655">
        <f>INPUT!GB550</f>
        <v>1537</v>
      </c>
      <c r="DP24" s="635">
        <f>INPUT!GC550</f>
        <v>-4.7117172969621777</v>
      </c>
      <c r="DQ24" s="655">
        <f>INPUT!GD550</f>
        <v>1550</v>
      </c>
      <c r="DR24" s="635">
        <f>INPUT!GE550</f>
        <v>0.84580351333767112</v>
      </c>
      <c r="DS24" s="655">
        <f>INPUT!GF550</f>
        <v>1594</v>
      </c>
      <c r="DT24" s="635">
        <f>INPUT!GG550</f>
        <v>2.8387096774193452</v>
      </c>
      <c r="DU24" s="655">
        <f>INPUT!GH550</f>
        <v>1628</v>
      </c>
      <c r="DV24" s="635">
        <f>INPUT!GI550</f>
        <v>2.1329987452948416</v>
      </c>
      <c r="DW24" s="655">
        <f>INPUT!GJ550</f>
        <v>1582</v>
      </c>
      <c r="DX24" s="655">
        <f>INPUT!GK550</f>
        <v>-2.8255528255528191</v>
      </c>
      <c r="DY24" s="655">
        <f>INPUT!GL550</f>
        <v>1292</v>
      </c>
      <c r="DZ24" s="655">
        <f>INPUT!GM550</f>
        <v>-18.33122629582806</v>
      </c>
      <c r="EA24" s="655">
        <f>INPUT!GN550</f>
        <v>1592</v>
      </c>
      <c r="EB24" s="655">
        <f>INPUT!GO550</f>
        <v>23.219814241486063</v>
      </c>
      <c r="EC24" s="655">
        <f>INPUT!GP550</f>
        <v>1470.0641804814252</v>
      </c>
      <c r="ED24" s="655">
        <f>INPUT!GQ550</f>
        <v>-7.6592851456391173</v>
      </c>
      <c r="EE24" s="655">
        <f>INPUT!GR550</f>
        <v>1487.9294077892152</v>
      </c>
      <c r="EF24" s="655">
        <f>INPUT!GS550</f>
        <v>1.215268526707419</v>
      </c>
      <c r="EG24" s="655">
        <f>INPUT!GT550</f>
        <v>1503.3833256032583</v>
      </c>
      <c r="EH24" s="655">
        <f>INPUT!GU550</f>
        <v>1.0386190186942201</v>
      </c>
      <c r="EI24" s="655">
        <f>INPUT!GV550</f>
        <v>1520.5968992054839</v>
      </c>
      <c r="EJ24" s="655">
        <f>INPUT!GW550</f>
        <v>1.1449889930978259</v>
      </c>
      <c r="EK24" s="655">
        <f>INPUT!GX550</f>
        <v>1535.5666106472063</v>
      </c>
      <c r="EL24" s="655">
        <f>INPUT!GY550</f>
        <v>0.98446284150284669</v>
      </c>
      <c r="EM24" s="655">
        <f>INPUT!GZ550</f>
        <v>-0.71923398389063253</v>
      </c>
    </row>
    <row r="25" spans="1:144" s="632" customFormat="1" ht="12.75" customHeight="1" x14ac:dyDescent="0.2">
      <c r="A25" s="644" t="s">
        <v>327</v>
      </c>
      <c r="B25" s="655">
        <f>INPUT!AY551</f>
        <v>29.508196721311474</v>
      </c>
      <c r="C25" s="635" t="str">
        <f>INPUT!AZ551</f>
        <v>NA</v>
      </c>
      <c r="D25" s="655">
        <f>INPUT!BA551</f>
        <v>29.718004338394792</v>
      </c>
      <c r="E25" s="635" t="str">
        <f>INPUT!BB551</f>
        <v>NA</v>
      </c>
      <c r="F25" s="655">
        <f>INPUT!BC551</f>
        <v>29.837251356238699</v>
      </c>
      <c r="G25" s="635" t="str">
        <f>INPUT!BD551</f>
        <v>NA</v>
      </c>
      <c r="H25" s="655">
        <f>INPUT!BE551</f>
        <v>29.774730656219393</v>
      </c>
      <c r="I25" s="635" t="str">
        <f>INPUT!BF551</f>
        <v>NA</v>
      </c>
      <c r="J25" s="655">
        <f>INPUT!BG551</f>
        <v>28.607871720116616</v>
      </c>
      <c r="K25" s="635">
        <f>INPUT!BH551</f>
        <v>-3.0511013929381221</v>
      </c>
      <c r="L25" s="655">
        <f>INPUT!BI551</f>
        <v>28.635147190008919</v>
      </c>
      <c r="M25" s="635">
        <f>INPUT!BJ551</f>
        <v>-3.6437747839845827</v>
      </c>
      <c r="N25" s="655">
        <f>INPUT!BK551</f>
        <v>29.266409266409266</v>
      </c>
      <c r="O25" s="635">
        <f>INPUT!BL551</f>
        <v>-1.9131859131859272</v>
      </c>
      <c r="P25" s="655">
        <f>INPUT!BM551</f>
        <v>23.828125</v>
      </c>
      <c r="Q25" s="635">
        <f>INPUT!BN551</f>
        <v>-19.971988075657904</v>
      </c>
      <c r="R25" s="655">
        <f>INPUT!BO551</f>
        <v>26.286966046002192</v>
      </c>
      <c r="S25" s="635">
        <f>INPUT!BP551</f>
        <v>-8.1128218723184489</v>
      </c>
      <c r="T25" s="655">
        <f>INPUT!BQ551</f>
        <v>25.314183123877914</v>
      </c>
      <c r="U25" s="635">
        <f>INPUT!BR551</f>
        <v>-11.597510025335993</v>
      </c>
      <c r="V25" s="655">
        <f>INPUT!BS551</f>
        <v>30.794701986754969</v>
      </c>
      <c r="W25" s="635">
        <f>INPUT!BT551</f>
        <v>5.2220028307326913</v>
      </c>
      <c r="X25" s="655">
        <f>INPUT!BU551</f>
        <v>25.719120135363788</v>
      </c>
      <c r="Y25" s="635">
        <f>INPUT!BV551</f>
        <v>7.9359795844775363</v>
      </c>
      <c r="Z25" s="655">
        <f>INPUT!BW551</f>
        <v>22.857142857142858</v>
      </c>
      <c r="AA25" s="635">
        <f>INPUT!BX551</f>
        <v>-13.047619047619051</v>
      </c>
      <c r="AB25" s="655">
        <f>INPUT!BY551</f>
        <v>26.221079691516707</v>
      </c>
      <c r="AC25" s="635">
        <f>INPUT!BZ551</f>
        <v>3.5825630367007761</v>
      </c>
      <c r="AD25" s="655">
        <f>INPUT!CA551</f>
        <v>23.076923076923077</v>
      </c>
      <c r="AE25" s="635">
        <f>INPUT!CB551</f>
        <v>-25.062034739454091</v>
      </c>
      <c r="AF25" s="655">
        <f>INPUT!CC551</f>
        <v>27.58169934640523</v>
      </c>
      <c r="AG25" s="635">
        <f>INPUT!CD551</f>
        <v>7.2420020639835059</v>
      </c>
      <c r="AH25" s="655">
        <f>INPUT!CE551</f>
        <v>25.934579439252335</v>
      </c>
      <c r="AI25" s="635">
        <f>INPUT!CF551</f>
        <v>13.463785046728958</v>
      </c>
      <c r="AJ25" s="655">
        <f>INPUT!CG551</f>
        <v>22.653061224489797</v>
      </c>
      <c r="AK25" s="635">
        <f>INPUT!CH551</f>
        <v>-13.607442977190871</v>
      </c>
      <c r="AL25" s="655">
        <f>INPUT!CI551</f>
        <v>26.785714285714285</v>
      </c>
      <c r="AM25" s="635">
        <f>INPUT!CJ551</f>
        <v>16.071428571428555</v>
      </c>
      <c r="AN25" s="655">
        <f>INPUT!CK551</f>
        <v>27.490774907749078</v>
      </c>
      <c r="AO25" s="635">
        <f>INPUT!CL551</f>
        <v>-0.32965495531732358</v>
      </c>
      <c r="AP25" s="655">
        <f>INPUT!CM551</f>
        <v>27.007299270072991</v>
      </c>
      <c r="AQ25" s="635">
        <f>INPUT!CN551</f>
        <v>4.1362530413625365</v>
      </c>
      <c r="AR25" s="655">
        <f>INPUT!CO551</f>
        <v>26.520912547528518</v>
      </c>
      <c r="AS25" s="635">
        <f>INPUT!CP551</f>
        <v>17.074298633233994</v>
      </c>
      <c r="AT25" s="655">
        <f>INPUT!CQ551</f>
        <v>20.235756385068761</v>
      </c>
      <c r="AU25" s="635">
        <f>INPUT!CR551</f>
        <v>-24.453176162409946</v>
      </c>
      <c r="AV25" s="655">
        <f>INPUT!CS551</f>
        <v>26.672384219554029</v>
      </c>
      <c r="AW25" s="635">
        <f>INPUT!CT551</f>
        <v>-2.9769647852464232</v>
      </c>
      <c r="AX25" s="655">
        <f>INPUT!CU551</f>
        <v>26.522961574507963</v>
      </c>
      <c r="AY25" s="635">
        <f>INPUT!CV551</f>
        <v>-1.7933584943894232</v>
      </c>
      <c r="AZ25" s="655">
        <f>INPUT!CW551</f>
        <v>23.948598130841123</v>
      </c>
      <c r="BA25" s="635">
        <f>INPUT!CX551</f>
        <v>-9.699192710950328</v>
      </c>
      <c r="BB25" s="655">
        <f>INPUT!CY551</f>
        <v>26.239067055393583</v>
      </c>
      <c r="BC25" s="635">
        <f>INPUT!CZ551</f>
        <v>29.666845933935292</v>
      </c>
      <c r="BD25" s="655">
        <f>INPUT!DA551</f>
        <v>22.769516728624538</v>
      </c>
      <c r="BE25" s="635">
        <f>INPUT!DB551</f>
        <v>-14.632615737697066</v>
      </c>
      <c r="BF25" s="655">
        <f>INPUT!DC551</f>
        <v>27.469553450608931</v>
      </c>
      <c r="BG25" s="635">
        <f>INPUT!DD551</f>
        <v>3.5689524091863376</v>
      </c>
      <c r="BH25" s="655">
        <f>INPUT!DE551</f>
        <v>27.94990112063283</v>
      </c>
      <c r="BI25" s="635">
        <f>INPUT!DF551</f>
        <v>16.70787980127659</v>
      </c>
      <c r="BJ25" s="655">
        <f>INPUT!DG551</f>
        <v>28.227914270778882</v>
      </c>
      <c r="BK25" s="635">
        <f>INPUT!DH551</f>
        <v>7.5797177208573032</v>
      </c>
      <c r="BL25" s="655">
        <f>INPUT!DI551</f>
        <v>28.268309377138944</v>
      </c>
      <c r="BM25" s="635">
        <f>INPUT!DJ551</f>
        <v>24.149799550210219</v>
      </c>
      <c r="BN25" s="655">
        <f>INPUT!DK551</f>
        <v>27.625716104392104</v>
      </c>
      <c r="BO25" s="635">
        <f>INPUT!DL551</f>
        <v>0.56849360170328112</v>
      </c>
      <c r="BP25" s="655">
        <f>INPUT!DM551</f>
        <v>27.541589648798521</v>
      </c>
      <c r="BQ25" s="635">
        <f>INPUT!DN551</f>
        <v>-1.4608691103128422</v>
      </c>
      <c r="BR25" s="655">
        <f>INPUT!DO551</f>
        <v>23.577235772357724</v>
      </c>
      <c r="BS25" s="635">
        <f>INPUT!DP551</f>
        <v>-16.475459199036436</v>
      </c>
      <c r="BT25" s="655">
        <f>INPUT!DQ551</f>
        <v>25.055762081784387</v>
      </c>
      <c r="BU25" s="635">
        <f>INPUT!DR551</f>
        <v>-11.364483289377745</v>
      </c>
      <c r="BV25" s="655">
        <f>INPUT!DS551</f>
        <v>25.616045845272208</v>
      </c>
      <c r="BW25" s="635">
        <f>INPUT!DT551</f>
        <v>-7.2746358918833209</v>
      </c>
      <c r="BX25" s="655">
        <f>INPUT!DU551</f>
        <v>26.670287887017924</v>
      </c>
      <c r="BY25" s="635">
        <f>INPUT!DV551</f>
        <v>-3.1635855914315556</v>
      </c>
      <c r="BZ25" s="655">
        <f>INPUT!DW551</f>
        <v>24.128503075871496</v>
      </c>
      <c r="CA25" s="635">
        <f>INPUT!DX551</f>
        <v>2.3381337355928906</v>
      </c>
      <c r="CB25" s="655">
        <f>INPUT!DY551</f>
        <v>24.61928934010152</v>
      </c>
      <c r="CC25" s="635">
        <f>INPUT!DZ551</f>
        <v>-1.7420054527105435</v>
      </c>
      <c r="CD25" s="655">
        <f>INPUT!EA551</f>
        <v>24.754716981132074</v>
      </c>
      <c r="CE25" s="635">
        <f>INPUT!EB551</f>
        <v>-3.3624583175045473</v>
      </c>
      <c r="CF25" s="655">
        <f>INPUT!EC551</f>
        <v>21.570482497634817</v>
      </c>
      <c r="CG25" s="635">
        <f>INPUT!ED551</f>
        <v>-19.121673567931367</v>
      </c>
      <c r="CH25" s="655">
        <f>INPUT!EE551</f>
        <v>23.555840821566111</v>
      </c>
      <c r="CI25" s="635">
        <f>INPUT!EF551</f>
        <v>-2.3733849236509315</v>
      </c>
      <c r="CJ25" s="655">
        <f>INPUT!EG551</f>
        <v>25.291295407813568</v>
      </c>
      <c r="CK25" s="635">
        <f>INPUT!EH551</f>
        <v>2.7295916564798546</v>
      </c>
      <c r="CL25" s="655">
        <f>INPUT!EI551</f>
        <v>25.481927710843372</v>
      </c>
      <c r="CM25" s="655">
        <f>INPUT!EJ551</f>
        <v>2.9376652953276619</v>
      </c>
      <c r="CN25" s="655">
        <f>INPUT!EK551</f>
        <v>25.162866449511402</v>
      </c>
      <c r="CO25" s="655">
        <f>INPUT!EL551</f>
        <v>16.654165952340122</v>
      </c>
      <c r="CP25" s="655">
        <f>INPUT!EM551</f>
        <v>25.840807174887892</v>
      </c>
      <c r="CQ25" s="655">
        <f>INPUT!EN551</f>
        <v>9.7002113854913716</v>
      </c>
      <c r="CR25" s="655">
        <f>INPUT!EO551</f>
        <v>25.381679389312978</v>
      </c>
      <c r="CS25" s="655">
        <f>INPUT!EP551</f>
        <v>0.35737189432964556</v>
      </c>
      <c r="CT25" s="655">
        <f>INPUT!EQ551</f>
        <v>22</v>
      </c>
      <c r="CU25" s="655">
        <f>INPUT!ER551</f>
        <v>-13.664302600472809</v>
      </c>
      <c r="CV25" s="655">
        <f>INPUT!ES551</f>
        <v>22</v>
      </c>
      <c r="CW25" s="655">
        <f>INPUT!ET551</f>
        <v>-12.569579288025892</v>
      </c>
      <c r="CX25" s="655">
        <f>INPUT!EU551</f>
        <v>22</v>
      </c>
      <c r="CY25" s="655">
        <f>INPUT!EV551</f>
        <v>-14.863340563991329</v>
      </c>
      <c r="CZ25" s="655">
        <f>INPUT!EW551</f>
        <v>22</v>
      </c>
      <c r="DA25" s="655">
        <f>INPUT!EX551</f>
        <v>-13.323308270676691</v>
      </c>
      <c r="DB25" s="655">
        <f>INPUT!EY551</f>
        <v>0</v>
      </c>
      <c r="DC25" s="655">
        <f>INPUT!FP551</f>
        <v>39.201399009035264</v>
      </c>
      <c r="DD25" s="635">
        <f>INPUT!FQ551</f>
        <v>0</v>
      </c>
      <c r="DE25" s="655">
        <f>INPUT!FR551</f>
        <v>41.378426851140148</v>
      </c>
      <c r="DF25" s="635">
        <f>INPUT!FS551</f>
        <v>5.5534442574437577</v>
      </c>
      <c r="DG25" s="655">
        <f>INPUT!FT551</f>
        <v>39.293899858956273</v>
      </c>
      <c r="DH25" s="635">
        <f>INPUT!FU551</f>
        <v>-5.0377144585100098</v>
      </c>
      <c r="DI25" s="655">
        <f>INPUT!FV551</f>
        <v>155.85197934595524</v>
      </c>
      <c r="DJ25" s="635" t="str">
        <f>INPUT!FW551</f>
        <v>NM</v>
      </c>
      <c r="DK25" s="655">
        <f>INPUT!FX551</f>
        <v>62.169491525423723</v>
      </c>
      <c r="DL25" s="635" t="str">
        <f>INPUT!FY551</f>
        <v>NM</v>
      </c>
      <c r="DM25" s="655">
        <f>INPUT!FZ551</f>
        <v>44.046968869470234</v>
      </c>
      <c r="DN25" s="635">
        <f>INPUT!GA551</f>
        <v>-29.150186387711457</v>
      </c>
      <c r="DO25" s="655">
        <f>INPUT!GB551</f>
        <v>40.204028250065392</v>
      </c>
      <c r="DP25" s="635">
        <f>INPUT!GC551</f>
        <v>-8.7246426213642536</v>
      </c>
      <c r="DQ25" s="655">
        <f>INPUT!GD551</f>
        <v>38.480635551142008</v>
      </c>
      <c r="DR25" s="635">
        <f>INPUT!GE551</f>
        <v>-4.2866169733143096</v>
      </c>
      <c r="DS25" s="655">
        <f>INPUT!GF551</f>
        <v>25.027476840948342</v>
      </c>
      <c r="DT25" s="635">
        <f>INPUT!GG551</f>
        <v>-34.960853732038771</v>
      </c>
      <c r="DU25" s="655">
        <f>INPUT!GH551</f>
        <v>27.630685675492195</v>
      </c>
      <c r="DV25" s="635">
        <f>INPUT!GI551</f>
        <v>10.401403429868125</v>
      </c>
      <c r="DW25" s="655">
        <f>INPUT!GJ551</f>
        <v>25.38918311667469</v>
      </c>
      <c r="DX25" s="655">
        <f>INPUT!GK551</f>
        <v>-8.1123667546392824</v>
      </c>
      <c r="DY25" s="655">
        <f>INPUT!GL551</f>
        <v>23.930357473606222</v>
      </c>
      <c r="DZ25" s="655">
        <f>INPUT!GM551</f>
        <v>-5.7458549822753611</v>
      </c>
      <c r="EA25" s="655">
        <f>INPUT!GN551</f>
        <v>25.496476617552847</v>
      </c>
      <c r="EB25" s="655">
        <f>INPUT!GO551</f>
        <v>6.5444870419255636</v>
      </c>
      <c r="EC25" s="655">
        <f>INPUT!GP551</f>
        <v>22.000000000000004</v>
      </c>
      <c r="ED25" s="655">
        <f>INPUT!GQ551</f>
        <v>-13.713567839195946</v>
      </c>
      <c r="EE25" s="655">
        <f>INPUT!GR551</f>
        <v>22.000000000000004</v>
      </c>
      <c r="EF25" s="655">
        <f>INPUT!GS551</f>
        <v>0</v>
      </c>
      <c r="EG25" s="655">
        <f>INPUT!GT551</f>
        <v>22.000000000000004</v>
      </c>
      <c r="EH25" s="655">
        <f>INPUT!GU551</f>
        <v>0</v>
      </c>
      <c r="EI25" s="655">
        <f>INPUT!GV551</f>
        <v>22.000000000000004</v>
      </c>
      <c r="EJ25" s="655">
        <f>INPUT!GW551</f>
        <v>0</v>
      </c>
      <c r="EK25" s="655">
        <f>INPUT!GX551</f>
        <v>22.000000000000004</v>
      </c>
      <c r="EL25" s="655">
        <f>INPUT!GY551</f>
        <v>0</v>
      </c>
      <c r="EM25" s="655">
        <f>INPUT!GZ551</f>
        <v>-2.9068698527729753</v>
      </c>
    </row>
    <row r="26" spans="1:144" s="632" customFormat="1" ht="12.75" customHeight="1" x14ac:dyDescent="0.2">
      <c r="A26" s="644" t="str">
        <f>INPUT!B545</f>
        <v>Direct Equity Adjustment</v>
      </c>
      <c r="B26" s="655">
        <f>INPUT!AY545</f>
        <v>19</v>
      </c>
      <c r="C26" s="635">
        <f>INPUT!AZ545</f>
        <v>-13.63636363636364</v>
      </c>
      <c r="D26" s="655">
        <f>INPUT!BA545</f>
        <v>16</v>
      </c>
      <c r="E26" s="635">
        <f>INPUT!BB545</f>
        <v>-27.272727272727266</v>
      </c>
      <c r="F26" s="655">
        <f>INPUT!BC545</f>
        <v>16</v>
      </c>
      <c r="G26" s="635">
        <f>INPUT!BD545</f>
        <v>-15.789473684210535</v>
      </c>
      <c r="H26" s="655">
        <f>INPUT!BE545</f>
        <v>17</v>
      </c>
      <c r="I26" s="635">
        <f>INPUT!BF545</f>
        <v>-10.526315789473685</v>
      </c>
      <c r="J26" s="655">
        <f>INPUT!BG545</f>
        <v>14.6</v>
      </c>
      <c r="K26" s="635">
        <f>INPUT!BH545</f>
        <v>-23.15789473684211</v>
      </c>
      <c r="L26" s="655">
        <f>INPUT!BI545</f>
        <v>14</v>
      </c>
      <c r="M26" s="635">
        <f>INPUT!BJ545</f>
        <v>-12.5</v>
      </c>
      <c r="N26" s="655">
        <f>INPUT!BK545</f>
        <v>13</v>
      </c>
      <c r="O26" s="635">
        <f>INPUT!BL545</f>
        <v>-18.75</v>
      </c>
      <c r="P26" s="655">
        <f>INPUT!BM545</f>
        <v>11</v>
      </c>
      <c r="Q26" s="635">
        <f>INPUT!BN545</f>
        <v>-35.294117647058826</v>
      </c>
      <c r="R26" s="655">
        <f>INPUT!BO545</f>
        <v>12</v>
      </c>
      <c r="S26" s="635">
        <f>INPUT!BP545</f>
        <v>-17.808219178082183</v>
      </c>
      <c r="T26" s="655">
        <f>INPUT!BQ545</f>
        <v>14</v>
      </c>
      <c r="U26" s="635">
        <f>INPUT!BR545</f>
        <v>0</v>
      </c>
      <c r="V26" s="655">
        <f>INPUT!BS545</f>
        <v>10</v>
      </c>
      <c r="W26" s="635">
        <f>INPUT!BT545</f>
        <v>-23.076923076923066</v>
      </c>
      <c r="X26" s="655">
        <f>INPUT!BU545</f>
        <v>19</v>
      </c>
      <c r="Y26" s="635">
        <f>INPUT!BV545</f>
        <v>72.72727272727272</v>
      </c>
      <c r="Z26" s="655">
        <f>INPUT!BW545</f>
        <v>11</v>
      </c>
      <c r="AA26" s="635">
        <f>INPUT!BX545</f>
        <v>-8.3333333333333428</v>
      </c>
      <c r="AB26" s="655">
        <f>INPUT!BY545</f>
        <v>0</v>
      </c>
      <c r="AC26" s="635" t="str">
        <f>INPUT!BZ545</f>
        <v>NM</v>
      </c>
      <c r="AD26" s="655">
        <f>INPUT!CA545</f>
        <v>0</v>
      </c>
      <c r="AE26" s="635" t="str">
        <f>INPUT!CB545</f>
        <v>NM</v>
      </c>
      <c r="AF26" s="655">
        <f>INPUT!CC545</f>
        <v>5</v>
      </c>
      <c r="AG26" s="635" t="str">
        <f>INPUT!CD545</f>
        <v>NM</v>
      </c>
      <c r="AH26" s="655">
        <f>INPUT!CE545</f>
        <v>6</v>
      </c>
      <c r="AI26" s="635">
        <f>INPUT!CF545</f>
        <v>-45.45454545454546</v>
      </c>
      <c r="AJ26" s="655">
        <f>INPUT!CG545</f>
        <v>10</v>
      </c>
      <c r="AK26" s="635" t="str">
        <f>INPUT!CH545</f>
        <v>NA</v>
      </c>
      <c r="AL26" s="655">
        <f>INPUT!CI545</f>
        <v>1</v>
      </c>
      <c r="AM26" s="635" t="str">
        <f>INPUT!CJ545</f>
        <v>NA</v>
      </c>
      <c r="AN26" s="655">
        <f>INPUT!CK545</f>
        <v>1</v>
      </c>
      <c r="AO26" s="635" t="str">
        <f>INPUT!CL545</f>
        <v>NM</v>
      </c>
      <c r="AP26" s="655">
        <f>INPUT!CM545</f>
        <v>0</v>
      </c>
      <c r="AQ26" s="635" t="str">
        <f>INPUT!CN545</f>
        <v>NM</v>
      </c>
      <c r="AR26" s="655">
        <f>INPUT!CO545</f>
        <v>2</v>
      </c>
      <c r="AS26" s="635" t="str">
        <f>INPUT!CP545</f>
        <v>NM</v>
      </c>
      <c r="AT26" s="655">
        <f>INPUT!CQ545</f>
        <v>4</v>
      </c>
      <c r="AU26" s="635" t="str">
        <f>INPUT!CR545</f>
        <v>NM</v>
      </c>
      <c r="AV26" s="655">
        <f>INPUT!CS545</f>
        <v>-4</v>
      </c>
      <c r="AW26" s="635" t="str">
        <f>INPUT!CT545</f>
        <v>NM</v>
      </c>
      <c r="AX26" s="655">
        <f>INPUT!CU545</f>
        <v>6</v>
      </c>
      <c r="AY26" s="635" t="str">
        <f>INPUT!CV545</f>
        <v>NA</v>
      </c>
      <c r="AZ26" s="655">
        <f>INPUT!CW545</f>
        <v>6</v>
      </c>
      <c r="BA26" s="635" t="str">
        <f>INPUT!CX545</f>
        <v>NM</v>
      </c>
      <c r="BB26" s="655">
        <f>INPUT!CY545</f>
        <v>-3</v>
      </c>
      <c r="BC26" s="635" t="str">
        <f>INPUT!CZ545</f>
        <v>NM</v>
      </c>
      <c r="BD26" s="655">
        <f>INPUT!DA545</f>
        <v>-3</v>
      </c>
      <c r="BE26" s="635">
        <f>INPUT!DB545</f>
        <v>-25</v>
      </c>
      <c r="BF26" s="655">
        <f>INPUT!DC545</f>
        <v>-3</v>
      </c>
      <c r="BG26" s="635" t="str">
        <f>INPUT!DD545</f>
        <v>NM</v>
      </c>
      <c r="BH26" s="655">
        <f>INPUT!DE545</f>
        <v>-5</v>
      </c>
      <c r="BI26" s="635" t="str">
        <f>INPUT!DF545</f>
        <v>NM</v>
      </c>
      <c r="BJ26" s="655">
        <f>INPUT!DG545</f>
        <v>-7</v>
      </c>
      <c r="BK26" s="635" t="str">
        <f>INPUT!DH545</f>
        <v>NM</v>
      </c>
      <c r="BL26" s="655">
        <f>INPUT!DI545</f>
        <v>-10</v>
      </c>
      <c r="BM26" s="635" t="str">
        <f>INPUT!DJ545</f>
        <v>NM</v>
      </c>
      <c r="BN26" s="655">
        <f>INPUT!DK545</f>
        <v>-2</v>
      </c>
      <c r="BO26" s="635">
        <f>INPUT!DL545</f>
        <v>-33.333333333333343</v>
      </c>
      <c r="BP26" s="655">
        <f>INPUT!DM545</f>
        <v>-3</v>
      </c>
      <c r="BQ26" s="635">
        <f>INPUT!DN545</f>
        <v>-40</v>
      </c>
      <c r="BR26" s="655">
        <f>INPUT!DO545</f>
        <v>-3</v>
      </c>
      <c r="BS26" s="635" t="str">
        <f>INPUT!DP545</f>
        <v>NM</v>
      </c>
      <c r="BT26" s="655">
        <f>INPUT!DQ545</f>
        <v>-19</v>
      </c>
      <c r="BU26" s="635">
        <f>INPUT!DR545</f>
        <v>90</v>
      </c>
      <c r="BV26" s="655">
        <f>INPUT!DS545</f>
        <v>0</v>
      </c>
      <c r="BW26" s="635" t="str">
        <f>INPUT!DT545</f>
        <v>NM</v>
      </c>
      <c r="BX26" s="655">
        <f>INPUT!DU545</f>
        <v>0</v>
      </c>
      <c r="BY26" s="635" t="str">
        <f>INPUT!DV545</f>
        <v>NM</v>
      </c>
      <c r="BZ26" s="655">
        <f>INPUT!DW545</f>
        <v>0</v>
      </c>
      <c r="CA26" s="635" t="str">
        <f>INPUT!DX545</f>
        <v>NM</v>
      </c>
      <c r="CB26" s="655">
        <f>INPUT!DY545</f>
        <v>0</v>
      </c>
      <c r="CC26" s="635" t="str">
        <f>INPUT!DZ545</f>
        <v>NM</v>
      </c>
      <c r="CD26" s="655">
        <f>INPUT!EA545</f>
        <v>0</v>
      </c>
      <c r="CE26" s="635" t="str">
        <f>INPUT!EB545</f>
        <v>NA</v>
      </c>
      <c r="CF26" s="655">
        <f>INPUT!EC545</f>
        <v>0</v>
      </c>
      <c r="CG26" s="635" t="str">
        <f>INPUT!ED545</f>
        <v>NA</v>
      </c>
      <c r="CH26" s="655">
        <f>INPUT!EE545</f>
        <v>-9.5</v>
      </c>
      <c r="CI26" s="635" t="str">
        <f>INPUT!EF545</f>
        <v>NA</v>
      </c>
      <c r="CJ26" s="655">
        <f>INPUT!EG545</f>
        <v>-9</v>
      </c>
      <c r="CK26" s="635" t="str">
        <f>INPUT!EH545</f>
        <v>NA</v>
      </c>
      <c r="CL26" s="655">
        <f>INPUT!EI545</f>
        <v>-10</v>
      </c>
      <c r="CM26" s="655" t="str">
        <f>INPUT!EJ545</f>
        <v>NA</v>
      </c>
      <c r="CN26" s="655">
        <f>INPUT!EK545</f>
        <v>-5</v>
      </c>
      <c r="CO26" s="655" t="str">
        <f>INPUT!EL545</f>
        <v>NA</v>
      </c>
      <c r="CP26" s="655">
        <f>INPUT!EM545</f>
        <v>-12</v>
      </c>
      <c r="CQ26" s="655">
        <f>INPUT!EN545</f>
        <v>26.315789473684205</v>
      </c>
      <c r="CR26" s="655">
        <f>INPUT!EO545</f>
        <v>-11</v>
      </c>
      <c r="CS26" s="655">
        <f>INPUT!EP545</f>
        <v>22.222222222222229</v>
      </c>
      <c r="CT26" s="655">
        <f>INPUT!EQ545</f>
        <v>-11</v>
      </c>
      <c r="CU26" s="655">
        <f>INPUT!ER545</f>
        <v>10.000000000000014</v>
      </c>
      <c r="CV26" s="655">
        <f>INPUT!ES545</f>
        <v>-11</v>
      </c>
      <c r="CW26" s="655" t="str">
        <f>INPUT!ET545</f>
        <v>NM</v>
      </c>
      <c r="CX26" s="655">
        <f>INPUT!EU545</f>
        <v>-11</v>
      </c>
      <c r="CY26" s="655">
        <f>INPUT!EV545</f>
        <v>-8.3333333333333428</v>
      </c>
      <c r="CZ26" s="655">
        <f>INPUT!EW545</f>
        <v>-11</v>
      </c>
      <c r="DA26" s="655">
        <f>INPUT!EX545</f>
        <v>0</v>
      </c>
      <c r="DB26" s="655">
        <f>INPUT!EY545</f>
        <v>0</v>
      </c>
      <c r="DC26" s="655">
        <f>INPUT!FP545</f>
        <v>-14</v>
      </c>
      <c r="DD26" s="635" t="str">
        <f>INPUT!FQ545</f>
        <v>NM</v>
      </c>
      <c r="DE26" s="655">
        <f>INPUT!FR545</f>
        <v>-18</v>
      </c>
      <c r="DF26" s="635">
        <f>INPUT!FS545</f>
        <v>28.571428571428584</v>
      </c>
      <c r="DG26" s="655">
        <f>INPUT!FT545</f>
        <v>-25</v>
      </c>
      <c r="DH26" s="635">
        <f>INPUT!FU545</f>
        <v>38.888888888888886</v>
      </c>
      <c r="DI26" s="655">
        <f>INPUT!FV545</f>
        <v>-24</v>
      </c>
      <c r="DJ26" s="635">
        <f>INPUT!FW545</f>
        <v>-4</v>
      </c>
      <c r="DK26" s="655">
        <f>INPUT!FX545</f>
        <v>-22</v>
      </c>
      <c r="DL26" s="635">
        <f>INPUT!FY545</f>
        <v>-8.3333333333333428</v>
      </c>
      <c r="DM26" s="655">
        <f>INPUT!FZ545</f>
        <v>-18</v>
      </c>
      <c r="DN26" s="635">
        <f>INPUT!GA545</f>
        <v>-18.181818181818173</v>
      </c>
      <c r="DO26" s="655">
        <f>INPUT!GB545</f>
        <v>-27</v>
      </c>
      <c r="DP26" s="635">
        <f>INPUT!GC545</f>
        <v>50</v>
      </c>
      <c r="DQ26" s="655">
        <f>INPUT!GD545</f>
        <v>-25</v>
      </c>
      <c r="DR26" s="635">
        <f>INPUT!GE545</f>
        <v>-7.4074074074074048</v>
      </c>
      <c r="DS26" s="655">
        <f>INPUT!GF545</f>
        <v>-22</v>
      </c>
      <c r="DT26" s="635">
        <f>INPUT!GG545</f>
        <v>-12</v>
      </c>
      <c r="DU26" s="655">
        <f>INPUT!GH545</f>
        <v>-19</v>
      </c>
      <c r="DV26" s="635">
        <f>INPUT!GI545</f>
        <v>-13.63636363636364</v>
      </c>
      <c r="DW26" s="655">
        <f>INPUT!GJ545</f>
        <v>0</v>
      </c>
      <c r="DX26" s="655" t="str">
        <f>INPUT!GK545</f>
        <v>NM</v>
      </c>
      <c r="DY26" s="655">
        <f>INPUT!GL545</f>
        <v>-18.5</v>
      </c>
      <c r="DZ26" s="655" t="str">
        <f>INPUT!GM545</f>
        <v>NA</v>
      </c>
      <c r="EA26" s="655">
        <f>INPUT!GN545</f>
        <v>-38</v>
      </c>
      <c r="EB26" s="655" t="str">
        <f>INPUT!GO545</f>
        <v>NM</v>
      </c>
      <c r="EC26" s="655">
        <f>INPUT!GP545</f>
        <v>-44</v>
      </c>
      <c r="ED26" s="655">
        <f>INPUT!GQ545</f>
        <v>15.789473684210535</v>
      </c>
      <c r="EE26" s="655">
        <f>INPUT!GR545</f>
        <v>-44</v>
      </c>
      <c r="EF26" s="655">
        <f>INPUT!GS545</f>
        <v>0</v>
      </c>
      <c r="EG26" s="655">
        <f>INPUT!GT545</f>
        <v>-44</v>
      </c>
      <c r="EH26" s="655">
        <f>INPUT!GU545</f>
        <v>0</v>
      </c>
      <c r="EI26" s="655">
        <f>INPUT!GV545</f>
        <v>-44</v>
      </c>
      <c r="EJ26" s="655">
        <f>INPUT!GW545</f>
        <v>0</v>
      </c>
      <c r="EK26" s="655">
        <f>INPUT!GX545</f>
        <v>-44</v>
      </c>
      <c r="EL26" s="655">
        <f>INPUT!GY545</f>
        <v>0</v>
      </c>
      <c r="EM26" s="655">
        <f>INPUT!GZ545</f>
        <v>2.9754778570413087</v>
      </c>
    </row>
    <row r="27" spans="1:144" s="632" customFormat="1" ht="12.75" customHeight="1" x14ac:dyDescent="0.2">
      <c r="A27" s="652" t="s">
        <v>104</v>
      </c>
      <c r="B27" s="657">
        <f>INPUT!AY554</f>
        <v>621</v>
      </c>
      <c r="C27" s="635" t="str">
        <f>INPUT!AZ554</f>
        <v>NA</v>
      </c>
      <c r="D27" s="657">
        <f>INPUT!BA554</f>
        <v>664</v>
      </c>
      <c r="E27" s="635" t="str">
        <f>INPUT!BB554</f>
        <v>NA</v>
      </c>
      <c r="F27" s="657">
        <f>INPUT!BC554</f>
        <v>792</v>
      </c>
      <c r="G27" s="635" t="str">
        <f>INPUT!BD554</f>
        <v>NA</v>
      </c>
      <c r="H27" s="657">
        <f>INPUT!BE554</f>
        <v>734</v>
      </c>
      <c r="I27" s="635" t="str">
        <f>INPUT!BF554</f>
        <v>NA</v>
      </c>
      <c r="J27" s="657">
        <f>INPUT!BG554</f>
        <v>798.19999999999993</v>
      </c>
      <c r="K27" s="635">
        <f>INPUT!BH554</f>
        <v>28.534621578099831</v>
      </c>
      <c r="L27" s="657">
        <f>INPUT!BI554</f>
        <v>814</v>
      </c>
      <c r="M27" s="635">
        <f>INPUT!BJ554</f>
        <v>22.590361445783131</v>
      </c>
      <c r="N27" s="657">
        <f>INPUT!BK554</f>
        <v>929</v>
      </c>
      <c r="O27" s="635">
        <f>INPUT!BL554</f>
        <v>17.297979797979806</v>
      </c>
      <c r="P27" s="657">
        <f>INPUT!BM554</f>
        <v>791</v>
      </c>
      <c r="Q27" s="635">
        <f>INPUT!BN554</f>
        <v>7.7656675749318822</v>
      </c>
      <c r="R27" s="657">
        <f>INPUT!BO554</f>
        <v>685</v>
      </c>
      <c r="S27" s="635">
        <f>INPUT!BP554</f>
        <v>-14.181909295915801</v>
      </c>
      <c r="T27" s="657">
        <f>INPUT!BQ554</f>
        <v>846</v>
      </c>
      <c r="U27" s="635">
        <f>INPUT!BR554</f>
        <v>3.9312039312039389</v>
      </c>
      <c r="V27" s="657">
        <f>INPUT!BS554</f>
        <v>428</v>
      </c>
      <c r="W27" s="635" t="str">
        <f>INPUT!BT554</f>
        <v>NM</v>
      </c>
      <c r="X27" s="657">
        <f>INPUT!BU554</f>
        <v>-859</v>
      </c>
      <c r="Y27" s="635" t="str">
        <f>INPUT!BV554</f>
        <v>NM</v>
      </c>
      <c r="Z27" s="657">
        <f>INPUT!BW554</f>
        <v>200</v>
      </c>
      <c r="AA27" s="635" t="str">
        <f>INPUT!BX554</f>
        <v>NM</v>
      </c>
      <c r="AB27" s="657">
        <f>INPUT!BY554</f>
        <v>861</v>
      </c>
      <c r="AC27" s="635">
        <f>INPUT!BZ554</f>
        <v>1.7730496453900741</v>
      </c>
      <c r="AD27" s="657">
        <f>INPUT!CA554</f>
        <v>820</v>
      </c>
      <c r="AE27" s="635">
        <f>INPUT!CB554</f>
        <v>91.588785046728987</v>
      </c>
      <c r="AF27" s="657">
        <f>INPUT!CC554</f>
        <v>559</v>
      </c>
      <c r="AG27" s="635" t="str">
        <f>INPUT!CD554</f>
        <v>NM</v>
      </c>
      <c r="AH27" s="657">
        <f>INPUT!CE554</f>
        <v>640</v>
      </c>
      <c r="AI27" s="635" t="str">
        <f>INPUT!CF554</f>
        <v>NM</v>
      </c>
      <c r="AJ27" s="657">
        <f>INPUT!CG554</f>
        <v>389</v>
      </c>
      <c r="AK27" s="635" t="str">
        <f>INPUT!CH554</f>
        <v>NM</v>
      </c>
      <c r="AL27" s="657">
        <f>INPUT!CI554</f>
        <v>903</v>
      </c>
      <c r="AM27" s="635">
        <f>INPUT!CJ554</f>
        <v>10.121951219512198</v>
      </c>
      <c r="AN27" s="657">
        <f>INPUT!CK554</f>
        <v>787</v>
      </c>
      <c r="AO27" s="635">
        <f>INPUT!CL554</f>
        <v>40.787119856887301</v>
      </c>
      <c r="AP27" s="657">
        <f>INPUT!CM554</f>
        <v>800</v>
      </c>
      <c r="AQ27" s="635">
        <f>INPUT!CN554</f>
        <v>25</v>
      </c>
      <c r="AR27" s="657">
        <f>INPUT!CO554</f>
        <v>775</v>
      </c>
      <c r="AS27" s="635">
        <f>INPUT!CP554</f>
        <v>99.228791773778937</v>
      </c>
      <c r="AT27" s="657">
        <f>INPUT!CQ554</f>
        <v>410</v>
      </c>
      <c r="AU27" s="635" t="str">
        <f>INPUT!CR554</f>
        <v>NM</v>
      </c>
      <c r="AV27" s="657">
        <f>INPUT!CS554</f>
        <v>851</v>
      </c>
      <c r="AW27" s="635">
        <f>INPUT!CT554</f>
        <v>8.1321473951715433</v>
      </c>
      <c r="AX27" s="657">
        <f>INPUT!CU554</f>
        <v>790</v>
      </c>
      <c r="AY27" s="635">
        <f>INPUT!CV554</f>
        <v>-1.25</v>
      </c>
      <c r="AZ27" s="657">
        <f>INPUT!CW554</f>
        <v>657</v>
      </c>
      <c r="BA27" s="635">
        <f>INPUT!CX554</f>
        <v>-15.225806451612897</v>
      </c>
      <c r="BB27" s="657">
        <f>INPUT!CY554</f>
        <v>756</v>
      </c>
      <c r="BC27" s="635">
        <f>INPUT!CZ554</f>
        <v>84.390243902439039</v>
      </c>
      <c r="BD27" s="657">
        <f>INPUT!DA554</f>
        <v>828</v>
      </c>
      <c r="BE27" s="635">
        <f>INPUT!DB554</f>
        <v>-2.7027027027026946</v>
      </c>
      <c r="BF27" s="657">
        <f>INPUT!DC554</f>
        <v>1069</v>
      </c>
      <c r="BG27" s="635">
        <f>INPUT!DD554</f>
        <v>35.316455696202553</v>
      </c>
      <c r="BH27" s="657">
        <f>INPUT!DE554</f>
        <v>1088</v>
      </c>
      <c r="BI27" s="635">
        <f>INPUT!DF554</f>
        <v>65.601217656012182</v>
      </c>
      <c r="BJ27" s="657">
        <f>INPUT!DG554</f>
        <v>1366</v>
      </c>
      <c r="BK27" s="635">
        <f>INPUT!DH554</f>
        <v>80.687830687830683</v>
      </c>
      <c r="BL27" s="657">
        <f>INPUT!DI554</f>
        <v>1038</v>
      </c>
      <c r="BM27" s="635">
        <f>INPUT!DJ554</f>
        <v>25.362318840579718</v>
      </c>
      <c r="BN27" s="657">
        <f>INPUT!DK554</f>
        <v>1135</v>
      </c>
      <c r="BO27" s="635">
        <f>INPUT!DL554</f>
        <v>6.173994387277844</v>
      </c>
      <c r="BP27" s="657">
        <f>INPUT!DM554</f>
        <v>1173</v>
      </c>
      <c r="BQ27" s="635">
        <f>INPUT!DN554</f>
        <v>7.8125</v>
      </c>
      <c r="BR27" s="657">
        <f>INPUT!DO554</f>
        <v>1031</v>
      </c>
      <c r="BS27" s="635">
        <f>INPUT!DP554</f>
        <v>-24.524158125915079</v>
      </c>
      <c r="BT27" s="657">
        <f>INPUT!DQ554</f>
        <v>989</v>
      </c>
      <c r="BU27" s="635">
        <f>INPUT!DR554</f>
        <v>-4.7206165703275502</v>
      </c>
      <c r="BV27" s="657">
        <f>INPUT!DS554</f>
        <v>1298</v>
      </c>
      <c r="BW27" s="635">
        <f>INPUT!DT554</f>
        <v>14.36123348017621</v>
      </c>
      <c r="BX27" s="657">
        <f>INPUT!DU554</f>
        <v>1350</v>
      </c>
      <c r="BY27" s="635">
        <f>INPUT!DV554</f>
        <v>15.089514066496164</v>
      </c>
      <c r="BZ27" s="657">
        <f>INPUT!DW554</f>
        <v>1110</v>
      </c>
      <c r="CA27" s="635">
        <f>INPUT!DX554</f>
        <v>7.6624636275460745</v>
      </c>
      <c r="CB27" s="657">
        <f>INPUT!DY554</f>
        <v>891</v>
      </c>
      <c r="CC27" s="635">
        <f>INPUT!DZ554</f>
        <v>-9.9089989888776557</v>
      </c>
      <c r="CD27" s="657">
        <f>INPUT!EA554</f>
        <v>997</v>
      </c>
      <c r="CE27" s="635">
        <f>INPUT!EB554</f>
        <v>-23.18952234206472</v>
      </c>
      <c r="CF27" s="657">
        <f>INPUT!EC554</f>
        <v>829</v>
      </c>
      <c r="CG27" s="635">
        <f>INPUT!ED554</f>
        <v>-38.592592592592588</v>
      </c>
      <c r="CH27" s="657">
        <f>INPUT!EE554</f>
        <v>1181.5</v>
      </c>
      <c r="CI27" s="635">
        <f>INPUT!EF554</f>
        <v>6.4414414414414267</v>
      </c>
      <c r="CJ27" s="657">
        <f>INPUT!EG554</f>
        <v>1081</v>
      </c>
      <c r="CK27" s="635">
        <f>INPUT!EH554</f>
        <v>21.324354657687977</v>
      </c>
      <c r="CL27" s="657">
        <f>INPUT!EI554</f>
        <v>1227</v>
      </c>
      <c r="CM27" s="657">
        <f>INPUT!EJ554</f>
        <v>23.069207622868618</v>
      </c>
      <c r="CN27" s="657">
        <f>INPUT!EK554</f>
        <v>914</v>
      </c>
      <c r="CO27" s="657">
        <f>INPUT!EL554</f>
        <v>10.253317249698426</v>
      </c>
      <c r="CP27" s="657">
        <f>INPUT!EM554</f>
        <v>1311</v>
      </c>
      <c r="CQ27" s="657">
        <f>INPUT!EN554</f>
        <v>10.96064325010579</v>
      </c>
      <c r="CR27" s="657">
        <f>INPUT!EO554</f>
        <v>1162</v>
      </c>
      <c r="CS27" s="657">
        <f>INPUT!EP554</f>
        <v>7.4930619796484734</v>
      </c>
      <c r="CT27" s="657">
        <f>INPUT!EQ554</f>
        <v>1326.6539953800166</v>
      </c>
      <c r="CU27" s="657">
        <f>INPUT!ER554</f>
        <v>8.1217600146712812</v>
      </c>
      <c r="CV27" s="657">
        <f>INPUT!ES554</f>
        <v>1333.9585156595535</v>
      </c>
      <c r="CW27" s="657">
        <f>INPUT!ET554</f>
        <v>45.947321188134964</v>
      </c>
      <c r="CX27" s="657">
        <f>INPUT!EU554</f>
        <v>1318.8396634684204</v>
      </c>
      <c r="CY27" s="657">
        <f>INPUT!EV554</f>
        <v>0.59799111124488036</v>
      </c>
      <c r="CZ27" s="657">
        <f>INPUT!EW554</f>
        <v>1188.5935562897889</v>
      </c>
      <c r="DA27" s="657">
        <f>INPUT!EX554</f>
        <v>2.2886020903432751</v>
      </c>
      <c r="DB27" s="657">
        <f>INPUT!EY554</f>
        <v>0</v>
      </c>
      <c r="DC27" s="657">
        <f>INPUT!FP554</f>
        <v>2072</v>
      </c>
      <c r="DD27" s="635">
        <f>INPUT!FQ554</f>
        <v>0</v>
      </c>
      <c r="DE27" s="657">
        <f>INPUT!FR554</f>
        <v>2270</v>
      </c>
      <c r="DF27" s="635">
        <f>INPUT!FS554</f>
        <v>9.5559845559845655</v>
      </c>
      <c r="DG27" s="657">
        <f>INPUT!FT554</f>
        <v>2729.6000000000004</v>
      </c>
      <c r="DH27" s="635">
        <f>INPUT!FU554</f>
        <v>20.246696035242323</v>
      </c>
      <c r="DI27" s="657">
        <f>INPUT!FV554</f>
        <v>-673</v>
      </c>
      <c r="DJ27" s="635" t="str">
        <f>INPUT!FW554</f>
        <v>NM</v>
      </c>
      <c r="DK27" s="657">
        <f>INPUT!FX554</f>
        <v>1094</v>
      </c>
      <c r="DL27" s="635" t="str">
        <f>INPUT!FY554</f>
        <v>NM</v>
      </c>
      <c r="DM27" s="657">
        <f>INPUT!FZ554</f>
        <v>2031</v>
      </c>
      <c r="DN27" s="635">
        <f>INPUT!GA554</f>
        <v>85.6489945155393</v>
      </c>
      <c r="DO27" s="657">
        <f>INPUT!GB554</f>
        <v>2259</v>
      </c>
      <c r="DP27" s="635">
        <f>INPUT!GC554</f>
        <v>11.225997045790265</v>
      </c>
      <c r="DQ27" s="657">
        <f>INPUT!GD554</f>
        <v>2453</v>
      </c>
      <c r="DR27" s="635">
        <f>INPUT!GE554</f>
        <v>8.5878707392651705</v>
      </c>
      <c r="DS27" s="657">
        <f>INPUT!GF554</f>
        <v>4753</v>
      </c>
      <c r="DT27" s="635">
        <f>INPUT!GG554</f>
        <v>93.762739502649822</v>
      </c>
      <c r="DU27" s="657">
        <f>INPUT!GH554</f>
        <v>4245</v>
      </c>
      <c r="DV27" s="635">
        <f>INPUT!GI554</f>
        <v>-10.687986534820112</v>
      </c>
      <c r="DW27" s="657">
        <f>INPUT!GJ554</f>
        <v>4649</v>
      </c>
      <c r="DX27" s="657">
        <f>INPUT!GK554</f>
        <v>9.5170789163722134</v>
      </c>
      <c r="DY27" s="657">
        <f>INPUT!GL554</f>
        <v>4088.5</v>
      </c>
      <c r="DZ27" s="657">
        <f>INPUT!GM554</f>
        <v>-12.056356205635623</v>
      </c>
      <c r="EA27" s="657">
        <f>INPUT!GN554</f>
        <v>4614</v>
      </c>
      <c r="EB27" s="657">
        <f>INPUT!GO554</f>
        <v>12.853124617830503</v>
      </c>
      <c r="EC27" s="657">
        <f>INPUT!GP554</f>
        <v>5168.0457307977795</v>
      </c>
      <c r="ED27" s="657">
        <f>INPUT!GQ554</f>
        <v>12.007926545248807</v>
      </c>
      <c r="EE27" s="657">
        <f>INPUT!GR554</f>
        <v>5231.3860821617618</v>
      </c>
      <c r="EF27" s="657">
        <f>INPUT!GS554</f>
        <v>1.2256151486144944</v>
      </c>
      <c r="EG27" s="657">
        <f>INPUT!GT554</f>
        <v>5286.1772453206413</v>
      </c>
      <c r="EH27" s="657">
        <f>INPUT!GU554</f>
        <v>1.0473546073326361</v>
      </c>
      <c r="EI27" s="657">
        <f>INPUT!GV554</f>
        <v>5347.2071880921685</v>
      </c>
      <c r="EJ27" s="657">
        <f>INPUT!GW554</f>
        <v>1.1545194180832823</v>
      </c>
      <c r="EK27" s="657">
        <f>INPUT!GX554</f>
        <v>5400.2816195673659</v>
      </c>
      <c r="EL27" s="657">
        <f>INPUT!GY554</f>
        <v>0.99256358708879588</v>
      </c>
      <c r="EM27" s="657">
        <f>INPUT!GZ554</f>
        <v>3.1971642873517059</v>
      </c>
    </row>
    <row r="28" spans="1:144" s="632" customFormat="1" ht="12.75" hidden="1" customHeight="1" outlineLevel="1" x14ac:dyDescent="0.2">
      <c r="A28" s="658" t="s">
        <v>683</v>
      </c>
      <c r="B28" s="659"/>
      <c r="C28" s="660"/>
      <c r="D28" s="659"/>
      <c r="E28" s="660"/>
      <c r="F28" s="659"/>
      <c r="G28" s="660"/>
      <c r="H28" s="659"/>
      <c r="I28" s="660"/>
      <c r="J28" s="659"/>
      <c r="K28" s="660"/>
      <c r="L28" s="659"/>
      <c r="M28" s="660"/>
      <c r="N28" s="659"/>
      <c r="O28" s="660"/>
      <c r="P28" s="659"/>
      <c r="Q28" s="660"/>
      <c r="R28" s="659"/>
      <c r="S28" s="660"/>
      <c r="T28" s="659"/>
      <c r="U28" s="660"/>
      <c r="V28" s="659"/>
      <c r="W28" s="660"/>
      <c r="X28" s="659"/>
      <c r="Y28" s="660"/>
      <c r="Z28" s="659"/>
      <c r="AA28" s="660"/>
      <c r="AB28" s="659"/>
      <c r="AC28" s="660"/>
      <c r="AD28" s="659"/>
      <c r="AE28" s="660"/>
      <c r="AF28" s="659"/>
      <c r="AG28" s="660"/>
      <c r="AH28" s="659"/>
      <c r="AI28" s="660"/>
      <c r="AJ28" s="659"/>
      <c r="AK28" s="660"/>
      <c r="AL28" s="659"/>
      <c r="AM28" s="660"/>
      <c r="AN28" s="659"/>
      <c r="AO28" s="660"/>
      <c r="AP28" s="661">
        <f>(AP8+AP9+AP10+AP11+AP13+AP14+AP16+AP17+AP18+AP20-AP24+AP26)-AP27</f>
        <v>0</v>
      </c>
      <c r="AQ28" s="660"/>
      <c r="AR28" s="661">
        <f>(AR8+AR9+AR10+AR11+AR13+AR14+AR16+AR17+AR18+AR20-AR24+AR26)-AR27</f>
        <v>0</v>
      </c>
      <c r="AS28" s="660"/>
      <c r="AT28" s="661">
        <f>(AT8+AT9+AT10+AT11+AT13+AT14+AT16+AT17+AT18+AT20-AT24+AT26)-AT27</f>
        <v>0</v>
      </c>
      <c r="AU28" s="660"/>
      <c r="AV28" s="661">
        <f>(AV8+AV9+AV10+AV11+AV13+AV14+AV16+AV17+AV18+AV20-AV24+AV26)-AV27</f>
        <v>0</v>
      </c>
      <c r="AW28" s="660"/>
      <c r="AX28" s="661">
        <f>(AX8+AX9+AX10+AX11+AX13+AX14+AX16+AX17+AX18+AX20-AX24+AX26)-AX27</f>
        <v>0</v>
      </c>
      <c r="AY28" s="660"/>
      <c r="AZ28" s="661">
        <f>(AZ8+AZ9+AZ10+AZ11+AZ13+AZ14+AZ16+AZ17+AZ18+AZ20-AZ24+AZ26)-AZ27</f>
        <v>0</v>
      </c>
      <c r="BA28" s="660"/>
      <c r="BB28" s="661">
        <f>(BB8+BB9+BB10+BB11+BB13+BB14+BB16+BB17+BB18+BB20-BB24+BB26)-BB27</f>
        <v>0</v>
      </c>
      <c r="BC28" s="660"/>
      <c r="BD28" s="661">
        <f>(BD8+BD9+BD10+BD11+BD13+BD14+BD16+BD17+BD18+BD20-BD24+BD26)-BD27</f>
        <v>0</v>
      </c>
      <c r="BE28" s="660"/>
      <c r="BF28" s="661">
        <f>(BF8+BF9+BF10+BF11+BF13+BF14+BF16+BF17+BF18+BF20-BF24+BF26)-BF27</f>
        <v>0</v>
      </c>
      <c r="BG28" s="660"/>
      <c r="BH28" s="661">
        <f>(BH8+BH9+BH10+BH11+BH13+BH14+BH16+BH17+BH18+BH20-BH24+BH26)-BH27</f>
        <v>0</v>
      </c>
      <c r="BI28" s="660"/>
      <c r="BJ28" s="661">
        <f>(BJ8+BJ9+BJ10+BJ11+BJ13+BJ14+BJ16+BJ17+BJ18+BJ20-BJ24+BJ26)-BJ27</f>
        <v>0</v>
      </c>
      <c r="BK28" s="660"/>
      <c r="BL28" s="661">
        <f>(BL8+BL9+BL10+BL11+BL13+BL14+BL16+BL17+BL18+BL20-BL24+BL26)-BL27</f>
        <v>0</v>
      </c>
      <c r="BM28" s="660"/>
      <c r="BN28" s="661">
        <f>(BN8+BN9+BN10+BN11+BN13+BN14+BN16+BN17+BN18+BN20-BN24+BN26)-BN27</f>
        <v>0</v>
      </c>
      <c r="BO28" s="660"/>
      <c r="BP28" s="661">
        <f>(BP8+BP9+BP10+BP11+BP13+BP14+BP16+BP17+BP18+BP20-BP24+BP26)-BP27</f>
        <v>0</v>
      </c>
      <c r="BQ28" s="660"/>
      <c r="BR28" s="661">
        <f>(BR8+BR9+BR10+BR11+BR13+BR14+BR16+BR17+BR18+BR20-BR24+BR26)-BR27</f>
        <v>0</v>
      </c>
      <c r="BS28" s="660"/>
      <c r="BT28" s="661">
        <f>(BT8+BT9+BT10+BT11+BT13+BT14+BT16+BT17+BT18+BT20-BT24+BT26)-BT27</f>
        <v>0</v>
      </c>
      <c r="BU28" s="660"/>
      <c r="BV28" s="661">
        <f>(BV8+BV9+BV10+BV11+BV13+BV14+BV16+BV17+BV18+BV20-BV24+BV26)-BV27</f>
        <v>0</v>
      </c>
      <c r="BW28" s="660"/>
      <c r="BX28" s="661">
        <f>(BX8+BX9+BX10+BX11+BX13+BX14+BX16+BX17+BX18+BX20-BX24+BX26)-BX27</f>
        <v>0</v>
      </c>
      <c r="BY28" s="660"/>
      <c r="BZ28" s="661">
        <f>(BZ8+BZ9+BZ10+BZ11+BZ13+BZ14+BZ16+BZ17+BZ18+BZ20-BZ24+BZ26)-BZ27</f>
        <v>0</v>
      </c>
      <c r="CA28" s="660"/>
      <c r="CB28" s="661">
        <f>(CB8+CB9+CB10+CB11+CB13+CB14+CB16+CB17+CB18+CB20-CB24+CB26)-CB27</f>
        <v>0</v>
      </c>
      <c r="CC28" s="660"/>
      <c r="CD28" s="661">
        <f>(CD8+CD9+CD10+CD11+CD13+CD14+CD16+CD17+CD18+CD20-CD24+CD26)-CD27</f>
        <v>0</v>
      </c>
      <c r="CE28" s="660"/>
      <c r="CF28" s="661">
        <f>(CF8+CF9+CF10+CF11+CF13+CF14+CF16+CF17+CF18+CF20-CF24+CF26)-CF27</f>
        <v>0</v>
      </c>
      <c r="CG28" s="660"/>
      <c r="CH28" s="661">
        <f>(CH8+CH9+CH10+CH11+CH13+CH14+CH16+CH17+CH18+CH20-CH24+CH26)-CH27</f>
        <v>0</v>
      </c>
      <c r="CI28" s="660"/>
      <c r="CJ28" s="661">
        <f>(CJ8+CJ9+CJ10+CJ11+CJ13+CJ14+CJ16+CJ17+CJ18+CJ20-CJ24+CJ26)-CJ27</f>
        <v>0</v>
      </c>
      <c r="CK28" s="660"/>
      <c r="CL28" s="661">
        <f>CL8+CL9+CL12+CL13+CL15+CL17+CL18+CL20-CL24+CL26-CL27</f>
        <v>0</v>
      </c>
      <c r="CM28" s="661" t="e">
        <f t="shared" ref="CM28:DB28" si="74">CM8+CM9+CM12+CM13+CM15+CM17+CM18+CM20-CM24+CM26-CM27</f>
        <v>#VALUE!</v>
      </c>
      <c r="CN28" s="661">
        <f t="shared" si="74"/>
        <v>0</v>
      </c>
      <c r="CO28" s="661" t="e">
        <f t="shared" si="74"/>
        <v>#VALUE!</v>
      </c>
      <c r="CP28" s="661">
        <f t="shared" si="74"/>
        <v>0</v>
      </c>
      <c r="CQ28" s="661">
        <f t="shared" si="74"/>
        <v>40.729855680305334</v>
      </c>
      <c r="CR28" s="661">
        <f t="shared" si="74"/>
        <v>0</v>
      </c>
      <c r="CS28" s="661">
        <f t="shared" si="74"/>
        <v>-3.5128767624137822</v>
      </c>
      <c r="CT28" s="661">
        <f t="shared" si="74"/>
        <v>0</v>
      </c>
      <c r="CU28" s="661">
        <f t="shared" si="74"/>
        <v>53.405325548384582</v>
      </c>
      <c r="CV28" s="661">
        <f t="shared" si="74"/>
        <v>0</v>
      </c>
      <c r="CW28" s="661" t="e">
        <f t="shared" si="74"/>
        <v>#VALUE!</v>
      </c>
      <c r="CX28" s="661">
        <f t="shared" si="74"/>
        <v>0</v>
      </c>
      <c r="CY28" s="661">
        <f t="shared" si="74"/>
        <v>-20.082330358123826</v>
      </c>
      <c r="CZ28" s="661">
        <f t="shared" si="74"/>
        <v>0</v>
      </c>
      <c r="DA28" s="661" t="e">
        <f t="shared" si="74"/>
        <v>#VALUE!</v>
      </c>
      <c r="DB28" s="661">
        <f t="shared" si="74"/>
        <v>0</v>
      </c>
      <c r="DC28" s="659"/>
      <c r="DD28" s="660"/>
      <c r="DE28" s="659"/>
      <c r="DF28" s="660"/>
      <c r="DG28" s="659"/>
      <c r="DH28" s="660"/>
      <c r="DI28" s="659"/>
      <c r="DJ28" s="660"/>
      <c r="DK28" s="659"/>
      <c r="DL28" s="660"/>
      <c r="DM28" s="659"/>
      <c r="DN28" s="660"/>
      <c r="DO28" s="661">
        <f>(DO8+DO9+DO10+DO11+DO13+DO14+DO16+DO17+DO18+DO20-DO24+DO26)-DO27</f>
        <v>0</v>
      </c>
      <c r="DP28" s="660"/>
      <c r="DQ28" s="661">
        <f>(DQ8+DQ9+DQ10+DQ11+DQ13+DQ14+DQ16+DQ17+DQ18+DQ20-DQ24+DQ26)-DQ27</f>
        <v>0</v>
      </c>
      <c r="DR28" s="660"/>
      <c r="DS28" s="661">
        <f>(DS8+DS9+DS10+DS11+DS13+DS14+DS16+DS17+DS18+DS20-DS24+DS26)-DS27</f>
        <v>0</v>
      </c>
      <c r="DT28" s="660"/>
      <c r="DU28" s="661">
        <f>(DU8+DU9+DU10+DU11+DU13+DU14+DU16+DU17+DU18+DU20-DU24+DU26)-DU27</f>
        <v>0</v>
      </c>
      <c r="DV28" s="660"/>
      <c r="DW28" s="661">
        <f t="shared" ref="DW28" si="75">DW8+DW9+DW12+DW13+DW15+DW17+DW18+DW20-DW24+DW26-DW27</f>
        <v>0</v>
      </c>
      <c r="DX28" s="661" t="e">
        <f t="shared" ref="DX28" si="76">DX8+DX9+DX12+DX13+DX15+DX17+DX18+DX20-DX24+DX26-DX27</f>
        <v>#VALUE!</v>
      </c>
      <c r="DY28" s="661">
        <f t="shared" ref="DY28" si="77">DY8+DY9+DY12+DY13+DY15+DY17+DY18+DY20-DY24+DY26-DY27</f>
        <v>0</v>
      </c>
      <c r="DZ28" s="661" t="e">
        <f t="shared" ref="DZ28" si="78">DZ8+DZ9+DZ12+DZ13+DZ15+DZ17+DZ18+DZ20-DZ24+DZ26-DZ27</f>
        <v>#VALUE!</v>
      </c>
      <c r="EA28" s="661">
        <f t="shared" ref="EA28" si="79">EA8+EA9+EA12+EA13+EA15+EA17+EA18+EA20-EA24+EA26-EA27</f>
        <v>0</v>
      </c>
      <c r="EB28" s="661" t="e">
        <f t="shared" ref="EB28" si="80">EB8+EB9+EB12+EB13+EB15+EB17+EB18+EB20-EB24+EB26-EB27</f>
        <v>#VALUE!</v>
      </c>
      <c r="EC28" s="661">
        <f t="shared" ref="EC28" si="81">EC8+EC9+EC12+EC13+EC15+EC17+EC18+EC20-EC24+EC26-EC27</f>
        <v>0</v>
      </c>
      <c r="ED28" s="661" t="e">
        <f t="shared" ref="ED28" si="82">ED8+ED9+ED12+ED13+ED15+ED17+ED18+ED20-ED24+ED26-ED27</f>
        <v>#VALUE!</v>
      </c>
      <c r="EE28" s="661">
        <f t="shared" ref="EE28" si="83">EE8+EE9+EE12+EE13+EE15+EE17+EE18+EE20-EE24+EE26-EE27</f>
        <v>0</v>
      </c>
      <c r="EF28" s="661">
        <f t="shared" ref="EF28" si="84">EF8+EF9+EF12+EF13+EF15+EF17+EF18+EF20-EF24+EF26-EF27</f>
        <v>15.324203724961663</v>
      </c>
      <c r="EG28" s="661">
        <f t="shared" ref="EG28" si="85">EG8+EG9+EG12+EG13+EG15+EG17+EG18+EG20-EG24+EG26-EG27</f>
        <v>0</v>
      </c>
      <c r="EH28" s="661">
        <f t="shared" ref="EH28" si="86">EH8+EH9+EH12+EH13+EH15+EH17+EH18+EH20-EH24+EH26-EH27</f>
        <v>14.078940063220458</v>
      </c>
      <c r="EI28" s="661">
        <f t="shared" ref="EI28" si="87">EI8+EI9+EI12+EI13+EI15+EI17+EI18+EI20-EI24+EI26-EI27</f>
        <v>0</v>
      </c>
      <c r="EJ28" s="661">
        <f t="shared" ref="EJ28" si="88">EJ8+EJ9+EJ12+EJ13+EJ15+EJ17+EJ18+EJ20-EJ24+EJ26-EJ27</f>
        <v>13.773265945142057</v>
      </c>
      <c r="EK28" s="661">
        <f t="shared" ref="EK28" si="89">EK8+EK9+EK12+EK13+EK15+EK17+EK18+EK20-EK24+EK26-EK27</f>
        <v>0</v>
      </c>
      <c r="EL28" s="661">
        <f t="shared" ref="EL28" si="90">EL8+EL9+EL12+EL13+EL15+EL17+EL18+EL20-EL24+EL26-EL27</f>
        <v>12.824434295763027</v>
      </c>
      <c r="EM28" s="661"/>
      <c r="EN28" s="660"/>
    </row>
    <row r="29" spans="1:144" s="632" customFormat="1" ht="12.75" customHeight="1" collapsed="1" x14ac:dyDescent="0.2">
      <c r="A29" s="633"/>
      <c r="B29" s="662"/>
      <c r="C29" s="663"/>
      <c r="D29" s="662"/>
      <c r="E29" s="663"/>
      <c r="F29" s="662"/>
      <c r="G29" s="663"/>
      <c r="H29" s="662"/>
      <c r="I29" s="663"/>
      <c r="J29" s="662"/>
      <c r="K29" s="663"/>
      <c r="L29" s="662"/>
      <c r="M29" s="663"/>
      <c r="N29" s="662"/>
      <c r="O29" s="663"/>
      <c r="P29" s="662"/>
      <c r="Q29" s="663"/>
      <c r="R29" s="662"/>
      <c r="S29" s="663"/>
      <c r="T29" s="662"/>
      <c r="U29" s="663"/>
      <c r="V29" s="662"/>
      <c r="W29" s="663"/>
      <c r="X29" s="662"/>
      <c r="Y29" s="663"/>
      <c r="Z29" s="662"/>
      <c r="AA29" s="663"/>
      <c r="AB29" s="662"/>
      <c r="AC29" s="663"/>
      <c r="AD29" s="662"/>
      <c r="AE29" s="663"/>
      <c r="AF29" s="662"/>
      <c r="AG29" s="663"/>
      <c r="AH29" s="662"/>
      <c r="AI29" s="663"/>
      <c r="AJ29" s="662"/>
      <c r="AK29" s="663"/>
      <c r="AL29" s="662"/>
      <c r="AM29" s="663"/>
      <c r="AN29" s="662"/>
      <c r="AO29" s="663"/>
      <c r="AP29" s="662"/>
      <c r="AQ29" s="663"/>
      <c r="AR29" s="662"/>
      <c r="AS29" s="663"/>
      <c r="AT29" s="662"/>
      <c r="AU29" s="663"/>
      <c r="AV29" s="662"/>
      <c r="AW29" s="663"/>
      <c r="AX29" s="662"/>
      <c r="AY29" s="663"/>
      <c r="AZ29" s="662"/>
      <c r="BA29" s="663"/>
      <c r="BB29" s="662"/>
      <c r="BC29" s="663"/>
      <c r="BD29" s="662"/>
      <c r="BE29" s="663"/>
      <c r="BF29" s="662"/>
      <c r="BG29" s="663"/>
      <c r="BH29" s="662"/>
      <c r="BI29" s="663"/>
      <c r="BJ29" s="662"/>
      <c r="BK29" s="663"/>
      <c r="BL29" s="662"/>
      <c r="BM29" s="663"/>
      <c r="BN29" s="662"/>
      <c r="BO29" s="663"/>
      <c r="BP29" s="662"/>
      <c r="BQ29" s="663"/>
      <c r="BR29" s="662"/>
      <c r="BS29" s="663"/>
      <c r="BT29" s="662"/>
      <c r="BU29" s="663"/>
      <c r="BV29" s="662"/>
      <c r="BW29" s="663"/>
      <c r="BX29" s="662"/>
      <c r="BY29" s="663"/>
      <c r="BZ29" s="662"/>
      <c r="CA29" s="663"/>
      <c r="CB29" s="662"/>
      <c r="CC29" s="663"/>
      <c r="CD29" s="662"/>
      <c r="CE29" s="663"/>
      <c r="CF29" s="662"/>
      <c r="CG29" s="663"/>
      <c r="CH29" s="662"/>
      <c r="CI29" s="663"/>
      <c r="CJ29" s="662"/>
      <c r="CK29" s="663"/>
      <c r="CL29" s="662"/>
      <c r="CM29" s="663"/>
      <c r="CN29" s="662"/>
      <c r="CO29" s="663"/>
      <c r="CP29" s="662"/>
      <c r="CQ29" s="663"/>
      <c r="CR29" s="662"/>
      <c r="CS29" s="663"/>
      <c r="CT29" s="662"/>
      <c r="CU29" s="663"/>
      <c r="CV29" s="662"/>
      <c r="CW29" s="663"/>
      <c r="CX29" s="662"/>
      <c r="CY29" s="663"/>
      <c r="CZ29" s="662"/>
      <c r="DA29" s="663"/>
      <c r="DB29" s="664"/>
      <c r="DC29" s="662"/>
      <c r="DD29" s="663"/>
      <c r="DE29" s="662"/>
      <c r="DF29" s="663"/>
      <c r="DG29" s="662"/>
      <c r="DH29" s="663"/>
      <c r="DI29" s="662"/>
      <c r="DJ29" s="663"/>
      <c r="DK29" s="662"/>
      <c r="DL29" s="663"/>
      <c r="DM29" s="662"/>
      <c r="DN29" s="663"/>
      <c r="DO29" s="662"/>
      <c r="DP29" s="663"/>
      <c r="DQ29" s="662"/>
      <c r="DR29" s="663"/>
      <c r="DS29" s="662"/>
      <c r="DT29" s="663"/>
      <c r="DU29" s="662"/>
      <c r="DV29" s="663"/>
      <c r="DW29" s="662"/>
      <c r="DX29" s="663"/>
      <c r="DY29" s="662"/>
      <c r="DZ29" s="663"/>
      <c r="EA29" s="662"/>
      <c r="EB29" s="663"/>
      <c r="EC29" s="662"/>
      <c r="ED29" s="663"/>
      <c r="EE29" s="662"/>
      <c r="EF29" s="663"/>
      <c r="EG29" s="662"/>
      <c r="EH29" s="663"/>
      <c r="EI29" s="662"/>
      <c r="EJ29" s="663"/>
      <c r="EK29" s="662"/>
      <c r="EL29" s="663"/>
      <c r="EM29" s="663"/>
    </row>
    <row r="30" spans="1:144" s="632" customFormat="1" ht="12.75" customHeight="1" x14ac:dyDescent="0.2">
      <c r="A30" s="644" t="str">
        <f>INPUT!B636</f>
        <v>Avg Shares Outstanding (FD)</v>
      </c>
      <c r="B30" s="665">
        <f>INPUT!AY636</f>
        <v>504.1</v>
      </c>
      <c r="C30" s="635">
        <f>INPUT!AZ636</f>
        <v>-4.8867924528301785</v>
      </c>
      <c r="D30" s="665">
        <f>INPUT!BA636</f>
        <v>497.1</v>
      </c>
      <c r="E30" s="635">
        <f>INPUT!BB636</f>
        <v>-5.3503427265803651</v>
      </c>
      <c r="F30" s="665">
        <f>INPUT!BC636</f>
        <v>490.5</v>
      </c>
      <c r="G30" s="635">
        <f>INPUT!BD636</f>
        <v>-5.3636889832143453</v>
      </c>
      <c r="H30" s="665">
        <f>INPUT!BE636</f>
        <v>482.8</v>
      </c>
      <c r="I30" s="635">
        <f>INPUT!BF636</f>
        <v>-5.3704429635437094</v>
      </c>
      <c r="J30" s="665">
        <f>INPUT!BG636</f>
        <v>477</v>
      </c>
      <c r="K30" s="635">
        <f>INPUT!BH636</f>
        <v>-5.3759174766911428</v>
      </c>
      <c r="L30" s="665">
        <f>INPUT!BI636</f>
        <v>472</v>
      </c>
      <c r="M30" s="635">
        <f>INPUT!BJ636</f>
        <v>-5.0492858579762725</v>
      </c>
      <c r="N30" s="665">
        <f>INPUT!BK636</f>
        <v>465</v>
      </c>
      <c r="O30" s="635">
        <f>INPUT!BL636</f>
        <v>-5.1987767584097782</v>
      </c>
      <c r="P30" s="665">
        <f>INPUT!BM636</f>
        <v>459</v>
      </c>
      <c r="Q30" s="635">
        <f>INPUT!BN636</f>
        <v>-4.9295774647887356</v>
      </c>
      <c r="R30" s="655">
        <f>INPUT!BO636</f>
        <v>448</v>
      </c>
      <c r="S30" s="635">
        <f>INPUT!BP636</f>
        <v>-6.0796645702306051</v>
      </c>
      <c r="T30" s="655">
        <f>INPUT!BQ636</f>
        <v>438</v>
      </c>
      <c r="U30" s="635">
        <f>INPUT!BR636</f>
        <v>-7.2033898305084847</v>
      </c>
      <c r="V30" s="655">
        <f>INPUT!BS636</f>
        <v>430</v>
      </c>
      <c r="W30" s="635">
        <f>INPUT!BT636</f>
        <v>-7.5268817204301115</v>
      </c>
      <c r="X30" s="655">
        <f>INPUT!BU636</f>
        <v>423.4</v>
      </c>
      <c r="Y30" s="635">
        <f>INPUT!BV636</f>
        <v>-7.7559912854030557</v>
      </c>
      <c r="Z30" s="655">
        <f>INPUT!BW636</f>
        <v>423.2</v>
      </c>
      <c r="AA30" s="635">
        <f>INPUT!BX636</f>
        <v>-5.5357142857142918</v>
      </c>
      <c r="AB30" s="655">
        <f>INPUT!BY636</f>
        <v>434.3</v>
      </c>
      <c r="AC30" s="635">
        <f>INPUT!BZ636</f>
        <v>-0.84474885844748826</v>
      </c>
      <c r="AD30" s="655">
        <f>INPUT!CA636</f>
        <v>464.6</v>
      </c>
      <c r="AE30" s="635">
        <f>INPUT!CB636</f>
        <v>8.0465116279069662</v>
      </c>
      <c r="AF30" s="655">
        <f>INPUT!CC636</f>
        <v>470.3</v>
      </c>
      <c r="AG30" s="635">
        <f>INPUT!CD636</f>
        <v>11.076995748700995</v>
      </c>
      <c r="AH30" s="655">
        <f>INPUT!CE636</f>
        <v>471.5</v>
      </c>
      <c r="AI30" s="635">
        <f>INPUT!CF636</f>
        <v>11.41304347826086</v>
      </c>
      <c r="AJ30" s="655">
        <f>INPUT!CG636</f>
        <v>473.3</v>
      </c>
      <c r="AK30" s="635">
        <f>INPUT!CH636</f>
        <v>8.9799677642182729</v>
      </c>
      <c r="AL30" s="655">
        <f>INPUT!CI636</f>
        <v>473.2</v>
      </c>
      <c r="AM30" s="635">
        <f>INPUT!CJ636</f>
        <v>1.851054670684448</v>
      </c>
      <c r="AN30" s="655">
        <f>INPUT!CK636</f>
        <v>483.5</v>
      </c>
      <c r="AO30" s="635">
        <f>INPUT!CL636</f>
        <v>2.8067191154582218</v>
      </c>
      <c r="AP30" s="655">
        <f>INPUT!CM636</f>
        <v>493.9</v>
      </c>
      <c r="AQ30" s="635">
        <f>INPUT!CN636</f>
        <v>4.7507953340403049</v>
      </c>
      <c r="AR30" s="655">
        <f>INPUT!CO636</f>
        <v>494.8</v>
      </c>
      <c r="AS30" s="635">
        <f>INPUT!CP636</f>
        <v>4.5425734206634161</v>
      </c>
      <c r="AT30" s="655">
        <f>INPUT!CQ636</f>
        <v>489.3</v>
      </c>
      <c r="AU30" s="635">
        <f>INPUT!CR636</f>
        <v>3.4023668639053426</v>
      </c>
      <c r="AV30" s="655">
        <f>INPUT!CS636</f>
        <v>477</v>
      </c>
      <c r="AW30" s="635">
        <f>INPUT!CT636</f>
        <v>-1.344364012409514</v>
      </c>
      <c r="AX30" s="655">
        <f>INPUT!CU636</f>
        <v>477.5</v>
      </c>
      <c r="AY30" s="635">
        <f>INPUT!CV636</f>
        <v>-3.3205102247418523</v>
      </c>
      <c r="AZ30" s="655">
        <f>INPUT!CW636</f>
        <v>473.5</v>
      </c>
      <c r="BA30" s="635">
        <f>INPUT!CX636</f>
        <v>-4.3047696038803593</v>
      </c>
      <c r="BB30" s="655">
        <f>INPUT!CY636</f>
        <v>471.8</v>
      </c>
      <c r="BC30" s="635">
        <f>INPUT!CZ636</f>
        <v>-3.5765379113018554</v>
      </c>
      <c r="BD30" s="655">
        <f>INPUT!DA636</f>
        <v>469.9</v>
      </c>
      <c r="BE30" s="635">
        <f>INPUT!DB636</f>
        <v>-1.4884696016771528</v>
      </c>
      <c r="BF30" s="655">
        <f>INPUT!DC636</f>
        <v>471.7</v>
      </c>
      <c r="BG30" s="635">
        <f>INPUT!DD636</f>
        <v>-1.2146596858638787</v>
      </c>
      <c r="BH30" s="655">
        <f>INPUT!DE636</f>
        <v>472.2</v>
      </c>
      <c r="BI30" s="635">
        <f>INPUT!DF636</f>
        <v>-0.27455121436113927</v>
      </c>
      <c r="BJ30" s="655">
        <f>INPUT!DG636</f>
        <v>472</v>
      </c>
      <c r="BK30" s="635">
        <f>INPUT!DH636</f>
        <v>4.2390843577777559E-2</v>
      </c>
      <c r="BL30" s="655">
        <f>INPUT!DI636</f>
        <v>471.2</v>
      </c>
      <c r="BM30" s="635">
        <f>INPUT!DJ636</f>
        <v>0.27665460736328384</v>
      </c>
      <c r="BN30" s="655">
        <f>INPUT!DK636</f>
        <v>472.3</v>
      </c>
      <c r="BO30" s="635">
        <f>INPUT!DL636</f>
        <v>0.12719949120203466</v>
      </c>
      <c r="BP30" s="655">
        <f>INPUT!DM636</f>
        <v>470.8</v>
      </c>
      <c r="BQ30" s="635">
        <f>INPUT!DN636</f>
        <v>-0.296484540448958</v>
      </c>
      <c r="BR30" s="655">
        <f>INPUT!DO636</f>
        <v>469</v>
      </c>
      <c r="BS30" s="635">
        <f>INPUT!DP636</f>
        <v>-0.63559322033897558</v>
      </c>
      <c r="BT30" s="655">
        <f>INPUT!DQ636</f>
        <v>466.9</v>
      </c>
      <c r="BU30" s="635">
        <f>INPUT!DR636</f>
        <v>-0.91256366723260385</v>
      </c>
      <c r="BV30" s="655">
        <f>INPUT!DS636</f>
        <v>465.7</v>
      </c>
      <c r="BW30" s="635">
        <f>INPUT!DT636</f>
        <v>-1.397416896040653</v>
      </c>
      <c r="BX30" s="655">
        <f>INPUT!DU636</f>
        <v>463.5</v>
      </c>
      <c r="BY30" s="635">
        <f>INPUT!DV636</f>
        <v>-1.5505522514868346</v>
      </c>
      <c r="BZ30" s="655">
        <f>INPUT!DW636</f>
        <v>462.2</v>
      </c>
      <c r="CA30" s="635">
        <f>INPUT!DX636</f>
        <v>-1.4498933901919031</v>
      </c>
      <c r="CB30" s="655">
        <f>INPUT!DY636</f>
        <v>459.9</v>
      </c>
      <c r="CC30" s="635">
        <f>INPUT!DZ636</f>
        <v>-1.4992503748125898</v>
      </c>
      <c r="CD30" s="655">
        <f>INPUT!EA636</f>
        <v>457.59999999999997</v>
      </c>
      <c r="CE30" s="635">
        <f>INPUT!EB636</f>
        <v>-1.7393171569680135</v>
      </c>
      <c r="CF30" s="655">
        <f>INPUT!EC636</f>
        <v>449.3</v>
      </c>
      <c r="CG30" s="635">
        <f>INPUT!ED636</f>
        <v>-3.0636461704422828</v>
      </c>
      <c r="CH30" s="655">
        <f>INPUT!EE636</f>
        <v>444.3</v>
      </c>
      <c r="CI30" s="635">
        <f>INPUT!EF636</f>
        <v>-3.8727823453050547</v>
      </c>
      <c r="CJ30" s="655">
        <f>INPUT!EG636</f>
        <v>439.8</v>
      </c>
      <c r="CK30" s="635">
        <f>INPUT!EH636</f>
        <v>-4.3705153294194332</v>
      </c>
      <c r="CL30" s="655">
        <f>INPUT!EI636</f>
        <v>439.1</v>
      </c>
      <c r="CM30" s="635">
        <f>INPUT!EJ636</f>
        <v>-4.0428321678321595</v>
      </c>
      <c r="CN30" s="655">
        <f>INPUT!EK636</f>
        <v>437.24</v>
      </c>
      <c r="CO30" s="635">
        <f>INPUT!EL636</f>
        <v>-2.6841753839305511</v>
      </c>
      <c r="CP30" s="655">
        <f>INPUT!EM636</f>
        <v>435</v>
      </c>
      <c r="CQ30" s="635">
        <f>INPUT!EN636</f>
        <v>-2.0931802835921616</v>
      </c>
      <c r="CR30" s="655">
        <f>INPUT!EO636</f>
        <v>432.7</v>
      </c>
      <c r="CS30" s="635">
        <f>INPUT!EP636</f>
        <v>-1.6143701682583043</v>
      </c>
      <c r="CT30" s="655">
        <f>INPUT!EQ636</f>
        <v>428.55462787721513</v>
      </c>
      <c r="CU30" s="635">
        <f>INPUT!ER636</f>
        <v>-2.4015878211762498</v>
      </c>
      <c r="CV30" s="655">
        <f>INPUT!ES636</f>
        <v>425.24724105522074</v>
      </c>
      <c r="CW30" s="635">
        <f>INPUT!ET636</f>
        <v>-2.7428320704371174</v>
      </c>
      <c r="CX30" s="655">
        <f>INPUT!EU636</f>
        <v>421.9792724262262</v>
      </c>
      <c r="CY30" s="635">
        <f>INPUT!EV636</f>
        <v>-2.9932707066146662</v>
      </c>
      <c r="CZ30" s="655">
        <f>INPUT!EW636</f>
        <v>418.75055400014276</v>
      </c>
      <c r="DA30" s="635">
        <f>INPUT!EX636</f>
        <v>-3.2238146521509634</v>
      </c>
      <c r="DB30" s="666"/>
      <c r="DC30" s="665">
        <f>INPUT!FP636</f>
        <v>520.92499999999995</v>
      </c>
      <c r="DD30" s="635">
        <f>INPUT!FQ636</f>
        <v>-1.9481436167709774</v>
      </c>
      <c r="DE30" s="655">
        <f>INPUT!FR636</f>
        <v>493.6</v>
      </c>
      <c r="DF30" s="635">
        <f>INPUT!FS636</f>
        <v>-5.245476796083878</v>
      </c>
      <c r="DG30" s="655">
        <f>INPUT!FT636</f>
        <v>468.25</v>
      </c>
      <c r="DH30" s="635">
        <f>INPUT!FU636</f>
        <v>-5.1357374392220407</v>
      </c>
      <c r="DI30" s="655">
        <f>INPUT!FV636</f>
        <v>433.6</v>
      </c>
      <c r="DJ30" s="635">
        <f>INPUT!FW636</f>
        <v>-7.3998932194340625</v>
      </c>
      <c r="DK30" s="655">
        <f>INPUT!FX636</f>
        <v>448.09999999999997</v>
      </c>
      <c r="DL30" s="635">
        <f>INPUT!FY636</f>
        <v>3.3440959409593916</v>
      </c>
      <c r="DM30" s="655">
        <f>INPUT!FZ636</f>
        <v>475.375</v>
      </c>
      <c r="DN30" s="635">
        <f>INPUT!GA636</f>
        <v>6.0868109796920322</v>
      </c>
      <c r="DO30" s="655">
        <f>INPUT!GB636</f>
        <v>488.75</v>
      </c>
      <c r="DP30" s="635">
        <f>INPUT!GC636</f>
        <v>2.8135682356034835</v>
      </c>
      <c r="DQ30" s="655">
        <f>INPUT!GD636</f>
        <v>473.17500000000001</v>
      </c>
      <c r="DR30" s="635">
        <f>INPUT!GE636</f>
        <v>-3.1867007672634315</v>
      </c>
      <c r="DS30" s="655">
        <f>INPUT!GF636</f>
        <v>471.77500000000003</v>
      </c>
      <c r="DT30" s="635">
        <f>INPUT!GG636</f>
        <v>-0.29587361969673509</v>
      </c>
      <c r="DU30" s="655">
        <f>INPUT!GH636</f>
        <v>467.7</v>
      </c>
      <c r="DV30" s="635">
        <f>INPUT!GI636</f>
        <v>-0.86375920724923105</v>
      </c>
      <c r="DW30" s="655">
        <f>INPUT!GJ636</f>
        <v>462.82499999999999</v>
      </c>
      <c r="DX30" s="635">
        <f>INPUT!GK636</f>
        <v>-1.042334830019243</v>
      </c>
      <c r="DY30" s="655">
        <f>INPUT!GL636</f>
        <v>447.75</v>
      </c>
      <c r="DZ30" s="635">
        <f>INPUT!GM636</f>
        <v>-3.2571706368497786</v>
      </c>
      <c r="EA30" s="655">
        <f>INPUT!GN636</f>
        <v>436.01</v>
      </c>
      <c r="EB30" s="635">
        <f>INPUT!GO636</f>
        <v>-2.6219988833054231</v>
      </c>
      <c r="EC30" s="655">
        <f>INPUT!GP636</f>
        <v>423.63292383970122</v>
      </c>
      <c r="ED30" s="635">
        <f>INPUT!GQ636</f>
        <v>-2.8387138277330308</v>
      </c>
      <c r="EE30" s="655">
        <f>INPUT!GR636</f>
        <v>410.27038194757091</v>
      </c>
      <c r="EF30" s="635">
        <f>INPUT!GS636</f>
        <v>-3.1542736978551318</v>
      </c>
      <c r="EG30" s="655">
        <f>INPUT!GT636</f>
        <v>397.36243986624044</v>
      </c>
      <c r="EH30" s="635">
        <f>INPUT!GU636</f>
        <v>-3.1462037352186911</v>
      </c>
      <c r="EI30" s="655">
        <f>INPUT!GV636</f>
        <v>385.98178455916099</v>
      </c>
      <c r="EJ30" s="635">
        <f>INPUT!GW636</f>
        <v>-2.8640490809625589</v>
      </c>
      <c r="EK30" s="655">
        <f>INPUT!GX636</f>
        <v>373.70574261116775</v>
      </c>
      <c r="EL30" s="635">
        <f>INPUT!GY636</f>
        <v>-3.1804718354815549</v>
      </c>
      <c r="EM30" s="635">
        <f>INPUT!GZ636</f>
        <v>-3.0368614947009931</v>
      </c>
    </row>
    <row r="31" spans="1:144" s="550" customFormat="1" ht="12.75" customHeight="1" x14ac:dyDescent="0.2">
      <c r="A31" s="588" t="str">
        <f>INPUT!B640</f>
        <v>Operating EPS Incl Restructuring</v>
      </c>
      <c r="B31" s="589">
        <f>INPUT!AY640</f>
        <v>1.2318984328506248</v>
      </c>
      <c r="C31" s="590">
        <f>INPUT!AZ640</f>
        <v>0</v>
      </c>
      <c r="D31" s="589">
        <f>INPUT!BA640</f>
        <v>1.3357473345403339</v>
      </c>
      <c r="E31" s="590">
        <f>INPUT!BB640</f>
        <v>0</v>
      </c>
      <c r="F31" s="589">
        <f>INPUT!BC640</f>
        <v>1.6146788990825689</v>
      </c>
      <c r="G31" s="590">
        <f>INPUT!BD640</f>
        <v>0</v>
      </c>
      <c r="H31" s="589">
        <f>INPUT!BE640</f>
        <v>1.5202982601491299</v>
      </c>
      <c r="I31" s="590">
        <f>INPUT!BF640</f>
        <v>0</v>
      </c>
      <c r="J31" s="589">
        <f>INPUT!BG640</f>
        <v>1.6733752620545073</v>
      </c>
      <c r="K31" s="590">
        <f>INPUT!BH640</f>
        <v>0</v>
      </c>
      <c r="L31" s="589">
        <f>INPUT!BI640</f>
        <v>1.7245762711864407</v>
      </c>
      <c r="M31" s="590">
        <f>INPUT!BJ640</f>
        <v>0</v>
      </c>
      <c r="N31" s="589">
        <f>INPUT!BK640</f>
        <v>1.9978494623655914</v>
      </c>
      <c r="O31" s="590">
        <f>INPUT!BL640</f>
        <v>0</v>
      </c>
      <c r="P31" s="589">
        <f>INPUT!BM640</f>
        <v>1.7233115468409586</v>
      </c>
      <c r="Q31" s="590">
        <f>INPUT!BN640</f>
        <v>0</v>
      </c>
      <c r="R31" s="589">
        <f>INPUT!BO640</f>
        <v>1.5290178571428572</v>
      </c>
      <c r="S31" s="590">
        <f>INPUT!BP640</f>
        <v>0</v>
      </c>
      <c r="T31" s="589">
        <f>INPUT!BQ640</f>
        <v>1.9315068493150684</v>
      </c>
      <c r="U31" s="590">
        <f>INPUT!BR640</f>
        <v>0</v>
      </c>
      <c r="V31" s="589">
        <f>INPUT!BS640</f>
        <v>0.99534883720930234</v>
      </c>
      <c r="W31" s="590">
        <f>INPUT!BT640</f>
        <v>0</v>
      </c>
      <c r="X31" s="589">
        <f>INPUT!BU640</f>
        <v>-2.0249882131070249</v>
      </c>
      <c r="Y31" s="590">
        <f>INPUT!BV640</f>
        <v>0</v>
      </c>
      <c r="Z31" s="589">
        <f>INPUT!BW640</f>
        <v>0.47258979206049151</v>
      </c>
      <c r="AA31" s="590">
        <f>INPUT!BX640</f>
        <v>0</v>
      </c>
      <c r="AB31" s="589">
        <f>INPUT!BY640</f>
        <v>1.9825005756389591</v>
      </c>
      <c r="AC31" s="590">
        <f>INPUT!BZ640</f>
        <v>0</v>
      </c>
      <c r="AD31" s="589">
        <f>INPUT!CA640</f>
        <v>1.7649591046061126</v>
      </c>
      <c r="AE31" s="590">
        <f>INPUT!CB640</f>
        <v>0</v>
      </c>
      <c r="AF31" s="589">
        <f>INPUT!CC640</f>
        <v>1.1886030193493515</v>
      </c>
      <c r="AG31" s="590">
        <f>INPUT!CD640</f>
        <v>0</v>
      </c>
      <c r="AH31" s="589">
        <f>INPUT!CE640</f>
        <v>1.3573700954400849</v>
      </c>
      <c r="AI31" s="590">
        <f>INPUT!CF640</f>
        <v>0</v>
      </c>
      <c r="AJ31" s="589">
        <f>INPUT!CG640</f>
        <v>0.82188886541305728</v>
      </c>
      <c r="AK31" s="590">
        <f>INPUT!CH640</f>
        <v>0</v>
      </c>
      <c r="AL31" s="589">
        <f>INPUT!CI640</f>
        <v>1.9082840236686391</v>
      </c>
      <c r="AM31" s="590">
        <f>INPUT!CJ640</f>
        <v>0</v>
      </c>
      <c r="AN31" s="589">
        <f>INPUT!CK640</f>
        <v>1.6277145811789038</v>
      </c>
      <c r="AO31" s="590">
        <f>INPUT!CL640</f>
        <v>0</v>
      </c>
      <c r="AP31" s="589">
        <f>INPUT!CM640</f>
        <v>1.6197610852399271</v>
      </c>
      <c r="AQ31" s="590">
        <f>INPUT!CN640</f>
        <v>0</v>
      </c>
      <c r="AR31" s="589">
        <f>INPUT!CO640</f>
        <v>1.5662894098625706</v>
      </c>
      <c r="AS31" s="590">
        <f>INPUT!CP640</f>
        <v>0</v>
      </c>
      <c r="AT31" s="589">
        <f>INPUT!CQ640</f>
        <v>0.83793173921929287</v>
      </c>
      <c r="AU31" s="590">
        <f>INPUT!CR640</f>
        <v>0</v>
      </c>
      <c r="AV31" s="589">
        <f>INPUT!CS640</f>
        <v>1.7840670859538783</v>
      </c>
      <c r="AW31" s="590">
        <f>INPUT!CT640</f>
        <v>0</v>
      </c>
      <c r="AX31" s="589">
        <f>INPUT!CU640</f>
        <v>1.6544502617801047</v>
      </c>
      <c r="AY31" s="590">
        <f>INPUT!CV640</f>
        <v>0</v>
      </c>
      <c r="AZ31" s="589">
        <f>INPUT!CW640</f>
        <v>1.3875395987328405</v>
      </c>
      <c r="BA31" s="590">
        <f>INPUT!CX640</f>
        <v>0</v>
      </c>
      <c r="BB31" s="589">
        <f>INPUT!CY640</f>
        <v>1.6023738872403561</v>
      </c>
      <c r="BC31" s="590">
        <f>INPUT!CZ640</f>
        <v>0</v>
      </c>
      <c r="BD31" s="589">
        <f>INPUT!DA640</f>
        <v>1.7620770376675889</v>
      </c>
      <c r="BE31" s="590">
        <f>INPUT!DB640</f>
        <v>0</v>
      </c>
      <c r="BF31" s="589">
        <f>INPUT!DC640</f>
        <v>2.2662709349162604</v>
      </c>
      <c r="BG31" s="590">
        <f>INPUT!DD640</f>
        <v>0</v>
      </c>
      <c r="BH31" s="589">
        <f>INPUT!DE640</f>
        <v>2.3041084286319355</v>
      </c>
      <c r="BI31" s="590">
        <f>INPUT!DF640</f>
        <v>0</v>
      </c>
      <c r="BJ31" s="589">
        <f>INPUT!DG640</f>
        <v>2.8940677966101696</v>
      </c>
      <c r="BK31" s="590">
        <f>INPUT!DH640</f>
        <v>0</v>
      </c>
      <c r="BL31" s="589">
        <f>INPUT!DI640</f>
        <v>2.2028862478777591</v>
      </c>
      <c r="BM31" s="590">
        <f>INPUT!DJ640</f>
        <v>0</v>
      </c>
      <c r="BN31" s="589">
        <f>INPUT!DK640</f>
        <v>2.4031336015244547</v>
      </c>
      <c r="BO31" s="590">
        <f>INPUT!DL640</f>
        <v>0</v>
      </c>
      <c r="BP31" s="589">
        <f>INPUT!DM640</f>
        <v>2.4915038232795244</v>
      </c>
      <c r="BQ31" s="590">
        <f>INPUT!DN640</f>
        <v>8.1330979184367038</v>
      </c>
      <c r="BR31" s="589">
        <f>INPUT!DO640</f>
        <v>2.1982942430703623</v>
      </c>
      <c r="BS31" s="590">
        <f>INPUT!DP640</f>
        <v>-24.04137022480154</v>
      </c>
      <c r="BT31" s="589">
        <f>INPUT!DQ640</f>
        <v>2.118226600985222</v>
      </c>
      <c r="BU31" s="590">
        <f>INPUT!DR640</f>
        <v>-3.8431238550831921</v>
      </c>
      <c r="BV31" s="589">
        <f>INPUT!DS640</f>
        <v>2.7872020614129269</v>
      </c>
      <c r="BW31" s="590">
        <f>INPUT!DT640</f>
        <v>15.981985339676257</v>
      </c>
      <c r="BX31" s="589">
        <f>INPUT!DU640</f>
        <v>2.912621359223301</v>
      </c>
      <c r="BY31" s="590">
        <f>INPUT!DV640</f>
        <v>16.902142874878948</v>
      </c>
      <c r="BZ31" s="589">
        <f>INPUT!DW640</f>
        <v>2.4015577672003463</v>
      </c>
      <c r="CA31" s="590">
        <f>INPUT!DX640</f>
        <v>9.2464202538276083</v>
      </c>
      <c r="CB31" s="589">
        <f>INPUT!DY640</f>
        <v>1.9373776908023483</v>
      </c>
      <c r="CC31" s="590">
        <f>INPUT!DZ640</f>
        <v>-8.5377508760751937</v>
      </c>
      <c r="CD31" s="589">
        <f>INPUT!EA640</f>
        <v>2.1787587412587412</v>
      </c>
      <c r="CE31" s="590">
        <f>INPUT!EB640</f>
        <v>-21.829896317088156</v>
      </c>
      <c r="CF31" s="589">
        <f>INPUT!EC640</f>
        <v>1.8450923659025149</v>
      </c>
      <c r="CG31" s="590">
        <f>INPUT!ED640</f>
        <v>-36.651828770680318</v>
      </c>
      <c r="CH31" s="589">
        <f>INPUT!EE640</f>
        <v>2.6592392527571458</v>
      </c>
      <c r="CI31" s="590">
        <f>INPUT!EF640</f>
        <v>10.72976420039214</v>
      </c>
      <c r="CJ31" s="589">
        <f>INPUT!EG640</f>
        <v>2.4579354251932695</v>
      </c>
      <c r="CK31" s="590">
        <f>INPUT!EH640</f>
        <v>26.869192148864713</v>
      </c>
      <c r="CL31" s="589">
        <f>INPUT!EI640</f>
        <v>2.7943520838077887</v>
      </c>
      <c r="CM31" s="590">
        <f>INPUT!EJ640</f>
        <v>28.254314297938237</v>
      </c>
      <c r="CN31" s="589">
        <f>INPUT!EK640</f>
        <v>2.0903851431707987</v>
      </c>
      <c r="CO31" s="590">
        <f>INPUT!EL640</f>
        <v>13.294335926012053</v>
      </c>
      <c r="CP31" s="589">
        <f>INPUT!EM640</f>
        <v>3.0137931034482759</v>
      </c>
      <c r="CQ31" s="590">
        <f>INPUT!EN640</f>
        <v>13.332905278211513</v>
      </c>
      <c r="CR31" s="589">
        <f>INPUT!EO640</f>
        <v>2.6854633695400971</v>
      </c>
      <c r="CS31" s="590">
        <f>INPUT!EP640</f>
        <v>9.2568723333704668</v>
      </c>
      <c r="CT31" s="589">
        <f>INPUT!EQ640</f>
        <v>3.0956473436103349</v>
      </c>
      <c r="CU31" s="590">
        <f>INPUT!ER640</f>
        <v>10.782294097742295</v>
      </c>
      <c r="CV31" s="589">
        <f>INPUT!ES640</f>
        <v>3.1369010469049265</v>
      </c>
      <c r="CW31" s="590">
        <f>INPUT!ET640</f>
        <v>50.063305661784483</v>
      </c>
      <c r="CX31" s="589">
        <f>INPUT!EU640</f>
        <v>3.1253659827544977</v>
      </c>
      <c r="CY31" s="590">
        <f>INPUT!EV640</f>
        <v>3.70207494265496</v>
      </c>
      <c r="CZ31" s="589">
        <f>INPUT!EW640</f>
        <v>2.838428618029682</v>
      </c>
      <c r="DA31" s="590">
        <f>INPUT!EX640</f>
        <v>5.6960467316216352</v>
      </c>
      <c r="DB31" s="591"/>
      <c r="DC31" s="589">
        <f>INPUT!FP640</f>
        <v>0</v>
      </c>
      <c r="DD31" s="590">
        <f>INPUT!FQ640</f>
        <v>0</v>
      </c>
      <c r="DE31" s="589">
        <f>INPUT!FR640</f>
        <v>4.5988654781199347</v>
      </c>
      <c r="DF31" s="590" t="str">
        <f>INPUT!FS640</f>
        <v>NA</v>
      </c>
      <c r="DG31" s="589">
        <f>INPUT!FT640</f>
        <v>5.8293646556326753</v>
      </c>
      <c r="DH31" s="590">
        <f>INPUT!FU640</f>
        <v>26.75658123437394</v>
      </c>
      <c r="DI31" s="589">
        <f>INPUT!FV640</f>
        <v>-1.552121771217712</v>
      </c>
      <c r="DJ31" s="590" t="str">
        <f>INPUT!FW640</f>
        <v>NM</v>
      </c>
      <c r="DK31" s="589">
        <f>INPUT!FX640</f>
        <v>2.4414193260432939</v>
      </c>
      <c r="DL31" s="590" t="str">
        <f>INPUT!FY640</f>
        <v>NM</v>
      </c>
      <c r="DM31" s="589">
        <f>INPUT!FZ640</f>
        <v>4.2724165132789906</v>
      </c>
      <c r="DN31" s="590">
        <f>INPUT!GA640</f>
        <v>74.997243107889915</v>
      </c>
      <c r="DO31" s="589">
        <f>INPUT!GB640</f>
        <v>4.6219948849104862</v>
      </c>
      <c r="DP31" s="590">
        <f>INPUT!GC640</f>
        <v>0</v>
      </c>
      <c r="DQ31" s="589">
        <f>INPUT!GD640</f>
        <v>5.1841284936862682</v>
      </c>
      <c r="DR31" s="590">
        <f>INPUT!GE640</f>
        <v>0</v>
      </c>
      <c r="DS31" s="589">
        <f>INPUT!GF640</f>
        <v>10.074717820995177</v>
      </c>
      <c r="DT31" s="590">
        <f>INPUT!GG640</f>
        <v>94.337733589457514</v>
      </c>
      <c r="DU31" s="589">
        <f>INPUT!GH640</f>
        <v>9.2011582688595634</v>
      </c>
      <c r="DV31" s="590">
        <f>INPUT!GI640</f>
        <v>-8.6708091249480219</v>
      </c>
      <c r="DW31" s="589">
        <f>INPUT!GJ640</f>
        <v>10.044833360341382</v>
      </c>
      <c r="DX31" s="590">
        <f>INPUT!GK640</f>
        <v>9.1692270345697295</v>
      </c>
      <c r="DY31" s="589">
        <f>INPUT!GL640</f>
        <v>9.1312116136236732</v>
      </c>
      <c r="DZ31" s="590">
        <f>INPUT!GM640</f>
        <v>-9.0954395552726055</v>
      </c>
      <c r="EA31" s="589">
        <f>INPUT!GN640</f>
        <v>10.582326093438224</v>
      </c>
      <c r="EB31" s="590">
        <f>INPUT!GO640</f>
        <v>15.891806489836497</v>
      </c>
      <c r="EC31" s="589">
        <f>INPUT!GP640</f>
        <v>12.199348634086146</v>
      </c>
      <c r="ED31" s="590">
        <f>INPUT!GQ640</f>
        <v>15.280407411094515</v>
      </c>
      <c r="EE31" s="589">
        <f>INPUT!GR640</f>
        <v>12.751069324888016</v>
      </c>
      <c r="EF31" s="590">
        <f>INPUT!GS640</f>
        <v>4.5225422057396685</v>
      </c>
      <c r="EG31" s="589">
        <f>INPUT!GT640</f>
        <v>13.303162843222088</v>
      </c>
      <c r="EH31" s="590">
        <f>INPUT!GU640</f>
        <v>4.3297821089912389</v>
      </c>
      <c r="EI31" s="589">
        <f>INPUT!GV640</f>
        <v>13.853522114260759</v>
      </c>
      <c r="EJ31" s="590">
        <f>INPUT!GW640</f>
        <v>4.1370558078906612</v>
      </c>
      <c r="EK31" s="589">
        <f>INPUT!GX640</f>
        <v>14.450625194663479</v>
      </c>
      <c r="EL31" s="590">
        <f>INPUT!GY640</f>
        <v>4.3101174955938717</v>
      </c>
      <c r="EM31" s="590">
        <f>INPUT!GZ640</f>
        <v>6.429273926309631</v>
      </c>
    </row>
    <row r="32" spans="1:144" s="551" customFormat="1" ht="12.75" hidden="1" customHeight="1" outlineLevel="1" x14ac:dyDescent="0.2">
      <c r="A32" s="582" t="s">
        <v>683</v>
      </c>
      <c r="B32" s="583"/>
      <c r="C32" s="584"/>
      <c r="D32" s="583"/>
      <c r="E32" s="584"/>
      <c r="F32" s="583"/>
      <c r="G32" s="584"/>
      <c r="H32" s="583"/>
      <c r="I32" s="584"/>
      <c r="J32" s="583"/>
      <c r="K32" s="584"/>
      <c r="L32" s="583"/>
      <c r="M32" s="584"/>
      <c r="N32" s="583"/>
      <c r="O32" s="584"/>
      <c r="P32" s="583"/>
      <c r="Q32" s="584"/>
      <c r="R32" s="583"/>
      <c r="S32" s="584"/>
      <c r="T32" s="583"/>
      <c r="U32" s="584"/>
      <c r="V32" s="583"/>
      <c r="W32" s="584"/>
      <c r="X32" s="583"/>
      <c r="Y32" s="584"/>
      <c r="Z32" s="583"/>
      <c r="AA32" s="584"/>
      <c r="AB32" s="583"/>
      <c r="AC32" s="584"/>
      <c r="AD32" s="583"/>
      <c r="AE32" s="584"/>
      <c r="AF32" s="583"/>
      <c r="AG32" s="584"/>
      <c r="AH32" s="583"/>
      <c r="AI32" s="584"/>
      <c r="AJ32" s="583"/>
      <c r="AK32" s="584"/>
      <c r="AL32" s="583"/>
      <c r="AM32" s="584"/>
      <c r="AN32" s="583"/>
      <c r="AO32" s="584"/>
      <c r="AP32" s="585">
        <f>(AP27/AP62)-AP31</f>
        <v>0</v>
      </c>
      <c r="AQ32" s="584"/>
      <c r="AR32" s="585">
        <f>(AR27/AR62)-AR31</f>
        <v>0</v>
      </c>
      <c r="AS32" s="584"/>
      <c r="AT32" s="585">
        <f>(AT27/AT62)-AT31</f>
        <v>0</v>
      </c>
      <c r="AU32" s="584"/>
      <c r="AV32" s="585">
        <f>(AV27/AV62)-AV31</f>
        <v>0</v>
      </c>
      <c r="AW32" s="584"/>
      <c r="AX32" s="585">
        <f>(AX27/AX62)-AX31</f>
        <v>0</v>
      </c>
      <c r="AY32" s="584"/>
      <c r="AZ32" s="585">
        <f>(AZ27/AZ62)-AZ31</f>
        <v>0</v>
      </c>
      <c r="BA32" s="584"/>
      <c r="BB32" s="585">
        <f>(BB27/BB62)-BB31</f>
        <v>0</v>
      </c>
      <c r="BC32" s="584"/>
      <c r="BD32" s="585">
        <f>(BD27/BD62)-BD31</f>
        <v>0</v>
      </c>
      <c r="BE32" s="584"/>
      <c r="BF32" s="585">
        <f>(BF27/BF62)-BF31</f>
        <v>0</v>
      </c>
      <c r="BG32" s="584"/>
      <c r="BH32" s="585">
        <f>(BH27/BH62)-BH31</f>
        <v>0</v>
      </c>
      <c r="BI32" s="584"/>
      <c r="BJ32" s="585">
        <f>(BJ27/BJ62)-BJ31</f>
        <v>0</v>
      </c>
      <c r="BK32" s="584"/>
      <c r="BL32" s="585">
        <f>(BL27/BL62)-BL31</f>
        <v>0</v>
      </c>
      <c r="BM32" s="584"/>
      <c r="BN32" s="585">
        <f>(BN27/BN62)-BN31</f>
        <v>0</v>
      </c>
      <c r="BO32" s="584"/>
      <c r="BP32" s="585">
        <f>(BP27/BP62)-BP31</f>
        <v>0</v>
      </c>
      <c r="BQ32" s="584"/>
      <c r="BR32" s="585">
        <f>(BR27/BR62)-BR31</f>
        <v>0</v>
      </c>
      <c r="BS32" s="584"/>
      <c r="BT32" s="585">
        <f>(BT27/BT62)-BT31</f>
        <v>0</v>
      </c>
      <c r="BU32" s="584"/>
      <c r="BV32" s="585">
        <f>(BV27/BV62)-BV31</f>
        <v>0</v>
      </c>
      <c r="BW32" s="584"/>
      <c r="BX32" s="585">
        <f>(BX27/BX62)-BX31</f>
        <v>0</v>
      </c>
      <c r="BY32" s="584"/>
      <c r="BZ32" s="585">
        <f>(BZ27/BZ62)-BZ31</f>
        <v>0</v>
      </c>
      <c r="CA32" s="584"/>
      <c r="CB32" s="585">
        <f>(CB27/CB62)-CB31</f>
        <v>0</v>
      </c>
      <c r="CC32" s="584"/>
      <c r="CD32" s="585">
        <f>(CD27/CD62)-CD31</f>
        <v>0</v>
      </c>
      <c r="CE32" s="584"/>
      <c r="CF32" s="585">
        <f>(CF27/CF62)-CF31</f>
        <v>0</v>
      </c>
      <c r="CG32" s="584"/>
      <c r="CH32" s="585">
        <f>(CH27/CH62)-CH31</f>
        <v>0</v>
      </c>
      <c r="CI32" s="584"/>
      <c r="CJ32" s="585">
        <f>(CJ27/CJ62)-CJ31</f>
        <v>0</v>
      </c>
      <c r="CK32" s="584"/>
      <c r="CL32" s="585">
        <f>(CL27/CL62)-CL31</f>
        <v>0</v>
      </c>
      <c r="CM32" s="584"/>
      <c r="CN32" s="585">
        <f>(CN27/CN62)-CN31</f>
        <v>0</v>
      </c>
      <c r="CO32" s="584"/>
      <c r="CP32" s="585">
        <f>(CP27/CP62)-CP31</f>
        <v>0</v>
      </c>
      <c r="CQ32" s="584"/>
      <c r="CR32" s="585">
        <f>(CR27/CR62)-CR31</f>
        <v>0</v>
      </c>
      <c r="CS32" s="584"/>
      <c r="CT32" s="585">
        <f>(CT27/CT62)-CT31</f>
        <v>0</v>
      </c>
      <c r="CU32" s="584"/>
      <c r="CV32" s="585">
        <f>(CV27/CV62)-CV31</f>
        <v>0</v>
      </c>
      <c r="CW32" s="584"/>
      <c r="CX32" s="585">
        <f>(CX27/CX62)-CX31</f>
        <v>0</v>
      </c>
      <c r="CY32" s="584"/>
      <c r="CZ32" s="585">
        <f>(CZ27/CZ62)-CZ31</f>
        <v>0</v>
      </c>
      <c r="DA32" s="584"/>
      <c r="DB32" s="583"/>
      <c r="DC32" s="583"/>
      <c r="DD32" s="584"/>
      <c r="DE32" s="583"/>
      <c r="DF32" s="584"/>
      <c r="DG32" s="583"/>
      <c r="DH32" s="584"/>
      <c r="DI32" s="583"/>
      <c r="DJ32" s="584"/>
      <c r="DK32" s="583"/>
      <c r="DL32" s="584"/>
      <c r="DM32" s="583"/>
      <c r="DN32" s="584"/>
      <c r="DO32" s="585">
        <f>(DO27/DO62)-DO31</f>
        <v>0</v>
      </c>
      <c r="DP32" s="584"/>
      <c r="DQ32" s="585">
        <f>(DQ27/DQ62)-DQ31</f>
        <v>0</v>
      </c>
      <c r="DR32" s="584"/>
      <c r="DS32" s="585">
        <f>(DS27/DS62)-DS31</f>
        <v>0</v>
      </c>
      <c r="DT32" s="584"/>
      <c r="DU32" s="585">
        <f>(DU27/DU62)-DU31</f>
        <v>-0.12482728746123151</v>
      </c>
      <c r="DV32" s="584"/>
      <c r="DW32" s="585">
        <f>(DW27/DW62)-DW31</f>
        <v>0</v>
      </c>
      <c r="DX32" s="584"/>
      <c r="DY32" s="585">
        <f>(DY27/DY62)-DY31</f>
        <v>0</v>
      </c>
      <c r="DZ32" s="584"/>
      <c r="EA32" s="585">
        <f>(EA27/EA62)-EA31</f>
        <v>0</v>
      </c>
      <c r="EB32" s="584"/>
      <c r="EC32" s="585">
        <f>(EC27/EC62)-EC31</f>
        <v>0</v>
      </c>
      <c r="ED32" s="584"/>
      <c r="EE32" s="585">
        <f>(EE27/EE62)-EE31</f>
        <v>0</v>
      </c>
      <c r="EF32" s="584"/>
      <c r="EG32" s="585">
        <f>(EG27/EG62)-EG31</f>
        <v>0</v>
      </c>
      <c r="EH32" s="584"/>
      <c r="EI32" s="585">
        <f>(EI27/EI62)-EI31</f>
        <v>0</v>
      </c>
      <c r="EJ32" s="584"/>
      <c r="EK32" s="585">
        <f>(EK27/EK62)-EK31</f>
        <v>0</v>
      </c>
      <c r="EL32" s="584"/>
      <c r="EM32" s="584"/>
    </row>
    <row r="33" spans="1:143" s="632" customFormat="1" ht="12.75" customHeight="1" collapsed="1" x14ac:dyDescent="0.2">
      <c r="A33" s="633"/>
      <c r="B33" s="662"/>
      <c r="C33" s="663"/>
      <c r="D33" s="662"/>
      <c r="E33" s="663"/>
      <c r="F33" s="662"/>
      <c r="G33" s="663"/>
      <c r="H33" s="662"/>
      <c r="I33" s="663"/>
      <c r="J33" s="662"/>
      <c r="K33" s="663"/>
      <c r="L33" s="662"/>
      <c r="M33" s="663"/>
      <c r="N33" s="662"/>
      <c r="O33" s="663"/>
      <c r="P33" s="662"/>
      <c r="Q33" s="663"/>
      <c r="R33" s="662"/>
      <c r="S33" s="663"/>
      <c r="T33" s="662"/>
      <c r="U33" s="663"/>
      <c r="V33" s="662"/>
      <c r="W33" s="663"/>
      <c r="X33" s="662"/>
      <c r="Y33" s="663"/>
      <c r="Z33" s="662"/>
      <c r="AA33" s="663"/>
      <c r="AB33" s="662"/>
      <c r="AC33" s="663"/>
      <c r="AD33" s="662"/>
      <c r="AE33" s="663"/>
      <c r="AF33" s="662"/>
      <c r="AG33" s="663"/>
      <c r="AH33" s="662"/>
      <c r="AI33" s="663"/>
      <c r="AJ33" s="662"/>
      <c r="AK33" s="663"/>
      <c r="AL33" s="662"/>
      <c r="AM33" s="663"/>
      <c r="AN33" s="662"/>
      <c r="AO33" s="663"/>
      <c r="AP33" s="662"/>
      <c r="AQ33" s="663"/>
      <c r="AR33" s="662"/>
      <c r="AS33" s="663"/>
      <c r="AT33" s="662"/>
      <c r="AU33" s="663"/>
      <c r="AV33" s="662"/>
      <c r="AW33" s="663"/>
      <c r="AX33" s="662"/>
      <c r="AY33" s="663"/>
      <c r="AZ33" s="662"/>
      <c r="BA33" s="663"/>
      <c r="BB33" s="662"/>
      <c r="BC33" s="663"/>
      <c r="BD33" s="662"/>
      <c r="BE33" s="663"/>
      <c r="BF33" s="662"/>
      <c r="BG33" s="663"/>
      <c r="BH33" s="662"/>
      <c r="BI33" s="663"/>
      <c r="BJ33" s="662"/>
      <c r="BK33" s="663"/>
      <c r="BL33" s="662"/>
      <c r="BM33" s="663"/>
      <c r="BN33" s="662"/>
      <c r="BO33" s="663"/>
      <c r="BP33" s="662"/>
      <c r="BQ33" s="663"/>
      <c r="BR33" s="662"/>
      <c r="BS33" s="663"/>
      <c r="BT33" s="662"/>
      <c r="BU33" s="663"/>
      <c r="BV33" s="662"/>
      <c r="BW33" s="663"/>
      <c r="BX33" s="662"/>
      <c r="BY33" s="663"/>
      <c r="BZ33" s="662"/>
      <c r="CA33" s="663"/>
      <c r="CB33" s="662"/>
      <c r="CC33" s="663"/>
      <c r="CD33" s="662"/>
      <c r="CE33" s="663"/>
      <c r="CF33" s="662"/>
      <c r="CG33" s="663"/>
      <c r="CH33" s="662"/>
      <c r="CI33" s="663"/>
      <c r="CJ33" s="662"/>
      <c r="CK33" s="663"/>
      <c r="CL33" s="662"/>
      <c r="CM33" s="663"/>
      <c r="CN33" s="662"/>
      <c r="CO33" s="663"/>
      <c r="CP33" s="662"/>
      <c r="CQ33" s="663"/>
      <c r="CR33" s="662"/>
      <c r="CS33" s="663"/>
      <c r="CT33" s="662"/>
      <c r="CU33" s="663"/>
      <c r="CV33" s="662"/>
      <c r="CW33" s="663"/>
      <c r="CX33" s="662"/>
      <c r="CY33" s="663"/>
      <c r="CZ33" s="662"/>
      <c r="DA33" s="663"/>
      <c r="DB33" s="664"/>
      <c r="DC33" s="662"/>
      <c r="DD33" s="663"/>
      <c r="DE33" s="662"/>
      <c r="DF33" s="663"/>
      <c r="DG33" s="662"/>
      <c r="DH33" s="663"/>
      <c r="DI33" s="662"/>
      <c r="DJ33" s="663"/>
      <c r="DK33" s="662"/>
      <c r="DL33" s="663"/>
      <c r="DM33" s="662"/>
      <c r="DN33" s="663"/>
      <c r="DO33" s="662"/>
      <c r="DP33" s="663"/>
      <c r="DQ33" s="662"/>
      <c r="DR33" s="663"/>
      <c r="DS33" s="662"/>
      <c r="DT33" s="663"/>
      <c r="DU33" s="662"/>
      <c r="DV33" s="663"/>
      <c r="DW33" s="662"/>
      <c r="DX33" s="663"/>
      <c r="DY33" s="662"/>
      <c r="DZ33" s="663"/>
      <c r="EA33" s="662"/>
      <c r="EB33" s="663"/>
      <c r="EC33" s="662"/>
      <c r="ED33" s="663"/>
      <c r="EE33" s="662"/>
      <c r="EF33" s="663"/>
      <c r="EG33" s="662"/>
      <c r="EH33" s="663"/>
      <c r="EI33" s="662"/>
      <c r="EJ33" s="663"/>
      <c r="EK33" s="662"/>
      <c r="EL33" s="663"/>
      <c r="EM33" s="663"/>
    </row>
    <row r="34" spans="1:143" s="632" customFormat="1" ht="12.75" customHeight="1" x14ac:dyDescent="0.2">
      <c r="A34" s="652" t="str">
        <f>INPUT!B582</f>
        <v>Net Income</v>
      </c>
      <c r="B34" s="657">
        <f>INPUT!AY582</f>
        <v>604</v>
      </c>
      <c r="C34" s="635">
        <f>INPUT!AZ582</f>
        <v>-41.698841698841704</v>
      </c>
      <c r="D34" s="657">
        <f>INPUT!BA582</f>
        <v>388</v>
      </c>
      <c r="E34" s="635" t="str">
        <f>INPUT!BB582</f>
        <v>NM</v>
      </c>
      <c r="F34" s="657">
        <f>INPUT!BC582</f>
        <v>1098</v>
      </c>
      <c r="G34" s="635">
        <f>INPUT!BD582</f>
        <v>-30.594184576485461</v>
      </c>
      <c r="H34" s="657">
        <f>INPUT!BE582</f>
        <v>819</v>
      </c>
      <c r="I34" s="635">
        <f>INPUT!BF582</f>
        <v>43.432574430823109</v>
      </c>
      <c r="J34" s="657">
        <f>INPUT!BG582</f>
        <v>833.59999999999991</v>
      </c>
      <c r="K34" s="635">
        <f>INPUT!BH582</f>
        <v>38.013245033112554</v>
      </c>
      <c r="L34" s="657">
        <f>INPUT!BI582</f>
        <v>769</v>
      </c>
      <c r="M34" s="635">
        <f>INPUT!BJ582</f>
        <v>98.195876288659804</v>
      </c>
      <c r="N34" s="657">
        <f>INPUT!BK582</f>
        <v>800</v>
      </c>
      <c r="O34" s="635">
        <f>INPUT!BL582</f>
        <v>-27.140255009107477</v>
      </c>
      <c r="P34" s="657">
        <f>INPUT!BM582</f>
        <v>785</v>
      </c>
      <c r="Q34" s="635">
        <f>INPUT!BN582</f>
        <v>-4.1514041514041509</v>
      </c>
      <c r="R34" s="657">
        <f>INPUT!BO582</f>
        <v>64</v>
      </c>
      <c r="S34" s="635" t="str">
        <f>INPUT!BP582</f>
        <v>NM</v>
      </c>
      <c r="T34" s="657">
        <f>INPUT!BQ582</f>
        <v>550</v>
      </c>
      <c r="U34" s="635">
        <f>INPUT!BR582</f>
        <v>-28.478543563068925</v>
      </c>
      <c r="V34" s="657">
        <f>INPUT!BS582</f>
        <v>-136</v>
      </c>
      <c r="W34" s="635" t="str">
        <f>INPUT!BT582</f>
        <v>NM</v>
      </c>
      <c r="X34" s="657">
        <f>INPUT!BU582</f>
        <v>-1268</v>
      </c>
      <c r="Y34" s="635" t="str">
        <f>INPUT!BV582</f>
        <v>NM</v>
      </c>
      <c r="Z34" s="657">
        <f>INPUT!BW582</f>
        <v>-5</v>
      </c>
      <c r="AA34" s="635" t="str">
        <f>INPUT!BX582</f>
        <v>NM</v>
      </c>
      <c r="AB34" s="657">
        <f>INPUT!BY582</f>
        <v>538</v>
      </c>
      <c r="AC34" s="635">
        <f>INPUT!BZ582</f>
        <v>-2.181818181818187</v>
      </c>
      <c r="AD34" s="657">
        <f>INPUT!CA582</f>
        <v>1090</v>
      </c>
      <c r="AE34" s="635" t="str">
        <f>INPUT!CB582</f>
        <v>NM</v>
      </c>
      <c r="AF34" s="657">
        <f>INPUT!CC582</f>
        <v>1788</v>
      </c>
      <c r="AG34" s="635" t="str">
        <f>INPUT!CD582</f>
        <v>NM</v>
      </c>
      <c r="AH34" s="657">
        <f>INPUT!CE582</f>
        <v>486</v>
      </c>
      <c r="AI34" s="635" t="str">
        <f>INPUT!CF582</f>
        <v>NM</v>
      </c>
      <c r="AJ34" s="657">
        <f>INPUT!CG582</f>
        <v>827</v>
      </c>
      <c r="AK34" s="635">
        <f>INPUT!CH582</f>
        <v>53.717472118959108</v>
      </c>
      <c r="AL34" s="657">
        <f>INPUT!CI582</f>
        <v>1076</v>
      </c>
      <c r="AM34" s="635">
        <f>INPUT!CJ582</f>
        <v>-1.2844036697247674</v>
      </c>
      <c r="AN34" s="657">
        <f>INPUT!CK582</f>
        <v>111</v>
      </c>
      <c r="AO34" s="635" t="str">
        <f>INPUT!CL582</f>
        <v>NM</v>
      </c>
      <c r="AP34" s="657">
        <f>INPUT!CM582</f>
        <v>539</v>
      </c>
      <c r="AQ34" s="635">
        <f>INPUT!CN582</f>
        <v>10.905349794238674</v>
      </c>
      <c r="AR34" s="657">
        <f>INPUT!CO582</f>
        <v>779</v>
      </c>
      <c r="AS34" s="635">
        <f>INPUT!CP582</f>
        <v>-5.8041112454655348</v>
      </c>
      <c r="AT34" s="657">
        <f>INPUT!CQ582</f>
        <v>1562</v>
      </c>
      <c r="AU34" s="635">
        <f>INPUT!CR582</f>
        <v>45.167286245353154</v>
      </c>
      <c r="AV34" s="657">
        <f>INPUT!CS582</f>
        <v>522</v>
      </c>
      <c r="AW34" s="635" t="str">
        <f>INPUT!CT582</f>
        <v>NM</v>
      </c>
      <c r="AX34" s="657">
        <f>INPUT!CU582</f>
        <v>-941</v>
      </c>
      <c r="AY34" s="635" t="str">
        <f>INPUT!CV582</f>
        <v>NM</v>
      </c>
      <c r="AZ34" s="657">
        <f>INPUT!CW582</f>
        <v>2232</v>
      </c>
      <c r="BA34" s="635" t="str">
        <f>INPUT!CX582</f>
        <v>NM</v>
      </c>
      <c r="BB34" s="657">
        <f>INPUT!CY582</f>
        <v>-619</v>
      </c>
      <c r="BC34" s="635" t="str">
        <f>INPUT!CZ582</f>
        <v>NM</v>
      </c>
      <c r="BD34" s="657">
        <f>INPUT!DA582</f>
        <v>-185</v>
      </c>
      <c r="BE34" s="635" t="str">
        <f>INPUT!DB582</f>
        <v>NM</v>
      </c>
      <c r="BF34" s="657">
        <f>INPUT!DC582</f>
        <v>-735</v>
      </c>
      <c r="BG34" s="635">
        <f>INPUT!DD582</f>
        <v>-21.891604675876735</v>
      </c>
      <c r="BH34" s="657">
        <f>INPUT!DE582</f>
        <v>-517</v>
      </c>
      <c r="BI34" s="635" t="str">
        <f>INPUT!DF582</f>
        <v>NM</v>
      </c>
      <c r="BJ34" s="657">
        <f>INPUT!DG582</f>
        <v>966</v>
      </c>
      <c r="BK34" s="635" t="str">
        <f>INPUT!DH582</f>
        <v>NM</v>
      </c>
      <c r="BL34" s="657">
        <f>INPUT!DI582</f>
        <v>-427</v>
      </c>
      <c r="BM34" s="635" t="str">
        <f>INPUT!DJ582</f>
        <v>NM</v>
      </c>
      <c r="BN34" s="657">
        <f>INPUT!DK582</f>
        <v>1225</v>
      </c>
      <c r="BO34" s="635" t="str">
        <f>INPUT!DL582</f>
        <v>NM</v>
      </c>
      <c r="BP34" s="657">
        <f>INPUT!DM582</f>
        <v>1049</v>
      </c>
      <c r="BQ34" s="635" t="str">
        <f>INPUT!DN582</f>
        <v>NM</v>
      </c>
      <c r="BR34" s="657">
        <f>INPUT!DO582</f>
        <v>465</v>
      </c>
      <c r="BS34" s="635" t="str">
        <f>INPUT!DP582</f>
        <v>NM</v>
      </c>
      <c r="BT34" s="657">
        <f>INPUT!DQ582</f>
        <v>-1206</v>
      </c>
      <c r="BU34" s="635" t="str">
        <f>INPUT!DR582</f>
        <v>NM</v>
      </c>
      <c r="BV34" s="657">
        <f>INPUT!DS582</f>
        <v>2036</v>
      </c>
      <c r="BW34" s="635">
        <f>INPUT!DT582</f>
        <v>66.204081632653043</v>
      </c>
      <c r="BX34" s="657">
        <f>INPUT!DU582</f>
        <v>1406</v>
      </c>
      <c r="BY34" s="635">
        <f>INPUT!DV582</f>
        <v>34.032411820781704</v>
      </c>
      <c r="BZ34" s="657">
        <f>INPUT!DW582</f>
        <v>1465</v>
      </c>
      <c r="CA34" s="635" t="str">
        <f>INPUT!DX582</f>
        <v>NM</v>
      </c>
      <c r="CB34" s="657">
        <f>INPUT!DY582</f>
        <v>735</v>
      </c>
      <c r="CC34" s="635" t="str">
        <f>INPUT!DZ582</f>
        <v>NM</v>
      </c>
      <c r="CD34" s="657">
        <f>INPUT!EA582</f>
        <v>1336</v>
      </c>
      <c r="CE34" s="635">
        <f>INPUT!EB582</f>
        <v>-34.381139489194496</v>
      </c>
      <c r="CF34" s="657">
        <f>INPUT!EC582</f>
        <v>921</v>
      </c>
      <c r="CG34" s="635">
        <f>INPUT!ED582</f>
        <v>-34.495021337126602</v>
      </c>
      <c r="CH34" s="657">
        <f>INPUT!EE582</f>
        <v>1827</v>
      </c>
      <c r="CI34" s="635">
        <f>INPUT!EF582</f>
        <v>24.709897610921502</v>
      </c>
      <c r="CJ34" s="657">
        <f>INPUT!EG582</f>
        <v>284</v>
      </c>
      <c r="CK34" s="635" t="str">
        <f>INPUT!EH582</f>
        <v>NM</v>
      </c>
      <c r="CL34" s="657">
        <f>INPUT!EI582</f>
        <v>1369</v>
      </c>
      <c r="CM34" s="635">
        <f>INPUT!EJ582</f>
        <v>2.4700598802395177</v>
      </c>
      <c r="CN34" s="657">
        <f>INPUT!EK582</f>
        <v>491</v>
      </c>
      <c r="CO34" s="635">
        <f>INPUT!EL582</f>
        <v>-46.688382193268183</v>
      </c>
      <c r="CP34" s="657">
        <f>INPUT!EM582</f>
        <v>2238</v>
      </c>
      <c r="CQ34" s="635">
        <f>INPUT!EN582</f>
        <v>22.495894909688019</v>
      </c>
      <c r="CR34" s="657">
        <f>INPUT!EO582</f>
        <v>3765</v>
      </c>
      <c r="CS34" s="635" t="str">
        <f>INPUT!EP582</f>
        <v>NM</v>
      </c>
      <c r="CT34" s="657">
        <f>INPUT!EQ582</f>
        <v>2169.5916299288165</v>
      </c>
      <c r="CU34" s="635">
        <f>INPUT!ER582</f>
        <v>58.480031404588487</v>
      </c>
      <c r="CV34" s="657">
        <f>INPUT!ES582</f>
        <v>961.19494269956499</v>
      </c>
      <c r="CW34" s="635">
        <f>INPUT!ET582</f>
        <v>95.762717454086555</v>
      </c>
      <c r="CX34" s="657">
        <f>INPUT!EU582</f>
        <v>940.06473018106681</v>
      </c>
      <c r="CY34" s="635" t="str">
        <f>INPUT!EV582</f>
        <v>NM</v>
      </c>
      <c r="CZ34" s="657">
        <f>INPUT!EW582</f>
        <v>803.73349126113294</v>
      </c>
      <c r="DA34" s="635" t="str">
        <f>INPUT!EX582</f>
        <v>NM</v>
      </c>
      <c r="DB34" s="657"/>
      <c r="DC34" s="657">
        <f>INPUT!FP582</f>
        <v>-3725</v>
      </c>
      <c r="DD34" s="635" t="str">
        <f>INPUT!FQ582</f>
        <v>NM</v>
      </c>
      <c r="DE34" s="657">
        <f>INPUT!FR582</f>
        <v>-2552</v>
      </c>
      <c r="DF34" s="635">
        <f>INPUT!FS582</f>
        <v>-31.489932885906029</v>
      </c>
      <c r="DG34" s="657">
        <f>INPUT!FT582</f>
        <v>-2544.3999999999996</v>
      </c>
      <c r="DH34" s="635">
        <f>INPUT!FU582</f>
        <v>-0.29780564263323583</v>
      </c>
      <c r="DI34" s="657">
        <f>INPUT!FV582</f>
        <v>-4053</v>
      </c>
      <c r="DJ34" s="635">
        <f>INPUT!FW582</f>
        <v>59.29099198239274</v>
      </c>
      <c r="DK34" s="657">
        <f>INPUT!FX582</f>
        <v>-805</v>
      </c>
      <c r="DL34" s="635" t="str">
        <f>INPUT!FY582</f>
        <v>NM</v>
      </c>
      <c r="DM34" s="657">
        <f>INPUT!FZ582</f>
        <v>-34</v>
      </c>
      <c r="DN34" s="635" t="str">
        <f>INPUT!GA582</f>
        <v>NM</v>
      </c>
      <c r="DO34" s="657">
        <f>INPUT!GB582</f>
        <v>-536</v>
      </c>
      <c r="DP34" s="635" t="str">
        <f>INPUT!GC582</f>
        <v>NM</v>
      </c>
      <c r="DQ34" s="657">
        <f>INPUT!GD582</f>
        <v>306</v>
      </c>
      <c r="DR34" s="635" t="str">
        <f>INPUT!GE582</f>
        <v>NM</v>
      </c>
      <c r="DS34" s="657">
        <f>INPUT!GF582</f>
        <v>2786</v>
      </c>
      <c r="DT34" s="635" t="str">
        <f>INPUT!GG582</f>
        <v>NM</v>
      </c>
      <c r="DU34" s="657">
        <f>INPUT!GH582</f>
        <v>3199</v>
      </c>
      <c r="DV34" s="635">
        <f>INPUT!GI582</f>
        <v>14.824120603015075</v>
      </c>
      <c r="DW34" s="657">
        <f>INPUT!GJ582</f>
        <v>5642</v>
      </c>
      <c r="DX34" s="635">
        <f>INPUT!GK582</f>
        <v>76.367614879649892</v>
      </c>
      <c r="DY34" s="657">
        <f>INPUT!GL582</f>
        <v>4368</v>
      </c>
      <c r="DZ34" s="635">
        <f>INPUT!GM582</f>
        <v>-22.58064516129032</v>
      </c>
      <c r="EA34" s="657">
        <f>INPUT!GN582</f>
        <v>7863</v>
      </c>
      <c r="EB34" s="635">
        <f>INPUT!GO582</f>
        <v>80.013736263736263</v>
      </c>
      <c r="EC34" s="657">
        <f>INPUT!GP582</f>
        <v>4874.5847940705817</v>
      </c>
      <c r="ED34" s="635">
        <f>INPUT!GQ582</f>
        <v>-38.006043570258406</v>
      </c>
      <c r="EE34" s="657">
        <f>INPUT!GR582</f>
        <v>4475.5160985982038</v>
      </c>
      <c r="EF34" s="635">
        <f>INPUT!GS582</f>
        <v>-8.1867217892650643</v>
      </c>
      <c r="EG34" s="657">
        <f>INPUT!GT582</f>
        <v>4490.313762578905</v>
      </c>
      <c r="EH34" s="635">
        <f>INPUT!GU582</f>
        <v>0.33063592342648462</v>
      </c>
      <c r="EI34" s="657">
        <f>INPUT!GV582</f>
        <v>4509.3505312133457</v>
      </c>
      <c r="EJ34" s="635">
        <f>INPUT!GW582</f>
        <v>0.42395185817723302</v>
      </c>
      <c r="EK34" s="657">
        <f>INPUT!GX582</f>
        <v>4518.3321298446017</v>
      </c>
      <c r="EL34" s="635">
        <f>INPUT!GY582</f>
        <v>0.19917721119895759</v>
      </c>
      <c r="EM34" s="635">
        <f>INPUT!GZ582</f>
        <v>-10.488677203523466</v>
      </c>
    </row>
    <row r="35" spans="1:143" s="632" customFormat="1" ht="12.75" customHeight="1" x14ac:dyDescent="0.2">
      <c r="A35" s="633"/>
      <c r="B35" s="662"/>
      <c r="C35" s="663"/>
      <c r="D35" s="662"/>
      <c r="E35" s="663"/>
      <c r="F35" s="662"/>
      <c r="G35" s="663"/>
      <c r="H35" s="662"/>
      <c r="I35" s="663"/>
      <c r="J35" s="662"/>
      <c r="K35" s="663"/>
      <c r="L35" s="662"/>
      <c r="M35" s="663"/>
      <c r="N35" s="662"/>
      <c r="O35" s="663"/>
      <c r="P35" s="662"/>
      <c r="Q35" s="663"/>
      <c r="R35" s="662"/>
      <c r="S35" s="663"/>
      <c r="T35" s="662"/>
      <c r="U35" s="663"/>
      <c r="V35" s="662"/>
      <c r="W35" s="663"/>
      <c r="X35" s="662"/>
      <c r="Y35" s="663"/>
      <c r="Z35" s="662"/>
      <c r="AA35" s="663"/>
      <c r="AB35" s="662"/>
      <c r="AC35" s="663"/>
      <c r="AD35" s="662"/>
      <c r="AE35" s="663"/>
      <c r="AF35" s="662"/>
      <c r="AG35" s="663"/>
      <c r="AH35" s="662"/>
      <c r="AI35" s="663"/>
      <c r="AJ35" s="662"/>
      <c r="AK35" s="663"/>
      <c r="AL35" s="662"/>
      <c r="AM35" s="663"/>
      <c r="AN35" s="662"/>
      <c r="AO35" s="663"/>
      <c r="AP35" s="662"/>
      <c r="AQ35" s="663"/>
      <c r="AR35" s="662"/>
      <c r="AS35" s="663"/>
      <c r="AT35" s="662"/>
      <c r="AU35" s="663"/>
      <c r="AV35" s="662"/>
      <c r="AW35" s="663"/>
      <c r="AX35" s="662"/>
      <c r="AY35" s="663"/>
      <c r="AZ35" s="662"/>
      <c r="BA35" s="663"/>
      <c r="BB35" s="662"/>
      <c r="BC35" s="663"/>
      <c r="BD35" s="662"/>
      <c r="BE35" s="663"/>
      <c r="BF35" s="662"/>
      <c r="BG35" s="663"/>
      <c r="BH35" s="662"/>
      <c r="BI35" s="663"/>
      <c r="BJ35" s="662"/>
      <c r="BK35" s="663"/>
      <c r="BL35" s="662"/>
      <c r="BM35" s="663"/>
      <c r="BN35" s="662"/>
      <c r="BO35" s="663"/>
      <c r="BP35" s="662"/>
      <c r="BQ35" s="663"/>
      <c r="BR35" s="662"/>
      <c r="BS35" s="663"/>
      <c r="BT35" s="662"/>
      <c r="BU35" s="663"/>
      <c r="BV35" s="662"/>
      <c r="BW35" s="663"/>
      <c r="BX35" s="662"/>
      <c r="BY35" s="663"/>
      <c r="BZ35" s="662"/>
      <c r="CA35" s="663"/>
      <c r="CB35" s="662"/>
      <c r="CC35" s="663"/>
      <c r="CD35" s="662"/>
      <c r="CE35" s="663"/>
      <c r="CF35" s="662"/>
      <c r="CG35" s="663"/>
      <c r="CH35" s="662"/>
      <c r="CI35" s="663"/>
      <c r="CJ35" s="662"/>
      <c r="CK35" s="663"/>
      <c r="CL35" s="662"/>
      <c r="CM35" s="663"/>
      <c r="CN35" s="662"/>
      <c r="CO35" s="663"/>
      <c r="CP35" s="662"/>
      <c r="CQ35" s="663"/>
      <c r="CR35" s="662"/>
      <c r="CS35" s="663"/>
      <c r="CT35" s="662"/>
      <c r="CU35" s="663"/>
      <c r="CV35" s="662"/>
      <c r="CW35" s="663"/>
      <c r="CX35" s="662"/>
      <c r="CY35" s="663"/>
      <c r="CZ35" s="662"/>
      <c r="DA35" s="663"/>
      <c r="DB35" s="664"/>
      <c r="DC35" s="662"/>
      <c r="DD35" s="663"/>
      <c r="DE35" s="662"/>
      <c r="DF35" s="663"/>
      <c r="DG35" s="662"/>
      <c r="DH35" s="663"/>
      <c r="DI35" s="662"/>
      <c r="DJ35" s="663"/>
      <c r="DK35" s="662"/>
      <c r="DL35" s="663"/>
      <c r="DM35" s="662"/>
      <c r="DN35" s="663"/>
      <c r="DO35" s="662"/>
      <c r="DP35" s="663"/>
      <c r="DQ35" s="662"/>
      <c r="DR35" s="663"/>
      <c r="DS35" s="662"/>
      <c r="DT35" s="663"/>
      <c r="DU35" s="662"/>
      <c r="DV35" s="663"/>
      <c r="DW35" s="662"/>
      <c r="DX35" s="663"/>
      <c r="DY35" s="662"/>
      <c r="DZ35" s="663"/>
      <c r="EA35" s="662"/>
      <c r="EB35" s="663"/>
      <c r="EC35" s="662"/>
      <c r="ED35" s="663"/>
      <c r="EE35" s="662"/>
      <c r="EF35" s="663"/>
      <c r="EG35" s="662"/>
      <c r="EH35" s="663"/>
      <c r="EI35" s="662"/>
      <c r="EJ35" s="663"/>
      <c r="EK35" s="662"/>
      <c r="EL35" s="663"/>
      <c r="EM35" s="663"/>
    </row>
    <row r="36" spans="1:143" s="552" customFormat="1" ht="12.75" customHeight="1" x14ac:dyDescent="0.2">
      <c r="A36" s="592" t="str">
        <f>INPUT!B642</f>
        <v xml:space="preserve">Reported EPS </v>
      </c>
      <c r="B36" s="593">
        <f>INPUT!AY642</f>
        <v>1.24</v>
      </c>
      <c r="C36" s="594">
        <f>INPUT!AZ642</f>
        <v>-38</v>
      </c>
      <c r="D36" s="593">
        <f>INPUT!BA642</f>
        <v>0.81</v>
      </c>
      <c r="E36" s="594" t="str">
        <f>INPUT!BB642</f>
        <v>NM</v>
      </c>
      <c r="F36" s="593">
        <f>INPUT!BC642</f>
        <v>2.27</v>
      </c>
      <c r="G36" s="594">
        <f>INPUT!BD642</f>
        <v>-26.537216828478961</v>
      </c>
      <c r="H36" s="593">
        <f>INPUT!BE642</f>
        <v>1.73</v>
      </c>
      <c r="I36" s="594">
        <f>INPUT!BF642</f>
        <v>49.137931034482762</v>
      </c>
      <c r="J36" s="593">
        <f>INPUT!BG642</f>
        <v>1.78</v>
      </c>
      <c r="K36" s="594">
        <f>INPUT!BH642</f>
        <v>43.548387096774206</v>
      </c>
      <c r="L36" s="593">
        <f>INPUT!BI642</f>
        <v>1.66</v>
      </c>
      <c r="M36" s="594" t="str">
        <f>INPUT!BJ642</f>
        <v>NM</v>
      </c>
      <c r="N36" s="593">
        <f>INPUT!BK642</f>
        <v>1.75</v>
      </c>
      <c r="O36" s="594">
        <f>INPUT!BL642</f>
        <v>-22.907488986784145</v>
      </c>
      <c r="P36" s="593">
        <f>INPUT!BM642</f>
        <v>1.73</v>
      </c>
      <c r="Q36" s="594">
        <f>INPUT!BN642</f>
        <v>0</v>
      </c>
      <c r="R36" s="593">
        <f>INPUT!BO642</f>
        <v>0.17</v>
      </c>
      <c r="S36" s="594" t="str">
        <f>INPUT!BP642</f>
        <v>NM</v>
      </c>
      <c r="T36" s="593">
        <f>INPUT!BQ642</f>
        <v>1.29</v>
      </c>
      <c r="U36" s="594">
        <f>INPUT!BR642</f>
        <v>-22.289156626506028</v>
      </c>
      <c r="V36" s="593">
        <f>INPUT!BS642</f>
        <v>-0.28999999999999998</v>
      </c>
      <c r="W36" s="594" t="str">
        <f>INPUT!BT642</f>
        <v>NM</v>
      </c>
      <c r="X36" s="593">
        <f>INPUT!BU642</f>
        <v>-2.94</v>
      </c>
      <c r="Y36" s="594" t="str">
        <f>INPUT!BV642</f>
        <v>NM</v>
      </c>
      <c r="Z36" s="593">
        <f>INPUT!BW642</f>
        <v>0.01</v>
      </c>
      <c r="AA36" s="594" t="str">
        <f>INPUT!BX642</f>
        <v>NM</v>
      </c>
      <c r="AB36" s="593">
        <f>INPUT!BY642</f>
        <v>1.2387750402947271</v>
      </c>
      <c r="AC36" s="594">
        <f>INPUT!BZ642</f>
        <v>-3.9709271089358822</v>
      </c>
      <c r="AD36" s="593">
        <f>INPUT!CA642</f>
        <v>2.3461041756349545</v>
      </c>
      <c r="AE36" s="594" t="str">
        <f>INPUT!CB642</f>
        <v>NM</v>
      </c>
      <c r="AF36" s="593">
        <f>INPUT!CC642</f>
        <v>3.801828620029768</v>
      </c>
      <c r="AG36" s="594" t="str">
        <f>INPUT!CD642</f>
        <v>NM</v>
      </c>
      <c r="AH36" s="593">
        <f>INPUT!CE642</f>
        <v>1.04</v>
      </c>
      <c r="AI36" s="594" t="str">
        <f>INPUT!CF642</f>
        <v>NM</v>
      </c>
      <c r="AJ36" s="593">
        <f>INPUT!CG642</f>
        <v>1.77</v>
      </c>
      <c r="AK36" s="594">
        <f>INPUT!CH642</f>
        <v>42.883085501858744</v>
      </c>
      <c r="AL36" s="593">
        <f>INPUT!CI642</f>
        <v>2.2799999999999998</v>
      </c>
      <c r="AM36" s="594">
        <f>INPUT!CJ642</f>
        <v>-2.8176146788990764</v>
      </c>
      <c r="AN36" s="593">
        <f>INPUT!CK642</f>
        <v>0.23</v>
      </c>
      <c r="AO36" s="594" t="str">
        <f>INPUT!CL642</f>
        <v>NM</v>
      </c>
      <c r="AP36" s="593">
        <f>INPUT!CM642</f>
        <v>1.0900000000000001</v>
      </c>
      <c r="AQ36" s="594">
        <f>INPUT!CN642</f>
        <v>4.8076923076923066</v>
      </c>
      <c r="AR36" s="593">
        <f>INPUT!CO642</f>
        <v>1.58</v>
      </c>
      <c r="AS36" s="594">
        <f>INPUT!CP642</f>
        <v>-10.734463276836152</v>
      </c>
      <c r="AT36" s="593">
        <f>INPUT!CQ642</f>
        <v>3.2</v>
      </c>
      <c r="AU36" s="594">
        <f>INPUT!CR642</f>
        <v>40.350877192982466</v>
      </c>
      <c r="AV36" s="593">
        <f>INPUT!CS642</f>
        <v>1.0900000000000001</v>
      </c>
      <c r="AW36" s="594" t="str">
        <f>INPUT!CT642</f>
        <v>NM</v>
      </c>
      <c r="AX36" s="593">
        <f>INPUT!CU642</f>
        <v>-1.96</v>
      </c>
      <c r="AY36" s="594" t="str">
        <f>INPUT!CV642</f>
        <v>NM</v>
      </c>
      <c r="AZ36" s="593">
        <f>INPUT!CW642</f>
        <v>4.7300000000000004</v>
      </c>
      <c r="BA36" s="594" t="str">
        <f>INPUT!CX642</f>
        <v>NM</v>
      </c>
      <c r="BB36" s="593">
        <f>INPUT!CY642</f>
        <v>-1.32</v>
      </c>
      <c r="BC36" s="594" t="str">
        <f>INPUT!CZ642</f>
        <v>NM</v>
      </c>
      <c r="BD36" s="593">
        <f>INPUT!DA642</f>
        <v>-0.4</v>
      </c>
      <c r="BE36" s="594" t="str">
        <f>INPUT!DB642</f>
        <v>NM</v>
      </c>
      <c r="BF36" s="593">
        <f>INPUT!DC642</f>
        <v>-1.56</v>
      </c>
      <c r="BG36" s="594">
        <f>INPUT!DD642</f>
        <v>-20.408163265306129</v>
      </c>
      <c r="BH36" s="593">
        <f>INPUT!DE642</f>
        <v>-1.1100000000000001</v>
      </c>
      <c r="BI36" s="594" t="str">
        <f>INPUT!DF642</f>
        <v>NM</v>
      </c>
      <c r="BJ36" s="593">
        <f>INPUT!DG642</f>
        <v>2.0299999999999998</v>
      </c>
      <c r="BK36" s="594" t="str">
        <f>INPUT!DH642</f>
        <v>NM</v>
      </c>
      <c r="BL36" s="593">
        <f>INPUT!DI642</f>
        <v>-0.93</v>
      </c>
      <c r="BM36" s="594" t="str">
        <f>INPUT!DJ642</f>
        <v>NM</v>
      </c>
      <c r="BN36" s="593">
        <f>INPUT!DK642</f>
        <v>2.59</v>
      </c>
      <c r="BO36" s="594" t="str">
        <f>INPUT!DL642</f>
        <v>NM</v>
      </c>
      <c r="BP36" s="593">
        <f>INPUT!DM642</f>
        <v>2.2200000000000002</v>
      </c>
      <c r="BQ36" s="594" t="str">
        <f>INPUT!DN642</f>
        <v>NM</v>
      </c>
      <c r="BR36" s="593">
        <f>INPUT!DO642</f>
        <v>0.99</v>
      </c>
      <c r="BS36" s="594" t="str">
        <f>INPUT!DP642</f>
        <v>NM</v>
      </c>
      <c r="BT36" s="593">
        <f>INPUT!DQ642</f>
        <v>-2.62</v>
      </c>
      <c r="BU36" s="594" t="str">
        <f>INPUT!DR642</f>
        <v>NM</v>
      </c>
      <c r="BV36" s="593">
        <f>INPUT!DS642</f>
        <v>4.37</v>
      </c>
      <c r="BW36" s="594">
        <f>INPUT!DT642</f>
        <v>68.725868725868736</v>
      </c>
      <c r="BX36" s="593">
        <f>INPUT!DU642</f>
        <v>3.03</v>
      </c>
      <c r="BY36" s="594">
        <f>INPUT!DV642</f>
        <v>36.486486486486456</v>
      </c>
      <c r="BZ36" s="593">
        <f>INPUT!DW642</f>
        <v>3.17</v>
      </c>
      <c r="CA36" s="594" t="str">
        <f>INPUT!DX642</f>
        <v>NM</v>
      </c>
      <c r="CB36" s="593">
        <f>INPUT!DY642</f>
        <v>1.6</v>
      </c>
      <c r="CC36" s="594" t="str">
        <f>INPUT!DZ642</f>
        <v>NM</v>
      </c>
      <c r="CD36" s="593">
        <f>INPUT!EA642</f>
        <v>2.92</v>
      </c>
      <c r="CE36" s="594">
        <f>INPUT!EB642</f>
        <v>-33.180778032036613</v>
      </c>
      <c r="CF36" s="593">
        <f>INPUT!EC642</f>
        <v>2.0499999999999998</v>
      </c>
      <c r="CG36" s="594">
        <f>INPUT!ED642</f>
        <v>-32.343234323432341</v>
      </c>
      <c r="CH36" s="593">
        <f>INPUT!EE642</f>
        <v>4.09</v>
      </c>
      <c r="CI36" s="594">
        <f>INPUT!EF642</f>
        <v>29.022082018927449</v>
      </c>
      <c r="CJ36" s="593">
        <f>INPUT!EG642</f>
        <v>0.65</v>
      </c>
      <c r="CK36" s="594" t="str">
        <f>INPUT!EH642</f>
        <v>NM</v>
      </c>
      <c r="CL36" s="593">
        <f>INPUT!EI642</f>
        <v>3.12</v>
      </c>
      <c r="CM36" s="594">
        <f>INPUT!EJ642</f>
        <v>6.849315068493155</v>
      </c>
      <c r="CN36" s="593">
        <f>INPUT!EK642</f>
        <v>1.1200000000000001</v>
      </c>
      <c r="CO36" s="594">
        <f>INPUT!EL642</f>
        <v>-45.365853658536572</v>
      </c>
      <c r="CP36" s="593">
        <f>INPUT!EM642</f>
        <v>5.14</v>
      </c>
      <c r="CQ36" s="594">
        <f>INPUT!EN642</f>
        <v>25.672371638141797</v>
      </c>
      <c r="CR36" s="593">
        <f>INPUT!EO642</f>
        <v>8.6999999999999993</v>
      </c>
      <c r="CS36" s="594" t="str">
        <f>INPUT!EP642</f>
        <v>NM</v>
      </c>
      <c r="CT36" s="593">
        <f>INPUT!EQ642</f>
        <v>5.04</v>
      </c>
      <c r="CU36" s="594">
        <f>INPUT!ER642</f>
        <v>61.538461538461547</v>
      </c>
      <c r="CV36" s="593">
        <f>INPUT!ES642</f>
        <v>2.23</v>
      </c>
      <c r="CW36" s="594">
        <f>INPUT!ET642</f>
        <v>99.107142857142833</v>
      </c>
      <c r="CX36" s="593">
        <f>INPUT!EU642</f>
        <v>2.2000000000000002</v>
      </c>
      <c r="CY36" s="594" t="str">
        <f>INPUT!EV642</f>
        <v>NM</v>
      </c>
      <c r="CZ36" s="593">
        <f>INPUT!EW642</f>
        <v>1.89</v>
      </c>
      <c r="DA36" s="594" t="str">
        <f>INPUT!EX642</f>
        <v>NM</v>
      </c>
      <c r="DB36" s="595"/>
      <c r="DC36" s="593">
        <f>INPUT!FP642</f>
        <v>-7.18</v>
      </c>
      <c r="DD36" s="594" t="str">
        <f>INPUT!FQ642</f>
        <v>NM</v>
      </c>
      <c r="DE36" s="593">
        <f>INPUT!FR642</f>
        <v>-5.21</v>
      </c>
      <c r="DF36" s="594">
        <f>INPUT!FS642</f>
        <v>-27.437325905292482</v>
      </c>
      <c r="DG36" s="593">
        <f>INPUT!FT642</f>
        <v>-5.49</v>
      </c>
      <c r="DH36" s="594">
        <f>INPUT!FU642</f>
        <v>5.374280230326292</v>
      </c>
      <c r="DI36" s="593">
        <f>INPUT!FV642</f>
        <v>-9.4</v>
      </c>
      <c r="DJ36" s="594">
        <f>INPUT!FW642</f>
        <v>71.220400728597468</v>
      </c>
      <c r="DK36" s="593">
        <f>INPUT!FX642</f>
        <v>-1.85</v>
      </c>
      <c r="DL36" s="594" t="str">
        <f>INPUT!FY642</f>
        <v>NM</v>
      </c>
      <c r="DM36" s="593">
        <f>INPUT!FZ642</f>
        <v>-0.11</v>
      </c>
      <c r="DN36" s="594" t="str">
        <f>INPUT!GA642</f>
        <v>NM</v>
      </c>
      <c r="DO36" s="593">
        <f>INPUT!GB642</f>
        <v>-1.1499999999999999</v>
      </c>
      <c r="DP36" s="594" t="str">
        <f>INPUT!GC642</f>
        <v>NM</v>
      </c>
      <c r="DQ36" s="593">
        <f>INPUT!GD642</f>
        <v>0.59</v>
      </c>
      <c r="DR36" s="594" t="str">
        <f>INPUT!GE642</f>
        <v>NM</v>
      </c>
      <c r="DS36" s="593">
        <f>INPUT!GF642</f>
        <v>5.86</v>
      </c>
      <c r="DT36" s="594" t="str">
        <f>INPUT!GG642</f>
        <v>NM</v>
      </c>
      <c r="DU36" s="593">
        <f>INPUT!GH642</f>
        <v>6.8</v>
      </c>
      <c r="DV36" s="594">
        <f>INPUT!GI642</f>
        <v>16.040955631399314</v>
      </c>
      <c r="DW36" s="593">
        <f>INPUT!GJ642</f>
        <v>12.19</v>
      </c>
      <c r="DX36" s="594">
        <f>INPUT!GK642</f>
        <v>79.264705882352956</v>
      </c>
      <c r="DY36" s="593">
        <f>INPUT!GL642</f>
        <v>9.7100000000000009</v>
      </c>
      <c r="DZ36" s="594">
        <f>INPUT!GM642</f>
        <v>-20.344544708777676</v>
      </c>
      <c r="EA36" s="593">
        <f>INPUT!GN642</f>
        <v>17.95</v>
      </c>
      <c r="EB36" s="594">
        <f>INPUT!GO642</f>
        <v>84.860968074150321</v>
      </c>
      <c r="EC36" s="593">
        <f>INPUT!GP642</f>
        <v>11.4</v>
      </c>
      <c r="ED36" s="594">
        <f>INPUT!GQ642</f>
        <v>-36.490250696378823</v>
      </c>
      <c r="EE36" s="593">
        <f>INPUT!GR642</f>
        <v>10.8</v>
      </c>
      <c r="EF36" s="594">
        <f>INPUT!GS642</f>
        <v>-5.2631578947368354</v>
      </c>
      <c r="EG36" s="593">
        <f>INPUT!GT642</f>
        <v>11.19</v>
      </c>
      <c r="EH36" s="594">
        <f>INPUT!GU642</f>
        <v>3.6111111111111001</v>
      </c>
      <c r="EI36" s="593">
        <f>INPUT!GV642</f>
        <v>11.57</v>
      </c>
      <c r="EJ36" s="594">
        <f>INPUT!GW642</f>
        <v>3.395889186773914</v>
      </c>
      <c r="EK36" s="593">
        <f>INPUT!GX642</f>
        <v>11.97</v>
      </c>
      <c r="EL36" s="594">
        <f>INPUT!GY642</f>
        <v>3.4572169403630113</v>
      </c>
      <c r="EM36" s="594">
        <f>INPUT!GZ642</f>
        <v>-7.7840723326805801</v>
      </c>
    </row>
    <row r="37" spans="1:143" s="551" customFormat="1" ht="12.75" hidden="1" customHeight="1" outlineLevel="1" x14ac:dyDescent="0.2">
      <c r="A37" s="582" t="s">
        <v>683</v>
      </c>
      <c r="B37" s="583"/>
      <c r="C37" s="584"/>
      <c r="D37" s="583"/>
      <c r="E37" s="584"/>
      <c r="F37" s="583"/>
      <c r="G37" s="584"/>
      <c r="H37" s="583"/>
      <c r="I37" s="584"/>
      <c r="J37" s="583"/>
      <c r="K37" s="584"/>
      <c r="L37" s="583"/>
      <c r="M37" s="584"/>
      <c r="N37" s="583"/>
      <c r="O37" s="584"/>
      <c r="P37" s="583"/>
      <c r="Q37" s="584"/>
      <c r="R37" s="583"/>
      <c r="S37" s="584"/>
      <c r="T37" s="583"/>
      <c r="U37" s="584"/>
      <c r="V37" s="583"/>
      <c r="W37" s="584"/>
      <c r="X37" s="583"/>
      <c r="Y37" s="584"/>
      <c r="Z37" s="583"/>
      <c r="AA37" s="584"/>
      <c r="AB37" s="583"/>
      <c r="AC37" s="584"/>
      <c r="AD37" s="583"/>
      <c r="AE37" s="584"/>
      <c r="AF37" s="583"/>
      <c r="AG37" s="584"/>
      <c r="AH37" s="583"/>
      <c r="AI37" s="584"/>
      <c r="AJ37" s="583"/>
      <c r="AK37" s="584"/>
      <c r="AL37" s="583"/>
      <c r="AM37" s="584"/>
      <c r="AN37" s="583"/>
      <c r="AO37" s="584"/>
      <c r="AP37" s="585">
        <f>((AP34+AP26)/AP62)-AP36</f>
        <v>1.3140311804009652E-3</v>
      </c>
      <c r="AQ37" s="584"/>
      <c r="AR37" s="585">
        <f>((AR34+AR26)/AR62)-AR36</f>
        <v>-1.5844785772030079E-3</v>
      </c>
      <c r="AS37" s="584"/>
      <c r="AT37" s="585">
        <f>((AT34+AT26)/AT62)-AT36</f>
        <v>4.9049662783540171E-4</v>
      </c>
      <c r="AU37" s="584"/>
      <c r="AV37" s="585">
        <f>((AV34+AV26)/AV62)-AV36</f>
        <v>-4.0461215932914296E-3</v>
      </c>
      <c r="AW37" s="584"/>
      <c r="AX37" s="585">
        <f>((AX34+AX26)/AX62)-AX36</f>
        <v>1.8848167539267102E-3</v>
      </c>
      <c r="AY37" s="584"/>
      <c r="AZ37" s="585">
        <f>((AZ34+AZ26)/AZ62)-AZ36</f>
        <v>-3.4952481520598155E-3</v>
      </c>
      <c r="BA37" s="584"/>
      <c r="BB37" s="585">
        <f>((BB34+BB26)/BB62)-BB36</f>
        <v>1.6447647308182045E-3</v>
      </c>
      <c r="BC37" s="584"/>
      <c r="BD37" s="585">
        <f>((BD34+BD26)/BD62)-BD36</f>
        <v>-8.5124494573318721E-5</v>
      </c>
      <c r="BE37" s="584"/>
      <c r="BF37" s="585">
        <f>((BF34+BF26)/BF62)-BF36</f>
        <v>-4.5537417850327611E-3</v>
      </c>
      <c r="BG37" s="584"/>
      <c r="BH37" s="585">
        <f>((BH34+BH26)/BH62)-BH36</f>
        <v>4.5362134688691214E-3</v>
      </c>
      <c r="BI37" s="584"/>
      <c r="BJ37" s="585">
        <f>((BJ34+BJ26)/BJ62)-BJ36</f>
        <v>1.7796610169491522E-3</v>
      </c>
      <c r="BK37" s="584"/>
      <c r="BL37" s="585">
        <f>((BL34+BL26)/BL62)-BL36</f>
        <v>2.580645161290307E-3</v>
      </c>
      <c r="BM37" s="584"/>
      <c r="BN37" s="585">
        <f>((BN34+BN26)/BN62)-BN36</f>
        <v>-5.4414567012495141E-4</v>
      </c>
      <c r="BO37" s="584"/>
      <c r="BP37" s="585">
        <f>((BP34+BP26)/BP62)-BP36</f>
        <v>1.7502124044179723E-3</v>
      </c>
      <c r="BQ37" s="584"/>
      <c r="BR37" s="585">
        <f>((BR34+BR26)/BR62)-BR36</f>
        <v>-4.9253731343283924E-3</v>
      </c>
      <c r="BS37" s="584"/>
      <c r="BT37" s="585">
        <f>((BT34+BT26)/BT62)-BT36</f>
        <v>-3.6881559220391935E-3</v>
      </c>
      <c r="BU37" s="584"/>
      <c r="BV37" s="585">
        <f>((BV34+BV26)/BV62)-BV36</f>
        <v>1.9132488726647523E-3</v>
      </c>
      <c r="BW37" s="584"/>
      <c r="BX37" s="585">
        <f>((BX34+BX26)/BX62)-BX36</f>
        <v>3.4412081984900311E-3</v>
      </c>
      <c r="BY37" s="584"/>
      <c r="BZ37" s="585">
        <f>((BZ34+BZ26)/BZ62)-BZ36</f>
        <v>-3.7646040675021197E-4</v>
      </c>
      <c r="CA37" s="584"/>
      <c r="CB37" s="585">
        <f>((CB34+CB26)/CB62)-CB36</f>
        <v>-1.8264840182649067E-3</v>
      </c>
      <c r="CC37" s="584"/>
      <c r="CD37" s="585">
        <f>((CD34+CD26)/CD62)-CD36</f>
        <v>-4.1958041958034542E-4</v>
      </c>
      <c r="CE37" s="584"/>
      <c r="CF37" s="585">
        <f>((CF34+CF26)/CF62)-CF36</f>
        <v>-1.4466948586688844E-4</v>
      </c>
      <c r="CG37" s="584"/>
      <c r="CH37" s="585">
        <f>((CH34+CH26)/CH62)-CH36</f>
        <v>7.044789556607256E-4</v>
      </c>
      <c r="CI37" s="584"/>
      <c r="CJ37" s="585">
        <f>((CJ34+CJ26)/CJ62)-CJ36</f>
        <v>-2.4715779899954549E-2</v>
      </c>
      <c r="CK37" s="584"/>
      <c r="CL37" s="585">
        <f>((CL34+CL26)/CL62)-CL36</f>
        <v>-2.5033022090640067E-2</v>
      </c>
      <c r="CM37" s="584"/>
      <c r="CN37" s="585">
        <f>((CN34+CN26)/CN62)-CN36</f>
        <v>-8.4822980514136503E-3</v>
      </c>
      <c r="CO37" s="584"/>
      <c r="CP37" s="585">
        <f>((CP34+CP26)/CP62)-CP36</f>
        <v>-2.275862068965484E-2</v>
      </c>
      <c r="CQ37" s="584"/>
      <c r="CR37" s="585">
        <f>((CR34+CR26)/CR62)-CR36</f>
        <v>-2.4243124566673657E-2</v>
      </c>
      <c r="CS37" s="584"/>
      <c r="CT37" s="585">
        <f>((CT34+CT26)/CT62)-CT36</f>
        <v>-3.0887417524914085E-3</v>
      </c>
      <c r="CU37" s="584"/>
      <c r="CV37" s="585">
        <f>((CV34+CV26)/CV62)-CV36</f>
        <v>4.452927529227324E-3</v>
      </c>
      <c r="CW37" s="584"/>
      <c r="CX37" s="585">
        <f>((CX34+CX26)/CX62)-CX36</f>
        <v>1.6833311249744298E-3</v>
      </c>
      <c r="CY37" s="584"/>
      <c r="CZ37" s="585">
        <f>((CZ34+CZ26)/CZ62)-CZ36</f>
        <v>3.0923999705627647E-3</v>
      </c>
      <c r="DA37" s="584"/>
      <c r="DB37" s="583"/>
      <c r="DC37" s="583"/>
      <c r="DD37" s="584"/>
      <c r="DE37" s="583"/>
      <c r="DF37" s="584"/>
      <c r="DG37" s="583"/>
      <c r="DH37" s="584"/>
      <c r="DI37" s="583"/>
      <c r="DJ37" s="584"/>
      <c r="DK37" s="583"/>
      <c r="DL37" s="584"/>
      <c r="DM37" s="583"/>
      <c r="DN37" s="584"/>
      <c r="DO37" s="585">
        <f>((DO34+DO26)/DO62)-DO36</f>
        <v>-1.9181585677749968E-3</v>
      </c>
      <c r="DP37" s="584"/>
      <c r="DQ37" s="585">
        <f>((DQ34+DQ26)/DQ62)-DQ36</f>
        <v>3.8606223912929227E-3</v>
      </c>
      <c r="DR37" s="584"/>
      <c r="DS37" s="585">
        <f>((DS34+DS26)/DS62)-DS36</f>
        <v>-1.2749721795355384E-3</v>
      </c>
      <c r="DT37" s="584"/>
      <c r="DU37" s="585">
        <f>((DU34+DU26)/DU62)-DU36</f>
        <v>-7.6972418216758598E-4</v>
      </c>
      <c r="DV37" s="584"/>
      <c r="DW37" s="585">
        <f>((DW34+DW26)/DW62)-DW36</f>
        <v>3.5272511208361834E-4</v>
      </c>
      <c r="DX37" s="584"/>
      <c r="DY37" s="585">
        <f>((DY34+DY26)/DY62)-DY36</f>
        <v>4.1261864879942323E-3</v>
      </c>
      <c r="DZ37" s="584"/>
      <c r="EA37" s="585">
        <f>((EA34+EA26)/EA62)-EA36</f>
        <v>-3.1639182587532844E-3</v>
      </c>
      <c r="EB37" s="584"/>
      <c r="EC37" s="585">
        <f>((EC34+EC26)/EC62)-EC36</f>
        <v>2.7605557362910815E-3</v>
      </c>
      <c r="ED37" s="584"/>
      <c r="EE37" s="585">
        <f>((EE34+EE26)/EE62)-EE36</f>
        <v>1.4526360923454718E-3</v>
      </c>
      <c r="EF37" s="584"/>
      <c r="EG37" s="585">
        <f>((EG34+EG26)/EG62)-EG36</f>
        <v>-4.3270200470679754E-4</v>
      </c>
      <c r="EH37" s="584"/>
      <c r="EI37" s="585">
        <f>((EI34+EI26)/EI62)-EI36</f>
        <v>-1.1884398551895714E-3</v>
      </c>
      <c r="EJ37" s="584"/>
      <c r="EK37" s="585">
        <f>((EK34+EK26)/EK62)-EK36</f>
        <v>2.8749646216734703E-3</v>
      </c>
      <c r="EL37" s="584"/>
      <c r="EM37" s="584"/>
    </row>
    <row r="38" spans="1:143" s="632" customFormat="1" ht="12.75" customHeight="1" collapsed="1" x14ac:dyDescent="0.2">
      <c r="A38" s="667"/>
      <c r="B38" s="668"/>
      <c r="C38" s="635"/>
      <c r="D38" s="668"/>
      <c r="E38" s="635"/>
      <c r="F38" s="668"/>
      <c r="G38" s="635"/>
      <c r="H38" s="668"/>
      <c r="I38" s="635"/>
      <c r="J38" s="668"/>
      <c r="K38" s="635"/>
      <c r="L38" s="668"/>
      <c r="M38" s="635"/>
      <c r="N38" s="668"/>
      <c r="O38" s="635"/>
      <c r="P38" s="668"/>
      <c r="Q38" s="635"/>
      <c r="R38" s="668"/>
      <c r="S38" s="635"/>
      <c r="T38" s="668"/>
      <c r="U38" s="635"/>
      <c r="V38" s="668"/>
      <c r="W38" s="635"/>
      <c r="X38" s="668"/>
      <c r="Y38" s="635"/>
      <c r="Z38" s="668"/>
      <c r="AA38" s="635"/>
      <c r="AB38" s="668"/>
      <c r="AC38" s="635"/>
      <c r="AD38" s="668"/>
      <c r="AE38" s="635"/>
      <c r="AF38" s="668"/>
      <c r="AG38" s="635"/>
      <c r="AH38" s="668"/>
      <c r="AI38" s="635"/>
      <c r="AJ38" s="668"/>
      <c r="AK38" s="635"/>
      <c r="AL38" s="668"/>
      <c r="AM38" s="635"/>
      <c r="AN38" s="668"/>
      <c r="AO38" s="635"/>
      <c r="AP38" s="668"/>
      <c r="AQ38" s="635"/>
      <c r="AR38" s="668"/>
      <c r="AS38" s="635"/>
      <c r="AT38" s="668"/>
      <c r="AU38" s="635"/>
      <c r="AV38" s="668"/>
      <c r="AW38" s="635"/>
      <c r="AX38" s="668"/>
      <c r="AY38" s="635"/>
      <c r="AZ38" s="668"/>
      <c r="BA38" s="635"/>
      <c r="BB38" s="668"/>
      <c r="BC38" s="635"/>
      <c r="BD38" s="668"/>
      <c r="BE38" s="635"/>
      <c r="BF38" s="668"/>
      <c r="BG38" s="635"/>
      <c r="BH38" s="668"/>
      <c r="BI38" s="635"/>
      <c r="BJ38" s="668"/>
      <c r="BK38" s="635"/>
      <c r="BL38" s="668"/>
      <c r="BM38" s="635"/>
      <c r="BN38" s="668"/>
      <c r="BO38" s="635"/>
      <c r="BP38" s="668"/>
      <c r="BQ38" s="635"/>
      <c r="BR38" s="668"/>
      <c r="BS38" s="635"/>
      <c r="BT38" s="668"/>
      <c r="BU38" s="635"/>
      <c r="BV38" s="668"/>
      <c r="BW38" s="635"/>
      <c r="BX38" s="668"/>
      <c r="BY38" s="635"/>
      <c r="BZ38" s="668"/>
      <c r="CA38" s="635"/>
      <c r="CB38" s="668"/>
      <c r="CC38" s="635"/>
      <c r="CD38" s="668"/>
      <c r="CE38" s="635"/>
      <c r="CF38" s="668"/>
      <c r="CG38" s="635"/>
      <c r="CH38" s="668"/>
      <c r="CI38" s="635"/>
      <c r="CJ38" s="668"/>
      <c r="CK38" s="635"/>
      <c r="CL38" s="668"/>
      <c r="CM38" s="635"/>
      <c r="CN38" s="668"/>
      <c r="CO38" s="635"/>
      <c r="CP38" s="668"/>
      <c r="CQ38" s="635"/>
      <c r="CR38" s="668"/>
      <c r="CS38" s="635"/>
      <c r="CT38" s="668"/>
      <c r="CU38" s="635"/>
      <c r="CV38" s="668"/>
      <c r="CW38" s="635"/>
      <c r="CX38" s="668"/>
      <c r="CY38" s="635"/>
      <c r="CZ38" s="668"/>
      <c r="DA38" s="635"/>
      <c r="DB38" s="669"/>
      <c r="DC38" s="668"/>
      <c r="DD38" s="635"/>
      <c r="DE38" s="668"/>
      <c r="DF38" s="635"/>
      <c r="DG38" s="668"/>
      <c r="DH38" s="635"/>
      <c r="DI38" s="668"/>
      <c r="DJ38" s="635"/>
      <c r="DK38" s="668"/>
      <c r="DL38" s="635"/>
      <c r="DM38" s="668"/>
      <c r="DN38" s="635"/>
      <c r="DO38" s="668"/>
      <c r="DP38" s="635"/>
      <c r="DQ38" s="668"/>
      <c r="DR38" s="635"/>
      <c r="DS38" s="668"/>
      <c r="DT38" s="635"/>
      <c r="DU38" s="668"/>
      <c r="DV38" s="635"/>
      <c r="DW38" s="668"/>
      <c r="DX38" s="635"/>
      <c r="DY38" s="668"/>
      <c r="DZ38" s="635"/>
      <c r="EA38" s="668"/>
      <c r="EB38" s="635"/>
      <c r="EC38" s="668"/>
      <c r="ED38" s="635"/>
      <c r="EE38" s="668"/>
      <c r="EF38" s="635"/>
      <c r="EG38" s="668"/>
      <c r="EH38" s="635"/>
      <c r="EI38" s="668"/>
      <c r="EJ38" s="635"/>
      <c r="EK38" s="668"/>
      <c r="EL38" s="635"/>
      <c r="EM38" s="635"/>
    </row>
    <row r="39" spans="1:143" s="632" customFormat="1" ht="12.75" customHeight="1" x14ac:dyDescent="0.2">
      <c r="A39" s="667" t="str">
        <f>INPUT!B689</f>
        <v>Profitability</v>
      </c>
      <c r="B39" s="662"/>
      <c r="C39" s="664"/>
      <c r="D39" s="662"/>
      <c r="E39" s="664"/>
      <c r="F39" s="662"/>
      <c r="G39" s="664"/>
      <c r="H39" s="662"/>
      <c r="I39" s="664"/>
      <c r="J39" s="662"/>
      <c r="K39" s="664"/>
      <c r="L39" s="662"/>
      <c r="M39" s="664"/>
      <c r="N39" s="662"/>
      <c r="O39" s="664"/>
      <c r="P39" s="662"/>
      <c r="Q39" s="664"/>
      <c r="R39" s="662"/>
      <c r="S39" s="664"/>
      <c r="T39" s="662"/>
      <c r="U39" s="664"/>
      <c r="V39" s="662"/>
      <c r="W39" s="664"/>
      <c r="X39" s="662"/>
      <c r="Y39" s="664"/>
      <c r="Z39" s="662"/>
      <c r="AA39" s="664"/>
      <c r="AB39" s="662"/>
      <c r="AC39" s="664"/>
      <c r="AD39" s="662"/>
      <c r="AE39" s="664"/>
      <c r="AF39" s="662"/>
      <c r="AG39" s="664"/>
      <c r="AH39" s="662"/>
      <c r="AI39" s="664"/>
      <c r="AJ39" s="662"/>
      <c r="AK39" s="664"/>
      <c r="AL39" s="662"/>
      <c r="AM39" s="664"/>
      <c r="AN39" s="662"/>
      <c r="AO39" s="664"/>
      <c r="AP39" s="662"/>
      <c r="AQ39" s="664"/>
      <c r="AR39" s="662"/>
      <c r="AS39" s="664"/>
      <c r="AT39" s="662"/>
      <c r="AU39" s="664"/>
      <c r="AV39" s="662"/>
      <c r="AW39" s="664"/>
      <c r="AX39" s="662"/>
      <c r="AY39" s="664"/>
      <c r="AZ39" s="662"/>
      <c r="BA39" s="664"/>
      <c r="BB39" s="662"/>
      <c r="BC39" s="664"/>
      <c r="BD39" s="662"/>
      <c r="BE39" s="664"/>
      <c r="BF39" s="662"/>
      <c r="BG39" s="664"/>
      <c r="BH39" s="662"/>
      <c r="BI39" s="664"/>
      <c r="BJ39" s="662"/>
      <c r="BK39" s="664"/>
      <c r="BL39" s="662"/>
      <c r="BM39" s="664"/>
      <c r="BN39" s="662"/>
      <c r="BO39" s="664"/>
      <c r="BP39" s="686"/>
      <c r="BQ39" s="664"/>
      <c r="BR39" s="662"/>
      <c r="BS39" s="664"/>
      <c r="BT39" s="662"/>
      <c r="BU39" s="664"/>
      <c r="BV39" s="662"/>
      <c r="BW39" s="664"/>
      <c r="BX39" s="662"/>
      <c r="BY39" s="664"/>
      <c r="BZ39" s="662"/>
      <c r="CA39" s="664"/>
      <c r="CB39" s="662"/>
      <c r="CC39" s="664"/>
      <c r="CD39" s="662"/>
      <c r="CE39" s="664"/>
      <c r="CF39" s="662"/>
      <c r="CG39" s="664"/>
      <c r="CH39" s="662"/>
      <c r="CI39" s="664"/>
      <c r="CJ39" s="662"/>
      <c r="CK39" s="664"/>
      <c r="CL39" s="662"/>
      <c r="CM39" s="664"/>
      <c r="CN39" s="662"/>
      <c r="CO39" s="664"/>
      <c r="CP39" s="662"/>
      <c r="CQ39" s="664"/>
      <c r="CR39" s="662"/>
      <c r="CS39" s="664"/>
      <c r="CT39" s="662"/>
      <c r="CU39" s="664"/>
      <c r="CV39" s="662"/>
      <c r="CW39" s="664"/>
      <c r="CX39" s="662"/>
      <c r="CY39" s="664"/>
      <c r="CZ39" s="662"/>
      <c r="DA39" s="664"/>
      <c r="DB39" s="664"/>
      <c r="DC39" s="662"/>
      <c r="DD39" s="664"/>
      <c r="DE39" s="662"/>
      <c r="DF39" s="664"/>
      <c r="DG39" s="662"/>
      <c r="DH39" s="664"/>
      <c r="DI39" s="662"/>
      <c r="DJ39" s="664"/>
      <c r="DK39" s="662"/>
      <c r="DL39" s="664"/>
      <c r="DM39" s="662"/>
      <c r="DN39" s="664"/>
      <c r="DO39" s="662"/>
      <c r="DP39" s="664"/>
      <c r="DQ39" s="662"/>
      <c r="DR39" s="664"/>
      <c r="DS39" s="662"/>
      <c r="DT39" s="664"/>
      <c r="DU39" s="662"/>
      <c r="DV39" s="664"/>
      <c r="DW39" s="662"/>
      <c r="DX39" s="664"/>
      <c r="DY39" s="662"/>
      <c r="DZ39" s="664"/>
      <c r="EA39" s="662"/>
      <c r="EB39" s="664"/>
      <c r="EC39" s="662"/>
      <c r="ED39" s="664"/>
      <c r="EE39" s="662"/>
      <c r="EF39" s="664"/>
      <c r="EG39" s="662"/>
      <c r="EH39" s="664"/>
      <c r="EI39" s="662"/>
      <c r="EJ39" s="664"/>
      <c r="EK39" s="662"/>
      <c r="EL39" s="664"/>
      <c r="EM39" s="664"/>
    </row>
    <row r="40" spans="1:143" s="632" customFormat="1" ht="12.75" customHeight="1" x14ac:dyDescent="0.2">
      <c r="A40" s="670" t="str">
        <f>INPUT!B690</f>
        <v>Operating ROE (Excl FAS 115)(%)</v>
      </c>
      <c r="B40" s="665">
        <f>INPUT!AY690</f>
        <v>11.671473232678187</v>
      </c>
      <c r="C40" s="635">
        <f>INPUT!AZ690</f>
        <v>-34.173761973160154</v>
      </c>
      <c r="D40" s="665">
        <f>INPUT!BA690</f>
        <v>12.545678952590691</v>
      </c>
      <c r="E40" s="635">
        <f>INPUT!BB690</f>
        <v>-22.076058681212416</v>
      </c>
      <c r="F40" s="665">
        <f>INPUT!BC690</f>
        <v>14.838894731809923</v>
      </c>
      <c r="G40" s="635">
        <f>INPUT!BD690</f>
        <v>-23.255091308920555</v>
      </c>
      <c r="H40" s="665">
        <f>INPUT!BE690</f>
        <v>13.520011313816999</v>
      </c>
      <c r="I40" s="635">
        <f>INPUT!BF690</f>
        <v>-6.3208137511837776</v>
      </c>
      <c r="J40" s="665">
        <f>INPUT!BG690</f>
        <v>14.653918978938263</v>
      </c>
      <c r="K40" s="635">
        <f>INPUT!BH690</f>
        <v>25.553292945998663</v>
      </c>
      <c r="L40" s="665">
        <f>INPUT!BI690</f>
        <v>14.739751266697374</v>
      </c>
      <c r="M40" s="635">
        <f>INPUT!BJ690</f>
        <v>17.488669384876971</v>
      </c>
      <c r="N40" s="665">
        <f>INPUT!BK690</f>
        <v>16.819807178744398</v>
      </c>
      <c r="O40" s="635">
        <f>INPUT!BL690</f>
        <v>13.349460877891545</v>
      </c>
      <c r="P40" s="665">
        <f>INPUT!BM690</f>
        <v>14.512762883287847</v>
      </c>
      <c r="Q40" s="635">
        <f>INPUT!BN690</f>
        <v>7.3428309076656575</v>
      </c>
      <c r="R40" s="665">
        <f>INPUT!BO690</f>
        <v>12.545213131266882</v>
      </c>
      <c r="S40" s="635">
        <f>INPUT!BP690</f>
        <v>-14.390047131434088</v>
      </c>
      <c r="T40" s="665">
        <f>INPUT!BQ690</f>
        <v>14.909459399920694</v>
      </c>
      <c r="U40" s="635">
        <f>INPUT!BR690</f>
        <v>1.1513636163369654</v>
      </c>
      <c r="V40" s="665">
        <f>INPUT!BS690</f>
        <v>7.3098354006105755</v>
      </c>
      <c r="W40" s="635" t="str">
        <f>INPUT!BT690</f>
        <v>NM</v>
      </c>
      <c r="X40" s="665">
        <f>INPUT!BU690</f>
        <v>-15.831912638805695</v>
      </c>
      <c r="Y40" s="635" t="str">
        <f>INPUT!BV690</f>
        <v>NM</v>
      </c>
      <c r="Z40" s="665">
        <f>INPUT!BW690</f>
        <v>4.0234365177156937</v>
      </c>
      <c r="AA40" s="635" t="str">
        <f>INPUT!BX690</f>
        <v>NM</v>
      </c>
      <c r="AB40" s="665">
        <f>INPUT!BY690</f>
        <v>16.233031674208146</v>
      </c>
      <c r="AC40" s="635">
        <f>INPUT!BZ690</f>
        <v>8.8773995004439428</v>
      </c>
      <c r="AD40" s="665">
        <f>INPUT!CA690</f>
        <v>14.407449705701483</v>
      </c>
      <c r="AE40" s="635">
        <f>INPUT!CB690</f>
        <v>97.096773266578055</v>
      </c>
      <c r="AF40" s="665">
        <f>INPUT!CC690</f>
        <v>9.3038738401364789</v>
      </c>
      <c r="AG40" s="635" t="str">
        <f>INPUT!CD690</f>
        <v>NM</v>
      </c>
      <c r="AH40" s="665">
        <f>INPUT!CE690</f>
        <v>10.738480253361018</v>
      </c>
      <c r="AI40" s="635" t="str">
        <f>INPUT!CF690</f>
        <v>NM</v>
      </c>
      <c r="AJ40" s="665">
        <f>INPUT!CG690</f>
        <v>6.6485782041147692</v>
      </c>
      <c r="AK40" s="635" t="str">
        <f>INPUT!CH690</f>
        <v>NM</v>
      </c>
      <c r="AL40" s="665">
        <f>INPUT!CI690</f>
        <v>14.789035150572193</v>
      </c>
      <c r="AM40" s="635">
        <f>INPUT!CJ690</f>
        <v>2.6485287310751744</v>
      </c>
      <c r="AN40" s="665">
        <f>INPUT!CK690</f>
        <v>12.452039080732566</v>
      </c>
      <c r="AO40" s="635">
        <f>INPUT!CL690</f>
        <v>33.837144556013328</v>
      </c>
      <c r="AP40" s="665">
        <f>INPUT!CM690</f>
        <v>12.44104525175271</v>
      </c>
      <c r="AQ40" s="635">
        <f>INPUT!CN690</f>
        <v>15.854804015296381</v>
      </c>
      <c r="AR40" s="665">
        <f>INPUT!CO690</f>
        <v>11.924593488302229</v>
      </c>
      <c r="AS40" s="635">
        <f>INPUT!CP690</f>
        <v>79.35554222588766</v>
      </c>
      <c r="AT40" s="665">
        <f>INPUT!CQ690</f>
        <v>6.3738902634259933</v>
      </c>
      <c r="AU40" s="635" t="str">
        <f>INPUT!CR690</f>
        <v>NM</v>
      </c>
      <c r="AV40" s="665">
        <f>INPUT!CS690</f>
        <v>13.110536150639643</v>
      </c>
      <c r="AW40" s="635">
        <f>INPUT!CT690</f>
        <v>5.2882669708770038</v>
      </c>
      <c r="AX40" s="665">
        <f>INPUT!CU690</f>
        <v>12.167644408481525</v>
      </c>
      <c r="AY40" s="635">
        <f>INPUT!CV690</f>
        <v>-2.1975713273180872</v>
      </c>
      <c r="AZ40" s="665">
        <f>INPUT!CW690</f>
        <v>9.8575663364904926</v>
      </c>
      <c r="BA40" s="635">
        <f>INPUT!CX690</f>
        <v>-17.334151925928921</v>
      </c>
      <c r="BB40" s="665">
        <f>INPUT!CY690</f>
        <v>10.985652012777297</v>
      </c>
      <c r="BC40" s="635">
        <f>INPUT!CZ690</f>
        <v>72.35395588490195</v>
      </c>
      <c r="BD40" s="665">
        <f>INPUT!DA690</f>
        <v>12.139947628745999</v>
      </c>
      <c r="BE40" s="635">
        <f>INPUT!DB690</f>
        <v>-7.4031184593949035</v>
      </c>
      <c r="BF40" s="665">
        <f>INPUT!DC690</f>
        <v>16.106025002349845</v>
      </c>
      <c r="BG40" s="635">
        <f>INPUT!DD690</f>
        <v>32.367650316301564</v>
      </c>
      <c r="BH40" s="665">
        <f>INPUT!DE690</f>
        <v>16.954310779861032</v>
      </c>
      <c r="BI40" s="635">
        <f>INPUT!DF690</f>
        <v>71.992865187221611</v>
      </c>
      <c r="BJ40" s="665">
        <f>INPUT!DG690</f>
        <v>21.351188274909006</v>
      </c>
      <c r="BK40" s="635">
        <f>INPUT!DH690</f>
        <v>94.355221247456797</v>
      </c>
      <c r="BL40" s="665">
        <f>INPUT!DI690</f>
        <v>16.288157715309843</v>
      </c>
      <c r="BM40" s="635">
        <f>INPUT!DJ690</f>
        <v>34.169917477579219</v>
      </c>
      <c r="BN40" s="665">
        <f>INPUT!DK690</f>
        <v>17.659872413256576</v>
      </c>
      <c r="BO40" s="635">
        <f>INPUT!DL690</f>
        <v>9.6476157877566209</v>
      </c>
      <c r="BP40" s="665">
        <f>INPUT!DM690</f>
        <v>17.743155347148694</v>
      </c>
      <c r="BQ40" s="635">
        <f>INPUT!DN690</f>
        <v>4.6527669424620797</v>
      </c>
      <c r="BR40" s="665">
        <f>INPUT!DO690</f>
        <v>15.3748648547888</v>
      </c>
      <c r="BS40" s="635">
        <f>INPUT!DP690</f>
        <v>-27.990589297286675</v>
      </c>
      <c r="BT40" s="665">
        <f>INPUT!DQ690</f>
        <v>15.222996113441337</v>
      </c>
      <c r="BU40" s="635">
        <f>INPUT!DR690</f>
        <v>-6.5394848237951493</v>
      </c>
      <c r="BV40" s="665">
        <f>INPUT!DS690</f>
        <v>19.815281276238455</v>
      </c>
      <c r="BW40" s="635">
        <f>INPUT!DT690</f>
        <v>12.205121376550252</v>
      </c>
      <c r="BX40" s="665">
        <f>INPUT!DU690</f>
        <v>19.416777534069254</v>
      </c>
      <c r="BY40" s="635">
        <f>INPUT!DV690</f>
        <v>9.4324946954235571</v>
      </c>
      <c r="BZ40" s="665">
        <f>INPUT!DW690</f>
        <v>15.423628721297808</v>
      </c>
      <c r="CA40" s="635">
        <f>INPUT!DX690</f>
        <v>0.31716614727719161</v>
      </c>
      <c r="CB40" s="665">
        <f>INPUT!DY690</f>
        <v>12.109680269104006</v>
      </c>
      <c r="CC40" s="635">
        <f>INPUT!DZ690</f>
        <v>-20.451400112940902</v>
      </c>
      <c r="CD40" s="665">
        <f>INPUT!EA690</f>
        <v>13.342031749217979</v>
      </c>
      <c r="CE40" s="635">
        <f>INPUT!EB690</f>
        <v>-32.667966892717743</v>
      </c>
      <c r="CF40" s="665">
        <f>INPUT!EC690</f>
        <v>10.933430050446766</v>
      </c>
      <c r="CG40" s="635">
        <f>INPUT!ED690</f>
        <v>-43.690810530930555</v>
      </c>
      <c r="CH40" s="665">
        <f>INPUT!EE690</f>
        <v>15.248112537910563</v>
      </c>
      <c r="CI40" s="635">
        <f>INPUT!EF690</f>
        <v>-1.1379694529659048</v>
      </c>
      <c r="CJ40" s="665">
        <f>INPUT!EG690</f>
        <v>13.782112577293301</v>
      </c>
      <c r="CK40" s="635">
        <f>INPUT!EH690</f>
        <v>13.810705741391445</v>
      </c>
      <c r="CL40" s="665">
        <f>INPUT!EI690</f>
        <v>15.486802454916933</v>
      </c>
      <c r="CM40" s="635">
        <f>INPUT!EJ690</f>
        <v>16.075293073895352</v>
      </c>
      <c r="CN40" s="665">
        <f>INPUT!EK690</f>
        <v>11.385329243417468</v>
      </c>
      <c r="CO40" s="635">
        <f>INPUT!EL690</f>
        <v>4.133187763452483</v>
      </c>
      <c r="CP40" s="665">
        <f>INPUT!EM690</f>
        <v>15.925414154911399</v>
      </c>
      <c r="CQ40" s="635">
        <f>INPUT!EN690</f>
        <v>4.4418718403139934</v>
      </c>
      <c r="CR40" s="665">
        <f>INPUT!EO690</f>
        <v>13.135509396636994</v>
      </c>
      <c r="CS40" s="635">
        <f>INPUT!EP690</f>
        <v>-4.6916115147805186</v>
      </c>
      <c r="CT40" s="665">
        <f>INPUT!EQ690</f>
        <v>14.074218974261111</v>
      </c>
      <c r="CU40" s="635">
        <f>INPUT!ER690</f>
        <v>-9.1212081045647864</v>
      </c>
      <c r="CV40" s="665">
        <f>INPUT!ES690</f>
        <v>13.851816461538952</v>
      </c>
      <c r="CW40" s="635">
        <f>INPUT!ET690</f>
        <v>21.663732030828228</v>
      </c>
      <c r="CX40" s="665">
        <f>INPUT!EU690</f>
        <v>13.622507077419744</v>
      </c>
      <c r="CY40" s="635">
        <f>INPUT!EV690</f>
        <v>-14.46057889038596</v>
      </c>
      <c r="CZ40" s="665">
        <f>INPUT!EW690</f>
        <v>12.236518640438623</v>
      </c>
      <c r="DA40" s="635">
        <f>INPUT!EX690</f>
        <v>-6.8439733020824747</v>
      </c>
      <c r="DB40" s="671"/>
      <c r="DC40" s="665">
        <f>INPUT!FP690</f>
        <v>10.35329761129751</v>
      </c>
      <c r="DD40" s="635">
        <f>INPUT!FQ690</f>
        <v>22.398196803238449</v>
      </c>
      <c r="DE40" s="665">
        <f>INPUT!FR690</f>
        <v>10.91782462865357</v>
      </c>
      <c r="DF40" s="635">
        <f>INPUT!FS690</f>
        <v>5.4526300561479815</v>
      </c>
      <c r="DG40" s="665">
        <f>INPUT!FT690</f>
        <v>12.93313857607313</v>
      </c>
      <c r="DH40" s="635">
        <f>INPUT!FU690</f>
        <v>18.458933129686102</v>
      </c>
      <c r="DI40" s="665">
        <f>INPUT!FV690</f>
        <v>-3.3434687722223586</v>
      </c>
      <c r="DJ40" s="635" t="str">
        <f>INPUT!FW690</f>
        <v>NM</v>
      </c>
      <c r="DK40" s="665">
        <f>INPUT!FX690</f>
        <v>4.913798947059222</v>
      </c>
      <c r="DL40" s="635" t="str">
        <f>INPUT!FY690</f>
        <v>NM</v>
      </c>
      <c r="DM40" s="665">
        <f>INPUT!FZ690</f>
        <v>8.0603988150857866</v>
      </c>
      <c r="DN40" s="635">
        <f>INPUT!GA690</f>
        <v>64.035991336391987</v>
      </c>
      <c r="DO40" s="665">
        <f>INPUT!GB690</f>
        <v>9.1275721708465412</v>
      </c>
      <c r="DP40" s="635">
        <f>INPUT!GC690</f>
        <v>13.239709104262204</v>
      </c>
      <c r="DQ40" s="665">
        <f>INPUT!GD690</f>
        <v>9.4674556213017755</v>
      </c>
      <c r="DR40" s="635">
        <f>INPUT!GE690</f>
        <v>3.7237004988119651</v>
      </c>
      <c r="DS40" s="665">
        <f>INPUT!GF690</f>
        <v>18.277740609767754</v>
      </c>
      <c r="DT40" s="635">
        <f>INPUT!GG690</f>
        <v>93.058635190671907</v>
      </c>
      <c r="DU40" s="665">
        <f>INPUT!GH690</f>
        <v>16.845906583594587</v>
      </c>
      <c r="DV40" s="635">
        <f>INPUT!GI690</f>
        <v>-7.8337583224481477</v>
      </c>
      <c r="DW40" s="665">
        <f>INPUT!GJ690</f>
        <v>16.996928926586722</v>
      </c>
      <c r="DX40" s="635">
        <f>INPUT!GK690</f>
        <v>0.89649282003740893</v>
      </c>
      <c r="DY40" s="665">
        <f>INPUT!GL690</f>
        <v>13.438624747317041</v>
      </c>
      <c r="DZ40" s="635">
        <f>INPUT!GM690</f>
        <v>-20.934982988037063</v>
      </c>
      <c r="EA40" s="665">
        <f>INPUT!GN690</f>
        <v>13.52345501707285</v>
      </c>
      <c r="EB40" s="635">
        <f>INPUT!GO690</f>
        <v>0.63124219442724439</v>
      </c>
      <c r="EC40" s="665">
        <f>INPUT!GP690</f>
        <v>13.621637376011941</v>
      </c>
      <c r="ED40" s="635">
        <f>INPUT!GQ690</f>
        <v>0.72601534752132579</v>
      </c>
      <c r="EE40" s="665">
        <f>INPUT!GR690</f>
        <v>13.213734891830779</v>
      </c>
      <c r="EF40" s="635">
        <f>INPUT!GS690</f>
        <v>-2.9945187419207713</v>
      </c>
      <c r="EG40" s="665">
        <f>INPUT!GT690</f>
        <v>12.921901813803997</v>
      </c>
      <c r="EH40" s="635">
        <f>INPUT!GU690</f>
        <v>-2.2085585976694802</v>
      </c>
      <c r="EI40" s="665">
        <f>INPUT!GV690</f>
        <v>12.704386112837597</v>
      </c>
      <c r="EJ40" s="635">
        <f>INPUT!GW690</f>
        <v>-1.6833102750714062</v>
      </c>
      <c r="EK40" s="665">
        <f>INPUT!GX690</f>
        <v>12.508518816983161</v>
      </c>
      <c r="EL40" s="635">
        <f>INPUT!GY690</f>
        <v>-1.5417297153501579</v>
      </c>
      <c r="EM40" s="635">
        <f>INPUT!GZ690</f>
        <v>-1.5482035567239816</v>
      </c>
    </row>
    <row r="41" spans="1:143" s="632" customFormat="1" ht="12.75" customHeight="1" x14ac:dyDescent="0.2">
      <c r="A41" s="670" t="str">
        <f>INPUT!B692</f>
        <v>Reported ROE (Excl FAS 115)(%)</v>
      </c>
      <c r="B41" s="665">
        <f>INPUT!AY692</f>
        <v>11.826575866999491</v>
      </c>
      <c r="C41" s="635">
        <f>INPUT!AZ692</f>
        <v>-43.976301229844154</v>
      </c>
      <c r="D41" s="665">
        <f>INPUT!BA692</f>
        <v>7.8216887297016049</v>
      </c>
      <c r="E41" s="635" t="str">
        <f>INPUT!BB692</f>
        <v>NM</v>
      </c>
      <c r="F41" s="665">
        <f>INPUT!BC692</f>
        <v>19.695955636294102</v>
      </c>
      <c r="G41" s="635">
        <f>INPUT!BD692</f>
        <v>-36.214764836281432</v>
      </c>
      <c r="H41" s="665">
        <f>INPUT!BE692</f>
        <v>13.91599490878235</v>
      </c>
      <c r="I41" s="635">
        <f>INPUT!BF692</f>
        <v>20.689365012020914</v>
      </c>
      <c r="J41" s="665">
        <f>INPUT!BG692</f>
        <v>13.737581523644776</v>
      </c>
      <c r="K41" s="635">
        <f>INPUT!BH692</f>
        <v>16.158570985687376</v>
      </c>
      <c r="L41" s="665">
        <f>INPUT!BI692</f>
        <v>11.441731920773837</v>
      </c>
      <c r="M41" s="635">
        <f>INPUT!BJ692</f>
        <v>46.28211779031426</v>
      </c>
      <c r="N41" s="665">
        <f>INPUT!BK692</f>
        <v>13.343592993255783</v>
      </c>
      <c r="O41" s="635">
        <f>INPUT!BL692</f>
        <v>-32.252116933756199</v>
      </c>
      <c r="P41" s="665">
        <f>INPUT!BM692</f>
        <v>13.356879113822442</v>
      </c>
      <c r="Q41" s="635">
        <f>INPUT!BN692</f>
        <v>-4.0177924656112936</v>
      </c>
      <c r="R41" s="665">
        <f>INPUT!BO692</f>
        <v>0.36628359507348562</v>
      </c>
      <c r="S41" s="635" t="str">
        <f>INPUT!BP692</f>
        <v>NM</v>
      </c>
      <c r="T41" s="665">
        <f>INPUT!BQ692</f>
        <v>9.4638057893113618</v>
      </c>
      <c r="U41" s="635">
        <f>INPUT!BR692</f>
        <v>-17.286946986332666</v>
      </c>
      <c r="V41" s="665">
        <f>INPUT!BS692</f>
        <v>-0.11955338272026644</v>
      </c>
      <c r="W41" s="635" t="str">
        <f>INPUT!BT692</f>
        <v>NM</v>
      </c>
      <c r="X41" s="665">
        <f>INPUT!BU692</f>
        <v>-23.628069852094178</v>
      </c>
      <c r="Y41" s="635" t="str">
        <f>INPUT!BV692</f>
        <v>NM</v>
      </c>
      <c r="Z41" s="665">
        <f>INPUT!BW692</f>
        <v>-0.36210928659441244</v>
      </c>
      <c r="AA41" s="635" t="str">
        <f>INPUT!BX692</f>
        <v>NM</v>
      </c>
      <c r="AB41" s="665">
        <f>INPUT!BY692</f>
        <v>9.8227752639517352</v>
      </c>
      <c r="AC41" s="635">
        <f>INPUT!BZ692</f>
        <v>3.793077358432285</v>
      </c>
      <c r="AD41" s="665">
        <f>INPUT!CA692</f>
        <v>17.72819116225951</v>
      </c>
      <c r="AE41" s="635" t="str">
        <f>INPUT!CB692</f>
        <v>NM</v>
      </c>
      <c r="AF41" s="665">
        <f>INPUT!CC692</f>
        <v>6.0084051096409103</v>
      </c>
      <c r="AG41" s="635" t="str">
        <f>INPUT!CD692</f>
        <v>NM</v>
      </c>
      <c r="AH41" s="665">
        <f>INPUT!CE692</f>
        <v>7.5169361773527132</v>
      </c>
      <c r="AI41" s="635" t="str">
        <f>INPUT!CF692</f>
        <v>NM</v>
      </c>
      <c r="AJ41" s="665">
        <f>INPUT!CG692</f>
        <v>14.203003824214328</v>
      </c>
      <c r="AK41" s="635">
        <f>INPUT!CH692</f>
        <v>44.592576360139702</v>
      </c>
      <c r="AL41" s="665">
        <f>INPUT!CI692</f>
        <v>17.343951522099619</v>
      </c>
      <c r="AM41" s="635">
        <f>INPUT!CJ692</f>
        <v>-2.1673933716253941</v>
      </c>
      <c r="AN41" s="665">
        <f>INPUT!CK692</f>
        <v>0.93350737708160281</v>
      </c>
      <c r="AO41" s="635" t="str">
        <f>INPUT!CL692</f>
        <v>NM</v>
      </c>
      <c r="AP41" s="665">
        <f>INPUT!CM692</f>
        <v>6.8910906387005806</v>
      </c>
      <c r="AQ41" s="635">
        <f>INPUT!CN692</f>
        <v>-8.325806204630311</v>
      </c>
      <c r="AR41" s="665">
        <f>INPUT!CO692</f>
        <v>11.746592061286568</v>
      </c>
      <c r="AS41" s="635">
        <f>INPUT!CP692</f>
        <v>-17.29501585249092</v>
      </c>
      <c r="AT41" s="665">
        <f>INPUT!CQ692</f>
        <v>22.034638335031289</v>
      </c>
      <c r="AU41" s="635">
        <f>INPUT!CR692</f>
        <v>27.045087199158786</v>
      </c>
      <c r="AV41" s="665">
        <f>INPUT!CS692</f>
        <v>7.4026160701451778</v>
      </c>
      <c r="AW41" s="635" t="str">
        <f>INPUT!CT692</f>
        <v>NM</v>
      </c>
      <c r="AX41" s="665">
        <f>INPUT!CU692</f>
        <v>-13.888224800926864</v>
      </c>
      <c r="AY41" s="635" t="str">
        <f>INPUT!CV692</f>
        <v>NM</v>
      </c>
      <c r="AZ41" s="665">
        <f>INPUT!CW692</f>
        <v>32.28978381895741</v>
      </c>
      <c r="BA41" s="635" t="str">
        <f>INPUT!CX692</f>
        <v>NM</v>
      </c>
      <c r="BB41" s="665">
        <f>INPUT!CY692</f>
        <v>-9.0076416709316494</v>
      </c>
      <c r="BC41" s="635" t="str">
        <f>INPUT!CZ692</f>
        <v>NM</v>
      </c>
      <c r="BD41" s="665">
        <f>INPUT!DA692</f>
        <v>-2.5312772766947917</v>
      </c>
      <c r="BE41" s="635" t="str">
        <f>INPUT!DB692</f>
        <v>NM</v>
      </c>
      <c r="BF41" s="665">
        <f>INPUT!DC692</f>
        <v>-11.234138546855906</v>
      </c>
      <c r="BG41" s="635">
        <f>INPUT!DD692</f>
        <v>-19.110334777226754</v>
      </c>
      <c r="BH41" s="665">
        <f>INPUT!DE692</f>
        <v>-7.717091727805597</v>
      </c>
      <c r="BI41" s="635" t="str">
        <f>INPUT!DF692</f>
        <v>NM</v>
      </c>
      <c r="BJ41" s="665">
        <f>INPUT!DG692</f>
        <v>15.072892539463185</v>
      </c>
      <c r="BK41" s="635" t="str">
        <f>INPUT!DH692</f>
        <v>NM</v>
      </c>
      <c r="BL41" s="665">
        <f>INPUT!DI692</f>
        <v>-6.1714686459002976</v>
      </c>
      <c r="BM41" s="635" t="str">
        <f>INPUT!DJ692</f>
        <v>NM</v>
      </c>
      <c r="BN41" s="665">
        <f>INPUT!DK692</f>
        <v>19.169130231834451</v>
      </c>
      <c r="BO41" s="635" t="str">
        <f>INPUT!DL692</f>
        <v>NM</v>
      </c>
      <c r="BP41" s="665">
        <f>INPUT!DM692</f>
        <v>16.064135531689608</v>
      </c>
      <c r="BQ41" s="635" t="str">
        <f>INPUT!DN692</f>
        <v>NM</v>
      </c>
      <c r="BR41" s="665">
        <f>INPUT!DO692</f>
        <v>7.0238228386086563</v>
      </c>
      <c r="BS41" s="635" t="str">
        <f>INPUT!DP692</f>
        <v>NM</v>
      </c>
      <c r="BT41" s="665">
        <f>INPUT!DQ692</f>
        <v>-18.501558471543465</v>
      </c>
      <c r="BU41" s="635" t="str">
        <f>INPUT!DR692</f>
        <v>NM</v>
      </c>
      <c r="BV41" s="665">
        <f>INPUT!DS692</f>
        <v>31.280054957636821</v>
      </c>
      <c r="BW41" s="635">
        <f>INPUT!DT692</f>
        <v>63.179312672671927</v>
      </c>
      <c r="BX41" s="665">
        <f>INPUT!DU692</f>
        <v>20.855057351407716</v>
      </c>
      <c r="BY41" s="635">
        <f>INPUT!DV692</f>
        <v>29.823713889036185</v>
      </c>
      <c r="BZ41" s="665">
        <f>INPUT!DW692</f>
        <v>20.356410879911071</v>
      </c>
      <c r="CA41" s="635" t="str">
        <f>INPUT!DX692</f>
        <v>NM</v>
      </c>
      <c r="CB41" s="665">
        <f>INPUT!DY692</f>
        <v>9.9622846658285482</v>
      </c>
      <c r="CC41" s="635" t="str">
        <f>INPUT!DZ692</f>
        <v>NM</v>
      </c>
      <c r="CD41" s="665">
        <f>INPUT!EA692</f>
        <v>18.253291179471738</v>
      </c>
      <c r="CE41" s="635">
        <f>INPUT!EB692</f>
        <v>-41.645591082904041</v>
      </c>
      <c r="CF41" s="665">
        <f>INPUT!EC692</f>
        <v>12.001714530647236</v>
      </c>
      <c r="CG41" s="635">
        <f>INPUT!ED692</f>
        <v>-42.451778825546505</v>
      </c>
      <c r="CH41" s="665">
        <f>INPUT!EE692</f>
        <v>23.410982770858876</v>
      </c>
      <c r="CI41" s="635">
        <f>INPUT!EF692</f>
        <v>15.005454099780621</v>
      </c>
      <c r="CJ41" s="665">
        <f>INPUT!EG692</f>
        <v>3.5953337158156433</v>
      </c>
      <c r="CK41" s="635" t="str">
        <f>INPUT!EH692</f>
        <v>NM</v>
      </c>
      <c r="CL41" s="665">
        <f>INPUT!EI692</f>
        <v>17.001404161999275</v>
      </c>
      <c r="CM41" s="635">
        <f>INPUT!EJ692</f>
        <v>-6.8584180527420529</v>
      </c>
      <c r="CN41" s="665">
        <f>INPUT!EK692</f>
        <v>6.0165361319153572</v>
      </c>
      <c r="CO41" s="635">
        <f>INPUT!EL692</f>
        <v>-49.869361443719541</v>
      </c>
      <c r="CP41" s="665">
        <f>INPUT!EM692</f>
        <v>26.979668068694291</v>
      </c>
      <c r="CQ41" s="635">
        <f>INPUT!EN692</f>
        <v>15.243637282402275</v>
      </c>
      <c r="CR41" s="665">
        <f>INPUT!EO692</f>
        <v>43.792567472092699</v>
      </c>
      <c r="CS41" s="635" t="str">
        <f>INPUT!EP692</f>
        <v>NM</v>
      </c>
      <c r="CT41" s="665">
        <f>INPUT!EQ692</f>
        <v>23.016783419549782</v>
      </c>
      <c r="CU41" s="635">
        <f>INPUT!ER692</f>
        <v>35.381661421800629</v>
      </c>
      <c r="CV41" s="665">
        <f>INPUT!ES692</f>
        <v>9.9810419692480412</v>
      </c>
      <c r="CW41" s="635">
        <f>INPUT!ET692</f>
        <v>65.893493372416401</v>
      </c>
      <c r="CX41" s="665">
        <f>INPUT!EU692</f>
        <v>9.7100798488617084</v>
      </c>
      <c r="CY41" s="635" t="str">
        <f>INPUT!EV692</f>
        <v>NM</v>
      </c>
      <c r="CZ41" s="665">
        <f>INPUT!EW692</f>
        <v>8.2744011152655421</v>
      </c>
      <c r="DA41" s="635" t="str">
        <f>INPUT!EX692</f>
        <v>NM</v>
      </c>
      <c r="DB41" s="671"/>
      <c r="DC41" s="665">
        <f>INPUT!FP692</f>
        <v>-18.653913566027342</v>
      </c>
      <c r="DD41" s="635" t="str">
        <f>INPUT!FQ692</f>
        <v>NM</v>
      </c>
      <c r="DE41" s="665">
        <f>INPUT!FR692</f>
        <v>-12.127455678006708</v>
      </c>
      <c r="DF41" s="635">
        <f>INPUT!FS692</f>
        <v>-34.987070487485653</v>
      </c>
      <c r="DG41" s="665">
        <f>INPUT!FT692</f>
        <v>-11.795693351552559</v>
      </c>
      <c r="DH41" s="635">
        <f>INPUT!FU692</f>
        <v>-2.7356300881462232</v>
      </c>
      <c r="DI41" s="665">
        <f>INPUT!FV692</f>
        <v>-19.582648782521272</v>
      </c>
      <c r="DJ41" s="635">
        <f>INPUT!FW692</f>
        <v>66.015241316389307</v>
      </c>
      <c r="DK41" s="665">
        <f>INPUT!FX692</f>
        <v>-3.398332467180333</v>
      </c>
      <c r="DL41" s="635" t="str">
        <f>INPUT!FY692</f>
        <v>NM</v>
      </c>
      <c r="DM41" s="665">
        <f>INPUT!FZ692</f>
        <v>9.1453110399809134E-2</v>
      </c>
      <c r="DN41" s="635" t="str">
        <f>INPUT!GA692</f>
        <v>NM</v>
      </c>
      <c r="DO41" s="665">
        <f>INPUT!GB692</f>
        <v>-1.8982949109939788</v>
      </c>
      <c r="DP41" s="635" t="str">
        <f>INPUT!GC692</f>
        <v>NM</v>
      </c>
      <c r="DQ41" s="665">
        <f>INPUT!GD692</f>
        <v>1.2491781722550954</v>
      </c>
      <c r="DR41" s="635" t="str">
        <f>INPUT!GE692</f>
        <v>NM</v>
      </c>
      <c r="DS41" s="665">
        <f>INPUT!GF692</f>
        <v>10.907005638918092</v>
      </c>
      <c r="DT41" s="635" t="str">
        <f>INPUT!GG692</f>
        <v>NM</v>
      </c>
      <c r="DU41" s="665">
        <f>INPUT!GH692</f>
        <v>12.93702131036946</v>
      </c>
      <c r="DV41" s="635">
        <f>INPUT!GI692</f>
        <v>18.612034674374044</v>
      </c>
      <c r="DW41" s="665">
        <f>INPUT!GJ692</f>
        <v>20.828458613629717</v>
      </c>
      <c r="DX41" s="635">
        <f>INPUT!GK692</f>
        <v>60.998873805170319</v>
      </c>
      <c r="DY41" s="665">
        <f>INPUT!GL692</f>
        <v>14.36389633013953</v>
      </c>
      <c r="DZ41" s="635">
        <f>INPUT!GM692</f>
        <v>-31.037161238901803</v>
      </c>
      <c r="EA41" s="665">
        <f>INPUT!GN692</f>
        <v>23.227867579172589</v>
      </c>
      <c r="EB41" s="635">
        <f>INPUT!GO692</f>
        <v>61.710075353537121</v>
      </c>
      <c r="EC41" s="665">
        <f>INPUT!GP692</f>
        <v>12.848149935623987</v>
      </c>
      <c r="ED41" s="635">
        <f>INPUT!GQ692</f>
        <v>-44.686485352859684</v>
      </c>
      <c r="EE41" s="665">
        <f>INPUT!GR692</f>
        <v>11.30451515185432</v>
      </c>
      <c r="EF41" s="635">
        <f>INPUT!GS692</f>
        <v>-12.014451819943659</v>
      </c>
      <c r="EG41" s="665">
        <f>INPUT!GT692</f>
        <v>10.976437387637745</v>
      </c>
      <c r="EH41" s="635">
        <f>INPUT!GU692</f>
        <v>-2.9021834179483506</v>
      </c>
      <c r="EI41" s="665">
        <f>INPUT!GV692</f>
        <v>10.71372928923363</v>
      </c>
      <c r="EJ41" s="635">
        <f>INPUT!GW692</f>
        <v>-2.3933821979433105</v>
      </c>
      <c r="EK41" s="665">
        <f>INPUT!GX692</f>
        <v>10.465684282603879</v>
      </c>
      <c r="EL41" s="635">
        <f>INPUT!GY692</f>
        <v>-2.3152069641988646</v>
      </c>
      <c r="EM41" s="635">
        <f>INPUT!GZ692</f>
        <v>-14.738757442968298</v>
      </c>
    </row>
    <row r="42" spans="1:143" s="632" customFormat="1" ht="12.75" customHeight="1" x14ac:dyDescent="0.2">
      <c r="A42" s="670" t="str">
        <f>INPUT!B693</f>
        <v>Reported ROE (Incl FAS 115)(%)</v>
      </c>
      <c r="B42" s="665">
        <f>INPUT!AY693</f>
        <v>11.379800853485063</v>
      </c>
      <c r="C42" s="635">
        <f>INPUT!AZ693</f>
        <v>-41.766310796407737</v>
      </c>
      <c r="D42" s="665">
        <f>INPUT!BA693</f>
        <v>7.7593450651813791</v>
      </c>
      <c r="E42" s="635" t="str">
        <f>INPUT!BB693</f>
        <v>NM</v>
      </c>
      <c r="F42" s="665">
        <f>INPUT!BC693</f>
        <v>19.398733432210371</v>
      </c>
      <c r="G42" s="635">
        <f>INPUT!BD693</f>
        <v>-31.873640291451551</v>
      </c>
      <c r="H42" s="665">
        <f>INPUT!BE693</f>
        <v>13.497016665523626</v>
      </c>
      <c r="I42" s="635">
        <f>INPUT!BF693</f>
        <v>24.135998902681564</v>
      </c>
      <c r="J42" s="665">
        <f>INPUT!BG693</f>
        <v>13.370037538391536</v>
      </c>
      <c r="K42" s="635">
        <f>INPUT!BH693</f>
        <v>17.48920486861563</v>
      </c>
      <c r="L42" s="665">
        <f>INPUT!BI693</f>
        <v>11.295273173726212</v>
      </c>
      <c r="M42" s="635">
        <f>INPUT!BJ693</f>
        <v>45.569929921168892</v>
      </c>
      <c r="N42" s="665">
        <f>INPUT!BK693</f>
        <v>13.470721286755467</v>
      </c>
      <c r="O42" s="635">
        <f>INPUT!BL693</f>
        <v>-30.558758726030106</v>
      </c>
      <c r="P42" s="665">
        <f>INPUT!BM693</f>
        <v>13.308349709793884</v>
      </c>
      <c r="Q42" s="635">
        <f>INPUT!BN693</f>
        <v>-1.3978419113289391</v>
      </c>
      <c r="R42" s="665">
        <f>INPUT!BO693</f>
        <v>0.3664010259228726</v>
      </c>
      <c r="S42" s="635" t="str">
        <f>INPUT!BP693</f>
        <v>NM</v>
      </c>
      <c r="T42" s="665">
        <f>INPUT!BQ693</f>
        <v>9.8329137102311748</v>
      </c>
      <c r="U42" s="635">
        <f>INPUT!BR693</f>
        <v>-12.946649815398999</v>
      </c>
      <c r="V42" s="665">
        <f>INPUT!BS693</f>
        <v>-0.13009036634376378</v>
      </c>
      <c r="W42" s="635" t="str">
        <f>INPUT!BT693</f>
        <v>NM</v>
      </c>
      <c r="X42" s="665">
        <f>INPUT!BU693</f>
        <v>-28.804134134696401</v>
      </c>
      <c r="Y42" s="635" t="str">
        <f>INPUT!BV693</f>
        <v>NM</v>
      </c>
      <c r="Z42" s="665">
        <f>INPUT!BW693</f>
        <v>-0.50277574107049339</v>
      </c>
      <c r="AA42" s="635" t="str">
        <f>INPUT!BX693</f>
        <v>NM</v>
      </c>
      <c r="AB42" s="665">
        <f>INPUT!BY693</f>
        <v>12.61883136542537</v>
      </c>
      <c r="AC42" s="635">
        <f>INPUT!BZ693</f>
        <v>28.332575036181197</v>
      </c>
      <c r="AD42" s="665">
        <f>INPUT!CA693</f>
        <v>19.255725190839694</v>
      </c>
      <c r="AE42" s="635" t="str">
        <f>INPUT!CB693</f>
        <v>NM</v>
      </c>
      <c r="AF42" s="665">
        <f>INPUT!CC693</f>
        <v>6.0937269216972973</v>
      </c>
      <c r="AG42" s="635" t="str">
        <f>INPUT!CD693</f>
        <v>NM</v>
      </c>
      <c r="AH42" s="665">
        <f>INPUT!CE693</f>
        <v>7.5587894126331321</v>
      </c>
      <c r="AI42" s="635" t="str">
        <f>INPUT!CF693</f>
        <v>NM</v>
      </c>
      <c r="AJ42" s="665">
        <f>INPUT!CG693</f>
        <v>13.533375404596626</v>
      </c>
      <c r="AK42" s="635">
        <f>INPUT!CH693</f>
        <v>7.2474543219353649</v>
      </c>
      <c r="AL42" s="665">
        <f>INPUT!CI693</f>
        <v>15.308445665136786</v>
      </c>
      <c r="AM42" s="635">
        <f>INPUT!CJ693</f>
        <v>-20.499251451618676</v>
      </c>
      <c r="AN42" s="665">
        <f>INPUT!CK693</f>
        <v>0.81675030282055716</v>
      </c>
      <c r="AO42" s="635" t="str">
        <f>INPUT!CL693</f>
        <v>NM</v>
      </c>
      <c r="AP42" s="665">
        <f>INPUT!CM693</f>
        <v>6.2804738518948797</v>
      </c>
      <c r="AQ42" s="635">
        <f>INPUT!CN693</f>
        <v>-16.911644060380652</v>
      </c>
      <c r="AR42" s="665">
        <f>INPUT!CO693</f>
        <v>10.557758838916548</v>
      </c>
      <c r="AS42" s="635">
        <f>INPUT!CP693</f>
        <v>-21.987246172668833</v>
      </c>
      <c r="AT42" s="665">
        <f>INPUT!CQ693</f>
        <v>19.027570497211531</v>
      </c>
      <c r="AU42" s="635">
        <f>INPUT!CR693</f>
        <v>24.294594718682788</v>
      </c>
      <c r="AV42" s="665">
        <f>INPUT!CS693</f>
        <v>6.2692108706899177</v>
      </c>
      <c r="AW42" s="635" t="str">
        <f>INPUT!CT693</f>
        <v>NM</v>
      </c>
      <c r="AX42" s="665">
        <f>INPUT!CU693</f>
        <v>-11.383094175810925</v>
      </c>
      <c r="AY42" s="635" t="str">
        <f>INPUT!CV693</f>
        <v>NM</v>
      </c>
      <c r="AZ42" s="665">
        <f>INPUT!CW693</f>
        <v>25.476326297775241</v>
      </c>
      <c r="BA42" s="635" t="str">
        <f>INPUT!CX693</f>
        <v>NM</v>
      </c>
      <c r="BB42" s="665">
        <f>INPUT!CY693</f>
        <v>-6.9176763980374618</v>
      </c>
      <c r="BC42" s="635" t="str">
        <f>INPUT!CZ693</f>
        <v>NM</v>
      </c>
      <c r="BD42" s="665">
        <f>INPUT!DA693</f>
        <v>-1.8761372060111869</v>
      </c>
      <c r="BE42" s="635" t="str">
        <f>INPUT!DB693</f>
        <v>NM</v>
      </c>
      <c r="BF42" s="665">
        <f>INPUT!DC693</f>
        <v>-7.9259396800976152</v>
      </c>
      <c r="BG42" s="635">
        <f>INPUT!DD693</f>
        <v>-30.37095575524414</v>
      </c>
      <c r="BH42" s="665">
        <f>INPUT!DE693</f>
        <v>-5.517547633255159</v>
      </c>
      <c r="BI42" s="635" t="str">
        <f>INPUT!DF693</f>
        <v>NM</v>
      </c>
      <c r="BJ42" s="665">
        <f>INPUT!DG693</f>
        <v>11.647389715282687</v>
      </c>
      <c r="BK42" s="635" t="str">
        <f>INPUT!DH693</f>
        <v>NM</v>
      </c>
      <c r="BL42" s="665">
        <f>INPUT!DI693</f>
        <v>-4.7494115706939715</v>
      </c>
      <c r="BM42" s="635" t="str">
        <f>INPUT!DJ693</f>
        <v>NM</v>
      </c>
      <c r="BN42" s="665">
        <f>INPUT!DK693</f>
        <v>13.949472790319156</v>
      </c>
      <c r="BO42" s="635" t="str">
        <f>INPUT!DL693</f>
        <v>NM</v>
      </c>
      <c r="BP42" s="665">
        <f>INPUT!DM693</f>
        <v>11.115617599727866</v>
      </c>
      <c r="BQ42" s="635" t="str">
        <f>INPUT!DN693</f>
        <v>NM</v>
      </c>
      <c r="BR42" s="665">
        <f>INPUT!DO693</f>
        <v>4.7179024866651638</v>
      </c>
      <c r="BS42" s="635" t="str">
        <f>INPUT!DP693</f>
        <v>NM</v>
      </c>
      <c r="BT42" s="665">
        <f>INPUT!DQ693</f>
        <v>-11.844698462751282</v>
      </c>
      <c r="BU42" s="635" t="str">
        <f>INPUT!DR693</f>
        <v>NM</v>
      </c>
      <c r="BV42" s="665">
        <f>INPUT!DS693</f>
        <v>19.05492589363557</v>
      </c>
      <c r="BW42" s="635">
        <f>INPUT!DT693</f>
        <v>36.599613333484285</v>
      </c>
      <c r="BX42" s="665">
        <f>INPUT!DU693</f>
        <v>13.369138036350225</v>
      </c>
      <c r="BY42" s="635">
        <f>INPUT!DV693</f>
        <v>20.273461338554227</v>
      </c>
      <c r="BZ42" s="665">
        <f>INPUT!DW693</f>
        <v>13.879184775529055</v>
      </c>
      <c r="CA42" s="635" t="str">
        <f>INPUT!DX693</f>
        <v>NM</v>
      </c>
      <c r="CB42" s="665">
        <f>INPUT!DY693</f>
        <v>6.930622857818225</v>
      </c>
      <c r="CC42" s="635" t="str">
        <f>INPUT!DZ693</f>
        <v>NM</v>
      </c>
      <c r="CD42" s="665">
        <f>INPUT!EA693</f>
        <v>11.973840143966994</v>
      </c>
      <c r="CE42" s="635">
        <f>INPUT!EB693</f>
        <v>-37.161444705663691</v>
      </c>
      <c r="CF42" s="665">
        <f>INPUT!EC693</f>
        <v>6.9737812646684105</v>
      </c>
      <c r="CG42" s="635">
        <f>INPUT!ED693</f>
        <v>-47.836717328320347</v>
      </c>
      <c r="CH42" s="665">
        <f>INPUT!EE693</f>
        <v>13.005915038537372</v>
      </c>
      <c r="CI42" s="635">
        <f>INPUT!EF693</f>
        <v>-6.2919382594529623</v>
      </c>
      <c r="CJ42" s="665">
        <f>INPUT!EG693</f>
        <v>2.205407941814769</v>
      </c>
      <c r="CK42" s="635" t="str">
        <f>INPUT!EH693</f>
        <v>NM</v>
      </c>
      <c r="CL42" s="665">
        <f>INPUT!EI693</f>
        <v>11.631245480155862</v>
      </c>
      <c r="CM42" s="635">
        <f>INPUT!EJ693</f>
        <v>-2.8611928979505308</v>
      </c>
      <c r="CN42" s="665">
        <f>INPUT!EK693</f>
        <v>4.0576301087915319</v>
      </c>
      <c r="CO42" s="635">
        <f>INPUT!EL693</f>
        <v>-41.815925180376809</v>
      </c>
      <c r="CP42" s="665">
        <f>INPUT!EM693</f>
        <v>17.980711820840543</v>
      </c>
      <c r="CQ42" s="635">
        <f>INPUT!EN693</f>
        <v>38.25026357286302</v>
      </c>
      <c r="CR42" s="665">
        <f>INPUT!EO693</f>
        <v>29.673885984565594</v>
      </c>
      <c r="CS42" s="635" t="str">
        <f>INPUT!EP693</f>
        <v>NM</v>
      </c>
      <c r="CT42" s="665">
        <f>INPUT!EQ693</f>
        <v>15.988585070123126</v>
      </c>
      <c r="CU42" s="635">
        <f>INPUT!ER693</f>
        <v>37.462364605762531</v>
      </c>
      <c r="CV42" s="665">
        <f>INPUT!ES693</f>
        <v>7.0423885927039613</v>
      </c>
      <c r="CW42" s="635">
        <f>INPUT!ET693</f>
        <v>73.559156549175185</v>
      </c>
      <c r="CX42" s="665">
        <f>INPUT!EU693</f>
        <v>6.8618722379241497</v>
      </c>
      <c r="CY42" s="635" t="str">
        <f>INPUT!EV693</f>
        <v>NM</v>
      </c>
      <c r="CZ42" s="665">
        <f>INPUT!EW693</f>
        <v>5.8529989615844391</v>
      </c>
      <c r="DA42" s="635" t="str">
        <f>INPUT!EX693</f>
        <v>NM</v>
      </c>
      <c r="DB42" s="671"/>
      <c r="DC42" s="665">
        <f>INPUT!FP693</f>
        <v>-17.380957935748782</v>
      </c>
      <c r="DD42" s="635" t="str">
        <f>INPUT!FQ693</f>
        <v>NM</v>
      </c>
      <c r="DE42" s="665">
        <f>INPUT!FR693</f>
        <v>-11.678663713547435</v>
      </c>
      <c r="DF42" s="635">
        <f>INPUT!FS693</f>
        <v>-32.8077096974787</v>
      </c>
      <c r="DG42" s="665">
        <f>INPUT!FT693</f>
        <v>-11.536139720282941</v>
      </c>
      <c r="DH42" s="635">
        <f>INPUT!FU693</f>
        <v>-1.2203792896199559</v>
      </c>
      <c r="DI42" s="665">
        <f>INPUT!FV693</f>
        <v>-22.181484876260313</v>
      </c>
      <c r="DJ42" s="635">
        <f>INPUT!FW693</f>
        <v>92.278226634691634</v>
      </c>
      <c r="DK42" s="665">
        <f>INPUT!FX693</f>
        <v>-3.9119804400977993</v>
      </c>
      <c r="DL42" s="635" t="str">
        <f>INPUT!FY693</f>
        <v>NM</v>
      </c>
      <c r="DM42" s="665">
        <f>INPUT!FZ693</f>
        <v>8.7679170478804511E-2</v>
      </c>
      <c r="DN42" s="635" t="str">
        <f>INPUT!GA693</f>
        <v>NM</v>
      </c>
      <c r="DO42" s="665">
        <f>INPUT!GB693</f>
        <v>-1.6555695519165019</v>
      </c>
      <c r="DP42" s="635" t="str">
        <f>INPUT!GC693</f>
        <v>NM</v>
      </c>
      <c r="DQ42" s="665">
        <f>INPUT!GD693</f>
        <v>0.97961989602280053</v>
      </c>
      <c r="DR42" s="635" t="str">
        <f>INPUT!GE693</f>
        <v>NM</v>
      </c>
      <c r="DS42" s="665">
        <f>INPUT!GF693</f>
        <v>8.0489765978756118</v>
      </c>
      <c r="DT42" s="635" t="str">
        <f>INPUT!GG693</f>
        <v>NM</v>
      </c>
      <c r="DU42" s="665">
        <f>INPUT!GH693</f>
        <v>8.7088932225576361</v>
      </c>
      <c r="DV42" s="635">
        <f>INPUT!GI693</f>
        <v>8.198764360380892</v>
      </c>
      <c r="DW42" s="665">
        <f>INPUT!GJ693</f>
        <v>13.749079895258898</v>
      </c>
      <c r="DX42" s="635">
        <f>INPUT!GK693</f>
        <v>57.87402077276883</v>
      </c>
      <c r="DY42" s="665">
        <f>INPUT!GL693</f>
        <v>9.9597734550385741</v>
      </c>
      <c r="DZ42" s="635">
        <f>INPUT!GM693</f>
        <v>-27.560436546208393</v>
      </c>
      <c r="EA42" s="665">
        <f>INPUT!GN693</f>
        <v>15.860785334027138</v>
      </c>
      <c r="EB42" s="635">
        <f>INPUT!GO693</f>
        <v>59.24845485319031</v>
      </c>
      <c r="EC42" s="665">
        <f>INPUT!GP693</f>
        <v>8.9418994842653277</v>
      </c>
      <c r="ED42" s="635">
        <f>INPUT!GQ693</f>
        <v>-43.622593106523489</v>
      </c>
      <c r="EE42" s="665">
        <f>INPUT!GR693</f>
        <v>8.0401596289184241</v>
      </c>
      <c r="EF42" s="635">
        <f>INPUT!GS693</f>
        <v>-10.084432920920833</v>
      </c>
      <c r="EG42" s="665">
        <f>INPUT!GT693</f>
        <v>7.8801402723345957</v>
      </c>
      <c r="EH42" s="635">
        <f>INPUT!GU693</f>
        <v>-1.9902509896480041</v>
      </c>
      <c r="EI42" s="665">
        <f>INPUT!GV693</f>
        <v>7.7528928444009955</v>
      </c>
      <c r="EJ42" s="635">
        <f>INPUT!GW693</f>
        <v>-1.614786330394864</v>
      </c>
      <c r="EK42" s="665">
        <f>INPUT!GX693</f>
        <v>7.6262849779372157</v>
      </c>
      <c r="EL42" s="635">
        <f>INPUT!GY693</f>
        <v>-1.6330403244927254</v>
      </c>
      <c r="EM42" s="635">
        <f>INPUT!GZ693</f>
        <v>-13.623089055241898</v>
      </c>
    </row>
    <row r="43" spans="1:143" s="632" customFormat="1" ht="12.75" customHeight="1" x14ac:dyDescent="0.2">
      <c r="A43" s="652"/>
      <c r="B43" s="672"/>
      <c r="C43" s="635"/>
      <c r="D43" s="672"/>
      <c r="E43" s="635"/>
      <c r="F43" s="672"/>
      <c r="G43" s="635"/>
      <c r="H43" s="672"/>
      <c r="I43" s="635"/>
      <c r="J43" s="672"/>
      <c r="K43" s="635"/>
      <c r="L43" s="672"/>
      <c r="M43" s="635"/>
      <c r="N43" s="672"/>
      <c r="O43" s="635"/>
      <c r="P43" s="672"/>
      <c r="Q43" s="635"/>
      <c r="R43" s="672"/>
      <c r="S43" s="635"/>
      <c r="T43" s="672"/>
      <c r="U43" s="635"/>
      <c r="V43" s="672"/>
      <c r="W43" s="635"/>
      <c r="X43" s="672"/>
      <c r="Y43" s="635"/>
      <c r="Z43" s="672"/>
      <c r="AA43" s="635"/>
      <c r="AB43" s="672"/>
      <c r="AC43" s="635"/>
      <c r="AD43" s="672"/>
      <c r="AE43" s="635"/>
      <c r="AF43" s="672"/>
      <c r="AG43" s="635"/>
      <c r="AH43" s="672"/>
      <c r="AI43" s="635"/>
      <c r="AJ43" s="672"/>
      <c r="AK43" s="635"/>
      <c r="AL43" s="672"/>
      <c r="AM43" s="635"/>
      <c r="AN43" s="672"/>
      <c r="AO43" s="635"/>
      <c r="AP43" s="672"/>
      <c r="AQ43" s="635"/>
      <c r="AR43" s="672"/>
      <c r="AS43" s="635"/>
      <c r="AT43" s="672"/>
      <c r="AU43" s="635"/>
      <c r="AV43" s="672"/>
      <c r="AW43" s="635"/>
      <c r="AX43" s="672"/>
      <c r="AY43" s="635"/>
      <c r="AZ43" s="672"/>
      <c r="BA43" s="635"/>
      <c r="BB43" s="672"/>
      <c r="BC43" s="635"/>
      <c r="BD43" s="672"/>
      <c r="BE43" s="635"/>
      <c r="BF43" s="672"/>
      <c r="BG43" s="635"/>
      <c r="BH43" s="672"/>
      <c r="BI43" s="635"/>
      <c r="BJ43" s="672"/>
      <c r="BK43" s="635"/>
      <c r="BL43" s="672"/>
      <c r="BM43" s="635"/>
      <c r="BN43" s="672"/>
      <c r="BO43" s="635"/>
      <c r="BP43" s="672"/>
      <c r="BQ43" s="635"/>
      <c r="BR43" s="672"/>
      <c r="BS43" s="635"/>
      <c r="BT43" s="672"/>
      <c r="BU43" s="635"/>
      <c r="BV43" s="672"/>
      <c r="BW43" s="635"/>
      <c r="BX43" s="672"/>
      <c r="BY43" s="635"/>
      <c r="BZ43" s="672"/>
      <c r="CA43" s="635"/>
      <c r="CB43" s="672"/>
      <c r="CC43" s="635"/>
      <c r="CD43" s="672"/>
      <c r="CE43" s="635"/>
      <c r="CF43" s="672"/>
      <c r="CG43" s="635"/>
      <c r="CH43" s="672"/>
      <c r="CI43" s="635"/>
      <c r="CJ43" s="672"/>
      <c r="CK43" s="635"/>
      <c r="CL43" s="672"/>
      <c r="CM43" s="635"/>
      <c r="CN43" s="672"/>
      <c r="CO43" s="635"/>
      <c r="CP43" s="672"/>
      <c r="CQ43" s="635"/>
      <c r="CR43" s="672"/>
      <c r="CS43" s="635"/>
      <c r="CT43" s="672"/>
      <c r="CU43" s="635"/>
      <c r="CV43" s="672"/>
      <c r="CW43" s="635"/>
      <c r="CX43" s="672"/>
      <c r="CY43" s="635"/>
      <c r="CZ43" s="672"/>
      <c r="DA43" s="635"/>
      <c r="DB43" s="673"/>
      <c r="DC43" s="672"/>
      <c r="DD43" s="635"/>
      <c r="DE43" s="672"/>
      <c r="DF43" s="635"/>
      <c r="DG43" s="672"/>
      <c r="DH43" s="635"/>
      <c r="DI43" s="672"/>
      <c r="DJ43" s="635"/>
      <c r="DK43" s="672"/>
      <c r="DL43" s="635"/>
      <c r="DM43" s="672"/>
      <c r="DN43" s="635"/>
      <c r="DO43" s="672"/>
      <c r="DP43" s="635"/>
      <c r="DQ43" s="672"/>
      <c r="DR43" s="635"/>
      <c r="DS43" s="672"/>
      <c r="DT43" s="635"/>
      <c r="DU43" s="672"/>
      <c r="DV43" s="635"/>
      <c r="DW43" s="672"/>
      <c r="DX43" s="635"/>
      <c r="DY43" s="672"/>
      <c r="DZ43" s="635"/>
      <c r="EA43" s="672"/>
      <c r="EB43" s="635"/>
      <c r="EC43" s="672"/>
      <c r="ED43" s="635"/>
      <c r="EE43" s="672"/>
      <c r="EF43" s="635"/>
      <c r="EG43" s="672"/>
      <c r="EH43" s="635"/>
      <c r="EI43" s="672"/>
      <c r="EJ43" s="635"/>
      <c r="EK43" s="672"/>
      <c r="EL43" s="635"/>
      <c r="EM43" s="635"/>
    </row>
    <row r="44" spans="1:143" s="632" customFormat="1" ht="12.75" hidden="1" customHeight="1" outlineLevel="1" x14ac:dyDescent="0.2">
      <c r="A44" s="670" t="str">
        <f>INPUT!B697</f>
        <v>Pro Forma Operating ROE (Excl FAS 115) (%)</v>
      </c>
      <c r="B44" s="665">
        <f>INPUT!AY697</f>
        <v>11.671473232678187</v>
      </c>
      <c r="C44" s="635">
        <f>INPUT!AZ697</f>
        <v>-34.173761973160154</v>
      </c>
      <c r="D44" s="665">
        <f>INPUT!BA697</f>
        <v>12.545678952590691</v>
      </c>
      <c r="E44" s="635">
        <f>INPUT!BB697</f>
        <v>-22.076058681212416</v>
      </c>
      <c r="F44" s="665">
        <f>INPUT!BC697</f>
        <v>14.838894731809923</v>
      </c>
      <c r="G44" s="635">
        <f>INPUT!BD697</f>
        <v>-23.255091308920555</v>
      </c>
      <c r="H44" s="665">
        <f>INPUT!BE697</f>
        <v>13.520011313816999</v>
      </c>
      <c r="I44" s="635">
        <f>INPUT!BF697</f>
        <v>-6.3208137511837776</v>
      </c>
      <c r="J44" s="665">
        <f>INPUT!BG697</f>
        <v>14.653918978938263</v>
      </c>
      <c r="K44" s="635">
        <f>INPUT!BH697</f>
        <v>25.553292945998663</v>
      </c>
      <c r="L44" s="665">
        <f>INPUT!BI697</f>
        <v>14.739751266697374</v>
      </c>
      <c r="M44" s="635">
        <f>INPUT!BJ697</f>
        <v>17.488669384876971</v>
      </c>
      <c r="N44" s="665">
        <f>INPUT!BK697</f>
        <v>16.584438509935275</v>
      </c>
      <c r="O44" s="635">
        <f>INPUT!BL697</f>
        <v>11.76330049962182</v>
      </c>
      <c r="P44" s="665">
        <f>INPUT!BM697</f>
        <v>14.310941907666905</v>
      </c>
      <c r="Q44" s="635">
        <f>INPUT!BN697</f>
        <v>5.8500734614149508</v>
      </c>
      <c r="R44" s="665">
        <f>INPUT!BO697</f>
        <v>12.325442974222792</v>
      </c>
      <c r="S44" s="635">
        <f>INPUT!BP697</f>
        <v>-15.889783532051297</v>
      </c>
      <c r="T44" s="665">
        <f>INPUT!BQ697</f>
        <v>14.662730757368816</v>
      </c>
      <c r="U44" s="635">
        <f>INPUT!BR697</f>
        <v>-0.52253601797592353</v>
      </c>
      <c r="V44" s="665">
        <f>INPUT!BS697</f>
        <v>7.1390448538673379</v>
      </c>
      <c r="W44" s="635" t="str">
        <f>INPUT!BT697</f>
        <v>NM</v>
      </c>
      <c r="X44" s="665">
        <f>INPUT!BU697</f>
        <v>-16.18209464129383</v>
      </c>
      <c r="Y44" s="635" t="str">
        <f>INPUT!BV697</f>
        <v>NM</v>
      </c>
      <c r="Z44" s="665">
        <f>INPUT!BW697</f>
        <v>3.8021475092413306</v>
      </c>
      <c r="AA44" s="635" t="str">
        <f>INPUT!BX697</f>
        <v>NM</v>
      </c>
      <c r="AB44" s="665">
        <f>INPUT!BY697</f>
        <v>16.233031674208146</v>
      </c>
      <c r="AC44" s="635">
        <f>INPUT!BZ697</f>
        <v>10.709471126653327</v>
      </c>
      <c r="AD44" s="665">
        <f>INPUT!CA697</f>
        <v>14.407449705701483</v>
      </c>
      <c r="AE44" s="635" t="str">
        <f>INPUT!CB697</f>
        <v>NM</v>
      </c>
      <c r="AF44" s="665">
        <f>INPUT!CC697</f>
        <v>9.2206549328007323</v>
      </c>
      <c r="AG44" s="635" t="str">
        <f>INPUT!CD697</f>
        <v>NM</v>
      </c>
      <c r="AH44" s="665">
        <f>INPUT!CE697</f>
        <v>10.637807000985759</v>
      </c>
      <c r="AI44" s="635" t="str">
        <f>INPUT!CF697</f>
        <v>NM</v>
      </c>
      <c r="AJ44" s="665">
        <f>INPUT!CG697</f>
        <v>6.4776635973251864</v>
      </c>
      <c r="AK44" s="635" t="str">
        <f>INPUT!CH697</f>
        <v>NM</v>
      </c>
      <c r="AL44" s="665">
        <f>INPUT!CI697</f>
        <v>14.772657481523943</v>
      </c>
      <c r="AM44" s="635">
        <f>INPUT!CJ697</f>
        <v>2.5348537269433251</v>
      </c>
      <c r="AN44" s="665">
        <f>INPUT!CK697</f>
        <v>12.43621692179898</v>
      </c>
      <c r="AO44" s="635">
        <f>INPUT!CL697</f>
        <v>34.873466282308158</v>
      </c>
      <c r="AP44" s="665">
        <f>INPUT!CM697</f>
        <v>12.44104525175271</v>
      </c>
      <c r="AQ44" s="635">
        <f>INPUT!CN697</f>
        <v>16.951221718911171</v>
      </c>
      <c r="AR44" s="665">
        <f>INPUT!CO697</f>
        <v>11.894551053362875</v>
      </c>
      <c r="AS44" s="635">
        <f>INPUT!CP697</f>
        <v>83.624093388771797</v>
      </c>
      <c r="AT44" s="665">
        <f>INPUT!CQ697</f>
        <v>6.3156745742977733</v>
      </c>
      <c r="AU44" s="635" t="str">
        <f>INPUT!CR697</f>
        <v>NM</v>
      </c>
      <c r="AV44" s="665">
        <f>INPUT!CS697</f>
        <v>13.168032197786403</v>
      </c>
      <c r="AW44" s="635">
        <f>INPUT!CT697</f>
        <v>5.884548979719483</v>
      </c>
      <c r="AX44" s="665">
        <f>INPUT!CU697</f>
        <v>12.079371793221398</v>
      </c>
      <c r="AY44" s="635">
        <f>INPUT!CV697</f>
        <v>-2.9070986497726921</v>
      </c>
      <c r="AZ44" s="665">
        <f>INPUT!CW697</f>
        <v>9.770804714048154</v>
      </c>
      <c r="BA44" s="635">
        <f>INPUT!CX697</f>
        <v>-17.854783503697575</v>
      </c>
      <c r="BB44" s="665">
        <f>INPUT!CY697</f>
        <v>11.028007694615534</v>
      </c>
      <c r="BC44" s="635">
        <f>INPUT!CZ697</f>
        <v>74.61329846688173</v>
      </c>
      <c r="BD44" s="665">
        <f>INPUT!DA697</f>
        <v>12.183590340413151</v>
      </c>
      <c r="BE44" s="635">
        <f>INPUT!DB697</f>
        <v>-7.4759982553713797</v>
      </c>
      <c r="BF44" s="665">
        <f>INPUT!DC697</f>
        <v>16.151142024626374</v>
      </c>
      <c r="BG44" s="635">
        <f>INPUT!DD697</f>
        <v>33.708460184079598</v>
      </c>
      <c r="BH44" s="665">
        <f>INPUT!DE697</f>
        <v>17.031947517565314</v>
      </c>
      <c r="BI44" s="635">
        <f>INPUT!DF697</f>
        <v>74.314685596748433</v>
      </c>
      <c r="BJ44" s="665">
        <f>INPUT!DG697</f>
        <v>21.460186464760497</v>
      </c>
      <c r="BK44" s="635">
        <f>INPUT!DH697</f>
        <v>94.597129953386883</v>
      </c>
      <c r="BL44" s="665">
        <f>INPUT!DI697</f>
        <v>16.444002883135607</v>
      </c>
      <c r="BM44" s="635">
        <f>INPUT!DJ697</f>
        <v>34.968448738715409</v>
      </c>
      <c r="BN44" s="665">
        <f>INPUT!DK697</f>
        <v>17.690991131165397</v>
      </c>
      <c r="BO44" s="635">
        <f>INPUT!DL697</f>
        <v>9.5339952072190641</v>
      </c>
      <c r="BP44" s="665">
        <f>INPUT!DM697</f>
        <v>0</v>
      </c>
      <c r="BQ44" s="635">
        <f>INPUT!DN697</f>
        <v>0</v>
      </c>
      <c r="BR44" s="665">
        <f>INPUT!DO697</f>
        <v>0</v>
      </c>
      <c r="BS44" s="635">
        <f>INPUT!DP697</f>
        <v>0</v>
      </c>
      <c r="BT44" s="665">
        <f>INPUT!DQ697</f>
        <v>0</v>
      </c>
      <c r="BU44" s="635">
        <f>INPUT!DR697</f>
        <v>0</v>
      </c>
      <c r="BV44" s="665">
        <f>INPUT!DS697</f>
        <v>0</v>
      </c>
      <c r="BW44" s="635" t="str">
        <f>INPUT!DT697</f>
        <v>NM</v>
      </c>
      <c r="BX44" s="665">
        <f>INPUT!DU697</f>
        <v>0</v>
      </c>
      <c r="BY44" s="635" t="str">
        <f>INPUT!DV697</f>
        <v>NA</v>
      </c>
      <c r="BZ44" s="665">
        <f>INPUT!DW697</f>
        <v>0</v>
      </c>
      <c r="CA44" s="635" t="str">
        <f>INPUT!DX697</f>
        <v>NA</v>
      </c>
      <c r="CB44" s="665">
        <f>INPUT!DY697</f>
        <v>0</v>
      </c>
      <c r="CC44" s="635" t="str">
        <f>INPUT!DZ697</f>
        <v>NA</v>
      </c>
      <c r="CD44" s="665">
        <f>INPUT!EA697</f>
        <v>0</v>
      </c>
      <c r="CE44" s="635" t="str">
        <f>INPUT!EB697</f>
        <v>NA</v>
      </c>
      <c r="CF44" s="665">
        <f>INPUT!EC697</f>
        <v>10.933430050446766</v>
      </c>
      <c r="CG44" s="635" t="str">
        <f>INPUT!ED697</f>
        <v>NA</v>
      </c>
      <c r="CH44" s="665">
        <f>INPUT!EE697</f>
        <v>15.370716912950893</v>
      </c>
      <c r="CI44" s="635" t="str">
        <f>INPUT!EF697</f>
        <v>NA</v>
      </c>
      <c r="CJ44" s="665">
        <f>INPUT!EG697</f>
        <v>13.896857270351246</v>
      </c>
      <c r="CK44" s="635" t="str">
        <f>INPUT!EH697</f>
        <v>NA</v>
      </c>
      <c r="CL44" s="665">
        <f>INPUT!EI697</f>
        <v>15.61301926384046</v>
      </c>
      <c r="CM44" s="635" t="str">
        <f>INPUT!EJ697</f>
        <v>NA</v>
      </c>
      <c r="CN44" s="665">
        <f>INPUT!EK697</f>
        <v>11.447612226149511</v>
      </c>
      <c r="CO44" s="635">
        <f>INPUT!EL697</f>
        <v>4.7028441516551567</v>
      </c>
      <c r="CP44" s="665">
        <f>INPUT!EM697</f>
        <v>16.07118453619205</v>
      </c>
      <c r="CQ44" s="635">
        <f>INPUT!EN697</f>
        <v>4.5571564892393752</v>
      </c>
      <c r="CR44" s="665">
        <f>INPUT!EO697</f>
        <v>13.259855871131835</v>
      </c>
      <c r="CS44" s="635">
        <f>INPUT!EP697</f>
        <v>-4.5837802520894115</v>
      </c>
      <c r="CT44" s="665">
        <f>INPUT!EQ697</f>
        <v>14.190915874323981</v>
      </c>
      <c r="CU44" s="635">
        <f>INPUT!ER697</f>
        <v>-9.1084457495678066</v>
      </c>
      <c r="CV44" s="665">
        <f>INPUT!ES697</f>
        <v>13.966040389261018</v>
      </c>
      <c r="CW44" s="635">
        <f>INPUT!ET697</f>
        <v>21.999593569030225</v>
      </c>
      <c r="CX44" s="665">
        <f>INPUT!EU697</f>
        <v>13.736127847254293</v>
      </c>
      <c r="CY44" s="635">
        <f>INPUT!EV697</f>
        <v>-14.529462241437443</v>
      </c>
      <c r="CZ44" s="665">
        <f>INPUT!EW697</f>
        <v>12.349763158998009</v>
      </c>
      <c r="DA44" s="635">
        <f>INPUT!EX697</f>
        <v>-6.8635188872241031</v>
      </c>
      <c r="DB44" s="671"/>
      <c r="DC44" s="665">
        <f>INPUT!FP697</f>
        <v>10.35329761129751</v>
      </c>
      <c r="DD44" s="635">
        <f>INPUT!FQ697</f>
        <v>22.398196803238449</v>
      </c>
      <c r="DE44" s="665">
        <f>INPUT!FR697</f>
        <v>10.91782462865357</v>
      </c>
      <c r="DF44" s="635">
        <f>INPUT!FS697</f>
        <v>5.4526300561479815</v>
      </c>
      <c r="DG44" s="665">
        <f>INPUT!FT697</f>
        <v>12.93313857607313</v>
      </c>
      <c r="DH44" s="635">
        <f>INPUT!FU697</f>
        <v>18.458933129686102</v>
      </c>
      <c r="DI44" s="665">
        <f>INPUT!FV697</f>
        <v>-3.2257669012530346</v>
      </c>
      <c r="DJ44" s="635" t="str">
        <f>INPUT!FW697</f>
        <v>NM</v>
      </c>
      <c r="DK44" s="665">
        <f>INPUT!FX697</f>
        <v>5.0132182479607739</v>
      </c>
      <c r="DL44" s="635" t="str">
        <f>INPUT!FY697</f>
        <v>NM</v>
      </c>
      <c r="DM44" s="665">
        <f>INPUT!FZ697</f>
        <v>8.1319708145291152</v>
      </c>
      <c r="DN44" s="635">
        <f>INPUT!GA697</f>
        <v>62.210588334887603</v>
      </c>
      <c r="DO44" s="665">
        <f>INPUT!GB697</f>
        <v>9.228864587045825</v>
      </c>
      <c r="DP44" s="635">
        <f>INPUT!GC697</f>
        <v>13.488658500310009</v>
      </c>
      <c r="DQ44" s="665">
        <f>INPUT!GD697</f>
        <v>9.5587698151800709</v>
      </c>
      <c r="DR44" s="635">
        <f>INPUT!GE697</f>
        <v>3.5747108977773934</v>
      </c>
      <c r="DS44" s="665">
        <f>INPUT!GF697</f>
        <v>18.361846506738029</v>
      </c>
      <c r="DT44" s="635">
        <f>INPUT!GG697</f>
        <v>92.09424289700948</v>
      </c>
      <c r="DU44" s="665">
        <f>INPUT!GH697</f>
        <v>16.921306401047662</v>
      </c>
      <c r="DV44" s="635">
        <f>INPUT!GI697</f>
        <v>-7.8452899884646712</v>
      </c>
      <c r="DW44" s="665">
        <f>INPUT!GJ697</f>
        <v>16.996928926586722</v>
      </c>
      <c r="DX44" s="635">
        <f>INPUT!GK697</f>
        <v>0.44690713439466379</v>
      </c>
      <c r="DY44" s="665">
        <f>INPUT!GL697</f>
        <v>13.499433004092232</v>
      </c>
      <c r="DZ44" s="635">
        <f>INPUT!GM697</f>
        <v>-20.577222730064378</v>
      </c>
      <c r="EA44" s="665">
        <f>INPUT!GN697</f>
        <v>13.634831543004527</v>
      </c>
      <c r="EB44" s="635">
        <f>INPUT!GO697</f>
        <v>1.0029942655461923</v>
      </c>
      <c r="EC44" s="665">
        <f>INPUT!GP697</f>
        <v>13.737610042618357</v>
      </c>
      <c r="ED44" s="635">
        <f>INPUT!GQ697</f>
        <v>0.75379368853707263</v>
      </c>
      <c r="EE44" s="665">
        <f>INPUT!GR697</f>
        <v>13.324872614436083</v>
      </c>
      <c r="EF44" s="635">
        <f>INPUT!GS697</f>
        <v>-3.004434009276963</v>
      </c>
      <c r="EG44" s="665">
        <f>INPUT!GT697</f>
        <v>13.029458494827256</v>
      </c>
      <c r="EH44" s="635">
        <f>INPUT!GU697</f>
        <v>-2.2170127111667597</v>
      </c>
      <c r="EI44" s="665">
        <f>INPUT!GV697</f>
        <v>12.808925355343421</v>
      </c>
      <c r="EJ44" s="635">
        <f>INPUT!GW697</f>
        <v>-1.6925733296697416</v>
      </c>
      <c r="EK44" s="665">
        <f>INPUT!GX697</f>
        <v>12.610434766320511</v>
      </c>
      <c r="EL44" s="635">
        <f>INPUT!GY697</f>
        <v>-1.5496271819564242</v>
      </c>
      <c r="EM44" s="635">
        <f>INPUT!GZ697</f>
        <v>-1.5499237932785848</v>
      </c>
    </row>
    <row r="45" spans="1:143" s="632" customFormat="1" ht="12.75" hidden="1" customHeight="1" outlineLevel="1" x14ac:dyDescent="0.2">
      <c r="A45" s="670" t="str">
        <f>INPUT!B698</f>
        <v>Pro Forma Reporting ROE (Excl FAS 115) (%)</v>
      </c>
      <c r="B45" s="665">
        <f>INPUT!AY698</f>
        <v>11.710248891258512</v>
      </c>
      <c r="C45" s="635">
        <f>INPUT!AZ698</f>
        <v>-44.473808979540507</v>
      </c>
      <c r="D45" s="665">
        <f>INPUT!BA698</f>
        <v>7.511918879020353</v>
      </c>
      <c r="E45" s="635" t="str">
        <f>INPUT!BB698</f>
        <v>NM</v>
      </c>
      <c r="F45" s="665">
        <f>INPUT!BC698</f>
        <v>20.996271154030023</v>
      </c>
      <c r="G45" s="635">
        <f>INPUT!BD698</f>
        <v>-31.358982380057512</v>
      </c>
      <c r="H45" s="665">
        <f>INPUT!BE698</f>
        <v>15.443360203648707</v>
      </c>
      <c r="I45" s="635">
        <f>INPUT!BF698</f>
        <v>40.738100244678662</v>
      </c>
      <c r="J45" s="665">
        <f>INPUT!BG698</f>
        <v>15.588957198625492</v>
      </c>
      <c r="K45" s="635">
        <f>INPUT!BH698</f>
        <v>33.122338759702728</v>
      </c>
      <c r="L45" s="665">
        <f>INPUT!BI698</f>
        <v>14.168585905112852</v>
      </c>
      <c r="M45" s="635">
        <f>INPUT!BJ698</f>
        <v>88.614735240067063</v>
      </c>
      <c r="N45" s="665">
        <f>INPUT!BK698</f>
        <v>14.484225772869236</v>
      </c>
      <c r="O45" s="635">
        <f>INPUT!BL698</f>
        <v>-31.015247104535831</v>
      </c>
      <c r="P45" s="665">
        <f>INPUT!BM698</f>
        <v>14.402678714767333</v>
      </c>
      <c r="Q45" s="635">
        <f>INPUT!BN698</f>
        <v>-6.7386985420148307</v>
      </c>
      <c r="R45" s="665">
        <f>INPUT!BO698</f>
        <v>1.1721075042351541</v>
      </c>
      <c r="S45" s="635" t="str">
        <f>INPUT!BP698</f>
        <v>NM</v>
      </c>
      <c r="T45" s="665">
        <f>INPUT!BQ698</f>
        <v>9.6929109573952505</v>
      </c>
      <c r="U45" s="635">
        <f>INPUT!BR698</f>
        <v>-31.588720128396986</v>
      </c>
      <c r="V45" s="665">
        <f>INPUT!BS698</f>
        <v>-2.3227514357080334</v>
      </c>
      <c r="W45" s="635" t="str">
        <f>INPUT!BT698</f>
        <v>NM</v>
      </c>
      <c r="X45" s="665">
        <f>INPUT!BU698</f>
        <v>-23.370041008155553</v>
      </c>
      <c r="Y45" s="635" t="str">
        <f>INPUT!BV698</f>
        <v>NM</v>
      </c>
      <c r="Z45" s="665">
        <f>INPUT!BW698</f>
        <v>-0.10058591294289235</v>
      </c>
      <c r="AA45" s="635" t="str">
        <f>INPUT!BX698</f>
        <v>NM</v>
      </c>
      <c r="AB45" s="665">
        <f>INPUT!BY698</f>
        <v>10.143288084464555</v>
      </c>
      <c r="AC45" s="635">
        <f>INPUT!BZ698</f>
        <v>4.6464589332236415</v>
      </c>
      <c r="AD45" s="665">
        <f>INPUT!CA698</f>
        <v>19.151366072212952</v>
      </c>
      <c r="AE45" s="635" t="str">
        <f>INPUT!CB698</f>
        <v>NM</v>
      </c>
      <c r="AF45" s="665">
        <f>INPUT!CC698</f>
        <v>29.759081263263017</v>
      </c>
      <c r="AG45" s="635" t="str">
        <f>INPUT!CD698</f>
        <v>NM</v>
      </c>
      <c r="AH45" s="665">
        <f>INPUT!CE698</f>
        <v>8.1545334423960245</v>
      </c>
      <c r="AI45" s="635" t="str">
        <f>INPUT!CF698</f>
        <v>NM</v>
      </c>
      <c r="AJ45" s="665">
        <f>INPUT!CG698</f>
        <v>14.134637981498493</v>
      </c>
      <c r="AK45" s="635">
        <f>INPUT!CH698</f>
        <v>39.349665155888488</v>
      </c>
      <c r="AL45" s="665">
        <f>INPUT!CI698</f>
        <v>17.622371895919915</v>
      </c>
      <c r="AM45" s="635">
        <f>INPUT!CJ698</f>
        <v>-7.9837342700658951</v>
      </c>
      <c r="AN45" s="665">
        <f>INPUT!CK698</f>
        <v>1.7562596416281002</v>
      </c>
      <c r="AO45" s="635" t="str">
        <f>INPUT!CL698</f>
        <v>NM</v>
      </c>
      <c r="AP45" s="665">
        <f>INPUT!CM698</f>
        <v>8.3280220947524963</v>
      </c>
      <c r="AQ45" s="635">
        <f>INPUT!CN698</f>
        <v>2.1275116912819527</v>
      </c>
      <c r="AR45" s="665">
        <f>INPUT!CO698</f>
        <v>11.70152840887754</v>
      </c>
      <c r="AS45" s="635">
        <f>INPUT!CP698</f>
        <v>-17.213808912586003</v>
      </c>
      <c r="AT45" s="665">
        <f>INPUT!CQ698</f>
        <v>22.733226604569932</v>
      </c>
      <c r="AU45" s="635">
        <f>INPUT!CR698</f>
        <v>29.002081778976219</v>
      </c>
      <c r="AV45" s="665">
        <f>INPUT!CS698</f>
        <v>7.5032341526520057</v>
      </c>
      <c r="AW45" s="635" t="str">
        <f>INPUT!CT698</f>
        <v>NM</v>
      </c>
      <c r="AX45" s="665">
        <f>INPUT!CU698</f>
        <v>-13.8440884932968</v>
      </c>
      <c r="AY45" s="635" t="str">
        <f>INPUT!CV698</f>
        <v>NM</v>
      </c>
      <c r="AZ45" s="665">
        <f>INPUT!CW698</f>
        <v>32.275323548550354</v>
      </c>
      <c r="BA45" s="635" t="str">
        <f>INPUT!CX698</f>
        <v>NM</v>
      </c>
      <c r="BB45" s="665">
        <f>INPUT!CY698</f>
        <v>-8.7393890192894848</v>
      </c>
      <c r="BC45" s="635" t="str">
        <f>INPUT!CZ698</f>
        <v>NM</v>
      </c>
      <c r="BD45" s="665">
        <f>INPUT!DA698</f>
        <v>-2.691300552807681</v>
      </c>
      <c r="BE45" s="635" t="str">
        <f>INPUT!DB698</f>
        <v>NM</v>
      </c>
      <c r="BF45" s="665">
        <f>INPUT!DC698</f>
        <v>-11.053670457749789</v>
      </c>
      <c r="BG45" s="635">
        <f>INPUT!DD698</f>
        <v>-20.156025706554175</v>
      </c>
      <c r="BH45" s="665">
        <f>INPUT!DE698</f>
        <v>-8.0276386786227238</v>
      </c>
      <c r="BI45" s="635" t="str">
        <f>INPUT!DF698</f>
        <v>NM</v>
      </c>
      <c r="BJ45" s="665">
        <f>INPUT!DG698</f>
        <v>15.041750199505616</v>
      </c>
      <c r="BK45" s="635" t="str">
        <f>INPUT!DH698</f>
        <v>NM</v>
      </c>
      <c r="BL45" s="665">
        <f>INPUT!DI698</f>
        <v>-6.6545886661601701</v>
      </c>
      <c r="BM45" s="635" t="str">
        <f>INPUT!DJ698</f>
        <v>NM</v>
      </c>
      <c r="BN45" s="665">
        <f>INPUT!DK698</f>
        <v>19.060214719153571</v>
      </c>
      <c r="BO45" s="635" t="str">
        <f>INPUT!DL698</f>
        <v>NM</v>
      </c>
      <c r="BP45" s="665">
        <f>INPUT!DM698</f>
        <v>0</v>
      </c>
      <c r="BQ45" s="635">
        <f>INPUT!DN698</f>
        <v>0</v>
      </c>
      <c r="BR45" s="665">
        <f>INPUT!DO698</f>
        <v>0</v>
      </c>
      <c r="BS45" s="635">
        <f>INPUT!DP698</f>
        <v>0</v>
      </c>
      <c r="BT45" s="665">
        <f>INPUT!DQ698</f>
        <v>0</v>
      </c>
      <c r="BU45" s="635">
        <f>INPUT!DR698</f>
        <v>0</v>
      </c>
      <c r="BV45" s="665">
        <f>INPUT!DS698</f>
        <v>0</v>
      </c>
      <c r="BW45" s="635" t="str">
        <f>INPUT!DT698</f>
        <v>NM</v>
      </c>
      <c r="BX45" s="665">
        <f>INPUT!DU698</f>
        <v>0</v>
      </c>
      <c r="BY45" s="635" t="str">
        <f>INPUT!DV698</f>
        <v>NA</v>
      </c>
      <c r="BZ45" s="665">
        <f>INPUT!DW698</f>
        <v>0</v>
      </c>
      <c r="CA45" s="635" t="str">
        <f>INPUT!DX698</f>
        <v>NA</v>
      </c>
      <c r="CB45" s="665">
        <f>INPUT!DY698</f>
        <v>0</v>
      </c>
      <c r="CC45" s="635" t="str">
        <f>INPUT!DZ698</f>
        <v>NA</v>
      </c>
      <c r="CD45" s="665">
        <f>INPUT!EA698</f>
        <v>0</v>
      </c>
      <c r="CE45" s="635" t="str">
        <f>INPUT!EB698</f>
        <v>NA</v>
      </c>
      <c r="CF45" s="665">
        <f>INPUT!EC698</f>
        <v>12.146790200797916</v>
      </c>
      <c r="CG45" s="635" t="str">
        <f>INPUT!ED698</f>
        <v>NA</v>
      </c>
      <c r="CH45" s="665">
        <f>INPUT!EE698</f>
        <v>23.5787571788088</v>
      </c>
      <c r="CI45" s="635" t="str">
        <f>INPUT!EF698</f>
        <v>NA</v>
      </c>
      <c r="CJ45" s="665">
        <f>INPUT!EG698</f>
        <v>3.6208325364951874</v>
      </c>
      <c r="CK45" s="635" t="str">
        <f>INPUT!EH698</f>
        <v>NA</v>
      </c>
      <c r="CL45" s="665">
        <f>INPUT!EI698</f>
        <v>17.279081141631035</v>
      </c>
      <c r="CM45" s="635" t="str">
        <f>INPUT!EJ698</f>
        <v>NA</v>
      </c>
      <c r="CN45" s="665">
        <f>INPUT!EK698</f>
        <v>6.1161889042866262</v>
      </c>
      <c r="CO45" s="635">
        <f>INPUT!EL698</f>
        <v>-49.647694549916096</v>
      </c>
      <c r="CP45" s="665">
        <f>INPUT!EM698</f>
        <v>27.186176108841885</v>
      </c>
      <c r="CQ45" s="635">
        <f>INPUT!EN698</f>
        <v>15.299444761555208</v>
      </c>
      <c r="CR45" s="665">
        <f>INPUT!EO698</f>
        <v>42.560406952098347</v>
      </c>
      <c r="CS45" s="635" t="str">
        <f>INPUT!EP698</f>
        <v>NM</v>
      </c>
      <c r="CT45" s="665">
        <f>INPUT!EQ698</f>
        <v>23.016783419549782</v>
      </c>
      <c r="CU45" s="635">
        <f>INPUT!ER698</f>
        <v>33.206061311296935</v>
      </c>
      <c r="CV45" s="665">
        <f>INPUT!ES698</f>
        <v>9.9810419692480412</v>
      </c>
      <c r="CW45" s="635">
        <f>INPUT!ET698</f>
        <v>63.190544396898417</v>
      </c>
      <c r="CX45" s="665">
        <f>INPUT!EU698</f>
        <v>9.7100798488617084</v>
      </c>
      <c r="CY45" s="635" t="str">
        <f>INPUT!EV698</f>
        <v>NM</v>
      </c>
      <c r="CZ45" s="665">
        <f>INPUT!EW698</f>
        <v>8.2744011152655421</v>
      </c>
      <c r="DA45" s="635" t="str">
        <f>INPUT!EX698</f>
        <v>NM</v>
      </c>
      <c r="DB45" s="671"/>
      <c r="DC45" s="665">
        <f>INPUT!FP698</f>
        <v>-18.653913566027342</v>
      </c>
      <c r="DD45" s="635" t="str">
        <f>INPUT!FQ698</f>
        <v>NM</v>
      </c>
      <c r="DE45" s="665">
        <f>INPUT!FR698</f>
        <v>-12.228078581696215</v>
      </c>
      <c r="DF45" s="635">
        <f>INPUT!FS698</f>
        <v>-34.447650685129744</v>
      </c>
      <c r="DG45" s="665">
        <f>INPUT!FT698</f>
        <v>-11.988879988691513</v>
      </c>
      <c r="DH45" s="635">
        <f>INPUT!FU698</f>
        <v>-1.9561420987492539</v>
      </c>
      <c r="DI45" s="665">
        <f>INPUT!FV698</f>
        <v>-19.876903459944582</v>
      </c>
      <c r="DJ45" s="635">
        <f>INPUT!FW698</f>
        <v>65.794498557775455</v>
      </c>
      <c r="DK45" s="665">
        <f>INPUT!FX698</f>
        <v>-3.6378426011704366</v>
      </c>
      <c r="DL45" s="635" t="str">
        <f>INPUT!FY698</f>
        <v>NM</v>
      </c>
      <c r="DM45" s="665">
        <f>INPUT!FZ698</f>
        <v>-0.1351915545040657</v>
      </c>
      <c r="DN45" s="635" t="str">
        <f>INPUT!GA698</f>
        <v>NM</v>
      </c>
      <c r="DO45" s="665">
        <f>INPUT!GB698</f>
        <v>-2.0108420401042935</v>
      </c>
      <c r="DP45" s="635" t="str">
        <f>INPUT!GC698</f>
        <v>NM</v>
      </c>
      <c r="DQ45" s="665">
        <f>INPUT!GD698</f>
        <v>1.1176857330703485</v>
      </c>
      <c r="DR45" s="635" t="str">
        <f>INPUT!GE698</f>
        <v>NM</v>
      </c>
      <c r="DS45" s="665">
        <f>INPUT!GF698</f>
        <v>10.650864952690432</v>
      </c>
      <c r="DT45" s="635" t="str">
        <f>INPUT!GG698</f>
        <v>NM</v>
      </c>
      <c r="DU45" s="665">
        <f>INPUT!GH698</f>
        <v>12.694948212230644</v>
      </c>
      <c r="DV45" s="635">
        <f>INPUT!GI698</f>
        <v>19.191711364473491</v>
      </c>
      <c r="DW45" s="665">
        <f>INPUT!GJ698</f>
        <v>20.627376425855513</v>
      </c>
      <c r="DX45" s="635">
        <f>INPUT!GK698</f>
        <v>62.484919835927798</v>
      </c>
      <c r="DY45" s="665">
        <f>INPUT!GL698</f>
        <v>14.357322464542213</v>
      </c>
      <c r="DZ45" s="635">
        <f>INPUT!GM698</f>
        <v>-30.396759296320695</v>
      </c>
      <c r="EA45" s="665">
        <f>INPUT!GN698</f>
        <v>23.046147984231428</v>
      </c>
      <c r="EB45" s="635">
        <f>INPUT!GO698</f>
        <v>60.518425640628379</v>
      </c>
      <c r="EC45" s="665">
        <f>INPUT!GP698</f>
        <v>12.848149935623987</v>
      </c>
      <c r="ED45" s="635">
        <f>INPUT!GQ698</f>
        <v>-44.250336566375815</v>
      </c>
      <c r="EE45" s="665">
        <f>INPUT!GR698</f>
        <v>11.30451515185432</v>
      </c>
      <c r="EF45" s="635">
        <f>INPUT!GS698</f>
        <v>-12.014451819943659</v>
      </c>
      <c r="EG45" s="665">
        <f>INPUT!GT698</f>
        <v>10.976437387637745</v>
      </c>
      <c r="EH45" s="635">
        <f>INPUT!GU698</f>
        <v>-2.9021834179483506</v>
      </c>
      <c r="EI45" s="665">
        <f>INPUT!GV698</f>
        <v>10.71372928923363</v>
      </c>
      <c r="EJ45" s="635">
        <f>INPUT!GW698</f>
        <v>-2.3933821979433105</v>
      </c>
      <c r="EK45" s="665">
        <f>INPUT!GX698</f>
        <v>10.465684282603879</v>
      </c>
      <c r="EL45" s="635">
        <f>INPUT!GY698</f>
        <v>-2.3152069641988646</v>
      </c>
      <c r="EM45" s="635">
        <f>INPUT!GZ698</f>
        <v>-14.604722017471305</v>
      </c>
    </row>
    <row r="46" spans="1:143" s="632" customFormat="1" ht="12.75" hidden="1" customHeight="1" outlineLevel="1" x14ac:dyDescent="0.2">
      <c r="A46" s="644"/>
      <c r="B46" s="674"/>
      <c r="C46" s="635"/>
      <c r="D46" s="674"/>
      <c r="E46" s="635"/>
      <c r="F46" s="674"/>
      <c r="G46" s="635"/>
      <c r="H46" s="674"/>
      <c r="I46" s="635"/>
      <c r="J46" s="674"/>
      <c r="K46" s="635"/>
      <c r="L46" s="674"/>
      <c r="M46" s="635"/>
      <c r="N46" s="674"/>
      <c r="O46" s="635"/>
      <c r="P46" s="674"/>
      <c r="Q46" s="635"/>
      <c r="R46" s="674"/>
      <c r="S46" s="635"/>
      <c r="T46" s="674"/>
      <c r="U46" s="635"/>
      <c r="V46" s="674"/>
      <c r="W46" s="635"/>
      <c r="X46" s="674"/>
      <c r="Y46" s="635"/>
      <c r="Z46" s="674"/>
      <c r="AA46" s="635"/>
      <c r="AB46" s="674"/>
      <c r="AC46" s="635"/>
      <c r="AD46" s="674"/>
      <c r="AE46" s="635"/>
      <c r="AF46" s="674"/>
      <c r="AG46" s="635"/>
      <c r="AH46" s="674"/>
      <c r="AI46" s="635"/>
      <c r="AJ46" s="674"/>
      <c r="AK46" s="635"/>
      <c r="AL46" s="674"/>
      <c r="AM46" s="635"/>
      <c r="AN46" s="674"/>
      <c r="AO46" s="635"/>
      <c r="AP46" s="674"/>
      <c r="AQ46" s="635"/>
      <c r="AR46" s="674"/>
      <c r="AS46" s="635"/>
      <c r="AT46" s="674"/>
      <c r="AU46" s="635"/>
      <c r="AV46" s="674"/>
      <c r="AW46" s="635"/>
      <c r="AX46" s="674"/>
      <c r="AY46" s="635"/>
      <c r="AZ46" s="674"/>
      <c r="BA46" s="635"/>
      <c r="BB46" s="674"/>
      <c r="BC46" s="635"/>
      <c r="BD46" s="674"/>
      <c r="BE46" s="635"/>
      <c r="BF46" s="674"/>
      <c r="BG46" s="635"/>
      <c r="BH46" s="674"/>
      <c r="BI46" s="635"/>
      <c r="BJ46" s="674"/>
      <c r="BK46" s="635"/>
      <c r="BL46" s="674"/>
      <c r="BM46" s="635"/>
      <c r="BN46" s="674"/>
      <c r="BO46" s="635"/>
      <c r="BP46" s="674"/>
      <c r="BQ46" s="635"/>
      <c r="BR46" s="674"/>
      <c r="BS46" s="635"/>
      <c r="BT46" s="674"/>
      <c r="BU46" s="635"/>
      <c r="BV46" s="674"/>
      <c r="BW46" s="635"/>
      <c r="BX46" s="674"/>
      <c r="BY46" s="635"/>
      <c r="BZ46" s="674"/>
      <c r="CA46" s="635"/>
      <c r="CB46" s="674"/>
      <c r="CC46" s="635"/>
      <c r="CD46" s="674"/>
      <c r="CE46" s="635"/>
      <c r="CF46" s="674"/>
      <c r="CG46" s="635"/>
      <c r="CH46" s="674"/>
      <c r="CI46" s="635"/>
      <c r="CJ46" s="674"/>
      <c r="CK46" s="635"/>
      <c r="CL46" s="674"/>
      <c r="CM46" s="635"/>
      <c r="CN46" s="674"/>
      <c r="CO46" s="635"/>
      <c r="CP46" s="674"/>
      <c r="CQ46" s="635"/>
      <c r="CR46" s="674"/>
      <c r="CS46" s="635"/>
      <c r="CT46" s="674"/>
      <c r="CU46" s="635"/>
      <c r="CV46" s="674"/>
      <c r="CW46" s="635"/>
      <c r="CX46" s="674"/>
      <c r="CY46" s="635"/>
      <c r="CZ46" s="674"/>
      <c r="DA46" s="635"/>
      <c r="DB46" s="674"/>
      <c r="DC46" s="674"/>
      <c r="DD46" s="635"/>
      <c r="DE46" s="674"/>
      <c r="DF46" s="635"/>
      <c r="DG46" s="674"/>
      <c r="DH46" s="635"/>
      <c r="DI46" s="674"/>
      <c r="DJ46" s="635"/>
      <c r="DK46" s="674"/>
      <c r="DL46" s="635"/>
      <c r="DM46" s="674"/>
      <c r="DN46" s="635"/>
      <c r="DO46" s="674"/>
      <c r="DP46" s="635"/>
      <c r="DQ46" s="674"/>
      <c r="DR46" s="635"/>
      <c r="DS46" s="674"/>
      <c r="DT46" s="635"/>
      <c r="DU46" s="674"/>
      <c r="DV46" s="635"/>
      <c r="DW46" s="674"/>
      <c r="DX46" s="635"/>
      <c r="DY46" s="674"/>
      <c r="DZ46" s="635"/>
      <c r="EA46" s="674"/>
      <c r="EB46" s="635"/>
      <c r="EC46" s="674"/>
      <c r="ED46" s="635"/>
      <c r="EE46" s="674"/>
      <c r="EF46" s="635"/>
      <c r="EG46" s="674"/>
      <c r="EH46" s="635"/>
      <c r="EI46" s="674"/>
      <c r="EJ46" s="635"/>
      <c r="EK46" s="674"/>
      <c r="EL46" s="635"/>
      <c r="EM46" s="635"/>
    </row>
    <row r="47" spans="1:143" s="632" customFormat="1" ht="12.75" customHeight="1" collapsed="1" x14ac:dyDescent="0.2">
      <c r="A47" s="652" t="s">
        <v>223</v>
      </c>
      <c r="B47" s="674"/>
      <c r="C47" s="635"/>
      <c r="D47" s="674"/>
      <c r="E47" s="635"/>
      <c r="F47" s="674"/>
      <c r="G47" s="635"/>
      <c r="H47" s="674"/>
      <c r="I47" s="635"/>
      <c r="J47" s="674"/>
      <c r="K47" s="635"/>
      <c r="L47" s="674"/>
      <c r="M47" s="635"/>
      <c r="N47" s="674"/>
      <c r="O47" s="635"/>
      <c r="P47" s="674"/>
      <c r="Q47" s="635"/>
      <c r="R47" s="674"/>
      <c r="S47" s="635"/>
      <c r="T47" s="674"/>
      <c r="U47" s="635"/>
      <c r="V47" s="674"/>
      <c r="W47" s="635"/>
      <c r="X47" s="674"/>
      <c r="Y47" s="635"/>
      <c r="Z47" s="674"/>
      <c r="AA47" s="635"/>
      <c r="AB47" s="674"/>
      <c r="AC47" s="635"/>
      <c r="AD47" s="674"/>
      <c r="AE47" s="635"/>
      <c r="AF47" s="674"/>
      <c r="AG47" s="635"/>
      <c r="AH47" s="674"/>
      <c r="AI47" s="635"/>
      <c r="AJ47" s="674"/>
      <c r="AK47" s="635"/>
      <c r="AL47" s="674"/>
      <c r="AM47" s="635"/>
      <c r="AN47" s="674"/>
      <c r="AO47" s="635"/>
      <c r="AP47" s="674"/>
      <c r="AQ47" s="635"/>
      <c r="AR47" s="674"/>
      <c r="AS47" s="635"/>
      <c r="AT47" s="674"/>
      <c r="AU47" s="635"/>
      <c r="AV47" s="674"/>
      <c r="AW47" s="635"/>
      <c r="AX47" s="674"/>
      <c r="AY47" s="635"/>
      <c r="AZ47" s="674"/>
      <c r="BA47" s="635"/>
      <c r="BB47" s="674"/>
      <c r="BC47" s="635"/>
      <c r="BD47" s="674"/>
      <c r="BE47" s="635"/>
      <c r="BF47" s="674"/>
      <c r="BG47" s="635"/>
      <c r="BH47" s="674"/>
      <c r="BI47" s="635"/>
      <c r="BJ47" s="674"/>
      <c r="BK47" s="635"/>
      <c r="BL47" s="674"/>
      <c r="BM47" s="635"/>
      <c r="BN47" s="674"/>
      <c r="BO47" s="635"/>
      <c r="BP47" s="674"/>
      <c r="BQ47" s="635"/>
      <c r="BR47" s="674"/>
      <c r="BS47" s="635"/>
      <c r="BT47" s="674"/>
      <c r="BU47" s="635"/>
      <c r="BV47" s="674"/>
      <c r="BW47" s="635"/>
      <c r="BX47" s="674"/>
      <c r="BY47" s="635"/>
      <c r="BZ47" s="674"/>
      <c r="CA47" s="635"/>
      <c r="CB47" s="674"/>
      <c r="CC47" s="635"/>
      <c r="CD47" s="674"/>
      <c r="CE47" s="635"/>
      <c r="CF47" s="674"/>
      <c r="CG47" s="635"/>
      <c r="CH47" s="674"/>
      <c r="CI47" s="635"/>
      <c r="CJ47" s="674"/>
      <c r="CK47" s="635"/>
      <c r="CL47" s="674"/>
      <c r="CM47" s="635"/>
      <c r="CN47" s="674"/>
      <c r="CO47" s="635"/>
      <c r="CP47" s="674"/>
      <c r="CQ47" s="635"/>
      <c r="CR47" s="674"/>
      <c r="CS47" s="635"/>
      <c r="CT47" s="674"/>
      <c r="CU47" s="635"/>
      <c r="CV47" s="674"/>
      <c r="CW47" s="635"/>
      <c r="CX47" s="674"/>
      <c r="CY47" s="635"/>
      <c r="CZ47" s="674"/>
      <c r="DA47" s="635"/>
      <c r="DB47" s="674"/>
      <c r="DC47" s="674"/>
      <c r="DD47" s="635"/>
      <c r="DE47" s="674"/>
      <c r="DF47" s="635"/>
      <c r="DG47" s="674"/>
      <c r="DH47" s="635"/>
      <c r="DI47" s="674"/>
      <c r="DJ47" s="635"/>
      <c r="DK47" s="674"/>
      <c r="DL47" s="635"/>
      <c r="DM47" s="674"/>
      <c r="DN47" s="635"/>
      <c r="DO47" s="674"/>
      <c r="DP47" s="635"/>
      <c r="DQ47" s="674"/>
      <c r="DR47" s="635"/>
      <c r="DS47" s="674"/>
      <c r="DT47" s="635"/>
      <c r="DU47" s="674"/>
      <c r="DV47" s="635"/>
      <c r="DW47" s="674"/>
      <c r="DX47" s="635"/>
      <c r="DY47" s="674"/>
      <c r="DZ47" s="635"/>
      <c r="EA47" s="674"/>
      <c r="EB47" s="635"/>
      <c r="EC47" s="674"/>
      <c r="ED47" s="635"/>
      <c r="EE47" s="674"/>
      <c r="EF47" s="635"/>
      <c r="EG47" s="674"/>
      <c r="EH47" s="635"/>
      <c r="EI47" s="674"/>
      <c r="EJ47" s="635"/>
      <c r="EK47" s="674"/>
      <c r="EL47" s="635"/>
      <c r="EM47" s="635"/>
    </row>
    <row r="48" spans="1:143" s="632" customFormat="1" ht="12.75" customHeight="1" x14ac:dyDescent="0.2">
      <c r="A48" s="670" t="str">
        <f>INPUT!B611</f>
        <v>Dividends Per Share</v>
      </c>
      <c r="B48" s="672">
        <f>INPUT!AY611</f>
        <v>0</v>
      </c>
      <c r="C48" s="635" t="str">
        <f>INPUT!AZ611</f>
        <v>NA</v>
      </c>
      <c r="D48" s="672">
        <f>INPUT!BA611</f>
        <v>0</v>
      </c>
      <c r="E48" s="635" t="str">
        <f>INPUT!BB611</f>
        <v>NA</v>
      </c>
      <c r="F48" s="672">
        <f>INPUT!BC611</f>
        <v>0</v>
      </c>
      <c r="G48" s="635" t="str">
        <f>INPUT!BD611</f>
        <v>NA</v>
      </c>
      <c r="H48" s="672">
        <f>INPUT!BE611</f>
        <v>0.95</v>
      </c>
      <c r="I48" s="635">
        <f>INPUT!BF611</f>
        <v>21.794871794871781</v>
      </c>
      <c r="J48" s="672">
        <f>INPUT!BG611</f>
        <v>0</v>
      </c>
      <c r="K48" s="635" t="str">
        <f>INPUT!BH611</f>
        <v>NA</v>
      </c>
      <c r="L48" s="672">
        <f>INPUT!BI611</f>
        <v>0</v>
      </c>
      <c r="M48" s="635" t="str">
        <f>INPUT!BJ611</f>
        <v>NA</v>
      </c>
      <c r="N48" s="672">
        <f>INPUT!BK611</f>
        <v>0</v>
      </c>
      <c r="O48" s="635" t="str">
        <f>INPUT!BL611</f>
        <v>NA</v>
      </c>
      <c r="P48" s="672">
        <f>INPUT!BM611</f>
        <v>1.1499999999999999</v>
      </c>
      <c r="Q48" s="635">
        <f>INPUT!BN611</f>
        <v>21.05263157894737</v>
      </c>
      <c r="R48" s="672">
        <f>INPUT!BO611</f>
        <v>0</v>
      </c>
      <c r="S48" s="635" t="str">
        <f>INPUT!BP611</f>
        <v>NA</v>
      </c>
      <c r="T48" s="672">
        <f>INPUT!BQ611</f>
        <v>0</v>
      </c>
      <c r="U48" s="635" t="str">
        <f>INPUT!BR611</f>
        <v>NA</v>
      </c>
      <c r="V48" s="672">
        <f>INPUT!BS611</f>
        <v>0</v>
      </c>
      <c r="W48" s="635" t="str">
        <f>INPUT!BT611</f>
        <v>NA</v>
      </c>
      <c r="X48" s="672">
        <f>INPUT!BU611</f>
        <v>0.57999999999999996</v>
      </c>
      <c r="Y48" s="635">
        <f>INPUT!BV611</f>
        <v>-49.565217391304351</v>
      </c>
      <c r="Z48" s="672">
        <f>INPUT!BW611</f>
        <v>0</v>
      </c>
      <c r="AA48" s="635" t="str">
        <f>INPUT!BX611</f>
        <v>NA</v>
      </c>
      <c r="AB48" s="672">
        <f>INPUT!BY611</f>
        <v>0</v>
      </c>
      <c r="AC48" s="635" t="str">
        <f>INPUT!BZ611</f>
        <v>NA</v>
      </c>
      <c r="AD48" s="672">
        <f>INPUT!CA611</f>
        <v>0</v>
      </c>
      <c r="AE48" s="635" t="str">
        <f>INPUT!CB611</f>
        <v>NA</v>
      </c>
      <c r="AF48" s="672">
        <f>INPUT!CC611</f>
        <v>0.7</v>
      </c>
      <c r="AG48" s="635">
        <f>INPUT!CD611</f>
        <v>20.689655172413794</v>
      </c>
      <c r="AH48" s="672">
        <f>INPUT!CE611</f>
        <v>0</v>
      </c>
      <c r="AI48" s="635" t="str">
        <f>INPUT!CF611</f>
        <v>NA</v>
      </c>
      <c r="AJ48" s="672">
        <f>INPUT!CG611</f>
        <v>0</v>
      </c>
      <c r="AK48" s="635" t="str">
        <f>INPUT!CH611</f>
        <v>NA</v>
      </c>
      <c r="AL48" s="672">
        <f>INPUT!CI611</f>
        <v>0</v>
      </c>
      <c r="AM48" s="635" t="str">
        <f>INPUT!CJ611</f>
        <v>NA</v>
      </c>
      <c r="AN48" s="672">
        <f>INPUT!CK611</f>
        <v>1.1499999999999999</v>
      </c>
      <c r="AO48" s="635">
        <f>INPUT!CL611</f>
        <v>64.285714285714278</v>
      </c>
      <c r="AP48" s="672">
        <f>INPUT!CM611</f>
        <v>0</v>
      </c>
      <c r="AQ48" s="635" t="str">
        <f>INPUT!CN611</f>
        <v>NA</v>
      </c>
      <c r="AR48" s="672">
        <f>INPUT!CO611</f>
        <v>0</v>
      </c>
      <c r="AS48" s="635" t="str">
        <f>INPUT!CP611</f>
        <v>NA</v>
      </c>
      <c r="AT48" s="672">
        <f>INPUT!CQ611</f>
        <v>0</v>
      </c>
      <c r="AU48" s="635" t="str">
        <f>INPUT!CR611</f>
        <v>NA</v>
      </c>
      <c r="AV48" s="672">
        <f>INPUT!CS611</f>
        <v>1.45</v>
      </c>
      <c r="AW48" s="635">
        <f>INPUT!CT611</f>
        <v>26.08695652173914</v>
      </c>
      <c r="AX48" s="672">
        <f>INPUT!CU611</f>
        <v>0</v>
      </c>
      <c r="AY48" s="635" t="str">
        <f>INPUT!CV611</f>
        <v>NA</v>
      </c>
      <c r="AZ48" s="672">
        <f>INPUT!CW611</f>
        <v>0</v>
      </c>
      <c r="BA48" s="635" t="str">
        <f>INPUT!CX611</f>
        <v>NA</v>
      </c>
      <c r="BB48" s="672">
        <f>INPUT!CY611</f>
        <v>0</v>
      </c>
      <c r="BC48" s="635" t="str">
        <f>INPUT!CZ611</f>
        <v>NA</v>
      </c>
      <c r="BD48" s="672">
        <f>INPUT!DA611</f>
        <v>1.6</v>
      </c>
      <c r="BE48" s="635">
        <f>INPUT!DB611</f>
        <v>10.34482758620689</v>
      </c>
      <c r="BF48" s="672">
        <f>INPUT!DC611</f>
        <v>0.4</v>
      </c>
      <c r="BG48" s="635" t="str">
        <f>INPUT!DD611</f>
        <v>NA</v>
      </c>
      <c r="BH48" s="672">
        <f>INPUT!DE611</f>
        <v>0.4</v>
      </c>
      <c r="BI48" s="635" t="str">
        <f>INPUT!DF611</f>
        <v>NA</v>
      </c>
      <c r="BJ48" s="672">
        <f>INPUT!DG611</f>
        <v>0.4</v>
      </c>
      <c r="BK48" s="635" t="str">
        <f>INPUT!DH611</f>
        <v>NA</v>
      </c>
      <c r="BL48" s="672">
        <f>INPUT!DI611</f>
        <v>0.53</v>
      </c>
      <c r="BM48" s="635" t="str">
        <f>INPUT!DJ611</f>
        <v>NM</v>
      </c>
      <c r="BN48" s="672">
        <f>INPUT!DK611</f>
        <v>0.53</v>
      </c>
      <c r="BO48" s="635">
        <f>INPUT!DL611</f>
        <v>32.5</v>
      </c>
      <c r="BP48" s="672">
        <f>INPUT!DM611</f>
        <v>0.53</v>
      </c>
      <c r="BQ48" s="635">
        <f>INPUT!DN611</f>
        <v>32.5</v>
      </c>
      <c r="BR48" s="672">
        <f>INPUT!DO611</f>
        <v>0.53</v>
      </c>
      <c r="BS48" s="635">
        <f>INPUT!DP611</f>
        <v>32.5</v>
      </c>
      <c r="BT48" s="672">
        <f>INPUT!DQ611</f>
        <v>0.57999999999999996</v>
      </c>
      <c r="BU48" s="635">
        <f>INPUT!DR611</f>
        <v>9.4339622641509351</v>
      </c>
      <c r="BV48" s="672">
        <f>INPUT!DS611</f>
        <v>0.57999999999999996</v>
      </c>
      <c r="BW48" s="635">
        <f>INPUT!DT611</f>
        <v>9.4339622641509351</v>
      </c>
      <c r="BX48" s="672">
        <f>INPUT!DU611</f>
        <v>0.57999999999999996</v>
      </c>
      <c r="BY48" s="635">
        <f>INPUT!DV611</f>
        <v>9.4339622641509351</v>
      </c>
      <c r="BZ48" s="672">
        <f>INPUT!DW611</f>
        <v>0.57999999999999996</v>
      </c>
      <c r="CA48" s="635">
        <f>INPUT!DX611</f>
        <v>9.4339622641509351</v>
      </c>
      <c r="CB48" s="672">
        <f>INPUT!DY611</f>
        <v>0.7</v>
      </c>
      <c r="CC48" s="635">
        <f>INPUT!DZ611</f>
        <v>20.689655172413794</v>
      </c>
      <c r="CD48" s="672">
        <f>INPUT!EA611</f>
        <v>0.7</v>
      </c>
      <c r="CE48" s="635">
        <f>INPUT!EB611</f>
        <v>20.689655172413794</v>
      </c>
      <c r="CF48" s="672">
        <f>INPUT!EC611</f>
        <v>0.7</v>
      </c>
      <c r="CG48" s="635">
        <f>INPUT!ED611</f>
        <v>20.689655172413794</v>
      </c>
      <c r="CH48" s="672">
        <f>INPUT!EE611</f>
        <v>0.7</v>
      </c>
      <c r="CI48" s="635">
        <f>INPUT!EF611</f>
        <v>20.689655172413794</v>
      </c>
      <c r="CJ48" s="672">
        <f>INPUT!EG611</f>
        <v>0.75</v>
      </c>
      <c r="CK48" s="635">
        <f>INPUT!EH611</f>
        <v>7.1428571428571388</v>
      </c>
      <c r="CL48" s="672">
        <f>INPUT!EI611</f>
        <v>0.75</v>
      </c>
      <c r="CM48" s="635">
        <f>INPUT!EJ611</f>
        <v>7.1428571428571388</v>
      </c>
      <c r="CN48" s="672">
        <f>INPUT!EK611</f>
        <v>0.75</v>
      </c>
      <c r="CO48" s="635">
        <f>INPUT!EL611</f>
        <v>7.1428571428571388</v>
      </c>
      <c r="CP48" s="672">
        <f>INPUT!EM611</f>
        <v>0.75</v>
      </c>
      <c r="CQ48" s="635">
        <f>INPUT!EN611</f>
        <v>7.1428571428571388</v>
      </c>
      <c r="CR48" s="672">
        <f>INPUT!EO611</f>
        <v>0.75</v>
      </c>
      <c r="CS48" s="635">
        <f>INPUT!EP611</f>
        <v>0</v>
      </c>
      <c r="CT48" s="672">
        <f>INPUT!EQ611</f>
        <v>0.9</v>
      </c>
      <c r="CU48" s="635">
        <f>INPUT!ER611</f>
        <v>20</v>
      </c>
      <c r="CV48" s="672">
        <f>INPUT!ES611</f>
        <v>0.9</v>
      </c>
      <c r="CW48" s="635">
        <f>INPUT!ET611</f>
        <v>20.2</v>
      </c>
      <c r="CX48" s="672">
        <f>INPUT!EU611</f>
        <v>0.9</v>
      </c>
      <c r="CY48" s="635">
        <f>INPUT!EV611</f>
        <v>20.402000000000001</v>
      </c>
      <c r="CZ48" s="672">
        <f>INPUT!EW611</f>
        <v>0.9</v>
      </c>
      <c r="DA48" s="635">
        <f>INPUT!EX611</f>
        <v>20</v>
      </c>
      <c r="DB48" s="671"/>
      <c r="DC48" s="672">
        <f>INPUT!FP611</f>
        <v>0.78</v>
      </c>
      <c r="DD48" s="635">
        <f>INPUT!FQ611</f>
        <v>24.799999999999997</v>
      </c>
      <c r="DE48" s="672">
        <f>INPUT!FR611</f>
        <v>0.95</v>
      </c>
      <c r="DF48" s="635">
        <f>INPUT!FS611</f>
        <v>21.794871794871781</v>
      </c>
      <c r="DG48" s="672">
        <f>INPUT!FT611</f>
        <v>1.1499999999999999</v>
      </c>
      <c r="DH48" s="635">
        <f>INPUT!FU611</f>
        <v>21.05263157894737</v>
      </c>
      <c r="DI48" s="672">
        <f>INPUT!FV611</f>
        <v>0.57999999999999996</v>
      </c>
      <c r="DJ48" s="635">
        <f>INPUT!FW611</f>
        <v>-49.565217391304351</v>
      </c>
      <c r="DK48" s="672">
        <f>INPUT!FX611</f>
        <v>0.7</v>
      </c>
      <c r="DL48" s="635">
        <f>INPUT!FY611</f>
        <v>20.689655172413794</v>
      </c>
      <c r="DM48" s="672">
        <f>INPUT!FZ611</f>
        <v>1.1499999999999999</v>
      </c>
      <c r="DN48" s="635">
        <f>INPUT!GA611</f>
        <v>64.285714285714278</v>
      </c>
      <c r="DO48" s="672">
        <f>INPUT!GB611</f>
        <v>1.45</v>
      </c>
      <c r="DP48" s="635">
        <f>INPUT!GC611</f>
        <v>26.08695652173914</v>
      </c>
      <c r="DQ48" s="672">
        <f>INPUT!GD611</f>
        <v>1.6</v>
      </c>
      <c r="DR48" s="635">
        <f>INPUT!GE611</f>
        <v>10.34482758620689</v>
      </c>
      <c r="DS48" s="672">
        <f>INPUT!GF611</f>
        <v>1.7300000000000002</v>
      </c>
      <c r="DT48" s="635">
        <f>INPUT!GG611</f>
        <v>8.125</v>
      </c>
      <c r="DU48" s="672">
        <f>INPUT!GH611</f>
        <v>2.17</v>
      </c>
      <c r="DV48" s="635">
        <f>INPUT!GI611</f>
        <v>25.433526011560687</v>
      </c>
      <c r="DW48" s="672">
        <f>INPUT!GJ611</f>
        <v>2.4399999999999995</v>
      </c>
      <c r="DX48" s="635">
        <f>INPUT!GK611</f>
        <v>12.442396313364029</v>
      </c>
      <c r="DY48" s="672">
        <f>INPUT!GL611</f>
        <v>2.8499999999999996</v>
      </c>
      <c r="DZ48" s="635">
        <f>INPUT!GM611</f>
        <v>16.8032786885246</v>
      </c>
      <c r="EA48" s="672">
        <f>INPUT!GN611</f>
        <v>3</v>
      </c>
      <c r="EB48" s="635">
        <f>INPUT!GO611</f>
        <v>5.2631578947368638</v>
      </c>
      <c r="EC48" s="672">
        <f>INPUT!GP611</f>
        <v>3.6</v>
      </c>
      <c r="ED48" s="635">
        <f>INPUT!GQ611</f>
        <v>20</v>
      </c>
      <c r="EE48" s="672">
        <f>INPUT!GR611</f>
        <v>3.9600000000000004</v>
      </c>
      <c r="EF48" s="635">
        <f>INPUT!GS611</f>
        <v>10.000000000000014</v>
      </c>
      <c r="EG48" s="672">
        <f>INPUT!GT611</f>
        <v>4.3560000000000008</v>
      </c>
      <c r="EH48" s="635">
        <f>INPUT!GU611</f>
        <v>10.000000000000014</v>
      </c>
      <c r="EI48" s="672">
        <f>INPUT!GV611</f>
        <v>4.7916000000000016</v>
      </c>
      <c r="EJ48" s="635">
        <f>INPUT!GW611</f>
        <v>10.000000000000014</v>
      </c>
      <c r="EK48" s="672">
        <f>INPUT!GX611</f>
        <v>5.2707600000000019</v>
      </c>
      <c r="EL48" s="635">
        <f>INPUT!GY611</f>
        <v>10.000000000000014</v>
      </c>
      <c r="EM48" s="635">
        <f>INPUT!GZ611</f>
        <v>11.931003489314641</v>
      </c>
    </row>
    <row r="49" spans="1:144" s="632" customFormat="1" ht="12.75" customHeight="1" x14ac:dyDescent="0.2">
      <c r="A49" s="670" t="str">
        <f>INPUT!B612</f>
        <v>Dividend Payout Ratio (%)</v>
      </c>
      <c r="B49" s="665">
        <f>INPUT!AY612</f>
        <v>0</v>
      </c>
      <c r="C49" s="635" t="str">
        <f>INPUT!AZ612</f>
        <v>NA</v>
      </c>
      <c r="D49" s="665">
        <f>INPUT!BA612</f>
        <v>0</v>
      </c>
      <c r="E49" s="635" t="str">
        <f>INPUT!BB612</f>
        <v>NA</v>
      </c>
      <c r="F49" s="665">
        <f>INPUT!BC612</f>
        <v>0</v>
      </c>
      <c r="G49" s="635" t="str">
        <f>INPUT!BD612</f>
        <v>NA</v>
      </c>
      <c r="H49" s="665">
        <f>INPUT!BE612</f>
        <v>54.913294797687861</v>
      </c>
      <c r="I49" s="635">
        <f>INPUT!BF612</f>
        <v>-18.334074403438578</v>
      </c>
      <c r="J49" s="665">
        <f>INPUT!BG612</f>
        <v>0</v>
      </c>
      <c r="K49" s="635" t="str">
        <f>INPUT!BH612</f>
        <v>NA</v>
      </c>
      <c r="L49" s="665">
        <f>INPUT!BI612</f>
        <v>0</v>
      </c>
      <c r="M49" s="635" t="str">
        <f>INPUT!BJ612</f>
        <v>NA</v>
      </c>
      <c r="N49" s="665">
        <f>INPUT!BK612</f>
        <v>0</v>
      </c>
      <c r="O49" s="635" t="str">
        <f>INPUT!BL612</f>
        <v>NA</v>
      </c>
      <c r="P49" s="665">
        <f>INPUT!BM612</f>
        <v>66.473988439306353</v>
      </c>
      <c r="Q49" s="635">
        <f>INPUT!BN612</f>
        <v>21.05263157894737</v>
      </c>
      <c r="R49" s="665">
        <f>INPUT!BO612</f>
        <v>0</v>
      </c>
      <c r="S49" s="635" t="str">
        <f>INPUT!BP612</f>
        <v>NA</v>
      </c>
      <c r="T49" s="665">
        <f>INPUT!BQ612</f>
        <v>0</v>
      </c>
      <c r="U49" s="635" t="str">
        <f>INPUT!BR612</f>
        <v>NA</v>
      </c>
      <c r="V49" s="665">
        <f>INPUT!BS612</f>
        <v>0</v>
      </c>
      <c r="W49" s="635" t="str">
        <f>INPUT!BT612</f>
        <v>NA</v>
      </c>
      <c r="X49" s="665">
        <f>INPUT!BU612</f>
        <v>-19.727891156462583</v>
      </c>
      <c r="Y49" s="635" t="str">
        <f>INPUT!BV612</f>
        <v>NM</v>
      </c>
      <c r="Z49" s="665">
        <f>INPUT!BW612</f>
        <v>0</v>
      </c>
      <c r="AA49" s="635" t="str">
        <f>INPUT!BX612</f>
        <v>NA</v>
      </c>
      <c r="AB49" s="665">
        <f>INPUT!BY612</f>
        <v>0</v>
      </c>
      <c r="AC49" s="635" t="str">
        <f>INPUT!BZ612</f>
        <v>NA</v>
      </c>
      <c r="AD49" s="665">
        <f>INPUT!CA612</f>
        <v>0</v>
      </c>
      <c r="AE49" s="635" t="str">
        <f>INPUT!CB612</f>
        <v>NA</v>
      </c>
      <c r="AF49" s="665">
        <f>INPUT!CC612</f>
        <v>18.412192393736017</v>
      </c>
      <c r="AG49" s="635" t="str">
        <f>INPUT!CD612</f>
        <v>NM</v>
      </c>
      <c r="AH49" s="665">
        <f>INPUT!CE612</f>
        <v>0</v>
      </c>
      <c r="AI49" s="635" t="str">
        <f>INPUT!CF612</f>
        <v>NA</v>
      </c>
      <c r="AJ49" s="665">
        <f>INPUT!CG612</f>
        <v>0</v>
      </c>
      <c r="AK49" s="635" t="str">
        <f>INPUT!CH612</f>
        <v>NA</v>
      </c>
      <c r="AL49" s="665">
        <f>INPUT!CI612</f>
        <v>0</v>
      </c>
      <c r="AM49" s="635" t="str">
        <f>INPUT!CJ612</f>
        <v>NA</v>
      </c>
      <c r="AN49" s="665">
        <f>INPUT!CK612</f>
        <v>499.99999999999989</v>
      </c>
      <c r="AO49" s="635" t="str">
        <f>INPUT!CL612</f>
        <v>NM</v>
      </c>
      <c r="AP49" s="665">
        <f>INPUT!CM612</f>
        <v>0</v>
      </c>
      <c r="AQ49" s="635" t="str">
        <f>INPUT!CN612</f>
        <v>NA</v>
      </c>
      <c r="AR49" s="665">
        <f>INPUT!CO612</f>
        <v>0</v>
      </c>
      <c r="AS49" s="635" t="str">
        <f>INPUT!CP612</f>
        <v>NA</v>
      </c>
      <c r="AT49" s="665">
        <f>INPUT!CQ612</f>
        <v>0</v>
      </c>
      <c r="AU49" s="635" t="str">
        <f>INPUT!CR612</f>
        <v>NA</v>
      </c>
      <c r="AV49" s="665">
        <f>INPUT!CS612</f>
        <v>133.02752293577979</v>
      </c>
      <c r="AW49" s="635" t="str">
        <f>INPUT!CT612</f>
        <v>NM</v>
      </c>
      <c r="AX49" s="665">
        <f>INPUT!CU612</f>
        <v>0</v>
      </c>
      <c r="AY49" s="635" t="str">
        <f>INPUT!CV612</f>
        <v>NA</v>
      </c>
      <c r="AZ49" s="665">
        <f>INPUT!CW612</f>
        <v>0</v>
      </c>
      <c r="BA49" s="635" t="str">
        <f>INPUT!CX612</f>
        <v>NA</v>
      </c>
      <c r="BB49" s="665">
        <f>INPUT!CY612</f>
        <v>0</v>
      </c>
      <c r="BC49" s="635" t="str">
        <f>INPUT!CZ612</f>
        <v>NA</v>
      </c>
      <c r="BD49" s="665">
        <f>INPUT!DA612</f>
        <v>-400</v>
      </c>
      <c r="BE49" s="635" t="str">
        <f>INPUT!DB612</f>
        <v>NM</v>
      </c>
      <c r="BF49" s="665">
        <f>INPUT!DC612</f>
        <v>-25.641025641025646</v>
      </c>
      <c r="BG49" s="635" t="str">
        <f>INPUT!DD612</f>
        <v>NA</v>
      </c>
      <c r="BH49" s="665">
        <f>INPUT!DE612</f>
        <v>-36.036036036036037</v>
      </c>
      <c r="BI49" s="635" t="str">
        <f>INPUT!DF612</f>
        <v>NA</v>
      </c>
      <c r="BJ49" s="665">
        <f>INPUT!DG612</f>
        <v>19.70443349753695</v>
      </c>
      <c r="BK49" s="635" t="str">
        <f>INPUT!DH612</f>
        <v>NA</v>
      </c>
      <c r="BL49" s="665">
        <f>INPUT!DI612</f>
        <v>-56.98924731182796</v>
      </c>
      <c r="BM49" s="635" t="str">
        <f>INPUT!DJ612</f>
        <v>NM</v>
      </c>
      <c r="BN49" s="665">
        <f>INPUT!DK612</f>
        <v>20.463320463320468</v>
      </c>
      <c r="BO49" s="635" t="str">
        <f>INPUT!DL612</f>
        <v>NM</v>
      </c>
      <c r="BP49" s="665">
        <f>INPUT!DM612</f>
        <v>23.873873873873876</v>
      </c>
      <c r="BQ49" s="635" t="str">
        <f>INPUT!DN612</f>
        <v>NM</v>
      </c>
      <c r="BR49" s="665">
        <f>INPUT!DO612</f>
        <v>53.535353535353536</v>
      </c>
      <c r="BS49" s="635" t="str">
        <f>INPUT!DP612</f>
        <v>NM</v>
      </c>
      <c r="BT49" s="665">
        <f>INPUT!DQ612</f>
        <v>-22.137404580152669</v>
      </c>
      <c r="BU49" s="635" t="str">
        <f>INPUT!DR612</f>
        <v>NM</v>
      </c>
      <c r="BV49" s="665">
        <f>INPUT!DS612</f>
        <v>13.272311212814644</v>
      </c>
      <c r="BW49" s="635">
        <f>INPUT!DT612</f>
        <v>-35.140969733603924</v>
      </c>
      <c r="BX49" s="665">
        <f>INPUT!DU612</f>
        <v>19.141914191419144</v>
      </c>
      <c r="BY49" s="635">
        <f>INPUT!DV612</f>
        <v>-19.820661311414156</v>
      </c>
      <c r="BZ49" s="665">
        <f>INPUT!DW612</f>
        <v>24.150990990990991</v>
      </c>
      <c r="CA49" s="635" t="str">
        <f>INPUT!DX612</f>
        <v>NM</v>
      </c>
      <c r="CB49" s="665">
        <f>INPUT!DY612</f>
        <v>36.131313131313128</v>
      </c>
      <c r="CC49" s="635" t="str">
        <f>INPUT!DZ612</f>
        <v>NM</v>
      </c>
      <c r="CD49" s="665">
        <f>INPUT!EA612</f>
        <v>32.128385155466397</v>
      </c>
      <c r="CE49" s="635" t="str">
        <f>INPUT!EB612</f>
        <v>NM</v>
      </c>
      <c r="CF49" s="665">
        <f>INPUT!EC612</f>
        <v>37.938480096501806</v>
      </c>
      <c r="CG49" s="635">
        <f>INPUT!ED612</f>
        <v>98.19585291793183</v>
      </c>
      <c r="CH49" s="665">
        <f>INPUT!EE612</f>
        <v>26.32331781633517</v>
      </c>
      <c r="CI49" s="635">
        <f>INPUT!EF612</f>
        <v>8.9947730350051387</v>
      </c>
      <c r="CJ49" s="665">
        <f>INPUT!EG612</f>
        <v>30.513413506012952</v>
      </c>
      <c r="CK49" s="635">
        <f>INPUT!EH612</f>
        <v>-15.548562004604904</v>
      </c>
      <c r="CL49" s="665">
        <f>INPUT!EI612</f>
        <v>26.839853300733495</v>
      </c>
      <c r="CM49" s="635">
        <f>INPUT!EJ612</f>
        <v>-16.460621438463747</v>
      </c>
      <c r="CN49" s="665">
        <f>INPUT!EK612</f>
        <v>35.878555798687088</v>
      </c>
      <c r="CO49" s="635">
        <f>INPUT!EL612</f>
        <v>-5.4296437089071929</v>
      </c>
      <c r="CP49" s="665">
        <f>INPUT!EM612</f>
        <v>24.88558352402746</v>
      </c>
      <c r="CQ49" s="635">
        <f>INPUT!EN612</f>
        <v>-5.4618278073424023</v>
      </c>
      <c r="CR49" s="665">
        <f>INPUT!EO612</f>
        <v>27.92814113597246</v>
      </c>
      <c r="CS49" s="635">
        <f>INPUT!EP612</f>
        <v>-8.4725767227945283</v>
      </c>
      <c r="CT49" s="665">
        <f>INPUT!EQ612</f>
        <v>29.073079072061368</v>
      </c>
      <c r="CU49" s="635">
        <f>INPUT!ER612</f>
        <v>8.3205587836310713</v>
      </c>
      <c r="CV49" s="665">
        <f>INPUT!ES612</f>
        <v>28.690736065391654</v>
      </c>
      <c r="CW49" s="635">
        <f>INPUT!ET612</f>
        <v>-20.033748776360895</v>
      </c>
      <c r="CX49" s="665">
        <f>INPUT!EU612</f>
        <v>28.796627497903383</v>
      </c>
      <c r="CY49" s="635">
        <f>INPUT!EV612</f>
        <v>15.716103141000275</v>
      </c>
      <c r="CZ49" s="665">
        <f>INPUT!EW612</f>
        <v>31.707684818395826</v>
      </c>
      <c r="DA49" s="635">
        <f>INPUT!EX612</f>
        <v>13.533101483632848</v>
      </c>
      <c r="DB49" s="671"/>
      <c r="DC49" s="665">
        <f>INPUT!FP612</f>
        <v>19.796954314720814</v>
      </c>
      <c r="DD49" s="635">
        <f>INPUT!FQ612</f>
        <v>69.874552576529624</v>
      </c>
      <c r="DE49" s="665">
        <f>INPUT!FR612</f>
        <v>20.743624339209482</v>
      </c>
      <c r="DF49" s="635">
        <f>INPUT!FS612</f>
        <v>4.7818973031863408</v>
      </c>
      <c r="DG49" s="665">
        <f>INPUT!FT612</f>
        <v>19.79879035223178</v>
      </c>
      <c r="DH49" s="635">
        <f>INPUT!FU612</f>
        <v>-4.5548163210407893</v>
      </c>
      <c r="DI49" s="665">
        <f>INPUT!FV612</f>
        <v>-36.888595526219284</v>
      </c>
      <c r="DJ49" s="635" t="str">
        <f>INPUT!FW612</f>
        <v>NM</v>
      </c>
      <c r="DK49" s="665">
        <f>INPUT!FX612</f>
        <v>28.847197314572121</v>
      </c>
      <c r="DL49" s="635" t="str">
        <f>INPUT!FY612</f>
        <v>NM</v>
      </c>
      <c r="DM49" s="665">
        <f>INPUT!FZ612</f>
        <v>26.967972276348561</v>
      </c>
      <c r="DN49" s="635">
        <f>INPUT!GA612</f>
        <v>-6.5144111496553307</v>
      </c>
      <c r="DO49" s="665">
        <f>INPUT!GB612</f>
        <v>29.128133990957661</v>
      </c>
      <c r="DP49" s="635">
        <f>INPUT!GC612</f>
        <v>8.010100620370352</v>
      </c>
      <c r="DQ49" s="665">
        <f>INPUT!GD612</f>
        <v>29.208333333333336</v>
      </c>
      <c r="DR49" s="635">
        <f>INPUT!GE612</f>
        <v>0.27533292177443514</v>
      </c>
      <c r="DS49" s="665">
        <f>INPUT!GF612</f>
        <v>17.071130516628326</v>
      </c>
      <c r="DT49" s="635">
        <f>INPUT!GG612</f>
        <v>-41.553904080017148</v>
      </c>
      <c r="DU49" s="665">
        <f>INPUT!GH612</f>
        <v>23.908339222614842</v>
      </c>
      <c r="DV49" s="635">
        <f>INPUT!GI612</f>
        <v>40.051294197104625</v>
      </c>
      <c r="DW49" s="665">
        <f>INPUT!GJ612</f>
        <v>24.291094859109482</v>
      </c>
      <c r="DX49" s="635">
        <f>INPUT!GK612</f>
        <v>1.6009294201940776</v>
      </c>
      <c r="DY49" s="665">
        <f>INPUT!GL612</f>
        <v>31.211630182218414</v>
      </c>
      <c r="DZ49" s="635">
        <f>INPUT!GM612</f>
        <v>28.490009870895705</v>
      </c>
      <c r="EA49" s="665">
        <f>INPUT!GN612</f>
        <v>28.349154746423928</v>
      </c>
      <c r="EB49" s="635">
        <f>INPUT!GO612</f>
        <v>-9.1711820852768682</v>
      </c>
      <c r="EC49" s="665">
        <f>INPUT!GP612</f>
        <v>29.509772267195117</v>
      </c>
      <c r="ED49" s="635">
        <f>INPUT!GQ612</f>
        <v>4.094011024852847</v>
      </c>
      <c r="EE49" s="665">
        <f>INPUT!GR612</f>
        <v>31.056218887232646</v>
      </c>
      <c r="EF49" s="635">
        <f>INPUT!GS612</f>
        <v>5.2404559616227715</v>
      </c>
      <c r="EG49" s="665">
        <f>INPUT!GT612</f>
        <v>32.744092899827706</v>
      </c>
      <c r="EH49" s="635">
        <f>INPUT!GU612</f>
        <v>5.4348986227970926</v>
      </c>
      <c r="EI49" s="665">
        <f>INPUT!GV612</f>
        <v>34.587594118520578</v>
      </c>
      <c r="EJ49" s="635">
        <f>INPUT!GW612</f>
        <v>5.6300268397496893</v>
      </c>
      <c r="EK49" s="665">
        <f>INPUT!GX612</f>
        <v>36.474269652682288</v>
      </c>
      <c r="EL49" s="635">
        <f>INPUT!GY612</f>
        <v>5.4547752806878691</v>
      </c>
      <c r="EM49" s="635">
        <f>INPUT!GZ612</f>
        <v>5.1693762064132232</v>
      </c>
    </row>
    <row r="50" spans="1:144" s="632" customFormat="1" ht="12.75" customHeight="1" x14ac:dyDescent="0.2">
      <c r="A50" s="644"/>
      <c r="B50" s="674"/>
      <c r="C50" s="635"/>
      <c r="D50" s="674"/>
      <c r="E50" s="635"/>
      <c r="F50" s="674"/>
      <c r="G50" s="635"/>
      <c r="H50" s="674"/>
      <c r="I50" s="635"/>
      <c r="J50" s="674"/>
      <c r="K50" s="635"/>
      <c r="L50" s="674"/>
      <c r="M50" s="635"/>
      <c r="N50" s="674"/>
      <c r="O50" s="635"/>
      <c r="P50" s="674"/>
      <c r="Q50" s="635"/>
      <c r="R50" s="674"/>
      <c r="S50" s="635"/>
      <c r="T50" s="674"/>
      <c r="U50" s="635"/>
      <c r="V50" s="674"/>
      <c r="W50" s="635"/>
      <c r="X50" s="674"/>
      <c r="Y50" s="635"/>
      <c r="Z50" s="674"/>
      <c r="AA50" s="635"/>
      <c r="AB50" s="674"/>
      <c r="AC50" s="635"/>
      <c r="AD50" s="674"/>
      <c r="AE50" s="635"/>
      <c r="AF50" s="674"/>
      <c r="AG50" s="635"/>
      <c r="AH50" s="674"/>
      <c r="AI50" s="635"/>
      <c r="AJ50" s="674"/>
      <c r="AK50" s="635"/>
      <c r="AL50" s="674"/>
      <c r="AM50" s="635"/>
      <c r="AN50" s="674"/>
      <c r="AO50" s="635"/>
      <c r="AP50" s="674"/>
      <c r="AQ50" s="635"/>
      <c r="AR50" s="674"/>
      <c r="AS50" s="635"/>
      <c r="AT50" s="674"/>
      <c r="AU50" s="635"/>
      <c r="AV50" s="674"/>
      <c r="AW50" s="635"/>
      <c r="AX50" s="674"/>
      <c r="AY50" s="635"/>
      <c r="AZ50" s="674"/>
      <c r="BA50" s="635"/>
      <c r="BB50" s="674"/>
      <c r="BC50" s="635"/>
      <c r="BD50" s="674"/>
      <c r="BE50" s="635"/>
      <c r="BF50" s="674"/>
      <c r="BG50" s="635"/>
      <c r="BH50" s="674"/>
      <c r="BI50" s="635"/>
      <c r="BJ50" s="674"/>
      <c r="BK50" s="635"/>
      <c r="BL50" s="674"/>
      <c r="BM50" s="635"/>
      <c r="BN50" s="674"/>
      <c r="BO50" s="635"/>
      <c r="BP50" s="674"/>
      <c r="BQ50" s="635"/>
      <c r="BR50" s="674"/>
      <c r="BS50" s="635"/>
      <c r="BT50" s="674"/>
      <c r="BU50" s="635"/>
      <c r="BV50" s="674"/>
      <c r="BW50" s="635"/>
      <c r="BX50" s="674"/>
      <c r="BY50" s="635"/>
      <c r="BZ50" s="674"/>
      <c r="CA50" s="635"/>
      <c r="CB50" s="674"/>
      <c r="CC50" s="635"/>
      <c r="CD50" s="674"/>
      <c r="CE50" s="635"/>
      <c r="CF50" s="674"/>
      <c r="CG50" s="635"/>
      <c r="CH50" s="674"/>
      <c r="CI50" s="635"/>
      <c r="CJ50" s="674"/>
      <c r="CK50" s="635"/>
      <c r="CL50" s="674"/>
      <c r="CM50" s="635"/>
      <c r="CN50" s="674"/>
      <c r="CO50" s="635"/>
      <c r="CP50" s="674"/>
      <c r="CQ50" s="635"/>
      <c r="CR50" s="674"/>
      <c r="CS50" s="635"/>
      <c r="CT50" s="674"/>
      <c r="CU50" s="635"/>
      <c r="CV50" s="674"/>
      <c r="CW50" s="635"/>
      <c r="CX50" s="674"/>
      <c r="CY50" s="635"/>
      <c r="CZ50" s="674"/>
      <c r="DA50" s="635"/>
      <c r="DB50" s="674"/>
      <c r="DC50" s="674"/>
      <c r="DD50" s="635"/>
      <c r="DE50" s="674"/>
      <c r="DF50" s="635"/>
      <c r="DG50" s="674"/>
      <c r="DH50" s="635"/>
      <c r="DI50" s="674"/>
      <c r="DJ50" s="635"/>
      <c r="DK50" s="674"/>
      <c r="DL50" s="635"/>
      <c r="DM50" s="674"/>
      <c r="DN50" s="635"/>
      <c r="DO50" s="674"/>
      <c r="DP50" s="635"/>
      <c r="DQ50" s="674"/>
      <c r="DR50" s="635"/>
      <c r="DS50" s="674"/>
      <c r="DT50" s="635"/>
      <c r="DU50" s="674"/>
      <c r="DV50" s="635"/>
      <c r="DW50" s="674"/>
      <c r="DX50" s="635"/>
      <c r="DY50" s="674"/>
      <c r="DZ50" s="635"/>
      <c r="EA50" s="674"/>
      <c r="EB50" s="635"/>
      <c r="EC50" s="674"/>
      <c r="ED50" s="635"/>
      <c r="EE50" s="674"/>
      <c r="EF50" s="635"/>
      <c r="EG50" s="674"/>
      <c r="EH50" s="635"/>
      <c r="EI50" s="674"/>
      <c r="EJ50" s="635"/>
      <c r="EK50" s="674"/>
      <c r="EL50" s="635"/>
      <c r="EM50" s="635"/>
    </row>
    <row r="51" spans="1:144" s="632" customFormat="1" ht="12.75" customHeight="1" x14ac:dyDescent="0.2">
      <c r="A51" s="675" t="s">
        <v>507</v>
      </c>
      <c r="B51" s="672"/>
      <c r="C51" s="635"/>
      <c r="D51" s="672"/>
      <c r="E51" s="635"/>
      <c r="F51" s="672"/>
      <c r="G51" s="635"/>
      <c r="H51" s="672"/>
      <c r="I51" s="635"/>
      <c r="J51" s="672"/>
      <c r="K51" s="635"/>
      <c r="L51" s="672"/>
      <c r="M51" s="635"/>
      <c r="N51" s="672"/>
      <c r="O51" s="635"/>
      <c r="P51" s="672"/>
      <c r="Q51" s="635"/>
      <c r="R51" s="672"/>
      <c r="S51" s="635"/>
      <c r="T51" s="672"/>
      <c r="U51" s="635"/>
      <c r="V51" s="672"/>
      <c r="W51" s="635"/>
      <c r="X51" s="672"/>
      <c r="Y51" s="635"/>
      <c r="Z51" s="672"/>
      <c r="AA51" s="635"/>
      <c r="AB51" s="672"/>
      <c r="AC51" s="635"/>
      <c r="AD51" s="672"/>
      <c r="AE51" s="635"/>
      <c r="AF51" s="672"/>
      <c r="AG51" s="635"/>
      <c r="AH51" s="672"/>
      <c r="AI51" s="635"/>
      <c r="AJ51" s="672"/>
      <c r="AK51" s="635"/>
      <c r="AL51" s="672"/>
      <c r="AM51" s="635"/>
      <c r="AN51" s="672"/>
      <c r="AO51" s="635"/>
      <c r="AP51" s="672"/>
      <c r="AQ51" s="635"/>
      <c r="AR51" s="672"/>
      <c r="AS51" s="635"/>
      <c r="AT51" s="672"/>
      <c r="AU51" s="635"/>
      <c r="AV51" s="672"/>
      <c r="AW51" s="635"/>
      <c r="AX51" s="672"/>
      <c r="AY51" s="635"/>
      <c r="AZ51" s="672"/>
      <c r="BA51" s="635"/>
      <c r="BB51" s="672"/>
      <c r="BC51" s="635"/>
      <c r="BD51" s="672"/>
      <c r="BE51" s="635"/>
      <c r="BF51" s="672"/>
      <c r="BG51" s="635"/>
      <c r="BH51" s="672"/>
      <c r="BI51" s="635"/>
      <c r="BJ51" s="672"/>
      <c r="BK51" s="635"/>
      <c r="BL51" s="672"/>
      <c r="BM51" s="635"/>
      <c r="BN51" s="672"/>
      <c r="BO51" s="635"/>
      <c r="BP51" s="672"/>
      <c r="BQ51" s="635"/>
      <c r="BR51" s="672"/>
      <c r="BS51" s="635"/>
      <c r="BT51" s="672"/>
      <c r="BU51" s="635"/>
      <c r="BV51" s="672"/>
      <c r="BW51" s="635"/>
      <c r="BX51" s="672"/>
      <c r="BY51" s="635"/>
      <c r="BZ51" s="672"/>
      <c r="CA51" s="635"/>
      <c r="CB51" s="672"/>
      <c r="CC51" s="635"/>
      <c r="CD51" s="672"/>
      <c r="CE51" s="635"/>
      <c r="CF51" s="672"/>
      <c r="CG51" s="635"/>
      <c r="CH51" s="672"/>
      <c r="CI51" s="635"/>
      <c r="CJ51" s="672"/>
      <c r="CK51" s="635"/>
      <c r="CL51" s="672"/>
      <c r="CM51" s="635"/>
      <c r="CN51" s="672"/>
      <c r="CO51" s="635"/>
      <c r="CP51" s="672"/>
      <c r="CQ51" s="635"/>
      <c r="CR51" s="672"/>
      <c r="CS51" s="635"/>
      <c r="CT51" s="672"/>
      <c r="CU51" s="635"/>
      <c r="CV51" s="672"/>
      <c r="CW51" s="635"/>
      <c r="CX51" s="672"/>
      <c r="CY51" s="635"/>
      <c r="CZ51" s="672"/>
      <c r="DA51" s="635"/>
      <c r="DB51" s="673"/>
      <c r="DC51" s="672"/>
      <c r="DD51" s="635"/>
      <c r="DE51" s="672"/>
      <c r="DF51" s="635"/>
      <c r="DG51" s="672"/>
      <c r="DH51" s="635"/>
      <c r="DI51" s="672"/>
      <c r="DJ51" s="635"/>
      <c r="DK51" s="672"/>
      <c r="DL51" s="635"/>
      <c r="DM51" s="672"/>
      <c r="DN51" s="635"/>
      <c r="DO51" s="672"/>
      <c r="DP51" s="635"/>
      <c r="DQ51" s="672"/>
      <c r="DR51" s="635"/>
      <c r="DS51" s="672"/>
      <c r="DT51" s="635"/>
      <c r="DU51" s="672"/>
      <c r="DV51" s="635"/>
      <c r="DW51" s="672"/>
      <c r="DX51" s="635"/>
      <c r="DY51" s="672"/>
      <c r="DZ51" s="635"/>
      <c r="EA51" s="672"/>
      <c r="EB51" s="635"/>
      <c r="EC51" s="672"/>
      <c r="ED51" s="635"/>
      <c r="EE51" s="672"/>
      <c r="EF51" s="635"/>
      <c r="EG51" s="672"/>
      <c r="EH51" s="635"/>
      <c r="EI51" s="672"/>
      <c r="EJ51" s="635"/>
      <c r="EK51" s="672"/>
      <c r="EL51" s="635"/>
      <c r="EM51" s="635"/>
    </row>
    <row r="52" spans="1:144" s="632" customFormat="1" ht="12.75" customHeight="1" x14ac:dyDescent="0.2">
      <c r="A52" s="675" t="s">
        <v>13</v>
      </c>
      <c r="B52" s="672"/>
      <c r="C52" s="635"/>
      <c r="D52" s="672"/>
      <c r="E52" s="635"/>
      <c r="F52" s="672"/>
      <c r="G52" s="635"/>
      <c r="H52" s="672"/>
      <c r="I52" s="635"/>
      <c r="J52" s="672"/>
      <c r="K52" s="635"/>
      <c r="L52" s="672"/>
      <c r="M52" s="635"/>
      <c r="N52" s="672"/>
      <c r="O52" s="635"/>
      <c r="P52" s="672"/>
      <c r="Q52" s="635"/>
      <c r="R52" s="672"/>
      <c r="S52" s="635"/>
      <c r="T52" s="672"/>
      <c r="U52" s="635"/>
      <c r="V52" s="672"/>
      <c r="W52" s="635"/>
      <c r="X52" s="672"/>
      <c r="Y52" s="635"/>
      <c r="Z52" s="672"/>
      <c r="AA52" s="635"/>
      <c r="AB52" s="672"/>
      <c r="AC52" s="635"/>
      <c r="AD52" s="672"/>
      <c r="AE52" s="635"/>
      <c r="AF52" s="672"/>
      <c r="AG52" s="635"/>
      <c r="AH52" s="672"/>
      <c r="AI52" s="635"/>
      <c r="AJ52" s="672"/>
      <c r="AK52" s="635"/>
      <c r="AL52" s="672"/>
      <c r="AM52" s="635"/>
      <c r="AN52" s="672"/>
      <c r="AO52" s="635"/>
      <c r="AP52" s="672"/>
      <c r="AQ52" s="635"/>
      <c r="AR52" s="672"/>
      <c r="AS52" s="635"/>
      <c r="AT52" s="672"/>
      <c r="AU52" s="635"/>
      <c r="AV52" s="672"/>
      <c r="AW52" s="635"/>
      <c r="AX52" s="672"/>
      <c r="AY52" s="635"/>
      <c r="AZ52" s="672"/>
      <c r="BA52" s="635"/>
      <c r="BB52" s="672"/>
      <c r="BC52" s="635"/>
      <c r="BD52" s="672"/>
      <c r="BE52" s="635"/>
      <c r="BF52" s="672"/>
      <c r="BG52" s="635"/>
      <c r="BH52" s="672"/>
      <c r="BI52" s="635"/>
      <c r="BJ52" s="672"/>
      <c r="BK52" s="635"/>
      <c r="BL52" s="672"/>
      <c r="BM52" s="635"/>
      <c r="BN52" s="672"/>
      <c r="BO52" s="635"/>
      <c r="BP52" s="672"/>
      <c r="BQ52" s="635"/>
      <c r="BR52" s="672"/>
      <c r="BS52" s="635"/>
      <c r="BT52" s="672"/>
      <c r="BU52" s="635"/>
      <c r="BV52" s="672"/>
      <c r="BW52" s="635"/>
      <c r="BX52" s="672"/>
      <c r="BY52" s="635"/>
      <c r="BZ52" s="672"/>
      <c r="CA52" s="635"/>
      <c r="CB52" s="672"/>
      <c r="CC52" s="635"/>
      <c r="CD52" s="672"/>
      <c r="CE52" s="635"/>
      <c r="CF52" s="672"/>
      <c r="CG52" s="635"/>
      <c r="CH52" s="672"/>
      <c r="CI52" s="635"/>
      <c r="CJ52" s="672"/>
      <c r="CK52" s="635"/>
      <c r="CL52" s="672"/>
      <c r="CM52" s="635"/>
      <c r="CN52" s="672"/>
      <c r="CO52" s="635"/>
      <c r="CP52" s="672"/>
      <c r="CQ52" s="635"/>
      <c r="CR52" s="672"/>
      <c r="CS52" s="635"/>
      <c r="CT52" s="672"/>
      <c r="CU52" s="635"/>
      <c r="CV52" s="672"/>
      <c r="CW52" s="635"/>
      <c r="CX52" s="672"/>
      <c r="CY52" s="635"/>
      <c r="CZ52" s="672"/>
      <c r="DA52" s="635"/>
      <c r="DB52" s="673"/>
      <c r="DC52" s="672"/>
      <c r="DD52" s="635"/>
      <c r="DE52" s="672"/>
      <c r="DF52" s="635"/>
      <c r="DG52" s="672"/>
      <c r="DH52" s="635"/>
      <c r="DI52" s="672"/>
      <c r="DJ52" s="635"/>
      <c r="DK52" s="672"/>
      <c r="DL52" s="635"/>
      <c r="DM52" s="672"/>
      <c r="DN52" s="635"/>
      <c r="DO52" s="672"/>
      <c r="DP52" s="635"/>
      <c r="DQ52" s="672"/>
      <c r="DR52" s="635"/>
      <c r="DS52" s="672"/>
      <c r="DT52" s="635"/>
      <c r="DU52" s="672"/>
      <c r="DV52" s="635"/>
      <c r="DW52" s="672"/>
      <c r="DX52" s="635"/>
      <c r="DY52" s="672"/>
      <c r="DZ52" s="635"/>
      <c r="EA52" s="672"/>
      <c r="EB52" s="635"/>
      <c r="EC52" s="672"/>
      <c r="ED52" s="635"/>
      <c r="EE52" s="672"/>
      <c r="EF52" s="635"/>
      <c r="EG52" s="672"/>
      <c r="EH52" s="635"/>
      <c r="EI52" s="672"/>
      <c r="EJ52" s="635"/>
      <c r="EK52" s="672"/>
      <c r="EL52" s="635"/>
      <c r="EM52" s="635"/>
    </row>
    <row r="53" spans="1:144" s="632" customFormat="1" ht="12.75" customHeight="1" x14ac:dyDescent="0.2">
      <c r="A53" s="644"/>
      <c r="B53" s="655"/>
      <c r="C53" s="635"/>
      <c r="D53" s="655"/>
      <c r="E53" s="635"/>
      <c r="F53" s="655"/>
      <c r="G53" s="635"/>
      <c r="H53" s="655"/>
      <c r="I53" s="635"/>
      <c r="J53" s="655"/>
      <c r="K53" s="635"/>
      <c r="L53" s="655"/>
      <c r="M53" s="635"/>
      <c r="N53" s="655"/>
      <c r="O53" s="635"/>
      <c r="P53" s="655"/>
      <c r="Q53" s="635"/>
      <c r="R53" s="655"/>
      <c r="S53" s="635"/>
      <c r="T53" s="655"/>
      <c r="U53" s="635"/>
      <c r="V53" s="655"/>
      <c r="W53" s="635"/>
      <c r="X53" s="655"/>
      <c r="Y53" s="635"/>
      <c r="Z53" s="655"/>
      <c r="AA53" s="635"/>
      <c r="AB53" s="655"/>
      <c r="AC53" s="635"/>
      <c r="AD53" s="655"/>
      <c r="AE53" s="635"/>
      <c r="AF53" s="655"/>
      <c r="AG53" s="635"/>
      <c r="AH53" s="655"/>
      <c r="AI53" s="635"/>
      <c r="AJ53" s="655"/>
      <c r="AK53" s="635"/>
      <c r="AL53" s="655"/>
      <c r="AM53" s="635"/>
      <c r="AN53" s="655"/>
      <c r="AO53" s="635"/>
      <c r="AP53" s="655"/>
      <c r="AQ53" s="635"/>
      <c r="AR53" s="655"/>
      <c r="AS53" s="635"/>
      <c r="AT53" s="655"/>
      <c r="AU53" s="635"/>
      <c r="AV53" s="655"/>
      <c r="AW53" s="635"/>
      <c r="AX53" s="655"/>
      <c r="AY53" s="635"/>
      <c r="AZ53" s="655"/>
      <c r="BA53" s="635"/>
      <c r="BB53" s="655"/>
      <c r="BC53" s="635"/>
      <c r="BD53" s="655"/>
      <c r="BE53" s="635"/>
      <c r="BF53" s="655"/>
      <c r="BG53" s="635"/>
      <c r="BH53" s="655"/>
      <c r="BI53" s="635"/>
      <c r="BJ53" s="655"/>
      <c r="BK53" s="635"/>
      <c r="BL53" s="655"/>
      <c r="BM53" s="635"/>
      <c r="BN53" s="655"/>
      <c r="BO53" s="635"/>
      <c r="BP53" s="655"/>
      <c r="BQ53" s="635"/>
      <c r="BR53" s="655"/>
      <c r="BS53" s="635"/>
      <c r="BT53" s="655"/>
      <c r="BU53" s="635"/>
      <c r="BV53" s="655"/>
      <c r="BW53" s="635"/>
      <c r="BX53" s="655"/>
      <c r="BY53" s="635"/>
      <c r="BZ53" s="655"/>
      <c r="CA53" s="635"/>
      <c r="CB53" s="655"/>
      <c r="CC53" s="635"/>
      <c r="CD53" s="655"/>
      <c r="CE53" s="635"/>
      <c r="CF53" s="655"/>
      <c r="CG53" s="635"/>
      <c r="CH53" s="655"/>
      <c r="CI53" s="635"/>
      <c r="CJ53" s="655"/>
      <c r="CK53" s="635"/>
      <c r="CL53" s="655"/>
      <c r="CM53" s="635"/>
      <c r="CN53" s="655"/>
      <c r="CO53" s="635"/>
      <c r="CP53" s="655"/>
      <c r="CQ53" s="635"/>
      <c r="CR53" s="655"/>
      <c r="CS53" s="635"/>
      <c r="CT53" s="655"/>
      <c r="CU53" s="635"/>
      <c r="CV53" s="655"/>
      <c r="CW53" s="635"/>
      <c r="CX53" s="655"/>
      <c r="CY53" s="635"/>
      <c r="CZ53" s="655"/>
      <c r="DA53" s="635"/>
      <c r="DB53" s="666"/>
      <c r="DC53" s="655"/>
      <c r="DD53" s="635"/>
      <c r="DE53" s="655"/>
      <c r="DF53" s="635"/>
      <c r="DG53" s="655"/>
      <c r="DH53" s="635"/>
      <c r="DI53" s="655"/>
      <c r="DJ53" s="635"/>
      <c r="DK53" s="655"/>
      <c r="DL53" s="635"/>
      <c r="DM53" s="655"/>
      <c r="DN53" s="635"/>
      <c r="DO53" s="655"/>
      <c r="DP53" s="635"/>
      <c r="DQ53" s="655"/>
      <c r="DR53" s="635"/>
      <c r="DS53" s="655"/>
      <c r="DT53" s="635"/>
      <c r="DU53" s="655"/>
      <c r="DV53" s="635"/>
      <c r="DW53" s="655"/>
      <c r="DX53" s="635"/>
      <c r="DY53" s="655"/>
      <c r="DZ53" s="635"/>
      <c r="EA53" s="655"/>
      <c r="EB53" s="635"/>
      <c r="EC53" s="655"/>
      <c r="ED53" s="635"/>
      <c r="EE53" s="655"/>
      <c r="EF53" s="635"/>
      <c r="EG53" s="655"/>
      <c r="EH53" s="635"/>
      <c r="EI53" s="655"/>
      <c r="EJ53" s="635"/>
      <c r="EK53" s="655"/>
      <c r="EL53" s="635"/>
      <c r="EM53" s="635"/>
    </row>
    <row r="54" spans="1:144" s="632" customFormat="1" ht="21.95" customHeight="1" x14ac:dyDescent="0.25">
      <c r="A54" s="627" t="str">
        <f>$A$1</f>
        <v>Prudential Financial, Inc.</v>
      </c>
      <c r="B54" s="628"/>
      <c r="C54" s="629"/>
      <c r="D54" s="628"/>
      <c r="E54" s="629"/>
      <c r="F54" s="628"/>
      <c r="G54" s="629"/>
      <c r="H54" s="628"/>
      <c r="I54" s="629"/>
      <c r="J54" s="628"/>
      <c r="K54" s="629"/>
      <c r="L54" s="628"/>
      <c r="M54" s="629"/>
      <c r="N54" s="628"/>
      <c r="O54" s="629"/>
      <c r="P54" s="628"/>
      <c r="Q54" s="629"/>
      <c r="R54" s="628"/>
      <c r="S54" s="629"/>
      <c r="T54" s="628"/>
      <c r="U54" s="629"/>
      <c r="V54" s="628"/>
      <c r="W54" s="629"/>
      <c r="X54" s="628"/>
      <c r="Y54" s="629"/>
      <c r="Z54" s="628"/>
      <c r="AA54" s="629"/>
      <c r="AB54" s="628"/>
      <c r="AC54" s="629"/>
      <c r="AD54" s="628"/>
      <c r="AE54" s="629"/>
      <c r="AF54" s="628"/>
      <c r="AG54" s="629"/>
      <c r="AH54" s="628"/>
      <c r="AI54" s="629"/>
      <c r="AJ54" s="628"/>
      <c r="AK54" s="629"/>
      <c r="AL54" s="628"/>
      <c r="AM54" s="629"/>
      <c r="AN54" s="628"/>
      <c r="AO54" s="629"/>
      <c r="AP54" s="628"/>
      <c r="AQ54" s="629"/>
      <c r="AR54" s="628"/>
      <c r="AS54" s="629"/>
      <c r="AT54" s="628"/>
      <c r="AU54" s="629"/>
      <c r="AV54" s="628"/>
      <c r="AW54" s="629"/>
      <c r="AX54" s="628"/>
      <c r="AY54" s="629"/>
      <c r="AZ54" s="628"/>
      <c r="BA54" s="629"/>
      <c r="BB54" s="628"/>
      <c r="BC54" s="629"/>
      <c r="BD54" s="628"/>
      <c r="BE54" s="629"/>
      <c r="BF54" s="628"/>
      <c r="BG54" s="629"/>
      <c r="BH54" s="628"/>
      <c r="BI54" s="629"/>
      <c r="BJ54" s="628"/>
      <c r="BK54" s="629"/>
      <c r="BL54" s="628"/>
      <c r="BM54" s="629"/>
      <c r="BN54" s="628"/>
      <c r="BO54" s="629"/>
      <c r="BP54" s="628"/>
      <c r="BQ54" s="629"/>
      <c r="BR54" s="628"/>
      <c r="BS54" s="629"/>
      <c r="BT54" s="628"/>
      <c r="BU54" s="629"/>
      <c r="BV54" s="628"/>
      <c r="BW54" s="629"/>
      <c r="BX54" s="628"/>
      <c r="BY54" s="629"/>
      <c r="BZ54" s="628"/>
      <c r="CA54" s="629"/>
      <c r="CB54" s="628"/>
      <c r="CC54" s="629"/>
      <c r="CD54" s="628"/>
      <c r="CE54" s="629"/>
      <c r="CF54" s="628"/>
      <c r="CG54" s="629"/>
      <c r="CH54" s="628"/>
      <c r="CI54" s="629"/>
      <c r="CJ54" s="628"/>
      <c r="CK54" s="629"/>
      <c r="CL54" s="628"/>
      <c r="CM54" s="629"/>
      <c r="CN54" s="628"/>
      <c r="CO54" s="629"/>
      <c r="CP54" s="628"/>
      <c r="CQ54" s="629"/>
      <c r="CR54" s="628"/>
      <c r="CS54" s="629"/>
      <c r="CT54" s="628"/>
      <c r="CU54" s="629"/>
      <c r="CV54" s="628"/>
      <c r="CW54" s="629"/>
      <c r="CX54" s="628"/>
      <c r="CY54" s="629"/>
      <c r="CZ54" s="628"/>
      <c r="DA54" s="629"/>
      <c r="DB54" s="630"/>
      <c r="DC54" s="628"/>
      <c r="DD54" s="629"/>
      <c r="DE54" s="628"/>
      <c r="DF54" s="629"/>
      <c r="DG54" s="628"/>
      <c r="DH54" s="629"/>
      <c r="DI54" s="628"/>
      <c r="DJ54" s="629"/>
      <c r="DK54" s="628"/>
      <c r="DL54" s="629"/>
      <c r="DM54" s="628"/>
      <c r="DN54" s="629"/>
      <c r="DO54" s="628"/>
      <c r="DP54" s="629"/>
      <c r="DQ54" s="628"/>
      <c r="DR54" s="629"/>
      <c r="DS54" s="628"/>
      <c r="DT54" s="629"/>
      <c r="DU54" s="628"/>
      <c r="DV54" s="629"/>
      <c r="DW54" s="628"/>
      <c r="DX54" s="629"/>
      <c r="DY54" s="628"/>
      <c r="DZ54" s="629"/>
      <c r="EA54" s="628"/>
      <c r="EB54" s="629"/>
      <c r="EC54" s="628"/>
      <c r="ED54" s="629"/>
      <c r="EE54" s="628"/>
      <c r="EF54" s="629"/>
      <c r="EG54" s="628"/>
      <c r="EH54" s="629"/>
      <c r="EI54" s="628"/>
      <c r="EJ54" s="629"/>
      <c r="EK54" s="628"/>
      <c r="EL54" s="629"/>
      <c r="EM54" s="628"/>
    </row>
    <row r="55" spans="1:144" s="632" customFormat="1" ht="12.75" customHeight="1" x14ac:dyDescent="0.2">
      <c r="A55" s="633" t="s">
        <v>140</v>
      </c>
      <c r="B55" s="634"/>
      <c r="C55" s="635"/>
      <c r="D55" s="634"/>
      <c r="E55" s="635"/>
      <c r="F55" s="634"/>
      <c r="G55" s="635"/>
      <c r="H55" s="634"/>
      <c r="I55" s="635"/>
      <c r="J55" s="634"/>
      <c r="K55" s="635"/>
      <c r="L55" s="634"/>
      <c r="M55" s="635"/>
      <c r="N55" s="634"/>
      <c r="O55" s="635"/>
      <c r="P55" s="634"/>
      <c r="Q55" s="635"/>
      <c r="R55" s="634"/>
      <c r="S55" s="635"/>
      <c r="T55" s="634"/>
      <c r="U55" s="635"/>
      <c r="V55" s="634"/>
      <c r="W55" s="635"/>
      <c r="X55" s="634"/>
      <c r="Y55" s="635"/>
      <c r="Z55" s="634"/>
      <c r="AA55" s="635"/>
      <c r="AB55" s="634"/>
      <c r="AC55" s="635"/>
      <c r="AD55" s="634"/>
      <c r="AE55" s="635"/>
      <c r="AF55" s="634"/>
      <c r="AG55" s="635"/>
      <c r="AH55" s="634"/>
      <c r="AI55" s="635"/>
      <c r="AJ55" s="634"/>
      <c r="AK55" s="635"/>
      <c r="AL55" s="634"/>
      <c r="AM55" s="635"/>
      <c r="AN55" s="634"/>
      <c r="AO55" s="635"/>
      <c r="AP55" s="634"/>
      <c r="AQ55" s="635"/>
      <c r="AR55" s="634"/>
      <c r="AS55" s="635"/>
      <c r="AT55" s="634"/>
      <c r="AU55" s="635"/>
      <c r="AV55" s="634"/>
      <c r="AW55" s="635"/>
      <c r="AX55" s="634"/>
      <c r="AY55" s="635"/>
      <c r="AZ55" s="634"/>
      <c r="BA55" s="635"/>
      <c r="BB55" s="634"/>
      <c r="BC55" s="635"/>
      <c r="BD55" s="634"/>
      <c r="BE55" s="635"/>
      <c r="BF55" s="634"/>
      <c r="BG55" s="635"/>
      <c r="BH55" s="634"/>
      <c r="BI55" s="635"/>
      <c r="BJ55" s="634"/>
      <c r="BK55" s="635"/>
      <c r="BL55" s="634"/>
      <c r="BM55" s="635"/>
      <c r="BN55" s="634"/>
      <c r="BO55" s="635"/>
      <c r="BP55" s="634"/>
      <c r="BQ55" s="635"/>
      <c r="BR55" s="634"/>
      <c r="BS55" s="635"/>
      <c r="BT55" s="634"/>
      <c r="BU55" s="635"/>
      <c r="BV55" s="634"/>
      <c r="BW55" s="635"/>
      <c r="BX55" s="634"/>
      <c r="BY55" s="635"/>
      <c r="BZ55" s="634"/>
      <c r="CA55" s="635"/>
      <c r="CB55" s="634"/>
      <c r="CC55" s="635"/>
      <c r="CD55" s="634"/>
      <c r="CE55" s="635"/>
      <c r="CF55" s="634"/>
      <c r="CG55" s="635"/>
      <c r="CH55" s="634"/>
      <c r="CI55" s="635"/>
      <c r="CJ55" s="634"/>
      <c r="CK55" s="635"/>
      <c r="CL55" s="634"/>
      <c r="CM55" s="635"/>
      <c r="CN55" s="634"/>
      <c r="CO55" s="635"/>
      <c r="CP55" s="634"/>
      <c r="CQ55" s="635"/>
      <c r="CR55" s="634"/>
      <c r="CS55" s="635"/>
      <c r="CT55" s="634"/>
      <c r="CU55" s="635"/>
      <c r="CV55" s="634"/>
      <c r="CW55" s="635"/>
      <c r="CX55" s="634"/>
      <c r="CY55" s="635"/>
      <c r="CZ55" s="634"/>
      <c r="DA55" s="635"/>
      <c r="DB55" s="636"/>
      <c r="DC55" s="637"/>
      <c r="DD55" s="635"/>
      <c r="DE55" s="634"/>
      <c r="DF55" s="635"/>
      <c r="DG55" s="634"/>
      <c r="DH55" s="635"/>
      <c r="DI55" s="634"/>
      <c r="DJ55" s="635"/>
      <c r="DK55" s="634"/>
      <c r="DL55" s="635"/>
      <c r="DM55" s="634"/>
      <c r="DN55" s="635"/>
      <c r="DO55" s="634"/>
      <c r="DP55" s="635"/>
      <c r="DQ55" s="634"/>
      <c r="DR55" s="635"/>
      <c r="DS55" s="634"/>
      <c r="DT55" s="635"/>
      <c r="DU55" s="634"/>
      <c r="DV55" s="635"/>
      <c r="DW55" s="634"/>
      <c r="DX55" s="635"/>
      <c r="DY55" s="634"/>
      <c r="DZ55" s="635"/>
      <c r="EA55" s="634"/>
      <c r="EB55" s="635"/>
      <c r="EC55" s="634"/>
      <c r="ED55" s="635"/>
      <c r="EE55" s="634"/>
      <c r="EF55" s="635"/>
      <c r="EG55" s="634"/>
      <c r="EH55" s="635"/>
      <c r="EI55" s="634"/>
      <c r="EJ55" s="635"/>
      <c r="EK55" s="634"/>
      <c r="EL55" s="635"/>
      <c r="EM55" s="634"/>
    </row>
    <row r="56" spans="1:144" s="632" customFormat="1" ht="12.75" customHeight="1" x14ac:dyDescent="0.2">
      <c r="A56" s="638" t="str">
        <f>+A$3</f>
        <v>($Millions Except Per Share Data)</v>
      </c>
      <c r="B56" s="639"/>
      <c r="C56" s="640" t="str">
        <f>+C$3</f>
        <v>1Q06/</v>
      </c>
      <c r="D56" s="639"/>
      <c r="E56" s="640" t="str">
        <f>+E$3</f>
        <v>2Q06/</v>
      </c>
      <c r="F56" s="639"/>
      <c r="G56" s="640" t="str">
        <f>+G$3</f>
        <v>3Q06/</v>
      </c>
      <c r="H56" s="639"/>
      <c r="I56" s="640" t="str">
        <f>+I$3</f>
        <v>4Q06/</v>
      </c>
      <c r="J56" s="639"/>
      <c r="K56" s="640" t="str">
        <f>+K$3</f>
        <v>1Q07/</v>
      </c>
      <c r="L56" s="639"/>
      <c r="M56" s="640" t="str">
        <f>+M$3</f>
        <v>2Q07/</v>
      </c>
      <c r="N56" s="639"/>
      <c r="O56" s="640" t="str">
        <f>+O$3</f>
        <v>3Q07/</v>
      </c>
      <c r="P56" s="639"/>
      <c r="Q56" s="640" t="str">
        <f>+Q$3</f>
        <v>4Q07/</v>
      </c>
      <c r="R56" s="639"/>
      <c r="S56" s="640" t="str">
        <f>+S$3</f>
        <v>1Q08/</v>
      </c>
      <c r="T56" s="639"/>
      <c r="U56" s="640" t="str">
        <f>+U$3</f>
        <v>2Q08/</v>
      </c>
      <c r="V56" s="639"/>
      <c r="W56" s="640" t="str">
        <f>+W$3</f>
        <v>3Q08/</v>
      </c>
      <c r="X56" s="639"/>
      <c r="Y56" s="640" t="str">
        <f>+Y$3</f>
        <v>4Q08/</v>
      </c>
      <c r="Z56" s="639"/>
      <c r="AA56" s="640" t="str">
        <f>+AA$3</f>
        <v>1Q09/</v>
      </c>
      <c r="AB56" s="639"/>
      <c r="AC56" s="640" t="str">
        <f>+AC$3</f>
        <v>2Q09/</v>
      </c>
      <c r="AD56" s="639"/>
      <c r="AE56" s="640" t="str">
        <f>+AE$3</f>
        <v>3Q09/</v>
      </c>
      <c r="AF56" s="639"/>
      <c r="AG56" s="640" t="str">
        <f>+AG$3</f>
        <v>4Q09/</v>
      </c>
      <c r="AH56" s="639"/>
      <c r="AI56" s="640" t="str">
        <f>+AI$3</f>
        <v>1Q10/</v>
      </c>
      <c r="AJ56" s="639"/>
      <c r="AK56" s="640" t="str">
        <f>+AK$3</f>
        <v>2Q10/</v>
      </c>
      <c r="AL56" s="639"/>
      <c r="AM56" s="640" t="str">
        <f>+AM$3</f>
        <v>3Q10/</v>
      </c>
      <c r="AN56" s="639"/>
      <c r="AO56" s="640" t="str">
        <f>+AO$3</f>
        <v>4Q10/</v>
      </c>
      <c r="AP56" s="639"/>
      <c r="AQ56" s="640" t="str">
        <f>+AQ$3</f>
        <v>1Q11/</v>
      </c>
      <c r="AR56" s="639"/>
      <c r="AS56" s="640" t="str">
        <f>+AS$3</f>
        <v>2Q11/</v>
      </c>
      <c r="AT56" s="639"/>
      <c r="AU56" s="640" t="str">
        <f>+AU$3</f>
        <v>3Q11/</v>
      </c>
      <c r="AV56" s="639"/>
      <c r="AW56" s="640" t="str">
        <f>+AW$3</f>
        <v>4Q11/</v>
      </c>
      <c r="AX56" s="639"/>
      <c r="AY56" s="640" t="str">
        <f>+AY$3</f>
        <v>1Q12/</v>
      </c>
      <c r="AZ56" s="639"/>
      <c r="BA56" s="640" t="str">
        <f>+BA$3</f>
        <v>2Q12/</v>
      </c>
      <c r="BB56" s="639"/>
      <c r="BC56" s="640" t="str">
        <f>+BC$3</f>
        <v>3Q12/</v>
      </c>
      <c r="BD56" s="639"/>
      <c r="BE56" s="640" t="str">
        <f>+BE$3</f>
        <v>4Q12/</v>
      </c>
      <c r="BF56" s="639"/>
      <c r="BG56" s="640" t="str">
        <f>+BG$3</f>
        <v>1Q13/</v>
      </c>
      <c r="BH56" s="639"/>
      <c r="BI56" s="640" t="str">
        <f>+BI$3</f>
        <v>2Q13/</v>
      </c>
      <c r="BJ56" s="639"/>
      <c r="BK56" s="640" t="str">
        <f>+BK$3</f>
        <v>3Q13/</v>
      </c>
      <c r="BL56" s="639"/>
      <c r="BM56" s="640" t="str">
        <f>+BM$3</f>
        <v>4Q13/</v>
      </c>
      <c r="BN56" s="639"/>
      <c r="BO56" s="640" t="str">
        <f>+BO$3</f>
        <v>1Q14/</v>
      </c>
      <c r="BP56" s="639"/>
      <c r="BQ56" s="640" t="str">
        <f>+BQ$3</f>
        <v>2Q14/</v>
      </c>
      <c r="BR56" s="639"/>
      <c r="BS56" s="640" t="str">
        <f>+BS$3</f>
        <v>3Q14/</v>
      </c>
      <c r="BT56" s="639"/>
      <c r="BU56" s="640" t="str">
        <f>+BU$3</f>
        <v>4Q14/</v>
      </c>
      <c r="BV56" s="639"/>
      <c r="BW56" s="640" t="str">
        <f>+BW$3</f>
        <v>1Q15/</v>
      </c>
      <c r="BX56" s="639"/>
      <c r="BY56" s="640" t="str">
        <f>+BY$3</f>
        <v>2Q15/</v>
      </c>
      <c r="BZ56" s="639"/>
      <c r="CA56" s="640" t="str">
        <f>+CA$3</f>
        <v>3Q15/</v>
      </c>
      <c r="CB56" s="639"/>
      <c r="CC56" s="640" t="str">
        <f>+CC$3</f>
        <v>4Q15/</v>
      </c>
      <c r="CD56" s="639"/>
      <c r="CE56" s="640" t="str">
        <f>+CE$3</f>
        <v>1Q16/</v>
      </c>
      <c r="CF56" s="639"/>
      <c r="CG56" s="640" t="str">
        <f>+CG$3</f>
        <v>2Q16/</v>
      </c>
      <c r="CH56" s="639"/>
      <c r="CI56" s="640" t="str">
        <f>+CI$3</f>
        <v>3Q16/</v>
      </c>
      <c r="CJ56" s="639"/>
      <c r="CK56" s="640" t="str">
        <f>+CK$3</f>
        <v>4Q16/</v>
      </c>
      <c r="CL56" s="639"/>
      <c r="CM56" s="640" t="str">
        <f>+CM$3</f>
        <v>1Q17/</v>
      </c>
      <c r="CN56" s="639"/>
      <c r="CO56" s="640" t="str">
        <f>+CO$3</f>
        <v>2Q17/</v>
      </c>
      <c r="CP56" s="639"/>
      <c r="CQ56" s="640" t="str">
        <f>+CQ$3</f>
        <v>3Q17/</v>
      </c>
      <c r="CR56" s="639"/>
      <c r="CS56" s="640" t="str">
        <f>+CS$3</f>
        <v>4Q17/</v>
      </c>
      <c r="CT56" s="639"/>
      <c r="CU56" s="640" t="str">
        <f>+CU$3</f>
        <v>1Q18E/</v>
      </c>
      <c r="CV56" s="639"/>
      <c r="CW56" s="640" t="str">
        <f>+CW$3</f>
        <v>2Q18E/</v>
      </c>
      <c r="CX56" s="639"/>
      <c r="CY56" s="640" t="str">
        <f>+CY$3</f>
        <v>3Q18E/</v>
      </c>
      <c r="CZ56" s="639"/>
      <c r="DA56" s="640" t="str">
        <f>+DA$3</f>
        <v>4Q18E/</v>
      </c>
      <c r="DB56" s="641"/>
      <c r="DC56" s="639"/>
      <c r="DD56" s="640" t="str">
        <f>+DD$3</f>
        <v>2005/</v>
      </c>
      <c r="DE56" s="639"/>
      <c r="DF56" s="640" t="str">
        <f>+DF$3</f>
        <v>2006/</v>
      </c>
      <c r="DG56" s="639"/>
      <c r="DH56" s="640" t="str">
        <f>+DH$3</f>
        <v>2007/</v>
      </c>
      <c r="DI56" s="639"/>
      <c r="DJ56" s="640" t="str">
        <f>+DJ$3</f>
        <v>2008/</v>
      </c>
      <c r="DK56" s="639"/>
      <c r="DL56" s="640" t="str">
        <f>+DL$3</f>
        <v>2009/</v>
      </c>
      <c r="DM56" s="639"/>
      <c r="DN56" s="640" t="str">
        <f>+DN$3</f>
        <v>2010/</v>
      </c>
      <c r="DO56" s="639"/>
      <c r="DP56" s="640" t="str">
        <f>+DP$3</f>
        <v>2011/</v>
      </c>
      <c r="DQ56" s="639"/>
      <c r="DR56" s="640" t="str">
        <f>+DR$3</f>
        <v>2012/</v>
      </c>
      <c r="DS56" s="639"/>
      <c r="DT56" s="640" t="str">
        <f>+DT$3</f>
        <v>2013/</v>
      </c>
      <c r="DU56" s="639"/>
      <c r="DV56" s="640" t="str">
        <f>+DV$3</f>
        <v>2014/</v>
      </c>
      <c r="DW56" s="639"/>
      <c r="DX56" s="640" t="str">
        <f>+DX$3</f>
        <v>2015/</v>
      </c>
      <c r="DY56" s="639"/>
      <c r="DZ56" s="640" t="str">
        <f>+DZ$3</f>
        <v>2016/</v>
      </c>
      <c r="EA56" s="639"/>
      <c r="EB56" s="640" t="str">
        <f>+EB$3</f>
        <v>2017/</v>
      </c>
      <c r="EC56" s="639"/>
      <c r="ED56" s="640" t="str">
        <f>+ED$3</f>
        <v>2018E/</v>
      </c>
      <c r="EE56" s="639"/>
      <c r="EF56" s="640" t="str">
        <f>+EF$3</f>
        <v>2019E/</v>
      </c>
      <c r="EG56" s="639"/>
      <c r="EH56" s="640" t="str">
        <f>+EH$3</f>
        <v>2020E/</v>
      </c>
      <c r="EI56" s="639"/>
      <c r="EJ56" s="640" t="str">
        <f>+EJ$3</f>
        <v>2021E/</v>
      </c>
      <c r="EK56" s="639"/>
      <c r="EL56" s="640" t="str">
        <f>+EL$3</f>
        <v>2022E/</v>
      </c>
      <c r="EM56" s="642" t="str">
        <f>+EM$3</f>
        <v>5-Yr</v>
      </c>
      <c r="EN56" s="643"/>
    </row>
    <row r="57" spans="1:144" s="632" customFormat="1" ht="12.75" customHeight="1" x14ac:dyDescent="0.2">
      <c r="A57" s="644"/>
      <c r="B57" s="645"/>
      <c r="C57" s="635" t="str">
        <f>+C$4</f>
        <v>1Q05</v>
      </c>
      <c r="D57" s="645"/>
      <c r="E57" s="635" t="str">
        <f>+E$4</f>
        <v>2Q05</v>
      </c>
      <c r="F57" s="645"/>
      <c r="G57" s="635" t="str">
        <f>+G$4</f>
        <v>3Q05</v>
      </c>
      <c r="H57" s="645"/>
      <c r="I57" s="635" t="str">
        <f>+I$4</f>
        <v>4Q05</v>
      </c>
      <c r="J57" s="645"/>
      <c r="K57" s="635" t="str">
        <f>+K$4</f>
        <v>1Q06</v>
      </c>
      <c r="L57" s="645"/>
      <c r="M57" s="635" t="str">
        <f>+M$4</f>
        <v>2Q06</v>
      </c>
      <c r="N57" s="645"/>
      <c r="O57" s="635" t="str">
        <f>+O$4</f>
        <v>3Q06</v>
      </c>
      <c r="P57" s="645"/>
      <c r="Q57" s="635" t="str">
        <f>+Q$4</f>
        <v>4Q06</v>
      </c>
      <c r="R57" s="645"/>
      <c r="S57" s="635" t="str">
        <f>+S$4</f>
        <v>1Q07</v>
      </c>
      <c r="T57" s="645"/>
      <c r="U57" s="635" t="str">
        <f>+U$4</f>
        <v>2Q07</v>
      </c>
      <c r="V57" s="645"/>
      <c r="W57" s="635" t="str">
        <f>+W$4</f>
        <v>3Q07</v>
      </c>
      <c r="X57" s="645"/>
      <c r="Y57" s="635" t="str">
        <f>+Y$4</f>
        <v>4Q07</v>
      </c>
      <c r="Z57" s="645"/>
      <c r="AA57" s="635" t="str">
        <f>+AA$4</f>
        <v>1Q08</v>
      </c>
      <c r="AB57" s="645"/>
      <c r="AC57" s="635" t="str">
        <f>+AC$4</f>
        <v>2Q08</v>
      </c>
      <c r="AD57" s="645"/>
      <c r="AE57" s="635" t="str">
        <f>+AE$4</f>
        <v>3Q08</v>
      </c>
      <c r="AF57" s="645"/>
      <c r="AG57" s="635" t="str">
        <f>+AG$4</f>
        <v>4Q08</v>
      </c>
      <c r="AH57" s="645"/>
      <c r="AI57" s="635" t="str">
        <f>+AI$4</f>
        <v>1Q09</v>
      </c>
      <c r="AJ57" s="645"/>
      <c r="AK57" s="635" t="str">
        <f>+AK$4</f>
        <v>2Q09</v>
      </c>
      <c r="AL57" s="645"/>
      <c r="AM57" s="635" t="str">
        <f>+AM$4</f>
        <v>3Q09</v>
      </c>
      <c r="AN57" s="645"/>
      <c r="AO57" s="635" t="str">
        <f>+AO$4</f>
        <v>4Q09</v>
      </c>
      <c r="AP57" s="645"/>
      <c r="AQ57" s="635" t="str">
        <f>+AQ$4</f>
        <v>1Q10</v>
      </c>
      <c r="AR57" s="645"/>
      <c r="AS57" s="635" t="str">
        <f>+AS$4</f>
        <v>2Q10</v>
      </c>
      <c r="AT57" s="645"/>
      <c r="AU57" s="635" t="str">
        <f>+AU$4</f>
        <v>3Q10</v>
      </c>
      <c r="AV57" s="645"/>
      <c r="AW57" s="635" t="str">
        <f>+AW$4</f>
        <v>4Q10</v>
      </c>
      <c r="AX57" s="645"/>
      <c r="AY57" s="635" t="str">
        <f>+AY$4</f>
        <v>1Q11</v>
      </c>
      <c r="AZ57" s="645"/>
      <c r="BA57" s="635" t="str">
        <f>+BA$4</f>
        <v>2Q11</v>
      </c>
      <c r="BB57" s="645"/>
      <c r="BC57" s="635" t="str">
        <f>+BC$4</f>
        <v>3Q11</v>
      </c>
      <c r="BD57" s="645"/>
      <c r="BE57" s="635" t="str">
        <f>+BE$4</f>
        <v>4Q11</v>
      </c>
      <c r="BF57" s="645"/>
      <c r="BG57" s="635" t="str">
        <f>+BG$4</f>
        <v>1Q12</v>
      </c>
      <c r="BH57" s="645"/>
      <c r="BI57" s="635" t="str">
        <f>+BI$4</f>
        <v>2Q12</v>
      </c>
      <c r="BJ57" s="645"/>
      <c r="BK57" s="635" t="str">
        <f>+BK$4</f>
        <v>3Q12</v>
      </c>
      <c r="BL57" s="645"/>
      <c r="BM57" s="635" t="str">
        <f>+BM$4</f>
        <v>4Q12</v>
      </c>
      <c r="BN57" s="645"/>
      <c r="BO57" s="635" t="str">
        <f>+BO$4</f>
        <v>1Q13</v>
      </c>
      <c r="BP57" s="645"/>
      <c r="BQ57" s="635" t="str">
        <f>+BQ$4</f>
        <v>2Q13</v>
      </c>
      <c r="BR57" s="645"/>
      <c r="BS57" s="635" t="str">
        <f>+BS$4</f>
        <v>3Q13</v>
      </c>
      <c r="BT57" s="645"/>
      <c r="BU57" s="635" t="str">
        <f>+BU$4</f>
        <v>4Q13</v>
      </c>
      <c r="BV57" s="645"/>
      <c r="BW57" s="635" t="str">
        <f>+BW$4</f>
        <v>1Q14</v>
      </c>
      <c r="BX57" s="645"/>
      <c r="BY57" s="635" t="str">
        <f>+BY$4</f>
        <v>2Q14</v>
      </c>
      <c r="BZ57" s="645"/>
      <c r="CA57" s="635" t="str">
        <f>+CA$4</f>
        <v>3Q14</v>
      </c>
      <c r="CB57" s="645"/>
      <c r="CC57" s="635" t="str">
        <f>+CC$4</f>
        <v>4Q14</v>
      </c>
      <c r="CD57" s="645"/>
      <c r="CE57" s="635" t="str">
        <f>+CE$4</f>
        <v>1Q15</v>
      </c>
      <c r="CF57" s="645"/>
      <c r="CG57" s="635" t="str">
        <f>+CG$4</f>
        <v>2Q15</v>
      </c>
      <c r="CH57" s="645"/>
      <c r="CI57" s="635" t="str">
        <f>+CI$4</f>
        <v>3Q15</v>
      </c>
      <c r="CJ57" s="645"/>
      <c r="CK57" s="635" t="str">
        <f>+CK$4</f>
        <v>4Q15</v>
      </c>
      <c r="CL57" s="645"/>
      <c r="CM57" s="635" t="str">
        <f>+CM$4</f>
        <v>1Q16</v>
      </c>
      <c r="CN57" s="645"/>
      <c r="CO57" s="635" t="str">
        <f>+CO$4</f>
        <v>2Q16</v>
      </c>
      <c r="CP57" s="645"/>
      <c r="CQ57" s="635" t="str">
        <f>+CQ$4</f>
        <v>3Q16</v>
      </c>
      <c r="CR57" s="645"/>
      <c r="CS57" s="635" t="str">
        <f>+CS$4</f>
        <v>4Q16</v>
      </c>
      <c r="CT57" s="645"/>
      <c r="CU57" s="635" t="str">
        <f>+CU$4</f>
        <v>1Q17</v>
      </c>
      <c r="CV57" s="645"/>
      <c r="CW57" s="635" t="str">
        <f>+CW$4</f>
        <v>2Q17</v>
      </c>
      <c r="CX57" s="645"/>
      <c r="CY57" s="635" t="str">
        <f>+CY$4</f>
        <v>3Q17</v>
      </c>
      <c r="CZ57" s="645"/>
      <c r="DA57" s="635" t="str">
        <f>+DA$4</f>
        <v>4Q17</v>
      </c>
      <c r="DB57" s="636"/>
      <c r="DC57" s="645"/>
      <c r="DD57" s="645">
        <f>+DD$4</f>
        <v>2004</v>
      </c>
      <c r="DE57" s="645"/>
      <c r="DF57" s="635" t="str">
        <f>+DF$4</f>
        <v>2005</v>
      </c>
      <c r="DG57" s="645"/>
      <c r="DH57" s="635" t="str">
        <f>+DH$4</f>
        <v>2006</v>
      </c>
      <c r="DI57" s="645"/>
      <c r="DJ57" s="646">
        <f>+DJ$4</f>
        <v>2007</v>
      </c>
      <c r="DK57" s="645"/>
      <c r="DL57" s="635" t="str">
        <f>+DL$4</f>
        <v>2008</v>
      </c>
      <c r="DM57" s="645"/>
      <c r="DN57" s="635" t="str">
        <f>+DN$4</f>
        <v>2009</v>
      </c>
      <c r="DO57" s="645"/>
      <c r="DP57" s="635" t="str">
        <f>+DP$4</f>
        <v>2010</v>
      </c>
      <c r="DQ57" s="645"/>
      <c r="DR57" s="635" t="str">
        <f>+DR$4</f>
        <v>2011</v>
      </c>
      <c r="DS57" s="645"/>
      <c r="DT57" s="635" t="str">
        <f>+DT$4</f>
        <v>2012</v>
      </c>
      <c r="DU57" s="645"/>
      <c r="DV57" s="635" t="str">
        <f>+DV$4</f>
        <v>2013</v>
      </c>
      <c r="DW57" s="645"/>
      <c r="DX57" s="635">
        <f>+DX$4</f>
        <v>2014</v>
      </c>
      <c r="DY57" s="645"/>
      <c r="DZ57" s="635" t="str">
        <f>+DZ$4</f>
        <v>2015</v>
      </c>
      <c r="EA57" s="645"/>
      <c r="EB57" s="635">
        <f>+EB$4</f>
        <v>2016</v>
      </c>
      <c r="EC57" s="645"/>
      <c r="ED57" s="635">
        <f>+ED$4</f>
        <v>2017</v>
      </c>
      <c r="EE57" s="645"/>
      <c r="EF57" s="635" t="str">
        <f>+EF$4</f>
        <v>2018E</v>
      </c>
      <c r="EG57" s="645"/>
      <c r="EH57" s="635" t="str">
        <f>+EH$4</f>
        <v>2019E</v>
      </c>
      <c r="EI57" s="645"/>
      <c r="EJ57" s="635" t="str">
        <f>+EJ$4</f>
        <v>2020E</v>
      </c>
      <c r="EK57" s="645"/>
      <c r="EL57" s="635" t="str">
        <f>+EL$4</f>
        <v>2021E</v>
      </c>
      <c r="EM57" s="634" t="str">
        <f>+EM$4</f>
        <v>CAGR</v>
      </c>
      <c r="EN57" s="643"/>
    </row>
    <row r="58" spans="1:144" s="632" customFormat="1" ht="12.75" customHeight="1" x14ac:dyDescent="0.2">
      <c r="A58" s="647"/>
      <c r="B58" s="648" t="str">
        <f t="shared" ref="B58:CL58" si="91">+B$5</f>
        <v>1Q06</v>
      </c>
      <c r="C58" s="649" t="str">
        <f t="shared" si="91"/>
        <v>% Chg</v>
      </c>
      <c r="D58" s="648" t="str">
        <f t="shared" si="91"/>
        <v>2Q06</v>
      </c>
      <c r="E58" s="649" t="str">
        <f t="shared" si="91"/>
        <v>% Chg</v>
      </c>
      <c r="F58" s="648" t="str">
        <f t="shared" si="91"/>
        <v>3Q06</v>
      </c>
      <c r="G58" s="649" t="str">
        <f t="shared" si="91"/>
        <v>% Chg</v>
      </c>
      <c r="H58" s="648" t="str">
        <f t="shared" si="91"/>
        <v>4Q06</v>
      </c>
      <c r="I58" s="649" t="str">
        <f t="shared" si="91"/>
        <v>% Chg</v>
      </c>
      <c r="J58" s="648" t="str">
        <f t="shared" si="91"/>
        <v>1Q07</v>
      </c>
      <c r="K58" s="649" t="str">
        <f t="shared" si="91"/>
        <v>% Chg</v>
      </c>
      <c r="L58" s="648" t="str">
        <f t="shared" si="91"/>
        <v>2Q07</v>
      </c>
      <c r="M58" s="649" t="str">
        <f t="shared" si="91"/>
        <v>% Chg</v>
      </c>
      <c r="N58" s="648" t="str">
        <f t="shared" si="91"/>
        <v>3Q07</v>
      </c>
      <c r="O58" s="649" t="str">
        <f t="shared" si="91"/>
        <v>% Chg</v>
      </c>
      <c r="P58" s="648" t="str">
        <f t="shared" si="91"/>
        <v>4Q07</v>
      </c>
      <c r="Q58" s="649" t="str">
        <f t="shared" si="91"/>
        <v>% Chg</v>
      </c>
      <c r="R58" s="648" t="str">
        <f t="shared" si="91"/>
        <v>1Q08</v>
      </c>
      <c r="S58" s="649" t="str">
        <f t="shared" si="91"/>
        <v>% Chg</v>
      </c>
      <c r="T58" s="648" t="str">
        <f t="shared" si="91"/>
        <v>2Q08</v>
      </c>
      <c r="U58" s="649" t="str">
        <f t="shared" si="91"/>
        <v>% Chg</v>
      </c>
      <c r="V58" s="648" t="str">
        <f t="shared" si="91"/>
        <v>3Q08</v>
      </c>
      <c r="W58" s="649" t="str">
        <f t="shared" si="91"/>
        <v>% Chg</v>
      </c>
      <c r="X58" s="648" t="str">
        <f t="shared" si="91"/>
        <v>4Q08</v>
      </c>
      <c r="Y58" s="649" t="str">
        <f t="shared" si="91"/>
        <v>% Chg</v>
      </c>
      <c r="Z58" s="648" t="str">
        <f t="shared" si="91"/>
        <v>1Q09</v>
      </c>
      <c r="AA58" s="649" t="str">
        <f t="shared" si="91"/>
        <v>% Chg</v>
      </c>
      <c r="AB58" s="648" t="str">
        <f t="shared" si="91"/>
        <v>2Q09</v>
      </c>
      <c r="AC58" s="649" t="str">
        <f t="shared" si="91"/>
        <v>% Chg</v>
      </c>
      <c r="AD58" s="648" t="str">
        <f t="shared" si="91"/>
        <v>3Q09</v>
      </c>
      <c r="AE58" s="649" t="str">
        <f t="shared" si="91"/>
        <v>% Chg</v>
      </c>
      <c r="AF58" s="648" t="str">
        <f t="shared" si="91"/>
        <v>4Q09</v>
      </c>
      <c r="AG58" s="649" t="str">
        <f t="shared" si="91"/>
        <v>% Chg</v>
      </c>
      <c r="AH58" s="648" t="str">
        <f t="shared" si="91"/>
        <v>1Q10</v>
      </c>
      <c r="AI58" s="649" t="str">
        <f t="shared" si="91"/>
        <v>% Chg</v>
      </c>
      <c r="AJ58" s="648" t="str">
        <f t="shared" si="91"/>
        <v>2Q10</v>
      </c>
      <c r="AK58" s="649" t="str">
        <f t="shared" si="91"/>
        <v>% Chg</v>
      </c>
      <c r="AL58" s="648" t="str">
        <f t="shared" si="91"/>
        <v>3Q10</v>
      </c>
      <c r="AM58" s="649" t="str">
        <f t="shared" si="91"/>
        <v>% Chg</v>
      </c>
      <c r="AN58" s="648" t="str">
        <f t="shared" si="91"/>
        <v>4Q10</v>
      </c>
      <c r="AO58" s="649" t="str">
        <f t="shared" si="91"/>
        <v>% Chg</v>
      </c>
      <c r="AP58" s="648" t="str">
        <f t="shared" si="91"/>
        <v>1Q11</v>
      </c>
      <c r="AQ58" s="649" t="str">
        <f t="shared" si="91"/>
        <v>% Chg</v>
      </c>
      <c r="AR58" s="648" t="str">
        <f t="shared" si="91"/>
        <v>2Q11</v>
      </c>
      <c r="AS58" s="649" t="str">
        <f t="shared" si="91"/>
        <v>% Chg</v>
      </c>
      <c r="AT58" s="648" t="str">
        <f t="shared" si="91"/>
        <v>3Q11</v>
      </c>
      <c r="AU58" s="649" t="str">
        <f t="shared" si="91"/>
        <v>% Chg</v>
      </c>
      <c r="AV58" s="648" t="str">
        <f t="shared" si="91"/>
        <v>4Q11</v>
      </c>
      <c r="AW58" s="649" t="str">
        <f t="shared" si="91"/>
        <v>% Chg</v>
      </c>
      <c r="AX58" s="648" t="str">
        <f t="shared" si="91"/>
        <v>1Q12</v>
      </c>
      <c r="AY58" s="649" t="str">
        <f t="shared" si="91"/>
        <v>% Chg</v>
      </c>
      <c r="AZ58" s="648" t="str">
        <f t="shared" si="91"/>
        <v>2Q12</v>
      </c>
      <c r="BA58" s="649" t="str">
        <f t="shared" si="91"/>
        <v>% Chg</v>
      </c>
      <c r="BB58" s="648" t="str">
        <f t="shared" si="91"/>
        <v>3Q12</v>
      </c>
      <c r="BC58" s="649" t="str">
        <f t="shared" si="91"/>
        <v>% Chg</v>
      </c>
      <c r="BD58" s="648" t="str">
        <f t="shared" si="91"/>
        <v>4Q12</v>
      </c>
      <c r="BE58" s="649" t="str">
        <f t="shared" si="91"/>
        <v>% Chg</v>
      </c>
      <c r="BF58" s="648" t="str">
        <f t="shared" si="91"/>
        <v>1Q13</v>
      </c>
      <c r="BG58" s="649" t="str">
        <f t="shared" si="91"/>
        <v>% Chg</v>
      </c>
      <c r="BH58" s="648" t="str">
        <f t="shared" si="91"/>
        <v>2Q13</v>
      </c>
      <c r="BI58" s="649" t="str">
        <f t="shared" si="91"/>
        <v>% Chg</v>
      </c>
      <c r="BJ58" s="648" t="str">
        <f t="shared" si="91"/>
        <v>3Q13</v>
      </c>
      <c r="BK58" s="649" t="str">
        <f t="shared" si="91"/>
        <v>% Chg</v>
      </c>
      <c r="BL58" s="648" t="str">
        <f t="shared" si="91"/>
        <v>4Q13</v>
      </c>
      <c r="BM58" s="649" t="str">
        <f t="shared" si="91"/>
        <v>% Chg</v>
      </c>
      <c r="BN58" s="648" t="str">
        <f t="shared" si="91"/>
        <v>1Q14</v>
      </c>
      <c r="BO58" s="649" t="str">
        <f t="shared" ref="BO58:DA58" si="92">+BO$5</f>
        <v>% Chg</v>
      </c>
      <c r="BP58" s="648" t="str">
        <f t="shared" si="91"/>
        <v>2Q14</v>
      </c>
      <c r="BQ58" s="649" t="str">
        <f t="shared" si="92"/>
        <v>% Chg</v>
      </c>
      <c r="BR58" s="648" t="str">
        <f t="shared" si="91"/>
        <v>3Q14</v>
      </c>
      <c r="BS58" s="649" t="str">
        <f t="shared" si="92"/>
        <v>% Chg</v>
      </c>
      <c r="BT58" s="648" t="str">
        <f t="shared" si="91"/>
        <v>4Q14</v>
      </c>
      <c r="BU58" s="649" t="str">
        <f t="shared" si="92"/>
        <v>% Chg</v>
      </c>
      <c r="BV58" s="648" t="str">
        <f t="shared" si="91"/>
        <v>1Q15</v>
      </c>
      <c r="BW58" s="649" t="str">
        <f t="shared" si="92"/>
        <v>% Chg</v>
      </c>
      <c r="BX58" s="648" t="str">
        <f t="shared" si="91"/>
        <v>2Q15</v>
      </c>
      <c r="BY58" s="649" t="str">
        <f t="shared" si="92"/>
        <v>% Chg</v>
      </c>
      <c r="BZ58" s="648" t="str">
        <f t="shared" si="91"/>
        <v>3Q15</v>
      </c>
      <c r="CA58" s="649" t="str">
        <f t="shared" si="92"/>
        <v>% Chg</v>
      </c>
      <c r="CB58" s="648" t="str">
        <f t="shared" si="91"/>
        <v>4Q15</v>
      </c>
      <c r="CC58" s="649" t="str">
        <f t="shared" si="92"/>
        <v>% Chg</v>
      </c>
      <c r="CD58" s="648" t="str">
        <f t="shared" si="91"/>
        <v>1Q16</v>
      </c>
      <c r="CE58" s="649" t="str">
        <f t="shared" si="92"/>
        <v>% Chg</v>
      </c>
      <c r="CF58" s="648" t="str">
        <f t="shared" si="91"/>
        <v>2Q16</v>
      </c>
      <c r="CG58" s="649" t="str">
        <f t="shared" si="92"/>
        <v>% Chg</v>
      </c>
      <c r="CH58" s="648" t="str">
        <f t="shared" si="91"/>
        <v>3Q16</v>
      </c>
      <c r="CI58" s="649" t="str">
        <f t="shared" si="92"/>
        <v>% Chg</v>
      </c>
      <c r="CJ58" s="648" t="str">
        <f t="shared" si="91"/>
        <v>4Q16</v>
      </c>
      <c r="CK58" s="649" t="str">
        <f t="shared" si="92"/>
        <v>% Chg</v>
      </c>
      <c r="CL58" s="648" t="str">
        <f t="shared" si="91"/>
        <v>1Q17</v>
      </c>
      <c r="CM58" s="649" t="str">
        <f t="shared" si="92"/>
        <v>% Chg</v>
      </c>
      <c r="CN58" s="648" t="str">
        <f t="shared" si="92"/>
        <v>2Q17</v>
      </c>
      <c r="CO58" s="649" t="str">
        <f t="shared" si="92"/>
        <v>% Chg</v>
      </c>
      <c r="CP58" s="648" t="str">
        <f t="shared" si="92"/>
        <v>3Q17</v>
      </c>
      <c r="CQ58" s="649" t="str">
        <f t="shared" si="92"/>
        <v>% Chg</v>
      </c>
      <c r="CR58" s="648" t="str">
        <f t="shared" si="92"/>
        <v>4Q17</v>
      </c>
      <c r="CS58" s="649" t="str">
        <f t="shared" si="92"/>
        <v>% Chg</v>
      </c>
      <c r="CT58" s="648" t="str">
        <f t="shared" si="92"/>
        <v>1Q18E</v>
      </c>
      <c r="CU58" s="649" t="str">
        <f t="shared" si="92"/>
        <v>% Chg</v>
      </c>
      <c r="CV58" s="648" t="str">
        <f t="shared" si="92"/>
        <v>2Q18E</v>
      </c>
      <c r="CW58" s="649" t="str">
        <f t="shared" si="92"/>
        <v>% Chg</v>
      </c>
      <c r="CX58" s="648" t="str">
        <f t="shared" si="92"/>
        <v>3Q18E</v>
      </c>
      <c r="CY58" s="649" t="str">
        <f t="shared" si="92"/>
        <v>% Chg</v>
      </c>
      <c r="CZ58" s="648" t="str">
        <f t="shared" si="92"/>
        <v>4Q18E</v>
      </c>
      <c r="DA58" s="649" t="str">
        <f t="shared" si="92"/>
        <v>% Chg</v>
      </c>
      <c r="DB58" s="650"/>
      <c r="DC58" s="648" t="str">
        <f t="shared" ref="DC58:EM58" si="93">+DC$5</f>
        <v>2005</v>
      </c>
      <c r="DD58" s="649" t="str">
        <f t="shared" si="93"/>
        <v>% Chg</v>
      </c>
      <c r="DE58" s="648" t="str">
        <f t="shared" si="93"/>
        <v>2006</v>
      </c>
      <c r="DF58" s="649" t="str">
        <f t="shared" si="93"/>
        <v>% Chg</v>
      </c>
      <c r="DG58" s="648">
        <f t="shared" si="93"/>
        <v>2007</v>
      </c>
      <c r="DH58" s="649" t="str">
        <f t="shared" si="93"/>
        <v>% Chg</v>
      </c>
      <c r="DI58" s="648" t="str">
        <f t="shared" si="93"/>
        <v>2008</v>
      </c>
      <c r="DJ58" s="649" t="str">
        <f t="shared" si="93"/>
        <v>% Chg</v>
      </c>
      <c r="DK58" s="648" t="str">
        <f t="shared" si="93"/>
        <v>2009</v>
      </c>
      <c r="DL58" s="649" t="str">
        <f t="shared" si="93"/>
        <v>% Chg</v>
      </c>
      <c r="DM58" s="648" t="str">
        <f t="shared" si="93"/>
        <v>2010</v>
      </c>
      <c r="DN58" s="649" t="str">
        <f t="shared" si="93"/>
        <v>% Chg</v>
      </c>
      <c r="DO58" s="648" t="str">
        <f t="shared" si="93"/>
        <v>2011</v>
      </c>
      <c r="DP58" s="649" t="str">
        <f t="shared" si="93"/>
        <v>% Chg</v>
      </c>
      <c r="DQ58" s="648" t="str">
        <f t="shared" si="93"/>
        <v>2012</v>
      </c>
      <c r="DR58" s="649" t="str">
        <f t="shared" si="93"/>
        <v>% Chg</v>
      </c>
      <c r="DS58" s="648" t="str">
        <f t="shared" si="93"/>
        <v>2013</v>
      </c>
      <c r="DT58" s="649" t="str">
        <f t="shared" si="93"/>
        <v>% Chg</v>
      </c>
      <c r="DU58" s="648">
        <f t="shared" si="93"/>
        <v>2014</v>
      </c>
      <c r="DV58" s="649" t="str">
        <f t="shared" si="93"/>
        <v>% Chg</v>
      </c>
      <c r="DW58" s="648" t="str">
        <f t="shared" si="93"/>
        <v>2015</v>
      </c>
      <c r="DX58" s="649" t="str">
        <f t="shared" si="93"/>
        <v>% Chg</v>
      </c>
      <c r="DY58" s="648">
        <f t="shared" si="93"/>
        <v>2016</v>
      </c>
      <c r="DZ58" s="649" t="str">
        <f t="shared" si="93"/>
        <v>% Chg</v>
      </c>
      <c r="EA58" s="648">
        <f t="shared" si="93"/>
        <v>2017</v>
      </c>
      <c r="EB58" s="649" t="str">
        <f t="shared" si="93"/>
        <v>% Chg</v>
      </c>
      <c r="EC58" s="648" t="str">
        <f t="shared" si="93"/>
        <v>2018E</v>
      </c>
      <c r="ED58" s="649" t="str">
        <f t="shared" si="93"/>
        <v>% Chg</v>
      </c>
      <c r="EE58" s="648" t="str">
        <f t="shared" si="93"/>
        <v>2019E</v>
      </c>
      <c r="EF58" s="649" t="str">
        <f t="shared" si="93"/>
        <v>% Chg</v>
      </c>
      <c r="EG58" s="648" t="str">
        <f t="shared" si="93"/>
        <v>2020E</v>
      </c>
      <c r="EH58" s="649" t="str">
        <f t="shared" si="93"/>
        <v>% Chg</v>
      </c>
      <c r="EI58" s="648" t="str">
        <f t="shared" si="93"/>
        <v>2021E</v>
      </c>
      <c r="EJ58" s="649" t="str">
        <f t="shared" si="93"/>
        <v>% Chg</v>
      </c>
      <c r="EK58" s="648" t="str">
        <f t="shared" si="93"/>
        <v>2022E</v>
      </c>
      <c r="EL58" s="649" t="str">
        <f t="shared" si="93"/>
        <v>% Chg</v>
      </c>
      <c r="EM58" s="651" t="str">
        <f t="shared" si="93"/>
        <v>(%)</v>
      </c>
      <c r="EN58" s="643"/>
    </row>
    <row r="59" spans="1:144" s="632" customFormat="1" ht="12.75" customHeight="1" x14ac:dyDescent="0.2">
      <c r="A59" s="652"/>
      <c r="B59" s="655"/>
      <c r="C59" s="635"/>
      <c r="D59" s="655"/>
      <c r="E59" s="635"/>
      <c r="F59" s="655"/>
      <c r="G59" s="635"/>
      <c r="H59" s="655"/>
      <c r="I59" s="635"/>
      <c r="J59" s="655"/>
      <c r="K59" s="635"/>
      <c r="L59" s="655"/>
      <c r="M59" s="635"/>
      <c r="N59" s="655"/>
      <c r="O59" s="635"/>
      <c r="P59" s="655"/>
      <c r="Q59" s="635"/>
      <c r="R59" s="655"/>
      <c r="S59" s="635"/>
      <c r="T59" s="655"/>
      <c r="U59" s="635"/>
      <c r="V59" s="655"/>
      <c r="W59" s="635"/>
      <c r="X59" s="655"/>
      <c r="Y59" s="635"/>
      <c r="Z59" s="655"/>
      <c r="AA59" s="635"/>
      <c r="AB59" s="655"/>
      <c r="AC59" s="635"/>
      <c r="AD59" s="655"/>
      <c r="AE59" s="635"/>
      <c r="AF59" s="655"/>
      <c r="AG59" s="635"/>
      <c r="AH59" s="655"/>
      <c r="AI59" s="635"/>
      <c r="AJ59" s="655"/>
      <c r="AK59" s="635"/>
      <c r="AL59" s="655"/>
      <c r="AM59" s="635"/>
      <c r="AN59" s="655"/>
      <c r="AO59" s="635"/>
      <c r="AP59" s="655"/>
      <c r="AQ59" s="635"/>
      <c r="AR59" s="655"/>
      <c r="AS59" s="635"/>
      <c r="AT59" s="655"/>
      <c r="AU59" s="635"/>
      <c r="AV59" s="655"/>
      <c r="AW59" s="635"/>
      <c r="AX59" s="655"/>
      <c r="AY59" s="635"/>
      <c r="AZ59" s="655"/>
      <c r="BA59" s="635"/>
      <c r="BB59" s="655"/>
      <c r="BC59" s="635"/>
      <c r="BD59" s="655"/>
      <c r="BE59" s="635"/>
      <c r="BF59" s="655"/>
      <c r="BG59" s="635"/>
      <c r="BH59" s="655"/>
      <c r="BI59" s="635"/>
      <c r="BJ59" s="655"/>
      <c r="BK59" s="635"/>
      <c r="BL59" s="655"/>
      <c r="BM59" s="635"/>
      <c r="BN59" s="655"/>
      <c r="BO59" s="635"/>
      <c r="BP59" s="655"/>
      <c r="BQ59" s="635"/>
      <c r="BR59" s="655"/>
      <c r="BS59" s="635"/>
      <c r="BT59" s="655"/>
      <c r="BU59" s="635"/>
      <c r="BV59" s="655"/>
      <c r="BW59" s="635"/>
      <c r="BX59" s="655"/>
      <c r="BY59" s="635"/>
      <c r="BZ59" s="655"/>
      <c r="CA59" s="635"/>
      <c r="CB59" s="655"/>
      <c r="CC59" s="635"/>
      <c r="CD59" s="655"/>
      <c r="CE59" s="635"/>
      <c r="CF59" s="655"/>
      <c r="CG59" s="635"/>
      <c r="CH59" s="655"/>
      <c r="CI59" s="635"/>
      <c r="CJ59" s="655"/>
      <c r="CK59" s="635"/>
      <c r="CL59" s="655"/>
      <c r="CM59" s="635"/>
      <c r="CN59" s="655"/>
      <c r="CO59" s="635"/>
      <c r="CP59" s="655"/>
      <c r="CQ59" s="635"/>
      <c r="CR59" s="655"/>
      <c r="CS59" s="635"/>
      <c r="CT59" s="655"/>
      <c r="CU59" s="635"/>
      <c r="CV59" s="655"/>
      <c r="CW59" s="635"/>
      <c r="CX59" s="655"/>
      <c r="CY59" s="635"/>
      <c r="CZ59" s="655"/>
      <c r="DA59" s="635"/>
      <c r="DB59" s="666"/>
      <c r="DC59" s="655"/>
      <c r="DD59" s="635"/>
      <c r="DE59" s="655"/>
      <c r="DF59" s="635"/>
      <c r="DG59" s="655"/>
      <c r="DH59" s="635"/>
      <c r="DI59" s="655"/>
      <c r="DJ59" s="635"/>
      <c r="DK59" s="655"/>
      <c r="DL59" s="635"/>
      <c r="DM59" s="655"/>
      <c r="DN59" s="635"/>
      <c r="DO59" s="655"/>
      <c r="DP59" s="635"/>
      <c r="DQ59" s="655"/>
      <c r="DR59" s="635"/>
      <c r="DS59" s="655"/>
      <c r="DT59" s="635"/>
      <c r="DU59" s="655"/>
      <c r="DV59" s="635"/>
      <c r="DW59" s="655"/>
      <c r="DX59" s="635"/>
      <c r="DY59" s="655"/>
      <c r="DZ59" s="635"/>
      <c r="EA59" s="655"/>
      <c r="EB59" s="635"/>
      <c r="EC59" s="655"/>
      <c r="ED59" s="635"/>
      <c r="EE59" s="655"/>
      <c r="EF59" s="635"/>
      <c r="EG59" s="655"/>
      <c r="EH59" s="635"/>
      <c r="EI59" s="655"/>
      <c r="EJ59" s="635"/>
      <c r="EK59" s="655"/>
      <c r="EL59" s="635"/>
      <c r="EM59" s="635"/>
    </row>
    <row r="60" spans="1:144" s="632" customFormat="1" ht="12.75" customHeight="1" x14ac:dyDescent="0.2">
      <c r="A60" s="652" t="s">
        <v>118</v>
      </c>
      <c r="B60" s="655"/>
      <c r="C60" s="635"/>
      <c r="D60" s="655"/>
      <c r="E60" s="635"/>
      <c r="F60" s="655"/>
      <c r="G60" s="635"/>
      <c r="H60" s="655"/>
      <c r="I60" s="635"/>
      <c r="J60" s="655"/>
      <c r="K60" s="635"/>
      <c r="L60" s="655"/>
      <c r="M60" s="635"/>
      <c r="N60" s="655"/>
      <c r="O60" s="635"/>
      <c r="P60" s="655"/>
      <c r="Q60" s="635"/>
      <c r="R60" s="655"/>
      <c r="S60" s="635"/>
      <c r="T60" s="655"/>
      <c r="U60" s="635"/>
      <c r="V60" s="655"/>
      <c r="W60" s="635"/>
      <c r="X60" s="655"/>
      <c r="Y60" s="635"/>
      <c r="Z60" s="655"/>
      <c r="AA60" s="635"/>
      <c r="AB60" s="655"/>
      <c r="AC60" s="635"/>
      <c r="AD60" s="655"/>
      <c r="AE60" s="635"/>
      <c r="AF60" s="655"/>
      <c r="AG60" s="635"/>
      <c r="AH60" s="655"/>
      <c r="AI60" s="635"/>
      <c r="AJ60" s="655"/>
      <c r="AK60" s="635"/>
      <c r="AL60" s="655"/>
      <c r="AM60" s="635"/>
      <c r="AN60" s="655"/>
      <c r="AO60" s="635"/>
      <c r="AP60" s="655"/>
      <c r="AQ60" s="635"/>
      <c r="AR60" s="655"/>
      <c r="AS60" s="635"/>
      <c r="AT60" s="655"/>
      <c r="AU60" s="635"/>
      <c r="AV60" s="655"/>
      <c r="AW60" s="635"/>
      <c r="AX60" s="655"/>
      <c r="AY60" s="635"/>
      <c r="AZ60" s="655"/>
      <c r="BA60" s="635"/>
      <c r="BB60" s="655"/>
      <c r="BC60" s="635"/>
      <c r="BD60" s="655"/>
      <c r="BE60" s="635"/>
      <c r="BF60" s="655"/>
      <c r="BG60" s="635"/>
      <c r="BH60" s="655"/>
      <c r="BI60" s="635"/>
      <c r="BJ60" s="655"/>
      <c r="BK60" s="635"/>
      <c r="BL60" s="655"/>
      <c r="BM60" s="635"/>
      <c r="BN60" s="655"/>
      <c r="BO60" s="635"/>
      <c r="BP60" s="655"/>
      <c r="BQ60" s="635"/>
      <c r="BR60" s="655"/>
      <c r="BS60" s="635"/>
      <c r="BT60" s="655"/>
      <c r="BU60" s="635"/>
      <c r="BV60" s="655"/>
      <c r="BW60" s="635"/>
      <c r="BX60" s="655"/>
      <c r="BY60" s="635"/>
      <c r="BZ60" s="655"/>
      <c r="CA60" s="635"/>
      <c r="CB60" s="655"/>
      <c r="CC60" s="635"/>
      <c r="CD60" s="655"/>
      <c r="CE60" s="635"/>
      <c r="CF60" s="655"/>
      <c r="CG60" s="635"/>
      <c r="CH60" s="655"/>
      <c r="CI60" s="635"/>
      <c r="CJ60" s="655"/>
      <c r="CK60" s="635"/>
      <c r="CL60" s="655"/>
      <c r="CM60" s="635"/>
      <c r="CN60" s="655"/>
      <c r="CO60" s="635"/>
      <c r="CP60" s="655"/>
      <c r="CQ60" s="635"/>
      <c r="CR60" s="655"/>
      <c r="CS60" s="635"/>
      <c r="CT60" s="655"/>
      <c r="CU60" s="635"/>
      <c r="CV60" s="655"/>
      <c r="CW60" s="635"/>
      <c r="CX60" s="655"/>
      <c r="CY60" s="635"/>
      <c r="CZ60" s="655"/>
      <c r="DA60" s="635"/>
      <c r="DB60" s="666"/>
      <c r="DC60" s="655"/>
      <c r="DD60" s="635"/>
      <c r="DE60" s="655"/>
      <c r="DF60" s="635"/>
      <c r="DG60" s="655"/>
      <c r="DH60" s="635"/>
      <c r="DI60" s="655"/>
      <c r="DJ60" s="635"/>
      <c r="DK60" s="655"/>
      <c r="DL60" s="635"/>
      <c r="DM60" s="655"/>
      <c r="DN60" s="635"/>
      <c r="DO60" s="655"/>
      <c r="DP60" s="635"/>
      <c r="DQ60" s="655"/>
      <c r="DR60" s="635"/>
      <c r="DS60" s="655"/>
      <c r="DT60" s="635"/>
      <c r="DU60" s="655"/>
      <c r="DV60" s="635"/>
      <c r="DW60" s="655"/>
      <c r="DX60" s="635"/>
      <c r="DY60" s="655"/>
      <c r="DZ60" s="635"/>
      <c r="EA60" s="655"/>
      <c r="EB60" s="635"/>
      <c r="EC60" s="655"/>
      <c r="ED60" s="635"/>
      <c r="EE60" s="655"/>
      <c r="EF60" s="635"/>
      <c r="EG60" s="655"/>
      <c r="EH60" s="635"/>
      <c r="EI60" s="655"/>
      <c r="EJ60" s="635"/>
      <c r="EK60" s="655"/>
      <c r="EL60" s="635"/>
      <c r="EM60" s="635"/>
    </row>
    <row r="61" spans="1:144" s="632" customFormat="1" ht="12.75" customHeight="1" x14ac:dyDescent="0.2">
      <c r="A61" s="644" t="str">
        <f>INPUT!B637</f>
        <v>Fully Diluted Shares (EOP)</v>
      </c>
      <c r="B61" s="665">
        <f>INPUT!AY637</f>
        <v>500.3</v>
      </c>
      <c r="C61" s="635">
        <f>INPUT!AZ637</f>
        <v>-4.9762583095916426</v>
      </c>
      <c r="D61" s="665">
        <f>INPUT!BA637</f>
        <v>493.2</v>
      </c>
      <c r="E61" s="635">
        <f>INPUT!BB637</f>
        <v>-5.6076555023923476</v>
      </c>
      <c r="F61" s="665">
        <f>INPUT!BC637</f>
        <v>486.7</v>
      </c>
      <c r="G61" s="635">
        <f>INPUT!BD637</f>
        <v>-5.2375389408099693</v>
      </c>
      <c r="H61" s="665">
        <f>INPUT!BE637</f>
        <v>480.1</v>
      </c>
      <c r="I61" s="635">
        <f>INPUT!BF637</f>
        <v>-5.3243936107276681</v>
      </c>
      <c r="J61" s="665">
        <f>INPUT!BG637</f>
        <v>473.2</v>
      </c>
      <c r="K61" s="635">
        <f>INPUT!BH637</f>
        <v>-5.4167499500299812</v>
      </c>
      <c r="L61" s="665">
        <f>INPUT!BI637</f>
        <v>469.4</v>
      </c>
      <c r="M61" s="635">
        <f>INPUT!BJ637</f>
        <v>-4.8256285482562902</v>
      </c>
      <c r="N61" s="665">
        <f>INPUT!BK637</f>
        <v>462</v>
      </c>
      <c r="O61" s="635">
        <f>INPUT!BL637</f>
        <v>-5.074994863365518</v>
      </c>
      <c r="P61" s="665">
        <f>INPUT!BM637</f>
        <v>455</v>
      </c>
      <c r="Q61" s="635">
        <f>INPUT!BN637</f>
        <v>-5.2280774838575326</v>
      </c>
      <c r="R61" s="655">
        <f>INPUT!BO637</f>
        <v>443.4</v>
      </c>
      <c r="S61" s="635">
        <f>INPUT!BP637</f>
        <v>-6.2975486052409053</v>
      </c>
      <c r="T61" s="655">
        <f>INPUT!BQ637</f>
        <v>430.9</v>
      </c>
      <c r="U61" s="635">
        <f>INPUT!BR637</f>
        <v>-8.2019599488708934</v>
      </c>
      <c r="V61" s="655">
        <f>INPUT!BS637</f>
        <v>427.6</v>
      </c>
      <c r="W61" s="635">
        <f>INPUT!BT637</f>
        <v>-7.4458874458874504</v>
      </c>
      <c r="X61" s="655">
        <f>INPUT!BU637</f>
        <v>424.2</v>
      </c>
      <c r="Y61" s="635">
        <f>INPUT!BV637</f>
        <v>-6.7692307692307736</v>
      </c>
      <c r="Z61" s="655">
        <f>INPUT!BW637</f>
        <v>424.1</v>
      </c>
      <c r="AA61" s="635">
        <f>INPUT!BX637</f>
        <v>-4.352728912945409</v>
      </c>
      <c r="AB61" s="655">
        <f>INPUT!BY637</f>
        <v>464.7</v>
      </c>
      <c r="AC61" s="635">
        <f>INPUT!BZ637</f>
        <v>7.8440473427709492</v>
      </c>
      <c r="AD61" s="655">
        <f>INPUT!CA637</f>
        <v>467.5</v>
      </c>
      <c r="AE61" s="635">
        <f>INPUT!CB637</f>
        <v>9.3311506080449078</v>
      </c>
      <c r="AF61" s="655">
        <f>INPUT!CC637</f>
        <v>468.8</v>
      </c>
      <c r="AG61" s="635">
        <f>INPUT!CD637</f>
        <v>10.51390853371052</v>
      </c>
      <c r="AH61" s="655">
        <f>INPUT!CE637</f>
        <v>470.8</v>
      </c>
      <c r="AI61" s="635">
        <f>INPUT!CF637</f>
        <v>11.011553878802175</v>
      </c>
      <c r="AJ61" s="655">
        <f>INPUT!CG637</f>
        <v>471</v>
      </c>
      <c r="AK61" s="635">
        <f>INPUT!CH637</f>
        <v>1.3557133634602963</v>
      </c>
      <c r="AL61" s="655">
        <f>INPUT!CI637</f>
        <v>472</v>
      </c>
      <c r="AM61" s="635">
        <f>INPUT!CJ637</f>
        <v>0.96256684491977751</v>
      </c>
      <c r="AN61" s="655">
        <f>INPUT!CK637</f>
        <v>491.7</v>
      </c>
      <c r="AO61" s="635">
        <f>INPUT!CL637</f>
        <v>4.8848122866894244</v>
      </c>
      <c r="AP61" s="655">
        <f>INPUT!CM637</f>
        <v>492.9</v>
      </c>
      <c r="AQ61" s="635">
        <f>INPUT!CN637</f>
        <v>4.6941376380628554</v>
      </c>
      <c r="AR61" s="655">
        <f>INPUT!CO637</f>
        <v>493.8</v>
      </c>
      <c r="AS61" s="635">
        <f>INPUT!CP637</f>
        <v>4.8407643312101953</v>
      </c>
      <c r="AT61" s="655">
        <f>INPUT!CQ637</f>
        <v>478.4</v>
      </c>
      <c r="AU61" s="635">
        <f>INPUT!CR637</f>
        <v>1.3559322033898269</v>
      </c>
      <c r="AV61" s="655">
        <f>INPUT!CS637</f>
        <v>475.1</v>
      </c>
      <c r="AW61" s="635">
        <f>INPUT!CT637</f>
        <v>-3.3760423022168027</v>
      </c>
      <c r="AX61" s="655">
        <f>INPUT!CU637</f>
        <v>473.3</v>
      </c>
      <c r="AY61" s="635">
        <f>INPUT!CV637</f>
        <v>-3.9764658145668363</v>
      </c>
      <c r="AZ61" s="655">
        <f>INPUT!CW637</f>
        <v>468.3</v>
      </c>
      <c r="BA61" s="635">
        <f>INPUT!CX637</f>
        <v>-5.1640340218712026</v>
      </c>
      <c r="BB61" s="655">
        <f>INPUT!CY637</f>
        <v>467</v>
      </c>
      <c r="BC61" s="635">
        <f>INPUT!CZ637</f>
        <v>-2.382943143812696</v>
      </c>
      <c r="BD61" s="655">
        <f>INPUT!DA637</f>
        <v>468.2</v>
      </c>
      <c r="BE61" s="635">
        <f>INPUT!DB637</f>
        <v>-1.4523258261418732</v>
      </c>
      <c r="BF61" s="655">
        <f>INPUT!DC637</f>
        <v>469.5</v>
      </c>
      <c r="BG61" s="635">
        <f>INPUT!DD637</f>
        <v>-0.80287344179167519</v>
      </c>
      <c r="BH61" s="655">
        <f>INPUT!DE637</f>
        <v>469.2</v>
      </c>
      <c r="BI61" s="635">
        <f>INPUT!DF637</f>
        <v>0.19218449711722485</v>
      </c>
      <c r="BJ61" s="655">
        <f>INPUT!DG637</f>
        <v>468.5</v>
      </c>
      <c r="BK61" s="635">
        <f>INPUT!DH637</f>
        <v>0.32119914346895939</v>
      </c>
      <c r="BL61" s="655">
        <f>INPUT!DI637</f>
        <v>468.7</v>
      </c>
      <c r="BM61" s="635">
        <f>INPUT!DJ637</f>
        <v>0.10679196924390055</v>
      </c>
      <c r="BN61" s="655">
        <f>INPUT!DK637</f>
        <v>466.2</v>
      </c>
      <c r="BO61" s="635">
        <f>INPUT!DL637</f>
        <v>-0.7028753993610195</v>
      </c>
      <c r="BP61" s="655">
        <f>INPUT!DM637</f>
        <v>464.7</v>
      </c>
      <c r="BQ61" s="635">
        <f>INPUT!DN637</f>
        <v>-0.959079283887462</v>
      </c>
      <c r="BR61" s="655">
        <f>INPUT!DO637</f>
        <v>463.4</v>
      </c>
      <c r="BS61" s="635">
        <f>INPUT!DP637</f>
        <v>-1.088580576307379</v>
      </c>
      <c r="BT61" s="655">
        <f>INPUT!DQ637</f>
        <v>461.5</v>
      </c>
      <c r="BU61" s="635">
        <f>INPUT!DR637</f>
        <v>-1.5361638574781296</v>
      </c>
      <c r="BV61" s="655">
        <f>INPUT!DS637</f>
        <v>458.5</v>
      </c>
      <c r="BW61" s="635">
        <f>INPUT!DT637</f>
        <v>-1.6516516516516475</v>
      </c>
      <c r="BX61" s="655">
        <f>INPUT!DU637</f>
        <v>457.6</v>
      </c>
      <c r="BY61" s="635">
        <f>INPUT!DV637</f>
        <v>-1.5278674413600157</v>
      </c>
      <c r="BZ61" s="655">
        <f>INPUT!DW637</f>
        <v>454.9</v>
      </c>
      <c r="CA61" s="635">
        <f>INPUT!DX637</f>
        <v>-1.8342684505826554</v>
      </c>
      <c r="CB61" s="655">
        <f>INPUT!DY637</f>
        <v>453.2</v>
      </c>
      <c r="CC61" s="635">
        <f>INPUT!DZ637</f>
        <v>-1.7984832069339092</v>
      </c>
      <c r="CD61" s="655">
        <f>INPUT!EA637</f>
        <v>448</v>
      </c>
      <c r="CE61" s="635">
        <f>INPUT!EB637</f>
        <v>-2.2900763358778704</v>
      </c>
      <c r="CF61" s="655">
        <f>INPUT!EC637</f>
        <v>444</v>
      </c>
      <c r="CG61" s="635">
        <f>INPUT!ED637</f>
        <v>-2.9720279720279734</v>
      </c>
      <c r="CH61" s="655">
        <f>INPUT!EE637</f>
        <v>437.9</v>
      </c>
      <c r="CI61" s="635">
        <f>INPUT!EF637</f>
        <v>-3.7370850736425609</v>
      </c>
      <c r="CJ61" s="655">
        <f>INPUT!EG637</f>
        <v>436.2</v>
      </c>
      <c r="CK61" s="635">
        <f>INPUT!EH637</f>
        <v>-3.751103265666373</v>
      </c>
      <c r="CL61" s="655">
        <f>INPUT!EI637</f>
        <v>435.95</v>
      </c>
      <c r="CM61" s="635">
        <f>INPUT!EJ637</f>
        <v>-2.689732142857153</v>
      </c>
      <c r="CN61" s="655">
        <f>INPUT!EK637</f>
        <v>433.82</v>
      </c>
      <c r="CO61" s="635">
        <f>INPUT!EL637</f>
        <v>-2.2927927927927954</v>
      </c>
      <c r="CP61" s="655">
        <f>INPUT!EM637</f>
        <v>431.74</v>
      </c>
      <c r="CQ61" s="635">
        <f>INPUT!EN637</f>
        <v>-1.4067138616122321</v>
      </c>
      <c r="CR61" s="655">
        <f>INPUT!EO637</f>
        <v>435.7</v>
      </c>
      <c r="CS61" s="635">
        <f>INPUT!EP637</f>
        <v>-0.11462631820265301</v>
      </c>
      <c r="CT61" s="655">
        <f>INPUT!EQ637</f>
        <v>426.49105933394117</v>
      </c>
      <c r="CU61" s="635">
        <f>INPUT!ER637</f>
        <v>-2.1697306264614724</v>
      </c>
      <c r="CV61" s="655">
        <f>INPUT!ES637</f>
        <v>423.20342277650036</v>
      </c>
      <c r="CW61" s="635">
        <f>INPUT!ET637</f>
        <v>-2.4472309306854498</v>
      </c>
      <c r="CX61" s="655">
        <f>INPUT!EU637</f>
        <v>419.95512207595209</v>
      </c>
      <c r="CY61" s="635">
        <f>INPUT!EV637</f>
        <v>-2.7296238300940132</v>
      </c>
      <c r="CZ61" s="655">
        <f>INPUT!EW637</f>
        <v>416.74598592433347</v>
      </c>
      <c r="DA61" s="635">
        <f>INPUT!EX637</f>
        <v>-4.3502442220946733</v>
      </c>
      <c r="DB61" s="666"/>
      <c r="DC61" s="665">
        <f>INPUT!FP637</f>
        <v>507.1</v>
      </c>
      <c r="DD61" s="635">
        <f>INPUT!FQ637</f>
        <v>-4.5907808090310311</v>
      </c>
      <c r="DE61" s="655">
        <f>INPUT!FR637</f>
        <v>480.1</v>
      </c>
      <c r="DF61" s="635">
        <f>INPUT!FS637</f>
        <v>-5.3243936107276681</v>
      </c>
      <c r="DG61" s="655">
        <f>INPUT!FT637</f>
        <v>455</v>
      </c>
      <c r="DH61" s="635">
        <f>INPUT!FU637</f>
        <v>-5.2280774838575326</v>
      </c>
      <c r="DI61" s="655">
        <f>INPUT!FV637</f>
        <v>424.2</v>
      </c>
      <c r="DJ61" s="635">
        <f>INPUT!FW637</f>
        <v>-6.7692307692307736</v>
      </c>
      <c r="DK61" s="655">
        <f>INPUT!FX637</f>
        <v>468.8</v>
      </c>
      <c r="DL61" s="635">
        <f>INPUT!FY637</f>
        <v>10.51390853371052</v>
      </c>
      <c r="DM61" s="655">
        <f>INPUT!FZ637</f>
        <v>491.7</v>
      </c>
      <c r="DN61" s="635">
        <f>INPUT!GA637</f>
        <v>4.8848122866894244</v>
      </c>
      <c r="DO61" s="655">
        <f>INPUT!GB637</f>
        <v>475.1</v>
      </c>
      <c r="DP61" s="635">
        <f>INPUT!GC637</f>
        <v>-3.3760423022168027</v>
      </c>
      <c r="DQ61" s="655">
        <f>INPUT!GD637</f>
        <v>468.2</v>
      </c>
      <c r="DR61" s="635">
        <f>INPUT!GE637</f>
        <v>-1.4523258261418732</v>
      </c>
      <c r="DS61" s="655">
        <f>INPUT!GF637</f>
        <v>468.7</v>
      </c>
      <c r="DT61" s="635">
        <f>INPUT!GG637</f>
        <v>0.10679196924390055</v>
      </c>
      <c r="DU61" s="655">
        <f>INPUT!GH637</f>
        <v>461.5</v>
      </c>
      <c r="DV61" s="635">
        <f>INPUT!GI637</f>
        <v>-1.5361638574781296</v>
      </c>
      <c r="DW61" s="655">
        <f>INPUT!GJ637</f>
        <v>453.2</v>
      </c>
      <c r="DX61" s="635">
        <f>INPUT!GK637</f>
        <v>-1.7984832069339092</v>
      </c>
      <c r="DY61" s="655">
        <f>INPUT!GL637</f>
        <v>436.2</v>
      </c>
      <c r="DZ61" s="635">
        <f>INPUT!GM637</f>
        <v>-3.751103265666373</v>
      </c>
      <c r="EA61" s="655">
        <f>INPUT!GN637</f>
        <v>435.7</v>
      </c>
      <c r="EB61" s="635">
        <f>INPUT!GO637</f>
        <v>-0.11462631820265301</v>
      </c>
      <c r="EC61" s="655">
        <f>INPUT!GP637</f>
        <v>416.74598592433347</v>
      </c>
      <c r="ED61" s="635">
        <f>INPUT!GQ637</f>
        <v>-4.3502442220946733</v>
      </c>
      <c r="EE61" s="655">
        <f>INPUT!GR637</f>
        <v>404.24488778476524</v>
      </c>
      <c r="EF61" s="635">
        <f>INPUT!GS637</f>
        <v>-2.999692513376246</v>
      </c>
      <c r="EG61" s="655">
        <f>INPUT!GT637</f>
        <v>391.46866336630075</v>
      </c>
      <c r="EH61" s="635">
        <f>INPUT!GU637</f>
        <v>-3.1605160150515133</v>
      </c>
      <c r="EI61" s="655">
        <f>INPUT!GV637</f>
        <v>379.204332518093</v>
      </c>
      <c r="EJ61" s="635">
        <f>INPUT!GW637</f>
        <v>-3.1329023229458102</v>
      </c>
      <c r="EK61" s="655">
        <f>INPUT!GX637</f>
        <v>367.40715270424255</v>
      </c>
      <c r="EL61" s="635">
        <f>INPUT!GY637</f>
        <v>-3.1110350811425889</v>
      </c>
      <c r="EM61" s="635">
        <f>INPUT!GZ637</f>
        <v>-3.3521918120580696</v>
      </c>
    </row>
    <row r="62" spans="1:144" s="632" customFormat="1" ht="12.75" customHeight="1" x14ac:dyDescent="0.2">
      <c r="A62" s="644" t="str">
        <f>INPUT!B636</f>
        <v>Avg Shares Outstanding (FD)</v>
      </c>
      <c r="B62" s="665">
        <f>INPUT!AY636</f>
        <v>504.1</v>
      </c>
      <c r="C62" s="635">
        <f>INPUT!AZ636</f>
        <v>-4.8867924528301785</v>
      </c>
      <c r="D62" s="665">
        <f>INPUT!BA636</f>
        <v>497.1</v>
      </c>
      <c r="E62" s="635">
        <f>INPUT!BB636</f>
        <v>-5.3503427265803651</v>
      </c>
      <c r="F62" s="665">
        <f>INPUT!BC636</f>
        <v>490.5</v>
      </c>
      <c r="G62" s="635">
        <f>INPUT!BD636</f>
        <v>-5.3636889832143453</v>
      </c>
      <c r="H62" s="665">
        <f>INPUT!BE636</f>
        <v>482.8</v>
      </c>
      <c r="I62" s="635">
        <f>INPUT!BF636</f>
        <v>-5.3704429635437094</v>
      </c>
      <c r="J62" s="665">
        <f>INPUT!BG636</f>
        <v>477</v>
      </c>
      <c r="K62" s="635">
        <f>INPUT!BH636</f>
        <v>-5.3759174766911428</v>
      </c>
      <c r="L62" s="665">
        <f>INPUT!BI636</f>
        <v>472</v>
      </c>
      <c r="M62" s="635">
        <f>INPUT!BJ636</f>
        <v>-5.0492858579762725</v>
      </c>
      <c r="N62" s="665">
        <f>INPUT!BK636</f>
        <v>465</v>
      </c>
      <c r="O62" s="635">
        <f>INPUT!BL636</f>
        <v>-5.1987767584097782</v>
      </c>
      <c r="P62" s="665">
        <f>INPUT!BM636</f>
        <v>459</v>
      </c>
      <c r="Q62" s="635">
        <f>INPUT!BN636</f>
        <v>-4.9295774647887356</v>
      </c>
      <c r="R62" s="655">
        <f>INPUT!BO636</f>
        <v>448</v>
      </c>
      <c r="S62" s="635">
        <f>INPUT!BP636</f>
        <v>-6.0796645702306051</v>
      </c>
      <c r="T62" s="655">
        <f>INPUT!BQ636</f>
        <v>438</v>
      </c>
      <c r="U62" s="635">
        <f>INPUT!BR636</f>
        <v>-7.2033898305084847</v>
      </c>
      <c r="V62" s="655">
        <f>INPUT!BS636</f>
        <v>430</v>
      </c>
      <c r="W62" s="635">
        <f>INPUT!BT636</f>
        <v>-7.5268817204301115</v>
      </c>
      <c r="X62" s="655">
        <f>INPUT!BU636</f>
        <v>423.4</v>
      </c>
      <c r="Y62" s="635">
        <f>INPUT!BV636</f>
        <v>-7.7559912854030557</v>
      </c>
      <c r="Z62" s="655">
        <f>INPUT!BW636</f>
        <v>423.2</v>
      </c>
      <c r="AA62" s="635">
        <f>INPUT!BX636</f>
        <v>-5.5357142857142918</v>
      </c>
      <c r="AB62" s="655">
        <f>INPUT!BY636</f>
        <v>434.3</v>
      </c>
      <c r="AC62" s="635">
        <f>INPUT!BZ636</f>
        <v>-0.84474885844748826</v>
      </c>
      <c r="AD62" s="655">
        <f>INPUT!CA636</f>
        <v>464.6</v>
      </c>
      <c r="AE62" s="635">
        <f>INPUT!CB636</f>
        <v>8.0465116279069662</v>
      </c>
      <c r="AF62" s="655">
        <f>INPUT!CC636</f>
        <v>470.3</v>
      </c>
      <c r="AG62" s="635">
        <f>INPUT!CD636</f>
        <v>11.076995748700995</v>
      </c>
      <c r="AH62" s="655">
        <f>INPUT!CE636</f>
        <v>471.5</v>
      </c>
      <c r="AI62" s="635">
        <f>INPUT!CF636</f>
        <v>11.41304347826086</v>
      </c>
      <c r="AJ62" s="655">
        <f>INPUT!CG636</f>
        <v>473.3</v>
      </c>
      <c r="AK62" s="635">
        <f>INPUT!CH636</f>
        <v>8.9799677642182729</v>
      </c>
      <c r="AL62" s="655">
        <f>INPUT!CI636</f>
        <v>473.2</v>
      </c>
      <c r="AM62" s="635">
        <f>INPUT!CJ636</f>
        <v>1.851054670684448</v>
      </c>
      <c r="AN62" s="655">
        <f>INPUT!CK636</f>
        <v>483.5</v>
      </c>
      <c r="AO62" s="635">
        <f>INPUT!CL636</f>
        <v>2.8067191154582218</v>
      </c>
      <c r="AP62" s="655">
        <f>INPUT!CM636</f>
        <v>493.9</v>
      </c>
      <c r="AQ62" s="635">
        <f>INPUT!CN636</f>
        <v>4.7507953340403049</v>
      </c>
      <c r="AR62" s="655">
        <f>INPUT!CO636</f>
        <v>494.8</v>
      </c>
      <c r="AS62" s="635">
        <f>INPUT!CP636</f>
        <v>4.5425734206634161</v>
      </c>
      <c r="AT62" s="655">
        <f>INPUT!CQ636</f>
        <v>489.3</v>
      </c>
      <c r="AU62" s="635">
        <f>INPUT!CR636</f>
        <v>3.4023668639053426</v>
      </c>
      <c r="AV62" s="655">
        <f>INPUT!CS636</f>
        <v>477</v>
      </c>
      <c r="AW62" s="635">
        <f>INPUT!CT636</f>
        <v>-1.344364012409514</v>
      </c>
      <c r="AX62" s="655">
        <f>INPUT!CU636</f>
        <v>477.5</v>
      </c>
      <c r="AY62" s="635">
        <f>INPUT!CV636</f>
        <v>-3.3205102247418523</v>
      </c>
      <c r="AZ62" s="655">
        <f>INPUT!CW636</f>
        <v>473.5</v>
      </c>
      <c r="BA62" s="635">
        <f>INPUT!CX636</f>
        <v>-4.3047696038803593</v>
      </c>
      <c r="BB62" s="655">
        <f>INPUT!CY636</f>
        <v>471.8</v>
      </c>
      <c r="BC62" s="635">
        <f>INPUT!CZ636</f>
        <v>-3.5765379113018554</v>
      </c>
      <c r="BD62" s="655">
        <f>INPUT!DA636</f>
        <v>469.9</v>
      </c>
      <c r="BE62" s="635">
        <f>INPUT!DB636</f>
        <v>-1.4884696016771528</v>
      </c>
      <c r="BF62" s="655">
        <f>INPUT!DC636</f>
        <v>471.7</v>
      </c>
      <c r="BG62" s="635">
        <f>INPUT!DD636</f>
        <v>-1.2146596858638787</v>
      </c>
      <c r="BH62" s="655">
        <f>INPUT!DE636</f>
        <v>472.2</v>
      </c>
      <c r="BI62" s="635">
        <f>INPUT!DF636</f>
        <v>-0.27455121436113927</v>
      </c>
      <c r="BJ62" s="655">
        <f>INPUT!DG636</f>
        <v>472</v>
      </c>
      <c r="BK62" s="635">
        <f>INPUT!DH636</f>
        <v>4.2390843577777559E-2</v>
      </c>
      <c r="BL62" s="655">
        <f>INPUT!DI636</f>
        <v>471.2</v>
      </c>
      <c r="BM62" s="635">
        <f>INPUT!DJ636</f>
        <v>0.27665460736328384</v>
      </c>
      <c r="BN62" s="655">
        <f>INPUT!DK636</f>
        <v>472.3</v>
      </c>
      <c r="BO62" s="635">
        <f>INPUT!DL636</f>
        <v>0.12719949120203466</v>
      </c>
      <c r="BP62" s="655">
        <f>INPUT!DM636</f>
        <v>470.8</v>
      </c>
      <c r="BQ62" s="635">
        <f>INPUT!DN636</f>
        <v>-0.296484540448958</v>
      </c>
      <c r="BR62" s="655">
        <f>INPUT!DO636</f>
        <v>469</v>
      </c>
      <c r="BS62" s="635">
        <f>INPUT!DP636</f>
        <v>-0.63559322033897558</v>
      </c>
      <c r="BT62" s="655">
        <f>INPUT!DQ636</f>
        <v>466.9</v>
      </c>
      <c r="BU62" s="635">
        <f>INPUT!DR636</f>
        <v>-0.91256366723260385</v>
      </c>
      <c r="BV62" s="655">
        <f>INPUT!DS636</f>
        <v>465.7</v>
      </c>
      <c r="BW62" s="635">
        <f>INPUT!DT636</f>
        <v>-1.397416896040653</v>
      </c>
      <c r="BX62" s="655">
        <f>INPUT!DU636</f>
        <v>463.5</v>
      </c>
      <c r="BY62" s="635">
        <f>INPUT!DV636</f>
        <v>-1.5505522514868346</v>
      </c>
      <c r="BZ62" s="655">
        <f>INPUT!DW636</f>
        <v>462.2</v>
      </c>
      <c r="CA62" s="635">
        <f>INPUT!DX636</f>
        <v>-1.4498933901919031</v>
      </c>
      <c r="CB62" s="655">
        <f>INPUT!DY636</f>
        <v>459.9</v>
      </c>
      <c r="CC62" s="635">
        <f>INPUT!DZ636</f>
        <v>-1.4992503748125898</v>
      </c>
      <c r="CD62" s="655">
        <f>INPUT!EA636</f>
        <v>457.59999999999997</v>
      </c>
      <c r="CE62" s="635">
        <f>INPUT!EB636</f>
        <v>-1.7393171569680135</v>
      </c>
      <c r="CF62" s="655">
        <f>INPUT!EC636</f>
        <v>449.3</v>
      </c>
      <c r="CG62" s="635">
        <f>INPUT!ED636</f>
        <v>-3.0636461704422828</v>
      </c>
      <c r="CH62" s="655">
        <f>INPUT!EE636</f>
        <v>444.3</v>
      </c>
      <c r="CI62" s="635">
        <f>INPUT!EF636</f>
        <v>-3.8727823453050547</v>
      </c>
      <c r="CJ62" s="655">
        <f>INPUT!EG636</f>
        <v>439.8</v>
      </c>
      <c r="CK62" s="635">
        <f>INPUT!EH636</f>
        <v>-4.3705153294194332</v>
      </c>
      <c r="CL62" s="655">
        <f>INPUT!EI636</f>
        <v>439.1</v>
      </c>
      <c r="CM62" s="635">
        <f>INPUT!EJ636</f>
        <v>-4.0428321678321595</v>
      </c>
      <c r="CN62" s="655">
        <f>INPUT!EK636</f>
        <v>437.24</v>
      </c>
      <c r="CO62" s="635">
        <f>INPUT!EL636</f>
        <v>-2.6841753839305511</v>
      </c>
      <c r="CP62" s="655">
        <f>INPUT!EM636</f>
        <v>435</v>
      </c>
      <c r="CQ62" s="635">
        <f>INPUT!EN636</f>
        <v>-2.0931802835921616</v>
      </c>
      <c r="CR62" s="655">
        <f>INPUT!EO636</f>
        <v>432.7</v>
      </c>
      <c r="CS62" s="635">
        <f>INPUT!EP636</f>
        <v>-1.6143701682583043</v>
      </c>
      <c r="CT62" s="655">
        <f>INPUT!EQ636</f>
        <v>428.55462787721513</v>
      </c>
      <c r="CU62" s="635">
        <f>INPUT!ER636</f>
        <v>-2.4015878211762498</v>
      </c>
      <c r="CV62" s="655">
        <f>INPUT!ES636</f>
        <v>425.24724105522074</v>
      </c>
      <c r="CW62" s="635">
        <f>INPUT!ET636</f>
        <v>-2.7428320704371174</v>
      </c>
      <c r="CX62" s="655">
        <f>INPUT!EU636</f>
        <v>421.9792724262262</v>
      </c>
      <c r="CY62" s="635">
        <f>INPUT!EV636</f>
        <v>-2.9932707066146662</v>
      </c>
      <c r="CZ62" s="655">
        <f>INPUT!EW636</f>
        <v>418.75055400014276</v>
      </c>
      <c r="DA62" s="635">
        <f>INPUT!EX636</f>
        <v>-3.2238146521509634</v>
      </c>
      <c r="DB62" s="666"/>
      <c r="DC62" s="665">
        <f>INPUT!FP636</f>
        <v>520.92499999999995</v>
      </c>
      <c r="DD62" s="635">
        <f>INPUT!FQ636</f>
        <v>-1.9481436167709774</v>
      </c>
      <c r="DE62" s="655">
        <f>INPUT!FR636</f>
        <v>493.6</v>
      </c>
      <c r="DF62" s="635">
        <f>INPUT!FS636</f>
        <v>-5.245476796083878</v>
      </c>
      <c r="DG62" s="655">
        <f>INPUT!FT636</f>
        <v>468.25</v>
      </c>
      <c r="DH62" s="635">
        <f>INPUT!FU636</f>
        <v>-5.1357374392220407</v>
      </c>
      <c r="DI62" s="655">
        <f>INPUT!FV636</f>
        <v>433.6</v>
      </c>
      <c r="DJ62" s="635">
        <f>INPUT!FW636</f>
        <v>-7.3998932194340625</v>
      </c>
      <c r="DK62" s="655">
        <f>INPUT!FX636</f>
        <v>448.09999999999997</v>
      </c>
      <c r="DL62" s="635">
        <f>INPUT!FY636</f>
        <v>3.3440959409593916</v>
      </c>
      <c r="DM62" s="655">
        <f>INPUT!FZ636</f>
        <v>475.375</v>
      </c>
      <c r="DN62" s="635">
        <f>INPUT!GA636</f>
        <v>6.0868109796920322</v>
      </c>
      <c r="DO62" s="655">
        <f>INPUT!GB636</f>
        <v>488.75</v>
      </c>
      <c r="DP62" s="635">
        <f>INPUT!GC636</f>
        <v>2.8135682356034835</v>
      </c>
      <c r="DQ62" s="655">
        <f>INPUT!GD636</f>
        <v>473.17500000000001</v>
      </c>
      <c r="DR62" s="635">
        <f>INPUT!GE636</f>
        <v>-3.1867007672634315</v>
      </c>
      <c r="DS62" s="655">
        <f>INPUT!GF636</f>
        <v>471.77500000000003</v>
      </c>
      <c r="DT62" s="635">
        <f>INPUT!GG636</f>
        <v>-0.29587361969673509</v>
      </c>
      <c r="DU62" s="655">
        <f>INPUT!GH636</f>
        <v>467.7</v>
      </c>
      <c r="DV62" s="635">
        <f>INPUT!GI636</f>
        <v>-0.86375920724923105</v>
      </c>
      <c r="DW62" s="655">
        <f>INPUT!GJ636</f>
        <v>462.82499999999999</v>
      </c>
      <c r="DX62" s="635">
        <f>INPUT!GK636</f>
        <v>-1.042334830019243</v>
      </c>
      <c r="DY62" s="655">
        <f>INPUT!GL636</f>
        <v>447.75</v>
      </c>
      <c r="DZ62" s="635">
        <f>INPUT!GM636</f>
        <v>-3.2571706368497786</v>
      </c>
      <c r="EA62" s="655">
        <f>INPUT!GN636</f>
        <v>436.01</v>
      </c>
      <c r="EB62" s="635">
        <f>INPUT!GO636</f>
        <v>-2.6219988833054231</v>
      </c>
      <c r="EC62" s="655">
        <f>INPUT!GP636</f>
        <v>423.63292383970122</v>
      </c>
      <c r="ED62" s="635">
        <f>INPUT!GQ636</f>
        <v>-2.8387138277330308</v>
      </c>
      <c r="EE62" s="655">
        <f>INPUT!GR636</f>
        <v>410.27038194757091</v>
      </c>
      <c r="EF62" s="635">
        <f>INPUT!GS636</f>
        <v>-3.1542736978551318</v>
      </c>
      <c r="EG62" s="655">
        <f>INPUT!GT636</f>
        <v>397.36243986624044</v>
      </c>
      <c r="EH62" s="635">
        <f>INPUT!GU636</f>
        <v>-3.1462037352186911</v>
      </c>
      <c r="EI62" s="655">
        <f>INPUT!GV636</f>
        <v>385.98178455916099</v>
      </c>
      <c r="EJ62" s="635">
        <f>INPUT!GW636</f>
        <v>-2.8640490809625589</v>
      </c>
      <c r="EK62" s="655">
        <f>INPUT!GX636</f>
        <v>373.70574261116775</v>
      </c>
      <c r="EL62" s="635">
        <f>INPUT!GY636</f>
        <v>-3.1804718354815549</v>
      </c>
      <c r="EM62" s="635">
        <f>INPUT!GZ636</f>
        <v>-3.0368614947009931</v>
      </c>
    </row>
    <row r="63" spans="1:144" s="632" customFormat="1" ht="12.75" customHeight="1" x14ac:dyDescent="0.2">
      <c r="A63" s="644"/>
      <c r="B63" s="665"/>
      <c r="C63" s="635"/>
      <c r="D63" s="665"/>
      <c r="E63" s="635"/>
      <c r="F63" s="665"/>
      <c r="G63" s="635"/>
      <c r="H63" s="665"/>
      <c r="I63" s="635"/>
      <c r="J63" s="665"/>
      <c r="K63" s="635"/>
      <c r="L63" s="665"/>
      <c r="M63" s="635"/>
      <c r="N63" s="665"/>
      <c r="O63" s="635"/>
      <c r="P63" s="665"/>
      <c r="Q63" s="635"/>
      <c r="R63" s="665"/>
      <c r="S63" s="635"/>
      <c r="T63" s="665"/>
      <c r="U63" s="635"/>
      <c r="V63" s="665"/>
      <c r="W63" s="635"/>
      <c r="X63" s="665"/>
      <c r="Y63" s="635"/>
      <c r="Z63" s="665"/>
      <c r="AA63" s="635"/>
      <c r="AB63" s="665"/>
      <c r="AC63" s="635"/>
      <c r="AD63" s="665"/>
      <c r="AE63" s="635"/>
      <c r="AF63" s="665"/>
      <c r="AG63" s="635"/>
      <c r="AH63" s="665"/>
      <c r="AI63" s="635"/>
      <c r="AJ63" s="665"/>
      <c r="AK63" s="635"/>
      <c r="AL63" s="665"/>
      <c r="AM63" s="635"/>
      <c r="AN63" s="665"/>
      <c r="AO63" s="635"/>
      <c r="AP63" s="665"/>
      <c r="AQ63" s="635"/>
      <c r="AR63" s="665"/>
      <c r="AS63" s="635"/>
      <c r="AT63" s="665"/>
      <c r="AU63" s="635"/>
      <c r="AV63" s="665"/>
      <c r="AW63" s="635"/>
      <c r="AX63" s="665"/>
      <c r="AY63" s="635"/>
      <c r="AZ63" s="665"/>
      <c r="BA63" s="635"/>
      <c r="BB63" s="665"/>
      <c r="BC63" s="635"/>
      <c r="BD63" s="665"/>
      <c r="BE63" s="635"/>
      <c r="BF63" s="665"/>
      <c r="BG63" s="635"/>
      <c r="BH63" s="665"/>
      <c r="BI63" s="635"/>
      <c r="BJ63" s="665"/>
      <c r="BK63" s="635"/>
      <c r="BL63" s="665"/>
      <c r="BM63" s="635"/>
      <c r="BN63" s="665"/>
      <c r="BO63" s="635"/>
      <c r="BP63" s="665"/>
      <c r="BQ63" s="635"/>
      <c r="BR63" s="665"/>
      <c r="BS63" s="635"/>
      <c r="BT63" s="665"/>
      <c r="BU63" s="635"/>
      <c r="BV63" s="665"/>
      <c r="BW63" s="635"/>
      <c r="BX63" s="665"/>
      <c r="BY63" s="635"/>
      <c r="BZ63" s="665"/>
      <c r="CA63" s="635"/>
      <c r="CB63" s="665"/>
      <c r="CC63" s="635"/>
      <c r="CD63" s="665"/>
      <c r="CE63" s="635"/>
      <c r="CF63" s="665"/>
      <c r="CG63" s="635"/>
      <c r="CH63" s="665"/>
      <c r="CI63" s="635"/>
      <c r="CJ63" s="665"/>
      <c r="CK63" s="635"/>
      <c r="CL63" s="665"/>
      <c r="CM63" s="635"/>
      <c r="CN63" s="665"/>
      <c r="CO63" s="635"/>
      <c r="CP63" s="665"/>
      <c r="CQ63" s="635"/>
      <c r="CR63" s="665"/>
      <c r="CS63" s="635"/>
      <c r="CT63" s="665"/>
      <c r="CU63" s="635"/>
      <c r="CV63" s="665"/>
      <c r="CW63" s="635"/>
      <c r="CX63" s="665"/>
      <c r="CY63" s="635"/>
      <c r="CZ63" s="665"/>
      <c r="DA63" s="635"/>
      <c r="DB63" s="666"/>
      <c r="DC63" s="665"/>
      <c r="DD63" s="635"/>
      <c r="DE63" s="665"/>
      <c r="DF63" s="635"/>
      <c r="DG63" s="665"/>
      <c r="DH63" s="635"/>
      <c r="DI63" s="665"/>
      <c r="DJ63" s="635"/>
      <c r="DK63" s="665"/>
      <c r="DL63" s="635"/>
      <c r="DM63" s="665"/>
      <c r="DN63" s="635"/>
      <c r="DO63" s="665"/>
      <c r="DP63" s="635"/>
      <c r="DQ63" s="665"/>
      <c r="DR63" s="635"/>
      <c r="DS63" s="665"/>
      <c r="DT63" s="635"/>
      <c r="DU63" s="665"/>
      <c r="DV63" s="635"/>
      <c r="DW63" s="665"/>
      <c r="DX63" s="635"/>
      <c r="DY63" s="665"/>
      <c r="DZ63" s="635"/>
      <c r="EA63" s="665"/>
      <c r="EB63" s="635"/>
      <c r="EC63" s="665"/>
      <c r="ED63" s="635"/>
      <c r="EE63" s="665"/>
      <c r="EF63" s="635"/>
      <c r="EG63" s="665"/>
      <c r="EH63" s="635"/>
      <c r="EI63" s="665"/>
      <c r="EJ63" s="635"/>
      <c r="EK63" s="665"/>
      <c r="EL63" s="635"/>
      <c r="EM63" s="635"/>
    </row>
    <row r="64" spans="1:144" s="632" customFormat="1" ht="12.75" hidden="1" customHeight="1" outlineLevel="1" x14ac:dyDescent="0.2">
      <c r="A64" s="633" t="s">
        <v>226</v>
      </c>
      <c r="B64" s="665"/>
      <c r="C64" s="635"/>
      <c r="D64" s="665"/>
      <c r="E64" s="635"/>
      <c r="F64" s="665"/>
      <c r="G64" s="635"/>
      <c r="H64" s="665"/>
      <c r="I64" s="635"/>
      <c r="J64" s="665"/>
      <c r="K64" s="635"/>
      <c r="L64" s="665"/>
      <c r="M64" s="635"/>
      <c r="N64" s="665"/>
      <c r="O64" s="635"/>
      <c r="P64" s="665"/>
      <c r="Q64" s="635"/>
      <c r="R64" s="665"/>
      <c r="S64" s="635"/>
      <c r="T64" s="665"/>
      <c r="U64" s="635"/>
      <c r="V64" s="665"/>
      <c r="W64" s="635"/>
      <c r="X64" s="665"/>
      <c r="Y64" s="635"/>
      <c r="Z64" s="665"/>
      <c r="AA64" s="635"/>
      <c r="AB64" s="665"/>
      <c r="AC64" s="635"/>
      <c r="AD64" s="665"/>
      <c r="AE64" s="635"/>
      <c r="AF64" s="665"/>
      <c r="AG64" s="635"/>
      <c r="AH64" s="665"/>
      <c r="AI64" s="635"/>
      <c r="AJ64" s="665"/>
      <c r="AK64" s="635"/>
      <c r="AL64" s="665"/>
      <c r="AM64" s="635"/>
      <c r="AN64" s="665"/>
      <c r="AO64" s="635"/>
      <c r="AP64" s="665"/>
      <c r="AQ64" s="635"/>
      <c r="AR64" s="665"/>
      <c r="AS64" s="635"/>
      <c r="AT64" s="665"/>
      <c r="AU64" s="635"/>
      <c r="AV64" s="665"/>
      <c r="AW64" s="635"/>
      <c r="AX64" s="665"/>
      <c r="AY64" s="635"/>
      <c r="AZ64" s="665"/>
      <c r="BA64" s="635"/>
      <c r="BB64" s="665"/>
      <c r="BC64" s="635"/>
      <c r="BD64" s="665"/>
      <c r="BE64" s="635"/>
      <c r="BF64" s="665"/>
      <c r="BG64" s="635"/>
      <c r="BH64" s="665"/>
      <c r="BI64" s="635"/>
      <c r="BJ64" s="665"/>
      <c r="BK64" s="635"/>
      <c r="BL64" s="665"/>
      <c r="BM64" s="635"/>
      <c r="BN64" s="665"/>
      <c r="BO64" s="635"/>
      <c r="BP64" s="665"/>
      <c r="BQ64" s="635"/>
      <c r="BR64" s="665"/>
      <c r="BS64" s="635"/>
      <c r="BT64" s="665"/>
      <c r="BU64" s="635"/>
      <c r="BV64" s="665"/>
      <c r="BW64" s="635"/>
      <c r="BX64" s="665"/>
      <c r="BY64" s="635"/>
      <c r="BZ64" s="665"/>
      <c r="CA64" s="635"/>
      <c r="CB64" s="665"/>
      <c r="CC64" s="635"/>
      <c r="CD64" s="665"/>
      <c r="CE64" s="635"/>
      <c r="CF64" s="665"/>
      <c r="CG64" s="635"/>
      <c r="CH64" s="665"/>
      <c r="CI64" s="635"/>
      <c r="CJ64" s="665"/>
      <c r="CK64" s="635"/>
      <c r="CL64" s="665"/>
      <c r="CM64" s="635"/>
      <c r="CN64" s="665"/>
      <c r="CO64" s="635"/>
      <c r="CP64" s="665"/>
      <c r="CQ64" s="635"/>
      <c r="CR64" s="665"/>
      <c r="CS64" s="635"/>
      <c r="CT64" s="665"/>
      <c r="CU64" s="635"/>
      <c r="CV64" s="665"/>
      <c r="CW64" s="635"/>
      <c r="CX64" s="665"/>
      <c r="CY64" s="635"/>
      <c r="CZ64" s="665"/>
      <c r="DA64" s="635"/>
      <c r="DB64" s="666"/>
      <c r="DC64" s="665"/>
      <c r="DD64" s="635"/>
      <c r="DE64" s="665"/>
      <c r="DF64" s="635"/>
      <c r="DG64" s="665"/>
      <c r="DH64" s="635"/>
      <c r="DI64" s="665"/>
      <c r="DJ64" s="635"/>
      <c r="DK64" s="665"/>
      <c r="DL64" s="635"/>
      <c r="DM64" s="665"/>
      <c r="DN64" s="635"/>
      <c r="DO64" s="665"/>
      <c r="DP64" s="635"/>
      <c r="DQ64" s="665"/>
      <c r="DR64" s="635"/>
      <c r="DS64" s="665"/>
      <c r="DT64" s="635"/>
      <c r="DU64" s="665"/>
      <c r="DV64" s="635"/>
      <c r="DW64" s="665"/>
      <c r="DX64" s="635"/>
      <c r="DY64" s="665"/>
      <c r="DZ64" s="635"/>
      <c r="EA64" s="665"/>
      <c r="EB64" s="635"/>
      <c r="EC64" s="665"/>
      <c r="ED64" s="635"/>
      <c r="EE64" s="665"/>
      <c r="EF64" s="635"/>
      <c r="EG64" s="665"/>
      <c r="EH64" s="635"/>
      <c r="EI64" s="665"/>
      <c r="EJ64" s="635"/>
      <c r="EK64" s="665"/>
      <c r="EL64" s="635"/>
      <c r="EM64" s="635"/>
    </row>
    <row r="65" spans="1:143" s="632" customFormat="1" ht="12.75" customHeight="1" collapsed="1" x14ac:dyDescent="0.2">
      <c r="A65" s="652" t="s">
        <v>225</v>
      </c>
      <c r="B65" s="655"/>
      <c r="C65" s="635"/>
      <c r="D65" s="655"/>
      <c r="E65" s="635"/>
      <c r="F65" s="655"/>
      <c r="G65" s="635"/>
      <c r="H65" s="655"/>
      <c r="I65" s="635"/>
      <c r="J65" s="655"/>
      <c r="K65" s="635"/>
      <c r="L65" s="655"/>
      <c r="M65" s="635"/>
      <c r="N65" s="655"/>
      <c r="O65" s="635"/>
      <c r="P65" s="655"/>
      <c r="Q65" s="635"/>
      <c r="R65" s="655"/>
      <c r="S65" s="635"/>
      <c r="T65" s="655"/>
      <c r="U65" s="635"/>
      <c r="V65" s="655"/>
      <c r="W65" s="635"/>
      <c r="X65" s="655"/>
      <c r="Y65" s="635"/>
      <c r="Z65" s="655"/>
      <c r="AA65" s="635"/>
      <c r="AB65" s="655"/>
      <c r="AC65" s="635"/>
      <c r="AD65" s="655"/>
      <c r="AE65" s="635"/>
      <c r="AF65" s="655"/>
      <c r="AG65" s="635"/>
      <c r="AH65" s="655"/>
      <c r="AI65" s="635"/>
      <c r="AJ65" s="655"/>
      <c r="AK65" s="635"/>
      <c r="AL65" s="655"/>
      <c r="AM65" s="635"/>
      <c r="AN65" s="655"/>
      <c r="AO65" s="635"/>
      <c r="AP65" s="655"/>
      <c r="AQ65" s="635"/>
      <c r="AR65" s="655"/>
      <c r="AS65" s="635"/>
      <c r="AT65" s="655"/>
      <c r="AU65" s="635"/>
      <c r="AV65" s="655"/>
      <c r="AW65" s="635"/>
      <c r="AX65" s="655"/>
      <c r="AY65" s="635"/>
      <c r="AZ65" s="655"/>
      <c r="BA65" s="635"/>
      <c r="BB65" s="655"/>
      <c r="BC65" s="635"/>
      <c r="BD65" s="655"/>
      <c r="BE65" s="635"/>
      <c r="BF65" s="655"/>
      <c r="BG65" s="635"/>
      <c r="BH65" s="655"/>
      <c r="BI65" s="635"/>
      <c r="BJ65" s="655"/>
      <c r="BK65" s="635"/>
      <c r="BL65" s="655"/>
      <c r="BM65" s="635"/>
      <c r="BN65" s="655"/>
      <c r="BO65" s="635"/>
      <c r="BP65" s="655"/>
      <c r="BQ65" s="635"/>
      <c r="BR65" s="655"/>
      <c r="BS65" s="635"/>
      <c r="BT65" s="655"/>
      <c r="BU65" s="635"/>
      <c r="BV65" s="655"/>
      <c r="BW65" s="635"/>
      <c r="BX65" s="655"/>
      <c r="BY65" s="635"/>
      <c r="BZ65" s="655"/>
      <c r="CA65" s="635"/>
      <c r="CB65" s="655"/>
      <c r="CC65" s="635"/>
      <c r="CD65" s="655"/>
      <c r="CE65" s="635"/>
      <c r="CF65" s="655"/>
      <c r="CG65" s="635"/>
      <c r="CH65" s="655"/>
      <c r="CI65" s="635"/>
      <c r="CJ65" s="655"/>
      <c r="CK65" s="635"/>
      <c r="CL65" s="655"/>
      <c r="CM65" s="635"/>
      <c r="CN65" s="655"/>
      <c r="CO65" s="635"/>
      <c r="CP65" s="655"/>
      <c r="CQ65" s="635"/>
      <c r="CR65" s="655"/>
      <c r="CS65" s="635"/>
      <c r="CT65" s="655"/>
      <c r="CU65" s="635"/>
      <c r="CV65" s="655"/>
      <c r="CW65" s="635"/>
      <c r="CX65" s="655"/>
      <c r="CY65" s="635"/>
      <c r="CZ65" s="655"/>
      <c r="DA65" s="635"/>
      <c r="DB65" s="666"/>
      <c r="DC65" s="655"/>
      <c r="DD65" s="635"/>
      <c r="DE65" s="655"/>
      <c r="DF65" s="635"/>
      <c r="DG65" s="655"/>
      <c r="DH65" s="635"/>
      <c r="DI65" s="655"/>
      <c r="DJ65" s="635"/>
      <c r="DK65" s="655"/>
      <c r="DL65" s="635"/>
      <c r="DM65" s="655"/>
      <c r="DN65" s="635"/>
      <c r="DO65" s="655"/>
      <c r="DP65" s="635"/>
      <c r="DQ65" s="655"/>
      <c r="DR65" s="635"/>
      <c r="DS65" s="655"/>
      <c r="DT65" s="635"/>
      <c r="DU65" s="655"/>
      <c r="DV65" s="635"/>
      <c r="DW65" s="655"/>
      <c r="DX65" s="635"/>
      <c r="DY65" s="655"/>
      <c r="DZ65" s="635"/>
      <c r="EA65" s="655"/>
      <c r="EB65" s="635"/>
      <c r="EC65" s="655"/>
      <c r="ED65" s="635"/>
      <c r="EE65" s="655"/>
      <c r="EF65" s="635"/>
      <c r="EG65" s="655"/>
      <c r="EH65" s="635"/>
      <c r="EI65" s="655"/>
      <c r="EJ65" s="635"/>
      <c r="EK65" s="655"/>
      <c r="EL65" s="635"/>
      <c r="EM65" s="635"/>
    </row>
    <row r="66" spans="1:143" s="632" customFormat="1" ht="12.75" customHeight="1" x14ac:dyDescent="0.2">
      <c r="A66" s="644" t="str">
        <f>A8</f>
        <v>Individual Annuities</v>
      </c>
      <c r="B66" s="665">
        <f>(B8/B$22)*100</f>
        <v>13.393870601589104</v>
      </c>
      <c r="C66" s="635"/>
      <c r="D66" s="665">
        <f>(D8/D$22)*100</f>
        <v>12.815126050420167</v>
      </c>
      <c r="E66" s="635"/>
      <c r="F66" s="665">
        <f t="shared" ref="F66:F78" si="94">(F8/F$22)*100</f>
        <v>16.594641313742436</v>
      </c>
      <c r="G66" s="635"/>
      <c r="H66" s="665">
        <f t="shared" ref="H66:H78" si="95">(H8/H$22)*100</f>
        <v>14.338919925512103</v>
      </c>
      <c r="I66" s="635"/>
      <c r="J66" s="665">
        <f t="shared" ref="J66:J78" si="96">(J8/J$22)*100</f>
        <v>15.123906705539362</v>
      </c>
      <c r="K66" s="635"/>
      <c r="L66" s="665">
        <f t="shared" ref="L66:L78" si="97">(L8/L$22)*100</f>
        <v>16.057091882247992</v>
      </c>
      <c r="M66" s="635"/>
      <c r="N66" s="665">
        <f t="shared" ref="N66:N78" si="98">(N8/N$22)*100</f>
        <v>15.83011583011583</v>
      </c>
      <c r="O66" s="635"/>
      <c r="P66" s="665">
        <f t="shared" ref="P66:P78" si="99">(P8/P$22)*100</f>
        <v>16.69921875</v>
      </c>
      <c r="Q66" s="635"/>
      <c r="R66" s="665">
        <f t="shared" ref="R66:R78" si="100">(R8/R$22)*100</f>
        <v>12.595837897042717</v>
      </c>
      <c r="S66" s="635"/>
      <c r="T66" s="665">
        <f t="shared" ref="T66:T78" si="101">(T8/T$22)*100</f>
        <v>13.824057450628366</v>
      </c>
      <c r="U66" s="635"/>
      <c r="V66" s="665">
        <f t="shared" ref="V66:V78" si="102">(V8/V$22)*100</f>
        <v>-50.827814569536422</v>
      </c>
      <c r="W66" s="635"/>
      <c r="X66" s="665">
        <f t="shared" ref="X66:X78" si="103">(X8/X$22)*100</f>
        <v>87.901861252115054</v>
      </c>
      <c r="Y66" s="635"/>
      <c r="Z66" s="665">
        <f t="shared" ref="Z66:Z78" si="104">(Z8/Z$22)*100</f>
        <v>-99.591836734693871</v>
      </c>
      <c r="AA66" s="635"/>
      <c r="AB66" s="665">
        <f t="shared" ref="AB66:AB78" si="105">(AB8/AB$22)*100</f>
        <v>41.902313624678662</v>
      </c>
      <c r="AC66" s="635"/>
      <c r="AD66" s="665">
        <f t="shared" ref="AD66:AD78" si="106">(AD8/AD$22)*100</f>
        <v>29.54971857410882</v>
      </c>
      <c r="AE66" s="635"/>
      <c r="AF66" s="665">
        <f t="shared" ref="AF66:AF78" si="107">(AF8/AF$22)*100</f>
        <v>25.751633986928102</v>
      </c>
      <c r="AG66" s="635"/>
      <c r="AH66" s="665">
        <f t="shared" ref="AH66:AH78" si="108">(AH8/AH$22)*100</f>
        <v>26.285046728971963</v>
      </c>
      <c r="AI66" s="635"/>
      <c r="AJ66" s="665">
        <f t="shared" ref="AJ66:AJ78" si="109">(AJ8/AJ$22)*100</f>
        <v>-29.387755102040821</v>
      </c>
      <c r="AK66" s="635"/>
      <c r="AL66" s="665">
        <f t="shared" ref="AL66:AL78" si="110">(AL8/AL$22)*100</f>
        <v>44.805194805194802</v>
      </c>
      <c r="AM66" s="635"/>
      <c r="AN66" s="665">
        <f t="shared" ref="AN66:AN78" si="111">(AN8/AN$22)*100</f>
        <v>29.243542435424352</v>
      </c>
      <c r="AO66" s="635"/>
      <c r="AP66" s="665">
        <f t="shared" ref="AP66:AP78" si="112">(AP8/AP$22)*100</f>
        <v>25</v>
      </c>
      <c r="AQ66" s="635"/>
      <c r="AR66" s="665">
        <f t="shared" ref="AR66:AR78" si="113">(AR8/AR$22)*100</f>
        <v>19.676806083650188</v>
      </c>
      <c r="AS66" s="635"/>
      <c r="AT66" s="665">
        <f t="shared" ref="AT66:AT78" si="114">(AT8/AT$22)*100</f>
        <v>-37.721021611001966</v>
      </c>
      <c r="AU66" s="635"/>
      <c r="AV66" s="665">
        <f t="shared" ref="AV66:AV78" si="115">(AV8/AV$22)*100</f>
        <v>31.989708404802748</v>
      </c>
      <c r="AW66" s="635"/>
      <c r="AX66" s="665">
        <f t="shared" ref="AX66:AX78" si="116">(AX8/AX$22)*100</f>
        <v>39.456419868791002</v>
      </c>
      <c r="AY66" s="635"/>
      <c r="AZ66" s="665">
        <f t="shared" ref="AZ66:AZ78" si="117">(AZ8/AZ$22)*100</f>
        <v>12.5</v>
      </c>
      <c r="BA66" s="635"/>
      <c r="BB66" s="665">
        <f t="shared" ref="BB66:BB78" si="118">(BB8/BB$22)*100</f>
        <v>20.11661807580175</v>
      </c>
      <c r="BC66" s="635"/>
      <c r="BD66" s="665">
        <f t="shared" ref="BD66:BF78" si="119">(BD8/BD$22)*100</f>
        <v>28.25278810408922</v>
      </c>
      <c r="BE66" s="635"/>
      <c r="BF66" s="665">
        <f t="shared" si="119"/>
        <v>25.16914749661705</v>
      </c>
      <c r="BG66" s="635"/>
      <c r="BH66" s="665">
        <f t="shared" ref="BH66:BH78" si="120">(BH8/BH$22)*100</f>
        <v>26.367831245880026</v>
      </c>
      <c r="BI66" s="635"/>
      <c r="BJ66" s="665">
        <f t="shared" ref="BJ66:BJ78" si="121">(BJ8/BJ$22)*100</f>
        <v>42.916884474647148</v>
      </c>
      <c r="BK66" s="635"/>
      <c r="BL66" s="665">
        <f t="shared" ref="BL66:BL78" si="122">(BL8/BL$22)*100</f>
        <v>33.675564681724843</v>
      </c>
      <c r="BM66" s="635"/>
      <c r="BN66" s="665">
        <f t="shared" ref="BN66:BN78" si="123">(BN8/BN$22)*100</f>
        <v>24.697644812221515</v>
      </c>
      <c r="BO66" s="635"/>
      <c r="BP66" s="665">
        <f t="shared" ref="BP66:BP78" si="124">(BP8/BP$22)*100</f>
        <v>24.029574861367838</v>
      </c>
      <c r="BQ66" s="635"/>
      <c r="BR66" s="665">
        <f t="shared" ref="BR66:BR78" si="125">(BR8/BR$22)*100</f>
        <v>27.124907612712491</v>
      </c>
      <c r="BS66" s="635"/>
      <c r="BT66" s="665">
        <f t="shared" ref="BT66:BV78" si="126">(BT8/BT$22)*100</f>
        <v>23.940520446096656</v>
      </c>
      <c r="BU66" s="635"/>
      <c r="BV66" s="665">
        <f t="shared" si="126"/>
        <v>30.315186246418342</v>
      </c>
      <c r="BW66" s="635"/>
      <c r="BX66" s="665">
        <f t="shared" ref="BX66:BX78" si="127">(BX8/BX$22)*100</f>
        <v>29.766431287343835</v>
      </c>
      <c r="BY66" s="635"/>
      <c r="BZ66" s="665">
        <f t="shared" ref="BZ66:BZ78" si="128">(BZ8/BZ$22)*100</f>
        <v>21.189336978810662</v>
      </c>
      <c r="CA66" s="635"/>
      <c r="CB66" s="665">
        <f t="shared" ref="CB66:CB78" si="129">(CB8/CB$22)*100</f>
        <v>34.686971235194584</v>
      </c>
      <c r="CC66" s="635"/>
      <c r="CD66" s="665">
        <f t="shared" ref="CD66:CD78" si="130">(CD8/CD$22)*100</f>
        <v>24.754716981132074</v>
      </c>
      <c r="CE66" s="635"/>
      <c r="CF66" s="665">
        <f t="shared" ref="CF66:CF78" si="131">(CF8/CF$22)*100</f>
        <v>40.397350993377486</v>
      </c>
      <c r="CG66" s="635"/>
      <c r="CH66" s="665">
        <f t="shared" ref="CH66:CH78" si="132">(CH8/CH$22)*100</f>
        <v>37.740693196405651</v>
      </c>
      <c r="CI66" s="635"/>
      <c r="CJ66" s="665">
        <f t="shared" ref="CJ66:CR66" si="133">(CJ8/CJ$22)*100</f>
        <v>28.923920493488691</v>
      </c>
      <c r="CK66" s="635"/>
      <c r="CL66" s="665">
        <f t="shared" si="133"/>
        <v>28.192771084337348</v>
      </c>
      <c r="CM66" s="635"/>
      <c r="CN66" s="665">
        <f t="shared" si="133"/>
        <v>49.837133550488602</v>
      </c>
      <c r="CO66" s="635"/>
      <c r="CP66" s="665">
        <f t="shared" si="133"/>
        <v>32.343049327354265</v>
      </c>
      <c r="CQ66" s="635"/>
      <c r="CR66" s="665">
        <f t="shared" si="133"/>
        <v>34.414758269720103</v>
      </c>
      <c r="CS66" s="635"/>
      <c r="CT66" s="665">
        <f t="shared" ref="CT66" si="134">(CT8/CT$22)*100</f>
        <v>30.742467350833518</v>
      </c>
      <c r="CU66" s="635"/>
      <c r="CV66" s="665">
        <f t="shared" ref="CV66" si="135">(CV8/CV$22)*100</f>
        <v>30.371190503611668</v>
      </c>
      <c r="CW66" s="635"/>
      <c r="CX66" s="665">
        <f t="shared" ref="CX66" si="136">(CX8/CX$22)*100</f>
        <v>30.754144604612133</v>
      </c>
      <c r="CY66" s="635"/>
      <c r="CZ66" s="665">
        <f t="shared" ref="CZ66" si="137">(CZ8/CZ$22)*100</f>
        <v>32.785245897823472</v>
      </c>
      <c r="DA66" s="635"/>
      <c r="DB66" s="671"/>
      <c r="DC66" s="665">
        <f t="shared" ref="DC66:DC78" si="138">(DC8/DC$22)*100</f>
        <v>14.217342342342343</v>
      </c>
      <c r="DD66" s="635"/>
      <c r="DE66" s="665">
        <f t="shared" ref="DE66:DE78" si="139">(DE8/DE$22)*100</f>
        <v>14.419291338582676</v>
      </c>
      <c r="DF66" s="635"/>
      <c r="DG66" s="665">
        <f t="shared" ref="DG66:DG78" si="140">(DG8/DG$22)*100</f>
        <v>15.911495063469674</v>
      </c>
      <c r="DH66" s="635"/>
      <c r="DI66" s="665">
        <f t="shared" ref="DI66:DI78" si="141">(DI8/DI$22)*100</f>
        <v>-62.746386333771355</v>
      </c>
      <c r="DJ66" s="635"/>
      <c r="DK66" s="665">
        <f t="shared" ref="DK66:DK78" si="142">(DK8/DK$22)*100</f>
        <v>22.779661016949152</v>
      </c>
      <c r="DL66" s="635"/>
      <c r="DM66" s="665">
        <f t="shared" ref="DM66:DM78" si="143">(DM8/DM$22)*100</f>
        <v>25.94210813762971</v>
      </c>
      <c r="DN66" s="635"/>
      <c r="DO66" s="665">
        <f t="shared" ref="DO66:DO78" si="144">(DO8/DO$22)*100</f>
        <v>17.316243787601358</v>
      </c>
      <c r="DP66" s="635"/>
      <c r="DQ66" s="665">
        <f t="shared" ref="DQ66:DS78" si="145">(DQ8/DQ$22)*100</f>
        <v>25.794438927507446</v>
      </c>
      <c r="DR66" s="635"/>
      <c r="DS66" s="665">
        <f t="shared" si="145"/>
        <v>32.736693358455014</v>
      </c>
      <c r="DT66" s="635"/>
      <c r="DU66" s="665">
        <f t="shared" ref="DU66:DW78" si="146">(DU8/DU$22)*100</f>
        <v>24.898167006109979</v>
      </c>
      <c r="DV66" s="635"/>
      <c r="DW66" s="665">
        <f t="shared" si="146"/>
        <v>28.839672604718341</v>
      </c>
      <c r="DX66" s="635"/>
      <c r="DY66" s="665">
        <f t="shared" ref="DY66:DY78" si="147">(DY8/DY$22)*100</f>
        <v>32.691239118355256</v>
      </c>
      <c r="DZ66" s="635"/>
      <c r="EA66" s="665">
        <f t="shared" ref="EA66:EC78" si="148">(EA8/EA$22)*100</f>
        <v>35.201793721973097</v>
      </c>
      <c r="EB66" s="635"/>
      <c r="EC66" s="665">
        <f t="shared" si="148"/>
        <v>31.119801127506292</v>
      </c>
      <c r="ED66" s="635"/>
      <c r="EE66" s="665">
        <f t="shared" ref="EE66:EE78" si="149">(EE8/EE$22)*100</f>
        <v>30.249672871015438</v>
      </c>
      <c r="EF66" s="635"/>
      <c r="EG66" s="665">
        <f t="shared" ref="EG66:EG78" si="150">(EG8/EG$22)*100</f>
        <v>29.504328426567433</v>
      </c>
      <c r="EH66" s="635"/>
      <c r="EI66" s="665">
        <f t="shared" ref="EI66:EK78" si="151">(EI8/EI$22)*100</f>
        <v>28.79239169810614</v>
      </c>
      <c r="EJ66" s="635"/>
      <c r="EK66" s="665">
        <f t="shared" si="151"/>
        <v>28.187918103985233</v>
      </c>
      <c r="EL66" s="635"/>
      <c r="EM66" s="635">
        <f t="shared" ref="EM66:EM78" si="152">IF(ISERROR(((EE66/DU66)^0.2-1)*100),"NA",IF((((EE66/DU66)^0.2-1)*100)&gt;100,"NM",IF((((EE66/DU66)^0.2-1)*100)&lt;-50,"NM",((EE66/DU66)^0.2-1)*100)))</f>
        <v>3.9706266016213521</v>
      </c>
    </row>
    <row r="67" spans="1:143" s="632" customFormat="1" ht="12.75" customHeight="1" x14ac:dyDescent="0.2">
      <c r="A67" s="644" t="str">
        <f t="shared" ref="A67:A78" si="153">A9</f>
        <v>Individual Life</v>
      </c>
      <c r="B67" s="665">
        <f t="shared" ref="B67:D78" si="154">(B9/B$22)*100</f>
        <v>15.550510783200908</v>
      </c>
      <c r="C67" s="635"/>
      <c r="D67" s="665">
        <f t="shared" si="154"/>
        <v>15.021008403361344</v>
      </c>
      <c r="E67" s="635"/>
      <c r="F67" s="665">
        <f t="shared" si="94"/>
        <v>9.4209161624891955</v>
      </c>
      <c r="G67" s="635"/>
      <c r="H67" s="665">
        <f t="shared" si="95"/>
        <v>11.266294227188082</v>
      </c>
      <c r="I67" s="635"/>
      <c r="J67" s="665">
        <f t="shared" si="96"/>
        <v>13.48396501457726</v>
      </c>
      <c r="K67" s="635"/>
      <c r="L67" s="665">
        <f t="shared" si="97"/>
        <v>12.310437109723461</v>
      </c>
      <c r="M67" s="635"/>
      <c r="N67" s="665">
        <f t="shared" si="98"/>
        <v>5.019305019305019</v>
      </c>
      <c r="O67" s="635"/>
      <c r="P67" s="665">
        <f t="shared" si="99"/>
        <v>12.79296875</v>
      </c>
      <c r="Q67" s="635"/>
      <c r="R67" s="665">
        <f t="shared" si="100"/>
        <v>13.581599123767798</v>
      </c>
      <c r="S67" s="635"/>
      <c r="T67" s="665">
        <f t="shared" si="101"/>
        <v>12.657091561938957</v>
      </c>
      <c r="U67" s="635"/>
      <c r="V67" s="665">
        <f t="shared" si="102"/>
        <v>22.019867549668874</v>
      </c>
      <c r="W67" s="635"/>
      <c r="X67" s="665">
        <f t="shared" si="103"/>
        <v>-11.252115059221659</v>
      </c>
      <c r="Y67" s="635"/>
      <c r="Z67" s="665">
        <f t="shared" si="104"/>
        <v>57.142857142857139</v>
      </c>
      <c r="AA67" s="635"/>
      <c r="AB67" s="665">
        <f t="shared" si="105"/>
        <v>8.9974293059125969</v>
      </c>
      <c r="AC67" s="635"/>
      <c r="AD67" s="665">
        <f t="shared" si="106"/>
        <v>10.975609756097562</v>
      </c>
      <c r="AE67" s="635"/>
      <c r="AF67" s="665">
        <f t="shared" si="107"/>
        <v>17.254901960784313</v>
      </c>
      <c r="AG67" s="635"/>
      <c r="AH67" s="665">
        <f t="shared" si="108"/>
        <v>19.509345794392523</v>
      </c>
      <c r="AI67" s="635"/>
      <c r="AJ67" s="665">
        <f t="shared" si="109"/>
        <v>27.346938775510203</v>
      </c>
      <c r="AK67" s="635"/>
      <c r="AL67" s="665">
        <f t="shared" si="110"/>
        <v>9.5779220779220786</v>
      </c>
      <c r="AM67" s="635"/>
      <c r="AN67" s="665">
        <f t="shared" si="111"/>
        <v>13.468634686346864</v>
      </c>
      <c r="AO67" s="635"/>
      <c r="AP67" s="665">
        <f t="shared" si="112"/>
        <v>15.693430656934307</v>
      </c>
      <c r="AQ67" s="635"/>
      <c r="AR67" s="665">
        <f t="shared" si="113"/>
        <v>16.254752851711025</v>
      </c>
      <c r="AS67" s="635"/>
      <c r="AT67" s="665">
        <f t="shared" si="114"/>
        <v>21.807465618860512</v>
      </c>
      <c r="AU67" s="635"/>
      <c r="AV67" s="665">
        <f t="shared" si="115"/>
        <v>12.006861063464838</v>
      </c>
      <c r="AW67" s="635"/>
      <c r="AX67" s="665">
        <f t="shared" si="116"/>
        <v>14.620431115276475</v>
      </c>
      <c r="AY67" s="635"/>
      <c r="AZ67" s="665">
        <f t="shared" si="117"/>
        <v>17.172897196261683</v>
      </c>
      <c r="BA67" s="635"/>
      <c r="BB67" s="665">
        <f t="shared" si="118"/>
        <v>10.689990281827017</v>
      </c>
      <c r="BC67" s="635"/>
      <c r="BD67" s="665">
        <f t="shared" si="119"/>
        <v>20.910780669144984</v>
      </c>
      <c r="BE67" s="635"/>
      <c r="BF67" s="665">
        <f t="shared" si="119"/>
        <v>15.426251691474965</v>
      </c>
      <c r="BG67" s="635"/>
      <c r="BH67" s="665">
        <f t="shared" si="120"/>
        <v>18.391562294001318</v>
      </c>
      <c r="BI67" s="635"/>
      <c r="BJ67" s="665">
        <f t="shared" si="121"/>
        <v>12.388917929952953</v>
      </c>
      <c r="BK67" s="635"/>
      <c r="BL67" s="665">
        <f t="shared" si="122"/>
        <v>20.191649555099247</v>
      </c>
      <c r="BM67" s="635"/>
      <c r="BN67" s="665">
        <f t="shared" si="123"/>
        <v>23.16995544239338</v>
      </c>
      <c r="BO67" s="635"/>
      <c r="BP67" s="665">
        <f t="shared" si="124"/>
        <v>17.621688231669747</v>
      </c>
      <c r="BQ67" s="635"/>
      <c r="BR67" s="665">
        <f t="shared" si="125"/>
        <v>18.920916481892093</v>
      </c>
      <c r="BS67" s="635"/>
      <c r="BT67" s="665">
        <f t="shared" si="126"/>
        <v>22.973977695167285</v>
      </c>
      <c r="BU67" s="635"/>
      <c r="BV67" s="665">
        <f t="shared" si="126"/>
        <v>16.275071633237822</v>
      </c>
      <c r="BW67" s="635"/>
      <c r="BX67" s="665">
        <f t="shared" si="127"/>
        <v>12.873438348723521</v>
      </c>
      <c r="BY67" s="635"/>
      <c r="BZ67" s="665">
        <f t="shared" si="128"/>
        <v>16.541353383458645</v>
      </c>
      <c r="CA67" s="635"/>
      <c r="CB67" s="665">
        <f t="shared" si="129"/>
        <v>14.213197969543149</v>
      </c>
      <c r="CC67" s="635"/>
      <c r="CD67" s="665">
        <f t="shared" si="130"/>
        <v>16.528301886792455</v>
      </c>
      <c r="CE67" s="635"/>
      <c r="CF67" s="665">
        <f t="shared" si="131"/>
        <v>22.327341532639547</v>
      </c>
      <c r="CG67" s="635"/>
      <c r="CH67" s="665">
        <f t="shared" si="132"/>
        <v>15.340179717586649</v>
      </c>
      <c r="CI67" s="635"/>
      <c r="CJ67" s="665">
        <f t="shared" ref="CJ67:CR67" si="155">(CJ9/CJ$22)*100</f>
        <v>21.79575051405072</v>
      </c>
      <c r="CK67" s="635"/>
      <c r="CL67" s="665">
        <f t="shared" si="155"/>
        <v>7.1084337349397595</v>
      </c>
      <c r="CM67" s="635"/>
      <c r="CN67" s="665">
        <f t="shared" si="155"/>
        <v>-45.358306188925077</v>
      </c>
      <c r="CO67" s="635"/>
      <c r="CP67" s="665">
        <f t="shared" si="155"/>
        <v>8.4080717488789247</v>
      </c>
      <c r="CQ67" s="635"/>
      <c r="CR67" s="665">
        <f t="shared" si="155"/>
        <v>6.2340966921119598</v>
      </c>
      <c r="CS67" s="635"/>
      <c r="CT67" s="665">
        <f t="shared" ref="CT67" si="156">(CT9/CT$22)*100</f>
        <v>5.5703564015694411</v>
      </c>
      <c r="CU67" s="635"/>
      <c r="CV67" s="665">
        <f t="shared" ref="CV67" si="157">(CV9/CV$22)*100</f>
        <v>6.5971073939001048</v>
      </c>
      <c r="CW67" s="635"/>
      <c r="CX67" s="665">
        <f t="shared" ref="CX67" si="158">(CX9/CX$22)*100</f>
        <v>6.6794629694865897</v>
      </c>
      <c r="CY67" s="635"/>
      <c r="CZ67" s="665">
        <f t="shared" ref="CZ67" si="159">(CZ9/CZ$22)*100</f>
        <v>7.3416845376653734</v>
      </c>
      <c r="DA67" s="635"/>
      <c r="DB67" s="665"/>
      <c r="DC67" s="665">
        <f t="shared" si="138"/>
        <v>14.020270270270272</v>
      </c>
      <c r="DD67" s="635"/>
      <c r="DE67" s="665">
        <f t="shared" si="139"/>
        <v>12.549212598425196</v>
      </c>
      <c r="DF67" s="635"/>
      <c r="DG67" s="665">
        <f t="shared" si="140"/>
        <v>10.622355430183356</v>
      </c>
      <c r="DH67" s="635"/>
      <c r="DI67" s="665">
        <f t="shared" si="141"/>
        <v>35.151116951379763</v>
      </c>
      <c r="DJ67" s="635"/>
      <c r="DK67" s="665">
        <f t="shared" si="142"/>
        <v>16.64406779661017</v>
      </c>
      <c r="DL67" s="635"/>
      <c r="DM67" s="665">
        <f t="shared" si="143"/>
        <v>15.428727471327145</v>
      </c>
      <c r="DN67" s="635"/>
      <c r="DO67" s="665">
        <f t="shared" si="144"/>
        <v>15.53753596651844</v>
      </c>
      <c r="DP67" s="635"/>
      <c r="DQ67" s="665">
        <f t="shared" si="145"/>
        <v>15.839126117179742</v>
      </c>
      <c r="DR67" s="635"/>
      <c r="DS67" s="665">
        <f t="shared" si="145"/>
        <v>16.313392997330823</v>
      </c>
      <c r="DT67" s="635"/>
      <c r="DU67" s="665">
        <f t="shared" si="146"/>
        <v>20.621181262729124</v>
      </c>
      <c r="DV67" s="635"/>
      <c r="DW67" s="665">
        <f t="shared" si="146"/>
        <v>10.190980580966137</v>
      </c>
      <c r="DX67" s="635"/>
      <c r="DY67" s="665">
        <f t="shared" si="147"/>
        <v>1.4632339322096684</v>
      </c>
      <c r="DZ67" s="635"/>
      <c r="EA67" s="665">
        <f t="shared" si="148"/>
        <v>-3.0589365791159513</v>
      </c>
      <c r="EB67" s="635"/>
      <c r="EC67" s="665">
        <f t="shared" si="148"/>
        <v>6.5259783341113948</v>
      </c>
      <c r="ED67" s="635"/>
      <c r="EE67" s="665">
        <f t="shared" si="149"/>
        <v>6.392309154840917</v>
      </c>
      <c r="EF67" s="635"/>
      <c r="EG67" s="665">
        <f t="shared" si="150"/>
        <v>6.2551139490842438</v>
      </c>
      <c r="EH67" s="635"/>
      <c r="EI67" s="665">
        <f t="shared" si="151"/>
        <v>6.1936547973355935</v>
      </c>
      <c r="EJ67" s="635"/>
      <c r="EK67" s="665">
        <f t="shared" si="151"/>
        <v>6.1311303582491892</v>
      </c>
      <c r="EL67" s="635"/>
      <c r="EM67" s="635">
        <f t="shared" si="152"/>
        <v>-20.883175775344355</v>
      </c>
    </row>
    <row r="68" spans="1:143" s="632" customFormat="1" ht="12.75" customHeight="1" x14ac:dyDescent="0.2">
      <c r="A68" s="652" t="str">
        <f t="shared" si="153"/>
        <v>US Individual Solutions Division</v>
      </c>
      <c r="B68" s="665">
        <f t="shared" si="154"/>
        <v>17.480136208853576</v>
      </c>
      <c r="C68" s="635"/>
      <c r="D68" s="665">
        <f t="shared" si="154"/>
        <v>13.340336134453782</v>
      </c>
      <c r="E68" s="635"/>
      <c r="F68" s="665">
        <f t="shared" si="94"/>
        <v>8.815903197925671</v>
      </c>
      <c r="G68" s="635"/>
      <c r="H68" s="665">
        <f t="shared" si="95"/>
        <v>15.549348230912477</v>
      </c>
      <c r="I68" s="635"/>
      <c r="J68" s="665">
        <f t="shared" si="96"/>
        <v>15.94387755102041</v>
      </c>
      <c r="K68" s="635"/>
      <c r="L68" s="665">
        <f t="shared" si="97"/>
        <v>14.897413024085637</v>
      </c>
      <c r="M68" s="635"/>
      <c r="N68" s="665">
        <f t="shared" si="98"/>
        <v>12.432432432432433</v>
      </c>
      <c r="O68" s="635"/>
      <c r="P68" s="665">
        <f t="shared" si="99"/>
        <v>19.3359375</v>
      </c>
      <c r="Q68" s="635"/>
      <c r="R68" s="665">
        <f t="shared" si="100"/>
        <v>13.033953997809419</v>
      </c>
      <c r="S68" s="635"/>
      <c r="T68" s="665">
        <f t="shared" si="101"/>
        <v>17.055655296229801</v>
      </c>
      <c r="U68" s="635"/>
      <c r="V68" s="665">
        <f t="shared" si="102"/>
        <v>-1.3245033112582782</v>
      </c>
      <c r="W68" s="635"/>
      <c r="X68" s="665">
        <f t="shared" si="103"/>
        <v>5.8375634517766501</v>
      </c>
      <c r="Y68" s="635"/>
      <c r="Z68" s="665">
        <f t="shared" si="104"/>
        <v>-0.40816326530612246</v>
      </c>
      <c r="AA68" s="635"/>
      <c r="AB68" s="665">
        <f t="shared" si="105"/>
        <v>2.8277634961439588</v>
      </c>
      <c r="AC68" s="635"/>
      <c r="AD68" s="665">
        <f t="shared" si="106"/>
        <v>2.7204502814258911</v>
      </c>
      <c r="AE68" s="635"/>
      <c r="AF68" s="665">
        <f t="shared" si="107"/>
        <v>-0.78431372549019607</v>
      </c>
      <c r="AG68" s="635"/>
      <c r="AH68" s="665">
        <f t="shared" si="108"/>
        <v>9.6962616822429908</v>
      </c>
      <c r="AI68" s="635"/>
      <c r="AJ68" s="665">
        <f t="shared" si="109"/>
        <v>25.30612244897959</v>
      </c>
      <c r="AK68" s="635"/>
      <c r="AL68" s="665">
        <f t="shared" si="110"/>
        <v>12.012987012987013</v>
      </c>
      <c r="AM68" s="635"/>
      <c r="AN68" s="665">
        <f t="shared" si="111"/>
        <v>12.177121771217712</v>
      </c>
      <c r="AO68" s="635"/>
      <c r="AP68" s="665">
        <f t="shared" si="112"/>
        <v>14.051094890510948</v>
      </c>
      <c r="AQ68" s="635"/>
      <c r="AR68" s="665">
        <f t="shared" si="113"/>
        <v>21.577946768060837</v>
      </c>
      <c r="AS68" s="635"/>
      <c r="AT68" s="665">
        <f t="shared" si="114"/>
        <v>24.165029469548134</v>
      </c>
      <c r="AU68" s="635"/>
      <c r="AV68" s="665">
        <f t="shared" si="115"/>
        <v>21.955403087478558</v>
      </c>
      <c r="AW68" s="635"/>
      <c r="AX68" s="665">
        <f t="shared" si="116"/>
        <v>13.776944704779757</v>
      </c>
      <c r="AY68" s="635"/>
      <c r="AZ68" s="665">
        <f t="shared" si="117"/>
        <v>6.4252336448598122</v>
      </c>
      <c r="BA68" s="635"/>
      <c r="BB68" s="665">
        <f t="shared" si="118"/>
        <v>19.144800777453838</v>
      </c>
      <c r="BC68" s="635"/>
      <c r="BD68" s="665">
        <f t="shared" si="119"/>
        <v>17.193308550185872</v>
      </c>
      <c r="BE68" s="635"/>
      <c r="BF68" s="665">
        <f t="shared" si="119"/>
        <v>11.434370771312583</v>
      </c>
      <c r="BG68" s="635"/>
      <c r="BH68" s="665">
        <f t="shared" si="120"/>
        <v>11.33816743572841</v>
      </c>
      <c r="BI68" s="635"/>
      <c r="BJ68" s="665">
        <f t="shared" si="121"/>
        <v>9.0433873497124928</v>
      </c>
      <c r="BK68" s="635"/>
      <c r="BL68" s="665">
        <f t="shared" si="122"/>
        <v>14.30527036276523</v>
      </c>
      <c r="BM68" s="635"/>
      <c r="BN68" s="665">
        <f t="shared" si="123"/>
        <v>12.285168682367917</v>
      </c>
      <c r="BO68" s="635"/>
      <c r="BP68" s="665">
        <f t="shared" si="124"/>
        <v>12.322858903265557</v>
      </c>
      <c r="BQ68" s="635"/>
      <c r="BR68" s="665">
        <f t="shared" si="125"/>
        <v>14.781966001478198</v>
      </c>
      <c r="BS68" s="635"/>
      <c r="BT68" s="665">
        <f t="shared" si="126"/>
        <v>14.275092936802974</v>
      </c>
      <c r="BU68" s="635"/>
      <c r="BV68" s="665">
        <f t="shared" si="126"/>
        <v>11.74785100286533</v>
      </c>
      <c r="BW68" s="635"/>
      <c r="BX68" s="665">
        <f t="shared" si="127"/>
        <v>10.646387832699618</v>
      </c>
      <c r="BY68" s="635"/>
      <c r="BZ68" s="665">
        <f t="shared" si="128"/>
        <v>12.303485987696513</v>
      </c>
      <c r="CA68" s="635"/>
      <c r="CB68" s="665">
        <f t="shared" si="129"/>
        <v>16.751269035532996</v>
      </c>
      <c r="CC68" s="635"/>
      <c r="CD68" s="665">
        <f t="shared" si="130"/>
        <v>12.452830188679245</v>
      </c>
      <c r="CE68" s="635"/>
      <c r="CF68" s="665">
        <f t="shared" si="131"/>
        <v>19.583727530747399</v>
      </c>
      <c r="CG68" s="635"/>
      <c r="CH68" s="665">
        <f t="shared" si="132"/>
        <v>12.259306803594351</v>
      </c>
      <c r="CI68" s="635"/>
      <c r="CJ68" s="665">
        <f t="shared" ref="CJ68:CR68" si="160">(CJ10/CJ$22)*100</f>
        <v>15.352981494174092</v>
      </c>
      <c r="CK68" s="635"/>
      <c r="CL68" s="665">
        <f t="shared" si="160"/>
        <v>35.30120481927711</v>
      </c>
      <c r="CM68" s="635"/>
      <c r="CN68" s="665">
        <f t="shared" si="160"/>
        <v>4.4788273615635177</v>
      </c>
      <c r="CO68" s="635"/>
      <c r="CP68" s="665">
        <f t="shared" si="160"/>
        <v>40.751121076233183</v>
      </c>
      <c r="CQ68" s="635"/>
      <c r="CR68" s="665">
        <f t="shared" si="160"/>
        <v>40.648854961832058</v>
      </c>
      <c r="CS68" s="635"/>
      <c r="CT68" s="665">
        <f t="shared" ref="CT68" si="161">(CT10/CT$22)*100</f>
        <v>36.312823752402956</v>
      </c>
      <c r="CU68" s="635"/>
      <c r="CV68" s="665">
        <f t="shared" ref="CV68" si="162">(CV10/CV$22)*100</f>
        <v>36.968297897511775</v>
      </c>
      <c r="CW68" s="635"/>
      <c r="CX68" s="665">
        <f t="shared" ref="CX68" si="163">(CX10/CX$22)*100</f>
        <v>37.433607574098723</v>
      </c>
      <c r="CY68" s="635"/>
      <c r="CZ68" s="665">
        <f t="shared" ref="CZ68" si="164">(CZ10/CZ$22)*100</f>
        <v>40.126930435488852</v>
      </c>
      <c r="DA68" s="635"/>
      <c r="DB68" s="666"/>
      <c r="DC68" s="665">
        <f t="shared" si="138"/>
        <v>13.063063063063062</v>
      </c>
      <c r="DD68" s="635"/>
      <c r="DE68" s="665">
        <f t="shared" si="139"/>
        <v>13.533464566929135</v>
      </c>
      <c r="DF68" s="635"/>
      <c r="DG68" s="665">
        <f t="shared" si="140"/>
        <v>15.44869534555712</v>
      </c>
      <c r="DH68" s="635"/>
      <c r="DI68" s="665">
        <f t="shared" si="141"/>
        <v>15.243101182654403</v>
      </c>
      <c r="DJ68" s="635"/>
      <c r="DK68" s="665">
        <f t="shared" si="142"/>
        <v>1.8644067796610171</v>
      </c>
      <c r="DL68" s="635"/>
      <c r="DM68" s="665">
        <f t="shared" si="143"/>
        <v>13.298743855816495</v>
      </c>
      <c r="DN68" s="635"/>
      <c r="DO68" s="665">
        <f t="shared" si="144"/>
        <v>19.879675647397331</v>
      </c>
      <c r="DP68" s="635"/>
      <c r="DQ68" s="665">
        <f t="shared" si="145"/>
        <v>14.498510427010924</v>
      </c>
      <c r="DR68" s="635"/>
      <c r="DS68" s="665">
        <f t="shared" si="145"/>
        <v>11.351860574658502</v>
      </c>
      <c r="DT68" s="635"/>
      <c r="DU68" s="665">
        <f t="shared" si="146"/>
        <v>13.32315003394433</v>
      </c>
      <c r="DV68" s="635"/>
      <c r="DW68" s="665">
        <f t="shared" si="146"/>
        <v>39.030653185684486</v>
      </c>
      <c r="DX68" s="635"/>
      <c r="DY68" s="665">
        <f t="shared" si="147"/>
        <v>34.154473050564924</v>
      </c>
      <c r="DZ68" s="635"/>
      <c r="EA68" s="665">
        <f t="shared" si="148"/>
        <v>32.142857142857146</v>
      </c>
      <c r="EB68" s="635"/>
      <c r="EC68" s="665">
        <f t="shared" si="148"/>
        <v>37.645779461617693</v>
      </c>
      <c r="ED68" s="635"/>
      <c r="EE68" s="665">
        <f t="shared" si="149"/>
        <v>36.64198202585635</v>
      </c>
      <c r="EF68" s="635"/>
      <c r="EG68" s="665">
        <f t="shared" si="150"/>
        <v>35.759442375651673</v>
      </c>
      <c r="EH68" s="635"/>
      <c r="EI68" s="665">
        <f t="shared" si="151"/>
        <v>34.986046495441734</v>
      </c>
      <c r="EJ68" s="635"/>
      <c r="EK68" s="665">
        <f t="shared" si="151"/>
        <v>34.31904846223442</v>
      </c>
      <c r="EL68" s="635"/>
      <c r="EM68" s="635">
        <f t="shared" si="152"/>
        <v>22.426210758522846</v>
      </c>
    </row>
    <row r="69" spans="1:143" s="632" customFormat="1" ht="12.75" hidden="1" customHeight="1" outlineLevel="1" x14ac:dyDescent="0.2">
      <c r="A69" s="644" t="str">
        <f t="shared" si="153"/>
        <v>Financial Advisory</v>
      </c>
      <c r="B69" s="665">
        <f t="shared" si="154"/>
        <v>-12.145289443813848</v>
      </c>
      <c r="C69" s="635"/>
      <c r="D69" s="665">
        <f t="shared" si="154"/>
        <v>3.1512605042016806</v>
      </c>
      <c r="E69" s="635"/>
      <c r="F69" s="665">
        <f t="shared" si="94"/>
        <v>4.4079515989628355</v>
      </c>
      <c r="G69" s="635"/>
      <c r="H69" s="665">
        <f t="shared" si="95"/>
        <v>4.9348230912476723</v>
      </c>
      <c r="I69" s="635"/>
      <c r="J69" s="665">
        <f t="shared" si="96"/>
        <v>0</v>
      </c>
      <c r="K69" s="635"/>
      <c r="L69" s="665">
        <f t="shared" si="97"/>
        <v>0</v>
      </c>
      <c r="M69" s="635"/>
      <c r="N69" s="665">
        <f t="shared" si="98"/>
        <v>0</v>
      </c>
      <c r="O69" s="635"/>
      <c r="P69" s="665">
        <f t="shared" si="99"/>
        <v>0</v>
      </c>
      <c r="Q69" s="635"/>
      <c r="R69" s="665">
        <f t="shared" si="100"/>
        <v>0</v>
      </c>
      <c r="S69" s="635"/>
      <c r="T69" s="665">
        <f t="shared" si="101"/>
        <v>0</v>
      </c>
      <c r="U69" s="635"/>
      <c r="V69" s="665">
        <f t="shared" si="102"/>
        <v>0</v>
      </c>
      <c r="W69" s="635"/>
      <c r="X69" s="665">
        <f t="shared" si="103"/>
        <v>0</v>
      </c>
      <c r="Y69" s="635"/>
      <c r="Z69" s="665">
        <f t="shared" si="104"/>
        <v>0</v>
      </c>
      <c r="AA69" s="635"/>
      <c r="AB69" s="665">
        <f t="shared" si="105"/>
        <v>0</v>
      </c>
      <c r="AC69" s="635"/>
      <c r="AD69" s="665">
        <f t="shared" si="106"/>
        <v>0</v>
      </c>
      <c r="AE69" s="635"/>
      <c r="AF69" s="665">
        <f t="shared" si="107"/>
        <v>0</v>
      </c>
      <c r="AG69" s="635"/>
      <c r="AH69" s="665">
        <f t="shared" si="108"/>
        <v>0</v>
      </c>
      <c r="AI69" s="635"/>
      <c r="AJ69" s="665">
        <f t="shared" si="109"/>
        <v>0</v>
      </c>
      <c r="AK69" s="635"/>
      <c r="AL69" s="665">
        <f t="shared" si="110"/>
        <v>0</v>
      </c>
      <c r="AM69" s="635"/>
      <c r="AN69" s="665">
        <f t="shared" si="111"/>
        <v>0</v>
      </c>
      <c r="AO69" s="635"/>
      <c r="AP69" s="665">
        <f t="shared" si="112"/>
        <v>0</v>
      </c>
      <c r="AQ69" s="635"/>
      <c r="AR69" s="665">
        <f t="shared" si="113"/>
        <v>0</v>
      </c>
      <c r="AS69" s="635"/>
      <c r="AT69" s="665">
        <f t="shared" si="114"/>
        <v>0</v>
      </c>
      <c r="AU69" s="635"/>
      <c r="AV69" s="665">
        <f t="shared" si="115"/>
        <v>0</v>
      </c>
      <c r="AW69" s="635"/>
      <c r="AX69" s="665">
        <f t="shared" si="116"/>
        <v>0</v>
      </c>
      <c r="AY69" s="635"/>
      <c r="AZ69" s="665">
        <f t="shared" si="117"/>
        <v>0</v>
      </c>
      <c r="BA69" s="635"/>
      <c r="BB69" s="665">
        <f t="shared" si="118"/>
        <v>0</v>
      </c>
      <c r="BC69" s="635"/>
      <c r="BD69" s="665">
        <f t="shared" si="119"/>
        <v>0</v>
      </c>
      <c r="BE69" s="635"/>
      <c r="BF69" s="665">
        <f t="shared" si="119"/>
        <v>0</v>
      </c>
      <c r="BG69" s="635"/>
      <c r="BH69" s="665">
        <f t="shared" si="120"/>
        <v>0</v>
      </c>
      <c r="BI69" s="635"/>
      <c r="BJ69" s="665">
        <f t="shared" si="121"/>
        <v>0</v>
      </c>
      <c r="BK69" s="635"/>
      <c r="BL69" s="665">
        <f t="shared" si="122"/>
        <v>0</v>
      </c>
      <c r="BM69" s="635"/>
      <c r="BN69" s="665">
        <f t="shared" si="123"/>
        <v>0</v>
      </c>
      <c r="BO69" s="635"/>
      <c r="BP69" s="665">
        <f t="shared" si="124"/>
        <v>0</v>
      </c>
      <c r="BQ69" s="635"/>
      <c r="BR69" s="665">
        <f t="shared" si="125"/>
        <v>0</v>
      </c>
      <c r="BS69" s="635"/>
      <c r="BT69" s="665">
        <f t="shared" si="126"/>
        <v>0</v>
      </c>
      <c r="BU69" s="635"/>
      <c r="BV69" s="665">
        <f t="shared" si="126"/>
        <v>0</v>
      </c>
      <c r="BW69" s="635"/>
      <c r="BX69" s="665">
        <f t="shared" si="127"/>
        <v>0</v>
      </c>
      <c r="BY69" s="635"/>
      <c r="BZ69" s="665">
        <f t="shared" si="128"/>
        <v>0</v>
      </c>
      <c r="CA69" s="635"/>
      <c r="CB69" s="665">
        <f t="shared" si="129"/>
        <v>0</v>
      </c>
      <c r="CC69" s="635"/>
      <c r="CD69" s="665">
        <f t="shared" si="130"/>
        <v>0</v>
      </c>
      <c r="CE69" s="635"/>
      <c r="CF69" s="665">
        <f t="shared" si="131"/>
        <v>0</v>
      </c>
      <c r="CG69" s="635"/>
      <c r="CH69" s="665">
        <f t="shared" si="132"/>
        <v>0</v>
      </c>
      <c r="CI69" s="635"/>
      <c r="CJ69" s="665">
        <f t="shared" ref="CJ69:CR69" si="165">(CJ11/CJ$22)*100</f>
        <v>0</v>
      </c>
      <c r="CK69" s="635"/>
      <c r="CL69" s="665">
        <f t="shared" si="165"/>
        <v>0</v>
      </c>
      <c r="CM69" s="635"/>
      <c r="CN69" s="665">
        <f t="shared" si="165"/>
        <v>0</v>
      </c>
      <c r="CO69" s="635"/>
      <c r="CP69" s="665">
        <f t="shared" si="165"/>
        <v>0</v>
      </c>
      <c r="CQ69" s="635"/>
      <c r="CR69" s="665">
        <f t="shared" si="165"/>
        <v>0</v>
      </c>
      <c r="CS69" s="635"/>
      <c r="CT69" s="665">
        <f t="shared" ref="CT69" si="166">(CT11/CT$22)*100</f>
        <v>0</v>
      </c>
      <c r="CU69" s="635"/>
      <c r="CV69" s="665">
        <f t="shared" ref="CV69" si="167">(CV11/CV$22)*100</f>
        <v>0</v>
      </c>
      <c r="CW69" s="635"/>
      <c r="CX69" s="665">
        <f t="shared" ref="CX69" si="168">(CX11/CX$22)*100</f>
        <v>0</v>
      </c>
      <c r="CY69" s="635"/>
      <c r="CZ69" s="665">
        <f t="shared" ref="CZ69" si="169">(CZ11/CZ$22)*100</f>
        <v>0</v>
      </c>
      <c r="DA69" s="635"/>
      <c r="DB69" s="666"/>
      <c r="DC69" s="665">
        <f t="shared" si="138"/>
        <v>-7.1790540540540544</v>
      </c>
      <c r="DD69" s="635"/>
      <c r="DE69" s="665">
        <f t="shared" si="139"/>
        <v>0.66437007874015752</v>
      </c>
      <c r="DF69" s="635"/>
      <c r="DG69" s="665">
        <f t="shared" si="140"/>
        <v>0</v>
      </c>
      <c r="DH69" s="635"/>
      <c r="DI69" s="665">
        <f t="shared" si="141"/>
        <v>0</v>
      </c>
      <c r="DJ69" s="635"/>
      <c r="DK69" s="665">
        <f t="shared" si="142"/>
        <v>0</v>
      </c>
      <c r="DL69" s="635"/>
      <c r="DM69" s="665">
        <f t="shared" si="143"/>
        <v>0</v>
      </c>
      <c r="DN69" s="635"/>
      <c r="DO69" s="665">
        <f t="shared" si="144"/>
        <v>0</v>
      </c>
      <c r="DP69" s="635"/>
      <c r="DQ69" s="665">
        <f t="shared" si="145"/>
        <v>0</v>
      </c>
      <c r="DR69" s="635"/>
      <c r="DS69" s="665">
        <f t="shared" si="145"/>
        <v>0</v>
      </c>
      <c r="DT69" s="635"/>
      <c r="DU69" s="665">
        <f t="shared" si="146"/>
        <v>0</v>
      </c>
      <c r="DV69" s="635"/>
      <c r="DW69" s="665">
        <f t="shared" si="146"/>
        <v>0</v>
      </c>
      <c r="DX69" s="635"/>
      <c r="DY69" s="665">
        <f t="shared" si="147"/>
        <v>0</v>
      </c>
      <c r="DZ69" s="635"/>
      <c r="EA69" s="665">
        <f t="shared" si="148"/>
        <v>0</v>
      </c>
      <c r="EB69" s="635"/>
      <c r="EC69" s="665">
        <f t="shared" si="148"/>
        <v>0</v>
      </c>
      <c r="ED69" s="635"/>
      <c r="EE69" s="665">
        <f t="shared" si="149"/>
        <v>0</v>
      </c>
      <c r="EF69" s="635"/>
      <c r="EG69" s="665">
        <f t="shared" si="150"/>
        <v>0</v>
      </c>
      <c r="EH69" s="635"/>
      <c r="EI69" s="665">
        <f t="shared" si="151"/>
        <v>0</v>
      </c>
      <c r="EJ69" s="635"/>
      <c r="EK69" s="665">
        <f t="shared" si="151"/>
        <v>0</v>
      </c>
      <c r="EL69" s="635"/>
      <c r="EM69" s="635" t="str">
        <f t="shared" si="152"/>
        <v>NA</v>
      </c>
    </row>
    <row r="70" spans="1:143" s="632" customFormat="1" ht="12.75" customHeight="1" collapsed="1" x14ac:dyDescent="0.2">
      <c r="A70" s="644" t="str">
        <f t="shared" si="153"/>
        <v>Retirement</v>
      </c>
      <c r="B70" s="665">
        <f t="shared" si="154"/>
        <v>34.279228149829741</v>
      </c>
      <c r="C70" s="635"/>
      <c r="D70" s="665">
        <f t="shared" si="154"/>
        <v>44.32773109243697</v>
      </c>
      <c r="E70" s="635"/>
      <c r="F70" s="665">
        <f t="shared" si="94"/>
        <v>39.239412273120138</v>
      </c>
      <c r="G70" s="635"/>
      <c r="H70" s="665">
        <f t="shared" si="95"/>
        <v>46.089385474860336</v>
      </c>
      <c r="I70" s="635"/>
      <c r="J70" s="665">
        <f t="shared" si="96"/>
        <v>44.551749271137034</v>
      </c>
      <c r="K70" s="635"/>
      <c r="L70" s="665">
        <f t="shared" si="97"/>
        <v>43.264942016057091</v>
      </c>
      <c r="M70" s="635"/>
      <c r="N70" s="665">
        <f t="shared" si="98"/>
        <v>33.28185328185328</v>
      </c>
      <c r="O70" s="635"/>
      <c r="P70" s="665">
        <f t="shared" si="99"/>
        <v>48.828125</v>
      </c>
      <c r="Q70" s="635"/>
      <c r="R70" s="665">
        <f t="shared" si="100"/>
        <v>39.211391018619935</v>
      </c>
      <c r="S70" s="635"/>
      <c r="T70" s="665">
        <f t="shared" si="101"/>
        <v>43.53680430879713</v>
      </c>
      <c r="U70" s="635"/>
      <c r="V70" s="665">
        <f t="shared" si="102"/>
        <v>-30.132450331125828</v>
      </c>
      <c r="W70" s="635"/>
      <c r="X70" s="665">
        <f t="shared" si="103"/>
        <v>82.487309644670049</v>
      </c>
      <c r="Y70" s="635"/>
      <c r="Z70" s="665">
        <f t="shared" si="104"/>
        <v>-42.857142857142854</v>
      </c>
      <c r="AA70" s="635"/>
      <c r="AB70" s="665">
        <f t="shared" si="105"/>
        <v>53.727506426735218</v>
      </c>
      <c r="AC70" s="635"/>
      <c r="AD70" s="665">
        <f t="shared" si="106"/>
        <v>43.245778611632268</v>
      </c>
      <c r="AE70" s="635"/>
      <c r="AF70" s="665">
        <f t="shared" si="107"/>
        <v>42.222222222222221</v>
      </c>
      <c r="AG70" s="635"/>
      <c r="AH70" s="665">
        <f t="shared" si="108"/>
        <v>55.490654205607484</v>
      </c>
      <c r="AI70" s="635"/>
      <c r="AJ70" s="665">
        <f t="shared" si="109"/>
        <v>23.26530612244898</v>
      </c>
      <c r="AK70" s="635"/>
      <c r="AL70" s="665">
        <f t="shared" si="110"/>
        <v>66.396103896103895</v>
      </c>
      <c r="AM70" s="635"/>
      <c r="AN70" s="665">
        <f t="shared" si="111"/>
        <v>54.889298892988926</v>
      </c>
      <c r="AO70" s="635"/>
      <c r="AP70" s="665">
        <f t="shared" si="112"/>
        <v>54.744525547445257</v>
      </c>
      <c r="AQ70" s="635"/>
      <c r="AR70" s="665">
        <f t="shared" si="113"/>
        <v>57.50950570342205</v>
      </c>
      <c r="AS70" s="635"/>
      <c r="AT70" s="665">
        <f t="shared" si="114"/>
        <v>8.2514734774066802</v>
      </c>
      <c r="AU70" s="635"/>
      <c r="AV70" s="665">
        <f t="shared" si="115"/>
        <v>65.951972555746138</v>
      </c>
      <c r="AW70" s="635"/>
      <c r="AX70" s="665">
        <f t="shared" si="116"/>
        <v>67.853795688847242</v>
      </c>
      <c r="AY70" s="635"/>
      <c r="AZ70" s="665">
        <f t="shared" si="117"/>
        <v>36.098130841121495</v>
      </c>
      <c r="BA70" s="635"/>
      <c r="BB70" s="665">
        <f t="shared" si="118"/>
        <v>49.951409135082599</v>
      </c>
      <c r="BC70" s="635"/>
      <c r="BD70" s="665">
        <f t="shared" si="119"/>
        <v>66.356877323420065</v>
      </c>
      <c r="BE70" s="635"/>
      <c r="BF70" s="665">
        <f t="shared" si="119"/>
        <v>52.029769959404604</v>
      </c>
      <c r="BG70" s="635"/>
      <c r="BH70" s="665">
        <f t="shared" si="120"/>
        <v>56.09756097560976</v>
      </c>
      <c r="BI70" s="635"/>
      <c r="BJ70" s="665">
        <f t="shared" si="121"/>
        <v>64.34918975431259</v>
      </c>
      <c r="BK70" s="635"/>
      <c r="BL70" s="665">
        <f t="shared" si="122"/>
        <v>68.172484599589325</v>
      </c>
      <c r="BM70" s="635"/>
      <c r="BN70" s="665">
        <f t="shared" si="123"/>
        <v>60.152768936982817</v>
      </c>
      <c r="BO70" s="635"/>
      <c r="BP70" s="665">
        <f t="shared" si="124"/>
        <v>53.97412199630314</v>
      </c>
      <c r="BQ70" s="635"/>
      <c r="BR70" s="665">
        <f t="shared" si="125"/>
        <v>60.827790096082779</v>
      </c>
      <c r="BS70" s="635"/>
      <c r="BT70" s="665">
        <f t="shared" si="126"/>
        <v>61.189591078066918</v>
      </c>
      <c r="BU70" s="635"/>
      <c r="BV70" s="665">
        <f t="shared" si="126"/>
        <v>58.338108882521489</v>
      </c>
      <c r="BW70" s="635"/>
      <c r="BX70" s="665">
        <f t="shared" si="127"/>
        <v>53.286257468766976</v>
      </c>
      <c r="BY70" s="635"/>
      <c r="BZ70" s="665">
        <f t="shared" si="128"/>
        <v>50.034176349965819</v>
      </c>
      <c r="CA70" s="635"/>
      <c r="CB70" s="665">
        <f t="shared" si="129"/>
        <v>65.651438240270735</v>
      </c>
      <c r="CC70" s="635"/>
      <c r="CD70" s="665">
        <f t="shared" si="130"/>
        <v>53.735849056603769</v>
      </c>
      <c r="CE70" s="635"/>
      <c r="CF70" s="665">
        <f t="shared" si="131"/>
        <v>82.308420056764433</v>
      </c>
      <c r="CG70" s="635"/>
      <c r="CH70" s="665">
        <f t="shared" si="132"/>
        <v>65.340179717586651</v>
      </c>
      <c r="CI70" s="635"/>
      <c r="CJ70" s="665">
        <f t="shared" ref="CJ70:CR70" si="170">(CJ12/CJ$22)*100</f>
        <v>66.072652501713506</v>
      </c>
      <c r="CK70" s="635"/>
      <c r="CL70" s="665">
        <f t="shared" si="170"/>
        <v>23.91566265060241</v>
      </c>
      <c r="CM70" s="635"/>
      <c r="CN70" s="665">
        <f t="shared" si="170"/>
        <v>25.081433224755699</v>
      </c>
      <c r="CO70" s="635"/>
      <c r="CP70" s="665">
        <f t="shared" si="170"/>
        <v>13.901345291479823</v>
      </c>
      <c r="CQ70" s="635"/>
      <c r="CR70" s="665">
        <f t="shared" si="170"/>
        <v>18.511450381679388</v>
      </c>
      <c r="CS70" s="635"/>
      <c r="CT70" s="665">
        <f t="shared" ref="CT70" si="171">(CT12/CT$22)*100</f>
        <v>17.933984550293562</v>
      </c>
      <c r="CU70" s="635"/>
      <c r="CV70" s="665">
        <f t="shared" ref="CV70" si="172">(CV12/CV$22)*100</f>
        <v>16.553125027755929</v>
      </c>
      <c r="CW70" s="635"/>
      <c r="CX70" s="665">
        <f t="shared" ref="CX70" si="173">(CX12/CX$22)*100</f>
        <v>15.533065659050822</v>
      </c>
      <c r="CY70" s="635"/>
      <c r="CZ70" s="665">
        <f t="shared" ref="CZ70" si="174">(CZ12/CZ$22)*100</f>
        <v>16.386012350733807</v>
      </c>
      <c r="DA70" s="635"/>
      <c r="DB70" s="676"/>
      <c r="DC70" s="665">
        <f t="shared" si="138"/>
        <v>34.121621621621621</v>
      </c>
      <c r="DD70" s="635"/>
      <c r="DE70" s="665">
        <f t="shared" si="139"/>
        <v>41.166338582677163</v>
      </c>
      <c r="DF70" s="635"/>
      <c r="DG70" s="665">
        <f t="shared" si="140"/>
        <v>41.982545839210147</v>
      </c>
      <c r="DH70" s="635"/>
      <c r="DI70" s="665">
        <f t="shared" si="141"/>
        <v>-12.352168199737187</v>
      </c>
      <c r="DJ70" s="635"/>
      <c r="DK70" s="665">
        <f t="shared" si="142"/>
        <v>41.288135593220339</v>
      </c>
      <c r="DL70" s="635"/>
      <c r="DM70" s="665">
        <f t="shared" si="143"/>
        <v>54.669579464773342</v>
      </c>
      <c r="DN70" s="635"/>
      <c r="DO70" s="665">
        <f t="shared" si="144"/>
        <v>52.733455401517141</v>
      </c>
      <c r="DP70" s="635"/>
      <c r="DQ70" s="665">
        <f t="shared" si="145"/>
        <v>56.132075471698116</v>
      </c>
      <c r="DR70" s="635"/>
      <c r="DS70" s="665">
        <f t="shared" si="145"/>
        <v>60.401946930444339</v>
      </c>
      <c r="DT70" s="635"/>
      <c r="DU70" s="665">
        <f t="shared" si="146"/>
        <v>58.842498302783433</v>
      </c>
      <c r="DV70" s="635"/>
      <c r="DW70" s="665">
        <f t="shared" si="146"/>
        <v>14.941421922644841</v>
      </c>
      <c r="DX70" s="635"/>
      <c r="DY70" s="665">
        <f t="shared" si="147"/>
        <v>18.744211891090941</v>
      </c>
      <c r="DZ70" s="635"/>
      <c r="EA70" s="665">
        <f t="shared" si="148"/>
        <v>19.923126201153107</v>
      </c>
      <c r="EB70" s="635"/>
      <c r="EC70" s="665">
        <f t="shared" si="148"/>
        <v>16.608790226075257</v>
      </c>
      <c r="ED70" s="635"/>
      <c r="EE70" s="665">
        <f t="shared" si="149"/>
        <v>16.838671926183142</v>
      </c>
      <c r="EF70" s="635"/>
      <c r="EG70" s="665">
        <f t="shared" si="150"/>
        <v>17.008957593197294</v>
      </c>
      <c r="EH70" s="635"/>
      <c r="EI70" s="665">
        <f t="shared" si="151"/>
        <v>17.161768201079735</v>
      </c>
      <c r="EJ70" s="635"/>
      <c r="EK70" s="665">
        <f t="shared" si="151"/>
        <v>17.34234575953873</v>
      </c>
      <c r="EL70" s="635"/>
      <c r="EM70" s="635">
        <f t="shared" si="152"/>
        <v>-22.138395967791137</v>
      </c>
    </row>
    <row r="71" spans="1:143" s="632" customFormat="1" ht="12.75" customHeight="1" x14ac:dyDescent="0.2">
      <c r="A71" s="644" t="str">
        <f t="shared" si="153"/>
        <v>Group Insurance</v>
      </c>
      <c r="B71" s="665">
        <f t="shared" si="154"/>
        <v>15.096481271282633</v>
      </c>
      <c r="C71" s="635"/>
      <c r="D71" s="665">
        <f t="shared" si="154"/>
        <v>10.1890756302521</v>
      </c>
      <c r="E71" s="635"/>
      <c r="F71" s="665">
        <f t="shared" si="94"/>
        <v>15.816767502160761</v>
      </c>
      <c r="G71" s="635"/>
      <c r="H71" s="665">
        <f t="shared" si="95"/>
        <v>12.290502793296088</v>
      </c>
      <c r="I71" s="635"/>
      <c r="J71" s="665">
        <f t="shared" si="96"/>
        <v>9.2018950437317795</v>
      </c>
      <c r="K71" s="635"/>
      <c r="L71" s="665">
        <f t="shared" si="97"/>
        <v>12.578055307760927</v>
      </c>
      <c r="M71" s="635"/>
      <c r="N71" s="665">
        <f t="shared" si="98"/>
        <v>19.382239382239383</v>
      </c>
      <c r="O71" s="635"/>
      <c r="P71" s="665">
        <f t="shared" si="99"/>
        <v>12.59765625</v>
      </c>
      <c r="Q71" s="635"/>
      <c r="R71" s="665">
        <f t="shared" si="100"/>
        <v>10.514786418400876</v>
      </c>
      <c r="S71" s="635"/>
      <c r="T71" s="665">
        <f t="shared" si="101"/>
        <v>9.2459605026929985</v>
      </c>
      <c r="U71" s="635"/>
      <c r="V71" s="665">
        <f t="shared" si="102"/>
        <v>39.403973509933778</v>
      </c>
      <c r="W71" s="635"/>
      <c r="X71" s="665">
        <f t="shared" si="103"/>
        <v>-0.76142131979695438</v>
      </c>
      <c r="Y71" s="635"/>
      <c r="Z71" s="665">
        <f t="shared" si="104"/>
        <v>16.326530612244898</v>
      </c>
      <c r="AA71" s="635"/>
      <c r="AB71" s="665">
        <f t="shared" si="105"/>
        <v>11.825192802056556</v>
      </c>
      <c r="AC71" s="635"/>
      <c r="AD71" s="665">
        <f t="shared" si="106"/>
        <v>22.795497185741088</v>
      </c>
      <c r="AE71" s="635"/>
      <c r="AF71" s="665">
        <f t="shared" si="107"/>
        <v>18.43137254901961</v>
      </c>
      <c r="AG71" s="635"/>
      <c r="AH71" s="665">
        <f t="shared" si="108"/>
        <v>10.046728971962617</v>
      </c>
      <c r="AI71" s="635"/>
      <c r="AJ71" s="665">
        <f t="shared" si="109"/>
        <v>21.836734693877553</v>
      </c>
      <c r="AK71" s="635"/>
      <c r="AL71" s="665">
        <f t="shared" si="110"/>
        <v>12.743506493506493</v>
      </c>
      <c r="AM71" s="635"/>
      <c r="AN71" s="665">
        <f t="shared" si="111"/>
        <v>12.177121771217712</v>
      </c>
      <c r="AO71" s="635"/>
      <c r="AP71" s="665">
        <f t="shared" si="112"/>
        <v>8.9416058394160594</v>
      </c>
      <c r="AQ71" s="635"/>
      <c r="AR71" s="665">
        <f t="shared" si="113"/>
        <v>12.832699619771862</v>
      </c>
      <c r="AS71" s="635"/>
      <c r="AT71" s="665">
        <f t="shared" si="114"/>
        <v>21.807465618860512</v>
      </c>
      <c r="AU71" s="635"/>
      <c r="AV71" s="665">
        <f t="shared" si="115"/>
        <v>11.83533447684391</v>
      </c>
      <c r="AW71" s="635"/>
      <c r="AX71" s="665">
        <f t="shared" si="116"/>
        <v>10.496719775070289</v>
      </c>
      <c r="AY71" s="635"/>
      <c r="AZ71" s="665">
        <f t="shared" si="117"/>
        <v>7.1261682242990645</v>
      </c>
      <c r="BA71" s="635"/>
      <c r="BB71" s="665">
        <f t="shared" si="118"/>
        <v>10.884353741496598</v>
      </c>
      <c r="BC71" s="635"/>
      <c r="BD71" s="665">
        <f t="shared" si="119"/>
        <v>9.2007434944237918</v>
      </c>
      <c r="BE71" s="635"/>
      <c r="BF71" s="665">
        <f t="shared" si="119"/>
        <v>9.2692828146143427</v>
      </c>
      <c r="BG71" s="635"/>
      <c r="BH71" s="665">
        <f t="shared" si="120"/>
        <v>9.2946605141727083</v>
      </c>
      <c r="BI71" s="635"/>
      <c r="BJ71" s="665">
        <f t="shared" si="121"/>
        <v>7.7365394668060636</v>
      </c>
      <c r="BK71" s="635"/>
      <c r="BL71" s="665">
        <f t="shared" si="122"/>
        <v>10.746064339493499</v>
      </c>
      <c r="BM71" s="635"/>
      <c r="BN71" s="665">
        <f t="shared" si="123"/>
        <v>7.9567154678548686</v>
      </c>
      <c r="BO71" s="635"/>
      <c r="BP71" s="665">
        <f t="shared" si="124"/>
        <v>9.7350585335797906</v>
      </c>
      <c r="BQ71" s="635"/>
      <c r="BR71" s="665">
        <f t="shared" si="125"/>
        <v>7.1692535107169251</v>
      </c>
      <c r="BS71" s="635"/>
      <c r="BT71" s="665">
        <f t="shared" si="126"/>
        <v>8.7732342007434951</v>
      </c>
      <c r="BU71" s="635"/>
      <c r="BV71" s="665">
        <f t="shared" si="126"/>
        <v>6.6475644699140402</v>
      </c>
      <c r="BW71" s="635"/>
      <c r="BX71" s="665">
        <f t="shared" si="127"/>
        <v>12.873438348723521</v>
      </c>
      <c r="BY71" s="635"/>
      <c r="BZ71" s="665">
        <f t="shared" si="128"/>
        <v>12.508544087491455</v>
      </c>
      <c r="CA71" s="635"/>
      <c r="CB71" s="665">
        <f t="shared" si="129"/>
        <v>8.3756345177664979</v>
      </c>
      <c r="CC71" s="635"/>
      <c r="CD71" s="665">
        <f t="shared" si="130"/>
        <v>9.0566037735849054</v>
      </c>
      <c r="CE71" s="635"/>
      <c r="CF71" s="665">
        <f t="shared" si="131"/>
        <v>-27.436140018921474</v>
      </c>
      <c r="CG71" s="635"/>
      <c r="CH71" s="665">
        <f t="shared" si="132"/>
        <v>7.1245186136071892</v>
      </c>
      <c r="CI71" s="635"/>
      <c r="CJ71" s="665">
        <f t="shared" ref="CJ71:CR71" si="175">(CJ13/CJ$22)*100</f>
        <v>9.4585332419465384</v>
      </c>
      <c r="CK71" s="635"/>
      <c r="CL71" s="665">
        <f t="shared" si="175"/>
        <v>2.0481927710843375</v>
      </c>
      <c r="CM71" s="635"/>
      <c r="CN71" s="665">
        <f t="shared" si="175"/>
        <v>11.074918566775244</v>
      </c>
      <c r="CO71" s="635"/>
      <c r="CP71" s="665">
        <f t="shared" si="175"/>
        <v>3.4192825112107625</v>
      </c>
      <c r="CQ71" s="635"/>
      <c r="CR71" s="665">
        <f t="shared" si="175"/>
        <v>1.3994910941475827</v>
      </c>
      <c r="CS71" s="635"/>
      <c r="CT71" s="665">
        <f t="shared" ref="CT71" si="176">(CT13/CT$22)*100</f>
        <v>2.5177731276788089</v>
      </c>
      <c r="CU71" s="635"/>
      <c r="CV71" s="665">
        <f t="shared" ref="CV71" si="177">(CV13/CV$22)*100</f>
        <v>2.8778767779605809</v>
      </c>
      <c r="CW71" s="635"/>
      <c r="CX71" s="665">
        <f t="shared" ref="CX71" si="178">(CX13/CX$22)*100</f>
        <v>3.2959237995133188</v>
      </c>
      <c r="CY71" s="635"/>
      <c r="CZ71" s="665">
        <f t="shared" ref="CZ71" si="179">(CZ13/CZ$22)*100</f>
        <v>3.0594833875637129</v>
      </c>
      <c r="DA71" s="635"/>
      <c r="DB71" s="671"/>
      <c r="DC71" s="665">
        <f t="shared" si="138"/>
        <v>14.020270270270272</v>
      </c>
      <c r="DD71" s="635"/>
      <c r="DE71" s="665">
        <f t="shared" si="139"/>
        <v>13.410433070866143</v>
      </c>
      <c r="DF71" s="635"/>
      <c r="DG71" s="665">
        <f t="shared" si="140"/>
        <v>13.707686882933709</v>
      </c>
      <c r="DH71" s="635"/>
      <c r="DI71" s="665">
        <f t="shared" si="141"/>
        <v>30.420499342969777</v>
      </c>
      <c r="DJ71" s="635"/>
      <c r="DK71" s="665">
        <f t="shared" si="142"/>
        <v>17.423728813559322</v>
      </c>
      <c r="DL71" s="635"/>
      <c r="DM71" s="665">
        <f t="shared" si="143"/>
        <v>13.162206444565811</v>
      </c>
      <c r="DN71" s="635"/>
      <c r="DO71" s="665">
        <f t="shared" si="144"/>
        <v>12.607899555323046</v>
      </c>
      <c r="DP71" s="635"/>
      <c r="DQ71" s="665">
        <f t="shared" si="145"/>
        <v>9.5332671300893743</v>
      </c>
      <c r="DR71" s="635"/>
      <c r="DS71" s="665">
        <f t="shared" si="145"/>
        <v>9.1537132987910184</v>
      </c>
      <c r="DT71" s="635"/>
      <c r="DU71" s="665">
        <f t="shared" si="146"/>
        <v>8.4521384928716898</v>
      </c>
      <c r="DV71" s="635"/>
      <c r="DW71" s="665">
        <f t="shared" si="146"/>
        <v>2.8245867437008507</v>
      </c>
      <c r="DX71" s="635"/>
      <c r="DY71" s="665">
        <f t="shared" si="147"/>
        <v>4.0748286719762916</v>
      </c>
      <c r="DZ71" s="635"/>
      <c r="EA71" s="665">
        <f t="shared" si="148"/>
        <v>4.0518898142216528</v>
      </c>
      <c r="EB71" s="635"/>
      <c r="EC71" s="665">
        <f t="shared" si="148"/>
        <v>2.9339191762148804</v>
      </c>
      <c r="ED71" s="635"/>
      <c r="EE71" s="665">
        <f t="shared" si="149"/>
        <v>3.0118532464676493</v>
      </c>
      <c r="EF71" s="635"/>
      <c r="EG71" s="665">
        <f t="shared" si="150"/>
        <v>3.1354393649223313</v>
      </c>
      <c r="EH71" s="635"/>
      <c r="EI71" s="665">
        <f t="shared" si="151"/>
        <v>3.2206857957253372</v>
      </c>
      <c r="EJ71" s="635"/>
      <c r="EK71" s="665">
        <f t="shared" si="151"/>
        <v>3.3133033042580631</v>
      </c>
      <c r="EL71" s="635"/>
      <c r="EM71" s="635">
        <f t="shared" si="152"/>
        <v>-18.647024781125985</v>
      </c>
    </row>
    <row r="72" spans="1:143" s="632" customFormat="1" ht="12.75" customHeight="1" x14ac:dyDescent="0.2">
      <c r="A72" s="652" t="str">
        <f t="shared" si="153"/>
        <v>US Workplace Solutions Division</v>
      </c>
      <c r="B72" s="665">
        <f t="shared" si="154"/>
        <v>5.3348467650397273</v>
      </c>
      <c r="C72" s="635"/>
      <c r="D72" s="665">
        <f t="shared" si="154"/>
        <v>3.0462184873949578</v>
      </c>
      <c r="E72" s="635"/>
      <c r="F72" s="665">
        <f t="shared" si="94"/>
        <v>7.7787381158167674</v>
      </c>
      <c r="G72" s="635"/>
      <c r="H72" s="665">
        <f t="shared" si="95"/>
        <v>5.8659217877094969</v>
      </c>
      <c r="I72" s="635"/>
      <c r="J72" s="665">
        <f t="shared" si="96"/>
        <v>4.6465014577259485</v>
      </c>
      <c r="K72" s="635"/>
      <c r="L72" s="665">
        <f t="shared" si="97"/>
        <v>6.1552185548617304</v>
      </c>
      <c r="M72" s="635"/>
      <c r="N72" s="665">
        <f t="shared" si="98"/>
        <v>7.7220077220077217</v>
      </c>
      <c r="O72" s="635"/>
      <c r="P72" s="665">
        <f t="shared" si="99"/>
        <v>6.4453125</v>
      </c>
      <c r="Q72" s="635"/>
      <c r="R72" s="665">
        <f t="shared" si="100"/>
        <v>9.857612267250822</v>
      </c>
      <c r="S72" s="635"/>
      <c r="T72" s="665">
        <f t="shared" si="101"/>
        <v>7.1813285457809695</v>
      </c>
      <c r="U72" s="635"/>
      <c r="V72" s="665">
        <f t="shared" si="102"/>
        <v>16.721854304635762</v>
      </c>
      <c r="W72" s="635"/>
      <c r="X72" s="665">
        <f t="shared" si="103"/>
        <v>-5.8375634517766501</v>
      </c>
      <c r="Y72" s="635"/>
      <c r="Z72" s="665">
        <f t="shared" si="104"/>
        <v>37.95918367346939</v>
      </c>
      <c r="AA72" s="635"/>
      <c r="AB72" s="665">
        <f t="shared" si="105"/>
        <v>8.9974293059125969</v>
      </c>
      <c r="AC72" s="635"/>
      <c r="AD72" s="665">
        <f t="shared" si="106"/>
        <v>6.0037523452157595</v>
      </c>
      <c r="AE72" s="635"/>
      <c r="AF72" s="665">
        <f t="shared" si="107"/>
        <v>9.0196078431372548</v>
      </c>
      <c r="AG72" s="635"/>
      <c r="AH72" s="665">
        <f t="shared" si="108"/>
        <v>6.0747663551401869</v>
      </c>
      <c r="AI72" s="635"/>
      <c r="AJ72" s="665">
        <f t="shared" si="109"/>
        <v>6.5306122448979593</v>
      </c>
      <c r="AK72" s="635"/>
      <c r="AL72" s="665">
        <f t="shared" si="110"/>
        <v>4.8701298701298708</v>
      </c>
      <c r="AM72" s="635"/>
      <c r="AN72" s="665">
        <f t="shared" si="111"/>
        <v>6.2730627306273057</v>
      </c>
      <c r="AO72" s="635"/>
      <c r="AP72" s="665">
        <f t="shared" si="112"/>
        <v>3.5583941605839415</v>
      </c>
      <c r="AQ72" s="635"/>
      <c r="AR72" s="665">
        <f t="shared" si="113"/>
        <v>4.6577946768060841</v>
      </c>
      <c r="AS72" s="635"/>
      <c r="AT72" s="665">
        <f t="shared" si="114"/>
        <v>8.840864440078585</v>
      </c>
      <c r="AU72" s="635"/>
      <c r="AV72" s="665">
        <f t="shared" si="115"/>
        <v>3.6020583190394513</v>
      </c>
      <c r="AW72" s="635"/>
      <c r="AX72" s="665">
        <f t="shared" si="116"/>
        <v>-3.7488284910965319</v>
      </c>
      <c r="AY72" s="635"/>
      <c r="AZ72" s="665">
        <f t="shared" si="117"/>
        <v>3.8551401869158877</v>
      </c>
      <c r="BA72" s="635"/>
      <c r="BB72" s="665">
        <f t="shared" si="118"/>
        <v>3.4013605442176873</v>
      </c>
      <c r="BC72" s="635"/>
      <c r="BD72" s="665">
        <f t="shared" si="119"/>
        <v>-1.1152416356877324</v>
      </c>
      <c r="BE72" s="635"/>
      <c r="BF72" s="665">
        <f t="shared" si="119"/>
        <v>0.60893098782138022</v>
      </c>
      <c r="BG72" s="635"/>
      <c r="BH72" s="665">
        <f t="shared" si="120"/>
        <v>1.4502307185234016</v>
      </c>
      <c r="BI72" s="635"/>
      <c r="BJ72" s="665">
        <f t="shared" si="121"/>
        <v>3.5546262415054888</v>
      </c>
      <c r="BK72" s="635"/>
      <c r="BL72" s="665">
        <f t="shared" si="122"/>
        <v>3.9698836413415468</v>
      </c>
      <c r="BM72" s="635"/>
      <c r="BN72" s="665">
        <f t="shared" si="123"/>
        <v>0.38192234245703371</v>
      </c>
      <c r="BO72" s="635"/>
      <c r="BP72" s="665">
        <f t="shared" si="124"/>
        <v>2.8342575477510783</v>
      </c>
      <c r="BQ72" s="635"/>
      <c r="BR72" s="665">
        <f t="shared" si="125"/>
        <v>-5.3954175905395418</v>
      </c>
      <c r="BS72" s="635"/>
      <c r="BT72" s="665">
        <f t="shared" si="126"/>
        <v>3.2713754646840147</v>
      </c>
      <c r="BU72" s="635"/>
      <c r="BV72" s="665">
        <f t="shared" si="126"/>
        <v>1.7191977077363898</v>
      </c>
      <c r="BW72" s="635"/>
      <c r="BX72" s="665">
        <f t="shared" si="127"/>
        <v>4.0738728951656711</v>
      </c>
      <c r="BY72" s="635"/>
      <c r="BZ72" s="665">
        <f t="shared" si="128"/>
        <v>3.007518796992481</v>
      </c>
      <c r="CA72" s="635"/>
      <c r="CB72" s="665">
        <f t="shared" si="129"/>
        <v>2.2842639593908629</v>
      </c>
      <c r="CC72" s="635"/>
      <c r="CD72" s="665">
        <f t="shared" si="130"/>
        <v>1.9622641509433962</v>
      </c>
      <c r="CE72" s="635"/>
      <c r="CF72" s="665">
        <f t="shared" si="131"/>
        <v>8.4200567644276241</v>
      </c>
      <c r="CG72" s="635"/>
      <c r="CH72" s="665">
        <f t="shared" si="132"/>
        <v>3.9794608472400519</v>
      </c>
      <c r="CI72" s="635"/>
      <c r="CJ72" s="665">
        <f t="shared" ref="CJ72:CR72" si="180">(CJ14/CJ$22)*100</f>
        <v>2.9472241261137766</v>
      </c>
      <c r="CK72" s="635"/>
      <c r="CL72" s="665">
        <f t="shared" si="180"/>
        <v>25.963855421686748</v>
      </c>
      <c r="CM72" s="635"/>
      <c r="CN72" s="665">
        <f t="shared" si="180"/>
        <v>36.156351791530945</v>
      </c>
      <c r="CO72" s="635"/>
      <c r="CP72" s="665">
        <f t="shared" si="180"/>
        <v>17.320627802690584</v>
      </c>
      <c r="CQ72" s="635"/>
      <c r="CR72" s="665">
        <f t="shared" si="180"/>
        <v>19.91094147582697</v>
      </c>
      <c r="CS72" s="635"/>
      <c r="CT72" s="665">
        <f t="shared" ref="CT72" si="181">(CT14/CT$22)*100</f>
        <v>20.45175767797237</v>
      </c>
      <c r="CU72" s="635"/>
      <c r="CV72" s="665">
        <f t="shared" ref="CV72" si="182">(CV14/CV$22)*100</f>
        <v>19.431001805716512</v>
      </c>
      <c r="CW72" s="635"/>
      <c r="CX72" s="665">
        <f t="shared" ref="CX72" si="183">(CX14/CX$22)*100</f>
        <v>18.828989458564138</v>
      </c>
      <c r="CY72" s="635"/>
      <c r="CZ72" s="665">
        <f t="shared" ref="CZ72" si="184">(CZ14/CZ$22)*100</f>
        <v>19.44549573829752</v>
      </c>
      <c r="DA72" s="635"/>
      <c r="DB72" s="671"/>
      <c r="DC72" s="665">
        <f t="shared" si="138"/>
        <v>6.3063063063063058</v>
      </c>
      <c r="DD72" s="635"/>
      <c r="DE72" s="665">
        <f t="shared" si="139"/>
        <v>5.6348425196850389</v>
      </c>
      <c r="DF72" s="635"/>
      <c r="DG72" s="665">
        <f t="shared" si="140"/>
        <v>6.3028913963328632</v>
      </c>
      <c r="DH72" s="635"/>
      <c r="DI72" s="665">
        <f t="shared" si="141"/>
        <v>22.076215505913272</v>
      </c>
      <c r="DJ72" s="635"/>
      <c r="DK72" s="665">
        <f t="shared" si="142"/>
        <v>11.152542372881356</v>
      </c>
      <c r="DL72" s="635"/>
      <c r="DM72" s="665">
        <f t="shared" si="143"/>
        <v>5.7891862370289457</v>
      </c>
      <c r="DN72" s="635"/>
      <c r="DO72" s="665">
        <f t="shared" si="144"/>
        <v>4.5775568924928063</v>
      </c>
      <c r="DP72" s="635"/>
      <c r="DQ72" s="665">
        <f t="shared" si="145"/>
        <v>0.39721946375372391</v>
      </c>
      <c r="DR72" s="635"/>
      <c r="DS72" s="665">
        <f t="shared" si="145"/>
        <v>2.4650651593656776</v>
      </c>
      <c r="DT72" s="635"/>
      <c r="DU72" s="665">
        <f t="shared" si="146"/>
        <v>0.39035980991174474</v>
      </c>
      <c r="DV72" s="635"/>
      <c r="DW72" s="665">
        <f t="shared" si="146"/>
        <v>17.766008666345691</v>
      </c>
      <c r="DX72" s="635"/>
      <c r="DY72" s="665">
        <f t="shared" si="147"/>
        <v>22.819040563067237</v>
      </c>
      <c r="DZ72" s="635"/>
      <c r="EA72" s="665">
        <f t="shared" si="148"/>
        <v>23.975016015374759</v>
      </c>
      <c r="EB72" s="635"/>
      <c r="EC72" s="665">
        <f t="shared" si="148"/>
        <v>19.542709402290136</v>
      </c>
      <c r="ED72" s="635"/>
      <c r="EE72" s="665">
        <f t="shared" si="149"/>
        <v>19.850525172650791</v>
      </c>
      <c r="EF72" s="635"/>
      <c r="EG72" s="665">
        <f t="shared" si="150"/>
        <v>20.144396958119625</v>
      </c>
      <c r="EH72" s="635"/>
      <c r="EI72" s="665">
        <f t="shared" si="151"/>
        <v>20.382453996805072</v>
      </c>
      <c r="EJ72" s="635"/>
      <c r="EK72" s="665">
        <f t="shared" si="151"/>
        <v>20.655649063796794</v>
      </c>
      <c r="EL72" s="635"/>
      <c r="EM72" s="635" t="str">
        <f t="shared" si="152"/>
        <v>NM</v>
      </c>
    </row>
    <row r="73" spans="1:143" s="632" customFormat="1" ht="12.75" customHeight="1" x14ac:dyDescent="0.2">
      <c r="A73" s="644" t="str">
        <f t="shared" si="153"/>
        <v>Asset Management</v>
      </c>
      <c r="B73" s="665">
        <f t="shared" si="154"/>
        <v>20.431328036322359</v>
      </c>
      <c r="C73" s="635"/>
      <c r="D73" s="665">
        <f t="shared" si="154"/>
        <v>13.23529411764706</v>
      </c>
      <c r="E73" s="635"/>
      <c r="F73" s="665">
        <f t="shared" si="94"/>
        <v>23.595505617977526</v>
      </c>
      <c r="G73" s="635"/>
      <c r="H73" s="665">
        <f t="shared" si="95"/>
        <v>18.156424581005588</v>
      </c>
      <c r="I73" s="635"/>
      <c r="J73" s="665">
        <f t="shared" si="96"/>
        <v>13.848396501457728</v>
      </c>
      <c r="K73" s="635"/>
      <c r="L73" s="665">
        <f t="shared" si="97"/>
        <v>18.73327386262266</v>
      </c>
      <c r="M73" s="635"/>
      <c r="N73" s="665">
        <f t="shared" si="98"/>
        <v>27.104247104247104</v>
      </c>
      <c r="O73" s="635"/>
      <c r="P73" s="665">
        <f t="shared" si="99"/>
        <v>19.04296875</v>
      </c>
      <c r="Q73" s="635"/>
      <c r="R73" s="665">
        <f t="shared" si="100"/>
        <v>20.372398685651696</v>
      </c>
      <c r="S73" s="635"/>
      <c r="T73" s="665">
        <f t="shared" si="101"/>
        <v>16.427289048473966</v>
      </c>
      <c r="U73" s="635"/>
      <c r="V73" s="665">
        <f t="shared" si="102"/>
        <v>56.12582781456954</v>
      </c>
      <c r="W73" s="635"/>
      <c r="X73" s="665">
        <f t="shared" si="103"/>
        <v>-6.5989847715736047</v>
      </c>
      <c r="Y73" s="635"/>
      <c r="Z73" s="665">
        <f t="shared" si="104"/>
        <v>54.285714285714285</v>
      </c>
      <c r="AA73" s="635"/>
      <c r="AB73" s="665">
        <f t="shared" si="105"/>
        <v>20.822622107969153</v>
      </c>
      <c r="AC73" s="635"/>
      <c r="AD73" s="665">
        <f t="shared" si="106"/>
        <v>28.79924953095685</v>
      </c>
      <c r="AE73" s="635"/>
      <c r="AF73" s="665">
        <f t="shared" si="107"/>
        <v>27.450980392156865</v>
      </c>
      <c r="AG73" s="635"/>
      <c r="AH73" s="665">
        <f t="shared" si="108"/>
        <v>16.121495327102803</v>
      </c>
      <c r="AI73" s="635"/>
      <c r="AJ73" s="665">
        <f t="shared" si="109"/>
        <v>28.367346938775512</v>
      </c>
      <c r="AK73" s="635"/>
      <c r="AL73" s="665">
        <f t="shared" si="110"/>
        <v>17.613636363636363</v>
      </c>
      <c r="AM73" s="635"/>
      <c r="AN73" s="665">
        <f t="shared" si="111"/>
        <v>18.450184501845019</v>
      </c>
      <c r="AO73" s="635"/>
      <c r="AP73" s="665">
        <f t="shared" si="112"/>
        <v>12.5</v>
      </c>
      <c r="AQ73" s="635"/>
      <c r="AR73" s="665">
        <f t="shared" si="113"/>
        <v>17.490494296577946</v>
      </c>
      <c r="AS73" s="635"/>
      <c r="AT73" s="665">
        <f t="shared" si="114"/>
        <v>30.648330058939095</v>
      </c>
      <c r="AU73" s="635"/>
      <c r="AV73" s="665">
        <f t="shared" si="115"/>
        <v>15.437392795883362</v>
      </c>
      <c r="AW73" s="635"/>
      <c r="AX73" s="665">
        <f t="shared" si="116"/>
        <v>6.7478912839737584</v>
      </c>
      <c r="AY73" s="635"/>
      <c r="AZ73" s="665">
        <f t="shared" si="117"/>
        <v>10.981308411214954</v>
      </c>
      <c r="BA73" s="635"/>
      <c r="BB73" s="665">
        <f t="shared" si="118"/>
        <v>14.285714285714285</v>
      </c>
      <c r="BC73" s="635"/>
      <c r="BD73" s="665">
        <f t="shared" si="119"/>
        <v>8.085501858736059</v>
      </c>
      <c r="BE73" s="635"/>
      <c r="BF73" s="665">
        <f t="shared" si="119"/>
        <v>9.8782138024357238</v>
      </c>
      <c r="BG73" s="635"/>
      <c r="BH73" s="665">
        <f t="shared" si="120"/>
        <v>10.74489123269611</v>
      </c>
      <c r="BI73" s="635"/>
      <c r="BJ73" s="665">
        <f t="shared" si="121"/>
        <v>11.291165708311553</v>
      </c>
      <c r="BK73" s="635"/>
      <c r="BL73" s="665">
        <f t="shared" si="122"/>
        <v>14.715947980835045</v>
      </c>
      <c r="BM73" s="635"/>
      <c r="BN73" s="665">
        <f t="shared" si="123"/>
        <v>8.3386378103119032</v>
      </c>
      <c r="BO73" s="635"/>
      <c r="BP73" s="665">
        <f t="shared" si="124"/>
        <v>12.56931608133087</v>
      </c>
      <c r="BQ73" s="635"/>
      <c r="BR73" s="665">
        <f t="shared" si="125"/>
        <v>1.7738359201773837</v>
      </c>
      <c r="BS73" s="635"/>
      <c r="BT73" s="665">
        <f t="shared" si="126"/>
        <v>12.04460966542751</v>
      </c>
      <c r="BU73" s="635"/>
      <c r="BV73" s="665">
        <f t="shared" si="126"/>
        <v>8.3667621776504308</v>
      </c>
      <c r="BW73" s="635"/>
      <c r="BX73" s="665">
        <f t="shared" si="127"/>
        <v>16.947311243889189</v>
      </c>
      <c r="BY73" s="635"/>
      <c r="BZ73" s="665">
        <f t="shared" si="128"/>
        <v>15.516062884483937</v>
      </c>
      <c r="CA73" s="635"/>
      <c r="CB73" s="665">
        <f t="shared" si="129"/>
        <v>10.659898477157361</v>
      </c>
      <c r="CC73" s="635"/>
      <c r="CD73" s="665">
        <f t="shared" si="130"/>
        <v>11.018867924528301</v>
      </c>
      <c r="CE73" s="635"/>
      <c r="CF73" s="665">
        <f t="shared" si="131"/>
        <v>-19.01608325449385</v>
      </c>
      <c r="CG73" s="635"/>
      <c r="CH73" s="665">
        <f t="shared" si="132"/>
        <v>11.10397946084724</v>
      </c>
      <c r="CI73" s="635"/>
      <c r="CJ73" s="665">
        <f t="shared" ref="CJ73:CR73" si="185">(CJ15/CJ$22)*100</f>
        <v>12.405757368060314</v>
      </c>
      <c r="CK73" s="635"/>
      <c r="CL73" s="665">
        <f t="shared" si="185"/>
        <v>11.80722891566265</v>
      </c>
      <c r="CM73" s="635"/>
      <c r="CN73" s="665">
        <f t="shared" si="185"/>
        <v>17.752442996742669</v>
      </c>
      <c r="CO73" s="635"/>
      <c r="CP73" s="665">
        <f t="shared" si="185"/>
        <v>14.517937219730943</v>
      </c>
      <c r="CQ73" s="635"/>
      <c r="CR73" s="665">
        <f t="shared" si="185"/>
        <v>19.465648854961831</v>
      </c>
      <c r="CS73" s="635"/>
      <c r="CT73" s="665">
        <f t="shared" ref="CT73" si="186">(CT15/CT$22)*100</f>
        <v>14.505558342169325</v>
      </c>
      <c r="CU73" s="635"/>
      <c r="CV73" s="665">
        <f t="shared" ref="CV73" si="187">(CV15/CV$22)*100</f>
        <v>14.387276333198972</v>
      </c>
      <c r="CW73" s="635"/>
      <c r="CX73" s="665">
        <f t="shared" ref="CX73" si="188">(CX15/CX$22)*100</f>
        <v>14.767583339969717</v>
      </c>
      <c r="CY73" s="635"/>
      <c r="CZ73" s="665">
        <f t="shared" ref="CZ73" si="189">(CZ15/CZ$22)*100</f>
        <v>16.326241817481669</v>
      </c>
      <c r="DA73" s="635"/>
      <c r="DB73" s="676"/>
      <c r="DC73" s="665">
        <f t="shared" si="138"/>
        <v>20.326576576576578</v>
      </c>
      <c r="DD73" s="635"/>
      <c r="DE73" s="665">
        <f t="shared" si="139"/>
        <v>19.045275590551181</v>
      </c>
      <c r="DF73" s="635"/>
      <c r="DG73" s="665">
        <f t="shared" si="140"/>
        <v>20.010578279266571</v>
      </c>
      <c r="DH73" s="635"/>
      <c r="DI73" s="665">
        <f t="shared" si="141"/>
        <v>52.496714848883052</v>
      </c>
      <c r="DJ73" s="635"/>
      <c r="DK73" s="665">
        <f t="shared" si="142"/>
        <v>28.576271186440678</v>
      </c>
      <c r="DL73" s="635"/>
      <c r="DM73" s="665">
        <f t="shared" si="143"/>
        <v>18.951392681594754</v>
      </c>
      <c r="DN73" s="635"/>
      <c r="DO73" s="665">
        <f t="shared" si="144"/>
        <v>17.185456447815852</v>
      </c>
      <c r="DP73" s="635"/>
      <c r="DQ73" s="665">
        <f t="shared" si="145"/>
        <v>9.9304865938430975</v>
      </c>
      <c r="DR73" s="635"/>
      <c r="DS73" s="665">
        <f t="shared" si="145"/>
        <v>11.618778458156696</v>
      </c>
      <c r="DT73" s="635"/>
      <c r="DU73" s="665">
        <f t="shared" si="146"/>
        <v>8.8424983027834365</v>
      </c>
      <c r="DV73" s="635"/>
      <c r="DW73" s="665">
        <f t="shared" si="146"/>
        <v>12.502006098539562</v>
      </c>
      <c r="DX73" s="635"/>
      <c r="DY73" s="665">
        <f t="shared" si="147"/>
        <v>14.576773476569734</v>
      </c>
      <c r="DZ73" s="635"/>
      <c r="EA73" s="665">
        <f t="shared" si="148"/>
        <v>15.679051889814222</v>
      </c>
      <c r="EB73" s="635"/>
      <c r="EC73" s="665">
        <f t="shared" si="148"/>
        <v>14.96093558314106</v>
      </c>
      <c r="ED73" s="635"/>
      <c r="EE73" s="665">
        <f t="shared" si="149"/>
        <v>15.584807910292451</v>
      </c>
      <c r="EF73" s="635"/>
      <c r="EG73" s="665">
        <f t="shared" si="150"/>
        <v>16.101141041199416</v>
      </c>
      <c r="EH73" s="635"/>
      <c r="EI73" s="665">
        <f t="shared" si="151"/>
        <v>16.581695557766547</v>
      </c>
      <c r="EJ73" s="635"/>
      <c r="EK73" s="665">
        <f t="shared" si="151"/>
        <v>16.886691663212705</v>
      </c>
      <c r="EL73" s="635"/>
      <c r="EM73" s="635">
        <f t="shared" si="152"/>
        <v>12.001875145576957</v>
      </c>
    </row>
    <row r="74" spans="1:143" s="632" customFormat="1" ht="12.75" customHeight="1" x14ac:dyDescent="0.2">
      <c r="A74" s="652" t="str">
        <f t="shared" si="153"/>
        <v>Investment Management Division</v>
      </c>
      <c r="B74" s="665">
        <f t="shared" si="154"/>
        <v>26.106696935300793</v>
      </c>
      <c r="C74" s="635"/>
      <c r="D74" s="665">
        <f t="shared" si="154"/>
        <v>23.949579831932773</v>
      </c>
      <c r="E74" s="635"/>
      <c r="F74" s="665">
        <f t="shared" si="94"/>
        <v>21.348314606741571</v>
      </c>
      <c r="G74" s="635"/>
      <c r="H74" s="665">
        <f t="shared" si="95"/>
        <v>21.601489757914337</v>
      </c>
      <c r="I74" s="635"/>
      <c r="J74" s="665">
        <f t="shared" si="96"/>
        <v>24.508017492711375</v>
      </c>
      <c r="K74" s="635"/>
      <c r="L74" s="665">
        <f t="shared" si="97"/>
        <v>22.56913470115968</v>
      </c>
      <c r="M74" s="635"/>
      <c r="N74" s="665">
        <f t="shared" si="98"/>
        <v>20.54054054054054</v>
      </c>
      <c r="O74" s="635"/>
      <c r="P74" s="665">
        <f t="shared" si="99"/>
        <v>22.65625</v>
      </c>
      <c r="Q74" s="635"/>
      <c r="R74" s="665">
        <f t="shared" si="100"/>
        <v>31.215772179627599</v>
      </c>
      <c r="S74" s="635"/>
      <c r="T74" s="665">
        <f t="shared" si="101"/>
        <v>25.673249551166965</v>
      </c>
      <c r="U74" s="635"/>
      <c r="V74" s="665">
        <f t="shared" si="102"/>
        <v>48.509933774834437</v>
      </c>
      <c r="W74" s="635"/>
      <c r="X74" s="665">
        <f t="shared" si="103"/>
        <v>-22.081218274111674</v>
      </c>
      <c r="Y74" s="635"/>
      <c r="Z74" s="665">
        <f t="shared" si="104"/>
        <v>120</v>
      </c>
      <c r="AA74" s="635"/>
      <c r="AB74" s="665">
        <f t="shared" si="105"/>
        <v>26.992287917737791</v>
      </c>
      <c r="AC74" s="635"/>
      <c r="AD74" s="665">
        <f t="shared" si="106"/>
        <v>29.080675422138835</v>
      </c>
      <c r="AE74" s="635"/>
      <c r="AF74" s="665">
        <f t="shared" si="107"/>
        <v>39.477124183006538</v>
      </c>
      <c r="AG74" s="635"/>
      <c r="AH74" s="665">
        <f t="shared" si="108"/>
        <v>34.813084112149532</v>
      </c>
      <c r="AI74" s="635"/>
      <c r="AJ74" s="665">
        <f t="shared" si="109"/>
        <v>54.081632653061227</v>
      </c>
      <c r="AK74" s="635"/>
      <c r="AL74" s="665">
        <f t="shared" si="110"/>
        <v>24.025974025974026</v>
      </c>
      <c r="AM74" s="635"/>
      <c r="AN74" s="665">
        <f t="shared" si="111"/>
        <v>26.752767527675275</v>
      </c>
      <c r="AO74" s="635"/>
      <c r="AP74" s="665">
        <f t="shared" si="112"/>
        <v>27.372262773722628</v>
      </c>
      <c r="AQ74" s="635"/>
      <c r="AR74" s="665">
        <f t="shared" si="113"/>
        <v>29.942965779467677</v>
      </c>
      <c r="AS74" s="635"/>
      <c r="AT74" s="665">
        <f t="shared" si="114"/>
        <v>65.029469548133605</v>
      </c>
      <c r="AU74" s="635"/>
      <c r="AV74" s="665">
        <f t="shared" si="115"/>
        <v>25.728987993138936</v>
      </c>
      <c r="AW74" s="635"/>
      <c r="AX74" s="665">
        <f t="shared" si="116"/>
        <v>35.80131208997188</v>
      </c>
      <c r="AY74" s="635"/>
      <c r="AZ74" s="665">
        <f t="shared" si="117"/>
        <v>43.691588785046733</v>
      </c>
      <c r="BA74" s="635"/>
      <c r="BB74" s="665">
        <f t="shared" si="118"/>
        <v>38.192419825072889</v>
      </c>
      <c r="BC74" s="635"/>
      <c r="BD74" s="665">
        <f t="shared" si="119"/>
        <v>30.855018587360593</v>
      </c>
      <c r="BE74" s="635"/>
      <c r="BF74" s="665">
        <f t="shared" si="119"/>
        <v>28.552097428958049</v>
      </c>
      <c r="BG74" s="635"/>
      <c r="BH74" s="665">
        <f t="shared" si="120"/>
        <v>24.258404746209624</v>
      </c>
      <c r="BI74" s="635"/>
      <c r="BJ74" s="665">
        <f t="shared" si="121"/>
        <v>22.16414009409305</v>
      </c>
      <c r="BK74" s="635"/>
      <c r="BL74" s="665">
        <f t="shared" si="122"/>
        <v>20.739219712525667</v>
      </c>
      <c r="BM74" s="635"/>
      <c r="BN74" s="665">
        <f t="shared" si="123"/>
        <v>26.670910248249523</v>
      </c>
      <c r="BO74" s="635"/>
      <c r="BP74" s="665">
        <f t="shared" si="124"/>
        <v>23.536660505237215</v>
      </c>
      <c r="BQ74" s="635"/>
      <c r="BR74" s="665">
        <f t="shared" si="125"/>
        <v>30.598669623059866</v>
      </c>
      <c r="BS74" s="635"/>
      <c r="BT74" s="665">
        <f t="shared" si="126"/>
        <v>27.806691449814124</v>
      </c>
      <c r="BU74" s="635"/>
      <c r="BV74" s="665">
        <f t="shared" si="126"/>
        <v>25.157593123209171</v>
      </c>
      <c r="BW74" s="635"/>
      <c r="BX74" s="665">
        <f t="shared" si="127"/>
        <v>20.695274307441608</v>
      </c>
      <c r="BY74" s="635"/>
      <c r="BZ74" s="665">
        <f t="shared" si="128"/>
        <v>27.204374572795626</v>
      </c>
      <c r="CA74" s="635"/>
      <c r="CB74" s="665">
        <f t="shared" si="129"/>
        <v>31.049069373942473</v>
      </c>
      <c r="CC74" s="635"/>
      <c r="CD74" s="665">
        <f t="shared" si="130"/>
        <v>30.943396226415093</v>
      </c>
      <c r="CE74" s="635"/>
      <c r="CF74" s="665">
        <f t="shared" si="131"/>
        <v>32.450331125827816</v>
      </c>
      <c r="CG74" s="635"/>
      <c r="CH74" s="665">
        <f t="shared" si="132"/>
        <v>25.096277278562258</v>
      </c>
      <c r="CI74" s="635"/>
      <c r="CJ74" s="665">
        <f t="shared" ref="CJ74:CR74" si="190">(CJ16/CJ$22)*100</f>
        <v>27.07333790267306</v>
      </c>
      <c r="CK74" s="635"/>
      <c r="CL74" s="665">
        <f t="shared" si="190"/>
        <v>11.80722891566265</v>
      </c>
      <c r="CM74" s="635"/>
      <c r="CN74" s="665">
        <f t="shared" si="190"/>
        <v>17.752442996742669</v>
      </c>
      <c r="CO74" s="635"/>
      <c r="CP74" s="665">
        <f t="shared" si="190"/>
        <v>14.517937219730943</v>
      </c>
      <c r="CQ74" s="635"/>
      <c r="CR74" s="665">
        <f t="shared" si="190"/>
        <v>19.465648854961831</v>
      </c>
      <c r="CS74" s="635"/>
      <c r="CT74" s="665">
        <f t="shared" ref="CT74" si="191">(CT16/CT$22)*100</f>
        <v>14.505558342169325</v>
      </c>
      <c r="CU74" s="635"/>
      <c r="CV74" s="665">
        <f t="shared" ref="CV74" si="192">(CV16/CV$22)*100</f>
        <v>14.387276333198972</v>
      </c>
      <c r="CW74" s="635"/>
      <c r="CX74" s="665">
        <f t="shared" ref="CX74" si="193">(CX16/CX$22)*100</f>
        <v>14.767583339969717</v>
      </c>
      <c r="CY74" s="635"/>
      <c r="CZ74" s="665">
        <f t="shared" ref="CZ74" si="194">(CZ16/CZ$22)*100</f>
        <v>16.326241817481669</v>
      </c>
      <c r="DA74" s="635"/>
      <c r="DB74" s="665"/>
      <c r="DC74" s="665">
        <f t="shared" si="138"/>
        <v>22.747747747747749</v>
      </c>
      <c r="DD74" s="635"/>
      <c r="DE74" s="665">
        <f t="shared" si="139"/>
        <v>23.056102362204726</v>
      </c>
      <c r="DF74" s="635"/>
      <c r="DG74" s="665">
        <f t="shared" si="140"/>
        <v>22.478843441466854</v>
      </c>
      <c r="DH74" s="635"/>
      <c r="DI74" s="665">
        <f t="shared" si="141"/>
        <v>65.571616294349539</v>
      </c>
      <c r="DJ74" s="635"/>
      <c r="DK74" s="665">
        <f t="shared" si="142"/>
        <v>35.898305084745765</v>
      </c>
      <c r="DL74" s="635"/>
      <c r="DM74" s="665">
        <f t="shared" si="143"/>
        <v>31.376297105406881</v>
      </c>
      <c r="DN74" s="635"/>
      <c r="DO74" s="665">
        <f t="shared" si="144"/>
        <v>32.592205074548787</v>
      </c>
      <c r="DP74" s="635"/>
      <c r="DQ74" s="665">
        <f t="shared" si="145"/>
        <v>36.767626613704074</v>
      </c>
      <c r="DR74" s="635"/>
      <c r="DS74" s="665">
        <f t="shared" si="145"/>
        <v>23.818495839221228</v>
      </c>
      <c r="DT74" s="635"/>
      <c r="DU74" s="665">
        <f t="shared" si="146"/>
        <v>26.96877121520706</v>
      </c>
      <c r="DV74" s="635"/>
      <c r="DW74" s="665">
        <f t="shared" si="146"/>
        <v>12.502006098539562</v>
      </c>
      <c r="DX74" s="635"/>
      <c r="DY74" s="665">
        <f t="shared" si="147"/>
        <v>14.576773476569734</v>
      </c>
      <c r="DZ74" s="635"/>
      <c r="EA74" s="665">
        <f t="shared" si="148"/>
        <v>15.679051889814222</v>
      </c>
      <c r="EB74" s="635"/>
      <c r="EC74" s="665">
        <f t="shared" si="148"/>
        <v>14.96093558314106</v>
      </c>
      <c r="ED74" s="635"/>
      <c r="EE74" s="665">
        <f t="shared" si="149"/>
        <v>15.584807910292451</v>
      </c>
      <c r="EF74" s="635"/>
      <c r="EG74" s="665">
        <f t="shared" si="150"/>
        <v>16.101141041199416</v>
      </c>
      <c r="EH74" s="635"/>
      <c r="EI74" s="665">
        <f t="shared" si="151"/>
        <v>16.581695557766547</v>
      </c>
      <c r="EJ74" s="635"/>
      <c r="EK74" s="665">
        <f t="shared" si="151"/>
        <v>16.886691663212705</v>
      </c>
      <c r="EL74" s="635"/>
      <c r="EM74" s="635">
        <f t="shared" si="152"/>
        <v>-10.387610277925518</v>
      </c>
    </row>
    <row r="75" spans="1:143" s="632" customFormat="1" ht="12.75" customHeight="1" x14ac:dyDescent="0.2">
      <c r="A75" s="644" t="str">
        <f t="shared" si="153"/>
        <v>Life Planner</v>
      </c>
      <c r="B75" s="665">
        <f t="shared" si="154"/>
        <v>12.372304199772985</v>
      </c>
      <c r="C75" s="635"/>
      <c r="D75" s="665">
        <f t="shared" si="154"/>
        <v>10.714285714285714</v>
      </c>
      <c r="E75" s="635"/>
      <c r="F75" s="665">
        <f t="shared" si="94"/>
        <v>12.791702679343128</v>
      </c>
      <c r="G75" s="635"/>
      <c r="H75" s="665">
        <f t="shared" si="95"/>
        <v>12.197392923649906</v>
      </c>
      <c r="I75" s="635"/>
      <c r="J75" s="665">
        <f t="shared" si="96"/>
        <v>13.028425655976678</v>
      </c>
      <c r="K75" s="635"/>
      <c r="L75" s="665">
        <f t="shared" si="97"/>
        <v>14.00535236396075</v>
      </c>
      <c r="M75" s="635"/>
      <c r="N75" s="665">
        <f t="shared" si="98"/>
        <v>12.123552123552123</v>
      </c>
      <c r="O75" s="635"/>
      <c r="P75" s="665">
        <f t="shared" si="99"/>
        <v>11.81640625</v>
      </c>
      <c r="Q75" s="635"/>
      <c r="R75" s="665">
        <f t="shared" si="100"/>
        <v>14.019715224534501</v>
      </c>
      <c r="S75" s="635"/>
      <c r="T75" s="665">
        <f t="shared" si="101"/>
        <v>14.991023339317774</v>
      </c>
      <c r="U75" s="635"/>
      <c r="V75" s="665">
        <f t="shared" si="102"/>
        <v>27.649006622516559</v>
      </c>
      <c r="W75" s="635"/>
      <c r="X75" s="665">
        <f t="shared" si="103"/>
        <v>-13.536379018612521</v>
      </c>
      <c r="Y75" s="635"/>
      <c r="Z75" s="665">
        <f t="shared" si="104"/>
        <v>55.510204081632651</v>
      </c>
      <c r="AA75" s="635"/>
      <c r="AB75" s="665">
        <f t="shared" si="105"/>
        <v>13.53898886032562</v>
      </c>
      <c r="AC75" s="635"/>
      <c r="AD75" s="665">
        <f t="shared" si="106"/>
        <v>18.48030018761726</v>
      </c>
      <c r="AE75" s="635"/>
      <c r="AF75" s="665">
        <f t="shared" si="107"/>
        <v>20.392156862745097</v>
      </c>
      <c r="AG75" s="635"/>
      <c r="AH75" s="665">
        <f t="shared" si="108"/>
        <v>18.22429906542056</v>
      </c>
      <c r="AI75" s="635"/>
      <c r="AJ75" s="665">
        <f t="shared" si="109"/>
        <v>33.265306122448976</v>
      </c>
      <c r="AK75" s="635"/>
      <c r="AL75" s="665">
        <f t="shared" si="110"/>
        <v>16.152597402597401</v>
      </c>
      <c r="AM75" s="635"/>
      <c r="AN75" s="665">
        <f t="shared" si="111"/>
        <v>22.878228782287824</v>
      </c>
      <c r="AO75" s="635"/>
      <c r="AP75" s="665">
        <f t="shared" si="112"/>
        <v>29.927007299270077</v>
      </c>
      <c r="AQ75" s="635"/>
      <c r="AR75" s="665">
        <f t="shared" si="113"/>
        <v>17.585551330798481</v>
      </c>
      <c r="AS75" s="635"/>
      <c r="AT75" s="665">
        <f t="shared" si="114"/>
        <v>64.636542239685653</v>
      </c>
      <c r="AU75" s="635"/>
      <c r="AV75" s="665">
        <f t="shared" si="115"/>
        <v>17.324185248713551</v>
      </c>
      <c r="AW75" s="635"/>
      <c r="AX75" s="665">
        <f t="shared" si="116"/>
        <v>20.149953139643863</v>
      </c>
      <c r="AY75" s="635"/>
      <c r="AZ75" s="665">
        <f t="shared" si="117"/>
        <v>35.514018691588781</v>
      </c>
      <c r="BA75" s="635"/>
      <c r="BB75" s="665">
        <f t="shared" si="118"/>
        <v>37.803692905733719</v>
      </c>
      <c r="BC75" s="635"/>
      <c r="BD75" s="665">
        <f t="shared" si="119"/>
        <v>29.275092936802977</v>
      </c>
      <c r="BE75" s="635"/>
      <c r="BF75" s="665">
        <f t="shared" si="119"/>
        <v>30.784844384303113</v>
      </c>
      <c r="BG75" s="635"/>
      <c r="BH75" s="665">
        <f t="shared" si="120"/>
        <v>31.77323665128543</v>
      </c>
      <c r="BI75" s="635"/>
      <c r="BJ75" s="665">
        <f t="shared" si="121"/>
        <v>18.504966021955045</v>
      </c>
      <c r="BK75" s="635"/>
      <c r="BL75" s="665">
        <f t="shared" si="122"/>
        <v>23.545516769336071</v>
      </c>
      <c r="BM75" s="635"/>
      <c r="BN75" s="665">
        <f t="shared" si="123"/>
        <v>26.607256524506685</v>
      </c>
      <c r="BO75" s="635"/>
      <c r="BP75" s="665">
        <f t="shared" si="124"/>
        <v>30.930375847196551</v>
      </c>
      <c r="BQ75" s="635"/>
      <c r="BR75" s="665">
        <f t="shared" si="125"/>
        <v>31.855136733185514</v>
      </c>
      <c r="BS75" s="635"/>
      <c r="BT75" s="665">
        <f t="shared" si="126"/>
        <v>23.197026022304833</v>
      </c>
      <c r="BU75" s="635"/>
      <c r="BV75" s="665">
        <f t="shared" si="126"/>
        <v>22.636103151862464</v>
      </c>
      <c r="BW75" s="635"/>
      <c r="BX75" s="665">
        <f t="shared" si="127"/>
        <v>25.040738728951656</v>
      </c>
      <c r="BY75" s="635"/>
      <c r="BZ75" s="665">
        <f t="shared" si="128"/>
        <v>28.298017771701982</v>
      </c>
      <c r="CA75" s="635"/>
      <c r="CB75" s="665">
        <f t="shared" si="129"/>
        <v>31.387478849407785</v>
      </c>
      <c r="CC75" s="635"/>
      <c r="CD75" s="665">
        <f t="shared" si="130"/>
        <v>27.849056603773587</v>
      </c>
      <c r="CE75" s="635"/>
      <c r="CF75" s="665">
        <f t="shared" si="131"/>
        <v>43.519394512771996</v>
      </c>
      <c r="CG75" s="635"/>
      <c r="CH75" s="665">
        <f t="shared" si="132"/>
        <v>24.967907573812582</v>
      </c>
      <c r="CI75" s="635"/>
      <c r="CJ75" s="665">
        <f t="shared" ref="CJ75:CR75" si="195">(CJ17/CJ$22)*100</f>
        <v>24.674434544208363</v>
      </c>
      <c r="CK75" s="635"/>
      <c r="CL75" s="665">
        <f t="shared" si="195"/>
        <v>24.578313253012048</v>
      </c>
      <c r="CM75" s="635"/>
      <c r="CN75" s="665">
        <f t="shared" si="195"/>
        <v>26.791530944625407</v>
      </c>
      <c r="CO75" s="635"/>
      <c r="CP75" s="665">
        <f t="shared" si="195"/>
        <v>20.908071748878925</v>
      </c>
      <c r="CQ75" s="635"/>
      <c r="CR75" s="665">
        <f t="shared" si="195"/>
        <v>24.363867684478372</v>
      </c>
      <c r="CS75" s="635"/>
      <c r="CT75" s="665">
        <f t="shared" ref="CT75" si="196">(CT17/CT$22)*100</f>
        <v>25.324446586154021</v>
      </c>
      <c r="CU75" s="635"/>
      <c r="CV75" s="665">
        <f t="shared" ref="CV75" si="197">(CV17/CV$22)*100</f>
        <v>23.388183712345938</v>
      </c>
      <c r="CW75" s="635"/>
      <c r="CX75" s="665">
        <f t="shared" ref="CX75" si="198">(CX17/CX$22)*100</f>
        <v>22.893795557318654</v>
      </c>
      <c r="CY75" s="635"/>
      <c r="CZ75" s="665">
        <f t="shared" ref="CZ75" si="199">(CZ17/CZ$22)*100</f>
        <v>25.902038064341383</v>
      </c>
      <c r="DA75" s="635"/>
      <c r="DB75" s="665"/>
      <c r="DC75" s="665">
        <f t="shared" si="138"/>
        <v>14.132882882882884</v>
      </c>
      <c r="DD75" s="635"/>
      <c r="DE75" s="665">
        <f t="shared" si="139"/>
        <v>12.057086614173228</v>
      </c>
      <c r="DF75" s="635"/>
      <c r="DG75" s="665">
        <f t="shared" si="140"/>
        <v>12.738011283497883</v>
      </c>
      <c r="DH75" s="635"/>
      <c r="DI75" s="665">
        <f t="shared" si="141"/>
        <v>11.235216819973719</v>
      </c>
      <c r="DJ75" s="635"/>
      <c r="DK75" s="665">
        <f t="shared" si="142"/>
        <v>20.949152542372882</v>
      </c>
      <c r="DL75" s="635"/>
      <c r="DM75" s="665">
        <f t="shared" si="143"/>
        <v>20.917531403604588</v>
      </c>
      <c r="DN75" s="635"/>
      <c r="DO75" s="665">
        <f t="shared" si="144"/>
        <v>27.30839654721423</v>
      </c>
      <c r="DP75" s="635"/>
      <c r="DQ75" s="665">
        <f t="shared" si="145"/>
        <v>30.362462760675275</v>
      </c>
      <c r="DR75" s="635"/>
      <c r="DS75" s="665">
        <f t="shared" si="145"/>
        <v>25.671219971738108</v>
      </c>
      <c r="DT75" s="635"/>
      <c r="DU75" s="665">
        <f t="shared" si="146"/>
        <v>28.224711473183977</v>
      </c>
      <c r="DV75" s="635"/>
      <c r="DW75" s="665">
        <f t="shared" si="146"/>
        <v>25.43732948162414</v>
      </c>
      <c r="DX75" s="635"/>
      <c r="DY75" s="665">
        <f t="shared" si="147"/>
        <v>28.505278755325058</v>
      </c>
      <c r="DZ75" s="635"/>
      <c r="EA75" s="665">
        <f t="shared" si="148"/>
        <v>23.910954516335682</v>
      </c>
      <c r="EB75" s="635"/>
      <c r="EC75" s="665">
        <f t="shared" si="148"/>
        <v>24.337560699661534</v>
      </c>
      <c r="ED75" s="635"/>
      <c r="EE75" s="665">
        <f t="shared" si="149"/>
        <v>24.997968236359121</v>
      </c>
      <c r="EF75" s="635"/>
      <c r="EG75" s="665">
        <f t="shared" si="150"/>
        <v>25.720546733679988</v>
      </c>
      <c r="EH75" s="635"/>
      <c r="EI75" s="665">
        <f t="shared" si="151"/>
        <v>26.435477762245707</v>
      </c>
      <c r="EJ75" s="635"/>
      <c r="EK75" s="665">
        <f t="shared" si="151"/>
        <v>27.212698438262095</v>
      </c>
      <c r="EL75" s="635"/>
      <c r="EM75" s="635">
        <f t="shared" si="152"/>
        <v>-2.3988263282179512</v>
      </c>
    </row>
    <row r="76" spans="1:143" s="632" customFormat="1" ht="12.75" customHeight="1" x14ac:dyDescent="0.2">
      <c r="A76" s="644" t="str">
        <f t="shared" si="153"/>
        <v>Gibraltar Life</v>
      </c>
      <c r="B76" s="665">
        <f t="shared" si="154"/>
        <v>4.994324631101021</v>
      </c>
      <c r="C76" s="635"/>
      <c r="D76" s="665">
        <f t="shared" si="154"/>
        <v>3.5714285714285712</v>
      </c>
      <c r="E76" s="635"/>
      <c r="F76" s="665">
        <f t="shared" si="94"/>
        <v>2.6793431287813312</v>
      </c>
      <c r="G76" s="635"/>
      <c r="H76" s="665">
        <f t="shared" si="95"/>
        <v>3.1657355679702048</v>
      </c>
      <c r="I76" s="635"/>
      <c r="J76" s="665">
        <f t="shared" si="96"/>
        <v>5.6486880466472309</v>
      </c>
      <c r="K76" s="635"/>
      <c r="L76" s="665">
        <f t="shared" si="97"/>
        <v>3.8358608385370205</v>
      </c>
      <c r="M76" s="635"/>
      <c r="N76" s="665">
        <f t="shared" si="98"/>
        <v>8.8030888030888033</v>
      </c>
      <c r="O76" s="635"/>
      <c r="P76" s="665">
        <f t="shared" si="99"/>
        <v>3.90625</v>
      </c>
      <c r="Q76" s="635"/>
      <c r="R76" s="665">
        <f t="shared" si="100"/>
        <v>0.76670317634173057</v>
      </c>
      <c r="S76" s="635"/>
      <c r="T76" s="665">
        <f t="shared" si="101"/>
        <v>1.1669658886894074</v>
      </c>
      <c r="U76" s="635"/>
      <c r="V76" s="665">
        <f t="shared" si="102"/>
        <v>4.4701986754966887</v>
      </c>
      <c r="W76" s="635"/>
      <c r="X76" s="665">
        <f t="shared" si="103"/>
        <v>34.4331641285956</v>
      </c>
      <c r="Y76" s="635"/>
      <c r="Z76" s="665">
        <f t="shared" si="104"/>
        <v>0</v>
      </c>
      <c r="AA76" s="635"/>
      <c r="AB76" s="665">
        <f t="shared" si="105"/>
        <v>0</v>
      </c>
      <c r="AC76" s="635"/>
      <c r="AD76" s="665">
        <f t="shared" si="106"/>
        <v>0</v>
      </c>
      <c r="AE76" s="635"/>
      <c r="AF76" s="665">
        <f t="shared" si="107"/>
        <v>0</v>
      </c>
      <c r="AG76" s="635"/>
      <c r="AH76" s="665">
        <f t="shared" si="108"/>
        <v>0</v>
      </c>
      <c r="AI76" s="635"/>
      <c r="AJ76" s="665">
        <f t="shared" si="109"/>
        <v>0</v>
      </c>
      <c r="AK76" s="635"/>
      <c r="AL76" s="665">
        <f t="shared" si="110"/>
        <v>0</v>
      </c>
      <c r="AM76" s="635"/>
      <c r="AN76" s="665">
        <f t="shared" si="111"/>
        <v>0</v>
      </c>
      <c r="AO76" s="635"/>
      <c r="AP76" s="665">
        <f t="shared" si="112"/>
        <v>0</v>
      </c>
      <c r="AQ76" s="635"/>
      <c r="AR76" s="665">
        <f t="shared" si="113"/>
        <v>0</v>
      </c>
      <c r="AS76" s="635"/>
      <c r="AT76" s="665">
        <f t="shared" si="114"/>
        <v>0</v>
      </c>
      <c r="AU76" s="635"/>
      <c r="AV76" s="665">
        <f t="shared" si="115"/>
        <v>0</v>
      </c>
      <c r="AW76" s="635"/>
      <c r="AX76" s="665">
        <f t="shared" si="116"/>
        <v>0</v>
      </c>
      <c r="AY76" s="635"/>
      <c r="AZ76" s="665">
        <f t="shared" si="117"/>
        <v>0</v>
      </c>
      <c r="BA76" s="635"/>
      <c r="BB76" s="665">
        <f t="shared" si="118"/>
        <v>0</v>
      </c>
      <c r="BC76" s="635"/>
      <c r="BD76" s="665">
        <f t="shared" si="119"/>
        <v>0</v>
      </c>
      <c r="BE76" s="635"/>
      <c r="BF76" s="665">
        <f t="shared" si="119"/>
        <v>0</v>
      </c>
      <c r="BG76" s="635"/>
      <c r="BH76" s="665">
        <f t="shared" si="120"/>
        <v>0</v>
      </c>
      <c r="BI76" s="635"/>
      <c r="BJ76" s="665">
        <f t="shared" si="121"/>
        <v>0</v>
      </c>
      <c r="BK76" s="635"/>
      <c r="BL76" s="665">
        <f t="shared" si="122"/>
        <v>0</v>
      </c>
      <c r="BM76" s="635"/>
      <c r="BN76" s="665">
        <f t="shared" si="123"/>
        <v>0</v>
      </c>
      <c r="BO76" s="635"/>
      <c r="BP76" s="665">
        <f t="shared" si="124"/>
        <v>0</v>
      </c>
      <c r="BQ76" s="635"/>
      <c r="BR76" s="665">
        <f t="shared" si="125"/>
        <v>0</v>
      </c>
      <c r="BS76" s="635"/>
      <c r="BT76" s="665">
        <f t="shared" si="126"/>
        <v>0</v>
      </c>
      <c r="BU76" s="635"/>
      <c r="BV76" s="665">
        <f t="shared" si="126"/>
        <v>0</v>
      </c>
      <c r="BW76" s="635"/>
      <c r="BX76" s="665">
        <f t="shared" si="127"/>
        <v>0</v>
      </c>
      <c r="BY76" s="635"/>
      <c r="BZ76" s="665">
        <f t="shared" si="128"/>
        <v>0</v>
      </c>
      <c r="CA76" s="635"/>
      <c r="CB76" s="665">
        <f t="shared" si="129"/>
        <v>0</v>
      </c>
      <c r="CC76" s="635"/>
      <c r="CD76" s="665">
        <f t="shared" si="130"/>
        <v>0</v>
      </c>
      <c r="CE76" s="635"/>
      <c r="CF76" s="665">
        <f t="shared" si="131"/>
        <v>0</v>
      </c>
      <c r="CG76" s="635"/>
      <c r="CH76" s="665">
        <f t="shared" si="132"/>
        <v>0</v>
      </c>
      <c r="CI76" s="635"/>
      <c r="CJ76" s="665">
        <f t="shared" ref="CJ76:CR76" si="200">(CJ18/CJ$22)*100</f>
        <v>0</v>
      </c>
      <c r="CK76" s="635"/>
      <c r="CL76" s="665">
        <f t="shared" si="200"/>
        <v>23.554216867469879</v>
      </c>
      <c r="CM76" s="635"/>
      <c r="CN76" s="665">
        <f t="shared" si="200"/>
        <v>40.22801302931596</v>
      </c>
      <c r="CO76" s="635"/>
      <c r="CP76" s="665">
        <f t="shared" si="200"/>
        <v>23.878923766816143</v>
      </c>
      <c r="CQ76" s="635"/>
      <c r="CR76" s="665">
        <f t="shared" si="200"/>
        <v>25.063613231552161</v>
      </c>
      <c r="CS76" s="635"/>
      <c r="CT76" s="665">
        <f t="shared" ref="CT76" si="201">(CT18/CT$22)*100</f>
        <v>24.397389217184628</v>
      </c>
      <c r="CU76" s="635"/>
      <c r="CV76" s="665">
        <f t="shared" ref="CV76" si="202">(CV18/CV$22)*100</f>
        <v>25.543320542346322</v>
      </c>
      <c r="CW76" s="635"/>
      <c r="CX76" s="665">
        <f t="shared" ref="CX76" si="203">(CX18/CX$22)*100</f>
        <v>24.845204058935991</v>
      </c>
      <c r="CY76" s="635"/>
      <c r="CZ76" s="665">
        <f t="shared" ref="CZ76" si="204">(CZ18/CZ$22)*100</f>
        <v>26.158763903311943</v>
      </c>
      <c r="DA76" s="635"/>
      <c r="DB76" s="665"/>
      <c r="DC76" s="665">
        <f t="shared" si="138"/>
        <v>2.9842342342342345</v>
      </c>
      <c r="DD76" s="635"/>
      <c r="DE76" s="665">
        <f t="shared" si="139"/>
        <v>3.518700787401575</v>
      </c>
      <c r="DF76" s="635"/>
      <c r="DG76" s="665">
        <f t="shared" si="140"/>
        <v>5.7078631875881518</v>
      </c>
      <c r="DH76" s="635"/>
      <c r="DI76" s="665">
        <f t="shared" si="141"/>
        <v>0</v>
      </c>
      <c r="DJ76" s="635"/>
      <c r="DK76" s="665">
        <f t="shared" si="142"/>
        <v>0</v>
      </c>
      <c r="DL76" s="635"/>
      <c r="DM76" s="665">
        <f t="shared" si="143"/>
        <v>0</v>
      </c>
      <c r="DN76" s="635"/>
      <c r="DO76" s="665">
        <f t="shared" si="144"/>
        <v>0</v>
      </c>
      <c r="DP76" s="635"/>
      <c r="DQ76" s="665">
        <f t="shared" si="145"/>
        <v>0</v>
      </c>
      <c r="DR76" s="635"/>
      <c r="DS76" s="665">
        <f t="shared" si="145"/>
        <v>0</v>
      </c>
      <c r="DT76" s="635"/>
      <c r="DU76" s="665">
        <f t="shared" si="146"/>
        <v>0</v>
      </c>
      <c r="DV76" s="635"/>
      <c r="DW76" s="665">
        <f t="shared" si="146"/>
        <v>26.336061627347135</v>
      </c>
      <c r="DX76" s="635"/>
      <c r="DY76" s="665">
        <f t="shared" si="147"/>
        <v>29.227634747175401</v>
      </c>
      <c r="DZ76" s="635"/>
      <c r="EA76" s="665">
        <f t="shared" si="148"/>
        <v>27.306213965406791</v>
      </c>
      <c r="EB76" s="635"/>
      <c r="EC76" s="665">
        <f t="shared" si="148"/>
        <v>25.21274771090755</v>
      </c>
      <c r="ED76" s="635"/>
      <c r="EE76" s="665">
        <f t="shared" si="149"/>
        <v>25.114277414350937</v>
      </c>
      <c r="EF76" s="635"/>
      <c r="EG76" s="665">
        <f t="shared" si="150"/>
        <v>24.894781644843096</v>
      </c>
      <c r="EH76" s="635"/>
      <c r="EI76" s="665">
        <f t="shared" si="151"/>
        <v>24.649494067079509</v>
      </c>
      <c r="EJ76" s="635"/>
      <c r="EK76" s="665">
        <f t="shared" si="151"/>
        <v>24.443647096570324</v>
      </c>
      <c r="EL76" s="635"/>
      <c r="EM76" s="635" t="str">
        <f t="shared" si="152"/>
        <v>NA</v>
      </c>
    </row>
    <row r="77" spans="1:143" s="632" customFormat="1" ht="12.75" customHeight="1" x14ac:dyDescent="0.2">
      <c r="A77" s="652" t="str">
        <f t="shared" si="153"/>
        <v>International Division</v>
      </c>
      <c r="B77" s="665">
        <f t="shared" si="154"/>
        <v>43.473325766174803</v>
      </c>
      <c r="C77" s="635"/>
      <c r="D77" s="665">
        <f t="shared" si="154"/>
        <v>38.235294117647058</v>
      </c>
      <c r="E77" s="635"/>
      <c r="F77" s="665">
        <f t="shared" si="94"/>
        <v>36.819360414866033</v>
      </c>
      <c r="G77" s="635"/>
      <c r="H77" s="665">
        <f t="shared" si="95"/>
        <v>36.964618249534453</v>
      </c>
      <c r="I77" s="635"/>
      <c r="J77" s="665">
        <f t="shared" si="96"/>
        <v>43.185131195335281</v>
      </c>
      <c r="K77" s="635"/>
      <c r="L77" s="665">
        <f t="shared" si="97"/>
        <v>40.410347903657453</v>
      </c>
      <c r="M77" s="635"/>
      <c r="N77" s="665">
        <f t="shared" si="98"/>
        <v>41.467181467181469</v>
      </c>
      <c r="O77" s="635"/>
      <c r="P77" s="665">
        <f t="shared" si="99"/>
        <v>38.37890625</v>
      </c>
      <c r="Q77" s="635"/>
      <c r="R77" s="665">
        <f t="shared" si="100"/>
        <v>46.002190580503836</v>
      </c>
      <c r="S77" s="635"/>
      <c r="T77" s="665">
        <f t="shared" si="101"/>
        <v>41.831238779174143</v>
      </c>
      <c r="U77" s="635"/>
      <c r="V77" s="665">
        <f t="shared" si="102"/>
        <v>80.629139072847678</v>
      </c>
      <c r="W77" s="635"/>
      <c r="X77" s="665">
        <f t="shared" si="103"/>
        <v>-1.1844331641285957</v>
      </c>
      <c r="Y77" s="635"/>
      <c r="Z77" s="665">
        <f t="shared" si="104"/>
        <v>175.51020408163265</v>
      </c>
      <c r="AA77" s="635"/>
      <c r="AB77" s="665">
        <f t="shared" si="105"/>
        <v>40.531276778063415</v>
      </c>
      <c r="AC77" s="635"/>
      <c r="AD77" s="665">
        <f t="shared" si="106"/>
        <v>47.560975609756099</v>
      </c>
      <c r="AE77" s="635"/>
      <c r="AF77" s="665">
        <f t="shared" si="107"/>
        <v>59.869281045751634</v>
      </c>
      <c r="AG77" s="635"/>
      <c r="AH77" s="665">
        <f t="shared" si="108"/>
        <v>53.037383177570099</v>
      </c>
      <c r="AI77" s="635"/>
      <c r="AJ77" s="665">
        <f t="shared" si="109"/>
        <v>87.34693877551021</v>
      </c>
      <c r="AK77" s="635"/>
      <c r="AL77" s="665">
        <f t="shared" si="110"/>
        <v>40.178571428571431</v>
      </c>
      <c r="AM77" s="635"/>
      <c r="AN77" s="665">
        <f t="shared" si="111"/>
        <v>49.630996309963102</v>
      </c>
      <c r="AO77" s="635"/>
      <c r="AP77" s="665">
        <f t="shared" si="112"/>
        <v>57.299270072992705</v>
      </c>
      <c r="AQ77" s="635"/>
      <c r="AR77" s="665">
        <f t="shared" si="113"/>
        <v>47.528517110266158</v>
      </c>
      <c r="AS77" s="635"/>
      <c r="AT77" s="665">
        <f t="shared" si="114"/>
        <v>129.66601178781926</v>
      </c>
      <c r="AU77" s="635"/>
      <c r="AV77" s="665">
        <f t="shared" si="115"/>
        <v>43.053173241852491</v>
      </c>
      <c r="AW77" s="635"/>
      <c r="AX77" s="665">
        <f t="shared" si="116"/>
        <v>55.951265229615743</v>
      </c>
      <c r="AY77" s="635"/>
      <c r="AZ77" s="665">
        <f t="shared" si="117"/>
        <v>79.205607476635507</v>
      </c>
      <c r="BA77" s="635"/>
      <c r="BB77" s="665">
        <f t="shared" si="118"/>
        <v>75.996112730806615</v>
      </c>
      <c r="BC77" s="635"/>
      <c r="BD77" s="665">
        <f t="shared" si="119"/>
        <v>60.130111524163567</v>
      </c>
      <c r="BE77" s="635"/>
      <c r="BF77" s="665">
        <f t="shared" si="119"/>
        <v>59.33694181326117</v>
      </c>
      <c r="BG77" s="635"/>
      <c r="BH77" s="665">
        <f t="shared" si="120"/>
        <v>56.031641397495058</v>
      </c>
      <c r="BI77" s="635"/>
      <c r="BJ77" s="665">
        <f t="shared" si="121"/>
        <v>40.669106116048091</v>
      </c>
      <c r="BK77" s="635"/>
      <c r="BL77" s="665">
        <f t="shared" si="122"/>
        <v>44.284736481861735</v>
      </c>
      <c r="BM77" s="635"/>
      <c r="BN77" s="665">
        <f t="shared" si="123"/>
        <v>53.278166772756208</v>
      </c>
      <c r="BO77" s="635"/>
      <c r="BP77" s="665">
        <f t="shared" si="124"/>
        <v>54.467036352433759</v>
      </c>
      <c r="BQ77" s="635"/>
      <c r="BR77" s="665">
        <f t="shared" si="125"/>
        <v>62.45380635624538</v>
      </c>
      <c r="BS77" s="635"/>
      <c r="BT77" s="665">
        <f t="shared" si="126"/>
        <v>51.003717472118957</v>
      </c>
      <c r="BU77" s="635"/>
      <c r="BV77" s="665">
        <f t="shared" si="126"/>
        <v>47.793696275071632</v>
      </c>
      <c r="BW77" s="635"/>
      <c r="BX77" s="665">
        <f t="shared" si="127"/>
        <v>45.736013036393267</v>
      </c>
      <c r="BY77" s="635"/>
      <c r="BZ77" s="665">
        <f t="shared" si="128"/>
        <v>55.502392344497608</v>
      </c>
      <c r="CA77" s="635"/>
      <c r="CB77" s="665">
        <f t="shared" si="129"/>
        <v>62.43654822335025</v>
      </c>
      <c r="CC77" s="635"/>
      <c r="CD77" s="665">
        <f t="shared" si="130"/>
        <v>58.79245283018868</v>
      </c>
      <c r="CE77" s="635"/>
      <c r="CF77" s="665">
        <f t="shared" si="131"/>
        <v>75.969725638599812</v>
      </c>
      <c r="CG77" s="635"/>
      <c r="CH77" s="665">
        <f t="shared" si="132"/>
        <v>50.064184852374837</v>
      </c>
      <c r="CI77" s="635"/>
      <c r="CJ77" s="665">
        <f t="shared" ref="CJ77:CR77" si="205">(CJ19/CJ$22)*100</f>
        <v>51.747772446881427</v>
      </c>
      <c r="CK77" s="635"/>
      <c r="CL77" s="665">
        <f t="shared" si="205"/>
        <v>48.132530120481924</v>
      </c>
      <c r="CM77" s="635"/>
      <c r="CN77" s="665">
        <f t="shared" si="205"/>
        <v>67.019543973941367</v>
      </c>
      <c r="CO77" s="635"/>
      <c r="CP77" s="665">
        <f t="shared" si="205"/>
        <v>44.786995515695068</v>
      </c>
      <c r="CQ77" s="635"/>
      <c r="CR77" s="665">
        <f t="shared" si="205"/>
        <v>49.42748091603054</v>
      </c>
      <c r="CS77" s="635"/>
      <c r="CT77" s="665">
        <f t="shared" ref="CT77" si="206">(CT19/CT$22)*100</f>
        <v>49.721835803338649</v>
      </c>
      <c r="CU77" s="635"/>
      <c r="CV77" s="665">
        <f t="shared" ref="CV77" si="207">(CV19/CV$22)*100</f>
        <v>48.931504254692257</v>
      </c>
      <c r="CW77" s="635"/>
      <c r="CX77" s="665">
        <f t="shared" ref="CX77" si="208">(CX19/CX$22)*100</f>
        <v>47.738999616254645</v>
      </c>
      <c r="CY77" s="635"/>
      <c r="CZ77" s="665">
        <f t="shared" ref="CZ77" si="209">(CZ19/CZ$22)*100</f>
        <v>52.060801967653326</v>
      </c>
      <c r="DA77" s="635"/>
      <c r="DB77" s="676"/>
      <c r="DC77" s="665">
        <f t="shared" si="138"/>
        <v>39.864864864864863</v>
      </c>
      <c r="DD77" s="635"/>
      <c r="DE77" s="665">
        <f t="shared" si="139"/>
        <v>38.631889763779526</v>
      </c>
      <c r="DF77" s="635"/>
      <c r="DG77" s="665">
        <f t="shared" si="140"/>
        <v>40.924717912552886</v>
      </c>
      <c r="DH77" s="635"/>
      <c r="DI77" s="665">
        <f t="shared" si="141"/>
        <v>76.806833114323254</v>
      </c>
      <c r="DJ77" s="635"/>
      <c r="DK77" s="665">
        <f t="shared" si="142"/>
        <v>56.847457627118644</v>
      </c>
      <c r="DL77" s="635"/>
      <c r="DM77" s="665">
        <f t="shared" si="143"/>
        <v>52.293828509011462</v>
      </c>
      <c r="DN77" s="635"/>
      <c r="DO77" s="665">
        <f t="shared" si="144"/>
        <v>59.900601621763016</v>
      </c>
      <c r="DP77" s="635"/>
      <c r="DQ77" s="665">
        <f t="shared" si="145"/>
        <v>67.130089374379338</v>
      </c>
      <c r="DR77" s="635"/>
      <c r="DS77" s="665">
        <f t="shared" si="145"/>
        <v>49.489715810959332</v>
      </c>
      <c r="DT77" s="635"/>
      <c r="DU77" s="665">
        <f t="shared" si="146"/>
        <v>55.193482688391036</v>
      </c>
      <c r="DV77" s="635"/>
      <c r="DW77" s="665">
        <f t="shared" si="146"/>
        <v>51.773391108971268</v>
      </c>
      <c r="DX77" s="635"/>
      <c r="DY77" s="665">
        <f t="shared" si="147"/>
        <v>57.732913502500459</v>
      </c>
      <c r="DZ77" s="635"/>
      <c r="EA77" s="665">
        <f t="shared" si="148"/>
        <v>51.217168481742469</v>
      </c>
      <c r="EB77" s="635"/>
      <c r="EC77" s="665">
        <f t="shared" si="148"/>
        <v>49.550308410569087</v>
      </c>
      <c r="ED77" s="635"/>
      <c r="EE77" s="665">
        <f t="shared" si="149"/>
        <v>50.112245650710065</v>
      </c>
      <c r="EF77" s="635"/>
      <c r="EG77" s="665">
        <f t="shared" si="150"/>
        <v>50.615328378523081</v>
      </c>
      <c r="EH77" s="635"/>
      <c r="EI77" s="665">
        <f t="shared" si="151"/>
        <v>51.084971829325212</v>
      </c>
      <c r="EJ77" s="635"/>
      <c r="EK77" s="665">
        <f t="shared" si="151"/>
        <v>51.656345534832418</v>
      </c>
      <c r="EL77" s="635"/>
      <c r="EM77" s="635">
        <f t="shared" si="152"/>
        <v>-1.9130538791431229</v>
      </c>
    </row>
    <row r="78" spans="1:143" s="632" customFormat="1" ht="12.75" customHeight="1" x14ac:dyDescent="0.2">
      <c r="A78" s="644" t="str">
        <f t="shared" si="153"/>
        <v>Corporate and Other</v>
      </c>
      <c r="B78" s="665">
        <f t="shared" si="154"/>
        <v>1.8161180476730987</v>
      </c>
      <c r="C78" s="635"/>
      <c r="D78" s="665">
        <f t="shared" si="154"/>
        <v>4.2016806722689077</v>
      </c>
      <c r="E78" s="635"/>
      <c r="F78" s="665">
        <f t="shared" si="94"/>
        <v>0.34572169403630076</v>
      </c>
      <c r="G78" s="635"/>
      <c r="H78" s="665">
        <f t="shared" si="95"/>
        <v>-1.2104283054003724</v>
      </c>
      <c r="I78" s="635"/>
      <c r="J78" s="665">
        <f t="shared" si="96"/>
        <v>-1.5852769679300298</v>
      </c>
      <c r="K78" s="635"/>
      <c r="L78" s="665">
        <f t="shared" si="97"/>
        <v>-2.408563782337199</v>
      </c>
      <c r="M78" s="635"/>
      <c r="N78" s="665">
        <f t="shared" si="98"/>
        <v>-1.8532818532818531</v>
      </c>
      <c r="O78" s="635"/>
      <c r="P78" s="665">
        <f t="shared" si="99"/>
        <v>-6.25</v>
      </c>
      <c r="Q78" s="635"/>
      <c r="R78" s="665">
        <f t="shared" si="100"/>
        <v>-5.5859802847754656</v>
      </c>
      <c r="S78" s="635"/>
      <c r="T78" s="665">
        <f t="shared" si="101"/>
        <v>-1.7953321364452424</v>
      </c>
      <c r="U78" s="635"/>
      <c r="V78" s="665">
        <f t="shared" si="102"/>
        <v>-6.6225165562913908</v>
      </c>
      <c r="W78" s="635"/>
      <c r="X78" s="665">
        <f t="shared" si="103"/>
        <v>25.296108291032148</v>
      </c>
      <c r="Y78" s="635"/>
      <c r="Z78" s="665">
        <f t="shared" si="104"/>
        <v>-86.938775510204081</v>
      </c>
      <c r="AA78" s="635"/>
      <c r="AB78" s="665">
        <f t="shared" si="105"/>
        <v>-15.081405312767782</v>
      </c>
      <c r="AC78" s="635"/>
      <c r="AD78" s="665">
        <f t="shared" si="106"/>
        <v>-19.606003752345217</v>
      </c>
      <c r="AE78" s="635"/>
      <c r="AF78" s="665">
        <f t="shared" si="107"/>
        <v>-29.542483660130721</v>
      </c>
      <c r="AG78" s="635"/>
      <c r="AH78" s="665">
        <f t="shared" si="108"/>
        <v>-24.649532710280376</v>
      </c>
      <c r="AI78" s="635"/>
      <c r="AJ78" s="665">
        <f t="shared" si="109"/>
        <v>-38.979591836734699</v>
      </c>
      <c r="AK78" s="635"/>
      <c r="AL78" s="665">
        <f t="shared" si="110"/>
        <v>-24.188311688311689</v>
      </c>
      <c r="AM78" s="635"/>
      <c r="AN78" s="665">
        <f t="shared" si="111"/>
        <v>-22.970479704797047</v>
      </c>
      <c r="AO78" s="635"/>
      <c r="AP78" s="665">
        <f t="shared" si="112"/>
        <v>-24.543795620437955</v>
      </c>
      <c r="AQ78" s="635"/>
      <c r="AR78" s="665">
        <f t="shared" si="113"/>
        <v>-22.528517110266161</v>
      </c>
      <c r="AS78" s="635"/>
      <c r="AT78" s="665">
        <f t="shared" si="114"/>
        <v>-68.56581532416503</v>
      </c>
      <c r="AU78" s="635"/>
      <c r="AV78" s="665">
        <f t="shared" si="115"/>
        <v>-24.442538593481991</v>
      </c>
      <c r="AW78" s="635"/>
      <c r="AX78" s="665">
        <f t="shared" si="116"/>
        <v>-30.552952202436739</v>
      </c>
      <c r="AY78" s="635"/>
      <c r="AZ78" s="665">
        <f t="shared" si="117"/>
        <v>-26.285046728971963</v>
      </c>
      <c r="BA78" s="635"/>
      <c r="BB78" s="665">
        <f t="shared" si="118"/>
        <v>-40.233236151603499</v>
      </c>
      <c r="BC78" s="635"/>
      <c r="BD78" s="665">
        <f t="shared" si="119"/>
        <v>-34.572490706319705</v>
      </c>
      <c r="BE78" s="635"/>
      <c r="BF78" s="665">
        <f t="shared" si="119"/>
        <v>-21.24492557510149</v>
      </c>
      <c r="BG78" s="635"/>
      <c r="BH78" s="665">
        <f t="shared" si="120"/>
        <v>-22.874093605800923</v>
      </c>
      <c r="BI78" s="635"/>
      <c r="BJ78" s="665">
        <f t="shared" si="121"/>
        <v>-16.309461578672245</v>
      </c>
      <c r="BK78" s="635"/>
      <c r="BL78" s="665">
        <f t="shared" si="122"/>
        <v>-27.173169062286107</v>
      </c>
      <c r="BM78" s="635"/>
      <c r="BN78" s="665">
        <f t="shared" si="123"/>
        <v>-21.769573520050923</v>
      </c>
      <c r="BO78" s="635"/>
      <c r="BP78" s="665">
        <f t="shared" si="124"/>
        <v>-21.010474430067777</v>
      </c>
      <c r="BQ78" s="635"/>
      <c r="BR78" s="665">
        <f t="shared" si="125"/>
        <v>-25.055432372505543</v>
      </c>
      <c r="BS78" s="635"/>
      <c r="BT78" s="665">
        <f t="shared" si="126"/>
        <v>-24.237918215613384</v>
      </c>
      <c r="BU78" s="635"/>
      <c r="BV78" s="665">
        <f t="shared" si="126"/>
        <v>-14.498567335243553</v>
      </c>
      <c r="BW78" s="635"/>
      <c r="BX78" s="665">
        <f t="shared" si="127"/>
        <v>-15.96958174904943</v>
      </c>
      <c r="BY78" s="635"/>
      <c r="BZ78" s="665">
        <f t="shared" si="128"/>
        <v>-21.052631578947366</v>
      </c>
      <c r="CA78" s="635"/>
      <c r="CB78" s="665">
        <f t="shared" si="129"/>
        <v>-38.747884940778341</v>
      </c>
      <c r="CC78" s="635"/>
      <c r="CD78" s="665">
        <f t="shared" si="130"/>
        <v>-23.547169811320753</v>
      </c>
      <c r="CE78" s="635"/>
      <c r="CF78" s="665">
        <f t="shared" si="131"/>
        <v>-39.262062440870388</v>
      </c>
      <c r="CG78" s="635"/>
      <c r="CH78" s="665">
        <f t="shared" si="132"/>
        <v>-26.508344030808729</v>
      </c>
      <c r="CI78" s="635"/>
      <c r="CJ78" s="665">
        <f t="shared" ref="CJ78:CR78" si="210">(CJ20/CJ$22)*100</f>
        <v>-30.226182316655244</v>
      </c>
      <c r="CK78" s="635"/>
      <c r="CL78" s="665">
        <f t="shared" si="210"/>
        <v>-21.204819277108435</v>
      </c>
      <c r="CM78" s="635"/>
      <c r="CN78" s="665">
        <f t="shared" si="210"/>
        <v>-25.407166123778502</v>
      </c>
      <c r="CO78" s="635"/>
      <c r="CP78" s="665">
        <f t="shared" si="210"/>
        <v>-17.376681614349778</v>
      </c>
      <c r="CQ78" s="635"/>
      <c r="CR78" s="665">
        <f t="shared" si="210"/>
        <v>-29.452926208651398</v>
      </c>
      <c r="CS78" s="635"/>
      <c r="CT78" s="665">
        <f t="shared" ref="CT78" si="211">(CT20/CT$22)*100</f>
        <v>-20.991975575883291</v>
      </c>
      <c r="CU78" s="635"/>
      <c r="CV78" s="665">
        <f t="shared" ref="CV78" si="212">(CV20/CV$22)*100</f>
        <v>-19.718080291119513</v>
      </c>
      <c r="CW78" s="635"/>
      <c r="CX78" s="665">
        <f t="shared" ref="CX78" si="213">(CX20/CX$22)*100</f>
        <v>-18.769179988887224</v>
      </c>
      <c r="CY78" s="635"/>
      <c r="CZ78" s="665">
        <f t="shared" ref="CZ78" si="214">(CZ20/CZ$22)*100</f>
        <v>-27.959469958921364</v>
      </c>
      <c r="DA78" s="635"/>
      <c r="DB78" s="665"/>
      <c r="DC78" s="665">
        <f t="shared" si="138"/>
        <v>5.6869369369369371</v>
      </c>
      <c r="DD78" s="635"/>
      <c r="DE78" s="665">
        <f t="shared" si="139"/>
        <v>1.1564960629921259</v>
      </c>
      <c r="DF78" s="635"/>
      <c r="DG78" s="665">
        <f t="shared" si="140"/>
        <v>-2.9178420310296183</v>
      </c>
      <c r="DH78" s="635"/>
      <c r="DI78" s="665">
        <f t="shared" si="141"/>
        <v>-16.951379763469117</v>
      </c>
      <c r="DJ78" s="635"/>
      <c r="DK78" s="665">
        <f t="shared" si="142"/>
        <v>-26.711864406779661</v>
      </c>
      <c r="DL78" s="635"/>
      <c r="DM78" s="665">
        <f t="shared" si="143"/>
        <v>-25.914800655379572</v>
      </c>
      <c r="DN78" s="635"/>
      <c r="DO78" s="665">
        <f t="shared" si="144"/>
        <v>-29.819513471095998</v>
      </c>
      <c r="DP78" s="635"/>
      <c r="DQ78" s="665">
        <f t="shared" si="145"/>
        <v>-33.192651439920553</v>
      </c>
      <c r="DR78" s="635"/>
      <c r="DS78" s="665">
        <f t="shared" si="145"/>
        <v>-21.510441199560372</v>
      </c>
      <c r="DT78" s="635"/>
      <c r="DU78" s="665">
        <f t="shared" si="146"/>
        <v>-22.878479293957909</v>
      </c>
      <c r="DV78" s="635"/>
      <c r="DW78" s="665">
        <f t="shared" si="146"/>
        <v>-21.072059059541004</v>
      </c>
      <c r="DX78" s="635"/>
      <c r="DY78" s="665">
        <f t="shared" si="147"/>
        <v>-29.28320059270235</v>
      </c>
      <c r="DZ78" s="635"/>
      <c r="EA78" s="665">
        <f t="shared" si="148"/>
        <v>-23.014093529788596</v>
      </c>
      <c r="EB78" s="635"/>
      <c r="EC78" s="665">
        <f t="shared" si="148"/>
        <v>-21.699732857617963</v>
      </c>
      <c r="ED78" s="635"/>
      <c r="EE78" s="665">
        <f t="shared" si="149"/>
        <v>-22.18956075950965</v>
      </c>
      <c r="EF78" s="635"/>
      <c r="EG78" s="665">
        <f t="shared" si="150"/>
        <v>-22.620308753493802</v>
      </c>
      <c r="EH78" s="635"/>
      <c r="EI78" s="665">
        <f t="shared" si="151"/>
        <v>-23.035167879338577</v>
      </c>
      <c r="EJ78" s="635"/>
      <c r="EK78" s="665">
        <f t="shared" si="151"/>
        <v>-23.51773472407633</v>
      </c>
      <c r="EL78" s="635"/>
      <c r="EM78" s="635">
        <f t="shared" si="152"/>
        <v>-0.60962932653955137</v>
      </c>
    </row>
    <row r="79" spans="1:143" s="632" customFormat="1" ht="12.75" customHeight="1" x14ac:dyDescent="0.2">
      <c r="A79" s="677" t="str">
        <f>INPUT!B607</f>
        <v xml:space="preserve">Total </v>
      </c>
      <c r="B79" s="665">
        <f>(B22/B$22)*100</f>
        <v>100</v>
      </c>
      <c r="C79" s="635"/>
      <c r="D79" s="665">
        <f>(D22/D$22)*100</f>
        <v>100</v>
      </c>
      <c r="E79" s="635"/>
      <c r="F79" s="665">
        <f>(F22/F$22)*100</f>
        <v>100</v>
      </c>
      <c r="G79" s="635"/>
      <c r="H79" s="665">
        <f>(H22/H$22)*100</f>
        <v>100</v>
      </c>
      <c r="I79" s="635"/>
      <c r="J79" s="665">
        <f>(J22/J$22)*100</f>
        <v>100</v>
      </c>
      <c r="K79" s="635"/>
      <c r="L79" s="665">
        <f>(L22/L$22)*100</f>
        <v>100</v>
      </c>
      <c r="M79" s="635"/>
      <c r="N79" s="665">
        <f>(N22/N$22)*100</f>
        <v>100</v>
      </c>
      <c r="O79" s="635"/>
      <c r="P79" s="665">
        <f>(P22/P$22)*100</f>
        <v>100</v>
      </c>
      <c r="Q79" s="635"/>
      <c r="R79" s="665">
        <f>(R22/R$22)*100</f>
        <v>100</v>
      </c>
      <c r="S79" s="635"/>
      <c r="T79" s="665">
        <f>(T22/T$22)*100</f>
        <v>100</v>
      </c>
      <c r="U79" s="635"/>
      <c r="V79" s="665">
        <f>(V22/V$22)*100</f>
        <v>100</v>
      </c>
      <c r="W79" s="635"/>
      <c r="X79" s="665">
        <f>(X22/X$22)*100</f>
        <v>100</v>
      </c>
      <c r="Y79" s="635"/>
      <c r="Z79" s="665">
        <f>(Z22/Z$22)*100</f>
        <v>100</v>
      </c>
      <c r="AA79" s="635"/>
      <c r="AB79" s="665">
        <f>(AB22/AB$22)*100</f>
        <v>100</v>
      </c>
      <c r="AC79" s="635"/>
      <c r="AD79" s="665">
        <f>(AD22/AD$22)*100</f>
        <v>100</v>
      </c>
      <c r="AE79" s="635"/>
      <c r="AF79" s="665">
        <f>(AF22/AF$22)*100</f>
        <v>100</v>
      </c>
      <c r="AG79" s="635"/>
      <c r="AH79" s="665">
        <f>(AH22/AH$22)*100</f>
        <v>100</v>
      </c>
      <c r="AI79" s="635"/>
      <c r="AJ79" s="665">
        <f>(AJ22/AJ$22)*100</f>
        <v>100</v>
      </c>
      <c r="AK79" s="635"/>
      <c r="AL79" s="665">
        <f>(AL22/AL$22)*100</f>
        <v>100</v>
      </c>
      <c r="AM79" s="635"/>
      <c r="AN79" s="665">
        <f>(AN22/AN$22)*100</f>
        <v>100</v>
      </c>
      <c r="AO79" s="635"/>
      <c r="AP79" s="665">
        <f>(AP22/AP$22)*100</f>
        <v>100</v>
      </c>
      <c r="AQ79" s="635"/>
      <c r="AR79" s="665">
        <f>(AR22/AR$22)*100</f>
        <v>100</v>
      </c>
      <c r="AS79" s="635"/>
      <c r="AT79" s="665">
        <f>(AT22/AT$22)*100</f>
        <v>100</v>
      </c>
      <c r="AU79" s="635"/>
      <c r="AV79" s="665">
        <f>(AV22/AV$22)*100</f>
        <v>100</v>
      </c>
      <c r="AW79" s="635"/>
      <c r="AX79" s="665">
        <f>(AX22/AX$22)*100</f>
        <v>100</v>
      </c>
      <c r="AY79" s="635"/>
      <c r="AZ79" s="665">
        <f>(AZ22/AZ$22)*100</f>
        <v>100</v>
      </c>
      <c r="BA79" s="635"/>
      <c r="BB79" s="665">
        <f>(BB22/BB$22)*100</f>
        <v>100</v>
      </c>
      <c r="BC79" s="635"/>
      <c r="BD79" s="665">
        <f>(BD22/BD$22)*100</f>
        <v>100</v>
      </c>
      <c r="BE79" s="635"/>
      <c r="BF79" s="665">
        <f>(BF22/BF$22)*100</f>
        <v>100</v>
      </c>
      <c r="BG79" s="635"/>
      <c r="BH79" s="665">
        <f>(BH22/BH$22)*100</f>
        <v>100</v>
      </c>
      <c r="BI79" s="635"/>
      <c r="BJ79" s="665">
        <f>(BJ22/BJ$22)*100</f>
        <v>100</v>
      </c>
      <c r="BK79" s="635"/>
      <c r="BL79" s="665">
        <f>(BL22/BL$22)*100</f>
        <v>100</v>
      </c>
      <c r="BM79" s="635"/>
      <c r="BN79" s="665">
        <f>(BN22/BN$22)*100</f>
        <v>100</v>
      </c>
      <c r="BO79" s="635"/>
      <c r="BP79" s="665">
        <f>(BP22/BP$22)*100</f>
        <v>100</v>
      </c>
      <c r="BQ79" s="635"/>
      <c r="BR79" s="665">
        <f>(BR22/BR$22)*100</f>
        <v>100</v>
      </c>
      <c r="BS79" s="635"/>
      <c r="BT79" s="665">
        <f>(BT22/BT$22)*100</f>
        <v>100</v>
      </c>
      <c r="BU79" s="635"/>
      <c r="BV79" s="665">
        <f>(BV22/BV$22)*100</f>
        <v>100</v>
      </c>
      <c r="BW79" s="635"/>
      <c r="BX79" s="665">
        <f>(BX22/BX$22)*100</f>
        <v>100</v>
      </c>
      <c r="BY79" s="635"/>
      <c r="BZ79" s="665">
        <f>(BZ22/BZ$22)*100</f>
        <v>100</v>
      </c>
      <c r="CA79" s="635"/>
      <c r="CB79" s="665">
        <f>(CB22/CB$22)*100</f>
        <v>100</v>
      </c>
      <c r="CC79" s="635"/>
      <c r="CD79" s="665">
        <f>(CD22/CD$22)*100</f>
        <v>100</v>
      </c>
      <c r="CE79" s="635"/>
      <c r="CF79" s="665">
        <f>(CF22/CF$22)*100</f>
        <v>100</v>
      </c>
      <c r="CG79" s="635"/>
      <c r="CH79" s="665">
        <f>(CH22/CH$22)*100</f>
        <v>100</v>
      </c>
      <c r="CI79" s="635"/>
      <c r="CJ79" s="665">
        <f>(CJ22/CJ$22)*100</f>
        <v>100</v>
      </c>
      <c r="CK79" s="635"/>
      <c r="CL79" s="665">
        <f>(CL22/CL$22)*100</f>
        <v>100</v>
      </c>
      <c r="CM79" s="635"/>
      <c r="CN79" s="665">
        <f>(CN22/CN$22)*100</f>
        <v>100</v>
      </c>
      <c r="CO79" s="635"/>
      <c r="CP79" s="665">
        <f>(CP22/CP$22)*100</f>
        <v>100</v>
      </c>
      <c r="CQ79" s="635"/>
      <c r="CR79" s="665">
        <f>(CR22/CR$22)*100</f>
        <v>100</v>
      </c>
      <c r="CS79" s="635"/>
      <c r="CT79" s="665">
        <f>(CT22/CT$22)*100</f>
        <v>100</v>
      </c>
      <c r="CU79" s="635"/>
      <c r="CV79" s="665">
        <f>(CV22/CV$22)*100</f>
        <v>100</v>
      </c>
      <c r="CW79" s="635"/>
      <c r="CX79" s="665">
        <f>(CX22/CX$22)*100</f>
        <v>100</v>
      </c>
      <c r="CY79" s="635"/>
      <c r="CZ79" s="665">
        <f>(CZ22/CZ$22)*100</f>
        <v>100</v>
      </c>
      <c r="DA79" s="635"/>
      <c r="DB79" s="678"/>
      <c r="DC79" s="665">
        <f>(DC22/DC$22)*100</f>
        <v>100</v>
      </c>
      <c r="DD79" s="635"/>
      <c r="DE79" s="665">
        <f>(DE22/DE$22)*100</f>
        <v>100</v>
      </c>
      <c r="DF79" s="635"/>
      <c r="DG79" s="665">
        <f>(DG22/DG$22)*100</f>
        <v>100</v>
      </c>
      <c r="DH79" s="635"/>
      <c r="DI79" s="665">
        <f>(DI22/DI$22)*100</f>
        <v>100</v>
      </c>
      <c r="DJ79" s="635"/>
      <c r="DK79" s="665">
        <f>(DK22/DK$22)*100</f>
        <v>100</v>
      </c>
      <c r="DL79" s="635"/>
      <c r="DM79" s="665">
        <f>(DM22/DM$22)*100</f>
        <v>100</v>
      </c>
      <c r="DN79" s="635"/>
      <c r="DO79" s="665">
        <f>(DO22/DO$22)*100</f>
        <v>100</v>
      </c>
      <c r="DP79" s="635"/>
      <c r="DQ79" s="665">
        <f>(DQ22/DQ$22)*100</f>
        <v>100</v>
      </c>
      <c r="DR79" s="635"/>
      <c r="DS79" s="665">
        <f>(DS22/DS$22)*100</f>
        <v>100</v>
      </c>
      <c r="DT79" s="635"/>
      <c r="DU79" s="665">
        <f>(DU22/DU$22)*100</f>
        <v>100</v>
      </c>
      <c r="DV79" s="635"/>
      <c r="DW79" s="665">
        <f>(DW22/DW$22)*100</f>
        <v>100</v>
      </c>
      <c r="DX79" s="635"/>
      <c r="DY79" s="665">
        <f>(DY22/DY$22)*100</f>
        <v>100</v>
      </c>
      <c r="DZ79" s="635"/>
      <c r="EA79" s="665">
        <f>(EA22/EA$22)*100</f>
        <v>100</v>
      </c>
      <c r="EB79" s="635"/>
      <c r="EC79" s="665">
        <f>(EC22/EC$22)*100</f>
        <v>100</v>
      </c>
      <c r="ED79" s="635"/>
      <c r="EE79" s="665">
        <f>(EE22/EE$22)*100</f>
        <v>100</v>
      </c>
      <c r="EF79" s="635"/>
      <c r="EG79" s="665">
        <f>(EG22/EG$22)*100</f>
        <v>100</v>
      </c>
      <c r="EH79" s="635"/>
      <c r="EI79" s="665">
        <f>(EI22/EI$22)*100</f>
        <v>100</v>
      </c>
      <c r="EJ79" s="635"/>
      <c r="EK79" s="665">
        <f>(EK22/EK$22)*100</f>
        <v>100</v>
      </c>
      <c r="EL79" s="635"/>
      <c r="EM79" s="635">
        <f>IF(ISERROR(((EE79/DU79)^0.2-1)*100),"NA",IF((((EE79/DU79)^0.2-1)*100)&gt;100,"NM",IF((((EE79/DU79)^0.2-1)*100)&lt;-50,"NM",((EE79/DU79)^0.2-1)*100)))</f>
        <v>0</v>
      </c>
    </row>
    <row r="80" spans="1:143" s="679" customFormat="1" ht="12.75" hidden="1" customHeight="1" outlineLevel="1" x14ac:dyDescent="0.2">
      <c r="A80" s="658" t="s">
        <v>683</v>
      </c>
      <c r="B80" s="659"/>
      <c r="C80" s="660"/>
      <c r="D80" s="659"/>
      <c r="E80" s="660"/>
      <c r="F80" s="659"/>
      <c r="G80" s="660"/>
      <c r="H80" s="659"/>
      <c r="I80" s="660"/>
      <c r="J80" s="659"/>
      <c r="K80" s="660"/>
      <c r="L80" s="659"/>
      <c r="M80" s="660"/>
      <c r="N80" s="659"/>
      <c r="O80" s="660"/>
      <c r="P80" s="659"/>
      <c r="Q80" s="660"/>
      <c r="R80" s="659"/>
      <c r="S80" s="660"/>
      <c r="T80" s="659"/>
      <c r="U80" s="660"/>
      <c r="V80" s="659"/>
      <c r="W80" s="660"/>
      <c r="X80" s="659"/>
      <c r="Y80" s="660"/>
      <c r="Z80" s="659"/>
      <c r="AA80" s="660"/>
      <c r="AB80" s="659"/>
      <c r="AC80" s="660"/>
      <c r="AD80" s="659"/>
      <c r="AE80" s="660"/>
      <c r="AF80" s="659"/>
      <c r="AG80" s="660"/>
      <c r="AH80" s="659"/>
      <c r="AI80" s="660"/>
      <c r="AJ80" s="659"/>
      <c r="AK80" s="660"/>
      <c r="AL80" s="659"/>
      <c r="AM80" s="660"/>
      <c r="AN80" s="659"/>
      <c r="AO80" s="660"/>
      <c r="AP80" s="661">
        <f>(AP66+AP67+AP68+AP69+AP71+AP72+AP74+AP75+AP76+AP78)-AP79</f>
        <v>0</v>
      </c>
      <c r="AQ80" s="660"/>
      <c r="AR80" s="661">
        <f>(AR66+AR67+AR68+AR69+AR71+AR72+AR74+AR75+AR76+AR78)-AR79</f>
        <v>0</v>
      </c>
      <c r="AS80" s="660"/>
      <c r="AT80" s="661">
        <f>(AT66+AT67+AT68+AT69+AT71+AT72+AT74+AT75+AT76+AT78)-AT79</f>
        <v>0</v>
      </c>
      <c r="AU80" s="660"/>
      <c r="AV80" s="661">
        <f>(AV66+AV67+AV68+AV69+AV71+AV72+AV74+AV75+AV76+AV78)-AV79</f>
        <v>0</v>
      </c>
      <c r="AW80" s="660"/>
      <c r="AX80" s="661">
        <f>(AX66+AX67+AX68+AX69+AX71+AX72+AX74+AX75+AX76+AX78)-AX79</f>
        <v>0</v>
      </c>
      <c r="AY80" s="660"/>
      <c r="AZ80" s="661">
        <f>(AZ66+AZ67+AZ68+AZ69+AZ71+AZ72+AZ74+AZ75+AZ76+AZ78)-AZ79</f>
        <v>0</v>
      </c>
      <c r="BA80" s="660"/>
      <c r="BB80" s="661">
        <f>(BB66+BB67+BB68+BB69+BB71+BB72+BB74+BB75+BB76+BB78)-BB79</f>
        <v>0</v>
      </c>
      <c r="BC80" s="660"/>
      <c r="BD80" s="661">
        <f>(BD66+BD67+BD68+BD69+BD71+BD72+BD74+BD75+BD76+BD78)-BD79</f>
        <v>0</v>
      </c>
      <c r="BE80" s="660"/>
      <c r="BF80" s="661">
        <f>(BF66+BF67+BF68+BF69+BF71+BF72+BF74+BF75+BF76+BF78)-BF79</f>
        <v>0</v>
      </c>
      <c r="BG80" s="660"/>
      <c r="BH80" s="661">
        <f>(BH66+BH67+BH68+BH69+BH71+BH72+BH74+BH75+BH76+BH78)-BH79</f>
        <v>0</v>
      </c>
      <c r="BI80" s="660"/>
      <c r="BJ80" s="661">
        <f>(BJ66+BJ67+BJ68+BJ69+BJ71+BJ72+BJ74+BJ75+BJ76+BJ78)-BJ79</f>
        <v>0</v>
      </c>
      <c r="BK80" s="660"/>
      <c r="BL80" s="661">
        <f>(BL66+BL67+BL68+BL69+BL71+BL72+BL74+BL75+BL76+BL78)-BL79</f>
        <v>0</v>
      </c>
      <c r="BM80" s="660"/>
      <c r="BN80" s="661">
        <f>(BN66+BN67+BN68+BN69+BN71+BN72+BN74+BN75+BN76+BN78)-BN79</f>
        <v>0</v>
      </c>
      <c r="BO80" s="660"/>
      <c r="BP80" s="661">
        <f>(BP66+BP67+BP68+BP69+BP71+BP72+BP74+BP75+BP76+BP78)-BP79</f>
        <v>0</v>
      </c>
      <c r="BQ80" s="660"/>
      <c r="BR80" s="661">
        <f>(BR66+BR67+BR68+BR69+BR71+BR72+BR74+BR75+BR76+BR78)-BR79</f>
        <v>0</v>
      </c>
      <c r="BS80" s="660"/>
      <c r="BT80" s="661">
        <f>(BT66+BT67+BT68+BT69+BT71+BT72+BT74+BT75+BT76+BT78)-BT79</f>
        <v>0</v>
      </c>
      <c r="BU80" s="660"/>
      <c r="BV80" s="661">
        <f>(BV66+BV67+BV68+BV69+BV71+BV72+BV74+BV75+BV76+BV78)-BV79</f>
        <v>0</v>
      </c>
      <c r="BW80" s="660"/>
      <c r="BX80" s="661">
        <f>(BX66+BX67+BX68+BX69+BX71+BX72+BX74+BX75+BX76+BX78)-BX79</f>
        <v>0</v>
      </c>
      <c r="BY80" s="660"/>
      <c r="BZ80" s="661">
        <f>(BZ66+BZ67+BZ68+BZ69+BZ71+BZ72+BZ74+BZ75+BZ76+BZ78)-BZ79</f>
        <v>0</v>
      </c>
      <c r="CA80" s="660"/>
      <c r="CB80" s="661">
        <f>(CB66+CB67+CB68+CB69+CB71+CB72+CB74+CB75+CB76+CB78)-CB79</f>
        <v>0</v>
      </c>
      <c r="CC80" s="660"/>
      <c r="CD80" s="661">
        <f>(CD66+CD67+CD68+CD69+CD71+CD72+CD74+CD75+CD76+CD78)-CD79</f>
        <v>0</v>
      </c>
      <c r="CE80" s="660"/>
      <c r="CF80" s="661">
        <f>(CF66+CF67+CF68+CF69+CF71+CF72+CF74+CF75+CF76+CF78)-CF79</f>
        <v>0</v>
      </c>
      <c r="CG80" s="660"/>
      <c r="CH80" s="661">
        <f>(CH66+CH67+CH68+CH69+CH71+CH72+CH74+CH75+CH76+CH78)-CH79</f>
        <v>0</v>
      </c>
      <c r="CI80" s="660"/>
      <c r="CJ80" s="661">
        <f>(CJ66+CJ67+CJ68+CJ69+CJ71+CJ72+CJ74+CJ75+CJ76+CJ78)-CJ79</f>
        <v>0</v>
      </c>
      <c r="CK80" s="660"/>
      <c r="CL80" s="661">
        <f>CL66+CL67+CL70+CL71+CL73+CL75+CL76+CL78-CL79</f>
        <v>0</v>
      </c>
      <c r="CM80" s="661">
        <f t="shared" ref="CM80:EK80" si="215">CM66+CM67+CM70+CM71+CM73+CM75+CM76+CM78-CM79</f>
        <v>0</v>
      </c>
      <c r="CN80" s="661">
        <f t="shared" si="215"/>
        <v>0</v>
      </c>
      <c r="CO80" s="661">
        <f t="shared" si="215"/>
        <v>0</v>
      </c>
      <c r="CP80" s="661">
        <f t="shared" si="215"/>
        <v>0</v>
      </c>
      <c r="CQ80" s="661">
        <f t="shared" si="215"/>
        <v>0</v>
      </c>
      <c r="CR80" s="661">
        <f t="shared" si="215"/>
        <v>0</v>
      </c>
      <c r="CS80" s="661">
        <f t="shared" si="215"/>
        <v>0</v>
      </c>
      <c r="CT80" s="661">
        <f t="shared" si="215"/>
        <v>0</v>
      </c>
      <c r="CU80" s="661">
        <f t="shared" si="215"/>
        <v>0</v>
      </c>
      <c r="CV80" s="661">
        <f t="shared" si="215"/>
        <v>0</v>
      </c>
      <c r="CW80" s="661">
        <f t="shared" si="215"/>
        <v>0</v>
      </c>
      <c r="CX80" s="661">
        <f t="shared" si="215"/>
        <v>0</v>
      </c>
      <c r="CY80" s="661">
        <f t="shared" si="215"/>
        <v>0</v>
      </c>
      <c r="CZ80" s="661">
        <f t="shared" si="215"/>
        <v>0</v>
      </c>
      <c r="DA80" s="661">
        <f t="shared" si="215"/>
        <v>0</v>
      </c>
      <c r="DB80" s="661">
        <f t="shared" si="215"/>
        <v>0</v>
      </c>
      <c r="DC80" s="661">
        <f t="shared" si="215"/>
        <v>19.510135135135144</v>
      </c>
      <c r="DD80" s="661">
        <f t="shared" si="215"/>
        <v>0</v>
      </c>
      <c r="DE80" s="661">
        <f t="shared" si="215"/>
        <v>17.322834645669303</v>
      </c>
      <c r="DF80" s="661">
        <f t="shared" si="215"/>
        <v>0</v>
      </c>
      <c r="DG80" s="661">
        <f t="shared" si="215"/>
        <v>17.76269393511987</v>
      </c>
      <c r="DH80" s="661">
        <f t="shared" si="215"/>
        <v>0</v>
      </c>
      <c r="DI80" s="661">
        <f t="shared" si="215"/>
        <v>-62.746386333771355</v>
      </c>
      <c r="DJ80" s="661">
        <f t="shared" si="215"/>
        <v>0</v>
      </c>
      <c r="DK80" s="661">
        <f t="shared" si="215"/>
        <v>20.949152542372872</v>
      </c>
      <c r="DL80" s="661">
        <f t="shared" si="215"/>
        <v>0</v>
      </c>
      <c r="DM80" s="661">
        <f t="shared" si="215"/>
        <v>23.156744948115772</v>
      </c>
      <c r="DN80" s="661">
        <f t="shared" si="215"/>
        <v>0</v>
      </c>
      <c r="DO80" s="661">
        <f t="shared" si="215"/>
        <v>12.869474234894057</v>
      </c>
      <c r="DP80" s="661">
        <f t="shared" si="215"/>
        <v>0</v>
      </c>
      <c r="DQ80" s="661">
        <f t="shared" si="215"/>
        <v>14.399205561072506</v>
      </c>
      <c r="DR80" s="661">
        <f t="shared" si="215"/>
        <v>0</v>
      </c>
      <c r="DS80" s="661">
        <f t="shared" si="215"/>
        <v>34.385303815355627</v>
      </c>
      <c r="DT80" s="661">
        <f t="shared" si="215"/>
        <v>0</v>
      </c>
      <c r="DU80" s="661">
        <f t="shared" si="215"/>
        <v>27.002715546503751</v>
      </c>
      <c r="DV80" s="661">
        <f t="shared" si="215"/>
        <v>0</v>
      </c>
      <c r="DW80" s="661">
        <f t="shared" si="215"/>
        <v>0</v>
      </c>
      <c r="DX80" s="661">
        <f t="shared" si="215"/>
        <v>0</v>
      </c>
      <c r="DY80" s="661">
        <f t="shared" si="215"/>
        <v>0</v>
      </c>
      <c r="DZ80" s="661">
        <f t="shared" si="215"/>
        <v>0</v>
      </c>
      <c r="EA80" s="661">
        <f t="shared" si="215"/>
        <v>0</v>
      </c>
      <c r="EB80" s="661">
        <f t="shared" si="215"/>
        <v>0</v>
      </c>
      <c r="EC80" s="661">
        <f t="shared" si="215"/>
        <v>0</v>
      </c>
      <c r="ED80" s="661">
        <f t="shared" si="215"/>
        <v>0</v>
      </c>
      <c r="EE80" s="661">
        <f t="shared" si="215"/>
        <v>0</v>
      </c>
      <c r="EF80" s="661">
        <f t="shared" si="215"/>
        <v>0</v>
      </c>
      <c r="EG80" s="661">
        <f t="shared" si="215"/>
        <v>0</v>
      </c>
      <c r="EH80" s="661">
        <f t="shared" si="215"/>
        <v>0</v>
      </c>
      <c r="EI80" s="661">
        <f t="shared" si="215"/>
        <v>0</v>
      </c>
      <c r="EJ80" s="661">
        <f t="shared" si="215"/>
        <v>0</v>
      </c>
      <c r="EK80" s="661">
        <f t="shared" si="215"/>
        <v>0</v>
      </c>
      <c r="EL80" s="660"/>
      <c r="EM80" s="660"/>
    </row>
    <row r="81" spans="1:143" s="632" customFormat="1" ht="12.75" customHeight="1" collapsed="1" x14ac:dyDescent="0.2">
      <c r="A81" s="644"/>
      <c r="B81" s="655"/>
      <c r="C81" s="635"/>
      <c r="D81" s="655"/>
      <c r="E81" s="635"/>
      <c r="F81" s="655"/>
      <c r="G81" s="635"/>
      <c r="H81" s="655"/>
      <c r="I81" s="635"/>
      <c r="J81" s="655"/>
      <c r="K81" s="635"/>
      <c r="L81" s="655"/>
      <c r="M81" s="635"/>
      <c r="N81" s="655"/>
      <c r="O81" s="635"/>
      <c r="P81" s="655"/>
      <c r="Q81" s="635"/>
      <c r="R81" s="655"/>
      <c r="S81" s="635"/>
      <c r="T81" s="655"/>
      <c r="U81" s="635"/>
      <c r="V81" s="655"/>
      <c r="W81" s="635"/>
      <c r="X81" s="655"/>
      <c r="Y81" s="635"/>
      <c r="Z81" s="655"/>
      <c r="AA81" s="635"/>
      <c r="AB81" s="655"/>
      <c r="AC81" s="635"/>
      <c r="AD81" s="655"/>
      <c r="AE81" s="635"/>
      <c r="AF81" s="655"/>
      <c r="AG81" s="635"/>
      <c r="AH81" s="655"/>
      <c r="AI81" s="635"/>
      <c r="AJ81" s="655"/>
      <c r="AK81" s="635"/>
      <c r="AL81" s="655"/>
      <c r="AM81" s="635"/>
      <c r="AN81" s="655"/>
      <c r="AO81" s="635"/>
      <c r="AP81" s="655"/>
      <c r="AQ81" s="635"/>
      <c r="AR81" s="655"/>
      <c r="AS81" s="635"/>
      <c r="AT81" s="655"/>
      <c r="AU81" s="635"/>
      <c r="AV81" s="655"/>
      <c r="AW81" s="635"/>
      <c r="AX81" s="655"/>
      <c r="AY81" s="635"/>
      <c r="AZ81" s="655"/>
      <c r="BA81" s="635"/>
      <c r="BB81" s="655"/>
      <c r="BC81" s="635"/>
      <c r="BD81" s="655"/>
      <c r="BE81" s="635"/>
      <c r="BF81" s="655"/>
      <c r="BG81" s="635"/>
      <c r="BH81" s="655"/>
      <c r="BI81" s="635"/>
      <c r="BJ81" s="655"/>
      <c r="BK81" s="635"/>
      <c r="BL81" s="655"/>
      <c r="BM81" s="635"/>
      <c r="BN81" s="655"/>
      <c r="BO81" s="635"/>
      <c r="BP81" s="655"/>
      <c r="BQ81" s="635"/>
      <c r="BR81" s="655"/>
      <c r="BS81" s="635"/>
      <c r="BT81" s="655"/>
      <c r="BU81" s="635"/>
      <c r="BV81" s="655"/>
      <c r="BW81" s="635"/>
      <c r="BX81" s="655"/>
      <c r="BY81" s="635"/>
      <c r="BZ81" s="655"/>
      <c r="CA81" s="635"/>
      <c r="CB81" s="655"/>
      <c r="CC81" s="635"/>
      <c r="CD81" s="655"/>
      <c r="CE81" s="635"/>
      <c r="CF81" s="655"/>
      <c r="CG81" s="635"/>
      <c r="CH81" s="655"/>
      <c r="CI81" s="635"/>
      <c r="CJ81" s="655"/>
      <c r="CK81" s="635"/>
      <c r="CL81" s="655"/>
      <c r="CM81" s="635"/>
      <c r="CN81" s="655"/>
      <c r="CO81" s="635"/>
      <c r="CP81" s="655"/>
      <c r="CQ81" s="635"/>
      <c r="CR81" s="655"/>
      <c r="CS81" s="635"/>
      <c r="CT81" s="655"/>
      <c r="CU81" s="635"/>
      <c r="CV81" s="655"/>
      <c r="CW81" s="635"/>
      <c r="CX81" s="655"/>
      <c r="CY81" s="635"/>
      <c r="CZ81" s="655"/>
      <c r="DA81" s="635"/>
      <c r="DB81" s="666"/>
      <c r="DC81" s="655"/>
      <c r="DD81" s="635"/>
      <c r="DE81" s="655"/>
      <c r="DF81" s="635"/>
      <c r="DG81" s="655"/>
      <c r="DH81" s="635"/>
      <c r="DI81" s="655"/>
      <c r="DJ81" s="635"/>
      <c r="DK81" s="655"/>
      <c r="DL81" s="635"/>
      <c r="DM81" s="655"/>
      <c r="DN81" s="635"/>
      <c r="DO81" s="655"/>
      <c r="DP81" s="635"/>
      <c r="DQ81" s="655"/>
      <c r="DR81" s="635"/>
      <c r="DS81" s="655"/>
      <c r="DT81" s="635"/>
      <c r="DU81" s="655"/>
      <c r="DV81" s="635"/>
      <c r="DW81" s="655"/>
      <c r="DX81" s="635"/>
      <c r="DY81" s="655"/>
      <c r="DZ81" s="635"/>
      <c r="EA81" s="655"/>
      <c r="EB81" s="635"/>
      <c r="EC81" s="655"/>
      <c r="ED81" s="635"/>
      <c r="EE81" s="655"/>
      <c r="EF81" s="635"/>
      <c r="EG81" s="655"/>
      <c r="EH81" s="635"/>
      <c r="EI81" s="655"/>
      <c r="EJ81" s="635"/>
      <c r="EK81" s="655"/>
      <c r="EL81" s="635"/>
      <c r="EM81" s="635"/>
    </row>
    <row r="82" spans="1:143" s="632" customFormat="1" ht="12.75" customHeight="1" x14ac:dyDescent="0.2">
      <c r="A82" s="677" t="str">
        <f>INPUT!B700</f>
        <v>Capital Structure Excl FAS 115</v>
      </c>
      <c r="B82" s="655"/>
      <c r="C82" s="635"/>
      <c r="D82" s="655"/>
      <c r="E82" s="635"/>
      <c r="F82" s="655"/>
      <c r="G82" s="635"/>
      <c r="H82" s="655"/>
      <c r="I82" s="635"/>
      <c r="J82" s="655"/>
      <c r="K82" s="635"/>
      <c r="L82" s="655"/>
      <c r="M82" s="635"/>
      <c r="N82" s="655"/>
      <c r="O82" s="635"/>
      <c r="P82" s="655"/>
      <c r="Q82" s="635"/>
      <c r="R82" s="655"/>
      <c r="S82" s="635"/>
      <c r="T82" s="655"/>
      <c r="U82" s="635"/>
      <c r="V82" s="655"/>
      <c r="W82" s="635"/>
      <c r="X82" s="655"/>
      <c r="Y82" s="635"/>
      <c r="Z82" s="655"/>
      <c r="AA82" s="635"/>
      <c r="AB82" s="655"/>
      <c r="AC82" s="635"/>
      <c r="AD82" s="655"/>
      <c r="AE82" s="635"/>
      <c r="AF82" s="655"/>
      <c r="AG82" s="635"/>
      <c r="AH82" s="655"/>
      <c r="AI82" s="635"/>
      <c r="AJ82" s="655"/>
      <c r="AK82" s="635"/>
      <c r="AL82" s="655"/>
      <c r="AM82" s="635"/>
      <c r="AN82" s="655"/>
      <c r="AO82" s="635"/>
      <c r="AP82" s="655"/>
      <c r="AQ82" s="635"/>
      <c r="AR82" s="655"/>
      <c r="AS82" s="635"/>
      <c r="AT82" s="655"/>
      <c r="AU82" s="635"/>
      <c r="AV82" s="655"/>
      <c r="AW82" s="635"/>
      <c r="AX82" s="655"/>
      <c r="AY82" s="635"/>
      <c r="AZ82" s="655"/>
      <c r="BA82" s="635"/>
      <c r="BB82" s="655"/>
      <c r="BC82" s="635"/>
      <c r="BD82" s="655"/>
      <c r="BE82" s="635"/>
      <c r="BF82" s="655"/>
      <c r="BG82" s="635"/>
      <c r="BH82" s="655"/>
      <c r="BI82" s="635"/>
      <c r="BJ82" s="655"/>
      <c r="BK82" s="635"/>
      <c r="BL82" s="655"/>
      <c r="BM82" s="635"/>
      <c r="BN82" s="655"/>
      <c r="BO82" s="635"/>
      <c r="BP82" s="655"/>
      <c r="BQ82" s="635"/>
      <c r="BR82" s="655"/>
      <c r="BS82" s="635"/>
      <c r="BT82" s="655"/>
      <c r="BU82" s="635"/>
      <c r="BV82" s="655"/>
      <c r="BW82" s="635"/>
      <c r="BX82" s="655"/>
      <c r="BY82" s="635"/>
      <c r="BZ82" s="655"/>
      <c r="CA82" s="635"/>
      <c r="CB82" s="655"/>
      <c r="CC82" s="635"/>
      <c r="CD82" s="655"/>
      <c r="CE82" s="635"/>
      <c r="CF82" s="655"/>
      <c r="CG82" s="635"/>
      <c r="CH82" s="655"/>
      <c r="CI82" s="635"/>
      <c r="CJ82" s="655"/>
      <c r="CK82" s="635"/>
      <c r="CL82" s="655"/>
      <c r="CM82" s="635"/>
      <c r="CN82" s="655"/>
      <c r="CO82" s="635"/>
      <c r="CP82" s="655"/>
      <c r="CQ82" s="635"/>
      <c r="CR82" s="655"/>
      <c r="CS82" s="635"/>
      <c r="CT82" s="655"/>
      <c r="CU82" s="635"/>
      <c r="CV82" s="655"/>
      <c r="CW82" s="635"/>
      <c r="CX82" s="655"/>
      <c r="CY82" s="635"/>
      <c r="CZ82" s="655"/>
      <c r="DA82" s="635"/>
      <c r="DB82" s="666"/>
      <c r="DC82" s="655"/>
      <c r="DD82" s="635"/>
      <c r="DE82" s="655"/>
      <c r="DF82" s="635"/>
      <c r="DG82" s="655"/>
      <c r="DH82" s="635"/>
      <c r="DI82" s="655"/>
      <c r="DJ82" s="635"/>
      <c r="DK82" s="655"/>
      <c r="DL82" s="635"/>
      <c r="DM82" s="655"/>
      <c r="DN82" s="635"/>
      <c r="DO82" s="655"/>
      <c r="DP82" s="635"/>
      <c r="DQ82" s="655"/>
      <c r="DR82" s="635"/>
      <c r="DS82" s="655"/>
      <c r="DT82" s="635"/>
      <c r="DU82" s="655"/>
      <c r="DV82" s="635"/>
      <c r="DW82" s="655"/>
      <c r="DX82" s="635"/>
      <c r="DY82" s="655"/>
      <c r="DZ82" s="635"/>
      <c r="EA82" s="655"/>
      <c r="EB82" s="635"/>
      <c r="EC82" s="655"/>
      <c r="ED82" s="635"/>
      <c r="EE82" s="655"/>
      <c r="EF82" s="635"/>
      <c r="EG82" s="655"/>
      <c r="EH82" s="635"/>
      <c r="EI82" s="655"/>
      <c r="EJ82" s="635"/>
      <c r="EK82" s="655"/>
      <c r="EL82" s="635"/>
      <c r="EM82" s="635"/>
    </row>
    <row r="83" spans="1:143" s="632" customFormat="1" ht="12.75" customHeight="1" x14ac:dyDescent="0.2">
      <c r="A83" s="670" t="str">
        <f>INPUT!B702</f>
        <v>LT Debt to LT Capital (%)</v>
      </c>
      <c r="B83" s="665">
        <f>INPUT!AY702</f>
        <v>26.013356665833363</v>
      </c>
      <c r="C83" s="635">
        <f>INPUT!AZ702</f>
        <v>12.595515359487393</v>
      </c>
      <c r="D83" s="665">
        <f>INPUT!BA702</f>
        <v>26.738728488124018</v>
      </c>
      <c r="E83" s="635">
        <f>INPUT!BB702</f>
        <v>4.4280581675359088</v>
      </c>
      <c r="F83" s="665">
        <f>INPUT!BC702</f>
        <v>26.010593810984112</v>
      </c>
      <c r="G83" s="635">
        <f>INPUT!BD702</f>
        <v>3.7620966207073394</v>
      </c>
      <c r="H83" s="665">
        <f>INPUT!BE702</f>
        <v>31.337674539151845</v>
      </c>
      <c r="I83" s="635">
        <f>INPUT!BF702</f>
        <v>30.089800471884018</v>
      </c>
      <c r="J83" s="665">
        <f>INPUT!BG702</f>
        <v>31.833254381809567</v>
      </c>
      <c r="K83" s="635">
        <f>INPUT!BH702</f>
        <v>22.372728712939278</v>
      </c>
      <c r="L83" s="665">
        <f>INPUT!BI702</f>
        <v>30.096683314124729</v>
      </c>
      <c r="M83" s="635">
        <f>INPUT!BJ702</f>
        <v>12.558393820005847</v>
      </c>
      <c r="N83" s="665">
        <f>INPUT!BK702</f>
        <v>30.418404831579604</v>
      </c>
      <c r="O83" s="635">
        <f>INPUT!BL702</f>
        <v>16.946214502546653</v>
      </c>
      <c r="P83" s="665">
        <f>INPUT!BM702</f>
        <v>36.755646817248461</v>
      </c>
      <c r="Q83" s="635">
        <f>INPUT!BN702</f>
        <v>17.289005511010885</v>
      </c>
      <c r="R83" s="665">
        <f>INPUT!BO702</f>
        <v>37.227135340870923</v>
      </c>
      <c r="S83" s="635">
        <f>INPUT!BP702</f>
        <v>16.944170691337092</v>
      </c>
      <c r="T83" s="665">
        <f>INPUT!BQ702</f>
        <v>39.913129938772308</v>
      </c>
      <c r="U83" s="635">
        <f>INPUT!BR702</f>
        <v>32.616373446175061</v>
      </c>
      <c r="V83" s="665">
        <f>INPUT!BS702</f>
        <v>40.303022726704505</v>
      </c>
      <c r="W83" s="635">
        <f>INPUT!BT702</f>
        <v>32.495516940661361</v>
      </c>
      <c r="X83" s="665">
        <f>INPUT!BU702</f>
        <v>48.7010428432583</v>
      </c>
      <c r="Y83" s="635">
        <f>INPUT!BV702</f>
        <v>32.499485277468096</v>
      </c>
      <c r="Z83" s="665">
        <f>INPUT!BW702</f>
        <v>48.306513409961688</v>
      </c>
      <c r="AA83" s="635">
        <f>INPUT!BX702</f>
        <v>29.761564965024149</v>
      </c>
      <c r="AB83" s="665">
        <f>INPUT!BY702</f>
        <v>46.423657211828605</v>
      </c>
      <c r="AC83" s="635">
        <f>INPUT!BZ702</f>
        <v>16.311743235981751</v>
      </c>
      <c r="AD83" s="665">
        <f>INPUT!CA702</f>
        <v>47.374117753173834</v>
      </c>
      <c r="AE83" s="635">
        <f>INPUT!CB702</f>
        <v>17.544825544273806</v>
      </c>
      <c r="AF83" s="665">
        <f>INPUT!CC702</f>
        <v>43.819152561626716</v>
      </c>
      <c r="AG83" s="635">
        <f>INPUT!CD702</f>
        <v>-10.024200708275771</v>
      </c>
      <c r="AH83" s="665">
        <f>INPUT!CE702</f>
        <v>46.428738154147794</v>
      </c>
      <c r="AI83" s="635">
        <f>INPUT!CF702</f>
        <v>-3.8872092462517998</v>
      </c>
      <c r="AJ83" s="665">
        <f>INPUT!CG702</f>
        <v>46.397034041118971</v>
      </c>
      <c r="AK83" s="635">
        <f>INPUT!CH702</f>
        <v>-5.7348283846209824E-2</v>
      </c>
      <c r="AL83" s="665">
        <f>INPUT!CI702</f>
        <v>43.278331328445944</v>
      </c>
      <c r="AM83" s="635">
        <f>INPUT!CJ702</f>
        <v>-8.6456204758630975</v>
      </c>
      <c r="AN83" s="665">
        <f>INPUT!CK702</f>
        <v>44.35643564356436</v>
      </c>
      <c r="AO83" s="635">
        <f>INPUT!CL702</f>
        <v>1.2261375460924597</v>
      </c>
      <c r="AP83" s="665">
        <f>INPUT!CM702</f>
        <v>44.20694060038322</v>
      </c>
      <c r="AQ83" s="635">
        <f>INPUT!CN702</f>
        <v>-4.7853929313951937</v>
      </c>
      <c r="AR83" s="665">
        <f>INPUT!CO702</f>
        <v>44.062364301813446</v>
      </c>
      <c r="AS83" s="635">
        <f>INPUT!CP702</f>
        <v>-5.0319374665985066</v>
      </c>
      <c r="AT83" s="665">
        <f>INPUT!CQ702</f>
        <v>42.520641587909488</v>
      </c>
      <c r="AU83" s="635">
        <f>INPUT!CR702</f>
        <v>-1.7507369560675272</v>
      </c>
      <c r="AV83" s="665">
        <f>INPUT!CS702</f>
        <v>43.494999287067401</v>
      </c>
      <c r="AW83" s="635">
        <f>INPUT!CT702</f>
        <v>-1.9420775001382395</v>
      </c>
      <c r="AX83" s="665">
        <f>INPUT!CU702</f>
        <v>44.212201813726516</v>
      </c>
      <c r="AY83" s="635">
        <f>INPUT!CV702</f>
        <v>1.1901328777440767E-2</v>
      </c>
      <c r="AZ83" s="665">
        <f>INPUT!CW702</f>
        <v>42.299414687129151</v>
      </c>
      <c r="BA83" s="635">
        <f>INPUT!CX702</f>
        <v>-4.0010327240014618</v>
      </c>
      <c r="BB83" s="665">
        <f>INPUT!CY702</f>
        <v>41.167563930013458</v>
      </c>
      <c r="BC83" s="635">
        <f>INPUT!CZ702</f>
        <v>-3.1821666074783934</v>
      </c>
      <c r="BD83" s="665">
        <f>INPUT!DA702</f>
        <v>40.592840179435306</v>
      </c>
      <c r="BE83" s="635">
        <f>INPUT!DB702</f>
        <v>-6.6723971840482506</v>
      </c>
      <c r="BF83" s="665">
        <f>INPUT!DC702</f>
        <v>40.755408708246584</v>
      </c>
      <c r="BG83" s="635">
        <f>INPUT!DD702</f>
        <v>-7.8186404740573323</v>
      </c>
      <c r="BH83" s="665">
        <f>INPUT!DE702</f>
        <v>40.26540329043511</v>
      </c>
      <c r="BI83" s="635">
        <f>INPUT!DF702</f>
        <v>-4.8086041183755412</v>
      </c>
      <c r="BJ83" s="665">
        <f>INPUT!DG702</f>
        <v>39.620103439478626</v>
      </c>
      <c r="BK83" s="635">
        <f>INPUT!DH702</f>
        <v>-3.7589314081483565</v>
      </c>
      <c r="BL83" s="665">
        <f>INPUT!DI702</f>
        <v>40.287481117824775</v>
      </c>
      <c r="BM83" s="635">
        <f>INPUT!DJ702</f>
        <v>-0.7522485745287355</v>
      </c>
      <c r="BN83" s="665">
        <f>INPUT!DK702</f>
        <v>38.108441158348739</v>
      </c>
      <c r="BO83" s="635">
        <f>INPUT!DL702</f>
        <v>-6.4947638455708869</v>
      </c>
      <c r="BP83" s="665">
        <f>INPUT!DM702</f>
        <v>38.84408909194746</v>
      </c>
      <c r="BQ83" s="635">
        <f>INPUT!DN702</f>
        <v>-3.5298645545300644</v>
      </c>
      <c r="BR83" s="665">
        <f>INPUT!DO702</f>
        <v>37.482553270680192</v>
      </c>
      <c r="BS83" s="635">
        <f>INPUT!DP702</f>
        <v>-5.395115063401164</v>
      </c>
      <c r="BT83" s="665">
        <f>INPUT!DQ702</f>
        <v>37.324576736752732</v>
      </c>
      <c r="BU83" s="635">
        <f>INPUT!DR702</f>
        <v>-7.3544046410018353</v>
      </c>
      <c r="BV83" s="665">
        <f>INPUT!DS702</f>
        <v>35.179470135789579</v>
      </c>
      <c r="BW83" s="635">
        <f>INPUT!DT702</f>
        <v>-7.6858851570145816</v>
      </c>
      <c r="BX83" s="665">
        <f>INPUT!DU702</f>
        <v>33.679181207110567</v>
      </c>
      <c r="BY83" s="635">
        <f>INPUT!DV702</f>
        <v>-13.296509213051934</v>
      </c>
      <c r="BZ83" s="665">
        <f>INPUT!DW702</f>
        <v>33.053407166720064</v>
      </c>
      <c r="CA83" s="635">
        <f>INPUT!DX702</f>
        <v>-11.816553883016084</v>
      </c>
      <c r="CB83" s="665">
        <f>INPUT!DY702</f>
        <v>31.861075308414655</v>
      </c>
      <c r="CC83" s="635">
        <f>INPUT!DZ702</f>
        <v>-14.637812149543493</v>
      </c>
      <c r="CD83" s="665">
        <f>INPUT!EA702</f>
        <v>31.372950353642171</v>
      </c>
      <c r="CE83" s="635">
        <f>INPUT!EB702</f>
        <v>-10.82028742176783</v>
      </c>
      <c r="CF83" s="665">
        <f>INPUT!EC702</f>
        <v>30.173638154579191</v>
      </c>
      <c r="CG83" s="635">
        <f>INPUT!ED702</f>
        <v>-10.40863502878527</v>
      </c>
      <c r="CH83" s="665">
        <f>INPUT!EE702</f>
        <v>29.117170626349893</v>
      </c>
      <c r="CI83" s="635">
        <f>INPUT!EF702</f>
        <v>-11.908716461561582</v>
      </c>
      <c r="CJ83" s="665">
        <f>INPUT!EG702</f>
        <v>28.123130722863849</v>
      </c>
      <c r="CK83" s="635">
        <f>INPUT!EH702</f>
        <v>-11.732010138915811</v>
      </c>
      <c r="CL83" s="665">
        <f>INPUT!EI702</f>
        <v>27.307474838855594</v>
      </c>
      <c r="CM83" s="635">
        <f>INPUT!EJ702</f>
        <v>-12.958537431002583</v>
      </c>
      <c r="CN83" s="665">
        <f>INPUT!EK702</f>
        <v>26.900291651476486</v>
      </c>
      <c r="CO83" s="635">
        <f>INPUT!EL702</f>
        <v>-10.848365339086357</v>
      </c>
      <c r="CP83" s="665">
        <f>INPUT!EM702</f>
        <v>23.770510303112374</v>
      </c>
      <c r="CQ83" s="635">
        <f>INPUT!EN702</f>
        <v>-18.362568231128208</v>
      </c>
      <c r="CR83" s="665">
        <f>INPUT!EO702</f>
        <v>22.189504679777052</v>
      </c>
      <c r="CS83" s="635">
        <f>INPUT!EP702</f>
        <v>-21.098739331545374</v>
      </c>
      <c r="CT83" s="665">
        <f>INPUT!EQ702</f>
        <v>21.575259477383575</v>
      </c>
      <c r="CU83" s="635">
        <f>INPUT!ER702</f>
        <v>-20.99137835079388</v>
      </c>
      <c r="CV83" s="665">
        <f>INPUT!ES702</f>
        <v>21.510304807926556</v>
      </c>
      <c r="CW83" s="635">
        <f>INPUT!ET702</f>
        <v>-20.036908571041792</v>
      </c>
      <c r="CX83" s="665">
        <f>INPUT!EU702</f>
        <v>21.453858359557785</v>
      </c>
      <c r="CY83" s="635">
        <f>INPUT!EV702</f>
        <v>-9.7459074879484575</v>
      </c>
      <c r="CZ83" s="665">
        <f>INPUT!EW702</f>
        <v>21.455573945499946</v>
      </c>
      <c r="DA83" s="635">
        <f>INPUT!EX702</f>
        <v>-3.3075579868440741</v>
      </c>
      <c r="DB83" s="666"/>
      <c r="DC83" s="665">
        <f>INPUT!FP702</f>
        <v>24.089263282346856</v>
      </c>
      <c r="DD83" s="635">
        <f>INPUT!FQ702</f>
        <v>3.5752244140926877</v>
      </c>
      <c r="DE83" s="665">
        <f>INPUT!FR702</f>
        <v>31.337674539151845</v>
      </c>
      <c r="DF83" s="635">
        <f>INPUT!FS702</f>
        <v>30.089800471884018</v>
      </c>
      <c r="DG83" s="665">
        <f>INPUT!FT702</f>
        <v>36.755646817248461</v>
      </c>
      <c r="DH83" s="635">
        <f>INPUT!FU702</f>
        <v>17.289005511010885</v>
      </c>
      <c r="DI83" s="665">
        <f>INPUT!FV702</f>
        <v>48.7010428432583</v>
      </c>
      <c r="DJ83" s="635">
        <f>INPUT!FW702</f>
        <v>32.499485277468096</v>
      </c>
      <c r="DK83" s="665">
        <f>INPUT!FX702</f>
        <v>43.819152561626716</v>
      </c>
      <c r="DL83" s="635">
        <f>INPUT!FY702</f>
        <v>-10.024200708275771</v>
      </c>
      <c r="DM83" s="665">
        <f>INPUT!FZ702</f>
        <v>44.35643564356436</v>
      </c>
      <c r="DN83" s="635">
        <f>INPUT!GA702</f>
        <v>1.2261375460924597</v>
      </c>
      <c r="DO83" s="665">
        <f>INPUT!GB702</f>
        <v>43.494999287067401</v>
      </c>
      <c r="DP83" s="635">
        <f>INPUT!GC702</f>
        <v>-1.9420775001382395</v>
      </c>
      <c r="DQ83" s="665">
        <f>INPUT!GD702</f>
        <v>40.592840179435306</v>
      </c>
      <c r="DR83" s="635">
        <f>INPUT!GE702</f>
        <v>-6.6723971840482506</v>
      </c>
      <c r="DS83" s="665">
        <f>INPUT!GF702</f>
        <v>40.287481117824775</v>
      </c>
      <c r="DT83" s="635">
        <f>INPUT!GG702</f>
        <v>-0.7522485745287355</v>
      </c>
      <c r="DU83" s="665">
        <f>INPUT!GH702</f>
        <v>37.324576736752732</v>
      </c>
      <c r="DV83" s="635">
        <f>INPUT!GI702</f>
        <v>-7.3544046410018353</v>
      </c>
      <c r="DW83" s="665">
        <f>INPUT!GJ702</f>
        <v>31.861075308414655</v>
      </c>
      <c r="DX83" s="635">
        <f>INPUT!GK702</f>
        <v>-14.637812149543493</v>
      </c>
      <c r="DY83" s="665">
        <f>INPUT!GL702</f>
        <v>28.123130722863849</v>
      </c>
      <c r="DZ83" s="635">
        <f>INPUT!GM702</f>
        <v>-11.732010138915811</v>
      </c>
      <c r="EA83" s="665">
        <f>INPUT!GN702</f>
        <v>22.189504679777052</v>
      </c>
      <c r="EB83" s="635">
        <f>INPUT!GO702</f>
        <v>-21.098739331545374</v>
      </c>
      <c r="EC83" s="665">
        <f>INPUT!GP702</f>
        <v>21.455573945499946</v>
      </c>
      <c r="ED83" s="635">
        <f>INPUT!GQ702</f>
        <v>-3.3075579868440741</v>
      </c>
      <c r="EE83" s="665">
        <f>INPUT!GR702</f>
        <v>20.977353220008592</v>
      </c>
      <c r="EF83" s="635">
        <f>INPUT!GS702</f>
        <v>-2.228888058208554</v>
      </c>
      <c r="EG83" s="665">
        <f>INPUT!GT702</f>
        <v>20.599221418263888</v>
      </c>
      <c r="EH83" s="635">
        <f>INPUT!GU702</f>
        <v>-1.8025715531358628</v>
      </c>
      <c r="EI83" s="665">
        <f>INPUT!GV702</f>
        <v>20.272994327789107</v>
      </c>
      <c r="EJ83" s="635">
        <f>INPUT!GW702</f>
        <v>-1.5836865085858847</v>
      </c>
      <c r="EK83" s="665">
        <f>INPUT!GX702</f>
        <v>20.000005661941316</v>
      </c>
      <c r="EL83" s="635">
        <f>INPUT!GY702</f>
        <v>-1.3465631244891796</v>
      </c>
      <c r="EM83" s="635">
        <f>INPUT!GZ702</f>
        <v>-2.0563009263142362</v>
      </c>
    </row>
    <row r="84" spans="1:143" s="632" customFormat="1" ht="12.75" customHeight="1" x14ac:dyDescent="0.2">
      <c r="A84" s="670" t="str">
        <f>INPUT!B703</f>
        <v>LTD + Pref Equity to LT Capital (%)</v>
      </c>
      <c r="B84" s="665">
        <f>INPUT!AY703</f>
        <v>26.013356665833363</v>
      </c>
      <c r="C84" s="635">
        <f>INPUT!AZ703</f>
        <v>12.595515359487393</v>
      </c>
      <c r="D84" s="665">
        <f>INPUT!BA703</f>
        <v>26.738728488124018</v>
      </c>
      <c r="E84" s="635">
        <f>INPUT!BB703</f>
        <v>4.4280581675359088</v>
      </c>
      <c r="F84" s="665">
        <f>INPUT!BC703</f>
        <v>26.010593810984112</v>
      </c>
      <c r="G84" s="635">
        <f>INPUT!BD703</f>
        <v>3.7620966207073394</v>
      </c>
      <c r="H84" s="665">
        <f>INPUT!BE703</f>
        <v>31.337674539151845</v>
      </c>
      <c r="I84" s="635">
        <f>INPUT!BF703</f>
        <v>30.089800471884018</v>
      </c>
      <c r="J84" s="665">
        <f>INPUT!BG703</f>
        <v>31.833254381809567</v>
      </c>
      <c r="K84" s="635">
        <f>INPUT!BH703</f>
        <v>22.372728712939278</v>
      </c>
      <c r="L84" s="665">
        <f>INPUT!BI703</f>
        <v>30.096683314124729</v>
      </c>
      <c r="M84" s="635">
        <f>INPUT!BJ703</f>
        <v>12.558393820005847</v>
      </c>
      <c r="N84" s="665">
        <f>INPUT!BK703</f>
        <v>30.418404831579604</v>
      </c>
      <c r="O84" s="635">
        <f>INPUT!BL703</f>
        <v>16.946214502546653</v>
      </c>
      <c r="P84" s="665">
        <f>INPUT!BM703</f>
        <v>36.755646817248461</v>
      </c>
      <c r="Q84" s="635">
        <f>INPUT!BN703</f>
        <v>17.289005511010885</v>
      </c>
      <c r="R84" s="665">
        <f>INPUT!BO703</f>
        <v>37.227135340870923</v>
      </c>
      <c r="S84" s="635">
        <f>INPUT!BP703</f>
        <v>16.944170691337092</v>
      </c>
      <c r="T84" s="665">
        <f>INPUT!BQ703</f>
        <v>39.913129938772308</v>
      </c>
      <c r="U84" s="635">
        <f>INPUT!BR703</f>
        <v>32.616373446175061</v>
      </c>
      <c r="V84" s="665">
        <f>INPUT!BS703</f>
        <v>40.303022726704505</v>
      </c>
      <c r="W84" s="635">
        <f>INPUT!BT703</f>
        <v>32.495516940661361</v>
      </c>
      <c r="X84" s="665">
        <f>INPUT!BU703</f>
        <v>48.7010428432583</v>
      </c>
      <c r="Y84" s="635">
        <f>INPUT!BV703</f>
        <v>32.499485277468096</v>
      </c>
      <c r="Z84" s="665">
        <f>INPUT!BW703</f>
        <v>48.306513409961688</v>
      </c>
      <c r="AA84" s="635">
        <f>INPUT!BX703</f>
        <v>29.761564965024149</v>
      </c>
      <c r="AB84" s="665">
        <f>INPUT!BY703</f>
        <v>46.423657211828605</v>
      </c>
      <c r="AC84" s="635">
        <f>INPUT!BZ703</f>
        <v>16.311743235981751</v>
      </c>
      <c r="AD84" s="665">
        <f>INPUT!CA703</f>
        <v>47.374117753173834</v>
      </c>
      <c r="AE84" s="635">
        <f>INPUT!CB703</f>
        <v>17.544825544273806</v>
      </c>
      <c r="AF84" s="665">
        <f>INPUT!CC703</f>
        <v>43.819152561626716</v>
      </c>
      <c r="AG84" s="635">
        <f>INPUT!CD703</f>
        <v>-10.024200708275771</v>
      </c>
      <c r="AH84" s="665">
        <f>INPUT!CE703</f>
        <v>46.428738154147794</v>
      </c>
      <c r="AI84" s="635">
        <f>INPUT!CF703</f>
        <v>-3.8872092462517998</v>
      </c>
      <c r="AJ84" s="665">
        <f>INPUT!CG703</f>
        <v>46.397034041118971</v>
      </c>
      <c r="AK84" s="635">
        <f>INPUT!CH703</f>
        <v>-5.7348283846209824E-2</v>
      </c>
      <c r="AL84" s="665">
        <f>INPUT!CI703</f>
        <v>43.278331328445944</v>
      </c>
      <c r="AM84" s="635">
        <f>INPUT!CJ703</f>
        <v>-8.6456204758630975</v>
      </c>
      <c r="AN84" s="665">
        <f>INPUT!CK703</f>
        <v>44.35643564356436</v>
      </c>
      <c r="AO84" s="635">
        <f>INPUT!CL703</f>
        <v>1.2261375460924597</v>
      </c>
      <c r="AP84" s="665">
        <f>INPUT!CM703</f>
        <v>44.20694060038322</v>
      </c>
      <c r="AQ84" s="635">
        <f>INPUT!CN703</f>
        <v>-4.7853929313951937</v>
      </c>
      <c r="AR84" s="665">
        <f>INPUT!CO703</f>
        <v>44.062364301813446</v>
      </c>
      <c r="AS84" s="635">
        <f>INPUT!CP703</f>
        <v>-5.0319374665985066</v>
      </c>
      <c r="AT84" s="665">
        <f>INPUT!CQ703</f>
        <v>42.520641587909488</v>
      </c>
      <c r="AU84" s="635">
        <f>INPUT!CR703</f>
        <v>-1.7507369560675272</v>
      </c>
      <c r="AV84" s="665">
        <f>INPUT!CS703</f>
        <v>43.494999287067401</v>
      </c>
      <c r="AW84" s="635">
        <f>INPUT!CT703</f>
        <v>-1.9420775001382395</v>
      </c>
      <c r="AX84" s="665">
        <f>INPUT!CU703</f>
        <v>44.212201813726516</v>
      </c>
      <c r="AY84" s="635">
        <f>INPUT!CV703</f>
        <v>1.1901328777440767E-2</v>
      </c>
      <c r="AZ84" s="665">
        <f>INPUT!CW703</f>
        <v>42.299414687129151</v>
      </c>
      <c r="BA84" s="635">
        <f>INPUT!CX703</f>
        <v>-4.0010327240014618</v>
      </c>
      <c r="BB84" s="665">
        <f>INPUT!CY703</f>
        <v>41.167563930013458</v>
      </c>
      <c r="BC84" s="635">
        <f>INPUT!CZ703</f>
        <v>-3.1821666074783934</v>
      </c>
      <c r="BD84" s="665">
        <f>INPUT!DA703</f>
        <v>40.592840179435306</v>
      </c>
      <c r="BE84" s="635">
        <f>INPUT!DB703</f>
        <v>-6.6723971840482506</v>
      </c>
      <c r="BF84" s="665">
        <f>INPUT!DC703</f>
        <v>40.755408708246584</v>
      </c>
      <c r="BG84" s="635">
        <f>INPUT!DD703</f>
        <v>-7.8186404740573323</v>
      </c>
      <c r="BH84" s="665">
        <f>INPUT!DE703</f>
        <v>40.26540329043511</v>
      </c>
      <c r="BI84" s="635">
        <f>INPUT!DF703</f>
        <v>-4.8086041183755412</v>
      </c>
      <c r="BJ84" s="665">
        <f>INPUT!DG703</f>
        <v>39.620103439478626</v>
      </c>
      <c r="BK84" s="635">
        <f>INPUT!DH703</f>
        <v>-3.7589314081483565</v>
      </c>
      <c r="BL84" s="665">
        <f>INPUT!DI703</f>
        <v>40.287481117824775</v>
      </c>
      <c r="BM84" s="635">
        <f>INPUT!DJ703</f>
        <v>-0.7522485745287355</v>
      </c>
      <c r="BN84" s="665">
        <f>INPUT!DK703</f>
        <v>38.108441158348739</v>
      </c>
      <c r="BO84" s="635">
        <f>INPUT!DL703</f>
        <v>-6.4947638455708869</v>
      </c>
      <c r="BP84" s="665">
        <f>INPUT!DM703</f>
        <v>38.84408909194746</v>
      </c>
      <c r="BQ84" s="635">
        <f>INPUT!DN703</f>
        <v>-3.5298645545300644</v>
      </c>
      <c r="BR84" s="665">
        <f>INPUT!DO703</f>
        <v>37.482553270680192</v>
      </c>
      <c r="BS84" s="635">
        <f>INPUT!DP703</f>
        <v>-5.395115063401164</v>
      </c>
      <c r="BT84" s="665">
        <f>INPUT!DQ703</f>
        <v>37.324576736752732</v>
      </c>
      <c r="BU84" s="635">
        <f>INPUT!DR703</f>
        <v>-7.3544046410018353</v>
      </c>
      <c r="BV84" s="665">
        <f>INPUT!DS703</f>
        <v>35.179470135789579</v>
      </c>
      <c r="BW84" s="635">
        <f>INPUT!DT703</f>
        <v>-7.6858851570145816</v>
      </c>
      <c r="BX84" s="665">
        <f>INPUT!DU703</f>
        <v>33.679181207110567</v>
      </c>
      <c r="BY84" s="635">
        <f>INPUT!DV703</f>
        <v>-13.296509213051934</v>
      </c>
      <c r="BZ84" s="665">
        <f>INPUT!DW703</f>
        <v>33.053407166720064</v>
      </c>
      <c r="CA84" s="635">
        <f>INPUT!DX703</f>
        <v>-11.816553883016084</v>
      </c>
      <c r="CB84" s="665">
        <f>INPUT!DY703</f>
        <v>31.861075308414655</v>
      </c>
      <c r="CC84" s="635">
        <f>INPUT!DZ703</f>
        <v>-14.637812149543493</v>
      </c>
      <c r="CD84" s="665">
        <f>INPUT!EA703</f>
        <v>31.372950353642171</v>
      </c>
      <c r="CE84" s="635">
        <f>INPUT!EB703</f>
        <v>-10.82028742176783</v>
      </c>
      <c r="CF84" s="665">
        <f>INPUT!EC703</f>
        <v>30.173638154579191</v>
      </c>
      <c r="CG84" s="635">
        <f>INPUT!ED703</f>
        <v>-10.40863502878527</v>
      </c>
      <c r="CH84" s="665">
        <f>INPUT!EE703</f>
        <v>29.117170626349893</v>
      </c>
      <c r="CI84" s="635">
        <f>INPUT!EF703</f>
        <v>-11.908716461561582</v>
      </c>
      <c r="CJ84" s="665">
        <f>INPUT!EG703</f>
        <v>28.123130722863849</v>
      </c>
      <c r="CK84" s="635">
        <f>INPUT!EH703</f>
        <v>-11.732010138915811</v>
      </c>
      <c r="CL84" s="665">
        <f>INPUT!EI703</f>
        <v>27.307474838855594</v>
      </c>
      <c r="CM84" s="635">
        <f>INPUT!EJ703</f>
        <v>-12.958537431002583</v>
      </c>
      <c r="CN84" s="665">
        <f>INPUT!EK703</f>
        <v>26.900291651476486</v>
      </c>
      <c r="CO84" s="635">
        <f>INPUT!EL703</f>
        <v>-10.848365339086357</v>
      </c>
      <c r="CP84" s="665">
        <f>INPUT!EM703</f>
        <v>23.770510303112374</v>
      </c>
      <c r="CQ84" s="635">
        <f>INPUT!EN703</f>
        <v>-18.362568231128208</v>
      </c>
      <c r="CR84" s="665">
        <f>INPUT!EO703</f>
        <v>22.189504679777052</v>
      </c>
      <c r="CS84" s="635">
        <f>INPUT!EP703</f>
        <v>-21.098739331545374</v>
      </c>
      <c r="CT84" s="665">
        <f>INPUT!EQ703</f>
        <v>21.575259477383575</v>
      </c>
      <c r="CU84" s="635">
        <f>INPUT!ER703</f>
        <v>-20.99137835079388</v>
      </c>
      <c r="CV84" s="665">
        <f>INPUT!ES703</f>
        <v>21.510304807926556</v>
      </c>
      <c r="CW84" s="635">
        <f>INPUT!ET703</f>
        <v>-20.036908571041792</v>
      </c>
      <c r="CX84" s="665">
        <f>INPUT!EU703</f>
        <v>21.453858359557785</v>
      </c>
      <c r="CY84" s="635">
        <f>INPUT!EV703</f>
        <v>-9.7459074879484575</v>
      </c>
      <c r="CZ84" s="665">
        <f>INPUT!EW703</f>
        <v>21.455573945499946</v>
      </c>
      <c r="DA84" s="635">
        <f>INPUT!EX703</f>
        <v>-3.3075579868440741</v>
      </c>
      <c r="DB84" s="666"/>
      <c r="DC84" s="665">
        <f>INPUT!FP703</f>
        <v>24.089263282346856</v>
      </c>
      <c r="DD84" s="635">
        <f>INPUT!FQ703</f>
        <v>3.5752244140926877</v>
      </c>
      <c r="DE84" s="665">
        <f>INPUT!FR703</f>
        <v>31.337674539151845</v>
      </c>
      <c r="DF84" s="635">
        <f>INPUT!FS703</f>
        <v>30.089800471884018</v>
      </c>
      <c r="DG84" s="665">
        <f>INPUT!FT703</f>
        <v>36.755646817248461</v>
      </c>
      <c r="DH84" s="635">
        <f>INPUT!FU703</f>
        <v>17.289005511010885</v>
      </c>
      <c r="DI84" s="665">
        <f>INPUT!FV703</f>
        <v>48.7010428432583</v>
      </c>
      <c r="DJ84" s="635">
        <f>INPUT!FW703</f>
        <v>32.499485277468096</v>
      </c>
      <c r="DK84" s="665">
        <f>INPUT!FX703</f>
        <v>43.819152561626716</v>
      </c>
      <c r="DL84" s="635">
        <f>INPUT!FY703</f>
        <v>-10.024200708275771</v>
      </c>
      <c r="DM84" s="665">
        <f>INPUT!FZ703</f>
        <v>44.35643564356436</v>
      </c>
      <c r="DN84" s="635">
        <f>INPUT!GA703</f>
        <v>1.2261375460924597</v>
      </c>
      <c r="DO84" s="665">
        <f>INPUT!GB703</f>
        <v>43.494999287067401</v>
      </c>
      <c r="DP84" s="635">
        <f>INPUT!GC703</f>
        <v>-1.9420775001382395</v>
      </c>
      <c r="DQ84" s="665">
        <f>INPUT!GD703</f>
        <v>40.592840179435306</v>
      </c>
      <c r="DR84" s="635">
        <f>INPUT!GE703</f>
        <v>-6.6723971840482506</v>
      </c>
      <c r="DS84" s="665">
        <f>INPUT!GF703</f>
        <v>40.287481117824775</v>
      </c>
      <c r="DT84" s="635">
        <f>INPUT!GG703</f>
        <v>-0.7522485745287355</v>
      </c>
      <c r="DU84" s="665">
        <f>INPUT!GH703</f>
        <v>37.324576736752732</v>
      </c>
      <c r="DV84" s="635">
        <f>INPUT!GI703</f>
        <v>-7.3544046410018353</v>
      </c>
      <c r="DW84" s="665">
        <f>INPUT!GJ703</f>
        <v>31.861075308414655</v>
      </c>
      <c r="DX84" s="635">
        <f>INPUT!GK703</f>
        <v>-14.637812149543493</v>
      </c>
      <c r="DY84" s="665">
        <f>INPUT!GL703</f>
        <v>28.123130722863849</v>
      </c>
      <c r="DZ84" s="635">
        <f>INPUT!GM703</f>
        <v>-11.732010138915811</v>
      </c>
      <c r="EA84" s="665">
        <f>INPUT!GN703</f>
        <v>22.189504679777052</v>
      </c>
      <c r="EB84" s="635">
        <f>INPUT!GO703</f>
        <v>-21.098739331545374</v>
      </c>
      <c r="EC84" s="665">
        <f>INPUT!GP703</f>
        <v>21.455573945499946</v>
      </c>
      <c r="ED84" s="635">
        <f>INPUT!GQ703</f>
        <v>-3.3075579868440741</v>
      </c>
      <c r="EE84" s="665">
        <f>INPUT!GR703</f>
        <v>20.977353220008592</v>
      </c>
      <c r="EF84" s="635">
        <f>INPUT!GS703</f>
        <v>-2.228888058208554</v>
      </c>
      <c r="EG84" s="665">
        <f>INPUT!GT703</f>
        <v>20.599221418263888</v>
      </c>
      <c r="EH84" s="635">
        <f>INPUT!GU703</f>
        <v>-1.8025715531358628</v>
      </c>
      <c r="EI84" s="665">
        <f>INPUT!GV703</f>
        <v>20.272994327789107</v>
      </c>
      <c r="EJ84" s="635">
        <f>INPUT!GW703</f>
        <v>-1.5836865085858847</v>
      </c>
      <c r="EK84" s="665">
        <f>INPUT!GX703</f>
        <v>20.000005661941316</v>
      </c>
      <c r="EL84" s="635">
        <f>INPUT!GY703</f>
        <v>-1.3465631244891796</v>
      </c>
      <c r="EM84" s="635">
        <f>INPUT!GZ703</f>
        <v>-2.0563009263142362</v>
      </c>
    </row>
    <row r="85" spans="1:143" s="632" customFormat="1" ht="12.75" customHeight="1" x14ac:dyDescent="0.2">
      <c r="A85" s="670" t="str">
        <f>INPUT!B704</f>
        <v>LTD + Pref Equity to Common Equity (%)</v>
      </c>
      <c r="B85" s="665">
        <f>INPUT!AY704</f>
        <v>35.159530820099434</v>
      </c>
      <c r="C85" s="635">
        <f>INPUT!AZ704</f>
        <v>17.024039464256731</v>
      </c>
      <c r="D85" s="665">
        <f>INPUT!BA704</f>
        <v>36.4977674238012</v>
      </c>
      <c r="E85" s="635">
        <f>INPUT!BB704</f>
        <v>6.0442005389137847</v>
      </c>
      <c r="F85" s="665">
        <f>INPUT!BC704</f>
        <v>35.154483798040694</v>
      </c>
      <c r="G85" s="635">
        <f>INPUT!BD704</f>
        <v>5.0846422677005592</v>
      </c>
      <c r="H85" s="665">
        <f>INPUT!BE704</f>
        <v>45.640275549683871</v>
      </c>
      <c r="I85" s="635">
        <f>INPUT!BF704</f>
        <v>43.822868319601952</v>
      </c>
      <c r="J85" s="665">
        <f>INPUT!BG704</f>
        <v>46.699096594857544</v>
      </c>
      <c r="K85" s="635">
        <f>INPUT!BH704</f>
        <v>32.820590905500239</v>
      </c>
      <c r="L85" s="665">
        <f>INPUT!BI704</f>
        <v>43.054728646668195</v>
      </c>
      <c r="M85" s="635">
        <f>INPUT!BJ704</f>
        <v>17.965376201589308</v>
      </c>
      <c r="N85" s="665">
        <f>INPUT!BK704</f>
        <v>43.716164824840057</v>
      </c>
      <c r="O85" s="635">
        <f>INPUT!BL704</f>
        <v>24.354449566050931</v>
      </c>
      <c r="P85" s="665">
        <f>INPUT!BM704</f>
        <v>58.116883116883123</v>
      </c>
      <c r="Q85" s="635">
        <f>INPUT!BN704</f>
        <v>27.336836635916569</v>
      </c>
      <c r="R85" s="665">
        <f>INPUT!BO704</f>
        <v>59.304502897904584</v>
      </c>
      <c r="S85" s="635">
        <f>INPUT!BP704</f>
        <v>26.992826890006967</v>
      </c>
      <c r="T85" s="665">
        <f>INPUT!BQ704</f>
        <v>66.425709806653884</v>
      </c>
      <c r="U85" s="635">
        <f>INPUT!BR704</f>
        <v>54.282031020985784</v>
      </c>
      <c r="V85" s="665">
        <f>INPUT!BS704</f>
        <v>67.512669095782556</v>
      </c>
      <c r="W85" s="635">
        <f>INPUT!BT704</f>
        <v>54.434107763773994</v>
      </c>
      <c r="X85" s="665">
        <f>INPUT!BU704</f>
        <v>94.935736596855961</v>
      </c>
      <c r="Y85" s="635">
        <f>INPUT!BV704</f>
        <v>63.353111015819167</v>
      </c>
      <c r="Z85" s="665">
        <f>INPUT!BW704</f>
        <v>93.447969166913722</v>
      </c>
      <c r="AA85" s="635">
        <f>INPUT!BX704</f>
        <v>57.573143017130889</v>
      </c>
      <c r="AB85" s="665">
        <f>INPUT!BY704</f>
        <v>86.649544922051007</v>
      </c>
      <c r="AC85" s="635">
        <f>INPUT!BZ704</f>
        <v>30.445794518813386</v>
      </c>
      <c r="AD85" s="665">
        <f>INPUT!CA704</f>
        <v>90.020567315108408</v>
      </c>
      <c r="AE85" s="635">
        <f>INPUT!CB704</f>
        <v>33.338777033675143</v>
      </c>
      <c r="AF85" s="665">
        <f>INPUT!CC704</f>
        <v>77.996603041087027</v>
      </c>
      <c r="AG85" s="635">
        <f>INPUT!CD704</f>
        <v>-17.842736742751427</v>
      </c>
      <c r="AH85" s="665">
        <f>INPUT!CE704</f>
        <v>86.667247614483031</v>
      </c>
      <c r="AI85" s="635">
        <f>INPUT!CF704</f>
        <v>-7.2561465089938935</v>
      </c>
      <c r="AJ85" s="665">
        <f>INPUT!CG704</f>
        <v>86.556841046277668</v>
      </c>
      <c r="AK85" s="635">
        <f>INPUT!CH704</f>
        <v>-0.10698714673773679</v>
      </c>
      <c r="AL85" s="665">
        <f>INPUT!CI704</f>
        <v>76.299467808411023</v>
      </c>
      <c r="AM85" s="635">
        <f>INPUT!CJ704</f>
        <v>-15.242182887681651</v>
      </c>
      <c r="AN85" s="665">
        <f>INPUT!CK704</f>
        <v>79.715302491103202</v>
      </c>
      <c r="AO85" s="635">
        <f>INPUT!CL704</f>
        <v>2.2035567999170382</v>
      </c>
      <c r="AP85" s="665">
        <f>INPUT!CM704</f>
        <v>79.233763260322064</v>
      </c>
      <c r="AQ85" s="635">
        <f>INPUT!CN704</f>
        <v>-8.5770398377330537</v>
      </c>
      <c r="AR85" s="665">
        <f>INPUT!CO704</f>
        <v>78.770516043176116</v>
      </c>
      <c r="AS85" s="635">
        <f>INPUT!CP704</f>
        <v>-8.995620576008065</v>
      </c>
      <c r="AT85" s="665">
        <f>INPUT!CQ704</f>
        <v>73.975497922338434</v>
      </c>
      <c r="AU85" s="635">
        <f>INPUT!CR704</f>
        <v>-3.0458533366289089</v>
      </c>
      <c r="AV85" s="665">
        <f>INPUT!CS704</f>
        <v>76.975486661860131</v>
      </c>
      <c r="AW85" s="635">
        <f>INPUT!CT704</f>
        <v>-3.4370011072201123</v>
      </c>
      <c r="AX85" s="665">
        <f>INPUT!CU704</f>
        <v>79.250666366332538</v>
      </c>
      <c r="AY85" s="635">
        <f>INPUT!CV704</f>
        <v>2.1333211139975106E-2</v>
      </c>
      <c r="AZ85" s="665">
        <f>INPUT!CW704</f>
        <v>73.308467249973859</v>
      </c>
      <c r="BA85" s="635">
        <f>INPUT!CX704</f>
        <v>-6.934128488136821</v>
      </c>
      <c r="BB85" s="665">
        <f>INPUT!CY704</f>
        <v>69.974263654561057</v>
      </c>
      <c r="BC85" s="635">
        <f>INPUT!CZ704</f>
        <v>-5.4088642593227121</v>
      </c>
      <c r="BD85" s="665">
        <f>INPUT!DA704</f>
        <v>68.329878590464915</v>
      </c>
      <c r="BE85" s="635">
        <f>INPUT!DB704</f>
        <v>-11.23163807898203</v>
      </c>
      <c r="BF85" s="665">
        <f>INPUT!DC704</f>
        <v>68.791779670728445</v>
      </c>
      <c r="BG85" s="635">
        <f>INPUT!DD704</f>
        <v>-13.19722240221725</v>
      </c>
      <c r="BH85" s="665">
        <f>INPUT!DE704</f>
        <v>67.407173578502949</v>
      </c>
      <c r="BI85" s="635">
        <f>INPUT!DF704</f>
        <v>-8.0499482431519738</v>
      </c>
      <c r="BJ85" s="665">
        <f>INPUT!DG704</f>
        <v>65.618037950372582</v>
      </c>
      <c r="BK85" s="635">
        <f>INPUT!DH704</f>
        <v>-6.225468446075638</v>
      </c>
      <c r="BL85" s="665">
        <f>INPUT!DI704</f>
        <v>67.469069923712397</v>
      </c>
      <c r="BM85" s="635">
        <f>INPUT!DJ704</f>
        <v>-1.2597836912776756</v>
      </c>
      <c r="BN85" s="665">
        <f>INPUT!DK704</f>
        <v>61.572921851667495</v>
      </c>
      <c r="BO85" s="635">
        <f>INPUT!DL704</f>
        <v>-10.4937797126546</v>
      </c>
      <c r="BP85" s="665">
        <f>INPUT!DM704</f>
        <v>63.516491726121551</v>
      </c>
      <c r="BQ85" s="635">
        <f>INPUT!DN704</f>
        <v>-5.7719106822514732</v>
      </c>
      <c r="BR85" s="665">
        <f>INPUT!DO704</f>
        <v>59.9553488372093</v>
      </c>
      <c r="BS85" s="635">
        <f>INPUT!DP704</f>
        <v>-8.6297751198321606</v>
      </c>
      <c r="BT85" s="665">
        <f>INPUT!DQ704</f>
        <v>59.552173393362281</v>
      </c>
      <c r="BU85" s="635">
        <f>INPUT!DR704</f>
        <v>-11.734112444860713</v>
      </c>
      <c r="BV85" s="665">
        <f>INPUT!DS704</f>
        <v>54.272111334920346</v>
      </c>
      <c r="BW85" s="635">
        <f>INPUT!DT704</f>
        <v>-11.857177306503658</v>
      </c>
      <c r="BX85" s="665">
        <f>INPUT!DU704</f>
        <v>50.782215630186812</v>
      </c>
      <c r="BY85" s="635">
        <f>INPUT!DV704</f>
        <v>-20.048771192911602</v>
      </c>
      <c r="BZ85" s="665">
        <f>INPUT!DW704</f>
        <v>49.372799671873395</v>
      </c>
      <c r="CA85" s="635">
        <f>INPUT!DX704</f>
        <v>-17.650717359796587</v>
      </c>
      <c r="CB85" s="665">
        <f>INPUT!DY704</f>
        <v>46.758993413274787</v>
      </c>
      <c r="CC85" s="635">
        <f>INPUT!DZ704</f>
        <v>-21.482305768396074</v>
      </c>
      <c r="CD85" s="665">
        <f>INPUT!EA704</f>
        <v>45.715137857900316</v>
      </c>
      <c r="CE85" s="635">
        <f>INPUT!EB704</f>
        <v>-15.766796733250004</v>
      </c>
      <c r="CF85" s="665">
        <f>INPUT!EC704</f>
        <v>43.212387638606394</v>
      </c>
      <c r="CG85" s="635">
        <f>INPUT!ED704</f>
        <v>-14.906454745311734</v>
      </c>
      <c r="CH85" s="665">
        <f>INPUT!EE704</f>
        <v>41.077889925728435</v>
      </c>
      <c r="CI85" s="635">
        <f>INPUT!EF704</f>
        <v>-16.800565901208941</v>
      </c>
      <c r="CJ85" s="665">
        <f>INPUT!EG704</f>
        <v>39.126816465015047</v>
      </c>
      <c r="CK85" s="635">
        <f>INPUT!EH704</f>
        <v>-16.322372213626352</v>
      </c>
      <c r="CL85" s="665">
        <f>INPUT!EI704</f>
        <v>37.565726019725581</v>
      </c>
      <c r="CM85" s="635">
        <f>INPUT!EJ704</f>
        <v>-17.826506098496623</v>
      </c>
      <c r="CN85" s="665">
        <f>INPUT!EK704</f>
        <v>36.799451405772707</v>
      </c>
      <c r="CO85" s="635">
        <f>INPUT!EL704</f>
        <v>-14.840504270364136</v>
      </c>
      <c r="CP85" s="665">
        <f>INPUT!EM704</f>
        <v>31.182827535159142</v>
      </c>
      <c r="CQ85" s="635">
        <f>INPUT!EN704</f>
        <v>-24.088536213666828</v>
      </c>
      <c r="CR85" s="665">
        <f>INPUT!EO704</f>
        <v>28.517367211785377</v>
      </c>
      <c r="CS85" s="635">
        <f>INPUT!EP704</f>
        <v>-27.115544303779558</v>
      </c>
      <c r="CT85" s="665">
        <f>INPUT!EQ704</f>
        <v>27.510782099638082</v>
      </c>
      <c r="CU85" s="635">
        <f>INPUT!ER704</f>
        <v>-26.766270708591378</v>
      </c>
      <c r="CV85" s="665">
        <f>INPUT!ES704</f>
        <v>27.405259703567875</v>
      </c>
      <c r="CW85" s="635">
        <f>INPUT!ET704</f>
        <v>-25.528075401502235</v>
      </c>
      <c r="CX85" s="665">
        <f>INPUT!EU704</f>
        <v>27.313701108026823</v>
      </c>
      <c r="CY85" s="635">
        <f>INPUT!EV704</f>
        <v>-12.407875529471525</v>
      </c>
      <c r="CZ85" s="665">
        <f>INPUT!EW704</f>
        <v>27.316481924016419</v>
      </c>
      <c r="DA85" s="635">
        <f>INPUT!EX704</f>
        <v>-4.2110664664466952</v>
      </c>
      <c r="DB85" s="666"/>
      <c r="DC85" s="665">
        <f>INPUT!FP704</f>
        <v>31.733670787501218</v>
      </c>
      <c r="DD85" s="635">
        <f>INPUT!FQ704</f>
        <v>4.7097743595752206</v>
      </c>
      <c r="DE85" s="665">
        <f>INPUT!FR704</f>
        <v>45.640275549683871</v>
      </c>
      <c r="DF85" s="635">
        <f>INPUT!FS704</f>
        <v>43.822868319601952</v>
      </c>
      <c r="DG85" s="665">
        <f>INPUT!FT704</f>
        <v>58.116883116883123</v>
      </c>
      <c r="DH85" s="635">
        <f>INPUT!FU704</f>
        <v>27.336836635916569</v>
      </c>
      <c r="DI85" s="665">
        <f>INPUT!FV704</f>
        <v>94.935736596855961</v>
      </c>
      <c r="DJ85" s="635">
        <f>INPUT!FW704</f>
        <v>63.353111015819167</v>
      </c>
      <c r="DK85" s="665">
        <f>INPUT!FX704</f>
        <v>77.996603041087027</v>
      </c>
      <c r="DL85" s="635">
        <f>INPUT!FY704</f>
        <v>-17.842736742751427</v>
      </c>
      <c r="DM85" s="665">
        <f>INPUT!FZ704</f>
        <v>79.715302491103202</v>
      </c>
      <c r="DN85" s="635">
        <f>INPUT!GA704</f>
        <v>2.2035567999170382</v>
      </c>
      <c r="DO85" s="665">
        <f>INPUT!GB704</f>
        <v>76.975486661860131</v>
      </c>
      <c r="DP85" s="635">
        <f>INPUT!GC704</f>
        <v>-3.4370011072201123</v>
      </c>
      <c r="DQ85" s="665">
        <f>INPUT!GD704</f>
        <v>68.329878590464915</v>
      </c>
      <c r="DR85" s="635">
        <f>INPUT!GE704</f>
        <v>-11.23163807898203</v>
      </c>
      <c r="DS85" s="665">
        <f>INPUT!GF704</f>
        <v>67.469069923712397</v>
      </c>
      <c r="DT85" s="635">
        <f>INPUT!GG704</f>
        <v>-1.2597836912776756</v>
      </c>
      <c r="DU85" s="665">
        <f>INPUT!GH704</f>
        <v>59.552173393362281</v>
      </c>
      <c r="DV85" s="635">
        <f>INPUT!GI704</f>
        <v>-11.734112444860713</v>
      </c>
      <c r="DW85" s="665">
        <f>INPUT!GJ704</f>
        <v>46.758993413274787</v>
      </c>
      <c r="DX85" s="635">
        <f>INPUT!GK704</f>
        <v>-21.482305768396074</v>
      </c>
      <c r="DY85" s="665">
        <f>INPUT!GL704</f>
        <v>39.126816465015047</v>
      </c>
      <c r="DZ85" s="635">
        <f>INPUT!GM704</f>
        <v>-16.322372213626352</v>
      </c>
      <c r="EA85" s="665">
        <f>INPUT!GN704</f>
        <v>28.517367211785377</v>
      </c>
      <c r="EB85" s="635">
        <f>INPUT!GO704</f>
        <v>-27.115544303779558</v>
      </c>
      <c r="EC85" s="665">
        <f>INPUT!GP704</f>
        <v>27.316481924016419</v>
      </c>
      <c r="ED85" s="635">
        <f>INPUT!GQ704</f>
        <v>-4.2110664664466952</v>
      </c>
      <c r="EE85" s="665">
        <f>INPUT!GR704</f>
        <v>26.546001778973665</v>
      </c>
      <c r="EF85" s="635">
        <f>INPUT!GS704</f>
        <v>-2.8205687217919291</v>
      </c>
      <c r="EG85" s="665">
        <f>INPUT!GT704</f>
        <v>25.943349405646956</v>
      </c>
      <c r="EH85" s="635">
        <f>INPUT!GU704</f>
        <v>-2.2702189894526867</v>
      </c>
      <c r="EI85" s="665">
        <f>INPUT!GV704</f>
        <v>25.428014205298727</v>
      </c>
      <c r="EJ85" s="635">
        <f>INPUT!GW704</f>
        <v>-1.9863865389565376</v>
      </c>
      <c r="EK85" s="665">
        <f>INPUT!GX704</f>
        <v>25.000008846783935</v>
      </c>
      <c r="EL85" s="635">
        <f>INPUT!GY704</f>
        <v>-1.6832040247389983</v>
      </c>
      <c r="EM85" s="635">
        <f>INPUT!GZ704</f>
        <v>-2.5983874730653445</v>
      </c>
    </row>
    <row r="86" spans="1:143" s="632" customFormat="1" ht="12.75" customHeight="1" x14ac:dyDescent="0.2">
      <c r="A86" s="670" t="str">
        <f>INPUT!B705</f>
        <v>Equity to Total Assets (%)</v>
      </c>
      <c r="B86" s="672">
        <f>INPUT!AY705</f>
        <v>5.7486701500364896</v>
      </c>
      <c r="C86" s="635">
        <f>INPUT!AZ705</f>
        <v>-5.2241901892964222</v>
      </c>
      <c r="D86" s="672">
        <f>INPUT!BA705</f>
        <v>5.5716452903047857</v>
      </c>
      <c r="E86" s="635">
        <f>INPUT!BB705</f>
        <v>-8.2617015949974046</v>
      </c>
      <c r="F86" s="672">
        <f>INPUT!BC705</f>
        <v>5.6988713378873488</v>
      </c>
      <c r="G86" s="635">
        <f>INPUT!BD705</f>
        <v>-8.1363456727688117</v>
      </c>
      <c r="H86" s="672">
        <f>INPUT!BE705</f>
        <v>5.580731546115949</v>
      </c>
      <c r="I86" s="635">
        <f>INPUT!BF705</f>
        <v>-6.5125608032305138</v>
      </c>
      <c r="J86" s="672">
        <f>INPUT!BG705</f>
        <v>5.5964779913349876</v>
      </c>
      <c r="K86" s="635">
        <f>INPUT!BH705</f>
        <v>-2.6474324448852826</v>
      </c>
      <c r="L86" s="672">
        <f>INPUT!BI705</f>
        <v>5.5986461712029332</v>
      </c>
      <c r="M86" s="635">
        <f>INPUT!BJ705</f>
        <v>0.48461234503085393</v>
      </c>
      <c r="N86" s="672">
        <f>INPUT!BK705</f>
        <v>5.5113353355722898</v>
      </c>
      <c r="O86" s="635">
        <f>INPUT!BL705</f>
        <v>-3.2907569095002742</v>
      </c>
      <c r="P86" s="672">
        <f>INPUT!BM705</f>
        <v>5.1636165725559557</v>
      </c>
      <c r="Q86" s="635">
        <f>INPUT!BN705</f>
        <v>-7.4741988592928266</v>
      </c>
      <c r="R86" s="672">
        <f>INPUT!BO705</f>
        <v>5.5104743233515867</v>
      </c>
      <c r="S86" s="635">
        <f>INPUT!BP705</f>
        <v>-1.5367462914454393</v>
      </c>
      <c r="T86" s="672">
        <f>INPUT!BQ705</f>
        <v>5.6307499166323387</v>
      </c>
      <c r="U86" s="635">
        <f>INPUT!BR705</f>
        <v>0.57341979556653655</v>
      </c>
      <c r="V86" s="672">
        <f>INPUT!BS705</f>
        <v>6.0276275730449402</v>
      </c>
      <c r="W86" s="635">
        <f>INPUT!BT705</f>
        <v>9.3678247835928374</v>
      </c>
      <c r="X86" s="672">
        <f>INPUT!BU705</f>
        <v>5.0742731829248333</v>
      </c>
      <c r="Y86" s="635">
        <f>INPUT!BV705</f>
        <v>-1.7302483322633293</v>
      </c>
      <c r="Z86" s="672">
        <f>INPUT!BW705</f>
        <v>5.489015459723352</v>
      </c>
      <c r="AA86" s="635">
        <f>INPUT!BX705</f>
        <v>-0.38941953757590397</v>
      </c>
      <c r="AB86" s="672">
        <f>INPUT!BY705</f>
        <v>5.7830157460413414</v>
      </c>
      <c r="AC86" s="635">
        <f>INPUT!BZ705</f>
        <v>2.7041838416448627</v>
      </c>
      <c r="AD86" s="672">
        <f>INPUT!CA705</f>
        <v>5.7044945687775597</v>
      </c>
      <c r="AE86" s="635">
        <f>INPUT!CB705</f>
        <v>-5.3608654541366292</v>
      </c>
      <c r="AF86" s="672">
        <f>INPUT!CC705</f>
        <v>5.946446392285587</v>
      </c>
      <c r="AG86" s="635">
        <f>INPUT!CD705</f>
        <v>17.188140604957127</v>
      </c>
      <c r="AH86" s="665">
        <f>INPUT!CE705</f>
        <v>5.3925208172778714</v>
      </c>
      <c r="AI86" s="635">
        <f>INPUT!CF705</f>
        <v>-1.7579590211309721</v>
      </c>
      <c r="AJ86" s="665">
        <f>INPUT!CG705</f>
        <v>5.581917731292994</v>
      </c>
      <c r="AK86" s="635">
        <f>INPUT!CH705</f>
        <v>-3.4773900604715777</v>
      </c>
      <c r="AL86" s="665">
        <f>INPUT!CI705</f>
        <v>5.5078526184945371</v>
      </c>
      <c r="AM86" s="635">
        <f>INPUT!CJ705</f>
        <v>-3.4471406346725928</v>
      </c>
      <c r="AN86" s="665">
        <f>INPUT!CK705</f>
        <v>5.4646011552787863</v>
      </c>
      <c r="AO86" s="635">
        <f>INPUT!CL705</f>
        <v>-8.103078800675064</v>
      </c>
      <c r="AP86" s="665">
        <f>INPUT!CM705</f>
        <v>4.993759230146253</v>
      </c>
      <c r="AQ86" s="635">
        <f>INPUT!CN705</f>
        <v>-7.3947157673266446</v>
      </c>
      <c r="AR86" s="665">
        <f>INPUT!CO705</f>
        <v>5.0341103216754064</v>
      </c>
      <c r="AS86" s="635">
        <f>INPUT!CP705</f>
        <v>-9.813964232158142</v>
      </c>
      <c r="AT86" s="665">
        <f>INPUT!CQ705</f>
        <v>5.243918474687705</v>
      </c>
      <c r="AU86" s="635">
        <f>INPUT!CR705</f>
        <v>-4.7919608981652999</v>
      </c>
      <c r="AV86" s="665">
        <f>INPUT!CS705</f>
        <v>5.0813026745530046</v>
      </c>
      <c r="AW86" s="635">
        <f>INPUT!CT705</f>
        <v>-7.0142078046357881</v>
      </c>
      <c r="AX86" s="665">
        <f>INPUT!CU705</f>
        <v>4.7485938906666432</v>
      </c>
      <c r="AY86" s="635">
        <f>INPUT!CV705</f>
        <v>-4.9094345197821951</v>
      </c>
      <c r="AZ86" s="665">
        <f>INPUT!CW705</f>
        <v>5.0405535524771405</v>
      </c>
      <c r="BA86" s="635">
        <f>INPUT!CX705</f>
        <v>0.12799145012756696</v>
      </c>
      <c r="BB86" s="665">
        <f>INPUT!CY705</f>
        <v>4.7323905541646925</v>
      </c>
      <c r="BC86" s="635">
        <f>INPUT!CZ705</f>
        <v>-9.7546886549085059</v>
      </c>
      <c r="BD86" s="665">
        <f>INPUT!DA705</f>
        <v>4.2933310025347433</v>
      </c>
      <c r="BE86" s="635">
        <f>INPUT!DB705</f>
        <v>-15.507276824197021</v>
      </c>
      <c r="BF86" s="665">
        <f>INPUT!DC705</f>
        <v>4.0837624463576221</v>
      </c>
      <c r="BG86" s="635">
        <f>INPUT!DD705</f>
        <v>-14.000595957800201</v>
      </c>
      <c r="BH86" s="665">
        <f>INPUT!DE705</f>
        <v>4.031074088860823</v>
      </c>
      <c r="BI86" s="635">
        <f>INPUT!DF705</f>
        <v>-20.027154817554049</v>
      </c>
      <c r="BJ86" s="665">
        <f>INPUT!DG705</f>
        <v>4.0215582959121727</v>
      </c>
      <c r="BK86" s="635">
        <f>INPUT!DH705</f>
        <v>-15.020574699333693</v>
      </c>
      <c r="BL86" s="665">
        <f>INPUT!DI705</f>
        <v>3.8636637838217571</v>
      </c>
      <c r="BM86" s="635">
        <f>INPUT!DJ705</f>
        <v>-10.007782266480618</v>
      </c>
      <c r="BN86" s="665">
        <f>INPUT!DK705</f>
        <v>3.9206119979704148</v>
      </c>
      <c r="BO86" s="635">
        <f>INPUT!DL705</f>
        <v>-3.995101344171573</v>
      </c>
      <c r="BP86" s="665">
        <f>INPUT!DM705</f>
        <v>3.9290594238866738</v>
      </c>
      <c r="BQ86" s="635">
        <f>INPUT!DN705</f>
        <v>-2.5307067725708521</v>
      </c>
      <c r="BR86" s="665">
        <f>INPUT!DO705</f>
        <v>3.9509973419895088</v>
      </c>
      <c r="BS86" s="635">
        <f>INPUT!DP705</f>
        <v>-1.7545674768506387</v>
      </c>
      <c r="BT86" s="665">
        <f>INPUT!DQ705</f>
        <v>3.6916700250925896</v>
      </c>
      <c r="BU86" s="635">
        <f>INPUT!DR705</f>
        <v>-4.4515715743526556</v>
      </c>
      <c r="BV86" s="665">
        <f>INPUT!DS705</f>
        <v>3.9311300001151768</v>
      </c>
      <c r="BW86" s="635">
        <f>INPUT!DT705</f>
        <v>0.26827449771124634</v>
      </c>
      <c r="BX86" s="665">
        <f>INPUT!DU705</f>
        <v>4.1312632033520469</v>
      </c>
      <c r="BY86" s="635">
        <f>INPUT!DV705</f>
        <v>5.1463660293880338</v>
      </c>
      <c r="BZ86" s="665">
        <f>INPUT!DW705</f>
        <v>4.3160638654123327</v>
      </c>
      <c r="CA86" s="635">
        <f>INPUT!DX705</f>
        <v>9.2398574796052912</v>
      </c>
      <c r="CB86" s="665">
        <f>INPUT!DY705</f>
        <v>4.3347057583282576</v>
      </c>
      <c r="CC86" s="635">
        <f>INPUT!DZ705</f>
        <v>17.418559320440366</v>
      </c>
      <c r="CD86" s="665">
        <f>INPUT!EA705</f>
        <v>4.3705146680763853</v>
      </c>
      <c r="CE86" s="635">
        <f>INPUT!EB705</f>
        <v>11.177057689476939</v>
      </c>
      <c r="CF86" s="665">
        <f>INPUT!EC705</f>
        <v>4.3046680270859961</v>
      </c>
      <c r="CG86" s="635">
        <f>INPUT!ED705</f>
        <v>4.1973802006430248</v>
      </c>
      <c r="CH86" s="665">
        <f>INPUT!EE705</f>
        <v>4.3071875320414232</v>
      </c>
      <c r="CI86" s="635">
        <f>INPUT!EF705</f>
        <v>-0.2056580636362213</v>
      </c>
      <c r="CJ86" s="665">
        <f>INPUT!EG705</f>
        <v>4.4171414836912728</v>
      </c>
      <c r="CK86" s="635">
        <f>INPUT!EH705</f>
        <v>1.9017605798186281</v>
      </c>
      <c r="CL86" s="665">
        <f>INPUT!EI705</f>
        <v>4.4663477973280568</v>
      </c>
      <c r="CM86" s="635">
        <f>INPUT!EJ705</f>
        <v>2.1927195428874029</v>
      </c>
      <c r="CN86" s="665">
        <f>INPUT!EK705</f>
        <v>4.3803752851913496</v>
      </c>
      <c r="CO86" s="635">
        <f>INPUT!EL705</f>
        <v>1.7587246595785189</v>
      </c>
      <c r="CP86" s="665">
        <f>INPUT!EM705</f>
        <v>4.5575068986688434</v>
      </c>
      <c r="CQ86" s="635">
        <f>INPUT!EN705</f>
        <v>5.8116663081251971</v>
      </c>
      <c r="CR86" s="665">
        <f>INPUT!EO705</f>
        <v>4.9214195824475793</v>
      </c>
      <c r="CS86" s="635">
        <f>INPUT!EP705</f>
        <v>11.416390002859885</v>
      </c>
      <c r="CT86" s="665">
        <f>INPUT!EQ705</f>
        <v>5.0280409179696024</v>
      </c>
      <c r="CU86" s="635">
        <f>INPUT!ER705</f>
        <v>12.576116910948414</v>
      </c>
      <c r="CV86" s="665">
        <f>INPUT!ES705</f>
        <v>4.9813586684225033</v>
      </c>
      <c r="CW86" s="635">
        <f>INPUT!ET705</f>
        <v>13.719906266088373</v>
      </c>
      <c r="CX86" s="665">
        <f>INPUT!EU705</f>
        <v>4.9326678401343127</v>
      </c>
      <c r="CY86" s="635">
        <f>INPUT!EV705</f>
        <v>8.2317141763415833</v>
      </c>
      <c r="CZ86" s="665">
        <f>INPUT!EW705</f>
        <v>4.867646340616119</v>
      </c>
      <c r="DA86" s="635">
        <f>INPUT!EX705</f>
        <v>-1.0926368079495603</v>
      </c>
      <c r="DB86" s="671"/>
      <c r="DC86" s="672">
        <f>INPUT!FP705</f>
        <v>5.969498784077075</v>
      </c>
      <c r="DD86" s="635">
        <f>INPUT!FQ705</f>
        <v>0.79408809659346957</v>
      </c>
      <c r="DE86" s="672">
        <f>INPUT!FR705</f>
        <v>5.580731546115949</v>
      </c>
      <c r="DF86" s="635">
        <f>INPUT!FS705</f>
        <v>-6.5125608032305138</v>
      </c>
      <c r="DG86" s="672">
        <f>INPUT!FT705</f>
        <v>5.1636165725559557</v>
      </c>
      <c r="DH86" s="635">
        <f>INPUT!FU705</f>
        <v>-7.4741988592928266</v>
      </c>
      <c r="DI86" s="672">
        <f>INPUT!FV705</f>
        <v>5.0742731829248333</v>
      </c>
      <c r="DJ86" s="635">
        <f>INPUT!FW705</f>
        <v>-1.7302483322633293</v>
      </c>
      <c r="DK86" s="665">
        <f>INPUT!FX705</f>
        <v>5.946446392285587</v>
      </c>
      <c r="DL86" s="635">
        <f>INPUT!FY705</f>
        <v>17.188140604957127</v>
      </c>
      <c r="DM86" s="665">
        <f>INPUT!FZ705</f>
        <v>5.4646011552787863</v>
      </c>
      <c r="DN86" s="635">
        <f>INPUT!GA705</f>
        <v>-8.103078800675064</v>
      </c>
      <c r="DO86" s="665">
        <f>INPUT!GB705</f>
        <v>5.0813026745530046</v>
      </c>
      <c r="DP86" s="635">
        <f>INPUT!GC705</f>
        <v>-7.0142078046357881</v>
      </c>
      <c r="DQ86" s="665">
        <f>INPUT!GD705</f>
        <v>4.2933310025347433</v>
      </c>
      <c r="DR86" s="635">
        <f>INPUT!GE705</f>
        <v>-15.507276824197021</v>
      </c>
      <c r="DS86" s="665">
        <f>INPUT!GF705</f>
        <v>3.8636637838217571</v>
      </c>
      <c r="DT86" s="635">
        <f>INPUT!GG705</f>
        <v>-10.007782266480618</v>
      </c>
      <c r="DU86" s="665">
        <f>INPUT!GH705</f>
        <v>3.6916700250925896</v>
      </c>
      <c r="DV86" s="635">
        <f>INPUT!GI705</f>
        <v>-4.4515715743526556</v>
      </c>
      <c r="DW86" s="665">
        <f>INPUT!GJ705</f>
        <v>4.3347057583282576</v>
      </c>
      <c r="DX86" s="635">
        <f>INPUT!GK705</f>
        <v>17.418559320440366</v>
      </c>
      <c r="DY86" s="665">
        <f>INPUT!GL705</f>
        <v>4.4171414836912728</v>
      </c>
      <c r="DZ86" s="635">
        <f>INPUT!GM705</f>
        <v>1.9017605798186281</v>
      </c>
      <c r="EA86" s="665">
        <f>INPUT!GN705</f>
        <v>4.9214195824475793</v>
      </c>
      <c r="EB86" s="635">
        <f>INPUT!GO705</f>
        <v>11.416390002859885</v>
      </c>
      <c r="EC86" s="665">
        <f>INPUT!GP705</f>
        <v>4.867646340616119</v>
      </c>
      <c r="ED86" s="635">
        <f>INPUT!GQ705</f>
        <v>-1.0926368079495603</v>
      </c>
      <c r="EE86" s="665">
        <f>INPUT!GR705</f>
        <v>4.7533537547688365</v>
      </c>
      <c r="EF86" s="635">
        <f>INPUT!GS705</f>
        <v>-2.3480051312194519</v>
      </c>
      <c r="EG86" s="665">
        <f>INPUT!GT705</f>
        <v>4.6156814869521536</v>
      </c>
      <c r="EH86" s="635">
        <f>INPUT!GU705</f>
        <v>-2.8963185767220097</v>
      </c>
      <c r="EI86" s="665">
        <f>INPUT!GV705</f>
        <v>4.4690768824615112</v>
      </c>
      <c r="EJ86" s="635">
        <f>INPUT!GW705</f>
        <v>-3.1762287953592931</v>
      </c>
      <c r="EK86" s="665">
        <f>INPUT!GX705</f>
        <v>4.3138297161413259</v>
      </c>
      <c r="EL86" s="635">
        <f>INPUT!GY705</f>
        <v>-3.4738083591588804</v>
      </c>
      <c r="EM86" s="635">
        <f>INPUT!GZ705</f>
        <v>-2.6009948463323829</v>
      </c>
    </row>
    <row r="87" spans="1:143" s="632" customFormat="1" ht="12.75" customHeight="1" x14ac:dyDescent="0.2">
      <c r="A87" s="670" t="str">
        <f>INPUT!B706</f>
        <v>Oper Return on Avg Assets (%)</v>
      </c>
      <c r="B87" s="672">
        <f>INPUT!AY706</f>
        <v>0.16704635952705346</v>
      </c>
      <c r="C87" s="635">
        <f>INPUT!AZ706</f>
        <v>-37.055934438507578</v>
      </c>
      <c r="D87" s="672">
        <f>INPUT!BA706</f>
        <v>0.17522938012606781</v>
      </c>
      <c r="E87" s="635">
        <f>INPUT!BB706</f>
        <v>-27.631349007811153</v>
      </c>
      <c r="F87" s="672">
        <f>INPUT!BC706</f>
        <v>0.20828580247742004</v>
      </c>
      <c r="G87" s="635">
        <f>INPUT!BD706</f>
        <v>-29.214070028048795</v>
      </c>
      <c r="H87" s="672">
        <f>INPUT!BE706</f>
        <v>0.18879798615481436</v>
      </c>
      <c r="I87" s="635">
        <f>INPUT!BF706</f>
        <v>-13.473958363884861</v>
      </c>
      <c r="J87" s="672">
        <f>INPUT!BG706</f>
        <v>0.20316887440398868</v>
      </c>
      <c r="K87" s="635">
        <f>INPUT!BH706</f>
        <v>21.624245496403717</v>
      </c>
      <c r="L87" s="672">
        <f>INPUT!BI706</f>
        <v>0.20512557531313702</v>
      </c>
      <c r="M87" s="635">
        <f>INPUT!BJ706</f>
        <v>17.061177278353995</v>
      </c>
      <c r="N87" s="672">
        <f>INPUT!BK706</f>
        <v>0.22586833552790558</v>
      </c>
      <c r="O87" s="635">
        <f>INPUT!BL706</f>
        <v>8.441541786023393</v>
      </c>
      <c r="P87" s="672">
        <f>INPUT!BM706</f>
        <v>0.18951726550882955</v>
      </c>
      <c r="Q87" s="635">
        <f>INPUT!BN706</f>
        <v>0.38097829784338444</v>
      </c>
      <c r="R87" s="672">
        <f>INPUT!BO706</f>
        <v>0.16533879712954158</v>
      </c>
      <c r="S87" s="635">
        <f>INPUT!BP706</f>
        <v>-18.620016173946183</v>
      </c>
      <c r="T87" s="672">
        <f>INPUT!BQ706</f>
        <v>0.20400557092135979</v>
      </c>
      <c r="U87" s="635">
        <f>INPUT!BR706</f>
        <v>-0.54600914101884257</v>
      </c>
      <c r="V87" s="672">
        <f>INPUT!BS706</f>
        <v>0.1055219803799801</v>
      </c>
      <c r="W87" s="635" t="str">
        <f>INPUT!BT706</f>
        <v>NM</v>
      </c>
      <c r="X87" s="672">
        <f>INPUT!BU706</f>
        <v>-0.22813312789226295</v>
      </c>
      <c r="Y87" s="635" t="str">
        <f>INPUT!BV706</f>
        <v>NM</v>
      </c>
      <c r="Z87" s="672">
        <f>INPUT!BW706</f>
        <v>5.1261187957689171E-2</v>
      </c>
      <c r="AA87" s="635" t="str">
        <f>INPUT!BX706</f>
        <v>NM</v>
      </c>
      <c r="AB87" s="672">
        <f>INPUT!BY706</f>
        <v>0.22434786687129832</v>
      </c>
      <c r="AC87" s="635">
        <f>INPUT!BZ706</f>
        <v>9.9714413964607331</v>
      </c>
      <c r="AD87" s="672">
        <f>INPUT!CA706</f>
        <v>0.20043215127249972</v>
      </c>
      <c r="AE87" s="635">
        <f>INPUT!CB706</f>
        <v>89.943508026244558</v>
      </c>
      <c r="AF87" s="672">
        <f>INPUT!CC706</f>
        <v>0.13322271519436329</v>
      </c>
      <c r="AG87" s="635" t="str">
        <f>INPUT!CD706</f>
        <v>NM</v>
      </c>
      <c r="AH87" s="665">
        <f>INPUT!CE706</f>
        <v>0.14896336535027535</v>
      </c>
      <c r="AI87" s="635" t="str">
        <f>INPUT!CF706</f>
        <v>NM</v>
      </c>
      <c r="AJ87" s="665">
        <f>INPUT!CG706</f>
        <v>8.8679863353455943E-2</v>
      </c>
      <c r="AK87" s="635" t="str">
        <f>INPUT!CH706</f>
        <v>NM</v>
      </c>
      <c r="AL87" s="665">
        <f>INPUT!CI706</f>
        <v>0.19879488863519151</v>
      </c>
      <c r="AM87" s="635">
        <f>INPUT!CJ706</f>
        <v>-0.81686626966461517</v>
      </c>
      <c r="AN87" s="665">
        <f>INPUT!CK706</f>
        <v>0.16797061155407009</v>
      </c>
      <c r="AO87" s="635">
        <f>INPUT!CL706</f>
        <v>26.082561302711667</v>
      </c>
      <c r="AP87" s="665">
        <f>INPUT!CM706</f>
        <v>0.15343718736601403</v>
      </c>
      <c r="AQ87" s="635">
        <f>INPUT!CN706</f>
        <v>3.0033035338714598</v>
      </c>
      <c r="AR87" s="665">
        <f>INPUT!CO706</f>
        <v>0.14735547309694924</v>
      </c>
      <c r="AS87" s="635">
        <f>INPUT!CP706</f>
        <v>66.165651958243188</v>
      </c>
      <c r="AT87" s="665">
        <f>INPUT!CQ706</f>
        <v>8.151591997745844E-2</v>
      </c>
      <c r="AU87" s="635" t="str">
        <f>INPUT!CR706</f>
        <v>NM</v>
      </c>
      <c r="AV87" s="665">
        <f>INPUT!CS706</f>
        <v>0.1678075479509015</v>
      </c>
      <c r="AW87" s="635">
        <f>INPUT!CT706</f>
        <v>-9.7078650640085584E-2</v>
      </c>
      <c r="AX87" s="665">
        <f>INPUT!CU706</f>
        <v>0.14636907361684298</v>
      </c>
      <c r="AY87" s="635">
        <f>INPUT!CV706</f>
        <v>-4.6065193650288592</v>
      </c>
      <c r="AZ87" s="665">
        <f>INPUT!CW706</f>
        <v>0.11872632326171449</v>
      </c>
      <c r="BA87" s="635">
        <f>INPUT!CX706</f>
        <v>-19.428630123835873</v>
      </c>
      <c r="BB87" s="665">
        <f>INPUT!CY706</f>
        <v>0.13213004939441098</v>
      </c>
      <c r="BC87" s="635">
        <f>INPUT!CZ706</f>
        <v>62.091097580630674</v>
      </c>
      <c r="BD87" s="665">
        <f>INPUT!DA706</f>
        <v>0.13309389675091973</v>
      </c>
      <c r="BE87" s="635">
        <f>INPUT!DB706</f>
        <v>-20.686585093382433</v>
      </c>
      <c r="BF87" s="665">
        <f>INPUT!DC706</f>
        <v>0.16752957253011072</v>
      </c>
      <c r="BG87" s="635">
        <f>INPUT!DD706</f>
        <v>14.456946669390391</v>
      </c>
      <c r="BH87" s="665">
        <f>INPUT!DE706</f>
        <v>0.17447362853929832</v>
      </c>
      <c r="BI87" s="635">
        <f>INPUT!DF706</f>
        <v>46.954461105223658</v>
      </c>
      <c r="BJ87" s="665">
        <f>INPUT!DG706</f>
        <v>0.21289512343190278</v>
      </c>
      <c r="BK87" s="635">
        <f>INPUT!DH706</f>
        <v>61.125439979520763</v>
      </c>
      <c r="BL87" s="665">
        <f>INPUT!DI706</f>
        <v>0.16114252901298579</v>
      </c>
      <c r="BM87" s="635">
        <f>INPUT!DJ706</f>
        <v>21.074318918288213</v>
      </c>
      <c r="BN87" s="665">
        <f>INPUT!DK706</f>
        <v>0.17068330366015858</v>
      </c>
      <c r="BO87" s="635">
        <f>INPUT!DL706</f>
        <v>1.8824921967021737</v>
      </c>
      <c r="BP87" s="665">
        <f>INPUT!DM706</f>
        <v>0.1725962378129591</v>
      </c>
      <c r="BQ87" s="635">
        <f>INPUT!DN706</f>
        <v>-1.0760312272157222</v>
      </c>
      <c r="BR87" s="665">
        <f>INPUT!DO706</f>
        <v>0.15201232564156847</v>
      </c>
      <c r="BS87" s="635">
        <f>INPUT!DP706</f>
        <v>-28.597553954686262</v>
      </c>
      <c r="BT87" s="665">
        <f>INPUT!DQ706</f>
        <v>0.14826102176554165</v>
      </c>
      <c r="BU87" s="635">
        <f>INPUT!DR706</f>
        <v>-7.9938594276412687</v>
      </c>
      <c r="BV87" s="665">
        <f>INPUT!DS706</f>
        <v>0.18687444571138984</v>
      </c>
      <c r="BW87" s="635">
        <f>INPUT!DT706</f>
        <v>9.4860725706767681</v>
      </c>
      <c r="BX87" s="665">
        <f>INPUT!DU706</f>
        <v>0.19695608025303751</v>
      </c>
      <c r="BY87" s="635">
        <f>INPUT!DV706</f>
        <v>14.113773711844729</v>
      </c>
      <c r="BZ87" s="665">
        <f>INPUT!DW706</f>
        <v>0.16374990226638717</v>
      </c>
      <c r="CA87" s="635">
        <f>INPUT!DX706</f>
        <v>7.7214637532056827</v>
      </c>
      <c r="CB87" s="665">
        <f>INPUT!DY706</f>
        <v>0.13045846413343953</v>
      </c>
      <c r="CC87" s="635">
        <f>INPUT!DZ706</f>
        <v>-12.00757786510799</v>
      </c>
      <c r="CD87" s="665">
        <f>INPUT!EA706</f>
        <v>0.14439962632794789</v>
      </c>
      <c r="CE87" s="635">
        <f>INPUT!EB706</f>
        <v>-22.729067755492011</v>
      </c>
      <c r="CF87" s="665">
        <f>INPUT!EC706</f>
        <v>0.11707137964878586</v>
      </c>
      <c r="CG87" s="635">
        <f>INPUT!ED706</f>
        <v>-40.559651929313645</v>
      </c>
      <c r="CH87" s="665">
        <f>INPUT!EE706</f>
        <v>0.16282169588844458</v>
      </c>
      <c r="CI87" s="635">
        <f>INPUT!EF706</f>
        <v>-0.56684392790205607</v>
      </c>
      <c r="CJ87" s="665">
        <f>INPUT!EG706</f>
        <v>0.15410934694396922</v>
      </c>
      <c r="CK87" s="635">
        <f>INPUT!EH706</f>
        <v>18.129052007187795</v>
      </c>
      <c r="CL87" s="665">
        <f>INPUT!EI706</f>
        <v>0.1718948453780158</v>
      </c>
      <c r="CM87" s="635">
        <f>INPUT!EJ706</f>
        <v>19.04105969611247</v>
      </c>
      <c r="CN87" s="665">
        <f>INPUT!EK706</f>
        <v>0.12547736696873169</v>
      </c>
      <c r="CO87" s="635">
        <f>INPUT!EL706</f>
        <v>7.1802240181706196</v>
      </c>
      <c r="CP87" s="665">
        <f>INPUT!EM706</f>
        <v>0.17852203188568114</v>
      </c>
      <c r="CQ87" s="635">
        <f>INPUT!EN706</f>
        <v>9.6426559811743147</v>
      </c>
      <c r="CR87" s="665">
        <f>INPUT!EO706</f>
        <v>0.156043388842033</v>
      </c>
      <c r="CS87" s="635">
        <f>INPUT!EP706</f>
        <v>1.2549802697995744</v>
      </c>
      <c r="CT87" s="665">
        <f>INPUT!EQ706</f>
        <v>0.35301054350481775</v>
      </c>
      <c r="CU87" s="635" t="str">
        <f>INPUT!ER706</f>
        <v>NM</v>
      </c>
      <c r="CV87" s="665">
        <f>INPUT!ES706</f>
        <v>0.34946707691825685</v>
      </c>
      <c r="CW87" s="635" t="str">
        <f>INPUT!ET706</f>
        <v>NM</v>
      </c>
      <c r="CX87" s="665">
        <f>INPUT!EU706</f>
        <v>0.34043840905597167</v>
      </c>
      <c r="CY87" s="635">
        <f>INPUT!EV706</f>
        <v>90.698260298748892</v>
      </c>
      <c r="CZ87" s="665">
        <f>INPUT!EW706</f>
        <v>0.30256397838216759</v>
      </c>
      <c r="DA87" s="635">
        <f>INPUT!EX706</f>
        <v>93.897338828280255</v>
      </c>
      <c r="DB87" s="671"/>
      <c r="DC87" s="672">
        <f>INPUT!FP706</f>
        <v>0.61566614156345756</v>
      </c>
      <c r="DD87" s="635">
        <f>INPUT!FQ706</f>
        <v>10.877818944980106</v>
      </c>
      <c r="DE87" s="672">
        <f>INPUT!FR706</f>
        <v>0.62947369584255353</v>
      </c>
      <c r="DF87" s="635">
        <f>INPUT!FS706</f>
        <v>2.2427015791435707</v>
      </c>
      <c r="DG87" s="672">
        <f>INPUT!FT706</f>
        <v>0.69370677443283135</v>
      </c>
      <c r="DH87" s="635">
        <f>INPUT!FU706</f>
        <v>10.204251426948275</v>
      </c>
      <c r="DI87" s="672">
        <f>INPUT!FV706</f>
        <v>-0.16517355465292208</v>
      </c>
      <c r="DJ87" s="635" t="str">
        <f>INPUT!FW706</f>
        <v>NM</v>
      </c>
      <c r="DK87" s="665">
        <f>INPUT!FX706</f>
        <v>0.27709227333809577</v>
      </c>
      <c r="DL87" s="635" t="str">
        <f>INPUT!FY706</f>
        <v>NM</v>
      </c>
      <c r="DM87" s="665">
        <f>INPUT!FZ706</f>
        <v>0.4628167063445367</v>
      </c>
      <c r="DN87" s="635">
        <f>INPUT!GA706</f>
        <v>67.026204220363866</v>
      </c>
      <c r="DO87" s="665">
        <f>INPUT!GB706</f>
        <v>0.48527314368227625</v>
      </c>
      <c r="DP87" s="635">
        <f>INPUT!GC706</f>
        <v>4.8521233200735452</v>
      </c>
      <c r="DQ87" s="665">
        <f>INPUT!GD706</f>
        <v>0.44537933827896709</v>
      </c>
      <c r="DR87" s="635">
        <f>INPUT!GE706</f>
        <v>-8.2208970190670385</v>
      </c>
      <c r="DS87" s="665">
        <f>INPUT!GF706</f>
        <v>0.74810287465889125</v>
      </c>
      <c r="DT87" s="635">
        <f>INPUT!GG706</f>
        <v>67.969820411900372</v>
      </c>
      <c r="DU87" s="665">
        <f>INPUT!GH706</f>
        <v>0.63895704946897192</v>
      </c>
      <c r="DV87" s="635">
        <f>INPUT!GI706</f>
        <v>-14.58968129746674</v>
      </c>
      <c r="DW87" s="665">
        <f>INPUT!GJ706</f>
        <v>0.68224275749931396</v>
      </c>
      <c r="DX87" s="635">
        <f>INPUT!GK706</f>
        <v>6.774431562546539</v>
      </c>
      <c r="DY87" s="665">
        <f>INPUT!GL706</f>
        <v>0.59082218798416997</v>
      </c>
      <c r="DZ87" s="635">
        <f>INPUT!GM706</f>
        <v>-13.400005864516046</v>
      </c>
      <c r="EA87" s="665">
        <f>INPUT!GN706</f>
        <v>0.63769530446797951</v>
      </c>
      <c r="EB87" s="635">
        <f>INPUT!GO706</f>
        <v>7.9335403167129215</v>
      </c>
      <c r="EC87" s="665">
        <f>INPUT!GP706</f>
        <v>0.67227958116497255</v>
      </c>
      <c r="ED87" s="635">
        <f>INPUT!GQ706</f>
        <v>5.4233230909307366</v>
      </c>
      <c r="EE87" s="665">
        <f>INPUT!GR706</f>
        <v>0.6407668867762476</v>
      </c>
      <c r="EF87" s="635">
        <f>INPUT!GS706</f>
        <v>-4.6874388679360948</v>
      </c>
      <c r="EG87" s="665">
        <f>INPUT!GT706</f>
        <v>0.61010124049449466</v>
      </c>
      <c r="EH87" s="635">
        <f>INPUT!GU706</f>
        <v>-4.7857726288002169</v>
      </c>
      <c r="EI87" s="665">
        <f>INPUT!GV706</f>
        <v>0.58155174442648916</v>
      </c>
      <c r="EJ87" s="635">
        <f>INPUT!GW706</f>
        <v>-4.6794686148918174</v>
      </c>
      <c r="EK87" s="665">
        <f>INPUT!GX706</f>
        <v>0.55349158756863759</v>
      </c>
      <c r="EL87" s="635">
        <f>INPUT!GY706</f>
        <v>-4.8250490393634209</v>
      </c>
      <c r="EM87" s="635">
        <f>INPUT!GZ706</f>
        <v>-2.7925476631372681</v>
      </c>
    </row>
    <row r="88" spans="1:143" s="632" customFormat="1" ht="12.75" customHeight="1" x14ac:dyDescent="0.2">
      <c r="A88" s="670" t="str">
        <f>INPUT!B707</f>
        <v>BVPS ex-AOCI</v>
      </c>
      <c r="B88" s="672">
        <f>INPUT!AY707</f>
        <v>41.409154507295625</v>
      </c>
      <c r="C88" s="635">
        <f>INPUT!AZ707</f>
        <v>9.5188619485163457</v>
      </c>
      <c r="D88" s="672">
        <f>INPUT!BA707</f>
        <v>41.776155717761561</v>
      </c>
      <c r="E88" s="635">
        <f>INPUT!BB707</f>
        <v>7.5696893481688221</v>
      </c>
      <c r="F88" s="672">
        <f>INPUT!BC707</f>
        <v>43.624409287035135</v>
      </c>
      <c r="G88" s="635">
        <f>INPUT!BD707</f>
        <v>6.2728103676955129</v>
      </c>
      <c r="H88" s="672">
        <f>INPUT!BE707</f>
        <v>44.144969797958758</v>
      </c>
      <c r="I88" s="635">
        <f>INPUT!BF707</f>
        <v>8.9550967806136867</v>
      </c>
      <c r="J88" s="672">
        <f>INPUT!BG707</f>
        <v>45.61496196111581</v>
      </c>
      <c r="K88" s="635">
        <f>INPUT!BH707</f>
        <v>10.156709316726548</v>
      </c>
      <c r="L88" s="672">
        <f>INPUT!BI707</f>
        <v>46.516829995739243</v>
      </c>
      <c r="M88" s="635">
        <f>INPUT!BJ707</f>
        <v>11.347799232666446</v>
      </c>
      <c r="N88" s="672">
        <f>INPUT!BK707</f>
        <v>48.378787878787875</v>
      </c>
      <c r="O88" s="635">
        <f>INPUT!BL707</f>
        <v>10.898436607978795</v>
      </c>
      <c r="P88" s="672">
        <f>INPUT!BM707</f>
        <v>46.707692307692305</v>
      </c>
      <c r="Q88" s="635">
        <f>INPUT!BN707</f>
        <v>5.8052424125841071</v>
      </c>
      <c r="R88" s="672">
        <f>INPUT!BO707</f>
        <v>50.586377988272446</v>
      </c>
      <c r="S88" s="635">
        <f>INPUT!BP707</f>
        <v>10.898652138292888</v>
      </c>
      <c r="T88" s="672">
        <f>INPUT!BQ707</f>
        <v>53.293107449524257</v>
      </c>
      <c r="U88" s="635">
        <f>INPUT!BR707</f>
        <v>14.567367239783309</v>
      </c>
      <c r="V88" s="672">
        <f>INPUT!BS707</f>
        <v>55.839569691300277</v>
      </c>
      <c r="W88" s="635">
        <f>INPUT!BT707</f>
        <v>15.421597232252381</v>
      </c>
      <c r="X88" s="672">
        <f>INPUT!BU707</f>
        <v>46.037246581801035</v>
      </c>
      <c r="Y88" s="635">
        <f>INPUT!BV707</f>
        <v>-1.4354075159068742</v>
      </c>
      <c r="Z88" s="672">
        <f>INPUT!BW707</f>
        <v>47.71987738740863</v>
      </c>
      <c r="AA88" s="635">
        <f>INPUT!BX707</f>
        <v>-5.6665464396924392</v>
      </c>
      <c r="AB88" s="672">
        <f>INPUT!BY707</f>
        <v>47.759845061329891</v>
      </c>
      <c r="AC88" s="635">
        <f>INPUT!BZ707</f>
        <v>-10.38269797540913</v>
      </c>
      <c r="AD88" s="672">
        <f>INPUT!CA707</f>
        <v>49.920855614973263</v>
      </c>
      <c r="AE88" s="635">
        <f>INPUT!CB707</f>
        <v>-10.599498006606495</v>
      </c>
      <c r="AF88" s="672">
        <f>INPUT!CC707</f>
        <v>52.74744027303754</v>
      </c>
      <c r="AG88" s="635">
        <f>INPUT!CD707</f>
        <v>14.575575625083331</v>
      </c>
      <c r="AH88" s="672">
        <f>INPUT!CE707</f>
        <v>48.748937977909939</v>
      </c>
      <c r="AI88" s="635">
        <f>INPUT!CF707</f>
        <v>2.1564610951260192</v>
      </c>
      <c r="AJ88" s="672">
        <f>INPUT!CG707</f>
        <v>50.64968152866242</v>
      </c>
      <c r="AK88" s="635">
        <f>INPUT!CH707</f>
        <v>6.0507660014843054</v>
      </c>
      <c r="AL88" s="672">
        <f>INPUT!CI707</f>
        <v>52.947033898305087</v>
      </c>
      <c r="AM88" s="635">
        <f>INPUT!CJ707</f>
        <v>6.0619519558557897</v>
      </c>
      <c r="AN88" s="672">
        <f>INPUT!CK707</f>
        <v>52.005287777099859</v>
      </c>
      <c r="AO88" s="635">
        <f>INPUT!CL707</f>
        <v>-1.406992438108972</v>
      </c>
      <c r="AP88" s="672">
        <f>INPUT!CM707</f>
        <v>53.16697098803003</v>
      </c>
      <c r="AQ88" s="635">
        <f>INPUT!CN707</f>
        <v>9.0628292499870895</v>
      </c>
      <c r="AR88" s="672">
        <f>INPUT!CO707</f>
        <v>54.783313082219522</v>
      </c>
      <c r="AS88" s="635">
        <f>INPUT!CP707</f>
        <v>8.1612192392915688</v>
      </c>
      <c r="AT88" s="672">
        <f>INPUT!CQ707</f>
        <v>58.352842809364553</v>
      </c>
      <c r="AU88" s="635">
        <f>INPUT!CR707</f>
        <v>10.209842767476559</v>
      </c>
      <c r="AV88" s="672">
        <f>INPUT!CS707</f>
        <v>58.387707850978735</v>
      </c>
      <c r="AW88" s="635">
        <f>INPUT!CT707</f>
        <v>12.272636777311192</v>
      </c>
      <c r="AX88" s="672">
        <f>INPUT!CU707</f>
        <v>56.279315444749628</v>
      </c>
      <c r="AY88" s="635">
        <f>INPUT!CV707</f>
        <v>5.8539059097805364</v>
      </c>
      <c r="AZ88" s="672">
        <f>INPUT!CW707</f>
        <v>61.257740764467222</v>
      </c>
      <c r="BA88" s="635">
        <f>INPUT!CX707</f>
        <v>11.818247780178595</v>
      </c>
      <c r="BB88" s="672">
        <f>INPUT!CY707</f>
        <v>59.905781584582442</v>
      </c>
      <c r="BC88" s="635">
        <f>INPUT!CZ707</f>
        <v>2.6612906937392182</v>
      </c>
      <c r="BD88" s="672">
        <f>INPUT!DA707</f>
        <v>57.701836821870998</v>
      </c>
      <c r="BE88" s="635">
        <f>INPUT!DB707</f>
        <v>-1.1746839435078869</v>
      </c>
      <c r="BF88" s="672">
        <f>INPUT!DC707</f>
        <v>55.759318423855163</v>
      </c>
      <c r="BG88" s="635">
        <f>INPUT!DD707</f>
        <v>-0.92395761530708853</v>
      </c>
      <c r="BH88" s="672">
        <f>INPUT!DE707</f>
        <v>54.013213981244675</v>
      </c>
      <c r="BI88" s="635">
        <f>INPUT!DF707</f>
        <v>-11.826304223457029</v>
      </c>
      <c r="BJ88" s="672">
        <f>INPUT!DG707</f>
        <v>55.568836712913551</v>
      </c>
      <c r="BK88" s="635">
        <f>INPUT!DH707</f>
        <v>-7.2396098622725731</v>
      </c>
      <c r="BL88" s="672">
        <f>INPUT!DI707</f>
        <v>53.976957542137832</v>
      </c>
      <c r="BM88" s="635">
        <f>INPUT!DJ707</f>
        <v>-6.455391171050735</v>
      </c>
      <c r="BN88" s="672">
        <f>INPUT!DK707</f>
        <v>56.021021021021021</v>
      </c>
      <c r="BO88" s="635">
        <f>INPUT!DL707</f>
        <v>0.46934324981616271</v>
      </c>
      <c r="BP88" s="672">
        <f>INPUT!DM707</f>
        <v>57.609210243167638</v>
      </c>
      <c r="BQ88" s="635">
        <f>INPUT!DN707</f>
        <v>6.6576231941532455</v>
      </c>
      <c r="BR88" s="672">
        <f>INPUT!DO707</f>
        <v>57.995252481657317</v>
      </c>
      <c r="BS88" s="635">
        <f>INPUT!DP707</f>
        <v>4.3665045235325124</v>
      </c>
      <c r="BT88" s="672">
        <f>INPUT!DQ707</f>
        <v>54.385698808234018</v>
      </c>
      <c r="BU88" s="635">
        <f>INPUT!DR707</f>
        <v>0.75725139894574056</v>
      </c>
      <c r="BV88" s="672">
        <f>INPUT!DS707</f>
        <v>59.52288985823337</v>
      </c>
      <c r="BW88" s="635">
        <f>INPUT!DT707</f>
        <v>6.2509907413117674</v>
      </c>
      <c r="BX88" s="672">
        <f>INPUT!DU707</f>
        <v>61.88155594405594</v>
      </c>
      <c r="BY88" s="635">
        <f>INPUT!DV707</f>
        <v>7.416081010058619</v>
      </c>
      <c r="BZ88" s="672">
        <f>INPUT!DW707</f>
        <v>64.315234117388442</v>
      </c>
      <c r="CA88" s="635">
        <f>INPUT!DX707</f>
        <v>10.897412055805788</v>
      </c>
      <c r="CB88" s="672">
        <f>INPUT!DY707</f>
        <v>65.324360105913499</v>
      </c>
      <c r="CC88" s="635">
        <f>INPUT!DZ707</f>
        <v>20.113120797159567</v>
      </c>
      <c r="CD88" s="672">
        <f>INPUT!EA707</f>
        <v>67.357142857142861</v>
      </c>
      <c r="CE88" s="635">
        <f>INPUT!EB707</f>
        <v>13.16174839220416</v>
      </c>
      <c r="CF88" s="672">
        <f>INPUT!EC707</f>
        <v>68.653153153153156</v>
      </c>
      <c r="CG88" s="635">
        <f>INPUT!ED707</f>
        <v>10.942836045071473</v>
      </c>
      <c r="CH88" s="672">
        <f>INPUT!EE707</f>
        <v>71.969627768897013</v>
      </c>
      <c r="CI88" s="635">
        <f>INPUT!EF707</f>
        <v>11.901369491305488</v>
      </c>
      <c r="CJ88" s="672">
        <f>INPUT!EG707</f>
        <v>71.643741403026141</v>
      </c>
      <c r="CK88" s="635">
        <f>INPUT!EH707</f>
        <v>9.6738510516853466</v>
      </c>
      <c r="CL88" s="672">
        <f>INPUT!EI707</f>
        <v>73.749283174675995</v>
      </c>
      <c r="CM88" s="635">
        <f>INPUT!EJ707</f>
        <v>9.4899219984585272</v>
      </c>
      <c r="CN88" s="672">
        <f>INPUT!EK707</f>
        <v>73.963855977133377</v>
      </c>
      <c r="CO88" s="635">
        <f>INPUT!EL707</f>
        <v>7.7355555864025263</v>
      </c>
      <c r="CP88" s="672">
        <f>INPUT!EM707</f>
        <v>78.257747718534304</v>
      </c>
      <c r="CQ88" s="635">
        <f>INPUT!EN707</f>
        <v>8.7371855942192553</v>
      </c>
      <c r="CR88" s="672">
        <f>INPUT!EO707</f>
        <v>86.056919899013081</v>
      </c>
      <c r="CS88" s="635">
        <f>INPUT!EP707</f>
        <v>20.11784730072479</v>
      </c>
      <c r="CT88" s="672">
        <f>INPUT!EQ707</f>
        <v>90.095744882758709</v>
      </c>
      <c r="CU88" s="635">
        <f>INPUT!ER707</f>
        <v>22.164909276970107</v>
      </c>
      <c r="CV88" s="672">
        <f>INPUT!ES707</f>
        <v>91.300352169255916</v>
      </c>
      <c r="CW88" s="635">
        <f>INPUT!ET707</f>
        <v>23.439146003261754</v>
      </c>
      <c r="CX88" s="672">
        <f>INPUT!EU707</f>
        <v>92.471801432197481</v>
      </c>
      <c r="CY88" s="635">
        <f>INPUT!EV707</f>
        <v>18.163126499354604</v>
      </c>
      <c r="CZ88" s="672">
        <f>INPUT!EW707</f>
        <v>93.332509674209746</v>
      </c>
      <c r="DA88" s="635">
        <f>INPUT!EX707</f>
        <v>8.4543924924741702</v>
      </c>
      <c r="DB88" s="671"/>
      <c r="DC88" s="672">
        <f>INPUT!FP707</f>
        <v>40.516663380003941</v>
      </c>
      <c r="DD88" s="635">
        <f>INPUT!FQ707</f>
        <v>11.048920103507086</v>
      </c>
      <c r="DE88" s="672">
        <f>INPUT!FR707</f>
        <v>44.144969797958758</v>
      </c>
      <c r="DF88" s="635">
        <f>INPUT!FS707</f>
        <v>8.9550967806136867</v>
      </c>
      <c r="DG88" s="672">
        <f>INPUT!FT707</f>
        <v>46.707692307692305</v>
      </c>
      <c r="DH88" s="635">
        <f>INPUT!FU707</f>
        <v>5.8052424125841071</v>
      </c>
      <c r="DI88" s="672">
        <f>INPUT!FV707</f>
        <v>46.037246581801035</v>
      </c>
      <c r="DJ88" s="635">
        <f>INPUT!FW707</f>
        <v>-1.4354075159068742</v>
      </c>
      <c r="DK88" s="672">
        <f>INPUT!FX707</f>
        <v>52.74744027303754</v>
      </c>
      <c r="DL88" s="635">
        <f>INPUT!FY707</f>
        <v>14.575575625083331</v>
      </c>
      <c r="DM88" s="672">
        <f>INPUT!FZ707</f>
        <v>52.005287777099859</v>
      </c>
      <c r="DN88" s="635">
        <f>INPUT!GA707</f>
        <v>-1.406992438108972</v>
      </c>
      <c r="DO88" s="672">
        <f>INPUT!GB707</f>
        <v>58.387707850978735</v>
      </c>
      <c r="DP88" s="635">
        <f>INPUT!GC707</f>
        <v>12.272636777311192</v>
      </c>
      <c r="DQ88" s="672">
        <f>INPUT!GD707</f>
        <v>57.701836821870998</v>
      </c>
      <c r="DR88" s="635">
        <f>INPUT!GE707</f>
        <v>-1.1746839435078869</v>
      </c>
      <c r="DS88" s="672">
        <f>INPUT!GF707</f>
        <v>53.976957542137832</v>
      </c>
      <c r="DT88" s="635">
        <f>INPUT!GG707</f>
        <v>-6.455391171050735</v>
      </c>
      <c r="DU88" s="672">
        <f>INPUT!GH707</f>
        <v>54.385698808234018</v>
      </c>
      <c r="DV88" s="635">
        <f>INPUT!GI707</f>
        <v>0.75725139894574056</v>
      </c>
      <c r="DW88" s="672">
        <f>INPUT!GJ707</f>
        <v>65.324360105913499</v>
      </c>
      <c r="DX88" s="635">
        <f>INPUT!GK707</f>
        <v>20.113120797159567</v>
      </c>
      <c r="DY88" s="672">
        <f>INPUT!GL707</f>
        <v>71.623108665749655</v>
      </c>
      <c r="DZ88" s="635">
        <f>INPUT!GM707</f>
        <v>9.6422659933043349</v>
      </c>
      <c r="EA88" s="672">
        <f>INPUT!GN707</f>
        <v>86.056919899013081</v>
      </c>
      <c r="EB88" s="635">
        <f>INPUT!GO707</f>
        <v>20.152450099063785</v>
      </c>
      <c r="EC88" s="672">
        <f>INPUT!GP707</f>
        <v>93.306114698921377</v>
      </c>
      <c r="ED88" s="635">
        <f>INPUT!GQ707</f>
        <v>8.4237209609815835</v>
      </c>
      <c r="EE88" s="672">
        <f>INPUT!GR707</f>
        <v>99.682366613864474</v>
      </c>
      <c r="EF88" s="635">
        <f>INPUT!GS707</f>
        <v>6.833691377588579</v>
      </c>
      <c r="EG88" s="672">
        <f>INPUT!GT707</f>
        <v>106.06529323151716</v>
      </c>
      <c r="EH88" s="635">
        <f>INPUT!GU707</f>
        <v>6.4032655267686209</v>
      </c>
      <c r="EI88" s="672">
        <f>INPUT!GV707</f>
        <v>112.49258693630851</v>
      </c>
      <c r="EJ88" s="635">
        <f>INPUT!GW707</f>
        <v>6.0597519782102438</v>
      </c>
      <c r="EK88" s="672">
        <f>INPUT!GX707</f>
        <v>118.90891132226216</v>
      </c>
      <c r="EL88" s="635">
        <f>INPUT!GY707</f>
        <v>5.7037752981771632</v>
      </c>
      <c r="EM88" s="635">
        <f>INPUT!GZ707</f>
        <v>6.6806666601279208</v>
      </c>
    </row>
    <row r="89" spans="1:143" s="632" customFormat="1" ht="12.75" customHeight="1" x14ac:dyDescent="0.2">
      <c r="A89" s="670" t="str">
        <f>INPUT!B708</f>
        <v>Pro Forma Book Value</v>
      </c>
      <c r="B89" s="672">
        <f>INPUT!AY708</f>
        <v>41.409154507295625</v>
      </c>
      <c r="C89" s="635">
        <f>INPUT!AZ708</f>
        <v>9.5188619485163457</v>
      </c>
      <c r="D89" s="672">
        <f>INPUT!BA708</f>
        <v>41.776155717761561</v>
      </c>
      <c r="E89" s="635">
        <f>INPUT!BB708</f>
        <v>7.5696893481688221</v>
      </c>
      <c r="F89" s="672">
        <f>INPUT!BC708</f>
        <v>43.624409287035135</v>
      </c>
      <c r="G89" s="635">
        <f>INPUT!BD708</f>
        <v>6.2728103676955129</v>
      </c>
      <c r="H89" s="672">
        <f>INPUT!BE708</f>
        <v>44.144969797958758</v>
      </c>
      <c r="I89" s="635">
        <f>INPUT!BF708</f>
        <v>8.9550967806136867</v>
      </c>
      <c r="J89" s="672">
        <f>INPUT!BG708</f>
        <v>45.61496196111581</v>
      </c>
      <c r="K89" s="635">
        <f>INPUT!BH708</f>
        <v>10.156709316726548</v>
      </c>
      <c r="L89" s="672">
        <f>INPUT!BI708</f>
        <v>46.516829995739243</v>
      </c>
      <c r="M89" s="635">
        <f>INPUT!BJ708</f>
        <v>11.347799232666446</v>
      </c>
      <c r="N89" s="672">
        <f>INPUT!BK708</f>
        <v>48.378787878787875</v>
      </c>
      <c r="O89" s="635">
        <f>INPUT!BL708</f>
        <v>10.898436607978795</v>
      </c>
      <c r="P89" s="672">
        <f>INPUT!BM708</f>
        <v>46.707692307692305</v>
      </c>
      <c r="Q89" s="635">
        <f>INPUT!BN708</f>
        <v>5.8052424125841071</v>
      </c>
      <c r="R89" s="672">
        <f>INPUT!BO708</f>
        <v>50.586377988272446</v>
      </c>
      <c r="S89" s="635">
        <f>INPUT!BP708</f>
        <v>10.898652138292888</v>
      </c>
      <c r="T89" s="672">
        <f>INPUT!BQ708</f>
        <v>53.293107449524257</v>
      </c>
      <c r="U89" s="635">
        <f>INPUT!BR708</f>
        <v>14.567367239783309</v>
      </c>
      <c r="V89" s="672">
        <f>INPUT!BS708</f>
        <v>55.839569691300277</v>
      </c>
      <c r="W89" s="635">
        <f>INPUT!BT708</f>
        <v>15.421597232252381</v>
      </c>
      <c r="X89" s="672">
        <f>INPUT!BU708</f>
        <v>46.037246581801035</v>
      </c>
      <c r="Y89" s="635">
        <f>INPUT!BV708</f>
        <v>-1.4354075159068742</v>
      </c>
      <c r="Z89" s="672">
        <f>INPUT!BW708</f>
        <v>47.71987738740863</v>
      </c>
      <c r="AA89" s="635">
        <f>INPUT!BX708</f>
        <v>-5.6665464396924392</v>
      </c>
      <c r="AB89" s="672">
        <f>INPUT!BY708</f>
        <v>47.759845061329891</v>
      </c>
      <c r="AC89" s="635">
        <f>INPUT!BZ708</f>
        <v>-10.38269797540913</v>
      </c>
      <c r="AD89" s="672">
        <f>INPUT!CA708</f>
        <v>49.920855614973263</v>
      </c>
      <c r="AE89" s="635">
        <f>INPUT!CB708</f>
        <v>-10.599498006606495</v>
      </c>
      <c r="AF89" s="672">
        <f>INPUT!CC708</f>
        <v>52.74744027303754</v>
      </c>
      <c r="AG89" s="635">
        <f>INPUT!CD708</f>
        <v>14.575575625083331</v>
      </c>
      <c r="AH89" s="672">
        <f>INPUT!CE708</f>
        <v>48.748937977909939</v>
      </c>
      <c r="AI89" s="635">
        <f>INPUT!CF708</f>
        <v>2.1564610951260192</v>
      </c>
      <c r="AJ89" s="672">
        <f>INPUT!CG708</f>
        <v>50.64968152866242</v>
      </c>
      <c r="AK89" s="635">
        <f>INPUT!CH708</f>
        <v>6.0507660014843054</v>
      </c>
      <c r="AL89" s="672">
        <f>INPUT!CI708</f>
        <v>52.947033898305087</v>
      </c>
      <c r="AM89" s="635">
        <f>INPUT!CJ708</f>
        <v>6.0619519558557897</v>
      </c>
      <c r="AN89" s="672">
        <f>INPUT!CK708</f>
        <v>52.005287777099859</v>
      </c>
      <c r="AO89" s="635">
        <f>INPUT!CL708</f>
        <v>-1.406992438108972</v>
      </c>
      <c r="AP89" s="672">
        <f>INPUT!CM708</f>
        <v>53.16697098803003</v>
      </c>
      <c r="AQ89" s="635">
        <f>INPUT!CN708</f>
        <v>9.0628292499870895</v>
      </c>
      <c r="AR89" s="672">
        <f>INPUT!CO708</f>
        <v>54.783313082219522</v>
      </c>
      <c r="AS89" s="635">
        <f>INPUT!CP708</f>
        <v>8.1612192392915688</v>
      </c>
      <c r="AT89" s="672">
        <f>INPUT!CQ708</f>
        <v>58.352842809364553</v>
      </c>
      <c r="AU89" s="635">
        <f>INPUT!CR708</f>
        <v>10.209842767476559</v>
      </c>
      <c r="AV89" s="672">
        <f>INPUT!CS708</f>
        <v>58.387707850978735</v>
      </c>
      <c r="AW89" s="635">
        <f>INPUT!CT708</f>
        <v>12.272636777311192</v>
      </c>
      <c r="AX89" s="672">
        <f>INPUT!CU708</f>
        <v>56.279315444749628</v>
      </c>
      <c r="AY89" s="635">
        <f>INPUT!CV708</f>
        <v>5.8539059097805364</v>
      </c>
      <c r="AZ89" s="672">
        <f>INPUT!CW708</f>
        <v>61.257740764467222</v>
      </c>
      <c r="BA89" s="635">
        <f>INPUT!CX708</f>
        <v>11.818247780178595</v>
      </c>
      <c r="BB89" s="672">
        <f>INPUT!CY708</f>
        <v>59.905781584582442</v>
      </c>
      <c r="BC89" s="635">
        <f>INPUT!CZ708</f>
        <v>2.6612906937392182</v>
      </c>
      <c r="BD89" s="672">
        <f>INPUT!DA708</f>
        <v>57.701836821870998</v>
      </c>
      <c r="BE89" s="635">
        <f>INPUT!DB708</f>
        <v>-1.1746839435078869</v>
      </c>
      <c r="BF89" s="672">
        <f>INPUT!DC708</f>
        <v>55.759318423855163</v>
      </c>
      <c r="BG89" s="635">
        <f>INPUT!DD708</f>
        <v>-0.92395761530708853</v>
      </c>
      <c r="BH89" s="672">
        <f>INPUT!DE708</f>
        <v>54.013213981244675</v>
      </c>
      <c r="BI89" s="635">
        <f>INPUT!DF708</f>
        <v>-11.826304223457029</v>
      </c>
      <c r="BJ89" s="672">
        <f>INPUT!DG708</f>
        <v>55.568836712913551</v>
      </c>
      <c r="BK89" s="635">
        <f>INPUT!DH708</f>
        <v>-7.2396098622725731</v>
      </c>
      <c r="BL89" s="672">
        <f>INPUT!DI708</f>
        <v>53.976957542137832</v>
      </c>
      <c r="BM89" s="635">
        <f>INPUT!DJ708</f>
        <v>-6.455391171050735</v>
      </c>
      <c r="BN89" s="672">
        <f>INPUT!DK708</f>
        <v>56.021021021021021</v>
      </c>
      <c r="BO89" s="635">
        <f>INPUT!DL708</f>
        <v>0.46934324981616271</v>
      </c>
      <c r="BP89" s="672">
        <f>INPUT!DM708</f>
        <v>57.609210243167638</v>
      </c>
      <c r="BQ89" s="635">
        <f>INPUT!DN708</f>
        <v>6.6576231941532455</v>
      </c>
      <c r="BR89" s="672">
        <f>INPUT!DO708</f>
        <v>57.995252481657317</v>
      </c>
      <c r="BS89" s="635">
        <f>INPUT!DP708</f>
        <v>4.3665045235325124</v>
      </c>
      <c r="BT89" s="672">
        <f>INPUT!DQ708</f>
        <v>54.385698808234018</v>
      </c>
      <c r="BU89" s="635">
        <f>INPUT!DR708</f>
        <v>0.75725139894574056</v>
      </c>
      <c r="BV89" s="672">
        <f>INPUT!DS708</f>
        <v>59.552889858233371</v>
      </c>
      <c r="BW89" s="635">
        <f>INPUT!DT708</f>
        <v>6.3045420680338395</v>
      </c>
      <c r="BX89" s="672">
        <f>INPUT!DU708</f>
        <v>61.88155594405594</v>
      </c>
      <c r="BY89" s="635">
        <f>INPUT!DV708</f>
        <v>7.416081010058619</v>
      </c>
      <c r="BZ89" s="672">
        <f>INPUT!DW708</f>
        <v>64.315234117388442</v>
      </c>
      <c r="CA89" s="635">
        <f>INPUT!DX708</f>
        <v>10.897412055805788</v>
      </c>
      <c r="CB89" s="672">
        <f>INPUT!DY708</f>
        <v>65.324360105913499</v>
      </c>
      <c r="CC89" s="635">
        <f>INPUT!DZ708</f>
        <v>20.113120797159567</v>
      </c>
      <c r="CD89" s="672">
        <f>INPUT!EA708</f>
        <v>67.357142857142861</v>
      </c>
      <c r="CE89" s="635">
        <f>INPUT!EB708</f>
        <v>13.104742721113354</v>
      </c>
      <c r="CF89" s="672">
        <f>INPUT!EC708</f>
        <v>68.653153153153156</v>
      </c>
      <c r="CG89" s="635">
        <f>INPUT!ED708</f>
        <v>10.942836045071473</v>
      </c>
      <c r="CH89" s="672">
        <f>INPUT!EE708</f>
        <v>71.947933318109165</v>
      </c>
      <c r="CI89" s="635">
        <f>INPUT!EF708</f>
        <v>11.867638057243937</v>
      </c>
      <c r="CJ89" s="672">
        <f>INPUT!EG708</f>
        <v>71.623108665749655</v>
      </c>
      <c r="CK89" s="635">
        <f>INPUT!EH708</f>
        <v>9.6422659933043349</v>
      </c>
      <c r="CL89" s="672">
        <f>INPUT!EI708</f>
        <v>73.726344764307839</v>
      </c>
      <c r="CM89" s="635">
        <f>INPUT!EJ708</f>
        <v>9.4558670944124827</v>
      </c>
      <c r="CN89" s="672">
        <f>INPUT!EK708</f>
        <v>73.952330459637636</v>
      </c>
      <c r="CO89" s="635">
        <f>INPUT!EL708</f>
        <v>7.7187675483206846</v>
      </c>
      <c r="CP89" s="672">
        <f>INPUT!EM708</f>
        <v>78.229953212581648</v>
      </c>
      <c r="CQ89" s="635">
        <f>INPUT!EN708</f>
        <v>8.7313416866295199</v>
      </c>
      <c r="CR89" s="672">
        <f>INPUT!EO708</f>
        <v>84.909341289878355</v>
      </c>
      <c r="CS89" s="635">
        <f>INPUT!EP708</f>
        <v>18.550203798236154</v>
      </c>
      <c r="CT89" s="672">
        <f>INPUT!EQ708</f>
        <v>90.069953017350841</v>
      </c>
      <c r="CU89" s="635">
        <f>INPUT!ER708</f>
        <v>22.1679350919825</v>
      </c>
      <c r="CV89" s="672">
        <f>INPUT!ES708</f>
        <v>91.27435994091374</v>
      </c>
      <c r="CW89" s="635">
        <f>INPUT!ET708</f>
        <v>23.423236798102366</v>
      </c>
      <c r="CX89" s="672">
        <f>INPUT!EU708</f>
        <v>92.445608157197952</v>
      </c>
      <c r="CY89" s="635">
        <f>INPUT!EV708</f>
        <v>18.171626545636244</v>
      </c>
      <c r="CZ89" s="672">
        <f>INPUT!EW708</f>
        <v>93.306114698921377</v>
      </c>
      <c r="DA89" s="635">
        <f>INPUT!EX708</f>
        <v>9.8891044041628362</v>
      </c>
      <c r="DB89" s="671"/>
      <c r="DC89" s="672">
        <f>INPUT!FP708</f>
        <v>40.516663380003941</v>
      </c>
      <c r="DD89" s="635">
        <f>INPUT!FQ708</f>
        <v>11.048920103507086</v>
      </c>
      <c r="DE89" s="672">
        <f>INPUT!FR708</f>
        <v>44.144969797958758</v>
      </c>
      <c r="DF89" s="635">
        <f>INPUT!FS708</f>
        <v>8.9550967806136867</v>
      </c>
      <c r="DG89" s="672">
        <f>INPUT!FT708</f>
        <v>46.707692307692305</v>
      </c>
      <c r="DH89" s="635">
        <f>INPUT!FU708</f>
        <v>5.8052424125841071</v>
      </c>
      <c r="DI89" s="672">
        <f>INPUT!FV708</f>
        <v>46.037246581801035</v>
      </c>
      <c r="DJ89" s="635">
        <f>INPUT!FW708</f>
        <v>-1.4354075159068742</v>
      </c>
      <c r="DK89" s="672">
        <f>INPUT!FX708</f>
        <v>52.74744027303754</v>
      </c>
      <c r="DL89" s="635">
        <f>INPUT!FY708</f>
        <v>14.575575625083331</v>
      </c>
      <c r="DM89" s="672">
        <f>INPUT!FZ708</f>
        <v>52.005287777099859</v>
      </c>
      <c r="DN89" s="635">
        <f>INPUT!GA708</f>
        <v>-1.406992438108972</v>
      </c>
      <c r="DO89" s="672">
        <f>INPUT!GB708</f>
        <v>58.387707850978735</v>
      </c>
      <c r="DP89" s="635">
        <f>INPUT!GC708</f>
        <v>12.272636777311192</v>
      </c>
      <c r="DQ89" s="672">
        <f>INPUT!GD708</f>
        <v>57.701836821870998</v>
      </c>
      <c r="DR89" s="635">
        <f>INPUT!GE708</f>
        <v>-1.1746839435078869</v>
      </c>
      <c r="DS89" s="672">
        <f>INPUT!GF708</f>
        <v>53.976957542137832</v>
      </c>
      <c r="DT89" s="635">
        <f>INPUT!GG708</f>
        <v>-6.455391171050735</v>
      </c>
      <c r="DU89" s="672">
        <f>INPUT!GH708</f>
        <v>54.385698808234018</v>
      </c>
      <c r="DV89" s="635">
        <f>INPUT!GI708</f>
        <v>0.75725139894574056</v>
      </c>
      <c r="DW89" s="672">
        <f>INPUT!GJ708</f>
        <v>65.324360105913499</v>
      </c>
      <c r="DX89" s="635">
        <f>INPUT!GK708</f>
        <v>20.113120797159567</v>
      </c>
      <c r="DY89" s="672">
        <f>INPUT!GL708</f>
        <v>71.623108665749655</v>
      </c>
      <c r="DZ89" s="635">
        <f>INPUT!GM708</f>
        <v>9.6422659933043349</v>
      </c>
      <c r="EA89" s="672">
        <f>INPUT!GN708</f>
        <v>84.909341289878355</v>
      </c>
      <c r="EB89" s="635">
        <f>INPUT!GO708</f>
        <v>18.550203798236154</v>
      </c>
      <c r="EC89" s="672">
        <f>INPUT!GP708</f>
        <v>93.306114698921377</v>
      </c>
      <c r="ED89" s="635">
        <f>INPUT!GQ708</f>
        <v>9.8891044041628362</v>
      </c>
      <c r="EE89" s="672">
        <f>INPUT!GR708</f>
        <v>99.682366613864474</v>
      </c>
      <c r="EF89" s="635">
        <f>INPUT!GS708</f>
        <v>6.833691377588579</v>
      </c>
      <c r="EG89" s="672">
        <f>INPUT!GT708</f>
        <v>106.06529323151716</v>
      </c>
      <c r="EH89" s="635">
        <f>INPUT!GU708</f>
        <v>6.4032655267686209</v>
      </c>
      <c r="EI89" s="672">
        <f>INPUT!GV708</f>
        <v>112.49258693630851</v>
      </c>
      <c r="EJ89" s="635">
        <f>INPUT!GW708</f>
        <v>6.0597519782102438</v>
      </c>
      <c r="EK89" s="672">
        <f>INPUT!GX708</f>
        <v>118.90891132226216</v>
      </c>
      <c r="EL89" s="635">
        <f>INPUT!GY708</f>
        <v>5.7037752981771632</v>
      </c>
      <c r="EM89" s="635">
        <f>INPUT!GZ708</f>
        <v>6.9674853369695144</v>
      </c>
    </row>
    <row r="90" spans="1:143" s="632" customFormat="1" ht="12.75" customHeight="1" x14ac:dyDescent="0.2">
      <c r="A90" s="670"/>
      <c r="B90" s="665"/>
      <c r="C90" s="635"/>
      <c r="D90" s="665"/>
      <c r="E90" s="635"/>
      <c r="F90" s="665"/>
      <c r="G90" s="635"/>
      <c r="H90" s="665"/>
      <c r="I90" s="635"/>
      <c r="J90" s="665"/>
      <c r="K90" s="635"/>
      <c r="L90" s="665"/>
      <c r="M90" s="635"/>
      <c r="N90" s="665"/>
      <c r="O90" s="635"/>
      <c r="P90" s="665"/>
      <c r="Q90" s="635"/>
      <c r="R90" s="665"/>
      <c r="S90" s="635"/>
      <c r="T90" s="665"/>
      <c r="U90" s="635"/>
      <c r="V90" s="665"/>
      <c r="W90" s="635"/>
      <c r="X90" s="665"/>
      <c r="Y90" s="635"/>
      <c r="Z90" s="665"/>
      <c r="AA90" s="635"/>
      <c r="AB90" s="665"/>
      <c r="AC90" s="635"/>
      <c r="AD90" s="665"/>
      <c r="AE90" s="635"/>
      <c r="AF90" s="665"/>
      <c r="AG90" s="635"/>
      <c r="AH90" s="665"/>
      <c r="AI90" s="635"/>
      <c r="AJ90" s="665"/>
      <c r="AK90" s="635"/>
      <c r="AL90" s="665"/>
      <c r="AM90" s="635"/>
      <c r="AN90" s="665"/>
      <c r="AO90" s="635"/>
      <c r="AP90" s="665"/>
      <c r="AQ90" s="635"/>
      <c r="AR90" s="665"/>
      <c r="AS90" s="635"/>
      <c r="AT90" s="665"/>
      <c r="AU90" s="635"/>
      <c r="AV90" s="665"/>
      <c r="AW90" s="635"/>
      <c r="AX90" s="665"/>
      <c r="AY90" s="635"/>
      <c r="AZ90" s="665"/>
      <c r="BA90" s="635"/>
      <c r="BB90" s="665"/>
      <c r="BC90" s="635"/>
      <c r="BD90" s="665"/>
      <c r="BE90" s="635"/>
      <c r="BF90" s="665"/>
      <c r="BG90" s="635"/>
      <c r="BH90" s="665"/>
      <c r="BI90" s="635"/>
      <c r="BJ90" s="665"/>
      <c r="BK90" s="635"/>
      <c r="BL90" s="665"/>
      <c r="BM90" s="635"/>
      <c r="BN90" s="665"/>
      <c r="BO90" s="635"/>
      <c r="BP90" s="665"/>
      <c r="BQ90" s="635"/>
      <c r="BR90" s="665"/>
      <c r="BS90" s="635"/>
      <c r="BT90" s="665"/>
      <c r="BU90" s="635"/>
      <c r="BV90" s="665"/>
      <c r="BW90" s="635"/>
      <c r="BX90" s="665"/>
      <c r="BY90" s="635"/>
      <c r="BZ90" s="665"/>
      <c r="CA90" s="635"/>
      <c r="CB90" s="665"/>
      <c r="CC90" s="635"/>
      <c r="CD90" s="665"/>
      <c r="CE90" s="635"/>
      <c r="CF90" s="665"/>
      <c r="CG90" s="635"/>
      <c r="CH90" s="665"/>
      <c r="CI90" s="635"/>
      <c r="CJ90" s="665"/>
      <c r="CK90" s="635"/>
      <c r="CL90" s="665"/>
      <c r="CM90" s="635"/>
      <c r="CN90" s="665"/>
      <c r="CO90" s="635"/>
      <c r="CP90" s="665"/>
      <c r="CQ90" s="635"/>
      <c r="CR90" s="665"/>
      <c r="CS90" s="635"/>
      <c r="CT90" s="665"/>
      <c r="CU90" s="635"/>
      <c r="CV90" s="665"/>
      <c r="CW90" s="635"/>
      <c r="CX90" s="665"/>
      <c r="CY90" s="635"/>
      <c r="CZ90" s="665"/>
      <c r="DA90" s="635"/>
      <c r="DB90" s="671"/>
      <c r="DC90" s="665"/>
      <c r="DD90" s="635"/>
      <c r="DE90" s="665"/>
      <c r="DF90" s="635"/>
      <c r="DG90" s="665"/>
      <c r="DH90" s="635"/>
      <c r="DI90" s="665"/>
      <c r="DJ90" s="635"/>
      <c r="DK90" s="665"/>
      <c r="DL90" s="635"/>
      <c r="DM90" s="665"/>
      <c r="DN90" s="635"/>
      <c r="DO90" s="665"/>
      <c r="DP90" s="635"/>
      <c r="DQ90" s="665"/>
      <c r="DR90" s="635"/>
      <c r="DS90" s="665"/>
      <c r="DT90" s="635"/>
      <c r="DU90" s="665"/>
      <c r="DV90" s="635"/>
      <c r="DW90" s="665"/>
      <c r="DX90" s="635"/>
      <c r="DY90" s="665"/>
      <c r="DZ90" s="635"/>
      <c r="EA90" s="665"/>
      <c r="EB90" s="635"/>
      <c r="EC90" s="665"/>
      <c r="ED90" s="635"/>
      <c r="EE90" s="665"/>
      <c r="EF90" s="635"/>
      <c r="EG90" s="665"/>
      <c r="EH90" s="635"/>
      <c r="EI90" s="665"/>
      <c r="EJ90" s="635"/>
      <c r="EK90" s="665"/>
      <c r="EL90" s="635"/>
      <c r="EM90" s="635"/>
    </row>
    <row r="91" spans="1:143" s="632" customFormat="1" ht="12.75" customHeight="1" x14ac:dyDescent="0.2">
      <c r="A91" s="652" t="str">
        <f>INPUT!B716</f>
        <v>Capital Structure Incl FAS 115</v>
      </c>
      <c r="B91" s="655"/>
      <c r="C91" s="635"/>
      <c r="D91" s="655"/>
      <c r="E91" s="635"/>
      <c r="F91" s="655"/>
      <c r="G91" s="635"/>
      <c r="H91" s="655"/>
      <c r="I91" s="635"/>
      <c r="J91" s="655"/>
      <c r="K91" s="635"/>
      <c r="L91" s="655"/>
      <c r="M91" s="635"/>
      <c r="N91" s="655"/>
      <c r="O91" s="635"/>
      <c r="P91" s="655"/>
      <c r="Q91" s="635"/>
      <c r="R91" s="655"/>
      <c r="S91" s="635"/>
      <c r="T91" s="655"/>
      <c r="U91" s="635"/>
      <c r="V91" s="655"/>
      <c r="W91" s="635"/>
      <c r="X91" s="655"/>
      <c r="Y91" s="635"/>
      <c r="Z91" s="655"/>
      <c r="AA91" s="635"/>
      <c r="AB91" s="655"/>
      <c r="AC91" s="635"/>
      <c r="AD91" s="655"/>
      <c r="AE91" s="635"/>
      <c r="AF91" s="655"/>
      <c r="AG91" s="635"/>
      <c r="AH91" s="655"/>
      <c r="AI91" s="635"/>
      <c r="AJ91" s="655"/>
      <c r="AK91" s="635"/>
      <c r="AL91" s="655"/>
      <c r="AM91" s="635"/>
      <c r="AN91" s="655"/>
      <c r="AO91" s="635"/>
      <c r="AP91" s="655"/>
      <c r="AQ91" s="635"/>
      <c r="AR91" s="655"/>
      <c r="AS91" s="635"/>
      <c r="AT91" s="655"/>
      <c r="AU91" s="635"/>
      <c r="AV91" s="655"/>
      <c r="AW91" s="635"/>
      <c r="AX91" s="655"/>
      <c r="AY91" s="635"/>
      <c r="AZ91" s="655"/>
      <c r="BA91" s="635"/>
      <c r="BB91" s="655"/>
      <c r="BC91" s="635"/>
      <c r="BD91" s="655"/>
      <c r="BE91" s="635"/>
      <c r="BF91" s="655"/>
      <c r="BG91" s="635"/>
      <c r="BH91" s="655"/>
      <c r="BI91" s="635"/>
      <c r="BJ91" s="655"/>
      <c r="BK91" s="635"/>
      <c r="BL91" s="655"/>
      <c r="BM91" s="635"/>
      <c r="BN91" s="655"/>
      <c r="BO91" s="635"/>
      <c r="BP91" s="655"/>
      <c r="BQ91" s="635"/>
      <c r="BR91" s="655"/>
      <c r="BS91" s="635"/>
      <c r="BT91" s="655"/>
      <c r="BU91" s="635"/>
      <c r="BV91" s="655"/>
      <c r="BW91" s="635"/>
      <c r="BX91" s="655"/>
      <c r="BY91" s="635"/>
      <c r="BZ91" s="655"/>
      <c r="CA91" s="635"/>
      <c r="CB91" s="655"/>
      <c r="CC91" s="635"/>
      <c r="CD91" s="655"/>
      <c r="CE91" s="635"/>
      <c r="CF91" s="655"/>
      <c r="CG91" s="635"/>
      <c r="CH91" s="655"/>
      <c r="CI91" s="635"/>
      <c r="CJ91" s="655"/>
      <c r="CK91" s="635"/>
      <c r="CL91" s="655"/>
      <c r="CM91" s="635"/>
      <c r="CN91" s="655"/>
      <c r="CO91" s="635"/>
      <c r="CP91" s="655"/>
      <c r="CQ91" s="635"/>
      <c r="CR91" s="655"/>
      <c r="CS91" s="635"/>
      <c r="CT91" s="655"/>
      <c r="CU91" s="635"/>
      <c r="CV91" s="655"/>
      <c r="CW91" s="635"/>
      <c r="CX91" s="655"/>
      <c r="CY91" s="635"/>
      <c r="CZ91" s="655"/>
      <c r="DA91" s="635"/>
      <c r="DB91" s="666"/>
      <c r="DC91" s="655"/>
      <c r="DD91" s="635"/>
      <c r="DE91" s="655"/>
      <c r="DF91" s="635"/>
      <c r="DG91" s="655"/>
      <c r="DH91" s="635"/>
      <c r="DI91" s="655"/>
      <c r="DJ91" s="635"/>
      <c r="DK91" s="655"/>
      <c r="DL91" s="635"/>
      <c r="DM91" s="655"/>
      <c r="DN91" s="635"/>
      <c r="DO91" s="655"/>
      <c r="DP91" s="635"/>
      <c r="DQ91" s="655"/>
      <c r="DR91" s="635"/>
      <c r="DS91" s="655"/>
      <c r="DT91" s="635"/>
      <c r="DU91" s="655"/>
      <c r="DV91" s="635"/>
      <c r="DW91" s="655"/>
      <c r="DX91" s="635"/>
      <c r="DY91" s="655"/>
      <c r="DZ91" s="635"/>
      <c r="EA91" s="655"/>
      <c r="EB91" s="635"/>
      <c r="EC91" s="655"/>
      <c r="ED91" s="635"/>
      <c r="EE91" s="655"/>
      <c r="EF91" s="635"/>
      <c r="EG91" s="655"/>
      <c r="EH91" s="635"/>
      <c r="EI91" s="655"/>
      <c r="EJ91" s="635"/>
      <c r="EK91" s="655"/>
      <c r="EL91" s="635"/>
      <c r="EM91" s="635"/>
    </row>
    <row r="92" spans="1:143" s="632" customFormat="1" ht="12.75" customHeight="1" x14ac:dyDescent="0.2">
      <c r="A92" s="644" t="str">
        <f>INPUT!B718</f>
        <v>LT Debt to LT Capital (%)</v>
      </c>
      <c r="B92" s="665">
        <f>INPUT!AY718</f>
        <v>25.546242065022973</v>
      </c>
      <c r="C92" s="635">
        <f>INPUT!AZ718</f>
        <v>16.284307008903269</v>
      </c>
      <c r="D92" s="665">
        <f>INPUT!BA718</f>
        <v>26.910964786716292</v>
      </c>
      <c r="E92" s="635">
        <f>INPUT!BB718</f>
        <v>13.127006754467871</v>
      </c>
      <c r="F92" s="665">
        <f>INPUT!BC718</f>
        <v>25.287122675068602</v>
      </c>
      <c r="G92" s="635">
        <f>INPUT!BD718</f>
        <v>5.9312812360097666</v>
      </c>
      <c r="H92" s="665">
        <f>INPUT!BE718</f>
        <v>30.842075056595352</v>
      </c>
      <c r="I92" s="635">
        <f>INPUT!BF718</f>
        <v>33.273715129527204</v>
      </c>
      <c r="J92" s="665">
        <f>INPUT!BG718</f>
        <v>31.164012985005414</v>
      </c>
      <c r="K92" s="635">
        <f>INPUT!BH718</f>
        <v>21.990596134192657</v>
      </c>
      <c r="L92" s="665">
        <f>INPUT!BI718</f>
        <v>30.209839647803594</v>
      </c>
      <c r="M92" s="635">
        <f>INPUT!BJ718</f>
        <v>12.258478606146753</v>
      </c>
      <c r="N92" s="665">
        <f>INPUT!BK718</f>
        <v>30.705172522154484</v>
      </c>
      <c r="O92" s="635">
        <f>INPUT!BL718</f>
        <v>21.426122365545822</v>
      </c>
      <c r="P92" s="665">
        <f>INPUT!BM718</f>
        <v>36.260348775761848</v>
      </c>
      <c r="Q92" s="635">
        <f>INPUT!BN718</f>
        <v>17.5677988890953</v>
      </c>
      <c r="R92" s="665">
        <f>INPUT!BO718</f>
        <v>37.726537905215693</v>
      </c>
      <c r="S92" s="635">
        <f>INPUT!BP718</f>
        <v>21.058022673035865</v>
      </c>
      <c r="T92" s="665">
        <f>INPUT!BQ718</f>
        <v>41.241517289858599</v>
      </c>
      <c r="U92" s="635">
        <f>INPUT!BR718</f>
        <v>36.516836139039413</v>
      </c>
      <c r="V92" s="665">
        <f>INPUT!BS718</f>
        <v>43.062456590265533</v>
      </c>
      <c r="W92" s="635">
        <f>INPUT!BT718</f>
        <v>40.244958920829987</v>
      </c>
      <c r="X92" s="665">
        <f>INPUT!BU718</f>
        <v>56.469298245614027</v>
      </c>
      <c r="Y92" s="635">
        <f>INPUT!BV718</f>
        <v>55.73291529771717</v>
      </c>
      <c r="Z92" s="665">
        <f>INPUT!BW718</f>
        <v>56.859384865157395</v>
      </c>
      <c r="AA92" s="635">
        <f>INPUT!BX718</f>
        <v>50.714558033422378</v>
      </c>
      <c r="AB92" s="665">
        <f>INPUT!BY718</f>
        <v>50.725364000844067</v>
      </c>
      <c r="AC92" s="635">
        <f>INPUT!BZ718</f>
        <v>22.99587244652021</v>
      </c>
      <c r="AD92" s="665">
        <f>INPUT!CA718</f>
        <v>47.480112095461941</v>
      </c>
      <c r="AE92" s="635">
        <f>INPUT!CB718</f>
        <v>10.258716884709827</v>
      </c>
      <c r="AF92" s="665">
        <f>INPUT!CC718</f>
        <v>44.398149213876295</v>
      </c>
      <c r="AG92" s="635">
        <f>INPUT!CD718</f>
        <v>-21.376481392125854</v>
      </c>
      <c r="AH92" s="665">
        <f>INPUT!CE718</f>
        <v>46.095198368557654</v>
      </c>
      <c r="AI92" s="635">
        <f>INPUT!CF718</f>
        <v>-18.931239798191839</v>
      </c>
      <c r="AJ92" s="665">
        <f>INPUT!CG718</f>
        <v>44.395949345316161</v>
      </c>
      <c r="AK92" s="635">
        <f>INPUT!CH718</f>
        <v>-12.477810224136761</v>
      </c>
      <c r="AL92" s="665">
        <f>INPUT!CI718</f>
        <v>39.276592238609211</v>
      </c>
      <c r="AM92" s="635">
        <f>INPUT!CJ718</f>
        <v>-17.277802209815775</v>
      </c>
      <c r="AN92" s="665">
        <f>INPUT!CK718</f>
        <v>41.86142029818869</v>
      </c>
      <c r="AO92" s="635">
        <f>INPUT!CL718</f>
        <v>-5.7135915811886377</v>
      </c>
      <c r="AP92" s="665">
        <f>INPUT!CM718</f>
        <v>42.147569268243174</v>
      </c>
      <c r="AQ92" s="635">
        <f>INPUT!CN718</f>
        <v>-8.5640787761686425</v>
      </c>
      <c r="AR92" s="665">
        <f>INPUT!CO718</f>
        <v>40.929258782628736</v>
      </c>
      <c r="AS92" s="635">
        <f>INPUT!CP718</f>
        <v>-7.8085740113881883</v>
      </c>
      <c r="AT92" s="665">
        <f>INPUT!CQ718</f>
        <v>38.562518673438902</v>
      </c>
      <c r="AU92" s="635">
        <f>INPUT!CR718</f>
        <v>-1.8180639522701938</v>
      </c>
      <c r="AV92" s="665">
        <f>INPUT!CS718</f>
        <v>39.418497323241645</v>
      </c>
      <c r="AW92" s="635">
        <f>INPUT!CT718</f>
        <v>-5.8357383900152797</v>
      </c>
      <c r="AX92" s="665">
        <f>INPUT!CU718</f>
        <v>38.636821201749733</v>
      </c>
      <c r="AY92" s="635">
        <f>INPUT!CV718</f>
        <v>-8.3296572671835492</v>
      </c>
      <c r="AZ92" s="665">
        <f>INPUT!CW718</f>
        <v>36.495843673533138</v>
      </c>
      <c r="BA92" s="635">
        <f>INPUT!CX718</f>
        <v>-10.831896889804511</v>
      </c>
      <c r="BB92" s="665">
        <f>INPUT!CY718</f>
        <v>34.486038932440763</v>
      </c>
      <c r="BC92" s="635">
        <f>INPUT!CZ718</f>
        <v>-10.571093074908347</v>
      </c>
      <c r="BD92" s="665">
        <f>INPUT!DA718</f>
        <v>33.281650019831972</v>
      </c>
      <c r="BE92" s="635">
        <f>INPUT!DB718</f>
        <v>-15.568445577937624</v>
      </c>
      <c r="BF92" s="665">
        <f>INPUT!DC718</f>
        <v>31.930284924026171</v>
      </c>
      <c r="BG92" s="635">
        <f>INPUT!DD718</f>
        <v>-17.357888328090112</v>
      </c>
      <c r="BH92" s="665">
        <f>INPUT!DE718</f>
        <v>33.659757250945773</v>
      </c>
      <c r="BI92" s="635">
        <f>INPUT!DF718</f>
        <v>-7.7709846851522428</v>
      </c>
      <c r="BJ92" s="665">
        <f>INPUT!DG718</f>
        <v>34.233782890122441</v>
      </c>
      <c r="BK92" s="635">
        <f>INPUT!DH718</f>
        <v>-0.73147293840413852</v>
      </c>
      <c r="BL92" s="665">
        <f>INPUT!DI718</f>
        <v>33.498842092868074</v>
      </c>
      <c r="BM92" s="635">
        <f>INPUT!DJ718</f>
        <v>0.65258805650165641</v>
      </c>
      <c r="BN92" s="665">
        <f>INPUT!DK718</f>
        <v>30.427049630092146</v>
      </c>
      <c r="BO92" s="635">
        <f>INPUT!DL718</f>
        <v>-4.7078668339815124</v>
      </c>
      <c r="BP92" s="665">
        <f>INPUT!DM718</f>
        <v>30.006882312456984</v>
      </c>
      <c r="BQ92" s="635">
        <f>INPUT!DN718</f>
        <v>-10.852350809470408</v>
      </c>
      <c r="BR92" s="665">
        <f>INPUT!DO718</f>
        <v>28.611762199019818</v>
      </c>
      <c r="BS92" s="635">
        <f>INPUT!DP718</f>
        <v>-16.422434847902124</v>
      </c>
      <c r="BT92" s="665">
        <f>INPUT!DQ718</f>
        <v>26.725432699184665</v>
      </c>
      <c r="BU92" s="635">
        <f>INPUT!DR718</f>
        <v>-20.219831404636736</v>
      </c>
      <c r="BV92" s="665">
        <f>INPUT!DS718</f>
        <v>24.754856923308221</v>
      </c>
      <c r="BW92" s="635">
        <f>INPUT!DT718</f>
        <v>-18.641941219217543</v>
      </c>
      <c r="BX92" s="665">
        <f>INPUT!DU718</f>
        <v>25.63142790938096</v>
      </c>
      <c r="BY92" s="635">
        <f>INPUT!DV718</f>
        <v>-14.5815028616272</v>
      </c>
      <c r="BZ92" s="665">
        <f>INPUT!DW718</f>
        <v>25.268958278667014</v>
      </c>
      <c r="CA92" s="635">
        <f>INPUT!DX718</f>
        <v>-11.683320646595192</v>
      </c>
      <c r="CB92" s="665">
        <f>INPUT!DY718</f>
        <v>24.838067213320652</v>
      </c>
      <c r="CC92" s="635">
        <f>INPUT!DZ718</f>
        <v>-7.0620577302068881</v>
      </c>
      <c r="CD92" s="665">
        <f>INPUT!EA718</f>
        <v>21.88397290480194</v>
      </c>
      <c r="CE92" s="635">
        <f>INPUT!EB718</f>
        <v>-11.597255550296353</v>
      </c>
      <c r="CF92" s="665">
        <f>INPUT!EC718</f>
        <v>19.27957728955958</v>
      </c>
      <c r="CG92" s="635">
        <f>INPUT!ED718</f>
        <v>-24.781493416122316</v>
      </c>
      <c r="CH92" s="665">
        <f>INPUT!EE718</f>
        <v>18.655672956337479</v>
      </c>
      <c r="CI92" s="635">
        <f>INPUT!EF718</f>
        <v>-26.171578778190934</v>
      </c>
      <c r="CJ92" s="665">
        <f>INPUT!EG718</f>
        <v>21.044295625527226</v>
      </c>
      <c r="CK92" s="635">
        <f>INPUT!EH718</f>
        <v>-15.274020942172299</v>
      </c>
      <c r="CL92" s="665">
        <f>INPUT!EI718</f>
        <v>20.513778925549627</v>
      </c>
      <c r="CM92" s="635">
        <f>INPUT!EJ718</f>
        <v>-6.2611756339346272</v>
      </c>
      <c r="CN92" s="665">
        <f>INPUT!EK718</f>
        <v>19.595020746887968</v>
      </c>
      <c r="CO92" s="635">
        <f>INPUT!EL718</f>
        <v>1.6361533896244111</v>
      </c>
      <c r="CP92" s="665">
        <f>INPUT!EM718</f>
        <v>17.292504720466301</v>
      </c>
      <c r="CQ92" s="635">
        <f>INPUT!EN718</f>
        <v>-7.3069904208848158</v>
      </c>
      <c r="CR92" s="665">
        <f>INPUT!EO718</f>
        <v>16.326467447654714</v>
      </c>
      <c r="CS92" s="635">
        <f>INPUT!EP718</f>
        <v>-22.418560648566796</v>
      </c>
      <c r="CT92" s="665">
        <f>INPUT!EQ718</f>
        <v>16.244458895733775</v>
      </c>
      <c r="CU92" s="635">
        <f>INPUT!ER718</f>
        <v>-20.811962755913655</v>
      </c>
      <c r="CV92" s="665">
        <f>INPUT!ES718</f>
        <v>16.214405963189094</v>
      </c>
      <c r="CW92" s="635">
        <f>INPUT!ET718</f>
        <v>-17.252417475678229</v>
      </c>
      <c r="CX92" s="665">
        <f>INPUT!EU718</f>
        <v>16.189064169956897</v>
      </c>
      <c r="CY92" s="635">
        <f>INPUT!EV718</f>
        <v>-6.3810336810458921</v>
      </c>
      <c r="CZ92" s="665">
        <f>INPUT!EW718</f>
        <v>16.196776960929721</v>
      </c>
      <c r="DA92" s="635">
        <f>INPUT!EX718</f>
        <v>-0.79435730442486374</v>
      </c>
      <c r="DB92" s="666"/>
      <c r="DC92" s="665">
        <f>INPUT!FP718</f>
        <v>23.141903883012706</v>
      </c>
      <c r="DD92" s="635">
        <f>INPUT!FQ718</f>
        <v>6.6567310830835567</v>
      </c>
      <c r="DE92" s="665">
        <f>INPUT!FR718</f>
        <v>30.842075056595352</v>
      </c>
      <c r="DF92" s="635">
        <f>INPUT!FS718</f>
        <v>33.273715129527204</v>
      </c>
      <c r="DG92" s="665">
        <f>INPUT!FT718</f>
        <v>36.260348775761848</v>
      </c>
      <c r="DH92" s="635">
        <f>INPUT!FU718</f>
        <v>17.5677988890953</v>
      </c>
      <c r="DI92" s="665">
        <f>INPUT!FV718</f>
        <v>56.469298245614027</v>
      </c>
      <c r="DJ92" s="635">
        <f>INPUT!FW718</f>
        <v>55.73291529771717</v>
      </c>
      <c r="DK92" s="665">
        <f>INPUT!FX718</f>
        <v>44.398149213876295</v>
      </c>
      <c r="DL92" s="635">
        <f>INPUT!FY718</f>
        <v>-21.376481392125854</v>
      </c>
      <c r="DM92" s="665">
        <f>INPUT!FZ718</f>
        <v>41.86142029818869</v>
      </c>
      <c r="DN92" s="635">
        <f>INPUT!GA718</f>
        <v>-5.7135915811886377</v>
      </c>
      <c r="DO92" s="665">
        <f>INPUT!GB718</f>
        <v>39.418497323241645</v>
      </c>
      <c r="DP92" s="635">
        <f>INPUT!GC718</f>
        <v>-5.8357383900152797</v>
      </c>
      <c r="DQ92" s="665">
        <f>INPUT!GD718</f>
        <v>33.281650019831972</v>
      </c>
      <c r="DR92" s="635">
        <f>INPUT!GE718</f>
        <v>-15.568445577937624</v>
      </c>
      <c r="DS92" s="665">
        <f>INPUT!GF718</f>
        <v>33.498842092868074</v>
      </c>
      <c r="DT92" s="635">
        <f>INPUT!GG718</f>
        <v>0.65258805650165641</v>
      </c>
      <c r="DU92" s="665">
        <f>INPUT!GH718</f>
        <v>26.725432699184665</v>
      </c>
      <c r="DV92" s="635">
        <f>INPUT!GI718</f>
        <v>-20.219831404636736</v>
      </c>
      <c r="DW92" s="665">
        <f>INPUT!GJ718</f>
        <v>24.838067213320652</v>
      </c>
      <c r="DX92" s="635">
        <f>INPUT!GK718</f>
        <v>-7.0620577302068881</v>
      </c>
      <c r="DY92" s="665">
        <f>INPUT!GL718</f>
        <v>21.044295625527226</v>
      </c>
      <c r="DZ92" s="635">
        <f>INPUT!GM718</f>
        <v>-15.274020942172299</v>
      </c>
      <c r="EA92" s="665">
        <f>INPUT!GN718</f>
        <v>16.326467447654714</v>
      </c>
      <c r="EB92" s="635">
        <f>INPUT!GO718</f>
        <v>-22.418560648566796</v>
      </c>
      <c r="EC92" s="665">
        <f>INPUT!GP718</f>
        <v>16.196776960929721</v>
      </c>
      <c r="ED92" s="635">
        <f>INPUT!GQ718</f>
        <v>-0.79435730442486374</v>
      </c>
      <c r="EE92" s="665">
        <f>INPUT!GR718</f>
        <v>15.949701204560521</v>
      </c>
      <c r="EF92" s="635">
        <f>INPUT!GS718</f>
        <v>-1.5254624853154723</v>
      </c>
      <c r="EG92" s="665">
        <f>INPUT!GT718</f>
        <v>15.756084676185139</v>
      </c>
      <c r="EH92" s="635">
        <f>INPUT!GU718</f>
        <v>-1.2139194702908895</v>
      </c>
      <c r="EI92" s="665">
        <f>INPUT!GV718</f>
        <v>15.589546352705582</v>
      </c>
      <c r="EJ92" s="635">
        <f>INPUT!GW718</f>
        <v>-1.0569778400040946</v>
      </c>
      <c r="EK92" s="665">
        <f>INPUT!GX718</f>
        <v>15.451873675581881</v>
      </c>
      <c r="EL92" s="635">
        <f>INPUT!GY718</f>
        <v>-0.88310893728994699</v>
      </c>
      <c r="EM92" s="635">
        <f>INPUT!GZ718</f>
        <v>-1.0951054055193365</v>
      </c>
    </row>
    <row r="93" spans="1:143" s="632" customFormat="1" ht="12.75" customHeight="1" x14ac:dyDescent="0.2">
      <c r="A93" s="644" t="str">
        <f>INPUT!B719</f>
        <v>LTD + Pref Equity to LT Capital (%)</v>
      </c>
      <c r="B93" s="665">
        <f>INPUT!AY719</f>
        <v>25.546242065022973</v>
      </c>
      <c r="C93" s="635">
        <f>INPUT!AZ719</f>
        <v>16.284307008903269</v>
      </c>
      <c r="D93" s="665">
        <f>INPUT!BA719</f>
        <v>26.910964786716292</v>
      </c>
      <c r="E93" s="635">
        <f>INPUT!BB719</f>
        <v>13.127006754467871</v>
      </c>
      <c r="F93" s="665">
        <f>INPUT!BC719</f>
        <v>25.287122675068602</v>
      </c>
      <c r="G93" s="635">
        <f>INPUT!BD719</f>
        <v>5.9312812360097666</v>
      </c>
      <c r="H93" s="665">
        <f>INPUT!BE719</f>
        <v>30.842075056595352</v>
      </c>
      <c r="I93" s="635">
        <f>INPUT!BF719</f>
        <v>33.273715129527204</v>
      </c>
      <c r="J93" s="665">
        <f>INPUT!BG719</f>
        <v>31.164012985005414</v>
      </c>
      <c r="K93" s="635">
        <f>INPUT!BH719</f>
        <v>21.990596134192657</v>
      </c>
      <c r="L93" s="665">
        <f>INPUT!BI719</f>
        <v>30.209839647803594</v>
      </c>
      <c r="M93" s="635">
        <f>INPUT!BJ719</f>
        <v>12.258478606146753</v>
      </c>
      <c r="N93" s="665">
        <f>INPUT!BK719</f>
        <v>30.705172522154484</v>
      </c>
      <c r="O93" s="635">
        <f>INPUT!BL719</f>
        <v>21.426122365545822</v>
      </c>
      <c r="P93" s="665">
        <f>INPUT!BM719</f>
        <v>36.260348775761848</v>
      </c>
      <c r="Q93" s="635">
        <f>INPUT!BN719</f>
        <v>17.5677988890953</v>
      </c>
      <c r="R93" s="665">
        <f>INPUT!BO719</f>
        <v>37.726537905215693</v>
      </c>
      <c r="S93" s="635">
        <f>INPUT!BP719</f>
        <v>21.058022673035865</v>
      </c>
      <c r="T93" s="665">
        <f>INPUT!BQ719</f>
        <v>41.241517289858599</v>
      </c>
      <c r="U93" s="635">
        <f>INPUT!BR719</f>
        <v>36.516836139039413</v>
      </c>
      <c r="V93" s="665">
        <f>INPUT!BS719</f>
        <v>43.062456590265533</v>
      </c>
      <c r="W93" s="635">
        <f>INPUT!BT719</f>
        <v>40.244958920829987</v>
      </c>
      <c r="X93" s="665">
        <f>INPUT!BU719</f>
        <v>56.469298245614027</v>
      </c>
      <c r="Y93" s="635">
        <f>INPUT!BV719</f>
        <v>55.73291529771717</v>
      </c>
      <c r="Z93" s="665">
        <f>INPUT!BW719</f>
        <v>56.859384865157395</v>
      </c>
      <c r="AA93" s="635">
        <f>INPUT!BX719</f>
        <v>50.714558033422378</v>
      </c>
      <c r="AB93" s="665">
        <f>INPUT!BY719</f>
        <v>50.725364000844067</v>
      </c>
      <c r="AC93" s="635">
        <f>INPUT!BZ719</f>
        <v>22.99587244652021</v>
      </c>
      <c r="AD93" s="665">
        <f>INPUT!CA719</f>
        <v>47.480112095461941</v>
      </c>
      <c r="AE93" s="635">
        <f>INPUT!CB719</f>
        <v>10.258716884709827</v>
      </c>
      <c r="AF93" s="665">
        <f>INPUT!CC719</f>
        <v>44.398149213876295</v>
      </c>
      <c r="AG93" s="635">
        <f>INPUT!CD719</f>
        <v>-21.376481392125854</v>
      </c>
      <c r="AH93" s="665">
        <f>INPUT!CE719</f>
        <v>46.095198368557654</v>
      </c>
      <c r="AI93" s="635">
        <f>INPUT!CF719</f>
        <v>-18.931239798191839</v>
      </c>
      <c r="AJ93" s="665">
        <f>INPUT!CG719</f>
        <v>44.395949345316161</v>
      </c>
      <c r="AK93" s="635">
        <f>INPUT!CH719</f>
        <v>-12.477810224136761</v>
      </c>
      <c r="AL93" s="665">
        <f>INPUT!CI719</f>
        <v>39.276592238609211</v>
      </c>
      <c r="AM93" s="635">
        <f>INPUT!CJ719</f>
        <v>-17.277802209815775</v>
      </c>
      <c r="AN93" s="665">
        <f>INPUT!CK719</f>
        <v>41.86142029818869</v>
      </c>
      <c r="AO93" s="635">
        <f>INPUT!CL719</f>
        <v>-5.7135915811886377</v>
      </c>
      <c r="AP93" s="665">
        <f>INPUT!CM719</f>
        <v>42.147569268243174</v>
      </c>
      <c r="AQ93" s="635">
        <f>INPUT!CN719</f>
        <v>-8.5640787761686425</v>
      </c>
      <c r="AR93" s="665">
        <f>INPUT!CO719</f>
        <v>40.929258782628736</v>
      </c>
      <c r="AS93" s="635">
        <f>INPUT!CP719</f>
        <v>-7.8085740113881883</v>
      </c>
      <c r="AT93" s="665">
        <f>INPUT!CQ719</f>
        <v>38.562518673438902</v>
      </c>
      <c r="AU93" s="635">
        <f>INPUT!CR719</f>
        <v>-1.8180639522701938</v>
      </c>
      <c r="AV93" s="665">
        <f>INPUT!CS719</f>
        <v>39.418497323241645</v>
      </c>
      <c r="AW93" s="635">
        <f>INPUT!CT719</f>
        <v>-5.8357383900152797</v>
      </c>
      <c r="AX93" s="665">
        <f>INPUT!CU719</f>
        <v>38.636821201749733</v>
      </c>
      <c r="AY93" s="635">
        <f>INPUT!CV719</f>
        <v>-8.3296572671835492</v>
      </c>
      <c r="AZ93" s="665">
        <f>INPUT!CW719</f>
        <v>36.495843673533138</v>
      </c>
      <c r="BA93" s="635">
        <f>INPUT!CX719</f>
        <v>-10.831896889804511</v>
      </c>
      <c r="BB93" s="665">
        <f>INPUT!CY719</f>
        <v>34.486038932440763</v>
      </c>
      <c r="BC93" s="635">
        <f>INPUT!CZ719</f>
        <v>-10.571093074908347</v>
      </c>
      <c r="BD93" s="665">
        <f>INPUT!DA719</f>
        <v>33.281650019831972</v>
      </c>
      <c r="BE93" s="635">
        <f>INPUT!DB719</f>
        <v>-15.568445577937624</v>
      </c>
      <c r="BF93" s="665">
        <f>INPUT!DC719</f>
        <v>31.930284924026171</v>
      </c>
      <c r="BG93" s="635">
        <f>INPUT!DD719</f>
        <v>-17.357888328090112</v>
      </c>
      <c r="BH93" s="665">
        <f>INPUT!DE719</f>
        <v>33.659757250945773</v>
      </c>
      <c r="BI93" s="635">
        <f>INPUT!DF719</f>
        <v>-7.7709846851522428</v>
      </c>
      <c r="BJ93" s="665">
        <f>INPUT!DG719</f>
        <v>34.233782890122441</v>
      </c>
      <c r="BK93" s="635">
        <f>INPUT!DH719</f>
        <v>-0.73147293840413852</v>
      </c>
      <c r="BL93" s="665">
        <f>INPUT!DI719</f>
        <v>33.498842092868074</v>
      </c>
      <c r="BM93" s="635">
        <f>INPUT!DJ719</f>
        <v>0.65258805650165641</v>
      </c>
      <c r="BN93" s="665">
        <f>INPUT!DK719</f>
        <v>30.427049630092146</v>
      </c>
      <c r="BO93" s="635">
        <f>INPUT!DL719</f>
        <v>-4.7078668339815124</v>
      </c>
      <c r="BP93" s="665">
        <f>INPUT!DM719</f>
        <v>30.006882312456984</v>
      </c>
      <c r="BQ93" s="635">
        <f>INPUT!DN719</f>
        <v>-10.852350809470408</v>
      </c>
      <c r="BR93" s="665">
        <f>INPUT!DO719</f>
        <v>28.611762199019818</v>
      </c>
      <c r="BS93" s="635">
        <f>INPUT!DP719</f>
        <v>-16.422434847902124</v>
      </c>
      <c r="BT93" s="665">
        <f>INPUT!DQ719</f>
        <v>26.725432699184665</v>
      </c>
      <c r="BU93" s="635">
        <f>INPUT!DR719</f>
        <v>-20.219831404636736</v>
      </c>
      <c r="BV93" s="665">
        <f>INPUT!DS719</f>
        <v>24.754856923308221</v>
      </c>
      <c r="BW93" s="635">
        <f>INPUT!DT719</f>
        <v>-18.641941219217543</v>
      </c>
      <c r="BX93" s="665">
        <f>INPUT!DU719</f>
        <v>25.63142790938096</v>
      </c>
      <c r="BY93" s="635">
        <f>INPUT!DV719</f>
        <v>-14.5815028616272</v>
      </c>
      <c r="BZ93" s="665">
        <f>INPUT!DW719</f>
        <v>25.268958278667014</v>
      </c>
      <c r="CA93" s="635">
        <f>INPUT!DX719</f>
        <v>-11.683320646595192</v>
      </c>
      <c r="CB93" s="665">
        <f>INPUT!DY719</f>
        <v>24.838067213320652</v>
      </c>
      <c r="CC93" s="635">
        <f>INPUT!DZ719</f>
        <v>-7.0620577302068881</v>
      </c>
      <c r="CD93" s="665">
        <f>INPUT!EA719</f>
        <v>21.88397290480194</v>
      </c>
      <c r="CE93" s="635">
        <f>INPUT!EB719</f>
        <v>-11.597255550296353</v>
      </c>
      <c r="CF93" s="665">
        <f>INPUT!EC719</f>
        <v>19.27957728955958</v>
      </c>
      <c r="CG93" s="635">
        <f>INPUT!ED719</f>
        <v>-24.781493416122316</v>
      </c>
      <c r="CH93" s="665">
        <f>INPUT!EE719</f>
        <v>18.655672956337479</v>
      </c>
      <c r="CI93" s="635">
        <f>INPUT!EF719</f>
        <v>-26.171578778190934</v>
      </c>
      <c r="CJ93" s="665">
        <f>INPUT!EG719</f>
        <v>21.044295625527226</v>
      </c>
      <c r="CK93" s="635">
        <f>INPUT!EH719</f>
        <v>-15.274020942172299</v>
      </c>
      <c r="CL93" s="665">
        <f>INPUT!EI719</f>
        <v>20.513778925549627</v>
      </c>
      <c r="CM93" s="635">
        <f>INPUT!EJ719</f>
        <v>-6.2611756339346272</v>
      </c>
      <c r="CN93" s="665">
        <f>INPUT!EK719</f>
        <v>19.595020746887968</v>
      </c>
      <c r="CO93" s="635">
        <f>INPUT!EL719</f>
        <v>1.6361533896244111</v>
      </c>
      <c r="CP93" s="665">
        <f>INPUT!EM719</f>
        <v>17.292504720466301</v>
      </c>
      <c r="CQ93" s="635">
        <f>INPUT!EN719</f>
        <v>-7.3069904208848158</v>
      </c>
      <c r="CR93" s="665">
        <f>INPUT!EO719</f>
        <v>16.326467447654714</v>
      </c>
      <c r="CS93" s="635">
        <f>INPUT!EP719</f>
        <v>-22.418560648566796</v>
      </c>
      <c r="CT93" s="665">
        <f>INPUT!EQ719</f>
        <v>16.244458895733775</v>
      </c>
      <c r="CU93" s="635">
        <f>INPUT!ER719</f>
        <v>-20.811962755913655</v>
      </c>
      <c r="CV93" s="665">
        <f>INPUT!ES719</f>
        <v>16.214405963189094</v>
      </c>
      <c r="CW93" s="635">
        <f>INPUT!ET719</f>
        <v>-17.252417475678229</v>
      </c>
      <c r="CX93" s="665">
        <f>INPUT!EU719</f>
        <v>16.189064169956897</v>
      </c>
      <c r="CY93" s="635">
        <f>INPUT!EV719</f>
        <v>-6.3810336810458921</v>
      </c>
      <c r="CZ93" s="665">
        <f>INPUT!EW719</f>
        <v>16.196776960929721</v>
      </c>
      <c r="DA93" s="635">
        <f>INPUT!EX719</f>
        <v>-0.79435730442486374</v>
      </c>
      <c r="DB93" s="666"/>
      <c r="DC93" s="665">
        <f>INPUT!FP719</f>
        <v>23.141903883012706</v>
      </c>
      <c r="DD93" s="635">
        <f>INPUT!FQ719</f>
        <v>6.6567310830835567</v>
      </c>
      <c r="DE93" s="665">
        <f>INPUT!FR719</f>
        <v>30.842075056595352</v>
      </c>
      <c r="DF93" s="635">
        <f>INPUT!FS719</f>
        <v>33.273715129527204</v>
      </c>
      <c r="DG93" s="665">
        <f>INPUT!FT719</f>
        <v>36.260348775761848</v>
      </c>
      <c r="DH93" s="635">
        <f>INPUT!FU719</f>
        <v>17.5677988890953</v>
      </c>
      <c r="DI93" s="665">
        <f>INPUT!FV719</f>
        <v>56.469298245614027</v>
      </c>
      <c r="DJ93" s="635">
        <f>INPUT!FW719</f>
        <v>55.73291529771717</v>
      </c>
      <c r="DK93" s="665">
        <f>INPUT!FX719</f>
        <v>44.398149213876295</v>
      </c>
      <c r="DL93" s="635">
        <f>INPUT!FY719</f>
        <v>-21.376481392125854</v>
      </c>
      <c r="DM93" s="665">
        <f>INPUT!FZ719</f>
        <v>41.86142029818869</v>
      </c>
      <c r="DN93" s="635">
        <f>INPUT!GA719</f>
        <v>-5.7135915811886377</v>
      </c>
      <c r="DO93" s="665">
        <f>INPUT!GB719</f>
        <v>39.418497323241645</v>
      </c>
      <c r="DP93" s="635">
        <f>INPUT!GC719</f>
        <v>-5.8357383900152797</v>
      </c>
      <c r="DQ93" s="665">
        <f>INPUT!GD719</f>
        <v>33.281650019831972</v>
      </c>
      <c r="DR93" s="635">
        <f>INPUT!GE719</f>
        <v>-15.568445577937624</v>
      </c>
      <c r="DS93" s="665">
        <f>INPUT!GF719</f>
        <v>33.498842092868074</v>
      </c>
      <c r="DT93" s="635">
        <f>INPUT!GG719</f>
        <v>0.65258805650165641</v>
      </c>
      <c r="DU93" s="665">
        <f>INPUT!GH719</f>
        <v>26.725432699184665</v>
      </c>
      <c r="DV93" s="635">
        <f>INPUT!GI719</f>
        <v>-20.219831404636736</v>
      </c>
      <c r="DW93" s="665">
        <f>INPUT!GJ719</f>
        <v>24.838067213320652</v>
      </c>
      <c r="DX93" s="635">
        <f>INPUT!GK719</f>
        <v>-7.0620577302068881</v>
      </c>
      <c r="DY93" s="665">
        <f>INPUT!GL719</f>
        <v>21.044295625527226</v>
      </c>
      <c r="DZ93" s="635">
        <f>INPUT!GM719</f>
        <v>-15.274020942172299</v>
      </c>
      <c r="EA93" s="665">
        <f>INPUT!GN719</f>
        <v>16.326467447654714</v>
      </c>
      <c r="EB93" s="635">
        <f>INPUT!GO719</f>
        <v>-22.418560648566796</v>
      </c>
      <c r="EC93" s="665">
        <f>INPUT!GP719</f>
        <v>16.196776960929721</v>
      </c>
      <c r="ED93" s="635">
        <f>INPUT!GQ719</f>
        <v>-0.79435730442486374</v>
      </c>
      <c r="EE93" s="665">
        <f>INPUT!GR719</f>
        <v>15.949701204560521</v>
      </c>
      <c r="EF93" s="635">
        <f>INPUT!GS719</f>
        <v>-1.5254624853154723</v>
      </c>
      <c r="EG93" s="665">
        <f>INPUT!GT719</f>
        <v>15.756084676185139</v>
      </c>
      <c r="EH93" s="635">
        <f>INPUT!GU719</f>
        <v>-1.2139194702908895</v>
      </c>
      <c r="EI93" s="665">
        <f>INPUT!GV719</f>
        <v>15.589546352705582</v>
      </c>
      <c r="EJ93" s="635">
        <f>INPUT!GW719</f>
        <v>-1.0569778400040946</v>
      </c>
      <c r="EK93" s="665">
        <f>INPUT!GX719</f>
        <v>15.451873675581881</v>
      </c>
      <c r="EL93" s="635">
        <f>INPUT!GY719</f>
        <v>-0.88310893728994699</v>
      </c>
      <c r="EM93" s="635">
        <f>INPUT!GZ719</f>
        <v>-1.0951054055193365</v>
      </c>
    </row>
    <row r="94" spans="1:143" s="632" customFormat="1" ht="12.75" customHeight="1" x14ac:dyDescent="0.2">
      <c r="A94" s="644" t="str">
        <f>INPUT!B720</f>
        <v>LTD + Pref Equity to Common Equity (%)</v>
      </c>
      <c r="B94" s="665">
        <f>INPUT!AY720</f>
        <v>34.311554948419612</v>
      </c>
      <c r="C94" s="635">
        <f>INPUT!AZ720</f>
        <v>21.871705956232418</v>
      </c>
      <c r="D94" s="665">
        <f>INPUT!BA720</f>
        <v>36.81942812377595</v>
      </c>
      <c r="E94" s="635">
        <f>INPUT!BB720</f>
        <v>17.960295571232379</v>
      </c>
      <c r="F94" s="665">
        <f>INPUT!BC720</f>
        <v>33.845735274112364</v>
      </c>
      <c r="G94" s="635">
        <f>INPUT!BD720</f>
        <v>7.9387669815127424</v>
      </c>
      <c r="H94" s="665">
        <f>INPUT!BE720</f>
        <v>44.596588289534353</v>
      </c>
      <c r="I94" s="635">
        <f>INPUT!BF720</f>
        <v>48.112656874474993</v>
      </c>
      <c r="J94" s="665">
        <f>INPUT!BG720</f>
        <v>45.272849764203912</v>
      </c>
      <c r="K94" s="635">
        <f>INPUT!BH720</f>
        <v>31.946365684278533</v>
      </c>
      <c r="L94" s="665">
        <f>INPUT!BI720</f>
        <v>43.286674647757621</v>
      </c>
      <c r="M94" s="635">
        <f>INPUT!BJ720</f>
        <v>17.564766357154468</v>
      </c>
      <c r="N94" s="665">
        <f>INPUT!BK720</f>
        <v>44.310915604734483</v>
      </c>
      <c r="O94" s="635">
        <f>INPUT!BL720</f>
        <v>30.920233364309951</v>
      </c>
      <c r="P94" s="665">
        <f>INPUT!BM720</f>
        <v>56.888213348072405</v>
      </c>
      <c r="Q94" s="635">
        <f>INPUT!BN720</f>
        <v>27.561805801684102</v>
      </c>
      <c r="R94" s="665">
        <f>INPUT!BO720</f>
        <v>60.582046727695037</v>
      </c>
      <c r="S94" s="635">
        <f>INPUT!BP720</f>
        <v>33.815403808743042</v>
      </c>
      <c r="T94" s="665">
        <f>INPUT!BQ720</f>
        <v>70.188193070445877</v>
      </c>
      <c r="U94" s="635">
        <f>INPUT!BR720</f>
        <v>62.147343591526806</v>
      </c>
      <c r="V94" s="665">
        <f>INPUT!BS720</f>
        <v>75.631040630571462</v>
      </c>
      <c r="W94" s="635">
        <f>INPUT!BT720</f>
        <v>70.682640153999728</v>
      </c>
      <c r="X94" s="665">
        <f>INPUT!BU720</f>
        <v>129.72292191435767</v>
      </c>
      <c r="Y94" s="635" t="str">
        <f>INPUT!BV720</f>
        <v>NM</v>
      </c>
      <c r="Z94" s="665">
        <f>INPUT!BW720</f>
        <v>131.80012544428183</v>
      </c>
      <c r="AA94" s="635" t="str">
        <f>INPUT!BX720</f>
        <v>NM</v>
      </c>
      <c r="AB94" s="665">
        <f>INPUT!BY720</f>
        <v>102.94416787109897</v>
      </c>
      <c r="AC94" s="635">
        <f>INPUT!BZ720</f>
        <v>46.668781981289726</v>
      </c>
      <c r="AD94" s="665">
        <f>INPUT!CA720</f>
        <v>90.404062136925006</v>
      </c>
      <c r="AE94" s="635">
        <f>INPUT!CB720</f>
        <v>19.533013671614114</v>
      </c>
      <c r="AF94" s="665">
        <f>INPUT!CC720</f>
        <v>79.850128343131573</v>
      </c>
      <c r="AG94" s="635">
        <f>INPUT!CD720</f>
        <v>-38.445629218984003</v>
      </c>
      <c r="AH94" s="665">
        <f>INPUT!CE720</f>
        <v>85.51223077253772</v>
      </c>
      <c r="AI94" s="635">
        <f>INPUT!CF720</f>
        <v>-35.119765262524126</v>
      </c>
      <c r="AJ94" s="665">
        <f>INPUT!CG720</f>
        <v>79.843012914701106</v>
      </c>
      <c r="AK94" s="635">
        <f>INPUT!CH720</f>
        <v>-22.44046985286613</v>
      </c>
      <c r="AL94" s="665">
        <f>INPUT!CI720</f>
        <v>64.681139755766623</v>
      </c>
      <c r="AM94" s="635">
        <f>INPUT!CJ720</f>
        <v>-28.453281603871659</v>
      </c>
      <c r="AN94" s="665">
        <f>INPUT!CK720</f>
        <v>72.002825856587776</v>
      </c>
      <c r="AO94" s="635">
        <f>INPUT!CL720</f>
        <v>-9.8275389775485422</v>
      </c>
      <c r="AP94" s="665">
        <f>INPUT!CM720</f>
        <v>72.853584084768954</v>
      </c>
      <c r="AQ94" s="635">
        <f>INPUT!CN720</f>
        <v>-14.803317108450514</v>
      </c>
      <c r="AR94" s="665">
        <f>INPUT!CO720</f>
        <v>69.28854783117643</v>
      </c>
      <c r="AS94" s="635">
        <f>INPUT!CP720</f>
        <v>-13.219021550201717</v>
      </c>
      <c r="AT94" s="665">
        <f>INPUT!CQ720</f>
        <v>62.76708914622656</v>
      </c>
      <c r="AU94" s="635">
        <f>INPUT!CR720</f>
        <v>-2.9592097739270571</v>
      </c>
      <c r="AV94" s="665">
        <f>INPUT!CS720</f>
        <v>65.066886065149163</v>
      </c>
      <c r="AW94" s="635">
        <f>INPUT!CT720</f>
        <v>-9.6328716393066713</v>
      </c>
      <c r="AX94" s="665">
        <f>INPUT!CU720</f>
        <v>62.964178125093206</v>
      </c>
      <c r="AY94" s="635">
        <f>INPUT!CV720</f>
        <v>-13.5743575061028</v>
      </c>
      <c r="AZ94" s="665">
        <f>INPUT!CW720</f>
        <v>57.470007925012979</v>
      </c>
      <c r="BA94" s="635">
        <f>INPUT!CX720</f>
        <v>-17.056988890804391</v>
      </c>
      <c r="BB94" s="665">
        <f>INPUT!CY720</f>
        <v>52.639221275108227</v>
      </c>
      <c r="BC94" s="635">
        <f>INPUT!CZ720</f>
        <v>-16.135634149807004</v>
      </c>
      <c r="BD94" s="665">
        <f>INPUT!DA720</f>
        <v>49.883802626601096</v>
      </c>
      <c r="BE94" s="635">
        <f>INPUT!DB720</f>
        <v>-23.334578242065845</v>
      </c>
      <c r="BF94" s="665">
        <f>INPUT!DC720</f>
        <v>46.908210043759119</v>
      </c>
      <c r="BG94" s="635">
        <f>INPUT!DD720</f>
        <v>-25.500163044191765</v>
      </c>
      <c r="BH94" s="665">
        <f>INPUT!DE720</f>
        <v>50.738067658677124</v>
      </c>
      <c r="BI94" s="635">
        <f>INPUT!DF720</f>
        <v>-11.713832152450209</v>
      </c>
      <c r="BJ94" s="665">
        <f>INPUT!DG720</f>
        <v>52.053750990310199</v>
      </c>
      <c r="BK94" s="635">
        <f>INPUT!DH720</f>
        <v>-1.1122320403225245</v>
      </c>
      <c r="BL94" s="665">
        <f>INPUT!DI720</f>
        <v>50.373321528700011</v>
      </c>
      <c r="BM94" s="635">
        <f>INPUT!DJ720</f>
        <v>0.98131833646112909</v>
      </c>
      <c r="BN94" s="665">
        <f>INPUT!DK720</f>
        <v>43.734022300788688</v>
      </c>
      <c r="BO94" s="635">
        <f>INPUT!DL720</f>
        <v>-6.7668063650464063</v>
      </c>
      <c r="BP94" s="665">
        <f>INPUT!DM720</f>
        <v>42.871189773844641</v>
      </c>
      <c r="BQ94" s="635">
        <f>INPUT!DN720</f>
        <v>-15.504882719921838</v>
      </c>
      <c r="BR94" s="665">
        <f>INPUT!DO720</f>
        <v>40.07909857473323</v>
      </c>
      <c r="BS94" s="635">
        <f>INPUT!DP720</f>
        <v>-23.004398698964167</v>
      </c>
      <c r="BT94" s="665">
        <f>INPUT!DQ720</f>
        <v>36.472999682779829</v>
      </c>
      <c r="BU94" s="635">
        <f>INPUT!DR720</f>
        <v>-27.594610448708494</v>
      </c>
      <c r="BV94" s="665">
        <f>INPUT!DS720</f>
        <v>32.898943255483523</v>
      </c>
      <c r="BW94" s="635">
        <f>INPUT!DT720</f>
        <v>-24.774942882648517</v>
      </c>
      <c r="BX94" s="665">
        <f>INPUT!DU720</f>
        <v>34.465402775447593</v>
      </c>
      <c r="BY94" s="635">
        <f>INPUT!DV720</f>
        <v>-19.60707655360045</v>
      </c>
      <c r="BZ94" s="665">
        <f>INPUT!DW720</f>
        <v>33.813202247191008</v>
      </c>
      <c r="CA94" s="635">
        <f>INPUT!DX720</f>
        <v>-15.633825486016264</v>
      </c>
      <c r="CB94" s="665">
        <f>INPUT!DY720</f>
        <v>33.046073048460251</v>
      </c>
      <c r="CC94" s="635">
        <f>INPUT!DZ720</f>
        <v>-9.3957904864555104</v>
      </c>
      <c r="CD94" s="665">
        <f>INPUT!EA720</f>
        <v>28.014702895901873</v>
      </c>
      <c r="CE94" s="635">
        <f>INPUT!EB720</f>
        <v>-14.84619223679033</v>
      </c>
      <c r="CF94" s="665">
        <f>INPUT!EC720</f>
        <v>23.88438593628171</v>
      </c>
      <c r="CG94" s="635">
        <f>INPUT!ED720</f>
        <v>-30.700400944403199</v>
      </c>
      <c r="CH94" s="665">
        <f>INPUT!EE720</f>
        <v>22.934202831776858</v>
      </c>
      <c r="CI94" s="635">
        <f>INPUT!EF720</f>
        <v>-32.173821739459513</v>
      </c>
      <c r="CJ94" s="665">
        <f>INPUT!EG720</f>
        <v>26.653293504567955</v>
      </c>
      <c r="CK94" s="635">
        <f>INPUT!EH720</f>
        <v>-19.345050573838634</v>
      </c>
      <c r="CL94" s="665">
        <f>INPUT!EI720</f>
        <v>25.807968536251707</v>
      </c>
      <c r="CM94" s="635">
        <f>INPUT!EJ720</f>
        <v>-7.8770578715399324</v>
      </c>
      <c r="CN94" s="665">
        <f>INPUT!EK720</f>
        <v>24.370407067954751</v>
      </c>
      <c r="CO94" s="635">
        <f>INPUT!EL720</f>
        <v>2.0348906309320256</v>
      </c>
      <c r="CP94" s="665">
        <f>INPUT!EM720</f>
        <v>20.908026125106705</v>
      </c>
      <c r="CQ94" s="635">
        <f>INPUT!EN720</f>
        <v>-8.8347378870424507</v>
      </c>
      <c r="CR94" s="665">
        <f>INPUT!EO720</f>
        <v>19.512104902994324</v>
      </c>
      <c r="CS94" s="635">
        <f>INPUT!EP720</f>
        <v>-26.792893720056568</v>
      </c>
      <c r="CT94" s="665">
        <f>INPUT!EQ720</f>
        <v>19.395085604558687</v>
      </c>
      <c r="CU94" s="635">
        <f>INPUT!ER720</f>
        <v>-24.848460748411981</v>
      </c>
      <c r="CV94" s="665">
        <f>INPUT!ES720</f>
        <v>19.352259955411132</v>
      </c>
      <c r="CW94" s="635">
        <f>INPUT!ET720</f>
        <v>-20.591150154164254</v>
      </c>
      <c r="CX94" s="665">
        <f>INPUT!EU720</f>
        <v>19.316171582651293</v>
      </c>
      <c r="CY94" s="635">
        <f>INPUT!EV720</f>
        <v>-7.613605095623484</v>
      </c>
      <c r="CZ94" s="665">
        <f>INPUT!EW720</f>
        <v>19.327152791460716</v>
      </c>
      <c r="DA94" s="635">
        <f>INPUT!EX720</f>
        <v>-0.94788395436118833</v>
      </c>
      <c r="DB94" s="666"/>
      <c r="DC94" s="665">
        <f>INPUT!FP720</f>
        <v>30.109910409162278</v>
      </c>
      <c r="DD94" s="635">
        <f>INPUT!FQ720</f>
        <v>8.6610668483789084</v>
      </c>
      <c r="DE94" s="665">
        <f>INPUT!FR720</f>
        <v>44.596588289534353</v>
      </c>
      <c r="DF94" s="635">
        <f>INPUT!FS720</f>
        <v>48.112656874474993</v>
      </c>
      <c r="DG94" s="665">
        <f>INPUT!FT720</f>
        <v>56.888213348072405</v>
      </c>
      <c r="DH94" s="635">
        <f>INPUT!FU720</f>
        <v>27.561805801684102</v>
      </c>
      <c r="DI94" s="665">
        <f>INPUT!FV720</f>
        <v>129.72292191435767</v>
      </c>
      <c r="DJ94" s="635" t="str">
        <f>INPUT!FW720</f>
        <v>NM</v>
      </c>
      <c r="DK94" s="665">
        <f>INPUT!FX720</f>
        <v>79.850128343131573</v>
      </c>
      <c r="DL94" s="635">
        <f>INPUT!FY720</f>
        <v>-38.445629218984003</v>
      </c>
      <c r="DM94" s="665">
        <f>INPUT!FZ720</f>
        <v>72.002825856587776</v>
      </c>
      <c r="DN94" s="635">
        <f>INPUT!GA720</f>
        <v>-9.8275389775485422</v>
      </c>
      <c r="DO94" s="665">
        <f>INPUT!GB720</f>
        <v>65.066886065149163</v>
      </c>
      <c r="DP94" s="635">
        <f>INPUT!GC720</f>
        <v>-9.6328716393066713</v>
      </c>
      <c r="DQ94" s="665">
        <f>INPUT!GD720</f>
        <v>49.883802626601096</v>
      </c>
      <c r="DR94" s="635">
        <f>INPUT!GE720</f>
        <v>-23.334578242065845</v>
      </c>
      <c r="DS94" s="665">
        <f>INPUT!GF720</f>
        <v>50.373321528700011</v>
      </c>
      <c r="DT94" s="635">
        <f>INPUT!GG720</f>
        <v>0.98131833646112909</v>
      </c>
      <c r="DU94" s="665">
        <f>INPUT!GH720</f>
        <v>36.472999682779829</v>
      </c>
      <c r="DV94" s="635">
        <f>INPUT!GI720</f>
        <v>-27.594610448708494</v>
      </c>
      <c r="DW94" s="665">
        <f>INPUT!GJ720</f>
        <v>33.046073048460251</v>
      </c>
      <c r="DX94" s="635">
        <f>INPUT!GK720</f>
        <v>-9.3957904864555104</v>
      </c>
      <c r="DY94" s="665">
        <f>INPUT!GL720</f>
        <v>26.653293504567955</v>
      </c>
      <c r="DZ94" s="635">
        <f>INPUT!GM720</f>
        <v>-19.345050573838634</v>
      </c>
      <c r="EA94" s="665">
        <f>INPUT!GN720</f>
        <v>19.512104902994324</v>
      </c>
      <c r="EB94" s="635">
        <f>INPUT!GO720</f>
        <v>-26.792893720056568</v>
      </c>
      <c r="EC94" s="665">
        <f>INPUT!GP720</f>
        <v>19.327152791460716</v>
      </c>
      <c r="ED94" s="635">
        <f>INPUT!GQ720</f>
        <v>-0.94788395436118833</v>
      </c>
      <c r="EE94" s="665">
        <f>INPUT!GR720</f>
        <v>18.976376566344751</v>
      </c>
      <c r="EF94" s="635">
        <f>INPUT!GS720</f>
        <v>-1.8149399909072343</v>
      </c>
      <c r="EG94" s="665">
        <f>INPUT!GT720</f>
        <v>18.702934942686667</v>
      </c>
      <c r="EH94" s="635">
        <f>INPUT!GU720</f>
        <v>-1.4409580390760226</v>
      </c>
      <c r="EI94" s="665">
        <f>INPUT!GV720</f>
        <v>18.468738976153183</v>
      </c>
      <c r="EJ94" s="635">
        <f>INPUT!GW720</f>
        <v>-1.2521883183102318</v>
      </c>
      <c r="EK94" s="665">
        <f>INPUT!GX720</f>
        <v>18.275832176684517</v>
      </c>
      <c r="EL94" s="635">
        <f>INPUT!GY720</f>
        <v>-1.0445044446063605</v>
      </c>
      <c r="EM94" s="635">
        <f>INPUT!GZ720</f>
        <v>-1.3005783515864011</v>
      </c>
    </row>
    <row r="95" spans="1:143" s="632" customFormat="1" ht="12.75" customHeight="1" x14ac:dyDescent="0.2">
      <c r="A95" s="644" t="str">
        <f>INPUT!B721</f>
        <v>Equity to Total Assets (%)</v>
      </c>
      <c r="B95" s="672">
        <f>INPUT!AY721</f>
        <v>5.7405144489610436</v>
      </c>
      <c r="C95" s="635">
        <f>INPUT!AZ721</f>
        <v>-4.9731034842830439</v>
      </c>
      <c r="D95" s="672">
        <f>INPUT!BA721</f>
        <v>5.5743585997548841</v>
      </c>
      <c r="E95" s="635">
        <f>INPUT!BB721</f>
        <v>-7.6448112830379813</v>
      </c>
      <c r="F95" s="672">
        <f>INPUT!BC721</f>
        <v>5.6863406769402172</v>
      </c>
      <c r="G95" s="635">
        <f>INPUT!BD721</f>
        <v>-7.9580411036086645</v>
      </c>
      <c r="H95" s="672">
        <f>INPUT!BE721</f>
        <v>5.5734523374365903</v>
      </c>
      <c r="I95" s="635">
        <f>INPUT!BF721</f>
        <v>-6.3339369684698994</v>
      </c>
      <c r="J95" s="672">
        <f>INPUT!BG721</f>
        <v>5.5866283268067569</v>
      </c>
      <c r="K95" s="635">
        <f>INPUT!BH721</f>
        <v>-2.680702636017898</v>
      </c>
      <c r="L95" s="672">
        <f>INPUT!BI721</f>
        <v>5.6003262475377538</v>
      </c>
      <c r="M95" s="635">
        <f>INPUT!BJ721</f>
        <v>0.46584099889108188</v>
      </c>
      <c r="N95" s="672">
        <f>INPUT!BK721</f>
        <v>5.515415327973626</v>
      </c>
      <c r="O95" s="635">
        <f>INPUT!BL721</f>
        <v>-3.0058935733439824</v>
      </c>
      <c r="P95" s="672">
        <f>INPUT!BM721</f>
        <v>5.1578643354504878</v>
      </c>
      <c r="Q95" s="635">
        <f>INPUT!BN721</f>
        <v>-7.4565633080706419</v>
      </c>
      <c r="R95" s="672">
        <f>INPUT!BO721</f>
        <v>5.516885161226849</v>
      </c>
      <c r="S95" s="635">
        <f>INPUT!BP721</f>
        <v>-1.2483945861451673</v>
      </c>
      <c r="T95" s="672">
        <f>INPUT!BQ721</f>
        <v>5.6477972262734228</v>
      </c>
      <c r="U95" s="635">
        <f>INPUT!BR721</f>
        <v>0.84764666623735252</v>
      </c>
      <c r="V95" s="672">
        <f>INPUT!BS721</f>
        <v>6.0668812871128637</v>
      </c>
      <c r="W95" s="635">
        <f>INPUT!BT721</f>
        <v>9.9986297739403085</v>
      </c>
      <c r="X95" s="672">
        <f>INPUT!BU721</f>
        <v>5.1442735745180785</v>
      </c>
      <c r="Y95" s="635">
        <f>INPUT!BV721</f>
        <v>-0.26349589769158399</v>
      </c>
      <c r="Z95" s="672">
        <f>INPUT!BW721</f>
        <v>5.5781109172544383</v>
      </c>
      <c r="AA95" s="635">
        <f>INPUT!BX721</f>
        <v>1.109788480969101</v>
      </c>
      <c r="AB95" s="672">
        <f>INPUT!BY721</f>
        <v>5.8364408072244167</v>
      </c>
      <c r="AC95" s="635">
        <f>INPUT!BZ721</f>
        <v>3.3401266616554182</v>
      </c>
      <c r="AD95" s="672">
        <f>INPUT!CA721</f>
        <v>5.70587530591638</v>
      </c>
      <c r="AE95" s="635">
        <f>INPUT!CB721</f>
        <v>-5.9504375330917441</v>
      </c>
      <c r="AF95" s="672">
        <f>INPUT!CC721</f>
        <v>5.9546657483908101</v>
      </c>
      <c r="AG95" s="635">
        <f>INPUT!CD721</f>
        <v>15.753286875856915</v>
      </c>
      <c r="AH95" s="665">
        <f>INPUT!CE721</f>
        <v>5.3885959269155101</v>
      </c>
      <c r="AI95" s="635">
        <f>INPUT!CF721</f>
        <v>-3.3974761913161871</v>
      </c>
      <c r="AJ95" s="665">
        <f>INPUT!CG721</f>
        <v>5.5558401997270526</v>
      </c>
      <c r="AK95" s="635">
        <f>INPUT!CH721</f>
        <v>-4.807735000927849</v>
      </c>
      <c r="AL95" s="665">
        <f>INPUT!CI721</f>
        <v>5.4538947193833573</v>
      </c>
      <c r="AM95" s="635">
        <f>INPUT!CJ721</f>
        <v>-4.4161600635006124</v>
      </c>
      <c r="AN95" s="665">
        <f>INPUT!CK721</f>
        <v>5.432801193172403</v>
      </c>
      <c r="AO95" s="635">
        <f>INPUT!CL721</f>
        <v>-8.7639605188492027</v>
      </c>
      <c r="AP95" s="665">
        <f>INPUT!CM721</f>
        <v>4.9720151023583199</v>
      </c>
      <c r="AQ95" s="635">
        <f>INPUT!CN721</f>
        <v>-7.7307860935797663</v>
      </c>
      <c r="AR95" s="665">
        <f>INPUT!CO721</f>
        <v>4.999667329543354</v>
      </c>
      <c r="AS95" s="635">
        <f>INPUT!CP721</f>
        <v>-10.010598760760288</v>
      </c>
      <c r="AT95" s="665">
        <f>INPUT!CQ721</f>
        <v>5.1952692454427876</v>
      </c>
      <c r="AU95" s="635">
        <f>INPUT!CR721</f>
        <v>-4.7420327536100899</v>
      </c>
      <c r="AV95" s="665">
        <f>INPUT!CS721</f>
        <v>5.0344827586206895</v>
      </c>
      <c r="AW95" s="635">
        <f>INPUT!CT721</f>
        <v>-7.3317322020230478</v>
      </c>
      <c r="AX95" s="665">
        <f>INPUT!CU721</f>
        <v>4.6909753713666822</v>
      </c>
      <c r="AY95" s="635">
        <f>INPUT!CV721</f>
        <v>-5.6524311613280247</v>
      </c>
      <c r="AZ95" s="665">
        <f>INPUT!CW721</f>
        <v>4.9714919501585708</v>
      </c>
      <c r="BA95" s="635">
        <f>INPUT!CX721</f>
        <v>-0.56354508265566494</v>
      </c>
      <c r="BB95" s="665">
        <f>INPUT!CY721</f>
        <v>4.6597698430808849</v>
      </c>
      <c r="BC95" s="635">
        <f>INPUT!CZ721</f>
        <v>-10.30744273420737</v>
      </c>
      <c r="BD95" s="665">
        <f>INPUT!DA721</f>
        <v>4.2262356373534402</v>
      </c>
      <c r="BE95" s="635">
        <f>INPUT!DB721</f>
        <v>-16.054223641609738</v>
      </c>
      <c r="BF95" s="665">
        <f>INPUT!DC721</f>
        <v>4.0074150726199509</v>
      </c>
      <c r="BG95" s="635">
        <f>INPUT!DD721</f>
        <v>-14.571815979233776</v>
      </c>
      <c r="BH95" s="665">
        <f>INPUT!DE721</f>
        <v>3.9783867620487365</v>
      </c>
      <c r="BI95" s="635">
        <f>INPUT!DF721</f>
        <v>-19.975999117893736</v>
      </c>
      <c r="BJ95" s="665">
        <f>INPUT!DG721</f>
        <v>3.9798515619625623</v>
      </c>
      <c r="BK95" s="635">
        <f>INPUT!DH721</f>
        <v>-14.591241713963782</v>
      </c>
      <c r="BL95" s="665">
        <f>INPUT!DI721</f>
        <v>3.8136570497407969</v>
      </c>
      <c r="BM95" s="635">
        <f>INPUT!DJ721</f>
        <v>-9.7623185978103351</v>
      </c>
      <c r="BN95" s="665">
        <f>INPUT!DK721</f>
        <v>3.858900500739511</v>
      </c>
      <c r="BO95" s="635">
        <f>INPUT!DL721</f>
        <v>-3.7059942429009425</v>
      </c>
      <c r="BP95" s="665">
        <f>INPUT!DM721</f>
        <v>3.8560981547019737</v>
      </c>
      <c r="BQ95" s="635">
        <f>INPUT!DN721</f>
        <v>-3.0738240060850188</v>
      </c>
      <c r="BR95" s="665">
        <f>INPUT!DO721</f>
        <v>3.8750692105384581</v>
      </c>
      <c r="BS95" s="635">
        <f>INPUT!DP721</f>
        <v>-2.6328205912391667</v>
      </c>
      <c r="BT95" s="665">
        <f>INPUT!DQ721</f>
        <v>3.6074013602313428</v>
      </c>
      <c r="BU95" s="635">
        <f>INPUT!DR721</f>
        <v>-5.4083439286569472</v>
      </c>
      <c r="BV95" s="665">
        <f>INPUT!DS721</f>
        <v>3.8332329575206754</v>
      </c>
      <c r="BW95" s="635">
        <f>INPUT!DT721</f>
        <v>-0.6651517242778624</v>
      </c>
      <c r="BX95" s="665">
        <f>INPUT!DU721</f>
        <v>4.0520120542958455</v>
      </c>
      <c r="BY95" s="635">
        <f>INPUT!DV721</f>
        <v>5.0806253299071784</v>
      </c>
      <c r="BZ95" s="665">
        <f>INPUT!DW721</f>
        <v>4.2320121042749728</v>
      </c>
      <c r="CA95" s="635">
        <f>INPUT!DX721</f>
        <v>9.2112649953654824</v>
      </c>
      <c r="CB95" s="665">
        <f>INPUT!DY721</f>
        <v>4.2581131402451744</v>
      </c>
      <c r="CC95" s="635">
        <f>INPUT!DZ721</f>
        <v>18.038241798858266</v>
      </c>
      <c r="CD95" s="665">
        <f>INPUT!EA721</f>
        <v>4.2530700722046593</v>
      </c>
      <c r="CE95" s="635">
        <f>INPUT!EB721</f>
        <v>10.952559349680996</v>
      </c>
      <c r="CF95" s="665">
        <f>INPUT!EC721</f>
        <v>4.1597637496554229</v>
      </c>
      <c r="CG95" s="635">
        <f>INPUT!ED721</f>
        <v>2.6592145807005068</v>
      </c>
      <c r="CH95" s="665">
        <f>INPUT!EE721</f>
        <v>4.1652564780539398</v>
      </c>
      <c r="CI95" s="635">
        <f>INPUT!EF721</f>
        <v>-1.5773968640968548</v>
      </c>
      <c r="CJ95" s="665">
        <f>INPUT!EG721</f>
        <v>4.3276802819184086</v>
      </c>
      <c r="CK95" s="635">
        <f>INPUT!EH721</f>
        <v>1.6337551253799774</v>
      </c>
      <c r="CL95" s="665">
        <f>INPUT!EI721</f>
        <v>4.3772786267702983</v>
      </c>
      <c r="CM95" s="635">
        <f>INPUT!EJ721</f>
        <v>2.920444583722869</v>
      </c>
      <c r="CN95" s="665">
        <f>INPUT!EK721</f>
        <v>4.2846553992240555</v>
      </c>
      <c r="CO95" s="635">
        <f>INPUT!EL721</f>
        <v>3.0023736222754849</v>
      </c>
      <c r="CP95" s="665">
        <f>INPUT!EM721</f>
        <v>4.4576689723802705</v>
      </c>
      <c r="CQ95" s="635">
        <f>INPUT!EN721</f>
        <v>7.0202758429644092</v>
      </c>
      <c r="CR95" s="665">
        <f>INPUT!EO721</f>
        <v>4.8121198561892227</v>
      </c>
      <c r="CS95" s="635">
        <f>INPUT!EP721</f>
        <v>11.193977898387345</v>
      </c>
      <c r="CT95" s="665">
        <f>INPUT!EQ721</f>
        <v>4.9244338910929661</v>
      </c>
      <c r="CU95" s="635">
        <f>INPUT!ER721</f>
        <v>12.499895733765001</v>
      </c>
      <c r="CV95" s="665">
        <f>INPUT!ES721</f>
        <v>4.8801981000395092</v>
      </c>
      <c r="CW95" s="635">
        <f>INPUT!ET721</f>
        <v>13.899430533510483</v>
      </c>
      <c r="CX95" s="665">
        <f>INPUT!EU721</f>
        <v>4.8339448367272571</v>
      </c>
      <c r="CY95" s="635">
        <f>INPUT!EV721</f>
        <v>8.4410903249746241</v>
      </c>
      <c r="CZ95" s="665">
        <f>INPUT!EW721</f>
        <v>4.771633671191668</v>
      </c>
      <c r="DA95" s="635">
        <f>INPUT!EX721</f>
        <v>-0.84133783462360157</v>
      </c>
      <c r="DB95" s="671"/>
      <c r="DC95" s="672">
        <f>INPUT!FP721</f>
        <v>5.9503433335939837</v>
      </c>
      <c r="DD95" s="635">
        <f>INPUT!FQ721</f>
        <v>1.0281890418292221</v>
      </c>
      <c r="DE95" s="672">
        <f>INPUT!FR721</f>
        <v>5.5734523374365903</v>
      </c>
      <c r="DF95" s="635">
        <f>INPUT!FS721</f>
        <v>-6.3339369684698994</v>
      </c>
      <c r="DG95" s="672">
        <f>INPUT!FT721</f>
        <v>5.1578643354504878</v>
      </c>
      <c r="DH95" s="635">
        <f>INPUT!FU721</f>
        <v>-7.4565633080706419</v>
      </c>
      <c r="DI95" s="672">
        <f>INPUT!FV721</f>
        <v>5.1442735745180785</v>
      </c>
      <c r="DJ95" s="635">
        <f>INPUT!FW721</f>
        <v>-0.26349589769158399</v>
      </c>
      <c r="DK95" s="665">
        <f>INPUT!FX721</f>
        <v>5.9546657483908101</v>
      </c>
      <c r="DL95" s="635">
        <f>INPUT!FY721</f>
        <v>15.753286875856915</v>
      </c>
      <c r="DM95" s="665">
        <f>INPUT!FZ721</f>
        <v>5.432801193172403</v>
      </c>
      <c r="DN95" s="635">
        <f>INPUT!GA721</f>
        <v>-8.7639605188492027</v>
      </c>
      <c r="DO95" s="665">
        <f>INPUT!GB721</f>
        <v>5.0344827586206895</v>
      </c>
      <c r="DP95" s="635">
        <f>INPUT!GC721</f>
        <v>-7.3317322020230478</v>
      </c>
      <c r="DQ95" s="665">
        <f>INPUT!GD721</f>
        <v>4.2262356373534402</v>
      </c>
      <c r="DR95" s="635">
        <f>INPUT!GE721</f>
        <v>-16.054223641609738</v>
      </c>
      <c r="DS95" s="665">
        <f>INPUT!GF721</f>
        <v>3.8136570497407969</v>
      </c>
      <c r="DT95" s="635">
        <f>INPUT!GG721</f>
        <v>-9.7623185978103351</v>
      </c>
      <c r="DU95" s="665">
        <f>INPUT!GH721</f>
        <v>3.6074013602313428</v>
      </c>
      <c r="DV95" s="635">
        <f>INPUT!GI721</f>
        <v>-5.4083439286569472</v>
      </c>
      <c r="DW95" s="665">
        <f>INPUT!GJ721</f>
        <v>4.2581131402451744</v>
      </c>
      <c r="DX95" s="635">
        <f>INPUT!GK721</f>
        <v>18.038241798858266</v>
      </c>
      <c r="DY95" s="665">
        <f>INPUT!GL721</f>
        <v>4.3276802819184086</v>
      </c>
      <c r="DZ95" s="635">
        <f>INPUT!GM721</f>
        <v>1.6337551253799774</v>
      </c>
      <c r="EA95" s="665">
        <f>INPUT!GN721</f>
        <v>4.8121198561892227</v>
      </c>
      <c r="EB95" s="635">
        <f>INPUT!GO721</f>
        <v>11.193977898387345</v>
      </c>
      <c r="EC95" s="665">
        <f>INPUT!GP721</f>
        <v>4.771633671191668</v>
      </c>
      <c r="ED95" s="635">
        <f>INPUT!GQ721</f>
        <v>-0.84133783462360157</v>
      </c>
      <c r="EE95" s="665">
        <f>INPUT!GR721</f>
        <v>4.6649025405992663</v>
      </c>
      <c r="EF95" s="635">
        <f>INPUT!GS721</f>
        <v>-2.2367838343664488</v>
      </c>
      <c r="EG95" s="665">
        <f>INPUT!GT721</f>
        <v>4.5346537650443794</v>
      </c>
      <c r="EH95" s="635">
        <f>INPUT!GU721</f>
        <v>-2.792100679945932</v>
      </c>
      <c r="EI95" s="665">
        <f>INPUT!GV721</f>
        <v>4.3950635842800807</v>
      </c>
      <c r="EJ95" s="635">
        <f>INPUT!GW721</f>
        <v>-3.078298542665749</v>
      </c>
      <c r="EK95" s="665">
        <f>INPUT!GX721</f>
        <v>4.246431397233482</v>
      </c>
      <c r="EL95" s="635">
        <f>INPUT!GY721</f>
        <v>-3.3817983334351425</v>
      </c>
      <c r="EM95" s="635">
        <f>INPUT!GZ721</f>
        <v>-2.4701547131910861</v>
      </c>
    </row>
    <row r="96" spans="1:143" s="632" customFormat="1" ht="12.75" customHeight="1" x14ac:dyDescent="0.2">
      <c r="A96" s="644" t="str">
        <f>INPUT!B722</f>
        <v>Oper Return on Avg Assets (%)</v>
      </c>
      <c r="B96" s="672">
        <f>INPUT!AY722</f>
        <v>0.17049429183978068</v>
      </c>
      <c r="C96" s="635">
        <f>INPUT!AZ722</f>
        <v>-35.523110757126148</v>
      </c>
      <c r="D96" s="672">
        <f>INPUT!BA722</f>
        <v>0.17740981667652278</v>
      </c>
      <c r="E96" s="635">
        <f>INPUT!BB722</f>
        <v>-27.004303302805013</v>
      </c>
      <c r="F96" s="672">
        <f>INPUT!BC722</f>
        <v>0.20888093921053236</v>
      </c>
      <c r="G96" s="635">
        <f>INPUT!BD722</f>
        <v>-29.246281663564403</v>
      </c>
      <c r="H96" s="672">
        <f>INPUT!BE722</f>
        <v>0.1902732424603896</v>
      </c>
      <c r="I96" s="635">
        <f>INPUT!BF722</f>
        <v>-13.027773046322949</v>
      </c>
      <c r="J96" s="672">
        <f>INPUT!BG722</f>
        <v>0.20442556832708089</v>
      </c>
      <c r="K96" s="635">
        <f>INPUT!BH722</f>
        <v>19.901708216241403</v>
      </c>
      <c r="L96" s="672">
        <f>INPUT!BI722</f>
        <v>0.20611730393413522</v>
      </c>
      <c r="M96" s="635">
        <f>INPUT!BJ722</f>
        <v>16.181453650874204</v>
      </c>
      <c r="N96" s="672">
        <f>INPUT!BK722</f>
        <v>0.23040141661657026</v>
      </c>
      <c r="O96" s="635">
        <f>INPUT!BL722</f>
        <v>10.302748296409803</v>
      </c>
      <c r="P96" s="672">
        <f>INPUT!BM722</f>
        <v>0.19087775625644671</v>
      </c>
      <c r="Q96" s="635">
        <f>INPUT!BN722</f>
        <v>0.31770825379346945</v>
      </c>
      <c r="R96" s="672">
        <f>INPUT!BO722</f>
        <v>0.16442686974484516</v>
      </c>
      <c r="S96" s="635">
        <f>INPUT!BP722</f>
        <v>-19.566387370017139</v>
      </c>
      <c r="T96" s="672">
        <f>INPUT!BQ722</f>
        <v>0.20463100627051384</v>
      </c>
      <c r="U96" s="635">
        <f>INPUT!BR722</f>
        <v>-0.72109310341859612</v>
      </c>
      <c r="V96" s="672">
        <f>INPUT!BS722</f>
        <v>0.10447858189071241</v>
      </c>
      <c r="W96" s="635" t="str">
        <f>INPUT!BT722</f>
        <v>NM</v>
      </c>
      <c r="X96" s="672">
        <f>INPUT!BU722</f>
        <v>-0.22711135311030031</v>
      </c>
      <c r="Y96" s="635" t="str">
        <f>INPUT!BV722</f>
        <v>NM</v>
      </c>
      <c r="Z96" s="672">
        <f>INPUT!BW722</f>
        <v>5.0913410834858709E-2</v>
      </c>
      <c r="AA96" s="635" t="str">
        <f>INPUT!BX722</f>
        <v>NM</v>
      </c>
      <c r="AB96" s="672">
        <f>INPUT!BY722</f>
        <v>0.23173910644522705</v>
      </c>
      <c r="AC96" s="635">
        <f>INPUT!BZ722</f>
        <v>13.24730824950224</v>
      </c>
      <c r="AD96" s="672">
        <f>INPUT!CA722</f>
        <v>0.20778351997952574</v>
      </c>
      <c r="AE96" s="635">
        <f>INPUT!CB722</f>
        <v>98.876665647006263</v>
      </c>
      <c r="AF96" s="672">
        <f>INPUT!CC722</f>
        <v>0.13441903800613378</v>
      </c>
      <c r="AG96" s="635" t="str">
        <f>INPUT!CD722</f>
        <v>NM</v>
      </c>
      <c r="AH96" s="665">
        <f>INPUT!CE722</f>
        <v>0.15073901346784135</v>
      </c>
      <c r="AI96" s="635" t="str">
        <f>INPUT!CF722</f>
        <v>NM</v>
      </c>
      <c r="AJ96" s="665">
        <f>INPUT!CG722</f>
        <v>8.8623460196608453E-2</v>
      </c>
      <c r="AK96" s="635" t="str">
        <f>INPUT!CH722</f>
        <v>NM</v>
      </c>
      <c r="AL96" s="665">
        <f>INPUT!CI722</f>
        <v>0.20324264400203243</v>
      </c>
      <c r="AM96" s="635">
        <f>INPUT!CJ722</f>
        <v>-2.1853879354535621</v>
      </c>
      <c r="AN96" s="665">
        <f>INPUT!CK722</f>
        <v>0.16923224326381392</v>
      </c>
      <c r="AO96" s="635">
        <f>INPUT!CL722</f>
        <v>25.899013840652202</v>
      </c>
      <c r="AP96" s="665">
        <f>INPUT!CM722</f>
        <v>0.16140348063839768</v>
      </c>
      <c r="AQ96" s="635">
        <f>INPUT!CN722</f>
        <v>7.0747890179283246</v>
      </c>
      <c r="AR96" s="665">
        <f>INPUT!CO722</f>
        <v>0.1482662482469625</v>
      </c>
      <c r="AS96" s="635">
        <f>INPUT!CP722</f>
        <v>67.299096557546193</v>
      </c>
      <c r="AT96" s="665">
        <f>INPUT!CQ722</f>
        <v>8.0479520331302248E-2</v>
      </c>
      <c r="AU96" s="635" t="str">
        <f>INPUT!CR722</f>
        <v>NM</v>
      </c>
      <c r="AV96" s="665">
        <f>INPUT!CS722</f>
        <v>0.16834889992511498</v>
      </c>
      <c r="AW96" s="635">
        <f>INPUT!CT722</f>
        <v>-0.52197106276132388</v>
      </c>
      <c r="AX96" s="665">
        <f>INPUT!CU722</f>
        <v>0.1467687371238833</v>
      </c>
      <c r="AY96" s="635">
        <f>INPUT!CV722</f>
        <v>-9.0671796274960741</v>
      </c>
      <c r="AZ96" s="665">
        <f>INPUT!CW722</f>
        <v>0.11804011826721929</v>
      </c>
      <c r="BA96" s="635">
        <f>INPUT!CX722</f>
        <v>-20.386386205305797</v>
      </c>
      <c r="BB96" s="665">
        <f>INPUT!CY722</f>
        <v>0.13268184300532612</v>
      </c>
      <c r="BC96" s="635">
        <f>INPUT!CZ722</f>
        <v>64.864107612877945</v>
      </c>
      <c r="BD96" s="665">
        <f>INPUT!DA722</f>
        <v>0.13512227153849007</v>
      </c>
      <c r="BE96" s="635">
        <f>INPUT!DB722</f>
        <v>-19.736765967229246</v>
      </c>
      <c r="BF96" s="665">
        <f>INPUT!DC722</f>
        <v>0.16618066102441065</v>
      </c>
      <c r="BG96" s="635">
        <f>INPUT!DD722</f>
        <v>13.226198086137586</v>
      </c>
      <c r="BH96" s="665">
        <f>INPUT!DE722</f>
        <v>0.17002497905495007</v>
      </c>
      <c r="BI96" s="635">
        <f>INPUT!DF722</f>
        <v>44.039993818074123</v>
      </c>
      <c r="BJ96" s="665">
        <f>INPUT!DG722</f>
        <v>0.21348211920734966</v>
      </c>
      <c r="BK96" s="635">
        <f>INPUT!DH722</f>
        <v>60.897764435469924</v>
      </c>
      <c r="BL96" s="665">
        <f>INPUT!DI722</f>
        <v>0.16017165531709482</v>
      </c>
      <c r="BM96" s="635">
        <f>INPUT!DJ722</f>
        <v>18.538308669174015</v>
      </c>
      <c r="BN96" s="665">
        <f>INPUT!DK722</f>
        <v>0.16967895309429046</v>
      </c>
      <c r="BO96" s="635">
        <f>INPUT!DL722</f>
        <v>2.1051138251074519</v>
      </c>
      <c r="BP96" s="665">
        <f>INPUT!DM722</f>
        <v>0.17154735421757047</v>
      </c>
      <c r="BQ96" s="635">
        <f>INPUT!DN722</f>
        <v>0.89538323785258456</v>
      </c>
      <c r="BR96" s="665">
        <f>INPUT!DO722</f>
        <v>0.14901422192310493</v>
      </c>
      <c r="BS96" s="635">
        <f>INPUT!DP722</f>
        <v>-30.198265561355385</v>
      </c>
      <c r="BT96" s="665">
        <f>INPUT!DQ722</f>
        <v>0.14510904772187433</v>
      </c>
      <c r="BU96" s="635">
        <f>INPUT!DR722</f>
        <v>-9.4040406621263628</v>
      </c>
      <c r="BV96" s="665">
        <f>INPUT!DS722</f>
        <v>0.18436360821454925</v>
      </c>
      <c r="BW96" s="635">
        <f>INPUT!DT722</f>
        <v>8.6543763103598081</v>
      </c>
      <c r="BX96" s="665">
        <f>INPUT!DU722</f>
        <v>0.1913318182687872</v>
      </c>
      <c r="BY96" s="635">
        <f>INPUT!DV722</f>
        <v>11.532946189379544</v>
      </c>
      <c r="BZ96" s="665">
        <f>INPUT!DW722</f>
        <v>0.15969338869370808</v>
      </c>
      <c r="CA96" s="635">
        <f>INPUT!DX722</f>
        <v>7.1665419802103543</v>
      </c>
      <c r="CB96" s="665">
        <f>INPUT!DY722</f>
        <v>0.12851699893335219</v>
      </c>
      <c r="CC96" s="635">
        <f>INPUT!DZ722</f>
        <v>-11.434193145780654</v>
      </c>
      <c r="CD96" s="665">
        <f>INPUT!EA722</f>
        <v>0.14194474263439191</v>
      </c>
      <c r="CE96" s="635">
        <f>INPUT!EB722</f>
        <v>-23.008263936119803</v>
      </c>
      <c r="CF96" s="665">
        <f>INPUT!EC722</f>
        <v>0.11495583768346654</v>
      </c>
      <c r="CG96" s="635">
        <f>INPUT!ED722</f>
        <v>-39.918075977319148</v>
      </c>
      <c r="CH96" s="665">
        <f>INPUT!EE722</f>
        <v>0.15995358525687256</v>
      </c>
      <c r="CI96" s="635">
        <f>INPUT!EF722</f>
        <v>0.16293508785358313</v>
      </c>
      <c r="CJ96" s="665">
        <f>INPUT!EG722</f>
        <v>0.14746558741699142</v>
      </c>
      <c r="CK96" s="635">
        <f>INPUT!EH722</f>
        <v>14.744032805703625</v>
      </c>
      <c r="CL96" s="665">
        <f>INPUT!EI722</f>
        <v>0.16989657871966377</v>
      </c>
      <c r="CM96" s="635">
        <f>INPUT!EJ722</f>
        <v>19.692054504102046</v>
      </c>
      <c r="CN96" s="665">
        <f>INPUT!EK722</f>
        <v>0.12393512218870235</v>
      </c>
      <c r="CO96" s="635">
        <f>INPUT!EL722</f>
        <v>7.8110730922256124</v>
      </c>
      <c r="CP96" s="665">
        <f>INPUT!EM722</f>
        <v>0.17564496086157635</v>
      </c>
      <c r="CQ96" s="635">
        <f>INPUT!EN722</f>
        <v>9.8099555439815447</v>
      </c>
      <c r="CR96" s="665">
        <f>INPUT!EO722</f>
        <v>0.15368781981446095</v>
      </c>
      <c r="CS96" s="635">
        <f>INPUT!EP722</f>
        <v>4.2194470631814482</v>
      </c>
      <c r="CT96" s="665">
        <f>INPUT!EQ722</f>
        <v>0.34545556185457443</v>
      </c>
      <c r="CU96" s="635" t="str">
        <f>INPUT!ER722</f>
        <v>NM</v>
      </c>
      <c r="CV96" s="665">
        <f>INPUT!ES722</f>
        <v>0.3423184657757749</v>
      </c>
      <c r="CW96" s="635" t="str">
        <f>INPUT!ET722</f>
        <v>NM</v>
      </c>
      <c r="CX96" s="665">
        <f>INPUT!EU722</f>
        <v>0.33357520362538928</v>
      </c>
      <c r="CY96" s="635">
        <f>INPUT!EV722</f>
        <v>89.91447405557841</v>
      </c>
      <c r="CZ96" s="665">
        <f>INPUT!EW722</f>
        <v>0.29655253573507317</v>
      </c>
      <c r="DA96" s="635">
        <f>INPUT!EX722</f>
        <v>92.957734772401068</v>
      </c>
      <c r="DB96" s="671"/>
      <c r="DC96" s="672">
        <f>INPUT!FP722</f>
        <v>0.61299643163701423</v>
      </c>
      <c r="DD96" s="635">
        <f>INPUT!FQ722</f>
        <v>11.083239986410803</v>
      </c>
      <c r="DE96" s="672">
        <f>INPUT!FR722</f>
        <v>0.6280821105962584</v>
      </c>
      <c r="DF96" s="635">
        <f>INPUT!FS722</f>
        <v>2.4609733728722745</v>
      </c>
      <c r="DG96" s="672">
        <f>INPUT!FT722</f>
        <v>0.69287061181525134</v>
      </c>
      <c r="DH96" s="635">
        <f>INPUT!FU722</f>
        <v>10.315291603750197</v>
      </c>
      <c r="DI96" s="672">
        <f>INPUT!FV722</f>
        <v>-0.1661704500812852</v>
      </c>
      <c r="DJ96" s="635" t="str">
        <f>INPUT!FW722</f>
        <v>NM</v>
      </c>
      <c r="DK96" s="665">
        <f>INPUT!FX722</f>
        <v>0.2791179234542337</v>
      </c>
      <c r="DL96" s="635" t="str">
        <f>INPUT!FY722</f>
        <v>NM</v>
      </c>
      <c r="DM96" s="665">
        <f>INPUT!FZ722</f>
        <v>0.46168571780091183</v>
      </c>
      <c r="DN96" s="635">
        <f>INPUT!GA722</f>
        <v>65.408839420738019</v>
      </c>
      <c r="DO96" s="665">
        <f>INPUT!GB722</f>
        <v>0.48156072656942794</v>
      </c>
      <c r="DP96" s="635">
        <f>INPUT!GC722</f>
        <v>4.3048784058524063</v>
      </c>
      <c r="DQ96" s="665">
        <f>INPUT!GD722</f>
        <v>0.43974139777944882</v>
      </c>
      <c r="DR96" s="635">
        <f>INPUT!GE722</f>
        <v>-8.6841236177821628</v>
      </c>
      <c r="DS96" s="665">
        <f>INPUT!GF722</f>
        <v>0.73743459355884744</v>
      </c>
      <c r="DT96" s="635">
        <f>INPUT!GG722</f>
        <v>67.697332405512071</v>
      </c>
      <c r="DU96" s="665">
        <f>INPUT!GH722</f>
        <v>0.62745421195562201</v>
      </c>
      <c r="DV96" s="635">
        <f>INPUT!GI722</f>
        <v>-14.913916781753073</v>
      </c>
      <c r="DW96" s="665">
        <f>INPUT!GJ722</f>
        <v>0.66842795780090225</v>
      </c>
      <c r="DX96" s="635">
        <f>INPUT!GK722</f>
        <v>6.5301571117954609</v>
      </c>
      <c r="DY96" s="665">
        <f>INPUT!GL722</f>
        <v>0.57960501618716709</v>
      </c>
      <c r="DZ96" s="635">
        <f>INPUT!GM722</f>
        <v>-13.288334303962785</v>
      </c>
      <c r="EA96" s="665">
        <f>INPUT!GN722</f>
        <v>0.62413673048683871</v>
      </c>
      <c r="EB96" s="635">
        <f>INPUT!GO722</f>
        <v>7.6831140269654412</v>
      </c>
      <c r="EC96" s="665">
        <f>INPUT!GP722</f>
        <v>0.65820833961372005</v>
      </c>
      <c r="ED96" s="635">
        <f>INPUT!GQ722</f>
        <v>5.458997598219355</v>
      </c>
      <c r="EE96" s="665">
        <f>INPUT!GR722</f>
        <v>0.62849610131243749</v>
      </c>
      <c r="EF96" s="635">
        <f>INPUT!GS722</f>
        <v>-4.5141084536728329</v>
      </c>
      <c r="EG96" s="665">
        <f>INPUT!GT722</f>
        <v>0.59907903901171711</v>
      </c>
      <c r="EH96" s="635">
        <f>INPUT!GU722</f>
        <v>-4.6805480955714955</v>
      </c>
      <c r="EI96" s="665">
        <f>INPUT!GV722</f>
        <v>0.57164002647958256</v>
      </c>
      <c r="EJ96" s="635">
        <f>INPUT!GW722</f>
        <v>-4.5801990631152592</v>
      </c>
      <c r="EK96" s="665">
        <f>INPUT!GX722</f>
        <v>0.5445920850258783</v>
      </c>
      <c r="EL96" s="635">
        <f>INPUT!GY722</f>
        <v>-4.7316388287709117</v>
      </c>
      <c r="EM96" s="635">
        <f>INPUT!GZ722</f>
        <v>-2.6898108561569267</v>
      </c>
    </row>
    <row r="97" spans="1:144" s="632" customFormat="1" ht="12.75" customHeight="1" x14ac:dyDescent="0.2">
      <c r="A97" s="644" t="str">
        <f>INPUT!B723</f>
        <v>BVPS</v>
      </c>
      <c r="B97" s="672">
        <f>INPUT!AY723</f>
        <v>42.432540475714568</v>
      </c>
      <c r="C97" s="635">
        <f>INPUT!AZ723</f>
        <v>5.1625520639414475</v>
      </c>
      <c r="D97" s="672">
        <f>INPUT!BA723</f>
        <v>41.411192214111921</v>
      </c>
      <c r="E97" s="635">
        <f>INPUT!BB723</f>
        <v>-3.2967690195598749</v>
      </c>
      <c r="F97" s="672">
        <f>INPUT!BC723</f>
        <v>45.311280049311691</v>
      </c>
      <c r="G97" s="635">
        <f>INPUT!BD723</f>
        <v>3.4627369996287172</v>
      </c>
      <c r="H97" s="672">
        <f>INPUT!BE723</f>
        <v>45.178087898354505</v>
      </c>
      <c r="I97" s="635">
        <f>INPUT!BF723</f>
        <v>5.7994290812578413</v>
      </c>
      <c r="J97" s="672">
        <f>INPUT!BG723</f>
        <v>47.051986475063401</v>
      </c>
      <c r="K97" s="635">
        <f>INPUT!BH723</f>
        <v>10.886564762703003</v>
      </c>
      <c r="L97" s="672">
        <f>INPUT!BI723</f>
        <v>46.26757562846187</v>
      </c>
      <c r="M97" s="635">
        <f>INPUT!BJ723</f>
        <v>11.727224343700527</v>
      </c>
      <c r="N97" s="672">
        <f>INPUT!BK723</f>
        <v>47.729437229437231</v>
      </c>
      <c r="O97" s="635">
        <f>INPUT!BL723</f>
        <v>5.3367664243735504</v>
      </c>
      <c r="P97" s="672">
        <f>INPUT!BM723</f>
        <v>47.716483516483514</v>
      </c>
      <c r="Q97" s="635">
        <f>INPUT!BN723</f>
        <v>5.6186433207180215</v>
      </c>
      <c r="R97" s="672">
        <f>INPUT!BO723</f>
        <v>49.519621109607577</v>
      </c>
      <c r="S97" s="635">
        <f>INPUT!BP723</f>
        <v>5.2444855561028589</v>
      </c>
      <c r="T97" s="672">
        <f>INPUT!BQ723</f>
        <v>50.436296124390815</v>
      </c>
      <c r="U97" s="635">
        <f>INPUT!BR723</f>
        <v>9.0100257886962254</v>
      </c>
      <c r="V97" s="672">
        <f>INPUT!BS723</f>
        <v>49.84565014031805</v>
      </c>
      <c r="W97" s="635">
        <f>INPUT!BT723</f>
        <v>4.4337688305607088</v>
      </c>
      <c r="X97" s="672">
        <f>INPUT!BU723</f>
        <v>33.691654879773694</v>
      </c>
      <c r="Y97" s="635">
        <f>INPUT!BV723</f>
        <v>-29.391999584095473</v>
      </c>
      <c r="Z97" s="672">
        <f>INPUT!BW723</f>
        <v>33.834001414760671</v>
      </c>
      <c r="AA97" s="635">
        <f>INPUT!BX723</f>
        <v>-31.675564843535625</v>
      </c>
      <c r="AB97" s="672">
        <f>INPUT!BY723</f>
        <v>40.200129115558425</v>
      </c>
      <c r="AC97" s="635">
        <f>INPUT!BZ723</f>
        <v>-20.295239332378756</v>
      </c>
      <c r="AD97" s="672">
        <f>INPUT!CA723</f>
        <v>49.709090909090911</v>
      </c>
      <c r="AE97" s="635">
        <f>INPUT!CB723</f>
        <v>-0.27396418913730258</v>
      </c>
      <c r="AF97" s="672">
        <f>INPUT!CC723</f>
        <v>51.523037542662117</v>
      </c>
      <c r="AG97" s="635">
        <f>INPUT!CD723</f>
        <v>52.925220582124751</v>
      </c>
      <c r="AH97" s="672">
        <f>INPUT!CE723</f>
        <v>49.407391673746815</v>
      </c>
      <c r="AI97" s="635">
        <f>INPUT!CF723</f>
        <v>46.028816006941412</v>
      </c>
      <c r="AJ97" s="672">
        <f>INPUT!CG723</f>
        <v>54.908704883227173</v>
      </c>
      <c r="AK97" s="635">
        <f>INPUT!CH723</f>
        <v>36.588379418851616</v>
      </c>
      <c r="AL97" s="672">
        <f>INPUT!CI723</f>
        <v>62.457627118644069</v>
      </c>
      <c r="AM97" s="635">
        <f>INPUT!CJ723</f>
        <v>25.64628718088602</v>
      </c>
      <c r="AN97" s="672">
        <f>INPUT!CK723</f>
        <v>57.575757575757578</v>
      </c>
      <c r="AO97" s="635">
        <f>INPUT!CL723</f>
        <v>11.747599368697337</v>
      </c>
      <c r="AP97" s="672">
        <f>INPUT!CM723</f>
        <v>57.823087847433563</v>
      </c>
      <c r="AQ97" s="635">
        <f>INPUT!CN723</f>
        <v>17.033273541858577</v>
      </c>
      <c r="AR97" s="672">
        <f>INPUT!CO723</f>
        <v>62.280275415147834</v>
      </c>
      <c r="AS97" s="635">
        <f>INPUT!CP723</f>
        <v>13.42514005310737</v>
      </c>
      <c r="AT97" s="672">
        <f>INPUT!CQ723</f>
        <v>68.772993311036799</v>
      </c>
      <c r="AU97" s="635">
        <f>INPUT!CR723</f>
        <v>10.111441122148477</v>
      </c>
      <c r="AV97" s="672">
        <f>INPUT!CS723</f>
        <v>69.073879183329822</v>
      </c>
      <c r="AW97" s="635">
        <f>INPUT!CT723</f>
        <v>19.970421739467596</v>
      </c>
      <c r="AX97" s="672">
        <f>INPUT!CU723</f>
        <v>70.836678639340803</v>
      </c>
      <c r="AY97" s="635">
        <f>INPUT!CV723</f>
        <v>22.505873131928979</v>
      </c>
      <c r="AZ97" s="672">
        <f>INPUT!CW723</f>
        <v>78.140081144565443</v>
      </c>
      <c r="BA97" s="635">
        <f>INPUT!CX723</f>
        <v>25.465214506036332</v>
      </c>
      <c r="BB97" s="672">
        <f>INPUT!CY723</f>
        <v>79.63383297644539</v>
      </c>
      <c r="BC97" s="635">
        <f>INPUT!CZ723</f>
        <v>15.792303261090751</v>
      </c>
      <c r="BD97" s="672">
        <f>INPUT!DA723</f>
        <v>79.038872276804781</v>
      </c>
      <c r="BE97" s="635">
        <f>INPUT!DB723</f>
        <v>14.426572260444146</v>
      </c>
      <c r="BF97" s="672">
        <f>INPUT!DC723</f>
        <v>81.772097976570819</v>
      </c>
      <c r="BG97" s="635">
        <f>INPUT!DD723</f>
        <v>15.437509983926276</v>
      </c>
      <c r="BH97" s="672">
        <f>INPUT!DE723</f>
        <v>71.758312020460366</v>
      </c>
      <c r="BI97" s="635">
        <f>INPUT!DF723</f>
        <v>-8.1670879152253377</v>
      </c>
      <c r="BJ97" s="672">
        <f>INPUT!DG723</f>
        <v>70.049092849519738</v>
      </c>
      <c r="BK97" s="635">
        <f>INPUT!DH723</f>
        <v>-12.036015056264702</v>
      </c>
      <c r="BL97" s="672">
        <f>INPUT!DI723</f>
        <v>72.295711542564547</v>
      </c>
      <c r="BM97" s="635">
        <f>INPUT!DJ723</f>
        <v>-8.5314485644794757</v>
      </c>
      <c r="BN97" s="672">
        <f>INPUT!DK723</f>
        <v>78.871728871728877</v>
      </c>
      <c r="BO97" s="635">
        <f>INPUT!DL723</f>
        <v>-3.5468933494563828</v>
      </c>
      <c r="BP97" s="672">
        <f>INPUT!DM723</f>
        <v>85.35183989670756</v>
      </c>
      <c r="BQ97" s="635">
        <f>INPUT!DN723</f>
        <v>18.943488905328891</v>
      </c>
      <c r="BR97" s="672">
        <f>INPUT!DO723</f>
        <v>86.756581786793276</v>
      </c>
      <c r="BS97" s="635">
        <f>INPUT!DP723</f>
        <v>23.851113922581064</v>
      </c>
      <c r="BT97" s="672">
        <f>INPUT!DQ723</f>
        <v>88.799566630552548</v>
      </c>
      <c r="BU97" s="635">
        <f>INPUT!DR723</f>
        <v>22.828262888416646</v>
      </c>
      <c r="BV97" s="672">
        <f>INPUT!DS723</f>
        <v>98.15517241379311</v>
      </c>
      <c r="BW97" s="635">
        <f>INPUT!DT723</f>
        <v>24.44911987846163</v>
      </c>
      <c r="BX97" s="672">
        <f>INPUT!DU723</f>
        <v>91.17469229108184</v>
      </c>
      <c r="BY97" s="635">
        <f>INPUT!DV723</f>
        <v>6.8221755985823762</v>
      </c>
      <c r="BZ97" s="672">
        <f>INPUT!DW723</f>
        <v>93.874891398783674</v>
      </c>
      <c r="CA97" s="635">
        <f>INPUT!DX723</f>
        <v>8.2049217078236723</v>
      </c>
      <c r="CB97" s="672">
        <f>INPUT!DY723</f>
        <v>92.393199651264169</v>
      </c>
      <c r="CC97" s="635">
        <f>INPUT!DZ723</f>
        <v>4.0469037823830831</v>
      </c>
      <c r="CD97" s="672">
        <f>INPUT!EA723</f>
        <v>109.66049382716049</v>
      </c>
      <c r="CE97" s="635">
        <f>INPUT!EB723</f>
        <v>11.721564060693979</v>
      </c>
      <c r="CF97" s="672">
        <f>INPUT!EC723</f>
        <v>123.77446619217081</v>
      </c>
      <c r="CG97" s="635">
        <f>INPUT!ED723</f>
        <v>35.755288097942582</v>
      </c>
      <c r="CH97" s="672">
        <f>INPUT!EE723</f>
        <v>128.3675310033822</v>
      </c>
      <c r="CI97" s="635">
        <f>INPUT!EF723</f>
        <v>36.743200541316867</v>
      </c>
      <c r="CJ97" s="672">
        <f>INPUT!EG723</f>
        <v>104.94114984155726</v>
      </c>
      <c r="CK97" s="635">
        <f>INPUT!EH723</f>
        <v>13.581032194636649</v>
      </c>
      <c r="CL97" s="672">
        <f>INPUT!EI723</f>
        <v>107.08640018117993</v>
      </c>
      <c r="CM97" s="635">
        <f>INPUT!EJ723</f>
        <v>-2.3473299783217101</v>
      </c>
      <c r="CN97" s="672">
        <f>INPUT!EK723</f>
        <v>111.35784492173281</v>
      </c>
      <c r="CO97" s="635">
        <f>INPUT!EL723</f>
        <v>-10.031650026395667</v>
      </c>
      <c r="CP97" s="672">
        <f>INPUT!EM723</f>
        <v>116.29709217264082</v>
      </c>
      <c r="CQ97" s="635">
        <f>INPUT!EN723</f>
        <v>-9.4030310752205395</v>
      </c>
      <c r="CR97" s="672">
        <f>INPUT!EO723</f>
        <v>125.2444342437457</v>
      </c>
      <c r="CS97" s="635">
        <f>INPUT!EP723</f>
        <v>19.347305068452968</v>
      </c>
      <c r="CT97" s="672">
        <f>INPUT!EQ723</f>
        <v>127.22494829555626</v>
      </c>
      <c r="CU97" s="635">
        <f>INPUT!ER723</f>
        <v>18.805887657353153</v>
      </c>
      <c r="CV97" s="672">
        <f>INPUT!ES723</f>
        <v>128.6980813064456</v>
      </c>
      <c r="CW97" s="635">
        <f>INPUT!ET723</f>
        <v>15.571634308207265</v>
      </c>
      <c r="CX97" s="672">
        <f>INPUT!EU723</f>
        <v>130.13916901903735</v>
      </c>
      <c r="CY97" s="635">
        <f>INPUT!EV723</f>
        <v>11.90234131206671</v>
      </c>
      <c r="CZ97" s="672">
        <f>INPUT!EW723</f>
        <v>131.27435251770544</v>
      </c>
      <c r="DA97" s="635">
        <f>INPUT!EX723</f>
        <v>4.8145199508223584</v>
      </c>
      <c r="DB97" s="671"/>
      <c r="DC97" s="672">
        <f>INPUT!FP723</f>
        <v>42.701636758035889</v>
      </c>
      <c r="DD97" s="635">
        <f>INPUT!FQ723</f>
        <v>7.01079700549802</v>
      </c>
      <c r="DE97" s="672">
        <f>INPUT!FR723</f>
        <v>45.178087898354505</v>
      </c>
      <c r="DF97" s="635">
        <f>INPUT!FS723</f>
        <v>5.7994290812578413</v>
      </c>
      <c r="DG97" s="672">
        <f>INPUT!FT723</f>
        <v>47.716483516483514</v>
      </c>
      <c r="DH97" s="635">
        <f>INPUT!FU723</f>
        <v>5.6186433207180215</v>
      </c>
      <c r="DI97" s="672">
        <f>INPUT!FV723</f>
        <v>33.691654879773694</v>
      </c>
      <c r="DJ97" s="635">
        <f>INPUT!FW723</f>
        <v>-29.391999584095473</v>
      </c>
      <c r="DK97" s="672">
        <f>INPUT!FX723</f>
        <v>51.523037542662117</v>
      </c>
      <c r="DL97" s="635">
        <f>INPUT!FY723</f>
        <v>52.925220582124751</v>
      </c>
      <c r="DM97" s="672">
        <f>INPUT!FZ723</f>
        <v>57.575757575757578</v>
      </c>
      <c r="DN97" s="635">
        <f>INPUT!GA723</f>
        <v>11.747599368697337</v>
      </c>
      <c r="DO97" s="672">
        <f>INPUT!GB723</f>
        <v>69.073879183329822</v>
      </c>
      <c r="DP97" s="635">
        <f>INPUT!GC723</f>
        <v>19.970421739467596</v>
      </c>
      <c r="DQ97" s="672">
        <f>INPUT!GD723</f>
        <v>79.038872276804781</v>
      </c>
      <c r="DR97" s="635">
        <f>INPUT!GE723</f>
        <v>14.426572260444146</v>
      </c>
      <c r="DS97" s="672">
        <f>INPUT!GF723</f>
        <v>72.295711542564547</v>
      </c>
      <c r="DT97" s="635">
        <f>INPUT!GG723</f>
        <v>-8.5314485644794757</v>
      </c>
      <c r="DU97" s="672">
        <f>INPUT!GH723</f>
        <v>88.799566630552548</v>
      </c>
      <c r="DV97" s="635">
        <f>INPUT!GI723</f>
        <v>22.828262888416646</v>
      </c>
      <c r="DW97" s="672">
        <f>INPUT!GJ723</f>
        <v>92.431597528684904</v>
      </c>
      <c r="DX97" s="635">
        <f>INPUT!GK723</f>
        <v>4.0901448463631453</v>
      </c>
      <c r="DY97" s="672">
        <f>INPUT!GL723</f>
        <v>105.1421366345713</v>
      </c>
      <c r="DZ97" s="635">
        <f>INPUT!GM723</f>
        <v>13.751292248239949</v>
      </c>
      <c r="EA97" s="672">
        <f>INPUT!GN723</f>
        <v>125.2444342437457</v>
      </c>
      <c r="EB97" s="635">
        <f>INPUT!GO723</f>
        <v>19.119164069341025</v>
      </c>
      <c r="EC97" s="672">
        <f>INPUT!GP723</f>
        <v>131.87637222485344</v>
      </c>
      <c r="ED97" s="635">
        <f>INPUT!GQ723</f>
        <v>5.2951957675028751</v>
      </c>
      <c r="EE97" s="672">
        <f>INPUT!GR723</f>
        <v>139.44539265504568</v>
      </c>
      <c r="EF97" s="635">
        <f>INPUT!GS723</f>
        <v>5.7394818362813425</v>
      </c>
      <c r="EG97" s="672">
        <f>INPUT!GT723</f>
        <v>147.12605110106702</v>
      </c>
      <c r="EH97" s="635">
        <f>INPUT!GU723</f>
        <v>5.5080044595101469</v>
      </c>
      <c r="EI97" s="672">
        <f>INPUT!GV723</f>
        <v>154.8813431334257</v>
      </c>
      <c r="EJ97" s="635">
        <f>INPUT!GW723</f>
        <v>5.2711888712565553</v>
      </c>
      <c r="EK97" s="672">
        <f>INPUT!GX723</f>
        <v>162.65874003868711</v>
      </c>
      <c r="EL97" s="635">
        <f>INPUT!GY723</f>
        <v>5.0215195374186692</v>
      </c>
      <c r="EM97" s="635">
        <f>INPUT!GZ723</f>
        <v>5.3668007373759652</v>
      </c>
    </row>
    <row r="98" spans="1:144" s="632" customFormat="1" ht="12.75" customHeight="1" x14ac:dyDescent="0.2">
      <c r="A98" s="644"/>
      <c r="B98" s="655"/>
      <c r="C98" s="635"/>
      <c r="D98" s="655"/>
      <c r="E98" s="635"/>
      <c r="F98" s="655"/>
      <c r="G98" s="635"/>
      <c r="H98" s="655"/>
      <c r="I98" s="635"/>
      <c r="J98" s="655"/>
      <c r="K98" s="635"/>
      <c r="L98" s="655"/>
      <c r="M98" s="635"/>
      <c r="N98" s="655"/>
      <c r="O98" s="635"/>
      <c r="P98" s="655"/>
      <c r="Q98" s="635"/>
      <c r="R98" s="655"/>
      <c r="S98" s="635"/>
      <c r="T98" s="655"/>
      <c r="U98" s="635"/>
      <c r="V98" s="655"/>
      <c r="W98" s="635"/>
      <c r="X98" s="655"/>
      <c r="Y98" s="635"/>
      <c r="Z98" s="655"/>
      <c r="AA98" s="635"/>
      <c r="AB98" s="655"/>
      <c r="AC98" s="635"/>
      <c r="AD98" s="655"/>
      <c r="AE98" s="635"/>
      <c r="AF98" s="655"/>
      <c r="AG98" s="635"/>
      <c r="AH98" s="655"/>
      <c r="AI98" s="635"/>
      <c r="AJ98" s="655"/>
      <c r="AK98" s="635"/>
      <c r="AL98" s="655"/>
      <c r="AM98" s="635"/>
      <c r="AN98" s="655"/>
      <c r="AO98" s="635"/>
      <c r="AP98" s="655"/>
      <c r="AQ98" s="635"/>
      <c r="AR98" s="655"/>
      <c r="AS98" s="635"/>
      <c r="AT98" s="655"/>
      <c r="AU98" s="635"/>
      <c r="AV98" s="655"/>
      <c r="AW98" s="635"/>
      <c r="AX98" s="655"/>
      <c r="AY98" s="635"/>
      <c r="AZ98" s="655"/>
      <c r="BA98" s="635"/>
      <c r="BB98" s="655"/>
      <c r="BC98" s="635"/>
      <c r="BD98" s="655"/>
      <c r="BE98" s="635"/>
      <c r="BF98" s="655"/>
      <c r="BG98" s="635"/>
      <c r="BH98" s="655"/>
      <c r="BI98" s="635"/>
      <c r="BJ98" s="655"/>
      <c r="BK98" s="635"/>
      <c r="BL98" s="655"/>
      <c r="BM98" s="635"/>
      <c r="BN98" s="655"/>
      <c r="BO98" s="635"/>
      <c r="BP98" s="655"/>
      <c r="BQ98" s="635"/>
      <c r="BR98" s="655"/>
      <c r="BS98" s="635"/>
      <c r="BT98" s="655"/>
      <c r="BU98" s="635"/>
      <c r="BV98" s="655"/>
      <c r="BW98" s="635"/>
      <c r="BX98" s="655"/>
      <c r="BY98" s="635"/>
      <c r="BZ98" s="655"/>
      <c r="CA98" s="635"/>
      <c r="CB98" s="655"/>
      <c r="CC98" s="635"/>
      <c r="CD98" s="655"/>
      <c r="CE98" s="635"/>
      <c r="CF98" s="655"/>
      <c r="CG98" s="635"/>
      <c r="CH98" s="655"/>
      <c r="CI98" s="635"/>
      <c r="CJ98" s="655"/>
      <c r="CK98" s="635"/>
      <c r="CL98" s="655"/>
      <c r="CM98" s="635"/>
      <c r="CN98" s="655"/>
      <c r="CO98" s="635"/>
      <c r="CP98" s="655"/>
      <c r="CQ98" s="635"/>
      <c r="CR98" s="655"/>
      <c r="CS98" s="635"/>
      <c r="CT98" s="655"/>
      <c r="CU98" s="635"/>
      <c r="CV98" s="655"/>
      <c r="CW98" s="635"/>
      <c r="CX98" s="655"/>
      <c r="CY98" s="635"/>
      <c r="CZ98" s="655"/>
      <c r="DA98" s="635"/>
      <c r="DB98" s="666"/>
      <c r="DC98" s="655"/>
      <c r="DD98" s="635"/>
      <c r="DE98" s="655"/>
      <c r="DF98" s="635"/>
      <c r="DG98" s="655"/>
      <c r="DH98" s="635"/>
      <c r="DI98" s="655"/>
      <c r="DJ98" s="635"/>
      <c r="DK98" s="655"/>
      <c r="DL98" s="635"/>
      <c r="DM98" s="655"/>
      <c r="DN98" s="635"/>
      <c r="DO98" s="655"/>
      <c r="DP98" s="635"/>
      <c r="DQ98" s="655"/>
      <c r="DR98" s="635"/>
      <c r="DS98" s="655"/>
      <c r="DT98" s="635"/>
      <c r="DU98" s="655"/>
      <c r="DV98" s="635"/>
      <c r="DW98" s="655"/>
      <c r="DX98" s="635"/>
      <c r="DY98" s="655"/>
      <c r="DZ98" s="635"/>
      <c r="EA98" s="655"/>
      <c r="EB98" s="635"/>
      <c r="EC98" s="655"/>
      <c r="ED98" s="635"/>
      <c r="EE98" s="655"/>
      <c r="EF98" s="635"/>
      <c r="EG98" s="655"/>
      <c r="EH98" s="635"/>
      <c r="EI98" s="655"/>
      <c r="EJ98" s="635"/>
      <c r="EK98" s="655"/>
      <c r="EL98" s="635"/>
      <c r="EM98" s="635"/>
    </row>
    <row r="99" spans="1:144" s="632" customFormat="1" ht="12.75" customHeight="1" x14ac:dyDescent="0.2">
      <c r="A99" s="675" t="s">
        <v>507</v>
      </c>
      <c r="B99" s="655"/>
      <c r="C99" s="635"/>
      <c r="D99" s="655"/>
      <c r="E99" s="635"/>
      <c r="F99" s="655"/>
      <c r="G99" s="635"/>
      <c r="H99" s="655"/>
      <c r="I99" s="635"/>
      <c r="J99" s="655"/>
      <c r="K99" s="635"/>
      <c r="L99" s="655"/>
      <c r="M99" s="635"/>
      <c r="N99" s="655"/>
      <c r="O99" s="635"/>
      <c r="P99" s="655"/>
      <c r="Q99" s="635"/>
      <c r="R99" s="655"/>
      <c r="S99" s="635"/>
      <c r="T99" s="655"/>
      <c r="U99" s="635"/>
      <c r="V99" s="655"/>
      <c r="W99" s="635"/>
      <c r="X99" s="655"/>
      <c r="Y99" s="635"/>
      <c r="Z99" s="655"/>
      <c r="AA99" s="635"/>
      <c r="AB99" s="655"/>
      <c r="AC99" s="635"/>
      <c r="AD99" s="655"/>
      <c r="AE99" s="635"/>
      <c r="AF99" s="655"/>
      <c r="AG99" s="635"/>
      <c r="AH99" s="655"/>
      <c r="AI99" s="635"/>
      <c r="AJ99" s="655"/>
      <c r="AK99" s="635"/>
      <c r="AL99" s="655"/>
      <c r="AM99" s="635"/>
      <c r="AN99" s="655"/>
      <c r="AO99" s="635"/>
      <c r="AP99" s="655"/>
      <c r="AQ99" s="635"/>
      <c r="AR99" s="655"/>
      <c r="AS99" s="635"/>
      <c r="AT99" s="655"/>
      <c r="AU99" s="635"/>
      <c r="AV99" s="655"/>
      <c r="AW99" s="635"/>
      <c r="AX99" s="655"/>
      <c r="AY99" s="635"/>
      <c r="AZ99" s="655"/>
      <c r="BA99" s="635"/>
      <c r="BB99" s="655"/>
      <c r="BC99" s="635"/>
      <c r="BD99" s="655"/>
      <c r="BE99" s="635"/>
      <c r="BF99" s="655"/>
      <c r="BG99" s="635"/>
      <c r="BH99" s="655"/>
      <c r="BI99" s="635"/>
      <c r="BJ99" s="655"/>
      <c r="BK99" s="635"/>
      <c r="BL99" s="655"/>
      <c r="BM99" s="635"/>
      <c r="BN99" s="655"/>
      <c r="BO99" s="635"/>
      <c r="BP99" s="655"/>
      <c r="BQ99" s="635"/>
      <c r="BR99" s="655"/>
      <c r="BS99" s="635"/>
      <c r="BT99" s="655"/>
      <c r="BU99" s="635"/>
      <c r="BV99" s="655"/>
      <c r="BW99" s="635"/>
      <c r="BX99" s="655"/>
      <c r="BY99" s="635"/>
      <c r="BZ99" s="655"/>
      <c r="CA99" s="635"/>
      <c r="CB99" s="655"/>
      <c r="CC99" s="635"/>
      <c r="CD99" s="655"/>
      <c r="CE99" s="635"/>
      <c r="CF99" s="655"/>
      <c r="CG99" s="635"/>
      <c r="CH99" s="655"/>
      <c r="CI99" s="635"/>
      <c r="CJ99" s="655"/>
      <c r="CK99" s="635"/>
      <c r="CL99" s="655"/>
      <c r="CM99" s="635"/>
      <c r="CN99" s="655"/>
      <c r="CO99" s="635"/>
      <c r="CP99" s="655"/>
      <c r="CQ99" s="635"/>
      <c r="CR99" s="655"/>
      <c r="CS99" s="635"/>
      <c r="CT99" s="655"/>
      <c r="CU99" s="635"/>
      <c r="CV99" s="655"/>
      <c r="CW99" s="635"/>
      <c r="CX99" s="655"/>
      <c r="CY99" s="635"/>
      <c r="CZ99" s="655"/>
      <c r="DA99" s="635"/>
      <c r="DB99" s="666"/>
      <c r="DC99" s="655"/>
      <c r="DD99" s="635"/>
      <c r="DE99" s="655"/>
      <c r="DF99" s="635"/>
      <c r="DG99" s="655"/>
      <c r="DH99" s="635"/>
      <c r="DI99" s="655"/>
      <c r="DJ99" s="635"/>
      <c r="DK99" s="655"/>
      <c r="DL99" s="635"/>
      <c r="DM99" s="655"/>
      <c r="DN99" s="635"/>
      <c r="DO99" s="655"/>
      <c r="DP99" s="635"/>
      <c r="DQ99" s="655"/>
      <c r="DR99" s="635"/>
      <c r="DS99" s="655"/>
      <c r="DT99" s="635"/>
      <c r="DU99" s="655"/>
      <c r="DV99" s="635"/>
      <c r="DW99" s="655"/>
      <c r="DX99" s="635"/>
      <c r="DY99" s="655"/>
      <c r="DZ99" s="635"/>
      <c r="EA99" s="655"/>
      <c r="EB99" s="635"/>
      <c r="EC99" s="655"/>
      <c r="ED99" s="635"/>
      <c r="EE99" s="655"/>
      <c r="EF99" s="635"/>
      <c r="EG99" s="655"/>
      <c r="EH99" s="635"/>
      <c r="EI99" s="655"/>
      <c r="EJ99" s="635"/>
      <c r="EK99" s="655"/>
      <c r="EL99" s="635"/>
      <c r="EM99" s="635"/>
    </row>
    <row r="100" spans="1:144" s="632" customFormat="1" ht="12.75" customHeight="1" x14ac:dyDescent="0.2">
      <c r="A100" s="675" t="s">
        <v>45</v>
      </c>
      <c r="B100" s="655"/>
      <c r="C100" s="635"/>
      <c r="D100" s="655"/>
      <c r="E100" s="635"/>
      <c r="F100" s="655"/>
      <c r="G100" s="635"/>
      <c r="H100" s="655"/>
      <c r="I100" s="635"/>
      <c r="J100" s="655"/>
      <c r="K100" s="635"/>
      <c r="L100" s="655"/>
      <c r="M100" s="635"/>
      <c r="N100" s="655"/>
      <c r="O100" s="635"/>
      <c r="P100" s="655"/>
      <c r="Q100" s="635"/>
      <c r="R100" s="655"/>
      <c r="S100" s="635"/>
      <c r="T100" s="655"/>
      <c r="U100" s="635"/>
      <c r="V100" s="655"/>
      <c r="W100" s="635"/>
      <c r="X100" s="655"/>
      <c r="Y100" s="635"/>
      <c r="Z100" s="655"/>
      <c r="AA100" s="635"/>
      <c r="AB100" s="655"/>
      <c r="AC100" s="635"/>
      <c r="AD100" s="655"/>
      <c r="AE100" s="635"/>
      <c r="AF100" s="655"/>
      <c r="AG100" s="635"/>
      <c r="AH100" s="655"/>
      <c r="AI100" s="635"/>
      <c r="AJ100" s="655"/>
      <c r="AK100" s="635"/>
      <c r="AL100" s="655"/>
      <c r="AM100" s="635"/>
      <c r="AN100" s="655"/>
      <c r="AO100" s="635"/>
      <c r="AP100" s="655"/>
      <c r="AQ100" s="635"/>
      <c r="AR100" s="655"/>
      <c r="AS100" s="635"/>
      <c r="AT100" s="655"/>
      <c r="AU100" s="635"/>
      <c r="AV100" s="655"/>
      <c r="AW100" s="635"/>
      <c r="AX100" s="655"/>
      <c r="AY100" s="635"/>
      <c r="AZ100" s="655"/>
      <c r="BA100" s="635"/>
      <c r="BB100" s="655"/>
      <c r="BC100" s="635"/>
      <c r="BD100" s="655"/>
      <c r="BE100" s="635"/>
      <c r="BF100" s="655"/>
      <c r="BG100" s="635"/>
      <c r="BH100" s="655"/>
      <c r="BI100" s="635"/>
      <c r="BJ100" s="655"/>
      <c r="BK100" s="635"/>
      <c r="BL100" s="655"/>
      <c r="BM100" s="635"/>
      <c r="BN100" s="655"/>
      <c r="BO100" s="635"/>
      <c r="BP100" s="655"/>
      <c r="BQ100" s="635"/>
      <c r="BR100" s="655"/>
      <c r="BS100" s="635"/>
      <c r="BT100" s="655"/>
      <c r="BU100" s="635"/>
      <c r="BV100" s="655"/>
      <c r="BW100" s="635"/>
      <c r="BX100" s="655"/>
      <c r="BY100" s="635"/>
      <c r="BZ100" s="655"/>
      <c r="CA100" s="635"/>
      <c r="CB100" s="655"/>
      <c r="CC100" s="635"/>
      <c r="CD100" s="655"/>
      <c r="CE100" s="635"/>
      <c r="CF100" s="655"/>
      <c r="CG100" s="635"/>
      <c r="CH100" s="655"/>
      <c r="CI100" s="635"/>
      <c r="CJ100" s="655"/>
      <c r="CK100" s="635"/>
      <c r="CL100" s="655"/>
      <c r="CM100" s="635"/>
      <c r="CN100" s="655"/>
      <c r="CO100" s="635"/>
      <c r="CP100" s="655"/>
      <c r="CQ100" s="635"/>
      <c r="CR100" s="655"/>
      <c r="CS100" s="635"/>
      <c r="CT100" s="655"/>
      <c r="CU100" s="635"/>
      <c r="CV100" s="655"/>
      <c r="CW100" s="635"/>
      <c r="CX100" s="655"/>
      <c r="CY100" s="635"/>
      <c r="CZ100" s="655"/>
      <c r="DA100" s="635"/>
      <c r="DB100" s="666"/>
      <c r="DC100" s="655"/>
      <c r="DD100" s="635"/>
      <c r="DE100" s="655"/>
      <c r="DF100" s="635"/>
      <c r="DG100" s="655"/>
      <c r="DH100" s="635"/>
      <c r="DI100" s="655"/>
      <c r="DJ100" s="635"/>
      <c r="DK100" s="655"/>
      <c r="DL100" s="635"/>
      <c r="DM100" s="655"/>
      <c r="DN100" s="635"/>
      <c r="DO100" s="655"/>
      <c r="DP100" s="635"/>
      <c r="DQ100" s="655"/>
      <c r="DR100" s="635"/>
      <c r="DS100" s="655"/>
      <c r="DT100" s="635"/>
      <c r="DU100" s="655"/>
      <c r="DV100" s="635"/>
      <c r="DW100" s="655"/>
      <c r="DX100" s="635"/>
      <c r="DY100" s="655"/>
      <c r="DZ100" s="635"/>
      <c r="EA100" s="655"/>
      <c r="EB100" s="635"/>
      <c r="EC100" s="655"/>
      <c r="ED100" s="635"/>
      <c r="EE100" s="655"/>
      <c r="EF100" s="635"/>
      <c r="EG100" s="655"/>
      <c r="EH100" s="635"/>
      <c r="EI100" s="655"/>
      <c r="EJ100" s="635"/>
      <c r="EK100" s="655"/>
      <c r="EL100" s="635"/>
      <c r="EM100" s="635"/>
    </row>
    <row r="101" spans="1:144" s="632" customFormat="1" ht="12.75" customHeight="1" x14ac:dyDescent="0.2">
      <c r="A101" s="644"/>
      <c r="B101" s="655"/>
      <c r="C101" s="635"/>
      <c r="D101" s="655"/>
      <c r="E101" s="635"/>
      <c r="F101" s="655"/>
      <c r="G101" s="635"/>
      <c r="H101" s="655"/>
      <c r="I101" s="635"/>
      <c r="J101" s="655"/>
      <c r="K101" s="635"/>
      <c r="L101" s="655"/>
      <c r="M101" s="635"/>
      <c r="N101" s="655"/>
      <c r="O101" s="635"/>
      <c r="P101" s="655"/>
      <c r="Q101" s="635"/>
      <c r="R101" s="655"/>
      <c r="S101" s="635"/>
      <c r="T101" s="655"/>
      <c r="U101" s="635"/>
      <c r="V101" s="655"/>
      <c r="W101" s="635"/>
      <c r="X101" s="655"/>
      <c r="Y101" s="635"/>
      <c r="Z101" s="655"/>
      <c r="AA101" s="635"/>
      <c r="AB101" s="655"/>
      <c r="AC101" s="635"/>
      <c r="AD101" s="655"/>
      <c r="AE101" s="635"/>
      <c r="AF101" s="655"/>
      <c r="AG101" s="635"/>
      <c r="AH101" s="655"/>
      <c r="AI101" s="635"/>
      <c r="AJ101" s="655"/>
      <c r="AK101" s="635"/>
      <c r="AL101" s="655"/>
      <c r="AM101" s="635"/>
      <c r="AN101" s="655"/>
      <c r="AO101" s="635"/>
      <c r="AP101" s="655"/>
      <c r="AQ101" s="635"/>
      <c r="AR101" s="655"/>
      <c r="AS101" s="635"/>
      <c r="AT101" s="655"/>
      <c r="AU101" s="635"/>
      <c r="AV101" s="655"/>
      <c r="AW101" s="635"/>
      <c r="AX101" s="655"/>
      <c r="AY101" s="635"/>
      <c r="AZ101" s="655"/>
      <c r="BA101" s="635"/>
      <c r="BB101" s="655"/>
      <c r="BC101" s="635"/>
      <c r="BD101" s="655"/>
      <c r="BE101" s="635"/>
      <c r="BF101" s="655"/>
      <c r="BG101" s="635"/>
      <c r="BH101" s="655"/>
      <c r="BI101" s="635"/>
      <c r="BJ101" s="655"/>
      <c r="BK101" s="635"/>
      <c r="BL101" s="655"/>
      <c r="BM101" s="635"/>
      <c r="BN101" s="655"/>
      <c r="BO101" s="635"/>
      <c r="BP101" s="655"/>
      <c r="BQ101" s="635"/>
      <c r="BR101" s="655"/>
      <c r="BS101" s="635"/>
      <c r="BT101" s="655"/>
      <c r="BU101" s="635"/>
      <c r="BV101" s="655"/>
      <c r="BW101" s="635"/>
      <c r="BX101" s="655"/>
      <c r="BY101" s="635"/>
      <c r="BZ101" s="655"/>
      <c r="CA101" s="635"/>
      <c r="CB101" s="655"/>
      <c r="CC101" s="635"/>
      <c r="CD101" s="655"/>
      <c r="CE101" s="635"/>
      <c r="CF101" s="655"/>
      <c r="CG101" s="635"/>
      <c r="CH101" s="655"/>
      <c r="CI101" s="635"/>
      <c r="CJ101" s="655"/>
      <c r="CK101" s="635"/>
      <c r="CL101" s="655"/>
      <c r="CM101" s="635"/>
      <c r="CN101" s="655"/>
      <c r="CO101" s="635"/>
      <c r="CP101" s="655"/>
      <c r="CQ101" s="635"/>
      <c r="CR101" s="655"/>
      <c r="CS101" s="635"/>
      <c r="CT101" s="655"/>
      <c r="CU101" s="635"/>
      <c r="CV101" s="655"/>
      <c r="CW101" s="635"/>
      <c r="CX101" s="655"/>
      <c r="CY101" s="635"/>
      <c r="CZ101" s="655"/>
      <c r="DA101" s="635"/>
      <c r="DB101" s="666"/>
      <c r="DC101" s="655"/>
      <c r="DD101" s="635"/>
      <c r="DE101" s="655"/>
      <c r="DF101" s="635"/>
      <c r="DG101" s="655"/>
      <c r="DH101" s="635"/>
      <c r="DI101" s="655"/>
      <c r="DJ101" s="635"/>
      <c r="DK101" s="655"/>
      <c r="DL101" s="635"/>
      <c r="DM101" s="655"/>
      <c r="DN101" s="635"/>
      <c r="DO101" s="655"/>
      <c r="DP101" s="635"/>
      <c r="DQ101" s="655"/>
      <c r="DR101" s="635"/>
      <c r="DS101" s="655"/>
      <c r="DT101" s="635"/>
      <c r="DU101" s="655"/>
      <c r="DV101" s="635"/>
      <c r="DW101" s="655"/>
      <c r="DX101" s="635"/>
      <c r="DY101" s="655"/>
      <c r="DZ101" s="635"/>
      <c r="EA101" s="655"/>
      <c r="EB101" s="635"/>
      <c r="EC101" s="655"/>
      <c r="ED101" s="635"/>
      <c r="EE101" s="655"/>
      <c r="EF101" s="635"/>
      <c r="EG101" s="655"/>
      <c r="EH101" s="635"/>
      <c r="EI101" s="655"/>
      <c r="EJ101" s="635"/>
      <c r="EK101" s="655"/>
      <c r="EL101" s="635"/>
      <c r="EM101" s="635"/>
    </row>
    <row r="102" spans="1:144" s="632" customFormat="1" ht="21.95" hidden="1" customHeight="1" outlineLevel="1" x14ac:dyDescent="0.25">
      <c r="A102" s="627" t="str">
        <f>$A$1</f>
        <v>Prudential Financial, Inc.</v>
      </c>
      <c r="B102" s="628"/>
      <c r="C102" s="629"/>
      <c r="D102" s="628"/>
      <c r="E102" s="629"/>
      <c r="F102" s="628"/>
      <c r="G102" s="629"/>
      <c r="H102" s="628"/>
      <c r="I102" s="629"/>
      <c r="J102" s="628"/>
      <c r="K102" s="629"/>
      <c r="L102" s="628"/>
      <c r="M102" s="629"/>
      <c r="N102" s="628"/>
      <c r="O102" s="629"/>
      <c r="P102" s="628"/>
      <c r="Q102" s="629"/>
      <c r="R102" s="628"/>
      <c r="S102" s="629"/>
      <c r="T102" s="628"/>
      <c r="U102" s="629"/>
      <c r="V102" s="628"/>
      <c r="W102" s="629"/>
      <c r="X102" s="628"/>
      <c r="Y102" s="629"/>
      <c r="Z102" s="628"/>
      <c r="AA102" s="629"/>
      <c r="AB102" s="628"/>
      <c r="AC102" s="629"/>
      <c r="AD102" s="628"/>
      <c r="AE102" s="629"/>
      <c r="AF102" s="628"/>
      <c r="AG102" s="629"/>
      <c r="AH102" s="628"/>
      <c r="AI102" s="629"/>
      <c r="AJ102" s="628"/>
      <c r="AK102" s="629"/>
      <c r="AL102" s="628"/>
      <c r="AM102" s="629"/>
      <c r="AN102" s="628"/>
      <c r="AO102" s="629"/>
      <c r="AP102" s="628"/>
      <c r="AQ102" s="629"/>
      <c r="AR102" s="628"/>
      <c r="AS102" s="629"/>
      <c r="AT102" s="628"/>
      <c r="AU102" s="629"/>
      <c r="AV102" s="628"/>
      <c r="AW102" s="629"/>
      <c r="AX102" s="628"/>
      <c r="AY102" s="629"/>
      <c r="AZ102" s="628"/>
      <c r="BA102" s="629"/>
      <c r="BB102" s="628"/>
      <c r="BC102" s="629"/>
      <c r="BD102" s="628"/>
      <c r="BE102" s="629"/>
      <c r="BF102" s="628"/>
      <c r="BG102" s="629"/>
      <c r="BH102" s="628"/>
      <c r="BI102" s="629"/>
      <c r="BJ102" s="628"/>
      <c r="BK102" s="629"/>
      <c r="BL102" s="628"/>
      <c r="BM102" s="629"/>
      <c r="BN102" s="628"/>
      <c r="BO102" s="629"/>
      <c r="BP102" s="628"/>
      <c r="BQ102" s="629"/>
      <c r="BR102" s="628"/>
      <c r="BS102" s="629"/>
      <c r="BT102" s="628"/>
      <c r="BU102" s="629"/>
      <c r="BV102" s="628"/>
      <c r="BW102" s="629"/>
      <c r="BX102" s="628"/>
      <c r="BY102" s="629"/>
      <c r="BZ102" s="628"/>
      <c r="CA102" s="629"/>
      <c r="CB102" s="628"/>
      <c r="CC102" s="629"/>
      <c r="CD102" s="628"/>
      <c r="CE102" s="629"/>
      <c r="CF102" s="628"/>
      <c r="CG102" s="629"/>
      <c r="CH102" s="628"/>
      <c r="CI102" s="629"/>
      <c r="CJ102" s="628"/>
      <c r="CK102" s="629"/>
      <c r="CL102" s="628"/>
      <c r="CM102" s="629"/>
      <c r="CN102" s="628"/>
      <c r="CO102" s="629"/>
      <c r="CP102" s="628"/>
      <c r="CQ102" s="629"/>
      <c r="CR102" s="628"/>
      <c r="CS102" s="629"/>
      <c r="CT102" s="628"/>
      <c r="CU102" s="629"/>
      <c r="CV102" s="628"/>
      <c r="CW102" s="629"/>
      <c r="CX102" s="628"/>
      <c r="CY102" s="629"/>
      <c r="CZ102" s="628"/>
      <c r="DA102" s="629"/>
      <c r="DB102" s="630"/>
      <c r="DC102" s="628"/>
      <c r="DD102" s="629"/>
      <c r="DE102" s="628"/>
      <c r="DF102" s="629"/>
      <c r="DG102" s="628"/>
      <c r="DH102" s="629"/>
      <c r="DI102" s="628"/>
      <c r="DJ102" s="629"/>
      <c r="DK102" s="628"/>
      <c r="DL102" s="629"/>
      <c r="DM102" s="628"/>
      <c r="DN102" s="629"/>
      <c r="DO102" s="628"/>
      <c r="DP102" s="629"/>
      <c r="DQ102" s="628"/>
      <c r="DR102" s="629"/>
      <c r="DS102" s="628"/>
      <c r="DT102" s="629"/>
      <c r="DU102" s="628"/>
      <c r="DV102" s="629"/>
      <c r="DW102" s="628"/>
      <c r="DX102" s="629"/>
      <c r="DY102" s="628"/>
      <c r="DZ102" s="629"/>
      <c r="EA102" s="628"/>
      <c r="EB102" s="629"/>
      <c r="EC102" s="628"/>
      <c r="ED102" s="629"/>
      <c r="EE102" s="628"/>
      <c r="EF102" s="629"/>
      <c r="EG102" s="628"/>
      <c r="EH102" s="629"/>
      <c r="EI102" s="628"/>
      <c r="EJ102" s="629"/>
      <c r="EK102" s="628"/>
      <c r="EL102" s="629"/>
      <c r="EM102" s="628"/>
    </row>
    <row r="103" spans="1:144" s="632" customFormat="1" ht="12.75" hidden="1" customHeight="1" outlineLevel="1" x14ac:dyDescent="0.2">
      <c r="A103" s="633" t="s">
        <v>354</v>
      </c>
      <c r="B103" s="634"/>
      <c r="C103" s="635"/>
      <c r="D103" s="634"/>
      <c r="E103" s="635"/>
      <c r="F103" s="634"/>
      <c r="G103" s="635"/>
      <c r="H103" s="634"/>
      <c r="I103" s="635"/>
      <c r="J103" s="634"/>
      <c r="K103" s="635"/>
      <c r="L103" s="634"/>
      <c r="M103" s="635"/>
      <c r="N103" s="634"/>
      <c r="O103" s="635"/>
      <c r="P103" s="634"/>
      <c r="Q103" s="635"/>
      <c r="R103" s="634"/>
      <c r="S103" s="635"/>
      <c r="T103" s="634"/>
      <c r="U103" s="635"/>
      <c r="V103" s="634"/>
      <c r="W103" s="635"/>
      <c r="X103" s="634"/>
      <c r="Y103" s="635"/>
      <c r="Z103" s="634"/>
      <c r="AA103" s="635"/>
      <c r="AB103" s="634"/>
      <c r="AC103" s="635"/>
      <c r="AD103" s="634"/>
      <c r="AE103" s="635"/>
      <c r="AF103" s="634"/>
      <c r="AG103" s="635"/>
      <c r="AH103" s="634"/>
      <c r="AI103" s="635"/>
      <c r="AJ103" s="634"/>
      <c r="AK103" s="635"/>
      <c r="AL103" s="634"/>
      <c r="AM103" s="635"/>
      <c r="AN103" s="634"/>
      <c r="AO103" s="635"/>
      <c r="AP103" s="634"/>
      <c r="AQ103" s="635"/>
      <c r="AR103" s="634"/>
      <c r="AS103" s="635"/>
      <c r="AT103" s="634"/>
      <c r="AU103" s="635"/>
      <c r="AV103" s="634"/>
      <c r="AW103" s="635"/>
      <c r="AX103" s="634"/>
      <c r="AY103" s="635"/>
      <c r="AZ103" s="634"/>
      <c r="BA103" s="635"/>
      <c r="BB103" s="634"/>
      <c r="BC103" s="635"/>
      <c r="BD103" s="634"/>
      <c r="BE103" s="635"/>
      <c r="BF103" s="634"/>
      <c r="BG103" s="635"/>
      <c r="BH103" s="634"/>
      <c r="BI103" s="635"/>
      <c r="BJ103" s="634"/>
      <c r="BK103" s="635"/>
      <c r="BL103" s="634"/>
      <c r="BM103" s="635"/>
      <c r="BN103" s="634"/>
      <c r="BO103" s="635"/>
      <c r="BP103" s="634"/>
      <c r="BQ103" s="635"/>
      <c r="BR103" s="634"/>
      <c r="BS103" s="635"/>
      <c r="BT103" s="634"/>
      <c r="BU103" s="635"/>
      <c r="BV103" s="634"/>
      <c r="BW103" s="635"/>
      <c r="BX103" s="634"/>
      <c r="BY103" s="635"/>
      <c r="BZ103" s="634"/>
      <c r="CA103" s="635"/>
      <c r="CB103" s="634"/>
      <c r="CC103" s="635"/>
      <c r="CD103" s="634"/>
      <c r="CE103" s="635"/>
      <c r="CF103" s="634"/>
      <c r="CG103" s="635"/>
      <c r="CH103" s="634"/>
      <c r="CI103" s="635"/>
      <c r="CJ103" s="634"/>
      <c r="CK103" s="635"/>
      <c r="CL103" s="634"/>
      <c r="CM103" s="635"/>
      <c r="CN103" s="634"/>
      <c r="CO103" s="635"/>
      <c r="CP103" s="634"/>
      <c r="CQ103" s="635"/>
      <c r="CR103" s="634"/>
      <c r="CS103" s="635"/>
      <c r="CT103" s="634"/>
      <c r="CU103" s="635"/>
      <c r="CV103" s="634"/>
      <c r="CW103" s="635"/>
      <c r="CX103" s="634"/>
      <c r="CY103" s="635"/>
      <c r="CZ103" s="634"/>
      <c r="DA103" s="635"/>
      <c r="DB103" s="636"/>
      <c r="DC103" s="637"/>
      <c r="DD103" s="635"/>
      <c r="DE103" s="634"/>
      <c r="DF103" s="635"/>
      <c r="DG103" s="634"/>
      <c r="DH103" s="635"/>
      <c r="DI103" s="634"/>
      <c r="DJ103" s="635"/>
      <c r="DK103" s="634"/>
      <c r="DL103" s="635"/>
      <c r="DM103" s="634"/>
      <c r="DN103" s="635"/>
      <c r="DO103" s="634"/>
      <c r="DP103" s="635"/>
      <c r="DQ103" s="634"/>
      <c r="DR103" s="635"/>
      <c r="DS103" s="634"/>
      <c r="DT103" s="635"/>
      <c r="DU103" s="634"/>
      <c r="DV103" s="635"/>
      <c r="DW103" s="634"/>
      <c r="DX103" s="635"/>
      <c r="DY103" s="634"/>
      <c r="DZ103" s="635"/>
      <c r="EA103" s="634"/>
      <c r="EB103" s="635"/>
      <c r="EC103" s="634"/>
      <c r="ED103" s="635"/>
      <c r="EE103" s="634"/>
      <c r="EF103" s="635"/>
      <c r="EG103" s="634"/>
      <c r="EH103" s="635"/>
      <c r="EI103" s="634"/>
      <c r="EJ103" s="635"/>
      <c r="EK103" s="634"/>
      <c r="EL103" s="635"/>
      <c r="EM103" s="634"/>
    </row>
    <row r="104" spans="1:144" s="632" customFormat="1" ht="12.75" hidden="1" customHeight="1" outlineLevel="1" x14ac:dyDescent="0.2">
      <c r="A104" s="638" t="str">
        <f>+A$3</f>
        <v>($Millions Except Per Share Data)</v>
      </c>
      <c r="B104" s="639"/>
      <c r="C104" s="640" t="str">
        <f>+C$3</f>
        <v>1Q06/</v>
      </c>
      <c r="D104" s="639"/>
      <c r="E104" s="640" t="str">
        <f>+E$3</f>
        <v>2Q06/</v>
      </c>
      <c r="F104" s="639"/>
      <c r="G104" s="640" t="str">
        <f>+G$3</f>
        <v>3Q06/</v>
      </c>
      <c r="H104" s="639"/>
      <c r="I104" s="640" t="str">
        <f>+I$3</f>
        <v>4Q06/</v>
      </c>
      <c r="J104" s="639"/>
      <c r="K104" s="640" t="str">
        <f>+K$3</f>
        <v>1Q07/</v>
      </c>
      <c r="L104" s="639"/>
      <c r="M104" s="640" t="str">
        <f>+M$3</f>
        <v>2Q07/</v>
      </c>
      <c r="N104" s="639"/>
      <c r="O104" s="640" t="str">
        <f>+O$3</f>
        <v>3Q07/</v>
      </c>
      <c r="P104" s="639"/>
      <c r="Q104" s="640" t="str">
        <f>+Q$3</f>
        <v>4Q07/</v>
      </c>
      <c r="R104" s="639"/>
      <c r="S104" s="640" t="str">
        <f>+S$3</f>
        <v>1Q08/</v>
      </c>
      <c r="T104" s="639"/>
      <c r="U104" s="640" t="str">
        <f>+U$3</f>
        <v>2Q08/</v>
      </c>
      <c r="V104" s="639"/>
      <c r="W104" s="640" t="str">
        <f>+W$3</f>
        <v>3Q08/</v>
      </c>
      <c r="X104" s="639"/>
      <c r="Y104" s="640" t="str">
        <f>+Y$3</f>
        <v>4Q08/</v>
      </c>
      <c r="Z104" s="639"/>
      <c r="AA104" s="640" t="str">
        <f>+AA$3</f>
        <v>1Q09/</v>
      </c>
      <c r="AB104" s="639"/>
      <c r="AC104" s="640" t="str">
        <f>+AC$3</f>
        <v>2Q09/</v>
      </c>
      <c r="AD104" s="639"/>
      <c r="AE104" s="640" t="str">
        <f>+AE$3</f>
        <v>3Q09/</v>
      </c>
      <c r="AF104" s="639"/>
      <c r="AG104" s="640" t="str">
        <f>+AG$3</f>
        <v>4Q09/</v>
      </c>
      <c r="AH104" s="639"/>
      <c r="AI104" s="640" t="str">
        <f>+AI$3</f>
        <v>1Q10/</v>
      </c>
      <c r="AJ104" s="639"/>
      <c r="AK104" s="640" t="str">
        <f>+AK$3</f>
        <v>2Q10/</v>
      </c>
      <c r="AL104" s="639"/>
      <c r="AM104" s="640" t="str">
        <f>+AM$3</f>
        <v>3Q10/</v>
      </c>
      <c r="AN104" s="639"/>
      <c r="AO104" s="640" t="str">
        <f>+AO$3</f>
        <v>4Q10/</v>
      </c>
      <c r="AP104" s="639"/>
      <c r="AQ104" s="640" t="str">
        <f>+AQ$3</f>
        <v>1Q11/</v>
      </c>
      <c r="AR104" s="639"/>
      <c r="AS104" s="640" t="str">
        <f>+AS$3</f>
        <v>2Q11/</v>
      </c>
      <c r="AT104" s="639"/>
      <c r="AU104" s="640" t="str">
        <f>+AU$3</f>
        <v>3Q11/</v>
      </c>
      <c r="AV104" s="639"/>
      <c r="AW104" s="640" t="str">
        <f>+AW$3</f>
        <v>4Q11/</v>
      </c>
      <c r="AX104" s="639"/>
      <c r="AY104" s="640" t="str">
        <f>+AY$3</f>
        <v>1Q12/</v>
      </c>
      <c r="AZ104" s="639"/>
      <c r="BA104" s="640" t="str">
        <f>+BA$3</f>
        <v>2Q12/</v>
      </c>
      <c r="BB104" s="639"/>
      <c r="BC104" s="640" t="str">
        <f>+BC$3</f>
        <v>3Q12/</v>
      </c>
      <c r="BD104" s="639"/>
      <c r="BE104" s="640" t="str">
        <f>+BE$3</f>
        <v>4Q12/</v>
      </c>
      <c r="BF104" s="639"/>
      <c r="BG104" s="640" t="str">
        <f>+BG$3</f>
        <v>1Q13/</v>
      </c>
      <c r="BH104" s="639"/>
      <c r="BI104" s="640" t="str">
        <f>+BI$3</f>
        <v>2Q13/</v>
      </c>
      <c r="BJ104" s="639"/>
      <c r="BK104" s="640" t="str">
        <f>+BK$3</f>
        <v>3Q13/</v>
      </c>
      <c r="BL104" s="639"/>
      <c r="BM104" s="640" t="str">
        <f>+BM$3</f>
        <v>4Q13/</v>
      </c>
      <c r="BN104" s="639"/>
      <c r="BO104" s="640" t="str">
        <f>+BO$3</f>
        <v>1Q14/</v>
      </c>
      <c r="BP104" s="639"/>
      <c r="BQ104" s="640" t="str">
        <f>+BQ$3</f>
        <v>2Q14/</v>
      </c>
      <c r="BR104" s="639"/>
      <c r="BS104" s="640" t="str">
        <f>+BS$3</f>
        <v>3Q14/</v>
      </c>
      <c r="BT104" s="639"/>
      <c r="BU104" s="640" t="str">
        <f>+BU$3</f>
        <v>4Q14/</v>
      </c>
      <c r="BV104" s="639"/>
      <c r="BW104" s="640" t="str">
        <f>+BW$3</f>
        <v>1Q15/</v>
      </c>
      <c r="BX104" s="639"/>
      <c r="BY104" s="640" t="str">
        <f>+BY$3</f>
        <v>2Q15/</v>
      </c>
      <c r="BZ104" s="639"/>
      <c r="CA104" s="640" t="str">
        <f>+CA$3</f>
        <v>3Q15/</v>
      </c>
      <c r="CB104" s="639"/>
      <c r="CC104" s="640" t="str">
        <f>+CC$3</f>
        <v>4Q15/</v>
      </c>
      <c r="CD104" s="639"/>
      <c r="CE104" s="640" t="str">
        <f>+CE$3</f>
        <v>1Q16/</v>
      </c>
      <c r="CF104" s="639"/>
      <c r="CG104" s="640" t="str">
        <f>+CG$3</f>
        <v>2Q16/</v>
      </c>
      <c r="CH104" s="639"/>
      <c r="CI104" s="640" t="str">
        <f>+CI$3</f>
        <v>3Q16/</v>
      </c>
      <c r="CJ104" s="639"/>
      <c r="CK104" s="640" t="str">
        <f>+CK$3</f>
        <v>4Q16/</v>
      </c>
      <c r="CL104" s="639"/>
      <c r="CM104" s="640" t="str">
        <f>+CM$3</f>
        <v>1Q17/</v>
      </c>
      <c r="CN104" s="639"/>
      <c r="CO104" s="640" t="str">
        <f>+CO$3</f>
        <v>2Q17/</v>
      </c>
      <c r="CP104" s="639"/>
      <c r="CQ104" s="640" t="str">
        <f>+CQ$3</f>
        <v>3Q17/</v>
      </c>
      <c r="CR104" s="639"/>
      <c r="CS104" s="640" t="str">
        <f>+CS$3</f>
        <v>4Q17/</v>
      </c>
      <c r="CT104" s="639"/>
      <c r="CU104" s="640" t="str">
        <f>+CU$3</f>
        <v>1Q18E/</v>
      </c>
      <c r="CV104" s="639"/>
      <c r="CW104" s="640" t="str">
        <f>+CW$3</f>
        <v>2Q18E/</v>
      </c>
      <c r="CX104" s="639"/>
      <c r="CY104" s="640" t="str">
        <f>+CY$3</f>
        <v>3Q18E/</v>
      </c>
      <c r="CZ104" s="639"/>
      <c r="DA104" s="640" t="str">
        <f>+DA$3</f>
        <v>4Q18E/</v>
      </c>
      <c r="DB104" s="641"/>
      <c r="DC104" s="639"/>
      <c r="DD104" s="640" t="str">
        <f>+DD$3</f>
        <v>2005/</v>
      </c>
      <c r="DE104" s="639"/>
      <c r="DF104" s="640" t="str">
        <f>+DF$3</f>
        <v>2006/</v>
      </c>
      <c r="DG104" s="639"/>
      <c r="DH104" s="640" t="str">
        <f>+DH$3</f>
        <v>2007/</v>
      </c>
      <c r="DI104" s="639"/>
      <c r="DJ104" s="640" t="str">
        <f>+DJ$3</f>
        <v>2008/</v>
      </c>
      <c r="DK104" s="639"/>
      <c r="DL104" s="640" t="str">
        <f>+DL$3</f>
        <v>2009/</v>
      </c>
      <c r="DM104" s="639"/>
      <c r="DN104" s="640" t="str">
        <f>+DN$3</f>
        <v>2010/</v>
      </c>
      <c r="DO104" s="639"/>
      <c r="DP104" s="640" t="str">
        <f>+DP$3</f>
        <v>2011/</v>
      </c>
      <c r="DQ104" s="639"/>
      <c r="DR104" s="640" t="str">
        <f>+DR$3</f>
        <v>2012/</v>
      </c>
      <c r="DS104" s="639"/>
      <c r="DT104" s="640" t="str">
        <f>+DT$3</f>
        <v>2013/</v>
      </c>
      <c r="DU104" s="639"/>
      <c r="DV104" s="640" t="str">
        <f>+DV$3</f>
        <v>2014/</v>
      </c>
      <c r="DW104" s="639"/>
      <c r="DX104" s="640" t="str">
        <f>+DX$3</f>
        <v>2015/</v>
      </c>
      <c r="DY104" s="639"/>
      <c r="DZ104" s="640" t="str">
        <f>+DZ$3</f>
        <v>2016/</v>
      </c>
      <c r="EA104" s="639"/>
      <c r="EB104" s="640" t="str">
        <f>+EB$3</f>
        <v>2017/</v>
      </c>
      <c r="EC104" s="639"/>
      <c r="ED104" s="640" t="str">
        <f>+ED$3</f>
        <v>2018E/</v>
      </c>
      <c r="EE104" s="639"/>
      <c r="EF104" s="640" t="str">
        <f>+EF$3</f>
        <v>2019E/</v>
      </c>
      <c r="EG104" s="639"/>
      <c r="EH104" s="640" t="str">
        <f>+EH$3</f>
        <v>2020E/</v>
      </c>
      <c r="EI104" s="639"/>
      <c r="EJ104" s="640" t="str">
        <f>+EJ$3</f>
        <v>2021E/</v>
      </c>
      <c r="EK104" s="639"/>
      <c r="EL104" s="640" t="str">
        <f>+EL$3</f>
        <v>2022E/</v>
      </c>
      <c r="EM104" s="642" t="str">
        <f>+EM$3</f>
        <v>5-Yr</v>
      </c>
      <c r="EN104" s="643"/>
    </row>
    <row r="105" spans="1:144" s="632" customFormat="1" ht="12.75" hidden="1" customHeight="1" outlineLevel="1" x14ac:dyDescent="0.2">
      <c r="A105" s="644"/>
      <c r="B105" s="645"/>
      <c r="C105" s="635" t="str">
        <f>+C$4</f>
        <v>1Q05</v>
      </c>
      <c r="D105" s="645"/>
      <c r="E105" s="635" t="str">
        <f>+E$4</f>
        <v>2Q05</v>
      </c>
      <c r="F105" s="645"/>
      <c r="G105" s="635" t="str">
        <f>+G$4</f>
        <v>3Q05</v>
      </c>
      <c r="H105" s="645"/>
      <c r="I105" s="635" t="str">
        <f>+I$4</f>
        <v>4Q05</v>
      </c>
      <c r="J105" s="645"/>
      <c r="K105" s="635" t="str">
        <f>+K$4</f>
        <v>1Q06</v>
      </c>
      <c r="L105" s="645"/>
      <c r="M105" s="635" t="str">
        <f>+M$4</f>
        <v>2Q06</v>
      </c>
      <c r="N105" s="645"/>
      <c r="O105" s="635" t="str">
        <f>+O$4</f>
        <v>3Q06</v>
      </c>
      <c r="P105" s="645"/>
      <c r="Q105" s="635" t="str">
        <f>+Q$4</f>
        <v>4Q06</v>
      </c>
      <c r="R105" s="645"/>
      <c r="S105" s="635" t="str">
        <f>+S$4</f>
        <v>1Q07</v>
      </c>
      <c r="T105" s="645"/>
      <c r="U105" s="635" t="str">
        <f>+U$4</f>
        <v>2Q07</v>
      </c>
      <c r="V105" s="645"/>
      <c r="W105" s="635" t="str">
        <f>+W$4</f>
        <v>3Q07</v>
      </c>
      <c r="X105" s="645"/>
      <c r="Y105" s="635" t="str">
        <f>+Y$4</f>
        <v>4Q07</v>
      </c>
      <c r="Z105" s="645"/>
      <c r="AA105" s="635" t="str">
        <f>+AA$4</f>
        <v>1Q08</v>
      </c>
      <c r="AB105" s="645"/>
      <c r="AC105" s="635" t="str">
        <f>+AC$4</f>
        <v>2Q08</v>
      </c>
      <c r="AD105" s="645"/>
      <c r="AE105" s="635" t="str">
        <f>+AE$4</f>
        <v>3Q08</v>
      </c>
      <c r="AF105" s="645"/>
      <c r="AG105" s="635" t="str">
        <f>+AG$4</f>
        <v>4Q08</v>
      </c>
      <c r="AH105" s="645"/>
      <c r="AI105" s="635" t="str">
        <f>+AI$4</f>
        <v>1Q09</v>
      </c>
      <c r="AJ105" s="645"/>
      <c r="AK105" s="635" t="str">
        <f>+AK$4</f>
        <v>2Q09</v>
      </c>
      <c r="AL105" s="645"/>
      <c r="AM105" s="635" t="str">
        <f>+AM$4</f>
        <v>3Q09</v>
      </c>
      <c r="AN105" s="645"/>
      <c r="AO105" s="635" t="str">
        <f>+AO$4</f>
        <v>4Q09</v>
      </c>
      <c r="AP105" s="645"/>
      <c r="AQ105" s="635" t="str">
        <f>+AQ$4</f>
        <v>1Q10</v>
      </c>
      <c r="AR105" s="645"/>
      <c r="AS105" s="635" t="str">
        <f>+AS$4</f>
        <v>2Q10</v>
      </c>
      <c r="AT105" s="645"/>
      <c r="AU105" s="635" t="str">
        <f>+AU$4</f>
        <v>3Q10</v>
      </c>
      <c r="AV105" s="645"/>
      <c r="AW105" s="635" t="str">
        <f>+AW$4</f>
        <v>4Q10</v>
      </c>
      <c r="AX105" s="645"/>
      <c r="AY105" s="635" t="str">
        <f>+AY$4</f>
        <v>1Q11</v>
      </c>
      <c r="AZ105" s="645"/>
      <c r="BA105" s="635" t="str">
        <f>+BA$4</f>
        <v>2Q11</v>
      </c>
      <c r="BB105" s="645"/>
      <c r="BC105" s="635" t="str">
        <f>+BC$4</f>
        <v>3Q11</v>
      </c>
      <c r="BD105" s="645"/>
      <c r="BE105" s="635" t="str">
        <f>+BE$4</f>
        <v>4Q11</v>
      </c>
      <c r="BF105" s="645"/>
      <c r="BG105" s="635" t="str">
        <f>+BG$4</f>
        <v>1Q12</v>
      </c>
      <c r="BH105" s="645"/>
      <c r="BI105" s="635" t="str">
        <f>+BI$4</f>
        <v>2Q12</v>
      </c>
      <c r="BJ105" s="645"/>
      <c r="BK105" s="635" t="str">
        <f>+BK$4</f>
        <v>3Q12</v>
      </c>
      <c r="BL105" s="645"/>
      <c r="BM105" s="635" t="str">
        <f>+BM$4</f>
        <v>4Q12</v>
      </c>
      <c r="BN105" s="645"/>
      <c r="BO105" s="635" t="str">
        <f>+BO$4</f>
        <v>1Q13</v>
      </c>
      <c r="BP105" s="645"/>
      <c r="BQ105" s="635" t="str">
        <f>+BQ$4</f>
        <v>2Q13</v>
      </c>
      <c r="BR105" s="645"/>
      <c r="BS105" s="635" t="str">
        <f>+BS$4</f>
        <v>3Q13</v>
      </c>
      <c r="BT105" s="645"/>
      <c r="BU105" s="635" t="str">
        <f>+BU$4</f>
        <v>4Q13</v>
      </c>
      <c r="BV105" s="645"/>
      <c r="BW105" s="635" t="str">
        <f>+BW$4</f>
        <v>1Q14</v>
      </c>
      <c r="BX105" s="645"/>
      <c r="BY105" s="635" t="str">
        <f>+BY$4</f>
        <v>2Q14</v>
      </c>
      <c r="BZ105" s="645"/>
      <c r="CA105" s="635" t="str">
        <f>+CA$4</f>
        <v>3Q14</v>
      </c>
      <c r="CB105" s="645"/>
      <c r="CC105" s="635" t="str">
        <f>+CC$4</f>
        <v>4Q14</v>
      </c>
      <c r="CD105" s="645"/>
      <c r="CE105" s="635" t="str">
        <f>+CE$4</f>
        <v>1Q15</v>
      </c>
      <c r="CF105" s="645"/>
      <c r="CG105" s="635" t="str">
        <f>+CG$4</f>
        <v>2Q15</v>
      </c>
      <c r="CH105" s="645"/>
      <c r="CI105" s="635" t="str">
        <f>+CI$4</f>
        <v>3Q15</v>
      </c>
      <c r="CJ105" s="645"/>
      <c r="CK105" s="635" t="str">
        <f>+CK$4</f>
        <v>4Q15</v>
      </c>
      <c r="CL105" s="645"/>
      <c r="CM105" s="635" t="str">
        <f>+CM$4</f>
        <v>1Q16</v>
      </c>
      <c r="CN105" s="645"/>
      <c r="CO105" s="635" t="str">
        <f>+CO$4</f>
        <v>2Q16</v>
      </c>
      <c r="CP105" s="645"/>
      <c r="CQ105" s="635" t="str">
        <f>+CQ$4</f>
        <v>3Q16</v>
      </c>
      <c r="CR105" s="645"/>
      <c r="CS105" s="635" t="str">
        <f>+CS$4</f>
        <v>4Q16</v>
      </c>
      <c r="CT105" s="645"/>
      <c r="CU105" s="635" t="str">
        <f>+CU$4</f>
        <v>1Q17</v>
      </c>
      <c r="CV105" s="645"/>
      <c r="CW105" s="635" t="str">
        <f>+CW$4</f>
        <v>2Q17</v>
      </c>
      <c r="CX105" s="645"/>
      <c r="CY105" s="635" t="str">
        <f>+CY$4</f>
        <v>3Q17</v>
      </c>
      <c r="CZ105" s="645"/>
      <c r="DA105" s="635" t="str">
        <f>+DA$4</f>
        <v>4Q17</v>
      </c>
      <c r="DB105" s="636"/>
      <c r="DC105" s="645"/>
      <c r="DD105" s="645">
        <f>+DD$4</f>
        <v>2004</v>
      </c>
      <c r="DE105" s="645"/>
      <c r="DF105" s="635" t="str">
        <f>+DF$4</f>
        <v>2005</v>
      </c>
      <c r="DG105" s="645"/>
      <c r="DH105" s="635" t="str">
        <f>+DH$4</f>
        <v>2006</v>
      </c>
      <c r="DI105" s="645"/>
      <c r="DJ105" s="646">
        <f>+DJ$4</f>
        <v>2007</v>
      </c>
      <c r="DK105" s="645"/>
      <c r="DL105" s="635" t="str">
        <f>+DL$4</f>
        <v>2008</v>
      </c>
      <c r="DM105" s="645"/>
      <c r="DN105" s="635" t="str">
        <f>+DN$4</f>
        <v>2009</v>
      </c>
      <c r="DO105" s="645"/>
      <c r="DP105" s="635" t="str">
        <f>+DP$4</f>
        <v>2010</v>
      </c>
      <c r="DQ105" s="645"/>
      <c r="DR105" s="635" t="str">
        <f>+DR$4</f>
        <v>2011</v>
      </c>
      <c r="DS105" s="645"/>
      <c r="DT105" s="635" t="str">
        <f>+DT$4</f>
        <v>2012</v>
      </c>
      <c r="DU105" s="645"/>
      <c r="DV105" s="635" t="str">
        <f>+DV$4</f>
        <v>2013</v>
      </c>
      <c r="DW105" s="645"/>
      <c r="DX105" s="635">
        <f>+DX$4</f>
        <v>2014</v>
      </c>
      <c r="DY105" s="645"/>
      <c r="DZ105" s="635" t="str">
        <f>+DZ$4</f>
        <v>2015</v>
      </c>
      <c r="EA105" s="645"/>
      <c r="EB105" s="635">
        <f>+EB$4</f>
        <v>2016</v>
      </c>
      <c r="EC105" s="645"/>
      <c r="ED105" s="635">
        <f>+ED$4</f>
        <v>2017</v>
      </c>
      <c r="EE105" s="645"/>
      <c r="EF105" s="635" t="str">
        <f>+EF$4</f>
        <v>2018E</v>
      </c>
      <c r="EG105" s="645"/>
      <c r="EH105" s="635" t="str">
        <f>+EH$4</f>
        <v>2019E</v>
      </c>
      <c r="EI105" s="645"/>
      <c r="EJ105" s="635" t="str">
        <f>+EJ$4</f>
        <v>2020E</v>
      </c>
      <c r="EK105" s="645"/>
      <c r="EL105" s="635" t="str">
        <f>+EL$4</f>
        <v>2021E</v>
      </c>
      <c r="EM105" s="634" t="str">
        <f>+EM$4</f>
        <v>CAGR</v>
      </c>
      <c r="EN105" s="643"/>
    </row>
    <row r="106" spans="1:144" s="632" customFormat="1" ht="12.75" hidden="1" customHeight="1" outlineLevel="1" x14ac:dyDescent="0.2">
      <c r="A106" s="647"/>
      <c r="B106" s="648" t="str">
        <f t="shared" ref="B106:CL106" si="216">+B$5</f>
        <v>1Q06</v>
      </c>
      <c r="C106" s="649" t="str">
        <f t="shared" si="216"/>
        <v>% Chg</v>
      </c>
      <c r="D106" s="648" t="str">
        <f t="shared" si="216"/>
        <v>2Q06</v>
      </c>
      <c r="E106" s="649" t="str">
        <f t="shared" si="216"/>
        <v>% Chg</v>
      </c>
      <c r="F106" s="648" t="str">
        <f t="shared" si="216"/>
        <v>3Q06</v>
      </c>
      <c r="G106" s="649" t="str">
        <f t="shared" si="216"/>
        <v>% Chg</v>
      </c>
      <c r="H106" s="648" t="str">
        <f t="shared" si="216"/>
        <v>4Q06</v>
      </c>
      <c r="I106" s="649" t="str">
        <f t="shared" si="216"/>
        <v>% Chg</v>
      </c>
      <c r="J106" s="648" t="str">
        <f t="shared" si="216"/>
        <v>1Q07</v>
      </c>
      <c r="K106" s="649" t="str">
        <f t="shared" si="216"/>
        <v>% Chg</v>
      </c>
      <c r="L106" s="648" t="str">
        <f t="shared" si="216"/>
        <v>2Q07</v>
      </c>
      <c r="M106" s="649" t="str">
        <f t="shared" si="216"/>
        <v>% Chg</v>
      </c>
      <c r="N106" s="648" t="str">
        <f t="shared" si="216"/>
        <v>3Q07</v>
      </c>
      <c r="O106" s="649" t="str">
        <f t="shared" si="216"/>
        <v>% Chg</v>
      </c>
      <c r="P106" s="648" t="str">
        <f t="shared" si="216"/>
        <v>4Q07</v>
      </c>
      <c r="Q106" s="649" t="str">
        <f t="shared" si="216"/>
        <v>% Chg</v>
      </c>
      <c r="R106" s="648" t="str">
        <f t="shared" si="216"/>
        <v>1Q08</v>
      </c>
      <c r="S106" s="649" t="str">
        <f t="shared" si="216"/>
        <v>% Chg</v>
      </c>
      <c r="T106" s="648" t="str">
        <f t="shared" si="216"/>
        <v>2Q08</v>
      </c>
      <c r="U106" s="649" t="str">
        <f t="shared" si="216"/>
        <v>% Chg</v>
      </c>
      <c r="V106" s="648" t="str">
        <f t="shared" si="216"/>
        <v>3Q08</v>
      </c>
      <c r="W106" s="649" t="str">
        <f t="shared" si="216"/>
        <v>% Chg</v>
      </c>
      <c r="X106" s="648" t="str">
        <f t="shared" si="216"/>
        <v>4Q08</v>
      </c>
      <c r="Y106" s="649" t="str">
        <f t="shared" si="216"/>
        <v>% Chg</v>
      </c>
      <c r="Z106" s="648" t="str">
        <f t="shared" si="216"/>
        <v>1Q09</v>
      </c>
      <c r="AA106" s="649" t="str">
        <f t="shared" si="216"/>
        <v>% Chg</v>
      </c>
      <c r="AB106" s="648" t="str">
        <f t="shared" si="216"/>
        <v>2Q09</v>
      </c>
      <c r="AC106" s="649" t="str">
        <f t="shared" si="216"/>
        <v>% Chg</v>
      </c>
      <c r="AD106" s="648" t="str">
        <f t="shared" si="216"/>
        <v>3Q09</v>
      </c>
      <c r="AE106" s="649" t="str">
        <f t="shared" si="216"/>
        <v>% Chg</v>
      </c>
      <c r="AF106" s="648" t="str">
        <f t="shared" si="216"/>
        <v>4Q09</v>
      </c>
      <c r="AG106" s="649" t="str">
        <f t="shared" si="216"/>
        <v>% Chg</v>
      </c>
      <c r="AH106" s="648" t="str">
        <f t="shared" si="216"/>
        <v>1Q10</v>
      </c>
      <c r="AI106" s="649" t="str">
        <f t="shared" si="216"/>
        <v>% Chg</v>
      </c>
      <c r="AJ106" s="648" t="str">
        <f t="shared" si="216"/>
        <v>2Q10</v>
      </c>
      <c r="AK106" s="649" t="str">
        <f t="shared" si="216"/>
        <v>% Chg</v>
      </c>
      <c r="AL106" s="648" t="str">
        <f t="shared" si="216"/>
        <v>3Q10</v>
      </c>
      <c r="AM106" s="649" t="str">
        <f t="shared" si="216"/>
        <v>% Chg</v>
      </c>
      <c r="AN106" s="648" t="str">
        <f t="shared" si="216"/>
        <v>4Q10</v>
      </c>
      <c r="AO106" s="649" t="str">
        <f t="shared" si="216"/>
        <v>% Chg</v>
      </c>
      <c r="AP106" s="648" t="str">
        <f t="shared" si="216"/>
        <v>1Q11</v>
      </c>
      <c r="AQ106" s="649" t="str">
        <f t="shared" si="216"/>
        <v>% Chg</v>
      </c>
      <c r="AR106" s="648" t="str">
        <f t="shared" si="216"/>
        <v>2Q11</v>
      </c>
      <c r="AS106" s="649" t="str">
        <f t="shared" si="216"/>
        <v>% Chg</v>
      </c>
      <c r="AT106" s="648" t="str">
        <f t="shared" si="216"/>
        <v>3Q11</v>
      </c>
      <c r="AU106" s="649" t="str">
        <f t="shared" si="216"/>
        <v>% Chg</v>
      </c>
      <c r="AV106" s="648" t="str">
        <f t="shared" si="216"/>
        <v>4Q11</v>
      </c>
      <c r="AW106" s="649" t="str">
        <f t="shared" si="216"/>
        <v>% Chg</v>
      </c>
      <c r="AX106" s="648" t="str">
        <f t="shared" si="216"/>
        <v>1Q12</v>
      </c>
      <c r="AY106" s="649" t="str">
        <f t="shared" si="216"/>
        <v>% Chg</v>
      </c>
      <c r="AZ106" s="648" t="str">
        <f t="shared" si="216"/>
        <v>2Q12</v>
      </c>
      <c r="BA106" s="649" t="str">
        <f t="shared" si="216"/>
        <v>% Chg</v>
      </c>
      <c r="BB106" s="648" t="str">
        <f t="shared" si="216"/>
        <v>3Q12</v>
      </c>
      <c r="BC106" s="649" t="str">
        <f t="shared" si="216"/>
        <v>% Chg</v>
      </c>
      <c r="BD106" s="648" t="str">
        <f t="shared" si="216"/>
        <v>4Q12</v>
      </c>
      <c r="BE106" s="649" t="str">
        <f t="shared" si="216"/>
        <v>% Chg</v>
      </c>
      <c r="BF106" s="648" t="str">
        <f t="shared" si="216"/>
        <v>1Q13</v>
      </c>
      <c r="BG106" s="649" t="str">
        <f t="shared" si="216"/>
        <v>% Chg</v>
      </c>
      <c r="BH106" s="648" t="str">
        <f t="shared" si="216"/>
        <v>2Q13</v>
      </c>
      <c r="BI106" s="649" t="str">
        <f t="shared" si="216"/>
        <v>% Chg</v>
      </c>
      <c r="BJ106" s="648" t="str">
        <f t="shared" si="216"/>
        <v>3Q13</v>
      </c>
      <c r="BK106" s="649" t="str">
        <f t="shared" si="216"/>
        <v>% Chg</v>
      </c>
      <c r="BL106" s="648" t="str">
        <f t="shared" si="216"/>
        <v>4Q13</v>
      </c>
      <c r="BM106" s="649" t="str">
        <f t="shared" si="216"/>
        <v>% Chg</v>
      </c>
      <c r="BN106" s="648" t="str">
        <f t="shared" si="216"/>
        <v>1Q14</v>
      </c>
      <c r="BO106" s="649" t="str">
        <f t="shared" ref="BO106:DA106" si="217">+BO$5</f>
        <v>% Chg</v>
      </c>
      <c r="BP106" s="648" t="str">
        <f t="shared" si="216"/>
        <v>2Q14</v>
      </c>
      <c r="BQ106" s="649" t="str">
        <f t="shared" si="217"/>
        <v>% Chg</v>
      </c>
      <c r="BR106" s="648" t="str">
        <f t="shared" si="216"/>
        <v>3Q14</v>
      </c>
      <c r="BS106" s="649" t="str">
        <f t="shared" si="217"/>
        <v>% Chg</v>
      </c>
      <c r="BT106" s="648" t="str">
        <f t="shared" si="216"/>
        <v>4Q14</v>
      </c>
      <c r="BU106" s="649" t="str">
        <f t="shared" si="217"/>
        <v>% Chg</v>
      </c>
      <c r="BV106" s="648" t="str">
        <f t="shared" si="216"/>
        <v>1Q15</v>
      </c>
      <c r="BW106" s="649" t="str">
        <f t="shared" si="217"/>
        <v>% Chg</v>
      </c>
      <c r="BX106" s="648" t="str">
        <f t="shared" si="216"/>
        <v>2Q15</v>
      </c>
      <c r="BY106" s="649" t="str">
        <f t="shared" si="217"/>
        <v>% Chg</v>
      </c>
      <c r="BZ106" s="648" t="str">
        <f t="shared" si="216"/>
        <v>3Q15</v>
      </c>
      <c r="CA106" s="649" t="str">
        <f t="shared" si="217"/>
        <v>% Chg</v>
      </c>
      <c r="CB106" s="648" t="str">
        <f t="shared" si="216"/>
        <v>4Q15</v>
      </c>
      <c r="CC106" s="649" t="str">
        <f t="shared" si="217"/>
        <v>% Chg</v>
      </c>
      <c r="CD106" s="648" t="str">
        <f t="shared" si="216"/>
        <v>1Q16</v>
      </c>
      <c r="CE106" s="649" t="str">
        <f t="shared" si="217"/>
        <v>% Chg</v>
      </c>
      <c r="CF106" s="648" t="str">
        <f t="shared" si="216"/>
        <v>2Q16</v>
      </c>
      <c r="CG106" s="649" t="str">
        <f t="shared" si="217"/>
        <v>% Chg</v>
      </c>
      <c r="CH106" s="648" t="str">
        <f t="shared" si="216"/>
        <v>3Q16</v>
      </c>
      <c r="CI106" s="649" t="str">
        <f t="shared" si="217"/>
        <v>% Chg</v>
      </c>
      <c r="CJ106" s="648" t="str">
        <f t="shared" si="216"/>
        <v>4Q16</v>
      </c>
      <c r="CK106" s="649" t="str">
        <f t="shared" si="217"/>
        <v>% Chg</v>
      </c>
      <c r="CL106" s="648" t="str">
        <f t="shared" si="216"/>
        <v>1Q17</v>
      </c>
      <c r="CM106" s="649" t="str">
        <f t="shared" si="217"/>
        <v>% Chg</v>
      </c>
      <c r="CN106" s="648" t="str">
        <f t="shared" si="217"/>
        <v>2Q17</v>
      </c>
      <c r="CO106" s="649" t="str">
        <f t="shared" si="217"/>
        <v>% Chg</v>
      </c>
      <c r="CP106" s="648" t="str">
        <f t="shared" si="217"/>
        <v>3Q17</v>
      </c>
      <c r="CQ106" s="649" t="str">
        <f t="shared" si="217"/>
        <v>% Chg</v>
      </c>
      <c r="CR106" s="648" t="str">
        <f t="shared" si="217"/>
        <v>4Q17</v>
      </c>
      <c r="CS106" s="649" t="str">
        <f t="shared" si="217"/>
        <v>% Chg</v>
      </c>
      <c r="CT106" s="648" t="str">
        <f t="shared" si="217"/>
        <v>1Q18E</v>
      </c>
      <c r="CU106" s="649" t="str">
        <f t="shared" si="217"/>
        <v>% Chg</v>
      </c>
      <c r="CV106" s="648" t="str">
        <f t="shared" si="217"/>
        <v>2Q18E</v>
      </c>
      <c r="CW106" s="649" t="str">
        <f t="shared" si="217"/>
        <v>% Chg</v>
      </c>
      <c r="CX106" s="648" t="str">
        <f t="shared" si="217"/>
        <v>3Q18E</v>
      </c>
      <c r="CY106" s="649" t="str">
        <f t="shared" si="217"/>
        <v>% Chg</v>
      </c>
      <c r="CZ106" s="648" t="str">
        <f t="shared" si="217"/>
        <v>4Q18E</v>
      </c>
      <c r="DA106" s="649" t="str">
        <f t="shared" si="217"/>
        <v>% Chg</v>
      </c>
      <c r="DB106" s="650"/>
      <c r="DC106" s="648" t="str">
        <f t="shared" ref="DC106:EM106" si="218">+DC$5</f>
        <v>2005</v>
      </c>
      <c r="DD106" s="649" t="str">
        <f t="shared" si="218"/>
        <v>% Chg</v>
      </c>
      <c r="DE106" s="648" t="str">
        <f t="shared" si="218"/>
        <v>2006</v>
      </c>
      <c r="DF106" s="649" t="str">
        <f t="shared" si="218"/>
        <v>% Chg</v>
      </c>
      <c r="DG106" s="648">
        <f t="shared" si="218"/>
        <v>2007</v>
      </c>
      <c r="DH106" s="649" t="str">
        <f t="shared" si="218"/>
        <v>% Chg</v>
      </c>
      <c r="DI106" s="648" t="str">
        <f t="shared" si="218"/>
        <v>2008</v>
      </c>
      <c r="DJ106" s="649" t="str">
        <f t="shared" si="218"/>
        <v>% Chg</v>
      </c>
      <c r="DK106" s="648" t="str">
        <f t="shared" si="218"/>
        <v>2009</v>
      </c>
      <c r="DL106" s="649" t="str">
        <f t="shared" si="218"/>
        <v>% Chg</v>
      </c>
      <c r="DM106" s="648" t="str">
        <f t="shared" si="218"/>
        <v>2010</v>
      </c>
      <c r="DN106" s="649" t="str">
        <f t="shared" si="218"/>
        <v>% Chg</v>
      </c>
      <c r="DO106" s="648" t="str">
        <f t="shared" si="218"/>
        <v>2011</v>
      </c>
      <c r="DP106" s="649" t="str">
        <f t="shared" si="218"/>
        <v>% Chg</v>
      </c>
      <c r="DQ106" s="648" t="str">
        <f t="shared" si="218"/>
        <v>2012</v>
      </c>
      <c r="DR106" s="649" t="str">
        <f t="shared" si="218"/>
        <v>% Chg</v>
      </c>
      <c r="DS106" s="648" t="str">
        <f t="shared" si="218"/>
        <v>2013</v>
      </c>
      <c r="DT106" s="649" t="str">
        <f t="shared" si="218"/>
        <v>% Chg</v>
      </c>
      <c r="DU106" s="648">
        <f t="shared" si="218"/>
        <v>2014</v>
      </c>
      <c r="DV106" s="649" t="str">
        <f t="shared" si="218"/>
        <v>% Chg</v>
      </c>
      <c r="DW106" s="648" t="str">
        <f t="shared" si="218"/>
        <v>2015</v>
      </c>
      <c r="DX106" s="649" t="str">
        <f t="shared" si="218"/>
        <v>% Chg</v>
      </c>
      <c r="DY106" s="648">
        <f t="shared" si="218"/>
        <v>2016</v>
      </c>
      <c r="DZ106" s="649" t="str">
        <f t="shared" si="218"/>
        <v>% Chg</v>
      </c>
      <c r="EA106" s="648">
        <f t="shared" si="218"/>
        <v>2017</v>
      </c>
      <c r="EB106" s="649" t="str">
        <f t="shared" si="218"/>
        <v>% Chg</v>
      </c>
      <c r="EC106" s="648" t="str">
        <f t="shared" si="218"/>
        <v>2018E</v>
      </c>
      <c r="ED106" s="649" t="str">
        <f t="shared" si="218"/>
        <v>% Chg</v>
      </c>
      <c r="EE106" s="648" t="str">
        <f t="shared" si="218"/>
        <v>2019E</v>
      </c>
      <c r="EF106" s="649" t="str">
        <f t="shared" si="218"/>
        <v>% Chg</v>
      </c>
      <c r="EG106" s="648" t="str">
        <f t="shared" si="218"/>
        <v>2020E</v>
      </c>
      <c r="EH106" s="649" t="str">
        <f t="shared" si="218"/>
        <v>% Chg</v>
      </c>
      <c r="EI106" s="648" t="str">
        <f t="shared" si="218"/>
        <v>2021E</v>
      </c>
      <c r="EJ106" s="649" t="str">
        <f t="shared" si="218"/>
        <v>% Chg</v>
      </c>
      <c r="EK106" s="648" t="str">
        <f t="shared" si="218"/>
        <v>2022E</v>
      </c>
      <c r="EL106" s="649" t="str">
        <f t="shared" si="218"/>
        <v>% Chg</v>
      </c>
      <c r="EM106" s="651" t="str">
        <f t="shared" si="218"/>
        <v>(%)</v>
      </c>
      <c r="EN106" s="643"/>
    </row>
    <row r="107" spans="1:144" s="632" customFormat="1" ht="12.75" hidden="1" customHeight="1" outlineLevel="1" x14ac:dyDescent="0.2">
      <c r="A107" s="652"/>
      <c r="B107" s="653"/>
      <c r="C107" s="635"/>
      <c r="D107" s="653"/>
      <c r="E107" s="635"/>
      <c r="F107" s="653"/>
      <c r="G107" s="635"/>
      <c r="H107" s="653"/>
      <c r="I107" s="635"/>
      <c r="J107" s="653"/>
      <c r="K107" s="635"/>
      <c r="L107" s="653"/>
      <c r="M107" s="635"/>
      <c r="N107" s="653"/>
      <c r="O107" s="635"/>
      <c r="P107" s="653"/>
      <c r="Q107" s="635"/>
      <c r="R107" s="653"/>
      <c r="S107" s="635"/>
      <c r="T107" s="653"/>
      <c r="U107" s="635"/>
      <c r="V107" s="653"/>
      <c r="W107" s="635"/>
      <c r="X107" s="653"/>
      <c r="Y107" s="635"/>
      <c r="Z107" s="653"/>
      <c r="AA107" s="635"/>
      <c r="AB107" s="653"/>
      <c r="AC107" s="635"/>
      <c r="AD107" s="653"/>
      <c r="AE107" s="635"/>
      <c r="AF107" s="653"/>
      <c r="AG107" s="635"/>
      <c r="AH107" s="653"/>
      <c r="AI107" s="635"/>
      <c r="AJ107" s="653"/>
      <c r="AK107" s="635"/>
      <c r="AL107" s="653"/>
      <c r="AM107" s="635"/>
      <c r="AN107" s="653"/>
      <c r="AO107" s="635"/>
      <c r="AP107" s="653"/>
      <c r="AQ107" s="635"/>
      <c r="AR107" s="653"/>
      <c r="AS107" s="635"/>
      <c r="AT107" s="653"/>
      <c r="AU107" s="635"/>
      <c r="AV107" s="653"/>
      <c r="AW107" s="635"/>
      <c r="AX107" s="653"/>
      <c r="AY107" s="635"/>
      <c r="AZ107" s="653"/>
      <c r="BA107" s="635"/>
      <c r="BB107" s="653"/>
      <c r="BC107" s="635"/>
      <c r="BD107" s="653"/>
      <c r="BE107" s="635"/>
      <c r="BF107" s="653"/>
      <c r="BG107" s="635"/>
      <c r="BH107" s="653"/>
      <c r="BI107" s="635"/>
      <c r="BJ107" s="653"/>
      <c r="BK107" s="635"/>
      <c r="BL107" s="653"/>
      <c r="BM107" s="635"/>
      <c r="BN107" s="653"/>
      <c r="BO107" s="635"/>
      <c r="BP107" s="653"/>
      <c r="BQ107" s="635"/>
      <c r="BR107" s="653"/>
      <c r="BS107" s="635"/>
      <c r="BT107" s="653"/>
      <c r="BU107" s="635"/>
      <c r="BV107" s="653"/>
      <c r="BW107" s="635"/>
      <c r="BX107" s="653"/>
      <c r="BY107" s="635"/>
      <c r="BZ107" s="653"/>
      <c r="CA107" s="635"/>
      <c r="CB107" s="653"/>
      <c r="CC107" s="635"/>
      <c r="CD107" s="653"/>
      <c r="CE107" s="635"/>
      <c r="CF107" s="653"/>
      <c r="CG107" s="635"/>
      <c r="CH107" s="653"/>
      <c r="CI107" s="635"/>
      <c r="CJ107" s="653"/>
      <c r="CK107" s="635"/>
      <c r="CL107" s="653"/>
      <c r="CM107" s="635"/>
      <c r="CN107" s="653"/>
      <c r="CO107" s="635"/>
      <c r="CP107" s="653"/>
      <c r="CQ107" s="635"/>
      <c r="CR107" s="653"/>
      <c r="CS107" s="635"/>
      <c r="CT107" s="653"/>
      <c r="CU107" s="635"/>
      <c r="CV107" s="653"/>
      <c r="CW107" s="635"/>
      <c r="CX107" s="653"/>
      <c r="CY107" s="635"/>
      <c r="CZ107" s="653"/>
      <c r="DA107" s="635"/>
      <c r="DB107" s="654"/>
      <c r="DC107" s="653"/>
      <c r="DD107" s="635"/>
      <c r="DE107" s="653"/>
      <c r="DF107" s="635"/>
      <c r="DG107" s="653"/>
      <c r="DH107" s="635"/>
      <c r="DI107" s="653"/>
      <c r="DJ107" s="635"/>
      <c r="DK107" s="653"/>
      <c r="DL107" s="635"/>
      <c r="DM107" s="653"/>
      <c r="DN107" s="635"/>
      <c r="DO107" s="653"/>
      <c r="DP107" s="635"/>
      <c r="DQ107" s="653"/>
      <c r="DR107" s="635"/>
      <c r="DS107" s="653"/>
      <c r="DT107" s="635"/>
      <c r="DU107" s="653"/>
      <c r="DV107" s="635"/>
      <c r="DW107" s="653"/>
      <c r="DX107" s="635"/>
      <c r="DY107" s="653"/>
      <c r="DZ107" s="635"/>
      <c r="EA107" s="653"/>
      <c r="EB107" s="635"/>
      <c r="EC107" s="653"/>
      <c r="ED107" s="635"/>
      <c r="EE107" s="653"/>
      <c r="EF107" s="635"/>
      <c r="EG107" s="653"/>
      <c r="EH107" s="635"/>
      <c r="EI107" s="653"/>
      <c r="EJ107" s="635"/>
      <c r="EK107" s="653"/>
      <c r="EL107" s="635"/>
      <c r="EM107" s="635"/>
    </row>
    <row r="108" spans="1:144" s="632" customFormat="1" ht="12.75" hidden="1" customHeight="1" outlineLevel="1" x14ac:dyDescent="0.2">
      <c r="A108" s="652" t="s">
        <v>128</v>
      </c>
      <c r="B108" s="655"/>
      <c r="C108" s="635"/>
      <c r="D108" s="655"/>
      <c r="E108" s="635"/>
      <c r="F108" s="655"/>
      <c r="G108" s="635"/>
      <c r="H108" s="655"/>
      <c r="I108" s="635"/>
      <c r="J108" s="655"/>
      <c r="K108" s="635"/>
      <c r="L108" s="655"/>
      <c r="M108" s="635"/>
      <c r="N108" s="655"/>
      <c r="O108" s="635"/>
      <c r="P108" s="655"/>
      <c r="Q108" s="635"/>
      <c r="R108" s="655"/>
      <c r="S108" s="635"/>
      <c r="T108" s="655"/>
      <c r="U108" s="635"/>
      <c r="V108" s="655"/>
      <c r="W108" s="635"/>
      <c r="X108" s="655"/>
      <c r="Y108" s="635"/>
      <c r="Z108" s="655"/>
      <c r="AA108" s="635"/>
      <c r="AB108" s="655"/>
      <c r="AC108" s="635"/>
      <c r="AD108" s="655"/>
      <c r="AE108" s="635"/>
      <c r="AF108" s="655"/>
      <c r="AG108" s="635"/>
      <c r="AH108" s="655"/>
      <c r="AI108" s="635"/>
      <c r="AJ108" s="655"/>
      <c r="AK108" s="635"/>
      <c r="AL108" s="655"/>
      <c r="AM108" s="635"/>
      <c r="AN108" s="655"/>
      <c r="AO108" s="635"/>
      <c r="AP108" s="655"/>
      <c r="AQ108" s="635"/>
      <c r="AR108" s="655"/>
      <c r="AS108" s="635"/>
      <c r="AT108" s="655"/>
      <c r="AU108" s="635"/>
      <c r="AV108" s="655"/>
      <c r="AW108" s="635"/>
      <c r="AX108" s="655"/>
      <c r="AY108" s="635"/>
      <c r="AZ108" s="655"/>
      <c r="BA108" s="635"/>
      <c r="BB108" s="655"/>
      <c r="BC108" s="635"/>
      <c r="BD108" s="655"/>
      <c r="BE108" s="635"/>
      <c r="BF108" s="655"/>
      <c r="BG108" s="635"/>
      <c r="BH108" s="655"/>
      <c r="BI108" s="635"/>
      <c r="BJ108" s="655"/>
      <c r="BK108" s="635"/>
      <c r="BL108" s="655"/>
      <c r="BM108" s="635"/>
      <c r="BN108" s="655"/>
      <c r="BO108" s="635"/>
      <c r="BP108" s="655"/>
      <c r="BQ108" s="635"/>
      <c r="BR108" s="655"/>
      <c r="BS108" s="635"/>
      <c r="BT108" s="655"/>
      <c r="BU108" s="635"/>
      <c r="BV108" s="655"/>
      <c r="BW108" s="635"/>
      <c r="BX108" s="655"/>
      <c r="BY108" s="635"/>
      <c r="BZ108" s="655"/>
      <c r="CA108" s="635"/>
      <c r="CB108" s="655"/>
      <c r="CC108" s="635"/>
      <c r="CD108" s="655"/>
      <c r="CE108" s="635"/>
      <c r="CF108" s="655"/>
      <c r="CG108" s="635"/>
      <c r="CH108" s="655"/>
      <c r="CI108" s="635"/>
      <c r="CJ108" s="655"/>
      <c r="CK108" s="635"/>
      <c r="CL108" s="655"/>
      <c r="CM108" s="635"/>
      <c r="CN108" s="655"/>
      <c r="CO108" s="635"/>
      <c r="CP108" s="655"/>
      <c r="CQ108" s="635"/>
      <c r="CR108" s="655"/>
      <c r="CS108" s="635"/>
      <c r="CT108" s="655"/>
      <c r="CU108" s="635"/>
      <c r="CV108" s="655"/>
      <c r="CW108" s="635"/>
      <c r="CX108" s="655"/>
      <c r="CY108" s="635"/>
      <c r="CZ108" s="655"/>
      <c r="DA108" s="635"/>
      <c r="DB108" s="666"/>
      <c r="DC108" s="655"/>
      <c r="DD108" s="635"/>
      <c r="DE108" s="655"/>
      <c r="DF108" s="635"/>
      <c r="DG108" s="655"/>
      <c r="DH108" s="635"/>
      <c r="DI108" s="655"/>
      <c r="DJ108" s="635"/>
      <c r="DK108" s="655"/>
      <c r="DL108" s="635"/>
      <c r="DM108" s="655"/>
      <c r="DN108" s="635"/>
      <c r="DO108" s="655"/>
      <c r="DP108" s="635"/>
      <c r="DQ108" s="655"/>
      <c r="DR108" s="635"/>
      <c r="DS108" s="655"/>
      <c r="DT108" s="635"/>
      <c r="DU108" s="655"/>
      <c r="DV108" s="635"/>
      <c r="DW108" s="655"/>
      <c r="DX108" s="635"/>
      <c r="DY108" s="655"/>
      <c r="DZ108" s="635"/>
      <c r="EA108" s="655"/>
      <c r="EB108" s="635"/>
      <c r="EC108" s="655"/>
      <c r="ED108" s="635"/>
      <c r="EE108" s="655"/>
      <c r="EF108" s="635"/>
      <c r="EG108" s="655"/>
      <c r="EH108" s="635"/>
      <c r="EI108" s="655"/>
      <c r="EJ108" s="635"/>
      <c r="EK108" s="655"/>
      <c r="EL108" s="635"/>
      <c r="EM108" s="635"/>
    </row>
    <row r="109" spans="1:144" s="632" customFormat="1" ht="12.75" hidden="1" customHeight="1" outlineLevel="1" x14ac:dyDescent="0.2">
      <c r="A109" s="644" t="str">
        <f>+INPUT!B67</f>
        <v>Premium, Policy Charges and Fee Income</v>
      </c>
      <c r="B109" s="655">
        <f>+INPUT!AY67</f>
        <v>215</v>
      </c>
      <c r="C109" s="635">
        <f>+INPUT!AZ67</f>
        <v>10.824742268041248</v>
      </c>
      <c r="D109" s="655">
        <f>+INPUT!BA67</f>
        <v>241</v>
      </c>
      <c r="E109" s="635">
        <f>+INPUT!BB67</f>
        <v>26.84210526315789</v>
      </c>
      <c r="F109" s="655">
        <f>+INPUT!BC67</f>
        <v>296</v>
      </c>
      <c r="G109" s="635">
        <f>+INPUT!BD67</f>
        <v>49.494949494949509</v>
      </c>
      <c r="H109" s="655">
        <f>+INPUT!BE67</f>
        <v>315</v>
      </c>
      <c r="I109" s="635">
        <f>+INPUT!BF67</f>
        <v>59.090909090909093</v>
      </c>
      <c r="J109" s="655">
        <f>+INPUT!BG67</f>
        <v>320</v>
      </c>
      <c r="K109" s="635">
        <f>+INPUT!BH67</f>
        <v>48.83720930232559</v>
      </c>
      <c r="L109" s="655">
        <f>+INPUT!BI67</f>
        <v>339</v>
      </c>
      <c r="M109" s="635">
        <f>+INPUT!BJ67</f>
        <v>40.663900414937757</v>
      </c>
      <c r="N109" s="655">
        <f>+INPUT!BK67</f>
        <v>335</v>
      </c>
      <c r="O109" s="635">
        <f>+INPUT!BL67</f>
        <v>13.175675675675677</v>
      </c>
      <c r="P109" s="655">
        <f>+INPUT!BM67</f>
        <v>356</v>
      </c>
      <c r="Q109" s="635">
        <f>+INPUT!BN67</f>
        <v>13.015873015873012</v>
      </c>
      <c r="R109" s="655">
        <f>+INPUT!BO67</f>
        <v>323</v>
      </c>
      <c r="S109" s="635">
        <f>+INPUT!BP67</f>
        <v>0.93749999999998579</v>
      </c>
      <c r="T109" s="655">
        <f>+INPUT!BQ67</f>
        <v>320</v>
      </c>
      <c r="U109" s="635">
        <f>+INPUT!BR67</f>
        <v>-5.6047197640118043</v>
      </c>
      <c r="V109" s="655">
        <f>+INPUT!BS67</f>
        <v>304</v>
      </c>
      <c r="W109" s="635">
        <f>+INPUT!BT67</f>
        <v>-9.2537313432835759</v>
      </c>
      <c r="X109" s="655">
        <f>+INPUT!BU67</f>
        <v>224</v>
      </c>
      <c r="Y109" s="635">
        <f>+INPUT!BV67</f>
        <v>-37.078651685393261</v>
      </c>
      <c r="Z109" s="655">
        <f>+INPUT!BW67</f>
        <v>217</v>
      </c>
      <c r="AA109" s="635">
        <f>+INPUT!BX67</f>
        <v>-32.817337461300312</v>
      </c>
      <c r="AB109" s="655">
        <f>+INPUT!BY67</f>
        <v>236</v>
      </c>
      <c r="AC109" s="635">
        <f>+INPUT!BZ67</f>
        <v>-26.25</v>
      </c>
      <c r="AD109" s="655">
        <f>+INPUT!CA67</f>
        <v>293</v>
      </c>
      <c r="AE109" s="635">
        <f>+INPUT!CB67</f>
        <v>-3.6184210526315752</v>
      </c>
      <c r="AF109" s="655">
        <f>+INPUT!CC67</f>
        <v>333</v>
      </c>
      <c r="AG109" s="635">
        <f>+INPUT!CD67</f>
        <v>48.660714285714278</v>
      </c>
      <c r="AH109" s="655">
        <f>+INPUT!CE67</f>
        <v>382</v>
      </c>
      <c r="AI109" s="635">
        <f>+INPUT!CF67</f>
        <v>76.036866359447004</v>
      </c>
      <c r="AJ109" s="655">
        <f>+INPUT!CG67</f>
        <v>388</v>
      </c>
      <c r="AK109" s="635">
        <f>+INPUT!CH67</f>
        <v>64.406779661016969</v>
      </c>
      <c r="AL109" s="655">
        <f>+INPUT!CI67</f>
        <v>414</v>
      </c>
      <c r="AM109" s="635">
        <f>+INPUT!CJ67</f>
        <v>41.296928327645048</v>
      </c>
      <c r="AN109" s="655">
        <f>+INPUT!CK67</f>
        <v>443</v>
      </c>
      <c r="AO109" s="635">
        <f>+INPUT!CL67</f>
        <v>33.033033033033036</v>
      </c>
      <c r="AP109" s="655">
        <f>+INPUT!CM67</f>
        <v>482</v>
      </c>
      <c r="AQ109" s="635">
        <f>+INPUT!CN67</f>
        <v>26.178010471204189</v>
      </c>
      <c r="AR109" s="655">
        <f>+INPUT!CO67</f>
        <v>506</v>
      </c>
      <c r="AS109" s="635">
        <f>+INPUT!CP67</f>
        <v>30.412371134020617</v>
      </c>
      <c r="AT109" s="655">
        <f>+INPUT!CQ67</f>
        <v>496</v>
      </c>
      <c r="AU109" s="635">
        <f>+INPUT!CR67</f>
        <v>19.806763285024147</v>
      </c>
      <c r="AV109" s="655">
        <f>+INPUT!CS67</f>
        <v>487</v>
      </c>
      <c r="AW109" s="635">
        <f>+INPUT!CT67</f>
        <v>9.9322799097065513</v>
      </c>
      <c r="AX109" s="655">
        <f>+INPUT!CU67</f>
        <v>521</v>
      </c>
      <c r="AY109" s="635">
        <f>+INPUT!CV67</f>
        <v>8.0912863070539345</v>
      </c>
      <c r="AZ109" s="655">
        <f>+INPUT!CW67</f>
        <v>533</v>
      </c>
      <c r="BA109" s="635">
        <f>+INPUT!CX67</f>
        <v>5.3359683794466264</v>
      </c>
      <c r="BB109" s="655">
        <f>+INPUT!CY67</f>
        <v>555</v>
      </c>
      <c r="BC109" s="635">
        <f>+INPUT!CZ67</f>
        <v>11.895161290322577</v>
      </c>
      <c r="BD109" s="655">
        <f>+INPUT!DA67</f>
        <v>573</v>
      </c>
      <c r="BE109" s="635">
        <f>+INPUT!DB67</f>
        <v>17.659137577002056</v>
      </c>
      <c r="BF109" s="655">
        <f>+INPUT!DC67</f>
        <v>595</v>
      </c>
      <c r="BG109" s="635">
        <f>+INPUT!DD67</f>
        <v>14.203454894433776</v>
      </c>
      <c r="BH109" s="655">
        <f>+INPUT!DE67</f>
        <v>629</v>
      </c>
      <c r="BI109" s="635">
        <f>+INPUT!DF67</f>
        <v>18.011257035647276</v>
      </c>
      <c r="BJ109" s="655">
        <f>+INPUT!DG67</f>
        <v>639</v>
      </c>
      <c r="BK109" s="635">
        <f>+INPUT!DH67</f>
        <v>15.13513513513513</v>
      </c>
      <c r="BL109" s="655">
        <f>+INPUT!DI67</f>
        <v>666</v>
      </c>
      <c r="BM109" s="635">
        <f>+INPUT!DJ67</f>
        <v>16.230366492146601</v>
      </c>
      <c r="BN109" s="655">
        <f>+INPUT!DK67</f>
        <v>671</v>
      </c>
      <c r="BO109" s="635">
        <f>+INPUT!DL67</f>
        <v>12.773109243697476</v>
      </c>
      <c r="BP109" s="655">
        <f>+INPUT!DM67</f>
        <v>688</v>
      </c>
      <c r="BQ109" s="635">
        <f>+INPUT!DN67</f>
        <v>9.3799682034976257</v>
      </c>
      <c r="BR109" s="655">
        <f>+INPUT!DO67</f>
        <v>696</v>
      </c>
      <c r="BS109" s="635">
        <f>+INPUT!DP67</f>
        <v>8.9201877934272318</v>
      </c>
      <c r="BT109" s="655">
        <f>+INPUT!DQ67</f>
        <v>699</v>
      </c>
      <c r="BU109" s="635">
        <f>+INPUT!DR67</f>
        <v>4.9549549549549425</v>
      </c>
      <c r="BV109" s="655">
        <f>+INPUT!DS67</f>
        <v>698</v>
      </c>
      <c r="BW109" s="635">
        <f>+INPUT!DT67</f>
        <v>4.0238450074515697</v>
      </c>
      <c r="BX109" s="655">
        <f>+INPUT!DU67</f>
        <v>713</v>
      </c>
      <c r="BY109" s="635">
        <f>+INPUT!DV67</f>
        <v>3.6337209302325562</v>
      </c>
      <c r="BZ109" s="655">
        <f>+INPUT!DW67</f>
        <v>692</v>
      </c>
      <c r="CA109" s="635">
        <f>+INPUT!DX67</f>
        <v>-0.57471264367816843</v>
      </c>
      <c r="CB109" s="655">
        <f>+INPUT!DY67</f>
        <v>682</v>
      </c>
      <c r="CC109" s="635">
        <f>+INPUT!DZ67</f>
        <v>-2.4320457796852679</v>
      </c>
      <c r="CD109" s="655">
        <f>+INPUT!EA67</f>
        <v>652</v>
      </c>
      <c r="CE109" s="635">
        <f>+INPUT!EB67</f>
        <v>-6.5902578796561642</v>
      </c>
      <c r="CF109" s="655">
        <f>+INPUT!EC67</f>
        <v>675</v>
      </c>
      <c r="CG109" s="635">
        <f>+INPUT!ED67</f>
        <v>-5.3295932678821885</v>
      </c>
      <c r="CH109" s="655">
        <f>+INPUT!EE67</f>
        <v>706</v>
      </c>
      <c r="CI109" s="635">
        <f>+INPUT!EF67</f>
        <v>2.0231213872832399</v>
      </c>
      <c r="CJ109" s="655">
        <f>+INPUT!EG67</f>
        <v>695</v>
      </c>
      <c r="CK109" s="635">
        <f>+INPUT!EH67</f>
        <v>1.9061583577712611</v>
      </c>
      <c r="CL109" s="655">
        <f>+INPUT!EI67</f>
        <v>698</v>
      </c>
      <c r="CM109" s="635">
        <f>+INPUT!EJ67</f>
        <v>7.0552147239263832</v>
      </c>
      <c r="CN109" s="655">
        <f>+INPUT!EK67</f>
        <v>753</v>
      </c>
      <c r="CO109" s="635">
        <f>+INPUT!EL67</f>
        <v>11.555555555555557</v>
      </c>
      <c r="CP109" s="655">
        <f>+INPUT!EM67</f>
        <v>767</v>
      </c>
      <c r="CQ109" s="635">
        <f>+INPUT!EN67</f>
        <v>8.6402266288951921</v>
      </c>
      <c r="CR109" s="655">
        <f>+INPUT!EO67</f>
        <v>763</v>
      </c>
      <c r="CS109" s="635">
        <f>+INPUT!EP67</f>
        <v>9.7841726618704996</v>
      </c>
      <c r="CT109" s="655">
        <f>+INPUT!EQ67</f>
        <v>754.86167061201604</v>
      </c>
      <c r="CU109" s="635">
        <f>+INPUT!ER67</f>
        <v>8.1463711478533014</v>
      </c>
      <c r="CV109" s="655">
        <f>+INPUT!ES67</f>
        <v>743.63465165372031</v>
      </c>
      <c r="CW109" s="635">
        <f>+INPUT!ET67</f>
        <v>-1.2437381601965001</v>
      </c>
      <c r="CX109" s="655">
        <f>+INPUT!EU67</f>
        <v>741.22023807615676</v>
      </c>
      <c r="CY109" s="635">
        <f>+INPUT!EV67</f>
        <v>-3.3611162873328908</v>
      </c>
      <c r="CZ109" s="655">
        <f>+INPUT!EW67</f>
        <v>738.96790422060826</v>
      </c>
      <c r="DA109" s="635">
        <f>+INPUT!EX67</f>
        <v>-3.1496848990028496</v>
      </c>
      <c r="DB109" s="680"/>
      <c r="DC109" s="655">
        <f>+INPUT!FP67</f>
        <v>780</v>
      </c>
      <c r="DD109" s="635">
        <f>+INPUT!FQ67</f>
        <v>11.58798283261801</v>
      </c>
      <c r="DE109" s="655">
        <f>+INPUT!FR67</f>
        <v>1067</v>
      </c>
      <c r="DF109" s="635">
        <f>+INPUT!FS67</f>
        <v>36.794871794871796</v>
      </c>
      <c r="DG109" s="655">
        <f>+INPUT!FT67</f>
        <v>1350</v>
      </c>
      <c r="DH109" s="635">
        <f>+INPUT!FU67</f>
        <v>26.522961574507974</v>
      </c>
      <c r="DI109" s="655">
        <f>+INPUT!FV67</f>
        <v>1171</v>
      </c>
      <c r="DJ109" s="635">
        <f>+INPUT!FW67</f>
        <v>-13.259259259259267</v>
      </c>
      <c r="DK109" s="655">
        <f>+INPUT!FX67</f>
        <v>1079</v>
      </c>
      <c r="DL109" s="635">
        <f>+INPUT!FY67</f>
        <v>-7.8565328778821453</v>
      </c>
      <c r="DM109" s="655">
        <f>+INPUT!FZ67</f>
        <v>1627</v>
      </c>
      <c r="DN109" s="635">
        <f>+INPUT!GA67</f>
        <v>50.787766450417053</v>
      </c>
      <c r="DO109" s="655">
        <f>+INPUT!GB67</f>
        <v>1971</v>
      </c>
      <c r="DP109" s="635">
        <f>+INPUT!GC67</f>
        <v>21.143208358942829</v>
      </c>
      <c r="DQ109" s="655">
        <f>+INPUT!GD67</f>
        <v>2182</v>
      </c>
      <c r="DR109" s="635">
        <f>+INPUT!GE67</f>
        <v>10.705225773718922</v>
      </c>
      <c r="DS109" s="655">
        <f>+INPUT!GF67</f>
        <v>2529</v>
      </c>
      <c r="DT109" s="635">
        <f>+INPUT!GG67</f>
        <v>15.902841429880851</v>
      </c>
      <c r="DU109" s="655">
        <f>+INPUT!GH67</f>
        <v>2754</v>
      </c>
      <c r="DV109" s="635">
        <f>+INPUT!GI67</f>
        <v>8.8967971530249201</v>
      </c>
      <c r="DW109" s="655">
        <f>+INPUT!GJ67</f>
        <v>2785</v>
      </c>
      <c r="DX109" s="635">
        <f>+INPUT!GK67</f>
        <v>1.1256354393609342</v>
      </c>
      <c r="DY109" s="655">
        <f>+INPUT!GL67</f>
        <v>2728</v>
      </c>
      <c r="DZ109" s="635">
        <f>+INPUT!GM67</f>
        <v>-2.046678635547579</v>
      </c>
      <c r="EA109" s="655">
        <f>+INPUT!GN67</f>
        <v>2981</v>
      </c>
      <c r="EB109" s="635">
        <f>+INPUT!GO67</f>
        <v>9.2741935483871032</v>
      </c>
      <c r="EC109" s="655">
        <f>+INPUT!GP67</f>
        <v>2978.6844645625015</v>
      </c>
      <c r="ED109" s="635">
        <f>+INPUT!GQ67</f>
        <v>-7.7676465531652639E-2</v>
      </c>
      <c r="EE109" s="655">
        <f>+INPUT!GR67</f>
        <v>2939.0057131943609</v>
      </c>
      <c r="EF109" s="635">
        <f>+INPUT!GS67</f>
        <v>-1.332089781250744</v>
      </c>
      <c r="EG109" s="655">
        <f>+INPUT!GT67</f>
        <v>2918.1475577524448</v>
      </c>
      <c r="EH109" s="635">
        <f>+INPUT!GU67</f>
        <v>-0.70970108524373643</v>
      </c>
      <c r="EI109" s="655">
        <f>+INPUT!GV67</f>
        <v>2906.1626591477198</v>
      </c>
      <c r="EJ109" s="635">
        <f>+INPUT!GW67</f>
        <v>-0.41070228175698276</v>
      </c>
      <c r="EK109" s="655">
        <f>+INPUT!GX67</f>
        <v>2903.6605560867456</v>
      </c>
      <c r="EL109" s="635">
        <f>+INPUT!GY67</f>
        <v>-8.609645620138906E-2</v>
      </c>
      <c r="EM109" s="635">
        <f>+INPUT!GZ67</f>
        <v>-0.52435270590711625</v>
      </c>
    </row>
    <row r="110" spans="1:144" s="632" customFormat="1" ht="12.75" hidden="1" customHeight="1" outlineLevel="1" x14ac:dyDescent="0.2">
      <c r="A110" s="644" t="str">
        <f>+INPUT!B68</f>
        <v>Net Investment Income</v>
      </c>
      <c r="B110" s="655">
        <f>+INPUT!AY68</f>
        <v>144</v>
      </c>
      <c r="C110" s="635">
        <f>+INPUT!AZ68</f>
        <v>-8.2802547770700556</v>
      </c>
      <c r="D110" s="655">
        <f>+INPUT!BA68</f>
        <v>149</v>
      </c>
      <c r="E110" s="635">
        <f>+INPUT!BB68</f>
        <v>-2.6143790849673252</v>
      </c>
      <c r="F110" s="655">
        <f>+INPUT!BC68</f>
        <v>169</v>
      </c>
      <c r="G110" s="635">
        <f>+INPUT!BD68</f>
        <v>8.3333333333333286</v>
      </c>
      <c r="H110" s="655">
        <f>+INPUT!BE68</f>
        <v>156</v>
      </c>
      <c r="I110" s="635">
        <f>+INPUT!BF68</f>
        <v>3.3112582781456865</v>
      </c>
      <c r="J110" s="655">
        <f>+INPUT!BG68</f>
        <v>151</v>
      </c>
      <c r="K110" s="635">
        <f>+INPUT!BH68</f>
        <v>4.8611111111111143</v>
      </c>
      <c r="L110" s="655">
        <f>+INPUT!BI68</f>
        <v>148</v>
      </c>
      <c r="M110" s="635">
        <f>+INPUT!BJ68</f>
        <v>-0.67114093959730781</v>
      </c>
      <c r="N110" s="655">
        <f>+INPUT!BK68</f>
        <v>144</v>
      </c>
      <c r="O110" s="635">
        <f>+INPUT!BL68</f>
        <v>-14.792899408284015</v>
      </c>
      <c r="P110" s="655">
        <f>+INPUT!BM68</f>
        <v>137</v>
      </c>
      <c r="Q110" s="635">
        <f>+INPUT!BN68</f>
        <v>-12.179487179487182</v>
      </c>
      <c r="R110" s="655">
        <f>+INPUT!BO68</f>
        <v>161</v>
      </c>
      <c r="S110" s="635">
        <f>+INPUT!BP68</f>
        <v>6.622516556291373</v>
      </c>
      <c r="T110" s="655">
        <f>+INPUT!BQ68</f>
        <v>174</v>
      </c>
      <c r="U110" s="635">
        <f>+INPUT!BR68</f>
        <v>17.567567567567565</v>
      </c>
      <c r="V110" s="655">
        <f>+INPUT!BS68</f>
        <v>200</v>
      </c>
      <c r="W110" s="635">
        <f>+INPUT!BT68</f>
        <v>38.888888888888886</v>
      </c>
      <c r="X110" s="655">
        <f>+INPUT!BU68</f>
        <v>265</v>
      </c>
      <c r="Y110" s="635">
        <f>+INPUT!BV68</f>
        <v>93.430656934306569</v>
      </c>
      <c r="Z110" s="655">
        <f>+INPUT!BW68</f>
        <v>274</v>
      </c>
      <c r="AA110" s="635">
        <f>+INPUT!BX68</f>
        <v>70.18633540372673</v>
      </c>
      <c r="AB110" s="655">
        <f>+INPUT!BY68</f>
        <v>251</v>
      </c>
      <c r="AC110" s="635">
        <f>+INPUT!BZ68</f>
        <v>44.252873563218373</v>
      </c>
      <c r="AD110" s="655">
        <f>+INPUT!CA68</f>
        <v>236</v>
      </c>
      <c r="AE110" s="635">
        <f>+INPUT!CB68</f>
        <v>18</v>
      </c>
      <c r="AF110" s="655">
        <f>+INPUT!CC68</f>
        <v>218</v>
      </c>
      <c r="AG110" s="635">
        <f>+INPUT!CD68</f>
        <v>-17.735849056603769</v>
      </c>
      <c r="AH110" s="655">
        <f>+INPUT!CE68</f>
        <v>224</v>
      </c>
      <c r="AI110" s="635">
        <f>+INPUT!CF68</f>
        <v>-18.248175182481745</v>
      </c>
      <c r="AJ110" s="655">
        <f>+INPUT!CG68</f>
        <v>216</v>
      </c>
      <c r="AK110" s="635">
        <f>+INPUT!CH68</f>
        <v>-13.944223107569726</v>
      </c>
      <c r="AL110" s="655">
        <f>+INPUT!CI68</f>
        <v>220</v>
      </c>
      <c r="AM110" s="635">
        <f>+INPUT!CJ68</f>
        <v>-6.7796610169491629</v>
      </c>
      <c r="AN110" s="655">
        <f>+INPUT!CK68</f>
        <v>218</v>
      </c>
      <c r="AO110" s="635">
        <f>+INPUT!CL68</f>
        <v>0</v>
      </c>
      <c r="AP110" s="655">
        <f>+INPUT!CM68</f>
        <v>201</v>
      </c>
      <c r="AQ110" s="635">
        <f>+INPUT!CN68</f>
        <v>-10.267857142857139</v>
      </c>
      <c r="AR110" s="655">
        <f>+INPUT!CO68</f>
        <v>197</v>
      </c>
      <c r="AS110" s="635">
        <f>+INPUT!CP68</f>
        <v>-8.7962962962962905</v>
      </c>
      <c r="AT110" s="655">
        <f>+INPUT!CQ68</f>
        <v>195</v>
      </c>
      <c r="AU110" s="635">
        <f>+INPUT!CR68</f>
        <v>-11.36363636363636</v>
      </c>
      <c r="AV110" s="655">
        <f>+INPUT!CS68</f>
        <v>197</v>
      </c>
      <c r="AW110" s="635">
        <f>+INPUT!CT68</f>
        <v>-9.6330275229357767</v>
      </c>
      <c r="AX110" s="655">
        <f>+INPUT!CU68</f>
        <v>197</v>
      </c>
      <c r="AY110" s="635">
        <f>+INPUT!CV68</f>
        <v>-1.990049751243788</v>
      </c>
      <c r="AZ110" s="655">
        <f>+INPUT!CW68</f>
        <v>191</v>
      </c>
      <c r="BA110" s="635">
        <f>+INPUT!CX68</f>
        <v>-3.0456852791878219</v>
      </c>
      <c r="BB110" s="655">
        <f>+INPUT!CY68</f>
        <v>197</v>
      </c>
      <c r="BC110" s="635">
        <f>+INPUT!CZ68</f>
        <v>1.025641025641022</v>
      </c>
      <c r="BD110" s="655">
        <f>+INPUT!DA68</f>
        <v>185</v>
      </c>
      <c r="BE110" s="635">
        <f>+INPUT!DB68</f>
        <v>-6.0913705583756297</v>
      </c>
      <c r="BF110" s="655">
        <f>+INPUT!DC68</f>
        <v>176</v>
      </c>
      <c r="BG110" s="635">
        <f>+INPUT!DD68</f>
        <v>-10.659898477157356</v>
      </c>
      <c r="BH110" s="655">
        <f>+INPUT!DE68</f>
        <v>181</v>
      </c>
      <c r="BI110" s="635">
        <f>+INPUT!DF68</f>
        <v>-5.2356020942408463</v>
      </c>
      <c r="BJ110" s="655">
        <f>+INPUT!DG68</f>
        <v>169</v>
      </c>
      <c r="BK110" s="635">
        <f>+INPUT!DH68</f>
        <v>-14.213197969543145</v>
      </c>
      <c r="BL110" s="655">
        <f>+INPUT!DI68</f>
        <v>167</v>
      </c>
      <c r="BM110" s="635">
        <f>+INPUT!DJ68</f>
        <v>-9.7297297297297263</v>
      </c>
      <c r="BN110" s="655">
        <f>+INPUT!DK68</f>
        <v>165</v>
      </c>
      <c r="BO110" s="635">
        <f>+INPUT!DL68</f>
        <v>-6.25</v>
      </c>
      <c r="BP110" s="655">
        <f>+INPUT!DM68</f>
        <v>153</v>
      </c>
      <c r="BQ110" s="635">
        <f>+INPUT!DN68</f>
        <v>-15.469613259668506</v>
      </c>
      <c r="BR110" s="655">
        <f>+INPUT!DO68</f>
        <v>154</v>
      </c>
      <c r="BS110" s="635">
        <f>+INPUT!DP68</f>
        <v>-8.8757396449704089</v>
      </c>
      <c r="BT110" s="655">
        <f>+INPUT!DQ68</f>
        <v>158</v>
      </c>
      <c r="BU110" s="635">
        <f>+INPUT!DR68</f>
        <v>-5.3892215568862269</v>
      </c>
      <c r="BV110" s="655">
        <f>+INPUT!DS68</f>
        <v>151</v>
      </c>
      <c r="BW110" s="635">
        <f>+INPUT!DT68</f>
        <v>-8.4848484848484844</v>
      </c>
      <c r="BX110" s="655">
        <f>+INPUT!DU68</f>
        <v>143</v>
      </c>
      <c r="BY110" s="635">
        <f>+INPUT!DV68</f>
        <v>-6.5359477124183059</v>
      </c>
      <c r="BZ110" s="655">
        <f>+INPUT!DW68</f>
        <v>156</v>
      </c>
      <c r="CA110" s="635">
        <f>+INPUT!DX68</f>
        <v>1.2987012987012889</v>
      </c>
      <c r="CB110" s="655">
        <f>+INPUT!DY68</f>
        <v>153</v>
      </c>
      <c r="CC110" s="635">
        <f>+INPUT!DZ68</f>
        <v>-3.1645569620253156</v>
      </c>
      <c r="CD110" s="655">
        <f>+INPUT!EA68</f>
        <v>161</v>
      </c>
      <c r="CE110" s="635">
        <f>+INPUT!EB68</f>
        <v>6.622516556291373</v>
      </c>
      <c r="CF110" s="655">
        <f>+INPUT!EC68</f>
        <v>161</v>
      </c>
      <c r="CG110" s="635">
        <f>+INPUT!ED68</f>
        <v>12.587412587412587</v>
      </c>
      <c r="CH110" s="655">
        <f>+INPUT!EE68</f>
        <v>192</v>
      </c>
      <c r="CI110" s="635">
        <f>+INPUT!EF68</f>
        <v>23.07692307692308</v>
      </c>
      <c r="CJ110" s="655">
        <f>+INPUT!EG68</f>
        <v>184</v>
      </c>
      <c r="CK110" s="635">
        <f>+INPUT!EH68</f>
        <v>20.261437908496731</v>
      </c>
      <c r="CL110" s="655">
        <f>+INPUT!EI68</f>
        <v>190</v>
      </c>
      <c r="CM110" s="635">
        <f>+INPUT!EJ68</f>
        <v>18.012422360248451</v>
      </c>
      <c r="CN110" s="655">
        <f>+INPUT!EK68</f>
        <v>184</v>
      </c>
      <c r="CO110" s="635">
        <f>+INPUT!EL68</f>
        <v>14.285714285714278</v>
      </c>
      <c r="CP110" s="655">
        <f>+INPUT!EM68</f>
        <v>182</v>
      </c>
      <c r="CQ110" s="635">
        <f>+INPUT!EN68</f>
        <v>-5.2083333333333428</v>
      </c>
      <c r="CR110" s="655">
        <f>+INPUT!EO68</f>
        <v>186</v>
      </c>
      <c r="CS110" s="635">
        <f>+INPUT!EP68</f>
        <v>1.0869565217391397</v>
      </c>
      <c r="CT110" s="655">
        <f>+INPUT!EQ68</f>
        <v>183.34679633390635</v>
      </c>
      <c r="CU110" s="635">
        <f>+INPUT!ER68</f>
        <v>-3.5016861400492871</v>
      </c>
      <c r="CV110" s="655">
        <f>+INPUT!ES68</f>
        <v>181.13988483387848</v>
      </c>
      <c r="CW110" s="635">
        <f>+INPUT!ET68</f>
        <v>-1.5544104163703878</v>
      </c>
      <c r="CX110" s="655">
        <f>+INPUT!EU68</f>
        <v>181.02910674120986</v>
      </c>
      <c r="CY110" s="635">
        <f>+INPUT!EV68</f>
        <v>-0.53345783450006934</v>
      </c>
      <c r="CZ110" s="655">
        <f>+INPUT!EW68</f>
        <v>180.95737396413671</v>
      </c>
      <c r="DA110" s="635">
        <f>+INPUT!EX68</f>
        <v>-2.711089266593163</v>
      </c>
      <c r="DB110" s="680"/>
      <c r="DC110" s="655">
        <f>+INPUT!FP68</f>
        <v>617</v>
      </c>
      <c r="DD110" s="635">
        <f>+INPUT!FQ68</f>
        <v>4.5762711864406782</v>
      </c>
      <c r="DE110" s="655">
        <f>+INPUT!FR68</f>
        <v>618</v>
      </c>
      <c r="DF110" s="635">
        <f>+INPUT!FS68</f>
        <v>0.16207455429497486</v>
      </c>
      <c r="DG110" s="655">
        <f>+INPUT!FT68</f>
        <v>580</v>
      </c>
      <c r="DH110" s="635">
        <f>+INPUT!FU68</f>
        <v>-6.1488673139158578</v>
      </c>
      <c r="DI110" s="655">
        <f>+INPUT!FV68</f>
        <v>800</v>
      </c>
      <c r="DJ110" s="635">
        <f>+INPUT!FW68</f>
        <v>37.931034482758633</v>
      </c>
      <c r="DK110" s="655">
        <f>+INPUT!FX68</f>
        <v>979</v>
      </c>
      <c r="DL110" s="635">
        <f>+INPUT!FY68</f>
        <v>22.374999999999986</v>
      </c>
      <c r="DM110" s="655">
        <f>+INPUT!FZ68</f>
        <v>878</v>
      </c>
      <c r="DN110" s="635">
        <f>+INPUT!GA68</f>
        <v>-10.316649642492337</v>
      </c>
      <c r="DO110" s="655">
        <f>+INPUT!GB68</f>
        <v>790</v>
      </c>
      <c r="DP110" s="635">
        <f>+INPUT!GC68</f>
        <v>-10.022779043280181</v>
      </c>
      <c r="DQ110" s="655">
        <f>+INPUT!GD68</f>
        <v>770</v>
      </c>
      <c r="DR110" s="635">
        <f>+INPUT!GE68</f>
        <v>-2.5316455696202524</v>
      </c>
      <c r="DS110" s="655">
        <f>+INPUT!GF68</f>
        <v>693</v>
      </c>
      <c r="DT110" s="635">
        <f>+INPUT!GG68</f>
        <v>-10</v>
      </c>
      <c r="DU110" s="655">
        <f>+INPUT!GH68</f>
        <v>630</v>
      </c>
      <c r="DV110" s="635">
        <f>+INPUT!GI68</f>
        <v>-9.0909090909090935</v>
      </c>
      <c r="DW110" s="655">
        <f>+INPUT!GJ68</f>
        <v>603</v>
      </c>
      <c r="DX110" s="635">
        <f>+INPUT!GK68</f>
        <v>-4.2857142857142776</v>
      </c>
      <c r="DY110" s="655">
        <f>+INPUT!GL68</f>
        <v>698</v>
      </c>
      <c r="DZ110" s="635">
        <f>+INPUT!GM68</f>
        <v>15.754560530679939</v>
      </c>
      <c r="EA110" s="655">
        <f>+INPUT!GN68</f>
        <v>742</v>
      </c>
      <c r="EB110" s="635">
        <f>+INPUT!GO68</f>
        <v>6.3037249283667762</v>
      </c>
      <c r="EC110" s="655">
        <f>+INPUT!GP68</f>
        <v>726.4731618731314</v>
      </c>
      <c r="ED110" s="635">
        <f>+INPUT!GQ68</f>
        <v>-2.0925657852922654</v>
      </c>
      <c r="EE110" s="655">
        <f>+INPUT!GR68</f>
        <v>724.46751161288614</v>
      </c>
      <c r="EF110" s="635">
        <f>+INPUT!GS68</f>
        <v>-0.27608043428250539</v>
      </c>
      <c r="EG110" s="655">
        <f>+INPUT!GT68</f>
        <v>718.78125249261882</v>
      </c>
      <c r="EH110" s="635">
        <f>+INPUT!GU68</f>
        <v>-0.78488807698332153</v>
      </c>
      <c r="EI110" s="655">
        <f>+INPUT!GV68</f>
        <v>715.26506476885606</v>
      </c>
      <c r="EJ110" s="635">
        <f>+INPUT!GW68</f>
        <v>-0.48918745606805203</v>
      </c>
      <c r="EK110" s="655">
        <f>+INPUT!GX68</f>
        <v>714.06360879006388</v>
      </c>
      <c r="EL110" s="635">
        <f>+INPUT!GY68</f>
        <v>-0.16797353008990967</v>
      </c>
      <c r="EM110" s="635">
        <f>+INPUT!GZ68</f>
        <v>-0.76460584048206881</v>
      </c>
    </row>
    <row r="111" spans="1:144" s="632" customFormat="1" ht="12.75" hidden="1" customHeight="1" outlineLevel="1" x14ac:dyDescent="0.2">
      <c r="A111" s="644" t="str">
        <f>+INPUT!B71</f>
        <v>Commissions, Fees and Other Income</v>
      </c>
      <c r="B111" s="655">
        <f>+INPUT!AY71</f>
        <v>94</v>
      </c>
      <c r="C111" s="635">
        <f>+INPUT!AZ71</f>
        <v>28.767123287671239</v>
      </c>
      <c r="D111" s="655">
        <f>+INPUT!BA71</f>
        <v>79</v>
      </c>
      <c r="E111" s="635">
        <f>+INPUT!BB71</f>
        <v>2.5974025974025921</v>
      </c>
      <c r="F111" s="655">
        <f>+INPUT!BC71</f>
        <v>118</v>
      </c>
      <c r="G111" s="635">
        <f>+INPUT!BD71</f>
        <v>35.63218390804596</v>
      </c>
      <c r="H111" s="655">
        <f>+INPUT!BE71</f>
        <v>125</v>
      </c>
      <c r="I111" s="635">
        <f>+INPUT!BF71</f>
        <v>50.602409638554235</v>
      </c>
      <c r="J111" s="655">
        <f>+INPUT!BG71</f>
        <v>133</v>
      </c>
      <c r="K111" s="635">
        <f>+INPUT!BH71</f>
        <v>41.489361702127667</v>
      </c>
      <c r="L111" s="655">
        <f>+INPUT!BI71</f>
        <v>145</v>
      </c>
      <c r="M111" s="635">
        <f>+INPUT!BJ71</f>
        <v>83.544303797468359</v>
      </c>
      <c r="N111" s="655">
        <f>+INPUT!BK71</f>
        <v>154</v>
      </c>
      <c r="O111" s="635">
        <f>+INPUT!BL71</f>
        <v>30.508474576271198</v>
      </c>
      <c r="P111" s="655">
        <f>+INPUT!BM71</f>
        <v>141</v>
      </c>
      <c r="Q111" s="635">
        <f>+INPUT!BN71</f>
        <v>12.799999999999983</v>
      </c>
      <c r="R111" s="655">
        <f>+INPUT!BO71</f>
        <v>89</v>
      </c>
      <c r="S111" s="635">
        <f>+INPUT!BP71</f>
        <v>-33.082706766917298</v>
      </c>
      <c r="T111" s="655">
        <f>+INPUT!BQ71</f>
        <v>128</v>
      </c>
      <c r="U111" s="635">
        <f>+INPUT!BR71</f>
        <v>-11.724137931034477</v>
      </c>
      <c r="V111" s="655">
        <f>+INPUT!BS71</f>
        <v>24</v>
      </c>
      <c r="W111" s="635" t="str">
        <f>+INPUT!BT71</f>
        <v>NM</v>
      </c>
      <c r="X111" s="655">
        <f>+INPUT!BU71</f>
        <v>-213</v>
      </c>
      <c r="Y111" s="635" t="str">
        <f>+INPUT!BV71</f>
        <v>NM</v>
      </c>
      <c r="Z111" s="655">
        <f>+INPUT!BW71</f>
        <v>83</v>
      </c>
      <c r="AA111" s="635">
        <f>+INPUT!BX71</f>
        <v>-6.7415730337078656</v>
      </c>
      <c r="AB111" s="655">
        <f>+INPUT!BY71</f>
        <v>104</v>
      </c>
      <c r="AC111" s="635">
        <f>+INPUT!BZ71</f>
        <v>-18.75</v>
      </c>
      <c r="AD111" s="655">
        <f>+INPUT!CA71</f>
        <v>124</v>
      </c>
      <c r="AE111" s="635" t="str">
        <f>+INPUT!CB71</f>
        <v>NM</v>
      </c>
      <c r="AF111" s="655">
        <f>+INPUT!CC71</f>
        <v>146</v>
      </c>
      <c r="AG111" s="635" t="str">
        <f>+INPUT!CD71</f>
        <v>NM</v>
      </c>
      <c r="AH111" s="655">
        <f>+INPUT!CE71</f>
        <v>153</v>
      </c>
      <c r="AI111" s="635">
        <f>+INPUT!CF71</f>
        <v>84.337349397590373</v>
      </c>
      <c r="AJ111" s="655">
        <f>+INPUT!CG71</f>
        <v>164</v>
      </c>
      <c r="AK111" s="635">
        <f>+INPUT!CH71</f>
        <v>57.692307692307679</v>
      </c>
      <c r="AL111" s="655">
        <f>+INPUT!CI71</f>
        <v>173</v>
      </c>
      <c r="AM111" s="635">
        <f>+INPUT!CJ71</f>
        <v>39.516129032258078</v>
      </c>
      <c r="AN111" s="655">
        <f>+INPUT!CK71</f>
        <v>200</v>
      </c>
      <c r="AO111" s="635">
        <f>+INPUT!CL71</f>
        <v>36.986301369863014</v>
      </c>
      <c r="AP111" s="655">
        <f>+INPUT!CM71</f>
        <v>215</v>
      </c>
      <c r="AQ111" s="635">
        <f>+INPUT!CN71</f>
        <v>40.522875816993462</v>
      </c>
      <c r="AR111" s="655">
        <f>+INPUT!CO71</f>
        <v>230</v>
      </c>
      <c r="AS111" s="635">
        <f>+INPUT!CP71</f>
        <v>40.243902439024396</v>
      </c>
      <c r="AT111" s="655">
        <f>+INPUT!CQ71</f>
        <v>214</v>
      </c>
      <c r="AU111" s="635">
        <f>+INPUT!CR71</f>
        <v>23.69942196531791</v>
      </c>
      <c r="AV111" s="655">
        <f>+INPUT!CS71</f>
        <v>218</v>
      </c>
      <c r="AW111" s="635">
        <f>+INPUT!CT71</f>
        <v>9.0000000000000142</v>
      </c>
      <c r="AX111" s="655">
        <f>+INPUT!CU71</f>
        <v>240</v>
      </c>
      <c r="AY111" s="635">
        <f>+INPUT!CV71</f>
        <v>11.627906976744185</v>
      </c>
      <c r="AZ111" s="655">
        <f>+INPUT!CW71</f>
        <v>244</v>
      </c>
      <c r="BA111" s="635">
        <f>+INPUT!CX71</f>
        <v>6.0869565217391397</v>
      </c>
      <c r="BB111" s="655">
        <f>+INPUT!CY71</f>
        <v>266</v>
      </c>
      <c r="BC111" s="635">
        <f>+INPUT!CZ71</f>
        <v>24.299065420560751</v>
      </c>
      <c r="BD111" s="655">
        <f>+INPUT!DA71</f>
        <v>281</v>
      </c>
      <c r="BE111" s="635">
        <f>+INPUT!DB71</f>
        <v>28.89908256880733</v>
      </c>
      <c r="BF111" s="655">
        <f>+INPUT!DC71</f>
        <v>297</v>
      </c>
      <c r="BG111" s="635">
        <f>+INPUT!DD71</f>
        <v>23.75</v>
      </c>
      <c r="BH111" s="655">
        <f>+INPUT!DE71</f>
        <v>309</v>
      </c>
      <c r="BI111" s="635">
        <f>+INPUT!DF71</f>
        <v>26.639344262295083</v>
      </c>
      <c r="BJ111" s="655">
        <f>+INPUT!DG71</f>
        <v>312</v>
      </c>
      <c r="BK111" s="635">
        <f>+INPUT!DH71</f>
        <v>17.293233082706763</v>
      </c>
      <c r="BL111" s="655">
        <f>+INPUT!DI71</f>
        <v>325</v>
      </c>
      <c r="BM111" s="635">
        <f>+INPUT!DJ71</f>
        <v>15.658362989323834</v>
      </c>
      <c r="BN111" s="655">
        <f>+INPUT!DK71</f>
        <v>321</v>
      </c>
      <c r="BO111" s="635">
        <f>+INPUT!DL71</f>
        <v>16.002846975088957</v>
      </c>
      <c r="BP111" s="655">
        <f>+INPUT!DM71</f>
        <v>330</v>
      </c>
      <c r="BQ111" s="635">
        <f>+INPUT!DN71</f>
        <v>6.7961165048543677</v>
      </c>
      <c r="BR111" s="655">
        <f>+INPUT!DO71</f>
        <v>341</v>
      </c>
      <c r="BS111" s="635">
        <f>+INPUT!DP71</f>
        <v>9.2948717948717814</v>
      </c>
      <c r="BT111" s="655">
        <f>+INPUT!DQ71</f>
        <v>334</v>
      </c>
      <c r="BU111" s="635">
        <f>+INPUT!DR71</f>
        <v>2.7692307692307736</v>
      </c>
      <c r="BV111" s="655">
        <f>+INPUT!DS71</f>
        <v>338</v>
      </c>
      <c r="BW111" s="635">
        <f>+INPUT!DT71</f>
        <v>5.2959501557632223</v>
      </c>
      <c r="BX111" s="655">
        <f>+INPUT!DU71</f>
        <v>344</v>
      </c>
      <c r="BY111" s="635">
        <f>+INPUT!DV71</f>
        <v>4.2424242424242493</v>
      </c>
      <c r="BZ111" s="655">
        <f>+INPUT!DW71</f>
        <v>319</v>
      </c>
      <c r="CA111" s="635">
        <f>+INPUT!DX71</f>
        <v>-6.4516129032258078</v>
      </c>
      <c r="CB111" s="655">
        <f>+INPUT!DY71</f>
        <v>306</v>
      </c>
      <c r="CC111" s="635">
        <f>+INPUT!DZ71</f>
        <v>-8.3832335329341277</v>
      </c>
      <c r="CD111" s="655">
        <f>+INPUT!EA71</f>
        <v>296</v>
      </c>
      <c r="CE111" s="635">
        <f>+INPUT!EB71</f>
        <v>-12.42603550295857</v>
      </c>
      <c r="CF111" s="655">
        <f>+INPUT!EC71</f>
        <v>307</v>
      </c>
      <c r="CG111" s="635">
        <f>+INPUT!ED71</f>
        <v>-10.755813953488371</v>
      </c>
      <c r="CH111" s="655">
        <f>+INPUT!EE71</f>
        <v>323</v>
      </c>
      <c r="CI111" s="635">
        <f>+INPUT!EF71</f>
        <v>1.2539184952978104</v>
      </c>
      <c r="CJ111" s="655">
        <f>+INPUT!EG71</f>
        <v>314</v>
      </c>
      <c r="CK111" s="635">
        <f>+INPUT!EH71</f>
        <v>2.614379084967311</v>
      </c>
      <c r="CL111" s="655">
        <f>+INPUT!EI71</f>
        <v>327</v>
      </c>
      <c r="CM111" s="635">
        <f>+INPUT!EJ71</f>
        <v>10.472972972972983</v>
      </c>
      <c r="CN111" s="655">
        <f>+INPUT!EK71</f>
        <v>369</v>
      </c>
      <c r="CO111" s="635">
        <f>+INPUT!EL71</f>
        <v>20.195439739413686</v>
      </c>
      <c r="CP111" s="655">
        <f>+INPUT!EM71</f>
        <v>355</v>
      </c>
      <c r="CQ111" s="635">
        <f>+INPUT!EN71</f>
        <v>9.9071207430340564</v>
      </c>
      <c r="CR111" s="655">
        <f>+INPUT!EO71</f>
        <v>336</v>
      </c>
      <c r="CS111" s="635">
        <f>+INPUT!EP71</f>
        <v>7.0063694267515899</v>
      </c>
      <c r="CT111" s="655">
        <f>+INPUT!EQ71</f>
        <v>339.36</v>
      </c>
      <c r="CU111" s="635">
        <f>+INPUT!ER71</f>
        <v>3.7798165137614745</v>
      </c>
      <c r="CV111" s="655">
        <f>+INPUT!ES71</f>
        <v>342.75360000000001</v>
      </c>
      <c r="CW111" s="635">
        <f>+INPUT!ET71</f>
        <v>-7.1128455284552814</v>
      </c>
      <c r="CX111" s="655">
        <f>+INPUT!EU71</f>
        <v>346.18113599999998</v>
      </c>
      <c r="CY111" s="635">
        <f>+INPUT!EV71</f>
        <v>-2.4841870422535237</v>
      </c>
      <c r="CZ111" s="655">
        <f>+INPUT!EW71</f>
        <v>349.64294735999999</v>
      </c>
      <c r="DA111" s="635">
        <f>+INPUT!EX71</f>
        <v>4.0604009999999988</v>
      </c>
      <c r="DB111" s="681"/>
      <c r="DC111" s="655">
        <f>+INPUT!FP71</f>
        <v>320</v>
      </c>
      <c r="DD111" s="635">
        <f>+INPUT!FQ71</f>
        <v>10.726643598615922</v>
      </c>
      <c r="DE111" s="655">
        <f>+INPUT!FR71</f>
        <v>416</v>
      </c>
      <c r="DF111" s="635">
        <f>+INPUT!FS71</f>
        <v>30</v>
      </c>
      <c r="DG111" s="655">
        <f>+INPUT!FT71</f>
        <v>573</v>
      </c>
      <c r="DH111" s="635">
        <f>+INPUT!FU71</f>
        <v>37.740384615384613</v>
      </c>
      <c r="DI111" s="655">
        <f>+INPUT!FV71</f>
        <v>466</v>
      </c>
      <c r="DJ111" s="635">
        <f>+INPUT!FW71</f>
        <v>-18.673647469458984</v>
      </c>
      <c r="DK111" s="655">
        <f>+INPUT!FX71</f>
        <v>457</v>
      </c>
      <c r="DL111" s="635">
        <f>+INPUT!FY71</f>
        <v>-1.9313304721029994</v>
      </c>
      <c r="DM111" s="655">
        <f>+INPUT!FZ71</f>
        <v>690</v>
      </c>
      <c r="DN111" s="635">
        <f>+INPUT!GA71</f>
        <v>50.984682713347922</v>
      </c>
      <c r="DO111" s="655">
        <f>+INPUT!GB71</f>
        <v>877</v>
      </c>
      <c r="DP111" s="635">
        <f>+INPUT!GC71</f>
        <v>27.101449275362313</v>
      </c>
      <c r="DQ111" s="655">
        <f>+INPUT!GD71</f>
        <v>1031</v>
      </c>
      <c r="DR111" s="635">
        <f>+INPUT!GE71</f>
        <v>17.559863169897369</v>
      </c>
      <c r="DS111" s="655">
        <f>+INPUT!GF71</f>
        <v>1243</v>
      </c>
      <c r="DT111" s="635">
        <f>+INPUT!GG71</f>
        <v>20.562560620756543</v>
      </c>
      <c r="DU111" s="655">
        <f>+INPUT!GH71</f>
        <v>1326</v>
      </c>
      <c r="DV111" s="635">
        <f>+INPUT!GI71</f>
        <v>6.677393403057124</v>
      </c>
      <c r="DW111" s="655">
        <f>+INPUT!GJ71</f>
        <v>1307</v>
      </c>
      <c r="DX111" s="635">
        <f>+INPUT!GK71</f>
        <v>-1.4328808446455525</v>
      </c>
      <c r="DY111" s="655">
        <f>+INPUT!GL71</f>
        <v>1240</v>
      </c>
      <c r="DZ111" s="635">
        <f>+INPUT!GM71</f>
        <v>-5.1262433052792602</v>
      </c>
      <c r="EA111" s="655">
        <f>+INPUT!GN71</f>
        <v>1387</v>
      </c>
      <c r="EB111" s="635">
        <f>+INPUT!GO71</f>
        <v>11.854838709677423</v>
      </c>
      <c r="EC111" s="655">
        <f>+INPUT!GP71</f>
        <v>1377.9376833599999</v>
      </c>
      <c r="ED111" s="635">
        <f>+INPUT!GQ71</f>
        <v>-0.65337538860850941</v>
      </c>
      <c r="EE111" s="655">
        <f>+INPUT!GR71</f>
        <v>1405.4964370272</v>
      </c>
      <c r="EF111" s="635">
        <f>+INPUT!GS71</f>
        <v>2</v>
      </c>
      <c r="EG111" s="655">
        <f>+INPUT!GT71</f>
        <v>1433.6063657677441</v>
      </c>
      <c r="EH111" s="635">
        <f>+INPUT!GU71</f>
        <v>2</v>
      </c>
      <c r="EI111" s="655">
        <f>+INPUT!GV71</f>
        <v>1462.278493083099</v>
      </c>
      <c r="EJ111" s="635">
        <f>+INPUT!GW71</f>
        <v>2</v>
      </c>
      <c r="EK111" s="655">
        <f>+INPUT!GX71</f>
        <v>1491.524062944761</v>
      </c>
      <c r="EL111" s="635">
        <f>+INPUT!GY71</f>
        <v>2</v>
      </c>
      <c r="EM111" s="635">
        <f>+INPUT!GZ71</f>
        <v>1.4637152520397434</v>
      </c>
    </row>
    <row r="112" spans="1:144" s="632" customFormat="1" ht="12.75" hidden="1" customHeight="1" outlineLevel="1" x14ac:dyDescent="0.2">
      <c r="A112" s="652" t="str">
        <f>+INPUT!B72</f>
        <v xml:space="preserve">  Total Revenues</v>
      </c>
      <c r="B112" s="657">
        <f>+INPUT!AY72</f>
        <v>453</v>
      </c>
      <c r="C112" s="635">
        <f>+INPUT!AZ72</f>
        <v>6.8396226415094361</v>
      </c>
      <c r="D112" s="657">
        <f>+INPUT!BA72</f>
        <v>469</v>
      </c>
      <c r="E112" s="635">
        <f>+INPUT!BB72</f>
        <v>11.666666666666671</v>
      </c>
      <c r="F112" s="657">
        <f>+INPUT!BC72</f>
        <v>583</v>
      </c>
      <c r="G112" s="635">
        <f>+INPUT!BD72</f>
        <v>32.199546485260782</v>
      </c>
      <c r="H112" s="657">
        <f>+INPUT!BE72</f>
        <v>596</v>
      </c>
      <c r="I112" s="635">
        <f>+INPUT!BF72</f>
        <v>37.962962962962962</v>
      </c>
      <c r="J112" s="657">
        <f>+INPUT!BG72</f>
        <v>604</v>
      </c>
      <c r="K112" s="635">
        <f>+INPUT!BH72</f>
        <v>33.333333333333314</v>
      </c>
      <c r="L112" s="657">
        <f>+INPUT!BI72</f>
        <v>632</v>
      </c>
      <c r="M112" s="635">
        <f>+INPUT!BJ72</f>
        <v>34.754797441364616</v>
      </c>
      <c r="N112" s="657">
        <f>+INPUT!BK72</f>
        <v>633</v>
      </c>
      <c r="O112" s="635">
        <f>+INPUT!BL72</f>
        <v>8.5763293310463098</v>
      </c>
      <c r="P112" s="657">
        <f>+INPUT!BM72</f>
        <v>634</v>
      </c>
      <c r="Q112" s="635">
        <f>+INPUT!BN72</f>
        <v>6.3758389261745094</v>
      </c>
      <c r="R112" s="657">
        <f>+INPUT!BO72</f>
        <v>573</v>
      </c>
      <c r="S112" s="635">
        <f>+INPUT!BP72</f>
        <v>-5.1324503311258241</v>
      </c>
      <c r="T112" s="657">
        <f>+INPUT!BQ72</f>
        <v>622</v>
      </c>
      <c r="U112" s="635">
        <f>+INPUT!BR72</f>
        <v>-1.5822784810126507</v>
      </c>
      <c r="V112" s="657">
        <f>+INPUT!BS72</f>
        <v>528</v>
      </c>
      <c r="W112" s="635">
        <f>+INPUT!BT72</f>
        <v>-16.587677725118482</v>
      </c>
      <c r="X112" s="657">
        <f>+INPUT!BU72</f>
        <v>276</v>
      </c>
      <c r="Y112" s="635" t="str">
        <f>+INPUT!BV72</f>
        <v>NM</v>
      </c>
      <c r="Z112" s="657">
        <f>+INPUT!BW72</f>
        <v>574</v>
      </c>
      <c r="AA112" s="635">
        <f>+INPUT!BX72</f>
        <v>0.17452006980802537</v>
      </c>
      <c r="AB112" s="657">
        <f>+INPUT!BY72</f>
        <v>591</v>
      </c>
      <c r="AC112" s="635">
        <f>+INPUT!BZ72</f>
        <v>-4.9839228295819851</v>
      </c>
      <c r="AD112" s="657">
        <f>+INPUT!CA72</f>
        <v>653</v>
      </c>
      <c r="AE112" s="635">
        <f>+INPUT!CB72</f>
        <v>23.674242424242436</v>
      </c>
      <c r="AF112" s="657">
        <f>+INPUT!CC72</f>
        <v>697</v>
      </c>
      <c r="AG112" s="635" t="str">
        <f>+INPUT!CD72</f>
        <v>NM</v>
      </c>
      <c r="AH112" s="657">
        <f>+INPUT!CE72</f>
        <v>759</v>
      </c>
      <c r="AI112" s="635">
        <f>+INPUT!CF72</f>
        <v>32.229965156794407</v>
      </c>
      <c r="AJ112" s="657">
        <f>+INPUT!CG72</f>
        <v>768</v>
      </c>
      <c r="AK112" s="635">
        <f>+INPUT!CH72</f>
        <v>29.949238578680195</v>
      </c>
      <c r="AL112" s="657">
        <f>+INPUT!CI72</f>
        <v>807</v>
      </c>
      <c r="AM112" s="635">
        <f>+INPUT!CJ72</f>
        <v>23.583460949464012</v>
      </c>
      <c r="AN112" s="657">
        <f>+INPUT!CK72</f>
        <v>861</v>
      </c>
      <c r="AO112" s="635">
        <f>+INPUT!CL72</f>
        <v>23.529411764705884</v>
      </c>
      <c r="AP112" s="657">
        <f>+INPUT!CM72</f>
        <v>898</v>
      </c>
      <c r="AQ112" s="635">
        <f>+INPUT!CN72</f>
        <v>18.313570487483517</v>
      </c>
      <c r="AR112" s="657">
        <f>+INPUT!CO72</f>
        <v>933</v>
      </c>
      <c r="AS112" s="635">
        <f>+INPUT!CP72</f>
        <v>21.484375</v>
      </c>
      <c r="AT112" s="657">
        <f>+INPUT!CQ72</f>
        <v>905</v>
      </c>
      <c r="AU112" s="635">
        <f>+INPUT!CR72</f>
        <v>12.143742255266417</v>
      </c>
      <c r="AV112" s="657">
        <f>+INPUT!CS72</f>
        <v>902</v>
      </c>
      <c r="AW112" s="635">
        <f>+INPUT!CT72</f>
        <v>4.7619047619047734</v>
      </c>
      <c r="AX112" s="657">
        <f>+INPUT!CU72</f>
        <v>958</v>
      </c>
      <c r="AY112" s="635">
        <f>+INPUT!CV72</f>
        <v>6.6815144766146943</v>
      </c>
      <c r="AZ112" s="657">
        <f>+INPUT!CW72</f>
        <v>968</v>
      </c>
      <c r="BA112" s="635">
        <f>+INPUT!CX72</f>
        <v>3.7513397642015036</v>
      </c>
      <c r="BB112" s="657">
        <f>+INPUT!CY72</f>
        <v>1018</v>
      </c>
      <c r="BC112" s="635">
        <f>+INPUT!CZ72</f>
        <v>12.48618784530386</v>
      </c>
      <c r="BD112" s="657">
        <f>+INPUT!DA72</f>
        <v>1039</v>
      </c>
      <c r="BE112" s="635">
        <f>+INPUT!DB72</f>
        <v>15.188470066518846</v>
      </c>
      <c r="BF112" s="657">
        <f>+INPUT!DC72</f>
        <v>1068</v>
      </c>
      <c r="BG112" s="635">
        <f>+INPUT!DD72</f>
        <v>11.48225469728601</v>
      </c>
      <c r="BH112" s="657">
        <f>+INPUT!DE72</f>
        <v>1119</v>
      </c>
      <c r="BI112" s="635">
        <f>+INPUT!DF72</f>
        <v>15.599173553718998</v>
      </c>
      <c r="BJ112" s="657">
        <f>+INPUT!DG72</f>
        <v>1120</v>
      </c>
      <c r="BK112" s="635">
        <f>+INPUT!DH72</f>
        <v>10.019646365422403</v>
      </c>
      <c r="BL112" s="657">
        <f>+INPUT!DI72</f>
        <v>1158</v>
      </c>
      <c r="BM112" s="635">
        <f>+INPUT!DJ72</f>
        <v>11.453320500481226</v>
      </c>
      <c r="BN112" s="657">
        <f>+INPUT!DK72</f>
        <v>1157</v>
      </c>
      <c r="BO112" s="635">
        <f>+INPUT!DL72</f>
        <v>8.3333333333333286</v>
      </c>
      <c r="BP112" s="657">
        <f>+INPUT!DM72</f>
        <v>1171</v>
      </c>
      <c r="BQ112" s="635">
        <f>+INPUT!DN72</f>
        <v>4.6470062555853389</v>
      </c>
      <c r="BR112" s="657">
        <f>+INPUT!DO72</f>
        <v>1191</v>
      </c>
      <c r="BS112" s="635">
        <f>+INPUT!DP72</f>
        <v>6.3392857142857224</v>
      </c>
      <c r="BT112" s="657">
        <f>+INPUT!DQ72</f>
        <v>1191</v>
      </c>
      <c r="BU112" s="635">
        <f>+INPUT!DR72</f>
        <v>2.8497409326425043</v>
      </c>
      <c r="BV112" s="657">
        <f>+INPUT!DS72</f>
        <v>1187</v>
      </c>
      <c r="BW112" s="635">
        <f>+INPUT!DT72</f>
        <v>2.5929127052722691</v>
      </c>
      <c r="BX112" s="657">
        <f>+INPUT!DU72</f>
        <v>1200</v>
      </c>
      <c r="BY112" s="635">
        <f>+INPUT!DV72</f>
        <v>2.4765157984628416</v>
      </c>
      <c r="BZ112" s="657">
        <f>+INPUT!DW72</f>
        <v>1167</v>
      </c>
      <c r="CA112" s="635">
        <f>+INPUT!DX72</f>
        <v>-2.0151133501259437</v>
      </c>
      <c r="CB112" s="657">
        <f>+INPUT!DY72</f>
        <v>1141</v>
      </c>
      <c r="CC112" s="635">
        <f>+INPUT!DZ72</f>
        <v>-4.1981528127623733</v>
      </c>
      <c r="CD112" s="657">
        <f>+INPUT!EA72</f>
        <v>1109</v>
      </c>
      <c r="CE112" s="635">
        <f>+INPUT!EB72</f>
        <v>-6.5711878685762457</v>
      </c>
      <c r="CF112" s="657">
        <f>+INPUT!EC72</f>
        <v>1143</v>
      </c>
      <c r="CG112" s="635">
        <f>+INPUT!ED72</f>
        <v>-4.75</v>
      </c>
      <c r="CH112" s="657">
        <f>+INPUT!EE72</f>
        <v>1221</v>
      </c>
      <c r="CI112" s="635">
        <f>+INPUT!EF72</f>
        <v>4.6272493573264768</v>
      </c>
      <c r="CJ112" s="657">
        <f>+INPUT!EG72</f>
        <v>1193</v>
      </c>
      <c r="CK112" s="635">
        <f>+INPUT!EH72</f>
        <v>4.5574057843996485</v>
      </c>
      <c r="CL112" s="657">
        <f>+INPUT!EI72</f>
        <v>1215</v>
      </c>
      <c r="CM112" s="635">
        <f>+INPUT!EJ72</f>
        <v>9.5581605049594174</v>
      </c>
      <c r="CN112" s="657">
        <f>+INPUT!EK72</f>
        <v>1306</v>
      </c>
      <c r="CO112" s="635">
        <f>+INPUT!EL72</f>
        <v>14.260717410323707</v>
      </c>
      <c r="CP112" s="657">
        <f>+INPUT!EM72</f>
        <v>1304</v>
      </c>
      <c r="CQ112" s="635">
        <f>+INPUT!EN72</f>
        <v>6.7977067977067946</v>
      </c>
      <c r="CR112" s="657">
        <f>+INPUT!EO72</f>
        <v>1285</v>
      </c>
      <c r="CS112" s="635">
        <f>+INPUT!EP72</f>
        <v>7.7116512992456023</v>
      </c>
      <c r="CT112" s="657">
        <f>+INPUT!EQ72</f>
        <v>1277.5684669459224</v>
      </c>
      <c r="CU112" s="635">
        <f>+INPUT!ER72</f>
        <v>5.1496680613927879</v>
      </c>
      <c r="CV112" s="657">
        <f>+INPUT!ES72</f>
        <v>1267.5281364875987</v>
      </c>
      <c r="CW112" s="635">
        <f>+INPUT!ET72</f>
        <v>-2.9457782168760644</v>
      </c>
      <c r="CX112" s="657">
        <f>+INPUT!EU72</f>
        <v>1268.4304808173665</v>
      </c>
      <c r="CY112" s="635">
        <f>+INPUT!EV72</f>
        <v>-2.7277238636988841</v>
      </c>
      <c r="CZ112" s="657">
        <f>+INPUT!EW72</f>
        <v>1269.568225544745</v>
      </c>
      <c r="DA112" s="635">
        <f>+INPUT!EX72</f>
        <v>-1.2009163000198413</v>
      </c>
      <c r="DB112" s="655"/>
      <c r="DC112" s="657">
        <f>+INPUT!FP72</f>
        <v>1717</v>
      </c>
      <c r="DD112" s="635">
        <f>+INPUT!FQ72</f>
        <v>8.8086185044359979</v>
      </c>
      <c r="DE112" s="657">
        <f>+INPUT!FR72</f>
        <v>2101</v>
      </c>
      <c r="DF112" s="635">
        <f>+INPUT!FS72</f>
        <v>22.364589400116472</v>
      </c>
      <c r="DG112" s="657">
        <f>+INPUT!FT72</f>
        <v>2503</v>
      </c>
      <c r="DH112" s="635">
        <f>+INPUT!FU72</f>
        <v>19.133745835316503</v>
      </c>
      <c r="DI112" s="657">
        <f>+INPUT!FV72</f>
        <v>2437</v>
      </c>
      <c r="DJ112" s="635">
        <f>+INPUT!FW72</f>
        <v>-2.6368357970435454</v>
      </c>
      <c r="DK112" s="657">
        <f>+INPUT!FX72</f>
        <v>2515</v>
      </c>
      <c r="DL112" s="635">
        <f>+INPUT!FY72</f>
        <v>3.2006565449322864</v>
      </c>
      <c r="DM112" s="657">
        <f>+INPUT!FZ72</f>
        <v>3195</v>
      </c>
      <c r="DN112" s="635">
        <f>+INPUT!GA72</f>
        <v>27.037773359840941</v>
      </c>
      <c r="DO112" s="657">
        <f>+INPUT!GB72</f>
        <v>3638</v>
      </c>
      <c r="DP112" s="635">
        <f>+INPUT!GC72</f>
        <v>13.865414710485126</v>
      </c>
      <c r="DQ112" s="657">
        <f>+INPUT!GD72</f>
        <v>3983</v>
      </c>
      <c r="DR112" s="635">
        <f>+INPUT!GE72</f>
        <v>9.4832325453545963</v>
      </c>
      <c r="DS112" s="657">
        <f>+INPUT!GF72</f>
        <v>4465</v>
      </c>
      <c r="DT112" s="635">
        <f>+INPUT!GG72</f>
        <v>12.101431082098912</v>
      </c>
      <c r="DU112" s="657">
        <f>+INPUT!GH72</f>
        <v>4710</v>
      </c>
      <c r="DV112" s="635">
        <f>+INPUT!GI72</f>
        <v>5.4871220604703268</v>
      </c>
      <c r="DW112" s="657">
        <f>+INPUT!GJ72</f>
        <v>4695</v>
      </c>
      <c r="DX112" s="635">
        <f>+INPUT!GK72</f>
        <v>-0.31847133757962354</v>
      </c>
      <c r="DY112" s="657">
        <f>+INPUT!GL72</f>
        <v>4666</v>
      </c>
      <c r="DZ112" s="635">
        <f>+INPUT!GM72</f>
        <v>-0.61767838125665264</v>
      </c>
      <c r="EA112" s="657">
        <f>+INPUT!GN72</f>
        <v>5110</v>
      </c>
      <c r="EB112" s="635">
        <f>+INPUT!GO72</f>
        <v>9.5156450921560349</v>
      </c>
      <c r="EC112" s="657">
        <f>+INPUT!GP72</f>
        <v>5083.0953097956326</v>
      </c>
      <c r="ED112" s="635">
        <f>+INPUT!GQ72</f>
        <v>-0.52651057151403791</v>
      </c>
      <c r="EE112" s="657">
        <f>+INPUT!GR72</f>
        <v>5068.9696618344469</v>
      </c>
      <c r="EF112" s="635">
        <f>+INPUT!GS72</f>
        <v>-0.27789461145778205</v>
      </c>
      <c r="EG112" s="657">
        <f>+INPUT!GT72</f>
        <v>5070.5351760128078</v>
      </c>
      <c r="EH112" s="635">
        <f>+INPUT!GU72</f>
        <v>3.088426806236555E-2</v>
      </c>
      <c r="EI112" s="657">
        <f>+INPUT!GV72</f>
        <v>5083.7062169996752</v>
      </c>
      <c r="EJ112" s="635">
        <f>+INPUT!GW72</f>
        <v>0.25975642668205978</v>
      </c>
      <c r="EK112" s="657">
        <f>+INPUT!GX72</f>
        <v>5109.2482278215703</v>
      </c>
      <c r="EL112" s="635">
        <f>+INPUT!GY72</f>
        <v>0.50242893140605815</v>
      </c>
      <c r="EM112" s="635">
        <f>+INPUT!GZ72</f>
        <v>-2.942530027305601E-3</v>
      </c>
    </row>
    <row r="113" spans="1:144" s="632" customFormat="1" ht="12.75" hidden="1" customHeight="1" outlineLevel="1" x14ac:dyDescent="0.2">
      <c r="A113" s="644"/>
      <c r="B113" s="655"/>
      <c r="C113" s="635"/>
      <c r="D113" s="655"/>
      <c r="E113" s="635"/>
      <c r="F113" s="655"/>
      <c r="G113" s="635"/>
      <c r="H113" s="655"/>
      <c r="I113" s="635"/>
      <c r="J113" s="655"/>
      <c r="K113" s="635"/>
      <c r="L113" s="655"/>
      <c r="M113" s="635"/>
      <c r="N113" s="655"/>
      <c r="O113" s="635"/>
      <c r="P113" s="655"/>
      <c r="Q113" s="635"/>
      <c r="R113" s="655"/>
      <c r="S113" s="635"/>
      <c r="T113" s="655"/>
      <c r="U113" s="635"/>
      <c r="V113" s="655"/>
      <c r="W113" s="635"/>
      <c r="X113" s="655"/>
      <c r="Y113" s="635"/>
      <c r="Z113" s="655"/>
      <c r="AA113" s="635"/>
      <c r="AB113" s="655"/>
      <c r="AC113" s="635"/>
      <c r="AD113" s="655"/>
      <c r="AE113" s="635"/>
      <c r="AF113" s="655"/>
      <c r="AG113" s="635"/>
      <c r="AH113" s="655"/>
      <c r="AI113" s="635"/>
      <c r="AJ113" s="655"/>
      <c r="AK113" s="635"/>
      <c r="AL113" s="655"/>
      <c r="AM113" s="635"/>
      <c r="AN113" s="655"/>
      <c r="AO113" s="635"/>
      <c r="AP113" s="655"/>
      <c r="AQ113" s="635"/>
      <c r="AR113" s="655"/>
      <c r="AS113" s="635"/>
      <c r="AT113" s="655"/>
      <c r="AU113" s="635"/>
      <c r="AV113" s="655"/>
      <c r="AW113" s="635"/>
      <c r="AX113" s="655"/>
      <c r="AY113" s="635"/>
      <c r="AZ113" s="655"/>
      <c r="BA113" s="635"/>
      <c r="BB113" s="655"/>
      <c r="BC113" s="635"/>
      <c r="BD113" s="655"/>
      <c r="BE113" s="635"/>
      <c r="BF113" s="655"/>
      <c r="BG113" s="635"/>
      <c r="BH113" s="655"/>
      <c r="BI113" s="635"/>
      <c r="BJ113" s="655"/>
      <c r="BK113" s="635"/>
      <c r="BL113" s="655"/>
      <c r="BM113" s="635"/>
      <c r="BN113" s="655"/>
      <c r="BO113" s="635"/>
      <c r="BP113" s="655"/>
      <c r="BQ113" s="635"/>
      <c r="BR113" s="655"/>
      <c r="BS113" s="635"/>
      <c r="BT113" s="655"/>
      <c r="BU113" s="635"/>
      <c r="BV113" s="655"/>
      <c r="BW113" s="635"/>
      <c r="BX113" s="655"/>
      <c r="BY113" s="635"/>
      <c r="BZ113" s="655"/>
      <c r="CA113" s="635"/>
      <c r="CB113" s="655"/>
      <c r="CC113" s="635"/>
      <c r="CD113" s="655"/>
      <c r="CE113" s="635"/>
      <c r="CF113" s="655"/>
      <c r="CG113" s="635"/>
      <c r="CH113" s="655"/>
      <c r="CI113" s="635"/>
      <c r="CJ113" s="655"/>
      <c r="CK113" s="635"/>
      <c r="CL113" s="655"/>
      <c r="CM113" s="635"/>
      <c r="CN113" s="655"/>
      <c r="CO113" s="635"/>
      <c r="CP113" s="655"/>
      <c r="CQ113" s="635"/>
      <c r="CR113" s="655"/>
      <c r="CS113" s="635"/>
      <c r="CT113" s="655"/>
      <c r="CU113" s="635"/>
      <c r="CV113" s="655"/>
      <c r="CW113" s="635"/>
      <c r="CX113" s="655"/>
      <c r="CY113" s="635"/>
      <c r="CZ113" s="655"/>
      <c r="DA113" s="635"/>
      <c r="DB113" s="655"/>
      <c r="DC113" s="655"/>
      <c r="DD113" s="635"/>
      <c r="DE113" s="655"/>
      <c r="DF113" s="635"/>
      <c r="DG113" s="655"/>
      <c r="DH113" s="635"/>
      <c r="DI113" s="655"/>
      <c r="DJ113" s="635"/>
      <c r="DK113" s="655"/>
      <c r="DL113" s="635"/>
      <c r="DM113" s="655"/>
      <c r="DN113" s="635"/>
      <c r="DO113" s="655"/>
      <c r="DP113" s="635"/>
      <c r="DQ113" s="655"/>
      <c r="DR113" s="635"/>
      <c r="DS113" s="655"/>
      <c r="DT113" s="635"/>
      <c r="DU113" s="655"/>
      <c r="DV113" s="635"/>
      <c r="DW113" s="655"/>
      <c r="DX113" s="635"/>
      <c r="DY113" s="655"/>
      <c r="DZ113" s="635"/>
      <c r="EA113" s="655"/>
      <c r="EB113" s="635"/>
      <c r="EC113" s="655"/>
      <c r="ED113" s="635"/>
      <c r="EE113" s="655"/>
      <c r="EF113" s="635"/>
      <c r="EG113" s="655"/>
      <c r="EH113" s="635"/>
      <c r="EI113" s="655"/>
      <c r="EJ113" s="635"/>
      <c r="EK113" s="655"/>
      <c r="EL113" s="635"/>
      <c r="EM113" s="635"/>
    </row>
    <row r="114" spans="1:144" s="632" customFormat="1" ht="12.75" hidden="1" customHeight="1" outlineLevel="1" x14ac:dyDescent="0.2">
      <c r="A114" s="652" t="s">
        <v>129</v>
      </c>
      <c r="B114" s="655"/>
      <c r="C114" s="635"/>
      <c r="D114" s="655"/>
      <c r="E114" s="635"/>
      <c r="F114" s="655"/>
      <c r="G114" s="635"/>
      <c r="H114" s="655"/>
      <c r="I114" s="635"/>
      <c r="J114" s="655"/>
      <c r="K114" s="635"/>
      <c r="L114" s="655"/>
      <c r="M114" s="635"/>
      <c r="N114" s="655"/>
      <c r="O114" s="635"/>
      <c r="P114" s="655"/>
      <c r="Q114" s="635"/>
      <c r="R114" s="655"/>
      <c r="S114" s="635"/>
      <c r="T114" s="655"/>
      <c r="U114" s="635"/>
      <c r="V114" s="655"/>
      <c r="W114" s="635"/>
      <c r="X114" s="655"/>
      <c r="Y114" s="635"/>
      <c r="Z114" s="655"/>
      <c r="AA114" s="635"/>
      <c r="AB114" s="655"/>
      <c r="AC114" s="635"/>
      <c r="AD114" s="655"/>
      <c r="AE114" s="635"/>
      <c r="AF114" s="655"/>
      <c r="AG114" s="635"/>
      <c r="AH114" s="655"/>
      <c r="AI114" s="635"/>
      <c r="AJ114" s="655"/>
      <c r="AK114" s="635"/>
      <c r="AL114" s="655"/>
      <c r="AM114" s="635"/>
      <c r="AN114" s="655"/>
      <c r="AO114" s="635"/>
      <c r="AP114" s="655"/>
      <c r="AQ114" s="635"/>
      <c r="AR114" s="655"/>
      <c r="AS114" s="635"/>
      <c r="AT114" s="655"/>
      <c r="AU114" s="635"/>
      <c r="AV114" s="655"/>
      <c r="AW114" s="635"/>
      <c r="AX114" s="655"/>
      <c r="AY114" s="635"/>
      <c r="AZ114" s="655"/>
      <c r="BA114" s="635"/>
      <c r="BB114" s="655"/>
      <c r="BC114" s="635"/>
      <c r="BD114" s="655"/>
      <c r="BE114" s="635"/>
      <c r="BF114" s="655"/>
      <c r="BG114" s="635"/>
      <c r="BH114" s="655"/>
      <c r="BI114" s="635"/>
      <c r="BJ114" s="655"/>
      <c r="BK114" s="635"/>
      <c r="BL114" s="655"/>
      <c r="BM114" s="635"/>
      <c r="BN114" s="655"/>
      <c r="BO114" s="635"/>
      <c r="BP114" s="655"/>
      <c r="BQ114" s="635"/>
      <c r="BR114" s="655"/>
      <c r="BS114" s="635"/>
      <c r="BT114" s="655"/>
      <c r="BU114" s="635"/>
      <c r="BV114" s="655"/>
      <c r="BW114" s="635"/>
      <c r="BX114" s="655"/>
      <c r="BY114" s="635"/>
      <c r="BZ114" s="655"/>
      <c r="CA114" s="635"/>
      <c r="CB114" s="655"/>
      <c r="CC114" s="635"/>
      <c r="CD114" s="655"/>
      <c r="CE114" s="635"/>
      <c r="CF114" s="655"/>
      <c r="CG114" s="635"/>
      <c r="CH114" s="655"/>
      <c r="CI114" s="635"/>
      <c r="CJ114" s="655"/>
      <c r="CK114" s="635"/>
      <c r="CL114" s="655"/>
      <c r="CM114" s="635"/>
      <c r="CN114" s="655"/>
      <c r="CO114" s="635"/>
      <c r="CP114" s="655"/>
      <c r="CQ114" s="635"/>
      <c r="CR114" s="655"/>
      <c r="CS114" s="635"/>
      <c r="CT114" s="655"/>
      <c r="CU114" s="635"/>
      <c r="CV114" s="655"/>
      <c r="CW114" s="635"/>
      <c r="CX114" s="655"/>
      <c r="CY114" s="635"/>
      <c r="CZ114" s="655"/>
      <c r="DA114" s="635"/>
      <c r="DB114" s="655"/>
      <c r="DC114" s="655"/>
      <c r="DD114" s="635"/>
      <c r="DE114" s="655"/>
      <c r="DF114" s="635"/>
      <c r="DG114" s="655"/>
      <c r="DH114" s="635"/>
      <c r="DI114" s="655"/>
      <c r="DJ114" s="635"/>
      <c r="DK114" s="655"/>
      <c r="DL114" s="635"/>
      <c r="DM114" s="655"/>
      <c r="DN114" s="635"/>
      <c r="DO114" s="655"/>
      <c r="DP114" s="635"/>
      <c r="DQ114" s="655"/>
      <c r="DR114" s="635"/>
      <c r="DS114" s="655"/>
      <c r="DT114" s="635"/>
      <c r="DU114" s="655"/>
      <c r="DV114" s="635"/>
      <c r="DW114" s="655"/>
      <c r="DX114" s="635"/>
      <c r="DY114" s="655"/>
      <c r="DZ114" s="635"/>
      <c r="EA114" s="655"/>
      <c r="EB114" s="635"/>
      <c r="EC114" s="655"/>
      <c r="ED114" s="635"/>
      <c r="EE114" s="655"/>
      <c r="EF114" s="635"/>
      <c r="EG114" s="655"/>
      <c r="EH114" s="635"/>
      <c r="EI114" s="655"/>
      <c r="EJ114" s="635"/>
      <c r="EK114" s="655"/>
      <c r="EL114" s="635"/>
      <c r="EM114" s="635"/>
    </row>
    <row r="115" spans="1:144" s="632" customFormat="1" ht="12.75" hidden="1" customHeight="1" outlineLevel="1" x14ac:dyDescent="0.2">
      <c r="A115" s="644" t="str">
        <f>+INPUT!B80</f>
        <v>Benefits</v>
      </c>
      <c r="B115" s="655">
        <f>+INPUT!AY80</f>
        <v>49</v>
      </c>
      <c r="C115" s="635">
        <f>+INPUT!AZ80</f>
        <v>-20.967741935483872</v>
      </c>
      <c r="D115" s="655">
        <f>+INPUT!BA80</f>
        <v>51</v>
      </c>
      <c r="E115" s="635">
        <f>+INPUT!BB80</f>
        <v>0</v>
      </c>
      <c r="F115" s="655">
        <f>+INPUT!BC80</f>
        <v>66</v>
      </c>
      <c r="G115" s="635" t="str">
        <f>+INPUT!BD80</f>
        <v>NM</v>
      </c>
      <c r="H115" s="655">
        <f>+INPUT!BE80</f>
        <v>67</v>
      </c>
      <c r="I115" s="635">
        <f>+INPUT!BF80</f>
        <v>71.794871794871796</v>
      </c>
      <c r="J115" s="655">
        <f>+INPUT!BG80</f>
        <v>59</v>
      </c>
      <c r="K115" s="635">
        <f>+INPUT!BH80</f>
        <v>20.408163265306129</v>
      </c>
      <c r="L115" s="655">
        <f>+INPUT!BI80</f>
        <v>59</v>
      </c>
      <c r="M115" s="635">
        <f>+INPUT!BJ80</f>
        <v>15.686274509803937</v>
      </c>
      <c r="N115" s="655">
        <f>+INPUT!BK80</f>
        <v>31</v>
      </c>
      <c r="O115" s="635" t="str">
        <f>+INPUT!BL80</f>
        <v>NM</v>
      </c>
      <c r="P115" s="655">
        <f>+INPUT!BM80</f>
        <v>62</v>
      </c>
      <c r="Q115" s="635">
        <f>+INPUT!BN80</f>
        <v>-7.4626865671641838</v>
      </c>
      <c r="R115" s="655">
        <f>+INPUT!BO80</f>
        <v>71</v>
      </c>
      <c r="S115" s="635">
        <f>+INPUT!BP80</f>
        <v>20.338983050847446</v>
      </c>
      <c r="T115" s="655">
        <f>+INPUT!BQ80</f>
        <v>58</v>
      </c>
      <c r="U115" s="635">
        <f>+INPUT!BR80</f>
        <v>-1.6949152542372872</v>
      </c>
      <c r="V115" s="655">
        <f>+INPUT!BS80</f>
        <v>344</v>
      </c>
      <c r="W115" s="635" t="str">
        <f>+INPUT!BT80</f>
        <v>NM</v>
      </c>
      <c r="X115" s="655">
        <f>+INPUT!BU80</f>
        <v>474</v>
      </c>
      <c r="Y115" s="635" t="str">
        <f>+INPUT!BV80</f>
        <v>NM</v>
      </c>
      <c r="Z115" s="655">
        <f>+INPUT!BW80</f>
        <v>304</v>
      </c>
      <c r="AA115" s="635" t="str">
        <f>+INPUT!BX80</f>
        <v>NM</v>
      </c>
      <c r="AB115" s="655">
        <f>+INPUT!BY80</f>
        <v>-179</v>
      </c>
      <c r="AC115" s="635" t="str">
        <f>+INPUT!BZ80</f>
        <v>NM</v>
      </c>
      <c r="AD115" s="655">
        <f>+INPUT!CA80</f>
        <v>-85</v>
      </c>
      <c r="AE115" s="635" t="str">
        <f>+INPUT!CB80</f>
        <v>NM</v>
      </c>
      <c r="AF115" s="655">
        <f>+INPUT!CC80</f>
        <v>49</v>
      </c>
      <c r="AG115" s="635" t="str">
        <f>+INPUT!CD80</f>
        <v>NM</v>
      </c>
      <c r="AH115" s="655">
        <f>+INPUT!CE80</f>
        <v>39</v>
      </c>
      <c r="AI115" s="635" t="str">
        <f>+INPUT!CF80</f>
        <v>NM</v>
      </c>
      <c r="AJ115" s="655">
        <f>+INPUT!CG80</f>
        <v>298</v>
      </c>
      <c r="AK115" s="635" t="str">
        <f>+INPUT!CH80</f>
        <v>NM</v>
      </c>
      <c r="AL115" s="655">
        <f>+INPUT!CI80</f>
        <v>-49</v>
      </c>
      <c r="AM115" s="635">
        <f>+INPUT!CJ80</f>
        <v>-42.352941176470594</v>
      </c>
      <c r="AN115" s="655">
        <f>+INPUT!CK80</f>
        <v>3</v>
      </c>
      <c r="AO115" s="635" t="str">
        <f>+INPUT!CL80</f>
        <v>NM</v>
      </c>
      <c r="AP115" s="655">
        <f>+INPUT!CM80</f>
        <v>60</v>
      </c>
      <c r="AQ115" s="635">
        <f>+INPUT!CN80</f>
        <v>53.846153846153868</v>
      </c>
      <c r="AR115" s="655">
        <f>+INPUT!CO80</f>
        <v>110</v>
      </c>
      <c r="AS115" s="635" t="str">
        <f>+INPUT!CP80</f>
        <v>NM</v>
      </c>
      <c r="AT115" s="655">
        <f>+INPUT!CQ80</f>
        <v>331</v>
      </c>
      <c r="AU115" s="635" t="str">
        <f>+INPUT!CR80</f>
        <v>NM</v>
      </c>
      <c r="AV115" s="655">
        <f>+INPUT!CS80</f>
        <v>-25</v>
      </c>
      <c r="AW115" s="635" t="str">
        <f>+INPUT!CT80</f>
        <v>NM</v>
      </c>
      <c r="AX115" s="655">
        <f>+INPUT!CU80</f>
        <v>-45</v>
      </c>
      <c r="AY115" s="635" t="str">
        <f>+INPUT!CV80</f>
        <v>NM</v>
      </c>
      <c r="AZ115" s="655">
        <f>+INPUT!CW80</f>
        <v>178</v>
      </c>
      <c r="BA115" s="635">
        <f>+INPUT!CX80</f>
        <v>61.818181818181813</v>
      </c>
      <c r="BB115" s="655">
        <f>+INPUT!CY80</f>
        <v>385</v>
      </c>
      <c r="BC115" s="635">
        <f>+INPUT!CZ80</f>
        <v>16.314199395770387</v>
      </c>
      <c r="BD115" s="655">
        <f>+INPUT!DA80</f>
        <v>55</v>
      </c>
      <c r="BE115" s="635" t="str">
        <f>+INPUT!DB80</f>
        <v>NM</v>
      </c>
      <c r="BF115" s="655">
        <f>+INPUT!DC80</f>
        <v>42</v>
      </c>
      <c r="BG115" s="635" t="str">
        <f>+INPUT!DD80</f>
        <v>NM</v>
      </c>
      <c r="BH115" s="655">
        <f>+INPUT!DE80</f>
        <v>73</v>
      </c>
      <c r="BI115" s="635" t="str">
        <f>+INPUT!DF80</f>
        <v>NM</v>
      </c>
      <c r="BJ115" s="655">
        <f>+INPUT!DG80</f>
        <v>-68</v>
      </c>
      <c r="BK115" s="635" t="str">
        <f>+INPUT!DH80</f>
        <v>NM</v>
      </c>
      <c r="BL115" s="655">
        <f>+INPUT!DI80</f>
        <v>30</v>
      </c>
      <c r="BM115" s="635">
        <f>+INPUT!DJ80</f>
        <v>-45.45454545454546</v>
      </c>
      <c r="BN115" s="655">
        <f>+INPUT!DK80</f>
        <v>115</v>
      </c>
      <c r="BO115" s="635" t="str">
        <f>+INPUT!DL80</f>
        <v>NM</v>
      </c>
      <c r="BP115" s="655">
        <f>+INPUT!DM80</f>
        <v>99</v>
      </c>
      <c r="BQ115" s="635">
        <f>+INPUT!DN80</f>
        <v>35.616438356164394</v>
      </c>
      <c r="BR115" s="655">
        <f>+INPUT!DO80</f>
        <v>123</v>
      </c>
      <c r="BS115" s="635" t="str">
        <f>+INPUT!DP80</f>
        <v>NM</v>
      </c>
      <c r="BT115" s="655">
        <f>+INPUT!DQ80</f>
        <v>144</v>
      </c>
      <c r="BU115" s="635" t="str">
        <f>+INPUT!DR80</f>
        <v>NM</v>
      </c>
      <c r="BV115" s="655">
        <f>+INPUT!DS80</f>
        <v>48</v>
      </c>
      <c r="BW115" s="635" t="str">
        <f>+INPUT!DT80</f>
        <v>NM</v>
      </c>
      <c r="BX115" s="655">
        <f>+INPUT!DU80</f>
        <v>33</v>
      </c>
      <c r="BY115" s="635" t="str">
        <f>+INPUT!DV80</f>
        <v>NM</v>
      </c>
      <c r="BZ115" s="655">
        <f>+INPUT!DW80</f>
        <v>154</v>
      </c>
      <c r="CA115" s="635">
        <f>+INPUT!DX80</f>
        <v>25.203252032520311</v>
      </c>
      <c r="CB115" s="655">
        <f>+INPUT!DY80</f>
        <v>79</v>
      </c>
      <c r="CC115" s="635">
        <f>+INPUT!DZ80</f>
        <v>-45.138888888888886</v>
      </c>
      <c r="CD115" s="655">
        <f>+INPUT!EA80</f>
        <v>111</v>
      </c>
      <c r="CE115" s="635" t="str">
        <f>+INPUT!EB80</f>
        <v>NM</v>
      </c>
      <c r="CF115" s="655">
        <f>+INPUT!EC80</f>
        <v>57</v>
      </c>
      <c r="CG115" s="635">
        <f>+INPUT!ED80</f>
        <v>72.72727272727272</v>
      </c>
      <c r="CH115" s="655">
        <f>+INPUT!EE80</f>
        <v>38</v>
      </c>
      <c r="CI115" s="635" t="str">
        <f>+INPUT!EF80</f>
        <v>NM</v>
      </c>
      <c r="CJ115" s="655">
        <f>+INPUT!EG80</f>
        <v>100</v>
      </c>
      <c r="CK115" s="635">
        <f>+INPUT!EH80</f>
        <v>26.582278481012665</v>
      </c>
      <c r="CL115" s="655">
        <f>+INPUT!EI80</f>
        <v>88</v>
      </c>
      <c r="CM115" s="635">
        <f>+INPUT!EJ80</f>
        <v>-20.72072072072072</v>
      </c>
      <c r="CN115" s="655">
        <f>+INPUT!EK80</f>
        <v>71</v>
      </c>
      <c r="CO115" s="635">
        <f>+INPUT!EL80</f>
        <v>24.561403508771946</v>
      </c>
      <c r="CP115" s="655">
        <f>+INPUT!EM80</f>
        <v>87</v>
      </c>
      <c r="CQ115" s="635" t="str">
        <f>+INPUT!EN80</f>
        <v>NM</v>
      </c>
      <c r="CR115" s="655">
        <f>+INPUT!EO80</f>
        <v>72</v>
      </c>
      <c r="CS115" s="635">
        <f>+INPUT!EP80</f>
        <v>-28</v>
      </c>
      <c r="CT115" s="655">
        <f>+INPUT!EQ80</f>
        <v>86.809092120381848</v>
      </c>
      <c r="CU115" s="635">
        <f>+INPUT!ER80</f>
        <v>-1.3533044086569816</v>
      </c>
      <c r="CV115" s="655">
        <f>+INPUT!ES80</f>
        <v>85.517984940177826</v>
      </c>
      <c r="CW115" s="635">
        <f>+INPUT!ET80</f>
        <v>20.447866112926505</v>
      </c>
      <c r="CX115" s="655">
        <f>+INPUT!EU80</f>
        <v>85.240327378758025</v>
      </c>
      <c r="CY115" s="635">
        <f>+INPUT!EV80</f>
        <v>-2.0226122083241194</v>
      </c>
      <c r="CZ115" s="655">
        <f>+INPUT!EW80</f>
        <v>84.981308985369935</v>
      </c>
      <c r="DA115" s="635">
        <f>+INPUT!EX80</f>
        <v>18.029595813013799</v>
      </c>
      <c r="DB115" s="680"/>
      <c r="DC115" s="655">
        <f>+INPUT!FP80</f>
        <v>168</v>
      </c>
      <c r="DD115" s="635">
        <f>+INPUT!FQ80</f>
        <v>-16.417910447761201</v>
      </c>
      <c r="DE115" s="655">
        <f>+INPUT!FR80</f>
        <v>233</v>
      </c>
      <c r="DF115" s="635">
        <f>+INPUT!FS80</f>
        <v>38.690476190476176</v>
      </c>
      <c r="DG115" s="655">
        <f>+INPUT!FT80</f>
        <v>211</v>
      </c>
      <c r="DH115" s="635">
        <f>+INPUT!FU80</f>
        <v>-9.4420600858369141</v>
      </c>
      <c r="DI115" s="655">
        <f>+INPUT!FV80</f>
        <v>947</v>
      </c>
      <c r="DJ115" s="635" t="str">
        <f>+INPUT!FW80</f>
        <v>NM</v>
      </c>
      <c r="DK115" s="655">
        <f>+INPUT!FX80</f>
        <v>89</v>
      </c>
      <c r="DL115" s="635" t="str">
        <f>+INPUT!FY80</f>
        <v>NM</v>
      </c>
      <c r="DM115" s="655">
        <f>+INPUT!FZ80</f>
        <v>291</v>
      </c>
      <c r="DN115" s="635" t="str">
        <f>+INPUT!GA80</f>
        <v>NM</v>
      </c>
      <c r="DO115" s="655">
        <f>+INPUT!GB80</f>
        <v>476</v>
      </c>
      <c r="DP115" s="635">
        <f>+INPUT!GC80</f>
        <v>63.573883161512015</v>
      </c>
      <c r="DQ115" s="655">
        <f>+INPUT!GD80</f>
        <v>573</v>
      </c>
      <c r="DR115" s="635">
        <f>+INPUT!GE80</f>
        <v>20.378151260504197</v>
      </c>
      <c r="DS115" s="655">
        <f>+INPUT!GF80</f>
        <v>77</v>
      </c>
      <c r="DT115" s="635" t="str">
        <f>+INPUT!GG80</f>
        <v>NM</v>
      </c>
      <c r="DU115" s="655">
        <f>+INPUT!GH80</f>
        <v>481</v>
      </c>
      <c r="DV115" s="635" t="str">
        <f>+INPUT!GI80</f>
        <v>NM</v>
      </c>
      <c r="DW115" s="655">
        <f>+INPUT!GJ80</f>
        <v>314</v>
      </c>
      <c r="DX115" s="635">
        <f>+INPUT!GK80</f>
        <v>-34.719334719334711</v>
      </c>
      <c r="DY115" s="655">
        <f>+INPUT!GL80</f>
        <v>306</v>
      </c>
      <c r="DZ115" s="635">
        <f>+INPUT!GM80</f>
        <v>-2.5477707006369457</v>
      </c>
      <c r="EA115" s="655">
        <f>+INPUT!GN80</f>
        <v>318</v>
      </c>
      <c r="EB115" s="635">
        <f>+INPUT!GO80</f>
        <v>3.9215686274509949</v>
      </c>
      <c r="EC115" s="655">
        <f>+INPUT!GP80</f>
        <v>342.54871342468761</v>
      </c>
      <c r="ED115" s="635">
        <f>+INPUT!GQ80</f>
        <v>7.7197212027319466</v>
      </c>
      <c r="EE115" s="655">
        <f>+INPUT!GR80</f>
        <v>340.92466273054583</v>
      </c>
      <c r="EF115" s="635">
        <f>+INPUT!GS80</f>
        <v>-0.47410795326160837</v>
      </c>
      <c r="EG115" s="655">
        <f>+INPUT!GT80</f>
        <v>341.42326425703601</v>
      </c>
      <c r="EH115" s="635">
        <f>+INPUT!GU80</f>
        <v>0.14624976746966922</v>
      </c>
      <c r="EI115" s="655">
        <f>+INPUT!GV80</f>
        <v>342.92719377943081</v>
      </c>
      <c r="EJ115" s="635">
        <f>+INPUT!GW80</f>
        <v>0.44048829703137926</v>
      </c>
      <c r="EK115" s="655">
        <f>+INPUT!GX80</f>
        <v>345.5356061743226</v>
      </c>
      <c r="EL115" s="635">
        <f>+INPUT!GY80</f>
        <v>0.76063153993248989</v>
      </c>
      <c r="EM115" s="635">
        <f>+INPUT!GZ80</f>
        <v>1.6747556353318371</v>
      </c>
    </row>
    <row r="116" spans="1:144" s="632" customFormat="1" ht="12.75" hidden="1" customHeight="1" outlineLevel="1" x14ac:dyDescent="0.2">
      <c r="A116" s="644" t="str">
        <f>+INPUT!B81</f>
        <v>Interest Credited</v>
      </c>
      <c r="B116" s="655">
        <f>+INPUT!AY81</f>
        <v>83</v>
      </c>
      <c r="C116" s="635">
        <f>+INPUT!AZ81</f>
        <v>-1.1904761904761898</v>
      </c>
      <c r="D116" s="655">
        <f>+INPUT!BA81</f>
        <v>83</v>
      </c>
      <c r="E116" s="635">
        <f>+INPUT!BB81</f>
        <v>-4.5977011494252906</v>
      </c>
      <c r="F116" s="655">
        <f>+INPUT!BC81</f>
        <v>93</v>
      </c>
      <c r="G116" s="635">
        <f>+INPUT!BD81</f>
        <v>6.8965517241379217</v>
      </c>
      <c r="H116" s="655">
        <f>+INPUT!BE81</f>
        <v>97</v>
      </c>
      <c r="I116" s="635">
        <f>+INPUT!BF81</f>
        <v>22.784810126582286</v>
      </c>
      <c r="J116" s="655">
        <f>+INPUT!BG81</f>
        <v>89</v>
      </c>
      <c r="K116" s="635">
        <f>+INPUT!BH81</f>
        <v>7.228915662650607</v>
      </c>
      <c r="L116" s="655">
        <f>+INPUT!BI81</f>
        <v>93</v>
      </c>
      <c r="M116" s="635">
        <f>+INPUT!BJ81</f>
        <v>12.048192771084331</v>
      </c>
      <c r="N116" s="655">
        <f>+INPUT!BK81</f>
        <v>87</v>
      </c>
      <c r="O116" s="635">
        <f>+INPUT!BL81</f>
        <v>-6.4516129032258078</v>
      </c>
      <c r="P116" s="655">
        <f>+INPUT!BM81</f>
        <v>90</v>
      </c>
      <c r="Q116" s="635">
        <f>+INPUT!BN81</f>
        <v>-7.2164948453608275</v>
      </c>
      <c r="R116" s="655">
        <f>+INPUT!BO81</f>
        <v>102</v>
      </c>
      <c r="S116" s="635">
        <f>+INPUT!BP81</f>
        <v>14.606741573033702</v>
      </c>
      <c r="T116" s="655">
        <f>+INPUT!BQ81</f>
        <v>112</v>
      </c>
      <c r="U116" s="635">
        <f>+INPUT!BR81</f>
        <v>20.430107526881727</v>
      </c>
      <c r="V116" s="655">
        <f>+INPUT!BS81</f>
        <v>141</v>
      </c>
      <c r="W116" s="635">
        <f>+INPUT!BT81</f>
        <v>62.068965517241367</v>
      </c>
      <c r="X116" s="655">
        <f>+INPUT!BU81</f>
        <v>157</v>
      </c>
      <c r="Y116" s="635">
        <f>+INPUT!BV81</f>
        <v>74.444444444444457</v>
      </c>
      <c r="Z116" s="655">
        <f>+INPUT!BW81</f>
        <v>174</v>
      </c>
      <c r="AA116" s="635">
        <f>+INPUT!BX81</f>
        <v>70.588235294117652</v>
      </c>
      <c r="AB116" s="655">
        <f>+INPUT!BY81</f>
        <v>138</v>
      </c>
      <c r="AC116" s="635">
        <f>+INPUT!BZ81</f>
        <v>23.214285714285722</v>
      </c>
      <c r="AD116" s="655">
        <f>+INPUT!CA81</f>
        <v>155</v>
      </c>
      <c r="AE116" s="635">
        <f>+INPUT!CB81</f>
        <v>9.929078014184384</v>
      </c>
      <c r="AF116" s="655">
        <f>+INPUT!CC81</f>
        <v>151</v>
      </c>
      <c r="AG116" s="635">
        <f>+INPUT!CD81</f>
        <v>-3.8216560509554114</v>
      </c>
      <c r="AH116" s="655">
        <f>+INPUT!CE81</f>
        <v>157</v>
      </c>
      <c r="AI116" s="635">
        <f>+INPUT!CF81</f>
        <v>-9.7701149425287355</v>
      </c>
      <c r="AJ116" s="655">
        <f>+INPUT!CG81</f>
        <v>182</v>
      </c>
      <c r="AK116" s="635">
        <f>+INPUT!CH81</f>
        <v>31.884057971014499</v>
      </c>
      <c r="AL116" s="655">
        <f>+INPUT!CI81</f>
        <v>98</v>
      </c>
      <c r="AM116" s="635">
        <f>+INPUT!CJ81</f>
        <v>-36.774193548387103</v>
      </c>
      <c r="AN116" s="655">
        <f>+INPUT!CK81</f>
        <v>144</v>
      </c>
      <c r="AO116" s="635">
        <f>+INPUT!CL81</f>
        <v>-4.6357615894039697</v>
      </c>
      <c r="AP116" s="655">
        <f>+INPUT!CM81</f>
        <v>136</v>
      </c>
      <c r="AQ116" s="635">
        <f>+INPUT!CN81</f>
        <v>-13.375796178343947</v>
      </c>
      <c r="AR116" s="655">
        <f>+INPUT!CO81</f>
        <v>136</v>
      </c>
      <c r="AS116" s="635">
        <f>+INPUT!CP81</f>
        <v>-25.27472527472527</v>
      </c>
      <c r="AT116" s="655">
        <f>+INPUT!CQ81</f>
        <v>182</v>
      </c>
      <c r="AU116" s="635">
        <f>+INPUT!CR81</f>
        <v>85.714285714285722</v>
      </c>
      <c r="AV116" s="655">
        <f>+INPUT!CS81</f>
        <v>116</v>
      </c>
      <c r="AW116" s="635">
        <f>+INPUT!CT81</f>
        <v>-19.444444444444443</v>
      </c>
      <c r="AX116" s="655">
        <f>+INPUT!CU81</f>
        <v>117</v>
      </c>
      <c r="AY116" s="635">
        <f>+INPUT!CV81</f>
        <v>-13.970588235294116</v>
      </c>
      <c r="AZ116" s="655">
        <f>+INPUT!CW81</f>
        <v>142</v>
      </c>
      <c r="BA116" s="635">
        <f>+INPUT!CX81</f>
        <v>4.4117647058823621</v>
      </c>
      <c r="BB116" s="655">
        <f>+INPUT!CY81</f>
        <v>72</v>
      </c>
      <c r="BC116" s="635" t="str">
        <f>+INPUT!CZ81</f>
        <v>NM</v>
      </c>
      <c r="BD116" s="655">
        <f>+INPUT!DA81</f>
        <v>121</v>
      </c>
      <c r="BE116" s="635">
        <f>+INPUT!DB81</f>
        <v>4.3103448275862064</v>
      </c>
      <c r="BF116" s="655">
        <f>+INPUT!DC81</f>
        <v>118</v>
      </c>
      <c r="BG116" s="635">
        <f>+INPUT!DD81</f>
        <v>0.85470085470085166</v>
      </c>
      <c r="BH116" s="655">
        <f>+INPUT!DE81</f>
        <v>113</v>
      </c>
      <c r="BI116" s="635">
        <f>+INPUT!DF81</f>
        <v>-20.422535211267601</v>
      </c>
      <c r="BJ116" s="655">
        <f>+INPUT!DG81</f>
        <v>54</v>
      </c>
      <c r="BK116" s="635">
        <f>+INPUT!DH81</f>
        <v>-25</v>
      </c>
      <c r="BL116" s="655">
        <f>+INPUT!DI81</f>
        <v>96</v>
      </c>
      <c r="BM116" s="635">
        <f>+INPUT!DJ81</f>
        <v>-20.661157024793383</v>
      </c>
      <c r="BN116" s="655">
        <f>+INPUT!DK81</f>
        <v>105</v>
      </c>
      <c r="BO116" s="635">
        <f>+INPUT!DL81</f>
        <v>-11.016949152542381</v>
      </c>
      <c r="BP116" s="655">
        <f>+INPUT!DM81</f>
        <v>107</v>
      </c>
      <c r="BQ116" s="635">
        <f>+INPUT!DN81</f>
        <v>-5.3097345132743357</v>
      </c>
      <c r="BR116" s="655">
        <f>+INPUT!DO81</f>
        <v>107</v>
      </c>
      <c r="BS116" s="635">
        <f>+INPUT!DP81</f>
        <v>98.148148148148152</v>
      </c>
      <c r="BT116" s="655">
        <f>+INPUT!DQ81</f>
        <v>110</v>
      </c>
      <c r="BU116" s="635">
        <f>+INPUT!DR81</f>
        <v>14.583333333333329</v>
      </c>
      <c r="BV116" s="655">
        <f>+INPUT!DS81</f>
        <v>81</v>
      </c>
      <c r="BW116" s="635">
        <f>+INPUT!DT81</f>
        <v>-22.857142857142847</v>
      </c>
      <c r="BX116" s="655">
        <f>+INPUT!DU81</f>
        <v>81</v>
      </c>
      <c r="BY116" s="635">
        <f>+INPUT!DV81</f>
        <v>-24.299065420560751</v>
      </c>
      <c r="BZ116" s="655">
        <f>+INPUT!DW81</f>
        <v>106</v>
      </c>
      <c r="CA116" s="635">
        <f>+INPUT!DX81</f>
        <v>-0.93457943925233167</v>
      </c>
      <c r="CB116" s="655">
        <f>+INPUT!DY81</f>
        <v>95</v>
      </c>
      <c r="CC116" s="635">
        <f>+INPUT!DZ81</f>
        <v>-13.63636363636364</v>
      </c>
      <c r="CD116" s="655">
        <f>+INPUT!EA81</f>
        <v>100</v>
      </c>
      <c r="CE116" s="635">
        <f>+INPUT!EB81</f>
        <v>23.456790123456784</v>
      </c>
      <c r="CF116" s="655">
        <f>+INPUT!EC81</f>
        <v>98</v>
      </c>
      <c r="CG116" s="635">
        <f>+INPUT!ED81</f>
        <v>20.987654320987659</v>
      </c>
      <c r="CH116" s="655">
        <f>+INPUT!EE81</f>
        <v>72</v>
      </c>
      <c r="CI116" s="635">
        <f>+INPUT!EF81</f>
        <v>-32.075471698113205</v>
      </c>
      <c r="CJ116" s="655">
        <f>+INPUT!EG81</f>
        <v>92</v>
      </c>
      <c r="CK116" s="635">
        <f>+INPUT!EH81</f>
        <v>-3.1578947368421098</v>
      </c>
      <c r="CL116" s="655">
        <f>+INPUT!EI81</f>
        <v>87</v>
      </c>
      <c r="CM116" s="635">
        <f>+INPUT!EJ81</f>
        <v>-13</v>
      </c>
      <c r="CN116" s="655">
        <f>+INPUT!EK81</f>
        <v>77</v>
      </c>
      <c r="CO116" s="635">
        <f>+INPUT!EL81</f>
        <v>-21.428571428571431</v>
      </c>
      <c r="CP116" s="655">
        <f>+INPUT!EM81</f>
        <v>81</v>
      </c>
      <c r="CQ116" s="635">
        <f>+INPUT!EN81</f>
        <v>12.5</v>
      </c>
      <c r="CR116" s="655">
        <f>+INPUT!EO81</f>
        <v>85</v>
      </c>
      <c r="CS116" s="635">
        <f>+INPUT!EP81</f>
        <v>-7.6086956521739069</v>
      </c>
      <c r="CT116" s="655">
        <f>+INPUT!EQ81</f>
        <v>84.779203230378357</v>
      </c>
      <c r="CU116" s="635">
        <f>+INPUT!ER81</f>
        <v>-2.5526399650823492</v>
      </c>
      <c r="CV116" s="655">
        <f>+INPUT!ES81</f>
        <v>83.758731630582403</v>
      </c>
      <c r="CW116" s="635">
        <f>+INPUT!ET81</f>
        <v>8.7775735462109168</v>
      </c>
      <c r="CX116" s="655">
        <f>+INPUT!EU81</f>
        <v>83.707508055261684</v>
      </c>
      <c r="CY116" s="635">
        <f>+INPUT!EV81</f>
        <v>3.3426025373600936</v>
      </c>
      <c r="CZ116" s="655">
        <f>+INPUT!EW81</f>
        <v>83.674338958187903</v>
      </c>
      <c r="DA116" s="635">
        <f>+INPUT!EX81</f>
        <v>-1.5596012256612823</v>
      </c>
      <c r="DB116" s="680"/>
      <c r="DC116" s="655">
        <f>+INPUT!FP81</f>
        <v>337</v>
      </c>
      <c r="DD116" s="635">
        <f>+INPUT!FQ81</f>
        <v>-5.865921787709496</v>
      </c>
      <c r="DE116" s="655">
        <f>+INPUT!FR81</f>
        <v>356</v>
      </c>
      <c r="DF116" s="635">
        <f>+INPUT!FS81</f>
        <v>5.6379821958457086</v>
      </c>
      <c r="DG116" s="655">
        <f>+INPUT!FT81</f>
        <v>359</v>
      </c>
      <c r="DH116" s="635">
        <f>+INPUT!FU81</f>
        <v>0.84269662921347788</v>
      </c>
      <c r="DI116" s="655">
        <f>+INPUT!FV81</f>
        <v>568</v>
      </c>
      <c r="DJ116" s="635">
        <f>+INPUT!FW81</f>
        <v>58.217270194986071</v>
      </c>
      <c r="DK116" s="655">
        <f>+INPUT!FX81</f>
        <v>618</v>
      </c>
      <c r="DL116" s="635">
        <f>+INPUT!FY81</f>
        <v>8.8028169014084483</v>
      </c>
      <c r="DM116" s="655">
        <f>+INPUT!FZ81</f>
        <v>581</v>
      </c>
      <c r="DN116" s="635">
        <f>+INPUT!GA81</f>
        <v>-5.9870550161812304</v>
      </c>
      <c r="DO116" s="655">
        <f>+INPUT!GB81</f>
        <v>570</v>
      </c>
      <c r="DP116" s="635">
        <f>+INPUT!GC81</f>
        <v>-1.8932874354561164</v>
      </c>
      <c r="DQ116" s="655">
        <f>+INPUT!GD81</f>
        <v>452</v>
      </c>
      <c r="DR116" s="635">
        <f>+INPUT!GE81</f>
        <v>-20.701754385964904</v>
      </c>
      <c r="DS116" s="655">
        <f>+INPUT!GF81</f>
        <v>381</v>
      </c>
      <c r="DT116" s="635">
        <f>+INPUT!GG81</f>
        <v>-15.707964601769902</v>
      </c>
      <c r="DU116" s="655">
        <f>+INPUT!GH81</f>
        <v>429</v>
      </c>
      <c r="DV116" s="635">
        <f>+INPUT!GI81</f>
        <v>12.5984251968504</v>
      </c>
      <c r="DW116" s="655">
        <f>+INPUT!GJ81</f>
        <v>363</v>
      </c>
      <c r="DX116" s="635">
        <f>+INPUT!GK81</f>
        <v>-15.384615384615387</v>
      </c>
      <c r="DY116" s="655">
        <f>+INPUT!GL81</f>
        <v>362</v>
      </c>
      <c r="DZ116" s="635">
        <f>+INPUT!GM81</f>
        <v>-0.27548209366391063</v>
      </c>
      <c r="EA116" s="655">
        <f>+INPUT!GN81</f>
        <v>330</v>
      </c>
      <c r="EB116" s="635">
        <f>+INPUT!GO81</f>
        <v>-8.8397790055248606</v>
      </c>
      <c r="EC116" s="655">
        <f>+INPUT!GP81</f>
        <v>335.91978187441038</v>
      </c>
      <c r="ED116" s="635">
        <f>+INPUT!GQ81</f>
        <v>1.7938732952758727</v>
      </c>
      <c r="EE116" s="655">
        <f>+INPUT!GR81</f>
        <v>351.45762199926548</v>
      </c>
      <c r="EF116" s="635">
        <f>+INPUT!GS81</f>
        <v>4.6254614831418905</v>
      </c>
      <c r="EG116" s="655">
        <f>+INPUT!GT81</f>
        <v>369.23091393803639</v>
      </c>
      <c r="EH116" s="635">
        <f>+INPUT!GU81</f>
        <v>5.0570227607151139</v>
      </c>
      <c r="EI116" s="655">
        <f>+INPUT!GV81</f>
        <v>388.33123552871507</v>
      </c>
      <c r="EJ116" s="635">
        <f>+INPUT!GW81</f>
        <v>5.173001736762501</v>
      </c>
      <c r="EK116" s="655">
        <f>+INPUT!GX81</f>
        <v>409.04147228767221</v>
      </c>
      <c r="EL116" s="635">
        <f>+INPUT!GY81</f>
        <v>5.3331369882620976</v>
      </c>
      <c r="EM116" s="635">
        <f>+INPUT!GZ81</f>
        <v>4.3880249289329987</v>
      </c>
    </row>
    <row r="117" spans="1:144" s="632" customFormat="1" ht="12.75" hidden="1" customHeight="1" outlineLevel="1" x14ac:dyDescent="0.2">
      <c r="A117" s="644" t="str">
        <f>+INPUT!B82</f>
        <v>Interest Expense</v>
      </c>
      <c r="B117" s="655">
        <f>+INPUT!AY82</f>
        <v>10</v>
      </c>
      <c r="C117" s="635">
        <f>+INPUT!AZ82</f>
        <v>100</v>
      </c>
      <c r="D117" s="655">
        <f>+INPUT!BA82</f>
        <v>10</v>
      </c>
      <c r="E117" s="635">
        <f>+INPUT!BB82</f>
        <v>66.666666666666686</v>
      </c>
      <c r="F117" s="655">
        <f>+INPUT!BC82</f>
        <v>15</v>
      </c>
      <c r="G117" s="635">
        <f>+INPUT!BD82</f>
        <v>66.666666666666686</v>
      </c>
      <c r="H117" s="655">
        <f>+INPUT!BE82</f>
        <v>15</v>
      </c>
      <c r="I117" s="635">
        <f>+INPUT!BF82</f>
        <v>50</v>
      </c>
      <c r="J117" s="655">
        <f>+INPUT!BG82</f>
        <v>13</v>
      </c>
      <c r="K117" s="635">
        <f>+INPUT!BH82</f>
        <v>30</v>
      </c>
      <c r="L117" s="655">
        <f>+INPUT!BI82</f>
        <v>14</v>
      </c>
      <c r="M117" s="635">
        <f>+INPUT!BJ82</f>
        <v>40</v>
      </c>
      <c r="N117" s="655">
        <f>+INPUT!BK82</f>
        <v>16</v>
      </c>
      <c r="O117" s="635">
        <f>+INPUT!BL82</f>
        <v>6.6666666666666714</v>
      </c>
      <c r="P117" s="655">
        <f>+INPUT!BM82</f>
        <v>16</v>
      </c>
      <c r="Q117" s="635">
        <f>+INPUT!BN82</f>
        <v>6.6666666666666714</v>
      </c>
      <c r="R117" s="655">
        <f>+INPUT!BO82</f>
        <v>14</v>
      </c>
      <c r="S117" s="635">
        <f>+INPUT!BP82</f>
        <v>7.6923076923076934</v>
      </c>
      <c r="T117" s="655">
        <f>+INPUT!BQ82</f>
        <v>15</v>
      </c>
      <c r="U117" s="635">
        <f>+INPUT!BR82</f>
        <v>7.1428571428571388</v>
      </c>
      <c r="V117" s="655">
        <f>+INPUT!BS82</f>
        <v>15</v>
      </c>
      <c r="W117" s="635">
        <f>+INPUT!BT82</f>
        <v>-6.25</v>
      </c>
      <c r="X117" s="655">
        <f>+INPUT!BU82</f>
        <v>14</v>
      </c>
      <c r="Y117" s="635">
        <f>+INPUT!BV82</f>
        <v>-12.5</v>
      </c>
      <c r="Z117" s="655">
        <f>+INPUT!BW82</f>
        <v>4</v>
      </c>
      <c r="AA117" s="635" t="str">
        <f>+INPUT!BX82</f>
        <v>NM</v>
      </c>
      <c r="AB117" s="655">
        <f>+INPUT!BY82</f>
        <v>3</v>
      </c>
      <c r="AC117" s="635" t="str">
        <f>+INPUT!BZ82</f>
        <v>NM</v>
      </c>
      <c r="AD117" s="655">
        <f>+INPUT!CA82</f>
        <v>2</v>
      </c>
      <c r="AE117" s="635" t="str">
        <f>+INPUT!CB82</f>
        <v>NM</v>
      </c>
      <c r="AF117" s="655">
        <f>+INPUT!CC82</f>
        <v>4</v>
      </c>
      <c r="AG117" s="635" t="str">
        <f>+INPUT!CD82</f>
        <v>NM</v>
      </c>
      <c r="AH117" s="655">
        <f>+INPUT!CE82</f>
        <v>15</v>
      </c>
      <c r="AI117" s="635" t="str">
        <f>+INPUT!CF82</f>
        <v>NM</v>
      </c>
      <c r="AJ117" s="655">
        <f>+INPUT!CG82</f>
        <v>15</v>
      </c>
      <c r="AK117" s="635" t="str">
        <f>+INPUT!CH82</f>
        <v>NM</v>
      </c>
      <c r="AL117" s="655">
        <f>+INPUT!CI82</f>
        <v>16</v>
      </c>
      <c r="AM117" s="635" t="str">
        <f>+INPUT!CJ82</f>
        <v>NM</v>
      </c>
      <c r="AN117" s="655">
        <f>+INPUT!CK82</f>
        <v>20</v>
      </c>
      <c r="AO117" s="635" t="str">
        <f>+INPUT!CL82</f>
        <v>NM</v>
      </c>
      <c r="AP117" s="655">
        <f>+INPUT!CM82</f>
        <v>27</v>
      </c>
      <c r="AQ117" s="635">
        <f>+INPUT!CN82</f>
        <v>80</v>
      </c>
      <c r="AR117" s="655">
        <f>+INPUT!CO82</f>
        <v>28</v>
      </c>
      <c r="AS117" s="635">
        <f>+INPUT!CP82</f>
        <v>86.666666666666657</v>
      </c>
      <c r="AT117" s="655">
        <f>+INPUT!CQ82</f>
        <v>28</v>
      </c>
      <c r="AU117" s="635">
        <f>+INPUT!CR82</f>
        <v>75</v>
      </c>
      <c r="AV117" s="655">
        <f>+INPUT!CS82</f>
        <v>29</v>
      </c>
      <c r="AW117" s="635">
        <f>+INPUT!CT82</f>
        <v>45</v>
      </c>
      <c r="AX117" s="655">
        <f>+INPUT!CU82</f>
        <v>28</v>
      </c>
      <c r="AY117" s="635">
        <f>+INPUT!CV82</f>
        <v>3.7037037037036953</v>
      </c>
      <c r="AZ117" s="655">
        <f>+INPUT!CW82</f>
        <v>28</v>
      </c>
      <c r="BA117" s="635">
        <f>+INPUT!CX82</f>
        <v>0</v>
      </c>
      <c r="BB117" s="655">
        <f>+INPUT!CY82</f>
        <v>29</v>
      </c>
      <c r="BC117" s="635">
        <f>+INPUT!CZ82</f>
        <v>3.5714285714285836</v>
      </c>
      <c r="BD117" s="655">
        <f>+INPUT!DA82</f>
        <v>24</v>
      </c>
      <c r="BE117" s="635">
        <f>+INPUT!DB82</f>
        <v>-17.241379310344826</v>
      </c>
      <c r="BF117" s="655">
        <f>+INPUT!DC82</f>
        <v>23</v>
      </c>
      <c r="BG117" s="635">
        <f>+INPUT!DD82</f>
        <v>-17.857142857142861</v>
      </c>
      <c r="BH117" s="655">
        <f>+INPUT!DE82</f>
        <v>22</v>
      </c>
      <c r="BI117" s="635">
        <f>+INPUT!DF82</f>
        <v>-21.428571428571431</v>
      </c>
      <c r="BJ117" s="655">
        <f>+INPUT!DG82</f>
        <v>22</v>
      </c>
      <c r="BK117" s="635">
        <f>+INPUT!DH82</f>
        <v>-24.137931034482762</v>
      </c>
      <c r="BL117" s="655">
        <f>+INPUT!DI82</f>
        <v>24</v>
      </c>
      <c r="BM117" s="635">
        <f>+INPUT!DJ82</f>
        <v>0</v>
      </c>
      <c r="BN117" s="655">
        <f>+INPUT!DK82</f>
        <v>27</v>
      </c>
      <c r="BO117" s="635">
        <f>+INPUT!DL82</f>
        <v>17.391304347826093</v>
      </c>
      <c r="BP117" s="655">
        <f>+INPUT!DM82</f>
        <v>26</v>
      </c>
      <c r="BQ117" s="635">
        <f>+INPUT!DN82</f>
        <v>18.181818181818187</v>
      </c>
      <c r="BR117" s="655">
        <f>+INPUT!DO82</f>
        <v>27</v>
      </c>
      <c r="BS117" s="635">
        <f>+INPUT!DP82</f>
        <v>22.727272727272734</v>
      </c>
      <c r="BT117" s="655">
        <f>+INPUT!DQ82</f>
        <v>27</v>
      </c>
      <c r="BU117" s="635">
        <f>+INPUT!DR82</f>
        <v>12.5</v>
      </c>
      <c r="BV117" s="655">
        <f>+INPUT!DS82</f>
        <v>25</v>
      </c>
      <c r="BW117" s="635">
        <f>+INPUT!DT82</f>
        <v>-7.4074074074074048</v>
      </c>
      <c r="BX117" s="655">
        <f>+INPUT!DU82</f>
        <v>15</v>
      </c>
      <c r="BY117" s="635">
        <f>+INPUT!DV82</f>
        <v>-42.307692307692314</v>
      </c>
      <c r="BZ117" s="655">
        <f>+INPUT!DW82</f>
        <v>15</v>
      </c>
      <c r="CA117" s="635">
        <f>+INPUT!DX82</f>
        <v>-44.444444444444443</v>
      </c>
      <c r="CB117" s="655">
        <f>+INPUT!DY82</f>
        <v>14</v>
      </c>
      <c r="CC117" s="635">
        <f>+INPUT!DZ82</f>
        <v>-48.148148148148152</v>
      </c>
      <c r="CD117" s="655">
        <f>+INPUT!EA82</f>
        <v>18</v>
      </c>
      <c r="CE117" s="635">
        <f>+INPUT!EB82</f>
        <v>-28</v>
      </c>
      <c r="CF117" s="655">
        <f>+INPUT!EC82</f>
        <v>19</v>
      </c>
      <c r="CG117" s="635">
        <f>+INPUT!ED82</f>
        <v>26.666666666666657</v>
      </c>
      <c r="CH117" s="655">
        <f>+INPUT!EE82</f>
        <v>20</v>
      </c>
      <c r="CI117" s="635">
        <f>+INPUT!EF82</f>
        <v>33.333333333333314</v>
      </c>
      <c r="CJ117" s="655">
        <f>+INPUT!EG82</f>
        <v>14</v>
      </c>
      <c r="CK117" s="635">
        <f>+INPUT!EH82</f>
        <v>0</v>
      </c>
      <c r="CL117" s="655">
        <f>+INPUT!EI82</f>
        <v>14</v>
      </c>
      <c r="CM117" s="635">
        <f>+INPUT!EJ82</f>
        <v>-22.222222222222214</v>
      </c>
      <c r="CN117" s="655">
        <f>+INPUT!EK82</f>
        <v>17</v>
      </c>
      <c r="CO117" s="635">
        <f>+INPUT!EL82</f>
        <v>-10.526315789473685</v>
      </c>
      <c r="CP117" s="655">
        <f>+INPUT!EM82</f>
        <v>20</v>
      </c>
      <c r="CQ117" s="635">
        <f>+INPUT!EN82</f>
        <v>0</v>
      </c>
      <c r="CR117" s="655">
        <f>+INPUT!EO82</f>
        <v>19</v>
      </c>
      <c r="CS117" s="635">
        <f>+INPUT!EP82</f>
        <v>35.714285714285722</v>
      </c>
      <c r="CT117" s="655">
        <f>+INPUT!EQ82</f>
        <v>19.190000000000001</v>
      </c>
      <c r="CU117" s="635">
        <f>+INPUT!ER82</f>
        <v>37.071428571428584</v>
      </c>
      <c r="CV117" s="655">
        <f>+INPUT!ES82</f>
        <v>19.381900000000002</v>
      </c>
      <c r="CW117" s="635">
        <f>+INPUT!ET82</f>
        <v>14.011176470588254</v>
      </c>
      <c r="CX117" s="655">
        <f>+INPUT!EU82</f>
        <v>19.575719000000003</v>
      </c>
      <c r="CY117" s="635">
        <f>+INPUT!EV82</f>
        <v>-2.1214049999999816</v>
      </c>
      <c r="CZ117" s="655">
        <f>+INPUT!EW82</f>
        <v>19.771476190000005</v>
      </c>
      <c r="DA117" s="635">
        <f>+INPUT!EX82</f>
        <v>4.0604010000000272</v>
      </c>
      <c r="DB117" s="680"/>
      <c r="DC117" s="655">
        <f>+INPUT!FP82</f>
        <v>30</v>
      </c>
      <c r="DD117" s="635" t="str">
        <f>+INPUT!FQ82</f>
        <v>NM</v>
      </c>
      <c r="DE117" s="655">
        <f>+INPUT!FR82</f>
        <v>50</v>
      </c>
      <c r="DF117" s="635">
        <f>+INPUT!FS82</f>
        <v>66.666666666666686</v>
      </c>
      <c r="DG117" s="655">
        <f>+INPUT!FT82</f>
        <v>59</v>
      </c>
      <c r="DH117" s="635">
        <f>+INPUT!FU82</f>
        <v>18</v>
      </c>
      <c r="DI117" s="655">
        <f>+INPUT!FV82</f>
        <v>58</v>
      </c>
      <c r="DJ117" s="635">
        <f>+INPUT!FW82</f>
        <v>-1.6949152542372872</v>
      </c>
      <c r="DK117" s="655">
        <f>+INPUT!FX82</f>
        <v>13</v>
      </c>
      <c r="DL117" s="635" t="str">
        <f>+INPUT!FY82</f>
        <v>NM</v>
      </c>
      <c r="DM117" s="655">
        <f>+INPUT!FZ82</f>
        <v>66</v>
      </c>
      <c r="DN117" s="635" t="str">
        <f>+INPUT!GA82</f>
        <v>NM</v>
      </c>
      <c r="DO117" s="655">
        <f>+INPUT!GB82</f>
        <v>112</v>
      </c>
      <c r="DP117" s="635">
        <f>+INPUT!GC82</f>
        <v>69.696969696969688</v>
      </c>
      <c r="DQ117" s="655">
        <f>+INPUT!GD82</f>
        <v>109</v>
      </c>
      <c r="DR117" s="635">
        <f>+INPUT!GE82</f>
        <v>-2.6785714285714306</v>
      </c>
      <c r="DS117" s="655">
        <f>+INPUT!GF82</f>
        <v>91</v>
      </c>
      <c r="DT117" s="635">
        <f>+INPUT!GG82</f>
        <v>-16.513761467889907</v>
      </c>
      <c r="DU117" s="655">
        <f>+INPUT!GH82</f>
        <v>107</v>
      </c>
      <c r="DV117" s="635">
        <f>+INPUT!GI82</f>
        <v>17.582417582417591</v>
      </c>
      <c r="DW117" s="655">
        <f>+INPUT!GJ82</f>
        <v>69</v>
      </c>
      <c r="DX117" s="635">
        <f>+INPUT!GK82</f>
        <v>-35.514018691588788</v>
      </c>
      <c r="DY117" s="655">
        <f>+INPUT!GL82</f>
        <v>71</v>
      </c>
      <c r="DZ117" s="635">
        <f>+INPUT!GM82</f>
        <v>2.8985507246376727</v>
      </c>
      <c r="EA117" s="655">
        <f>+INPUT!GN82</f>
        <v>70</v>
      </c>
      <c r="EB117" s="635">
        <f>+INPUT!GO82</f>
        <v>-1.4084507042253449</v>
      </c>
      <c r="EC117" s="655">
        <f>+INPUT!GP82</f>
        <v>77.919095190000007</v>
      </c>
      <c r="ED117" s="635">
        <f>+INPUT!GQ82</f>
        <v>11.312993128571435</v>
      </c>
      <c r="EE117" s="655">
        <f>+INPUT!GR82</f>
        <v>84.152622805200011</v>
      </c>
      <c r="EF117" s="635">
        <f>+INPUT!GS82</f>
        <v>8</v>
      </c>
      <c r="EG117" s="655">
        <f>+INPUT!GT82</f>
        <v>90.884832629616014</v>
      </c>
      <c r="EH117" s="635">
        <f>+INPUT!GU82</f>
        <v>8</v>
      </c>
      <c r="EI117" s="655">
        <f>+INPUT!GV82</f>
        <v>98.155619239985299</v>
      </c>
      <c r="EJ117" s="635">
        <f>+INPUT!GW82</f>
        <v>8</v>
      </c>
      <c r="EK117" s="655">
        <f>+INPUT!GX82</f>
        <v>106.00806877918413</v>
      </c>
      <c r="EL117" s="635">
        <f>+INPUT!GY82</f>
        <v>8</v>
      </c>
      <c r="EM117" s="635">
        <f>+INPUT!GZ82</f>
        <v>8.6546148144916124</v>
      </c>
    </row>
    <row r="118" spans="1:144" s="632" customFormat="1" ht="12.75" hidden="1" customHeight="1" outlineLevel="1" x14ac:dyDescent="0.2">
      <c r="A118" s="644" t="str">
        <f>+INPUT!B83</f>
        <v>Operating Expenses</v>
      </c>
      <c r="B118" s="655">
        <f>+INPUT!AY83</f>
        <v>255</v>
      </c>
      <c r="C118" s="635">
        <f>+INPUT!AZ83</f>
        <v>26.237623762376245</v>
      </c>
      <c r="D118" s="655">
        <f>+INPUT!BA83</f>
        <v>285</v>
      </c>
      <c r="E118" s="635">
        <f>+INPUT!BB83</f>
        <v>20.25316455696202</v>
      </c>
      <c r="F118" s="655">
        <f>+INPUT!BC83</f>
        <v>320</v>
      </c>
      <c r="G118" s="635">
        <f>+INPUT!BD83</f>
        <v>28.514056224899605</v>
      </c>
      <c r="H118" s="655">
        <f>+INPUT!BE83</f>
        <v>347</v>
      </c>
      <c r="I118" s="635">
        <f>+INPUT!BF83</f>
        <v>46.413502109704666</v>
      </c>
      <c r="J118" s="655">
        <f>+INPUT!BG83</f>
        <v>357</v>
      </c>
      <c r="K118" s="635">
        <f>+INPUT!BH83</f>
        <v>40</v>
      </c>
      <c r="L118" s="655">
        <f>+INPUT!BI83</f>
        <v>379</v>
      </c>
      <c r="M118" s="635">
        <f>+INPUT!BJ83</f>
        <v>32.982456140350877</v>
      </c>
      <c r="N118" s="655">
        <f>+INPUT!BK83</f>
        <v>386</v>
      </c>
      <c r="O118" s="635">
        <f>+INPUT!BL83</f>
        <v>20.625</v>
      </c>
      <c r="P118" s="655">
        <f>+INPUT!BM83</f>
        <v>398</v>
      </c>
      <c r="Q118" s="635">
        <f>+INPUT!BN83</f>
        <v>14.697406340057626</v>
      </c>
      <c r="R118" s="655">
        <f>+INPUT!BO83</f>
        <v>371</v>
      </c>
      <c r="S118" s="635">
        <f>+INPUT!BP83</f>
        <v>3.9215686274509949</v>
      </c>
      <c r="T118" s="655">
        <f>+INPUT!BQ83</f>
        <v>362</v>
      </c>
      <c r="U118" s="635">
        <f>+INPUT!BR83</f>
        <v>-4.4854881266490736</v>
      </c>
      <c r="V118" s="655">
        <f>+INPUT!BS83</f>
        <v>363</v>
      </c>
      <c r="W118" s="635">
        <f>+INPUT!BT83</f>
        <v>-5.9585492227979273</v>
      </c>
      <c r="X118" s="655">
        <f>+INPUT!BU83</f>
        <v>681</v>
      </c>
      <c r="Y118" s="635">
        <f>+INPUT!BV83</f>
        <v>71.105527638190949</v>
      </c>
      <c r="Z118" s="655">
        <f>+INPUT!BW83</f>
        <v>365</v>
      </c>
      <c r="AA118" s="635">
        <f>+INPUT!BX83</f>
        <v>-1.6172506738544428</v>
      </c>
      <c r="AB118" s="655">
        <f>+INPUT!BY83</f>
        <v>368</v>
      </c>
      <c r="AC118" s="635">
        <f>+INPUT!BZ83</f>
        <v>1.6574585635359256</v>
      </c>
      <c r="AD118" s="655">
        <f>+INPUT!CA83</f>
        <v>521</v>
      </c>
      <c r="AE118" s="635">
        <f>+INPUT!CB83</f>
        <v>43.526170798898079</v>
      </c>
      <c r="AF118" s="655">
        <f>+INPUT!CC83</f>
        <v>494</v>
      </c>
      <c r="AG118" s="635">
        <f>+INPUT!CD83</f>
        <v>-27.459618208516886</v>
      </c>
      <c r="AH118" s="655">
        <f>+INPUT!CE83</f>
        <v>482</v>
      </c>
      <c r="AI118" s="635">
        <f>+INPUT!CF83</f>
        <v>32.054794520547944</v>
      </c>
      <c r="AJ118" s="655">
        <f>+INPUT!CG83</f>
        <v>529</v>
      </c>
      <c r="AK118" s="635">
        <f>+INPUT!CH83</f>
        <v>43.75</v>
      </c>
      <c r="AL118" s="655">
        <f>+INPUT!CI83</f>
        <v>526</v>
      </c>
      <c r="AM118" s="635">
        <f>+INPUT!CJ83</f>
        <v>0.95969289827255011</v>
      </c>
      <c r="AN118" s="655">
        <f>+INPUT!CK83</f>
        <v>628</v>
      </c>
      <c r="AO118" s="635">
        <f>+INPUT!CL83</f>
        <v>27.125506072874501</v>
      </c>
      <c r="AP118" s="655">
        <f>+INPUT!CM83</f>
        <v>663</v>
      </c>
      <c r="AQ118" s="635">
        <f>+INPUT!CN83</f>
        <v>37.551867219917</v>
      </c>
      <c r="AR118" s="655">
        <f>+INPUT!CO83</f>
        <v>556</v>
      </c>
      <c r="AS118" s="635">
        <f>+INPUT!CP83</f>
        <v>5.1039697542533133</v>
      </c>
      <c r="AT118" s="655">
        <f>+INPUT!CQ83</f>
        <v>553</v>
      </c>
      <c r="AU118" s="635">
        <f>+INPUT!CR83</f>
        <v>5.1330798479087321</v>
      </c>
      <c r="AV118" s="655">
        <f>+INPUT!CS83</f>
        <v>548</v>
      </c>
      <c r="AW118" s="635">
        <f>+INPUT!CT83</f>
        <v>-12.738853503184714</v>
      </c>
      <c r="AX118" s="655">
        <f>+INPUT!CU83</f>
        <v>605</v>
      </c>
      <c r="AY118" s="635">
        <f>+INPUT!CV83</f>
        <v>-8.748114630467569</v>
      </c>
      <c r="AZ118" s="655">
        <f>+INPUT!CW83</f>
        <v>630</v>
      </c>
      <c r="BA118" s="635">
        <f>+INPUT!CX83</f>
        <v>13.309352517985616</v>
      </c>
      <c r="BB118" s="655">
        <f>+INPUT!CY83</f>
        <v>649</v>
      </c>
      <c r="BC118" s="635">
        <f>+INPUT!CZ83</f>
        <v>17.359855334538878</v>
      </c>
      <c r="BD118" s="655">
        <f>+INPUT!DA83</f>
        <v>604</v>
      </c>
      <c r="BE118" s="635">
        <f>+INPUT!DB83</f>
        <v>10.218978102189794</v>
      </c>
      <c r="BF118" s="655">
        <f>+INPUT!DC83</f>
        <v>602</v>
      </c>
      <c r="BG118" s="635">
        <f>+INPUT!DD83</f>
        <v>-0.49586776859503345</v>
      </c>
      <c r="BH118" s="655">
        <f>+INPUT!DE83</f>
        <v>514</v>
      </c>
      <c r="BI118" s="635">
        <f>+INPUT!DF83</f>
        <v>-18.412698412698418</v>
      </c>
      <c r="BJ118" s="655">
        <f>+INPUT!DG83</f>
        <v>514</v>
      </c>
      <c r="BK118" s="635">
        <f>+INPUT!DH83</f>
        <v>-20.801232665639446</v>
      </c>
      <c r="BL118" s="655">
        <f>+INPUT!DI83</f>
        <v>542</v>
      </c>
      <c r="BM118" s="635">
        <f>+INPUT!DJ83</f>
        <v>-10.264900662251648</v>
      </c>
      <c r="BN118" s="655">
        <f>+INPUT!DK83</f>
        <v>516</v>
      </c>
      <c r="BO118" s="635">
        <f>+INPUT!DL83</f>
        <v>-14.285714285714292</v>
      </c>
      <c r="BP118" s="655">
        <f>+INPUT!DM83</f>
        <v>552</v>
      </c>
      <c r="BQ118" s="635">
        <f>+INPUT!DN83</f>
        <v>7.3929961089494185</v>
      </c>
      <c r="BR118" s="655">
        <f>+INPUT!DO83</f>
        <v>553</v>
      </c>
      <c r="BS118" s="635">
        <f>+INPUT!DP83</f>
        <v>7.5875486381322901</v>
      </c>
      <c r="BT118" s="655">
        <f>+INPUT!DQ83</f>
        <v>560</v>
      </c>
      <c r="BU118" s="635">
        <f>+INPUT!DR83</f>
        <v>3.3210332103321036</v>
      </c>
      <c r="BV118" s="655">
        <f>+INPUT!DS83</f>
        <v>524</v>
      </c>
      <c r="BW118" s="635">
        <f>+INPUT!DT83</f>
        <v>1.5503875968992276</v>
      </c>
      <c r="BX118" s="655">
        <f>+INPUT!DU83</f>
        <v>543</v>
      </c>
      <c r="BY118" s="635">
        <f>+INPUT!DV83</f>
        <v>-1.6304347826086882</v>
      </c>
      <c r="BZ118" s="655">
        <f>+INPUT!DW83</f>
        <v>523</v>
      </c>
      <c r="CA118" s="635">
        <f>+INPUT!DX83</f>
        <v>-5.4249547920434082</v>
      </c>
      <c r="CB118" s="655">
        <f>+INPUT!DY83</f>
        <v>527</v>
      </c>
      <c r="CC118" s="635">
        <f>+INPUT!DZ83</f>
        <v>-5.8928571428571388</v>
      </c>
      <c r="CD118" s="655">
        <f>+INPUT!EA83</f>
        <v>508</v>
      </c>
      <c r="CE118" s="635">
        <f>+INPUT!EB83</f>
        <v>-3.0534351145038272</v>
      </c>
      <c r="CF118" s="655">
        <f>+INPUT!EC83</f>
        <v>537</v>
      </c>
      <c r="CG118" s="635">
        <f>+INPUT!ED83</f>
        <v>-1.1049723756906076</v>
      </c>
      <c r="CH118" s="655">
        <f>+INPUT!EE83</f>
        <v>523</v>
      </c>
      <c r="CI118" s="635">
        <f>+INPUT!EF83</f>
        <v>0</v>
      </c>
      <c r="CJ118" s="655">
        <f>+INPUT!EG83</f>
        <v>518</v>
      </c>
      <c r="CK118" s="635">
        <f>+INPUT!EH83</f>
        <v>-1.7077798861480034</v>
      </c>
      <c r="CL118" s="655">
        <f>+INPUT!EI83</f>
        <v>509</v>
      </c>
      <c r="CM118" s="635">
        <f>+INPUT!EJ83</f>
        <v>0.19685039370078528</v>
      </c>
      <c r="CN118" s="655">
        <f>+INPUT!EK83</f>
        <v>507</v>
      </c>
      <c r="CO118" s="635">
        <f>+INPUT!EL83</f>
        <v>-5.5865921787709567</v>
      </c>
      <c r="CP118" s="655">
        <f>+INPUT!EM83</f>
        <v>494</v>
      </c>
      <c r="CQ118" s="635">
        <f>+INPUT!EN83</f>
        <v>-5.5449330783938819</v>
      </c>
      <c r="CR118" s="655">
        <f>+INPUT!EO83</f>
        <v>534</v>
      </c>
      <c r="CS118" s="635">
        <f>+INPUT!EP83</f>
        <v>3.0888030888030755</v>
      </c>
      <c r="CT118" s="655">
        <f>+INPUT!EQ83</f>
        <v>511.02738677836896</v>
      </c>
      <c r="CU118" s="635">
        <f>+INPUT!ER83</f>
        <v>0.3983078150037187</v>
      </c>
      <c r="CV118" s="655">
        <f>+INPUT!ES83</f>
        <v>507.01125459503947</v>
      </c>
      <c r="CW118" s="635">
        <f>+INPUT!ET83</f>
        <v>2.2198412306551063E-3</v>
      </c>
      <c r="CX118" s="655">
        <f>+INPUT!EU83</f>
        <v>507.37219232694662</v>
      </c>
      <c r="CY118" s="635">
        <f>+INPUT!EV83</f>
        <v>2.706921523673401</v>
      </c>
      <c r="CZ118" s="655">
        <f>+INPUT!EW83</f>
        <v>526.87081360106913</v>
      </c>
      <c r="DA118" s="635">
        <f>+INPUT!EX83</f>
        <v>-1.3350536327585871</v>
      </c>
      <c r="DB118" s="680"/>
      <c r="DC118" s="655">
        <f>+INPUT!FP83</f>
        <v>925</v>
      </c>
      <c r="DD118" s="635">
        <f>+INPUT!FQ83</f>
        <v>14.056720098643652</v>
      </c>
      <c r="DE118" s="655">
        <f>+INPUT!FR83</f>
        <v>1207</v>
      </c>
      <c r="DF118" s="635">
        <f>+INPUT!FS83</f>
        <v>30.486486486486484</v>
      </c>
      <c r="DG118" s="655">
        <f>+INPUT!FT83</f>
        <v>1520</v>
      </c>
      <c r="DH118" s="635">
        <f>+INPUT!FU83</f>
        <v>25.932062966031481</v>
      </c>
      <c r="DI118" s="655">
        <f>+INPUT!FV83</f>
        <v>1819</v>
      </c>
      <c r="DJ118" s="635">
        <f>+INPUT!FW83</f>
        <v>19.671052631578959</v>
      </c>
      <c r="DK118" s="655">
        <f>+INPUT!FX83</f>
        <v>1748</v>
      </c>
      <c r="DL118" s="635">
        <f>+INPUT!FY83</f>
        <v>-3.9032435404068195</v>
      </c>
      <c r="DM118" s="655">
        <f>+INPUT!FZ83</f>
        <v>2165</v>
      </c>
      <c r="DN118" s="635">
        <f>+INPUT!GA83</f>
        <v>23.855835240274587</v>
      </c>
      <c r="DO118" s="655">
        <f>+INPUT!GB83</f>
        <v>2320</v>
      </c>
      <c r="DP118" s="635">
        <f>+INPUT!GC83</f>
        <v>7.1593533487297947</v>
      </c>
      <c r="DQ118" s="655">
        <f>+INPUT!GD83</f>
        <v>2488</v>
      </c>
      <c r="DR118" s="635">
        <f>+INPUT!GE83</f>
        <v>7.2413793103448256</v>
      </c>
      <c r="DS118" s="655">
        <f>+INPUT!GF83</f>
        <v>2172</v>
      </c>
      <c r="DT118" s="635">
        <f>+INPUT!GG83</f>
        <v>-12.700964630225073</v>
      </c>
      <c r="DU118" s="655">
        <f>+INPUT!GH83</f>
        <v>2181</v>
      </c>
      <c r="DV118" s="635">
        <f>+INPUT!GI83</f>
        <v>0.41436464088397429</v>
      </c>
      <c r="DW118" s="655">
        <f>+INPUT!GJ83</f>
        <v>2117</v>
      </c>
      <c r="DX118" s="635">
        <f>+INPUT!GK83</f>
        <v>-2.9344337459880734</v>
      </c>
      <c r="DY118" s="655">
        <f>+INPUT!GL83</f>
        <v>2086</v>
      </c>
      <c r="DZ118" s="635">
        <f>+INPUT!GM83</f>
        <v>-1.4643363249881958</v>
      </c>
      <c r="EA118" s="655">
        <f>+INPUT!GN83</f>
        <v>2044</v>
      </c>
      <c r="EB118" s="635">
        <f>+INPUT!GO83</f>
        <v>-2.0134228187919376</v>
      </c>
      <c r="EC118" s="655">
        <f>+INPUT!GP83</f>
        <v>2052.2816473014241</v>
      </c>
      <c r="ED118" s="635">
        <f>+INPUT!GQ83</f>
        <v>0.40516865466848628</v>
      </c>
      <c r="EE118" s="655">
        <f>+INPUT!GR83</f>
        <v>2051.6474368534705</v>
      </c>
      <c r="EF118" s="635">
        <f>+INPUT!GS83</f>
        <v>-3.0902700357302137E-2</v>
      </c>
      <c r="EG118" s="655">
        <f>+INPUT!GT83</f>
        <v>2057.3516083235759</v>
      </c>
      <c r="EH118" s="635">
        <f>+INPUT!GU83</f>
        <v>0.27802883515180099</v>
      </c>
      <c r="EI118" s="655">
        <f>+INPUT!GV83</f>
        <v>2067.7794175626427</v>
      </c>
      <c r="EJ118" s="635">
        <f>+INPUT!GW83</f>
        <v>0.50685595971432917</v>
      </c>
      <c r="EK118" s="655">
        <f>+INPUT!GX83</f>
        <v>2083.277787821959</v>
      </c>
      <c r="EL118" s="635">
        <f>+INPUT!GY83</f>
        <v>0.74951758043827965</v>
      </c>
      <c r="EM118" s="635">
        <f>+INPUT!GZ83</f>
        <v>0.38140230523251439</v>
      </c>
    </row>
    <row r="119" spans="1:144" s="632" customFormat="1" ht="12.75" hidden="1" customHeight="1" outlineLevel="1" x14ac:dyDescent="0.2">
      <c r="A119" s="644" t="str">
        <f>+INPUT!B84</f>
        <v>Net DAC</v>
      </c>
      <c r="B119" s="655">
        <f>+INPUT!AY84</f>
        <v>-62</v>
      </c>
      <c r="C119" s="635" t="str">
        <f>+INPUT!AZ84</f>
        <v>NM</v>
      </c>
      <c r="D119" s="655">
        <f>+INPUT!BA84</f>
        <v>-82</v>
      </c>
      <c r="E119" s="635">
        <f>+INPUT!BB84</f>
        <v>32.258064516129025</v>
      </c>
      <c r="F119" s="655">
        <f>+INPUT!BC84</f>
        <v>-103</v>
      </c>
      <c r="G119" s="635">
        <f>+INPUT!BD84</f>
        <v>27.160493827160508</v>
      </c>
      <c r="H119" s="655">
        <f>+INPUT!BE84</f>
        <v>-84</v>
      </c>
      <c r="I119" s="635">
        <f>+INPUT!BF84</f>
        <v>10.526315789473699</v>
      </c>
      <c r="J119" s="655">
        <f>+INPUT!BG84</f>
        <v>-80</v>
      </c>
      <c r="K119" s="635">
        <f>+INPUT!BH84</f>
        <v>29.032258064516128</v>
      </c>
      <c r="L119" s="655">
        <f>+INPUT!BI84</f>
        <v>-93</v>
      </c>
      <c r="M119" s="635">
        <f>+INPUT!BJ84</f>
        <v>13.414634146341456</v>
      </c>
      <c r="N119" s="655">
        <f>+INPUT!BK84</f>
        <v>-92</v>
      </c>
      <c r="O119" s="635">
        <f>+INPUT!BL84</f>
        <v>-10.679611650485427</v>
      </c>
      <c r="P119" s="655">
        <f>+INPUT!BM84</f>
        <v>-103</v>
      </c>
      <c r="Q119" s="635">
        <f>+INPUT!BN84</f>
        <v>22.61904761904762</v>
      </c>
      <c r="R119" s="655">
        <f>+INPUT!BO84</f>
        <v>-100</v>
      </c>
      <c r="S119" s="635">
        <f>+INPUT!BP84</f>
        <v>25</v>
      </c>
      <c r="T119" s="655">
        <f>+INPUT!BQ84</f>
        <v>-79</v>
      </c>
      <c r="U119" s="635">
        <f>+INPUT!BR84</f>
        <v>-15.053763440860209</v>
      </c>
      <c r="V119" s="655">
        <f>+INPUT!BS84</f>
        <v>-28</v>
      </c>
      <c r="W119" s="635" t="str">
        <f>+INPUT!BT84</f>
        <v>NM</v>
      </c>
      <c r="X119" s="655">
        <f>+INPUT!BU84</f>
        <v>-11</v>
      </c>
      <c r="Y119" s="635" t="str">
        <f>+INPUT!BV84</f>
        <v>NM</v>
      </c>
      <c r="Z119" s="655">
        <f>+INPUT!BW84</f>
        <v>-29</v>
      </c>
      <c r="AA119" s="635" t="str">
        <f>+INPUT!BX84</f>
        <v>NM</v>
      </c>
      <c r="AB119" s="655">
        <f>+INPUT!BY84</f>
        <v>-228</v>
      </c>
      <c r="AC119" s="635" t="str">
        <f>+INPUT!BZ84</f>
        <v>NM</v>
      </c>
      <c r="AD119" s="655">
        <f>+INPUT!CA84</f>
        <v>-255</v>
      </c>
      <c r="AE119" s="635" t="str">
        <f>+INPUT!CB84</f>
        <v>NM</v>
      </c>
      <c r="AF119" s="655">
        <f>+INPUT!CC84</f>
        <v>-198</v>
      </c>
      <c r="AG119" s="635" t="str">
        <f>+INPUT!CD84</f>
        <v>NM</v>
      </c>
      <c r="AH119" s="655">
        <f>+INPUT!CE84</f>
        <v>-159</v>
      </c>
      <c r="AI119" s="635" t="str">
        <f>+INPUT!CF84</f>
        <v>NM</v>
      </c>
      <c r="AJ119" s="655">
        <f>+INPUT!CG84</f>
        <v>-112</v>
      </c>
      <c r="AK119" s="635" t="str">
        <f>+INPUT!CH84</f>
        <v>NM</v>
      </c>
      <c r="AL119" s="655">
        <f>+INPUT!CI84</f>
        <v>-336</v>
      </c>
      <c r="AM119" s="635">
        <f>+INPUT!CJ84</f>
        <v>31.764705882352928</v>
      </c>
      <c r="AN119" s="655">
        <f>+INPUT!CK84</f>
        <v>-251</v>
      </c>
      <c r="AO119" s="635">
        <f>+INPUT!CL84</f>
        <v>26.767676767676775</v>
      </c>
      <c r="AP119" s="655">
        <f>+INPUT!CM84</f>
        <v>-262</v>
      </c>
      <c r="AQ119" s="635">
        <f>+INPUT!CN84</f>
        <v>64.779874213836479</v>
      </c>
      <c r="AR119" s="655">
        <f>+INPUT!CO84</f>
        <v>-104</v>
      </c>
      <c r="AS119" s="635">
        <f>+INPUT!CP84</f>
        <v>-7.1428571428571388</v>
      </c>
      <c r="AT119" s="655">
        <f>+INPUT!CQ84</f>
        <v>3</v>
      </c>
      <c r="AU119" s="635" t="str">
        <f>+INPUT!CR84</f>
        <v>NM</v>
      </c>
      <c r="AV119" s="655">
        <f>+INPUT!CS84</f>
        <v>-139</v>
      </c>
      <c r="AW119" s="635">
        <f>+INPUT!CT84</f>
        <v>-44.621513944223111</v>
      </c>
      <c r="AX119" s="655">
        <f>+INPUT!CU84</f>
        <v>-168</v>
      </c>
      <c r="AY119" s="635">
        <f>+INPUT!CV84</f>
        <v>-35.877862595419856</v>
      </c>
      <c r="AZ119" s="655">
        <f>+INPUT!CW84</f>
        <v>-117</v>
      </c>
      <c r="BA119" s="635">
        <f>+INPUT!CX84</f>
        <v>12.5</v>
      </c>
      <c r="BB119" s="655">
        <f>+INPUT!CY84</f>
        <v>-324</v>
      </c>
      <c r="BC119" s="635" t="str">
        <f>+INPUT!CZ84</f>
        <v>NM</v>
      </c>
      <c r="BD119" s="655">
        <f>+INPUT!DA84</f>
        <v>-69</v>
      </c>
      <c r="BE119" s="635" t="str">
        <f>+INPUT!DB84</f>
        <v>NM</v>
      </c>
      <c r="BF119" s="655">
        <f>+INPUT!DC84</f>
        <v>-89</v>
      </c>
      <c r="BG119" s="635">
        <f>+INPUT!DD84</f>
        <v>-47.023809523809526</v>
      </c>
      <c r="BH119" s="655">
        <f>+INPUT!DE84</f>
        <v>-3</v>
      </c>
      <c r="BI119" s="635" t="str">
        <f>+INPUT!DF84</f>
        <v>NM</v>
      </c>
      <c r="BJ119" s="655">
        <f>+INPUT!DG84</f>
        <v>-223</v>
      </c>
      <c r="BK119" s="635">
        <f>+INPUT!DH84</f>
        <v>-31.172839506172849</v>
      </c>
      <c r="BL119" s="655">
        <f>+INPUT!DI84</f>
        <v>-26</v>
      </c>
      <c r="BM119" s="635" t="str">
        <f>+INPUT!DJ84</f>
        <v>NM</v>
      </c>
      <c r="BN119" s="655">
        <f>+INPUT!DK84</f>
        <v>6</v>
      </c>
      <c r="BO119" s="635" t="str">
        <f>+INPUT!DL84</f>
        <v>NM</v>
      </c>
      <c r="BP119" s="655">
        <f>+INPUT!DM84</f>
        <v>-3</v>
      </c>
      <c r="BQ119" s="635">
        <f>+INPUT!DN84</f>
        <v>0</v>
      </c>
      <c r="BR119" s="655">
        <f>+INPUT!DO84</f>
        <v>14</v>
      </c>
      <c r="BS119" s="635" t="str">
        <f>+INPUT!DP84</f>
        <v>NM</v>
      </c>
      <c r="BT119" s="655">
        <f>+INPUT!DQ84</f>
        <v>28</v>
      </c>
      <c r="BU119" s="635" t="str">
        <f>+INPUT!DR84</f>
        <v>NM</v>
      </c>
      <c r="BV119" s="655">
        <f>+INPUT!DS84</f>
        <v>-20</v>
      </c>
      <c r="BW119" s="635" t="str">
        <f>+INPUT!DT84</f>
        <v>NM</v>
      </c>
      <c r="BX119" s="655">
        <f>+INPUT!DU84</f>
        <v>-20</v>
      </c>
      <c r="BY119" s="635" t="str">
        <f>+INPUT!DV84</f>
        <v>NM</v>
      </c>
      <c r="BZ119" s="655">
        <f>+INPUT!DW84</f>
        <v>59</v>
      </c>
      <c r="CA119" s="635" t="str">
        <f>+INPUT!DX84</f>
        <v>NM</v>
      </c>
      <c r="CB119" s="655">
        <f>+INPUT!DY84</f>
        <v>16</v>
      </c>
      <c r="CC119" s="635">
        <f>+INPUT!DZ84</f>
        <v>-42.857142857142861</v>
      </c>
      <c r="CD119" s="655">
        <f>+INPUT!EA84</f>
        <v>44</v>
      </c>
      <c r="CE119" s="635" t="str">
        <f>+INPUT!EB84</f>
        <v>NM</v>
      </c>
      <c r="CF119" s="655">
        <f>+INPUT!EC84</f>
        <v>5</v>
      </c>
      <c r="CG119" s="635" t="str">
        <f>+INPUT!ED84</f>
        <v>NM</v>
      </c>
      <c r="CH119" s="655">
        <f>+INPUT!EE84</f>
        <v>-20</v>
      </c>
      <c r="CI119" s="635" t="str">
        <f>+INPUT!EF84</f>
        <v>NM</v>
      </c>
      <c r="CJ119" s="655">
        <f>+INPUT!EG84</f>
        <v>47</v>
      </c>
      <c r="CK119" s="635" t="str">
        <f>+INPUT!EH84</f>
        <v>NM</v>
      </c>
      <c r="CL119" s="655">
        <f>+INPUT!EI84</f>
        <v>49</v>
      </c>
      <c r="CM119" s="635">
        <f>+INPUT!EJ84</f>
        <v>11.36363636363636</v>
      </c>
      <c r="CN119" s="655">
        <f>+INPUT!EK84</f>
        <v>22</v>
      </c>
      <c r="CO119" s="635" t="str">
        <f>+INPUT!EL84</f>
        <v>NM</v>
      </c>
      <c r="CP119" s="655">
        <f>+INPUT!EM84</f>
        <v>45</v>
      </c>
      <c r="CQ119" s="635" t="str">
        <f>+INPUT!EN84</f>
        <v>NM</v>
      </c>
      <c r="CR119" s="655">
        <f>+INPUT!EO84</f>
        <v>34</v>
      </c>
      <c r="CS119" s="635">
        <f>+INPUT!EP84</f>
        <v>-27.659574468085097</v>
      </c>
      <c r="CT119" s="655">
        <f>+INPUT!EQ84</f>
        <v>48.547601743945052</v>
      </c>
      <c r="CU119" s="635">
        <f>+INPUT!ER84</f>
        <v>-0.92326174705091546</v>
      </c>
      <c r="CV119" s="655">
        <f>+INPUT!ES84</f>
        <v>48.166069186528752</v>
      </c>
      <c r="CW119" s="635" t="str">
        <f>+INPUT!ET84</f>
        <v>NM</v>
      </c>
      <c r="CX119" s="655">
        <f>+INPUT!EU84</f>
        <v>48.200358271059926</v>
      </c>
      <c r="CY119" s="635">
        <f>+INPUT!EV84</f>
        <v>7.111907269022069</v>
      </c>
      <c r="CZ119" s="655">
        <f>+INPUT!EW84</f>
        <v>50.052727292101565</v>
      </c>
      <c r="DA119" s="635">
        <f>+INPUT!EX84</f>
        <v>47.213903800298738</v>
      </c>
      <c r="DB119" s="680"/>
      <c r="DC119" s="655">
        <f>+INPUT!FP84</f>
        <v>-248</v>
      </c>
      <c r="DD119" s="635">
        <f>+INPUT!FQ84</f>
        <v>8.7719298245614112</v>
      </c>
      <c r="DE119" s="655">
        <f>+INPUT!FR84</f>
        <v>-331</v>
      </c>
      <c r="DF119" s="635">
        <f>+INPUT!FS84</f>
        <v>33.467741935483872</v>
      </c>
      <c r="DG119" s="655">
        <f>+INPUT!FT84</f>
        <v>-368</v>
      </c>
      <c r="DH119" s="635">
        <f>+INPUT!FU84</f>
        <v>11.178247734138978</v>
      </c>
      <c r="DI119" s="655">
        <f>+INPUT!FV84</f>
        <v>0</v>
      </c>
      <c r="DJ119" s="635" t="str">
        <f>+INPUT!FW84</f>
        <v>NM</v>
      </c>
      <c r="DK119" s="655">
        <f>+INPUT!FX84</f>
        <v>-625</v>
      </c>
      <c r="DL119" s="635" t="str">
        <f>+INPUT!FY84</f>
        <v>NA</v>
      </c>
      <c r="DM119" s="655">
        <f>+INPUT!FZ84</f>
        <v>-858</v>
      </c>
      <c r="DN119" s="635">
        <f>+INPUT!GA84</f>
        <v>37.28</v>
      </c>
      <c r="DO119" s="655">
        <f>+INPUT!GB84</f>
        <v>-502</v>
      </c>
      <c r="DP119" s="635">
        <f>+INPUT!GC84</f>
        <v>-41.491841491841498</v>
      </c>
      <c r="DQ119" s="655">
        <f>+INPUT!GD84</f>
        <v>-678</v>
      </c>
      <c r="DR119" s="635">
        <f>+INPUT!GE84</f>
        <v>35.059760956175296</v>
      </c>
      <c r="DS119" s="655">
        <f>+INPUT!GF84</f>
        <v>-341</v>
      </c>
      <c r="DT119" s="635">
        <f>+INPUT!GG84</f>
        <v>-49.705014749262531</v>
      </c>
      <c r="DU119" s="655">
        <f>+INPUT!GH84</f>
        <v>45</v>
      </c>
      <c r="DV119" s="635" t="str">
        <f>+INPUT!GI84</f>
        <v>NM</v>
      </c>
      <c r="DW119" s="655">
        <f>+INPUT!GJ84</f>
        <v>35</v>
      </c>
      <c r="DX119" s="635">
        <f>+INPUT!GK84</f>
        <v>-22.222222222222214</v>
      </c>
      <c r="DY119" s="655">
        <f>+INPUT!GL84</f>
        <v>76</v>
      </c>
      <c r="DZ119" s="635" t="str">
        <f>+INPUT!GM84</f>
        <v>NM</v>
      </c>
      <c r="EA119" s="655">
        <f>+INPUT!GN84</f>
        <v>150</v>
      </c>
      <c r="EB119" s="635">
        <f>+INPUT!GO84</f>
        <v>97.368421052631561</v>
      </c>
      <c r="EC119" s="655">
        <f>+INPUT!GP84</f>
        <v>194.96675649363527</v>
      </c>
      <c r="ED119" s="635">
        <f>+INPUT!GQ84</f>
        <v>29.977837662423525</v>
      </c>
      <c r="EE119" s="655">
        <f>+INPUT!GR84</f>
        <v>194.90650650107966</v>
      </c>
      <c r="EF119" s="635">
        <f>+INPUT!GS84</f>
        <v>-3.0902700357316348E-2</v>
      </c>
      <c r="EG119" s="655">
        <f>+INPUT!GT84</f>
        <v>195.44840279073969</v>
      </c>
      <c r="EH119" s="635">
        <f>+INPUT!GU84</f>
        <v>0.27802883515180099</v>
      </c>
      <c r="EI119" s="655">
        <f>+INPUT!GV84</f>
        <v>196.43904466845103</v>
      </c>
      <c r="EJ119" s="635">
        <f>+INPUT!GW84</f>
        <v>0.50685595971432917</v>
      </c>
      <c r="EK119" s="655">
        <f>+INPUT!GX84</f>
        <v>197.91138984308608</v>
      </c>
      <c r="EL119" s="635">
        <f>+INPUT!GY84</f>
        <v>0.74951758043827965</v>
      </c>
      <c r="EM119" s="635">
        <f>+INPUT!GZ84</f>
        <v>5.7002235756733688</v>
      </c>
    </row>
    <row r="120" spans="1:144" s="632" customFormat="1" ht="12.75" hidden="1" customHeight="1" outlineLevel="1" x14ac:dyDescent="0.2">
      <c r="A120" s="682" t="str">
        <f>+INPUT!B85</f>
        <v>Total Benefits and Expenses</v>
      </c>
      <c r="B120" s="657">
        <f>+INPUT!AY85</f>
        <v>335</v>
      </c>
      <c r="C120" s="635">
        <f>+INPUT!AZ85</f>
        <v>3.3950617283950493</v>
      </c>
      <c r="D120" s="657">
        <f>+INPUT!BA85</f>
        <v>347</v>
      </c>
      <c r="E120" s="635">
        <f>+INPUT!BB85</f>
        <v>8.7774294670846444</v>
      </c>
      <c r="F120" s="657">
        <f>+INPUT!BC85</f>
        <v>391</v>
      </c>
      <c r="G120" s="635">
        <f>+INPUT!BD85</f>
        <v>39.642857142857139</v>
      </c>
      <c r="H120" s="657">
        <f>+INPUT!BE85</f>
        <v>442</v>
      </c>
      <c r="I120" s="635">
        <f>+INPUT!BF85</f>
        <v>52.941176470588232</v>
      </c>
      <c r="J120" s="657">
        <f>+INPUT!BG85</f>
        <v>438</v>
      </c>
      <c r="K120" s="635">
        <f>+INPUT!BH85</f>
        <v>30.74626865671641</v>
      </c>
      <c r="L120" s="657">
        <f>+INPUT!BI85</f>
        <v>452</v>
      </c>
      <c r="M120" s="635">
        <f>+INPUT!BJ85</f>
        <v>30.259365994236305</v>
      </c>
      <c r="N120" s="657">
        <f>+INPUT!BK85</f>
        <v>428</v>
      </c>
      <c r="O120" s="635">
        <f>+INPUT!BL85</f>
        <v>9.4629156010230133</v>
      </c>
      <c r="P120" s="657">
        <f>+INPUT!BM85</f>
        <v>463</v>
      </c>
      <c r="Q120" s="635">
        <f>+INPUT!BN85</f>
        <v>4.7511312217194615</v>
      </c>
      <c r="R120" s="657">
        <f>+INPUT!BO85</f>
        <v>458</v>
      </c>
      <c r="S120" s="635">
        <f>+INPUT!BP85</f>
        <v>4.5662100456621175</v>
      </c>
      <c r="T120" s="657">
        <f>+INPUT!BQ85</f>
        <v>468</v>
      </c>
      <c r="U120" s="635">
        <f>+INPUT!BR85</f>
        <v>3.5398230088495666</v>
      </c>
      <c r="V120" s="657">
        <f>+INPUT!BS85</f>
        <v>835</v>
      </c>
      <c r="W120" s="635">
        <f>+INPUT!BT85</f>
        <v>95.093457943925216</v>
      </c>
      <c r="X120" s="657">
        <f>+INPUT!BU85</f>
        <v>1315</v>
      </c>
      <c r="Y120" s="635" t="str">
        <f>+INPUT!BV85</f>
        <v>NM</v>
      </c>
      <c r="Z120" s="657">
        <f>+INPUT!BW85</f>
        <v>818</v>
      </c>
      <c r="AA120" s="635">
        <f>+INPUT!BX85</f>
        <v>78.602620087336248</v>
      </c>
      <c r="AB120" s="657">
        <f>+INPUT!BY85</f>
        <v>102</v>
      </c>
      <c r="AC120" s="635" t="str">
        <f>+INPUT!BZ85</f>
        <v>NM</v>
      </c>
      <c r="AD120" s="657">
        <f>+INPUT!CA85</f>
        <v>338</v>
      </c>
      <c r="AE120" s="635" t="str">
        <f>+INPUT!CB85</f>
        <v>NM</v>
      </c>
      <c r="AF120" s="657">
        <f>+INPUT!CC85</f>
        <v>500</v>
      </c>
      <c r="AG120" s="635" t="str">
        <f>+INPUT!CD85</f>
        <v>NM</v>
      </c>
      <c r="AH120" s="657">
        <f>+INPUT!CE85</f>
        <v>534</v>
      </c>
      <c r="AI120" s="635">
        <f>+INPUT!CF85</f>
        <v>-34.718826405867972</v>
      </c>
      <c r="AJ120" s="657">
        <f>+INPUT!CG85</f>
        <v>912</v>
      </c>
      <c r="AK120" s="635" t="str">
        <f>+INPUT!CH85</f>
        <v>NM</v>
      </c>
      <c r="AL120" s="657">
        <f>+INPUT!CI85</f>
        <v>255</v>
      </c>
      <c r="AM120" s="635">
        <f>+INPUT!CJ85</f>
        <v>-24.556213017751489</v>
      </c>
      <c r="AN120" s="657">
        <f>+INPUT!CK85</f>
        <v>544</v>
      </c>
      <c r="AO120" s="635">
        <f>+INPUT!CL85</f>
        <v>8.8000000000000114</v>
      </c>
      <c r="AP120" s="657">
        <f>+INPUT!CM85</f>
        <v>624</v>
      </c>
      <c r="AQ120" s="635">
        <f>+INPUT!CN85</f>
        <v>16.853932584269657</v>
      </c>
      <c r="AR120" s="657">
        <f>+INPUT!CO85</f>
        <v>726</v>
      </c>
      <c r="AS120" s="635">
        <f>+INPUT!CP85</f>
        <v>-20.39473684210526</v>
      </c>
      <c r="AT120" s="657">
        <f>+INPUT!CQ85</f>
        <v>1097</v>
      </c>
      <c r="AU120" s="635" t="str">
        <f>+INPUT!CR85</f>
        <v>NM</v>
      </c>
      <c r="AV120" s="657">
        <f>+INPUT!CS85</f>
        <v>529</v>
      </c>
      <c r="AW120" s="635">
        <f>+INPUT!CT85</f>
        <v>-2.7573529411764781</v>
      </c>
      <c r="AX120" s="657">
        <f>+INPUT!CU85</f>
        <v>537</v>
      </c>
      <c r="AY120" s="635">
        <f>+INPUT!CV85</f>
        <v>-13.942307692307693</v>
      </c>
      <c r="AZ120" s="657">
        <f>+INPUT!CW85</f>
        <v>861</v>
      </c>
      <c r="BA120" s="635">
        <f>+INPUT!CX85</f>
        <v>18.595041322314046</v>
      </c>
      <c r="BB120" s="657">
        <f>+INPUT!CY85</f>
        <v>811</v>
      </c>
      <c r="BC120" s="635">
        <f>+INPUT!CZ85</f>
        <v>-26.07110300820419</v>
      </c>
      <c r="BD120" s="657">
        <f>+INPUT!DA85</f>
        <v>735</v>
      </c>
      <c r="BE120" s="635">
        <f>+INPUT!DB85</f>
        <v>38.941398865784493</v>
      </c>
      <c r="BF120" s="657">
        <f>+INPUT!DC85</f>
        <v>696</v>
      </c>
      <c r="BG120" s="635">
        <f>+INPUT!DD85</f>
        <v>29.608938547486019</v>
      </c>
      <c r="BH120" s="657">
        <f>+INPUT!DE85</f>
        <v>719</v>
      </c>
      <c r="BI120" s="635">
        <f>+INPUT!DF85</f>
        <v>-16.492450638792093</v>
      </c>
      <c r="BJ120" s="657">
        <f>+INPUT!DG85</f>
        <v>299</v>
      </c>
      <c r="BK120" s="635" t="str">
        <f>+INPUT!DH85</f>
        <v>NM</v>
      </c>
      <c r="BL120" s="657">
        <f>+INPUT!DI85</f>
        <v>666</v>
      </c>
      <c r="BM120" s="635">
        <f>+INPUT!DJ85</f>
        <v>-9.3877551020408134</v>
      </c>
      <c r="BN120" s="657">
        <f>+INPUT!DK85</f>
        <v>769</v>
      </c>
      <c r="BO120" s="635">
        <f>+INPUT!DL85</f>
        <v>10.488505747126425</v>
      </c>
      <c r="BP120" s="657">
        <f>+INPUT!DM85</f>
        <v>781</v>
      </c>
      <c r="BQ120" s="635">
        <f>+INPUT!DN85</f>
        <v>8.6230876216968113</v>
      </c>
      <c r="BR120" s="657">
        <f>+INPUT!DO85</f>
        <v>824</v>
      </c>
      <c r="BS120" s="635" t="str">
        <f>+INPUT!DP85</f>
        <v>NM</v>
      </c>
      <c r="BT120" s="657">
        <f>+INPUT!DQ85</f>
        <v>869</v>
      </c>
      <c r="BU120" s="635">
        <f>+INPUT!DR85</f>
        <v>30.48048048048048</v>
      </c>
      <c r="BV120" s="657">
        <f>+INPUT!DS85</f>
        <v>658</v>
      </c>
      <c r="BW120" s="635">
        <f>+INPUT!DT85</f>
        <v>-14.434330299089723</v>
      </c>
      <c r="BX120" s="657">
        <f>+INPUT!DU85</f>
        <v>652</v>
      </c>
      <c r="BY120" s="635">
        <f>+INPUT!DV85</f>
        <v>-16.517285531370035</v>
      </c>
      <c r="BZ120" s="657">
        <f>+INPUT!DW85</f>
        <v>857</v>
      </c>
      <c r="CA120" s="635">
        <f>+INPUT!DX85</f>
        <v>4.0048543689320297</v>
      </c>
      <c r="CB120" s="657">
        <f>+INPUT!DY85</f>
        <v>731</v>
      </c>
      <c r="CC120" s="635">
        <f>+INPUT!DZ85</f>
        <v>-15.880322209436144</v>
      </c>
      <c r="CD120" s="657">
        <f>+INPUT!EA85</f>
        <v>781</v>
      </c>
      <c r="CE120" s="635">
        <f>+INPUT!EB85</f>
        <v>18.693009118541042</v>
      </c>
      <c r="CF120" s="657">
        <f>+INPUT!EC85</f>
        <v>716</v>
      </c>
      <c r="CG120" s="635">
        <f>+INPUT!ED85</f>
        <v>9.8159509202454132</v>
      </c>
      <c r="CH120" s="657">
        <f>+INPUT!EE85</f>
        <v>633</v>
      </c>
      <c r="CI120" s="635">
        <f>+INPUT!EF85</f>
        <v>-26.137689614935823</v>
      </c>
      <c r="CJ120" s="657">
        <f>+INPUT!EG85</f>
        <v>771</v>
      </c>
      <c r="CK120" s="635">
        <f>+INPUT!EH85</f>
        <v>5.4719562243502224</v>
      </c>
      <c r="CL120" s="657">
        <f>+INPUT!EI85</f>
        <v>747</v>
      </c>
      <c r="CM120" s="635">
        <f>+INPUT!EJ85</f>
        <v>-4.3533930857874452</v>
      </c>
      <c r="CN120" s="657">
        <f>+INPUT!EK85</f>
        <v>694</v>
      </c>
      <c r="CO120" s="635">
        <f>+INPUT!EL85</f>
        <v>-3.0726256983240319</v>
      </c>
      <c r="CP120" s="657">
        <f>+INPUT!EM85</f>
        <v>727</v>
      </c>
      <c r="CQ120" s="635">
        <f>+INPUT!EN85</f>
        <v>14.849921011058441</v>
      </c>
      <c r="CR120" s="657">
        <f>+INPUT!EO85</f>
        <v>744</v>
      </c>
      <c r="CS120" s="635">
        <f>+INPUT!EP85</f>
        <v>-3.5019455252918306</v>
      </c>
      <c r="CT120" s="657">
        <f>+INPUT!EQ85</f>
        <v>750.35328387307425</v>
      </c>
      <c r="CU120" s="635">
        <f>+INPUT!ER85</f>
        <v>0.44890011687741094</v>
      </c>
      <c r="CV120" s="657">
        <f>+INPUT!ES85</f>
        <v>743.83594035232841</v>
      </c>
      <c r="CW120" s="635">
        <f>+INPUT!ET85</f>
        <v>7.1809712323239694</v>
      </c>
      <c r="CX120" s="657">
        <f>+INPUT!EU85</f>
        <v>744.09610503202623</v>
      </c>
      <c r="CY120" s="635">
        <f>+INPUT!EV85</f>
        <v>2.3515962905125605</v>
      </c>
      <c r="CZ120" s="657">
        <f>+INPUT!EW85</f>
        <v>765.35066502672862</v>
      </c>
      <c r="DA120" s="635">
        <f>+INPUT!EX85</f>
        <v>2.8697130412269587</v>
      </c>
      <c r="DB120" s="681"/>
      <c r="DC120" s="657">
        <f>+INPUT!FP85</f>
        <v>1212</v>
      </c>
      <c r="DD120" s="635">
        <f>+INPUT!FQ85</f>
        <v>5.2997393570807958</v>
      </c>
      <c r="DE120" s="657">
        <f>+INPUT!FR85</f>
        <v>1515</v>
      </c>
      <c r="DF120" s="635">
        <f>+INPUT!FS85</f>
        <v>25</v>
      </c>
      <c r="DG120" s="657">
        <f>+INPUT!FT85</f>
        <v>1781</v>
      </c>
      <c r="DH120" s="635">
        <f>+INPUT!FU85</f>
        <v>17.557755775577562</v>
      </c>
      <c r="DI120" s="657">
        <f>+INPUT!FV85</f>
        <v>3392</v>
      </c>
      <c r="DJ120" s="635">
        <f>+INPUT!FW85</f>
        <v>90.454800673778777</v>
      </c>
      <c r="DK120" s="657">
        <f>+INPUT!FX85</f>
        <v>1843</v>
      </c>
      <c r="DL120" s="635">
        <f>+INPUT!FY85</f>
        <v>-45.66627358490566</v>
      </c>
      <c r="DM120" s="657">
        <f>+INPUT!FZ85</f>
        <v>2245</v>
      </c>
      <c r="DN120" s="635">
        <f>+INPUT!GA85</f>
        <v>21.812262615301137</v>
      </c>
      <c r="DO120" s="657">
        <f>+INPUT!GB85</f>
        <v>2976</v>
      </c>
      <c r="DP120" s="635">
        <f>+INPUT!GC85</f>
        <v>32.561247216035639</v>
      </c>
      <c r="DQ120" s="657">
        <f>+INPUT!GD85</f>
        <v>2944</v>
      </c>
      <c r="DR120" s="635">
        <f>+INPUT!GE85</f>
        <v>-1.0752688172043037</v>
      </c>
      <c r="DS120" s="657">
        <f>+INPUT!GF85</f>
        <v>2380</v>
      </c>
      <c r="DT120" s="635">
        <f>+INPUT!GG85</f>
        <v>-19.157608695652172</v>
      </c>
      <c r="DU120" s="657">
        <f>+INPUT!GH85</f>
        <v>3243</v>
      </c>
      <c r="DV120" s="635">
        <f>+INPUT!GI85</f>
        <v>36.260504201680675</v>
      </c>
      <c r="DW120" s="657">
        <f>+INPUT!GJ85</f>
        <v>2898</v>
      </c>
      <c r="DX120" s="635">
        <f>+INPUT!GK85</f>
        <v>-10.638297872340431</v>
      </c>
      <c r="DY120" s="657">
        <f>+INPUT!GL85</f>
        <v>2901</v>
      </c>
      <c r="DZ120" s="635">
        <f>+INPUT!GM85</f>
        <v>0.1035196687370501</v>
      </c>
      <c r="EA120" s="657">
        <f>+INPUT!GN85</f>
        <v>2912</v>
      </c>
      <c r="EB120" s="635">
        <f>+INPUT!GO85</f>
        <v>0.37917959324371964</v>
      </c>
      <c r="EC120" s="657">
        <f>+INPUT!GP85</f>
        <v>3003.6359942841573</v>
      </c>
      <c r="ED120" s="635">
        <f>+INPUT!GQ85</f>
        <v>3.1468404630548434</v>
      </c>
      <c r="EE120" s="657">
        <f>+INPUT!GR85</f>
        <v>3023.0888508895614</v>
      </c>
      <c r="EF120" s="635">
        <f>+INPUT!GS85</f>
        <v>0.64764361069124732</v>
      </c>
      <c r="EG120" s="657">
        <f>+INPUT!GT85</f>
        <v>3054.3390219390039</v>
      </c>
      <c r="EH120" s="635">
        <f>+INPUT!GU85</f>
        <v>1.0337165922280889</v>
      </c>
      <c r="EI120" s="657">
        <f>+INPUT!GV85</f>
        <v>3093.632510779225</v>
      </c>
      <c r="EJ120" s="635">
        <f>+INPUT!GW85</f>
        <v>1.2864809229748317</v>
      </c>
      <c r="EK120" s="657">
        <f>+INPUT!GX85</f>
        <v>3141.7743249062241</v>
      </c>
      <c r="EL120" s="635">
        <f>+INPUT!GY85</f>
        <v>1.5561581396386686</v>
      </c>
      <c r="EM120" s="635">
        <f>+INPUT!GZ85</f>
        <v>1.5305463342751402</v>
      </c>
    </row>
    <row r="121" spans="1:144" s="632" customFormat="1" ht="12.75" hidden="1" customHeight="1" outlineLevel="1" x14ac:dyDescent="0.2">
      <c r="A121" s="652"/>
      <c r="B121" s="655"/>
      <c r="C121" s="635"/>
      <c r="D121" s="655"/>
      <c r="E121" s="635"/>
      <c r="F121" s="655"/>
      <c r="G121" s="635"/>
      <c r="H121" s="655"/>
      <c r="I121" s="635"/>
      <c r="J121" s="655"/>
      <c r="K121" s="635"/>
      <c r="L121" s="655"/>
      <c r="M121" s="635"/>
      <c r="N121" s="655"/>
      <c r="O121" s="635"/>
      <c r="P121" s="655"/>
      <c r="Q121" s="635"/>
      <c r="R121" s="655"/>
      <c r="S121" s="635"/>
      <c r="T121" s="655"/>
      <c r="U121" s="635"/>
      <c r="V121" s="655"/>
      <c r="W121" s="635"/>
      <c r="X121" s="655"/>
      <c r="Y121" s="635"/>
      <c r="Z121" s="655"/>
      <c r="AA121" s="635"/>
      <c r="AB121" s="655"/>
      <c r="AC121" s="635"/>
      <c r="AD121" s="655"/>
      <c r="AE121" s="635"/>
      <c r="AF121" s="655"/>
      <c r="AG121" s="635"/>
      <c r="AH121" s="655"/>
      <c r="AI121" s="635"/>
      <c r="AJ121" s="655"/>
      <c r="AK121" s="635"/>
      <c r="AL121" s="655"/>
      <c r="AM121" s="635"/>
      <c r="AN121" s="655"/>
      <c r="AO121" s="635"/>
      <c r="AP121" s="655"/>
      <c r="AQ121" s="635"/>
      <c r="AR121" s="655"/>
      <c r="AS121" s="635"/>
      <c r="AT121" s="655"/>
      <c r="AU121" s="635"/>
      <c r="AV121" s="655"/>
      <c r="AW121" s="635"/>
      <c r="AX121" s="655"/>
      <c r="AY121" s="635"/>
      <c r="AZ121" s="655"/>
      <c r="BA121" s="635"/>
      <c r="BB121" s="655"/>
      <c r="BC121" s="635"/>
      <c r="BD121" s="655"/>
      <c r="BE121" s="635"/>
      <c r="BF121" s="655"/>
      <c r="BG121" s="635"/>
      <c r="BH121" s="655"/>
      <c r="BI121" s="635"/>
      <c r="BJ121" s="655"/>
      <c r="BK121" s="635"/>
      <c r="BL121" s="655"/>
      <c r="BM121" s="635"/>
      <c r="BN121" s="655"/>
      <c r="BO121" s="635"/>
      <c r="BP121" s="655"/>
      <c r="BQ121" s="635"/>
      <c r="BR121" s="655"/>
      <c r="BS121" s="635"/>
      <c r="BT121" s="655"/>
      <c r="BU121" s="635"/>
      <c r="BV121" s="655"/>
      <c r="BW121" s="635"/>
      <c r="BX121" s="655"/>
      <c r="BY121" s="635"/>
      <c r="BZ121" s="655"/>
      <c r="CA121" s="635"/>
      <c r="CB121" s="655"/>
      <c r="CC121" s="635"/>
      <c r="CD121" s="655"/>
      <c r="CE121" s="635"/>
      <c r="CF121" s="655"/>
      <c r="CG121" s="635"/>
      <c r="CH121" s="655"/>
      <c r="CI121" s="635"/>
      <c r="CJ121" s="655"/>
      <c r="CK121" s="635"/>
      <c r="CL121" s="655"/>
      <c r="CM121" s="635"/>
      <c r="CN121" s="655"/>
      <c r="CO121" s="635"/>
      <c r="CP121" s="655"/>
      <c r="CQ121" s="635"/>
      <c r="CR121" s="655"/>
      <c r="CS121" s="635"/>
      <c r="CT121" s="655"/>
      <c r="CU121" s="635"/>
      <c r="CV121" s="655"/>
      <c r="CW121" s="635"/>
      <c r="CX121" s="655"/>
      <c r="CY121" s="635"/>
      <c r="CZ121" s="655"/>
      <c r="DA121" s="635"/>
      <c r="DB121" s="655"/>
      <c r="DC121" s="655"/>
      <c r="DD121" s="635"/>
      <c r="DE121" s="655"/>
      <c r="DF121" s="635"/>
      <c r="DG121" s="655"/>
      <c r="DH121" s="635"/>
      <c r="DI121" s="655"/>
      <c r="DJ121" s="635"/>
      <c r="DK121" s="655"/>
      <c r="DL121" s="635"/>
      <c r="DM121" s="655"/>
      <c r="DN121" s="635"/>
      <c r="DO121" s="655"/>
      <c r="DP121" s="635"/>
      <c r="DQ121" s="655"/>
      <c r="DR121" s="635"/>
      <c r="DS121" s="655"/>
      <c r="DT121" s="635"/>
      <c r="DU121" s="655"/>
      <c r="DV121" s="635"/>
      <c r="DW121" s="655"/>
      <c r="DX121" s="635"/>
      <c r="DY121" s="655"/>
      <c r="DZ121" s="635"/>
      <c r="EA121" s="655"/>
      <c r="EB121" s="635"/>
      <c r="EC121" s="655"/>
      <c r="ED121" s="635"/>
      <c r="EE121" s="655"/>
      <c r="EF121" s="635"/>
      <c r="EG121" s="655"/>
      <c r="EH121" s="635"/>
      <c r="EI121" s="655"/>
      <c r="EJ121" s="635"/>
      <c r="EK121" s="655"/>
      <c r="EL121" s="635"/>
      <c r="EM121" s="635"/>
    </row>
    <row r="122" spans="1:144" ht="12.75" hidden="1" customHeight="1" outlineLevel="1" x14ac:dyDescent="0.2">
      <c r="A122" s="601" t="s">
        <v>706</v>
      </c>
      <c r="B122" s="602">
        <f>+INPUT!AY93</f>
        <v>118</v>
      </c>
      <c r="C122" s="603">
        <f>+INPUT!AZ93</f>
        <v>18</v>
      </c>
      <c r="D122" s="602">
        <f>+INPUT!BA93</f>
        <v>122</v>
      </c>
      <c r="E122" s="603">
        <f>+INPUT!BB93</f>
        <v>20.792079207920793</v>
      </c>
      <c r="F122" s="602">
        <f>+INPUT!BC93</f>
        <v>192</v>
      </c>
      <c r="G122" s="603">
        <f>+INPUT!BD93</f>
        <v>19.254658385093165</v>
      </c>
      <c r="H122" s="602">
        <f>+INPUT!BE93</f>
        <v>154</v>
      </c>
      <c r="I122" s="603">
        <f>+INPUT!BF93</f>
        <v>7.6923076923076934</v>
      </c>
      <c r="J122" s="602">
        <f>+INPUT!BG93</f>
        <v>166</v>
      </c>
      <c r="K122" s="603">
        <f>+INPUT!BH93</f>
        <v>40.677966101694921</v>
      </c>
      <c r="L122" s="602">
        <f>+INPUT!BI93</f>
        <v>180</v>
      </c>
      <c r="M122" s="603">
        <f>+INPUT!BJ93</f>
        <v>47.540983606557376</v>
      </c>
      <c r="N122" s="602">
        <f>+INPUT!BK93</f>
        <v>205</v>
      </c>
      <c r="O122" s="603">
        <f>+INPUT!BL93</f>
        <v>6.7708333333333286</v>
      </c>
      <c r="P122" s="602">
        <f>+INPUT!BM93</f>
        <v>171</v>
      </c>
      <c r="Q122" s="603">
        <f>+INPUT!BN93</f>
        <v>11.038961038961048</v>
      </c>
      <c r="R122" s="602">
        <f>+INPUT!BO93</f>
        <v>115</v>
      </c>
      <c r="S122" s="603">
        <f>+INPUT!BP93</f>
        <v>-30.722891566265062</v>
      </c>
      <c r="T122" s="602">
        <f>+INPUT!BQ93</f>
        <v>154</v>
      </c>
      <c r="U122" s="603">
        <f>+INPUT!BR93</f>
        <v>-14.444444444444443</v>
      </c>
      <c r="V122" s="602">
        <f>+INPUT!BS93</f>
        <v>-307</v>
      </c>
      <c r="W122" s="603" t="str">
        <f>+INPUT!BT93</f>
        <v>NM</v>
      </c>
      <c r="X122" s="602">
        <f>+INPUT!BU93</f>
        <v>-1039</v>
      </c>
      <c r="Y122" s="603" t="str">
        <f>+INPUT!BV93</f>
        <v>NM</v>
      </c>
      <c r="Z122" s="602">
        <f>+INPUT!BW93</f>
        <v>-244</v>
      </c>
      <c r="AA122" s="603" t="str">
        <f>+INPUT!BX93</f>
        <v>NM</v>
      </c>
      <c r="AB122" s="602">
        <f>+INPUT!BY93</f>
        <v>489</v>
      </c>
      <c r="AC122" s="603" t="str">
        <f>+INPUT!BZ93</f>
        <v>NM</v>
      </c>
      <c r="AD122" s="602">
        <f>+INPUT!CA93</f>
        <v>315</v>
      </c>
      <c r="AE122" s="603" t="str">
        <f>+INPUT!CB93</f>
        <v>NM</v>
      </c>
      <c r="AF122" s="602">
        <f>+INPUT!CC93</f>
        <v>197</v>
      </c>
      <c r="AG122" s="603" t="str">
        <f>+INPUT!CD93</f>
        <v>NM</v>
      </c>
      <c r="AH122" s="602">
        <f>+INPUT!CE93</f>
        <v>225</v>
      </c>
      <c r="AI122" s="603" t="str">
        <f>+INPUT!CF93</f>
        <v>NM</v>
      </c>
      <c r="AJ122" s="602">
        <f>+INPUT!CG93</f>
        <v>-144</v>
      </c>
      <c r="AK122" s="603" t="str">
        <f>+INPUT!CH93</f>
        <v>NM</v>
      </c>
      <c r="AL122" s="602">
        <f>+INPUT!CI93</f>
        <v>552</v>
      </c>
      <c r="AM122" s="603">
        <f>+INPUT!CJ93</f>
        <v>75.238095238095241</v>
      </c>
      <c r="AN122" s="602">
        <f>+INPUT!CK93</f>
        <v>317</v>
      </c>
      <c r="AO122" s="603">
        <f>+INPUT!CL93</f>
        <v>60.913705583756354</v>
      </c>
      <c r="AP122" s="602">
        <f>+INPUT!CM93</f>
        <v>274</v>
      </c>
      <c r="AQ122" s="603">
        <f>+INPUT!CN93</f>
        <v>21.777777777777786</v>
      </c>
      <c r="AR122" s="602">
        <f>+INPUT!CO93</f>
        <v>207</v>
      </c>
      <c r="AS122" s="603" t="str">
        <f>+INPUT!CP93</f>
        <v>NM</v>
      </c>
      <c r="AT122" s="602">
        <f>+INPUT!CQ93</f>
        <v>-192</v>
      </c>
      <c r="AU122" s="603" t="str">
        <f>+INPUT!CR93</f>
        <v>NM</v>
      </c>
      <c r="AV122" s="602">
        <f>+INPUT!CS93</f>
        <v>373</v>
      </c>
      <c r="AW122" s="603">
        <f>+INPUT!CT93</f>
        <v>17.66561514195584</v>
      </c>
      <c r="AX122" s="602">
        <f>+INPUT!CU93</f>
        <v>421</v>
      </c>
      <c r="AY122" s="603">
        <f>+INPUT!CV93</f>
        <v>53.649635036496363</v>
      </c>
      <c r="AZ122" s="602">
        <f>+INPUT!CW93</f>
        <v>107</v>
      </c>
      <c r="BA122" s="603">
        <f>+INPUT!CX93</f>
        <v>-48.309178743961354</v>
      </c>
      <c r="BB122" s="602">
        <f>+INPUT!CY93</f>
        <v>207</v>
      </c>
      <c r="BC122" s="603" t="str">
        <f>+INPUT!CZ93</f>
        <v>NM</v>
      </c>
      <c r="BD122" s="602">
        <f>+INPUT!DA93</f>
        <v>304</v>
      </c>
      <c r="BE122" s="603">
        <f>+INPUT!DB93</f>
        <v>-18.498659517426276</v>
      </c>
      <c r="BF122" s="602">
        <f>+INPUT!DC93</f>
        <v>372</v>
      </c>
      <c r="BG122" s="603">
        <f>+INPUT!DD93</f>
        <v>-11.63895486935867</v>
      </c>
      <c r="BH122" s="602">
        <f>+INPUT!DE93</f>
        <v>400</v>
      </c>
      <c r="BI122" s="603" t="str">
        <f>+INPUT!DF93</f>
        <v>NM</v>
      </c>
      <c r="BJ122" s="602">
        <f>+INPUT!DG93</f>
        <v>821</v>
      </c>
      <c r="BK122" s="603" t="str">
        <f>+INPUT!DH93</f>
        <v>NM</v>
      </c>
      <c r="BL122" s="602">
        <f>+INPUT!DI93</f>
        <v>492</v>
      </c>
      <c r="BM122" s="603">
        <f>+INPUT!DJ93</f>
        <v>61.84210526315789</v>
      </c>
      <c r="BN122" s="602">
        <f>+INPUT!DK93</f>
        <v>388</v>
      </c>
      <c r="BO122" s="603">
        <f>+INPUT!DL93</f>
        <v>4.3010752688172005</v>
      </c>
      <c r="BP122" s="602">
        <f>+INPUT!DM93</f>
        <v>390</v>
      </c>
      <c r="BQ122" s="603">
        <f>+INPUT!DN93</f>
        <v>-2.5</v>
      </c>
      <c r="BR122" s="602">
        <f>+INPUT!DO93</f>
        <v>367</v>
      </c>
      <c r="BS122" s="603" t="str">
        <f>+INPUT!DP93</f>
        <v>NM</v>
      </c>
      <c r="BT122" s="602">
        <f>+INPUT!DQ93</f>
        <v>322</v>
      </c>
      <c r="BU122" s="603">
        <f>+INPUT!DR93</f>
        <v>-34.552845528455293</v>
      </c>
      <c r="BV122" s="602">
        <f>+INPUT!DS93</f>
        <v>529</v>
      </c>
      <c r="BW122" s="603">
        <f>+INPUT!DT93</f>
        <v>36.340206185567013</v>
      </c>
      <c r="BX122" s="602">
        <f>+INPUT!DU93</f>
        <v>548</v>
      </c>
      <c r="BY122" s="603">
        <f>+INPUT!DV93</f>
        <v>40.512820512820497</v>
      </c>
      <c r="BZ122" s="602">
        <f>+INPUT!DW93</f>
        <v>310</v>
      </c>
      <c r="CA122" s="603">
        <f>+INPUT!DX93</f>
        <v>-15.53133514986375</v>
      </c>
      <c r="CB122" s="602">
        <f>+INPUT!DY93</f>
        <v>410</v>
      </c>
      <c r="CC122" s="603">
        <f>+INPUT!DZ93</f>
        <v>27.329192546583855</v>
      </c>
      <c r="CD122" s="602">
        <f>+INPUT!EA93</f>
        <v>328</v>
      </c>
      <c r="CE122" s="603">
        <f>+INPUT!EB93</f>
        <v>-37.996219281663514</v>
      </c>
      <c r="CF122" s="602">
        <f>+INPUT!EC93</f>
        <v>427</v>
      </c>
      <c r="CG122" s="603">
        <f>+INPUT!ED93</f>
        <v>-22.080291970802918</v>
      </c>
      <c r="CH122" s="602">
        <f>+INPUT!EE93</f>
        <v>588</v>
      </c>
      <c r="CI122" s="603">
        <f>+INPUT!EF93</f>
        <v>89.677419354838719</v>
      </c>
      <c r="CJ122" s="602">
        <f>+INPUT!EG93</f>
        <v>422</v>
      </c>
      <c r="CK122" s="603">
        <f>+INPUT!EH93</f>
        <v>2.9268292682926926</v>
      </c>
      <c r="CL122" s="602">
        <f>+INPUT!EI93</f>
        <v>468</v>
      </c>
      <c r="CM122" s="603">
        <f>+INPUT!EJ93</f>
        <v>42.682926829268297</v>
      </c>
      <c r="CN122" s="602">
        <f>+INPUT!EK93</f>
        <v>612</v>
      </c>
      <c r="CO122" s="603">
        <f>+INPUT!EL93</f>
        <v>43.325526932084301</v>
      </c>
      <c r="CP122" s="602">
        <f>+INPUT!EM93</f>
        <v>577</v>
      </c>
      <c r="CQ122" s="603">
        <f>+INPUT!EN93</f>
        <v>-1.8707482993197289</v>
      </c>
      <c r="CR122" s="602">
        <f>+INPUT!EO93</f>
        <v>541</v>
      </c>
      <c r="CS122" s="603">
        <f>+INPUT!EP93</f>
        <v>28.199052132701411</v>
      </c>
      <c r="CT122" s="602">
        <f>+INPUT!EQ93</f>
        <v>527.21518307284816</v>
      </c>
      <c r="CU122" s="603">
        <f>+INPUT!ER93</f>
        <v>12.652816895907733</v>
      </c>
      <c r="CV122" s="602">
        <f>+INPUT!ES93</f>
        <v>523.69219613527025</v>
      </c>
      <c r="CW122" s="603">
        <f>+INPUT!ET93</f>
        <v>-14.42937971645911</v>
      </c>
      <c r="CX122" s="602">
        <f>+INPUT!EU93</f>
        <v>524.33437578534028</v>
      </c>
      <c r="CY122" s="603">
        <f>+INPUT!EV93</f>
        <v>-9.1274911983812359</v>
      </c>
      <c r="CZ122" s="602">
        <f>+INPUT!EW93</f>
        <v>504.2175605180164</v>
      </c>
      <c r="DA122" s="603">
        <f>+INPUT!EX93</f>
        <v>-6.798972177815827</v>
      </c>
      <c r="DB122" s="602"/>
      <c r="DC122" s="602">
        <f>+INPUT!FP93</f>
        <v>505</v>
      </c>
      <c r="DD122" s="603">
        <f>+INPUT!FQ93</f>
        <v>18.266978922716632</v>
      </c>
      <c r="DE122" s="602">
        <f>+INPUT!FR93</f>
        <v>586</v>
      </c>
      <c r="DF122" s="603">
        <f>+INPUT!FS93</f>
        <v>16.039603960396036</v>
      </c>
      <c r="DG122" s="602">
        <f>+INPUT!FT93</f>
        <v>722</v>
      </c>
      <c r="DH122" s="603">
        <f>+INPUT!FU93</f>
        <v>23.208191126279857</v>
      </c>
      <c r="DI122" s="602">
        <f>+INPUT!FV93</f>
        <v>-955</v>
      </c>
      <c r="DJ122" s="603" t="str">
        <f>+INPUT!FW93</f>
        <v>NM</v>
      </c>
      <c r="DK122" s="602">
        <f>+INPUT!FX93</f>
        <v>672</v>
      </c>
      <c r="DL122" s="603" t="str">
        <f>+INPUT!FY93</f>
        <v>NM</v>
      </c>
      <c r="DM122" s="602">
        <f>+INPUT!FZ93</f>
        <v>950</v>
      </c>
      <c r="DN122" s="603">
        <f>+INPUT!GA93</f>
        <v>41.36904761904762</v>
      </c>
      <c r="DO122" s="602">
        <f>+INPUT!GB93</f>
        <v>662</v>
      </c>
      <c r="DP122" s="603">
        <f>+INPUT!GC93</f>
        <v>-30.315789473684205</v>
      </c>
      <c r="DQ122" s="602">
        <f>+INPUT!GD93</f>
        <v>1039</v>
      </c>
      <c r="DR122" s="603">
        <f>+INPUT!GE93</f>
        <v>56.948640483383684</v>
      </c>
      <c r="DS122" s="602">
        <f>+INPUT!GF93</f>
        <v>2085</v>
      </c>
      <c r="DT122" s="603" t="str">
        <f>+INPUT!GG93</f>
        <v>NM</v>
      </c>
      <c r="DU122" s="602">
        <f>+INPUT!GH93</f>
        <v>1467</v>
      </c>
      <c r="DV122" s="603">
        <f>+INPUT!GI93</f>
        <v>-29.640287769784166</v>
      </c>
      <c r="DW122" s="602">
        <f>+INPUT!GJ93</f>
        <v>1797</v>
      </c>
      <c r="DX122" s="603">
        <f>+INPUT!GK93</f>
        <v>22.494887525562362</v>
      </c>
      <c r="DY122" s="602">
        <f>+INPUT!GL93</f>
        <v>1765</v>
      </c>
      <c r="DZ122" s="603">
        <f>+INPUT!GM93</f>
        <v>-1.780745687256541</v>
      </c>
      <c r="EA122" s="602">
        <f>+INPUT!GN93</f>
        <v>2198</v>
      </c>
      <c r="EB122" s="603">
        <f>+INPUT!GO93</f>
        <v>24.532577903682721</v>
      </c>
      <c r="EC122" s="602">
        <f>+INPUT!GP93</f>
        <v>2079.4593155114753</v>
      </c>
      <c r="ED122" s="603">
        <f>+INPUT!GQ93</f>
        <v>-5.3931157638091349</v>
      </c>
      <c r="EE122" s="602">
        <f>+INPUT!GR93</f>
        <v>2045.8808109448855</v>
      </c>
      <c r="EF122" s="603">
        <f>+INPUT!GS93</f>
        <v>-1.6147709318530588</v>
      </c>
      <c r="EG122" s="602">
        <f>+INPUT!GT93</f>
        <v>2016.1961540738039</v>
      </c>
      <c r="EH122" s="603">
        <f>+INPUT!GU93</f>
        <v>-1.4509475191456573</v>
      </c>
      <c r="EI122" s="602">
        <f>+INPUT!GV93</f>
        <v>1990.0737062204503</v>
      </c>
      <c r="EJ122" s="603">
        <f>+INPUT!GW93</f>
        <v>-1.2956302788581411</v>
      </c>
      <c r="EK122" s="602">
        <f>+INPUT!GX93</f>
        <v>1967.4739029153461</v>
      </c>
      <c r="EL122" s="603">
        <f>+INPUT!GY93</f>
        <v>-1.135626446119204</v>
      </c>
      <c r="EM122" s="603">
        <f>+INPUT!GZ93</f>
        <v>-2.1915765948057664</v>
      </c>
    </row>
    <row r="123" spans="1:144" ht="12.75" hidden="1" customHeight="1" outlineLevel="2" x14ac:dyDescent="0.2">
      <c r="A123" s="582" t="s">
        <v>683</v>
      </c>
      <c r="B123" s="583">
        <f>(B109+B110+B111-B115-B116-B117-B118-B119)-B122</f>
        <v>0</v>
      </c>
      <c r="C123" s="584"/>
      <c r="D123" s="583">
        <f>(D109+D110+D111-D115-D116-D117-D118-D119)-D122</f>
        <v>0</v>
      </c>
      <c r="E123" s="584"/>
      <c r="F123" s="583">
        <f>(F109+F110+F111-F115-F116-F117-F118-F119)-F122</f>
        <v>0</v>
      </c>
      <c r="G123" s="584"/>
      <c r="H123" s="583">
        <f>(H109+H110+H111-H115-H116-H117-H118-H119)-H122</f>
        <v>0</v>
      </c>
      <c r="I123" s="584"/>
      <c r="J123" s="583">
        <f>(J109+J110+J111-J115-J116-J117-J118-J119)-J122</f>
        <v>0</v>
      </c>
      <c r="K123" s="584"/>
      <c r="L123" s="583">
        <f>(L109+L110+L111-L115-L116-L117-L118-L119)-L122</f>
        <v>0</v>
      </c>
      <c r="M123" s="584"/>
      <c r="N123" s="583">
        <f>(N109+N110+N111-N115-N116-N117-N118-N119)-N122</f>
        <v>0</v>
      </c>
      <c r="O123" s="584"/>
      <c r="P123" s="583">
        <f>(P109+P110+P111-P115-P116-P117-P118-P119)-P122</f>
        <v>0</v>
      </c>
      <c r="Q123" s="584"/>
      <c r="R123" s="583">
        <f>(R109+R110+R111-R115-R116-R117-R118-R119)-R122</f>
        <v>0</v>
      </c>
      <c r="S123" s="584"/>
      <c r="T123" s="583">
        <f>(T109+T110+T111-T115-T116-T117-T118-T119)-T122</f>
        <v>0</v>
      </c>
      <c r="U123" s="584"/>
      <c r="V123" s="583">
        <f>(V109+V110+V111-V115-V116-V117-V118-V119)-V122</f>
        <v>0</v>
      </c>
      <c r="W123" s="584"/>
      <c r="X123" s="583">
        <f>(X109+X110+X111-X115-X116-X117-X118-X119)-X122</f>
        <v>0</v>
      </c>
      <c r="Y123" s="584"/>
      <c r="Z123" s="583">
        <f>(Z109+Z110+Z111-Z115-Z116-Z117-Z118-Z119)-Z122</f>
        <v>0</v>
      </c>
      <c r="AA123" s="584"/>
      <c r="AB123" s="583">
        <f>(AB109+AB110+AB111-AB115-AB116-AB117-AB118-AB119)-AB122</f>
        <v>0</v>
      </c>
      <c r="AC123" s="584"/>
      <c r="AD123" s="583">
        <f>(AD109+AD110+AD111-AD115-AD116-AD117-AD118-AD119)-AD122</f>
        <v>0</v>
      </c>
      <c r="AE123" s="584"/>
      <c r="AF123" s="583">
        <f>(AF109+AF110+AF111-AF115-AF116-AF117-AF118-AF119)-AF122</f>
        <v>0</v>
      </c>
      <c r="AG123" s="584"/>
      <c r="AH123" s="583">
        <f>(AH109+AH110+AH111-AH115-AH116-AH117-AH118-AH119)-AH122</f>
        <v>0</v>
      </c>
      <c r="AI123" s="584"/>
      <c r="AJ123" s="583">
        <f>(AJ109+AJ110+AJ111-AJ115-AJ116-AJ117-AJ118-AJ119)-AJ122</f>
        <v>0</v>
      </c>
      <c r="AK123" s="584"/>
      <c r="AL123" s="583">
        <f>(AL109+AL110+AL111-AL115-AL116-AL117-AL118-AL119)-AL122</f>
        <v>0</v>
      </c>
      <c r="AM123" s="584"/>
      <c r="AN123" s="583">
        <f>(AN109+AN110+AN111-AN115-AN116-AN117-AN118-AN119)-AN122</f>
        <v>0</v>
      </c>
      <c r="AO123" s="584"/>
      <c r="AP123" s="583">
        <f>(AP109+AP110+AP111-AP115-AP116-AP117-AP118-AP119)-AP122</f>
        <v>0</v>
      </c>
      <c r="AQ123" s="584"/>
      <c r="AR123" s="583">
        <f>(AR109+AR110+AR111-AR115-AR116-AR117-AR118-AR119)-AR122</f>
        <v>0</v>
      </c>
      <c r="AS123" s="584"/>
      <c r="AT123" s="583">
        <f>(AT109+AT110+AT111-AT115-AT116-AT117-AT118-AT119)-AT122</f>
        <v>0</v>
      </c>
      <c r="AU123" s="584"/>
      <c r="AV123" s="583">
        <f>(AV109+AV110+AV111-AV115-AV116-AV117-AV118-AV119)-AV122</f>
        <v>0</v>
      </c>
      <c r="AW123" s="584"/>
      <c r="AX123" s="583">
        <f>(AX109+AX110+AX111-AX115-AX116-AX117-AX118-AX119)-AX122</f>
        <v>0</v>
      </c>
      <c r="AY123" s="584"/>
      <c r="AZ123" s="583">
        <f>(AZ109+AZ110+AZ111-AZ115-AZ116-AZ117-AZ118-AZ119)-AZ122</f>
        <v>0</v>
      </c>
      <c r="BA123" s="584"/>
      <c r="BB123" s="583">
        <f>(BB109+BB110+BB111-BB115-BB116-BB117-BB118-BB119)-BB122</f>
        <v>0</v>
      </c>
      <c r="BC123" s="584"/>
      <c r="BD123" s="583">
        <f>(BD109+BD110+BD111-BD115-BD116-BD117-BD118-BD119)-BD122</f>
        <v>0</v>
      </c>
      <c r="BE123" s="584"/>
      <c r="BF123" s="583">
        <f>(BF109+BF110+BF111-BF115-BF116-BF117-BF118-BF119)-BF122</f>
        <v>0</v>
      </c>
      <c r="BG123" s="584"/>
      <c r="BH123" s="583">
        <f>(BH109+BH110+BH111-BH115-BH116-BH117-BH118-BH119)-BH122</f>
        <v>0</v>
      </c>
      <c r="BI123" s="584"/>
      <c r="BJ123" s="583">
        <f>(BJ109+BJ110+BJ111-BJ115-BJ116-BJ117-BJ118-BJ119)-BJ122</f>
        <v>0</v>
      </c>
      <c r="BK123" s="584"/>
      <c r="BL123" s="583">
        <f>(BL109+BL110+BL111-BL115-BL116-BL117-BL118-BL119)-BL122</f>
        <v>0</v>
      </c>
      <c r="BM123" s="584"/>
      <c r="BN123" s="583">
        <f>(BN109+BN110+BN111-BN115-BN116-BN117-BN118-BN119)-BN122</f>
        <v>0</v>
      </c>
      <c r="BO123" s="584"/>
      <c r="BP123" s="583">
        <f>(BP109+BP110+BP111-BP115-BP116-BP117-BP118-BP119)-BP122</f>
        <v>0</v>
      </c>
      <c r="BQ123" s="584"/>
      <c r="BR123" s="583">
        <f>(BR109+BR110+BR111-BR115-BR116-BR117-BR118-BR119)-BR122</f>
        <v>0</v>
      </c>
      <c r="BS123" s="584"/>
      <c r="BT123" s="583">
        <f>(BT109+BT110+BT111-BT115-BT116-BT117-BT118-BT119)-BT122</f>
        <v>0</v>
      </c>
      <c r="BU123" s="584"/>
      <c r="BV123" s="583">
        <f>(BV109+BV110+BV111-BV115-BV116-BV117-BV118-BV119)-BV122</f>
        <v>0</v>
      </c>
      <c r="BW123" s="584"/>
      <c r="BX123" s="583">
        <f>(BX109+BX110+BX111-BX115-BX116-BX117-BX118-BX119)-BX122</f>
        <v>0</v>
      </c>
      <c r="BY123" s="584"/>
      <c r="BZ123" s="583">
        <f>(BZ109+BZ110+BZ111-BZ115-BZ116-BZ117-BZ118-BZ119)-BZ122</f>
        <v>0</v>
      </c>
      <c r="CA123" s="584"/>
      <c r="CB123" s="583">
        <f>(CB109+CB110+CB111-CB115-CB116-CB117-CB118-CB119)-CB122</f>
        <v>0</v>
      </c>
      <c r="CC123" s="584"/>
      <c r="CD123" s="583">
        <f>(CD109+CD110+CD111-CD115-CD116-CD117-CD118-CD119)-CD122</f>
        <v>0</v>
      </c>
      <c r="CE123" s="584"/>
      <c r="CF123" s="583">
        <f>(CF109+CF110+CF111-CF115-CF116-CF117-CF118-CF119)-CF122</f>
        <v>0</v>
      </c>
      <c r="CG123" s="584"/>
      <c r="CH123" s="583">
        <f>(CH109+CH110+CH111-CH115-CH116-CH117-CH118-CH119)-CH122</f>
        <v>0</v>
      </c>
      <c r="CI123" s="584"/>
      <c r="CJ123" s="583">
        <f>(CJ109+CJ110+CJ111-CJ115-CJ116-CJ117-CJ118-CJ119)-CJ122</f>
        <v>0</v>
      </c>
      <c r="CK123" s="584"/>
      <c r="CL123" s="583">
        <f>(CL109+CL110+CL111-CL115-CL116-CL117-CL118-CL119)-CL122</f>
        <v>0</v>
      </c>
      <c r="CM123" s="584"/>
      <c r="CN123" s="583">
        <f>(CN109+CN110+CN111-CN115-CN116-CN117-CN118-CN119)-CN122</f>
        <v>0</v>
      </c>
      <c r="CO123" s="584"/>
      <c r="CP123" s="583">
        <f>(CP109+CP110+CP111-CP115-CP116-CP117-CP118-CP119)-CP122</f>
        <v>0</v>
      </c>
      <c r="CQ123" s="584"/>
      <c r="CR123" s="583">
        <f>(CR109+CR110+CR111-CR115-CR116-CR117-CR118-CR119)-CR122</f>
        <v>0</v>
      </c>
      <c r="CS123" s="584"/>
      <c r="CT123" s="583">
        <f>(CT109+CT110+CT111-CT115-CT116-CT117-CT118-CT119)-CT122</f>
        <v>0</v>
      </c>
      <c r="CU123" s="584"/>
      <c r="CV123" s="583">
        <f>(CV109+CV110+CV111-CV115-CV116-CV117-CV118-CV119)-CV122</f>
        <v>0</v>
      </c>
      <c r="CW123" s="584"/>
      <c r="CX123" s="583">
        <f>(CX109+CX110+CX111-CX115-CX116-CX117-CX118-CX119)-CX122</f>
        <v>0</v>
      </c>
      <c r="CY123" s="584"/>
      <c r="CZ123" s="583">
        <f>(CZ109+CZ110+CZ111-CZ115-CZ116-CZ117-CZ118-CZ119)-CZ122</f>
        <v>0</v>
      </c>
      <c r="DA123" s="584"/>
      <c r="DB123" s="583"/>
      <c r="DC123" s="583">
        <f>(DC109+DC110+DC111-DC115-DC116-DC117-DC118-DC119)-DC122</f>
        <v>0</v>
      </c>
      <c r="DD123" s="584"/>
      <c r="DE123" s="583">
        <f>(DE109+DE110+DE111-DE115-DE116-DE117-DE118-DE119)-DE122</f>
        <v>0</v>
      </c>
      <c r="DF123" s="584"/>
      <c r="DG123" s="583">
        <f>(DG109+DG110+DG111-DG115-DG116-DG117-DG118-DG119)-DG122</f>
        <v>0</v>
      </c>
      <c r="DH123" s="584"/>
      <c r="DI123" s="583">
        <f>(DI109+DI110+DI111-DI115-DI116-DI117-DI118-DI119)-DI122</f>
        <v>0</v>
      </c>
      <c r="DJ123" s="584"/>
      <c r="DK123" s="583">
        <f>(DK109+DK110+DK111-DK115-DK116-DK117-DK118-DK119)-DK122</f>
        <v>0</v>
      </c>
      <c r="DL123" s="584"/>
      <c r="DM123" s="583">
        <f>(DM109+DM110+DM111-DM115-DM116-DM117-DM118-DM119)-DM122</f>
        <v>0</v>
      </c>
      <c r="DN123" s="584"/>
      <c r="DO123" s="583">
        <f>(DO109+DO110+DO111-DO115-DO116-DO117-DO118-DO119)-DO122</f>
        <v>0</v>
      </c>
      <c r="DP123" s="584"/>
      <c r="DQ123" s="583">
        <f>(DQ109+DQ110+DQ111-DQ115-DQ116-DQ117-DQ118-DQ119)-DQ122</f>
        <v>0</v>
      </c>
      <c r="DR123" s="584"/>
      <c r="DS123" s="583">
        <f>(DS109+DS110+DS111-DS115-DS116-DS117-DS118-DS119)-DS122</f>
        <v>0</v>
      </c>
      <c r="DT123" s="584"/>
      <c r="DU123" s="583">
        <f>(DU109+DU110+DU111-DU115-DU116-DU117-DU118-DU119)-DU122</f>
        <v>0</v>
      </c>
      <c r="DV123" s="584"/>
      <c r="DW123" s="583">
        <f>(DW109+DW110+DW111-DW115-DW116-DW117-DW118-DW119)-DW122</f>
        <v>0</v>
      </c>
      <c r="DX123" s="584"/>
      <c r="DY123" s="583">
        <f>(DY109+DY110+DY111-DY115-DY116-DY117-DY118-DY119)-DY122</f>
        <v>0</v>
      </c>
      <c r="DZ123" s="584"/>
      <c r="EA123" s="583">
        <f>(EA109+EA110+EA111-EA115-EA116-EA117-EA118-EA119)-EA122</f>
        <v>0</v>
      </c>
      <c r="EB123" s="584"/>
      <c r="EC123" s="583">
        <f>(EC109+EC110+EC111-EC115-EC116-EC117-EC118-EC119)-EC122</f>
        <v>0</v>
      </c>
      <c r="ED123" s="584"/>
      <c r="EE123" s="583">
        <f>(EE109+EE110+EE111-EE115-EE116-EE117-EE118-EE119)-EE122</f>
        <v>0</v>
      </c>
      <c r="EF123" s="584"/>
      <c r="EG123" s="583">
        <f>(EG109+EG110+EG111-EG115-EG116-EG117-EG118-EG119)-EG122</f>
        <v>0</v>
      </c>
      <c r="EH123" s="584"/>
      <c r="EI123" s="583">
        <f>(EI109+EI110+EI111-EI115-EI116-EI117-EI118-EI119)-EI122</f>
        <v>0</v>
      </c>
      <c r="EJ123" s="584"/>
      <c r="EK123" s="583">
        <f>(EK109+EK110+EK111-EK115-EK116-EK117-EK118-EK119)-EK122</f>
        <v>0</v>
      </c>
      <c r="EL123" s="584"/>
      <c r="EM123" s="583"/>
      <c r="EN123" s="584"/>
    </row>
    <row r="124" spans="1:144" ht="12.75" hidden="1" customHeight="1" outlineLevel="1" x14ac:dyDescent="0.2">
      <c r="A124" s="575"/>
      <c r="B124" s="580"/>
      <c r="C124" s="577"/>
      <c r="D124" s="580"/>
      <c r="E124" s="577"/>
      <c r="F124" s="580"/>
      <c r="G124" s="577"/>
      <c r="H124" s="580"/>
      <c r="I124" s="577"/>
      <c r="J124" s="580"/>
      <c r="K124" s="577"/>
      <c r="L124" s="580"/>
      <c r="M124" s="577"/>
      <c r="N124" s="580"/>
      <c r="O124" s="577"/>
      <c r="P124" s="580"/>
      <c r="Q124" s="577"/>
      <c r="R124" s="580"/>
      <c r="S124" s="577"/>
      <c r="T124" s="580"/>
      <c r="U124" s="577"/>
      <c r="V124" s="580"/>
      <c r="W124" s="577"/>
      <c r="X124" s="580"/>
      <c r="Y124" s="577"/>
      <c r="Z124" s="580"/>
      <c r="AA124" s="577"/>
      <c r="AB124" s="580"/>
      <c r="AC124" s="577"/>
      <c r="AD124" s="580"/>
      <c r="AE124" s="577"/>
      <c r="AF124" s="580"/>
      <c r="AG124" s="577"/>
      <c r="AH124" s="580"/>
      <c r="AI124" s="577"/>
      <c r="AJ124" s="580"/>
      <c r="AK124" s="577"/>
      <c r="AL124" s="580"/>
      <c r="AM124" s="577"/>
      <c r="AN124" s="580"/>
      <c r="AO124" s="577"/>
      <c r="AP124" s="580"/>
      <c r="AQ124" s="577"/>
      <c r="AR124" s="580"/>
      <c r="AS124" s="577"/>
      <c r="AT124" s="580"/>
      <c r="AU124" s="577"/>
      <c r="AV124" s="580"/>
      <c r="AW124" s="577"/>
      <c r="AX124" s="580"/>
      <c r="AY124" s="577"/>
      <c r="AZ124" s="580"/>
      <c r="BA124" s="577"/>
      <c r="BB124" s="580"/>
      <c r="BC124" s="577"/>
      <c r="BD124" s="580"/>
      <c r="BE124" s="577"/>
      <c r="BF124" s="580"/>
      <c r="BG124" s="577"/>
      <c r="BH124" s="580"/>
      <c r="BI124" s="577"/>
      <c r="BJ124" s="580"/>
      <c r="BK124" s="577"/>
      <c r="BL124" s="580"/>
      <c r="BM124" s="577"/>
      <c r="BN124" s="580"/>
      <c r="BO124" s="577"/>
      <c r="BP124" s="580"/>
      <c r="BQ124" s="577"/>
      <c r="BR124" s="580"/>
      <c r="BS124" s="577"/>
      <c r="BT124" s="580"/>
      <c r="BU124" s="577"/>
      <c r="BV124" s="580"/>
      <c r="BW124" s="577"/>
      <c r="BX124" s="580"/>
      <c r="BY124" s="577"/>
      <c r="BZ124" s="580"/>
      <c r="CA124" s="577"/>
      <c r="CB124" s="580"/>
      <c r="CC124" s="577"/>
      <c r="CD124" s="580"/>
      <c r="CE124" s="577"/>
      <c r="CF124" s="580"/>
      <c r="CG124" s="577"/>
      <c r="CH124" s="580"/>
      <c r="CI124" s="577"/>
      <c r="CJ124" s="580"/>
      <c r="CK124" s="577"/>
      <c r="CL124" s="580"/>
      <c r="CM124" s="577"/>
      <c r="CN124" s="580"/>
      <c r="CO124" s="577"/>
      <c r="CP124" s="580"/>
      <c r="CQ124" s="577"/>
      <c r="CR124" s="580"/>
      <c r="CS124" s="577"/>
      <c r="CT124" s="580"/>
      <c r="CU124" s="577"/>
      <c r="CV124" s="580"/>
      <c r="CW124" s="577"/>
      <c r="CX124" s="580"/>
      <c r="CY124" s="577"/>
      <c r="CZ124" s="580"/>
      <c r="DA124" s="577"/>
      <c r="DB124" s="580"/>
      <c r="DC124" s="580"/>
      <c r="DD124" s="577"/>
      <c r="DE124" s="580"/>
      <c r="DF124" s="577"/>
      <c r="DG124" s="580"/>
      <c r="DH124" s="577"/>
      <c r="DI124" s="580"/>
      <c r="DJ124" s="577"/>
      <c r="DK124" s="580"/>
      <c r="DL124" s="577"/>
      <c r="DM124" s="580"/>
      <c r="DN124" s="577"/>
      <c r="DO124" s="580"/>
      <c r="DP124" s="577"/>
      <c r="DQ124" s="580"/>
      <c r="DR124" s="577"/>
      <c r="DS124" s="580"/>
      <c r="DT124" s="577"/>
      <c r="DU124" s="580"/>
      <c r="DV124" s="577"/>
      <c r="DW124" s="580"/>
      <c r="DX124" s="577"/>
      <c r="DY124" s="580"/>
      <c r="DZ124" s="577"/>
      <c r="EA124" s="580"/>
      <c r="EB124" s="577"/>
      <c r="EC124" s="580"/>
      <c r="ED124" s="577"/>
      <c r="EE124" s="580"/>
      <c r="EF124" s="577"/>
      <c r="EG124" s="580"/>
      <c r="EH124" s="577"/>
      <c r="EI124" s="580"/>
      <c r="EJ124" s="577"/>
      <c r="EK124" s="580"/>
      <c r="EL124" s="577"/>
      <c r="EM124" s="577"/>
    </row>
    <row r="125" spans="1:144" ht="12.75" hidden="1" customHeight="1" outlineLevel="1" x14ac:dyDescent="0.2">
      <c r="A125" s="575" t="s">
        <v>255</v>
      </c>
      <c r="B125" s="580"/>
      <c r="C125" s="577"/>
      <c r="D125" s="580"/>
      <c r="E125" s="577"/>
      <c r="F125" s="580"/>
      <c r="G125" s="577"/>
      <c r="H125" s="580"/>
      <c r="I125" s="577"/>
      <c r="J125" s="580"/>
      <c r="K125" s="577"/>
      <c r="L125" s="580"/>
      <c r="M125" s="577"/>
      <c r="N125" s="580"/>
      <c r="O125" s="577"/>
      <c r="P125" s="580"/>
      <c r="Q125" s="577"/>
      <c r="R125" s="580"/>
      <c r="S125" s="577"/>
      <c r="T125" s="580"/>
      <c r="U125" s="577"/>
      <c r="V125" s="580"/>
      <c r="W125" s="577"/>
      <c r="X125" s="580"/>
      <c r="Y125" s="577"/>
      <c r="Z125" s="580"/>
      <c r="AA125" s="577"/>
      <c r="AB125" s="580"/>
      <c r="AC125" s="577"/>
      <c r="AD125" s="580"/>
      <c r="AE125" s="577"/>
      <c r="AF125" s="580"/>
      <c r="AG125" s="577"/>
      <c r="AH125" s="580"/>
      <c r="AI125" s="577"/>
      <c r="AJ125" s="580"/>
      <c r="AK125" s="577"/>
      <c r="AL125" s="580"/>
      <c r="AM125" s="577"/>
      <c r="AN125" s="580"/>
      <c r="AO125" s="577"/>
      <c r="AP125" s="580"/>
      <c r="AQ125" s="577"/>
      <c r="AR125" s="580"/>
      <c r="AS125" s="577"/>
      <c r="AT125" s="580"/>
      <c r="AU125" s="577"/>
      <c r="AV125" s="580"/>
      <c r="AW125" s="577"/>
      <c r="AX125" s="580"/>
      <c r="AY125" s="577"/>
      <c r="AZ125" s="580"/>
      <c r="BA125" s="577"/>
      <c r="BB125" s="580"/>
      <c r="BC125" s="577"/>
      <c r="BD125" s="580"/>
      <c r="BE125" s="577"/>
      <c r="BF125" s="580"/>
      <c r="BG125" s="577"/>
      <c r="BH125" s="580"/>
      <c r="BI125" s="577"/>
      <c r="BJ125" s="580"/>
      <c r="BK125" s="577"/>
      <c r="BL125" s="580"/>
      <c r="BM125" s="577"/>
      <c r="BN125" s="580"/>
      <c r="BO125" s="577"/>
      <c r="BP125" s="580"/>
      <c r="BQ125" s="577"/>
      <c r="BR125" s="580"/>
      <c r="BS125" s="577"/>
      <c r="BT125" s="580"/>
      <c r="BU125" s="577"/>
      <c r="BV125" s="580"/>
      <c r="BW125" s="577"/>
      <c r="BX125" s="580"/>
      <c r="BY125" s="577"/>
      <c r="BZ125" s="580"/>
      <c r="CA125" s="577"/>
      <c r="CB125" s="580"/>
      <c r="CC125" s="577"/>
      <c r="CD125" s="580"/>
      <c r="CE125" s="577"/>
      <c r="CF125" s="580"/>
      <c r="CG125" s="577"/>
      <c r="CH125" s="580"/>
      <c r="CI125" s="577"/>
      <c r="CJ125" s="580"/>
      <c r="CK125" s="577"/>
      <c r="CL125" s="580"/>
      <c r="CM125" s="577"/>
      <c r="CN125" s="580"/>
      <c r="CO125" s="577"/>
      <c r="CP125" s="580"/>
      <c r="CQ125" s="577"/>
      <c r="CR125" s="580"/>
      <c r="CS125" s="577"/>
      <c r="CT125" s="580"/>
      <c r="CU125" s="577"/>
      <c r="CV125" s="580"/>
      <c r="CW125" s="577"/>
      <c r="CX125" s="580"/>
      <c r="CY125" s="577"/>
      <c r="CZ125" s="580"/>
      <c r="DA125" s="577"/>
      <c r="DB125" s="580"/>
      <c r="DC125" s="580"/>
      <c r="DD125" s="577"/>
      <c r="DE125" s="580"/>
      <c r="DF125" s="577"/>
      <c r="DG125" s="580"/>
      <c r="DH125" s="577"/>
      <c r="DI125" s="580"/>
      <c r="DJ125" s="577"/>
      <c r="DK125" s="580"/>
      <c r="DL125" s="577"/>
      <c r="DM125" s="580"/>
      <c r="DN125" s="577"/>
      <c r="DO125" s="580"/>
      <c r="DP125" s="577"/>
      <c r="DQ125" s="580"/>
      <c r="DR125" s="577"/>
      <c r="DS125" s="580"/>
      <c r="DT125" s="577"/>
      <c r="DU125" s="580"/>
      <c r="DV125" s="577"/>
      <c r="DW125" s="580"/>
      <c r="DX125" s="577"/>
      <c r="DY125" s="580"/>
      <c r="DZ125" s="577"/>
      <c r="EA125" s="580"/>
      <c r="EB125" s="577"/>
      <c r="EC125" s="580"/>
      <c r="ED125" s="577"/>
      <c r="EE125" s="580"/>
      <c r="EF125" s="577"/>
      <c r="EG125" s="580"/>
      <c r="EH125" s="577"/>
      <c r="EI125" s="580"/>
      <c r="EJ125" s="577"/>
      <c r="EK125" s="580"/>
      <c r="EL125" s="577"/>
      <c r="EM125" s="577"/>
    </row>
    <row r="126" spans="1:144" ht="12.75" hidden="1" customHeight="1" outlineLevel="1" x14ac:dyDescent="0.2">
      <c r="A126" s="579" t="str">
        <f>+INPUT!B94</f>
        <v>Pretax Margin</v>
      </c>
      <c r="B126" s="586">
        <f>+INPUT!AY94</f>
        <v>26.048565121412803</v>
      </c>
      <c r="C126" s="577">
        <f>+INPUT!AZ94</f>
        <v>10.445916114790293</v>
      </c>
      <c r="D126" s="586">
        <f>+INPUT!BA94</f>
        <v>26.012793176972281</v>
      </c>
      <c r="E126" s="577">
        <f>+INPUT!BB94</f>
        <v>8.1720112309738369</v>
      </c>
      <c r="F126" s="586">
        <f>+INPUT!BC94</f>
        <v>32.933104631217844</v>
      </c>
      <c r="G126" s="577">
        <f>+INPUT!BD94</f>
        <v>-9.791930792751117</v>
      </c>
      <c r="H126" s="586">
        <f>+INPUT!BE94</f>
        <v>25.838926174496645</v>
      </c>
      <c r="I126" s="577">
        <f>+INPUT!BF94</f>
        <v>-21.941146102219932</v>
      </c>
      <c r="J126" s="586">
        <f>+INPUT!BG94</f>
        <v>27.483443708609272</v>
      </c>
      <c r="K126" s="577">
        <f>+INPUT!BH94</f>
        <v>5.5084745762711975</v>
      </c>
      <c r="L126" s="586">
        <f>+INPUT!BI94</f>
        <v>28.481012658227851</v>
      </c>
      <c r="M126" s="577">
        <f>+INPUT!BJ94</f>
        <v>9.488483087777567</v>
      </c>
      <c r="N126" s="586">
        <f>+INPUT!BK94</f>
        <v>32.385466034755133</v>
      </c>
      <c r="O126" s="577">
        <f>+INPUT!BL94</f>
        <v>-1.6628817798841737</v>
      </c>
      <c r="P126" s="586">
        <f>+INPUT!BM94</f>
        <v>26.971608832807568</v>
      </c>
      <c r="Q126" s="577">
        <f>+INPUT!BN94</f>
        <v>4.3836289893071978</v>
      </c>
      <c r="R126" s="586">
        <f>+INPUT!BO94</f>
        <v>20.069808027923212</v>
      </c>
      <c r="S126" s="577">
        <f>+INPUT!BP94</f>
        <v>-26.974915368279397</v>
      </c>
      <c r="T126" s="586">
        <f>+INPUT!BQ94</f>
        <v>24.758842443729904</v>
      </c>
      <c r="U126" s="577">
        <f>+INPUT!BR94</f>
        <v>-13.068953197570565</v>
      </c>
      <c r="V126" s="586">
        <f>+INPUT!BS94</f>
        <v>-58.143939393939391</v>
      </c>
      <c r="W126" s="577" t="str">
        <f>+INPUT!BT94</f>
        <v>NM</v>
      </c>
      <c r="X126" s="586">
        <f>+INPUT!BU94</f>
        <v>-376.44927536231887</v>
      </c>
      <c r="Y126" s="577" t="str">
        <f>+INPUT!BV94</f>
        <v>NM</v>
      </c>
      <c r="Z126" s="586">
        <f>+INPUT!BW94</f>
        <v>-42.508710801393725</v>
      </c>
      <c r="AA126" s="577" t="str">
        <f>+INPUT!BX94</f>
        <v>NM</v>
      </c>
      <c r="AB126" s="586">
        <f>+INPUT!BY94</f>
        <v>82.741116751269033</v>
      </c>
      <c r="AC126" s="577" t="str">
        <f>+INPUT!BZ94</f>
        <v>NM</v>
      </c>
      <c r="AD126" s="586">
        <f>+INPUT!CA94</f>
        <v>48.238897396630939</v>
      </c>
      <c r="AE126" s="577" t="str">
        <f>+INPUT!CB94</f>
        <v>NM</v>
      </c>
      <c r="AF126" s="586">
        <f>+INPUT!CC94</f>
        <v>28.263988522238165</v>
      </c>
      <c r="AG126" s="577" t="str">
        <f>+INPUT!CD94</f>
        <v>NM</v>
      </c>
      <c r="AH126" s="586">
        <f>+INPUT!CE94</f>
        <v>29.644268774703558</v>
      </c>
      <c r="AI126" s="577" t="str">
        <f>+INPUT!CF94</f>
        <v>NM</v>
      </c>
      <c r="AJ126" s="586">
        <f>+INPUT!CG94</f>
        <v>-18.75</v>
      </c>
      <c r="AK126" s="577" t="str">
        <f>+INPUT!CH94</f>
        <v>NM</v>
      </c>
      <c r="AL126" s="586">
        <f>+INPUT!CI94</f>
        <v>68.40148698884758</v>
      </c>
      <c r="AM126" s="577">
        <f>+INPUT!CJ94</f>
        <v>41.797368265769734</v>
      </c>
      <c r="AN126" s="586">
        <f>+INPUT!CK94</f>
        <v>36.817653890824623</v>
      </c>
      <c r="AO126" s="577">
        <f>+INPUT!CL94</f>
        <v>30.263475948755143</v>
      </c>
      <c r="AP126" s="586">
        <f>+INPUT!CM94</f>
        <v>30.512249443207129</v>
      </c>
      <c r="AQ126" s="577">
        <f>+INPUT!CN94</f>
        <v>2.9279881217520369</v>
      </c>
      <c r="AR126" s="586">
        <f>+INPUT!CO94</f>
        <v>22.186495176848876</v>
      </c>
      <c r="AS126" s="577" t="str">
        <f>+INPUT!CP94</f>
        <v>NM</v>
      </c>
      <c r="AT126" s="586">
        <f>+INPUT!CQ94</f>
        <v>-21.215469613259668</v>
      </c>
      <c r="AU126" s="577" t="str">
        <f>+INPUT!CR94</f>
        <v>NM</v>
      </c>
      <c r="AV126" s="586">
        <f>+INPUT!CS94</f>
        <v>41.352549889135254</v>
      </c>
      <c r="AW126" s="577">
        <f>+INPUT!CT94</f>
        <v>12.317178090048756</v>
      </c>
      <c r="AX126" s="586">
        <f>+INPUT!CU94</f>
        <v>43.945720250521916</v>
      </c>
      <c r="AY126" s="577">
        <f>+INPUT!CV94</f>
        <v>44.026484616673997</v>
      </c>
      <c r="AZ126" s="586">
        <f>+INPUT!CW94</f>
        <v>11.053719008264464</v>
      </c>
      <c r="BA126" s="577" t="str">
        <f>+INPUT!CX94</f>
        <v>NM</v>
      </c>
      <c r="BB126" s="586">
        <f>+INPUT!CY94</f>
        <v>20.333988212180746</v>
      </c>
      <c r="BC126" s="577" t="str">
        <f>+INPUT!CZ94</f>
        <v>NM</v>
      </c>
      <c r="BD126" s="586">
        <f>+INPUT!DA94</f>
        <v>29.258902791145331</v>
      </c>
      <c r="BE126" s="577">
        <f>+INPUT!DB94</f>
        <v>-29.245227030527914</v>
      </c>
      <c r="BF126" s="586">
        <f>+INPUT!DC94</f>
        <v>34.831460674157306</v>
      </c>
      <c r="BG126" s="577">
        <f>+INPUT!DD94</f>
        <v>-20.739811577570777</v>
      </c>
      <c r="BH126" s="586">
        <f>+INPUT!DE94</f>
        <v>35.746201966041106</v>
      </c>
      <c r="BI126" s="577" t="str">
        <f>+INPUT!DF94</f>
        <v>NM</v>
      </c>
      <c r="BJ126" s="586">
        <f>+INPUT!DG94</f>
        <v>73.303571428571416</v>
      </c>
      <c r="BK126" s="577" t="str">
        <f>+INPUT!DH94</f>
        <v>NM</v>
      </c>
      <c r="BL126" s="586">
        <f>+INPUT!DI94</f>
        <v>42.487046632124354</v>
      </c>
      <c r="BM126" s="577">
        <f>+INPUT!DJ94</f>
        <v>45.210662667030277</v>
      </c>
      <c r="BN126" s="586">
        <f>+INPUT!DK94</f>
        <v>33.535004321521178</v>
      </c>
      <c r="BO126" s="577">
        <f>+INPUT!DL94</f>
        <v>-3.7220843672456567</v>
      </c>
      <c r="BP126" s="586">
        <f>+INPUT!DM94</f>
        <v>33.304867634500432</v>
      </c>
      <c r="BQ126" s="577">
        <f>+INPUT!DN94</f>
        <v>-6.8296327924850289</v>
      </c>
      <c r="BR126" s="586">
        <f>+INPUT!DO94</f>
        <v>30.814441645675906</v>
      </c>
      <c r="BS126" s="577" t="str">
        <f>+INPUT!DP94</f>
        <v>NM</v>
      </c>
      <c r="BT126" s="586">
        <f>+INPUT!DQ94</f>
        <v>27.036104114189758</v>
      </c>
      <c r="BU126" s="577">
        <f>+INPUT!DR94</f>
        <v>-36.366242755626544</v>
      </c>
      <c r="BV126" s="586">
        <f>+INPUT!DS94</f>
        <v>44.566133108677334</v>
      </c>
      <c r="BW126" s="577">
        <f>+INPUT!DT94</f>
        <v>32.894371151390914</v>
      </c>
      <c r="BX126" s="586">
        <f>+INPUT!DU94</f>
        <v>45.666666666666664</v>
      </c>
      <c r="BY126" s="577">
        <f>+INPUT!DV94</f>
        <v>37.11709401709399</v>
      </c>
      <c r="BZ126" s="586">
        <f>+INPUT!DW94</f>
        <v>26.563838903170524</v>
      </c>
      <c r="CA126" s="577">
        <f>+INPUT!DX94</f>
        <v>-13.794190371454789</v>
      </c>
      <c r="CB126" s="586">
        <f>+INPUT!DY94</f>
        <v>35.933391761612619</v>
      </c>
      <c r="CC126" s="577">
        <f>+INPUT!DZ94</f>
        <v>32.908911764225536</v>
      </c>
      <c r="CD126" s="586">
        <f>+INPUT!EA94</f>
        <v>29.576194770063118</v>
      </c>
      <c r="CE126" s="577">
        <f>+INPUT!EB94</f>
        <v>-33.635268067930198</v>
      </c>
      <c r="CF126" s="586">
        <f>+INPUT!EC94</f>
        <v>37.357830271216095</v>
      </c>
      <c r="CG126" s="577">
        <f>+INPUT!ED94</f>
        <v>-18.19453225281147</v>
      </c>
      <c r="CH126" s="586">
        <f>+INPUT!EE94</f>
        <v>48.157248157248155</v>
      </c>
      <c r="CI126" s="577">
        <f>+INPUT!EF94</f>
        <v>81.288737417769653</v>
      </c>
      <c r="CJ126" s="586">
        <f>+INPUT!EG94</f>
        <v>35.373009220452637</v>
      </c>
      <c r="CK126" s="577">
        <f>+INPUT!EH94</f>
        <v>-1.5595036084476561</v>
      </c>
      <c r="CL126" s="586">
        <f>+INPUT!EI94</f>
        <v>38.518518518518519</v>
      </c>
      <c r="CM126" s="577">
        <f>+INPUT!EJ94</f>
        <v>30.234869015356821</v>
      </c>
      <c r="CN126" s="586">
        <f>+INPUT!EK94</f>
        <v>46.86064318529862</v>
      </c>
      <c r="CO126" s="577">
        <f>+INPUT!EL94</f>
        <v>25.437272039335653</v>
      </c>
      <c r="CP126" s="586">
        <f>+INPUT!EM94</f>
        <v>44.24846625766871</v>
      </c>
      <c r="CQ126" s="577">
        <f>+INPUT!EN94</f>
        <v>-8.1167052710654843</v>
      </c>
      <c r="CR126" s="586">
        <f>+INPUT!EO94</f>
        <v>42.101167315175097</v>
      </c>
      <c r="CS126" s="577">
        <f>+INPUT!EP94</f>
        <v>19.02059859479597</v>
      </c>
      <c r="CT126" s="586">
        <f>+INPUT!EQ94</f>
        <v>41.267078572561886</v>
      </c>
      <c r="CU126" s="577">
        <f>+INPUT!ER94</f>
        <v>7.1356847556895104</v>
      </c>
      <c r="CV126" s="586">
        <f>+INPUT!ES94</f>
        <v>41.316021401028202</v>
      </c>
      <c r="CW126" s="577">
        <f>+INPUT!ET94</f>
        <v>-11.832150408916945</v>
      </c>
      <c r="CX126" s="586">
        <f>+INPUT!EU94</f>
        <v>41.337257635709243</v>
      </c>
      <c r="CY126" s="577">
        <f>+INPUT!EV94</f>
        <v>-6.5792305771839636</v>
      </c>
      <c r="CZ126" s="586">
        <f>+INPUT!EW94</f>
        <v>39.715672649389703</v>
      </c>
      <c r="DA126" s="577">
        <f>+INPUT!EX94</f>
        <v>-5.6661010083812045</v>
      </c>
      <c r="DB126" s="604"/>
      <c r="DC126" s="586">
        <f>+INPUT!FP94</f>
        <v>29.411764705882355</v>
      </c>
      <c r="DD126" s="577">
        <f>+INPUT!FQ94</f>
        <v>8.6926573908251896</v>
      </c>
      <c r="DE126" s="586">
        <f>+INPUT!FR94</f>
        <v>27.891480247501189</v>
      </c>
      <c r="DF126" s="577">
        <f>+INPUT!FS94</f>
        <v>-5.1689671584959598</v>
      </c>
      <c r="DG126" s="586">
        <f>+INPUT!FT94</f>
        <v>28.845385537355174</v>
      </c>
      <c r="DH126" s="577">
        <f>+INPUT!FU94</f>
        <v>3.4200597508246204</v>
      </c>
      <c r="DI126" s="586">
        <f>+INPUT!FV94</f>
        <v>-39.187525646286417</v>
      </c>
      <c r="DJ126" s="577" t="str">
        <f>+INPUT!FW94</f>
        <v>NM</v>
      </c>
      <c r="DK126" s="586">
        <f>+INPUT!FX94</f>
        <v>26.719681908548708</v>
      </c>
      <c r="DL126" s="577" t="str">
        <f>+INPUT!FY94</f>
        <v>NM</v>
      </c>
      <c r="DM126" s="586">
        <f>+INPUT!FZ94</f>
        <v>29.733959311424101</v>
      </c>
      <c r="DN126" s="577">
        <f>+INPUT!GA94</f>
        <v>11.281112601535142</v>
      </c>
      <c r="DO126" s="586">
        <f>+INPUT!GB94</f>
        <v>18.196811434854315</v>
      </c>
      <c r="DP126" s="577">
        <f>+INPUT!GC94</f>
        <v>-38.801249963832078</v>
      </c>
      <c r="DQ126" s="586">
        <f>+INPUT!GD94</f>
        <v>26.085864925935226</v>
      </c>
      <c r="DR126" s="577">
        <f>+INPUT!GE94</f>
        <v>43.35404320325128</v>
      </c>
      <c r="DS126" s="586">
        <f>+INPUT!GF94</f>
        <v>46.696528555431129</v>
      </c>
      <c r="DT126" s="577">
        <f>+INPUT!GG94</f>
        <v>79.010850083043465</v>
      </c>
      <c r="DU126" s="586">
        <f>+INPUT!GH94</f>
        <v>31.146496815286621</v>
      </c>
      <c r="DV126" s="577">
        <f>+INPUT!GI94</f>
        <v>-33.300187875177571</v>
      </c>
      <c r="DW126" s="586">
        <f>+INPUT!GJ94</f>
        <v>38.274760383386578</v>
      </c>
      <c r="DX126" s="577">
        <f>+INPUT!GK94</f>
        <v>22.886244993695158</v>
      </c>
      <c r="DY126" s="586">
        <f>+INPUT!GL94</f>
        <v>37.826832404629236</v>
      </c>
      <c r="DZ126" s="577">
        <f>+INPUT!GM94</f>
        <v>-1.1702959712107486</v>
      </c>
      <c r="EA126" s="586">
        <f>+INPUT!GN94</f>
        <v>43.013698630136986</v>
      </c>
      <c r="EB126" s="577">
        <f>+INPUT!GO94</f>
        <v>13.712134735534946</v>
      </c>
      <c r="EC126" s="586">
        <f>+INPUT!GP94</f>
        <v>40.909311920713932</v>
      </c>
      <c r="ED126" s="577">
        <f>+INPUT!GQ94</f>
        <v>-4.8923640059835236</v>
      </c>
      <c r="EE126" s="586">
        <f>+INPUT!GR94</f>
        <v>40.360880956712741</v>
      </c>
      <c r="EF126" s="577">
        <f>+INPUT!GS94</f>
        <v>-1.3406017805044002</v>
      </c>
      <c r="EG126" s="586">
        <f>+INPUT!GT94</f>
        <v>39.76298524881215</v>
      </c>
      <c r="EH126" s="577">
        <f>+INPUT!GU94</f>
        <v>-1.4813742756057167</v>
      </c>
      <c r="EI126" s="586">
        <f>+INPUT!GV94</f>
        <v>39.146119411183463</v>
      </c>
      <c r="EJ126" s="577">
        <f>+INPUT!GW94</f>
        <v>-1.5513569561458382</v>
      </c>
      <c r="EK126" s="586">
        <f>+INPUT!GX94</f>
        <v>38.508089941721579</v>
      </c>
      <c r="EL126" s="577">
        <f>+INPUT!GY94</f>
        <v>-1.6298664569025192</v>
      </c>
      <c r="EM126" s="577">
        <f>+INPUT!GZ94</f>
        <v>-2.188698467888095</v>
      </c>
    </row>
    <row r="127" spans="1:144" ht="12.75" hidden="1" customHeight="1" outlineLevel="1" x14ac:dyDescent="0.2">
      <c r="A127" s="579"/>
      <c r="B127" s="580"/>
      <c r="C127" s="577"/>
      <c r="D127" s="580"/>
      <c r="E127" s="577"/>
      <c r="F127" s="580"/>
      <c r="G127" s="577"/>
      <c r="H127" s="580"/>
      <c r="I127" s="577"/>
      <c r="J127" s="580"/>
      <c r="K127" s="577"/>
      <c r="L127" s="580"/>
      <c r="M127" s="577"/>
      <c r="N127" s="580"/>
      <c r="O127" s="577"/>
      <c r="P127" s="580"/>
      <c r="Q127" s="577"/>
      <c r="R127" s="580"/>
      <c r="S127" s="577"/>
      <c r="T127" s="580"/>
      <c r="U127" s="577"/>
      <c r="V127" s="580"/>
      <c r="W127" s="577"/>
      <c r="X127" s="580"/>
      <c r="Y127" s="577"/>
      <c r="Z127" s="580"/>
      <c r="AA127" s="577"/>
      <c r="AB127" s="580"/>
      <c r="AC127" s="577"/>
      <c r="AD127" s="580"/>
      <c r="AE127" s="577"/>
      <c r="AF127" s="580"/>
      <c r="AG127" s="577"/>
      <c r="AH127" s="580"/>
      <c r="AI127" s="577"/>
      <c r="AJ127" s="580"/>
      <c r="AK127" s="577"/>
      <c r="AL127" s="580"/>
      <c r="AM127" s="577"/>
      <c r="AN127" s="580"/>
      <c r="AO127" s="577"/>
      <c r="AP127" s="580"/>
      <c r="AQ127" s="577"/>
      <c r="AR127" s="580"/>
      <c r="AS127" s="577"/>
      <c r="AT127" s="580"/>
      <c r="AU127" s="577"/>
      <c r="AV127" s="580"/>
      <c r="AW127" s="577"/>
      <c r="AX127" s="580"/>
      <c r="AY127" s="577"/>
      <c r="AZ127" s="580"/>
      <c r="BA127" s="577"/>
      <c r="BB127" s="580"/>
      <c r="BC127" s="577"/>
      <c r="BD127" s="580"/>
      <c r="BE127" s="577"/>
      <c r="BF127" s="580"/>
      <c r="BG127" s="577"/>
      <c r="BH127" s="580"/>
      <c r="BI127" s="577"/>
      <c r="BJ127" s="580"/>
      <c r="BK127" s="577"/>
      <c r="BL127" s="580"/>
      <c r="BM127" s="577"/>
      <c r="BN127" s="580"/>
      <c r="BO127" s="577"/>
      <c r="BP127" s="580"/>
      <c r="BQ127" s="577"/>
      <c r="BR127" s="580"/>
      <c r="BS127" s="577"/>
      <c r="BT127" s="580"/>
      <c r="BU127" s="577"/>
      <c r="BV127" s="580"/>
      <c r="BW127" s="577"/>
      <c r="BX127" s="580"/>
      <c r="BY127" s="577"/>
      <c r="BZ127" s="580"/>
      <c r="CA127" s="577"/>
      <c r="CB127" s="580"/>
      <c r="CC127" s="577"/>
      <c r="CD127" s="580"/>
      <c r="CE127" s="577"/>
      <c r="CF127" s="580"/>
      <c r="CG127" s="577"/>
      <c r="CH127" s="580"/>
      <c r="CI127" s="577"/>
      <c r="CJ127" s="580"/>
      <c r="CK127" s="577"/>
      <c r="CL127" s="580"/>
      <c r="CM127" s="577"/>
      <c r="CN127" s="580"/>
      <c r="CO127" s="577"/>
      <c r="CP127" s="580"/>
      <c r="CQ127" s="577"/>
      <c r="CR127" s="580"/>
      <c r="CS127" s="577"/>
      <c r="CT127" s="580"/>
      <c r="CU127" s="577"/>
      <c r="CV127" s="580"/>
      <c r="CW127" s="577"/>
      <c r="CX127" s="580"/>
      <c r="CY127" s="577"/>
      <c r="CZ127" s="580"/>
      <c r="DA127" s="577"/>
      <c r="DB127" s="605"/>
      <c r="DC127" s="580"/>
      <c r="DD127" s="577"/>
      <c r="DE127" s="580"/>
      <c r="DF127" s="577"/>
      <c r="DG127" s="580"/>
      <c r="DH127" s="577"/>
      <c r="DI127" s="580"/>
      <c r="DJ127" s="577"/>
      <c r="DK127" s="580"/>
      <c r="DL127" s="577"/>
      <c r="DM127" s="580"/>
      <c r="DN127" s="577"/>
      <c r="DO127" s="580"/>
      <c r="DP127" s="577"/>
      <c r="DQ127" s="580"/>
      <c r="DR127" s="577"/>
      <c r="DS127" s="580"/>
      <c r="DT127" s="577"/>
      <c r="DU127" s="580"/>
      <c r="DV127" s="577"/>
      <c r="DW127" s="580"/>
      <c r="DX127" s="577"/>
      <c r="DY127" s="580"/>
      <c r="DZ127" s="577"/>
      <c r="EA127" s="580"/>
      <c r="EB127" s="577"/>
      <c r="EC127" s="580"/>
      <c r="ED127" s="577"/>
      <c r="EE127" s="580"/>
      <c r="EF127" s="577"/>
      <c r="EG127" s="580"/>
      <c r="EH127" s="577"/>
      <c r="EI127" s="580"/>
      <c r="EJ127" s="577"/>
      <c r="EK127" s="580"/>
      <c r="EL127" s="577"/>
      <c r="EM127" s="577"/>
    </row>
    <row r="128" spans="1:144" ht="12.75" hidden="1" customHeight="1" outlineLevel="1" x14ac:dyDescent="0.2">
      <c r="A128" s="575" t="s">
        <v>498</v>
      </c>
      <c r="B128" s="580"/>
      <c r="C128" s="577"/>
      <c r="D128" s="580"/>
      <c r="E128" s="577"/>
      <c r="F128" s="580"/>
      <c r="G128" s="577"/>
      <c r="H128" s="580"/>
      <c r="I128" s="577"/>
      <c r="J128" s="580"/>
      <c r="K128" s="577"/>
      <c r="L128" s="580"/>
      <c r="M128" s="577"/>
      <c r="N128" s="580"/>
      <c r="O128" s="577"/>
      <c r="P128" s="580"/>
      <c r="Q128" s="577"/>
      <c r="R128" s="580"/>
      <c r="S128" s="577"/>
      <c r="T128" s="580"/>
      <c r="U128" s="577"/>
      <c r="V128" s="580"/>
      <c r="W128" s="577"/>
      <c r="X128" s="580"/>
      <c r="Y128" s="577"/>
      <c r="Z128" s="580"/>
      <c r="AA128" s="577"/>
      <c r="AB128" s="580"/>
      <c r="AC128" s="577"/>
      <c r="AD128" s="580"/>
      <c r="AE128" s="577"/>
      <c r="AF128" s="580"/>
      <c r="AG128" s="577"/>
      <c r="AH128" s="580"/>
      <c r="AI128" s="577"/>
      <c r="AJ128" s="580"/>
      <c r="AK128" s="577"/>
      <c r="AL128" s="580"/>
      <c r="AM128" s="577"/>
      <c r="AN128" s="580"/>
      <c r="AO128" s="577"/>
      <c r="AP128" s="580"/>
      <c r="AQ128" s="577"/>
      <c r="AR128" s="580"/>
      <c r="AS128" s="577"/>
      <c r="AT128" s="580"/>
      <c r="AU128" s="577"/>
      <c r="AV128" s="580"/>
      <c r="AW128" s="577"/>
      <c r="AX128" s="580"/>
      <c r="AY128" s="577"/>
      <c r="AZ128" s="580"/>
      <c r="BA128" s="577"/>
      <c r="BB128" s="580"/>
      <c r="BC128" s="577"/>
      <c r="BD128" s="580"/>
      <c r="BE128" s="577"/>
      <c r="BF128" s="580"/>
      <c r="BG128" s="577"/>
      <c r="BH128" s="580"/>
      <c r="BI128" s="577"/>
      <c r="BJ128" s="580"/>
      <c r="BK128" s="577"/>
      <c r="BL128" s="580"/>
      <c r="BM128" s="577"/>
      <c r="BN128" s="580"/>
      <c r="BO128" s="577"/>
      <c r="BP128" s="580"/>
      <c r="BQ128" s="577"/>
      <c r="BR128" s="580"/>
      <c r="BS128" s="577"/>
      <c r="BT128" s="580"/>
      <c r="BU128" s="577"/>
      <c r="BV128" s="580"/>
      <c r="BW128" s="577"/>
      <c r="BX128" s="580"/>
      <c r="BY128" s="577"/>
      <c r="BZ128" s="580"/>
      <c r="CA128" s="577"/>
      <c r="CB128" s="580"/>
      <c r="CC128" s="577"/>
      <c r="CD128" s="580"/>
      <c r="CE128" s="577"/>
      <c r="CF128" s="580"/>
      <c r="CG128" s="577"/>
      <c r="CH128" s="580"/>
      <c r="CI128" s="577"/>
      <c r="CJ128" s="580"/>
      <c r="CK128" s="577"/>
      <c r="CL128" s="580"/>
      <c r="CM128" s="577"/>
      <c r="CN128" s="580"/>
      <c r="CO128" s="577"/>
      <c r="CP128" s="580"/>
      <c r="CQ128" s="577"/>
      <c r="CR128" s="580"/>
      <c r="CS128" s="577"/>
      <c r="CT128" s="580"/>
      <c r="CU128" s="577"/>
      <c r="CV128" s="580"/>
      <c r="CW128" s="577"/>
      <c r="CX128" s="580"/>
      <c r="CY128" s="577"/>
      <c r="CZ128" s="580"/>
      <c r="DA128" s="577"/>
      <c r="DB128" s="581"/>
      <c r="DC128" s="580"/>
      <c r="DD128" s="577"/>
      <c r="DE128" s="580"/>
      <c r="DF128" s="577"/>
      <c r="DG128" s="580"/>
      <c r="DH128" s="577"/>
      <c r="DI128" s="580"/>
      <c r="DJ128" s="577"/>
      <c r="DK128" s="580"/>
      <c r="DL128" s="577"/>
      <c r="DM128" s="580"/>
      <c r="DN128" s="577"/>
      <c r="DO128" s="580"/>
      <c r="DP128" s="577"/>
      <c r="DQ128" s="580"/>
      <c r="DR128" s="577"/>
      <c r="DS128" s="580"/>
      <c r="DT128" s="577"/>
      <c r="DU128" s="580"/>
      <c r="DV128" s="577"/>
      <c r="DW128" s="580"/>
      <c r="DX128" s="577"/>
      <c r="DY128" s="580"/>
      <c r="DZ128" s="577"/>
      <c r="EA128" s="580"/>
      <c r="EB128" s="577"/>
      <c r="EC128" s="580"/>
      <c r="ED128" s="577"/>
      <c r="EE128" s="580"/>
      <c r="EF128" s="577"/>
      <c r="EG128" s="580"/>
      <c r="EH128" s="577"/>
      <c r="EI128" s="580"/>
      <c r="EJ128" s="577"/>
      <c r="EK128" s="580"/>
      <c r="EL128" s="577"/>
      <c r="EM128" s="577"/>
    </row>
    <row r="129" spans="1:143" ht="12.75" hidden="1" customHeight="1" outlineLevel="1" x14ac:dyDescent="0.2">
      <c r="A129" s="579" t="s">
        <v>68</v>
      </c>
      <c r="B129" s="586">
        <f>INPUT!AY590</f>
        <v>12.330198537095088</v>
      </c>
      <c r="C129" s="577">
        <f>INPUT!AZ590</f>
        <v>3.1129789750479375</v>
      </c>
      <c r="D129" s="586">
        <f>INPUT!BA590</f>
        <v>12.964930924548353</v>
      </c>
      <c r="E129" s="577">
        <f>INPUT!BB590</f>
        <v>9.9972034230102196</v>
      </c>
      <c r="F129" s="586">
        <f>INPUT!BC590</f>
        <v>16.436903499469775</v>
      </c>
      <c r="G129" s="577">
        <f>INPUT!BD590</f>
        <v>38.449302553226175</v>
      </c>
      <c r="H129" s="586">
        <f>INPUT!BE590</f>
        <v>15.843621399176955</v>
      </c>
      <c r="I129" s="577">
        <f>INPUT!BF590</f>
        <v>31.796496594923326</v>
      </c>
      <c r="J129" s="586">
        <f>INPUT!BG590</f>
        <v>15.815548780487806</v>
      </c>
      <c r="K129" s="577">
        <f>INPUT!BH590</f>
        <v>28.266781211244336</v>
      </c>
      <c r="L129" s="586">
        <f>INPUT!BI590</f>
        <v>16.423357664233578</v>
      </c>
      <c r="M129" s="577">
        <f>INPUT!BJ590</f>
        <v>26.675242311834396</v>
      </c>
      <c r="N129" s="586">
        <f>INPUT!BK590</f>
        <v>13.587786259541984</v>
      </c>
      <c r="O129" s="577">
        <f>INPUT!BL590</f>
        <v>-17.333661659689724</v>
      </c>
      <c r="P129" s="586">
        <f>INPUT!BM590</f>
        <v>14.906303236797275</v>
      </c>
      <c r="Q129" s="577">
        <f>INPUT!BN590</f>
        <v>-5.9160600898249953</v>
      </c>
      <c r="R129" s="586">
        <f>INPUT!BO590</f>
        <v>12.208067940552016</v>
      </c>
      <c r="S129" s="577">
        <f>INPUT!BP590</f>
        <v>-22.809710178292804</v>
      </c>
      <c r="T129" s="586">
        <f>INPUT!BQ590</f>
        <v>14.338919925512103</v>
      </c>
      <c r="U129" s="577">
        <f>INPUT!BR590</f>
        <v>-12.691909786881865</v>
      </c>
      <c r="V129" s="586">
        <f>INPUT!BS590</f>
        <v>11.458333333333332</v>
      </c>
      <c r="W129" s="577">
        <f>INPUT!BT590</f>
        <v>-15.671816479400761</v>
      </c>
      <c r="X129" s="586">
        <f>INPUT!BU590</f>
        <v>16.521739130434781</v>
      </c>
      <c r="Y129" s="577">
        <f>INPUT!BV590</f>
        <v>10.837267080745335</v>
      </c>
      <c r="Z129" s="586">
        <f>INPUT!BW590</f>
        <v>13.539967373572596</v>
      </c>
      <c r="AA129" s="577">
        <f>INPUT!BX590</f>
        <v>10.90999361656857</v>
      </c>
      <c r="AB129" s="586">
        <f>INPUT!BY590</f>
        <v>10.224089635854341</v>
      </c>
      <c r="AC129" s="577">
        <f>INPUT!BZ590</f>
        <v>-28.696933318782058</v>
      </c>
      <c r="AD129" s="586">
        <f>INPUT!CA590</f>
        <v>28.143712574850298</v>
      </c>
      <c r="AE129" s="577" t="str">
        <f>INPUT!CB590</f>
        <v>NM</v>
      </c>
      <c r="AF129" s="586">
        <f>INPUT!CC590</f>
        <v>17.201166180758019</v>
      </c>
      <c r="AG129" s="577">
        <f>INPUT!CD590</f>
        <v>4.1123216203774859</v>
      </c>
      <c r="AH129" s="586">
        <f>INPUT!CE590</f>
        <v>16.6446499339498</v>
      </c>
      <c r="AI129" s="577">
        <f>INPUT!CF590</f>
        <v>22.92976397001479</v>
      </c>
      <c r="AJ129" s="586">
        <f>INPUT!CG590</f>
        <v>17.262638717632552</v>
      </c>
      <c r="AK129" s="577">
        <f>INPUT!CH590</f>
        <v>68.842795128625227</v>
      </c>
      <c r="AL129" s="586">
        <f>INPUT!CI590</f>
        <v>18.543046357615893</v>
      </c>
      <c r="AM129" s="577">
        <f>INPUT!CJ590</f>
        <v>-34.113005495279694</v>
      </c>
      <c r="AN129" s="586">
        <f>INPUT!CK590</f>
        <v>19.610091743119266</v>
      </c>
      <c r="AO129" s="577">
        <f>INPUT!CL590</f>
        <v>14.004431659150967</v>
      </c>
      <c r="AP129" s="586">
        <f>INPUT!CM590</f>
        <v>22.701905865010001</v>
      </c>
      <c r="AQ129" s="577">
        <f>INPUT!CN590</f>
        <v>36.391609046131521</v>
      </c>
      <c r="AR129" s="586">
        <f>INPUT!CO590</f>
        <v>21.900452488687783</v>
      </c>
      <c r="AS129" s="577">
        <f>INPUT!CP590</f>
        <v>26.86619263089851</v>
      </c>
      <c r="AT129" s="586">
        <f>INPUT!CQ590</f>
        <v>23.296032553407937</v>
      </c>
      <c r="AU129" s="577">
        <f>INPUT!CR590</f>
        <v>25.632175555878533</v>
      </c>
      <c r="AV129" s="586">
        <f>INPUT!CS590</f>
        <v>20.143149284253578</v>
      </c>
      <c r="AW129" s="577">
        <f>INPUT!CT590</f>
        <v>2.7182817302287674</v>
      </c>
      <c r="AX129" s="586">
        <f>INPUT!CU590</f>
        <v>24.245689655172413</v>
      </c>
      <c r="AY129" s="577">
        <f>INPUT!CV590</f>
        <v>6.8002387083359963</v>
      </c>
      <c r="AZ129" s="586">
        <f>INPUT!CW590</f>
        <v>20.961887477313976</v>
      </c>
      <c r="BA129" s="577">
        <f>INPUT!CX590</f>
        <v>-4.2855964362316428</v>
      </c>
      <c r="BB129" s="586">
        <f>INPUT!CY590</f>
        <v>21.482729570345409</v>
      </c>
      <c r="BC129" s="577">
        <f>INPUT!CZ590</f>
        <v>-7.7837416259845611</v>
      </c>
      <c r="BD129" s="586">
        <f>INPUT!DA590</f>
        <v>24.116607773851591</v>
      </c>
      <c r="BE129" s="577">
        <f>INPUT!DB590</f>
        <v>19.726103567649005</v>
      </c>
      <c r="BF129" s="586">
        <f>INPUT!DC590</f>
        <v>22.59475218658892</v>
      </c>
      <c r="BG129" s="577">
        <f>INPUT!DD590</f>
        <v>-6.809199870424365</v>
      </c>
      <c r="BH129" s="586">
        <f>INPUT!DE590</f>
        <v>23.705324580598102</v>
      </c>
      <c r="BI129" s="577">
        <f>INPUT!DF590</f>
        <v>13.087738908307827</v>
      </c>
      <c r="BJ129" s="586">
        <f>INPUT!DG590</f>
        <v>24.422442244224424</v>
      </c>
      <c r="BK129" s="577">
        <f>INPUT!DH590</f>
        <v>13.684074289781933</v>
      </c>
      <c r="BL129" s="586">
        <f>INPUT!DI590</f>
        <v>26.069246435845212</v>
      </c>
      <c r="BM129" s="577">
        <f>INPUT!DJ590</f>
        <v>8.0966555508307039</v>
      </c>
      <c r="BN129" s="586">
        <f>INPUT!DK590</f>
        <v>25.309405940594061</v>
      </c>
      <c r="BO129" s="577">
        <f>INPUT!DL590</f>
        <v>12.014532098371134</v>
      </c>
      <c r="BP129" s="586">
        <f>INPUT!DM590</f>
        <v>24.097859327217126</v>
      </c>
      <c r="BQ129" s="577">
        <f>INPUT!DN590</f>
        <v>1.6558927311220941</v>
      </c>
      <c r="BR129" s="586">
        <f>INPUT!DO590</f>
        <v>25.234815278647467</v>
      </c>
      <c r="BS129" s="577">
        <f>INPUT!DP590</f>
        <v>3.3263382355430053</v>
      </c>
      <c r="BT129" s="586">
        <f>INPUT!DQ590</f>
        <v>26.069518716577537</v>
      </c>
      <c r="BU129" s="577">
        <f>INPUT!DR590</f>
        <v>1.0444518716496987E-3</v>
      </c>
      <c r="BV129" s="586">
        <f>INPUT!DS590</f>
        <v>25.667475728155342</v>
      </c>
      <c r="BW129" s="577">
        <f>INPUT!DT590</f>
        <v>1.4147696251810089</v>
      </c>
      <c r="BX129" s="586">
        <f>INPUT!DU590</f>
        <v>25.824175824175828</v>
      </c>
      <c r="BY129" s="577">
        <f>INPUT!DV590</f>
        <v>7.1637753109834392</v>
      </c>
      <c r="BZ129" s="586">
        <f>INPUT!DW590</f>
        <v>26.761473820297351</v>
      </c>
      <c r="CA129" s="577">
        <f>INPUT!DX590</f>
        <v>6.0498106476795499</v>
      </c>
      <c r="CB129" s="586">
        <f>INPUT!DY590</f>
        <v>31.620243232640249</v>
      </c>
      <c r="CC129" s="577">
        <f>INPUT!DZ590</f>
        <v>21.292009938537987</v>
      </c>
      <c r="CD129" s="586">
        <f>INPUT!EA590</f>
        <v>26.774420238931835</v>
      </c>
      <c r="CE129" s="577">
        <f>INPUT!EB590</f>
        <v>4.3126348788644435</v>
      </c>
      <c r="CF129" s="586">
        <f>INPUT!EC590</f>
        <v>25.134048257372655</v>
      </c>
      <c r="CG129" s="577">
        <f>INPUT!ED590</f>
        <v>-2.6724088757058979</v>
      </c>
      <c r="CH129" s="586">
        <f>INPUT!EE590</f>
        <v>30.901582931865107</v>
      </c>
      <c r="CI129" s="577">
        <f>INPUT!EF590</f>
        <v>15.470407718829279</v>
      </c>
      <c r="CJ129" s="586">
        <f>INPUT!EG590</f>
        <v>29.325920778318277</v>
      </c>
      <c r="CK129" s="577">
        <f>INPUT!EH590</f>
        <v>-7.2558659256410749</v>
      </c>
      <c r="CL129" s="586">
        <f>INPUT!EI590</f>
        <v>27.32150478629352</v>
      </c>
      <c r="CM129" s="577">
        <f>INPUT!EJ590</f>
        <v>2.0433105272852288</v>
      </c>
      <c r="CN129" s="586">
        <f>INPUT!EK590</f>
        <v>28.507795100222715</v>
      </c>
      <c r="CO129" s="577">
        <f>INPUT!EL590</f>
        <v>13.423014105419441</v>
      </c>
      <c r="CP129" s="586">
        <f>INPUT!EM590</f>
        <v>30.472350230414747</v>
      </c>
      <c r="CQ129" s="577">
        <f>INPUT!EN590</f>
        <v>-1.3890314369874659</v>
      </c>
      <c r="CR129" s="586">
        <f>INPUT!EO590</f>
        <v>33.482142857142854</v>
      </c>
      <c r="CS129" s="577">
        <f>INPUT!EP590</f>
        <v>14.172520311442099</v>
      </c>
      <c r="CT129" s="586">
        <f>INPUT!EQ590</f>
        <v>30.742467350833508</v>
      </c>
      <c r="CU129" s="577">
        <f>INPUT!ER590</f>
        <v>12.521135242361154</v>
      </c>
      <c r="CV129" s="586">
        <f>INPUT!ES590</f>
        <v>30.371190503611668</v>
      </c>
      <c r="CW129" s="577">
        <f>INPUT!ET590</f>
        <v>6.53644168845031</v>
      </c>
      <c r="CX129" s="586">
        <f>INPUT!EU590</f>
        <v>30.754144604612137</v>
      </c>
      <c r="CY129" s="577">
        <f>INPUT!EV590</f>
        <v>0.92475431683681109</v>
      </c>
      <c r="CZ129" s="586">
        <f>INPUT!EW590</f>
        <v>32.785245897823472</v>
      </c>
      <c r="DA129" s="577">
        <f>INPUT!EX590</f>
        <v>-2.0813989185005539</v>
      </c>
      <c r="DB129" s="586"/>
      <c r="DC129" s="586">
        <f>INPUT!FP590</f>
        <v>11.849456042340488</v>
      </c>
      <c r="DD129" s="577">
        <f>INPUT!FQ590</f>
        <v>-17.75441821511744</v>
      </c>
      <c r="DE129" s="586">
        <f>INPUT!FR590</f>
        <v>14.466403162055336</v>
      </c>
      <c r="DF129" s="577">
        <f>INPUT!FS590</f>
        <v>22.084955717494296</v>
      </c>
      <c r="DG129" s="586">
        <f>INPUT!FT590</f>
        <v>15.180471702210832</v>
      </c>
      <c r="DH129" s="577">
        <f>INPUT!FU590</f>
        <v>4.9360475589983679</v>
      </c>
      <c r="DI129" s="586">
        <f>INPUT!FV590</f>
        <v>18.349753694581281</v>
      </c>
      <c r="DJ129" s="577">
        <f>INPUT!FW590</f>
        <v>20.877361748310406</v>
      </c>
      <c r="DK129" s="586">
        <f>INPUT!FX590</f>
        <v>16.594911937377692</v>
      </c>
      <c r="DL129" s="577">
        <f>INPUT!FY590</f>
        <v>-9.5632987036866695</v>
      </c>
      <c r="DM129" s="586">
        <f>INPUT!FZ590</f>
        <v>18.059467918622847</v>
      </c>
      <c r="DN129" s="577">
        <f>INPUT!GA590</f>
        <v>8.8253314435881407</v>
      </c>
      <c r="DO129" s="586">
        <f>INPUT!GB590</f>
        <v>22.003635729760688</v>
      </c>
      <c r="DP129" s="577">
        <f>INPUT!GC590</f>
        <v>21.839889352834319</v>
      </c>
      <c r="DQ129" s="586">
        <f>INPUT!GD590</f>
        <v>22.625891009427455</v>
      </c>
      <c r="DR129" s="577">
        <f>INPUT!GE590</f>
        <v>2.8279657385217831</v>
      </c>
      <c r="DS129" s="586">
        <f>INPUT!GF590</f>
        <v>24.23660792182865</v>
      </c>
      <c r="DT129" s="577">
        <f>INPUT!GG590</f>
        <v>7.1189104187325114</v>
      </c>
      <c r="DU129" s="586">
        <f>INPUT!GH590</f>
        <v>25.15762925598991</v>
      </c>
      <c r="DV129" s="577">
        <f>INPUT!GI590</f>
        <v>3.8001247415969601</v>
      </c>
      <c r="DW129" s="586">
        <f>INPUT!GJ590</f>
        <v>27.228817028243963</v>
      </c>
      <c r="DX129" s="577">
        <f>INPUT!GK590</f>
        <v>8.232841621039924</v>
      </c>
      <c r="DY129" s="586">
        <f>INPUT!GL590</f>
        <v>28.017909419665919</v>
      </c>
      <c r="DZ129" s="577">
        <f>INPUT!GM590</f>
        <v>2.8980046786588218</v>
      </c>
      <c r="EA129" s="586">
        <f>INPUT!GN590</f>
        <v>29.88234595925876</v>
      </c>
      <c r="EB129" s="577">
        <f>INPUT!GO590</f>
        <v>6.6544455964447735</v>
      </c>
      <c r="EC129" s="586">
        <f>INPUT!GP590</f>
        <v>31.119801127506292</v>
      </c>
      <c r="ED129" s="577">
        <f>INPUT!GQ590</f>
        <v>4.1410910975151012</v>
      </c>
      <c r="EE129" s="586">
        <f>INPUT!GR590</f>
        <v>30.249672871015438</v>
      </c>
      <c r="EF129" s="577">
        <f>INPUT!GS590</f>
        <v>-2.7960598235371208</v>
      </c>
      <c r="EG129" s="586">
        <f>INPUT!GT590</f>
        <v>29.504328426567433</v>
      </c>
      <c r="EH129" s="577">
        <f>INPUT!GU590</f>
        <v>-2.4639752225624107</v>
      </c>
      <c r="EI129" s="586">
        <f>INPUT!GV590</f>
        <v>28.79239169810614</v>
      </c>
      <c r="EJ129" s="577">
        <f>INPUT!GW590</f>
        <v>-2.4129907929719963</v>
      </c>
      <c r="EK129" s="586">
        <f>INPUT!GX590</f>
        <v>28.187918103985233</v>
      </c>
      <c r="EL129" s="577">
        <f>INPUT!GY590</f>
        <v>-2.0994212653777851</v>
      </c>
      <c r="EM129" s="577">
        <f>INPUT!GZ590</f>
        <v>-1.1606996943191672</v>
      </c>
    </row>
    <row r="130" spans="1:143" ht="12.75" hidden="1" customHeight="1" outlineLevel="1" x14ac:dyDescent="0.2">
      <c r="A130" s="579"/>
      <c r="B130" s="580"/>
      <c r="C130" s="577"/>
      <c r="D130" s="580"/>
      <c r="E130" s="577"/>
      <c r="F130" s="580"/>
      <c r="G130" s="577"/>
      <c r="H130" s="580"/>
      <c r="I130" s="577"/>
      <c r="J130" s="580"/>
      <c r="K130" s="577"/>
      <c r="L130" s="580"/>
      <c r="M130" s="577"/>
      <c r="N130" s="580"/>
      <c r="O130" s="577"/>
      <c r="P130" s="580"/>
      <c r="Q130" s="577"/>
      <c r="R130" s="580"/>
      <c r="S130" s="577"/>
      <c r="T130" s="580"/>
      <c r="U130" s="577"/>
      <c r="V130" s="580"/>
      <c r="W130" s="577"/>
      <c r="X130" s="580"/>
      <c r="Y130" s="577"/>
      <c r="Z130" s="580"/>
      <c r="AA130" s="577"/>
      <c r="AB130" s="580"/>
      <c r="AC130" s="577"/>
      <c r="AD130" s="580"/>
      <c r="AE130" s="577"/>
      <c r="AF130" s="580"/>
      <c r="AG130" s="577"/>
      <c r="AH130" s="580"/>
      <c r="AI130" s="577"/>
      <c r="AJ130" s="580"/>
      <c r="AK130" s="577"/>
      <c r="AL130" s="580"/>
      <c r="AM130" s="577"/>
      <c r="AN130" s="580"/>
      <c r="AO130" s="577"/>
      <c r="AP130" s="580"/>
      <c r="AQ130" s="577"/>
      <c r="AR130" s="580"/>
      <c r="AS130" s="577"/>
      <c r="AT130" s="580"/>
      <c r="AU130" s="577"/>
      <c r="AV130" s="580"/>
      <c r="AW130" s="577"/>
      <c r="AX130" s="580"/>
      <c r="AY130" s="577"/>
      <c r="AZ130" s="580"/>
      <c r="BA130" s="577"/>
      <c r="BB130" s="580"/>
      <c r="BC130" s="577"/>
      <c r="BD130" s="580"/>
      <c r="BE130" s="577"/>
      <c r="BF130" s="580"/>
      <c r="BG130" s="577"/>
      <c r="BH130" s="580"/>
      <c r="BI130" s="577"/>
      <c r="BJ130" s="580"/>
      <c r="BK130" s="577"/>
      <c r="BL130" s="580"/>
      <c r="BM130" s="577"/>
      <c r="BN130" s="580"/>
      <c r="BO130" s="577"/>
      <c r="BP130" s="580"/>
      <c r="BQ130" s="577"/>
      <c r="BR130" s="580"/>
      <c r="BS130" s="577"/>
      <c r="BT130" s="580"/>
      <c r="BU130" s="577"/>
      <c r="BV130" s="580"/>
      <c r="BW130" s="577"/>
      <c r="BX130" s="580"/>
      <c r="BY130" s="577"/>
      <c r="BZ130" s="580"/>
      <c r="CA130" s="577"/>
      <c r="CB130" s="580"/>
      <c r="CC130" s="577"/>
      <c r="CD130" s="580"/>
      <c r="CE130" s="577"/>
      <c r="CF130" s="580"/>
      <c r="CG130" s="577"/>
      <c r="CH130" s="580"/>
      <c r="CI130" s="577"/>
      <c r="CJ130" s="580"/>
      <c r="CK130" s="577"/>
      <c r="CL130" s="580"/>
      <c r="CM130" s="577"/>
      <c r="CN130" s="580"/>
      <c r="CO130" s="577"/>
      <c r="CP130" s="580"/>
      <c r="CQ130" s="577"/>
      <c r="CR130" s="580"/>
      <c r="CS130" s="577"/>
      <c r="CT130" s="580"/>
      <c r="CU130" s="577"/>
      <c r="CV130" s="580"/>
      <c r="CW130" s="577"/>
      <c r="CX130" s="580"/>
      <c r="CY130" s="577"/>
      <c r="CZ130" s="580"/>
      <c r="DA130" s="577"/>
      <c r="DB130" s="580"/>
      <c r="DC130" s="580"/>
      <c r="DD130" s="577"/>
      <c r="DE130" s="580"/>
      <c r="DF130" s="577"/>
      <c r="DG130" s="580"/>
      <c r="DH130" s="577"/>
      <c r="DI130" s="580"/>
      <c r="DJ130" s="577"/>
      <c r="DK130" s="580"/>
      <c r="DL130" s="577"/>
      <c r="DM130" s="580"/>
      <c r="DN130" s="577"/>
      <c r="DO130" s="580"/>
      <c r="DP130" s="577"/>
      <c r="DQ130" s="580"/>
      <c r="DR130" s="577"/>
      <c r="DS130" s="580"/>
      <c r="DT130" s="577"/>
      <c r="DU130" s="580"/>
      <c r="DV130" s="577"/>
      <c r="DW130" s="580"/>
      <c r="DX130" s="577"/>
      <c r="DY130" s="580"/>
      <c r="DZ130" s="577"/>
      <c r="EA130" s="580"/>
      <c r="EB130" s="577"/>
      <c r="EC130" s="580"/>
      <c r="ED130" s="577"/>
      <c r="EE130" s="580"/>
      <c r="EF130" s="577"/>
      <c r="EG130" s="580"/>
      <c r="EH130" s="577"/>
      <c r="EI130" s="580"/>
      <c r="EJ130" s="577"/>
      <c r="EK130" s="580"/>
      <c r="EL130" s="577"/>
      <c r="EM130" s="577"/>
    </row>
    <row r="131" spans="1:143" ht="12.75" hidden="1" customHeight="1" outlineLevel="1" x14ac:dyDescent="0.2">
      <c r="A131" s="575" t="s">
        <v>218</v>
      </c>
      <c r="B131" s="580"/>
      <c r="C131" s="577"/>
      <c r="D131" s="580"/>
      <c r="E131" s="577"/>
      <c r="F131" s="580"/>
      <c r="G131" s="577"/>
      <c r="H131" s="580"/>
      <c r="I131" s="577"/>
      <c r="J131" s="580"/>
      <c r="K131" s="577"/>
      <c r="L131" s="580"/>
      <c r="M131" s="577"/>
      <c r="N131" s="580"/>
      <c r="O131" s="577"/>
      <c r="P131" s="580"/>
      <c r="Q131" s="577"/>
      <c r="R131" s="580"/>
      <c r="S131" s="577"/>
      <c r="T131" s="580"/>
      <c r="U131" s="577"/>
      <c r="V131" s="580"/>
      <c r="W131" s="577"/>
      <c r="X131" s="580"/>
      <c r="Y131" s="577"/>
      <c r="Z131" s="580"/>
      <c r="AA131" s="577"/>
      <c r="AB131" s="580"/>
      <c r="AC131" s="577"/>
      <c r="AD131" s="580"/>
      <c r="AE131" s="577"/>
      <c r="AF131" s="580"/>
      <c r="AG131" s="577"/>
      <c r="AH131" s="580"/>
      <c r="AI131" s="577"/>
      <c r="AJ131" s="580"/>
      <c r="AK131" s="577"/>
      <c r="AL131" s="580"/>
      <c r="AM131" s="577"/>
      <c r="AN131" s="580"/>
      <c r="AO131" s="577"/>
      <c r="AP131" s="580"/>
      <c r="AQ131" s="577"/>
      <c r="AR131" s="580"/>
      <c r="AS131" s="577"/>
      <c r="AT131" s="580"/>
      <c r="AU131" s="577"/>
      <c r="AV131" s="580"/>
      <c r="AW131" s="577"/>
      <c r="AX131" s="580"/>
      <c r="AY131" s="577"/>
      <c r="AZ131" s="580"/>
      <c r="BA131" s="577"/>
      <c r="BB131" s="580"/>
      <c r="BC131" s="577"/>
      <c r="BD131" s="580"/>
      <c r="BE131" s="577"/>
      <c r="BF131" s="580"/>
      <c r="BG131" s="577"/>
      <c r="BH131" s="580"/>
      <c r="BI131" s="577"/>
      <c r="BJ131" s="580"/>
      <c r="BK131" s="577"/>
      <c r="BL131" s="580"/>
      <c r="BM131" s="577"/>
      <c r="BN131" s="580"/>
      <c r="BO131" s="577"/>
      <c r="BP131" s="580"/>
      <c r="BQ131" s="577"/>
      <c r="BR131" s="580"/>
      <c r="BS131" s="577"/>
      <c r="BT131" s="580"/>
      <c r="BU131" s="577"/>
      <c r="BV131" s="580"/>
      <c r="BW131" s="577"/>
      <c r="BX131" s="580"/>
      <c r="BY131" s="577"/>
      <c r="BZ131" s="580"/>
      <c r="CA131" s="577"/>
      <c r="CB131" s="580"/>
      <c r="CC131" s="577"/>
      <c r="CD131" s="580"/>
      <c r="CE131" s="577"/>
      <c r="CF131" s="580"/>
      <c r="CG131" s="577"/>
      <c r="CH131" s="580"/>
      <c r="CI131" s="577"/>
      <c r="CJ131" s="580"/>
      <c r="CK131" s="577"/>
      <c r="CL131" s="580"/>
      <c r="CM131" s="577"/>
      <c r="CN131" s="580"/>
      <c r="CO131" s="577"/>
      <c r="CP131" s="580"/>
      <c r="CQ131" s="577"/>
      <c r="CR131" s="580"/>
      <c r="CS131" s="577"/>
      <c r="CT131" s="580"/>
      <c r="CU131" s="577"/>
      <c r="CV131" s="580"/>
      <c r="CW131" s="577"/>
      <c r="CX131" s="580"/>
      <c r="CY131" s="577"/>
      <c r="CZ131" s="580"/>
      <c r="DA131" s="577"/>
      <c r="DB131" s="580"/>
      <c r="DC131" s="580"/>
      <c r="DD131" s="577"/>
      <c r="DE131" s="580"/>
      <c r="DF131" s="577"/>
      <c r="DG131" s="580"/>
      <c r="DH131" s="577"/>
      <c r="DI131" s="580"/>
      <c r="DJ131" s="577"/>
      <c r="DK131" s="580"/>
      <c r="DL131" s="577"/>
      <c r="DM131" s="580"/>
      <c r="DN131" s="577"/>
      <c r="DO131" s="580"/>
      <c r="DP131" s="577"/>
      <c r="DQ131" s="580"/>
      <c r="DR131" s="577"/>
      <c r="DS131" s="580"/>
      <c r="DT131" s="577"/>
      <c r="DU131" s="580"/>
      <c r="DV131" s="577"/>
      <c r="DW131" s="580"/>
      <c r="DX131" s="577"/>
      <c r="DY131" s="580"/>
      <c r="DZ131" s="577"/>
      <c r="EA131" s="580"/>
      <c r="EB131" s="577"/>
      <c r="EC131" s="580"/>
      <c r="ED131" s="577"/>
      <c r="EE131" s="580"/>
      <c r="EF131" s="577"/>
      <c r="EG131" s="580"/>
      <c r="EH131" s="577"/>
      <c r="EI131" s="580"/>
      <c r="EJ131" s="577"/>
      <c r="EK131" s="580"/>
      <c r="EL131" s="577"/>
      <c r="EM131" s="577"/>
    </row>
    <row r="132" spans="1:143" ht="12.75" hidden="1" customHeight="1" outlineLevel="1" x14ac:dyDescent="0.2">
      <c r="A132" s="579" t="str">
        <f>+INPUT!B74</f>
        <v>Total Fees/Average Variable Reserves (%)</v>
      </c>
      <c r="B132" s="606">
        <f>+INPUT!AY74</f>
        <v>1.654498408026241</v>
      </c>
      <c r="C132" s="577">
        <f>+INPUT!AZ74</f>
        <v>-9.2225097067455408E-4</v>
      </c>
      <c r="D132" s="606">
        <f>+INPUT!BA74</f>
        <v>1.5804833262288094</v>
      </c>
      <c r="E132" s="577">
        <f>+INPUT!BB74</f>
        <v>-2.4800196050344994</v>
      </c>
      <c r="F132" s="606">
        <f>+INPUT!BC74</f>
        <v>1.6991719407011954</v>
      </c>
      <c r="G132" s="577">
        <f>+INPUT!BD74</f>
        <v>3.9305382871060743</v>
      </c>
      <c r="H132" s="606">
        <f>+INPUT!BE74</f>
        <v>1.7366136034732274</v>
      </c>
      <c r="I132" s="577">
        <f>+INPUT!BF74</f>
        <v>9.9219400956014567</v>
      </c>
      <c r="J132" s="606">
        <f>+INPUT!BG74</f>
        <v>1.7050071263969735</v>
      </c>
      <c r="K132" s="577">
        <f>+INPUT!BH74</f>
        <v>3.0528115425017148</v>
      </c>
      <c r="L132" s="606">
        <f>+INPUT!BI74</f>
        <v>1.7546697377700426</v>
      </c>
      <c r="M132" s="577">
        <f>+INPUT!BJ74</f>
        <v>11.021085047246856</v>
      </c>
      <c r="N132" s="606">
        <f>+INPUT!BK74</f>
        <v>1.6735252059122896</v>
      </c>
      <c r="O132" s="577">
        <f>+INPUT!BL74</f>
        <v>-1.5093666611704037</v>
      </c>
      <c r="P132" s="606">
        <f>+INPUT!BM74</f>
        <v>1.7634347349584838</v>
      </c>
      <c r="Q132" s="577">
        <f>+INPUT!BN74</f>
        <v>1.544450154692683</v>
      </c>
      <c r="R132" s="606">
        <f>+INPUT!BO74</f>
        <v>1.6638013740526827</v>
      </c>
      <c r="S132" s="577">
        <f>+INPUT!BP74</f>
        <v>-2.416749566986681</v>
      </c>
      <c r="T132" s="606">
        <f>+INPUT!BQ74</f>
        <v>1.7102696346970951</v>
      </c>
      <c r="U132" s="577">
        <f>+INPUT!BR74</f>
        <v>-2.5303965821724574</v>
      </c>
      <c r="V132" s="606">
        <f>+INPUT!BS74</f>
        <v>1.7045733309970212</v>
      </c>
      <c r="W132" s="577">
        <f>+INPUT!BT74</f>
        <v>1.8552529101470157</v>
      </c>
      <c r="X132" s="606">
        <f>+INPUT!BU74</f>
        <v>1.4002734909161947</v>
      </c>
      <c r="Y132" s="577">
        <f>+INPUT!BV74</f>
        <v>-20.59397134710737</v>
      </c>
      <c r="Z132" s="606">
        <f>+INPUT!BW74</f>
        <v>1.4718225673808172</v>
      </c>
      <c r="AA132" s="577">
        <f>+INPUT!BX74</f>
        <v>-11.538565219731979</v>
      </c>
      <c r="AB132" s="606">
        <f>+INPUT!BY74</f>
        <v>1.5344478669711721</v>
      </c>
      <c r="AC132" s="577">
        <f>+INPUT!BZ74</f>
        <v>-10.280353703237139</v>
      </c>
      <c r="AD132" s="606">
        <f>+INPUT!CA74</f>
        <v>1.665837538199133</v>
      </c>
      <c r="AE132" s="577">
        <f>+INPUT!CB74</f>
        <v>-2.2724626798678855</v>
      </c>
      <c r="AF132" s="606">
        <f>+INPUT!CC74</f>
        <v>1.7062704156792416</v>
      </c>
      <c r="AG132" s="577">
        <f>+INPUT!CD74</f>
        <v>21.852654267048521</v>
      </c>
      <c r="AH132" s="607">
        <f>+INPUT!CE74</f>
        <v>1.8420957455786084</v>
      </c>
      <c r="AI132" s="577">
        <f>+INPUT!CF74</f>
        <v>25.15746030832446</v>
      </c>
      <c r="AJ132" s="607">
        <f>+INPUT!CG74</f>
        <v>1.8369907440285966</v>
      </c>
      <c r="AK132" s="577">
        <f>+INPUT!CH74</f>
        <v>19.716725707639071</v>
      </c>
      <c r="AL132" s="607">
        <f>+INPUT!CI74</f>
        <v>1.8715247954432441</v>
      </c>
      <c r="AM132" s="577">
        <f>+INPUT!CJ74</f>
        <v>12.347377972192348</v>
      </c>
      <c r="AN132" s="607">
        <f>+INPUT!CK74</f>
        <v>1.8107222963065148</v>
      </c>
      <c r="AO132" s="577">
        <f>+INPUT!CL74</f>
        <v>6.1216486945706379</v>
      </c>
      <c r="AP132" s="607">
        <f>+INPUT!CM74</f>
        <v>1.816152262889924</v>
      </c>
      <c r="AQ132" s="577">
        <f>+INPUT!CN74</f>
        <v>-1.4083677654081725</v>
      </c>
      <c r="AR132" s="607">
        <f>+INPUT!CO74</f>
        <v>1.8220199756043769</v>
      </c>
      <c r="AS132" s="577">
        <f>+INPUT!CP74</f>
        <v>-0.81496155997979258</v>
      </c>
      <c r="AT132" s="607">
        <f>+INPUT!CQ74</f>
        <v>1.8448863451443875</v>
      </c>
      <c r="AU132" s="577">
        <f>+INPUT!CR74</f>
        <v>-1.4233554566690998</v>
      </c>
      <c r="AV132" s="607">
        <f>+INPUT!CS74</f>
        <v>1.8323597746235103</v>
      </c>
      <c r="AW132" s="577">
        <f>+INPUT!CT74</f>
        <v>1.1949639302023911</v>
      </c>
      <c r="AX132" s="607">
        <f>+INPUT!CU74</f>
        <v>1.8120242240858362</v>
      </c>
      <c r="AY132" s="577">
        <f>+INPUT!CV74</f>
        <v>-0.22729585445216571</v>
      </c>
      <c r="AZ132" s="607">
        <f>+INPUT!CW74</f>
        <v>1.7722213447934763</v>
      </c>
      <c r="BA132" s="577">
        <f>+INPUT!CX74</f>
        <v>-2.7331550409803782</v>
      </c>
      <c r="BB132" s="607">
        <f>+INPUT!CY74</f>
        <v>1.7811653796008426</v>
      </c>
      <c r="BC132" s="577">
        <f>+INPUT!CZ74</f>
        <v>-3.453923636610682</v>
      </c>
      <c r="BD132" s="607">
        <f>+INPUT!DA74</f>
        <v>1.7593079441350645</v>
      </c>
      <c r="BE132" s="577">
        <f>+INPUT!DB74</f>
        <v>-3.9867623978732922</v>
      </c>
      <c r="BF132" s="607">
        <f>+INPUT!DC74</f>
        <v>1.758780972650217</v>
      </c>
      <c r="BG132" s="577">
        <f>+INPUT!DD74</f>
        <v>-2.9383300028718082</v>
      </c>
      <c r="BH132" s="607">
        <f>+INPUT!DE74</f>
        <v>1.817859968425882</v>
      </c>
      <c r="BI132" s="577">
        <f>+INPUT!DF74</f>
        <v>2.5752214172617443</v>
      </c>
      <c r="BJ132" s="607">
        <f>+INPUT!DG74</f>
        <v>1.8161664392905865</v>
      </c>
      <c r="BK132" s="577">
        <f>+INPUT!DH74</f>
        <v>1.9650651248110051</v>
      </c>
      <c r="BL132" s="607">
        <f>+INPUT!DI74</f>
        <v>1.8112345494350091</v>
      </c>
      <c r="BM132" s="577">
        <f>+INPUT!DJ74</f>
        <v>2.951535885064942</v>
      </c>
      <c r="BN132" s="607">
        <f>+INPUT!DK74</f>
        <v>1.7769715346903376</v>
      </c>
      <c r="BO132" s="577">
        <f>+INPUT!DL74</f>
        <v>1.0342710276601679</v>
      </c>
      <c r="BP132" s="607">
        <f>+INPUT!DM74</f>
        <v>1.7898604923417125</v>
      </c>
      <c r="BQ132" s="577">
        <f>+INPUT!DN74</f>
        <v>-1.5402438345355449</v>
      </c>
      <c r="BR132" s="607">
        <f>+INPUT!DO74</f>
        <v>1.8015802654483566</v>
      </c>
      <c r="BS132" s="577">
        <f>+INPUT!DP74</f>
        <v>-0.80312979728485345</v>
      </c>
      <c r="BT132" s="607">
        <f>+INPUT!DQ74</f>
        <v>1.8140824966342801</v>
      </c>
      <c r="BU132" s="577">
        <f>+INPUT!DR74</f>
        <v>0.15723790163784201</v>
      </c>
      <c r="BV132" s="607">
        <f>+INPUT!DS74</f>
        <v>1.7861084011706945</v>
      </c>
      <c r="BW132" s="577">
        <f>+INPUT!DT74</f>
        <v>0.51418192705878596</v>
      </c>
      <c r="BX132" s="607">
        <f>+INPUT!DU74</f>
        <v>1.8225039619651346</v>
      </c>
      <c r="BY132" s="577">
        <f>+INPUT!DV74</f>
        <v>1.8237996627722595</v>
      </c>
      <c r="BZ132" s="607">
        <f>+INPUT!DW74</f>
        <v>1.8324512013875787</v>
      </c>
      <c r="CA132" s="577">
        <f>+INPUT!DX74</f>
        <v>1.7135476298936396</v>
      </c>
      <c r="CB132" s="607">
        <f>+INPUT!DY74</f>
        <v>1.8424589532833997</v>
      </c>
      <c r="CC132" s="577">
        <f>+INPUT!DZ74</f>
        <v>1.5642318748881223</v>
      </c>
      <c r="CD132" s="607">
        <f>+INPUT!EA74</f>
        <v>1.8432469700037708</v>
      </c>
      <c r="CE132" s="577">
        <f>+INPUT!EB74</f>
        <v>3.1990538085832299</v>
      </c>
      <c r="CF132" s="607">
        <f>+INPUT!EC74</f>
        <v>1.7973997616781054</v>
      </c>
      <c r="CG132" s="577">
        <f>+INPUT!ED74</f>
        <v>-1.3774565548796005</v>
      </c>
      <c r="CH132" s="607">
        <f>+INPUT!EE74</f>
        <v>1.8452028971776366</v>
      </c>
      <c r="CI132" s="577">
        <f>+INPUT!EF74</f>
        <v>0.6958818756211258</v>
      </c>
      <c r="CJ132" s="607">
        <f>+INPUT!EG74</f>
        <v>1.804035068365142</v>
      </c>
      <c r="CK132" s="577">
        <f>+INPUT!EH74</f>
        <v>-2.0854676219398698</v>
      </c>
      <c r="CL132" s="607">
        <f>+INPUT!EI74</f>
        <v>1.8005642885933093</v>
      </c>
      <c r="CM132" s="577">
        <f>+INPUT!EJ74</f>
        <v>-2.3156246615381235</v>
      </c>
      <c r="CN132" s="607">
        <f>+INPUT!EK74</f>
        <v>1.9061360874848117</v>
      </c>
      <c r="CO132" s="577">
        <f>+INPUT!EL74</f>
        <v>6.0496461680392457</v>
      </c>
      <c r="CP132" s="607">
        <f>+INPUT!EM74</f>
        <v>1.9096881817814004</v>
      </c>
      <c r="CQ132" s="577">
        <f>+INPUT!EN74</f>
        <v>3.4947530541166145</v>
      </c>
      <c r="CR132" s="607">
        <f>+INPUT!EO74</f>
        <v>1.865183646030679</v>
      </c>
      <c r="CS132" s="577">
        <f>+INPUT!EP74</f>
        <v>3.389544845209187</v>
      </c>
      <c r="CT132" s="607">
        <f>+INPUT!EQ74</f>
        <v>1.85</v>
      </c>
      <c r="CU132" s="577">
        <f>+INPUT!ER74</f>
        <v>2.7455676934097397</v>
      </c>
      <c r="CV132" s="607">
        <f>+INPUT!ES74</f>
        <v>1.8450000000000002</v>
      </c>
      <c r="CW132" s="577">
        <f>+INPUT!ET74</f>
        <v>-3.2073306772908268</v>
      </c>
      <c r="CX132" s="607">
        <f>+INPUT!EU74</f>
        <v>1.8400000000000003</v>
      </c>
      <c r="CY132" s="577">
        <f>+INPUT!EV74</f>
        <v>-3.6491916558018147</v>
      </c>
      <c r="CZ132" s="607">
        <f>+INPUT!EW74</f>
        <v>1.8350000000000004</v>
      </c>
      <c r="DA132" s="577">
        <f>+INPUT!EX74</f>
        <v>-1.6182667103538506</v>
      </c>
      <c r="DB132" s="597"/>
      <c r="DC132" s="606">
        <f>+INPUT!FP74</f>
        <v>1.5886594158621532</v>
      </c>
      <c r="DD132" s="577">
        <f>+INPUT!FQ74</f>
        <v>3.8276429535603569</v>
      </c>
      <c r="DE132" s="606">
        <f>+INPUT!FR74</f>
        <v>1.7026641028300606</v>
      </c>
      <c r="DF132" s="577">
        <f>+INPUT!FS74</f>
        <v>7.1761565650645167</v>
      </c>
      <c r="DG132" s="606">
        <f>+INPUT!FT74</f>
        <v>1.7432288472092197</v>
      </c>
      <c r="DH132" s="577">
        <f>+INPUT!FU74</f>
        <v>2.3824278853201264</v>
      </c>
      <c r="DI132" s="606">
        <f>+INPUT!FV74</f>
        <v>1.6274031905302089</v>
      </c>
      <c r="DJ132" s="577">
        <f>+INPUT!FW74</f>
        <v>-6.644317346195777</v>
      </c>
      <c r="DK132" s="607">
        <f>+INPUT!FX74</f>
        <v>1.6049681126006359</v>
      </c>
      <c r="DL132" s="577">
        <f>+INPUT!FY74</f>
        <v>-1.3785814148652094</v>
      </c>
      <c r="DM132" s="607">
        <f>+INPUT!FZ74</f>
        <v>1.8395587094257597</v>
      </c>
      <c r="DN132" s="577">
        <f>+INPUT!GA74</f>
        <v>14.616526956725707</v>
      </c>
      <c r="DO132" s="607">
        <f>+INPUT!GB74</f>
        <v>1.8288291109510537</v>
      </c>
      <c r="DP132" s="577">
        <f>+INPUT!GC74</f>
        <v>-0.58327023865714978</v>
      </c>
      <c r="DQ132" s="607">
        <f>+INPUT!GD74</f>
        <v>1.7804015082823959</v>
      </c>
      <c r="DR132" s="577">
        <f>+INPUT!GE74</f>
        <v>-2.648011363044958</v>
      </c>
      <c r="DS132" s="607">
        <f>+INPUT!GF74</f>
        <v>1.801463288240359</v>
      </c>
      <c r="DT132" s="577">
        <f>+INPUT!GG74</f>
        <v>1.1829792246290651</v>
      </c>
      <c r="DU132" s="607">
        <f>+INPUT!GH74</f>
        <v>1.795724883732682</v>
      </c>
      <c r="DV132" s="577">
        <f>+INPUT!GI74</f>
        <v>-0.31854129613056159</v>
      </c>
      <c r="DW132" s="607">
        <f>+INPUT!GJ74</f>
        <v>1.8204904865481442</v>
      </c>
      <c r="DX132" s="577">
        <f>+INPUT!GK74</f>
        <v>1.3791423753054488</v>
      </c>
      <c r="DY132" s="607">
        <f>+INPUT!GL74</f>
        <v>1.8221562477274189</v>
      </c>
      <c r="DZ132" s="577">
        <f>+INPUT!GM74</f>
        <v>9.1500680260807599E-2</v>
      </c>
      <c r="EA132" s="607">
        <f>+INPUT!GN74</f>
        <v>1.8708334183189173</v>
      </c>
      <c r="EB132" s="577">
        <f>+INPUT!GO74</f>
        <v>2.6714048618063515</v>
      </c>
      <c r="EC132" s="607">
        <f>+INPUT!GP74</f>
        <v>1.842525044383311</v>
      </c>
      <c r="ED132" s="577">
        <f>+INPUT!GQ74</f>
        <v>-1.5131424133444966</v>
      </c>
      <c r="EE132" s="607">
        <f>+INPUT!GR74</f>
        <v>1.822525044383311</v>
      </c>
      <c r="EF132" s="577">
        <f>+INPUT!GS74</f>
        <v>-1.0854669281683442</v>
      </c>
      <c r="EG132" s="607">
        <f>+INPUT!GT74</f>
        <v>1.802525044383311</v>
      </c>
      <c r="EH132" s="577">
        <f>+INPUT!GU74</f>
        <v>-1.0973786100573051</v>
      </c>
      <c r="EI132" s="607">
        <f>+INPUT!GV74</f>
        <v>1.7825250443833109</v>
      </c>
      <c r="EJ132" s="577">
        <f>+INPUT!GW74</f>
        <v>-1.1095546251809481</v>
      </c>
      <c r="EK132" s="607">
        <f>+INPUT!GX74</f>
        <v>1.7625250443833109</v>
      </c>
      <c r="EL132" s="577">
        <f>+INPUT!GY74</f>
        <v>-1.1220038710266351</v>
      </c>
      <c r="EM132" s="577">
        <f>+INPUT!GZ74</f>
        <v>-1.1856460536361579</v>
      </c>
    </row>
    <row r="133" spans="1:143" ht="12.75" hidden="1" customHeight="1" outlineLevel="1" x14ac:dyDescent="0.2">
      <c r="A133" s="579"/>
      <c r="B133" s="580"/>
      <c r="C133" s="577"/>
      <c r="D133" s="580"/>
      <c r="E133" s="577"/>
      <c r="F133" s="580"/>
      <c r="G133" s="577"/>
      <c r="H133" s="580"/>
      <c r="I133" s="577"/>
      <c r="J133" s="580"/>
      <c r="K133" s="577"/>
      <c r="L133" s="580"/>
      <c r="M133" s="577"/>
      <c r="N133" s="580"/>
      <c r="O133" s="577"/>
      <c r="P133" s="580"/>
      <c r="Q133" s="577"/>
      <c r="R133" s="580"/>
      <c r="S133" s="577"/>
      <c r="T133" s="580"/>
      <c r="U133" s="577"/>
      <c r="V133" s="580"/>
      <c r="W133" s="577"/>
      <c r="X133" s="580"/>
      <c r="Y133" s="577"/>
      <c r="Z133" s="580"/>
      <c r="AA133" s="577"/>
      <c r="AB133" s="580"/>
      <c r="AC133" s="577"/>
      <c r="AD133" s="580"/>
      <c r="AE133" s="577"/>
      <c r="AF133" s="580"/>
      <c r="AG133" s="577"/>
      <c r="AH133" s="580"/>
      <c r="AI133" s="577"/>
      <c r="AJ133" s="580"/>
      <c r="AK133" s="577"/>
      <c r="AL133" s="580"/>
      <c r="AM133" s="577"/>
      <c r="AN133" s="580"/>
      <c r="AO133" s="577"/>
      <c r="AP133" s="580"/>
      <c r="AQ133" s="577"/>
      <c r="AR133" s="580"/>
      <c r="AS133" s="577"/>
      <c r="AT133" s="580"/>
      <c r="AU133" s="577"/>
      <c r="AV133" s="580"/>
      <c r="AW133" s="577"/>
      <c r="AX133" s="580"/>
      <c r="AY133" s="577"/>
      <c r="AZ133" s="580"/>
      <c r="BA133" s="577"/>
      <c r="BB133" s="580"/>
      <c r="BC133" s="577"/>
      <c r="BD133" s="580"/>
      <c r="BE133" s="577"/>
      <c r="BF133" s="580"/>
      <c r="BG133" s="577"/>
      <c r="BH133" s="580"/>
      <c r="BI133" s="577"/>
      <c r="BJ133" s="580"/>
      <c r="BK133" s="577"/>
      <c r="BL133" s="580"/>
      <c r="BM133" s="577"/>
      <c r="BN133" s="580"/>
      <c r="BO133" s="577"/>
      <c r="BP133" s="580"/>
      <c r="BQ133" s="577"/>
      <c r="BR133" s="580"/>
      <c r="BS133" s="577"/>
      <c r="BT133" s="580"/>
      <c r="BU133" s="577"/>
      <c r="BV133" s="580"/>
      <c r="BW133" s="577"/>
      <c r="BX133" s="580"/>
      <c r="BY133" s="577"/>
      <c r="BZ133" s="580"/>
      <c r="CA133" s="577"/>
      <c r="CB133" s="580"/>
      <c r="CC133" s="577"/>
      <c r="CD133" s="580"/>
      <c r="CE133" s="577"/>
      <c r="CF133" s="580"/>
      <c r="CG133" s="577"/>
      <c r="CH133" s="580"/>
      <c r="CI133" s="577"/>
      <c r="CJ133" s="580"/>
      <c r="CK133" s="577"/>
      <c r="CL133" s="580"/>
      <c r="CM133" s="577"/>
      <c r="CN133" s="580"/>
      <c r="CO133" s="577"/>
      <c r="CP133" s="580"/>
      <c r="CQ133" s="577"/>
      <c r="CR133" s="580"/>
      <c r="CS133" s="577"/>
      <c r="CT133" s="580"/>
      <c r="CU133" s="577"/>
      <c r="CV133" s="580"/>
      <c r="CW133" s="577"/>
      <c r="CX133" s="580"/>
      <c r="CY133" s="577"/>
      <c r="CZ133" s="580"/>
      <c r="DA133" s="577"/>
      <c r="DB133" s="580"/>
      <c r="DC133" s="580"/>
      <c r="DD133" s="577"/>
      <c r="DE133" s="580"/>
      <c r="DF133" s="577"/>
      <c r="DG133" s="580"/>
      <c r="DH133" s="577"/>
      <c r="DI133" s="580"/>
      <c r="DJ133" s="577"/>
      <c r="DK133" s="580"/>
      <c r="DL133" s="577"/>
      <c r="DM133" s="580"/>
      <c r="DN133" s="577"/>
      <c r="DO133" s="580"/>
      <c r="DP133" s="577"/>
      <c r="DQ133" s="580"/>
      <c r="DR133" s="577"/>
      <c r="DS133" s="580"/>
      <c r="DT133" s="577"/>
      <c r="DU133" s="580"/>
      <c r="DV133" s="577"/>
      <c r="DW133" s="580"/>
      <c r="DX133" s="577"/>
      <c r="DY133" s="580"/>
      <c r="DZ133" s="577"/>
      <c r="EA133" s="580"/>
      <c r="EB133" s="577"/>
      <c r="EC133" s="580"/>
      <c r="ED133" s="577"/>
      <c r="EE133" s="580"/>
      <c r="EF133" s="577"/>
      <c r="EG133" s="580"/>
      <c r="EH133" s="577"/>
      <c r="EI133" s="580"/>
      <c r="EJ133" s="577"/>
      <c r="EK133" s="580"/>
      <c r="EL133" s="577"/>
      <c r="EM133" s="577"/>
    </row>
    <row r="134" spans="1:143" ht="12.75" hidden="1" customHeight="1" outlineLevel="1" x14ac:dyDescent="0.2">
      <c r="A134" s="575" t="s">
        <v>331</v>
      </c>
      <c r="B134" s="580"/>
      <c r="C134" s="577"/>
      <c r="D134" s="580"/>
      <c r="E134" s="577"/>
      <c r="F134" s="580"/>
      <c r="G134" s="577"/>
      <c r="H134" s="580"/>
      <c r="I134" s="577"/>
      <c r="J134" s="580"/>
      <c r="K134" s="577"/>
      <c r="L134" s="580"/>
      <c r="M134" s="577"/>
      <c r="N134" s="580"/>
      <c r="O134" s="577"/>
      <c r="P134" s="580"/>
      <c r="Q134" s="577"/>
      <c r="R134" s="580"/>
      <c r="S134" s="577"/>
      <c r="T134" s="580"/>
      <c r="U134" s="577"/>
      <c r="V134" s="580"/>
      <c r="W134" s="577"/>
      <c r="X134" s="580"/>
      <c r="Y134" s="577"/>
      <c r="Z134" s="580"/>
      <c r="AA134" s="577"/>
      <c r="AB134" s="580"/>
      <c r="AC134" s="577"/>
      <c r="AD134" s="580"/>
      <c r="AE134" s="577"/>
      <c r="AF134" s="580"/>
      <c r="AG134" s="577"/>
      <c r="AH134" s="580"/>
      <c r="AI134" s="577"/>
      <c r="AJ134" s="580"/>
      <c r="AK134" s="577"/>
      <c r="AL134" s="580"/>
      <c r="AM134" s="577"/>
      <c r="AN134" s="580"/>
      <c r="AO134" s="577"/>
      <c r="AP134" s="580"/>
      <c r="AQ134" s="577"/>
      <c r="AR134" s="580"/>
      <c r="AS134" s="577"/>
      <c r="AT134" s="580"/>
      <c r="AU134" s="577"/>
      <c r="AV134" s="580"/>
      <c r="AW134" s="577"/>
      <c r="AX134" s="580"/>
      <c r="AY134" s="577"/>
      <c r="AZ134" s="580"/>
      <c r="BA134" s="577"/>
      <c r="BB134" s="580"/>
      <c r="BC134" s="577"/>
      <c r="BD134" s="580"/>
      <c r="BE134" s="577"/>
      <c r="BF134" s="580"/>
      <c r="BG134" s="577"/>
      <c r="BH134" s="580"/>
      <c r="BI134" s="577"/>
      <c r="BJ134" s="580"/>
      <c r="BK134" s="577"/>
      <c r="BL134" s="580"/>
      <c r="BM134" s="577"/>
      <c r="BN134" s="580"/>
      <c r="BO134" s="577"/>
      <c r="BP134" s="580"/>
      <c r="BQ134" s="577"/>
      <c r="BR134" s="580"/>
      <c r="BS134" s="577"/>
      <c r="BT134" s="580"/>
      <c r="BU134" s="577"/>
      <c r="BV134" s="580"/>
      <c r="BW134" s="577"/>
      <c r="BX134" s="580"/>
      <c r="BY134" s="577"/>
      <c r="BZ134" s="580"/>
      <c r="CA134" s="577"/>
      <c r="CB134" s="580"/>
      <c r="CC134" s="577"/>
      <c r="CD134" s="580"/>
      <c r="CE134" s="577"/>
      <c r="CF134" s="580"/>
      <c r="CG134" s="577"/>
      <c r="CH134" s="580"/>
      <c r="CI134" s="577"/>
      <c r="CJ134" s="580"/>
      <c r="CK134" s="577"/>
      <c r="CL134" s="580"/>
      <c r="CM134" s="577"/>
      <c r="CN134" s="580"/>
      <c r="CO134" s="577"/>
      <c r="CP134" s="580"/>
      <c r="CQ134" s="577"/>
      <c r="CR134" s="580"/>
      <c r="CS134" s="577"/>
      <c r="CT134" s="580"/>
      <c r="CU134" s="577"/>
      <c r="CV134" s="580"/>
      <c r="CW134" s="577"/>
      <c r="CX134" s="580"/>
      <c r="CY134" s="577"/>
      <c r="CZ134" s="580"/>
      <c r="DA134" s="577"/>
      <c r="DB134" s="580"/>
      <c r="DC134" s="580"/>
      <c r="DD134" s="577"/>
      <c r="DE134" s="580"/>
      <c r="DF134" s="577"/>
      <c r="DG134" s="580"/>
      <c r="DH134" s="577"/>
      <c r="DI134" s="580"/>
      <c r="DJ134" s="577"/>
      <c r="DK134" s="580"/>
      <c r="DL134" s="577"/>
      <c r="DM134" s="580"/>
      <c r="DN134" s="577"/>
      <c r="DO134" s="580"/>
      <c r="DP134" s="577"/>
      <c r="DQ134" s="580"/>
      <c r="DR134" s="577"/>
      <c r="DS134" s="580"/>
      <c r="DT134" s="577"/>
      <c r="DU134" s="580"/>
      <c r="DV134" s="577"/>
      <c r="DW134" s="580"/>
      <c r="DX134" s="577"/>
      <c r="DY134" s="580"/>
      <c r="DZ134" s="577"/>
      <c r="EA134" s="580"/>
      <c r="EB134" s="577"/>
      <c r="EC134" s="580"/>
      <c r="ED134" s="577"/>
      <c r="EE134" s="580"/>
      <c r="EF134" s="577"/>
      <c r="EG134" s="580"/>
      <c r="EH134" s="577"/>
      <c r="EI134" s="580"/>
      <c r="EJ134" s="577"/>
      <c r="EK134" s="580"/>
      <c r="EL134" s="577"/>
      <c r="EM134" s="577"/>
    </row>
    <row r="135" spans="1:143" ht="12.75" hidden="1" customHeight="1" outlineLevel="1" x14ac:dyDescent="0.2">
      <c r="A135" s="579" t="str">
        <f>+INPUT!B75</f>
        <v>Net Inv Inc/Avg Total Reserves (%)</v>
      </c>
      <c r="B135" s="606">
        <f>+INPUT!AY75</f>
        <v>1.0295734241359895</v>
      </c>
      <c r="C135" s="577" t="str">
        <f>+INPUT!AZ75</f>
        <v>NM</v>
      </c>
      <c r="D135" s="606">
        <f>+INPUT!BA75</f>
        <v>0.91833590138674892</v>
      </c>
      <c r="E135" s="577" t="str">
        <f>+INPUT!BB75</f>
        <v>NM</v>
      </c>
      <c r="F135" s="606">
        <f>+INPUT!BC75</f>
        <v>0.91943392248736799</v>
      </c>
      <c r="G135" s="577" t="str">
        <f>+INPUT!BD75</f>
        <v>NM</v>
      </c>
      <c r="H135" s="606">
        <f>+INPUT!BE75</f>
        <v>0.81743869209809261</v>
      </c>
      <c r="I135" s="577" t="str">
        <f>+INPUT!BF75</f>
        <v>NM</v>
      </c>
      <c r="J135" s="606">
        <f>+INPUT!BG75</f>
        <v>0.76662880061939542</v>
      </c>
      <c r="K135" s="577">
        <f>+INPUT!BH75</f>
        <v>-25.539181310672944</v>
      </c>
      <c r="L135" s="606">
        <f>+INPUT!BI75</f>
        <v>0.73155963076010533</v>
      </c>
      <c r="M135" s="577">
        <f>+INPUT!BJ75</f>
        <v>-20.338556986022098</v>
      </c>
      <c r="N135" s="606">
        <f>+INPUT!BK75</f>
        <v>0.68860396305926663</v>
      </c>
      <c r="O135" s="577">
        <f>+INPUT!BL75</f>
        <v>-25.105660535520727</v>
      </c>
      <c r="P135" s="606">
        <f>+INPUT!BM75</f>
        <v>0.65030230750517692</v>
      </c>
      <c r="Q135" s="577">
        <f>+INPUT!BN75</f>
        <v>-20.446351048533344</v>
      </c>
      <c r="R135" s="606">
        <f>+INPUT!BO75</f>
        <v>0.79391006872746328</v>
      </c>
      <c r="S135" s="577">
        <f>+INPUT!BP75</f>
        <v>3.5586020360865831</v>
      </c>
      <c r="T135" s="606">
        <f>+INPUT!BQ75</f>
        <v>0.88935457902605453</v>
      </c>
      <c r="U135" s="577">
        <f>+INPUT!BR75</f>
        <v>21.569663173184807</v>
      </c>
      <c r="V135" s="606">
        <f>+INPUT!BS75</f>
        <v>1.0708214539078289</v>
      </c>
      <c r="W135" s="577">
        <f>+INPUT!BT75</f>
        <v>55.506141607213721</v>
      </c>
      <c r="X135" s="606">
        <f>+INPUT!BU75</f>
        <v>1.5748148478298012</v>
      </c>
      <c r="Y135" s="577" t="str">
        <f>+INPUT!BV75</f>
        <v>NM</v>
      </c>
      <c r="Z135" s="606">
        <f>+INPUT!BW75</f>
        <v>1.7605435838948815</v>
      </c>
      <c r="AA135" s="577" t="str">
        <f>+INPUT!BX75</f>
        <v>NM</v>
      </c>
      <c r="AB135" s="606">
        <f>+INPUT!BY75</f>
        <v>1.5502798687512063</v>
      </c>
      <c r="AC135" s="577">
        <f>+INPUT!BZ75</f>
        <v>74.315161276725064</v>
      </c>
      <c r="AD135" s="606">
        <f>+INPUT!CA75</f>
        <v>1.283096830315881</v>
      </c>
      <c r="AE135" s="577">
        <f>+INPUT!CB75</f>
        <v>19.82360137008645</v>
      </c>
      <c r="AF135" s="606">
        <f>+INPUT!CC75</f>
        <v>1.0712859731564237</v>
      </c>
      <c r="AG135" s="577">
        <f>+INPUT!CD75</f>
        <v>-31.973846028139334</v>
      </c>
      <c r="AH135" s="606">
        <f>+INPUT!CE75</f>
        <v>1.0353055364581225</v>
      </c>
      <c r="AI135" s="577">
        <f>+INPUT!CF75</f>
        <v>-41.193984293890765</v>
      </c>
      <c r="AJ135" s="606">
        <f>+INPUT!CG75</f>
        <v>0.97916442369260592</v>
      </c>
      <c r="AK135" s="577">
        <f>+INPUT!CH75</f>
        <v>-36.83950598666096</v>
      </c>
      <c r="AL135" s="606">
        <f>+INPUT!CI75</f>
        <v>0.9536090852938307</v>
      </c>
      <c r="AM135" s="577">
        <f>+INPUT!CJ75</f>
        <v>-25.67910209402784</v>
      </c>
      <c r="AN135" s="606">
        <f>+INPUT!CK75</f>
        <v>0.85747438393612208</v>
      </c>
      <c r="AO135" s="577">
        <f>+INPUT!CL75</f>
        <v>-19.958404625641634</v>
      </c>
      <c r="AP135" s="606">
        <f>+INPUT!CM75</f>
        <v>0.73092570285688307</v>
      </c>
      <c r="AQ135" s="577">
        <f>+INPUT!CN75</f>
        <v>-29.400000568194713</v>
      </c>
      <c r="AR135" s="606">
        <f>+INPUT!CO75</f>
        <v>0.68570334628454077</v>
      </c>
      <c r="AS135" s="577">
        <f>+INPUT!CP75</f>
        <v>-29.970561665360592</v>
      </c>
      <c r="AT135" s="606">
        <f>+INPUT!CQ75</f>
        <v>0.70044361428904978</v>
      </c>
      <c r="AU135" s="577">
        <f>+INPUT!CR75</f>
        <v>-26.548139579309307</v>
      </c>
      <c r="AV135" s="606">
        <f>+INPUT!CS75</f>
        <v>0.71563498982853824</v>
      </c>
      <c r="AW135" s="577">
        <f>+INPUT!CT75</f>
        <v>-16.541531358230074</v>
      </c>
      <c r="AX135" s="606">
        <f>+INPUT!CU75</f>
        <v>0.66333037303915576</v>
      </c>
      <c r="AY135" s="577">
        <f>+INPUT!CV75</f>
        <v>-9.2479070791361409</v>
      </c>
      <c r="AZ135" s="606">
        <f>+INPUT!CW75</f>
        <v>0.61576156164869356</v>
      </c>
      <c r="BA135" s="577">
        <f>+INPUT!CX75</f>
        <v>-10.200006316845943</v>
      </c>
      <c r="BB135" s="606">
        <f>+INPUT!CY75</f>
        <v>0.61370955494374979</v>
      </c>
      <c r="BC135" s="577">
        <f>+INPUT!CZ75</f>
        <v>-12.38273253919732</v>
      </c>
      <c r="BD135" s="606">
        <f>+INPUT!DA75</f>
        <v>0.55214197510138152</v>
      </c>
      <c r="BE135" s="577">
        <f>+INPUT!DB75</f>
        <v>-22.845866545224212</v>
      </c>
      <c r="BF135" s="606">
        <f>+INPUT!DC75</f>
        <v>0.50631090654104782</v>
      </c>
      <c r="BG135" s="577">
        <f>+INPUT!DD75</f>
        <v>-23.67138199607804</v>
      </c>
      <c r="BH135" s="606">
        <f>+INPUT!DE75</f>
        <v>0.50946091435567975</v>
      </c>
      <c r="BI135" s="577">
        <f>+INPUT!DF75</f>
        <v>-17.263280775174593</v>
      </c>
      <c r="BJ135" s="606">
        <f>+INPUT!DG75</f>
        <v>0.46805976763186685</v>
      </c>
      <c r="BK135" s="577">
        <f>+INPUT!DH75</f>
        <v>-23.732690185218416</v>
      </c>
      <c r="BL135" s="606">
        <f>+INPUT!DI75</f>
        <v>0.44309129139885511</v>
      </c>
      <c r="BM135" s="577">
        <f>+INPUT!DJ75</f>
        <v>-19.750478793521012</v>
      </c>
      <c r="BN135" s="606">
        <f>+INPUT!DK75</f>
        <v>0.42661013005145176</v>
      </c>
      <c r="BO135" s="577">
        <f>+INPUT!DL75</f>
        <v>-15.741469413346437</v>
      </c>
      <c r="BP135" s="606">
        <f>+INPUT!DM75</f>
        <v>0.38881335688237761</v>
      </c>
      <c r="BQ135" s="577">
        <f>+INPUT!DN75</f>
        <v>-23.681415801227118</v>
      </c>
      <c r="BR135" s="606">
        <f>+INPUT!DO75</f>
        <v>0.38949009044895688</v>
      </c>
      <c r="BS135" s="577">
        <f>+INPUT!DP75</f>
        <v>-16.786248811862365</v>
      </c>
      <c r="BT135" s="606">
        <f>+INPUT!DQ75</f>
        <v>0.40070122714750811</v>
      </c>
      <c r="BU135" s="577">
        <f>+INPUT!DR75</f>
        <v>-9.5668917611808695</v>
      </c>
      <c r="BV135" s="606">
        <f>+INPUT!DS75</f>
        <v>0.37774671582377239</v>
      </c>
      <c r="BW135" s="577">
        <f>+INPUT!DT75</f>
        <v>-11.453880436872453</v>
      </c>
      <c r="BX135" s="606">
        <f>+INPUT!DU75</f>
        <v>0.35738496671383896</v>
      </c>
      <c r="BY135" s="577">
        <f>+INPUT!DV75</f>
        <v>-8.0831559956018282</v>
      </c>
      <c r="BZ135" s="606">
        <f>+INPUT!DW75</f>
        <v>0.40363138880893162</v>
      </c>
      <c r="CA135" s="577">
        <f>+INPUT!DX75</f>
        <v>3.6307209622905532</v>
      </c>
      <c r="CB135" s="606">
        <f>+INPUT!DY75</f>
        <v>0.4037445326261207</v>
      </c>
      <c r="CC135" s="577">
        <f>+INPUT!DZ75</f>
        <v>0.75949492350626713</v>
      </c>
      <c r="CD135" s="606">
        <f>+INPUT!EA75</f>
        <v>0.4441840342739023</v>
      </c>
      <c r="CE135" s="577">
        <f>+INPUT!EB75</f>
        <v>17.587795119607193</v>
      </c>
      <c r="CF135" s="606">
        <f>+INPUT!EC75</f>
        <v>0.41898441820370191</v>
      </c>
      <c r="CG135" s="577">
        <f>+INPUT!ED75</f>
        <v>17.236161905821334</v>
      </c>
      <c r="CH135" s="606">
        <f>+INPUT!EE75</f>
        <v>0.49063293565234056</v>
      </c>
      <c r="CI135" s="577">
        <f>+INPUT!EF75</f>
        <v>21.554702943232499</v>
      </c>
      <c r="CJ135" s="606">
        <f>+INPUT!EG75</f>
        <v>0.46704804693325208</v>
      </c>
      <c r="CK135" s="577">
        <f>+INPUT!EH75</f>
        <v>15.679101310766796</v>
      </c>
      <c r="CL135" s="606">
        <f>+INPUT!EI75</f>
        <v>0.47934103222307017</v>
      </c>
      <c r="CM135" s="577">
        <f>+INPUT!EJ75</f>
        <v>7.9149620959785665</v>
      </c>
      <c r="CN135" s="606">
        <f>+INPUT!EK75</f>
        <v>0.45570921294189393</v>
      </c>
      <c r="CO135" s="577">
        <f>+INPUT!EL75</f>
        <v>8.7651934398040368</v>
      </c>
      <c r="CP135" s="606">
        <f>+INPUT!EM75</f>
        <v>0.44350490718685087</v>
      </c>
      <c r="CQ135" s="577">
        <f>+INPUT!EN75</f>
        <v>-9.6055574424144083</v>
      </c>
      <c r="CR135" s="606">
        <f>+INPUT!EO75</f>
        <v>0.44520773368918037</v>
      </c>
      <c r="CS135" s="577">
        <f>+INPUT!EP75</f>
        <v>-4.6762454928310717</v>
      </c>
      <c r="CT135" s="606">
        <f>+INPUT!EQ75</f>
        <v>0.44</v>
      </c>
      <c r="CU135" s="577">
        <f>+INPUT!ER75</f>
        <v>-8.2073157894736823</v>
      </c>
      <c r="CV135" s="606">
        <f>+INPUT!ES75</f>
        <v>0.44</v>
      </c>
      <c r="CW135" s="577">
        <f>+INPUT!ET75</f>
        <v>-3.4472010869565111</v>
      </c>
      <c r="CX135" s="606">
        <f>+INPUT!EU75</f>
        <v>0.44</v>
      </c>
      <c r="CY135" s="577">
        <f>+INPUT!EV75</f>
        <v>-0.79027472527474174</v>
      </c>
      <c r="CZ135" s="606">
        <f>+INPUT!EW75</f>
        <v>0.44</v>
      </c>
      <c r="DA135" s="577">
        <f>+INPUT!EX75</f>
        <v>-1.1697311827957009</v>
      </c>
      <c r="DB135" s="597"/>
      <c r="DC135" s="606">
        <f>+INPUT!FP75</f>
        <v>15.679796696315121</v>
      </c>
      <c r="DD135" s="577">
        <f>+INPUT!FQ75</f>
        <v>-1.7620873085951843</v>
      </c>
      <c r="DE135" s="606">
        <f>+INPUT!FR75</f>
        <v>15.971055691949864</v>
      </c>
      <c r="DF135" s="577">
        <f>+INPUT!FS75</f>
        <v>1.857543189339907</v>
      </c>
      <c r="DG135" s="606">
        <f>+INPUT!FT75</f>
        <v>0.71551495487938022</v>
      </c>
      <c r="DH135" s="577" t="str">
        <f>+INPUT!FU75</f>
        <v>NM</v>
      </c>
      <c r="DI135" s="606">
        <f>+INPUT!FV75</f>
        <v>1.0617595678638558</v>
      </c>
      <c r="DJ135" s="577">
        <f>+INPUT!FW75</f>
        <v>48.390968018669099</v>
      </c>
      <c r="DK135" s="606">
        <f>+INPUT!FX75</f>
        <v>1.3866413605798682</v>
      </c>
      <c r="DL135" s="577">
        <f>+INPUT!FY75</f>
        <v>30.598433256376381</v>
      </c>
      <c r="DM135" s="606">
        <f>+INPUT!FZ75</f>
        <v>0.95341901978643095</v>
      </c>
      <c r="DN135" s="577">
        <f>+INPUT!GA75</f>
        <v>-31.242565894058686</v>
      </c>
      <c r="DO135" s="606">
        <f>+INPUT!GB75</f>
        <v>0.70795905039391427</v>
      </c>
      <c r="DP135" s="577">
        <f>+INPUT!GC75</f>
        <v>-25.745235232196279</v>
      </c>
      <c r="DQ135" s="606">
        <f>+INPUT!GD75</f>
        <v>0.60956482415143332</v>
      </c>
      <c r="DR135" s="577">
        <f>+INPUT!GE75</f>
        <v>-13.89829343769722</v>
      </c>
      <c r="DS135" s="606">
        <f>+INPUT!GF75</f>
        <v>0.48095149278008875</v>
      </c>
      <c r="DT135" s="577">
        <f>+INPUT!GG75</f>
        <v>-21.099204920557113</v>
      </c>
      <c r="DU135" s="606">
        <f>+INPUT!GH75</f>
        <v>0.4012962505872143</v>
      </c>
      <c r="DV135" s="577">
        <f>+INPUT!GI75</f>
        <v>-16.562011634985438</v>
      </c>
      <c r="DW135" s="606">
        <f>+INPUT!GJ75</f>
        <v>0.38524628130325689</v>
      </c>
      <c r="DX135" s="577">
        <f>+INPUT!GK75</f>
        <v>-3.9995313338890242</v>
      </c>
      <c r="DY135" s="606">
        <f>+INPUT!GL75</f>
        <v>0.45558759336424925</v>
      </c>
      <c r="DZ135" s="577">
        <f>+INPUT!GM75</f>
        <v>18.258790668409162</v>
      </c>
      <c r="EA135" s="606">
        <f>+INPUT!GN75</f>
        <v>0.45571447215888589</v>
      </c>
      <c r="EB135" s="577">
        <f>+INPUT!GO75</f>
        <v>2.7849484157300708E-2</v>
      </c>
      <c r="EC135" s="606">
        <f>+INPUT!GP75</f>
        <v>0.43999791029160878</v>
      </c>
      <c r="ED135" s="577">
        <f>+INPUT!GQ75</f>
        <v>-3.4487739203940606</v>
      </c>
      <c r="EE135" s="606">
        <f>+INPUT!GR75</f>
        <v>0.43999791029160878</v>
      </c>
      <c r="EF135" s="577">
        <f>+INPUT!GS75</f>
        <v>0</v>
      </c>
      <c r="EG135" s="606">
        <f>+INPUT!GT75</f>
        <v>0.43499791029160878</v>
      </c>
      <c r="EH135" s="577">
        <f>+INPUT!GU75</f>
        <v>-1.1363690333634224</v>
      </c>
      <c r="EI135" s="606">
        <f>+INPUT!GV75</f>
        <v>0.42999791029160878</v>
      </c>
      <c r="EJ135" s="577">
        <f>+INPUT!GW75</f>
        <v>-1.1494308091384084</v>
      </c>
      <c r="EK135" s="606">
        <f>+INPUT!GX75</f>
        <v>0.42499791029160877</v>
      </c>
      <c r="EL135" s="577">
        <f>+INPUT!GY75</f>
        <v>-1.1627963486169506</v>
      </c>
      <c r="EM135" s="577">
        <f>+INPUT!GZ75</f>
        <v>-1.3859501161377463</v>
      </c>
    </row>
    <row r="136" spans="1:143" ht="12.75" hidden="1" customHeight="1" outlineLevel="1" x14ac:dyDescent="0.2">
      <c r="A136" s="579" t="str">
        <f>+INPUT!B76</f>
        <v>Interest Credited/Avg Total Reserves (%)</v>
      </c>
      <c r="B136" s="606">
        <f>+INPUT!AY76</f>
        <v>0.59343468196727167</v>
      </c>
      <c r="C136" s="577" t="str">
        <f>+INPUT!AZ76</f>
        <v>NM</v>
      </c>
      <c r="D136" s="606">
        <f>+INPUT!BA76</f>
        <v>0.51155624036979963</v>
      </c>
      <c r="E136" s="577" t="str">
        <f>+INPUT!BB76</f>
        <v>NM</v>
      </c>
      <c r="F136" s="606">
        <f>+INPUT!BC76</f>
        <v>0.50596067923861077</v>
      </c>
      <c r="G136" s="577" t="str">
        <f>+INPUT!BD76</f>
        <v>NM</v>
      </c>
      <c r="H136" s="606">
        <f>+INPUT!BE76</f>
        <v>0.50827918675330119</v>
      </c>
      <c r="I136" s="577" t="str">
        <f>+INPUT!BF76</f>
        <v>NM</v>
      </c>
      <c r="J136" s="606">
        <f>+INPUT!BG76</f>
        <v>0.45185406129222649</v>
      </c>
      <c r="K136" s="577">
        <f>+INPUT!BH76</f>
        <v>-23.857827150529346</v>
      </c>
      <c r="L136" s="606">
        <f>+INPUT!BI76</f>
        <v>0.45969625446412021</v>
      </c>
      <c r="M136" s="577">
        <f>+INPUT!BJ76</f>
        <v>-10.137690015899381</v>
      </c>
      <c r="N136" s="606">
        <f>+INPUT!BK76</f>
        <v>0.41603156101497357</v>
      </c>
      <c r="O136" s="577">
        <f>+INPUT!BL76</f>
        <v>-17.773934203536541</v>
      </c>
      <c r="P136" s="606">
        <f>+INPUT!BM76</f>
        <v>0.42720589544135712</v>
      </c>
      <c r="Q136" s="577">
        <f>+INPUT!BN76</f>
        <v>-15.950543210279804</v>
      </c>
      <c r="R136" s="606">
        <f>+INPUT!BO76</f>
        <v>0.50297408080870343</v>
      </c>
      <c r="S136" s="577">
        <f>+INPUT!BP76</f>
        <v>11.313391622569966</v>
      </c>
      <c r="T136" s="606">
        <f>+INPUT!BQ76</f>
        <v>0.57245811983286266</v>
      </c>
      <c r="U136" s="577">
        <f>+INPUT!BR76</f>
        <v>24.529646320523497</v>
      </c>
      <c r="V136" s="606">
        <f>+INPUT!BS76</f>
        <v>0.75492912500501941</v>
      </c>
      <c r="W136" s="577">
        <f>+INPUT!BT76</f>
        <v>81.459580413383208</v>
      </c>
      <c r="X136" s="606">
        <f>+INPUT!BU76</f>
        <v>0.93300351361991996</v>
      </c>
      <c r="Y136" s="577" t="str">
        <f>+INPUT!BV76</f>
        <v>NM</v>
      </c>
      <c r="Z136" s="606">
        <f>+INPUT!BW76</f>
        <v>1.1180094291887204</v>
      </c>
      <c r="AA136" s="577" t="str">
        <f>+INPUT!BX76</f>
        <v>NM</v>
      </c>
      <c r="AB136" s="606">
        <f>+INPUT!BY76</f>
        <v>0.85234510712217715</v>
      </c>
      <c r="AC136" s="577">
        <f>+INPUT!BZ76</f>
        <v>48.892133344362634</v>
      </c>
      <c r="AD136" s="606">
        <f>+INPUT!CA76</f>
        <v>0.8427119012667863</v>
      </c>
      <c r="AE136" s="577">
        <f>+INPUT!CB76</f>
        <v>11.627949347057353</v>
      </c>
      <c r="AF136" s="606">
        <f>+INPUT!CC76</f>
        <v>0.74203753186522925</v>
      </c>
      <c r="AG136" s="577">
        <f>+INPUT!CD76</f>
        <v>-20.467873804008534</v>
      </c>
      <c r="AH136" s="606">
        <f>+INPUT!CE76</f>
        <v>0.725638255463952</v>
      </c>
      <c r="AI136" s="577">
        <f>+INPUT!CF76</f>
        <v>-35.095515608440891</v>
      </c>
      <c r="AJ136" s="606">
        <f>+INPUT!CG76</f>
        <v>0.82503669033358462</v>
      </c>
      <c r="AK136" s="577">
        <f>+INPUT!CH76</f>
        <v>-3.2039154751290226</v>
      </c>
      <c r="AL136" s="606">
        <f>+INPUT!CI76</f>
        <v>0.4247895016308883</v>
      </c>
      <c r="AM136" s="577">
        <f>+INPUT!CJ76</f>
        <v>-49.592559332277887</v>
      </c>
      <c r="AN136" s="606">
        <f>+INPUT!CK76</f>
        <v>0.56640509764587887</v>
      </c>
      <c r="AO136" s="577">
        <f>+INPUT!CL76</f>
        <v>-23.668942159552273</v>
      </c>
      <c r="AP136" s="606">
        <f>+INPUT!CM76</f>
        <v>0.49455669447032891</v>
      </c>
      <c r="AQ136" s="577">
        <f>+INPUT!CN76</f>
        <v>-31.845283686962773</v>
      </c>
      <c r="AR136" s="606">
        <f>+INPUT!CO76</f>
        <v>0.47337895987156114</v>
      </c>
      <c r="AS136" s="577">
        <f>+INPUT!CP76</f>
        <v>-42.623283859029193</v>
      </c>
      <c r="AT136" s="606">
        <f>+INPUT!CQ76</f>
        <v>0.65374737333644639</v>
      </c>
      <c r="AU136" s="577">
        <f>+INPUT!CR76</f>
        <v>53.899136119542362</v>
      </c>
      <c r="AV136" s="606">
        <f>+INPUT!CS76</f>
        <v>0.42138913106655046</v>
      </c>
      <c r="AW136" s="577">
        <f>+INPUT!CT76</f>
        <v>-25.60287101617746</v>
      </c>
      <c r="AX136" s="606">
        <f>+INPUT!CU76</f>
        <v>0.39395763271868645</v>
      </c>
      <c r="AY136" s="577">
        <f>+INPUT!CV76</f>
        <v>-20.341259733504216</v>
      </c>
      <c r="AZ136" s="606">
        <f>+INPUT!CW76</f>
        <v>0.45779131808436901</v>
      </c>
      <c r="BA136" s="577">
        <f>+INPUT!CX76</f>
        <v>-3.2928463469144162</v>
      </c>
      <c r="BB136" s="606">
        <f>+INPUT!CY76</f>
        <v>0.22429993886269026</v>
      </c>
      <c r="BC136" s="577" t="str">
        <f>+INPUT!CZ76</f>
        <v>NM</v>
      </c>
      <c r="BD136" s="606">
        <f>+INPUT!DA76</f>
        <v>0.36113069722847113</v>
      </c>
      <c r="BE136" s="577">
        <f>+INPUT!DB76</f>
        <v>-14.299949712884896</v>
      </c>
      <c r="BF136" s="606">
        <f>+INPUT!DC76</f>
        <v>0.3394584487036571</v>
      </c>
      <c r="BG136" s="577">
        <f>+INPUT!DD76</f>
        <v>-13.83376776810556</v>
      </c>
      <c r="BH136" s="606">
        <f>+INPUT!DE76</f>
        <v>0.3180612338242641</v>
      </c>
      <c r="BI136" s="577">
        <f>+INPUT!DF76</f>
        <v>-30.522659286070876</v>
      </c>
      <c r="BJ136" s="606">
        <f>+INPUT!DG76</f>
        <v>0.14955755888828881</v>
      </c>
      <c r="BK136" s="577">
        <f>+INPUT!DH76</f>
        <v>-33.32251464417763</v>
      </c>
      <c r="BL136" s="606">
        <f>+INPUT!DI76</f>
        <v>0.25471116152269518</v>
      </c>
      <c r="BM136" s="577">
        <f>+INPUT!DJ76</f>
        <v>-29.46842694971707</v>
      </c>
      <c r="BN136" s="606">
        <f>+INPUT!DK76</f>
        <v>0.27147917366910568</v>
      </c>
      <c r="BO136" s="577">
        <f>+INPUT!DL76</f>
        <v>-20.02580147707458</v>
      </c>
      <c r="BP136" s="606">
        <f>+INPUT!DM76</f>
        <v>0.27191522344061703</v>
      </c>
      <c r="BQ136" s="577">
        <f>+INPUT!DN76</f>
        <v>-14.508530269093953</v>
      </c>
      <c r="BR136" s="606">
        <f>+INPUT!DO76</f>
        <v>0.27061973816908047</v>
      </c>
      <c r="BS136" s="577">
        <f>+INPUT!DP76</f>
        <v>80.94688104077602</v>
      </c>
      <c r="BT136" s="606">
        <f>+INPUT!DQ76</f>
        <v>0.27896920877358161</v>
      </c>
      <c r="BU136" s="577">
        <f>+INPUT!DR76</f>
        <v>9.5237472538968433</v>
      </c>
      <c r="BV136" s="606">
        <f>+INPUT!DS76</f>
        <v>0.20263234424983817</v>
      </c>
      <c r="BW136" s="577">
        <f>+INPUT!DT76</f>
        <v>-25.359893537609608</v>
      </c>
      <c r="BX136" s="606">
        <f>+INPUT!DU76</f>
        <v>0.20243484128546124</v>
      </c>
      <c r="BY136" s="577">
        <f>+INPUT!DV76</f>
        <v>-25.552222224265961</v>
      </c>
      <c r="BZ136" s="606">
        <f>+INPUT!DW76</f>
        <v>0.27426235393427406</v>
      </c>
      <c r="CA136" s="577">
        <f>+INPUT!DX76</f>
        <v>1.3460273776917546</v>
      </c>
      <c r="CB136" s="606">
        <f>+INPUT!DY76</f>
        <v>0.25069104966981348</v>
      </c>
      <c r="CC136" s="577">
        <f>+INPUT!DZ76</f>
        <v>-10.136659607734487</v>
      </c>
      <c r="CD136" s="606">
        <f>+INPUT!EA76</f>
        <v>0.27589070451795172</v>
      </c>
      <c r="CE136" s="577">
        <f>+INPUT!EB76</f>
        <v>36.15333995138937</v>
      </c>
      <c r="CF136" s="606">
        <f>+INPUT!EC76</f>
        <v>0.25503399368920987</v>
      </c>
      <c r="CG136" s="577">
        <f>+INPUT!ED76</f>
        <v>25.983250743668435</v>
      </c>
      <c r="CH136" s="606">
        <f>+INPUT!EE76</f>
        <v>0.1839873508696277</v>
      </c>
      <c r="CI136" s="577">
        <f>+INPUT!EF76</f>
        <v>-32.915564885102839</v>
      </c>
      <c r="CJ136" s="606">
        <f>+INPUT!EG76</f>
        <v>0.23352402346662604</v>
      </c>
      <c r="CK136" s="577">
        <f>+INPUT!EH76</f>
        <v>-6.847881576066726</v>
      </c>
      <c r="CL136" s="606">
        <f>+INPUT!EI76</f>
        <v>0.21948773580740583</v>
      </c>
      <c r="CM136" s="577">
        <f>+INPUT!EJ76</f>
        <v>-20.443953995875148</v>
      </c>
      <c r="CN136" s="606">
        <f>+INPUT!EK76</f>
        <v>0.19070439889416216</v>
      </c>
      <c r="CO136" s="577">
        <f>+INPUT!EL76</f>
        <v>-25.22392951013471</v>
      </c>
      <c r="CP136" s="606">
        <f>+INPUT!EM76</f>
        <v>0.19738405209964241</v>
      </c>
      <c r="CQ136" s="577">
        <f>+INPUT!EN76</f>
        <v>7.2813164419697216</v>
      </c>
      <c r="CR136" s="606">
        <f>+INPUT!EO76</f>
        <v>0.20345514711602328</v>
      </c>
      <c r="CS136" s="577">
        <f>+INPUT!EP76</f>
        <v>-12.876138353662796</v>
      </c>
      <c r="CT136" s="606">
        <f>+INPUT!EQ76</f>
        <v>0.20345514711602328</v>
      </c>
      <c r="CU136" s="577">
        <f>+INPUT!ER76</f>
        <v>-7.3045487632396373</v>
      </c>
      <c r="CV136" s="606">
        <f>+INPUT!ES76</f>
        <v>0.20345514711602328</v>
      </c>
      <c r="CW136" s="577">
        <f>+INPUT!ET76</f>
        <v>6.6861322003052237</v>
      </c>
      <c r="CX136" s="606">
        <f>+INPUT!EU76</f>
        <v>0.20345514711602328</v>
      </c>
      <c r="CY136" s="577">
        <f>+INPUT!EV76</f>
        <v>3.0757778816477526</v>
      </c>
      <c r="CZ136" s="606">
        <f>+INPUT!EW76</f>
        <v>0.20345514711602328</v>
      </c>
      <c r="DA136" s="577">
        <f>+INPUT!EX76</f>
        <v>0</v>
      </c>
      <c r="DB136" s="597"/>
      <c r="DC136" s="606">
        <f>+INPUT!FP76</f>
        <v>8.5641677255400257</v>
      </c>
      <c r="DD136" s="577">
        <f>+INPUT!FQ76</f>
        <v>-11.571379895366746</v>
      </c>
      <c r="DE136" s="606">
        <f>+INPUT!FR76</f>
        <v>9.2001550587931256</v>
      </c>
      <c r="DF136" s="577">
        <f>+INPUT!FS76</f>
        <v>7.4261428971838228</v>
      </c>
      <c r="DG136" s="606">
        <f>+INPUT!FT76</f>
        <v>0.44287908414085775</v>
      </c>
      <c r="DH136" s="577" t="str">
        <f>+INPUT!FU76</f>
        <v>NM</v>
      </c>
      <c r="DI136" s="606">
        <f>+INPUT!FV76</f>
        <v>0.75384929318333771</v>
      </c>
      <c r="DJ136" s="577">
        <f>+INPUT!FW76</f>
        <v>70.215600640913493</v>
      </c>
      <c r="DK136" s="606">
        <f>+INPUT!FX76</f>
        <v>0.87532621127513632</v>
      </c>
      <c r="DL136" s="577">
        <f>+INPUT!FY76</f>
        <v>16.114217946511374</v>
      </c>
      <c r="DM136" s="606">
        <f>+INPUT!FZ76</f>
        <v>0.63090711901585006</v>
      </c>
      <c r="DN136" s="577">
        <f>+INPUT!GA76</f>
        <v>-27.923200414988997</v>
      </c>
      <c r="DO136" s="606">
        <f>+INPUT!GB76</f>
        <v>0.51080589711965962</v>
      </c>
      <c r="DP136" s="577">
        <f>+INPUT!GC76</f>
        <v>-19.036276224547279</v>
      </c>
      <c r="DQ136" s="606">
        <f>+INPUT!GD76</f>
        <v>0.35782246820317903</v>
      </c>
      <c r="DR136" s="577">
        <f>+INPUT!GE76</f>
        <v>-29.949424973189622</v>
      </c>
      <c r="DS136" s="606">
        <f>+INPUT!GF76</f>
        <v>0.26441921897433451</v>
      </c>
      <c r="DT136" s="577">
        <f>+INPUT!GG76</f>
        <v>-26.103237646834458</v>
      </c>
      <c r="DU136" s="606">
        <f>+INPUT!GH76</f>
        <v>0.27326363730462683</v>
      </c>
      <c r="DV136" s="577">
        <f>+INPUT!GI76</f>
        <v>3.344847006431408</v>
      </c>
      <c r="DW136" s="606">
        <f>+INPUT!GJ76</f>
        <v>0.23191442804822929</v>
      </c>
      <c r="DX136" s="577">
        <f>+INPUT!GK76</f>
        <v>-15.131617826744574</v>
      </c>
      <c r="DY136" s="606">
        <f>+INPUT!GL76</f>
        <v>0.23627895243246164</v>
      </c>
      <c r="DZ136" s="577">
        <f>+INPUT!GM76</f>
        <v>1.8819546592955732</v>
      </c>
      <c r="EA136" s="606">
        <f>+INPUT!GN76</f>
        <v>0.20267624772565004</v>
      </c>
      <c r="EB136" s="577">
        <f>+INPUT!GO76</f>
        <v>-14.221624211922418</v>
      </c>
      <c r="EC136" s="606">
        <f>+INPUT!GP76</f>
        <v>0.20345418083891387</v>
      </c>
      <c r="ED136" s="577">
        <f>+INPUT!GQ76</f>
        <v>0.38383043005455875</v>
      </c>
      <c r="EE136" s="606">
        <f>+INPUT!GR76</f>
        <v>0.21345418083891388</v>
      </c>
      <c r="EF136" s="577">
        <f>+INPUT!GS76</f>
        <v>4.9151115788166351</v>
      </c>
      <c r="EG136" s="606">
        <f>+INPUT!GT76</f>
        <v>0.22345418083891389</v>
      </c>
      <c r="EH136" s="577">
        <f>+INPUT!GU76</f>
        <v>4.6848461626275935</v>
      </c>
      <c r="EI136" s="606">
        <f>+INPUT!GV76</f>
        <v>0.23345418083891389</v>
      </c>
      <c r="EJ136" s="577">
        <f>+INPUT!GW76</f>
        <v>4.4751903779365563</v>
      </c>
      <c r="EK136" s="606">
        <f>+INPUT!GX76</f>
        <v>0.2434541808389139</v>
      </c>
      <c r="EL136" s="577">
        <f>+INPUT!GY76</f>
        <v>4.2834957866529493</v>
      </c>
      <c r="EM136" s="577">
        <f>+INPUT!GZ76</f>
        <v>3.7344183978566647</v>
      </c>
    </row>
    <row r="137" spans="1:143" ht="12.75" hidden="1" customHeight="1" outlineLevel="1" x14ac:dyDescent="0.2">
      <c r="A137" s="579" t="str">
        <f>+INPUT!B77</f>
        <v>Net Spread (%)</v>
      </c>
      <c r="B137" s="606">
        <f>+INPUT!AY77</f>
        <v>0.43613874216871784</v>
      </c>
      <c r="C137" s="577" t="str">
        <f>+INPUT!AZ77</f>
        <v>NM</v>
      </c>
      <c r="D137" s="606">
        <f>+INPUT!BA77</f>
        <v>0.40677966101694929</v>
      </c>
      <c r="E137" s="577" t="str">
        <f>+INPUT!BB77</f>
        <v>NM</v>
      </c>
      <c r="F137" s="606">
        <f>+INPUT!BC77</f>
        <v>0.41347324324875723</v>
      </c>
      <c r="G137" s="577" t="str">
        <f>+INPUT!BD77</f>
        <v>NM</v>
      </c>
      <c r="H137" s="606">
        <f>+INPUT!BE77</f>
        <v>0.30915950534479142</v>
      </c>
      <c r="I137" s="577" t="str">
        <f>+INPUT!BF77</f>
        <v>NM</v>
      </c>
      <c r="J137" s="606">
        <f>+INPUT!BG77</f>
        <v>0.31477473932716893</v>
      </c>
      <c r="K137" s="577">
        <f>+INPUT!BH77</f>
        <v>-27.826925495786369</v>
      </c>
      <c r="L137" s="606">
        <f>+INPUT!BI77</f>
        <v>0.27186337629598512</v>
      </c>
      <c r="M137" s="577">
        <f>+INPUT!BJ77</f>
        <v>-33.166919993903676</v>
      </c>
      <c r="N137" s="606">
        <f>+INPUT!BK77</f>
        <v>0.27257240204429306</v>
      </c>
      <c r="O137" s="577">
        <f>+INPUT!BL77</f>
        <v>-34.077378283869805</v>
      </c>
      <c r="P137" s="606">
        <f>+INPUT!BM77</f>
        <v>0.2230964120638198</v>
      </c>
      <c r="Q137" s="577">
        <f>+INPUT!BN77</f>
        <v>-27.837763935153603</v>
      </c>
      <c r="R137" s="606">
        <f>+INPUT!BO77</f>
        <v>0.29093598791875985</v>
      </c>
      <c r="S137" s="577">
        <f>+INPUT!BP77</f>
        <v>-7.5732733380589679</v>
      </c>
      <c r="T137" s="606">
        <f>+INPUT!BQ77</f>
        <v>0.31689645919319187</v>
      </c>
      <c r="U137" s="577">
        <f>+INPUT!BR77</f>
        <v>16.564600760412105</v>
      </c>
      <c r="V137" s="606">
        <f>+INPUT!BS77</f>
        <v>0.31589232890280949</v>
      </c>
      <c r="W137" s="577">
        <f>+INPUT!BT77</f>
        <v>15.892998166218206</v>
      </c>
      <c r="X137" s="606">
        <f>+INPUT!BU77</f>
        <v>0.64181133420988123</v>
      </c>
      <c r="Y137" s="577" t="str">
        <f>+INPUT!BV77</f>
        <v>NM</v>
      </c>
      <c r="Z137" s="606">
        <f>+INPUT!BW77</f>
        <v>0.64253415470616115</v>
      </c>
      <c r="AA137" s="577" t="str">
        <f>+INPUT!BX77</f>
        <v>NM</v>
      </c>
      <c r="AB137" s="606">
        <f>+INPUT!BY77</f>
        <v>0.69793476162902912</v>
      </c>
      <c r="AC137" s="577" t="str">
        <f>+INPUT!BZ77</f>
        <v>NM</v>
      </c>
      <c r="AD137" s="606">
        <f>+INPUT!CA77</f>
        <v>0.44038492904909465</v>
      </c>
      <c r="AE137" s="577">
        <f>+INPUT!CB77</f>
        <v>39.409820611562793</v>
      </c>
      <c r="AF137" s="606">
        <f>+INPUT!CC77</f>
        <v>0.32924844129119446</v>
      </c>
      <c r="AG137" s="577">
        <f>+INPUT!CD77</f>
        <v>-48.700120465070249</v>
      </c>
      <c r="AH137" s="606">
        <f>+INPUT!CE77</f>
        <v>0.30966728099417051</v>
      </c>
      <c r="AI137" s="577" t="str">
        <f>+INPUT!CF77</f>
        <v>NM</v>
      </c>
      <c r="AJ137" s="606">
        <f>+INPUT!CG77</f>
        <v>0.1541277333590213</v>
      </c>
      <c r="AK137" s="577" t="str">
        <f>+INPUT!CH77</f>
        <v>NM</v>
      </c>
      <c r="AL137" s="606">
        <f>+INPUT!CI77</f>
        <v>0.52881958366294235</v>
      </c>
      <c r="AM137" s="577">
        <f>+INPUT!CJ77</f>
        <v>20.081217312500016</v>
      </c>
      <c r="AN137" s="606">
        <f>+INPUT!CK77</f>
        <v>0.2910692862902432</v>
      </c>
      <c r="AO137" s="577">
        <f>+INPUT!CL77</f>
        <v>-11.595849885037055</v>
      </c>
      <c r="AP137" s="606">
        <f>+INPUT!CM77</f>
        <v>0.23636900838655417</v>
      </c>
      <c r="AQ137" s="577">
        <f>+INPUT!CN77</f>
        <v>-23.67000878242483</v>
      </c>
      <c r="AR137" s="606">
        <f>+INPUT!CO77</f>
        <v>0.21232438641297963</v>
      </c>
      <c r="AS137" s="577">
        <f>+INPUT!CP77</f>
        <v>37.758715959571333</v>
      </c>
      <c r="AT137" s="606">
        <f>+INPUT!CQ77</f>
        <v>4.6696240952603385E-2</v>
      </c>
      <c r="AU137" s="577" t="str">
        <f>+INPUT!CR77</f>
        <v>NM</v>
      </c>
      <c r="AV137" s="606">
        <f>+INPUT!CS77</f>
        <v>0.29424585876198778</v>
      </c>
      <c r="AW137" s="577">
        <f>+INPUT!CT77</f>
        <v>1.0913458139918646</v>
      </c>
      <c r="AX137" s="606">
        <f>+INPUT!CU77</f>
        <v>0.26937274032046932</v>
      </c>
      <c r="AY137" s="577">
        <f>+INPUT!CV77</f>
        <v>13.962800013080127</v>
      </c>
      <c r="AZ137" s="606">
        <f>+INPUT!CW77</f>
        <v>0.15797024356432454</v>
      </c>
      <c r="BA137" s="577">
        <f>+INPUT!CX77</f>
        <v>-25.59957608587365</v>
      </c>
      <c r="BB137" s="606">
        <f>+INPUT!CY77</f>
        <v>0.38940961608105951</v>
      </c>
      <c r="BC137" s="577" t="str">
        <f>+INPUT!CZ77</f>
        <v>NM</v>
      </c>
      <c r="BD137" s="606">
        <f>+INPUT!DA77</f>
        <v>0.19101127787291039</v>
      </c>
      <c r="BE137" s="577">
        <f>+INPUT!DB77</f>
        <v>-35.084463490302738</v>
      </c>
      <c r="BF137" s="606">
        <f>+INPUT!DC77</f>
        <v>0.16685245783739072</v>
      </c>
      <c r="BG137" s="577">
        <f>+INPUT!DD77</f>
        <v>-38.058892804487762</v>
      </c>
      <c r="BH137" s="606">
        <f>+INPUT!DE77</f>
        <v>0.19139968053141565</v>
      </c>
      <c r="BI137" s="577">
        <f>+INPUT!DF77</f>
        <v>21.161856950279898</v>
      </c>
      <c r="BJ137" s="606">
        <f>+INPUT!DG77</f>
        <v>0.31850220874357804</v>
      </c>
      <c r="BK137" s="577">
        <f>+INPUT!DH77</f>
        <v>-18.208951296857904</v>
      </c>
      <c r="BL137" s="606">
        <f>+INPUT!DI77</f>
        <v>0.18838012987615993</v>
      </c>
      <c r="BM137" s="577">
        <f>+INPUT!DJ77</f>
        <v>-1.3774830607128337</v>
      </c>
      <c r="BN137" s="606">
        <f>+INPUT!DK77</f>
        <v>0.15513095638234609</v>
      </c>
      <c r="BO137" s="577">
        <f>+INPUT!DL77</f>
        <v>-7.0250696974856908</v>
      </c>
      <c r="BP137" s="606">
        <f>+INPUT!DM77</f>
        <v>0.11689813344176059</v>
      </c>
      <c r="BQ137" s="577">
        <f>+INPUT!DN77</f>
        <v>-38.924593229624882</v>
      </c>
      <c r="BR137" s="606">
        <f>+INPUT!DO77</f>
        <v>0.11887035227987641</v>
      </c>
      <c r="BS137" s="577" t="str">
        <f>+INPUT!DP77</f>
        <v>NM</v>
      </c>
      <c r="BT137" s="606">
        <f>+INPUT!DQ77</f>
        <v>0.1217320183739265</v>
      </c>
      <c r="BU137" s="577">
        <f>+INPUT!DR77</f>
        <v>-35.379586767483147</v>
      </c>
      <c r="BV137" s="606">
        <f>+INPUT!DS77</f>
        <v>0.17511437157393422</v>
      </c>
      <c r="BW137" s="577">
        <f>+INPUT!DT77</f>
        <v>12.881642489417573</v>
      </c>
      <c r="BX137" s="606">
        <f>+INPUT!DU77</f>
        <v>0.15495012542837772</v>
      </c>
      <c r="BY137" s="577">
        <f>+INPUT!DV77</f>
        <v>32.551411101508222</v>
      </c>
      <c r="BZ137" s="606">
        <f>+INPUT!DW77</f>
        <v>0.12936903487465756</v>
      </c>
      <c r="CA137" s="577">
        <f>+INPUT!DX77</f>
        <v>8.8320446548878238</v>
      </c>
      <c r="CB137" s="606">
        <f>+INPUT!DY77</f>
        <v>0.15305348295630722</v>
      </c>
      <c r="CC137" s="577">
        <f>+INPUT!DZ77</f>
        <v>25.729849057599608</v>
      </c>
      <c r="CD137" s="606">
        <f>+INPUT!EA77</f>
        <v>0.16829332975595057</v>
      </c>
      <c r="CE137" s="577">
        <f>+INPUT!EB77</f>
        <v>-3.8951924714550188</v>
      </c>
      <c r="CF137" s="606">
        <f>+INPUT!EC77</f>
        <v>0.16395042451449204</v>
      </c>
      <c r="CG137" s="577">
        <f>+INPUT!ED77</f>
        <v>5.8085135854081642</v>
      </c>
      <c r="CH137" s="606">
        <f>+INPUT!EE77</f>
        <v>0.30664558478271287</v>
      </c>
      <c r="CI137" s="577" t="str">
        <f>+INPUT!EF77</f>
        <v>NM</v>
      </c>
      <c r="CJ137" s="606">
        <f>+INPUT!EG77</f>
        <v>0.23352402346662604</v>
      </c>
      <c r="CK137" s="577">
        <f>+INPUT!EH77</f>
        <v>52.576745694373415</v>
      </c>
      <c r="CL137" s="606">
        <f>+INPUT!EI77</f>
        <v>0.25985329641566435</v>
      </c>
      <c r="CM137" s="577">
        <f>+INPUT!EJ77</f>
        <v>54.404988476066677</v>
      </c>
      <c r="CN137" s="606">
        <f>+INPUT!EK77</f>
        <v>0.2650048140477318</v>
      </c>
      <c r="CO137" s="577">
        <f>+INPUT!EL77</f>
        <v>61.637162473042139</v>
      </c>
      <c r="CP137" s="606">
        <f>+INPUT!EM77</f>
        <v>0.24612085508720846</v>
      </c>
      <c r="CQ137" s="577">
        <f>+INPUT!EN77</f>
        <v>-19.737681773044883</v>
      </c>
      <c r="CR137" s="606">
        <f>+INPUT!EO77</f>
        <v>0.2417525865731571</v>
      </c>
      <c r="CS137" s="577">
        <f>+INPUT!EP77</f>
        <v>3.523647368000681</v>
      </c>
      <c r="CT137" s="606">
        <f>+INPUT!EQ77</f>
        <v>0.23654485288397673</v>
      </c>
      <c r="CU137" s="577">
        <f>+INPUT!ER77</f>
        <v>-8.9698471611470865</v>
      </c>
      <c r="CV137" s="606">
        <f>+INPUT!ES77</f>
        <v>0.23654485288397673</v>
      </c>
      <c r="CW137" s="577">
        <f>+INPUT!ET77</f>
        <v>-10.739412891808428</v>
      </c>
      <c r="CX137" s="606">
        <f>+INPUT!EU77</f>
        <v>0.23654485288397673</v>
      </c>
      <c r="CY137" s="577">
        <f>+INPUT!EV77</f>
        <v>-3.8907723605294109</v>
      </c>
      <c r="CZ137" s="606">
        <f>+INPUT!EW77</f>
        <v>0.23654485288397673</v>
      </c>
      <c r="DA137" s="577">
        <f>+INPUT!EX77</f>
        <v>-2.1541584158415787</v>
      </c>
      <c r="DB137" s="597"/>
      <c r="DC137" s="606">
        <f>+INPUT!FP77</f>
        <v>7.115628970775095</v>
      </c>
      <c r="DD137" s="577">
        <f>+INPUT!FQ77</f>
        <v>13.374665907198874</v>
      </c>
      <c r="DE137" s="606">
        <f>+INPUT!FR77</f>
        <v>6.7709006331567387</v>
      </c>
      <c r="DF137" s="577">
        <f>+INPUT!FS77</f>
        <v>-4.8446643161722562</v>
      </c>
      <c r="DG137" s="606">
        <f>+INPUT!FT77</f>
        <v>0.27263587073852247</v>
      </c>
      <c r="DH137" s="577" t="str">
        <f>+INPUT!FU77</f>
        <v>NM</v>
      </c>
      <c r="DI137" s="606">
        <f>+INPUT!FV77</f>
        <v>0.30791027468051813</v>
      </c>
      <c r="DJ137" s="577">
        <f>+INPUT!FW77</f>
        <v>12.938284256742705</v>
      </c>
      <c r="DK137" s="606">
        <f>+INPUT!FX77</f>
        <v>0.51131514930473188</v>
      </c>
      <c r="DL137" s="577">
        <f>+INPUT!FY77</f>
        <v>66.059787980528682</v>
      </c>
      <c r="DM137" s="606">
        <f>+INPUT!FZ77</f>
        <v>0.32251190077058089</v>
      </c>
      <c r="DN137" s="577">
        <f>+INPUT!GA77</f>
        <v>-36.925025356842823</v>
      </c>
      <c r="DO137" s="606">
        <f>+INPUT!GB77</f>
        <v>0.19715315327425464</v>
      </c>
      <c r="DP137" s="577">
        <f>+INPUT!GC77</f>
        <v>-38.869495109112364</v>
      </c>
      <c r="DQ137" s="606">
        <f>+INPUT!GD77</f>
        <v>0.25174235594825428</v>
      </c>
      <c r="DR137" s="577">
        <f>+INPUT!GE77</f>
        <v>27.688729176987607</v>
      </c>
      <c r="DS137" s="606">
        <f>+INPUT!GF77</f>
        <v>0.21653227380575424</v>
      </c>
      <c r="DT137" s="577">
        <f>+INPUT!GG77</f>
        <v>-13.98655463037673</v>
      </c>
      <c r="DU137" s="606">
        <f>+INPUT!GH77</f>
        <v>0.12803261328258747</v>
      </c>
      <c r="DV137" s="577">
        <f>+INPUT!GI77</f>
        <v>-40.871348629792536</v>
      </c>
      <c r="DW137" s="606">
        <f>+INPUT!GJ77</f>
        <v>0.1533318532550276</v>
      </c>
      <c r="DX137" s="577">
        <f>+INPUT!GK77</f>
        <v>19.759996553847458</v>
      </c>
      <c r="DY137" s="606">
        <f>+INPUT!GL77</f>
        <v>0.21930864093178762</v>
      </c>
      <c r="DZ137" s="577">
        <f>+INPUT!GM77</f>
        <v>43.028755132193453</v>
      </c>
      <c r="EA137" s="606">
        <f>+INPUT!GN77</f>
        <v>0.25303822443323587</v>
      </c>
      <c r="EB137" s="577">
        <f>+INPUT!GO77</f>
        <v>15.379961025767017</v>
      </c>
      <c r="EC137" s="606">
        <f>+INPUT!GP77</f>
        <v>0.23654372945269492</v>
      </c>
      <c r="ED137" s="577">
        <f>+INPUT!GQ77</f>
        <v>-6.5185783758504954</v>
      </c>
      <c r="EE137" s="606">
        <f>+INPUT!GR77</f>
        <v>0.22654372945269491</v>
      </c>
      <c r="EF137" s="577">
        <f>+INPUT!GS77</f>
        <v>-4.2275481253033433</v>
      </c>
      <c r="EG137" s="606">
        <f>+INPUT!GT77</f>
        <v>0.2115437294526949</v>
      </c>
      <c r="EH137" s="577">
        <f>+INPUT!GU77</f>
        <v>-6.6212382202051572</v>
      </c>
      <c r="EI137" s="606">
        <f>+INPUT!GV77</f>
        <v>0.19654372945269488</v>
      </c>
      <c r="EJ137" s="577">
        <f>+INPUT!GW77</f>
        <v>-7.0907325113384161</v>
      </c>
      <c r="EK137" s="606">
        <f>+INPUT!GX77</f>
        <v>0.18154372945269487</v>
      </c>
      <c r="EL137" s="577">
        <f>+INPUT!GY77</f>
        <v>-7.6318893722886685</v>
      </c>
      <c r="EM137" s="577">
        <f>+INPUT!GZ77</f>
        <v>-6.4251748491222287</v>
      </c>
    </row>
    <row r="138" spans="1:143" ht="12.75" hidden="1" customHeight="1" outlineLevel="1" x14ac:dyDescent="0.2">
      <c r="A138" s="579"/>
      <c r="B138" s="608"/>
      <c r="C138" s="577"/>
      <c r="D138" s="608"/>
      <c r="E138" s="577"/>
      <c r="F138" s="608"/>
      <c r="G138" s="577"/>
      <c r="H138" s="608"/>
      <c r="I138" s="577"/>
      <c r="J138" s="608"/>
      <c r="K138" s="577"/>
      <c r="L138" s="608"/>
      <c r="M138" s="577"/>
      <c r="N138" s="608"/>
      <c r="O138" s="577"/>
      <c r="P138" s="608"/>
      <c r="Q138" s="577"/>
      <c r="R138" s="608"/>
      <c r="S138" s="577"/>
      <c r="T138" s="608"/>
      <c r="U138" s="577"/>
      <c r="V138" s="608"/>
      <c r="W138" s="577"/>
      <c r="X138" s="608"/>
      <c r="Y138" s="577"/>
      <c r="Z138" s="608"/>
      <c r="AA138" s="577"/>
      <c r="AB138" s="608"/>
      <c r="AC138" s="577"/>
      <c r="AD138" s="608"/>
      <c r="AE138" s="577"/>
      <c r="AF138" s="608"/>
      <c r="AG138" s="577"/>
      <c r="AH138" s="608"/>
      <c r="AI138" s="577"/>
      <c r="AJ138" s="608"/>
      <c r="AK138" s="577"/>
      <c r="AL138" s="608"/>
      <c r="AM138" s="577"/>
      <c r="AN138" s="608"/>
      <c r="AO138" s="577"/>
      <c r="AP138" s="608"/>
      <c r="AQ138" s="577"/>
      <c r="AR138" s="608"/>
      <c r="AS138" s="577"/>
      <c r="AT138" s="608"/>
      <c r="AU138" s="577"/>
      <c r="AV138" s="608"/>
      <c r="AW138" s="577"/>
      <c r="AX138" s="608"/>
      <c r="AY138" s="577"/>
      <c r="AZ138" s="608"/>
      <c r="BA138" s="577"/>
      <c r="BB138" s="608"/>
      <c r="BC138" s="577"/>
      <c r="BD138" s="608"/>
      <c r="BE138" s="577"/>
      <c r="BF138" s="608"/>
      <c r="BG138" s="577"/>
      <c r="BH138" s="608"/>
      <c r="BI138" s="577"/>
      <c r="BJ138" s="608"/>
      <c r="BK138" s="577"/>
      <c r="BL138" s="608"/>
      <c r="BM138" s="577"/>
      <c r="BN138" s="608"/>
      <c r="BO138" s="577"/>
      <c r="BP138" s="608"/>
      <c r="BQ138" s="577"/>
      <c r="BR138" s="608"/>
      <c r="BS138" s="577"/>
      <c r="BT138" s="608"/>
      <c r="BU138" s="577"/>
      <c r="BV138" s="608"/>
      <c r="BW138" s="577"/>
      <c r="BX138" s="608"/>
      <c r="BY138" s="577"/>
      <c r="BZ138" s="608"/>
      <c r="CA138" s="577"/>
      <c r="CB138" s="608"/>
      <c r="CC138" s="577"/>
      <c r="CD138" s="608"/>
      <c r="CE138" s="577"/>
      <c r="CF138" s="608"/>
      <c r="CG138" s="577"/>
      <c r="CH138" s="608"/>
      <c r="CI138" s="577"/>
      <c r="CJ138" s="608"/>
      <c r="CK138" s="577"/>
      <c r="CL138" s="608"/>
      <c r="CM138" s="577"/>
      <c r="CN138" s="608"/>
      <c r="CO138" s="577"/>
      <c r="CP138" s="608"/>
      <c r="CQ138" s="577"/>
      <c r="CR138" s="608"/>
      <c r="CS138" s="577"/>
      <c r="CT138" s="608"/>
      <c r="CU138" s="577"/>
      <c r="CV138" s="608"/>
      <c r="CW138" s="577"/>
      <c r="CX138" s="608"/>
      <c r="CY138" s="577"/>
      <c r="CZ138" s="608"/>
      <c r="DA138" s="577"/>
      <c r="DB138" s="580"/>
      <c r="DC138" s="608"/>
      <c r="DD138" s="577"/>
      <c r="DE138" s="608"/>
      <c r="DF138" s="577"/>
      <c r="DG138" s="608"/>
      <c r="DH138" s="577"/>
      <c r="DI138" s="608"/>
      <c r="DJ138" s="577"/>
      <c r="DK138" s="608"/>
      <c r="DL138" s="577"/>
      <c r="DM138" s="608"/>
      <c r="DN138" s="577"/>
      <c r="DO138" s="608"/>
      <c r="DP138" s="577"/>
      <c r="DQ138" s="608"/>
      <c r="DR138" s="577"/>
      <c r="DS138" s="608"/>
      <c r="DT138" s="577"/>
      <c r="DU138" s="608"/>
      <c r="DV138" s="577"/>
      <c r="DW138" s="608"/>
      <c r="DX138" s="577"/>
      <c r="DY138" s="608"/>
      <c r="DZ138" s="577"/>
      <c r="EA138" s="608"/>
      <c r="EB138" s="577"/>
      <c r="EC138" s="608"/>
      <c r="ED138" s="577"/>
      <c r="EE138" s="608"/>
      <c r="EF138" s="577"/>
      <c r="EG138" s="608"/>
      <c r="EH138" s="577"/>
      <c r="EI138" s="608"/>
      <c r="EJ138" s="577"/>
      <c r="EK138" s="608"/>
      <c r="EL138" s="577"/>
      <c r="EM138" s="577"/>
    </row>
    <row r="139" spans="1:143" ht="12.75" hidden="1" customHeight="1" outlineLevel="1" x14ac:dyDescent="0.2">
      <c r="A139" s="575" t="s">
        <v>312</v>
      </c>
      <c r="B139" s="608"/>
      <c r="C139" s="577"/>
      <c r="D139" s="608"/>
      <c r="E139" s="577"/>
      <c r="F139" s="608"/>
      <c r="G139" s="577"/>
      <c r="H139" s="608"/>
      <c r="I139" s="577"/>
      <c r="J139" s="608"/>
      <c r="K139" s="577"/>
      <c r="L139" s="608"/>
      <c r="M139" s="577"/>
      <c r="N139" s="608"/>
      <c r="O139" s="577"/>
      <c r="P139" s="608"/>
      <c r="Q139" s="577"/>
      <c r="R139" s="608"/>
      <c r="S139" s="577"/>
      <c r="T139" s="608"/>
      <c r="U139" s="577"/>
      <c r="V139" s="608"/>
      <c r="W139" s="577"/>
      <c r="X139" s="608"/>
      <c r="Y139" s="577"/>
      <c r="Z139" s="608"/>
      <c r="AA139" s="577"/>
      <c r="AB139" s="608"/>
      <c r="AC139" s="577"/>
      <c r="AD139" s="608"/>
      <c r="AE139" s="577"/>
      <c r="AF139" s="608"/>
      <c r="AG139" s="577"/>
      <c r="AH139" s="608"/>
      <c r="AI139" s="577"/>
      <c r="AJ139" s="608"/>
      <c r="AK139" s="577"/>
      <c r="AL139" s="608"/>
      <c r="AM139" s="577"/>
      <c r="AN139" s="608"/>
      <c r="AO139" s="577"/>
      <c r="AP139" s="608"/>
      <c r="AQ139" s="577"/>
      <c r="AR139" s="608"/>
      <c r="AS139" s="577"/>
      <c r="AT139" s="608"/>
      <c r="AU139" s="577"/>
      <c r="AV139" s="608"/>
      <c r="AW139" s="577"/>
      <c r="AX139" s="608"/>
      <c r="AY139" s="577"/>
      <c r="AZ139" s="608"/>
      <c r="BA139" s="577"/>
      <c r="BB139" s="608"/>
      <c r="BC139" s="577"/>
      <c r="BD139" s="608"/>
      <c r="BE139" s="577"/>
      <c r="BF139" s="608"/>
      <c r="BG139" s="577"/>
      <c r="BH139" s="608"/>
      <c r="BI139" s="577"/>
      <c r="BJ139" s="608"/>
      <c r="BK139" s="577"/>
      <c r="BL139" s="608"/>
      <c r="BM139" s="577"/>
      <c r="BN139" s="608"/>
      <c r="BO139" s="577"/>
      <c r="BP139" s="608"/>
      <c r="BQ139" s="577"/>
      <c r="BR139" s="608"/>
      <c r="BS139" s="577"/>
      <c r="BT139" s="608"/>
      <c r="BU139" s="577"/>
      <c r="BV139" s="608"/>
      <c r="BW139" s="577"/>
      <c r="BX139" s="608"/>
      <c r="BY139" s="577"/>
      <c r="BZ139" s="608"/>
      <c r="CA139" s="577"/>
      <c r="CB139" s="608"/>
      <c r="CC139" s="577"/>
      <c r="CD139" s="608"/>
      <c r="CE139" s="577"/>
      <c r="CF139" s="608"/>
      <c r="CG139" s="577"/>
      <c r="CH139" s="608"/>
      <c r="CI139" s="577"/>
      <c r="CJ139" s="608"/>
      <c r="CK139" s="577"/>
      <c r="CL139" s="608"/>
      <c r="CM139" s="577"/>
      <c r="CN139" s="608"/>
      <c r="CO139" s="577"/>
      <c r="CP139" s="608"/>
      <c r="CQ139" s="577"/>
      <c r="CR139" s="608"/>
      <c r="CS139" s="577"/>
      <c r="CT139" s="608"/>
      <c r="CU139" s="577"/>
      <c r="CV139" s="608"/>
      <c r="CW139" s="577"/>
      <c r="CX139" s="608"/>
      <c r="CY139" s="577"/>
      <c r="CZ139" s="608"/>
      <c r="DA139" s="577"/>
      <c r="DB139" s="580"/>
      <c r="DC139" s="608"/>
      <c r="DD139" s="577"/>
      <c r="DE139" s="608"/>
      <c r="DF139" s="577"/>
      <c r="DG139" s="608"/>
      <c r="DH139" s="577"/>
      <c r="DI139" s="608"/>
      <c r="DJ139" s="577"/>
      <c r="DK139" s="608"/>
      <c r="DL139" s="577"/>
      <c r="DM139" s="608"/>
      <c r="DN139" s="577"/>
      <c r="DO139" s="608"/>
      <c r="DP139" s="577"/>
      <c r="DQ139" s="608"/>
      <c r="DR139" s="577"/>
      <c r="DS139" s="608"/>
      <c r="DT139" s="577"/>
      <c r="DU139" s="608"/>
      <c r="DV139" s="577"/>
      <c r="DW139" s="608"/>
      <c r="DX139" s="577"/>
      <c r="DY139" s="608"/>
      <c r="DZ139" s="577"/>
      <c r="EA139" s="608"/>
      <c r="EB139" s="577"/>
      <c r="EC139" s="608"/>
      <c r="ED139" s="577"/>
      <c r="EE139" s="608"/>
      <c r="EF139" s="577"/>
      <c r="EG139" s="608"/>
      <c r="EH139" s="577"/>
      <c r="EI139" s="608"/>
      <c r="EJ139" s="577"/>
      <c r="EK139" s="608"/>
      <c r="EL139" s="577"/>
      <c r="EM139" s="577"/>
    </row>
    <row r="140" spans="1:143" ht="12.75" hidden="1" customHeight="1" outlineLevel="1" x14ac:dyDescent="0.2">
      <c r="A140" s="579" t="str">
        <f>+INPUT!B87</f>
        <v>Benefits/Fees (%)</v>
      </c>
      <c r="B140" s="607">
        <f>+INPUT!AY87</f>
        <v>22.790697674418606</v>
      </c>
      <c r="C140" s="577">
        <f>+INPUT!AZ87</f>
        <v>-28.687171792948234</v>
      </c>
      <c r="D140" s="607">
        <f>+INPUT!BA87</f>
        <v>21.161825726141078</v>
      </c>
      <c r="E140" s="577">
        <f>+INPUT!BB87</f>
        <v>-21.161825726141075</v>
      </c>
      <c r="F140" s="607">
        <f>+INPUT!BC87</f>
        <v>22.297297297297298</v>
      </c>
      <c r="G140" s="577" t="str">
        <f>+INPUT!BD87</f>
        <v>NM</v>
      </c>
      <c r="H140" s="607">
        <f>+INPUT!BE87</f>
        <v>21.269841269841269</v>
      </c>
      <c r="I140" s="577">
        <f>+INPUT!BF87</f>
        <v>7.9853479853479854</v>
      </c>
      <c r="J140" s="607">
        <f>+INPUT!BG87</f>
        <v>18.4375</v>
      </c>
      <c r="K140" s="577">
        <f>+INPUT!BH87</f>
        <v>-19.100765306122454</v>
      </c>
      <c r="L140" s="607">
        <f>+INPUT!BI87</f>
        <v>17.404129793510325</v>
      </c>
      <c r="M140" s="577">
        <f>+INPUT!BJ87</f>
        <v>-17.756955289490421</v>
      </c>
      <c r="N140" s="607">
        <f>+INPUT!BK87</f>
        <v>9.2537313432835813</v>
      </c>
      <c r="O140" s="577" t="str">
        <f>+INPUT!BL87</f>
        <v>NM</v>
      </c>
      <c r="P140" s="607">
        <f>+INPUT!BM87</f>
        <v>17.415730337078653</v>
      </c>
      <c r="Q140" s="577">
        <f>+INPUT!BN87</f>
        <v>-18.120073788361552</v>
      </c>
      <c r="R140" s="607">
        <f>+INPUT!BO87</f>
        <v>21.981424148606813</v>
      </c>
      <c r="S140" s="577">
        <f>+INPUT!BP87</f>
        <v>19.221283517867448</v>
      </c>
      <c r="T140" s="607">
        <f>+INPUT!BQ87</f>
        <v>18.125</v>
      </c>
      <c r="U140" s="577">
        <f>+INPUT!BR87</f>
        <v>4.1419491525423808</v>
      </c>
      <c r="V140" s="607">
        <f>+INPUT!BS87</f>
        <v>113.1578947368421</v>
      </c>
      <c r="W140" s="577" t="str">
        <f>+INPUT!BT87</f>
        <v>NM</v>
      </c>
      <c r="X140" s="607">
        <f>+INPUT!BU87</f>
        <v>211.60714285714283</v>
      </c>
      <c r="Y140" s="577" t="str">
        <f>+INPUT!BV87</f>
        <v>NM</v>
      </c>
      <c r="Z140" s="607">
        <f>+INPUT!BW87</f>
        <v>140.09216589861751</v>
      </c>
      <c r="AA140" s="577" t="str">
        <f>+INPUT!BX87</f>
        <v>NM</v>
      </c>
      <c r="AB140" s="607">
        <f>+INPUT!BY87</f>
        <v>-75.847457627118644</v>
      </c>
      <c r="AC140" s="577" t="str">
        <f>+INPUT!BZ87</f>
        <v>NM</v>
      </c>
      <c r="AD140" s="607">
        <f>+INPUT!CA87</f>
        <v>-29.010238907849828</v>
      </c>
      <c r="AE140" s="577" t="str">
        <f>+INPUT!CB87</f>
        <v>NM</v>
      </c>
      <c r="AF140" s="607">
        <f>+INPUT!CC87</f>
        <v>14.714714714714713</v>
      </c>
      <c r="AG140" s="577" t="str">
        <f>+INPUT!CD87</f>
        <v>NM</v>
      </c>
      <c r="AH140" s="607">
        <f>+INPUT!CE87</f>
        <v>10.209424083769633</v>
      </c>
      <c r="AI140" s="577" t="str">
        <f>+INPUT!CF87</f>
        <v>NM</v>
      </c>
      <c r="AJ140" s="607">
        <f>+INPUT!CG87</f>
        <v>76.80412371134021</v>
      </c>
      <c r="AK140" s="577" t="str">
        <f>+INPUT!CH87</f>
        <v>NM</v>
      </c>
      <c r="AL140" s="607">
        <f>+INPUT!CI87</f>
        <v>-11.835748792270531</v>
      </c>
      <c r="AM140" s="577" t="str">
        <f>+INPUT!CJ87</f>
        <v>NM</v>
      </c>
      <c r="AN140" s="607">
        <f>+INPUT!CK87</f>
        <v>0.67720090293453727</v>
      </c>
      <c r="AO140" s="577" t="str">
        <f>+INPUT!CL87</f>
        <v>NM</v>
      </c>
      <c r="AP140" s="607">
        <f>+INPUT!CM87</f>
        <v>12.448132780082988</v>
      </c>
      <c r="AQ140" s="577">
        <f>+INPUT!CN87</f>
        <v>21.927864666453885</v>
      </c>
      <c r="AR140" s="607">
        <f>+INPUT!CO87</f>
        <v>21.739130434782609</v>
      </c>
      <c r="AS140" s="577" t="str">
        <f>+INPUT!CP87</f>
        <v>NM</v>
      </c>
      <c r="AT140" s="607">
        <f>+INPUT!CQ87</f>
        <v>66.733870967741936</v>
      </c>
      <c r="AU140" s="577" t="str">
        <f>+INPUT!CR87</f>
        <v>NM</v>
      </c>
      <c r="AV140" s="607">
        <f>+INPUT!CS87</f>
        <v>-5.1334702258726894</v>
      </c>
      <c r="AW140" s="577" t="str">
        <f>+INPUT!CT87</f>
        <v>NM</v>
      </c>
      <c r="AX140" s="607">
        <f>+INPUT!CU87</f>
        <v>-8.6372360844529741</v>
      </c>
      <c r="AY140" s="577" t="str">
        <f>+INPUT!CV87</f>
        <v>NM</v>
      </c>
      <c r="AZ140" s="607">
        <f>+INPUT!CW87</f>
        <v>33.395872420262663</v>
      </c>
      <c r="BA140" s="577">
        <f>+INPUT!CX87</f>
        <v>53.621013133208237</v>
      </c>
      <c r="BB140" s="607">
        <f>+INPUT!CY87</f>
        <v>69.369369369369366</v>
      </c>
      <c r="BC140" s="577">
        <f>+INPUT!CZ87</f>
        <v>3.9492664870308261</v>
      </c>
      <c r="BD140" s="607">
        <f>+INPUT!DA87</f>
        <v>9.5986038394415356</v>
      </c>
      <c r="BE140" s="577" t="str">
        <f>+INPUT!DB87</f>
        <v>NM</v>
      </c>
      <c r="BF140" s="607">
        <f>+INPUT!DC87</f>
        <v>7.0588235294117645</v>
      </c>
      <c r="BG140" s="577" t="str">
        <f>+INPUT!DD87</f>
        <v>NM</v>
      </c>
      <c r="BH140" s="607">
        <f>+INPUT!DE87</f>
        <v>11.605723370429253</v>
      </c>
      <c r="BI140" s="577" t="str">
        <f>+INPUT!DF87</f>
        <v>NM</v>
      </c>
      <c r="BJ140" s="607">
        <f>+INPUT!DG87</f>
        <v>-10.641627543035993</v>
      </c>
      <c r="BK140" s="577" t="str">
        <f>+INPUT!DH87</f>
        <v>NM</v>
      </c>
      <c r="BL140" s="607">
        <f>+INPUT!DI87</f>
        <v>4.5045045045045047</v>
      </c>
      <c r="BM140" s="577" t="str">
        <f>+INPUT!DJ87</f>
        <v>NM</v>
      </c>
      <c r="BN140" s="607">
        <f>+INPUT!DK87</f>
        <v>17.138599105812222</v>
      </c>
      <c r="BO140" s="577" t="str">
        <f>+INPUT!DL87</f>
        <v>NM</v>
      </c>
      <c r="BP140" s="607">
        <f>+INPUT!DM87</f>
        <v>14.38953488372093</v>
      </c>
      <c r="BQ140" s="577">
        <f>+INPUT!DN87</f>
        <v>23.98654029945844</v>
      </c>
      <c r="BR140" s="607">
        <f>+INPUT!DO87</f>
        <v>17.672413793103448</v>
      </c>
      <c r="BS140" s="577" t="str">
        <f>+INPUT!DP87</f>
        <v>NM</v>
      </c>
      <c r="BT140" s="607">
        <f>+INPUT!DQ87</f>
        <v>20.600858369098713</v>
      </c>
      <c r="BU140" s="577" t="str">
        <f>+INPUT!DR87</f>
        <v>NM</v>
      </c>
      <c r="BV140" s="607">
        <f>+INPUT!DS87</f>
        <v>6.8767908309455592</v>
      </c>
      <c r="BW140" s="577" t="str">
        <f>+INPUT!DT87</f>
        <v>NM</v>
      </c>
      <c r="BX140" s="607">
        <f>+INPUT!DU87</f>
        <v>4.6283309957924264</v>
      </c>
      <c r="BY140" s="577" t="str">
        <f>+INPUT!DV87</f>
        <v>NM</v>
      </c>
      <c r="BZ140" s="607">
        <f>+INPUT!DW87</f>
        <v>22.254335260115607</v>
      </c>
      <c r="CA140" s="577">
        <f>+INPUT!DX87</f>
        <v>25.926970252361485</v>
      </c>
      <c r="CB140" s="607">
        <f>+INPUT!DY87</f>
        <v>11.583577712609969</v>
      </c>
      <c r="CC140" s="577">
        <f>+INPUT!DZ87</f>
        <v>-43.771383186705783</v>
      </c>
      <c r="CD140" s="607">
        <f>+INPUT!EA87</f>
        <v>17.024539877300612</v>
      </c>
      <c r="CE140" s="577" t="str">
        <f>+INPUT!EB87</f>
        <v>NM</v>
      </c>
      <c r="CF140" s="607">
        <f>+INPUT!EC87</f>
        <v>8.4444444444444446</v>
      </c>
      <c r="CG140" s="577">
        <f>+INPUT!ED87</f>
        <v>82.451178451178464</v>
      </c>
      <c r="CH140" s="607">
        <f>+INPUT!EE87</f>
        <v>5.382436260623229</v>
      </c>
      <c r="CI140" s="577" t="str">
        <f>+INPUT!EF87</f>
        <v>NM</v>
      </c>
      <c r="CJ140" s="607">
        <f>+INPUT!EG87</f>
        <v>14.388489208633093</v>
      </c>
      <c r="CK140" s="577">
        <f>+INPUT!EH87</f>
        <v>24.214552408705956</v>
      </c>
      <c r="CL140" s="607">
        <f>+INPUT!EI87</f>
        <v>12.607449856733524</v>
      </c>
      <c r="CM140" s="577">
        <f>+INPUT!EJ87</f>
        <v>-25.945429670358038</v>
      </c>
      <c r="CN140" s="607">
        <f>+INPUT!EK87</f>
        <v>9.4289508632138119</v>
      </c>
      <c r="CO140" s="577">
        <f>+INPUT!EL87</f>
        <v>11.65862864332145</v>
      </c>
      <c r="CP140" s="607">
        <f>+INPUT!EM87</f>
        <v>11.342894393741851</v>
      </c>
      <c r="CQ140" s="577" t="str">
        <f>+INPUT!EN87</f>
        <v>NM</v>
      </c>
      <c r="CR140" s="607">
        <f>+INPUT!EO87</f>
        <v>9.4364351245085185</v>
      </c>
      <c r="CS140" s="577">
        <f>+INPUT!EP87</f>
        <v>-34.416775884665796</v>
      </c>
      <c r="CT140" s="607">
        <f>+INPUT!EQ87</f>
        <v>11.5</v>
      </c>
      <c r="CU140" s="577">
        <f>+INPUT!ER87</f>
        <v>-8.7840909090909065</v>
      </c>
      <c r="CV140" s="607">
        <f>+INPUT!ES87</f>
        <v>11.5</v>
      </c>
      <c r="CW140" s="577">
        <f>+INPUT!ET87</f>
        <v>21.964788732394354</v>
      </c>
      <c r="CX140" s="607">
        <f>+INPUT!EU87</f>
        <v>11.5</v>
      </c>
      <c r="CY140" s="577">
        <f>+INPUT!EV87</f>
        <v>1.3850574712643606</v>
      </c>
      <c r="CZ140" s="607">
        <f>+INPUT!EW87</f>
        <v>11.5</v>
      </c>
      <c r="DA140" s="577">
        <f>+INPUT!EX87</f>
        <v>21.868055555555557</v>
      </c>
      <c r="DB140" s="597"/>
      <c r="DC140" s="607">
        <f>+INPUT!FP87</f>
        <v>21.53846153846154</v>
      </c>
      <c r="DD140" s="577">
        <f>+INPUT!FQ87</f>
        <v>-25.097588978185982</v>
      </c>
      <c r="DE140" s="607">
        <f>+INPUT!FR87</f>
        <v>21.836925960637302</v>
      </c>
      <c r="DF140" s="577">
        <f>+INPUT!FS87</f>
        <v>1.3857276743874678</v>
      </c>
      <c r="DG140" s="607">
        <f>+INPUT!FT87</f>
        <v>15.62962962962963</v>
      </c>
      <c r="DH140" s="577">
        <f>+INPUT!FU87</f>
        <v>-28.425687490065172</v>
      </c>
      <c r="DI140" s="607">
        <f>+INPUT!FV87</f>
        <v>80.871050384286931</v>
      </c>
      <c r="DJ140" s="577" t="str">
        <f>+INPUT!FW87</f>
        <v>NM</v>
      </c>
      <c r="DK140" s="607">
        <f>+INPUT!FX87</f>
        <v>8.2483781278961992</v>
      </c>
      <c r="DL140" s="577" t="str">
        <f>+INPUT!FY87</f>
        <v>NM</v>
      </c>
      <c r="DM140" s="607">
        <f>+INPUT!FZ87</f>
        <v>17.885679164105717</v>
      </c>
      <c r="DN140" s="577" t="str">
        <f>+INPUT!GA87</f>
        <v>NM</v>
      </c>
      <c r="DO140" s="607">
        <f>+INPUT!GB87</f>
        <v>24.150177574835109</v>
      </c>
      <c r="DP140" s="577">
        <f>+INPUT!GC87</f>
        <v>35.025219636621017</v>
      </c>
      <c r="DQ140" s="607">
        <f>+INPUT!GD87</f>
        <v>26.26031164069661</v>
      </c>
      <c r="DR140" s="577">
        <f>+INPUT!GE87</f>
        <v>8.7375509323802873</v>
      </c>
      <c r="DS140" s="607">
        <f>+INPUT!GF87</f>
        <v>3.0446816923685249</v>
      </c>
      <c r="DT140" s="577" t="str">
        <f>+INPUT!GG87</f>
        <v>NM</v>
      </c>
      <c r="DU140" s="607">
        <f>+INPUT!GH87</f>
        <v>17.465504720406681</v>
      </c>
      <c r="DV140" s="577" t="str">
        <f>+INPUT!GI87</f>
        <v>NM</v>
      </c>
      <c r="DW140" s="607">
        <f>+INPUT!GJ87</f>
        <v>11.274685816876122</v>
      </c>
      <c r="DX140" s="577">
        <f>+INPUT!GK87</f>
        <v>-35.445977672189528</v>
      </c>
      <c r="DY140" s="607">
        <f>+INPUT!GL87</f>
        <v>11.217008797653959</v>
      </c>
      <c r="DZ140" s="577">
        <f>+INPUT!GM87</f>
        <v>-0.51156209724115342</v>
      </c>
      <c r="EA140" s="607">
        <f>+INPUT!GN87</f>
        <v>10.667561221066755</v>
      </c>
      <c r="EB140" s="577">
        <f>+INPUT!GO87</f>
        <v>-4.8983431010780691</v>
      </c>
      <c r="EC140" s="607">
        <f>+INPUT!GP87</f>
        <v>11.499999999999998</v>
      </c>
      <c r="ED140" s="577">
        <f>+INPUT!GQ87</f>
        <v>7.8034591194968499</v>
      </c>
      <c r="EE140" s="607">
        <f>+INPUT!GR87</f>
        <v>11.599999999999998</v>
      </c>
      <c r="EF140" s="577">
        <f>+INPUT!GS87</f>
        <v>0.86956521739129755</v>
      </c>
      <c r="EG140" s="607">
        <f>+INPUT!GT87</f>
        <v>11.699999999999998</v>
      </c>
      <c r="EH140" s="577">
        <f>+INPUT!GU87</f>
        <v>0.86206896551723844</v>
      </c>
      <c r="EI140" s="607">
        <f>+INPUT!GV87</f>
        <v>11.799999999999997</v>
      </c>
      <c r="EJ140" s="577">
        <f>+INPUT!GW87</f>
        <v>0.85470085470085166</v>
      </c>
      <c r="EK140" s="607">
        <f>+INPUT!GX87</f>
        <v>11.899999999999997</v>
      </c>
      <c r="EL140" s="577">
        <f>+INPUT!GY87</f>
        <v>0.84745762711864359</v>
      </c>
      <c r="EM140" s="577">
        <f>+INPUT!GZ87</f>
        <v>2.2107002075969939</v>
      </c>
    </row>
    <row r="141" spans="1:143" ht="12.75" hidden="1" customHeight="1" outlineLevel="1" x14ac:dyDescent="0.2">
      <c r="A141" s="579" t="str">
        <f>+INPUT!B88</f>
        <v>Operating Expenses/Total Revenues (%)</v>
      </c>
      <c r="B141" s="607">
        <f>+INPUT!AY88</f>
        <v>56.29139072847682</v>
      </c>
      <c r="C141" s="577">
        <f>+INPUT!AZ88</f>
        <v>18.156186479575112</v>
      </c>
      <c r="D141" s="607">
        <f>+INPUT!BA88</f>
        <v>60.767590618336889</v>
      </c>
      <c r="E141" s="577">
        <f>+INPUT!BB88</f>
        <v>7.6894010957868915</v>
      </c>
      <c r="F141" s="607">
        <f>+INPUT!BC88</f>
        <v>54.888507718696403</v>
      </c>
      <c r="G141" s="577">
        <f>+INPUT!BD88</f>
        <v>-2.7878236789352684</v>
      </c>
      <c r="H141" s="607">
        <f>+INPUT!BE88</f>
        <v>58.221476510067113</v>
      </c>
      <c r="I141" s="577">
        <f>+INPUT!BF88</f>
        <v>6.1252230056919359</v>
      </c>
      <c r="J141" s="607">
        <f>+INPUT!BG88</f>
        <v>59.105960264900659</v>
      </c>
      <c r="K141" s="577">
        <f>+INPUT!BH88</f>
        <v>5</v>
      </c>
      <c r="L141" s="607">
        <f>+INPUT!BI88</f>
        <v>59.968354430379748</v>
      </c>
      <c r="M141" s="577">
        <f>+INPUT!BJ88</f>
        <v>-1.3152342882522703</v>
      </c>
      <c r="N141" s="607">
        <f>+INPUT!BK88</f>
        <v>60.979462875197477</v>
      </c>
      <c r="O141" s="577">
        <f>+INPUT!BL88</f>
        <v>11.0969589257504</v>
      </c>
      <c r="P141" s="607">
        <f>+INPUT!BM88</f>
        <v>62.776025236593057</v>
      </c>
      <c r="Q141" s="577">
        <f>+INPUT!BN88</f>
        <v>7.8227983890762687</v>
      </c>
      <c r="R141" s="607">
        <f>+INPUT!BO88</f>
        <v>64.746945898778364</v>
      </c>
      <c r="S141" s="577">
        <f>+INPUT!BP88</f>
        <v>9.5438524449919555</v>
      </c>
      <c r="T141" s="607">
        <f>+INPUT!BQ88</f>
        <v>58.199356913183273</v>
      </c>
      <c r="U141" s="577">
        <f>+INPUT!BR88</f>
        <v>-2.9498850418685265</v>
      </c>
      <c r="V141" s="607">
        <f>+INPUT!BS88</f>
        <v>68.75</v>
      </c>
      <c r="W141" s="577">
        <f>+INPUT!BT88</f>
        <v>12.742875647668384</v>
      </c>
      <c r="X141" s="607">
        <f>+INPUT!BU88</f>
        <v>246.73913043478262</v>
      </c>
      <c r="Y141" s="577" t="str">
        <f>+INPUT!BV88</f>
        <v>NM</v>
      </c>
      <c r="Z141" s="607">
        <f>+INPUT!BW88</f>
        <v>63.588850174216027</v>
      </c>
      <c r="AA141" s="577">
        <f>+INPUT!BX88</f>
        <v>-1.7886491918442573</v>
      </c>
      <c r="AB141" s="607">
        <f>+INPUT!BY88</f>
        <v>62.267343485617602</v>
      </c>
      <c r="AC141" s="577">
        <f>+INPUT!BZ88</f>
        <v>6.9897448841274894</v>
      </c>
      <c r="AD141" s="607">
        <f>+INPUT!CA88</f>
        <v>79.785604900459418</v>
      </c>
      <c r="AE141" s="577">
        <f>+INPUT!CB88</f>
        <v>16.051788946122784</v>
      </c>
      <c r="AF141" s="607">
        <f>+INPUT!CC88</f>
        <v>70.875179340028694</v>
      </c>
      <c r="AG141" s="577" t="str">
        <f>+INPUT!CD88</f>
        <v>NM</v>
      </c>
      <c r="AH141" s="607">
        <f>+INPUT!CE88</f>
        <v>63.504611330698289</v>
      </c>
      <c r="AI141" s="577">
        <f>+INPUT!CF88</f>
        <v>-0.13247423610735609</v>
      </c>
      <c r="AJ141" s="607">
        <f>+INPUT!CG88</f>
        <v>68.880208333333343</v>
      </c>
      <c r="AK141" s="577">
        <f>+INPUT!CH88</f>
        <v>10.6201171875</v>
      </c>
      <c r="AL141" s="607">
        <f>+INPUT!CI88</f>
        <v>65.179677819083025</v>
      </c>
      <c r="AM141" s="577">
        <f>+INPUT!CJ88</f>
        <v>-18.30646906744488</v>
      </c>
      <c r="AN141" s="607">
        <f>+INPUT!CK88</f>
        <v>72.938443670150988</v>
      </c>
      <c r="AO141" s="577">
        <f>+INPUT!CL88</f>
        <v>2.9111239637555428</v>
      </c>
      <c r="AP141" s="607">
        <f>+INPUT!CM88</f>
        <v>73.830734966592431</v>
      </c>
      <c r="AQ141" s="577">
        <f>+INPUT!CN88</f>
        <v>16.260431202580179</v>
      </c>
      <c r="AR141" s="607">
        <f>+INPUT!CO88</f>
        <v>59.59271168274384</v>
      </c>
      <c r="AS141" s="577">
        <f>+INPUT!CP88</f>
        <v>-13.483549012576063</v>
      </c>
      <c r="AT141" s="607">
        <f>+INPUT!CQ88</f>
        <v>61.1049723756906</v>
      </c>
      <c r="AU141" s="577">
        <f>+INPUT!CR88</f>
        <v>-6.2514967544062472</v>
      </c>
      <c r="AV141" s="607">
        <f>+INPUT!CS88</f>
        <v>60.753880266075392</v>
      </c>
      <c r="AW141" s="577">
        <f>+INPUT!CT88</f>
        <v>-16.705269253039944</v>
      </c>
      <c r="AX141" s="607">
        <f>+INPUT!CU88</f>
        <v>63.152400835073067</v>
      </c>
      <c r="AY141" s="577">
        <f>+INPUT!CV88</f>
        <v>-14.463264027306764</v>
      </c>
      <c r="AZ141" s="607">
        <f>+INPUT!CW88</f>
        <v>65.082644628099175</v>
      </c>
      <c r="BA141" s="577">
        <f>+INPUT!CX88</f>
        <v>9.2124234496700126</v>
      </c>
      <c r="BB141" s="607">
        <f>+INPUT!CY88</f>
        <v>63.752455795677797</v>
      </c>
      <c r="BC141" s="577">
        <f>+INPUT!CZ88</f>
        <v>4.3326808229446954</v>
      </c>
      <c r="BD141" s="607">
        <f>+INPUT!DA88</f>
        <v>58.132820019249273</v>
      </c>
      <c r="BE141" s="577">
        <f>+INPUT!DB88</f>
        <v>-4.3142269026225506</v>
      </c>
      <c r="BF141" s="607">
        <f>+INPUT!DC88</f>
        <v>56.36704119850188</v>
      </c>
      <c r="BG141" s="577">
        <f>+INPUT!DD88</f>
        <v>-10.744420713777174</v>
      </c>
      <c r="BH141" s="607">
        <f>+INPUT!DE88</f>
        <v>45.933869526362827</v>
      </c>
      <c r="BI141" s="577">
        <f>+INPUT!DF88</f>
        <v>-29.42224491822347</v>
      </c>
      <c r="BJ141" s="607">
        <f>+INPUT!DG88</f>
        <v>45.892857142857139</v>
      </c>
      <c r="BK141" s="577">
        <f>+INPUT!DH88</f>
        <v>-28.013977547875854</v>
      </c>
      <c r="BL141" s="607">
        <f>+INPUT!DI88</f>
        <v>46.804835924006909</v>
      </c>
      <c r="BM141" s="577">
        <f>+INPUT!DJ88</f>
        <v>-19.486383236683466</v>
      </c>
      <c r="BN141" s="607">
        <f>+INPUT!DK88</f>
        <v>44.598098530682798</v>
      </c>
      <c r="BO141" s="577">
        <f>+INPUT!DL88</f>
        <v>-20.87912087912089</v>
      </c>
      <c r="BP141" s="607">
        <f>+INPUT!DM88</f>
        <v>47.139197267292907</v>
      </c>
      <c r="BQ141" s="577">
        <f>+INPUT!DN88</f>
        <v>2.624050081908095</v>
      </c>
      <c r="BR141" s="607">
        <f>+INPUT!DO88</f>
        <v>46.43157010915197</v>
      </c>
      <c r="BS141" s="577">
        <f>+INPUT!DP88</f>
        <v>1.1738492650782462</v>
      </c>
      <c r="BT141" s="607">
        <f>+INPUT!DQ88</f>
        <v>47.019311502938706</v>
      </c>
      <c r="BU141" s="577">
        <f>+INPUT!DR88</f>
        <v>0.45823380148158321</v>
      </c>
      <c r="BV141" s="607">
        <f>+INPUT!DS88</f>
        <v>44.144903117101933</v>
      </c>
      <c r="BW141" s="577">
        <f>+INPUT!DT88</f>
        <v>-1.0161765378160084</v>
      </c>
      <c r="BX141" s="607">
        <f>+INPUT!DU88</f>
        <v>45.25</v>
      </c>
      <c r="BY141" s="577">
        <f>+INPUT!DV88</f>
        <v>-4.0076992753623131</v>
      </c>
      <c r="BZ141" s="607">
        <f>+INPUT!DW88</f>
        <v>44.815766923736078</v>
      </c>
      <c r="CA141" s="577">
        <f>+INPUT!DX88</f>
        <v>-3.4799667157872136</v>
      </c>
      <c r="CB141" s="607">
        <f>+INPUT!DY88</f>
        <v>46.187554776511831</v>
      </c>
      <c r="CC141" s="577">
        <f>+INPUT!DZ88</f>
        <v>-1.7689683235257263</v>
      </c>
      <c r="CD141" s="607">
        <f>+INPUT!EA88</f>
        <v>45.807033363390445</v>
      </c>
      <c r="CE141" s="577">
        <f>+INPUT!EB88</f>
        <v>3.765169088443642</v>
      </c>
      <c r="CF141" s="607">
        <f>+INPUT!EC88</f>
        <v>46.981627296587924</v>
      </c>
      <c r="CG141" s="577">
        <f>+INPUT!ED88</f>
        <v>3.8268006554429235</v>
      </c>
      <c r="CH141" s="607">
        <f>+INPUT!EE88</f>
        <v>42.833742833742832</v>
      </c>
      <c r="CI141" s="577">
        <f>+INPUT!EF88</f>
        <v>-4.4226044226044365</v>
      </c>
      <c r="CJ141" s="607">
        <f>+INPUT!EG88</f>
        <v>43.419949706621964</v>
      </c>
      <c r="CK141" s="577">
        <f>+INPUT!EH88</f>
        <v>-5.9921012993251281</v>
      </c>
      <c r="CL141" s="607">
        <f>+INPUT!EI88</f>
        <v>41.89300411522634</v>
      </c>
      <c r="CM141" s="577">
        <f>+INPUT!EJ88</f>
        <v>-8.5446032208936913</v>
      </c>
      <c r="CN141" s="607">
        <f>+INPUT!EK88</f>
        <v>38.820826952526801</v>
      </c>
      <c r="CO141" s="577">
        <f>+INPUT!EL88</f>
        <v>-17.370195145739046</v>
      </c>
      <c r="CP141" s="607">
        <f>+INPUT!EM88</f>
        <v>37.883435582822081</v>
      </c>
      <c r="CQ141" s="577">
        <f>+INPUT!EN88</f>
        <v>-11.557027061901024</v>
      </c>
      <c r="CR141" s="607">
        <f>+INPUT!EO88</f>
        <v>41.556420233463037</v>
      </c>
      <c r="CS141" s="577">
        <f>+INPUT!EP88</f>
        <v>-4.2918738638582994</v>
      </c>
      <c r="CT141" s="607">
        <f>+INPUT!EQ88</f>
        <v>40</v>
      </c>
      <c r="CU141" s="577">
        <f>+INPUT!ER88</f>
        <v>-4.518664047151276</v>
      </c>
      <c r="CV141" s="607">
        <f>+INPUT!ES88</f>
        <v>40</v>
      </c>
      <c r="CW141" s="577">
        <f>+INPUT!ET88</f>
        <v>3.0374753451676497</v>
      </c>
      <c r="CX141" s="607">
        <f>+INPUT!EU88</f>
        <v>40</v>
      </c>
      <c r="CY141" s="577">
        <f>+INPUT!EV88</f>
        <v>5.5870445344129678</v>
      </c>
      <c r="CZ141" s="607">
        <f>+INPUT!EW88</f>
        <v>41.5</v>
      </c>
      <c r="DA141" s="577">
        <f>+INPUT!EX88</f>
        <v>-0.13576779026217878</v>
      </c>
      <c r="DB141" s="597"/>
      <c r="DC141" s="607">
        <f>+INPUT!FP88</f>
        <v>53.873034362259752</v>
      </c>
      <c r="DD141" s="577">
        <f>+INPUT!FQ88</f>
        <v>4.8232407196620102</v>
      </c>
      <c r="DE141" s="607">
        <f>+INPUT!FR88</f>
        <v>57.448833888624463</v>
      </c>
      <c r="DF141" s="577">
        <f>+INPUT!FS88</f>
        <v>6.6374570667764488</v>
      </c>
      <c r="DG141" s="607">
        <f>+INPUT!FT88</f>
        <v>60.727127447063523</v>
      </c>
      <c r="DH141" s="577">
        <f>+INPUT!FU88</f>
        <v>5.7064579670923479</v>
      </c>
      <c r="DI141" s="607">
        <f>+INPUT!FV88</f>
        <v>74.640951990151834</v>
      </c>
      <c r="DJ141" s="577">
        <f>+INPUT!FW88</f>
        <v>22.912041336414489</v>
      </c>
      <c r="DK141" s="607">
        <f>+INPUT!FX88</f>
        <v>69.502982107355862</v>
      </c>
      <c r="DL141" s="577">
        <f>+INPUT!FY88</f>
        <v>-6.8835803212610074</v>
      </c>
      <c r="DM141" s="607">
        <f>+INPUT!FZ88</f>
        <v>67.762128325508613</v>
      </c>
      <c r="DN141" s="577">
        <f>+INPUT!GA88</f>
        <v>-2.5047181128980753</v>
      </c>
      <c r="DO141" s="607">
        <f>+INPUT!GB88</f>
        <v>63.771302913688842</v>
      </c>
      <c r="DP141" s="577">
        <f>+INPUT!GC88</f>
        <v>-5.8894629056647432</v>
      </c>
      <c r="DQ141" s="607">
        <f>+INPUT!GD88</f>
        <v>62.465478282701483</v>
      </c>
      <c r="DR141" s="577">
        <f>+INPUT!GE88</f>
        <v>-2.0476681066948288</v>
      </c>
      <c r="DS141" s="607">
        <f>+INPUT!GF88</f>
        <v>48.645016797312429</v>
      </c>
      <c r="DT141" s="577">
        <f>+INPUT!GG88</f>
        <v>-22.124959041923063</v>
      </c>
      <c r="DU141" s="607">
        <f>+INPUT!GH88</f>
        <v>46.305732484076437</v>
      </c>
      <c r="DV141" s="577">
        <f>+INPUT!GI88</f>
        <v>-4.8088878722830231</v>
      </c>
      <c r="DW141" s="607">
        <f>+INPUT!GJ88</f>
        <v>45.090521831735892</v>
      </c>
      <c r="DX141" s="577">
        <f>+INPUT!GK88</f>
        <v>-2.6243201157835756</v>
      </c>
      <c r="DY141" s="607">
        <f>+INPUT!GL88</f>
        <v>44.706386626660951</v>
      </c>
      <c r="DZ141" s="577">
        <f>+INPUT!GM88</f>
        <v>-0.85192006982846635</v>
      </c>
      <c r="EA141" s="607">
        <f>+INPUT!GN88</f>
        <v>40</v>
      </c>
      <c r="EB141" s="577">
        <f>+INPUT!GO88</f>
        <v>-10.527325023969311</v>
      </c>
      <c r="EC141" s="607">
        <f>+INPUT!GP88</f>
        <v>40.374644231959849</v>
      </c>
      <c r="ED141" s="577">
        <f>+INPUT!GQ88</f>
        <v>0.9366105798996216</v>
      </c>
      <c r="EE141" s="607">
        <f>+INPUT!GR88</f>
        <v>40.47464423195985</v>
      </c>
      <c r="EF141" s="577">
        <f>+INPUT!GS88</f>
        <v>0.24768020103280719</v>
      </c>
      <c r="EG141" s="607">
        <f>+INPUT!GT88</f>
        <v>40.574644231959851</v>
      </c>
      <c r="EH141" s="577">
        <f>+INPUT!GU88</f>
        <v>0.24706826186513808</v>
      </c>
      <c r="EI141" s="607">
        <f>+INPUT!GV88</f>
        <v>40.674644231959853</v>
      </c>
      <c r="EJ141" s="577">
        <f>+INPUT!GW88</f>
        <v>0.24645933905991058</v>
      </c>
      <c r="EK141" s="607">
        <f>+INPUT!GX88</f>
        <v>40.774644231959854</v>
      </c>
      <c r="EL141" s="577">
        <f>+INPUT!GY88</f>
        <v>0.24585341036966213</v>
      </c>
      <c r="EM141" s="577">
        <f>+INPUT!GZ88</f>
        <v>0.38435614505480942</v>
      </c>
    </row>
    <row r="142" spans="1:143" ht="12.75" hidden="1" customHeight="1" outlineLevel="1" x14ac:dyDescent="0.2">
      <c r="A142" s="579" t="str">
        <f>+INPUT!B91</f>
        <v>Net DAC/Operating Expenses (%)</v>
      </c>
      <c r="B142" s="607">
        <f>+INPUT!AY91</f>
        <v>24.313725490196077</v>
      </c>
      <c r="C142" s="577">
        <f>+INPUT!AZ91</f>
        <v>69.357674104124413</v>
      </c>
      <c r="D142" s="607">
        <f>+INPUT!BA91</f>
        <v>28.771929824561404</v>
      </c>
      <c r="E142" s="577">
        <f>+INPUT!BB91</f>
        <v>9.9830220713073032</v>
      </c>
      <c r="F142" s="607">
        <f>+INPUT!BC91</f>
        <v>32.1875</v>
      </c>
      <c r="G142" s="577">
        <f>+INPUT!BD91</f>
        <v>-1.0532407407407334</v>
      </c>
      <c r="H142" s="607">
        <f>+INPUT!BE91</f>
        <v>24.207492795389047</v>
      </c>
      <c r="I142" s="577">
        <f>+INPUT!BF91</f>
        <v>-24.510844835431527</v>
      </c>
      <c r="J142" s="607">
        <f>+INPUT!BG91</f>
        <v>22.408963585434176</v>
      </c>
      <c r="K142" s="577">
        <f>+INPUT!BH91</f>
        <v>-7.8341013824884698</v>
      </c>
      <c r="L142" s="607">
        <f>+INPUT!BI91</f>
        <v>24.538258575197887</v>
      </c>
      <c r="M142" s="577">
        <f>+INPUT!BJ91</f>
        <v>-14.714589098397596</v>
      </c>
      <c r="N142" s="607">
        <f>+INPUT!BK91</f>
        <v>23.834196891191709</v>
      </c>
      <c r="O142" s="577">
        <f>+INPUT!BL91</f>
        <v>-25.952009658433525</v>
      </c>
      <c r="P142" s="607">
        <f>+INPUT!BM91</f>
        <v>25.879396984924625</v>
      </c>
      <c r="Q142" s="577">
        <f>+INPUT!BN91</f>
        <v>6.9065565924862398</v>
      </c>
      <c r="R142" s="607">
        <f>+INPUT!BO91</f>
        <v>26.954177897574123</v>
      </c>
      <c r="S142" s="577">
        <f>+INPUT!BP91</f>
        <v>20.283018867924511</v>
      </c>
      <c r="T142" s="607">
        <f>+INPUT!BQ91</f>
        <v>21.823204419889503</v>
      </c>
      <c r="U142" s="577">
        <f>+INPUT!BR91</f>
        <v>-11.064575536149221</v>
      </c>
      <c r="V142" s="607">
        <f>+INPUT!BS91</f>
        <v>7.7134986225895315</v>
      </c>
      <c r="W142" s="577" t="str">
        <f>+INPUT!BT91</f>
        <v>NM</v>
      </c>
      <c r="X142" s="607">
        <f>+INPUT!BU91</f>
        <v>1.6152716593245229</v>
      </c>
      <c r="Y142" s="577" t="str">
        <f>+INPUT!BV91</f>
        <v>NM</v>
      </c>
      <c r="Z142" s="607">
        <f>+INPUT!BW91</f>
        <v>7.9452054794520555</v>
      </c>
      <c r="AA142" s="577" t="str">
        <f>+INPUT!BX91</f>
        <v>NM</v>
      </c>
      <c r="AB142" s="607">
        <f>+INPUT!BY91</f>
        <v>61.95652173913043</v>
      </c>
      <c r="AC142" s="577" t="str">
        <f>+INPUT!BZ91</f>
        <v>NM</v>
      </c>
      <c r="AD142" s="607">
        <f>+INPUT!CA91</f>
        <v>48.944337811900191</v>
      </c>
      <c r="AE142" s="577" t="str">
        <f>+INPUT!CB91</f>
        <v>NM</v>
      </c>
      <c r="AF142" s="607">
        <f>+INPUT!CC91</f>
        <v>40.08097165991903</v>
      </c>
      <c r="AG142" s="577" t="str">
        <f>+INPUT!CD91</f>
        <v>NM</v>
      </c>
      <c r="AH142" s="607">
        <f>+INPUT!CE91</f>
        <v>32.987551867219914</v>
      </c>
      <c r="AI142" s="577" t="str">
        <f>+INPUT!CF91</f>
        <v>NM</v>
      </c>
      <c r="AJ142" s="607">
        <f>+INPUT!CG91</f>
        <v>21.172022684310019</v>
      </c>
      <c r="AK142" s="577" t="str">
        <f>+INPUT!CH91</f>
        <v>NM</v>
      </c>
      <c r="AL142" s="607">
        <f>+INPUT!CI91</f>
        <v>63.878326996197721</v>
      </c>
      <c r="AM142" s="577">
        <f>+INPUT!CJ91</f>
        <v>30.512189666741222</v>
      </c>
      <c r="AN142" s="607">
        <f>+INPUT!CK91</f>
        <v>39.968152866242043</v>
      </c>
      <c r="AO142" s="577">
        <f>+INPUT!CL91</f>
        <v>-0.28147719230521773</v>
      </c>
      <c r="AP142" s="607">
        <f>+INPUT!CM91</f>
        <v>39.517345399698343</v>
      </c>
      <c r="AQ142" s="577">
        <f>+INPUT!CN91</f>
        <v>19.794720016695621</v>
      </c>
      <c r="AR142" s="607">
        <f>+INPUT!CO91</f>
        <v>18.705035971223023</v>
      </c>
      <c r="AS142" s="577">
        <f>+INPUT!CP91</f>
        <v>-11.652106885919835</v>
      </c>
      <c r="AT142" s="607">
        <f>+INPUT!CQ91</f>
        <v>-0.54249547920433994</v>
      </c>
      <c r="AU142" s="577" t="str">
        <f>+INPUT!CR91</f>
        <v>NM</v>
      </c>
      <c r="AV142" s="607">
        <f>+INPUT!CS91</f>
        <v>25.364963503649633</v>
      </c>
      <c r="AW142" s="577">
        <f>+INPUT!CT91</f>
        <v>-36.537063425131599</v>
      </c>
      <c r="AX142" s="607">
        <f>+INPUT!CU91</f>
        <v>27.768595041322314</v>
      </c>
      <c r="AY142" s="577">
        <f>+INPUT!CV91</f>
        <v>-29.730616364898125</v>
      </c>
      <c r="AZ142" s="607">
        <f>+INPUT!CW91</f>
        <v>18.571428571428573</v>
      </c>
      <c r="BA142" s="577">
        <f>+INPUT!CX91</f>
        <v>-0.7142857142857082</v>
      </c>
      <c r="BB142" s="607">
        <f>+INPUT!CY91</f>
        <v>49.922958397534664</v>
      </c>
      <c r="BC142" s="577" t="str">
        <f>+INPUT!CZ91</f>
        <v>NM</v>
      </c>
      <c r="BD142" s="607">
        <f>+INPUT!DA91</f>
        <v>11.423841059602649</v>
      </c>
      <c r="BE142" s="577" t="str">
        <f>+INPUT!DB91</f>
        <v>NM</v>
      </c>
      <c r="BF142" s="607">
        <f>+INPUT!DC91</f>
        <v>14.784053156146179</v>
      </c>
      <c r="BG142" s="577">
        <f>+INPUT!DD91</f>
        <v>-46.759808574592633</v>
      </c>
      <c r="BH142" s="607">
        <f>+INPUT!DE91</f>
        <v>0.58365758754863817</v>
      </c>
      <c r="BI142" s="577" t="str">
        <f>+INPUT!DF91</f>
        <v>NM</v>
      </c>
      <c r="BJ142" s="607">
        <f>+INPUT!DG91</f>
        <v>43.385214007782103</v>
      </c>
      <c r="BK142" s="577">
        <f>+INPUT!DH91</f>
        <v>-13.095667002930284</v>
      </c>
      <c r="BL142" s="607">
        <f>+INPUT!DI91</f>
        <v>4.7970479704797047</v>
      </c>
      <c r="BM142" s="577" t="str">
        <f>+INPUT!DJ91</f>
        <v>NM</v>
      </c>
      <c r="BN142" s="607">
        <f>+INPUT!DK91</f>
        <v>-1.1627906976744187</v>
      </c>
      <c r="BO142" s="577" t="str">
        <f>+INPUT!DL91</f>
        <v>NM</v>
      </c>
      <c r="BP142" s="607">
        <f>+INPUT!DM91</f>
        <v>0.54347826086956519</v>
      </c>
      <c r="BQ142" s="577">
        <f>+INPUT!DN91</f>
        <v>-6.8840579710144993</v>
      </c>
      <c r="BR142" s="607">
        <f>+INPUT!DO91</f>
        <v>-2.5316455696202533</v>
      </c>
      <c r="BS142" s="577" t="str">
        <f>+INPUT!DP91</f>
        <v>NM</v>
      </c>
      <c r="BT142" s="607">
        <f>+INPUT!DQ91</f>
        <v>-5</v>
      </c>
      <c r="BU142" s="577" t="str">
        <f>+INPUT!DR91</f>
        <v>NM</v>
      </c>
      <c r="BV142" s="607">
        <f>+INPUT!DS91</f>
        <v>3.8167938931297711</v>
      </c>
      <c r="BW142" s="577" t="str">
        <f>+INPUT!DT91</f>
        <v>NM</v>
      </c>
      <c r="BX142" s="607">
        <f>+INPUT!DU91</f>
        <v>3.6832412523020261</v>
      </c>
      <c r="BY142" s="577" t="str">
        <f>+INPUT!DV91</f>
        <v>NM</v>
      </c>
      <c r="BZ142" s="607">
        <f>+INPUT!DW91</f>
        <v>-11.281070745697896</v>
      </c>
      <c r="CA142" s="577" t="str">
        <f>+INPUT!DX91</f>
        <v>NM</v>
      </c>
      <c r="CB142" s="607">
        <f>+INPUT!DY91</f>
        <v>-3.0360531309297913</v>
      </c>
      <c r="CC142" s="577">
        <f>+INPUT!DZ91</f>
        <v>-39.278937381404177</v>
      </c>
      <c r="CD142" s="607">
        <f>+INPUT!EA91</f>
        <v>-8.6614173228346463</v>
      </c>
      <c r="CE142" s="577" t="str">
        <f>+INPUT!EB91</f>
        <v>NM</v>
      </c>
      <c r="CF142" s="607">
        <f>+INPUT!EC91</f>
        <v>-0.93109869646182497</v>
      </c>
      <c r="CG142" s="577" t="str">
        <f>+INPUT!ED91</f>
        <v>NM</v>
      </c>
      <c r="CH142" s="607">
        <f>+INPUT!EE91</f>
        <v>3.8240917782026771</v>
      </c>
      <c r="CI142" s="577" t="str">
        <f>+INPUT!EF91</f>
        <v>NM</v>
      </c>
      <c r="CJ142" s="607">
        <f>+INPUT!EG91</f>
        <v>-9.0733590733590734</v>
      </c>
      <c r="CK142" s="577" t="str">
        <f>+INPUT!EH91</f>
        <v>NM</v>
      </c>
      <c r="CL142" s="607">
        <f>+INPUT!EI91</f>
        <v>-9.6267190569744603</v>
      </c>
      <c r="CM142" s="577">
        <f>+INPUT!EJ91</f>
        <v>11.144847294159675</v>
      </c>
      <c r="CN142" s="607">
        <f>+INPUT!EK91</f>
        <v>-4.3392504930966469</v>
      </c>
      <c r="CO142" s="577" t="str">
        <f>+INPUT!EL91</f>
        <v>NM</v>
      </c>
      <c r="CP142" s="607">
        <f>+INPUT!EM91</f>
        <v>-9.1093117408906874</v>
      </c>
      <c r="CQ142" s="577" t="str">
        <f>+INPUT!EN91</f>
        <v>NM</v>
      </c>
      <c r="CR142" s="607">
        <f>+INPUT!EO91</f>
        <v>-6.3670411985018731</v>
      </c>
      <c r="CS142" s="577">
        <f>+INPUT!EP91</f>
        <v>-29.827077854809147</v>
      </c>
      <c r="CT142" s="607">
        <f>+INPUT!EQ91</f>
        <v>-9.5</v>
      </c>
      <c r="CU142" s="577">
        <f>+INPUT!ER91</f>
        <v>-1.3163265306122582</v>
      </c>
      <c r="CV142" s="607">
        <f>+INPUT!ES91</f>
        <v>-9.5</v>
      </c>
      <c r="CW142" s="577" t="str">
        <f>+INPUT!ET91</f>
        <v>NM</v>
      </c>
      <c r="CX142" s="607">
        <f>+INPUT!EU91</f>
        <v>-9.5</v>
      </c>
      <c r="CY142" s="577">
        <f>+INPUT!EV91</f>
        <v>4.2888888888888914</v>
      </c>
      <c r="CZ142" s="607">
        <f>+INPUT!EW91</f>
        <v>-9.5</v>
      </c>
      <c r="DA142" s="577">
        <f>+INPUT!EX91</f>
        <v>49.20588235294116</v>
      </c>
      <c r="DB142" s="597"/>
      <c r="DC142" s="607">
        <f>+INPUT!FP91</f>
        <v>26.810810810810811</v>
      </c>
      <c r="DD142" s="577">
        <f>+INPUT!FQ91</f>
        <v>-4.6334755808439922</v>
      </c>
      <c r="DE142" s="607">
        <f>+INPUT!FR91</f>
        <v>27.423363711681858</v>
      </c>
      <c r="DF142" s="577">
        <f>+INPUT!FS91</f>
        <v>2.2847235213940422</v>
      </c>
      <c r="DG142" s="607">
        <f>+INPUT!FT91</f>
        <v>24.210526315789473</v>
      </c>
      <c r="DH142" s="577">
        <f>+INPUT!FU91</f>
        <v>-11.715694069009402</v>
      </c>
      <c r="DI142" s="607">
        <f>+INPUT!FV91</f>
        <v>0</v>
      </c>
      <c r="DJ142" s="577" t="str">
        <f>+INPUT!FW91</f>
        <v>NM</v>
      </c>
      <c r="DK142" s="607">
        <f>+INPUT!FX91</f>
        <v>35.755148741418765</v>
      </c>
      <c r="DL142" s="577" t="str">
        <f>+INPUT!FY91</f>
        <v>NA</v>
      </c>
      <c r="DM142" s="607">
        <f>+INPUT!FZ91</f>
        <v>39.630484988452658</v>
      </c>
      <c r="DN142" s="577">
        <f>+INPUT!GA91</f>
        <v>10.838540415704401</v>
      </c>
      <c r="DO142" s="607">
        <f>+INPUT!GB91</f>
        <v>21.637931034482758</v>
      </c>
      <c r="DP142" s="577">
        <f>+INPUT!GC91</f>
        <v>-45.400791736998634</v>
      </c>
      <c r="DQ142" s="607">
        <f>+INPUT!GD91</f>
        <v>27.2508038585209</v>
      </c>
      <c r="DR142" s="577">
        <f>+INPUT!GE91</f>
        <v>25.939970023443209</v>
      </c>
      <c r="DS142" s="607">
        <f>+INPUT!GF91</f>
        <v>15.699815837937384</v>
      </c>
      <c r="DT142" s="577">
        <f>+INPUT!GG91</f>
        <v>-42.387696453114728</v>
      </c>
      <c r="DU142" s="607">
        <f>+INPUT!GH91</f>
        <v>-2.0632737276478679</v>
      </c>
      <c r="DV142" s="577" t="str">
        <f>+INPUT!GI91</f>
        <v>NM</v>
      </c>
      <c r="DW142" s="607">
        <f>+INPUT!GJ91</f>
        <v>-1.6532829475673121</v>
      </c>
      <c r="DX142" s="577">
        <f>+INPUT!GK91</f>
        <v>-19.870886474570938</v>
      </c>
      <c r="DY142" s="607">
        <f>+INPUT!GL91</f>
        <v>-3.6433365292425699</v>
      </c>
      <c r="DZ142" s="577" t="str">
        <f>+INPUT!GM91</f>
        <v>NM</v>
      </c>
      <c r="EA142" s="607">
        <f>+INPUT!GN91</f>
        <v>-7.3385518590998036</v>
      </c>
      <c r="EB142" s="577" t="str">
        <f>+INPUT!GO91</f>
        <v>NM</v>
      </c>
      <c r="EC142" s="607">
        <f>+INPUT!GP91</f>
        <v>-9.4999999999999982</v>
      </c>
      <c r="ED142" s="577">
        <f>+INPUT!GQ91</f>
        <v>29.453333333333319</v>
      </c>
      <c r="EE142" s="607">
        <f>+INPUT!GR91</f>
        <v>-9.4999999999999982</v>
      </c>
      <c r="EF142" s="577">
        <f>+INPUT!GS91</f>
        <v>0</v>
      </c>
      <c r="EG142" s="607">
        <f>+INPUT!GT91</f>
        <v>-9.4999999999999982</v>
      </c>
      <c r="EH142" s="577">
        <f>+INPUT!GU91</f>
        <v>0</v>
      </c>
      <c r="EI142" s="607">
        <f>+INPUT!GV91</f>
        <v>-9.4999999999999982</v>
      </c>
      <c r="EJ142" s="577">
        <f>+INPUT!GW91</f>
        <v>0</v>
      </c>
      <c r="EK142" s="607">
        <f>+INPUT!GX91</f>
        <v>-9.4999999999999982</v>
      </c>
      <c r="EL142" s="577">
        <f>+INPUT!GY91</f>
        <v>0</v>
      </c>
      <c r="EM142" s="577">
        <f>+INPUT!GZ91</f>
        <v>5.2986122412075343</v>
      </c>
    </row>
    <row r="143" spans="1:143" ht="12.75" hidden="1" customHeight="1" outlineLevel="1" x14ac:dyDescent="0.2">
      <c r="A143" s="579"/>
      <c r="B143" s="586"/>
      <c r="C143" s="577"/>
      <c r="D143" s="586"/>
      <c r="E143" s="577"/>
      <c r="F143" s="586"/>
      <c r="G143" s="577"/>
      <c r="H143" s="586"/>
      <c r="I143" s="577"/>
      <c r="J143" s="586"/>
      <c r="K143" s="577"/>
      <c r="L143" s="586"/>
      <c r="M143" s="577"/>
      <c r="N143" s="586"/>
      <c r="O143" s="577"/>
      <c r="P143" s="586"/>
      <c r="Q143" s="577"/>
      <c r="R143" s="586"/>
      <c r="S143" s="577"/>
      <c r="T143" s="586"/>
      <c r="U143" s="577"/>
      <c r="V143" s="586"/>
      <c r="W143" s="577"/>
      <c r="X143" s="586"/>
      <c r="Y143" s="577"/>
      <c r="Z143" s="586"/>
      <c r="AA143" s="577"/>
      <c r="AB143" s="586"/>
      <c r="AC143" s="577"/>
      <c r="AD143" s="586"/>
      <c r="AE143" s="577"/>
      <c r="AF143" s="586"/>
      <c r="AG143" s="577"/>
      <c r="AH143" s="586"/>
      <c r="AI143" s="577"/>
      <c r="AJ143" s="586"/>
      <c r="AK143" s="577"/>
      <c r="AL143" s="586"/>
      <c r="AM143" s="577"/>
      <c r="AN143" s="586"/>
      <c r="AO143" s="577"/>
      <c r="AP143" s="586"/>
      <c r="AQ143" s="577"/>
      <c r="AR143" s="586"/>
      <c r="AS143" s="577"/>
      <c r="AT143" s="586"/>
      <c r="AU143" s="577"/>
      <c r="AV143" s="586"/>
      <c r="AW143" s="577"/>
      <c r="AX143" s="586"/>
      <c r="AY143" s="577"/>
      <c r="AZ143" s="586"/>
      <c r="BA143" s="577"/>
      <c r="BB143" s="586"/>
      <c r="BC143" s="577"/>
      <c r="BD143" s="586"/>
      <c r="BE143" s="577"/>
      <c r="BF143" s="586"/>
      <c r="BG143" s="577"/>
      <c r="BH143" s="586"/>
      <c r="BI143" s="577"/>
      <c r="BJ143" s="586"/>
      <c r="BK143" s="577"/>
      <c r="BL143" s="586"/>
      <c r="BM143" s="577"/>
      <c r="BN143" s="586"/>
      <c r="BO143" s="577"/>
      <c r="BP143" s="586"/>
      <c r="BQ143" s="577"/>
      <c r="BR143" s="586"/>
      <c r="BS143" s="577"/>
      <c r="BT143" s="586"/>
      <c r="BU143" s="577"/>
      <c r="BV143" s="586"/>
      <c r="BW143" s="577"/>
      <c r="BX143" s="586"/>
      <c r="BY143" s="577"/>
      <c r="BZ143" s="586"/>
      <c r="CA143" s="577"/>
      <c r="CB143" s="586"/>
      <c r="CC143" s="577"/>
      <c r="CD143" s="586"/>
      <c r="CE143" s="577"/>
      <c r="CF143" s="586"/>
      <c r="CG143" s="577"/>
      <c r="CH143" s="586"/>
      <c r="CI143" s="577"/>
      <c r="CJ143" s="586"/>
      <c r="CK143" s="577"/>
      <c r="CL143" s="586"/>
      <c r="CM143" s="577"/>
      <c r="CN143" s="586"/>
      <c r="CO143" s="577"/>
      <c r="CP143" s="586"/>
      <c r="CQ143" s="577"/>
      <c r="CR143" s="586"/>
      <c r="CS143" s="577"/>
      <c r="CT143" s="586"/>
      <c r="CU143" s="577"/>
      <c r="CV143" s="586"/>
      <c r="CW143" s="577"/>
      <c r="CX143" s="586"/>
      <c r="CY143" s="577"/>
      <c r="CZ143" s="586"/>
      <c r="DA143" s="577"/>
      <c r="DB143" s="596"/>
      <c r="DC143" s="586"/>
      <c r="DD143" s="577"/>
      <c r="DE143" s="586"/>
      <c r="DF143" s="577"/>
      <c r="DG143" s="586"/>
      <c r="DH143" s="577"/>
      <c r="DI143" s="586"/>
      <c r="DJ143" s="577"/>
      <c r="DK143" s="586"/>
      <c r="DL143" s="577"/>
      <c r="DM143" s="586"/>
      <c r="DN143" s="577"/>
      <c r="DO143" s="586"/>
      <c r="DP143" s="577"/>
      <c r="DQ143" s="586"/>
      <c r="DR143" s="577"/>
      <c r="DS143" s="586"/>
      <c r="DT143" s="577"/>
      <c r="DU143" s="586"/>
      <c r="DV143" s="577"/>
      <c r="DW143" s="586"/>
      <c r="DX143" s="577"/>
      <c r="DY143" s="586"/>
      <c r="DZ143" s="577"/>
      <c r="EA143" s="586"/>
      <c r="EB143" s="577"/>
      <c r="EC143" s="586"/>
      <c r="ED143" s="577"/>
      <c r="EE143" s="586"/>
      <c r="EF143" s="577"/>
      <c r="EG143" s="586"/>
      <c r="EH143" s="577"/>
      <c r="EI143" s="586"/>
      <c r="EJ143" s="577"/>
      <c r="EK143" s="586"/>
      <c r="EL143" s="577"/>
      <c r="EM143" s="577"/>
    </row>
    <row r="144" spans="1:143" ht="12.75" hidden="1" customHeight="1" outlineLevel="1" x14ac:dyDescent="0.2">
      <c r="A144" s="599" t="s">
        <v>507</v>
      </c>
      <c r="B144" s="597"/>
      <c r="C144" s="577"/>
      <c r="D144" s="597"/>
      <c r="E144" s="577"/>
      <c r="F144" s="597"/>
      <c r="G144" s="577"/>
      <c r="H144" s="597"/>
      <c r="I144" s="577"/>
      <c r="J144" s="597"/>
      <c r="K144" s="577"/>
      <c r="L144" s="597"/>
      <c r="M144" s="577"/>
      <c r="N144" s="597"/>
      <c r="O144" s="577"/>
      <c r="P144" s="597"/>
      <c r="Q144" s="577"/>
      <c r="R144" s="597"/>
      <c r="S144" s="577"/>
      <c r="T144" s="597"/>
      <c r="U144" s="577"/>
      <c r="V144" s="597"/>
      <c r="W144" s="577"/>
      <c r="X144" s="597"/>
      <c r="Y144" s="577"/>
      <c r="Z144" s="597"/>
      <c r="AA144" s="577"/>
      <c r="AB144" s="597"/>
      <c r="AC144" s="577"/>
      <c r="AD144" s="597"/>
      <c r="AE144" s="577"/>
      <c r="AF144" s="597"/>
      <c r="AG144" s="577"/>
      <c r="AH144" s="597"/>
      <c r="AI144" s="577"/>
      <c r="AJ144" s="597"/>
      <c r="AK144" s="577"/>
      <c r="AL144" s="597"/>
      <c r="AM144" s="577"/>
      <c r="AN144" s="597"/>
      <c r="AO144" s="577"/>
      <c r="AP144" s="597"/>
      <c r="AQ144" s="577"/>
      <c r="AR144" s="597"/>
      <c r="AS144" s="577"/>
      <c r="AT144" s="597"/>
      <c r="AU144" s="577"/>
      <c r="AV144" s="597"/>
      <c r="AW144" s="577"/>
      <c r="AX144" s="597"/>
      <c r="AY144" s="577"/>
      <c r="AZ144" s="597"/>
      <c r="BA144" s="577"/>
      <c r="BB144" s="597"/>
      <c r="BC144" s="577"/>
      <c r="BD144" s="597"/>
      <c r="BE144" s="577"/>
      <c r="BF144" s="597"/>
      <c r="BG144" s="577"/>
      <c r="BH144" s="597"/>
      <c r="BI144" s="577"/>
      <c r="BJ144" s="597"/>
      <c r="BK144" s="577"/>
      <c r="BL144" s="597"/>
      <c r="BM144" s="577"/>
      <c r="BN144" s="597"/>
      <c r="BO144" s="577"/>
      <c r="BP144" s="597"/>
      <c r="BQ144" s="577"/>
      <c r="BR144" s="597"/>
      <c r="BS144" s="577"/>
      <c r="BT144" s="597"/>
      <c r="BU144" s="577"/>
      <c r="BV144" s="597"/>
      <c r="BW144" s="577"/>
      <c r="BX144" s="597"/>
      <c r="BY144" s="577"/>
      <c r="BZ144" s="597"/>
      <c r="CA144" s="577"/>
      <c r="CB144" s="597"/>
      <c r="CC144" s="577"/>
      <c r="CD144" s="597"/>
      <c r="CE144" s="577"/>
      <c r="CF144" s="597"/>
      <c r="CG144" s="577"/>
      <c r="CH144" s="597"/>
      <c r="CI144" s="577"/>
      <c r="CJ144" s="597"/>
      <c r="CK144" s="577"/>
      <c r="CL144" s="597"/>
      <c r="CM144" s="577"/>
      <c r="CN144" s="597"/>
      <c r="CO144" s="577"/>
      <c r="CP144" s="597"/>
      <c r="CQ144" s="577"/>
      <c r="CR144" s="597"/>
      <c r="CS144" s="577"/>
      <c r="CT144" s="597"/>
      <c r="CU144" s="577"/>
      <c r="CV144" s="597"/>
      <c r="CW144" s="577"/>
      <c r="CX144" s="597"/>
      <c r="CY144" s="577"/>
      <c r="CZ144" s="597"/>
      <c r="DA144" s="577"/>
      <c r="DB144" s="598"/>
      <c r="DC144" s="597"/>
      <c r="DD144" s="577"/>
      <c r="DE144" s="597"/>
      <c r="DF144" s="577"/>
      <c r="DG144" s="597"/>
      <c r="DH144" s="577"/>
      <c r="DI144" s="597"/>
      <c r="DJ144" s="577"/>
      <c r="DK144" s="597"/>
      <c r="DL144" s="577"/>
      <c r="DM144" s="597"/>
      <c r="DN144" s="577"/>
      <c r="DO144" s="597"/>
      <c r="DP144" s="577"/>
      <c r="DQ144" s="597"/>
      <c r="DR144" s="577"/>
      <c r="DS144" s="597"/>
      <c r="DT144" s="577"/>
      <c r="DU144" s="597"/>
      <c r="DV144" s="577"/>
      <c r="DW144" s="597"/>
      <c r="DX144" s="577"/>
      <c r="DY144" s="597"/>
      <c r="DZ144" s="577"/>
      <c r="EA144" s="597"/>
      <c r="EB144" s="577"/>
      <c r="EC144" s="597"/>
      <c r="ED144" s="577"/>
      <c r="EE144" s="597"/>
      <c r="EF144" s="577"/>
      <c r="EG144" s="597"/>
      <c r="EH144" s="577"/>
      <c r="EI144" s="597"/>
      <c r="EJ144" s="577"/>
      <c r="EK144" s="597"/>
      <c r="EL144" s="577"/>
      <c r="EM144" s="577"/>
    </row>
    <row r="145" spans="1:144" ht="12.75" hidden="1" customHeight="1" outlineLevel="1" x14ac:dyDescent="0.2">
      <c r="A145" s="599" t="s">
        <v>44</v>
      </c>
      <c r="B145" s="580"/>
      <c r="C145" s="577"/>
      <c r="D145" s="580"/>
      <c r="E145" s="577"/>
      <c r="F145" s="580"/>
      <c r="G145" s="577"/>
      <c r="H145" s="580"/>
      <c r="I145" s="577"/>
      <c r="J145" s="580"/>
      <c r="K145" s="577"/>
      <c r="L145" s="580"/>
      <c r="M145" s="577"/>
      <c r="N145" s="580"/>
      <c r="O145" s="577"/>
      <c r="P145" s="580"/>
      <c r="Q145" s="577"/>
      <c r="R145" s="580"/>
      <c r="S145" s="577"/>
      <c r="T145" s="580"/>
      <c r="U145" s="577"/>
      <c r="V145" s="580"/>
      <c r="W145" s="577"/>
      <c r="X145" s="580"/>
      <c r="Y145" s="577"/>
      <c r="Z145" s="580"/>
      <c r="AA145" s="577"/>
      <c r="AB145" s="580"/>
      <c r="AC145" s="577"/>
      <c r="AD145" s="580"/>
      <c r="AE145" s="577"/>
      <c r="AF145" s="580"/>
      <c r="AG145" s="577"/>
      <c r="AH145" s="580"/>
      <c r="AI145" s="577"/>
      <c r="AJ145" s="580"/>
      <c r="AK145" s="577"/>
      <c r="AL145" s="580"/>
      <c r="AM145" s="577"/>
      <c r="AN145" s="580"/>
      <c r="AO145" s="577"/>
      <c r="AP145" s="580"/>
      <c r="AQ145" s="577"/>
      <c r="AR145" s="580"/>
      <c r="AS145" s="577"/>
      <c r="AT145" s="580"/>
      <c r="AU145" s="577"/>
      <c r="AV145" s="580"/>
      <c r="AW145" s="577"/>
      <c r="AX145" s="580"/>
      <c r="AY145" s="577"/>
      <c r="AZ145" s="580"/>
      <c r="BA145" s="577"/>
      <c r="BB145" s="580"/>
      <c r="BC145" s="577"/>
      <c r="BD145" s="580"/>
      <c r="BE145" s="577"/>
      <c r="BF145" s="580"/>
      <c r="BG145" s="577"/>
      <c r="BH145" s="580"/>
      <c r="BI145" s="577"/>
      <c r="BJ145" s="580"/>
      <c r="BK145" s="577"/>
      <c r="BL145" s="580"/>
      <c r="BM145" s="577"/>
      <c r="BN145" s="580"/>
      <c r="BO145" s="577"/>
      <c r="BP145" s="580"/>
      <c r="BQ145" s="577"/>
      <c r="BR145" s="580"/>
      <c r="BS145" s="577"/>
      <c r="BT145" s="580"/>
      <c r="BU145" s="577"/>
      <c r="BV145" s="580"/>
      <c r="BW145" s="577"/>
      <c r="BX145" s="580"/>
      <c r="BY145" s="577"/>
      <c r="BZ145" s="580"/>
      <c r="CA145" s="577"/>
      <c r="CB145" s="580"/>
      <c r="CC145" s="577"/>
      <c r="CD145" s="580"/>
      <c r="CE145" s="577"/>
      <c r="CF145" s="580"/>
      <c r="CG145" s="577"/>
      <c r="CH145" s="580"/>
      <c r="CI145" s="577"/>
      <c r="CJ145" s="580"/>
      <c r="CK145" s="577"/>
      <c r="CL145" s="580"/>
      <c r="CM145" s="577"/>
      <c r="CN145" s="580"/>
      <c r="CO145" s="577"/>
      <c r="CP145" s="580"/>
      <c r="CQ145" s="577"/>
      <c r="CR145" s="580"/>
      <c r="CS145" s="577"/>
      <c r="CT145" s="580"/>
      <c r="CU145" s="577"/>
      <c r="CV145" s="580"/>
      <c r="CW145" s="577"/>
      <c r="CX145" s="580"/>
      <c r="CY145" s="577"/>
      <c r="CZ145" s="580"/>
      <c r="DA145" s="577"/>
      <c r="DB145" s="587"/>
      <c r="DC145" s="580"/>
      <c r="DD145" s="577"/>
      <c r="DE145" s="580"/>
      <c r="DF145" s="577"/>
      <c r="DG145" s="580"/>
      <c r="DH145" s="577"/>
      <c r="DI145" s="580"/>
      <c r="DJ145" s="577"/>
      <c r="DK145" s="580"/>
      <c r="DL145" s="577"/>
      <c r="DM145" s="580"/>
      <c r="DN145" s="577"/>
      <c r="DO145" s="580"/>
      <c r="DP145" s="577"/>
      <c r="DQ145" s="580"/>
      <c r="DR145" s="577"/>
      <c r="DS145" s="580"/>
      <c r="DT145" s="577"/>
      <c r="DU145" s="580"/>
      <c r="DV145" s="577"/>
      <c r="DW145" s="580"/>
      <c r="DX145" s="577"/>
      <c r="DY145" s="580"/>
      <c r="DZ145" s="577"/>
      <c r="EA145" s="580"/>
      <c r="EB145" s="577"/>
      <c r="EC145" s="580"/>
      <c r="ED145" s="577"/>
      <c r="EE145" s="580"/>
      <c r="EF145" s="577"/>
      <c r="EG145" s="580"/>
      <c r="EH145" s="577"/>
      <c r="EI145" s="580"/>
      <c r="EJ145" s="577"/>
      <c r="EK145" s="580"/>
      <c r="EL145" s="577"/>
      <c r="EM145" s="577"/>
    </row>
    <row r="146" spans="1:144" ht="12.75" hidden="1" customHeight="1" outlineLevel="1" x14ac:dyDescent="0.2">
      <c r="A146" s="599"/>
      <c r="B146" s="580"/>
      <c r="C146" s="577"/>
      <c r="D146" s="580"/>
      <c r="E146" s="577"/>
      <c r="F146" s="580"/>
      <c r="G146" s="577"/>
      <c r="H146" s="580"/>
      <c r="I146" s="577"/>
      <c r="J146" s="580"/>
      <c r="K146" s="577"/>
      <c r="L146" s="580"/>
      <c r="M146" s="577"/>
      <c r="N146" s="580"/>
      <c r="O146" s="577"/>
      <c r="P146" s="580"/>
      <c r="Q146" s="577"/>
      <c r="R146" s="580"/>
      <c r="S146" s="577"/>
      <c r="T146" s="580"/>
      <c r="U146" s="577"/>
      <c r="V146" s="580"/>
      <c r="W146" s="577"/>
      <c r="X146" s="580"/>
      <c r="Y146" s="577"/>
      <c r="Z146" s="580"/>
      <c r="AA146" s="577"/>
      <c r="AB146" s="580"/>
      <c r="AC146" s="577"/>
      <c r="AD146" s="580"/>
      <c r="AE146" s="577"/>
      <c r="AF146" s="580"/>
      <c r="AG146" s="577"/>
      <c r="AH146" s="580"/>
      <c r="AI146" s="577"/>
      <c r="AJ146" s="580"/>
      <c r="AK146" s="577"/>
      <c r="AL146" s="580"/>
      <c r="AM146" s="577"/>
      <c r="AN146" s="580"/>
      <c r="AO146" s="577"/>
      <c r="AP146" s="580"/>
      <c r="AQ146" s="577"/>
      <c r="AR146" s="580"/>
      <c r="AS146" s="577"/>
      <c r="AT146" s="580"/>
      <c r="AU146" s="577"/>
      <c r="AV146" s="580"/>
      <c r="AW146" s="577"/>
      <c r="AX146" s="580"/>
      <c r="AY146" s="577"/>
      <c r="AZ146" s="580"/>
      <c r="BA146" s="577"/>
      <c r="BB146" s="580"/>
      <c r="BC146" s="577"/>
      <c r="BD146" s="580"/>
      <c r="BE146" s="577"/>
      <c r="BF146" s="580"/>
      <c r="BG146" s="577"/>
      <c r="BH146" s="580"/>
      <c r="BI146" s="577"/>
      <c r="BJ146" s="580"/>
      <c r="BK146" s="577"/>
      <c r="BL146" s="580"/>
      <c r="BM146" s="577"/>
      <c r="BN146" s="580"/>
      <c r="BO146" s="577"/>
      <c r="BP146" s="580"/>
      <c r="BQ146" s="577"/>
      <c r="BR146" s="580"/>
      <c r="BS146" s="577"/>
      <c r="BT146" s="580"/>
      <c r="BU146" s="577"/>
      <c r="BV146" s="580"/>
      <c r="BW146" s="577"/>
      <c r="BX146" s="580"/>
      <c r="BY146" s="577"/>
      <c r="BZ146" s="580"/>
      <c r="CA146" s="577"/>
      <c r="CB146" s="580"/>
      <c r="CC146" s="577"/>
      <c r="CD146" s="580"/>
      <c r="CE146" s="577"/>
      <c r="CF146" s="580"/>
      <c r="CG146" s="577"/>
      <c r="CH146" s="580"/>
      <c r="CI146" s="577"/>
      <c r="CJ146" s="580"/>
      <c r="CK146" s="577"/>
      <c r="CL146" s="580"/>
      <c r="CM146" s="577"/>
      <c r="CN146" s="580"/>
      <c r="CO146" s="577"/>
      <c r="CP146" s="580"/>
      <c r="CQ146" s="577"/>
      <c r="CR146" s="580"/>
      <c r="CS146" s="577"/>
      <c r="CT146" s="580"/>
      <c r="CU146" s="577"/>
      <c r="CV146" s="580"/>
      <c r="CW146" s="577"/>
      <c r="CX146" s="580"/>
      <c r="CY146" s="577"/>
      <c r="CZ146" s="580"/>
      <c r="DA146" s="577"/>
      <c r="DB146" s="587"/>
      <c r="DC146" s="580"/>
      <c r="DD146" s="577"/>
      <c r="DE146" s="580"/>
      <c r="DF146" s="577"/>
      <c r="DG146" s="580"/>
      <c r="DH146" s="577"/>
      <c r="DI146" s="580"/>
      <c r="DJ146" s="577"/>
      <c r="DK146" s="580"/>
      <c r="DL146" s="577"/>
      <c r="DM146" s="580"/>
      <c r="DN146" s="577"/>
      <c r="DO146" s="580"/>
      <c r="DP146" s="577"/>
      <c r="DQ146" s="580"/>
      <c r="DR146" s="577"/>
      <c r="DS146" s="580"/>
      <c r="DT146" s="577"/>
      <c r="DU146" s="580"/>
      <c r="DV146" s="577"/>
      <c r="DW146" s="580"/>
      <c r="DX146" s="577"/>
      <c r="DY146" s="580"/>
      <c r="DZ146" s="577"/>
      <c r="EA146" s="580"/>
      <c r="EB146" s="577"/>
      <c r="EC146" s="580"/>
      <c r="ED146" s="577"/>
      <c r="EE146" s="580"/>
      <c r="EF146" s="577"/>
      <c r="EG146" s="580"/>
      <c r="EH146" s="577"/>
      <c r="EI146" s="580"/>
      <c r="EJ146" s="577"/>
      <c r="EK146" s="580"/>
      <c r="EL146" s="577"/>
      <c r="EM146" s="577"/>
    </row>
    <row r="147" spans="1:144" ht="21.95" hidden="1" customHeight="1" outlineLevel="1" x14ac:dyDescent="0.25">
      <c r="A147" s="546" t="str">
        <f>$A$1</f>
        <v>Prudential Financial, Inc.</v>
      </c>
      <c r="B147" s="554"/>
      <c r="C147" s="555"/>
      <c r="D147" s="554"/>
      <c r="E147" s="555"/>
      <c r="F147" s="554"/>
      <c r="G147" s="555"/>
      <c r="H147" s="554"/>
      <c r="I147" s="555"/>
      <c r="J147" s="554"/>
      <c r="K147" s="555"/>
      <c r="L147" s="554"/>
      <c r="M147" s="555"/>
      <c r="N147" s="554"/>
      <c r="O147" s="555"/>
      <c r="P147" s="554"/>
      <c r="Q147" s="555"/>
      <c r="R147" s="554"/>
      <c r="S147" s="555"/>
      <c r="T147" s="554"/>
      <c r="U147" s="555"/>
      <c r="V147" s="554"/>
      <c r="W147" s="555"/>
      <c r="X147" s="554"/>
      <c r="Y147" s="555"/>
      <c r="Z147" s="554"/>
      <c r="AA147" s="555"/>
      <c r="AB147" s="554"/>
      <c r="AC147" s="555"/>
      <c r="AD147" s="554"/>
      <c r="AE147" s="555"/>
      <c r="AF147" s="554"/>
      <c r="AG147" s="555"/>
      <c r="AH147" s="554"/>
      <c r="AI147" s="555"/>
      <c r="AJ147" s="554"/>
      <c r="AK147" s="555"/>
      <c r="AL147" s="554"/>
      <c r="AM147" s="555"/>
      <c r="AN147" s="554"/>
      <c r="AO147" s="555"/>
      <c r="AP147" s="554"/>
      <c r="AQ147" s="555"/>
      <c r="AR147" s="554"/>
      <c r="AS147" s="555"/>
      <c r="AT147" s="554"/>
      <c r="AU147" s="555"/>
      <c r="AV147" s="554"/>
      <c r="AW147" s="555"/>
      <c r="AX147" s="554"/>
      <c r="AY147" s="555"/>
      <c r="AZ147" s="554"/>
      <c r="BA147" s="555"/>
      <c r="BB147" s="554"/>
      <c r="BC147" s="555"/>
      <c r="BD147" s="554"/>
      <c r="BE147" s="555"/>
      <c r="BF147" s="554"/>
      <c r="BG147" s="555"/>
      <c r="BH147" s="554"/>
      <c r="BI147" s="555"/>
      <c r="BJ147" s="554"/>
      <c r="BK147" s="555"/>
      <c r="BL147" s="554"/>
      <c r="BM147" s="555"/>
      <c r="BN147" s="554"/>
      <c r="BO147" s="555"/>
      <c r="BP147" s="554"/>
      <c r="BQ147" s="555"/>
      <c r="BR147" s="554"/>
      <c r="BS147" s="555"/>
      <c r="BT147" s="554"/>
      <c r="BU147" s="555"/>
      <c r="BV147" s="554"/>
      <c r="BW147" s="555"/>
      <c r="BX147" s="554"/>
      <c r="BY147" s="555"/>
      <c r="BZ147" s="554"/>
      <c r="CA147" s="555"/>
      <c r="CB147" s="554"/>
      <c r="CC147" s="555"/>
      <c r="CD147" s="554"/>
      <c r="CE147" s="555"/>
      <c r="CF147" s="554"/>
      <c r="CG147" s="555"/>
      <c r="CH147" s="554"/>
      <c r="CI147" s="555"/>
      <c r="CJ147" s="554"/>
      <c r="CK147" s="555"/>
      <c r="CL147" s="554"/>
      <c r="CM147" s="555"/>
      <c r="CN147" s="554"/>
      <c r="CO147" s="555"/>
      <c r="CP147" s="554"/>
      <c r="CQ147" s="555"/>
      <c r="CR147" s="554"/>
      <c r="CS147" s="555"/>
      <c r="CT147" s="554"/>
      <c r="CU147" s="555"/>
      <c r="CV147" s="554"/>
      <c r="CW147" s="555"/>
      <c r="CX147" s="554"/>
      <c r="CY147" s="555"/>
      <c r="CZ147" s="554"/>
      <c r="DA147" s="555"/>
      <c r="DB147" s="556"/>
      <c r="DC147" s="554"/>
      <c r="DD147" s="555"/>
      <c r="DE147" s="554"/>
      <c r="DF147" s="555"/>
      <c r="DG147" s="554"/>
      <c r="DH147" s="555"/>
      <c r="DI147" s="554"/>
      <c r="DJ147" s="555"/>
      <c r="DK147" s="554"/>
      <c r="DL147" s="555"/>
      <c r="DM147" s="554"/>
      <c r="DN147" s="555"/>
      <c r="DO147" s="554"/>
      <c r="DP147" s="555"/>
      <c r="DQ147" s="554"/>
      <c r="DR147" s="555"/>
      <c r="DS147" s="554"/>
      <c r="DT147" s="555"/>
      <c r="DU147" s="554"/>
      <c r="DV147" s="555"/>
      <c r="DW147" s="554"/>
      <c r="DX147" s="555"/>
      <c r="DY147" s="554"/>
      <c r="DZ147" s="555"/>
      <c r="EA147" s="554"/>
      <c r="EB147" s="555"/>
      <c r="EC147" s="554"/>
      <c r="ED147" s="555"/>
      <c r="EE147" s="554"/>
      <c r="EF147" s="555"/>
      <c r="EG147" s="554"/>
      <c r="EH147" s="555"/>
      <c r="EI147" s="554"/>
      <c r="EJ147" s="555"/>
      <c r="EK147" s="554"/>
      <c r="EL147" s="555"/>
      <c r="EM147" s="554"/>
    </row>
    <row r="148" spans="1:144" ht="12.75" hidden="1" customHeight="1" outlineLevel="1" x14ac:dyDescent="0.2">
      <c r="A148" s="557" t="s">
        <v>55</v>
      </c>
      <c r="B148" s="558"/>
      <c r="C148" s="559"/>
      <c r="D148" s="558"/>
      <c r="E148" s="559"/>
      <c r="F148" s="558"/>
      <c r="G148" s="559"/>
      <c r="H148" s="558"/>
      <c r="I148" s="559"/>
      <c r="J148" s="558"/>
      <c r="K148" s="559"/>
      <c r="L148" s="558"/>
      <c r="M148" s="559"/>
      <c r="N148" s="558"/>
      <c r="O148" s="559"/>
      <c r="P148" s="558"/>
      <c r="Q148" s="559"/>
      <c r="R148" s="558"/>
      <c r="S148" s="559"/>
      <c r="T148" s="558"/>
      <c r="U148" s="559"/>
      <c r="V148" s="558"/>
      <c r="W148" s="559"/>
      <c r="X148" s="558"/>
      <c r="Y148" s="559"/>
      <c r="Z148" s="558"/>
      <c r="AA148" s="559"/>
      <c r="AB148" s="558"/>
      <c r="AC148" s="559"/>
      <c r="AD148" s="558"/>
      <c r="AE148" s="559"/>
      <c r="AF148" s="558"/>
      <c r="AG148" s="559"/>
      <c r="AH148" s="558"/>
      <c r="AI148" s="559"/>
      <c r="AJ148" s="558"/>
      <c r="AK148" s="559"/>
      <c r="AL148" s="558"/>
      <c r="AM148" s="559"/>
      <c r="AN148" s="558"/>
      <c r="AO148" s="559"/>
      <c r="AP148" s="558"/>
      <c r="AQ148" s="559"/>
      <c r="AR148" s="558"/>
      <c r="AS148" s="559"/>
      <c r="AT148" s="558"/>
      <c r="AU148" s="559"/>
      <c r="AV148" s="558"/>
      <c r="AW148" s="559"/>
      <c r="AX148" s="558"/>
      <c r="AY148" s="559"/>
      <c r="AZ148" s="558"/>
      <c r="BA148" s="559"/>
      <c r="BB148" s="558"/>
      <c r="BC148" s="559"/>
      <c r="BD148" s="558"/>
      <c r="BE148" s="559"/>
      <c r="BF148" s="558"/>
      <c r="BG148" s="559"/>
      <c r="BH148" s="558"/>
      <c r="BI148" s="559"/>
      <c r="BJ148" s="558"/>
      <c r="BK148" s="559"/>
      <c r="BL148" s="558"/>
      <c r="BM148" s="559"/>
      <c r="BN148" s="558"/>
      <c r="BO148" s="559"/>
      <c r="BP148" s="558"/>
      <c r="BQ148" s="559"/>
      <c r="BR148" s="558"/>
      <c r="BS148" s="559"/>
      <c r="BT148" s="558"/>
      <c r="BU148" s="559"/>
      <c r="BV148" s="558"/>
      <c r="BW148" s="559"/>
      <c r="BX148" s="558"/>
      <c r="BY148" s="559"/>
      <c r="BZ148" s="558"/>
      <c r="CA148" s="559"/>
      <c r="CB148" s="558"/>
      <c r="CC148" s="559"/>
      <c r="CD148" s="558"/>
      <c r="CE148" s="559"/>
      <c r="CF148" s="558"/>
      <c r="CG148" s="559"/>
      <c r="CH148" s="558"/>
      <c r="CI148" s="559"/>
      <c r="CJ148" s="558"/>
      <c r="CK148" s="559"/>
      <c r="CL148" s="558"/>
      <c r="CM148" s="559"/>
      <c r="CN148" s="558"/>
      <c r="CO148" s="559"/>
      <c r="CP148" s="558"/>
      <c r="CQ148" s="559"/>
      <c r="CR148" s="558"/>
      <c r="CS148" s="559"/>
      <c r="CT148" s="558"/>
      <c r="CU148" s="559"/>
      <c r="CV148" s="558"/>
      <c r="CW148" s="559"/>
      <c r="CX148" s="558"/>
      <c r="CY148" s="559"/>
      <c r="CZ148" s="558"/>
      <c r="DA148" s="559"/>
      <c r="DB148" s="560"/>
      <c r="DC148" s="561"/>
      <c r="DD148" s="559"/>
      <c r="DE148" s="558"/>
      <c r="DF148" s="559"/>
      <c r="DG148" s="558"/>
      <c r="DH148" s="559"/>
      <c r="DI148" s="558"/>
      <c r="DJ148" s="559"/>
      <c r="DK148" s="558"/>
      <c r="DL148" s="559"/>
      <c r="DM148" s="558"/>
      <c r="DN148" s="559"/>
      <c r="DO148" s="558"/>
      <c r="DP148" s="559"/>
      <c r="DQ148" s="558"/>
      <c r="DR148" s="559"/>
      <c r="DS148" s="558"/>
      <c r="DT148" s="559"/>
      <c r="DU148" s="558"/>
      <c r="DV148" s="559"/>
      <c r="DW148" s="558"/>
      <c r="DX148" s="559"/>
      <c r="DY148" s="558"/>
      <c r="DZ148" s="559"/>
      <c r="EA148" s="558"/>
      <c r="EB148" s="559"/>
      <c r="EC148" s="558"/>
      <c r="ED148" s="559"/>
      <c r="EE148" s="558"/>
      <c r="EF148" s="559"/>
      <c r="EG148" s="558"/>
      <c r="EH148" s="559"/>
      <c r="EI148" s="558"/>
      <c r="EJ148" s="559"/>
      <c r="EK148" s="558"/>
      <c r="EL148" s="559"/>
      <c r="EM148" s="558"/>
    </row>
    <row r="149" spans="1:144" ht="12.75" hidden="1" customHeight="1" outlineLevel="1" x14ac:dyDescent="0.2">
      <c r="A149" s="548" t="str">
        <f>+A$3</f>
        <v>($Millions Except Per Share Data)</v>
      </c>
      <c r="B149" s="563"/>
      <c r="C149" s="564" t="str">
        <f>+C$3</f>
        <v>1Q06/</v>
      </c>
      <c r="D149" s="563"/>
      <c r="E149" s="564" t="str">
        <f>+E$3</f>
        <v>2Q06/</v>
      </c>
      <c r="F149" s="563"/>
      <c r="G149" s="564" t="str">
        <f>+G$3</f>
        <v>3Q06/</v>
      </c>
      <c r="H149" s="563"/>
      <c r="I149" s="564" t="str">
        <f>+I$3</f>
        <v>4Q06/</v>
      </c>
      <c r="J149" s="563"/>
      <c r="K149" s="564" t="str">
        <f>+K$3</f>
        <v>1Q07/</v>
      </c>
      <c r="L149" s="563"/>
      <c r="M149" s="564" t="str">
        <f>+M$3</f>
        <v>2Q07/</v>
      </c>
      <c r="N149" s="563"/>
      <c r="O149" s="564" t="str">
        <f>+O$3</f>
        <v>3Q07/</v>
      </c>
      <c r="P149" s="563"/>
      <c r="Q149" s="564" t="str">
        <f>+Q$3</f>
        <v>4Q07/</v>
      </c>
      <c r="R149" s="563"/>
      <c r="S149" s="564" t="str">
        <f>+S$3</f>
        <v>1Q08/</v>
      </c>
      <c r="T149" s="563"/>
      <c r="U149" s="564" t="str">
        <f>+U$3</f>
        <v>2Q08/</v>
      </c>
      <c r="V149" s="563"/>
      <c r="W149" s="564" t="str">
        <f>+W$3</f>
        <v>3Q08/</v>
      </c>
      <c r="X149" s="563"/>
      <c r="Y149" s="564" t="str">
        <f>+Y$3</f>
        <v>4Q08/</v>
      </c>
      <c r="Z149" s="563"/>
      <c r="AA149" s="564" t="str">
        <f>+AA$3</f>
        <v>1Q09/</v>
      </c>
      <c r="AB149" s="563"/>
      <c r="AC149" s="564" t="str">
        <f>+AC$3</f>
        <v>2Q09/</v>
      </c>
      <c r="AD149" s="563"/>
      <c r="AE149" s="564" t="str">
        <f>+AE$3</f>
        <v>3Q09/</v>
      </c>
      <c r="AF149" s="563"/>
      <c r="AG149" s="564" t="str">
        <f>+AG$3</f>
        <v>4Q09/</v>
      </c>
      <c r="AH149" s="563"/>
      <c r="AI149" s="564" t="str">
        <f>+AI$3</f>
        <v>1Q10/</v>
      </c>
      <c r="AJ149" s="563"/>
      <c r="AK149" s="564" t="str">
        <f>+AK$3</f>
        <v>2Q10/</v>
      </c>
      <c r="AL149" s="563"/>
      <c r="AM149" s="564" t="str">
        <f>+AM$3</f>
        <v>3Q10/</v>
      </c>
      <c r="AN149" s="563"/>
      <c r="AO149" s="564" t="str">
        <f>+AO$3</f>
        <v>4Q10/</v>
      </c>
      <c r="AP149" s="563"/>
      <c r="AQ149" s="564" t="str">
        <f>+AQ$3</f>
        <v>1Q11/</v>
      </c>
      <c r="AR149" s="563"/>
      <c r="AS149" s="564" t="str">
        <f>+AS$3</f>
        <v>2Q11/</v>
      </c>
      <c r="AT149" s="563"/>
      <c r="AU149" s="564" t="str">
        <f>+AU$3</f>
        <v>3Q11/</v>
      </c>
      <c r="AV149" s="563"/>
      <c r="AW149" s="564" t="str">
        <f>+AW$3</f>
        <v>4Q11/</v>
      </c>
      <c r="AX149" s="563"/>
      <c r="AY149" s="564" t="str">
        <f>+AY$3</f>
        <v>1Q12/</v>
      </c>
      <c r="AZ149" s="563"/>
      <c r="BA149" s="564" t="str">
        <f>+BA$3</f>
        <v>2Q12/</v>
      </c>
      <c r="BB149" s="563"/>
      <c r="BC149" s="564" t="str">
        <f>+BC$3</f>
        <v>3Q12/</v>
      </c>
      <c r="BD149" s="563"/>
      <c r="BE149" s="564" t="str">
        <f>+BE$3</f>
        <v>4Q12/</v>
      </c>
      <c r="BF149" s="563"/>
      <c r="BG149" s="564" t="str">
        <f>+BG$3</f>
        <v>1Q13/</v>
      </c>
      <c r="BH149" s="563"/>
      <c r="BI149" s="564" t="str">
        <f>+BI$3</f>
        <v>2Q13/</v>
      </c>
      <c r="BJ149" s="563"/>
      <c r="BK149" s="564" t="str">
        <f>+BK$3</f>
        <v>3Q13/</v>
      </c>
      <c r="BL149" s="563"/>
      <c r="BM149" s="564" t="str">
        <f>+BM$3</f>
        <v>4Q13/</v>
      </c>
      <c r="BN149" s="563"/>
      <c r="BO149" s="564" t="str">
        <f>+BO$3</f>
        <v>1Q14/</v>
      </c>
      <c r="BP149" s="563"/>
      <c r="BQ149" s="564" t="str">
        <f>+BQ$3</f>
        <v>2Q14/</v>
      </c>
      <c r="BR149" s="563"/>
      <c r="BS149" s="564" t="str">
        <f>+BS$3</f>
        <v>3Q14/</v>
      </c>
      <c r="BT149" s="563"/>
      <c r="BU149" s="564" t="str">
        <f>+BU$3</f>
        <v>4Q14/</v>
      </c>
      <c r="BV149" s="563"/>
      <c r="BW149" s="564" t="str">
        <f>+BW$3</f>
        <v>1Q15/</v>
      </c>
      <c r="BX149" s="563"/>
      <c r="BY149" s="564" t="str">
        <f>+BY$3</f>
        <v>2Q15/</v>
      </c>
      <c r="BZ149" s="563"/>
      <c r="CA149" s="564" t="str">
        <f>+CA$3</f>
        <v>3Q15/</v>
      </c>
      <c r="CB149" s="563"/>
      <c r="CC149" s="564" t="str">
        <f>+CC$3</f>
        <v>4Q15/</v>
      </c>
      <c r="CD149" s="563"/>
      <c r="CE149" s="564" t="str">
        <f>+CE$3</f>
        <v>1Q16/</v>
      </c>
      <c r="CF149" s="563"/>
      <c r="CG149" s="564" t="str">
        <f>+CG$3</f>
        <v>2Q16/</v>
      </c>
      <c r="CH149" s="563"/>
      <c r="CI149" s="564" t="str">
        <f>+CI$3</f>
        <v>3Q16/</v>
      </c>
      <c r="CJ149" s="563"/>
      <c r="CK149" s="564" t="str">
        <f>+CK$3</f>
        <v>4Q16/</v>
      </c>
      <c r="CL149" s="563"/>
      <c r="CM149" s="564" t="str">
        <f>+CM$3</f>
        <v>1Q17/</v>
      </c>
      <c r="CN149" s="563"/>
      <c r="CO149" s="564" t="str">
        <f>+CO$3</f>
        <v>2Q17/</v>
      </c>
      <c r="CP149" s="563"/>
      <c r="CQ149" s="564" t="str">
        <f>+CQ$3</f>
        <v>3Q17/</v>
      </c>
      <c r="CR149" s="563"/>
      <c r="CS149" s="564" t="str">
        <f>+CS$3</f>
        <v>4Q17/</v>
      </c>
      <c r="CT149" s="563"/>
      <c r="CU149" s="564" t="str">
        <f>+CU$3</f>
        <v>1Q18E/</v>
      </c>
      <c r="CV149" s="563"/>
      <c r="CW149" s="564" t="str">
        <f>+CW$3</f>
        <v>2Q18E/</v>
      </c>
      <c r="CX149" s="563"/>
      <c r="CY149" s="564" t="str">
        <f>+CY$3</f>
        <v>3Q18E/</v>
      </c>
      <c r="CZ149" s="563"/>
      <c r="DA149" s="564" t="str">
        <f>+DA$3</f>
        <v>4Q18E/</v>
      </c>
      <c r="DB149" s="565"/>
      <c r="DC149" s="563"/>
      <c r="DD149" s="564" t="str">
        <f>+DD$3</f>
        <v>2005/</v>
      </c>
      <c r="DE149" s="563"/>
      <c r="DF149" s="564" t="str">
        <f>+DF$3</f>
        <v>2006/</v>
      </c>
      <c r="DG149" s="563"/>
      <c r="DH149" s="564" t="str">
        <f>+DH$3</f>
        <v>2007/</v>
      </c>
      <c r="DI149" s="563"/>
      <c r="DJ149" s="564" t="str">
        <f>+DJ$3</f>
        <v>2008/</v>
      </c>
      <c r="DK149" s="563"/>
      <c r="DL149" s="564" t="str">
        <f>+DL$3</f>
        <v>2009/</v>
      </c>
      <c r="DM149" s="563"/>
      <c r="DN149" s="564" t="str">
        <f>+DN$3</f>
        <v>2010/</v>
      </c>
      <c r="DO149" s="563"/>
      <c r="DP149" s="564" t="str">
        <f>+DP$3</f>
        <v>2011/</v>
      </c>
      <c r="DQ149" s="563"/>
      <c r="DR149" s="564" t="str">
        <f>+DR$3</f>
        <v>2012/</v>
      </c>
      <c r="DS149" s="563"/>
      <c r="DT149" s="564" t="str">
        <f>+DT$3</f>
        <v>2013/</v>
      </c>
      <c r="DU149" s="563"/>
      <c r="DV149" s="564" t="str">
        <f>+DV$3</f>
        <v>2014/</v>
      </c>
      <c r="DW149" s="563"/>
      <c r="DX149" s="564" t="str">
        <f>+DX$3</f>
        <v>2015/</v>
      </c>
      <c r="DY149" s="563"/>
      <c r="DZ149" s="564" t="str">
        <f>+DZ$3</f>
        <v>2016/</v>
      </c>
      <c r="EA149" s="563"/>
      <c r="EB149" s="564" t="str">
        <f>+EB$3</f>
        <v>2017/</v>
      </c>
      <c r="EC149" s="563"/>
      <c r="ED149" s="564" t="str">
        <f>+ED$3</f>
        <v>2018E/</v>
      </c>
      <c r="EE149" s="563"/>
      <c r="EF149" s="564" t="str">
        <f>+EF$3</f>
        <v>2019E/</v>
      </c>
      <c r="EG149" s="563"/>
      <c r="EH149" s="564" t="str">
        <f>+EH$3</f>
        <v>2020E/</v>
      </c>
      <c r="EI149" s="563"/>
      <c r="EJ149" s="564" t="str">
        <f>+EJ$3</f>
        <v>2021E/</v>
      </c>
      <c r="EK149" s="563"/>
      <c r="EL149" s="564" t="str">
        <f>+EL$3</f>
        <v>2022E/</v>
      </c>
      <c r="EM149" s="566" t="str">
        <f>+EM$3</f>
        <v>5-Yr</v>
      </c>
      <c r="EN149" s="549"/>
    </row>
    <row r="150" spans="1:144" ht="12.75" hidden="1" customHeight="1" outlineLevel="1" x14ac:dyDescent="0.2">
      <c r="A150" s="567"/>
      <c r="B150" s="568"/>
      <c r="C150" s="559" t="str">
        <f>+C$4</f>
        <v>1Q05</v>
      </c>
      <c r="D150" s="568"/>
      <c r="E150" s="559" t="str">
        <f>+E$4</f>
        <v>2Q05</v>
      </c>
      <c r="F150" s="568"/>
      <c r="G150" s="559" t="str">
        <f>+G$4</f>
        <v>3Q05</v>
      </c>
      <c r="H150" s="568"/>
      <c r="I150" s="559" t="str">
        <f>+I$4</f>
        <v>4Q05</v>
      </c>
      <c r="J150" s="568"/>
      <c r="K150" s="559" t="str">
        <f>+K$4</f>
        <v>1Q06</v>
      </c>
      <c r="L150" s="568"/>
      <c r="M150" s="559" t="str">
        <f>+M$4</f>
        <v>2Q06</v>
      </c>
      <c r="N150" s="568"/>
      <c r="O150" s="559" t="str">
        <f>+O$4</f>
        <v>3Q06</v>
      </c>
      <c r="P150" s="568"/>
      <c r="Q150" s="559" t="str">
        <f>+Q$4</f>
        <v>4Q06</v>
      </c>
      <c r="R150" s="568"/>
      <c r="S150" s="559" t="str">
        <f>+S$4</f>
        <v>1Q07</v>
      </c>
      <c r="T150" s="568"/>
      <c r="U150" s="559" t="str">
        <f>+U$4</f>
        <v>2Q07</v>
      </c>
      <c r="V150" s="568"/>
      <c r="W150" s="559" t="str">
        <f>+W$4</f>
        <v>3Q07</v>
      </c>
      <c r="X150" s="568"/>
      <c r="Y150" s="559" t="str">
        <f>+Y$4</f>
        <v>4Q07</v>
      </c>
      <c r="Z150" s="568"/>
      <c r="AA150" s="559" t="str">
        <f>+AA$4</f>
        <v>1Q08</v>
      </c>
      <c r="AB150" s="568"/>
      <c r="AC150" s="559" t="str">
        <f>+AC$4</f>
        <v>2Q08</v>
      </c>
      <c r="AD150" s="568"/>
      <c r="AE150" s="559" t="str">
        <f>+AE$4</f>
        <v>3Q08</v>
      </c>
      <c r="AF150" s="568"/>
      <c r="AG150" s="559" t="str">
        <f>+AG$4</f>
        <v>4Q08</v>
      </c>
      <c r="AH150" s="568"/>
      <c r="AI150" s="559" t="str">
        <f>+AI$4</f>
        <v>1Q09</v>
      </c>
      <c r="AJ150" s="568"/>
      <c r="AK150" s="559" t="str">
        <f>+AK$4</f>
        <v>2Q09</v>
      </c>
      <c r="AL150" s="568"/>
      <c r="AM150" s="559" t="str">
        <f>+AM$4</f>
        <v>3Q09</v>
      </c>
      <c r="AN150" s="568"/>
      <c r="AO150" s="559" t="str">
        <f>+AO$4</f>
        <v>4Q09</v>
      </c>
      <c r="AP150" s="568"/>
      <c r="AQ150" s="559" t="str">
        <f>+AQ$4</f>
        <v>1Q10</v>
      </c>
      <c r="AR150" s="568"/>
      <c r="AS150" s="559" t="str">
        <f>+AS$4</f>
        <v>2Q10</v>
      </c>
      <c r="AT150" s="568"/>
      <c r="AU150" s="559" t="str">
        <f>+AU$4</f>
        <v>3Q10</v>
      </c>
      <c r="AV150" s="568"/>
      <c r="AW150" s="559" t="str">
        <f>+AW$4</f>
        <v>4Q10</v>
      </c>
      <c r="AX150" s="568"/>
      <c r="AY150" s="559" t="str">
        <f>+AY$4</f>
        <v>1Q11</v>
      </c>
      <c r="AZ150" s="568"/>
      <c r="BA150" s="559" t="str">
        <f>+BA$4</f>
        <v>2Q11</v>
      </c>
      <c r="BB150" s="568"/>
      <c r="BC150" s="559" t="str">
        <f>+BC$4</f>
        <v>3Q11</v>
      </c>
      <c r="BD150" s="568"/>
      <c r="BE150" s="559" t="str">
        <f>+BE$4</f>
        <v>4Q11</v>
      </c>
      <c r="BF150" s="568"/>
      <c r="BG150" s="559" t="str">
        <f>+BG$4</f>
        <v>1Q12</v>
      </c>
      <c r="BH150" s="568"/>
      <c r="BI150" s="559" t="str">
        <f>+BI$4</f>
        <v>2Q12</v>
      </c>
      <c r="BJ150" s="568"/>
      <c r="BK150" s="559" t="str">
        <f>+BK$4</f>
        <v>3Q12</v>
      </c>
      <c r="BL150" s="568"/>
      <c r="BM150" s="559" t="str">
        <f>+BM$4</f>
        <v>4Q12</v>
      </c>
      <c r="BN150" s="568"/>
      <c r="BO150" s="559" t="str">
        <f>+BO$4</f>
        <v>1Q13</v>
      </c>
      <c r="BP150" s="568"/>
      <c r="BQ150" s="559" t="str">
        <f>+BQ$4</f>
        <v>2Q13</v>
      </c>
      <c r="BR150" s="568"/>
      <c r="BS150" s="559" t="str">
        <f>+BS$4</f>
        <v>3Q13</v>
      </c>
      <c r="BT150" s="568"/>
      <c r="BU150" s="559" t="str">
        <f>+BU$4</f>
        <v>4Q13</v>
      </c>
      <c r="BV150" s="568"/>
      <c r="BW150" s="559" t="str">
        <f>+BW$4</f>
        <v>1Q14</v>
      </c>
      <c r="BX150" s="568"/>
      <c r="BY150" s="559" t="str">
        <f>+BY$4</f>
        <v>2Q14</v>
      </c>
      <c r="BZ150" s="568"/>
      <c r="CA150" s="559" t="str">
        <f>+CA$4</f>
        <v>3Q14</v>
      </c>
      <c r="CB150" s="568"/>
      <c r="CC150" s="559" t="str">
        <f>+CC$4</f>
        <v>4Q14</v>
      </c>
      <c r="CD150" s="568"/>
      <c r="CE150" s="559" t="str">
        <f>+CE$4</f>
        <v>1Q15</v>
      </c>
      <c r="CF150" s="568"/>
      <c r="CG150" s="559" t="str">
        <f>+CG$4</f>
        <v>2Q15</v>
      </c>
      <c r="CH150" s="568"/>
      <c r="CI150" s="559" t="str">
        <f>+CI$4</f>
        <v>3Q15</v>
      </c>
      <c r="CJ150" s="568"/>
      <c r="CK150" s="559" t="str">
        <f>+CK$4</f>
        <v>4Q15</v>
      </c>
      <c r="CL150" s="568"/>
      <c r="CM150" s="559" t="str">
        <f>+CM$4</f>
        <v>1Q16</v>
      </c>
      <c r="CN150" s="568"/>
      <c r="CO150" s="559" t="str">
        <f>+CO$4</f>
        <v>2Q16</v>
      </c>
      <c r="CP150" s="568"/>
      <c r="CQ150" s="559" t="str">
        <f>+CQ$4</f>
        <v>3Q16</v>
      </c>
      <c r="CR150" s="568"/>
      <c r="CS150" s="559" t="str">
        <f>+CS$4</f>
        <v>4Q16</v>
      </c>
      <c r="CT150" s="568"/>
      <c r="CU150" s="559" t="str">
        <f>+CU$4</f>
        <v>1Q17</v>
      </c>
      <c r="CV150" s="568"/>
      <c r="CW150" s="559" t="str">
        <f>+CW$4</f>
        <v>2Q17</v>
      </c>
      <c r="CX150" s="568"/>
      <c r="CY150" s="559" t="str">
        <f>+CY$4</f>
        <v>3Q17</v>
      </c>
      <c r="CZ150" s="568"/>
      <c r="DA150" s="559" t="str">
        <f>+DA$4</f>
        <v>4Q17</v>
      </c>
      <c r="DB150" s="560"/>
      <c r="DC150" s="568"/>
      <c r="DD150" s="568">
        <f>+DD$4</f>
        <v>2004</v>
      </c>
      <c r="DE150" s="568"/>
      <c r="DF150" s="559" t="str">
        <f>+DF$4</f>
        <v>2005</v>
      </c>
      <c r="DG150" s="568"/>
      <c r="DH150" s="559" t="str">
        <f>+DH$4</f>
        <v>2006</v>
      </c>
      <c r="DI150" s="568"/>
      <c r="DJ150" s="569">
        <f>+DJ$4</f>
        <v>2007</v>
      </c>
      <c r="DK150" s="568"/>
      <c r="DL150" s="559" t="str">
        <f>+DL$4</f>
        <v>2008</v>
      </c>
      <c r="DM150" s="568"/>
      <c r="DN150" s="559" t="str">
        <f>+DN$4</f>
        <v>2009</v>
      </c>
      <c r="DO150" s="568"/>
      <c r="DP150" s="559" t="str">
        <f>+DP$4</f>
        <v>2010</v>
      </c>
      <c r="DQ150" s="568"/>
      <c r="DR150" s="559" t="str">
        <f>+DR$4</f>
        <v>2011</v>
      </c>
      <c r="DS150" s="568"/>
      <c r="DT150" s="559" t="str">
        <f>+DT$4</f>
        <v>2012</v>
      </c>
      <c r="DU150" s="568"/>
      <c r="DV150" s="559" t="str">
        <f>+DV$4</f>
        <v>2013</v>
      </c>
      <c r="DW150" s="568"/>
      <c r="DX150" s="559">
        <f>+DX$4</f>
        <v>2014</v>
      </c>
      <c r="DY150" s="568"/>
      <c r="DZ150" s="559" t="str">
        <f>+DZ$4</f>
        <v>2015</v>
      </c>
      <c r="EA150" s="568"/>
      <c r="EB150" s="559">
        <f>+EB$4</f>
        <v>2016</v>
      </c>
      <c r="EC150" s="568"/>
      <c r="ED150" s="559">
        <f>+ED$4</f>
        <v>2017</v>
      </c>
      <c r="EE150" s="568"/>
      <c r="EF150" s="559" t="str">
        <f>+EF$4</f>
        <v>2018E</v>
      </c>
      <c r="EG150" s="568"/>
      <c r="EH150" s="559" t="str">
        <f>+EH$4</f>
        <v>2019E</v>
      </c>
      <c r="EI150" s="568"/>
      <c r="EJ150" s="559" t="str">
        <f>+EJ$4</f>
        <v>2020E</v>
      </c>
      <c r="EK150" s="568"/>
      <c r="EL150" s="559" t="str">
        <f>+EL$4</f>
        <v>2021E</v>
      </c>
      <c r="EM150" s="558" t="str">
        <f>+EM$4</f>
        <v>CAGR</v>
      </c>
      <c r="EN150" s="549"/>
    </row>
    <row r="151" spans="1:144" ht="12.75" hidden="1" customHeight="1" outlineLevel="1" x14ac:dyDescent="0.2">
      <c r="A151" s="570"/>
      <c r="B151" s="571" t="str">
        <f t="shared" ref="B151:CL151" si="219">+B$5</f>
        <v>1Q06</v>
      </c>
      <c r="C151" s="572" t="str">
        <f t="shared" si="219"/>
        <v>% Chg</v>
      </c>
      <c r="D151" s="571" t="str">
        <f t="shared" si="219"/>
        <v>2Q06</v>
      </c>
      <c r="E151" s="572" t="str">
        <f t="shared" si="219"/>
        <v>% Chg</v>
      </c>
      <c r="F151" s="571" t="str">
        <f t="shared" si="219"/>
        <v>3Q06</v>
      </c>
      <c r="G151" s="572" t="str">
        <f t="shared" si="219"/>
        <v>% Chg</v>
      </c>
      <c r="H151" s="571" t="str">
        <f t="shared" si="219"/>
        <v>4Q06</v>
      </c>
      <c r="I151" s="572" t="str">
        <f t="shared" si="219"/>
        <v>% Chg</v>
      </c>
      <c r="J151" s="571" t="str">
        <f t="shared" si="219"/>
        <v>1Q07</v>
      </c>
      <c r="K151" s="572" t="str">
        <f t="shared" si="219"/>
        <v>% Chg</v>
      </c>
      <c r="L151" s="571" t="str">
        <f t="shared" si="219"/>
        <v>2Q07</v>
      </c>
      <c r="M151" s="572" t="str">
        <f t="shared" si="219"/>
        <v>% Chg</v>
      </c>
      <c r="N151" s="571" t="str">
        <f t="shared" si="219"/>
        <v>3Q07</v>
      </c>
      <c r="O151" s="572" t="str">
        <f t="shared" si="219"/>
        <v>% Chg</v>
      </c>
      <c r="P151" s="571" t="str">
        <f t="shared" si="219"/>
        <v>4Q07</v>
      </c>
      <c r="Q151" s="572" t="str">
        <f t="shared" si="219"/>
        <v>% Chg</v>
      </c>
      <c r="R151" s="571" t="str">
        <f t="shared" si="219"/>
        <v>1Q08</v>
      </c>
      <c r="S151" s="572" t="str">
        <f t="shared" si="219"/>
        <v>% Chg</v>
      </c>
      <c r="T151" s="571" t="str">
        <f t="shared" si="219"/>
        <v>2Q08</v>
      </c>
      <c r="U151" s="572" t="str">
        <f t="shared" si="219"/>
        <v>% Chg</v>
      </c>
      <c r="V151" s="571" t="str">
        <f t="shared" si="219"/>
        <v>3Q08</v>
      </c>
      <c r="W151" s="572" t="str">
        <f t="shared" si="219"/>
        <v>% Chg</v>
      </c>
      <c r="X151" s="571" t="str">
        <f t="shared" si="219"/>
        <v>4Q08</v>
      </c>
      <c r="Y151" s="572" t="str">
        <f t="shared" si="219"/>
        <v>% Chg</v>
      </c>
      <c r="Z151" s="571" t="str">
        <f t="shared" si="219"/>
        <v>1Q09</v>
      </c>
      <c r="AA151" s="572" t="str">
        <f t="shared" si="219"/>
        <v>% Chg</v>
      </c>
      <c r="AB151" s="571" t="str">
        <f t="shared" si="219"/>
        <v>2Q09</v>
      </c>
      <c r="AC151" s="572" t="str">
        <f t="shared" si="219"/>
        <v>% Chg</v>
      </c>
      <c r="AD151" s="571" t="str">
        <f t="shared" si="219"/>
        <v>3Q09</v>
      </c>
      <c r="AE151" s="572" t="str">
        <f t="shared" si="219"/>
        <v>% Chg</v>
      </c>
      <c r="AF151" s="571" t="str">
        <f t="shared" si="219"/>
        <v>4Q09</v>
      </c>
      <c r="AG151" s="572" t="str">
        <f t="shared" si="219"/>
        <v>% Chg</v>
      </c>
      <c r="AH151" s="571" t="str">
        <f t="shared" si="219"/>
        <v>1Q10</v>
      </c>
      <c r="AI151" s="572" t="str">
        <f t="shared" si="219"/>
        <v>% Chg</v>
      </c>
      <c r="AJ151" s="571" t="str">
        <f t="shared" si="219"/>
        <v>2Q10</v>
      </c>
      <c r="AK151" s="572" t="str">
        <f t="shared" si="219"/>
        <v>% Chg</v>
      </c>
      <c r="AL151" s="571" t="str">
        <f t="shared" si="219"/>
        <v>3Q10</v>
      </c>
      <c r="AM151" s="572" t="str">
        <f t="shared" si="219"/>
        <v>% Chg</v>
      </c>
      <c r="AN151" s="571" t="str">
        <f t="shared" si="219"/>
        <v>4Q10</v>
      </c>
      <c r="AO151" s="572" t="str">
        <f t="shared" si="219"/>
        <v>% Chg</v>
      </c>
      <c r="AP151" s="571" t="str">
        <f t="shared" si="219"/>
        <v>1Q11</v>
      </c>
      <c r="AQ151" s="572" t="str">
        <f t="shared" si="219"/>
        <v>% Chg</v>
      </c>
      <c r="AR151" s="571" t="str">
        <f t="shared" si="219"/>
        <v>2Q11</v>
      </c>
      <c r="AS151" s="572" t="str">
        <f t="shared" si="219"/>
        <v>% Chg</v>
      </c>
      <c r="AT151" s="571" t="str">
        <f t="shared" si="219"/>
        <v>3Q11</v>
      </c>
      <c r="AU151" s="572" t="str">
        <f t="shared" si="219"/>
        <v>% Chg</v>
      </c>
      <c r="AV151" s="571" t="str">
        <f t="shared" si="219"/>
        <v>4Q11</v>
      </c>
      <c r="AW151" s="572" t="str">
        <f t="shared" si="219"/>
        <v>% Chg</v>
      </c>
      <c r="AX151" s="571" t="str">
        <f t="shared" si="219"/>
        <v>1Q12</v>
      </c>
      <c r="AY151" s="572" t="str">
        <f t="shared" si="219"/>
        <v>% Chg</v>
      </c>
      <c r="AZ151" s="571" t="str">
        <f t="shared" si="219"/>
        <v>2Q12</v>
      </c>
      <c r="BA151" s="572" t="str">
        <f t="shared" si="219"/>
        <v>% Chg</v>
      </c>
      <c r="BB151" s="571" t="str">
        <f t="shared" si="219"/>
        <v>3Q12</v>
      </c>
      <c r="BC151" s="572" t="str">
        <f t="shared" si="219"/>
        <v>% Chg</v>
      </c>
      <c r="BD151" s="571" t="str">
        <f t="shared" si="219"/>
        <v>4Q12</v>
      </c>
      <c r="BE151" s="572" t="str">
        <f t="shared" si="219"/>
        <v>% Chg</v>
      </c>
      <c r="BF151" s="571" t="str">
        <f t="shared" si="219"/>
        <v>1Q13</v>
      </c>
      <c r="BG151" s="572" t="str">
        <f t="shared" si="219"/>
        <v>% Chg</v>
      </c>
      <c r="BH151" s="571" t="str">
        <f t="shared" si="219"/>
        <v>2Q13</v>
      </c>
      <c r="BI151" s="572" t="str">
        <f t="shared" si="219"/>
        <v>% Chg</v>
      </c>
      <c r="BJ151" s="571" t="str">
        <f t="shared" si="219"/>
        <v>3Q13</v>
      </c>
      <c r="BK151" s="572" t="str">
        <f t="shared" si="219"/>
        <v>% Chg</v>
      </c>
      <c r="BL151" s="571" t="str">
        <f t="shared" si="219"/>
        <v>4Q13</v>
      </c>
      <c r="BM151" s="572" t="str">
        <f t="shared" si="219"/>
        <v>% Chg</v>
      </c>
      <c r="BN151" s="571" t="str">
        <f t="shared" si="219"/>
        <v>1Q14</v>
      </c>
      <c r="BO151" s="572" t="str">
        <f t="shared" ref="BO151:DA151" si="220">+BO$5</f>
        <v>% Chg</v>
      </c>
      <c r="BP151" s="571" t="str">
        <f t="shared" si="219"/>
        <v>2Q14</v>
      </c>
      <c r="BQ151" s="572" t="str">
        <f t="shared" si="220"/>
        <v>% Chg</v>
      </c>
      <c r="BR151" s="571" t="str">
        <f t="shared" si="219"/>
        <v>3Q14</v>
      </c>
      <c r="BS151" s="572" t="str">
        <f t="shared" si="220"/>
        <v>% Chg</v>
      </c>
      <c r="BT151" s="571" t="str">
        <f t="shared" si="219"/>
        <v>4Q14</v>
      </c>
      <c r="BU151" s="572" t="str">
        <f t="shared" si="220"/>
        <v>% Chg</v>
      </c>
      <c r="BV151" s="571" t="str">
        <f t="shared" si="219"/>
        <v>1Q15</v>
      </c>
      <c r="BW151" s="572" t="str">
        <f t="shared" si="220"/>
        <v>% Chg</v>
      </c>
      <c r="BX151" s="571" t="str">
        <f t="shared" si="219"/>
        <v>2Q15</v>
      </c>
      <c r="BY151" s="572" t="str">
        <f t="shared" si="220"/>
        <v>% Chg</v>
      </c>
      <c r="BZ151" s="571" t="str">
        <f t="shared" si="219"/>
        <v>3Q15</v>
      </c>
      <c r="CA151" s="572" t="str">
        <f t="shared" si="220"/>
        <v>% Chg</v>
      </c>
      <c r="CB151" s="571" t="str">
        <f t="shared" si="219"/>
        <v>4Q15</v>
      </c>
      <c r="CC151" s="572" t="str">
        <f t="shared" si="220"/>
        <v>% Chg</v>
      </c>
      <c r="CD151" s="571" t="str">
        <f t="shared" si="219"/>
        <v>1Q16</v>
      </c>
      <c r="CE151" s="572" t="str">
        <f t="shared" si="220"/>
        <v>% Chg</v>
      </c>
      <c r="CF151" s="571" t="str">
        <f t="shared" si="219"/>
        <v>2Q16</v>
      </c>
      <c r="CG151" s="572" t="str">
        <f t="shared" si="220"/>
        <v>% Chg</v>
      </c>
      <c r="CH151" s="571" t="str">
        <f t="shared" si="219"/>
        <v>3Q16</v>
      </c>
      <c r="CI151" s="572" t="str">
        <f t="shared" si="220"/>
        <v>% Chg</v>
      </c>
      <c r="CJ151" s="571" t="str">
        <f t="shared" si="219"/>
        <v>4Q16</v>
      </c>
      <c r="CK151" s="572" t="str">
        <f t="shared" si="220"/>
        <v>% Chg</v>
      </c>
      <c r="CL151" s="571" t="str">
        <f t="shared" si="219"/>
        <v>1Q17</v>
      </c>
      <c r="CM151" s="572" t="str">
        <f t="shared" si="220"/>
        <v>% Chg</v>
      </c>
      <c r="CN151" s="571" t="str">
        <f t="shared" si="220"/>
        <v>2Q17</v>
      </c>
      <c r="CO151" s="572" t="str">
        <f t="shared" si="220"/>
        <v>% Chg</v>
      </c>
      <c r="CP151" s="571" t="str">
        <f t="shared" si="220"/>
        <v>3Q17</v>
      </c>
      <c r="CQ151" s="572" t="str">
        <f t="shared" si="220"/>
        <v>% Chg</v>
      </c>
      <c r="CR151" s="571" t="str">
        <f t="shared" si="220"/>
        <v>4Q17</v>
      </c>
      <c r="CS151" s="572" t="str">
        <f t="shared" si="220"/>
        <v>% Chg</v>
      </c>
      <c r="CT151" s="571" t="str">
        <f t="shared" si="220"/>
        <v>1Q18E</v>
      </c>
      <c r="CU151" s="572" t="str">
        <f t="shared" si="220"/>
        <v>% Chg</v>
      </c>
      <c r="CV151" s="571" t="str">
        <f t="shared" si="220"/>
        <v>2Q18E</v>
      </c>
      <c r="CW151" s="572" t="str">
        <f t="shared" si="220"/>
        <v>% Chg</v>
      </c>
      <c r="CX151" s="571" t="str">
        <f t="shared" si="220"/>
        <v>3Q18E</v>
      </c>
      <c r="CY151" s="572" t="str">
        <f t="shared" si="220"/>
        <v>% Chg</v>
      </c>
      <c r="CZ151" s="571" t="str">
        <f t="shared" si="220"/>
        <v>4Q18E</v>
      </c>
      <c r="DA151" s="572" t="str">
        <f t="shared" si="220"/>
        <v>% Chg</v>
      </c>
      <c r="DB151" s="573"/>
      <c r="DC151" s="571" t="str">
        <f t="shared" ref="DC151:EM151" si="221">+DC$5</f>
        <v>2005</v>
      </c>
      <c r="DD151" s="572" t="str">
        <f t="shared" si="221"/>
        <v>% Chg</v>
      </c>
      <c r="DE151" s="571" t="str">
        <f t="shared" si="221"/>
        <v>2006</v>
      </c>
      <c r="DF151" s="572" t="str">
        <f t="shared" si="221"/>
        <v>% Chg</v>
      </c>
      <c r="DG151" s="571">
        <f t="shared" si="221"/>
        <v>2007</v>
      </c>
      <c r="DH151" s="572" t="str">
        <f t="shared" si="221"/>
        <v>% Chg</v>
      </c>
      <c r="DI151" s="571" t="str">
        <f t="shared" si="221"/>
        <v>2008</v>
      </c>
      <c r="DJ151" s="572" t="str">
        <f t="shared" si="221"/>
        <v>% Chg</v>
      </c>
      <c r="DK151" s="571" t="str">
        <f t="shared" si="221"/>
        <v>2009</v>
      </c>
      <c r="DL151" s="572" t="str">
        <f t="shared" si="221"/>
        <v>% Chg</v>
      </c>
      <c r="DM151" s="571" t="str">
        <f t="shared" si="221"/>
        <v>2010</v>
      </c>
      <c r="DN151" s="572" t="str">
        <f t="shared" si="221"/>
        <v>% Chg</v>
      </c>
      <c r="DO151" s="571" t="str">
        <f t="shared" si="221"/>
        <v>2011</v>
      </c>
      <c r="DP151" s="572" t="str">
        <f t="shared" si="221"/>
        <v>% Chg</v>
      </c>
      <c r="DQ151" s="571" t="str">
        <f t="shared" si="221"/>
        <v>2012</v>
      </c>
      <c r="DR151" s="572" t="str">
        <f t="shared" si="221"/>
        <v>% Chg</v>
      </c>
      <c r="DS151" s="571" t="str">
        <f t="shared" si="221"/>
        <v>2013</v>
      </c>
      <c r="DT151" s="572" t="str">
        <f t="shared" si="221"/>
        <v>% Chg</v>
      </c>
      <c r="DU151" s="571">
        <f t="shared" si="221"/>
        <v>2014</v>
      </c>
      <c r="DV151" s="572" t="str">
        <f t="shared" si="221"/>
        <v>% Chg</v>
      </c>
      <c r="DW151" s="571" t="str">
        <f t="shared" si="221"/>
        <v>2015</v>
      </c>
      <c r="DX151" s="572" t="str">
        <f t="shared" si="221"/>
        <v>% Chg</v>
      </c>
      <c r="DY151" s="571">
        <f t="shared" si="221"/>
        <v>2016</v>
      </c>
      <c r="DZ151" s="572" t="str">
        <f t="shared" si="221"/>
        <v>% Chg</v>
      </c>
      <c r="EA151" s="571">
        <f t="shared" si="221"/>
        <v>2017</v>
      </c>
      <c r="EB151" s="572" t="str">
        <f t="shared" si="221"/>
        <v>% Chg</v>
      </c>
      <c r="EC151" s="571" t="str">
        <f t="shared" si="221"/>
        <v>2018E</v>
      </c>
      <c r="ED151" s="572" t="str">
        <f t="shared" si="221"/>
        <v>% Chg</v>
      </c>
      <c r="EE151" s="571" t="str">
        <f t="shared" si="221"/>
        <v>2019E</v>
      </c>
      <c r="EF151" s="572" t="str">
        <f t="shared" si="221"/>
        <v>% Chg</v>
      </c>
      <c r="EG151" s="571" t="str">
        <f t="shared" si="221"/>
        <v>2020E</v>
      </c>
      <c r="EH151" s="572" t="str">
        <f t="shared" si="221"/>
        <v>% Chg</v>
      </c>
      <c r="EI151" s="571" t="str">
        <f t="shared" si="221"/>
        <v>2021E</v>
      </c>
      <c r="EJ151" s="572" t="str">
        <f t="shared" si="221"/>
        <v>% Chg</v>
      </c>
      <c r="EK151" s="571" t="str">
        <f t="shared" si="221"/>
        <v>2022E</v>
      </c>
      <c r="EL151" s="572" t="str">
        <f t="shared" si="221"/>
        <v>% Chg</v>
      </c>
      <c r="EM151" s="574" t="str">
        <f t="shared" si="221"/>
        <v>(%)</v>
      </c>
      <c r="EN151" s="549"/>
    </row>
    <row r="152" spans="1:144" ht="12.75" hidden="1" customHeight="1" outlineLevel="1" x14ac:dyDescent="0.2">
      <c r="A152" s="575"/>
      <c r="B152" s="576"/>
      <c r="C152" s="577"/>
      <c r="D152" s="576"/>
      <c r="E152" s="577"/>
      <c r="F152" s="576"/>
      <c r="G152" s="577"/>
      <c r="H152" s="576"/>
      <c r="I152" s="577"/>
      <c r="J152" s="576"/>
      <c r="K152" s="577"/>
      <c r="L152" s="576"/>
      <c r="M152" s="577"/>
      <c r="N152" s="576"/>
      <c r="O152" s="577"/>
      <c r="P152" s="576"/>
      <c r="Q152" s="577"/>
      <c r="R152" s="576"/>
      <c r="S152" s="577"/>
      <c r="T152" s="576"/>
      <c r="U152" s="577"/>
      <c r="V152" s="576"/>
      <c r="W152" s="577"/>
      <c r="X152" s="576"/>
      <c r="Y152" s="577"/>
      <c r="Z152" s="576"/>
      <c r="AA152" s="577"/>
      <c r="AB152" s="576"/>
      <c r="AC152" s="577"/>
      <c r="AD152" s="576"/>
      <c r="AE152" s="577"/>
      <c r="AF152" s="576"/>
      <c r="AG152" s="577"/>
      <c r="AH152" s="576"/>
      <c r="AI152" s="577"/>
      <c r="AJ152" s="576"/>
      <c r="AK152" s="577"/>
      <c r="AL152" s="576"/>
      <c r="AM152" s="577"/>
      <c r="AN152" s="576"/>
      <c r="AO152" s="577"/>
      <c r="AP152" s="576"/>
      <c r="AQ152" s="577"/>
      <c r="AR152" s="576"/>
      <c r="AS152" s="577"/>
      <c r="AT152" s="576"/>
      <c r="AU152" s="577"/>
      <c r="AV152" s="576"/>
      <c r="AW152" s="577"/>
      <c r="AX152" s="576"/>
      <c r="AY152" s="577"/>
      <c r="AZ152" s="576"/>
      <c r="BA152" s="577"/>
      <c r="BB152" s="576"/>
      <c r="BC152" s="577"/>
      <c r="BD152" s="576"/>
      <c r="BE152" s="577"/>
      <c r="BF152" s="576"/>
      <c r="BG152" s="577"/>
      <c r="BH152" s="576"/>
      <c r="BI152" s="577"/>
      <c r="BJ152" s="576"/>
      <c r="BK152" s="577"/>
      <c r="BL152" s="576"/>
      <c r="BM152" s="577"/>
      <c r="BN152" s="576"/>
      <c r="BO152" s="577"/>
      <c r="BP152" s="576"/>
      <c r="BQ152" s="577"/>
      <c r="BR152" s="576"/>
      <c r="BS152" s="577"/>
      <c r="BT152" s="576"/>
      <c r="BU152" s="577"/>
      <c r="BV152" s="576"/>
      <c r="BW152" s="577"/>
      <c r="BX152" s="576"/>
      <c r="BY152" s="577"/>
      <c r="BZ152" s="576"/>
      <c r="CA152" s="577"/>
      <c r="CB152" s="576"/>
      <c r="CC152" s="577"/>
      <c r="CD152" s="576"/>
      <c r="CE152" s="577"/>
      <c r="CF152" s="576"/>
      <c r="CG152" s="577"/>
      <c r="CH152" s="576"/>
      <c r="CI152" s="577"/>
      <c r="CJ152" s="576"/>
      <c r="CK152" s="577"/>
      <c r="CL152" s="576"/>
      <c r="CM152" s="577"/>
      <c r="CN152" s="576"/>
      <c r="CO152" s="577"/>
      <c r="CP152" s="576"/>
      <c r="CQ152" s="577"/>
      <c r="CR152" s="576"/>
      <c r="CS152" s="577"/>
      <c r="CT152" s="576"/>
      <c r="CU152" s="577"/>
      <c r="CV152" s="576"/>
      <c r="CW152" s="577"/>
      <c r="CX152" s="576"/>
      <c r="CY152" s="577"/>
      <c r="CZ152" s="576"/>
      <c r="DA152" s="577"/>
      <c r="DB152" s="578"/>
      <c r="DC152" s="576"/>
      <c r="DD152" s="577"/>
      <c r="DE152" s="576"/>
      <c r="DF152" s="577"/>
      <c r="DG152" s="576"/>
      <c r="DH152" s="577"/>
      <c r="DI152" s="576"/>
      <c r="DJ152" s="577"/>
      <c r="DK152" s="576"/>
      <c r="DL152" s="577"/>
      <c r="DM152" s="576"/>
      <c r="DN152" s="577"/>
      <c r="DO152" s="576"/>
      <c r="DP152" s="577"/>
      <c r="DQ152" s="576"/>
      <c r="DR152" s="577"/>
      <c r="DS152" s="576"/>
      <c r="DT152" s="577"/>
      <c r="DU152" s="576"/>
      <c r="DV152" s="577"/>
      <c r="DW152" s="576"/>
      <c r="DX152" s="577"/>
      <c r="DY152" s="576"/>
      <c r="DZ152" s="577"/>
      <c r="EA152" s="576"/>
      <c r="EB152" s="577"/>
      <c r="EC152" s="576"/>
      <c r="ED152" s="577"/>
      <c r="EE152" s="576"/>
      <c r="EF152" s="577"/>
      <c r="EG152" s="576"/>
      <c r="EH152" s="577"/>
      <c r="EI152" s="576"/>
      <c r="EJ152" s="577"/>
      <c r="EK152" s="576"/>
      <c r="EL152" s="577"/>
      <c r="EM152" s="577"/>
    </row>
    <row r="153" spans="1:144" ht="12.75" hidden="1" customHeight="1" outlineLevel="1" x14ac:dyDescent="0.2">
      <c r="A153" s="575" t="s">
        <v>409</v>
      </c>
      <c r="B153" s="580"/>
      <c r="C153" s="577"/>
      <c r="D153" s="580"/>
      <c r="E153" s="577"/>
      <c r="F153" s="580"/>
      <c r="G153" s="577"/>
      <c r="H153" s="580"/>
      <c r="I153" s="577"/>
      <c r="J153" s="580"/>
      <c r="K153" s="577"/>
      <c r="L153" s="580"/>
      <c r="M153" s="577"/>
      <c r="N153" s="580"/>
      <c r="O153" s="577"/>
      <c r="P153" s="580"/>
      <c r="Q153" s="577"/>
      <c r="R153" s="580"/>
      <c r="S153" s="577"/>
      <c r="T153" s="580"/>
      <c r="U153" s="577"/>
      <c r="V153" s="580"/>
      <c r="W153" s="577"/>
      <c r="X153" s="580"/>
      <c r="Y153" s="577"/>
      <c r="Z153" s="580"/>
      <c r="AA153" s="577"/>
      <c r="AB153" s="580"/>
      <c r="AC153" s="577"/>
      <c r="AD153" s="580"/>
      <c r="AE153" s="577"/>
      <c r="AF153" s="580"/>
      <c r="AG153" s="577"/>
      <c r="AH153" s="580"/>
      <c r="AI153" s="577"/>
      <c r="AJ153" s="580"/>
      <c r="AK153" s="577"/>
      <c r="AL153" s="580"/>
      <c r="AM153" s="577"/>
      <c r="AN153" s="580"/>
      <c r="AO153" s="577"/>
      <c r="AP153" s="580"/>
      <c r="AQ153" s="577"/>
      <c r="AR153" s="580"/>
      <c r="AS153" s="577"/>
      <c r="AT153" s="580"/>
      <c r="AU153" s="577"/>
      <c r="AV153" s="580"/>
      <c r="AW153" s="577"/>
      <c r="AX153" s="580"/>
      <c r="AY153" s="577"/>
      <c r="AZ153" s="580"/>
      <c r="BA153" s="577"/>
      <c r="BB153" s="580"/>
      <c r="BC153" s="577"/>
      <c r="BD153" s="580"/>
      <c r="BE153" s="577"/>
      <c r="BF153" s="580"/>
      <c r="BG153" s="577"/>
      <c r="BH153" s="580"/>
      <c r="BI153" s="577"/>
      <c r="BJ153" s="580"/>
      <c r="BK153" s="577"/>
      <c r="BL153" s="580"/>
      <c r="BM153" s="577"/>
      <c r="BN153" s="580"/>
      <c r="BO153" s="577"/>
      <c r="BP153" s="580"/>
      <c r="BQ153" s="577"/>
      <c r="BR153" s="580"/>
      <c r="BS153" s="577"/>
      <c r="BT153" s="580"/>
      <c r="BU153" s="577"/>
      <c r="BV153" s="580"/>
      <c r="BW153" s="577"/>
      <c r="BX153" s="580"/>
      <c r="BY153" s="577"/>
      <c r="BZ153" s="580"/>
      <c r="CA153" s="577"/>
      <c r="CB153" s="580"/>
      <c r="CC153" s="577"/>
      <c r="CD153" s="580"/>
      <c r="CE153" s="577"/>
      <c r="CF153" s="580"/>
      <c r="CG153" s="577"/>
      <c r="CH153" s="580"/>
      <c r="CI153" s="577"/>
      <c r="CJ153" s="580"/>
      <c r="CK153" s="577"/>
      <c r="CL153" s="580"/>
      <c r="CM153" s="577"/>
      <c r="CN153" s="580"/>
      <c r="CO153" s="577"/>
      <c r="CP153" s="580"/>
      <c r="CQ153" s="577"/>
      <c r="CR153" s="580"/>
      <c r="CS153" s="577"/>
      <c r="CT153" s="580"/>
      <c r="CU153" s="577"/>
      <c r="CV153" s="580"/>
      <c r="CW153" s="577"/>
      <c r="CX153" s="580"/>
      <c r="CY153" s="577"/>
      <c r="CZ153" s="580"/>
      <c r="DA153" s="577"/>
      <c r="DB153" s="587"/>
      <c r="DC153" s="580"/>
      <c r="DD153" s="577"/>
      <c r="DE153" s="580"/>
      <c r="DF153" s="577"/>
      <c r="DG153" s="580"/>
      <c r="DH153" s="577"/>
      <c r="DI153" s="580"/>
      <c r="DJ153" s="577"/>
      <c r="DK153" s="580"/>
      <c r="DL153" s="577"/>
      <c r="DM153" s="580"/>
      <c r="DN153" s="577"/>
      <c r="DO153" s="580"/>
      <c r="DP153" s="577"/>
      <c r="DQ153" s="580"/>
      <c r="DR153" s="577"/>
      <c r="DS153" s="580"/>
      <c r="DT153" s="577"/>
      <c r="DU153" s="580"/>
      <c r="DV153" s="577"/>
      <c r="DW153" s="580"/>
      <c r="DX153" s="577"/>
      <c r="DY153" s="580"/>
      <c r="DZ153" s="577"/>
      <c r="EA153" s="580"/>
      <c r="EB153" s="577"/>
      <c r="EC153" s="580"/>
      <c r="ED153" s="577"/>
      <c r="EE153" s="580"/>
      <c r="EF153" s="577"/>
      <c r="EG153" s="580"/>
      <c r="EH153" s="577"/>
      <c r="EI153" s="580"/>
      <c r="EJ153" s="577"/>
      <c r="EK153" s="580"/>
      <c r="EL153" s="577"/>
      <c r="EM153" s="577"/>
    </row>
    <row r="154" spans="1:144" ht="12.75" hidden="1" customHeight="1" outlineLevel="1" x14ac:dyDescent="0.2">
      <c r="A154" s="579" t="str">
        <f>+INPUT!B29</f>
        <v>Beginning Reserves</v>
      </c>
      <c r="B154" s="580">
        <f>+INPUT!AY29</f>
        <v>50778</v>
      </c>
      <c r="C154" s="577">
        <f>+INPUT!AZ29</f>
        <v>7.0859167404782966</v>
      </c>
      <c r="D154" s="580">
        <f>+INPUT!BA29</f>
        <v>53181</v>
      </c>
      <c r="E154" s="577">
        <f>+INPUT!BB29</f>
        <v>14.648816453240215</v>
      </c>
      <c r="F154" s="580">
        <f>+INPUT!BC29</f>
        <v>68807</v>
      </c>
      <c r="G154" s="577">
        <f>+INPUT!BD29</f>
        <v>45.1563225180372</v>
      </c>
      <c r="H154" s="580">
        <f>+INPUT!BE29</f>
        <v>70555</v>
      </c>
      <c r="I154" s="577">
        <f>+INPUT!BF29</f>
        <v>42.581440465605027</v>
      </c>
      <c r="J154" s="580">
        <f>+INPUT!BG29</f>
        <v>74555</v>
      </c>
      <c r="K154" s="577">
        <f>+INPUT!BH29</f>
        <v>46.825396825396808</v>
      </c>
      <c r="L154" s="580">
        <f>+INPUT!BI29</f>
        <v>75591</v>
      </c>
      <c r="M154" s="577">
        <f>+INPUT!BJ29</f>
        <v>42.139109832458956</v>
      </c>
      <c r="N154" s="580">
        <f>+INPUT!BK29</f>
        <v>78968</v>
      </c>
      <c r="O154" s="577">
        <f>+INPUT!BL29</f>
        <v>14.767392852471389</v>
      </c>
      <c r="P154" s="580">
        <f>+INPUT!BM29</f>
        <v>81173</v>
      </c>
      <c r="Q154" s="577">
        <f>+INPUT!BN29</f>
        <v>15.04925235631778</v>
      </c>
      <c r="R154" s="580">
        <f>+INPUT!BO29</f>
        <v>80330</v>
      </c>
      <c r="S154" s="577">
        <f>+INPUT!BP29</f>
        <v>7.7459593588625779</v>
      </c>
      <c r="T154" s="580">
        <f>+INPUT!BQ29</f>
        <v>74977</v>
      </c>
      <c r="U154" s="577">
        <f>+INPUT!BR29</f>
        <v>-0.81226601050389036</v>
      </c>
      <c r="V154" s="580">
        <f>+INPUT!BS29</f>
        <v>74707</v>
      </c>
      <c r="W154" s="577">
        <f>+INPUT!BT29</f>
        <v>-5.3958565494883999</v>
      </c>
      <c r="X154" s="580">
        <f>+INPUT!BU29</f>
        <v>67968</v>
      </c>
      <c r="Y154" s="577">
        <f>+INPUT!BV29</f>
        <v>-16.267724489670215</v>
      </c>
      <c r="Z154" s="580">
        <f>+INPUT!BW29</f>
        <v>60007</v>
      </c>
      <c r="AA154" s="577">
        <f>+INPUT!BX29</f>
        <v>-25.299390016183239</v>
      </c>
      <c r="AB154" s="580">
        <f>+INPUT!BY29</f>
        <v>57942</v>
      </c>
      <c r="AC154" s="577">
        <f>+INPUT!BZ29</f>
        <v>-22.720300892273627</v>
      </c>
      <c r="AD154" s="580">
        <f>+INPUT!CA29</f>
        <v>65099</v>
      </c>
      <c r="AE154" s="577">
        <f>+INPUT!CB29</f>
        <v>-12.860909954890445</v>
      </c>
      <c r="AF154" s="580">
        <f>+INPUT!CC29</f>
        <v>75611</v>
      </c>
      <c r="AG154" s="577">
        <f>+INPUT!CD29</f>
        <v>11.244997645951031</v>
      </c>
      <c r="AH154" s="580">
        <f>+INPUT!CE29</f>
        <v>80519</v>
      </c>
      <c r="AI154" s="577">
        <f>+INPUT!CF29</f>
        <v>34.182678687486458</v>
      </c>
      <c r="AJ154" s="580">
        <f>+INPUT!CG29</f>
        <v>85379</v>
      </c>
      <c r="AK154" s="577">
        <f>+INPUT!CH29</f>
        <v>47.352524938731847</v>
      </c>
      <c r="AL154" s="580">
        <f>+INPUT!CI29</f>
        <v>83593</v>
      </c>
      <c r="AM154" s="577">
        <f>+INPUT!CJ29</f>
        <v>28.409038541298628</v>
      </c>
      <c r="AN154" s="580">
        <f>+INPUT!CK29</f>
        <v>93375</v>
      </c>
      <c r="AO154" s="577">
        <f>+INPUT!CL29</f>
        <v>23.493936067503412</v>
      </c>
      <c r="AP154" s="580">
        <f>+INPUT!CM29</f>
        <v>102348</v>
      </c>
      <c r="AQ154" s="577">
        <f>+INPUT!CN29</f>
        <v>27.110371465120025</v>
      </c>
      <c r="AR154" s="580">
        <f>+INPUT!CO29</f>
        <v>109969</v>
      </c>
      <c r="AS154" s="577">
        <f>+INPUT!CP29</f>
        <v>28.800993218472939</v>
      </c>
      <c r="AT154" s="580">
        <f>+INPUT!CQ29</f>
        <v>112202</v>
      </c>
      <c r="AU154" s="577">
        <f>+INPUT!CR29</f>
        <v>34.224157525151611</v>
      </c>
      <c r="AV154" s="580">
        <f>+INPUT!CS29</f>
        <v>102879</v>
      </c>
      <c r="AW154" s="577">
        <f>+INPUT!CT29</f>
        <v>10.178313253012035</v>
      </c>
      <c r="AX154" s="580">
        <f>+INPUT!CU29</f>
        <v>109743</v>
      </c>
      <c r="AY154" s="577">
        <f>+INPUT!CV29</f>
        <v>7.2253488099425454</v>
      </c>
      <c r="AZ154" s="580">
        <f>+INPUT!CW29</f>
        <v>120276</v>
      </c>
      <c r="BA154" s="577">
        <f>+INPUT!CX29</f>
        <v>9.3726413807527535</v>
      </c>
      <c r="BB154" s="580">
        <f>+INPUT!CY29</f>
        <v>120326</v>
      </c>
      <c r="BC154" s="577">
        <f>+INPUT!CZ29</f>
        <v>7.2405126468333805</v>
      </c>
      <c r="BD154" s="580">
        <f>+INPUT!DA29</f>
        <v>128949</v>
      </c>
      <c r="BE154" s="577">
        <f>+INPUT!DB29</f>
        <v>25.340448488029637</v>
      </c>
      <c r="BF154" s="580">
        <f>+INPUT!DC29</f>
        <v>131608</v>
      </c>
      <c r="BG154" s="577">
        <f>+INPUT!DD29</f>
        <v>19.923822020538907</v>
      </c>
      <c r="BH154" s="580">
        <f>+INPUT!DE29</f>
        <v>139034</v>
      </c>
      <c r="BI154" s="577">
        <f>+INPUT!DF29</f>
        <v>15.59579633509594</v>
      </c>
      <c r="BJ154" s="580">
        <f>+INPUT!DG29</f>
        <v>137775</v>
      </c>
      <c r="BK154" s="577">
        <f>+INPUT!DH29</f>
        <v>14.501437760749965</v>
      </c>
      <c r="BL154" s="580">
        <f>+INPUT!DI29</f>
        <v>143697</v>
      </c>
      <c r="BM154" s="577">
        <f>+INPUT!DJ29</f>
        <v>11.43707977572528</v>
      </c>
      <c r="BN154" s="580">
        <f>+INPUT!DK29</f>
        <v>150467</v>
      </c>
      <c r="BO154" s="577">
        <f>+INPUT!DL29</f>
        <v>14.329676007537543</v>
      </c>
      <c r="BP154" s="580">
        <f>+INPUT!DM29</f>
        <v>151620</v>
      </c>
      <c r="BQ154" s="577">
        <f>+INPUT!DN29</f>
        <v>9.0524619877152332</v>
      </c>
      <c r="BR154" s="580">
        <f>+INPUT!DO29</f>
        <v>155890</v>
      </c>
      <c r="BS154" s="577">
        <f>+INPUT!DP29</f>
        <v>13.148248956632187</v>
      </c>
      <c r="BT154" s="580">
        <f>+INPUT!DQ29</f>
        <v>153172</v>
      </c>
      <c r="BU154" s="577">
        <f>+INPUT!DR29</f>
        <v>6.5937354294104864</v>
      </c>
      <c r="BV154" s="580">
        <f>+INPUT!DS29</f>
        <v>155083</v>
      </c>
      <c r="BW154" s="577">
        <f>+INPUT!DT29</f>
        <v>3.067782304425549</v>
      </c>
      <c r="BX154" s="580">
        <f>+INPUT!DU29</f>
        <v>157552</v>
      </c>
      <c r="BY154" s="577">
        <f>+INPUT!DV29</f>
        <v>3.9124126104735524</v>
      </c>
      <c r="BZ154" s="580">
        <f>+INPUT!DW29</f>
        <v>155424</v>
      </c>
      <c r="CA154" s="577">
        <f>+INPUT!DX29</f>
        <v>-0.29892873179807111</v>
      </c>
      <c r="CB154" s="580">
        <f>+INPUT!DY29</f>
        <v>146685</v>
      </c>
      <c r="CC154" s="577">
        <f>+INPUT!DZ29</f>
        <v>-4.2351082443266392</v>
      </c>
      <c r="CD154" s="580">
        <f>+INPUT!EA29</f>
        <v>149441</v>
      </c>
      <c r="CE154" s="577">
        <f>+INPUT!EB29</f>
        <v>-3.6380518818954926</v>
      </c>
      <c r="CF154" s="580">
        <f>+INPUT!EC29</f>
        <v>149246</v>
      </c>
      <c r="CG154" s="577">
        <f>+INPUT!ED29</f>
        <v>-5.2719102264649109</v>
      </c>
      <c r="CH154" s="580">
        <f>+INPUT!EE29</f>
        <v>151188</v>
      </c>
      <c r="CI154" s="577">
        <f>+INPUT!EF29</f>
        <v>-2.7254478072884467</v>
      </c>
      <c r="CJ154" s="580">
        <f>+INPUT!EG29</f>
        <v>154903</v>
      </c>
      <c r="CK154" s="577">
        <f>+INPUT!EH29</f>
        <v>5.6024815079933177</v>
      </c>
      <c r="CL154" s="580">
        <f>+INPUT!EI29</f>
        <v>153295</v>
      </c>
      <c r="CM154" s="577">
        <f>+INPUT!EJ29</f>
        <v>2.5789441987138702</v>
      </c>
      <c r="CN154" s="580">
        <f>+INPUT!EK29</f>
        <v>156830</v>
      </c>
      <c r="CO154" s="577">
        <f>+INPUT!EL29</f>
        <v>5.0815432239389935</v>
      </c>
      <c r="CP154" s="580">
        <f>+INPUT!EM29</f>
        <v>159202</v>
      </c>
      <c r="CQ154" s="577">
        <f>+INPUT!EN29</f>
        <v>5.3006852395692761</v>
      </c>
      <c r="CR154" s="580">
        <f>+INPUT!EO29</f>
        <v>162107</v>
      </c>
      <c r="CS154" s="577">
        <f>+INPUT!EP29</f>
        <v>4.6506523437247864</v>
      </c>
      <c r="CT154" s="580">
        <f>+INPUT!EQ29</f>
        <v>165153</v>
      </c>
      <c r="CU154" s="577">
        <f>+INPUT!ER29</f>
        <v>7.7354121138980361</v>
      </c>
      <c r="CV154" s="580">
        <f>+INPUT!ES29</f>
        <v>161273.66837276367</v>
      </c>
      <c r="CW154" s="577">
        <f>+INPUT!ET29</f>
        <v>2.833430066163146</v>
      </c>
      <c r="CX154" s="580">
        <f>+INPUT!EU29</f>
        <v>161169.54101638336</v>
      </c>
      <c r="CY154" s="577">
        <f>+INPUT!EV29</f>
        <v>1.235877072136887</v>
      </c>
      <c r="CZ154" s="580">
        <f>+INPUT!EW29</f>
        <v>161100.1277123804</v>
      </c>
      <c r="DA154" s="577">
        <f>+INPUT!EX29</f>
        <v>-0.62111586027722865</v>
      </c>
      <c r="DB154" s="587"/>
      <c r="DC154" s="580">
        <f>+INPUT!FP29</f>
        <v>47418</v>
      </c>
      <c r="DD154" s="577">
        <f>+INPUT!FQ29</f>
        <v>7.8932398916926445</v>
      </c>
      <c r="DE154" s="580">
        <f>+INPUT!FR29</f>
        <v>50778</v>
      </c>
      <c r="DF154" s="577">
        <f>+INPUT!FS29</f>
        <v>7.0859167404782966</v>
      </c>
      <c r="DG154" s="580">
        <f>+INPUT!FT29</f>
        <v>74555</v>
      </c>
      <c r="DH154" s="577">
        <f>+INPUT!FU29</f>
        <v>46.825396825396808</v>
      </c>
      <c r="DI154" s="580">
        <f>+INPUT!FV29</f>
        <v>80330</v>
      </c>
      <c r="DJ154" s="577">
        <f>+INPUT!FW29</f>
        <v>7.7459593588625779</v>
      </c>
      <c r="DK154" s="580">
        <f>+INPUT!FX29</f>
        <v>60007</v>
      </c>
      <c r="DL154" s="577">
        <f>+INPUT!FY29</f>
        <v>-25.299390016183239</v>
      </c>
      <c r="DM154" s="580">
        <f>+INPUT!FZ29</f>
        <v>80519</v>
      </c>
      <c r="DN154" s="577">
        <f>+INPUT!GA29</f>
        <v>34.182678687486458</v>
      </c>
      <c r="DO154" s="580">
        <f>+INPUT!GB29</f>
        <v>102348</v>
      </c>
      <c r="DP154" s="577">
        <f>+INPUT!GC29</f>
        <v>27.110371465120025</v>
      </c>
      <c r="DQ154" s="580">
        <f>+INPUT!GD29</f>
        <v>109743</v>
      </c>
      <c r="DR154" s="577">
        <f>+INPUT!GE29</f>
        <v>7.2253488099425454</v>
      </c>
      <c r="DS154" s="580">
        <f>+INPUT!GF29</f>
        <v>131608</v>
      </c>
      <c r="DT154" s="577">
        <f>+INPUT!GG29</f>
        <v>19.923822020538907</v>
      </c>
      <c r="DU154" s="580">
        <f>+INPUT!GH29</f>
        <v>150467</v>
      </c>
      <c r="DV154" s="577">
        <f>+INPUT!GI29</f>
        <v>14.329676007537543</v>
      </c>
      <c r="DW154" s="580">
        <f>+INPUT!GJ29</f>
        <v>155083</v>
      </c>
      <c r="DX154" s="577">
        <f>+INPUT!GK29</f>
        <v>3.067782304425549</v>
      </c>
      <c r="DY154" s="580">
        <f>+INPUT!GL29</f>
        <v>149441</v>
      </c>
      <c r="DZ154" s="577">
        <f>+INPUT!GM29</f>
        <v>-3.6380518818954926</v>
      </c>
      <c r="EA154" s="580">
        <f>+INPUT!GN29</f>
        <v>153295</v>
      </c>
      <c r="EB154" s="577">
        <f>+INPUT!GO29</f>
        <v>2.5789441987138702</v>
      </c>
      <c r="EC154" s="580">
        <f>+INPUT!GP29</f>
        <v>165153</v>
      </c>
      <c r="ED154" s="577">
        <f>+INPUT!GQ29</f>
        <v>7.7354121138980361</v>
      </c>
      <c r="EE154" s="580">
        <f>+INPUT!GR29</f>
        <v>161065.71608951961</v>
      </c>
      <c r="EF154" s="577">
        <f>+INPUT!GS29</f>
        <v>-2.4748469058875031</v>
      </c>
      <c r="EG154" s="580">
        <f>+INPUT!GT29</f>
        <v>161454.48436005326</v>
      </c>
      <c r="EH154" s="577">
        <f>+INPUT!GU29</f>
        <v>0.24137245341371738</v>
      </c>
      <c r="EI154" s="580">
        <f>+INPUT!GV29</f>
        <v>162329.92760641861</v>
      </c>
      <c r="EJ154" s="577">
        <f>+INPUT!GW29</f>
        <v>0.54222293659745446</v>
      </c>
      <c r="EK154" s="580">
        <f>+INPUT!GX29</f>
        <v>163742.64773326155</v>
      </c>
      <c r="EL154" s="577">
        <f>+INPUT!GY29</f>
        <v>0.87027706330786714</v>
      </c>
      <c r="EM154" s="577">
        <f>+INPUT!GZ29</f>
        <v>1.3273684382996587</v>
      </c>
    </row>
    <row r="155" spans="1:144" ht="12.75" hidden="1" customHeight="1" outlineLevel="1" x14ac:dyDescent="0.2">
      <c r="A155" s="579" t="str">
        <f>+INPUT!B30</f>
        <v xml:space="preserve">  Deposits</v>
      </c>
      <c r="B155" s="580">
        <f>+INPUT!AY30</f>
        <v>2129</v>
      </c>
      <c r="C155" s="577">
        <f>+INPUT!AZ30</f>
        <v>48.569434752267966</v>
      </c>
      <c r="D155" s="580">
        <f>+INPUT!BA30</f>
        <v>2500</v>
      </c>
      <c r="E155" s="577">
        <f>+INPUT!BB30</f>
        <v>40.528386734120289</v>
      </c>
      <c r="F155" s="580">
        <f>+INPUT!BC30</f>
        <v>2323</v>
      </c>
      <c r="G155" s="577">
        <f>+INPUT!BD30</f>
        <v>20.362694300518143</v>
      </c>
      <c r="H155" s="580">
        <f>+INPUT!BE30</f>
        <v>2641</v>
      </c>
      <c r="I155" s="577">
        <f>+INPUT!BF30</f>
        <v>34.470468431771877</v>
      </c>
      <c r="J155" s="580">
        <f>+INPUT!BG30</f>
        <v>2779</v>
      </c>
      <c r="K155" s="577">
        <f>+INPUT!BH30</f>
        <v>30.530765617660876</v>
      </c>
      <c r="L155" s="580">
        <f>+INPUT!BI30</f>
        <v>3033</v>
      </c>
      <c r="M155" s="577">
        <f>+INPUT!BJ30</f>
        <v>21.320000000000007</v>
      </c>
      <c r="N155" s="580">
        <f>+INPUT!BK30</f>
        <v>2825</v>
      </c>
      <c r="O155" s="577">
        <f>+INPUT!BL30</f>
        <v>21.609987085665082</v>
      </c>
      <c r="P155" s="580">
        <f>+INPUT!BM30</f>
        <v>3041</v>
      </c>
      <c r="Q155" s="577">
        <f>+INPUT!BN30</f>
        <v>15.145778114350634</v>
      </c>
      <c r="R155" s="580">
        <f>+INPUT!BO30</f>
        <v>2829</v>
      </c>
      <c r="S155" s="577">
        <f>+INPUT!BP30</f>
        <v>1.7992083483267436</v>
      </c>
      <c r="T155" s="580">
        <f>+INPUT!BQ30</f>
        <v>2740</v>
      </c>
      <c r="U155" s="577">
        <f>+INPUT!BR30</f>
        <v>-9.6604022420046221</v>
      </c>
      <c r="V155" s="580">
        <f>+INPUT!BS30</f>
        <v>2507</v>
      </c>
      <c r="W155" s="577">
        <f>+INPUT!BT30</f>
        <v>-11.256637168141594</v>
      </c>
      <c r="X155" s="580">
        <f>+INPUT!BU30</f>
        <v>2132</v>
      </c>
      <c r="Y155" s="577">
        <f>+INPUT!BV30</f>
        <v>-29.891483064781326</v>
      </c>
      <c r="Z155" s="580">
        <f>+INPUT!BW30</f>
        <v>2108</v>
      </c>
      <c r="AA155" s="577">
        <f>+INPUT!BX30</f>
        <v>-25.48603746907034</v>
      </c>
      <c r="AB155" s="580">
        <f>+INPUT!BY30</f>
        <v>3378</v>
      </c>
      <c r="AC155" s="577">
        <f>+INPUT!BZ30</f>
        <v>23.28467153284673</v>
      </c>
      <c r="AD155" s="580">
        <f>+INPUT!CA30</f>
        <v>5829</v>
      </c>
      <c r="AE155" s="577" t="str">
        <f>+INPUT!CB30</f>
        <v>NM</v>
      </c>
      <c r="AF155" s="580">
        <f>+INPUT!CC30</f>
        <v>4802</v>
      </c>
      <c r="AG155" s="577" t="str">
        <f>+INPUT!CD30</f>
        <v>NM</v>
      </c>
      <c r="AH155" s="580">
        <f>+INPUT!CE30</f>
        <v>4867</v>
      </c>
      <c r="AI155" s="577" t="str">
        <f>+INPUT!CF30</f>
        <v>NM</v>
      </c>
      <c r="AJ155" s="580">
        <f>+INPUT!CG30</f>
        <v>5308</v>
      </c>
      <c r="AK155" s="577">
        <f>+INPUT!CH30</f>
        <v>57.134399052693908</v>
      </c>
      <c r="AL155" s="580">
        <f>+INPUT!CI30</f>
        <v>5368</v>
      </c>
      <c r="AM155" s="577">
        <f>+INPUT!CJ30</f>
        <v>-7.9087322010636569</v>
      </c>
      <c r="AN155" s="580">
        <f>+INPUT!CK30</f>
        <v>6108</v>
      </c>
      <c r="AO155" s="577">
        <f>+INPUT!CL30</f>
        <v>27.197001249479385</v>
      </c>
      <c r="AP155" s="580">
        <f>+INPUT!CM30</f>
        <v>6815</v>
      </c>
      <c r="AQ155" s="577">
        <f>+INPUT!CN30</f>
        <v>40.024655845490031</v>
      </c>
      <c r="AR155" s="580">
        <f>+INPUT!CO30</f>
        <v>4531</v>
      </c>
      <c r="AS155" s="577">
        <f>+INPUT!CP30</f>
        <v>-14.638281838733988</v>
      </c>
      <c r="AT155" s="580">
        <f>+INPUT!CQ30</f>
        <v>4472</v>
      </c>
      <c r="AU155" s="577">
        <f>+INPUT!CR30</f>
        <v>-16.691505216095379</v>
      </c>
      <c r="AV155" s="580">
        <f>+INPUT!CS30</f>
        <v>4406</v>
      </c>
      <c r="AW155" s="577">
        <f>+INPUT!CT30</f>
        <v>-27.865094957432873</v>
      </c>
      <c r="AX155" s="580">
        <f>+INPUT!CU30</f>
        <v>4943</v>
      </c>
      <c r="AY155" s="577">
        <f>+INPUT!CV30</f>
        <v>-27.46881878209831</v>
      </c>
      <c r="AZ155" s="580">
        <f>+INPUT!CW30</f>
        <v>5344</v>
      </c>
      <c r="BA155" s="577">
        <f>+INPUT!CX30</f>
        <v>17.943058927389103</v>
      </c>
      <c r="BB155" s="580">
        <f>+INPUT!CY30</f>
        <v>5912</v>
      </c>
      <c r="BC155" s="577">
        <f>+INPUT!CZ30</f>
        <v>32.200357781753155</v>
      </c>
      <c r="BD155" s="580">
        <f>+INPUT!DA30</f>
        <v>3778</v>
      </c>
      <c r="BE155" s="577">
        <f>+INPUT!DB30</f>
        <v>-14.253290966863361</v>
      </c>
      <c r="BF155" s="580">
        <f>+INPUT!DC30</f>
        <v>4208</v>
      </c>
      <c r="BG155" s="577">
        <f>+INPUT!DD30</f>
        <v>-14.869512441836946</v>
      </c>
      <c r="BH155" s="580">
        <f>+INPUT!DE30</f>
        <v>2439</v>
      </c>
      <c r="BI155" s="577" t="str">
        <f>+INPUT!DF30</f>
        <v>NM</v>
      </c>
      <c r="BJ155" s="580">
        <f>+INPUT!DG30</f>
        <v>2388</v>
      </c>
      <c r="BK155" s="577" t="str">
        <f>+INPUT!DH30</f>
        <v>NM</v>
      </c>
      <c r="BL155" s="580">
        <f>+INPUT!DI30</f>
        <v>2412</v>
      </c>
      <c r="BM155" s="577">
        <f>+INPUT!DJ30</f>
        <v>-36.156696664902064</v>
      </c>
      <c r="BN155" s="580">
        <f>+INPUT!DK30</f>
        <v>2304</v>
      </c>
      <c r="BO155" s="577">
        <f>+INPUT!DL30</f>
        <v>-45.247148288973385</v>
      </c>
      <c r="BP155" s="580">
        <f>+INPUT!DM30</f>
        <v>2651</v>
      </c>
      <c r="BQ155" s="577">
        <f>+INPUT!DN30</f>
        <v>8.6920869208692011</v>
      </c>
      <c r="BR155" s="580">
        <f>+INPUT!DO30</f>
        <v>2561</v>
      </c>
      <c r="BS155" s="577">
        <f>+INPUT!DP30</f>
        <v>7.2445561139028456</v>
      </c>
      <c r="BT155" s="580">
        <f>+INPUT!DQ30</f>
        <v>2441</v>
      </c>
      <c r="BU155" s="577">
        <f>+INPUT!DR30</f>
        <v>1.2023217247097762</v>
      </c>
      <c r="BV155" s="580">
        <f>+INPUT!DS30</f>
        <v>2215</v>
      </c>
      <c r="BW155" s="577">
        <f>+INPUT!DT30</f>
        <v>-3.8628472222222143</v>
      </c>
      <c r="BX155" s="580">
        <f>+INPUT!DU30</f>
        <v>2326</v>
      </c>
      <c r="BY155" s="577">
        <f>+INPUT!DV30</f>
        <v>-12.259524707657491</v>
      </c>
      <c r="BZ155" s="580">
        <f>+INPUT!DW30</f>
        <v>2115</v>
      </c>
      <c r="CA155" s="577">
        <f>+INPUT!DX30</f>
        <v>-17.415072237407259</v>
      </c>
      <c r="CB155" s="580">
        <f>+INPUT!DY30</f>
        <v>2076</v>
      </c>
      <c r="CC155" s="577">
        <f>+INPUT!DZ30</f>
        <v>-14.952888160589922</v>
      </c>
      <c r="CD155" s="580">
        <f>+INPUT!EA30</f>
        <v>2001</v>
      </c>
      <c r="CE155" s="577">
        <f>+INPUT!EB30</f>
        <v>-9.661399548532728</v>
      </c>
      <c r="CF155" s="580">
        <f>+INPUT!EC30</f>
        <v>2267</v>
      </c>
      <c r="CG155" s="577">
        <f>+INPUT!ED30</f>
        <v>-2.5365434221840104</v>
      </c>
      <c r="CH155" s="580">
        <f>+INPUT!EE30</f>
        <v>2088</v>
      </c>
      <c r="CI155" s="577">
        <f>+INPUT!EF30</f>
        <v>-1.2765957446808471</v>
      </c>
      <c r="CJ155" s="580">
        <f>+INPUT!EG30</f>
        <v>1638</v>
      </c>
      <c r="CK155" s="577">
        <f>+INPUT!EH30</f>
        <v>-21.098265895953759</v>
      </c>
      <c r="CL155" s="580">
        <f>+INPUT!EI30</f>
        <v>1428</v>
      </c>
      <c r="CM155" s="577">
        <f>+INPUT!EJ30</f>
        <v>-28.635682158920545</v>
      </c>
      <c r="CN155" s="580">
        <f>+INPUT!EK30</f>
        <v>1493</v>
      </c>
      <c r="CO155" s="577">
        <f>+INPUT!EL30</f>
        <v>-34.142037935597699</v>
      </c>
      <c r="CP155" s="580">
        <f>+INPUT!EM30</f>
        <v>1318</v>
      </c>
      <c r="CQ155" s="577">
        <f>+INPUT!EN30</f>
        <v>-36.877394636015325</v>
      </c>
      <c r="CR155" s="580">
        <f>+INPUT!EO30</f>
        <v>1613</v>
      </c>
      <c r="CS155" s="577">
        <f>+INPUT!EP30</f>
        <v>-1.5262515262515137</v>
      </c>
      <c r="CT155" s="580">
        <f>+INPUT!EQ30</f>
        <v>1645.26</v>
      </c>
      <c r="CU155" s="577">
        <f>+INPUT!ER30</f>
        <v>15.214285714285708</v>
      </c>
      <c r="CV155" s="580">
        <f>+INPUT!ES30</f>
        <v>1678.1651999999999</v>
      </c>
      <c r="CW155" s="577">
        <f>+INPUT!ET30</f>
        <v>12.402223710649693</v>
      </c>
      <c r="CX155" s="580">
        <f>+INPUT!EU30</f>
        <v>1711.7285039999999</v>
      </c>
      <c r="CY155" s="577">
        <f>+INPUT!EV30</f>
        <v>29.873179362670697</v>
      </c>
      <c r="CZ155" s="580">
        <f>+INPUT!EW30</f>
        <v>1745.9630740800001</v>
      </c>
      <c r="DA155" s="577">
        <f>+INPUT!EX30</f>
        <v>8.2432160000000039</v>
      </c>
      <c r="DB155" s="587"/>
      <c r="DC155" s="580">
        <f>+INPUT!FP30</f>
        <v>7106</v>
      </c>
      <c r="DD155" s="577">
        <f>+INPUT!FQ30</f>
        <v>22.390630382363071</v>
      </c>
      <c r="DE155" s="580">
        <f>+INPUT!FR30</f>
        <v>9593</v>
      </c>
      <c r="DF155" s="577">
        <f>+INPUT!FS30</f>
        <v>34.998592738530817</v>
      </c>
      <c r="DG155" s="580">
        <f>+INPUT!FT30</f>
        <v>11678</v>
      </c>
      <c r="DH155" s="577">
        <f>+INPUT!FU30</f>
        <v>21.734598144480358</v>
      </c>
      <c r="DI155" s="580">
        <f>+INPUT!FV30</f>
        <v>10208</v>
      </c>
      <c r="DJ155" s="577">
        <f>+INPUT!FW30</f>
        <v>-12.587771878746352</v>
      </c>
      <c r="DK155" s="580">
        <f>+INPUT!FX30</f>
        <v>16117</v>
      </c>
      <c r="DL155" s="577">
        <f>+INPUT!FY30</f>
        <v>57.885971786833863</v>
      </c>
      <c r="DM155" s="580">
        <f>+INPUT!FZ30</f>
        <v>21651</v>
      </c>
      <c r="DN155" s="577">
        <f>+INPUT!GA30</f>
        <v>34.33641496556433</v>
      </c>
      <c r="DO155" s="580">
        <f>+INPUT!GB30</f>
        <v>20224</v>
      </c>
      <c r="DP155" s="577">
        <f>+INPUT!GC30</f>
        <v>-6.5909195880097968</v>
      </c>
      <c r="DQ155" s="580">
        <f>+INPUT!GD30</f>
        <v>19977</v>
      </c>
      <c r="DR155" s="577">
        <f>+INPUT!GE30</f>
        <v>-1.2213212025316409</v>
      </c>
      <c r="DS155" s="580">
        <f>+INPUT!GF30</f>
        <v>11447</v>
      </c>
      <c r="DT155" s="577">
        <f>+INPUT!GG30</f>
        <v>-42.699103969565002</v>
      </c>
      <c r="DU155" s="580">
        <f>+INPUT!GH30</f>
        <v>9957</v>
      </c>
      <c r="DV155" s="577">
        <f>+INPUT!GI30</f>
        <v>-13.016510876212109</v>
      </c>
      <c r="DW155" s="580">
        <f>+INPUT!GJ30</f>
        <v>8732</v>
      </c>
      <c r="DX155" s="577">
        <f>+INPUT!GK30</f>
        <v>-12.302902480666873</v>
      </c>
      <c r="DY155" s="580">
        <f>+INPUT!GL30</f>
        <v>7994</v>
      </c>
      <c r="DZ155" s="577">
        <f>+INPUT!GM30</f>
        <v>-8.4516720109940451</v>
      </c>
      <c r="EA155" s="580">
        <f>+INPUT!GN30</f>
        <v>5852</v>
      </c>
      <c r="EB155" s="577">
        <f>+INPUT!GO30</f>
        <v>-26.79509632224169</v>
      </c>
      <c r="EC155" s="580">
        <f>+INPUT!GP30</f>
        <v>6781.1167780799997</v>
      </c>
      <c r="ED155" s="577">
        <f>+INPUT!GQ30</f>
        <v>15.8769100833903</v>
      </c>
      <c r="EE155" s="580">
        <f>+INPUT!GR30</f>
        <v>7459.2284558880001</v>
      </c>
      <c r="EF155" s="577">
        <f>+INPUT!GS30</f>
        <v>10.000000000000014</v>
      </c>
      <c r="EG155" s="580">
        <f>+INPUT!GT30</f>
        <v>8205.1513014768007</v>
      </c>
      <c r="EH155" s="577">
        <f>+INPUT!GU30</f>
        <v>10.000000000000014</v>
      </c>
      <c r="EI155" s="580">
        <f>+INPUT!GV30</f>
        <v>9025.6664316244824</v>
      </c>
      <c r="EJ155" s="577">
        <f>+INPUT!GW30</f>
        <v>10.000000000000014</v>
      </c>
      <c r="EK155" s="580">
        <f>+INPUT!GX30</f>
        <v>9928.233074786931</v>
      </c>
      <c r="EL155" s="577">
        <f>+INPUT!GY30</f>
        <v>10.000000000000014</v>
      </c>
      <c r="EM155" s="577">
        <f>+INPUT!GZ30</f>
        <v>11.15103967679476</v>
      </c>
    </row>
    <row r="156" spans="1:144" ht="12.75" hidden="1" customHeight="1" outlineLevel="1" x14ac:dyDescent="0.2">
      <c r="A156" s="579" t="str">
        <f>+INPUT!B33</f>
        <v xml:space="preserve">  Redemptions</v>
      </c>
      <c r="B156" s="580">
        <f>+INPUT!AY33</f>
        <v>-1585</v>
      </c>
      <c r="C156" s="577">
        <f>+INPUT!AZ33</f>
        <v>14.19308357348703</v>
      </c>
      <c r="D156" s="580">
        <f>+INPUT!BA33</f>
        <v>-1757</v>
      </c>
      <c r="E156" s="577">
        <f>+INPUT!BB33</f>
        <v>19.523809523809518</v>
      </c>
      <c r="F156" s="580">
        <f>+INPUT!BC33</f>
        <v>-2084</v>
      </c>
      <c r="G156" s="577">
        <f>+INPUT!BD33</f>
        <v>49.176807444523973</v>
      </c>
      <c r="H156" s="580">
        <f>+INPUT!BE33</f>
        <v>-2296</v>
      </c>
      <c r="I156" s="577">
        <f>+INPUT!BF33</f>
        <v>59.888579387186638</v>
      </c>
      <c r="J156" s="580">
        <f>+INPUT!BG33</f>
        <v>-2310</v>
      </c>
      <c r="K156" s="577">
        <f>+INPUT!BH33</f>
        <v>45.741324921135657</v>
      </c>
      <c r="L156" s="580">
        <f>+INPUT!BI33</f>
        <v>-2515</v>
      </c>
      <c r="M156" s="577">
        <f>+INPUT!BJ33</f>
        <v>43.141718838929989</v>
      </c>
      <c r="N156" s="580">
        <f>+INPUT!BK33</f>
        <v>-2328</v>
      </c>
      <c r="O156" s="577">
        <f>+INPUT!BL33</f>
        <v>11.708253358925134</v>
      </c>
      <c r="P156" s="580">
        <f>+INPUT!BM33</f>
        <v>-2415</v>
      </c>
      <c r="Q156" s="577">
        <f>+INPUT!BN33</f>
        <v>5.1829268292682826</v>
      </c>
      <c r="R156" s="580">
        <f>+INPUT!BO33</f>
        <v>-2173</v>
      </c>
      <c r="S156" s="577">
        <f>+INPUT!BP33</f>
        <v>-5.9307359307359349</v>
      </c>
      <c r="T156" s="580">
        <f>+INPUT!BQ33</f>
        <v>-2185</v>
      </c>
      <c r="U156" s="577">
        <f>+INPUT!BR33</f>
        <v>-13.121272365805169</v>
      </c>
      <c r="V156" s="580">
        <f>+INPUT!BS33</f>
        <v>-1988</v>
      </c>
      <c r="W156" s="577">
        <f>+INPUT!BT33</f>
        <v>-14.604810996563572</v>
      </c>
      <c r="X156" s="580">
        <f>+INPUT!BU33</f>
        <v>-1654</v>
      </c>
      <c r="Y156" s="577">
        <f>+INPUT!BV33</f>
        <v>-31.511387163561082</v>
      </c>
      <c r="Z156" s="580">
        <f>+INPUT!BW33</f>
        <v>-1443</v>
      </c>
      <c r="AA156" s="577">
        <f>+INPUT!BX33</f>
        <v>-33.594109526000921</v>
      </c>
      <c r="AB156" s="580">
        <f>+INPUT!BY33</f>
        <v>-1315</v>
      </c>
      <c r="AC156" s="577">
        <f>+INPUT!BZ33</f>
        <v>-39.816933638443942</v>
      </c>
      <c r="AD156" s="580">
        <f>+INPUT!CA33</f>
        <v>-1444</v>
      </c>
      <c r="AE156" s="577">
        <f>+INPUT!CB33</f>
        <v>-27.364185110663982</v>
      </c>
      <c r="AF156" s="580">
        <f>+INPUT!CC33</f>
        <v>-1574</v>
      </c>
      <c r="AG156" s="577">
        <f>+INPUT!CD33</f>
        <v>-4.8367593712212766</v>
      </c>
      <c r="AH156" s="580">
        <f>+INPUT!CE33</f>
        <v>-1670</v>
      </c>
      <c r="AI156" s="577">
        <f>+INPUT!CF33</f>
        <v>15.731115731115736</v>
      </c>
      <c r="AJ156" s="580">
        <f>+INPUT!CG33</f>
        <v>-1714</v>
      </c>
      <c r="AK156" s="577">
        <f>+INPUT!CH33</f>
        <v>30.342205323193923</v>
      </c>
      <c r="AL156" s="580">
        <f>+INPUT!CI33</f>
        <v>-1660</v>
      </c>
      <c r="AM156" s="577">
        <f>+INPUT!CJ33</f>
        <v>14.958448753462591</v>
      </c>
      <c r="AN156" s="580">
        <f>+INPUT!CK33</f>
        <v>-1879</v>
      </c>
      <c r="AO156" s="577">
        <f>+INPUT!CL33</f>
        <v>19.377382465057181</v>
      </c>
      <c r="AP156" s="580">
        <f>+INPUT!CM33</f>
        <v>-1967</v>
      </c>
      <c r="AQ156" s="577">
        <f>+INPUT!CN33</f>
        <v>17.784431137724539</v>
      </c>
      <c r="AR156" s="580">
        <f>+INPUT!CO33</f>
        <v>-1933</v>
      </c>
      <c r="AS156" s="577">
        <f>+INPUT!CP33</f>
        <v>12.777129521586943</v>
      </c>
      <c r="AT156" s="580">
        <f>+INPUT!CQ33</f>
        <v>-1623</v>
      </c>
      <c r="AU156" s="577">
        <f>+INPUT!CR33</f>
        <v>-2.2289156626505928</v>
      </c>
      <c r="AV156" s="580">
        <f>+INPUT!CS33</f>
        <v>-1526</v>
      </c>
      <c r="AW156" s="577">
        <f>+INPUT!CT33</f>
        <v>-18.786588610963278</v>
      </c>
      <c r="AX156" s="580">
        <f>+INPUT!CU33</f>
        <v>-1676</v>
      </c>
      <c r="AY156" s="577">
        <f>+INPUT!CV33</f>
        <v>-14.794102694458573</v>
      </c>
      <c r="AZ156" s="580">
        <f>+INPUT!CW33</f>
        <v>-1626</v>
      </c>
      <c r="BA156" s="577">
        <f>+INPUT!CX33</f>
        <v>-15.882048629073978</v>
      </c>
      <c r="BB156" s="580">
        <f>+INPUT!CY33</f>
        <v>-1579</v>
      </c>
      <c r="BC156" s="577">
        <f>+INPUT!CZ33</f>
        <v>-2.7110289587184155</v>
      </c>
      <c r="BD156" s="580">
        <f>+INPUT!DA33</f>
        <v>-1765</v>
      </c>
      <c r="BE156" s="577">
        <f>+INPUT!DB33</f>
        <v>15.661861074705115</v>
      </c>
      <c r="BF156" s="580">
        <f>+INPUT!DC33</f>
        <v>-1776</v>
      </c>
      <c r="BG156" s="577">
        <f>+INPUT!DD33</f>
        <v>5.9665871121718368</v>
      </c>
      <c r="BH156" s="580">
        <f>+INPUT!DE33</f>
        <v>-1898</v>
      </c>
      <c r="BI156" s="577">
        <f>+INPUT!DF33</f>
        <v>16.72816728167281</v>
      </c>
      <c r="BJ156" s="580">
        <f>+INPUT!DG33</f>
        <v>-1824</v>
      </c>
      <c r="BK156" s="577">
        <f>+INPUT!DH33</f>
        <v>15.516149461684606</v>
      </c>
      <c r="BL156" s="580">
        <f>+INPUT!DI33</f>
        <v>-2069</v>
      </c>
      <c r="BM156" s="577">
        <f>+INPUT!DJ33</f>
        <v>17.223796033994333</v>
      </c>
      <c r="BN156" s="580">
        <f>+INPUT!DK33</f>
        <v>-2158</v>
      </c>
      <c r="BO156" s="577">
        <f>+INPUT!DL33</f>
        <v>21.509009009009006</v>
      </c>
      <c r="BP156" s="580">
        <f>+INPUT!DM33</f>
        <v>-2187</v>
      </c>
      <c r="BQ156" s="577">
        <f>+INPUT!DN33</f>
        <v>15.226554267650158</v>
      </c>
      <c r="BR156" s="580">
        <f>+INPUT!DO33</f>
        <v>-2152</v>
      </c>
      <c r="BS156" s="577">
        <f>+INPUT!DP33</f>
        <v>17.982456140350877</v>
      </c>
      <c r="BT156" s="580">
        <f>+INPUT!DQ33</f>
        <v>-2217</v>
      </c>
      <c r="BU156" s="577">
        <f>+INPUT!DR33</f>
        <v>7.1532141130981017</v>
      </c>
      <c r="BV156" s="580">
        <f>+INPUT!DS33</f>
        <v>-2167</v>
      </c>
      <c r="BW156" s="577">
        <f>+INPUT!DT33</f>
        <v>0.41705282669137489</v>
      </c>
      <c r="BX156" s="580">
        <f>+INPUT!DU33</f>
        <v>-2170</v>
      </c>
      <c r="BY156" s="577">
        <f>+INPUT!DV33</f>
        <v>-0.77732053040695348</v>
      </c>
      <c r="BZ156" s="580">
        <f>+INPUT!DW33</f>
        <v>-1965</v>
      </c>
      <c r="CA156" s="577">
        <f>+INPUT!DX33</f>
        <v>-8.6895910780669112</v>
      </c>
      <c r="CB156" s="580">
        <f>+INPUT!DY33</f>
        <v>-1989</v>
      </c>
      <c r="CC156" s="577">
        <f>+INPUT!DZ33</f>
        <v>-10.284167794316645</v>
      </c>
      <c r="CD156" s="580">
        <f>+INPUT!EA33</f>
        <v>-1748</v>
      </c>
      <c r="CE156" s="577">
        <f>+INPUT!EB33</f>
        <v>-19.335486848177212</v>
      </c>
      <c r="CF156" s="580">
        <f>+INPUT!EC33</f>
        <v>-1914</v>
      </c>
      <c r="CG156" s="577">
        <f>+INPUT!ED33</f>
        <v>-11.79723502304148</v>
      </c>
      <c r="CH156" s="580">
        <f>+INPUT!EE33</f>
        <v>-1992</v>
      </c>
      <c r="CI156" s="577">
        <f>+INPUT!EF33</f>
        <v>1.3740458015267194</v>
      </c>
      <c r="CJ156" s="580">
        <f>+INPUT!EG33</f>
        <v>-2122</v>
      </c>
      <c r="CK156" s="577">
        <f>+INPUT!EH33</f>
        <v>6.6867772750125738</v>
      </c>
      <c r="CL156" s="580">
        <f>+INPUT!EI33</f>
        <v>-2326</v>
      </c>
      <c r="CM156" s="577">
        <f>+INPUT!EJ33</f>
        <v>33.066361556064095</v>
      </c>
      <c r="CN156" s="580">
        <f>+INPUT!EK33</f>
        <v>-2382</v>
      </c>
      <c r="CO156" s="577">
        <f>+INPUT!EL33</f>
        <v>24.451410658307211</v>
      </c>
      <c r="CP156" s="580">
        <f>+INPUT!EM33</f>
        <v>-2288</v>
      </c>
      <c r="CQ156" s="577">
        <f>+INPUT!EN33</f>
        <v>14.859437751004023</v>
      </c>
      <c r="CR156" s="580">
        <f>+INPUT!EO33</f>
        <v>-2721</v>
      </c>
      <c r="CS156" s="577">
        <f>+INPUT!EP33</f>
        <v>28.228086710650331</v>
      </c>
      <c r="CT156" s="580">
        <f>+INPUT!EQ33</f>
        <v>-2772.1277489559366</v>
      </c>
      <c r="CU156" s="577">
        <f>+INPUT!ER33</f>
        <v>19.180040797761677</v>
      </c>
      <c r="CV156" s="580">
        <f>+INPUT!ES33</f>
        <v>-2707.0123538298158</v>
      </c>
      <c r="CW156" s="577">
        <f>+INPUT!ET33</f>
        <v>13.644515274131635</v>
      </c>
      <c r="CX156" s="580">
        <f>+INPUT!EU33</f>
        <v>-2705.2645543102963</v>
      </c>
      <c r="CY156" s="577">
        <f>+INPUT!EV33</f>
        <v>18.237087163911553</v>
      </c>
      <c r="CZ156" s="580">
        <f>+INPUT!EW33</f>
        <v>-2704.0994374418569</v>
      </c>
      <c r="DA156" s="577">
        <f>+INPUT!EX33</f>
        <v>-0.62111586027722865</v>
      </c>
      <c r="DB156" s="587"/>
      <c r="DC156" s="580">
        <f>+INPUT!FP33</f>
        <v>-5691</v>
      </c>
      <c r="DD156" s="577">
        <f>+INPUT!FQ33</f>
        <v>8.9395099540581953</v>
      </c>
      <c r="DE156" s="580">
        <f>+INPUT!FR33</f>
        <v>-7722</v>
      </c>
      <c r="DF156" s="577">
        <f>+INPUT!FS33</f>
        <v>35.687928307854492</v>
      </c>
      <c r="DG156" s="580">
        <f>+INPUT!FT33</f>
        <v>-9568</v>
      </c>
      <c r="DH156" s="577">
        <f>+INPUT!FU33</f>
        <v>23.905723905723903</v>
      </c>
      <c r="DI156" s="580">
        <f>+INPUT!FV33</f>
        <v>-8000</v>
      </c>
      <c r="DJ156" s="577">
        <f>+INPUT!FW33</f>
        <v>-16.38795986622074</v>
      </c>
      <c r="DK156" s="580">
        <f>+INPUT!FX33</f>
        <v>-5776</v>
      </c>
      <c r="DL156" s="577">
        <f>+INPUT!FY33</f>
        <v>-27.799999999999997</v>
      </c>
      <c r="DM156" s="580">
        <f>+INPUT!FZ33</f>
        <v>-6923</v>
      </c>
      <c r="DN156" s="577">
        <f>+INPUT!GA33</f>
        <v>19.858033240997216</v>
      </c>
      <c r="DO156" s="580">
        <f>+INPUT!GB33</f>
        <v>-7049</v>
      </c>
      <c r="DP156" s="577">
        <f>+INPUT!GC33</f>
        <v>1.8200202224469137</v>
      </c>
      <c r="DQ156" s="580">
        <f>+INPUT!GD33</f>
        <v>-6646</v>
      </c>
      <c r="DR156" s="577">
        <f>+INPUT!GE33</f>
        <v>-5.7171229961696639</v>
      </c>
      <c r="DS156" s="580">
        <f>+INPUT!GF33</f>
        <v>-7567</v>
      </c>
      <c r="DT156" s="577">
        <f>+INPUT!GG33</f>
        <v>13.857959674992486</v>
      </c>
      <c r="DU156" s="580">
        <f>+INPUT!GH33</f>
        <v>-8714</v>
      </c>
      <c r="DV156" s="577">
        <f>+INPUT!GI33</f>
        <v>15.157922558477608</v>
      </c>
      <c r="DW156" s="580">
        <f>+INPUT!GJ33</f>
        <v>-8291</v>
      </c>
      <c r="DX156" s="577">
        <f>+INPUT!GK33</f>
        <v>-4.8542575166398905</v>
      </c>
      <c r="DY156" s="580">
        <f>+INPUT!GL33</f>
        <v>-7776</v>
      </c>
      <c r="DZ156" s="577">
        <f>+INPUT!GM33</f>
        <v>-6.2115546978651537</v>
      </c>
      <c r="EA156" s="580">
        <f>+INPUT!GN33</f>
        <v>-9717</v>
      </c>
      <c r="EB156" s="577">
        <f>+INPUT!GO33</f>
        <v>24.961419753086417</v>
      </c>
      <c r="EC156" s="580">
        <f>+INPUT!GP33</f>
        <v>-10888.504094537904</v>
      </c>
      <c r="ED156" s="577">
        <f>+INPUT!GQ33</f>
        <v>12.056232320036059</v>
      </c>
      <c r="EE156" s="580">
        <f>+INPUT!GR33</f>
        <v>-10860.628861991079</v>
      </c>
      <c r="EF156" s="577">
        <f>+INPUT!GS33</f>
        <v>-0.25600608040188888</v>
      </c>
      <c r="EG156" s="580">
        <f>+INPUT!GT33</f>
        <v>-11129.025154871506</v>
      </c>
      <c r="EH156" s="577">
        <f>+INPUT!GU33</f>
        <v>2.4712776423079248</v>
      </c>
      <c r="EI156" s="580">
        <f>+INPUT!GV33</f>
        <v>-11432.864173290547</v>
      </c>
      <c r="EJ156" s="577">
        <f>+INPUT!GW33</f>
        <v>2.7301494442758383</v>
      </c>
      <c r="EK156" s="580">
        <f>+INPUT!GX33</f>
        <v>-11777.97573946973</v>
      </c>
      <c r="EL156" s="577">
        <f>+INPUT!GY33</f>
        <v>3.0185923750011057</v>
      </c>
      <c r="EM156" s="577">
        <f>+INPUT!GZ33</f>
        <v>3.9220464953905854</v>
      </c>
    </row>
    <row r="157" spans="1:144" ht="12.75" hidden="1" customHeight="1" outlineLevel="1" x14ac:dyDescent="0.2">
      <c r="A157" s="579" t="str">
        <f>+INPUT!B34</f>
        <v xml:space="preserve">  Benefit Payments</v>
      </c>
      <c r="B157" s="580">
        <f>+INPUT!AY34</f>
        <v>-198</v>
      </c>
      <c r="C157" s="577">
        <f>+INPUT!AZ34</f>
        <v>36.551724137931046</v>
      </c>
      <c r="D157" s="580">
        <f>+INPUT!BA34</f>
        <v>-225</v>
      </c>
      <c r="E157" s="577">
        <f>+INPUT!BB34</f>
        <v>52.027027027027032</v>
      </c>
      <c r="F157" s="580">
        <f>+INPUT!BC34</f>
        <v>-244</v>
      </c>
      <c r="G157" s="577">
        <f>+INPUT!BD34</f>
        <v>61.589403973509945</v>
      </c>
      <c r="H157" s="580">
        <f>+INPUT!BE34</f>
        <v>-264</v>
      </c>
      <c r="I157" s="577">
        <f>+INPUT!BF34</f>
        <v>67.088607594936718</v>
      </c>
      <c r="J157" s="580">
        <f>+INPUT!BG34</f>
        <v>-306</v>
      </c>
      <c r="K157" s="577">
        <f>+INPUT!BH34</f>
        <v>54.545454545454533</v>
      </c>
      <c r="L157" s="580">
        <f>+INPUT!BI34</f>
        <v>-299</v>
      </c>
      <c r="M157" s="577">
        <f>+INPUT!BJ34</f>
        <v>32.888888888888886</v>
      </c>
      <c r="N157" s="580">
        <f>+INPUT!BK34</f>
        <v>-265</v>
      </c>
      <c r="O157" s="577">
        <f>+INPUT!BL34</f>
        <v>8.6065573770491852</v>
      </c>
      <c r="P157" s="580">
        <f>+INPUT!BM34</f>
        <v>-261</v>
      </c>
      <c r="Q157" s="577">
        <f>+INPUT!BN34</f>
        <v>-1.1363636363636402</v>
      </c>
      <c r="R157" s="580">
        <f>+INPUT!BO34</f>
        <v>-294</v>
      </c>
      <c r="S157" s="577">
        <f>+INPUT!BP34</f>
        <v>-3.9215686274509807</v>
      </c>
      <c r="T157" s="580">
        <f>+INPUT!BQ34</f>
        <v>-262</v>
      </c>
      <c r="U157" s="577">
        <f>+INPUT!BR34</f>
        <v>-12.374581939799327</v>
      </c>
      <c r="V157" s="580">
        <f>+INPUT!BS34</f>
        <v>-259</v>
      </c>
      <c r="W157" s="577">
        <f>+INPUT!BT34</f>
        <v>-2.2641509433962312</v>
      </c>
      <c r="X157" s="580">
        <f>+INPUT!BU34</f>
        <v>-242</v>
      </c>
      <c r="Y157" s="577">
        <f>+INPUT!BV34</f>
        <v>-7.279693486590034</v>
      </c>
      <c r="Z157" s="580">
        <f>+INPUT!BW34</f>
        <v>-256</v>
      </c>
      <c r="AA157" s="577">
        <f>+INPUT!BX34</f>
        <v>-12.925170068027214</v>
      </c>
      <c r="AB157" s="580">
        <f>+INPUT!BY34</f>
        <v>-236</v>
      </c>
      <c r="AC157" s="577">
        <f>+INPUT!BZ34</f>
        <v>-9.92366412213741</v>
      </c>
      <c r="AD157" s="580">
        <f>+INPUT!CA34</f>
        <v>-239</v>
      </c>
      <c r="AE157" s="577">
        <f>+INPUT!CB34</f>
        <v>-7.7220077220077172</v>
      </c>
      <c r="AF157" s="580">
        <f>+INPUT!CC34</f>
        <v>-257</v>
      </c>
      <c r="AG157" s="577">
        <f>+INPUT!CD34</f>
        <v>6.1983471074380105</v>
      </c>
      <c r="AH157" s="580">
        <f>+INPUT!CE34</f>
        <v>-266</v>
      </c>
      <c r="AI157" s="577">
        <f>+INPUT!CF34</f>
        <v>3.90625</v>
      </c>
      <c r="AJ157" s="580">
        <f>+INPUT!CG34</f>
        <v>-203</v>
      </c>
      <c r="AK157" s="577">
        <f>+INPUT!CH34</f>
        <v>-13.983050847457619</v>
      </c>
      <c r="AL157" s="580">
        <f>+INPUT!CI34</f>
        <v>-260</v>
      </c>
      <c r="AM157" s="577">
        <f>+INPUT!CJ34</f>
        <v>8.7866108786610795</v>
      </c>
      <c r="AN157" s="580">
        <f>+INPUT!CK34</f>
        <v>-252</v>
      </c>
      <c r="AO157" s="577">
        <f>+INPUT!CL34</f>
        <v>-1.9455252918288011</v>
      </c>
      <c r="AP157" s="580">
        <f>+INPUT!CM34</f>
        <v>-254</v>
      </c>
      <c r="AQ157" s="577">
        <f>+INPUT!CN34</f>
        <v>-4.5112781954887282</v>
      </c>
      <c r="AR157" s="580">
        <f>+INPUT!CO34</f>
        <v>-290</v>
      </c>
      <c r="AS157" s="577">
        <f>+INPUT!CP34</f>
        <v>42.857142857142861</v>
      </c>
      <c r="AT157" s="580">
        <f>+INPUT!CQ34</f>
        <v>-272</v>
      </c>
      <c r="AU157" s="577">
        <f>+INPUT!CR34</f>
        <v>4.6153846153846274</v>
      </c>
      <c r="AV157" s="580">
        <f>+INPUT!CS34</f>
        <v>-276</v>
      </c>
      <c r="AW157" s="577">
        <f>+INPUT!CT34</f>
        <v>9.5238095238095326</v>
      </c>
      <c r="AX157" s="580">
        <f>+INPUT!CU34</f>
        <v>-285</v>
      </c>
      <c r="AY157" s="577">
        <f>+INPUT!CV34</f>
        <v>12.204724409448815</v>
      </c>
      <c r="AZ157" s="580">
        <f>+INPUT!CW34</f>
        <v>-288</v>
      </c>
      <c r="BA157" s="577">
        <f>+INPUT!CX34</f>
        <v>-0.68965517241379359</v>
      </c>
      <c r="BB157" s="580">
        <f>+INPUT!CY34</f>
        <v>-283</v>
      </c>
      <c r="BC157" s="577">
        <f>+INPUT!CZ34</f>
        <v>4.044117647058826</v>
      </c>
      <c r="BD157" s="580">
        <f>+INPUT!DA34</f>
        <v>-313</v>
      </c>
      <c r="BE157" s="577">
        <f>+INPUT!DB34</f>
        <v>13.405797101449267</v>
      </c>
      <c r="BF157" s="580">
        <f>+INPUT!DC34</f>
        <v>-310</v>
      </c>
      <c r="BG157" s="577">
        <f>+INPUT!DD34</f>
        <v>8.7719298245614112</v>
      </c>
      <c r="BH157" s="580">
        <f>+INPUT!DE34</f>
        <v>-326</v>
      </c>
      <c r="BI157" s="577">
        <f>+INPUT!DF34</f>
        <v>13.194444444444443</v>
      </c>
      <c r="BJ157" s="580">
        <f>+INPUT!DG34</f>
        <v>-310</v>
      </c>
      <c r="BK157" s="577">
        <f>+INPUT!DH34</f>
        <v>9.5406360424028236</v>
      </c>
      <c r="BL157" s="580">
        <f>+INPUT!DI34</f>
        <v>-336</v>
      </c>
      <c r="BM157" s="577">
        <f>+INPUT!DJ34</f>
        <v>7.3482428115015921</v>
      </c>
      <c r="BN157" s="580">
        <f>+INPUT!DK34</f>
        <v>-340</v>
      </c>
      <c r="BO157" s="577">
        <f>+INPUT!DL34</f>
        <v>9.6774193548387046</v>
      </c>
      <c r="BP157" s="580">
        <f>+INPUT!DM34</f>
        <v>-406</v>
      </c>
      <c r="BQ157" s="577">
        <f>+INPUT!DN34</f>
        <v>24.539877300613483</v>
      </c>
      <c r="BR157" s="580">
        <f>+INPUT!DO34</f>
        <v>-345</v>
      </c>
      <c r="BS157" s="577">
        <f>+INPUT!DP34</f>
        <v>11.290322580645153</v>
      </c>
      <c r="BT157" s="580">
        <f>+INPUT!DQ34</f>
        <v>-368</v>
      </c>
      <c r="BU157" s="577">
        <f>+INPUT!DR34</f>
        <v>9.5238095238095326</v>
      </c>
      <c r="BV157" s="580">
        <f>+INPUT!DS34</f>
        <v>-400</v>
      </c>
      <c r="BW157" s="577">
        <f>+INPUT!DT34</f>
        <v>17.64705882352942</v>
      </c>
      <c r="BX157" s="580">
        <f>+INPUT!DU34</f>
        <v>-390</v>
      </c>
      <c r="BY157" s="577">
        <f>+INPUT!DV34</f>
        <v>-3.9408866995073879</v>
      </c>
      <c r="BZ157" s="580">
        <f>+INPUT!DW34</f>
        <v>-400</v>
      </c>
      <c r="CA157" s="577">
        <f>+INPUT!DX34</f>
        <v>15.94202898550725</v>
      </c>
      <c r="CB157" s="580">
        <f>+INPUT!DY34</f>
        <v>-351</v>
      </c>
      <c r="CC157" s="577">
        <f>+INPUT!DZ34</f>
        <v>-4.6195652173913118</v>
      </c>
      <c r="CD157" s="580">
        <f>+INPUT!EA34</f>
        <v>-355</v>
      </c>
      <c r="CE157" s="577">
        <f>+INPUT!EB34</f>
        <v>-11.25</v>
      </c>
      <c r="CF157" s="580">
        <f>+INPUT!EC34</f>
        <v>-399</v>
      </c>
      <c r="CG157" s="577">
        <f>+INPUT!ED34</f>
        <v>2.3076923076922924</v>
      </c>
      <c r="CH157" s="580">
        <f>+INPUT!EE34</f>
        <v>-349</v>
      </c>
      <c r="CI157" s="577">
        <f>+INPUT!EF34</f>
        <v>-12.75</v>
      </c>
      <c r="CJ157" s="580">
        <f>+INPUT!EG34</f>
        <v>-347</v>
      </c>
      <c r="CK157" s="577">
        <f>+INPUT!EH34</f>
        <v>-1.1396011396011403</v>
      </c>
      <c r="CL157" s="580">
        <f>+INPUT!EI34</f>
        <v>-413</v>
      </c>
      <c r="CM157" s="577">
        <f>+INPUT!EJ34</f>
        <v>16.338028169014081</v>
      </c>
      <c r="CN157" s="580">
        <f>+INPUT!EK34</f>
        <v>-391</v>
      </c>
      <c r="CO157" s="577">
        <f>+INPUT!EL34</f>
        <v>-2.0050125313283189</v>
      </c>
      <c r="CP157" s="580">
        <f>+INPUT!EM34</f>
        <v>-359</v>
      </c>
      <c r="CQ157" s="577">
        <f>+INPUT!EN34</f>
        <v>2.8653295128939789</v>
      </c>
      <c r="CR157" s="580">
        <f>+INPUT!EO34</f>
        <v>-395</v>
      </c>
      <c r="CS157" s="577">
        <f>+INPUT!EP34</f>
        <v>13.8328530259366</v>
      </c>
      <c r="CT157" s="580">
        <f>+INPUT!EQ34</f>
        <v>-402.42207307519107</v>
      </c>
      <c r="CU157" s="577">
        <f>+INPUT!ER34</f>
        <v>-2.5612413861522754</v>
      </c>
      <c r="CV157" s="580">
        <f>+INPUT!ES34</f>
        <v>-392.96945232002111</v>
      </c>
      <c r="CW157" s="577">
        <f>+INPUT!ET34</f>
        <v>0.50369624552968162</v>
      </c>
      <c r="CX157" s="580">
        <f>+INPUT!EU34</f>
        <v>-392.71572912626493</v>
      </c>
      <c r="CY157" s="577">
        <f>+INPUT!EV34</f>
        <v>9.3915680017450995</v>
      </c>
      <c r="CZ157" s="580">
        <f>+INPUT!EW34</f>
        <v>-392.54659235190496</v>
      </c>
      <c r="DA157" s="577">
        <f>+INPUT!EX34</f>
        <v>-0.62111586027722865</v>
      </c>
      <c r="DB157" s="587"/>
      <c r="DC157" s="580">
        <f>+INPUT!FP34</f>
        <v>-602</v>
      </c>
      <c r="DD157" s="577">
        <f>+INPUT!FQ34</f>
        <v>-1.7944535073409469</v>
      </c>
      <c r="DE157" s="580">
        <f>+INPUT!FR34</f>
        <v>-931</v>
      </c>
      <c r="DF157" s="577">
        <f>+INPUT!FS34</f>
        <v>54.651162790697697</v>
      </c>
      <c r="DG157" s="580">
        <f>+INPUT!FT34</f>
        <v>-1131</v>
      </c>
      <c r="DH157" s="577">
        <f>+INPUT!FU34</f>
        <v>21.482277121374864</v>
      </c>
      <c r="DI157" s="580">
        <f>+INPUT!FV34</f>
        <v>-1057</v>
      </c>
      <c r="DJ157" s="577">
        <f>+INPUT!FW34</f>
        <v>-6.5428824049513707</v>
      </c>
      <c r="DK157" s="580">
        <f>+INPUT!FX34</f>
        <v>-988</v>
      </c>
      <c r="DL157" s="577">
        <f>+INPUT!FY34</f>
        <v>-6.5279091769157986</v>
      </c>
      <c r="DM157" s="580">
        <f>+INPUT!FZ34</f>
        <v>-981</v>
      </c>
      <c r="DN157" s="577">
        <f>+INPUT!GA34</f>
        <v>-0.70850202429150499</v>
      </c>
      <c r="DO157" s="580">
        <f>+INPUT!GB34</f>
        <v>-1092</v>
      </c>
      <c r="DP157" s="577">
        <f>+INPUT!GC34</f>
        <v>11.314984709480115</v>
      </c>
      <c r="DQ157" s="580">
        <f>+INPUT!GD34</f>
        <v>-1169</v>
      </c>
      <c r="DR157" s="577">
        <f>+INPUT!GE34</f>
        <v>7.051282051282044</v>
      </c>
      <c r="DS157" s="580">
        <f>+INPUT!GF34</f>
        <v>-1282</v>
      </c>
      <c r="DT157" s="577">
        <f>+INPUT!GG34</f>
        <v>9.6663815226689422</v>
      </c>
      <c r="DU157" s="580">
        <f>+INPUT!GH34</f>
        <v>-1459</v>
      </c>
      <c r="DV157" s="577">
        <f>+INPUT!GI34</f>
        <v>13.806552262090491</v>
      </c>
      <c r="DW157" s="580">
        <f>+INPUT!GJ34</f>
        <v>-1541</v>
      </c>
      <c r="DX157" s="577">
        <f>+INPUT!GK34</f>
        <v>5.6202878684030111</v>
      </c>
      <c r="DY157" s="580">
        <f>+INPUT!GL34</f>
        <v>-1450</v>
      </c>
      <c r="DZ157" s="577">
        <f>+INPUT!GM34</f>
        <v>-5.9052563270603429</v>
      </c>
      <c r="EA157" s="580">
        <f>+INPUT!GN34</f>
        <v>-1558</v>
      </c>
      <c r="EB157" s="577">
        <f>+INPUT!GO34</f>
        <v>7.4482758620689822</v>
      </c>
      <c r="EC157" s="580">
        <f>+INPUT!GP34</f>
        <v>-1580.653846873382</v>
      </c>
      <c r="ED157" s="577">
        <f>+INPUT!GQ34</f>
        <v>1.4540338172902381</v>
      </c>
      <c r="EE157" s="580">
        <f>+INPUT!GR34</f>
        <v>-1541.5350840512442</v>
      </c>
      <c r="EF157" s="577">
        <f>+INPUT!GS34</f>
        <v>-2.4748469058875031</v>
      </c>
      <c r="EG157" s="580">
        <f>+INPUT!GT34</f>
        <v>-1545.255925103852</v>
      </c>
      <c r="EH157" s="577">
        <f>+INPUT!GU34</f>
        <v>0.24137245341371738</v>
      </c>
      <c r="EI157" s="580">
        <f>+INPUT!GV34</f>
        <v>-1553.6346571588961</v>
      </c>
      <c r="EJ157" s="577">
        <f>+INPUT!GW34</f>
        <v>0.54222293659745446</v>
      </c>
      <c r="EK157" s="580">
        <f>+INPUT!GX34</f>
        <v>-1567.155583227752</v>
      </c>
      <c r="EL157" s="577">
        <f>+INPUT!GY34</f>
        <v>0.87027706330789556</v>
      </c>
      <c r="EM157" s="577">
        <f>+INPUT!GZ34</f>
        <v>0.11725465588143802</v>
      </c>
    </row>
    <row r="158" spans="1:144" ht="12.75" hidden="1" customHeight="1" outlineLevel="1" x14ac:dyDescent="0.2">
      <c r="A158" s="579" t="str">
        <f>+INPUT!B35</f>
        <v xml:space="preserve">  Change in Market Value</v>
      </c>
      <c r="B158" s="580">
        <f>+INPUT!AY35</f>
        <v>2241</v>
      </c>
      <c r="C158" s="577" t="str">
        <f>+INPUT!AZ35</f>
        <v>NM</v>
      </c>
      <c r="D158" s="580">
        <f>+INPUT!BA35</f>
        <v>-1000</v>
      </c>
      <c r="E158" s="577" t="str">
        <f>+INPUT!BB35</f>
        <v>NM</v>
      </c>
      <c r="F158" s="580">
        <f>+INPUT!BC35</f>
        <v>2012</v>
      </c>
      <c r="G158" s="577">
        <f>+INPUT!BD35</f>
        <v>7.2494669509594871</v>
      </c>
      <c r="H158" s="580">
        <f>+INPUT!BE35</f>
        <v>4208</v>
      </c>
      <c r="I158" s="577" t="str">
        <f>+INPUT!BF35</f>
        <v>NM</v>
      </c>
      <c r="J158" s="580">
        <f>+INPUT!BG35</f>
        <v>1168</v>
      </c>
      <c r="K158" s="577">
        <f>+INPUT!BH35</f>
        <v>-47.880410531012942</v>
      </c>
      <c r="L158" s="580">
        <f>+INPUT!BI35</f>
        <v>3478</v>
      </c>
      <c r="M158" s="577" t="str">
        <f>+INPUT!BJ35</f>
        <v>NM</v>
      </c>
      <c r="N158" s="580">
        <f>+INPUT!BK35</f>
        <v>2295</v>
      </c>
      <c r="O158" s="577">
        <f>+INPUT!BL35</f>
        <v>14.065606361829026</v>
      </c>
      <c r="P158" s="580">
        <f>+INPUT!BM35</f>
        <v>-865</v>
      </c>
      <c r="Q158" s="577" t="str">
        <f>+INPUT!BN35</f>
        <v>NM</v>
      </c>
      <c r="R158" s="580">
        <f>+INPUT!BO35</f>
        <v>-5409</v>
      </c>
      <c r="S158" s="577" t="str">
        <f>+INPUT!BP35</f>
        <v>NM</v>
      </c>
      <c r="T158" s="580">
        <f>+INPUT!BQ35</f>
        <v>-246</v>
      </c>
      <c r="U158" s="577" t="str">
        <f>+INPUT!BR35</f>
        <v>NM</v>
      </c>
      <c r="V158" s="580">
        <f>+INPUT!BS35</f>
        <v>-6712</v>
      </c>
      <c r="W158" s="577" t="str">
        <f>+INPUT!BT35</f>
        <v>NM</v>
      </c>
      <c r="X158" s="580">
        <f>+INPUT!BU35</f>
        <v>-7986</v>
      </c>
      <c r="Y158" s="577" t="str">
        <f>+INPUT!BV35</f>
        <v>NM</v>
      </c>
      <c r="Z158" s="580">
        <f>+INPUT!BW35</f>
        <v>-2269</v>
      </c>
      <c r="AA158" s="577" t="str">
        <f>+INPUT!BX35</f>
        <v>NM</v>
      </c>
      <c r="AB158" s="580">
        <f>+INPUT!BY35</f>
        <v>5566</v>
      </c>
      <c r="AC158" s="577" t="str">
        <f>+INPUT!BZ35</f>
        <v>NM</v>
      </c>
      <c r="AD158" s="580">
        <f>+INPUT!CA35</f>
        <v>6650</v>
      </c>
      <c r="AE158" s="577" t="str">
        <f>+INPUT!CB35</f>
        <v>NM</v>
      </c>
      <c r="AF158" s="580">
        <f>+INPUT!CC35</f>
        <v>2273</v>
      </c>
      <c r="AG158" s="577" t="str">
        <f>+INPUT!CD35</f>
        <v>NM</v>
      </c>
      <c r="AH158" s="580">
        <f>+INPUT!CE35</f>
        <v>2288</v>
      </c>
      <c r="AI158" s="577" t="str">
        <f>+INPUT!CF35</f>
        <v>NM</v>
      </c>
      <c r="AJ158" s="580">
        <f>+INPUT!CG35</f>
        <v>-4784</v>
      </c>
      <c r="AK158" s="577" t="str">
        <f>+INPUT!CH35</f>
        <v>NM</v>
      </c>
      <c r="AL158" s="580">
        <f>+INPUT!CI35</f>
        <v>6756</v>
      </c>
      <c r="AM158" s="577">
        <f>+INPUT!CJ35</f>
        <v>1.5939849624060116</v>
      </c>
      <c r="AN158" s="580">
        <f>+INPUT!CK35</f>
        <v>5488</v>
      </c>
      <c r="AO158" s="577" t="str">
        <f>+INPUT!CL35</f>
        <v>NM</v>
      </c>
      <c r="AP158" s="580">
        <f>+INPUT!CM35</f>
        <v>3552</v>
      </c>
      <c r="AQ158" s="577">
        <f>+INPUT!CN35</f>
        <v>55.244755244755254</v>
      </c>
      <c r="AR158" s="580">
        <f>+INPUT!CO35</f>
        <v>493</v>
      </c>
      <c r="AS158" s="577" t="str">
        <f>+INPUT!CP35</f>
        <v>NM</v>
      </c>
      <c r="AT158" s="580">
        <f>+INPUT!CQ35</f>
        <v>-11330</v>
      </c>
      <c r="AU158" s="577" t="str">
        <f>+INPUT!CR35</f>
        <v>NM</v>
      </c>
      <c r="AV158" s="580">
        <f>+INPUT!CS35</f>
        <v>4835</v>
      </c>
      <c r="AW158" s="577">
        <f>+INPUT!CT35</f>
        <v>-11.898688046647237</v>
      </c>
      <c r="AX158" s="580">
        <f>+INPUT!CU35</f>
        <v>8171</v>
      </c>
      <c r="AY158" s="577" t="str">
        <f>+INPUT!CV35</f>
        <v>NM</v>
      </c>
      <c r="AZ158" s="580">
        <f>+INPUT!CW35</f>
        <v>-2742</v>
      </c>
      <c r="BA158" s="577" t="str">
        <f>+INPUT!CX35</f>
        <v>NM</v>
      </c>
      <c r="BB158" s="580">
        <f>+INPUT!CY35</f>
        <v>5264</v>
      </c>
      <c r="BC158" s="577" t="str">
        <f>+INPUT!CZ35</f>
        <v>NM</v>
      </c>
      <c r="BD158" s="580">
        <f>+INPUT!DA35</f>
        <v>1687</v>
      </c>
      <c r="BE158" s="577" t="str">
        <f>+INPUT!DB35</f>
        <v>NM</v>
      </c>
      <c r="BF158" s="580">
        <f>+INPUT!DC35</f>
        <v>6039</v>
      </c>
      <c r="BG158" s="577">
        <f>+INPUT!DD35</f>
        <v>-26.092277567005269</v>
      </c>
      <c r="BH158" s="580">
        <f>+INPUT!DE35</f>
        <v>-666</v>
      </c>
      <c r="BI158" s="577" t="str">
        <f>+INPUT!DF35</f>
        <v>NM</v>
      </c>
      <c r="BJ158" s="580">
        <f>+INPUT!DG35</f>
        <v>6479</v>
      </c>
      <c r="BK158" s="577">
        <f>+INPUT!DH35</f>
        <v>23.081306990881473</v>
      </c>
      <c r="BL158" s="580">
        <f>+INPUT!DI35</f>
        <v>7603</v>
      </c>
      <c r="BM158" s="577" t="str">
        <f>+INPUT!DJ35</f>
        <v>NM</v>
      </c>
      <c r="BN158" s="580">
        <f>+INPUT!DK35</f>
        <v>2194</v>
      </c>
      <c r="BO158" s="577" t="str">
        <f>+INPUT!DL35</f>
        <v>NM</v>
      </c>
      <c r="BP158" s="580">
        <f>+INPUT!DM35</f>
        <v>5081</v>
      </c>
      <c r="BQ158" s="577" t="str">
        <f>+INPUT!DN35</f>
        <v>NM</v>
      </c>
      <c r="BR158" s="580">
        <f>+INPUT!DO35</f>
        <v>-1891</v>
      </c>
      <c r="BS158" s="577" t="str">
        <f>+INPUT!DP35</f>
        <v>NM</v>
      </c>
      <c r="BT158" s="580">
        <f>+INPUT!DQ35</f>
        <v>2945</v>
      </c>
      <c r="BU158" s="577" t="str">
        <f>+INPUT!DR35</f>
        <v>NM</v>
      </c>
      <c r="BV158" s="580">
        <f>+INPUT!DS35</f>
        <v>3713</v>
      </c>
      <c r="BW158" s="577">
        <f>+INPUT!DT35</f>
        <v>69.234275296262524</v>
      </c>
      <c r="BX158" s="580">
        <f>+INPUT!DU35</f>
        <v>-983</v>
      </c>
      <c r="BY158" s="577" t="str">
        <f>+INPUT!DV35</f>
        <v>NM</v>
      </c>
      <c r="BZ158" s="580">
        <f>+INPUT!DW35</f>
        <v>-7594</v>
      </c>
      <c r="CA158" s="577" t="str">
        <f>+INPUT!DX35</f>
        <v>NM</v>
      </c>
      <c r="CB158" s="580">
        <f>+INPUT!DY35</f>
        <v>3909</v>
      </c>
      <c r="CC158" s="577">
        <f>+INPUT!DZ35</f>
        <v>32.73344651952462</v>
      </c>
      <c r="CD158" s="580">
        <f>+INPUT!EA35</f>
        <v>764</v>
      </c>
      <c r="CE158" s="577" t="str">
        <f>+INPUT!EB35</f>
        <v>NM</v>
      </c>
      <c r="CF158" s="580">
        <f>+INPUT!EC35</f>
        <v>2873</v>
      </c>
      <c r="CG158" s="577" t="str">
        <f>+INPUT!ED35</f>
        <v>NM</v>
      </c>
      <c r="CH158" s="580">
        <f>+INPUT!EE35</f>
        <v>4877</v>
      </c>
      <c r="CI158" s="577" t="str">
        <f>+INPUT!EF35</f>
        <v>NM</v>
      </c>
      <c r="CJ158" s="580">
        <f>+INPUT!EG35</f>
        <v>124</v>
      </c>
      <c r="CK158" s="577" t="str">
        <f>+INPUT!EH35</f>
        <v>NM</v>
      </c>
      <c r="CL158" s="580">
        <f>+INPUT!EI35</f>
        <v>5751</v>
      </c>
      <c r="CM158" s="577" t="str">
        <f>+INPUT!EJ35</f>
        <v>NM</v>
      </c>
      <c r="CN158" s="580">
        <f>+INPUT!EK35</f>
        <v>4578</v>
      </c>
      <c r="CO158" s="577">
        <f>+INPUT!EL35</f>
        <v>59.345631743821798</v>
      </c>
      <c r="CP158" s="580">
        <f>+INPUT!EM35</f>
        <v>5170</v>
      </c>
      <c r="CQ158" s="577">
        <f>+INPUT!EN35</f>
        <v>6.0077916752101714</v>
      </c>
      <c r="CR158" s="580">
        <f>+INPUT!EO35</f>
        <v>5494</v>
      </c>
      <c r="CS158" s="577" t="str">
        <f>+INPUT!EP35</f>
        <v>NM</v>
      </c>
      <c r="CT158" s="580">
        <f>+INPUT!EQ35</f>
        <v>-1387.2851999999998</v>
      </c>
      <c r="CU158" s="577" t="str">
        <f>+INPUT!ER35</f>
        <v>NM</v>
      </c>
      <c r="CV158" s="580">
        <f>+INPUT!ES35</f>
        <v>2257.8313572186912</v>
      </c>
      <c r="CW158" s="577" t="str">
        <f>+INPUT!ET35</f>
        <v>NM</v>
      </c>
      <c r="CX158" s="580">
        <f>+INPUT!EU35</f>
        <v>2256.3735742293666</v>
      </c>
      <c r="CY158" s="577" t="str">
        <f>+INPUT!EV35</f>
        <v>NM</v>
      </c>
      <c r="CZ158" s="580">
        <f>+INPUT!EW35</f>
        <v>2255.4017879733256</v>
      </c>
      <c r="DA158" s="577" t="str">
        <f>+INPUT!EX35</f>
        <v>NM</v>
      </c>
      <c r="DB158" s="587"/>
      <c r="DC158" s="580">
        <f>+INPUT!FP35</f>
        <v>3223</v>
      </c>
      <c r="DD158" s="577">
        <f>+INPUT!FQ35</f>
        <v>-21.217306282082617</v>
      </c>
      <c r="DE158" s="580">
        <f>+INPUT!FR35</f>
        <v>7461</v>
      </c>
      <c r="DF158" s="577" t="str">
        <f>+INPUT!FS35</f>
        <v>NM</v>
      </c>
      <c r="DG158" s="580">
        <f>+INPUT!FT35</f>
        <v>6076</v>
      </c>
      <c r="DH158" s="577">
        <f>+INPUT!FU35</f>
        <v>-18.563195282133762</v>
      </c>
      <c r="DI158" s="580">
        <f>+INPUT!FV35</f>
        <v>-20353</v>
      </c>
      <c r="DJ158" s="577" t="str">
        <f>+INPUT!FW35</f>
        <v>NM</v>
      </c>
      <c r="DK158" s="580">
        <f>+INPUT!FX35</f>
        <v>12220</v>
      </c>
      <c r="DL158" s="577" t="str">
        <f>+INPUT!FY35</f>
        <v>NM</v>
      </c>
      <c r="DM158" s="580">
        <f>+INPUT!FZ35</f>
        <v>9748</v>
      </c>
      <c r="DN158" s="577">
        <f>+INPUT!GA35</f>
        <v>-20.229132569558104</v>
      </c>
      <c r="DO158" s="580">
        <f>+INPUT!GB35</f>
        <v>-2450</v>
      </c>
      <c r="DP158" s="577" t="str">
        <f>+INPUT!GC35</f>
        <v>NM</v>
      </c>
      <c r="DQ158" s="580">
        <f>+INPUT!GD35</f>
        <v>12380</v>
      </c>
      <c r="DR158" s="577" t="str">
        <f>+INPUT!GE35</f>
        <v>NM</v>
      </c>
      <c r="DS158" s="580">
        <f>+INPUT!GF35</f>
        <v>19455</v>
      </c>
      <c r="DT158" s="577">
        <f>+INPUT!GG35</f>
        <v>57.148626817447507</v>
      </c>
      <c r="DU158" s="580">
        <f>+INPUT!GH35</f>
        <v>8329</v>
      </c>
      <c r="DV158" s="577" t="str">
        <f>+INPUT!GI35</f>
        <v>NM</v>
      </c>
      <c r="DW158" s="580">
        <f>+INPUT!GJ35</f>
        <v>-955</v>
      </c>
      <c r="DX158" s="577" t="str">
        <f>+INPUT!GK35</f>
        <v>NM</v>
      </c>
      <c r="DY158" s="580">
        <f>+INPUT!GL35</f>
        <v>8638</v>
      </c>
      <c r="DZ158" s="577" t="str">
        <f>+INPUT!GM35</f>
        <v>NM</v>
      </c>
      <c r="EA158" s="580">
        <f>+INPUT!GN35</f>
        <v>20993</v>
      </c>
      <c r="EB158" s="577" t="str">
        <f>+INPUT!GO35</f>
        <v>NM</v>
      </c>
      <c r="EC158" s="580">
        <f>+INPUT!GP35</f>
        <v>5382.3215194213835</v>
      </c>
      <c r="ED158" s="577" t="str">
        <f>+INPUT!GQ35</f>
        <v>NM</v>
      </c>
      <c r="EE158" s="580">
        <f>+INPUT!GR35</f>
        <v>9019.6801010130966</v>
      </c>
      <c r="EF158" s="577">
        <f>+INPUT!GS35</f>
        <v>67.579734292475734</v>
      </c>
      <c r="EG158" s="580">
        <f>+INPUT!GT35</f>
        <v>9041.4511241629825</v>
      </c>
      <c r="EH158" s="577">
        <f>+INPUT!GU35</f>
        <v>0.24137245341373159</v>
      </c>
      <c r="EI158" s="580">
        <f>+INPUT!GV35</f>
        <v>9090.4759459594407</v>
      </c>
      <c r="EJ158" s="577">
        <f>+INPUT!GW35</f>
        <v>0.54222293659742604</v>
      </c>
      <c r="EK158" s="580">
        <f>+INPUT!GX35</f>
        <v>9169.5882730626454</v>
      </c>
      <c r="EL158" s="577">
        <f>+INPUT!GY35</f>
        <v>0.87027706330786714</v>
      </c>
      <c r="EM158" s="577">
        <f>+INPUT!GZ35</f>
        <v>-15.266515559823624</v>
      </c>
    </row>
    <row r="159" spans="1:144" ht="12.75" hidden="1" customHeight="1" outlineLevel="1" x14ac:dyDescent="0.2">
      <c r="A159" s="579" t="str">
        <f>+INPUT!B36</f>
        <v xml:space="preserve">  Policy Charges</v>
      </c>
      <c r="B159" s="580">
        <f>+INPUT!AY36</f>
        <v>-184</v>
      </c>
      <c r="C159" s="577">
        <f>+INPUT!AZ36</f>
        <v>16.455696202531641</v>
      </c>
      <c r="D159" s="580">
        <f>+INPUT!BA36</f>
        <v>-204</v>
      </c>
      <c r="E159" s="577">
        <f>+INPUT!BB36</f>
        <v>27.499999999999986</v>
      </c>
      <c r="F159" s="580">
        <f>+INPUT!BC36</f>
        <v>-259</v>
      </c>
      <c r="G159" s="577">
        <f>+INPUT!BD36</f>
        <v>47.159090909090907</v>
      </c>
      <c r="H159" s="580">
        <f>+INPUT!BE36</f>
        <v>-289</v>
      </c>
      <c r="I159" s="577">
        <f>+INPUT!BF36</f>
        <v>58.791208791208788</v>
      </c>
      <c r="J159" s="580">
        <f>+INPUT!BG36</f>
        <v>-295</v>
      </c>
      <c r="K159" s="577">
        <f>+INPUT!BH36</f>
        <v>60.326086956521721</v>
      </c>
      <c r="L159" s="580">
        <f>+INPUT!BI36</f>
        <v>-320</v>
      </c>
      <c r="M159" s="577">
        <f>+INPUT!BJ36</f>
        <v>56.862745098039227</v>
      </c>
      <c r="N159" s="580">
        <f>+INPUT!BK36</f>
        <v>-322</v>
      </c>
      <c r="O159" s="577">
        <f>+INPUT!BL36</f>
        <v>24.324324324324323</v>
      </c>
      <c r="P159" s="580">
        <f>+INPUT!BM36</f>
        <v>-343</v>
      </c>
      <c r="Q159" s="577">
        <f>+INPUT!BN36</f>
        <v>18.68512110726644</v>
      </c>
      <c r="R159" s="580">
        <f>+INPUT!BO36</f>
        <v>-306</v>
      </c>
      <c r="S159" s="577">
        <f>+INPUT!BP36</f>
        <v>3.7288135593220488</v>
      </c>
      <c r="T159" s="580">
        <f>+INPUT!BQ36</f>
        <v>-317</v>
      </c>
      <c r="U159" s="577">
        <f>+INPUT!BR36</f>
        <v>-0.9375</v>
      </c>
      <c r="V159" s="580">
        <f>+INPUT!BS36</f>
        <v>-287</v>
      </c>
      <c r="W159" s="577">
        <f>+INPUT!BT36</f>
        <v>-10.869565217391312</v>
      </c>
      <c r="X159" s="580">
        <f>+INPUT!BU36</f>
        <v>-211</v>
      </c>
      <c r="Y159" s="577">
        <f>+INPUT!BV36</f>
        <v>-38.483965014577258</v>
      </c>
      <c r="Z159" s="580">
        <f>+INPUT!BW36</f>
        <v>-205</v>
      </c>
      <c r="AA159" s="577">
        <f>+INPUT!BX36</f>
        <v>-33.006535947712422</v>
      </c>
      <c r="AB159" s="580">
        <f>+INPUT!BY36</f>
        <v>-236</v>
      </c>
      <c r="AC159" s="577">
        <f>+INPUT!BZ36</f>
        <v>-25.552050473186114</v>
      </c>
      <c r="AD159" s="580">
        <f>+INPUT!CA36</f>
        <v>-284</v>
      </c>
      <c r="AE159" s="577">
        <f>+INPUT!CB36</f>
        <v>-1.0452961672473862</v>
      </c>
      <c r="AF159" s="580">
        <f>+INPUT!CC36</f>
        <v>-336</v>
      </c>
      <c r="AG159" s="577">
        <f>+INPUT!CD36</f>
        <v>59.241706161137444</v>
      </c>
      <c r="AH159" s="580">
        <f>+INPUT!CE36</f>
        <v>-359</v>
      </c>
      <c r="AI159" s="577">
        <f>+INPUT!CF36</f>
        <v>75.121951219512198</v>
      </c>
      <c r="AJ159" s="580">
        <f>+INPUT!CG36</f>
        <v>-393</v>
      </c>
      <c r="AK159" s="577">
        <f>+INPUT!CH36</f>
        <v>66.525423728813564</v>
      </c>
      <c r="AL159" s="580">
        <f>+INPUT!CI36</f>
        <v>-422</v>
      </c>
      <c r="AM159" s="577">
        <f>+INPUT!CJ36</f>
        <v>48.591549295774655</v>
      </c>
      <c r="AN159" s="580">
        <f>+INPUT!CK36</f>
        <v>-492</v>
      </c>
      <c r="AO159" s="577">
        <f>+INPUT!CL36</f>
        <v>46.428571428571416</v>
      </c>
      <c r="AP159" s="580">
        <f>+INPUT!CM36</f>
        <v>-525</v>
      </c>
      <c r="AQ159" s="577">
        <f>+INPUT!CN36</f>
        <v>46.239554317548738</v>
      </c>
      <c r="AR159" s="580">
        <f>+INPUT!CO36</f>
        <v>-568</v>
      </c>
      <c r="AS159" s="577">
        <f>+INPUT!CP36</f>
        <v>44.529262086513995</v>
      </c>
      <c r="AT159" s="580">
        <f>+INPUT!CQ36</f>
        <v>-570</v>
      </c>
      <c r="AU159" s="577">
        <f>+INPUT!CR36</f>
        <v>35.071090047393369</v>
      </c>
      <c r="AV159" s="580">
        <f>+INPUT!CS36</f>
        <v>-575</v>
      </c>
      <c r="AW159" s="577">
        <f>+INPUT!CT36</f>
        <v>16.869918699186996</v>
      </c>
      <c r="AX159" s="580">
        <f>+INPUT!CU36</f>
        <v>-620</v>
      </c>
      <c r="AY159" s="577">
        <f>+INPUT!CV36</f>
        <v>18.095238095238102</v>
      </c>
      <c r="AZ159" s="580">
        <f>+INPUT!CW36</f>
        <v>-638</v>
      </c>
      <c r="BA159" s="577">
        <f>+INPUT!CX36</f>
        <v>12.323943661971825</v>
      </c>
      <c r="BB159" s="580">
        <f>+INPUT!CY36</f>
        <v>-691</v>
      </c>
      <c r="BC159" s="577">
        <f>+INPUT!CZ36</f>
        <v>21.228070175438603</v>
      </c>
      <c r="BD159" s="580">
        <f>+INPUT!DA36</f>
        <v>-728</v>
      </c>
      <c r="BE159" s="577">
        <f>+INPUT!DB36</f>
        <v>26.608695652173921</v>
      </c>
      <c r="BF159" s="580">
        <f>+INPUT!DC36</f>
        <v>-735</v>
      </c>
      <c r="BG159" s="577">
        <f>+INPUT!DD36</f>
        <v>18.548387096774206</v>
      </c>
      <c r="BH159" s="580">
        <f>+INPUT!DE36</f>
        <v>-808</v>
      </c>
      <c r="BI159" s="577">
        <f>+INPUT!DF36</f>
        <v>26.645768025078368</v>
      </c>
      <c r="BJ159" s="580">
        <f>+INPUT!DG36</f>
        <v>-811</v>
      </c>
      <c r="BK159" s="577">
        <f>+INPUT!DH36</f>
        <v>17.366136034732278</v>
      </c>
      <c r="BL159" s="580">
        <f>+INPUT!DI36</f>
        <v>-840</v>
      </c>
      <c r="BM159" s="577">
        <f>+INPUT!DJ36</f>
        <v>15.384615384615373</v>
      </c>
      <c r="BN159" s="580">
        <f>+INPUT!DK36</f>
        <v>-847</v>
      </c>
      <c r="BO159" s="577">
        <f>+INPUT!DL36</f>
        <v>15.238095238095227</v>
      </c>
      <c r="BP159" s="580">
        <f>+INPUT!DM36</f>
        <v>-869</v>
      </c>
      <c r="BQ159" s="577">
        <f>+INPUT!DN36</f>
        <v>7.5495049504950487</v>
      </c>
      <c r="BR159" s="580">
        <f>+INPUT!DO36</f>
        <v>-891</v>
      </c>
      <c r="BS159" s="577">
        <f>+INPUT!DP36</f>
        <v>9.8643649815043091</v>
      </c>
      <c r="BT159" s="580">
        <f>+INPUT!DQ36</f>
        <v>-890</v>
      </c>
      <c r="BU159" s="577">
        <f>+INPUT!DR36</f>
        <v>5.952380952380949</v>
      </c>
      <c r="BV159" s="580">
        <f>+INPUT!DS36</f>
        <v>-892</v>
      </c>
      <c r="BW159" s="577">
        <f>+INPUT!DT36</f>
        <v>5.3128689492325947</v>
      </c>
      <c r="BX159" s="580">
        <f>+INPUT!DU36</f>
        <v>-911</v>
      </c>
      <c r="BY159" s="577">
        <f>+INPUT!DV36</f>
        <v>4.833141542002295</v>
      </c>
      <c r="BZ159" s="580">
        <f>+INPUT!DW36</f>
        <v>-895</v>
      </c>
      <c r="CA159" s="577">
        <f>+INPUT!DX36</f>
        <v>0.44893378226711889</v>
      </c>
      <c r="CB159" s="580">
        <f>+INPUT!DY36</f>
        <v>-889</v>
      </c>
      <c r="CC159" s="577">
        <f>+INPUT!DZ36</f>
        <v>-0.11235955056180558</v>
      </c>
      <c r="CD159" s="580">
        <f>+INPUT!EA36</f>
        <v>-857</v>
      </c>
      <c r="CE159" s="577">
        <f>+INPUT!EB36</f>
        <v>-3.9237668161434982</v>
      </c>
      <c r="CF159" s="580">
        <f>+INPUT!EC36</f>
        <v>-885</v>
      </c>
      <c r="CG159" s="577">
        <f>+INPUT!ED36</f>
        <v>-2.8540065861690493</v>
      </c>
      <c r="CH159" s="580">
        <f>+INPUT!EE36</f>
        <v>-909</v>
      </c>
      <c r="CI159" s="577">
        <f>+INPUT!EF36</f>
        <v>1.5642458100558798</v>
      </c>
      <c r="CJ159" s="580">
        <f>+INPUT!EG36</f>
        <v>-901</v>
      </c>
      <c r="CK159" s="577">
        <f>+INPUT!EH36</f>
        <v>1.3498312710911193</v>
      </c>
      <c r="CL159" s="580">
        <f>+INPUT!EI36</f>
        <v>-905</v>
      </c>
      <c r="CM159" s="577">
        <f>+INPUT!EJ36</f>
        <v>5.6009334889148192</v>
      </c>
      <c r="CN159" s="580">
        <f>+INPUT!EK36</f>
        <v>-926</v>
      </c>
      <c r="CO159" s="577">
        <f>+INPUT!EL36</f>
        <v>4.632768361581924</v>
      </c>
      <c r="CP159" s="580">
        <f>+INPUT!EM36</f>
        <v>-936</v>
      </c>
      <c r="CQ159" s="577">
        <f>+INPUT!EN36</f>
        <v>2.9702970297029765</v>
      </c>
      <c r="CR159" s="580">
        <f>+INPUT!EO36</f>
        <v>-945</v>
      </c>
      <c r="CS159" s="577">
        <f>+INPUT!EP36</f>
        <v>4.8834628190898854</v>
      </c>
      <c r="CT159" s="580">
        <f>+INPUT!EQ36</f>
        <v>-962.75660520520398</v>
      </c>
      <c r="CU159" s="577">
        <f>+INPUT!ER36</f>
        <v>6.3819453265418815</v>
      </c>
      <c r="CV159" s="580">
        <f>+INPUT!ES36</f>
        <v>-940.14210744916431</v>
      </c>
      <c r="CW159" s="577">
        <f>+INPUT!ET36</f>
        <v>1.5272254264756384</v>
      </c>
      <c r="CX159" s="580">
        <f>+INPUT!EU36</f>
        <v>-939.53509879574779</v>
      </c>
      <c r="CY159" s="577">
        <f>+INPUT!EV36</f>
        <v>0.37768149527219919</v>
      </c>
      <c r="CZ159" s="580">
        <f>+INPUT!EW36</f>
        <v>-939.13045512038025</v>
      </c>
      <c r="DA159" s="577">
        <f>+INPUT!EX36</f>
        <v>-0.62111586027722865</v>
      </c>
      <c r="DB159" s="587"/>
      <c r="DC159" s="580">
        <f>+INPUT!FP36</f>
        <v>-676</v>
      </c>
      <c r="DD159" s="577">
        <f>+INPUT!FQ36</f>
        <v>14.382402707275801</v>
      </c>
      <c r="DE159" s="580">
        <f>+INPUT!FR36</f>
        <v>-936</v>
      </c>
      <c r="DF159" s="577">
        <f>+INPUT!FS36</f>
        <v>38.461538461538453</v>
      </c>
      <c r="DG159" s="580">
        <f>+INPUT!FT36</f>
        <v>-1280</v>
      </c>
      <c r="DH159" s="577">
        <f>+INPUT!FU36</f>
        <v>36.752136752136749</v>
      </c>
      <c r="DI159" s="580">
        <f>+INPUT!FV36</f>
        <v>-1121</v>
      </c>
      <c r="DJ159" s="577">
        <f>+INPUT!FW36</f>
        <v>-12.421875</v>
      </c>
      <c r="DK159" s="580">
        <f>+INPUT!FX36</f>
        <v>-1061</v>
      </c>
      <c r="DL159" s="577">
        <f>+INPUT!FY36</f>
        <v>-5.3523639607493294</v>
      </c>
      <c r="DM159" s="580">
        <f>+INPUT!FZ36</f>
        <v>-1666</v>
      </c>
      <c r="DN159" s="577">
        <f>+INPUT!GA36</f>
        <v>57.021677662582448</v>
      </c>
      <c r="DO159" s="580">
        <f>+INPUT!GB36</f>
        <v>-2238</v>
      </c>
      <c r="DP159" s="577">
        <f>+INPUT!GC36</f>
        <v>34.333733493397375</v>
      </c>
      <c r="DQ159" s="580">
        <f>+INPUT!GD36</f>
        <v>-2677</v>
      </c>
      <c r="DR159" s="577">
        <f>+INPUT!GE36</f>
        <v>19.61572832886506</v>
      </c>
      <c r="DS159" s="580">
        <f>+INPUT!GF36</f>
        <v>-3194</v>
      </c>
      <c r="DT159" s="577">
        <f>+INPUT!GG36</f>
        <v>19.31266342921181</v>
      </c>
      <c r="DU159" s="580">
        <f>+INPUT!GH36</f>
        <v>-3497</v>
      </c>
      <c r="DV159" s="577">
        <f>+INPUT!GI36</f>
        <v>9.4865372573575542</v>
      </c>
      <c r="DW159" s="580">
        <f>+INPUT!GJ36</f>
        <v>-3587</v>
      </c>
      <c r="DX159" s="577">
        <f>+INPUT!GK36</f>
        <v>2.5736345438947694</v>
      </c>
      <c r="DY159" s="580">
        <f>+INPUT!GL36</f>
        <v>-3552</v>
      </c>
      <c r="DZ159" s="577">
        <f>+INPUT!GM36</f>
        <v>-0.97574574853638296</v>
      </c>
      <c r="EA159" s="580">
        <f>+INPUT!GN36</f>
        <v>-3712</v>
      </c>
      <c r="EB159" s="577">
        <f>+INPUT!GO36</f>
        <v>4.5045045045044958</v>
      </c>
      <c r="EC159" s="580">
        <f>+INPUT!GP36</f>
        <v>-3781.5642665704963</v>
      </c>
      <c r="ED159" s="577">
        <f>+INPUT!GQ36</f>
        <v>1.8740373537310404</v>
      </c>
      <c r="EE159" s="580">
        <f>+INPUT!GR36</f>
        <v>-3687.9763403251291</v>
      </c>
      <c r="EF159" s="577">
        <f>+INPUT!GS36</f>
        <v>-2.4748469058874889</v>
      </c>
      <c r="EG159" s="580">
        <f>+INPUT!GT36</f>
        <v>-3696.8780992990892</v>
      </c>
      <c r="EH159" s="577">
        <f>+INPUT!GU36</f>
        <v>0.24137245341371738</v>
      </c>
      <c r="EI159" s="580">
        <f>+INPUT!GV36</f>
        <v>-3716.9234202915368</v>
      </c>
      <c r="EJ159" s="577">
        <f>+INPUT!GW36</f>
        <v>0.54222293659745446</v>
      </c>
      <c r="EK159" s="580">
        <f>+INPUT!GX36</f>
        <v>-3749.2709522790524</v>
      </c>
      <c r="EL159" s="577">
        <f>+INPUT!GY36</f>
        <v>0.87027706330786714</v>
      </c>
      <c r="EM159" s="577">
        <f>+INPUT!GZ36</f>
        <v>0.20001162558163088</v>
      </c>
    </row>
    <row r="160" spans="1:144" ht="12.75" hidden="1" customHeight="1" outlineLevel="1" x14ac:dyDescent="0.2">
      <c r="A160" s="579" t="str">
        <f>+INPUT!B37</f>
        <v xml:space="preserve">  Acquisitions</v>
      </c>
      <c r="B160" s="580">
        <f>+INPUT!AY37</f>
        <v>0</v>
      </c>
      <c r="C160" s="577" t="str">
        <f>+INPUT!AZ37</f>
        <v>NA</v>
      </c>
      <c r="D160" s="580">
        <f>+INPUT!BA37</f>
        <v>16312</v>
      </c>
      <c r="E160" s="577" t="str">
        <f>+INPUT!BB37</f>
        <v>NA</v>
      </c>
      <c r="F160" s="580">
        <f>+INPUT!BC37</f>
        <v>0</v>
      </c>
      <c r="G160" s="577" t="str">
        <f>+INPUT!BD37</f>
        <v>NA</v>
      </c>
      <c r="H160" s="580">
        <f>+INPUT!BE37</f>
        <v>0</v>
      </c>
      <c r="I160" s="577" t="str">
        <f>+INPUT!BF37</f>
        <v>NA</v>
      </c>
      <c r="J160" s="580">
        <f>+INPUT!BG37</f>
        <v>0</v>
      </c>
      <c r="K160" s="577" t="str">
        <f>+INPUT!BH37</f>
        <v>NA</v>
      </c>
      <c r="L160" s="580">
        <f>+INPUT!BI37</f>
        <v>0</v>
      </c>
      <c r="M160" s="577" t="str">
        <f>+INPUT!BJ37</f>
        <v>NM</v>
      </c>
      <c r="N160" s="580">
        <f>+INPUT!BK37</f>
        <v>0</v>
      </c>
      <c r="O160" s="577" t="str">
        <f>+INPUT!BL37</f>
        <v>NA</v>
      </c>
      <c r="P160" s="580">
        <f>+INPUT!BM37</f>
        <v>0</v>
      </c>
      <c r="Q160" s="577" t="str">
        <f>+INPUT!BN37</f>
        <v>NA</v>
      </c>
      <c r="R160" s="580">
        <f>+INPUT!BO37</f>
        <v>0</v>
      </c>
      <c r="S160" s="577" t="str">
        <f>+INPUT!BP37</f>
        <v>NA</v>
      </c>
      <c r="T160" s="580">
        <f>+INPUT!BQ37</f>
        <v>0</v>
      </c>
      <c r="U160" s="577" t="str">
        <f>+INPUT!BR37</f>
        <v>NA</v>
      </c>
      <c r="V160" s="580">
        <f>+INPUT!BS37</f>
        <v>0</v>
      </c>
      <c r="W160" s="577" t="str">
        <f>+INPUT!BT37</f>
        <v>NA</v>
      </c>
      <c r="X160" s="580">
        <f>+INPUT!BU37</f>
        <v>0</v>
      </c>
      <c r="Y160" s="577" t="str">
        <f>+INPUT!BV37</f>
        <v>NA</v>
      </c>
      <c r="Z160" s="580">
        <f>+INPUT!BW37</f>
        <v>0</v>
      </c>
      <c r="AA160" s="577" t="str">
        <f>+INPUT!BX37</f>
        <v>NA</v>
      </c>
      <c r="AB160" s="580">
        <f>+INPUT!BY37</f>
        <v>0</v>
      </c>
      <c r="AC160" s="577" t="str">
        <f>+INPUT!BZ37</f>
        <v>NA</v>
      </c>
      <c r="AD160" s="580">
        <f>+INPUT!CA37</f>
        <v>0</v>
      </c>
      <c r="AE160" s="577" t="str">
        <f>+INPUT!CB37</f>
        <v>NA</v>
      </c>
      <c r="AF160" s="580">
        <f>+INPUT!CC37</f>
        <v>0</v>
      </c>
      <c r="AG160" s="577" t="str">
        <f>+INPUT!CD37</f>
        <v>NA</v>
      </c>
      <c r="AH160" s="580">
        <f>+INPUT!CE37</f>
        <v>0</v>
      </c>
      <c r="AI160" s="577" t="str">
        <f>+INPUT!CF37</f>
        <v>NA</v>
      </c>
      <c r="AJ160" s="580">
        <f>+INPUT!CG37</f>
        <v>0</v>
      </c>
      <c r="AK160" s="577" t="str">
        <f>+INPUT!CH37</f>
        <v>NA</v>
      </c>
      <c r="AL160" s="580">
        <f>+INPUT!CI37</f>
        <v>0</v>
      </c>
      <c r="AM160" s="577" t="str">
        <f>+INPUT!CJ37</f>
        <v>NA</v>
      </c>
      <c r="AN160" s="580">
        <f>+INPUT!CK37</f>
        <v>0</v>
      </c>
      <c r="AO160" s="577" t="str">
        <f>+INPUT!CL37</f>
        <v>NA</v>
      </c>
      <c r="AP160" s="580">
        <f>+INPUT!CM37</f>
        <v>0</v>
      </c>
      <c r="AQ160" s="577" t="str">
        <f>+INPUT!CN37</f>
        <v>NA</v>
      </c>
      <c r="AR160" s="580">
        <f>+INPUT!CO37</f>
        <v>0</v>
      </c>
      <c r="AS160" s="577" t="str">
        <f>+INPUT!CP37</f>
        <v>NA</v>
      </c>
      <c r="AT160" s="580">
        <f>+INPUT!CQ37</f>
        <v>0</v>
      </c>
      <c r="AU160" s="577" t="str">
        <f>+INPUT!CR37</f>
        <v>NA</v>
      </c>
      <c r="AV160" s="580">
        <f>+INPUT!CS37</f>
        <v>0</v>
      </c>
      <c r="AW160" s="577" t="str">
        <f>+INPUT!CT37</f>
        <v>NA</v>
      </c>
      <c r="AX160" s="580">
        <f>+INPUT!CU37</f>
        <v>0</v>
      </c>
      <c r="AY160" s="577" t="str">
        <f>+INPUT!CV37</f>
        <v>NA</v>
      </c>
      <c r="AZ160" s="580">
        <f>+INPUT!CW37</f>
        <v>0</v>
      </c>
      <c r="BA160" s="577" t="str">
        <f>+INPUT!CX37</f>
        <v>NA</v>
      </c>
      <c r="BB160" s="580">
        <f>+INPUT!CY37</f>
        <v>0</v>
      </c>
      <c r="BC160" s="577" t="str">
        <f>+INPUT!CZ37</f>
        <v>NA</v>
      </c>
      <c r="BD160" s="580">
        <f>+INPUT!DA37</f>
        <v>0</v>
      </c>
      <c r="BE160" s="577" t="str">
        <f>+INPUT!DB37</f>
        <v>NA</v>
      </c>
      <c r="BF160" s="580">
        <f>+INPUT!DC37</f>
        <v>0</v>
      </c>
      <c r="BG160" s="577" t="str">
        <f>+INPUT!DD37</f>
        <v>NA</v>
      </c>
      <c r="BH160" s="580">
        <f>+INPUT!DE37</f>
        <v>0</v>
      </c>
      <c r="BI160" s="577" t="str">
        <f>+INPUT!DF37</f>
        <v>NA</v>
      </c>
      <c r="BJ160" s="580">
        <f>+INPUT!DG37</f>
        <v>0</v>
      </c>
      <c r="BK160" s="577" t="str">
        <f>+INPUT!DH37</f>
        <v>NA</v>
      </c>
      <c r="BL160" s="580">
        <f>+INPUT!DI37</f>
        <v>0</v>
      </c>
      <c r="BM160" s="577" t="str">
        <f>+INPUT!DJ37</f>
        <v>NA</v>
      </c>
      <c r="BN160" s="580">
        <f>+INPUT!DK37</f>
        <v>0</v>
      </c>
      <c r="BO160" s="577" t="str">
        <f>+INPUT!DL37</f>
        <v>NA</v>
      </c>
      <c r="BP160" s="580">
        <f>+INPUT!DM37</f>
        <v>0</v>
      </c>
      <c r="BQ160" s="577" t="str">
        <f>+INPUT!DN37</f>
        <v>NA</v>
      </c>
      <c r="BR160" s="580">
        <f>+INPUT!DO37</f>
        <v>0</v>
      </c>
      <c r="BS160" s="577" t="str">
        <f>+INPUT!DP37</f>
        <v>NA</v>
      </c>
      <c r="BT160" s="580">
        <f>+INPUT!DQ37</f>
        <v>0</v>
      </c>
      <c r="BU160" s="577" t="str">
        <f>+INPUT!DR37</f>
        <v>NA</v>
      </c>
      <c r="BV160" s="580">
        <f>+INPUT!DS37</f>
        <v>0</v>
      </c>
      <c r="BW160" s="577" t="str">
        <f>+INPUT!DT37</f>
        <v>NA</v>
      </c>
      <c r="BX160" s="580">
        <f>+INPUT!DU37</f>
        <v>0</v>
      </c>
      <c r="BY160" s="577" t="str">
        <f>+INPUT!DV37</f>
        <v>NA</v>
      </c>
      <c r="BZ160" s="580">
        <f>+INPUT!DW37</f>
        <v>0</v>
      </c>
      <c r="CA160" s="577" t="str">
        <f>+INPUT!DX37</f>
        <v>NA</v>
      </c>
      <c r="CB160" s="580">
        <f>+INPUT!DY37</f>
        <v>0</v>
      </c>
      <c r="CC160" s="577" t="str">
        <f>+INPUT!DZ37</f>
        <v>NA</v>
      </c>
      <c r="CD160" s="580">
        <f>+INPUT!EA37</f>
        <v>0</v>
      </c>
      <c r="CE160" s="577" t="str">
        <f>+INPUT!EB37</f>
        <v>NA</v>
      </c>
      <c r="CF160" s="580">
        <f>+INPUT!EC37</f>
        <v>0</v>
      </c>
      <c r="CG160" s="577" t="str">
        <f>+INPUT!ED37</f>
        <v>NA</v>
      </c>
      <c r="CH160" s="580">
        <f>+INPUT!EE37</f>
        <v>0</v>
      </c>
      <c r="CI160" s="577" t="str">
        <f>+INPUT!EF37</f>
        <v>NA</v>
      </c>
      <c r="CJ160" s="580">
        <f>+INPUT!EG37</f>
        <v>0</v>
      </c>
      <c r="CK160" s="577" t="str">
        <f>+INPUT!EH37</f>
        <v>NA</v>
      </c>
      <c r="CL160" s="580">
        <f>+INPUT!EI37</f>
        <v>0</v>
      </c>
      <c r="CM160" s="577" t="str">
        <f>+INPUT!EJ37</f>
        <v>NA</v>
      </c>
      <c r="CN160" s="580">
        <f>+INPUT!EK37</f>
        <v>0</v>
      </c>
      <c r="CO160" s="577" t="str">
        <f>+INPUT!EL37</f>
        <v>NA</v>
      </c>
      <c r="CP160" s="580">
        <f>+INPUT!EM37</f>
        <v>0</v>
      </c>
      <c r="CQ160" s="577" t="str">
        <f>+INPUT!EN37</f>
        <v>NA</v>
      </c>
      <c r="CR160" s="580">
        <f>+INPUT!EO37</f>
        <v>0</v>
      </c>
      <c r="CS160" s="577" t="str">
        <f>+INPUT!EP37</f>
        <v>NA</v>
      </c>
      <c r="CT160" s="580">
        <f>+INPUT!EQ37</f>
        <v>0</v>
      </c>
      <c r="CU160" s="577" t="str">
        <f>+INPUT!ER37</f>
        <v>NA</v>
      </c>
      <c r="CV160" s="580">
        <f>+INPUT!ES37</f>
        <v>0</v>
      </c>
      <c r="CW160" s="577" t="str">
        <f>+INPUT!ET37</f>
        <v>NA</v>
      </c>
      <c r="CX160" s="580">
        <f>+INPUT!EU37</f>
        <v>0</v>
      </c>
      <c r="CY160" s="577" t="str">
        <f>+INPUT!EV37</f>
        <v>NA</v>
      </c>
      <c r="CZ160" s="580">
        <f>+INPUT!EW37</f>
        <v>0</v>
      </c>
      <c r="DA160" s="577" t="str">
        <f>+INPUT!EX37</f>
        <v>NA</v>
      </c>
      <c r="DB160" s="587"/>
      <c r="DC160" s="580">
        <f>+INPUT!FP37</f>
        <v>0</v>
      </c>
      <c r="DD160" s="577" t="str">
        <f>+INPUT!FQ37</f>
        <v>NA</v>
      </c>
      <c r="DE160" s="580">
        <f>+INPUT!FR37</f>
        <v>16312</v>
      </c>
      <c r="DF160" s="577" t="str">
        <f>+INPUT!FS37</f>
        <v>NA</v>
      </c>
      <c r="DG160" s="580">
        <f>+INPUT!FT37</f>
        <v>0</v>
      </c>
      <c r="DH160" s="577" t="str">
        <f>+INPUT!FU37</f>
        <v>NM</v>
      </c>
      <c r="DI160" s="580">
        <f>+INPUT!FV37</f>
        <v>0</v>
      </c>
      <c r="DJ160" s="577" t="str">
        <f>+INPUT!FW37</f>
        <v>NA</v>
      </c>
      <c r="DK160" s="580">
        <f>+INPUT!FX37</f>
        <v>0</v>
      </c>
      <c r="DL160" s="577" t="str">
        <f>+INPUT!FY37</f>
        <v>NA</v>
      </c>
      <c r="DM160" s="580">
        <f>+INPUT!FZ37</f>
        <v>0</v>
      </c>
      <c r="DN160" s="577" t="str">
        <f>+INPUT!GA37</f>
        <v>NA</v>
      </c>
      <c r="DO160" s="580">
        <f>+INPUT!GB37</f>
        <v>0</v>
      </c>
      <c r="DP160" s="577" t="str">
        <f>+INPUT!GC37</f>
        <v>NA</v>
      </c>
      <c r="DQ160" s="580">
        <f>+INPUT!GD37</f>
        <v>0</v>
      </c>
      <c r="DR160" s="577" t="str">
        <f>+INPUT!GE37</f>
        <v>NA</v>
      </c>
      <c r="DS160" s="580">
        <f>+INPUT!GF37</f>
        <v>0</v>
      </c>
      <c r="DT160" s="577" t="str">
        <f>+INPUT!GG37</f>
        <v>NA</v>
      </c>
      <c r="DU160" s="580">
        <f>+INPUT!GH37</f>
        <v>0</v>
      </c>
      <c r="DV160" s="577" t="str">
        <f>+INPUT!GI37</f>
        <v>NA</v>
      </c>
      <c r="DW160" s="580">
        <f>+INPUT!GJ37</f>
        <v>0</v>
      </c>
      <c r="DX160" s="577" t="str">
        <f>+INPUT!GK37</f>
        <v>NA</v>
      </c>
      <c r="DY160" s="580">
        <f>+INPUT!GL37</f>
        <v>0</v>
      </c>
      <c r="DZ160" s="577" t="str">
        <f>+INPUT!GM37</f>
        <v>NA</v>
      </c>
      <c r="EA160" s="580">
        <f>+INPUT!GN37</f>
        <v>0</v>
      </c>
      <c r="EB160" s="577" t="str">
        <f>+INPUT!GO37</f>
        <v>NA</v>
      </c>
      <c r="EC160" s="580">
        <f>+INPUT!GP37</f>
        <v>0</v>
      </c>
      <c r="ED160" s="577" t="str">
        <f>+INPUT!GQ37</f>
        <v>NA</v>
      </c>
      <c r="EE160" s="580">
        <f>+INPUT!GR37</f>
        <v>0</v>
      </c>
      <c r="EF160" s="577" t="str">
        <f>+INPUT!GS37</f>
        <v>NA</v>
      </c>
      <c r="EG160" s="580">
        <f>+INPUT!GT37</f>
        <v>0</v>
      </c>
      <c r="EH160" s="577" t="str">
        <f>+INPUT!GU37</f>
        <v>NA</v>
      </c>
      <c r="EI160" s="580">
        <f>+INPUT!GV37</f>
        <v>0</v>
      </c>
      <c r="EJ160" s="577" t="str">
        <f>+INPUT!GW37</f>
        <v>NA</v>
      </c>
      <c r="EK160" s="580">
        <f>+INPUT!GX37</f>
        <v>0</v>
      </c>
      <c r="EL160" s="577" t="str">
        <f>+INPUT!GY37</f>
        <v>NA</v>
      </c>
      <c r="EM160" s="577" t="str">
        <f>+INPUT!GZ37</f>
        <v>NA</v>
      </c>
    </row>
    <row r="161" spans="1:143" ht="12.75" hidden="1" customHeight="1" outlineLevel="1" x14ac:dyDescent="0.2">
      <c r="A161" s="579" t="str">
        <f>+INPUT!B38</f>
        <v>Ending Reserves</v>
      </c>
      <c r="B161" s="580">
        <f>+INPUT!AY38</f>
        <v>53181</v>
      </c>
      <c r="C161" s="577">
        <f>+INPUT!AZ38</f>
        <v>14.648816453240215</v>
      </c>
      <c r="D161" s="580">
        <f>+INPUT!BA38</f>
        <v>68807</v>
      </c>
      <c r="E161" s="577">
        <f>+INPUT!BB38</f>
        <v>45.1563225180372</v>
      </c>
      <c r="F161" s="580">
        <f>+INPUT!BC38</f>
        <v>70555</v>
      </c>
      <c r="G161" s="577">
        <f>+INPUT!BD38</f>
        <v>42.581440465605027</v>
      </c>
      <c r="H161" s="580">
        <f>+INPUT!BE38</f>
        <v>74555</v>
      </c>
      <c r="I161" s="577">
        <f>+INPUT!BF38</f>
        <v>46.825396825396808</v>
      </c>
      <c r="J161" s="580">
        <f>+INPUT!BG38</f>
        <v>75591</v>
      </c>
      <c r="K161" s="577">
        <f>+INPUT!BH38</f>
        <v>42.139109832458956</v>
      </c>
      <c r="L161" s="580">
        <f>+INPUT!BI38</f>
        <v>78968</v>
      </c>
      <c r="M161" s="577">
        <f>+INPUT!BJ38</f>
        <v>14.767392852471389</v>
      </c>
      <c r="N161" s="580">
        <f>+INPUT!BK38</f>
        <v>81173</v>
      </c>
      <c r="O161" s="577">
        <f>+INPUT!BL38</f>
        <v>15.04925235631778</v>
      </c>
      <c r="P161" s="580">
        <f>+INPUT!BM38</f>
        <v>80330</v>
      </c>
      <c r="Q161" s="577">
        <f>+INPUT!BN38</f>
        <v>7.7459593588625779</v>
      </c>
      <c r="R161" s="580">
        <f>+INPUT!BO38</f>
        <v>74977</v>
      </c>
      <c r="S161" s="577">
        <f>+INPUT!BP38</f>
        <v>-0.81226601050389036</v>
      </c>
      <c r="T161" s="580">
        <f>+INPUT!BQ38</f>
        <v>74707</v>
      </c>
      <c r="U161" s="577">
        <f>+INPUT!BR38</f>
        <v>-5.3958565494883999</v>
      </c>
      <c r="V161" s="580">
        <f>+INPUT!BS38</f>
        <v>67968</v>
      </c>
      <c r="W161" s="577">
        <f>+INPUT!BT38</f>
        <v>-16.267724489670215</v>
      </c>
      <c r="X161" s="580">
        <f>+INPUT!BU38</f>
        <v>60007</v>
      </c>
      <c r="Y161" s="577">
        <f>+INPUT!BV38</f>
        <v>-25.299390016183239</v>
      </c>
      <c r="Z161" s="580">
        <f>+INPUT!BW38</f>
        <v>57942</v>
      </c>
      <c r="AA161" s="577">
        <f>+INPUT!BX38</f>
        <v>-22.720300892273627</v>
      </c>
      <c r="AB161" s="580">
        <f>+INPUT!BY38</f>
        <v>65099</v>
      </c>
      <c r="AC161" s="577">
        <f>+INPUT!BZ38</f>
        <v>-12.860909954890445</v>
      </c>
      <c r="AD161" s="580">
        <f>+INPUT!CA38</f>
        <v>75611</v>
      </c>
      <c r="AE161" s="577">
        <f>+INPUT!CB38</f>
        <v>11.244997645951031</v>
      </c>
      <c r="AF161" s="580">
        <f>+INPUT!CC38</f>
        <v>80519</v>
      </c>
      <c r="AG161" s="577">
        <f>+INPUT!CD38</f>
        <v>34.182678687486458</v>
      </c>
      <c r="AH161" s="580">
        <f>+INPUT!CE38</f>
        <v>85379</v>
      </c>
      <c r="AI161" s="577">
        <f>+INPUT!CF38</f>
        <v>47.352524938731847</v>
      </c>
      <c r="AJ161" s="580">
        <f>+INPUT!CG38</f>
        <v>83593</v>
      </c>
      <c r="AK161" s="577">
        <f>+INPUT!CH38</f>
        <v>28.409038541298628</v>
      </c>
      <c r="AL161" s="580">
        <f>+INPUT!CI38</f>
        <v>93375</v>
      </c>
      <c r="AM161" s="577">
        <f>+INPUT!CJ38</f>
        <v>23.493936067503412</v>
      </c>
      <c r="AN161" s="580">
        <f>+INPUT!CK38</f>
        <v>102348</v>
      </c>
      <c r="AO161" s="577">
        <f>+INPUT!CL38</f>
        <v>27.110371465120025</v>
      </c>
      <c r="AP161" s="580">
        <f>+INPUT!CM38</f>
        <v>109969</v>
      </c>
      <c r="AQ161" s="577">
        <f>+INPUT!CN38</f>
        <v>28.800993218472939</v>
      </c>
      <c r="AR161" s="580">
        <f>+INPUT!CO38</f>
        <v>112202</v>
      </c>
      <c r="AS161" s="577">
        <f>+INPUT!CP38</f>
        <v>34.224157525151611</v>
      </c>
      <c r="AT161" s="580">
        <f>+INPUT!CQ38</f>
        <v>102879</v>
      </c>
      <c r="AU161" s="577">
        <f>+INPUT!CR38</f>
        <v>10.178313253012035</v>
      </c>
      <c r="AV161" s="580">
        <f>+INPUT!CS38</f>
        <v>109743</v>
      </c>
      <c r="AW161" s="577">
        <f>+INPUT!CT38</f>
        <v>7.2253488099425454</v>
      </c>
      <c r="AX161" s="580">
        <f>+INPUT!CU38</f>
        <v>120276</v>
      </c>
      <c r="AY161" s="577">
        <f>+INPUT!CV38</f>
        <v>9.3726413807527535</v>
      </c>
      <c r="AZ161" s="580">
        <f>+INPUT!CW38</f>
        <v>120326</v>
      </c>
      <c r="BA161" s="577">
        <f>+INPUT!CX38</f>
        <v>7.2405126468333805</v>
      </c>
      <c r="BB161" s="580">
        <f>+INPUT!CY38</f>
        <v>128949</v>
      </c>
      <c r="BC161" s="577">
        <f>+INPUT!CZ38</f>
        <v>25.340448488029637</v>
      </c>
      <c r="BD161" s="580">
        <f>+INPUT!DA38</f>
        <v>131608</v>
      </c>
      <c r="BE161" s="577">
        <f>+INPUT!DB38</f>
        <v>19.923822020538907</v>
      </c>
      <c r="BF161" s="580">
        <f>+INPUT!DC38</f>
        <v>139034</v>
      </c>
      <c r="BG161" s="577">
        <f>+INPUT!DD38</f>
        <v>15.59579633509594</v>
      </c>
      <c r="BH161" s="580">
        <f>+INPUT!DE38</f>
        <v>137775</v>
      </c>
      <c r="BI161" s="577">
        <f>+INPUT!DF38</f>
        <v>14.501437760749965</v>
      </c>
      <c r="BJ161" s="580">
        <f>+INPUT!DG38</f>
        <v>143697</v>
      </c>
      <c r="BK161" s="577">
        <f>+INPUT!DH38</f>
        <v>11.43707977572528</v>
      </c>
      <c r="BL161" s="580">
        <f>+INPUT!DI38</f>
        <v>150467</v>
      </c>
      <c r="BM161" s="577">
        <f>+INPUT!DJ38</f>
        <v>14.329676007537543</v>
      </c>
      <c r="BN161" s="580">
        <f>+INPUT!DK38</f>
        <v>151620</v>
      </c>
      <c r="BO161" s="577">
        <f>+INPUT!DL38</f>
        <v>9.0524619877152332</v>
      </c>
      <c r="BP161" s="580">
        <f>+INPUT!DM38</f>
        <v>155890</v>
      </c>
      <c r="BQ161" s="577">
        <f>+INPUT!DN38</f>
        <v>13.148248956632187</v>
      </c>
      <c r="BR161" s="580">
        <f>+INPUT!DO38</f>
        <v>153172</v>
      </c>
      <c r="BS161" s="577">
        <f>+INPUT!DP38</f>
        <v>6.5937354294104864</v>
      </c>
      <c r="BT161" s="580">
        <f>+INPUT!DQ38</f>
        <v>155083</v>
      </c>
      <c r="BU161" s="577">
        <f>+INPUT!DR38</f>
        <v>3.067782304425549</v>
      </c>
      <c r="BV161" s="580">
        <f>+INPUT!DS38</f>
        <v>157552</v>
      </c>
      <c r="BW161" s="577">
        <f>+INPUT!DT38</f>
        <v>3.9124126104735524</v>
      </c>
      <c r="BX161" s="580">
        <f>+INPUT!DU38</f>
        <v>155424</v>
      </c>
      <c r="BY161" s="577">
        <f>+INPUT!DV38</f>
        <v>-0.29892873179807111</v>
      </c>
      <c r="BZ161" s="580">
        <f>+INPUT!DW38</f>
        <v>146685</v>
      </c>
      <c r="CA161" s="577">
        <f>+INPUT!DX38</f>
        <v>-4.2351082443266392</v>
      </c>
      <c r="CB161" s="580">
        <f>+INPUT!DY38</f>
        <v>149441</v>
      </c>
      <c r="CC161" s="577">
        <f>+INPUT!DZ38</f>
        <v>-3.6380518818954926</v>
      </c>
      <c r="CD161" s="580">
        <f>+INPUT!EA38</f>
        <v>149246</v>
      </c>
      <c r="CE161" s="577">
        <f>+INPUT!EB38</f>
        <v>-5.2719102264649109</v>
      </c>
      <c r="CF161" s="580">
        <f>+INPUT!EC38</f>
        <v>151188</v>
      </c>
      <c r="CG161" s="577">
        <f>+INPUT!ED38</f>
        <v>-2.7254478072884467</v>
      </c>
      <c r="CH161" s="580">
        <f>+INPUT!EE38</f>
        <v>154903</v>
      </c>
      <c r="CI161" s="577">
        <f>+INPUT!EF38</f>
        <v>5.6024815079933177</v>
      </c>
      <c r="CJ161" s="580">
        <f>+INPUT!EG38</f>
        <v>153295</v>
      </c>
      <c r="CK161" s="577">
        <f>+INPUT!EH38</f>
        <v>2.5789441987138702</v>
      </c>
      <c r="CL161" s="580">
        <f>+INPUT!EI38</f>
        <v>156830</v>
      </c>
      <c r="CM161" s="577">
        <f>+INPUT!EJ38</f>
        <v>5.0815432239389935</v>
      </c>
      <c r="CN161" s="580">
        <f>+INPUT!EK38</f>
        <v>159202</v>
      </c>
      <c r="CO161" s="577">
        <f>+INPUT!EL38</f>
        <v>5.3006852395692761</v>
      </c>
      <c r="CP161" s="580">
        <f>+INPUT!EM38</f>
        <v>162107</v>
      </c>
      <c r="CQ161" s="577">
        <f>+INPUT!EN38</f>
        <v>4.6506523437247864</v>
      </c>
      <c r="CR161" s="580">
        <f>+INPUT!EO38</f>
        <v>165153</v>
      </c>
      <c r="CS161" s="577">
        <f>+INPUT!EP38</f>
        <v>7.7354121138980361</v>
      </c>
      <c r="CT161" s="580">
        <f>+INPUT!EQ38</f>
        <v>161273.66837276367</v>
      </c>
      <c r="CU161" s="577">
        <f>+INPUT!ER38</f>
        <v>2.833430066163146</v>
      </c>
      <c r="CV161" s="580">
        <f>+INPUT!ES38</f>
        <v>161169.54101638336</v>
      </c>
      <c r="CW161" s="577">
        <f>+INPUT!ET38</f>
        <v>1.235877072136887</v>
      </c>
      <c r="CX161" s="580">
        <f>+INPUT!EU38</f>
        <v>161100.1277123804</v>
      </c>
      <c r="CY161" s="577">
        <f>+INPUT!EV38</f>
        <v>-0.62111586027722865</v>
      </c>
      <c r="CZ161" s="580">
        <f>+INPUT!EW38</f>
        <v>161065.71608951958</v>
      </c>
      <c r="DA161" s="577">
        <f>+INPUT!EX38</f>
        <v>-2.4748469058875173</v>
      </c>
      <c r="DB161" s="587"/>
      <c r="DC161" s="580">
        <f>+INPUT!FP38</f>
        <v>50778</v>
      </c>
      <c r="DD161" s="577">
        <f>+INPUT!FQ38</f>
        <v>7.0859167404782966</v>
      </c>
      <c r="DE161" s="580">
        <f>+INPUT!FR38</f>
        <v>74555</v>
      </c>
      <c r="DF161" s="577">
        <f>+INPUT!FS38</f>
        <v>46.825396825396808</v>
      </c>
      <c r="DG161" s="580">
        <f>+INPUT!FT38</f>
        <v>80330</v>
      </c>
      <c r="DH161" s="577">
        <f>+INPUT!FU38</f>
        <v>7.7459593588625779</v>
      </c>
      <c r="DI161" s="580">
        <f>+INPUT!FV38</f>
        <v>60007</v>
      </c>
      <c r="DJ161" s="577">
        <f>+INPUT!FW38</f>
        <v>-25.299390016183239</v>
      </c>
      <c r="DK161" s="580">
        <f>+INPUT!FX38</f>
        <v>80519</v>
      </c>
      <c r="DL161" s="577">
        <f>+INPUT!FY38</f>
        <v>34.182678687486458</v>
      </c>
      <c r="DM161" s="580">
        <f>+INPUT!FZ38</f>
        <v>102348</v>
      </c>
      <c r="DN161" s="577">
        <f>+INPUT!GA38</f>
        <v>27.110371465120025</v>
      </c>
      <c r="DO161" s="580">
        <f>+INPUT!GB38</f>
        <v>109743</v>
      </c>
      <c r="DP161" s="577">
        <f>+INPUT!GC38</f>
        <v>7.2253488099425454</v>
      </c>
      <c r="DQ161" s="580">
        <f>+INPUT!GD38</f>
        <v>131608</v>
      </c>
      <c r="DR161" s="577">
        <f>+INPUT!GE38</f>
        <v>19.923822020538907</v>
      </c>
      <c r="DS161" s="580">
        <f>+INPUT!GF38</f>
        <v>150467</v>
      </c>
      <c r="DT161" s="577">
        <f>+INPUT!GG38</f>
        <v>14.329676007537543</v>
      </c>
      <c r="DU161" s="580">
        <f>+INPUT!GH38</f>
        <v>155083</v>
      </c>
      <c r="DV161" s="577">
        <f>+INPUT!GI38</f>
        <v>3.067782304425549</v>
      </c>
      <c r="DW161" s="580">
        <f>+INPUT!GJ38</f>
        <v>149441</v>
      </c>
      <c r="DX161" s="577">
        <f>+INPUT!GK38</f>
        <v>-3.6380518818954926</v>
      </c>
      <c r="DY161" s="580">
        <f>+INPUT!GL38</f>
        <v>153295</v>
      </c>
      <c r="DZ161" s="577">
        <f>+INPUT!GM38</f>
        <v>2.5789441987138702</v>
      </c>
      <c r="EA161" s="580">
        <f>+INPUT!GN38</f>
        <v>165153</v>
      </c>
      <c r="EB161" s="577">
        <f>+INPUT!GO38</f>
        <v>7.7354121138980361</v>
      </c>
      <c r="EC161" s="580">
        <f>+INPUT!GP38</f>
        <v>161065.71608951961</v>
      </c>
      <c r="ED161" s="577">
        <f>+INPUT!GQ38</f>
        <v>-2.4748469058875031</v>
      </c>
      <c r="EE161" s="580">
        <f>+INPUT!GR38</f>
        <v>161454.48436005326</v>
      </c>
      <c r="EF161" s="577">
        <f>+INPUT!GS38</f>
        <v>0.24137245341371738</v>
      </c>
      <c r="EG161" s="580">
        <f>+INPUT!GT38</f>
        <v>162329.92760641861</v>
      </c>
      <c r="EH161" s="577">
        <f>+INPUT!GU38</f>
        <v>0.54222293659745446</v>
      </c>
      <c r="EI161" s="580">
        <f>+INPUT!GV38</f>
        <v>163742.64773326155</v>
      </c>
      <c r="EJ161" s="577">
        <f>+INPUT!GW38</f>
        <v>0.87027706330786714</v>
      </c>
      <c r="EK161" s="580">
        <f>+INPUT!GX38</f>
        <v>165746.06680613459</v>
      </c>
      <c r="EL161" s="577">
        <f>+INPUT!GY38</f>
        <v>1.2235169643382164</v>
      </c>
      <c r="EM161" s="577">
        <f>+INPUT!GZ38</f>
        <v>7.1717347238942075E-2</v>
      </c>
    </row>
    <row r="162" spans="1:143" ht="12.75" hidden="1" customHeight="1" outlineLevel="1" x14ac:dyDescent="0.2">
      <c r="A162" s="579" t="str">
        <f>+INPUT!B39</f>
        <v>Average Reserves</v>
      </c>
      <c r="B162" s="580">
        <f>+INPUT!AY39</f>
        <v>51979.5</v>
      </c>
      <c r="C162" s="577">
        <f>+INPUT!AZ39</f>
        <v>10.825764359728794</v>
      </c>
      <c r="D162" s="580">
        <f>+INPUT!BA39</f>
        <v>60994</v>
      </c>
      <c r="E162" s="577">
        <f>+INPUT!BB39</f>
        <v>30.067812513327937</v>
      </c>
      <c r="F162" s="580">
        <f>+INPUT!BC39</f>
        <v>69681</v>
      </c>
      <c r="G162" s="577">
        <f>+INPUT!BD39</f>
        <v>43.841215449084473</v>
      </c>
      <c r="H162" s="580">
        <f>+INPUT!BE39</f>
        <v>72555</v>
      </c>
      <c r="I162" s="577">
        <f>+INPUT!BF39</f>
        <v>44.730805290139841</v>
      </c>
      <c r="J162" s="580">
        <f>+INPUT!BG39</f>
        <v>75073</v>
      </c>
      <c r="K162" s="577">
        <f>+INPUT!BH39</f>
        <v>44.428091843900006</v>
      </c>
      <c r="L162" s="580">
        <f>+INPUT!BI39</f>
        <v>77279.5</v>
      </c>
      <c r="M162" s="577">
        <f>+INPUT!BJ39</f>
        <v>26.700167229563561</v>
      </c>
      <c r="N162" s="580">
        <f>+INPUT!BK39</f>
        <v>80070.5</v>
      </c>
      <c r="O162" s="577">
        <f>+INPUT!BL39</f>
        <v>14.91009026850935</v>
      </c>
      <c r="P162" s="580">
        <f>+INPUT!BM39</f>
        <v>80751.5</v>
      </c>
      <c r="Q162" s="577">
        <f>+INPUT!BN39</f>
        <v>11.296947143546276</v>
      </c>
      <c r="R162" s="580">
        <f>+INPUT!BO39</f>
        <v>77653.5</v>
      </c>
      <c r="S162" s="577">
        <f>+INPUT!BP39</f>
        <v>3.4373210075526544</v>
      </c>
      <c r="T162" s="580">
        <f>+INPUT!BQ39</f>
        <v>74842</v>
      </c>
      <c r="U162" s="577">
        <f>+INPUT!BR39</f>
        <v>-3.1541353140224828</v>
      </c>
      <c r="V162" s="580">
        <f>+INPUT!BS39</f>
        <v>71337.5</v>
      </c>
      <c r="W162" s="577">
        <f>+INPUT!BT39</f>
        <v>-10.906638524800016</v>
      </c>
      <c r="X162" s="580">
        <f>+INPUT!BU39</f>
        <v>63987.5</v>
      </c>
      <c r="Y162" s="577">
        <f>+INPUT!BV39</f>
        <v>-20.759985882615183</v>
      </c>
      <c r="Z162" s="580">
        <f>+INPUT!BW39</f>
        <v>58974.5</v>
      </c>
      <c r="AA162" s="577">
        <f>+INPUT!BX39</f>
        <v>-24.054292465890143</v>
      </c>
      <c r="AB162" s="580">
        <f>+INPUT!BY39</f>
        <v>61520.5</v>
      </c>
      <c r="AC162" s="577">
        <f>+INPUT!BZ39</f>
        <v>-17.799497608294814</v>
      </c>
      <c r="AD162" s="580">
        <f>+INPUT!CA39</f>
        <v>70355</v>
      </c>
      <c r="AE162" s="577">
        <f>+INPUT!CB39</f>
        <v>-1.3772560014017898</v>
      </c>
      <c r="AF162" s="580">
        <f>+INPUT!CC39</f>
        <v>78065</v>
      </c>
      <c r="AG162" s="577">
        <f>+INPUT!CD39</f>
        <v>22.000390701308859</v>
      </c>
      <c r="AH162" s="580">
        <f>+INPUT!CE39</f>
        <v>82949</v>
      </c>
      <c r="AI162" s="577">
        <f>+INPUT!CF39</f>
        <v>40.652315831418662</v>
      </c>
      <c r="AJ162" s="580">
        <f>+INPUT!CG39</f>
        <v>84486</v>
      </c>
      <c r="AK162" s="577">
        <f>+INPUT!CH39</f>
        <v>37.329833145049207</v>
      </c>
      <c r="AL162" s="580">
        <f>+INPUT!CI39</f>
        <v>88484</v>
      </c>
      <c r="AM162" s="577">
        <f>+INPUT!CJ39</f>
        <v>25.767891407860134</v>
      </c>
      <c r="AN162" s="580">
        <f>+INPUT!CK39</f>
        <v>97861.5</v>
      </c>
      <c r="AO162" s="577">
        <f>+INPUT!CL39</f>
        <v>25.358995708704285</v>
      </c>
      <c r="AP162" s="580">
        <f>+INPUT!CM39</f>
        <v>106158.5</v>
      </c>
      <c r="AQ162" s="577">
        <f>+INPUT!CN39</f>
        <v>27.980445816103867</v>
      </c>
      <c r="AR162" s="580">
        <f>+INPUT!CO39</f>
        <v>111085.5</v>
      </c>
      <c r="AS162" s="577">
        <f>+INPUT!CP39</f>
        <v>31.483914494709182</v>
      </c>
      <c r="AT162" s="580">
        <f>+INPUT!CQ39</f>
        <v>107540.5</v>
      </c>
      <c r="AU162" s="577">
        <f>+INPUT!CR39</f>
        <v>21.536661995388997</v>
      </c>
      <c r="AV162" s="580">
        <f>+INPUT!CS39</f>
        <v>106311</v>
      </c>
      <c r="AW162" s="577">
        <f>+INPUT!CT39</f>
        <v>8.6341411075857195</v>
      </c>
      <c r="AX162" s="580">
        <f>+INPUT!CU39</f>
        <v>115009.5</v>
      </c>
      <c r="AY162" s="577">
        <f>+INPUT!CV39</f>
        <v>8.3375330284433176</v>
      </c>
      <c r="AZ162" s="580">
        <f>+INPUT!CW39</f>
        <v>120301</v>
      </c>
      <c r="BA162" s="577">
        <f>+INPUT!CX39</f>
        <v>8.2958621962362429</v>
      </c>
      <c r="BB162" s="580">
        <f>+INPUT!CY39</f>
        <v>124637.5</v>
      </c>
      <c r="BC162" s="577">
        <f>+INPUT!CZ39</f>
        <v>15.898196493414105</v>
      </c>
      <c r="BD162" s="580">
        <f>+INPUT!DA39</f>
        <v>130278.5</v>
      </c>
      <c r="BE162" s="577">
        <f>+INPUT!DB39</f>
        <v>22.54470374655493</v>
      </c>
      <c r="BF162" s="580">
        <f>+INPUT!DC39</f>
        <v>135321</v>
      </c>
      <c r="BG162" s="577">
        <f>+INPUT!DD39</f>
        <v>17.660714984414327</v>
      </c>
      <c r="BH162" s="580">
        <f>+INPUT!DE39</f>
        <v>138404.5</v>
      </c>
      <c r="BI162" s="577">
        <f>+INPUT!DF39</f>
        <v>15.048503337461867</v>
      </c>
      <c r="BJ162" s="580">
        <f>+INPUT!DG39</f>
        <v>140736</v>
      </c>
      <c r="BK162" s="577">
        <f>+INPUT!DH39</f>
        <v>12.916257145722597</v>
      </c>
      <c r="BL162" s="580">
        <f>+INPUT!DI39</f>
        <v>147082</v>
      </c>
      <c r="BM162" s="577">
        <f>+INPUT!DJ39</f>
        <v>12.898137451690033</v>
      </c>
      <c r="BN162" s="580">
        <f>+INPUT!DK39</f>
        <v>151043.5</v>
      </c>
      <c r="BO162" s="577">
        <f>+INPUT!DL39</f>
        <v>11.618669681719766</v>
      </c>
      <c r="BP162" s="580">
        <f>+INPUT!DM39</f>
        <v>153755</v>
      </c>
      <c r="BQ162" s="577">
        <f>+INPUT!DN39</f>
        <v>11.091041114992635</v>
      </c>
      <c r="BR162" s="580">
        <f>+INPUT!DO39</f>
        <v>154531</v>
      </c>
      <c r="BS162" s="577">
        <f>+INPUT!DP39</f>
        <v>9.8020407003183436</v>
      </c>
      <c r="BT162" s="580">
        <f>+INPUT!DQ39</f>
        <v>154127.5</v>
      </c>
      <c r="BU162" s="577">
        <f>+INPUT!DR39</f>
        <v>4.7901850668334589</v>
      </c>
      <c r="BV162" s="580">
        <f>+INPUT!DS39</f>
        <v>156317.5</v>
      </c>
      <c r="BW162" s="577">
        <f>+INPUT!DT39</f>
        <v>3.4917093420107506</v>
      </c>
      <c r="BX162" s="580">
        <f>+INPUT!DU39</f>
        <v>156488</v>
      </c>
      <c r="BY162" s="577">
        <f>+INPUT!DV39</f>
        <v>1.7775031706285915</v>
      </c>
      <c r="BZ162" s="580">
        <f>+INPUT!DW39</f>
        <v>151054.5</v>
      </c>
      <c r="CA162" s="577">
        <f>+INPUT!DX39</f>
        <v>-2.2497104140916662</v>
      </c>
      <c r="CB162" s="580">
        <f>+INPUT!DY39</f>
        <v>148063</v>
      </c>
      <c r="CC162" s="577">
        <f>+INPUT!DZ39</f>
        <v>-3.9347293636761833</v>
      </c>
      <c r="CD162" s="580">
        <f>+INPUT!EA39</f>
        <v>141489.44999999998</v>
      </c>
      <c r="CE162" s="577">
        <f>+INPUT!EB39</f>
        <v>-9.4858541110240537</v>
      </c>
      <c r="CF162" s="580">
        <f>+INPUT!EC39</f>
        <v>150217</v>
      </c>
      <c r="CG162" s="577">
        <f>+INPUT!ED39</f>
        <v>-4.0073360257655537</v>
      </c>
      <c r="CH162" s="580">
        <f>+INPUT!EE39</f>
        <v>153045.5</v>
      </c>
      <c r="CI162" s="577">
        <f>+INPUT!EF39</f>
        <v>1.3180673200732258</v>
      </c>
      <c r="CJ162" s="580">
        <f>+INPUT!EG39</f>
        <v>154099</v>
      </c>
      <c r="CK162" s="577">
        <f>+INPUT!EH39</f>
        <v>4.0766430505933187</v>
      </c>
      <c r="CL162" s="580">
        <f>+INPUT!EI39</f>
        <v>155062.5</v>
      </c>
      <c r="CM162" s="577">
        <f>+INPUT!EJ39</f>
        <v>9.5929767201724303</v>
      </c>
      <c r="CN162" s="580">
        <f>+INPUT!EK39</f>
        <v>158016</v>
      </c>
      <c r="CO162" s="577">
        <f>+INPUT!EL39</f>
        <v>5.191822496787978</v>
      </c>
      <c r="CP162" s="580">
        <f>+INPUT!EM39</f>
        <v>160654.5</v>
      </c>
      <c r="CQ162" s="577">
        <f>+INPUT!EN39</f>
        <v>4.9717240951220276</v>
      </c>
      <c r="CR162" s="580">
        <f>+INPUT!EO39</f>
        <v>163630</v>
      </c>
      <c r="CS162" s="577">
        <f>+INPUT!EP39</f>
        <v>6.1849849771899841</v>
      </c>
      <c r="CT162" s="580">
        <f>+INPUT!EQ39</f>
        <v>163213.33418638184</v>
      </c>
      <c r="CU162" s="577">
        <f>+INPUT!ER39</f>
        <v>5.256483151233752</v>
      </c>
      <c r="CV162" s="580">
        <f>+INPUT!ES39</f>
        <v>161221.6046945735</v>
      </c>
      <c r="CW162" s="577">
        <f>+INPUT!ET39</f>
        <v>2.0286582969911251</v>
      </c>
      <c r="CX162" s="580">
        <f>+INPUT!EU39</f>
        <v>161134.83436438188</v>
      </c>
      <c r="CY162" s="577">
        <f>+INPUT!EV39</f>
        <v>0.29898593838446175</v>
      </c>
      <c r="CZ162" s="580">
        <f>+INPUT!EW39</f>
        <v>161082.92190094999</v>
      </c>
      <c r="DA162" s="577">
        <f>+INPUT!EX39</f>
        <v>-1.556608261962964</v>
      </c>
      <c r="DB162" s="587"/>
      <c r="DC162" s="580">
        <f>+INPUT!FP39</f>
        <v>49098</v>
      </c>
      <c r="DD162" s="577">
        <f>+INPUT!FQ39</f>
        <v>7.474252191710363</v>
      </c>
      <c r="DE162" s="580">
        <f>+INPUT!FR39</f>
        <v>62666.5</v>
      </c>
      <c r="DF162" s="577">
        <f>+INPUT!FS39</f>
        <v>27.635545236058491</v>
      </c>
      <c r="DG162" s="580">
        <f>+INPUT!FT39</f>
        <v>77442.5</v>
      </c>
      <c r="DH162" s="577">
        <f>+INPUT!FU39</f>
        <v>23.578786113792845</v>
      </c>
      <c r="DI162" s="580">
        <f>+INPUT!FV39</f>
        <v>71955.125</v>
      </c>
      <c r="DJ162" s="577">
        <f>+INPUT!FW39</f>
        <v>-7.0857410336701463</v>
      </c>
      <c r="DK162" s="580">
        <f>+INPUT!FX39</f>
        <v>67228.75</v>
      </c>
      <c r="DL162" s="577">
        <f>+INPUT!FY39</f>
        <v>-6.5685036333409101</v>
      </c>
      <c r="DM162" s="580">
        <f>+INPUT!FZ39</f>
        <v>88445.125</v>
      </c>
      <c r="DN162" s="577">
        <f>+INPUT!GA39</f>
        <v>31.558485023148563</v>
      </c>
      <c r="DO162" s="580">
        <f>+INPUT!GB39</f>
        <v>107773.875</v>
      </c>
      <c r="DP162" s="577">
        <f>+INPUT!GC39</f>
        <v>21.853946161532349</v>
      </c>
      <c r="DQ162" s="580">
        <f>+INPUT!GD39</f>
        <v>122556.625</v>
      </c>
      <c r="DR162" s="577">
        <f>+INPUT!GE39</f>
        <v>13.71645029929563</v>
      </c>
      <c r="DS162" s="580">
        <f>+INPUT!GF39</f>
        <v>140385.875</v>
      </c>
      <c r="DT162" s="577">
        <f>+INPUT!GG39</f>
        <v>14.547765165693832</v>
      </c>
      <c r="DU162" s="580">
        <f>+INPUT!GH39</f>
        <v>153364.25</v>
      </c>
      <c r="DV162" s="577">
        <f>+INPUT!GI39</f>
        <v>9.2447869132133036</v>
      </c>
      <c r="DW162" s="580">
        <f>+INPUT!GJ39</f>
        <v>152980.75</v>
      </c>
      <c r="DX162" s="577">
        <f>+INPUT!GK39</f>
        <v>-0.25005827629320265</v>
      </c>
      <c r="DY162" s="580">
        <f>+INPUT!GL39</f>
        <v>149712.73749999999</v>
      </c>
      <c r="DZ162" s="577">
        <f>+INPUT!GM39</f>
        <v>-2.1362246557164895</v>
      </c>
      <c r="EA162" s="580">
        <f>+INPUT!GN39</f>
        <v>159340.75</v>
      </c>
      <c r="EB162" s="577">
        <f>+INPUT!GO39</f>
        <v>6.4309908834577385</v>
      </c>
      <c r="EC162" s="580">
        <f>+INPUT!GP39</f>
        <v>161663.1737865718</v>
      </c>
      <c r="ED162" s="577">
        <f>+INPUT!GQ39</f>
        <v>1.4575203057421362</v>
      </c>
      <c r="EE162" s="580">
        <f>+INPUT!GR39</f>
        <v>161260.10022478644</v>
      </c>
      <c r="EF162" s="577">
        <f>+INPUT!GS39</f>
        <v>-0.24932923951963915</v>
      </c>
      <c r="EG162" s="580">
        <f>+INPUT!GT39</f>
        <v>161892.20598323594</v>
      </c>
      <c r="EH162" s="577">
        <f>+INPUT!GU39</f>
        <v>0.39197901872091734</v>
      </c>
      <c r="EI162" s="580">
        <f>+INPUT!GV39</f>
        <v>163036.28766984009</v>
      </c>
      <c r="EJ162" s="577">
        <f>+INPUT!GW39</f>
        <v>0.70669349376994717</v>
      </c>
      <c r="EK162" s="580">
        <f>+INPUT!GX39</f>
        <v>164744.35726969806</v>
      </c>
      <c r="EL162" s="577">
        <f>+INPUT!GY39</f>
        <v>1.0476622255512353</v>
      </c>
      <c r="EM162" s="577">
        <f>+INPUT!GZ39</f>
        <v>0.66922802337805454</v>
      </c>
    </row>
    <row r="163" spans="1:143" ht="12.75" hidden="1" customHeight="1" outlineLevel="1" x14ac:dyDescent="0.2">
      <c r="A163" s="579"/>
      <c r="B163" s="580"/>
      <c r="C163" s="577"/>
      <c r="D163" s="580"/>
      <c r="E163" s="577"/>
      <c r="F163" s="580"/>
      <c r="G163" s="577"/>
      <c r="H163" s="580"/>
      <c r="I163" s="577"/>
      <c r="J163" s="580"/>
      <c r="K163" s="577"/>
      <c r="L163" s="580"/>
      <c r="M163" s="577"/>
      <c r="N163" s="580"/>
      <c r="O163" s="577"/>
      <c r="P163" s="580"/>
      <c r="Q163" s="577"/>
      <c r="R163" s="580"/>
      <c r="S163" s="577"/>
      <c r="T163" s="580"/>
      <c r="U163" s="577"/>
      <c r="V163" s="580"/>
      <c r="W163" s="577"/>
      <c r="X163" s="580"/>
      <c r="Y163" s="577"/>
      <c r="Z163" s="580"/>
      <c r="AA163" s="577"/>
      <c r="AB163" s="580"/>
      <c r="AC163" s="577"/>
      <c r="AD163" s="580"/>
      <c r="AE163" s="577"/>
      <c r="AF163" s="580"/>
      <c r="AG163" s="577"/>
      <c r="AH163" s="580"/>
      <c r="AI163" s="577"/>
      <c r="AJ163" s="580"/>
      <c r="AK163" s="577"/>
      <c r="AL163" s="580"/>
      <c r="AM163" s="577"/>
      <c r="AN163" s="580"/>
      <c r="AO163" s="577"/>
      <c r="AP163" s="580"/>
      <c r="AQ163" s="577"/>
      <c r="AR163" s="580"/>
      <c r="AS163" s="577"/>
      <c r="AT163" s="580"/>
      <c r="AU163" s="577"/>
      <c r="AV163" s="580"/>
      <c r="AW163" s="577"/>
      <c r="AX163" s="580"/>
      <c r="AY163" s="577"/>
      <c r="AZ163" s="580"/>
      <c r="BA163" s="577"/>
      <c r="BB163" s="580"/>
      <c r="BC163" s="577"/>
      <c r="BD163" s="580"/>
      <c r="BE163" s="577"/>
      <c r="BF163" s="580"/>
      <c r="BG163" s="577"/>
      <c r="BH163" s="580"/>
      <c r="BI163" s="577"/>
      <c r="BJ163" s="580"/>
      <c r="BK163" s="577"/>
      <c r="BL163" s="580"/>
      <c r="BM163" s="577"/>
      <c r="BN163" s="580"/>
      <c r="BO163" s="577"/>
      <c r="BP163" s="580"/>
      <c r="BQ163" s="577"/>
      <c r="BR163" s="580"/>
      <c r="BS163" s="577"/>
      <c r="BT163" s="580"/>
      <c r="BU163" s="577"/>
      <c r="BV163" s="580"/>
      <c r="BW163" s="577"/>
      <c r="BX163" s="580"/>
      <c r="BY163" s="577"/>
      <c r="BZ163" s="580"/>
      <c r="CA163" s="577"/>
      <c r="CB163" s="580"/>
      <c r="CC163" s="577"/>
      <c r="CD163" s="580"/>
      <c r="CE163" s="577"/>
      <c r="CF163" s="580"/>
      <c r="CG163" s="577"/>
      <c r="CH163" s="580"/>
      <c r="CI163" s="577"/>
      <c r="CJ163" s="580"/>
      <c r="CK163" s="577"/>
      <c r="CL163" s="580"/>
      <c r="CM163" s="577"/>
      <c r="CN163" s="580"/>
      <c r="CO163" s="577"/>
      <c r="CP163" s="580"/>
      <c r="CQ163" s="577"/>
      <c r="CR163" s="580"/>
      <c r="CS163" s="577"/>
      <c r="CT163" s="580"/>
      <c r="CU163" s="577"/>
      <c r="CV163" s="580"/>
      <c r="CW163" s="577"/>
      <c r="CX163" s="580"/>
      <c r="CY163" s="577"/>
      <c r="CZ163" s="580"/>
      <c r="DA163" s="577"/>
      <c r="DB163" s="587"/>
      <c r="DC163" s="580"/>
      <c r="DD163" s="577"/>
      <c r="DE163" s="580"/>
      <c r="DF163" s="577"/>
      <c r="DG163" s="580"/>
      <c r="DH163" s="577"/>
      <c r="DI163" s="580"/>
      <c r="DJ163" s="577"/>
      <c r="DK163" s="580"/>
      <c r="DL163" s="577"/>
      <c r="DM163" s="580"/>
      <c r="DN163" s="577"/>
      <c r="DO163" s="580"/>
      <c r="DP163" s="577"/>
      <c r="DQ163" s="580"/>
      <c r="DR163" s="577"/>
      <c r="DS163" s="580"/>
      <c r="DT163" s="577"/>
      <c r="DU163" s="580"/>
      <c r="DV163" s="577"/>
      <c r="DW163" s="580"/>
      <c r="DX163" s="577"/>
      <c r="DY163" s="580"/>
      <c r="DZ163" s="577"/>
      <c r="EA163" s="580"/>
      <c r="EB163" s="577"/>
      <c r="EC163" s="580"/>
      <c r="ED163" s="577"/>
      <c r="EE163" s="580"/>
      <c r="EF163" s="577"/>
      <c r="EG163" s="580"/>
      <c r="EH163" s="577"/>
      <c r="EI163" s="580"/>
      <c r="EJ163" s="577"/>
      <c r="EK163" s="580"/>
      <c r="EL163" s="577"/>
      <c r="EM163" s="577"/>
    </row>
    <row r="164" spans="1:143" ht="12.75" hidden="1" customHeight="1" outlineLevel="1" x14ac:dyDescent="0.2">
      <c r="A164" s="575" t="s">
        <v>355</v>
      </c>
      <c r="B164" s="580"/>
      <c r="C164" s="577"/>
      <c r="D164" s="580"/>
      <c r="E164" s="577"/>
      <c r="F164" s="580"/>
      <c r="G164" s="577"/>
      <c r="H164" s="580"/>
      <c r="I164" s="577"/>
      <c r="J164" s="580"/>
      <c r="K164" s="577"/>
      <c r="L164" s="580"/>
      <c r="M164" s="577"/>
      <c r="N164" s="580"/>
      <c r="O164" s="577"/>
      <c r="P164" s="580"/>
      <c r="Q164" s="577"/>
      <c r="R164" s="580"/>
      <c r="S164" s="577"/>
      <c r="T164" s="580"/>
      <c r="U164" s="577"/>
      <c r="V164" s="580"/>
      <c r="W164" s="577"/>
      <c r="X164" s="580"/>
      <c r="Y164" s="577"/>
      <c r="Z164" s="580"/>
      <c r="AA164" s="577"/>
      <c r="AB164" s="580"/>
      <c r="AC164" s="577"/>
      <c r="AD164" s="580"/>
      <c r="AE164" s="577"/>
      <c r="AF164" s="580"/>
      <c r="AG164" s="577"/>
      <c r="AH164" s="580"/>
      <c r="AI164" s="577"/>
      <c r="AJ164" s="580"/>
      <c r="AK164" s="577"/>
      <c r="AL164" s="580"/>
      <c r="AM164" s="577"/>
      <c r="AN164" s="580"/>
      <c r="AO164" s="577"/>
      <c r="AP164" s="580"/>
      <c r="AQ164" s="577"/>
      <c r="AR164" s="580"/>
      <c r="AS164" s="577"/>
      <c r="AT164" s="580"/>
      <c r="AU164" s="577"/>
      <c r="AV164" s="580"/>
      <c r="AW164" s="577"/>
      <c r="AX164" s="580"/>
      <c r="AY164" s="577"/>
      <c r="AZ164" s="580"/>
      <c r="BA164" s="577"/>
      <c r="BB164" s="580"/>
      <c r="BC164" s="577"/>
      <c r="BD164" s="580"/>
      <c r="BE164" s="577"/>
      <c r="BF164" s="580"/>
      <c r="BG164" s="577"/>
      <c r="BH164" s="580"/>
      <c r="BI164" s="577"/>
      <c r="BJ164" s="580"/>
      <c r="BK164" s="577"/>
      <c r="BL164" s="580"/>
      <c r="BM164" s="577"/>
      <c r="BN164" s="580"/>
      <c r="BO164" s="577"/>
      <c r="BP164" s="580"/>
      <c r="BQ164" s="577"/>
      <c r="BR164" s="580"/>
      <c r="BS164" s="577"/>
      <c r="BT164" s="580"/>
      <c r="BU164" s="577"/>
      <c r="BV164" s="580"/>
      <c r="BW164" s="577"/>
      <c r="BX164" s="580"/>
      <c r="BY164" s="577"/>
      <c r="BZ164" s="580"/>
      <c r="CA164" s="577"/>
      <c r="CB164" s="580"/>
      <c r="CC164" s="577"/>
      <c r="CD164" s="580"/>
      <c r="CE164" s="577"/>
      <c r="CF164" s="580"/>
      <c r="CG164" s="577"/>
      <c r="CH164" s="580"/>
      <c r="CI164" s="577"/>
      <c r="CJ164" s="580"/>
      <c r="CK164" s="577"/>
      <c r="CL164" s="580"/>
      <c r="CM164" s="577"/>
      <c r="CN164" s="580"/>
      <c r="CO164" s="577"/>
      <c r="CP164" s="580"/>
      <c r="CQ164" s="577"/>
      <c r="CR164" s="580"/>
      <c r="CS164" s="577"/>
      <c r="CT164" s="580"/>
      <c r="CU164" s="577"/>
      <c r="CV164" s="580"/>
      <c r="CW164" s="577"/>
      <c r="CX164" s="580"/>
      <c r="CY164" s="577"/>
      <c r="CZ164" s="580"/>
      <c r="DA164" s="577"/>
      <c r="DB164" s="587"/>
      <c r="DC164" s="580"/>
      <c r="DD164" s="577"/>
      <c r="DE164" s="580"/>
      <c r="DF164" s="577"/>
      <c r="DG164" s="580"/>
      <c r="DH164" s="577"/>
      <c r="DI164" s="580"/>
      <c r="DJ164" s="577"/>
      <c r="DK164" s="580"/>
      <c r="DL164" s="577"/>
      <c r="DM164" s="580"/>
      <c r="DN164" s="577"/>
      <c r="DO164" s="580"/>
      <c r="DP164" s="577"/>
      <c r="DQ164" s="580"/>
      <c r="DR164" s="577"/>
      <c r="DS164" s="580"/>
      <c r="DT164" s="577"/>
      <c r="DU164" s="580"/>
      <c r="DV164" s="577"/>
      <c r="DW164" s="580"/>
      <c r="DX164" s="577"/>
      <c r="DY164" s="580"/>
      <c r="DZ164" s="577"/>
      <c r="EA164" s="580"/>
      <c r="EB164" s="577"/>
      <c r="EC164" s="580"/>
      <c r="ED164" s="577"/>
      <c r="EE164" s="580"/>
      <c r="EF164" s="577"/>
      <c r="EG164" s="580"/>
      <c r="EH164" s="577"/>
      <c r="EI164" s="580"/>
      <c r="EJ164" s="577"/>
      <c r="EK164" s="580"/>
      <c r="EL164" s="577"/>
      <c r="EM164" s="577"/>
    </row>
    <row r="165" spans="1:143" ht="12.75" hidden="1" customHeight="1" outlineLevel="1" x14ac:dyDescent="0.2">
      <c r="A165" s="579" t="str">
        <f>+INPUT!B41</f>
        <v>Variable Annuity Net Fund Flows</v>
      </c>
      <c r="B165" s="580">
        <f>+INPUT!AY41</f>
        <v>544</v>
      </c>
      <c r="C165" s="577" t="str">
        <f>+INPUT!AZ41</f>
        <v>NM</v>
      </c>
      <c r="D165" s="580">
        <f>+INPUT!BA41</f>
        <v>743</v>
      </c>
      <c r="E165" s="577" t="str">
        <f>+INPUT!BB41</f>
        <v>NM</v>
      </c>
      <c r="F165" s="580">
        <f>+INPUT!BC41</f>
        <v>239</v>
      </c>
      <c r="G165" s="577" t="str">
        <f>+INPUT!BD41</f>
        <v>NM</v>
      </c>
      <c r="H165" s="580">
        <f>+INPUT!BE41</f>
        <v>345</v>
      </c>
      <c r="I165" s="577">
        <f>+INPUT!BF41</f>
        <v>-34.659090909090907</v>
      </c>
      <c r="J165" s="580">
        <f>+INPUT!BG41</f>
        <v>469</v>
      </c>
      <c r="K165" s="577">
        <f>+INPUT!BH41</f>
        <v>-13.786764705882348</v>
      </c>
      <c r="L165" s="580">
        <f>+INPUT!BI41</f>
        <v>518</v>
      </c>
      <c r="M165" s="577">
        <f>+INPUT!BJ41</f>
        <v>-30.282637954239561</v>
      </c>
      <c r="N165" s="580">
        <f>+INPUT!BK41</f>
        <v>497</v>
      </c>
      <c r="O165" s="577" t="str">
        <f>+INPUT!BL41</f>
        <v>NM</v>
      </c>
      <c r="P165" s="580">
        <f>+INPUT!BM41</f>
        <v>626</v>
      </c>
      <c r="Q165" s="577">
        <f>+INPUT!BN41</f>
        <v>81.449275362318843</v>
      </c>
      <c r="R165" s="580">
        <f>+INPUT!BO41</f>
        <v>656</v>
      </c>
      <c r="S165" s="577">
        <f>+INPUT!BP41</f>
        <v>39.872068230277193</v>
      </c>
      <c r="T165" s="580">
        <f>+INPUT!BQ41</f>
        <v>555</v>
      </c>
      <c r="U165" s="577">
        <f>+INPUT!BR41</f>
        <v>7.1428571428571388</v>
      </c>
      <c r="V165" s="580">
        <f>+INPUT!BS41</f>
        <v>519</v>
      </c>
      <c r="W165" s="577">
        <f>+INPUT!BT41</f>
        <v>4.4265593561368348</v>
      </c>
      <c r="X165" s="580">
        <f>+INPUT!BU41</f>
        <v>478</v>
      </c>
      <c r="Y165" s="577">
        <f>+INPUT!BV41</f>
        <v>-23.642172523961662</v>
      </c>
      <c r="Z165" s="580">
        <f>+INPUT!BW41</f>
        <v>665</v>
      </c>
      <c r="AA165" s="577">
        <f>+INPUT!BX41</f>
        <v>1.3719512195121979</v>
      </c>
      <c r="AB165" s="580">
        <f>+INPUT!BY41</f>
        <v>2063</v>
      </c>
      <c r="AC165" s="577" t="str">
        <f>+INPUT!BZ41</f>
        <v>NM</v>
      </c>
      <c r="AD165" s="580">
        <f>+INPUT!CA41</f>
        <v>4385</v>
      </c>
      <c r="AE165" s="577" t="str">
        <f>+INPUT!CB41</f>
        <v>NM</v>
      </c>
      <c r="AF165" s="580">
        <f>+INPUT!CC41</f>
        <v>3228</v>
      </c>
      <c r="AG165" s="577" t="str">
        <f>+INPUT!CD41</f>
        <v>NM</v>
      </c>
      <c r="AH165" s="580">
        <f>+INPUT!CE41</f>
        <v>3197</v>
      </c>
      <c r="AI165" s="577" t="str">
        <f>+INPUT!CF41</f>
        <v>NM</v>
      </c>
      <c r="AJ165" s="580">
        <f>+INPUT!CG41</f>
        <v>3594</v>
      </c>
      <c r="AK165" s="577">
        <f>+INPUT!CH41</f>
        <v>74.212312166747466</v>
      </c>
      <c r="AL165" s="580">
        <f>+INPUT!CI41</f>
        <v>3708</v>
      </c>
      <c r="AM165" s="577">
        <f>+INPUT!CJ41</f>
        <v>-15.43899657924743</v>
      </c>
      <c r="AN165" s="580">
        <f>+INPUT!CK41</f>
        <v>4229</v>
      </c>
      <c r="AO165" s="577">
        <f>+INPUT!CL41</f>
        <v>31.009913258983914</v>
      </c>
      <c r="AP165" s="580">
        <f>+INPUT!CM41</f>
        <v>4848</v>
      </c>
      <c r="AQ165" s="577">
        <f>+INPUT!CN41</f>
        <v>51.642164529246173</v>
      </c>
      <c r="AR165" s="580">
        <f>+INPUT!CO41</f>
        <v>2598</v>
      </c>
      <c r="AS165" s="577">
        <f>+INPUT!CP41</f>
        <v>-27.71285475792989</v>
      </c>
      <c r="AT165" s="580">
        <f>+INPUT!CQ41</f>
        <v>2849</v>
      </c>
      <c r="AU165" s="577">
        <f>+INPUT!CR41</f>
        <v>-23.166127292340889</v>
      </c>
      <c r="AV165" s="580">
        <f>+INPUT!CS41</f>
        <v>2880</v>
      </c>
      <c r="AW165" s="577">
        <f>+INPUT!CT41</f>
        <v>-31.89879404114447</v>
      </c>
      <c r="AX165" s="580">
        <f>+INPUT!CU41</f>
        <v>3267</v>
      </c>
      <c r="AY165" s="577">
        <f>+INPUT!CV41</f>
        <v>-32.611386138613867</v>
      </c>
      <c r="AZ165" s="580">
        <f>+INPUT!CW41</f>
        <v>3718</v>
      </c>
      <c r="BA165" s="577">
        <f>+INPUT!CX41</f>
        <v>43.110084680523499</v>
      </c>
      <c r="BB165" s="580">
        <f>+INPUT!CY41</f>
        <v>4333</v>
      </c>
      <c r="BC165" s="577">
        <f>+INPUT!CZ41</f>
        <v>52.088452088452101</v>
      </c>
      <c r="BD165" s="580">
        <f>+INPUT!DA41</f>
        <v>2013</v>
      </c>
      <c r="BE165" s="577">
        <f>+INPUT!DB41</f>
        <v>-30.104166666666671</v>
      </c>
      <c r="BF165" s="580">
        <f>+INPUT!DC41</f>
        <v>2432</v>
      </c>
      <c r="BG165" s="577">
        <f>+INPUT!DD41</f>
        <v>-25.558616467707367</v>
      </c>
      <c r="BH165" s="580">
        <f>+INPUT!DE41</f>
        <v>541</v>
      </c>
      <c r="BI165" s="577" t="str">
        <f>+INPUT!DF41</f>
        <v>NM</v>
      </c>
      <c r="BJ165" s="580">
        <f>+INPUT!DG41</f>
        <v>564</v>
      </c>
      <c r="BK165" s="577" t="str">
        <f>+INPUT!DH41</f>
        <v>NM</v>
      </c>
      <c r="BL165" s="580">
        <f>+INPUT!DI41</f>
        <v>343</v>
      </c>
      <c r="BM165" s="577" t="str">
        <f>+INPUT!DJ41</f>
        <v>NM</v>
      </c>
      <c r="BN165" s="580">
        <f>+INPUT!DK41</f>
        <v>146</v>
      </c>
      <c r="BO165" s="577" t="str">
        <f>+INPUT!DL41</f>
        <v>NM</v>
      </c>
      <c r="BP165" s="580">
        <f>+INPUT!DM41</f>
        <v>464</v>
      </c>
      <c r="BQ165" s="577">
        <f>+INPUT!DN41</f>
        <v>-14.232902033271728</v>
      </c>
      <c r="BR165" s="580">
        <f>+INPUT!DO41</f>
        <v>409</v>
      </c>
      <c r="BS165" s="577">
        <f>+INPUT!DP41</f>
        <v>-27.482269503546092</v>
      </c>
      <c r="BT165" s="580">
        <f>+INPUT!DQ41</f>
        <v>224</v>
      </c>
      <c r="BU165" s="577">
        <f>+INPUT!DR41</f>
        <v>-34.693877551020407</v>
      </c>
      <c r="BV165" s="580">
        <f>+INPUT!DS41</f>
        <v>48</v>
      </c>
      <c r="BW165" s="577" t="str">
        <f>+INPUT!DT41</f>
        <v>NM</v>
      </c>
      <c r="BX165" s="580">
        <f>+INPUT!DU41</f>
        <v>156</v>
      </c>
      <c r="BY165" s="577" t="str">
        <f>+INPUT!DV41</f>
        <v>NM</v>
      </c>
      <c r="BZ165" s="580">
        <f>+INPUT!DW41</f>
        <v>150</v>
      </c>
      <c r="CA165" s="577" t="str">
        <f>+INPUT!DX41</f>
        <v>NM</v>
      </c>
      <c r="CB165" s="580">
        <f>+INPUT!DY41</f>
        <v>87</v>
      </c>
      <c r="CC165" s="577" t="str">
        <f>+INPUT!DZ41</f>
        <v>NM</v>
      </c>
      <c r="CD165" s="580">
        <f>+INPUT!EA41</f>
        <v>253</v>
      </c>
      <c r="CE165" s="577" t="str">
        <f>+INPUT!EB41</f>
        <v>NM</v>
      </c>
      <c r="CF165" s="580">
        <f>+INPUT!EC41</f>
        <v>353</v>
      </c>
      <c r="CG165" s="577" t="str">
        <f>+INPUT!ED41</f>
        <v>NM</v>
      </c>
      <c r="CH165" s="580">
        <f>+INPUT!EE41</f>
        <v>96</v>
      </c>
      <c r="CI165" s="577">
        <f>+INPUT!EF41</f>
        <v>-36</v>
      </c>
      <c r="CJ165" s="580">
        <f>+INPUT!EG41</f>
        <v>-484</v>
      </c>
      <c r="CK165" s="577" t="str">
        <f>+INPUT!EH41</f>
        <v>NM</v>
      </c>
      <c r="CL165" s="580">
        <f>+INPUT!EI41</f>
        <v>-898</v>
      </c>
      <c r="CM165" s="577" t="str">
        <f>+INPUT!EJ41</f>
        <v>NM</v>
      </c>
      <c r="CN165" s="580">
        <f>+INPUT!EK41</f>
        <v>-889</v>
      </c>
      <c r="CO165" s="577" t="str">
        <f>+INPUT!EL41</f>
        <v>NM</v>
      </c>
      <c r="CP165" s="580">
        <f>+INPUT!EM41</f>
        <v>-970</v>
      </c>
      <c r="CQ165" s="577" t="str">
        <f>+INPUT!EN41</f>
        <v>NM</v>
      </c>
      <c r="CR165" s="580">
        <f>+INPUT!EO41</f>
        <v>-1108</v>
      </c>
      <c r="CS165" s="577" t="str">
        <f>+INPUT!EP41</f>
        <v>NM</v>
      </c>
      <c r="CT165" s="580">
        <f>+INPUT!EQ41</f>
        <v>-1126.8677489559366</v>
      </c>
      <c r="CU165" s="577">
        <f>+INPUT!ER41</f>
        <v>25.486386297988474</v>
      </c>
      <c r="CV165" s="580">
        <f>+INPUT!ES41</f>
        <v>-1028.8471538298159</v>
      </c>
      <c r="CW165" s="577">
        <f>+INPUT!ET41</f>
        <v>15.730838451047902</v>
      </c>
      <c r="CX165" s="580">
        <f>+INPUT!EU41</f>
        <v>-993.53605031029633</v>
      </c>
      <c r="CY165" s="577">
        <f>+INPUT!EV41</f>
        <v>2.4263969392058158</v>
      </c>
      <c r="CZ165" s="580">
        <f>+INPUT!EW41</f>
        <v>-958.13636336185687</v>
      </c>
      <c r="DA165" s="577">
        <f>+INPUT!EX41</f>
        <v>-13.52559897456166</v>
      </c>
      <c r="DB165" s="587"/>
      <c r="DC165" s="580">
        <f>+INPUT!FP41</f>
        <v>1415</v>
      </c>
      <c r="DD165" s="577" t="str">
        <f>+INPUT!FQ41</f>
        <v>NM</v>
      </c>
      <c r="DE165" s="580">
        <f>+INPUT!FR41</f>
        <v>1871</v>
      </c>
      <c r="DF165" s="577">
        <f>+INPUT!FS41</f>
        <v>32.226148409893995</v>
      </c>
      <c r="DG165" s="580">
        <f>+INPUT!FT41</f>
        <v>2110</v>
      </c>
      <c r="DH165" s="577">
        <f>+INPUT!FU41</f>
        <v>12.773917691074303</v>
      </c>
      <c r="DI165" s="580">
        <f>+INPUT!FV41</f>
        <v>2208</v>
      </c>
      <c r="DJ165" s="577">
        <f>+INPUT!FW41</f>
        <v>4.6445497630331687</v>
      </c>
      <c r="DK165" s="580">
        <f>+INPUT!FX41</f>
        <v>10341</v>
      </c>
      <c r="DL165" s="577" t="str">
        <f>+INPUT!FY41</f>
        <v>NM</v>
      </c>
      <c r="DM165" s="580">
        <f>+INPUT!FZ41</f>
        <v>14728</v>
      </c>
      <c r="DN165" s="577">
        <f>+INPUT!GA41</f>
        <v>42.423363311091776</v>
      </c>
      <c r="DO165" s="580">
        <f>+INPUT!GB41</f>
        <v>13175</v>
      </c>
      <c r="DP165" s="577">
        <f>+INPUT!GC41</f>
        <v>-10.544541010320472</v>
      </c>
      <c r="DQ165" s="580">
        <f>+INPUT!GD41</f>
        <v>13331</v>
      </c>
      <c r="DR165" s="577">
        <f>+INPUT!GE41</f>
        <v>1.1840607210626075</v>
      </c>
      <c r="DS165" s="580">
        <f>+INPUT!GF41</f>
        <v>3880</v>
      </c>
      <c r="DT165" s="577" t="str">
        <f>+INPUT!GG41</f>
        <v>NM</v>
      </c>
      <c r="DU165" s="580">
        <f>+INPUT!GH41</f>
        <v>1243</v>
      </c>
      <c r="DV165" s="577" t="str">
        <f>+INPUT!GI41</f>
        <v>NM</v>
      </c>
      <c r="DW165" s="580">
        <f>+INPUT!GJ41</f>
        <v>441</v>
      </c>
      <c r="DX165" s="577" t="str">
        <f>+INPUT!GK41</f>
        <v>NM</v>
      </c>
      <c r="DY165" s="580">
        <f>+INPUT!GL41</f>
        <v>218</v>
      </c>
      <c r="DZ165" s="577" t="str">
        <f>+INPUT!GM41</f>
        <v>NM</v>
      </c>
      <c r="EA165" s="580">
        <f>+INPUT!GN41</f>
        <v>-3865</v>
      </c>
      <c r="EB165" s="577" t="str">
        <f>+INPUT!GO41</f>
        <v>NM</v>
      </c>
      <c r="EC165" s="580">
        <f>+INPUT!GP41</f>
        <v>-4107.3873164579045</v>
      </c>
      <c r="ED165" s="577">
        <f>+INPUT!GQ41</f>
        <v>6.2713406586779996</v>
      </c>
      <c r="EE165" s="580">
        <f>+INPUT!GR41</f>
        <v>-3401.4004061030791</v>
      </c>
      <c r="EF165" s="577">
        <f>+INPUT!GS41</f>
        <v>-17.188223460836141</v>
      </c>
      <c r="EG165" s="580">
        <f>+INPUT!GT41</f>
        <v>-2923.8738533947053</v>
      </c>
      <c r="EH165" s="577">
        <f>+INPUT!GU41</f>
        <v>-14.039116119688686</v>
      </c>
      <c r="EI165" s="580">
        <f>+INPUT!GV41</f>
        <v>-2407.1977416660648</v>
      </c>
      <c r="EJ165" s="577">
        <f>+INPUT!GW41</f>
        <v>-17.670944015890569</v>
      </c>
      <c r="EK165" s="580">
        <f>+INPUT!GX41</f>
        <v>-1849.7426646827989</v>
      </c>
      <c r="EL165" s="577">
        <f>+INPUT!GY41</f>
        <v>-23.157843135788298</v>
      </c>
      <c r="EM165" s="577">
        <f>+INPUT!GZ41</f>
        <v>-13.703662723870869</v>
      </c>
    </row>
    <row r="166" spans="1:143" ht="12.75" hidden="1" customHeight="1" outlineLevel="1" x14ac:dyDescent="0.2">
      <c r="A166" s="579" t="str">
        <f>+INPUT!B43</f>
        <v>Redemptions/BOP Reserves (%)</v>
      </c>
      <c r="B166" s="586">
        <f>+INPUT!AY43</f>
        <v>12.485722163141517</v>
      </c>
      <c r="C166" s="577">
        <f>+INPUT!AZ43</f>
        <v>0</v>
      </c>
      <c r="D166" s="586">
        <f>+INPUT!BA43</f>
        <v>13.215246046520374</v>
      </c>
      <c r="E166" s="577">
        <f>+INPUT!BB43</f>
        <v>0</v>
      </c>
      <c r="F166" s="586">
        <f>+INPUT!BC43</f>
        <v>12.115046434229075</v>
      </c>
      <c r="G166" s="577">
        <f>+INPUT!BD43</f>
        <v>0</v>
      </c>
      <c r="H166" s="586">
        <f>+INPUT!BE43</f>
        <v>13.016795407837856</v>
      </c>
      <c r="I166" s="577">
        <f>+INPUT!BF43</f>
        <v>0</v>
      </c>
      <c r="J166" s="586">
        <f>+INPUT!BG43</f>
        <v>12.393534974180136</v>
      </c>
      <c r="K166" s="577">
        <f>+INPUT!BH43</f>
        <v>0</v>
      </c>
      <c r="L166" s="586">
        <f>+INPUT!BI43</f>
        <v>13.308462647669698</v>
      </c>
      <c r="M166" s="577">
        <f>+INPUT!BJ43</f>
        <v>0</v>
      </c>
      <c r="N166" s="586">
        <f>+INPUT!BK43</f>
        <v>11.792118326410698</v>
      </c>
      <c r="O166" s="577">
        <f>+INPUT!BL43</f>
        <v>0</v>
      </c>
      <c r="P166" s="586">
        <f>+INPUT!BM43</f>
        <v>11.900508789868553</v>
      </c>
      <c r="Q166" s="577">
        <f>+INPUT!BN43</f>
        <v>0</v>
      </c>
      <c r="R166" s="586">
        <f>+INPUT!BO43</f>
        <v>10.820365990290053</v>
      </c>
      <c r="S166" s="577">
        <f>+INPUT!BP43</f>
        <v>0</v>
      </c>
      <c r="T166" s="586">
        <f>+INPUT!BQ43</f>
        <v>11.656908118489669</v>
      </c>
      <c r="U166" s="577">
        <f>+INPUT!BR43</f>
        <v>0</v>
      </c>
      <c r="V166" s="586">
        <f>+INPUT!BS43</f>
        <v>10.644250204130804</v>
      </c>
      <c r="W166" s="577">
        <f>+INPUT!BT43</f>
        <v>0</v>
      </c>
      <c r="X166" s="586">
        <f>+INPUT!BU43</f>
        <v>9.7339924670433149</v>
      </c>
      <c r="Y166" s="577">
        <f>+INPUT!BV43</f>
        <v>0</v>
      </c>
      <c r="Z166" s="586">
        <f>+INPUT!BW43</f>
        <v>9.6188777975902813</v>
      </c>
      <c r="AA166" s="577">
        <f>+INPUT!BX43</f>
        <v>0</v>
      </c>
      <c r="AB166" s="586">
        <f>+INPUT!BY43</f>
        <v>9.0780435608021826</v>
      </c>
      <c r="AC166" s="577">
        <f>+INPUT!BZ43</f>
        <v>0</v>
      </c>
      <c r="AD166" s="586">
        <f>+INPUT!CA43</f>
        <v>8.8726401327209317</v>
      </c>
      <c r="AE166" s="577">
        <f>+INPUT!CB43</f>
        <v>0</v>
      </c>
      <c r="AF166" s="586">
        <f>+INPUT!CC43</f>
        <v>8.3268307521392391</v>
      </c>
      <c r="AG166" s="577">
        <f>+INPUT!CD43</f>
        <v>0</v>
      </c>
      <c r="AH166" s="586">
        <f>+INPUT!CE43</f>
        <v>8.2961785417106526</v>
      </c>
      <c r="AI166" s="577">
        <f>+INPUT!CF43</f>
        <v>0</v>
      </c>
      <c r="AJ166" s="586">
        <f>+INPUT!CG43</f>
        <v>8.0300776537556082</v>
      </c>
      <c r="AK166" s="577">
        <f>+INPUT!CH43</f>
        <v>0</v>
      </c>
      <c r="AL166" s="586">
        <f>+INPUT!CI43</f>
        <v>7.9432488366250764</v>
      </c>
      <c r="AM166" s="577">
        <f>+INPUT!CJ43</f>
        <v>0</v>
      </c>
      <c r="AN166" s="586">
        <f>+INPUT!CK43</f>
        <v>8.0492637215528777</v>
      </c>
      <c r="AO166" s="577">
        <f>+INPUT!CL43</f>
        <v>0</v>
      </c>
      <c r="AP166" s="586">
        <f>+INPUT!CM43</f>
        <v>7.6874975573533444</v>
      </c>
      <c r="AQ166" s="577">
        <f>+INPUT!CN43</f>
        <v>0</v>
      </c>
      <c r="AR166" s="586">
        <f>+INPUT!CO43</f>
        <v>7.0310723931289729</v>
      </c>
      <c r="AS166" s="577">
        <f>+INPUT!CP43</f>
        <v>0</v>
      </c>
      <c r="AT166" s="586">
        <f>+INPUT!CQ43</f>
        <v>5.7859931195522361</v>
      </c>
      <c r="AU166" s="577">
        <f>+INPUT!CR43</f>
        <v>0</v>
      </c>
      <c r="AV166" s="586">
        <f>+INPUT!CS43</f>
        <v>5.9331836429203237</v>
      </c>
      <c r="AW166" s="577">
        <f>+INPUT!CT43</f>
        <v>0</v>
      </c>
      <c r="AX166" s="586">
        <f>+INPUT!CU43</f>
        <v>6.1088178744885777</v>
      </c>
      <c r="AY166" s="577">
        <f>+INPUT!CV43</f>
        <v>0</v>
      </c>
      <c r="AZ166" s="586">
        <f>+INPUT!CW43</f>
        <v>5.4075626060061861</v>
      </c>
      <c r="BA166" s="577">
        <f>+INPUT!CX43</f>
        <v>0</v>
      </c>
      <c r="BB166" s="586">
        <f>+INPUT!CY43</f>
        <v>5.2490733507305158</v>
      </c>
      <c r="BC166" s="577">
        <f>+INPUT!CZ43</f>
        <v>0</v>
      </c>
      <c r="BD166" s="586">
        <f>+INPUT!DA43</f>
        <v>5.4750327648915462</v>
      </c>
      <c r="BE166" s="577">
        <f>+INPUT!DB43</f>
        <v>0</v>
      </c>
      <c r="BF166" s="586">
        <f>+INPUT!DC43</f>
        <v>5.3978481551273481</v>
      </c>
      <c r="BG166" s="577">
        <f>+INPUT!DD43</f>
        <v>0</v>
      </c>
      <c r="BH166" s="586">
        <f>+INPUT!DE43</f>
        <v>5.4605348332062658</v>
      </c>
      <c r="BI166" s="577">
        <f>+INPUT!DF43</f>
        <v>0</v>
      </c>
      <c r="BJ166" s="586">
        <f>+INPUT!DG43</f>
        <v>5.2955906369080017</v>
      </c>
      <c r="BK166" s="577">
        <f>+INPUT!DH43</f>
        <v>0</v>
      </c>
      <c r="BL166" s="586">
        <f>+INPUT!DI43</f>
        <v>5.7593408352296853</v>
      </c>
      <c r="BM166" s="577">
        <f>+INPUT!DJ43</f>
        <v>0</v>
      </c>
      <c r="BN166" s="586">
        <f>+INPUT!DK43</f>
        <v>5.7368060770800238</v>
      </c>
      <c r="BO166" s="577">
        <f>+INPUT!DL43</f>
        <v>0</v>
      </c>
      <c r="BP166" s="586">
        <f>+INPUT!DM43</f>
        <v>5.7696873763355754</v>
      </c>
      <c r="BQ166" s="577">
        <f>+INPUT!DN43</f>
        <v>5.6615799106217679</v>
      </c>
      <c r="BR166" s="586">
        <f>+INPUT!DO43</f>
        <v>5.5218423247161459</v>
      </c>
      <c r="BS166" s="577">
        <f>+INPUT!DP43</f>
        <v>4.2724542609329887</v>
      </c>
      <c r="BT166" s="586">
        <f>+INPUT!DQ43</f>
        <v>5.7895698952811223</v>
      </c>
      <c r="BU166" s="577">
        <f>+INPUT!DR43</f>
        <v>0.52487013559827744</v>
      </c>
      <c r="BV166" s="586">
        <f>+INPUT!DS43</f>
        <v>5.5892651032028011</v>
      </c>
      <c r="BW166" s="577">
        <f>+INPUT!DT43</f>
        <v>-2.5718312924448554</v>
      </c>
      <c r="BX166" s="586">
        <f>+INPUT!DU43</f>
        <v>5.5092921702041231</v>
      </c>
      <c r="BY166" s="577">
        <f>+INPUT!DV43</f>
        <v>-4.5131597112083739</v>
      </c>
      <c r="BZ166" s="586">
        <f>+INPUT!DW43</f>
        <v>5.0571340333539228</v>
      </c>
      <c r="CA166" s="577">
        <f>+INPUT!DX43</f>
        <v>-8.4158196492166581</v>
      </c>
      <c r="CB166" s="586">
        <f>+INPUT!DY43</f>
        <v>5.4238674711115653</v>
      </c>
      <c r="CC166" s="577">
        <f>+INPUT!DZ43</f>
        <v>-6.3165732650991657</v>
      </c>
      <c r="CD166" s="586">
        <f>+INPUT!EA43</f>
        <v>4.6787695478483142</v>
      </c>
      <c r="CE166" s="577">
        <f>+INPUT!EB43</f>
        <v>-16.290076397212729</v>
      </c>
      <c r="CF166" s="586">
        <f>+INPUT!EC43</f>
        <v>5.1297857229004462</v>
      </c>
      <c r="CG166" s="577">
        <f>+INPUT!ED43</f>
        <v>-6.8884792379710689</v>
      </c>
      <c r="CH166" s="586">
        <f>+INPUT!EE43</f>
        <v>5.2702595444082867</v>
      </c>
      <c r="CI166" s="577">
        <f>+INPUT!EF43</f>
        <v>4.2143536170627698</v>
      </c>
      <c r="CJ166" s="586">
        <f>+INPUT!EG43</f>
        <v>5.4795581751160398</v>
      </c>
      <c r="CK166" s="577">
        <f>+INPUT!EH43</f>
        <v>1.0267711056933564</v>
      </c>
      <c r="CL166" s="586">
        <f>+INPUT!EI43</f>
        <v>6.0693434228122252</v>
      </c>
      <c r="CM166" s="577">
        <f>+INPUT!EJ43</f>
        <v>29.720931128215369</v>
      </c>
      <c r="CN166" s="586">
        <f>+INPUT!EK43</f>
        <v>6.075368233118664</v>
      </c>
      <c r="CO166" s="577">
        <f>+INPUT!EL43</f>
        <v>18.433177549637961</v>
      </c>
      <c r="CP166" s="586">
        <f>+INPUT!EM43</f>
        <v>5.7486714991017696</v>
      </c>
      <c r="CQ166" s="577">
        <f>+INPUT!EN43</f>
        <v>9.0775786403361423</v>
      </c>
      <c r="CR166" s="586">
        <f>+INPUT!EO43</f>
        <v>6.7140839075425491</v>
      </c>
      <c r="CS166" s="577">
        <f>+INPUT!EP43</f>
        <v>22.529658285822762</v>
      </c>
      <c r="CT166" s="586">
        <f>+INPUT!EQ43</f>
        <v>6.7140839075425491</v>
      </c>
      <c r="CU166" s="577">
        <f>+INPUT!ER43</f>
        <v>10.622903332624148</v>
      </c>
      <c r="CV166" s="586">
        <f>+INPUT!ES43</f>
        <v>6.7140839075425491</v>
      </c>
      <c r="CW166" s="577">
        <f>+INPUT!ET43</f>
        <v>10.51320100964503</v>
      </c>
      <c r="CX166" s="586">
        <f>+INPUT!EU43</f>
        <v>6.7140839075425491</v>
      </c>
      <c r="CY166" s="577">
        <f>+INPUT!EV43</f>
        <v>16.793661084854563</v>
      </c>
      <c r="CZ166" s="586">
        <f>+INPUT!EW43</f>
        <v>6.7140839075425491</v>
      </c>
      <c r="DA166" s="577">
        <f>+INPUT!EX43</f>
        <v>0</v>
      </c>
      <c r="DB166" s="587"/>
      <c r="DC166" s="586">
        <f>+INPUT!FP43</f>
        <v>12.00177147918512</v>
      </c>
      <c r="DD166" s="577">
        <f>+INPUT!FQ43</f>
        <v>0</v>
      </c>
      <c r="DE166" s="586">
        <f>+INPUT!FR43</f>
        <v>15.207373271889402</v>
      </c>
      <c r="DF166" s="577">
        <f>+INPUT!FS43</f>
        <v>0</v>
      </c>
      <c r="DG166" s="586">
        <f>+INPUT!FT43</f>
        <v>12.833478639930254</v>
      </c>
      <c r="DH166" s="577">
        <f>+INPUT!FU43</f>
        <v>0</v>
      </c>
      <c r="DI166" s="586">
        <f>+INPUT!FV43</f>
        <v>9.9589194572388884</v>
      </c>
      <c r="DJ166" s="577">
        <f>+INPUT!FW43</f>
        <v>0</v>
      </c>
      <c r="DK166" s="586">
        <f>+INPUT!FX43</f>
        <v>9.6255436865699</v>
      </c>
      <c r="DL166" s="577">
        <f>+INPUT!FY43</f>
        <v>0</v>
      </c>
      <c r="DM166" s="586">
        <f>+INPUT!FZ43</f>
        <v>8.597970665308809</v>
      </c>
      <c r="DN166" s="577">
        <f>+INPUT!GA43</f>
        <v>0</v>
      </c>
      <c r="DO166" s="586">
        <f>+INPUT!GB43</f>
        <v>6.8872865126822207</v>
      </c>
      <c r="DP166" s="577">
        <f>+INPUT!GC43</f>
        <v>0</v>
      </c>
      <c r="DQ166" s="586">
        <f>+INPUT!GD43</f>
        <v>6.0559671231878118</v>
      </c>
      <c r="DR166" s="577">
        <f>+INPUT!GE43</f>
        <v>0</v>
      </c>
      <c r="DS166" s="586">
        <f>+INPUT!GF43</f>
        <v>5.7496504771746402</v>
      </c>
      <c r="DT166" s="577">
        <f>+INPUT!GG43</f>
        <v>0</v>
      </c>
      <c r="DU166" s="586">
        <f>+INPUT!GH43</f>
        <v>5.7913030764220723</v>
      </c>
      <c r="DV166" s="577">
        <f>+INPUT!GI43</f>
        <v>0.72443706644061479</v>
      </c>
      <c r="DW166" s="586">
        <f>+INPUT!GJ43</f>
        <v>5.3461694705415805</v>
      </c>
      <c r="DX166" s="577">
        <f>+INPUT!GK43</f>
        <v>-7.6862426297934263</v>
      </c>
      <c r="DY166" s="586">
        <f>+INPUT!GL43</f>
        <v>5.2033913049297045</v>
      </c>
      <c r="DZ166" s="577">
        <f>+INPUT!GM43</f>
        <v>-2.6706629185365642</v>
      </c>
      <c r="EA166" s="586">
        <f>+INPUT!GN43</f>
        <v>6.3387586026941518</v>
      </c>
      <c r="EB166" s="577">
        <f>+INPUT!GO43</f>
        <v>21.819756217234669</v>
      </c>
      <c r="EC166" s="586">
        <f>+INPUT!GP43</f>
        <v>6.5929799001761422</v>
      </c>
      <c r="ED166" s="577">
        <f>+INPUT!GQ43</f>
        <v>4.0105849333643846</v>
      </c>
      <c r="EE166" s="586">
        <f>+INPUT!GR43</f>
        <v>6.7429799001761426</v>
      </c>
      <c r="EF166" s="577">
        <f>+INPUT!GS43</f>
        <v>2.2751472364718239</v>
      </c>
      <c r="EG166" s="586">
        <f>+INPUT!GT43</f>
        <v>6.8929799001761429</v>
      </c>
      <c r="EH166" s="577">
        <f>+INPUT!GU43</f>
        <v>2.2245357723234918</v>
      </c>
      <c r="EI166" s="586">
        <f>+INPUT!GV43</f>
        <v>7.0429799001761433</v>
      </c>
      <c r="EJ166" s="577">
        <f>+INPUT!GW43</f>
        <v>2.1761270476962693</v>
      </c>
      <c r="EK166" s="586">
        <f>+INPUT!GX43</f>
        <v>7.1929799001761436</v>
      </c>
      <c r="EL166" s="577">
        <f>+INPUT!GY43</f>
        <v>2.1297803220516016</v>
      </c>
      <c r="EM166" s="577">
        <f>+INPUT!GZ43</f>
        <v>0</v>
      </c>
    </row>
    <row r="167" spans="1:143" ht="12.75" hidden="1" customHeight="1" outlineLevel="1" x14ac:dyDescent="0.2">
      <c r="A167" s="579" t="str">
        <f>+INPUT!B44</f>
        <v>Benefits/BOP Reserves (%)</v>
      </c>
      <c r="B167" s="597">
        <f>+INPUT!AY44</f>
        <v>-1.5597305919886566</v>
      </c>
      <c r="C167" s="577">
        <f>+INPUT!AZ44</f>
        <v>0</v>
      </c>
      <c r="D167" s="597">
        <f>+INPUT!BA44</f>
        <v>-1.6923337282112032</v>
      </c>
      <c r="E167" s="577">
        <f>+INPUT!BB44</f>
        <v>0</v>
      </c>
      <c r="F167" s="597">
        <f>+INPUT!BC44</f>
        <v>-1.4184603310709667</v>
      </c>
      <c r="G167" s="577">
        <f>+INPUT!BD44</f>
        <v>0</v>
      </c>
      <c r="H167" s="597">
        <f>+INPUT!BE44</f>
        <v>-1.4967046984621928</v>
      </c>
      <c r="I167" s="577">
        <f>+INPUT!BF44</f>
        <v>0</v>
      </c>
      <c r="J167" s="597">
        <f>+INPUT!BG44</f>
        <v>-1.6417409965797061</v>
      </c>
      <c r="K167" s="577">
        <f>+INPUT!BH44</f>
        <v>0</v>
      </c>
      <c r="L167" s="597">
        <f>+INPUT!BI44</f>
        <v>-1.5821989390271327</v>
      </c>
      <c r="M167" s="577">
        <f>+INPUT!BJ44</f>
        <v>0</v>
      </c>
      <c r="N167" s="597">
        <f>+INPUT!BK44</f>
        <v>-1.342315874784723</v>
      </c>
      <c r="O167" s="577">
        <f>+INPUT!BL44</f>
        <v>0</v>
      </c>
      <c r="P167" s="597">
        <f>+INPUT!BM44</f>
        <v>-1.286141943749769</v>
      </c>
      <c r="Q167" s="577">
        <f>+INPUT!BN44</f>
        <v>0</v>
      </c>
      <c r="R167" s="597">
        <f>+INPUT!BO44</f>
        <v>-1.4639611602141167</v>
      </c>
      <c r="S167" s="577">
        <f>+INPUT!BP44</f>
        <v>0</v>
      </c>
      <c r="T167" s="597">
        <f>+INPUT!BQ44</f>
        <v>-1.3977619803406378</v>
      </c>
      <c r="U167" s="577">
        <f>+INPUT!BR44</f>
        <v>0</v>
      </c>
      <c r="V167" s="597">
        <f>+INPUT!BS44</f>
        <v>-1.3867509068761963</v>
      </c>
      <c r="W167" s="577">
        <f>+INPUT!BT44</f>
        <v>0</v>
      </c>
      <c r="X167" s="597">
        <f>+INPUT!BU44</f>
        <v>-1.4241996233521657</v>
      </c>
      <c r="Y167" s="577">
        <f>+INPUT!BV44</f>
        <v>0</v>
      </c>
      <c r="Z167" s="597">
        <f>+INPUT!BW44</f>
        <v>-1.7064675787824755</v>
      </c>
      <c r="AA167" s="577">
        <f>+INPUT!BX44</f>
        <v>0</v>
      </c>
      <c r="AB167" s="597">
        <f>+INPUT!BY44</f>
        <v>-1.6292154223188706</v>
      </c>
      <c r="AC167" s="577">
        <f>+INPUT!BZ44</f>
        <v>0</v>
      </c>
      <c r="AD167" s="597">
        <f>+INPUT!CA44</f>
        <v>-1.4685325427425919</v>
      </c>
      <c r="AE167" s="577">
        <f>+INPUT!CB44</f>
        <v>0</v>
      </c>
      <c r="AF167" s="597">
        <f>+INPUT!CC44</f>
        <v>-1.3595905357686051</v>
      </c>
      <c r="AG167" s="577">
        <f>+INPUT!CD44</f>
        <v>0</v>
      </c>
      <c r="AH167" s="586">
        <f>+INPUT!CE44</f>
        <v>-1.3214272407754692</v>
      </c>
      <c r="AI167" s="577">
        <f>+INPUT!CF44</f>
        <v>0</v>
      </c>
      <c r="AJ167" s="586">
        <f>+INPUT!CG44</f>
        <v>-0.95105353775518564</v>
      </c>
      <c r="AK167" s="577">
        <f>+INPUT!CH44</f>
        <v>0</v>
      </c>
      <c r="AL167" s="586">
        <f>+INPUT!CI44</f>
        <v>-1.2441233117605541</v>
      </c>
      <c r="AM167" s="577">
        <f>+INPUT!CJ44</f>
        <v>0</v>
      </c>
      <c r="AN167" s="586">
        <f>+INPUT!CK44</f>
        <v>-1.0795180722891566</v>
      </c>
      <c r="AO167" s="577">
        <f>+INPUT!CL44</f>
        <v>0</v>
      </c>
      <c r="AP167" s="586">
        <f>+INPUT!CM44</f>
        <v>-0.99269160120373634</v>
      </c>
      <c r="AQ167" s="577">
        <f>+INPUT!CN44</f>
        <v>0</v>
      </c>
      <c r="AR167" s="586">
        <f>+INPUT!CO44</f>
        <v>-1.0548427284052779</v>
      </c>
      <c r="AS167" s="577">
        <f>+INPUT!CP44</f>
        <v>0</v>
      </c>
      <c r="AT167" s="586">
        <f>+INPUT!CQ44</f>
        <v>-0.9696796848541025</v>
      </c>
      <c r="AU167" s="577">
        <f>+INPUT!CR44</f>
        <v>0</v>
      </c>
      <c r="AV167" s="586">
        <f>+INPUT!CS44</f>
        <v>-1.0731052984574112</v>
      </c>
      <c r="AW167" s="577">
        <f>+INPUT!CT44</f>
        <v>0</v>
      </c>
      <c r="AX167" s="586">
        <f>+INPUT!CU44</f>
        <v>-1.0387906290150624</v>
      </c>
      <c r="AY167" s="577">
        <f>+INPUT!CV44</f>
        <v>0</v>
      </c>
      <c r="AZ167" s="586">
        <f>+INPUT!CW44</f>
        <v>-0.95779706674648313</v>
      </c>
      <c r="BA167" s="577">
        <f>+INPUT!CX44</f>
        <v>0</v>
      </c>
      <c r="BB167" s="586">
        <f>+INPUT!CY44</f>
        <v>-0.94077755431078902</v>
      </c>
      <c r="BC167" s="577">
        <f>+INPUT!CZ44</f>
        <v>0</v>
      </c>
      <c r="BD167" s="586">
        <f>+INPUT!DA44</f>
        <v>-0.97092649031787748</v>
      </c>
      <c r="BE167" s="577">
        <f>+INPUT!DB44</f>
        <v>0</v>
      </c>
      <c r="BF167" s="586">
        <f>+INPUT!DC44</f>
        <v>-0.94219196401434568</v>
      </c>
      <c r="BG167" s="577">
        <f>+INPUT!DD44</f>
        <v>0</v>
      </c>
      <c r="BH167" s="586">
        <f>+INPUT!DE44</f>
        <v>-0.93790008199433239</v>
      </c>
      <c r="BI167" s="577">
        <f>+INPUT!DF44</f>
        <v>0</v>
      </c>
      <c r="BJ167" s="586">
        <f>+INPUT!DG44</f>
        <v>-0.90001814552712744</v>
      </c>
      <c r="BK167" s="577">
        <f>+INPUT!DH44</f>
        <v>0</v>
      </c>
      <c r="BL167" s="586">
        <f>+INPUT!DI44</f>
        <v>-0.93530136328524605</v>
      </c>
      <c r="BM167" s="577">
        <f>+INPUT!DJ44</f>
        <v>0</v>
      </c>
      <c r="BN167" s="586">
        <f>+INPUT!DK44</f>
        <v>-0.90385267201446151</v>
      </c>
      <c r="BO167" s="577">
        <f>+INPUT!DL44</f>
        <v>0</v>
      </c>
      <c r="BP167" s="586">
        <f>+INPUT!DM44</f>
        <v>-1.0710987996306556</v>
      </c>
      <c r="BQ167" s="577">
        <f>+INPUT!DN44</f>
        <v>14.201802536693677</v>
      </c>
      <c r="BR167" s="586">
        <f>+INPUT!DO44</f>
        <v>-0.88523959202001412</v>
      </c>
      <c r="BS167" s="577">
        <f>+INPUT!DP44</f>
        <v>-1.6420283947117298</v>
      </c>
      <c r="BT167" s="586">
        <f>+INPUT!DQ44</f>
        <v>-0.96101115086308209</v>
      </c>
      <c r="BU167" s="577">
        <f>+INPUT!DR44</f>
        <v>2.7488239178365319</v>
      </c>
      <c r="BV167" s="586">
        <f>+INPUT!DS44</f>
        <v>-1.0317056028062392</v>
      </c>
      <c r="BW167" s="577">
        <f>+INPUT!DT44</f>
        <v>14.145328630475305</v>
      </c>
      <c r="BX167" s="586">
        <f>+INPUT!DU44</f>
        <v>-0.9901492840459023</v>
      </c>
      <c r="BY167" s="577">
        <f>+INPUT!DV44</f>
        <v>-7.5576142567489484</v>
      </c>
      <c r="BZ167" s="586">
        <f>+INPUT!DW44</f>
        <v>-1.0294420424130122</v>
      </c>
      <c r="CA167" s="577">
        <f>+INPUT!DX44</f>
        <v>16.289652167945263</v>
      </c>
      <c r="CB167" s="586">
        <f>+INPUT!DY44</f>
        <v>-0.95715308313733505</v>
      </c>
      <c r="CC167" s="577">
        <f>+INPUT!DZ44</f>
        <v>-0.40145920495116627</v>
      </c>
      <c r="CD167" s="586">
        <f>+INPUT!EA44</f>
        <v>-0.95020777430557879</v>
      </c>
      <c r="CE167" s="577">
        <f>+INPUT!EB44</f>
        <v>-7.8993298358549566</v>
      </c>
      <c r="CF167" s="586">
        <f>+INPUT!EC44</f>
        <v>-1.0693753936453907</v>
      </c>
      <c r="CG167" s="577">
        <f>+INPUT!ED44</f>
        <v>8.0014307818067891</v>
      </c>
      <c r="CH167" s="586">
        <f>+INPUT!EE44</f>
        <v>-0.92335370532052807</v>
      </c>
      <c r="CI167" s="577">
        <f>+INPUT!EF44</f>
        <v>-10.305421065163912</v>
      </c>
      <c r="CJ167" s="586">
        <f>+INPUT!EG44</f>
        <v>-0.89604462147279262</v>
      </c>
      <c r="CK167" s="577">
        <f>+INPUT!EH44</f>
        <v>-6.3843979339482928</v>
      </c>
      <c r="CL167" s="586">
        <f>+INPUT!EI44</f>
        <v>-1.0776607195277079</v>
      </c>
      <c r="CM167" s="577">
        <f>+INPUT!EJ44</f>
        <v>13.413165906295916</v>
      </c>
      <c r="CN167" s="586">
        <f>+INPUT!EK44</f>
        <v>-0.99725817764458324</v>
      </c>
      <c r="CO167" s="577">
        <f>+INPUT!EL44</f>
        <v>-6.7438634205867771</v>
      </c>
      <c r="CP167" s="586">
        <f>+INPUT!EM44</f>
        <v>-0.90199871860906278</v>
      </c>
      <c r="CQ167" s="577">
        <f>+INPUT!EN44</f>
        <v>-2.312763417573791</v>
      </c>
      <c r="CR167" s="586">
        <f>+INPUT!EO44</f>
        <v>-0.97466488183730504</v>
      </c>
      <c r="CS167" s="577">
        <f>+INPUT!EP44</f>
        <v>8.7741456709251224</v>
      </c>
      <c r="CT167" s="586">
        <f>+INPUT!EQ44</f>
        <v>-0.97466488183730504</v>
      </c>
      <c r="CU167" s="577">
        <f>+INPUT!ER44</f>
        <v>-9.557352868492913</v>
      </c>
      <c r="CV167" s="586">
        <f>+INPUT!ES44</f>
        <v>-0.97466488183730504</v>
      </c>
      <c r="CW167" s="577">
        <f>+INPUT!ET44</f>
        <v>-2.2655412924906955</v>
      </c>
      <c r="CX167" s="586">
        <f>+INPUT!EU44</f>
        <v>-0.97466488183730504</v>
      </c>
      <c r="CY167" s="577">
        <f>+INPUT!EV44</f>
        <v>8.0561271018541873</v>
      </c>
      <c r="CZ167" s="586">
        <f>+INPUT!EW44</f>
        <v>-0.97466488183730504</v>
      </c>
      <c r="DA167" s="577">
        <f>+INPUT!EX44</f>
        <v>0</v>
      </c>
      <c r="DB167" s="587"/>
      <c r="DC167" s="597">
        <f>+INPUT!FP44</f>
        <v>-1.2695600826690288</v>
      </c>
      <c r="DD167" s="577">
        <f>+INPUT!FQ44</f>
        <v>0</v>
      </c>
      <c r="DE167" s="597">
        <f>+INPUT!FR44</f>
        <v>-1.833471188309898</v>
      </c>
      <c r="DF167" s="577">
        <f>+INPUT!FS44</f>
        <v>0</v>
      </c>
      <c r="DG167" s="597">
        <f>+INPUT!FT44</f>
        <v>-1.5170008718395815</v>
      </c>
      <c r="DH167" s="577">
        <f>+INPUT!FU44</f>
        <v>0</v>
      </c>
      <c r="DI167" s="597">
        <f>+INPUT!FV44</f>
        <v>-1.3158222332876883</v>
      </c>
      <c r="DJ167" s="577">
        <f>+INPUT!FW44</f>
        <v>0</v>
      </c>
      <c r="DK167" s="586">
        <f>+INPUT!FX44</f>
        <v>-1.6464745779659038</v>
      </c>
      <c r="DL167" s="577">
        <f>+INPUT!FY44</f>
        <v>0</v>
      </c>
      <c r="DM167" s="586">
        <f>+INPUT!FZ44</f>
        <v>-1.2183459804518189</v>
      </c>
      <c r="DN167" s="577">
        <f>+INPUT!GA44</f>
        <v>0</v>
      </c>
      <c r="DO167" s="586">
        <f>+INPUT!GB44</f>
        <v>-1.066948059561496</v>
      </c>
      <c r="DP167" s="577">
        <f>+INPUT!GC44</f>
        <v>0</v>
      </c>
      <c r="DQ167" s="586">
        <f>+INPUT!GD44</f>
        <v>-1.0652160046654457</v>
      </c>
      <c r="DR167" s="577">
        <f>+INPUT!GE44</f>
        <v>0</v>
      </c>
      <c r="DS167" s="586">
        <f>+INPUT!GF44</f>
        <v>-0.97410491763418627</v>
      </c>
      <c r="DT167" s="577">
        <f>+INPUT!GG44</f>
        <v>0</v>
      </c>
      <c r="DU167" s="586">
        <f>+INPUT!GH44</f>
        <v>-0.96964782975669084</v>
      </c>
      <c r="DV167" s="577">
        <f>+INPUT!GI44</f>
        <v>-0.4575572709683513</v>
      </c>
      <c r="DW167" s="586">
        <f>+INPUT!GJ44</f>
        <v>-0.99366145870275913</v>
      </c>
      <c r="DX167" s="577">
        <f>+INPUT!GK44</f>
        <v>2.4765309846662547</v>
      </c>
      <c r="DY167" s="586">
        <f>+INPUT!GL44</f>
        <v>-0.97028258643879517</v>
      </c>
      <c r="DZ167" s="577">
        <f>+INPUT!GM44</f>
        <v>-2.3528005498457674</v>
      </c>
      <c r="EA167" s="586">
        <f>+INPUT!GN44</f>
        <v>-1.0163410417821845</v>
      </c>
      <c r="EB167" s="577">
        <f>+INPUT!GO44</f>
        <v>4.7469114654975471</v>
      </c>
      <c r="EC167" s="586">
        <f>+INPUT!GP44</f>
        <v>-0.9570845500071945</v>
      </c>
      <c r="ED167" s="577">
        <f>+INPUT!GQ44</f>
        <v>-5.8303747796194472</v>
      </c>
      <c r="EE167" s="586">
        <f>+INPUT!GR44</f>
        <v>-0.9570845500071945</v>
      </c>
      <c r="EF167" s="577">
        <f>+INPUT!GS44</f>
        <v>0</v>
      </c>
      <c r="EG167" s="586">
        <f>+INPUT!GT44</f>
        <v>-0.9570845500071945</v>
      </c>
      <c r="EH167" s="577">
        <f>+INPUT!GU44</f>
        <v>0</v>
      </c>
      <c r="EI167" s="586">
        <f>+INPUT!GV44</f>
        <v>-0.9570845500071945</v>
      </c>
      <c r="EJ167" s="577">
        <f>+INPUT!GW44</f>
        <v>0</v>
      </c>
      <c r="EK167" s="586">
        <f>+INPUT!GX44</f>
        <v>-0.9570845500071945</v>
      </c>
      <c r="EL167" s="577">
        <f>+INPUT!GY44</f>
        <v>0</v>
      </c>
      <c r="EM167" s="577">
        <f>+INPUT!GZ44</f>
        <v>0</v>
      </c>
    </row>
    <row r="168" spans="1:143" ht="12.75" hidden="1" customHeight="1" outlineLevel="1" x14ac:dyDescent="0.2">
      <c r="A168" s="579" t="str">
        <f>+INPUT!B45</f>
        <v>Policy Charges/BOP Assets (%)</v>
      </c>
      <c r="B168" s="597">
        <f>+INPUT!AY45</f>
        <v>-1.4494466107369333</v>
      </c>
      <c r="C168" s="577">
        <f>+INPUT!AZ45</f>
        <v>0</v>
      </c>
      <c r="D168" s="597">
        <f>+INPUT!BA45</f>
        <v>-1.5343825802448243</v>
      </c>
      <c r="E168" s="577">
        <f>+INPUT!BB45</f>
        <v>0</v>
      </c>
      <c r="F168" s="597">
        <f>+INPUT!BC45</f>
        <v>-1.5056607612597555</v>
      </c>
      <c r="G168" s="577">
        <f>+INPUT!BD45</f>
        <v>0</v>
      </c>
      <c r="H168" s="597">
        <f>+INPUT!BE45</f>
        <v>-1.6384380979377791</v>
      </c>
      <c r="I168" s="577">
        <f>+INPUT!BF45</f>
        <v>0</v>
      </c>
      <c r="J168" s="597">
        <f>+INPUT!BG45</f>
        <v>-1.5827241633693245</v>
      </c>
      <c r="K168" s="577">
        <f>+INPUT!BH45</f>
        <v>0</v>
      </c>
      <c r="L168" s="597">
        <f>+INPUT!BI45</f>
        <v>-1.6933232792263628</v>
      </c>
      <c r="M168" s="577">
        <f>+INPUT!BJ45</f>
        <v>0</v>
      </c>
      <c r="N168" s="597">
        <f>+INPUT!BK45</f>
        <v>-1.6310404214365315</v>
      </c>
      <c r="O168" s="577">
        <f>+INPUT!BL45</f>
        <v>0</v>
      </c>
      <c r="P168" s="597">
        <f>+INPUT!BM45</f>
        <v>-1.6902171904450987</v>
      </c>
      <c r="Q168" s="577">
        <f>+INPUT!BN45</f>
        <v>0</v>
      </c>
      <c r="R168" s="597">
        <f>+INPUT!BO45</f>
        <v>-1.52371467695755</v>
      </c>
      <c r="S168" s="577">
        <f>+INPUT!BP45</f>
        <v>0</v>
      </c>
      <c r="T168" s="597">
        <f>+INPUT!BQ45</f>
        <v>-1.6911852968243595</v>
      </c>
      <c r="U168" s="577">
        <f>+INPUT!BR45</f>
        <v>0</v>
      </c>
      <c r="V168" s="597">
        <f>+INPUT!BS45</f>
        <v>-1.5366699238357853</v>
      </c>
      <c r="W168" s="577">
        <f>+INPUT!BT45</f>
        <v>0</v>
      </c>
      <c r="X168" s="597">
        <f>+INPUT!BU45</f>
        <v>-1.2417608286252353</v>
      </c>
      <c r="Y168" s="577">
        <f>+INPUT!BV45</f>
        <v>0</v>
      </c>
      <c r="Z168" s="597">
        <f>+INPUT!BW45</f>
        <v>-1.3665072408219041</v>
      </c>
      <c r="AA168" s="577">
        <f>+INPUT!BX45</f>
        <v>0</v>
      </c>
      <c r="AB168" s="597">
        <f>+INPUT!BY45</f>
        <v>-1.6292154223188706</v>
      </c>
      <c r="AC168" s="577">
        <f>+INPUT!BZ45</f>
        <v>0</v>
      </c>
      <c r="AD168" s="597">
        <f>+INPUT!CA45</f>
        <v>-1.7450344859368039</v>
      </c>
      <c r="AE168" s="577">
        <f>+INPUT!CB45</f>
        <v>0</v>
      </c>
      <c r="AF168" s="597">
        <f>+INPUT!CC45</f>
        <v>-1.7775191440398883</v>
      </c>
      <c r="AG168" s="577">
        <f>+INPUT!CD45</f>
        <v>0</v>
      </c>
      <c r="AH168" s="586">
        <f>+INPUT!CE45</f>
        <v>-1.7834299978886969</v>
      </c>
      <c r="AI168" s="577">
        <f>+INPUT!CF45</f>
        <v>0</v>
      </c>
      <c r="AJ168" s="586">
        <f>+INPUT!CG45</f>
        <v>-1.8412021691516651</v>
      </c>
      <c r="AK168" s="577">
        <f>+INPUT!CH45</f>
        <v>0</v>
      </c>
      <c r="AL168" s="586">
        <f>+INPUT!CI45</f>
        <v>-2.0193078367805919</v>
      </c>
      <c r="AM168" s="577">
        <f>+INPUT!CJ45</f>
        <v>0</v>
      </c>
      <c r="AN168" s="586">
        <f>+INPUT!CK45</f>
        <v>-2.1076305220883533</v>
      </c>
      <c r="AO168" s="577">
        <f>+INPUT!CL45</f>
        <v>0</v>
      </c>
      <c r="AP168" s="586">
        <f>+INPUT!CM45</f>
        <v>-2.0518231914644156</v>
      </c>
      <c r="AQ168" s="577">
        <f>+INPUT!CN45</f>
        <v>0</v>
      </c>
      <c r="AR168" s="586">
        <f>+INPUT!CO45</f>
        <v>-2.066036792186889</v>
      </c>
      <c r="AS168" s="577">
        <f>+INPUT!CP45</f>
        <v>0</v>
      </c>
      <c r="AT168" s="586">
        <f>+INPUT!CQ45</f>
        <v>-2.0320493395839647</v>
      </c>
      <c r="AU168" s="577">
        <f>+INPUT!CR45</f>
        <v>0</v>
      </c>
      <c r="AV168" s="586">
        <f>+INPUT!CS45</f>
        <v>-2.2356360384529399</v>
      </c>
      <c r="AW168" s="577">
        <f>+INPUT!CT45</f>
        <v>0</v>
      </c>
      <c r="AX168" s="586">
        <f>+INPUT!CU45</f>
        <v>-2.2598252280327675</v>
      </c>
      <c r="AY168" s="577">
        <f>+INPUT!CV45</f>
        <v>0</v>
      </c>
      <c r="AZ168" s="586">
        <f>+INPUT!CW45</f>
        <v>-2.121786557584223</v>
      </c>
      <c r="BA168" s="577">
        <f>+INPUT!CX45</f>
        <v>0</v>
      </c>
      <c r="BB168" s="586">
        <f>+INPUT!CY45</f>
        <v>-2.2970928976281102</v>
      </c>
      <c r="BC168" s="577">
        <f>+INPUT!CZ45</f>
        <v>0</v>
      </c>
      <c r="BD168" s="586">
        <f>+INPUT!DA45</f>
        <v>-2.2582571404198557</v>
      </c>
      <c r="BE168" s="577">
        <f>+INPUT!DB45</f>
        <v>0</v>
      </c>
      <c r="BF168" s="586">
        <f>+INPUT!DC45</f>
        <v>-2.2339067533888519</v>
      </c>
      <c r="BG168" s="577">
        <f>+INPUT!DD45</f>
        <v>0</v>
      </c>
      <c r="BH168" s="586">
        <f>+INPUT!DE45</f>
        <v>-2.3246112461700013</v>
      </c>
      <c r="BI168" s="577">
        <f>+INPUT!DF45</f>
        <v>0</v>
      </c>
      <c r="BJ168" s="586">
        <f>+INPUT!DG45</f>
        <v>-2.354563600072582</v>
      </c>
      <c r="BK168" s="577">
        <f>+INPUT!DH45</f>
        <v>0</v>
      </c>
      <c r="BL168" s="586">
        <f>+INPUT!DI45</f>
        <v>-2.3382534082131152</v>
      </c>
      <c r="BM168" s="577">
        <f>+INPUT!DJ45</f>
        <v>0</v>
      </c>
      <c r="BN168" s="586">
        <f>+INPUT!DK45</f>
        <v>-2.2516565094007324</v>
      </c>
      <c r="BO168" s="577">
        <f>+INPUT!DL45</f>
        <v>0</v>
      </c>
      <c r="BP168" s="586">
        <f>+INPUT!DM45</f>
        <v>-2.2925735391109354</v>
      </c>
      <c r="BQ168" s="577">
        <f>+INPUT!DN45</f>
        <v>-1.378196337639281</v>
      </c>
      <c r="BR168" s="586">
        <f>+INPUT!DO45</f>
        <v>-2.2862274680864711</v>
      </c>
      <c r="BS168" s="577">
        <f>+INPUT!DP45</f>
        <v>-2.9022843971598178</v>
      </c>
      <c r="BT168" s="586">
        <f>+INPUT!DQ45</f>
        <v>-2.3241845768156062</v>
      </c>
      <c r="BU168" s="577">
        <f>+INPUT!DR45</f>
        <v>-0.60168120991900764</v>
      </c>
      <c r="BV168" s="586">
        <f>+INPUT!DS45</f>
        <v>-2.3007034942579137</v>
      </c>
      <c r="BW168" s="577">
        <f>+INPUT!DT45</f>
        <v>2.1782622994408314</v>
      </c>
      <c r="BX168" s="586">
        <f>+INPUT!DU45</f>
        <v>-2.3128871737585053</v>
      </c>
      <c r="BY168" s="577">
        <f>+INPUT!DV45</f>
        <v>0.8860625101451518</v>
      </c>
      <c r="BZ168" s="586">
        <f>+INPUT!DW45</f>
        <v>-2.3033765698991147</v>
      </c>
      <c r="CA168" s="577">
        <f>+INPUT!DX45</f>
        <v>0.75010479280948061</v>
      </c>
      <c r="CB168" s="586">
        <f>+INPUT!DY45</f>
        <v>-2.4242424242424243</v>
      </c>
      <c r="CC168" s="577">
        <f>+INPUT!DZ45</f>
        <v>4.3050732039495898</v>
      </c>
      <c r="CD168" s="586">
        <f>+INPUT!EA45</f>
        <v>-2.2938818664222</v>
      </c>
      <c r="CE168" s="577">
        <f>+INPUT!EB45</f>
        <v>-0.29650182445234918</v>
      </c>
      <c r="CF168" s="586">
        <f>+INPUT!EC45</f>
        <v>-2.3719228656044384</v>
      </c>
      <c r="CG168" s="577">
        <f>+INPUT!ED45</f>
        <v>2.5524674318634624</v>
      </c>
      <c r="CH168" s="586">
        <f>+INPUT!EE45</f>
        <v>-2.404952774029685</v>
      </c>
      <c r="CI168" s="577">
        <f>+INPUT!EF45</f>
        <v>4.4098826678183656</v>
      </c>
      <c r="CJ168" s="586">
        <f>+INPUT!EG45</f>
        <v>-2.3266173024408823</v>
      </c>
      <c r="CK168" s="577">
        <f>+INPUT!EH45</f>
        <v>-4.0270362743136161</v>
      </c>
      <c r="CL168" s="586">
        <f>+INPUT!EI45</f>
        <v>-2.361459930199941</v>
      </c>
      <c r="CM168" s="577">
        <f>+INPUT!EJ45</f>
        <v>2.9460132523364564</v>
      </c>
      <c r="CN168" s="586">
        <f>+INPUT!EK45</f>
        <v>-2.3617930242938212</v>
      </c>
      <c r="CO168" s="577">
        <f>+INPUT!EL45</f>
        <v>-0.42707296504079295</v>
      </c>
      <c r="CP168" s="586">
        <f>+INPUT!EM45</f>
        <v>-2.3517292496325424</v>
      </c>
      <c r="CQ168" s="577">
        <f>+INPUT!EN45</f>
        <v>-2.2130798147841517</v>
      </c>
      <c r="CR168" s="586">
        <f>+INPUT!EO45</f>
        <v>-2.3317931983196285</v>
      </c>
      <c r="CS168" s="577">
        <f>+INPUT!EP45</f>
        <v>0.22246442822016377</v>
      </c>
      <c r="CT168" s="586">
        <f>+INPUT!EQ45</f>
        <v>-2.3317931983196285</v>
      </c>
      <c r="CU168" s="577">
        <f>+INPUT!ER45</f>
        <v>-1.2562877523736233</v>
      </c>
      <c r="CV168" s="586">
        <f>+INPUT!ES45</f>
        <v>-2.3317931983196285</v>
      </c>
      <c r="CW168" s="577">
        <f>+INPUT!ET45</f>
        <v>-1.2702140139126925</v>
      </c>
      <c r="CX168" s="586">
        <f>+INPUT!EU45</f>
        <v>-2.3317931983196285</v>
      </c>
      <c r="CY168" s="577">
        <f>+INPUT!EV45</f>
        <v>-0.84771881440130414</v>
      </c>
      <c r="CZ168" s="586">
        <f>+INPUT!EW45</f>
        <v>-2.3317931983196285</v>
      </c>
      <c r="DA168" s="577">
        <f>+INPUT!EX45</f>
        <v>0</v>
      </c>
      <c r="DB168" s="587"/>
      <c r="DC168" s="597">
        <f>+INPUT!FP45</f>
        <v>-5.7024758530515838</v>
      </c>
      <c r="DD168" s="577">
        <f>+INPUT!FQ45</f>
        <v>0</v>
      </c>
      <c r="DE168" s="597">
        <f>+INPUT!FR45</f>
        <v>-7.3732718894009217</v>
      </c>
      <c r="DF168" s="577">
        <f>+INPUT!FS45</f>
        <v>0</v>
      </c>
      <c r="DG168" s="597">
        <f>+INPUT!FT45</f>
        <v>-6.8674133190262223</v>
      </c>
      <c r="DH168" s="577">
        <f>+INPUT!FU45</f>
        <v>0</v>
      </c>
      <c r="DI168" s="597">
        <f>+INPUT!FV45</f>
        <v>-5.581974355782398</v>
      </c>
      <c r="DJ168" s="577">
        <f>+INPUT!FW45</f>
        <v>0</v>
      </c>
      <c r="DK168" s="586">
        <f>+INPUT!FX45</f>
        <v>-7.0725082073758063</v>
      </c>
      <c r="DL168" s="577">
        <f>+INPUT!FY45</f>
        <v>0</v>
      </c>
      <c r="DM168" s="586">
        <f>+INPUT!FZ45</f>
        <v>-8.2763074553832006</v>
      </c>
      <c r="DN168" s="577">
        <f>+INPUT!GA45</f>
        <v>0</v>
      </c>
      <c r="DO168" s="586">
        <f>+INPUT!GB45</f>
        <v>-2.1866572869035057</v>
      </c>
      <c r="DP168" s="577">
        <f>+INPUT!GC45</f>
        <v>0</v>
      </c>
      <c r="DQ168" s="586">
        <f>+INPUT!GD45</f>
        <v>-2.4393355384853703</v>
      </c>
      <c r="DR168" s="577">
        <f>+INPUT!GE45</f>
        <v>0</v>
      </c>
      <c r="DS168" s="586">
        <f>+INPUT!GF45</f>
        <v>-2.4269041395659841</v>
      </c>
      <c r="DT168" s="577">
        <f>+INPUT!GG45</f>
        <v>0</v>
      </c>
      <c r="DU168" s="586">
        <f>+INPUT!GH45</f>
        <v>-2.3240976426724798</v>
      </c>
      <c r="DV168" s="577">
        <f>+INPUT!GI45</f>
        <v>-4.2361169202129929</v>
      </c>
      <c r="DW168" s="586">
        <f>+INPUT!GJ45</f>
        <v>-2.3129549982912376</v>
      </c>
      <c r="DX168" s="577">
        <f>+INPUT!GK45</f>
        <v>-0.47943959740129571</v>
      </c>
      <c r="DY168" s="586">
        <f>+INPUT!GL45</f>
        <v>-2.3768577565728277</v>
      </c>
      <c r="DZ168" s="577">
        <f>+INPUT!GM45</f>
        <v>2.7628189190364765</v>
      </c>
      <c r="EA168" s="586">
        <f>+INPUT!GN45</f>
        <v>-2.4214749339508792</v>
      </c>
      <c r="EB168" s="577">
        <f>+INPUT!GO45</f>
        <v>1.8771496634440723</v>
      </c>
      <c r="EC168" s="586">
        <f>+INPUT!GP45</f>
        <v>-2.2897339234349339</v>
      </c>
      <c r="ED168" s="577">
        <f>+INPUT!GQ45</f>
        <v>-5.4405275342246426</v>
      </c>
      <c r="EE168" s="586">
        <f>+INPUT!GR45</f>
        <v>-2.2897339234349339</v>
      </c>
      <c r="EF168" s="577">
        <f>+INPUT!GS45</f>
        <v>0</v>
      </c>
      <c r="EG168" s="586">
        <f>+INPUT!GT45</f>
        <v>-2.2897339234349339</v>
      </c>
      <c r="EH168" s="577">
        <f>+INPUT!GU45</f>
        <v>0</v>
      </c>
      <c r="EI168" s="586">
        <f>+INPUT!GV45</f>
        <v>-2.2897339234349339</v>
      </c>
      <c r="EJ168" s="577">
        <f>+INPUT!GW45</f>
        <v>0</v>
      </c>
      <c r="EK168" s="586">
        <f>+INPUT!GX45</f>
        <v>-2.2897339234349339</v>
      </c>
      <c r="EL168" s="577">
        <f>+INPUT!GY45</f>
        <v>0</v>
      </c>
      <c r="EM168" s="577">
        <f>+INPUT!GZ45</f>
        <v>0</v>
      </c>
    </row>
    <row r="169" spans="1:143" ht="12.75" hidden="1" customHeight="1" outlineLevel="1" x14ac:dyDescent="0.2">
      <c r="A169" s="579" t="str">
        <f>+INPUT!B46</f>
        <v>Inv Perf/BOP AUM (%)</v>
      </c>
      <c r="B169" s="597">
        <f>+INPUT!AY46</f>
        <v>17.653314427507976</v>
      </c>
      <c r="C169" s="577">
        <f>+INPUT!AZ46</f>
        <v>0</v>
      </c>
      <c r="D169" s="597">
        <f>+INPUT!BA46</f>
        <v>-7.5214832364942366</v>
      </c>
      <c r="E169" s="577">
        <f>+INPUT!BB46</f>
        <v>0</v>
      </c>
      <c r="F169" s="597">
        <f>+INPUT!BC46</f>
        <v>11.696484369322889</v>
      </c>
      <c r="G169" s="577">
        <f>+INPUT!BD46</f>
        <v>0</v>
      </c>
      <c r="H169" s="597">
        <f>+INPUT!BE46</f>
        <v>23.856565799730706</v>
      </c>
      <c r="I169" s="577">
        <f>+INPUT!BF46</f>
        <v>0</v>
      </c>
      <c r="J169" s="597">
        <f>+INPUT!BG46</f>
        <v>6.266514653611428</v>
      </c>
      <c r="K169" s="577">
        <f>+INPUT!BH46</f>
        <v>0</v>
      </c>
      <c r="L169" s="597">
        <f>+INPUT!BI46</f>
        <v>18.404307391091532</v>
      </c>
      <c r="M169" s="577">
        <f>+INPUT!BJ46</f>
        <v>0</v>
      </c>
      <c r="N169" s="597">
        <f>+INPUT!BK46</f>
        <v>11.624962009928073</v>
      </c>
      <c r="O169" s="577">
        <f>+INPUT!BL46</f>
        <v>0</v>
      </c>
      <c r="P169" s="597">
        <f>+INPUT!BM46</f>
        <v>-4.2625010779446368</v>
      </c>
      <c r="Q169" s="577">
        <f>+INPUT!BN46</f>
        <v>0</v>
      </c>
      <c r="R169" s="597">
        <f>+INPUT!BO46</f>
        <v>-26.933897672102574</v>
      </c>
      <c r="S169" s="577">
        <f>+INPUT!BP46</f>
        <v>0</v>
      </c>
      <c r="T169" s="597">
        <f>+INPUT!BQ46</f>
        <v>-1.3124024700908279</v>
      </c>
      <c r="U169" s="577">
        <f>+INPUT!BR46</f>
        <v>0</v>
      </c>
      <c r="V169" s="597">
        <f>+INPUT!BS46</f>
        <v>-35.937730065455717</v>
      </c>
      <c r="W169" s="577">
        <f>+INPUT!BT46</f>
        <v>0</v>
      </c>
      <c r="X169" s="597">
        <f>+INPUT!BU46</f>
        <v>-46.998587570621467</v>
      </c>
      <c r="Y169" s="577">
        <f>+INPUT!BV46</f>
        <v>0</v>
      </c>
      <c r="Z169" s="597">
        <f>+INPUT!BW46</f>
        <v>-15.124902094755614</v>
      </c>
      <c r="AA169" s="577">
        <f>+INPUT!BX46</f>
        <v>0</v>
      </c>
      <c r="AB169" s="597">
        <f>+INPUT!BY46</f>
        <v>38.424631528079807</v>
      </c>
      <c r="AC169" s="577">
        <f>+INPUT!BZ46</f>
        <v>0</v>
      </c>
      <c r="AD169" s="597">
        <f>+INPUT!CA46</f>
        <v>40.860842716477983</v>
      </c>
      <c r="AE169" s="577">
        <f>+INPUT!CB46</f>
        <v>0</v>
      </c>
      <c r="AF169" s="597">
        <f>+INPUT!CC46</f>
        <v>12.024705400007935</v>
      </c>
      <c r="AG169" s="577">
        <f>+INPUT!CD46</f>
        <v>0</v>
      </c>
      <c r="AH169" s="586">
        <f>+INPUT!CE46</f>
        <v>11.366261379301781</v>
      </c>
      <c r="AI169" s="577">
        <f>+INPUT!CF46</f>
        <v>0</v>
      </c>
      <c r="AJ169" s="586">
        <f>+INPUT!CG46</f>
        <v>-22.413005540003983</v>
      </c>
      <c r="AK169" s="577">
        <f>+INPUT!CH46</f>
        <v>0</v>
      </c>
      <c r="AL169" s="586">
        <f>+INPUT!CI46</f>
        <v>32.328065747131937</v>
      </c>
      <c r="AM169" s="577">
        <f>+INPUT!CJ46</f>
        <v>0</v>
      </c>
      <c r="AN169" s="586">
        <f>+INPUT!CK46</f>
        <v>23.509504685408299</v>
      </c>
      <c r="AO169" s="577">
        <f>+INPUT!CL46</f>
        <v>0</v>
      </c>
      <c r="AP169" s="586">
        <f>+INPUT!CM46</f>
        <v>13.882049478250675</v>
      </c>
      <c r="AQ169" s="577">
        <f>+INPUT!CN46</f>
        <v>0</v>
      </c>
      <c r="AR169" s="586">
        <f>+INPUT!CO46</f>
        <v>1.7932326382889723</v>
      </c>
      <c r="AS169" s="577">
        <f>+INPUT!CP46</f>
        <v>0</v>
      </c>
      <c r="AT169" s="586">
        <f>+INPUT!CQ46</f>
        <v>-40.391436872783018</v>
      </c>
      <c r="AU169" s="577">
        <f>+INPUT!CR46</f>
        <v>0</v>
      </c>
      <c r="AV169" s="586">
        <f>+INPUT!CS46</f>
        <v>18.798783036382545</v>
      </c>
      <c r="AW169" s="577">
        <f>+INPUT!CT46</f>
        <v>0</v>
      </c>
      <c r="AX169" s="586">
        <f>+INPUT!CU46</f>
        <v>29.782309577831846</v>
      </c>
      <c r="AY169" s="577">
        <f>+INPUT!CV46</f>
        <v>0</v>
      </c>
      <c r="AZ169" s="586">
        <f>+INPUT!CW46</f>
        <v>-9.1190262396488073</v>
      </c>
      <c r="BA169" s="577">
        <f>+INPUT!CX46</f>
        <v>0</v>
      </c>
      <c r="BB169" s="586">
        <f>+INPUT!CY46</f>
        <v>17.499127370643087</v>
      </c>
      <c r="BC169" s="577">
        <f>+INPUT!CZ46</f>
        <v>0</v>
      </c>
      <c r="BD169" s="586">
        <f>+INPUT!DA46</f>
        <v>5.2330766427037041</v>
      </c>
      <c r="BE169" s="577">
        <f>+INPUT!DB46</f>
        <v>0</v>
      </c>
      <c r="BF169" s="586">
        <f>+INPUT!DC46</f>
        <v>18.354507324782688</v>
      </c>
      <c r="BG169" s="577">
        <f>+INPUT!DD46</f>
        <v>0</v>
      </c>
      <c r="BH169" s="586">
        <f>+INPUT!DE46</f>
        <v>-1.9160780816203231</v>
      </c>
      <c r="BI169" s="577">
        <f>+INPUT!DF46</f>
        <v>0</v>
      </c>
      <c r="BJ169" s="586">
        <f>+INPUT!DG46</f>
        <v>18.810379241516966</v>
      </c>
      <c r="BK169" s="577">
        <f>+INPUT!DH46</f>
        <v>0</v>
      </c>
      <c r="BL169" s="586">
        <f>+INPUT!DI46</f>
        <v>21.163976979338468</v>
      </c>
      <c r="BM169" s="577">
        <f>+INPUT!DJ46</f>
        <v>0</v>
      </c>
      <c r="BN169" s="586">
        <f>+INPUT!DK46</f>
        <v>5.8325081247050843</v>
      </c>
      <c r="BO169" s="577">
        <f>+INPUT!DL46</f>
        <v>0</v>
      </c>
      <c r="BP169" s="586">
        <f>+INPUT!DM46</f>
        <v>13.404564041683157</v>
      </c>
      <c r="BQ169" s="577" t="str">
        <f>+INPUT!DN46</f>
        <v>NM</v>
      </c>
      <c r="BR169" s="586">
        <f>+INPUT!DO46</f>
        <v>-4.8521393290140482</v>
      </c>
      <c r="BS169" s="577" t="str">
        <f>+INPUT!DP46</f>
        <v>NM</v>
      </c>
      <c r="BT169" s="586">
        <f>+INPUT!DQ46</f>
        <v>7.6907006502493935</v>
      </c>
      <c r="BU169" s="577" t="str">
        <f>+INPUT!DR46</f>
        <v>NM</v>
      </c>
      <c r="BV169" s="586">
        <f>+INPUT!DS46</f>
        <v>9.5768072580489161</v>
      </c>
      <c r="BW169" s="577">
        <f>+INPUT!DT46</f>
        <v>64.197066738473836</v>
      </c>
      <c r="BX169" s="586">
        <f>+INPUT!DU46</f>
        <v>-2.4956839646592872</v>
      </c>
      <c r="BY169" s="577" t="str">
        <f>+INPUT!DV46</f>
        <v>NM</v>
      </c>
      <c r="BZ169" s="586">
        <f>+INPUT!DW46</f>
        <v>-19.543957175211034</v>
      </c>
      <c r="CA169" s="577" t="str">
        <f>+INPUT!DX46</f>
        <v>NM</v>
      </c>
      <c r="CB169" s="586">
        <f>+INPUT!DY46</f>
        <v>10.659576643828613</v>
      </c>
      <c r="CC169" s="577">
        <f>+INPUT!DZ46</f>
        <v>38.603452774916491</v>
      </c>
      <c r="CD169" s="586">
        <f>+INPUT!EA46</f>
        <v>2.0449541959703157</v>
      </c>
      <c r="CE169" s="577" t="str">
        <f>+INPUT!EB46</f>
        <v>NM</v>
      </c>
      <c r="CF169" s="586">
        <f>+INPUT!EC46</f>
        <v>7.7000388620130522</v>
      </c>
      <c r="CG169" s="577" t="str">
        <f>+INPUT!ED46</f>
        <v>NM</v>
      </c>
      <c r="CH169" s="586">
        <f>+INPUT!EE46</f>
        <v>12.903140460883138</v>
      </c>
      <c r="CI169" s="577" t="str">
        <f>+INPUT!EF46</f>
        <v>NM</v>
      </c>
      <c r="CJ169" s="586">
        <f>+INPUT!EG46</f>
        <v>0.32020038346578183</v>
      </c>
      <c r="CK169" s="577" t="str">
        <f>+INPUT!EH46</f>
        <v>NM</v>
      </c>
      <c r="CL169" s="586">
        <f>+INPUT!EI46</f>
        <v>15.006360285723606</v>
      </c>
      <c r="CM169" s="577" t="str">
        <f>+INPUT!EJ46</f>
        <v>NM</v>
      </c>
      <c r="CN169" s="586">
        <f>+INPUT!EK46</f>
        <v>11.676337435439647</v>
      </c>
      <c r="CO169" s="577">
        <f>+INPUT!EL46</f>
        <v>51.639980585592212</v>
      </c>
      <c r="CP169" s="586">
        <f>+INPUT!EM46</f>
        <v>12.989786560470346</v>
      </c>
      <c r="CQ169" s="577">
        <f>+INPUT!EN46</f>
        <v>0.67151171336841742</v>
      </c>
      <c r="CR169" s="586">
        <f>+INPUT!EO46</f>
        <v>13.556478128643427</v>
      </c>
      <c r="CS169" s="577" t="str">
        <f>+INPUT!EP46</f>
        <v>NM</v>
      </c>
      <c r="CT169" s="586">
        <f>+INPUT!EQ46</f>
        <v>-3.36</v>
      </c>
      <c r="CU169" s="577" t="str">
        <f>+INPUT!ER46</f>
        <v>NM</v>
      </c>
      <c r="CV169" s="586">
        <f>+INPUT!ES46</f>
        <v>5.6</v>
      </c>
      <c r="CW169" s="577" t="str">
        <f>+INPUT!ET46</f>
        <v>NM</v>
      </c>
      <c r="CX169" s="586">
        <f>+INPUT!EU46</f>
        <v>5.5999999999999988</v>
      </c>
      <c r="CY169" s="577" t="str">
        <f>+INPUT!EV46</f>
        <v>NM</v>
      </c>
      <c r="CZ169" s="586">
        <f>+INPUT!EW46</f>
        <v>5.6000000000000005</v>
      </c>
      <c r="DA169" s="577" t="str">
        <f>+INPUT!EX46</f>
        <v>NM</v>
      </c>
      <c r="DB169" s="587"/>
      <c r="DC169" s="597">
        <f>+INPUT!FP46</f>
        <v>6.7969969210004644</v>
      </c>
      <c r="DD169" s="577">
        <f>+INPUT!FQ46</f>
        <v>0</v>
      </c>
      <c r="DE169" s="597">
        <f>+INPUT!FR46</f>
        <v>14.693371144984049</v>
      </c>
      <c r="DF169" s="577">
        <f>+INPUT!FS46</f>
        <v>0</v>
      </c>
      <c r="DG169" s="597">
        <f>+INPUT!FT46</f>
        <v>8.1496881496881493</v>
      </c>
      <c r="DH169" s="577">
        <f>+INPUT!FU46</f>
        <v>0</v>
      </c>
      <c r="DI169" s="597">
        <f>+INPUT!FV46</f>
        <v>-25.336735964147888</v>
      </c>
      <c r="DJ169" s="577">
        <f>+INPUT!FW46</f>
        <v>0</v>
      </c>
      <c r="DK169" s="586">
        <f>+INPUT!FX46</f>
        <v>20.364290832736181</v>
      </c>
      <c r="DL169" s="577">
        <f>+INPUT!FY46</f>
        <v>0</v>
      </c>
      <c r="DM169" s="586">
        <f>+INPUT!FZ46</f>
        <v>12.106459344999317</v>
      </c>
      <c r="DN169" s="577">
        <f>+INPUT!GA46</f>
        <v>0</v>
      </c>
      <c r="DO169" s="586">
        <f>+INPUT!GB46</f>
        <v>-2.3937937233751514</v>
      </c>
      <c r="DP169" s="577">
        <f>+INPUT!GC46</f>
        <v>0</v>
      </c>
      <c r="DQ169" s="586">
        <f>+INPUT!GD46</f>
        <v>11.280901743163572</v>
      </c>
      <c r="DR169" s="577">
        <f>+INPUT!GE46</f>
        <v>0</v>
      </c>
      <c r="DS169" s="586">
        <f>+INPUT!GF46</f>
        <v>14.782536016047656</v>
      </c>
      <c r="DT169" s="577">
        <f>+INPUT!GG46</f>
        <v>0</v>
      </c>
      <c r="DU169" s="586">
        <f>+INPUT!GH46</f>
        <v>5.5354330185356257</v>
      </c>
      <c r="DV169" s="577" t="str">
        <f>+INPUT!GI46</f>
        <v>NM</v>
      </c>
      <c r="DW169" s="586">
        <f>+INPUT!GJ46</f>
        <v>-0.615799281674974</v>
      </c>
      <c r="DX169" s="577" t="str">
        <f>+INPUT!GK46</f>
        <v>NM</v>
      </c>
      <c r="DY169" s="586">
        <f>+INPUT!GL46</f>
        <v>5.7802075735574574</v>
      </c>
      <c r="DZ169" s="577" t="str">
        <f>+INPUT!GM46</f>
        <v>NM</v>
      </c>
      <c r="EA169" s="586">
        <f>+INPUT!GN46</f>
        <v>13.694510584167782</v>
      </c>
      <c r="EB169" s="577" t="str">
        <f>+INPUT!GO46</f>
        <v>NM</v>
      </c>
      <c r="EC169" s="586">
        <f>+INPUT!GP46</f>
        <v>3.2589910685372856</v>
      </c>
      <c r="ED169" s="577" t="str">
        <f>+INPUT!GQ46</f>
        <v>NM</v>
      </c>
      <c r="EE169" s="586">
        <f>+INPUT!GR46</f>
        <v>5.5999999999999988</v>
      </c>
      <c r="EF169" s="577">
        <f>+INPUT!GS46</f>
        <v>71.832321176425154</v>
      </c>
      <c r="EG169" s="586">
        <f>+INPUT!GT46</f>
        <v>5.6000000000000005</v>
      </c>
      <c r="EH169" s="577">
        <f>+INPUT!GU46</f>
        <v>2.8421709430404007E-14</v>
      </c>
      <c r="EI169" s="586">
        <f>+INPUT!GV46</f>
        <v>5.5999999999999988</v>
      </c>
      <c r="EJ169" s="577">
        <f>+INPUT!GW46</f>
        <v>-2.8421709430404007E-14</v>
      </c>
      <c r="EK169" s="586">
        <f>+INPUT!GX46</f>
        <v>5.6</v>
      </c>
      <c r="EL169" s="577">
        <f>+INPUT!GY46</f>
        <v>2.8421709430404007E-14</v>
      </c>
      <c r="EM169" s="577">
        <f>+INPUT!GZ46</f>
        <v>0</v>
      </c>
    </row>
    <row r="170" spans="1:143" ht="12.75" hidden="1" customHeight="1" outlineLevel="1" x14ac:dyDescent="0.2">
      <c r="A170" s="579"/>
      <c r="B170" s="597"/>
      <c r="C170" s="577"/>
      <c r="D170" s="597"/>
      <c r="E170" s="577"/>
      <c r="F170" s="597"/>
      <c r="G170" s="577"/>
      <c r="H170" s="597"/>
      <c r="I170" s="577"/>
      <c r="J170" s="597"/>
      <c r="K170" s="577"/>
      <c r="L170" s="597"/>
      <c r="M170" s="577"/>
      <c r="N170" s="597"/>
      <c r="O170" s="577"/>
      <c r="P170" s="597"/>
      <c r="Q170" s="577"/>
      <c r="R170" s="597"/>
      <c r="S170" s="577"/>
      <c r="T170" s="597"/>
      <c r="U170" s="577"/>
      <c r="V170" s="597"/>
      <c r="W170" s="577"/>
      <c r="X170" s="597"/>
      <c r="Y170" s="577"/>
      <c r="Z170" s="597"/>
      <c r="AA170" s="577"/>
      <c r="AB170" s="597"/>
      <c r="AC170" s="577"/>
      <c r="AD170" s="597"/>
      <c r="AE170" s="577"/>
      <c r="AF170" s="597"/>
      <c r="AG170" s="577"/>
      <c r="AH170" s="597"/>
      <c r="AI170" s="577"/>
      <c r="AJ170" s="597"/>
      <c r="AK170" s="577"/>
      <c r="AL170" s="597"/>
      <c r="AM170" s="577"/>
      <c r="AN170" s="597"/>
      <c r="AO170" s="577"/>
      <c r="AP170" s="597"/>
      <c r="AQ170" s="577"/>
      <c r="AR170" s="597"/>
      <c r="AS170" s="577"/>
      <c r="AT170" s="597"/>
      <c r="AU170" s="577"/>
      <c r="AV170" s="597"/>
      <c r="AW170" s="577"/>
      <c r="AX170" s="597"/>
      <c r="AY170" s="577"/>
      <c r="AZ170" s="597"/>
      <c r="BA170" s="577"/>
      <c r="BB170" s="597"/>
      <c r="BC170" s="577"/>
      <c r="BD170" s="597"/>
      <c r="BE170" s="577"/>
      <c r="BF170" s="597"/>
      <c r="BG170" s="577"/>
      <c r="BH170" s="597"/>
      <c r="BI170" s="577"/>
      <c r="BJ170" s="597"/>
      <c r="BK170" s="577"/>
      <c r="BL170" s="597"/>
      <c r="BM170" s="577"/>
      <c r="BN170" s="597"/>
      <c r="BO170" s="577"/>
      <c r="BP170" s="597"/>
      <c r="BQ170" s="577"/>
      <c r="BR170" s="597"/>
      <c r="BS170" s="577"/>
      <c r="BT170" s="597"/>
      <c r="BU170" s="577"/>
      <c r="BV170" s="597"/>
      <c r="BW170" s="577"/>
      <c r="BX170" s="597"/>
      <c r="BY170" s="577"/>
      <c r="BZ170" s="597"/>
      <c r="CA170" s="577"/>
      <c r="CB170" s="597"/>
      <c r="CC170" s="577"/>
      <c r="CD170" s="597"/>
      <c r="CE170" s="577"/>
      <c r="CF170" s="597"/>
      <c r="CG170" s="577"/>
      <c r="CH170" s="597"/>
      <c r="CI170" s="577"/>
      <c r="CJ170" s="597"/>
      <c r="CK170" s="577"/>
      <c r="CL170" s="597"/>
      <c r="CM170" s="577"/>
      <c r="CN170" s="597"/>
      <c r="CO170" s="577"/>
      <c r="CP170" s="597"/>
      <c r="CQ170" s="577"/>
      <c r="CR170" s="597"/>
      <c r="CS170" s="577"/>
      <c r="CT170" s="597"/>
      <c r="CU170" s="577"/>
      <c r="CV170" s="597"/>
      <c r="CW170" s="577"/>
      <c r="CX170" s="597"/>
      <c r="CY170" s="577"/>
      <c r="CZ170" s="597"/>
      <c r="DA170" s="577"/>
      <c r="DB170" s="587"/>
      <c r="DC170" s="597"/>
      <c r="DD170" s="577"/>
      <c r="DE170" s="597"/>
      <c r="DF170" s="577"/>
      <c r="DG170" s="597"/>
      <c r="DH170" s="577"/>
      <c r="DI170" s="597"/>
      <c r="DJ170" s="577"/>
      <c r="DK170" s="597"/>
      <c r="DL170" s="577"/>
      <c r="DM170" s="597"/>
      <c r="DN170" s="577"/>
      <c r="DO170" s="597"/>
      <c r="DP170" s="577"/>
      <c r="DQ170" s="597"/>
      <c r="DR170" s="577"/>
      <c r="DS170" s="597"/>
      <c r="DT170" s="577"/>
      <c r="DU170" s="597"/>
      <c r="DV170" s="577"/>
      <c r="DW170" s="597"/>
      <c r="DX170" s="577"/>
      <c r="DY170" s="597"/>
      <c r="DZ170" s="577"/>
      <c r="EA170" s="597"/>
      <c r="EB170" s="577"/>
      <c r="EC170" s="597"/>
      <c r="ED170" s="577"/>
      <c r="EE170" s="597"/>
      <c r="EF170" s="577"/>
      <c r="EG170" s="597"/>
      <c r="EH170" s="577"/>
      <c r="EI170" s="597"/>
      <c r="EJ170" s="577"/>
      <c r="EK170" s="597"/>
      <c r="EL170" s="577"/>
      <c r="EM170" s="577"/>
    </row>
    <row r="171" spans="1:143" ht="12.75" hidden="1" customHeight="1" outlineLevel="1" x14ac:dyDescent="0.2">
      <c r="A171" s="575" t="s">
        <v>455</v>
      </c>
      <c r="B171" s="580"/>
      <c r="C171" s="577"/>
      <c r="D171" s="580"/>
      <c r="E171" s="577"/>
      <c r="F171" s="580"/>
      <c r="G171" s="577"/>
      <c r="H171" s="580"/>
      <c r="I171" s="577"/>
      <c r="J171" s="580"/>
      <c r="K171" s="577"/>
      <c r="L171" s="580"/>
      <c r="M171" s="577"/>
      <c r="N171" s="580"/>
      <c r="O171" s="577"/>
      <c r="P171" s="580"/>
      <c r="Q171" s="577"/>
      <c r="R171" s="580"/>
      <c r="S171" s="577"/>
      <c r="T171" s="580"/>
      <c r="U171" s="577"/>
      <c r="V171" s="580"/>
      <c r="W171" s="577"/>
      <c r="X171" s="580"/>
      <c r="Y171" s="577"/>
      <c r="Z171" s="580"/>
      <c r="AA171" s="577"/>
      <c r="AB171" s="580"/>
      <c r="AC171" s="577"/>
      <c r="AD171" s="580"/>
      <c r="AE171" s="577"/>
      <c r="AF171" s="580"/>
      <c r="AG171" s="577"/>
      <c r="AH171" s="580"/>
      <c r="AI171" s="577"/>
      <c r="AJ171" s="580"/>
      <c r="AK171" s="577"/>
      <c r="AL171" s="580"/>
      <c r="AM171" s="577"/>
      <c r="AN171" s="580"/>
      <c r="AO171" s="577"/>
      <c r="AP171" s="580"/>
      <c r="AQ171" s="577"/>
      <c r="AR171" s="580"/>
      <c r="AS171" s="577"/>
      <c r="AT171" s="580"/>
      <c r="AU171" s="577"/>
      <c r="AV171" s="580"/>
      <c r="AW171" s="577"/>
      <c r="AX171" s="580"/>
      <c r="AY171" s="577"/>
      <c r="AZ171" s="580"/>
      <c r="BA171" s="577"/>
      <c r="BB171" s="580"/>
      <c r="BC171" s="577"/>
      <c r="BD171" s="580"/>
      <c r="BE171" s="577"/>
      <c r="BF171" s="580"/>
      <c r="BG171" s="577"/>
      <c r="BH171" s="580"/>
      <c r="BI171" s="577"/>
      <c r="BJ171" s="580"/>
      <c r="BK171" s="577"/>
      <c r="BL171" s="580"/>
      <c r="BM171" s="577"/>
      <c r="BN171" s="580"/>
      <c r="BO171" s="577"/>
      <c r="BP171" s="580"/>
      <c r="BQ171" s="577"/>
      <c r="BR171" s="580"/>
      <c r="BS171" s="577"/>
      <c r="BT171" s="580"/>
      <c r="BU171" s="577"/>
      <c r="BV171" s="580"/>
      <c r="BW171" s="577"/>
      <c r="BX171" s="580"/>
      <c r="BY171" s="577"/>
      <c r="BZ171" s="580"/>
      <c r="CA171" s="577"/>
      <c r="CB171" s="580"/>
      <c r="CC171" s="577"/>
      <c r="CD171" s="580"/>
      <c r="CE171" s="577"/>
      <c r="CF171" s="580"/>
      <c r="CG171" s="577"/>
      <c r="CH171" s="580"/>
      <c r="CI171" s="577"/>
      <c r="CJ171" s="580"/>
      <c r="CK171" s="577"/>
      <c r="CL171" s="580"/>
      <c r="CM171" s="577"/>
      <c r="CN171" s="580"/>
      <c r="CO171" s="577"/>
      <c r="CP171" s="580"/>
      <c r="CQ171" s="577"/>
      <c r="CR171" s="580"/>
      <c r="CS171" s="577"/>
      <c r="CT171" s="580"/>
      <c r="CU171" s="577"/>
      <c r="CV171" s="580"/>
      <c r="CW171" s="577"/>
      <c r="CX171" s="580"/>
      <c r="CY171" s="577"/>
      <c r="CZ171" s="580"/>
      <c r="DA171" s="577"/>
      <c r="DB171" s="587"/>
      <c r="DC171" s="580"/>
      <c r="DD171" s="577"/>
      <c r="DE171" s="580"/>
      <c r="DF171" s="577"/>
      <c r="DG171" s="580"/>
      <c r="DH171" s="577"/>
      <c r="DI171" s="580"/>
      <c r="DJ171" s="577"/>
      <c r="DK171" s="580"/>
      <c r="DL171" s="577"/>
      <c r="DM171" s="580"/>
      <c r="DN171" s="577"/>
      <c r="DO171" s="580"/>
      <c r="DP171" s="577"/>
      <c r="DQ171" s="580"/>
      <c r="DR171" s="577"/>
      <c r="DS171" s="580"/>
      <c r="DT171" s="577"/>
      <c r="DU171" s="580"/>
      <c r="DV171" s="577"/>
      <c r="DW171" s="580"/>
      <c r="DX171" s="577"/>
      <c r="DY171" s="580"/>
      <c r="DZ171" s="577"/>
      <c r="EA171" s="580"/>
      <c r="EB171" s="577"/>
      <c r="EC171" s="580"/>
      <c r="ED171" s="577"/>
      <c r="EE171" s="580"/>
      <c r="EF171" s="577"/>
      <c r="EG171" s="580"/>
      <c r="EH171" s="577"/>
      <c r="EI171" s="580"/>
      <c r="EJ171" s="577"/>
      <c r="EK171" s="580"/>
      <c r="EL171" s="577"/>
      <c r="EM171" s="577"/>
    </row>
    <row r="172" spans="1:143" ht="12.75" hidden="1" customHeight="1" outlineLevel="1" x14ac:dyDescent="0.2">
      <c r="A172" s="579" t="str">
        <f>+INPUT!B50</f>
        <v>Beginning Reserves</v>
      </c>
      <c r="B172" s="580">
        <f>+INPUT!AY50</f>
        <v>3991</v>
      </c>
      <c r="C172" s="577">
        <f>+INPUT!AZ50</f>
        <v>2.8873420984789817</v>
      </c>
      <c r="D172" s="580">
        <f>+INPUT!BA50</f>
        <v>3941</v>
      </c>
      <c r="E172" s="577">
        <f>+INPUT!BB50</f>
        <v>1.5983500902294452</v>
      </c>
      <c r="F172" s="580">
        <f>+INPUT!BC50</f>
        <v>3871</v>
      </c>
      <c r="G172" s="577">
        <f>+INPUT!BD50</f>
        <v>-4.7490157480314963</v>
      </c>
      <c r="H172" s="580">
        <f>+INPUT!BE50</f>
        <v>3814</v>
      </c>
      <c r="I172" s="577">
        <f>+INPUT!BF50</f>
        <v>-5.4302008430448723</v>
      </c>
      <c r="J172" s="580">
        <f>+INPUT!BG50</f>
        <v>3748</v>
      </c>
      <c r="K172" s="577">
        <f>+INPUT!BH50</f>
        <v>-6.0886995740415841</v>
      </c>
      <c r="L172" s="580">
        <f>+INPUT!BI50</f>
        <v>3679</v>
      </c>
      <c r="M172" s="577">
        <f>+INPUT!BJ50</f>
        <v>-6.6480588683075439</v>
      </c>
      <c r="N172" s="580">
        <f>+INPUT!BK50</f>
        <v>3608</v>
      </c>
      <c r="O172" s="577">
        <f>+INPUT!BL50</f>
        <v>-6.7941100490829172</v>
      </c>
      <c r="P172" s="580">
        <f>+INPUT!BM50</f>
        <v>3546</v>
      </c>
      <c r="Q172" s="577">
        <f>+INPUT!BN50</f>
        <v>-7.0267435762978465</v>
      </c>
      <c r="R172" s="580">
        <f>+INPUT!BO50</f>
        <v>3488</v>
      </c>
      <c r="S172" s="577">
        <f>+INPUT!BP50</f>
        <v>-6.9370330843116221</v>
      </c>
      <c r="T172" s="580">
        <f>+INPUT!BQ50</f>
        <v>3440</v>
      </c>
      <c r="U172" s="577">
        <f>+INPUT!BR50</f>
        <v>-6.4963305245990739</v>
      </c>
      <c r="V172" s="580">
        <f>+INPUT!BS50</f>
        <v>3394</v>
      </c>
      <c r="W172" s="577">
        <f>+INPUT!BT50</f>
        <v>-5.9312638580931321</v>
      </c>
      <c r="X172" s="580">
        <f>+INPUT!BU50</f>
        <v>3349</v>
      </c>
      <c r="Y172" s="577">
        <f>+INPUT!BV50</f>
        <v>-5.5555555555555571</v>
      </c>
      <c r="Z172" s="580">
        <f>+INPUT!BW50</f>
        <v>3295</v>
      </c>
      <c r="AA172" s="577">
        <f>+INPUT!BX50</f>
        <v>-5.5332568807339442</v>
      </c>
      <c r="AB172" s="580">
        <f>+INPUT!BY50</f>
        <v>3263</v>
      </c>
      <c r="AC172" s="577">
        <f>+INPUT!BZ50</f>
        <v>-5.1453488372093119</v>
      </c>
      <c r="AD172" s="580">
        <f>+INPUT!CA50</f>
        <v>3221</v>
      </c>
      <c r="AE172" s="577">
        <f>+INPUT!CB50</f>
        <v>-5.0972304065998912</v>
      </c>
      <c r="AF172" s="580">
        <f>+INPUT!CC50</f>
        <v>3213</v>
      </c>
      <c r="AG172" s="577">
        <f>+INPUT!CD50</f>
        <v>-4.0609137055837579</v>
      </c>
      <c r="AH172" s="580">
        <f>+INPUT!CE50</f>
        <v>3452</v>
      </c>
      <c r="AI172" s="577">
        <f>+INPUT!CF50</f>
        <v>4.7647951441578158</v>
      </c>
      <c r="AJ172" s="580">
        <f>+INPUT!CG50</f>
        <v>3739</v>
      </c>
      <c r="AK172" s="577">
        <f>+INPUT!CH50</f>
        <v>14.587802635611396</v>
      </c>
      <c r="AL172" s="580">
        <f>+INPUT!CI50</f>
        <v>3766</v>
      </c>
      <c r="AM172" s="577">
        <f>+INPUT!CJ50</f>
        <v>16.920211114560701</v>
      </c>
      <c r="AN172" s="580">
        <f>+INPUT!CK50</f>
        <v>3828</v>
      </c>
      <c r="AO172" s="577">
        <f>+INPUT!CL50</f>
        <v>19.140989729225026</v>
      </c>
      <c r="AP172" s="580">
        <f>+INPUT!CM50</f>
        <v>3837</v>
      </c>
      <c r="AQ172" s="577">
        <f>+INPUT!CN50</f>
        <v>11.152954808806498</v>
      </c>
      <c r="AR172" s="580">
        <f>+INPUT!CO50</f>
        <v>3841</v>
      </c>
      <c r="AS172" s="577">
        <f>+INPUT!CP50</f>
        <v>2.7280021396095293</v>
      </c>
      <c r="AT172" s="580">
        <f>+INPUT!CQ50</f>
        <v>3825</v>
      </c>
      <c r="AU172" s="577">
        <f>+INPUT!CR50</f>
        <v>1.5666489644184765</v>
      </c>
      <c r="AV172" s="580">
        <f>+INPUT!CS50</f>
        <v>3810</v>
      </c>
      <c r="AW172" s="577">
        <f>+INPUT!CT50</f>
        <v>-0.47021943573668068</v>
      </c>
      <c r="AX172" s="580">
        <f>+INPUT!CU50</f>
        <v>3792</v>
      </c>
      <c r="AY172" s="577">
        <f>+INPUT!CV50</f>
        <v>-1.1727912431587271</v>
      </c>
      <c r="AZ172" s="580">
        <f>+INPUT!CW50</f>
        <v>3778</v>
      </c>
      <c r="BA172" s="577">
        <f>+INPUT!CX50</f>
        <v>-1.6401978651392852</v>
      </c>
      <c r="BB172" s="580">
        <f>+INPUT!CY50</f>
        <v>3768</v>
      </c>
      <c r="BC172" s="577">
        <f>+INPUT!CZ50</f>
        <v>-1.4901960784313673</v>
      </c>
      <c r="BD172" s="580">
        <f>+INPUT!DA50</f>
        <v>3756</v>
      </c>
      <c r="BE172" s="577">
        <f>+INPUT!DB50</f>
        <v>-1.4173228346456739</v>
      </c>
      <c r="BF172" s="580">
        <f>+INPUT!DC50</f>
        <v>3734</v>
      </c>
      <c r="BG172" s="577">
        <f>+INPUT!DD50</f>
        <v>-1.5295358649788966</v>
      </c>
      <c r="BH172" s="580">
        <f>+INPUT!DE50</f>
        <v>3714</v>
      </c>
      <c r="BI172" s="577">
        <f>+INPUT!DF50</f>
        <v>-1.6940179989412485</v>
      </c>
      <c r="BJ172" s="580">
        <f>+INPUT!DG50</f>
        <v>3699</v>
      </c>
      <c r="BK172" s="577">
        <f>+INPUT!DH50</f>
        <v>-1.8312101910828034</v>
      </c>
      <c r="BL172" s="580">
        <f>+INPUT!DI50</f>
        <v>3681</v>
      </c>
      <c r="BM172" s="577">
        <f>+INPUT!DJ50</f>
        <v>-1.9968051118210894</v>
      </c>
      <c r="BN172" s="580">
        <f>+INPUT!DK50</f>
        <v>3673</v>
      </c>
      <c r="BO172" s="577">
        <f>+INPUT!DL50</f>
        <v>-1.6336368505623966</v>
      </c>
      <c r="BP172" s="580">
        <f>+INPUT!DM50</f>
        <v>3656</v>
      </c>
      <c r="BQ172" s="577">
        <f>+INPUT!DN50</f>
        <v>-1.5616585891222456</v>
      </c>
      <c r="BR172" s="580">
        <f>+INPUT!DO50</f>
        <v>3638</v>
      </c>
      <c r="BS172" s="577">
        <f>+INPUT!DP50</f>
        <v>-1.6490943498242814</v>
      </c>
      <c r="BT172" s="580">
        <f>+INPUT!DQ50</f>
        <v>3611</v>
      </c>
      <c r="BU172" s="577">
        <f>+INPUT!DR50</f>
        <v>-1.9016571583808712</v>
      </c>
      <c r="BV172" s="580">
        <f>+INPUT!DS50</f>
        <v>3581</v>
      </c>
      <c r="BW172" s="577">
        <f>+INPUT!DT50</f>
        <v>-2.5047644976858123</v>
      </c>
      <c r="BX172" s="580">
        <f>+INPUT!DU50</f>
        <v>3575</v>
      </c>
      <c r="BY172" s="577">
        <f>+INPUT!DV50</f>
        <v>-2.2155361050328253</v>
      </c>
      <c r="BZ172" s="580">
        <f>+INPUT!DW50</f>
        <v>3552</v>
      </c>
      <c r="CA172" s="577">
        <f>+INPUT!DX50</f>
        <v>-2.3639362286970851</v>
      </c>
      <c r="CB172" s="580">
        <f>+INPUT!DY50</f>
        <v>3532</v>
      </c>
      <c r="CC172" s="577">
        <f>+INPUT!DZ50</f>
        <v>-2.1877596233730259</v>
      </c>
      <c r="CD172" s="580">
        <f>+INPUT!EA50</f>
        <v>3504</v>
      </c>
      <c r="CE172" s="577">
        <f>+INPUT!EB50</f>
        <v>-2.1502373638648322</v>
      </c>
      <c r="CF172" s="580">
        <f>+INPUT!EC50</f>
        <v>3487</v>
      </c>
      <c r="CG172" s="577">
        <f>+INPUT!ED50</f>
        <v>-2.4615384615384528</v>
      </c>
      <c r="CH172" s="580">
        <f>+INPUT!EE50</f>
        <v>3489</v>
      </c>
      <c r="CI172" s="577">
        <f>+INPUT!EF50</f>
        <v>-1.7736486486486456</v>
      </c>
      <c r="CJ172" s="580">
        <f>+INPUT!EG50</f>
        <v>3485</v>
      </c>
      <c r="CK172" s="577">
        <f>+INPUT!EH50</f>
        <v>-1.3306908267270643</v>
      </c>
      <c r="CL172" s="580">
        <f>+INPUT!EI50</f>
        <v>3488</v>
      </c>
      <c r="CM172" s="577">
        <f>+INPUT!EJ50</f>
        <v>-0.45662100456621602</v>
      </c>
      <c r="CN172" s="580">
        <f>+INPUT!EK50</f>
        <v>3489</v>
      </c>
      <c r="CO172" s="577">
        <f>+INPUT!EL50</f>
        <v>5.7355893318032258E-2</v>
      </c>
      <c r="CP172" s="580">
        <f>+INPUT!EM50</f>
        <v>3492</v>
      </c>
      <c r="CQ172" s="577">
        <f>+INPUT!EN50</f>
        <v>8.5984522785892636E-2</v>
      </c>
      <c r="CR172" s="580">
        <f>+INPUT!EO50</f>
        <v>3493</v>
      </c>
      <c r="CS172" s="577">
        <f>+INPUT!EP50</f>
        <v>0.22955523672882805</v>
      </c>
      <c r="CT172" s="580">
        <f>+INPUT!EQ50</f>
        <v>3473</v>
      </c>
      <c r="CU172" s="577">
        <f>+INPUT!ER50</f>
        <v>-0.43004587155964202</v>
      </c>
      <c r="CV172" s="580">
        <f>+INPUT!ES50</f>
        <v>3458.1431434297169</v>
      </c>
      <c r="CW172" s="577">
        <f>+INPUT!ET50</f>
        <v>-0.88440402895622583</v>
      </c>
      <c r="CX172" s="580">
        <f>+INPUT!EU50</f>
        <v>3443.892619929647</v>
      </c>
      <c r="CY172" s="577">
        <f>+INPUT!EV50</f>
        <v>-1.3776454773869631</v>
      </c>
      <c r="CZ172" s="580">
        <f>+INPUT!EW50</f>
        <v>3430.2690898700303</v>
      </c>
      <c r="DA172" s="577">
        <f>+INPUT!EX50</f>
        <v>-1.7959035250492406</v>
      </c>
      <c r="DB172" s="587"/>
      <c r="DC172" s="580">
        <f>+INPUT!FP50</f>
        <v>3879</v>
      </c>
      <c r="DD172" s="577">
        <f>+INPUT!FQ50</f>
        <v>10.387023335230509</v>
      </c>
      <c r="DE172" s="580">
        <f>+INPUT!FR50</f>
        <v>3991</v>
      </c>
      <c r="DF172" s="577">
        <f>+INPUT!FS50</f>
        <v>2.8873420984789817</v>
      </c>
      <c r="DG172" s="580">
        <f>+INPUT!FT50</f>
        <v>3748</v>
      </c>
      <c r="DH172" s="577">
        <f>+INPUT!FU50</f>
        <v>-6.0886995740415841</v>
      </c>
      <c r="DI172" s="580">
        <f>+INPUT!FV50</f>
        <v>3488</v>
      </c>
      <c r="DJ172" s="577">
        <f>+INPUT!FW50</f>
        <v>-6.9370330843116221</v>
      </c>
      <c r="DK172" s="580">
        <f>+INPUT!FX50</f>
        <v>3295</v>
      </c>
      <c r="DL172" s="577">
        <f>+INPUT!FY50</f>
        <v>-5.5332568807339442</v>
      </c>
      <c r="DM172" s="580">
        <f>+INPUT!FZ50</f>
        <v>3452</v>
      </c>
      <c r="DN172" s="577">
        <f>+INPUT!GA50</f>
        <v>4.7647951441578158</v>
      </c>
      <c r="DO172" s="580">
        <f>+INPUT!GB50</f>
        <v>3837</v>
      </c>
      <c r="DP172" s="577">
        <f>+INPUT!GC50</f>
        <v>11.152954808806498</v>
      </c>
      <c r="DQ172" s="580">
        <f>+INPUT!GD50</f>
        <v>3792</v>
      </c>
      <c r="DR172" s="577">
        <f>+INPUT!GE50</f>
        <v>-1.1727912431587271</v>
      </c>
      <c r="DS172" s="580">
        <f>+INPUT!GF50</f>
        <v>3734</v>
      </c>
      <c r="DT172" s="577">
        <f>+INPUT!GG50</f>
        <v>-1.5295358649788966</v>
      </c>
      <c r="DU172" s="580">
        <f>+INPUT!GH50</f>
        <v>3673</v>
      </c>
      <c r="DV172" s="577">
        <f>+INPUT!GI50</f>
        <v>-1.6336368505623966</v>
      </c>
      <c r="DW172" s="580">
        <f>+INPUT!GJ50</f>
        <v>3581</v>
      </c>
      <c r="DX172" s="577">
        <f>+INPUT!GK50</f>
        <v>-2.5047644976858123</v>
      </c>
      <c r="DY172" s="580">
        <f>+INPUT!GL50</f>
        <v>3504</v>
      </c>
      <c r="DZ172" s="577">
        <f>+INPUT!GM50</f>
        <v>-2.1502373638648322</v>
      </c>
      <c r="EA172" s="580">
        <f>+INPUT!GN50</f>
        <v>3488</v>
      </c>
      <c r="EB172" s="577">
        <f>+INPUT!GO50</f>
        <v>-0.45662100456621602</v>
      </c>
      <c r="EC172" s="580">
        <f>+INPUT!GP50</f>
        <v>3473</v>
      </c>
      <c r="ED172" s="577">
        <f>+INPUT!GQ50</f>
        <v>-0.43004587155964202</v>
      </c>
      <c r="EE172" s="580">
        <f>+INPUT!GR50</f>
        <v>3417.2943157512927</v>
      </c>
      <c r="EF172" s="577">
        <f>+INPUT!GS50</f>
        <v>-1.6039644183330637</v>
      </c>
      <c r="EG172" s="580">
        <f>+INPUT!GT50</f>
        <v>3367.4835845707803</v>
      </c>
      <c r="EH172" s="577">
        <f>+INPUT!GU50</f>
        <v>-1.4576072933174231</v>
      </c>
      <c r="EI172" s="580">
        <f>+INPUT!GV50</f>
        <v>3323.8311074006715</v>
      </c>
      <c r="EJ172" s="577">
        <f>+INPUT!GW50</f>
        <v>-1.296293688560695</v>
      </c>
      <c r="EK172" s="580">
        <f>+INPUT!GX50</f>
        <v>3286.6357955149829</v>
      </c>
      <c r="EL172" s="577">
        <f>+INPUT!GY50</f>
        <v>-1.1190493946239144</v>
      </c>
      <c r="EM172" s="577">
        <f>+INPUT!GZ50</f>
        <v>-1.1822363925916402</v>
      </c>
    </row>
    <row r="173" spans="1:143" ht="12.75" hidden="1" customHeight="1" outlineLevel="1" x14ac:dyDescent="0.2">
      <c r="A173" s="579" t="str">
        <f>+INPUT!B51</f>
        <v xml:space="preserve">  Deposits</v>
      </c>
      <c r="B173" s="580">
        <f>+INPUT!AY51</f>
        <v>28</v>
      </c>
      <c r="C173" s="577">
        <f>+INPUT!AZ51</f>
        <v>-46.153846153846153</v>
      </c>
      <c r="D173" s="580">
        <f>+INPUT!BA51</f>
        <v>32</v>
      </c>
      <c r="E173" s="577" t="str">
        <f>+INPUT!BB51</f>
        <v>NM</v>
      </c>
      <c r="F173" s="580">
        <f>+INPUT!BC51</f>
        <v>33</v>
      </c>
      <c r="G173" s="577">
        <f>+INPUT!BD51</f>
        <v>-15.384615384615387</v>
      </c>
      <c r="H173" s="580">
        <f>+INPUT!BE51</f>
        <v>26</v>
      </c>
      <c r="I173" s="577">
        <f>+INPUT!BF51</f>
        <v>-3.7037037037037095</v>
      </c>
      <c r="J173" s="580">
        <f>+INPUT!BG51</f>
        <v>21</v>
      </c>
      <c r="K173" s="577">
        <f>+INPUT!BH51</f>
        <v>-25</v>
      </c>
      <c r="L173" s="580">
        <f>+INPUT!BI51</f>
        <v>20</v>
      </c>
      <c r="M173" s="577">
        <f>+INPUT!BJ51</f>
        <v>-37.5</v>
      </c>
      <c r="N173" s="580">
        <f>+INPUT!BK51</f>
        <v>16</v>
      </c>
      <c r="O173" s="577" t="str">
        <f>+INPUT!BL51</f>
        <v>NM</v>
      </c>
      <c r="P173" s="580">
        <f>+INPUT!BM51</f>
        <v>16</v>
      </c>
      <c r="Q173" s="577">
        <f>+INPUT!BN51</f>
        <v>-38.46153846153846</v>
      </c>
      <c r="R173" s="580">
        <f>+INPUT!BO51</f>
        <v>17</v>
      </c>
      <c r="S173" s="577">
        <f>+INPUT!BP51</f>
        <v>-19.047619047619051</v>
      </c>
      <c r="T173" s="580">
        <f>+INPUT!BQ51</f>
        <v>24</v>
      </c>
      <c r="U173" s="577">
        <f>+INPUT!BR51</f>
        <v>20</v>
      </c>
      <c r="V173" s="580">
        <f>+INPUT!BS51</f>
        <v>33</v>
      </c>
      <c r="W173" s="577" t="str">
        <f>+INPUT!BT51</f>
        <v>NM</v>
      </c>
      <c r="X173" s="580">
        <f>+INPUT!BU51</f>
        <v>47</v>
      </c>
      <c r="Y173" s="577" t="str">
        <f>+INPUT!BV51</f>
        <v>NM</v>
      </c>
      <c r="Z173" s="580">
        <f>+INPUT!BW51</f>
        <v>55</v>
      </c>
      <c r="AA173" s="577" t="str">
        <f>+INPUT!BX51</f>
        <v>NM</v>
      </c>
      <c r="AB173" s="580">
        <f>+INPUT!BY51</f>
        <v>41</v>
      </c>
      <c r="AC173" s="577">
        <f>+INPUT!BZ51</f>
        <v>70.833333333333314</v>
      </c>
      <c r="AD173" s="580">
        <f>+INPUT!CA51</f>
        <v>46</v>
      </c>
      <c r="AE173" s="577">
        <f>+INPUT!CB51</f>
        <v>39.393939393939405</v>
      </c>
      <c r="AF173" s="580">
        <f>+INPUT!CC51</f>
        <v>37</v>
      </c>
      <c r="AG173" s="577">
        <f>+INPUT!CD51</f>
        <v>-21.276595744680847</v>
      </c>
      <c r="AH173" s="580">
        <f>+INPUT!CE51</f>
        <v>30</v>
      </c>
      <c r="AI173" s="577">
        <f>+INPUT!CF51</f>
        <v>-45.45454545454546</v>
      </c>
      <c r="AJ173" s="580">
        <f>+INPUT!CG51</f>
        <v>32</v>
      </c>
      <c r="AK173" s="577">
        <f>+INPUT!CH51</f>
        <v>-21.951219512195124</v>
      </c>
      <c r="AL173" s="580">
        <f>+INPUT!CI51</f>
        <v>29</v>
      </c>
      <c r="AM173" s="577">
        <f>+INPUT!CJ51</f>
        <v>-36.95652173913043</v>
      </c>
      <c r="AN173" s="580">
        <f>+INPUT!CK51</f>
        <v>12</v>
      </c>
      <c r="AO173" s="577" t="str">
        <f>+INPUT!CL51</f>
        <v>NM</v>
      </c>
      <c r="AP173" s="580">
        <f>+INPUT!CM51</f>
        <v>18</v>
      </c>
      <c r="AQ173" s="577">
        <f>+INPUT!CN51</f>
        <v>-40</v>
      </c>
      <c r="AR173" s="580">
        <f>+INPUT!CO51</f>
        <v>20</v>
      </c>
      <c r="AS173" s="577">
        <f>+INPUT!CP51</f>
        <v>-37.5</v>
      </c>
      <c r="AT173" s="580">
        <f>+INPUT!CQ51</f>
        <v>15</v>
      </c>
      <c r="AU173" s="577">
        <f>+INPUT!CR51</f>
        <v>-48.275862068965516</v>
      </c>
      <c r="AV173" s="580">
        <f>+INPUT!CS51</f>
        <v>16</v>
      </c>
      <c r="AW173" s="577">
        <f>+INPUT!CT51</f>
        <v>33.333333333333314</v>
      </c>
      <c r="AX173" s="580">
        <f>+INPUT!CU51</f>
        <v>16</v>
      </c>
      <c r="AY173" s="577">
        <f>+INPUT!CV51</f>
        <v>-11.111111111111114</v>
      </c>
      <c r="AZ173" s="580">
        <f>+INPUT!CW51</f>
        <v>14</v>
      </c>
      <c r="BA173" s="577">
        <f>+INPUT!CX51</f>
        <v>-30</v>
      </c>
      <c r="BB173" s="580">
        <f>+INPUT!CY51</f>
        <v>14</v>
      </c>
      <c r="BC173" s="577">
        <f>+INPUT!CZ51</f>
        <v>-6.6666666666666714</v>
      </c>
      <c r="BD173" s="580">
        <f>+INPUT!DA51</f>
        <v>11</v>
      </c>
      <c r="BE173" s="577">
        <f>+INPUT!DB51</f>
        <v>-31.25</v>
      </c>
      <c r="BF173" s="580">
        <f>+INPUT!DC51</f>
        <v>16</v>
      </c>
      <c r="BG173" s="577">
        <f>+INPUT!DD51</f>
        <v>0</v>
      </c>
      <c r="BH173" s="580">
        <f>+INPUT!DE51</f>
        <v>14</v>
      </c>
      <c r="BI173" s="577">
        <f>+INPUT!DF51</f>
        <v>0</v>
      </c>
      <c r="BJ173" s="580">
        <f>+INPUT!DG51</f>
        <v>16</v>
      </c>
      <c r="BK173" s="577">
        <f>+INPUT!DH51</f>
        <v>14.285714285714278</v>
      </c>
      <c r="BL173" s="580">
        <f>+INPUT!DI51</f>
        <v>20</v>
      </c>
      <c r="BM173" s="577">
        <f>+INPUT!DJ51</f>
        <v>81.818181818181813</v>
      </c>
      <c r="BN173" s="580">
        <f>+INPUT!DK51</f>
        <v>17</v>
      </c>
      <c r="BO173" s="577">
        <f>+INPUT!DL51</f>
        <v>0</v>
      </c>
      <c r="BP173" s="580">
        <f>+INPUT!DM51</f>
        <v>13</v>
      </c>
      <c r="BQ173" s="577">
        <f>+INPUT!DN51</f>
        <v>-7.1428571428571388</v>
      </c>
      <c r="BR173" s="580">
        <f>+INPUT!DO51</f>
        <v>13</v>
      </c>
      <c r="BS173" s="577">
        <f>+INPUT!DP51</f>
        <v>-18.75</v>
      </c>
      <c r="BT173" s="580">
        <f>+INPUT!DQ51</f>
        <v>8</v>
      </c>
      <c r="BU173" s="577" t="str">
        <f>+INPUT!DR51</f>
        <v>NM</v>
      </c>
      <c r="BV173" s="580">
        <f>+INPUT!DS51</f>
        <v>12</v>
      </c>
      <c r="BW173" s="577">
        <f>+INPUT!DT51</f>
        <v>-29.411764705882348</v>
      </c>
      <c r="BX173" s="580">
        <f>+INPUT!DU51</f>
        <v>15</v>
      </c>
      <c r="BY173" s="577">
        <f>+INPUT!DV51</f>
        <v>15.384615384615373</v>
      </c>
      <c r="BZ173" s="580">
        <f>+INPUT!DW51</f>
        <v>8</v>
      </c>
      <c r="CA173" s="577">
        <f>+INPUT!DX51</f>
        <v>-38.46153846153846</v>
      </c>
      <c r="CB173" s="580">
        <f>+INPUT!DY51</f>
        <v>13</v>
      </c>
      <c r="CC173" s="577">
        <f>+INPUT!DZ51</f>
        <v>62.5</v>
      </c>
      <c r="CD173" s="580">
        <f>+INPUT!EA51</f>
        <v>16</v>
      </c>
      <c r="CE173" s="577">
        <f>+INPUT!EB51</f>
        <v>33.333333333333314</v>
      </c>
      <c r="CF173" s="580">
        <f>+INPUT!EC51</f>
        <v>14</v>
      </c>
      <c r="CG173" s="577">
        <f>+INPUT!ED51</f>
        <v>-6.6666666666666714</v>
      </c>
      <c r="CH173" s="580">
        <f>+INPUT!EE51</f>
        <v>12</v>
      </c>
      <c r="CI173" s="577">
        <f>+INPUT!EF51</f>
        <v>50</v>
      </c>
      <c r="CJ173" s="580">
        <f>+INPUT!EG51</f>
        <v>18</v>
      </c>
      <c r="CK173" s="577">
        <f>+INPUT!EH51</f>
        <v>38.461538461538453</v>
      </c>
      <c r="CL173" s="580">
        <f>+INPUT!EI51</f>
        <v>12</v>
      </c>
      <c r="CM173" s="577">
        <f>+INPUT!EJ51</f>
        <v>-25</v>
      </c>
      <c r="CN173" s="580">
        <f>+INPUT!EK51</f>
        <v>14</v>
      </c>
      <c r="CO173" s="577">
        <f>+INPUT!EL51</f>
        <v>0</v>
      </c>
      <c r="CP173" s="580">
        <f>+INPUT!EM51</f>
        <v>11</v>
      </c>
      <c r="CQ173" s="577">
        <f>+INPUT!EN51</f>
        <v>-8.3333333333333428</v>
      </c>
      <c r="CR173" s="580">
        <f>+INPUT!EO51</f>
        <v>5</v>
      </c>
      <c r="CS173" s="577" t="str">
        <f>+INPUT!EP51</f>
        <v>NM</v>
      </c>
      <c r="CT173" s="580">
        <f>+INPUT!EQ51</f>
        <v>10</v>
      </c>
      <c r="CU173" s="577">
        <f>+INPUT!ER51</f>
        <v>-16.666666666666657</v>
      </c>
      <c r="CV173" s="580">
        <f>+INPUT!ES51</f>
        <v>10.5</v>
      </c>
      <c r="CW173" s="577">
        <f>+INPUT!ET51</f>
        <v>-25</v>
      </c>
      <c r="CX173" s="580">
        <f>+INPUT!EU51</f>
        <v>11.025</v>
      </c>
      <c r="CY173" s="577">
        <f>+INPUT!EV51</f>
        <v>0.22727272727271952</v>
      </c>
      <c r="CZ173" s="580">
        <f>+INPUT!EW51</f>
        <v>11.576250000000002</v>
      </c>
      <c r="DA173" s="577" t="str">
        <f>+INPUT!EX51</f>
        <v>NM</v>
      </c>
      <c r="DB173" s="587"/>
      <c r="DC173" s="580">
        <f>+INPUT!FP51</f>
        <v>361</v>
      </c>
      <c r="DD173" s="577">
        <f>+INPUT!FQ51</f>
        <v>-32.142857142857139</v>
      </c>
      <c r="DE173" s="580">
        <f>+INPUT!FR51</f>
        <v>119</v>
      </c>
      <c r="DF173" s="577" t="str">
        <f>+INPUT!FS51</f>
        <v>NM</v>
      </c>
      <c r="DG173" s="580">
        <f>+INPUT!FT51</f>
        <v>73</v>
      </c>
      <c r="DH173" s="577">
        <f>+INPUT!FU51</f>
        <v>-38.655462184873947</v>
      </c>
      <c r="DI173" s="580">
        <f>+INPUT!FV51</f>
        <v>121</v>
      </c>
      <c r="DJ173" s="577">
        <f>+INPUT!FW51</f>
        <v>65.753424657534254</v>
      </c>
      <c r="DK173" s="580">
        <f>+INPUT!FX51</f>
        <v>179</v>
      </c>
      <c r="DL173" s="577">
        <f>+INPUT!FY51</f>
        <v>47.933884297520649</v>
      </c>
      <c r="DM173" s="580">
        <f>+INPUT!FZ51</f>
        <v>103</v>
      </c>
      <c r="DN173" s="577">
        <f>+INPUT!GA51</f>
        <v>-42.458100558659218</v>
      </c>
      <c r="DO173" s="580">
        <f>+INPUT!GB51</f>
        <v>69</v>
      </c>
      <c r="DP173" s="577">
        <f>+INPUT!GC51</f>
        <v>-33.009708737864074</v>
      </c>
      <c r="DQ173" s="580">
        <f>+INPUT!GD51</f>
        <v>55</v>
      </c>
      <c r="DR173" s="577">
        <f>+INPUT!GE51</f>
        <v>-20.289855072463766</v>
      </c>
      <c r="DS173" s="580">
        <f>+INPUT!GF51</f>
        <v>66</v>
      </c>
      <c r="DT173" s="577">
        <f>+INPUT!GG51</f>
        <v>20</v>
      </c>
      <c r="DU173" s="580">
        <f>+INPUT!GH51</f>
        <v>51</v>
      </c>
      <c r="DV173" s="577">
        <f>+INPUT!GI51</f>
        <v>-22.727272727272734</v>
      </c>
      <c r="DW173" s="580">
        <f>+INPUT!GJ51</f>
        <v>48</v>
      </c>
      <c r="DX173" s="577">
        <f>+INPUT!GK51</f>
        <v>-5.8823529411764781</v>
      </c>
      <c r="DY173" s="580">
        <f>+INPUT!GL51</f>
        <v>60</v>
      </c>
      <c r="DZ173" s="577">
        <f>+INPUT!GM51</f>
        <v>25</v>
      </c>
      <c r="EA173" s="580">
        <f>+INPUT!GN51</f>
        <v>42</v>
      </c>
      <c r="EB173" s="577">
        <f>+INPUT!GO51</f>
        <v>-30</v>
      </c>
      <c r="EC173" s="580">
        <f>+INPUT!GP51</f>
        <v>43.10125</v>
      </c>
      <c r="ED173" s="577">
        <f>+INPUT!GQ51</f>
        <v>2.6220238095238102</v>
      </c>
      <c r="EE173" s="580">
        <f>+INPUT!GR51</f>
        <v>47.411375000000007</v>
      </c>
      <c r="EF173" s="577">
        <f>+INPUT!GS51</f>
        <v>10.000000000000014</v>
      </c>
      <c r="EG173" s="580">
        <f>+INPUT!GT51</f>
        <v>52.152512500000014</v>
      </c>
      <c r="EH173" s="577">
        <f>+INPUT!GU51</f>
        <v>10.000000000000014</v>
      </c>
      <c r="EI173" s="580">
        <f>+INPUT!GV51</f>
        <v>57.367763750000023</v>
      </c>
      <c r="EJ173" s="577">
        <f>+INPUT!GW51</f>
        <v>10.000000000000014</v>
      </c>
      <c r="EK173" s="580">
        <f>+INPUT!GX51</f>
        <v>63.104540125000028</v>
      </c>
      <c r="EL173" s="577">
        <f>+INPUT!GY51</f>
        <v>10.000000000000014</v>
      </c>
      <c r="EM173" s="577">
        <f>+INPUT!GZ51</f>
        <v>8.4831439895586946</v>
      </c>
    </row>
    <row r="174" spans="1:143" ht="12.75" hidden="1" customHeight="1" outlineLevel="1" x14ac:dyDescent="0.2">
      <c r="A174" s="579" t="str">
        <f>+INPUT!B52</f>
        <v xml:space="preserve">  Redemptions</v>
      </c>
      <c r="B174" s="580">
        <f>+INPUT!AY52</f>
        <v>-69</v>
      </c>
      <c r="C174" s="577">
        <f>+INPUT!AZ52</f>
        <v>23.214285714285722</v>
      </c>
      <c r="D174" s="580">
        <f>+INPUT!BA52</f>
        <v>-92</v>
      </c>
      <c r="E174" s="577">
        <f>+INPUT!BB52</f>
        <v>73.584905660377359</v>
      </c>
      <c r="F174" s="580">
        <f>+INPUT!BC52</f>
        <v>-75</v>
      </c>
      <c r="G174" s="577">
        <f>+INPUT!BD52</f>
        <v>33.928571428571416</v>
      </c>
      <c r="H174" s="580">
        <f>+INPUT!BE52</f>
        <v>-77</v>
      </c>
      <c r="I174" s="577">
        <f>+INPUT!BF52</f>
        <v>16.666666666666671</v>
      </c>
      <c r="J174" s="580">
        <f>+INPUT!BG52</f>
        <v>-81</v>
      </c>
      <c r="K174" s="577">
        <f>+INPUT!BH52</f>
        <v>17.391304347826093</v>
      </c>
      <c r="L174" s="580">
        <f>+INPUT!BI52</f>
        <v>-74</v>
      </c>
      <c r="M174" s="577">
        <f>+INPUT!BJ52</f>
        <v>-19.565217391304344</v>
      </c>
      <c r="N174" s="580">
        <f>+INPUT!BK52</f>
        <v>-69</v>
      </c>
      <c r="O174" s="577">
        <f>+INPUT!BL52</f>
        <v>-8</v>
      </c>
      <c r="P174" s="580">
        <f>+INPUT!BM52</f>
        <v>-62</v>
      </c>
      <c r="Q174" s="577">
        <f>+INPUT!BN52</f>
        <v>-19.480519480519476</v>
      </c>
      <c r="R174" s="580">
        <f>+INPUT!BO52</f>
        <v>-53</v>
      </c>
      <c r="S174" s="577">
        <f>+INPUT!BP52</f>
        <v>-34.567901234567898</v>
      </c>
      <c r="T174" s="580">
        <f>+INPUT!BQ52</f>
        <v>-61</v>
      </c>
      <c r="U174" s="577">
        <f>+INPUT!BR52</f>
        <v>-17.567567567567565</v>
      </c>
      <c r="V174" s="580">
        <f>+INPUT!BS52</f>
        <v>-71</v>
      </c>
      <c r="W174" s="577">
        <f>+INPUT!BT52</f>
        <v>2.8985507246376727</v>
      </c>
      <c r="X174" s="580">
        <f>+INPUT!BU52</f>
        <v>-91</v>
      </c>
      <c r="Y174" s="577">
        <f>+INPUT!BV52</f>
        <v>46.774193548387103</v>
      </c>
      <c r="Z174" s="580">
        <f>+INPUT!BW52</f>
        <v>-77</v>
      </c>
      <c r="AA174" s="577">
        <f>+INPUT!BX52</f>
        <v>45.283018867924511</v>
      </c>
      <c r="AB174" s="580">
        <f>+INPUT!BY52</f>
        <v>-75</v>
      </c>
      <c r="AC174" s="577">
        <f>+INPUT!BZ52</f>
        <v>22.950819672131146</v>
      </c>
      <c r="AD174" s="580">
        <f>+INPUT!CA52</f>
        <v>-49</v>
      </c>
      <c r="AE174" s="577">
        <f>+INPUT!CB52</f>
        <v>-30.985915492957744</v>
      </c>
      <c r="AF174" s="580">
        <f>+INPUT!CC52</f>
        <v>-57</v>
      </c>
      <c r="AG174" s="577">
        <f>+INPUT!CD52</f>
        <v>-37.362637362637365</v>
      </c>
      <c r="AH174" s="580">
        <f>+INPUT!CE52</f>
        <v>-48</v>
      </c>
      <c r="AI174" s="577">
        <f>+INPUT!CF52</f>
        <v>-37.662337662337663</v>
      </c>
      <c r="AJ174" s="580">
        <f>+INPUT!CG52</f>
        <v>-78</v>
      </c>
      <c r="AK174" s="577">
        <f>+INPUT!CH52</f>
        <v>4</v>
      </c>
      <c r="AL174" s="580">
        <f>+INPUT!CI52</f>
        <v>-44</v>
      </c>
      <c r="AM174" s="577">
        <f>+INPUT!CJ52</f>
        <v>-10.204081632653057</v>
      </c>
      <c r="AN174" s="580">
        <f>+INPUT!CK52</f>
        <v>-45</v>
      </c>
      <c r="AO174" s="577">
        <f>+INPUT!CL52</f>
        <v>-21.05263157894737</v>
      </c>
      <c r="AP174" s="580">
        <f>+INPUT!CM52</f>
        <v>-48</v>
      </c>
      <c r="AQ174" s="577">
        <f>+INPUT!CN52</f>
        <v>0</v>
      </c>
      <c r="AR174" s="580">
        <f>+INPUT!CO52</f>
        <v>-45</v>
      </c>
      <c r="AS174" s="577">
        <f>+INPUT!CP52</f>
        <v>-42.307692307692314</v>
      </c>
      <c r="AT174" s="580">
        <f>+INPUT!CQ52</f>
        <v>-46</v>
      </c>
      <c r="AU174" s="577">
        <f>+INPUT!CR52</f>
        <v>4.5454545454545467</v>
      </c>
      <c r="AV174" s="580">
        <f>+INPUT!CS52</f>
        <v>-44</v>
      </c>
      <c r="AW174" s="577">
        <f>+INPUT!CT52</f>
        <v>-2.2222222222222285</v>
      </c>
      <c r="AX174" s="580">
        <f>+INPUT!CU52</f>
        <v>-43</v>
      </c>
      <c r="AY174" s="577">
        <f>+INPUT!CV52</f>
        <v>-10.416666666666657</v>
      </c>
      <c r="AZ174" s="580">
        <f>+INPUT!CW52</f>
        <v>-34</v>
      </c>
      <c r="BA174" s="577">
        <f>+INPUT!CX52</f>
        <v>-24.444444444444443</v>
      </c>
      <c r="BB174" s="580">
        <f>+INPUT!CY52</f>
        <v>-35</v>
      </c>
      <c r="BC174" s="577">
        <f>+INPUT!CZ52</f>
        <v>-23.91304347826086</v>
      </c>
      <c r="BD174" s="580">
        <f>+INPUT!DA52</f>
        <v>-48</v>
      </c>
      <c r="BE174" s="577">
        <f>+INPUT!DB52</f>
        <v>9.0909090909090793</v>
      </c>
      <c r="BF174" s="580">
        <f>+INPUT!DC52</f>
        <v>-41</v>
      </c>
      <c r="BG174" s="577">
        <f>+INPUT!DD52</f>
        <v>-4.6511627906976685</v>
      </c>
      <c r="BH174" s="580">
        <f>+INPUT!DE52</f>
        <v>-38</v>
      </c>
      <c r="BI174" s="577">
        <f>+INPUT!DF52</f>
        <v>11.764705882352942</v>
      </c>
      <c r="BJ174" s="580">
        <f>+INPUT!DG52</f>
        <v>-40</v>
      </c>
      <c r="BK174" s="577">
        <f>+INPUT!DH52</f>
        <v>14.285714285714278</v>
      </c>
      <c r="BL174" s="580">
        <f>+INPUT!DI52</f>
        <v>-41</v>
      </c>
      <c r="BM174" s="577">
        <f>+INPUT!DJ52</f>
        <v>-14.583333333333343</v>
      </c>
      <c r="BN174" s="580">
        <f>+INPUT!DK52</f>
        <v>-35</v>
      </c>
      <c r="BO174" s="577">
        <f>+INPUT!DL52</f>
        <v>-14.634146341463421</v>
      </c>
      <c r="BP174" s="580">
        <f>+INPUT!DM52</f>
        <v>-34</v>
      </c>
      <c r="BQ174" s="577">
        <f>+INPUT!DN52</f>
        <v>-10.526315789473685</v>
      </c>
      <c r="BR174" s="580">
        <f>+INPUT!DO52</f>
        <v>-30</v>
      </c>
      <c r="BS174" s="577">
        <f>+INPUT!DP52</f>
        <v>-25</v>
      </c>
      <c r="BT174" s="580">
        <f>+INPUT!DQ52</f>
        <v>-39</v>
      </c>
      <c r="BU174" s="577">
        <f>+INPUT!DR52</f>
        <v>-4.8780487804878021</v>
      </c>
      <c r="BV174" s="580">
        <f>+INPUT!DS52</f>
        <v>-29</v>
      </c>
      <c r="BW174" s="577">
        <f>+INPUT!DT52</f>
        <v>-17.142857142857139</v>
      </c>
      <c r="BX174" s="580">
        <f>+INPUT!DU52</f>
        <v>-33</v>
      </c>
      <c r="BY174" s="577">
        <f>+INPUT!DV52</f>
        <v>-2.941176470588232</v>
      </c>
      <c r="BZ174" s="580">
        <f>+INPUT!DW52</f>
        <v>-30</v>
      </c>
      <c r="CA174" s="577">
        <f>+INPUT!DX52</f>
        <v>0</v>
      </c>
      <c r="CB174" s="580">
        <f>+INPUT!DY52</f>
        <v>-32</v>
      </c>
      <c r="CC174" s="577">
        <f>+INPUT!DZ52</f>
        <v>-17.948717948717956</v>
      </c>
      <c r="CD174" s="580">
        <f>+INPUT!EA52</f>
        <v>-31</v>
      </c>
      <c r="CE174" s="577">
        <f>+INPUT!EB52</f>
        <v>6.8965517241379217</v>
      </c>
      <c r="CF174" s="580">
        <f>+INPUT!EC52</f>
        <v>-26</v>
      </c>
      <c r="CG174" s="577">
        <f>+INPUT!ED52</f>
        <v>-21.212121212121218</v>
      </c>
      <c r="CH174" s="580">
        <f>+INPUT!EE52</f>
        <v>-21</v>
      </c>
      <c r="CI174" s="577">
        <f>+INPUT!EF52</f>
        <v>-30</v>
      </c>
      <c r="CJ174" s="580">
        <f>+INPUT!EG52</f>
        <v>-27</v>
      </c>
      <c r="CK174" s="577">
        <f>+INPUT!EH52</f>
        <v>-15.625</v>
      </c>
      <c r="CL174" s="580">
        <f>+INPUT!EI52</f>
        <v>-27</v>
      </c>
      <c r="CM174" s="577">
        <f>+INPUT!EJ52</f>
        <v>-12.903225806451616</v>
      </c>
      <c r="CN174" s="580">
        <f>+INPUT!EK52</f>
        <v>-25</v>
      </c>
      <c r="CO174" s="577">
        <f>+INPUT!EL52</f>
        <v>-3.8461538461538396</v>
      </c>
      <c r="CP174" s="580">
        <f>+INPUT!EM52</f>
        <v>-21</v>
      </c>
      <c r="CQ174" s="577">
        <f>+INPUT!EN52</f>
        <v>0</v>
      </c>
      <c r="CR174" s="580">
        <f>+INPUT!EO52</f>
        <v>-31</v>
      </c>
      <c r="CS174" s="577">
        <f>+INPUT!EP52</f>
        <v>14.81481481481481</v>
      </c>
      <c r="CT174" s="580">
        <f>+INPUT!EQ52</f>
        <v>-30.822502147151443</v>
      </c>
      <c r="CU174" s="577">
        <f>+INPUT!ER52</f>
        <v>14.157415359820163</v>
      </c>
      <c r="CV174" s="580">
        <f>+INPUT!ES52</f>
        <v>-30.690649140086233</v>
      </c>
      <c r="CW174" s="577">
        <f>+INPUT!ET52</f>
        <v>22.762596560344946</v>
      </c>
      <c r="CX174" s="580">
        <f>+INPUT!EU52</f>
        <v>-30.56417727392472</v>
      </c>
      <c r="CY174" s="577">
        <f>+INPUT!EV52</f>
        <v>45.543701304403442</v>
      </c>
      <c r="CZ174" s="580">
        <f>+INPUT!EW52</f>
        <v>-30.443269907234736</v>
      </c>
      <c r="DA174" s="577">
        <f>+INPUT!EX52</f>
        <v>-1.7959035250492406</v>
      </c>
      <c r="DB174" s="587"/>
      <c r="DC174" s="580">
        <f>+INPUT!FP52</f>
        <v>-231</v>
      </c>
      <c r="DD174" s="577">
        <f>+INPUT!FQ52</f>
        <v>20.942408376963357</v>
      </c>
      <c r="DE174" s="580">
        <f>+INPUT!FR52</f>
        <v>-313</v>
      </c>
      <c r="DF174" s="577">
        <f>+INPUT!FS52</f>
        <v>35.497835497835496</v>
      </c>
      <c r="DG174" s="580">
        <f>+INPUT!FT52</f>
        <v>-286</v>
      </c>
      <c r="DH174" s="577">
        <f>+INPUT!FU52</f>
        <v>-8.626198083067095</v>
      </c>
      <c r="DI174" s="580">
        <f>+INPUT!FV52</f>
        <v>-276</v>
      </c>
      <c r="DJ174" s="577">
        <f>+INPUT!FW52</f>
        <v>-3.4965034965034931</v>
      </c>
      <c r="DK174" s="580">
        <f>+INPUT!FX52</f>
        <v>-258</v>
      </c>
      <c r="DL174" s="577">
        <f>+INPUT!FY52</f>
        <v>-6.5217391304347814</v>
      </c>
      <c r="DM174" s="580">
        <f>+INPUT!FZ52</f>
        <v>-215</v>
      </c>
      <c r="DN174" s="577">
        <f>+INPUT!GA52</f>
        <v>-16.666666666666657</v>
      </c>
      <c r="DO174" s="580">
        <f>+INPUT!GB52</f>
        <v>-183</v>
      </c>
      <c r="DP174" s="577">
        <f>+INPUT!GC52</f>
        <v>-14.883720930232556</v>
      </c>
      <c r="DQ174" s="580">
        <f>+INPUT!GD52</f>
        <v>-160</v>
      </c>
      <c r="DR174" s="577">
        <f>+INPUT!GE52</f>
        <v>-12.568306010928964</v>
      </c>
      <c r="DS174" s="580">
        <f>+INPUT!GF52</f>
        <v>-160</v>
      </c>
      <c r="DT174" s="577">
        <f>+INPUT!GG52</f>
        <v>0</v>
      </c>
      <c r="DU174" s="580">
        <f>+INPUT!GH52</f>
        <v>-138</v>
      </c>
      <c r="DV174" s="577">
        <f>+INPUT!GI52</f>
        <v>-13.75</v>
      </c>
      <c r="DW174" s="580">
        <f>+INPUT!GJ52</f>
        <v>-124</v>
      </c>
      <c r="DX174" s="577">
        <f>+INPUT!GK52</f>
        <v>-10.14492753623189</v>
      </c>
      <c r="DY174" s="580">
        <f>+INPUT!GL52</f>
        <v>-105</v>
      </c>
      <c r="DZ174" s="577">
        <f>+INPUT!GM52</f>
        <v>-15.322580645161281</v>
      </c>
      <c r="EA174" s="580">
        <f>+INPUT!GN52</f>
        <v>-104</v>
      </c>
      <c r="EB174" s="577">
        <f>+INPUT!GO52</f>
        <v>-0.952380952380949</v>
      </c>
      <c r="EC174" s="580">
        <f>+INPUT!GP52</f>
        <v>-122.52059846839714</v>
      </c>
      <c r="ED174" s="577">
        <f>+INPUT!GQ52</f>
        <v>17.80826775807418</v>
      </c>
      <c r="EE174" s="580">
        <f>+INPUT!GR52</f>
        <v>-120.55541166383533</v>
      </c>
      <c r="EF174" s="577">
        <f>+INPUT!GS52</f>
        <v>-1.6039644183330637</v>
      </c>
      <c r="EG174" s="580">
        <f>+INPUT!GT52</f>
        <v>-118.79818719093443</v>
      </c>
      <c r="EH174" s="577">
        <f>+INPUT!GU52</f>
        <v>-1.4576072933174231</v>
      </c>
      <c r="EI174" s="580">
        <f>+INPUT!GV52</f>
        <v>-117.25821378825381</v>
      </c>
      <c r="EJ174" s="577">
        <f>+INPUT!GW52</f>
        <v>-1.296293688560695</v>
      </c>
      <c r="EK174" s="580">
        <f>+INPUT!GX52</f>
        <v>-115.94603645670954</v>
      </c>
      <c r="EL174" s="577">
        <f>+INPUT!GY52</f>
        <v>-1.1190493946239144</v>
      </c>
      <c r="EM174" s="577">
        <f>+INPUT!GZ52</f>
        <v>2.1984981178041263</v>
      </c>
    </row>
    <row r="175" spans="1:143" ht="12.75" hidden="1" customHeight="1" outlineLevel="1" x14ac:dyDescent="0.2">
      <c r="A175" s="579" t="str">
        <f>+INPUT!B53</f>
        <v xml:space="preserve">  Benefit Payments</v>
      </c>
      <c r="B175" s="580">
        <f>+INPUT!AY53</f>
        <v>-43</v>
      </c>
      <c r="C175" s="577">
        <f>+INPUT!AZ53</f>
        <v>4.8780487804878021</v>
      </c>
      <c r="D175" s="580">
        <f>+INPUT!BA53</f>
        <v>-42</v>
      </c>
      <c r="E175" s="577">
        <f>+INPUT!BB53</f>
        <v>-2.3255813953488484</v>
      </c>
      <c r="F175" s="580">
        <f>+INPUT!BC53</f>
        <v>-41</v>
      </c>
      <c r="G175" s="577">
        <f>+INPUT!BD53</f>
        <v>17.142857142857153</v>
      </c>
      <c r="H175" s="580">
        <f>+INPUT!BE53</f>
        <v>-50</v>
      </c>
      <c r="I175" s="577">
        <f>+INPUT!BF53</f>
        <v>21.951219512195124</v>
      </c>
      <c r="J175" s="580">
        <f>+INPUT!BG53</f>
        <v>-43</v>
      </c>
      <c r="K175" s="577">
        <f>+INPUT!BH53</f>
        <v>0</v>
      </c>
      <c r="L175" s="580">
        <f>+INPUT!BI53</f>
        <v>-45</v>
      </c>
      <c r="M175" s="577">
        <f>+INPUT!BJ53</f>
        <v>7.1428571428571388</v>
      </c>
      <c r="N175" s="580">
        <f>+INPUT!BK53</f>
        <v>-41</v>
      </c>
      <c r="O175" s="577">
        <f>+INPUT!BL53</f>
        <v>0</v>
      </c>
      <c r="P175" s="580">
        <f>+INPUT!BM53</f>
        <v>-38</v>
      </c>
      <c r="Q175" s="577">
        <f>+INPUT!BN53</f>
        <v>-24</v>
      </c>
      <c r="R175" s="580">
        <f>+INPUT!BO53</f>
        <v>-43</v>
      </c>
      <c r="S175" s="577">
        <f>+INPUT!BP53</f>
        <v>0</v>
      </c>
      <c r="T175" s="580">
        <f>+INPUT!BQ53</f>
        <v>-40</v>
      </c>
      <c r="U175" s="577">
        <f>+INPUT!BR53</f>
        <v>-11.111111111111114</v>
      </c>
      <c r="V175" s="580">
        <f>+INPUT!BS53</f>
        <v>-37</v>
      </c>
      <c r="W175" s="577">
        <f>+INPUT!BT53</f>
        <v>-9.7560975609756042</v>
      </c>
      <c r="X175" s="580">
        <f>+INPUT!BU53</f>
        <v>-40</v>
      </c>
      <c r="Y175" s="577">
        <f>+INPUT!BV53</f>
        <v>5.2631578947368354</v>
      </c>
      <c r="Z175" s="580">
        <f>+INPUT!BW53</f>
        <v>-43</v>
      </c>
      <c r="AA175" s="577">
        <f>+INPUT!BX53</f>
        <v>0</v>
      </c>
      <c r="AB175" s="580">
        <f>+INPUT!BY53</f>
        <v>-37</v>
      </c>
      <c r="AC175" s="577">
        <f>+INPUT!BZ53</f>
        <v>-7.5</v>
      </c>
      <c r="AD175" s="580">
        <f>+INPUT!CA53</f>
        <v>-41</v>
      </c>
      <c r="AE175" s="577">
        <f>+INPUT!CB53</f>
        <v>10.810810810810807</v>
      </c>
      <c r="AF175" s="580">
        <f>+INPUT!CC53</f>
        <v>-39</v>
      </c>
      <c r="AG175" s="577">
        <f>+INPUT!CD53</f>
        <v>-2.5</v>
      </c>
      <c r="AH175" s="580">
        <f>+INPUT!CE53</f>
        <v>-57</v>
      </c>
      <c r="AI175" s="577">
        <f>+INPUT!CF53</f>
        <v>32.558139534883708</v>
      </c>
      <c r="AJ175" s="580">
        <f>+INPUT!CG53</f>
        <v>-80</v>
      </c>
      <c r="AK175" s="577" t="str">
        <f>+INPUT!CH53</f>
        <v>NM</v>
      </c>
      <c r="AL175" s="580">
        <f>+INPUT!CI53</f>
        <v>-62</v>
      </c>
      <c r="AM175" s="577">
        <f>+INPUT!CJ53</f>
        <v>51.219512195121951</v>
      </c>
      <c r="AN175" s="580">
        <f>+INPUT!CK53</f>
        <v>-68</v>
      </c>
      <c r="AO175" s="577">
        <f>+INPUT!CL53</f>
        <v>74.358974358974365</v>
      </c>
      <c r="AP175" s="580">
        <f>+INPUT!CM53</f>
        <v>-67</v>
      </c>
      <c r="AQ175" s="577">
        <f>+INPUT!CN53</f>
        <v>17.543859649122822</v>
      </c>
      <c r="AR175" s="580">
        <f>+INPUT!CO53</f>
        <v>-65</v>
      </c>
      <c r="AS175" s="577">
        <f>+INPUT!CP53</f>
        <v>-18.75</v>
      </c>
      <c r="AT175" s="580">
        <f>+INPUT!CQ53</f>
        <v>-67</v>
      </c>
      <c r="AU175" s="577">
        <f>+INPUT!CR53</f>
        <v>8.0645161290322562</v>
      </c>
      <c r="AV175" s="580">
        <f>+INPUT!CS53</f>
        <v>-77</v>
      </c>
      <c r="AW175" s="577">
        <f>+INPUT!CT53</f>
        <v>13.235294117647058</v>
      </c>
      <c r="AX175" s="580">
        <f>+INPUT!CU53</f>
        <v>-83</v>
      </c>
      <c r="AY175" s="577">
        <f>+INPUT!CV53</f>
        <v>23.880597014925371</v>
      </c>
      <c r="AZ175" s="580">
        <f>+INPUT!CW53</f>
        <v>-62</v>
      </c>
      <c r="BA175" s="577">
        <f>+INPUT!CX53</f>
        <v>-4.6153846153846132</v>
      </c>
      <c r="BB175" s="580">
        <f>+INPUT!CY53</f>
        <v>-68</v>
      </c>
      <c r="BC175" s="577">
        <f>+INPUT!CZ53</f>
        <v>1.4925373134328339</v>
      </c>
      <c r="BD175" s="580">
        <f>+INPUT!DA53</f>
        <v>-68</v>
      </c>
      <c r="BE175" s="577">
        <f>+INPUT!DB53</f>
        <v>-11.688311688311686</v>
      </c>
      <c r="BF175" s="580">
        <f>+INPUT!DC53</f>
        <v>-71</v>
      </c>
      <c r="BG175" s="577">
        <f>+INPUT!DD53</f>
        <v>-14.457831325301214</v>
      </c>
      <c r="BH175" s="580">
        <f>+INPUT!DE53</f>
        <v>-96</v>
      </c>
      <c r="BI175" s="577">
        <f>+INPUT!DF53</f>
        <v>54.838709677419359</v>
      </c>
      <c r="BJ175" s="580">
        <f>+INPUT!DG53</f>
        <v>-83</v>
      </c>
      <c r="BK175" s="577">
        <f>+INPUT!DH53</f>
        <v>22.058823529411768</v>
      </c>
      <c r="BL175" s="580">
        <f>+INPUT!DI53</f>
        <v>-85</v>
      </c>
      <c r="BM175" s="577">
        <f>+INPUT!DJ53</f>
        <v>25</v>
      </c>
      <c r="BN175" s="580">
        <f>+INPUT!DK53</f>
        <v>-71</v>
      </c>
      <c r="BO175" s="577">
        <f>+INPUT!DL53</f>
        <v>0</v>
      </c>
      <c r="BP175" s="580">
        <f>+INPUT!DM53</f>
        <v>-75</v>
      </c>
      <c r="BQ175" s="577">
        <f>+INPUT!DN53</f>
        <v>-21.875</v>
      </c>
      <c r="BR175" s="580">
        <f>+INPUT!DO53</f>
        <v>-109</v>
      </c>
      <c r="BS175" s="577">
        <f>+INPUT!DP53</f>
        <v>31.325301204819255</v>
      </c>
      <c r="BT175" s="580">
        <f>+INPUT!DQ53</f>
        <v>-85</v>
      </c>
      <c r="BU175" s="577">
        <f>+INPUT!DR53</f>
        <v>0</v>
      </c>
      <c r="BV175" s="580">
        <f>+INPUT!DS53</f>
        <v>-88</v>
      </c>
      <c r="BW175" s="577">
        <f>+INPUT!DT53</f>
        <v>23.943661971830977</v>
      </c>
      <c r="BX175" s="580">
        <f>+INPUT!DU53</f>
        <v>-99</v>
      </c>
      <c r="BY175" s="577">
        <f>+INPUT!DV53</f>
        <v>32</v>
      </c>
      <c r="BZ175" s="580">
        <f>+INPUT!DW53</f>
        <v>-91</v>
      </c>
      <c r="CA175" s="577">
        <f>+INPUT!DX53</f>
        <v>-16.513761467889907</v>
      </c>
      <c r="CB175" s="580">
        <f>+INPUT!DY53</f>
        <v>-91</v>
      </c>
      <c r="CC175" s="577">
        <f>+INPUT!DZ53</f>
        <v>7.058823529411768</v>
      </c>
      <c r="CD175" s="580">
        <f>+INPUT!EA53</f>
        <v>-88</v>
      </c>
      <c r="CE175" s="577">
        <f>+INPUT!EB53</f>
        <v>0</v>
      </c>
      <c r="CF175" s="580">
        <f>+INPUT!EC53</f>
        <v>-90</v>
      </c>
      <c r="CG175" s="577">
        <f>+INPUT!ED53</f>
        <v>-9.0909090909090935</v>
      </c>
      <c r="CH175" s="580">
        <f>+INPUT!EE53</f>
        <v>-91</v>
      </c>
      <c r="CI175" s="577">
        <f>+INPUT!EF53</f>
        <v>0</v>
      </c>
      <c r="CJ175" s="580">
        <f>+INPUT!EG53</f>
        <v>-75</v>
      </c>
      <c r="CK175" s="577">
        <f>+INPUT!EH53</f>
        <v>-17.582417582417591</v>
      </c>
      <c r="CL175" s="580">
        <f>+INPUT!EI53</f>
        <v>-84</v>
      </c>
      <c r="CM175" s="577">
        <f>+INPUT!EJ53</f>
        <v>-4.5454545454545467</v>
      </c>
      <c r="CN175" s="580">
        <f>+INPUT!EK53</f>
        <v>-82</v>
      </c>
      <c r="CO175" s="577">
        <f>+INPUT!EL53</f>
        <v>-8.8888888888888857</v>
      </c>
      <c r="CP175" s="580">
        <f>+INPUT!EM53</f>
        <v>-72</v>
      </c>
      <c r="CQ175" s="577">
        <f>+INPUT!EN53</f>
        <v>-20.879120879120876</v>
      </c>
      <c r="CR175" s="580">
        <f>+INPUT!EO53</f>
        <v>-77</v>
      </c>
      <c r="CS175" s="577">
        <f>+INPUT!EP53</f>
        <v>2.6666666666666572</v>
      </c>
      <c r="CT175" s="580">
        <f>+INPUT!EQ53</f>
        <v>-76.559118236472941</v>
      </c>
      <c r="CU175" s="577">
        <f>+INPUT!ER53</f>
        <v>-8.8581925756274558</v>
      </c>
      <c r="CV175" s="580">
        <f>+INPUT!ES53</f>
        <v>-76.231612380214202</v>
      </c>
      <c r="CW175" s="577">
        <f>+INPUT!ET53</f>
        <v>-7.0346190485192608</v>
      </c>
      <c r="CX175" s="580">
        <f>+INPUT!EU53</f>
        <v>-75.917472583619471</v>
      </c>
      <c r="CY175" s="577">
        <f>+INPUT!EV53</f>
        <v>5.4409341439159391</v>
      </c>
      <c r="CZ175" s="580">
        <f>+INPUT!EW53</f>
        <v>-75.61715428571209</v>
      </c>
      <c r="DA175" s="577">
        <f>+INPUT!EX53</f>
        <v>-1.7959035250492406</v>
      </c>
      <c r="DB175" s="587"/>
      <c r="DC175" s="580">
        <f>+INPUT!FP53</f>
        <v>-160</v>
      </c>
      <c r="DD175" s="577">
        <f>+INPUT!FQ53</f>
        <v>-1.8404907975460105</v>
      </c>
      <c r="DE175" s="580">
        <f>+INPUT!FR53</f>
        <v>-176</v>
      </c>
      <c r="DF175" s="577">
        <f>+INPUT!FS53</f>
        <v>10.000000000000014</v>
      </c>
      <c r="DG175" s="580">
        <f>+INPUT!FT53</f>
        <v>-167</v>
      </c>
      <c r="DH175" s="577">
        <f>+INPUT!FU53</f>
        <v>-5.1136363636363598</v>
      </c>
      <c r="DI175" s="580">
        <f>+INPUT!FV53</f>
        <v>-160</v>
      </c>
      <c r="DJ175" s="577">
        <f>+INPUT!FW53</f>
        <v>-4.1916167664670638</v>
      </c>
      <c r="DK175" s="580">
        <f>+INPUT!FX53</f>
        <v>-160</v>
      </c>
      <c r="DL175" s="577">
        <f>+INPUT!FY53</f>
        <v>0</v>
      </c>
      <c r="DM175" s="580">
        <f>+INPUT!FZ53</f>
        <v>-267</v>
      </c>
      <c r="DN175" s="577">
        <f>+INPUT!GA53</f>
        <v>66.875</v>
      </c>
      <c r="DO175" s="580">
        <f>+INPUT!GB53</f>
        <v>-276</v>
      </c>
      <c r="DP175" s="577">
        <f>+INPUT!GC53</f>
        <v>3.3707865168539399</v>
      </c>
      <c r="DQ175" s="580">
        <f>+INPUT!GD53</f>
        <v>-281</v>
      </c>
      <c r="DR175" s="577">
        <f>+INPUT!GE53</f>
        <v>1.8115942028985614</v>
      </c>
      <c r="DS175" s="580">
        <f>+INPUT!GF53</f>
        <v>-335</v>
      </c>
      <c r="DT175" s="577">
        <f>+INPUT!GG53</f>
        <v>19.217081850533816</v>
      </c>
      <c r="DU175" s="580">
        <f>+INPUT!GH53</f>
        <v>-340</v>
      </c>
      <c r="DV175" s="577">
        <f>+INPUT!GI53</f>
        <v>1.4925373134328339</v>
      </c>
      <c r="DW175" s="580">
        <f>+INPUT!GJ53</f>
        <v>-369</v>
      </c>
      <c r="DX175" s="577">
        <f>+INPUT!GK53</f>
        <v>8.5294117647058698</v>
      </c>
      <c r="DY175" s="580">
        <f>+INPUT!GL53</f>
        <v>-344</v>
      </c>
      <c r="DZ175" s="577">
        <f>+INPUT!GM53</f>
        <v>-6.7750677506775077</v>
      </c>
      <c r="EA175" s="580">
        <f>+INPUT!GN53</f>
        <v>-315</v>
      </c>
      <c r="EB175" s="577">
        <f>+INPUT!GO53</f>
        <v>-8.4302325581395365</v>
      </c>
      <c r="EC175" s="580">
        <f>+INPUT!GP53</f>
        <v>-304.32535748601873</v>
      </c>
      <c r="ED175" s="577">
        <f>+INPUT!GQ53</f>
        <v>-3.3887754012638993</v>
      </c>
      <c r="EE175" s="580">
        <f>+INPUT!GR53</f>
        <v>-299.4440870359781</v>
      </c>
      <c r="EF175" s="577">
        <f>+INPUT!GS53</f>
        <v>-1.6039644183330637</v>
      </c>
      <c r="EG175" s="580">
        <f>+INPUT!GT53</f>
        <v>-295.07936818393392</v>
      </c>
      <c r="EH175" s="577">
        <f>+INPUT!GU53</f>
        <v>-1.4576072933174231</v>
      </c>
      <c r="EI175" s="580">
        <f>+INPUT!GV53</f>
        <v>-291.25427295792082</v>
      </c>
      <c r="EJ175" s="577">
        <f>+INPUT!GW53</f>
        <v>-1.296293688560695</v>
      </c>
      <c r="EK175" s="580">
        <f>+INPUT!GX53</f>
        <v>-287.99499377956892</v>
      </c>
      <c r="EL175" s="577">
        <f>+INPUT!GY53</f>
        <v>-1.1190493946239144</v>
      </c>
      <c r="EM175" s="577">
        <f>+INPUT!GZ53</f>
        <v>-1.7766194975185612</v>
      </c>
    </row>
    <row r="176" spans="1:143" ht="12.75" hidden="1" customHeight="1" outlineLevel="1" x14ac:dyDescent="0.2">
      <c r="A176" s="579" t="str">
        <f>+INPUT!B54</f>
        <v xml:space="preserve">  Interest Credited</v>
      </c>
      <c r="B176" s="580">
        <f>+INPUT!AY54</f>
        <v>35</v>
      </c>
      <c r="C176" s="577">
        <f>+INPUT!AZ54</f>
        <v>-23.91304347826086</v>
      </c>
      <c r="D176" s="580">
        <f>+INPUT!BA54</f>
        <v>33</v>
      </c>
      <c r="E176" s="577">
        <f>+INPUT!BB54</f>
        <v>-17.5</v>
      </c>
      <c r="F176" s="580">
        <f>+INPUT!BC54</f>
        <v>27</v>
      </c>
      <c r="G176" s="577">
        <f>+INPUT!BD54</f>
        <v>22.727272727272734</v>
      </c>
      <c r="H176" s="580">
        <f>+INPUT!BE54</f>
        <v>36</v>
      </c>
      <c r="I176" s="577">
        <f>+INPUT!BF54</f>
        <v>-7.6923076923076934</v>
      </c>
      <c r="J176" s="580">
        <f>+INPUT!BG54</f>
        <v>35</v>
      </c>
      <c r="K176" s="577">
        <f>+INPUT!BH54</f>
        <v>0</v>
      </c>
      <c r="L176" s="580">
        <f>+INPUT!BI54</f>
        <v>29</v>
      </c>
      <c r="M176" s="577">
        <f>+INPUT!BJ54</f>
        <v>-12.121212121212125</v>
      </c>
      <c r="N176" s="580">
        <f>+INPUT!BK54</f>
        <v>33</v>
      </c>
      <c r="O176" s="577">
        <f>+INPUT!BL54</f>
        <v>22.222222222222229</v>
      </c>
      <c r="P176" s="580">
        <f>+INPUT!BM54</f>
        <v>27</v>
      </c>
      <c r="Q176" s="577">
        <f>+INPUT!BN54</f>
        <v>-25</v>
      </c>
      <c r="R176" s="580">
        <f>+INPUT!BO54</f>
        <v>32</v>
      </c>
      <c r="S176" s="577">
        <f>+INPUT!BP54</f>
        <v>-8.5714285714285694</v>
      </c>
      <c r="T176" s="580">
        <f>+INPUT!BQ54</f>
        <v>31</v>
      </c>
      <c r="U176" s="577">
        <f>+INPUT!BR54</f>
        <v>6.8965517241379217</v>
      </c>
      <c r="V176" s="580">
        <f>+INPUT!BS54</f>
        <v>32</v>
      </c>
      <c r="W176" s="577">
        <f>+INPUT!BT54</f>
        <v>-3.0303030303030312</v>
      </c>
      <c r="X176" s="580">
        <f>+INPUT!BU54</f>
        <v>32</v>
      </c>
      <c r="Y176" s="577">
        <f>+INPUT!BV54</f>
        <v>18.518518518518505</v>
      </c>
      <c r="Z176" s="580">
        <f>+INPUT!BW54</f>
        <v>33</v>
      </c>
      <c r="AA176" s="577">
        <f>+INPUT!BX54</f>
        <v>3.125</v>
      </c>
      <c r="AB176" s="580">
        <f>+INPUT!BY54</f>
        <v>30</v>
      </c>
      <c r="AC176" s="577">
        <f>+INPUT!BZ54</f>
        <v>-3.2258064516128968</v>
      </c>
      <c r="AD176" s="580">
        <f>+INPUT!CA54</f>
        <v>36</v>
      </c>
      <c r="AE176" s="577">
        <f>+INPUT!CB54</f>
        <v>12.5</v>
      </c>
      <c r="AF176" s="580">
        <f>+INPUT!CC54</f>
        <v>298</v>
      </c>
      <c r="AG176" s="577" t="str">
        <f>+INPUT!CD54</f>
        <v>NM</v>
      </c>
      <c r="AH176" s="580">
        <f>+INPUT!CE54</f>
        <v>363</v>
      </c>
      <c r="AI176" s="577" t="str">
        <f>+INPUT!CF54</f>
        <v>NM</v>
      </c>
      <c r="AJ176" s="580">
        <f>+INPUT!CG54</f>
        <v>153</v>
      </c>
      <c r="AK176" s="577" t="str">
        <f>+INPUT!CH54</f>
        <v>NM</v>
      </c>
      <c r="AL176" s="580">
        <f>+INPUT!CI54</f>
        <v>139</v>
      </c>
      <c r="AM176" s="577" t="str">
        <f>+INPUT!CJ54</f>
        <v>NM</v>
      </c>
      <c r="AN176" s="580">
        <f>+INPUT!CK54</f>
        <v>110</v>
      </c>
      <c r="AO176" s="577" t="str">
        <f>+INPUT!CL54</f>
        <v>NM</v>
      </c>
      <c r="AP176" s="580">
        <f>+INPUT!CM54</f>
        <v>102</v>
      </c>
      <c r="AQ176" s="577" t="str">
        <f>+INPUT!CN54</f>
        <v>NM</v>
      </c>
      <c r="AR176" s="580">
        <f>+INPUT!CO54</f>
        <v>74</v>
      </c>
      <c r="AS176" s="577" t="str">
        <f>+INPUT!CP54</f>
        <v>NM</v>
      </c>
      <c r="AT176" s="580">
        <f>+INPUT!CQ54</f>
        <v>83</v>
      </c>
      <c r="AU176" s="577">
        <f>+INPUT!CR54</f>
        <v>-40.287769784172667</v>
      </c>
      <c r="AV176" s="580">
        <f>+INPUT!CS54</f>
        <v>87</v>
      </c>
      <c r="AW176" s="577">
        <f>+INPUT!CT54</f>
        <v>-20.909090909090907</v>
      </c>
      <c r="AX176" s="580">
        <f>+INPUT!CU54</f>
        <v>96</v>
      </c>
      <c r="AY176" s="577">
        <f>+INPUT!CV54</f>
        <v>-5.8823529411764781</v>
      </c>
      <c r="AZ176" s="580">
        <f>+INPUT!CW54</f>
        <v>73</v>
      </c>
      <c r="BA176" s="577">
        <f>+INPUT!CX54</f>
        <v>-1.3513513513513544</v>
      </c>
      <c r="BB176" s="580">
        <f>+INPUT!CY54</f>
        <v>78</v>
      </c>
      <c r="BC176" s="577">
        <f>+INPUT!CZ54</f>
        <v>-6.0240963855421654</v>
      </c>
      <c r="BD176" s="580">
        <f>+INPUT!DA54</f>
        <v>83</v>
      </c>
      <c r="BE176" s="577">
        <f>+INPUT!DB54</f>
        <v>-4.5977011494252906</v>
      </c>
      <c r="BF176" s="580">
        <f>+INPUT!DC54</f>
        <v>77</v>
      </c>
      <c r="BG176" s="577">
        <f>+INPUT!DD54</f>
        <v>-19.791666666666657</v>
      </c>
      <c r="BH176" s="580">
        <f>+INPUT!DE54</f>
        <v>105</v>
      </c>
      <c r="BI176" s="577">
        <f>+INPUT!DF54</f>
        <v>43.835616438356169</v>
      </c>
      <c r="BJ176" s="580">
        <f>+INPUT!DG54</f>
        <v>91</v>
      </c>
      <c r="BK176" s="577">
        <f>+INPUT!DH54</f>
        <v>16.666666666666671</v>
      </c>
      <c r="BL176" s="580">
        <f>+INPUT!DI54</f>
        <v>98</v>
      </c>
      <c r="BM176" s="577">
        <f>+INPUT!DJ54</f>
        <v>18.07228915662651</v>
      </c>
      <c r="BN176" s="580">
        <f>+INPUT!DK54</f>
        <v>73</v>
      </c>
      <c r="BO176" s="577">
        <f>+INPUT!DL54</f>
        <v>-5.1948051948051983</v>
      </c>
      <c r="BP176" s="580">
        <f>+INPUT!DM54</f>
        <v>78</v>
      </c>
      <c r="BQ176" s="577">
        <f>+INPUT!DN54</f>
        <v>-25.714285714285708</v>
      </c>
      <c r="BR176" s="580">
        <f>+INPUT!DO54</f>
        <v>100</v>
      </c>
      <c r="BS176" s="577">
        <f>+INPUT!DP54</f>
        <v>9.8901098901098976</v>
      </c>
      <c r="BT176" s="580">
        <f>+INPUT!DQ54</f>
        <v>86</v>
      </c>
      <c r="BU176" s="577">
        <f>+INPUT!DR54</f>
        <v>-12.244897959183675</v>
      </c>
      <c r="BV176" s="580">
        <f>+INPUT!DS54</f>
        <v>99</v>
      </c>
      <c r="BW176" s="577">
        <f>+INPUT!DT54</f>
        <v>35.616438356164394</v>
      </c>
      <c r="BX176" s="580">
        <f>+INPUT!DU54</f>
        <v>94</v>
      </c>
      <c r="BY176" s="577">
        <f>+INPUT!DV54</f>
        <v>20.512820512820511</v>
      </c>
      <c r="BZ176" s="580">
        <f>+INPUT!DW54</f>
        <v>94</v>
      </c>
      <c r="CA176" s="577">
        <f>+INPUT!DX54</f>
        <v>-6</v>
      </c>
      <c r="CB176" s="580">
        <f>+INPUT!DY54</f>
        <v>83</v>
      </c>
      <c r="CC176" s="577">
        <f>+INPUT!DZ54</f>
        <v>-3.4883720930232442</v>
      </c>
      <c r="CD176" s="580">
        <f>+INPUT!EA54</f>
        <v>86</v>
      </c>
      <c r="CE176" s="577">
        <f>+INPUT!EB54</f>
        <v>-13.131313131313121</v>
      </c>
      <c r="CF176" s="580">
        <f>+INPUT!EC54</f>
        <v>105</v>
      </c>
      <c r="CG176" s="577">
        <f>+INPUT!ED54</f>
        <v>11.702127659574458</v>
      </c>
      <c r="CH176" s="580">
        <f>+INPUT!EE54</f>
        <v>96</v>
      </c>
      <c r="CI176" s="577">
        <f>+INPUT!EF54</f>
        <v>2.1276595744680833</v>
      </c>
      <c r="CJ176" s="580">
        <f>+INPUT!EG54</f>
        <v>87</v>
      </c>
      <c r="CK176" s="577">
        <f>+INPUT!EH54</f>
        <v>4.8192771084337238</v>
      </c>
      <c r="CL176" s="580">
        <f>+INPUT!EI54</f>
        <v>100</v>
      </c>
      <c r="CM176" s="577">
        <f>+INPUT!EJ54</f>
        <v>16.279069767441868</v>
      </c>
      <c r="CN176" s="580">
        <f>+INPUT!EK54</f>
        <v>96</v>
      </c>
      <c r="CO176" s="577">
        <f>+INPUT!EL54</f>
        <v>-8.5714285714285694</v>
      </c>
      <c r="CP176" s="580">
        <f>+INPUT!EM54</f>
        <v>84</v>
      </c>
      <c r="CQ176" s="577">
        <f>+INPUT!EN54</f>
        <v>-12.5</v>
      </c>
      <c r="CR176" s="580">
        <f>+INPUT!EO54</f>
        <v>83</v>
      </c>
      <c r="CS176" s="577">
        <f>+INPUT!EP54</f>
        <v>-4.5977011494252906</v>
      </c>
      <c r="CT176" s="580">
        <f>+INPUT!EQ54</f>
        <v>82.524763813340954</v>
      </c>
      <c r="CU176" s="577">
        <f>+INPUT!ER54</f>
        <v>-17.475236186659046</v>
      </c>
      <c r="CV176" s="580">
        <f>+INPUT!ES54</f>
        <v>82.17173802023089</v>
      </c>
      <c r="CW176" s="577">
        <f>+INPUT!ET54</f>
        <v>-14.404439562259483</v>
      </c>
      <c r="CX176" s="580">
        <f>+INPUT!EU54</f>
        <v>81.83311979792748</v>
      </c>
      <c r="CY176" s="577">
        <f>+INPUT!EV54</f>
        <v>-2.5796192881815614</v>
      </c>
      <c r="CZ176" s="580">
        <f>+INPUT!EW54</f>
        <v>81.50940007420914</v>
      </c>
      <c r="DA176" s="577">
        <f>+INPUT!EX54</f>
        <v>-1.7959035250492263</v>
      </c>
      <c r="DB176" s="587"/>
      <c r="DC176" s="580">
        <f>+INPUT!FP54</f>
        <v>147</v>
      </c>
      <c r="DD176" s="577">
        <f>+INPUT!FQ54</f>
        <v>-23.03664921465969</v>
      </c>
      <c r="DE176" s="580">
        <f>+INPUT!FR54</f>
        <v>131</v>
      </c>
      <c r="DF176" s="577">
        <f>+INPUT!FS54</f>
        <v>-10.884353741496597</v>
      </c>
      <c r="DG176" s="580">
        <f>+INPUT!FT54</f>
        <v>124</v>
      </c>
      <c r="DH176" s="577">
        <f>+INPUT!FU54</f>
        <v>-5.3435114503816834</v>
      </c>
      <c r="DI176" s="580">
        <f>+INPUT!FV54</f>
        <v>127</v>
      </c>
      <c r="DJ176" s="577">
        <f>+INPUT!FW54</f>
        <v>2.4193548387096797</v>
      </c>
      <c r="DK176" s="580">
        <f>+INPUT!FX54</f>
        <v>397</v>
      </c>
      <c r="DL176" s="577" t="str">
        <f>+INPUT!FY54</f>
        <v>NM</v>
      </c>
      <c r="DM176" s="580">
        <f>+INPUT!FZ54</f>
        <v>765</v>
      </c>
      <c r="DN176" s="577">
        <f>+INPUT!GA54</f>
        <v>92.69521410579344</v>
      </c>
      <c r="DO176" s="580">
        <f>+INPUT!GB54</f>
        <v>346</v>
      </c>
      <c r="DP176" s="577" t="str">
        <f>+INPUT!GC54</f>
        <v>NM</v>
      </c>
      <c r="DQ176" s="580">
        <f>+INPUT!GD54</f>
        <v>330</v>
      </c>
      <c r="DR176" s="577">
        <f>+INPUT!GE54</f>
        <v>-4.6242774566473912</v>
      </c>
      <c r="DS176" s="580">
        <f>+INPUT!GF54</f>
        <v>371</v>
      </c>
      <c r="DT176" s="577">
        <f>+INPUT!GG54</f>
        <v>12.424242424242422</v>
      </c>
      <c r="DU176" s="580">
        <f>+INPUT!GH54</f>
        <v>337</v>
      </c>
      <c r="DV176" s="577">
        <f>+INPUT!GI54</f>
        <v>-9.1644204851752136</v>
      </c>
      <c r="DW176" s="580">
        <f>+INPUT!GJ54</f>
        <v>370</v>
      </c>
      <c r="DX176" s="577">
        <f>+INPUT!GK54</f>
        <v>9.7922848664688331</v>
      </c>
      <c r="DY176" s="580">
        <f>+INPUT!GL54</f>
        <v>374</v>
      </c>
      <c r="DZ176" s="577">
        <f>+INPUT!GM54</f>
        <v>1.0810810810810665</v>
      </c>
      <c r="EA176" s="580">
        <f>+INPUT!GN54</f>
        <v>363</v>
      </c>
      <c r="EB176" s="577">
        <f>+INPUT!GO54</f>
        <v>-2.941176470588232</v>
      </c>
      <c r="EC176" s="580">
        <f>+INPUT!GP54</f>
        <v>328.03902170570848</v>
      </c>
      <c r="ED176" s="577">
        <f>+INPUT!GQ54</f>
        <v>-9.6311234970500124</v>
      </c>
      <c r="EE176" s="580">
        <f>+INPUT!GR54</f>
        <v>322.77739251930103</v>
      </c>
      <c r="EF176" s="577">
        <f>+INPUT!GS54</f>
        <v>-1.6039644183330637</v>
      </c>
      <c r="EG176" s="580">
        <f>+INPUT!GT54</f>
        <v>318.07256570475988</v>
      </c>
      <c r="EH176" s="577">
        <f>+INPUT!GU54</f>
        <v>-1.4576072933174373</v>
      </c>
      <c r="EI176" s="580">
        <f>+INPUT!GV54</f>
        <v>313.94941111048598</v>
      </c>
      <c r="EJ176" s="577">
        <f>+INPUT!GW54</f>
        <v>-1.296293688560695</v>
      </c>
      <c r="EK176" s="580">
        <f>+INPUT!GX54</f>
        <v>310.43616212602876</v>
      </c>
      <c r="EL176" s="577">
        <f>+INPUT!GY54</f>
        <v>-1.1190493946239002</v>
      </c>
      <c r="EM176" s="577">
        <f>+INPUT!GZ54</f>
        <v>-3.0800601068203592</v>
      </c>
    </row>
    <row r="177" spans="1:144" ht="12.75" hidden="1" customHeight="1" outlineLevel="1" x14ac:dyDescent="0.2">
      <c r="A177" s="579" t="str">
        <f>+INPUT!B55</f>
        <v xml:space="preserve">  Policy Charges</v>
      </c>
      <c r="B177" s="580">
        <f>+INPUT!AY55</f>
        <v>-1</v>
      </c>
      <c r="C177" s="577">
        <f>+INPUT!AZ55</f>
        <v>0</v>
      </c>
      <c r="D177" s="580">
        <f>+INPUT!BA55</f>
        <v>-1</v>
      </c>
      <c r="E177" s="577">
        <f>+INPUT!BB55</f>
        <v>-50</v>
      </c>
      <c r="F177" s="580">
        <f>+INPUT!BC55</f>
        <v>-1</v>
      </c>
      <c r="G177" s="577">
        <f>+INPUT!BD55</f>
        <v>0</v>
      </c>
      <c r="H177" s="580">
        <f>+INPUT!BE55</f>
        <v>-1</v>
      </c>
      <c r="I177" s="577">
        <f>+INPUT!BF55</f>
        <v>0</v>
      </c>
      <c r="J177" s="580">
        <f>+INPUT!BG55</f>
        <v>-1</v>
      </c>
      <c r="K177" s="577">
        <f>+INPUT!BH55</f>
        <v>0</v>
      </c>
      <c r="L177" s="580">
        <f>+INPUT!BI55</f>
        <v>-1</v>
      </c>
      <c r="M177" s="577">
        <f>+INPUT!BJ55</f>
        <v>0</v>
      </c>
      <c r="N177" s="580">
        <f>+INPUT!BK55</f>
        <v>-1</v>
      </c>
      <c r="O177" s="577">
        <f>+INPUT!BL55</f>
        <v>0</v>
      </c>
      <c r="P177" s="580">
        <f>+INPUT!BM55</f>
        <v>-1</v>
      </c>
      <c r="Q177" s="577">
        <f>+INPUT!BN55</f>
        <v>0</v>
      </c>
      <c r="R177" s="580">
        <f>+INPUT!BO55</f>
        <v>-1</v>
      </c>
      <c r="S177" s="577">
        <f>+INPUT!BP55</f>
        <v>0</v>
      </c>
      <c r="T177" s="580">
        <f>+INPUT!BQ55</f>
        <v>0</v>
      </c>
      <c r="U177" s="577" t="str">
        <f>+INPUT!BR55</f>
        <v>NM</v>
      </c>
      <c r="V177" s="580">
        <f>+INPUT!BS55</f>
        <v>-2</v>
      </c>
      <c r="W177" s="577">
        <f>+INPUT!BT55</f>
        <v>100</v>
      </c>
      <c r="X177" s="580">
        <f>+INPUT!BU55</f>
        <v>-2</v>
      </c>
      <c r="Y177" s="577">
        <f>+INPUT!BV55</f>
        <v>100</v>
      </c>
      <c r="Z177" s="580">
        <f>+INPUT!BW55</f>
        <v>0</v>
      </c>
      <c r="AA177" s="577" t="str">
        <f>+INPUT!BX55</f>
        <v>NM</v>
      </c>
      <c r="AB177" s="580">
        <f>+INPUT!BY55</f>
        <v>-1</v>
      </c>
      <c r="AC177" s="577" t="str">
        <f>+INPUT!BZ55</f>
        <v>NA</v>
      </c>
      <c r="AD177" s="580">
        <f>+INPUT!CA55</f>
        <v>0</v>
      </c>
      <c r="AE177" s="577" t="str">
        <f>+INPUT!CB55</f>
        <v>NM</v>
      </c>
      <c r="AF177" s="580">
        <f>+INPUT!CC55</f>
        <v>0</v>
      </c>
      <c r="AG177" s="577" t="str">
        <f>+INPUT!CD55</f>
        <v>NM</v>
      </c>
      <c r="AH177" s="580">
        <f>+INPUT!CE55</f>
        <v>-1</v>
      </c>
      <c r="AI177" s="577" t="str">
        <f>+INPUT!CF55</f>
        <v>NA</v>
      </c>
      <c r="AJ177" s="580">
        <f>+INPUT!CG55</f>
        <v>0</v>
      </c>
      <c r="AK177" s="577" t="str">
        <f>+INPUT!CH55</f>
        <v>NM</v>
      </c>
      <c r="AL177" s="580">
        <f>+INPUT!CI55</f>
        <v>0</v>
      </c>
      <c r="AM177" s="577" t="str">
        <f>+INPUT!CJ55</f>
        <v>NA</v>
      </c>
      <c r="AN177" s="580">
        <f>+INPUT!CK55</f>
        <v>0</v>
      </c>
      <c r="AO177" s="577" t="str">
        <f>+INPUT!CL55</f>
        <v>NA</v>
      </c>
      <c r="AP177" s="580">
        <f>+INPUT!CM55</f>
        <v>-1</v>
      </c>
      <c r="AQ177" s="577">
        <f>+INPUT!CN55</f>
        <v>0</v>
      </c>
      <c r="AR177" s="580">
        <f>+INPUT!CO55</f>
        <v>0</v>
      </c>
      <c r="AS177" s="577" t="str">
        <f>+INPUT!CP55</f>
        <v>NA</v>
      </c>
      <c r="AT177" s="580">
        <f>+INPUT!CQ55</f>
        <v>0</v>
      </c>
      <c r="AU177" s="577" t="str">
        <f>+INPUT!CR55</f>
        <v>NA</v>
      </c>
      <c r="AV177" s="580">
        <f>+INPUT!CS55</f>
        <v>0</v>
      </c>
      <c r="AW177" s="577" t="str">
        <f>+INPUT!CT55</f>
        <v>NA</v>
      </c>
      <c r="AX177" s="580">
        <f>+INPUT!CU55</f>
        <v>0</v>
      </c>
      <c r="AY177" s="577" t="str">
        <f>+INPUT!CV55</f>
        <v>NM</v>
      </c>
      <c r="AZ177" s="580">
        <f>+INPUT!CW55</f>
        <v>-1</v>
      </c>
      <c r="BA177" s="577" t="str">
        <f>+INPUT!CX55</f>
        <v>NA</v>
      </c>
      <c r="BB177" s="580">
        <f>+INPUT!CY55</f>
        <v>-1</v>
      </c>
      <c r="BC177" s="577" t="str">
        <f>+INPUT!CZ55</f>
        <v>NA</v>
      </c>
      <c r="BD177" s="580">
        <f>+INPUT!DA55</f>
        <v>0</v>
      </c>
      <c r="BE177" s="577" t="str">
        <f>+INPUT!DB55</f>
        <v>NA</v>
      </c>
      <c r="BF177" s="580">
        <f>+INPUT!DC55</f>
        <v>-1</v>
      </c>
      <c r="BG177" s="577" t="str">
        <f>+INPUT!DD55</f>
        <v>NA</v>
      </c>
      <c r="BH177" s="580">
        <f>+INPUT!DE55</f>
        <v>0</v>
      </c>
      <c r="BI177" s="577" t="str">
        <f>+INPUT!DF55</f>
        <v>NM</v>
      </c>
      <c r="BJ177" s="580">
        <f>+INPUT!DG55</f>
        <v>-2</v>
      </c>
      <c r="BK177" s="577">
        <f>+INPUT!DH55</f>
        <v>100</v>
      </c>
      <c r="BL177" s="580">
        <f>+INPUT!DI55</f>
        <v>0</v>
      </c>
      <c r="BM177" s="577" t="str">
        <f>+INPUT!DJ55</f>
        <v>NA</v>
      </c>
      <c r="BN177" s="580">
        <f>+INPUT!DK55</f>
        <v>-1</v>
      </c>
      <c r="BO177" s="577">
        <f>+INPUT!DL55</f>
        <v>0</v>
      </c>
      <c r="BP177" s="580">
        <f>+INPUT!DM55</f>
        <v>0</v>
      </c>
      <c r="BQ177" s="577" t="str">
        <f>+INPUT!DN55</f>
        <v>NA</v>
      </c>
      <c r="BR177" s="580">
        <f>+INPUT!DO55</f>
        <v>-1</v>
      </c>
      <c r="BS177" s="577">
        <f>+INPUT!DP55</f>
        <v>-50</v>
      </c>
      <c r="BT177" s="580">
        <f>+INPUT!DQ55</f>
        <v>0</v>
      </c>
      <c r="BU177" s="577" t="str">
        <f>+INPUT!DR55</f>
        <v>NA</v>
      </c>
      <c r="BV177" s="580">
        <f>+INPUT!DS55</f>
        <v>0</v>
      </c>
      <c r="BW177" s="577" t="str">
        <f>+INPUT!DT55</f>
        <v>NM</v>
      </c>
      <c r="BX177" s="580">
        <f>+INPUT!DU55</f>
        <v>0</v>
      </c>
      <c r="BY177" s="577" t="str">
        <f>+INPUT!DV55</f>
        <v>NA</v>
      </c>
      <c r="BZ177" s="580">
        <f>+INPUT!DW55</f>
        <v>-1</v>
      </c>
      <c r="CA177" s="577">
        <f>+INPUT!DX55</f>
        <v>0</v>
      </c>
      <c r="CB177" s="580">
        <f>+INPUT!DY55</f>
        <v>-1</v>
      </c>
      <c r="CC177" s="577" t="str">
        <f>+INPUT!DZ55</f>
        <v>NA</v>
      </c>
      <c r="CD177" s="580">
        <f>+INPUT!EA55</f>
        <v>0</v>
      </c>
      <c r="CE177" s="577" t="str">
        <f>+INPUT!EB55</f>
        <v>NA</v>
      </c>
      <c r="CF177" s="580">
        <f>+INPUT!EC55</f>
        <v>-1</v>
      </c>
      <c r="CG177" s="577" t="str">
        <f>+INPUT!ED55</f>
        <v>NA</v>
      </c>
      <c r="CH177" s="580">
        <f>+INPUT!EE55</f>
        <v>0</v>
      </c>
      <c r="CI177" s="577" t="str">
        <f>+INPUT!EF55</f>
        <v>NM</v>
      </c>
      <c r="CJ177" s="580">
        <f>+INPUT!EG55</f>
        <v>0</v>
      </c>
      <c r="CK177" s="577" t="str">
        <f>+INPUT!EH55</f>
        <v>NM</v>
      </c>
      <c r="CL177" s="580">
        <f>+INPUT!EI55</f>
        <v>0</v>
      </c>
      <c r="CM177" s="577" t="str">
        <f>+INPUT!EJ55</f>
        <v>NA</v>
      </c>
      <c r="CN177" s="580">
        <f>+INPUT!EK55</f>
        <v>0</v>
      </c>
      <c r="CO177" s="577" t="str">
        <f>+INPUT!EL55</f>
        <v>NM</v>
      </c>
      <c r="CP177" s="580">
        <f>+INPUT!EM55</f>
        <v>-1</v>
      </c>
      <c r="CQ177" s="577" t="str">
        <f>+INPUT!EN55</f>
        <v>NA</v>
      </c>
      <c r="CR177" s="580">
        <f>+INPUT!EO55</f>
        <v>0</v>
      </c>
      <c r="CS177" s="577" t="str">
        <f>+INPUT!EP55</f>
        <v>NA</v>
      </c>
      <c r="CT177" s="580">
        <f>+INPUT!EQ55</f>
        <v>0</v>
      </c>
      <c r="CU177" s="577" t="str">
        <f>+INPUT!ER55</f>
        <v>NA</v>
      </c>
      <c r="CV177" s="580">
        <f>+INPUT!ES55</f>
        <v>0</v>
      </c>
      <c r="CW177" s="577" t="str">
        <f>+INPUT!ET55</f>
        <v>NA</v>
      </c>
      <c r="CX177" s="580">
        <f>+INPUT!EU55</f>
        <v>0</v>
      </c>
      <c r="CY177" s="577" t="str">
        <f>+INPUT!EV55</f>
        <v>NM</v>
      </c>
      <c r="CZ177" s="580">
        <f>+INPUT!EW55</f>
        <v>0</v>
      </c>
      <c r="DA177" s="577" t="str">
        <f>+INPUT!EX55</f>
        <v>NA</v>
      </c>
      <c r="DB177" s="587"/>
      <c r="DC177" s="580">
        <f>+INPUT!FP55</f>
        <v>-5</v>
      </c>
      <c r="DD177" s="577">
        <f>+INPUT!FQ55</f>
        <v>25</v>
      </c>
      <c r="DE177" s="580">
        <f>+INPUT!FR55</f>
        <v>-4</v>
      </c>
      <c r="DF177" s="577">
        <f>+INPUT!FS55</f>
        <v>-20</v>
      </c>
      <c r="DG177" s="580">
        <f>+INPUT!FT55</f>
        <v>-4</v>
      </c>
      <c r="DH177" s="577">
        <f>+INPUT!FU55</f>
        <v>0</v>
      </c>
      <c r="DI177" s="580">
        <f>+INPUT!FV55</f>
        <v>-5</v>
      </c>
      <c r="DJ177" s="577">
        <f>+INPUT!FW55</f>
        <v>25</v>
      </c>
      <c r="DK177" s="580">
        <f>+INPUT!FX55</f>
        <v>-1</v>
      </c>
      <c r="DL177" s="577" t="str">
        <f>+INPUT!FY55</f>
        <v>NM</v>
      </c>
      <c r="DM177" s="580">
        <f>+INPUT!FZ55</f>
        <v>-1</v>
      </c>
      <c r="DN177" s="577">
        <f>+INPUT!GA55</f>
        <v>0</v>
      </c>
      <c r="DO177" s="580">
        <f>+INPUT!GB55</f>
        <v>-1</v>
      </c>
      <c r="DP177" s="577">
        <f>+INPUT!GC55</f>
        <v>0</v>
      </c>
      <c r="DQ177" s="580">
        <f>+INPUT!GD55</f>
        <v>-2</v>
      </c>
      <c r="DR177" s="577">
        <f>+INPUT!GE55</f>
        <v>100</v>
      </c>
      <c r="DS177" s="580">
        <f>+INPUT!GF55</f>
        <v>-3</v>
      </c>
      <c r="DT177" s="577">
        <f>+INPUT!GG55</f>
        <v>50</v>
      </c>
      <c r="DU177" s="580">
        <f>+INPUT!GH55</f>
        <v>-2</v>
      </c>
      <c r="DV177" s="577">
        <f>+INPUT!GI55</f>
        <v>-33.333333333333343</v>
      </c>
      <c r="DW177" s="580">
        <f>+INPUT!GJ55</f>
        <v>-2</v>
      </c>
      <c r="DX177" s="577">
        <f>+INPUT!GK55</f>
        <v>0</v>
      </c>
      <c r="DY177" s="580">
        <f>+INPUT!GL55</f>
        <v>-1</v>
      </c>
      <c r="DZ177" s="577">
        <f>+INPUT!GM55</f>
        <v>-50</v>
      </c>
      <c r="EA177" s="580">
        <f>+INPUT!GN55</f>
        <v>-1</v>
      </c>
      <c r="EB177" s="577">
        <f>+INPUT!GO55</f>
        <v>0</v>
      </c>
      <c r="EC177" s="580">
        <f>+INPUT!GP55</f>
        <v>0</v>
      </c>
      <c r="ED177" s="577" t="str">
        <f>+INPUT!GQ55</f>
        <v>NM</v>
      </c>
      <c r="EE177" s="580">
        <f>+INPUT!GR55</f>
        <v>0</v>
      </c>
      <c r="EF177" s="577" t="str">
        <f>+INPUT!GS55</f>
        <v>NA</v>
      </c>
      <c r="EG177" s="580">
        <f>+INPUT!GT55</f>
        <v>0</v>
      </c>
      <c r="EH177" s="577" t="str">
        <f>+INPUT!GU55</f>
        <v>NA</v>
      </c>
      <c r="EI177" s="580">
        <f>+INPUT!GV55</f>
        <v>0</v>
      </c>
      <c r="EJ177" s="577" t="str">
        <f>+INPUT!GW55</f>
        <v>NA</v>
      </c>
      <c r="EK177" s="580">
        <f>+INPUT!GX55</f>
        <v>0</v>
      </c>
      <c r="EL177" s="577" t="str">
        <f>+INPUT!GY55</f>
        <v>NA</v>
      </c>
      <c r="EM177" s="577" t="str">
        <f>+INPUT!GZ55</f>
        <v>NM</v>
      </c>
    </row>
    <row r="178" spans="1:144" ht="12.75" hidden="1" customHeight="1" outlineLevel="1" x14ac:dyDescent="0.2">
      <c r="A178" s="579" t="str">
        <f>+INPUT!B56</f>
        <v>Ending Reserves</v>
      </c>
      <c r="B178" s="580">
        <f>+INPUT!AY56</f>
        <v>3941</v>
      </c>
      <c r="C178" s="577">
        <f>+INPUT!AZ56</f>
        <v>1.5983500902294452</v>
      </c>
      <c r="D178" s="580">
        <f>+INPUT!BA56</f>
        <v>3871</v>
      </c>
      <c r="E178" s="577">
        <f>+INPUT!BB56</f>
        <v>-4.7490157480314963</v>
      </c>
      <c r="F178" s="580">
        <f>+INPUT!BC56</f>
        <v>3814</v>
      </c>
      <c r="G178" s="577">
        <f>+INPUT!BD56</f>
        <v>-5.4302008430448723</v>
      </c>
      <c r="H178" s="580">
        <f>+INPUT!BE56</f>
        <v>3748</v>
      </c>
      <c r="I178" s="577">
        <f>+INPUT!BF56</f>
        <v>-6.0886995740415841</v>
      </c>
      <c r="J178" s="580">
        <f>+INPUT!BG56</f>
        <v>3679</v>
      </c>
      <c r="K178" s="577">
        <f>+INPUT!BH56</f>
        <v>-6.6480588683075439</v>
      </c>
      <c r="L178" s="580">
        <f>+INPUT!BI56</f>
        <v>3608</v>
      </c>
      <c r="M178" s="577">
        <f>+INPUT!BJ56</f>
        <v>-6.7941100490829172</v>
      </c>
      <c r="N178" s="580">
        <f>+INPUT!BK56</f>
        <v>3546</v>
      </c>
      <c r="O178" s="577">
        <f>+INPUT!BL56</f>
        <v>-7.0267435762978465</v>
      </c>
      <c r="P178" s="580">
        <f>+INPUT!BM56</f>
        <v>3488</v>
      </c>
      <c r="Q178" s="577">
        <f>+INPUT!BN56</f>
        <v>-6.9370330843116221</v>
      </c>
      <c r="R178" s="580">
        <f>+INPUT!BO56</f>
        <v>3440</v>
      </c>
      <c r="S178" s="577">
        <f>+INPUT!BP56</f>
        <v>-6.4963305245990739</v>
      </c>
      <c r="T178" s="580">
        <f>+INPUT!BQ56</f>
        <v>3394</v>
      </c>
      <c r="U178" s="577">
        <f>+INPUT!BR56</f>
        <v>-5.9312638580931321</v>
      </c>
      <c r="V178" s="580">
        <f>+INPUT!BS56</f>
        <v>3349</v>
      </c>
      <c r="W178" s="577">
        <f>+INPUT!BT56</f>
        <v>-5.5555555555555571</v>
      </c>
      <c r="X178" s="580">
        <f>+INPUT!BU56</f>
        <v>3295</v>
      </c>
      <c r="Y178" s="577">
        <f>+INPUT!BV56</f>
        <v>-5.5332568807339442</v>
      </c>
      <c r="Z178" s="580">
        <f>+INPUT!BW56</f>
        <v>3263</v>
      </c>
      <c r="AA178" s="577">
        <f>+INPUT!BX56</f>
        <v>-5.1453488372093119</v>
      </c>
      <c r="AB178" s="580">
        <f>+INPUT!BY56</f>
        <v>3221</v>
      </c>
      <c r="AC178" s="577">
        <f>+INPUT!BZ56</f>
        <v>-5.0972304065998912</v>
      </c>
      <c r="AD178" s="580">
        <f>+INPUT!CA56</f>
        <v>3213</v>
      </c>
      <c r="AE178" s="577">
        <f>+INPUT!CB56</f>
        <v>-4.0609137055837579</v>
      </c>
      <c r="AF178" s="580">
        <f>+INPUT!CC56</f>
        <v>3452</v>
      </c>
      <c r="AG178" s="577">
        <f>+INPUT!CD56</f>
        <v>4.7647951441578158</v>
      </c>
      <c r="AH178" s="580">
        <f>+INPUT!CE56</f>
        <v>3739</v>
      </c>
      <c r="AI178" s="577">
        <f>+INPUT!CF56</f>
        <v>14.587802635611396</v>
      </c>
      <c r="AJ178" s="580">
        <f>+INPUT!CG56</f>
        <v>3766</v>
      </c>
      <c r="AK178" s="577">
        <f>+INPUT!CH56</f>
        <v>16.920211114560701</v>
      </c>
      <c r="AL178" s="580">
        <f>+INPUT!CI56</f>
        <v>3828</v>
      </c>
      <c r="AM178" s="577">
        <f>+INPUT!CJ56</f>
        <v>19.140989729225026</v>
      </c>
      <c r="AN178" s="580">
        <f>+INPUT!CK56</f>
        <v>3837</v>
      </c>
      <c r="AO178" s="577">
        <f>+INPUT!CL56</f>
        <v>11.152954808806498</v>
      </c>
      <c r="AP178" s="580">
        <f>+INPUT!CM56</f>
        <v>3841</v>
      </c>
      <c r="AQ178" s="577">
        <f>+INPUT!CN56</f>
        <v>2.7280021396095293</v>
      </c>
      <c r="AR178" s="580">
        <f>+INPUT!CO56</f>
        <v>3825</v>
      </c>
      <c r="AS178" s="577">
        <f>+INPUT!CP56</f>
        <v>1.5666489644184765</v>
      </c>
      <c r="AT178" s="580">
        <f>+INPUT!CQ56</f>
        <v>3810</v>
      </c>
      <c r="AU178" s="577">
        <f>+INPUT!CR56</f>
        <v>-0.47021943573668068</v>
      </c>
      <c r="AV178" s="580">
        <f>+INPUT!CS56</f>
        <v>3792</v>
      </c>
      <c r="AW178" s="577">
        <f>+INPUT!CT56</f>
        <v>-1.1727912431587271</v>
      </c>
      <c r="AX178" s="580">
        <f>+INPUT!CU56</f>
        <v>3778</v>
      </c>
      <c r="AY178" s="577">
        <f>+INPUT!CV56</f>
        <v>-1.6401978651392852</v>
      </c>
      <c r="AZ178" s="580">
        <f>+INPUT!CW56</f>
        <v>3768</v>
      </c>
      <c r="BA178" s="577">
        <f>+INPUT!CX56</f>
        <v>-1.4901960784313673</v>
      </c>
      <c r="BB178" s="580">
        <f>+INPUT!CY56</f>
        <v>3756</v>
      </c>
      <c r="BC178" s="577">
        <f>+INPUT!CZ56</f>
        <v>-1.4173228346456739</v>
      </c>
      <c r="BD178" s="580">
        <f>+INPUT!DA56</f>
        <v>3734</v>
      </c>
      <c r="BE178" s="577">
        <f>+INPUT!DB56</f>
        <v>-1.5295358649788966</v>
      </c>
      <c r="BF178" s="580">
        <f>+INPUT!DC56</f>
        <v>3714</v>
      </c>
      <c r="BG178" s="577">
        <f>+INPUT!DD56</f>
        <v>-1.6940179989412485</v>
      </c>
      <c r="BH178" s="580">
        <f>+INPUT!DE56</f>
        <v>3699</v>
      </c>
      <c r="BI178" s="577">
        <f>+INPUT!DF56</f>
        <v>-1.8312101910828034</v>
      </c>
      <c r="BJ178" s="580">
        <f>+INPUT!DG56</f>
        <v>3681</v>
      </c>
      <c r="BK178" s="577">
        <f>+INPUT!DH56</f>
        <v>-1.9968051118210894</v>
      </c>
      <c r="BL178" s="580">
        <f>+INPUT!DI56</f>
        <v>3673</v>
      </c>
      <c r="BM178" s="577">
        <f>+INPUT!DJ56</f>
        <v>-1.6336368505623966</v>
      </c>
      <c r="BN178" s="580">
        <f>+INPUT!DK56</f>
        <v>3656</v>
      </c>
      <c r="BO178" s="577">
        <f>+INPUT!DL56</f>
        <v>-1.5616585891222456</v>
      </c>
      <c r="BP178" s="580">
        <f>+INPUT!DM56</f>
        <v>3638</v>
      </c>
      <c r="BQ178" s="577">
        <f>+INPUT!DN56</f>
        <v>-1.6490943498242814</v>
      </c>
      <c r="BR178" s="580">
        <f>+INPUT!DO56</f>
        <v>3611</v>
      </c>
      <c r="BS178" s="577">
        <f>+INPUT!DP56</f>
        <v>-1.9016571583808712</v>
      </c>
      <c r="BT178" s="580">
        <f>+INPUT!DQ56</f>
        <v>3581</v>
      </c>
      <c r="BU178" s="577">
        <f>+INPUT!DR56</f>
        <v>-2.5047644976858123</v>
      </c>
      <c r="BV178" s="580">
        <f>+INPUT!DS56</f>
        <v>3575</v>
      </c>
      <c r="BW178" s="577">
        <f>+INPUT!DT56</f>
        <v>-2.2155361050328253</v>
      </c>
      <c r="BX178" s="580">
        <f>+INPUT!DU56</f>
        <v>3552</v>
      </c>
      <c r="BY178" s="577">
        <f>+INPUT!DV56</f>
        <v>-2.3639362286970851</v>
      </c>
      <c r="BZ178" s="580">
        <f>+INPUT!DW56</f>
        <v>3532</v>
      </c>
      <c r="CA178" s="577">
        <f>+INPUT!DX56</f>
        <v>-2.1877596233730259</v>
      </c>
      <c r="CB178" s="580">
        <f>+INPUT!DY56</f>
        <v>3504</v>
      </c>
      <c r="CC178" s="577">
        <f>+INPUT!DZ56</f>
        <v>-2.1502373638648322</v>
      </c>
      <c r="CD178" s="580">
        <f>+INPUT!EA56</f>
        <v>3487</v>
      </c>
      <c r="CE178" s="577">
        <f>+INPUT!EB56</f>
        <v>-2.4615384615384528</v>
      </c>
      <c r="CF178" s="580">
        <f>+INPUT!EC56</f>
        <v>3489</v>
      </c>
      <c r="CG178" s="577">
        <f>+INPUT!ED56</f>
        <v>-1.7736486486486456</v>
      </c>
      <c r="CH178" s="580">
        <f>+INPUT!EE56</f>
        <v>3485</v>
      </c>
      <c r="CI178" s="577">
        <f>+INPUT!EF56</f>
        <v>-1.3306908267270643</v>
      </c>
      <c r="CJ178" s="580">
        <f>+INPUT!EG56</f>
        <v>3488</v>
      </c>
      <c r="CK178" s="577">
        <f>+INPUT!EH56</f>
        <v>-0.45662100456621602</v>
      </c>
      <c r="CL178" s="580">
        <f>+INPUT!EI56</f>
        <v>3489</v>
      </c>
      <c r="CM178" s="577">
        <f>+INPUT!EJ56</f>
        <v>5.7355893318032258E-2</v>
      </c>
      <c r="CN178" s="580">
        <f>+INPUT!EK56</f>
        <v>3492</v>
      </c>
      <c r="CO178" s="577">
        <f>+INPUT!EL56</f>
        <v>8.5984522785892636E-2</v>
      </c>
      <c r="CP178" s="580">
        <f>+INPUT!EM56</f>
        <v>3493</v>
      </c>
      <c r="CQ178" s="577">
        <f>+INPUT!EN56</f>
        <v>0.22955523672882805</v>
      </c>
      <c r="CR178" s="580">
        <f>+INPUT!EO56</f>
        <v>3473</v>
      </c>
      <c r="CS178" s="577">
        <f>+INPUT!EP56</f>
        <v>-0.43004587155964202</v>
      </c>
      <c r="CT178" s="580">
        <f>+INPUT!EQ56</f>
        <v>3458.1431434297169</v>
      </c>
      <c r="CU178" s="577">
        <f>+INPUT!ER56</f>
        <v>-0.88440402895622583</v>
      </c>
      <c r="CV178" s="580">
        <f>+INPUT!ES56</f>
        <v>3443.892619929647</v>
      </c>
      <c r="CW178" s="577">
        <f>+INPUT!ET56</f>
        <v>-1.3776454773869631</v>
      </c>
      <c r="CX178" s="580">
        <f>+INPUT!EU56</f>
        <v>3430.2690898700303</v>
      </c>
      <c r="CY178" s="577">
        <f>+INPUT!EV56</f>
        <v>-1.7959035250492406</v>
      </c>
      <c r="CZ178" s="580">
        <f>+INPUT!EW56</f>
        <v>3417.2943157512927</v>
      </c>
      <c r="DA178" s="577">
        <f>+INPUT!EX56</f>
        <v>-1.6039644183330637</v>
      </c>
      <c r="DB178" s="587"/>
      <c r="DC178" s="580">
        <f>+INPUT!FP56</f>
        <v>3991</v>
      </c>
      <c r="DD178" s="577">
        <f>+INPUT!FQ56</f>
        <v>2.8873420984789817</v>
      </c>
      <c r="DE178" s="580">
        <f>+INPUT!FR56</f>
        <v>3748</v>
      </c>
      <c r="DF178" s="577">
        <f>+INPUT!FS56</f>
        <v>-6.0886995740415841</v>
      </c>
      <c r="DG178" s="580">
        <f>+INPUT!FT56</f>
        <v>3488</v>
      </c>
      <c r="DH178" s="577">
        <f>+INPUT!FU56</f>
        <v>-6.9370330843116221</v>
      </c>
      <c r="DI178" s="580">
        <f>+INPUT!FV56</f>
        <v>3295</v>
      </c>
      <c r="DJ178" s="577">
        <f>+INPUT!FW56</f>
        <v>-5.5332568807339442</v>
      </c>
      <c r="DK178" s="580">
        <f>+INPUT!FX56</f>
        <v>3452</v>
      </c>
      <c r="DL178" s="577">
        <f>+INPUT!FY56</f>
        <v>4.7647951441578158</v>
      </c>
      <c r="DM178" s="580">
        <f>+INPUT!FZ56</f>
        <v>3837</v>
      </c>
      <c r="DN178" s="577">
        <f>+INPUT!GA56</f>
        <v>11.152954808806498</v>
      </c>
      <c r="DO178" s="580">
        <f>+INPUT!GB56</f>
        <v>3792</v>
      </c>
      <c r="DP178" s="577">
        <f>+INPUT!GC56</f>
        <v>-1.1727912431587271</v>
      </c>
      <c r="DQ178" s="580">
        <f>+INPUT!GD56</f>
        <v>3734</v>
      </c>
      <c r="DR178" s="577">
        <f>+INPUT!GE56</f>
        <v>-1.5295358649788966</v>
      </c>
      <c r="DS178" s="580">
        <f>+INPUT!GF56</f>
        <v>3673</v>
      </c>
      <c r="DT178" s="577">
        <f>+INPUT!GG56</f>
        <v>-1.6336368505623966</v>
      </c>
      <c r="DU178" s="580">
        <f>+INPUT!GH56</f>
        <v>3581</v>
      </c>
      <c r="DV178" s="577">
        <f>+INPUT!GI56</f>
        <v>-2.5047644976858123</v>
      </c>
      <c r="DW178" s="580">
        <f>+INPUT!GJ56</f>
        <v>3504</v>
      </c>
      <c r="DX178" s="577">
        <f>+INPUT!GK56</f>
        <v>-2.1502373638648322</v>
      </c>
      <c r="DY178" s="580">
        <f>+INPUT!GL56</f>
        <v>3488</v>
      </c>
      <c r="DZ178" s="577">
        <f>+INPUT!GM56</f>
        <v>-0.45662100456621602</v>
      </c>
      <c r="EA178" s="580">
        <f>+INPUT!GN56</f>
        <v>3473</v>
      </c>
      <c r="EB178" s="577">
        <f>+INPUT!GO56</f>
        <v>-0.43004587155964202</v>
      </c>
      <c r="EC178" s="580">
        <f>+INPUT!GP56</f>
        <v>3417.2943157512927</v>
      </c>
      <c r="ED178" s="577">
        <f>+INPUT!GQ56</f>
        <v>-1.6039644183330637</v>
      </c>
      <c r="EE178" s="580">
        <f>+INPUT!GR56</f>
        <v>3367.4835845707803</v>
      </c>
      <c r="EF178" s="577">
        <f>+INPUT!GS56</f>
        <v>-1.4576072933174231</v>
      </c>
      <c r="EG178" s="580">
        <f>+INPUT!GT56</f>
        <v>3323.8311074006715</v>
      </c>
      <c r="EH178" s="577">
        <f>+INPUT!GU56</f>
        <v>-1.296293688560695</v>
      </c>
      <c r="EI178" s="580">
        <f>+INPUT!GV56</f>
        <v>3286.6357955149829</v>
      </c>
      <c r="EJ178" s="577">
        <f>+INPUT!GW56</f>
        <v>-1.1190493946239144</v>
      </c>
      <c r="EK178" s="580">
        <f>+INPUT!GX56</f>
        <v>3256.2354675297329</v>
      </c>
      <c r="EL178" s="577">
        <f>+INPUT!GY56</f>
        <v>-0.92496795740906634</v>
      </c>
      <c r="EM178" s="577">
        <f>+INPUT!GZ56</f>
        <v>-1.2806689450664877</v>
      </c>
    </row>
    <row r="179" spans="1:144" ht="12.75" hidden="1" customHeight="1" outlineLevel="1" x14ac:dyDescent="0.2">
      <c r="A179" s="579" t="str">
        <f>+INPUT!B57</f>
        <v>Average Reserves</v>
      </c>
      <c r="B179" s="580">
        <f>+INPUT!AY57</f>
        <v>3966</v>
      </c>
      <c r="C179" s="577">
        <f>+INPUT!AZ57</f>
        <v>2.2428460943542063</v>
      </c>
      <c r="D179" s="580">
        <f>+INPUT!BA57</f>
        <v>3906</v>
      </c>
      <c r="E179" s="577">
        <f>+INPUT!BB57</f>
        <v>-1.6492509127533594</v>
      </c>
      <c r="F179" s="580">
        <f>+INPUT!BC57</f>
        <v>3842.5</v>
      </c>
      <c r="G179" s="577">
        <f>+INPUT!BD57</f>
        <v>-5.0883043102383567</v>
      </c>
      <c r="H179" s="580">
        <f>+INPUT!BE57</f>
        <v>3781</v>
      </c>
      <c r="I179" s="577">
        <f>+INPUT!BF57</f>
        <v>-5.7577268195413751</v>
      </c>
      <c r="J179" s="580">
        <f>+INPUT!BG57</f>
        <v>3713.5</v>
      </c>
      <c r="K179" s="577">
        <f>+INPUT!BH57</f>
        <v>-6.3666162380231981</v>
      </c>
      <c r="L179" s="580">
        <f>+INPUT!BI57</f>
        <v>3643.5</v>
      </c>
      <c r="M179" s="577">
        <f>+INPUT!BJ57</f>
        <v>-6.7204301075268802</v>
      </c>
      <c r="N179" s="580">
        <f>+INPUT!BK57</f>
        <v>3577</v>
      </c>
      <c r="O179" s="577">
        <f>+INPUT!BL57</f>
        <v>-6.9095640858815983</v>
      </c>
      <c r="P179" s="580">
        <f>+INPUT!BM57</f>
        <v>3517</v>
      </c>
      <c r="Q179" s="577">
        <f>+INPUT!BN57</f>
        <v>-6.9822798201534084</v>
      </c>
      <c r="R179" s="580">
        <f>+INPUT!BO57</f>
        <v>3464</v>
      </c>
      <c r="S179" s="577">
        <f>+INPUT!BP57</f>
        <v>-6.7187289618957777</v>
      </c>
      <c r="T179" s="580">
        <f>+INPUT!BQ57</f>
        <v>3417</v>
      </c>
      <c r="U179" s="577">
        <f>+INPUT!BR57</f>
        <v>-6.2165500205846058</v>
      </c>
      <c r="V179" s="580">
        <f>+INPUT!BS57</f>
        <v>3371.5</v>
      </c>
      <c r="W179" s="577">
        <f>+INPUT!BT57</f>
        <v>-5.745037741123852</v>
      </c>
      <c r="X179" s="580">
        <f>+INPUT!BU57</f>
        <v>3322</v>
      </c>
      <c r="Y179" s="577">
        <f>+INPUT!BV57</f>
        <v>-5.5444981518339489</v>
      </c>
      <c r="Z179" s="580">
        <f>+INPUT!BW57</f>
        <v>3279</v>
      </c>
      <c r="AA179" s="577">
        <f>+INPUT!BX57</f>
        <v>-5.3406466512702053</v>
      </c>
      <c r="AB179" s="580">
        <f>+INPUT!BY57</f>
        <v>3242</v>
      </c>
      <c r="AC179" s="577">
        <f>+INPUT!BZ57</f>
        <v>-5.1214515657009088</v>
      </c>
      <c r="AD179" s="580">
        <f>+INPUT!CA57</f>
        <v>3217</v>
      </c>
      <c r="AE179" s="577">
        <f>+INPUT!CB57</f>
        <v>-4.5825300311434063</v>
      </c>
      <c r="AF179" s="580">
        <f>+INPUT!CC57</f>
        <v>3332.5</v>
      </c>
      <c r="AG179" s="577">
        <f>+INPUT!CD57</f>
        <v>0.31607465382299438</v>
      </c>
      <c r="AH179" s="580">
        <f>+INPUT!CE57</f>
        <v>3595.5</v>
      </c>
      <c r="AI179" s="577">
        <f>+INPUT!CF57</f>
        <v>9.6523330283623068</v>
      </c>
      <c r="AJ179" s="580">
        <f>+INPUT!CG57</f>
        <v>3752.5</v>
      </c>
      <c r="AK179" s="577">
        <f>+INPUT!CH57</f>
        <v>15.746452806909318</v>
      </c>
      <c r="AL179" s="580">
        <f>+INPUT!CI57</f>
        <v>3797</v>
      </c>
      <c r="AM179" s="577">
        <f>+INPUT!CJ57</f>
        <v>18.02921976997203</v>
      </c>
      <c r="AN179" s="580">
        <f>+INPUT!CK57</f>
        <v>3832.5</v>
      </c>
      <c r="AO179" s="577">
        <f>+INPUT!CL57</f>
        <v>15.003750937734424</v>
      </c>
      <c r="AP179" s="580">
        <f>+INPUT!CM57</f>
        <v>3839</v>
      </c>
      <c r="AQ179" s="577">
        <f>+INPUT!CN57</f>
        <v>6.7723543318036548</v>
      </c>
      <c r="AR179" s="580">
        <f>+INPUT!CO57</f>
        <v>3833</v>
      </c>
      <c r="AS179" s="577">
        <f>+INPUT!CP57</f>
        <v>2.1452365089940031</v>
      </c>
      <c r="AT179" s="580">
        <f>+INPUT!CQ57</f>
        <v>3817.5</v>
      </c>
      <c r="AU179" s="577">
        <f>+INPUT!CR57</f>
        <v>0.53989992099026551</v>
      </c>
      <c r="AV179" s="580">
        <f>+INPUT!CS57</f>
        <v>3801</v>
      </c>
      <c r="AW179" s="577">
        <f>+INPUT!CT57</f>
        <v>-0.82191780821916893</v>
      </c>
      <c r="AX179" s="580">
        <f>+INPUT!CU57</f>
        <v>3785</v>
      </c>
      <c r="AY179" s="577">
        <f>+INPUT!CV57</f>
        <v>-1.4066163063297807</v>
      </c>
      <c r="AZ179" s="580">
        <f>+INPUT!CW57</f>
        <v>3773</v>
      </c>
      <c r="BA179" s="577">
        <f>+INPUT!CX57</f>
        <v>-1.5653535090007722</v>
      </c>
      <c r="BB179" s="580">
        <f>+INPUT!CY57</f>
        <v>3762</v>
      </c>
      <c r="BC179" s="577">
        <f>+INPUT!CZ57</f>
        <v>-1.4538310412573736</v>
      </c>
      <c r="BD179" s="580">
        <f>+INPUT!DA57</f>
        <v>3745</v>
      </c>
      <c r="BE179" s="577">
        <f>+INPUT!DB57</f>
        <v>-1.4732965009208101</v>
      </c>
      <c r="BF179" s="580">
        <f>+INPUT!DC57</f>
        <v>3724</v>
      </c>
      <c r="BG179" s="577">
        <f>+INPUT!DD57</f>
        <v>-1.6116248348745046</v>
      </c>
      <c r="BH179" s="580">
        <f>+INPUT!DE57</f>
        <v>3706.5</v>
      </c>
      <c r="BI179" s="577">
        <f>+INPUT!DF57</f>
        <v>-1.7625231910946297</v>
      </c>
      <c r="BJ179" s="580">
        <f>+INPUT!DG57</f>
        <v>3690</v>
      </c>
      <c r="BK179" s="577">
        <f>+INPUT!DH57</f>
        <v>-1.913875598086122</v>
      </c>
      <c r="BL179" s="580">
        <f>+INPUT!DI57</f>
        <v>3677</v>
      </c>
      <c r="BM179" s="577">
        <f>+INPUT!DJ57</f>
        <v>-1.8157543391188256</v>
      </c>
      <c r="BN179" s="580">
        <f>+INPUT!DK57</f>
        <v>3664.5</v>
      </c>
      <c r="BO179" s="577">
        <f>+INPUT!DL57</f>
        <v>-1.5977443609022544</v>
      </c>
      <c r="BP179" s="580">
        <f>+INPUT!DM57</f>
        <v>3647</v>
      </c>
      <c r="BQ179" s="577">
        <f>+INPUT!DN57</f>
        <v>-1.605288007554293</v>
      </c>
      <c r="BR179" s="580">
        <f>+INPUT!DO57</f>
        <v>3624.5</v>
      </c>
      <c r="BS179" s="577">
        <f>+INPUT!DP57</f>
        <v>-1.7750677506775077</v>
      </c>
      <c r="BT179" s="580">
        <f>+INPUT!DQ57</f>
        <v>3596</v>
      </c>
      <c r="BU179" s="577">
        <f>+INPUT!DR57</f>
        <v>-2.2028827848789803</v>
      </c>
      <c r="BV179" s="580">
        <f>+INPUT!DS57</f>
        <v>3578</v>
      </c>
      <c r="BW179" s="577">
        <f>+INPUT!DT57</f>
        <v>-2.3604857415745641</v>
      </c>
      <c r="BX179" s="580">
        <f>+INPUT!DU57</f>
        <v>3563.5</v>
      </c>
      <c r="BY179" s="577">
        <f>+INPUT!DV57</f>
        <v>-2.289553057307387</v>
      </c>
      <c r="BZ179" s="580">
        <f>+INPUT!DW57</f>
        <v>3542</v>
      </c>
      <c r="CA179" s="577">
        <f>+INPUT!DX57</f>
        <v>-2.2761760242792093</v>
      </c>
      <c r="CB179" s="580">
        <f>+INPUT!DY57</f>
        <v>3518</v>
      </c>
      <c r="CC179" s="577">
        <f>+INPUT!DZ57</f>
        <v>-2.169076751946605</v>
      </c>
      <c r="CD179" s="580">
        <f>+INPUT!EA57</f>
        <v>3495.5</v>
      </c>
      <c r="CE179" s="577">
        <f>+INPUT!EB57</f>
        <v>-2.3057574063722797</v>
      </c>
      <c r="CF179" s="580">
        <f>+INPUT!EC57</f>
        <v>3488</v>
      </c>
      <c r="CG179" s="577">
        <f>+INPUT!ED57</f>
        <v>-2.118703521818432</v>
      </c>
      <c r="CH179" s="580">
        <f>+INPUT!EE57</f>
        <v>3487</v>
      </c>
      <c r="CI179" s="577">
        <f>+INPUT!EF57</f>
        <v>-1.5527950310558936</v>
      </c>
      <c r="CJ179" s="580">
        <f>+INPUT!EG57</f>
        <v>3486.5</v>
      </c>
      <c r="CK179" s="577">
        <f>+INPUT!EH57</f>
        <v>-0.89539511085844481</v>
      </c>
      <c r="CL179" s="580">
        <f>+INPUT!EI57</f>
        <v>3488.5</v>
      </c>
      <c r="CM179" s="577">
        <f>+INPUT!EJ57</f>
        <v>-0.20025747389500737</v>
      </c>
      <c r="CN179" s="580">
        <f>+INPUT!EK57</f>
        <v>3490.5</v>
      </c>
      <c r="CO179" s="577">
        <f>+INPUT!EL57</f>
        <v>7.1674311926599898E-2</v>
      </c>
      <c r="CP179" s="580">
        <f>+INPUT!EM57</f>
        <v>3492.5</v>
      </c>
      <c r="CQ179" s="577">
        <f>+INPUT!EN57</f>
        <v>0.15772870662461003</v>
      </c>
      <c r="CR179" s="580">
        <f>+INPUT!EO57</f>
        <v>3483</v>
      </c>
      <c r="CS179" s="577">
        <f>+INPUT!EP57</f>
        <v>-0.10038720780151777</v>
      </c>
      <c r="CT179" s="580">
        <f>+INPUT!EQ57</f>
        <v>3465.5715717148587</v>
      </c>
      <c r="CU179" s="577">
        <f>+INPUT!ER57</f>
        <v>-0.6572575113986403</v>
      </c>
      <c r="CV179" s="580">
        <f>+INPUT!ES57</f>
        <v>3451.017881679682</v>
      </c>
      <c r="CW179" s="577">
        <f>+INPUT!ET57</f>
        <v>-1.1311307354338425</v>
      </c>
      <c r="CX179" s="580">
        <f>+INPUT!EU57</f>
        <v>3437.0808548998384</v>
      </c>
      <c r="CY179" s="577">
        <f>+INPUT!EV57</f>
        <v>-1.586804440949507</v>
      </c>
      <c r="CZ179" s="580">
        <f>+INPUT!EW57</f>
        <v>3423.7817028106615</v>
      </c>
      <c r="DA179" s="577">
        <f>+INPUT!EX57</f>
        <v>-1.7002095087378279</v>
      </c>
      <c r="DB179" s="587"/>
      <c r="DC179" s="580">
        <f>+INPUT!FP57</f>
        <v>3935</v>
      </c>
      <c r="DD179" s="577">
        <f>+INPUT!FQ57</f>
        <v>6.4520492357635675</v>
      </c>
      <c r="DE179" s="580">
        <f>+INPUT!FR57</f>
        <v>3869.5</v>
      </c>
      <c r="DF179" s="577">
        <f>+INPUT!FS57</f>
        <v>-1.6645489199491692</v>
      </c>
      <c r="DG179" s="580">
        <f>+INPUT!FT57</f>
        <v>3618</v>
      </c>
      <c r="DH179" s="577">
        <f>+INPUT!FU57</f>
        <v>-6.4995477451867174</v>
      </c>
      <c r="DI179" s="580">
        <f>+INPUT!FV57</f>
        <v>3391.5</v>
      </c>
      <c r="DJ179" s="577">
        <f>+INPUT!FW57</f>
        <v>-6.2603648424543934</v>
      </c>
      <c r="DK179" s="580">
        <f>+INPUT!FX57</f>
        <v>3373.5</v>
      </c>
      <c r="DL179" s="577">
        <f>+INPUT!FY57</f>
        <v>-0.53073861123397137</v>
      </c>
      <c r="DM179" s="580">
        <f>+INPUT!FZ57</f>
        <v>3644.5</v>
      </c>
      <c r="DN179" s="577">
        <f>+INPUT!GA57</f>
        <v>8.0331999407143826</v>
      </c>
      <c r="DO179" s="580">
        <f>+INPUT!GB57</f>
        <v>3814.5</v>
      </c>
      <c r="DP179" s="577">
        <f>+INPUT!GC57</f>
        <v>4.6645630401975495</v>
      </c>
      <c r="DQ179" s="580">
        <f>+INPUT!GD57</f>
        <v>3763</v>
      </c>
      <c r="DR179" s="577">
        <f>+INPUT!GE57</f>
        <v>-1.350111416961596</v>
      </c>
      <c r="DS179" s="580">
        <f>+INPUT!GF57</f>
        <v>3703.5</v>
      </c>
      <c r="DT179" s="577">
        <f>+INPUT!GG57</f>
        <v>-1.5811852245548863</v>
      </c>
      <c r="DU179" s="580">
        <f>+INPUT!GH57</f>
        <v>3627</v>
      </c>
      <c r="DV179" s="577">
        <f>+INPUT!GI57</f>
        <v>-2.0656136087484782</v>
      </c>
      <c r="DW179" s="580">
        <f>+INPUT!GJ57</f>
        <v>3542.5</v>
      </c>
      <c r="DX179" s="577">
        <f>+INPUT!GK57</f>
        <v>-2.3297491039426603</v>
      </c>
      <c r="DY179" s="580">
        <f>+INPUT!GL57</f>
        <v>3496</v>
      </c>
      <c r="DZ179" s="577">
        <f>+INPUT!GM57</f>
        <v>-1.3126323218066318</v>
      </c>
      <c r="EA179" s="580">
        <f>+INPUT!GN57</f>
        <v>3480.5</v>
      </c>
      <c r="EB179" s="577">
        <f>+INPUT!GO57</f>
        <v>-0.44336384439360188</v>
      </c>
      <c r="EC179" s="580">
        <f>+INPUT!GP57</f>
        <v>3445.1471578756464</v>
      </c>
      <c r="ED179" s="577">
        <f>+INPUT!GQ57</f>
        <v>-1.0157403282388628</v>
      </c>
      <c r="EE179" s="580">
        <f>+INPUT!GR57</f>
        <v>3392.3889501610365</v>
      </c>
      <c r="EF179" s="577">
        <f>+INPUT!GS57</f>
        <v>-1.5313774795948518</v>
      </c>
      <c r="EG179" s="580">
        <f>+INPUT!GT57</f>
        <v>3345.6573459857259</v>
      </c>
      <c r="EH179" s="577">
        <f>+INPUT!GU57</f>
        <v>-1.3775426362325618</v>
      </c>
      <c r="EI179" s="580">
        <f>+INPUT!GV57</f>
        <v>3305.233451457827</v>
      </c>
      <c r="EJ179" s="577">
        <f>+INPUT!GW57</f>
        <v>-1.2082496904950943</v>
      </c>
      <c r="EK179" s="580">
        <f>+INPUT!GX57</f>
        <v>3271.4356315223577</v>
      </c>
      <c r="EL179" s="577">
        <f>+INPUT!GY57</f>
        <v>-1.0225546979310138</v>
      </c>
      <c r="EM179" s="577">
        <f>+INPUT!GZ57</f>
        <v>-1.2312975660839665</v>
      </c>
    </row>
    <row r="180" spans="1:144" ht="12.75" hidden="1" customHeight="1" outlineLevel="1" x14ac:dyDescent="0.2">
      <c r="A180" s="579"/>
      <c r="B180" s="580"/>
      <c r="C180" s="577"/>
      <c r="D180" s="580"/>
      <c r="E180" s="577"/>
      <c r="F180" s="580"/>
      <c r="G180" s="577"/>
      <c r="H180" s="580"/>
      <c r="I180" s="577"/>
      <c r="J180" s="580"/>
      <c r="K180" s="577"/>
      <c r="L180" s="580"/>
      <c r="M180" s="577"/>
      <c r="N180" s="580"/>
      <c r="O180" s="577"/>
      <c r="P180" s="580"/>
      <c r="Q180" s="577"/>
      <c r="R180" s="580"/>
      <c r="S180" s="577"/>
      <c r="T180" s="580"/>
      <c r="U180" s="577"/>
      <c r="V180" s="580"/>
      <c r="W180" s="577"/>
      <c r="X180" s="580"/>
      <c r="Y180" s="577"/>
      <c r="Z180" s="580"/>
      <c r="AA180" s="577"/>
      <c r="AB180" s="580"/>
      <c r="AC180" s="577"/>
      <c r="AD180" s="580"/>
      <c r="AE180" s="577"/>
      <c r="AF180" s="580"/>
      <c r="AG180" s="577"/>
      <c r="AH180" s="580"/>
      <c r="AI180" s="577"/>
      <c r="AJ180" s="580"/>
      <c r="AK180" s="577"/>
      <c r="AL180" s="580"/>
      <c r="AM180" s="577"/>
      <c r="AN180" s="580"/>
      <c r="AO180" s="577"/>
      <c r="AP180" s="580"/>
      <c r="AQ180" s="577"/>
      <c r="AR180" s="580"/>
      <c r="AS180" s="577"/>
      <c r="AT180" s="580"/>
      <c r="AU180" s="577"/>
      <c r="AV180" s="580"/>
      <c r="AW180" s="577"/>
      <c r="AX180" s="580"/>
      <c r="AY180" s="577"/>
      <c r="AZ180" s="580"/>
      <c r="BA180" s="577"/>
      <c r="BB180" s="580"/>
      <c r="BC180" s="577"/>
      <c r="BD180" s="580"/>
      <c r="BE180" s="577"/>
      <c r="BF180" s="580"/>
      <c r="BG180" s="577"/>
      <c r="BH180" s="580"/>
      <c r="BI180" s="577"/>
      <c r="BJ180" s="580"/>
      <c r="BK180" s="577"/>
      <c r="BL180" s="580"/>
      <c r="BM180" s="577"/>
      <c r="BN180" s="580"/>
      <c r="BO180" s="577"/>
      <c r="BP180" s="580"/>
      <c r="BQ180" s="577"/>
      <c r="BR180" s="580"/>
      <c r="BS180" s="577"/>
      <c r="BT180" s="580"/>
      <c r="BU180" s="577"/>
      <c r="BV180" s="580"/>
      <c r="BW180" s="577"/>
      <c r="BX180" s="580"/>
      <c r="BY180" s="577"/>
      <c r="BZ180" s="580"/>
      <c r="CA180" s="577"/>
      <c r="CB180" s="580"/>
      <c r="CC180" s="577"/>
      <c r="CD180" s="580"/>
      <c r="CE180" s="577"/>
      <c r="CF180" s="580"/>
      <c r="CG180" s="577"/>
      <c r="CH180" s="580"/>
      <c r="CI180" s="577"/>
      <c r="CJ180" s="580"/>
      <c r="CK180" s="577"/>
      <c r="CL180" s="580"/>
      <c r="CM180" s="577"/>
      <c r="CN180" s="580"/>
      <c r="CO180" s="577"/>
      <c r="CP180" s="580"/>
      <c r="CQ180" s="577"/>
      <c r="CR180" s="580"/>
      <c r="CS180" s="577"/>
      <c r="CT180" s="580"/>
      <c r="CU180" s="577"/>
      <c r="CV180" s="580"/>
      <c r="CW180" s="577"/>
      <c r="CX180" s="580"/>
      <c r="CY180" s="577"/>
      <c r="CZ180" s="580"/>
      <c r="DA180" s="577"/>
      <c r="DB180" s="587"/>
      <c r="DC180" s="580"/>
      <c r="DD180" s="577"/>
      <c r="DE180" s="580"/>
      <c r="DF180" s="577"/>
      <c r="DG180" s="580"/>
      <c r="DH180" s="577"/>
      <c r="DI180" s="580"/>
      <c r="DJ180" s="577"/>
      <c r="DK180" s="580"/>
      <c r="DL180" s="577"/>
      <c r="DM180" s="580"/>
      <c r="DN180" s="577"/>
      <c r="DO180" s="580"/>
      <c r="DP180" s="577"/>
      <c r="DQ180" s="580"/>
      <c r="DR180" s="577"/>
      <c r="DS180" s="580"/>
      <c r="DT180" s="577"/>
      <c r="DU180" s="580"/>
      <c r="DV180" s="577"/>
      <c r="DW180" s="580"/>
      <c r="DX180" s="577"/>
      <c r="DY180" s="580"/>
      <c r="DZ180" s="577"/>
      <c r="EA180" s="580"/>
      <c r="EB180" s="577"/>
      <c r="EC180" s="580"/>
      <c r="ED180" s="577"/>
      <c r="EE180" s="580"/>
      <c r="EF180" s="577"/>
      <c r="EG180" s="580"/>
      <c r="EH180" s="577"/>
      <c r="EI180" s="580"/>
      <c r="EJ180" s="577"/>
      <c r="EK180" s="580"/>
      <c r="EL180" s="577"/>
      <c r="EM180" s="577"/>
    </row>
    <row r="181" spans="1:144" ht="12.75" hidden="1" customHeight="1" outlineLevel="1" x14ac:dyDescent="0.2">
      <c r="A181" s="575" t="s">
        <v>355</v>
      </c>
      <c r="B181" s="580"/>
      <c r="C181" s="577"/>
      <c r="D181" s="580"/>
      <c r="E181" s="577"/>
      <c r="F181" s="580"/>
      <c r="G181" s="577"/>
      <c r="H181" s="580"/>
      <c r="I181" s="577"/>
      <c r="J181" s="580"/>
      <c r="K181" s="577"/>
      <c r="L181" s="580"/>
      <c r="M181" s="577"/>
      <c r="N181" s="580"/>
      <c r="O181" s="577"/>
      <c r="P181" s="580"/>
      <c r="Q181" s="577"/>
      <c r="R181" s="580"/>
      <c r="S181" s="577"/>
      <c r="T181" s="580"/>
      <c r="U181" s="577"/>
      <c r="V181" s="580"/>
      <c r="W181" s="577"/>
      <c r="X181" s="580"/>
      <c r="Y181" s="577"/>
      <c r="Z181" s="580"/>
      <c r="AA181" s="577"/>
      <c r="AB181" s="580"/>
      <c r="AC181" s="577"/>
      <c r="AD181" s="580"/>
      <c r="AE181" s="577"/>
      <c r="AF181" s="580"/>
      <c r="AG181" s="577"/>
      <c r="AH181" s="580"/>
      <c r="AI181" s="577"/>
      <c r="AJ181" s="580"/>
      <c r="AK181" s="577"/>
      <c r="AL181" s="580"/>
      <c r="AM181" s="577"/>
      <c r="AN181" s="580"/>
      <c r="AO181" s="577"/>
      <c r="AP181" s="580"/>
      <c r="AQ181" s="577"/>
      <c r="AR181" s="580"/>
      <c r="AS181" s="577"/>
      <c r="AT181" s="580"/>
      <c r="AU181" s="577"/>
      <c r="AV181" s="580"/>
      <c r="AW181" s="577"/>
      <c r="AX181" s="580"/>
      <c r="AY181" s="577"/>
      <c r="AZ181" s="580"/>
      <c r="BA181" s="577"/>
      <c r="BB181" s="580"/>
      <c r="BC181" s="577"/>
      <c r="BD181" s="580"/>
      <c r="BE181" s="577"/>
      <c r="BF181" s="580"/>
      <c r="BG181" s="577"/>
      <c r="BH181" s="580"/>
      <c r="BI181" s="577"/>
      <c r="BJ181" s="580"/>
      <c r="BK181" s="577"/>
      <c r="BL181" s="580"/>
      <c r="BM181" s="577"/>
      <c r="BN181" s="580"/>
      <c r="BO181" s="577"/>
      <c r="BP181" s="580"/>
      <c r="BQ181" s="577"/>
      <c r="BR181" s="580"/>
      <c r="BS181" s="577"/>
      <c r="BT181" s="580"/>
      <c r="BU181" s="577"/>
      <c r="BV181" s="580"/>
      <c r="BW181" s="577"/>
      <c r="BX181" s="580"/>
      <c r="BY181" s="577"/>
      <c r="BZ181" s="580"/>
      <c r="CA181" s="577"/>
      <c r="CB181" s="580"/>
      <c r="CC181" s="577"/>
      <c r="CD181" s="580"/>
      <c r="CE181" s="577"/>
      <c r="CF181" s="580"/>
      <c r="CG181" s="577"/>
      <c r="CH181" s="580"/>
      <c r="CI181" s="577"/>
      <c r="CJ181" s="580"/>
      <c r="CK181" s="577"/>
      <c r="CL181" s="580"/>
      <c r="CM181" s="577"/>
      <c r="CN181" s="580"/>
      <c r="CO181" s="577"/>
      <c r="CP181" s="580"/>
      <c r="CQ181" s="577"/>
      <c r="CR181" s="580"/>
      <c r="CS181" s="577"/>
      <c r="CT181" s="580"/>
      <c r="CU181" s="577"/>
      <c r="CV181" s="580"/>
      <c r="CW181" s="577"/>
      <c r="CX181" s="580"/>
      <c r="CY181" s="577"/>
      <c r="CZ181" s="580"/>
      <c r="DA181" s="577"/>
      <c r="DB181" s="587"/>
      <c r="DC181" s="580"/>
      <c r="DD181" s="577"/>
      <c r="DE181" s="580"/>
      <c r="DF181" s="577"/>
      <c r="DG181" s="580"/>
      <c r="DH181" s="577"/>
      <c r="DI181" s="580"/>
      <c r="DJ181" s="577"/>
      <c r="DK181" s="580"/>
      <c r="DL181" s="577"/>
      <c r="DM181" s="580"/>
      <c r="DN181" s="577"/>
      <c r="DO181" s="580"/>
      <c r="DP181" s="577"/>
      <c r="DQ181" s="580"/>
      <c r="DR181" s="577"/>
      <c r="DS181" s="580"/>
      <c r="DT181" s="577"/>
      <c r="DU181" s="580"/>
      <c r="DV181" s="577"/>
      <c r="DW181" s="580"/>
      <c r="DX181" s="577"/>
      <c r="DY181" s="580"/>
      <c r="DZ181" s="577"/>
      <c r="EA181" s="580"/>
      <c r="EB181" s="577"/>
      <c r="EC181" s="580"/>
      <c r="ED181" s="577"/>
      <c r="EE181" s="580"/>
      <c r="EF181" s="577"/>
      <c r="EG181" s="580"/>
      <c r="EH181" s="577"/>
      <c r="EI181" s="580"/>
      <c r="EJ181" s="577"/>
      <c r="EK181" s="580"/>
      <c r="EL181" s="577"/>
      <c r="EM181" s="577"/>
    </row>
    <row r="182" spans="1:144" ht="12.75" hidden="1" customHeight="1" outlineLevel="1" x14ac:dyDescent="0.2">
      <c r="A182" s="579" t="str">
        <f>+INPUT!B59</f>
        <v>Fixed Annuity Net Flows</v>
      </c>
      <c r="B182" s="580">
        <f>+INPUT!AY59</f>
        <v>-41</v>
      </c>
      <c r="C182" s="577" t="str">
        <f>+INPUT!AZ59</f>
        <v>NM</v>
      </c>
      <c r="D182" s="580">
        <f>+INPUT!BA59</f>
        <v>-60</v>
      </c>
      <c r="E182" s="577" t="str">
        <f>+INPUT!BB59</f>
        <v>NM</v>
      </c>
      <c r="F182" s="580">
        <f>+INPUT!BC59</f>
        <v>-42</v>
      </c>
      <c r="G182" s="577" t="str">
        <f>+INPUT!BD59</f>
        <v>NM</v>
      </c>
      <c r="H182" s="580">
        <f>+INPUT!BE59</f>
        <v>-51</v>
      </c>
      <c r="I182" s="577">
        <f>+INPUT!BF59</f>
        <v>30.769230769230774</v>
      </c>
      <c r="J182" s="580">
        <f>+INPUT!BG59</f>
        <v>-60</v>
      </c>
      <c r="K182" s="577">
        <f>+INPUT!BH59</f>
        <v>46.341463414634148</v>
      </c>
      <c r="L182" s="580">
        <f>+INPUT!BI59</f>
        <v>-54</v>
      </c>
      <c r="M182" s="577">
        <f>+INPUT!BJ59</f>
        <v>-10</v>
      </c>
      <c r="N182" s="580">
        <f>+INPUT!BK59</f>
        <v>-53</v>
      </c>
      <c r="O182" s="577">
        <f>+INPUT!BL59</f>
        <v>26.19047619047619</v>
      </c>
      <c r="P182" s="580">
        <f>+INPUT!BM59</f>
        <v>-46</v>
      </c>
      <c r="Q182" s="577">
        <f>+INPUT!BN59</f>
        <v>-9.8039215686274446</v>
      </c>
      <c r="R182" s="580">
        <f>+INPUT!BO59</f>
        <v>-36</v>
      </c>
      <c r="S182" s="577">
        <f>+INPUT!BP59</f>
        <v>-40</v>
      </c>
      <c r="T182" s="580">
        <f>+INPUT!BQ59</f>
        <v>-37</v>
      </c>
      <c r="U182" s="577">
        <f>+INPUT!BR59</f>
        <v>-31.481481481481481</v>
      </c>
      <c r="V182" s="580">
        <f>+INPUT!BS59</f>
        <v>-38</v>
      </c>
      <c r="W182" s="577">
        <f>+INPUT!BT59</f>
        <v>-28.301886792452834</v>
      </c>
      <c r="X182" s="580">
        <f>+INPUT!BU59</f>
        <v>-44</v>
      </c>
      <c r="Y182" s="577">
        <f>+INPUT!BV59</f>
        <v>-4.3478260869565162</v>
      </c>
      <c r="Z182" s="580">
        <f>+INPUT!BW59</f>
        <v>-22</v>
      </c>
      <c r="AA182" s="577">
        <f>+INPUT!BX59</f>
        <v>-38.888888888888886</v>
      </c>
      <c r="AB182" s="580">
        <f>+INPUT!BY59</f>
        <v>-34</v>
      </c>
      <c r="AC182" s="577">
        <f>+INPUT!BZ59</f>
        <v>-8.1081081081080981</v>
      </c>
      <c r="AD182" s="580">
        <f>+INPUT!CA59</f>
        <v>-3</v>
      </c>
      <c r="AE182" s="577" t="str">
        <f>+INPUT!CB59</f>
        <v>NM</v>
      </c>
      <c r="AF182" s="580">
        <f>+INPUT!CC59</f>
        <v>-20</v>
      </c>
      <c r="AG182" s="577" t="str">
        <f>+INPUT!CD59</f>
        <v>NM</v>
      </c>
      <c r="AH182" s="580">
        <f>+INPUT!CE59</f>
        <v>-18</v>
      </c>
      <c r="AI182" s="577">
        <f>+INPUT!CF59</f>
        <v>-18.181818181818173</v>
      </c>
      <c r="AJ182" s="580">
        <f>+INPUT!CG59</f>
        <v>-46</v>
      </c>
      <c r="AK182" s="577">
        <f>+INPUT!CH59</f>
        <v>35.29411764705884</v>
      </c>
      <c r="AL182" s="580">
        <f>+INPUT!CI59</f>
        <v>-15</v>
      </c>
      <c r="AM182" s="577" t="str">
        <f>+INPUT!CJ59</f>
        <v>NM</v>
      </c>
      <c r="AN182" s="580">
        <f>+INPUT!CK59</f>
        <v>-33</v>
      </c>
      <c r="AO182" s="577">
        <f>+INPUT!CL59</f>
        <v>65</v>
      </c>
      <c r="AP182" s="580">
        <f>+INPUT!CM59</f>
        <v>-30</v>
      </c>
      <c r="AQ182" s="577">
        <f>+INPUT!CN59</f>
        <v>66.666666666666686</v>
      </c>
      <c r="AR182" s="580">
        <f>+INPUT!CO59</f>
        <v>-25</v>
      </c>
      <c r="AS182" s="577">
        <f>+INPUT!CP59</f>
        <v>-45.652173913043484</v>
      </c>
      <c r="AT182" s="580">
        <f>+INPUT!CQ59</f>
        <v>-31</v>
      </c>
      <c r="AU182" s="577" t="str">
        <f>+INPUT!CR59</f>
        <v>NM</v>
      </c>
      <c r="AV182" s="580">
        <f>+INPUT!CS59</f>
        <v>-28</v>
      </c>
      <c r="AW182" s="577">
        <f>+INPUT!CT59</f>
        <v>-15.151515151515156</v>
      </c>
      <c r="AX182" s="580">
        <f>+INPUT!CU59</f>
        <v>-27</v>
      </c>
      <c r="AY182" s="577">
        <f>+INPUT!CV59</f>
        <v>-10</v>
      </c>
      <c r="AZ182" s="580">
        <f>+INPUT!CW59</f>
        <v>-20</v>
      </c>
      <c r="BA182" s="577">
        <f>+INPUT!CX59</f>
        <v>-20</v>
      </c>
      <c r="BB182" s="580">
        <f>+INPUT!CY59</f>
        <v>-21</v>
      </c>
      <c r="BC182" s="577">
        <f>+INPUT!CZ59</f>
        <v>-32.258064516129039</v>
      </c>
      <c r="BD182" s="580">
        <f>+INPUT!DA59</f>
        <v>-37</v>
      </c>
      <c r="BE182" s="577">
        <f>+INPUT!DB59</f>
        <v>32.142857142857139</v>
      </c>
      <c r="BF182" s="580">
        <f>+INPUT!DC59</f>
        <v>-25</v>
      </c>
      <c r="BG182" s="577">
        <f>+INPUT!DD59</f>
        <v>-7.4074074074074048</v>
      </c>
      <c r="BH182" s="580">
        <f>+INPUT!DE59</f>
        <v>-24</v>
      </c>
      <c r="BI182" s="577">
        <f>+INPUT!DF59</f>
        <v>20</v>
      </c>
      <c r="BJ182" s="580">
        <f>+INPUT!DG59</f>
        <v>-24</v>
      </c>
      <c r="BK182" s="577">
        <f>+INPUT!DH59</f>
        <v>14.285714285714278</v>
      </c>
      <c r="BL182" s="580">
        <f>+INPUT!DI59</f>
        <v>-21</v>
      </c>
      <c r="BM182" s="577">
        <f>+INPUT!DJ59</f>
        <v>-43.243243243243242</v>
      </c>
      <c r="BN182" s="580">
        <f>+INPUT!DK59</f>
        <v>-18</v>
      </c>
      <c r="BO182" s="577">
        <f>+INPUT!DL59</f>
        <v>-28</v>
      </c>
      <c r="BP182" s="580">
        <f>+INPUT!DM59</f>
        <v>-21</v>
      </c>
      <c r="BQ182" s="577">
        <f>+INPUT!DN59</f>
        <v>-12.5</v>
      </c>
      <c r="BR182" s="580">
        <f>+INPUT!DO59</f>
        <v>-17</v>
      </c>
      <c r="BS182" s="577">
        <f>+INPUT!DP59</f>
        <v>-29.166666666666657</v>
      </c>
      <c r="BT182" s="580">
        <f>+INPUT!DQ59</f>
        <v>-31</v>
      </c>
      <c r="BU182" s="577">
        <f>+INPUT!DR59</f>
        <v>47.61904761904762</v>
      </c>
      <c r="BV182" s="580">
        <f>+INPUT!DS59</f>
        <v>-17</v>
      </c>
      <c r="BW182" s="577">
        <f>+INPUT!DT59</f>
        <v>-5.5555555555555571</v>
      </c>
      <c r="BX182" s="580">
        <f>+INPUT!DU59</f>
        <v>-18</v>
      </c>
      <c r="BY182" s="577">
        <f>+INPUT!DV59</f>
        <v>-14.285714285714292</v>
      </c>
      <c r="BZ182" s="580">
        <f>+INPUT!DW59</f>
        <v>-22</v>
      </c>
      <c r="CA182" s="577">
        <f>+INPUT!DX59</f>
        <v>29.411764705882348</v>
      </c>
      <c r="CB182" s="580">
        <f>+INPUT!DY59</f>
        <v>-19</v>
      </c>
      <c r="CC182" s="577">
        <f>+INPUT!DZ59</f>
        <v>-38.70967741935484</v>
      </c>
      <c r="CD182" s="580">
        <f>+INPUT!EA59</f>
        <v>-15</v>
      </c>
      <c r="CE182" s="577">
        <f>+INPUT!EB59</f>
        <v>-11.764705882352942</v>
      </c>
      <c r="CF182" s="580">
        <f>+INPUT!EC59</f>
        <v>-12</v>
      </c>
      <c r="CG182" s="577">
        <f>+INPUT!ED59</f>
        <v>-33.333333333333343</v>
      </c>
      <c r="CH182" s="580">
        <f>+INPUT!EE59</f>
        <v>-9</v>
      </c>
      <c r="CI182" s="577" t="str">
        <f>+INPUT!EF59</f>
        <v>NM</v>
      </c>
      <c r="CJ182" s="580">
        <f>+INPUT!EG59</f>
        <v>-9</v>
      </c>
      <c r="CK182" s="577" t="str">
        <f>+INPUT!EH59</f>
        <v>NM</v>
      </c>
      <c r="CL182" s="580">
        <f>+INPUT!EI59</f>
        <v>-15</v>
      </c>
      <c r="CM182" s="577">
        <f>+INPUT!EJ59</f>
        <v>0</v>
      </c>
      <c r="CN182" s="580">
        <f>+INPUT!EK59</f>
        <v>-11</v>
      </c>
      <c r="CO182" s="577">
        <f>+INPUT!EL59</f>
        <v>-8.3333333333333428</v>
      </c>
      <c r="CP182" s="580">
        <f>+INPUT!EM59</f>
        <v>-10</v>
      </c>
      <c r="CQ182" s="577">
        <f>+INPUT!EN59</f>
        <v>11.111111111111114</v>
      </c>
      <c r="CR182" s="580">
        <f>+INPUT!EO59</f>
        <v>-26</v>
      </c>
      <c r="CS182" s="577" t="str">
        <f>+INPUT!EP59</f>
        <v>NM</v>
      </c>
      <c r="CT182" s="580">
        <f>+INPUT!EQ59</f>
        <v>-20.822502147151443</v>
      </c>
      <c r="CU182" s="577">
        <f>+INPUT!ER59</f>
        <v>38.816680981009597</v>
      </c>
      <c r="CV182" s="580">
        <f>+INPUT!ES59</f>
        <v>-20.190649140086233</v>
      </c>
      <c r="CW182" s="577">
        <f>+INPUT!ET59</f>
        <v>83.55135581896576</v>
      </c>
      <c r="CX182" s="580">
        <f>+INPUT!EU59</f>
        <v>-19.539177273924722</v>
      </c>
      <c r="CY182" s="577">
        <f>+INPUT!EV59</f>
        <v>95.391772739247216</v>
      </c>
      <c r="CZ182" s="580">
        <f>+INPUT!EW59</f>
        <v>-18.867019907234734</v>
      </c>
      <c r="DA182" s="577">
        <f>+INPUT!EX59</f>
        <v>-27.434538818327951</v>
      </c>
      <c r="DB182" s="587"/>
      <c r="DC182" s="580">
        <f>+INPUT!FP59</f>
        <v>130</v>
      </c>
      <c r="DD182" s="577" t="str">
        <f>+INPUT!FQ59</f>
        <v>NM</v>
      </c>
      <c r="DE182" s="580">
        <f>+INPUT!FR59</f>
        <v>-194</v>
      </c>
      <c r="DF182" s="577" t="str">
        <f>+INPUT!FS59</f>
        <v>NM</v>
      </c>
      <c r="DG182" s="580">
        <f>+INPUT!FT59</f>
        <v>-213</v>
      </c>
      <c r="DH182" s="577">
        <f>+INPUT!FU59</f>
        <v>9.7938144329897057</v>
      </c>
      <c r="DI182" s="580">
        <f>+INPUT!FV59</f>
        <v>-155</v>
      </c>
      <c r="DJ182" s="577">
        <f>+INPUT!FW59</f>
        <v>-27.230046948356815</v>
      </c>
      <c r="DK182" s="580">
        <f>+INPUT!FX59</f>
        <v>-79</v>
      </c>
      <c r="DL182" s="577">
        <f>+INPUT!FY59</f>
        <v>-49.032258064516135</v>
      </c>
      <c r="DM182" s="580">
        <f>+INPUT!FZ59</f>
        <v>-112</v>
      </c>
      <c r="DN182" s="577">
        <f>+INPUT!GA59</f>
        <v>41.772151898734165</v>
      </c>
      <c r="DO182" s="580">
        <f>+INPUT!GB59</f>
        <v>-114</v>
      </c>
      <c r="DP182" s="577">
        <f>+INPUT!GC59</f>
        <v>1.7857142857142776</v>
      </c>
      <c r="DQ182" s="580">
        <f>+INPUT!GD59</f>
        <v>-105</v>
      </c>
      <c r="DR182" s="577">
        <f>+INPUT!GE59</f>
        <v>-7.8947368421052602</v>
      </c>
      <c r="DS182" s="580">
        <f>+INPUT!GF59</f>
        <v>-94</v>
      </c>
      <c r="DT182" s="577">
        <f>+INPUT!GG59</f>
        <v>-10.476190476190467</v>
      </c>
      <c r="DU182" s="580">
        <f>+INPUT!GH59</f>
        <v>-87</v>
      </c>
      <c r="DV182" s="577">
        <f>+INPUT!GI59</f>
        <v>-7.4468085106383057</v>
      </c>
      <c r="DW182" s="580">
        <f>+INPUT!GJ59</f>
        <v>-76</v>
      </c>
      <c r="DX182" s="577">
        <f>+INPUT!GK59</f>
        <v>-12.643678160919535</v>
      </c>
      <c r="DY182" s="580">
        <f>+INPUT!GL59</f>
        <v>-45</v>
      </c>
      <c r="DZ182" s="577">
        <f>+INPUT!GM59</f>
        <v>-40.789473684210535</v>
      </c>
      <c r="EA182" s="580">
        <f>+INPUT!GN59</f>
        <v>-62</v>
      </c>
      <c r="EB182" s="577">
        <f>+INPUT!GO59</f>
        <v>37.777777777777771</v>
      </c>
      <c r="EC182" s="580">
        <f>+INPUT!GP59</f>
        <v>-79.419348468397146</v>
      </c>
      <c r="ED182" s="577">
        <f>+INPUT!GQ59</f>
        <v>28.095723336124422</v>
      </c>
      <c r="EE182" s="580">
        <f>+INPUT!GR59</f>
        <v>-73.144036663835323</v>
      </c>
      <c r="EF182" s="577">
        <f>+INPUT!GS59</f>
        <v>-7.901489908418128</v>
      </c>
      <c r="EG182" s="580">
        <f>+INPUT!GT59</f>
        <v>-66.645674690934413</v>
      </c>
      <c r="EH182" s="577">
        <f>+INPUT!GU59</f>
        <v>-8.8843359886834179</v>
      </c>
      <c r="EI182" s="580">
        <f>+INPUT!GV59</f>
        <v>-59.890450038253789</v>
      </c>
      <c r="EJ182" s="577">
        <f>+INPUT!GW59</f>
        <v>-10.136028608019359</v>
      </c>
      <c r="EK182" s="580">
        <f>+INPUT!GX59</f>
        <v>-52.841496331709507</v>
      </c>
      <c r="EL182" s="577">
        <f>+INPUT!GY59</f>
        <v>-11.769745764211009</v>
      </c>
      <c r="EM182" s="577">
        <f>+INPUT!GZ59</f>
        <v>-3.146195791986095</v>
      </c>
    </row>
    <row r="183" spans="1:144" ht="12.75" hidden="1" customHeight="1" outlineLevel="1" x14ac:dyDescent="0.2">
      <c r="A183" s="579" t="str">
        <f>+INPUT!B60</f>
        <v>Redemptions/BOP Reserves (%)</v>
      </c>
      <c r="B183" s="597">
        <f>+INPUT!AY60</f>
        <v>6.9155600100225509</v>
      </c>
      <c r="C183" s="577">
        <f>+INPUT!AZ60</f>
        <v>19.756505709274435</v>
      </c>
      <c r="D183" s="597">
        <f>+INPUT!BA60</f>
        <v>9.3377315402182184</v>
      </c>
      <c r="E183" s="577">
        <f>+INPUT!BB60</f>
        <v>70.854059643898466</v>
      </c>
      <c r="F183" s="597">
        <f>+INPUT!BC60</f>
        <v>7.7499354172048562</v>
      </c>
      <c r="G183" s="577">
        <f>+INPUT!BD60</f>
        <v>40.605971140716662</v>
      </c>
      <c r="H183" s="597">
        <f>+INPUT!BE60</f>
        <v>8.0755112742527526</v>
      </c>
      <c r="I183" s="577">
        <f>+INPUT!BF60</f>
        <v>23.365670337353592</v>
      </c>
      <c r="J183" s="597">
        <f>+INPUT!BG60</f>
        <v>8.6446104589114192</v>
      </c>
      <c r="K183" s="577">
        <f>+INPUT!BH60</f>
        <v>25.002320077954622</v>
      </c>
      <c r="L183" s="597">
        <f>+INPUT!BI60</f>
        <v>8.0456645827670563</v>
      </c>
      <c r="M183" s="577">
        <f>+INPUT!BJ60</f>
        <v>-13.837054019877797</v>
      </c>
      <c r="N183" s="597">
        <f>+INPUT!BK60</f>
        <v>7.6496674057649665</v>
      </c>
      <c r="O183" s="577">
        <f>+INPUT!BL60</f>
        <v>-1.293791574279382</v>
      </c>
      <c r="P183" s="597">
        <f>+INPUT!BM60</f>
        <v>6.9937958262831366</v>
      </c>
      <c r="Q183" s="577">
        <f>+INPUT!BN60</f>
        <v>-13.39500882648089</v>
      </c>
      <c r="R183" s="597">
        <f>+INPUT!BO60</f>
        <v>6.0779816513761471</v>
      </c>
      <c r="S183" s="577">
        <f>+INPUT!BP60</f>
        <v>-29.690508551364815</v>
      </c>
      <c r="T183" s="597">
        <f>+INPUT!BQ60</f>
        <v>7.0930232558139528</v>
      </c>
      <c r="U183" s="577">
        <f>+INPUT!BR60</f>
        <v>-11.840430546825914</v>
      </c>
      <c r="V183" s="597">
        <f>+INPUT!BS60</f>
        <v>8.3677077195050096</v>
      </c>
      <c r="W183" s="577">
        <f>+INPUT!BT60</f>
        <v>9.3865559854133096</v>
      </c>
      <c r="X183" s="597">
        <f>+INPUT!BU60</f>
        <v>10.868916094356525</v>
      </c>
      <c r="Y183" s="577">
        <f>+INPUT!BV60</f>
        <v>55.407969639468689</v>
      </c>
      <c r="Z183" s="597">
        <f>+INPUT!BW60</f>
        <v>9.3474962063732931</v>
      </c>
      <c r="AA183" s="577">
        <f>+INPUT!BX60</f>
        <v>53.792767772783236</v>
      </c>
      <c r="AB183" s="597">
        <f>+INPUT!BY60</f>
        <v>9.1939932577382777</v>
      </c>
      <c r="AC183" s="577">
        <f>+INPUT!BZ60</f>
        <v>29.620232814015083</v>
      </c>
      <c r="AD183" s="597">
        <f>+INPUT!CA60</f>
        <v>6.0850667494566908</v>
      </c>
      <c r="AE183" s="577">
        <f>+INPUT!CB60</f>
        <v>-27.279167085718285</v>
      </c>
      <c r="AF183" s="597">
        <f>+INPUT!CC60</f>
        <v>7.0961718020541547</v>
      </c>
      <c r="AG183" s="577">
        <f>+INPUT!CD60</f>
        <v>-34.711320425606147</v>
      </c>
      <c r="AH183" s="586">
        <f>+INPUT!CE60</f>
        <v>5.5619930475086905</v>
      </c>
      <c r="AI183" s="577">
        <f>+INPUT!CF60</f>
        <v>-40.497509443048266</v>
      </c>
      <c r="AJ183" s="586">
        <f>+INPUT!CG60</f>
        <v>8.3444771329232417</v>
      </c>
      <c r="AK183" s="577">
        <f>+INPUT!CH60</f>
        <v>-9.2399037175715364</v>
      </c>
      <c r="AL183" s="586">
        <f>+INPUT!CI60</f>
        <v>4.6733935209771644</v>
      </c>
      <c r="AM183" s="577">
        <f>+INPUT!CJ60</f>
        <v>-23.198976882308955</v>
      </c>
      <c r="AN183" s="586">
        <f>+INPUT!CK60</f>
        <v>4.7021943573667713</v>
      </c>
      <c r="AO183" s="577">
        <f>+INPUT!CL60</f>
        <v>-33.736182148160367</v>
      </c>
      <c r="AP183" s="586">
        <f>+INPUT!CM60</f>
        <v>5.0039093041438623</v>
      </c>
      <c r="AQ183" s="577">
        <f>+INPUT!CN60</f>
        <v>-10.033880635913476</v>
      </c>
      <c r="AR183" s="586">
        <f>+INPUT!CO60</f>
        <v>4.6862796146836763</v>
      </c>
      <c r="AS183" s="577">
        <f>+INPUT!CP60</f>
        <v>-43.839745258646587</v>
      </c>
      <c r="AT183" s="586">
        <f>+INPUT!CQ60</f>
        <v>4.8104575163398691</v>
      </c>
      <c r="AU183" s="577">
        <f>+INPUT!CR60</f>
        <v>2.9328579916815016</v>
      </c>
      <c r="AV183" s="586">
        <f>+INPUT!CS60</f>
        <v>4.6194225721784772</v>
      </c>
      <c r="AW183" s="577">
        <f>+INPUT!CT60</f>
        <v>-1.7602799650043863</v>
      </c>
      <c r="AX183" s="586">
        <f>+INPUT!CU60</f>
        <v>4.5358649789029535</v>
      </c>
      <c r="AY183" s="577">
        <f>+INPUT!CV60</f>
        <v>-9.3535733122362785</v>
      </c>
      <c r="AZ183" s="586">
        <f>+INPUT!CW60</f>
        <v>3.5997882477501326</v>
      </c>
      <c r="BA183" s="577">
        <f>+INPUT!CX60</f>
        <v>-23.184518557731892</v>
      </c>
      <c r="BB183" s="586">
        <f>+INPUT!CY60</f>
        <v>3.7154989384288748</v>
      </c>
      <c r="BC183" s="577">
        <f>+INPUT!CZ60</f>
        <v>-22.762046524508435</v>
      </c>
      <c r="BD183" s="586">
        <f>+INPUT!DA60</f>
        <v>5.1118210862619806</v>
      </c>
      <c r="BE183" s="577">
        <f>+INPUT!DB60</f>
        <v>10.659308742375842</v>
      </c>
      <c r="BF183" s="586">
        <f>+INPUT!DC60</f>
        <v>4.3920728441349759</v>
      </c>
      <c r="BG183" s="577">
        <f>+INPUT!DD60</f>
        <v>-3.1701149711637839</v>
      </c>
      <c r="BH183" s="586">
        <f>+INPUT!DE60</f>
        <v>4.0926225094238013</v>
      </c>
      <c r="BI183" s="577">
        <f>+INPUT!DF60</f>
        <v>13.690645886787649</v>
      </c>
      <c r="BJ183" s="586">
        <f>+INPUT!DG60</f>
        <v>4.325493376588267</v>
      </c>
      <c r="BK183" s="577">
        <f>+INPUT!DH60</f>
        <v>16.417564592747084</v>
      </c>
      <c r="BL183" s="586">
        <f>+INPUT!DI60</f>
        <v>4.4553110567780498</v>
      </c>
      <c r="BM183" s="577">
        <f>+INPUT!DJ60</f>
        <v>-12.84297745177939</v>
      </c>
      <c r="BN183" s="586">
        <f>+INPUT!DK60</f>
        <v>3.8115981486523278</v>
      </c>
      <c r="BO183" s="577">
        <f>+INPUT!DL60</f>
        <v>-13.216417761781756</v>
      </c>
      <c r="BP183" s="586">
        <f>+INPUT!DM60</f>
        <v>3.7199124726477026</v>
      </c>
      <c r="BQ183" s="577">
        <f>+INPUT!DN60</f>
        <v>-9.1068755038580917</v>
      </c>
      <c r="BR183" s="586">
        <f>+INPUT!DO60</f>
        <v>3.2985156679494225</v>
      </c>
      <c r="BS183" s="577">
        <f>+INPUT!DP60</f>
        <v>-23.742440901594293</v>
      </c>
      <c r="BT183" s="586">
        <f>+INPUT!DQ60</f>
        <v>4.3201329271669895</v>
      </c>
      <c r="BU183" s="577">
        <f>+INPUT!DR60</f>
        <v>-3.0340896042579999</v>
      </c>
      <c r="BV183" s="586">
        <f>+INPUT!DS60</f>
        <v>3.2393186260821003</v>
      </c>
      <c r="BW183" s="577">
        <f>+INPUT!DT60</f>
        <v>-15.01416204571747</v>
      </c>
      <c r="BX183" s="586">
        <f>+INPUT!DU60</f>
        <v>3.6923076923076925</v>
      </c>
      <c r="BY183" s="577">
        <f>+INPUT!DV60</f>
        <v>-0.74208144796379827</v>
      </c>
      <c r="BZ183" s="586">
        <f>+INPUT!DW60</f>
        <v>3.3783783783783785</v>
      </c>
      <c r="CA183" s="577">
        <f>+INPUT!DX60</f>
        <v>2.4211711711711814</v>
      </c>
      <c r="CB183" s="586">
        <f>+INPUT!DY60</f>
        <v>3.6240090600226504</v>
      </c>
      <c r="CC183" s="577">
        <f>+INPUT!DZ60</f>
        <v>-16.113482591398778</v>
      </c>
      <c r="CD183" s="586">
        <f>+INPUT!EA60</f>
        <v>3.5388127853881275</v>
      </c>
      <c r="CE183" s="577">
        <f>+INPUT!EB60</f>
        <v>9.2455912454731219</v>
      </c>
      <c r="CF183" s="586">
        <f>+INPUT!EC60</f>
        <v>2.9825064525379985</v>
      </c>
      <c r="CG183" s="577">
        <f>+INPUT!ED60</f>
        <v>-19.223783577095872</v>
      </c>
      <c r="CH183" s="586">
        <f>+INPUT!EE60</f>
        <v>2.407566638005159</v>
      </c>
      <c r="CI183" s="577">
        <f>+INPUT!EF60</f>
        <v>-28.736027515047297</v>
      </c>
      <c r="CJ183" s="586">
        <f>+INPUT!EG60</f>
        <v>3.0989956958393114</v>
      </c>
      <c r="CK183" s="577">
        <f>+INPUT!EH60</f>
        <v>-14.487087517934</v>
      </c>
      <c r="CL183" s="586">
        <f>+INPUT!EI60</f>
        <v>3.096330275229358</v>
      </c>
      <c r="CM183" s="577">
        <f>+INPUT!EJ60</f>
        <v>-12.503699319325236</v>
      </c>
      <c r="CN183" s="586">
        <f>+INPUT!EK60</f>
        <v>2.8661507595299516</v>
      </c>
      <c r="CO183" s="577">
        <f>+INPUT!EL60</f>
        <v>-3.9012721299909572</v>
      </c>
      <c r="CP183" s="586">
        <f>+INPUT!EM60</f>
        <v>2.4054982817869419</v>
      </c>
      <c r="CQ183" s="577">
        <f>+INPUT!EN60</f>
        <v>-8.5910652920944131E-2</v>
      </c>
      <c r="CR183" s="586">
        <f>+INPUT!EO60</f>
        <v>3.5499570569710848</v>
      </c>
      <c r="CS183" s="577">
        <f>+INPUT!EP60</f>
        <v>14.551855032816945</v>
      </c>
      <c r="CT183" s="586">
        <f>+INPUT!EQ60</f>
        <v>3.5499570569710848</v>
      </c>
      <c r="CU183" s="577">
        <f>+INPUT!ER60</f>
        <v>14.650464951066141</v>
      </c>
      <c r="CV183" s="586">
        <f>+INPUT!ES60</f>
        <v>3.5499570569710848</v>
      </c>
      <c r="CW183" s="577">
        <f>+INPUT!ET60</f>
        <v>23.858001717721152</v>
      </c>
      <c r="CX183" s="586">
        <f>+INPUT!EU60</f>
        <v>3.5499570569710848</v>
      </c>
      <c r="CY183" s="577">
        <f>+INPUT!EV60</f>
        <v>47.576786225512222</v>
      </c>
      <c r="CZ183" s="586">
        <f>+INPUT!EW60</f>
        <v>3.5499570569710848</v>
      </c>
      <c r="DA183" s="577">
        <f>+INPUT!EX60</f>
        <v>0</v>
      </c>
      <c r="DB183" s="587"/>
      <c r="DC183" s="597">
        <f>+INPUT!FP60</f>
        <v>5.9551430781129158</v>
      </c>
      <c r="DD183" s="577">
        <f>+INPUT!FQ60</f>
        <v>9.5621611334491377</v>
      </c>
      <c r="DE183" s="597">
        <f>+INPUT!FR60</f>
        <v>7.8426459533951389</v>
      </c>
      <c r="DF183" s="577">
        <f>+INPUT!FS60</f>
        <v>31.695340490128757</v>
      </c>
      <c r="DG183" s="597">
        <f>+INPUT!FT60</f>
        <v>7.6307363927427954</v>
      </c>
      <c r="DH183" s="577">
        <f>+INPUT!FU60</f>
        <v>-2.7020161551549648</v>
      </c>
      <c r="DI183" s="597">
        <f>+INPUT!FV60</f>
        <v>7.9128440366972477</v>
      </c>
      <c r="DJ183" s="577">
        <f>+INPUT!FW60</f>
        <v>3.6969910823121808</v>
      </c>
      <c r="DK183" s="586">
        <f>+INPUT!FX60</f>
        <v>7.8300455235204858</v>
      </c>
      <c r="DL183" s="577">
        <f>+INPUT!FY60</f>
        <v>-1.0463812100019823</v>
      </c>
      <c r="DM183" s="586">
        <f>+INPUT!FZ60</f>
        <v>6.2282734646581694</v>
      </c>
      <c r="DN183" s="577">
        <f>+INPUT!GA60</f>
        <v>-20.456740054074928</v>
      </c>
      <c r="DO183" s="586">
        <f>+INPUT!GB60</f>
        <v>4.7693510555121188</v>
      </c>
      <c r="DP183" s="577">
        <f>+INPUT!GC60</f>
        <v>-23.424186773824033</v>
      </c>
      <c r="DQ183" s="586">
        <f>+INPUT!GD60</f>
        <v>4.2194092827004219</v>
      </c>
      <c r="DR183" s="577">
        <f>+INPUT!GE60</f>
        <v>-11.530746351248538</v>
      </c>
      <c r="DS183" s="586">
        <f>+INPUT!GF60</f>
        <v>4.284949116229245</v>
      </c>
      <c r="DT183" s="577">
        <f>+INPUT!GG60</f>
        <v>1.5532940546331133</v>
      </c>
      <c r="DU183" s="586">
        <f>+INPUT!GH60</f>
        <v>3.7571467465287229</v>
      </c>
      <c r="DV183" s="577">
        <f>+INPUT!GI60</f>
        <v>-12.317587802885939</v>
      </c>
      <c r="DW183" s="586">
        <f>+INPUT!GJ60</f>
        <v>3.4627199106394864</v>
      </c>
      <c r="DX183" s="577">
        <f>+INPUT!GK60</f>
        <v>-7.8364475958055522</v>
      </c>
      <c r="DY183" s="586">
        <f>+INPUT!GL60</f>
        <v>2.9965753424657531</v>
      </c>
      <c r="DZ183" s="577">
        <f>+INPUT!GM60</f>
        <v>-13.461804021210796</v>
      </c>
      <c r="EA183" s="586">
        <f>+INPUT!GN60</f>
        <v>2.9816513761467891</v>
      </c>
      <c r="EB183" s="577">
        <f>+INPUT!GO60</f>
        <v>-0.49803407601571337</v>
      </c>
      <c r="EC183" s="586">
        <f>+INPUT!GP60</f>
        <v>3.5278030080160421</v>
      </c>
      <c r="ED183" s="577">
        <f>+INPUT!GQ60</f>
        <v>18.317085499614947</v>
      </c>
      <c r="EE183" s="586">
        <f>+INPUT!GR60</f>
        <v>3.5278030080160421</v>
      </c>
      <c r="EF183" s="577">
        <f>+INPUT!GS60</f>
        <v>0</v>
      </c>
      <c r="EG183" s="586">
        <f>+INPUT!GT60</f>
        <v>3.5278030080160421</v>
      </c>
      <c r="EH183" s="577">
        <f>+INPUT!GU60</f>
        <v>0</v>
      </c>
      <c r="EI183" s="586">
        <f>+INPUT!GV60</f>
        <v>3.5278030080160421</v>
      </c>
      <c r="EJ183" s="577">
        <f>+INPUT!GW60</f>
        <v>0</v>
      </c>
      <c r="EK183" s="586">
        <f>+INPUT!GX60</f>
        <v>3.5278030080160421</v>
      </c>
      <c r="EL183" s="577">
        <f>+INPUT!GY60</f>
        <v>0</v>
      </c>
      <c r="EM183" s="577">
        <f>+INPUT!GZ60</f>
        <v>3.4211809567225471</v>
      </c>
    </row>
    <row r="184" spans="1:144" ht="12.75" hidden="1" customHeight="1" outlineLevel="1" x14ac:dyDescent="0.2">
      <c r="A184" s="579" t="str">
        <f>+INPUT!B61</f>
        <v>Benefit Payments/BOP Reserves (%)</v>
      </c>
      <c r="B184" s="597">
        <f>+INPUT!AY61</f>
        <v>4.3096968178401402</v>
      </c>
      <c r="C184" s="577">
        <f>+INPUT!AZ61</f>
        <v>1.9348411975725952</v>
      </c>
      <c r="D184" s="597">
        <f>+INPUT!BA61</f>
        <v>4.2628774422735347</v>
      </c>
      <c r="E184" s="577">
        <f>+INPUT!BB61</f>
        <v>-3.8622000082613823</v>
      </c>
      <c r="F184" s="597">
        <f>+INPUT!BC61</f>
        <v>4.2366313614053217</v>
      </c>
      <c r="G184" s="577">
        <f>+INPUT!BD61</f>
        <v>22.983356091080196</v>
      </c>
      <c r="H184" s="597">
        <f>+INPUT!BE61</f>
        <v>5.2438384897745145</v>
      </c>
      <c r="I184" s="577">
        <f>+INPUT!BF61</f>
        <v>28.95366237354034</v>
      </c>
      <c r="J184" s="597">
        <f>+INPUT!BG61</f>
        <v>4.5891141942369265</v>
      </c>
      <c r="K184" s="577">
        <f>+INPUT!BH61</f>
        <v>6.4834578441835617</v>
      </c>
      <c r="L184" s="597">
        <f>+INPUT!BI61</f>
        <v>4.8926338678988861</v>
      </c>
      <c r="M184" s="577">
        <f>+INPUT!BJ61</f>
        <v>14.773036151128039</v>
      </c>
      <c r="N184" s="597">
        <f>+INPUT!BK61</f>
        <v>4.5454545454545459</v>
      </c>
      <c r="O184" s="577">
        <f>+INPUT!BL61</f>
        <v>7.2893569844789425</v>
      </c>
      <c r="P184" s="597">
        <f>+INPUT!BM61</f>
        <v>4.2865200225606319</v>
      </c>
      <c r="Q184" s="577">
        <f>+INPUT!BN61</f>
        <v>-18.256063169768737</v>
      </c>
      <c r="R184" s="597">
        <f>+INPUT!BO61</f>
        <v>4.931192660550459</v>
      </c>
      <c r="S184" s="577">
        <f>+INPUT!BP61</f>
        <v>7.4541284403669721</v>
      </c>
      <c r="T184" s="597">
        <f>+INPUT!BQ61</f>
        <v>4.6511627906976747</v>
      </c>
      <c r="U184" s="577">
        <f>+INPUT!BR61</f>
        <v>-4.9354005167958803</v>
      </c>
      <c r="V184" s="597">
        <f>+INPUT!BS61</f>
        <v>4.3606364172068357</v>
      </c>
      <c r="W184" s="577">
        <f>+INPUT!BT61</f>
        <v>-4.0659988214496252</v>
      </c>
      <c r="X184" s="597">
        <f>+INPUT!BU61</f>
        <v>4.7775455359808898</v>
      </c>
      <c r="Y184" s="577">
        <f>+INPUT!BV61</f>
        <v>11.455108359133121</v>
      </c>
      <c r="Z184" s="597">
        <f>+INPUT!BW61</f>
        <v>5.2200303490136575</v>
      </c>
      <c r="AA184" s="577">
        <f>+INPUT!BX61</f>
        <v>5.8573596358118465</v>
      </c>
      <c r="AB184" s="597">
        <f>+INPUT!BY61</f>
        <v>4.5357033404842175</v>
      </c>
      <c r="AC184" s="577">
        <f>+INPUT!BZ61</f>
        <v>-2.4823781795893325</v>
      </c>
      <c r="AD184" s="597">
        <f>+INPUT!CA61</f>
        <v>5.0915864638311081</v>
      </c>
      <c r="AE184" s="577">
        <f>+INPUT!CB61</f>
        <v>16.762462555694469</v>
      </c>
      <c r="AF184" s="597">
        <f>+INPUT!CC61</f>
        <v>4.8552754435107381</v>
      </c>
      <c r="AG184" s="577">
        <f>+INPUT!CD61</f>
        <v>1.6269841269841407</v>
      </c>
      <c r="AH184" s="586">
        <f>+INPUT!CE61</f>
        <v>6.6048667439165696</v>
      </c>
      <c r="AI184" s="577">
        <f>+INPUT!CF61</f>
        <v>26.529278611657531</v>
      </c>
      <c r="AJ184" s="586">
        <f>+INPUT!CG61</f>
        <v>8.5584380850494792</v>
      </c>
      <c r="AK184" s="577">
        <f>+INPUT!CH61</f>
        <v>88.69042886159761</v>
      </c>
      <c r="AL184" s="586">
        <f>+INPUT!CI61</f>
        <v>6.5852363250132768</v>
      </c>
      <c r="AM184" s="577">
        <f>+INPUT!CJ61</f>
        <v>29.335647578461987</v>
      </c>
      <c r="AN184" s="586">
        <f>+INPUT!CK61</f>
        <v>7.105538140020899</v>
      </c>
      <c r="AO184" s="577">
        <f>+INPUT!CL61</f>
        <v>46.346756691584289</v>
      </c>
      <c r="AP184" s="586">
        <f>+INPUT!CM61</f>
        <v>6.9846234037008088</v>
      </c>
      <c r="AQ184" s="577">
        <f>+INPUT!CN61</f>
        <v>5.7496490770841717</v>
      </c>
      <c r="AR184" s="586">
        <f>+INPUT!CO61</f>
        <v>6.7690705545430871</v>
      </c>
      <c r="AS184" s="577">
        <f>+INPUT!CP61</f>
        <v>-20.907641239260627</v>
      </c>
      <c r="AT184" s="586">
        <f>+INPUT!CQ61</f>
        <v>7.0065359477124183</v>
      </c>
      <c r="AU184" s="577">
        <f>+INPUT!CR61</f>
        <v>6.3976386253426227</v>
      </c>
      <c r="AV184" s="586">
        <f>+INPUT!CS61</f>
        <v>8.0839895013123364</v>
      </c>
      <c r="AW184" s="577">
        <f>+INPUT!CT61</f>
        <v>13.770264011116254</v>
      </c>
      <c r="AX184" s="586">
        <f>+INPUT!CU61</f>
        <v>8.7552742616033754</v>
      </c>
      <c r="AY184" s="577">
        <f>+INPUT!CV61</f>
        <v>25.350699036463226</v>
      </c>
      <c r="AZ184" s="586">
        <f>+INPUT!CW61</f>
        <v>6.5643197458972997</v>
      </c>
      <c r="BA184" s="577">
        <f>+INPUT!CX61</f>
        <v>-3.0247994461864209</v>
      </c>
      <c r="BB184" s="586">
        <f>+INPUT!CY61</f>
        <v>7.2186836518046711</v>
      </c>
      <c r="BC184" s="577">
        <f>+INPUT!CZ61</f>
        <v>3.0278543587793507</v>
      </c>
      <c r="BD184" s="586">
        <f>+INPUT!DA61</f>
        <v>7.2417465388711397</v>
      </c>
      <c r="BE184" s="577">
        <f>+INPUT!DB61</f>
        <v>-10.41865482760052</v>
      </c>
      <c r="BF184" s="586">
        <f>+INPUT!DC61</f>
        <v>7.6057846813069094</v>
      </c>
      <c r="BG184" s="577">
        <f>+INPUT!DD61</f>
        <v>-13.129109905072895</v>
      </c>
      <c r="BH184" s="586">
        <f>+INPUT!DE61</f>
        <v>10.339256865912763</v>
      </c>
      <c r="BI184" s="577">
        <f>+INPUT!DF61</f>
        <v>57.506904997654914</v>
      </c>
      <c r="BJ184" s="586">
        <f>+INPUT!DG61</f>
        <v>8.9753987564206543</v>
      </c>
      <c r="BK184" s="577">
        <f>+INPUT!DH61</f>
        <v>24.335671008062604</v>
      </c>
      <c r="BL184" s="586">
        <f>+INPUT!DI61</f>
        <v>9.2366204835642485</v>
      </c>
      <c r="BM184" s="577">
        <f>+INPUT!DJ61</f>
        <v>27.546862265688659</v>
      </c>
      <c r="BN184" s="586">
        <f>+INPUT!DK61</f>
        <v>7.7320991015518645</v>
      </c>
      <c r="BO184" s="577">
        <f>+INPUT!DL61</f>
        <v>1.660767764769929</v>
      </c>
      <c r="BP184" s="586">
        <f>+INPUT!DM61</f>
        <v>8.205689277899344</v>
      </c>
      <c r="BQ184" s="577">
        <f>+INPUT!DN61</f>
        <v>-20.635599015317283</v>
      </c>
      <c r="BR184" s="586">
        <f>+INPUT!DO61</f>
        <v>11.984606926882902</v>
      </c>
      <c r="BS184" s="577">
        <f>+INPUT!DP61</f>
        <v>33.527292236565842</v>
      </c>
      <c r="BT184" s="586">
        <f>+INPUT!DQ61</f>
        <v>9.4156743284408755</v>
      </c>
      <c r="BU184" s="577">
        <f>+INPUT!DR61</f>
        <v>1.9385211852672484</v>
      </c>
      <c r="BV184" s="586">
        <f>+INPUT!DS61</f>
        <v>9.8296565205249937</v>
      </c>
      <c r="BW184" s="577">
        <f>+INPUT!DT61</f>
        <v>27.127916901015141</v>
      </c>
      <c r="BX184" s="586">
        <f>+INPUT!DU61</f>
        <v>11.076923076923077</v>
      </c>
      <c r="BY184" s="577">
        <f>+INPUT!DV61</f>
        <v>34.990769230769217</v>
      </c>
      <c r="BZ184" s="586">
        <f>+INPUT!DW61</f>
        <v>10.247747747747747</v>
      </c>
      <c r="CA184" s="577">
        <f>+INPUT!DX61</f>
        <v>-14.492416728655272</v>
      </c>
      <c r="CB184" s="586">
        <f>+INPUT!DY61</f>
        <v>10.30577576443941</v>
      </c>
      <c r="CC184" s="577">
        <f>+INPUT!DZ61</f>
        <v>9.4534008393844431</v>
      </c>
      <c r="CD184" s="586">
        <f>+INPUT!EA61</f>
        <v>10.045662100456621</v>
      </c>
      <c r="CE184" s="577">
        <f>+INPUT!EB61</f>
        <v>2.1974885844748826</v>
      </c>
      <c r="CF184" s="586">
        <f>+INPUT!EC61</f>
        <v>10.324060797246917</v>
      </c>
      <c r="CG184" s="577">
        <f>+INPUT!ED61</f>
        <v>-6.7966733581875616</v>
      </c>
      <c r="CH184" s="586">
        <f>+INPUT!EE61</f>
        <v>10.432788764689024</v>
      </c>
      <c r="CI184" s="577">
        <f>+INPUT!EF61</f>
        <v>1.8056749785038733</v>
      </c>
      <c r="CJ184" s="586">
        <f>+INPUT!EG61</f>
        <v>8.6083213773314213</v>
      </c>
      <c r="CK184" s="577">
        <f>+INPUT!EH61</f>
        <v>-16.470903558421483</v>
      </c>
      <c r="CL184" s="586">
        <f>+INPUT!EI61</f>
        <v>9.6330275229357802</v>
      </c>
      <c r="CM184" s="577">
        <f>+INPUT!EJ61</f>
        <v>-4.1075896580483686</v>
      </c>
      <c r="CN184" s="586">
        <f>+INPUT!EK61</f>
        <v>9.4009744912582409</v>
      </c>
      <c r="CO184" s="577">
        <f>+INPUT!EL61</f>
        <v>-8.9411165249514255</v>
      </c>
      <c r="CP184" s="586">
        <f>+INPUT!EM61</f>
        <v>8.2474226804123703</v>
      </c>
      <c r="CQ184" s="577">
        <f>+INPUT!EN61</f>
        <v>-20.947094142970442</v>
      </c>
      <c r="CR184" s="586">
        <f>+INPUT!EO61</f>
        <v>8.8176352705410821</v>
      </c>
      <c r="CS184" s="577">
        <f>+INPUT!EP61</f>
        <v>2.4315297261188817</v>
      </c>
      <c r="CT184" s="586">
        <f>+INPUT!EQ61</f>
        <v>8.8176352705410821</v>
      </c>
      <c r="CU184" s="577">
        <f>+INPUT!ER61</f>
        <v>-8.4645481439068675</v>
      </c>
      <c r="CV184" s="586">
        <f>+INPUT!ES61</f>
        <v>8.8176352705410821</v>
      </c>
      <c r="CW184" s="577">
        <f>+INPUT!ET61</f>
        <v>-6.2050931130553835</v>
      </c>
      <c r="CX184" s="586">
        <f>+INPUT!EU61</f>
        <v>8.8176352705410821</v>
      </c>
      <c r="CY184" s="577">
        <f>+INPUT!EV61</f>
        <v>6.9138276553106266</v>
      </c>
      <c r="CZ184" s="586">
        <f>+INPUT!EW61</f>
        <v>8.8176352705410821</v>
      </c>
      <c r="DA184" s="577">
        <f>+INPUT!EX61</f>
        <v>0</v>
      </c>
      <c r="DB184" s="587"/>
      <c r="DC184" s="597">
        <f>+INPUT!FP61</f>
        <v>4.1247744263985568</v>
      </c>
      <c r="DD184" s="577">
        <f>+INPUT!FQ61</f>
        <v>-11.076948868929264</v>
      </c>
      <c r="DE184" s="597">
        <f>+INPUT!FR61</f>
        <v>4.4099223252317712</v>
      </c>
      <c r="DF184" s="577">
        <f>+INPUT!FS61</f>
        <v>6.91305437233774</v>
      </c>
      <c r="DG184" s="597">
        <f>+INPUT!FT61</f>
        <v>4.4557097118463185</v>
      </c>
      <c r="DH184" s="577">
        <f>+INPUT!FU61</f>
        <v>1.0382810226060144</v>
      </c>
      <c r="DI184" s="597">
        <f>+INPUT!FV61</f>
        <v>4.5871559633027523</v>
      </c>
      <c r="DJ184" s="577">
        <f>+INPUT!FW61</f>
        <v>2.9500631763994818</v>
      </c>
      <c r="DK184" s="586">
        <f>+INPUT!FX61</f>
        <v>4.8558421851289832</v>
      </c>
      <c r="DL184" s="577">
        <f>+INPUT!FY61</f>
        <v>5.8573596358118465</v>
      </c>
      <c r="DM184" s="586">
        <f>+INPUT!FZ61</f>
        <v>7.7346465816917735</v>
      </c>
      <c r="DN184" s="577">
        <f>+INPUT!GA61</f>
        <v>59.285378041714978</v>
      </c>
      <c r="DO184" s="586">
        <f>+INPUT!GB61</f>
        <v>7.1931196247068021</v>
      </c>
      <c r="DP184" s="577">
        <f>+INPUT!GC61</f>
        <v>-7.0013148146521331</v>
      </c>
      <c r="DQ184" s="586">
        <f>+INPUT!GD61</f>
        <v>7.4103375527426154</v>
      </c>
      <c r="DR184" s="577">
        <f>+INPUT!GE61</f>
        <v>3.0198014125848403</v>
      </c>
      <c r="DS184" s="586">
        <f>+INPUT!GF61</f>
        <v>8.9716122121049811</v>
      </c>
      <c r="DT184" s="577">
        <f>+INPUT!GG61</f>
        <v>21.068873695025232</v>
      </c>
      <c r="DU184" s="586">
        <f>+INPUT!GH61</f>
        <v>9.2567383610127969</v>
      </c>
      <c r="DV184" s="577">
        <f>+INPUT!GI61</f>
        <v>3.1780926567814447</v>
      </c>
      <c r="DW184" s="586">
        <f>+INPUT!GJ61</f>
        <v>10.30438425020944</v>
      </c>
      <c r="DX184" s="577">
        <f>+INPUT!GK61</f>
        <v>11.317656914762566</v>
      </c>
      <c r="DY184" s="586">
        <f>+INPUT!GL61</f>
        <v>9.8173515981735147</v>
      </c>
      <c r="DZ184" s="577">
        <f>+INPUT!GM61</f>
        <v>-4.7264605066142167</v>
      </c>
      <c r="EA184" s="586">
        <f>+INPUT!GN61</f>
        <v>9.0309633027522942</v>
      </c>
      <c r="EB184" s="577">
        <f>+INPUT!GO61</f>
        <v>-8.0101877533603414</v>
      </c>
      <c r="EC184" s="586">
        <f>+INPUT!GP61</f>
        <v>8.7626074715237188</v>
      </c>
      <c r="ED184" s="577">
        <f>+INPUT!GQ61</f>
        <v>-2.971508378810384</v>
      </c>
      <c r="EE184" s="586">
        <f>+INPUT!GR61</f>
        <v>8.7626074715237188</v>
      </c>
      <c r="EF184" s="577">
        <f>+INPUT!GS61</f>
        <v>0</v>
      </c>
      <c r="EG184" s="586">
        <f>+INPUT!GT61</f>
        <v>8.7626074715237188</v>
      </c>
      <c r="EH184" s="577">
        <f>+INPUT!GU61</f>
        <v>0</v>
      </c>
      <c r="EI184" s="586">
        <f>+INPUT!GV61</f>
        <v>8.7626074715237188</v>
      </c>
      <c r="EJ184" s="577">
        <f>+INPUT!GW61</f>
        <v>0</v>
      </c>
      <c r="EK184" s="586">
        <f>+INPUT!GX61</f>
        <v>8.7626074715237188</v>
      </c>
      <c r="EL184" s="577">
        <f>+INPUT!GY61</f>
        <v>0</v>
      </c>
      <c r="EM184" s="577">
        <f>+INPUT!GZ61</f>
        <v>-0.60149418811817901</v>
      </c>
    </row>
    <row r="185" spans="1:144" ht="12.75" hidden="1" customHeight="1" outlineLevel="1" x14ac:dyDescent="0.2">
      <c r="A185" s="579" t="str">
        <f>+INPUT!B62</f>
        <v>Interest Credited/BOP Reserves (%)</v>
      </c>
      <c r="B185" s="597">
        <f>+INPUT!AY62</f>
        <v>3.5078927587070909</v>
      </c>
      <c r="C185" s="577">
        <f>+INPUT!AZ62</f>
        <v>-26.048282548778218</v>
      </c>
      <c r="D185" s="597">
        <f>+INPUT!BA62</f>
        <v>3.3494037046434917</v>
      </c>
      <c r="E185" s="577">
        <f>+INPUT!BB62</f>
        <v>-18.797893935549354</v>
      </c>
      <c r="F185" s="597">
        <f>+INPUT!BC62</f>
        <v>2.7899767501937482</v>
      </c>
      <c r="G185" s="577">
        <f>+INPUT!BD62</f>
        <v>28.84619900894765</v>
      </c>
      <c r="H185" s="597">
        <f>+INPUT!BE62</f>
        <v>3.7755637126376507</v>
      </c>
      <c r="I185" s="577">
        <f>+INPUT!BF62</f>
        <v>-2.3919970957202281</v>
      </c>
      <c r="J185" s="597">
        <f>+INPUT!BG62</f>
        <v>3.7353255069370332</v>
      </c>
      <c r="K185" s="577">
        <f>+INPUT!BH62</f>
        <v>6.4834578441835617</v>
      </c>
      <c r="L185" s="597">
        <f>+INPUT!BI62</f>
        <v>3.1530307148681707</v>
      </c>
      <c r="M185" s="577">
        <f>+INPUT!BJ62</f>
        <v>-5.8629238841253084</v>
      </c>
      <c r="N185" s="597">
        <f>+INPUT!BK62</f>
        <v>3.6585365853658534</v>
      </c>
      <c r="O185" s="577">
        <f>+INPUT!BL62</f>
        <v>31.131436314363157</v>
      </c>
      <c r="P185" s="597">
        <f>+INPUT!BM62</f>
        <v>3.0456852791878175</v>
      </c>
      <c r="Q185" s="577">
        <f>+INPUT!BN62</f>
        <v>-19.331641285955996</v>
      </c>
      <c r="R185" s="597">
        <f>+INPUT!BO62</f>
        <v>3.669724770642202</v>
      </c>
      <c r="S185" s="577">
        <f>+INPUT!BP62</f>
        <v>-1.7562254259501913</v>
      </c>
      <c r="T185" s="597">
        <f>+INPUT!BQ62</f>
        <v>3.6046511627906979</v>
      </c>
      <c r="U185" s="577">
        <f>+INPUT!BR62</f>
        <v>14.323376102646364</v>
      </c>
      <c r="V185" s="597">
        <f>+INPUT!BS62</f>
        <v>3.7713612256923983</v>
      </c>
      <c r="W185" s="577">
        <f>+INPUT!BT62</f>
        <v>3.0838735022588963</v>
      </c>
      <c r="X185" s="597">
        <f>+INPUT!BU62</f>
        <v>3.8220364287847119</v>
      </c>
      <c r="Y185" s="577">
        <f>+INPUT!BV62</f>
        <v>25.490196078431367</v>
      </c>
      <c r="Z185" s="597">
        <f>+INPUT!BW62</f>
        <v>4.0060698027314112</v>
      </c>
      <c r="AA185" s="577">
        <f>+INPUT!BX62</f>
        <v>9.1654021244309547</v>
      </c>
      <c r="AB185" s="597">
        <f>+INPUT!BY62</f>
        <v>3.6775973030953111</v>
      </c>
      <c r="AC185" s="577">
        <f>+INPUT!BZ62</f>
        <v>2.0236671181279746</v>
      </c>
      <c r="AD185" s="597">
        <f>+INPUT!CA62</f>
        <v>4.4706612853151197</v>
      </c>
      <c r="AE185" s="577">
        <f>+INPUT!CB62</f>
        <v>18.542378143433709</v>
      </c>
      <c r="AF185" s="597">
        <f>+INPUT!CC62</f>
        <v>37.099284158107686</v>
      </c>
      <c r="AG185" s="577" t="str">
        <f>+INPUT!CD62</f>
        <v>NM</v>
      </c>
      <c r="AH185" s="586">
        <f>+INPUT!CE62</f>
        <v>42.062572421784473</v>
      </c>
      <c r="AI185" s="577" t="str">
        <f>+INPUT!CF62</f>
        <v>NM</v>
      </c>
      <c r="AJ185" s="586">
        <f>+INPUT!CG62</f>
        <v>16.36801283765713</v>
      </c>
      <c r="AK185" s="577" t="str">
        <f>+INPUT!CH62</f>
        <v>NM</v>
      </c>
      <c r="AL185" s="586">
        <f>+INPUT!CI62</f>
        <v>14.763674986723313</v>
      </c>
      <c r="AM185" s="577" t="str">
        <f>+INPUT!CJ62</f>
        <v>NM</v>
      </c>
      <c r="AN185" s="586">
        <f>+INPUT!CK62</f>
        <v>11.494252873563218</v>
      </c>
      <c r="AO185" s="577" t="str">
        <f>+INPUT!CL62</f>
        <v>NM</v>
      </c>
      <c r="AP185" s="586">
        <f>+INPUT!CM62</f>
        <v>10.633307271305707</v>
      </c>
      <c r="AQ185" s="577" t="str">
        <f>+INPUT!CN62</f>
        <v>NM</v>
      </c>
      <c r="AR185" s="586">
        <f>+INPUT!CO62</f>
        <v>7.7063264774798235</v>
      </c>
      <c r="AS185" s="577" t="str">
        <f>+INPUT!CP62</f>
        <v>NM</v>
      </c>
      <c r="AT185" s="586">
        <f>+INPUT!CQ62</f>
        <v>8.6797385620915026</v>
      </c>
      <c r="AU185" s="577">
        <f>+INPUT!CR62</f>
        <v>-41.208821178351442</v>
      </c>
      <c r="AV185" s="586">
        <f>+INPUT!CS62</f>
        <v>9.1338582677165352</v>
      </c>
      <c r="AW185" s="577">
        <f>+INPUT!CT62</f>
        <v>-20.535433070866134</v>
      </c>
      <c r="AX185" s="586">
        <f>+INPUT!CU62</f>
        <v>10.126582278481013</v>
      </c>
      <c r="AY185" s="577">
        <f>+INPUT!CV62</f>
        <v>-4.7654504839910459</v>
      </c>
      <c r="AZ185" s="586">
        <f>+INPUT!CW62</f>
        <v>7.7289571201694027</v>
      </c>
      <c r="BA185" s="577">
        <f>+INPUT!CX62</f>
        <v>0.29366317084686955</v>
      </c>
      <c r="BB185" s="586">
        <f>+INPUT!CY62</f>
        <v>8.2802547770700627</v>
      </c>
      <c r="BC185" s="577">
        <f>+INPUT!CZ62</f>
        <v>-4.602486378635561</v>
      </c>
      <c r="BD185" s="586">
        <f>+INPUT!DA62</f>
        <v>8.8391906283280086</v>
      </c>
      <c r="BE185" s="577">
        <f>+INPUT!DB62</f>
        <v>-3.2261026036502471</v>
      </c>
      <c r="BF185" s="586">
        <f>+INPUT!DC62</f>
        <v>8.2485270487412965</v>
      </c>
      <c r="BG185" s="577">
        <f>+INPUT!DD62</f>
        <v>-18.545795393679697</v>
      </c>
      <c r="BH185" s="586">
        <f>+INPUT!DE62</f>
        <v>11.308562197092083</v>
      </c>
      <c r="BI185" s="577">
        <f>+INPUT!DF62</f>
        <v>46.314205413061273</v>
      </c>
      <c r="BJ185" s="586">
        <f>+INPUT!DG62</f>
        <v>9.8404974317383065</v>
      </c>
      <c r="BK185" s="577">
        <f>+INPUT!DH62</f>
        <v>18.842930521762639</v>
      </c>
      <c r="BL185" s="586">
        <f>+INPUT!DI62</f>
        <v>10.649280086932897</v>
      </c>
      <c r="BM185" s="577">
        <f>+INPUT!DJ62</f>
        <v>20.478000019638444</v>
      </c>
      <c r="BN185" s="586">
        <f>+INPUT!DK62</f>
        <v>7.9499047100462832</v>
      </c>
      <c r="BO185" s="577">
        <f>+INPUT!DL62</f>
        <v>-3.6203110801531864</v>
      </c>
      <c r="BP185" s="586">
        <f>+INPUT!DM62</f>
        <v>8.5339168490153181</v>
      </c>
      <c r="BQ185" s="577">
        <f>+INPUT!DN62</f>
        <v>-24.535792435135974</v>
      </c>
      <c r="BR185" s="586">
        <f>+INPUT!DO62</f>
        <v>10.995052226498075</v>
      </c>
      <c r="BS185" s="577">
        <f>+INPUT!DP62</f>
        <v>11.732687323671385</v>
      </c>
      <c r="BT185" s="586">
        <f>+INPUT!DQ62</f>
        <v>9.5264469675990036</v>
      </c>
      <c r="BU185" s="577">
        <f>+INPUT!DR62</f>
        <v>-10.543746714969544</v>
      </c>
      <c r="BV185" s="586">
        <f>+INPUT!DS62</f>
        <v>11.058363585590616</v>
      </c>
      <c r="BW185" s="577">
        <f>+INPUT!DT62</f>
        <v>39.100580307788817</v>
      </c>
      <c r="BX185" s="586">
        <f>+INPUT!DU62</f>
        <v>10.517482517482518</v>
      </c>
      <c r="BY185" s="577">
        <f>+INPUT!DV62</f>
        <v>23.24332078178233</v>
      </c>
      <c r="BZ185" s="586">
        <f>+INPUT!DW62</f>
        <v>10.585585585585585</v>
      </c>
      <c r="CA185" s="577">
        <f>+INPUT!DX62</f>
        <v>-3.7240990990990923</v>
      </c>
      <c r="CB185" s="586">
        <f>+INPUT!DY62</f>
        <v>9.3997734994337492</v>
      </c>
      <c r="CC185" s="577">
        <f>+INPUT!DZ62</f>
        <v>-1.3297031789091136</v>
      </c>
      <c r="CD185" s="586">
        <f>+INPUT!EA62</f>
        <v>9.8173515981735147</v>
      </c>
      <c r="CE185" s="577">
        <f>+INPUT!EB62</f>
        <v>-11.222383653890518</v>
      </c>
      <c r="CF185" s="586">
        <f>+INPUT!EC62</f>
        <v>12.044737596788071</v>
      </c>
      <c r="CG185" s="577">
        <f>+INPUT!ED62</f>
        <v>14.521108799248267</v>
      </c>
      <c r="CH185" s="586">
        <f>+INPUT!EE62</f>
        <v>11.006018916595012</v>
      </c>
      <c r="CI185" s="577">
        <f>+INPUT!EF62</f>
        <v>3.9717531695358588</v>
      </c>
      <c r="CJ185" s="586">
        <f>+INPUT!EG62</f>
        <v>9.9856527977044465</v>
      </c>
      <c r="CK185" s="577">
        <f>+INPUT!EH62</f>
        <v>6.2329086791930877</v>
      </c>
      <c r="CL185" s="586">
        <f>+INPUT!EI62</f>
        <v>11.467889908256881</v>
      </c>
      <c r="CM185" s="577">
        <f>+INPUT!EJ62</f>
        <v>16.812459995732894</v>
      </c>
      <c r="CN185" s="586">
        <f>+INPUT!EK62</f>
        <v>11.006018916595012</v>
      </c>
      <c r="CO185" s="577">
        <f>+INPUT!EL62</f>
        <v>-8.6238381853171404</v>
      </c>
      <c r="CP185" s="586">
        <f>+INPUT!EM62</f>
        <v>9.6219931271477677</v>
      </c>
      <c r="CQ185" s="577">
        <f>+INPUT!EN62</f>
        <v>-12.57517182130583</v>
      </c>
      <c r="CR185" s="586">
        <f>+INPUT!EO62</f>
        <v>9.5047237331806471</v>
      </c>
      <c r="CS185" s="577">
        <f>+INPUT!EP62</f>
        <v>-4.8162005455903483</v>
      </c>
      <c r="CT185" s="586">
        <f>+INPUT!EQ62</f>
        <v>9.5047237331806471</v>
      </c>
      <c r="CU185" s="577">
        <f>+INPUT!ER62</f>
        <v>-17.118809046664765</v>
      </c>
      <c r="CV185" s="586">
        <f>+INPUT!ES62</f>
        <v>9.5047237331806471</v>
      </c>
      <c r="CW185" s="577">
        <f>+INPUT!ET62</f>
        <v>-13.640674205553964</v>
      </c>
      <c r="CX185" s="586">
        <f>+INPUT!EU62</f>
        <v>9.5047237331806471</v>
      </c>
      <c r="CY185" s="577">
        <f>+INPUT!EV62</f>
        <v>-1.2187640587297182</v>
      </c>
      <c r="CZ185" s="586">
        <f>+INPUT!EW62</f>
        <v>9.5047237331806471</v>
      </c>
      <c r="DA185" s="577">
        <f>+INPUT!EX62</f>
        <v>0</v>
      </c>
      <c r="DB185" s="587"/>
      <c r="DC185" s="597">
        <f>+INPUT!FP62</f>
        <v>3.7896365042536742</v>
      </c>
      <c r="DD185" s="577">
        <f>+INPUT!FQ62</f>
        <v>-30.278624733259619</v>
      </c>
      <c r="DE185" s="597">
        <f>+INPUT!FR62</f>
        <v>3.2823853670759204</v>
      </c>
      <c r="DF185" s="577">
        <f>+INPUT!FS62</f>
        <v>-13.385218783078273</v>
      </c>
      <c r="DG185" s="597">
        <f>+INPUT!FT62</f>
        <v>3.3084311632870866</v>
      </c>
      <c r="DH185" s="577">
        <f>+INPUT!FU62</f>
        <v>0.79350208151728907</v>
      </c>
      <c r="DI185" s="597">
        <f>+INPUT!FV62</f>
        <v>3.6410550458715591</v>
      </c>
      <c r="DJ185" s="577">
        <f>+INPUT!FW62</f>
        <v>10.053825096182294</v>
      </c>
      <c r="DK185" s="586">
        <f>+INPUT!FX62</f>
        <v>12.04855842185129</v>
      </c>
      <c r="DL185" s="577" t="str">
        <f>+INPUT!FY62</f>
        <v>NM</v>
      </c>
      <c r="DM185" s="586">
        <f>+INPUT!FZ62</f>
        <v>22.16106604866744</v>
      </c>
      <c r="DN185" s="577">
        <f>+INPUT!GA62</f>
        <v>83.931266071433811</v>
      </c>
      <c r="DO185" s="586">
        <f>+INPUT!GB62</f>
        <v>9.0174615585092521</v>
      </c>
      <c r="DP185" s="577" t="str">
        <f>+INPUT!GC62</f>
        <v>NM</v>
      </c>
      <c r="DQ185" s="586">
        <f>+INPUT!GD62</f>
        <v>8.7025316455696213</v>
      </c>
      <c r="DR185" s="577">
        <f>+INPUT!GE62</f>
        <v>-3.4924453062120335</v>
      </c>
      <c r="DS185" s="586">
        <f>+INPUT!GF62</f>
        <v>9.9357257632565616</v>
      </c>
      <c r="DT185" s="577">
        <f>+INPUT!GG62</f>
        <v>14.170521497784478</v>
      </c>
      <c r="DU185" s="586">
        <f>+INPUT!GH62</f>
        <v>9.1750612578273891</v>
      </c>
      <c r="DV185" s="577">
        <f>+INPUT!GI62</f>
        <v>-7.6558524616510226</v>
      </c>
      <c r="DW185" s="586">
        <f>+INPUT!GJ62</f>
        <v>10.332309410779111</v>
      </c>
      <c r="DX185" s="577">
        <f>+INPUT!GK62</f>
        <v>12.612974675939697</v>
      </c>
      <c r="DY185" s="586">
        <f>+INPUT!GL62</f>
        <v>10.673515981735161</v>
      </c>
      <c r="DZ185" s="577">
        <f>+INPUT!GM62</f>
        <v>3.3023262989016615</v>
      </c>
      <c r="EA185" s="586">
        <f>+INPUT!GN62</f>
        <v>10.407110091743119</v>
      </c>
      <c r="EB185" s="577">
        <f>+INPUT!GO62</f>
        <v>-2.4959525094441517</v>
      </c>
      <c r="EC185" s="586">
        <f>+INPUT!GP62</f>
        <v>9.4454080537203708</v>
      </c>
      <c r="ED185" s="577">
        <f>+INPUT!GQ62</f>
        <v>-9.2408173791276766</v>
      </c>
      <c r="EE185" s="586">
        <f>+INPUT!GR62</f>
        <v>9.4454080537203708</v>
      </c>
      <c r="EF185" s="577">
        <f>+INPUT!GS62</f>
        <v>0</v>
      </c>
      <c r="EG185" s="586">
        <f>+INPUT!GT62</f>
        <v>9.4454080537203708</v>
      </c>
      <c r="EH185" s="577">
        <f>+INPUT!GU62</f>
        <v>0</v>
      </c>
      <c r="EI185" s="586">
        <f>+INPUT!GV62</f>
        <v>9.4454080537203708</v>
      </c>
      <c r="EJ185" s="577">
        <f>+INPUT!GW62</f>
        <v>0</v>
      </c>
      <c r="EK185" s="586">
        <f>+INPUT!GX62</f>
        <v>9.4454080537203708</v>
      </c>
      <c r="EL185" s="577">
        <f>+INPUT!GY62</f>
        <v>0</v>
      </c>
      <c r="EM185" s="577">
        <f>+INPUT!GZ62</f>
        <v>-1.9205289058843222</v>
      </c>
    </row>
    <row r="186" spans="1:144" ht="12.75" hidden="1" customHeight="1" outlineLevel="1" x14ac:dyDescent="0.2">
      <c r="A186" s="579"/>
      <c r="B186" s="597"/>
      <c r="C186" s="577"/>
      <c r="D186" s="597"/>
      <c r="E186" s="577"/>
      <c r="F186" s="597"/>
      <c r="G186" s="577"/>
      <c r="H186" s="597"/>
      <c r="I186" s="577"/>
      <c r="J186" s="597"/>
      <c r="K186" s="577"/>
      <c r="L186" s="597"/>
      <c r="M186" s="577"/>
      <c r="N186" s="597"/>
      <c r="O186" s="577"/>
      <c r="P186" s="597"/>
      <c r="Q186" s="577"/>
      <c r="R186" s="597"/>
      <c r="S186" s="577"/>
      <c r="T186" s="597"/>
      <c r="U186" s="577"/>
      <c r="V186" s="597"/>
      <c r="W186" s="577"/>
      <c r="X186" s="597"/>
      <c r="Y186" s="577"/>
      <c r="Z186" s="597"/>
      <c r="AA186" s="577"/>
      <c r="AB186" s="597"/>
      <c r="AC186" s="577"/>
      <c r="AD186" s="597"/>
      <c r="AE186" s="577"/>
      <c r="AF186" s="597"/>
      <c r="AG186" s="577"/>
      <c r="AH186" s="597"/>
      <c r="AI186" s="577"/>
      <c r="AJ186" s="597"/>
      <c r="AK186" s="577"/>
      <c r="AL186" s="597"/>
      <c r="AM186" s="577"/>
      <c r="AN186" s="597"/>
      <c r="AO186" s="577"/>
      <c r="AP186" s="597"/>
      <c r="AQ186" s="577"/>
      <c r="AR186" s="597"/>
      <c r="AS186" s="577"/>
      <c r="AT186" s="597"/>
      <c r="AU186" s="577"/>
      <c r="AV186" s="597"/>
      <c r="AW186" s="577"/>
      <c r="AX186" s="597"/>
      <c r="AY186" s="577"/>
      <c r="AZ186" s="597"/>
      <c r="BA186" s="577"/>
      <c r="BB186" s="597"/>
      <c r="BC186" s="577"/>
      <c r="BD186" s="597"/>
      <c r="BE186" s="577"/>
      <c r="BF186" s="597"/>
      <c r="BG186" s="577"/>
      <c r="BH186" s="597"/>
      <c r="BI186" s="577"/>
      <c r="BJ186" s="597"/>
      <c r="BK186" s="577"/>
      <c r="BL186" s="597"/>
      <c r="BM186" s="577"/>
      <c r="BN186" s="597"/>
      <c r="BO186" s="577"/>
      <c r="BP186" s="597"/>
      <c r="BQ186" s="577"/>
      <c r="BR186" s="597"/>
      <c r="BS186" s="577"/>
      <c r="BT186" s="597"/>
      <c r="BU186" s="577"/>
      <c r="BV186" s="597"/>
      <c r="BW186" s="577"/>
      <c r="BX186" s="597"/>
      <c r="BY186" s="577"/>
      <c r="BZ186" s="597"/>
      <c r="CA186" s="577"/>
      <c r="CB186" s="597"/>
      <c r="CC186" s="577"/>
      <c r="CD186" s="597"/>
      <c r="CE186" s="577"/>
      <c r="CF186" s="597"/>
      <c r="CG186" s="577"/>
      <c r="CH186" s="597"/>
      <c r="CI186" s="577"/>
      <c r="CJ186" s="597"/>
      <c r="CK186" s="577"/>
      <c r="CL186" s="597"/>
      <c r="CM186" s="577"/>
      <c r="CN186" s="597"/>
      <c r="CO186" s="577"/>
      <c r="CP186" s="597"/>
      <c r="CQ186" s="577"/>
      <c r="CR186" s="597"/>
      <c r="CS186" s="577"/>
      <c r="CT186" s="597"/>
      <c r="CU186" s="577"/>
      <c r="CV186" s="597"/>
      <c r="CW186" s="577"/>
      <c r="CX186" s="597"/>
      <c r="CY186" s="577"/>
      <c r="CZ186" s="597"/>
      <c r="DA186" s="577"/>
      <c r="DB186" s="587"/>
      <c r="DC186" s="597"/>
      <c r="DD186" s="577"/>
      <c r="DE186" s="597"/>
      <c r="DF186" s="577"/>
      <c r="DG186" s="597"/>
      <c r="DH186" s="577"/>
      <c r="DI186" s="597"/>
      <c r="DJ186" s="577"/>
      <c r="DK186" s="597"/>
      <c r="DL186" s="577"/>
      <c r="DM186" s="597"/>
      <c r="DN186" s="577"/>
      <c r="DO186" s="597"/>
      <c r="DP186" s="577"/>
      <c r="DQ186" s="597"/>
      <c r="DR186" s="577"/>
      <c r="DS186" s="597"/>
      <c r="DT186" s="577"/>
      <c r="DU186" s="597"/>
      <c r="DV186" s="577"/>
      <c r="DW186" s="597"/>
      <c r="DX186" s="577"/>
      <c r="DY186" s="597"/>
      <c r="DZ186" s="577"/>
      <c r="EA186" s="597"/>
      <c r="EB186" s="577"/>
      <c r="EC186" s="597"/>
      <c r="ED186" s="577"/>
      <c r="EE186" s="597"/>
      <c r="EF186" s="577"/>
      <c r="EG186" s="597"/>
      <c r="EH186" s="577"/>
      <c r="EI186" s="597"/>
      <c r="EJ186" s="577"/>
      <c r="EK186" s="597"/>
      <c r="EL186" s="577"/>
      <c r="EM186" s="577"/>
    </row>
    <row r="187" spans="1:144" ht="12.75" hidden="1" customHeight="1" outlineLevel="1" x14ac:dyDescent="0.2">
      <c r="A187" s="599" t="s">
        <v>507</v>
      </c>
      <c r="B187" s="586"/>
      <c r="C187" s="577"/>
      <c r="D187" s="586"/>
      <c r="E187" s="577"/>
      <c r="F187" s="586"/>
      <c r="G187" s="577"/>
      <c r="H187" s="586"/>
      <c r="I187" s="577"/>
      <c r="J187" s="586"/>
      <c r="K187" s="577"/>
      <c r="L187" s="586"/>
      <c r="M187" s="577"/>
      <c r="N187" s="586"/>
      <c r="O187" s="577"/>
      <c r="P187" s="586"/>
      <c r="Q187" s="577"/>
      <c r="R187" s="586"/>
      <c r="S187" s="577"/>
      <c r="T187" s="586"/>
      <c r="U187" s="577"/>
      <c r="V187" s="586"/>
      <c r="W187" s="577"/>
      <c r="X187" s="586"/>
      <c r="Y187" s="577"/>
      <c r="Z187" s="586"/>
      <c r="AA187" s="577"/>
      <c r="AB187" s="586"/>
      <c r="AC187" s="577"/>
      <c r="AD187" s="586"/>
      <c r="AE187" s="577"/>
      <c r="AF187" s="586"/>
      <c r="AG187" s="577"/>
      <c r="AH187" s="586"/>
      <c r="AI187" s="577"/>
      <c r="AJ187" s="586"/>
      <c r="AK187" s="577"/>
      <c r="AL187" s="586"/>
      <c r="AM187" s="577"/>
      <c r="AN187" s="586"/>
      <c r="AO187" s="577"/>
      <c r="AP187" s="586"/>
      <c r="AQ187" s="577"/>
      <c r="AR187" s="586"/>
      <c r="AS187" s="577"/>
      <c r="AT187" s="586"/>
      <c r="AU187" s="577"/>
      <c r="AV187" s="586"/>
      <c r="AW187" s="577"/>
      <c r="AX187" s="586"/>
      <c r="AY187" s="577"/>
      <c r="AZ187" s="586"/>
      <c r="BA187" s="577"/>
      <c r="BB187" s="586"/>
      <c r="BC187" s="577"/>
      <c r="BD187" s="586"/>
      <c r="BE187" s="577"/>
      <c r="BF187" s="586"/>
      <c r="BG187" s="577"/>
      <c r="BH187" s="586"/>
      <c r="BI187" s="577"/>
      <c r="BJ187" s="586"/>
      <c r="BK187" s="577"/>
      <c r="BL187" s="586"/>
      <c r="BM187" s="577"/>
      <c r="BN187" s="586"/>
      <c r="BO187" s="577"/>
      <c r="BP187" s="586"/>
      <c r="BQ187" s="577"/>
      <c r="BR187" s="586"/>
      <c r="BS187" s="577"/>
      <c r="BT187" s="586"/>
      <c r="BU187" s="577"/>
      <c r="BV187" s="586"/>
      <c r="BW187" s="577"/>
      <c r="BX187" s="586"/>
      <c r="BY187" s="577"/>
      <c r="BZ187" s="586"/>
      <c r="CA187" s="577"/>
      <c r="CB187" s="586"/>
      <c r="CC187" s="577"/>
      <c r="CD187" s="586"/>
      <c r="CE187" s="577"/>
      <c r="CF187" s="586"/>
      <c r="CG187" s="577"/>
      <c r="CH187" s="586"/>
      <c r="CI187" s="577"/>
      <c r="CJ187" s="586"/>
      <c r="CK187" s="577"/>
      <c r="CL187" s="586"/>
      <c r="CM187" s="577"/>
      <c r="CN187" s="586"/>
      <c r="CO187" s="577"/>
      <c r="CP187" s="586"/>
      <c r="CQ187" s="577"/>
      <c r="CR187" s="586"/>
      <c r="CS187" s="577"/>
      <c r="CT187" s="586"/>
      <c r="CU187" s="577"/>
      <c r="CV187" s="586"/>
      <c r="CW187" s="577"/>
      <c r="CX187" s="586"/>
      <c r="CY187" s="577"/>
      <c r="CZ187" s="586"/>
      <c r="DA187" s="577"/>
      <c r="DB187" s="596"/>
      <c r="DC187" s="586"/>
      <c r="DD187" s="577"/>
      <c r="DE187" s="586"/>
      <c r="DF187" s="577"/>
      <c r="DG187" s="586"/>
      <c r="DH187" s="577"/>
      <c r="DI187" s="586"/>
      <c r="DJ187" s="577"/>
      <c r="DK187" s="586"/>
      <c r="DL187" s="577"/>
      <c r="DM187" s="586"/>
      <c r="DN187" s="577"/>
      <c r="DO187" s="586"/>
      <c r="DP187" s="577"/>
      <c r="DQ187" s="586"/>
      <c r="DR187" s="577"/>
      <c r="DS187" s="586"/>
      <c r="DT187" s="577"/>
      <c r="DU187" s="586"/>
      <c r="DV187" s="577"/>
      <c r="DW187" s="586"/>
      <c r="DX187" s="577"/>
      <c r="DY187" s="586"/>
      <c r="DZ187" s="577"/>
      <c r="EA187" s="586"/>
      <c r="EB187" s="577"/>
      <c r="EC187" s="586"/>
      <c r="ED187" s="577"/>
      <c r="EE187" s="586"/>
      <c r="EF187" s="577"/>
      <c r="EG187" s="586"/>
      <c r="EH187" s="577"/>
      <c r="EI187" s="586"/>
      <c r="EJ187" s="577"/>
      <c r="EK187" s="586"/>
      <c r="EL187" s="577"/>
      <c r="EM187" s="577"/>
    </row>
    <row r="188" spans="1:144" ht="12.75" hidden="1" customHeight="1" outlineLevel="1" x14ac:dyDescent="0.2">
      <c r="A188" s="599" t="s">
        <v>670</v>
      </c>
      <c r="B188" s="586"/>
      <c r="C188" s="577"/>
      <c r="D188" s="586"/>
      <c r="E188" s="577"/>
      <c r="F188" s="586"/>
      <c r="G188" s="577"/>
      <c r="H188" s="586"/>
      <c r="I188" s="577"/>
      <c r="J188" s="586"/>
      <c r="K188" s="577"/>
      <c r="L188" s="586"/>
      <c r="M188" s="577"/>
      <c r="N188" s="586"/>
      <c r="O188" s="577"/>
      <c r="P188" s="586"/>
      <c r="Q188" s="577"/>
      <c r="R188" s="586"/>
      <c r="S188" s="577"/>
      <c r="T188" s="586"/>
      <c r="U188" s="577"/>
      <c r="V188" s="586"/>
      <c r="W188" s="577"/>
      <c r="X188" s="586"/>
      <c r="Y188" s="577"/>
      <c r="Z188" s="586"/>
      <c r="AA188" s="577"/>
      <c r="AB188" s="586"/>
      <c r="AC188" s="577"/>
      <c r="AD188" s="586"/>
      <c r="AE188" s="577"/>
      <c r="AF188" s="586"/>
      <c r="AG188" s="577"/>
      <c r="AH188" s="586"/>
      <c r="AI188" s="577"/>
      <c r="AJ188" s="586"/>
      <c r="AK188" s="577"/>
      <c r="AL188" s="586"/>
      <c r="AM188" s="577"/>
      <c r="AN188" s="586"/>
      <c r="AO188" s="577"/>
      <c r="AP188" s="586"/>
      <c r="AQ188" s="577"/>
      <c r="AR188" s="586"/>
      <c r="AS188" s="577"/>
      <c r="AT188" s="586"/>
      <c r="AU188" s="577"/>
      <c r="AV188" s="586"/>
      <c r="AW188" s="577"/>
      <c r="AX188" s="586"/>
      <c r="AY188" s="577"/>
      <c r="AZ188" s="586"/>
      <c r="BA188" s="577"/>
      <c r="BB188" s="586"/>
      <c r="BC188" s="577"/>
      <c r="BD188" s="586"/>
      <c r="BE188" s="577"/>
      <c r="BF188" s="586"/>
      <c r="BG188" s="577"/>
      <c r="BH188" s="586"/>
      <c r="BI188" s="577"/>
      <c r="BJ188" s="586"/>
      <c r="BK188" s="577"/>
      <c r="BL188" s="586"/>
      <c r="BM188" s="577"/>
      <c r="BN188" s="586"/>
      <c r="BO188" s="577"/>
      <c r="BP188" s="586"/>
      <c r="BQ188" s="577"/>
      <c r="BR188" s="586"/>
      <c r="BS188" s="577"/>
      <c r="BT188" s="586"/>
      <c r="BU188" s="577"/>
      <c r="BV188" s="586"/>
      <c r="BW188" s="577"/>
      <c r="BX188" s="586"/>
      <c r="BY188" s="577"/>
      <c r="BZ188" s="586"/>
      <c r="CA188" s="577"/>
      <c r="CB188" s="586"/>
      <c r="CC188" s="577"/>
      <c r="CD188" s="586"/>
      <c r="CE188" s="577"/>
      <c r="CF188" s="586"/>
      <c r="CG188" s="577"/>
      <c r="CH188" s="586"/>
      <c r="CI188" s="577"/>
      <c r="CJ188" s="586"/>
      <c r="CK188" s="577"/>
      <c r="CL188" s="586"/>
      <c r="CM188" s="577"/>
      <c r="CN188" s="586"/>
      <c r="CO188" s="577"/>
      <c r="CP188" s="586"/>
      <c r="CQ188" s="577"/>
      <c r="CR188" s="586"/>
      <c r="CS188" s="577"/>
      <c r="CT188" s="586"/>
      <c r="CU188" s="577"/>
      <c r="CV188" s="586"/>
      <c r="CW188" s="577"/>
      <c r="CX188" s="586"/>
      <c r="CY188" s="577"/>
      <c r="CZ188" s="586"/>
      <c r="DA188" s="577"/>
      <c r="DB188" s="596"/>
      <c r="DC188" s="586"/>
      <c r="DD188" s="577"/>
      <c r="DE188" s="586"/>
      <c r="DF188" s="577"/>
      <c r="DG188" s="586"/>
      <c r="DH188" s="577"/>
      <c r="DI188" s="586"/>
      <c r="DJ188" s="577"/>
      <c r="DK188" s="586"/>
      <c r="DL188" s="577"/>
      <c r="DM188" s="586"/>
      <c r="DN188" s="577"/>
      <c r="DO188" s="586"/>
      <c r="DP188" s="577"/>
      <c r="DQ188" s="586"/>
      <c r="DR188" s="577"/>
      <c r="DS188" s="586"/>
      <c r="DT188" s="577"/>
      <c r="DU188" s="586"/>
      <c r="DV188" s="577"/>
      <c r="DW188" s="586"/>
      <c r="DX188" s="577"/>
      <c r="DY188" s="586"/>
      <c r="DZ188" s="577"/>
      <c r="EA188" s="586"/>
      <c r="EB188" s="577"/>
      <c r="EC188" s="586"/>
      <c r="ED188" s="577"/>
      <c r="EE188" s="586"/>
      <c r="EF188" s="577"/>
      <c r="EG188" s="586"/>
      <c r="EH188" s="577"/>
      <c r="EI188" s="586"/>
      <c r="EJ188" s="577"/>
      <c r="EK188" s="586"/>
      <c r="EL188" s="577"/>
      <c r="EM188" s="577"/>
    </row>
    <row r="189" spans="1:144" ht="12.75" hidden="1" customHeight="1" outlineLevel="1" x14ac:dyDescent="0.2">
      <c r="A189" s="580"/>
      <c r="B189" s="580"/>
      <c r="C189" s="577"/>
      <c r="D189" s="580"/>
      <c r="E189" s="577"/>
      <c r="F189" s="580"/>
      <c r="G189" s="577"/>
      <c r="H189" s="580"/>
      <c r="I189" s="577"/>
      <c r="J189" s="580"/>
      <c r="K189" s="577"/>
      <c r="L189" s="580"/>
      <c r="M189" s="577"/>
      <c r="N189" s="580"/>
      <c r="O189" s="577"/>
      <c r="P189" s="580"/>
      <c r="Q189" s="577"/>
      <c r="R189" s="580"/>
      <c r="S189" s="577"/>
      <c r="T189" s="580"/>
      <c r="U189" s="577"/>
      <c r="V189" s="580"/>
      <c r="W189" s="577"/>
      <c r="X189" s="580"/>
      <c r="Y189" s="577"/>
      <c r="Z189" s="580"/>
      <c r="AA189" s="577"/>
      <c r="AB189" s="580"/>
      <c r="AC189" s="577"/>
      <c r="AD189" s="580"/>
      <c r="AE189" s="577"/>
      <c r="AF189" s="580"/>
      <c r="AG189" s="577"/>
      <c r="AH189" s="580"/>
      <c r="AI189" s="577"/>
      <c r="AJ189" s="580"/>
      <c r="AK189" s="577"/>
      <c r="AL189" s="580"/>
      <c r="AM189" s="577"/>
      <c r="AN189" s="580"/>
      <c r="AO189" s="577"/>
      <c r="AP189" s="580"/>
      <c r="AQ189" s="577"/>
      <c r="AR189" s="580"/>
      <c r="AS189" s="577"/>
      <c r="AT189" s="580"/>
      <c r="AU189" s="577"/>
      <c r="AV189" s="580"/>
      <c r="AW189" s="577"/>
      <c r="AX189" s="580"/>
      <c r="AY189" s="577"/>
      <c r="AZ189" s="580"/>
      <c r="BA189" s="577"/>
      <c r="BB189" s="580"/>
      <c r="BC189" s="577"/>
      <c r="BD189" s="580"/>
      <c r="BE189" s="577"/>
      <c r="BF189" s="580"/>
      <c r="BG189" s="577"/>
      <c r="BH189" s="580"/>
      <c r="BI189" s="577"/>
      <c r="BJ189" s="580"/>
      <c r="BK189" s="577"/>
      <c r="BL189" s="580"/>
      <c r="BM189" s="577"/>
      <c r="BN189" s="580"/>
      <c r="BO189" s="577"/>
      <c r="BP189" s="580"/>
      <c r="BQ189" s="577"/>
      <c r="BR189" s="580"/>
      <c r="BS189" s="577"/>
      <c r="BT189" s="580"/>
      <c r="BU189" s="577"/>
      <c r="BV189" s="580"/>
      <c r="BW189" s="577"/>
      <c r="BX189" s="580"/>
      <c r="BY189" s="577"/>
      <c r="BZ189" s="580"/>
      <c r="CA189" s="577"/>
      <c r="CB189" s="580"/>
      <c r="CC189" s="577"/>
      <c r="CD189" s="580"/>
      <c r="CE189" s="577"/>
      <c r="CF189" s="580"/>
      <c r="CG189" s="577"/>
      <c r="CH189" s="580"/>
      <c r="CI189" s="577"/>
      <c r="CJ189" s="580"/>
      <c r="CK189" s="577"/>
      <c r="CL189" s="580"/>
      <c r="CM189" s="577"/>
      <c r="CN189" s="580"/>
      <c r="CO189" s="577"/>
      <c r="CP189" s="580"/>
      <c r="CQ189" s="577"/>
      <c r="CR189" s="580"/>
      <c r="CS189" s="577"/>
      <c r="CT189" s="580"/>
      <c r="CU189" s="577"/>
      <c r="CV189" s="580"/>
      <c r="CW189" s="577"/>
      <c r="CX189" s="580"/>
      <c r="CY189" s="577"/>
      <c r="CZ189" s="580"/>
      <c r="DA189" s="577"/>
      <c r="DB189" s="587"/>
      <c r="DC189" s="580"/>
      <c r="DD189" s="577"/>
      <c r="DE189" s="580"/>
      <c r="DF189" s="577"/>
      <c r="DG189" s="580"/>
      <c r="DH189" s="577"/>
      <c r="DI189" s="580"/>
      <c r="DJ189" s="577"/>
      <c r="DK189" s="580"/>
      <c r="DL189" s="577"/>
      <c r="DM189" s="580"/>
      <c r="DN189" s="577"/>
      <c r="DO189" s="580"/>
      <c r="DP189" s="577"/>
      <c r="DQ189" s="580"/>
      <c r="DR189" s="577"/>
      <c r="DS189" s="580"/>
      <c r="DT189" s="577"/>
      <c r="DU189" s="580"/>
      <c r="DV189" s="577"/>
      <c r="DW189" s="580"/>
      <c r="DX189" s="577"/>
      <c r="DY189" s="580"/>
      <c r="DZ189" s="577"/>
      <c r="EA189" s="580"/>
      <c r="EB189" s="577"/>
      <c r="EC189" s="580"/>
      <c r="ED189" s="577"/>
      <c r="EE189" s="580"/>
      <c r="EF189" s="577"/>
      <c r="EG189" s="580"/>
      <c r="EH189" s="577"/>
      <c r="EI189" s="580"/>
      <c r="EJ189" s="577"/>
      <c r="EK189" s="580"/>
      <c r="EL189" s="577"/>
      <c r="EM189" s="577"/>
    </row>
    <row r="190" spans="1:144" ht="21.95" hidden="1" customHeight="1" outlineLevel="1" x14ac:dyDescent="0.25">
      <c r="A190" s="546" t="str">
        <f>$A$1</f>
        <v>Prudential Financial, Inc.</v>
      </c>
      <c r="B190" s="554"/>
      <c r="C190" s="555"/>
      <c r="D190" s="554"/>
      <c r="E190" s="555"/>
      <c r="F190" s="554"/>
      <c r="G190" s="555"/>
      <c r="H190" s="554"/>
      <c r="I190" s="555"/>
      <c r="J190" s="554"/>
      <c r="K190" s="555"/>
      <c r="L190" s="554"/>
      <c r="M190" s="555"/>
      <c r="N190" s="554"/>
      <c r="O190" s="555"/>
      <c r="P190" s="554"/>
      <c r="Q190" s="555"/>
      <c r="R190" s="554"/>
      <c r="S190" s="555"/>
      <c r="T190" s="554"/>
      <c r="U190" s="555"/>
      <c r="V190" s="554"/>
      <c r="W190" s="555"/>
      <c r="X190" s="554"/>
      <c r="Y190" s="555"/>
      <c r="Z190" s="554"/>
      <c r="AA190" s="555"/>
      <c r="AB190" s="554"/>
      <c r="AC190" s="555"/>
      <c r="AD190" s="554"/>
      <c r="AE190" s="555"/>
      <c r="AF190" s="554"/>
      <c r="AG190" s="555"/>
      <c r="AH190" s="554"/>
      <c r="AI190" s="555"/>
      <c r="AJ190" s="554"/>
      <c r="AK190" s="555"/>
      <c r="AL190" s="554"/>
      <c r="AM190" s="555"/>
      <c r="AN190" s="554"/>
      <c r="AO190" s="555"/>
      <c r="AP190" s="554"/>
      <c r="AQ190" s="555"/>
      <c r="AR190" s="554"/>
      <c r="AS190" s="555"/>
      <c r="AT190" s="554"/>
      <c r="AU190" s="555"/>
      <c r="AV190" s="554"/>
      <c r="AW190" s="555"/>
      <c r="AX190" s="554"/>
      <c r="AY190" s="555"/>
      <c r="AZ190" s="554"/>
      <c r="BA190" s="555"/>
      <c r="BB190" s="554"/>
      <c r="BC190" s="555"/>
      <c r="BD190" s="554"/>
      <c r="BE190" s="555"/>
      <c r="BF190" s="554"/>
      <c r="BG190" s="555"/>
      <c r="BH190" s="554"/>
      <c r="BI190" s="555"/>
      <c r="BJ190" s="554"/>
      <c r="BK190" s="555"/>
      <c r="BL190" s="554"/>
      <c r="BM190" s="555"/>
      <c r="BN190" s="554"/>
      <c r="BO190" s="555"/>
      <c r="BP190" s="554"/>
      <c r="BQ190" s="555"/>
      <c r="BR190" s="554"/>
      <c r="BS190" s="555"/>
      <c r="BT190" s="554"/>
      <c r="BU190" s="555"/>
      <c r="BV190" s="554"/>
      <c r="BW190" s="555"/>
      <c r="BX190" s="554"/>
      <c r="BY190" s="555"/>
      <c r="BZ190" s="554"/>
      <c r="CA190" s="555"/>
      <c r="CB190" s="554"/>
      <c r="CC190" s="555"/>
      <c r="CD190" s="554"/>
      <c r="CE190" s="555"/>
      <c r="CF190" s="554"/>
      <c r="CG190" s="555"/>
      <c r="CH190" s="554"/>
      <c r="CI190" s="555"/>
      <c r="CJ190" s="554"/>
      <c r="CK190" s="555"/>
      <c r="CL190" s="554"/>
      <c r="CM190" s="555"/>
      <c r="CN190" s="554"/>
      <c r="CO190" s="555"/>
      <c r="CP190" s="554"/>
      <c r="CQ190" s="555"/>
      <c r="CR190" s="554"/>
      <c r="CS190" s="555"/>
      <c r="CT190" s="554"/>
      <c r="CU190" s="555"/>
      <c r="CV190" s="554"/>
      <c r="CW190" s="555"/>
      <c r="CX190" s="554"/>
      <c r="CY190" s="555"/>
      <c r="CZ190" s="554"/>
      <c r="DA190" s="555"/>
      <c r="DB190" s="556"/>
      <c r="DC190" s="554"/>
      <c r="DD190" s="555"/>
      <c r="DE190" s="554"/>
      <c r="DF190" s="555"/>
      <c r="DG190" s="554"/>
      <c r="DH190" s="555"/>
      <c r="DI190" s="554"/>
      <c r="DJ190" s="555"/>
      <c r="DK190" s="554"/>
      <c r="DL190" s="555"/>
      <c r="DM190" s="554"/>
      <c r="DN190" s="555"/>
      <c r="DO190" s="554"/>
      <c r="DP190" s="555"/>
      <c r="DQ190" s="554"/>
      <c r="DR190" s="555"/>
      <c r="DS190" s="554"/>
      <c r="DT190" s="555"/>
      <c r="DU190" s="554"/>
      <c r="DV190" s="555"/>
      <c r="DW190" s="554"/>
      <c r="DX190" s="555"/>
      <c r="DY190" s="554"/>
      <c r="DZ190" s="555"/>
      <c r="EA190" s="554"/>
      <c r="EB190" s="555"/>
      <c r="EC190" s="554"/>
      <c r="ED190" s="555"/>
      <c r="EE190" s="554"/>
      <c r="EF190" s="555"/>
      <c r="EG190" s="554"/>
      <c r="EH190" s="555"/>
      <c r="EI190" s="554"/>
      <c r="EJ190" s="555"/>
      <c r="EK190" s="554"/>
      <c r="EL190" s="555"/>
      <c r="EM190" s="554"/>
    </row>
    <row r="191" spans="1:144" ht="12.75" hidden="1" customHeight="1" outlineLevel="1" x14ac:dyDescent="0.2">
      <c r="A191" s="557" t="s">
        <v>291</v>
      </c>
      <c r="B191" s="558"/>
      <c r="C191" s="559"/>
      <c r="D191" s="558"/>
      <c r="E191" s="559"/>
      <c r="F191" s="558"/>
      <c r="G191" s="559"/>
      <c r="H191" s="558"/>
      <c r="I191" s="559"/>
      <c r="J191" s="558"/>
      <c r="K191" s="559"/>
      <c r="L191" s="558"/>
      <c r="M191" s="559"/>
      <c r="N191" s="558"/>
      <c r="O191" s="559"/>
      <c r="P191" s="558"/>
      <c r="Q191" s="559"/>
      <c r="R191" s="558"/>
      <c r="S191" s="559"/>
      <c r="T191" s="558"/>
      <c r="U191" s="559"/>
      <c r="V191" s="558"/>
      <c r="W191" s="559"/>
      <c r="X191" s="558"/>
      <c r="Y191" s="559"/>
      <c r="Z191" s="558"/>
      <c r="AA191" s="559"/>
      <c r="AB191" s="558"/>
      <c r="AC191" s="559"/>
      <c r="AD191" s="558"/>
      <c r="AE191" s="559"/>
      <c r="AF191" s="558"/>
      <c r="AG191" s="559"/>
      <c r="AH191" s="558"/>
      <c r="AI191" s="559"/>
      <c r="AJ191" s="558"/>
      <c r="AK191" s="559"/>
      <c r="AL191" s="558"/>
      <c r="AM191" s="559"/>
      <c r="AN191" s="558"/>
      <c r="AO191" s="559"/>
      <c r="AP191" s="558"/>
      <c r="AQ191" s="559"/>
      <c r="AR191" s="558"/>
      <c r="AS191" s="559"/>
      <c r="AT191" s="558"/>
      <c r="AU191" s="559"/>
      <c r="AV191" s="558"/>
      <c r="AW191" s="559"/>
      <c r="AX191" s="558"/>
      <c r="AY191" s="559"/>
      <c r="AZ191" s="558"/>
      <c r="BA191" s="559"/>
      <c r="BB191" s="558"/>
      <c r="BC191" s="559"/>
      <c r="BD191" s="558"/>
      <c r="BE191" s="559"/>
      <c r="BF191" s="558"/>
      <c r="BG191" s="559"/>
      <c r="BH191" s="558"/>
      <c r="BI191" s="559"/>
      <c r="BJ191" s="558"/>
      <c r="BK191" s="559"/>
      <c r="BL191" s="558"/>
      <c r="BM191" s="559"/>
      <c r="BN191" s="558"/>
      <c r="BO191" s="559"/>
      <c r="BP191" s="558"/>
      <c r="BQ191" s="559"/>
      <c r="BR191" s="558"/>
      <c r="BS191" s="559"/>
      <c r="BT191" s="558"/>
      <c r="BU191" s="559"/>
      <c r="BV191" s="558"/>
      <c r="BW191" s="559"/>
      <c r="BX191" s="558"/>
      <c r="BY191" s="559"/>
      <c r="BZ191" s="558"/>
      <c r="CA191" s="559"/>
      <c r="CB191" s="558"/>
      <c r="CC191" s="559"/>
      <c r="CD191" s="558"/>
      <c r="CE191" s="559"/>
      <c r="CF191" s="558"/>
      <c r="CG191" s="559"/>
      <c r="CH191" s="558"/>
      <c r="CI191" s="559"/>
      <c r="CJ191" s="558"/>
      <c r="CK191" s="559"/>
      <c r="CL191" s="558"/>
      <c r="CM191" s="559"/>
      <c r="CN191" s="558"/>
      <c r="CO191" s="559"/>
      <c r="CP191" s="558"/>
      <c r="CQ191" s="559"/>
      <c r="CR191" s="558"/>
      <c r="CS191" s="559"/>
      <c r="CT191" s="558"/>
      <c r="CU191" s="559"/>
      <c r="CV191" s="558"/>
      <c r="CW191" s="559"/>
      <c r="CX191" s="558"/>
      <c r="CY191" s="559"/>
      <c r="CZ191" s="558"/>
      <c r="DA191" s="559"/>
      <c r="DB191" s="560"/>
      <c r="DC191" s="561"/>
      <c r="DD191" s="559"/>
      <c r="DE191" s="558"/>
      <c r="DF191" s="559"/>
      <c r="DG191" s="558"/>
      <c r="DH191" s="559"/>
      <c r="DI191" s="558"/>
      <c r="DJ191" s="559"/>
      <c r="DK191" s="558"/>
      <c r="DL191" s="559"/>
      <c r="DM191" s="558"/>
      <c r="DN191" s="559"/>
      <c r="DO191" s="558"/>
      <c r="DP191" s="559"/>
      <c r="DQ191" s="558"/>
      <c r="DR191" s="559"/>
      <c r="DS191" s="558"/>
      <c r="DT191" s="559"/>
      <c r="DU191" s="558"/>
      <c r="DV191" s="559"/>
      <c r="DW191" s="558"/>
      <c r="DX191" s="559"/>
      <c r="DY191" s="558"/>
      <c r="DZ191" s="559"/>
      <c r="EA191" s="558"/>
      <c r="EB191" s="559"/>
      <c r="EC191" s="558"/>
      <c r="ED191" s="559"/>
      <c r="EE191" s="558"/>
      <c r="EF191" s="559"/>
      <c r="EG191" s="558"/>
      <c r="EH191" s="559"/>
      <c r="EI191" s="558"/>
      <c r="EJ191" s="559"/>
      <c r="EK191" s="558"/>
      <c r="EL191" s="559"/>
      <c r="EM191" s="558"/>
    </row>
    <row r="192" spans="1:144" ht="12.75" hidden="1" customHeight="1" outlineLevel="1" x14ac:dyDescent="0.2">
      <c r="A192" s="548" t="str">
        <f>A$3</f>
        <v>($Millions Except Per Share Data)</v>
      </c>
      <c r="B192" s="563"/>
      <c r="C192" s="564" t="str">
        <f>C$3</f>
        <v>1Q06/</v>
      </c>
      <c r="D192" s="563"/>
      <c r="E192" s="564" t="str">
        <f>E$3</f>
        <v>2Q06/</v>
      </c>
      <c r="F192" s="563"/>
      <c r="G192" s="564" t="str">
        <f>G$3</f>
        <v>3Q06/</v>
      </c>
      <c r="H192" s="563"/>
      <c r="I192" s="564" t="str">
        <f>I$3</f>
        <v>4Q06/</v>
      </c>
      <c r="J192" s="563"/>
      <c r="K192" s="564" t="str">
        <f>K$3</f>
        <v>1Q07/</v>
      </c>
      <c r="L192" s="563"/>
      <c r="M192" s="564" t="str">
        <f>M$3</f>
        <v>2Q07/</v>
      </c>
      <c r="N192" s="563"/>
      <c r="O192" s="564" t="str">
        <f>O$3</f>
        <v>3Q07/</v>
      </c>
      <c r="P192" s="563"/>
      <c r="Q192" s="564" t="str">
        <f>Q$3</f>
        <v>4Q07/</v>
      </c>
      <c r="R192" s="563"/>
      <c r="S192" s="564" t="str">
        <f>S$3</f>
        <v>1Q08/</v>
      </c>
      <c r="T192" s="563"/>
      <c r="U192" s="564" t="str">
        <f>U$3</f>
        <v>2Q08/</v>
      </c>
      <c r="V192" s="563"/>
      <c r="W192" s="564" t="str">
        <f>W$3</f>
        <v>3Q08/</v>
      </c>
      <c r="X192" s="563"/>
      <c r="Y192" s="564" t="str">
        <f>Y$3</f>
        <v>4Q08/</v>
      </c>
      <c r="Z192" s="563"/>
      <c r="AA192" s="564" t="str">
        <f>AA$3</f>
        <v>1Q09/</v>
      </c>
      <c r="AB192" s="563"/>
      <c r="AC192" s="564" t="str">
        <f>AC$3</f>
        <v>2Q09/</v>
      </c>
      <c r="AD192" s="563"/>
      <c r="AE192" s="564" t="str">
        <f>AE$3</f>
        <v>3Q09/</v>
      </c>
      <c r="AF192" s="563"/>
      <c r="AG192" s="564" t="str">
        <f>AG$3</f>
        <v>4Q09/</v>
      </c>
      <c r="AH192" s="563"/>
      <c r="AI192" s="564" t="str">
        <f>AI$3</f>
        <v>1Q10/</v>
      </c>
      <c r="AJ192" s="563"/>
      <c r="AK192" s="564" t="str">
        <f>AK$3</f>
        <v>2Q10/</v>
      </c>
      <c r="AL192" s="563"/>
      <c r="AM192" s="564" t="str">
        <f>AM$3</f>
        <v>3Q10/</v>
      </c>
      <c r="AN192" s="563"/>
      <c r="AO192" s="564" t="str">
        <f>AO$3</f>
        <v>4Q10/</v>
      </c>
      <c r="AP192" s="563"/>
      <c r="AQ192" s="564" t="str">
        <f>AQ$3</f>
        <v>1Q11/</v>
      </c>
      <c r="AR192" s="563"/>
      <c r="AS192" s="564" t="str">
        <f>AS$3</f>
        <v>2Q11/</v>
      </c>
      <c r="AT192" s="563"/>
      <c r="AU192" s="564" t="str">
        <f>AU$3</f>
        <v>3Q11/</v>
      </c>
      <c r="AV192" s="563"/>
      <c r="AW192" s="564" t="str">
        <f>AW$3</f>
        <v>4Q11/</v>
      </c>
      <c r="AX192" s="563"/>
      <c r="AY192" s="564" t="str">
        <f>AY$3</f>
        <v>1Q12/</v>
      </c>
      <c r="AZ192" s="563"/>
      <c r="BA192" s="564" t="str">
        <f>BA$3</f>
        <v>2Q12/</v>
      </c>
      <c r="BB192" s="563"/>
      <c r="BC192" s="564" t="str">
        <f>BC$3</f>
        <v>3Q12/</v>
      </c>
      <c r="BD192" s="563"/>
      <c r="BE192" s="564" t="str">
        <f>BE$3</f>
        <v>4Q12/</v>
      </c>
      <c r="BF192" s="563"/>
      <c r="BG192" s="564" t="str">
        <f>BG$3</f>
        <v>1Q13/</v>
      </c>
      <c r="BH192" s="563"/>
      <c r="BI192" s="564" t="str">
        <f>BI$3</f>
        <v>2Q13/</v>
      </c>
      <c r="BJ192" s="563"/>
      <c r="BK192" s="564" t="str">
        <f>BK$3</f>
        <v>3Q13/</v>
      </c>
      <c r="BL192" s="563"/>
      <c r="BM192" s="564" t="str">
        <f>BM$3</f>
        <v>4Q13/</v>
      </c>
      <c r="BN192" s="563"/>
      <c r="BO192" s="564" t="str">
        <f>BO$3</f>
        <v>1Q14/</v>
      </c>
      <c r="BP192" s="563"/>
      <c r="BQ192" s="564" t="str">
        <f>BQ$3</f>
        <v>2Q14/</v>
      </c>
      <c r="BR192" s="563"/>
      <c r="BS192" s="564" t="str">
        <f>BS$3</f>
        <v>3Q14/</v>
      </c>
      <c r="BT192" s="563"/>
      <c r="BU192" s="564" t="str">
        <f>BU$3</f>
        <v>4Q14/</v>
      </c>
      <c r="BV192" s="563"/>
      <c r="BW192" s="564" t="str">
        <f>BW$3</f>
        <v>1Q15/</v>
      </c>
      <c r="BX192" s="563"/>
      <c r="BY192" s="564" t="str">
        <f>BY$3</f>
        <v>2Q15/</v>
      </c>
      <c r="BZ192" s="563"/>
      <c r="CA192" s="564" t="str">
        <f>CA$3</f>
        <v>3Q15/</v>
      </c>
      <c r="CB192" s="563"/>
      <c r="CC192" s="564" t="str">
        <f>CC$3</f>
        <v>4Q15/</v>
      </c>
      <c r="CD192" s="563"/>
      <c r="CE192" s="564" t="str">
        <f>CE$3</f>
        <v>1Q16/</v>
      </c>
      <c r="CF192" s="563"/>
      <c r="CG192" s="564" t="str">
        <f>CG$3</f>
        <v>2Q16/</v>
      </c>
      <c r="CH192" s="563"/>
      <c r="CI192" s="564" t="str">
        <f>CI$3</f>
        <v>3Q16/</v>
      </c>
      <c r="CJ192" s="563"/>
      <c r="CK192" s="564" t="str">
        <f>CK$3</f>
        <v>4Q16/</v>
      </c>
      <c r="CL192" s="563"/>
      <c r="CM192" s="564" t="str">
        <f>CM$3</f>
        <v>1Q17/</v>
      </c>
      <c r="CN192" s="563"/>
      <c r="CO192" s="564" t="str">
        <f>CO$3</f>
        <v>2Q17/</v>
      </c>
      <c r="CP192" s="563"/>
      <c r="CQ192" s="564" t="str">
        <f>CQ$3</f>
        <v>3Q17/</v>
      </c>
      <c r="CR192" s="563"/>
      <c r="CS192" s="564" t="str">
        <f>CS$3</f>
        <v>4Q17/</v>
      </c>
      <c r="CT192" s="563"/>
      <c r="CU192" s="564" t="str">
        <f>CU$3</f>
        <v>1Q18E/</v>
      </c>
      <c r="CV192" s="563"/>
      <c r="CW192" s="564" t="str">
        <f>CW$3</f>
        <v>2Q18E/</v>
      </c>
      <c r="CX192" s="563"/>
      <c r="CY192" s="564" t="str">
        <f>CY$3</f>
        <v>3Q18E/</v>
      </c>
      <c r="CZ192" s="563"/>
      <c r="DA192" s="564" t="str">
        <f>DA$3</f>
        <v>4Q18E/</v>
      </c>
      <c r="DB192" s="565"/>
      <c r="DC192" s="563"/>
      <c r="DD192" s="564" t="str">
        <f>DD$3</f>
        <v>2005/</v>
      </c>
      <c r="DE192" s="563"/>
      <c r="DF192" s="564" t="str">
        <f>DF$3</f>
        <v>2006/</v>
      </c>
      <c r="DG192" s="563"/>
      <c r="DH192" s="564" t="str">
        <f>DH$3</f>
        <v>2007/</v>
      </c>
      <c r="DI192" s="563"/>
      <c r="DJ192" s="564" t="str">
        <f>DJ$3</f>
        <v>2008/</v>
      </c>
      <c r="DK192" s="563"/>
      <c r="DL192" s="564" t="str">
        <f>DL$3</f>
        <v>2009/</v>
      </c>
      <c r="DM192" s="563"/>
      <c r="DN192" s="564" t="str">
        <f>DN$3</f>
        <v>2010/</v>
      </c>
      <c r="DO192" s="563"/>
      <c r="DP192" s="564" t="str">
        <f>DP$3</f>
        <v>2011/</v>
      </c>
      <c r="DQ192" s="563"/>
      <c r="DR192" s="564" t="str">
        <f>DR$3</f>
        <v>2012/</v>
      </c>
      <c r="DS192" s="563"/>
      <c r="DT192" s="564" t="str">
        <f>DT$3</f>
        <v>2013/</v>
      </c>
      <c r="DU192" s="563"/>
      <c r="DV192" s="564" t="str">
        <f>DV$3</f>
        <v>2014/</v>
      </c>
      <c r="DW192" s="563"/>
      <c r="DX192" s="564" t="str">
        <f>DX$3</f>
        <v>2015/</v>
      </c>
      <c r="DY192" s="563"/>
      <c r="DZ192" s="564" t="str">
        <f>DZ$3</f>
        <v>2016/</v>
      </c>
      <c r="EA192" s="563"/>
      <c r="EB192" s="564" t="str">
        <f>EB$3</f>
        <v>2017/</v>
      </c>
      <c r="EC192" s="563"/>
      <c r="ED192" s="564" t="str">
        <f>ED$3</f>
        <v>2018E/</v>
      </c>
      <c r="EE192" s="563"/>
      <c r="EF192" s="564" t="str">
        <f>EF$3</f>
        <v>2019E/</v>
      </c>
      <c r="EG192" s="563"/>
      <c r="EH192" s="564" t="str">
        <f>EH$3</f>
        <v>2020E/</v>
      </c>
      <c r="EI192" s="563"/>
      <c r="EJ192" s="564" t="str">
        <f>EJ$3</f>
        <v>2021E/</v>
      </c>
      <c r="EK192" s="563"/>
      <c r="EL192" s="564" t="str">
        <f>EL$3</f>
        <v>2022E/</v>
      </c>
      <c r="EM192" s="566" t="str">
        <f>EM$3</f>
        <v>5-Yr</v>
      </c>
      <c r="EN192" s="549"/>
    </row>
    <row r="193" spans="1:144" ht="12.75" hidden="1" customHeight="1" outlineLevel="1" x14ac:dyDescent="0.2">
      <c r="A193" s="567"/>
      <c r="B193" s="568"/>
      <c r="C193" s="559" t="str">
        <f>C$4</f>
        <v>1Q05</v>
      </c>
      <c r="D193" s="568"/>
      <c r="E193" s="559" t="str">
        <f>E$4</f>
        <v>2Q05</v>
      </c>
      <c r="F193" s="568"/>
      <c r="G193" s="559" t="str">
        <f>G$4</f>
        <v>3Q05</v>
      </c>
      <c r="H193" s="568"/>
      <c r="I193" s="559" t="str">
        <f>I$4</f>
        <v>4Q05</v>
      </c>
      <c r="J193" s="568"/>
      <c r="K193" s="559" t="str">
        <f>K$4</f>
        <v>1Q06</v>
      </c>
      <c r="L193" s="568"/>
      <c r="M193" s="559" t="str">
        <f>M$4</f>
        <v>2Q06</v>
      </c>
      <c r="N193" s="568"/>
      <c r="O193" s="559" t="str">
        <f>O$4</f>
        <v>3Q06</v>
      </c>
      <c r="P193" s="568"/>
      <c r="Q193" s="559" t="str">
        <f>Q$4</f>
        <v>4Q06</v>
      </c>
      <c r="R193" s="568"/>
      <c r="S193" s="559" t="str">
        <f>S$4</f>
        <v>1Q07</v>
      </c>
      <c r="T193" s="568"/>
      <c r="U193" s="559" t="str">
        <f>U$4</f>
        <v>2Q07</v>
      </c>
      <c r="V193" s="568"/>
      <c r="W193" s="559" t="str">
        <f>W$4</f>
        <v>3Q07</v>
      </c>
      <c r="X193" s="568"/>
      <c r="Y193" s="559" t="str">
        <f>Y$4</f>
        <v>4Q07</v>
      </c>
      <c r="Z193" s="568"/>
      <c r="AA193" s="559" t="str">
        <f>AA$4</f>
        <v>1Q08</v>
      </c>
      <c r="AB193" s="568"/>
      <c r="AC193" s="559" t="str">
        <f>AC$4</f>
        <v>2Q08</v>
      </c>
      <c r="AD193" s="568"/>
      <c r="AE193" s="559" t="str">
        <f>AE$4</f>
        <v>3Q08</v>
      </c>
      <c r="AF193" s="568"/>
      <c r="AG193" s="559" t="str">
        <f>AG$4</f>
        <v>4Q08</v>
      </c>
      <c r="AH193" s="568"/>
      <c r="AI193" s="559" t="str">
        <f>AI$4</f>
        <v>1Q09</v>
      </c>
      <c r="AJ193" s="568"/>
      <c r="AK193" s="559" t="str">
        <f>AK$4</f>
        <v>2Q09</v>
      </c>
      <c r="AL193" s="568"/>
      <c r="AM193" s="559" t="str">
        <f>AM$4</f>
        <v>3Q09</v>
      </c>
      <c r="AN193" s="568"/>
      <c r="AO193" s="559" t="str">
        <f>AO$4</f>
        <v>4Q09</v>
      </c>
      <c r="AP193" s="568"/>
      <c r="AQ193" s="559" t="str">
        <f>AQ$4</f>
        <v>1Q10</v>
      </c>
      <c r="AR193" s="568"/>
      <c r="AS193" s="559" t="str">
        <f>AS$4</f>
        <v>2Q10</v>
      </c>
      <c r="AT193" s="568"/>
      <c r="AU193" s="559" t="str">
        <f>AU$4</f>
        <v>3Q10</v>
      </c>
      <c r="AV193" s="568"/>
      <c r="AW193" s="559" t="str">
        <f>AW$4</f>
        <v>4Q10</v>
      </c>
      <c r="AX193" s="568"/>
      <c r="AY193" s="559" t="str">
        <f>AY$4</f>
        <v>1Q11</v>
      </c>
      <c r="AZ193" s="568"/>
      <c r="BA193" s="559" t="str">
        <f>BA$4</f>
        <v>2Q11</v>
      </c>
      <c r="BB193" s="568"/>
      <c r="BC193" s="559" t="str">
        <f>BC$4</f>
        <v>3Q11</v>
      </c>
      <c r="BD193" s="568"/>
      <c r="BE193" s="559" t="str">
        <f>BE$4</f>
        <v>4Q11</v>
      </c>
      <c r="BF193" s="568"/>
      <c r="BG193" s="559" t="str">
        <f>BG$4</f>
        <v>1Q12</v>
      </c>
      <c r="BH193" s="568"/>
      <c r="BI193" s="559" t="str">
        <f>BI$4</f>
        <v>2Q12</v>
      </c>
      <c r="BJ193" s="568"/>
      <c r="BK193" s="559" t="str">
        <f>BK$4</f>
        <v>3Q12</v>
      </c>
      <c r="BL193" s="568"/>
      <c r="BM193" s="559" t="str">
        <f>BM$4</f>
        <v>4Q12</v>
      </c>
      <c r="BN193" s="568"/>
      <c r="BO193" s="559" t="str">
        <f>BO$4</f>
        <v>1Q13</v>
      </c>
      <c r="BP193" s="568"/>
      <c r="BQ193" s="559" t="str">
        <f>BQ$4</f>
        <v>2Q13</v>
      </c>
      <c r="BR193" s="568"/>
      <c r="BS193" s="559" t="str">
        <f>BS$4</f>
        <v>3Q13</v>
      </c>
      <c r="BT193" s="568"/>
      <c r="BU193" s="559" t="str">
        <f>BU$4</f>
        <v>4Q13</v>
      </c>
      <c r="BV193" s="568"/>
      <c r="BW193" s="559" t="str">
        <f>BW$4</f>
        <v>1Q14</v>
      </c>
      <c r="BX193" s="568"/>
      <c r="BY193" s="559" t="str">
        <f>BY$4</f>
        <v>2Q14</v>
      </c>
      <c r="BZ193" s="568"/>
      <c r="CA193" s="559" t="str">
        <f>CA$4</f>
        <v>3Q14</v>
      </c>
      <c r="CB193" s="568"/>
      <c r="CC193" s="559" t="str">
        <f>CC$4</f>
        <v>4Q14</v>
      </c>
      <c r="CD193" s="568"/>
      <c r="CE193" s="559" t="str">
        <f>CE$4</f>
        <v>1Q15</v>
      </c>
      <c r="CF193" s="568"/>
      <c r="CG193" s="559" t="str">
        <f>CG$4</f>
        <v>2Q15</v>
      </c>
      <c r="CH193" s="568"/>
      <c r="CI193" s="559" t="str">
        <f>CI$4</f>
        <v>3Q15</v>
      </c>
      <c r="CJ193" s="568"/>
      <c r="CK193" s="559" t="str">
        <f>CK$4</f>
        <v>4Q15</v>
      </c>
      <c r="CL193" s="568"/>
      <c r="CM193" s="559" t="str">
        <f>CM$4</f>
        <v>1Q16</v>
      </c>
      <c r="CN193" s="568"/>
      <c r="CO193" s="559" t="str">
        <f>CO$4</f>
        <v>2Q16</v>
      </c>
      <c r="CP193" s="568"/>
      <c r="CQ193" s="559" t="str">
        <f>CQ$4</f>
        <v>3Q16</v>
      </c>
      <c r="CR193" s="568"/>
      <c r="CS193" s="559" t="str">
        <f>CS$4</f>
        <v>4Q16</v>
      </c>
      <c r="CT193" s="568"/>
      <c r="CU193" s="559" t="str">
        <f>CU$4</f>
        <v>1Q17</v>
      </c>
      <c r="CV193" s="568"/>
      <c r="CW193" s="559" t="str">
        <f>CW$4</f>
        <v>2Q17</v>
      </c>
      <c r="CX193" s="568"/>
      <c r="CY193" s="559" t="str">
        <f>CY$4</f>
        <v>3Q17</v>
      </c>
      <c r="CZ193" s="568"/>
      <c r="DA193" s="559" t="str">
        <f>DA$4</f>
        <v>4Q17</v>
      </c>
      <c r="DB193" s="560"/>
      <c r="DC193" s="568"/>
      <c r="DD193" s="568">
        <f>DD$4</f>
        <v>2004</v>
      </c>
      <c r="DE193" s="568"/>
      <c r="DF193" s="559" t="str">
        <f>DF$4</f>
        <v>2005</v>
      </c>
      <c r="DG193" s="568"/>
      <c r="DH193" s="559" t="str">
        <f>DH$4</f>
        <v>2006</v>
      </c>
      <c r="DI193" s="568"/>
      <c r="DJ193" s="569">
        <f>DJ$4</f>
        <v>2007</v>
      </c>
      <c r="DK193" s="568"/>
      <c r="DL193" s="559" t="str">
        <f>DL$4</f>
        <v>2008</v>
      </c>
      <c r="DM193" s="568"/>
      <c r="DN193" s="559" t="str">
        <f>DN$4</f>
        <v>2009</v>
      </c>
      <c r="DO193" s="568"/>
      <c r="DP193" s="559" t="str">
        <f>DP$4</f>
        <v>2010</v>
      </c>
      <c r="DQ193" s="568"/>
      <c r="DR193" s="559" t="str">
        <f>DR$4</f>
        <v>2011</v>
      </c>
      <c r="DS193" s="568"/>
      <c r="DT193" s="559" t="str">
        <f>DT$4</f>
        <v>2012</v>
      </c>
      <c r="DU193" s="568"/>
      <c r="DV193" s="559" t="str">
        <f>DV$4</f>
        <v>2013</v>
      </c>
      <c r="DW193" s="568"/>
      <c r="DX193" s="559">
        <f>DX$4</f>
        <v>2014</v>
      </c>
      <c r="DY193" s="568"/>
      <c r="DZ193" s="559" t="str">
        <f>DZ$4</f>
        <v>2015</v>
      </c>
      <c r="EA193" s="568"/>
      <c r="EB193" s="559">
        <f>EB$4</f>
        <v>2016</v>
      </c>
      <c r="EC193" s="568"/>
      <c r="ED193" s="559">
        <f>ED$4</f>
        <v>2017</v>
      </c>
      <c r="EE193" s="568"/>
      <c r="EF193" s="559" t="str">
        <f>EF$4</f>
        <v>2018E</v>
      </c>
      <c r="EG193" s="568"/>
      <c r="EH193" s="559" t="str">
        <f>EH$4</f>
        <v>2019E</v>
      </c>
      <c r="EI193" s="568"/>
      <c r="EJ193" s="559" t="str">
        <f>EJ$4</f>
        <v>2020E</v>
      </c>
      <c r="EK193" s="568"/>
      <c r="EL193" s="559" t="str">
        <f>EL$4</f>
        <v>2021E</v>
      </c>
      <c r="EM193" s="558" t="str">
        <f>EM$4</f>
        <v>CAGR</v>
      </c>
      <c r="EN193" s="549"/>
    </row>
    <row r="194" spans="1:144" ht="12.75" hidden="1" customHeight="1" outlineLevel="1" x14ac:dyDescent="0.2">
      <c r="A194" s="570"/>
      <c r="B194" s="571" t="str">
        <f>+B$5</f>
        <v>1Q06</v>
      </c>
      <c r="C194" s="572" t="str">
        <f>C$5</f>
        <v>% Chg</v>
      </c>
      <c r="D194" s="571" t="str">
        <f>+D$5</f>
        <v>2Q06</v>
      </c>
      <c r="E194" s="572" t="str">
        <f>E$5</f>
        <v>% Chg</v>
      </c>
      <c r="F194" s="571" t="str">
        <f>+F$5</f>
        <v>3Q06</v>
      </c>
      <c r="G194" s="572" t="str">
        <f>G$5</f>
        <v>% Chg</v>
      </c>
      <c r="H194" s="571" t="str">
        <f>+H$5</f>
        <v>4Q06</v>
      </c>
      <c r="I194" s="572" t="str">
        <f>I$5</f>
        <v>% Chg</v>
      </c>
      <c r="J194" s="571" t="str">
        <f>+J$5</f>
        <v>1Q07</v>
      </c>
      <c r="K194" s="572" t="str">
        <f>K$5</f>
        <v>% Chg</v>
      </c>
      <c r="L194" s="571" t="str">
        <f>+L$5</f>
        <v>2Q07</v>
      </c>
      <c r="M194" s="572" t="str">
        <f>M$5</f>
        <v>% Chg</v>
      </c>
      <c r="N194" s="571" t="str">
        <f>+N$5</f>
        <v>3Q07</v>
      </c>
      <c r="O194" s="572" t="str">
        <f>O$5</f>
        <v>% Chg</v>
      </c>
      <c r="P194" s="571" t="str">
        <f>+P$5</f>
        <v>4Q07</v>
      </c>
      <c r="Q194" s="572" t="str">
        <f>Q$5</f>
        <v>% Chg</v>
      </c>
      <c r="R194" s="571" t="str">
        <f>+R$5</f>
        <v>1Q08</v>
      </c>
      <c r="S194" s="572" t="str">
        <f>S$5</f>
        <v>% Chg</v>
      </c>
      <c r="T194" s="571" t="str">
        <f>+T$5</f>
        <v>2Q08</v>
      </c>
      <c r="U194" s="572" t="str">
        <f>U$5</f>
        <v>% Chg</v>
      </c>
      <c r="V194" s="571" t="str">
        <f>+V$5</f>
        <v>3Q08</v>
      </c>
      <c r="W194" s="572" t="str">
        <f>W$5</f>
        <v>% Chg</v>
      </c>
      <c r="X194" s="571" t="str">
        <f>+X$5</f>
        <v>4Q08</v>
      </c>
      <c r="Y194" s="572" t="str">
        <f>Y$5</f>
        <v>% Chg</v>
      </c>
      <c r="Z194" s="571" t="str">
        <f>+Z$5</f>
        <v>1Q09</v>
      </c>
      <c r="AA194" s="572" t="str">
        <f>AA$5</f>
        <v>% Chg</v>
      </c>
      <c r="AB194" s="571" t="str">
        <f>+AB$5</f>
        <v>2Q09</v>
      </c>
      <c r="AC194" s="572" t="str">
        <f>AC$5</f>
        <v>% Chg</v>
      </c>
      <c r="AD194" s="571" t="str">
        <f>+AD$5</f>
        <v>3Q09</v>
      </c>
      <c r="AE194" s="572" t="str">
        <f>AE$5</f>
        <v>% Chg</v>
      </c>
      <c r="AF194" s="571" t="str">
        <f>+AF$5</f>
        <v>4Q09</v>
      </c>
      <c r="AG194" s="572" t="str">
        <f>AG$5</f>
        <v>% Chg</v>
      </c>
      <c r="AH194" s="571" t="str">
        <f>+AH$5</f>
        <v>1Q10</v>
      </c>
      <c r="AI194" s="572" t="str">
        <f>AI$5</f>
        <v>% Chg</v>
      </c>
      <c r="AJ194" s="571" t="str">
        <f>+AJ$5</f>
        <v>2Q10</v>
      </c>
      <c r="AK194" s="572" t="str">
        <f>AK$5</f>
        <v>% Chg</v>
      </c>
      <c r="AL194" s="571" t="str">
        <f>+AL$5</f>
        <v>3Q10</v>
      </c>
      <c r="AM194" s="572" t="str">
        <f>AM$5</f>
        <v>% Chg</v>
      </c>
      <c r="AN194" s="571" t="str">
        <f>+AN$5</f>
        <v>4Q10</v>
      </c>
      <c r="AO194" s="572" t="str">
        <f>AO$5</f>
        <v>% Chg</v>
      </c>
      <c r="AP194" s="571" t="str">
        <f>+AP$5</f>
        <v>1Q11</v>
      </c>
      <c r="AQ194" s="572" t="str">
        <f>AQ$5</f>
        <v>% Chg</v>
      </c>
      <c r="AR194" s="571" t="str">
        <f>+AR$5</f>
        <v>2Q11</v>
      </c>
      <c r="AS194" s="572" t="str">
        <f>AS$5</f>
        <v>% Chg</v>
      </c>
      <c r="AT194" s="571" t="str">
        <f>+AT$5</f>
        <v>3Q11</v>
      </c>
      <c r="AU194" s="572" t="str">
        <f>AU$5</f>
        <v>% Chg</v>
      </c>
      <c r="AV194" s="571" t="str">
        <f>+AV$5</f>
        <v>4Q11</v>
      </c>
      <c r="AW194" s="572" t="str">
        <f>AW$5</f>
        <v>% Chg</v>
      </c>
      <c r="AX194" s="571" t="str">
        <f>+AX$5</f>
        <v>1Q12</v>
      </c>
      <c r="AY194" s="572" t="str">
        <f>AY$5</f>
        <v>% Chg</v>
      </c>
      <c r="AZ194" s="571" t="str">
        <f>+AZ$5</f>
        <v>2Q12</v>
      </c>
      <c r="BA194" s="572" t="str">
        <f>BA$5</f>
        <v>% Chg</v>
      </c>
      <c r="BB194" s="571" t="str">
        <f>+BB$5</f>
        <v>3Q12</v>
      </c>
      <c r="BC194" s="572" t="str">
        <f>BC$5</f>
        <v>% Chg</v>
      </c>
      <c r="BD194" s="571" t="str">
        <f>+BD$5</f>
        <v>4Q12</v>
      </c>
      <c r="BE194" s="572" t="str">
        <f>BE$5</f>
        <v>% Chg</v>
      </c>
      <c r="BF194" s="571" t="str">
        <f>+BF$5</f>
        <v>1Q13</v>
      </c>
      <c r="BG194" s="572" t="str">
        <f>BG$5</f>
        <v>% Chg</v>
      </c>
      <c r="BH194" s="571" t="str">
        <f>+BH$5</f>
        <v>2Q13</v>
      </c>
      <c r="BI194" s="572" t="str">
        <f>BI$5</f>
        <v>% Chg</v>
      </c>
      <c r="BJ194" s="571" t="str">
        <f>+BJ$5</f>
        <v>3Q13</v>
      </c>
      <c r="BK194" s="572" t="str">
        <f>BK$5</f>
        <v>% Chg</v>
      </c>
      <c r="BL194" s="571" t="str">
        <f>+BL$5</f>
        <v>4Q13</v>
      </c>
      <c r="BM194" s="572" t="str">
        <f>BM$5</f>
        <v>% Chg</v>
      </c>
      <c r="BN194" s="571" t="str">
        <f>+BN$5</f>
        <v>1Q14</v>
      </c>
      <c r="BO194" s="572" t="str">
        <f>BO$5</f>
        <v>% Chg</v>
      </c>
      <c r="BP194" s="571" t="str">
        <f>+BP$5</f>
        <v>2Q14</v>
      </c>
      <c r="BQ194" s="572" t="str">
        <f>BQ$5</f>
        <v>% Chg</v>
      </c>
      <c r="BR194" s="571" t="str">
        <f>+BR$5</f>
        <v>3Q14</v>
      </c>
      <c r="BS194" s="572" t="str">
        <f>BS$5</f>
        <v>% Chg</v>
      </c>
      <c r="BT194" s="571" t="str">
        <f>+BT$5</f>
        <v>4Q14</v>
      </c>
      <c r="BU194" s="572" t="str">
        <f>BU$5</f>
        <v>% Chg</v>
      </c>
      <c r="BV194" s="571" t="str">
        <f>+BV$5</f>
        <v>1Q15</v>
      </c>
      <c r="BW194" s="572" t="str">
        <f>BW$5</f>
        <v>% Chg</v>
      </c>
      <c r="BX194" s="571" t="str">
        <f>+BX$5</f>
        <v>2Q15</v>
      </c>
      <c r="BY194" s="572" t="str">
        <f>BY$5</f>
        <v>% Chg</v>
      </c>
      <c r="BZ194" s="571" t="str">
        <f>+BZ$5</f>
        <v>3Q15</v>
      </c>
      <c r="CA194" s="572" t="str">
        <f>CA$5</f>
        <v>% Chg</v>
      </c>
      <c r="CB194" s="571" t="str">
        <f>+CB$5</f>
        <v>4Q15</v>
      </c>
      <c r="CC194" s="572" t="str">
        <f>CC$5</f>
        <v>% Chg</v>
      </c>
      <c r="CD194" s="571" t="str">
        <f>+CD$5</f>
        <v>1Q16</v>
      </c>
      <c r="CE194" s="572" t="str">
        <f>CE$5</f>
        <v>% Chg</v>
      </c>
      <c r="CF194" s="571" t="str">
        <f>+CF$5</f>
        <v>2Q16</v>
      </c>
      <c r="CG194" s="572" t="str">
        <f>CG$5</f>
        <v>% Chg</v>
      </c>
      <c r="CH194" s="571" t="str">
        <f>+CH$5</f>
        <v>3Q16</v>
      </c>
      <c r="CI194" s="572" t="str">
        <f>CI$5</f>
        <v>% Chg</v>
      </c>
      <c r="CJ194" s="571" t="str">
        <f>+CJ$5</f>
        <v>4Q16</v>
      </c>
      <c r="CK194" s="572" t="str">
        <f>CK$5</f>
        <v>% Chg</v>
      </c>
      <c r="CL194" s="571" t="str">
        <f>+CL$5</f>
        <v>1Q17</v>
      </c>
      <c r="CM194" s="572" t="str">
        <f>CM$5</f>
        <v>% Chg</v>
      </c>
      <c r="CN194" s="571" t="str">
        <f>+CN$5</f>
        <v>2Q17</v>
      </c>
      <c r="CO194" s="572" t="str">
        <f>CO$5</f>
        <v>% Chg</v>
      </c>
      <c r="CP194" s="571" t="str">
        <f>+CP$5</f>
        <v>3Q17</v>
      </c>
      <c r="CQ194" s="572" t="str">
        <f>CQ$5</f>
        <v>% Chg</v>
      </c>
      <c r="CR194" s="571" t="str">
        <f>+CR$5</f>
        <v>4Q17</v>
      </c>
      <c r="CS194" s="572" t="str">
        <f>CS$5</f>
        <v>% Chg</v>
      </c>
      <c r="CT194" s="571" t="str">
        <f>+CT$5</f>
        <v>1Q18E</v>
      </c>
      <c r="CU194" s="572" t="str">
        <f>CU$5</f>
        <v>% Chg</v>
      </c>
      <c r="CV194" s="571" t="str">
        <f>+CV$5</f>
        <v>2Q18E</v>
      </c>
      <c r="CW194" s="572" t="str">
        <f>CW$5</f>
        <v>% Chg</v>
      </c>
      <c r="CX194" s="571" t="str">
        <f>+CX$5</f>
        <v>3Q18E</v>
      </c>
      <c r="CY194" s="572" t="str">
        <f>CY$5</f>
        <v>% Chg</v>
      </c>
      <c r="CZ194" s="571" t="str">
        <f>+CZ$5</f>
        <v>4Q18E</v>
      </c>
      <c r="DA194" s="572" t="str">
        <f>DA$5</f>
        <v>% Chg</v>
      </c>
      <c r="DB194" s="573"/>
      <c r="DC194" s="571" t="str">
        <f>+DC$5</f>
        <v>2005</v>
      </c>
      <c r="DD194" s="572" t="str">
        <f>DD$5</f>
        <v>% Chg</v>
      </c>
      <c r="DE194" s="571" t="str">
        <f>+DE$5</f>
        <v>2006</v>
      </c>
      <c r="DF194" s="572" t="str">
        <f>DF$5</f>
        <v>% Chg</v>
      </c>
      <c r="DG194" s="571">
        <f>+DG$5</f>
        <v>2007</v>
      </c>
      <c r="DH194" s="572" t="str">
        <f>DH$5</f>
        <v>% Chg</v>
      </c>
      <c r="DI194" s="571" t="str">
        <f>+DI$5</f>
        <v>2008</v>
      </c>
      <c r="DJ194" s="572" t="str">
        <f>DJ$5</f>
        <v>% Chg</v>
      </c>
      <c r="DK194" s="571" t="str">
        <f>+DK$5</f>
        <v>2009</v>
      </c>
      <c r="DL194" s="572" t="str">
        <f>DL$5</f>
        <v>% Chg</v>
      </c>
      <c r="DM194" s="571" t="str">
        <f>+DM$5</f>
        <v>2010</v>
      </c>
      <c r="DN194" s="572" t="str">
        <f>DN$5</f>
        <v>% Chg</v>
      </c>
      <c r="DO194" s="571" t="str">
        <f>+DO$5</f>
        <v>2011</v>
      </c>
      <c r="DP194" s="572" t="str">
        <f>DP$5</f>
        <v>% Chg</v>
      </c>
      <c r="DQ194" s="571" t="str">
        <f>+DQ$5</f>
        <v>2012</v>
      </c>
      <c r="DR194" s="572" t="str">
        <f>DR$5</f>
        <v>% Chg</v>
      </c>
      <c r="DS194" s="571" t="str">
        <f>+DS$5</f>
        <v>2013</v>
      </c>
      <c r="DT194" s="572" t="str">
        <f>DT$5</f>
        <v>% Chg</v>
      </c>
      <c r="DU194" s="571">
        <f>+DU$5</f>
        <v>2014</v>
      </c>
      <c r="DV194" s="572" t="str">
        <f>DV$5</f>
        <v>% Chg</v>
      </c>
      <c r="DW194" s="571" t="str">
        <f>+DW$5</f>
        <v>2015</v>
      </c>
      <c r="DX194" s="572" t="str">
        <f>DX$5</f>
        <v>% Chg</v>
      </c>
      <c r="DY194" s="571">
        <f>+DY$5</f>
        <v>2016</v>
      </c>
      <c r="DZ194" s="572" t="str">
        <f>DZ$5</f>
        <v>% Chg</v>
      </c>
      <c r="EA194" s="571">
        <f>+EA$5</f>
        <v>2017</v>
      </c>
      <c r="EB194" s="572" t="str">
        <f>EB$5</f>
        <v>% Chg</v>
      </c>
      <c r="EC194" s="571" t="str">
        <f>+EC$5</f>
        <v>2018E</v>
      </c>
      <c r="ED194" s="572" t="str">
        <f>ED$5</f>
        <v>% Chg</v>
      </c>
      <c r="EE194" s="571" t="str">
        <f>+EE$5</f>
        <v>2019E</v>
      </c>
      <c r="EF194" s="572" t="str">
        <f>EF$5</f>
        <v>% Chg</v>
      </c>
      <c r="EG194" s="571" t="str">
        <f>+EG$5</f>
        <v>2020E</v>
      </c>
      <c r="EH194" s="572" t="str">
        <f>EH$5</f>
        <v>% Chg</v>
      </c>
      <c r="EI194" s="571" t="str">
        <f>+EI$5</f>
        <v>2021E</v>
      </c>
      <c r="EJ194" s="572" t="str">
        <f>EJ$5</f>
        <v>% Chg</v>
      </c>
      <c r="EK194" s="571" t="str">
        <f>+EK$5</f>
        <v>2022E</v>
      </c>
      <c r="EL194" s="572" t="str">
        <f>EL$5</f>
        <v>% Chg</v>
      </c>
      <c r="EM194" s="574" t="str">
        <f>EM$5</f>
        <v>(%)</v>
      </c>
      <c r="EN194" s="549"/>
    </row>
    <row r="195" spans="1:144" ht="12.75" hidden="1" customHeight="1" outlineLevel="1" x14ac:dyDescent="0.2">
      <c r="A195" s="609"/>
      <c r="B195" s="610"/>
      <c r="C195" s="555"/>
      <c r="D195" s="610"/>
      <c r="E195" s="555"/>
      <c r="F195" s="610"/>
      <c r="G195" s="555"/>
      <c r="H195" s="610"/>
      <c r="I195" s="555"/>
      <c r="J195" s="610"/>
      <c r="K195" s="555"/>
      <c r="L195" s="610"/>
      <c r="M195" s="555"/>
      <c r="N195" s="610"/>
      <c r="O195" s="555"/>
      <c r="P195" s="610"/>
      <c r="Q195" s="555"/>
      <c r="R195" s="610"/>
      <c r="S195" s="555"/>
      <c r="T195" s="610"/>
      <c r="U195" s="555"/>
      <c r="V195" s="610"/>
      <c r="W195" s="555"/>
      <c r="X195" s="610"/>
      <c r="Y195" s="555"/>
      <c r="Z195" s="610"/>
      <c r="AA195" s="555"/>
      <c r="AB195" s="610"/>
      <c r="AC195" s="555"/>
      <c r="AD195" s="610"/>
      <c r="AE195" s="555"/>
      <c r="AF195" s="610"/>
      <c r="AG195" s="555"/>
      <c r="AH195" s="610"/>
      <c r="AI195" s="555"/>
      <c r="AJ195" s="610"/>
      <c r="AK195" s="555"/>
      <c r="AL195" s="610"/>
      <c r="AM195" s="555"/>
      <c r="AN195" s="610"/>
      <c r="AO195" s="555"/>
      <c r="AP195" s="610"/>
      <c r="AQ195" s="555"/>
      <c r="AR195" s="610"/>
      <c r="AS195" s="555"/>
      <c r="AT195" s="610"/>
      <c r="AU195" s="555"/>
      <c r="AV195" s="610"/>
      <c r="AW195" s="555"/>
      <c r="AX195" s="610"/>
      <c r="AY195" s="555"/>
      <c r="AZ195" s="610"/>
      <c r="BA195" s="555"/>
      <c r="BB195" s="610"/>
      <c r="BC195" s="555"/>
      <c r="BD195" s="610"/>
      <c r="BE195" s="555"/>
      <c r="BF195" s="610"/>
      <c r="BG195" s="555"/>
      <c r="BH195" s="610"/>
      <c r="BI195" s="555"/>
      <c r="BJ195" s="610"/>
      <c r="BK195" s="555"/>
      <c r="BL195" s="610"/>
      <c r="BM195" s="555"/>
      <c r="BN195" s="610"/>
      <c r="BO195" s="555"/>
      <c r="BP195" s="610"/>
      <c r="BQ195" s="555"/>
      <c r="BR195" s="610"/>
      <c r="BS195" s="555"/>
      <c r="BT195" s="610"/>
      <c r="BU195" s="555"/>
      <c r="BV195" s="610"/>
      <c r="BW195" s="555"/>
      <c r="BX195" s="610"/>
      <c r="BY195" s="555"/>
      <c r="BZ195" s="610"/>
      <c r="CA195" s="555"/>
      <c r="CB195" s="610"/>
      <c r="CC195" s="555"/>
      <c r="CD195" s="610"/>
      <c r="CE195" s="555"/>
      <c r="CF195" s="610"/>
      <c r="CG195" s="555"/>
      <c r="CH195" s="610"/>
      <c r="CI195" s="555"/>
      <c r="CJ195" s="610"/>
      <c r="CK195" s="555"/>
      <c r="CL195" s="610"/>
      <c r="CM195" s="555"/>
      <c r="CN195" s="610"/>
      <c r="CO195" s="555"/>
      <c r="CP195" s="610"/>
      <c r="CQ195" s="555"/>
      <c r="CR195" s="610"/>
      <c r="CS195" s="555"/>
      <c r="CT195" s="610"/>
      <c r="CU195" s="555"/>
      <c r="CV195" s="610"/>
      <c r="CW195" s="555"/>
      <c r="CX195" s="610"/>
      <c r="CY195" s="555"/>
      <c r="CZ195" s="610"/>
      <c r="DA195" s="555"/>
      <c r="DB195" s="556"/>
      <c r="DC195" s="610"/>
      <c r="DD195" s="555"/>
      <c r="DE195" s="610"/>
      <c r="DF195" s="555"/>
      <c r="DG195" s="610"/>
      <c r="DH195" s="555"/>
      <c r="DI195" s="610"/>
      <c r="DJ195" s="555"/>
      <c r="DK195" s="610"/>
      <c r="DL195" s="555"/>
      <c r="DM195" s="610"/>
      <c r="DN195" s="555"/>
      <c r="DO195" s="610"/>
      <c r="DP195" s="555"/>
      <c r="DQ195" s="610"/>
      <c r="DR195" s="555"/>
      <c r="DS195" s="610"/>
      <c r="DT195" s="555"/>
      <c r="DU195" s="610"/>
      <c r="DV195" s="555"/>
      <c r="DW195" s="610"/>
      <c r="DX195" s="555"/>
      <c r="DY195" s="610"/>
      <c r="DZ195" s="555"/>
      <c r="EA195" s="610"/>
      <c r="EB195" s="555"/>
      <c r="EC195" s="610"/>
      <c r="ED195" s="555"/>
      <c r="EE195" s="610"/>
      <c r="EF195" s="555"/>
      <c r="EG195" s="610"/>
      <c r="EH195" s="555"/>
      <c r="EI195" s="610"/>
      <c r="EJ195" s="555"/>
      <c r="EK195" s="610"/>
      <c r="EL195" s="555"/>
      <c r="EM195" s="555"/>
    </row>
    <row r="196" spans="1:144" ht="12.75" hidden="1" customHeight="1" outlineLevel="1" x14ac:dyDescent="0.2">
      <c r="A196" s="575" t="s">
        <v>128</v>
      </c>
      <c r="B196" s="610"/>
      <c r="C196" s="555"/>
      <c r="D196" s="610"/>
      <c r="E196" s="555"/>
      <c r="F196" s="610"/>
      <c r="G196" s="555"/>
      <c r="H196" s="610"/>
      <c r="I196" s="555"/>
      <c r="J196" s="610"/>
      <c r="K196" s="555"/>
      <c r="L196" s="610"/>
      <c r="M196" s="555"/>
      <c r="N196" s="610"/>
      <c r="O196" s="555"/>
      <c r="P196" s="610"/>
      <c r="Q196" s="555"/>
      <c r="R196" s="610"/>
      <c r="S196" s="555"/>
      <c r="T196" s="610"/>
      <c r="U196" s="555"/>
      <c r="V196" s="610"/>
      <c r="W196" s="555"/>
      <c r="X196" s="610"/>
      <c r="Y196" s="555"/>
      <c r="Z196" s="610"/>
      <c r="AA196" s="555"/>
      <c r="AB196" s="610"/>
      <c r="AC196" s="555"/>
      <c r="AD196" s="610"/>
      <c r="AE196" s="555"/>
      <c r="AF196" s="610"/>
      <c r="AG196" s="555"/>
      <c r="AH196" s="610"/>
      <c r="AI196" s="555"/>
      <c r="AJ196" s="610"/>
      <c r="AK196" s="555"/>
      <c r="AL196" s="610"/>
      <c r="AM196" s="555"/>
      <c r="AN196" s="610"/>
      <c r="AO196" s="555"/>
      <c r="AP196" s="610"/>
      <c r="AQ196" s="555"/>
      <c r="AR196" s="610"/>
      <c r="AS196" s="555"/>
      <c r="AT196" s="610"/>
      <c r="AU196" s="555"/>
      <c r="AV196" s="610"/>
      <c r="AW196" s="555"/>
      <c r="AX196" s="610"/>
      <c r="AY196" s="555"/>
      <c r="AZ196" s="610"/>
      <c r="BA196" s="555"/>
      <c r="BB196" s="610"/>
      <c r="BC196" s="555"/>
      <c r="BD196" s="610"/>
      <c r="BE196" s="555"/>
      <c r="BF196" s="610"/>
      <c r="BG196" s="555"/>
      <c r="BH196" s="610"/>
      <c r="BI196" s="555"/>
      <c r="BJ196" s="610"/>
      <c r="BK196" s="555"/>
      <c r="BL196" s="610"/>
      <c r="BM196" s="555"/>
      <c r="BN196" s="610"/>
      <c r="BO196" s="555"/>
      <c r="BP196" s="610"/>
      <c r="BQ196" s="555"/>
      <c r="BR196" s="610"/>
      <c r="BS196" s="555"/>
      <c r="BT196" s="610"/>
      <c r="BU196" s="555"/>
      <c r="BV196" s="610"/>
      <c r="BW196" s="555"/>
      <c r="BX196" s="610"/>
      <c r="BY196" s="555"/>
      <c r="BZ196" s="610"/>
      <c r="CA196" s="555"/>
      <c r="CB196" s="610"/>
      <c r="CC196" s="555"/>
      <c r="CD196" s="610"/>
      <c r="CE196" s="555"/>
      <c r="CF196" s="610"/>
      <c r="CG196" s="555"/>
      <c r="CH196" s="610"/>
      <c r="CI196" s="555"/>
      <c r="CJ196" s="610"/>
      <c r="CK196" s="555"/>
      <c r="CL196" s="610"/>
      <c r="CM196" s="555"/>
      <c r="CN196" s="610"/>
      <c r="CO196" s="555"/>
      <c r="CP196" s="610"/>
      <c r="CQ196" s="555"/>
      <c r="CR196" s="610"/>
      <c r="CS196" s="555"/>
      <c r="CT196" s="610"/>
      <c r="CU196" s="555"/>
      <c r="CV196" s="610"/>
      <c r="CW196" s="555"/>
      <c r="CX196" s="610"/>
      <c r="CY196" s="555"/>
      <c r="CZ196" s="610"/>
      <c r="DA196" s="555"/>
      <c r="DB196" s="556"/>
      <c r="DC196" s="610"/>
      <c r="DD196" s="555"/>
      <c r="DE196" s="610"/>
      <c r="DF196" s="555"/>
      <c r="DG196" s="610"/>
      <c r="DH196" s="555"/>
      <c r="DI196" s="610"/>
      <c r="DJ196" s="555"/>
      <c r="DK196" s="610"/>
      <c r="DL196" s="555"/>
      <c r="DM196" s="610"/>
      <c r="DN196" s="555"/>
      <c r="DO196" s="610"/>
      <c r="DP196" s="555"/>
      <c r="DQ196" s="610"/>
      <c r="DR196" s="555"/>
      <c r="DS196" s="610"/>
      <c r="DT196" s="555"/>
      <c r="DU196" s="610"/>
      <c r="DV196" s="555"/>
      <c r="DW196" s="610"/>
      <c r="DX196" s="555"/>
      <c r="DY196" s="610"/>
      <c r="DZ196" s="555"/>
      <c r="EA196" s="610"/>
      <c r="EB196" s="555"/>
      <c r="EC196" s="610"/>
      <c r="ED196" s="555"/>
      <c r="EE196" s="610"/>
      <c r="EF196" s="555"/>
      <c r="EG196" s="610"/>
      <c r="EH196" s="555"/>
      <c r="EI196" s="610"/>
      <c r="EJ196" s="555"/>
      <c r="EK196" s="610"/>
      <c r="EL196" s="555"/>
      <c r="EM196" s="555"/>
    </row>
    <row r="197" spans="1:144" ht="12.75" hidden="1" customHeight="1" outlineLevel="1" x14ac:dyDescent="0.2">
      <c r="A197" s="579" t="str">
        <f>+INPUT!B187</f>
        <v>Premiums</v>
      </c>
      <c r="B197" s="580">
        <f>+INPUT!AY187</f>
        <v>92</v>
      </c>
      <c r="C197" s="577" t="str">
        <f>+INPUT!AZ187</f>
        <v>NM</v>
      </c>
      <c r="D197" s="580">
        <f>+INPUT!BA187</f>
        <v>30</v>
      </c>
      <c r="E197" s="577" t="str">
        <f>+INPUT!BB187</f>
        <v>NM</v>
      </c>
      <c r="F197" s="580">
        <f>+INPUT!BC187</f>
        <v>84</v>
      </c>
      <c r="G197" s="577">
        <f>+INPUT!BD187</f>
        <v>-20.754716981132077</v>
      </c>
      <c r="H197" s="580">
        <f>+INPUT!BE187</f>
        <v>88</v>
      </c>
      <c r="I197" s="577">
        <f>+INPUT!BF187</f>
        <v>25.714285714285708</v>
      </c>
      <c r="J197" s="580">
        <f>+INPUT!BG187</f>
        <v>96</v>
      </c>
      <c r="K197" s="577">
        <f>+INPUT!BH187</f>
        <v>4.3478260869565162</v>
      </c>
      <c r="L197" s="580">
        <f>+INPUT!BI187</f>
        <v>71</v>
      </c>
      <c r="M197" s="577" t="str">
        <f>+INPUT!BJ187</f>
        <v>NM</v>
      </c>
      <c r="N197" s="580">
        <f>+INPUT!BK187</f>
        <v>88</v>
      </c>
      <c r="O197" s="577">
        <f>+INPUT!BL187</f>
        <v>4.7619047619047734</v>
      </c>
      <c r="P197" s="580">
        <f>+INPUT!BM187</f>
        <v>74</v>
      </c>
      <c r="Q197" s="577">
        <f>+INPUT!BN187</f>
        <v>-15.909090909090907</v>
      </c>
      <c r="R197" s="580">
        <f>+INPUT!BO187</f>
        <v>200</v>
      </c>
      <c r="S197" s="577" t="str">
        <f>+INPUT!BP187</f>
        <v>NM</v>
      </c>
      <c r="T197" s="580">
        <f>+INPUT!BQ187</f>
        <v>138</v>
      </c>
      <c r="U197" s="577">
        <f>+INPUT!BR187</f>
        <v>94.366197183098592</v>
      </c>
      <c r="V197" s="580">
        <f>+INPUT!BS187</f>
        <v>57</v>
      </c>
      <c r="W197" s="577">
        <f>+INPUT!BT187</f>
        <v>-35.227272727272734</v>
      </c>
      <c r="X197" s="580">
        <f>+INPUT!BU187</f>
        <v>195</v>
      </c>
      <c r="Y197" s="577" t="str">
        <f>+INPUT!BV187</f>
        <v>NM</v>
      </c>
      <c r="Z197" s="580">
        <f>+INPUT!BW187</f>
        <v>158</v>
      </c>
      <c r="AA197" s="577">
        <f>+INPUT!BX187</f>
        <v>-21</v>
      </c>
      <c r="AB197" s="580">
        <f>+INPUT!BY187</f>
        <v>245</v>
      </c>
      <c r="AC197" s="577">
        <f>+INPUT!BZ187</f>
        <v>77.536231884057969</v>
      </c>
      <c r="AD197" s="580">
        <f>+INPUT!CA187</f>
        <v>90</v>
      </c>
      <c r="AE197" s="577">
        <f>+INPUT!CB187</f>
        <v>57.89473684210526</v>
      </c>
      <c r="AF197" s="580">
        <f>+INPUT!CC187</f>
        <v>109</v>
      </c>
      <c r="AG197" s="577">
        <f>+INPUT!CD187</f>
        <v>-44.102564102564102</v>
      </c>
      <c r="AH197" s="580">
        <f>+INPUT!CE187</f>
        <v>109</v>
      </c>
      <c r="AI197" s="577">
        <f>+INPUT!CF187</f>
        <v>-31.012658227848107</v>
      </c>
      <c r="AJ197" s="580">
        <f>+INPUT!CG187</f>
        <v>348</v>
      </c>
      <c r="AK197" s="577">
        <f>+INPUT!CH187</f>
        <v>42.040816326530603</v>
      </c>
      <c r="AL197" s="580">
        <f>+INPUT!CI187</f>
        <v>351</v>
      </c>
      <c r="AM197" s="577" t="str">
        <f>+INPUT!CJ187</f>
        <v>NM</v>
      </c>
      <c r="AN197" s="580">
        <f>+INPUT!CK187</f>
        <v>258</v>
      </c>
      <c r="AO197" s="577" t="str">
        <f>+INPUT!CL187</f>
        <v>NM</v>
      </c>
      <c r="AP197" s="580">
        <f>+INPUT!CM187</f>
        <v>172</v>
      </c>
      <c r="AQ197" s="577">
        <f>+INPUT!CN187</f>
        <v>57.798165137614689</v>
      </c>
      <c r="AR197" s="580">
        <f>+INPUT!CO187</f>
        <v>213</v>
      </c>
      <c r="AS197" s="577">
        <f>+INPUT!CP187</f>
        <v>-38.793103448275865</v>
      </c>
      <c r="AT197" s="580">
        <f>+INPUT!CQ187</f>
        <v>162</v>
      </c>
      <c r="AU197" s="577" t="str">
        <f>+INPUT!CR187</f>
        <v>NM</v>
      </c>
      <c r="AV197" s="580">
        <f>+INPUT!CS187</f>
        <v>233</v>
      </c>
      <c r="AW197" s="577">
        <f>+INPUT!CT187</f>
        <v>-9.6899224806201545</v>
      </c>
      <c r="AX197" s="580">
        <f>+INPUT!CU187</f>
        <v>89</v>
      </c>
      <c r="AY197" s="577">
        <f>+INPUT!CV187</f>
        <v>-48.255813953488371</v>
      </c>
      <c r="AZ197" s="580">
        <f>+INPUT!CW187</f>
        <v>221</v>
      </c>
      <c r="BA197" s="577">
        <f>+INPUT!CX187</f>
        <v>3.7558685446009434</v>
      </c>
      <c r="BB197" s="580">
        <f>+INPUT!CY187</f>
        <v>137</v>
      </c>
      <c r="BC197" s="577">
        <f>+INPUT!CZ187</f>
        <v>-15.432098765432102</v>
      </c>
      <c r="BD197" s="580">
        <f>+INPUT!DA187</f>
        <v>31955</v>
      </c>
      <c r="BE197" s="577" t="str">
        <f>+INPUT!DB187</f>
        <v>NM</v>
      </c>
      <c r="BF197" s="580">
        <f>+INPUT!DC187</f>
        <v>121</v>
      </c>
      <c r="BG197" s="577">
        <f>+INPUT!DD187</f>
        <v>35.955056179775283</v>
      </c>
      <c r="BH197" s="580">
        <f>+INPUT!DE187</f>
        <v>227</v>
      </c>
      <c r="BI197" s="577">
        <f>+INPUT!DF187</f>
        <v>2.7149321266968229</v>
      </c>
      <c r="BJ197" s="580">
        <f>+INPUT!DG187</f>
        <v>250</v>
      </c>
      <c r="BK197" s="577">
        <f>+INPUT!DH187</f>
        <v>82.481751824817508</v>
      </c>
      <c r="BL197" s="580">
        <f>+INPUT!DI187</f>
        <v>302</v>
      </c>
      <c r="BM197" s="577" t="str">
        <f>+INPUT!DJ187</f>
        <v>NM</v>
      </c>
      <c r="BN197" s="580">
        <f>+INPUT!DK187</f>
        <v>168</v>
      </c>
      <c r="BO197" s="577" t="str">
        <f>+INPUT!DL187</f>
        <v>NM</v>
      </c>
      <c r="BP197" s="580">
        <f>+INPUT!DM187</f>
        <v>173</v>
      </c>
      <c r="BQ197" s="577">
        <f>+INPUT!DN187</f>
        <v>-23.788546255506603</v>
      </c>
      <c r="BR197" s="580">
        <f>+INPUT!DO187</f>
        <v>1110</v>
      </c>
      <c r="BS197" s="577" t="str">
        <f>+INPUT!DP187</f>
        <v>NM</v>
      </c>
      <c r="BT197" s="580">
        <f>+INPUT!DQ187</f>
        <v>5345</v>
      </c>
      <c r="BU197" s="577" t="str">
        <f>+INPUT!DR187</f>
        <v>NM</v>
      </c>
      <c r="BV197" s="580">
        <f>+INPUT!DS187</f>
        <v>1184</v>
      </c>
      <c r="BW197" s="577" t="str">
        <f>+INPUT!DT187</f>
        <v>NM</v>
      </c>
      <c r="BX197" s="580">
        <f>+INPUT!DU187</f>
        <v>1908</v>
      </c>
      <c r="BY197" s="577" t="str">
        <f>+INPUT!DV187</f>
        <v>NM</v>
      </c>
      <c r="BZ197" s="580">
        <f>+INPUT!DW187</f>
        <v>660</v>
      </c>
      <c r="CA197" s="577">
        <f>+INPUT!DX187</f>
        <v>-40.54054054054054</v>
      </c>
      <c r="CB197" s="580">
        <f>+INPUT!DY187</f>
        <v>2976</v>
      </c>
      <c r="CC197" s="577">
        <f>+INPUT!DZ187</f>
        <v>-44.321796071094475</v>
      </c>
      <c r="CD197" s="580">
        <f>+INPUT!EA187</f>
        <v>639</v>
      </c>
      <c r="CE197" s="577">
        <f>+INPUT!EB187</f>
        <v>-46.030405405405403</v>
      </c>
      <c r="CF197" s="580">
        <f>+INPUT!EC187</f>
        <v>974</v>
      </c>
      <c r="CG197" s="577">
        <f>+INPUT!ED187</f>
        <v>-48.951781970649897</v>
      </c>
      <c r="CH197" s="580">
        <f>+INPUT!EE187</f>
        <v>3752</v>
      </c>
      <c r="CI197" s="577" t="str">
        <f>+INPUT!EF187</f>
        <v>NM</v>
      </c>
      <c r="CJ197" s="580">
        <f>+INPUT!EG187</f>
        <v>2214</v>
      </c>
      <c r="CK197" s="577">
        <f>+INPUT!EH187</f>
        <v>-25.604838709677423</v>
      </c>
      <c r="CL197" s="580">
        <f>+INPUT!EI187</f>
        <v>512</v>
      </c>
      <c r="CM197" s="577">
        <f>+INPUT!EJ187</f>
        <v>-19.87480438184663</v>
      </c>
      <c r="CN197" s="580">
        <f>+INPUT!EK187</f>
        <v>2233</v>
      </c>
      <c r="CO197" s="577" t="str">
        <f>+INPUT!EL187</f>
        <v>NM</v>
      </c>
      <c r="CP197" s="580">
        <f>+INPUT!EM187</f>
        <v>1920</v>
      </c>
      <c r="CQ197" s="577">
        <f>+INPUT!EN187</f>
        <v>-48.827292110874197</v>
      </c>
      <c r="CR197" s="580">
        <f>+INPUT!EO187</f>
        <v>3613</v>
      </c>
      <c r="CS197" s="577">
        <f>+INPUT!EP187</f>
        <v>63.188798554652209</v>
      </c>
      <c r="CT197" s="580">
        <f>+INPUT!EQ187</f>
        <v>1958.4</v>
      </c>
      <c r="CU197" s="577" t="str">
        <f>+INPUT!ER187</f>
        <v>NM</v>
      </c>
      <c r="CV197" s="580">
        <f>+INPUT!ES187</f>
        <v>1977.9840000000002</v>
      </c>
      <c r="CW197" s="577">
        <f>+INPUT!ET187</f>
        <v>-11.420331392745169</v>
      </c>
      <c r="CX197" s="580">
        <f>+INPUT!EU187</f>
        <v>1997.7638400000001</v>
      </c>
      <c r="CY197" s="577">
        <f>+INPUT!EV187</f>
        <v>4.0502000000000038</v>
      </c>
      <c r="CZ197" s="580">
        <f>+INPUT!EW187</f>
        <v>2017.7414784</v>
      </c>
      <c r="DA197" s="577">
        <f>+INPUT!EX187</f>
        <v>-44.15329425961805</v>
      </c>
      <c r="DB197" s="580"/>
      <c r="DC197" s="580">
        <f>+INPUT!FP187</f>
        <v>320</v>
      </c>
      <c r="DD197" s="577" t="str">
        <f>+INPUT!FQ187</f>
        <v>NM</v>
      </c>
      <c r="DE197" s="580">
        <f>+INPUT!FR187</f>
        <v>294</v>
      </c>
      <c r="DF197" s="577">
        <f>+INPUT!FS187</f>
        <v>-8.125</v>
      </c>
      <c r="DG197" s="580">
        <f>+INPUT!FT187</f>
        <v>329</v>
      </c>
      <c r="DH197" s="577">
        <f>+INPUT!FU187</f>
        <v>11.904761904761912</v>
      </c>
      <c r="DI197" s="580">
        <f>+INPUT!FV187</f>
        <v>590</v>
      </c>
      <c r="DJ197" s="577">
        <f>+INPUT!FW187</f>
        <v>79.331306990881473</v>
      </c>
      <c r="DK197" s="580">
        <f>+INPUT!FX187</f>
        <v>602</v>
      </c>
      <c r="DL197" s="577">
        <f>+INPUT!FY187</f>
        <v>2.0338983050847332</v>
      </c>
      <c r="DM197" s="580">
        <f>+INPUT!FZ187</f>
        <v>1066</v>
      </c>
      <c r="DN197" s="577">
        <f>+INPUT!GA187</f>
        <v>77.076411960132873</v>
      </c>
      <c r="DO197" s="580">
        <f>+INPUT!GB187</f>
        <v>780</v>
      </c>
      <c r="DP197" s="577">
        <f>+INPUT!GC187</f>
        <v>-26.829268292682926</v>
      </c>
      <c r="DQ197" s="580">
        <f>+INPUT!GD187</f>
        <v>32402</v>
      </c>
      <c r="DR197" s="577" t="str">
        <f>+INPUT!GE187</f>
        <v>NM</v>
      </c>
      <c r="DS197" s="580">
        <f>+INPUT!GF187</f>
        <v>900</v>
      </c>
      <c r="DT197" s="577" t="str">
        <f>+INPUT!GG187</f>
        <v>NM</v>
      </c>
      <c r="DU197" s="580">
        <f>+INPUT!GH187</f>
        <v>6796</v>
      </c>
      <c r="DV197" s="577" t="str">
        <f>+INPUT!GI187</f>
        <v>NM</v>
      </c>
      <c r="DW197" s="580">
        <f>+INPUT!GJ187</f>
        <v>6728</v>
      </c>
      <c r="DX197" s="577">
        <f>+INPUT!GK187</f>
        <v>-1.0005885815185422</v>
      </c>
      <c r="DY197" s="580">
        <f>+INPUT!GL187</f>
        <v>7579</v>
      </c>
      <c r="DZ197" s="577">
        <f>+INPUT!GM187</f>
        <v>12.648632580261591</v>
      </c>
      <c r="EA197" s="580">
        <f>+INPUT!GN187</f>
        <v>8278</v>
      </c>
      <c r="EB197" s="577">
        <f>+INPUT!GO187</f>
        <v>9.2228526190790205</v>
      </c>
      <c r="EC197" s="580">
        <f>+INPUT!GP187</f>
        <v>7951.8893183999999</v>
      </c>
      <c r="ED197" s="577">
        <f>+INPUT!GQ187</f>
        <v>-3.9394863686880939</v>
      </c>
      <c r="EE197" s="580">
        <f>+INPUT!GR187</f>
        <v>8349.4837843200003</v>
      </c>
      <c r="EF197" s="577">
        <f>+INPUT!GS187</f>
        <v>5</v>
      </c>
      <c r="EG197" s="580">
        <f>+INPUT!GT187</f>
        <v>8766.9579735360003</v>
      </c>
      <c r="EH197" s="577">
        <f>+INPUT!GU187</f>
        <v>5</v>
      </c>
      <c r="EI197" s="580">
        <f>+INPUT!GV187</f>
        <v>9205.3058722128008</v>
      </c>
      <c r="EJ197" s="577">
        <f>+INPUT!GW187</f>
        <v>5</v>
      </c>
      <c r="EK197" s="580">
        <f>+INPUT!GX187</f>
        <v>9665.5711658234413</v>
      </c>
      <c r="EL197" s="577">
        <f>+INPUT!GY187</f>
        <v>5</v>
      </c>
      <c r="EM197" s="577">
        <f>+INPUT!GZ187</f>
        <v>3.1479070303813028</v>
      </c>
    </row>
    <row r="198" spans="1:144" ht="12.75" hidden="1" customHeight="1" outlineLevel="1" x14ac:dyDescent="0.2">
      <c r="A198" s="579" t="str">
        <f>+INPUT!B188</f>
        <v>Policy Charges and Fee Income</v>
      </c>
      <c r="B198" s="580">
        <f>+INPUT!AY188</f>
        <v>48</v>
      </c>
      <c r="C198" s="577">
        <f>+INPUT!AZ188</f>
        <v>4.3478260869565162</v>
      </c>
      <c r="D198" s="580">
        <f>+INPUT!BA188</f>
        <v>43</v>
      </c>
      <c r="E198" s="577">
        <f>+INPUT!BB188</f>
        <v>-10.416666666666657</v>
      </c>
      <c r="F198" s="580">
        <f>+INPUT!BC188</f>
        <v>45</v>
      </c>
      <c r="G198" s="577">
        <f>+INPUT!BD188</f>
        <v>-2.1739130434782652</v>
      </c>
      <c r="H198" s="580">
        <f>+INPUT!BE188</f>
        <v>43</v>
      </c>
      <c r="I198" s="577">
        <f>+INPUT!BF188</f>
        <v>-10.416666666666657</v>
      </c>
      <c r="J198" s="580">
        <f>+INPUT!BG188</f>
        <v>44</v>
      </c>
      <c r="K198" s="577">
        <f>+INPUT!BH188</f>
        <v>-8.3333333333333428</v>
      </c>
      <c r="L198" s="580">
        <f>+INPUT!BI188</f>
        <v>44</v>
      </c>
      <c r="M198" s="577">
        <f>+INPUT!BJ188</f>
        <v>2.3255813953488484</v>
      </c>
      <c r="N198" s="580">
        <f>+INPUT!BK188</f>
        <v>40</v>
      </c>
      <c r="O198" s="577">
        <f>+INPUT!BL188</f>
        <v>-11.111111111111114</v>
      </c>
      <c r="P198" s="580">
        <f>+INPUT!BM188</f>
        <v>44</v>
      </c>
      <c r="Q198" s="577">
        <f>+INPUT!BN188</f>
        <v>2.3255813953488484</v>
      </c>
      <c r="R198" s="580">
        <f>+INPUT!BO188</f>
        <v>43</v>
      </c>
      <c r="S198" s="577">
        <f>+INPUT!BP188</f>
        <v>-2.2727272727272663</v>
      </c>
      <c r="T198" s="580">
        <f>+INPUT!BQ188</f>
        <v>46</v>
      </c>
      <c r="U198" s="577">
        <f>+INPUT!BR188</f>
        <v>4.5454545454545467</v>
      </c>
      <c r="V198" s="580">
        <f>+INPUT!BS188</f>
        <v>45</v>
      </c>
      <c r="W198" s="577">
        <f>+INPUT!BT188</f>
        <v>12.5</v>
      </c>
      <c r="X198" s="580">
        <f>+INPUT!BU188</f>
        <v>46</v>
      </c>
      <c r="Y198" s="577">
        <f>+INPUT!BV188</f>
        <v>4.5454545454545467</v>
      </c>
      <c r="Z198" s="580">
        <f>+INPUT!BW188</f>
        <v>49</v>
      </c>
      <c r="AA198" s="577">
        <f>+INPUT!BX188</f>
        <v>13.95348837209302</v>
      </c>
      <c r="AB198" s="580">
        <f>+INPUT!BY188</f>
        <v>49</v>
      </c>
      <c r="AC198" s="577">
        <f>+INPUT!BZ188</f>
        <v>6.5217391304347956</v>
      </c>
      <c r="AD198" s="580">
        <f>+INPUT!CA188</f>
        <v>48</v>
      </c>
      <c r="AE198" s="577">
        <f>+INPUT!CB188</f>
        <v>6.6666666666666714</v>
      </c>
      <c r="AF198" s="580">
        <f>+INPUT!CC188</f>
        <v>52</v>
      </c>
      <c r="AG198" s="577">
        <f>+INPUT!CD188</f>
        <v>13.043478260869563</v>
      </c>
      <c r="AH198" s="580">
        <f>+INPUT!CE188</f>
        <v>53</v>
      </c>
      <c r="AI198" s="577">
        <f>+INPUT!CF188</f>
        <v>8.1632653061224545</v>
      </c>
      <c r="AJ198" s="580">
        <f>+INPUT!CG188</f>
        <v>48</v>
      </c>
      <c r="AK198" s="577">
        <f>+INPUT!CH188</f>
        <v>-2.0408163265306172</v>
      </c>
      <c r="AL198" s="580">
        <f>+INPUT!CI188</f>
        <v>50</v>
      </c>
      <c r="AM198" s="577">
        <f>+INPUT!CJ188</f>
        <v>4.1666666666666714</v>
      </c>
      <c r="AN198" s="580">
        <f>+INPUT!CK188</f>
        <v>50</v>
      </c>
      <c r="AO198" s="577">
        <f>+INPUT!CL188</f>
        <v>-3.8461538461538396</v>
      </c>
      <c r="AP198" s="580">
        <f>+INPUT!CM188</f>
        <v>49</v>
      </c>
      <c r="AQ198" s="577">
        <f>+INPUT!CN188</f>
        <v>-7.5471698113207566</v>
      </c>
      <c r="AR198" s="580">
        <f>+INPUT!CO188</f>
        <v>45</v>
      </c>
      <c r="AS198" s="577">
        <f>+INPUT!CP188</f>
        <v>-6.25</v>
      </c>
      <c r="AT198" s="580">
        <f>+INPUT!CQ188</f>
        <v>50</v>
      </c>
      <c r="AU198" s="577">
        <f>+INPUT!CR188</f>
        <v>0</v>
      </c>
      <c r="AV198" s="580">
        <f>+INPUT!CS188</f>
        <v>49</v>
      </c>
      <c r="AW198" s="577">
        <f>+INPUT!CT188</f>
        <v>-2</v>
      </c>
      <c r="AX198" s="580">
        <f>+INPUT!CU188</f>
        <v>50</v>
      </c>
      <c r="AY198" s="577">
        <f>+INPUT!CV188</f>
        <v>2.0408163265306172</v>
      </c>
      <c r="AZ198" s="580">
        <f>+INPUT!CW188</f>
        <v>50</v>
      </c>
      <c r="BA198" s="577">
        <f>+INPUT!CX188</f>
        <v>11.111111111111114</v>
      </c>
      <c r="BB198" s="580">
        <f>+INPUT!CY188</f>
        <v>53</v>
      </c>
      <c r="BC198" s="577">
        <f>+INPUT!CZ188</f>
        <v>6</v>
      </c>
      <c r="BD198" s="580">
        <f>+INPUT!DA188</f>
        <v>49</v>
      </c>
      <c r="BE198" s="577">
        <f>+INPUT!DB188</f>
        <v>0</v>
      </c>
      <c r="BF198" s="580">
        <f>+INPUT!DC188</f>
        <v>48</v>
      </c>
      <c r="BG198" s="577">
        <f>+INPUT!DD188</f>
        <v>-4</v>
      </c>
      <c r="BH198" s="580">
        <f>+INPUT!DE188</f>
        <v>54</v>
      </c>
      <c r="BI198" s="577">
        <f>+INPUT!DF188</f>
        <v>8</v>
      </c>
      <c r="BJ198" s="580">
        <f>+INPUT!DG188</f>
        <v>52</v>
      </c>
      <c r="BK198" s="577">
        <f>+INPUT!DH188</f>
        <v>-1.8867924528301927</v>
      </c>
      <c r="BL198" s="580">
        <f>+INPUT!DI188</f>
        <v>53</v>
      </c>
      <c r="BM198" s="577">
        <f>+INPUT!DJ188</f>
        <v>8.1632653061224545</v>
      </c>
      <c r="BN198" s="580">
        <f>+INPUT!DK188</f>
        <v>53</v>
      </c>
      <c r="BO198" s="577">
        <f>+INPUT!DL188</f>
        <v>10.416666666666671</v>
      </c>
      <c r="BP198" s="580">
        <f>+INPUT!DM188</f>
        <v>55</v>
      </c>
      <c r="BQ198" s="577">
        <f>+INPUT!DN188</f>
        <v>1.8518518518518619</v>
      </c>
      <c r="BR198" s="580">
        <f>+INPUT!DO188</f>
        <v>53</v>
      </c>
      <c r="BS198" s="577">
        <f>+INPUT!DP188</f>
        <v>1.9230769230769198</v>
      </c>
      <c r="BT198" s="580">
        <f>+INPUT!DQ188</f>
        <v>56</v>
      </c>
      <c r="BU198" s="577">
        <f>+INPUT!DR188</f>
        <v>5.6603773584905639</v>
      </c>
      <c r="BV198" s="580">
        <f>+INPUT!DS188</f>
        <v>51</v>
      </c>
      <c r="BW198" s="577">
        <f>+INPUT!DT188</f>
        <v>-3.7735849056603712</v>
      </c>
      <c r="BX198" s="580">
        <f>+INPUT!DU188</f>
        <v>58</v>
      </c>
      <c r="BY198" s="577">
        <f>+INPUT!DV188</f>
        <v>5.454545454545439</v>
      </c>
      <c r="BZ198" s="580">
        <f>+INPUT!DW188</f>
        <v>54</v>
      </c>
      <c r="CA198" s="577">
        <f>+INPUT!DX188</f>
        <v>1.8867924528301927</v>
      </c>
      <c r="CB198" s="580">
        <f>+INPUT!DY188</f>
        <v>54</v>
      </c>
      <c r="CC198" s="577">
        <f>+INPUT!DZ188</f>
        <v>-3.5714285714285694</v>
      </c>
      <c r="CD198" s="580">
        <f>+INPUT!EA188</f>
        <v>55</v>
      </c>
      <c r="CE198" s="577">
        <f>+INPUT!EB188</f>
        <v>7.8431372549019613</v>
      </c>
      <c r="CF198" s="580">
        <f>+INPUT!EC188</f>
        <v>56</v>
      </c>
      <c r="CG198" s="577">
        <f>+INPUT!ED188</f>
        <v>-3.448275862068968</v>
      </c>
      <c r="CH198" s="580">
        <f>+INPUT!EE188</f>
        <v>56</v>
      </c>
      <c r="CI198" s="577">
        <f>+INPUT!EF188</f>
        <v>3.7037037037036953</v>
      </c>
      <c r="CJ198" s="580">
        <f>+INPUT!EG188</f>
        <v>61</v>
      </c>
      <c r="CK198" s="577">
        <f>+INPUT!EH188</f>
        <v>12.962962962962948</v>
      </c>
      <c r="CL198" s="580">
        <f>+INPUT!EI188</f>
        <v>58</v>
      </c>
      <c r="CM198" s="577">
        <f>+INPUT!EJ188</f>
        <v>5.454545454545439</v>
      </c>
      <c r="CN198" s="580">
        <f>+INPUT!EK188</f>
        <v>59</v>
      </c>
      <c r="CO198" s="577">
        <f>+INPUT!EL188</f>
        <v>5.3571428571428612</v>
      </c>
      <c r="CP198" s="580">
        <f>+INPUT!EM188</f>
        <v>61</v>
      </c>
      <c r="CQ198" s="577">
        <f>+INPUT!EN188</f>
        <v>8.9285714285714164</v>
      </c>
      <c r="CR198" s="580">
        <f>+INPUT!EO188</f>
        <v>60</v>
      </c>
      <c r="CS198" s="577">
        <f>+INPUT!EP188</f>
        <v>-1.6393442622950829</v>
      </c>
      <c r="CT198" s="580">
        <f>+INPUT!EQ188</f>
        <v>60.839231743878443</v>
      </c>
      <c r="CU198" s="577">
        <f>+INPUT!ER188</f>
        <v>4.8952271446180049</v>
      </c>
      <c r="CV198" s="580">
        <f>+INPUT!ES188</f>
        <v>61.054408798537025</v>
      </c>
      <c r="CW198" s="577">
        <f>+INPUT!ET188</f>
        <v>3.482048811079693</v>
      </c>
      <c r="CX198" s="580">
        <f>+INPUT!EU188</f>
        <v>61.694497269558688</v>
      </c>
      <c r="CY198" s="577">
        <f>+INPUT!EV188</f>
        <v>1.1385201140306407</v>
      </c>
      <c r="CZ198" s="580">
        <f>+INPUT!EW188</f>
        <v>62.341496047306443</v>
      </c>
      <c r="DA198" s="577">
        <f>+INPUT!EX188</f>
        <v>3.9024934121774066</v>
      </c>
      <c r="DB198" s="580"/>
      <c r="DC198" s="580">
        <f>+INPUT!FP188</f>
        <v>188</v>
      </c>
      <c r="DD198" s="577">
        <f>+INPUT!FQ188</f>
        <v>21.290322580645153</v>
      </c>
      <c r="DE198" s="580">
        <f>+INPUT!FR188</f>
        <v>179</v>
      </c>
      <c r="DF198" s="577">
        <f>+INPUT!FS188</f>
        <v>-4.7872340425531945</v>
      </c>
      <c r="DG198" s="580">
        <f>+INPUT!FT188</f>
        <v>172</v>
      </c>
      <c r="DH198" s="577">
        <f>+INPUT!FU188</f>
        <v>-3.910614525139664</v>
      </c>
      <c r="DI198" s="580">
        <f>+INPUT!FV188</f>
        <v>180</v>
      </c>
      <c r="DJ198" s="577">
        <f>+INPUT!FW188</f>
        <v>4.6511627906976827</v>
      </c>
      <c r="DK198" s="580">
        <f>+INPUT!FX188</f>
        <v>198</v>
      </c>
      <c r="DL198" s="577">
        <f>+INPUT!FY188</f>
        <v>10.000000000000014</v>
      </c>
      <c r="DM198" s="580">
        <f>+INPUT!FZ188</f>
        <v>201</v>
      </c>
      <c r="DN198" s="577">
        <f>+INPUT!GA188</f>
        <v>1.5151515151515156</v>
      </c>
      <c r="DO198" s="580">
        <f>+INPUT!GB188</f>
        <v>193</v>
      </c>
      <c r="DP198" s="577">
        <f>+INPUT!GC188</f>
        <v>-3.9800995024875618</v>
      </c>
      <c r="DQ198" s="580">
        <f>+INPUT!GD188</f>
        <v>202</v>
      </c>
      <c r="DR198" s="577">
        <f>+INPUT!GE188</f>
        <v>4.6632124352331488</v>
      </c>
      <c r="DS198" s="580">
        <f>+INPUT!GF188</f>
        <v>207</v>
      </c>
      <c r="DT198" s="577">
        <f>+INPUT!GG188</f>
        <v>2.4752475247524757</v>
      </c>
      <c r="DU198" s="580">
        <f>+INPUT!GH188</f>
        <v>217</v>
      </c>
      <c r="DV198" s="577">
        <f>+INPUT!GI188</f>
        <v>4.8309178743961354</v>
      </c>
      <c r="DW198" s="580">
        <f>+INPUT!GJ188</f>
        <v>217</v>
      </c>
      <c r="DX198" s="577">
        <f>+INPUT!GK188</f>
        <v>0</v>
      </c>
      <c r="DY198" s="580">
        <f>+INPUT!GL188</f>
        <v>228</v>
      </c>
      <c r="DZ198" s="577">
        <f>+INPUT!GM188</f>
        <v>5.0691244239631175</v>
      </c>
      <c r="EA198" s="580">
        <f>+INPUT!GN188</f>
        <v>238</v>
      </c>
      <c r="EB198" s="577">
        <f>+INPUT!GO188</f>
        <v>4.3859649122806985</v>
      </c>
      <c r="EC198" s="580">
        <f>+INPUT!GP188</f>
        <v>245.92963385928059</v>
      </c>
      <c r="ED198" s="577">
        <f>+INPUT!GQ188</f>
        <v>3.3317789324708258</v>
      </c>
      <c r="EE198" s="580">
        <f>+INPUT!GR188</f>
        <v>254.35334237091953</v>
      </c>
      <c r="EF198" s="577">
        <f>+INPUT!GS188</f>
        <v>3.4252515158295012</v>
      </c>
      <c r="EG198" s="580">
        <f>+INPUT!GT188</f>
        <v>264.54300873276446</v>
      </c>
      <c r="EH198" s="577">
        <f>+INPUT!GU188</f>
        <v>4.0061067280906713</v>
      </c>
      <c r="EI198" s="580">
        <f>+INPUT!GV188</f>
        <v>275.1485376536499</v>
      </c>
      <c r="EJ198" s="577">
        <f>+INPUT!GW188</f>
        <v>4.0089998868951113</v>
      </c>
      <c r="EK198" s="580">
        <f>+INPUT!GX188</f>
        <v>286.18719386608268</v>
      </c>
      <c r="EL198" s="577">
        <f>+INPUT!GY188</f>
        <v>4.0118898346928518</v>
      </c>
      <c r="EM198" s="577">
        <f>+INPUT!GZ188</f>
        <v>3.7563410085366788</v>
      </c>
    </row>
    <row r="199" spans="1:144" ht="12.75" hidden="1" customHeight="1" outlineLevel="1" x14ac:dyDescent="0.2">
      <c r="A199" s="579" t="str">
        <f>+INPUT!B189</f>
        <v>Net Investment Income</v>
      </c>
      <c r="B199" s="580">
        <f>+INPUT!AY189</f>
        <v>798</v>
      </c>
      <c r="C199" s="577">
        <f>+INPUT!AZ189</f>
        <v>7.5471698113207566</v>
      </c>
      <c r="D199" s="580">
        <f>+INPUT!BA189</f>
        <v>857</v>
      </c>
      <c r="E199" s="577">
        <f>+INPUT!BB189</f>
        <v>14.725568942436411</v>
      </c>
      <c r="F199" s="580">
        <f>+INPUT!BC189</f>
        <v>866</v>
      </c>
      <c r="G199" s="577">
        <f>+INPUT!BD189</f>
        <v>11.886304909560735</v>
      </c>
      <c r="H199" s="580">
        <f>+INPUT!BE189</f>
        <v>904</v>
      </c>
      <c r="I199" s="577">
        <f>+INPUT!BF189</f>
        <v>14.866581956797972</v>
      </c>
      <c r="J199" s="580">
        <f>+INPUT!BG189</f>
        <v>894</v>
      </c>
      <c r="K199" s="577">
        <f>+INPUT!BH189</f>
        <v>12.030075187969928</v>
      </c>
      <c r="L199" s="580">
        <f>+INPUT!BI189</f>
        <v>909</v>
      </c>
      <c r="M199" s="577">
        <f>+INPUT!BJ189</f>
        <v>6.0676779463243946</v>
      </c>
      <c r="N199" s="580">
        <f>+INPUT!BK189</f>
        <v>934</v>
      </c>
      <c r="O199" s="577">
        <f>+INPUT!BL189</f>
        <v>7.8521939953810573</v>
      </c>
      <c r="P199" s="580">
        <f>+INPUT!BM189</f>
        <v>939</v>
      </c>
      <c r="Q199" s="577">
        <f>+INPUT!BN189</f>
        <v>3.8716814159292028</v>
      </c>
      <c r="R199" s="580">
        <f>+INPUT!BO189</f>
        <v>893</v>
      </c>
      <c r="S199" s="577">
        <f>+INPUT!BP189</f>
        <v>-0.1118568232662227</v>
      </c>
      <c r="T199" s="580">
        <f>+INPUT!BQ189</f>
        <v>885</v>
      </c>
      <c r="U199" s="577">
        <f>+INPUT!BR189</f>
        <v>-2.6402640264026331</v>
      </c>
      <c r="V199" s="580">
        <f>+INPUT!BS189</f>
        <v>883</v>
      </c>
      <c r="W199" s="577">
        <f>+INPUT!BT189</f>
        <v>-5.4603854389721533</v>
      </c>
      <c r="X199" s="580">
        <f>+INPUT!BU189</f>
        <v>903</v>
      </c>
      <c r="Y199" s="577">
        <f>+INPUT!BV189</f>
        <v>-3.8338658146964946</v>
      </c>
      <c r="Z199" s="580">
        <f>+INPUT!BW189</f>
        <v>861</v>
      </c>
      <c r="AA199" s="577">
        <f>+INPUT!BX189</f>
        <v>-3.5834266517357207</v>
      </c>
      <c r="AB199" s="580">
        <f>+INPUT!BY189</f>
        <v>831</v>
      </c>
      <c r="AC199" s="577">
        <f>+INPUT!BZ189</f>
        <v>-6.1016949152542423</v>
      </c>
      <c r="AD199" s="580">
        <f>+INPUT!CA189</f>
        <v>815</v>
      </c>
      <c r="AE199" s="577">
        <f>+INPUT!CB189</f>
        <v>-7.7010192525481358</v>
      </c>
      <c r="AF199" s="580">
        <f>+INPUT!CC189</f>
        <v>802</v>
      </c>
      <c r="AG199" s="577">
        <f>+INPUT!CD189</f>
        <v>-11.184939091915837</v>
      </c>
      <c r="AH199" s="580">
        <f>+INPUT!CE189</f>
        <v>797</v>
      </c>
      <c r="AI199" s="577">
        <f>+INPUT!CF189</f>
        <v>-7.4332171893147603</v>
      </c>
      <c r="AJ199" s="580">
        <f>+INPUT!CG189</f>
        <v>805</v>
      </c>
      <c r="AK199" s="577">
        <f>+INPUT!CH189</f>
        <v>-3.1287605294825482</v>
      </c>
      <c r="AL199" s="580">
        <f>+INPUT!CI189</f>
        <v>815</v>
      </c>
      <c r="AM199" s="577">
        <f>+INPUT!CJ189</f>
        <v>0</v>
      </c>
      <c r="AN199" s="580">
        <f>+INPUT!CK189</f>
        <v>821</v>
      </c>
      <c r="AO199" s="577">
        <f>+INPUT!CL189</f>
        <v>2.3690773067331747</v>
      </c>
      <c r="AP199" s="580">
        <f>+INPUT!CM189</f>
        <v>805</v>
      </c>
      <c r="AQ199" s="577">
        <f>+INPUT!CN189</f>
        <v>1.0037641154328867</v>
      </c>
      <c r="AR199" s="580">
        <f>+INPUT!CO189</f>
        <v>805</v>
      </c>
      <c r="AS199" s="577">
        <f>+INPUT!CP189</f>
        <v>0</v>
      </c>
      <c r="AT199" s="580">
        <f>+INPUT!CQ189</f>
        <v>786</v>
      </c>
      <c r="AU199" s="577">
        <f>+INPUT!CR189</f>
        <v>-3.5582822085889632</v>
      </c>
      <c r="AV199" s="580">
        <f>+INPUT!CS189</f>
        <v>782</v>
      </c>
      <c r="AW199" s="577">
        <f>+INPUT!CT189</f>
        <v>-4.7503045066991376</v>
      </c>
      <c r="AX199" s="580">
        <f>+INPUT!CU189</f>
        <v>779</v>
      </c>
      <c r="AY199" s="577">
        <f>+INPUT!CV189</f>
        <v>-3.2298136645962643</v>
      </c>
      <c r="AZ199" s="580">
        <f>+INPUT!CW189</f>
        <v>777</v>
      </c>
      <c r="BA199" s="577">
        <f>+INPUT!CX189</f>
        <v>-3.4782608695652186</v>
      </c>
      <c r="BB199" s="580">
        <f>+INPUT!CY189</f>
        <v>767</v>
      </c>
      <c r="BC199" s="577">
        <f>+INPUT!CZ189</f>
        <v>-2.4173027989821918</v>
      </c>
      <c r="BD199" s="580">
        <f>+INPUT!DA189</f>
        <v>880</v>
      </c>
      <c r="BE199" s="577">
        <f>+INPUT!DB189</f>
        <v>12.531969309462923</v>
      </c>
      <c r="BF199" s="580">
        <f>+INPUT!DC189</f>
        <v>966</v>
      </c>
      <c r="BG199" s="577">
        <f>+INPUT!DD189</f>
        <v>24.005134788189991</v>
      </c>
      <c r="BH199" s="580">
        <f>+INPUT!DE189</f>
        <v>1035</v>
      </c>
      <c r="BI199" s="577">
        <f>+INPUT!DF189</f>
        <v>33.204633204633211</v>
      </c>
      <c r="BJ199" s="580">
        <f>+INPUT!DG189</f>
        <v>1005</v>
      </c>
      <c r="BK199" s="577">
        <f>+INPUT!DH189</f>
        <v>31.02998696219035</v>
      </c>
      <c r="BL199" s="580">
        <f>+INPUT!DI189</f>
        <v>1061</v>
      </c>
      <c r="BM199" s="577">
        <f>+INPUT!DJ189</f>
        <v>20.568181818181813</v>
      </c>
      <c r="BN199" s="580">
        <f>+INPUT!DK189</f>
        <v>1087</v>
      </c>
      <c r="BO199" s="577">
        <f>+INPUT!DL189</f>
        <v>12.525879917184255</v>
      </c>
      <c r="BP199" s="580">
        <f>+INPUT!DM189</f>
        <v>1019</v>
      </c>
      <c r="BQ199" s="577">
        <f>+INPUT!DN189</f>
        <v>-1.5458937198067702</v>
      </c>
      <c r="BR199" s="580">
        <f>+INPUT!DO189</f>
        <v>1032</v>
      </c>
      <c r="BS199" s="577">
        <f>+INPUT!DP189</f>
        <v>2.6865671641790954</v>
      </c>
      <c r="BT199" s="580">
        <f>+INPUT!DQ189</f>
        <v>1071</v>
      </c>
      <c r="BU199" s="577">
        <f>+INPUT!DR189</f>
        <v>0.94250706880301038</v>
      </c>
      <c r="BV199" s="580">
        <f>+INPUT!DS189</f>
        <v>1041</v>
      </c>
      <c r="BW199" s="577">
        <f>+INPUT!DT189</f>
        <v>-4.231830726770923</v>
      </c>
      <c r="BX199" s="580">
        <f>+INPUT!DU189</f>
        <v>1007</v>
      </c>
      <c r="BY199" s="577">
        <f>+INPUT!DV189</f>
        <v>-1.1776251226692835</v>
      </c>
      <c r="BZ199" s="580">
        <f>+INPUT!DW189</f>
        <v>1029</v>
      </c>
      <c r="CA199" s="577">
        <f>+INPUT!DX189</f>
        <v>-0.29069767441860961</v>
      </c>
      <c r="CB199" s="580">
        <f>+INPUT!DY189</f>
        <v>1005</v>
      </c>
      <c r="CC199" s="577">
        <f>+INPUT!DZ189</f>
        <v>-6.1624649859944043</v>
      </c>
      <c r="CD199" s="580">
        <f>+INPUT!EA189</f>
        <v>1019</v>
      </c>
      <c r="CE199" s="577">
        <f>+INPUT!EB189</f>
        <v>-2.1133525456291977</v>
      </c>
      <c r="CF199" s="580">
        <f>+INPUT!EC189</f>
        <v>1010</v>
      </c>
      <c r="CG199" s="577">
        <f>+INPUT!ED189</f>
        <v>0.29791459781529284</v>
      </c>
      <c r="CH199" s="580">
        <f>+INPUT!EE189</f>
        <v>1114</v>
      </c>
      <c r="CI199" s="577">
        <f>+INPUT!EF189</f>
        <v>8.2604470359572275</v>
      </c>
      <c r="CJ199" s="580">
        <f>+INPUT!EG189</f>
        <v>1120</v>
      </c>
      <c r="CK199" s="577">
        <f>+INPUT!EH189</f>
        <v>11.442786069651746</v>
      </c>
      <c r="CL199" s="580">
        <f>+INPUT!EI189</f>
        <v>1148</v>
      </c>
      <c r="CM199" s="577">
        <f>+INPUT!EJ189</f>
        <v>12.659470068694787</v>
      </c>
      <c r="CN199" s="580">
        <f>+INPUT!EK189</f>
        <v>1104</v>
      </c>
      <c r="CO199" s="577">
        <f>+INPUT!EL189</f>
        <v>9.3069306930693187</v>
      </c>
      <c r="CP199" s="580">
        <f>+INPUT!EM189</f>
        <v>1071</v>
      </c>
      <c r="CQ199" s="577">
        <f>+INPUT!EN189</f>
        <v>-3.8599640933572772</v>
      </c>
      <c r="CR199" s="580">
        <f>+INPUT!EO189</f>
        <v>1159</v>
      </c>
      <c r="CS199" s="577">
        <f>+INPUT!EP189</f>
        <v>3.4821428571428612</v>
      </c>
      <c r="CT199" s="580">
        <f>+INPUT!EQ189</f>
        <v>1117.0988380999997</v>
      </c>
      <c r="CU199" s="577">
        <f>+INPUT!ER189</f>
        <v>-2.6917388414634473</v>
      </c>
      <c r="CV199" s="580">
        <f>+INPUT!ES189</f>
        <v>1126.5941782238499</v>
      </c>
      <c r="CW199" s="577">
        <f>+INPUT!ET189</f>
        <v>2.0465741144791423</v>
      </c>
      <c r="CX199" s="580">
        <f>+INPUT!EU189</f>
        <v>1136.1702287387527</v>
      </c>
      <c r="CY199" s="577">
        <f>+INPUT!EV189</f>
        <v>6.0849886777546942</v>
      </c>
      <c r="CZ199" s="580">
        <f>+INPUT!EW189</f>
        <v>1145.8276756830319</v>
      </c>
      <c r="DA199" s="577">
        <f>+INPUT!EX189</f>
        <v>-1.1365249626374521</v>
      </c>
      <c r="DB199" s="580"/>
      <c r="DC199" s="580">
        <f>+INPUT!FP189</f>
        <v>3050</v>
      </c>
      <c r="DD199" s="577">
        <f>+INPUT!FQ189</f>
        <v>16.768759571209799</v>
      </c>
      <c r="DE199" s="580">
        <f>+INPUT!FR189</f>
        <v>3425</v>
      </c>
      <c r="DF199" s="577">
        <f>+INPUT!FS189</f>
        <v>12.295081967213122</v>
      </c>
      <c r="DG199" s="580">
        <f>+INPUT!FT189</f>
        <v>3676</v>
      </c>
      <c r="DH199" s="577">
        <f>+INPUT!FU189</f>
        <v>7.3284671532846772</v>
      </c>
      <c r="DI199" s="580">
        <f>+INPUT!FV189</f>
        <v>3564</v>
      </c>
      <c r="DJ199" s="577">
        <f>+INPUT!FW189</f>
        <v>-3.0467899891186079</v>
      </c>
      <c r="DK199" s="580">
        <f>+INPUT!FX189</f>
        <v>3309</v>
      </c>
      <c r="DL199" s="577">
        <f>+INPUT!FY189</f>
        <v>-7.1548821548821593</v>
      </c>
      <c r="DM199" s="580">
        <f>+INPUT!FZ189</f>
        <v>3238</v>
      </c>
      <c r="DN199" s="577">
        <f>+INPUT!GA189</f>
        <v>-2.1456633423995157</v>
      </c>
      <c r="DO199" s="580">
        <f>+INPUT!GB189</f>
        <v>3178</v>
      </c>
      <c r="DP199" s="577">
        <f>+INPUT!GC189</f>
        <v>-1.8529956763434114</v>
      </c>
      <c r="DQ199" s="580">
        <f>+INPUT!GD189</f>
        <v>3203</v>
      </c>
      <c r="DR199" s="577">
        <f>+INPUT!GE189</f>
        <v>0.78665827564505264</v>
      </c>
      <c r="DS199" s="580">
        <f>+INPUT!GF189</f>
        <v>4067</v>
      </c>
      <c r="DT199" s="577">
        <f>+INPUT!GG189</f>
        <v>26.974711208242269</v>
      </c>
      <c r="DU199" s="580">
        <f>+INPUT!GH189</f>
        <v>4209</v>
      </c>
      <c r="DV199" s="577">
        <f>+INPUT!GI189</f>
        <v>3.491517088763203</v>
      </c>
      <c r="DW199" s="580">
        <f>+INPUT!GJ189</f>
        <v>4082</v>
      </c>
      <c r="DX199" s="577">
        <f>+INPUT!GK189</f>
        <v>-3.0173437871228259</v>
      </c>
      <c r="DY199" s="580">
        <f>+INPUT!GL189</f>
        <v>4263</v>
      </c>
      <c r="DZ199" s="577">
        <f>+INPUT!GM189</f>
        <v>4.4341009309162018</v>
      </c>
      <c r="EA199" s="580">
        <f>+INPUT!GN189</f>
        <v>4482</v>
      </c>
      <c r="EB199" s="577">
        <f>+INPUT!GO189</f>
        <v>5.1372273047149974</v>
      </c>
      <c r="EC199" s="580">
        <f>+INPUT!GP189</f>
        <v>4525.6909207456338</v>
      </c>
      <c r="ED199" s="577">
        <f>+INPUT!GQ189</f>
        <v>0.97480858423992345</v>
      </c>
      <c r="EE199" s="580">
        <f>+INPUT!GR189</f>
        <v>4658.9594413265295</v>
      </c>
      <c r="EF199" s="577">
        <f>+INPUT!GS189</f>
        <v>2.9447110488698343</v>
      </c>
      <c r="EG199" s="580">
        <f>+INPUT!GT189</f>
        <v>4796.0585226025432</v>
      </c>
      <c r="EH199" s="577">
        <f>+INPUT!GU189</f>
        <v>2.9426974628690346</v>
      </c>
      <c r="EI199" s="580">
        <f>+INPUT!GV189</f>
        <v>4937.0945842911533</v>
      </c>
      <c r="EJ199" s="577">
        <f>+INPUT!GW189</f>
        <v>2.940665986954599</v>
      </c>
      <c r="EK199" s="580">
        <f>+INPUT!GX189</f>
        <v>5082.1768545224595</v>
      </c>
      <c r="EL199" s="577">
        <f>+INPUT!GY189</f>
        <v>2.9386163816453603</v>
      </c>
      <c r="EM199" s="577">
        <f>+INPUT!GZ189</f>
        <v>2.5452585348770151</v>
      </c>
    </row>
    <row r="200" spans="1:144" ht="12.75" hidden="1" customHeight="1" outlineLevel="1" x14ac:dyDescent="0.2">
      <c r="A200" s="579" t="str">
        <f>+INPUT!B190</f>
        <v>Commissions, Fees and Other Income</v>
      </c>
      <c r="B200" s="580">
        <f>+INPUT!AY190</f>
        <v>116</v>
      </c>
      <c r="C200" s="577">
        <f>+INPUT!AZ190</f>
        <v>1.7543859649122879</v>
      </c>
      <c r="D200" s="580">
        <f>+INPUT!BA190</f>
        <v>120</v>
      </c>
      <c r="E200" s="577">
        <f>+INPUT!BB190</f>
        <v>5.2631578947368354</v>
      </c>
      <c r="F200" s="580">
        <f>+INPUT!BC190</f>
        <v>117</v>
      </c>
      <c r="G200" s="577">
        <f>+INPUT!BD190</f>
        <v>-3.3057851239669418</v>
      </c>
      <c r="H200" s="580">
        <f>+INPUT!BE190</f>
        <v>128</v>
      </c>
      <c r="I200" s="577">
        <f>+INPUT!BF190</f>
        <v>8.4745762711864359</v>
      </c>
      <c r="J200" s="580">
        <f>+INPUT!BG190</f>
        <v>129</v>
      </c>
      <c r="K200" s="577">
        <f>+INPUT!BH190</f>
        <v>11.206896551724128</v>
      </c>
      <c r="L200" s="580">
        <f>+INPUT!BI190</f>
        <v>126</v>
      </c>
      <c r="M200" s="577">
        <f>+INPUT!BJ190</f>
        <v>5</v>
      </c>
      <c r="N200" s="580">
        <f>+INPUT!BK190</f>
        <v>133</v>
      </c>
      <c r="O200" s="577">
        <f>+INPUT!BL190</f>
        <v>13.675213675213669</v>
      </c>
      <c r="P200" s="580">
        <f>+INPUT!BM190</f>
        <v>143</v>
      </c>
      <c r="Q200" s="577">
        <f>+INPUT!BN190</f>
        <v>11.71875</v>
      </c>
      <c r="R200" s="580">
        <f>+INPUT!BO190</f>
        <v>131</v>
      </c>
      <c r="S200" s="577">
        <f>+INPUT!BP190</f>
        <v>1.5503875968992276</v>
      </c>
      <c r="T200" s="580">
        <f>+INPUT!BQ190</f>
        <v>138</v>
      </c>
      <c r="U200" s="577">
        <f>+INPUT!BR190</f>
        <v>9.5238095238095326</v>
      </c>
      <c r="V200" s="580">
        <f>+INPUT!BS190</f>
        <v>133</v>
      </c>
      <c r="W200" s="577">
        <f>+INPUT!BT190</f>
        <v>0</v>
      </c>
      <c r="X200" s="580">
        <f>+INPUT!BU190</f>
        <v>108</v>
      </c>
      <c r="Y200" s="577">
        <f>+INPUT!BV190</f>
        <v>-24.47552447552448</v>
      </c>
      <c r="Z200" s="580">
        <f>+INPUT!BW190</f>
        <v>115</v>
      </c>
      <c r="AA200" s="577">
        <f>+INPUT!BX190</f>
        <v>-12.213740458015266</v>
      </c>
      <c r="AB200" s="580">
        <f>+INPUT!BY190</f>
        <v>117</v>
      </c>
      <c r="AC200" s="577">
        <f>+INPUT!BZ190</f>
        <v>-15.217391304347828</v>
      </c>
      <c r="AD200" s="580">
        <f>+INPUT!CA190</f>
        <v>147</v>
      </c>
      <c r="AE200" s="577">
        <f>+INPUT!CB190</f>
        <v>10.526315789473699</v>
      </c>
      <c r="AF200" s="580">
        <f>+INPUT!CC190</f>
        <v>171</v>
      </c>
      <c r="AG200" s="577">
        <f>+INPUT!CD190</f>
        <v>58.333333333333314</v>
      </c>
      <c r="AH200" s="580">
        <f>+INPUT!CE190</f>
        <v>170</v>
      </c>
      <c r="AI200" s="577">
        <f>+INPUT!CF190</f>
        <v>47.826086956521721</v>
      </c>
      <c r="AJ200" s="580">
        <f>+INPUT!CG190</f>
        <v>169</v>
      </c>
      <c r="AK200" s="577">
        <f>+INPUT!CH190</f>
        <v>44.444444444444429</v>
      </c>
      <c r="AL200" s="580">
        <f>+INPUT!CI190</f>
        <v>160</v>
      </c>
      <c r="AM200" s="577">
        <f>+INPUT!CJ190</f>
        <v>8.8435374149659935</v>
      </c>
      <c r="AN200" s="580">
        <f>+INPUT!CK190</f>
        <v>179</v>
      </c>
      <c r="AO200" s="577">
        <f>+INPUT!CL190</f>
        <v>4.6783625730994203</v>
      </c>
      <c r="AP200" s="580">
        <f>+INPUT!CM190</f>
        <v>180</v>
      </c>
      <c r="AQ200" s="577">
        <f>+INPUT!CN190</f>
        <v>5.8823529411764781</v>
      </c>
      <c r="AR200" s="580">
        <f>+INPUT!CO190</f>
        <v>185</v>
      </c>
      <c r="AS200" s="577">
        <f>+INPUT!CP190</f>
        <v>9.4674556213017809</v>
      </c>
      <c r="AT200" s="580">
        <f>+INPUT!CQ190</f>
        <v>173</v>
      </c>
      <c r="AU200" s="577">
        <f>+INPUT!CR190</f>
        <v>8.125</v>
      </c>
      <c r="AV200" s="580">
        <f>+INPUT!CS190</f>
        <v>182</v>
      </c>
      <c r="AW200" s="577">
        <f>+INPUT!CT190</f>
        <v>1.6759776536312785</v>
      </c>
      <c r="AX200" s="580">
        <f>+INPUT!CU190</f>
        <v>189</v>
      </c>
      <c r="AY200" s="577">
        <f>+INPUT!CV190</f>
        <v>5</v>
      </c>
      <c r="AZ200" s="580">
        <f>+INPUT!CW190</f>
        <v>194</v>
      </c>
      <c r="BA200" s="577">
        <f>+INPUT!CX190</f>
        <v>4.864864864864856</v>
      </c>
      <c r="BB200" s="580">
        <f>+INPUT!CY190</f>
        <v>205</v>
      </c>
      <c r="BC200" s="577">
        <f>+INPUT!CZ190</f>
        <v>18.497109826589593</v>
      </c>
      <c r="BD200" s="580">
        <f>+INPUT!DA190</f>
        <v>200</v>
      </c>
      <c r="BE200" s="577">
        <f>+INPUT!DB190</f>
        <v>9.8901098901098976</v>
      </c>
      <c r="BF200" s="580">
        <f>+INPUT!DC190</f>
        <v>201</v>
      </c>
      <c r="BG200" s="577">
        <f>+INPUT!DD190</f>
        <v>6.3492063492063551</v>
      </c>
      <c r="BH200" s="580">
        <f>+INPUT!DE190</f>
        <v>205</v>
      </c>
      <c r="BI200" s="577">
        <f>+INPUT!DF190</f>
        <v>5.6701030927835063</v>
      </c>
      <c r="BJ200" s="580">
        <f>+INPUT!DG190</f>
        <v>218</v>
      </c>
      <c r="BK200" s="577">
        <f>+INPUT!DH190</f>
        <v>6.3414634146341484</v>
      </c>
      <c r="BL200" s="580">
        <f>+INPUT!DI190</f>
        <v>230</v>
      </c>
      <c r="BM200" s="577">
        <f>+INPUT!DJ190</f>
        <v>14.999999999999986</v>
      </c>
      <c r="BN200" s="580">
        <f>+INPUT!DK190</f>
        <v>223</v>
      </c>
      <c r="BO200" s="577">
        <f>+INPUT!DL190</f>
        <v>10.945273631840791</v>
      </c>
      <c r="BP200" s="580">
        <f>+INPUT!DM190</f>
        <v>222</v>
      </c>
      <c r="BQ200" s="577">
        <f>+INPUT!DN190</f>
        <v>8.2926829268292721</v>
      </c>
      <c r="BR200" s="580">
        <f>+INPUT!DO190</f>
        <v>202</v>
      </c>
      <c r="BS200" s="577">
        <f>+INPUT!DP190</f>
        <v>-7.3394495412844094</v>
      </c>
      <c r="BT200" s="580">
        <f>+INPUT!DQ190</f>
        <v>208</v>
      </c>
      <c r="BU200" s="577">
        <f>+INPUT!DR190</f>
        <v>-9.5652173913043441</v>
      </c>
      <c r="BV200" s="580">
        <f>+INPUT!DS190</f>
        <v>202</v>
      </c>
      <c r="BW200" s="577">
        <f>+INPUT!DT190</f>
        <v>-9.4170403587444014</v>
      </c>
      <c r="BX200" s="580">
        <f>+INPUT!DU190</f>
        <v>207</v>
      </c>
      <c r="BY200" s="577">
        <f>+INPUT!DV190</f>
        <v>-6.7567567567567579</v>
      </c>
      <c r="BZ200" s="580">
        <f>+INPUT!DW190</f>
        <v>194</v>
      </c>
      <c r="CA200" s="577">
        <f>+INPUT!DX190</f>
        <v>-3.9603960396039639</v>
      </c>
      <c r="CB200" s="580">
        <f>+INPUT!DY190</f>
        <v>191</v>
      </c>
      <c r="CC200" s="577">
        <f>+INPUT!DZ190</f>
        <v>-8.173076923076934</v>
      </c>
      <c r="CD200" s="580">
        <f>+INPUT!EA190</f>
        <v>180</v>
      </c>
      <c r="CE200" s="577">
        <f>+INPUT!EB190</f>
        <v>-10.89108910891089</v>
      </c>
      <c r="CF200" s="580">
        <f>+INPUT!EC190</f>
        <v>201</v>
      </c>
      <c r="CG200" s="577">
        <f>+INPUT!ED190</f>
        <v>-2.8985507246376869</v>
      </c>
      <c r="CH200" s="580">
        <f>+INPUT!EE190</f>
        <v>212</v>
      </c>
      <c r="CI200" s="577">
        <f>+INPUT!EF190</f>
        <v>9.278350515463913</v>
      </c>
      <c r="CJ200" s="580">
        <f>+INPUT!EG190</f>
        <v>213</v>
      </c>
      <c r="CK200" s="577">
        <f>+INPUT!EH190</f>
        <v>11.518324607329845</v>
      </c>
      <c r="CL200" s="580">
        <f>+INPUT!EI190</f>
        <v>219</v>
      </c>
      <c r="CM200" s="577">
        <f>+INPUT!EJ190</f>
        <v>21.666666666666657</v>
      </c>
      <c r="CN200" s="580">
        <f>+INPUT!EK190</f>
        <v>211</v>
      </c>
      <c r="CO200" s="577">
        <f>+INPUT!EL190</f>
        <v>4.9751243781094558</v>
      </c>
      <c r="CP200" s="580">
        <f>+INPUT!EM190</f>
        <v>207</v>
      </c>
      <c r="CQ200" s="577">
        <f>+INPUT!EN190</f>
        <v>-2.3584905660377444</v>
      </c>
      <c r="CR200" s="580">
        <f>+INPUT!EO190</f>
        <v>208</v>
      </c>
      <c r="CS200" s="577">
        <f>+INPUT!EP190</f>
        <v>-2.3474178403755843</v>
      </c>
      <c r="CT200" s="580">
        <f>+INPUT!EQ190</f>
        <v>208.77324026501665</v>
      </c>
      <c r="CU200" s="577">
        <f>+INPUT!ER190</f>
        <v>-4.6697533036453649</v>
      </c>
      <c r="CV200" s="580">
        <f>+INPUT!ES190</f>
        <v>210.39377230818948</v>
      </c>
      <c r="CW200" s="577">
        <f>+INPUT!ET190</f>
        <v>-0.28731170227986524</v>
      </c>
      <c r="CX200" s="580">
        <f>+INPUT!EU190</f>
        <v>212.94636358729292</v>
      </c>
      <c r="CY200" s="577">
        <f>+INPUT!EV190</f>
        <v>2.8726394141511662</v>
      </c>
      <c r="CZ200" s="580">
        <f>+INPUT!EW190</f>
        <v>215.52992404465039</v>
      </c>
      <c r="DA200" s="577">
        <f>+INPUT!EX190</f>
        <v>3.6201557906972965</v>
      </c>
      <c r="DB200" s="580"/>
      <c r="DC200" s="580">
        <f>+INPUT!FP190</f>
        <v>467</v>
      </c>
      <c r="DD200" s="577">
        <f>+INPUT!FQ190</f>
        <v>27.945205479452056</v>
      </c>
      <c r="DE200" s="580">
        <f>+INPUT!FR190</f>
        <v>481</v>
      </c>
      <c r="DF200" s="577">
        <f>+INPUT!FS190</f>
        <v>2.9978586723768785</v>
      </c>
      <c r="DG200" s="580">
        <f>+INPUT!FT190</f>
        <v>531</v>
      </c>
      <c r="DH200" s="577">
        <f>+INPUT!FU190</f>
        <v>10.395010395010388</v>
      </c>
      <c r="DI200" s="580">
        <f>+INPUT!FV190</f>
        <v>525</v>
      </c>
      <c r="DJ200" s="577">
        <f>+INPUT!FW190</f>
        <v>-1.1299435028248581</v>
      </c>
      <c r="DK200" s="580">
        <f>+INPUT!FX190</f>
        <v>550</v>
      </c>
      <c r="DL200" s="577">
        <f>+INPUT!FY190</f>
        <v>4.7619047619047734</v>
      </c>
      <c r="DM200" s="580">
        <f>+INPUT!FZ190</f>
        <v>678</v>
      </c>
      <c r="DN200" s="577">
        <f>+INPUT!GA190</f>
        <v>23.272727272727266</v>
      </c>
      <c r="DO200" s="580">
        <f>+INPUT!GB190</f>
        <v>720</v>
      </c>
      <c r="DP200" s="577">
        <f>+INPUT!GC190</f>
        <v>6.1946902654867415</v>
      </c>
      <c r="DQ200" s="580">
        <f>+INPUT!GD190</f>
        <v>788</v>
      </c>
      <c r="DR200" s="577">
        <f>+INPUT!GE190</f>
        <v>9.4444444444444571</v>
      </c>
      <c r="DS200" s="580">
        <f>+INPUT!GF190</f>
        <v>854</v>
      </c>
      <c r="DT200" s="577">
        <f>+INPUT!GG190</f>
        <v>8.3756345177664997</v>
      </c>
      <c r="DU200" s="580">
        <f>+INPUT!GH190</f>
        <v>855</v>
      </c>
      <c r="DV200" s="577">
        <f>+INPUT!GI190</f>
        <v>0.11709601873535291</v>
      </c>
      <c r="DW200" s="580">
        <f>+INPUT!GJ190</f>
        <v>794</v>
      </c>
      <c r="DX200" s="577">
        <f>+INPUT!GK190</f>
        <v>-7.1345029239765978</v>
      </c>
      <c r="DY200" s="580">
        <f>+INPUT!GL190</f>
        <v>806</v>
      </c>
      <c r="DZ200" s="577">
        <f>+INPUT!GM190</f>
        <v>1.5113350125944578</v>
      </c>
      <c r="EA200" s="580">
        <f>+INPUT!GN190</f>
        <v>845</v>
      </c>
      <c r="EB200" s="577">
        <f>+INPUT!GO190</f>
        <v>4.8387096774193452</v>
      </c>
      <c r="EC200" s="580">
        <f>+INPUT!GP190</f>
        <v>847.64330020514944</v>
      </c>
      <c r="ED200" s="577">
        <f>+INPUT!GQ190</f>
        <v>0.31281659232537606</v>
      </c>
      <c r="EE200" s="580">
        <f>+INPUT!GR190</f>
        <v>832.95175253290085</v>
      </c>
      <c r="EF200" s="577">
        <f>+INPUT!GS190</f>
        <v>-1.7332228861707364</v>
      </c>
      <c r="EG200" s="580">
        <f>+INPUT!GT190</f>
        <v>818.17404752316008</v>
      </c>
      <c r="EH200" s="577">
        <f>+INPUT!GU190</f>
        <v>-1.774136973096418</v>
      </c>
      <c r="EI200" s="580">
        <f>+INPUT!GV190</f>
        <v>800.37694113945861</v>
      </c>
      <c r="EJ200" s="577">
        <f>+INPUT!GW190</f>
        <v>-2.1752225504558851</v>
      </c>
      <c r="EK200" s="580">
        <f>+INPUT!GX190</f>
        <v>779.31849137958557</v>
      </c>
      <c r="EL200" s="577">
        <f>+INPUT!GY190</f>
        <v>-2.6310665234674531</v>
      </c>
      <c r="EM200" s="577">
        <f>+INPUT!GZ190</f>
        <v>-1.6053116647349541</v>
      </c>
    </row>
    <row r="201" spans="1:144" ht="12.75" hidden="1" customHeight="1" outlineLevel="1" x14ac:dyDescent="0.2">
      <c r="A201" s="575" t="str">
        <f>+INPUT!B191</f>
        <v xml:space="preserve"> Total Revenues</v>
      </c>
      <c r="B201" s="580">
        <f>+INPUT!AY191</f>
        <v>1054</v>
      </c>
      <c r="C201" s="577">
        <f>+INPUT!AZ191</f>
        <v>11.770943796394491</v>
      </c>
      <c r="D201" s="580">
        <f>+INPUT!BA191</f>
        <v>1050</v>
      </c>
      <c r="E201" s="577">
        <f>+INPUT!BB191</f>
        <v>3.7549407114624529</v>
      </c>
      <c r="F201" s="580">
        <f>+INPUT!BC191</f>
        <v>1112</v>
      </c>
      <c r="G201" s="577">
        <f>+INPUT!BD191</f>
        <v>6.208213944603628</v>
      </c>
      <c r="H201" s="580">
        <f>+INPUT!BE191</f>
        <v>1163</v>
      </c>
      <c r="I201" s="577">
        <f>+INPUT!BF191</f>
        <v>13.685239491691121</v>
      </c>
      <c r="J201" s="580">
        <f>+INPUT!BG191</f>
        <v>1163</v>
      </c>
      <c r="K201" s="577">
        <f>+INPUT!BH191</f>
        <v>10.341555977229604</v>
      </c>
      <c r="L201" s="580">
        <f>+INPUT!BI191</f>
        <v>1150</v>
      </c>
      <c r="M201" s="577">
        <f>+INPUT!BJ191</f>
        <v>9.5238095238095326</v>
      </c>
      <c r="N201" s="580">
        <f>+INPUT!BK191</f>
        <v>1195</v>
      </c>
      <c r="O201" s="577">
        <f>+INPUT!BL191</f>
        <v>7.4640287769784237</v>
      </c>
      <c r="P201" s="580">
        <f>+INPUT!BM191</f>
        <v>1200</v>
      </c>
      <c r="Q201" s="577">
        <f>+INPUT!BN191</f>
        <v>3.1814273430782407</v>
      </c>
      <c r="R201" s="580">
        <f>+INPUT!BO191</f>
        <v>1267</v>
      </c>
      <c r="S201" s="577">
        <f>+INPUT!BP191</f>
        <v>8.9423903697334595</v>
      </c>
      <c r="T201" s="580">
        <f>+INPUT!BQ191</f>
        <v>1207</v>
      </c>
      <c r="U201" s="577">
        <f>+INPUT!BR191</f>
        <v>4.9565217391304373</v>
      </c>
      <c r="V201" s="580">
        <f>+INPUT!BS191</f>
        <v>1118</v>
      </c>
      <c r="W201" s="577">
        <f>+INPUT!BT191</f>
        <v>-6.4435146443514668</v>
      </c>
      <c r="X201" s="580">
        <f>+INPUT!BU191</f>
        <v>1252</v>
      </c>
      <c r="Y201" s="577">
        <f>+INPUT!BV191</f>
        <v>4.3333333333333286</v>
      </c>
      <c r="Z201" s="580">
        <f>+INPUT!BW191</f>
        <v>1183</v>
      </c>
      <c r="AA201" s="577">
        <f>+INPUT!BX191</f>
        <v>-6.6298342541436455</v>
      </c>
      <c r="AB201" s="580">
        <f>+INPUT!BY191</f>
        <v>1242</v>
      </c>
      <c r="AC201" s="577">
        <f>+INPUT!BZ191</f>
        <v>2.8997514498757369</v>
      </c>
      <c r="AD201" s="580">
        <f>+INPUT!CA191</f>
        <v>1100</v>
      </c>
      <c r="AE201" s="577">
        <f>+INPUT!CB191</f>
        <v>-1.6100178890876577</v>
      </c>
      <c r="AF201" s="580">
        <f>+INPUT!CC191</f>
        <v>1134</v>
      </c>
      <c r="AG201" s="577">
        <f>+INPUT!CD191</f>
        <v>-9.4249201277955166</v>
      </c>
      <c r="AH201" s="580">
        <f>+INPUT!CE191</f>
        <v>1129</v>
      </c>
      <c r="AI201" s="577">
        <f>+INPUT!CF191</f>
        <v>-4.5646661031276494</v>
      </c>
      <c r="AJ201" s="580">
        <f>+INPUT!CG191</f>
        <v>1370</v>
      </c>
      <c r="AK201" s="577">
        <f>+INPUT!CH191</f>
        <v>10.305958132045092</v>
      </c>
      <c r="AL201" s="580">
        <f>+INPUT!CI191</f>
        <v>1376</v>
      </c>
      <c r="AM201" s="577">
        <f>+INPUT!CJ191</f>
        <v>25.090909090909093</v>
      </c>
      <c r="AN201" s="580">
        <f>+INPUT!CK191</f>
        <v>1308</v>
      </c>
      <c r="AO201" s="577">
        <f>+INPUT!CL191</f>
        <v>15.343915343915342</v>
      </c>
      <c r="AP201" s="580">
        <f>+INPUT!CM191</f>
        <v>1206</v>
      </c>
      <c r="AQ201" s="577">
        <f>+INPUT!CN191</f>
        <v>6.8201948627103661</v>
      </c>
      <c r="AR201" s="580">
        <f>+INPUT!CO191</f>
        <v>1248</v>
      </c>
      <c r="AS201" s="577">
        <f>+INPUT!CP191</f>
        <v>-8.9051094890510996</v>
      </c>
      <c r="AT201" s="580">
        <f>+INPUT!CQ191</f>
        <v>1171</v>
      </c>
      <c r="AU201" s="577">
        <f>+INPUT!CR191</f>
        <v>-14.898255813953483</v>
      </c>
      <c r="AV201" s="580">
        <f>+INPUT!CS191</f>
        <v>1246</v>
      </c>
      <c r="AW201" s="577">
        <f>+INPUT!CT191</f>
        <v>-4.7400611620795132</v>
      </c>
      <c r="AX201" s="580">
        <f>+INPUT!CU191</f>
        <v>1107</v>
      </c>
      <c r="AY201" s="577">
        <f>+INPUT!CV191</f>
        <v>-8.2089552238805936</v>
      </c>
      <c r="AZ201" s="580">
        <f>+INPUT!CW191</f>
        <v>1242</v>
      </c>
      <c r="BA201" s="577">
        <f>+INPUT!CX191</f>
        <v>-0.4807692307692264</v>
      </c>
      <c r="BB201" s="580">
        <f>+INPUT!CY191</f>
        <v>1162</v>
      </c>
      <c r="BC201" s="577">
        <f>+INPUT!CZ191</f>
        <v>-0.76857386848847398</v>
      </c>
      <c r="BD201" s="580">
        <f>+INPUT!DA191</f>
        <v>33084</v>
      </c>
      <c r="BE201" s="577" t="str">
        <f>+INPUT!DB191</f>
        <v>NM</v>
      </c>
      <c r="BF201" s="580">
        <f>+INPUT!DC191</f>
        <v>1336</v>
      </c>
      <c r="BG201" s="577">
        <f>+INPUT!DD191</f>
        <v>20.686540198735329</v>
      </c>
      <c r="BH201" s="580">
        <f>+INPUT!DE191</f>
        <v>1521</v>
      </c>
      <c r="BI201" s="577">
        <f>+INPUT!DF191</f>
        <v>22.463768115942045</v>
      </c>
      <c r="BJ201" s="580">
        <f>+INPUT!DG191</f>
        <v>1525</v>
      </c>
      <c r="BK201" s="577">
        <f>+INPUT!DH191</f>
        <v>31.239242685025829</v>
      </c>
      <c r="BL201" s="580">
        <f>+INPUT!DI191</f>
        <v>1646</v>
      </c>
      <c r="BM201" s="577" t="str">
        <f>+INPUT!DJ191</f>
        <v>NM</v>
      </c>
      <c r="BN201" s="580">
        <f>+INPUT!DK191</f>
        <v>1531</v>
      </c>
      <c r="BO201" s="577">
        <f>+INPUT!DL191</f>
        <v>14.595808383233532</v>
      </c>
      <c r="BP201" s="580">
        <f>+INPUT!DM191</f>
        <v>1469</v>
      </c>
      <c r="BQ201" s="577">
        <f>+INPUT!DN191</f>
        <v>-3.4188034188034209</v>
      </c>
      <c r="BR201" s="580">
        <f>+INPUT!DO191</f>
        <v>2397</v>
      </c>
      <c r="BS201" s="577">
        <f>+INPUT!DP191</f>
        <v>57.180327868852459</v>
      </c>
      <c r="BT201" s="580">
        <f>+INPUT!DQ191</f>
        <v>6680</v>
      </c>
      <c r="BU201" s="577" t="str">
        <f>+INPUT!DR191</f>
        <v>NM</v>
      </c>
      <c r="BV201" s="580">
        <f>+INPUT!DS191</f>
        <v>2478</v>
      </c>
      <c r="BW201" s="577">
        <f>+INPUT!DT191</f>
        <v>61.854996734160693</v>
      </c>
      <c r="BX201" s="580">
        <f>+INPUT!DU191</f>
        <v>3180</v>
      </c>
      <c r="BY201" s="577" t="str">
        <f>+INPUT!DV191</f>
        <v>NM</v>
      </c>
      <c r="BZ201" s="580">
        <f>+INPUT!DW191</f>
        <v>1937</v>
      </c>
      <c r="CA201" s="577">
        <f>+INPUT!DX191</f>
        <v>-19.19065498539841</v>
      </c>
      <c r="CB201" s="580">
        <f>+INPUT!DY191</f>
        <v>4226</v>
      </c>
      <c r="CC201" s="577">
        <f>+INPUT!DZ191</f>
        <v>-36.736526946107787</v>
      </c>
      <c r="CD201" s="580">
        <f>+INPUT!EA191</f>
        <v>1893</v>
      </c>
      <c r="CE201" s="577">
        <f>+INPUT!EB191</f>
        <v>-23.607748184019371</v>
      </c>
      <c r="CF201" s="580">
        <f>+INPUT!EC191</f>
        <v>2241</v>
      </c>
      <c r="CG201" s="577">
        <f>+INPUT!ED191</f>
        <v>-29.528301886792448</v>
      </c>
      <c r="CH201" s="580">
        <f>+INPUT!EE191</f>
        <v>5134</v>
      </c>
      <c r="CI201" s="577" t="str">
        <f>+INPUT!EF191</f>
        <v>NM</v>
      </c>
      <c r="CJ201" s="580">
        <f>+INPUT!EG191</f>
        <v>3608</v>
      </c>
      <c r="CK201" s="577">
        <f>+INPUT!EH191</f>
        <v>-14.623757690487466</v>
      </c>
      <c r="CL201" s="580">
        <f>+INPUT!EI191</f>
        <v>1937</v>
      </c>
      <c r="CM201" s="577">
        <f>+INPUT!EJ191</f>
        <v>2.3243528790279981</v>
      </c>
      <c r="CN201" s="580">
        <f>+INPUT!EK191</f>
        <v>3607</v>
      </c>
      <c r="CO201" s="577">
        <f>+INPUT!EL191</f>
        <v>60.95493083444893</v>
      </c>
      <c r="CP201" s="580">
        <f>+INPUT!EM191</f>
        <v>3259</v>
      </c>
      <c r="CQ201" s="577">
        <f>+INPUT!EN191</f>
        <v>-36.521231008959873</v>
      </c>
      <c r="CR201" s="580">
        <f>+INPUT!EO191</f>
        <v>5040</v>
      </c>
      <c r="CS201" s="577">
        <f>+INPUT!EP191</f>
        <v>39.689578713968956</v>
      </c>
      <c r="CT201" s="580">
        <f>+INPUT!EQ191</f>
        <v>3345.1113101088949</v>
      </c>
      <c r="CU201" s="577">
        <f>+INPUT!ER191</f>
        <v>72.695472901853122</v>
      </c>
      <c r="CV201" s="580">
        <f>+INPUT!ES191</f>
        <v>3376.0263593305767</v>
      </c>
      <c r="CW201" s="577">
        <f>+INPUT!ET191</f>
        <v>-6.4034832456175081</v>
      </c>
      <c r="CX201" s="580">
        <f>+INPUT!EU191</f>
        <v>3408.5749295956043</v>
      </c>
      <c r="CY201" s="577">
        <f>+INPUT!EV191</f>
        <v>4.5895958759007129</v>
      </c>
      <c r="CZ201" s="580">
        <f>+INPUT!EW191</f>
        <v>3441.4405741749883</v>
      </c>
      <c r="DA201" s="577">
        <f>+INPUT!EX191</f>
        <v>-31.717448925099433</v>
      </c>
      <c r="DB201" s="580"/>
      <c r="DC201" s="580">
        <f>+INPUT!FP191</f>
        <v>4025</v>
      </c>
      <c r="DD201" s="577">
        <f>+INPUT!FQ191</f>
        <v>24.806201550387598</v>
      </c>
      <c r="DE201" s="580">
        <f>+INPUT!FR191</f>
        <v>4379</v>
      </c>
      <c r="DF201" s="577">
        <f>+INPUT!FS191</f>
        <v>8.7950310559006226</v>
      </c>
      <c r="DG201" s="580">
        <f>+INPUT!FT191</f>
        <v>4708</v>
      </c>
      <c r="DH201" s="577">
        <f>+INPUT!FU191</f>
        <v>7.5131308517926385</v>
      </c>
      <c r="DI201" s="580">
        <f>+INPUT!FV191</f>
        <v>4859</v>
      </c>
      <c r="DJ201" s="577">
        <f>+INPUT!FW191</f>
        <v>3.2073067119796121</v>
      </c>
      <c r="DK201" s="580">
        <f>+INPUT!FX191</f>
        <v>4659</v>
      </c>
      <c r="DL201" s="577">
        <f>+INPUT!FY191</f>
        <v>-4.1160732661041379</v>
      </c>
      <c r="DM201" s="580">
        <f>+INPUT!FZ191</f>
        <v>5183</v>
      </c>
      <c r="DN201" s="577">
        <f>+INPUT!GA191</f>
        <v>11.247048722901923</v>
      </c>
      <c r="DO201" s="580">
        <f>+INPUT!GB191</f>
        <v>4871</v>
      </c>
      <c r="DP201" s="577">
        <f>+INPUT!GC191</f>
        <v>-6.0196797221686182</v>
      </c>
      <c r="DQ201" s="580">
        <f>+INPUT!GD191</f>
        <v>36595</v>
      </c>
      <c r="DR201" s="577" t="str">
        <f>+INPUT!GE191</f>
        <v>NM</v>
      </c>
      <c r="DS201" s="580">
        <f>+INPUT!GF191</f>
        <v>6028</v>
      </c>
      <c r="DT201" s="577" t="str">
        <f>+INPUT!GG191</f>
        <v>NM</v>
      </c>
      <c r="DU201" s="580">
        <f>+INPUT!GH191</f>
        <v>12077</v>
      </c>
      <c r="DV201" s="577" t="str">
        <f>+INPUT!GI191</f>
        <v>NM</v>
      </c>
      <c r="DW201" s="580">
        <f>+INPUT!GJ191</f>
        <v>11821</v>
      </c>
      <c r="DX201" s="577">
        <f>+INPUT!GK191</f>
        <v>-2.1197317214540021</v>
      </c>
      <c r="DY201" s="580">
        <f>+INPUT!GL191</f>
        <v>12876</v>
      </c>
      <c r="DZ201" s="577">
        <f>+INPUT!GM191</f>
        <v>8.9247948566111006</v>
      </c>
      <c r="EA201" s="580">
        <f>+INPUT!GN191</f>
        <v>13843</v>
      </c>
      <c r="EB201" s="577">
        <f>+INPUT!GO191</f>
        <v>7.5100963031997452</v>
      </c>
      <c r="EC201" s="580">
        <f>+INPUT!GP191</f>
        <v>13571.153173210063</v>
      </c>
      <c r="ED201" s="577">
        <f>+INPUT!GQ191</f>
        <v>-1.963785500180137</v>
      </c>
      <c r="EE201" s="580">
        <f>+INPUT!GR191</f>
        <v>14095.74832055035</v>
      </c>
      <c r="EF201" s="577">
        <f>+INPUT!GS191</f>
        <v>3.8655163687626413</v>
      </c>
      <c r="EG201" s="580">
        <f>+INPUT!GT191</f>
        <v>14645.733552394468</v>
      </c>
      <c r="EH201" s="577">
        <f>+INPUT!GU191</f>
        <v>3.9017810146502683</v>
      </c>
      <c r="EI201" s="580">
        <f>+INPUT!GV191</f>
        <v>15217.925935297062</v>
      </c>
      <c r="EJ201" s="577">
        <f>+INPUT!GW191</f>
        <v>3.9068878377146632</v>
      </c>
      <c r="EK201" s="580">
        <f>+INPUT!GX191</f>
        <v>15813.253705591567</v>
      </c>
      <c r="EL201" s="577">
        <f>+INPUT!GY191</f>
        <v>3.9120164786298375</v>
      </c>
      <c r="EM201" s="577">
        <f>+INPUT!GZ191</f>
        <v>2.6971056690706208</v>
      </c>
    </row>
    <row r="202" spans="1:144" ht="12.75" hidden="1" customHeight="1" outlineLevel="1" x14ac:dyDescent="0.2">
      <c r="A202" s="579"/>
      <c r="B202" s="580"/>
      <c r="C202" s="577"/>
      <c r="D202" s="580"/>
      <c r="E202" s="577"/>
      <c r="F202" s="580"/>
      <c r="G202" s="577"/>
      <c r="H202" s="580"/>
      <c r="I202" s="577"/>
      <c r="J202" s="580"/>
      <c r="K202" s="577"/>
      <c r="L202" s="580"/>
      <c r="M202" s="577"/>
      <c r="N202" s="580"/>
      <c r="O202" s="577"/>
      <c r="P202" s="580"/>
      <c r="Q202" s="577"/>
      <c r="R202" s="580"/>
      <c r="S202" s="577"/>
      <c r="T202" s="580"/>
      <c r="U202" s="577"/>
      <c r="V202" s="580"/>
      <c r="W202" s="577"/>
      <c r="X202" s="580"/>
      <c r="Y202" s="577"/>
      <c r="Z202" s="580"/>
      <c r="AA202" s="577"/>
      <c r="AB202" s="580"/>
      <c r="AC202" s="577"/>
      <c r="AD202" s="580"/>
      <c r="AE202" s="577"/>
      <c r="AF202" s="580"/>
      <c r="AG202" s="577"/>
      <c r="AH202" s="580"/>
      <c r="AI202" s="577"/>
      <c r="AJ202" s="580"/>
      <c r="AK202" s="577"/>
      <c r="AL202" s="580"/>
      <c r="AM202" s="577"/>
      <c r="AN202" s="580"/>
      <c r="AO202" s="577"/>
      <c r="AP202" s="580"/>
      <c r="AQ202" s="577"/>
      <c r="AR202" s="580"/>
      <c r="AS202" s="577"/>
      <c r="AT202" s="580"/>
      <c r="AU202" s="577"/>
      <c r="AV202" s="580"/>
      <c r="AW202" s="577"/>
      <c r="AX202" s="580"/>
      <c r="AY202" s="577"/>
      <c r="AZ202" s="580"/>
      <c r="BA202" s="577"/>
      <c r="BB202" s="580"/>
      <c r="BC202" s="577"/>
      <c r="BD202" s="580"/>
      <c r="BE202" s="577"/>
      <c r="BF202" s="580"/>
      <c r="BG202" s="577"/>
      <c r="BH202" s="580"/>
      <c r="BI202" s="577"/>
      <c r="BJ202" s="580"/>
      <c r="BK202" s="577"/>
      <c r="BL202" s="580"/>
      <c r="BM202" s="577"/>
      <c r="BN202" s="580"/>
      <c r="BO202" s="577"/>
      <c r="BP202" s="580"/>
      <c r="BQ202" s="577"/>
      <c r="BR202" s="580"/>
      <c r="BS202" s="577"/>
      <c r="BT202" s="580"/>
      <c r="BU202" s="577"/>
      <c r="BV202" s="580"/>
      <c r="BW202" s="577"/>
      <c r="BX202" s="580"/>
      <c r="BY202" s="577"/>
      <c r="BZ202" s="580"/>
      <c r="CA202" s="577"/>
      <c r="CB202" s="580"/>
      <c r="CC202" s="577"/>
      <c r="CD202" s="580"/>
      <c r="CE202" s="577"/>
      <c r="CF202" s="580"/>
      <c r="CG202" s="577"/>
      <c r="CH202" s="580"/>
      <c r="CI202" s="577"/>
      <c r="CJ202" s="580"/>
      <c r="CK202" s="577"/>
      <c r="CL202" s="580"/>
      <c r="CM202" s="577"/>
      <c r="CN202" s="580"/>
      <c r="CO202" s="577"/>
      <c r="CP202" s="580"/>
      <c r="CQ202" s="577"/>
      <c r="CR202" s="580"/>
      <c r="CS202" s="577"/>
      <c r="CT202" s="580"/>
      <c r="CU202" s="577"/>
      <c r="CV202" s="580"/>
      <c r="CW202" s="577"/>
      <c r="CX202" s="580"/>
      <c r="CY202" s="577"/>
      <c r="CZ202" s="580"/>
      <c r="DA202" s="577"/>
      <c r="DB202" s="581"/>
      <c r="DC202" s="580"/>
      <c r="DD202" s="577"/>
      <c r="DE202" s="580"/>
      <c r="DF202" s="577"/>
      <c r="DG202" s="580"/>
      <c r="DH202" s="577"/>
      <c r="DI202" s="580"/>
      <c r="DJ202" s="577"/>
      <c r="DK202" s="580"/>
      <c r="DL202" s="577"/>
      <c r="DM202" s="580"/>
      <c r="DN202" s="577"/>
      <c r="DO202" s="580"/>
      <c r="DP202" s="577"/>
      <c r="DQ202" s="580"/>
      <c r="DR202" s="577"/>
      <c r="DS202" s="580"/>
      <c r="DT202" s="577"/>
      <c r="DU202" s="580"/>
      <c r="DV202" s="577"/>
      <c r="DW202" s="580"/>
      <c r="DX202" s="577"/>
      <c r="DY202" s="580"/>
      <c r="DZ202" s="577"/>
      <c r="EA202" s="580"/>
      <c r="EB202" s="577"/>
      <c r="EC202" s="580"/>
      <c r="ED202" s="577"/>
      <c r="EE202" s="580"/>
      <c r="EF202" s="577"/>
      <c r="EG202" s="580"/>
      <c r="EH202" s="577"/>
      <c r="EI202" s="580"/>
      <c r="EJ202" s="577"/>
      <c r="EK202" s="580"/>
      <c r="EL202" s="577"/>
      <c r="EM202" s="577"/>
    </row>
    <row r="203" spans="1:144" ht="12.75" hidden="1" customHeight="1" outlineLevel="1" x14ac:dyDescent="0.2">
      <c r="A203" s="575" t="s">
        <v>129</v>
      </c>
      <c r="B203" s="580"/>
      <c r="C203" s="577"/>
      <c r="D203" s="580"/>
      <c r="E203" s="577"/>
      <c r="F203" s="580"/>
      <c r="G203" s="577"/>
      <c r="H203" s="580"/>
      <c r="I203" s="577"/>
      <c r="J203" s="580"/>
      <c r="K203" s="577"/>
      <c r="L203" s="580"/>
      <c r="M203" s="577"/>
      <c r="N203" s="580"/>
      <c r="O203" s="577"/>
      <c r="P203" s="580"/>
      <c r="Q203" s="577"/>
      <c r="R203" s="580"/>
      <c r="S203" s="577"/>
      <c r="T203" s="580"/>
      <c r="U203" s="577"/>
      <c r="V203" s="580"/>
      <c r="W203" s="577"/>
      <c r="X203" s="580"/>
      <c r="Y203" s="577"/>
      <c r="Z203" s="580"/>
      <c r="AA203" s="577"/>
      <c r="AB203" s="580"/>
      <c r="AC203" s="577"/>
      <c r="AD203" s="580"/>
      <c r="AE203" s="577"/>
      <c r="AF203" s="580"/>
      <c r="AG203" s="577"/>
      <c r="AH203" s="580"/>
      <c r="AI203" s="577"/>
      <c r="AJ203" s="580"/>
      <c r="AK203" s="577"/>
      <c r="AL203" s="580"/>
      <c r="AM203" s="577"/>
      <c r="AN203" s="580"/>
      <c r="AO203" s="577"/>
      <c r="AP203" s="580"/>
      <c r="AQ203" s="577"/>
      <c r="AR203" s="580"/>
      <c r="AS203" s="577"/>
      <c r="AT203" s="580"/>
      <c r="AU203" s="577"/>
      <c r="AV203" s="580"/>
      <c r="AW203" s="577"/>
      <c r="AX203" s="580"/>
      <c r="AY203" s="577"/>
      <c r="AZ203" s="580"/>
      <c r="BA203" s="577"/>
      <c r="BB203" s="580"/>
      <c r="BC203" s="577"/>
      <c r="BD203" s="580"/>
      <c r="BE203" s="577"/>
      <c r="BF203" s="580"/>
      <c r="BG203" s="577"/>
      <c r="BH203" s="580"/>
      <c r="BI203" s="577"/>
      <c r="BJ203" s="580"/>
      <c r="BK203" s="577"/>
      <c r="BL203" s="580"/>
      <c r="BM203" s="577"/>
      <c r="BN203" s="580"/>
      <c r="BO203" s="577"/>
      <c r="BP203" s="580"/>
      <c r="BQ203" s="577"/>
      <c r="BR203" s="580"/>
      <c r="BS203" s="577"/>
      <c r="BT203" s="580"/>
      <c r="BU203" s="577"/>
      <c r="BV203" s="580"/>
      <c r="BW203" s="577"/>
      <c r="BX203" s="580"/>
      <c r="BY203" s="577"/>
      <c r="BZ203" s="580"/>
      <c r="CA203" s="577"/>
      <c r="CB203" s="580"/>
      <c r="CC203" s="577"/>
      <c r="CD203" s="580"/>
      <c r="CE203" s="577"/>
      <c r="CF203" s="580"/>
      <c r="CG203" s="577"/>
      <c r="CH203" s="580"/>
      <c r="CI203" s="577"/>
      <c r="CJ203" s="580"/>
      <c r="CK203" s="577"/>
      <c r="CL203" s="580"/>
      <c r="CM203" s="577"/>
      <c r="CN203" s="580"/>
      <c r="CO203" s="577"/>
      <c r="CP203" s="580"/>
      <c r="CQ203" s="577"/>
      <c r="CR203" s="580"/>
      <c r="CS203" s="577"/>
      <c r="CT203" s="580"/>
      <c r="CU203" s="577"/>
      <c r="CV203" s="580"/>
      <c r="CW203" s="577"/>
      <c r="CX203" s="580"/>
      <c r="CY203" s="577"/>
      <c r="CZ203" s="580"/>
      <c r="DA203" s="577"/>
      <c r="DB203" s="605"/>
      <c r="DC203" s="580"/>
      <c r="DD203" s="577"/>
      <c r="DE203" s="580"/>
      <c r="DF203" s="577"/>
      <c r="DG203" s="580"/>
      <c r="DH203" s="577"/>
      <c r="DI203" s="580"/>
      <c r="DJ203" s="577"/>
      <c r="DK203" s="580"/>
      <c r="DL203" s="577"/>
      <c r="DM203" s="580"/>
      <c r="DN203" s="577"/>
      <c r="DO203" s="580"/>
      <c r="DP203" s="577"/>
      <c r="DQ203" s="580"/>
      <c r="DR203" s="577"/>
      <c r="DS203" s="580"/>
      <c r="DT203" s="577"/>
      <c r="DU203" s="580"/>
      <c r="DV203" s="577"/>
      <c r="DW203" s="580"/>
      <c r="DX203" s="577"/>
      <c r="DY203" s="580"/>
      <c r="DZ203" s="577"/>
      <c r="EA203" s="580"/>
      <c r="EB203" s="577"/>
      <c r="EC203" s="580"/>
      <c r="ED203" s="577"/>
      <c r="EE203" s="580"/>
      <c r="EF203" s="577"/>
      <c r="EG203" s="580"/>
      <c r="EH203" s="577"/>
      <c r="EI203" s="580"/>
      <c r="EJ203" s="577"/>
      <c r="EK203" s="580"/>
      <c r="EL203" s="577"/>
      <c r="EM203" s="577"/>
    </row>
    <row r="204" spans="1:144" ht="12.75" hidden="1" customHeight="1" outlineLevel="1" x14ac:dyDescent="0.2">
      <c r="A204" s="579" t="str">
        <f>+INPUT!B200</f>
        <v>Insurance and Annuity Benefits</v>
      </c>
      <c r="B204" s="580">
        <f>+INPUT!AY200</f>
        <v>269</v>
      </c>
      <c r="C204" s="577">
        <f>+INPUT!AZ200</f>
        <v>25.11627906976743</v>
      </c>
      <c r="D204" s="580">
        <f>+INPUT!BA200</f>
        <v>235</v>
      </c>
      <c r="E204" s="577">
        <f>+INPUT!BB200</f>
        <v>-13.60294117647058</v>
      </c>
      <c r="F204" s="580">
        <f>+INPUT!BC200</f>
        <v>297</v>
      </c>
      <c r="G204" s="577">
        <f>+INPUT!BD200</f>
        <v>0.3378378378378244</v>
      </c>
      <c r="H204" s="580">
        <f>+INPUT!BE200</f>
        <v>303</v>
      </c>
      <c r="I204" s="577">
        <f>+INPUT!BF200</f>
        <v>13.909774436090231</v>
      </c>
      <c r="J204" s="580">
        <f>+INPUT!BG200</f>
        <v>302</v>
      </c>
      <c r="K204" s="577">
        <f>+INPUT!BH200</f>
        <v>12.267657992565063</v>
      </c>
      <c r="L204" s="580">
        <f>+INPUT!BI200</f>
        <v>276</v>
      </c>
      <c r="M204" s="577">
        <f>+INPUT!BJ200</f>
        <v>17.446808510638292</v>
      </c>
      <c r="N204" s="580">
        <f>+INPUT!BK200</f>
        <v>290</v>
      </c>
      <c r="O204" s="577">
        <f>+INPUT!BL200</f>
        <v>-2.3569023569023528</v>
      </c>
      <c r="P204" s="580">
        <f>+INPUT!BM200</f>
        <v>277</v>
      </c>
      <c r="Q204" s="577">
        <f>+INPUT!BN200</f>
        <v>-8.5808580858085861</v>
      </c>
      <c r="R204" s="580">
        <f>+INPUT!BO200</f>
        <v>392</v>
      </c>
      <c r="S204" s="577">
        <f>+INPUT!BP200</f>
        <v>29.801324503311264</v>
      </c>
      <c r="T204" s="580">
        <f>+INPUT!BQ200</f>
        <v>340</v>
      </c>
      <c r="U204" s="577">
        <f>+INPUT!BR200</f>
        <v>23.188405797101439</v>
      </c>
      <c r="V204" s="580">
        <f>+INPUT!BS200</f>
        <v>249</v>
      </c>
      <c r="W204" s="577">
        <f>+INPUT!BT200</f>
        <v>-14.137931034482747</v>
      </c>
      <c r="X204" s="580">
        <f>+INPUT!BU200</f>
        <v>340</v>
      </c>
      <c r="Y204" s="577">
        <f>+INPUT!BV200</f>
        <v>22.74368231046931</v>
      </c>
      <c r="Z204" s="580">
        <f>+INPUT!BW200</f>
        <v>338</v>
      </c>
      <c r="AA204" s="577">
        <f>+INPUT!BX200</f>
        <v>-13.775510204081627</v>
      </c>
      <c r="AB204" s="580">
        <f>+INPUT!BY200</f>
        <v>436</v>
      </c>
      <c r="AC204" s="577">
        <f>+INPUT!BZ200</f>
        <v>28.235294117647072</v>
      </c>
      <c r="AD204" s="580">
        <f>+INPUT!CA200</f>
        <v>295</v>
      </c>
      <c r="AE204" s="577">
        <f>+INPUT!CB200</f>
        <v>18.47389558232932</v>
      </c>
      <c r="AF204" s="580">
        <f>+INPUT!CC200</f>
        <v>311</v>
      </c>
      <c r="AG204" s="577">
        <f>+INPUT!CD200</f>
        <v>-8.529411764705884</v>
      </c>
      <c r="AH204" s="580">
        <f>+INPUT!CE200</f>
        <v>296</v>
      </c>
      <c r="AI204" s="577">
        <f>+INPUT!CF200</f>
        <v>-12.42603550295857</v>
      </c>
      <c r="AJ204" s="580">
        <f>+INPUT!CG200</f>
        <v>541</v>
      </c>
      <c r="AK204" s="577">
        <f>+INPUT!CH200</f>
        <v>24.082568807339456</v>
      </c>
      <c r="AL204" s="580">
        <f>+INPUT!CI200</f>
        <v>556</v>
      </c>
      <c r="AM204" s="577">
        <f>+INPUT!CJ200</f>
        <v>88.474576271186436</v>
      </c>
      <c r="AN204" s="580">
        <f>+INPUT!CK200</f>
        <v>455</v>
      </c>
      <c r="AO204" s="577">
        <f>+INPUT!CL200</f>
        <v>46.302250803858527</v>
      </c>
      <c r="AP204" s="580">
        <f>+INPUT!CM200</f>
        <v>366</v>
      </c>
      <c r="AQ204" s="577">
        <f>+INPUT!CN200</f>
        <v>23.648648648648646</v>
      </c>
      <c r="AR204" s="580">
        <f>+INPUT!CO200</f>
        <v>420</v>
      </c>
      <c r="AS204" s="577">
        <f>+INPUT!CP200</f>
        <v>-22.365988909426989</v>
      </c>
      <c r="AT204" s="580">
        <f>+INPUT!CQ200</f>
        <v>367</v>
      </c>
      <c r="AU204" s="577">
        <f>+INPUT!CR200</f>
        <v>-33.992805755395679</v>
      </c>
      <c r="AV204" s="580">
        <f>+INPUT!CS200</f>
        <v>441</v>
      </c>
      <c r="AW204" s="577">
        <f>+INPUT!CT200</f>
        <v>-3.0769230769230802</v>
      </c>
      <c r="AX204" s="580">
        <f>+INPUT!CU200</f>
        <v>296</v>
      </c>
      <c r="AY204" s="577">
        <f>+INPUT!CV200</f>
        <v>-19.125683060109282</v>
      </c>
      <c r="AZ204" s="580">
        <f>+INPUT!CW200</f>
        <v>433</v>
      </c>
      <c r="BA204" s="577">
        <f>+INPUT!CX200</f>
        <v>3.0952380952380878</v>
      </c>
      <c r="BB204" s="580">
        <f>+INPUT!CY200</f>
        <v>351</v>
      </c>
      <c r="BC204" s="577">
        <f>+INPUT!CZ200</f>
        <v>-4.3596730245231612</v>
      </c>
      <c r="BD204" s="580">
        <f>+INPUT!DA200</f>
        <v>32237</v>
      </c>
      <c r="BE204" s="577" t="str">
        <f>+INPUT!DB200</f>
        <v>NM</v>
      </c>
      <c r="BF204" s="580">
        <f>+INPUT!DC200</f>
        <v>482</v>
      </c>
      <c r="BG204" s="577">
        <f>+INPUT!DD200</f>
        <v>62.837837837837839</v>
      </c>
      <c r="BH204" s="580">
        <f>+INPUT!DE200</f>
        <v>610</v>
      </c>
      <c r="BI204" s="577">
        <f>+INPUT!DF200</f>
        <v>40.877598152424923</v>
      </c>
      <c r="BJ204" s="580">
        <f>+INPUT!DG200</f>
        <v>666</v>
      </c>
      <c r="BK204" s="577">
        <f>+INPUT!DH200</f>
        <v>89.743589743589723</v>
      </c>
      <c r="BL204" s="580">
        <f>+INPUT!DI200</f>
        <v>703</v>
      </c>
      <c r="BM204" s="577" t="str">
        <f>+INPUT!DJ200</f>
        <v>NM</v>
      </c>
      <c r="BN204" s="580">
        <f>+INPUT!DK200</f>
        <v>545</v>
      </c>
      <c r="BO204" s="577">
        <f>+INPUT!DL200</f>
        <v>13.07053941908714</v>
      </c>
      <c r="BP204" s="580">
        <f>+INPUT!DM200</f>
        <v>552</v>
      </c>
      <c r="BQ204" s="577">
        <f>+INPUT!DN200</f>
        <v>-9.508196721311478</v>
      </c>
      <c r="BR204" s="580">
        <f>+INPUT!DO200</f>
        <v>1514</v>
      </c>
      <c r="BS204" s="577" t="str">
        <f>+INPUT!DP200</f>
        <v>NM</v>
      </c>
      <c r="BT204" s="580">
        <f>+INPUT!DQ200</f>
        <v>5725</v>
      </c>
      <c r="BU204" s="577" t="str">
        <f>+INPUT!DR200</f>
        <v>NM</v>
      </c>
      <c r="BV204" s="580">
        <f>+INPUT!DS200</f>
        <v>1568</v>
      </c>
      <c r="BW204" s="577" t="str">
        <f>+INPUT!DT200</f>
        <v>NM</v>
      </c>
      <c r="BX204" s="580">
        <f>+INPUT!DU200</f>
        <v>2297</v>
      </c>
      <c r="BY204" s="577" t="str">
        <f>+INPUT!DV200</f>
        <v>NM</v>
      </c>
      <c r="BZ204" s="580">
        <f>+INPUT!DW200</f>
        <v>1062</v>
      </c>
      <c r="CA204" s="577">
        <f>+INPUT!DX200</f>
        <v>-29.854689564068693</v>
      </c>
      <c r="CB204" s="580">
        <f>+INPUT!DY200</f>
        <v>3423</v>
      </c>
      <c r="CC204" s="577">
        <f>+INPUT!DZ200</f>
        <v>-40.209606986899558</v>
      </c>
      <c r="CD204" s="580">
        <f>+INPUT!EA200</f>
        <v>1060</v>
      </c>
      <c r="CE204" s="577">
        <f>+INPUT!EB200</f>
        <v>-32.397959183673478</v>
      </c>
      <c r="CF204" s="580">
        <f>+INPUT!EC200</f>
        <v>1403</v>
      </c>
      <c r="CG204" s="577">
        <f>+INPUT!ED200</f>
        <v>-38.920330866347406</v>
      </c>
      <c r="CH204" s="580">
        <f>+INPUT!EE200</f>
        <v>4205</v>
      </c>
      <c r="CI204" s="577" t="str">
        <f>+INPUT!EF200</f>
        <v>NM</v>
      </c>
      <c r="CJ204" s="580">
        <f>+INPUT!EG200</f>
        <v>2660</v>
      </c>
      <c r="CK204" s="577">
        <f>+INPUT!EH200</f>
        <v>-22.290388548057265</v>
      </c>
      <c r="CL204" s="580">
        <f>+INPUT!EI200</f>
        <v>917</v>
      </c>
      <c r="CM204" s="577">
        <f>+INPUT!EJ200</f>
        <v>-13.490566037735846</v>
      </c>
      <c r="CN204" s="580">
        <f>+INPUT!EK200</f>
        <v>2649</v>
      </c>
      <c r="CO204" s="577">
        <f>+INPUT!EL200</f>
        <v>88.809693513898793</v>
      </c>
      <c r="CP204" s="580">
        <f>+INPUT!EM200</f>
        <v>2378</v>
      </c>
      <c r="CQ204" s="577">
        <f>+INPUT!EN200</f>
        <v>-43.448275862068961</v>
      </c>
      <c r="CR204" s="580">
        <f>+INPUT!EO200</f>
        <v>4091</v>
      </c>
      <c r="CS204" s="577">
        <f>+INPUT!EP200</f>
        <v>53.796992481203006</v>
      </c>
      <c r="CT204" s="580">
        <f>+INPUT!EQ200</f>
        <v>2391.75458672786</v>
      </c>
      <c r="CU204" s="577" t="str">
        <f>+INPUT!ER200</f>
        <v>NM</v>
      </c>
      <c r="CV204" s="580">
        <f>+INPUT!ES200</f>
        <v>2439.1790446163418</v>
      </c>
      <c r="CW204" s="577">
        <f>+INPUT!ET200</f>
        <v>-7.9207608676352663</v>
      </c>
      <c r="CX204" s="580">
        <f>+INPUT!EU200</f>
        <v>2486.5554111399933</v>
      </c>
      <c r="CY204" s="577">
        <f>+INPUT!EV200</f>
        <v>4.564987852817211</v>
      </c>
      <c r="CZ204" s="580">
        <f>+INPUT!EW200</f>
        <v>2524.2966611573543</v>
      </c>
      <c r="DA204" s="577">
        <f>+INPUT!EX200</f>
        <v>-38.296341697449179</v>
      </c>
      <c r="DB204" s="580"/>
      <c r="DC204" s="580">
        <f>+INPUT!FP200</f>
        <v>1049</v>
      </c>
      <c r="DD204" s="577">
        <f>+INPUT!FQ200</f>
        <v>21.693735498839899</v>
      </c>
      <c r="DE204" s="580">
        <f>+INPUT!FR200</f>
        <v>1104</v>
      </c>
      <c r="DF204" s="577">
        <f>+INPUT!FS200</f>
        <v>5.2430886558627208</v>
      </c>
      <c r="DG204" s="580">
        <f>+INPUT!FT200</f>
        <v>1145</v>
      </c>
      <c r="DH204" s="577">
        <f>+INPUT!FU200</f>
        <v>3.7137681159420453</v>
      </c>
      <c r="DI204" s="580">
        <f>+INPUT!FV200</f>
        <v>1321</v>
      </c>
      <c r="DJ204" s="577">
        <f>+INPUT!FW200</f>
        <v>15.371179039301325</v>
      </c>
      <c r="DK204" s="580">
        <f>+INPUT!FX200</f>
        <v>1380</v>
      </c>
      <c r="DL204" s="577">
        <f>+INPUT!FY200</f>
        <v>4.4663133989401871</v>
      </c>
      <c r="DM204" s="580">
        <f>+INPUT!FZ200</f>
        <v>1848</v>
      </c>
      <c r="DN204" s="577">
        <f>+INPUT!GA200</f>
        <v>33.913043478260875</v>
      </c>
      <c r="DO204" s="580">
        <f>+INPUT!GB200</f>
        <v>1594</v>
      </c>
      <c r="DP204" s="577">
        <f>+INPUT!GC200</f>
        <v>-13.744588744588754</v>
      </c>
      <c r="DQ204" s="580">
        <f>+INPUT!GD200</f>
        <v>33317</v>
      </c>
      <c r="DR204" s="577" t="str">
        <f>+INPUT!GE200</f>
        <v>NM</v>
      </c>
      <c r="DS204" s="580">
        <f>+INPUT!GF200</f>
        <v>2461</v>
      </c>
      <c r="DT204" s="577" t="str">
        <f>+INPUT!GG200</f>
        <v>NM</v>
      </c>
      <c r="DU204" s="580">
        <f>+INPUT!GH200</f>
        <v>8336</v>
      </c>
      <c r="DV204" s="577" t="str">
        <f>+INPUT!GI200</f>
        <v>NM</v>
      </c>
      <c r="DW204" s="580">
        <f>+INPUT!GJ200</f>
        <v>8350</v>
      </c>
      <c r="DX204" s="577">
        <f>+INPUT!GK200</f>
        <v>0.1679462571976984</v>
      </c>
      <c r="DY204" s="580">
        <f>+INPUT!GL200</f>
        <v>9328</v>
      </c>
      <c r="DZ204" s="577">
        <f>+INPUT!GM200</f>
        <v>11.71257485029939</v>
      </c>
      <c r="EA204" s="580">
        <f>+INPUT!GN200</f>
        <v>10035</v>
      </c>
      <c r="EB204" s="577">
        <f>+INPUT!GO200</f>
        <v>7.5793310463121912</v>
      </c>
      <c r="EC204" s="580">
        <f>+INPUT!GP200</f>
        <v>9841.7857036415498</v>
      </c>
      <c r="ED204" s="577">
        <f>+INPUT!GQ200</f>
        <v>-1.9254040494115543</v>
      </c>
      <c r="EE204" s="580">
        <f>+INPUT!GR200</f>
        <v>10222.221540994356</v>
      </c>
      <c r="EF204" s="577">
        <f>+INPUT!GS200</f>
        <v>3.8655163687626413</v>
      </c>
      <c r="EG204" s="580">
        <f>+INPUT!GT200</f>
        <v>10621.070240356363</v>
      </c>
      <c r="EH204" s="577">
        <f>+INPUT!GU200</f>
        <v>3.9017810146502683</v>
      </c>
      <c r="EI204" s="580">
        <f>+INPUT!GV200</f>
        <v>11036.023541811977</v>
      </c>
      <c r="EJ204" s="577">
        <f>+INPUT!GW200</f>
        <v>3.9068878377146632</v>
      </c>
      <c r="EK204" s="580">
        <f>+INPUT!GX200</f>
        <v>11467.75460135313</v>
      </c>
      <c r="EL204" s="577">
        <f>+INPUT!GY200</f>
        <v>3.9120164786298375</v>
      </c>
      <c r="EM204" s="577">
        <f>+INPUT!GZ200</f>
        <v>2.7051456506252292</v>
      </c>
    </row>
    <row r="205" spans="1:144" ht="12.75" hidden="1" customHeight="1" outlineLevel="1" x14ac:dyDescent="0.2">
      <c r="A205" s="579" t="str">
        <f>+INPUT!B201</f>
        <v>Interest Credited</v>
      </c>
      <c r="B205" s="580">
        <f>+INPUT!AY201</f>
        <v>429</v>
      </c>
      <c r="C205" s="577">
        <f>+INPUT!AZ201</f>
        <v>11.71875</v>
      </c>
      <c r="D205" s="580">
        <f>+INPUT!BA201</f>
        <v>452</v>
      </c>
      <c r="E205" s="577">
        <f>+INPUT!BB201</f>
        <v>13.853904282115863</v>
      </c>
      <c r="F205" s="580">
        <f>+INPUT!BC201</f>
        <v>475</v>
      </c>
      <c r="G205" s="577">
        <f>+INPUT!BD201</f>
        <v>10.208816705336417</v>
      </c>
      <c r="H205" s="580">
        <f>+INPUT!BE201</f>
        <v>497</v>
      </c>
      <c r="I205" s="577">
        <f>+INPUT!BF201</f>
        <v>18.052256532066508</v>
      </c>
      <c r="J205" s="580">
        <f>+INPUT!BG201</f>
        <v>492</v>
      </c>
      <c r="K205" s="577">
        <f>+INPUT!BH201</f>
        <v>14.685314685314694</v>
      </c>
      <c r="L205" s="580">
        <f>+INPUT!BI201</f>
        <v>508</v>
      </c>
      <c r="M205" s="577">
        <f>+INPUT!BJ201</f>
        <v>12.389380530973455</v>
      </c>
      <c r="N205" s="580">
        <f>+INPUT!BK201</f>
        <v>528</v>
      </c>
      <c r="O205" s="577">
        <f>+INPUT!BL201</f>
        <v>11.157894736842096</v>
      </c>
      <c r="P205" s="580">
        <f>+INPUT!BM201</f>
        <v>545</v>
      </c>
      <c r="Q205" s="577">
        <f>+INPUT!BN201</f>
        <v>9.6579476861166995</v>
      </c>
      <c r="R205" s="580">
        <f>+INPUT!BO201</f>
        <v>533</v>
      </c>
      <c r="S205" s="577">
        <f>+INPUT!BP201</f>
        <v>8.3333333333333286</v>
      </c>
      <c r="T205" s="580">
        <f>+INPUT!BQ201</f>
        <v>523</v>
      </c>
      <c r="U205" s="577">
        <f>+INPUT!BR201</f>
        <v>2.9527559055118076</v>
      </c>
      <c r="V205" s="580">
        <f>+INPUT!BS201</f>
        <v>538</v>
      </c>
      <c r="W205" s="577">
        <f>+INPUT!BT201</f>
        <v>1.8939393939394051</v>
      </c>
      <c r="X205" s="580">
        <f>+INPUT!BU201</f>
        <v>550</v>
      </c>
      <c r="Y205" s="577">
        <f>+INPUT!BV201</f>
        <v>0.91743119266054407</v>
      </c>
      <c r="Z205" s="580">
        <f>+INPUT!BW201</f>
        <v>488</v>
      </c>
      <c r="AA205" s="577">
        <f>+INPUT!BX201</f>
        <v>-8.4427767354596739</v>
      </c>
      <c r="AB205" s="580">
        <f>+INPUT!BY201</f>
        <v>484</v>
      </c>
      <c r="AC205" s="577">
        <f>+INPUT!BZ201</f>
        <v>-7.4569789674952176</v>
      </c>
      <c r="AD205" s="580">
        <f>+INPUT!CA201</f>
        <v>468</v>
      </c>
      <c r="AE205" s="577">
        <f>+INPUT!CB201</f>
        <v>-13.011152416356879</v>
      </c>
      <c r="AF205" s="580">
        <f>+INPUT!CC201</f>
        <v>467</v>
      </c>
      <c r="AG205" s="577">
        <f>+INPUT!CD201</f>
        <v>-15.090909090909093</v>
      </c>
      <c r="AH205" s="580">
        <f>+INPUT!CE201</f>
        <v>451</v>
      </c>
      <c r="AI205" s="577">
        <f>+INPUT!CF201</f>
        <v>-7.5819672131147513</v>
      </c>
      <c r="AJ205" s="580">
        <f>+INPUT!CG201</f>
        <v>458</v>
      </c>
      <c r="AK205" s="577">
        <f>+INPUT!CH201</f>
        <v>-5.3719008264462786</v>
      </c>
      <c r="AL205" s="580">
        <f>+INPUT!CI201</f>
        <v>460</v>
      </c>
      <c r="AM205" s="577">
        <f>+INPUT!CJ201</f>
        <v>-1.7094017094017175</v>
      </c>
      <c r="AN205" s="580">
        <f>+INPUT!CK201</f>
        <v>465</v>
      </c>
      <c r="AO205" s="577">
        <f>+INPUT!CL201</f>
        <v>-0.42826552462527445</v>
      </c>
      <c r="AP205" s="580">
        <f>+INPUT!CM201</f>
        <v>414</v>
      </c>
      <c r="AQ205" s="577">
        <f>+INPUT!CN201</f>
        <v>-8.2039911308203983</v>
      </c>
      <c r="AR205" s="580">
        <f>+INPUT!CO201</f>
        <v>427</v>
      </c>
      <c r="AS205" s="577">
        <f>+INPUT!CP201</f>
        <v>-6.768558951965062</v>
      </c>
      <c r="AT205" s="580">
        <f>+INPUT!CQ201</f>
        <v>441</v>
      </c>
      <c r="AU205" s="577">
        <f>+INPUT!CR201</f>
        <v>-4.1304347826086882</v>
      </c>
      <c r="AV205" s="580">
        <f>+INPUT!CS201</f>
        <v>433</v>
      </c>
      <c r="AW205" s="577">
        <f>+INPUT!CT201</f>
        <v>-6.881720430107535</v>
      </c>
      <c r="AX205" s="580">
        <f>+INPUT!CU201</f>
        <v>427</v>
      </c>
      <c r="AY205" s="577">
        <f>+INPUT!CV201</f>
        <v>3.1400966183574752</v>
      </c>
      <c r="AZ205" s="580">
        <f>+INPUT!CW201</f>
        <v>426</v>
      </c>
      <c r="BA205" s="577">
        <f>+INPUT!CX201</f>
        <v>-0.23419203747072004</v>
      </c>
      <c r="BB205" s="580">
        <f>+INPUT!CY201</f>
        <v>432</v>
      </c>
      <c r="BC205" s="577">
        <f>+INPUT!CZ201</f>
        <v>-2.0408163265306172</v>
      </c>
      <c r="BD205" s="580">
        <f>+INPUT!DA201</f>
        <v>410</v>
      </c>
      <c r="BE205" s="577">
        <f>+INPUT!DB201</f>
        <v>-5.3117782909930753</v>
      </c>
      <c r="BF205" s="580">
        <f>+INPUT!DC201</f>
        <v>388</v>
      </c>
      <c r="BG205" s="577">
        <f>+INPUT!DD201</f>
        <v>-9.1334894613583089</v>
      </c>
      <c r="BH205" s="580">
        <f>+INPUT!DE201</f>
        <v>382</v>
      </c>
      <c r="BI205" s="577">
        <f>+INPUT!DF201</f>
        <v>-10.328638497652591</v>
      </c>
      <c r="BJ205" s="580">
        <f>+INPUT!DG201</f>
        <v>379</v>
      </c>
      <c r="BK205" s="577">
        <f>+INPUT!DH201</f>
        <v>-12.268518518518519</v>
      </c>
      <c r="BL205" s="580">
        <f>+INPUT!DI201</f>
        <v>380</v>
      </c>
      <c r="BM205" s="577">
        <f>+INPUT!DJ201</f>
        <v>-7.3170731707317032</v>
      </c>
      <c r="BN205" s="580">
        <f>+INPUT!DK201</f>
        <v>371</v>
      </c>
      <c r="BO205" s="577">
        <f>+INPUT!DL201</f>
        <v>-4.3814432989690744</v>
      </c>
      <c r="BP205" s="580">
        <f>+INPUT!DM201</f>
        <v>374</v>
      </c>
      <c r="BQ205" s="577">
        <f>+INPUT!DN201</f>
        <v>-2.0942408376963328</v>
      </c>
      <c r="BR205" s="580">
        <f>+INPUT!DO201</f>
        <v>365</v>
      </c>
      <c r="BS205" s="577">
        <f>+INPUT!DP201</f>
        <v>-3.6939313984168791</v>
      </c>
      <c r="BT205" s="580">
        <f>+INPUT!DQ201</f>
        <v>366</v>
      </c>
      <c r="BU205" s="577">
        <f>+INPUT!DR201</f>
        <v>-3.6842105263157947</v>
      </c>
      <c r="BV205" s="580">
        <f>+INPUT!DS201</f>
        <v>369</v>
      </c>
      <c r="BW205" s="577">
        <f>+INPUT!DT201</f>
        <v>-0.53908355795148566</v>
      </c>
      <c r="BX205" s="580">
        <f>+INPUT!DU201</f>
        <v>365</v>
      </c>
      <c r="BY205" s="577">
        <f>+INPUT!DV201</f>
        <v>-2.4064171122994651</v>
      </c>
      <c r="BZ205" s="580">
        <f>+INPUT!DW201</f>
        <v>362</v>
      </c>
      <c r="CA205" s="577">
        <f>+INPUT!DX201</f>
        <v>-0.82191780821916893</v>
      </c>
      <c r="CB205" s="580">
        <f>+INPUT!DY201</f>
        <v>345</v>
      </c>
      <c r="CC205" s="577">
        <f>+INPUT!DZ201</f>
        <v>-5.7377049180327759</v>
      </c>
      <c r="CD205" s="580">
        <f>+INPUT!EA201</f>
        <v>353</v>
      </c>
      <c r="CE205" s="577">
        <f>+INPUT!EB201</f>
        <v>-4.3360433604336066</v>
      </c>
      <c r="CF205" s="580">
        <f>+INPUT!EC201</f>
        <v>353</v>
      </c>
      <c r="CG205" s="577">
        <f>+INPUT!ED201</f>
        <v>-3.2876712328767042</v>
      </c>
      <c r="CH205" s="580">
        <f>+INPUT!EE201</f>
        <v>386</v>
      </c>
      <c r="CI205" s="577">
        <f>+INPUT!EF201</f>
        <v>6.6298342541436455</v>
      </c>
      <c r="CJ205" s="580">
        <f>+INPUT!EG201</f>
        <v>381</v>
      </c>
      <c r="CK205" s="577">
        <f>+INPUT!EH201</f>
        <v>10.434782608695656</v>
      </c>
      <c r="CL205" s="580">
        <f>+INPUT!EI201</f>
        <v>364</v>
      </c>
      <c r="CM205" s="577">
        <f>+INPUT!EJ201</f>
        <v>3.1161473087818763</v>
      </c>
      <c r="CN205" s="580">
        <f>+INPUT!EK201</f>
        <v>409</v>
      </c>
      <c r="CO205" s="577">
        <f>+INPUT!EL201</f>
        <v>15.864022662889511</v>
      </c>
      <c r="CP205" s="580">
        <f>+INPUT!EM201</f>
        <v>366</v>
      </c>
      <c r="CQ205" s="577">
        <f>+INPUT!EN201</f>
        <v>-5.1813471502590573</v>
      </c>
      <c r="CR205" s="580">
        <f>+INPUT!EO201</f>
        <v>368</v>
      </c>
      <c r="CS205" s="577">
        <f>+INPUT!EP201</f>
        <v>-3.4120734908136541</v>
      </c>
      <c r="CT205" s="580">
        <f>+INPUT!EQ201</f>
        <v>388.55611759999999</v>
      </c>
      <c r="CU205" s="577">
        <f>+INPUT!ER201</f>
        <v>6.7461861538461392</v>
      </c>
      <c r="CV205" s="580">
        <f>+INPUT!ES201</f>
        <v>391.85884459960005</v>
      </c>
      <c r="CW205" s="577">
        <f>+INPUT!ET201</f>
        <v>-4.1909915404400806</v>
      </c>
      <c r="CX205" s="580">
        <f>+INPUT!EU201</f>
        <v>395.18964477869662</v>
      </c>
      <c r="CY205" s="577">
        <f>+INPUT!EV201</f>
        <v>7.9753127810646447</v>
      </c>
      <c r="CZ205" s="580">
        <f>+INPUT!EW201</f>
        <v>398.54875675931549</v>
      </c>
      <c r="DA205" s="577">
        <f>+INPUT!EX201</f>
        <v>8.3012925976400709</v>
      </c>
      <c r="DB205" s="580"/>
      <c r="DC205" s="580">
        <f>+INPUT!FP201</f>
        <v>1633</v>
      </c>
      <c r="DD205" s="577">
        <f>+INPUT!FQ201</f>
        <v>19.897209985315726</v>
      </c>
      <c r="DE205" s="580">
        <f>+INPUT!FR201</f>
        <v>1853</v>
      </c>
      <c r="DF205" s="577">
        <f>+INPUT!FS201</f>
        <v>13.472137170851184</v>
      </c>
      <c r="DG205" s="580">
        <f>+INPUT!FT201</f>
        <v>2073</v>
      </c>
      <c r="DH205" s="577">
        <f>+INPUT!FU201</f>
        <v>11.872638963842405</v>
      </c>
      <c r="DI205" s="580">
        <f>+INPUT!FV201</f>
        <v>2144</v>
      </c>
      <c r="DJ205" s="577">
        <f>+INPUT!FW201</f>
        <v>3.4249879401833141</v>
      </c>
      <c r="DK205" s="580">
        <f>+INPUT!FX201</f>
        <v>1907</v>
      </c>
      <c r="DL205" s="577">
        <f>+INPUT!FY201</f>
        <v>-11.054104477611943</v>
      </c>
      <c r="DM205" s="580">
        <f>+INPUT!FZ201</f>
        <v>1834</v>
      </c>
      <c r="DN205" s="577">
        <f>+INPUT!GA201</f>
        <v>-3.8280020975354034</v>
      </c>
      <c r="DO205" s="580">
        <f>+INPUT!GB201</f>
        <v>1715</v>
      </c>
      <c r="DP205" s="577">
        <f>+INPUT!GC201</f>
        <v>-6.4885496183206186</v>
      </c>
      <c r="DQ205" s="580">
        <f>+INPUT!GD201</f>
        <v>1695</v>
      </c>
      <c r="DR205" s="577">
        <f>+INPUT!GE201</f>
        <v>-1.1661807580174894</v>
      </c>
      <c r="DS205" s="580">
        <f>+INPUT!GF201</f>
        <v>1529</v>
      </c>
      <c r="DT205" s="577">
        <f>+INPUT!GG201</f>
        <v>-9.7935103244837762</v>
      </c>
      <c r="DU205" s="580">
        <f>+INPUT!GH201</f>
        <v>1476</v>
      </c>
      <c r="DV205" s="577">
        <f>+INPUT!GI201</f>
        <v>-3.4663178548070732</v>
      </c>
      <c r="DW205" s="580">
        <f>+INPUT!GJ201</f>
        <v>1441</v>
      </c>
      <c r="DX205" s="577">
        <f>+INPUT!GK201</f>
        <v>-2.3712737127371355</v>
      </c>
      <c r="DY205" s="580">
        <f>+INPUT!GL201</f>
        <v>1473</v>
      </c>
      <c r="DZ205" s="577">
        <f>+INPUT!GM201</f>
        <v>2.2206800832754965</v>
      </c>
      <c r="EA205" s="580">
        <f>+INPUT!GN201</f>
        <v>1507</v>
      </c>
      <c r="EB205" s="577">
        <f>+INPUT!GO201</f>
        <v>2.3082145281738065</v>
      </c>
      <c r="EC205" s="580">
        <f>+INPUT!GP201</f>
        <v>1574.1533637376122</v>
      </c>
      <c r="ED205" s="577">
        <f>+INPUT!GQ201</f>
        <v>4.4560958020976926</v>
      </c>
      <c r="EE205" s="580">
        <f>+INPUT!GR201</f>
        <v>1648.2795488291476</v>
      </c>
      <c r="EF205" s="577">
        <f>+INPUT!GS201</f>
        <v>4.7089557344992699</v>
      </c>
      <c r="EG205" s="580">
        <f>+INPUT!GT201</f>
        <v>1725.6265932184263</v>
      </c>
      <c r="EH205" s="577">
        <f>+INPUT!GU201</f>
        <v>4.6925926153862605</v>
      </c>
      <c r="EI205" s="580">
        <f>+INPUT!GV201</f>
        <v>1806.3278254677302</v>
      </c>
      <c r="EJ205" s="577">
        <f>+INPUT!GW201</f>
        <v>4.6766335524993252</v>
      </c>
      <c r="EK205" s="580">
        <f>+INPUT!GX201</f>
        <v>1890.5219171682259</v>
      </c>
      <c r="EL205" s="577">
        <f>+INPUT!GY201</f>
        <v>4.6610637622600137</v>
      </c>
      <c r="EM205" s="577">
        <f>+INPUT!GZ201</f>
        <v>4.6390270482334683</v>
      </c>
    </row>
    <row r="206" spans="1:144" ht="12.75" hidden="1" customHeight="1" outlineLevel="1" x14ac:dyDescent="0.2">
      <c r="A206" s="579" t="str">
        <f>+INPUT!B202</f>
        <v>Interest Expense</v>
      </c>
      <c r="B206" s="580">
        <f>+INPUT!AY202</f>
        <v>40</v>
      </c>
      <c r="C206" s="577" t="str">
        <f>+INPUT!AZ202</f>
        <v>NM</v>
      </c>
      <c r="D206" s="580">
        <f>+INPUT!BA202</f>
        <v>53</v>
      </c>
      <c r="E206" s="577" t="str">
        <f>+INPUT!BB202</f>
        <v>NM</v>
      </c>
      <c r="F206" s="580">
        <f>+INPUT!BC202</f>
        <v>53</v>
      </c>
      <c r="G206" s="577" t="str">
        <f>+INPUT!BD202</f>
        <v>NM</v>
      </c>
      <c r="H206" s="580">
        <f>+INPUT!BE202</f>
        <v>51</v>
      </c>
      <c r="I206" s="577">
        <f>+INPUT!BF202</f>
        <v>30.769230769230774</v>
      </c>
      <c r="J206" s="580">
        <f>+INPUT!BG202</f>
        <v>49</v>
      </c>
      <c r="K206" s="577">
        <f>+INPUT!BH202</f>
        <v>22.500000000000014</v>
      </c>
      <c r="L206" s="580">
        <f>+INPUT!BI202</f>
        <v>50</v>
      </c>
      <c r="M206" s="577">
        <f>+INPUT!BJ202</f>
        <v>-5.6603773584905639</v>
      </c>
      <c r="N206" s="580">
        <f>+INPUT!BK202</f>
        <v>57</v>
      </c>
      <c r="O206" s="577">
        <f>+INPUT!BL202</f>
        <v>7.5471698113207566</v>
      </c>
      <c r="P206" s="580">
        <f>+INPUT!BM202</f>
        <v>56</v>
      </c>
      <c r="Q206" s="577">
        <f>+INPUT!BN202</f>
        <v>9.8039215686274588</v>
      </c>
      <c r="R206" s="580">
        <f>+INPUT!BO202</f>
        <v>30</v>
      </c>
      <c r="S206" s="577">
        <f>+INPUT!BP202</f>
        <v>-38.775510204081634</v>
      </c>
      <c r="T206" s="580">
        <f>+INPUT!BQ202</f>
        <v>19</v>
      </c>
      <c r="U206" s="577" t="str">
        <f>+INPUT!BR202</f>
        <v>NM</v>
      </c>
      <c r="V206" s="580">
        <f>+INPUT!BS202</f>
        <v>19</v>
      </c>
      <c r="W206" s="577" t="str">
        <f>+INPUT!BT202</f>
        <v>NM</v>
      </c>
      <c r="X206" s="580">
        <f>+INPUT!BU202</f>
        <v>21</v>
      </c>
      <c r="Y206" s="577" t="str">
        <f>+INPUT!BV202</f>
        <v>NM</v>
      </c>
      <c r="Z206" s="580">
        <f>+INPUT!BW202</f>
        <v>12</v>
      </c>
      <c r="AA206" s="577" t="str">
        <f>+INPUT!BX202</f>
        <v>NM</v>
      </c>
      <c r="AB206" s="580">
        <f>+INPUT!BY202</f>
        <v>6</v>
      </c>
      <c r="AC206" s="577" t="str">
        <f>+INPUT!BZ202</f>
        <v>NM</v>
      </c>
      <c r="AD206" s="580">
        <f>+INPUT!CA202</f>
        <v>6</v>
      </c>
      <c r="AE206" s="577" t="str">
        <f>+INPUT!CB202</f>
        <v>NM</v>
      </c>
      <c r="AF206" s="580">
        <f>+INPUT!CC202</f>
        <v>5</v>
      </c>
      <c r="AG206" s="577" t="str">
        <f>+INPUT!CD202</f>
        <v>NM</v>
      </c>
      <c r="AH206" s="580">
        <f>+INPUT!CE202</f>
        <v>4</v>
      </c>
      <c r="AI206" s="577" t="str">
        <f>+INPUT!CF202</f>
        <v>NM</v>
      </c>
      <c r="AJ206" s="580">
        <f>+INPUT!CG202</f>
        <v>4</v>
      </c>
      <c r="AK206" s="577">
        <f>+INPUT!CH202</f>
        <v>-33.333333333333343</v>
      </c>
      <c r="AL206" s="580">
        <f>+INPUT!CI202</f>
        <v>5</v>
      </c>
      <c r="AM206" s="577">
        <f>+INPUT!CJ202</f>
        <v>-16.666666666666657</v>
      </c>
      <c r="AN206" s="580">
        <f>+INPUT!CK202</f>
        <v>4</v>
      </c>
      <c r="AO206" s="577">
        <f>+INPUT!CL202</f>
        <v>-20</v>
      </c>
      <c r="AP206" s="580">
        <f>+INPUT!CM202</f>
        <v>4</v>
      </c>
      <c r="AQ206" s="577">
        <f>+INPUT!CN202</f>
        <v>0</v>
      </c>
      <c r="AR206" s="580">
        <f>+INPUT!CO202</f>
        <v>3</v>
      </c>
      <c r="AS206" s="577">
        <f>+INPUT!CP202</f>
        <v>-25</v>
      </c>
      <c r="AT206" s="580">
        <f>+INPUT!CQ202</f>
        <v>4</v>
      </c>
      <c r="AU206" s="577">
        <f>+INPUT!CR202</f>
        <v>-20</v>
      </c>
      <c r="AV206" s="580">
        <f>+INPUT!CS202</f>
        <v>3</v>
      </c>
      <c r="AW206" s="577">
        <f>+INPUT!CT202</f>
        <v>-25</v>
      </c>
      <c r="AX206" s="580">
        <f>+INPUT!CU202</f>
        <v>4</v>
      </c>
      <c r="AY206" s="577">
        <f>+INPUT!CV202</f>
        <v>0</v>
      </c>
      <c r="AZ206" s="580">
        <f>+INPUT!CW202</f>
        <v>6</v>
      </c>
      <c r="BA206" s="577">
        <f>+INPUT!CX202</f>
        <v>100</v>
      </c>
      <c r="BB206" s="580">
        <f>+INPUT!CY202</f>
        <v>5</v>
      </c>
      <c r="BC206" s="577">
        <f>+INPUT!CZ202</f>
        <v>25</v>
      </c>
      <c r="BD206" s="580">
        <f>+INPUT!DA202</f>
        <v>5</v>
      </c>
      <c r="BE206" s="577">
        <f>+INPUT!DB202</f>
        <v>66.666666666666686</v>
      </c>
      <c r="BF206" s="580">
        <f>+INPUT!DC202</f>
        <v>7</v>
      </c>
      <c r="BG206" s="577">
        <f>+INPUT!DD202</f>
        <v>75</v>
      </c>
      <c r="BH206" s="580">
        <f>+INPUT!DE202</f>
        <v>6</v>
      </c>
      <c r="BI206" s="577">
        <f>+INPUT!DF202</f>
        <v>0</v>
      </c>
      <c r="BJ206" s="580">
        <f>+INPUT!DG202</f>
        <v>7</v>
      </c>
      <c r="BK206" s="577">
        <f>+INPUT!DH202</f>
        <v>40</v>
      </c>
      <c r="BL206" s="580">
        <f>+INPUT!DI202</f>
        <v>6</v>
      </c>
      <c r="BM206" s="577">
        <f>+INPUT!DJ202</f>
        <v>20</v>
      </c>
      <c r="BN206" s="580">
        <f>+INPUT!DK202</f>
        <v>6</v>
      </c>
      <c r="BO206" s="577">
        <f>+INPUT!DL202</f>
        <v>-14.285714285714292</v>
      </c>
      <c r="BP206" s="580">
        <f>+INPUT!DM202</f>
        <v>6</v>
      </c>
      <c r="BQ206" s="577">
        <f>+INPUT!DN202</f>
        <v>0</v>
      </c>
      <c r="BR206" s="580">
        <f>+INPUT!DO202</f>
        <v>7</v>
      </c>
      <c r="BS206" s="577">
        <f>+INPUT!DP202</f>
        <v>0</v>
      </c>
      <c r="BT206" s="580">
        <f>+INPUT!DQ202</f>
        <v>6</v>
      </c>
      <c r="BU206" s="577">
        <f>+INPUT!DR202</f>
        <v>0</v>
      </c>
      <c r="BV206" s="580">
        <f>+INPUT!DS202</f>
        <v>7</v>
      </c>
      <c r="BW206" s="577">
        <f>+INPUT!DT202</f>
        <v>16.666666666666671</v>
      </c>
      <c r="BX206" s="580">
        <f>+INPUT!DU202</f>
        <v>7</v>
      </c>
      <c r="BY206" s="577">
        <f>+INPUT!DV202</f>
        <v>16.666666666666671</v>
      </c>
      <c r="BZ206" s="580">
        <f>+INPUT!DW202</f>
        <v>7</v>
      </c>
      <c r="CA206" s="577">
        <f>+INPUT!DX202</f>
        <v>0</v>
      </c>
      <c r="CB206" s="580">
        <f>+INPUT!DY202</f>
        <v>4</v>
      </c>
      <c r="CC206" s="577">
        <f>+INPUT!DZ202</f>
        <v>-33.333333333333343</v>
      </c>
      <c r="CD206" s="580">
        <f>+INPUT!EA202</f>
        <v>4</v>
      </c>
      <c r="CE206" s="577">
        <f>+INPUT!EB202</f>
        <v>-42.857142857142861</v>
      </c>
      <c r="CF206" s="580">
        <f>+INPUT!EC202</f>
        <v>5</v>
      </c>
      <c r="CG206" s="577">
        <f>+INPUT!ED202</f>
        <v>-28.571428571428569</v>
      </c>
      <c r="CH206" s="580">
        <f>+INPUT!EE202</f>
        <v>5</v>
      </c>
      <c r="CI206" s="577">
        <f>+INPUT!EF202</f>
        <v>-28.571428571428569</v>
      </c>
      <c r="CJ206" s="580">
        <f>+INPUT!EG202</f>
        <v>5</v>
      </c>
      <c r="CK206" s="577">
        <f>+INPUT!EH202</f>
        <v>25</v>
      </c>
      <c r="CL206" s="580">
        <f>+INPUT!EI202</f>
        <v>6</v>
      </c>
      <c r="CM206" s="577">
        <f>+INPUT!EJ202</f>
        <v>50</v>
      </c>
      <c r="CN206" s="580">
        <f>+INPUT!EK202</f>
        <v>6</v>
      </c>
      <c r="CO206" s="577">
        <f>+INPUT!EL202</f>
        <v>20</v>
      </c>
      <c r="CP206" s="580">
        <f>+INPUT!EM202</f>
        <v>6</v>
      </c>
      <c r="CQ206" s="577">
        <f>+INPUT!EN202</f>
        <v>20</v>
      </c>
      <c r="CR206" s="580">
        <f>+INPUT!EO202</f>
        <v>8</v>
      </c>
      <c r="CS206" s="577">
        <f>+INPUT!EP202</f>
        <v>60</v>
      </c>
      <c r="CT206" s="580">
        <f>+INPUT!EQ202</f>
        <v>6.36</v>
      </c>
      <c r="CU206" s="577">
        <f>+INPUT!ER202</f>
        <v>6</v>
      </c>
      <c r="CV206" s="580">
        <f>+INPUT!ES202</f>
        <v>6.36</v>
      </c>
      <c r="CW206" s="577">
        <f>+INPUT!ET202</f>
        <v>6</v>
      </c>
      <c r="CX206" s="580">
        <f>+INPUT!EU202</f>
        <v>6.36</v>
      </c>
      <c r="CY206" s="577">
        <f>+INPUT!EV202</f>
        <v>6</v>
      </c>
      <c r="CZ206" s="580">
        <f>+INPUT!EW202</f>
        <v>8.48</v>
      </c>
      <c r="DA206" s="577">
        <f>+INPUT!EX202</f>
        <v>6</v>
      </c>
      <c r="DB206" s="580"/>
      <c r="DC206" s="580">
        <f>+INPUT!FP202</f>
        <v>99</v>
      </c>
      <c r="DD206" s="577" t="str">
        <f>+INPUT!FQ202</f>
        <v>NM</v>
      </c>
      <c r="DE206" s="580">
        <f>+INPUT!FR202</f>
        <v>197</v>
      </c>
      <c r="DF206" s="577">
        <f>+INPUT!FS202</f>
        <v>98.98989898989899</v>
      </c>
      <c r="DG206" s="580">
        <f>+INPUT!FT202</f>
        <v>212</v>
      </c>
      <c r="DH206" s="577">
        <f>+INPUT!FU202</f>
        <v>7.6142131979695336</v>
      </c>
      <c r="DI206" s="580">
        <f>+INPUT!FV202</f>
        <v>89</v>
      </c>
      <c r="DJ206" s="577" t="str">
        <f>+INPUT!FW202</f>
        <v>NM</v>
      </c>
      <c r="DK206" s="580">
        <f>+INPUT!FX202</f>
        <v>29</v>
      </c>
      <c r="DL206" s="577" t="str">
        <f>+INPUT!FY202</f>
        <v>NM</v>
      </c>
      <c r="DM206" s="580">
        <f>+INPUT!FZ202</f>
        <v>17</v>
      </c>
      <c r="DN206" s="577">
        <f>+INPUT!GA202</f>
        <v>-41.379310344827594</v>
      </c>
      <c r="DO206" s="580">
        <f>+INPUT!GB202</f>
        <v>14</v>
      </c>
      <c r="DP206" s="577">
        <f>+INPUT!GC202</f>
        <v>-17.64705882352942</v>
      </c>
      <c r="DQ206" s="580">
        <f>+INPUT!GD202</f>
        <v>20</v>
      </c>
      <c r="DR206" s="577">
        <f>+INPUT!GE202</f>
        <v>42.857142857142861</v>
      </c>
      <c r="DS206" s="580">
        <f>+INPUT!GF202</f>
        <v>26</v>
      </c>
      <c r="DT206" s="577">
        <f>+INPUT!GG202</f>
        <v>30</v>
      </c>
      <c r="DU206" s="580">
        <f>+INPUT!GH202</f>
        <v>25</v>
      </c>
      <c r="DV206" s="577">
        <f>+INPUT!GI202</f>
        <v>-3.8461538461538396</v>
      </c>
      <c r="DW206" s="580">
        <f>+INPUT!GJ202</f>
        <v>25</v>
      </c>
      <c r="DX206" s="577">
        <f>+INPUT!GK202</f>
        <v>0</v>
      </c>
      <c r="DY206" s="580">
        <f>+INPUT!GL202</f>
        <v>19</v>
      </c>
      <c r="DZ206" s="577">
        <f>+INPUT!GM202</f>
        <v>-24</v>
      </c>
      <c r="EA206" s="580">
        <f>+INPUT!GN202</f>
        <v>26</v>
      </c>
      <c r="EB206" s="577">
        <f>+INPUT!GO202</f>
        <v>36.84210526315789</v>
      </c>
      <c r="EC206" s="580">
        <f>+INPUT!GP202</f>
        <v>27.560000000000002</v>
      </c>
      <c r="ED206" s="577">
        <f>+INPUT!GQ202</f>
        <v>6</v>
      </c>
      <c r="EE206" s="580">
        <f>+INPUT!GR202</f>
        <v>29.213600000000003</v>
      </c>
      <c r="EF206" s="577">
        <f>+INPUT!GS202</f>
        <v>6</v>
      </c>
      <c r="EG206" s="580">
        <f>+INPUT!GT202</f>
        <v>30.966416000000006</v>
      </c>
      <c r="EH206" s="577">
        <f>+INPUT!GU202</f>
        <v>6</v>
      </c>
      <c r="EI206" s="580">
        <f>+INPUT!GV202</f>
        <v>32.824400960000006</v>
      </c>
      <c r="EJ206" s="577">
        <f>+INPUT!GW202</f>
        <v>6</v>
      </c>
      <c r="EK206" s="580">
        <f>+INPUT!GX202</f>
        <v>34.793865017600005</v>
      </c>
      <c r="EL206" s="577">
        <f>+INPUT!GY202</f>
        <v>6</v>
      </c>
      <c r="EM206" s="577">
        <f>+INPUT!GZ202</f>
        <v>6.0000000000000053</v>
      </c>
    </row>
    <row r="207" spans="1:144" ht="12.75" hidden="1" customHeight="1" outlineLevel="1" x14ac:dyDescent="0.2">
      <c r="A207" s="579" t="str">
        <f>+INPUT!B203</f>
        <v>General and Administrative Expenses</v>
      </c>
      <c r="B207" s="580">
        <f>+INPUT!AY203</f>
        <v>190</v>
      </c>
      <c r="C207" s="577">
        <f>+INPUT!AZ203</f>
        <v>6.7415730337078656</v>
      </c>
      <c r="D207" s="580">
        <f>+INPUT!BA203</f>
        <v>174</v>
      </c>
      <c r="E207" s="577">
        <f>+INPUT!BB203</f>
        <v>-6.4516129032258078</v>
      </c>
      <c r="F207" s="580">
        <f>+INPUT!BC203</f>
        <v>194</v>
      </c>
      <c r="G207" s="577">
        <f>+INPUT!BD203</f>
        <v>0.51813471502590858</v>
      </c>
      <c r="H207" s="580">
        <f>+INPUT!BE203</f>
        <v>208</v>
      </c>
      <c r="I207" s="577">
        <f>+INPUT!BF203</f>
        <v>-1.8867924528301927</v>
      </c>
      <c r="J207" s="580">
        <f>+INPUT!BG203</f>
        <v>184</v>
      </c>
      <c r="K207" s="577">
        <f>+INPUT!BH203</f>
        <v>-3.1578947368421098</v>
      </c>
      <c r="L207" s="580">
        <f>+INPUT!BI203</f>
        <v>193</v>
      </c>
      <c r="M207" s="577">
        <f>+INPUT!BJ203</f>
        <v>10.919540229885058</v>
      </c>
      <c r="N207" s="580">
        <f>+INPUT!BK203</f>
        <v>263</v>
      </c>
      <c r="O207" s="577">
        <f>+INPUT!BL203</f>
        <v>35.567010309278345</v>
      </c>
      <c r="P207" s="580">
        <f>+INPUT!BM203</f>
        <v>213</v>
      </c>
      <c r="Q207" s="577">
        <f>+INPUT!BN203</f>
        <v>2.4038461538461462</v>
      </c>
      <c r="R207" s="580">
        <f>+INPUT!BO203</f>
        <v>208</v>
      </c>
      <c r="S207" s="577">
        <f>+INPUT!BP203</f>
        <v>13.043478260869563</v>
      </c>
      <c r="T207" s="580">
        <f>+INPUT!BQ203</f>
        <v>203</v>
      </c>
      <c r="U207" s="577">
        <f>+INPUT!BR203</f>
        <v>5.1813471502590573</v>
      </c>
      <c r="V207" s="580">
        <f>+INPUT!BS203</f>
        <v>180</v>
      </c>
      <c r="W207" s="577">
        <f>+INPUT!BT203</f>
        <v>-31.55893536121674</v>
      </c>
      <c r="X207" s="580">
        <f>+INPUT!BU203</f>
        <v>222</v>
      </c>
      <c r="Y207" s="577">
        <f>+INPUT!BV203</f>
        <v>4.2253521126760489</v>
      </c>
      <c r="Z207" s="580">
        <f>+INPUT!BW203</f>
        <v>213</v>
      </c>
      <c r="AA207" s="577">
        <f>+INPUT!BX203</f>
        <v>2.4038461538461462</v>
      </c>
      <c r="AB207" s="580">
        <f>+INPUT!BY203</f>
        <v>220</v>
      </c>
      <c r="AC207" s="577">
        <f>+INPUT!BZ203</f>
        <v>8.37438423645321</v>
      </c>
      <c r="AD207" s="580">
        <f>+INPUT!CA203</f>
        <v>218</v>
      </c>
      <c r="AE207" s="577">
        <f>+INPUT!CB203</f>
        <v>21.1111111111111</v>
      </c>
      <c r="AF207" s="580">
        <f>+INPUT!CC203</f>
        <v>222</v>
      </c>
      <c r="AG207" s="577">
        <f>+INPUT!CD203</f>
        <v>0</v>
      </c>
      <c r="AH207" s="580">
        <f>+INPUT!CE203</f>
        <v>215</v>
      </c>
      <c r="AI207" s="577">
        <f>+INPUT!CF203</f>
        <v>0.9389671361502252</v>
      </c>
      <c r="AJ207" s="580">
        <f>+INPUT!CG203</f>
        <v>243</v>
      </c>
      <c r="AK207" s="577">
        <f>+INPUT!CH203</f>
        <v>10.454545454545453</v>
      </c>
      <c r="AL207" s="580">
        <f>+INPUT!CI203</f>
        <v>241</v>
      </c>
      <c r="AM207" s="577">
        <f>+INPUT!CJ203</f>
        <v>10.550458715596321</v>
      </c>
      <c r="AN207" s="580">
        <f>+INPUT!CK203</f>
        <v>245</v>
      </c>
      <c r="AO207" s="577">
        <f>+INPUT!CL203</f>
        <v>10.36036036036036</v>
      </c>
      <c r="AP207" s="580">
        <f>+INPUT!CM203</f>
        <v>234</v>
      </c>
      <c r="AQ207" s="577">
        <f>+INPUT!CN203</f>
        <v>8.83720930232559</v>
      </c>
      <c r="AR207" s="580">
        <f>+INPUT!CO203</f>
        <v>231</v>
      </c>
      <c r="AS207" s="577">
        <f>+INPUT!CP203</f>
        <v>-4.9382716049382651</v>
      </c>
      <c r="AT207" s="580">
        <f>+INPUT!CQ203</f>
        <v>247</v>
      </c>
      <c r="AU207" s="577">
        <f>+INPUT!CR203</f>
        <v>2.4896265560165887</v>
      </c>
      <c r="AV207" s="580">
        <f>+INPUT!CS203</f>
        <v>233</v>
      </c>
      <c r="AW207" s="577">
        <f>+INPUT!CT203</f>
        <v>-4.8979591836734784</v>
      </c>
      <c r="AX207" s="580">
        <f>+INPUT!CU203</f>
        <v>223</v>
      </c>
      <c r="AY207" s="577">
        <f>+INPUT!CV203</f>
        <v>-4.7008547008547055</v>
      </c>
      <c r="AZ207" s="580">
        <f>+INPUT!CW203</f>
        <v>233</v>
      </c>
      <c r="BA207" s="577">
        <f>+INPUT!CX203</f>
        <v>0.86580086580086402</v>
      </c>
      <c r="BB207" s="580">
        <f>+INPUT!CY203</f>
        <v>264</v>
      </c>
      <c r="BC207" s="577">
        <f>+INPUT!CZ203</f>
        <v>6.8825910931174121</v>
      </c>
      <c r="BD207" s="580">
        <f>+INPUT!DA203</f>
        <v>205</v>
      </c>
      <c r="BE207" s="577">
        <f>+INPUT!DB203</f>
        <v>-12.017167381974247</v>
      </c>
      <c r="BF207" s="580">
        <f>+INPUT!DC203</f>
        <v>231</v>
      </c>
      <c r="BG207" s="577">
        <f>+INPUT!DD203</f>
        <v>3.5874439461883583</v>
      </c>
      <c r="BH207" s="580">
        <f>+INPUT!DE203</f>
        <v>246</v>
      </c>
      <c r="BI207" s="577">
        <f>+INPUT!DF203</f>
        <v>5.5793991416309012</v>
      </c>
      <c r="BJ207" s="580">
        <f>+INPUT!DG203</f>
        <v>242</v>
      </c>
      <c r="BK207" s="577">
        <f>+INPUT!DH203</f>
        <v>-8.3333333333333428</v>
      </c>
      <c r="BL207" s="580">
        <f>+INPUT!DI203</f>
        <v>268</v>
      </c>
      <c r="BM207" s="577">
        <f>+INPUT!DJ203</f>
        <v>30.731707317073187</v>
      </c>
      <c r="BN207" s="580">
        <f>+INPUT!DK203</f>
        <v>247</v>
      </c>
      <c r="BO207" s="577">
        <f>+INPUT!DL203</f>
        <v>6.9264069264069406</v>
      </c>
      <c r="BP207" s="580">
        <f>+INPUT!DM203</f>
        <v>256</v>
      </c>
      <c r="BQ207" s="577">
        <f>+INPUT!DN203</f>
        <v>4.065040650406516</v>
      </c>
      <c r="BR207" s="580">
        <f>+INPUT!DO203</f>
        <v>265</v>
      </c>
      <c r="BS207" s="577">
        <f>+INPUT!DP203</f>
        <v>9.5041322314049665</v>
      </c>
      <c r="BT207" s="580">
        <f>+INPUT!DQ203</f>
        <v>276</v>
      </c>
      <c r="BU207" s="577">
        <f>+INPUT!DR203</f>
        <v>2.985074626865682</v>
      </c>
      <c r="BV207" s="580">
        <f>+INPUT!DS203</f>
        <v>253</v>
      </c>
      <c r="BW207" s="577">
        <f>+INPUT!DT203</f>
        <v>2.429149797570858</v>
      </c>
      <c r="BX207" s="580">
        <f>+INPUT!DU203</f>
        <v>252</v>
      </c>
      <c r="BY207" s="577">
        <f>+INPUT!DV203</f>
        <v>-1.5625</v>
      </c>
      <c r="BZ207" s="580">
        <f>+INPUT!DW203</f>
        <v>263</v>
      </c>
      <c r="CA207" s="577">
        <f>+INPUT!DX203</f>
        <v>-0.75471698113207708</v>
      </c>
      <c r="CB207" s="580">
        <f>+INPUT!DY203</f>
        <v>286</v>
      </c>
      <c r="CC207" s="577">
        <f>+INPUT!DZ203</f>
        <v>3.6231884057970944</v>
      </c>
      <c r="CD207" s="580">
        <f>+INPUT!EA203</f>
        <v>257</v>
      </c>
      <c r="CE207" s="577">
        <f>+INPUT!EB203</f>
        <v>1.5810276679841877</v>
      </c>
      <c r="CF207" s="580">
        <f>+INPUT!EC203</f>
        <v>247</v>
      </c>
      <c r="CG207" s="577">
        <f>+INPUT!ED203</f>
        <v>-1.9841269841269877</v>
      </c>
      <c r="CH207" s="580">
        <f>+INPUT!EE203</f>
        <v>296</v>
      </c>
      <c r="CI207" s="577">
        <f>+INPUT!EF203</f>
        <v>12.54752851711028</v>
      </c>
      <c r="CJ207" s="580">
        <f>+INPUT!EG203</f>
        <v>242</v>
      </c>
      <c r="CK207" s="577">
        <f>+INPUT!EH203</f>
        <v>-15.384615384615387</v>
      </c>
      <c r="CL207" s="580">
        <f>+INPUT!EI203</f>
        <v>256</v>
      </c>
      <c r="CM207" s="577">
        <f>+INPUT!EJ203</f>
        <v>-0.38910505836575737</v>
      </c>
      <c r="CN207" s="580">
        <f>+INPUT!EK203</f>
        <v>240</v>
      </c>
      <c r="CO207" s="577">
        <f>+INPUT!EL203</f>
        <v>-2.8340080971659916</v>
      </c>
      <c r="CP207" s="580">
        <f>+INPUT!EM203</f>
        <v>263</v>
      </c>
      <c r="CQ207" s="577">
        <f>+INPUT!EN203</f>
        <v>-11.148648648648646</v>
      </c>
      <c r="CR207" s="580">
        <f>+INPUT!EO203</f>
        <v>282</v>
      </c>
      <c r="CS207" s="577">
        <f>+INPUT!EP203</f>
        <v>16.528925619834695</v>
      </c>
      <c r="CT207" s="580">
        <f>+INPUT!EQ203</f>
        <v>250.88334825816713</v>
      </c>
      <c r="CU207" s="577">
        <f>+INPUT!ER203</f>
        <v>-1.9986920866534632</v>
      </c>
      <c r="CV207" s="580">
        <f>+INPUT!ES203</f>
        <v>253.20197694979325</v>
      </c>
      <c r="CW207" s="577">
        <f>+INPUT!ET203</f>
        <v>5.5008237290805226</v>
      </c>
      <c r="CX207" s="580">
        <f>+INPUT!EU203</f>
        <v>255.64311971967032</v>
      </c>
      <c r="CY207" s="577">
        <f>+INPUT!EV203</f>
        <v>-2.7972928822546379</v>
      </c>
      <c r="CZ207" s="580">
        <f>+INPUT!EW203</f>
        <v>258.10804306312411</v>
      </c>
      <c r="DA207" s="577">
        <f>+INPUT!EX203</f>
        <v>-8.4723251549205258</v>
      </c>
      <c r="DB207" s="580"/>
      <c r="DC207" s="580">
        <f>+INPUT!FP203</f>
        <v>769</v>
      </c>
      <c r="DD207" s="577">
        <f>+INPUT!FQ203</f>
        <v>17.944785276073617</v>
      </c>
      <c r="DE207" s="580">
        <f>+INPUT!FR203</f>
        <v>766</v>
      </c>
      <c r="DF207" s="577">
        <f>+INPUT!FS203</f>
        <v>-0.39011703511053497</v>
      </c>
      <c r="DG207" s="580">
        <f>+INPUT!FT203</f>
        <v>853</v>
      </c>
      <c r="DH207" s="577">
        <f>+INPUT!FU203</f>
        <v>11.357702349869456</v>
      </c>
      <c r="DI207" s="580">
        <f>+INPUT!FV203</f>
        <v>813</v>
      </c>
      <c r="DJ207" s="577">
        <f>+INPUT!FW203</f>
        <v>-4.6893317702227364</v>
      </c>
      <c r="DK207" s="580">
        <f>+INPUT!FX203</f>
        <v>873</v>
      </c>
      <c r="DL207" s="577">
        <f>+INPUT!FY203</f>
        <v>7.3800738007380176</v>
      </c>
      <c r="DM207" s="580">
        <f>+INPUT!FZ203</f>
        <v>944</v>
      </c>
      <c r="DN207" s="577">
        <f>+INPUT!GA203</f>
        <v>8.1328751431844211</v>
      </c>
      <c r="DO207" s="580">
        <f>+INPUT!GB203</f>
        <v>945</v>
      </c>
      <c r="DP207" s="577">
        <f>+INPUT!GC203</f>
        <v>0.10593220338984111</v>
      </c>
      <c r="DQ207" s="580">
        <f>+INPUT!GD203</f>
        <v>925</v>
      </c>
      <c r="DR207" s="577">
        <f>+INPUT!GE203</f>
        <v>-2.1164021164021136</v>
      </c>
      <c r="DS207" s="580">
        <f>+INPUT!GF203</f>
        <v>987</v>
      </c>
      <c r="DT207" s="577">
        <f>+INPUT!GG203</f>
        <v>6.7027027027026946</v>
      </c>
      <c r="DU207" s="580">
        <f>+INPUT!GH203</f>
        <v>1044</v>
      </c>
      <c r="DV207" s="577">
        <f>+INPUT!GI203</f>
        <v>5.7750759878419444</v>
      </c>
      <c r="DW207" s="580">
        <f>+INPUT!GJ203</f>
        <v>1054</v>
      </c>
      <c r="DX207" s="577">
        <f>+INPUT!GK203</f>
        <v>0.95785440613028072</v>
      </c>
      <c r="DY207" s="580">
        <f>+INPUT!GL203</f>
        <v>1042</v>
      </c>
      <c r="DZ207" s="577">
        <f>+INPUT!GM203</f>
        <v>-1.1385199240986736</v>
      </c>
      <c r="EA207" s="580">
        <f>+INPUT!GN203</f>
        <v>1041</v>
      </c>
      <c r="EB207" s="577">
        <f>+INPUT!GO203</f>
        <v>-9.5969289827252169E-2</v>
      </c>
      <c r="EC207" s="580">
        <f>+INPUT!GP203</f>
        <v>1017.8364879907549</v>
      </c>
      <c r="ED207" s="577">
        <f>+INPUT!GQ203</f>
        <v>-2.2251212304750396</v>
      </c>
      <c r="EE207" s="580">
        <f>+INPUT!GR203</f>
        <v>1057.1811240412762</v>
      </c>
      <c r="EF207" s="577">
        <f>+INPUT!GS203</f>
        <v>3.8655163687626271</v>
      </c>
      <c r="EG207" s="580">
        <f>+INPUT!GT203</f>
        <v>1105.7528832057824</v>
      </c>
      <c r="EH207" s="577">
        <f>+INPUT!GU203</f>
        <v>4.5944595547479565</v>
      </c>
      <c r="EI207" s="580">
        <f>+INPUT!GV203</f>
        <v>1156.5623710825769</v>
      </c>
      <c r="EJ207" s="577">
        <f>+INPUT!GW203</f>
        <v>4.5950129227326357</v>
      </c>
      <c r="EK207" s="580">
        <f>+INPUT!GX203</f>
        <v>1209.7139084777548</v>
      </c>
      <c r="EL207" s="577">
        <f>+INPUT!GY203</f>
        <v>4.5956481659892319</v>
      </c>
      <c r="EM207" s="577">
        <f>+INPUT!GZ203</f>
        <v>3.0496186333312192</v>
      </c>
    </row>
    <row r="208" spans="1:144" ht="12.75" hidden="1" customHeight="1" outlineLevel="1" x14ac:dyDescent="0.2">
      <c r="A208" s="579" t="str">
        <f>+INPUT!B204</f>
        <v>Net DAC</v>
      </c>
      <c r="B208" s="580">
        <f>+INPUT!AY204</f>
        <v>-11</v>
      </c>
      <c r="C208" s="577">
        <f>+INPUT!AZ204</f>
        <v>37.5</v>
      </c>
      <c r="D208" s="580">
        <f>+INPUT!BA204</f>
        <v>-7</v>
      </c>
      <c r="E208" s="577">
        <f>+INPUT!BB204</f>
        <v>16.666666666666671</v>
      </c>
      <c r="F208" s="580">
        <f>+INPUT!BC204</f>
        <v>-16</v>
      </c>
      <c r="G208" s="577" t="str">
        <f>+INPUT!BD204</f>
        <v>NM</v>
      </c>
      <c r="H208" s="580">
        <f>+INPUT!BE204</f>
        <v>-17</v>
      </c>
      <c r="I208" s="577" t="str">
        <f>+INPUT!BF204</f>
        <v>NM</v>
      </c>
      <c r="J208" s="580">
        <f>+INPUT!BG204</f>
        <v>-12</v>
      </c>
      <c r="K208" s="577">
        <f>+INPUT!BH204</f>
        <v>9.0909090909090793</v>
      </c>
      <c r="L208" s="580">
        <f>+INPUT!BI204</f>
        <v>-15</v>
      </c>
      <c r="M208" s="577" t="str">
        <f>+INPUT!BJ204</f>
        <v>NM</v>
      </c>
      <c r="N208" s="580">
        <f>+INPUT!BK204</f>
        <v>-8</v>
      </c>
      <c r="O208" s="577">
        <f>+INPUT!BL204</f>
        <v>-50</v>
      </c>
      <c r="P208" s="580">
        <f>+INPUT!BM204</f>
        <v>-22</v>
      </c>
      <c r="Q208" s="577">
        <f>+INPUT!BN204</f>
        <v>29.411764705882348</v>
      </c>
      <c r="R208" s="580">
        <f>+INPUT!BO204</f>
        <v>-20</v>
      </c>
      <c r="S208" s="577">
        <f>+INPUT!BP204</f>
        <v>66.666666666666686</v>
      </c>
      <c r="T208" s="580">
        <f>+INPUT!BQ204</f>
        <v>-19</v>
      </c>
      <c r="U208" s="577">
        <f>+INPUT!BR204</f>
        <v>26.666666666666657</v>
      </c>
      <c r="V208" s="580">
        <f>+INPUT!BS204</f>
        <v>-1</v>
      </c>
      <c r="W208" s="577" t="str">
        <f>+INPUT!BT204</f>
        <v>NM</v>
      </c>
      <c r="X208" s="580">
        <f>+INPUT!BU204</f>
        <v>-14</v>
      </c>
      <c r="Y208" s="577">
        <f>+INPUT!BV204</f>
        <v>-36.363636363636367</v>
      </c>
      <c r="Z208" s="580">
        <f>+INPUT!BW204</f>
        <v>-8</v>
      </c>
      <c r="AA208" s="577" t="str">
        <f>+INPUT!BX204</f>
        <v>NM</v>
      </c>
      <c r="AB208" s="580">
        <f>+INPUT!BY204</f>
        <v>-9</v>
      </c>
      <c r="AC208" s="577" t="str">
        <f>+INPUT!BZ204</f>
        <v>NM</v>
      </c>
      <c r="AD208" s="580">
        <f>+INPUT!CA204</f>
        <v>-4</v>
      </c>
      <c r="AE208" s="577" t="str">
        <f>+INPUT!CB204</f>
        <v>NM</v>
      </c>
      <c r="AF208" s="580">
        <f>+INPUT!CC204</f>
        <v>-3</v>
      </c>
      <c r="AG208" s="577" t="str">
        <f>+INPUT!CD204</f>
        <v>NM</v>
      </c>
      <c r="AH208" s="580">
        <f>+INPUT!CE204</f>
        <v>-4</v>
      </c>
      <c r="AI208" s="577">
        <f>+INPUT!CF204</f>
        <v>-50</v>
      </c>
      <c r="AJ208" s="580">
        <f>+INPUT!CG204</f>
        <v>-10</v>
      </c>
      <c r="AK208" s="577">
        <f>+INPUT!CH204</f>
        <v>11.111111111111114</v>
      </c>
      <c r="AL208" s="580">
        <f>+INPUT!CI204</f>
        <v>-4</v>
      </c>
      <c r="AM208" s="577">
        <f>+INPUT!CJ204</f>
        <v>0</v>
      </c>
      <c r="AN208" s="580">
        <f>+INPUT!CK204</f>
        <v>-7</v>
      </c>
      <c r="AO208" s="577" t="str">
        <f>+INPUT!CL204</f>
        <v>NM</v>
      </c>
      <c r="AP208" s="580">
        <f>+INPUT!CM204</f>
        <v>16</v>
      </c>
      <c r="AQ208" s="577" t="str">
        <f>+INPUT!CN204</f>
        <v>NM</v>
      </c>
      <c r="AR208" s="580">
        <f>+INPUT!CO204</f>
        <v>-4</v>
      </c>
      <c r="AS208" s="577" t="str">
        <f>+INPUT!CP204</f>
        <v>NM</v>
      </c>
      <c r="AT208" s="580">
        <f>+INPUT!CQ204</f>
        <v>1</v>
      </c>
      <c r="AU208" s="577" t="str">
        <f>+INPUT!CR204</f>
        <v>NM</v>
      </c>
      <c r="AV208" s="580">
        <f>+INPUT!CS204</f>
        <v>-4</v>
      </c>
      <c r="AW208" s="577">
        <f>+INPUT!CT204</f>
        <v>-42.857142857142861</v>
      </c>
      <c r="AX208" s="580">
        <f>+INPUT!CU204</f>
        <v>1</v>
      </c>
      <c r="AY208" s="577" t="str">
        <f>+INPUT!CV204</f>
        <v>NM</v>
      </c>
      <c r="AZ208" s="580">
        <f>+INPUT!CW204</f>
        <v>-3</v>
      </c>
      <c r="BA208" s="577">
        <f>+INPUT!CX204</f>
        <v>-25</v>
      </c>
      <c r="BB208" s="580">
        <f>+INPUT!CY204</f>
        <v>0</v>
      </c>
      <c r="BC208" s="577" t="str">
        <f>+INPUT!CZ204</f>
        <v>NM</v>
      </c>
      <c r="BD208" s="580">
        <f>+INPUT!DA204</f>
        <v>2</v>
      </c>
      <c r="BE208" s="577" t="str">
        <f>+INPUT!DB204</f>
        <v>NM</v>
      </c>
      <c r="BF208" s="580">
        <f>+INPUT!DC204</f>
        <v>0</v>
      </c>
      <c r="BG208" s="577" t="str">
        <f>+INPUT!DD204</f>
        <v>NM</v>
      </c>
      <c r="BH208" s="580">
        <f>+INPUT!DE204</f>
        <v>-2</v>
      </c>
      <c r="BI208" s="577">
        <f>+INPUT!DF204</f>
        <v>-33.333333333333343</v>
      </c>
      <c r="BJ208" s="580">
        <f>+INPUT!DG204</f>
        <v>-6</v>
      </c>
      <c r="BK208" s="577" t="str">
        <f>+INPUT!DH204</f>
        <v>NA</v>
      </c>
      <c r="BL208" s="580">
        <f>+INPUT!DI204</f>
        <v>-6</v>
      </c>
      <c r="BM208" s="577" t="str">
        <f>+INPUT!DJ204</f>
        <v>NM</v>
      </c>
      <c r="BN208" s="580">
        <f>+INPUT!DK204</f>
        <v>-2</v>
      </c>
      <c r="BO208" s="577" t="str">
        <f>+INPUT!DL204</f>
        <v>NA</v>
      </c>
      <c r="BP208" s="580">
        <f>+INPUT!DM204</f>
        <v>-5</v>
      </c>
      <c r="BQ208" s="577" t="str">
        <f>+INPUT!DN204</f>
        <v>NM</v>
      </c>
      <c r="BR208" s="580">
        <f>+INPUT!DO204</f>
        <v>-10</v>
      </c>
      <c r="BS208" s="577">
        <f>+INPUT!DP204</f>
        <v>66.666666666666686</v>
      </c>
      <c r="BT208" s="580">
        <f>+INPUT!DQ204</f>
        <v>-2</v>
      </c>
      <c r="BU208" s="577" t="str">
        <f>+INPUT!DR204</f>
        <v>NM</v>
      </c>
      <c r="BV208" s="580">
        <f>+INPUT!DS204</f>
        <v>-3</v>
      </c>
      <c r="BW208" s="577">
        <f>+INPUT!DT204</f>
        <v>50</v>
      </c>
      <c r="BX208" s="580">
        <f>+INPUT!DU204</f>
        <v>22</v>
      </c>
      <c r="BY208" s="577" t="str">
        <f>+INPUT!DV204</f>
        <v>NM</v>
      </c>
      <c r="BZ208" s="580">
        <f>+INPUT!DW204</f>
        <v>1</v>
      </c>
      <c r="CA208" s="577" t="str">
        <f>+INPUT!DX204</f>
        <v>NM</v>
      </c>
      <c r="CB208" s="580">
        <f>+INPUT!DY204</f>
        <v>0</v>
      </c>
      <c r="CC208" s="577" t="str">
        <f>+INPUT!DZ204</f>
        <v>NM</v>
      </c>
      <c r="CD208" s="580">
        <f>+INPUT!EA204</f>
        <v>0</v>
      </c>
      <c r="CE208" s="577" t="str">
        <f>+INPUT!EB204</f>
        <v>NM</v>
      </c>
      <c r="CF208" s="580">
        <f>+INPUT!EC204</f>
        <v>-3</v>
      </c>
      <c r="CG208" s="577" t="str">
        <f>+INPUT!ED204</f>
        <v>NM</v>
      </c>
      <c r="CH208" s="580">
        <f>+INPUT!EE204</f>
        <v>3</v>
      </c>
      <c r="CI208" s="577" t="str">
        <f>+INPUT!EF204</f>
        <v>NM</v>
      </c>
      <c r="CJ208" s="580">
        <f>+INPUT!EG204</f>
        <v>2</v>
      </c>
      <c r="CK208" s="577" t="str">
        <f>+INPUT!EH204</f>
        <v>NA</v>
      </c>
      <c r="CL208" s="580">
        <f>+INPUT!EI204</f>
        <v>-3</v>
      </c>
      <c r="CM208" s="577" t="str">
        <f>+INPUT!EJ204</f>
        <v>NA</v>
      </c>
      <c r="CN208" s="580">
        <f>+INPUT!EK204</f>
        <v>-5</v>
      </c>
      <c r="CO208" s="577">
        <f>+INPUT!EL204</f>
        <v>66.666666666666686</v>
      </c>
      <c r="CP208" s="580">
        <f>+INPUT!EM204</f>
        <v>-2</v>
      </c>
      <c r="CQ208" s="577" t="str">
        <f>+INPUT!EN204</f>
        <v>NM</v>
      </c>
      <c r="CR208" s="580">
        <f>+INPUT!EO204</f>
        <v>0</v>
      </c>
      <c r="CS208" s="577" t="str">
        <f>+INPUT!EP204</f>
        <v>NM</v>
      </c>
      <c r="CT208" s="580">
        <f>+INPUT!EQ204</f>
        <v>0</v>
      </c>
      <c r="CU208" s="577" t="str">
        <f>+INPUT!ER204</f>
        <v>NM</v>
      </c>
      <c r="CV208" s="580">
        <f>+INPUT!ES204</f>
        <v>0</v>
      </c>
      <c r="CW208" s="577" t="str">
        <f>+INPUT!ET204</f>
        <v>NM</v>
      </c>
      <c r="CX208" s="580">
        <f>+INPUT!EU204</f>
        <v>0</v>
      </c>
      <c r="CY208" s="577" t="str">
        <f>+INPUT!EV204</f>
        <v>NM</v>
      </c>
      <c r="CZ208" s="580">
        <f>+INPUT!EW204</f>
        <v>0</v>
      </c>
      <c r="DA208" s="577" t="str">
        <f>+INPUT!EX204</f>
        <v>NA</v>
      </c>
      <c r="DB208" s="580"/>
      <c r="DC208" s="580">
        <f>+INPUT!FP204</f>
        <v>-23</v>
      </c>
      <c r="DD208" s="577">
        <f>+INPUT!FQ204</f>
        <v>4.5454545454545467</v>
      </c>
      <c r="DE208" s="580">
        <f>+INPUT!FR204</f>
        <v>-51</v>
      </c>
      <c r="DF208" s="577" t="str">
        <f>+INPUT!FS204</f>
        <v>NM</v>
      </c>
      <c r="DG208" s="580">
        <f>+INPUT!FT204</f>
        <v>-57</v>
      </c>
      <c r="DH208" s="577">
        <f>+INPUT!FU204</f>
        <v>11.764705882352942</v>
      </c>
      <c r="DI208" s="580">
        <f>+INPUT!FV204</f>
        <v>-43</v>
      </c>
      <c r="DJ208" s="577">
        <f>+INPUT!FW204</f>
        <v>-24.561403508771932</v>
      </c>
      <c r="DK208" s="580">
        <f>+INPUT!FX204</f>
        <v>-21</v>
      </c>
      <c r="DL208" s="577" t="str">
        <f>+INPUT!FY204</f>
        <v>NM</v>
      </c>
      <c r="DM208" s="580">
        <f>+INPUT!FZ204</f>
        <v>-25</v>
      </c>
      <c r="DN208" s="577">
        <f>+INPUT!GA204</f>
        <v>19.047619047619051</v>
      </c>
      <c r="DO208" s="580">
        <f>+INPUT!GB204</f>
        <v>9</v>
      </c>
      <c r="DP208" s="577" t="str">
        <f>+INPUT!GC204</f>
        <v>NM</v>
      </c>
      <c r="DQ208" s="580">
        <f>+INPUT!GD204</f>
        <v>0</v>
      </c>
      <c r="DR208" s="577" t="str">
        <f>+INPUT!GE204</f>
        <v>NM</v>
      </c>
      <c r="DS208" s="580">
        <f>+INPUT!GF204</f>
        <v>-14</v>
      </c>
      <c r="DT208" s="577" t="str">
        <f>+INPUT!GG204</f>
        <v>NA</v>
      </c>
      <c r="DU208" s="580">
        <f>+INPUT!GH204</f>
        <v>-19</v>
      </c>
      <c r="DV208" s="577">
        <f>+INPUT!GI204</f>
        <v>35.714285714285722</v>
      </c>
      <c r="DW208" s="580">
        <f>+INPUT!GJ204</f>
        <v>20</v>
      </c>
      <c r="DX208" s="577" t="str">
        <f>+INPUT!GK204</f>
        <v>NM</v>
      </c>
      <c r="DY208" s="580">
        <f>+INPUT!GL204</f>
        <v>2</v>
      </c>
      <c r="DZ208" s="577" t="str">
        <f>+INPUT!GM204</f>
        <v>NM</v>
      </c>
      <c r="EA208" s="580">
        <f>+INPUT!GN204</f>
        <v>-10</v>
      </c>
      <c r="EB208" s="577" t="str">
        <f>+INPUT!GO204</f>
        <v>NM</v>
      </c>
      <c r="EC208" s="580">
        <f>+INPUT!GP204</f>
        <v>0</v>
      </c>
      <c r="ED208" s="577" t="str">
        <f>+INPUT!GQ204</f>
        <v>NM</v>
      </c>
      <c r="EE208" s="580">
        <f>+INPUT!GR204</f>
        <v>0</v>
      </c>
      <c r="EF208" s="577" t="str">
        <f>+INPUT!GS204</f>
        <v>NA</v>
      </c>
      <c r="EG208" s="580">
        <f>+INPUT!GT204</f>
        <v>0</v>
      </c>
      <c r="EH208" s="577" t="str">
        <f>+INPUT!GU204</f>
        <v>NA</v>
      </c>
      <c r="EI208" s="580">
        <f>+INPUT!GV204</f>
        <v>0</v>
      </c>
      <c r="EJ208" s="577" t="str">
        <f>+INPUT!GW204</f>
        <v>NA</v>
      </c>
      <c r="EK208" s="580">
        <f>+INPUT!GX204</f>
        <v>0</v>
      </c>
      <c r="EL208" s="577" t="str">
        <f>+INPUT!GY204</f>
        <v>NA</v>
      </c>
      <c r="EM208" s="577" t="str">
        <f>+INPUT!GZ204</f>
        <v>NM</v>
      </c>
    </row>
    <row r="209" spans="1:144" ht="12.75" hidden="1" customHeight="1" outlineLevel="1" x14ac:dyDescent="0.2">
      <c r="A209" s="579" t="str">
        <f>+INPUT!B205</f>
        <v>Total Incurred Expenses</v>
      </c>
      <c r="B209" s="580">
        <f>+INPUT!AY205</f>
        <v>917</v>
      </c>
      <c r="C209" s="577">
        <f>+INPUT!AZ205</f>
        <v>16.370558375634531</v>
      </c>
      <c r="D209" s="580">
        <f>+INPUT!BA205</f>
        <v>907</v>
      </c>
      <c r="E209" s="577">
        <f>+INPUT!BB205</f>
        <v>4.2528735632184009</v>
      </c>
      <c r="F209" s="580">
        <f>+INPUT!BC205</f>
        <v>1003</v>
      </c>
      <c r="G209" s="577">
        <f>+INPUT!BD205</f>
        <v>7.043756670224127</v>
      </c>
      <c r="H209" s="580">
        <f>+INPUT!BE205</f>
        <v>1042</v>
      </c>
      <c r="I209" s="577">
        <f>+INPUT!BF205</f>
        <v>11.80257510729615</v>
      </c>
      <c r="J209" s="580">
        <f>+INPUT!BG205</f>
        <v>1015</v>
      </c>
      <c r="K209" s="577">
        <f>+INPUT!BH205</f>
        <v>10.687022900763353</v>
      </c>
      <c r="L209" s="580">
        <f>+INPUT!BI205</f>
        <v>1012</v>
      </c>
      <c r="M209" s="577">
        <f>+INPUT!BJ205</f>
        <v>11.576626240352809</v>
      </c>
      <c r="N209" s="580">
        <f>+INPUT!BK205</f>
        <v>1130</v>
      </c>
      <c r="O209" s="577">
        <f>+INPUT!BL205</f>
        <v>12.662013958125627</v>
      </c>
      <c r="P209" s="580">
        <f>+INPUT!BM205</f>
        <v>1069</v>
      </c>
      <c r="Q209" s="577">
        <f>+INPUT!BN205</f>
        <v>2.5911708253358938</v>
      </c>
      <c r="R209" s="580">
        <f>+INPUT!BO205</f>
        <v>1143</v>
      </c>
      <c r="S209" s="577">
        <f>+INPUT!BP205</f>
        <v>12.610837438423644</v>
      </c>
      <c r="T209" s="580">
        <f>+INPUT!BQ205</f>
        <v>1066</v>
      </c>
      <c r="U209" s="577">
        <f>+INPUT!BR205</f>
        <v>5.3359683794466264</v>
      </c>
      <c r="V209" s="580">
        <f>+INPUT!BS205</f>
        <v>985</v>
      </c>
      <c r="W209" s="577">
        <f>+INPUT!BT205</f>
        <v>-12.83185840707965</v>
      </c>
      <c r="X209" s="580">
        <f>+INPUT!BU205</f>
        <v>1119</v>
      </c>
      <c r="Y209" s="577">
        <f>+INPUT!BV205</f>
        <v>4.6772684752104823</v>
      </c>
      <c r="Z209" s="580">
        <f>+INPUT!BW205</f>
        <v>1043</v>
      </c>
      <c r="AA209" s="577">
        <f>+INPUT!BX205</f>
        <v>-8.7489063867016625</v>
      </c>
      <c r="AB209" s="580">
        <f>+INPUT!BY205</f>
        <v>1137</v>
      </c>
      <c r="AC209" s="577">
        <f>+INPUT!BZ205</f>
        <v>6.6604127579737309</v>
      </c>
      <c r="AD209" s="580">
        <f>+INPUT!CA205</f>
        <v>983</v>
      </c>
      <c r="AE209" s="577">
        <f>+INPUT!CB205</f>
        <v>-0.20304568527919287</v>
      </c>
      <c r="AF209" s="580">
        <f>+INPUT!CC205</f>
        <v>1002</v>
      </c>
      <c r="AG209" s="577">
        <f>+INPUT!CD205</f>
        <v>-10.455764075067023</v>
      </c>
      <c r="AH209" s="580">
        <f>+INPUT!CE205</f>
        <v>962</v>
      </c>
      <c r="AI209" s="577">
        <f>+INPUT!CF205</f>
        <v>-7.7660594439117858</v>
      </c>
      <c r="AJ209" s="580">
        <f>+INPUT!CG205</f>
        <v>1236</v>
      </c>
      <c r="AK209" s="577">
        <f>+INPUT!CH205</f>
        <v>8.7071240105540966</v>
      </c>
      <c r="AL209" s="580">
        <f>+INPUT!CI205</f>
        <v>1258</v>
      </c>
      <c r="AM209" s="577">
        <f>+INPUT!CJ205</f>
        <v>27.975584944048833</v>
      </c>
      <c r="AN209" s="580">
        <f>+INPUT!CK205</f>
        <v>1162</v>
      </c>
      <c r="AO209" s="577">
        <f>+INPUT!CL205</f>
        <v>15.968063872255485</v>
      </c>
      <c r="AP209" s="580">
        <f>+INPUT!CM205</f>
        <v>1034</v>
      </c>
      <c r="AQ209" s="577">
        <f>+INPUT!CN205</f>
        <v>7.4844074844074839</v>
      </c>
      <c r="AR209" s="580">
        <f>+INPUT!CO205</f>
        <v>1077</v>
      </c>
      <c r="AS209" s="577">
        <f>+INPUT!CP205</f>
        <v>-12.864077669902912</v>
      </c>
      <c r="AT209" s="580">
        <f>+INPUT!CQ205</f>
        <v>1060</v>
      </c>
      <c r="AU209" s="577">
        <f>+INPUT!CR205</f>
        <v>-15.73926868044515</v>
      </c>
      <c r="AV209" s="580">
        <f>+INPUT!CS205</f>
        <v>1106</v>
      </c>
      <c r="AW209" s="577">
        <f>+INPUT!CT205</f>
        <v>-4.819277108433738</v>
      </c>
      <c r="AX209" s="580">
        <f>+INPUT!CU205</f>
        <v>951</v>
      </c>
      <c r="AY209" s="577">
        <f>+INPUT!CV205</f>
        <v>-8.0270793036750376</v>
      </c>
      <c r="AZ209" s="580">
        <f>+INPUT!CW205</f>
        <v>1095</v>
      </c>
      <c r="BA209" s="577">
        <f>+INPUT!CX205</f>
        <v>1.6713091922005532</v>
      </c>
      <c r="BB209" s="580">
        <f>+INPUT!CY205</f>
        <v>1052</v>
      </c>
      <c r="BC209" s="577">
        <f>+INPUT!CZ205</f>
        <v>-0.75471698113207708</v>
      </c>
      <c r="BD209" s="580">
        <f>+INPUT!DA205</f>
        <v>32859</v>
      </c>
      <c r="BE209" s="577" t="str">
        <f>+INPUT!DB205</f>
        <v>NM</v>
      </c>
      <c r="BF209" s="580">
        <f>+INPUT!DC205</f>
        <v>1108</v>
      </c>
      <c r="BG209" s="577">
        <f>+INPUT!DD205</f>
        <v>16.508937960042076</v>
      </c>
      <c r="BH209" s="580">
        <f>+INPUT!DE205</f>
        <v>1242</v>
      </c>
      <c r="BI209" s="577">
        <f>+INPUT!DF205</f>
        <v>13.424657534246577</v>
      </c>
      <c r="BJ209" s="580">
        <f>+INPUT!DG205</f>
        <v>1288</v>
      </c>
      <c r="BK209" s="577">
        <f>+INPUT!DH205</f>
        <v>22.433460076045634</v>
      </c>
      <c r="BL209" s="580">
        <f>+INPUT!DI205</f>
        <v>1351</v>
      </c>
      <c r="BM209" s="577" t="str">
        <f>+INPUT!DJ205</f>
        <v>NM</v>
      </c>
      <c r="BN209" s="580">
        <f>+INPUT!DK205</f>
        <v>1167</v>
      </c>
      <c r="BO209" s="577">
        <f>+INPUT!DL205</f>
        <v>5.3249097472924234</v>
      </c>
      <c r="BP209" s="580">
        <f>+INPUT!DM205</f>
        <v>1183</v>
      </c>
      <c r="BQ209" s="577">
        <f>+INPUT!DN205</f>
        <v>-4.7504025764895346</v>
      </c>
      <c r="BR209" s="580">
        <f>+INPUT!DO205</f>
        <v>2141</v>
      </c>
      <c r="BS209" s="577">
        <f>+INPUT!DP205</f>
        <v>66.226708074534173</v>
      </c>
      <c r="BT209" s="580">
        <f>+INPUT!DQ205</f>
        <v>6371</v>
      </c>
      <c r="BU209" s="577" t="str">
        <f>+INPUT!DR205</f>
        <v>NM</v>
      </c>
      <c r="BV209" s="580">
        <f>+INPUT!DS205</f>
        <v>2194</v>
      </c>
      <c r="BW209" s="577">
        <f>+INPUT!DT205</f>
        <v>88.003427592116537</v>
      </c>
      <c r="BX209" s="580">
        <f>+INPUT!DU205</f>
        <v>2943</v>
      </c>
      <c r="BY209" s="577" t="str">
        <f>+INPUT!DV205</f>
        <v>NM</v>
      </c>
      <c r="BZ209" s="580">
        <f>+INPUT!DW205</f>
        <v>1695</v>
      </c>
      <c r="CA209" s="577">
        <f>+INPUT!DX205</f>
        <v>-20.831387202241942</v>
      </c>
      <c r="CB209" s="580">
        <f>+INPUT!DY205</f>
        <v>4058</v>
      </c>
      <c r="CC209" s="577">
        <f>+INPUT!DZ205</f>
        <v>-36.305132632239832</v>
      </c>
      <c r="CD209" s="580">
        <f>+INPUT!EA205</f>
        <v>1674</v>
      </c>
      <c r="CE209" s="577">
        <f>+INPUT!EB205</f>
        <v>-23.701002734731077</v>
      </c>
      <c r="CF209" s="580">
        <f>+INPUT!EC205</f>
        <v>2005</v>
      </c>
      <c r="CG209" s="577">
        <f>+INPUT!ED205</f>
        <v>-31.872239211688765</v>
      </c>
      <c r="CH209" s="580">
        <f>+INPUT!EE205</f>
        <v>4895</v>
      </c>
      <c r="CI209" s="577" t="str">
        <f>+INPUT!EF205</f>
        <v>NM</v>
      </c>
      <c r="CJ209" s="580">
        <f>+INPUT!EG205</f>
        <v>3290</v>
      </c>
      <c r="CK209" s="577">
        <f>+INPUT!EH205</f>
        <v>-18.925579103006413</v>
      </c>
      <c r="CL209" s="580">
        <f>+INPUT!EI205</f>
        <v>1540</v>
      </c>
      <c r="CM209" s="577">
        <f>+INPUT!EJ205</f>
        <v>-8.00477897252091</v>
      </c>
      <c r="CN209" s="580">
        <f>+INPUT!EK205</f>
        <v>3299</v>
      </c>
      <c r="CO209" s="577">
        <f>+INPUT!EL205</f>
        <v>64.538653366583532</v>
      </c>
      <c r="CP209" s="580">
        <f>+INPUT!EM205</f>
        <v>3011</v>
      </c>
      <c r="CQ209" s="577">
        <f>+INPUT!EN205</f>
        <v>-38.488253319713991</v>
      </c>
      <c r="CR209" s="580">
        <f>+INPUT!EO205</f>
        <v>4749</v>
      </c>
      <c r="CS209" s="577">
        <f>+INPUT!EP205</f>
        <v>44.346504559270528</v>
      </c>
      <c r="CT209" s="580">
        <f>+INPUT!EQ205</f>
        <v>3037.5540525860274</v>
      </c>
      <c r="CU209" s="577">
        <f>+INPUT!ER205</f>
        <v>97.243769648443333</v>
      </c>
      <c r="CV209" s="580">
        <f>+INPUT!ES205</f>
        <v>3090.5998661657354</v>
      </c>
      <c r="CW209" s="577">
        <f>+INPUT!ET205</f>
        <v>-6.3170698343214582</v>
      </c>
      <c r="CX209" s="580">
        <f>+INPUT!EU205</f>
        <v>3143.7481756383604</v>
      </c>
      <c r="CY209" s="577">
        <f>+INPUT!EV205</f>
        <v>4.4087736844357579</v>
      </c>
      <c r="CZ209" s="580">
        <f>+INPUT!EW205</f>
        <v>3189.4334609797938</v>
      </c>
      <c r="DA209" s="577">
        <f>+INPUT!EX205</f>
        <v>-32.839893430621316</v>
      </c>
      <c r="DB209" s="580"/>
      <c r="DC209" s="580">
        <f>+INPUT!FP205</f>
        <v>3527</v>
      </c>
      <c r="DD209" s="577">
        <f>+INPUT!FQ205</f>
        <v>21.999308197855399</v>
      </c>
      <c r="DE209" s="580">
        <f>+INPUT!FR205</f>
        <v>3869</v>
      </c>
      <c r="DF209" s="577">
        <f>+INPUT!FS205</f>
        <v>9.6966260277856549</v>
      </c>
      <c r="DG209" s="580">
        <f>+INPUT!FT205</f>
        <v>4226</v>
      </c>
      <c r="DH209" s="577">
        <f>+INPUT!FU205</f>
        <v>9.2271904884983087</v>
      </c>
      <c r="DI209" s="580">
        <f>+INPUT!FV205</f>
        <v>4324</v>
      </c>
      <c r="DJ209" s="577">
        <f>+INPUT!FW205</f>
        <v>2.318977756743962</v>
      </c>
      <c r="DK209" s="580">
        <f>+INPUT!FX205</f>
        <v>4168</v>
      </c>
      <c r="DL209" s="577">
        <f>+INPUT!FY205</f>
        <v>-3.6077705827937052</v>
      </c>
      <c r="DM209" s="580">
        <f>+INPUT!FZ205</f>
        <v>4618</v>
      </c>
      <c r="DN209" s="577">
        <f>+INPUT!GA205</f>
        <v>10.796545105566224</v>
      </c>
      <c r="DO209" s="580">
        <f>+INPUT!GB205</f>
        <v>4277</v>
      </c>
      <c r="DP209" s="577">
        <f>+INPUT!GC205</f>
        <v>-7.3841489822434028</v>
      </c>
      <c r="DQ209" s="580">
        <f>+INPUT!GD205</f>
        <v>35957</v>
      </c>
      <c r="DR209" s="577" t="str">
        <f>+INPUT!GE205</f>
        <v>NM</v>
      </c>
      <c r="DS209" s="580">
        <f>+INPUT!GF205</f>
        <v>4989</v>
      </c>
      <c r="DT209" s="577" t="str">
        <f>+INPUT!GG205</f>
        <v>NM</v>
      </c>
      <c r="DU209" s="580">
        <f>+INPUT!GH205</f>
        <v>10862</v>
      </c>
      <c r="DV209" s="577" t="str">
        <f>+INPUT!GI205</f>
        <v>NM</v>
      </c>
      <c r="DW209" s="580">
        <f>+INPUT!GJ205</f>
        <v>10890</v>
      </c>
      <c r="DX209" s="577">
        <f>+INPUT!GK205</f>
        <v>0.25777941447246633</v>
      </c>
      <c r="DY209" s="580">
        <f>+INPUT!GL205</f>
        <v>11864</v>
      </c>
      <c r="DZ209" s="577">
        <f>+INPUT!GM205</f>
        <v>8.9439853076216593</v>
      </c>
      <c r="EA209" s="580">
        <f>+INPUT!GN205</f>
        <v>12599</v>
      </c>
      <c r="EB209" s="577">
        <f>+INPUT!GO205</f>
        <v>6.1952124072825399</v>
      </c>
      <c r="EC209" s="580">
        <f>+INPUT!GP205</f>
        <v>12461.335555369917</v>
      </c>
      <c r="ED209" s="577">
        <f>+INPUT!GQ205</f>
        <v>-1.0926616765622867</v>
      </c>
      <c r="EE209" s="580">
        <f>+INPUT!GR205</f>
        <v>12956.895813864779</v>
      </c>
      <c r="EF209" s="577">
        <f>+INPUT!GS205</f>
        <v>3.9767828760642914</v>
      </c>
      <c r="EG209" s="580">
        <f>+INPUT!GT205</f>
        <v>13483.41613278057</v>
      </c>
      <c r="EH209" s="577">
        <f>+INPUT!GU205</f>
        <v>4.0636301046148589</v>
      </c>
      <c r="EI209" s="580">
        <f>+INPUT!GV205</f>
        <v>14031.738139322284</v>
      </c>
      <c r="EJ209" s="577">
        <f>+INPUT!GW205</f>
        <v>4.0666400943351988</v>
      </c>
      <c r="EK209" s="580">
        <f>+INPUT!GX205</f>
        <v>14602.784292016711</v>
      </c>
      <c r="EL209" s="577">
        <f>+INPUT!GY205</f>
        <v>4.0696750967304354</v>
      </c>
      <c r="EM209" s="577">
        <f>+INPUT!GZ205</f>
        <v>2.9958957074694537</v>
      </c>
    </row>
    <row r="210" spans="1:144" ht="12.75" hidden="1" customHeight="1" outlineLevel="1" x14ac:dyDescent="0.2">
      <c r="A210" s="609"/>
      <c r="B210" s="605"/>
      <c r="C210" s="555"/>
      <c r="D210" s="605"/>
      <c r="E210" s="555"/>
      <c r="F210" s="605"/>
      <c r="G210" s="555"/>
      <c r="H210" s="605"/>
      <c r="I210" s="555"/>
      <c r="J210" s="605"/>
      <c r="K210" s="555"/>
      <c r="L210" s="605"/>
      <c r="M210" s="555"/>
      <c r="N210" s="605"/>
      <c r="O210" s="555"/>
      <c r="P210" s="605"/>
      <c r="Q210" s="555"/>
      <c r="R210" s="605"/>
      <c r="S210" s="555"/>
      <c r="T210" s="605"/>
      <c r="U210" s="555"/>
      <c r="V210" s="605"/>
      <c r="W210" s="555"/>
      <c r="X210" s="605"/>
      <c r="Y210" s="555"/>
      <c r="Z210" s="605"/>
      <c r="AA210" s="555"/>
      <c r="AB210" s="605"/>
      <c r="AC210" s="555"/>
      <c r="AD210" s="605"/>
      <c r="AE210" s="555"/>
      <c r="AF210" s="605"/>
      <c r="AG210" s="555"/>
      <c r="AH210" s="605"/>
      <c r="AI210" s="555"/>
      <c r="AJ210" s="605"/>
      <c r="AK210" s="555"/>
      <c r="AL210" s="605"/>
      <c r="AM210" s="555"/>
      <c r="AN210" s="605"/>
      <c r="AO210" s="555"/>
      <c r="AP210" s="605"/>
      <c r="AQ210" s="555"/>
      <c r="AR210" s="605"/>
      <c r="AS210" s="555"/>
      <c r="AT210" s="605"/>
      <c r="AU210" s="555"/>
      <c r="AV210" s="605"/>
      <c r="AW210" s="555"/>
      <c r="AX210" s="605"/>
      <c r="AY210" s="555"/>
      <c r="AZ210" s="605"/>
      <c r="BA210" s="555"/>
      <c r="BB210" s="605"/>
      <c r="BC210" s="555"/>
      <c r="BD210" s="605"/>
      <c r="BE210" s="555"/>
      <c r="BF210" s="605"/>
      <c r="BG210" s="555"/>
      <c r="BH210" s="605"/>
      <c r="BI210" s="555"/>
      <c r="BJ210" s="605"/>
      <c r="BK210" s="555"/>
      <c r="BL210" s="605"/>
      <c r="BM210" s="555"/>
      <c r="BN210" s="605"/>
      <c r="BO210" s="555"/>
      <c r="BP210" s="605"/>
      <c r="BQ210" s="555"/>
      <c r="BR210" s="605"/>
      <c r="BS210" s="555"/>
      <c r="BT210" s="605"/>
      <c r="BU210" s="555"/>
      <c r="BV210" s="605"/>
      <c r="BW210" s="555"/>
      <c r="BX210" s="605"/>
      <c r="BY210" s="555"/>
      <c r="BZ210" s="605"/>
      <c r="CA210" s="555"/>
      <c r="CB210" s="605"/>
      <c r="CC210" s="555"/>
      <c r="CD210" s="605"/>
      <c r="CE210" s="555"/>
      <c r="CF210" s="605"/>
      <c r="CG210" s="555"/>
      <c r="CH210" s="605"/>
      <c r="CI210" s="555"/>
      <c r="CJ210" s="605"/>
      <c r="CK210" s="555"/>
      <c r="CL210" s="605"/>
      <c r="CM210" s="555"/>
      <c r="CN210" s="605"/>
      <c r="CO210" s="555"/>
      <c r="CP210" s="605"/>
      <c r="CQ210" s="555"/>
      <c r="CR210" s="605"/>
      <c r="CS210" s="555"/>
      <c r="CT210" s="605"/>
      <c r="CU210" s="555"/>
      <c r="CV210" s="605"/>
      <c r="CW210" s="555"/>
      <c r="CX210" s="605"/>
      <c r="CY210" s="555"/>
      <c r="CZ210" s="605"/>
      <c r="DA210" s="555"/>
      <c r="DB210" s="605"/>
      <c r="DC210" s="605"/>
      <c r="DD210" s="555"/>
      <c r="DE210" s="605"/>
      <c r="DF210" s="555"/>
      <c r="DG210" s="605"/>
      <c r="DH210" s="555"/>
      <c r="DI210" s="605"/>
      <c r="DJ210" s="555"/>
      <c r="DK210" s="605"/>
      <c r="DL210" s="555"/>
      <c r="DM210" s="605"/>
      <c r="DN210" s="555"/>
      <c r="DO210" s="605"/>
      <c r="DP210" s="555"/>
      <c r="DQ210" s="605"/>
      <c r="DR210" s="555"/>
      <c r="DS210" s="605"/>
      <c r="DT210" s="555"/>
      <c r="DU210" s="605"/>
      <c r="DV210" s="555"/>
      <c r="DW210" s="605"/>
      <c r="DX210" s="555"/>
      <c r="DY210" s="605"/>
      <c r="DZ210" s="555"/>
      <c r="EA210" s="605"/>
      <c r="EB210" s="555"/>
      <c r="EC210" s="605"/>
      <c r="ED210" s="555"/>
      <c r="EE210" s="605"/>
      <c r="EF210" s="555"/>
      <c r="EG210" s="605"/>
      <c r="EH210" s="555"/>
      <c r="EI210" s="605"/>
      <c r="EJ210" s="555"/>
      <c r="EK210" s="605"/>
      <c r="EL210" s="555"/>
      <c r="EM210" s="555"/>
    </row>
    <row r="211" spans="1:144" ht="12.75" hidden="1" customHeight="1" outlineLevel="1" x14ac:dyDescent="0.2">
      <c r="A211" s="611" t="s">
        <v>706</v>
      </c>
      <c r="B211" s="602">
        <f>+INPUT!AY213</f>
        <v>137</v>
      </c>
      <c r="C211" s="612">
        <f>+INPUT!AZ213</f>
        <v>-11.612903225806448</v>
      </c>
      <c r="D211" s="602">
        <f>+INPUT!BA213</f>
        <v>143</v>
      </c>
      <c r="E211" s="612">
        <f>+INPUT!BB213</f>
        <v>0.70422535211267245</v>
      </c>
      <c r="F211" s="602">
        <f>+INPUT!BC213</f>
        <v>109</v>
      </c>
      <c r="G211" s="612">
        <f>+INPUT!BD213</f>
        <v>-0.90909090909090651</v>
      </c>
      <c r="H211" s="602">
        <f>+INPUT!BE213</f>
        <v>121</v>
      </c>
      <c r="I211" s="612">
        <f>+INPUT!BF213</f>
        <v>32.967032967032964</v>
      </c>
      <c r="J211" s="602">
        <f>+INPUT!BG213</f>
        <v>148</v>
      </c>
      <c r="K211" s="612">
        <f>+INPUT!BH213</f>
        <v>8.029197080291965</v>
      </c>
      <c r="L211" s="602">
        <f>+INPUT!BI213</f>
        <v>138</v>
      </c>
      <c r="M211" s="612">
        <f>+INPUT!BJ213</f>
        <v>-3.4965034965034931</v>
      </c>
      <c r="N211" s="602">
        <f>+INPUT!BK213</f>
        <v>65</v>
      </c>
      <c r="O211" s="612">
        <f>+INPUT!BL213</f>
        <v>-40.366972477064223</v>
      </c>
      <c r="P211" s="602">
        <f>+INPUT!BM213</f>
        <v>131</v>
      </c>
      <c r="Q211" s="612">
        <f>+INPUT!BN213</f>
        <v>8.2644628099173474</v>
      </c>
      <c r="R211" s="602">
        <f>+INPUT!BO213</f>
        <v>124</v>
      </c>
      <c r="S211" s="612">
        <f>+INPUT!BP213</f>
        <v>-16.21621621621621</v>
      </c>
      <c r="T211" s="602">
        <f>+INPUT!BQ213</f>
        <v>141</v>
      </c>
      <c r="U211" s="612">
        <f>+INPUT!BR213</f>
        <v>2.1739130434782652</v>
      </c>
      <c r="V211" s="602">
        <f>+INPUT!BS213</f>
        <v>133</v>
      </c>
      <c r="W211" s="612" t="str">
        <f>+INPUT!BT213</f>
        <v>NM</v>
      </c>
      <c r="X211" s="602">
        <f>+INPUT!BU213</f>
        <v>133</v>
      </c>
      <c r="Y211" s="612">
        <f>+INPUT!BV213</f>
        <v>1.5267175572519136</v>
      </c>
      <c r="Z211" s="602">
        <f>+INPUT!BW213</f>
        <v>140</v>
      </c>
      <c r="AA211" s="612">
        <f>+INPUT!BX213</f>
        <v>12.90322580645163</v>
      </c>
      <c r="AB211" s="602">
        <f>+INPUT!BY213</f>
        <v>105</v>
      </c>
      <c r="AC211" s="612">
        <f>+INPUT!BZ213</f>
        <v>-25.531914893617028</v>
      </c>
      <c r="AD211" s="602">
        <f>+INPUT!CA213</f>
        <v>117</v>
      </c>
      <c r="AE211" s="612">
        <f>+INPUT!CB213</f>
        <v>-12.030075187969928</v>
      </c>
      <c r="AF211" s="602">
        <f>+INPUT!CC213</f>
        <v>132</v>
      </c>
      <c r="AG211" s="612">
        <f>+INPUT!CD213</f>
        <v>-0.75187969924812137</v>
      </c>
      <c r="AH211" s="602">
        <f>+INPUT!CE213</f>
        <v>167</v>
      </c>
      <c r="AI211" s="612">
        <f>+INPUT!CF213</f>
        <v>19.285714285714278</v>
      </c>
      <c r="AJ211" s="602">
        <f>+INPUT!CG213</f>
        <v>134</v>
      </c>
      <c r="AK211" s="612">
        <f>+INPUT!CH213</f>
        <v>27.619047619047606</v>
      </c>
      <c r="AL211" s="602">
        <f>+INPUT!CI213</f>
        <v>118</v>
      </c>
      <c r="AM211" s="612">
        <f>+INPUT!CJ213</f>
        <v>0.85470085470085166</v>
      </c>
      <c r="AN211" s="602">
        <f>+INPUT!CK213</f>
        <v>146</v>
      </c>
      <c r="AO211" s="612">
        <f>+INPUT!CL213</f>
        <v>10.606060606060595</v>
      </c>
      <c r="AP211" s="602">
        <f>+INPUT!CM213</f>
        <v>172</v>
      </c>
      <c r="AQ211" s="612">
        <f>+INPUT!CN213</f>
        <v>2.9940119760479007</v>
      </c>
      <c r="AR211" s="602">
        <f>+INPUT!CO213</f>
        <v>171</v>
      </c>
      <c r="AS211" s="612">
        <f>+INPUT!CP213</f>
        <v>27.611940298507463</v>
      </c>
      <c r="AT211" s="602">
        <f>+INPUT!CQ213</f>
        <v>111</v>
      </c>
      <c r="AU211" s="612">
        <f>+INPUT!CR213</f>
        <v>-5.9322033898305051</v>
      </c>
      <c r="AV211" s="602">
        <f>+INPUT!CS213</f>
        <v>140</v>
      </c>
      <c r="AW211" s="612">
        <f>+INPUT!CT213</f>
        <v>-4.1095890410959015</v>
      </c>
      <c r="AX211" s="602">
        <f>+INPUT!CU213</f>
        <v>156</v>
      </c>
      <c r="AY211" s="612">
        <f>+INPUT!CV213</f>
        <v>-9.3023255813953512</v>
      </c>
      <c r="AZ211" s="602">
        <f>+INPUT!CW213</f>
        <v>147</v>
      </c>
      <c r="BA211" s="612">
        <f>+INPUT!CX213</f>
        <v>-14.035087719298247</v>
      </c>
      <c r="BB211" s="602">
        <f>+INPUT!CY213</f>
        <v>110</v>
      </c>
      <c r="BC211" s="612">
        <f>+INPUT!CZ213</f>
        <v>-0.90090090090090769</v>
      </c>
      <c r="BD211" s="602">
        <f>+INPUT!DA213</f>
        <v>225</v>
      </c>
      <c r="BE211" s="612">
        <f>+INPUT!DB213</f>
        <v>60.714285714285722</v>
      </c>
      <c r="BF211" s="602">
        <f>+INPUT!DC213</f>
        <v>228</v>
      </c>
      <c r="BG211" s="612">
        <f>+INPUT!DD213</f>
        <v>46.153846153846132</v>
      </c>
      <c r="BH211" s="602">
        <f>+INPUT!DE213</f>
        <v>279</v>
      </c>
      <c r="BI211" s="612">
        <f>+INPUT!DF213</f>
        <v>89.795918367346957</v>
      </c>
      <c r="BJ211" s="602">
        <f>+INPUT!DG213</f>
        <v>237</v>
      </c>
      <c r="BK211" s="612" t="str">
        <f>+INPUT!DH213</f>
        <v>NM</v>
      </c>
      <c r="BL211" s="602">
        <f>+INPUT!DI213</f>
        <v>295</v>
      </c>
      <c r="BM211" s="612">
        <f>+INPUT!DJ213</f>
        <v>31.111111111111114</v>
      </c>
      <c r="BN211" s="602">
        <f>+INPUT!DK213</f>
        <v>364</v>
      </c>
      <c r="BO211" s="612">
        <f>+INPUT!DL213</f>
        <v>59.649122807017562</v>
      </c>
      <c r="BP211" s="602">
        <f>+INPUT!DM213</f>
        <v>286</v>
      </c>
      <c r="BQ211" s="612">
        <f>+INPUT!DN213</f>
        <v>2.5089605734766991</v>
      </c>
      <c r="BR211" s="602">
        <f>+INPUT!DO213</f>
        <v>256</v>
      </c>
      <c r="BS211" s="612">
        <f>+INPUT!DP213</f>
        <v>8.0168776371307899</v>
      </c>
      <c r="BT211" s="602">
        <f>+INPUT!DQ213</f>
        <v>309</v>
      </c>
      <c r="BU211" s="612">
        <f>+INPUT!DR213</f>
        <v>4.7457627118644012</v>
      </c>
      <c r="BV211" s="602">
        <f>+INPUT!DS213</f>
        <v>284</v>
      </c>
      <c r="BW211" s="612">
        <f>+INPUT!DT213</f>
        <v>-21.978021978021971</v>
      </c>
      <c r="BX211" s="602">
        <f>+INPUT!DU213</f>
        <v>237</v>
      </c>
      <c r="BY211" s="612">
        <f>+INPUT!DV213</f>
        <v>-17.132867132867133</v>
      </c>
      <c r="BZ211" s="602">
        <f>+INPUT!DW213</f>
        <v>242</v>
      </c>
      <c r="CA211" s="612">
        <f>+INPUT!DX213</f>
        <v>-5.46875</v>
      </c>
      <c r="CB211" s="602">
        <f>+INPUT!DY213</f>
        <v>168</v>
      </c>
      <c r="CC211" s="612">
        <f>+INPUT!DZ213</f>
        <v>-45.631067961165051</v>
      </c>
      <c r="CD211" s="602">
        <f>+INPUT!EA213</f>
        <v>219</v>
      </c>
      <c r="CE211" s="612">
        <f>+INPUT!EB213</f>
        <v>-22.887323943661968</v>
      </c>
      <c r="CF211" s="602">
        <f>+INPUT!EC213</f>
        <v>236</v>
      </c>
      <c r="CG211" s="612">
        <f>+INPUT!ED213</f>
        <v>-0.4219409282700326</v>
      </c>
      <c r="CH211" s="602">
        <f>+INPUT!EE213</f>
        <v>239</v>
      </c>
      <c r="CI211" s="612">
        <f>+INPUT!EF213</f>
        <v>-1.239669421487605</v>
      </c>
      <c r="CJ211" s="602">
        <f>+INPUT!EG213</f>
        <v>318</v>
      </c>
      <c r="CK211" s="612">
        <f>+INPUT!EH213</f>
        <v>89.285714285714278</v>
      </c>
      <c r="CL211" s="602">
        <f>+INPUT!EI213</f>
        <v>397</v>
      </c>
      <c r="CM211" s="612">
        <f>+INPUT!EJ213</f>
        <v>81.278538812785399</v>
      </c>
      <c r="CN211" s="602">
        <f>+INPUT!EK213</f>
        <v>308</v>
      </c>
      <c r="CO211" s="612">
        <f>+INPUT!EL213</f>
        <v>30.508474576271198</v>
      </c>
      <c r="CP211" s="602">
        <f>+INPUT!EM213</f>
        <v>248</v>
      </c>
      <c r="CQ211" s="612">
        <f>+INPUT!EN213</f>
        <v>3.7656903765690402</v>
      </c>
      <c r="CR211" s="602">
        <f>+INPUT!EO213</f>
        <v>291</v>
      </c>
      <c r="CS211" s="612">
        <f>+INPUT!EP213</f>
        <v>-8.4905660377358458</v>
      </c>
      <c r="CT211" s="602">
        <f>+INPUT!EQ213</f>
        <v>307.55725752286753</v>
      </c>
      <c r="CU211" s="612">
        <f>+INPUT!ER213</f>
        <v>-22.529658054693314</v>
      </c>
      <c r="CV211" s="602">
        <f>+INPUT!ES213</f>
        <v>285.4264931648413</v>
      </c>
      <c r="CW211" s="612">
        <f>+INPUT!ET213</f>
        <v>-7.3290606607658049</v>
      </c>
      <c r="CX211" s="602">
        <f>+INPUT!EU213</f>
        <v>264.82675395724391</v>
      </c>
      <c r="CY211" s="612">
        <f>+INPUT!EV213</f>
        <v>6.7849814343725399</v>
      </c>
      <c r="CZ211" s="602">
        <f>+INPUT!EW213</f>
        <v>252.00711319519451</v>
      </c>
      <c r="DA211" s="612">
        <f>+INPUT!EX213</f>
        <v>-13.399617458696042</v>
      </c>
      <c r="DB211" s="602"/>
      <c r="DC211" s="602">
        <f>+INPUT!FP213</f>
        <v>498</v>
      </c>
      <c r="DD211" s="612">
        <f>+INPUT!FQ213</f>
        <v>49.101796407185645</v>
      </c>
      <c r="DE211" s="602">
        <f>+INPUT!FR213</f>
        <v>510</v>
      </c>
      <c r="DF211" s="612">
        <f>+INPUT!FS213</f>
        <v>2.409638554216869</v>
      </c>
      <c r="DG211" s="602">
        <f>+INPUT!FT213</f>
        <v>482</v>
      </c>
      <c r="DH211" s="612">
        <f>+INPUT!FU213</f>
        <v>-5.4901960784313815</v>
      </c>
      <c r="DI211" s="602">
        <f>+INPUT!FV213</f>
        <v>535</v>
      </c>
      <c r="DJ211" s="612">
        <f>+INPUT!FW213</f>
        <v>10.99585062240665</v>
      </c>
      <c r="DK211" s="602">
        <f>+INPUT!FX213</f>
        <v>491</v>
      </c>
      <c r="DL211" s="612">
        <f>+INPUT!FY213</f>
        <v>-8.2242990654205528</v>
      </c>
      <c r="DM211" s="602">
        <f>+INPUT!FZ213</f>
        <v>565</v>
      </c>
      <c r="DN211" s="612">
        <f>+INPUT!GA213</f>
        <v>15.071283095723004</v>
      </c>
      <c r="DO211" s="602">
        <f>+INPUT!GB213</f>
        <v>594</v>
      </c>
      <c r="DP211" s="612">
        <f>+INPUT!GC213</f>
        <v>5.132743362831846</v>
      </c>
      <c r="DQ211" s="602">
        <f>+INPUT!GD213</f>
        <v>638</v>
      </c>
      <c r="DR211" s="612">
        <f>+INPUT!GE213</f>
        <v>7.407407407407419</v>
      </c>
      <c r="DS211" s="602">
        <f>+INPUT!GF213</f>
        <v>1039</v>
      </c>
      <c r="DT211" s="612">
        <f>+INPUT!GG213</f>
        <v>62.852664576802511</v>
      </c>
      <c r="DU211" s="602">
        <f>+INPUT!GH213</f>
        <v>1215</v>
      </c>
      <c r="DV211" s="612">
        <f>+INPUT!GI213</f>
        <v>16.939364773820984</v>
      </c>
      <c r="DW211" s="602">
        <f>+INPUT!GJ213</f>
        <v>931</v>
      </c>
      <c r="DX211" s="612">
        <f>+INPUT!GK213</f>
        <v>-23.374485596707814</v>
      </c>
      <c r="DY211" s="602">
        <f>+INPUT!GL213</f>
        <v>1012</v>
      </c>
      <c r="DZ211" s="612">
        <f>+INPUT!GM213</f>
        <v>8.7003222341568147</v>
      </c>
      <c r="EA211" s="602">
        <f>+INPUT!GN213</f>
        <v>1244</v>
      </c>
      <c r="EB211" s="612">
        <f>+INPUT!GO213</f>
        <v>22.92490118577075</v>
      </c>
      <c r="EC211" s="602">
        <f>+INPUT!GP213</f>
        <v>1109.8176178401463</v>
      </c>
      <c r="ED211" s="612">
        <f>+INPUT!GQ213</f>
        <v>-10.786365125390162</v>
      </c>
      <c r="EE211" s="602">
        <f>+INPUT!GR213</f>
        <v>1138.8525066855709</v>
      </c>
      <c r="EF211" s="612">
        <f>+INPUT!GS213</f>
        <v>2.6161856127253031</v>
      </c>
      <c r="EG211" s="602">
        <f>+INPUT!GT213</f>
        <v>1162.3174196138971</v>
      </c>
      <c r="EH211" s="612">
        <f>+INPUT!GU213</f>
        <v>2.0603996382829735</v>
      </c>
      <c r="EI211" s="602">
        <f>+INPUT!GV213</f>
        <v>1186.1877959747781</v>
      </c>
      <c r="EJ211" s="612">
        <f>+INPUT!GW213</f>
        <v>2.0536882574478028</v>
      </c>
      <c r="EK211" s="602">
        <f>+INPUT!GX213</f>
        <v>1210.4694135748559</v>
      </c>
      <c r="EL211" s="612">
        <f>+INPUT!GY213</f>
        <v>2.0470297943104185</v>
      </c>
      <c r="EM211" s="612">
        <f>+INPUT!GZ213</f>
        <v>-0.54498483671280296</v>
      </c>
    </row>
    <row r="212" spans="1:144" ht="12.75" hidden="1" customHeight="1" outlineLevel="2" x14ac:dyDescent="0.2">
      <c r="A212" s="582" t="s">
        <v>683</v>
      </c>
      <c r="B212" s="583">
        <f>(B197+B198+B199+B200-B204-B205-B206-B207-B208)-B211</f>
        <v>0</v>
      </c>
      <c r="C212" s="584"/>
      <c r="D212" s="583">
        <f>(D197+D198+D199+D200-D204-D205-D206-D207-D208)-D211</f>
        <v>0</v>
      </c>
      <c r="E212" s="584"/>
      <c r="F212" s="583">
        <f>(F197+F198+F199+F200-F204-F205-F206-F207-F208)-F211</f>
        <v>0</v>
      </c>
      <c r="G212" s="584"/>
      <c r="H212" s="583">
        <f>(H197+H198+H199+H200-H204-H205-H206-H207-H208)-H211</f>
        <v>0</v>
      </c>
      <c r="I212" s="584"/>
      <c r="J212" s="583">
        <f>(J197+J198+J199+J200-J204-J205-J206-J207-J208)-J211</f>
        <v>0</v>
      </c>
      <c r="K212" s="584"/>
      <c r="L212" s="583">
        <f>(L197+L198+L199+L200-L204-L205-L206-L207-L208)-L211</f>
        <v>0</v>
      </c>
      <c r="M212" s="584"/>
      <c r="N212" s="583">
        <f>(N197+N198+N199+N200-N204-N205-N206-N207-N208)-N211</f>
        <v>0</v>
      </c>
      <c r="O212" s="584"/>
      <c r="P212" s="583">
        <f>(P197+P198+P199+P200-P204-P205-P206-P207-P208)-P211</f>
        <v>0</v>
      </c>
      <c r="Q212" s="584"/>
      <c r="R212" s="583">
        <f>(R197+R198+R199+R200-R204-R205-R206-R207-R208)-R211</f>
        <v>0</v>
      </c>
      <c r="S212" s="584"/>
      <c r="T212" s="583">
        <f>(T197+T198+T199+T200-T204-T205-T206-T207-T208)-T211</f>
        <v>0</v>
      </c>
      <c r="U212" s="584"/>
      <c r="V212" s="583">
        <f>(V197+V198+V199+V200-V204-V205-V206-V207-V208)-V211</f>
        <v>0</v>
      </c>
      <c r="W212" s="584"/>
      <c r="X212" s="583">
        <f>(X197+X198+X199+X200-X204-X205-X206-X207-X208)-X211</f>
        <v>0</v>
      </c>
      <c r="Y212" s="584"/>
      <c r="Z212" s="583">
        <f>(Z197+Z198+Z199+Z200-Z204-Z205-Z206-Z207-Z208)-Z211</f>
        <v>0</v>
      </c>
      <c r="AA212" s="584"/>
      <c r="AB212" s="583">
        <f>(AB197+AB198+AB199+AB200-AB204-AB205-AB206-AB207-AB208)-AB211</f>
        <v>0</v>
      </c>
      <c r="AC212" s="584"/>
      <c r="AD212" s="583">
        <f>(AD197+AD198+AD199+AD200-AD204-AD205-AD206-AD207-AD208)-AD211</f>
        <v>0</v>
      </c>
      <c r="AE212" s="584"/>
      <c r="AF212" s="583">
        <f>(AF197+AF198+AF199+AF200-AF204-AF205-AF206-AF207-AF208)-AF211</f>
        <v>0</v>
      </c>
      <c r="AG212" s="584"/>
      <c r="AH212" s="583">
        <f>(AH197+AH198+AH199+AH200-AH204-AH205-AH206-AH207-AH208)-AH211</f>
        <v>0</v>
      </c>
      <c r="AI212" s="584"/>
      <c r="AJ212" s="583">
        <f>(AJ197+AJ198+AJ199+AJ200-AJ204-AJ205-AJ206-AJ207-AJ208)-AJ211</f>
        <v>0</v>
      </c>
      <c r="AK212" s="584"/>
      <c r="AL212" s="583">
        <f>(AL197+AL198+AL199+AL200-AL204-AL205-AL206-AL207-AL208)-AL211</f>
        <v>0</v>
      </c>
      <c r="AM212" s="584"/>
      <c r="AN212" s="583">
        <f>(AN197+AN198+AN199+AN200-AN204-AN205-AN206-AN207-AN208)-AN211</f>
        <v>0</v>
      </c>
      <c r="AO212" s="584"/>
      <c r="AP212" s="583">
        <f>(AP197+AP198+AP199+AP200-AP204-AP205-AP206-AP207-AP208)-AP211</f>
        <v>0</v>
      </c>
      <c r="AQ212" s="584"/>
      <c r="AR212" s="583">
        <f>(AR197+AR198+AR199+AR200-AR204-AR205-AR206-AR207-AR208)-AR211</f>
        <v>0</v>
      </c>
      <c r="AS212" s="584"/>
      <c r="AT212" s="583">
        <f>(AT197+AT198+AT199+AT200-AT204-AT205-AT206-AT207-AT208)-AT211</f>
        <v>0</v>
      </c>
      <c r="AU212" s="584"/>
      <c r="AV212" s="583">
        <f>(AV197+AV198+AV199+AV200-AV204-AV205-AV206-AV207-AV208)-AV211</f>
        <v>0</v>
      </c>
      <c r="AW212" s="584"/>
      <c r="AX212" s="583">
        <f>(AX197+AX198+AX199+AX200-AX204-AX205-AX206-AX207-AX208)-AX211</f>
        <v>0</v>
      </c>
      <c r="AY212" s="584"/>
      <c r="AZ212" s="583">
        <f>(AZ197+AZ198+AZ199+AZ200-AZ204-AZ205-AZ206-AZ207-AZ208)-AZ211</f>
        <v>0</v>
      </c>
      <c r="BA212" s="584"/>
      <c r="BB212" s="583">
        <f>(BB197+BB198+BB199+BB200-BB204-BB205-BB206-BB207-BB208)-BB211</f>
        <v>0</v>
      </c>
      <c r="BC212" s="584"/>
      <c r="BD212" s="583">
        <f>(BD197+BD198+BD199+BD200-BD204-BD205-BD206-BD207-BD208)-BD211</f>
        <v>0</v>
      </c>
      <c r="BE212" s="584"/>
      <c r="BF212" s="583">
        <f>(BF197+BF198+BF199+BF200-BF204-BF205-BF206-BF207-BF208)-BF211</f>
        <v>0</v>
      </c>
      <c r="BG212" s="584"/>
      <c r="BH212" s="583">
        <f>(BH197+BH198+BH199+BH200-BH204-BH205-BH206-BH207-BH208)-BH211</f>
        <v>0</v>
      </c>
      <c r="BI212" s="584"/>
      <c r="BJ212" s="583">
        <f>(BJ197+BJ198+BJ199+BJ200-BJ204-BJ205-BJ206-BJ207-BJ208)-BJ211</f>
        <v>0</v>
      </c>
      <c r="BK212" s="584"/>
      <c r="BL212" s="583">
        <f>(BL197+BL198+BL199+BL200-BL204-BL205-BL206-BL207-BL208)-BL211</f>
        <v>0</v>
      </c>
      <c r="BM212" s="584"/>
      <c r="BN212" s="583">
        <f>(BN197+BN198+BN199+BN200-BN204-BN205-BN206-BN207-BN208)-BN211</f>
        <v>0</v>
      </c>
      <c r="BO212" s="584"/>
      <c r="BP212" s="583">
        <f>(BP197+BP198+BP199+BP200-BP204-BP205-BP206-BP207-BP208)-BP211</f>
        <v>0</v>
      </c>
      <c r="BQ212" s="584"/>
      <c r="BR212" s="583">
        <f>(BR197+BR198+BR199+BR200-BR204-BR205-BR206-BR207-BR208)-BR211</f>
        <v>0</v>
      </c>
      <c r="BS212" s="584"/>
      <c r="BT212" s="583">
        <f>(BT197+BT198+BT199+BT200-BT204-BT205-BT206-BT207-BT208)-BT211</f>
        <v>0</v>
      </c>
      <c r="BU212" s="584"/>
      <c r="BV212" s="583">
        <f>(BV197+BV198+BV199+BV200-BV204-BV205-BV206-BV207-BV208)-BV211</f>
        <v>0</v>
      </c>
      <c r="BW212" s="584"/>
      <c r="BX212" s="583">
        <f>(BX197+BX198+BX199+BX200-BX204-BX205-BX206-BX207-BX208)-BX211</f>
        <v>0</v>
      </c>
      <c r="BY212" s="584"/>
      <c r="BZ212" s="583">
        <f>(BZ197+BZ198+BZ199+BZ200-BZ204-BZ205-BZ206-BZ207-BZ208)-BZ211</f>
        <v>0</v>
      </c>
      <c r="CA212" s="584"/>
      <c r="CB212" s="583">
        <f>(CB197+CB198+CB199+CB200-CB204-CB205-CB206-CB207-CB208)-CB211</f>
        <v>0</v>
      </c>
      <c r="CC212" s="584"/>
      <c r="CD212" s="583">
        <f>(CD197+CD198+CD199+CD200-CD204-CD205-CD206-CD207-CD208)-CD211</f>
        <v>0</v>
      </c>
      <c r="CE212" s="584"/>
      <c r="CF212" s="583">
        <f>(CF197+CF198+CF199+CF200-CF204-CF205-CF206-CF207-CF208)-CF211</f>
        <v>0</v>
      </c>
      <c r="CG212" s="584"/>
      <c r="CH212" s="583">
        <f>(CH197+CH198+CH199+CH200-CH204-CH205-CH206-CH207-CH208)-CH211</f>
        <v>0</v>
      </c>
      <c r="CI212" s="584"/>
      <c r="CJ212" s="583">
        <f>(CJ197+CJ198+CJ199+CJ200-CJ204-CJ205-CJ206-CJ207-CJ208)-CJ211</f>
        <v>0</v>
      </c>
      <c r="CK212" s="584"/>
      <c r="CL212" s="583">
        <f>(CL197+CL198+CL199+CL200-CL204-CL205-CL206-CL207-CL208)-CL211</f>
        <v>0</v>
      </c>
      <c r="CM212" s="584"/>
      <c r="CN212" s="583">
        <f>(CN197+CN198+CN199+CN200-CN204-CN205-CN206-CN207-CN208)-CN211</f>
        <v>0</v>
      </c>
      <c r="CO212" s="584"/>
      <c r="CP212" s="583">
        <f>(CP197+CP198+CP199+CP200-CP204-CP205-CP206-CP207-CP208)-CP211</f>
        <v>0</v>
      </c>
      <c r="CQ212" s="584"/>
      <c r="CR212" s="583">
        <f>(CR197+CR198+CR199+CR200-CR204-CR205-CR206-CR207-CR208)-CR211</f>
        <v>0</v>
      </c>
      <c r="CS212" s="584"/>
      <c r="CT212" s="583">
        <f>(CT197+CT198+CT199+CT200-CT204-CT205-CT206-CT207-CT208)-CT211</f>
        <v>0</v>
      </c>
      <c r="CU212" s="584"/>
      <c r="CV212" s="583">
        <f>(CV197+CV198+CV199+CV200-CV204-CV205-CV206-CV207-CV208)-CV211</f>
        <v>0</v>
      </c>
      <c r="CW212" s="584"/>
      <c r="CX212" s="583">
        <f>(CX197+CX198+CX199+CX200-CX204-CX205-CX206-CX207-CX208)-CX211</f>
        <v>0</v>
      </c>
      <c r="CY212" s="584"/>
      <c r="CZ212" s="583">
        <f>(CZ197+CZ198+CZ199+CZ200-CZ204-CZ205-CZ206-CZ207-CZ208)-CZ211</f>
        <v>0</v>
      </c>
      <c r="DA212" s="584"/>
      <c r="DB212" s="583"/>
      <c r="DC212" s="583">
        <f>(DC197+DC198+DC199+DC200-DC204-DC205-DC206-DC207-DC208)-DC211</f>
        <v>0</v>
      </c>
      <c r="DD212" s="584"/>
      <c r="DE212" s="583">
        <f>(DE197+DE198+DE199+DE200-DE204-DE205-DE206-DE207-DE208)-DE211</f>
        <v>0</v>
      </c>
      <c r="DF212" s="584"/>
      <c r="DG212" s="583">
        <f>(DG197+DG198+DG199+DG200-DG204-DG205-DG206-DG207-DG208)-DG211</f>
        <v>0</v>
      </c>
      <c r="DH212" s="584"/>
      <c r="DI212" s="583">
        <f>(DI197+DI198+DI199+DI200-DI204-DI205-DI206-DI207-DI208)-DI211</f>
        <v>0</v>
      </c>
      <c r="DJ212" s="584"/>
      <c r="DK212" s="583">
        <f>(DK197+DK198+DK199+DK200-DK204-DK205-DK206-DK207-DK208)-DK211</f>
        <v>0</v>
      </c>
      <c r="DL212" s="584"/>
      <c r="DM212" s="583">
        <f>(DM197+DM198+DM199+DM200-DM204-DM205-DM206-DM207-DM208)-DM211</f>
        <v>0</v>
      </c>
      <c r="DN212" s="584"/>
      <c r="DO212" s="583">
        <f>(DO197+DO198+DO199+DO200-DO204-DO205-DO206-DO207-DO208)-DO211</f>
        <v>0</v>
      </c>
      <c r="DP212" s="584"/>
      <c r="DQ212" s="583">
        <f>(DQ197+DQ198+DQ199+DQ200-DQ204-DQ205-DQ206-DQ207-DQ208)-DQ211</f>
        <v>0</v>
      </c>
      <c r="DR212" s="584"/>
      <c r="DS212" s="583">
        <f>(DS197+DS198+DS199+DS200-DS204-DS205-DS206-DS207-DS208)-DS211</f>
        <v>0</v>
      </c>
      <c r="DT212" s="584"/>
      <c r="DU212" s="583">
        <f>(DU197+DU198+DU199+DU200-DU204-DU205-DU206-DU207-DU208)-DU211</f>
        <v>0</v>
      </c>
      <c r="DV212" s="584"/>
      <c r="DW212" s="583">
        <f>(DW197+DW198+DW199+DW200-DW204-DW205-DW206-DW207-DW208)-DW211</f>
        <v>0</v>
      </c>
      <c r="DX212" s="584"/>
      <c r="DY212" s="583">
        <f>(DY197+DY198+DY199+DY200-DY204-DY205-DY206-DY207-DY208)-DY211</f>
        <v>0</v>
      </c>
      <c r="DZ212" s="584"/>
      <c r="EA212" s="583">
        <f>(EA197+EA198+EA199+EA200-EA204-EA205-EA206-EA207-EA208)-EA211</f>
        <v>0</v>
      </c>
      <c r="EB212" s="584"/>
      <c r="EC212" s="583">
        <f>(EC197+EC198+EC199+EC200-EC204-EC205-EC206-EC207-EC208)-EC211</f>
        <v>0</v>
      </c>
      <c r="ED212" s="584"/>
      <c r="EE212" s="583">
        <f>(EE197+EE198+EE199+EE200-EE204-EE205-EE206-EE207-EE208)-EE211</f>
        <v>0</v>
      </c>
      <c r="EF212" s="584"/>
      <c r="EG212" s="583">
        <f>(EG197+EG198+EG199+EG200-EG204-EG205-EG206-EG207-EG208)-EG211</f>
        <v>0</v>
      </c>
      <c r="EH212" s="584"/>
      <c r="EI212" s="583">
        <f>(EI197+EI198+EI199+EI200-EI204-EI205-EI206-EI207-EI208)-EI211</f>
        <v>0</v>
      </c>
      <c r="EJ212" s="584"/>
      <c r="EK212" s="583">
        <f>(EK197+EK198+EK199+EK200-EK204-EK205-EK206-EK207-EK208)-EK211</f>
        <v>0</v>
      </c>
      <c r="EL212" s="584"/>
      <c r="EM212" s="583"/>
      <c r="EN212" s="584"/>
    </row>
    <row r="213" spans="1:144" ht="12.75" hidden="1" customHeight="1" outlineLevel="1" x14ac:dyDescent="0.2">
      <c r="A213" s="613"/>
      <c r="B213" s="605"/>
      <c r="C213" s="555"/>
      <c r="D213" s="605"/>
      <c r="E213" s="555"/>
      <c r="F213" s="605"/>
      <c r="G213" s="555"/>
      <c r="H213" s="605"/>
      <c r="I213" s="555"/>
      <c r="J213" s="605"/>
      <c r="K213" s="555"/>
      <c r="L213" s="605"/>
      <c r="M213" s="555"/>
      <c r="N213" s="605"/>
      <c r="O213" s="555"/>
      <c r="P213" s="605"/>
      <c r="Q213" s="555"/>
      <c r="R213" s="605"/>
      <c r="S213" s="555"/>
      <c r="T213" s="605"/>
      <c r="U213" s="555"/>
      <c r="V213" s="605"/>
      <c r="W213" s="555"/>
      <c r="X213" s="605"/>
      <c r="Y213" s="555"/>
      <c r="Z213" s="605"/>
      <c r="AA213" s="555"/>
      <c r="AB213" s="605"/>
      <c r="AC213" s="555"/>
      <c r="AD213" s="605"/>
      <c r="AE213" s="555"/>
      <c r="AF213" s="605"/>
      <c r="AG213" s="555"/>
      <c r="AH213" s="605"/>
      <c r="AI213" s="555"/>
      <c r="AJ213" s="605"/>
      <c r="AK213" s="555"/>
      <c r="AL213" s="605"/>
      <c r="AM213" s="555"/>
      <c r="AN213" s="605"/>
      <c r="AO213" s="555"/>
      <c r="AP213" s="605"/>
      <c r="AQ213" s="555"/>
      <c r="AR213" s="605"/>
      <c r="AS213" s="555"/>
      <c r="AT213" s="605"/>
      <c r="AU213" s="555"/>
      <c r="AV213" s="605"/>
      <c r="AW213" s="555"/>
      <c r="AX213" s="605"/>
      <c r="AY213" s="555"/>
      <c r="AZ213" s="605"/>
      <c r="BA213" s="555"/>
      <c r="BB213" s="605"/>
      <c r="BC213" s="555"/>
      <c r="BD213" s="605"/>
      <c r="BE213" s="555"/>
      <c r="BF213" s="605"/>
      <c r="BG213" s="555"/>
      <c r="BH213" s="605"/>
      <c r="BI213" s="555"/>
      <c r="BJ213" s="605"/>
      <c r="BK213" s="555"/>
      <c r="BL213" s="605"/>
      <c r="BM213" s="555"/>
      <c r="BN213" s="605"/>
      <c r="BO213" s="555"/>
      <c r="BP213" s="605"/>
      <c r="BQ213" s="555"/>
      <c r="BR213" s="605"/>
      <c r="BS213" s="555"/>
      <c r="BT213" s="605"/>
      <c r="BU213" s="555"/>
      <c r="BV213" s="605"/>
      <c r="BW213" s="555"/>
      <c r="BX213" s="605"/>
      <c r="BY213" s="555"/>
      <c r="BZ213" s="605"/>
      <c r="CA213" s="555"/>
      <c r="CB213" s="605"/>
      <c r="CC213" s="555"/>
      <c r="CD213" s="605"/>
      <c r="CE213" s="555"/>
      <c r="CF213" s="605"/>
      <c r="CG213" s="555"/>
      <c r="CH213" s="605"/>
      <c r="CI213" s="555"/>
      <c r="CJ213" s="605"/>
      <c r="CK213" s="555"/>
      <c r="CL213" s="605"/>
      <c r="CM213" s="555"/>
      <c r="CN213" s="605"/>
      <c r="CO213" s="555"/>
      <c r="CP213" s="605"/>
      <c r="CQ213" s="555"/>
      <c r="CR213" s="605"/>
      <c r="CS213" s="555"/>
      <c r="CT213" s="605"/>
      <c r="CU213" s="555"/>
      <c r="CV213" s="605"/>
      <c r="CW213" s="555"/>
      <c r="CX213" s="605"/>
      <c r="CY213" s="555"/>
      <c r="CZ213" s="605"/>
      <c r="DA213" s="555"/>
      <c r="DB213" s="605"/>
      <c r="DC213" s="605"/>
      <c r="DD213" s="555"/>
      <c r="DE213" s="605"/>
      <c r="DF213" s="555"/>
      <c r="DG213" s="605"/>
      <c r="DH213" s="555"/>
      <c r="DI213" s="605"/>
      <c r="DJ213" s="555"/>
      <c r="DK213" s="605"/>
      <c r="DL213" s="555"/>
      <c r="DM213" s="605"/>
      <c r="DN213" s="555"/>
      <c r="DO213" s="605"/>
      <c r="DP213" s="555"/>
      <c r="DQ213" s="605"/>
      <c r="DR213" s="555"/>
      <c r="DS213" s="605"/>
      <c r="DT213" s="555"/>
      <c r="DU213" s="605"/>
      <c r="DV213" s="555"/>
      <c r="DW213" s="605"/>
      <c r="DX213" s="555"/>
      <c r="DY213" s="605"/>
      <c r="DZ213" s="555"/>
      <c r="EA213" s="605"/>
      <c r="EB213" s="555"/>
      <c r="EC213" s="605"/>
      <c r="ED213" s="555"/>
      <c r="EE213" s="605"/>
      <c r="EF213" s="555"/>
      <c r="EG213" s="605"/>
      <c r="EH213" s="555"/>
      <c r="EI213" s="605"/>
      <c r="EJ213" s="555"/>
      <c r="EK213" s="605"/>
      <c r="EL213" s="555"/>
      <c r="EM213" s="555"/>
    </row>
    <row r="214" spans="1:144" ht="12.75" hidden="1" customHeight="1" outlineLevel="1" x14ac:dyDescent="0.2">
      <c r="A214" s="575" t="s">
        <v>255</v>
      </c>
      <c r="B214" s="605"/>
      <c r="C214" s="555"/>
      <c r="D214" s="605"/>
      <c r="E214" s="555"/>
      <c r="F214" s="605"/>
      <c r="G214" s="555"/>
      <c r="H214" s="605"/>
      <c r="I214" s="555"/>
      <c r="J214" s="605"/>
      <c r="K214" s="555"/>
      <c r="L214" s="605"/>
      <c r="M214" s="555"/>
      <c r="N214" s="605"/>
      <c r="O214" s="555"/>
      <c r="P214" s="605"/>
      <c r="Q214" s="555"/>
      <c r="R214" s="605"/>
      <c r="S214" s="555"/>
      <c r="T214" s="605"/>
      <c r="U214" s="555"/>
      <c r="V214" s="605"/>
      <c r="W214" s="555"/>
      <c r="X214" s="605"/>
      <c r="Y214" s="555"/>
      <c r="Z214" s="605"/>
      <c r="AA214" s="555"/>
      <c r="AB214" s="605"/>
      <c r="AC214" s="555"/>
      <c r="AD214" s="605"/>
      <c r="AE214" s="555"/>
      <c r="AF214" s="605"/>
      <c r="AG214" s="555"/>
      <c r="AH214" s="605"/>
      <c r="AI214" s="555"/>
      <c r="AJ214" s="605"/>
      <c r="AK214" s="555"/>
      <c r="AL214" s="605"/>
      <c r="AM214" s="555"/>
      <c r="AN214" s="605"/>
      <c r="AO214" s="555"/>
      <c r="AP214" s="605"/>
      <c r="AQ214" s="555"/>
      <c r="AR214" s="605"/>
      <c r="AS214" s="555"/>
      <c r="AT214" s="605"/>
      <c r="AU214" s="555"/>
      <c r="AV214" s="605"/>
      <c r="AW214" s="555"/>
      <c r="AX214" s="605"/>
      <c r="AY214" s="555"/>
      <c r="AZ214" s="605"/>
      <c r="BA214" s="555"/>
      <c r="BB214" s="605"/>
      <c r="BC214" s="555"/>
      <c r="BD214" s="605"/>
      <c r="BE214" s="555"/>
      <c r="BF214" s="605"/>
      <c r="BG214" s="555"/>
      <c r="BH214" s="605"/>
      <c r="BI214" s="555"/>
      <c r="BJ214" s="605"/>
      <c r="BK214" s="555"/>
      <c r="BL214" s="605"/>
      <c r="BM214" s="555"/>
      <c r="BN214" s="605"/>
      <c r="BO214" s="555"/>
      <c r="BP214" s="605"/>
      <c r="BQ214" s="555"/>
      <c r="BR214" s="605"/>
      <c r="BS214" s="555"/>
      <c r="BT214" s="605"/>
      <c r="BU214" s="555"/>
      <c r="BV214" s="605"/>
      <c r="BW214" s="555"/>
      <c r="BX214" s="605"/>
      <c r="BY214" s="555"/>
      <c r="BZ214" s="605"/>
      <c r="CA214" s="555"/>
      <c r="CB214" s="605"/>
      <c r="CC214" s="555"/>
      <c r="CD214" s="605"/>
      <c r="CE214" s="555"/>
      <c r="CF214" s="605"/>
      <c r="CG214" s="555"/>
      <c r="CH214" s="605"/>
      <c r="CI214" s="555"/>
      <c r="CJ214" s="605"/>
      <c r="CK214" s="555"/>
      <c r="CL214" s="605"/>
      <c r="CM214" s="555"/>
      <c r="CN214" s="605"/>
      <c r="CO214" s="555"/>
      <c r="CP214" s="605"/>
      <c r="CQ214" s="555"/>
      <c r="CR214" s="605"/>
      <c r="CS214" s="555"/>
      <c r="CT214" s="605"/>
      <c r="CU214" s="555"/>
      <c r="CV214" s="605"/>
      <c r="CW214" s="555"/>
      <c r="CX214" s="605"/>
      <c r="CY214" s="555"/>
      <c r="CZ214" s="605"/>
      <c r="DA214" s="555"/>
      <c r="DB214" s="605"/>
      <c r="DC214" s="605"/>
      <c r="DD214" s="555"/>
      <c r="DE214" s="605"/>
      <c r="DF214" s="555"/>
      <c r="DG214" s="605"/>
      <c r="DH214" s="555"/>
      <c r="DI214" s="605"/>
      <c r="DJ214" s="555"/>
      <c r="DK214" s="605"/>
      <c r="DL214" s="555"/>
      <c r="DM214" s="605"/>
      <c r="DN214" s="555"/>
      <c r="DO214" s="605"/>
      <c r="DP214" s="555"/>
      <c r="DQ214" s="605"/>
      <c r="DR214" s="555"/>
      <c r="DS214" s="605"/>
      <c r="DT214" s="555"/>
      <c r="DU214" s="605"/>
      <c r="DV214" s="555"/>
      <c r="DW214" s="605"/>
      <c r="DX214" s="555"/>
      <c r="DY214" s="605"/>
      <c r="DZ214" s="555"/>
      <c r="EA214" s="605"/>
      <c r="EB214" s="555"/>
      <c r="EC214" s="605"/>
      <c r="ED214" s="555"/>
      <c r="EE214" s="605"/>
      <c r="EF214" s="555"/>
      <c r="EG214" s="605"/>
      <c r="EH214" s="555"/>
      <c r="EI214" s="605"/>
      <c r="EJ214" s="555"/>
      <c r="EK214" s="605"/>
      <c r="EL214" s="555"/>
      <c r="EM214" s="555"/>
    </row>
    <row r="215" spans="1:144" ht="12.75" hidden="1" customHeight="1" outlineLevel="1" x14ac:dyDescent="0.2">
      <c r="A215" s="579" t="str">
        <f>+INPUT!B214</f>
        <v>Pretax Margin</v>
      </c>
      <c r="B215" s="597">
        <f>+INPUT!AY214</f>
        <v>12.998102466793169</v>
      </c>
      <c r="C215" s="577">
        <f>+INPUT!AZ214</f>
        <v>-20.921221766542203</v>
      </c>
      <c r="D215" s="597">
        <f>+INPUT!BA214</f>
        <v>13.61904761904762</v>
      </c>
      <c r="E215" s="577">
        <f>+INPUT!BB214</f>
        <v>-2.9403085177732891</v>
      </c>
      <c r="F215" s="597">
        <f>+INPUT!BC214</f>
        <v>9.8021582733812949</v>
      </c>
      <c r="G215" s="577">
        <f>+INPUT!BD214</f>
        <v>-6.7012753433616723</v>
      </c>
      <c r="H215" s="597">
        <f>+INPUT!BE214</f>
        <v>10.404127257093723</v>
      </c>
      <c r="I215" s="577">
        <f>+INPUT!BF214</f>
        <v>16.960683340734931</v>
      </c>
      <c r="J215" s="597">
        <f>+INPUT!BG214</f>
        <v>12.725709372312984</v>
      </c>
      <c r="K215" s="577">
        <f>+INPUT!BH214</f>
        <v>-2.0956373838110522</v>
      </c>
      <c r="L215" s="597">
        <f>+INPUT!BI214</f>
        <v>12</v>
      </c>
      <c r="M215" s="577">
        <f>+INPUT!BJ214</f>
        <v>-11.888111888111894</v>
      </c>
      <c r="N215" s="597">
        <f>+INPUT!BK214</f>
        <v>5.439330543933055</v>
      </c>
      <c r="O215" s="577">
        <f>+INPUT!BL214</f>
        <v>-44.508848028866446</v>
      </c>
      <c r="P215" s="597">
        <f>+INPUT!BM214</f>
        <v>10.916666666666666</v>
      </c>
      <c r="Q215" s="577">
        <f>+INPUT!BN214</f>
        <v>4.926308539944884</v>
      </c>
      <c r="R215" s="597">
        <f>+INPUT!BO214</f>
        <v>9.7868981846882406</v>
      </c>
      <c r="S215" s="577">
        <f>+INPUT!BP214</f>
        <v>-23.093496021672806</v>
      </c>
      <c r="T215" s="597">
        <f>+INPUT!BQ214</f>
        <v>11.681855840927922</v>
      </c>
      <c r="U215" s="577">
        <f>+INPUT!BR214</f>
        <v>-2.6512013256006526</v>
      </c>
      <c r="V215" s="597">
        <f>+INPUT!BS214</f>
        <v>11.896243291592128</v>
      </c>
      <c r="W215" s="577" t="str">
        <f>+INPUT!BT214</f>
        <v>NM</v>
      </c>
      <c r="X215" s="597">
        <f>+INPUT!BU214</f>
        <v>10.623003194888179</v>
      </c>
      <c r="Y215" s="577">
        <f>+INPUT!BV214</f>
        <v>-2.690047069726603</v>
      </c>
      <c r="Z215" s="597">
        <f>+INPUT!BW214</f>
        <v>11.834319526627219</v>
      </c>
      <c r="AA215" s="577">
        <f>+INPUT!BX214</f>
        <v>20.920022905134545</v>
      </c>
      <c r="AB215" s="597">
        <f>+INPUT!BY214</f>
        <v>8.454106280193237</v>
      </c>
      <c r="AC215" s="577">
        <f>+INPUT!BZ214</f>
        <v>-27.630451913523146</v>
      </c>
      <c r="AD215" s="597">
        <f>+INPUT!CA214</f>
        <v>10.636363636363637</v>
      </c>
      <c r="AE215" s="577">
        <f>+INPUT!CB214</f>
        <v>-10.590567327409431</v>
      </c>
      <c r="AF215" s="597">
        <f>+INPUT!CC214</f>
        <v>11.640211640211639</v>
      </c>
      <c r="AG215" s="577">
        <f>+INPUT!CD214</f>
        <v>9.5755261168794874</v>
      </c>
      <c r="AH215" s="586">
        <f>+INPUT!CE214</f>
        <v>14.791851195748452</v>
      </c>
      <c r="AI215" s="577">
        <f>+INPUT!CF214</f>
        <v>24.991142604074426</v>
      </c>
      <c r="AJ215" s="586">
        <f>+INPUT!CG214</f>
        <v>9.7810218978102181</v>
      </c>
      <c r="AK215" s="577">
        <f>+INPUT!CH214</f>
        <v>15.695516162669449</v>
      </c>
      <c r="AL215" s="586">
        <f>+INPUT!CI214</f>
        <v>8.5755813953488378</v>
      </c>
      <c r="AM215" s="577">
        <f>+INPUT!CJ214</f>
        <v>-19.374875770224605</v>
      </c>
      <c r="AN215" s="586">
        <f>+INPUT!CK214</f>
        <v>11.162079510703364</v>
      </c>
      <c r="AO215" s="577">
        <f>+INPUT!CL214</f>
        <v>-4.1075896580483544</v>
      </c>
      <c r="AP215" s="586">
        <f>+INPUT!CM214</f>
        <v>14.262023217247096</v>
      </c>
      <c r="AQ215" s="577">
        <f>+INPUT!CN214</f>
        <v>-3.5818909444792268</v>
      </c>
      <c r="AR215" s="586">
        <f>+INPUT!CO214</f>
        <v>13.701923076923078</v>
      </c>
      <c r="AS215" s="577">
        <f>+INPUT!CP214</f>
        <v>40.086825487944907</v>
      </c>
      <c r="AT215" s="586">
        <f>+INPUT!CQ214</f>
        <v>9.4790777113578137</v>
      </c>
      <c r="AU215" s="577">
        <f>+INPUT!CR214</f>
        <v>10.535685854477549</v>
      </c>
      <c r="AV215" s="586">
        <f>+INPUT!CS214</f>
        <v>11.235955056179774</v>
      </c>
      <c r="AW215" s="577">
        <f>+INPUT!CT214</f>
        <v>0.66184392796672853</v>
      </c>
      <c r="AX215" s="586">
        <f>+INPUT!CU214</f>
        <v>14.092140921409213</v>
      </c>
      <c r="AY215" s="577">
        <f>+INPUT!CV214</f>
        <v>-1.1911514463981803</v>
      </c>
      <c r="AZ215" s="586">
        <f>+INPUT!CW214</f>
        <v>11.835748792270531</v>
      </c>
      <c r="BA215" s="577">
        <f>+INPUT!CX214</f>
        <v>-13.61979828799052</v>
      </c>
      <c r="BB215" s="586">
        <f>+INPUT!CY214</f>
        <v>9.4664371772805502</v>
      </c>
      <c r="BC215" s="577">
        <f>+INPUT!CZ214</f>
        <v>-0.13335194058086586</v>
      </c>
      <c r="BD215" s="586">
        <f>+INPUT!DA214</f>
        <v>0.6800870511425462</v>
      </c>
      <c r="BE215" s="577" t="str">
        <f>+INPUT!DB214</f>
        <v>NM</v>
      </c>
      <c r="BF215" s="586">
        <f>+INPUT!DC214</f>
        <v>17.065868263473057</v>
      </c>
      <c r="BG215" s="577">
        <f>+INPUT!DD214</f>
        <v>21.102026715799198</v>
      </c>
      <c r="BH215" s="586">
        <f>+INPUT!DE214</f>
        <v>18.34319526627219</v>
      </c>
      <c r="BI215" s="577">
        <f>+INPUT!DF214</f>
        <v>54.981282453809939</v>
      </c>
      <c r="BJ215" s="586">
        <f>+INPUT!DG214</f>
        <v>15.540983606557376</v>
      </c>
      <c r="BK215" s="577">
        <f>+INPUT!DH214</f>
        <v>64.169299552906125</v>
      </c>
      <c r="BL215" s="586">
        <f>+INPUT!DI214</f>
        <v>17.922235722964764</v>
      </c>
      <c r="BM215" s="577" t="str">
        <f>+INPUT!DJ214</f>
        <v>NM</v>
      </c>
      <c r="BN215" s="586">
        <f>+INPUT!DK214</f>
        <v>23.775310254735469</v>
      </c>
      <c r="BO215" s="577">
        <f>+INPUT!DL214</f>
        <v>39.314975878625347</v>
      </c>
      <c r="BP215" s="586">
        <f>+INPUT!DM214</f>
        <v>19.469026548672566</v>
      </c>
      <c r="BQ215" s="577">
        <f>+INPUT!DN214</f>
        <v>6.1375963459891665</v>
      </c>
      <c r="BR215" s="586">
        <f>+INPUT!DO214</f>
        <v>10.680016687526074</v>
      </c>
      <c r="BS215" s="577">
        <f>+INPUT!DP214</f>
        <v>-31.278373635117035</v>
      </c>
      <c r="BT215" s="586">
        <f>+INPUT!DQ214</f>
        <v>4.6257485029940124</v>
      </c>
      <c r="BU215" s="577" t="str">
        <f>+INPUT!DR214</f>
        <v>NM</v>
      </c>
      <c r="BV215" s="586">
        <f>+INPUT!DS214</f>
        <v>11.460855528652139</v>
      </c>
      <c r="BW215" s="577" t="str">
        <f>+INPUT!DT214</f>
        <v>NM</v>
      </c>
      <c r="BX215" s="586">
        <f>+INPUT!DU214</f>
        <v>7.4528301886792452</v>
      </c>
      <c r="BY215" s="577" t="str">
        <f>+INPUT!DV214</f>
        <v>NM</v>
      </c>
      <c r="BZ215" s="586">
        <f>+INPUT!DW214</f>
        <v>12.493546721734642</v>
      </c>
      <c r="CA215" s="577">
        <f>+INPUT!DX214</f>
        <v>16.98059176561695</v>
      </c>
      <c r="CB215" s="586">
        <f>+INPUT!DY214</f>
        <v>3.9753904401325131</v>
      </c>
      <c r="CC215" s="577">
        <f>+INPUT!DZ214</f>
        <v>-14.059520582248595</v>
      </c>
      <c r="CD215" s="586">
        <f>+INPUT!EA214</f>
        <v>11.568938193343898</v>
      </c>
      <c r="CE215" s="577">
        <f>+INPUT!EB214</f>
        <v>0.94305930671190197</v>
      </c>
      <c r="CF215" s="586">
        <f>+INPUT!EC214</f>
        <v>10.531012940651495</v>
      </c>
      <c r="CG215" s="577">
        <f>+INPUT!ED214</f>
        <v>41.302198950513713</v>
      </c>
      <c r="CH215" s="586">
        <f>+INPUT!EE214</f>
        <v>4.6552395792754186</v>
      </c>
      <c r="CI215" s="577" t="str">
        <f>+INPUT!EF214</f>
        <v>NM</v>
      </c>
      <c r="CJ215" s="586">
        <f>+INPUT!EG214</f>
        <v>8.8137472283813736</v>
      </c>
      <c r="CK215" s="577" t="str">
        <f>+INPUT!EH214</f>
        <v>NM</v>
      </c>
      <c r="CL215" s="586">
        <f>+INPUT!EI214</f>
        <v>20.495611770779558</v>
      </c>
      <c r="CM215" s="577">
        <f>+INPUT!EJ214</f>
        <v>77.160699004957536</v>
      </c>
      <c r="CN215" s="586">
        <f>+INPUT!EK214</f>
        <v>8.5389520377044636</v>
      </c>
      <c r="CO215" s="577">
        <f>+INPUT!EL214</f>
        <v>-18.916137641967353</v>
      </c>
      <c r="CP215" s="586">
        <f>+INPUT!EM214</f>
        <v>7.6096962258361458</v>
      </c>
      <c r="CQ215" s="577">
        <f>+INPUT!EN214</f>
        <v>63.465190056245916</v>
      </c>
      <c r="CR215" s="586">
        <f>+INPUT!EO214</f>
        <v>5.7738095238095237</v>
      </c>
      <c r="CS215" s="577">
        <f>+INPUT!EP214</f>
        <v>-34.490865528601361</v>
      </c>
      <c r="CT215" s="586">
        <f>+INPUT!EQ214</f>
        <v>9.1942308943033488</v>
      </c>
      <c r="CU215" s="577" t="str">
        <f>+INPUT!ER214</f>
        <v>NM</v>
      </c>
      <c r="CV215" s="586">
        <f>+INPUT!ES214</f>
        <v>8.4545102077176253</v>
      </c>
      <c r="CW215" s="577">
        <f>+INPUT!ET214</f>
        <v>-0.98890156091728443</v>
      </c>
      <c r="CX215" s="586">
        <f>+INPUT!EU214</f>
        <v>7.7694273832103535</v>
      </c>
      <c r="CY215" s="577">
        <f>+INPUT!EV214</f>
        <v>2.0990477495263775</v>
      </c>
      <c r="CZ215" s="586">
        <f>+INPUT!EW214</f>
        <v>7.3227216267015685</v>
      </c>
      <c r="DA215" s="577">
        <f>+INPUT!EX214</f>
        <v>26.826518895449851</v>
      </c>
      <c r="DB215" s="597"/>
      <c r="DC215" s="597">
        <f>+INPUT!FP214</f>
        <v>12.372670807453416</v>
      </c>
      <c r="DD215" s="577">
        <f>+INPUT!FQ214</f>
        <v>19.466656748614568</v>
      </c>
      <c r="DE215" s="597">
        <f>+INPUT!FR214</f>
        <v>11.646494633477964</v>
      </c>
      <c r="DF215" s="577">
        <f>+INPUT!FS214</f>
        <v>-5.8691949804240835</v>
      </c>
      <c r="DG215" s="597">
        <f>+INPUT!FT214</f>
        <v>10.237892948173322</v>
      </c>
      <c r="DH215" s="577">
        <f>+INPUT!FU214</f>
        <v>-12.094640744998102</v>
      </c>
      <c r="DI215" s="597">
        <f>+INPUT!FV214</f>
        <v>11.010495986828566</v>
      </c>
      <c r="DJ215" s="577">
        <f>+INPUT!FW214</f>
        <v>7.5465043692715597</v>
      </c>
      <c r="DK215" s="597">
        <f>+INPUT!FX214</f>
        <v>10.538742219360378</v>
      </c>
      <c r="DL215" s="577">
        <f>+INPUT!FY214</f>
        <v>-4.2845823479026706</v>
      </c>
      <c r="DM215" s="597">
        <f>+INPUT!FZ214</f>
        <v>10.901022573798958</v>
      </c>
      <c r="DN215" s="577">
        <f>+INPUT!GA214</f>
        <v>3.4376052369233179</v>
      </c>
      <c r="DO215" s="597">
        <f>+INPUT!GB214</f>
        <v>12.19462122767399</v>
      </c>
      <c r="DP215" s="577">
        <f>+INPUT!GC214</f>
        <v>11.866764288556269</v>
      </c>
      <c r="DQ215" s="597">
        <f>+INPUT!GD214</f>
        <v>1.7434075693400737</v>
      </c>
      <c r="DR215" s="577" t="str">
        <f>+INPUT!GE214</f>
        <v>NM</v>
      </c>
      <c r="DS215" s="597">
        <f>+INPUT!GF214</f>
        <v>17.23623092236231</v>
      </c>
      <c r="DT215" s="577" t="str">
        <f>+INPUT!GG214</f>
        <v>NM</v>
      </c>
      <c r="DU215" s="597">
        <f>+INPUT!GH214</f>
        <v>10.060445474869587</v>
      </c>
      <c r="DV215" s="577">
        <f>+INPUT!GI214</f>
        <v>-41.63198717756125</v>
      </c>
      <c r="DW215" s="597">
        <f>+INPUT!GJ214</f>
        <v>7.8758142289146429</v>
      </c>
      <c r="DX215" s="577">
        <f>+INPUT!GK214</f>
        <v>-21.715054779751313</v>
      </c>
      <c r="DY215" s="597">
        <f>+INPUT!GL214</f>
        <v>7.8595837216526867</v>
      </c>
      <c r="DZ215" s="577">
        <f>+INPUT!GM214</f>
        <v>-0.2060803720124369</v>
      </c>
      <c r="EA215" s="597">
        <f>+INPUT!GN214</f>
        <v>8.9864913674781466</v>
      </c>
      <c r="EB215" s="577">
        <f>+INPUT!GO214</f>
        <v>14.338006766451201</v>
      </c>
      <c r="EC215" s="597">
        <f>+INPUT!GP214</f>
        <v>8.1777694472638167</v>
      </c>
      <c r="ED215" s="577">
        <f>+INPUT!GQ214</f>
        <v>-8.999306705407534</v>
      </c>
      <c r="EE215" s="597">
        <f>+INPUT!GR214</f>
        <v>8.0794043763198076</v>
      </c>
      <c r="EF215" s="577">
        <f>+INPUT!GS214</f>
        <v>-1.2028349732569268</v>
      </c>
      <c r="EG215" s="597">
        <f>+INPUT!GT214</f>
        <v>7.936218527093625</v>
      </c>
      <c r="EH215" s="577">
        <f>+INPUT!GU214</f>
        <v>-1.7722327359409178</v>
      </c>
      <c r="EI215" s="597">
        <f>+INPUT!GV214</f>
        <v>7.7946745240984967</v>
      </c>
      <c r="EJ215" s="577">
        <f>+INPUT!GW214</f>
        <v>-1.7835194748217731</v>
      </c>
      <c r="EK215" s="597">
        <f>+INPUT!GX214</f>
        <v>7.6547776701187935</v>
      </c>
      <c r="EL215" s="577">
        <f>+INPUT!GY214</f>
        <v>-1.7947747984497511</v>
      </c>
      <c r="EM215" s="577">
        <f>+INPUT!GZ214</f>
        <v>-3.1569443799425834</v>
      </c>
    </row>
    <row r="216" spans="1:144" ht="12.75" hidden="1" customHeight="1" outlineLevel="1" x14ac:dyDescent="0.2">
      <c r="A216" s="575"/>
      <c r="B216" s="580"/>
      <c r="C216" s="577"/>
      <c r="D216" s="580"/>
      <c r="E216" s="577"/>
      <c r="F216" s="580"/>
      <c r="G216" s="577"/>
      <c r="H216" s="580"/>
      <c r="I216" s="577"/>
      <c r="J216" s="580"/>
      <c r="K216" s="577"/>
      <c r="L216" s="580"/>
      <c r="M216" s="577"/>
      <c r="N216" s="580"/>
      <c r="O216" s="577"/>
      <c r="P216" s="580"/>
      <c r="Q216" s="577"/>
      <c r="R216" s="580"/>
      <c r="S216" s="577"/>
      <c r="T216" s="580"/>
      <c r="U216" s="577"/>
      <c r="V216" s="580"/>
      <c r="W216" s="577"/>
      <c r="X216" s="580"/>
      <c r="Y216" s="577"/>
      <c r="Z216" s="580"/>
      <c r="AA216" s="577"/>
      <c r="AB216" s="580"/>
      <c r="AC216" s="577"/>
      <c r="AD216" s="580"/>
      <c r="AE216" s="577"/>
      <c r="AF216" s="580"/>
      <c r="AG216" s="577"/>
      <c r="AH216" s="586"/>
      <c r="AI216" s="577"/>
      <c r="AJ216" s="586"/>
      <c r="AK216" s="577"/>
      <c r="AL216" s="586"/>
      <c r="AM216" s="577"/>
      <c r="AN216" s="586"/>
      <c r="AO216" s="577"/>
      <c r="AP216" s="586"/>
      <c r="AQ216" s="577"/>
      <c r="AR216" s="586"/>
      <c r="AS216" s="577"/>
      <c r="AT216" s="586"/>
      <c r="AU216" s="577"/>
      <c r="AV216" s="586"/>
      <c r="AW216" s="577"/>
      <c r="AX216" s="586"/>
      <c r="AY216" s="577"/>
      <c r="AZ216" s="586"/>
      <c r="BA216" s="577"/>
      <c r="BB216" s="586"/>
      <c r="BC216" s="577"/>
      <c r="BD216" s="586"/>
      <c r="BE216" s="577"/>
      <c r="BF216" s="586"/>
      <c r="BG216" s="577"/>
      <c r="BH216" s="586"/>
      <c r="BI216" s="577"/>
      <c r="BJ216" s="586"/>
      <c r="BK216" s="577"/>
      <c r="BL216" s="586"/>
      <c r="BM216" s="577"/>
      <c r="BN216" s="586"/>
      <c r="BO216" s="577"/>
      <c r="BP216" s="586"/>
      <c r="BQ216" s="577"/>
      <c r="BR216" s="586"/>
      <c r="BS216" s="577"/>
      <c r="BT216" s="586"/>
      <c r="BU216" s="577"/>
      <c r="BV216" s="586"/>
      <c r="BW216" s="577"/>
      <c r="BX216" s="586"/>
      <c r="BY216" s="577"/>
      <c r="BZ216" s="586"/>
      <c r="CA216" s="577"/>
      <c r="CB216" s="586"/>
      <c r="CC216" s="577"/>
      <c r="CD216" s="586"/>
      <c r="CE216" s="577"/>
      <c r="CF216" s="586"/>
      <c r="CG216" s="577"/>
      <c r="CH216" s="586"/>
      <c r="CI216" s="577"/>
      <c r="CJ216" s="586"/>
      <c r="CK216" s="577"/>
      <c r="CL216" s="586"/>
      <c r="CM216" s="577"/>
      <c r="CN216" s="586"/>
      <c r="CO216" s="577"/>
      <c r="CP216" s="586"/>
      <c r="CQ216" s="577"/>
      <c r="CR216" s="586"/>
      <c r="CS216" s="577"/>
      <c r="CT216" s="586"/>
      <c r="CU216" s="577"/>
      <c r="CV216" s="586"/>
      <c r="CW216" s="577"/>
      <c r="CX216" s="586"/>
      <c r="CY216" s="577"/>
      <c r="CZ216" s="586"/>
      <c r="DA216" s="577"/>
      <c r="DB216" s="605"/>
      <c r="DC216" s="580"/>
      <c r="DD216" s="577"/>
      <c r="DE216" s="580"/>
      <c r="DF216" s="577"/>
      <c r="DG216" s="580"/>
      <c r="DH216" s="577"/>
      <c r="DI216" s="580"/>
      <c r="DJ216" s="577"/>
      <c r="DK216" s="580"/>
      <c r="DL216" s="577"/>
      <c r="DM216" s="580"/>
      <c r="DN216" s="577"/>
      <c r="DO216" s="580"/>
      <c r="DP216" s="577"/>
      <c r="DQ216" s="580"/>
      <c r="DR216" s="577"/>
      <c r="DS216" s="580"/>
      <c r="DT216" s="577"/>
      <c r="DU216" s="580"/>
      <c r="DV216" s="577"/>
      <c r="DW216" s="580"/>
      <c r="DX216" s="577"/>
      <c r="DY216" s="580"/>
      <c r="DZ216" s="577"/>
      <c r="EA216" s="580"/>
      <c r="EB216" s="577"/>
      <c r="EC216" s="580"/>
      <c r="ED216" s="577"/>
      <c r="EE216" s="580"/>
      <c r="EF216" s="577"/>
      <c r="EG216" s="580"/>
      <c r="EH216" s="577"/>
      <c r="EI216" s="580"/>
      <c r="EJ216" s="577"/>
      <c r="EK216" s="580"/>
      <c r="EL216" s="577"/>
      <c r="EM216" s="577"/>
    </row>
    <row r="217" spans="1:144" ht="12.75" hidden="1" customHeight="1" outlineLevel="1" x14ac:dyDescent="0.2">
      <c r="A217" s="575" t="s">
        <v>498</v>
      </c>
      <c r="B217" s="580"/>
      <c r="C217" s="577"/>
      <c r="D217" s="580"/>
      <c r="E217" s="577"/>
      <c r="F217" s="580"/>
      <c r="G217" s="577"/>
      <c r="H217" s="580"/>
      <c r="I217" s="577"/>
      <c r="J217" s="580"/>
      <c r="K217" s="577"/>
      <c r="L217" s="580"/>
      <c r="M217" s="577"/>
      <c r="N217" s="580"/>
      <c r="O217" s="577"/>
      <c r="P217" s="580"/>
      <c r="Q217" s="577"/>
      <c r="R217" s="580"/>
      <c r="S217" s="577"/>
      <c r="T217" s="580"/>
      <c r="U217" s="577"/>
      <c r="V217" s="580"/>
      <c r="W217" s="577"/>
      <c r="X217" s="580"/>
      <c r="Y217" s="577"/>
      <c r="Z217" s="580"/>
      <c r="AA217" s="577"/>
      <c r="AB217" s="580"/>
      <c r="AC217" s="577"/>
      <c r="AD217" s="580"/>
      <c r="AE217" s="577"/>
      <c r="AF217" s="580"/>
      <c r="AG217" s="577"/>
      <c r="AH217" s="586"/>
      <c r="AI217" s="577"/>
      <c r="AJ217" s="586"/>
      <c r="AK217" s="577"/>
      <c r="AL217" s="586"/>
      <c r="AM217" s="577"/>
      <c r="AN217" s="586"/>
      <c r="AO217" s="577"/>
      <c r="AP217" s="586"/>
      <c r="AQ217" s="577"/>
      <c r="AR217" s="586"/>
      <c r="AS217" s="577"/>
      <c r="AT217" s="586"/>
      <c r="AU217" s="577"/>
      <c r="AV217" s="586"/>
      <c r="AW217" s="577"/>
      <c r="AX217" s="586"/>
      <c r="AY217" s="577"/>
      <c r="AZ217" s="586"/>
      <c r="BA217" s="577"/>
      <c r="BB217" s="586"/>
      <c r="BC217" s="577"/>
      <c r="BD217" s="586"/>
      <c r="BE217" s="577"/>
      <c r="BF217" s="586"/>
      <c r="BG217" s="577"/>
      <c r="BH217" s="586"/>
      <c r="BI217" s="577"/>
      <c r="BJ217" s="586"/>
      <c r="BK217" s="577"/>
      <c r="BL217" s="586"/>
      <c r="BM217" s="577"/>
      <c r="BN217" s="586"/>
      <c r="BO217" s="577"/>
      <c r="BP217" s="586"/>
      <c r="BQ217" s="577"/>
      <c r="BR217" s="586"/>
      <c r="BS217" s="577"/>
      <c r="BT217" s="586"/>
      <c r="BU217" s="577"/>
      <c r="BV217" s="586"/>
      <c r="BW217" s="577"/>
      <c r="BX217" s="586"/>
      <c r="BY217" s="577"/>
      <c r="BZ217" s="586"/>
      <c r="CA217" s="577"/>
      <c r="CB217" s="586"/>
      <c r="CC217" s="577"/>
      <c r="CD217" s="586"/>
      <c r="CE217" s="577"/>
      <c r="CF217" s="586"/>
      <c r="CG217" s="577"/>
      <c r="CH217" s="586"/>
      <c r="CI217" s="577"/>
      <c r="CJ217" s="586"/>
      <c r="CK217" s="577"/>
      <c r="CL217" s="586"/>
      <c r="CM217" s="577"/>
      <c r="CN217" s="586"/>
      <c r="CO217" s="577"/>
      <c r="CP217" s="586"/>
      <c r="CQ217" s="577"/>
      <c r="CR217" s="586"/>
      <c r="CS217" s="577"/>
      <c r="CT217" s="586"/>
      <c r="CU217" s="577"/>
      <c r="CV217" s="586"/>
      <c r="CW217" s="577"/>
      <c r="CX217" s="586"/>
      <c r="CY217" s="577"/>
      <c r="CZ217" s="586"/>
      <c r="DA217" s="577"/>
      <c r="DB217" s="605"/>
      <c r="DC217" s="580"/>
      <c r="DD217" s="577"/>
      <c r="DE217" s="580"/>
      <c r="DF217" s="577"/>
      <c r="DG217" s="580"/>
      <c r="DH217" s="577"/>
      <c r="DI217" s="580"/>
      <c r="DJ217" s="577"/>
      <c r="DK217" s="580"/>
      <c r="DL217" s="577"/>
      <c r="DM217" s="580"/>
      <c r="DN217" s="577"/>
      <c r="DO217" s="580"/>
      <c r="DP217" s="577"/>
      <c r="DQ217" s="580"/>
      <c r="DR217" s="577"/>
      <c r="DS217" s="580"/>
      <c r="DT217" s="577"/>
      <c r="DU217" s="580"/>
      <c r="DV217" s="577"/>
      <c r="DW217" s="580"/>
      <c r="DX217" s="577"/>
      <c r="DY217" s="580"/>
      <c r="DZ217" s="577"/>
      <c r="EA217" s="580"/>
      <c r="EB217" s="577"/>
      <c r="EC217" s="580"/>
      <c r="ED217" s="577"/>
      <c r="EE217" s="580"/>
      <c r="EF217" s="577"/>
      <c r="EG217" s="580"/>
      <c r="EH217" s="577"/>
      <c r="EI217" s="580"/>
      <c r="EJ217" s="577"/>
      <c r="EK217" s="580"/>
      <c r="EL217" s="577"/>
      <c r="EM217" s="577"/>
    </row>
    <row r="218" spans="1:144" ht="12.75" hidden="1" customHeight="1" outlineLevel="1" x14ac:dyDescent="0.2">
      <c r="A218" s="579" t="s">
        <v>68</v>
      </c>
      <c r="B218" s="597">
        <f>+INPUT!AY594</f>
        <v>14.315569487983282</v>
      </c>
      <c r="C218" s="577">
        <f>+INPUT!AZ594</f>
        <v>-14.219304091690731</v>
      </c>
      <c r="D218" s="597">
        <f>+INPUT!BA594</f>
        <v>13.177470775770455</v>
      </c>
      <c r="E218" s="577">
        <f>+INPUT!BB594</f>
        <v>-0.73793041802815651</v>
      </c>
      <c r="F218" s="597">
        <f>+INPUT!BC594</f>
        <v>11.558854718981973</v>
      </c>
      <c r="G218" s="577">
        <f>+INPUT!BD594</f>
        <v>6.5848077245074705</v>
      </c>
      <c r="H218" s="597">
        <f>+INPUT!BE594</f>
        <v>12.448559670781894</v>
      </c>
      <c r="I218" s="577">
        <f>+INPUT!BF594</f>
        <v>42.703001104085104</v>
      </c>
      <c r="J218" s="597">
        <f>+INPUT!BG594</f>
        <v>14.100609756097562</v>
      </c>
      <c r="K218" s="577">
        <f>+INPUT!BH594</f>
        <v>-1.501580024924337</v>
      </c>
      <c r="L218" s="597">
        <f>+INPUT!BI594</f>
        <v>12.59124087591241</v>
      </c>
      <c r="M218" s="577">
        <f>+INPUT!BJ594</f>
        <v>-4.4487285142453317</v>
      </c>
      <c r="N218" s="597">
        <f>+INPUT!BK594</f>
        <v>12.061068702290076</v>
      </c>
      <c r="O218" s="577">
        <f>+INPUT!BL594</f>
        <v>4.3448420757756168</v>
      </c>
      <c r="P218" s="597">
        <f>+INPUT!BM594</f>
        <v>12.350936967632027</v>
      </c>
      <c r="Q218" s="577">
        <f>+INPUT!BN594</f>
        <v>-0.78420882199728226</v>
      </c>
      <c r="R218" s="597">
        <f>+INPUT!BO594</f>
        <v>13.163481953290871</v>
      </c>
      <c r="S218" s="577">
        <f>+INPUT!BP594</f>
        <v>-6.6460090663912297</v>
      </c>
      <c r="T218" s="597">
        <f>+INPUT!BQ594</f>
        <v>13.128491620111731</v>
      </c>
      <c r="U218" s="577">
        <f>+INPUT!BR594</f>
        <v>4.2668609829163557</v>
      </c>
      <c r="V218" s="597">
        <f>+INPUT!BS594</f>
        <v>12.604166666666666</v>
      </c>
      <c r="W218" s="577">
        <f>+INPUT!BT594</f>
        <v>4.5029008438818465</v>
      </c>
      <c r="X218" s="597">
        <f>+INPUT!BU594</f>
        <v>17.391304347826086</v>
      </c>
      <c r="Y218" s="577">
        <f>+INPUT!BV594</f>
        <v>40.809595202398782</v>
      </c>
      <c r="Z218" s="597">
        <f>+INPUT!BW594</f>
        <v>22.838499184339316</v>
      </c>
      <c r="AA218" s="577">
        <f>+INPUT!BX594</f>
        <v>73.49892122296481</v>
      </c>
      <c r="AB218" s="597">
        <f>+INPUT!BY594</f>
        <v>14.705882352941178</v>
      </c>
      <c r="AC218" s="577">
        <f>+INPUT!BZ594</f>
        <v>12.015018773466849</v>
      </c>
      <c r="AD218" s="597">
        <f>+INPUT!CA594</f>
        <v>14.011976047904193</v>
      </c>
      <c r="AE218" s="577">
        <f>+INPUT!CB594</f>
        <v>11.169396743702691</v>
      </c>
      <c r="AF218" s="597">
        <f>+INPUT!CC594</f>
        <v>19.241982507288629</v>
      </c>
      <c r="AG218" s="577">
        <f>+INPUT!CD594</f>
        <v>10.641399416909621</v>
      </c>
      <c r="AH218" s="586">
        <f>+INPUT!CE594</f>
        <v>22.060766182298547</v>
      </c>
      <c r="AI218" s="577">
        <f>+INPUT!CF594</f>
        <v>-3.4053595017927876</v>
      </c>
      <c r="AJ218" s="586">
        <f>+INPUT!CG594</f>
        <v>16.522811344019729</v>
      </c>
      <c r="AK218" s="577">
        <f>+INPUT!CH594</f>
        <v>12.355117139334155</v>
      </c>
      <c r="AL218" s="586">
        <f>+INPUT!CI594</f>
        <v>17.6158940397351</v>
      </c>
      <c r="AM218" s="577">
        <f>+INPUT!CJ594</f>
        <v>25.72026942887868</v>
      </c>
      <c r="AN218" s="586">
        <f>+INPUT!CK594</f>
        <v>16.743119266055047</v>
      </c>
      <c r="AO218" s="577">
        <f>+INPUT!CL594</f>
        <v>-12.986516541562409</v>
      </c>
      <c r="AP218" s="586">
        <f>+INPUT!CM594</f>
        <v>18.110982415499631</v>
      </c>
      <c r="AQ218" s="577">
        <f>+INPUT!CN594</f>
        <v>-17.904109649501677</v>
      </c>
      <c r="AR218" s="586">
        <f>+INPUT!CO594</f>
        <v>15.475113122171946</v>
      </c>
      <c r="AS218" s="577">
        <f>+INPUT!CP594</f>
        <v>-6.3409198352130716</v>
      </c>
      <c r="AT218" s="586">
        <f>+INPUT!CQ594</f>
        <v>13.733468972533061</v>
      </c>
      <c r="AU218" s="577">
        <f>+INPUT!CR594</f>
        <v>-22.03933026870331</v>
      </c>
      <c r="AV218" s="586">
        <f>+INPUT!CS594</f>
        <v>14.314928425357873</v>
      </c>
      <c r="AW218" s="577">
        <f>+INPUT!CT594</f>
        <v>-14.502619267725578</v>
      </c>
      <c r="AX218" s="586">
        <f>+INPUT!CU594</f>
        <v>16.810344827586206</v>
      </c>
      <c r="AY218" s="577">
        <f>+INPUT!CV594</f>
        <v>-7.1814855653568657</v>
      </c>
      <c r="AZ218" s="586">
        <f>+INPUT!CW594</f>
        <v>14.156079854809436</v>
      </c>
      <c r="BA218" s="577">
        <f>+INPUT!CX594</f>
        <v>-8.5235775464068553</v>
      </c>
      <c r="BB218" s="586">
        <f>+INPUT!CY594</f>
        <v>12.805391743892164</v>
      </c>
      <c r="BC218" s="577">
        <f>+INPUT!CZ594</f>
        <v>-6.7577771537333433</v>
      </c>
      <c r="BD218" s="586">
        <f>+INPUT!DA594</f>
        <v>14.399293286219081</v>
      </c>
      <c r="BE218" s="577">
        <f>+INPUT!DB594</f>
        <v>0.58934881373042458</v>
      </c>
      <c r="BF218" s="586">
        <f>+INPUT!DC594</f>
        <v>16.618075801749271</v>
      </c>
      <c r="BG218" s="577">
        <f>+INPUT!DD594</f>
        <v>-1.1437542049786913</v>
      </c>
      <c r="BH218" s="586">
        <f>+INPUT!DE594</f>
        <v>16.921954777534644</v>
      </c>
      <c r="BI218" s="577">
        <f>+INPUT!DF594</f>
        <v>19.538424133610135</v>
      </c>
      <c r="BJ218" s="586">
        <f>+INPUT!DG594</f>
        <v>15.907590759075907</v>
      </c>
      <c r="BK218" s="577">
        <f>+INPUT!DH594</f>
        <v>24.225725204099362</v>
      </c>
      <c r="BL218" s="586">
        <f>+INPUT!DI594</f>
        <v>20.027155465037339</v>
      </c>
      <c r="BM218" s="577">
        <f>+INPUT!DJ594</f>
        <v>39.084294395228653</v>
      </c>
      <c r="BN218" s="586">
        <f>+INPUT!DK594</f>
        <v>22.524752475247524</v>
      </c>
      <c r="BO218" s="577">
        <f>+INPUT!DL594</f>
        <v>35.543685947542116</v>
      </c>
      <c r="BP218" s="586">
        <f>+INPUT!DM594</f>
        <v>17.49235474006116</v>
      </c>
      <c r="BQ218" s="577">
        <f>+INPUT!DN594</f>
        <v>3.3707687440683429</v>
      </c>
      <c r="BR218" s="586">
        <f>+INPUT!DO594</f>
        <v>16.844082654978084</v>
      </c>
      <c r="BS218" s="577">
        <f>+INPUT!DP594</f>
        <v>5.8870756111693083</v>
      </c>
      <c r="BT218" s="586">
        <f>+INPUT!DQ594</f>
        <v>19.652406417112299</v>
      </c>
      <c r="BU218" s="577">
        <f>+INPUT!DR594</f>
        <v>-1.8712045681138392</v>
      </c>
      <c r="BV218" s="586">
        <f>+INPUT!DS594</f>
        <v>17.233009708737864</v>
      </c>
      <c r="BW218" s="577">
        <f>+INPUT!DT594</f>
        <v>-23.4930118425264</v>
      </c>
      <c r="BX218" s="586">
        <f>+INPUT!DU594</f>
        <v>14.468864468864471</v>
      </c>
      <c r="BY218" s="577">
        <f>+INPUT!DV594</f>
        <v>-17.284638438484563</v>
      </c>
      <c r="BZ218" s="586">
        <f>+INPUT!DW594</f>
        <v>14.350355526826114</v>
      </c>
      <c r="CA218" s="577">
        <f>+INPUT!DX594</f>
        <v>-14.804766630701465</v>
      </c>
      <c r="CB218" s="586">
        <f>+INPUT!DY594</f>
        <v>13.181639858768143</v>
      </c>
      <c r="CC218" s="577">
        <f>+INPUT!DZ594</f>
        <v>-32.926077453343055</v>
      </c>
      <c r="CD218" s="586">
        <f>+INPUT!EA594</f>
        <v>15.390021082220661</v>
      </c>
      <c r="CE218" s="577">
        <f>+INPUT!EB594</f>
        <v>-10.694525551057566</v>
      </c>
      <c r="CF218" s="586">
        <f>+INPUT!EC594</f>
        <v>15.415549597855227</v>
      </c>
      <c r="CG218" s="577">
        <f>+INPUT!ED594</f>
        <v>6.5429124104930736</v>
      </c>
      <c r="CH218" s="586">
        <f>+INPUT!EE594</f>
        <v>18.788713007570543</v>
      </c>
      <c r="CI218" s="577">
        <f>+INPUT!EF594</f>
        <v>30.9285541563587</v>
      </c>
      <c r="CJ218" s="586">
        <f>+INPUT!EG594</f>
        <v>20.708825573314801</v>
      </c>
      <c r="CK218" s="577">
        <f>+INPUT!EH594</f>
        <v>57.103560673748319</v>
      </c>
      <c r="CL218" s="586">
        <f>+INPUT!EI594</f>
        <v>24.205841107249558</v>
      </c>
      <c r="CM218" s="577">
        <f>+INPUT!EJ594</f>
        <v>57.282702719708311</v>
      </c>
      <c r="CN218" s="586">
        <f>+INPUT!EK594</f>
        <v>18.262806236080177</v>
      </c>
      <c r="CO218" s="577">
        <f>+INPUT!EL594</f>
        <v>18.470030018398376</v>
      </c>
      <c r="CP218" s="586">
        <f>+INPUT!EM594</f>
        <v>14.285714285714285</v>
      </c>
      <c r="CQ218" s="577">
        <f>+INPUT!EN594</f>
        <v>-23.966509680795397</v>
      </c>
      <c r="CR218" s="586">
        <f>+INPUT!EO594</f>
        <v>18.558673469387756</v>
      </c>
      <c r="CS218" s="577">
        <f>+INPUT!EP594</f>
        <v>-10.382781468291995</v>
      </c>
      <c r="CT218" s="586">
        <f>+INPUT!EQ594</f>
        <v>17.933984550293559</v>
      </c>
      <c r="CU218" s="577">
        <f>+INPUT!ER594</f>
        <v>-25.910508662628544</v>
      </c>
      <c r="CV218" s="586">
        <f>+INPUT!ES594</f>
        <v>16.553125027755929</v>
      </c>
      <c r="CW218" s="577">
        <f>+INPUT!ET594</f>
        <v>-9.3615471041169229</v>
      </c>
      <c r="CX218" s="586">
        <f>+INPUT!EU594</f>
        <v>15.533065659050823</v>
      </c>
      <c r="CY218" s="577">
        <f>+INPUT!EV594</f>
        <v>8.7314596133557814</v>
      </c>
      <c r="CZ218" s="586">
        <f>+INPUT!EW594</f>
        <v>16.386012350733807</v>
      </c>
      <c r="DA218" s="577">
        <f>+INPUT!EX594</f>
        <v>-11.706984996733311</v>
      </c>
      <c r="DB218" s="605"/>
      <c r="DC218" s="597">
        <f>+INPUT!FP594</f>
        <v>12.084680976183476</v>
      </c>
      <c r="DD218" s="577">
        <f>+INPUT!FQ594</f>
        <v>-2.3094651625886655</v>
      </c>
      <c r="DE218" s="597">
        <f>+INPUT!FR594</f>
        <v>12.938076416337285</v>
      </c>
      <c r="DF218" s="577">
        <f>+INPUT!FS594</f>
        <v>7.0617953575744679</v>
      </c>
      <c r="DG218" s="597">
        <f>+INPUT!FT594</f>
        <v>12.791556269817139</v>
      </c>
      <c r="DH218" s="577">
        <f>+INPUT!FU594</f>
        <v>-1.1324724155681309</v>
      </c>
      <c r="DI218" s="597">
        <f>+INPUT!FV594</f>
        <v>15.086206896551724</v>
      </c>
      <c r="DJ218" s="577">
        <f>+INPUT!FW594</f>
        <v>17.938791639833738</v>
      </c>
      <c r="DK218" s="586">
        <f>+INPUT!FX594</f>
        <v>19.217221135029355</v>
      </c>
      <c r="DL218" s="577">
        <f>+INPUT!FY594</f>
        <v>27.38272295219457</v>
      </c>
      <c r="DM218" s="586">
        <f>+INPUT!FZ594</f>
        <v>18.153364632237874</v>
      </c>
      <c r="DN218" s="577">
        <f>+INPUT!GA594</f>
        <v>-5.535953899454654</v>
      </c>
      <c r="DO218" s="586">
        <f>+INPUT!GB594</f>
        <v>15.389595836342357</v>
      </c>
      <c r="DP218" s="577">
        <f>+INPUT!GC594</f>
        <v>-15.224553970493403</v>
      </c>
      <c r="DQ218" s="586">
        <f>+INPUT!GD594</f>
        <v>14.417107381007128</v>
      </c>
      <c r="DR218" s="577">
        <f>+INPUT!GE594</f>
        <v>-6.3191292719897802</v>
      </c>
      <c r="DS218" s="586">
        <f>+INPUT!GF594</f>
        <v>17.379165939626592</v>
      </c>
      <c r="DT218" s="577">
        <f>+INPUT!GG594</f>
        <v>20.545442857154782</v>
      </c>
      <c r="DU218" s="586">
        <f>+INPUT!GH594</f>
        <v>19.120428751576295</v>
      </c>
      <c r="DV218" s="577">
        <f>+INPUT!GI594</f>
        <v>10.01925419205196</v>
      </c>
      <c r="DW218" s="586">
        <f>+INPUT!GJ594</f>
        <v>14.916086778550962</v>
      </c>
      <c r="DX218" s="577">
        <f>+INPUT!GK594</f>
        <v>-21.988743179614772</v>
      </c>
      <c r="DY218" s="586">
        <f>+INPUT!GL594</f>
        <v>17.565007749268126</v>
      </c>
      <c r="DZ218" s="577">
        <f>+INPUT!GM594</f>
        <v>17.758819789961677</v>
      </c>
      <c r="EA218" s="586">
        <f>+INPUT!GN594</f>
        <v>18.753430957997654</v>
      </c>
      <c r="EB218" s="577">
        <f>+INPUT!GO594</f>
        <v>6.7658564442081968</v>
      </c>
      <c r="EC218" s="586">
        <f>+INPUT!GP594</f>
        <v>16.608790226075254</v>
      </c>
      <c r="ED218" s="577">
        <f>+INPUT!GQ594</f>
        <v>-11.435991295277034</v>
      </c>
      <c r="EE218" s="586">
        <f>+INPUT!GR594</f>
        <v>16.838671926183142</v>
      </c>
      <c r="EF218" s="577">
        <f>+INPUT!GS594</f>
        <v>1.3840965957109859</v>
      </c>
      <c r="EG218" s="586">
        <f>+INPUT!GT594</f>
        <v>17.008957593197294</v>
      </c>
      <c r="EH218" s="577">
        <f>+INPUT!GU594</f>
        <v>1.0112773012066896</v>
      </c>
      <c r="EI218" s="586">
        <f>+INPUT!GV594</f>
        <v>17.161768201079735</v>
      </c>
      <c r="EJ218" s="577">
        <f>+INPUT!GW594</f>
        <v>0.89841253965825274</v>
      </c>
      <c r="EK218" s="586">
        <f>+INPUT!GX594</f>
        <v>17.34234575953873</v>
      </c>
      <c r="EL218" s="577">
        <f>+INPUT!GY594</f>
        <v>1.0522083525614505</v>
      </c>
      <c r="EM218" s="577">
        <f>+INPUT!GZ594</f>
        <v>-1.5523346773550051</v>
      </c>
    </row>
    <row r="219" spans="1:144" ht="12.75" hidden="1" customHeight="1" outlineLevel="1" x14ac:dyDescent="0.2">
      <c r="A219" s="579"/>
      <c r="B219" s="580"/>
      <c r="C219" s="577"/>
      <c r="D219" s="580"/>
      <c r="E219" s="577"/>
      <c r="F219" s="580"/>
      <c r="G219" s="577"/>
      <c r="H219" s="580"/>
      <c r="I219" s="577"/>
      <c r="J219" s="580"/>
      <c r="K219" s="577"/>
      <c r="L219" s="580"/>
      <c r="M219" s="577"/>
      <c r="N219" s="580"/>
      <c r="O219" s="577"/>
      <c r="P219" s="580"/>
      <c r="Q219" s="577"/>
      <c r="R219" s="580"/>
      <c r="S219" s="577"/>
      <c r="T219" s="580"/>
      <c r="U219" s="577"/>
      <c r="V219" s="580"/>
      <c r="W219" s="577"/>
      <c r="X219" s="580"/>
      <c r="Y219" s="577"/>
      <c r="Z219" s="580"/>
      <c r="AA219" s="577"/>
      <c r="AB219" s="580"/>
      <c r="AC219" s="577"/>
      <c r="AD219" s="580"/>
      <c r="AE219" s="577"/>
      <c r="AF219" s="580"/>
      <c r="AG219" s="577"/>
      <c r="AH219" s="580"/>
      <c r="AI219" s="577"/>
      <c r="AJ219" s="580"/>
      <c r="AK219" s="577"/>
      <c r="AL219" s="580"/>
      <c r="AM219" s="577"/>
      <c r="AN219" s="580"/>
      <c r="AO219" s="577"/>
      <c r="AP219" s="580"/>
      <c r="AQ219" s="577"/>
      <c r="AR219" s="580"/>
      <c r="AS219" s="577"/>
      <c r="AT219" s="580"/>
      <c r="AU219" s="577"/>
      <c r="AV219" s="580"/>
      <c r="AW219" s="577"/>
      <c r="AX219" s="580"/>
      <c r="AY219" s="577"/>
      <c r="AZ219" s="580"/>
      <c r="BA219" s="577"/>
      <c r="BB219" s="580"/>
      <c r="BC219" s="577"/>
      <c r="BD219" s="580"/>
      <c r="BE219" s="577"/>
      <c r="BF219" s="580"/>
      <c r="BG219" s="577"/>
      <c r="BH219" s="580"/>
      <c r="BI219" s="577"/>
      <c r="BJ219" s="580"/>
      <c r="BK219" s="577"/>
      <c r="BL219" s="580"/>
      <c r="BM219" s="577"/>
      <c r="BN219" s="580"/>
      <c r="BO219" s="577"/>
      <c r="BP219" s="580"/>
      <c r="BQ219" s="577"/>
      <c r="BR219" s="580"/>
      <c r="BS219" s="577"/>
      <c r="BT219" s="580"/>
      <c r="BU219" s="577"/>
      <c r="BV219" s="580"/>
      <c r="BW219" s="577"/>
      <c r="BX219" s="580"/>
      <c r="BY219" s="577"/>
      <c r="BZ219" s="580"/>
      <c r="CA219" s="577"/>
      <c r="CB219" s="580"/>
      <c r="CC219" s="577"/>
      <c r="CD219" s="580"/>
      <c r="CE219" s="577"/>
      <c r="CF219" s="580"/>
      <c r="CG219" s="577"/>
      <c r="CH219" s="580"/>
      <c r="CI219" s="577"/>
      <c r="CJ219" s="580"/>
      <c r="CK219" s="577"/>
      <c r="CL219" s="580"/>
      <c r="CM219" s="577"/>
      <c r="CN219" s="580"/>
      <c r="CO219" s="577"/>
      <c r="CP219" s="580"/>
      <c r="CQ219" s="577"/>
      <c r="CR219" s="580"/>
      <c r="CS219" s="577"/>
      <c r="CT219" s="580"/>
      <c r="CU219" s="577"/>
      <c r="CV219" s="580"/>
      <c r="CW219" s="577"/>
      <c r="CX219" s="580"/>
      <c r="CY219" s="577"/>
      <c r="CZ219" s="580"/>
      <c r="DA219" s="577"/>
      <c r="DB219" s="605"/>
      <c r="DC219" s="580"/>
      <c r="DD219" s="577"/>
      <c r="DE219" s="580"/>
      <c r="DF219" s="577"/>
      <c r="DG219" s="580"/>
      <c r="DH219" s="577"/>
      <c r="DI219" s="580"/>
      <c r="DJ219" s="577"/>
      <c r="DK219" s="580"/>
      <c r="DL219" s="577"/>
      <c r="DM219" s="580"/>
      <c r="DN219" s="577"/>
      <c r="DO219" s="580"/>
      <c r="DP219" s="577"/>
      <c r="DQ219" s="580"/>
      <c r="DR219" s="577"/>
      <c r="DS219" s="580"/>
      <c r="DT219" s="577"/>
      <c r="DU219" s="580"/>
      <c r="DV219" s="577"/>
      <c r="DW219" s="580"/>
      <c r="DX219" s="577"/>
      <c r="DY219" s="580"/>
      <c r="DZ219" s="577"/>
      <c r="EA219" s="580"/>
      <c r="EB219" s="577"/>
      <c r="EC219" s="580"/>
      <c r="ED219" s="577"/>
      <c r="EE219" s="580"/>
      <c r="EF219" s="577"/>
      <c r="EG219" s="580"/>
      <c r="EH219" s="577"/>
      <c r="EI219" s="580"/>
      <c r="EJ219" s="577"/>
      <c r="EK219" s="580"/>
      <c r="EL219" s="577"/>
      <c r="EM219" s="577"/>
    </row>
    <row r="220" spans="1:144" ht="12.75" hidden="1" customHeight="1" outlineLevel="1" x14ac:dyDescent="0.2">
      <c r="A220" s="575" t="s">
        <v>218</v>
      </c>
      <c r="B220" s="580"/>
      <c r="C220" s="577"/>
      <c r="D220" s="580"/>
      <c r="E220" s="577"/>
      <c r="F220" s="580"/>
      <c r="G220" s="577"/>
      <c r="H220" s="580"/>
      <c r="I220" s="577"/>
      <c r="J220" s="580"/>
      <c r="K220" s="577"/>
      <c r="L220" s="580"/>
      <c r="M220" s="577"/>
      <c r="N220" s="580"/>
      <c r="O220" s="577"/>
      <c r="P220" s="580"/>
      <c r="Q220" s="577"/>
      <c r="R220" s="580"/>
      <c r="S220" s="577"/>
      <c r="T220" s="580"/>
      <c r="U220" s="577"/>
      <c r="V220" s="580"/>
      <c r="W220" s="577"/>
      <c r="X220" s="580"/>
      <c r="Y220" s="577"/>
      <c r="Z220" s="580"/>
      <c r="AA220" s="577"/>
      <c r="AB220" s="580"/>
      <c r="AC220" s="577"/>
      <c r="AD220" s="580"/>
      <c r="AE220" s="577"/>
      <c r="AF220" s="580"/>
      <c r="AG220" s="577"/>
      <c r="AH220" s="580"/>
      <c r="AI220" s="577"/>
      <c r="AJ220" s="580"/>
      <c r="AK220" s="577"/>
      <c r="AL220" s="580"/>
      <c r="AM220" s="577"/>
      <c r="AN220" s="580"/>
      <c r="AO220" s="577"/>
      <c r="AP220" s="580"/>
      <c r="AQ220" s="577"/>
      <c r="AR220" s="580"/>
      <c r="AS220" s="577"/>
      <c r="AT220" s="580"/>
      <c r="AU220" s="577"/>
      <c r="AV220" s="580"/>
      <c r="AW220" s="577"/>
      <c r="AX220" s="580"/>
      <c r="AY220" s="577"/>
      <c r="AZ220" s="580"/>
      <c r="BA220" s="577"/>
      <c r="BB220" s="580"/>
      <c r="BC220" s="577"/>
      <c r="BD220" s="580"/>
      <c r="BE220" s="577"/>
      <c r="BF220" s="580"/>
      <c r="BG220" s="577"/>
      <c r="BH220" s="580"/>
      <c r="BI220" s="577"/>
      <c r="BJ220" s="580"/>
      <c r="BK220" s="577"/>
      <c r="BL220" s="580"/>
      <c r="BM220" s="577"/>
      <c r="BN220" s="580"/>
      <c r="BO220" s="577"/>
      <c r="BP220" s="580"/>
      <c r="BQ220" s="577"/>
      <c r="BR220" s="580"/>
      <c r="BS220" s="577"/>
      <c r="BT220" s="580"/>
      <c r="BU220" s="577"/>
      <c r="BV220" s="580"/>
      <c r="BW220" s="577"/>
      <c r="BX220" s="580"/>
      <c r="BY220" s="577"/>
      <c r="BZ220" s="580"/>
      <c r="CA220" s="577"/>
      <c r="CB220" s="580"/>
      <c r="CC220" s="577"/>
      <c r="CD220" s="580"/>
      <c r="CE220" s="577"/>
      <c r="CF220" s="580"/>
      <c r="CG220" s="577"/>
      <c r="CH220" s="580"/>
      <c r="CI220" s="577"/>
      <c r="CJ220" s="580"/>
      <c r="CK220" s="577"/>
      <c r="CL220" s="580"/>
      <c r="CM220" s="577"/>
      <c r="CN220" s="580"/>
      <c r="CO220" s="577"/>
      <c r="CP220" s="580"/>
      <c r="CQ220" s="577"/>
      <c r="CR220" s="580"/>
      <c r="CS220" s="577"/>
      <c r="CT220" s="580"/>
      <c r="CU220" s="577"/>
      <c r="CV220" s="580"/>
      <c r="CW220" s="577"/>
      <c r="CX220" s="580"/>
      <c r="CY220" s="577"/>
      <c r="CZ220" s="580"/>
      <c r="DA220" s="577"/>
      <c r="DB220" s="605"/>
      <c r="DC220" s="580"/>
      <c r="DD220" s="577"/>
      <c r="DE220" s="580"/>
      <c r="DF220" s="577"/>
      <c r="DG220" s="580"/>
      <c r="DH220" s="577"/>
      <c r="DI220" s="580"/>
      <c r="DJ220" s="577"/>
      <c r="DK220" s="580"/>
      <c r="DL220" s="577"/>
      <c r="DM220" s="580"/>
      <c r="DN220" s="577"/>
      <c r="DO220" s="580"/>
      <c r="DP220" s="577"/>
      <c r="DQ220" s="580"/>
      <c r="DR220" s="577"/>
      <c r="DS220" s="580"/>
      <c r="DT220" s="577"/>
      <c r="DU220" s="580"/>
      <c r="DV220" s="577"/>
      <c r="DW220" s="580"/>
      <c r="DX220" s="577"/>
      <c r="DY220" s="580"/>
      <c r="DZ220" s="577"/>
      <c r="EA220" s="580"/>
      <c r="EB220" s="577"/>
      <c r="EC220" s="580"/>
      <c r="ED220" s="577"/>
      <c r="EE220" s="580"/>
      <c r="EF220" s="577"/>
      <c r="EG220" s="580"/>
      <c r="EH220" s="577"/>
      <c r="EI220" s="580"/>
      <c r="EJ220" s="577"/>
      <c r="EK220" s="580"/>
      <c r="EL220" s="577"/>
      <c r="EM220" s="577"/>
    </row>
    <row r="221" spans="1:144" ht="12.75" hidden="1" customHeight="1" outlineLevel="1" x14ac:dyDescent="0.2">
      <c r="A221" s="609" t="str">
        <f>+INPUT!B193</f>
        <v>Policy Charges/Avg Assets (%)</v>
      </c>
      <c r="B221" s="597">
        <f>+INPUT!AY193</f>
        <v>0.13936574070713598</v>
      </c>
      <c r="C221" s="577">
        <f>+INPUT!AZ193</f>
        <v>-0.32471333925172985</v>
      </c>
      <c r="D221" s="597">
        <f>+INPUT!BA193</f>
        <v>0.12395547692230081</v>
      </c>
      <c r="E221" s="577">
        <f>+INPUT!BB193</f>
        <v>-14.274458085152119</v>
      </c>
      <c r="F221" s="597">
        <f>+INPUT!BC193</f>
        <v>0.12798543810126492</v>
      </c>
      <c r="G221" s="577">
        <f>+INPUT!BD193</f>
        <v>-5.6813400631827733</v>
      </c>
      <c r="H221" s="597">
        <f>+INPUT!BE193</f>
        <v>0.11840388805325422</v>
      </c>
      <c r="I221" s="577">
        <f>+INPUT!BF193</f>
        <v>-15.600536890498205</v>
      </c>
      <c r="J221" s="597">
        <f>+INPUT!BG193</f>
        <v>0.11815331735578247</v>
      </c>
      <c r="K221" s="577">
        <f>+INPUT!BH193</f>
        <v>-15.220687124197497</v>
      </c>
      <c r="L221" s="597">
        <f>+INPUT!BI193</f>
        <v>0.11534252141373232</v>
      </c>
      <c r="M221" s="577">
        <f>+INPUT!BJ193</f>
        <v>-6.9484267435535543</v>
      </c>
      <c r="N221" s="597">
        <f>+INPUT!BK193</f>
        <v>0.10250266667093762</v>
      </c>
      <c r="O221" s="577">
        <f>+INPUT!BL193</f>
        <v>-19.910680315181466</v>
      </c>
      <c r="P221" s="597">
        <f>+INPUT!BM193</f>
        <v>0.10965356327353268</v>
      </c>
      <c r="Q221" s="577">
        <f>+INPUT!BN193</f>
        <v>-7.3902343272595346</v>
      </c>
      <c r="R221" s="597">
        <f>+INPUT!BO193</f>
        <v>0.10666335927568137</v>
      </c>
      <c r="S221" s="577">
        <f>+INPUT!BP193</f>
        <v>-9.7246174184873837</v>
      </c>
      <c r="T221" s="597">
        <f>+INPUT!BQ193</f>
        <v>0.11603086168679864</v>
      </c>
      <c r="U221" s="577">
        <f>+INPUT!BR193</f>
        <v>0.5967792836756729</v>
      </c>
      <c r="V221" s="597">
        <f>+INPUT!BS193</f>
        <v>0.11652974421721145</v>
      </c>
      <c r="W221" s="577">
        <f>+INPUT!BT193</f>
        <v>13.684597681058094</v>
      </c>
      <c r="X221" s="597">
        <f>+INPUT!BU193</f>
        <v>0.12236768163121439</v>
      </c>
      <c r="Y221" s="577">
        <f>+INPUT!BV193</f>
        <v>11.594806386698181</v>
      </c>
      <c r="Z221" s="597">
        <f>+INPUT!BW193</f>
        <v>0.13005195442873352</v>
      </c>
      <c r="AA221" s="577">
        <f>+INPUT!BX193</f>
        <v>21.927487857008288</v>
      </c>
      <c r="AB221" s="597">
        <f>+INPUT!BY193</f>
        <v>0.12579665868670856</v>
      </c>
      <c r="AC221" s="577">
        <f>+INPUT!BZ193</f>
        <v>8.4165513019033256</v>
      </c>
      <c r="AD221" s="597">
        <f>+INPUT!CA193</f>
        <v>0.11555197130459378</v>
      </c>
      <c r="AE221" s="577">
        <f>+INPUT!CB193</f>
        <v>-0.83907582496284761</v>
      </c>
      <c r="AF221" s="597">
        <f>+INPUT!CC193</f>
        <v>0.11880758312246892</v>
      </c>
      <c r="AG221" s="577">
        <f>+INPUT!CD193</f>
        <v>-2.9093453935612814</v>
      </c>
      <c r="AH221" s="597">
        <f>+INPUT!CE193</f>
        <v>0.11707273972300149</v>
      </c>
      <c r="AI221" s="577">
        <f>+INPUT!CF193</f>
        <v>-9.9800228014600378</v>
      </c>
      <c r="AJ221" s="597">
        <f>+INPUT!CG193</f>
        <v>0.10518934081346423</v>
      </c>
      <c r="AK221" s="577">
        <f>+INPUT!CH193</f>
        <v>-16.381450897329486</v>
      </c>
      <c r="AL221" s="597">
        <f>+INPUT!CI193</f>
        <v>0.10653853632031876</v>
      </c>
      <c r="AM221" s="577">
        <f>+INPUT!CJ193</f>
        <v>-7.8003299143341422</v>
      </c>
      <c r="AN221" s="597">
        <f>+INPUT!CK193</f>
        <v>0.10004852353391394</v>
      </c>
      <c r="AO221" s="577">
        <f>+INPUT!CL193</f>
        <v>-15.789446343014831</v>
      </c>
      <c r="AP221" s="597">
        <f>+INPUT!CM193</f>
        <v>9.3252292650434734E-2</v>
      </c>
      <c r="AQ221" s="577">
        <f>+INPUT!CN193</f>
        <v>-20.346706781550367</v>
      </c>
      <c r="AR221" s="597">
        <f>+INPUT!CO193</f>
        <v>8.2648422792598375E-2</v>
      </c>
      <c r="AS221" s="577">
        <f>+INPUT!CP193</f>
        <v>-21.428899398503148</v>
      </c>
      <c r="AT221" s="597">
        <f>+INPUT!CQ193</f>
        <v>9.1864903472952675E-2</v>
      </c>
      <c r="AU221" s="577">
        <f>+INPUT!CR193</f>
        <v>-13.773075315441105</v>
      </c>
      <c r="AV221" s="597">
        <f>+INPUT!CS193</f>
        <v>8.8242577043423448E-2</v>
      </c>
      <c r="AW221" s="577">
        <f>+INPUT!CT193</f>
        <v>-11.800220606442608</v>
      </c>
      <c r="AX221" s="597">
        <f>+INPUT!CU193</f>
        <v>8.5221885832500635E-2</v>
      </c>
      <c r="AY221" s="577">
        <f>+INPUT!CV193</f>
        <v>-8.611484596992014</v>
      </c>
      <c r="AZ221" s="597">
        <f>+INPUT!CW193</f>
        <v>8.2526635471598456E-2</v>
      </c>
      <c r="BA221" s="577">
        <f>+INPUT!CX193</f>
        <v>-0.14735589244762082</v>
      </c>
      <c r="BB221" s="597">
        <f>+INPUT!CY193</f>
        <v>8.5410170256311091E-2</v>
      </c>
      <c r="BC221" s="577">
        <f>+INPUT!CZ193</f>
        <v>-7.0263321166412709</v>
      </c>
      <c r="BD221" s="597">
        <f>+INPUT!DA193</f>
        <v>7.2402201617967565E-2</v>
      </c>
      <c r="BE221" s="577">
        <f>+INPUT!DB193</f>
        <v>-17.950943814413947</v>
      </c>
      <c r="BF221" s="597">
        <f>+INPUT!DC193</f>
        <v>6.5169687270357463E-2</v>
      </c>
      <c r="BG221" s="577">
        <f>+INPUT!DD193</f>
        <v>-23.529400184308017</v>
      </c>
      <c r="BH221" s="597">
        <f>+INPUT!DE193</f>
        <v>7.1852701960979995E-2</v>
      </c>
      <c r="BI221" s="577">
        <f>+INPUT!DF193</f>
        <v>-12.933925452821711</v>
      </c>
      <c r="BJ221" s="597">
        <f>+INPUT!DG193</f>
        <v>6.771902465070169E-2</v>
      </c>
      <c r="BK221" s="577">
        <f>+INPUT!DH193</f>
        <v>-20.713160449767599</v>
      </c>
      <c r="BL221" s="597">
        <f>+INPUT!DI193</f>
        <v>6.6732979942332626E-2</v>
      </c>
      <c r="BM221" s="577">
        <f>+INPUT!DJ193</f>
        <v>-7.8301785704649802</v>
      </c>
      <c r="BN221" s="597">
        <f>+INPUT!DK193</f>
        <v>6.5159094227119393E-2</v>
      </c>
      <c r="BO221" s="577">
        <f>+INPUT!DL193</f>
        <v>-1.6254555885964805E-2</v>
      </c>
      <c r="BP221" s="597">
        <f>+INPUT!DM193</f>
        <v>6.6832837403301246E-2</v>
      </c>
      <c r="BQ221" s="577">
        <f>+INPUT!DN193</f>
        <v>-6.9863267778083156</v>
      </c>
      <c r="BR221" s="597">
        <f>+INPUT!DO193</f>
        <v>6.1752758848194533E-2</v>
      </c>
      <c r="BS221" s="577">
        <f>+INPUT!DP193</f>
        <v>-8.8103244742248847</v>
      </c>
      <c r="BT221" s="597">
        <f>+INPUT!DQ193</f>
        <v>6.2231038285979402E-2</v>
      </c>
      <c r="BU221" s="577">
        <f>+INPUT!DR193</f>
        <v>-6.7462020431930085</v>
      </c>
      <c r="BV221" s="597">
        <f>+INPUT!DS193</f>
        <v>5.5959248500209849E-2</v>
      </c>
      <c r="BW221" s="577">
        <f>+INPUT!DT193</f>
        <v>-14.119050972136662</v>
      </c>
      <c r="BX221" s="597">
        <f>+INPUT!DU193</f>
        <v>6.2883705801835013E-2</v>
      </c>
      <c r="BY221" s="577">
        <f>+INPUT!DV193</f>
        <v>-5.9089689363856905</v>
      </c>
      <c r="BZ221" s="597">
        <f>+INPUT!DW193</f>
        <v>5.8474624449431634E-2</v>
      </c>
      <c r="CA221" s="577">
        <f>+INPUT!DX193</f>
        <v>-5.3084825033023435</v>
      </c>
      <c r="CB221" s="597">
        <f>+INPUT!DY193</f>
        <v>5.876735473444502E-2</v>
      </c>
      <c r="CC221" s="577">
        <f>+INPUT!DZ193</f>
        <v>-5.5658456727287984</v>
      </c>
      <c r="CD221" s="597">
        <f>+INPUT!EA193</f>
        <v>6.1011213722420334E-2</v>
      </c>
      <c r="CE221" s="577">
        <f>+INPUT!EB193</f>
        <v>9.0279361456963443</v>
      </c>
      <c r="CF221" s="597">
        <f>+INPUT!EC193</f>
        <v>6.0000455360598726E-2</v>
      </c>
      <c r="CG221" s="577">
        <f>+INPUT!ED193</f>
        <v>-4.5850517307651302</v>
      </c>
      <c r="CH221" s="597">
        <f>+INPUT!EE193</f>
        <v>5.8824379028583659E-2</v>
      </c>
      <c r="CI221" s="577">
        <f>+INPUT!EF193</f>
        <v>0.59813052660902599</v>
      </c>
      <c r="CJ221" s="597">
        <f>+INPUT!EG193</f>
        <v>6.3140625040433301E-2</v>
      </c>
      <c r="CK221" s="577">
        <f>+INPUT!EH193</f>
        <v>7.441666084427311</v>
      </c>
      <c r="CL221" s="597">
        <f>+INPUT!EI193</f>
        <v>5.9358341446066422E-2</v>
      </c>
      <c r="CM221" s="577">
        <f>+INPUT!EJ193</f>
        <v>-2.7091286593213937</v>
      </c>
      <c r="CN221" s="597">
        <f>+INPUT!EK193</f>
        <v>5.9232784844438641E-2</v>
      </c>
      <c r="CO221" s="577">
        <f>+INPUT!EL193</f>
        <v>-1.2794411501486707</v>
      </c>
      <c r="CP221" s="597">
        <f>+INPUT!EM193</f>
        <v>5.9717711441081379E-2</v>
      </c>
      <c r="CQ221" s="577">
        <f>+INPUT!EN193</f>
        <v>1.5186431667449227</v>
      </c>
      <c r="CR221" s="597">
        <f>+INPUT!EO193</f>
        <v>5.6808431318014781E-2</v>
      </c>
      <c r="CS221" s="577">
        <f>+INPUT!EP193</f>
        <v>-10.0287156143348</v>
      </c>
      <c r="CT221" s="597">
        <f>+INPUT!EQ193</f>
        <v>5.6808431318014781E-2</v>
      </c>
      <c r="CU221" s="577">
        <f>+INPUT!ER193</f>
        <v>-4.2957907278600658</v>
      </c>
      <c r="CV221" s="597">
        <f>+INPUT!ES193</f>
        <v>5.6808431318014781E-2</v>
      </c>
      <c r="CW221" s="577">
        <f>+INPUT!ET193</f>
        <v>-4.0929251136695228</v>
      </c>
      <c r="CX221" s="597">
        <f>+INPUT!EU193</f>
        <v>5.6808431318014781E-2</v>
      </c>
      <c r="CY221" s="577">
        <f>+INPUT!EV193</f>
        <v>-4.8717207221461507</v>
      </c>
      <c r="CZ221" s="597">
        <f>+INPUT!EW193</f>
        <v>5.6808431318014781E-2</v>
      </c>
      <c r="DA221" s="577">
        <f>+INPUT!EX193</f>
        <v>0</v>
      </c>
      <c r="DB221" s="605"/>
      <c r="DC221" s="597">
        <f>+INPUT!FP193</f>
        <v>0.14027966392574132</v>
      </c>
      <c r="DD221" s="577">
        <f>+INPUT!FQ193</f>
        <v>-7.7873891759364113</v>
      </c>
      <c r="DE221" s="597">
        <f>+INPUT!FR193</f>
        <v>0.12598358694275136</v>
      </c>
      <c r="DF221" s="577">
        <f>+INPUT!FS193</f>
        <v>-10.19112577184228</v>
      </c>
      <c r="DG221" s="597">
        <f>+INPUT!FT193</f>
        <v>0.11043976859015932</v>
      </c>
      <c r="DH221" s="577">
        <f>+INPUT!FU193</f>
        <v>-12.337970945100466</v>
      </c>
      <c r="DI221" s="597">
        <f>+INPUT!FV193</f>
        <v>0.11464530017961097</v>
      </c>
      <c r="DJ221" s="577">
        <f>+INPUT!FW193</f>
        <v>3.8079866004231917</v>
      </c>
      <c r="DK221" s="597">
        <f>+INPUT!FX193</f>
        <v>0.12055455093429776</v>
      </c>
      <c r="DL221" s="577">
        <f>+INPUT!FY193</f>
        <v>5.1543767999464194</v>
      </c>
      <c r="DM221" s="597">
        <f>+INPUT!FZ193</f>
        <v>0.1047559733054679</v>
      </c>
      <c r="DN221" s="577">
        <f>+INPUT!GA193</f>
        <v>-13.104920143114356</v>
      </c>
      <c r="DO221" s="597">
        <f>+INPUT!GB193</f>
        <v>8.8732572440030813E-2</v>
      </c>
      <c r="DP221" s="577">
        <f>+INPUT!GC193</f>
        <v>-15.295930494305026</v>
      </c>
      <c r="DQ221" s="597">
        <f>+INPUT!GD193</f>
        <v>7.7788196603890566E-2</v>
      </c>
      <c r="DR221" s="577">
        <f>+INPUT!GE193</f>
        <v>-12.334113094193128</v>
      </c>
      <c r="DS221" s="597">
        <f>+INPUT!GF193</f>
        <v>6.756492107633856E-2</v>
      </c>
      <c r="DT221" s="577">
        <f>+INPUT!GG193</f>
        <v>-13.142450878004666</v>
      </c>
      <c r="DU221" s="597">
        <f>+INPUT!GH193</f>
        <v>6.3197042261929903E-2</v>
      </c>
      <c r="DV221" s="577">
        <f>+INPUT!GI193</f>
        <v>-6.4647138556908601</v>
      </c>
      <c r="DW221" s="597">
        <f>+INPUT!GJ193</f>
        <v>5.9227962148692206E-2</v>
      </c>
      <c r="DX221" s="577">
        <f>+INPUT!GK193</f>
        <v>-6.280483977062147</v>
      </c>
      <c r="DY221" s="597">
        <f>+INPUT!GL193</f>
        <v>6.038911247869496E-2</v>
      </c>
      <c r="DZ221" s="577">
        <f>+INPUT!GM193</f>
        <v>1.9604765855149253</v>
      </c>
      <c r="EA221" s="597">
        <f>+INPUT!GN193</f>
        <v>5.838441970057133E-2</v>
      </c>
      <c r="EB221" s="577">
        <f>+INPUT!GO193</f>
        <v>-3.3196261641216864</v>
      </c>
      <c r="EC221" s="597">
        <f>+INPUT!GP193</f>
        <v>5.6512324740692302E-2</v>
      </c>
      <c r="ED221" s="577">
        <f>+INPUT!GQ193</f>
        <v>-3.2064975030670837</v>
      </c>
      <c r="EE221" s="597">
        <f>+INPUT!GR193</f>
        <v>5.6512324740692302E-2</v>
      </c>
      <c r="EF221" s="577">
        <f>+INPUT!GS193</f>
        <v>0</v>
      </c>
      <c r="EG221" s="597">
        <f>+INPUT!GT193</f>
        <v>5.6512324740692302E-2</v>
      </c>
      <c r="EH221" s="577">
        <f>+INPUT!GU193</f>
        <v>0</v>
      </c>
      <c r="EI221" s="597">
        <f>+INPUT!GV193</f>
        <v>5.6512324740692302E-2</v>
      </c>
      <c r="EJ221" s="577">
        <f>+INPUT!GW193</f>
        <v>0</v>
      </c>
      <c r="EK221" s="597">
        <f>+INPUT!GX193</f>
        <v>5.6512324740692302E-2</v>
      </c>
      <c r="EL221" s="577">
        <f>+INPUT!GY193</f>
        <v>0</v>
      </c>
      <c r="EM221" s="577">
        <f>+INPUT!GZ193</f>
        <v>-0.64968668880249769</v>
      </c>
    </row>
    <row r="222" spans="1:144" ht="12.75" hidden="1" customHeight="1" outlineLevel="1" x14ac:dyDescent="0.2">
      <c r="A222" s="609" t="str">
        <f>+INPUT!B194</f>
        <v>Commissions &amp; Fees/Fee-based Assets (%)</v>
      </c>
      <c r="B222" s="597">
        <f>+INPUT!AY194</f>
        <v>0.254982181471478</v>
      </c>
      <c r="C222" s="577">
        <f>+INPUT!AZ194</f>
        <v>-6.1509004178794271</v>
      </c>
      <c r="D222" s="597">
        <f>+INPUT!BA194</f>
        <v>0.26196226106176579</v>
      </c>
      <c r="E222" s="577">
        <f>+INPUT!BB194</f>
        <v>-2.361609890224301</v>
      </c>
      <c r="F222" s="597">
        <f>+INPUT!BC194</f>
        <v>0.25186409026206247</v>
      </c>
      <c r="G222" s="577">
        <f>+INPUT!BD194</f>
        <v>-8.8444533981492981</v>
      </c>
      <c r="H222" s="597">
        <f>+INPUT!BE194</f>
        <v>0.26552298174010902</v>
      </c>
      <c r="I222" s="577">
        <f>+INPUT!BF194</f>
        <v>-0.57176921475145548</v>
      </c>
      <c r="J222" s="597">
        <f>+INPUT!BG194</f>
        <v>0.26053763658029205</v>
      </c>
      <c r="K222" s="577">
        <f>+INPUT!BH194</f>
        <v>2.1787620910426142</v>
      </c>
      <c r="L222" s="597">
        <f>+INPUT!BI194</f>
        <v>0.24486404943921758</v>
      </c>
      <c r="M222" s="577">
        <f>+INPUT!BJ194</f>
        <v>-6.5269751273511787</v>
      </c>
      <c r="N222" s="597">
        <f>+INPUT!BK194</f>
        <v>0.25283008107671401</v>
      </c>
      <c r="O222" s="577">
        <f>+INPUT!BL194</f>
        <v>0.38353653895100592</v>
      </c>
      <c r="P222" s="597">
        <f>+INPUT!BM194</f>
        <v>0.25871992437417596</v>
      </c>
      <c r="Q222" s="577">
        <f>+INPUT!BN194</f>
        <v>-2.5621350443374524</v>
      </c>
      <c r="R222" s="597">
        <f>+INPUT!BO194</f>
        <v>0.24182457565324941</v>
      </c>
      <c r="S222" s="577">
        <f>+INPUT!BP194</f>
        <v>-7.1824789587648326</v>
      </c>
      <c r="T222" s="597">
        <f>+INPUT!BQ194</f>
        <v>0.2580578806996548</v>
      </c>
      <c r="U222" s="577">
        <f>+INPUT!BR194</f>
        <v>5.388227177755752</v>
      </c>
      <c r="V222" s="597">
        <f>+INPUT!BS194</f>
        <v>0.26058887207143661</v>
      </c>
      <c r="W222" s="577">
        <f>+INPUT!BT194</f>
        <v>3.0687768487359648</v>
      </c>
      <c r="X222" s="597">
        <f>+INPUT!BU194</f>
        <v>0.21617456095797358</v>
      </c>
      <c r="Y222" s="577">
        <f>+INPUT!BV194</f>
        <v>-16.444563950424936</v>
      </c>
      <c r="Z222" s="597">
        <f>+INPUT!BW194</f>
        <v>0.22648105067513508</v>
      </c>
      <c r="AA222" s="577">
        <f>+INPUT!BX194</f>
        <v>-6.3448989568848901</v>
      </c>
      <c r="AB222" s="597">
        <f>+INPUT!BY194</f>
        <v>0.21516796204216465</v>
      </c>
      <c r="AC222" s="577">
        <f>+INPUT!BZ194</f>
        <v>-16.620270824981446</v>
      </c>
      <c r="AD222" s="597">
        <f>+INPUT!CA194</f>
        <v>0.24694572653700614</v>
      </c>
      <c r="AE222" s="577">
        <f>+INPUT!CB194</f>
        <v>-5.2355058088168818</v>
      </c>
      <c r="AF222" s="597">
        <f>+INPUT!CC194</f>
        <v>0.27316784846373038</v>
      </c>
      <c r="AG222" s="577">
        <f>+INPUT!CD194</f>
        <v>26.364474734303656</v>
      </c>
      <c r="AH222" s="597">
        <f>+INPUT!CE194</f>
        <v>0.26164613898796812</v>
      </c>
      <c r="AI222" s="577">
        <f>+INPUT!CF194</f>
        <v>15.526724292388565</v>
      </c>
      <c r="AJ222" s="597">
        <f>+INPUT!CG194</f>
        <v>0.26683771648492621</v>
      </c>
      <c r="AK222" s="577">
        <f>+INPUT!CH194</f>
        <v>24.013683985460759</v>
      </c>
      <c r="AL222" s="597">
        <f>+INPUT!CI194</f>
        <v>0.24109093648760643</v>
      </c>
      <c r="AM222" s="577">
        <f>+INPUT!CJ194</f>
        <v>-2.3708812991029049</v>
      </c>
      <c r="AN222" s="597">
        <f>+INPUT!CK194</f>
        <v>0.25608606780915866</v>
      </c>
      <c r="AO222" s="577">
        <f>+INPUT!CL194</f>
        <v>-6.2532178477950424</v>
      </c>
      <c r="AP222" s="597">
        <f>+INPUT!CM194</f>
        <v>0.2485998991789298</v>
      </c>
      <c r="AQ222" s="577">
        <f>+INPUT!CN194</f>
        <v>-4.9862152980741143</v>
      </c>
      <c r="AR222" s="597">
        <f>+INPUT!CO194</f>
        <v>0.25268175586503377</v>
      </c>
      <c r="AS222" s="577">
        <f>+INPUT!CP194</f>
        <v>-5.3050823573106527</v>
      </c>
      <c r="AT222" s="597">
        <f>+INPUT!CQ194</f>
        <v>0.25201484411133812</v>
      </c>
      <c r="AU222" s="577">
        <f>+INPUT!CR194</f>
        <v>4.5310320590559598</v>
      </c>
      <c r="AV222" s="597">
        <f>+INPUT!CS194</f>
        <v>0.26353513560475522</v>
      </c>
      <c r="AW222" s="577">
        <f>+INPUT!CT194</f>
        <v>2.9088141574136017</v>
      </c>
      <c r="AX222" s="597">
        <f>+INPUT!CU194</f>
        <v>0.26186216559318187</v>
      </c>
      <c r="AY222" s="577">
        <f>+INPUT!CV194</f>
        <v>5.3347835047618162</v>
      </c>
      <c r="AZ222" s="597">
        <f>+INPUT!CW194</f>
        <v>0.27075780783871767</v>
      </c>
      <c r="BA222" s="577">
        <f>+INPUT!CX194</f>
        <v>7.1536830634258024</v>
      </c>
      <c r="BB222" s="597">
        <f>+INPUT!CY194</f>
        <v>0.28120375784241275</v>
      </c>
      <c r="BC222" s="577">
        <f>+INPUT!CZ194</f>
        <v>11.582220021206055</v>
      </c>
      <c r="BD222" s="597">
        <f>+INPUT!DA194</f>
        <v>0.27020226328170777</v>
      </c>
      <c r="BE222" s="577">
        <f>+INPUT!DB194</f>
        <v>2.5298818928462623</v>
      </c>
      <c r="BF222" s="597">
        <f>+INPUT!DC194</f>
        <v>0.26038588281015956</v>
      </c>
      <c r="BG222" s="577">
        <f>+INPUT!DD194</f>
        <v>-0.56376329878665388</v>
      </c>
      <c r="BH222" s="597">
        <f>+INPUT!DE194</f>
        <v>0.26048532864036189</v>
      </c>
      <c r="BI222" s="577">
        <f>+INPUT!DF194</f>
        <v>-3.7939733965030484</v>
      </c>
      <c r="BJ222" s="597">
        <f>+INPUT!DG194</f>
        <v>0.26673600171298351</v>
      </c>
      <c r="BK222" s="577">
        <f>+INPUT!DH194</f>
        <v>-5.1449369810829495</v>
      </c>
      <c r="BL222" s="597">
        <f>+INPUT!DI194</f>
        <v>0.26827241313951622</v>
      </c>
      <c r="BM222" s="577">
        <f>+INPUT!DJ194</f>
        <v>-0.71422426990535826</v>
      </c>
      <c r="BN222" s="597">
        <f>+INPUT!DK194</f>
        <v>0.25199448550184195</v>
      </c>
      <c r="BO222" s="577">
        <f>+INPUT!DL194</f>
        <v>-3.2226775191324606</v>
      </c>
      <c r="BP222" s="597">
        <f>+INPUT!DM194</f>
        <v>0.24568359107515619</v>
      </c>
      <c r="BQ222" s="577">
        <f>+INPUT!DN194</f>
        <v>-5.682369000382991</v>
      </c>
      <c r="BR222" s="597">
        <f>+INPUT!DO194</f>
        <v>0.22345688913717432</v>
      </c>
      <c r="BS222" s="577">
        <f>+INPUT!DP194</f>
        <v>-16.225448495092493</v>
      </c>
      <c r="BT222" s="597">
        <f>+INPUT!DQ194</f>
        <v>0.22697419123394028</v>
      </c>
      <c r="BU222" s="577">
        <f>+INPUT!DR194</f>
        <v>-15.394136662161614</v>
      </c>
      <c r="BV222" s="597">
        <f>+INPUT!DS194</f>
        <v>0.21586068436920189</v>
      </c>
      <c r="BW222" s="577">
        <f>+INPUT!DT194</f>
        <v>-14.339123755299781</v>
      </c>
      <c r="BX222" s="597">
        <f>+INPUT!DU194</f>
        <v>0.21946390375394598</v>
      </c>
      <c r="BY222" s="577">
        <f>+INPUT!DV194</f>
        <v>-10.672136143267892</v>
      </c>
      <c r="BZ222" s="597">
        <f>+INPUT!DW194</f>
        <v>0.20906524128715218</v>
      </c>
      <c r="CA222" s="577">
        <f>+INPUT!DX194</f>
        <v>-6.4404583387838557</v>
      </c>
      <c r="CB222" s="597">
        <f>+INPUT!DY194</f>
        <v>0.20335428095363572</v>
      </c>
      <c r="CC222" s="577">
        <f>+INPUT!DZ194</f>
        <v>-10.406429978622427</v>
      </c>
      <c r="CD222" s="597">
        <f>+INPUT!EA194</f>
        <v>0.19399115103975892</v>
      </c>
      <c r="CE222" s="577">
        <f>+INPUT!EB194</f>
        <v>-10.131318444278605</v>
      </c>
      <c r="CF222" s="597">
        <f>+INPUT!EC194</f>
        <v>0.20802769562753728</v>
      </c>
      <c r="CG222" s="577">
        <f>+INPUT!ED194</f>
        <v>-5.2109745296568235</v>
      </c>
      <c r="CH222" s="597">
        <f>+INPUT!EE194</f>
        <v>0.21321666760954699</v>
      </c>
      <c r="CI222" s="577">
        <f>+INPUT!EF194</f>
        <v>1.9857085265995238</v>
      </c>
      <c r="CJ222" s="597">
        <f>+INPUT!EG194</f>
        <v>0.21066113475142234</v>
      </c>
      <c r="CK222" s="577">
        <f>+INPUT!EH194</f>
        <v>3.5931644829510816</v>
      </c>
      <c r="CL222" s="597">
        <f>+INPUT!EI194</f>
        <v>0.21007143867760508</v>
      </c>
      <c r="CM222" s="577">
        <f>+INPUT!EJ194</f>
        <v>8.2891861570275864</v>
      </c>
      <c r="CN222" s="597">
        <f>+INPUT!EK194</f>
        <v>0.19752092516554665</v>
      </c>
      <c r="CO222" s="577">
        <f>+INPUT!EL194</f>
        <v>-5.0506594471932544</v>
      </c>
      <c r="CP222" s="597">
        <f>+INPUT!EM194</f>
        <v>0.18460612343862348</v>
      </c>
      <c r="CQ222" s="577">
        <f>+INPUT!EN194</f>
        <v>-13.418530779834043</v>
      </c>
      <c r="CR222" s="597">
        <f>+INPUT!EO194</f>
        <v>0.17867765648791026</v>
      </c>
      <c r="CS222" s="577">
        <f>+INPUT!EP194</f>
        <v>-15.182429498090471</v>
      </c>
      <c r="CT222" s="597">
        <f>+INPUT!EQ194</f>
        <v>0.17867765648791026</v>
      </c>
      <c r="CU222" s="577">
        <f>+INPUT!ER194</f>
        <v>-14.944336263567266</v>
      </c>
      <c r="CV222" s="597">
        <f>+INPUT!ES194</f>
        <v>0.17867765648791026</v>
      </c>
      <c r="CW222" s="577">
        <f>+INPUT!ET194</f>
        <v>-9.5398847802294426</v>
      </c>
      <c r="CX222" s="597">
        <f>+INPUT!EU194</f>
        <v>0.17867765648791026</v>
      </c>
      <c r="CY222" s="577">
        <f>+INPUT!EV194</f>
        <v>-3.2114140312817341</v>
      </c>
      <c r="CZ222" s="597">
        <f>+INPUT!EW194</f>
        <v>0.17867765648791026</v>
      </c>
      <c r="DA222" s="577">
        <f>+INPUT!EX194</f>
        <v>0</v>
      </c>
      <c r="DB222" s="605"/>
      <c r="DC222" s="597">
        <f>+INPUT!FP194</f>
        <v>0.26758650722254373</v>
      </c>
      <c r="DD222" s="577">
        <f>+INPUT!FQ194</f>
        <v>4.3162172211238357</v>
      </c>
      <c r="DE222" s="597">
        <f>+INPUT!FR194</f>
        <v>0.25270900374335065</v>
      </c>
      <c r="DF222" s="577">
        <f>+INPUT!FS194</f>
        <v>-5.559885523981194</v>
      </c>
      <c r="DG222" s="597">
        <f>+INPUT!FT194</f>
        <v>0.24469707792058176</v>
      </c>
      <c r="DH222" s="577">
        <f>+INPUT!FU194</f>
        <v>-3.1704156575702171</v>
      </c>
      <c r="DI222" s="597">
        <f>+INPUT!FV194</f>
        <v>0.25522233511421805</v>
      </c>
      <c r="DJ222" s="577">
        <f>+INPUT!FW194</f>
        <v>4.3013415947093421</v>
      </c>
      <c r="DK222" s="597">
        <f>+INPUT!FX194</f>
        <v>0.22975397526594021</v>
      </c>
      <c r="DL222" s="577">
        <f>+INPUT!FY194</f>
        <v>-9.9788914778481796</v>
      </c>
      <c r="DM222" s="597">
        <f>+INPUT!FZ194</f>
        <v>0.24641821314085091</v>
      </c>
      <c r="DN222" s="577">
        <f>+INPUT!GA194</f>
        <v>7.2530792364405556</v>
      </c>
      <c r="DO222" s="597">
        <f>+INPUT!GB194</f>
        <v>0.2573252823876927</v>
      </c>
      <c r="DP222" s="577">
        <f>+INPUT!GC194</f>
        <v>4.4262431367471038</v>
      </c>
      <c r="DQ222" s="597">
        <f>+INPUT!GD194</f>
        <v>0.26956529175824645</v>
      </c>
      <c r="DR222" s="577">
        <f>+INPUT!GE194</f>
        <v>4.7566291415208184</v>
      </c>
      <c r="DS222" s="597">
        <f>+INPUT!GF194</f>
        <v>0.25534039655499763</v>
      </c>
      <c r="DT222" s="577">
        <f>+INPUT!GG194</f>
        <v>-5.2769757970199294</v>
      </c>
      <c r="DU222" s="597">
        <f>+INPUT!GH194</f>
        <v>0.23550799487666818</v>
      </c>
      <c r="DV222" s="577">
        <f>+INPUT!GI194</f>
        <v>-7.7670442851598551</v>
      </c>
      <c r="DW222" s="597">
        <f>+INPUT!GJ194</f>
        <v>0.21142915725243283</v>
      </c>
      <c r="DX222" s="577">
        <f>+INPUT!GK194</f>
        <v>-10.224212403848568</v>
      </c>
      <c r="DY222" s="597">
        <f>+INPUT!GL194</f>
        <v>0.20216537679638111</v>
      </c>
      <c r="DZ222" s="577">
        <f>+INPUT!GM194</f>
        <v>-4.381505643042118</v>
      </c>
      <c r="EA222" s="597">
        <f>+INPUT!GN194</f>
        <v>0.18640048530303865</v>
      </c>
      <c r="EB222" s="577">
        <f>+INPUT!GO194</f>
        <v>-7.7980175157394456</v>
      </c>
      <c r="EC222" s="597">
        <f>+INPUT!GP194</f>
        <v>0.17649281542428472</v>
      </c>
      <c r="ED222" s="577">
        <f>+INPUT!GQ194</f>
        <v>-5.3152597015220522</v>
      </c>
      <c r="EE222" s="597">
        <f>+INPUT!GR194</f>
        <v>0.16649281542428471</v>
      </c>
      <c r="EF222" s="577">
        <f>+INPUT!GS194</f>
        <v>-5.6659530168184205</v>
      </c>
      <c r="EG222" s="597">
        <f>+INPUT!GT194</f>
        <v>0.1564928154242847</v>
      </c>
      <c r="EH222" s="577">
        <f>+INPUT!GU194</f>
        <v>-6.0062651799816962</v>
      </c>
      <c r="EI222" s="597">
        <f>+INPUT!GV194</f>
        <v>0.14649281542428469</v>
      </c>
      <c r="EJ222" s="577">
        <f>+INPUT!GW194</f>
        <v>-6.3900697120745917</v>
      </c>
      <c r="EK222" s="597">
        <f>+INPUT!GX194</f>
        <v>0.13649281542428468</v>
      </c>
      <c r="EL222" s="577">
        <f>+INPUT!GY194</f>
        <v>-6.8262733370487751</v>
      </c>
      <c r="EM222" s="577">
        <f>+INPUT!GZ194</f>
        <v>-6.042262451251279</v>
      </c>
    </row>
    <row r="223" spans="1:144" ht="12.75" hidden="1" customHeight="1" outlineLevel="1" x14ac:dyDescent="0.2">
      <c r="A223" s="579"/>
      <c r="B223" s="580"/>
      <c r="C223" s="577"/>
      <c r="D223" s="580"/>
      <c r="E223" s="577"/>
      <c r="F223" s="580"/>
      <c r="G223" s="577"/>
      <c r="H223" s="580"/>
      <c r="I223" s="577"/>
      <c r="J223" s="580"/>
      <c r="K223" s="577"/>
      <c r="L223" s="580"/>
      <c r="M223" s="577"/>
      <c r="N223" s="580"/>
      <c r="O223" s="577"/>
      <c r="P223" s="580"/>
      <c r="Q223" s="577"/>
      <c r="R223" s="580"/>
      <c r="S223" s="577"/>
      <c r="T223" s="580"/>
      <c r="U223" s="577"/>
      <c r="V223" s="580"/>
      <c r="W223" s="577"/>
      <c r="X223" s="580"/>
      <c r="Y223" s="577"/>
      <c r="Z223" s="580"/>
      <c r="AA223" s="577"/>
      <c r="AB223" s="580"/>
      <c r="AC223" s="577"/>
      <c r="AD223" s="580"/>
      <c r="AE223" s="577"/>
      <c r="AF223" s="580"/>
      <c r="AG223" s="577"/>
      <c r="AH223" s="580"/>
      <c r="AI223" s="577"/>
      <c r="AJ223" s="580"/>
      <c r="AK223" s="577"/>
      <c r="AL223" s="580"/>
      <c r="AM223" s="577"/>
      <c r="AN223" s="580"/>
      <c r="AO223" s="577"/>
      <c r="AP223" s="580"/>
      <c r="AQ223" s="577"/>
      <c r="AR223" s="580"/>
      <c r="AS223" s="577"/>
      <c r="AT223" s="580"/>
      <c r="AU223" s="577"/>
      <c r="AV223" s="580"/>
      <c r="AW223" s="577"/>
      <c r="AX223" s="580"/>
      <c r="AY223" s="577"/>
      <c r="AZ223" s="580"/>
      <c r="BA223" s="577"/>
      <c r="BB223" s="580"/>
      <c r="BC223" s="577"/>
      <c r="BD223" s="580"/>
      <c r="BE223" s="577"/>
      <c r="BF223" s="580"/>
      <c r="BG223" s="577"/>
      <c r="BH223" s="580"/>
      <c r="BI223" s="577"/>
      <c r="BJ223" s="580"/>
      <c r="BK223" s="577"/>
      <c r="BL223" s="580"/>
      <c r="BM223" s="577"/>
      <c r="BN223" s="580"/>
      <c r="BO223" s="577"/>
      <c r="BP223" s="580"/>
      <c r="BQ223" s="577"/>
      <c r="BR223" s="580"/>
      <c r="BS223" s="577"/>
      <c r="BT223" s="580"/>
      <c r="BU223" s="577"/>
      <c r="BV223" s="580"/>
      <c r="BW223" s="577"/>
      <c r="BX223" s="580"/>
      <c r="BY223" s="577"/>
      <c r="BZ223" s="580"/>
      <c r="CA223" s="577"/>
      <c r="CB223" s="580"/>
      <c r="CC223" s="577"/>
      <c r="CD223" s="580"/>
      <c r="CE223" s="577"/>
      <c r="CF223" s="580"/>
      <c r="CG223" s="577"/>
      <c r="CH223" s="580"/>
      <c r="CI223" s="577"/>
      <c r="CJ223" s="580"/>
      <c r="CK223" s="577"/>
      <c r="CL223" s="580"/>
      <c r="CM223" s="577"/>
      <c r="CN223" s="580"/>
      <c r="CO223" s="577"/>
      <c r="CP223" s="580"/>
      <c r="CQ223" s="577"/>
      <c r="CR223" s="580"/>
      <c r="CS223" s="577"/>
      <c r="CT223" s="580"/>
      <c r="CU223" s="577"/>
      <c r="CV223" s="580"/>
      <c r="CW223" s="577"/>
      <c r="CX223" s="580"/>
      <c r="CY223" s="577"/>
      <c r="CZ223" s="580"/>
      <c r="DA223" s="577"/>
      <c r="DB223" s="605"/>
      <c r="DC223" s="580"/>
      <c r="DD223" s="577"/>
      <c r="DE223" s="580"/>
      <c r="DF223" s="577"/>
      <c r="DG223" s="580"/>
      <c r="DH223" s="577"/>
      <c r="DI223" s="580"/>
      <c r="DJ223" s="577"/>
      <c r="DK223" s="580"/>
      <c r="DL223" s="577"/>
      <c r="DM223" s="580"/>
      <c r="DN223" s="577"/>
      <c r="DO223" s="580"/>
      <c r="DP223" s="577"/>
      <c r="DQ223" s="580"/>
      <c r="DR223" s="577"/>
      <c r="DS223" s="580"/>
      <c r="DT223" s="577"/>
      <c r="DU223" s="580"/>
      <c r="DV223" s="577"/>
      <c r="DW223" s="580"/>
      <c r="DX223" s="577"/>
      <c r="DY223" s="580"/>
      <c r="DZ223" s="577"/>
      <c r="EA223" s="580"/>
      <c r="EB223" s="577"/>
      <c r="EC223" s="580"/>
      <c r="ED223" s="577"/>
      <c r="EE223" s="580"/>
      <c r="EF223" s="577"/>
      <c r="EG223" s="580"/>
      <c r="EH223" s="577"/>
      <c r="EI223" s="580"/>
      <c r="EJ223" s="577"/>
      <c r="EK223" s="580"/>
      <c r="EL223" s="577"/>
      <c r="EM223" s="577"/>
    </row>
    <row r="224" spans="1:144" ht="12.75" hidden="1" customHeight="1" outlineLevel="1" x14ac:dyDescent="0.2">
      <c r="A224" s="614" t="s">
        <v>312</v>
      </c>
      <c r="B224" s="580"/>
      <c r="C224" s="577"/>
      <c r="D224" s="580"/>
      <c r="E224" s="577"/>
      <c r="F224" s="580"/>
      <c r="G224" s="577"/>
      <c r="H224" s="580"/>
      <c r="I224" s="577"/>
      <c r="J224" s="580"/>
      <c r="K224" s="577"/>
      <c r="L224" s="580"/>
      <c r="M224" s="577"/>
      <c r="N224" s="580"/>
      <c r="O224" s="577"/>
      <c r="P224" s="580"/>
      <c r="Q224" s="577"/>
      <c r="R224" s="580"/>
      <c r="S224" s="577"/>
      <c r="T224" s="580"/>
      <c r="U224" s="577"/>
      <c r="V224" s="580"/>
      <c r="W224" s="577"/>
      <c r="X224" s="580"/>
      <c r="Y224" s="577"/>
      <c r="Z224" s="580"/>
      <c r="AA224" s="577"/>
      <c r="AB224" s="580"/>
      <c r="AC224" s="577"/>
      <c r="AD224" s="580"/>
      <c r="AE224" s="577"/>
      <c r="AF224" s="580"/>
      <c r="AG224" s="577"/>
      <c r="AH224" s="580"/>
      <c r="AI224" s="577"/>
      <c r="AJ224" s="580"/>
      <c r="AK224" s="577"/>
      <c r="AL224" s="580"/>
      <c r="AM224" s="577"/>
      <c r="AN224" s="580"/>
      <c r="AO224" s="577"/>
      <c r="AP224" s="580"/>
      <c r="AQ224" s="577"/>
      <c r="AR224" s="580"/>
      <c r="AS224" s="577"/>
      <c r="AT224" s="580"/>
      <c r="AU224" s="577"/>
      <c r="AV224" s="580"/>
      <c r="AW224" s="577"/>
      <c r="AX224" s="580"/>
      <c r="AY224" s="577"/>
      <c r="AZ224" s="580"/>
      <c r="BA224" s="577"/>
      <c r="BB224" s="580"/>
      <c r="BC224" s="577"/>
      <c r="BD224" s="580"/>
      <c r="BE224" s="577"/>
      <c r="BF224" s="580"/>
      <c r="BG224" s="577"/>
      <c r="BH224" s="580"/>
      <c r="BI224" s="577"/>
      <c r="BJ224" s="580"/>
      <c r="BK224" s="577"/>
      <c r="BL224" s="580"/>
      <c r="BM224" s="577"/>
      <c r="BN224" s="580"/>
      <c r="BO224" s="577"/>
      <c r="BP224" s="580"/>
      <c r="BQ224" s="577"/>
      <c r="BR224" s="580"/>
      <c r="BS224" s="577"/>
      <c r="BT224" s="580"/>
      <c r="BU224" s="577"/>
      <c r="BV224" s="580"/>
      <c r="BW224" s="577"/>
      <c r="BX224" s="580"/>
      <c r="BY224" s="577"/>
      <c r="BZ224" s="580"/>
      <c r="CA224" s="577"/>
      <c r="CB224" s="580"/>
      <c r="CC224" s="577"/>
      <c r="CD224" s="580"/>
      <c r="CE224" s="577"/>
      <c r="CF224" s="580"/>
      <c r="CG224" s="577"/>
      <c r="CH224" s="580"/>
      <c r="CI224" s="577"/>
      <c r="CJ224" s="580"/>
      <c r="CK224" s="577"/>
      <c r="CL224" s="580"/>
      <c r="CM224" s="577"/>
      <c r="CN224" s="580"/>
      <c r="CO224" s="577"/>
      <c r="CP224" s="580"/>
      <c r="CQ224" s="577"/>
      <c r="CR224" s="580"/>
      <c r="CS224" s="577"/>
      <c r="CT224" s="580"/>
      <c r="CU224" s="577"/>
      <c r="CV224" s="580"/>
      <c r="CW224" s="577"/>
      <c r="CX224" s="580"/>
      <c r="CY224" s="577"/>
      <c r="CZ224" s="580"/>
      <c r="DA224" s="577"/>
      <c r="DB224" s="605"/>
      <c r="DC224" s="580"/>
      <c r="DD224" s="577"/>
      <c r="DE224" s="580"/>
      <c r="DF224" s="577"/>
      <c r="DG224" s="580"/>
      <c r="DH224" s="577"/>
      <c r="DI224" s="580"/>
      <c r="DJ224" s="577"/>
      <c r="DK224" s="580"/>
      <c r="DL224" s="577"/>
      <c r="DM224" s="580"/>
      <c r="DN224" s="577"/>
      <c r="DO224" s="580"/>
      <c r="DP224" s="577"/>
      <c r="DQ224" s="580"/>
      <c r="DR224" s="577"/>
      <c r="DS224" s="580"/>
      <c r="DT224" s="577"/>
      <c r="DU224" s="580"/>
      <c r="DV224" s="577"/>
      <c r="DW224" s="580"/>
      <c r="DX224" s="577"/>
      <c r="DY224" s="580"/>
      <c r="DZ224" s="577"/>
      <c r="EA224" s="580"/>
      <c r="EB224" s="577"/>
      <c r="EC224" s="580"/>
      <c r="ED224" s="577"/>
      <c r="EE224" s="580"/>
      <c r="EF224" s="577"/>
      <c r="EG224" s="580"/>
      <c r="EH224" s="577"/>
      <c r="EI224" s="580"/>
      <c r="EJ224" s="577"/>
      <c r="EK224" s="580"/>
      <c r="EL224" s="577"/>
      <c r="EM224" s="577"/>
    </row>
    <row r="225" spans="1:144" ht="12.75" hidden="1" customHeight="1" outlineLevel="1" x14ac:dyDescent="0.2">
      <c r="A225" s="609" t="str">
        <f>+INPUT!B207</f>
        <v>Insurance and Annuity Benefits/Revenues (%)</v>
      </c>
      <c r="B225" s="586">
        <f>+INPUT!AY207</f>
        <v>25.521821631878556</v>
      </c>
      <c r="C225" s="577">
        <f>+INPUT!AZ207</f>
        <v>11.939896738890596</v>
      </c>
      <c r="D225" s="586">
        <f>+INPUT!BA207</f>
        <v>22.380952380952383</v>
      </c>
      <c r="E225" s="577">
        <f>+INPUT!BB207</f>
        <v>-16.729691876750692</v>
      </c>
      <c r="F225" s="586">
        <f>+INPUT!BC207</f>
        <v>26.708633093525179</v>
      </c>
      <c r="G225" s="577">
        <f>+INPUT!BD207</f>
        <v>-5.527233618510607</v>
      </c>
      <c r="H225" s="586">
        <f>+INPUT!BE207</f>
        <v>26.053310404127256</v>
      </c>
      <c r="I225" s="577">
        <f>+INPUT!BF207</f>
        <v>0.19750580233903747</v>
      </c>
      <c r="J225" s="586">
        <f>+INPUT!BG207</f>
        <v>25.967325881341356</v>
      </c>
      <c r="K225" s="577">
        <f>+INPUT!BH207</f>
        <v>1.7455817060735797</v>
      </c>
      <c r="L225" s="586">
        <f>+INPUT!BI207</f>
        <v>24</v>
      </c>
      <c r="M225" s="577">
        <f>+INPUT!BJ207</f>
        <v>7.234042553191486</v>
      </c>
      <c r="N225" s="586">
        <f>+INPUT!BK207</f>
        <v>24.267782426778243</v>
      </c>
      <c r="O225" s="577">
        <f>+INPUT!BL207</f>
        <v>-9.1388078835777549</v>
      </c>
      <c r="P225" s="586">
        <f>+INPUT!BM207</f>
        <v>23.083333333333332</v>
      </c>
      <c r="Q225" s="577">
        <f>+INPUT!BN207</f>
        <v>-11.399614961496155</v>
      </c>
      <c r="R225" s="586">
        <f>+INPUT!BO207</f>
        <v>30.939226519337016</v>
      </c>
      <c r="S225" s="577">
        <f>+INPUT!BP207</f>
        <v>19.146756430427004</v>
      </c>
      <c r="T225" s="586">
        <f>+INPUT!BQ207</f>
        <v>28.169014084507044</v>
      </c>
      <c r="U225" s="577">
        <f>+INPUT!BR207</f>
        <v>17.370892018779344</v>
      </c>
      <c r="V225" s="586">
        <f>+INPUT!BS207</f>
        <v>22.271914132379248</v>
      </c>
      <c r="W225" s="577">
        <f>+INPUT!BT207</f>
        <v>-8.2243538338165507</v>
      </c>
      <c r="X225" s="586">
        <f>+INPUT!BU207</f>
        <v>27.15654952076677</v>
      </c>
      <c r="Y225" s="577">
        <f>+INPUT!BV207</f>
        <v>17.645701895018505</v>
      </c>
      <c r="Z225" s="586">
        <f>+INPUT!BW207</f>
        <v>28.571428571428569</v>
      </c>
      <c r="AA225" s="577">
        <f>+INPUT!BX207</f>
        <v>-7.6530612244898037</v>
      </c>
      <c r="AB225" s="586">
        <f>+INPUT!BY207</f>
        <v>35.104669887278583</v>
      </c>
      <c r="AC225" s="577">
        <f>+INPUT!BZ207</f>
        <v>24.621578099838956</v>
      </c>
      <c r="AD225" s="586">
        <f>+INPUT!CA207</f>
        <v>26.81818181818182</v>
      </c>
      <c r="AE225" s="577">
        <f>+INPUT!CB207</f>
        <v>20.412559328221988</v>
      </c>
      <c r="AF225" s="586">
        <f>+INPUT!CC207</f>
        <v>27.42504409171076</v>
      </c>
      <c r="AG225" s="577">
        <f>+INPUT!CD207</f>
        <v>0.98869177300551314</v>
      </c>
      <c r="AH225" s="586">
        <f>+INPUT!CE207</f>
        <v>26.217891939769704</v>
      </c>
      <c r="AI225" s="577">
        <f>+INPUT!CF207</f>
        <v>-8.2373782108060283</v>
      </c>
      <c r="AJ225" s="586">
        <f>+INPUT!CG207</f>
        <v>39.489051094890506</v>
      </c>
      <c r="AK225" s="577">
        <f>+INPUT!CH207</f>
        <v>12.489452889573414</v>
      </c>
      <c r="AL225" s="586">
        <f>+INPUT!CI207</f>
        <v>40.406976744186046</v>
      </c>
      <c r="AM225" s="577">
        <f>+INPUT!CJ207</f>
        <v>50.670082774931018</v>
      </c>
      <c r="AN225" s="586">
        <f>+INPUT!CK207</f>
        <v>34.785932721712534</v>
      </c>
      <c r="AO225" s="577">
        <f>+INPUT!CL207</f>
        <v>26.840024779491984</v>
      </c>
      <c r="AP225" s="586">
        <f>+INPUT!CM207</f>
        <v>30.348258706467661</v>
      </c>
      <c r="AQ225" s="577">
        <f>+INPUT!CN207</f>
        <v>15.754000268925665</v>
      </c>
      <c r="AR225" s="586">
        <f>+INPUT!CO207</f>
        <v>33.653846153846153</v>
      </c>
      <c r="AS225" s="577">
        <f>+INPUT!CP207</f>
        <v>-14.776766671406222</v>
      </c>
      <c r="AT225" s="586">
        <f>+INPUT!CQ207</f>
        <v>31.340734415029893</v>
      </c>
      <c r="AU225" s="577">
        <f>+INPUT!CR207</f>
        <v>-22.437319145537529</v>
      </c>
      <c r="AV225" s="586">
        <f>+INPUT!CS207</f>
        <v>35.393258426966291</v>
      </c>
      <c r="AW225" s="577">
        <f>+INPUT!CT207</f>
        <v>1.7458945548833213</v>
      </c>
      <c r="AX225" s="586">
        <f>+INPUT!CU207</f>
        <v>26.738934056007224</v>
      </c>
      <c r="AY225" s="577">
        <f>+INPUT!CV207</f>
        <v>-11.893020569549961</v>
      </c>
      <c r="AZ225" s="586">
        <f>+INPUT!CW207</f>
        <v>34.863123993558773</v>
      </c>
      <c r="BA225" s="577">
        <f>+INPUT!CX207</f>
        <v>3.5932827237175076</v>
      </c>
      <c r="BB225" s="586">
        <f>+INPUT!CY207</f>
        <v>30.206540447504302</v>
      </c>
      <c r="BC225" s="577">
        <f>+INPUT!CZ207</f>
        <v>-3.6189131770366885</v>
      </c>
      <c r="BD225" s="586">
        <f>+INPUT!DA207</f>
        <v>97.439850078587838</v>
      </c>
      <c r="BE225" s="577" t="str">
        <f>+INPUT!DB207</f>
        <v>NM</v>
      </c>
      <c r="BF225" s="586">
        <f>+INPUT!DC207</f>
        <v>36.077844311377241</v>
      </c>
      <c r="BG225" s="577">
        <f>+INPUT!DD207</f>
        <v>34.926262340184508</v>
      </c>
      <c r="BH225" s="586">
        <f>+INPUT!DE207</f>
        <v>40.105193951347793</v>
      </c>
      <c r="BI225" s="577">
        <f>+INPUT!DF207</f>
        <v>15.036145236891358</v>
      </c>
      <c r="BJ225" s="586">
        <f>+INPUT!DG207</f>
        <v>43.672131147540981</v>
      </c>
      <c r="BK225" s="577">
        <f>+INPUT!DH207</f>
        <v>44.578394283312321</v>
      </c>
      <c r="BL225" s="586">
        <f>+INPUT!DI207</f>
        <v>42.709599027946538</v>
      </c>
      <c r="BM225" s="577" t="str">
        <f>+INPUT!DJ207</f>
        <v>NM</v>
      </c>
      <c r="BN225" s="586">
        <f>+INPUT!DK207</f>
        <v>35.597648595689094</v>
      </c>
      <c r="BO225" s="577">
        <f>+INPUT!DL207</f>
        <v>-1.3309989131937101</v>
      </c>
      <c r="BP225" s="586">
        <f>+INPUT!DM207</f>
        <v>37.576582709326075</v>
      </c>
      <c r="BQ225" s="577">
        <f>+INPUT!DN207</f>
        <v>-6.3049470477295557</v>
      </c>
      <c r="BR225" s="586">
        <f>+INPUT!DO207</f>
        <v>63.16228619107217</v>
      </c>
      <c r="BS225" s="577">
        <f>+INPUT!DP207</f>
        <v>44.628358020097693</v>
      </c>
      <c r="BT225" s="586">
        <f>+INPUT!DQ207</f>
        <v>85.703592814371248</v>
      </c>
      <c r="BU225" s="577" t="str">
        <f>+INPUT!DR207</f>
        <v>NM</v>
      </c>
      <c r="BV225" s="586">
        <f>+INPUT!DS207</f>
        <v>63.276836158192097</v>
      </c>
      <c r="BW225" s="577">
        <f>+INPUT!DT207</f>
        <v>77.755662675581817</v>
      </c>
      <c r="BX225" s="586">
        <f>+INPUT!DU207</f>
        <v>72.232704402515722</v>
      </c>
      <c r="BY225" s="577">
        <f>+INPUT!DV207</f>
        <v>92.227976027709389</v>
      </c>
      <c r="BZ225" s="586">
        <f>+INPUT!DW207</f>
        <v>54.827052142488384</v>
      </c>
      <c r="CA225" s="577">
        <f>+INPUT!DX207</f>
        <v>-13.196536337156758</v>
      </c>
      <c r="CB225" s="586">
        <f>+INPUT!DY207</f>
        <v>80.998580217699953</v>
      </c>
      <c r="CC225" s="577">
        <f>+INPUT!DZ207</f>
        <v>-5.4898662263343709</v>
      </c>
      <c r="CD225" s="586">
        <f>+INPUT!EA207</f>
        <v>55.995773903856318</v>
      </c>
      <c r="CE225" s="577">
        <f>+INPUT!EB207</f>
        <v>-11.506678741227077</v>
      </c>
      <c r="CF225" s="586">
        <f>+INPUT!EC207</f>
        <v>62.605979473449359</v>
      </c>
      <c r="CG225" s="577">
        <f>+INPUT!ED207</f>
        <v>-13.327377132969545</v>
      </c>
      <c r="CH225" s="586">
        <f>+INPUT!EE207</f>
        <v>81.904947409427336</v>
      </c>
      <c r="CI225" s="577">
        <f>+INPUT!EF207</f>
        <v>49.387837224162666</v>
      </c>
      <c r="CJ225" s="586">
        <f>+INPUT!EG207</f>
        <v>73.725055432372514</v>
      </c>
      <c r="CK225" s="577">
        <f>+INPUT!EH207</f>
        <v>-8.9798176286280267</v>
      </c>
      <c r="CL225" s="586">
        <f>+INPUT!EI207</f>
        <v>47.341249354672172</v>
      </c>
      <c r="CM225" s="577">
        <f>+INPUT!EJ207</f>
        <v>-15.455674501514707</v>
      </c>
      <c r="CN225" s="586">
        <f>+INPUT!EK207</f>
        <v>73.440532298308852</v>
      </c>
      <c r="CO225" s="577">
        <f>+INPUT!EL207</f>
        <v>17.30593933037072</v>
      </c>
      <c r="CP225" s="586">
        <f>+INPUT!EM207</f>
        <v>72.9671678428966</v>
      </c>
      <c r="CQ225" s="577">
        <f>+INPUT!EN207</f>
        <v>-10.912380569457497</v>
      </c>
      <c r="CR225" s="586">
        <f>+INPUT!EO207</f>
        <v>81.170634920634924</v>
      </c>
      <c r="CS225" s="577">
        <f>+INPUT!EP207</f>
        <v>10.099116839718334</v>
      </c>
      <c r="CT225" s="586">
        <f>+INPUT!EQ207</f>
        <v>71.5</v>
      </c>
      <c r="CU225" s="577">
        <f>+INPUT!ER207</f>
        <v>51.031079607415478</v>
      </c>
      <c r="CV225" s="586">
        <f>+INPUT!ES207</f>
        <v>72.25</v>
      </c>
      <c r="CW225" s="577">
        <f>+INPUT!ET207</f>
        <v>-1.6210834277085837</v>
      </c>
      <c r="CX225" s="586">
        <f>+INPUT!EU207</f>
        <v>72.95</v>
      </c>
      <c r="CY225" s="577">
        <f>+INPUT!EV207</f>
        <v>-2.3528174936927826E-2</v>
      </c>
      <c r="CZ225" s="586">
        <f>+INPUT!EW207</f>
        <v>73.350000000000009</v>
      </c>
      <c r="DA225" s="577">
        <f>+INPUT!EX207</f>
        <v>-9.6348081153752076</v>
      </c>
      <c r="DB225" s="615"/>
      <c r="DC225" s="586">
        <f>+INPUT!FP207</f>
        <v>26.062111801242239</v>
      </c>
      <c r="DD225" s="577">
        <f>+INPUT!FQ207</f>
        <v>-2.4938392586934697</v>
      </c>
      <c r="DE225" s="586">
        <f>+INPUT!FR207</f>
        <v>25.211235441881708</v>
      </c>
      <c r="DF225" s="577">
        <f>+INPUT!FS207</f>
        <v>-3.2648020461640925</v>
      </c>
      <c r="DG225" s="586">
        <f>+INPUT!FT207</f>
        <v>24.320305862361938</v>
      </c>
      <c r="DH225" s="577">
        <f>+INPUT!FU207</f>
        <v>-3.5338592651422829</v>
      </c>
      <c r="DI225" s="586">
        <f>+INPUT!FV207</f>
        <v>27.186663922617821</v>
      </c>
      <c r="DJ225" s="577">
        <f>+INPUT!FW207</f>
        <v>11.785863535095814</v>
      </c>
      <c r="DK225" s="586">
        <f>+INPUT!FX207</f>
        <v>29.620090148100452</v>
      </c>
      <c r="DL225" s="577">
        <f>+INPUT!FY207</f>
        <v>8.950808500847927</v>
      </c>
      <c r="DM225" s="586">
        <f>+INPUT!FZ207</f>
        <v>35.655026046691106</v>
      </c>
      <c r="DN225" s="577">
        <f>+INPUT!GA207</f>
        <v>20.374468370676709</v>
      </c>
      <c r="DO225" s="586">
        <f>+INPUT!GB207</f>
        <v>32.724286594128515</v>
      </c>
      <c r="DP225" s="577">
        <f>+INPUT!GC207</f>
        <v>-8.2197091897358803</v>
      </c>
      <c r="DQ225" s="586">
        <f>+INPUT!GD207</f>
        <v>91.042492143735487</v>
      </c>
      <c r="DR225" s="577" t="str">
        <f>+INPUT!GE207</f>
        <v>NM</v>
      </c>
      <c r="DS225" s="586">
        <f>+INPUT!GF207</f>
        <v>40.826144658261448</v>
      </c>
      <c r="DT225" s="577" t="str">
        <f>+INPUT!GG207</f>
        <v>NM</v>
      </c>
      <c r="DU225" s="586">
        <f>+INPUT!GH207</f>
        <v>69.023764179845998</v>
      </c>
      <c r="DV225" s="577">
        <f>+INPUT!GI207</f>
        <v>69.067554033365155</v>
      </c>
      <c r="DW225" s="586">
        <f>+INPUT!GJ207</f>
        <v>70.637001945689875</v>
      </c>
      <c r="DX225" s="577">
        <f>+INPUT!GK207</f>
        <v>2.3372207891190726</v>
      </c>
      <c r="DY225" s="586">
        <f>+INPUT!GL207</f>
        <v>72.444858651755212</v>
      </c>
      <c r="DZ225" s="577">
        <f>+INPUT!GM207</f>
        <v>2.5593621703471143</v>
      </c>
      <c r="EA225" s="586">
        <f>+INPUT!GN207</f>
        <v>72.491511955500982</v>
      </c>
      <c r="EB225" s="577">
        <f>+INPUT!GO207</f>
        <v>6.4398363961259975E-2</v>
      </c>
      <c r="EC225" s="586">
        <f>+INPUT!GP207</f>
        <v>72.519892584143719</v>
      </c>
      <c r="ED225" s="577">
        <f>+INPUT!GQ207</f>
        <v>3.9150278256244064E-2</v>
      </c>
      <c r="EE225" s="586">
        <f>+INPUT!GR207</f>
        <v>72.519892584143719</v>
      </c>
      <c r="EF225" s="577">
        <f>+INPUT!GS207</f>
        <v>0</v>
      </c>
      <c r="EG225" s="586">
        <f>+INPUT!GT207</f>
        <v>72.519892584143719</v>
      </c>
      <c r="EH225" s="577">
        <f>+INPUT!GU207</f>
        <v>0</v>
      </c>
      <c r="EI225" s="586">
        <f>+INPUT!GV207</f>
        <v>72.519892584143719</v>
      </c>
      <c r="EJ225" s="577">
        <f>+INPUT!GW207</f>
        <v>0</v>
      </c>
      <c r="EK225" s="586">
        <f>+INPUT!GX207</f>
        <v>72.519892584143719</v>
      </c>
      <c r="EL225" s="577">
        <f>+INPUT!GY207</f>
        <v>0</v>
      </c>
      <c r="EM225" s="577">
        <f>+INPUT!GZ207</f>
        <v>7.8288297437723031E-3</v>
      </c>
    </row>
    <row r="226" spans="1:144" ht="12.75" hidden="1" customHeight="1" outlineLevel="1" x14ac:dyDescent="0.2">
      <c r="A226" s="609" t="str">
        <f>+INPUT!B209</f>
        <v>G&amp;A Expenses/Total Revenues (%)</v>
      </c>
      <c r="B226" s="586">
        <f>+INPUT!AY209</f>
        <v>18.026565464895636</v>
      </c>
      <c r="C226" s="577">
        <f>+INPUT!AZ209</f>
        <v>-4.4997121719292892</v>
      </c>
      <c r="D226" s="586">
        <f>+INPUT!BA209</f>
        <v>16.571428571428569</v>
      </c>
      <c r="E226" s="577">
        <f>+INPUT!BB209</f>
        <v>-9.8371735791090629</v>
      </c>
      <c r="F226" s="586">
        <f>+INPUT!BC209</f>
        <v>17.446043165467625</v>
      </c>
      <c r="G226" s="577">
        <f>+INPUT!BD209</f>
        <v>-5.3574756774891057</v>
      </c>
      <c r="H226" s="586">
        <f>+INPUT!BE209</f>
        <v>17.884780739466898</v>
      </c>
      <c r="I226" s="577">
        <f>+INPUT!BF209</f>
        <v>-13.697496714742272</v>
      </c>
      <c r="J226" s="586">
        <f>+INPUT!BG209</f>
        <v>15.82115219260533</v>
      </c>
      <c r="K226" s="577">
        <f>+INPUT!BH209</f>
        <v>-12.234239942073586</v>
      </c>
      <c r="L226" s="586">
        <f>+INPUT!BI209</f>
        <v>16.782608695652172</v>
      </c>
      <c r="M226" s="577">
        <f>+INPUT!BJ209</f>
        <v>1.2743628185907028</v>
      </c>
      <c r="N226" s="586">
        <f>+INPUT!BK209</f>
        <v>22.00836820083682</v>
      </c>
      <c r="O226" s="577">
        <f>+INPUT!BL209</f>
        <v>26.151058965621374</v>
      </c>
      <c r="P226" s="586">
        <f>+INPUT!BM209</f>
        <v>17.75</v>
      </c>
      <c r="Q226" s="577">
        <f>+INPUT!BN209</f>
        <v>-0.7536057692307736</v>
      </c>
      <c r="R226" s="586">
        <f>+INPUT!BO209</f>
        <v>16.416732438831886</v>
      </c>
      <c r="S226" s="577">
        <f>+INPUT!BP209</f>
        <v>3.764455578051539</v>
      </c>
      <c r="T226" s="586">
        <f>+INPUT!BQ209</f>
        <v>16.818558409279206</v>
      </c>
      <c r="U226" s="577">
        <f>+INPUT!BR209</f>
        <v>0.21420813819217699</v>
      </c>
      <c r="V226" s="586">
        <f>+INPUT!BS209</f>
        <v>16.100178890876567</v>
      </c>
      <c r="W226" s="577">
        <f>+INPUT!BT209</f>
        <v>-26.845194773393544</v>
      </c>
      <c r="X226" s="586">
        <f>+INPUT!BU209</f>
        <v>17.731629392971247</v>
      </c>
      <c r="Y226" s="577">
        <f>+INPUT!BV209</f>
        <v>-0.10349637762678299</v>
      </c>
      <c r="Z226" s="586">
        <f>+INPUT!BW209</f>
        <v>18.005071851225697</v>
      </c>
      <c r="AA226" s="577">
        <f>+INPUT!BX209</f>
        <v>9.6751251706872949</v>
      </c>
      <c r="AB226" s="586">
        <f>+INPUT!BY209</f>
        <v>17.713365539452496</v>
      </c>
      <c r="AC226" s="577">
        <f>+INPUT!BZ209</f>
        <v>5.3203556951682884</v>
      </c>
      <c r="AD226" s="586">
        <f>+INPUT!CA209</f>
        <v>19.818181818181817</v>
      </c>
      <c r="AE226" s="577">
        <f>+INPUT!CB209</f>
        <v>23.09292929292927</v>
      </c>
      <c r="AF226" s="586">
        <f>+INPUT!CC209</f>
        <v>19.576719576719576</v>
      </c>
      <c r="AG226" s="577">
        <f>+INPUT!CD209</f>
        <v>10.405643738977062</v>
      </c>
      <c r="AH226" s="586">
        <f>+INPUT!CE209</f>
        <v>19.043401240035429</v>
      </c>
      <c r="AI226" s="577">
        <f>+INPUT!CF209</f>
        <v>5.7668716758775247</v>
      </c>
      <c r="AJ226" s="586">
        <f>+INPUT!CG209</f>
        <v>17.737226277372262</v>
      </c>
      <c r="AK226" s="577">
        <f>+INPUT!CH209</f>
        <v>0.13470471134704098</v>
      </c>
      <c r="AL226" s="586">
        <f>+INPUT!CI209</f>
        <v>17.51453488372093</v>
      </c>
      <c r="AM226" s="577">
        <f>+INPUT!CJ209</f>
        <v>-11.62390655003199</v>
      </c>
      <c r="AN226" s="586">
        <f>+INPUT!CK209</f>
        <v>18.730886850152906</v>
      </c>
      <c r="AO226" s="577">
        <f>+INPUT!CL209</f>
        <v>-4.3206050086783847</v>
      </c>
      <c r="AP226" s="586">
        <f>+INPUT!CM209</f>
        <v>19.402985074626866</v>
      </c>
      <c r="AQ226" s="577">
        <f>+INPUT!CN209</f>
        <v>1.8882332523429284</v>
      </c>
      <c r="AR226" s="586">
        <f>+INPUT!CO209</f>
        <v>18.509615384615387</v>
      </c>
      <c r="AS226" s="577">
        <f>+INPUT!CP209</f>
        <v>4.3546217157328471</v>
      </c>
      <c r="AT226" s="586">
        <f>+INPUT!CQ209</f>
        <v>21.093082835183605</v>
      </c>
      <c r="AU226" s="577">
        <f>+INPUT!CR209</f>
        <v>20.43187544071634</v>
      </c>
      <c r="AV226" s="586">
        <f>+INPUT!CS209</f>
        <v>18.699839486356339</v>
      </c>
      <c r="AW226" s="577">
        <f>+INPUT!CT209</f>
        <v>-0.16575490549351457</v>
      </c>
      <c r="AX226" s="586">
        <f>+INPUT!CU209</f>
        <v>20.14453477868112</v>
      </c>
      <c r="AY226" s="577">
        <f>+INPUT!CV209</f>
        <v>3.8218330901257787</v>
      </c>
      <c r="AZ226" s="586">
        <f>+INPUT!CW209</f>
        <v>18.760064412238325</v>
      </c>
      <c r="BA226" s="577">
        <f>+INPUT!CX209</f>
        <v>1.3530752661187364</v>
      </c>
      <c r="BB226" s="586">
        <f>+INPUT!CY209</f>
        <v>22.719449225473323</v>
      </c>
      <c r="BC226" s="577">
        <f>+INPUT!CZ209</f>
        <v>7.7104252754220965</v>
      </c>
      <c r="BD226" s="586">
        <f>+INPUT!DA209</f>
        <v>0.61963486881876439</v>
      </c>
      <c r="BE226" s="577" t="str">
        <f>+INPUT!DB209</f>
        <v>NM</v>
      </c>
      <c r="BF226" s="586">
        <f>+INPUT!DC209</f>
        <v>17.290419161676645</v>
      </c>
      <c r="BG226" s="577">
        <f>+INPUT!DD209</f>
        <v>-14.168188287102936</v>
      </c>
      <c r="BH226" s="586">
        <f>+INPUT!DE209</f>
        <v>16.173570019723865</v>
      </c>
      <c r="BI226" s="577">
        <f>+INPUT!DF209</f>
        <v>-13.787236203875366</v>
      </c>
      <c r="BJ226" s="586">
        <f>+INPUT!DG209</f>
        <v>15.868852459016395</v>
      </c>
      <c r="BK226" s="577">
        <f>+INPUT!DH209</f>
        <v>-30.15300546448087</v>
      </c>
      <c r="BL226" s="586">
        <f>+INPUT!DI209</f>
        <v>16.281895504252734</v>
      </c>
      <c r="BM226" s="577" t="str">
        <f>+INPUT!DJ209</f>
        <v>NM</v>
      </c>
      <c r="BN226" s="586">
        <f>+INPUT!DK209</f>
        <v>16.133246244284784</v>
      </c>
      <c r="BO226" s="577">
        <f>+INPUT!DL209</f>
        <v>-6.6925671759113641</v>
      </c>
      <c r="BP226" s="586">
        <f>+INPUT!DM209</f>
        <v>17.426820966643973</v>
      </c>
      <c r="BQ226" s="577">
        <f>+INPUT!DN209</f>
        <v>7.7487589035182225</v>
      </c>
      <c r="BR226" s="586">
        <f>+INPUT!DO209</f>
        <v>11.055486024196913</v>
      </c>
      <c r="BS226" s="577">
        <f>+INPUT!DP209</f>
        <v>-30.332164516940949</v>
      </c>
      <c r="BT226" s="586">
        <f>+INPUT!DQ209</f>
        <v>4.1317365269461082</v>
      </c>
      <c r="BU226" s="577" t="str">
        <f>+INPUT!DR209</f>
        <v>NM</v>
      </c>
      <c r="BV226" s="586">
        <f>+INPUT!DS209</f>
        <v>10.209846650524616</v>
      </c>
      <c r="BW226" s="577">
        <f>+INPUT!DT209</f>
        <v>-36.715484931363626</v>
      </c>
      <c r="BX226" s="586">
        <f>+INPUT!DU209</f>
        <v>7.9245283018867925</v>
      </c>
      <c r="BY226" s="577" t="str">
        <f>+INPUT!DV209</f>
        <v>NM</v>
      </c>
      <c r="BZ226" s="586">
        <f>+INPUT!DW209</f>
        <v>13.57769747031492</v>
      </c>
      <c r="CA226" s="577">
        <f>+INPUT!DX209</f>
        <v>22.814116363565518</v>
      </c>
      <c r="CB226" s="586">
        <f>+INPUT!DY209</f>
        <v>6.7676289635589209</v>
      </c>
      <c r="CC226" s="577">
        <f>+INPUT!DZ209</f>
        <v>63.796237233962273</v>
      </c>
      <c r="CD226" s="586">
        <f>+INPUT!EA209</f>
        <v>13.576333861595351</v>
      </c>
      <c r="CE226" s="577">
        <f>+INPUT!EB209</f>
        <v>32.972945885507045</v>
      </c>
      <c r="CF226" s="586">
        <f>+INPUT!EC209</f>
        <v>11.021865238732708</v>
      </c>
      <c r="CG226" s="577">
        <f>+INPUT!ED209</f>
        <v>39.085442298293685</v>
      </c>
      <c r="CH226" s="586">
        <f>+INPUT!EE209</f>
        <v>5.7654850019477992</v>
      </c>
      <c r="CI226" s="577" t="str">
        <f>+INPUT!EF209</f>
        <v>NM</v>
      </c>
      <c r="CJ226" s="586">
        <f>+INPUT!EG209</f>
        <v>6.7073170731707323</v>
      </c>
      <c r="CK226" s="577">
        <f>+INPUT!EH209</f>
        <v>-0.89118198874295729</v>
      </c>
      <c r="CL226" s="586">
        <f>+INPUT!EI209</f>
        <v>13.216313887454827</v>
      </c>
      <c r="CM226" s="577">
        <f>+INPUT!EJ209</f>
        <v>-2.6518202764514172</v>
      </c>
      <c r="CN226" s="586">
        <f>+INPUT!EK209</f>
        <v>6.6537288605489326</v>
      </c>
      <c r="CO226" s="577">
        <f>+INPUT!EL209</f>
        <v>-39.631553131618787</v>
      </c>
      <c r="CP226" s="586">
        <f>+INPUT!EM209</f>
        <v>8.0699601104633327</v>
      </c>
      <c r="CQ226" s="577">
        <f>+INPUT!EN209</f>
        <v>39.970186510536308</v>
      </c>
      <c r="CR226" s="586">
        <f>+INPUT!EO209</f>
        <v>5.5952380952380958</v>
      </c>
      <c r="CS226" s="577">
        <f>+INPUT!EP209</f>
        <v>-16.580086580086586</v>
      </c>
      <c r="CT226" s="586">
        <f>+INPUT!EQ209</f>
        <v>7.5</v>
      </c>
      <c r="CU226" s="577">
        <f>+INPUT!ER209</f>
        <v>-43.251953125</v>
      </c>
      <c r="CV226" s="586">
        <f>+INPUT!ES209</f>
        <v>7.5</v>
      </c>
      <c r="CW226" s="577">
        <f>+INPUT!ET209</f>
        <v>12.71875</v>
      </c>
      <c r="CX226" s="586">
        <f>+INPUT!EU209</f>
        <v>7.5</v>
      </c>
      <c r="CY226" s="577">
        <f>+INPUT!EV209</f>
        <v>-7.0627376425855601</v>
      </c>
      <c r="CZ226" s="586">
        <f>+INPUT!EW209</f>
        <v>7.5</v>
      </c>
      <c r="DA226" s="577">
        <f>+INPUT!EX209</f>
        <v>34.042553191489333</v>
      </c>
      <c r="DB226" s="615"/>
      <c r="DC226" s="586">
        <f>+INPUT!FP209</f>
        <v>19.105590062111801</v>
      </c>
      <c r="DD226" s="577">
        <f>+INPUT!FQ209</f>
        <v>-5.4976565179285899</v>
      </c>
      <c r="DE226" s="586">
        <f>+INPUT!FR209</f>
        <v>17.492578214204158</v>
      </c>
      <c r="DF226" s="577">
        <f>+INPUT!FS209</f>
        <v>-8.4426172793605474</v>
      </c>
      <c r="DG226" s="586">
        <f>+INPUT!FT209</f>
        <v>18.118096856414613</v>
      </c>
      <c r="DH226" s="577">
        <f>+INPUT!FU209</f>
        <v>3.5759087914354808</v>
      </c>
      <c r="DI226" s="586">
        <f>+INPUT!FV209</f>
        <v>16.731837826713317</v>
      </c>
      <c r="DJ226" s="577">
        <f>+INPUT!FW209</f>
        <v>-7.6512397559597929</v>
      </c>
      <c r="DK226" s="586">
        <f>+INPUT!FX209</f>
        <v>18.737926593689632</v>
      </c>
      <c r="DL226" s="577">
        <f>+INPUT!FY209</f>
        <v>11.989649838546029</v>
      </c>
      <c r="DM226" s="586">
        <f>+INPUT!FZ209</f>
        <v>18.213389928612774</v>
      </c>
      <c r="DN226" s="577">
        <f>+INPUT!GA209</f>
        <v>-2.7993314119050297</v>
      </c>
      <c r="DO226" s="586">
        <f>+INPUT!GB209</f>
        <v>19.400533771299528</v>
      </c>
      <c r="DP226" s="577">
        <f>+INPUT!GC209</f>
        <v>6.5179730261074553</v>
      </c>
      <c r="DQ226" s="586">
        <f>+INPUT!GD209</f>
        <v>2.5276677141686021</v>
      </c>
      <c r="DR226" s="577" t="str">
        <f>+INPUT!GE209</f>
        <v>NM</v>
      </c>
      <c r="DS226" s="586">
        <f>+INPUT!GF209</f>
        <v>16.373589913735902</v>
      </c>
      <c r="DT226" s="577" t="str">
        <f>+INPUT!GG209</f>
        <v>NM</v>
      </c>
      <c r="DU226" s="586">
        <f>+INPUT!GH209</f>
        <v>8.6445309265546086</v>
      </c>
      <c r="DV226" s="577">
        <f>+INPUT!GI209</f>
        <v>-47.204425101042382</v>
      </c>
      <c r="DW226" s="586">
        <f>+INPUT!GJ209</f>
        <v>8.9163353354200154</v>
      </c>
      <c r="DX226" s="577">
        <f>+INPUT!GK209</f>
        <v>3.144235484547437</v>
      </c>
      <c r="DY226" s="586">
        <f>+INPUT!GL209</f>
        <v>8.0925753339546453</v>
      </c>
      <c r="DZ226" s="577">
        <f>+INPUT!GM209</f>
        <v>-9.2387732232657811</v>
      </c>
      <c r="EA226" s="586">
        <f>+INPUT!GN209</f>
        <v>7.5200462327530166</v>
      </c>
      <c r="EB226" s="577">
        <f>+INPUT!GO209</f>
        <v>-7.0747454002611931</v>
      </c>
      <c r="EC226" s="586">
        <f>+INPUT!GP209</f>
        <v>7.5000000000000009</v>
      </c>
      <c r="ED226" s="577">
        <f>+INPUT!GQ209</f>
        <v>-0.26657060518732578</v>
      </c>
      <c r="EE226" s="586">
        <f>+INPUT!GR209</f>
        <v>7.5000000000000009</v>
      </c>
      <c r="EF226" s="577">
        <f>+INPUT!GS209</f>
        <v>0</v>
      </c>
      <c r="EG226" s="586">
        <f>+INPUT!GT209</f>
        <v>7.5500000000000007</v>
      </c>
      <c r="EH226" s="577">
        <f>+INPUT!GU209</f>
        <v>0.66666666666665719</v>
      </c>
      <c r="EI226" s="586">
        <f>+INPUT!GV209</f>
        <v>7.6000000000000005</v>
      </c>
      <c r="EJ226" s="577">
        <f>+INPUT!GW209</f>
        <v>0.66225165562914867</v>
      </c>
      <c r="EK226" s="586">
        <f>+INPUT!GX209</f>
        <v>7.65</v>
      </c>
      <c r="EL226" s="577">
        <f>+INPUT!GY209</f>
        <v>0.65789473684209554</v>
      </c>
      <c r="EM226" s="577">
        <f>+INPUT!GZ209</f>
        <v>0.34325501382339585</v>
      </c>
    </row>
    <row r="227" spans="1:144" ht="12.75" hidden="1" customHeight="1" outlineLevel="1" x14ac:dyDescent="0.2">
      <c r="A227" s="609" t="str">
        <f>+INPUT!B211</f>
        <v>Operating Expenses/Total Revenues (%)</v>
      </c>
      <c r="B227" s="586">
        <f>+INPUT!AY211</f>
        <v>87.001897533206829</v>
      </c>
      <c r="C227" s="577">
        <f>+INPUT!AZ211</f>
        <v>4.1152149413883734</v>
      </c>
      <c r="D227" s="586">
        <f>+INPUT!BA211</f>
        <v>86.38095238095238</v>
      </c>
      <c r="E227" s="577">
        <f>+INPUT!BB211</f>
        <v>0.47991242474000728</v>
      </c>
      <c r="F227" s="586">
        <f>+INPUT!BC211</f>
        <v>90.197841726618705</v>
      </c>
      <c r="G227" s="577">
        <f>+INPUT!BD211</f>
        <v>0.78670254831354214</v>
      </c>
      <c r="H227" s="586">
        <f>+INPUT!BE211</f>
        <v>89.59587274290628</v>
      </c>
      <c r="I227" s="577">
        <f>+INPUT!BF211</f>
        <v>-1.6560323862734663</v>
      </c>
      <c r="J227" s="586">
        <f>+INPUT!BG211</f>
        <v>87.274290627687009</v>
      </c>
      <c r="K227" s="577">
        <f>+INPUT!BH211</f>
        <v>0.31308868220514796</v>
      </c>
      <c r="L227" s="586">
        <f>+INPUT!BI211</f>
        <v>88</v>
      </c>
      <c r="M227" s="577">
        <f>+INPUT!BJ211</f>
        <v>1.8743109151047435</v>
      </c>
      <c r="N227" s="586">
        <f>+INPUT!BK211</f>
        <v>94.560669456066947</v>
      </c>
      <c r="O227" s="577">
        <f>+INPUT!BL211</f>
        <v>4.8369535744231769</v>
      </c>
      <c r="P227" s="586">
        <f>+INPUT!BM211</f>
        <v>89.083333333333343</v>
      </c>
      <c r="Q227" s="577">
        <f>+INPUT!BN211</f>
        <v>-0.57205694177862654</v>
      </c>
      <c r="R227" s="586">
        <f>+INPUT!BO211</f>
        <v>90.213101815311759</v>
      </c>
      <c r="S227" s="577">
        <f>+INPUT!BP211</f>
        <v>3.3673274987266808</v>
      </c>
      <c r="T227" s="586">
        <f>+INPUT!BQ211</f>
        <v>88.318144159072077</v>
      </c>
      <c r="U227" s="577">
        <f>+INPUT!BR211</f>
        <v>0.36152745349100712</v>
      </c>
      <c r="V227" s="586">
        <f>+INPUT!BS211</f>
        <v>88.103756708407872</v>
      </c>
      <c r="W227" s="577">
        <f>+INPUT!BT211</f>
        <v>-6.8283280827014039</v>
      </c>
      <c r="X227" s="586">
        <f>+INPUT!BU211</f>
        <v>89.376996805111816</v>
      </c>
      <c r="Y227" s="577">
        <f>+INPUT!BV211</f>
        <v>0.32965029572886806</v>
      </c>
      <c r="Z227" s="586">
        <f>+INPUT!BW211</f>
        <v>88.165680473372774</v>
      </c>
      <c r="AA227" s="577">
        <f>+INPUT!BX211</f>
        <v>-2.2695387928580004</v>
      </c>
      <c r="AB227" s="586">
        <f>+INPUT!BY211</f>
        <v>91.545893719806756</v>
      </c>
      <c r="AC227" s="577">
        <f>+INPUT!BZ211</f>
        <v>3.6546845401564241</v>
      </c>
      <c r="AD227" s="586">
        <f>+INPUT!CA211</f>
        <v>89.363636363636374</v>
      </c>
      <c r="AE227" s="577">
        <f>+INPUT!CB211</f>
        <v>1.4299953853253555</v>
      </c>
      <c r="AF227" s="586">
        <f>+INPUT!CC211</f>
        <v>88.359788359788354</v>
      </c>
      <c r="AG227" s="577">
        <f>+INPUT!CD211</f>
        <v>-1.1381098959293752</v>
      </c>
      <c r="AH227" s="586">
        <f>+INPUT!CE211</f>
        <v>85.20814880425155</v>
      </c>
      <c r="AI227" s="577">
        <f>+INPUT!CF211</f>
        <v>-3.3545157857817856</v>
      </c>
      <c r="AJ227" s="586">
        <f>+INPUT!CG211</f>
        <v>90.21897810218978</v>
      </c>
      <c r="AK227" s="577">
        <f>+INPUT!CH211</f>
        <v>-1.4494539991911068</v>
      </c>
      <c r="AL227" s="586">
        <f>+INPUT!CI211</f>
        <v>91.424418604651152</v>
      </c>
      <c r="AM227" s="577">
        <f>+INPUT!CJ211</f>
        <v>2.3060635453878433</v>
      </c>
      <c r="AN227" s="586">
        <f>+INPUT!CK211</f>
        <v>88.837920489296636</v>
      </c>
      <c r="AO227" s="577">
        <f>+INPUT!CL211</f>
        <v>0.54111959567104861</v>
      </c>
      <c r="AP227" s="586">
        <f>+INPUT!CM211</f>
        <v>85.737976782752895</v>
      </c>
      <c r="AQ227" s="577">
        <f>+INPUT!CN211</f>
        <v>0.62180435314762406</v>
      </c>
      <c r="AR227" s="586">
        <f>+INPUT!CO211</f>
        <v>86.298076923076934</v>
      </c>
      <c r="AS227" s="577">
        <f>+INPUT!CP211</f>
        <v>-4.3459826985312304</v>
      </c>
      <c r="AT227" s="586">
        <f>+INPUT!CQ211</f>
        <v>90.520922288642197</v>
      </c>
      <c r="AU227" s="577">
        <f>+INPUT!CR211</f>
        <v>-0.98824398317036355</v>
      </c>
      <c r="AV227" s="586">
        <f>+INPUT!CS211</f>
        <v>88.764044943820224</v>
      </c>
      <c r="AW227" s="577">
        <f>+INPUT!CT211</f>
        <v>-8.3157670811658591E-2</v>
      </c>
      <c r="AX227" s="586">
        <f>+INPUT!CU211</f>
        <v>85.907859078590789</v>
      </c>
      <c r="AY227" s="577">
        <f>+INPUT!CV211</f>
        <v>0.19814124640279829</v>
      </c>
      <c r="AZ227" s="586">
        <f>+INPUT!CW211</f>
        <v>88.164251207729478</v>
      </c>
      <c r="BA227" s="577">
        <f>+INPUT!CX211</f>
        <v>2.1624749370904084</v>
      </c>
      <c r="BB227" s="586">
        <f>+INPUT!CY211</f>
        <v>90.533562822719446</v>
      </c>
      <c r="BC227" s="577">
        <f>+INPUT!CZ211</f>
        <v>1.3964212645717566E-2</v>
      </c>
      <c r="BD227" s="586">
        <f>+INPUT!DA211</f>
        <v>99.319912948857464</v>
      </c>
      <c r="BE227" s="577">
        <f>+INPUT!DB211</f>
        <v>11.89205382845968</v>
      </c>
      <c r="BF227" s="586">
        <f>+INPUT!DC211</f>
        <v>82.93413173652695</v>
      </c>
      <c r="BG227" s="577">
        <f>+INPUT!DD211</f>
        <v>-3.4615311962825075</v>
      </c>
      <c r="BH227" s="586">
        <f>+INPUT!DE211</f>
        <v>81.65680473372781</v>
      </c>
      <c r="BI227" s="577">
        <f>+INPUT!DF211</f>
        <v>-7.3810488773607972</v>
      </c>
      <c r="BJ227" s="586">
        <f>+INPUT!DG211</f>
        <v>84.459016393442624</v>
      </c>
      <c r="BK227" s="577">
        <f>+INPUT!DH211</f>
        <v>-6.7097176338590003</v>
      </c>
      <c r="BL227" s="586">
        <f>+INPUT!DI211</f>
        <v>82.077764277035243</v>
      </c>
      <c r="BM227" s="577">
        <f>+INPUT!DJ211</f>
        <v>-17.360213234077918</v>
      </c>
      <c r="BN227" s="586">
        <f>+INPUT!DK211</f>
        <v>76.224689745264527</v>
      </c>
      <c r="BO227" s="577">
        <f>+INPUT!DL211</f>
        <v>-8.0900852891034276</v>
      </c>
      <c r="BP227" s="586">
        <f>+INPUT!DM211</f>
        <v>80.530973451327441</v>
      </c>
      <c r="BQ227" s="577">
        <f>+INPUT!DN211</f>
        <v>-1.3787354110555157</v>
      </c>
      <c r="BR227" s="586">
        <f>+INPUT!DO211</f>
        <v>89.319983312473923</v>
      </c>
      <c r="BS227" s="577">
        <f>+INPUT!DP211</f>
        <v>5.7554150244741606</v>
      </c>
      <c r="BT227" s="586">
        <f>+INPUT!DQ211</f>
        <v>95.374251497005986</v>
      </c>
      <c r="BU227" s="577">
        <f>+INPUT!DR211</f>
        <v>16.199865258380328</v>
      </c>
      <c r="BV227" s="586">
        <f>+INPUT!DS211</f>
        <v>88.539144471347868</v>
      </c>
      <c r="BW227" s="577">
        <f>+INPUT!DT211</f>
        <v>16.155467168494937</v>
      </c>
      <c r="BX227" s="586">
        <f>+INPUT!DU211</f>
        <v>92.547169811320757</v>
      </c>
      <c r="BY227" s="577">
        <f>+INPUT!DV211</f>
        <v>14.92121086460709</v>
      </c>
      <c r="BZ227" s="586">
        <f>+INPUT!DW211</f>
        <v>87.506453278265354</v>
      </c>
      <c r="CA227" s="577">
        <f>+INPUT!DX211</f>
        <v>-2.0303743540392105</v>
      </c>
      <c r="CB227" s="586">
        <f>+INPUT!DY211</f>
        <v>96.024609559867486</v>
      </c>
      <c r="CC227" s="577">
        <f>+INPUT!DZ211</f>
        <v>0.68190109243680297</v>
      </c>
      <c r="CD227" s="586">
        <f>+INPUT!EA211</f>
        <v>88.431061806656103</v>
      </c>
      <c r="CE227" s="577">
        <f>+INPUT!EB211</f>
        <v>-0.12207331044037062</v>
      </c>
      <c r="CF227" s="586">
        <f>+INPUT!EC211</f>
        <v>89.468987059348507</v>
      </c>
      <c r="CG227" s="577">
        <f>+INPUT!ED211</f>
        <v>-3.3260690286346488</v>
      </c>
      <c r="CH227" s="586">
        <f>+INPUT!EE211</f>
        <v>95.344760420724583</v>
      </c>
      <c r="CI227" s="577">
        <f>+INPUT!EF211</f>
        <v>8.9574046813826129</v>
      </c>
      <c r="CJ227" s="586">
        <f>+INPUT!EG211</f>
        <v>91.186252771618626</v>
      </c>
      <c r="CK227" s="577">
        <f>+INPUT!EH211</f>
        <v>-5.0386633285213662</v>
      </c>
      <c r="CL227" s="586">
        <f>+INPUT!EI211</f>
        <v>79.504388229220453</v>
      </c>
      <c r="CM227" s="577">
        <f>+INPUT!EJ211</f>
        <v>-10.094500049035659</v>
      </c>
      <c r="CN227" s="586">
        <f>+INPUT!EK211</f>
        <v>91.461047962295538</v>
      </c>
      <c r="CO227" s="577">
        <f>+INPUT!EL211</f>
        <v>2.2265378970096208</v>
      </c>
      <c r="CP227" s="586">
        <f>+INPUT!EM211</f>
        <v>92.390303774163854</v>
      </c>
      <c r="CQ227" s="577">
        <f>+INPUT!EN211</f>
        <v>-3.098708973124161</v>
      </c>
      <c r="CR227" s="586">
        <f>+INPUT!EO211</f>
        <v>94.226190476190482</v>
      </c>
      <c r="CS227" s="577">
        <f>+INPUT!EP211</f>
        <v>3.3337675495730252</v>
      </c>
      <c r="CT227" s="586">
        <f>+INPUT!EQ211</f>
        <v>90.805769105696655</v>
      </c>
      <c r="CU227" s="577">
        <f>+INPUT!ER211</f>
        <v>14.21478880372365</v>
      </c>
      <c r="CV227" s="586">
        <f>+INPUT!ES211</f>
        <v>91.545489792282382</v>
      </c>
      <c r="CW227" s="577">
        <f>+INPUT!ET211</f>
        <v>9.2325456429989572E-2</v>
      </c>
      <c r="CX227" s="586">
        <f>+INPUT!EU211</f>
        <v>92.230572616789644</v>
      </c>
      <c r="CY227" s="577">
        <f>+INPUT!EV211</f>
        <v>-0.17288736030639029</v>
      </c>
      <c r="CZ227" s="586">
        <f>+INPUT!EW211</f>
        <v>92.677278373298435</v>
      </c>
      <c r="DA227" s="577">
        <f>+INPUT!EX211</f>
        <v>-1.643823330927745</v>
      </c>
      <c r="DB227" s="615"/>
      <c r="DC227" s="586">
        <f>+INPUT!FP211</f>
        <v>87.627329192546583</v>
      </c>
      <c r="DD227" s="577">
        <f>+INPUT!FQ211</f>
        <v>-2.2490015060661648</v>
      </c>
      <c r="DE227" s="586">
        <f>+INPUT!FR211</f>
        <v>88.353505366522029</v>
      </c>
      <c r="DF227" s="577">
        <f>+INPUT!FS211</f>
        <v>0.82870969669724559</v>
      </c>
      <c r="DG227" s="586">
        <f>+INPUT!FT211</f>
        <v>89.762107051826675</v>
      </c>
      <c r="DH227" s="577">
        <f>+INPUT!FU211</f>
        <v>1.5942793434864342</v>
      </c>
      <c r="DI227" s="586">
        <f>+INPUT!FV211</f>
        <v>88.989504013171441</v>
      </c>
      <c r="DJ227" s="577">
        <f>+INPUT!FW211</f>
        <v>-0.86072293090128937</v>
      </c>
      <c r="DK227" s="586">
        <f>+INPUT!FX211</f>
        <v>89.461257780639627</v>
      </c>
      <c r="DL227" s="577">
        <f>+INPUT!FY211</f>
        <v>0.53012293157443935</v>
      </c>
      <c r="DM227" s="586">
        <f>+INPUT!FZ211</f>
        <v>89.098977426201046</v>
      </c>
      <c r="DN227" s="577">
        <f>+INPUT!GA211</f>
        <v>-0.40495781461837055</v>
      </c>
      <c r="DO227" s="586">
        <f>+INPUT!GB211</f>
        <v>87.805378772326009</v>
      </c>
      <c r="DP227" s="577">
        <f>+INPUT!GC211</f>
        <v>-1.451867003688676</v>
      </c>
      <c r="DQ227" s="586">
        <f>+INPUT!GD211</f>
        <v>98.256592430659921</v>
      </c>
      <c r="DR227" s="577">
        <f>+INPUT!GE211</f>
        <v>11.902703233515183</v>
      </c>
      <c r="DS227" s="586">
        <f>+INPUT!GF211</f>
        <v>82.76376907763769</v>
      </c>
      <c r="DT227" s="577">
        <f>+INPUT!GG211</f>
        <v>-15.767718958863327</v>
      </c>
      <c r="DU227" s="586">
        <f>+INPUT!GH211</f>
        <v>89.939554525130418</v>
      </c>
      <c r="DV227" s="577">
        <f>+INPUT!GI211</f>
        <v>8.6702013785300096</v>
      </c>
      <c r="DW227" s="586">
        <f>+INPUT!GJ211</f>
        <v>92.124185771085351</v>
      </c>
      <c r="DX227" s="577">
        <f>+INPUT!GK211</f>
        <v>2.4289994068677601</v>
      </c>
      <c r="DY227" s="586">
        <f>+INPUT!GL211</f>
        <v>92.140416278347317</v>
      </c>
      <c r="DZ227" s="577">
        <f>+INPUT!GM211</f>
        <v>1.761807404440674E-2</v>
      </c>
      <c r="EA227" s="586">
        <f>+INPUT!GN211</f>
        <v>91.013508632521862</v>
      </c>
      <c r="EB227" s="577">
        <f>+INPUT!GO211</f>
        <v>-1.223032944002739</v>
      </c>
      <c r="EC227" s="586">
        <f>+INPUT!GP211</f>
        <v>91.822230552736187</v>
      </c>
      <c r="ED227" s="577">
        <f>+INPUT!GQ211</f>
        <v>0.88857350119270961</v>
      </c>
      <c r="EE227" s="586">
        <f>+INPUT!GR211</f>
        <v>91.920595623680185</v>
      </c>
      <c r="EF227" s="577">
        <f>+INPUT!GS211</f>
        <v>0.10712555157054737</v>
      </c>
      <c r="EG227" s="586">
        <f>+INPUT!GT211</f>
        <v>92.063781472906371</v>
      </c>
      <c r="EH227" s="577">
        <f>+INPUT!GU211</f>
        <v>0.15577123739754484</v>
      </c>
      <c r="EI227" s="586">
        <f>+INPUT!GV211</f>
        <v>92.205325475901503</v>
      </c>
      <c r="EJ227" s="577">
        <f>+INPUT!GW211</f>
        <v>0.15374558890653134</v>
      </c>
      <c r="EK227" s="586">
        <f>+INPUT!GX211</f>
        <v>92.34522232988121</v>
      </c>
      <c r="EL227" s="577">
        <f>+INPUT!GY211</f>
        <v>0.15172318221064529</v>
      </c>
      <c r="EM227" s="577">
        <f>+INPUT!GZ211</f>
        <v>0.29094299829797166</v>
      </c>
    </row>
    <row r="228" spans="1:144" ht="12.75" hidden="1" customHeight="1" outlineLevel="1" x14ac:dyDescent="0.2">
      <c r="A228" s="609"/>
      <c r="B228" s="586"/>
      <c r="C228" s="577"/>
      <c r="D228" s="586"/>
      <c r="E228" s="577"/>
      <c r="F228" s="586"/>
      <c r="G228" s="577"/>
      <c r="H228" s="586"/>
      <c r="I228" s="577"/>
      <c r="J228" s="586"/>
      <c r="K228" s="577"/>
      <c r="L228" s="586"/>
      <c r="M228" s="577"/>
      <c r="N228" s="586"/>
      <c r="O228" s="577"/>
      <c r="P228" s="586"/>
      <c r="Q228" s="577"/>
      <c r="R228" s="586"/>
      <c r="S228" s="577"/>
      <c r="T228" s="586"/>
      <c r="U228" s="577"/>
      <c r="V228" s="586"/>
      <c r="W228" s="577"/>
      <c r="X228" s="586"/>
      <c r="Y228" s="577"/>
      <c r="Z228" s="586"/>
      <c r="AA228" s="577"/>
      <c r="AB228" s="586"/>
      <c r="AC228" s="577"/>
      <c r="AD228" s="586"/>
      <c r="AE228" s="577"/>
      <c r="AF228" s="586"/>
      <c r="AG228" s="577"/>
      <c r="AH228" s="586"/>
      <c r="AI228" s="577"/>
      <c r="AJ228" s="586"/>
      <c r="AK228" s="577"/>
      <c r="AL228" s="586"/>
      <c r="AM228" s="577"/>
      <c r="AN228" s="586"/>
      <c r="AO228" s="577"/>
      <c r="AP228" s="586"/>
      <c r="AQ228" s="577"/>
      <c r="AR228" s="586"/>
      <c r="AS228" s="577"/>
      <c r="AT228" s="586"/>
      <c r="AU228" s="577"/>
      <c r="AV228" s="586"/>
      <c r="AW228" s="577"/>
      <c r="AX228" s="586"/>
      <c r="AY228" s="577"/>
      <c r="AZ228" s="586"/>
      <c r="BA228" s="577"/>
      <c r="BB228" s="586"/>
      <c r="BC228" s="577"/>
      <c r="BD228" s="586"/>
      <c r="BE228" s="577"/>
      <c r="BF228" s="586"/>
      <c r="BG228" s="577"/>
      <c r="BH228" s="586"/>
      <c r="BI228" s="577"/>
      <c r="BJ228" s="586"/>
      <c r="BK228" s="577"/>
      <c r="BL228" s="586"/>
      <c r="BM228" s="577"/>
      <c r="BN228" s="586"/>
      <c r="BO228" s="577"/>
      <c r="BP228" s="586"/>
      <c r="BQ228" s="577"/>
      <c r="BR228" s="586"/>
      <c r="BS228" s="577"/>
      <c r="BT228" s="586"/>
      <c r="BU228" s="577"/>
      <c r="BV228" s="586"/>
      <c r="BW228" s="577"/>
      <c r="BX228" s="586"/>
      <c r="BY228" s="577"/>
      <c r="BZ228" s="586"/>
      <c r="CA228" s="577"/>
      <c r="CB228" s="586"/>
      <c r="CC228" s="577"/>
      <c r="CD228" s="586"/>
      <c r="CE228" s="577"/>
      <c r="CF228" s="586"/>
      <c r="CG228" s="577"/>
      <c r="CH228" s="586"/>
      <c r="CI228" s="577"/>
      <c r="CJ228" s="586"/>
      <c r="CK228" s="577"/>
      <c r="CL228" s="586"/>
      <c r="CM228" s="577"/>
      <c r="CN228" s="586"/>
      <c r="CO228" s="577"/>
      <c r="CP228" s="586"/>
      <c r="CQ228" s="577"/>
      <c r="CR228" s="586"/>
      <c r="CS228" s="577"/>
      <c r="CT228" s="586"/>
      <c r="CU228" s="577"/>
      <c r="CV228" s="586"/>
      <c r="CW228" s="577"/>
      <c r="CX228" s="586"/>
      <c r="CY228" s="577"/>
      <c r="CZ228" s="586"/>
      <c r="DA228" s="577"/>
      <c r="DB228" s="615"/>
      <c r="DC228" s="586"/>
      <c r="DD228" s="577"/>
      <c r="DE228" s="586"/>
      <c r="DF228" s="577"/>
      <c r="DG228" s="586"/>
      <c r="DH228" s="577"/>
      <c r="DI228" s="586"/>
      <c r="DJ228" s="577"/>
      <c r="DK228" s="586"/>
      <c r="DL228" s="577"/>
      <c r="DM228" s="586"/>
      <c r="DN228" s="577"/>
      <c r="DO228" s="586"/>
      <c r="DP228" s="577"/>
      <c r="DQ228" s="586"/>
      <c r="DR228" s="577"/>
      <c r="DS228" s="586"/>
      <c r="DT228" s="577"/>
      <c r="DU228" s="586"/>
      <c r="DV228" s="577"/>
      <c r="DW228" s="586"/>
      <c r="DX228" s="577"/>
      <c r="DY228" s="586"/>
      <c r="DZ228" s="577"/>
      <c r="EA228" s="586"/>
      <c r="EB228" s="577"/>
      <c r="EC228" s="586"/>
      <c r="ED228" s="577"/>
      <c r="EE228" s="586"/>
      <c r="EF228" s="577"/>
      <c r="EG228" s="586"/>
      <c r="EH228" s="577"/>
      <c r="EI228" s="586"/>
      <c r="EJ228" s="577"/>
      <c r="EK228" s="586"/>
      <c r="EL228" s="577"/>
      <c r="EM228" s="577"/>
    </row>
    <row r="229" spans="1:144" ht="12.75" hidden="1" customHeight="1" outlineLevel="1" x14ac:dyDescent="0.2">
      <c r="A229" s="614" t="s">
        <v>321</v>
      </c>
      <c r="B229" s="586"/>
      <c r="C229" s="577"/>
      <c r="D229" s="586"/>
      <c r="E229" s="577"/>
      <c r="F229" s="586"/>
      <c r="G229" s="577"/>
      <c r="H229" s="586"/>
      <c r="I229" s="577"/>
      <c r="J229" s="586"/>
      <c r="K229" s="577"/>
      <c r="L229" s="586"/>
      <c r="M229" s="577"/>
      <c r="N229" s="586"/>
      <c r="O229" s="577"/>
      <c r="P229" s="586"/>
      <c r="Q229" s="577"/>
      <c r="R229" s="586"/>
      <c r="S229" s="577"/>
      <c r="T229" s="586"/>
      <c r="U229" s="577"/>
      <c r="V229" s="586"/>
      <c r="W229" s="577"/>
      <c r="X229" s="586"/>
      <c r="Y229" s="577"/>
      <c r="Z229" s="586"/>
      <c r="AA229" s="577"/>
      <c r="AB229" s="586"/>
      <c r="AC229" s="577"/>
      <c r="AD229" s="586"/>
      <c r="AE229" s="577"/>
      <c r="AF229" s="586"/>
      <c r="AG229" s="577"/>
      <c r="AH229" s="586"/>
      <c r="AI229" s="577"/>
      <c r="AJ229" s="586"/>
      <c r="AK229" s="577"/>
      <c r="AL229" s="586"/>
      <c r="AM229" s="577"/>
      <c r="AN229" s="586"/>
      <c r="AO229" s="577"/>
      <c r="AP229" s="586"/>
      <c r="AQ229" s="577"/>
      <c r="AR229" s="586"/>
      <c r="AS229" s="577"/>
      <c r="AT229" s="586"/>
      <c r="AU229" s="577"/>
      <c r="AV229" s="586"/>
      <c r="AW229" s="577"/>
      <c r="AX229" s="586"/>
      <c r="AY229" s="577"/>
      <c r="AZ229" s="586"/>
      <c r="BA229" s="577"/>
      <c r="BB229" s="586"/>
      <c r="BC229" s="577"/>
      <c r="BD229" s="586"/>
      <c r="BE229" s="577"/>
      <c r="BF229" s="586"/>
      <c r="BG229" s="577"/>
      <c r="BH229" s="586"/>
      <c r="BI229" s="577"/>
      <c r="BJ229" s="586"/>
      <c r="BK229" s="577"/>
      <c r="BL229" s="586"/>
      <c r="BM229" s="577"/>
      <c r="BN229" s="586"/>
      <c r="BO229" s="577"/>
      <c r="BP229" s="586"/>
      <c r="BQ229" s="577"/>
      <c r="BR229" s="586"/>
      <c r="BS229" s="577"/>
      <c r="BT229" s="586"/>
      <c r="BU229" s="577"/>
      <c r="BV229" s="586"/>
      <c r="BW229" s="577"/>
      <c r="BX229" s="586"/>
      <c r="BY229" s="577"/>
      <c r="BZ229" s="586"/>
      <c r="CA229" s="577"/>
      <c r="CB229" s="586"/>
      <c r="CC229" s="577"/>
      <c r="CD229" s="586"/>
      <c r="CE229" s="577"/>
      <c r="CF229" s="586"/>
      <c r="CG229" s="577"/>
      <c r="CH229" s="586"/>
      <c r="CI229" s="577"/>
      <c r="CJ229" s="586"/>
      <c r="CK229" s="577"/>
      <c r="CL229" s="586"/>
      <c r="CM229" s="577"/>
      <c r="CN229" s="586"/>
      <c r="CO229" s="577"/>
      <c r="CP229" s="586"/>
      <c r="CQ229" s="577"/>
      <c r="CR229" s="586"/>
      <c r="CS229" s="577"/>
      <c r="CT229" s="586"/>
      <c r="CU229" s="577"/>
      <c r="CV229" s="586"/>
      <c r="CW229" s="577"/>
      <c r="CX229" s="586"/>
      <c r="CY229" s="577"/>
      <c r="CZ229" s="586"/>
      <c r="DA229" s="577"/>
      <c r="DB229" s="615"/>
      <c r="DC229" s="586"/>
      <c r="DD229" s="577"/>
      <c r="DE229" s="586"/>
      <c r="DF229" s="577"/>
      <c r="DG229" s="586"/>
      <c r="DH229" s="577"/>
      <c r="DI229" s="586"/>
      <c r="DJ229" s="577"/>
      <c r="DK229" s="586"/>
      <c r="DL229" s="577"/>
      <c r="DM229" s="586"/>
      <c r="DN229" s="577"/>
      <c r="DO229" s="586"/>
      <c r="DP229" s="577"/>
      <c r="DQ229" s="586"/>
      <c r="DR229" s="577"/>
      <c r="DS229" s="586"/>
      <c r="DT229" s="577"/>
      <c r="DU229" s="586"/>
      <c r="DV229" s="577"/>
      <c r="DW229" s="586"/>
      <c r="DX229" s="577"/>
      <c r="DY229" s="586"/>
      <c r="DZ229" s="577"/>
      <c r="EA229" s="586"/>
      <c r="EB229" s="577"/>
      <c r="EC229" s="586"/>
      <c r="ED229" s="577"/>
      <c r="EE229" s="586"/>
      <c r="EF229" s="577"/>
      <c r="EG229" s="586"/>
      <c r="EH229" s="577"/>
      <c r="EI229" s="586"/>
      <c r="EJ229" s="577"/>
      <c r="EK229" s="586"/>
      <c r="EL229" s="577"/>
      <c r="EM229" s="577"/>
    </row>
    <row r="230" spans="1:144" ht="12.75" hidden="1" customHeight="1" outlineLevel="1" x14ac:dyDescent="0.2">
      <c r="A230" s="609" t="str">
        <f>+INPUT!B195</f>
        <v>Net Investment Income/Spread-based Assets (%)</v>
      </c>
      <c r="B230" s="597">
        <f>+INPUT!AY195</f>
        <v>6.7605633802816891</v>
      </c>
      <c r="C230" s="577">
        <f>+INPUT!AZ195</f>
        <v>8.6473558331118738</v>
      </c>
      <c r="D230" s="597">
        <f>+INPUT!BA195</f>
        <v>7.30714300940038</v>
      </c>
      <c r="E230" s="577">
        <f>+INPUT!BB195</f>
        <v>18.880467193096152</v>
      </c>
      <c r="F230" s="597">
        <f>+INPUT!BC195</f>
        <v>7.0025066709792192</v>
      </c>
      <c r="G230" s="577">
        <f>+INPUT!BD195</f>
        <v>10.640057759783744</v>
      </c>
      <c r="H230" s="597">
        <f>+INPUT!BE195</f>
        <v>7.193300045753845</v>
      </c>
      <c r="I230" s="577">
        <f>+INPUT!BF195</f>
        <v>9.8646334815263259</v>
      </c>
      <c r="J230" s="597">
        <f>+INPUT!BG195</f>
        <v>7.058684194942856</v>
      </c>
      <c r="K230" s="577">
        <f>+INPUT!BH195</f>
        <v>4.4097037168630919</v>
      </c>
      <c r="L230" s="597">
        <f>+INPUT!BI195</f>
        <v>7.1397714330597344</v>
      </c>
      <c r="M230" s="577">
        <f>+INPUT!BJ195</f>
        <v>-2.2905200585964707</v>
      </c>
      <c r="N230" s="597">
        <f>+INPUT!BK195</f>
        <v>7.2365235245123669</v>
      </c>
      <c r="O230" s="577">
        <f>+INPUT!BL195</f>
        <v>3.3419011866564006</v>
      </c>
      <c r="P230" s="597">
        <f>+INPUT!BM195</f>
        <v>7.2803395941152527</v>
      </c>
      <c r="Q230" s="577">
        <f>+INPUT!BN195</f>
        <v>1.2100085886558531</v>
      </c>
      <c r="R230" s="597">
        <f>+INPUT!BO195</f>
        <v>6.9135037838465561</v>
      </c>
      <c r="S230" s="577">
        <f>+INPUT!BP195</f>
        <v>-2.0567630890798796</v>
      </c>
      <c r="T230" s="597">
        <f>+INPUT!BQ195</f>
        <v>6.8720517151010423</v>
      </c>
      <c r="U230" s="577">
        <f>+INPUT!BR195</f>
        <v>-3.7496959177019704</v>
      </c>
      <c r="V230" s="597">
        <f>+INPUT!BS195</f>
        <v>7.0582122659419282</v>
      </c>
      <c r="W230" s="577">
        <f>+INPUT!BT195</f>
        <v>-2.4640458635481934</v>
      </c>
      <c r="X230" s="597">
        <f>+INPUT!BU195</f>
        <v>7.1537501732982109</v>
      </c>
      <c r="Y230" s="577">
        <f>+INPUT!BV195</f>
        <v>-1.7387845605356773</v>
      </c>
      <c r="Z230" s="597">
        <f>+INPUT!BW195</f>
        <v>7.0242708545788286</v>
      </c>
      <c r="AA230" s="577">
        <f>+INPUT!BX195</f>
        <v>1.6021842787022251</v>
      </c>
      <c r="AB230" s="597">
        <f>+INPUT!BY195</f>
        <v>6.7185447195553305</v>
      </c>
      <c r="AC230" s="577">
        <f>+INPUT!BZ195</f>
        <v>-2.2337869665384886</v>
      </c>
      <c r="AD230" s="597">
        <f>+INPUT!CA195</f>
        <v>6.5021840157967166</v>
      </c>
      <c r="AE230" s="577">
        <f>+INPUT!CB195</f>
        <v>-7.8777490559220098</v>
      </c>
      <c r="AF230" s="597">
        <f>+INPUT!CC195</f>
        <v>6.180164907143407</v>
      </c>
      <c r="AG230" s="577">
        <f>+INPUT!CD195</f>
        <v>-13.609439001501173</v>
      </c>
      <c r="AH230" s="597">
        <f>+INPUT!CE195</f>
        <v>6.0415403274711945</v>
      </c>
      <c r="AI230" s="577">
        <f>+INPUT!CF195</f>
        <v>-13.99049876425299</v>
      </c>
      <c r="AJ230" s="597">
        <f>+INPUT!CG195</f>
        <v>5.7535959974984365</v>
      </c>
      <c r="AK230" s="577">
        <f>+INPUT!CH195</f>
        <v>-14.362466312805296</v>
      </c>
      <c r="AL230" s="597">
        <f>+INPUT!CI195</f>
        <v>5.5196234465476959</v>
      </c>
      <c r="AM230" s="577">
        <f>+INPUT!CJ195</f>
        <v>-15.111239036944227</v>
      </c>
      <c r="AN230" s="597">
        <f>+INPUT!CK195</f>
        <v>5.116619665643551</v>
      </c>
      <c r="AO230" s="577">
        <f>+INPUT!CL195</f>
        <v>-17.209010721874847</v>
      </c>
      <c r="AP230" s="597">
        <f>+INPUT!CM195</f>
        <v>4.6739824653080184</v>
      </c>
      <c r="AQ230" s="577">
        <f>+INPUT!CN195</f>
        <v>-22.635913823910442</v>
      </c>
      <c r="AR230" s="597">
        <f>+INPUT!CO195</f>
        <v>4.3436618958330522</v>
      </c>
      <c r="AS230" s="577">
        <f>+INPUT!CP195</f>
        <v>-24.505267701771189</v>
      </c>
      <c r="AT230" s="597">
        <f>+INPUT!CQ195</f>
        <v>3.904959447542633</v>
      </c>
      <c r="AU230" s="577">
        <f>+INPUT!CR195</f>
        <v>-29.253154941483757</v>
      </c>
      <c r="AV230" s="597">
        <f>+INPUT!CS195</f>
        <v>3.4721220126763535</v>
      </c>
      <c r="AW230" s="577">
        <f>+INPUT!CT195</f>
        <v>-32.140314512909143</v>
      </c>
      <c r="AX230" s="597">
        <f>+INPUT!CU195</f>
        <v>3.3200856658817517</v>
      </c>
      <c r="AY230" s="577">
        <f>+INPUT!CV195</f>
        <v>-28.966664070209433</v>
      </c>
      <c r="AZ230" s="597">
        <f>+INPUT!CW195</f>
        <v>3.0338822564743317</v>
      </c>
      <c r="BA230" s="577">
        <f>+INPUT!CX195</f>
        <v>-30.153811939534563</v>
      </c>
      <c r="BB230" s="597">
        <f>+INPUT!CY195</f>
        <v>2.93178907937236</v>
      </c>
      <c r="BC230" s="577">
        <f>+INPUT!CZ195</f>
        <v>-24.921394991251006</v>
      </c>
      <c r="BD230" s="597">
        <f>+INPUT!DA195</f>
        <v>2.4887757627178564</v>
      </c>
      <c r="BE230" s="577">
        <f>+INPUT!DB195</f>
        <v>-28.321189358219641</v>
      </c>
      <c r="BF230" s="597">
        <f>+INPUT!DC195</f>
        <v>2.7018900644006405</v>
      </c>
      <c r="BG230" s="577">
        <f>+INPUT!DD195</f>
        <v>-18.619868994161337</v>
      </c>
      <c r="BH230" s="597">
        <f>+INPUT!DE195</f>
        <v>2.8729849202989572</v>
      </c>
      <c r="BI230" s="577">
        <f>+INPUT!DF195</f>
        <v>-5.3033480726556945</v>
      </c>
      <c r="BJ230" s="597">
        <f>+INPUT!DG195</f>
        <v>2.7328348062542487</v>
      </c>
      <c r="BK230" s="577">
        <f>+INPUT!DH195</f>
        <v>-6.7861045843278589</v>
      </c>
      <c r="BL230" s="597">
        <f>+INPUT!DI195</f>
        <v>2.8406580902531426</v>
      </c>
      <c r="BM230" s="577">
        <f>+INPUT!DJ195</f>
        <v>14.138771873566242</v>
      </c>
      <c r="BN230" s="597">
        <f>+INPUT!DK195</f>
        <v>2.90523249209881</v>
      </c>
      <c r="BO230" s="577">
        <f>+INPUT!DL195</f>
        <v>7.5259326934634885</v>
      </c>
      <c r="BP230" s="597">
        <f>+INPUT!DM195</f>
        <v>2.7361029999127346</v>
      </c>
      <c r="BQ230" s="577">
        <f>+INPUT!DN195</f>
        <v>-4.7644496641485574</v>
      </c>
      <c r="BR230" s="597">
        <f>+INPUT!DO195</f>
        <v>2.3517883390494854</v>
      </c>
      <c r="BS230" s="577">
        <f>+INPUT!DP195</f>
        <v>-13.943267493985246</v>
      </c>
      <c r="BT230" s="597">
        <f>+INPUT!DQ195</f>
        <v>2.3847562638818531</v>
      </c>
      <c r="BU230" s="577">
        <f>+INPUT!DR195</f>
        <v>-16.049162267559709</v>
      </c>
      <c r="BV230" s="597">
        <f>+INPUT!DS195</f>
        <v>2.3509485094850948</v>
      </c>
      <c r="BW230" s="577">
        <f>+INPUT!DT195</f>
        <v>-19.078816725379767</v>
      </c>
      <c r="BX230" s="597">
        <f>+INPUT!DU195</f>
        <v>2.191536360569756</v>
      </c>
      <c r="BY230" s="577">
        <f>+INPUT!DV195</f>
        <v>-19.903002166232312</v>
      </c>
      <c r="BZ230" s="597">
        <f>+INPUT!DW195</f>
        <v>2.2657462760511278</v>
      </c>
      <c r="CA230" s="577">
        <f>+INPUT!DX195</f>
        <v>-3.6585802204093341</v>
      </c>
      <c r="CB230" s="597">
        <f>+INPUT!DY195</f>
        <v>2.2337800893512036</v>
      </c>
      <c r="CC230" s="577">
        <f>+INPUT!DZ195</f>
        <v>-6.3308849133661056</v>
      </c>
      <c r="CD230" s="597">
        <f>+INPUT!EA195</f>
        <v>2.2541878895470058</v>
      </c>
      <c r="CE230" s="577">
        <f>+INPUT!EB195</f>
        <v>-4.1158119604789363</v>
      </c>
      <c r="CF230" s="597">
        <f>+INPUT!EC195</f>
        <v>2.2335002930087016</v>
      </c>
      <c r="CG230" s="577">
        <f>+INPUT!ED195</f>
        <v>1.9148179876895028</v>
      </c>
      <c r="CH230" s="597">
        <f>+INPUT!EE195</f>
        <v>2.3928172523412665</v>
      </c>
      <c r="CI230" s="577">
        <f>+INPUT!EF195</f>
        <v>5.6083497800824063</v>
      </c>
      <c r="CJ230" s="597">
        <f>+INPUT!EG195</f>
        <v>2.4430677951313147</v>
      </c>
      <c r="CK230" s="577">
        <f>+INPUT!EH195</f>
        <v>9.3692170853263406</v>
      </c>
      <c r="CL230" s="597">
        <f>+INPUT!EI195</f>
        <v>2.4806201550387597</v>
      </c>
      <c r="CM230" s="577">
        <f>+INPUT!EJ195</f>
        <v>10.044959718830569</v>
      </c>
      <c r="CN230" s="597">
        <f>+INPUT!EK195</f>
        <v>2.3664326670596432</v>
      </c>
      <c r="CO230" s="577">
        <f>+INPUT!EL195</f>
        <v>5.9517509116540737</v>
      </c>
      <c r="CP230" s="597">
        <f>+INPUT!EM195</f>
        <v>2.2738974198376849</v>
      </c>
      <c r="CQ230" s="577">
        <f>+INPUT!EN195</f>
        <v>-4.9698668959037207</v>
      </c>
      <c r="CR230" s="597">
        <f>+INPUT!EO195</f>
        <v>2.3836455998190158</v>
      </c>
      <c r="CS230" s="577">
        <f>+INPUT!EP195</f>
        <v>-2.4322777874080685</v>
      </c>
      <c r="CT230" s="597">
        <f>+INPUT!EQ195</f>
        <v>2.2999999999999998</v>
      </c>
      <c r="CU230" s="577">
        <f>+INPUT!ER195</f>
        <v>-7.28125</v>
      </c>
      <c r="CV230" s="597">
        <f>+INPUT!ES195</f>
        <v>2.2999999999999998</v>
      </c>
      <c r="CW230" s="577">
        <f>+INPUT!ET195</f>
        <v>-2.8072916666666714</v>
      </c>
      <c r="CX230" s="597">
        <f>+INPUT!EU195</f>
        <v>2.2999999999999998</v>
      </c>
      <c r="CY230" s="577">
        <f>+INPUT!EV195</f>
        <v>1.1479225023342678</v>
      </c>
      <c r="CZ230" s="597">
        <f>+INPUT!EW195</f>
        <v>2.2999999999999998</v>
      </c>
      <c r="DA230" s="577">
        <f>+INPUT!EX195</f>
        <v>-3.5091458153580817</v>
      </c>
      <c r="DB230" s="605"/>
      <c r="DC230" s="597">
        <f>+INPUT!FP195</f>
        <v>6.3435940099833612</v>
      </c>
      <c r="DD230" s="577">
        <f>+INPUT!FQ195</f>
        <v>15.797305664627359</v>
      </c>
      <c r="DE230" s="597">
        <f>+INPUT!FR195</f>
        <v>6.8133442081600997</v>
      </c>
      <c r="DF230" s="577">
        <f>+INPUT!FS195</f>
        <v>7.405111320766423</v>
      </c>
      <c r="DG230" s="597">
        <f>+INPUT!FT195</f>
        <v>7.1252737880638097</v>
      </c>
      <c r="DH230" s="577">
        <f>+INPUT!FU195</f>
        <v>4.5782154896874658</v>
      </c>
      <c r="DI230" s="597">
        <f>+INPUT!FV195</f>
        <v>7.0586837258125215</v>
      </c>
      <c r="DJ230" s="577">
        <f>+INPUT!FW195</f>
        <v>-0.93456145310288719</v>
      </c>
      <c r="DK230" s="597">
        <f>+INPUT!FX195</f>
        <v>6.3747399244817764</v>
      </c>
      <c r="DL230" s="577">
        <f>+INPUT!FY195</f>
        <v>-9.6893957556090413</v>
      </c>
      <c r="DM230" s="597">
        <f>+INPUT!FZ195</f>
        <v>5.0449495972453766</v>
      </c>
      <c r="DN230" s="577">
        <f>+INPUT!GA195</f>
        <v>-20.86030713393383</v>
      </c>
      <c r="DO230" s="597">
        <f>+INPUT!GB195</f>
        <v>3.5276226842344793</v>
      </c>
      <c r="DP230" s="577">
        <f>+INPUT!GC195</f>
        <v>-30.076156040079809</v>
      </c>
      <c r="DQ230" s="597">
        <f>+INPUT!GD195</f>
        <v>2.2646445363594583</v>
      </c>
      <c r="DR230" s="577">
        <f>+INPUT!GE195</f>
        <v>-35.802529378197846</v>
      </c>
      <c r="DS230" s="597">
        <f>+INPUT!GF195</f>
        <v>2.722185780645507</v>
      </c>
      <c r="DT230" s="577">
        <f>+INPUT!GG195</f>
        <v>20.203667151294823</v>
      </c>
      <c r="DU230" s="597">
        <f>+INPUT!GH195</f>
        <v>2.343006329290084</v>
      </c>
      <c r="DV230" s="577">
        <f>+INPUT!GI195</f>
        <v>-13.929227536612458</v>
      </c>
      <c r="DW230" s="597">
        <f>+INPUT!GJ195</f>
        <v>2.2682314240625905</v>
      </c>
      <c r="DX230" s="577">
        <f>+INPUT!GK195</f>
        <v>-3.1914085887318038</v>
      </c>
      <c r="DY230" s="597">
        <f>+INPUT!GL195</f>
        <v>2.324731698804642</v>
      </c>
      <c r="DZ230" s="577">
        <f>+INPUT!GM195</f>
        <v>2.4909395991373344</v>
      </c>
      <c r="EA230" s="597">
        <f>+INPUT!GN195</f>
        <v>2.304464965139954</v>
      </c>
      <c r="EB230" s="577">
        <f>+INPUT!GO195</f>
        <v>-0.87178807236590217</v>
      </c>
      <c r="EC230" s="597">
        <f>+INPUT!GP195</f>
        <v>2.2710852029974884</v>
      </c>
      <c r="ED230" s="577">
        <f>+INPUT!GQ195</f>
        <v>-1.4484820835815384</v>
      </c>
      <c r="EE230" s="597">
        <f>+INPUT!GR195</f>
        <v>2.2610852029974886</v>
      </c>
      <c r="EF230" s="577">
        <f>+INPUT!GS195</f>
        <v>-0.440318134555298</v>
      </c>
      <c r="EG230" s="597">
        <f>+INPUT!GT195</f>
        <v>2.2510852029974888</v>
      </c>
      <c r="EH230" s="577">
        <f>+INPUT!GU195</f>
        <v>-0.44226550979780654</v>
      </c>
      <c r="EI230" s="597">
        <f>+INPUT!GV195</f>
        <v>2.241085202997489</v>
      </c>
      <c r="EJ230" s="577">
        <f>+INPUT!GW195</f>
        <v>-0.44423018669769476</v>
      </c>
      <c r="EK230" s="597">
        <f>+INPUT!GX195</f>
        <v>2.2310852029974892</v>
      </c>
      <c r="EL230" s="577">
        <f>+INPUT!GY195</f>
        <v>-0.44621239686134118</v>
      </c>
      <c r="EM230" s="577">
        <f>+INPUT!GZ195</f>
        <v>-0.64511861768793421</v>
      </c>
    </row>
    <row r="231" spans="1:144" ht="12.75" hidden="1" customHeight="1" outlineLevel="1" x14ac:dyDescent="0.2">
      <c r="A231" s="609" t="str">
        <f>+INPUT!B196</f>
        <v>Interest Credited/Spread-based Assets (%)</v>
      </c>
      <c r="B231" s="597">
        <f>+INPUT!AY196</f>
        <v>3.6344382081965478</v>
      </c>
      <c r="C231" s="577">
        <f>+INPUT!AZ196</f>
        <v>12.861610452186838</v>
      </c>
      <c r="D231" s="597">
        <f>+INPUT!BA196</f>
        <v>3.8539424040244707</v>
      </c>
      <c r="E231" s="577">
        <f>+INPUT!BB196</f>
        <v>17.977234347882614</v>
      </c>
      <c r="F231" s="597">
        <f>+INPUT!BC196</f>
        <v>3.8408668229966842</v>
      </c>
      <c r="G231" s="577">
        <f>+INPUT!BD196</f>
        <v>8.9812542810491891</v>
      </c>
      <c r="H231" s="597">
        <f>+INPUT!BE196</f>
        <v>3.9547235871013942</v>
      </c>
      <c r="I231" s="577">
        <f>+INPUT!BF196</f>
        <v>12.911585550970912</v>
      </c>
      <c r="J231" s="597">
        <f>+INPUT!BG196</f>
        <v>3.8846449931900278</v>
      </c>
      <c r="K231" s="577">
        <f>+INPUT!BH196</f>
        <v>6.8843317910647812</v>
      </c>
      <c r="L231" s="597">
        <f>+INPUT!BI196</f>
        <v>3.9901032871224915</v>
      </c>
      <c r="M231" s="577">
        <f>+INPUT!BJ196</f>
        <v>3.5330284893680499</v>
      </c>
      <c r="N231" s="597">
        <f>+INPUT!BK196</f>
        <v>4.0908826776686622</v>
      </c>
      <c r="O231" s="577">
        <f>+INPUT!BL196</f>
        <v>6.5093601573228455</v>
      </c>
      <c r="P231" s="597">
        <f>+INPUT!BM196</f>
        <v>4.2255432149018235</v>
      </c>
      <c r="Q231" s="577">
        <f>+INPUT!BN196</f>
        <v>6.8480039587021082</v>
      </c>
      <c r="R231" s="597">
        <f>+INPUT!BO196</f>
        <v>4.1264249908065116</v>
      </c>
      <c r="S231" s="577">
        <f>+INPUT!BP196</f>
        <v>6.2239921032767711</v>
      </c>
      <c r="T231" s="597">
        <f>+INPUT!BQ196</f>
        <v>4.0611107875681869</v>
      </c>
      <c r="U231" s="577">
        <f>+INPUT!BR196</f>
        <v>1.7795905352841999</v>
      </c>
      <c r="V231" s="597">
        <f>+INPUT!BS196</f>
        <v>4.3004736116384565</v>
      </c>
      <c r="W231" s="577">
        <f>+INPUT!BT196</f>
        <v>5.1233670208610675</v>
      </c>
      <c r="X231" s="597">
        <f>+INPUT!BU196</f>
        <v>4.357212176427482</v>
      </c>
      <c r="Y231" s="577">
        <f>+INPUT!BV196</f>
        <v>3.1160244926927732</v>
      </c>
      <c r="Z231" s="597">
        <f>+INPUT!BW196</f>
        <v>3.9812359779726698</v>
      </c>
      <c r="AA231" s="577">
        <f>+INPUT!BX196</f>
        <v>-3.5185181642054886</v>
      </c>
      <c r="AB231" s="597">
        <f>+INPUT!BY196</f>
        <v>3.9130874178878221</v>
      </c>
      <c r="AC231" s="577">
        <f>+INPUT!BZ196</f>
        <v>-3.6448985862068071</v>
      </c>
      <c r="AD231" s="597">
        <f>+INPUT!CA196</f>
        <v>3.7337694716476855</v>
      </c>
      <c r="AE231" s="577">
        <f>+INPUT!CB196</f>
        <v>-13.177714623270532</v>
      </c>
      <c r="AF231" s="597">
        <f>+INPUT!CC196</f>
        <v>3.5986745780997151</v>
      </c>
      <c r="AG231" s="577">
        <f>+INPUT!CD196</f>
        <v>-17.408782671439667</v>
      </c>
      <c r="AH231" s="597">
        <f>+INPUT!CE196</f>
        <v>3.4187386294724078</v>
      </c>
      <c r="AI231" s="577">
        <f>+INPUT!CF196</f>
        <v>-14.128711576315496</v>
      </c>
      <c r="AJ231" s="597">
        <f>+INPUT!CG196</f>
        <v>3.2734744929866881</v>
      </c>
      <c r="AK231" s="577">
        <f>+INPUT!CH196</f>
        <v>-16.34548009270847</v>
      </c>
      <c r="AL231" s="597">
        <f>+INPUT!CI196</f>
        <v>3.115370288849006</v>
      </c>
      <c r="AM231" s="577">
        <f>+INPUT!CJ196</f>
        <v>-16.562328967936637</v>
      </c>
      <c r="AN231" s="597">
        <f>+INPUT!CK196</f>
        <v>2.8979636352305129</v>
      </c>
      <c r="AO231" s="577">
        <f>+INPUT!CL196</f>
        <v>-19.471361682256187</v>
      </c>
      <c r="AP231" s="597">
        <f>+INPUT!CM196</f>
        <v>2.4037624107298381</v>
      </c>
      <c r="AQ231" s="577">
        <f>+INPUT!CN196</f>
        <v>-29.688617023618576</v>
      </c>
      <c r="AR231" s="597">
        <f>+INPUT!CO196</f>
        <v>2.3040293534418801</v>
      </c>
      <c r="AS231" s="577">
        <f>+INPUT!CP196</f>
        <v>-29.615173163005011</v>
      </c>
      <c r="AT231" s="597">
        <f>+INPUT!CQ196</f>
        <v>2.1909505297281187</v>
      </c>
      <c r="AU231" s="577">
        <f>+INPUT!CR196</f>
        <v>-29.672869463694482</v>
      </c>
      <c r="AV231" s="597">
        <f>+INPUT!CS196</f>
        <v>1.9225432627734795</v>
      </c>
      <c r="AW231" s="577">
        <f>+INPUT!CT196</f>
        <v>-33.658820303983745</v>
      </c>
      <c r="AX231" s="597">
        <f>+INPUT!CU196</f>
        <v>1.8198672391932063</v>
      </c>
      <c r="AY231" s="577">
        <f>+INPUT!CV196</f>
        <v>-24.290885360810165</v>
      </c>
      <c r="AZ231" s="597">
        <f>+INPUT!CW196</f>
        <v>1.6633640170631472</v>
      </c>
      <c r="BA231" s="577">
        <f>+INPUT!CX196</f>
        <v>-27.806300966681405</v>
      </c>
      <c r="BB231" s="597">
        <f>+INPUT!CY196</f>
        <v>1.6512814632188522</v>
      </c>
      <c r="BC231" s="577">
        <f>+INPUT!CZ196</f>
        <v>-24.631732172256562</v>
      </c>
      <c r="BD231" s="597">
        <f>+INPUT!DA196</f>
        <v>1.1595432530844556</v>
      </c>
      <c r="BE231" s="577">
        <f>+INPUT!DB196</f>
        <v>-39.687013783414827</v>
      </c>
      <c r="BF231" s="597">
        <f>+INPUT!DC196</f>
        <v>1.0852312059911475</v>
      </c>
      <c r="BG231" s="577">
        <f>+INPUT!DD196</f>
        <v>-40.367561840815469</v>
      </c>
      <c r="BH231" s="597">
        <f>+INPUT!DE196</f>
        <v>1.0603673812117889</v>
      </c>
      <c r="BI231" s="577">
        <f>+INPUT!DF196</f>
        <v>-36.251634017911215</v>
      </c>
      <c r="BJ231" s="597">
        <f>+INPUT!DG196</f>
        <v>1.0305914343983684</v>
      </c>
      <c r="BK231" s="577">
        <f>+INPUT!DH196</f>
        <v>-37.588384696729364</v>
      </c>
      <c r="BL231" s="597">
        <f>+INPUT!DI196</f>
        <v>1.0173893254441038</v>
      </c>
      <c r="BM231" s="577">
        <f>+INPUT!DJ196</f>
        <v>-12.259476070617779</v>
      </c>
      <c r="BN231" s="597">
        <f>+INPUT!DK196</f>
        <v>0.99157429123151664</v>
      </c>
      <c r="BO231" s="577">
        <f>+INPUT!DL196</f>
        <v>-8.6301346885886403</v>
      </c>
      <c r="BP231" s="597">
        <f>+INPUT!DM196</f>
        <v>1.0042222982996691</v>
      </c>
      <c r="BQ231" s="577">
        <f>+INPUT!DN196</f>
        <v>-5.2948708067535222</v>
      </c>
      <c r="BR231" s="597">
        <f>+INPUT!DO196</f>
        <v>0.83178560441188198</v>
      </c>
      <c r="BS231" s="577">
        <f>+INPUT!DP196</f>
        <v>-19.290460152382693</v>
      </c>
      <c r="BT231" s="597">
        <f>+INPUT!DQ196</f>
        <v>0.81495872323133367</v>
      </c>
      <c r="BU231" s="577">
        <f>+INPUT!DR196</f>
        <v>-19.897063705126499</v>
      </c>
      <c r="BV231" s="597">
        <f>+INPUT!DS196</f>
        <v>0.83333333333333337</v>
      </c>
      <c r="BW231" s="577">
        <f>+INPUT!DT196</f>
        <v>-15.958557951482476</v>
      </c>
      <c r="BX231" s="597">
        <f>+INPUT!DU196</f>
        <v>0.79435031937235434</v>
      </c>
      <c r="BY231" s="577">
        <f>+INPUT!DV196</f>
        <v>-20.898956265227952</v>
      </c>
      <c r="BZ231" s="597">
        <f>+INPUT!DW196</f>
        <v>0.79708469575365237</v>
      </c>
      <c r="CA231" s="577">
        <f>+INPUT!DX196</f>
        <v>-4.1718573240715102</v>
      </c>
      <c r="CB231" s="597">
        <f>+INPUT!DY196</f>
        <v>0.76682003067280124</v>
      </c>
      <c r="CC231" s="577">
        <f>+INPUT!DZ196</f>
        <v>-5.9068872062208442</v>
      </c>
      <c r="CD231" s="597">
        <f>+INPUT!EA196</f>
        <v>0.78089138862619523</v>
      </c>
      <c r="CE231" s="577">
        <f>+INPUT!EB196</f>
        <v>-6.2930333648565835</v>
      </c>
      <c r="CF231" s="597">
        <f>+INPUT!EC196</f>
        <v>0.7806194093386849</v>
      </c>
      <c r="CG231" s="577">
        <f>+INPUT!ED196</f>
        <v>-1.7285710975125852</v>
      </c>
      <c r="CH231" s="597">
        <f>+INPUT!EE196</f>
        <v>0.82910902998539393</v>
      </c>
      <c r="CI231" s="577">
        <f>+INPUT!EF196</f>
        <v>4.017682738402371</v>
      </c>
      <c r="CJ231" s="597">
        <f>+INPUT!EG196</f>
        <v>0.83107931245092059</v>
      </c>
      <c r="CK231" s="577">
        <f>+INPUT!EH196</f>
        <v>8.3799691202300437</v>
      </c>
      <c r="CL231" s="597">
        <f>+INPUT!EI196</f>
        <v>0.786538097939119</v>
      </c>
      <c r="CM231" s="577">
        <f>+INPUT!EJ196</f>
        <v>0.72311071618524636</v>
      </c>
      <c r="CN231" s="597">
        <f>+INPUT!EK196</f>
        <v>0.87669471089437867</v>
      </c>
      <c r="CO231" s="577">
        <f>+INPUT!EL196</f>
        <v>12.307572730876061</v>
      </c>
      <c r="CP231" s="597">
        <f>+INPUT!EM196</f>
        <v>0.77707418829186992</v>
      </c>
      <c r="CQ231" s="577">
        <f>+INPUT!EN196</f>
        <v>-6.275995051512183</v>
      </c>
      <c r="CR231" s="597">
        <f>+INPUT!EO196</f>
        <v>0.75684346914011891</v>
      </c>
      <c r="CS231" s="577">
        <f>+INPUT!EP196</f>
        <v>-8.9324619442005115</v>
      </c>
      <c r="CT231" s="597">
        <f>+INPUT!EQ196</f>
        <v>0.8</v>
      </c>
      <c r="CU231" s="577">
        <f>+INPUT!ER196</f>
        <v>1.711538461538467</v>
      </c>
      <c r="CV231" s="597">
        <f>+INPUT!ES196</f>
        <v>0.8</v>
      </c>
      <c r="CW231" s="577">
        <f>+INPUT!ET196</f>
        <v>-8.7481662591686984</v>
      </c>
      <c r="CX231" s="597">
        <f>+INPUT!EU196</f>
        <v>0.8</v>
      </c>
      <c r="CY231" s="577">
        <f>+INPUT!EV196</f>
        <v>2.9502732240437268</v>
      </c>
      <c r="CZ231" s="597">
        <f>+INPUT!EW196</f>
        <v>0.8</v>
      </c>
      <c r="DA231" s="577">
        <f>+INPUT!EX196</f>
        <v>5.702173913043481</v>
      </c>
      <c r="DB231" s="605"/>
      <c r="DC231" s="597">
        <f>+INPUT!FP196</f>
        <v>3.3964226289517474</v>
      </c>
      <c r="DD231" s="577">
        <f>+INPUT!FQ196</f>
        <v>18.899729037018602</v>
      </c>
      <c r="DE231" s="597">
        <f>+INPUT!FR196</f>
        <v>3.6861684139330402</v>
      </c>
      <c r="DF231" s="577">
        <f>+INPUT!FS196</f>
        <v>8.5309108033683572</v>
      </c>
      <c r="DG231" s="597">
        <f>+INPUT!FT196</f>
        <v>4.0181426993080187</v>
      </c>
      <c r="DH231" s="577">
        <f>+INPUT!FU196</f>
        <v>9.0059446041634175</v>
      </c>
      <c r="DI231" s="597">
        <f>+INPUT!FV196</f>
        <v>4.2463013210275093</v>
      </c>
      <c r="DJ231" s="577">
        <f>+INPUT!FW196</f>
        <v>5.6782110241824739</v>
      </c>
      <c r="DK231" s="597">
        <f>+INPUT!FX196</f>
        <v>3.6738075055868076</v>
      </c>
      <c r="DL231" s="577">
        <f>+INPUT!FY196</f>
        <v>-13.482175949354698</v>
      </c>
      <c r="DM231" s="597">
        <f>+INPUT!FZ196</f>
        <v>2.8574544661358927</v>
      </c>
      <c r="DN231" s="577">
        <f>+INPUT!GA196</f>
        <v>-22.220898569385469</v>
      </c>
      <c r="DO231" s="597">
        <f>+INPUT!GB196</f>
        <v>1.9036730344437167</v>
      </c>
      <c r="DP231" s="577">
        <f>+INPUT!GC196</f>
        <v>-33.378709722082306</v>
      </c>
      <c r="DQ231" s="597">
        <f>+INPUT!GD196</f>
        <v>1.1984303743769222</v>
      </c>
      <c r="DR231" s="577">
        <f>+INPUT!GE196</f>
        <v>-37.046417494319215</v>
      </c>
      <c r="DS231" s="597">
        <f>+INPUT!GF196</f>
        <v>1.0234133411868649</v>
      </c>
      <c r="DT231" s="577">
        <f>+INPUT!GG196</f>
        <v>-14.6038549199031</v>
      </c>
      <c r="DU231" s="597">
        <f>+INPUT!GH196</f>
        <v>0.82163871276601674</v>
      </c>
      <c r="DV231" s="577">
        <f>+INPUT!GI196</f>
        <v>-19.71584894397094</v>
      </c>
      <c r="DW231" s="597">
        <f>+INPUT!GJ196</f>
        <v>0.80071569869529458</v>
      </c>
      <c r="DX231" s="577">
        <f>+INPUT!GK196</f>
        <v>-2.5464980831155799</v>
      </c>
      <c r="DY231" s="597">
        <f>+INPUT!GL196</f>
        <v>0.80326760317598822</v>
      </c>
      <c r="DZ231" s="577">
        <f>+INPUT!GM196</f>
        <v>0.3187029409878761</v>
      </c>
      <c r="EA231" s="597">
        <f>+INPUT!GN196</f>
        <v>0.77483906793081458</v>
      </c>
      <c r="EB231" s="577">
        <f>+INPUT!GO196</f>
        <v>-3.5391113911194481</v>
      </c>
      <c r="EC231" s="597">
        <f>+INPUT!GP196</f>
        <v>0.78994267930347428</v>
      </c>
      <c r="ED231" s="577">
        <f>+INPUT!GQ196</f>
        <v>1.9492578520844859</v>
      </c>
      <c r="EE231" s="597">
        <f>+INPUT!GR196</f>
        <v>0.79994267930347429</v>
      </c>
      <c r="EF231" s="577">
        <f>+INPUT!GS196</f>
        <v>1.2659146368464889</v>
      </c>
      <c r="EG231" s="597">
        <f>+INPUT!GT196</f>
        <v>0.8099426793034743</v>
      </c>
      <c r="EH231" s="577">
        <f>+INPUT!GU196</f>
        <v>1.2500895700060966</v>
      </c>
      <c r="EI231" s="597">
        <f>+INPUT!GV196</f>
        <v>0.81994267930347431</v>
      </c>
      <c r="EJ231" s="577">
        <f>+INPUT!GW196</f>
        <v>1.2346552732101657</v>
      </c>
      <c r="EK231" s="597">
        <f>+INPUT!GX196</f>
        <v>0.82994267930347432</v>
      </c>
      <c r="EL231" s="577">
        <f>+INPUT!GY196</f>
        <v>1.2195974489942216</v>
      </c>
      <c r="EM231" s="577">
        <f>+INPUT!GZ196</f>
        <v>1.3835087928695033</v>
      </c>
    </row>
    <row r="232" spans="1:144" ht="12.75" hidden="1" customHeight="1" outlineLevel="1" x14ac:dyDescent="0.2">
      <c r="A232" s="609" t="str">
        <f>+INPUT!B197</f>
        <v>Net Investment Spread (%)</v>
      </c>
      <c r="B232" s="597">
        <f>+INPUT!AY197</f>
        <v>3.1261251720851413</v>
      </c>
      <c r="C232" s="577">
        <f>+INPUT!AZ197</f>
        <v>4.1270380294113664</v>
      </c>
      <c r="D232" s="597">
        <f>+INPUT!BA197</f>
        <v>3.4532006053759092</v>
      </c>
      <c r="E232" s="577">
        <f>+INPUT!BB197</f>
        <v>19.904991306095482</v>
      </c>
      <c r="F232" s="597">
        <f>+INPUT!BC197</f>
        <v>3.1616398479825349</v>
      </c>
      <c r="G232" s="577">
        <f>+INPUT!BD197</f>
        <v>12.724443472129494</v>
      </c>
      <c r="H232" s="597">
        <f>+INPUT!BE197</f>
        <v>3.2385764586524508</v>
      </c>
      <c r="I232" s="577">
        <f>+INPUT!BF197</f>
        <v>6.3598061010996503</v>
      </c>
      <c r="J232" s="597">
        <f>+INPUT!BG197</f>
        <v>3.1740392017528283</v>
      </c>
      <c r="K232" s="577">
        <f>+INPUT!BH197</f>
        <v>1.5326970940107429</v>
      </c>
      <c r="L232" s="597">
        <f>+INPUT!BI197</f>
        <v>3.1496681459372429</v>
      </c>
      <c r="M232" s="577">
        <f>+INPUT!BJ197</f>
        <v>-8.7898878207692235</v>
      </c>
      <c r="N232" s="597">
        <f>+INPUT!BK197</f>
        <v>3.1456408468437047</v>
      </c>
      <c r="O232" s="577">
        <f>+INPUT!BL197</f>
        <v>-0.50603490302790988</v>
      </c>
      <c r="P232" s="597">
        <f>+INPUT!BM197</f>
        <v>3.0547963792134292</v>
      </c>
      <c r="Q232" s="577">
        <f>+INPUT!BN197</f>
        <v>-5.6747179442998714</v>
      </c>
      <c r="R232" s="597">
        <f>+INPUT!BO197</f>
        <v>2.7870787930400445</v>
      </c>
      <c r="S232" s="577">
        <f>+INPUT!BP197</f>
        <v>-12.191418697635783</v>
      </c>
      <c r="T232" s="597">
        <f>+INPUT!BQ197</f>
        <v>2.8109409275328554</v>
      </c>
      <c r="U232" s="577">
        <f>+INPUT!BR197</f>
        <v>-10.754378007769233</v>
      </c>
      <c r="V232" s="597">
        <f>+INPUT!BS197</f>
        <v>2.7577386543034716</v>
      </c>
      <c r="W232" s="577">
        <f>+INPUT!BT197</f>
        <v>-12.33142025509521</v>
      </c>
      <c r="X232" s="597">
        <f>+INPUT!BU197</f>
        <v>2.7965379968707289</v>
      </c>
      <c r="Y232" s="577">
        <f>+INPUT!BV197</f>
        <v>-8.4541930224887381</v>
      </c>
      <c r="Z232" s="597">
        <f>+INPUT!BW197</f>
        <v>3.0430348766061588</v>
      </c>
      <c r="AA232" s="577">
        <f>+INPUT!BX197</f>
        <v>9.1836687288961372</v>
      </c>
      <c r="AB232" s="597">
        <f>+INPUT!BY197</f>
        <v>2.8054573016675084</v>
      </c>
      <c r="AC232" s="577">
        <f>+INPUT!BZ197</f>
        <v>-0.19508150497348709</v>
      </c>
      <c r="AD232" s="597">
        <f>+INPUT!CA197</f>
        <v>2.7684145441490311</v>
      </c>
      <c r="AE232" s="577">
        <f>+INPUT!CB197</f>
        <v>0.38712478533452099</v>
      </c>
      <c r="AF232" s="597">
        <f>+INPUT!CC197</f>
        <v>2.5814903290436919</v>
      </c>
      <c r="AG232" s="577">
        <f>+INPUT!CD197</f>
        <v>-7.6897817253930043</v>
      </c>
      <c r="AH232" s="597">
        <f>+INPUT!CE197</f>
        <v>2.6228016979987867</v>
      </c>
      <c r="AI232" s="577">
        <f>+INPUT!CF197</f>
        <v>-13.809673423002323</v>
      </c>
      <c r="AJ232" s="597">
        <f>+INPUT!CG197</f>
        <v>2.4801215045117484</v>
      </c>
      <c r="AK232" s="577">
        <f>+INPUT!CH197</f>
        <v>-11.596533547753054</v>
      </c>
      <c r="AL232" s="597">
        <f>+INPUT!CI197</f>
        <v>2.4042531576986899</v>
      </c>
      <c r="AM232" s="577">
        <f>+INPUT!CJ197</f>
        <v>-13.154149447017843</v>
      </c>
      <c r="AN232" s="597">
        <f>+INPUT!CK197</f>
        <v>2.218656030413038</v>
      </c>
      <c r="AO232" s="577">
        <f>+INPUT!CL197</f>
        <v>-14.055225950238793</v>
      </c>
      <c r="AP232" s="597">
        <f>+INPUT!CM197</f>
        <v>2.2702200545781803</v>
      </c>
      <c r="AQ232" s="577">
        <f>+INPUT!CN197</f>
        <v>-13.442939421978721</v>
      </c>
      <c r="AR232" s="597">
        <f>+INPUT!CO197</f>
        <v>2.0396325423911721</v>
      </c>
      <c r="AS232" s="577">
        <f>+INPUT!CP197</f>
        <v>-17.760781531036059</v>
      </c>
      <c r="AT232" s="597">
        <f>+INPUT!CQ197</f>
        <v>1.7140089178145144</v>
      </c>
      <c r="AU232" s="577">
        <f>+INPUT!CR197</f>
        <v>-28.70929950425294</v>
      </c>
      <c r="AV232" s="597">
        <f>+INPUT!CS197</f>
        <v>1.5495787499028739</v>
      </c>
      <c r="AW232" s="577">
        <f>+INPUT!CT197</f>
        <v>-30.15687295996058</v>
      </c>
      <c r="AX232" s="597">
        <f>+INPUT!CU197</f>
        <v>1.5002184266885454</v>
      </c>
      <c r="AY232" s="577">
        <f>+INPUT!CV197</f>
        <v>-33.917488586043945</v>
      </c>
      <c r="AZ232" s="597">
        <f>+INPUT!CW197</f>
        <v>1.3705182394111846</v>
      </c>
      <c r="BA232" s="577">
        <f>+INPUT!CX197</f>
        <v>-32.805629890350176</v>
      </c>
      <c r="BB232" s="597">
        <f>+INPUT!CY197</f>
        <v>1.2805076161535078</v>
      </c>
      <c r="BC232" s="577">
        <f>+INPUT!CZ197</f>
        <v>-25.291659638139592</v>
      </c>
      <c r="BD232" s="597">
        <f>+INPUT!DA197</f>
        <v>1.3292325096334008</v>
      </c>
      <c r="BE232" s="577">
        <f>+INPUT!DB197</f>
        <v>-14.219751031258284</v>
      </c>
      <c r="BF232" s="597">
        <f>+INPUT!DC197</f>
        <v>1.616658858409493</v>
      </c>
      <c r="BG232" s="577">
        <f>+INPUT!DD197</f>
        <v>7.7615652260696493</v>
      </c>
      <c r="BH232" s="597">
        <f>+INPUT!DE197</f>
        <v>1.8126175390871684</v>
      </c>
      <c r="BI232" s="577">
        <f>+INPUT!DF197</f>
        <v>32.257819484833902</v>
      </c>
      <c r="BJ232" s="597">
        <f>+INPUT!DG197</f>
        <v>1.7022433718558803</v>
      </c>
      <c r="BK232" s="577">
        <f>+INPUT!DH197</f>
        <v>32.935044694948118</v>
      </c>
      <c r="BL232" s="597">
        <f>+INPUT!DI197</f>
        <v>1.8232687648090389</v>
      </c>
      <c r="BM232" s="577">
        <f>+INPUT!DJ197</f>
        <v>37.167030718492754</v>
      </c>
      <c r="BN232" s="597">
        <f>+INPUT!DK197</f>
        <v>1.9136582008672933</v>
      </c>
      <c r="BO232" s="577">
        <f>+INPUT!DL197</f>
        <v>18.371182077955226</v>
      </c>
      <c r="BP232" s="597">
        <f>+INPUT!DM197</f>
        <v>1.7318807016130655</v>
      </c>
      <c r="BQ232" s="577">
        <f>+INPUT!DN197</f>
        <v>-4.4541573571423072</v>
      </c>
      <c r="BR232" s="597">
        <f>+INPUT!DO197</f>
        <v>1.5200027346376035</v>
      </c>
      <c r="BS232" s="577">
        <f>+INPUT!DP197</f>
        <v>-10.705909638501794</v>
      </c>
      <c r="BT232" s="597">
        <f>+INPUT!DQ197</f>
        <v>1.5697975406505194</v>
      </c>
      <c r="BU232" s="577">
        <f>+INPUT!DR197</f>
        <v>-13.902021964658999</v>
      </c>
      <c r="BV232" s="597">
        <f>+INPUT!DS197</f>
        <v>1.5176151761517613</v>
      </c>
      <c r="BW232" s="577">
        <f>+INPUT!DT197</f>
        <v>-20.695598855429893</v>
      </c>
      <c r="BX232" s="597">
        <f>+INPUT!DU197</f>
        <v>1.3971860411974015</v>
      </c>
      <c r="BY232" s="577">
        <f>+INPUT!DV197</f>
        <v>-19.325503200303046</v>
      </c>
      <c r="BZ232" s="597">
        <f>+INPUT!DW197</f>
        <v>1.4686615802974754</v>
      </c>
      <c r="CA232" s="577">
        <f>+INPUT!DX197</f>
        <v>-3.3777014455417316</v>
      </c>
      <c r="CB232" s="597">
        <f>+INPUT!DY197</f>
        <v>1.4669600586784024</v>
      </c>
      <c r="CC232" s="577">
        <f>+INPUT!DZ197</f>
        <v>-6.5510028719691746</v>
      </c>
      <c r="CD232" s="597">
        <f>+INPUT!EA197</f>
        <v>1.4732965009208105</v>
      </c>
      <c r="CE232" s="577">
        <f>+INPUT!EB197</f>
        <v>-2.9202841357537324</v>
      </c>
      <c r="CF232" s="597">
        <f>+INPUT!EC197</f>
        <v>1.4528808836700167</v>
      </c>
      <c r="CG232" s="577">
        <f>+INPUT!ED197</f>
        <v>3.9862152090271508</v>
      </c>
      <c r="CH232" s="597">
        <f>+INPUT!EE197</f>
        <v>1.5637082223558725</v>
      </c>
      <c r="CI232" s="577">
        <f>+INPUT!EF197</f>
        <v>6.471650333437978</v>
      </c>
      <c r="CJ232" s="597">
        <f>+INPUT!EG197</f>
        <v>1.6119884826803941</v>
      </c>
      <c r="CK232" s="577">
        <f>+INPUT!EH197</f>
        <v>9.8863239761721218</v>
      </c>
      <c r="CL232" s="597">
        <f>+INPUT!EI197</f>
        <v>1.6940820570996407</v>
      </c>
      <c r="CM232" s="577">
        <f>+INPUT!EJ197</f>
        <v>14.985819625638101</v>
      </c>
      <c r="CN232" s="597">
        <f>+INPUT!EK197</f>
        <v>1.4897379561652646</v>
      </c>
      <c r="CO232" s="577">
        <f>+INPUT!EL197</f>
        <v>2.5368268596215557</v>
      </c>
      <c r="CP232" s="597">
        <f>+INPUT!EM197</f>
        <v>1.496823231545815</v>
      </c>
      <c r="CQ232" s="577">
        <f>+INPUT!EN197</f>
        <v>-4.2773319122981377</v>
      </c>
      <c r="CR232" s="597">
        <f>+INPUT!EO197</f>
        <v>1.6268021306788969</v>
      </c>
      <c r="CS232" s="577">
        <f>+INPUT!EP197</f>
        <v>0.9189673597339123</v>
      </c>
      <c r="CT232" s="597">
        <f>+INPUT!EQ197</f>
        <v>1.4999999999999998</v>
      </c>
      <c r="CU232" s="577">
        <f>+INPUT!ER197</f>
        <v>-11.456473214285722</v>
      </c>
      <c r="CV232" s="597">
        <f>+INPUT!ES197</f>
        <v>1.4999999999999998</v>
      </c>
      <c r="CW232" s="577">
        <f>+INPUT!ET197</f>
        <v>0.6888489208632933</v>
      </c>
      <c r="CX232" s="597">
        <f>+INPUT!EU197</f>
        <v>1.4999999999999998</v>
      </c>
      <c r="CY232" s="577">
        <f>+INPUT!EV197</f>
        <v>0.21223404255317746</v>
      </c>
      <c r="CZ232" s="597">
        <f>+INPUT!EW197</f>
        <v>1.4999999999999998</v>
      </c>
      <c r="DA232" s="577">
        <f>+INPUT!EX197</f>
        <v>-7.7945638432364177</v>
      </c>
      <c r="DB232" s="605"/>
      <c r="DC232" s="597">
        <f>+INPUT!FP197</f>
        <v>2.9471713810316138</v>
      </c>
      <c r="DD232" s="577">
        <f>+INPUT!FQ197</f>
        <v>12.416905158069881</v>
      </c>
      <c r="DE232" s="597">
        <f>+INPUT!FR197</f>
        <v>3.1271757942270595</v>
      </c>
      <c r="DF232" s="577">
        <f>+INPUT!FS197</f>
        <v>6.107700907859595</v>
      </c>
      <c r="DG232" s="597">
        <f>+INPUT!FT197</f>
        <v>3.107131088755791</v>
      </c>
      <c r="DH232" s="577">
        <f>+INPUT!FU197</f>
        <v>-0.64098428710890687</v>
      </c>
      <c r="DI232" s="597">
        <f>+INPUT!FV197</f>
        <v>2.8123824047850121</v>
      </c>
      <c r="DJ232" s="577">
        <f>+INPUT!FW197</f>
        <v>-9.4862004708274839</v>
      </c>
      <c r="DK232" s="597">
        <f>+INPUT!FX197</f>
        <v>2.7009324188949688</v>
      </c>
      <c r="DL232" s="577">
        <f>+INPUT!FY197</f>
        <v>-3.9628318574466022</v>
      </c>
      <c r="DM232" s="597">
        <f>+INPUT!FZ197</f>
        <v>2.1874951311094839</v>
      </c>
      <c r="DN232" s="577">
        <f>+INPUT!GA197</f>
        <v>-19.009631051618356</v>
      </c>
      <c r="DO232" s="597">
        <f>+INPUT!GB197</f>
        <v>1.6239496497907626</v>
      </c>
      <c r="DP232" s="577">
        <f>+INPUT!GC197</f>
        <v>-25.762136486808757</v>
      </c>
      <c r="DQ232" s="597">
        <f>+INPUT!GD197</f>
        <v>1.066214161982536</v>
      </c>
      <c r="DR232" s="577">
        <f>+INPUT!GE197</f>
        <v>-34.344383021979027</v>
      </c>
      <c r="DS232" s="597">
        <f>+INPUT!GF197</f>
        <v>1.6987724394586421</v>
      </c>
      <c r="DT232" s="577">
        <f>+INPUT!GG197</f>
        <v>59.327506614610797</v>
      </c>
      <c r="DU232" s="597">
        <f>+INPUT!GH197</f>
        <v>1.5213676165240673</v>
      </c>
      <c r="DV232" s="577">
        <f>+INPUT!GI197</f>
        <v>-10.443118737616757</v>
      </c>
      <c r="DW232" s="597">
        <f>+INPUT!GJ197</f>
        <v>1.4675157253672959</v>
      </c>
      <c r="DX232" s="577">
        <f>+INPUT!GK197</f>
        <v>-3.5397027366606579</v>
      </c>
      <c r="DY232" s="597">
        <f>+INPUT!GL197</f>
        <v>1.5214640956286538</v>
      </c>
      <c r="DZ232" s="577">
        <f>+INPUT!GM197</f>
        <v>3.6761698242010681</v>
      </c>
      <c r="EA232" s="597">
        <f>+INPUT!GN197</f>
        <v>1.5296258972091394</v>
      </c>
      <c r="EB232" s="577">
        <f>+INPUT!GO197</f>
        <v>0.53644391635236843</v>
      </c>
      <c r="EC232" s="597">
        <f>+INPUT!GP197</f>
        <v>1.4811425236940141</v>
      </c>
      <c r="ED232" s="577">
        <f>+INPUT!GQ197</f>
        <v>-3.1696229518331904</v>
      </c>
      <c r="EE232" s="597">
        <f>+INPUT!GR197</f>
        <v>1.4611425236940143</v>
      </c>
      <c r="EF232" s="577">
        <f>+INPUT!GS197</f>
        <v>-1.350308945969573</v>
      </c>
      <c r="EG232" s="597">
        <f>+INPUT!GT197</f>
        <v>1.4411425236940145</v>
      </c>
      <c r="EH232" s="577">
        <f>+INPUT!GU197</f>
        <v>-1.3687918649740141</v>
      </c>
      <c r="EI232" s="597">
        <f>+INPUT!GV197</f>
        <v>1.4211425236940147</v>
      </c>
      <c r="EJ232" s="577">
        <f>+INPUT!GW197</f>
        <v>-1.3877877913653407</v>
      </c>
      <c r="EK232" s="597">
        <f>+INPUT!GX197</f>
        <v>1.4011425236940149</v>
      </c>
      <c r="EL232" s="577">
        <f>+INPUT!GY197</f>
        <v>-1.4073183840853147</v>
      </c>
      <c r="EM232" s="577">
        <f>+INPUT!GZ197</f>
        <v>-1.7393987547615897</v>
      </c>
    </row>
    <row r="233" spans="1:144" ht="12.75" hidden="1" customHeight="1" outlineLevel="1" x14ac:dyDescent="0.2">
      <c r="A233" s="609"/>
      <c r="B233" s="615"/>
      <c r="C233" s="555"/>
      <c r="D233" s="615"/>
      <c r="E233" s="555"/>
      <c r="F233" s="615"/>
      <c r="G233" s="555"/>
      <c r="H233" s="615"/>
      <c r="I233" s="555"/>
      <c r="J233" s="615"/>
      <c r="K233" s="555"/>
      <c r="L233" s="615"/>
      <c r="M233" s="555"/>
      <c r="N233" s="615"/>
      <c r="O233" s="555"/>
      <c r="P233" s="615"/>
      <c r="Q233" s="555"/>
      <c r="R233" s="615"/>
      <c r="S233" s="555"/>
      <c r="T233" s="615"/>
      <c r="U233" s="555"/>
      <c r="V233" s="615"/>
      <c r="W233" s="555"/>
      <c r="X233" s="615"/>
      <c r="Y233" s="555"/>
      <c r="Z233" s="615"/>
      <c r="AA233" s="555"/>
      <c r="AB233" s="615"/>
      <c r="AC233" s="555"/>
      <c r="AD233" s="615"/>
      <c r="AE233" s="555"/>
      <c r="AF233" s="615"/>
      <c r="AG233" s="555"/>
      <c r="AH233" s="615"/>
      <c r="AI233" s="555"/>
      <c r="AJ233" s="615"/>
      <c r="AK233" s="555"/>
      <c r="AL233" s="615"/>
      <c r="AM233" s="555"/>
      <c r="AN233" s="615"/>
      <c r="AO233" s="555"/>
      <c r="AP233" s="615"/>
      <c r="AQ233" s="555"/>
      <c r="AR233" s="615"/>
      <c r="AS233" s="555"/>
      <c r="AT233" s="615"/>
      <c r="AU233" s="555"/>
      <c r="AV233" s="615"/>
      <c r="AW233" s="555"/>
      <c r="AX233" s="615"/>
      <c r="AY233" s="555"/>
      <c r="AZ233" s="615"/>
      <c r="BA233" s="555"/>
      <c r="BB233" s="615"/>
      <c r="BC233" s="555"/>
      <c r="BD233" s="615"/>
      <c r="BE233" s="555"/>
      <c r="BF233" s="615"/>
      <c r="BG233" s="555"/>
      <c r="BH233" s="615"/>
      <c r="BI233" s="555"/>
      <c r="BJ233" s="615"/>
      <c r="BK233" s="555"/>
      <c r="BL233" s="615"/>
      <c r="BM233" s="555"/>
      <c r="BN233" s="615"/>
      <c r="BO233" s="555"/>
      <c r="BP233" s="615"/>
      <c r="BQ233" s="555"/>
      <c r="BR233" s="615"/>
      <c r="BS233" s="555"/>
      <c r="BT233" s="615"/>
      <c r="BU233" s="555"/>
      <c r="BV233" s="615"/>
      <c r="BW233" s="555"/>
      <c r="BX233" s="615"/>
      <c r="BY233" s="555"/>
      <c r="BZ233" s="615"/>
      <c r="CA233" s="555"/>
      <c r="CB233" s="615"/>
      <c r="CC233" s="555"/>
      <c r="CD233" s="615"/>
      <c r="CE233" s="555"/>
      <c r="CF233" s="615"/>
      <c r="CG233" s="555"/>
      <c r="CH233" s="615"/>
      <c r="CI233" s="555"/>
      <c r="CJ233" s="615"/>
      <c r="CK233" s="555"/>
      <c r="CL233" s="615"/>
      <c r="CM233" s="555"/>
      <c r="CN233" s="615"/>
      <c r="CO233" s="555"/>
      <c r="CP233" s="615"/>
      <c r="CQ233" s="555"/>
      <c r="CR233" s="615"/>
      <c r="CS233" s="555"/>
      <c r="CT233" s="615"/>
      <c r="CU233" s="555"/>
      <c r="CV233" s="615"/>
      <c r="CW233" s="555"/>
      <c r="CX233" s="615"/>
      <c r="CY233" s="555"/>
      <c r="CZ233" s="615"/>
      <c r="DA233" s="555"/>
      <c r="DB233" s="615"/>
      <c r="DC233" s="615"/>
      <c r="DD233" s="555"/>
      <c r="DE233" s="615"/>
      <c r="DF233" s="555"/>
      <c r="DG233" s="615"/>
      <c r="DH233" s="555"/>
      <c r="DI233" s="615"/>
      <c r="DJ233" s="555"/>
      <c r="DK233" s="615"/>
      <c r="DL233" s="555"/>
      <c r="DM233" s="615"/>
      <c r="DN233" s="555"/>
      <c r="DO233" s="615"/>
      <c r="DP233" s="555"/>
      <c r="DQ233" s="615"/>
      <c r="DR233" s="555"/>
      <c r="DS233" s="615"/>
      <c r="DT233" s="555"/>
      <c r="DU233" s="615"/>
      <c r="DV233" s="555"/>
      <c r="DW233" s="615"/>
      <c r="DX233" s="555"/>
      <c r="DY233" s="615"/>
      <c r="DZ233" s="555"/>
      <c r="EA233" s="615"/>
      <c r="EB233" s="555"/>
      <c r="EC233" s="615"/>
      <c r="ED233" s="555"/>
      <c r="EE233" s="615"/>
      <c r="EF233" s="555"/>
      <c r="EG233" s="615"/>
      <c r="EH233" s="555"/>
      <c r="EI233" s="615"/>
      <c r="EJ233" s="555"/>
      <c r="EK233" s="615"/>
      <c r="EL233" s="555"/>
      <c r="EM233" s="555"/>
    </row>
    <row r="234" spans="1:144" ht="12.75" hidden="1" customHeight="1" outlineLevel="1" x14ac:dyDescent="0.2">
      <c r="A234" s="599" t="s">
        <v>507</v>
      </c>
      <c r="B234" s="610"/>
      <c r="C234" s="555"/>
      <c r="D234" s="610"/>
      <c r="E234" s="555"/>
      <c r="F234" s="610"/>
      <c r="G234" s="555"/>
      <c r="H234" s="610"/>
      <c r="I234" s="555"/>
      <c r="J234" s="610"/>
      <c r="K234" s="555"/>
      <c r="L234" s="610"/>
      <c r="M234" s="555"/>
      <c r="N234" s="610"/>
      <c r="O234" s="555"/>
      <c r="P234" s="610"/>
      <c r="Q234" s="555"/>
      <c r="R234" s="610"/>
      <c r="S234" s="555"/>
      <c r="T234" s="610"/>
      <c r="U234" s="555"/>
      <c r="V234" s="610"/>
      <c r="W234" s="555"/>
      <c r="X234" s="610"/>
      <c r="Y234" s="555"/>
      <c r="Z234" s="610"/>
      <c r="AA234" s="555"/>
      <c r="AB234" s="610"/>
      <c r="AC234" s="555"/>
      <c r="AD234" s="610"/>
      <c r="AE234" s="555"/>
      <c r="AF234" s="610"/>
      <c r="AG234" s="555"/>
      <c r="AH234" s="610"/>
      <c r="AI234" s="555"/>
      <c r="AJ234" s="610"/>
      <c r="AK234" s="555"/>
      <c r="AL234" s="610"/>
      <c r="AM234" s="555"/>
      <c r="AN234" s="610"/>
      <c r="AO234" s="555"/>
      <c r="AP234" s="610"/>
      <c r="AQ234" s="555"/>
      <c r="AR234" s="610"/>
      <c r="AS234" s="555"/>
      <c r="AT234" s="610"/>
      <c r="AU234" s="555"/>
      <c r="AV234" s="610"/>
      <c r="AW234" s="555"/>
      <c r="AX234" s="610"/>
      <c r="AY234" s="555"/>
      <c r="AZ234" s="610"/>
      <c r="BA234" s="555"/>
      <c r="BB234" s="610"/>
      <c r="BC234" s="555"/>
      <c r="BD234" s="610"/>
      <c r="BE234" s="555"/>
      <c r="BF234" s="610"/>
      <c r="BG234" s="555"/>
      <c r="BH234" s="610"/>
      <c r="BI234" s="555"/>
      <c r="BJ234" s="610"/>
      <c r="BK234" s="555"/>
      <c r="BL234" s="610"/>
      <c r="BM234" s="555"/>
      <c r="BN234" s="610"/>
      <c r="BO234" s="555"/>
      <c r="BP234" s="610"/>
      <c r="BQ234" s="555"/>
      <c r="BR234" s="610"/>
      <c r="BS234" s="555"/>
      <c r="BT234" s="610"/>
      <c r="BU234" s="555"/>
      <c r="BV234" s="610"/>
      <c r="BW234" s="555"/>
      <c r="BX234" s="610"/>
      <c r="BY234" s="555"/>
      <c r="BZ234" s="610"/>
      <c r="CA234" s="555"/>
      <c r="CB234" s="610"/>
      <c r="CC234" s="555"/>
      <c r="CD234" s="610"/>
      <c r="CE234" s="555"/>
      <c r="CF234" s="610"/>
      <c r="CG234" s="555"/>
      <c r="CH234" s="610"/>
      <c r="CI234" s="555"/>
      <c r="CJ234" s="610"/>
      <c r="CK234" s="555"/>
      <c r="CL234" s="610"/>
      <c r="CM234" s="555"/>
      <c r="CN234" s="610"/>
      <c r="CO234" s="555"/>
      <c r="CP234" s="610"/>
      <c r="CQ234" s="555"/>
      <c r="CR234" s="610"/>
      <c r="CS234" s="555"/>
      <c r="CT234" s="610"/>
      <c r="CU234" s="555"/>
      <c r="CV234" s="610"/>
      <c r="CW234" s="555"/>
      <c r="CX234" s="610"/>
      <c r="CY234" s="555"/>
      <c r="CZ234" s="610"/>
      <c r="DA234" s="555"/>
      <c r="DB234" s="556"/>
      <c r="DC234" s="610"/>
      <c r="DD234" s="555"/>
      <c r="DE234" s="610"/>
      <c r="DF234" s="555"/>
      <c r="DG234" s="610"/>
      <c r="DH234" s="555"/>
      <c r="DI234" s="610"/>
      <c r="DJ234" s="555"/>
      <c r="DK234" s="610"/>
      <c r="DL234" s="555"/>
      <c r="DM234" s="610"/>
      <c r="DN234" s="555"/>
      <c r="DO234" s="610"/>
      <c r="DP234" s="555"/>
      <c r="DQ234" s="610"/>
      <c r="DR234" s="555"/>
      <c r="DS234" s="610"/>
      <c r="DT234" s="555"/>
      <c r="DU234" s="610"/>
      <c r="DV234" s="555"/>
      <c r="DW234" s="610"/>
      <c r="DX234" s="555"/>
      <c r="DY234" s="610"/>
      <c r="DZ234" s="555"/>
      <c r="EA234" s="610"/>
      <c r="EB234" s="555"/>
      <c r="EC234" s="610"/>
      <c r="ED234" s="555"/>
      <c r="EE234" s="610"/>
      <c r="EF234" s="555"/>
      <c r="EG234" s="610"/>
      <c r="EH234" s="555"/>
      <c r="EI234" s="610"/>
      <c r="EJ234" s="555"/>
      <c r="EK234" s="610"/>
      <c r="EL234" s="555"/>
      <c r="EM234" s="555"/>
    </row>
    <row r="235" spans="1:144" ht="12.75" hidden="1" customHeight="1" outlineLevel="1" x14ac:dyDescent="0.2">
      <c r="A235" s="599" t="s">
        <v>543</v>
      </c>
      <c r="B235" s="610"/>
      <c r="C235" s="555"/>
      <c r="D235" s="610"/>
      <c r="E235" s="555"/>
      <c r="F235" s="610"/>
      <c r="G235" s="555"/>
      <c r="H235" s="610"/>
      <c r="I235" s="555"/>
      <c r="J235" s="610"/>
      <c r="K235" s="555"/>
      <c r="L235" s="610"/>
      <c r="M235" s="555"/>
      <c r="N235" s="610"/>
      <c r="O235" s="555"/>
      <c r="P235" s="610"/>
      <c r="Q235" s="555"/>
      <c r="R235" s="610"/>
      <c r="S235" s="555"/>
      <c r="T235" s="610"/>
      <c r="U235" s="555"/>
      <c r="V235" s="610"/>
      <c r="W235" s="555"/>
      <c r="X235" s="610"/>
      <c r="Y235" s="555"/>
      <c r="Z235" s="610"/>
      <c r="AA235" s="555"/>
      <c r="AB235" s="610"/>
      <c r="AC235" s="555"/>
      <c r="AD235" s="610"/>
      <c r="AE235" s="555"/>
      <c r="AF235" s="610"/>
      <c r="AG235" s="555"/>
      <c r="AH235" s="610"/>
      <c r="AI235" s="555"/>
      <c r="AJ235" s="610"/>
      <c r="AK235" s="555"/>
      <c r="AL235" s="610"/>
      <c r="AM235" s="555"/>
      <c r="AN235" s="610"/>
      <c r="AO235" s="555"/>
      <c r="AP235" s="610"/>
      <c r="AQ235" s="555"/>
      <c r="AR235" s="610"/>
      <c r="AS235" s="555"/>
      <c r="AT235" s="610"/>
      <c r="AU235" s="555"/>
      <c r="AV235" s="610"/>
      <c r="AW235" s="555"/>
      <c r="AX235" s="610"/>
      <c r="AY235" s="555"/>
      <c r="AZ235" s="610"/>
      <c r="BA235" s="555"/>
      <c r="BB235" s="610"/>
      <c r="BC235" s="555"/>
      <c r="BD235" s="610"/>
      <c r="BE235" s="555"/>
      <c r="BF235" s="610"/>
      <c r="BG235" s="555"/>
      <c r="BH235" s="610"/>
      <c r="BI235" s="555"/>
      <c r="BJ235" s="610"/>
      <c r="BK235" s="555"/>
      <c r="BL235" s="610"/>
      <c r="BM235" s="555"/>
      <c r="BN235" s="610"/>
      <c r="BO235" s="555"/>
      <c r="BP235" s="610"/>
      <c r="BQ235" s="555"/>
      <c r="BR235" s="610"/>
      <c r="BS235" s="555"/>
      <c r="BT235" s="610"/>
      <c r="BU235" s="555"/>
      <c r="BV235" s="610"/>
      <c r="BW235" s="555"/>
      <c r="BX235" s="610"/>
      <c r="BY235" s="555"/>
      <c r="BZ235" s="610"/>
      <c r="CA235" s="555"/>
      <c r="CB235" s="610"/>
      <c r="CC235" s="555"/>
      <c r="CD235" s="610"/>
      <c r="CE235" s="555"/>
      <c r="CF235" s="610"/>
      <c r="CG235" s="555"/>
      <c r="CH235" s="610"/>
      <c r="CI235" s="555"/>
      <c r="CJ235" s="610"/>
      <c r="CK235" s="555"/>
      <c r="CL235" s="610"/>
      <c r="CM235" s="555"/>
      <c r="CN235" s="610"/>
      <c r="CO235" s="555"/>
      <c r="CP235" s="610"/>
      <c r="CQ235" s="555"/>
      <c r="CR235" s="610"/>
      <c r="CS235" s="555"/>
      <c r="CT235" s="610"/>
      <c r="CU235" s="555"/>
      <c r="CV235" s="610"/>
      <c r="CW235" s="555"/>
      <c r="CX235" s="610"/>
      <c r="CY235" s="555"/>
      <c r="CZ235" s="610"/>
      <c r="DA235" s="555"/>
      <c r="DB235" s="556"/>
      <c r="DC235" s="610"/>
      <c r="DD235" s="555"/>
      <c r="DE235" s="610"/>
      <c r="DF235" s="555"/>
      <c r="DG235" s="610"/>
      <c r="DH235" s="555"/>
      <c r="DI235" s="610"/>
      <c r="DJ235" s="555"/>
      <c r="DK235" s="610"/>
      <c r="DL235" s="555"/>
      <c r="DM235" s="610"/>
      <c r="DN235" s="555"/>
      <c r="DO235" s="610"/>
      <c r="DP235" s="555"/>
      <c r="DQ235" s="610"/>
      <c r="DR235" s="555"/>
      <c r="DS235" s="610"/>
      <c r="DT235" s="555"/>
      <c r="DU235" s="610"/>
      <c r="DV235" s="555"/>
      <c r="DW235" s="610"/>
      <c r="DX235" s="555"/>
      <c r="DY235" s="610"/>
      <c r="DZ235" s="555"/>
      <c r="EA235" s="610"/>
      <c r="EB235" s="555"/>
      <c r="EC235" s="610"/>
      <c r="ED235" s="555"/>
      <c r="EE235" s="610"/>
      <c r="EF235" s="555"/>
      <c r="EG235" s="610"/>
      <c r="EH235" s="555"/>
      <c r="EI235" s="610"/>
      <c r="EJ235" s="555"/>
      <c r="EK235" s="610"/>
      <c r="EL235" s="555"/>
      <c r="EM235" s="555"/>
    </row>
    <row r="236" spans="1:144" ht="12.75" hidden="1" customHeight="1" outlineLevel="1" x14ac:dyDescent="0.2">
      <c r="A236" s="609"/>
      <c r="B236" s="610"/>
      <c r="C236" s="555"/>
      <c r="D236" s="610"/>
      <c r="E236" s="555"/>
      <c r="F236" s="610"/>
      <c r="G236" s="555"/>
      <c r="H236" s="610"/>
      <c r="I236" s="555"/>
      <c r="J236" s="610"/>
      <c r="K236" s="555"/>
      <c r="L236" s="610"/>
      <c r="M236" s="555"/>
      <c r="N236" s="610"/>
      <c r="O236" s="555"/>
      <c r="P236" s="610"/>
      <c r="Q236" s="555"/>
      <c r="R236" s="610"/>
      <c r="S236" s="555"/>
      <c r="T236" s="610"/>
      <c r="U236" s="555"/>
      <c r="V236" s="610"/>
      <c r="W236" s="555"/>
      <c r="X236" s="610"/>
      <c r="Y236" s="555"/>
      <c r="Z236" s="610"/>
      <c r="AA236" s="555"/>
      <c r="AB236" s="610"/>
      <c r="AC236" s="555"/>
      <c r="AD236" s="610"/>
      <c r="AE236" s="555"/>
      <c r="AF236" s="610"/>
      <c r="AG236" s="555"/>
      <c r="AH236" s="610"/>
      <c r="AI236" s="555"/>
      <c r="AJ236" s="610"/>
      <c r="AK236" s="555"/>
      <c r="AL236" s="610"/>
      <c r="AM236" s="555"/>
      <c r="AN236" s="610"/>
      <c r="AO236" s="555"/>
      <c r="AP236" s="610"/>
      <c r="AQ236" s="555"/>
      <c r="AR236" s="610"/>
      <c r="AS236" s="555"/>
      <c r="AT236" s="610"/>
      <c r="AU236" s="555"/>
      <c r="AV236" s="610"/>
      <c r="AW236" s="555"/>
      <c r="AX236" s="610"/>
      <c r="AY236" s="555"/>
      <c r="AZ236" s="610"/>
      <c r="BA236" s="555"/>
      <c r="BB236" s="610"/>
      <c r="BC236" s="555"/>
      <c r="BD236" s="610"/>
      <c r="BE236" s="555"/>
      <c r="BF236" s="610"/>
      <c r="BG236" s="555"/>
      <c r="BH236" s="610"/>
      <c r="BI236" s="555"/>
      <c r="BJ236" s="610"/>
      <c r="BK236" s="555"/>
      <c r="BL236" s="610"/>
      <c r="BM236" s="555"/>
      <c r="BN236" s="610"/>
      <c r="BO236" s="555"/>
      <c r="BP236" s="610"/>
      <c r="BQ236" s="555"/>
      <c r="BR236" s="610"/>
      <c r="BS236" s="555"/>
      <c r="BT236" s="610"/>
      <c r="BU236" s="555"/>
      <c r="BV236" s="610"/>
      <c r="BW236" s="555"/>
      <c r="BX236" s="610"/>
      <c r="BY236" s="555"/>
      <c r="BZ236" s="610"/>
      <c r="CA236" s="555"/>
      <c r="CB236" s="610"/>
      <c r="CC236" s="555"/>
      <c r="CD236" s="610"/>
      <c r="CE236" s="555"/>
      <c r="CF236" s="610"/>
      <c r="CG236" s="555"/>
      <c r="CH236" s="610"/>
      <c r="CI236" s="555"/>
      <c r="CJ236" s="610"/>
      <c r="CK236" s="555"/>
      <c r="CL236" s="610"/>
      <c r="CM236" s="555"/>
      <c r="CN236" s="610"/>
      <c r="CO236" s="555"/>
      <c r="CP236" s="610"/>
      <c r="CQ236" s="555"/>
      <c r="CR236" s="610"/>
      <c r="CS236" s="555"/>
      <c r="CT236" s="610"/>
      <c r="CU236" s="555"/>
      <c r="CV236" s="610"/>
      <c r="CW236" s="555"/>
      <c r="CX236" s="610"/>
      <c r="CY236" s="555"/>
      <c r="CZ236" s="610"/>
      <c r="DA236" s="555"/>
      <c r="DB236" s="556"/>
      <c r="DC236" s="610"/>
      <c r="DD236" s="555"/>
      <c r="DE236" s="610"/>
      <c r="DF236" s="555"/>
      <c r="DG236" s="610"/>
      <c r="DH236" s="555"/>
      <c r="DI236" s="610"/>
      <c r="DJ236" s="555"/>
      <c r="DK236" s="610"/>
      <c r="DL236" s="555"/>
      <c r="DM236" s="610"/>
      <c r="DN236" s="555"/>
      <c r="DO236" s="610"/>
      <c r="DP236" s="555"/>
      <c r="DQ236" s="610"/>
      <c r="DR236" s="555"/>
      <c r="DS236" s="610"/>
      <c r="DT236" s="555"/>
      <c r="DU236" s="610"/>
      <c r="DV236" s="555"/>
      <c r="DW236" s="610"/>
      <c r="DX236" s="555"/>
      <c r="DY236" s="610"/>
      <c r="DZ236" s="555"/>
      <c r="EA236" s="610"/>
      <c r="EB236" s="555"/>
      <c r="EC236" s="610"/>
      <c r="ED236" s="555"/>
      <c r="EE236" s="610"/>
      <c r="EF236" s="555"/>
      <c r="EG236" s="610"/>
      <c r="EH236" s="555"/>
      <c r="EI236" s="610"/>
      <c r="EJ236" s="555"/>
      <c r="EK236" s="610"/>
      <c r="EL236" s="555"/>
      <c r="EM236" s="555"/>
    </row>
    <row r="237" spans="1:144" ht="21.95" hidden="1" customHeight="1" outlineLevel="1" x14ac:dyDescent="0.25">
      <c r="A237" s="546" t="str">
        <f>$A$1</f>
        <v>Prudential Financial, Inc.</v>
      </c>
      <c r="B237" s="554"/>
      <c r="C237" s="555"/>
      <c r="D237" s="554"/>
      <c r="E237" s="555"/>
      <c r="F237" s="554"/>
      <c r="G237" s="555"/>
      <c r="H237" s="554"/>
      <c r="I237" s="555"/>
      <c r="J237" s="554"/>
      <c r="K237" s="555"/>
      <c r="L237" s="554"/>
      <c r="M237" s="555"/>
      <c r="N237" s="554"/>
      <c r="O237" s="555"/>
      <c r="P237" s="554"/>
      <c r="Q237" s="555"/>
      <c r="R237" s="554"/>
      <c r="S237" s="555"/>
      <c r="T237" s="554"/>
      <c r="U237" s="555"/>
      <c r="V237" s="554"/>
      <c r="W237" s="555"/>
      <c r="X237" s="554"/>
      <c r="Y237" s="555"/>
      <c r="Z237" s="554"/>
      <c r="AA237" s="555"/>
      <c r="AB237" s="554"/>
      <c r="AC237" s="555"/>
      <c r="AD237" s="554"/>
      <c r="AE237" s="555"/>
      <c r="AF237" s="554"/>
      <c r="AG237" s="555"/>
      <c r="AH237" s="554"/>
      <c r="AI237" s="555"/>
      <c r="AJ237" s="554"/>
      <c r="AK237" s="555"/>
      <c r="AL237" s="554"/>
      <c r="AM237" s="555"/>
      <c r="AN237" s="554"/>
      <c r="AO237" s="555"/>
      <c r="AP237" s="554"/>
      <c r="AQ237" s="555"/>
      <c r="AR237" s="554"/>
      <c r="AS237" s="555"/>
      <c r="AT237" s="554"/>
      <c r="AU237" s="555"/>
      <c r="AV237" s="554"/>
      <c r="AW237" s="555"/>
      <c r="AX237" s="554"/>
      <c r="AY237" s="555"/>
      <c r="AZ237" s="554"/>
      <c r="BA237" s="555"/>
      <c r="BB237" s="554"/>
      <c r="BC237" s="555"/>
      <c r="BD237" s="554"/>
      <c r="BE237" s="555"/>
      <c r="BF237" s="554"/>
      <c r="BG237" s="555"/>
      <c r="BH237" s="554"/>
      <c r="BI237" s="555"/>
      <c r="BJ237" s="554"/>
      <c r="BK237" s="555"/>
      <c r="BL237" s="554"/>
      <c r="BM237" s="555"/>
      <c r="BN237" s="554"/>
      <c r="BO237" s="555"/>
      <c r="BP237" s="554"/>
      <c r="BQ237" s="555"/>
      <c r="BR237" s="554"/>
      <c r="BS237" s="555"/>
      <c r="BT237" s="554"/>
      <c r="BU237" s="555"/>
      <c r="BV237" s="554"/>
      <c r="BW237" s="555"/>
      <c r="BX237" s="554"/>
      <c r="BY237" s="555"/>
      <c r="BZ237" s="554"/>
      <c r="CA237" s="555"/>
      <c r="CB237" s="554"/>
      <c r="CC237" s="555"/>
      <c r="CD237" s="554"/>
      <c r="CE237" s="555"/>
      <c r="CF237" s="554"/>
      <c r="CG237" s="555"/>
      <c r="CH237" s="554"/>
      <c r="CI237" s="555"/>
      <c r="CJ237" s="554"/>
      <c r="CK237" s="555"/>
      <c r="CL237" s="554"/>
      <c r="CM237" s="555"/>
      <c r="CN237" s="554"/>
      <c r="CO237" s="555"/>
      <c r="CP237" s="554"/>
      <c r="CQ237" s="555"/>
      <c r="CR237" s="554"/>
      <c r="CS237" s="555"/>
      <c r="CT237" s="554"/>
      <c r="CU237" s="555"/>
      <c r="CV237" s="554"/>
      <c r="CW237" s="555"/>
      <c r="CX237" s="554"/>
      <c r="CY237" s="555"/>
      <c r="CZ237" s="554"/>
      <c r="DA237" s="555"/>
      <c r="DB237" s="556"/>
      <c r="DC237" s="554"/>
      <c r="DD237" s="555"/>
      <c r="DE237" s="554"/>
      <c r="DF237" s="555"/>
      <c r="DG237" s="554"/>
      <c r="DH237" s="555"/>
      <c r="DI237" s="554"/>
      <c r="DJ237" s="555"/>
      <c r="DK237" s="554"/>
      <c r="DL237" s="555"/>
      <c r="DM237" s="554"/>
      <c r="DN237" s="555"/>
      <c r="DO237" s="554"/>
      <c r="DP237" s="555"/>
      <c r="DQ237" s="554"/>
      <c r="DR237" s="555"/>
      <c r="DS237" s="554"/>
      <c r="DT237" s="555"/>
      <c r="DU237" s="554"/>
      <c r="DV237" s="555"/>
      <c r="DW237" s="554"/>
      <c r="DX237" s="555"/>
      <c r="DY237" s="554"/>
      <c r="DZ237" s="555"/>
      <c r="EA237" s="554"/>
      <c r="EB237" s="555"/>
      <c r="EC237" s="554"/>
      <c r="ED237" s="555"/>
      <c r="EE237" s="554"/>
      <c r="EF237" s="555"/>
      <c r="EG237" s="554"/>
      <c r="EH237" s="555"/>
      <c r="EI237" s="554"/>
      <c r="EJ237" s="555"/>
      <c r="EK237" s="554"/>
      <c r="EL237" s="555"/>
      <c r="EM237" s="554"/>
    </row>
    <row r="238" spans="1:144" ht="12.75" hidden="1" customHeight="1" outlineLevel="1" x14ac:dyDescent="0.2">
      <c r="A238" s="557" t="s">
        <v>657</v>
      </c>
      <c r="B238" s="558"/>
      <c r="C238" s="559"/>
      <c r="D238" s="558"/>
      <c r="E238" s="559"/>
      <c r="F238" s="558"/>
      <c r="G238" s="559"/>
      <c r="H238" s="558"/>
      <c r="I238" s="559"/>
      <c r="J238" s="558"/>
      <c r="K238" s="559"/>
      <c r="L238" s="558"/>
      <c r="M238" s="559"/>
      <c r="N238" s="558"/>
      <c r="O238" s="559"/>
      <c r="P238" s="558"/>
      <c r="Q238" s="559"/>
      <c r="R238" s="558"/>
      <c r="S238" s="559"/>
      <c r="T238" s="558"/>
      <c r="U238" s="559"/>
      <c r="V238" s="558"/>
      <c r="W238" s="559"/>
      <c r="X238" s="558"/>
      <c r="Y238" s="559"/>
      <c r="Z238" s="558"/>
      <c r="AA238" s="559"/>
      <c r="AB238" s="558"/>
      <c r="AC238" s="559"/>
      <c r="AD238" s="558"/>
      <c r="AE238" s="559"/>
      <c r="AF238" s="558"/>
      <c r="AG238" s="559"/>
      <c r="AH238" s="558"/>
      <c r="AI238" s="559"/>
      <c r="AJ238" s="558"/>
      <c r="AK238" s="559"/>
      <c r="AL238" s="558"/>
      <c r="AM238" s="559"/>
      <c r="AN238" s="558"/>
      <c r="AO238" s="559"/>
      <c r="AP238" s="558"/>
      <c r="AQ238" s="559"/>
      <c r="AR238" s="558"/>
      <c r="AS238" s="559"/>
      <c r="AT238" s="558"/>
      <c r="AU238" s="559"/>
      <c r="AV238" s="558"/>
      <c r="AW238" s="559"/>
      <c r="AX238" s="558"/>
      <c r="AY238" s="559"/>
      <c r="AZ238" s="558"/>
      <c r="BA238" s="559"/>
      <c r="BB238" s="558"/>
      <c r="BC238" s="559"/>
      <c r="BD238" s="558"/>
      <c r="BE238" s="559"/>
      <c r="BF238" s="558"/>
      <c r="BG238" s="559"/>
      <c r="BH238" s="558"/>
      <c r="BI238" s="559"/>
      <c r="BJ238" s="558"/>
      <c r="BK238" s="559"/>
      <c r="BL238" s="558"/>
      <c r="BM238" s="559"/>
      <c r="BN238" s="558"/>
      <c r="BO238" s="559"/>
      <c r="BP238" s="558"/>
      <c r="BQ238" s="559"/>
      <c r="BR238" s="558"/>
      <c r="BS238" s="559"/>
      <c r="BT238" s="558"/>
      <c r="BU238" s="559"/>
      <c r="BV238" s="558"/>
      <c r="BW238" s="559"/>
      <c r="BX238" s="558"/>
      <c r="BY238" s="559"/>
      <c r="BZ238" s="558"/>
      <c r="CA238" s="559"/>
      <c r="CB238" s="558"/>
      <c r="CC238" s="559"/>
      <c r="CD238" s="558"/>
      <c r="CE238" s="559"/>
      <c r="CF238" s="558"/>
      <c r="CG238" s="559"/>
      <c r="CH238" s="558"/>
      <c r="CI238" s="559"/>
      <c r="CJ238" s="558"/>
      <c r="CK238" s="559"/>
      <c r="CL238" s="558"/>
      <c r="CM238" s="559"/>
      <c r="CN238" s="558"/>
      <c r="CO238" s="559"/>
      <c r="CP238" s="558"/>
      <c r="CQ238" s="559"/>
      <c r="CR238" s="558"/>
      <c r="CS238" s="559"/>
      <c r="CT238" s="558"/>
      <c r="CU238" s="559"/>
      <c r="CV238" s="558"/>
      <c r="CW238" s="559"/>
      <c r="CX238" s="558"/>
      <c r="CY238" s="559"/>
      <c r="CZ238" s="558"/>
      <c r="DA238" s="559"/>
      <c r="DB238" s="560"/>
      <c r="DC238" s="561"/>
      <c r="DD238" s="559"/>
      <c r="DE238" s="558"/>
      <c r="DF238" s="559"/>
      <c r="DG238" s="558"/>
      <c r="DH238" s="559"/>
      <c r="DI238" s="558"/>
      <c r="DJ238" s="559"/>
      <c r="DK238" s="558"/>
      <c r="DL238" s="559"/>
      <c r="DM238" s="558"/>
      <c r="DN238" s="559"/>
      <c r="DO238" s="558"/>
      <c r="DP238" s="559"/>
      <c r="DQ238" s="558"/>
      <c r="DR238" s="559"/>
      <c r="DS238" s="558"/>
      <c r="DT238" s="559"/>
      <c r="DU238" s="558"/>
      <c r="DV238" s="559"/>
      <c r="DW238" s="558"/>
      <c r="DX238" s="559"/>
      <c r="DY238" s="558"/>
      <c r="DZ238" s="559"/>
      <c r="EA238" s="558"/>
      <c r="EB238" s="559"/>
      <c r="EC238" s="558"/>
      <c r="ED238" s="559"/>
      <c r="EE238" s="558"/>
      <c r="EF238" s="559"/>
      <c r="EG238" s="558"/>
      <c r="EH238" s="559"/>
      <c r="EI238" s="558"/>
      <c r="EJ238" s="559"/>
      <c r="EK238" s="558"/>
      <c r="EL238" s="559"/>
      <c r="EM238" s="558"/>
    </row>
    <row r="239" spans="1:144" ht="12.75" hidden="1" customHeight="1" outlineLevel="1" x14ac:dyDescent="0.2">
      <c r="A239" s="548" t="str">
        <f>A$3</f>
        <v>($Millions Except Per Share Data)</v>
      </c>
      <c r="B239" s="563"/>
      <c r="C239" s="564" t="str">
        <f>C$3</f>
        <v>1Q06/</v>
      </c>
      <c r="D239" s="563"/>
      <c r="E239" s="564" t="str">
        <f>E$3</f>
        <v>2Q06/</v>
      </c>
      <c r="F239" s="563"/>
      <c r="G239" s="564" t="str">
        <f>G$3</f>
        <v>3Q06/</v>
      </c>
      <c r="H239" s="563"/>
      <c r="I239" s="564" t="str">
        <f>I$3</f>
        <v>4Q06/</v>
      </c>
      <c r="J239" s="563"/>
      <c r="K239" s="564" t="str">
        <f>K$3</f>
        <v>1Q07/</v>
      </c>
      <c r="L239" s="563"/>
      <c r="M239" s="564" t="str">
        <f>M$3</f>
        <v>2Q07/</v>
      </c>
      <c r="N239" s="563"/>
      <c r="O239" s="564" t="str">
        <f>O$3</f>
        <v>3Q07/</v>
      </c>
      <c r="P239" s="563"/>
      <c r="Q239" s="564" t="str">
        <f>Q$3</f>
        <v>4Q07/</v>
      </c>
      <c r="R239" s="563"/>
      <c r="S239" s="564" t="str">
        <f>S$3</f>
        <v>1Q08/</v>
      </c>
      <c r="T239" s="563"/>
      <c r="U239" s="564" t="str">
        <f>U$3</f>
        <v>2Q08/</v>
      </c>
      <c r="V239" s="563"/>
      <c r="W239" s="564" t="str">
        <f>W$3</f>
        <v>3Q08/</v>
      </c>
      <c r="X239" s="563"/>
      <c r="Y239" s="564" t="str">
        <f>Y$3</f>
        <v>4Q08/</v>
      </c>
      <c r="Z239" s="563"/>
      <c r="AA239" s="564" t="str">
        <f>AA$3</f>
        <v>1Q09/</v>
      </c>
      <c r="AB239" s="563"/>
      <c r="AC239" s="564" t="str">
        <f>AC$3</f>
        <v>2Q09/</v>
      </c>
      <c r="AD239" s="563"/>
      <c r="AE239" s="564" t="str">
        <f>AE$3</f>
        <v>3Q09/</v>
      </c>
      <c r="AF239" s="563"/>
      <c r="AG239" s="564" t="str">
        <f>AG$3</f>
        <v>4Q09/</v>
      </c>
      <c r="AH239" s="563"/>
      <c r="AI239" s="564" t="str">
        <f>AI$3</f>
        <v>1Q10/</v>
      </c>
      <c r="AJ239" s="563"/>
      <c r="AK239" s="564" t="str">
        <f>AK$3</f>
        <v>2Q10/</v>
      </c>
      <c r="AL239" s="563"/>
      <c r="AM239" s="564" t="str">
        <f>AM$3</f>
        <v>3Q10/</v>
      </c>
      <c r="AN239" s="563"/>
      <c r="AO239" s="564" t="str">
        <f>AO$3</f>
        <v>4Q10/</v>
      </c>
      <c r="AP239" s="563"/>
      <c r="AQ239" s="564" t="str">
        <f>AQ$3</f>
        <v>1Q11/</v>
      </c>
      <c r="AR239" s="563"/>
      <c r="AS239" s="564" t="str">
        <f>AS$3</f>
        <v>2Q11/</v>
      </c>
      <c r="AT239" s="563"/>
      <c r="AU239" s="564" t="str">
        <f>AU$3</f>
        <v>3Q11/</v>
      </c>
      <c r="AV239" s="563"/>
      <c r="AW239" s="564" t="str">
        <f>AW$3</f>
        <v>4Q11/</v>
      </c>
      <c r="AX239" s="563"/>
      <c r="AY239" s="564" t="str">
        <f>AY$3</f>
        <v>1Q12/</v>
      </c>
      <c r="AZ239" s="563"/>
      <c r="BA239" s="564" t="str">
        <f>BA$3</f>
        <v>2Q12/</v>
      </c>
      <c r="BB239" s="563"/>
      <c r="BC239" s="564" t="str">
        <f>BC$3</f>
        <v>3Q12/</v>
      </c>
      <c r="BD239" s="563"/>
      <c r="BE239" s="564" t="str">
        <f>BE$3</f>
        <v>4Q12/</v>
      </c>
      <c r="BF239" s="563"/>
      <c r="BG239" s="564" t="str">
        <f>BG$3</f>
        <v>1Q13/</v>
      </c>
      <c r="BH239" s="563"/>
      <c r="BI239" s="564" t="str">
        <f>BI$3</f>
        <v>2Q13/</v>
      </c>
      <c r="BJ239" s="563"/>
      <c r="BK239" s="564" t="str">
        <f>BK$3</f>
        <v>3Q13/</v>
      </c>
      <c r="BL239" s="563"/>
      <c r="BM239" s="564" t="str">
        <f>BM$3</f>
        <v>4Q13/</v>
      </c>
      <c r="BN239" s="563"/>
      <c r="BO239" s="564" t="str">
        <f>BO$3</f>
        <v>1Q14/</v>
      </c>
      <c r="BP239" s="563"/>
      <c r="BQ239" s="564" t="str">
        <f>BQ$3</f>
        <v>2Q14/</v>
      </c>
      <c r="BR239" s="563"/>
      <c r="BS239" s="564" t="str">
        <f>BS$3</f>
        <v>3Q14/</v>
      </c>
      <c r="BT239" s="563"/>
      <c r="BU239" s="564" t="str">
        <f>BU$3</f>
        <v>4Q14/</v>
      </c>
      <c r="BV239" s="563"/>
      <c r="BW239" s="564" t="str">
        <f>BW$3</f>
        <v>1Q15/</v>
      </c>
      <c r="BX239" s="563"/>
      <c r="BY239" s="564" t="str">
        <f>BY$3</f>
        <v>2Q15/</v>
      </c>
      <c r="BZ239" s="563"/>
      <c r="CA239" s="564" t="str">
        <f>CA$3</f>
        <v>3Q15/</v>
      </c>
      <c r="CB239" s="563"/>
      <c r="CC239" s="564" t="str">
        <f>CC$3</f>
        <v>4Q15/</v>
      </c>
      <c r="CD239" s="563"/>
      <c r="CE239" s="564" t="str">
        <f>CE$3</f>
        <v>1Q16/</v>
      </c>
      <c r="CF239" s="563"/>
      <c r="CG239" s="564" t="str">
        <f>CG$3</f>
        <v>2Q16/</v>
      </c>
      <c r="CH239" s="563"/>
      <c r="CI239" s="564" t="str">
        <f>CI$3</f>
        <v>3Q16/</v>
      </c>
      <c r="CJ239" s="563"/>
      <c r="CK239" s="564" t="str">
        <f>CK$3</f>
        <v>4Q16/</v>
      </c>
      <c r="CL239" s="563"/>
      <c r="CM239" s="564" t="str">
        <f>CM$3</f>
        <v>1Q17/</v>
      </c>
      <c r="CN239" s="563"/>
      <c r="CO239" s="564" t="str">
        <f>CO$3</f>
        <v>2Q17/</v>
      </c>
      <c r="CP239" s="563"/>
      <c r="CQ239" s="564" t="str">
        <f>CQ$3</f>
        <v>3Q17/</v>
      </c>
      <c r="CR239" s="563"/>
      <c r="CS239" s="564" t="str">
        <f>CS$3</f>
        <v>4Q17/</v>
      </c>
      <c r="CT239" s="563"/>
      <c r="CU239" s="564" t="str">
        <f>CU$3</f>
        <v>1Q18E/</v>
      </c>
      <c r="CV239" s="563"/>
      <c r="CW239" s="564" t="str">
        <f>CW$3</f>
        <v>2Q18E/</v>
      </c>
      <c r="CX239" s="563"/>
      <c r="CY239" s="564" t="str">
        <f>CY$3</f>
        <v>3Q18E/</v>
      </c>
      <c r="CZ239" s="563"/>
      <c r="DA239" s="564" t="str">
        <f>DA$3</f>
        <v>4Q18E/</v>
      </c>
      <c r="DB239" s="565"/>
      <c r="DC239" s="563"/>
      <c r="DD239" s="564" t="str">
        <f>DD$3</f>
        <v>2005/</v>
      </c>
      <c r="DE239" s="563"/>
      <c r="DF239" s="564" t="str">
        <f>DF$3</f>
        <v>2006/</v>
      </c>
      <c r="DG239" s="563"/>
      <c r="DH239" s="564" t="str">
        <f>DH$3</f>
        <v>2007/</v>
      </c>
      <c r="DI239" s="563"/>
      <c r="DJ239" s="564" t="str">
        <f>DJ$3</f>
        <v>2008/</v>
      </c>
      <c r="DK239" s="563"/>
      <c r="DL239" s="564" t="str">
        <f>DL$3</f>
        <v>2009/</v>
      </c>
      <c r="DM239" s="563"/>
      <c r="DN239" s="564" t="str">
        <f>DN$3</f>
        <v>2010/</v>
      </c>
      <c r="DO239" s="563"/>
      <c r="DP239" s="564" t="str">
        <f>DP$3</f>
        <v>2011/</v>
      </c>
      <c r="DQ239" s="563"/>
      <c r="DR239" s="564" t="str">
        <f>DR$3</f>
        <v>2012/</v>
      </c>
      <c r="DS239" s="563"/>
      <c r="DT239" s="564" t="str">
        <f>DT$3</f>
        <v>2013/</v>
      </c>
      <c r="DU239" s="563"/>
      <c r="DV239" s="564" t="str">
        <f>DV$3</f>
        <v>2014/</v>
      </c>
      <c r="DW239" s="563"/>
      <c r="DX239" s="564" t="str">
        <f>DX$3</f>
        <v>2015/</v>
      </c>
      <c r="DY239" s="563"/>
      <c r="DZ239" s="564" t="str">
        <f>DZ$3</f>
        <v>2016/</v>
      </c>
      <c r="EA239" s="563"/>
      <c r="EB239" s="564" t="str">
        <f>EB$3</f>
        <v>2017/</v>
      </c>
      <c r="EC239" s="563"/>
      <c r="ED239" s="564" t="str">
        <f>ED$3</f>
        <v>2018E/</v>
      </c>
      <c r="EE239" s="563"/>
      <c r="EF239" s="564" t="str">
        <f>EF$3</f>
        <v>2019E/</v>
      </c>
      <c r="EG239" s="563"/>
      <c r="EH239" s="564" t="str">
        <f>EH$3</f>
        <v>2020E/</v>
      </c>
      <c r="EI239" s="563"/>
      <c r="EJ239" s="564" t="str">
        <f>EJ$3</f>
        <v>2021E/</v>
      </c>
      <c r="EK239" s="563"/>
      <c r="EL239" s="564" t="str">
        <f>EL$3</f>
        <v>2022E/</v>
      </c>
      <c r="EM239" s="566" t="str">
        <f>EM$3</f>
        <v>5-Yr</v>
      </c>
      <c r="EN239" s="549"/>
    </row>
    <row r="240" spans="1:144" ht="12.75" hidden="1" customHeight="1" outlineLevel="1" x14ac:dyDescent="0.2">
      <c r="A240" s="567"/>
      <c r="B240" s="568"/>
      <c r="C240" s="559" t="str">
        <f>C$4</f>
        <v>1Q05</v>
      </c>
      <c r="D240" s="568"/>
      <c r="E240" s="559" t="str">
        <f>E$4</f>
        <v>2Q05</v>
      </c>
      <c r="F240" s="568"/>
      <c r="G240" s="559" t="str">
        <f>G$4</f>
        <v>3Q05</v>
      </c>
      <c r="H240" s="568"/>
      <c r="I240" s="559" t="str">
        <f>I$4</f>
        <v>4Q05</v>
      </c>
      <c r="J240" s="568"/>
      <c r="K240" s="559" t="str">
        <f>K$4</f>
        <v>1Q06</v>
      </c>
      <c r="L240" s="568"/>
      <c r="M240" s="559" t="str">
        <f>M$4</f>
        <v>2Q06</v>
      </c>
      <c r="N240" s="568"/>
      <c r="O240" s="559" t="str">
        <f>O$4</f>
        <v>3Q06</v>
      </c>
      <c r="P240" s="568"/>
      <c r="Q240" s="559" t="str">
        <f>Q$4</f>
        <v>4Q06</v>
      </c>
      <c r="R240" s="568"/>
      <c r="S240" s="559" t="str">
        <f>S$4</f>
        <v>1Q07</v>
      </c>
      <c r="T240" s="568"/>
      <c r="U240" s="559" t="str">
        <f>U$4</f>
        <v>2Q07</v>
      </c>
      <c r="V240" s="568"/>
      <c r="W240" s="559" t="str">
        <f>W$4</f>
        <v>3Q07</v>
      </c>
      <c r="X240" s="568"/>
      <c r="Y240" s="559" t="str">
        <f>Y$4</f>
        <v>4Q07</v>
      </c>
      <c r="Z240" s="568"/>
      <c r="AA240" s="559" t="str">
        <f>AA$4</f>
        <v>1Q08</v>
      </c>
      <c r="AB240" s="568"/>
      <c r="AC240" s="559" t="str">
        <f>AC$4</f>
        <v>2Q08</v>
      </c>
      <c r="AD240" s="568"/>
      <c r="AE240" s="559" t="str">
        <f>AE$4</f>
        <v>3Q08</v>
      </c>
      <c r="AF240" s="568"/>
      <c r="AG240" s="559" t="str">
        <f>AG$4</f>
        <v>4Q08</v>
      </c>
      <c r="AH240" s="568"/>
      <c r="AI240" s="559" t="str">
        <f>AI$4</f>
        <v>1Q09</v>
      </c>
      <c r="AJ240" s="568"/>
      <c r="AK240" s="559" t="str">
        <f>AK$4</f>
        <v>2Q09</v>
      </c>
      <c r="AL240" s="568"/>
      <c r="AM240" s="559" t="str">
        <f>AM$4</f>
        <v>3Q09</v>
      </c>
      <c r="AN240" s="568"/>
      <c r="AO240" s="559" t="str">
        <f>AO$4</f>
        <v>4Q09</v>
      </c>
      <c r="AP240" s="568"/>
      <c r="AQ240" s="559" t="str">
        <f>AQ$4</f>
        <v>1Q10</v>
      </c>
      <c r="AR240" s="568"/>
      <c r="AS240" s="559" t="str">
        <f>AS$4</f>
        <v>2Q10</v>
      </c>
      <c r="AT240" s="568"/>
      <c r="AU240" s="559" t="str">
        <f>AU$4</f>
        <v>3Q10</v>
      </c>
      <c r="AV240" s="568"/>
      <c r="AW240" s="559" t="str">
        <f>AW$4</f>
        <v>4Q10</v>
      </c>
      <c r="AX240" s="568"/>
      <c r="AY240" s="559" t="str">
        <f>AY$4</f>
        <v>1Q11</v>
      </c>
      <c r="AZ240" s="568"/>
      <c r="BA240" s="559" t="str">
        <f>BA$4</f>
        <v>2Q11</v>
      </c>
      <c r="BB240" s="568"/>
      <c r="BC240" s="559" t="str">
        <f>BC$4</f>
        <v>3Q11</v>
      </c>
      <c r="BD240" s="568"/>
      <c r="BE240" s="559" t="str">
        <f>BE$4</f>
        <v>4Q11</v>
      </c>
      <c r="BF240" s="568"/>
      <c r="BG240" s="559" t="str">
        <f>BG$4</f>
        <v>1Q12</v>
      </c>
      <c r="BH240" s="568"/>
      <c r="BI240" s="559" t="str">
        <f>BI$4</f>
        <v>2Q12</v>
      </c>
      <c r="BJ240" s="568"/>
      <c r="BK240" s="559" t="str">
        <f>BK$4</f>
        <v>3Q12</v>
      </c>
      <c r="BL240" s="568"/>
      <c r="BM240" s="559" t="str">
        <f>BM$4</f>
        <v>4Q12</v>
      </c>
      <c r="BN240" s="568"/>
      <c r="BO240" s="559" t="str">
        <f>BO$4</f>
        <v>1Q13</v>
      </c>
      <c r="BP240" s="568"/>
      <c r="BQ240" s="559" t="str">
        <f>BQ$4</f>
        <v>2Q13</v>
      </c>
      <c r="BR240" s="568"/>
      <c r="BS240" s="559" t="str">
        <f>BS$4</f>
        <v>3Q13</v>
      </c>
      <c r="BT240" s="568"/>
      <c r="BU240" s="559" t="str">
        <f>BU$4</f>
        <v>4Q13</v>
      </c>
      <c r="BV240" s="568"/>
      <c r="BW240" s="559" t="str">
        <f>BW$4</f>
        <v>1Q14</v>
      </c>
      <c r="BX240" s="568"/>
      <c r="BY240" s="559" t="str">
        <f>BY$4</f>
        <v>2Q14</v>
      </c>
      <c r="BZ240" s="568"/>
      <c r="CA240" s="559" t="str">
        <f>CA$4</f>
        <v>3Q14</v>
      </c>
      <c r="CB240" s="568"/>
      <c r="CC240" s="559" t="str">
        <f>CC$4</f>
        <v>4Q14</v>
      </c>
      <c r="CD240" s="568"/>
      <c r="CE240" s="559" t="str">
        <f>CE$4</f>
        <v>1Q15</v>
      </c>
      <c r="CF240" s="568"/>
      <c r="CG240" s="559" t="str">
        <f>CG$4</f>
        <v>2Q15</v>
      </c>
      <c r="CH240" s="568"/>
      <c r="CI240" s="559" t="str">
        <f>CI$4</f>
        <v>3Q15</v>
      </c>
      <c r="CJ240" s="568"/>
      <c r="CK240" s="559" t="str">
        <f>CK$4</f>
        <v>4Q15</v>
      </c>
      <c r="CL240" s="568"/>
      <c r="CM240" s="559" t="str">
        <f>CM$4</f>
        <v>1Q16</v>
      </c>
      <c r="CN240" s="568"/>
      <c r="CO240" s="559" t="str">
        <f>CO$4</f>
        <v>2Q16</v>
      </c>
      <c r="CP240" s="568"/>
      <c r="CQ240" s="559" t="str">
        <f>CQ$4</f>
        <v>3Q16</v>
      </c>
      <c r="CR240" s="568"/>
      <c r="CS240" s="559" t="str">
        <f>CS$4</f>
        <v>4Q16</v>
      </c>
      <c r="CT240" s="568"/>
      <c r="CU240" s="559" t="str">
        <f>CU$4</f>
        <v>1Q17</v>
      </c>
      <c r="CV240" s="568"/>
      <c r="CW240" s="559" t="str">
        <f>CW$4</f>
        <v>2Q17</v>
      </c>
      <c r="CX240" s="568"/>
      <c r="CY240" s="559" t="str">
        <f>CY$4</f>
        <v>3Q17</v>
      </c>
      <c r="CZ240" s="568"/>
      <c r="DA240" s="559" t="str">
        <f>DA$4</f>
        <v>4Q17</v>
      </c>
      <c r="DB240" s="560"/>
      <c r="DC240" s="568"/>
      <c r="DD240" s="568">
        <f>DD$4</f>
        <v>2004</v>
      </c>
      <c r="DE240" s="568"/>
      <c r="DF240" s="559" t="str">
        <f>DF$4</f>
        <v>2005</v>
      </c>
      <c r="DG240" s="568"/>
      <c r="DH240" s="559" t="str">
        <f>DH$4</f>
        <v>2006</v>
      </c>
      <c r="DI240" s="568"/>
      <c r="DJ240" s="569">
        <f>DJ$4</f>
        <v>2007</v>
      </c>
      <c r="DK240" s="568"/>
      <c r="DL240" s="559" t="str">
        <f>DL$4</f>
        <v>2008</v>
      </c>
      <c r="DM240" s="568"/>
      <c r="DN240" s="559" t="str">
        <f>DN$4</f>
        <v>2009</v>
      </c>
      <c r="DO240" s="568"/>
      <c r="DP240" s="559" t="str">
        <f>DP$4</f>
        <v>2010</v>
      </c>
      <c r="DQ240" s="568"/>
      <c r="DR240" s="559" t="str">
        <f>DR$4</f>
        <v>2011</v>
      </c>
      <c r="DS240" s="568"/>
      <c r="DT240" s="559" t="str">
        <f>DT$4</f>
        <v>2012</v>
      </c>
      <c r="DU240" s="568"/>
      <c r="DV240" s="559" t="str">
        <f>DV$4</f>
        <v>2013</v>
      </c>
      <c r="DW240" s="568"/>
      <c r="DX240" s="559">
        <f>DX$4</f>
        <v>2014</v>
      </c>
      <c r="DY240" s="568"/>
      <c r="DZ240" s="559" t="str">
        <f>DZ$4</f>
        <v>2015</v>
      </c>
      <c r="EA240" s="568"/>
      <c r="EB240" s="559">
        <f>EB$4</f>
        <v>2016</v>
      </c>
      <c r="EC240" s="568"/>
      <c r="ED240" s="559">
        <f>ED$4</f>
        <v>2017</v>
      </c>
      <c r="EE240" s="568"/>
      <c r="EF240" s="559" t="str">
        <f>EF$4</f>
        <v>2018E</v>
      </c>
      <c r="EG240" s="568"/>
      <c r="EH240" s="559" t="str">
        <f>EH$4</f>
        <v>2019E</v>
      </c>
      <c r="EI240" s="568"/>
      <c r="EJ240" s="559" t="str">
        <f>EJ$4</f>
        <v>2020E</v>
      </c>
      <c r="EK240" s="568"/>
      <c r="EL240" s="559" t="str">
        <f>EL$4</f>
        <v>2021E</v>
      </c>
      <c r="EM240" s="558" t="str">
        <f>EM$4</f>
        <v>CAGR</v>
      </c>
      <c r="EN240" s="549"/>
    </row>
    <row r="241" spans="1:144" ht="12.75" hidden="1" customHeight="1" outlineLevel="1" x14ac:dyDescent="0.2">
      <c r="A241" s="570"/>
      <c r="B241" s="571" t="str">
        <f>+B$5</f>
        <v>1Q06</v>
      </c>
      <c r="C241" s="572" t="str">
        <f>C$5</f>
        <v>% Chg</v>
      </c>
      <c r="D241" s="571" t="str">
        <f>+D$5</f>
        <v>2Q06</v>
      </c>
      <c r="E241" s="572" t="str">
        <f>E$5</f>
        <v>% Chg</v>
      </c>
      <c r="F241" s="571" t="str">
        <f>+F$5</f>
        <v>3Q06</v>
      </c>
      <c r="G241" s="572" t="str">
        <f>G$5</f>
        <v>% Chg</v>
      </c>
      <c r="H241" s="571" t="str">
        <f>+H$5</f>
        <v>4Q06</v>
      </c>
      <c r="I241" s="572" t="str">
        <f>I$5</f>
        <v>% Chg</v>
      </c>
      <c r="J241" s="571" t="str">
        <f>+J$5</f>
        <v>1Q07</v>
      </c>
      <c r="K241" s="572" t="str">
        <f>K$5</f>
        <v>% Chg</v>
      </c>
      <c r="L241" s="571" t="str">
        <f>+L$5</f>
        <v>2Q07</v>
      </c>
      <c r="M241" s="572" t="str">
        <f>M$5</f>
        <v>% Chg</v>
      </c>
      <c r="N241" s="571" t="str">
        <f>+N$5</f>
        <v>3Q07</v>
      </c>
      <c r="O241" s="572" t="str">
        <f>O$5</f>
        <v>% Chg</v>
      </c>
      <c r="P241" s="571" t="str">
        <f>+P$5</f>
        <v>4Q07</v>
      </c>
      <c r="Q241" s="572" t="str">
        <f>Q$5</f>
        <v>% Chg</v>
      </c>
      <c r="R241" s="571" t="str">
        <f>+R$5</f>
        <v>1Q08</v>
      </c>
      <c r="S241" s="572" t="str">
        <f>S$5</f>
        <v>% Chg</v>
      </c>
      <c r="T241" s="571" t="str">
        <f>+T$5</f>
        <v>2Q08</v>
      </c>
      <c r="U241" s="572" t="str">
        <f>U$5</f>
        <v>% Chg</v>
      </c>
      <c r="V241" s="571" t="str">
        <f>+V$5</f>
        <v>3Q08</v>
      </c>
      <c r="W241" s="572" t="str">
        <f>W$5</f>
        <v>% Chg</v>
      </c>
      <c r="X241" s="571" t="str">
        <f>+X$5</f>
        <v>4Q08</v>
      </c>
      <c r="Y241" s="572" t="str">
        <f>Y$5</f>
        <v>% Chg</v>
      </c>
      <c r="Z241" s="571" t="str">
        <f>+Z$5</f>
        <v>1Q09</v>
      </c>
      <c r="AA241" s="572" t="str">
        <f>AA$5</f>
        <v>% Chg</v>
      </c>
      <c r="AB241" s="571" t="str">
        <f>+AB$5</f>
        <v>2Q09</v>
      </c>
      <c r="AC241" s="572" t="str">
        <f>AC$5</f>
        <v>% Chg</v>
      </c>
      <c r="AD241" s="571" t="str">
        <f>+AD$5</f>
        <v>3Q09</v>
      </c>
      <c r="AE241" s="572" t="str">
        <f>AE$5</f>
        <v>% Chg</v>
      </c>
      <c r="AF241" s="571" t="str">
        <f>+AF$5</f>
        <v>4Q09</v>
      </c>
      <c r="AG241" s="572" t="str">
        <f>AG$5</f>
        <v>% Chg</v>
      </c>
      <c r="AH241" s="571" t="str">
        <f>+AH$5</f>
        <v>1Q10</v>
      </c>
      <c r="AI241" s="572" t="str">
        <f>AI$5</f>
        <v>% Chg</v>
      </c>
      <c r="AJ241" s="571" t="str">
        <f>+AJ$5</f>
        <v>2Q10</v>
      </c>
      <c r="AK241" s="572" t="str">
        <f>AK$5</f>
        <v>% Chg</v>
      </c>
      <c r="AL241" s="571" t="str">
        <f>+AL$5</f>
        <v>3Q10</v>
      </c>
      <c r="AM241" s="572" t="str">
        <f>AM$5</f>
        <v>% Chg</v>
      </c>
      <c r="AN241" s="571" t="str">
        <f>+AN$5</f>
        <v>4Q10</v>
      </c>
      <c r="AO241" s="572" t="str">
        <f>AO$5</f>
        <v>% Chg</v>
      </c>
      <c r="AP241" s="571" t="str">
        <f>+AP$5</f>
        <v>1Q11</v>
      </c>
      <c r="AQ241" s="572" t="str">
        <f>AQ$5</f>
        <v>% Chg</v>
      </c>
      <c r="AR241" s="571" t="str">
        <f>+AR$5</f>
        <v>2Q11</v>
      </c>
      <c r="AS241" s="572" t="str">
        <f>AS$5</f>
        <v>% Chg</v>
      </c>
      <c r="AT241" s="571" t="str">
        <f>+AT$5</f>
        <v>3Q11</v>
      </c>
      <c r="AU241" s="572" t="str">
        <f>AU$5</f>
        <v>% Chg</v>
      </c>
      <c r="AV241" s="571" t="str">
        <f>+AV$5</f>
        <v>4Q11</v>
      </c>
      <c r="AW241" s="572" t="str">
        <f>AW$5</f>
        <v>% Chg</v>
      </c>
      <c r="AX241" s="571" t="str">
        <f>+AX$5</f>
        <v>1Q12</v>
      </c>
      <c r="AY241" s="572" t="str">
        <f>AY$5</f>
        <v>% Chg</v>
      </c>
      <c r="AZ241" s="571" t="str">
        <f>+AZ$5</f>
        <v>2Q12</v>
      </c>
      <c r="BA241" s="572" t="str">
        <f>BA$5</f>
        <v>% Chg</v>
      </c>
      <c r="BB241" s="571" t="str">
        <f>+BB$5</f>
        <v>3Q12</v>
      </c>
      <c r="BC241" s="572" t="str">
        <f>BC$5</f>
        <v>% Chg</v>
      </c>
      <c r="BD241" s="571" t="str">
        <f>+BD$5</f>
        <v>4Q12</v>
      </c>
      <c r="BE241" s="572" t="str">
        <f>BE$5</f>
        <v>% Chg</v>
      </c>
      <c r="BF241" s="571" t="str">
        <f>+BF$5</f>
        <v>1Q13</v>
      </c>
      <c r="BG241" s="572" t="str">
        <f>BG$5</f>
        <v>% Chg</v>
      </c>
      <c r="BH241" s="571" t="str">
        <f>+BH$5</f>
        <v>2Q13</v>
      </c>
      <c r="BI241" s="572" t="str">
        <f>BI$5</f>
        <v>% Chg</v>
      </c>
      <c r="BJ241" s="571" t="str">
        <f>+BJ$5</f>
        <v>3Q13</v>
      </c>
      <c r="BK241" s="572" t="str">
        <f>BK$5</f>
        <v>% Chg</v>
      </c>
      <c r="BL241" s="571" t="str">
        <f>+BL$5</f>
        <v>4Q13</v>
      </c>
      <c r="BM241" s="572" t="str">
        <f>BM$5</f>
        <v>% Chg</v>
      </c>
      <c r="BN241" s="571" t="str">
        <f>+BN$5</f>
        <v>1Q14</v>
      </c>
      <c r="BO241" s="572" t="str">
        <f>BO$5</f>
        <v>% Chg</v>
      </c>
      <c r="BP241" s="571" t="str">
        <f>+BP$5</f>
        <v>2Q14</v>
      </c>
      <c r="BQ241" s="572" t="str">
        <f>BQ$5</f>
        <v>% Chg</v>
      </c>
      <c r="BR241" s="571" t="str">
        <f>+BR$5</f>
        <v>3Q14</v>
      </c>
      <c r="BS241" s="572" t="str">
        <f>BS$5</f>
        <v>% Chg</v>
      </c>
      <c r="BT241" s="571" t="str">
        <f>+BT$5</f>
        <v>4Q14</v>
      </c>
      <c r="BU241" s="572" t="str">
        <f>BU$5</f>
        <v>% Chg</v>
      </c>
      <c r="BV241" s="571" t="str">
        <f>+BV$5</f>
        <v>1Q15</v>
      </c>
      <c r="BW241" s="572" t="str">
        <f>BW$5</f>
        <v>% Chg</v>
      </c>
      <c r="BX241" s="571" t="str">
        <f>+BX$5</f>
        <v>2Q15</v>
      </c>
      <c r="BY241" s="572" t="str">
        <f>BY$5</f>
        <v>% Chg</v>
      </c>
      <c r="BZ241" s="571" t="str">
        <f>+BZ$5</f>
        <v>3Q15</v>
      </c>
      <c r="CA241" s="572" t="str">
        <f>CA$5</f>
        <v>% Chg</v>
      </c>
      <c r="CB241" s="571" t="str">
        <f>+CB$5</f>
        <v>4Q15</v>
      </c>
      <c r="CC241" s="572" t="str">
        <f>CC$5</f>
        <v>% Chg</v>
      </c>
      <c r="CD241" s="571" t="str">
        <f>+CD$5</f>
        <v>1Q16</v>
      </c>
      <c r="CE241" s="572" t="str">
        <f>CE$5</f>
        <v>% Chg</v>
      </c>
      <c r="CF241" s="571" t="str">
        <f>+CF$5</f>
        <v>2Q16</v>
      </c>
      <c r="CG241" s="572" t="str">
        <f>CG$5</f>
        <v>% Chg</v>
      </c>
      <c r="CH241" s="571" t="str">
        <f>+CH$5</f>
        <v>3Q16</v>
      </c>
      <c r="CI241" s="572" t="str">
        <f>CI$5</f>
        <v>% Chg</v>
      </c>
      <c r="CJ241" s="571" t="str">
        <f>+CJ$5</f>
        <v>4Q16</v>
      </c>
      <c r="CK241" s="572" t="str">
        <f>CK$5</f>
        <v>% Chg</v>
      </c>
      <c r="CL241" s="571" t="str">
        <f>+CL$5</f>
        <v>1Q17</v>
      </c>
      <c r="CM241" s="572" t="str">
        <f>CM$5</f>
        <v>% Chg</v>
      </c>
      <c r="CN241" s="571" t="str">
        <f>+CN$5</f>
        <v>2Q17</v>
      </c>
      <c r="CO241" s="572" t="str">
        <f>CO$5</f>
        <v>% Chg</v>
      </c>
      <c r="CP241" s="571" t="str">
        <f>+CP$5</f>
        <v>3Q17</v>
      </c>
      <c r="CQ241" s="572" t="str">
        <f>CQ$5</f>
        <v>% Chg</v>
      </c>
      <c r="CR241" s="571" t="str">
        <f>+CR$5</f>
        <v>4Q17</v>
      </c>
      <c r="CS241" s="572" t="str">
        <f>CS$5</f>
        <v>% Chg</v>
      </c>
      <c r="CT241" s="571" t="str">
        <f>+CT$5</f>
        <v>1Q18E</v>
      </c>
      <c r="CU241" s="572" t="str">
        <f>CU$5</f>
        <v>% Chg</v>
      </c>
      <c r="CV241" s="571" t="str">
        <f>+CV$5</f>
        <v>2Q18E</v>
      </c>
      <c r="CW241" s="572" t="str">
        <f>CW$5</f>
        <v>% Chg</v>
      </c>
      <c r="CX241" s="571" t="str">
        <f>+CX$5</f>
        <v>3Q18E</v>
      </c>
      <c r="CY241" s="572" t="str">
        <f>CY$5</f>
        <v>% Chg</v>
      </c>
      <c r="CZ241" s="571" t="str">
        <f>+CZ$5</f>
        <v>4Q18E</v>
      </c>
      <c r="DA241" s="572" t="str">
        <f>DA$5</f>
        <v>% Chg</v>
      </c>
      <c r="DB241" s="573"/>
      <c r="DC241" s="571" t="str">
        <f>+DC$5</f>
        <v>2005</v>
      </c>
      <c r="DD241" s="572" t="str">
        <f>DD$5</f>
        <v>% Chg</v>
      </c>
      <c r="DE241" s="571" t="str">
        <f>+DE$5</f>
        <v>2006</v>
      </c>
      <c r="DF241" s="572" t="str">
        <f>DF$5</f>
        <v>% Chg</v>
      </c>
      <c r="DG241" s="571">
        <f>+DG$5</f>
        <v>2007</v>
      </c>
      <c r="DH241" s="572" t="str">
        <f>DH$5</f>
        <v>% Chg</v>
      </c>
      <c r="DI241" s="571" t="str">
        <f>+DI$5</f>
        <v>2008</v>
      </c>
      <c r="DJ241" s="572" t="str">
        <f>DJ$5</f>
        <v>% Chg</v>
      </c>
      <c r="DK241" s="571" t="str">
        <f>+DK$5</f>
        <v>2009</v>
      </c>
      <c r="DL241" s="572" t="str">
        <f>DL$5</f>
        <v>% Chg</v>
      </c>
      <c r="DM241" s="571" t="str">
        <f>+DM$5</f>
        <v>2010</v>
      </c>
      <c r="DN241" s="572" t="str">
        <f>DN$5</f>
        <v>% Chg</v>
      </c>
      <c r="DO241" s="571" t="str">
        <f>+DO$5</f>
        <v>2011</v>
      </c>
      <c r="DP241" s="572" t="str">
        <f>DP$5</f>
        <v>% Chg</v>
      </c>
      <c r="DQ241" s="571" t="str">
        <f>+DQ$5</f>
        <v>2012</v>
      </c>
      <c r="DR241" s="572" t="str">
        <f>DR$5</f>
        <v>% Chg</v>
      </c>
      <c r="DS241" s="571" t="str">
        <f>+DS$5</f>
        <v>2013</v>
      </c>
      <c r="DT241" s="572" t="str">
        <f>DT$5</f>
        <v>% Chg</v>
      </c>
      <c r="DU241" s="571">
        <f>+DU$5</f>
        <v>2014</v>
      </c>
      <c r="DV241" s="572" t="str">
        <f>DV$5</f>
        <v>% Chg</v>
      </c>
      <c r="DW241" s="571" t="str">
        <f>+DW$5</f>
        <v>2015</v>
      </c>
      <c r="DX241" s="572" t="str">
        <f>DX$5</f>
        <v>% Chg</v>
      </c>
      <c r="DY241" s="571">
        <f>+DY$5</f>
        <v>2016</v>
      </c>
      <c r="DZ241" s="572" t="str">
        <f>DZ$5</f>
        <v>% Chg</v>
      </c>
      <c r="EA241" s="571">
        <f>+EA$5</f>
        <v>2017</v>
      </c>
      <c r="EB241" s="572" t="str">
        <f>EB$5</f>
        <v>% Chg</v>
      </c>
      <c r="EC241" s="571" t="str">
        <f>+EC$5</f>
        <v>2018E</v>
      </c>
      <c r="ED241" s="572" t="str">
        <f>ED$5</f>
        <v>% Chg</v>
      </c>
      <c r="EE241" s="571" t="str">
        <f>+EE$5</f>
        <v>2019E</v>
      </c>
      <c r="EF241" s="572" t="str">
        <f>EF$5</f>
        <v>% Chg</v>
      </c>
      <c r="EG241" s="571" t="str">
        <f>+EG$5</f>
        <v>2020E</v>
      </c>
      <c r="EH241" s="572" t="str">
        <f>EH$5</f>
        <v>% Chg</v>
      </c>
      <c r="EI241" s="571" t="str">
        <f>+EI$5</f>
        <v>2021E</v>
      </c>
      <c r="EJ241" s="572" t="str">
        <f>EJ$5</f>
        <v>% Chg</v>
      </c>
      <c r="EK241" s="571" t="str">
        <f>+EK$5</f>
        <v>2022E</v>
      </c>
      <c r="EL241" s="572" t="str">
        <f>EL$5</f>
        <v>% Chg</v>
      </c>
      <c r="EM241" s="574" t="str">
        <f>EM$5</f>
        <v>(%)</v>
      </c>
      <c r="EN241" s="549"/>
    </row>
    <row r="242" spans="1:144" ht="12.75" hidden="1" customHeight="1" outlineLevel="1" x14ac:dyDescent="0.2">
      <c r="A242" s="609"/>
      <c r="B242" s="610"/>
      <c r="C242" s="555"/>
      <c r="D242" s="610"/>
      <c r="E242" s="555"/>
      <c r="F242" s="610"/>
      <c r="G242" s="555"/>
      <c r="H242" s="610"/>
      <c r="I242" s="555"/>
      <c r="J242" s="610"/>
      <c r="K242" s="555"/>
      <c r="L242" s="610"/>
      <c r="M242" s="555"/>
      <c r="N242" s="610"/>
      <c r="O242" s="555"/>
      <c r="P242" s="610"/>
      <c r="Q242" s="555"/>
      <c r="R242" s="610"/>
      <c r="S242" s="555"/>
      <c r="T242" s="610"/>
      <c r="U242" s="555"/>
      <c r="V242" s="610"/>
      <c r="W242" s="555"/>
      <c r="X242" s="610"/>
      <c r="Y242" s="555"/>
      <c r="Z242" s="610"/>
      <c r="AA242" s="555"/>
      <c r="AB242" s="610"/>
      <c r="AC242" s="555"/>
      <c r="AD242" s="610"/>
      <c r="AE242" s="555"/>
      <c r="AF242" s="610"/>
      <c r="AG242" s="555"/>
      <c r="AH242" s="610"/>
      <c r="AI242" s="555"/>
      <c r="AJ242" s="610"/>
      <c r="AK242" s="555"/>
      <c r="AL242" s="610"/>
      <c r="AM242" s="555"/>
      <c r="AN242" s="610"/>
      <c r="AO242" s="555"/>
      <c r="AP242" s="610"/>
      <c r="AQ242" s="555"/>
      <c r="AR242" s="610"/>
      <c r="AS242" s="555"/>
      <c r="AT242" s="610"/>
      <c r="AU242" s="555"/>
      <c r="AV242" s="610"/>
      <c r="AW242" s="555"/>
      <c r="AX242" s="610"/>
      <c r="AY242" s="555"/>
      <c r="AZ242" s="610"/>
      <c r="BA242" s="555"/>
      <c r="BB242" s="610"/>
      <c r="BC242" s="555"/>
      <c r="BD242" s="610"/>
      <c r="BE242" s="555"/>
      <c r="BF242" s="610"/>
      <c r="BG242" s="555"/>
      <c r="BH242" s="610"/>
      <c r="BI242" s="555"/>
      <c r="BJ242" s="610"/>
      <c r="BK242" s="555"/>
      <c r="BL242" s="610"/>
      <c r="BM242" s="555"/>
      <c r="BN242" s="610"/>
      <c r="BO242" s="555"/>
      <c r="BP242" s="610"/>
      <c r="BQ242" s="555"/>
      <c r="BR242" s="610"/>
      <c r="BS242" s="555"/>
      <c r="BT242" s="610"/>
      <c r="BU242" s="555"/>
      <c r="BV242" s="610"/>
      <c r="BW242" s="555"/>
      <c r="BX242" s="610"/>
      <c r="BY242" s="555"/>
      <c r="BZ242" s="610"/>
      <c r="CA242" s="555"/>
      <c r="CB242" s="610"/>
      <c r="CC242" s="555"/>
      <c r="CD242" s="610"/>
      <c r="CE242" s="555"/>
      <c r="CF242" s="610"/>
      <c r="CG242" s="555"/>
      <c r="CH242" s="610"/>
      <c r="CI242" s="555"/>
      <c r="CJ242" s="610"/>
      <c r="CK242" s="555"/>
      <c r="CL242" s="610"/>
      <c r="CM242" s="555"/>
      <c r="CN242" s="610"/>
      <c r="CO242" s="555"/>
      <c r="CP242" s="610"/>
      <c r="CQ242" s="555"/>
      <c r="CR242" s="610"/>
      <c r="CS242" s="555"/>
      <c r="CT242" s="610"/>
      <c r="CU242" s="555"/>
      <c r="CV242" s="610"/>
      <c r="CW242" s="555"/>
      <c r="CX242" s="610"/>
      <c r="CY242" s="555"/>
      <c r="CZ242" s="610"/>
      <c r="DA242" s="555"/>
      <c r="DB242" s="556"/>
      <c r="DC242" s="610"/>
      <c r="DD242" s="555"/>
      <c r="DE242" s="610"/>
      <c r="DF242" s="555"/>
      <c r="DG242" s="610"/>
      <c r="DH242" s="555"/>
      <c r="DI242" s="610"/>
      <c r="DJ242" s="555"/>
      <c r="DK242" s="610"/>
      <c r="DL242" s="555"/>
      <c r="DM242" s="610"/>
      <c r="DN242" s="555"/>
      <c r="DO242" s="610"/>
      <c r="DP242" s="555"/>
      <c r="DQ242" s="610"/>
      <c r="DR242" s="555"/>
      <c r="DS242" s="610"/>
      <c r="DT242" s="555"/>
      <c r="DU242" s="610"/>
      <c r="DV242" s="555"/>
      <c r="DW242" s="610"/>
      <c r="DX242" s="555"/>
      <c r="DY242" s="610"/>
      <c r="DZ242" s="555"/>
      <c r="EA242" s="610"/>
      <c r="EB242" s="555"/>
      <c r="EC242" s="610"/>
      <c r="ED242" s="555"/>
      <c r="EE242" s="610"/>
      <c r="EF242" s="555"/>
      <c r="EG242" s="610"/>
      <c r="EH242" s="555"/>
      <c r="EI242" s="610"/>
      <c r="EJ242" s="555"/>
      <c r="EK242" s="610"/>
      <c r="EL242" s="555"/>
      <c r="EM242" s="555"/>
    </row>
    <row r="243" spans="1:144" ht="12.75" hidden="1" customHeight="1" outlineLevel="1" x14ac:dyDescent="0.2">
      <c r="A243" s="614" t="str">
        <f>+INPUT!B148</f>
        <v>Full Service</v>
      </c>
      <c r="B243" s="616"/>
      <c r="C243" s="555"/>
      <c r="D243" s="616"/>
      <c r="E243" s="555"/>
      <c r="F243" s="616"/>
      <c r="G243" s="555"/>
      <c r="H243" s="616"/>
      <c r="I243" s="555"/>
      <c r="J243" s="616"/>
      <c r="K243" s="555"/>
      <c r="L243" s="616"/>
      <c r="M243" s="555"/>
      <c r="N243" s="616"/>
      <c r="O243" s="555"/>
      <c r="P243" s="616"/>
      <c r="Q243" s="555"/>
      <c r="R243" s="616"/>
      <c r="S243" s="555"/>
      <c r="T243" s="616"/>
      <c r="U243" s="555"/>
      <c r="V243" s="616"/>
      <c r="W243" s="555"/>
      <c r="X243" s="616"/>
      <c r="Y243" s="555"/>
      <c r="Z243" s="616"/>
      <c r="AA243" s="555"/>
      <c r="AB243" s="616"/>
      <c r="AC243" s="555"/>
      <c r="AD243" s="616"/>
      <c r="AE243" s="555"/>
      <c r="AF243" s="616"/>
      <c r="AG243" s="555"/>
      <c r="AH243" s="616"/>
      <c r="AI243" s="555"/>
      <c r="AJ243" s="616"/>
      <c r="AK243" s="555"/>
      <c r="AL243" s="616"/>
      <c r="AM243" s="555"/>
      <c r="AN243" s="616"/>
      <c r="AO243" s="555"/>
      <c r="AP243" s="616"/>
      <c r="AQ243" s="555"/>
      <c r="AR243" s="616"/>
      <c r="AS243" s="555"/>
      <c r="AT243" s="616"/>
      <c r="AU243" s="555"/>
      <c r="AV243" s="616"/>
      <c r="AW243" s="555"/>
      <c r="AX243" s="616"/>
      <c r="AY243" s="555"/>
      <c r="AZ243" s="616"/>
      <c r="BA243" s="555"/>
      <c r="BB243" s="616"/>
      <c r="BC243" s="555"/>
      <c r="BD243" s="616"/>
      <c r="BE243" s="555"/>
      <c r="BF243" s="616"/>
      <c r="BG243" s="555"/>
      <c r="BH243" s="616"/>
      <c r="BI243" s="555"/>
      <c r="BJ243" s="616"/>
      <c r="BK243" s="555"/>
      <c r="BL243" s="616"/>
      <c r="BM243" s="555"/>
      <c r="BN243" s="616"/>
      <c r="BO243" s="555"/>
      <c r="BP243" s="616"/>
      <c r="BQ243" s="555"/>
      <c r="BR243" s="616"/>
      <c r="BS243" s="555"/>
      <c r="BT243" s="616"/>
      <c r="BU243" s="555"/>
      <c r="BV243" s="616"/>
      <c r="BW243" s="555"/>
      <c r="BX243" s="616"/>
      <c r="BY243" s="555"/>
      <c r="BZ243" s="616"/>
      <c r="CA243" s="555"/>
      <c r="CB243" s="616"/>
      <c r="CC243" s="555"/>
      <c r="CD243" s="616"/>
      <c r="CE243" s="555"/>
      <c r="CF243" s="616"/>
      <c r="CG243" s="555"/>
      <c r="CH243" s="616"/>
      <c r="CI243" s="555"/>
      <c r="CJ243" s="616"/>
      <c r="CK243" s="555"/>
      <c r="CL243" s="616"/>
      <c r="CM243" s="555"/>
      <c r="CN243" s="616"/>
      <c r="CO243" s="555"/>
      <c r="CP243" s="616"/>
      <c r="CQ243" s="555"/>
      <c r="CR243" s="616"/>
      <c r="CS243" s="555"/>
      <c r="CT243" s="616"/>
      <c r="CU243" s="555"/>
      <c r="CV243" s="616"/>
      <c r="CW243" s="555"/>
      <c r="CX243" s="616"/>
      <c r="CY243" s="555"/>
      <c r="CZ243" s="616"/>
      <c r="DA243" s="555"/>
      <c r="DB243" s="617"/>
      <c r="DC243" s="616"/>
      <c r="DD243" s="555"/>
      <c r="DE243" s="616"/>
      <c r="DF243" s="555"/>
      <c r="DG243" s="616"/>
      <c r="DH243" s="555"/>
      <c r="DI243" s="616"/>
      <c r="DJ243" s="555"/>
      <c r="DK243" s="616"/>
      <c r="DL243" s="555"/>
      <c r="DM243" s="616"/>
      <c r="DN243" s="555"/>
      <c r="DO243" s="616"/>
      <c r="DP243" s="555"/>
      <c r="DQ243" s="616"/>
      <c r="DR243" s="555"/>
      <c r="DS243" s="616"/>
      <c r="DT243" s="555"/>
      <c r="DU243" s="616"/>
      <c r="DV243" s="555"/>
      <c r="DW243" s="616"/>
      <c r="DX243" s="555"/>
      <c r="DY243" s="616"/>
      <c r="DZ243" s="555"/>
      <c r="EA243" s="616"/>
      <c r="EB243" s="555"/>
      <c r="EC243" s="616"/>
      <c r="ED243" s="555"/>
      <c r="EE243" s="616"/>
      <c r="EF243" s="555"/>
      <c r="EG243" s="616"/>
      <c r="EH243" s="555"/>
      <c r="EI243" s="616"/>
      <c r="EJ243" s="555"/>
      <c r="EK243" s="616"/>
      <c r="EL243" s="555"/>
      <c r="EM243" s="555"/>
    </row>
    <row r="244" spans="1:144" ht="12.75" hidden="1" customHeight="1" outlineLevel="1" x14ac:dyDescent="0.2">
      <c r="A244" s="609" t="str">
        <f>+INPUT!B149</f>
        <v>Beginning Assets</v>
      </c>
      <c r="B244" s="580">
        <f>+INPUT!AY149</f>
        <v>88385</v>
      </c>
      <c r="C244" s="577">
        <f>+INPUT!AZ149</f>
        <v>5.3569512820207166</v>
      </c>
      <c r="D244" s="580">
        <f>+INPUT!BA149</f>
        <v>91854</v>
      </c>
      <c r="E244" s="577">
        <f>+INPUT!BB149</f>
        <v>9.4451130148819828</v>
      </c>
      <c r="F244" s="580">
        <f>+INPUT!BC149</f>
        <v>91537</v>
      </c>
      <c r="G244" s="577">
        <f>+INPUT!BD149</f>
        <v>7.2728551171321101</v>
      </c>
      <c r="H244" s="580">
        <f>+INPUT!BE149</f>
        <v>93364</v>
      </c>
      <c r="I244" s="577">
        <f>+INPUT!BF149</f>
        <v>5.6907071781925964</v>
      </c>
      <c r="J244" s="580">
        <f>+INPUT!BG149</f>
        <v>97430</v>
      </c>
      <c r="K244" s="577">
        <f>+INPUT!BH149</f>
        <v>10.233636929343206</v>
      </c>
      <c r="L244" s="580">
        <f>+INPUT!BI149</f>
        <v>99558</v>
      </c>
      <c r="M244" s="577">
        <f>+INPUT!BJ149</f>
        <v>8.3872232020380153</v>
      </c>
      <c r="N244" s="580">
        <f>+INPUT!BK149</f>
        <v>104033</v>
      </c>
      <c r="O244" s="577">
        <f>+INPUT!BL149</f>
        <v>13.651310399073594</v>
      </c>
      <c r="P244" s="580">
        <f>+INPUT!BM149</f>
        <v>105601</v>
      </c>
      <c r="Q244" s="577">
        <f>+INPUT!BN149</f>
        <v>13.106764920097675</v>
      </c>
      <c r="R244" s="580">
        <f>+INPUT!BO149</f>
        <v>112192</v>
      </c>
      <c r="S244" s="577">
        <f>+INPUT!BP149</f>
        <v>15.151390742071243</v>
      </c>
      <c r="T244" s="580">
        <f>+INPUT!BQ149</f>
        <v>107060</v>
      </c>
      <c r="U244" s="577">
        <f>+INPUT!BR149</f>
        <v>7.535306052753171</v>
      </c>
      <c r="V244" s="580">
        <f>+INPUT!BS149</f>
        <v>106917</v>
      </c>
      <c r="W244" s="577">
        <f>+INPUT!BT149</f>
        <v>2.772197283554263</v>
      </c>
      <c r="X244" s="580">
        <f>+INPUT!BU149</f>
        <v>100463</v>
      </c>
      <c r="Y244" s="577">
        <f>+INPUT!BV149</f>
        <v>-4.8654842283690556</v>
      </c>
      <c r="Z244" s="580">
        <f>+INPUT!BW149</f>
        <v>99738</v>
      </c>
      <c r="AA244" s="577">
        <f>+INPUT!BX149</f>
        <v>-11.10061323445521</v>
      </c>
      <c r="AB244" s="580">
        <f>+INPUT!BY149</f>
        <v>102159</v>
      </c>
      <c r="AC244" s="577">
        <f>+INPUT!BZ149</f>
        <v>-4.5778068372874969</v>
      </c>
      <c r="AD244" s="580">
        <f>+INPUT!CA149</f>
        <v>110950</v>
      </c>
      <c r="AE244" s="577">
        <f>+INPUT!CB149</f>
        <v>3.7720848882778313</v>
      </c>
      <c r="AF244" s="580">
        <f>+INPUT!CC149</f>
        <v>121756</v>
      </c>
      <c r="AG244" s="577">
        <f>+INPUT!CD149</f>
        <v>21.194867762260742</v>
      </c>
      <c r="AH244" s="580">
        <f>+INPUT!CE149</f>
        <v>126345</v>
      </c>
      <c r="AI244" s="577">
        <f>+INPUT!CF149</f>
        <v>26.676893460867475</v>
      </c>
      <c r="AJ244" s="580">
        <f>+INPUT!CG149</f>
        <v>131147</v>
      </c>
      <c r="AK244" s="577">
        <f>+INPUT!CH149</f>
        <v>28.375375639933822</v>
      </c>
      <c r="AL244" s="580">
        <f>+INPUT!CI149</f>
        <v>125176</v>
      </c>
      <c r="AM244" s="577">
        <f>+INPUT!CJ149</f>
        <v>12.821991888237932</v>
      </c>
      <c r="AN244" s="580">
        <f>+INPUT!CK149</f>
        <v>135248</v>
      </c>
      <c r="AO244" s="577">
        <f>+INPUT!CL149</f>
        <v>11.081178750944517</v>
      </c>
      <c r="AP244" s="580">
        <f>+INPUT!CM149</f>
        <v>141313</v>
      </c>
      <c r="AQ244" s="577">
        <f>+INPUT!CN149</f>
        <v>11.846927064782946</v>
      </c>
      <c r="AR244" s="580">
        <f>+INPUT!CO149</f>
        <v>145977</v>
      </c>
      <c r="AS244" s="577">
        <f>+INPUT!CP149</f>
        <v>11.307921645176776</v>
      </c>
      <c r="AT244" s="580">
        <f>+INPUT!CQ149</f>
        <v>146580</v>
      </c>
      <c r="AU244" s="577">
        <f>+INPUT!CR149</f>
        <v>17.099124432798618</v>
      </c>
      <c r="AV244" s="580">
        <f>+INPUT!CS149</f>
        <v>134198</v>
      </c>
      <c r="AW244" s="577">
        <f>+INPUT!CT149</f>
        <v>-0.77635159115106944</v>
      </c>
      <c r="AX244" s="580">
        <f>+INPUT!CU149</f>
        <v>139430</v>
      </c>
      <c r="AY244" s="577">
        <f>+INPUT!CV149</f>
        <v>-1.3325030251993866</v>
      </c>
      <c r="AZ244" s="580">
        <f>+INPUT!CW149</f>
        <v>145991</v>
      </c>
      <c r="BA244" s="577">
        <f>+INPUT!CX149</f>
        <v>9.5905519362560199E-3</v>
      </c>
      <c r="BB244" s="580">
        <f>+INPUT!CY149</f>
        <v>142405</v>
      </c>
      <c r="BC244" s="577">
        <f>+INPUT!CZ149</f>
        <v>-2.8482739800791421</v>
      </c>
      <c r="BD244" s="580">
        <f>+INPUT!DA149</f>
        <v>146934</v>
      </c>
      <c r="BE244" s="577">
        <f>+INPUT!DB149</f>
        <v>9.4904544031952724</v>
      </c>
      <c r="BF244" s="580">
        <f>+INPUT!DC149</f>
        <v>148405</v>
      </c>
      <c r="BG244" s="577">
        <f>+INPUT!DD149</f>
        <v>6.4369217528508926</v>
      </c>
      <c r="BH244" s="580">
        <f>+INPUT!DE149</f>
        <v>156380</v>
      </c>
      <c r="BI244" s="577">
        <f>+INPUT!DF149</f>
        <v>7.1161920940332095</v>
      </c>
      <c r="BJ244" s="580">
        <f>+INPUT!DG149</f>
        <v>157738</v>
      </c>
      <c r="BK244" s="577">
        <f>+INPUT!DH149</f>
        <v>10.767178118745832</v>
      </c>
      <c r="BL244" s="580">
        <f>+INPUT!DI149</f>
        <v>165364</v>
      </c>
      <c r="BM244" s="577">
        <f>+INPUT!DJ149</f>
        <v>12.543046537901375</v>
      </c>
      <c r="BN244" s="580">
        <f>+INPUT!DK149</f>
        <v>173502</v>
      </c>
      <c r="BO244" s="577">
        <f>+INPUT!DL149</f>
        <v>16.911155284525449</v>
      </c>
      <c r="BP244" s="580">
        <f>+INPUT!DM149</f>
        <v>178150</v>
      </c>
      <c r="BQ244" s="577">
        <f>+INPUT!DN149</f>
        <v>13.921217547000879</v>
      </c>
      <c r="BR244" s="580">
        <f>+INPUT!DO149</f>
        <v>181577</v>
      </c>
      <c r="BS244" s="577">
        <f>+INPUT!DP149</f>
        <v>15.113035539945983</v>
      </c>
      <c r="BT244" s="580">
        <f>+INPUT!DQ149</f>
        <v>180535</v>
      </c>
      <c r="BU244" s="577">
        <f>+INPUT!DR149</f>
        <v>9.1743063786555723</v>
      </c>
      <c r="BV244" s="580">
        <f>+INPUT!DS149</f>
        <v>184196</v>
      </c>
      <c r="BW244" s="577">
        <f>+INPUT!DT149</f>
        <v>6.1636177104586807</v>
      </c>
      <c r="BX244" s="580">
        <f>+INPUT!DU149</f>
        <v>188145</v>
      </c>
      <c r="BY244" s="577">
        <f>+INPUT!DV149</f>
        <v>5.6104406399101805</v>
      </c>
      <c r="BZ244" s="580">
        <f>+INPUT!DW149</f>
        <v>188807</v>
      </c>
      <c r="CA244" s="577">
        <f>+INPUT!DX149</f>
        <v>3.9817818336022697</v>
      </c>
      <c r="CB244" s="580">
        <f>+INPUT!DY149</f>
        <v>184515</v>
      </c>
      <c r="CC244" s="577">
        <f>+INPUT!DZ149</f>
        <v>2.2045586728335138</v>
      </c>
      <c r="CD244" s="580">
        <f>+INPUT!EA149</f>
        <v>188961</v>
      </c>
      <c r="CE244" s="577">
        <f>+INPUT!EB149</f>
        <v>2.5869182826988606</v>
      </c>
      <c r="CF244" s="580">
        <f>+INPUT!EC149</f>
        <v>190953</v>
      </c>
      <c r="CG244" s="577">
        <f>+INPUT!ED149</f>
        <v>1.4924659172446724</v>
      </c>
      <c r="CH244" s="580">
        <f>+INPUT!EE149</f>
        <v>194007</v>
      </c>
      <c r="CI244" s="577">
        <f>+INPUT!EF149</f>
        <v>2.7541351750729461</v>
      </c>
      <c r="CJ244" s="580">
        <f>+INPUT!EG149</f>
        <v>200476</v>
      </c>
      <c r="CK244" s="577">
        <f>+INPUT!EH149</f>
        <v>8.650245237514568</v>
      </c>
      <c r="CL244" s="580">
        <f>+INPUT!EI149</f>
        <v>202802</v>
      </c>
      <c r="CM244" s="577">
        <f>+INPUT!EJ149</f>
        <v>7.3247918882732392</v>
      </c>
      <c r="CN244" s="580">
        <f>+INPUT!EK149</f>
        <v>210400</v>
      </c>
      <c r="CO244" s="577">
        <f>+INPUT!EL149</f>
        <v>10.184181447790806</v>
      </c>
      <c r="CP244" s="580">
        <f>+INPUT!EM149</f>
        <v>214731</v>
      </c>
      <c r="CQ244" s="577">
        <f>+INPUT!EN149</f>
        <v>10.682088790610649</v>
      </c>
      <c r="CR244" s="580">
        <f>+INPUT!EO149</f>
        <v>227438</v>
      </c>
      <c r="CS244" s="577">
        <f>+INPUT!EP149</f>
        <v>13.448991400466895</v>
      </c>
      <c r="CT244" s="580">
        <f>+INPUT!EQ149</f>
        <v>234616</v>
      </c>
      <c r="CU244" s="577">
        <f>+INPUT!ER149</f>
        <v>15.68722201950672</v>
      </c>
      <c r="CV244" s="580">
        <f>+INPUT!ES149</f>
        <v>233377.35229718956</v>
      </c>
      <c r="CW244" s="577">
        <f>+INPUT!ET149</f>
        <v>10.920794818055882</v>
      </c>
      <c r="CX244" s="580">
        <f>+INPUT!EU149</f>
        <v>236208.79064100821</v>
      </c>
      <c r="CY244" s="577">
        <f>+INPUT!EV149</f>
        <v>10.002184426565421</v>
      </c>
      <c r="CZ244" s="580">
        <f>+INPUT!EW149</f>
        <v>239074.58126029803</v>
      </c>
      <c r="DA244" s="577">
        <f>+INPUT!EX149</f>
        <v>5.1163751265391113</v>
      </c>
      <c r="DB244" s="556"/>
      <c r="DC244" s="580">
        <f>+INPUT!FP149</f>
        <v>83891</v>
      </c>
      <c r="DD244" s="577" t="str">
        <f>+INPUT!FQ149</f>
        <v>NM</v>
      </c>
      <c r="DE244" s="580">
        <f>+INPUT!FR149</f>
        <v>88385</v>
      </c>
      <c r="DF244" s="577">
        <f>+INPUT!FS149</f>
        <v>5.3569512820207166</v>
      </c>
      <c r="DG244" s="580">
        <f>+INPUT!FT149</f>
        <v>97430</v>
      </c>
      <c r="DH244" s="577">
        <f>+INPUT!FU149</f>
        <v>10.233636929343206</v>
      </c>
      <c r="DI244" s="580">
        <f>+INPUT!FV149</f>
        <v>112192</v>
      </c>
      <c r="DJ244" s="577">
        <f>+INPUT!FW149</f>
        <v>15.151390742071243</v>
      </c>
      <c r="DK244" s="580">
        <f>+INPUT!FX149</f>
        <v>99738</v>
      </c>
      <c r="DL244" s="577">
        <f>+INPUT!FY149</f>
        <v>-11.10061323445521</v>
      </c>
      <c r="DM244" s="580">
        <f>+INPUT!FZ149</f>
        <v>126345</v>
      </c>
      <c r="DN244" s="577">
        <f>+INPUT!GA149</f>
        <v>26.676893460867475</v>
      </c>
      <c r="DO244" s="580">
        <f>+INPUT!GB149</f>
        <v>141313</v>
      </c>
      <c r="DP244" s="577">
        <f>+INPUT!GC149</f>
        <v>11.846927064782946</v>
      </c>
      <c r="DQ244" s="580">
        <f>+INPUT!GD149</f>
        <v>139430</v>
      </c>
      <c r="DR244" s="577">
        <f>+INPUT!GE149</f>
        <v>-1.3325030251993866</v>
      </c>
      <c r="DS244" s="580">
        <f>+INPUT!GF149</f>
        <v>148405</v>
      </c>
      <c r="DT244" s="577">
        <f>+INPUT!GG149</f>
        <v>6.4369217528508926</v>
      </c>
      <c r="DU244" s="580">
        <f>+INPUT!GH149</f>
        <v>173502</v>
      </c>
      <c r="DV244" s="577">
        <f>+INPUT!GI149</f>
        <v>16.911155284525449</v>
      </c>
      <c r="DW244" s="580">
        <f>+INPUT!GJ149</f>
        <v>184196</v>
      </c>
      <c r="DX244" s="577">
        <f>+INPUT!GK149</f>
        <v>6.1636177104586807</v>
      </c>
      <c r="DY244" s="580">
        <f>+INPUT!GL149</f>
        <v>188961</v>
      </c>
      <c r="DZ244" s="577">
        <f>+INPUT!GM149</f>
        <v>2.5869182826988606</v>
      </c>
      <c r="EA244" s="580">
        <f>+INPUT!GN149</f>
        <v>202802</v>
      </c>
      <c r="EB244" s="577">
        <f>+INPUT!GO149</f>
        <v>7.3247918882732392</v>
      </c>
      <c r="EC244" s="580">
        <f>+INPUT!GP149</f>
        <v>234616</v>
      </c>
      <c r="ED244" s="577">
        <f>+INPUT!GQ149</f>
        <v>15.68722201950672</v>
      </c>
      <c r="EE244" s="580">
        <f>+INPUT!GR149</f>
        <v>241975.14093221843</v>
      </c>
      <c r="EF244" s="577">
        <f>+INPUT!GS149</f>
        <v>3.1366747929461098</v>
      </c>
      <c r="EG244" s="580">
        <f>+INPUT!GT149</f>
        <v>252870.22687879985</v>
      </c>
      <c r="EH244" s="577">
        <f>+INPUT!GU149</f>
        <v>4.5025641496096114</v>
      </c>
      <c r="EI244" s="580">
        <f>+INPUT!GV149</f>
        <v>264255.87105928117</v>
      </c>
      <c r="EJ244" s="577">
        <f>+INPUT!GW149</f>
        <v>4.5025641496096114</v>
      </c>
      <c r="EK244" s="580">
        <f>+INPUT!GX149</f>
        <v>276154.16117283504</v>
      </c>
      <c r="EL244" s="577">
        <f>+INPUT!GY149</f>
        <v>4.5025641496096398</v>
      </c>
      <c r="EM244" s="577">
        <f>+INPUT!GZ149</f>
        <v>6.369194777439291</v>
      </c>
    </row>
    <row r="245" spans="1:144" ht="12.75" hidden="1" customHeight="1" outlineLevel="1" x14ac:dyDescent="0.2">
      <c r="A245" s="609" t="str">
        <f>+INPUT!B150</f>
        <v xml:space="preserve">  Deposits</v>
      </c>
      <c r="B245" s="580">
        <f>+INPUT!AY150</f>
        <v>5381</v>
      </c>
      <c r="C245" s="577">
        <f>+INPUT!AZ150</f>
        <v>42.204016913319236</v>
      </c>
      <c r="D245" s="580">
        <f>+INPUT!BA150</f>
        <v>4138</v>
      </c>
      <c r="E245" s="577">
        <f>+INPUT!BB150</f>
        <v>55.15560554930633</v>
      </c>
      <c r="F245" s="580">
        <f>+INPUT!BC150</f>
        <v>2914</v>
      </c>
      <c r="G245" s="577">
        <f>+INPUT!BD150</f>
        <v>-16.956397834140773</v>
      </c>
      <c r="H245" s="580">
        <f>+INPUT!BE150</f>
        <v>3723</v>
      </c>
      <c r="I245" s="577">
        <f>+INPUT!BF150</f>
        <v>22.225869993434017</v>
      </c>
      <c r="J245" s="580">
        <f>+INPUT!BG150</f>
        <v>4003</v>
      </c>
      <c r="K245" s="577">
        <f>+INPUT!BH150</f>
        <v>-25.608622932540413</v>
      </c>
      <c r="L245" s="580">
        <f>+INPUT!BI150</f>
        <v>3212</v>
      </c>
      <c r="M245" s="577">
        <f>+INPUT!BJ150</f>
        <v>-22.377960367327205</v>
      </c>
      <c r="N245" s="580">
        <f>+INPUT!BK150</f>
        <v>3219</v>
      </c>
      <c r="O245" s="577">
        <f>+INPUT!BL150</f>
        <v>10.466712422786543</v>
      </c>
      <c r="P245" s="580">
        <f>+INPUT!BM150</f>
        <v>4258</v>
      </c>
      <c r="Q245" s="577">
        <f>+INPUT!BN150</f>
        <v>14.370131614289548</v>
      </c>
      <c r="R245" s="580">
        <f>+INPUT!BO150</f>
        <v>4586</v>
      </c>
      <c r="S245" s="577">
        <f>+INPUT!BP150</f>
        <v>14.564076942293269</v>
      </c>
      <c r="T245" s="580">
        <f>+INPUT!BQ150</f>
        <v>4530</v>
      </c>
      <c r="U245" s="577">
        <f>+INPUT!BR150</f>
        <v>41.033623910336246</v>
      </c>
      <c r="V245" s="580">
        <f>+INPUT!BS150</f>
        <v>3276</v>
      </c>
      <c r="W245" s="577">
        <f>+INPUT!BT150</f>
        <v>1.7707362534948601</v>
      </c>
      <c r="X245" s="580">
        <f>+INPUT!BU150</f>
        <v>6549</v>
      </c>
      <c r="Y245" s="577">
        <f>+INPUT!BV150</f>
        <v>53.80460310004699</v>
      </c>
      <c r="Z245" s="580">
        <f>+INPUT!BW150</f>
        <v>10489</v>
      </c>
      <c r="AA245" s="577" t="str">
        <f>+INPUT!BX150</f>
        <v>NM</v>
      </c>
      <c r="AB245" s="580">
        <f>+INPUT!BY150</f>
        <v>3890</v>
      </c>
      <c r="AC245" s="577">
        <f>+INPUT!BZ150</f>
        <v>-14.128035320088301</v>
      </c>
      <c r="AD245" s="580">
        <f>+INPUT!CA150</f>
        <v>4789</v>
      </c>
      <c r="AE245" s="577">
        <f>+INPUT!CB150</f>
        <v>46.184371184371173</v>
      </c>
      <c r="AF245" s="580">
        <f>+INPUT!CC150</f>
        <v>4020</v>
      </c>
      <c r="AG245" s="577">
        <f>+INPUT!CD150</f>
        <v>-38.616582684379296</v>
      </c>
      <c r="AH245" s="580">
        <f>+INPUT!CE150</f>
        <v>5605</v>
      </c>
      <c r="AI245" s="577">
        <f>+INPUT!CF150</f>
        <v>-46.563066069215367</v>
      </c>
      <c r="AJ245" s="580">
        <f>+INPUT!CG150</f>
        <v>4037</v>
      </c>
      <c r="AK245" s="577">
        <f>+INPUT!CH150</f>
        <v>3.7789203084832792</v>
      </c>
      <c r="AL245" s="580">
        <f>+INPUT!CI150</f>
        <v>5255</v>
      </c>
      <c r="AM245" s="577">
        <f>+INPUT!CJ150</f>
        <v>9.7306326999373454</v>
      </c>
      <c r="AN245" s="580">
        <f>+INPUT!CK150</f>
        <v>4369</v>
      </c>
      <c r="AO245" s="577">
        <f>+INPUT!CL150</f>
        <v>8.6815920398009894</v>
      </c>
      <c r="AP245" s="580">
        <f>+INPUT!CM150</f>
        <v>4848</v>
      </c>
      <c r="AQ245" s="577">
        <f>+INPUT!CN150</f>
        <v>-13.505798394290807</v>
      </c>
      <c r="AR245" s="580">
        <f>+INPUT!CO150</f>
        <v>4128</v>
      </c>
      <c r="AS245" s="577">
        <f>+INPUT!CP150</f>
        <v>2.2541491206341249</v>
      </c>
      <c r="AT245" s="580">
        <f>+INPUT!CQ150</f>
        <v>3966</v>
      </c>
      <c r="AU245" s="577">
        <f>+INPUT!CR150</f>
        <v>-24.529019980970503</v>
      </c>
      <c r="AV245" s="580">
        <f>+INPUT!CS150</f>
        <v>3879</v>
      </c>
      <c r="AW245" s="577">
        <f>+INPUT!CT150</f>
        <v>-11.215381094071873</v>
      </c>
      <c r="AX245" s="580">
        <f>+INPUT!CU150</f>
        <v>4646</v>
      </c>
      <c r="AY245" s="577">
        <f>+INPUT!CV150</f>
        <v>-4.1666666666666572</v>
      </c>
      <c r="AZ245" s="580">
        <f>+INPUT!CW150</f>
        <v>4363</v>
      </c>
      <c r="BA245" s="577">
        <f>+INPUT!CX150</f>
        <v>5.6928294573643399</v>
      </c>
      <c r="BB245" s="580">
        <f>+INPUT!CY150</f>
        <v>3478</v>
      </c>
      <c r="BC245" s="577">
        <f>+INPUT!CZ150</f>
        <v>-12.304589006555716</v>
      </c>
      <c r="BD245" s="580">
        <f>+INPUT!DA150</f>
        <v>3903</v>
      </c>
      <c r="BE245" s="577">
        <f>+INPUT!DB150</f>
        <v>0.6187161639597889</v>
      </c>
      <c r="BF245" s="580">
        <f>+INPUT!DC150</f>
        <v>5679</v>
      </c>
      <c r="BG245" s="577">
        <f>+INPUT!DD150</f>
        <v>22.23417993973311</v>
      </c>
      <c r="BH245" s="580">
        <f>+INPUT!DE150</f>
        <v>3697</v>
      </c>
      <c r="BI245" s="577">
        <f>+INPUT!DF150</f>
        <v>-15.264726105890446</v>
      </c>
      <c r="BJ245" s="580">
        <f>+INPUT!DG150</f>
        <v>5455</v>
      </c>
      <c r="BK245" s="577">
        <f>+INPUT!DH150</f>
        <v>56.843013225991939</v>
      </c>
      <c r="BL245" s="580">
        <f>+INPUT!DI150</f>
        <v>5846</v>
      </c>
      <c r="BM245" s="577">
        <f>+INPUT!DJ150</f>
        <v>49.782218806046643</v>
      </c>
      <c r="BN245" s="580">
        <f>+INPUT!DK150</f>
        <v>8587</v>
      </c>
      <c r="BO245" s="577">
        <f>+INPUT!DL150</f>
        <v>51.206198274344075</v>
      </c>
      <c r="BP245" s="580">
        <f>+INPUT!DM150</f>
        <v>4528</v>
      </c>
      <c r="BQ245" s="577">
        <f>+INPUT!DN150</f>
        <v>22.477684609142543</v>
      </c>
      <c r="BR245" s="580">
        <f>+INPUT!DO150</f>
        <v>5190</v>
      </c>
      <c r="BS245" s="577">
        <f>+INPUT!DP150</f>
        <v>-4.8579285059578297</v>
      </c>
      <c r="BT245" s="580">
        <f>+INPUT!DQ150</f>
        <v>5629</v>
      </c>
      <c r="BU245" s="577">
        <f>+INPUT!DR150</f>
        <v>-3.7119397878891505</v>
      </c>
      <c r="BV245" s="580">
        <f>+INPUT!DS150</f>
        <v>6314</v>
      </c>
      <c r="BW245" s="577">
        <f>+INPUT!DT150</f>
        <v>-26.470245720274832</v>
      </c>
      <c r="BX245" s="580">
        <f>+INPUT!DU150</f>
        <v>5040</v>
      </c>
      <c r="BY245" s="577">
        <f>+INPUT!DV150</f>
        <v>11.307420494699642</v>
      </c>
      <c r="BZ245" s="580">
        <f>+INPUT!DW150</f>
        <v>9422</v>
      </c>
      <c r="CA245" s="577">
        <f>+INPUT!DX150</f>
        <v>81.541425818882459</v>
      </c>
      <c r="CB245" s="580">
        <f>+INPUT!DY150</f>
        <v>4908</v>
      </c>
      <c r="CC245" s="577">
        <f>+INPUT!DZ150</f>
        <v>-12.808669390655538</v>
      </c>
      <c r="CD245" s="580">
        <f>+INPUT!EA150</f>
        <v>6656</v>
      </c>
      <c r="CE245" s="577">
        <f>+INPUT!EB150</f>
        <v>5.4165346848273686</v>
      </c>
      <c r="CF245" s="580">
        <f>+INPUT!EC150</f>
        <v>4699</v>
      </c>
      <c r="CG245" s="577">
        <f>+INPUT!ED150</f>
        <v>-6.7658730158730123</v>
      </c>
      <c r="CH245" s="580">
        <f>+INPUT!EE150</f>
        <v>5405</v>
      </c>
      <c r="CI245" s="577">
        <f>+INPUT!EF150</f>
        <v>-42.634260241986844</v>
      </c>
      <c r="CJ245" s="580">
        <f>+INPUT!EG150</f>
        <v>5168</v>
      </c>
      <c r="CK245" s="577">
        <f>+INPUT!EH150</f>
        <v>5.2974735126324362</v>
      </c>
      <c r="CL245" s="580">
        <f>+INPUT!EI150</f>
        <v>6736</v>
      </c>
      <c r="CM245" s="577">
        <f>+INPUT!EJ150</f>
        <v>1.2019230769230802</v>
      </c>
      <c r="CN245" s="580">
        <f>+INPUT!EK150</f>
        <v>4771</v>
      </c>
      <c r="CO245" s="577">
        <f>+INPUT!EL150</f>
        <v>1.5322409023196428</v>
      </c>
      <c r="CP245" s="580">
        <f>+INPUT!EM150</f>
        <v>11188</v>
      </c>
      <c r="CQ245" s="577" t="str">
        <f>+INPUT!EN150</f>
        <v>NM</v>
      </c>
      <c r="CR245" s="580">
        <f>+INPUT!EO150</f>
        <v>6832</v>
      </c>
      <c r="CS245" s="577">
        <f>+INPUT!EP150</f>
        <v>32.198142414860683</v>
      </c>
      <c r="CT245" s="580">
        <f>+INPUT!EQ150</f>
        <v>7918.29</v>
      </c>
      <c r="CU245" s="577">
        <f>+INPUT!ER150</f>
        <v>17.551811163895479</v>
      </c>
      <c r="CV245" s="580">
        <f>+INPUT!ES150</f>
        <v>6709.5988785441996</v>
      </c>
      <c r="CW245" s="577">
        <f>+INPUT!ET150</f>
        <v>40.632967481538458</v>
      </c>
      <c r="CX245" s="580">
        <f>+INPUT!EU150</f>
        <v>5905.2197660252059</v>
      </c>
      <c r="CY245" s="577">
        <f>+INPUT!EV150</f>
        <v>-47.218271665845499</v>
      </c>
      <c r="CZ245" s="580">
        <f>+INPUT!EW150</f>
        <v>6574.5509846581963</v>
      </c>
      <c r="DA245" s="577">
        <f>+INPUT!EX150</f>
        <v>-3.768281840483084</v>
      </c>
      <c r="DB245" s="556"/>
      <c r="DC245" s="580">
        <f>+INPUT!FP150</f>
        <v>13006</v>
      </c>
      <c r="DD245" s="577" t="str">
        <f>+INPUT!FQ150</f>
        <v>NM</v>
      </c>
      <c r="DE245" s="580">
        <f>+INPUT!FR150</f>
        <v>16156</v>
      </c>
      <c r="DF245" s="577">
        <f>+INPUT!FS150</f>
        <v>24.219590958019381</v>
      </c>
      <c r="DG245" s="580">
        <f>+INPUT!FT150</f>
        <v>14692</v>
      </c>
      <c r="DH245" s="577">
        <f>+INPUT!FU150</f>
        <v>-9.061648923000746</v>
      </c>
      <c r="DI245" s="580">
        <f>+INPUT!FV150</f>
        <v>18941</v>
      </c>
      <c r="DJ245" s="577">
        <f>+INPUT!FW150</f>
        <v>28.920500952899545</v>
      </c>
      <c r="DK245" s="580">
        <f>+INPUT!FX150</f>
        <v>23188</v>
      </c>
      <c r="DL245" s="577">
        <f>+INPUT!FY150</f>
        <v>22.422258592471351</v>
      </c>
      <c r="DM245" s="580">
        <f>+INPUT!FZ150</f>
        <v>19266</v>
      </c>
      <c r="DN245" s="577">
        <f>+INPUT!GA150</f>
        <v>-16.913920993617396</v>
      </c>
      <c r="DO245" s="580">
        <f>+INPUT!GB150</f>
        <v>16821</v>
      </c>
      <c r="DP245" s="577">
        <f>+INPUT!GC150</f>
        <v>-12.690750545001563</v>
      </c>
      <c r="DQ245" s="580">
        <f>+INPUT!GD150</f>
        <v>16390</v>
      </c>
      <c r="DR245" s="577">
        <f>+INPUT!GE150</f>
        <v>-2.5622733487901996</v>
      </c>
      <c r="DS245" s="580">
        <f>+INPUT!GF150</f>
        <v>20677</v>
      </c>
      <c r="DT245" s="577">
        <f>+INPUT!GG150</f>
        <v>26.156192800488114</v>
      </c>
      <c r="DU245" s="580">
        <f>+INPUT!GH150</f>
        <v>23934</v>
      </c>
      <c r="DV245" s="577">
        <f>+INPUT!GI150</f>
        <v>15.751801518595542</v>
      </c>
      <c r="DW245" s="580">
        <f>+INPUT!GJ150</f>
        <v>25684</v>
      </c>
      <c r="DX245" s="577">
        <f>+INPUT!GK150</f>
        <v>7.3117740452912159</v>
      </c>
      <c r="DY245" s="580">
        <f>+INPUT!GL150</f>
        <v>21928</v>
      </c>
      <c r="DZ245" s="577">
        <f>+INPUT!GM150</f>
        <v>-14.623890359757056</v>
      </c>
      <c r="EA245" s="580">
        <f>+INPUT!GN150</f>
        <v>29527</v>
      </c>
      <c r="EB245" s="577">
        <f>+INPUT!GO150</f>
        <v>34.654323239693554</v>
      </c>
      <c r="EC245" s="580">
        <f>+INPUT!GP150</f>
        <v>27107.659629227601</v>
      </c>
      <c r="ED245" s="577">
        <f>+INPUT!GQ150</f>
        <v>-8.1936545222081492</v>
      </c>
      <c r="EE245" s="580">
        <f>+INPUT!GR150</f>
        <v>27957.938755775209</v>
      </c>
      <c r="EF245" s="577">
        <f>+INPUT!GS150</f>
        <v>3.1366747929461098</v>
      </c>
      <c r="EG245" s="580">
        <f>+INPUT!GT150</f>
        <v>29216.762883162559</v>
      </c>
      <c r="EH245" s="577">
        <f>+INPUT!GU150</f>
        <v>4.5025641496096398</v>
      </c>
      <c r="EI245" s="580">
        <f>+INPUT!GV150</f>
        <v>30532.266374416282</v>
      </c>
      <c r="EJ245" s="577">
        <f>+INPUT!GW150</f>
        <v>4.5025641496096114</v>
      </c>
      <c r="EK245" s="580">
        <f>+INPUT!GX150</f>
        <v>31907.001254254068</v>
      </c>
      <c r="EL245" s="577">
        <f>+INPUT!GY150</f>
        <v>4.5025641496096398</v>
      </c>
      <c r="EM245" s="577">
        <f>+INPUT!GZ150</f>
        <v>1.5624884034225461</v>
      </c>
    </row>
    <row r="246" spans="1:144" ht="12.75" hidden="1" customHeight="1" outlineLevel="1" x14ac:dyDescent="0.2">
      <c r="A246" s="609" t="str">
        <f>+INPUT!B151</f>
        <v xml:space="preserve">  Withdrawals</v>
      </c>
      <c r="B246" s="580">
        <f>+INPUT!AY151</f>
        <v>-5471</v>
      </c>
      <c r="C246" s="577">
        <f>+INPUT!AZ151</f>
        <v>63.362197670946557</v>
      </c>
      <c r="D246" s="580">
        <f>+INPUT!BA151</f>
        <v>-3412</v>
      </c>
      <c r="E246" s="577">
        <f>+INPUT!BB151</f>
        <v>20.267888614733877</v>
      </c>
      <c r="F246" s="580">
        <f>+INPUT!BC151</f>
        <v>-3272</v>
      </c>
      <c r="G246" s="577">
        <f>+INPUT!BD151</f>
        <v>2.1861336664584599</v>
      </c>
      <c r="H246" s="580">
        <f>+INPUT!BE151</f>
        <v>-3834</v>
      </c>
      <c r="I246" s="577">
        <f>+INPUT!BF151</f>
        <v>-15.36423841059603</v>
      </c>
      <c r="J246" s="580">
        <f>+INPUT!BG151</f>
        <v>-3433</v>
      </c>
      <c r="K246" s="577">
        <f>+INPUT!BH151</f>
        <v>-37.250959605190999</v>
      </c>
      <c r="L246" s="580">
        <f>+INPUT!BI151</f>
        <v>-3203</v>
      </c>
      <c r="M246" s="577">
        <f>+INPUT!BJ151</f>
        <v>-6.1254396248534562</v>
      </c>
      <c r="N246" s="580">
        <f>+INPUT!BK151</f>
        <v>-3309</v>
      </c>
      <c r="O246" s="577">
        <f>+INPUT!BL151</f>
        <v>1.1308068459657648</v>
      </c>
      <c r="P246" s="580">
        <f>+INPUT!BM151</f>
        <v>-3804</v>
      </c>
      <c r="Q246" s="577">
        <f>+INPUT!BN151</f>
        <v>-0.78247261345852337</v>
      </c>
      <c r="R246" s="580">
        <f>+INPUT!BO151</f>
        <v>-3933</v>
      </c>
      <c r="S246" s="577">
        <f>+INPUT!BP151</f>
        <v>14.564520827264786</v>
      </c>
      <c r="T246" s="580">
        <f>+INPUT!BQ151</f>
        <v>-4366</v>
      </c>
      <c r="U246" s="577">
        <f>+INPUT!BR151</f>
        <v>36.30970964720575</v>
      </c>
      <c r="V246" s="580">
        <f>+INPUT!BS151</f>
        <v>-2883</v>
      </c>
      <c r="W246" s="577">
        <f>+INPUT!BT151</f>
        <v>-12.873980054397094</v>
      </c>
      <c r="X246" s="580">
        <f>+INPUT!BU151</f>
        <v>-3869</v>
      </c>
      <c r="Y246" s="577">
        <f>+INPUT!BV151</f>
        <v>1.708727655099878</v>
      </c>
      <c r="Z246" s="580">
        <f>+INPUT!BW151</f>
        <v>-4231</v>
      </c>
      <c r="AA246" s="577">
        <f>+INPUT!BX151</f>
        <v>7.576913297737093</v>
      </c>
      <c r="AB246" s="580">
        <f>+INPUT!BY151</f>
        <v>-3803</v>
      </c>
      <c r="AC246" s="577">
        <f>+INPUT!BZ151</f>
        <v>-12.895098488318823</v>
      </c>
      <c r="AD246" s="580">
        <f>+INPUT!CA151</f>
        <v>-3287</v>
      </c>
      <c r="AE246" s="577">
        <f>+INPUT!CB151</f>
        <v>14.013180714533476</v>
      </c>
      <c r="AF246" s="580">
        <f>+INPUT!CC151</f>
        <v>-3117</v>
      </c>
      <c r="AG246" s="577">
        <f>+INPUT!CD151</f>
        <v>-19.436546911346596</v>
      </c>
      <c r="AH246" s="580">
        <f>+INPUT!CE151</f>
        <v>-4500</v>
      </c>
      <c r="AI246" s="577">
        <f>+INPUT!CF151</f>
        <v>6.3578350271803288</v>
      </c>
      <c r="AJ246" s="580">
        <f>+INPUT!CG151</f>
        <v>-3751</v>
      </c>
      <c r="AK246" s="577">
        <f>+INPUT!CH151</f>
        <v>-1.3673415724427969</v>
      </c>
      <c r="AL246" s="580">
        <f>+INPUT!CI151</f>
        <v>-3167</v>
      </c>
      <c r="AM246" s="577">
        <f>+INPUT!CJ151</f>
        <v>-3.6507453605111095</v>
      </c>
      <c r="AN246" s="580">
        <f>+INPUT!CK151</f>
        <v>-5386</v>
      </c>
      <c r="AO246" s="577">
        <f>+INPUT!CL151</f>
        <v>72.79435354507541</v>
      </c>
      <c r="AP246" s="580">
        <f>+INPUT!CM151</f>
        <v>-4927</v>
      </c>
      <c r="AQ246" s="577">
        <f>+INPUT!CN151</f>
        <v>9.48888888888888</v>
      </c>
      <c r="AR246" s="580">
        <f>+INPUT!CO151</f>
        <v>-4214</v>
      </c>
      <c r="AS246" s="577">
        <f>+INPUT!CP151</f>
        <v>12.343375099973343</v>
      </c>
      <c r="AT246" s="580">
        <f>+INPUT!CQ151</f>
        <v>-4126</v>
      </c>
      <c r="AU246" s="577">
        <f>+INPUT!CR151</f>
        <v>30.281023050205249</v>
      </c>
      <c r="AV246" s="580">
        <f>+INPUT!CS151</f>
        <v>-5893</v>
      </c>
      <c r="AW246" s="577">
        <f>+INPUT!CT151</f>
        <v>9.4132937244708614</v>
      </c>
      <c r="AX246" s="580">
        <f>+INPUT!CU151</f>
        <v>-7103</v>
      </c>
      <c r="AY246" s="577">
        <f>+INPUT!CV151</f>
        <v>44.16480617008321</v>
      </c>
      <c r="AZ246" s="580">
        <f>+INPUT!CW151</f>
        <v>-3671</v>
      </c>
      <c r="BA246" s="577">
        <f>+INPUT!CX151</f>
        <v>-12.885619364024677</v>
      </c>
      <c r="BB246" s="580">
        <f>+INPUT!CY151</f>
        <v>-4063</v>
      </c>
      <c r="BC246" s="577">
        <f>+INPUT!CZ151</f>
        <v>-1.5269025690741671</v>
      </c>
      <c r="BD246" s="580">
        <f>+INPUT!DA151</f>
        <v>-4386</v>
      </c>
      <c r="BE246" s="577">
        <f>+INPUT!DB151</f>
        <v>-25.572713388766331</v>
      </c>
      <c r="BF246" s="580">
        <f>+INPUT!DC151</f>
        <v>-4676</v>
      </c>
      <c r="BG246" s="577">
        <f>+INPUT!DD151</f>
        <v>-34.168661129100371</v>
      </c>
      <c r="BH246" s="580">
        <f>+INPUT!DE151</f>
        <v>-3622</v>
      </c>
      <c r="BI246" s="577">
        <f>+INPUT!DF151</f>
        <v>-1.3347861618087791</v>
      </c>
      <c r="BJ246" s="580">
        <f>+INPUT!DG151</f>
        <v>-4627</v>
      </c>
      <c r="BK246" s="577">
        <f>+INPUT!DH151</f>
        <v>13.88136844696038</v>
      </c>
      <c r="BL246" s="580">
        <f>+INPUT!DI151</f>
        <v>-5786</v>
      </c>
      <c r="BM246" s="577">
        <f>+INPUT!DJ151</f>
        <v>31.919744642042872</v>
      </c>
      <c r="BN246" s="580">
        <f>+INPUT!DK151</f>
        <v>-6003</v>
      </c>
      <c r="BO246" s="577">
        <f>+INPUT!DL151</f>
        <v>28.378956372968332</v>
      </c>
      <c r="BP246" s="580">
        <f>+INPUT!DM151</f>
        <v>-6066</v>
      </c>
      <c r="BQ246" s="577">
        <f>+INPUT!DN151</f>
        <v>67.476532302595245</v>
      </c>
      <c r="BR246" s="580">
        <f>+INPUT!DO151</f>
        <v>-4221</v>
      </c>
      <c r="BS246" s="577">
        <f>+INPUT!DP151</f>
        <v>-8.7745839636913701</v>
      </c>
      <c r="BT246" s="580">
        <f>+INPUT!DQ151</f>
        <v>-6311</v>
      </c>
      <c r="BU246" s="577">
        <f>+INPUT!DR151</f>
        <v>9.0736259937780801</v>
      </c>
      <c r="BV246" s="580">
        <f>+INPUT!DS151</f>
        <v>-6229</v>
      </c>
      <c r="BW246" s="577">
        <f>+INPUT!DT151</f>
        <v>3.7647842745294042</v>
      </c>
      <c r="BX246" s="580">
        <f>+INPUT!DU151</f>
        <v>-4683</v>
      </c>
      <c r="BY246" s="577">
        <f>+INPUT!DV151</f>
        <v>-22.799208704253218</v>
      </c>
      <c r="BZ246" s="580">
        <f>+INPUT!DW151</f>
        <v>-5072</v>
      </c>
      <c r="CA246" s="577">
        <f>+INPUT!DX151</f>
        <v>20.16109926557688</v>
      </c>
      <c r="CB246" s="580">
        <f>+INPUT!DY151</f>
        <v>-5575</v>
      </c>
      <c r="CC246" s="577">
        <f>+INPUT!DZ151</f>
        <v>-11.662177151006176</v>
      </c>
      <c r="CD246" s="580">
        <f>+INPUT!EA151</f>
        <v>-5286</v>
      </c>
      <c r="CE246" s="577">
        <f>+INPUT!EB151</f>
        <v>-15.138866591748283</v>
      </c>
      <c r="CF246" s="580">
        <f>+INPUT!EC151</f>
        <v>-4513</v>
      </c>
      <c r="CG246" s="577">
        <f>+INPUT!ED151</f>
        <v>-3.6301516122143909</v>
      </c>
      <c r="CH246" s="580">
        <f>+INPUT!EE151</f>
        <v>-5013</v>
      </c>
      <c r="CI246" s="577">
        <f>+INPUT!EF151</f>
        <v>-1.1632492113564581</v>
      </c>
      <c r="CJ246" s="580">
        <f>+INPUT!EG151</f>
        <v>-5315</v>
      </c>
      <c r="CK246" s="577">
        <f>+INPUT!EH151</f>
        <v>-4.6636771300448459</v>
      </c>
      <c r="CL246" s="580">
        <f>+INPUT!EI151</f>
        <v>-6690</v>
      </c>
      <c r="CM246" s="577">
        <f>+INPUT!EJ151</f>
        <v>26.560726447219068</v>
      </c>
      <c r="CN246" s="580">
        <f>+INPUT!EK151</f>
        <v>-5786</v>
      </c>
      <c r="CO246" s="577">
        <f>+INPUT!EL151</f>
        <v>28.207400842011964</v>
      </c>
      <c r="CP246" s="580">
        <f>+INPUT!EM151</f>
        <v>-5132</v>
      </c>
      <c r="CQ246" s="577">
        <f>+INPUT!EN151</f>
        <v>2.3738280470775948</v>
      </c>
      <c r="CR246" s="580">
        <f>+INPUT!EO151</f>
        <v>-7203</v>
      </c>
      <c r="CS246" s="577">
        <f>+INPUT!EP151</f>
        <v>35.522107243650026</v>
      </c>
      <c r="CT246" s="580">
        <f>+INPUT!EQ151</f>
        <v>-7625.02</v>
      </c>
      <c r="CU246" s="577">
        <f>+INPUT!ER151</f>
        <v>13.976382660687591</v>
      </c>
      <c r="CV246" s="580">
        <f>+INPUT!ES151</f>
        <v>-6417.8771881727125</v>
      </c>
      <c r="CW246" s="577">
        <f>+INPUT!ET151</f>
        <v>10.920794818055882</v>
      </c>
      <c r="CX246" s="580">
        <f>+INPUT!EU151</f>
        <v>-5609.9587777239449</v>
      </c>
      <c r="CY246" s="577">
        <f>+INPUT!EV151</f>
        <v>9.3133043204198174</v>
      </c>
      <c r="CZ246" s="580">
        <f>+INPUT!EW151</f>
        <v>-6275.7077580828227</v>
      </c>
      <c r="DA246" s="577">
        <f>+INPUT!EX151</f>
        <v>-12.873694875984683</v>
      </c>
      <c r="DB246" s="556"/>
      <c r="DC246" s="580">
        <f>+INPUT!FP151</f>
        <v>-13918</v>
      </c>
      <c r="DD246" s="577">
        <f>+INPUT!FQ151</f>
        <v>6.3498127913196356</v>
      </c>
      <c r="DE246" s="580">
        <f>+INPUT!FR151</f>
        <v>-15989</v>
      </c>
      <c r="DF246" s="577">
        <f>+INPUT!FS151</f>
        <v>14.880011495904583</v>
      </c>
      <c r="DG246" s="580">
        <f>+INPUT!FT151</f>
        <v>-13749</v>
      </c>
      <c r="DH246" s="577">
        <f>+INPUT!FU151</f>
        <v>-14.009631621739942</v>
      </c>
      <c r="DI246" s="580">
        <f>+INPUT!FV151</f>
        <v>-15051</v>
      </c>
      <c r="DJ246" s="577">
        <f>+INPUT!FW151</f>
        <v>9.4697796203360127</v>
      </c>
      <c r="DK246" s="580">
        <f>+INPUT!FX151</f>
        <v>-14438</v>
      </c>
      <c r="DL246" s="577">
        <f>+INPUT!FY151</f>
        <v>-4.0728190817885803</v>
      </c>
      <c r="DM246" s="580">
        <f>+INPUT!FZ151</f>
        <v>-16804</v>
      </c>
      <c r="DN246" s="577">
        <f>+INPUT!GA151</f>
        <v>16.38731126194763</v>
      </c>
      <c r="DO246" s="580">
        <f>+INPUT!GB151</f>
        <v>-19160</v>
      </c>
      <c r="DP246" s="577">
        <f>+INPUT!GC151</f>
        <v>14.020471316353252</v>
      </c>
      <c r="DQ246" s="580">
        <f>+INPUT!GD151</f>
        <v>-19223</v>
      </c>
      <c r="DR246" s="577">
        <f>+INPUT!GE151</f>
        <v>0.32881002087682987</v>
      </c>
      <c r="DS246" s="580">
        <f>+INPUT!GF151</f>
        <v>-18711</v>
      </c>
      <c r="DT246" s="577">
        <f>+INPUT!GG151</f>
        <v>-2.6634760443219108</v>
      </c>
      <c r="DU246" s="580">
        <f>+INPUT!GH151</f>
        <v>-22601</v>
      </c>
      <c r="DV246" s="577">
        <f>+INPUT!GI151</f>
        <v>20.789909678798566</v>
      </c>
      <c r="DW246" s="580">
        <f>+INPUT!GJ151</f>
        <v>-21559</v>
      </c>
      <c r="DX246" s="577">
        <f>+INPUT!GK151</f>
        <v>-4.6104154683421115</v>
      </c>
      <c r="DY246" s="580">
        <f>+INPUT!GL151</f>
        <v>-20127</v>
      </c>
      <c r="DZ246" s="577">
        <f>+INPUT!GM151</f>
        <v>-6.6422375805927913</v>
      </c>
      <c r="EA246" s="580">
        <f>+INPUT!GN151</f>
        <v>-24811</v>
      </c>
      <c r="EB246" s="577">
        <f>+INPUT!GO151</f>
        <v>23.272221394147181</v>
      </c>
      <c r="EC246" s="580">
        <f>+INPUT!GP151</f>
        <v>-25928.563723979478</v>
      </c>
      <c r="ED246" s="577">
        <f>+INPUT!GQ151</f>
        <v>4.5043074603179178</v>
      </c>
      <c r="EE246" s="580">
        <f>+INPUT!GR151</f>
        <v>-26741.858446482507</v>
      </c>
      <c r="EF246" s="577">
        <f>+INPUT!GS151</f>
        <v>3.1366747929461098</v>
      </c>
      <c r="EG246" s="580">
        <f>+INPUT!GT151</f>
        <v>-27945.927777833178</v>
      </c>
      <c r="EH246" s="577">
        <f>+INPUT!GU151</f>
        <v>4.5025641496096114</v>
      </c>
      <c r="EI246" s="580">
        <f>+INPUT!GV151</f>
        <v>-29204.211103233691</v>
      </c>
      <c r="EJ246" s="577">
        <f>+INPUT!GW151</f>
        <v>4.5025641496096114</v>
      </c>
      <c r="EK246" s="580">
        <f>+INPUT!GX151</f>
        <v>-30519.149442544207</v>
      </c>
      <c r="EL246" s="577">
        <f>+INPUT!GY151</f>
        <v>4.5025641496096398</v>
      </c>
      <c r="EM246" s="577">
        <f>+INPUT!GZ151</f>
        <v>4.2282945013330187</v>
      </c>
    </row>
    <row r="247" spans="1:144" ht="12.75" hidden="1" customHeight="1" outlineLevel="1" x14ac:dyDescent="0.2">
      <c r="A247" s="609" t="str">
        <f>+INPUT!B152</f>
        <v xml:space="preserve">  Market Performance</v>
      </c>
      <c r="B247" s="580">
        <f>+INPUT!AY152</f>
        <v>3559</v>
      </c>
      <c r="C247" s="577" t="str">
        <f>+INPUT!AZ152</f>
        <v>NM</v>
      </c>
      <c r="D247" s="580">
        <f>+INPUT!BA152</f>
        <v>-1043</v>
      </c>
      <c r="E247" s="577" t="str">
        <f>+INPUT!BB152</f>
        <v>NM</v>
      </c>
      <c r="F247" s="580">
        <f>+INPUT!BC152</f>
        <v>2185</v>
      </c>
      <c r="G247" s="577">
        <f>+INPUT!BD152</f>
        <v>-19.044090403853275</v>
      </c>
      <c r="H247" s="580">
        <f>+INPUT!BE152</f>
        <v>4177</v>
      </c>
      <c r="I247" s="577" t="str">
        <f>+INPUT!BF152</f>
        <v>NM</v>
      </c>
      <c r="J247" s="580">
        <f>+INPUT!BG152</f>
        <v>1558</v>
      </c>
      <c r="K247" s="577" t="str">
        <f>+INPUT!BH152</f>
        <v>NM</v>
      </c>
      <c r="L247" s="580">
        <f>+INPUT!BI152</f>
        <v>4466</v>
      </c>
      <c r="M247" s="577" t="str">
        <f>+INPUT!BJ152</f>
        <v>NM</v>
      </c>
      <c r="N247" s="580">
        <f>+INPUT!BK152</f>
        <v>1658</v>
      </c>
      <c r="O247" s="577">
        <f>+INPUT!BL152</f>
        <v>-24.118993135011451</v>
      </c>
      <c r="P247" s="580">
        <f>+INPUT!BM152</f>
        <v>6137</v>
      </c>
      <c r="Q247" s="577">
        <f>+INPUT!BN152</f>
        <v>46.92362939909026</v>
      </c>
      <c r="R247" s="580">
        <f>+INPUT!BO152</f>
        <v>-5785</v>
      </c>
      <c r="S247" s="577" t="str">
        <f>+INPUT!BP152</f>
        <v>NM</v>
      </c>
      <c r="T247" s="580">
        <f>+INPUT!BQ152</f>
        <v>-307</v>
      </c>
      <c r="U247" s="577" t="str">
        <f>+INPUT!BR152</f>
        <v>NM</v>
      </c>
      <c r="V247" s="580">
        <f>+INPUT!BS152</f>
        <v>-6847</v>
      </c>
      <c r="W247" s="577" t="str">
        <f>+INPUT!BT152</f>
        <v>NM</v>
      </c>
      <c r="X247" s="580">
        <f>+INPUT!BU152</f>
        <v>-3405</v>
      </c>
      <c r="Y247" s="577" t="str">
        <f>+INPUT!BV152</f>
        <v>NM</v>
      </c>
      <c r="Z247" s="580">
        <f>+INPUT!BW152</f>
        <v>-3837</v>
      </c>
      <c r="AA247" s="577">
        <f>+INPUT!BX152</f>
        <v>-33.673292999135697</v>
      </c>
      <c r="AB247" s="580">
        <f>+INPUT!BY152</f>
        <v>8704</v>
      </c>
      <c r="AC247" s="577" t="str">
        <f>+INPUT!BZ152</f>
        <v>NM</v>
      </c>
      <c r="AD247" s="580">
        <f>+INPUT!CA152</f>
        <v>9304</v>
      </c>
      <c r="AE247" s="577" t="str">
        <f>+INPUT!CB152</f>
        <v>NM</v>
      </c>
      <c r="AF247" s="580">
        <f>+INPUT!CC152</f>
        <v>3686</v>
      </c>
      <c r="AG247" s="577" t="str">
        <f>+INPUT!CD152</f>
        <v>NM</v>
      </c>
      <c r="AH247" s="580">
        <f>+INPUT!CE152</f>
        <v>3697</v>
      </c>
      <c r="AI247" s="577" t="str">
        <f>+INPUT!CF152</f>
        <v>NM</v>
      </c>
      <c r="AJ247" s="580">
        <f>+INPUT!CG152</f>
        <v>-6257</v>
      </c>
      <c r="AK247" s="577" t="str">
        <f>+INPUT!CH152</f>
        <v>NM</v>
      </c>
      <c r="AL247" s="580">
        <f>+INPUT!CI152</f>
        <v>7984</v>
      </c>
      <c r="AM247" s="577">
        <f>+INPUT!CJ152</f>
        <v>-14.187446259673266</v>
      </c>
      <c r="AN247" s="580">
        <f>+INPUT!CK152</f>
        <v>7082</v>
      </c>
      <c r="AO247" s="577">
        <f>+INPUT!CL152</f>
        <v>92.132392837764513</v>
      </c>
      <c r="AP247" s="580">
        <f>+INPUT!CM152</f>
        <v>4743</v>
      </c>
      <c r="AQ247" s="577">
        <f>+INPUT!CN152</f>
        <v>28.293210711387616</v>
      </c>
      <c r="AR247" s="580">
        <f>+INPUT!CO152</f>
        <v>689</v>
      </c>
      <c r="AS247" s="577" t="str">
        <f>+INPUT!CP152</f>
        <v>NM</v>
      </c>
      <c r="AT247" s="580">
        <f>+INPUT!CQ152</f>
        <v>-12222</v>
      </c>
      <c r="AU247" s="577" t="str">
        <f>+INPUT!CR152</f>
        <v>NM</v>
      </c>
      <c r="AV247" s="580">
        <f>+INPUT!CS152</f>
        <v>7246</v>
      </c>
      <c r="AW247" s="577">
        <f>+INPUT!CT152</f>
        <v>2.3157300197684378</v>
      </c>
      <c r="AX247" s="580">
        <f>+INPUT!CU152</f>
        <v>9018</v>
      </c>
      <c r="AY247" s="577">
        <f>+INPUT!CV152</f>
        <v>90.132827324478171</v>
      </c>
      <c r="AZ247" s="580">
        <f>+INPUT!CW152</f>
        <v>-4278</v>
      </c>
      <c r="BA247" s="577" t="str">
        <f>+INPUT!CX152</f>
        <v>NM</v>
      </c>
      <c r="BB247" s="580">
        <f>+INPUT!CY152</f>
        <v>5114</v>
      </c>
      <c r="BC247" s="577" t="str">
        <f>+INPUT!CZ152</f>
        <v>NM</v>
      </c>
      <c r="BD247" s="580">
        <f>+INPUT!DA152</f>
        <v>1954</v>
      </c>
      <c r="BE247" s="577" t="str">
        <f>+INPUT!DB152</f>
        <v>NM</v>
      </c>
      <c r="BF247" s="580">
        <f>+INPUT!DC152</f>
        <v>6972</v>
      </c>
      <c r="BG247" s="577">
        <f>+INPUT!DD152</f>
        <v>-22.687957418496339</v>
      </c>
      <c r="BH247" s="580">
        <f>+INPUT!DE152</f>
        <v>1283</v>
      </c>
      <c r="BI247" s="577" t="str">
        <f>+INPUT!DF152</f>
        <v>NM</v>
      </c>
      <c r="BJ247" s="580">
        <f>+INPUT!DG152</f>
        <v>6798</v>
      </c>
      <c r="BK247" s="577">
        <f>+INPUT!DH152</f>
        <v>32.929213922565509</v>
      </c>
      <c r="BL247" s="580">
        <f>+INPUT!DI152</f>
        <v>8078</v>
      </c>
      <c r="BM247" s="577" t="str">
        <f>+INPUT!DJ152</f>
        <v>NM</v>
      </c>
      <c r="BN247" s="580">
        <f>+INPUT!DK152</f>
        <v>2064</v>
      </c>
      <c r="BO247" s="577" t="str">
        <f>+INPUT!DL152</f>
        <v>NM</v>
      </c>
      <c r="BP247" s="580">
        <f>+INPUT!DM152</f>
        <v>4965</v>
      </c>
      <c r="BQ247" s="577" t="str">
        <f>+INPUT!DN152</f>
        <v>NM</v>
      </c>
      <c r="BR247" s="580">
        <f>+INPUT!DO152</f>
        <v>-2011</v>
      </c>
      <c r="BS247" s="577" t="str">
        <f>+INPUT!DP152</f>
        <v>NM</v>
      </c>
      <c r="BT247" s="580">
        <f>+INPUT!DQ152</f>
        <v>4343</v>
      </c>
      <c r="BU247" s="577">
        <f>+INPUT!DR152</f>
        <v>-46.236692250557063</v>
      </c>
      <c r="BV247" s="580">
        <f>+INPUT!DS152</f>
        <v>3864</v>
      </c>
      <c r="BW247" s="577">
        <f>+INPUT!DT152</f>
        <v>87.209302325581405</v>
      </c>
      <c r="BX247" s="580">
        <f>+INPUT!DU152</f>
        <v>305</v>
      </c>
      <c r="BY247" s="577" t="str">
        <f>+INPUT!DV152</f>
        <v>NM</v>
      </c>
      <c r="BZ247" s="580">
        <f>+INPUT!DW152</f>
        <v>-8642</v>
      </c>
      <c r="CA247" s="577" t="str">
        <f>+INPUT!DX152</f>
        <v>NM</v>
      </c>
      <c r="CB247" s="580">
        <f>+INPUT!DY152</f>
        <v>5113</v>
      </c>
      <c r="CC247" s="577">
        <f>+INPUT!DZ152</f>
        <v>17.729679944738663</v>
      </c>
      <c r="CD247" s="580">
        <f>+INPUT!EA152</f>
        <v>622</v>
      </c>
      <c r="CE247" s="577" t="str">
        <f>+INPUT!EB152</f>
        <v>NM</v>
      </c>
      <c r="CF247" s="580">
        <f>+INPUT!EC152</f>
        <v>2868</v>
      </c>
      <c r="CG247" s="577" t="str">
        <f>+INPUT!ED152</f>
        <v>NM</v>
      </c>
      <c r="CH247" s="580">
        <f>+INPUT!EE152</f>
        <v>6077</v>
      </c>
      <c r="CI247" s="577" t="str">
        <f>+INPUT!EF152</f>
        <v>NM</v>
      </c>
      <c r="CJ247" s="580">
        <f>+INPUT!EG152</f>
        <v>2473</v>
      </c>
      <c r="CK247" s="577" t="str">
        <f>+INPUT!EH152</f>
        <v>NM</v>
      </c>
      <c r="CL247" s="580">
        <f>+INPUT!EI152</f>
        <v>7552</v>
      </c>
      <c r="CM247" s="577" t="str">
        <f>+INPUT!EJ152</f>
        <v>NM</v>
      </c>
      <c r="CN247" s="580">
        <f>+INPUT!EK152</f>
        <v>5346</v>
      </c>
      <c r="CO247" s="577">
        <f>+INPUT!EL152</f>
        <v>86.40167364016736</v>
      </c>
      <c r="CP247" s="580">
        <f>+INPUT!EM152</f>
        <v>6651</v>
      </c>
      <c r="CQ247" s="577">
        <f>+INPUT!EN152</f>
        <v>9.4454500575942006</v>
      </c>
      <c r="CR247" s="580">
        <f>+INPUT!EO152</f>
        <v>7549</v>
      </c>
      <c r="CS247" s="577" t="str">
        <f>+INPUT!EP152</f>
        <v>NM</v>
      </c>
      <c r="CT247" s="580">
        <f>+INPUT!EQ152</f>
        <v>-1531.9177028104507</v>
      </c>
      <c r="CU247" s="577" t="str">
        <f>+INPUT!ER152</f>
        <v>NM</v>
      </c>
      <c r="CV247" s="580">
        <f>+INPUT!ES152</f>
        <v>2539.7166534471644</v>
      </c>
      <c r="CW247" s="577" t="str">
        <f>+INPUT!ET152</f>
        <v>NM</v>
      </c>
      <c r="CX247" s="580">
        <f>+INPUT!EU152</f>
        <v>2570.5296309885657</v>
      </c>
      <c r="CY247" s="577" t="str">
        <f>+INPUT!EV152</f>
        <v>NM</v>
      </c>
      <c r="CZ247" s="580">
        <f>+INPUT!EW152</f>
        <v>2601.7164453450619</v>
      </c>
      <c r="DA247" s="577" t="str">
        <f>+INPUT!EX152</f>
        <v>NM</v>
      </c>
      <c r="DB247" s="556"/>
      <c r="DC247" s="580">
        <f>+INPUT!FP152</f>
        <v>5406</v>
      </c>
      <c r="DD247" s="577">
        <f>+INPUT!FQ152</f>
        <v>-3.3261802575107282</v>
      </c>
      <c r="DE247" s="580">
        <f>+INPUT!FR152</f>
        <v>8878</v>
      </c>
      <c r="DF247" s="577">
        <f>+INPUT!FS152</f>
        <v>64.224935257121729</v>
      </c>
      <c r="DG247" s="580">
        <f>+INPUT!FT152</f>
        <v>13819</v>
      </c>
      <c r="DH247" s="577">
        <f>+INPUT!FU152</f>
        <v>55.65442667267402</v>
      </c>
      <c r="DI247" s="580">
        <f>+INPUT!FV152</f>
        <v>-16344</v>
      </c>
      <c r="DJ247" s="577" t="str">
        <f>+INPUT!FW152</f>
        <v>NM</v>
      </c>
      <c r="DK247" s="580">
        <f>+INPUT!FX152</f>
        <v>17857</v>
      </c>
      <c r="DL247" s="577" t="str">
        <f>+INPUT!FY152</f>
        <v>NM</v>
      </c>
      <c r="DM247" s="580">
        <f>+INPUT!FZ152</f>
        <v>12506</v>
      </c>
      <c r="DN247" s="577">
        <f>+INPUT!GA152</f>
        <v>-29.965839726717817</v>
      </c>
      <c r="DO247" s="580">
        <f>+INPUT!GB152</f>
        <v>456</v>
      </c>
      <c r="DP247" s="577" t="str">
        <f>+INPUT!GC152</f>
        <v>NM</v>
      </c>
      <c r="DQ247" s="580">
        <f>+INPUT!GD152</f>
        <v>11808</v>
      </c>
      <c r="DR247" s="577" t="str">
        <f>+INPUT!GE152</f>
        <v>NM</v>
      </c>
      <c r="DS247" s="580">
        <f>+INPUT!GF152</f>
        <v>23131</v>
      </c>
      <c r="DT247" s="577">
        <f>+INPUT!GG152</f>
        <v>95.892615176151764</v>
      </c>
      <c r="DU247" s="580">
        <f>+INPUT!GH152</f>
        <v>9361</v>
      </c>
      <c r="DV247" s="577" t="str">
        <f>+INPUT!GI152</f>
        <v>NM</v>
      </c>
      <c r="DW247" s="580">
        <f>+INPUT!GJ152</f>
        <v>640</v>
      </c>
      <c r="DX247" s="577" t="str">
        <f>+INPUT!GK152</f>
        <v>NM</v>
      </c>
      <c r="DY247" s="580">
        <f>+INPUT!GL152</f>
        <v>12040</v>
      </c>
      <c r="DZ247" s="577" t="str">
        <f>+INPUT!GM152</f>
        <v>NM</v>
      </c>
      <c r="EA247" s="580">
        <f>+INPUT!GN152</f>
        <v>27098</v>
      </c>
      <c r="EB247" s="577" t="str">
        <f>+INPUT!GO152</f>
        <v>NM</v>
      </c>
      <c r="EC247" s="580">
        <f>+INPUT!GP152</f>
        <v>6180.0450269703415</v>
      </c>
      <c r="ED247" s="577" t="str">
        <f>+INPUT!GQ152</f>
        <v>NM</v>
      </c>
      <c r="EE247" s="580">
        <f>+INPUT!GR152</f>
        <v>9679.0056372887375</v>
      </c>
      <c r="EF247" s="577">
        <f>+INPUT!GS152</f>
        <v>56.617073096532124</v>
      </c>
      <c r="EG247" s="580">
        <f>+INPUT!GT152</f>
        <v>10114.809075151994</v>
      </c>
      <c r="EH247" s="577">
        <f>+INPUT!GU152</f>
        <v>4.5025641496096114</v>
      </c>
      <c r="EI247" s="580">
        <f>+INPUT!GV152</f>
        <v>10570.234842371246</v>
      </c>
      <c r="EJ247" s="577">
        <f>+INPUT!GW152</f>
        <v>4.5025641496096114</v>
      </c>
      <c r="EK247" s="580">
        <f>+INPUT!GX152</f>
        <v>11046.166446913401</v>
      </c>
      <c r="EL247" s="577">
        <f>+INPUT!GY152</f>
        <v>4.5025641496096398</v>
      </c>
      <c r="EM247" s="577">
        <f>+INPUT!GZ152</f>
        <v>-16.429140472468575</v>
      </c>
    </row>
    <row r="248" spans="1:144" ht="12.75" hidden="1" customHeight="1" outlineLevel="1" x14ac:dyDescent="0.2">
      <c r="A248" s="609" t="str">
        <f>+INPUT!B153</f>
        <v>Ending Assets</v>
      </c>
      <c r="B248" s="580">
        <f>+INPUT!AY153</f>
        <v>91854</v>
      </c>
      <c r="C248" s="577">
        <f>+INPUT!AZ153</f>
        <v>9.4451130148819828</v>
      </c>
      <c r="D248" s="580">
        <f>+INPUT!BA153</f>
        <v>91537</v>
      </c>
      <c r="E248" s="577">
        <f>+INPUT!BB153</f>
        <v>7.2728551171321101</v>
      </c>
      <c r="F248" s="580">
        <f>+INPUT!BC153</f>
        <v>93364</v>
      </c>
      <c r="G248" s="577">
        <f>+INPUT!BD153</f>
        <v>5.6907071781925964</v>
      </c>
      <c r="H248" s="580">
        <f>+INPUT!BE153</f>
        <v>97430</v>
      </c>
      <c r="I248" s="577">
        <f>+INPUT!BF153</f>
        <v>10.233636929343206</v>
      </c>
      <c r="J248" s="580">
        <f>+INPUT!BG153</f>
        <v>99558</v>
      </c>
      <c r="K248" s="577">
        <f>+INPUT!BH153</f>
        <v>8.3872232020380153</v>
      </c>
      <c r="L248" s="580">
        <f>+INPUT!BI153</f>
        <v>104033</v>
      </c>
      <c r="M248" s="577">
        <f>+INPUT!BJ153</f>
        <v>13.651310399073594</v>
      </c>
      <c r="N248" s="580">
        <f>+INPUT!BK153</f>
        <v>105601</v>
      </c>
      <c r="O248" s="577">
        <f>+INPUT!BL153</f>
        <v>13.106764920097675</v>
      </c>
      <c r="P248" s="580">
        <f>+INPUT!BM153</f>
        <v>112192</v>
      </c>
      <c r="Q248" s="577">
        <f>+INPUT!BN153</f>
        <v>15.151390742071243</v>
      </c>
      <c r="R248" s="580">
        <f>+INPUT!BO153</f>
        <v>107060</v>
      </c>
      <c r="S248" s="577">
        <f>+INPUT!BP153</f>
        <v>7.535306052753171</v>
      </c>
      <c r="T248" s="580">
        <f>+INPUT!BQ153</f>
        <v>106917</v>
      </c>
      <c r="U248" s="577">
        <f>+INPUT!BR153</f>
        <v>2.772197283554263</v>
      </c>
      <c r="V248" s="580">
        <f>+INPUT!BS153</f>
        <v>100463</v>
      </c>
      <c r="W248" s="577">
        <f>+INPUT!BT153</f>
        <v>-4.8654842283690556</v>
      </c>
      <c r="X248" s="580">
        <f>+INPUT!BU153</f>
        <v>99738</v>
      </c>
      <c r="Y248" s="577">
        <f>+INPUT!BV153</f>
        <v>-11.10061323445521</v>
      </c>
      <c r="Z248" s="580">
        <f>+INPUT!BW153</f>
        <v>102159</v>
      </c>
      <c r="AA248" s="577">
        <f>+INPUT!BX153</f>
        <v>-4.5778068372874969</v>
      </c>
      <c r="AB248" s="580">
        <f>+INPUT!BY153</f>
        <v>110950</v>
      </c>
      <c r="AC248" s="577">
        <f>+INPUT!BZ153</f>
        <v>3.7720848882778313</v>
      </c>
      <c r="AD248" s="580">
        <f>+INPUT!CA153</f>
        <v>121756</v>
      </c>
      <c r="AE248" s="577">
        <f>+INPUT!CB153</f>
        <v>21.194867762260742</v>
      </c>
      <c r="AF248" s="580">
        <f>+INPUT!CC153</f>
        <v>126345</v>
      </c>
      <c r="AG248" s="577">
        <f>+INPUT!CD153</f>
        <v>26.676893460867475</v>
      </c>
      <c r="AH248" s="580">
        <f>+INPUT!CE153</f>
        <v>131147</v>
      </c>
      <c r="AI248" s="577">
        <f>+INPUT!CF153</f>
        <v>28.375375639933822</v>
      </c>
      <c r="AJ248" s="580">
        <f>+INPUT!CG153</f>
        <v>125176</v>
      </c>
      <c r="AK248" s="577">
        <f>+INPUT!CH153</f>
        <v>12.821991888237932</v>
      </c>
      <c r="AL248" s="580">
        <f>+INPUT!CI153</f>
        <v>135248</v>
      </c>
      <c r="AM248" s="577">
        <f>+INPUT!CJ153</f>
        <v>11.081178750944517</v>
      </c>
      <c r="AN248" s="580">
        <f>+INPUT!CK153</f>
        <v>141313</v>
      </c>
      <c r="AO248" s="577">
        <f>+INPUT!CL153</f>
        <v>11.846927064782946</v>
      </c>
      <c r="AP248" s="580">
        <f>+INPUT!CM153</f>
        <v>145977</v>
      </c>
      <c r="AQ248" s="577">
        <f>+INPUT!CN153</f>
        <v>11.307921645176776</v>
      </c>
      <c r="AR248" s="580">
        <f>+INPUT!CO153</f>
        <v>146580</v>
      </c>
      <c r="AS248" s="577">
        <f>+INPUT!CP153</f>
        <v>17.099124432798618</v>
      </c>
      <c r="AT248" s="580">
        <f>+INPUT!CQ153</f>
        <v>134198</v>
      </c>
      <c r="AU248" s="577">
        <f>+INPUT!CR153</f>
        <v>-0.77635159115106944</v>
      </c>
      <c r="AV248" s="580">
        <f>+INPUT!CS153</f>
        <v>139430</v>
      </c>
      <c r="AW248" s="577">
        <f>+INPUT!CT153</f>
        <v>-1.3325030251993866</v>
      </c>
      <c r="AX248" s="580">
        <f>+INPUT!CU153</f>
        <v>145991</v>
      </c>
      <c r="AY248" s="577">
        <f>+INPUT!CV153</f>
        <v>9.5905519362560199E-3</v>
      </c>
      <c r="AZ248" s="580">
        <f>+INPUT!CW153</f>
        <v>142405</v>
      </c>
      <c r="BA248" s="577">
        <f>+INPUT!CX153</f>
        <v>-2.8482739800791421</v>
      </c>
      <c r="BB248" s="580">
        <f>+INPUT!CY153</f>
        <v>146934</v>
      </c>
      <c r="BC248" s="577">
        <f>+INPUT!CZ153</f>
        <v>9.4904544031952724</v>
      </c>
      <c r="BD248" s="580">
        <f>+INPUT!DA153</f>
        <v>148405</v>
      </c>
      <c r="BE248" s="577">
        <f>+INPUT!DB153</f>
        <v>6.4369217528508926</v>
      </c>
      <c r="BF248" s="580">
        <f>+INPUT!DC153</f>
        <v>156380</v>
      </c>
      <c r="BG248" s="577">
        <f>+INPUT!DD153</f>
        <v>7.1161920940332095</v>
      </c>
      <c r="BH248" s="580">
        <f>+INPUT!DE153</f>
        <v>157738</v>
      </c>
      <c r="BI248" s="577">
        <f>+INPUT!DF153</f>
        <v>10.767178118745832</v>
      </c>
      <c r="BJ248" s="580">
        <f>+INPUT!DG153</f>
        <v>165364</v>
      </c>
      <c r="BK248" s="577">
        <f>+INPUT!DH153</f>
        <v>12.543046537901375</v>
      </c>
      <c r="BL248" s="580">
        <f>+INPUT!DI153</f>
        <v>173502</v>
      </c>
      <c r="BM248" s="577">
        <f>+INPUT!DJ153</f>
        <v>16.911155284525449</v>
      </c>
      <c r="BN248" s="580">
        <f>+INPUT!DK153</f>
        <v>178150</v>
      </c>
      <c r="BO248" s="577">
        <f>+INPUT!DL153</f>
        <v>13.921217547000879</v>
      </c>
      <c r="BP248" s="580">
        <f>+INPUT!DM153</f>
        <v>181577</v>
      </c>
      <c r="BQ248" s="577">
        <f>+INPUT!DN153</f>
        <v>15.113035539945983</v>
      </c>
      <c r="BR248" s="580">
        <f>+INPUT!DO153</f>
        <v>180535</v>
      </c>
      <c r="BS248" s="577">
        <f>+INPUT!DP153</f>
        <v>9.1743063786555723</v>
      </c>
      <c r="BT248" s="580">
        <f>+INPUT!DQ153</f>
        <v>184196</v>
      </c>
      <c r="BU248" s="577">
        <f>+INPUT!DR153</f>
        <v>6.1636177104586807</v>
      </c>
      <c r="BV248" s="580">
        <f>+INPUT!DS153</f>
        <v>188145</v>
      </c>
      <c r="BW248" s="577">
        <f>+INPUT!DT153</f>
        <v>5.6104406399101805</v>
      </c>
      <c r="BX248" s="580">
        <f>+INPUT!DU153</f>
        <v>188807</v>
      </c>
      <c r="BY248" s="577">
        <f>+INPUT!DV153</f>
        <v>3.9817818336022697</v>
      </c>
      <c r="BZ248" s="580">
        <f>+INPUT!DW153</f>
        <v>184515</v>
      </c>
      <c r="CA248" s="577">
        <f>+INPUT!DX153</f>
        <v>2.2045586728335138</v>
      </c>
      <c r="CB248" s="580">
        <f>+INPUT!DY153</f>
        <v>188961</v>
      </c>
      <c r="CC248" s="577">
        <f>+INPUT!DZ153</f>
        <v>2.5869182826988606</v>
      </c>
      <c r="CD248" s="580">
        <f>+INPUT!EA153</f>
        <v>190953</v>
      </c>
      <c r="CE248" s="577">
        <f>+INPUT!EB153</f>
        <v>1.4924659172446724</v>
      </c>
      <c r="CF248" s="580">
        <f>+INPUT!EC153</f>
        <v>194007</v>
      </c>
      <c r="CG248" s="577">
        <f>+INPUT!ED153</f>
        <v>2.7541351750729461</v>
      </c>
      <c r="CH248" s="580">
        <f>+INPUT!EE153</f>
        <v>200476</v>
      </c>
      <c r="CI248" s="577">
        <f>+INPUT!EF153</f>
        <v>8.650245237514568</v>
      </c>
      <c r="CJ248" s="580">
        <f>+INPUT!EG153</f>
        <v>202802</v>
      </c>
      <c r="CK248" s="577">
        <f>+INPUT!EH153</f>
        <v>7.3247918882732392</v>
      </c>
      <c r="CL248" s="580">
        <f>+INPUT!EI153</f>
        <v>210400</v>
      </c>
      <c r="CM248" s="577">
        <f>+INPUT!EJ153</f>
        <v>10.184181447790806</v>
      </c>
      <c r="CN248" s="580">
        <f>+INPUT!EK153</f>
        <v>214731</v>
      </c>
      <c r="CO248" s="577">
        <f>+INPUT!EL153</f>
        <v>10.682088790610649</v>
      </c>
      <c r="CP248" s="580">
        <f>+INPUT!EM153</f>
        <v>227438</v>
      </c>
      <c r="CQ248" s="577">
        <f>+INPUT!EN153</f>
        <v>13.448991400466895</v>
      </c>
      <c r="CR248" s="580">
        <f>+INPUT!EO153</f>
        <v>234616</v>
      </c>
      <c r="CS248" s="577">
        <f>+INPUT!EP153</f>
        <v>15.68722201950672</v>
      </c>
      <c r="CT248" s="580">
        <f>+INPUT!EQ153</f>
        <v>233377.35229718956</v>
      </c>
      <c r="CU248" s="577">
        <f>+INPUT!ER153</f>
        <v>10.920794818055882</v>
      </c>
      <c r="CV248" s="580">
        <f>+INPUT!ES153</f>
        <v>236208.79064100821</v>
      </c>
      <c r="CW248" s="577">
        <f>+INPUT!ET153</f>
        <v>10.002184426565421</v>
      </c>
      <c r="CX248" s="580">
        <f>+INPUT!EU153</f>
        <v>239074.58126029803</v>
      </c>
      <c r="CY248" s="577">
        <f>+INPUT!EV153</f>
        <v>5.1163751265391113</v>
      </c>
      <c r="CZ248" s="580">
        <f>+INPUT!EW153</f>
        <v>241975.14093221843</v>
      </c>
      <c r="DA248" s="577">
        <f>+INPUT!EX153</f>
        <v>3.1366747929461098</v>
      </c>
      <c r="DB248" s="556"/>
      <c r="DC248" s="580">
        <f>+INPUT!FP153</f>
        <v>88385</v>
      </c>
      <c r="DD248" s="577">
        <f>+INPUT!FQ153</f>
        <v>5.3569512820207166</v>
      </c>
      <c r="DE248" s="580">
        <f>+INPUT!FR153</f>
        <v>97430</v>
      </c>
      <c r="DF248" s="577">
        <f>+INPUT!FS153</f>
        <v>10.233636929343206</v>
      </c>
      <c r="DG248" s="580">
        <f>+INPUT!FT153</f>
        <v>112192</v>
      </c>
      <c r="DH248" s="577">
        <f>+INPUT!FU153</f>
        <v>15.151390742071243</v>
      </c>
      <c r="DI248" s="580">
        <f>+INPUT!FV153</f>
        <v>99738</v>
      </c>
      <c r="DJ248" s="577">
        <f>+INPUT!FW153</f>
        <v>-11.10061323445521</v>
      </c>
      <c r="DK248" s="580">
        <f>+INPUT!FX153</f>
        <v>126345</v>
      </c>
      <c r="DL248" s="577">
        <f>+INPUT!FY153</f>
        <v>26.676893460867475</v>
      </c>
      <c r="DM248" s="580">
        <f>+INPUT!FZ153</f>
        <v>141313</v>
      </c>
      <c r="DN248" s="577">
        <f>+INPUT!GA153</f>
        <v>11.846927064782946</v>
      </c>
      <c r="DO248" s="580">
        <f>+INPUT!GB153</f>
        <v>139430</v>
      </c>
      <c r="DP248" s="577">
        <f>+INPUT!GC153</f>
        <v>-1.3325030251993866</v>
      </c>
      <c r="DQ248" s="580">
        <f>+INPUT!GD153</f>
        <v>148405</v>
      </c>
      <c r="DR248" s="577">
        <f>+INPUT!GE153</f>
        <v>6.4369217528508926</v>
      </c>
      <c r="DS248" s="580">
        <f>+INPUT!GF153</f>
        <v>173502</v>
      </c>
      <c r="DT248" s="577">
        <f>+INPUT!GG153</f>
        <v>16.911155284525449</v>
      </c>
      <c r="DU248" s="580">
        <f>+INPUT!GH153</f>
        <v>184196</v>
      </c>
      <c r="DV248" s="577">
        <f>+INPUT!GI153</f>
        <v>6.1636177104586807</v>
      </c>
      <c r="DW248" s="580">
        <f>+INPUT!GJ153</f>
        <v>188961</v>
      </c>
      <c r="DX248" s="577">
        <f>+INPUT!GK153</f>
        <v>2.5869182826988606</v>
      </c>
      <c r="DY248" s="580">
        <f>+INPUT!GL153</f>
        <v>202802</v>
      </c>
      <c r="DZ248" s="577">
        <f>+INPUT!GM153</f>
        <v>7.3247918882732392</v>
      </c>
      <c r="EA248" s="580">
        <f>+INPUT!GN153</f>
        <v>234616</v>
      </c>
      <c r="EB248" s="577">
        <f>+INPUT!GO153</f>
        <v>15.68722201950672</v>
      </c>
      <c r="EC248" s="580">
        <f>+INPUT!GP153</f>
        <v>241975.14093221843</v>
      </c>
      <c r="ED248" s="577">
        <f>+INPUT!GQ153</f>
        <v>3.1366747929461098</v>
      </c>
      <c r="EE248" s="580">
        <f>+INPUT!GR153</f>
        <v>252870.22687879985</v>
      </c>
      <c r="EF248" s="577">
        <f>+INPUT!GS153</f>
        <v>4.5025641496096114</v>
      </c>
      <c r="EG248" s="580">
        <f>+INPUT!GT153</f>
        <v>264255.87105928117</v>
      </c>
      <c r="EH248" s="577">
        <f>+INPUT!GU153</f>
        <v>4.5025641496096114</v>
      </c>
      <c r="EI248" s="580">
        <f>+INPUT!GV153</f>
        <v>276154.16117283504</v>
      </c>
      <c r="EJ248" s="577">
        <f>+INPUT!GW153</f>
        <v>4.5025641496096398</v>
      </c>
      <c r="EK248" s="580">
        <f>+INPUT!GX153</f>
        <v>288588.17943145829</v>
      </c>
      <c r="EL248" s="577">
        <f>+INPUT!GY153</f>
        <v>4.5025641496096398</v>
      </c>
      <c r="EM248" s="577">
        <f>+INPUT!GZ153</f>
        <v>4.2279467577446939</v>
      </c>
    </row>
    <row r="249" spans="1:144" ht="12.75" hidden="1" customHeight="1" outlineLevel="1" x14ac:dyDescent="0.2">
      <c r="A249" s="609" t="str">
        <f>+INPUT!B154</f>
        <v>Average Assets</v>
      </c>
      <c r="B249" s="580">
        <f>+INPUT!AY154</f>
        <v>90119.5</v>
      </c>
      <c r="C249" s="577">
        <f>+INPUT!AZ154</f>
        <v>7.4014706408132724</v>
      </c>
      <c r="D249" s="580">
        <f>+INPUT!BA154</f>
        <v>91695.5</v>
      </c>
      <c r="E249" s="577">
        <f>+INPUT!BB154</f>
        <v>8.3499745949969792</v>
      </c>
      <c r="F249" s="580">
        <f>+INPUT!BC154</f>
        <v>92450.5</v>
      </c>
      <c r="G249" s="577">
        <f>+INPUT!BD154</f>
        <v>6.4680885367482688</v>
      </c>
      <c r="H249" s="580">
        <f>+INPUT!BE154</f>
        <v>95397</v>
      </c>
      <c r="I249" s="577">
        <f>+INPUT!BF154</f>
        <v>7.962789013252447</v>
      </c>
      <c r="J249" s="580">
        <f>+INPUT!BG154</f>
        <v>98494</v>
      </c>
      <c r="K249" s="577">
        <f>+INPUT!BH154</f>
        <v>9.2926614106824843</v>
      </c>
      <c r="L249" s="580">
        <f>+INPUT!BI154</f>
        <v>101795.5</v>
      </c>
      <c r="M249" s="577">
        <f>+INPUT!BJ154</f>
        <v>11.014717188956922</v>
      </c>
      <c r="N249" s="580">
        <f>+INPUT!BK154</f>
        <v>104817</v>
      </c>
      <c r="O249" s="577">
        <f>+INPUT!BL154</f>
        <v>13.376347342632002</v>
      </c>
      <c r="P249" s="580">
        <f>+INPUT!BM154</f>
        <v>108896.5</v>
      </c>
      <c r="Q249" s="577">
        <f>+INPUT!BN154</f>
        <v>14.1508642829439</v>
      </c>
      <c r="R249" s="580">
        <f>+INPUT!BO154</f>
        <v>109626</v>
      </c>
      <c r="S249" s="577">
        <f>+INPUT!BP154</f>
        <v>11.30221130221129</v>
      </c>
      <c r="T249" s="580">
        <f>+INPUT!BQ154</f>
        <v>106988.5</v>
      </c>
      <c r="U249" s="577">
        <f>+INPUT!BR154</f>
        <v>5.1014042860440867</v>
      </c>
      <c r="V249" s="580">
        <f>+INPUT!BS154</f>
        <v>103690</v>
      </c>
      <c r="W249" s="577">
        <f>+INPUT!BT154</f>
        <v>-1.075207265996923</v>
      </c>
      <c r="X249" s="580">
        <f>+INPUT!BU154</f>
        <v>100100.5</v>
      </c>
      <c r="Y249" s="577">
        <f>+INPUT!BV154</f>
        <v>-8.0773945902760858</v>
      </c>
      <c r="Z249" s="580">
        <f>+INPUT!BW154</f>
        <v>100948.5</v>
      </c>
      <c r="AA249" s="577">
        <f>+INPUT!BX154</f>
        <v>-7.9155492310218278</v>
      </c>
      <c r="AB249" s="580">
        <f>+INPUT!BY154</f>
        <v>106554.5</v>
      </c>
      <c r="AC249" s="577">
        <f>+INPUT!BZ154</f>
        <v>-0.40565107464820471</v>
      </c>
      <c r="AD249" s="580">
        <f>+INPUT!CA154</f>
        <v>116353</v>
      </c>
      <c r="AE249" s="577">
        <f>+INPUT!CB154</f>
        <v>12.212363776641922</v>
      </c>
      <c r="AF249" s="580">
        <f>+INPUT!CC154</f>
        <v>124050.5</v>
      </c>
      <c r="AG249" s="577">
        <f>+INPUT!CD154</f>
        <v>23.925954415812114</v>
      </c>
      <c r="AH249" s="580">
        <f>+INPUT!CE154</f>
        <v>128746</v>
      </c>
      <c r="AI249" s="577">
        <f>+INPUT!CF154</f>
        <v>27.536318023546656</v>
      </c>
      <c r="AJ249" s="580">
        <f>+INPUT!CG154</f>
        <v>128161.5</v>
      </c>
      <c r="AK249" s="577">
        <f>+INPUT!CH154</f>
        <v>20.2778859644595</v>
      </c>
      <c r="AL249" s="580">
        <f>+INPUT!CI154</f>
        <v>130212</v>
      </c>
      <c r="AM249" s="577">
        <f>+INPUT!CJ154</f>
        <v>11.911166880097639</v>
      </c>
      <c r="AN249" s="580">
        <f>+INPUT!CK154</f>
        <v>138280.5</v>
      </c>
      <c r="AO249" s="577">
        <f>+INPUT!CL154</f>
        <v>11.471134739481087</v>
      </c>
      <c r="AP249" s="580">
        <f>+INPUT!CM154</f>
        <v>143645</v>
      </c>
      <c r="AQ249" s="577">
        <f>+INPUT!CN154</f>
        <v>11.572398365774461</v>
      </c>
      <c r="AR249" s="580">
        <f>+INPUT!CO154</f>
        <v>146278.5</v>
      </c>
      <c r="AS249" s="577">
        <f>+INPUT!CP154</f>
        <v>14.136070504792769</v>
      </c>
      <c r="AT249" s="580">
        <f>+INPUT!CQ154</f>
        <v>140389</v>
      </c>
      <c r="AU249" s="577">
        <f>+INPUT!CR154</f>
        <v>7.8157159094399873</v>
      </c>
      <c r="AV249" s="580">
        <f>+INPUT!CS154</f>
        <v>136814</v>
      </c>
      <c r="AW249" s="577">
        <f>+INPUT!CT154</f>
        <v>-1.0605255260141604</v>
      </c>
      <c r="AX249" s="580">
        <f>+INPUT!CU154</f>
        <v>142710.5</v>
      </c>
      <c r="AY249" s="577">
        <f>+INPUT!CV154</f>
        <v>-0.65056214974416093</v>
      </c>
      <c r="AZ249" s="580">
        <f>+INPUT!CW154</f>
        <v>144198</v>
      </c>
      <c r="BA249" s="577">
        <f>+INPUT!CX154</f>
        <v>-1.4222869389554802</v>
      </c>
      <c r="BB249" s="580">
        <f>+INPUT!CY154</f>
        <v>144669.5</v>
      </c>
      <c r="BC249" s="577">
        <f>+INPUT!CZ154</f>
        <v>3.0490280577538158</v>
      </c>
      <c r="BD249" s="580">
        <f>+INPUT!DA154</f>
        <v>147669.5</v>
      </c>
      <c r="BE249" s="577">
        <f>+INPUT!DB154</f>
        <v>7.9344950078208427</v>
      </c>
      <c r="BF249" s="580">
        <f>+INPUT!DC154</f>
        <v>152392.5</v>
      </c>
      <c r="BG249" s="577">
        <f>+INPUT!DD154</f>
        <v>6.7843641497997709</v>
      </c>
      <c r="BH249" s="580">
        <f>+INPUT!DE154</f>
        <v>157059</v>
      </c>
      <c r="BI249" s="577">
        <f>+INPUT!DF154</f>
        <v>8.91898639370865</v>
      </c>
      <c r="BJ249" s="580">
        <f>+INPUT!DG154</f>
        <v>161551</v>
      </c>
      <c r="BK249" s="577">
        <f>+INPUT!DH154</f>
        <v>11.669011090796616</v>
      </c>
      <c r="BL249" s="580">
        <f>+INPUT!DI154</f>
        <v>169433</v>
      </c>
      <c r="BM249" s="577">
        <f>+INPUT!DJ154</f>
        <v>14.737979068121703</v>
      </c>
      <c r="BN249" s="580">
        <f>+INPUT!DK154</f>
        <v>175826</v>
      </c>
      <c r="BO249" s="577">
        <f>+INPUT!DL154</f>
        <v>15.377069081483668</v>
      </c>
      <c r="BP249" s="580">
        <f>+INPUT!DM154</f>
        <v>179863.5</v>
      </c>
      <c r="BQ249" s="577">
        <f>+INPUT!DN154</f>
        <v>14.5197027868508</v>
      </c>
      <c r="BR249" s="580">
        <f>+INPUT!DO154</f>
        <v>181056</v>
      </c>
      <c r="BS249" s="577">
        <f>+INPUT!DP154</f>
        <v>12.073586669225193</v>
      </c>
      <c r="BT249" s="580">
        <f>+INPUT!DQ154</f>
        <v>182365.5</v>
      </c>
      <c r="BU249" s="577">
        <f>+INPUT!DR154</f>
        <v>7.6328106095034656</v>
      </c>
      <c r="BV249" s="580">
        <f>+INPUT!DS154</f>
        <v>186170.5</v>
      </c>
      <c r="BW249" s="577">
        <f>+INPUT!DT154</f>
        <v>5.883373335001636</v>
      </c>
      <c r="BX249" s="580">
        <f>+INPUT!DU154</f>
        <v>188476</v>
      </c>
      <c r="BY249" s="577">
        <f>+INPUT!DV154</f>
        <v>4.7883533902097923</v>
      </c>
      <c r="BZ249" s="580">
        <f>+INPUT!DW154</f>
        <v>186661</v>
      </c>
      <c r="CA249" s="577">
        <f>+INPUT!DX154</f>
        <v>3.0957272887946345</v>
      </c>
      <c r="CB249" s="580">
        <f>+INPUT!DY154</f>
        <v>186738</v>
      </c>
      <c r="CC249" s="577">
        <f>+INPUT!DZ154</f>
        <v>2.3976574516561442</v>
      </c>
      <c r="CD249" s="580">
        <f>+INPUT!EA154</f>
        <v>180197.94999999998</v>
      </c>
      <c r="CE249" s="577">
        <f>+INPUT!EB154</f>
        <v>-3.2081076217768185</v>
      </c>
      <c r="CF249" s="580">
        <f>+INPUT!EC154</f>
        <v>192480</v>
      </c>
      <c r="CG249" s="577">
        <f>+INPUT!ED154</f>
        <v>2.1244084127421985</v>
      </c>
      <c r="CH249" s="580">
        <f>+INPUT!EE154</f>
        <v>197241.5</v>
      </c>
      <c r="CI249" s="577">
        <f>+INPUT!EF154</f>
        <v>5.6682970733040037</v>
      </c>
      <c r="CJ249" s="580">
        <f>+INPUT!EG154</f>
        <v>201639</v>
      </c>
      <c r="CK249" s="577">
        <f>+INPUT!EH154</f>
        <v>7.9796292131221236</v>
      </c>
      <c r="CL249" s="580">
        <f>+INPUT!EI154</f>
        <v>206601</v>
      </c>
      <c r="CM249" s="577">
        <f>+INPUT!EJ154</f>
        <v>14.652247708700344</v>
      </c>
      <c r="CN249" s="580">
        <f>+INPUT!EK154</f>
        <v>212565.5</v>
      </c>
      <c r="CO249" s="577">
        <f>+INPUT!EL154</f>
        <v>10.435110141313373</v>
      </c>
      <c r="CP249" s="580">
        <f>+INPUT!EM154</f>
        <v>221084.5</v>
      </c>
      <c r="CQ249" s="577">
        <f>+INPUT!EN154</f>
        <v>12.08822686909194</v>
      </c>
      <c r="CR249" s="580">
        <f>+INPUT!EO154</f>
        <v>231027</v>
      </c>
      <c r="CS249" s="577">
        <f>+INPUT!EP154</f>
        <v>14.574561468763477</v>
      </c>
      <c r="CT249" s="580">
        <f>+INPUT!EQ154</f>
        <v>233996.67614859476</v>
      </c>
      <c r="CU249" s="577">
        <f>+INPUT!ER154</f>
        <v>13.260185647017565</v>
      </c>
      <c r="CV249" s="580">
        <f>+INPUT!ES154</f>
        <v>234793.07146909888</v>
      </c>
      <c r="CW249" s="577">
        <f>+INPUT!ET154</f>
        <v>10.456810474464987</v>
      </c>
      <c r="CX249" s="580">
        <f>+INPUT!EU154</f>
        <v>237641.6859506531</v>
      </c>
      <c r="CY249" s="577">
        <f>+INPUT!EV154</f>
        <v>7.4890758739998091</v>
      </c>
      <c r="CZ249" s="580">
        <f>+INPUT!EW154</f>
        <v>240524.86109625822</v>
      </c>
      <c r="DA249" s="577">
        <f>+INPUT!EX154</f>
        <v>4.1111476564463061</v>
      </c>
      <c r="DB249" s="556"/>
      <c r="DC249" s="580">
        <f>+INPUT!FP154</f>
        <v>86138</v>
      </c>
      <c r="DD249" s="577">
        <f>+INPUT!FQ154</f>
        <v>47.494049759421927</v>
      </c>
      <c r="DE249" s="580">
        <f>+INPUT!FR154</f>
        <v>92907.5</v>
      </c>
      <c r="DF249" s="577">
        <f>+INPUT!FS154</f>
        <v>7.8589008335461727</v>
      </c>
      <c r="DG249" s="580">
        <f>+INPUT!FT154</f>
        <v>104811</v>
      </c>
      <c r="DH249" s="577">
        <f>+INPUT!FU154</f>
        <v>12.81220568845356</v>
      </c>
      <c r="DI249" s="580">
        <f>+INPUT!FV154</f>
        <v>105965</v>
      </c>
      <c r="DJ249" s="577">
        <f>+INPUT!FW154</f>
        <v>1.1010294720974088</v>
      </c>
      <c r="DK249" s="580">
        <f>+INPUT!FX154</f>
        <v>113041.5</v>
      </c>
      <c r="DL249" s="577">
        <f>+INPUT!FY154</f>
        <v>6.678148445241348</v>
      </c>
      <c r="DM249" s="580">
        <f>+INPUT!FZ154</f>
        <v>133829</v>
      </c>
      <c r="DN249" s="577">
        <f>+INPUT!GA154</f>
        <v>18.389264119814413</v>
      </c>
      <c r="DO249" s="580">
        <f>+INPUT!GB154</f>
        <v>140371.5</v>
      </c>
      <c r="DP249" s="577">
        <f>+INPUT!GC154</f>
        <v>4.8887012530916394</v>
      </c>
      <c r="DQ249" s="580">
        <f>+INPUT!GD154</f>
        <v>143917.5</v>
      </c>
      <c r="DR249" s="577">
        <f>+INPUT!GE154</f>
        <v>2.5261538132740498</v>
      </c>
      <c r="DS249" s="580">
        <f>+INPUT!GF154</f>
        <v>160953.5</v>
      </c>
      <c r="DT249" s="577">
        <f>+INPUT!GG154</f>
        <v>11.837337363420005</v>
      </c>
      <c r="DU249" s="580">
        <f>+INPUT!GH154</f>
        <v>178849</v>
      </c>
      <c r="DV249" s="577">
        <f>+INPUT!GI154</f>
        <v>11.118428614475604</v>
      </c>
      <c r="DW249" s="580">
        <f>+INPUT!GJ154</f>
        <v>186578.5</v>
      </c>
      <c r="DX249" s="577">
        <f>+INPUT!GK154</f>
        <v>4.3218021906748163</v>
      </c>
      <c r="DY249" s="580">
        <f>+INPUT!GL154</f>
        <v>195881.5</v>
      </c>
      <c r="DZ249" s="577">
        <f>+INPUT!GM154</f>
        <v>4.9861050442575134</v>
      </c>
      <c r="EA249" s="580">
        <f>+INPUT!GN154</f>
        <v>218709</v>
      </c>
      <c r="EB249" s="577">
        <f>+INPUT!GO154</f>
        <v>11.653729423146132</v>
      </c>
      <c r="EC249" s="580">
        <f>+INPUT!GP154</f>
        <v>238295.5704661092</v>
      </c>
      <c r="ED249" s="577">
        <f>+INPUT!GQ154</f>
        <v>8.9555393084460206</v>
      </c>
      <c r="EE249" s="580">
        <f>+INPUT!GR154</f>
        <v>247422.68390550913</v>
      </c>
      <c r="EF249" s="577">
        <f>+INPUT!GS154</f>
        <v>3.8301649592340965</v>
      </c>
      <c r="EG249" s="580">
        <f>+INPUT!GT154</f>
        <v>258563.04896904051</v>
      </c>
      <c r="EH249" s="577">
        <f>+INPUT!GU154</f>
        <v>4.5025641496096114</v>
      </c>
      <c r="EI249" s="580">
        <f>+INPUT!GV154</f>
        <v>270205.0161160581</v>
      </c>
      <c r="EJ249" s="577">
        <f>+INPUT!GW154</f>
        <v>4.5025641496096398</v>
      </c>
      <c r="EK249" s="580">
        <f>+INPUT!GX154</f>
        <v>282371.1703021467</v>
      </c>
      <c r="EL249" s="577">
        <f>+INPUT!GY154</f>
        <v>4.5025641496096398</v>
      </c>
      <c r="EM249" s="577">
        <f>+INPUT!GZ154</f>
        <v>5.2423991251788093</v>
      </c>
    </row>
    <row r="250" spans="1:144" ht="12.75" hidden="1" customHeight="1" outlineLevel="1" x14ac:dyDescent="0.2"/>
    <row r="251" spans="1:144" ht="12.75" hidden="1" customHeight="1" outlineLevel="1" x14ac:dyDescent="0.2">
      <c r="A251" s="614" t="str">
        <f>+INPUT!B156</f>
        <v>Full Service Net Flows</v>
      </c>
      <c r="B251" s="580">
        <f>+INPUT!AY156</f>
        <v>-90</v>
      </c>
      <c r="C251" s="577" t="str">
        <f>+INPUT!AZ156</f>
        <v>NM</v>
      </c>
      <c r="D251" s="580">
        <f>+INPUT!BA156</f>
        <v>726</v>
      </c>
      <c r="E251" s="577" t="str">
        <f>+INPUT!BB156</f>
        <v>NM</v>
      </c>
      <c r="F251" s="580">
        <f>+INPUT!BC156</f>
        <v>-358</v>
      </c>
      <c r="G251" s="577" t="str">
        <f>+INPUT!BD156</f>
        <v>NM</v>
      </c>
      <c r="H251" s="580">
        <f>+INPUT!BE156</f>
        <v>-111</v>
      </c>
      <c r="I251" s="577" t="str">
        <f>+INPUT!BF156</f>
        <v>NM</v>
      </c>
      <c r="J251" s="580">
        <f>+INPUT!BG156</f>
        <v>570</v>
      </c>
      <c r="K251" s="577" t="str">
        <f>+INPUT!BH156</f>
        <v>NM</v>
      </c>
      <c r="L251" s="580">
        <f>+INPUT!BI156</f>
        <v>9</v>
      </c>
      <c r="M251" s="577" t="str">
        <f>+INPUT!BJ156</f>
        <v>NM</v>
      </c>
      <c r="N251" s="580">
        <f>+INPUT!BK156</f>
        <v>-90</v>
      </c>
      <c r="O251" s="577" t="str">
        <f>+INPUT!BL156</f>
        <v>NM</v>
      </c>
      <c r="P251" s="580">
        <f>+INPUT!BM156</f>
        <v>454</v>
      </c>
      <c r="Q251" s="577" t="str">
        <f>+INPUT!BN156</f>
        <v>NM</v>
      </c>
      <c r="R251" s="580">
        <f>+INPUT!BO156</f>
        <v>653</v>
      </c>
      <c r="S251" s="577">
        <f>+INPUT!BP156</f>
        <v>14.561403508771932</v>
      </c>
      <c r="T251" s="580">
        <f>+INPUT!BQ156</f>
        <v>164</v>
      </c>
      <c r="U251" s="577" t="str">
        <f>+INPUT!BR156</f>
        <v>NM</v>
      </c>
      <c r="V251" s="580">
        <f>+INPUT!BS156</f>
        <v>393</v>
      </c>
      <c r="W251" s="577" t="str">
        <f>+INPUT!BT156</f>
        <v>NM</v>
      </c>
      <c r="X251" s="580">
        <f>+INPUT!BU156</f>
        <v>2680</v>
      </c>
      <c r="Y251" s="577" t="str">
        <f>+INPUT!BV156</f>
        <v>NM</v>
      </c>
      <c r="Z251" s="580">
        <f>+INPUT!BW156</f>
        <v>6258</v>
      </c>
      <c r="AA251" s="577" t="str">
        <f>+INPUT!BX156</f>
        <v>NM</v>
      </c>
      <c r="AB251" s="580">
        <f>+INPUT!BY156</f>
        <v>87</v>
      </c>
      <c r="AC251" s="577">
        <f>+INPUT!BZ156</f>
        <v>-46.951219512195117</v>
      </c>
      <c r="AD251" s="580">
        <f>+INPUT!CA156</f>
        <v>1502</v>
      </c>
      <c r="AE251" s="577" t="str">
        <f>+INPUT!CB156</f>
        <v>NM</v>
      </c>
      <c r="AF251" s="580">
        <f>+INPUT!CC156</f>
        <v>903</v>
      </c>
      <c r="AG251" s="577" t="str">
        <f>+INPUT!CD156</f>
        <v>NM</v>
      </c>
      <c r="AH251" s="580">
        <f>+INPUT!CE156</f>
        <v>1105</v>
      </c>
      <c r="AI251" s="577" t="str">
        <f>+INPUT!CF156</f>
        <v>NM</v>
      </c>
      <c r="AJ251" s="580">
        <f>+INPUT!CG156</f>
        <v>286</v>
      </c>
      <c r="AK251" s="577" t="str">
        <f>+INPUT!CH156</f>
        <v>NM</v>
      </c>
      <c r="AL251" s="580">
        <f>+INPUT!CI156</f>
        <v>2088</v>
      </c>
      <c r="AM251" s="577">
        <f>+INPUT!CJ156</f>
        <v>39.014647137150462</v>
      </c>
      <c r="AN251" s="580">
        <f>+INPUT!CK156</f>
        <v>-1017</v>
      </c>
      <c r="AO251" s="577" t="str">
        <f>+INPUT!CL156</f>
        <v>NM</v>
      </c>
      <c r="AP251" s="580">
        <f>+INPUT!CM156</f>
        <v>-79</v>
      </c>
      <c r="AQ251" s="577" t="str">
        <f>+INPUT!CN156</f>
        <v>NM</v>
      </c>
      <c r="AR251" s="580">
        <f>+INPUT!CO156</f>
        <v>-86</v>
      </c>
      <c r="AS251" s="577" t="str">
        <f>+INPUT!CP156</f>
        <v>NM</v>
      </c>
      <c r="AT251" s="580">
        <f>+INPUT!CQ156</f>
        <v>-160</v>
      </c>
      <c r="AU251" s="577" t="str">
        <f>+INPUT!CR156</f>
        <v>NM</v>
      </c>
      <c r="AV251" s="580">
        <f>+INPUT!CS156</f>
        <v>-2014</v>
      </c>
      <c r="AW251" s="577">
        <f>+INPUT!CT156</f>
        <v>98.033431661750257</v>
      </c>
      <c r="AX251" s="580">
        <f>+INPUT!CU156</f>
        <v>-2457</v>
      </c>
      <c r="AY251" s="577" t="str">
        <f>+INPUT!CV156</f>
        <v>NM</v>
      </c>
      <c r="AZ251" s="580">
        <f>+INPUT!CW156</f>
        <v>692</v>
      </c>
      <c r="BA251" s="577" t="str">
        <f>+INPUT!CX156</f>
        <v>NM</v>
      </c>
      <c r="BB251" s="580">
        <f>+INPUT!CY156</f>
        <v>-585</v>
      </c>
      <c r="BC251" s="577" t="str">
        <f>+INPUT!CZ156</f>
        <v>NM</v>
      </c>
      <c r="BD251" s="580">
        <f>+INPUT!DA156</f>
        <v>-483</v>
      </c>
      <c r="BE251" s="577" t="str">
        <f>+INPUT!DB156</f>
        <v>NM</v>
      </c>
      <c r="BF251" s="580">
        <f>+INPUT!DC156</f>
        <v>1003</v>
      </c>
      <c r="BG251" s="577" t="str">
        <f>+INPUT!DD156</f>
        <v>NM</v>
      </c>
      <c r="BH251" s="580">
        <f>+INPUT!DE156</f>
        <v>75</v>
      </c>
      <c r="BI251" s="577" t="str">
        <f>+INPUT!DF156</f>
        <v>NM</v>
      </c>
      <c r="BJ251" s="580">
        <f>+INPUT!DG156</f>
        <v>828</v>
      </c>
      <c r="BK251" s="577" t="str">
        <f>+INPUT!DH156</f>
        <v>NM</v>
      </c>
      <c r="BL251" s="580">
        <f>+INPUT!DI156</f>
        <v>60</v>
      </c>
      <c r="BM251" s="577" t="str">
        <f>+INPUT!DJ156</f>
        <v>NM</v>
      </c>
      <c r="BN251" s="580">
        <f>+INPUT!DK156</f>
        <v>2584</v>
      </c>
      <c r="BO251" s="577" t="str">
        <f>+INPUT!DL156</f>
        <v>NM</v>
      </c>
      <c r="BP251" s="580">
        <f>+INPUT!DM156</f>
        <v>-1538</v>
      </c>
      <c r="BQ251" s="577" t="str">
        <f>+INPUT!DN156</f>
        <v>NM</v>
      </c>
      <c r="BR251" s="580">
        <f>+INPUT!DO156</f>
        <v>969</v>
      </c>
      <c r="BS251" s="577">
        <f>+INPUT!DP156</f>
        <v>17.028985507246389</v>
      </c>
      <c r="BT251" s="580">
        <f>+INPUT!DQ156</f>
        <v>-682</v>
      </c>
      <c r="BU251" s="577" t="str">
        <f>+INPUT!DR156</f>
        <v>NM</v>
      </c>
      <c r="BV251" s="580">
        <f>+INPUT!DS156</f>
        <v>85</v>
      </c>
      <c r="BW251" s="577" t="str">
        <f>+INPUT!DT156</f>
        <v>NM</v>
      </c>
      <c r="BX251" s="580">
        <f>+INPUT!DU156</f>
        <v>357</v>
      </c>
      <c r="BY251" s="577" t="str">
        <f>+INPUT!DV156</f>
        <v>NM</v>
      </c>
      <c r="BZ251" s="580">
        <f>+INPUT!DW156</f>
        <v>4350</v>
      </c>
      <c r="CA251" s="577" t="str">
        <f>+INPUT!DX156</f>
        <v>NM</v>
      </c>
      <c r="CB251" s="580">
        <f>+INPUT!DY156</f>
        <v>-667</v>
      </c>
      <c r="CC251" s="577">
        <f>+INPUT!DZ156</f>
        <v>-2.1994134897360738</v>
      </c>
      <c r="CD251" s="580">
        <f>+INPUT!EA156</f>
        <v>1370</v>
      </c>
      <c r="CE251" s="577" t="str">
        <f>+INPUT!EB156</f>
        <v>NM</v>
      </c>
      <c r="CF251" s="580">
        <f>+INPUT!EC156</f>
        <v>186</v>
      </c>
      <c r="CG251" s="577">
        <f>+INPUT!ED156</f>
        <v>-47.899159663865539</v>
      </c>
      <c r="CH251" s="580">
        <f>+INPUT!EE156</f>
        <v>392</v>
      </c>
      <c r="CI251" s="577" t="str">
        <f>+INPUT!EF156</f>
        <v>NM</v>
      </c>
      <c r="CJ251" s="580">
        <f>+INPUT!EG156</f>
        <v>-147</v>
      </c>
      <c r="CK251" s="577" t="str">
        <f>+INPUT!EH156</f>
        <v>NM</v>
      </c>
      <c r="CL251" s="580">
        <f>+INPUT!EI156</f>
        <v>46</v>
      </c>
      <c r="CM251" s="577" t="str">
        <f>+INPUT!EJ156</f>
        <v>NM</v>
      </c>
      <c r="CN251" s="580">
        <f>+INPUT!EK156</f>
        <v>-1015</v>
      </c>
      <c r="CO251" s="577" t="str">
        <f>+INPUT!EL156</f>
        <v>NM</v>
      </c>
      <c r="CP251" s="580">
        <f>+INPUT!EM156</f>
        <v>6056</v>
      </c>
      <c r="CQ251" s="577" t="str">
        <f>+INPUT!EN156</f>
        <v>NM</v>
      </c>
      <c r="CR251" s="580">
        <f>+INPUT!EO156</f>
        <v>-371</v>
      </c>
      <c r="CS251" s="577" t="str">
        <f>+INPUT!EP156</f>
        <v>NM</v>
      </c>
      <c r="CT251" s="580">
        <f>+INPUT!EQ156</f>
        <v>293.26999999999953</v>
      </c>
      <c r="CU251" s="577" t="str">
        <f>+INPUT!ER156</f>
        <v>NM</v>
      </c>
      <c r="CV251" s="580">
        <f>+INPUT!ES156</f>
        <v>291.72169037148706</v>
      </c>
      <c r="CW251" s="577" t="str">
        <f>+INPUT!ET156</f>
        <v>NM</v>
      </c>
      <c r="CX251" s="580">
        <f>+INPUT!EU156</f>
        <v>295.26098830126102</v>
      </c>
      <c r="CY251" s="577" t="str">
        <f>+INPUT!EV156</f>
        <v>NM</v>
      </c>
      <c r="CZ251" s="580">
        <f>+INPUT!EW156</f>
        <v>298.84322657537359</v>
      </c>
      <c r="DA251" s="577" t="str">
        <f>+INPUT!EX156</f>
        <v>NM</v>
      </c>
      <c r="DB251" s="556"/>
      <c r="DC251" s="580">
        <f>+INPUT!FP156</f>
        <v>-912</v>
      </c>
      <c r="DD251" s="577">
        <f>+INPUT!FQ156</f>
        <v>-35.864978902953581</v>
      </c>
      <c r="DE251" s="580">
        <f>+INPUT!FR156</f>
        <v>167</v>
      </c>
      <c r="DF251" s="577" t="str">
        <f>+INPUT!FS156</f>
        <v>NM</v>
      </c>
      <c r="DG251" s="580">
        <f>+INPUT!FT156</f>
        <v>943</v>
      </c>
      <c r="DH251" s="577" t="str">
        <f>+INPUT!FU156</f>
        <v>NM</v>
      </c>
      <c r="DI251" s="580">
        <f>+INPUT!FV156</f>
        <v>3890</v>
      </c>
      <c r="DJ251" s="577" t="str">
        <f>+INPUT!FW156</f>
        <v>NM</v>
      </c>
      <c r="DK251" s="580">
        <f>+INPUT!FX156</f>
        <v>8750</v>
      </c>
      <c r="DL251" s="577" t="str">
        <f>+INPUT!FY156</f>
        <v>NM</v>
      </c>
      <c r="DM251" s="580">
        <f>+INPUT!FZ156</f>
        <v>2462</v>
      </c>
      <c r="DN251" s="577" t="str">
        <f>+INPUT!GA156</f>
        <v>NM</v>
      </c>
      <c r="DO251" s="580">
        <f>+INPUT!GB156</f>
        <v>-2339</v>
      </c>
      <c r="DP251" s="577" t="str">
        <f>+INPUT!GC156</f>
        <v>NM</v>
      </c>
      <c r="DQ251" s="580">
        <f>+INPUT!GD156</f>
        <v>-2833</v>
      </c>
      <c r="DR251" s="577">
        <f>+INPUT!GE156</f>
        <v>21.12013681060283</v>
      </c>
      <c r="DS251" s="580">
        <f>+INPUT!GF156</f>
        <v>1966</v>
      </c>
      <c r="DT251" s="577" t="str">
        <f>+INPUT!GG156</f>
        <v>NM</v>
      </c>
      <c r="DU251" s="580">
        <f>+INPUT!GH156</f>
        <v>1333</v>
      </c>
      <c r="DV251" s="577">
        <f>+INPUT!GI156</f>
        <v>-32.197355035605284</v>
      </c>
      <c r="DW251" s="580">
        <f>+INPUT!GJ156</f>
        <v>4125</v>
      </c>
      <c r="DX251" s="577" t="str">
        <f>+INPUT!GK156</f>
        <v>NM</v>
      </c>
      <c r="DY251" s="580">
        <f>+INPUT!GL156</f>
        <v>1801</v>
      </c>
      <c r="DZ251" s="577" t="str">
        <f>+INPUT!GM156</f>
        <v>NM</v>
      </c>
      <c r="EA251" s="580">
        <f>+INPUT!GN156</f>
        <v>4716</v>
      </c>
      <c r="EB251" s="577" t="str">
        <f>+INPUT!GO156</f>
        <v>NM</v>
      </c>
      <c r="EC251" s="580">
        <f>+INPUT!GP156</f>
        <v>1179.095905248123</v>
      </c>
      <c r="ED251" s="577" t="str">
        <f>+INPUT!GQ156</f>
        <v>NM</v>
      </c>
      <c r="EE251" s="580">
        <f>+INPUT!GR156</f>
        <v>1216.0803092927017</v>
      </c>
      <c r="EF251" s="577">
        <f>+INPUT!GS156</f>
        <v>3.1366747929461951</v>
      </c>
      <c r="EG251" s="580">
        <f>+INPUT!GT156</f>
        <v>1270.8351053293809</v>
      </c>
      <c r="EH251" s="577">
        <f>+INPUT!GU156</f>
        <v>4.5025641496099666</v>
      </c>
      <c r="EI251" s="580">
        <f>+INPUT!GV156</f>
        <v>1328.0552711825912</v>
      </c>
      <c r="EJ251" s="577">
        <f>+INPUT!GW156</f>
        <v>4.5025641496092987</v>
      </c>
      <c r="EK251" s="580">
        <f>+INPUT!GX156</f>
        <v>1387.8518117098611</v>
      </c>
      <c r="EL251" s="577">
        <f>+INPUT!GY156</f>
        <v>4.5025641496097393</v>
      </c>
      <c r="EM251" s="577">
        <f>+INPUT!GZ156</f>
        <v>-21.701424659161361</v>
      </c>
    </row>
    <row r="252" spans="1:144" ht="12.75" hidden="1" customHeight="1" outlineLevel="1" x14ac:dyDescent="0.2">
      <c r="A252" s="609" t="str">
        <f>+INPUT!B158</f>
        <v>Deposits/BOP Assets (%)</v>
      </c>
      <c r="B252" s="580">
        <f>+INPUT!AY158</f>
        <v>24.35254850936245</v>
      </c>
      <c r="C252" s="577">
        <f>+INPUT!AZ158</f>
        <v>0</v>
      </c>
      <c r="D252" s="580">
        <f>+INPUT!BA158</f>
        <v>18.019901147473163</v>
      </c>
      <c r="E252" s="577">
        <f>+INPUT!BB158</f>
        <v>0</v>
      </c>
      <c r="F252" s="580">
        <f>+INPUT!BC158</f>
        <v>12.733648688508472</v>
      </c>
      <c r="G252" s="577">
        <f>+INPUT!BD158</f>
        <v>0</v>
      </c>
      <c r="H252" s="580">
        <f>+INPUT!BE158</f>
        <v>15.950473415877639</v>
      </c>
      <c r="I252" s="577">
        <f>+INPUT!BF158</f>
        <v>0</v>
      </c>
      <c r="J252" s="580">
        <f>+INPUT!BG158</f>
        <v>16.434363132505389</v>
      </c>
      <c r="K252" s="577">
        <f>+INPUT!BH158</f>
        <v>0</v>
      </c>
      <c r="L252" s="580">
        <f>+INPUT!BI158</f>
        <v>12.905040278028887</v>
      </c>
      <c r="M252" s="577">
        <f>+INPUT!BJ158</f>
        <v>0</v>
      </c>
      <c r="N252" s="580">
        <f>+INPUT!BK158</f>
        <v>12.376841963607701</v>
      </c>
      <c r="O252" s="577">
        <f>+INPUT!BL158</f>
        <v>0</v>
      </c>
      <c r="P252" s="580">
        <f>+INPUT!BM158</f>
        <v>16.128635145500517</v>
      </c>
      <c r="Q252" s="577">
        <f>+INPUT!BN158</f>
        <v>0</v>
      </c>
      <c r="R252" s="580">
        <f>+INPUT!BO158</f>
        <v>16.350541928123217</v>
      </c>
      <c r="S252" s="577">
        <f>+INPUT!BP158</f>
        <v>0</v>
      </c>
      <c r="T252" s="580">
        <f>+INPUT!BQ158</f>
        <v>16.925088735288625</v>
      </c>
      <c r="U252" s="577">
        <f>+INPUT!BR158</f>
        <v>0</v>
      </c>
      <c r="V252" s="580">
        <f>+INPUT!BS158</f>
        <v>12.256236145795336</v>
      </c>
      <c r="W252" s="577">
        <f>+INPUT!BT158</f>
        <v>0</v>
      </c>
      <c r="X252" s="580">
        <f>+INPUT!BU158</f>
        <v>26.075271492987468</v>
      </c>
      <c r="Y252" s="577">
        <f>+INPUT!BV158</f>
        <v>0</v>
      </c>
      <c r="Z252" s="580">
        <f>+INPUT!BW158</f>
        <v>42.066213479315806</v>
      </c>
      <c r="AA252" s="577">
        <f>+INPUT!BX158</f>
        <v>0</v>
      </c>
      <c r="AB252" s="580">
        <f>+INPUT!BY158</f>
        <v>15.231159271331943</v>
      </c>
      <c r="AC252" s="577">
        <f>+INPUT!BZ158</f>
        <v>0</v>
      </c>
      <c r="AD252" s="580">
        <f>+INPUT!CA158</f>
        <v>17.265434880576834</v>
      </c>
      <c r="AE252" s="577">
        <f>+INPUT!CB158</f>
        <v>0</v>
      </c>
      <c r="AF252" s="580">
        <f>+INPUT!CC158</f>
        <v>13.20674135155557</v>
      </c>
      <c r="AG252" s="577">
        <f>+INPUT!CD158</f>
        <v>0</v>
      </c>
      <c r="AH252" s="586">
        <f>+INPUT!CE158</f>
        <v>17.745063120819975</v>
      </c>
      <c r="AI252" s="577">
        <f>+INPUT!CF158</f>
        <v>0</v>
      </c>
      <c r="AJ252" s="586">
        <f>+INPUT!CG158</f>
        <v>12.31290079071576</v>
      </c>
      <c r="AK252" s="577">
        <f>+INPUT!CH158</f>
        <v>0</v>
      </c>
      <c r="AL252" s="586">
        <f>+INPUT!CI158</f>
        <v>16.792356362241964</v>
      </c>
      <c r="AM252" s="577">
        <f>+INPUT!CJ158</f>
        <v>0</v>
      </c>
      <c r="AN252" s="586">
        <f>+INPUT!CK158</f>
        <v>12.921448006624866</v>
      </c>
      <c r="AO252" s="577">
        <f>+INPUT!CL158</f>
        <v>0</v>
      </c>
      <c r="AP252" s="586">
        <f>+INPUT!CM158</f>
        <v>13.722728977517992</v>
      </c>
      <c r="AQ252" s="577">
        <f>+INPUT!CN158</f>
        <v>0</v>
      </c>
      <c r="AR252" s="586">
        <f>+INPUT!CO158</f>
        <v>11.311370969399288</v>
      </c>
      <c r="AS252" s="577">
        <f>+INPUT!CP158</f>
        <v>0</v>
      </c>
      <c r="AT252" s="586">
        <f>+INPUT!CQ158</f>
        <v>10.822758902988129</v>
      </c>
      <c r="AU252" s="577">
        <f>+INPUT!CR158</f>
        <v>0</v>
      </c>
      <c r="AV252" s="586">
        <f>+INPUT!CS158</f>
        <v>11.562020298365102</v>
      </c>
      <c r="AW252" s="577">
        <f>+INPUT!CT158</f>
        <v>0</v>
      </c>
      <c r="AX252" s="586">
        <f>+INPUT!CU158</f>
        <v>13.328551961557771</v>
      </c>
      <c r="AY252" s="577">
        <f>+INPUT!CV158</f>
        <v>0</v>
      </c>
      <c r="AZ252" s="586">
        <f>+INPUT!CW158</f>
        <v>11.954161557904253</v>
      </c>
      <c r="BA252" s="577">
        <f>+INPUT!CX158</f>
        <v>0</v>
      </c>
      <c r="BB252" s="586">
        <f>+INPUT!CY158</f>
        <v>9.7693198974755102</v>
      </c>
      <c r="BC252" s="577">
        <f>+INPUT!CZ158</f>
        <v>0</v>
      </c>
      <c r="BD252" s="586">
        <f>+INPUT!DA158</f>
        <v>10.625178651639512</v>
      </c>
      <c r="BE252" s="577">
        <f>+INPUT!DB158</f>
        <v>0</v>
      </c>
      <c r="BF252" s="586">
        <f>+INPUT!DC158</f>
        <v>15.306761901553182</v>
      </c>
      <c r="BG252" s="577">
        <f>+INPUT!DD158</f>
        <v>0</v>
      </c>
      <c r="BH252" s="586">
        <f>+INPUT!DE158</f>
        <v>9.4564522317431905</v>
      </c>
      <c r="BI252" s="577">
        <f>+INPUT!DF158</f>
        <v>0</v>
      </c>
      <c r="BJ252" s="586">
        <f>+INPUT!DG158</f>
        <v>13.833064955812805</v>
      </c>
      <c r="BK252" s="577">
        <f>+INPUT!DH158</f>
        <v>0</v>
      </c>
      <c r="BL252" s="586">
        <f>+INPUT!DI158</f>
        <v>14.140925473500882</v>
      </c>
      <c r="BM252" s="577">
        <f>+INPUT!DJ158</f>
        <v>0</v>
      </c>
      <c r="BN252" s="586">
        <f>+INPUT!DK158</f>
        <v>19.796889949395396</v>
      </c>
      <c r="BO252" s="577">
        <f>+INPUT!DL158</f>
        <v>0</v>
      </c>
      <c r="BP252" s="586">
        <f>+INPUT!DM158</f>
        <v>10.166713443727197</v>
      </c>
      <c r="BQ252" s="577">
        <f>+INPUT!DN158</f>
        <v>7.5108634250783552</v>
      </c>
      <c r="BR252" s="586">
        <f>+INPUT!DO158</f>
        <v>11.433166094824786</v>
      </c>
      <c r="BS252" s="577">
        <f>+INPUT!DP158</f>
        <v>-17.349003049245098</v>
      </c>
      <c r="BT252" s="586">
        <f>+INPUT!DQ158</f>
        <v>12.471819868723516</v>
      </c>
      <c r="BU252" s="577">
        <f>+INPUT!DR158</f>
        <v>-11.803368937239327</v>
      </c>
      <c r="BV252" s="586">
        <f>+INPUT!DS158</f>
        <v>13.711481248235573</v>
      </c>
      <c r="BW252" s="577">
        <f>+INPUT!DT158</f>
        <v>-30.739215688500977</v>
      </c>
      <c r="BX252" s="586">
        <f>+INPUT!DU158</f>
        <v>10.715139918679743</v>
      </c>
      <c r="BY252" s="577">
        <f>+INPUT!DV158</f>
        <v>5.39433395057398</v>
      </c>
      <c r="BZ252" s="586">
        <f>+INPUT!DW158</f>
        <v>19.961124322721087</v>
      </c>
      <c r="CA252" s="577">
        <f>+INPUT!DX158</f>
        <v>74.589646972385651</v>
      </c>
      <c r="CB252" s="586">
        <f>+INPUT!DY158</f>
        <v>10.63978538330217</v>
      </c>
      <c r="CC252" s="577">
        <f>+INPUT!DZ158</f>
        <v>-14.689391802520106</v>
      </c>
      <c r="CD252" s="586">
        <f>+INPUT!EA158</f>
        <v>14.089679881033653</v>
      </c>
      <c r="CE252" s="577">
        <f>+INPUT!EB158</f>
        <v>2.7582624076209612</v>
      </c>
      <c r="CF252" s="586">
        <f>+INPUT!EC158</f>
        <v>9.8432598597560652</v>
      </c>
      <c r="CG252" s="577">
        <f>+INPUT!ED158</f>
        <v>-8.1368984963390574</v>
      </c>
      <c r="CH252" s="586">
        <f>+INPUT!EE158</f>
        <v>11.143927796419717</v>
      </c>
      <c r="CI252" s="577">
        <f>+INPUT!EF158</f>
        <v>-44.171843147457615</v>
      </c>
      <c r="CJ252" s="586">
        <f>+INPUT!EG158</f>
        <v>10.311458728226821</v>
      </c>
      <c r="CK252" s="577">
        <f>+INPUT!EH158</f>
        <v>-3.0858390770796689</v>
      </c>
      <c r="CL252" s="586">
        <f>+INPUT!EI158</f>
        <v>13.285865030916854</v>
      </c>
      <c r="CM252" s="577">
        <f>+INPUT!EJ158</f>
        <v>-5.7049901552328919</v>
      </c>
      <c r="CN252" s="586">
        <f>+INPUT!EK158</f>
        <v>9.0703422053231932</v>
      </c>
      <c r="CO252" s="577">
        <f>+INPUT!EL158</f>
        <v>-7.8522528658714776</v>
      </c>
      <c r="CP252" s="586">
        <f>+INPUT!EM158</f>
        <v>20.840959153545597</v>
      </c>
      <c r="CQ252" s="577">
        <f>+INPUT!EN158</f>
        <v>87.01627948667533</v>
      </c>
      <c r="CR252" s="586">
        <f>+INPUT!EO158</f>
        <v>12.015582268574294</v>
      </c>
      <c r="CS252" s="577">
        <f>+INPUT!EP158</f>
        <v>16.526503041539257</v>
      </c>
      <c r="CT252" s="586">
        <f>+INPUT!EQ158</f>
        <v>13.5</v>
      </c>
      <c r="CU252" s="577">
        <f>+INPUT!ER158</f>
        <v>1.6117502969121205</v>
      </c>
      <c r="CV252" s="586">
        <f>+INPUT!ES158</f>
        <v>11.5</v>
      </c>
      <c r="CW252" s="577">
        <f>+INPUT!ET158</f>
        <v>26.786837141060587</v>
      </c>
      <c r="CX252" s="586">
        <f>+INPUT!EU158</f>
        <v>10</v>
      </c>
      <c r="CY252" s="577" t="str">
        <f>+INPUT!EV158</f>
        <v>NM</v>
      </c>
      <c r="CZ252" s="586">
        <f>+INPUT!EW158</f>
        <v>11</v>
      </c>
      <c r="DA252" s="577">
        <f>+INPUT!EX158</f>
        <v>-8.4522101873536428</v>
      </c>
      <c r="DB252" s="556"/>
      <c r="DC252" s="580">
        <f>+INPUT!FP158</f>
        <v>15.503450906533478</v>
      </c>
      <c r="DD252" s="577">
        <f>+INPUT!FQ158</f>
        <v>0</v>
      </c>
      <c r="DE252" s="580">
        <f>+INPUT!FR158</f>
        <v>18.279119760140293</v>
      </c>
      <c r="DF252" s="577">
        <f>+INPUT!FS158</f>
        <v>0</v>
      </c>
      <c r="DG252" s="580">
        <f>+INPUT!FT158</f>
        <v>15.079544288206916</v>
      </c>
      <c r="DH252" s="577">
        <f>+INPUT!FU158</f>
        <v>0</v>
      </c>
      <c r="DI252" s="580">
        <f>+INPUT!FV158</f>
        <v>16.882665430690246</v>
      </c>
      <c r="DJ252" s="577">
        <f>+INPUT!FW158</f>
        <v>0</v>
      </c>
      <c r="DK252" s="586">
        <f>+INPUT!FX158</f>
        <v>23.248912149832563</v>
      </c>
      <c r="DL252" s="577">
        <f>+INPUT!FY158</f>
        <v>0</v>
      </c>
      <c r="DM252" s="586">
        <f>+INPUT!FZ158</f>
        <v>15.248723732636829</v>
      </c>
      <c r="DN252" s="577">
        <f>+INPUT!GA158</f>
        <v>0</v>
      </c>
      <c r="DO252" s="586">
        <f>+INPUT!GB158</f>
        <v>11.903363455591489</v>
      </c>
      <c r="DP252" s="577">
        <f>+INPUT!GC158</f>
        <v>0</v>
      </c>
      <c r="DQ252" s="586">
        <f>+INPUT!GD158</f>
        <v>11.755002510220182</v>
      </c>
      <c r="DR252" s="577">
        <f>+INPUT!GE158</f>
        <v>0</v>
      </c>
      <c r="DS252" s="586">
        <f>+INPUT!GF158</f>
        <v>13.932818975101918</v>
      </c>
      <c r="DT252" s="577">
        <f>+INPUT!GG158</f>
        <v>0</v>
      </c>
      <c r="DU252" s="586">
        <f>+INPUT!GH158</f>
        <v>13.794653663934708</v>
      </c>
      <c r="DV252" s="577">
        <f>+INPUT!GI158</f>
        <v>-0.99165367334573773</v>
      </c>
      <c r="DW252" s="586">
        <f>+INPUT!GJ158</f>
        <v>13.943842428717234</v>
      </c>
      <c r="DX252" s="577">
        <f>+INPUT!GK158</f>
        <v>1.0814969945390516</v>
      </c>
      <c r="DY252" s="586">
        <f>+INPUT!GL158</f>
        <v>11.60451098374797</v>
      </c>
      <c r="DZ252" s="577">
        <f>+INPUT!GM158</f>
        <v>-16.77680637118668</v>
      </c>
      <c r="EA252" s="586">
        <f>+INPUT!GN158</f>
        <v>14.559521109259277</v>
      </c>
      <c r="EB252" s="577">
        <f>+INPUT!GO158</f>
        <v>25.464322707348686</v>
      </c>
      <c r="EC252" s="586">
        <f>+INPUT!GP158</f>
        <v>11.554054126414055</v>
      </c>
      <c r="ED252" s="577">
        <f>+INPUT!GQ158</f>
        <v>-20.642622516848192</v>
      </c>
      <c r="EE252" s="586">
        <f>+INPUT!GR158</f>
        <v>11.554054126414055</v>
      </c>
      <c r="EF252" s="577">
        <f>+INPUT!GS158</f>
        <v>0</v>
      </c>
      <c r="EG252" s="586">
        <f>+INPUT!GT158</f>
        <v>11.554054126414055</v>
      </c>
      <c r="EH252" s="577">
        <f>+INPUT!GU158</f>
        <v>0</v>
      </c>
      <c r="EI252" s="586">
        <f>+INPUT!GV158</f>
        <v>11.554054126414055</v>
      </c>
      <c r="EJ252" s="577">
        <f>+INPUT!GW158</f>
        <v>0</v>
      </c>
      <c r="EK252" s="586">
        <f>+INPUT!GX158</f>
        <v>11.554054126414055</v>
      </c>
      <c r="EL252" s="577">
        <f>+INPUT!GY158</f>
        <v>0</v>
      </c>
      <c r="EM252" s="577">
        <f>+INPUT!GZ158</f>
        <v>0</v>
      </c>
    </row>
    <row r="253" spans="1:144" ht="12.75" hidden="1" customHeight="1" outlineLevel="1" x14ac:dyDescent="0.2">
      <c r="A253" s="609" t="str">
        <f>+INPUT!B159</f>
        <v>Withdrawals/BOP Reserves (%)</v>
      </c>
      <c r="B253" s="580">
        <f>+INPUT!AY159</f>
        <v>24.759857441873621</v>
      </c>
      <c r="C253" s="577">
        <f>+INPUT!AZ159</f>
        <v>0</v>
      </c>
      <c r="D253" s="580">
        <f>+INPUT!BA159</f>
        <v>14.858362183465065</v>
      </c>
      <c r="E253" s="577">
        <f>+INPUT!BB159</f>
        <v>0</v>
      </c>
      <c r="F253" s="580">
        <f>+INPUT!BC159</f>
        <v>14.298043414138546</v>
      </c>
      <c r="G253" s="577">
        <f>+INPUT!BD159</f>
        <v>0</v>
      </c>
      <c r="H253" s="580">
        <f>+INPUT!BE159</f>
        <v>16.426031446810331</v>
      </c>
      <c r="I253" s="577">
        <f>+INPUT!BF159</f>
        <v>0</v>
      </c>
      <c r="J253" s="580">
        <f>+INPUT!BG159</f>
        <v>14.094221492353483</v>
      </c>
      <c r="K253" s="577">
        <f>+INPUT!BH159</f>
        <v>0</v>
      </c>
      <c r="L253" s="580">
        <f>+INPUT!BI159</f>
        <v>12.868880451596054</v>
      </c>
      <c r="M253" s="577">
        <f>+INPUT!BJ159</f>
        <v>0</v>
      </c>
      <c r="N253" s="580">
        <f>+INPUT!BK159</f>
        <v>12.722886007324599</v>
      </c>
      <c r="O253" s="577">
        <f>+INPUT!BL159</f>
        <v>0</v>
      </c>
      <c r="P253" s="580">
        <f>+INPUT!BM159</f>
        <v>14.408954460658515</v>
      </c>
      <c r="Q253" s="577">
        <f>+INPUT!BN159</f>
        <v>0</v>
      </c>
      <c r="R253" s="580">
        <f>+INPUT!BO159</f>
        <v>14.022390188248718</v>
      </c>
      <c r="S253" s="577">
        <f>+INPUT!BP159</f>
        <v>0</v>
      </c>
      <c r="T253" s="580">
        <f>+INPUT!BQ159</f>
        <v>16.312348215953669</v>
      </c>
      <c r="U253" s="577">
        <f>+INPUT!BR159</f>
        <v>0</v>
      </c>
      <c r="V253" s="580">
        <f>+INPUT!BS159</f>
        <v>10.785936754678863</v>
      </c>
      <c r="W253" s="577">
        <f>+INPUT!BT159</f>
        <v>0</v>
      </c>
      <c r="X253" s="580">
        <f>+INPUT!BU159</f>
        <v>15.404676348506415</v>
      </c>
      <c r="Y253" s="577">
        <f>+INPUT!BV159</f>
        <v>0</v>
      </c>
      <c r="Z253" s="580">
        <f>+INPUT!BW159</f>
        <v>16.968457358278691</v>
      </c>
      <c r="AA253" s="577">
        <f>+INPUT!BX159</f>
        <v>0</v>
      </c>
      <c r="AB253" s="580">
        <f>+INPUT!BY159</f>
        <v>14.890513806908839</v>
      </c>
      <c r="AC253" s="577">
        <f>+INPUT!BZ159</f>
        <v>0</v>
      </c>
      <c r="AD253" s="580">
        <f>+INPUT!CA159</f>
        <v>11.850383055430374</v>
      </c>
      <c r="AE253" s="577">
        <f>+INPUT!CB159</f>
        <v>0</v>
      </c>
      <c r="AF253" s="580">
        <f>+INPUT!CC159</f>
        <v>10.24015243601958</v>
      </c>
      <c r="AG253" s="577">
        <f>+INPUT!CD159</f>
        <v>0</v>
      </c>
      <c r="AH253" s="586">
        <f>+INPUT!CE159</f>
        <v>14.246705449364836</v>
      </c>
      <c r="AI253" s="577">
        <f>+INPUT!CF159</f>
        <v>0</v>
      </c>
      <c r="AJ253" s="586">
        <f>+INPUT!CG159</f>
        <v>11.440597192463418</v>
      </c>
      <c r="AK253" s="577">
        <f>+INPUT!CH159</f>
        <v>0</v>
      </c>
      <c r="AL253" s="586">
        <f>+INPUT!CI159</f>
        <v>10.12015082763469</v>
      </c>
      <c r="AM253" s="577">
        <f>+INPUT!CJ159</f>
        <v>0</v>
      </c>
      <c r="AN253" s="586">
        <f>+INPUT!CK159</f>
        <v>15.929255885484444</v>
      </c>
      <c r="AO253" s="577">
        <f>+INPUT!CL159</f>
        <v>0</v>
      </c>
      <c r="AP253" s="586">
        <f>+INPUT!CM159</f>
        <v>13.946346054503126</v>
      </c>
      <c r="AQ253" s="577">
        <f>+INPUT!CN159</f>
        <v>0</v>
      </c>
      <c r="AR253" s="586">
        <f>+INPUT!CO159</f>
        <v>11.547024531261773</v>
      </c>
      <c r="AS253" s="577">
        <f>+INPUT!CP159</f>
        <v>0</v>
      </c>
      <c r="AT253" s="586">
        <f>+INPUT!CQ159</f>
        <v>11.259380543048165</v>
      </c>
      <c r="AU253" s="577">
        <f>+INPUT!CR159</f>
        <v>0</v>
      </c>
      <c r="AV253" s="586">
        <f>+INPUT!CS159</f>
        <v>17.565090388828448</v>
      </c>
      <c r="AW253" s="577">
        <f>+INPUT!CT159</f>
        <v>0</v>
      </c>
      <c r="AX253" s="586">
        <f>+INPUT!CU159</f>
        <v>20.377250233091875</v>
      </c>
      <c r="AY253" s="577">
        <f>+INPUT!CV159</f>
        <v>0</v>
      </c>
      <c r="AZ253" s="586">
        <f>+INPUT!CW159</f>
        <v>10.058154269783753</v>
      </c>
      <c r="BA253" s="577">
        <f>+INPUT!CX159</f>
        <v>0</v>
      </c>
      <c r="BB253" s="586">
        <f>+INPUT!CY159</f>
        <v>11.412520627786945</v>
      </c>
      <c r="BC253" s="577">
        <f>+INPUT!CZ159</f>
        <v>0</v>
      </c>
      <c r="BD253" s="586">
        <f>+INPUT!DA159</f>
        <v>11.940054718445015</v>
      </c>
      <c r="BE253" s="577">
        <f>+INPUT!DB159</f>
        <v>0</v>
      </c>
      <c r="BF253" s="586">
        <f>+INPUT!DC159</f>
        <v>12.603348943768742</v>
      </c>
      <c r="BG253" s="577">
        <f>+INPUT!DD159</f>
        <v>0</v>
      </c>
      <c r="BH253" s="586">
        <f>+INPUT!DE159</f>
        <v>9.2646118429466675</v>
      </c>
      <c r="BI253" s="577">
        <f>+INPUT!DF159</f>
        <v>0</v>
      </c>
      <c r="BJ253" s="586">
        <f>+INPUT!DG159</f>
        <v>11.73338066921097</v>
      </c>
      <c r="BK253" s="577">
        <f>+INPUT!DH159</f>
        <v>0</v>
      </c>
      <c r="BL253" s="586">
        <f>+INPUT!DI159</f>
        <v>13.995791103263105</v>
      </c>
      <c r="BM253" s="577">
        <f>+INPUT!DJ159</f>
        <v>0</v>
      </c>
      <c r="BN253" s="586">
        <f>+INPUT!DK159</f>
        <v>13.83960991804129</v>
      </c>
      <c r="BO253" s="577">
        <f>+INPUT!DL159</f>
        <v>0</v>
      </c>
      <c r="BP253" s="586">
        <f>+INPUT!DM159</f>
        <v>13.619983160258208</v>
      </c>
      <c r="BQ253" s="577">
        <f>+INPUT!DN159</f>
        <v>47.010834249115049</v>
      </c>
      <c r="BR253" s="586">
        <f>+INPUT!DO159</f>
        <v>9.2985345060222375</v>
      </c>
      <c r="BS253" s="577">
        <f>+INPUT!DP159</f>
        <v>-20.75144608218416</v>
      </c>
      <c r="BT253" s="586">
        <f>+INPUT!DQ159</f>
        <v>13.982884205278756</v>
      </c>
      <c r="BU253" s="577">
        <f>+INPUT!DR159</f>
        <v>-9.2219853019528841E-2</v>
      </c>
      <c r="BV253" s="586">
        <f>+INPUT!DS159</f>
        <v>13.526895263740798</v>
      </c>
      <c r="BW253" s="577">
        <f>+INPUT!DT159</f>
        <v>-2.2595626332851992</v>
      </c>
      <c r="BX253" s="586">
        <f>+INPUT!DU159</f>
        <v>9.9561508411065933</v>
      </c>
      <c r="BY253" s="577">
        <f>+INPUT!DV159</f>
        <v>-26.900417394364496</v>
      </c>
      <c r="BZ253" s="586">
        <f>+INPUT!DW159</f>
        <v>10.74536431382311</v>
      </c>
      <c r="CA253" s="577">
        <f>+INPUT!DX159</f>
        <v>15.559761668506241</v>
      </c>
      <c r="CB253" s="586">
        <f>+INPUT!DY159</f>
        <v>12.085738286860147</v>
      </c>
      <c r="CC253" s="577">
        <f>+INPUT!DZ159</f>
        <v>-13.567629471625082</v>
      </c>
      <c r="CD253" s="586">
        <f>+INPUT!EA159</f>
        <v>11.189610554558877</v>
      </c>
      <c r="CE253" s="577">
        <f>+INPUT!EB159</f>
        <v>-17.278796528033112</v>
      </c>
      <c r="CF253" s="586">
        <f>+INPUT!EC159</f>
        <v>9.4536351877163494</v>
      </c>
      <c r="CG253" s="577">
        <f>+INPUT!ED159</f>
        <v>-5.0472884693095921</v>
      </c>
      <c r="CH253" s="586">
        <f>+INPUT!EE159</f>
        <v>10.335709536253846</v>
      </c>
      <c r="CI253" s="577">
        <f>+INPUT!EF159</f>
        <v>-3.8123861193079591</v>
      </c>
      <c r="CJ253" s="586">
        <f>+INPUT!EG159</f>
        <v>10.604760669606335</v>
      </c>
      <c r="CK253" s="577">
        <f>+INPUT!EH159</f>
        <v>-12.253927580609286</v>
      </c>
      <c r="CL253" s="586">
        <f>+INPUT!EI159</f>
        <v>13.195136142641593</v>
      </c>
      <c r="CM253" s="577">
        <f>+INPUT!EJ159</f>
        <v>17.923104457515038</v>
      </c>
      <c r="CN253" s="586">
        <f>+INPUT!EK159</f>
        <v>11</v>
      </c>
      <c r="CO253" s="577">
        <f>+INPUT!EL159</f>
        <v>16.357356525592735</v>
      </c>
      <c r="CP253" s="586">
        <f>+INPUT!EM159</f>
        <v>9.5598679277794076</v>
      </c>
      <c r="CQ253" s="577">
        <f>+INPUT!EN159</f>
        <v>-7.5064184587722167</v>
      </c>
      <c r="CR253" s="586">
        <f>+INPUT!EO159</f>
        <v>12.668067781109576</v>
      </c>
      <c r="CS253" s="577">
        <f>+INPUT!EP159</f>
        <v>19.456423164897643</v>
      </c>
      <c r="CT253" s="586">
        <f>+INPUT!EQ159</f>
        <v>13</v>
      </c>
      <c r="CU253" s="577">
        <f>+INPUT!ER159</f>
        <v>-1.4788490284006031</v>
      </c>
      <c r="CV253" s="586">
        <f>+INPUT!ES159</f>
        <v>11</v>
      </c>
      <c r="CW253" s="577">
        <f>+INPUT!ET159</f>
        <v>0</v>
      </c>
      <c r="CX253" s="586">
        <f>+INPUT!EU159</f>
        <v>9.5</v>
      </c>
      <c r="CY253" s="577">
        <f>+INPUT!EV159</f>
        <v>-0.62624220576773837</v>
      </c>
      <c r="CZ253" s="586">
        <f>+INPUT!EW159</f>
        <v>10.5</v>
      </c>
      <c r="DA253" s="577">
        <f>+INPUT!EX159</f>
        <v>-17.114431486880449</v>
      </c>
      <c r="DB253" s="556"/>
      <c r="DC253" s="580">
        <f>+INPUT!FP159</f>
        <v>16.590575866302704</v>
      </c>
      <c r="DD253" s="577">
        <f>+INPUT!FQ159</f>
        <v>0</v>
      </c>
      <c r="DE253" s="580">
        <f>+INPUT!FR159</f>
        <v>18.090173672003168</v>
      </c>
      <c r="DF253" s="577">
        <f>+INPUT!FS159</f>
        <v>0</v>
      </c>
      <c r="DG253" s="580">
        <f>+INPUT!FT159</f>
        <v>14.11166991686339</v>
      </c>
      <c r="DH253" s="577">
        <f>+INPUT!FU159</f>
        <v>0</v>
      </c>
      <c r="DI253" s="580">
        <f>+INPUT!FV159</f>
        <v>13.415395037079293</v>
      </c>
      <c r="DJ253" s="577">
        <f>+INPUT!FW159</f>
        <v>0</v>
      </c>
      <c r="DK253" s="586">
        <f>+INPUT!FX159</f>
        <v>14.475926928552809</v>
      </c>
      <c r="DL253" s="577">
        <f>+INPUT!FY159</f>
        <v>0</v>
      </c>
      <c r="DM253" s="586">
        <f>+INPUT!FZ159</f>
        <v>13.300091020618149</v>
      </c>
      <c r="DN253" s="577">
        <f>+INPUT!GA159</f>
        <v>0</v>
      </c>
      <c r="DO253" s="586">
        <f>+INPUT!GB159</f>
        <v>13.558554414668148</v>
      </c>
      <c r="DP253" s="577">
        <f>+INPUT!GC159</f>
        <v>0</v>
      </c>
      <c r="DQ253" s="586">
        <f>+INPUT!GD159</f>
        <v>13.786846446245427</v>
      </c>
      <c r="DR253" s="577">
        <f>+INPUT!GE159</f>
        <v>0</v>
      </c>
      <c r="DS253" s="586">
        <f>+INPUT!GF159</f>
        <v>12.608065765978235</v>
      </c>
      <c r="DT253" s="577">
        <f>+INPUT!GG159</f>
        <v>0</v>
      </c>
      <c r="DU253" s="586">
        <f>+INPUT!GH159</f>
        <v>13.026362808497884</v>
      </c>
      <c r="DV253" s="577">
        <f>+INPUT!GI159</f>
        <v>3.3176940086114399</v>
      </c>
      <c r="DW253" s="586">
        <f>+INPUT!GJ159</f>
        <v>11.704380116832072</v>
      </c>
      <c r="DX253" s="577">
        <f>+INPUT!GK159</f>
        <v>-10.148517365134367</v>
      </c>
      <c r="DY253" s="586">
        <f>+INPUT!GL159</f>
        <v>10.651404258021497</v>
      </c>
      <c r="DZ253" s="577">
        <f>+INPUT!GM159</f>
        <v>-8.9964256825211208</v>
      </c>
      <c r="EA253" s="586">
        <f>+INPUT!GN159</f>
        <v>12.234100255421545</v>
      </c>
      <c r="EB253" s="577">
        <f>+INPUT!GO159</f>
        <v>14.85903603938543</v>
      </c>
      <c r="EC253" s="586">
        <f>+INPUT!GP159</f>
        <v>11.051489976804428</v>
      </c>
      <c r="ED253" s="577">
        <f>+INPUT!GQ159</f>
        <v>-9.6665079893639358</v>
      </c>
      <c r="EE253" s="586">
        <f>+INPUT!GR159</f>
        <v>11.051489976804428</v>
      </c>
      <c r="EF253" s="577">
        <f>+INPUT!GS159</f>
        <v>0</v>
      </c>
      <c r="EG253" s="586">
        <f>+INPUT!GT159</f>
        <v>11.051489976804428</v>
      </c>
      <c r="EH253" s="577">
        <f>+INPUT!GU159</f>
        <v>0</v>
      </c>
      <c r="EI253" s="586">
        <f>+INPUT!GV159</f>
        <v>11.051489976804428</v>
      </c>
      <c r="EJ253" s="577">
        <f>+INPUT!GW159</f>
        <v>0</v>
      </c>
      <c r="EK253" s="586">
        <f>+INPUT!GX159</f>
        <v>11.051489976804428</v>
      </c>
      <c r="EL253" s="577">
        <f>+INPUT!GY159</f>
        <v>0</v>
      </c>
      <c r="EM253" s="577">
        <f>+INPUT!GZ159</f>
        <v>0</v>
      </c>
    </row>
    <row r="254" spans="1:144" ht="12.75" hidden="1" customHeight="1" outlineLevel="1" x14ac:dyDescent="0.2">
      <c r="A254" s="609" t="str">
        <f>+INPUT!B160</f>
        <v>Inv Perf/BOP AUM (%)</v>
      </c>
      <c r="B254" s="580">
        <f>+INPUT!AY160</f>
        <v>16.10680545341404</v>
      </c>
      <c r="C254" s="577">
        <f>+INPUT!AZ160</f>
        <v>0</v>
      </c>
      <c r="D254" s="580">
        <f>+INPUT!BA160</f>
        <v>-4.5419905502210023</v>
      </c>
      <c r="E254" s="577">
        <f>+INPUT!BB160</f>
        <v>0</v>
      </c>
      <c r="F254" s="580">
        <f>+INPUT!BC160</f>
        <v>9.5480516075466753</v>
      </c>
      <c r="G254" s="577">
        <f>+INPUT!BD160</f>
        <v>0</v>
      </c>
      <c r="H254" s="580">
        <f>+INPUT!BE160</f>
        <v>17.895548605458206</v>
      </c>
      <c r="I254" s="577">
        <f>+INPUT!BF160</f>
        <v>0</v>
      </c>
      <c r="J254" s="580">
        <f>+INPUT!BG160</f>
        <v>6.3963871497485378</v>
      </c>
      <c r="K254" s="577">
        <f>+INPUT!BH160</f>
        <v>0</v>
      </c>
      <c r="L254" s="580">
        <f>+INPUT!BI160</f>
        <v>17.943309427670304</v>
      </c>
      <c r="M254" s="577">
        <f>+INPUT!BJ160</f>
        <v>0</v>
      </c>
      <c r="N254" s="580">
        <f>+INPUT!BK160</f>
        <v>6.3749002720290671</v>
      </c>
      <c r="O254" s="577">
        <f>+INPUT!BL160</f>
        <v>0</v>
      </c>
      <c r="P254" s="580">
        <f>+INPUT!BM160</f>
        <v>23.245991988712227</v>
      </c>
      <c r="Q254" s="577">
        <f>+INPUT!BN160</f>
        <v>0</v>
      </c>
      <c r="R254" s="580">
        <f>+INPUT!BO160</f>
        <v>-20.62535653166001</v>
      </c>
      <c r="S254" s="577">
        <f>+INPUT!BP160</f>
        <v>0</v>
      </c>
      <c r="T254" s="580">
        <f>+INPUT!BQ160</f>
        <v>-1.1470203624135997</v>
      </c>
      <c r="U254" s="577">
        <f>+INPUT!BR160</f>
        <v>0</v>
      </c>
      <c r="V254" s="580">
        <f>+INPUT!BS160</f>
        <v>-25.616132139884208</v>
      </c>
      <c r="W254" s="577">
        <f>+INPUT!BT160</f>
        <v>0</v>
      </c>
      <c r="X254" s="580">
        <f>+INPUT!BU160</f>
        <v>-13.557230024984325</v>
      </c>
      <c r="Y254" s="577">
        <f>+INPUT!BV160</f>
        <v>0</v>
      </c>
      <c r="Z254" s="580">
        <f>+INPUT!BW160</f>
        <v>-15.388317391565904</v>
      </c>
      <c r="AA254" s="577">
        <f>+INPUT!BX160</f>
        <v>0</v>
      </c>
      <c r="AB254" s="580">
        <f>+INPUT!BY160</f>
        <v>34.080208302743763</v>
      </c>
      <c r="AC254" s="577">
        <f>+INPUT!BZ160</f>
        <v>0</v>
      </c>
      <c r="AD254" s="580">
        <f>+INPUT!CA160</f>
        <v>33.543037404236145</v>
      </c>
      <c r="AE254" s="577">
        <f>+INPUT!CB160</f>
        <v>0</v>
      </c>
      <c r="AF254" s="580">
        <f>+INPUT!CC160</f>
        <v>12.109464831301949</v>
      </c>
      <c r="AG254" s="577">
        <f>+INPUT!CD160</f>
        <v>0</v>
      </c>
      <c r="AH254" s="586">
        <f>+INPUT!CE160</f>
        <v>11.704460010289287</v>
      </c>
      <c r="AI254" s="577">
        <f>+INPUT!CF160</f>
        <v>0</v>
      </c>
      <c r="AJ254" s="586">
        <f>+INPUT!CG160</f>
        <v>-19.083928721205975</v>
      </c>
      <c r="AK254" s="577">
        <f>+INPUT!CH160</f>
        <v>0</v>
      </c>
      <c r="AL254" s="586">
        <f>+INPUT!CI160</f>
        <v>25.512877867961908</v>
      </c>
      <c r="AM254" s="577">
        <f>+INPUT!CJ160</f>
        <v>0</v>
      </c>
      <c r="AN254" s="586">
        <f>+INPUT!CK160</f>
        <v>20.945226546788124</v>
      </c>
      <c r="AO254" s="577">
        <f>+INPUT!CL160</f>
        <v>0</v>
      </c>
      <c r="AP254" s="586">
        <f>+INPUT!CM160</f>
        <v>13.425516406841551</v>
      </c>
      <c r="AQ254" s="577">
        <f>+INPUT!CN160</f>
        <v>0</v>
      </c>
      <c r="AR254" s="586">
        <f>+INPUT!CO160</f>
        <v>1.8879686525959567</v>
      </c>
      <c r="AS254" s="577">
        <f>+INPUT!CP160</f>
        <v>0</v>
      </c>
      <c r="AT254" s="586">
        <f>+INPUT!CQ160</f>
        <v>-33.352435530085963</v>
      </c>
      <c r="AU254" s="577">
        <f>+INPUT!CR160</f>
        <v>0</v>
      </c>
      <c r="AV254" s="586">
        <f>+INPUT!CS160</f>
        <v>21.59793737611589</v>
      </c>
      <c r="AW254" s="577">
        <f>+INPUT!CT160</f>
        <v>0</v>
      </c>
      <c r="AX254" s="586">
        <f>+INPUT!CU160</f>
        <v>25.871046403213082</v>
      </c>
      <c r="AY254" s="577">
        <f>+INPUT!CV160</f>
        <v>0</v>
      </c>
      <c r="AZ254" s="586">
        <f>+INPUT!CW160</f>
        <v>-11.721270489276737</v>
      </c>
      <c r="BA254" s="577">
        <f>+INPUT!CX160</f>
        <v>0</v>
      </c>
      <c r="BB254" s="586">
        <f>+INPUT!CY160</f>
        <v>14.364664162072959</v>
      </c>
      <c r="BC254" s="577">
        <f>+INPUT!CZ160</f>
        <v>0</v>
      </c>
      <c r="BD254" s="586">
        <f>+INPUT!DA160</f>
        <v>5.3193951025630559</v>
      </c>
      <c r="BE254" s="577">
        <f>+INPUT!DB160</f>
        <v>0</v>
      </c>
      <c r="BF254" s="586">
        <f>+INPUT!DC160</f>
        <v>18.791819682625249</v>
      </c>
      <c r="BG254" s="577">
        <f>+INPUT!DD160</f>
        <v>0</v>
      </c>
      <c r="BH254" s="586">
        <f>+INPUT!DE160</f>
        <v>3.2817495843458242</v>
      </c>
      <c r="BI254" s="577">
        <f>+INPUT!DF160</f>
        <v>0</v>
      </c>
      <c r="BJ254" s="586">
        <f>+INPUT!DG160</f>
        <v>17.238712295071572</v>
      </c>
      <c r="BK254" s="577">
        <f>+INPUT!DH160</f>
        <v>0</v>
      </c>
      <c r="BL254" s="586">
        <f>+INPUT!DI160</f>
        <v>19.53992404634624</v>
      </c>
      <c r="BM254" s="577">
        <f>+INPUT!DJ160</f>
        <v>0</v>
      </c>
      <c r="BN254" s="586">
        <f>+INPUT!DK160</f>
        <v>4.7584465885119478</v>
      </c>
      <c r="BO254" s="577">
        <f>+INPUT!DL160</f>
        <v>0</v>
      </c>
      <c r="BP254" s="586">
        <f>+INPUT!DM160</f>
        <v>11.14790906539433</v>
      </c>
      <c r="BQ254" s="577" t="str">
        <f>+INPUT!DN160</f>
        <v>NM</v>
      </c>
      <c r="BR254" s="586">
        <f>+INPUT!DO160</f>
        <v>-4.4300764964725712</v>
      </c>
      <c r="BS254" s="577" t="str">
        <f>+INPUT!DP160</f>
        <v>NM</v>
      </c>
      <c r="BT254" s="586">
        <f>+INPUT!DQ160</f>
        <v>9.6225108704683304</v>
      </c>
      <c r="BU254" s="577" t="str">
        <f>+INPUT!DR160</f>
        <v>NM</v>
      </c>
      <c r="BV254" s="586">
        <f>+INPUT!DS160</f>
        <v>8.3910616951508175</v>
      </c>
      <c r="BW254" s="577">
        <f>+INPUT!DT160</f>
        <v>76.340356859503032</v>
      </c>
      <c r="BX254" s="586">
        <f>+INPUT!DU160</f>
        <v>0.64843604666613519</v>
      </c>
      <c r="BY254" s="577" t="str">
        <f>+INPUT!DV160</f>
        <v>NM</v>
      </c>
      <c r="BZ254" s="586">
        <f>+INPUT!DW160</f>
        <v>-18.308643217677311</v>
      </c>
      <c r="CA254" s="577" t="str">
        <f>+INPUT!DX160</f>
        <v>NM</v>
      </c>
      <c r="CB254" s="586">
        <f>+INPUT!DY160</f>
        <v>11.084193696989404</v>
      </c>
      <c r="CC254" s="577">
        <f>+INPUT!DZ160</f>
        <v>15.190243442665334</v>
      </c>
      <c r="CD254" s="586">
        <f>+INPUT!EA160</f>
        <v>1.3166738109980365</v>
      </c>
      <c r="CE254" s="577" t="str">
        <f>+INPUT!EB160</f>
        <v>NM</v>
      </c>
      <c r="CF254" s="586">
        <f>+INPUT!EC160</f>
        <v>6.0077610720962751</v>
      </c>
      <c r="CG254" s="577" t="str">
        <f>+INPUT!ED160</f>
        <v>NM</v>
      </c>
      <c r="CH254" s="586">
        <f>+INPUT!EE160</f>
        <v>12.529444813846924</v>
      </c>
      <c r="CI254" s="577" t="str">
        <f>+INPUT!EF160</f>
        <v>NM</v>
      </c>
      <c r="CJ254" s="586">
        <f>+INPUT!EG160</f>
        <v>4.9342564696023468</v>
      </c>
      <c r="CK254" s="577" t="str">
        <f>+INPUT!EH160</f>
        <v>NM</v>
      </c>
      <c r="CL254" s="586">
        <f>+INPUT!EI160</f>
        <v>14.895316614234574</v>
      </c>
      <c r="CM254" s="577" t="str">
        <f>+INPUT!EJ160</f>
        <v>NM</v>
      </c>
      <c r="CN254" s="586">
        <f>+INPUT!EK160</f>
        <v>10.163498098859316</v>
      </c>
      <c r="CO254" s="577">
        <f>+INPUT!EL160</f>
        <v>69.172807921154373</v>
      </c>
      <c r="CP254" s="586">
        <f>+INPUT!EM160</f>
        <v>12.389454713106165</v>
      </c>
      <c r="CQ254" s="577">
        <f>+INPUT!EN160</f>
        <v>-1.1172889367456236</v>
      </c>
      <c r="CR254" s="586">
        <f>+INPUT!EO160</f>
        <v>13.276585267193697</v>
      </c>
      <c r="CS254" s="577" t="str">
        <f>+INPUT!EP160</f>
        <v>NM</v>
      </c>
      <c r="CT254" s="586">
        <f>+INPUT!EQ160</f>
        <v>-2.6117872656774486</v>
      </c>
      <c r="CU254" s="577" t="str">
        <f>+INPUT!ER160</f>
        <v>NM</v>
      </c>
      <c r="CV254" s="586">
        <f>+INPUT!ES160</f>
        <v>4.3529787761290812</v>
      </c>
      <c r="CW254" s="577" t="str">
        <f>+INPUT!ET160</f>
        <v>NM</v>
      </c>
      <c r="CX254" s="586">
        <f>+INPUT!EU160</f>
        <v>4.3529787761290812</v>
      </c>
      <c r="CY254" s="577" t="str">
        <f>+INPUT!EV160</f>
        <v>NM</v>
      </c>
      <c r="CZ254" s="586">
        <f>+INPUT!EW160</f>
        <v>4.3529787761290812</v>
      </c>
      <c r="DA254" s="577" t="str">
        <f>+INPUT!EX160</f>
        <v>NM</v>
      </c>
      <c r="DB254" s="556"/>
      <c r="DC254" s="580">
        <f>+INPUT!FP160</f>
        <v>6.4440762417899418</v>
      </c>
      <c r="DD254" s="577">
        <f>+INPUT!FQ160</f>
        <v>0</v>
      </c>
      <c r="DE254" s="580">
        <f>+INPUT!FR160</f>
        <v>10.044690841206087</v>
      </c>
      <c r="DF254" s="577">
        <f>+INPUT!FS160</f>
        <v>0</v>
      </c>
      <c r="DG254" s="580">
        <f>+INPUT!FT160</f>
        <v>14.183516370727704</v>
      </c>
      <c r="DH254" s="577">
        <f>+INPUT!FU160</f>
        <v>0</v>
      </c>
      <c r="DI254" s="580">
        <f>+INPUT!FV160</f>
        <v>-14.567883628066172</v>
      </c>
      <c r="DJ254" s="577">
        <f>+INPUT!FW160</f>
        <v>0</v>
      </c>
      <c r="DK254" s="586">
        <f>+INPUT!FX160</f>
        <v>17.903908239587722</v>
      </c>
      <c r="DL254" s="577">
        <f>+INPUT!FY160</f>
        <v>0</v>
      </c>
      <c r="DM254" s="586">
        <f>+INPUT!FZ160</f>
        <v>9.8982943527642568</v>
      </c>
      <c r="DN254" s="577">
        <f>+INPUT!GA160</f>
        <v>0</v>
      </c>
      <c r="DO254" s="586">
        <f>+INPUT!GB160</f>
        <v>0.32268793387727951</v>
      </c>
      <c r="DP254" s="577">
        <f>+INPUT!GC160</f>
        <v>0</v>
      </c>
      <c r="DQ254" s="586">
        <f>+INPUT!GD160</f>
        <v>8.4687656888761378</v>
      </c>
      <c r="DR254" s="577">
        <f>+INPUT!GE160</f>
        <v>0</v>
      </c>
      <c r="DS254" s="586">
        <f>+INPUT!GF160</f>
        <v>15.586402075401773</v>
      </c>
      <c r="DT254" s="577">
        <f>+INPUT!GG160</f>
        <v>0</v>
      </c>
      <c r="DU254" s="586">
        <f>+INPUT!GH160</f>
        <v>5.3953268550218443</v>
      </c>
      <c r="DV254" s="577" t="str">
        <f>+INPUT!GI160</f>
        <v>NM</v>
      </c>
      <c r="DW254" s="586">
        <f>+INPUT!GJ160</f>
        <v>0.34745597081369844</v>
      </c>
      <c r="DX254" s="577" t="str">
        <f>+INPUT!GK160</f>
        <v>NM</v>
      </c>
      <c r="DY254" s="586">
        <f>+INPUT!GL160</f>
        <v>6.3716851625467683</v>
      </c>
      <c r="DZ254" s="577" t="str">
        <f>+INPUT!GM160</f>
        <v>NM</v>
      </c>
      <c r="EA254" s="586">
        <f>+INPUT!GN160</f>
        <v>13.361801165668977</v>
      </c>
      <c r="EB254" s="577" t="str">
        <f>+INPUT!GO160</f>
        <v>NM</v>
      </c>
      <c r="EC254" s="586">
        <f>+INPUT!GP160</f>
        <v>2.6341106433364909</v>
      </c>
      <c r="ED254" s="577" t="str">
        <f>+INPUT!GQ160</f>
        <v>NM</v>
      </c>
      <c r="EE254" s="586">
        <f>+INPUT!GR160</f>
        <v>4</v>
      </c>
      <c r="EF254" s="577">
        <f>+INPUT!GS160</f>
        <v>51.853909786166298</v>
      </c>
      <c r="EG254" s="586">
        <f>+INPUT!GT160</f>
        <v>4</v>
      </c>
      <c r="EH254" s="577">
        <f>+INPUT!GU160</f>
        <v>0</v>
      </c>
      <c r="EI254" s="586">
        <f>+INPUT!GV160</f>
        <v>4</v>
      </c>
      <c r="EJ254" s="577">
        <f>+INPUT!GW160</f>
        <v>0</v>
      </c>
      <c r="EK254" s="586">
        <f>+INPUT!GX160</f>
        <v>4</v>
      </c>
      <c r="EL254" s="577">
        <f>+INPUT!GY160</f>
        <v>0</v>
      </c>
      <c r="EM254" s="577">
        <f>+INPUT!GZ160</f>
        <v>0</v>
      </c>
    </row>
    <row r="255" spans="1:144" ht="12.75" hidden="1" customHeight="1" outlineLevel="1" x14ac:dyDescent="0.2">
      <c r="A255" s="609"/>
      <c r="B255" s="580"/>
      <c r="C255" s="577"/>
      <c r="D255" s="580"/>
      <c r="E255" s="577"/>
      <c r="F255" s="580"/>
      <c r="G255" s="577"/>
      <c r="H255" s="580"/>
      <c r="I255" s="577"/>
      <c r="J255" s="580"/>
      <c r="K255" s="577"/>
      <c r="L255" s="580"/>
      <c r="M255" s="577"/>
      <c r="N255" s="580"/>
      <c r="O255" s="577"/>
      <c r="P255" s="580"/>
      <c r="Q255" s="577"/>
      <c r="R255" s="580"/>
      <c r="S255" s="577"/>
      <c r="T255" s="580"/>
      <c r="U255" s="577"/>
      <c r="V255" s="580"/>
      <c r="W255" s="577"/>
      <c r="X255" s="580"/>
      <c r="Y255" s="577"/>
      <c r="Z255" s="580"/>
      <c r="AA255" s="577"/>
      <c r="AB255" s="580"/>
      <c r="AC255" s="577"/>
      <c r="AD255" s="580"/>
      <c r="AE255" s="577"/>
      <c r="AF255" s="580"/>
      <c r="AG255" s="577"/>
      <c r="AH255" s="580"/>
      <c r="AI255" s="577"/>
      <c r="AJ255" s="580"/>
      <c r="AK255" s="577"/>
      <c r="AL255" s="580"/>
      <c r="AM255" s="577"/>
      <c r="AN255" s="580"/>
      <c r="AO255" s="577"/>
      <c r="AP255" s="580"/>
      <c r="AQ255" s="577"/>
      <c r="AR255" s="580"/>
      <c r="AS255" s="577"/>
      <c r="AT255" s="580"/>
      <c r="AU255" s="577"/>
      <c r="AV255" s="580"/>
      <c r="AW255" s="577"/>
      <c r="AX255" s="580"/>
      <c r="AY255" s="577"/>
      <c r="AZ255" s="580"/>
      <c r="BA255" s="577"/>
      <c r="BB255" s="580"/>
      <c r="BC255" s="577"/>
      <c r="BD255" s="580"/>
      <c r="BE255" s="577"/>
      <c r="BF255" s="580"/>
      <c r="BG255" s="577"/>
      <c r="BH255" s="580"/>
      <c r="BI255" s="577"/>
      <c r="BJ255" s="580"/>
      <c r="BK255" s="577"/>
      <c r="BL255" s="580"/>
      <c r="BM255" s="577"/>
      <c r="BN255" s="580"/>
      <c r="BO255" s="577"/>
      <c r="BP255" s="580"/>
      <c r="BQ255" s="577"/>
      <c r="BR255" s="580"/>
      <c r="BS255" s="577"/>
      <c r="BT255" s="580"/>
      <c r="BU255" s="577"/>
      <c r="BV255" s="580"/>
      <c r="BW255" s="577"/>
      <c r="BX255" s="580"/>
      <c r="BY255" s="577"/>
      <c r="BZ255" s="580"/>
      <c r="CA255" s="577"/>
      <c r="CB255" s="580"/>
      <c r="CC255" s="577"/>
      <c r="CD255" s="580"/>
      <c r="CE255" s="577"/>
      <c r="CF255" s="580"/>
      <c r="CG255" s="577"/>
      <c r="CH255" s="580"/>
      <c r="CI255" s="577"/>
      <c r="CJ255" s="580"/>
      <c r="CK255" s="577"/>
      <c r="CL255" s="580"/>
      <c r="CM255" s="577"/>
      <c r="CN255" s="580"/>
      <c r="CO255" s="577"/>
      <c r="CP255" s="580"/>
      <c r="CQ255" s="577"/>
      <c r="CR255" s="580"/>
      <c r="CS255" s="577"/>
      <c r="CT255" s="580"/>
      <c r="CU255" s="577"/>
      <c r="CV255" s="580"/>
      <c r="CW255" s="577"/>
      <c r="CX255" s="580"/>
      <c r="CY255" s="577"/>
      <c r="CZ255" s="580"/>
      <c r="DA255" s="577"/>
      <c r="DB255" s="556"/>
      <c r="DC255" s="580"/>
      <c r="DD255" s="577"/>
      <c r="DE255" s="580"/>
      <c r="DF255" s="577"/>
      <c r="DG255" s="580"/>
      <c r="DH255" s="577"/>
      <c r="DI255" s="580"/>
      <c r="DJ255" s="577"/>
      <c r="DK255" s="580"/>
      <c r="DL255" s="577"/>
      <c r="DM255" s="580"/>
      <c r="DN255" s="577"/>
      <c r="DO255" s="580"/>
      <c r="DP255" s="577"/>
      <c r="DQ255" s="580"/>
      <c r="DR255" s="577"/>
      <c r="DS255" s="580"/>
      <c r="DT255" s="577"/>
      <c r="DU255" s="580"/>
      <c r="DV255" s="577"/>
      <c r="DW255" s="580"/>
      <c r="DX255" s="577"/>
      <c r="DY255" s="580"/>
      <c r="DZ255" s="577"/>
      <c r="EA255" s="580"/>
      <c r="EB255" s="577"/>
      <c r="EC255" s="580"/>
      <c r="ED255" s="577"/>
      <c r="EE255" s="580"/>
      <c r="EF255" s="577"/>
      <c r="EG255" s="580"/>
      <c r="EH255" s="577"/>
      <c r="EI255" s="580"/>
      <c r="EJ255" s="577"/>
      <c r="EK255" s="580"/>
      <c r="EL255" s="577"/>
      <c r="EM255" s="577"/>
    </row>
    <row r="256" spans="1:144" ht="12.75" hidden="1" customHeight="1" outlineLevel="1" x14ac:dyDescent="0.2">
      <c r="A256" s="614" t="str">
        <f>+INPUT!B163</f>
        <v>Institutional Investment Products</v>
      </c>
      <c r="B256" s="580"/>
      <c r="C256" s="577"/>
      <c r="D256" s="580"/>
      <c r="E256" s="577"/>
      <c r="F256" s="580"/>
      <c r="G256" s="577"/>
      <c r="H256" s="580"/>
      <c r="I256" s="577"/>
      <c r="J256" s="580"/>
      <c r="K256" s="577"/>
      <c r="L256" s="580"/>
      <c r="M256" s="577"/>
      <c r="N256" s="580"/>
      <c r="O256" s="577"/>
      <c r="P256" s="580"/>
      <c r="Q256" s="577"/>
      <c r="R256" s="580"/>
      <c r="S256" s="577"/>
      <c r="T256" s="580"/>
      <c r="U256" s="577"/>
      <c r="V256" s="580"/>
      <c r="W256" s="577"/>
      <c r="X256" s="580"/>
      <c r="Y256" s="577"/>
      <c r="Z256" s="580"/>
      <c r="AA256" s="577"/>
      <c r="AB256" s="580"/>
      <c r="AC256" s="577"/>
      <c r="AD256" s="580"/>
      <c r="AE256" s="577"/>
      <c r="AF256" s="580"/>
      <c r="AG256" s="577"/>
      <c r="AH256" s="580"/>
      <c r="AI256" s="577"/>
      <c r="AJ256" s="580"/>
      <c r="AK256" s="577"/>
      <c r="AL256" s="580"/>
      <c r="AM256" s="577"/>
      <c r="AN256" s="580"/>
      <c r="AO256" s="577"/>
      <c r="AP256" s="580"/>
      <c r="AQ256" s="577"/>
      <c r="AR256" s="580"/>
      <c r="AS256" s="577"/>
      <c r="AT256" s="580"/>
      <c r="AU256" s="577"/>
      <c r="AV256" s="580"/>
      <c r="AW256" s="577"/>
      <c r="AX256" s="580"/>
      <c r="AY256" s="577"/>
      <c r="AZ256" s="580"/>
      <c r="BA256" s="577"/>
      <c r="BB256" s="580"/>
      <c r="BC256" s="577"/>
      <c r="BD256" s="580"/>
      <c r="BE256" s="577"/>
      <c r="BF256" s="580"/>
      <c r="BG256" s="577"/>
      <c r="BH256" s="580"/>
      <c r="BI256" s="577"/>
      <c r="BJ256" s="580"/>
      <c r="BK256" s="577"/>
      <c r="BL256" s="580"/>
      <c r="BM256" s="577"/>
      <c r="BN256" s="580"/>
      <c r="BO256" s="577"/>
      <c r="BP256" s="580"/>
      <c r="BQ256" s="577"/>
      <c r="BR256" s="580"/>
      <c r="BS256" s="577"/>
      <c r="BT256" s="580"/>
      <c r="BU256" s="577"/>
      <c r="BV256" s="580"/>
      <c r="BW256" s="577"/>
      <c r="BX256" s="580"/>
      <c r="BY256" s="577"/>
      <c r="BZ256" s="580"/>
      <c r="CA256" s="577"/>
      <c r="CB256" s="580"/>
      <c r="CC256" s="577"/>
      <c r="CD256" s="580"/>
      <c r="CE256" s="577"/>
      <c r="CF256" s="580"/>
      <c r="CG256" s="577"/>
      <c r="CH256" s="580"/>
      <c r="CI256" s="577"/>
      <c r="CJ256" s="580"/>
      <c r="CK256" s="577"/>
      <c r="CL256" s="580"/>
      <c r="CM256" s="577"/>
      <c r="CN256" s="580"/>
      <c r="CO256" s="577"/>
      <c r="CP256" s="580"/>
      <c r="CQ256" s="577"/>
      <c r="CR256" s="580"/>
      <c r="CS256" s="577"/>
      <c r="CT256" s="580"/>
      <c r="CU256" s="577"/>
      <c r="CV256" s="580"/>
      <c r="CW256" s="577"/>
      <c r="CX256" s="580"/>
      <c r="CY256" s="577"/>
      <c r="CZ256" s="580"/>
      <c r="DA256" s="577"/>
      <c r="DB256" s="556"/>
      <c r="DC256" s="580"/>
      <c r="DD256" s="577"/>
      <c r="DE256" s="580"/>
      <c r="DF256" s="577"/>
      <c r="DG256" s="580"/>
      <c r="DH256" s="577"/>
      <c r="DI256" s="580"/>
      <c r="DJ256" s="577"/>
      <c r="DK256" s="580"/>
      <c r="DL256" s="577"/>
      <c r="DM256" s="580"/>
      <c r="DN256" s="577"/>
      <c r="DO256" s="580"/>
      <c r="DP256" s="577"/>
      <c r="DQ256" s="580"/>
      <c r="DR256" s="577"/>
      <c r="DS256" s="580"/>
      <c r="DT256" s="577"/>
      <c r="DU256" s="580"/>
      <c r="DV256" s="577"/>
      <c r="DW256" s="580"/>
      <c r="DX256" s="577"/>
      <c r="DY256" s="580"/>
      <c r="DZ256" s="577"/>
      <c r="EA256" s="580"/>
      <c r="EB256" s="577"/>
      <c r="EC256" s="580"/>
      <c r="ED256" s="577"/>
      <c r="EE256" s="580"/>
      <c r="EF256" s="577"/>
      <c r="EG256" s="580"/>
      <c r="EH256" s="577"/>
      <c r="EI256" s="580"/>
      <c r="EJ256" s="577"/>
      <c r="EK256" s="580"/>
      <c r="EL256" s="577"/>
      <c r="EM256" s="577"/>
    </row>
    <row r="257" spans="1:143" ht="12.75" hidden="1" customHeight="1" outlineLevel="1" x14ac:dyDescent="0.2">
      <c r="A257" s="609" t="str">
        <f>+INPUT!B164</f>
        <v>Beginning Assets</v>
      </c>
      <c r="B257" s="580">
        <f>+INPUT!AY164</f>
        <v>48080</v>
      </c>
      <c r="C257" s="577">
        <f>+INPUT!AZ164</f>
        <v>0.83892617449663476</v>
      </c>
      <c r="D257" s="580">
        <f>+INPUT!BA164</f>
        <v>47215</v>
      </c>
      <c r="E257" s="577">
        <f>+INPUT!BB164</f>
        <v>-1.0126210742588739</v>
      </c>
      <c r="F257" s="580">
        <f>+INPUT!BC164</f>
        <v>46913</v>
      </c>
      <c r="G257" s="577">
        <f>+INPUT!BD164</f>
        <v>-3.4950218053155595</v>
      </c>
      <c r="H257" s="580">
        <f>+INPUT!BE164</f>
        <v>49468</v>
      </c>
      <c r="I257" s="577">
        <f>+INPUT!BF164</f>
        <v>1.1263977758243442</v>
      </c>
      <c r="J257" s="580">
        <f>+INPUT!BG164</f>
        <v>50269</v>
      </c>
      <c r="K257" s="577">
        <f>+INPUT!BH164</f>
        <v>4.5528286189683911</v>
      </c>
      <c r="L257" s="580">
        <f>+INPUT!BI164</f>
        <v>50661</v>
      </c>
      <c r="M257" s="577">
        <f>+INPUT!BJ164</f>
        <v>7.2985280101662653</v>
      </c>
      <c r="N257" s="580">
        <f>+INPUT!BK164</f>
        <v>50926</v>
      </c>
      <c r="O257" s="577">
        <f>+INPUT!BL164</f>
        <v>8.554132116897236</v>
      </c>
      <c r="P257" s="580">
        <f>+INPUT!BM164</f>
        <v>51627</v>
      </c>
      <c r="Q257" s="577">
        <f>+INPUT!BN164</f>
        <v>4.3644376162367564</v>
      </c>
      <c r="R257" s="580">
        <f>+INPUT!BO164</f>
        <v>51591</v>
      </c>
      <c r="S257" s="577">
        <f>+INPUT!BP164</f>
        <v>2.6298513994708514</v>
      </c>
      <c r="T257" s="580">
        <f>+INPUT!BQ164</f>
        <v>51667</v>
      </c>
      <c r="U257" s="577">
        <f>+INPUT!BR164</f>
        <v>1.9857484060717354</v>
      </c>
      <c r="V257" s="580">
        <f>+INPUT!BS164</f>
        <v>51513</v>
      </c>
      <c r="W257" s="577">
        <f>+INPUT!BT164</f>
        <v>1.1526528688685573</v>
      </c>
      <c r="X257" s="580">
        <f>+INPUT!BU164</f>
        <v>50041</v>
      </c>
      <c r="Y257" s="577">
        <f>+INPUT!BV164</f>
        <v>-3.0720359501811032</v>
      </c>
      <c r="Z257" s="580">
        <f>+INPUT!BW164</f>
        <v>50491</v>
      </c>
      <c r="AA257" s="577">
        <f>+INPUT!BX164</f>
        <v>-2.1321548332073519</v>
      </c>
      <c r="AB257" s="580">
        <f>+INPUT!BY164</f>
        <v>49030</v>
      </c>
      <c r="AC257" s="577">
        <f>+INPUT!BZ164</f>
        <v>-5.1038380397545779</v>
      </c>
      <c r="AD257" s="580">
        <f>+INPUT!CA164</f>
        <v>49475</v>
      </c>
      <c r="AE257" s="577">
        <f>+INPUT!CB164</f>
        <v>-3.9562828800496987</v>
      </c>
      <c r="AF257" s="580">
        <f>+INPUT!CC164</f>
        <v>50137</v>
      </c>
      <c r="AG257" s="577">
        <f>+INPUT!CD164</f>
        <v>0.19184268899500978</v>
      </c>
      <c r="AH257" s="580">
        <f>+INPUT!CE164</f>
        <v>51908</v>
      </c>
      <c r="AI257" s="577">
        <f>+INPUT!CF164</f>
        <v>2.8064407518171492</v>
      </c>
      <c r="AJ257" s="580">
        <f>+INPUT!CG164</f>
        <v>52768</v>
      </c>
      <c r="AK257" s="577">
        <f>+INPUT!CH164</f>
        <v>7.6239037324087349</v>
      </c>
      <c r="AL257" s="580">
        <f>+INPUT!CI164</f>
        <v>55965</v>
      </c>
      <c r="AM257" s="577">
        <f>+INPUT!CJ164</f>
        <v>13.117736230419411</v>
      </c>
      <c r="AN257" s="580">
        <f>+INPUT!CK164</f>
        <v>59062</v>
      </c>
      <c r="AO257" s="577">
        <f>+INPUT!CL164</f>
        <v>17.801224644474132</v>
      </c>
      <c r="AP257" s="580">
        <f>+INPUT!CM164</f>
        <v>64183</v>
      </c>
      <c r="AQ257" s="577">
        <f>+INPUT!CN164</f>
        <v>23.647607305232341</v>
      </c>
      <c r="AR257" s="580">
        <f>+INPUT!CO164</f>
        <v>68892</v>
      </c>
      <c r="AS257" s="577">
        <f>+INPUT!CP164</f>
        <v>30.556397816858691</v>
      </c>
      <c r="AT257" s="580">
        <f>+INPUT!CQ164</f>
        <v>74131</v>
      </c>
      <c r="AU257" s="577">
        <f>+INPUT!CR164</f>
        <v>32.459572947377836</v>
      </c>
      <c r="AV257" s="580">
        <f>+INPUT!CS164</f>
        <v>80513</v>
      </c>
      <c r="AW257" s="577">
        <f>+INPUT!CT164</f>
        <v>36.319460905489137</v>
      </c>
      <c r="AX257" s="580">
        <f>+INPUT!CU164</f>
        <v>90089</v>
      </c>
      <c r="AY257" s="577">
        <f>+INPUT!CV164</f>
        <v>40.362712867893379</v>
      </c>
      <c r="AZ257" s="580">
        <f>+INPUT!CW164</f>
        <v>93853</v>
      </c>
      <c r="BA257" s="577">
        <f>+INPUT!CX164</f>
        <v>36.232073390234007</v>
      </c>
      <c r="BB257" s="580">
        <f>+INPUT!CY164</f>
        <v>102443</v>
      </c>
      <c r="BC257" s="577">
        <f>+INPUT!CZ164</f>
        <v>38.191849563610361</v>
      </c>
      <c r="BD257" s="580">
        <f>+INPUT!DA164</f>
        <v>104646</v>
      </c>
      <c r="BE257" s="577">
        <f>+INPUT!DB164</f>
        <v>29.974041459143251</v>
      </c>
      <c r="BF257" s="580">
        <f>+INPUT!DC164</f>
        <v>141435</v>
      </c>
      <c r="BG257" s="577">
        <f>+INPUT!DD164</f>
        <v>56.994749636470601</v>
      </c>
      <c r="BH257" s="580">
        <f>+INPUT!DE164</f>
        <v>143011</v>
      </c>
      <c r="BI257" s="577">
        <f>+INPUT!DF164</f>
        <v>52.377654417013844</v>
      </c>
      <c r="BJ257" s="580">
        <f>+INPUT!DG164</f>
        <v>144101</v>
      </c>
      <c r="BK257" s="577">
        <f>+INPUT!DH164</f>
        <v>40.664564684751525</v>
      </c>
      <c r="BL257" s="580">
        <f>+INPUT!DI164</f>
        <v>147100</v>
      </c>
      <c r="BM257" s="577">
        <f>+INPUT!DJ164</f>
        <v>40.569156967299278</v>
      </c>
      <c r="BN257" s="580">
        <f>+INPUT!DK164</f>
        <v>149402</v>
      </c>
      <c r="BO257" s="577">
        <f>+INPUT!DL164</f>
        <v>5.6329762788560203</v>
      </c>
      <c r="BP257" s="580">
        <f>+INPUT!DM164</f>
        <v>149661</v>
      </c>
      <c r="BQ257" s="577">
        <f>+INPUT!DN164</f>
        <v>4.6499919586605216</v>
      </c>
      <c r="BR257" s="580">
        <f>+INPUT!DO164</f>
        <v>148971</v>
      </c>
      <c r="BS257" s="577">
        <f>+INPUT!DP164</f>
        <v>3.3795740487574619</v>
      </c>
      <c r="BT257" s="580">
        <f>+INPUT!DQ164</f>
        <v>175526</v>
      </c>
      <c r="BU257" s="577">
        <f>+INPUT!DR164</f>
        <v>19.324269204622709</v>
      </c>
      <c r="BV257" s="580">
        <f>+INPUT!DS164</f>
        <v>179641</v>
      </c>
      <c r="BW257" s="577">
        <f>+INPUT!DT164</f>
        <v>20.240023560594906</v>
      </c>
      <c r="BX257" s="580">
        <f>+INPUT!DU164</f>
        <v>177120</v>
      </c>
      <c r="BY257" s="577">
        <f>+INPUT!DV164</f>
        <v>18.347465271513627</v>
      </c>
      <c r="BZ257" s="580">
        <f>+INPUT!DW164</f>
        <v>183798</v>
      </c>
      <c r="CA257" s="577">
        <f>+INPUT!DX164</f>
        <v>23.378375657007069</v>
      </c>
      <c r="CB257" s="580">
        <f>+INPUT!DY164</f>
        <v>181662</v>
      </c>
      <c r="CC257" s="577">
        <f>+INPUT!DZ164</f>
        <v>3.4957784031995232</v>
      </c>
      <c r="CD257" s="580">
        <f>+INPUT!EA164</f>
        <v>179964</v>
      </c>
      <c r="CE257" s="577">
        <f>+INPUT!EB164</f>
        <v>0.17980305164189758</v>
      </c>
      <c r="CF257" s="580">
        <f>+INPUT!EC164</f>
        <v>180819</v>
      </c>
      <c r="CG257" s="577">
        <f>+INPUT!ED164</f>
        <v>2.0884146341463463</v>
      </c>
      <c r="CH257" s="580">
        <f>+INPUT!EE164</f>
        <v>180882</v>
      </c>
      <c r="CI257" s="577">
        <f>+INPUT!EF164</f>
        <v>-1.5865243364998491</v>
      </c>
      <c r="CJ257" s="580">
        <f>+INPUT!EG164</f>
        <v>186224</v>
      </c>
      <c r="CK257" s="577">
        <f>+INPUT!EH164</f>
        <v>2.5112571699089443</v>
      </c>
      <c r="CL257" s="580">
        <f>+INPUT!EI164</f>
        <v>183376</v>
      </c>
      <c r="CM257" s="577">
        <f>+INPUT!EJ164</f>
        <v>1.8959347425040391</v>
      </c>
      <c r="CN257" s="580">
        <f>+INPUT!EK164</f>
        <v>185115</v>
      </c>
      <c r="CO257" s="577">
        <f>+INPUT!EL164</f>
        <v>2.3758565195029462</v>
      </c>
      <c r="CP257" s="580">
        <f>+INPUT!EM164</f>
        <v>186610</v>
      </c>
      <c r="CQ257" s="577">
        <f>+INPUT!EN164</f>
        <v>3.1667053659291753</v>
      </c>
      <c r="CR257" s="580">
        <f>+INPUT!EO164</f>
        <v>188399</v>
      </c>
      <c r="CS257" s="577">
        <f>+INPUT!EP164</f>
        <v>1.1679482773434131</v>
      </c>
      <c r="CT257" s="580">
        <f>+INPUT!EQ164</f>
        <v>194492</v>
      </c>
      <c r="CU257" s="577">
        <f>+INPUT!ER164</f>
        <v>6.0618619666695821</v>
      </c>
      <c r="CV257" s="580">
        <f>+INPUT!ES164</f>
        <v>194278.0588</v>
      </c>
      <c r="CW257" s="577">
        <f>+INPUT!ET164</f>
        <v>4.9499277746265733</v>
      </c>
      <c r="CX257" s="580">
        <f>+INPUT!EU164</f>
        <v>195929.4222998</v>
      </c>
      <c r="CY257" s="577">
        <f>+INPUT!EV164</f>
        <v>4.9940637156636853</v>
      </c>
      <c r="CZ257" s="580">
        <f>+INPUT!EW164</f>
        <v>197594.82238934829</v>
      </c>
      <c r="DA257" s="577">
        <f>+INPUT!EX164</f>
        <v>4.8810356686332312</v>
      </c>
      <c r="DB257" s="556"/>
      <c r="DC257" s="580">
        <f>+INPUT!FP164</f>
        <v>47680</v>
      </c>
      <c r="DD257" s="577">
        <f>+INPUT!FQ164</f>
        <v>21.335504885993501</v>
      </c>
      <c r="DE257" s="580">
        <f>+INPUT!FR164</f>
        <v>48080</v>
      </c>
      <c r="DF257" s="577">
        <f>+INPUT!FS164</f>
        <v>0.83892617449663476</v>
      </c>
      <c r="DG257" s="580">
        <f>+INPUT!FT164</f>
        <v>50269</v>
      </c>
      <c r="DH257" s="577">
        <f>+INPUT!FU164</f>
        <v>4.5528286189683911</v>
      </c>
      <c r="DI257" s="580">
        <f>+INPUT!FV164</f>
        <v>51591</v>
      </c>
      <c r="DJ257" s="577">
        <f>+INPUT!FW164</f>
        <v>2.6298513994708514</v>
      </c>
      <c r="DK257" s="580">
        <f>+INPUT!FX164</f>
        <v>50491</v>
      </c>
      <c r="DL257" s="577">
        <f>+INPUT!FY164</f>
        <v>-2.1321548332073519</v>
      </c>
      <c r="DM257" s="580">
        <f>+INPUT!FZ164</f>
        <v>51908</v>
      </c>
      <c r="DN257" s="577">
        <f>+INPUT!GA164</f>
        <v>2.8064407518171492</v>
      </c>
      <c r="DO257" s="580">
        <f>+INPUT!GB164</f>
        <v>64183</v>
      </c>
      <c r="DP257" s="577">
        <f>+INPUT!GC164</f>
        <v>23.647607305232341</v>
      </c>
      <c r="DQ257" s="580">
        <f>+INPUT!GD164</f>
        <v>90089</v>
      </c>
      <c r="DR257" s="577">
        <f>+INPUT!GE164</f>
        <v>40.362712867893379</v>
      </c>
      <c r="DS257" s="580">
        <f>+INPUT!GF164</f>
        <v>141435</v>
      </c>
      <c r="DT257" s="577">
        <f>+INPUT!GG164</f>
        <v>56.994749636470601</v>
      </c>
      <c r="DU257" s="580">
        <f>+INPUT!GH164</f>
        <v>149402</v>
      </c>
      <c r="DV257" s="577">
        <f>+INPUT!GI164</f>
        <v>5.6329762788560203</v>
      </c>
      <c r="DW257" s="580">
        <f>+INPUT!GJ164</f>
        <v>179641</v>
      </c>
      <c r="DX257" s="577">
        <f>+INPUT!GK164</f>
        <v>20.240023560594906</v>
      </c>
      <c r="DY257" s="580">
        <f>+INPUT!GL164</f>
        <v>179964</v>
      </c>
      <c r="DZ257" s="577">
        <f>+INPUT!GM164</f>
        <v>0.17980305164189758</v>
      </c>
      <c r="EA257" s="580">
        <f>+INPUT!GN164</f>
        <v>183376</v>
      </c>
      <c r="EB257" s="577">
        <f>+INPUT!GO164</f>
        <v>1.8959347425040391</v>
      </c>
      <c r="EC257" s="580">
        <f>+INPUT!GP164</f>
        <v>194492</v>
      </c>
      <c r="ED257" s="577">
        <f>+INPUT!GQ164</f>
        <v>6.0618619666695821</v>
      </c>
      <c r="EE257" s="580">
        <f>+INPUT!GR164</f>
        <v>199274.37837965778</v>
      </c>
      <c r="EF257" s="577">
        <f>+INPUT!GS164</f>
        <v>2.4589075024462659</v>
      </c>
      <c r="EG257" s="580">
        <f>+INPUT!GT164</f>
        <v>206049.70724456615</v>
      </c>
      <c r="EH257" s="577">
        <f>+INPUT!GU164</f>
        <v>3.4000000000000057</v>
      </c>
      <c r="EI257" s="580">
        <f>+INPUT!GV164</f>
        <v>213055.39729088137</v>
      </c>
      <c r="EJ257" s="577">
        <f>+INPUT!GW164</f>
        <v>3.3999999999999773</v>
      </c>
      <c r="EK257" s="580">
        <f>+INPUT!GX164</f>
        <v>220299.28079877136</v>
      </c>
      <c r="EL257" s="577">
        <f>+INPUT!GY164</f>
        <v>3.4000000000000057</v>
      </c>
      <c r="EM257" s="577">
        <f>+INPUT!GZ164</f>
        <v>3.7371033027812306</v>
      </c>
    </row>
    <row r="258" spans="1:143" ht="12.75" hidden="1" customHeight="1" outlineLevel="1" x14ac:dyDescent="0.2">
      <c r="A258" s="609" t="str">
        <f>+INPUT!B165</f>
        <v xml:space="preserve">  Deposits</v>
      </c>
      <c r="B258" s="580">
        <f>+INPUT!AY165</f>
        <v>1536</v>
      </c>
      <c r="C258" s="577">
        <f>+INPUT!AZ165</f>
        <v>23.57200321802091</v>
      </c>
      <c r="D258" s="580">
        <f>+INPUT!BA165</f>
        <v>1088</v>
      </c>
      <c r="E258" s="577">
        <f>+INPUT!BB165</f>
        <v>-11.902834008097159</v>
      </c>
      <c r="F258" s="580">
        <f>+INPUT!BC165</f>
        <v>2004</v>
      </c>
      <c r="G258" s="577" t="str">
        <f>+INPUT!BD165</f>
        <v>NM</v>
      </c>
      <c r="H258" s="580">
        <f>+INPUT!BE165</f>
        <v>1365</v>
      </c>
      <c r="I258" s="577">
        <f>+INPUT!BF165</f>
        <v>73.885350318471353</v>
      </c>
      <c r="J258" s="580">
        <f>+INPUT!BG165</f>
        <v>1533</v>
      </c>
      <c r="K258" s="577">
        <f>+INPUT!BH165</f>
        <v>-0.1953125</v>
      </c>
      <c r="L258" s="580">
        <f>+INPUT!BI165</f>
        <v>1597</v>
      </c>
      <c r="M258" s="577">
        <f>+INPUT!BJ165</f>
        <v>46.783088235294116</v>
      </c>
      <c r="N258" s="580">
        <f>+INPUT!BK165</f>
        <v>545</v>
      </c>
      <c r="O258" s="577" t="str">
        <f>+INPUT!BL165</f>
        <v>NM</v>
      </c>
      <c r="P258" s="580">
        <f>+INPUT!BM165</f>
        <v>1298</v>
      </c>
      <c r="Q258" s="577">
        <f>+INPUT!BN165</f>
        <v>-4.9084249084249194</v>
      </c>
      <c r="R258" s="580">
        <f>+INPUT!BO165</f>
        <v>1810</v>
      </c>
      <c r="S258" s="577">
        <f>+INPUT!BP165</f>
        <v>18.069145466405743</v>
      </c>
      <c r="T258" s="580">
        <f>+INPUT!BQ165</f>
        <v>1606</v>
      </c>
      <c r="U258" s="577">
        <f>+INPUT!BR165</f>
        <v>0.56355666875391819</v>
      </c>
      <c r="V258" s="580">
        <f>+INPUT!BS165</f>
        <v>1052</v>
      </c>
      <c r="W258" s="577">
        <f>+INPUT!BT165</f>
        <v>93.027522935779814</v>
      </c>
      <c r="X258" s="580">
        <f>+INPUT!BU165</f>
        <v>1270</v>
      </c>
      <c r="Y258" s="577">
        <f>+INPUT!BV165</f>
        <v>-2.1571648690292733</v>
      </c>
      <c r="Z258" s="580">
        <f>+INPUT!BW165</f>
        <v>627</v>
      </c>
      <c r="AA258" s="577" t="str">
        <f>+INPUT!BX165</f>
        <v>NM</v>
      </c>
      <c r="AB258" s="580">
        <f>+INPUT!BY165</f>
        <v>2343</v>
      </c>
      <c r="AC258" s="577">
        <f>+INPUT!BZ165</f>
        <v>45.890410958904113</v>
      </c>
      <c r="AD258" s="580">
        <f>+INPUT!CA165</f>
        <v>1329</v>
      </c>
      <c r="AE258" s="577">
        <f>+INPUT!CB165</f>
        <v>26.330798479087463</v>
      </c>
      <c r="AF258" s="580">
        <f>+INPUT!CC165</f>
        <v>3487</v>
      </c>
      <c r="AG258" s="577" t="str">
        <f>+INPUT!CD165</f>
        <v>NM</v>
      </c>
      <c r="AH258" s="580">
        <f>+INPUT!CE165</f>
        <v>1876</v>
      </c>
      <c r="AI258" s="577" t="str">
        <f>+INPUT!CF165</f>
        <v>NM</v>
      </c>
      <c r="AJ258" s="580">
        <f>+INPUT!CG165</f>
        <v>3692</v>
      </c>
      <c r="AK258" s="577">
        <f>+INPUT!CH165</f>
        <v>57.575757575757564</v>
      </c>
      <c r="AL258" s="580">
        <f>+INPUT!CI165</f>
        <v>3076</v>
      </c>
      <c r="AM258" s="577" t="str">
        <f>+INPUT!CJ165</f>
        <v>NM</v>
      </c>
      <c r="AN258" s="580">
        <f>+INPUT!CK165</f>
        <v>6654</v>
      </c>
      <c r="AO258" s="577">
        <f>+INPUT!CL165</f>
        <v>90.823057069113844</v>
      </c>
      <c r="AP258" s="580">
        <f>+INPUT!CM165</f>
        <v>5785</v>
      </c>
      <c r="AQ258" s="577" t="str">
        <f>+INPUT!CN165</f>
        <v>NM</v>
      </c>
      <c r="AR258" s="580">
        <f>+INPUT!CO165</f>
        <v>5592</v>
      </c>
      <c r="AS258" s="577">
        <f>+INPUT!CP165</f>
        <v>51.462621885157091</v>
      </c>
      <c r="AT258" s="580">
        <f>+INPUT!CQ165</f>
        <v>5571</v>
      </c>
      <c r="AU258" s="577">
        <f>+INPUT!CR165</f>
        <v>81.111833550065029</v>
      </c>
      <c r="AV258" s="580">
        <f>+INPUT!CS165</f>
        <v>10825</v>
      </c>
      <c r="AW258" s="577">
        <f>+INPUT!CT165</f>
        <v>62.684099789600225</v>
      </c>
      <c r="AX258" s="580">
        <f>+INPUT!CU165</f>
        <v>4399</v>
      </c>
      <c r="AY258" s="577">
        <f>+INPUT!CV165</f>
        <v>-23.958513396715645</v>
      </c>
      <c r="AZ258" s="580">
        <f>+INPUT!CW165</f>
        <v>8457</v>
      </c>
      <c r="BA258" s="577">
        <f>+INPUT!CX165</f>
        <v>51.233905579399163</v>
      </c>
      <c r="BB258" s="580">
        <f>+INPUT!CY165</f>
        <v>2957</v>
      </c>
      <c r="BC258" s="577">
        <f>+INPUT!CZ165</f>
        <v>-46.921558068569382</v>
      </c>
      <c r="BD258" s="580">
        <f>+INPUT!DA165</f>
        <v>39192</v>
      </c>
      <c r="BE258" s="577" t="str">
        <f>+INPUT!DB165</f>
        <v>NM</v>
      </c>
      <c r="BF258" s="580">
        <f>+INPUT!DC165</f>
        <v>3845</v>
      </c>
      <c r="BG258" s="577">
        <f>+INPUT!DD165</f>
        <v>-12.59377131166174</v>
      </c>
      <c r="BH258" s="580">
        <f>+INPUT!DE165</f>
        <v>4360</v>
      </c>
      <c r="BI258" s="577">
        <f>+INPUT!DF165</f>
        <v>-48.445075085727794</v>
      </c>
      <c r="BJ258" s="580">
        <f>+INPUT!DG165</f>
        <v>5034</v>
      </c>
      <c r="BK258" s="577">
        <f>+INPUT!DH165</f>
        <v>70.240108217788304</v>
      </c>
      <c r="BL258" s="580">
        <f>+INPUT!DI165</f>
        <v>4055</v>
      </c>
      <c r="BM258" s="577" t="str">
        <f>+INPUT!DJ165</f>
        <v>NM</v>
      </c>
      <c r="BN258" s="580">
        <f>+INPUT!DK165</f>
        <v>1733</v>
      </c>
      <c r="BO258" s="577" t="str">
        <f>+INPUT!DL165</f>
        <v>NM</v>
      </c>
      <c r="BP258" s="580">
        <f>+INPUT!DM165</f>
        <v>2075</v>
      </c>
      <c r="BQ258" s="577" t="str">
        <f>+INPUT!DN165</f>
        <v>NM</v>
      </c>
      <c r="BR258" s="580">
        <f>+INPUT!DO165</f>
        <v>30962</v>
      </c>
      <c r="BS258" s="577" t="str">
        <f>+INPUT!DP165</f>
        <v>NM</v>
      </c>
      <c r="BT258" s="580">
        <f>+INPUT!DQ165</f>
        <v>8523</v>
      </c>
      <c r="BU258" s="577" t="str">
        <f>+INPUT!DR165</f>
        <v>NM</v>
      </c>
      <c r="BV258" s="580">
        <f>+INPUT!DS165</f>
        <v>969</v>
      </c>
      <c r="BW258" s="577">
        <f>+INPUT!DT165</f>
        <v>-44.085401038661274</v>
      </c>
      <c r="BX258" s="580">
        <f>+INPUT!DU165</f>
        <v>9147</v>
      </c>
      <c r="BY258" s="577" t="str">
        <f>+INPUT!DV165</f>
        <v>NM</v>
      </c>
      <c r="BZ258" s="580">
        <f>+INPUT!DW165</f>
        <v>2031</v>
      </c>
      <c r="CA258" s="577" t="str">
        <f>+INPUT!DX165</f>
        <v>NM</v>
      </c>
      <c r="CB258" s="580">
        <f>+INPUT!DY165</f>
        <v>3425</v>
      </c>
      <c r="CC258" s="577" t="str">
        <f>+INPUT!DZ165</f>
        <v>NM</v>
      </c>
      <c r="CD258" s="580">
        <f>+INPUT!EA165</f>
        <v>2061</v>
      </c>
      <c r="CE258" s="577" t="str">
        <f>+INPUT!EB165</f>
        <v>NM</v>
      </c>
      <c r="CF258" s="580">
        <f>+INPUT!EC165</f>
        <v>3421</v>
      </c>
      <c r="CG258" s="577" t="str">
        <f>+INPUT!ED165</f>
        <v>NM</v>
      </c>
      <c r="CH258" s="580">
        <f>+INPUT!EE165</f>
        <v>6907</v>
      </c>
      <c r="CI258" s="577" t="str">
        <f>+INPUT!EF165</f>
        <v>NM</v>
      </c>
      <c r="CJ258" s="580">
        <f>+INPUT!EG165</f>
        <v>3751</v>
      </c>
      <c r="CK258" s="577">
        <f>+INPUT!EH165</f>
        <v>9.5182481751824781</v>
      </c>
      <c r="CL258" s="580">
        <f>+INPUT!EI165</f>
        <v>4042</v>
      </c>
      <c r="CM258" s="577">
        <f>+INPUT!EJ165</f>
        <v>96.118389131489579</v>
      </c>
      <c r="CN258" s="580">
        <f>+INPUT!EK165</f>
        <v>2557</v>
      </c>
      <c r="CO258" s="577">
        <f>+INPUT!EL165</f>
        <v>-25.255773165741019</v>
      </c>
      <c r="CP258" s="580">
        <f>+INPUT!EM165</f>
        <v>4764</v>
      </c>
      <c r="CQ258" s="577">
        <f>+INPUT!EN165</f>
        <v>-31.026494860286675</v>
      </c>
      <c r="CR258" s="580">
        <f>+INPUT!EO165</f>
        <v>10267</v>
      </c>
      <c r="CS258" s="577" t="str">
        <f>+INPUT!EP165</f>
        <v>NM</v>
      </c>
      <c r="CT258" s="580">
        <f>+INPUT!EQ165</f>
        <v>5348.53</v>
      </c>
      <c r="CU258" s="577">
        <f>+INPUT!ER165</f>
        <v>32.323849579416105</v>
      </c>
      <c r="CV258" s="580">
        <f>+INPUT!ES165</f>
        <v>5342.6466170000003</v>
      </c>
      <c r="CW258" s="577" t="str">
        <f>+INPUT!ET165</f>
        <v>NM</v>
      </c>
      <c r="CX258" s="580">
        <f>+INPUT!EU165</f>
        <v>5388.0591132445006</v>
      </c>
      <c r="CY258" s="577">
        <f>+INPUT!EV165</f>
        <v>13.099477607986998</v>
      </c>
      <c r="CZ258" s="580">
        <f>+INPUT!EW165</f>
        <v>5433.8576157070775</v>
      </c>
      <c r="DA258" s="577">
        <f>+INPUT!EX165</f>
        <v>-47.074533790717076</v>
      </c>
      <c r="DB258" s="556"/>
      <c r="DC258" s="580">
        <f>+INPUT!FP165</f>
        <v>4065</v>
      </c>
      <c r="DD258" s="577">
        <f>+INPUT!FQ165</f>
        <v>37.74991528295493</v>
      </c>
      <c r="DE258" s="580">
        <f>+INPUT!FR165</f>
        <v>5993</v>
      </c>
      <c r="DF258" s="577">
        <f>+INPUT!FS165</f>
        <v>47.429274292742917</v>
      </c>
      <c r="DG258" s="580">
        <f>+INPUT!FT165</f>
        <v>4973</v>
      </c>
      <c r="DH258" s="577">
        <f>+INPUT!FU165</f>
        <v>-17.019856499249116</v>
      </c>
      <c r="DI258" s="580">
        <f>+INPUT!FV165</f>
        <v>5738</v>
      </c>
      <c r="DJ258" s="577">
        <f>+INPUT!FW165</f>
        <v>15.383068570279505</v>
      </c>
      <c r="DK258" s="580">
        <f>+INPUT!FX165</f>
        <v>7786</v>
      </c>
      <c r="DL258" s="577">
        <f>+INPUT!FY165</f>
        <v>35.691878703380979</v>
      </c>
      <c r="DM258" s="580">
        <f>+INPUT!FZ165</f>
        <v>15298</v>
      </c>
      <c r="DN258" s="577">
        <f>+INPUT!GA165</f>
        <v>96.480863087593121</v>
      </c>
      <c r="DO258" s="580">
        <f>+INPUT!GB165</f>
        <v>27773</v>
      </c>
      <c r="DP258" s="577">
        <f>+INPUT!GC165</f>
        <v>81.546607399660076</v>
      </c>
      <c r="DQ258" s="580">
        <f>+INPUT!GD165</f>
        <v>55005</v>
      </c>
      <c r="DR258" s="577">
        <f>+INPUT!GE165</f>
        <v>98.052064955172284</v>
      </c>
      <c r="DS258" s="580">
        <f>+INPUT!GF165</f>
        <v>17294</v>
      </c>
      <c r="DT258" s="577" t="str">
        <f>+INPUT!GG165</f>
        <v>NM</v>
      </c>
      <c r="DU258" s="580">
        <f>+INPUT!GH165</f>
        <v>43293</v>
      </c>
      <c r="DV258" s="577" t="str">
        <f>+INPUT!GI165</f>
        <v>NM</v>
      </c>
      <c r="DW258" s="580">
        <f>+INPUT!GJ165</f>
        <v>15572</v>
      </c>
      <c r="DX258" s="577" t="str">
        <f>+INPUT!GK165</f>
        <v>NM</v>
      </c>
      <c r="DY258" s="580">
        <f>+INPUT!GL165</f>
        <v>16140</v>
      </c>
      <c r="DZ258" s="577">
        <f>+INPUT!GM165</f>
        <v>3.6475725661443619</v>
      </c>
      <c r="EA258" s="580">
        <f>+INPUT!GN165</f>
        <v>21630</v>
      </c>
      <c r="EB258" s="577">
        <f>+INPUT!GO165</f>
        <v>34.014869888475829</v>
      </c>
      <c r="EC258" s="580">
        <f>+INPUT!GP165</f>
        <v>21513.09334595158</v>
      </c>
      <c r="ED258" s="577">
        <f>+INPUT!GQ165</f>
        <v>-0.5404838374869172</v>
      </c>
      <c r="EE258" s="580">
        <f>+INPUT!GR165</f>
        <v>21920.181621762356</v>
      </c>
      <c r="EF258" s="577">
        <f>+INPUT!GS165</f>
        <v>1.8922814551324478</v>
      </c>
      <c r="EG258" s="580">
        <f>+INPUT!GT165</f>
        <v>22665.467796902274</v>
      </c>
      <c r="EH258" s="577">
        <f>+INPUT!GU165</f>
        <v>3.3999999999999773</v>
      </c>
      <c r="EI258" s="580">
        <f>+INPUT!GV165</f>
        <v>23436.093701996953</v>
      </c>
      <c r="EJ258" s="577">
        <f>+INPUT!GW165</f>
        <v>3.4000000000000057</v>
      </c>
      <c r="EK258" s="580">
        <f>+INPUT!GX165</f>
        <v>24232.92088786485</v>
      </c>
      <c r="EL258" s="577">
        <f>+INPUT!GY165</f>
        <v>3.4000000000000057</v>
      </c>
      <c r="EM258" s="577">
        <f>+INPUT!GZ165</f>
        <v>2.2986373967291751</v>
      </c>
    </row>
    <row r="259" spans="1:143" ht="12.75" hidden="1" customHeight="1" outlineLevel="1" x14ac:dyDescent="0.2">
      <c r="A259" s="609" t="str">
        <f>+INPUT!B166</f>
        <v xml:space="preserve">  Withdrawals</v>
      </c>
      <c r="B259" s="580">
        <f>+INPUT!AY166</f>
        <v>-2452</v>
      </c>
      <c r="C259" s="577" t="str">
        <f>+INPUT!AZ166</f>
        <v>NM</v>
      </c>
      <c r="D259" s="580">
        <f>+INPUT!BA166</f>
        <v>-1429</v>
      </c>
      <c r="E259" s="577">
        <f>+INPUT!BB166</f>
        <v>16.939443535188218</v>
      </c>
      <c r="F259" s="580">
        <f>+INPUT!BC166</f>
        <v>-711</v>
      </c>
      <c r="G259" s="577">
        <f>+INPUT!BD166</f>
        <v>-20.647321428571431</v>
      </c>
      <c r="H259" s="580">
        <f>+INPUT!BE166</f>
        <v>-1764</v>
      </c>
      <c r="I259" s="577">
        <f>+INPUT!BF166</f>
        <v>-21.038495971351836</v>
      </c>
      <c r="J259" s="580">
        <f>+INPUT!BG166</f>
        <v>-1743</v>
      </c>
      <c r="K259" s="577">
        <f>+INPUT!BH166</f>
        <v>-28.915171288743878</v>
      </c>
      <c r="L259" s="580">
        <f>+INPUT!BI166</f>
        <v>-1399</v>
      </c>
      <c r="M259" s="577">
        <f>+INPUT!BJ166</f>
        <v>-2.0993701889433112</v>
      </c>
      <c r="N259" s="580">
        <f>+INPUT!BK166</f>
        <v>-1193</v>
      </c>
      <c r="O259" s="577">
        <f>+INPUT!BL166</f>
        <v>67.791842475386801</v>
      </c>
      <c r="P259" s="580">
        <f>+INPUT!BM166</f>
        <v>-1863</v>
      </c>
      <c r="Q259" s="577">
        <f>+INPUT!BN166</f>
        <v>5.6122448979591724</v>
      </c>
      <c r="R259" s="580">
        <f>+INPUT!BO166</f>
        <v>-1702</v>
      </c>
      <c r="S259" s="577">
        <f>+INPUT!BP166</f>
        <v>-2.3522662076878902</v>
      </c>
      <c r="T259" s="580">
        <f>+INPUT!BQ166</f>
        <v>-1944</v>
      </c>
      <c r="U259" s="577">
        <f>+INPUT!BR166</f>
        <v>38.956397426733389</v>
      </c>
      <c r="V259" s="580">
        <f>+INPUT!BS166</f>
        <v>-2114</v>
      </c>
      <c r="W259" s="577">
        <f>+INPUT!BT166</f>
        <v>77.200335289186938</v>
      </c>
      <c r="X259" s="580">
        <f>+INPUT!BU166</f>
        <v>-1632</v>
      </c>
      <c r="Y259" s="577">
        <f>+INPUT!BV166</f>
        <v>-12.399355877616742</v>
      </c>
      <c r="Z259" s="580">
        <f>+INPUT!BW166</f>
        <v>-2037</v>
      </c>
      <c r="AA259" s="577">
        <f>+INPUT!BX166</f>
        <v>19.682726204465339</v>
      </c>
      <c r="AB259" s="580">
        <f>+INPUT!BY166</f>
        <v>-1272</v>
      </c>
      <c r="AC259" s="577">
        <f>+INPUT!BZ166</f>
        <v>-34.567901234567898</v>
      </c>
      <c r="AD259" s="580">
        <f>+INPUT!CA166</f>
        <v>-2523</v>
      </c>
      <c r="AE259" s="577">
        <f>+INPUT!CB166</f>
        <v>19.347209082308424</v>
      </c>
      <c r="AF259" s="580">
        <f>+INPUT!CC166</f>
        <v>-1985</v>
      </c>
      <c r="AG259" s="577">
        <f>+INPUT!CD166</f>
        <v>21.629901960784309</v>
      </c>
      <c r="AH259" s="580">
        <f>+INPUT!CE166</f>
        <v>-2139</v>
      </c>
      <c r="AI259" s="577">
        <f>+INPUT!CF166</f>
        <v>5.0073637702503788</v>
      </c>
      <c r="AJ259" s="580">
        <f>+INPUT!CG166</f>
        <v>-2002</v>
      </c>
      <c r="AK259" s="577">
        <f>+INPUT!CH166</f>
        <v>57.389937106918239</v>
      </c>
      <c r="AL259" s="580">
        <f>+INPUT!CI166</f>
        <v>-1640</v>
      </c>
      <c r="AM259" s="577">
        <f>+INPUT!CJ166</f>
        <v>-34.998018232263178</v>
      </c>
      <c r="AN259" s="580">
        <f>+INPUT!CK166</f>
        <v>-1177</v>
      </c>
      <c r="AO259" s="577">
        <f>+INPUT!CL166</f>
        <v>-40.705289672544076</v>
      </c>
      <c r="AP259" s="580">
        <f>+INPUT!CM166</f>
        <v>-1128</v>
      </c>
      <c r="AQ259" s="577">
        <f>+INPUT!CN166</f>
        <v>-47.265077138849932</v>
      </c>
      <c r="AR259" s="580">
        <f>+INPUT!CO166</f>
        <v>-1437</v>
      </c>
      <c r="AS259" s="577">
        <f>+INPUT!CP166</f>
        <v>-28.221778221778223</v>
      </c>
      <c r="AT259" s="580">
        <f>+INPUT!CQ166</f>
        <v>-1501</v>
      </c>
      <c r="AU259" s="577">
        <f>+INPUT!CR166</f>
        <v>-8.4756097560975547</v>
      </c>
      <c r="AV259" s="580">
        <f>+INPUT!CS166</f>
        <v>-2084</v>
      </c>
      <c r="AW259" s="577">
        <f>+INPUT!CT166</f>
        <v>77.060322854715366</v>
      </c>
      <c r="AX259" s="580">
        <f>+INPUT!CU166</f>
        <v>-1538</v>
      </c>
      <c r="AY259" s="577">
        <f>+INPUT!CV166</f>
        <v>36.347517730496435</v>
      </c>
      <c r="AZ259" s="580">
        <f>+INPUT!CW166</f>
        <v>-2832</v>
      </c>
      <c r="BA259" s="577">
        <f>+INPUT!CX166</f>
        <v>97.077244258872639</v>
      </c>
      <c r="BB259" s="580">
        <f>+INPUT!CY166</f>
        <v>-1539</v>
      </c>
      <c r="BC259" s="577">
        <f>+INPUT!CZ166</f>
        <v>2.5316455696202382</v>
      </c>
      <c r="BD259" s="580">
        <f>+INPUT!DA166</f>
        <v>-2586</v>
      </c>
      <c r="BE259" s="577">
        <f>+INPUT!DB166</f>
        <v>24.088291746641062</v>
      </c>
      <c r="BF259" s="580">
        <f>+INPUT!DC166</f>
        <v>-2319</v>
      </c>
      <c r="BG259" s="577">
        <f>+INPUT!DD166</f>
        <v>50.78023407022107</v>
      </c>
      <c r="BH259" s="580">
        <f>+INPUT!DE166</f>
        <v>-2462</v>
      </c>
      <c r="BI259" s="577">
        <f>+INPUT!DF166</f>
        <v>-13.064971751412429</v>
      </c>
      <c r="BJ259" s="580">
        <f>+INPUT!DG166</f>
        <v>-2487</v>
      </c>
      <c r="BK259" s="577">
        <f>+INPUT!DH166</f>
        <v>61.598440545808955</v>
      </c>
      <c r="BL259" s="580">
        <f>+INPUT!DI166</f>
        <v>-2683</v>
      </c>
      <c r="BM259" s="577">
        <f>+INPUT!DJ166</f>
        <v>3.7509667440061918</v>
      </c>
      <c r="BN259" s="580">
        <f>+INPUT!DK166</f>
        <v>-3017</v>
      </c>
      <c r="BO259" s="577">
        <f>+INPUT!DL166</f>
        <v>30.099180681328164</v>
      </c>
      <c r="BP259" s="580">
        <f>+INPUT!DM166</f>
        <v>-4602</v>
      </c>
      <c r="BQ259" s="577">
        <f>+INPUT!DN166</f>
        <v>86.921202274573517</v>
      </c>
      <c r="BR259" s="580">
        <f>+INPUT!DO166</f>
        <v>-3634</v>
      </c>
      <c r="BS259" s="577">
        <f>+INPUT!DP166</f>
        <v>46.11982308001609</v>
      </c>
      <c r="BT259" s="580">
        <f>+INPUT!DQ166</f>
        <v>-4783</v>
      </c>
      <c r="BU259" s="577">
        <f>+INPUT!DR166</f>
        <v>78.270592620201256</v>
      </c>
      <c r="BV259" s="580">
        <f>+INPUT!DS166</f>
        <v>-3495</v>
      </c>
      <c r="BW259" s="577">
        <f>+INPUT!DT166</f>
        <v>15.843553198541599</v>
      </c>
      <c r="BX259" s="580">
        <f>+INPUT!DU166</f>
        <v>-3808</v>
      </c>
      <c r="BY259" s="577">
        <f>+INPUT!DV166</f>
        <v>-17.253368100825725</v>
      </c>
      <c r="BZ259" s="580">
        <f>+INPUT!DW166</f>
        <v>-3940</v>
      </c>
      <c r="CA259" s="577">
        <f>+INPUT!DX166</f>
        <v>8.4204733076499707</v>
      </c>
      <c r="CB259" s="580">
        <f>+INPUT!DY166</f>
        <v>-4145</v>
      </c>
      <c r="CC259" s="577">
        <f>+INPUT!DZ166</f>
        <v>-13.338908634748066</v>
      </c>
      <c r="CD259" s="580">
        <f>+INPUT!EA166</f>
        <v>-2783</v>
      </c>
      <c r="CE259" s="577">
        <f>+INPUT!EB166</f>
        <v>-20.371959942775391</v>
      </c>
      <c r="CF259" s="580">
        <f>+INPUT!EC166</f>
        <v>-3119</v>
      </c>
      <c r="CG259" s="577">
        <f>+INPUT!ED166</f>
        <v>-18.09348739495799</v>
      </c>
      <c r="CH259" s="580">
        <f>+INPUT!EE166</f>
        <v>-2339</v>
      </c>
      <c r="CI259" s="577">
        <f>+INPUT!EF166</f>
        <v>-40.63451776649746</v>
      </c>
      <c r="CJ259" s="580">
        <f>+INPUT!EG166</f>
        <v>-3920</v>
      </c>
      <c r="CK259" s="577">
        <f>+INPUT!EH166</f>
        <v>-5.4282267792521139</v>
      </c>
      <c r="CL259" s="580">
        <f>+INPUT!EI166</f>
        <v>-4241</v>
      </c>
      <c r="CM259" s="577">
        <f>+INPUT!EJ166</f>
        <v>52.389507725476108</v>
      </c>
      <c r="CN259" s="580">
        <f>+INPUT!EK166</f>
        <v>-4171</v>
      </c>
      <c r="CO259" s="577">
        <f>+INPUT!EL166</f>
        <v>33.728759217697984</v>
      </c>
      <c r="CP259" s="580">
        <f>+INPUT!EM166</f>
        <v>-3552</v>
      </c>
      <c r="CQ259" s="577">
        <f>+INPUT!EN166</f>
        <v>51.859769132107743</v>
      </c>
      <c r="CR259" s="580">
        <f>+INPUT!EO166</f>
        <v>-5442</v>
      </c>
      <c r="CS259" s="577">
        <f>+INPUT!EP166</f>
        <v>38.826530612244909</v>
      </c>
      <c r="CT259" s="580">
        <f>+INPUT!EQ166</f>
        <v>-4862.3</v>
      </c>
      <c r="CU259" s="577">
        <f>+INPUT!ER166</f>
        <v>14.649846734260791</v>
      </c>
      <c r="CV259" s="580">
        <f>+INPUT!ES166</f>
        <v>-4856.95147</v>
      </c>
      <c r="CW259" s="577">
        <f>+INPUT!ET166</f>
        <v>16.44573171901223</v>
      </c>
      <c r="CX259" s="580">
        <f>+INPUT!EU166</f>
        <v>-4898.2355574949997</v>
      </c>
      <c r="CY259" s="577">
        <f>+INPUT!EV166</f>
        <v>37.900775830377256</v>
      </c>
      <c r="CZ259" s="580">
        <f>+INPUT!EW166</f>
        <v>-4939.8705597337075</v>
      </c>
      <c r="DA259" s="577">
        <f>+INPUT!EX166</f>
        <v>-9.2269283400641768</v>
      </c>
      <c r="DB259" s="556"/>
      <c r="DC259" s="580">
        <f>+INPUT!FP166</f>
        <v>-5533</v>
      </c>
      <c r="DD259" s="577">
        <f>+INPUT!FQ166</f>
        <v>43.341968911917093</v>
      </c>
      <c r="DE259" s="580">
        <f>+INPUT!FR166</f>
        <v>-6356</v>
      </c>
      <c r="DF259" s="577">
        <f>+INPUT!FS166</f>
        <v>14.874390023495394</v>
      </c>
      <c r="DG259" s="580">
        <f>+INPUT!FT166</f>
        <v>-6198</v>
      </c>
      <c r="DH259" s="577">
        <f>+INPUT!FU166</f>
        <v>-2.4858401510383885</v>
      </c>
      <c r="DI259" s="580">
        <f>+INPUT!FV166</f>
        <v>-7392</v>
      </c>
      <c r="DJ259" s="577">
        <f>+INPUT!FW166</f>
        <v>19.264278799612782</v>
      </c>
      <c r="DK259" s="580">
        <f>+INPUT!FX166</f>
        <v>-7817</v>
      </c>
      <c r="DL259" s="577">
        <f>+INPUT!FY166</f>
        <v>5.749458874458881</v>
      </c>
      <c r="DM259" s="580">
        <f>+INPUT!FZ166</f>
        <v>-6958</v>
      </c>
      <c r="DN259" s="577">
        <f>+INPUT!GA166</f>
        <v>-10.988870410643472</v>
      </c>
      <c r="DO259" s="580">
        <f>+INPUT!GB166</f>
        <v>-6150</v>
      </c>
      <c r="DP259" s="577">
        <f>+INPUT!GC166</f>
        <v>-11.612532336878417</v>
      </c>
      <c r="DQ259" s="580">
        <f>+INPUT!GD166</f>
        <v>-8495</v>
      </c>
      <c r="DR259" s="577">
        <f>+INPUT!GE166</f>
        <v>38.130081300813004</v>
      </c>
      <c r="DS259" s="580">
        <f>+INPUT!GF166</f>
        <v>-9951</v>
      </c>
      <c r="DT259" s="577">
        <f>+INPUT!GG166</f>
        <v>17.139493819894057</v>
      </c>
      <c r="DU259" s="580">
        <f>+INPUT!GH166</f>
        <v>-16036</v>
      </c>
      <c r="DV259" s="577">
        <f>+INPUT!GI166</f>
        <v>61.149633202693195</v>
      </c>
      <c r="DW259" s="580">
        <f>+INPUT!GJ166</f>
        <v>-15388</v>
      </c>
      <c r="DX259" s="577">
        <f>+INPUT!GK166</f>
        <v>-4.0409079570965218</v>
      </c>
      <c r="DY259" s="580">
        <f>+INPUT!GL166</f>
        <v>-12161</v>
      </c>
      <c r="DZ259" s="577">
        <f>+INPUT!GM166</f>
        <v>-20.970886404990907</v>
      </c>
      <c r="EA259" s="580">
        <f>+INPUT!GN166</f>
        <v>-17406</v>
      </c>
      <c r="EB259" s="577">
        <f>+INPUT!GO166</f>
        <v>43.129676835786512</v>
      </c>
      <c r="EC259" s="580">
        <f>+INPUT!GP166</f>
        <v>-19557.357587228707</v>
      </c>
      <c r="ED259" s="577">
        <f>+INPUT!GQ166</f>
        <v>12.359862043138619</v>
      </c>
      <c r="EE259" s="580">
        <f>+INPUT!GR166</f>
        <v>-19927.437837965776</v>
      </c>
      <c r="EF259" s="577">
        <f>+INPUT!GS166</f>
        <v>1.8922814551324478</v>
      </c>
      <c r="EG259" s="580">
        <f>+INPUT!GT166</f>
        <v>-20604.970724456616</v>
      </c>
      <c r="EH259" s="577">
        <f>+INPUT!GU166</f>
        <v>3.4000000000000199</v>
      </c>
      <c r="EI259" s="580">
        <f>+INPUT!GV166</f>
        <v>-21305.539729088134</v>
      </c>
      <c r="EJ259" s="577">
        <f>+INPUT!GW166</f>
        <v>3.3999999999999631</v>
      </c>
      <c r="EK259" s="580">
        <f>+INPUT!GX166</f>
        <v>-22029.928079877136</v>
      </c>
      <c r="EL259" s="577">
        <f>+INPUT!GY166</f>
        <v>3.4000000000000199</v>
      </c>
      <c r="EM259" s="577">
        <f>+INPUT!GZ166</f>
        <v>4.8245049431607789</v>
      </c>
    </row>
    <row r="260" spans="1:143" ht="12.75" hidden="1" customHeight="1" outlineLevel="1" x14ac:dyDescent="0.2">
      <c r="A260" s="609" t="str">
        <f>+INPUT!B167</f>
        <v xml:space="preserve">  Market Performance</v>
      </c>
      <c r="B260" s="580">
        <f>+INPUT!AY167</f>
        <v>182</v>
      </c>
      <c r="C260" s="577">
        <f>+INPUT!AZ167</f>
        <v>-42.767295597484278</v>
      </c>
      <c r="D260" s="580">
        <f>+INPUT!BA167</f>
        <v>423</v>
      </c>
      <c r="E260" s="577" t="str">
        <f>+INPUT!BB167</f>
        <v>NM</v>
      </c>
      <c r="F260" s="580">
        <f>+INPUT!BC167</f>
        <v>995</v>
      </c>
      <c r="G260" s="577" t="str">
        <f>+INPUT!BD167</f>
        <v>NM</v>
      </c>
      <c r="H260" s="580">
        <f>+INPUT!BE167</f>
        <v>647</v>
      </c>
      <c r="I260" s="577">
        <f>+INPUT!BF167</f>
        <v>15.12455516014235</v>
      </c>
      <c r="J260" s="580">
        <f>+INPUT!BG167</f>
        <v>607</v>
      </c>
      <c r="K260" s="577" t="str">
        <f>+INPUT!BH167</f>
        <v>NM</v>
      </c>
      <c r="L260" s="580">
        <f>+INPUT!BI167</f>
        <v>325</v>
      </c>
      <c r="M260" s="577">
        <f>+INPUT!BJ167</f>
        <v>-23.167848699763596</v>
      </c>
      <c r="N260" s="580">
        <f>+INPUT!BK167</f>
        <v>933</v>
      </c>
      <c r="O260" s="577">
        <f>+INPUT!BL167</f>
        <v>-6.2311557788944754</v>
      </c>
      <c r="P260" s="580">
        <f>+INPUT!BM167</f>
        <v>900</v>
      </c>
      <c r="Q260" s="577">
        <f>+INPUT!BN167</f>
        <v>39.103554868624428</v>
      </c>
      <c r="R260" s="580">
        <f>+INPUT!BO167</f>
        <v>561</v>
      </c>
      <c r="S260" s="577">
        <f>+INPUT!BP167</f>
        <v>-7.5782537067545377</v>
      </c>
      <c r="T260" s="580">
        <f>+INPUT!BQ167</f>
        <v>241</v>
      </c>
      <c r="U260" s="577">
        <f>+INPUT!BR167</f>
        <v>-25.84615384615384</v>
      </c>
      <c r="V260" s="580">
        <f>+INPUT!BS167</f>
        <v>153</v>
      </c>
      <c r="W260" s="577" t="str">
        <f>+INPUT!BT167</f>
        <v>NM</v>
      </c>
      <c r="X260" s="580">
        <f>+INPUT!BU167</f>
        <v>1243</v>
      </c>
      <c r="Y260" s="577">
        <f>+INPUT!BV167</f>
        <v>38.111111111111114</v>
      </c>
      <c r="Z260" s="580">
        <f>+INPUT!BW167</f>
        <v>-152</v>
      </c>
      <c r="AA260" s="577" t="str">
        <f>+INPUT!BX167</f>
        <v>NM</v>
      </c>
      <c r="AB260" s="580">
        <f>+INPUT!BY167</f>
        <v>678</v>
      </c>
      <c r="AC260" s="577" t="str">
        <f>+INPUT!BZ167</f>
        <v>NM</v>
      </c>
      <c r="AD260" s="580">
        <f>+INPUT!CA167</f>
        <v>1548</v>
      </c>
      <c r="AE260" s="577" t="str">
        <f>+INPUT!CB167</f>
        <v>NM</v>
      </c>
      <c r="AF260" s="580">
        <f>+INPUT!CC167</f>
        <v>213</v>
      </c>
      <c r="AG260" s="577" t="str">
        <f>+INPUT!CD167</f>
        <v>NM</v>
      </c>
      <c r="AH260" s="580">
        <f>+INPUT!CE167</f>
        <v>799</v>
      </c>
      <c r="AI260" s="577" t="str">
        <f>+INPUT!CF167</f>
        <v>NM</v>
      </c>
      <c r="AJ260" s="580">
        <f>+INPUT!CG167</f>
        <v>1448</v>
      </c>
      <c r="AK260" s="577" t="str">
        <f>+INPUT!CH167</f>
        <v>NM</v>
      </c>
      <c r="AL260" s="580">
        <f>+INPUT!CI167</f>
        <v>1298</v>
      </c>
      <c r="AM260" s="577">
        <f>+INPUT!CJ167</f>
        <v>-16.1498708010336</v>
      </c>
      <c r="AN260" s="580">
        <f>+INPUT!CK167</f>
        <v>-175</v>
      </c>
      <c r="AO260" s="577" t="str">
        <f>+INPUT!CL167</f>
        <v>NM</v>
      </c>
      <c r="AP260" s="580">
        <f>+INPUT!CM167</f>
        <v>482</v>
      </c>
      <c r="AQ260" s="577">
        <f>+INPUT!CN167</f>
        <v>-39.674593241551939</v>
      </c>
      <c r="AR260" s="580">
        <f>+INPUT!CO167</f>
        <v>1190</v>
      </c>
      <c r="AS260" s="577">
        <f>+INPUT!CP167</f>
        <v>-17.817679558011051</v>
      </c>
      <c r="AT260" s="580">
        <f>+INPUT!CQ167</f>
        <v>2176</v>
      </c>
      <c r="AU260" s="577">
        <f>+INPUT!CR167</f>
        <v>67.642526964560858</v>
      </c>
      <c r="AV260" s="580">
        <f>+INPUT!CS167</f>
        <v>733</v>
      </c>
      <c r="AW260" s="577" t="str">
        <f>+INPUT!CT167</f>
        <v>NM</v>
      </c>
      <c r="AX260" s="580">
        <f>+INPUT!CU167</f>
        <v>928</v>
      </c>
      <c r="AY260" s="577">
        <f>+INPUT!CV167</f>
        <v>92.531120331950206</v>
      </c>
      <c r="AZ260" s="580">
        <f>+INPUT!CW167</f>
        <v>1562</v>
      </c>
      <c r="BA260" s="577">
        <f>+INPUT!CX167</f>
        <v>31.260504201680675</v>
      </c>
      <c r="BB260" s="580">
        <f>+INPUT!CY167</f>
        <v>1509</v>
      </c>
      <c r="BC260" s="577">
        <f>+INPUT!CZ167</f>
        <v>-30.652573529411768</v>
      </c>
      <c r="BD260" s="580">
        <f>+INPUT!DA167</f>
        <v>788</v>
      </c>
      <c r="BE260" s="577">
        <f>+INPUT!DB167</f>
        <v>7.5034106412005457</v>
      </c>
      <c r="BF260" s="580">
        <f>+INPUT!DC167</f>
        <v>202</v>
      </c>
      <c r="BG260" s="577" t="str">
        <f>+INPUT!DD167</f>
        <v>NM</v>
      </c>
      <c r="BH260" s="580">
        <f>+INPUT!DE167</f>
        <v>-662</v>
      </c>
      <c r="BI260" s="577" t="str">
        <f>+INPUT!DF167</f>
        <v>NM</v>
      </c>
      <c r="BJ260" s="580">
        <f>+INPUT!DG167</f>
        <v>412</v>
      </c>
      <c r="BK260" s="577" t="str">
        <f>+INPUT!DH167</f>
        <v>NM</v>
      </c>
      <c r="BL260" s="580">
        <f>+INPUT!DI167</f>
        <v>968</v>
      </c>
      <c r="BM260" s="577">
        <f>+INPUT!DJ167</f>
        <v>22.842639593908615</v>
      </c>
      <c r="BN260" s="580">
        <f>+INPUT!DK167</f>
        <v>1441</v>
      </c>
      <c r="BO260" s="577" t="str">
        <f>+INPUT!DL167</f>
        <v>NM</v>
      </c>
      <c r="BP260" s="580">
        <f>+INPUT!DM167</f>
        <v>1753</v>
      </c>
      <c r="BQ260" s="577" t="str">
        <f>+INPUT!DN167</f>
        <v>NM</v>
      </c>
      <c r="BR260" s="580">
        <f>+INPUT!DO167</f>
        <v>940</v>
      </c>
      <c r="BS260" s="577" t="str">
        <f>+INPUT!DP167</f>
        <v>NM</v>
      </c>
      <c r="BT260" s="580">
        <f>+INPUT!DQ167</f>
        <v>1699</v>
      </c>
      <c r="BU260" s="577">
        <f>+INPUT!DR167</f>
        <v>75.516528925619838</v>
      </c>
      <c r="BV260" s="580">
        <f>+INPUT!DS167</f>
        <v>1629</v>
      </c>
      <c r="BW260" s="577">
        <f>+INPUT!DT167</f>
        <v>13.046495489243568</v>
      </c>
      <c r="BX260" s="580">
        <f>+INPUT!DU167</f>
        <v>83</v>
      </c>
      <c r="BY260" s="577" t="str">
        <f>+INPUT!DV167</f>
        <v>NM</v>
      </c>
      <c r="BZ260" s="580">
        <f>+INPUT!DW167</f>
        <v>1106</v>
      </c>
      <c r="CA260" s="577">
        <f>+INPUT!DX167</f>
        <v>17.659574468085111</v>
      </c>
      <c r="CB260" s="580">
        <f>+INPUT!DY167</f>
        <v>658</v>
      </c>
      <c r="CC260" s="577" t="str">
        <f>+INPUT!DZ167</f>
        <v>NM</v>
      </c>
      <c r="CD260" s="580">
        <f>+INPUT!EA167</f>
        <v>2198</v>
      </c>
      <c r="CE260" s="577">
        <f>+INPUT!EB167</f>
        <v>34.92940454266423</v>
      </c>
      <c r="CF260" s="580">
        <f>+INPUT!EC167</f>
        <v>2053</v>
      </c>
      <c r="CG260" s="577" t="str">
        <f>+INPUT!ED167</f>
        <v>NM</v>
      </c>
      <c r="CH260" s="580">
        <f>+INPUT!EE167</f>
        <v>1953</v>
      </c>
      <c r="CI260" s="577">
        <f>+INPUT!EF167</f>
        <v>76.582278481012679</v>
      </c>
      <c r="CJ260" s="580">
        <f>+INPUT!EG167</f>
        <v>-905</v>
      </c>
      <c r="CK260" s="577" t="str">
        <f>+INPUT!EH167</f>
        <v>NM</v>
      </c>
      <c r="CL260" s="580">
        <f>+INPUT!EI167</f>
        <v>1229</v>
      </c>
      <c r="CM260" s="577">
        <f>+INPUT!EJ167</f>
        <v>-44.085532302092808</v>
      </c>
      <c r="CN260" s="580">
        <f>+INPUT!EK167</f>
        <v>1673</v>
      </c>
      <c r="CO260" s="577">
        <f>+INPUT!EL167</f>
        <v>-18.509498295177778</v>
      </c>
      <c r="CP260" s="580">
        <f>+INPUT!EM167</f>
        <v>1341</v>
      </c>
      <c r="CQ260" s="577">
        <f>+INPUT!EN167</f>
        <v>-31.336405529953907</v>
      </c>
      <c r="CR260" s="580">
        <f>+INPUT!EO167</f>
        <v>947</v>
      </c>
      <c r="CS260" s="577" t="str">
        <f>+INPUT!EP167</f>
        <v>NM</v>
      </c>
      <c r="CT260" s="580">
        <f>+INPUT!EQ167</f>
        <v>-700.1712</v>
      </c>
      <c r="CU260" s="577" t="str">
        <f>+INPUT!ER167</f>
        <v>NM</v>
      </c>
      <c r="CV260" s="580">
        <f>+INPUT!ES167</f>
        <v>1165.6683528000001</v>
      </c>
      <c r="CW260" s="577">
        <f>+INPUT!ET167</f>
        <v>-30.324665104602502</v>
      </c>
      <c r="CX260" s="580">
        <f>+INPUT!EU167</f>
        <v>1175.5765337988</v>
      </c>
      <c r="CY260" s="577">
        <f>+INPUT!EV167</f>
        <v>-12.335828948635339</v>
      </c>
      <c r="CZ260" s="580">
        <f>+INPUT!EW167</f>
        <v>1185.5689343360898</v>
      </c>
      <c r="DA260" s="577">
        <f>+INPUT!EX167</f>
        <v>25.192073319544846</v>
      </c>
      <c r="DB260" s="556"/>
      <c r="DC260" s="580">
        <f>+INPUT!FP167</f>
        <v>2319</v>
      </c>
      <c r="DD260" s="577">
        <f>+INPUT!FQ167</f>
        <v>-13.823857302118171</v>
      </c>
      <c r="DE260" s="580">
        <f>+INPUT!FR167</f>
        <v>2247</v>
      </c>
      <c r="DF260" s="577">
        <f>+INPUT!FS167</f>
        <v>-3.1047865459249664</v>
      </c>
      <c r="DG260" s="580">
        <f>+INPUT!FT167</f>
        <v>2765</v>
      </c>
      <c r="DH260" s="577">
        <f>+INPUT!FU167</f>
        <v>23.052959501557638</v>
      </c>
      <c r="DI260" s="580">
        <f>+INPUT!FV167</f>
        <v>2198</v>
      </c>
      <c r="DJ260" s="577">
        <f>+INPUT!FW167</f>
        <v>-20.506329113924053</v>
      </c>
      <c r="DK260" s="580">
        <f>+INPUT!FX167</f>
        <v>2287</v>
      </c>
      <c r="DL260" s="577">
        <f>+INPUT!FY167</f>
        <v>4.0491355777979976</v>
      </c>
      <c r="DM260" s="580">
        <f>+INPUT!FZ167</f>
        <v>3370</v>
      </c>
      <c r="DN260" s="577">
        <f>+INPUT!GA167</f>
        <v>47.354613030170526</v>
      </c>
      <c r="DO260" s="580">
        <f>+INPUT!GB167</f>
        <v>4581</v>
      </c>
      <c r="DP260" s="577">
        <f>+INPUT!GC167</f>
        <v>35.934718100890223</v>
      </c>
      <c r="DQ260" s="580">
        <f>+INPUT!GD167</f>
        <v>4787</v>
      </c>
      <c r="DR260" s="577">
        <f>+INPUT!GE167</f>
        <v>4.4968347522375041</v>
      </c>
      <c r="DS260" s="580">
        <f>+INPUT!GF167</f>
        <v>920</v>
      </c>
      <c r="DT260" s="577" t="str">
        <f>+INPUT!GG167</f>
        <v>NM</v>
      </c>
      <c r="DU260" s="580">
        <f>+INPUT!GH167</f>
        <v>5833</v>
      </c>
      <c r="DV260" s="577" t="str">
        <f>+INPUT!GI167</f>
        <v>NM</v>
      </c>
      <c r="DW260" s="580">
        <f>+INPUT!GJ167</f>
        <v>3476</v>
      </c>
      <c r="DX260" s="577">
        <f>+INPUT!GK167</f>
        <v>-40.408023315618038</v>
      </c>
      <c r="DY260" s="580">
        <f>+INPUT!GL167</f>
        <v>5299</v>
      </c>
      <c r="DZ260" s="577">
        <f>+INPUT!GM167</f>
        <v>52.445339470655938</v>
      </c>
      <c r="EA260" s="580">
        <f>+INPUT!GN167</f>
        <v>5190</v>
      </c>
      <c r="EB260" s="577">
        <f>+INPUT!GO167</f>
        <v>-2.0569918852613682</v>
      </c>
      <c r="EC260" s="580">
        <f>+INPUT!GP167</f>
        <v>2826.6426209348901</v>
      </c>
      <c r="ED260" s="577">
        <f>+INPUT!GQ167</f>
        <v>-45.536751041716947</v>
      </c>
      <c r="EE260" s="580">
        <f>+INPUT!GR167</f>
        <v>4782.5850811117871</v>
      </c>
      <c r="EF260" s="577">
        <f>+INPUT!GS167</f>
        <v>69.196666238973791</v>
      </c>
      <c r="EG260" s="580">
        <f>+INPUT!GT167</f>
        <v>4945.1929738695881</v>
      </c>
      <c r="EH260" s="577">
        <f>+INPUT!GU167</f>
        <v>3.4000000000000057</v>
      </c>
      <c r="EI260" s="580">
        <f>+INPUT!GV167</f>
        <v>5113.3295349811533</v>
      </c>
      <c r="EJ260" s="577">
        <f>+INPUT!GW167</f>
        <v>3.3999999999999773</v>
      </c>
      <c r="EK260" s="580">
        <f>+INPUT!GX167</f>
        <v>5287.1827391705128</v>
      </c>
      <c r="EL260" s="577">
        <f>+INPUT!GY167</f>
        <v>3.4000000000000057</v>
      </c>
      <c r="EM260" s="577">
        <f>+INPUT!GZ167</f>
        <v>0.3717260608327777</v>
      </c>
    </row>
    <row r="261" spans="1:143" ht="12.75" hidden="1" customHeight="1" outlineLevel="1" x14ac:dyDescent="0.2">
      <c r="A261" s="609" t="str">
        <f>+INPUT!B168</f>
        <v xml:space="preserve">  Other</v>
      </c>
      <c r="B261" s="580">
        <f>+INPUT!AY168</f>
        <v>-131</v>
      </c>
      <c r="C261" s="577" t="str">
        <f>+INPUT!AZ168</f>
        <v>NM</v>
      </c>
      <c r="D261" s="580">
        <f>+INPUT!BA168</f>
        <v>-384</v>
      </c>
      <c r="E261" s="577">
        <f>+INPUT!BB168</f>
        <v>69.162995594713664</v>
      </c>
      <c r="F261" s="580">
        <f>+INPUT!BC168</f>
        <v>267</v>
      </c>
      <c r="G261" s="577" t="str">
        <f>+INPUT!BD168</f>
        <v>NM</v>
      </c>
      <c r="H261" s="580">
        <f>+INPUT!BE168</f>
        <v>553</v>
      </c>
      <c r="I261" s="577" t="str">
        <f>+INPUT!BF168</f>
        <v>NM</v>
      </c>
      <c r="J261" s="580">
        <f>+INPUT!BG168</f>
        <v>-5</v>
      </c>
      <c r="K261" s="577" t="str">
        <f>+INPUT!BH168</f>
        <v>NM</v>
      </c>
      <c r="L261" s="580">
        <f>+INPUT!BI168</f>
        <v>-258</v>
      </c>
      <c r="M261" s="577">
        <f>+INPUT!BJ168</f>
        <v>-32.8125</v>
      </c>
      <c r="N261" s="580">
        <f>+INPUT!BK168</f>
        <v>416</v>
      </c>
      <c r="O261" s="577">
        <f>+INPUT!BL168</f>
        <v>55.805243445692895</v>
      </c>
      <c r="P261" s="580">
        <f>+INPUT!BM168</f>
        <v>-371</v>
      </c>
      <c r="Q261" s="577" t="str">
        <f>+INPUT!BN168</f>
        <v>NM</v>
      </c>
      <c r="R261" s="580">
        <f>+INPUT!BO168</f>
        <v>-593</v>
      </c>
      <c r="S261" s="577" t="str">
        <f>+INPUT!BP168</f>
        <v>NM</v>
      </c>
      <c r="T261" s="580">
        <f>+INPUT!BQ168</f>
        <v>-57</v>
      </c>
      <c r="U261" s="577" t="str">
        <f>+INPUT!BR168</f>
        <v>NM</v>
      </c>
      <c r="V261" s="580">
        <f>+INPUT!BS168</f>
        <v>-563</v>
      </c>
      <c r="W261" s="577" t="str">
        <f>+INPUT!BT168</f>
        <v>NM</v>
      </c>
      <c r="X261" s="580">
        <f>+INPUT!BU168</f>
        <v>-431</v>
      </c>
      <c r="Y261" s="577">
        <f>+INPUT!BV168</f>
        <v>16.17250673854447</v>
      </c>
      <c r="Z261" s="580">
        <f>+INPUT!BW168</f>
        <v>101</v>
      </c>
      <c r="AA261" s="577" t="str">
        <f>+INPUT!BX168</f>
        <v>NM</v>
      </c>
      <c r="AB261" s="580">
        <f>+INPUT!BY168</f>
        <v>-1304</v>
      </c>
      <c r="AC261" s="577" t="str">
        <f>+INPUT!BZ168</f>
        <v>NM</v>
      </c>
      <c r="AD261" s="580">
        <f>+INPUT!CA168</f>
        <v>308</v>
      </c>
      <c r="AE261" s="577" t="str">
        <f>+INPUT!CB168</f>
        <v>NM</v>
      </c>
      <c r="AF261" s="580">
        <f>+INPUT!CC168</f>
        <v>56</v>
      </c>
      <c r="AG261" s="577" t="str">
        <f>+INPUT!CD168</f>
        <v>NM</v>
      </c>
      <c r="AH261" s="580">
        <f>+INPUT!CE168</f>
        <v>324</v>
      </c>
      <c r="AI261" s="577" t="str">
        <f>+INPUT!CF168</f>
        <v>NM</v>
      </c>
      <c r="AJ261" s="580">
        <f>+INPUT!CG168</f>
        <v>59</v>
      </c>
      <c r="AK261" s="577" t="str">
        <f>+INPUT!CH168</f>
        <v>NM</v>
      </c>
      <c r="AL261" s="580">
        <f>+INPUT!CI168</f>
        <v>363</v>
      </c>
      <c r="AM261" s="577">
        <f>+INPUT!CJ168</f>
        <v>17.857142857142861</v>
      </c>
      <c r="AN261" s="580">
        <f>+INPUT!CK168</f>
        <v>-181</v>
      </c>
      <c r="AO261" s="577" t="str">
        <f>+INPUT!CL168</f>
        <v>NM</v>
      </c>
      <c r="AP261" s="580">
        <f>+INPUT!CM168</f>
        <v>-430</v>
      </c>
      <c r="AQ261" s="577" t="str">
        <f>+INPUT!CN168</f>
        <v>NM</v>
      </c>
      <c r="AR261" s="580">
        <f>+INPUT!CO168</f>
        <v>-106</v>
      </c>
      <c r="AS261" s="577" t="str">
        <f>+INPUT!CP168</f>
        <v>NM</v>
      </c>
      <c r="AT261" s="580">
        <f>+INPUT!CQ168</f>
        <v>136</v>
      </c>
      <c r="AU261" s="577" t="str">
        <f>+INPUT!CR168</f>
        <v>NM</v>
      </c>
      <c r="AV261" s="580">
        <f>+INPUT!CS168</f>
        <v>102</v>
      </c>
      <c r="AW261" s="577" t="str">
        <f>+INPUT!CT168</f>
        <v>NM</v>
      </c>
      <c r="AX261" s="580">
        <f>+INPUT!CU168</f>
        <v>-25</v>
      </c>
      <c r="AY261" s="577" t="str">
        <f>+INPUT!CV168</f>
        <v>NM</v>
      </c>
      <c r="AZ261" s="580">
        <f>+INPUT!CW168</f>
        <v>1403</v>
      </c>
      <c r="BA261" s="577" t="str">
        <f>+INPUT!CX168</f>
        <v>NM</v>
      </c>
      <c r="BB261" s="580">
        <f>+INPUT!CY168</f>
        <v>-724</v>
      </c>
      <c r="BC261" s="577" t="str">
        <f>+INPUT!CZ168</f>
        <v>NM</v>
      </c>
      <c r="BD261" s="580">
        <f>+INPUT!DA168</f>
        <v>-605</v>
      </c>
      <c r="BE261" s="577" t="str">
        <f>+INPUT!DB168</f>
        <v>NM</v>
      </c>
      <c r="BF261" s="580">
        <f>+INPUT!DC168</f>
        <v>-152</v>
      </c>
      <c r="BG261" s="577" t="str">
        <f>+INPUT!DD168</f>
        <v>NM</v>
      </c>
      <c r="BH261" s="580">
        <f>+INPUT!DE168</f>
        <v>-146</v>
      </c>
      <c r="BI261" s="577" t="str">
        <f>+INPUT!DF168</f>
        <v>NM</v>
      </c>
      <c r="BJ261" s="580">
        <f>+INPUT!DG168</f>
        <v>40</v>
      </c>
      <c r="BK261" s="577" t="str">
        <f>+INPUT!DH168</f>
        <v>NM</v>
      </c>
      <c r="BL261" s="580">
        <f>+INPUT!DI168</f>
        <v>-38</v>
      </c>
      <c r="BM261" s="577" t="str">
        <f>+INPUT!DJ168</f>
        <v>NM</v>
      </c>
      <c r="BN261" s="580">
        <f>+INPUT!DK168</f>
        <v>102</v>
      </c>
      <c r="BO261" s="577" t="str">
        <f>+INPUT!DL168</f>
        <v>NM</v>
      </c>
      <c r="BP261" s="580">
        <f>+INPUT!DM168</f>
        <v>84</v>
      </c>
      <c r="BQ261" s="577" t="str">
        <f>+INPUT!DN168</f>
        <v>NM</v>
      </c>
      <c r="BR261" s="580">
        <f>+INPUT!DO168</f>
        <v>-1713</v>
      </c>
      <c r="BS261" s="577" t="str">
        <f>+INPUT!DP168</f>
        <v>NM</v>
      </c>
      <c r="BT261" s="580">
        <f>+INPUT!DQ168</f>
        <v>-1324</v>
      </c>
      <c r="BU261" s="577" t="str">
        <f>+INPUT!DR168</f>
        <v>NM</v>
      </c>
      <c r="BV261" s="580">
        <f>+INPUT!DS168</f>
        <v>-1624</v>
      </c>
      <c r="BW261" s="577" t="str">
        <f>+INPUT!DT168</f>
        <v>NM</v>
      </c>
      <c r="BX261" s="580">
        <f>+INPUT!DU168</f>
        <v>1256</v>
      </c>
      <c r="BY261" s="577" t="str">
        <f>+INPUT!DV168</f>
        <v>NM</v>
      </c>
      <c r="BZ261" s="580">
        <f>+INPUT!DW168</f>
        <v>-1333</v>
      </c>
      <c r="CA261" s="577">
        <f>+INPUT!DX168</f>
        <v>-22.183304144775249</v>
      </c>
      <c r="CB261" s="580">
        <f>+INPUT!DY168</f>
        <v>-1636</v>
      </c>
      <c r="CC261" s="577">
        <f>+INPUT!DZ168</f>
        <v>23.564954682779458</v>
      </c>
      <c r="CD261" s="580">
        <f>+INPUT!EA168</f>
        <v>-621</v>
      </c>
      <c r="CE261" s="577" t="str">
        <f>+INPUT!EB168</f>
        <v>NM</v>
      </c>
      <c r="CF261" s="580">
        <f>+INPUT!EC168</f>
        <v>-2292</v>
      </c>
      <c r="CG261" s="577" t="str">
        <f>+INPUT!ED168</f>
        <v>NM</v>
      </c>
      <c r="CH261" s="580">
        <f>+INPUT!EE168</f>
        <v>-1179</v>
      </c>
      <c r="CI261" s="577">
        <f>+INPUT!EF168</f>
        <v>-11.552888222055515</v>
      </c>
      <c r="CJ261" s="580">
        <f>+INPUT!EG168</f>
        <v>-1774</v>
      </c>
      <c r="CK261" s="577">
        <f>+INPUT!EH168</f>
        <v>8.4352078239608801</v>
      </c>
      <c r="CL261" s="580">
        <f>+INPUT!EI168</f>
        <v>709</v>
      </c>
      <c r="CM261" s="577" t="str">
        <f>+INPUT!EJ168</f>
        <v>NM</v>
      </c>
      <c r="CN261" s="580">
        <f>+INPUT!EK168</f>
        <v>1436</v>
      </c>
      <c r="CO261" s="577" t="str">
        <f>+INPUT!EL168</f>
        <v>NM</v>
      </c>
      <c r="CP261" s="580">
        <f>+INPUT!EM168</f>
        <v>-764</v>
      </c>
      <c r="CQ261" s="577">
        <f>+INPUT!EN168</f>
        <v>-35.199321458863437</v>
      </c>
      <c r="CR261" s="580">
        <f>+INPUT!EO168</f>
        <v>321</v>
      </c>
      <c r="CS261" s="577" t="str">
        <f>+INPUT!EP168</f>
        <v>NM</v>
      </c>
      <c r="CT261" s="580">
        <f>+INPUT!EQ168</f>
        <v>0</v>
      </c>
      <c r="CU261" s="577" t="str">
        <f>+INPUT!ER168</f>
        <v>NM</v>
      </c>
      <c r="CV261" s="580">
        <f>+INPUT!ES168</f>
        <v>0</v>
      </c>
      <c r="CW261" s="577" t="str">
        <f>+INPUT!ET168</f>
        <v>NM</v>
      </c>
      <c r="CX261" s="580">
        <f>+INPUT!EU168</f>
        <v>0</v>
      </c>
      <c r="CY261" s="577" t="str">
        <f>+INPUT!EV168</f>
        <v>NM</v>
      </c>
      <c r="CZ261" s="580">
        <f>+INPUT!EW168</f>
        <v>0</v>
      </c>
      <c r="DA261" s="577" t="str">
        <f>+INPUT!EX168</f>
        <v>NM</v>
      </c>
      <c r="DB261" s="556"/>
      <c r="DC261" s="580">
        <f>+INPUT!FP168</f>
        <v>-451</v>
      </c>
      <c r="DD261" s="577" t="str">
        <f>+INPUT!FQ168</f>
        <v>NM</v>
      </c>
      <c r="DE261" s="580">
        <f>+INPUT!FR168</f>
        <v>305</v>
      </c>
      <c r="DF261" s="577" t="str">
        <f>+INPUT!FS168</f>
        <v>NM</v>
      </c>
      <c r="DG261" s="580">
        <f>+INPUT!FT168</f>
        <v>-218</v>
      </c>
      <c r="DH261" s="577" t="str">
        <f>+INPUT!FU168</f>
        <v>NM</v>
      </c>
      <c r="DI261" s="580">
        <f>+INPUT!FV168</f>
        <v>-1644</v>
      </c>
      <c r="DJ261" s="577" t="str">
        <f>+INPUT!FW168</f>
        <v>NM</v>
      </c>
      <c r="DK261" s="580">
        <f>+INPUT!FX168</f>
        <v>-839</v>
      </c>
      <c r="DL261" s="577">
        <f>+INPUT!FY168</f>
        <v>-48.965936739659369</v>
      </c>
      <c r="DM261" s="580">
        <f>+INPUT!FZ168</f>
        <v>565</v>
      </c>
      <c r="DN261" s="577" t="str">
        <f>+INPUT!GA168</f>
        <v>NM</v>
      </c>
      <c r="DO261" s="580">
        <f>+INPUT!GB168</f>
        <v>-298</v>
      </c>
      <c r="DP261" s="577" t="str">
        <f>+INPUT!GC168</f>
        <v>NM</v>
      </c>
      <c r="DQ261" s="580">
        <f>+INPUT!GD168</f>
        <v>49</v>
      </c>
      <c r="DR261" s="577" t="str">
        <f>+INPUT!GE168</f>
        <v>NM</v>
      </c>
      <c r="DS261" s="580">
        <f>+INPUT!GF168</f>
        <v>-296</v>
      </c>
      <c r="DT261" s="577" t="str">
        <f>+INPUT!GG168</f>
        <v>NM</v>
      </c>
      <c r="DU261" s="580">
        <f>+INPUT!GH168</f>
        <v>-2851</v>
      </c>
      <c r="DV261" s="577" t="str">
        <f>+INPUT!GI168</f>
        <v>NM</v>
      </c>
      <c r="DW261" s="580">
        <f>+INPUT!GJ168</f>
        <v>-3337</v>
      </c>
      <c r="DX261" s="577">
        <f>+INPUT!GK168</f>
        <v>17.046650298141003</v>
      </c>
      <c r="DY261" s="580">
        <f>+INPUT!GL168</f>
        <v>-5866</v>
      </c>
      <c r="DZ261" s="577">
        <f>+INPUT!GM168</f>
        <v>75.786634701827978</v>
      </c>
      <c r="EA261" s="580">
        <f>+INPUT!GN168</f>
        <v>1702</v>
      </c>
      <c r="EB261" s="577" t="str">
        <f>+INPUT!GO168</f>
        <v>NM</v>
      </c>
      <c r="EC261" s="580">
        <f>+INPUT!GP168</f>
        <v>0</v>
      </c>
      <c r="ED261" s="577" t="str">
        <f>+INPUT!GQ168</f>
        <v>NM</v>
      </c>
      <c r="EE261" s="580">
        <f>+INPUT!GR168</f>
        <v>0</v>
      </c>
      <c r="EF261" s="577" t="str">
        <f>+INPUT!GS168</f>
        <v>NA</v>
      </c>
      <c r="EG261" s="580">
        <f>+INPUT!GT168</f>
        <v>0</v>
      </c>
      <c r="EH261" s="577" t="str">
        <f>+INPUT!GU168</f>
        <v>NA</v>
      </c>
      <c r="EI261" s="580">
        <f>+INPUT!GV168</f>
        <v>0</v>
      </c>
      <c r="EJ261" s="577" t="str">
        <f>+INPUT!GW168</f>
        <v>NA</v>
      </c>
      <c r="EK261" s="580">
        <f>+INPUT!GX168</f>
        <v>0</v>
      </c>
      <c r="EL261" s="577" t="str">
        <f>+INPUT!GY168</f>
        <v>NA</v>
      </c>
      <c r="EM261" s="577" t="str">
        <f>+INPUT!GZ168</f>
        <v>NM</v>
      </c>
    </row>
    <row r="262" spans="1:143" ht="12.75" hidden="1" customHeight="1" outlineLevel="1" x14ac:dyDescent="0.2">
      <c r="A262" s="609" t="str">
        <f>+INPUT!B169</f>
        <v>Ending Assets</v>
      </c>
      <c r="B262" s="580">
        <f>+INPUT!AY169</f>
        <v>47215</v>
      </c>
      <c r="C262" s="577">
        <f>+INPUT!AZ169</f>
        <v>-1.0126210742588739</v>
      </c>
      <c r="D262" s="580">
        <f>+INPUT!BA169</f>
        <v>46913</v>
      </c>
      <c r="E262" s="577">
        <f>+INPUT!BB169</f>
        <v>-3.4950218053155595</v>
      </c>
      <c r="F262" s="580">
        <f>+INPUT!BC169</f>
        <v>49468</v>
      </c>
      <c r="G262" s="577">
        <f>+INPUT!BD169</f>
        <v>1.1263977758243442</v>
      </c>
      <c r="H262" s="580">
        <f>+INPUT!BE169</f>
        <v>50269</v>
      </c>
      <c r="I262" s="577">
        <f>+INPUT!BF169</f>
        <v>4.5528286189683911</v>
      </c>
      <c r="J262" s="580">
        <f>+INPUT!BG169</f>
        <v>50661</v>
      </c>
      <c r="K262" s="577">
        <f>+INPUT!BH169</f>
        <v>7.2985280101662653</v>
      </c>
      <c r="L262" s="580">
        <f>+INPUT!BI169</f>
        <v>50926</v>
      </c>
      <c r="M262" s="577">
        <f>+INPUT!BJ169</f>
        <v>8.554132116897236</v>
      </c>
      <c r="N262" s="580">
        <f>+INPUT!BK169</f>
        <v>51627</v>
      </c>
      <c r="O262" s="577">
        <f>+INPUT!BL169</f>
        <v>4.3644376162367564</v>
      </c>
      <c r="P262" s="580">
        <f>+INPUT!BM169</f>
        <v>51591</v>
      </c>
      <c r="Q262" s="577">
        <f>+INPUT!BN169</f>
        <v>2.6298513994708514</v>
      </c>
      <c r="R262" s="580">
        <f>+INPUT!BO169</f>
        <v>51667</v>
      </c>
      <c r="S262" s="577">
        <f>+INPUT!BP169</f>
        <v>1.9857484060717354</v>
      </c>
      <c r="T262" s="580">
        <f>+INPUT!BQ169</f>
        <v>51513</v>
      </c>
      <c r="U262" s="577">
        <f>+INPUT!BR169</f>
        <v>1.1526528688685573</v>
      </c>
      <c r="V262" s="580">
        <f>+INPUT!BS169</f>
        <v>50041</v>
      </c>
      <c r="W262" s="577">
        <f>+INPUT!BT169</f>
        <v>-3.0720359501811032</v>
      </c>
      <c r="X262" s="580">
        <f>+INPUT!BU169</f>
        <v>50491</v>
      </c>
      <c r="Y262" s="577">
        <f>+INPUT!BV169</f>
        <v>-2.1321548332073519</v>
      </c>
      <c r="Z262" s="580">
        <f>+INPUT!BW169</f>
        <v>49030</v>
      </c>
      <c r="AA262" s="577">
        <f>+INPUT!BX169</f>
        <v>-5.1038380397545779</v>
      </c>
      <c r="AB262" s="580">
        <f>+INPUT!BY169</f>
        <v>49475</v>
      </c>
      <c r="AC262" s="577">
        <f>+INPUT!BZ169</f>
        <v>-3.9562828800496987</v>
      </c>
      <c r="AD262" s="580">
        <f>+INPUT!CA169</f>
        <v>50137</v>
      </c>
      <c r="AE262" s="577">
        <f>+INPUT!CB169</f>
        <v>0.19184268899500978</v>
      </c>
      <c r="AF262" s="580">
        <f>+INPUT!CC169</f>
        <v>51908</v>
      </c>
      <c r="AG262" s="577">
        <f>+INPUT!CD169</f>
        <v>2.8064407518171492</v>
      </c>
      <c r="AH262" s="580">
        <f>+INPUT!CE169</f>
        <v>52768</v>
      </c>
      <c r="AI262" s="577">
        <f>+INPUT!CF169</f>
        <v>7.6239037324087349</v>
      </c>
      <c r="AJ262" s="580">
        <f>+INPUT!CG169</f>
        <v>55965</v>
      </c>
      <c r="AK262" s="577">
        <f>+INPUT!CH169</f>
        <v>13.117736230419411</v>
      </c>
      <c r="AL262" s="580">
        <f>+INPUT!CI169</f>
        <v>59062</v>
      </c>
      <c r="AM262" s="577">
        <f>+INPUT!CJ169</f>
        <v>17.801224644474132</v>
      </c>
      <c r="AN262" s="580">
        <f>+INPUT!CK169</f>
        <v>64183</v>
      </c>
      <c r="AO262" s="577">
        <f>+INPUT!CL169</f>
        <v>23.647607305232341</v>
      </c>
      <c r="AP262" s="580">
        <f>+INPUT!CM169</f>
        <v>68892</v>
      </c>
      <c r="AQ262" s="577">
        <f>+INPUT!CN169</f>
        <v>30.556397816858691</v>
      </c>
      <c r="AR262" s="580">
        <f>+INPUT!CO169</f>
        <v>74131</v>
      </c>
      <c r="AS262" s="577">
        <f>+INPUT!CP169</f>
        <v>32.459572947377836</v>
      </c>
      <c r="AT262" s="580">
        <f>+INPUT!CQ169</f>
        <v>80513</v>
      </c>
      <c r="AU262" s="577">
        <f>+INPUT!CR169</f>
        <v>36.319460905489137</v>
      </c>
      <c r="AV262" s="580">
        <f>+INPUT!CS169</f>
        <v>90089</v>
      </c>
      <c r="AW262" s="577">
        <f>+INPUT!CT169</f>
        <v>40.362712867893379</v>
      </c>
      <c r="AX262" s="580">
        <f>+INPUT!CU169</f>
        <v>93853</v>
      </c>
      <c r="AY262" s="577">
        <f>+INPUT!CV169</f>
        <v>36.232073390234007</v>
      </c>
      <c r="AZ262" s="580">
        <f>+INPUT!CW169</f>
        <v>102443</v>
      </c>
      <c r="BA262" s="577">
        <f>+INPUT!CX169</f>
        <v>38.191849563610361</v>
      </c>
      <c r="BB262" s="580">
        <f>+INPUT!CY169</f>
        <v>104646</v>
      </c>
      <c r="BC262" s="577">
        <f>+INPUT!CZ169</f>
        <v>29.974041459143251</v>
      </c>
      <c r="BD262" s="580">
        <f>+INPUT!DA169</f>
        <v>141435</v>
      </c>
      <c r="BE262" s="577">
        <f>+INPUT!DB169</f>
        <v>56.994749636470601</v>
      </c>
      <c r="BF262" s="580">
        <f>+INPUT!DC169</f>
        <v>143011</v>
      </c>
      <c r="BG262" s="577">
        <f>+INPUT!DD169</f>
        <v>52.377654417013844</v>
      </c>
      <c r="BH262" s="580">
        <f>+INPUT!DE169</f>
        <v>144101</v>
      </c>
      <c r="BI262" s="577">
        <f>+INPUT!DF169</f>
        <v>40.664564684751525</v>
      </c>
      <c r="BJ262" s="580">
        <f>+INPUT!DG169</f>
        <v>147100</v>
      </c>
      <c r="BK262" s="577">
        <f>+INPUT!DH169</f>
        <v>40.569156967299278</v>
      </c>
      <c r="BL262" s="580">
        <f>+INPUT!DI169</f>
        <v>149402</v>
      </c>
      <c r="BM262" s="577">
        <f>+INPUT!DJ169</f>
        <v>5.6329762788560203</v>
      </c>
      <c r="BN262" s="580">
        <f>+INPUT!DK169</f>
        <v>149661</v>
      </c>
      <c r="BO262" s="577">
        <f>+INPUT!DL169</f>
        <v>4.6499919586605216</v>
      </c>
      <c r="BP262" s="580">
        <f>+INPUT!DM169</f>
        <v>148971</v>
      </c>
      <c r="BQ262" s="577">
        <f>+INPUT!DN169</f>
        <v>3.3795740487574619</v>
      </c>
      <c r="BR262" s="580">
        <f>+INPUT!DO169</f>
        <v>175526</v>
      </c>
      <c r="BS262" s="577">
        <f>+INPUT!DP169</f>
        <v>19.324269204622709</v>
      </c>
      <c r="BT262" s="580">
        <f>+INPUT!DQ169</f>
        <v>179641</v>
      </c>
      <c r="BU262" s="577">
        <f>+INPUT!DR169</f>
        <v>20.240023560594906</v>
      </c>
      <c r="BV262" s="580">
        <f>+INPUT!DS169</f>
        <v>177120</v>
      </c>
      <c r="BW262" s="577">
        <f>+INPUT!DT169</f>
        <v>18.347465271513627</v>
      </c>
      <c r="BX262" s="580">
        <f>+INPUT!DU169</f>
        <v>183798</v>
      </c>
      <c r="BY262" s="577">
        <f>+INPUT!DV169</f>
        <v>23.378375657007069</v>
      </c>
      <c r="BZ262" s="580">
        <f>+INPUT!DW169</f>
        <v>181662</v>
      </c>
      <c r="CA262" s="577">
        <f>+INPUT!DX169</f>
        <v>3.4957784031995232</v>
      </c>
      <c r="CB262" s="580">
        <f>+INPUT!DY169</f>
        <v>179964</v>
      </c>
      <c r="CC262" s="577">
        <f>+INPUT!DZ169</f>
        <v>0.17980305164189758</v>
      </c>
      <c r="CD262" s="580">
        <f>+INPUT!EA169</f>
        <v>180819</v>
      </c>
      <c r="CE262" s="577">
        <f>+INPUT!EB169</f>
        <v>2.0884146341463463</v>
      </c>
      <c r="CF262" s="580">
        <f>+INPUT!EC169</f>
        <v>180882</v>
      </c>
      <c r="CG262" s="577">
        <f>+INPUT!ED169</f>
        <v>-1.5865243364998491</v>
      </c>
      <c r="CH262" s="580">
        <f>+INPUT!EE169</f>
        <v>186224</v>
      </c>
      <c r="CI262" s="577">
        <f>+INPUT!EF169</f>
        <v>2.5112571699089443</v>
      </c>
      <c r="CJ262" s="580">
        <f>+INPUT!EG169</f>
        <v>183376</v>
      </c>
      <c r="CK262" s="577">
        <f>+INPUT!EH169</f>
        <v>1.8959347425040391</v>
      </c>
      <c r="CL262" s="580">
        <f>+INPUT!EI169</f>
        <v>185115</v>
      </c>
      <c r="CM262" s="577">
        <f>+INPUT!EJ169</f>
        <v>2.3758565195029462</v>
      </c>
      <c r="CN262" s="580">
        <f>+INPUT!EK169</f>
        <v>186610</v>
      </c>
      <c r="CO262" s="577">
        <f>+INPUT!EL169</f>
        <v>3.1667053659291753</v>
      </c>
      <c r="CP262" s="580">
        <f>+INPUT!EM169</f>
        <v>188399</v>
      </c>
      <c r="CQ262" s="577">
        <f>+INPUT!EN169</f>
        <v>1.1679482773434131</v>
      </c>
      <c r="CR262" s="580">
        <f>+INPUT!EO169</f>
        <v>194492</v>
      </c>
      <c r="CS262" s="577">
        <f>+INPUT!EP169</f>
        <v>6.0618619666695821</v>
      </c>
      <c r="CT262" s="580">
        <f>+INPUT!EQ169</f>
        <v>194278.0588</v>
      </c>
      <c r="CU262" s="577">
        <f>+INPUT!ER169</f>
        <v>4.9499277746265733</v>
      </c>
      <c r="CV262" s="580">
        <f>+INPUT!ES169</f>
        <v>195929.4222998</v>
      </c>
      <c r="CW262" s="577">
        <f>+INPUT!ET169</f>
        <v>4.9940637156636853</v>
      </c>
      <c r="CX262" s="580">
        <f>+INPUT!EU169</f>
        <v>197594.82238934829</v>
      </c>
      <c r="CY262" s="577">
        <f>+INPUT!EV169</f>
        <v>4.8810356686332312</v>
      </c>
      <c r="CZ262" s="580">
        <f>+INPUT!EW169</f>
        <v>199274.37837965775</v>
      </c>
      <c r="DA262" s="577">
        <f>+INPUT!EX169</f>
        <v>2.4589075024462375</v>
      </c>
      <c r="DB262" s="556"/>
      <c r="DC262" s="580">
        <f>+INPUT!FP169</f>
        <v>48080</v>
      </c>
      <c r="DD262" s="577">
        <f>+INPUT!FQ169</f>
        <v>0.83892617449663476</v>
      </c>
      <c r="DE262" s="580">
        <f>+INPUT!FR169</f>
        <v>50269</v>
      </c>
      <c r="DF262" s="577">
        <f>+INPUT!FS169</f>
        <v>4.5528286189683911</v>
      </c>
      <c r="DG262" s="580">
        <f>+INPUT!FT169</f>
        <v>51591</v>
      </c>
      <c r="DH262" s="577">
        <f>+INPUT!FU169</f>
        <v>2.6298513994708514</v>
      </c>
      <c r="DI262" s="580">
        <f>+INPUT!FV169</f>
        <v>50491</v>
      </c>
      <c r="DJ262" s="577">
        <f>+INPUT!FW169</f>
        <v>-2.1321548332073519</v>
      </c>
      <c r="DK262" s="580">
        <f>+INPUT!FX169</f>
        <v>51908</v>
      </c>
      <c r="DL262" s="577">
        <f>+INPUT!FY169</f>
        <v>2.8064407518171492</v>
      </c>
      <c r="DM262" s="580">
        <f>+INPUT!FZ169</f>
        <v>64183</v>
      </c>
      <c r="DN262" s="577">
        <f>+INPUT!GA169</f>
        <v>23.647607305232341</v>
      </c>
      <c r="DO262" s="580">
        <f>+INPUT!GB169</f>
        <v>90089</v>
      </c>
      <c r="DP262" s="577">
        <f>+INPUT!GC169</f>
        <v>40.362712867893379</v>
      </c>
      <c r="DQ262" s="580">
        <f>+INPUT!GD169</f>
        <v>141435</v>
      </c>
      <c r="DR262" s="577">
        <f>+INPUT!GE169</f>
        <v>56.994749636470601</v>
      </c>
      <c r="DS262" s="580">
        <f>+INPUT!GF169</f>
        <v>149402</v>
      </c>
      <c r="DT262" s="577">
        <f>+INPUT!GG169</f>
        <v>5.6329762788560203</v>
      </c>
      <c r="DU262" s="580">
        <f>+INPUT!GH169</f>
        <v>179641</v>
      </c>
      <c r="DV262" s="577">
        <f>+INPUT!GI169</f>
        <v>20.240023560594906</v>
      </c>
      <c r="DW262" s="580">
        <f>+INPUT!GJ169</f>
        <v>179964</v>
      </c>
      <c r="DX262" s="577">
        <f>+INPUT!GK169</f>
        <v>0.17980305164189758</v>
      </c>
      <c r="DY262" s="580">
        <f>+INPUT!GL169</f>
        <v>183376</v>
      </c>
      <c r="DZ262" s="577">
        <f>+INPUT!GM169</f>
        <v>1.8959347425040391</v>
      </c>
      <c r="EA262" s="580">
        <f>+INPUT!GN169</f>
        <v>194492</v>
      </c>
      <c r="EB262" s="577">
        <f>+INPUT!GO169</f>
        <v>6.0618619666695821</v>
      </c>
      <c r="EC262" s="580">
        <f>+INPUT!GP169</f>
        <v>199274.37837965778</v>
      </c>
      <c r="ED262" s="577">
        <f>+INPUT!GQ169</f>
        <v>2.4589075024462659</v>
      </c>
      <c r="EE262" s="580">
        <f>+INPUT!GR169</f>
        <v>206049.70724456615</v>
      </c>
      <c r="EF262" s="577">
        <f>+INPUT!GS169</f>
        <v>3.4000000000000057</v>
      </c>
      <c r="EG262" s="580">
        <f>+INPUT!GT169</f>
        <v>213055.39729088137</v>
      </c>
      <c r="EH262" s="577">
        <f>+INPUT!GU169</f>
        <v>3.3999999999999773</v>
      </c>
      <c r="EI262" s="580">
        <f>+INPUT!GV169</f>
        <v>220299.28079877136</v>
      </c>
      <c r="EJ262" s="577">
        <f>+INPUT!GW169</f>
        <v>3.4000000000000057</v>
      </c>
      <c r="EK262" s="580">
        <f>+INPUT!GX169</f>
        <v>227789.45634592956</v>
      </c>
      <c r="EL262" s="577">
        <f>+INPUT!GY169</f>
        <v>3.3999999999999773</v>
      </c>
      <c r="EM262" s="577">
        <f>+INPUT!GZ169</f>
        <v>3.2110925081663133</v>
      </c>
    </row>
    <row r="263" spans="1:143" ht="12.75" hidden="1" customHeight="1" outlineLevel="1" x14ac:dyDescent="0.2">
      <c r="A263" s="609"/>
      <c r="B263" s="580"/>
      <c r="C263" s="577"/>
      <c r="D263" s="580"/>
      <c r="E263" s="577"/>
      <c r="F263" s="580"/>
      <c r="G263" s="577"/>
      <c r="H263" s="580"/>
      <c r="I263" s="577"/>
      <c r="J263" s="580"/>
      <c r="K263" s="577"/>
      <c r="L263" s="580"/>
      <c r="M263" s="577"/>
      <c r="N263" s="580"/>
      <c r="O263" s="577"/>
      <c r="P263" s="580"/>
      <c r="Q263" s="577"/>
      <c r="R263" s="580"/>
      <c r="S263" s="577"/>
      <c r="T263" s="580"/>
      <c r="U263" s="577"/>
      <c r="V263" s="580"/>
      <c r="W263" s="577"/>
      <c r="X263" s="580"/>
      <c r="Y263" s="577"/>
      <c r="Z263" s="580"/>
      <c r="AA263" s="577"/>
      <c r="AB263" s="580"/>
      <c r="AC263" s="577"/>
      <c r="AD263" s="580"/>
      <c r="AE263" s="577"/>
      <c r="AF263" s="580"/>
      <c r="AG263" s="577"/>
      <c r="AH263" s="580"/>
      <c r="AI263" s="577"/>
      <c r="AJ263" s="580"/>
      <c r="AK263" s="577"/>
      <c r="AL263" s="580"/>
      <c r="AM263" s="577"/>
      <c r="AN263" s="580"/>
      <c r="AO263" s="577"/>
      <c r="AP263" s="580"/>
      <c r="AQ263" s="577"/>
      <c r="AR263" s="580"/>
      <c r="AS263" s="577"/>
      <c r="AT263" s="580"/>
      <c r="AU263" s="577"/>
      <c r="AV263" s="580"/>
      <c r="AW263" s="577"/>
      <c r="AX263" s="580"/>
      <c r="AY263" s="577"/>
      <c r="AZ263" s="580"/>
      <c r="BA263" s="577"/>
      <c r="BB263" s="580"/>
      <c r="BC263" s="577"/>
      <c r="BD263" s="580"/>
      <c r="BE263" s="577"/>
      <c r="BF263" s="580"/>
      <c r="BG263" s="577"/>
      <c r="BH263" s="580"/>
      <c r="BI263" s="577"/>
      <c r="BJ263" s="580"/>
      <c r="BK263" s="577"/>
      <c r="BL263" s="580"/>
      <c r="BM263" s="577"/>
      <c r="BN263" s="580"/>
      <c r="BO263" s="577"/>
      <c r="BP263" s="580"/>
      <c r="BQ263" s="577"/>
      <c r="BR263" s="580"/>
      <c r="BS263" s="577"/>
      <c r="BT263" s="580"/>
      <c r="BU263" s="577"/>
      <c r="BV263" s="580"/>
      <c r="BW263" s="577"/>
      <c r="BX263" s="580"/>
      <c r="BY263" s="577"/>
      <c r="BZ263" s="580"/>
      <c r="CA263" s="577"/>
      <c r="CB263" s="580"/>
      <c r="CC263" s="577"/>
      <c r="CD263" s="580"/>
      <c r="CE263" s="577"/>
      <c r="CF263" s="580"/>
      <c r="CG263" s="577"/>
      <c r="CH263" s="580"/>
      <c r="CI263" s="577"/>
      <c r="CJ263" s="580"/>
      <c r="CK263" s="577"/>
      <c r="CL263" s="580"/>
      <c r="CM263" s="577"/>
      <c r="CN263" s="580"/>
      <c r="CO263" s="577"/>
      <c r="CP263" s="580"/>
      <c r="CQ263" s="577"/>
      <c r="CR263" s="580"/>
      <c r="CS263" s="577"/>
      <c r="CT263" s="580"/>
      <c r="CU263" s="577"/>
      <c r="CV263" s="580"/>
      <c r="CW263" s="577"/>
      <c r="CX263" s="580"/>
      <c r="CY263" s="577"/>
      <c r="CZ263" s="580"/>
      <c r="DA263" s="577"/>
      <c r="DB263" s="556"/>
      <c r="DC263" s="580"/>
      <c r="DD263" s="577"/>
      <c r="DE263" s="580"/>
      <c r="DF263" s="577"/>
      <c r="DG263" s="580"/>
      <c r="DH263" s="577"/>
      <c r="DI263" s="580"/>
      <c r="DJ263" s="577"/>
      <c r="DK263" s="580"/>
      <c r="DL263" s="577"/>
      <c r="DM263" s="580"/>
      <c r="DN263" s="577"/>
      <c r="DO263" s="580"/>
      <c r="DP263" s="577"/>
      <c r="DQ263" s="580"/>
      <c r="DR263" s="577"/>
      <c r="DS263" s="580"/>
      <c r="DT263" s="577"/>
      <c r="DU263" s="580"/>
      <c r="DV263" s="577"/>
      <c r="DW263" s="580"/>
      <c r="DX263" s="577"/>
      <c r="DY263" s="580"/>
      <c r="DZ263" s="577"/>
      <c r="EA263" s="580"/>
      <c r="EB263" s="577"/>
      <c r="EC263" s="580"/>
      <c r="ED263" s="577"/>
      <c r="EE263" s="580"/>
      <c r="EF263" s="577"/>
      <c r="EG263" s="580"/>
      <c r="EH263" s="577"/>
      <c r="EI263" s="580"/>
      <c r="EJ263" s="577"/>
      <c r="EK263" s="580"/>
      <c r="EL263" s="577"/>
      <c r="EM263" s="577"/>
    </row>
    <row r="264" spans="1:143" ht="12.75" hidden="1" customHeight="1" outlineLevel="1" x14ac:dyDescent="0.2">
      <c r="A264" s="609" t="str">
        <f>+INPUT!B179</f>
        <v>Spread-lending Products</v>
      </c>
      <c r="B264" s="580">
        <f>+INPUT!AY179</f>
        <v>47215</v>
      </c>
      <c r="C264" s="577">
        <f>+INPUT!AZ179</f>
        <v>-1.0126210742588739</v>
      </c>
      <c r="D264" s="580">
        <f>+INPUT!BA179</f>
        <v>46913</v>
      </c>
      <c r="E264" s="577">
        <f>+INPUT!BB179</f>
        <v>-3.4950218053155595</v>
      </c>
      <c r="F264" s="580">
        <f>+INPUT!BC179</f>
        <v>49468</v>
      </c>
      <c r="G264" s="577">
        <f>+INPUT!BD179</f>
        <v>1.1263977758243442</v>
      </c>
      <c r="H264" s="580">
        <f>+INPUT!BE179</f>
        <v>50269</v>
      </c>
      <c r="I264" s="577">
        <f>+INPUT!BF179</f>
        <v>4.5528286189683911</v>
      </c>
      <c r="J264" s="580">
        <f>+INPUT!BG179</f>
        <v>50661</v>
      </c>
      <c r="K264" s="577">
        <f>+INPUT!BH179</f>
        <v>7.2985280101662653</v>
      </c>
      <c r="L264" s="580">
        <f>+INPUT!BI179</f>
        <v>50926</v>
      </c>
      <c r="M264" s="577">
        <f>+INPUT!BJ179</f>
        <v>8.554132116897236</v>
      </c>
      <c r="N264" s="580">
        <f>+INPUT!BK179</f>
        <v>51627</v>
      </c>
      <c r="O264" s="577">
        <f>+INPUT!BL179</f>
        <v>4.3644376162367564</v>
      </c>
      <c r="P264" s="580">
        <f>+INPUT!BM179</f>
        <v>51591</v>
      </c>
      <c r="Q264" s="577">
        <f>+INPUT!BN179</f>
        <v>2.6298513994708514</v>
      </c>
      <c r="R264" s="580">
        <f>+INPUT!BO179</f>
        <v>51667</v>
      </c>
      <c r="S264" s="577">
        <f>+INPUT!BP179</f>
        <v>1.9857484060717354</v>
      </c>
      <c r="T264" s="580">
        <f>+INPUT!BQ179</f>
        <v>51513</v>
      </c>
      <c r="U264" s="577">
        <f>+INPUT!BR179</f>
        <v>1.1526528688685573</v>
      </c>
      <c r="V264" s="580">
        <f>+INPUT!BS179</f>
        <v>50041</v>
      </c>
      <c r="W264" s="577">
        <f>+INPUT!BT179</f>
        <v>-3.0720359501811032</v>
      </c>
      <c r="X264" s="580">
        <f>+INPUT!BU179</f>
        <v>50491</v>
      </c>
      <c r="Y264" s="577">
        <f>+INPUT!BV179</f>
        <v>-2.1321548332073519</v>
      </c>
      <c r="Z264" s="580">
        <f>+INPUT!BW179</f>
        <v>49030</v>
      </c>
      <c r="AA264" s="577">
        <f>+INPUT!BX179</f>
        <v>-5.1038380397545779</v>
      </c>
      <c r="AB264" s="580">
        <f>+INPUT!BY179</f>
        <v>49475</v>
      </c>
      <c r="AC264" s="577">
        <f>+INPUT!BZ179</f>
        <v>-3.9562828800496987</v>
      </c>
      <c r="AD264" s="580">
        <f>+INPUT!CA179</f>
        <v>50137</v>
      </c>
      <c r="AE264" s="577">
        <f>+INPUT!CB179</f>
        <v>0.19184268899500978</v>
      </c>
      <c r="AF264" s="580">
        <f>+INPUT!CC179</f>
        <v>51908</v>
      </c>
      <c r="AG264" s="577">
        <f>+INPUT!CD179</f>
        <v>2.8064407518171492</v>
      </c>
      <c r="AH264" s="580">
        <f>+INPUT!CE179</f>
        <v>52768</v>
      </c>
      <c r="AI264" s="577">
        <f>+INPUT!CF179</f>
        <v>7.6239037324087349</v>
      </c>
      <c r="AJ264" s="580">
        <f>+INPUT!CG179</f>
        <v>55965</v>
      </c>
      <c r="AK264" s="577">
        <f>+INPUT!CH179</f>
        <v>13.117736230419411</v>
      </c>
      <c r="AL264" s="580">
        <f>+INPUT!CI179</f>
        <v>59062</v>
      </c>
      <c r="AM264" s="577">
        <f>+INPUT!CJ179</f>
        <v>17.801224644474132</v>
      </c>
      <c r="AN264" s="580">
        <f>+INPUT!CK179</f>
        <v>64183</v>
      </c>
      <c r="AO264" s="577">
        <f>+INPUT!CL179</f>
        <v>23.647607305232341</v>
      </c>
      <c r="AP264" s="580">
        <f>+INPUT!CM179</f>
        <v>68892</v>
      </c>
      <c r="AQ264" s="577">
        <f>+INPUT!CN179</f>
        <v>30.556397816858691</v>
      </c>
      <c r="AR264" s="580">
        <f>+INPUT!CO179</f>
        <v>74131</v>
      </c>
      <c r="AS264" s="577">
        <f>+INPUT!CP179</f>
        <v>32.459572947377836</v>
      </c>
      <c r="AT264" s="580">
        <f>+INPUT!CQ179</f>
        <v>80513</v>
      </c>
      <c r="AU264" s="577">
        <f>+INPUT!CR179</f>
        <v>36.319460905489137</v>
      </c>
      <c r="AV264" s="580">
        <f>+INPUT!CS179</f>
        <v>90089</v>
      </c>
      <c r="AW264" s="577">
        <f>+INPUT!CT179</f>
        <v>40.362712867893379</v>
      </c>
      <c r="AX264" s="580">
        <f>+INPUT!CU179</f>
        <v>93853</v>
      </c>
      <c r="AY264" s="577">
        <f>+INPUT!CV179</f>
        <v>36.232073390234007</v>
      </c>
      <c r="AZ264" s="580">
        <f>+INPUT!CW179</f>
        <v>102443</v>
      </c>
      <c r="BA264" s="577">
        <f>+INPUT!CX179</f>
        <v>38.191849563610361</v>
      </c>
      <c r="BB264" s="580">
        <f>+INPUT!CY179</f>
        <v>104646</v>
      </c>
      <c r="BC264" s="577">
        <f>+INPUT!CZ179</f>
        <v>29.974041459143251</v>
      </c>
      <c r="BD264" s="580">
        <f>+INPUT!DA179</f>
        <v>141435</v>
      </c>
      <c r="BE264" s="577">
        <f>+INPUT!DB179</f>
        <v>56.994749636470601</v>
      </c>
      <c r="BF264" s="580">
        <f>+INPUT!DC179</f>
        <v>143011</v>
      </c>
      <c r="BG264" s="577">
        <f>+INPUT!DD179</f>
        <v>52.377654417013844</v>
      </c>
      <c r="BH264" s="580">
        <f>+INPUT!DE179</f>
        <v>144101</v>
      </c>
      <c r="BI264" s="577">
        <f>+INPUT!DF179</f>
        <v>40.664564684751525</v>
      </c>
      <c r="BJ264" s="580">
        <f>+INPUT!DG179</f>
        <v>147100</v>
      </c>
      <c r="BK264" s="577">
        <f>+INPUT!DH179</f>
        <v>40.569156967299278</v>
      </c>
      <c r="BL264" s="580">
        <f>+INPUT!DI179</f>
        <v>149402</v>
      </c>
      <c r="BM264" s="577">
        <f>+INPUT!DJ179</f>
        <v>5.6329762788560203</v>
      </c>
      <c r="BN264" s="580">
        <f>+INPUT!DK179</f>
        <v>149661</v>
      </c>
      <c r="BO264" s="577">
        <f>+INPUT!DL179</f>
        <v>4.6499919586605216</v>
      </c>
      <c r="BP264" s="580">
        <f>+INPUT!DM179</f>
        <v>148971</v>
      </c>
      <c r="BQ264" s="577">
        <f>+INPUT!DN179</f>
        <v>3.3795740487574619</v>
      </c>
      <c r="BR264" s="580">
        <f>+INPUT!DO179</f>
        <v>175526</v>
      </c>
      <c r="BS264" s="577">
        <f>+INPUT!DP179</f>
        <v>19.324269204622709</v>
      </c>
      <c r="BT264" s="580">
        <f>+INPUT!DQ179</f>
        <v>179641</v>
      </c>
      <c r="BU264" s="577">
        <f>+INPUT!DR179</f>
        <v>20.240023560594906</v>
      </c>
      <c r="BV264" s="580">
        <f>+INPUT!DS179</f>
        <v>177120</v>
      </c>
      <c r="BW264" s="577">
        <f>+INPUT!DT179</f>
        <v>18.347465271513627</v>
      </c>
      <c r="BX264" s="580">
        <f>+INPUT!DU179</f>
        <v>183798</v>
      </c>
      <c r="BY264" s="577">
        <f>+INPUT!DV179</f>
        <v>23.378375657007069</v>
      </c>
      <c r="BZ264" s="580">
        <f>+INPUT!DW179</f>
        <v>181662</v>
      </c>
      <c r="CA264" s="577">
        <f>+INPUT!DX179</f>
        <v>3.4957784031995232</v>
      </c>
      <c r="CB264" s="580">
        <f>+INPUT!DY179</f>
        <v>179964</v>
      </c>
      <c r="CC264" s="577">
        <f>+INPUT!DZ179</f>
        <v>0.17980305164189758</v>
      </c>
      <c r="CD264" s="580">
        <f>+INPUT!EA179</f>
        <v>180819</v>
      </c>
      <c r="CE264" s="577">
        <f>+INPUT!EB179</f>
        <v>2.0884146341463463</v>
      </c>
      <c r="CF264" s="580">
        <f>+INPUT!EC179</f>
        <v>180882</v>
      </c>
      <c r="CG264" s="577">
        <f>+INPUT!ED179</f>
        <v>-1.5865243364998491</v>
      </c>
      <c r="CH264" s="580">
        <f>+INPUT!EE179</f>
        <v>186224</v>
      </c>
      <c r="CI264" s="577">
        <f>+INPUT!EF179</f>
        <v>2.5112571699089443</v>
      </c>
      <c r="CJ264" s="580">
        <f>+INPUT!EG179</f>
        <v>183376</v>
      </c>
      <c r="CK264" s="577">
        <f>+INPUT!EH179</f>
        <v>1.8959347425040391</v>
      </c>
      <c r="CL264" s="580">
        <f>+INPUT!EI179</f>
        <v>185115</v>
      </c>
      <c r="CM264" s="577">
        <f>+INPUT!EJ179</f>
        <v>2.3758565195029462</v>
      </c>
      <c r="CN264" s="580">
        <f>+INPUT!EK179</f>
        <v>186610</v>
      </c>
      <c r="CO264" s="577">
        <f>+INPUT!EL179</f>
        <v>3.1667053659291753</v>
      </c>
      <c r="CP264" s="580">
        <f>+INPUT!EM179</f>
        <v>188399</v>
      </c>
      <c r="CQ264" s="577">
        <f>+INPUT!EN179</f>
        <v>1.1679482773434131</v>
      </c>
      <c r="CR264" s="580">
        <f>+INPUT!EO179</f>
        <v>194492</v>
      </c>
      <c r="CS264" s="577">
        <f>+INPUT!EP179</f>
        <v>6.0618619666695821</v>
      </c>
      <c r="CT264" s="580">
        <f>+INPUT!EQ179</f>
        <v>194278.0588</v>
      </c>
      <c r="CU264" s="577">
        <f>+INPUT!ER179</f>
        <v>4.9499277746265733</v>
      </c>
      <c r="CV264" s="580">
        <f>+INPUT!ES179</f>
        <v>195929.4222998</v>
      </c>
      <c r="CW264" s="577">
        <f>+INPUT!ET179</f>
        <v>4.9940637156636853</v>
      </c>
      <c r="CX264" s="580">
        <f>+INPUT!EU179</f>
        <v>197594.82238934829</v>
      </c>
      <c r="CY264" s="577">
        <f>+INPUT!EV179</f>
        <v>4.8810356686332312</v>
      </c>
      <c r="CZ264" s="580">
        <f>+INPUT!EW179</f>
        <v>199274.37837965775</v>
      </c>
      <c r="DA264" s="577">
        <f>+INPUT!EX179</f>
        <v>2.4589075024462375</v>
      </c>
      <c r="DB264" s="556"/>
      <c r="DC264" s="580">
        <f>+INPUT!FP179</f>
        <v>48080</v>
      </c>
      <c r="DD264" s="577">
        <f>+INPUT!FQ179</f>
        <v>0.83892617449663476</v>
      </c>
      <c r="DE264" s="580">
        <f>+INPUT!FR179</f>
        <v>50269</v>
      </c>
      <c r="DF264" s="577">
        <f>+INPUT!FS179</f>
        <v>4.5528286189683911</v>
      </c>
      <c r="DG264" s="580">
        <f>+INPUT!FT179</f>
        <v>51591</v>
      </c>
      <c r="DH264" s="577">
        <f>+INPUT!FU179</f>
        <v>2.6298513994708514</v>
      </c>
      <c r="DI264" s="580">
        <f>+INPUT!FV179</f>
        <v>50491</v>
      </c>
      <c r="DJ264" s="577">
        <f>+INPUT!FW179</f>
        <v>-2.1321548332073519</v>
      </c>
      <c r="DK264" s="580">
        <f>+INPUT!FX179</f>
        <v>51908</v>
      </c>
      <c r="DL264" s="577">
        <f>+INPUT!FY179</f>
        <v>2.8064407518171492</v>
      </c>
      <c r="DM264" s="580">
        <f>+INPUT!FZ179</f>
        <v>64183</v>
      </c>
      <c r="DN264" s="577">
        <f>+INPUT!GA179</f>
        <v>23.647607305232341</v>
      </c>
      <c r="DO264" s="580">
        <f>+INPUT!GB179</f>
        <v>90089</v>
      </c>
      <c r="DP264" s="577">
        <f>+INPUT!GC179</f>
        <v>40.362712867893379</v>
      </c>
      <c r="DQ264" s="580">
        <f>+INPUT!GD179</f>
        <v>141435</v>
      </c>
      <c r="DR264" s="577">
        <f>+INPUT!GE179</f>
        <v>56.994749636470601</v>
      </c>
      <c r="DS264" s="580">
        <f>+INPUT!GF179</f>
        <v>149402</v>
      </c>
      <c r="DT264" s="577">
        <f>+INPUT!GG179</f>
        <v>5.6329762788560203</v>
      </c>
      <c r="DU264" s="580">
        <f>+INPUT!GH179</f>
        <v>179641</v>
      </c>
      <c r="DV264" s="577">
        <f>+INPUT!GI179</f>
        <v>20.240023560594906</v>
      </c>
      <c r="DW264" s="580">
        <f>+INPUT!GJ179</f>
        <v>179964</v>
      </c>
      <c r="DX264" s="577">
        <f>+INPUT!GK179</f>
        <v>0.17980305164189758</v>
      </c>
      <c r="DY264" s="580">
        <f>+INPUT!GL179</f>
        <v>183376</v>
      </c>
      <c r="DZ264" s="577">
        <f>+INPUT!GM179</f>
        <v>1.8959347425040391</v>
      </c>
      <c r="EA264" s="580">
        <f>+INPUT!GN179</f>
        <v>194492</v>
      </c>
      <c r="EB264" s="577">
        <f>+INPUT!GO179</f>
        <v>6.0618619666695821</v>
      </c>
      <c r="EC264" s="580">
        <f>+INPUT!GP179</f>
        <v>199274.37837965778</v>
      </c>
      <c r="ED264" s="577">
        <f>+INPUT!GQ179</f>
        <v>2.4589075024462659</v>
      </c>
      <c r="EE264" s="580">
        <f>+INPUT!GR179</f>
        <v>206049.70724456615</v>
      </c>
      <c r="EF264" s="577">
        <f>+INPUT!GS179</f>
        <v>3.4000000000000057</v>
      </c>
      <c r="EG264" s="580">
        <f>+INPUT!GT179</f>
        <v>213055.39729088137</v>
      </c>
      <c r="EH264" s="577">
        <f>+INPUT!GU179</f>
        <v>3.3999999999999773</v>
      </c>
      <c r="EI264" s="580">
        <f>+INPUT!GV179</f>
        <v>220299.28079877136</v>
      </c>
      <c r="EJ264" s="577">
        <f>+INPUT!GW179</f>
        <v>3.4000000000000057</v>
      </c>
      <c r="EK264" s="580">
        <f>+INPUT!GX179</f>
        <v>227789.45634592956</v>
      </c>
      <c r="EL264" s="577">
        <f>+INPUT!GY179</f>
        <v>3.3999999999999773</v>
      </c>
      <c r="EM264" s="577">
        <f>+INPUT!GZ179</f>
        <v>3.2110925081663133</v>
      </c>
    </row>
    <row r="265" spans="1:143" ht="12.75" hidden="1" customHeight="1" outlineLevel="1" x14ac:dyDescent="0.2">
      <c r="A265" s="609" t="str">
        <f>+INPUT!B180</f>
        <v>Fee-based Products</v>
      </c>
      <c r="B265" s="580">
        <f>+INPUT!AY180</f>
        <v>91854</v>
      </c>
      <c r="C265" s="577">
        <f>+INPUT!AZ180</f>
        <v>9.4451130148819828</v>
      </c>
      <c r="D265" s="580">
        <f>+INPUT!BA180</f>
        <v>91537</v>
      </c>
      <c r="E265" s="577">
        <f>+INPUT!BB180</f>
        <v>7.2728551171321101</v>
      </c>
      <c r="F265" s="580">
        <f>+INPUT!BC180</f>
        <v>93364</v>
      </c>
      <c r="G265" s="577">
        <f>+INPUT!BD180</f>
        <v>5.6907071781925964</v>
      </c>
      <c r="H265" s="580">
        <f>+INPUT!BE180</f>
        <v>97430</v>
      </c>
      <c r="I265" s="577">
        <f>+INPUT!BF180</f>
        <v>10.233636929343206</v>
      </c>
      <c r="J265" s="580">
        <f>+INPUT!BG180</f>
        <v>99558</v>
      </c>
      <c r="K265" s="577">
        <f>+INPUT!BH180</f>
        <v>8.3872232020380153</v>
      </c>
      <c r="L265" s="580">
        <f>+INPUT!BI180</f>
        <v>104033</v>
      </c>
      <c r="M265" s="577">
        <f>+INPUT!BJ180</f>
        <v>13.651310399073594</v>
      </c>
      <c r="N265" s="580">
        <f>+INPUT!BK180</f>
        <v>105601</v>
      </c>
      <c r="O265" s="577">
        <f>+INPUT!BL180</f>
        <v>13.106764920097675</v>
      </c>
      <c r="P265" s="580">
        <f>+INPUT!BM180</f>
        <v>112192</v>
      </c>
      <c r="Q265" s="577">
        <f>+INPUT!BN180</f>
        <v>15.151390742071243</v>
      </c>
      <c r="R265" s="580">
        <f>+INPUT!BO180</f>
        <v>107060</v>
      </c>
      <c r="S265" s="577">
        <f>+INPUT!BP180</f>
        <v>7.535306052753171</v>
      </c>
      <c r="T265" s="580">
        <f>+INPUT!BQ180</f>
        <v>106917</v>
      </c>
      <c r="U265" s="577">
        <f>+INPUT!BR180</f>
        <v>2.772197283554263</v>
      </c>
      <c r="V265" s="580">
        <f>+INPUT!BS180</f>
        <v>100463</v>
      </c>
      <c r="W265" s="577">
        <f>+INPUT!BT180</f>
        <v>-4.8654842283690556</v>
      </c>
      <c r="X265" s="580">
        <f>+INPUT!BU180</f>
        <v>99738</v>
      </c>
      <c r="Y265" s="577">
        <f>+INPUT!BV180</f>
        <v>-11.10061323445521</v>
      </c>
      <c r="Z265" s="580">
        <f>+INPUT!BW180</f>
        <v>102159</v>
      </c>
      <c r="AA265" s="577">
        <f>+INPUT!BX180</f>
        <v>-4.5778068372874969</v>
      </c>
      <c r="AB265" s="580">
        <f>+INPUT!BY180</f>
        <v>110950</v>
      </c>
      <c r="AC265" s="577">
        <f>+INPUT!BZ180</f>
        <v>3.7720848882778313</v>
      </c>
      <c r="AD265" s="580">
        <f>+INPUT!CA180</f>
        <v>121756</v>
      </c>
      <c r="AE265" s="577">
        <f>+INPUT!CB180</f>
        <v>21.194867762260742</v>
      </c>
      <c r="AF265" s="580">
        <f>+INPUT!CC180</f>
        <v>126345</v>
      </c>
      <c r="AG265" s="577">
        <f>+INPUT!CD180</f>
        <v>26.676893460867475</v>
      </c>
      <c r="AH265" s="580">
        <f>+INPUT!CE180</f>
        <v>131147</v>
      </c>
      <c r="AI265" s="577">
        <f>+INPUT!CF180</f>
        <v>28.375375639933822</v>
      </c>
      <c r="AJ265" s="580">
        <f>+INPUT!CG180</f>
        <v>125176</v>
      </c>
      <c r="AK265" s="577">
        <f>+INPUT!CH180</f>
        <v>12.821991888237932</v>
      </c>
      <c r="AL265" s="580">
        <f>+INPUT!CI180</f>
        <v>135248</v>
      </c>
      <c r="AM265" s="577">
        <f>+INPUT!CJ180</f>
        <v>11.081178750944517</v>
      </c>
      <c r="AN265" s="580">
        <f>+INPUT!CK180</f>
        <v>141313</v>
      </c>
      <c r="AO265" s="577">
        <f>+INPUT!CL180</f>
        <v>11.846927064782946</v>
      </c>
      <c r="AP265" s="580">
        <f>+INPUT!CM180</f>
        <v>145977</v>
      </c>
      <c r="AQ265" s="577">
        <f>+INPUT!CN180</f>
        <v>11.307921645176776</v>
      </c>
      <c r="AR265" s="580">
        <f>+INPUT!CO180</f>
        <v>146580</v>
      </c>
      <c r="AS265" s="577">
        <f>+INPUT!CP180</f>
        <v>17.099124432798618</v>
      </c>
      <c r="AT265" s="580">
        <f>+INPUT!CQ180</f>
        <v>134198</v>
      </c>
      <c r="AU265" s="577">
        <f>+INPUT!CR180</f>
        <v>-0.77635159115106944</v>
      </c>
      <c r="AV265" s="580">
        <f>+INPUT!CS180</f>
        <v>139430</v>
      </c>
      <c r="AW265" s="577">
        <f>+INPUT!CT180</f>
        <v>-1.3325030251993866</v>
      </c>
      <c r="AX265" s="580">
        <f>+INPUT!CU180</f>
        <v>145991</v>
      </c>
      <c r="AY265" s="577">
        <f>+INPUT!CV180</f>
        <v>9.5905519362560199E-3</v>
      </c>
      <c r="AZ265" s="580">
        <f>+INPUT!CW180</f>
        <v>142405</v>
      </c>
      <c r="BA265" s="577">
        <f>+INPUT!CX180</f>
        <v>-2.8482739800791421</v>
      </c>
      <c r="BB265" s="580">
        <f>+INPUT!CY180</f>
        <v>146934</v>
      </c>
      <c r="BC265" s="577">
        <f>+INPUT!CZ180</f>
        <v>9.4904544031952724</v>
      </c>
      <c r="BD265" s="580">
        <f>+INPUT!DA180</f>
        <v>148405</v>
      </c>
      <c r="BE265" s="577">
        <f>+INPUT!DB180</f>
        <v>6.4369217528508926</v>
      </c>
      <c r="BF265" s="580">
        <f>+INPUT!DC180</f>
        <v>156380</v>
      </c>
      <c r="BG265" s="577">
        <f>+INPUT!DD180</f>
        <v>7.1161920940332095</v>
      </c>
      <c r="BH265" s="580">
        <f>+INPUT!DE180</f>
        <v>157738</v>
      </c>
      <c r="BI265" s="577">
        <f>+INPUT!DF180</f>
        <v>10.767178118745832</v>
      </c>
      <c r="BJ265" s="580">
        <f>+INPUT!DG180</f>
        <v>165364</v>
      </c>
      <c r="BK265" s="577">
        <f>+INPUT!DH180</f>
        <v>12.543046537901375</v>
      </c>
      <c r="BL265" s="580">
        <f>+INPUT!DI180</f>
        <v>173502</v>
      </c>
      <c r="BM265" s="577">
        <f>+INPUT!DJ180</f>
        <v>16.911155284525449</v>
      </c>
      <c r="BN265" s="580">
        <f>+INPUT!DK180</f>
        <v>178150</v>
      </c>
      <c r="BO265" s="577">
        <f>+INPUT!DL180</f>
        <v>13.921217547000879</v>
      </c>
      <c r="BP265" s="580">
        <f>+INPUT!DM180</f>
        <v>181577</v>
      </c>
      <c r="BQ265" s="577">
        <f>+INPUT!DN180</f>
        <v>15.113035539945983</v>
      </c>
      <c r="BR265" s="580">
        <f>+INPUT!DO180</f>
        <v>180535</v>
      </c>
      <c r="BS265" s="577">
        <f>+INPUT!DP180</f>
        <v>9.1743063786555723</v>
      </c>
      <c r="BT265" s="580">
        <f>+INPUT!DQ180</f>
        <v>184196</v>
      </c>
      <c r="BU265" s="577">
        <f>+INPUT!DR180</f>
        <v>6.1636177104586807</v>
      </c>
      <c r="BV265" s="580">
        <f>+INPUT!DS180</f>
        <v>188145</v>
      </c>
      <c r="BW265" s="577">
        <f>+INPUT!DT180</f>
        <v>5.6104406399101805</v>
      </c>
      <c r="BX265" s="580">
        <f>+INPUT!DU180</f>
        <v>188807</v>
      </c>
      <c r="BY265" s="577">
        <f>+INPUT!DV180</f>
        <v>3.9817818336022697</v>
      </c>
      <c r="BZ265" s="580">
        <f>+INPUT!DW180</f>
        <v>184515</v>
      </c>
      <c r="CA265" s="577">
        <f>+INPUT!DX180</f>
        <v>2.2045586728335138</v>
      </c>
      <c r="CB265" s="580">
        <f>+INPUT!DY180</f>
        <v>188961</v>
      </c>
      <c r="CC265" s="577">
        <f>+INPUT!DZ180</f>
        <v>2.5869182826988606</v>
      </c>
      <c r="CD265" s="580">
        <f>+INPUT!EA180</f>
        <v>190953</v>
      </c>
      <c r="CE265" s="577">
        <f>+INPUT!EB180</f>
        <v>1.4924659172446724</v>
      </c>
      <c r="CF265" s="580">
        <f>+INPUT!EC180</f>
        <v>194007</v>
      </c>
      <c r="CG265" s="577">
        <f>+INPUT!ED180</f>
        <v>2.7541351750729461</v>
      </c>
      <c r="CH265" s="580">
        <f>+INPUT!EE180</f>
        <v>200476</v>
      </c>
      <c r="CI265" s="577">
        <f>+INPUT!EF180</f>
        <v>8.650245237514568</v>
      </c>
      <c r="CJ265" s="580">
        <f>+INPUT!EG180</f>
        <v>202802</v>
      </c>
      <c r="CK265" s="577">
        <f>+INPUT!EH180</f>
        <v>7.3247918882732392</v>
      </c>
      <c r="CL265" s="580">
        <f>+INPUT!EI180</f>
        <v>210400</v>
      </c>
      <c r="CM265" s="577">
        <f>+INPUT!EJ180</f>
        <v>10.184181447790806</v>
      </c>
      <c r="CN265" s="580">
        <f>+INPUT!EK180</f>
        <v>214731</v>
      </c>
      <c r="CO265" s="577">
        <f>+INPUT!EL180</f>
        <v>10.682088790610649</v>
      </c>
      <c r="CP265" s="580">
        <f>+INPUT!EM180</f>
        <v>227438</v>
      </c>
      <c r="CQ265" s="577">
        <f>+INPUT!EN180</f>
        <v>13.448991400466895</v>
      </c>
      <c r="CR265" s="580">
        <f>+INPUT!EO180</f>
        <v>234616</v>
      </c>
      <c r="CS265" s="577">
        <f>+INPUT!EP180</f>
        <v>15.68722201950672</v>
      </c>
      <c r="CT265" s="580">
        <f>+INPUT!EQ180</f>
        <v>233377.35229718956</v>
      </c>
      <c r="CU265" s="577">
        <f>+INPUT!ER180</f>
        <v>10.920794818055882</v>
      </c>
      <c r="CV265" s="580">
        <f>+INPUT!ES180</f>
        <v>236208.79064100821</v>
      </c>
      <c r="CW265" s="577">
        <f>+INPUT!ET180</f>
        <v>10.002184426565421</v>
      </c>
      <c r="CX265" s="580">
        <f>+INPUT!EU180</f>
        <v>239074.58126029803</v>
      </c>
      <c r="CY265" s="577">
        <f>+INPUT!EV180</f>
        <v>5.1163751265391113</v>
      </c>
      <c r="CZ265" s="580">
        <f>+INPUT!EW180</f>
        <v>241975.14093221843</v>
      </c>
      <c r="DA265" s="577">
        <f>+INPUT!EX180</f>
        <v>3.1366747929461098</v>
      </c>
      <c r="DB265" s="556"/>
      <c r="DC265" s="580">
        <f>+INPUT!FP180</f>
        <v>88385</v>
      </c>
      <c r="DD265" s="577">
        <f>+INPUT!FQ180</f>
        <v>5.3569512820207166</v>
      </c>
      <c r="DE265" s="580">
        <f>+INPUT!FR180</f>
        <v>97430</v>
      </c>
      <c r="DF265" s="577">
        <f>+INPUT!FS180</f>
        <v>10.233636929343206</v>
      </c>
      <c r="DG265" s="580">
        <f>+INPUT!FT180</f>
        <v>112192</v>
      </c>
      <c r="DH265" s="577">
        <f>+INPUT!FU180</f>
        <v>15.151390742071243</v>
      </c>
      <c r="DI265" s="580">
        <f>+INPUT!FV180</f>
        <v>99738</v>
      </c>
      <c r="DJ265" s="577">
        <f>+INPUT!FW180</f>
        <v>-11.10061323445521</v>
      </c>
      <c r="DK265" s="580">
        <f>+INPUT!FX180</f>
        <v>126345</v>
      </c>
      <c r="DL265" s="577">
        <f>+INPUT!FY180</f>
        <v>26.676893460867475</v>
      </c>
      <c r="DM265" s="580">
        <f>+INPUT!FZ180</f>
        <v>141313</v>
      </c>
      <c r="DN265" s="577">
        <f>+INPUT!GA180</f>
        <v>11.846927064782946</v>
      </c>
      <c r="DO265" s="580">
        <f>+INPUT!GB180</f>
        <v>139430</v>
      </c>
      <c r="DP265" s="577">
        <f>+INPUT!GC180</f>
        <v>-1.3325030251993866</v>
      </c>
      <c r="DQ265" s="580">
        <f>+INPUT!GD180</f>
        <v>148405</v>
      </c>
      <c r="DR265" s="577">
        <f>+INPUT!GE180</f>
        <v>6.4369217528508926</v>
      </c>
      <c r="DS265" s="580">
        <f>+INPUT!GF180</f>
        <v>173502</v>
      </c>
      <c r="DT265" s="577">
        <f>+INPUT!GG180</f>
        <v>16.911155284525449</v>
      </c>
      <c r="DU265" s="580">
        <f>+INPUT!GH180</f>
        <v>184196</v>
      </c>
      <c r="DV265" s="577">
        <f>+INPUT!GI180</f>
        <v>6.1636177104586807</v>
      </c>
      <c r="DW265" s="580">
        <f>+INPUT!GJ180</f>
        <v>188961</v>
      </c>
      <c r="DX265" s="577">
        <f>+INPUT!GK180</f>
        <v>2.5869182826988606</v>
      </c>
      <c r="DY265" s="580">
        <f>+INPUT!GL180</f>
        <v>202802</v>
      </c>
      <c r="DZ265" s="577">
        <f>+INPUT!GM180</f>
        <v>7.3247918882732392</v>
      </c>
      <c r="EA265" s="580">
        <f>+INPUT!GN180</f>
        <v>234616</v>
      </c>
      <c r="EB265" s="577">
        <f>+INPUT!GO180</f>
        <v>15.68722201950672</v>
      </c>
      <c r="EC265" s="580">
        <f>+INPUT!GP180</f>
        <v>241975.14093221843</v>
      </c>
      <c r="ED265" s="577">
        <f>+INPUT!GQ180</f>
        <v>3.1366747929461098</v>
      </c>
      <c r="EE265" s="580">
        <f>+INPUT!GR180</f>
        <v>252870.22687879985</v>
      </c>
      <c r="EF265" s="577">
        <f>+INPUT!GS180</f>
        <v>4.5025641496096114</v>
      </c>
      <c r="EG265" s="580">
        <f>+INPUT!GT180</f>
        <v>264255.87105928117</v>
      </c>
      <c r="EH265" s="577">
        <f>+INPUT!GU180</f>
        <v>4.5025641496096114</v>
      </c>
      <c r="EI265" s="580">
        <f>+INPUT!GV180</f>
        <v>276154.16117283504</v>
      </c>
      <c r="EJ265" s="577">
        <f>+INPUT!GW180</f>
        <v>4.5025641496096398</v>
      </c>
      <c r="EK265" s="580">
        <f>+INPUT!GX180</f>
        <v>288588.17943145829</v>
      </c>
      <c r="EL265" s="577">
        <f>+INPUT!GY180</f>
        <v>4.5025641496096398</v>
      </c>
      <c r="EM265" s="577">
        <f>+INPUT!GZ180</f>
        <v>4.2279467577446939</v>
      </c>
    </row>
    <row r="266" spans="1:143" ht="12.75" hidden="1" customHeight="1" outlineLevel="1" x14ac:dyDescent="0.2">
      <c r="A266" s="609" t="str">
        <f>+INPUT!B181</f>
        <v>Ending Assets</v>
      </c>
      <c r="B266" s="580">
        <f>+INPUT!AY181</f>
        <v>139069</v>
      </c>
      <c r="C266" s="577">
        <f>+INPUT!AZ181</f>
        <v>5.6554605887939147</v>
      </c>
      <c r="D266" s="580">
        <f>+INPUT!BA181</f>
        <v>138450</v>
      </c>
      <c r="E266" s="577">
        <f>+INPUT!BB181</f>
        <v>3.3648641586346457</v>
      </c>
      <c r="F266" s="580">
        <f>+INPUT!BC181</f>
        <v>142832</v>
      </c>
      <c r="G266" s="577">
        <f>+INPUT!BD181</f>
        <v>4.0639981348448799</v>
      </c>
      <c r="H266" s="580">
        <f>+INPUT!BE181</f>
        <v>147699</v>
      </c>
      <c r="I266" s="577">
        <f>+INPUT!BF181</f>
        <v>8.2321474370717738</v>
      </c>
      <c r="J266" s="580">
        <f>+INPUT!BG181</f>
        <v>150219</v>
      </c>
      <c r="K266" s="577">
        <f>+INPUT!BH181</f>
        <v>8.0176027727243451</v>
      </c>
      <c r="L266" s="580">
        <f>+INPUT!BI181</f>
        <v>154959</v>
      </c>
      <c r="M266" s="577">
        <f>+INPUT!BJ181</f>
        <v>11.924160346695572</v>
      </c>
      <c r="N266" s="580">
        <f>+INPUT!BK181</f>
        <v>157228</v>
      </c>
      <c r="O266" s="577">
        <f>+INPUT!BL181</f>
        <v>10.078973899406279</v>
      </c>
      <c r="P266" s="580">
        <f>+INPUT!BM181</f>
        <v>163783</v>
      </c>
      <c r="Q266" s="577">
        <f>+INPUT!BN181</f>
        <v>10.889714893127248</v>
      </c>
      <c r="R266" s="580">
        <f>+INPUT!BO181</f>
        <v>158727</v>
      </c>
      <c r="S266" s="577">
        <f>+INPUT!BP181</f>
        <v>5.6637309528089048</v>
      </c>
      <c r="T266" s="580">
        <f>+INPUT!BQ181</f>
        <v>158430</v>
      </c>
      <c r="U266" s="577">
        <f>+INPUT!BR181</f>
        <v>2.2399473409095378</v>
      </c>
      <c r="V266" s="580">
        <f>+INPUT!BS181</f>
        <v>150504</v>
      </c>
      <c r="W266" s="577">
        <f>+INPUT!BT181</f>
        <v>-4.2765919556313179</v>
      </c>
      <c r="X266" s="580">
        <f>+INPUT!BU181</f>
        <v>150229</v>
      </c>
      <c r="Y266" s="577">
        <f>+INPUT!BV181</f>
        <v>-8.2755841570859019</v>
      </c>
      <c r="Z266" s="580">
        <f>+INPUT!BW181</f>
        <v>151189</v>
      </c>
      <c r="AA266" s="577">
        <f>+INPUT!BX181</f>
        <v>-4.7490345057866676</v>
      </c>
      <c r="AB266" s="580">
        <f>+INPUT!BY181</f>
        <v>160425</v>
      </c>
      <c r="AC266" s="577">
        <f>+INPUT!BZ181</f>
        <v>1.2592312062109414</v>
      </c>
      <c r="AD266" s="580">
        <f>+INPUT!CA181</f>
        <v>171893</v>
      </c>
      <c r="AE266" s="577">
        <f>+INPUT!CB181</f>
        <v>14.211582416414188</v>
      </c>
      <c r="AF266" s="580">
        <f>+INPUT!CC181</f>
        <v>178253</v>
      </c>
      <c r="AG266" s="577">
        <f>+INPUT!CD181</f>
        <v>18.654187939745313</v>
      </c>
      <c r="AH266" s="580">
        <f>+INPUT!CE181</f>
        <v>183915</v>
      </c>
      <c r="AI266" s="577">
        <f>+INPUT!CF181</f>
        <v>21.645754651462738</v>
      </c>
      <c r="AJ266" s="580">
        <f>+INPUT!CG181</f>
        <v>181141</v>
      </c>
      <c r="AK266" s="577">
        <f>+INPUT!CH181</f>
        <v>12.913199314321332</v>
      </c>
      <c r="AL266" s="580">
        <f>+INPUT!CI181</f>
        <v>194310</v>
      </c>
      <c r="AM266" s="577">
        <f>+INPUT!CJ181</f>
        <v>13.04125240702065</v>
      </c>
      <c r="AN266" s="580">
        <f>+INPUT!CK181</f>
        <v>205496</v>
      </c>
      <c r="AO266" s="577">
        <f>+INPUT!CL181</f>
        <v>15.283333239833269</v>
      </c>
      <c r="AP266" s="580">
        <f>+INPUT!CM181</f>
        <v>214869</v>
      </c>
      <c r="AQ266" s="577">
        <f>+INPUT!CN181</f>
        <v>16.830601092896174</v>
      </c>
      <c r="AR266" s="580">
        <f>+INPUT!CO181</f>
        <v>220711</v>
      </c>
      <c r="AS266" s="577">
        <f>+INPUT!CP181</f>
        <v>21.844861185485343</v>
      </c>
      <c r="AT266" s="580">
        <f>+INPUT!CQ181</f>
        <v>214711</v>
      </c>
      <c r="AU266" s="577">
        <f>+INPUT!CR181</f>
        <v>10.499202305594153</v>
      </c>
      <c r="AV266" s="580">
        <f>+INPUT!CS181</f>
        <v>229519</v>
      </c>
      <c r="AW266" s="577">
        <f>+INPUT!CT181</f>
        <v>11.690251878382057</v>
      </c>
      <c r="AX266" s="580">
        <f>+INPUT!CU181</f>
        <v>239844</v>
      </c>
      <c r="AY266" s="577">
        <f>+INPUT!CV181</f>
        <v>11.623361210784239</v>
      </c>
      <c r="AZ266" s="580">
        <f>+INPUT!CW181</f>
        <v>244848</v>
      </c>
      <c r="BA266" s="577">
        <f>+INPUT!CX181</f>
        <v>10.936020406776279</v>
      </c>
      <c r="BB266" s="580">
        <f>+INPUT!CY181</f>
        <v>251580</v>
      </c>
      <c r="BC266" s="577">
        <f>+INPUT!CZ181</f>
        <v>17.171453721514027</v>
      </c>
      <c r="BD266" s="580">
        <f>+INPUT!DA181</f>
        <v>289840</v>
      </c>
      <c r="BE266" s="577">
        <f>+INPUT!DB181</f>
        <v>26.281484321559432</v>
      </c>
      <c r="BF266" s="580">
        <f>+INPUT!DC181</f>
        <v>299391</v>
      </c>
      <c r="BG266" s="577">
        <f>+INPUT!DD181</f>
        <v>24.827387802071343</v>
      </c>
      <c r="BH266" s="580">
        <f>+INPUT!DE181</f>
        <v>301839</v>
      </c>
      <c r="BI266" s="577">
        <f>+INPUT!DF181</f>
        <v>23.276073318957074</v>
      </c>
      <c r="BJ266" s="580">
        <f>+INPUT!DG181</f>
        <v>312464</v>
      </c>
      <c r="BK266" s="577">
        <f>+INPUT!DH181</f>
        <v>24.200651880117661</v>
      </c>
      <c r="BL266" s="580">
        <f>+INPUT!DI181</f>
        <v>322904</v>
      </c>
      <c r="BM266" s="577">
        <f>+INPUT!DJ181</f>
        <v>11.407673199006354</v>
      </c>
      <c r="BN266" s="580">
        <f>+INPUT!DK181</f>
        <v>327811</v>
      </c>
      <c r="BO266" s="577">
        <f>+INPUT!DL181</f>
        <v>9.4926033180690013</v>
      </c>
      <c r="BP266" s="580">
        <f>+INPUT!DM181</f>
        <v>330548</v>
      </c>
      <c r="BQ266" s="577">
        <f>+INPUT!DN181</f>
        <v>9.5113620174994082</v>
      </c>
      <c r="BR266" s="580">
        <f>+INPUT!DO181</f>
        <v>356061</v>
      </c>
      <c r="BS266" s="577">
        <f>+INPUT!DP181</f>
        <v>13.952647344974139</v>
      </c>
      <c r="BT266" s="580">
        <f>+INPUT!DQ181</f>
        <v>363837</v>
      </c>
      <c r="BU266" s="577">
        <f>+INPUT!DR181</f>
        <v>12.67652305329139</v>
      </c>
      <c r="BV266" s="580">
        <f>+INPUT!DS181</f>
        <v>365265</v>
      </c>
      <c r="BW266" s="577">
        <f>+INPUT!DT181</f>
        <v>11.425486027009455</v>
      </c>
      <c r="BX266" s="580">
        <f>+INPUT!DU181</f>
        <v>372605</v>
      </c>
      <c r="BY266" s="577">
        <f>+INPUT!DV181</f>
        <v>12.723416871377239</v>
      </c>
      <c r="BZ266" s="580">
        <f>+INPUT!DW181</f>
        <v>366177</v>
      </c>
      <c r="CA266" s="577">
        <f>+INPUT!DX181</f>
        <v>2.8410862183726948</v>
      </c>
      <c r="CB266" s="580">
        <f>+INPUT!DY181</f>
        <v>368925</v>
      </c>
      <c r="CC266" s="577">
        <f>+INPUT!DZ181</f>
        <v>1.3984284171208543</v>
      </c>
      <c r="CD266" s="580">
        <f>+INPUT!EA181</f>
        <v>371772</v>
      </c>
      <c r="CE266" s="577">
        <f>+INPUT!EB181</f>
        <v>1.7814463471726043</v>
      </c>
      <c r="CF266" s="580">
        <f>+INPUT!EC181</f>
        <v>374889</v>
      </c>
      <c r="CG266" s="577">
        <f>+INPUT!ED181</f>
        <v>0.61298157566322686</v>
      </c>
      <c r="CH266" s="580">
        <f>+INPUT!EE181</f>
        <v>386700</v>
      </c>
      <c r="CI266" s="577">
        <f>+INPUT!EF181</f>
        <v>5.6046665956627493</v>
      </c>
      <c r="CJ266" s="580">
        <f>+INPUT!EG181</f>
        <v>386178</v>
      </c>
      <c r="CK266" s="577">
        <f>+INPUT!EH181</f>
        <v>4.676560276478952</v>
      </c>
      <c r="CL266" s="580">
        <f>+INPUT!EI181</f>
        <v>395515</v>
      </c>
      <c r="CM266" s="577">
        <f>+INPUT!EJ181</f>
        <v>6.3864411521039841</v>
      </c>
      <c r="CN266" s="580">
        <f>+INPUT!EK181</f>
        <v>401341</v>
      </c>
      <c r="CO266" s="577">
        <f>+INPUT!EL181</f>
        <v>7.0559552294145789</v>
      </c>
      <c r="CP266" s="580">
        <f>+INPUT!EM181</f>
        <v>415837</v>
      </c>
      <c r="CQ266" s="577">
        <f>+INPUT!EN181</f>
        <v>7.5347814843547951</v>
      </c>
      <c r="CR266" s="580">
        <f>+INPUT!EO181</f>
        <v>429108</v>
      </c>
      <c r="CS266" s="577">
        <f>+INPUT!EP181</f>
        <v>11.116635333965164</v>
      </c>
      <c r="CT266" s="580">
        <f>+INPUT!EQ181</f>
        <v>427655.41109718953</v>
      </c>
      <c r="CU266" s="577">
        <f>+INPUT!ER181</f>
        <v>8.1262179935500711</v>
      </c>
      <c r="CV266" s="580">
        <f>+INPUT!ES181</f>
        <v>432138.21294080821</v>
      </c>
      <c r="CW266" s="577">
        <f>+INPUT!ET181</f>
        <v>7.6735775664106711</v>
      </c>
      <c r="CX266" s="580">
        <f>+INPUT!EU181</f>
        <v>436669.40364964632</v>
      </c>
      <c r="CY266" s="577">
        <f>+INPUT!EV181</f>
        <v>5.0097522946843043</v>
      </c>
      <c r="CZ266" s="580">
        <f>+INPUT!EW181</f>
        <v>441249.51931187615</v>
      </c>
      <c r="DA266" s="577">
        <f>+INPUT!EX181</f>
        <v>2.8294786654819148</v>
      </c>
      <c r="DB266" s="556"/>
      <c r="DC266" s="580">
        <f>+INPUT!FP181</f>
        <v>136465</v>
      </c>
      <c r="DD266" s="577">
        <f>+INPUT!FQ181</f>
        <v>3.7196646677459313</v>
      </c>
      <c r="DE266" s="580">
        <f>+INPUT!FR181</f>
        <v>147699</v>
      </c>
      <c r="DF266" s="577">
        <f>+INPUT!FS181</f>
        <v>8.2321474370717738</v>
      </c>
      <c r="DG266" s="580">
        <f>+INPUT!FT181</f>
        <v>163783</v>
      </c>
      <c r="DH266" s="577">
        <f>+INPUT!FU181</f>
        <v>10.889714893127248</v>
      </c>
      <c r="DI266" s="580">
        <f>+INPUT!FV181</f>
        <v>150229</v>
      </c>
      <c r="DJ266" s="577">
        <f>+INPUT!FW181</f>
        <v>-8.2755841570859019</v>
      </c>
      <c r="DK266" s="580">
        <f>+INPUT!FX181</f>
        <v>178253</v>
      </c>
      <c r="DL266" s="577">
        <f>+INPUT!FY181</f>
        <v>18.654187939745313</v>
      </c>
      <c r="DM266" s="580">
        <f>+INPUT!FZ181</f>
        <v>205496</v>
      </c>
      <c r="DN266" s="577">
        <f>+INPUT!GA181</f>
        <v>15.283333239833269</v>
      </c>
      <c r="DO266" s="580">
        <f>+INPUT!GB181</f>
        <v>229519</v>
      </c>
      <c r="DP266" s="577">
        <f>+INPUT!GC181</f>
        <v>11.690251878382057</v>
      </c>
      <c r="DQ266" s="580">
        <f>+INPUT!GD181</f>
        <v>289840</v>
      </c>
      <c r="DR266" s="577">
        <f>+INPUT!GE181</f>
        <v>26.281484321559432</v>
      </c>
      <c r="DS266" s="580">
        <f>+INPUT!GF181</f>
        <v>322904</v>
      </c>
      <c r="DT266" s="577">
        <f>+INPUT!GG181</f>
        <v>11.407673199006354</v>
      </c>
      <c r="DU266" s="580">
        <f>+INPUT!GH181</f>
        <v>363837</v>
      </c>
      <c r="DV266" s="577">
        <f>+INPUT!GI181</f>
        <v>12.67652305329139</v>
      </c>
      <c r="DW266" s="580">
        <f>+INPUT!GJ181</f>
        <v>368925</v>
      </c>
      <c r="DX266" s="577">
        <f>+INPUT!GK181</f>
        <v>1.3984284171208543</v>
      </c>
      <c r="DY266" s="580">
        <f>+INPUT!GL181</f>
        <v>386178</v>
      </c>
      <c r="DZ266" s="577">
        <f>+INPUT!GM181</f>
        <v>4.676560276478952</v>
      </c>
      <c r="EA266" s="580">
        <f>+INPUT!GN181</f>
        <v>429108</v>
      </c>
      <c r="EB266" s="577">
        <f>+INPUT!GO181</f>
        <v>11.116635333965164</v>
      </c>
      <c r="EC266" s="580">
        <f>+INPUT!GP181</f>
        <v>441249.51931187621</v>
      </c>
      <c r="ED266" s="577">
        <f>+INPUT!GQ181</f>
        <v>2.8294786654819291</v>
      </c>
      <c r="EE266" s="580">
        <f>+INPUT!GR181</f>
        <v>458919.93412336602</v>
      </c>
      <c r="EF266" s="577">
        <f>+INPUT!GS181</f>
        <v>4.0046309487309202</v>
      </c>
      <c r="EG266" s="580">
        <f>+INPUT!GT181</f>
        <v>477311.26835016254</v>
      </c>
      <c r="EH266" s="577">
        <f>+INPUT!GU181</f>
        <v>4.0075256835220756</v>
      </c>
      <c r="EI266" s="580">
        <f>+INPUT!GV181</f>
        <v>496453.4419716064</v>
      </c>
      <c r="EJ266" s="577">
        <f>+INPUT!GW181</f>
        <v>4.0104172875719399</v>
      </c>
      <c r="EK266" s="580">
        <f>+INPUT!GX181</f>
        <v>516377.63577738788</v>
      </c>
      <c r="EL266" s="577">
        <f>+INPUT!GY181</f>
        <v>4.013305603573798</v>
      </c>
      <c r="EM266" s="577">
        <f>+INPUT!GZ181</f>
        <v>3.7719941973045401</v>
      </c>
    </row>
    <row r="267" spans="1:143" ht="12.75" hidden="1" customHeight="1" outlineLevel="1" x14ac:dyDescent="0.2">
      <c r="A267" s="609" t="str">
        <f>+INPUT!B182</f>
        <v>Average Assets</v>
      </c>
      <c r="B267" s="580">
        <f>+INPUT!AY182</f>
        <v>137767</v>
      </c>
      <c r="C267" s="577">
        <f>+INPUT!AZ182</f>
        <v>4.6877612121764685</v>
      </c>
      <c r="D267" s="580">
        <f>+INPUT!BA182</f>
        <v>138759.5</v>
      </c>
      <c r="E267" s="577">
        <f>+INPUT!BB182</f>
        <v>4.5001656826123622</v>
      </c>
      <c r="F267" s="580">
        <f>+INPUT!BC182</f>
        <v>140641</v>
      </c>
      <c r="G267" s="577">
        <f>+INPUT!BD182</f>
        <v>3.7186989531595032</v>
      </c>
      <c r="H267" s="580">
        <f>+INPUT!BE182</f>
        <v>145265.5</v>
      </c>
      <c r="I267" s="577">
        <f>+INPUT!BF182</f>
        <v>6.1420654028401458</v>
      </c>
      <c r="J267" s="580">
        <f>+INPUT!BG182</f>
        <v>148959</v>
      </c>
      <c r="K267" s="577">
        <f>+INPUT!BH182</f>
        <v>8.12386130205347</v>
      </c>
      <c r="L267" s="580">
        <f>+INPUT!BI182</f>
        <v>152589</v>
      </c>
      <c r="M267" s="577">
        <f>+INPUT!BJ182</f>
        <v>9.9665248145172143</v>
      </c>
      <c r="N267" s="580">
        <f>+INPUT!BK182</f>
        <v>156093.5</v>
      </c>
      <c r="O267" s="577">
        <f>+INPUT!BL182</f>
        <v>10.987194345887758</v>
      </c>
      <c r="P267" s="580">
        <f>+INPUT!BM182</f>
        <v>160505.5</v>
      </c>
      <c r="Q267" s="577">
        <f>+INPUT!BN182</f>
        <v>10.491135197276719</v>
      </c>
      <c r="R267" s="580">
        <f>+INPUT!BO182</f>
        <v>161255</v>
      </c>
      <c r="S267" s="577">
        <f>+INPUT!BP182</f>
        <v>8.2546203989017073</v>
      </c>
      <c r="T267" s="580">
        <f>+INPUT!BQ182</f>
        <v>158578.5</v>
      </c>
      <c r="U267" s="577">
        <f>+INPUT!BR182</f>
        <v>3.9252501818610739</v>
      </c>
      <c r="V267" s="580">
        <f>+INPUT!BS182</f>
        <v>154467</v>
      </c>
      <c r="W267" s="577">
        <f>+INPUT!BT182</f>
        <v>-1.0420036708767384</v>
      </c>
      <c r="X267" s="580">
        <f>+INPUT!BU182</f>
        <v>150366.5</v>
      </c>
      <c r="Y267" s="577">
        <f>+INPUT!BV182</f>
        <v>-6.316917488808798</v>
      </c>
      <c r="Z267" s="580">
        <f>+INPUT!BW182</f>
        <v>150709</v>
      </c>
      <c r="AA267" s="577">
        <f>+INPUT!BX182</f>
        <v>-6.539952249542651</v>
      </c>
      <c r="AB267" s="580">
        <f>+INPUT!BY182</f>
        <v>155807</v>
      </c>
      <c r="AC267" s="577">
        <f>+INPUT!BZ182</f>
        <v>-1.7477148541573939</v>
      </c>
      <c r="AD267" s="580">
        <f>+INPUT!CA182</f>
        <v>166159</v>
      </c>
      <c r="AE267" s="577">
        <f>+INPUT!CB182</f>
        <v>7.5692542743757656</v>
      </c>
      <c r="AF267" s="580">
        <f>+INPUT!CC182</f>
        <v>175073</v>
      </c>
      <c r="AG267" s="577">
        <f>+INPUT!CD182</f>
        <v>16.430853946856502</v>
      </c>
      <c r="AH267" s="580">
        <f>+INPUT!CE182</f>
        <v>181084</v>
      </c>
      <c r="AI267" s="577">
        <f>+INPUT!CF182</f>
        <v>20.154735284555002</v>
      </c>
      <c r="AJ267" s="580">
        <f>+INPUT!CG182</f>
        <v>182528</v>
      </c>
      <c r="AK267" s="577">
        <f>+INPUT!CH182</f>
        <v>17.150063861058882</v>
      </c>
      <c r="AL267" s="580">
        <f>+INPUT!CI182</f>
        <v>187725.5</v>
      </c>
      <c r="AM267" s="577">
        <f>+INPUT!CJ182</f>
        <v>12.979435360106891</v>
      </c>
      <c r="AN267" s="580">
        <f>+INPUT!CK182</f>
        <v>199903</v>
      </c>
      <c r="AO267" s="577">
        <f>+INPUT!CL182</f>
        <v>14.182655235244738</v>
      </c>
      <c r="AP267" s="580">
        <f>+INPUT!CM182</f>
        <v>210182.5</v>
      </c>
      <c r="AQ267" s="577">
        <f>+INPUT!CN182</f>
        <v>16.069061871838471</v>
      </c>
      <c r="AR267" s="580">
        <f>+INPUT!CO182</f>
        <v>217790</v>
      </c>
      <c r="AS267" s="577">
        <f>+INPUT!CP182</f>
        <v>19.31867987377278</v>
      </c>
      <c r="AT267" s="580">
        <f>+INPUT!CQ182</f>
        <v>217711</v>
      </c>
      <c r="AU267" s="577">
        <f>+INPUT!CR182</f>
        <v>15.973056404164595</v>
      </c>
      <c r="AV267" s="580">
        <f>+INPUT!CS182</f>
        <v>222115</v>
      </c>
      <c r="AW267" s="577">
        <f>+INPUT!CT182</f>
        <v>11.11138902367648</v>
      </c>
      <c r="AX267" s="580">
        <f>+INPUT!CU182</f>
        <v>234681.5</v>
      </c>
      <c r="AY267" s="577">
        <f>+INPUT!CV182</f>
        <v>11.656060804301021</v>
      </c>
      <c r="AZ267" s="580">
        <f>+INPUT!CW182</f>
        <v>242346</v>
      </c>
      <c r="BA267" s="577">
        <f>+INPUT!CX182</f>
        <v>11.275081500528032</v>
      </c>
      <c r="BB267" s="580">
        <f>+INPUT!CY182</f>
        <v>248214</v>
      </c>
      <c r="BC267" s="577">
        <f>+INPUT!CZ182</f>
        <v>14.01077575317737</v>
      </c>
      <c r="BD267" s="580">
        <f>+INPUT!DA182</f>
        <v>270710</v>
      </c>
      <c r="BE267" s="577">
        <f>+INPUT!DB182</f>
        <v>21.878306282781452</v>
      </c>
      <c r="BF267" s="580">
        <f>+INPUT!DC182</f>
        <v>294615.5</v>
      </c>
      <c r="BG267" s="577">
        <f>+INPUT!DD182</f>
        <v>25.538442527425474</v>
      </c>
      <c r="BH267" s="580">
        <f>+INPUT!DE182</f>
        <v>300615</v>
      </c>
      <c r="BI267" s="577">
        <f>+INPUT!DF182</f>
        <v>24.043722611472845</v>
      </c>
      <c r="BJ267" s="580">
        <f>+INPUT!DG182</f>
        <v>307151.5</v>
      </c>
      <c r="BK267" s="577">
        <f>+INPUT!DH182</f>
        <v>23.744631648496878</v>
      </c>
      <c r="BL267" s="580">
        <f>+INPUT!DI182</f>
        <v>317684</v>
      </c>
      <c r="BM267" s="577">
        <f>+INPUT!DJ182</f>
        <v>17.352148055114341</v>
      </c>
      <c r="BN267" s="580">
        <f>+INPUT!DK182</f>
        <v>325357.5</v>
      </c>
      <c r="BO267" s="577">
        <f>+INPUT!DL182</f>
        <v>10.43461732325693</v>
      </c>
      <c r="BP267" s="580">
        <f>+INPUT!DM182</f>
        <v>329179.5</v>
      </c>
      <c r="BQ267" s="577">
        <f>+INPUT!DN182</f>
        <v>9.5020208572426554</v>
      </c>
      <c r="BR267" s="580">
        <f>+INPUT!DO182</f>
        <v>343304.5</v>
      </c>
      <c r="BS267" s="577">
        <f>+INPUT!DP182</f>
        <v>11.77041297210009</v>
      </c>
      <c r="BT267" s="580">
        <f>+INPUT!DQ182</f>
        <v>359949</v>
      </c>
      <c r="BU267" s="577">
        <f>+INPUT!DR182</f>
        <v>13.304100930484381</v>
      </c>
      <c r="BV267" s="580">
        <f>+INPUT!DS182</f>
        <v>364551</v>
      </c>
      <c r="BW267" s="577">
        <f>+INPUT!DT182</f>
        <v>12.046287545238712</v>
      </c>
      <c r="BX267" s="580">
        <f>+INPUT!DU182</f>
        <v>368935</v>
      </c>
      <c r="BY267" s="577">
        <f>+INPUT!DV182</f>
        <v>12.07714939721339</v>
      </c>
      <c r="BZ267" s="580">
        <f>+INPUT!DW182</f>
        <v>369391</v>
      </c>
      <c r="CA267" s="577">
        <f>+INPUT!DX182</f>
        <v>7.5986478476105077</v>
      </c>
      <c r="CB267" s="580">
        <f>+INPUT!DY182</f>
        <v>367551</v>
      </c>
      <c r="CC267" s="577">
        <f>+INPUT!DZ182</f>
        <v>2.1119658618304271</v>
      </c>
      <c r="CD267" s="580">
        <f>+INPUT!EA182</f>
        <v>360589.44999999995</v>
      </c>
      <c r="CE267" s="577">
        <f>+INPUT!EB182</f>
        <v>-1.0866929455686716</v>
      </c>
      <c r="CF267" s="580">
        <f>+INPUT!EC182</f>
        <v>373330.5</v>
      </c>
      <c r="CG267" s="577">
        <f>+INPUT!ED182</f>
        <v>1.1914022795343442</v>
      </c>
      <c r="CH267" s="580">
        <f>+INPUT!EE182</f>
        <v>380794.5</v>
      </c>
      <c r="CI267" s="577">
        <f>+INPUT!EF182</f>
        <v>3.0871082403198784</v>
      </c>
      <c r="CJ267" s="580">
        <f>+INPUT!EG182</f>
        <v>386439</v>
      </c>
      <c r="CK267" s="577">
        <f>+INPUT!EH182</f>
        <v>5.138878686223137</v>
      </c>
      <c r="CL267" s="580">
        <f>+INPUT!EI182</f>
        <v>390846.5</v>
      </c>
      <c r="CM267" s="577">
        <f>+INPUT!EJ182</f>
        <v>8.3909970189089051</v>
      </c>
      <c r="CN267" s="580">
        <f>+INPUT!EK182</f>
        <v>398428</v>
      </c>
      <c r="CO267" s="577">
        <f>+INPUT!EL182</f>
        <v>6.7225956625563725</v>
      </c>
      <c r="CP267" s="580">
        <f>+INPUT!EM182</f>
        <v>408589</v>
      </c>
      <c r="CQ267" s="577">
        <f>+INPUT!EN182</f>
        <v>7.2990812629909243</v>
      </c>
      <c r="CR267" s="580">
        <f>+INPUT!EO182</f>
        <v>422472.5</v>
      </c>
      <c r="CS267" s="577">
        <f>+INPUT!EP182</f>
        <v>9.3244988212887421</v>
      </c>
      <c r="CT267" s="580">
        <f>+INPUT!EQ182</f>
        <v>428381.70554859476</v>
      </c>
      <c r="CU267" s="577">
        <f>+INPUT!ER182</f>
        <v>9.6035670138007561</v>
      </c>
      <c r="CV267" s="580">
        <f>+INPUT!ES182</f>
        <v>429896.8120189989</v>
      </c>
      <c r="CW267" s="577">
        <f>+INPUT!ET182</f>
        <v>7.8982431001332571</v>
      </c>
      <c r="CX267" s="580">
        <f>+INPUT!EU182</f>
        <v>434403.80829522724</v>
      </c>
      <c r="CY267" s="577">
        <f>+INPUT!EV182</f>
        <v>6.3180380027918659</v>
      </c>
      <c r="CZ267" s="580">
        <f>+INPUT!EW182</f>
        <v>438959.46148076124</v>
      </c>
      <c r="DA267" s="577">
        <f>+INPUT!EX182</f>
        <v>3.9024934121774066</v>
      </c>
      <c r="DB267" s="556"/>
      <c r="DC267" s="580">
        <f>+INPUT!FP182</f>
        <v>134018</v>
      </c>
      <c r="DD267" s="577">
        <f>+INPUT!FQ182</f>
        <v>31.533335296253767</v>
      </c>
      <c r="DE267" s="580">
        <f>+INPUT!FR182</f>
        <v>142082</v>
      </c>
      <c r="DF267" s="577">
        <f>+INPUT!FS182</f>
        <v>6.0171021803041356</v>
      </c>
      <c r="DG267" s="580">
        <f>+INPUT!FT182</f>
        <v>155741</v>
      </c>
      <c r="DH267" s="577">
        <f>+INPUT!FU182</f>
        <v>9.6134626483298291</v>
      </c>
      <c r="DI267" s="580">
        <f>+INPUT!FV182</f>
        <v>157006</v>
      </c>
      <c r="DJ267" s="577">
        <f>+INPUT!FW182</f>
        <v>0.81224597247995689</v>
      </c>
      <c r="DK267" s="580">
        <f>+INPUT!FX182</f>
        <v>164241</v>
      </c>
      <c r="DL267" s="577">
        <f>+INPUT!FY182</f>
        <v>4.6081041488860421</v>
      </c>
      <c r="DM267" s="580">
        <f>+INPUT!FZ182</f>
        <v>191874.5</v>
      </c>
      <c r="DN267" s="577">
        <f>+INPUT!GA182</f>
        <v>16.824970622438968</v>
      </c>
      <c r="DO267" s="580">
        <f>+INPUT!GB182</f>
        <v>217507.5</v>
      </c>
      <c r="DP267" s="577">
        <f>+INPUT!GC182</f>
        <v>13.359253053428148</v>
      </c>
      <c r="DQ267" s="580">
        <f>+INPUT!GD182</f>
        <v>259679.5</v>
      </c>
      <c r="DR267" s="577">
        <f>+INPUT!GE182</f>
        <v>19.38875670953874</v>
      </c>
      <c r="DS267" s="580">
        <f>+INPUT!GF182</f>
        <v>306372</v>
      </c>
      <c r="DT267" s="577">
        <f>+INPUT!GG182</f>
        <v>17.980818663005735</v>
      </c>
      <c r="DU267" s="580">
        <f>+INPUT!GH182</f>
        <v>343370.5</v>
      </c>
      <c r="DV267" s="577">
        <f>+INPUT!GI182</f>
        <v>12.076332040787022</v>
      </c>
      <c r="DW267" s="580">
        <f>+INPUT!GJ182</f>
        <v>366381</v>
      </c>
      <c r="DX267" s="577">
        <f>+INPUT!GK182</f>
        <v>6.701361939945329</v>
      </c>
      <c r="DY267" s="580">
        <f>+INPUT!GL182</f>
        <v>377551.5</v>
      </c>
      <c r="DZ267" s="577">
        <f>+INPUT!GM182</f>
        <v>3.0488753510689719</v>
      </c>
      <c r="EA267" s="580">
        <f>+INPUT!GN182</f>
        <v>407643</v>
      </c>
      <c r="EB267" s="577">
        <f>+INPUT!GO182</f>
        <v>7.9701709568098806</v>
      </c>
      <c r="EC267" s="580">
        <f>+INPUT!GP182</f>
        <v>435178.75965593808</v>
      </c>
      <c r="ED267" s="577">
        <f>+INPUT!GQ182</f>
        <v>6.7548712122955834</v>
      </c>
      <c r="EE267" s="580">
        <f>+INPUT!GR182</f>
        <v>450084.72671762109</v>
      </c>
      <c r="EF267" s="577">
        <f>+INPUT!GS182</f>
        <v>3.4252515158294869</v>
      </c>
      <c r="EG267" s="580">
        <f>+INPUT!GT182</f>
        <v>468115.60123676428</v>
      </c>
      <c r="EH267" s="577">
        <f>+INPUT!GU182</f>
        <v>4.0061067280906713</v>
      </c>
      <c r="EI267" s="580">
        <f>+INPUT!GV182</f>
        <v>486882.35516088444</v>
      </c>
      <c r="EJ267" s="577">
        <f>+INPUT!GW182</f>
        <v>4.0089998868950971</v>
      </c>
      <c r="EK267" s="580">
        <f>+INPUT!GX182</f>
        <v>506415.53887449717</v>
      </c>
      <c r="EL267" s="577">
        <f>+INPUT!GY182</f>
        <v>4.011889834692866</v>
      </c>
      <c r="EM267" s="577">
        <f>+INPUT!GZ182</f>
        <v>4.4348402642053975</v>
      </c>
    </row>
    <row r="268" spans="1:143" ht="12.75" hidden="1" customHeight="1" outlineLevel="1" x14ac:dyDescent="0.2">
      <c r="A268" s="609"/>
      <c r="B268" s="580"/>
      <c r="C268" s="577"/>
      <c r="D268" s="580"/>
      <c r="E268" s="577"/>
      <c r="F268" s="580"/>
      <c r="G268" s="577"/>
      <c r="H268" s="580"/>
      <c r="I268" s="577"/>
      <c r="J268" s="580"/>
      <c r="K268" s="577"/>
      <c r="L268" s="580"/>
      <c r="M268" s="577"/>
      <c r="N268" s="580"/>
      <c r="O268" s="577"/>
      <c r="P268" s="580"/>
      <c r="Q268" s="577"/>
      <c r="R268" s="580"/>
      <c r="S268" s="577"/>
      <c r="T268" s="580"/>
      <c r="U268" s="577"/>
      <c r="V268" s="580"/>
      <c r="W268" s="577"/>
      <c r="X268" s="580"/>
      <c r="Y268" s="577"/>
      <c r="Z268" s="580"/>
      <c r="AA268" s="577"/>
      <c r="AB268" s="580"/>
      <c r="AC268" s="577"/>
      <c r="AD268" s="580"/>
      <c r="AE268" s="577"/>
      <c r="AF268" s="580"/>
      <c r="AG268" s="577"/>
      <c r="AH268" s="580"/>
      <c r="AI268" s="577"/>
      <c r="AJ268" s="580"/>
      <c r="AK268" s="577"/>
      <c r="AL268" s="580"/>
      <c r="AM268" s="577"/>
      <c r="AN268" s="580"/>
      <c r="AO268" s="577"/>
      <c r="AP268" s="580"/>
      <c r="AQ268" s="577"/>
      <c r="AR268" s="580"/>
      <c r="AS268" s="577"/>
      <c r="AT268" s="580"/>
      <c r="AU268" s="577"/>
      <c r="AV268" s="580"/>
      <c r="AW268" s="577"/>
      <c r="AX268" s="580"/>
      <c r="AY268" s="577"/>
      <c r="AZ268" s="580"/>
      <c r="BA268" s="577"/>
      <c r="BB268" s="580"/>
      <c r="BC268" s="577"/>
      <c r="BD268" s="580"/>
      <c r="BE268" s="577"/>
      <c r="BF268" s="580"/>
      <c r="BG268" s="577"/>
      <c r="BH268" s="580"/>
      <c r="BI268" s="577"/>
      <c r="BJ268" s="580"/>
      <c r="BK268" s="577"/>
      <c r="BL268" s="580"/>
      <c r="BM268" s="577"/>
      <c r="BN268" s="580"/>
      <c r="BO268" s="577"/>
      <c r="BP268" s="580"/>
      <c r="BQ268" s="577"/>
      <c r="BR268" s="580"/>
      <c r="BS268" s="577"/>
      <c r="BT268" s="580"/>
      <c r="BU268" s="577"/>
      <c r="BV268" s="580"/>
      <c r="BW268" s="577"/>
      <c r="BX268" s="580"/>
      <c r="BY268" s="577"/>
      <c r="BZ268" s="580"/>
      <c r="CA268" s="577"/>
      <c r="CB268" s="580"/>
      <c r="CC268" s="577"/>
      <c r="CD268" s="580"/>
      <c r="CE268" s="577"/>
      <c r="CF268" s="580"/>
      <c r="CG268" s="577"/>
      <c r="CH268" s="580"/>
      <c r="CI268" s="577"/>
      <c r="CJ268" s="580"/>
      <c r="CK268" s="577"/>
      <c r="CL268" s="580"/>
      <c r="CM268" s="577"/>
      <c r="CN268" s="580"/>
      <c r="CO268" s="577"/>
      <c r="CP268" s="580"/>
      <c r="CQ268" s="577"/>
      <c r="CR268" s="580"/>
      <c r="CS268" s="577"/>
      <c r="CT268" s="580"/>
      <c r="CU268" s="577"/>
      <c r="CV268" s="580"/>
      <c r="CW268" s="577"/>
      <c r="CX268" s="580"/>
      <c r="CY268" s="577"/>
      <c r="CZ268" s="580"/>
      <c r="DA268" s="577"/>
      <c r="DB268" s="556"/>
      <c r="DC268" s="580"/>
      <c r="DD268" s="577"/>
      <c r="DE268" s="580"/>
      <c r="DF268" s="577"/>
      <c r="DG268" s="580"/>
      <c r="DH268" s="577"/>
      <c r="DI268" s="580"/>
      <c r="DJ268" s="577"/>
      <c r="DK268" s="580"/>
      <c r="DL268" s="577"/>
      <c r="DM268" s="580"/>
      <c r="DN268" s="577"/>
      <c r="DO268" s="580"/>
      <c r="DP268" s="577"/>
      <c r="DQ268" s="580"/>
      <c r="DR268" s="577"/>
      <c r="DS268" s="580"/>
      <c r="DT268" s="577"/>
      <c r="DU268" s="580"/>
      <c r="DV268" s="577"/>
      <c r="DW268" s="580"/>
      <c r="DX268" s="577"/>
      <c r="DY268" s="580"/>
      <c r="DZ268" s="577"/>
      <c r="EA268" s="580"/>
      <c r="EB268" s="577"/>
      <c r="EC268" s="580"/>
      <c r="ED268" s="577"/>
      <c r="EE268" s="580"/>
      <c r="EF268" s="577"/>
      <c r="EG268" s="580"/>
      <c r="EH268" s="577"/>
      <c r="EI268" s="580"/>
      <c r="EJ268" s="577"/>
      <c r="EK268" s="580"/>
      <c r="EL268" s="577"/>
      <c r="EM268" s="577"/>
    </row>
    <row r="269" spans="1:143" ht="12.75" hidden="1" customHeight="1" outlineLevel="1" x14ac:dyDescent="0.2">
      <c r="A269" s="614" t="str">
        <f>+INPUT!B172</f>
        <v>Institutional Investment Net Flows</v>
      </c>
      <c r="B269" s="580">
        <f>+INPUT!AY172</f>
        <v>-916</v>
      </c>
      <c r="C269" s="577" t="str">
        <f>+INPUT!AZ172</f>
        <v>NM</v>
      </c>
      <c r="D269" s="580">
        <f>+INPUT!BA172</f>
        <v>-341</v>
      </c>
      <c r="E269" s="577" t="str">
        <f>+INPUT!BB172</f>
        <v>NM</v>
      </c>
      <c r="F269" s="580">
        <f>+INPUT!BC172</f>
        <v>1293</v>
      </c>
      <c r="G269" s="577" t="str">
        <f>+INPUT!BD172</f>
        <v>NM</v>
      </c>
      <c r="H269" s="580">
        <f>+INPUT!BE172</f>
        <v>-399</v>
      </c>
      <c r="I269" s="577" t="str">
        <f>+INPUT!BF172</f>
        <v>NM</v>
      </c>
      <c r="J269" s="580">
        <f>+INPUT!BG172</f>
        <v>-210</v>
      </c>
      <c r="K269" s="577" t="str">
        <f>+INPUT!BH172</f>
        <v>NM</v>
      </c>
      <c r="L269" s="580">
        <f>+INPUT!BI172</f>
        <v>198</v>
      </c>
      <c r="M269" s="577" t="str">
        <f>+INPUT!BJ172</f>
        <v>NM</v>
      </c>
      <c r="N269" s="580">
        <f>+INPUT!BK172</f>
        <v>-648</v>
      </c>
      <c r="O269" s="577" t="str">
        <f>+INPUT!BL172</f>
        <v>NM</v>
      </c>
      <c r="P269" s="580">
        <f>+INPUT!BM172</f>
        <v>-565</v>
      </c>
      <c r="Q269" s="577">
        <f>+INPUT!BN172</f>
        <v>41.604010025062678</v>
      </c>
      <c r="R269" s="580">
        <f>+INPUT!BO172</f>
        <v>108</v>
      </c>
      <c r="S269" s="577" t="str">
        <f>+INPUT!BP172</f>
        <v>NM</v>
      </c>
      <c r="T269" s="580">
        <f>+INPUT!BQ172</f>
        <v>-338</v>
      </c>
      <c r="U269" s="577" t="str">
        <f>+INPUT!BR172</f>
        <v>NM</v>
      </c>
      <c r="V269" s="580">
        <f>+INPUT!BS172</f>
        <v>-1062</v>
      </c>
      <c r="W269" s="577">
        <f>+INPUT!BT172</f>
        <v>63.888888888888886</v>
      </c>
      <c r="X269" s="580">
        <f>+INPUT!BU172</f>
        <v>-362</v>
      </c>
      <c r="Y269" s="577">
        <f>+INPUT!BV172</f>
        <v>-35.929203539823007</v>
      </c>
      <c r="Z269" s="580">
        <f>+INPUT!BW172</f>
        <v>-1410</v>
      </c>
      <c r="AA269" s="577" t="str">
        <f>+INPUT!BX172</f>
        <v>NM</v>
      </c>
      <c r="AB269" s="580">
        <f>+INPUT!BY172</f>
        <v>1071</v>
      </c>
      <c r="AC269" s="577" t="str">
        <f>+INPUT!BZ172</f>
        <v>NM</v>
      </c>
      <c r="AD269" s="580">
        <f>+INPUT!CA172</f>
        <v>-1194</v>
      </c>
      <c r="AE269" s="577">
        <f>+INPUT!CB172</f>
        <v>12.429378531073439</v>
      </c>
      <c r="AF269" s="580">
        <f>+INPUT!CC172</f>
        <v>1502</v>
      </c>
      <c r="AG269" s="577" t="str">
        <f>+INPUT!CD172</f>
        <v>NM</v>
      </c>
      <c r="AH269" s="580">
        <f>+INPUT!CE172</f>
        <v>-263</v>
      </c>
      <c r="AI269" s="577" t="str">
        <f>+INPUT!CF172</f>
        <v>NM</v>
      </c>
      <c r="AJ269" s="580">
        <f>+INPUT!CG172</f>
        <v>1690</v>
      </c>
      <c r="AK269" s="577">
        <f>+INPUT!CH172</f>
        <v>57.796451914098981</v>
      </c>
      <c r="AL269" s="580">
        <f>+INPUT!CI172</f>
        <v>1436</v>
      </c>
      <c r="AM269" s="577" t="str">
        <f>+INPUT!CJ172</f>
        <v>NM</v>
      </c>
      <c r="AN269" s="580">
        <f>+INPUT!CK172</f>
        <v>5477</v>
      </c>
      <c r="AO269" s="577" t="str">
        <f>+INPUT!CL172</f>
        <v>NM</v>
      </c>
      <c r="AP269" s="580">
        <f>+INPUT!CM172</f>
        <v>4657</v>
      </c>
      <c r="AQ269" s="577" t="str">
        <f>+INPUT!CN172</f>
        <v>NM</v>
      </c>
      <c r="AR269" s="580">
        <f>+INPUT!CO172</f>
        <v>4155</v>
      </c>
      <c r="AS269" s="577" t="str">
        <f>+INPUT!CP172</f>
        <v>NM</v>
      </c>
      <c r="AT269" s="580">
        <f>+INPUT!CQ172</f>
        <v>4070</v>
      </c>
      <c r="AU269" s="577" t="str">
        <f>+INPUT!CR172</f>
        <v>NM</v>
      </c>
      <c r="AV269" s="580">
        <f>+INPUT!CS172</f>
        <v>8741</v>
      </c>
      <c r="AW269" s="577">
        <f>+INPUT!CT172</f>
        <v>59.594668614204863</v>
      </c>
      <c r="AX269" s="580">
        <f>+INPUT!CU172</f>
        <v>2861</v>
      </c>
      <c r="AY269" s="577">
        <f>+INPUT!CV172</f>
        <v>-38.565600171784411</v>
      </c>
      <c r="AZ269" s="580">
        <f>+INPUT!CW172</f>
        <v>5625</v>
      </c>
      <c r="BA269" s="577">
        <f>+INPUT!CX172</f>
        <v>35.379061371841146</v>
      </c>
      <c r="BB269" s="580">
        <f>+INPUT!CY172</f>
        <v>1418</v>
      </c>
      <c r="BC269" s="577" t="str">
        <f>+INPUT!CZ172</f>
        <v>NM</v>
      </c>
      <c r="BD269" s="580">
        <f>+INPUT!DA172</f>
        <v>36606</v>
      </c>
      <c r="BE269" s="577" t="str">
        <f>+INPUT!DB172</f>
        <v>NM</v>
      </c>
      <c r="BF269" s="580">
        <f>+INPUT!DC172</f>
        <v>1526</v>
      </c>
      <c r="BG269" s="577">
        <f>+INPUT!DD172</f>
        <v>-46.662006291506465</v>
      </c>
      <c r="BH269" s="580">
        <f>+INPUT!DE172</f>
        <v>1898</v>
      </c>
      <c r="BI269" s="577" t="str">
        <f>+INPUT!DF172</f>
        <v>NM</v>
      </c>
      <c r="BJ269" s="580">
        <f>+INPUT!DG172</f>
        <v>2547</v>
      </c>
      <c r="BK269" s="577">
        <f>+INPUT!DH172</f>
        <v>79.619181946403387</v>
      </c>
      <c r="BL269" s="580">
        <f>+INPUT!DI172</f>
        <v>1372</v>
      </c>
      <c r="BM269" s="577" t="str">
        <f>+INPUT!DJ172</f>
        <v>NM</v>
      </c>
      <c r="BN269" s="580">
        <f>+INPUT!DK172</f>
        <v>-1284</v>
      </c>
      <c r="BO269" s="577" t="str">
        <f>+INPUT!DL172</f>
        <v>NM</v>
      </c>
      <c r="BP269" s="580">
        <f>+INPUT!DM172</f>
        <v>-2527</v>
      </c>
      <c r="BQ269" s="577" t="str">
        <f>+INPUT!DN172</f>
        <v>NM</v>
      </c>
      <c r="BR269" s="580">
        <f>+INPUT!DO172</f>
        <v>27328</v>
      </c>
      <c r="BS269" s="577" t="str">
        <f>+INPUT!DP172</f>
        <v>NM</v>
      </c>
      <c r="BT269" s="580">
        <f>+INPUT!DQ172</f>
        <v>3740</v>
      </c>
      <c r="BU269" s="577" t="str">
        <f>+INPUT!DR172</f>
        <v>NM</v>
      </c>
      <c r="BV269" s="580">
        <f>+INPUT!DS172</f>
        <v>-2526</v>
      </c>
      <c r="BW269" s="577">
        <f>+INPUT!DT172</f>
        <v>96.728971962616839</v>
      </c>
      <c r="BX269" s="580">
        <f>+INPUT!DU172</f>
        <v>5339</v>
      </c>
      <c r="BY269" s="577" t="str">
        <f>+INPUT!DV172</f>
        <v>NM</v>
      </c>
      <c r="BZ269" s="580">
        <f>+INPUT!DW172</f>
        <v>-1909</v>
      </c>
      <c r="CA269" s="577" t="str">
        <f>+INPUT!DX172</f>
        <v>NM</v>
      </c>
      <c r="CB269" s="580">
        <f>+INPUT!DY172</f>
        <v>-720</v>
      </c>
      <c r="CC269" s="577" t="str">
        <f>+INPUT!DZ172</f>
        <v>NM</v>
      </c>
      <c r="CD269" s="580">
        <f>+INPUT!EA172</f>
        <v>-722</v>
      </c>
      <c r="CE269" s="577" t="str">
        <f>+INPUT!EB172</f>
        <v>NM</v>
      </c>
      <c r="CF269" s="580">
        <f>+INPUT!EC172</f>
        <v>302</v>
      </c>
      <c r="CG269" s="577" t="str">
        <f>+INPUT!ED172</f>
        <v>NM</v>
      </c>
      <c r="CH269" s="580">
        <f>+INPUT!EE172</f>
        <v>4568</v>
      </c>
      <c r="CI269" s="577" t="str">
        <f>+INPUT!EF172</f>
        <v>NM</v>
      </c>
      <c r="CJ269" s="580">
        <f>+INPUT!EG172</f>
        <v>-169</v>
      </c>
      <c r="CK269" s="577" t="str">
        <f>+INPUT!EH172</f>
        <v>NM</v>
      </c>
      <c r="CL269" s="580">
        <f>+INPUT!EI172</f>
        <v>-199</v>
      </c>
      <c r="CM269" s="577" t="str">
        <f>+INPUT!EJ172</f>
        <v>NM</v>
      </c>
      <c r="CN269" s="580">
        <f>+INPUT!EK172</f>
        <v>-1614</v>
      </c>
      <c r="CO269" s="577" t="str">
        <f>+INPUT!EL172</f>
        <v>NM</v>
      </c>
      <c r="CP269" s="580">
        <f>+INPUT!EM172</f>
        <v>1212</v>
      </c>
      <c r="CQ269" s="577" t="str">
        <f>+INPUT!EN172</f>
        <v>NM</v>
      </c>
      <c r="CR269" s="580">
        <f>+INPUT!EO172</f>
        <v>4825</v>
      </c>
      <c r="CS269" s="577" t="str">
        <f>+INPUT!EP172</f>
        <v>NM</v>
      </c>
      <c r="CT269" s="580">
        <f>+INPUT!EQ172</f>
        <v>486.22999999999956</v>
      </c>
      <c r="CU269" s="577" t="str">
        <f>+INPUT!ER172</f>
        <v>NM</v>
      </c>
      <c r="CV269" s="580">
        <f>+INPUT!ES172</f>
        <v>485.69514700000036</v>
      </c>
      <c r="CW269" s="577" t="str">
        <f>+INPUT!ET172</f>
        <v>NM</v>
      </c>
      <c r="CX269" s="580">
        <f>+INPUT!EU172</f>
        <v>489.82355574950088</v>
      </c>
      <c r="CY269" s="577" t="str">
        <f>+INPUT!EV172</f>
        <v>NM</v>
      </c>
      <c r="CZ269" s="580">
        <f>+INPUT!EW172</f>
        <v>493.98705597336993</v>
      </c>
      <c r="DA269" s="577" t="str">
        <f>+INPUT!EX172</f>
        <v>NM</v>
      </c>
      <c r="DB269" s="556"/>
      <c r="DC269" s="580">
        <f>+INPUT!FP172</f>
        <v>-1468</v>
      </c>
      <c r="DD269" s="577">
        <f>+INPUT!FQ172</f>
        <v>61.496149614961496</v>
      </c>
      <c r="DE269" s="580">
        <f>+INPUT!FR172</f>
        <v>-363</v>
      </c>
      <c r="DF269" s="577" t="str">
        <f>+INPUT!FS172</f>
        <v>NM</v>
      </c>
      <c r="DG269" s="580">
        <f>+INPUT!FT172</f>
        <v>-1225</v>
      </c>
      <c r="DH269" s="577" t="str">
        <f>+INPUT!FU172</f>
        <v>NM</v>
      </c>
      <c r="DI269" s="580">
        <f>+INPUT!FV172</f>
        <v>-1654</v>
      </c>
      <c r="DJ269" s="577">
        <f>+INPUT!FW172</f>
        <v>35.020408163265301</v>
      </c>
      <c r="DK269" s="580">
        <f>+INPUT!FX172</f>
        <v>-31</v>
      </c>
      <c r="DL269" s="577" t="str">
        <f>+INPUT!FY172</f>
        <v>NM</v>
      </c>
      <c r="DM269" s="580">
        <f>+INPUT!FZ172</f>
        <v>8340</v>
      </c>
      <c r="DN269" s="577" t="str">
        <f>+INPUT!GA172</f>
        <v>NM</v>
      </c>
      <c r="DO269" s="580">
        <f>+INPUT!GB172</f>
        <v>21623</v>
      </c>
      <c r="DP269" s="577" t="str">
        <f>+INPUT!GC172</f>
        <v>NM</v>
      </c>
      <c r="DQ269" s="580">
        <f>+INPUT!GD172</f>
        <v>46510</v>
      </c>
      <c r="DR269" s="577" t="str">
        <f>+INPUT!GE172</f>
        <v>NM</v>
      </c>
      <c r="DS269" s="580">
        <f>+INPUT!GF172</f>
        <v>7343</v>
      </c>
      <c r="DT269" s="577" t="str">
        <f>+INPUT!GG172</f>
        <v>NM</v>
      </c>
      <c r="DU269" s="580">
        <f>+INPUT!GH172</f>
        <v>27257</v>
      </c>
      <c r="DV269" s="577" t="str">
        <f>+INPUT!GI172</f>
        <v>NM</v>
      </c>
      <c r="DW269" s="580">
        <f>+INPUT!GJ172</f>
        <v>184</v>
      </c>
      <c r="DX269" s="577" t="str">
        <f>+INPUT!GK172</f>
        <v>NM</v>
      </c>
      <c r="DY269" s="580">
        <f>+INPUT!GL172</f>
        <v>3979</v>
      </c>
      <c r="DZ269" s="577" t="str">
        <f>+INPUT!GM172</f>
        <v>NM</v>
      </c>
      <c r="EA269" s="580">
        <f>+INPUT!GN172</f>
        <v>4224</v>
      </c>
      <c r="EB269" s="577">
        <f>+INPUT!GO172</f>
        <v>6.1573259612968059</v>
      </c>
      <c r="EC269" s="580">
        <f>+INPUT!GP172</f>
        <v>1955.7357587228726</v>
      </c>
      <c r="ED269" s="577" t="str">
        <f>+INPUT!GQ172</f>
        <v>NM</v>
      </c>
      <c r="EE269" s="580">
        <f>+INPUT!GR172</f>
        <v>1992.7437837965808</v>
      </c>
      <c r="EF269" s="577">
        <f>+INPUT!GS172</f>
        <v>1.8922814551325189</v>
      </c>
      <c r="EG269" s="580">
        <f>+INPUT!GT172</f>
        <v>2060.497072445658</v>
      </c>
      <c r="EH269" s="577">
        <f>+INPUT!GU172</f>
        <v>3.3999999999996646</v>
      </c>
      <c r="EI269" s="580">
        <f>+INPUT!GV172</f>
        <v>2130.5539729088196</v>
      </c>
      <c r="EJ269" s="577">
        <f>+INPUT!GW172</f>
        <v>3.4000000000004462</v>
      </c>
      <c r="EK269" s="580">
        <f>+INPUT!GX172</f>
        <v>2202.9928079877136</v>
      </c>
      <c r="EL269" s="577">
        <f>+INPUT!GY172</f>
        <v>3.3999999999997357</v>
      </c>
      <c r="EM269" s="577">
        <f>+INPUT!GZ172</f>
        <v>-12.207415564541002</v>
      </c>
    </row>
    <row r="270" spans="1:143" ht="12.75" hidden="1" customHeight="1" outlineLevel="1" x14ac:dyDescent="0.2">
      <c r="A270" s="609" t="str">
        <f>+INPUT!B174</f>
        <v>Deposits/BOP Assets (%)</v>
      </c>
      <c r="B270" s="597">
        <f>+INPUT!AY174</f>
        <v>12.778702163061565</v>
      </c>
      <c r="C270" s="577">
        <f>+INPUT!AZ174</f>
        <v>0</v>
      </c>
      <c r="D270" s="597">
        <f>+INPUT!BA174</f>
        <v>9.2174097214868169</v>
      </c>
      <c r="E270" s="577">
        <f>+INPUT!BB174</f>
        <v>0</v>
      </c>
      <c r="F270" s="597">
        <f>+INPUT!BC174</f>
        <v>17.086948180674867</v>
      </c>
      <c r="G270" s="577">
        <f>+INPUT!BD174</f>
        <v>0</v>
      </c>
      <c r="H270" s="597">
        <f>+INPUT!BE174</f>
        <v>11.037438343979947</v>
      </c>
      <c r="I270" s="577">
        <f>+INPUT!BF174</f>
        <v>0</v>
      </c>
      <c r="J270" s="597">
        <f>+INPUT!BG174</f>
        <v>12.198372754580358</v>
      </c>
      <c r="K270" s="577">
        <f>+INPUT!BH174</f>
        <v>0</v>
      </c>
      <c r="L270" s="597">
        <f>+INPUT!BI174</f>
        <v>12.609304988057875</v>
      </c>
      <c r="M270" s="577">
        <f>+INPUT!BJ174</f>
        <v>0</v>
      </c>
      <c r="N270" s="597">
        <f>+INPUT!BK174</f>
        <v>4.2807210462239329</v>
      </c>
      <c r="O270" s="577">
        <f>+INPUT!BL174</f>
        <v>0</v>
      </c>
      <c r="P270" s="597">
        <f>+INPUT!BM174</f>
        <v>10.056753249268793</v>
      </c>
      <c r="Q270" s="577">
        <f>+INPUT!BN174</f>
        <v>0</v>
      </c>
      <c r="R270" s="597">
        <f>+INPUT!BO174</f>
        <v>14.0334554476556</v>
      </c>
      <c r="S270" s="577">
        <f>+INPUT!BP174</f>
        <v>0</v>
      </c>
      <c r="T270" s="597">
        <f>+INPUT!BQ174</f>
        <v>12.433468171173089</v>
      </c>
      <c r="U270" s="577">
        <f>+INPUT!BR174</f>
        <v>0</v>
      </c>
      <c r="V270" s="597">
        <f>+INPUT!BS174</f>
        <v>8.1688117562557014</v>
      </c>
      <c r="W270" s="577">
        <f>+INPUT!BT174</f>
        <v>0</v>
      </c>
      <c r="X270" s="597">
        <f>+INPUT!BU174</f>
        <v>10.151675625986691</v>
      </c>
      <c r="Y270" s="577">
        <f>+INPUT!BV174</f>
        <v>0</v>
      </c>
      <c r="Z270" s="597">
        <f>+INPUT!BW174</f>
        <v>4.9672218811273297</v>
      </c>
      <c r="AA270" s="577">
        <f>+INPUT!BX174</f>
        <v>0</v>
      </c>
      <c r="AB270" s="597">
        <f>+INPUT!BY174</f>
        <v>19.114827656536814</v>
      </c>
      <c r="AC270" s="577">
        <f>+INPUT!BZ174</f>
        <v>0</v>
      </c>
      <c r="AD270" s="597">
        <f>+INPUT!CA174</f>
        <v>10.744820616472966</v>
      </c>
      <c r="AE270" s="577">
        <f>+INPUT!CB174</f>
        <v>0</v>
      </c>
      <c r="AF270" s="597">
        <f>+INPUT!CC174</f>
        <v>27.819773819733928</v>
      </c>
      <c r="AG270" s="577">
        <f>+INPUT!CD174</f>
        <v>0</v>
      </c>
      <c r="AH270" s="586">
        <f>+INPUT!CE174</f>
        <v>14.45634584264468</v>
      </c>
      <c r="AI270" s="577">
        <f>+INPUT!CF174</f>
        <v>0</v>
      </c>
      <c r="AJ270" s="586">
        <f>+INPUT!CG174</f>
        <v>27.986658580958157</v>
      </c>
      <c r="AK270" s="577">
        <f>+INPUT!CH174</f>
        <v>0</v>
      </c>
      <c r="AL270" s="586">
        <f>+INPUT!CI174</f>
        <v>21.985169302242475</v>
      </c>
      <c r="AM270" s="577">
        <f>+INPUT!CJ174</f>
        <v>0</v>
      </c>
      <c r="AN270" s="586">
        <f>+INPUT!CK174</f>
        <v>45.064508482611494</v>
      </c>
      <c r="AO270" s="577">
        <f>+INPUT!CL174</f>
        <v>0</v>
      </c>
      <c r="AP270" s="586">
        <f>+INPUT!CM174</f>
        <v>36.053160494211859</v>
      </c>
      <c r="AQ270" s="577">
        <f>+INPUT!CN174</f>
        <v>0</v>
      </c>
      <c r="AR270" s="586">
        <f>+INPUT!CO174</f>
        <v>32.468211113046507</v>
      </c>
      <c r="AS270" s="577">
        <f>+INPUT!CP174</f>
        <v>0</v>
      </c>
      <c r="AT270" s="586">
        <f>+INPUT!CQ174</f>
        <v>30.060298660479422</v>
      </c>
      <c r="AU270" s="577">
        <f>+INPUT!CR174</f>
        <v>0</v>
      </c>
      <c r="AV270" s="586">
        <f>+INPUT!CS174</f>
        <v>53.780134885049627</v>
      </c>
      <c r="AW270" s="577">
        <f>+INPUT!CT174</f>
        <v>0</v>
      </c>
      <c r="AX270" s="586">
        <f>+INPUT!CU174</f>
        <v>19.531796334735652</v>
      </c>
      <c r="AY270" s="577">
        <f>+INPUT!CV174</f>
        <v>0</v>
      </c>
      <c r="AZ270" s="586">
        <f>+INPUT!CW174</f>
        <v>36.043600098025635</v>
      </c>
      <c r="BA270" s="577">
        <f>+INPUT!CX174</f>
        <v>0</v>
      </c>
      <c r="BB270" s="586">
        <f>+INPUT!CY174</f>
        <v>11.54593286022471</v>
      </c>
      <c r="BC270" s="577">
        <f>+INPUT!CZ174</f>
        <v>0</v>
      </c>
      <c r="BD270" s="586">
        <f>+INPUT!DA174</f>
        <v>149.80792385757698</v>
      </c>
      <c r="BE270" s="577">
        <f>+INPUT!DB174</f>
        <v>0</v>
      </c>
      <c r="BF270" s="586">
        <f>+INPUT!DC174</f>
        <v>10.874253190511544</v>
      </c>
      <c r="BG270" s="577">
        <f>+INPUT!DD174</f>
        <v>0</v>
      </c>
      <c r="BH270" s="586">
        <f>+INPUT!DE174</f>
        <v>12.194866129178875</v>
      </c>
      <c r="BI270" s="577">
        <f>+INPUT!DF174</f>
        <v>0</v>
      </c>
      <c r="BJ270" s="586">
        <f>+INPUT!DG174</f>
        <v>13.97353245293232</v>
      </c>
      <c r="BK270" s="577">
        <f>+INPUT!DH174</f>
        <v>0</v>
      </c>
      <c r="BL270" s="586">
        <f>+INPUT!DI174</f>
        <v>11.026512576478586</v>
      </c>
      <c r="BM270" s="577">
        <f>+INPUT!DJ174</f>
        <v>0</v>
      </c>
      <c r="BN270" s="586">
        <f>+INPUT!DK174</f>
        <v>4.6398307920911366</v>
      </c>
      <c r="BO270" s="577">
        <f>+INPUT!DL174</f>
        <v>0</v>
      </c>
      <c r="BP270" s="586">
        <f>+INPUT!DM174</f>
        <v>5.5458669927369186</v>
      </c>
      <c r="BQ270" s="577" t="str">
        <f>+INPUT!DN174</f>
        <v>NM</v>
      </c>
      <c r="BR270" s="586">
        <f>+INPUT!DO174</f>
        <v>83.135643850145328</v>
      </c>
      <c r="BS270" s="577" t="str">
        <f>+INPUT!DP174</f>
        <v>NM</v>
      </c>
      <c r="BT270" s="586">
        <f>+INPUT!DQ174</f>
        <v>19.422763579184853</v>
      </c>
      <c r="BU270" s="577">
        <f>+INPUT!DR174</f>
        <v>76.146024814925511</v>
      </c>
      <c r="BV270" s="586">
        <f>+INPUT!DS174</f>
        <v>2.1576366197026289</v>
      </c>
      <c r="BW270" s="577" t="str">
        <f>+INPUT!DT174</f>
        <v>NM</v>
      </c>
      <c r="BX270" s="586">
        <f>+INPUT!DU174</f>
        <v>20.65718157181572</v>
      </c>
      <c r="BY270" s="577" t="str">
        <f>+INPUT!DV174</f>
        <v>NM</v>
      </c>
      <c r="BZ270" s="586">
        <f>+INPUT!DW174</f>
        <v>4.4200698593020604</v>
      </c>
      <c r="CA270" s="577" t="str">
        <f>+INPUT!DX174</f>
        <v>NM</v>
      </c>
      <c r="CB270" s="586">
        <f>+INPUT!DY174</f>
        <v>7.5414781297134237</v>
      </c>
      <c r="CC270" s="577" t="str">
        <f>+INPUT!DZ174</f>
        <v>NM</v>
      </c>
      <c r="CD270" s="586">
        <f>+INPUT!EA174</f>
        <v>4.5809161832366474</v>
      </c>
      <c r="CE270" s="577" t="str">
        <f>+INPUT!EB174</f>
        <v>NM</v>
      </c>
      <c r="CF270" s="586">
        <f>+INPUT!EC174</f>
        <v>7.5677887832583961</v>
      </c>
      <c r="CG270" s="577" t="str">
        <f>+INPUT!ED174</f>
        <v>NM</v>
      </c>
      <c r="CH270" s="586">
        <f>+INPUT!EE174</f>
        <v>15.274046063179311</v>
      </c>
      <c r="CI270" s="577" t="str">
        <f>+INPUT!EF174</f>
        <v>NM</v>
      </c>
      <c r="CJ270" s="586">
        <f>+INPUT!EG174</f>
        <v>8.0569636566715364</v>
      </c>
      <c r="CK270" s="577">
        <f>+INPUT!EH174</f>
        <v>6.8353380874645779</v>
      </c>
      <c r="CL270" s="586">
        <f>+INPUT!EI174</f>
        <v>8.8168571677864058</v>
      </c>
      <c r="CM270" s="577">
        <f>+INPUT!EJ174</f>
        <v>92.469296863599311</v>
      </c>
      <c r="CN270" s="586">
        <f>+INPUT!EK174</f>
        <v>5.5252140561272718</v>
      </c>
      <c r="CO270" s="577">
        <f>+INPUT!EL174</f>
        <v>-26.990377052405933</v>
      </c>
      <c r="CP270" s="586">
        <f>+INPUT!EM174</f>
        <v>10.211671400246503</v>
      </c>
      <c r="CQ270" s="577">
        <f>+INPUT!EN174</f>
        <v>-33.14363883670957</v>
      </c>
      <c r="CR270" s="586">
        <f>+INPUT!EO174</f>
        <v>21.798417189050898</v>
      </c>
      <c r="CS270" s="577" t="str">
        <f>+INPUT!EP174</f>
        <v>NM</v>
      </c>
      <c r="CT270" s="586">
        <f>+INPUT!EQ174</f>
        <v>11</v>
      </c>
      <c r="CU270" s="577">
        <f>+INPUT!ER174</f>
        <v>24.761009401286486</v>
      </c>
      <c r="CV270" s="586">
        <f>+INPUT!ES174</f>
        <v>11</v>
      </c>
      <c r="CW270" s="577">
        <f>+INPUT!ET174</f>
        <v>99.087309346890891</v>
      </c>
      <c r="CX270" s="586">
        <f>+INPUT!EU174</f>
        <v>11</v>
      </c>
      <c r="CY270" s="577">
        <f>+INPUT!EV174</f>
        <v>7.7198782535684387</v>
      </c>
      <c r="CZ270" s="586">
        <f>+INPUT!EW174</f>
        <v>11</v>
      </c>
      <c r="DA270" s="577">
        <f>+INPUT!EX174</f>
        <v>-49.537620531800918</v>
      </c>
      <c r="DB270" s="556"/>
      <c r="DC270" s="597">
        <f>+INPUT!FP174</f>
        <v>8.5255872483221466</v>
      </c>
      <c r="DD270" s="577">
        <f>+INPUT!FQ174</f>
        <v>0</v>
      </c>
      <c r="DE270" s="597">
        <f>+INPUT!FR174</f>
        <v>12.464642262895174</v>
      </c>
      <c r="DF270" s="577">
        <f>+INPUT!FS174</f>
        <v>0</v>
      </c>
      <c r="DG270" s="597">
        <f>+INPUT!FT174</f>
        <v>9.8927768604905619</v>
      </c>
      <c r="DH270" s="577">
        <f>+INPUT!FU174</f>
        <v>0</v>
      </c>
      <c r="DI270" s="597">
        <f>+INPUT!FV174</f>
        <v>11.122094939039755</v>
      </c>
      <c r="DJ270" s="577">
        <f>+INPUT!FW174</f>
        <v>0</v>
      </c>
      <c r="DK270" s="586">
        <f>+INPUT!FX174</f>
        <v>15.420570002574715</v>
      </c>
      <c r="DL270" s="577">
        <f>+INPUT!FY174</f>
        <v>0</v>
      </c>
      <c r="DM270" s="586">
        <f>+INPUT!FZ174</f>
        <v>29.471372428142097</v>
      </c>
      <c r="DN270" s="577">
        <f>+INPUT!GA174</f>
        <v>0</v>
      </c>
      <c r="DO270" s="586">
        <f>+INPUT!GB174</f>
        <v>43.271582817880123</v>
      </c>
      <c r="DP270" s="577">
        <f>+INPUT!GC174</f>
        <v>0</v>
      </c>
      <c r="DQ270" s="586">
        <f>+INPUT!GD174</f>
        <v>61.056288781094246</v>
      </c>
      <c r="DR270" s="577">
        <f>+INPUT!GE174</f>
        <v>0</v>
      </c>
      <c r="DS270" s="586">
        <f>+INPUT!GF174</f>
        <v>12.227525011489377</v>
      </c>
      <c r="DT270" s="577">
        <f>+INPUT!GG174</f>
        <v>0</v>
      </c>
      <c r="DU270" s="586">
        <f>+INPUT!GH174</f>
        <v>28.977523727928677</v>
      </c>
      <c r="DV270" s="577" t="str">
        <f>+INPUT!GI174</f>
        <v>NM</v>
      </c>
      <c r="DW270" s="586">
        <f>+INPUT!GJ174</f>
        <v>8.6683997528403882</v>
      </c>
      <c r="DX270" s="577" t="str">
        <f>+INPUT!GK174</f>
        <v>NM</v>
      </c>
      <c r="DY270" s="586">
        <f>+INPUT!GL174</f>
        <v>8.9684603587384135</v>
      </c>
      <c r="DZ270" s="577">
        <f>+INPUT!GM174</f>
        <v>3.4615455499696282</v>
      </c>
      <c r="EA270" s="586">
        <f>+INPUT!GN174</f>
        <v>11.795436698368379</v>
      </c>
      <c r="EB270" s="577">
        <f>+INPUT!GO174</f>
        <v>31.521311647160303</v>
      </c>
      <c r="EC270" s="586">
        <f>+INPUT!GP174</f>
        <v>11.061171331443751</v>
      </c>
      <c r="ED270" s="577">
        <f>+INPUT!GQ174</f>
        <v>-6.2249951884036392</v>
      </c>
      <c r="EE270" s="586">
        <f>+INPUT!GR174</f>
        <v>11</v>
      </c>
      <c r="EF270" s="577">
        <f>+INPUT!GS174</f>
        <v>-0.55302760992280753</v>
      </c>
      <c r="EG270" s="586">
        <f>+INPUT!GT174</f>
        <v>11</v>
      </c>
      <c r="EH270" s="577">
        <f>+INPUT!GU174</f>
        <v>0</v>
      </c>
      <c r="EI270" s="586">
        <f>+INPUT!GV174</f>
        <v>11</v>
      </c>
      <c r="EJ270" s="577">
        <f>+INPUT!GW174</f>
        <v>0</v>
      </c>
      <c r="EK270" s="586">
        <f>+INPUT!GX174</f>
        <v>11</v>
      </c>
      <c r="EL270" s="577">
        <f>+INPUT!GY174</f>
        <v>0</v>
      </c>
      <c r="EM270" s="577">
        <f>+INPUT!GZ174</f>
        <v>0</v>
      </c>
    </row>
    <row r="271" spans="1:143" ht="12.75" hidden="1" customHeight="1" outlineLevel="1" x14ac:dyDescent="0.2">
      <c r="A271" s="609" t="str">
        <f>+INPUT!B175</f>
        <v>Withdrawals/BOP Reserves (%)</v>
      </c>
      <c r="B271" s="597">
        <f>+INPUT!AY175</f>
        <v>20.399334442595674</v>
      </c>
      <c r="C271" s="577">
        <f>+INPUT!AZ175</f>
        <v>0</v>
      </c>
      <c r="D271" s="597">
        <f>+INPUT!BA175</f>
        <v>12.106322143386636</v>
      </c>
      <c r="E271" s="577">
        <f>+INPUT!BB175</f>
        <v>0</v>
      </c>
      <c r="F271" s="597">
        <f>+INPUT!BC175</f>
        <v>6.062285507215484</v>
      </c>
      <c r="G271" s="577">
        <f>+INPUT!BD175</f>
        <v>0</v>
      </c>
      <c r="H271" s="597">
        <f>+INPUT!BE175</f>
        <v>14.263766475297162</v>
      </c>
      <c r="I271" s="577">
        <f>+INPUT!BF175</f>
        <v>0</v>
      </c>
      <c r="J271" s="597">
        <f>+INPUT!BG175</f>
        <v>13.869382720961228</v>
      </c>
      <c r="K271" s="577">
        <f>+INPUT!BH175</f>
        <v>0</v>
      </c>
      <c r="L271" s="597">
        <f>+INPUT!BI175</f>
        <v>11.045972246896033</v>
      </c>
      <c r="M271" s="577">
        <f>+INPUT!BJ175</f>
        <v>0</v>
      </c>
      <c r="N271" s="597">
        <f>+INPUT!BK175</f>
        <v>9.3704590975140398</v>
      </c>
      <c r="O271" s="577">
        <f>+INPUT!BL175</f>
        <v>0</v>
      </c>
      <c r="P271" s="597">
        <f>+INPUT!BM175</f>
        <v>14.434307629728629</v>
      </c>
      <c r="Q271" s="577">
        <f>+INPUT!BN175</f>
        <v>0</v>
      </c>
      <c r="R271" s="597">
        <f>+INPUT!BO175</f>
        <v>13.196100094977806</v>
      </c>
      <c r="S271" s="577">
        <f>+INPUT!BP175</f>
        <v>0</v>
      </c>
      <c r="T271" s="597">
        <f>+INPUT!BQ175</f>
        <v>15.050225482416243</v>
      </c>
      <c r="U271" s="577">
        <f>+INPUT!BR175</f>
        <v>0</v>
      </c>
      <c r="V271" s="597">
        <f>+INPUT!BS175</f>
        <v>16.415273814376956</v>
      </c>
      <c r="W271" s="577">
        <f>+INPUT!BT175</f>
        <v>0</v>
      </c>
      <c r="X271" s="597">
        <f>+INPUT!BU175</f>
        <v>13.045302851661638</v>
      </c>
      <c r="Y271" s="577">
        <f>+INPUT!BV175</f>
        <v>0</v>
      </c>
      <c r="Z271" s="597">
        <f>+INPUT!BW175</f>
        <v>16.137529460695966</v>
      </c>
      <c r="AA271" s="577">
        <f>+INPUT!BX175</f>
        <v>0</v>
      </c>
      <c r="AB271" s="597">
        <f>+INPUT!BY175</f>
        <v>10.377320008158271</v>
      </c>
      <c r="AC271" s="577">
        <f>+INPUT!BZ175</f>
        <v>0</v>
      </c>
      <c r="AD271" s="597">
        <f>+INPUT!CA175</f>
        <v>20.398180899444164</v>
      </c>
      <c r="AE271" s="577">
        <f>+INPUT!CB175</f>
        <v>0</v>
      </c>
      <c r="AF271" s="597">
        <f>+INPUT!CC175</f>
        <v>15.83660769491593</v>
      </c>
      <c r="AG271" s="577">
        <f>+INPUT!CD175</f>
        <v>0</v>
      </c>
      <c r="AH271" s="586">
        <f>+INPUT!CE175</f>
        <v>16.483008399475995</v>
      </c>
      <c r="AI271" s="577">
        <f>+INPUT!CF175</f>
        <v>0</v>
      </c>
      <c r="AJ271" s="586">
        <f>+INPUT!CG175</f>
        <v>15.175864160097028</v>
      </c>
      <c r="AK271" s="577">
        <f>+INPUT!CH175</f>
        <v>0</v>
      </c>
      <c r="AL271" s="586">
        <f>+INPUT!CI175</f>
        <v>11.721611721611721</v>
      </c>
      <c r="AM271" s="577">
        <f>+INPUT!CJ175</f>
        <v>0</v>
      </c>
      <c r="AN271" s="586">
        <f>+INPUT!CK175</f>
        <v>7.9712844129897391</v>
      </c>
      <c r="AO271" s="577">
        <f>+INPUT!CL175</f>
        <v>0</v>
      </c>
      <c r="AP271" s="586">
        <f>+INPUT!CM175</f>
        <v>7.0298988828817608</v>
      </c>
      <c r="AQ271" s="577">
        <f>+INPUT!CN175</f>
        <v>0</v>
      </c>
      <c r="AR271" s="586">
        <f>+INPUT!CO175</f>
        <v>8.3434941647796546</v>
      </c>
      <c r="AS271" s="577">
        <f>+INPUT!CP175</f>
        <v>0</v>
      </c>
      <c r="AT271" s="586">
        <f>+INPUT!CQ175</f>
        <v>8.0991757834104483</v>
      </c>
      <c r="AU271" s="577">
        <f>+INPUT!CR175</f>
        <v>0</v>
      </c>
      <c r="AV271" s="586">
        <f>+INPUT!CS175</f>
        <v>10.35360749195782</v>
      </c>
      <c r="AW271" s="577">
        <f>+INPUT!CT175</f>
        <v>0</v>
      </c>
      <c r="AX271" s="586">
        <f>+INPUT!CU175</f>
        <v>6.8288026285118058</v>
      </c>
      <c r="AY271" s="577">
        <f>+INPUT!CV175</f>
        <v>0</v>
      </c>
      <c r="AZ271" s="586">
        <f>+INPUT!CW175</f>
        <v>12.06993916017602</v>
      </c>
      <c r="BA271" s="577">
        <f>+INPUT!CX175</f>
        <v>0</v>
      </c>
      <c r="BB271" s="586">
        <f>+INPUT!CY175</f>
        <v>6.0091953574182719</v>
      </c>
      <c r="BC271" s="577">
        <f>+INPUT!CZ175</f>
        <v>0</v>
      </c>
      <c r="BD271" s="586">
        <f>+INPUT!DA175</f>
        <v>9.8847543145461856</v>
      </c>
      <c r="BE271" s="577">
        <f>+INPUT!DB175</f>
        <v>0</v>
      </c>
      <c r="BF271" s="586">
        <f>+INPUT!DC175</f>
        <v>6.5584897656167138</v>
      </c>
      <c r="BG271" s="577">
        <f>+INPUT!DD175</f>
        <v>0</v>
      </c>
      <c r="BH271" s="586">
        <f>+INPUT!DE175</f>
        <v>6.886183580284035</v>
      </c>
      <c r="BI271" s="577">
        <f>+INPUT!DF175</f>
        <v>0</v>
      </c>
      <c r="BJ271" s="586">
        <f>+INPUT!DG175</f>
        <v>6.9034913012401029</v>
      </c>
      <c r="BK271" s="577">
        <f>+INPUT!DH175</f>
        <v>0</v>
      </c>
      <c r="BL271" s="586">
        <f>+INPUT!DI175</f>
        <v>7.2957171991842289</v>
      </c>
      <c r="BM271" s="577">
        <f>+INPUT!DJ175</f>
        <v>0</v>
      </c>
      <c r="BN271" s="586">
        <f>+INPUT!DK175</f>
        <v>8.0775357759601611</v>
      </c>
      <c r="BO271" s="577">
        <f>+INPUT!DL175</f>
        <v>0</v>
      </c>
      <c r="BP271" s="586">
        <f>+INPUT!DM175</f>
        <v>12.299797542445928</v>
      </c>
      <c r="BQ271" s="577">
        <f>+INPUT!DN175</f>
        <v>78.61559162700388</v>
      </c>
      <c r="BR271" s="586">
        <f>+INPUT!DO175</f>
        <v>9.7576038289331475</v>
      </c>
      <c r="BS271" s="577">
        <f>+INPUT!DP175</f>
        <v>41.343030694923129</v>
      </c>
      <c r="BT271" s="586">
        <f>+INPUT!DQ175</f>
        <v>10.899809714800087</v>
      </c>
      <c r="BU271" s="577">
        <f>+INPUT!DR175</f>
        <v>49.400112658133878</v>
      </c>
      <c r="BV271" s="586">
        <f>+INPUT!DS175</f>
        <v>7.7821878079057676</v>
      </c>
      <c r="BW271" s="577">
        <f>+INPUT!DT175</f>
        <v>-3.6564117602968622</v>
      </c>
      <c r="BX271" s="586">
        <f>+INPUT!DU175</f>
        <v>8.599819331526648</v>
      </c>
      <c r="BY271" s="577">
        <f>+INPUT!DV175</f>
        <v>-30.081618808365405</v>
      </c>
      <c r="BZ271" s="586">
        <f>+INPUT!DW175</f>
        <v>8.5746308447317166</v>
      </c>
      <c r="CA271" s="577">
        <f>+INPUT!DX175</f>
        <v>-12.123601295368147</v>
      </c>
      <c r="CB271" s="586">
        <f>+INPUT!DY175</f>
        <v>9.1268399555217918</v>
      </c>
      <c r="CC271" s="577">
        <f>+INPUT!DZ175</f>
        <v>-16.266061570514424</v>
      </c>
      <c r="CD271" s="586">
        <f>+INPUT!EA175</f>
        <v>6.1856815807605967</v>
      </c>
      <c r="CE271" s="577">
        <f>+INPUT!EB175</f>
        <v>-20.514876620213556</v>
      </c>
      <c r="CF271" s="586">
        <f>+INPUT!EC175</f>
        <v>6.8997173969549657</v>
      </c>
      <c r="CG271" s="577">
        <f>+INPUT!ED175</f>
        <v>-19.769042453475336</v>
      </c>
      <c r="CH271" s="586">
        <f>+INPUT!EE175</f>
        <v>5.1724328567795581</v>
      </c>
      <c r="CI271" s="577">
        <f>+INPUT!EF175</f>
        <v>-39.677486407971493</v>
      </c>
      <c r="CJ271" s="586">
        <f>+INPUT!EG175</f>
        <v>8.4199673511470063</v>
      </c>
      <c r="CK271" s="577">
        <f>+INPUT!EH175</f>
        <v>-7.744987397824616</v>
      </c>
      <c r="CL271" s="586">
        <f>+INPUT!EI175</f>
        <v>9.2509379635284876</v>
      </c>
      <c r="CM271" s="577">
        <f>+INPUT!EJ175</f>
        <v>49.554060336726621</v>
      </c>
      <c r="CN271" s="586">
        <f>+INPUT!EK175</f>
        <v>9.0127758420441353</v>
      </c>
      <c r="CO271" s="577">
        <f>+INPUT!EL175</f>
        <v>30.625289754935778</v>
      </c>
      <c r="CP271" s="586">
        <f>+INPUT!EM175</f>
        <v>7.6137398853223308</v>
      </c>
      <c r="CQ271" s="577">
        <f>+INPUT!EN175</f>
        <v>47.198428595219525</v>
      </c>
      <c r="CR271" s="586">
        <f>+INPUT!EO175</f>
        <v>11.554201455421738</v>
      </c>
      <c r="CS271" s="577">
        <f>+INPUT!EP175</f>
        <v>37.223827285360812</v>
      </c>
      <c r="CT271" s="586">
        <f>+INPUT!EQ175</f>
        <v>10</v>
      </c>
      <c r="CU271" s="577">
        <f>+INPUT!ER175</f>
        <v>8.0971468993162006</v>
      </c>
      <c r="CV271" s="586">
        <f>+INPUT!ES175</f>
        <v>10</v>
      </c>
      <c r="CW271" s="577">
        <f>+INPUT!ET175</f>
        <v>10.953608247422665</v>
      </c>
      <c r="CX271" s="586">
        <f>+INPUT!EU175</f>
        <v>10</v>
      </c>
      <c r="CY271" s="577">
        <f>+INPUT!EV175</f>
        <v>31.341497747747724</v>
      </c>
      <c r="CZ271" s="586">
        <f>+INPUT!EW175</f>
        <v>10</v>
      </c>
      <c r="DA271" s="577">
        <f>+INPUT!EX175</f>
        <v>-13.451396545387723</v>
      </c>
      <c r="DB271" s="556"/>
      <c r="DC271" s="597">
        <f>+INPUT!FP175</f>
        <v>11.604446308724832</v>
      </c>
      <c r="DD271" s="577">
        <f>+INPUT!FQ175</f>
        <v>0</v>
      </c>
      <c r="DE271" s="597">
        <f>+INPUT!FR175</f>
        <v>13.219633943427619</v>
      </c>
      <c r="DF271" s="577">
        <f>+INPUT!FS175</f>
        <v>0</v>
      </c>
      <c r="DG271" s="597">
        <f>+INPUT!FT175</f>
        <v>12.329666394795998</v>
      </c>
      <c r="DH271" s="577">
        <f>+INPUT!FU175</f>
        <v>0</v>
      </c>
      <c r="DI271" s="597">
        <f>+INPUT!FV175</f>
        <v>14.328080479153341</v>
      </c>
      <c r="DJ271" s="577">
        <f>+INPUT!FW175</f>
        <v>0</v>
      </c>
      <c r="DK271" s="586">
        <f>+INPUT!FX175</f>
        <v>15.481967083242559</v>
      </c>
      <c r="DL271" s="577">
        <f>+INPUT!FY175</f>
        <v>0</v>
      </c>
      <c r="DM271" s="586">
        <f>+INPUT!FZ175</f>
        <v>13.404484857825382</v>
      </c>
      <c r="DN271" s="577">
        <f>+INPUT!GA175</f>
        <v>0</v>
      </c>
      <c r="DO271" s="586">
        <f>+INPUT!GB175</f>
        <v>9.5819765358428253</v>
      </c>
      <c r="DP271" s="577">
        <f>+INPUT!GC175</f>
        <v>0</v>
      </c>
      <c r="DQ271" s="586">
        <f>+INPUT!GD175</f>
        <v>9.4295640977255815</v>
      </c>
      <c r="DR271" s="577">
        <f>+INPUT!GE175</f>
        <v>0</v>
      </c>
      <c r="DS271" s="586">
        <f>+INPUT!GF175</f>
        <v>7.0357407996606209</v>
      </c>
      <c r="DT271" s="577">
        <f>+INPUT!GG175</f>
        <v>0</v>
      </c>
      <c r="DU271" s="586">
        <f>+INPUT!GH175</f>
        <v>10.733457383435296</v>
      </c>
      <c r="DV271" s="577">
        <f>+INPUT!GI175</f>
        <v>52.55617978355653</v>
      </c>
      <c r="DW271" s="586">
        <f>+INPUT!GJ175</f>
        <v>8.5659732466419136</v>
      </c>
      <c r="DX271" s="577">
        <f>+INPUT!GK175</f>
        <v>-20.193718196882315</v>
      </c>
      <c r="DY271" s="586">
        <f>+INPUT!GL175</f>
        <v>6.7574626036318381</v>
      </c>
      <c r="DZ271" s="577">
        <f>+INPUT!GM175</f>
        <v>-21.112728127175259</v>
      </c>
      <c r="EA271" s="586">
        <f>+INPUT!GN175</f>
        <v>9.4919727772445679</v>
      </c>
      <c r="EB271" s="577">
        <f>+INPUT!GO175</f>
        <v>40.466523220462221</v>
      </c>
      <c r="EC271" s="586">
        <f>+INPUT!GP175</f>
        <v>10.0556103013125</v>
      </c>
      <c r="ED271" s="577">
        <f>+INPUT!GQ175</f>
        <v>5.9380440430587811</v>
      </c>
      <c r="EE271" s="586">
        <f>+INPUT!GR175</f>
        <v>10</v>
      </c>
      <c r="EF271" s="577">
        <f>+INPUT!GS175</f>
        <v>-0.55302760992280753</v>
      </c>
      <c r="EG271" s="586">
        <f>+INPUT!GT175</f>
        <v>10</v>
      </c>
      <c r="EH271" s="577">
        <f>+INPUT!GU175</f>
        <v>0</v>
      </c>
      <c r="EI271" s="586">
        <f>+INPUT!GV175</f>
        <v>10</v>
      </c>
      <c r="EJ271" s="577">
        <f>+INPUT!GW175</f>
        <v>0</v>
      </c>
      <c r="EK271" s="586">
        <f>+INPUT!GX175</f>
        <v>10</v>
      </c>
      <c r="EL271" s="577">
        <f>+INPUT!GY175</f>
        <v>0</v>
      </c>
      <c r="EM271" s="577">
        <f>+INPUT!GZ175</f>
        <v>0</v>
      </c>
    </row>
    <row r="272" spans="1:143" ht="12.75" hidden="1" customHeight="1" outlineLevel="1" x14ac:dyDescent="0.2">
      <c r="A272" s="609" t="str">
        <f>+INPUT!B176</f>
        <v>Inv Perf/BOP AUM (%)</v>
      </c>
      <c r="B272" s="597">
        <f>+INPUT!AY176</f>
        <v>1.5141430948419301</v>
      </c>
      <c r="C272" s="577">
        <f>+INPUT!AZ176</f>
        <v>0</v>
      </c>
      <c r="D272" s="597">
        <f>+INPUT!BA176</f>
        <v>3.5836069045854071</v>
      </c>
      <c r="E272" s="577">
        <f>+INPUT!BB176</f>
        <v>0</v>
      </c>
      <c r="F272" s="597">
        <f>+INPUT!BC176</f>
        <v>8.4837891416025411</v>
      </c>
      <c r="G272" s="577">
        <f>+INPUT!BD176</f>
        <v>0</v>
      </c>
      <c r="H272" s="597">
        <f>+INPUT!BE176</f>
        <v>5.2316649146923266</v>
      </c>
      <c r="I272" s="577">
        <f>+INPUT!BF176</f>
        <v>0</v>
      </c>
      <c r="J272" s="597">
        <f>+INPUT!BG176</f>
        <v>4.8300145218723269</v>
      </c>
      <c r="K272" s="577">
        <f>+INPUT!BH176</f>
        <v>0</v>
      </c>
      <c r="L272" s="597">
        <f>+INPUT!BI176</f>
        <v>2.5660764690787787</v>
      </c>
      <c r="M272" s="577">
        <f>+INPUT!BJ176</f>
        <v>0</v>
      </c>
      <c r="N272" s="597">
        <f>+INPUT!BK176</f>
        <v>7.328280249774183</v>
      </c>
      <c r="O272" s="577">
        <f>+INPUT!BL176</f>
        <v>0</v>
      </c>
      <c r="P272" s="597">
        <f>+INPUT!BM176</f>
        <v>6.9730954732988559</v>
      </c>
      <c r="Q272" s="577">
        <f>+INPUT!BN176</f>
        <v>0</v>
      </c>
      <c r="R272" s="597">
        <f>+INPUT!BO176</f>
        <v>4.3495958597429789</v>
      </c>
      <c r="S272" s="577">
        <f>+INPUT!BP176</f>
        <v>0</v>
      </c>
      <c r="T272" s="597">
        <f>+INPUT!BQ176</f>
        <v>1.8657944142295855</v>
      </c>
      <c r="U272" s="577">
        <f>+INPUT!BR176</f>
        <v>0</v>
      </c>
      <c r="V272" s="597">
        <f>+INPUT!BS176</f>
        <v>1.1880496185428921</v>
      </c>
      <c r="W272" s="577">
        <f>+INPUT!BT176</f>
        <v>0</v>
      </c>
      <c r="X272" s="597">
        <f>+INPUT!BU176</f>
        <v>9.9358526008672889</v>
      </c>
      <c r="Y272" s="577">
        <f>+INPUT!BV176</f>
        <v>0</v>
      </c>
      <c r="Z272" s="597">
        <f>+INPUT!BW176</f>
        <v>-1.2041750014854131</v>
      </c>
      <c r="AA272" s="577">
        <f>+INPUT!BX176</f>
        <v>0</v>
      </c>
      <c r="AB272" s="597">
        <f>+INPUT!BY176</f>
        <v>5.5313073628390779</v>
      </c>
      <c r="AC272" s="577">
        <f>+INPUT!BZ176</f>
        <v>0</v>
      </c>
      <c r="AD272" s="597">
        <f>+INPUT!CA176</f>
        <v>12.515411824153613</v>
      </c>
      <c r="AE272" s="577">
        <f>+INPUT!CB176</f>
        <v>0</v>
      </c>
      <c r="AF272" s="597">
        <f>+INPUT!CC176</f>
        <v>1.6993437979934978</v>
      </c>
      <c r="AG272" s="577">
        <f>+INPUT!CD176</f>
        <v>0</v>
      </c>
      <c r="AH272" s="586">
        <f>+INPUT!CE176</f>
        <v>6.157047083301225</v>
      </c>
      <c r="AI272" s="577">
        <f>+INPUT!CF176</f>
        <v>0</v>
      </c>
      <c r="AJ272" s="586">
        <f>+INPUT!CG176</f>
        <v>10.976349302607641</v>
      </c>
      <c r="AK272" s="577">
        <f>+INPUT!CH176</f>
        <v>0</v>
      </c>
      <c r="AL272" s="586">
        <f>+INPUT!CI176</f>
        <v>9.2772268382024485</v>
      </c>
      <c r="AM272" s="577">
        <f>+INPUT!CJ176</f>
        <v>0</v>
      </c>
      <c r="AN272" s="586">
        <f>+INPUT!CK176</f>
        <v>-1.185195218583861</v>
      </c>
      <c r="AO272" s="577">
        <f>+INPUT!CL176</f>
        <v>0</v>
      </c>
      <c r="AP272" s="586">
        <f>+INPUT!CM176</f>
        <v>3.003910692862596</v>
      </c>
      <c r="AQ272" s="577">
        <f>+INPUT!CN176</f>
        <v>0</v>
      </c>
      <c r="AR272" s="586">
        <f>+INPUT!CO176</f>
        <v>6.9093653834988098</v>
      </c>
      <c r="AS272" s="577">
        <f>+INPUT!CP176</f>
        <v>0</v>
      </c>
      <c r="AT272" s="586">
        <f>+INPUT!CQ176</f>
        <v>11.741376751966113</v>
      </c>
      <c r="AU272" s="577">
        <f>+INPUT!CR176</f>
        <v>0</v>
      </c>
      <c r="AV272" s="586">
        <f>+INPUT!CS176</f>
        <v>3.6416479326319973</v>
      </c>
      <c r="AW272" s="577">
        <f>+INPUT!CT176</f>
        <v>0</v>
      </c>
      <c r="AX272" s="586">
        <f>+INPUT!CU176</f>
        <v>4.1203698564752633</v>
      </c>
      <c r="AY272" s="577">
        <f>+INPUT!CV176</f>
        <v>0</v>
      </c>
      <c r="AZ272" s="586">
        <f>+INPUT!CW176</f>
        <v>6.657219268430417</v>
      </c>
      <c r="BA272" s="577">
        <f>+INPUT!CX176</f>
        <v>0</v>
      </c>
      <c r="BB272" s="586">
        <f>+INPUT!CY176</f>
        <v>5.8920570463574862</v>
      </c>
      <c r="BC272" s="577">
        <f>+INPUT!CZ176</f>
        <v>0</v>
      </c>
      <c r="BD272" s="586">
        <f>+INPUT!DA176</f>
        <v>3.0120597060566099</v>
      </c>
      <c r="BE272" s="577">
        <f>+INPUT!DB176</f>
        <v>0</v>
      </c>
      <c r="BF272" s="586">
        <f>+INPUT!DC176</f>
        <v>0.57128716371478061</v>
      </c>
      <c r="BG272" s="577">
        <f>+INPUT!DD176</f>
        <v>0</v>
      </c>
      <c r="BH272" s="586">
        <f>+INPUT!DE176</f>
        <v>-1.851605820531288</v>
      </c>
      <c r="BI272" s="577">
        <f>+INPUT!DF176</f>
        <v>0</v>
      </c>
      <c r="BJ272" s="586">
        <f>+INPUT!DG176</f>
        <v>1.1436423064378456</v>
      </c>
      <c r="BK272" s="577">
        <f>+INPUT!DH176</f>
        <v>0</v>
      </c>
      <c r="BL272" s="586">
        <f>+INPUT!DI176</f>
        <v>2.6322229775662813</v>
      </c>
      <c r="BM272" s="577">
        <f>+INPUT!DJ176</f>
        <v>0</v>
      </c>
      <c r="BN272" s="586">
        <f>+INPUT!DK176</f>
        <v>3.8580474156972464</v>
      </c>
      <c r="BO272" s="577">
        <f>+INPUT!DL176</f>
        <v>0</v>
      </c>
      <c r="BP272" s="586">
        <f>+INPUT!DM176</f>
        <v>4.6852553437435276</v>
      </c>
      <c r="BQ272" s="577" t="str">
        <f>+INPUT!DN176</f>
        <v>NM</v>
      </c>
      <c r="BR272" s="586">
        <f>+INPUT!DO176</f>
        <v>2.523981177544623</v>
      </c>
      <c r="BS272" s="577" t="str">
        <f>+INPUT!DP176</f>
        <v>NM</v>
      </c>
      <c r="BT272" s="586">
        <f>+INPUT!DQ176</f>
        <v>3.8717910736870893</v>
      </c>
      <c r="BU272" s="577">
        <f>+INPUT!DR176</f>
        <v>47.092062742606117</v>
      </c>
      <c r="BV272" s="586">
        <f>+INPUT!DS176</f>
        <v>3.6272343173329031</v>
      </c>
      <c r="BW272" s="577">
        <f>+INPUT!DT176</f>
        <v>-5.9826402709628042</v>
      </c>
      <c r="BX272" s="586">
        <f>+INPUT!DU176</f>
        <v>0.1874435411020777</v>
      </c>
      <c r="BY272" s="577" t="str">
        <f>+INPUT!DV176</f>
        <v>NM</v>
      </c>
      <c r="BZ272" s="586">
        <f>+INPUT!DW176</f>
        <v>2.4069902828104768</v>
      </c>
      <c r="CA272" s="577">
        <f>+INPUT!DX176</f>
        <v>-4.6351730264469353</v>
      </c>
      <c r="CB272" s="586">
        <f>+INPUT!DY176</f>
        <v>1.448844557474871</v>
      </c>
      <c r="CC272" s="577" t="str">
        <f>+INPUT!DZ176</f>
        <v>NM</v>
      </c>
      <c r="CD272" s="586">
        <f>+INPUT!EA176</f>
        <v>4.8854215287501948</v>
      </c>
      <c r="CE272" s="577">
        <f>+INPUT!EB176</f>
        <v>34.687232787939479</v>
      </c>
      <c r="CF272" s="586">
        <f>+INPUT!EC176</f>
        <v>4.541558132718353</v>
      </c>
      <c r="CG272" s="577" t="str">
        <f>+INPUT!ED176</f>
        <v>NM</v>
      </c>
      <c r="CH272" s="586">
        <f>+INPUT!EE176</f>
        <v>4.3188376952930634</v>
      </c>
      <c r="CI272" s="577">
        <f>+INPUT!EF176</f>
        <v>79.428962640025873</v>
      </c>
      <c r="CJ272" s="586">
        <f>+INPUT!EG176</f>
        <v>-1.9438955236704185</v>
      </c>
      <c r="CK272" s="577" t="str">
        <f>+INPUT!EH176</f>
        <v>NM</v>
      </c>
      <c r="CL272" s="586">
        <f>+INPUT!EI176</f>
        <v>2.6808306430503448</v>
      </c>
      <c r="CM272" s="577">
        <f>+INPUT!EJ176</f>
        <v>-45.125909253194699</v>
      </c>
      <c r="CN272" s="586">
        <f>+INPUT!EK176</f>
        <v>3.6150501039894118</v>
      </c>
      <c r="CO272" s="577">
        <f>+INPUT!EL176</f>
        <v>-20.400664301843449</v>
      </c>
      <c r="CP272" s="586">
        <f>+INPUT!EM176</f>
        <v>2.8744440276512515</v>
      </c>
      <c r="CQ272" s="577">
        <f>+INPUT!EN176</f>
        <v>-33.444036788323899</v>
      </c>
      <c r="CR272" s="586">
        <f>+INPUT!EO176</f>
        <v>2.0106263833672156</v>
      </c>
      <c r="CS272" s="577" t="str">
        <f>+INPUT!EP176</f>
        <v>NM</v>
      </c>
      <c r="CT272" s="586">
        <f>+INPUT!EQ176</f>
        <v>-1.44</v>
      </c>
      <c r="CU272" s="577" t="str">
        <f>+INPUT!ER176</f>
        <v>NM</v>
      </c>
      <c r="CV272" s="586">
        <f>+INPUT!ES176</f>
        <v>2.4</v>
      </c>
      <c r="CW272" s="577">
        <f>+INPUT!ET176</f>
        <v>-33.610878661087867</v>
      </c>
      <c r="CX272" s="586">
        <f>+INPUT!EU176</f>
        <v>2.4</v>
      </c>
      <c r="CY272" s="577">
        <f>+INPUT!EV176</f>
        <v>-16.50559284116332</v>
      </c>
      <c r="CZ272" s="586">
        <f>+INPUT!EW176</f>
        <v>2.4</v>
      </c>
      <c r="DA272" s="577">
        <f>+INPUT!EX176</f>
        <v>19.365786694825744</v>
      </c>
      <c r="DB272" s="556"/>
      <c r="DC272" s="597">
        <f>+INPUT!FP176</f>
        <v>4.863674496644296</v>
      </c>
      <c r="DD272" s="577">
        <f>+INPUT!FQ176</f>
        <v>0</v>
      </c>
      <c r="DE272" s="597">
        <f>+INPUT!FR176</f>
        <v>4.6734608985024959</v>
      </c>
      <c r="DF272" s="577">
        <f>+INPUT!FS176</f>
        <v>0</v>
      </c>
      <c r="DG272" s="597">
        <f>+INPUT!FT176</f>
        <v>5.5004078060037003</v>
      </c>
      <c r="DH272" s="577">
        <f>+INPUT!FU176</f>
        <v>0</v>
      </c>
      <c r="DI272" s="597">
        <f>+INPUT!FV176</f>
        <v>4.260433021263399</v>
      </c>
      <c r="DJ272" s="577">
        <f>+INPUT!FW176</f>
        <v>0</v>
      </c>
      <c r="DK272" s="586">
        <f>+INPUT!FX176</f>
        <v>4.5295201124952964</v>
      </c>
      <c r="DL272" s="577">
        <f>+INPUT!FY176</f>
        <v>0</v>
      </c>
      <c r="DM272" s="586">
        <f>+INPUT!FZ176</f>
        <v>6.4922555290128692</v>
      </c>
      <c r="DN272" s="577">
        <f>+INPUT!GA176</f>
        <v>0</v>
      </c>
      <c r="DO272" s="586">
        <f>+INPUT!GB176</f>
        <v>7.137403985479021</v>
      </c>
      <c r="DP272" s="577">
        <f>+INPUT!GC176</f>
        <v>0</v>
      </c>
      <c r="DQ272" s="586">
        <f>+INPUT!GD176</f>
        <v>5.3136342949749693</v>
      </c>
      <c r="DR272" s="577">
        <f>+INPUT!GE176</f>
        <v>0</v>
      </c>
      <c r="DS272" s="586">
        <f>+INPUT!GF176</f>
        <v>0.65047548343762152</v>
      </c>
      <c r="DT272" s="577">
        <f>+INPUT!GG176</f>
        <v>0</v>
      </c>
      <c r="DU272" s="586">
        <f>+INPUT!GH176</f>
        <v>3.9042315363917486</v>
      </c>
      <c r="DV272" s="577" t="str">
        <f>+INPUT!GI176</f>
        <v>NM</v>
      </c>
      <c r="DW272" s="586">
        <f>+INPUT!GJ176</f>
        <v>1.9349703018798605</v>
      </c>
      <c r="DX272" s="577" t="str">
        <f>+INPUT!GK176</f>
        <v>NM</v>
      </c>
      <c r="DY272" s="586">
        <f>+INPUT!GL176</f>
        <v>2.9444777844457781</v>
      </c>
      <c r="DZ272" s="577">
        <f>+INPUT!GM176</f>
        <v>52.171730056278477</v>
      </c>
      <c r="EA272" s="586">
        <f>+INPUT!GN176</f>
        <v>2.8302504144490008</v>
      </c>
      <c r="EB272" s="577">
        <f>+INPUT!GO176</f>
        <v>-3.879376186846585</v>
      </c>
      <c r="EC272" s="586">
        <f>+INPUT!GP176</f>
        <v>1.453346472315</v>
      </c>
      <c r="ED272" s="577">
        <f>+INPUT!GQ176</f>
        <v>-48.6495447577581</v>
      </c>
      <c r="EE272" s="586">
        <f>+INPUT!GR176</f>
        <v>2.4</v>
      </c>
      <c r="EF272" s="577">
        <f>+INPUT!GS176</f>
        <v>65.136121751965902</v>
      </c>
      <c r="EG272" s="586">
        <f>+INPUT!GT176</f>
        <v>2.4000000000000004</v>
      </c>
      <c r="EH272" s="577">
        <f>+INPUT!GU176</f>
        <v>2.8421709430404007E-14</v>
      </c>
      <c r="EI272" s="586">
        <f>+INPUT!GV176</f>
        <v>2.4</v>
      </c>
      <c r="EJ272" s="577">
        <f>+INPUT!GW176</f>
        <v>-2.8421709430404007E-14</v>
      </c>
      <c r="EK272" s="586">
        <f>+INPUT!GX176</f>
        <v>2.4</v>
      </c>
      <c r="EL272" s="577">
        <f>+INPUT!GY176</f>
        <v>0</v>
      </c>
      <c r="EM272" s="577">
        <f>+INPUT!GZ176</f>
        <v>0</v>
      </c>
    </row>
    <row r="273" spans="1:144" ht="12.75" hidden="1" customHeight="1" outlineLevel="1" x14ac:dyDescent="0.2">
      <c r="A273" s="609"/>
      <c r="B273" s="597"/>
      <c r="C273" s="577"/>
      <c r="D273" s="597"/>
      <c r="E273" s="577"/>
      <c r="F273" s="597"/>
      <c r="G273" s="577"/>
      <c r="H273" s="597"/>
      <c r="I273" s="577"/>
      <c r="J273" s="597"/>
      <c r="K273" s="577"/>
      <c r="L273" s="597"/>
      <c r="M273" s="577"/>
      <c r="N273" s="597"/>
      <c r="O273" s="577"/>
      <c r="P273" s="597"/>
      <c r="Q273" s="577"/>
      <c r="R273" s="597"/>
      <c r="S273" s="577"/>
      <c r="T273" s="597"/>
      <c r="U273" s="577"/>
      <c r="V273" s="597"/>
      <c r="W273" s="577"/>
      <c r="X273" s="597"/>
      <c r="Y273" s="577"/>
      <c r="Z273" s="597"/>
      <c r="AA273" s="577"/>
      <c r="AB273" s="597"/>
      <c r="AC273" s="577"/>
      <c r="AD273" s="597"/>
      <c r="AE273" s="577"/>
      <c r="AF273" s="597"/>
      <c r="AG273" s="577"/>
      <c r="AH273" s="597"/>
      <c r="AI273" s="577"/>
      <c r="AJ273" s="597"/>
      <c r="AK273" s="577"/>
      <c r="AL273" s="597"/>
      <c r="AM273" s="577"/>
      <c r="AN273" s="597"/>
      <c r="AO273" s="577"/>
      <c r="AP273" s="597"/>
      <c r="AQ273" s="577"/>
      <c r="AR273" s="597"/>
      <c r="AS273" s="577"/>
      <c r="AT273" s="597"/>
      <c r="AU273" s="577"/>
      <c r="AV273" s="597"/>
      <c r="AW273" s="577"/>
      <c r="AX273" s="597"/>
      <c r="AY273" s="577"/>
      <c r="AZ273" s="597"/>
      <c r="BA273" s="577"/>
      <c r="BB273" s="597"/>
      <c r="BC273" s="577"/>
      <c r="BD273" s="597"/>
      <c r="BE273" s="577"/>
      <c r="BF273" s="597"/>
      <c r="BG273" s="577"/>
      <c r="BH273" s="597"/>
      <c r="BI273" s="577"/>
      <c r="BJ273" s="597"/>
      <c r="BK273" s="577"/>
      <c r="BL273" s="597"/>
      <c r="BM273" s="577"/>
      <c r="BN273" s="597"/>
      <c r="BO273" s="577"/>
      <c r="BP273" s="597"/>
      <c r="BQ273" s="577"/>
      <c r="BR273" s="597"/>
      <c r="BS273" s="577"/>
      <c r="BT273" s="597"/>
      <c r="BU273" s="577"/>
      <c r="BV273" s="597"/>
      <c r="BW273" s="577"/>
      <c r="BX273" s="597"/>
      <c r="BY273" s="577"/>
      <c r="BZ273" s="597"/>
      <c r="CA273" s="577"/>
      <c r="CB273" s="597"/>
      <c r="CC273" s="577"/>
      <c r="CD273" s="597"/>
      <c r="CE273" s="577"/>
      <c r="CF273" s="597"/>
      <c r="CG273" s="577"/>
      <c r="CH273" s="597"/>
      <c r="CI273" s="577"/>
      <c r="CJ273" s="597"/>
      <c r="CK273" s="577"/>
      <c r="CL273" s="597"/>
      <c r="CM273" s="577"/>
      <c r="CN273" s="597"/>
      <c r="CO273" s="577"/>
      <c r="CP273" s="597"/>
      <c r="CQ273" s="577"/>
      <c r="CR273" s="597"/>
      <c r="CS273" s="577"/>
      <c r="CT273" s="597"/>
      <c r="CU273" s="577"/>
      <c r="CV273" s="597"/>
      <c r="CW273" s="577"/>
      <c r="CX273" s="597"/>
      <c r="CY273" s="577"/>
      <c r="CZ273" s="597"/>
      <c r="DA273" s="577"/>
      <c r="DB273" s="556"/>
      <c r="DC273" s="597"/>
      <c r="DD273" s="577"/>
      <c r="DE273" s="597"/>
      <c r="DF273" s="577"/>
      <c r="DG273" s="597"/>
      <c r="DH273" s="577"/>
      <c r="DI273" s="597"/>
      <c r="DJ273" s="577"/>
      <c r="DK273" s="597"/>
      <c r="DL273" s="577"/>
      <c r="DM273" s="597"/>
      <c r="DN273" s="577"/>
      <c r="DO273" s="597"/>
      <c r="DP273" s="577"/>
      <c r="DQ273" s="597"/>
      <c r="DR273" s="577"/>
      <c r="DS273" s="597"/>
      <c r="DT273" s="577"/>
      <c r="DU273" s="597"/>
      <c r="DV273" s="577"/>
      <c r="DW273" s="597"/>
      <c r="DX273" s="577"/>
      <c r="DY273" s="597"/>
      <c r="DZ273" s="577"/>
      <c r="EA273" s="597"/>
      <c r="EB273" s="577"/>
      <c r="EC273" s="597"/>
      <c r="ED273" s="577"/>
      <c r="EE273" s="597"/>
      <c r="EF273" s="577"/>
      <c r="EG273" s="597"/>
      <c r="EH273" s="577"/>
      <c r="EI273" s="597"/>
      <c r="EJ273" s="577"/>
      <c r="EK273" s="597"/>
      <c r="EL273" s="577"/>
      <c r="EM273" s="577"/>
    </row>
    <row r="274" spans="1:144" ht="12.75" hidden="1" customHeight="1" outlineLevel="1" x14ac:dyDescent="0.2">
      <c r="A274" s="609" t="str">
        <f>+INPUT!B184</f>
        <v>Retirement Net Flows</v>
      </c>
      <c r="B274" s="580">
        <f>+INPUT!AY184</f>
        <v>-1006</v>
      </c>
      <c r="C274" s="577" t="str">
        <f>+INPUT!AZ184</f>
        <v>NM</v>
      </c>
      <c r="D274" s="580">
        <f>+INPUT!BA184</f>
        <v>385</v>
      </c>
      <c r="E274" s="577" t="str">
        <f>+INPUT!BB184</f>
        <v>NM</v>
      </c>
      <c r="F274" s="580">
        <f>+INPUT!BC184</f>
        <v>935</v>
      </c>
      <c r="G274" s="577" t="str">
        <f>+INPUT!BD184</f>
        <v>NM</v>
      </c>
      <c r="H274" s="580">
        <f>+INPUT!BE184</f>
        <v>-510</v>
      </c>
      <c r="I274" s="577" t="str">
        <f>+INPUT!BF184</f>
        <v>NM</v>
      </c>
      <c r="J274" s="580">
        <f>+INPUT!BG184</f>
        <v>360</v>
      </c>
      <c r="K274" s="577" t="str">
        <f>+INPUT!BH184</f>
        <v>NM</v>
      </c>
      <c r="L274" s="580">
        <f>+INPUT!BI184</f>
        <v>207</v>
      </c>
      <c r="M274" s="577">
        <f>+INPUT!BJ184</f>
        <v>-46.233766233766239</v>
      </c>
      <c r="N274" s="580">
        <f>+INPUT!BK184</f>
        <v>-738</v>
      </c>
      <c r="O274" s="577" t="str">
        <f>+INPUT!BL184</f>
        <v>NM</v>
      </c>
      <c r="P274" s="580">
        <f>+INPUT!BM184</f>
        <v>-111</v>
      </c>
      <c r="Q274" s="577" t="str">
        <f>+INPUT!BN184</f>
        <v>NM</v>
      </c>
      <c r="R274" s="580">
        <f>+INPUT!BO184</f>
        <v>761</v>
      </c>
      <c r="S274" s="577" t="str">
        <f>+INPUT!BP184</f>
        <v>NM</v>
      </c>
      <c r="T274" s="580">
        <f>+INPUT!BQ184</f>
        <v>-174</v>
      </c>
      <c r="U274" s="577" t="str">
        <f>+INPUT!BR184</f>
        <v>NM</v>
      </c>
      <c r="V274" s="580">
        <f>+INPUT!BS184</f>
        <v>-669</v>
      </c>
      <c r="W274" s="577">
        <f>+INPUT!BT184</f>
        <v>-9.349593495934954</v>
      </c>
      <c r="X274" s="580">
        <f>+INPUT!BU184</f>
        <v>2318</v>
      </c>
      <c r="Y274" s="577" t="str">
        <f>+INPUT!BV184</f>
        <v>NM</v>
      </c>
      <c r="Z274" s="580">
        <f>+INPUT!BW184</f>
        <v>4848</v>
      </c>
      <c r="AA274" s="577" t="str">
        <f>+INPUT!BX184</f>
        <v>NM</v>
      </c>
      <c r="AB274" s="580">
        <f>+INPUT!BY184</f>
        <v>1158</v>
      </c>
      <c r="AC274" s="577" t="str">
        <f>+INPUT!BZ184</f>
        <v>NM</v>
      </c>
      <c r="AD274" s="580">
        <f>+INPUT!CA184</f>
        <v>308</v>
      </c>
      <c r="AE274" s="577" t="str">
        <f>+INPUT!CB184</f>
        <v>NM</v>
      </c>
      <c r="AF274" s="580">
        <f>+INPUT!CC184</f>
        <v>2405</v>
      </c>
      <c r="AG274" s="577">
        <f>+INPUT!CD184</f>
        <v>3.7532355478861064</v>
      </c>
      <c r="AH274" s="580">
        <f>+INPUT!CE184</f>
        <v>842</v>
      </c>
      <c r="AI274" s="577" t="str">
        <f>+INPUT!CF184</f>
        <v>NM</v>
      </c>
      <c r="AJ274" s="580">
        <f>+INPUT!CG184</f>
        <v>1976</v>
      </c>
      <c r="AK274" s="577">
        <f>+INPUT!CH184</f>
        <v>70.639032815198618</v>
      </c>
      <c r="AL274" s="580">
        <f>+INPUT!CI184</f>
        <v>3524</v>
      </c>
      <c r="AM274" s="577" t="str">
        <f>+INPUT!CJ184</f>
        <v>NM</v>
      </c>
      <c r="AN274" s="580">
        <f>+INPUT!CK184</f>
        <v>4460</v>
      </c>
      <c r="AO274" s="577">
        <f>+INPUT!CL184</f>
        <v>85.446985446985451</v>
      </c>
      <c r="AP274" s="580">
        <f>+INPUT!CM184</f>
        <v>4578</v>
      </c>
      <c r="AQ274" s="577" t="str">
        <f>+INPUT!CN184</f>
        <v>NM</v>
      </c>
      <c r="AR274" s="580">
        <f>+INPUT!CO184</f>
        <v>4069</v>
      </c>
      <c r="AS274" s="577" t="str">
        <f>+INPUT!CP184</f>
        <v>NM</v>
      </c>
      <c r="AT274" s="580">
        <f>+INPUT!CQ184</f>
        <v>3910</v>
      </c>
      <c r="AU274" s="577">
        <f>+INPUT!CR184</f>
        <v>10.953461975028375</v>
      </c>
      <c r="AV274" s="580">
        <f>+INPUT!CS184</f>
        <v>6727</v>
      </c>
      <c r="AW274" s="577">
        <f>+INPUT!CT184</f>
        <v>50.829596412556043</v>
      </c>
      <c r="AX274" s="580">
        <f>+INPUT!CU184</f>
        <v>404</v>
      </c>
      <c r="AY274" s="577" t="str">
        <f>+INPUT!CV184</f>
        <v>NM</v>
      </c>
      <c r="AZ274" s="580">
        <f>+INPUT!CW184</f>
        <v>6317</v>
      </c>
      <c r="BA274" s="577">
        <f>+INPUT!CX184</f>
        <v>55.246989432292935</v>
      </c>
      <c r="BB274" s="580">
        <f>+INPUT!CY184</f>
        <v>833</v>
      </c>
      <c r="BC274" s="577" t="str">
        <f>+INPUT!CZ184</f>
        <v>NM</v>
      </c>
      <c r="BD274" s="580">
        <f>+INPUT!DA184</f>
        <v>36123</v>
      </c>
      <c r="BE274" s="577" t="str">
        <f>+INPUT!DB184</f>
        <v>NM</v>
      </c>
      <c r="BF274" s="580">
        <f>+INPUT!DC184</f>
        <v>2529</v>
      </c>
      <c r="BG274" s="577" t="str">
        <f>+INPUT!DD184</f>
        <v>NM</v>
      </c>
      <c r="BH274" s="580">
        <f>+INPUT!DE184</f>
        <v>1973</v>
      </c>
      <c r="BI274" s="577" t="str">
        <f>+INPUT!DF184</f>
        <v>NM</v>
      </c>
      <c r="BJ274" s="580">
        <f>+INPUT!DG184</f>
        <v>3375</v>
      </c>
      <c r="BK274" s="577" t="str">
        <f>+INPUT!DH184</f>
        <v>NM</v>
      </c>
      <c r="BL274" s="580">
        <f>+INPUT!DI184</f>
        <v>1432</v>
      </c>
      <c r="BM274" s="577" t="str">
        <f>+INPUT!DJ184</f>
        <v>NM</v>
      </c>
      <c r="BN274" s="580">
        <f>+INPUT!DK184</f>
        <v>1300</v>
      </c>
      <c r="BO274" s="577">
        <f>+INPUT!DL184</f>
        <v>-48.596283115856068</v>
      </c>
      <c r="BP274" s="580">
        <f>+INPUT!DM184</f>
        <v>-4065</v>
      </c>
      <c r="BQ274" s="577" t="str">
        <f>+INPUT!DN184</f>
        <v>NM</v>
      </c>
      <c r="BR274" s="580">
        <f>+INPUT!DO184</f>
        <v>28297</v>
      </c>
      <c r="BS274" s="577" t="str">
        <f>+INPUT!DP184</f>
        <v>NM</v>
      </c>
      <c r="BT274" s="580">
        <f>+INPUT!DQ184</f>
        <v>3058</v>
      </c>
      <c r="BU274" s="577" t="str">
        <f>+INPUT!DR184</f>
        <v>NM</v>
      </c>
      <c r="BV274" s="580">
        <f>+INPUT!DS184</f>
        <v>-2441</v>
      </c>
      <c r="BW274" s="577" t="str">
        <f>+INPUT!DT184</f>
        <v>NM</v>
      </c>
      <c r="BX274" s="580">
        <f>+INPUT!DU184</f>
        <v>5696</v>
      </c>
      <c r="BY274" s="577" t="str">
        <f>+INPUT!DV184</f>
        <v>NM</v>
      </c>
      <c r="BZ274" s="580">
        <f>+INPUT!DW184</f>
        <v>2441</v>
      </c>
      <c r="CA274" s="577" t="str">
        <f>+INPUT!DX184</f>
        <v>NM</v>
      </c>
      <c r="CB274" s="580">
        <f>+INPUT!DY184</f>
        <v>-1387</v>
      </c>
      <c r="CC274" s="577" t="str">
        <f>+INPUT!DZ184</f>
        <v>NM</v>
      </c>
      <c r="CD274" s="580">
        <f>+INPUT!EA184</f>
        <v>648</v>
      </c>
      <c r="CE274" s="577" t="str">
        <f>+INPUT!EB184</f>
        <v>NM</v>
      </c>
      <c r="CF274" s="580">
        <f>+INPUT!EC184</f>
        <v>488</v>
      </c>
      <c r="CG274" s="577" t="str">
        <f>+INPUT!ED184</f>
        <v>NM</v>
      </c>
      <c r="CH274" s="580">
        <f>+INPUT!EE184</f>
        <v>4960</v>
      </c>
      <c r="CI274" s="577" t="str">
        <f>+INPUT!EF184</f>
        <v>NM</v>
      </c>
      <c r="CJ274" s="580">
        <f>+INPUT!EG184</f>
        <v>-316</v>
      </c>
      <c r="CK274" s="577" t="str">
        <f>+INPUT!EH184</f>
        <v>NM</v>
      </c>
      <c r="CL274" s="580">
        <f>+INPUT!EI184</f>
        <v>-153</v>
      </c>
      <c r="CM274" s="577" t="str">
        <f>+INPUT!EJ184</f>
        <v>NM</v>
      </c>
      <c r="CN274" s="580">
        <f>+INPUT!EK184</f>
        <v>-2629</v>
      </c>
      <c r="CO274" s="577" t="str">
        <f>+INPUT!EL184</f>
        <v>NM</v>
      </c>
      <c r="CP274" s="580">
        <f>+INPUT!EM184</f>
        <v>7268</v>
      </c>
      <c r="CQ274" s="577">
        <f>+INPUT!EN184</f>
        <v>46.532258064516128</v>
      </c>
      <c r="CR274" s="580">
        <f>+INPUT!EO184</f>
        <v>4454</v>
      </c>
      <c r="CS274" s="577" t="str">
        <f>+INPUT!EP184</f>
        <v>NM</v>
      </c>
      <c r="CT274" s="580">
        <f>+INPUT!EQ184</f>
        <v>779.49999999999909</v>
      </c>
      <c r="CU274" s="577" t="str">
        <f>+INPUT!ER184</f>
        <v>NM</v>
      </c>
      <c r="CV274" s="580">
        <f>+INPUT!ES184</f>
        <v>777.41683737148742</v>
      </c>
      <c r="CW274" s="577" t="str">
        <f>+INPUT!ET184</f>
        <v>NM</v>
      </c>
      <c r="CX274" s="580">
        <f>+INPUT!EU184</f>
        <v>785.08454405076191</v>
      </c>
      <c r="CY274" s="577" t="str">
        <f>+INPUT!EV184</f>
        <v>NM</v>
      </c>
      <c r="CZ274" s="580">
        <f>+INPUT!EW184</f>
        <v>792.83028254874353</v>
      </c>
      <c r="DA274" s="577" t="str">
        <f>+INPUT!EX184</f>
        <v>NM</v>
      </c>
      <c r="DB274" s="556"/>
      <c r="DC274" s="580">
        <f>+INPUT!FP184</f>
        <v>-2380</v>
      </c>
      <c r="DD274" s="577">
        <f>+INPUT!FQ184</f>
        <v>2.1021021021021085</v>
      </c>
      <c r="DE274" s="580">
        <f>+INPUT!FR184</f>
        <v>-196</v>
      </c>
      <c r="DF274" s="577" t="str">
        <f>+INPUT!FS184</f>
        <v>NM</v>
      </c>
      <c r="DG274" s="580">
        <f>+INPUT!FT184</f>
        <v>-282</v>
      </c>
      <c r="DH274" s="577">
        <f>+INPUT!FU184</f>
        <v>43.877551020408163</v>
      </c>
      <c r="DI274" s="580">
        <f>+INPUT!FV184</f>
        <v>2236</v>
      </c>
      <c r="DJ274" s="577" t="str">
        <f>+INPUT!FW184</f>
        <v>NM</v>
      </c>
      <c r="DK274" s="580">
        <f>+INPUT!FX184</f>
        <v>8719</v>
      </c>
      <c r="DL274" s="577" t="str">
        <f>+INPUT!FY184</f>
        <v>NM</v>
      </c>
      <c r="DM274" s="580">
        <f>+INPUT!FZ184</f>
        <v>10802</v>
      </c>
      <c r="DN274" s="577">
        <f>+INPUT!GA184</f>
        <v>23.890354398440181</v>
      </c>
      <c r="DO274" s="580">
        <f>+INPUT!GB184</f>
        <v>19284</v>
      </c>
      <c r="DP274" s="577">
        <f>+INPUT!GC184</f>
        <v>78.522495834104802</v>
      </c>
      <c r="DQ274" s="580">
        <f>+INPUT!GD184</f>
        <v>43677</v>
      </c>
      <c r="DR274" s="577" t="str">
        <f>+INPUT!GE184</f>
        <v>NM</v>
      </c>
      <c r="DS274" s="580">
        <f>+INPUT!GF184</f>
        <v>9309</v>
      </c>
      <c r="DT274" s="577" t="str">
        <f>+INPUT!GG184</f>
        <v>NM</v>
      </c>
      <c r="DU274" s="580">
        <f>+INPUT!GH184</f>
        <v>28590</v>
      </c>
      <c r="DV274" s="577" t="str">
        <f>+INPUT!GI184</f>
        <v>NM</v>
      </c>
      <c r="DW274" s="580">
        <f>+INPUT!GJ184</f>
        <v>4309</v>
      </c>
      <c r="DX274" s="577" t="str">
        <f>+INPUT!GK184</f>
        <v>NM</v>
      </c>
      <c r="DY274" s="580">
        <f>+INPUT!GL184</f>
        <v>5780</v>
      </c>
      <c r="DZ274" s="577">
        <f>+INPUT!GM184</f>
        <v>34.137851009514975</v>
      </c>
      <c r="EA274" s="580">
        <f>+INPUT!GN184</f>
        <v>8940</v>
      </c>
      <c r="EB274" s="577">
        <f>+INPUT!GO184</f>
        <v>54.671280276816617</v>
      </c>
      <c r="EC274" s="580">
        <f>+INPUT!GP184</f>
        <v>3134.8316639709956</v>
      </c>
      <c r="ED274" s="577" t="str">
        <f>+INPUT!GQ184</f>
        <v>NM</v>
      </c>
      <c r="EE274" s="580">
        <f>+INPUT!GR184</f>
        <v>3208.8240930892825</v>
      </c>
      <c r="EF274" s="577">
        <f>+INPUT!GS184</f>
        <v>2.360331815219638</v>
      </c>
      <c r="EG274" s="580">
        <f>+INPUT!GT184</f>
        <v>3331.3321777750389</v>
      </c>
      <c r="EH274" s="577">
        <f>+INPUT!GU184</f>
        <v>3.8178498145036173</v>
      </c>
      <c r="EI274" s="580">
        <f>+INPUT!GV184</f>
        <v>3458.6092440914108</v>
      </c>
      <c r="EJ274" s="577">
        <f>+INPUT!GW184</f>
        <v>3.8206056773773582</v>
      </c>
      <c r="EK274" s="580">
        <f>+INPUT!GX184</f>
        <v>3590.8446196975747</v>
      </c>
      <c r="EL274" s="577">
        <f>+INPUT!GY184</f>
        <v>3.8233684777218286</v>
      </c>
      <c r="EM274" s="577">
        <f>+INPUT!GZ184</f>
        <v>-16.675672184641975</v>
      </c>
    </row>
    <row r="275" spans="1:144" ht="12.75" hidden="1" customHeight="1" outlineLevel="1" x14ac:dyDescent="0.2">
      <c r="A275" s="609"/>
      <c r="B275" s="610"/>
      <c r="C275" s="555"/>
      <c r="D275" s="610"/>
      <c r="E275" s="555"/>
      <c r="F275" s="610"/>
      <c r="G275" s="555"/>
      <c r="H275" s="610"/>
      <c r="I275" s="555"/>
      <c r="J275" s="610"/>
      <c r="K275" s="555"/>
      <c r="L275" s="610"/>
      <c r="M275" s="555"/>
      <c r="N275" s="610"/>
      <c r="O275" s="555"/>
      <c r="P275" s="610"/>
      <c r="Q275" s="555"/>
      <c r="R275" s="610"/>
      <c r="S275" s="555"/>
      <c r="T275" s="610"/>
      <c r="U275" s="555"/>
      <c r="V275" s="610"/>
      <c r="W275" s="555"/>
      <c r="X275" s="610"/>
      <c r="Y275" s="555"/>
      <c r="Z275" s="610"/>
      <c r="AA275" s="555"/>
      <c r="AB275" s="610"/>
      <c r="AC275" s="555"/>
      <c r="AD275" s="610"/>
      <c r="AE275" s="555"/>
      <c r="AF275" s="610"/>
      <c r="AG275" s="555"/>
      <c r="AH275" s="610"/>
      <c r="AI275" s="555"/>
      <c r="AJ275" s="610"/>
      <c r="AK275" s="555"/>
      <c r="AL275" s="610"/>
      <c r="AM275" s="555"/>
      <c r="AN275" s="610"/>
      <c r="AO275" s="555"/>
      <c r="AP275" s="610"/>
      <c r="AQ275" s="555"/>
      <c r="AR275" s="610"/>
      <c r="AS275" s="555"/>
      <c r="AT275" s="610"/>
      <c r="AU275" s="555"/>
      <c r="AV275" s="610"/>
      <c r="AW275" s="555"/>
      <c r="AX275" s="610"/>
      <c r="AY275" s="555"/>
      <c r="AZ275" s="610"/>
      <c r="BA275" s="555"/>
      <c r="BB275" s="610"/>
      <c r="BC275" s="555"/>
      <c r="BD275" s="610"/>
      <c r="BE275" s="555"/>
      <c r="BF275" s="610"/>
      <c r="BG275" s="555"/>
      <c r="BH275" s="610"/>
      <c r="BI275" s="555"/>
      <c r="BJ275" s="610"/>
      <c r="BK275" s="555"/>
      <c r="BL275" s="610"/>
      <c r="BM275" s="555"/>
      <c r="BN275" s="610"/>
      <c r="BO275" s="555"/>
      <c r="BP275" s="610"/>
      <c r="BQ275" s="555"/>
      <c r="BR275" s="610"/>
      <c r="BS275" s="555"/>
      <c r="BT275" s="610"/>
      <c r="BU275" s="555"/>
      <c r="BV275" s="610"/>
      <c r="BW275" s="555"/>
      <c r="BX275" s="610"/>
      <c r="BY275" s="555"/>
      <c r="BZ275" s="610"/>
      <c r="CA275" s="555"/>
      <c r="CB275" s="610"/>
      <c r="CC275" s="555"/>
      <c r="CD275" s="610"/>
      <c r="CE275" s="555"/>
      <c r="CF275" s="610"/>
      <c r="CG275" s="555"/>
      <c r="CH275" s="610"/>
      <c r="CI275" s="555"/>
      <c r="CJ275" s="610"/>
      <c r="CK275" s="555"/>
      <c r="CL275" s="610"/>
      <c r="CM275" s="555"/>
      <c r="CN275" s="610"/>
      <c r="CO275" s="555"/>
      <c r="CP275" s="610"/>
      <c r="CQ275" s="555"/>
      <c r="CR275" s="610"/>
      <c r="CS275" s="555"/>
      <c r="CT275" s="610"/>
      <c r="CU275" s="555"/>
      <c r="CV275" s="610"/>
      <c r="CW275" s="555"/>
      <c r="CX275" s="610"/>
      <c r="CY275" s="555"/>
      <c r="CZ275" s="610"/>
      <c r="DA275" s="555"/>
      <c r="DB275" s="556"/>
      <c r="DC275" s="610"/>
      <c r="DD275" s="555"/>
      <c r="DE275" s="610"/>
      <c r="DF275" s="555"/>
      <c r="DG275" s="610"/>
      <c r="DH275" s="555"/>
      <c r="DI275" s="610"/>
      <c r="DJ275" s="555"/>
      <c r="DK275" s="610"/>
      <c r="DL275" s="555"/>
      <c r="DM275" s="610"/>
      <c r="DN275" s="555"/>
      <c r="DO275" s="610"/>
      <c r="DP275" s="555"/>
      <c r="DQ275" s="610"/>
      <c r="DR275" s="555"/>
      <c r="DS275" s="610"/>
      <c r="DT275" s="555"/>
      <c r="DU275" s="610"/>
      <c r="DV275" s="555"/>
      <c r="DW275" s="610"/>
      <c r="DX275" s="555"/>
      <c r="DY275" s="610"/>
      <c r="DZ275" s="555"/>
      <c r="EA275" s="610"/>
      <c r="EB275" s="555"/>
      <c r="EC275" s="610"/>
      <c r="ED275" s="555"/>
      <c r="EE275" s="610"/>
      <c r="EF275" s="555"/>
      <c r="EG275" s="610"/>
      <c r="EH275" s="555"/>
      <c r="EI275" s="610"/>
      <c r="EJ275" s="555"/>
      <c r="EK275" s="610"/>
      <c r="EL275" s="555"/>
      <c r="EM275" s="555"/>
    </row>
    <row r="276" spans="1:144" ht="12.75" hidden="1" customHeight="1" outlineLevel="1" x14ac:dyDescent="0.2">
      <c r="A276" s="599" t="s">
        <v>507</v>
      </c>
      <c r="B276" s="610"/>
      <c r="C276" s="555"/>
      <c r="D276" s="610"/>
      <c r="E276" s="555"/>
      <c r="F276" s="610"/>
      <c r="G276" s="555"/>
      <c r="H276" s="610"/>
      <c r="I276" s="555"/>
      <c r="J276" s="610"/>
      <c r="K276" s="555"/>
      <c r="L276" s="610"/>
      <c r="M276" s="555"/>
      <c r="N276" s="610"/>
      <c r="O276" s="555"/>
      <c r="P276" s="610"/>
      <c r="Q276" s="555"/>
      <c r="R276" s="610"/>
      <c r="S276" s="555"/>
      <c r="T276" s="610"/>
      <c r="U276" s="555"/>
      <c r="V276" s="610"/>
      <c r="W276" s="555"/>
      <c r="X276" s="610"/>
      <c r="Y276" s="555"/>
      <c r="Z276" s="610"/>
      <c r="AA276" s="555"/>
      <c r="AB276" s="610"/>
      <c r="AC276" s="555"/>
      <c r="AD276" s="610"/>
      <c r="AE276" s="555"/>
      <c r="AF276" s="610"/>
      <c r="AG276" s="555"/>
      <c r="AH276" s="610"/>
      <c r="AI276" s="555"/>
      <c r="AJ276" s="610"/>
      <c r="AK276" s="555"/>
      <c r="AL276" s="610"/>
      <c r="AM276" s="555"/>
      <c r="AN276" s="610"/>
      <c r="AO276" s="555"/>
      <c r="AP276" s="610"/>
      <c r="AQ276" s="555"/>
      <c r="AR276" s="610"/>
      <c r="AS276" s="555"/>
      <c r="AT276" s="610"/>
      <c r="AU276" s="555"/>
      <c r="AV276" s="610"/>
      <c r="AW276" s="555"/>
      <c r="AX276" s="610"/>
      <c r="AY276" s="555"/>
      <c r="AZ276" s="610"/>
      <c r="BA276" s="555"/>
      <c r="BB276" s="610"/>
      <c r="BC276" s="555"/>
      <c r="BD276" s="610"/>
      <c r="BE276" s="555"/>
      <c r="BF276" s="610"/>
      <c r="BG276" s="555"/>
      <c r="BH276" s="610"/>
      <c r="BI276" s="555"/>
      <c r="BJ276" s="610"/>
      <c r="BK276" s="555"/>
      <c r="BL276" s="610"/>
      <c r="BM276" s="555"/>
      <c r="BN276" s="610"/>
      <c r="BO276" s="555"/>
      <c r="BP276" s="610"/>
      <c r="BQ276" s="555"/>
      <c r="BR276" s="610"/>
      <c r="BS276" s="555"/>
      <c r="BT276" s="610"/>
      <c r="BU276" s="555"/>
      <c r="BV276" s="610"/>
      <c r="BW276" s="555"/>
      <c r="BX276" s="610"/>
      <c r="BY276" s="555"/>
      <c r="BZ276" s="610"/>
      <c r="CA276" s="555"/>
      <c r="CB276" s="610"/>
      <c r="CC276" s="555"/>
      <c r="CD276" s="610"/>
      <c r="CE276" s="555"/>
      <c r="CF276" s="610"/>
      <c r="CG276" s="555"/>
      <c r="CH276" s="610"/>
      <c r="CI276" s="555"/>
      <c r="CJ276" s="610"/>
      <c r="CK276" s="555"/>
      <c r="CL276" s="610"/>
      <c r="CM276" s="555"/>
      <c r="CN276" s="610"/>
      <c r="CO276" s="555"/>
      <c r="CP276" s="610"/>
      <c r="CQ276" s="555"/>
      <c r="CR276" s="610"/>
      <c r="CS276" s="555"/>
      <c r="CT276" s="610"/>
      <c r="CU276" s="555"/>
      <c r="CV276" s="610"/>
      <c r="CW276" s="555"/>
      <c r="CX276" s="610"/>
      <c r="CY276" s="555"/>
      <c r="CZ276" s="610"/>
      <c r="DA276" s="555"/>
      <c r="DB276" s="556"/>
      <c r="DC276" s="610"/>
      <c r="DD276" s="555"/>
      <c r="DE276" s="610"/>
      <c r="DF276" s="555"/>
      <c r="DG276" s="610"/>
      <c r="DH276" s="555"/>
      <c r="DI276" s="610"/>
      <c r="DJ276" s="555"/>
      <c r="DK276" s="610"/>
      <c r="DL276" s="555"/>
      <c r="DM276" s="610"/>
      <c r="DN276" s="555"/>
      <c r="DO276" s="610"/>
      <c r="DP276" s="555"/>
      <c r="DQ276" s="610"/>
      <c r="DR276" s="555"/>
      <c r="DS276" s="610"/>
      <c r="DT276" s="555"/>
      <c r="DU276" s="610"/>
      <c r="DV276" s="555"/>
      <c r="DW276" s="610"/>
      <c r="DX276" s="555"/>
      <c r="DY276" s="610"/>
      <c r="DZ276" s="555"/>
      <c r="EA276" s="610"/>
      <c r="EB276" s="555"/>
      <c r="EC276" s="610"/>
      <c r="ED276" s="555"/>
      <c r="EE276" s="610"/>
      <c r="EF276" s="555"/>
      <c r="EG276" s="610"/>
      <c r="EH276" s="555"/>
      <c r="EI276" s="610"/>
      <c r="EJ276" s="555"/>
      <c r="EK276" s="610"/>
      <c r="EL276" s="555"/>
      <c r="EM276" s="555"/>
    </row>
    <row r="277" spans="1:144" ht="12.75" hidden="1" customHeight="1" outlineLevel="1" x14ac:dyDescent="0.2">
      <c r="A277" s="599" t="s">
        <v>543</v>
      </c>
      <c r="B277" s="610"/>
      <c r="C277" s="555"/>
      <c r="D277" s="610"/>
      <c r="E277" s="555"/>
      <c r="F277" s="610"/>
      <c r="G277" s="555"/>
      <c r="H277" s="610"/>
      <c r="I277" s="555"/>
      <c r="J277" s="610"/>
      <c r="K277" s="555"/>
      <c r="L277" s="610"/>
      <c r="M277" s="555"/>
      <c r="N277" s="610"/>
      <c r="O277" s="555"/>
      <c r="P277" s="610"/>
      <c r="Q277" s="555"/>
      <c r="R277" s="610"/>
      <c r="S277" s="555"/>
      <c r="T277" s="610"/>
      <c r="U277" s="555"/>
      <c r="V277" s="610"/>
      <c r="W277" s="555"/>
      <c r="X277" s="610"/>
      <c r="Y277" s="555"/>
      <c r="Z277" s="610"/>
      <c r="AA277" s="555"/>
      <c r="AB277" s="610"/>
      <c r="AC277" s="555"/>
      <c r="AD277" s="610"/>
      <c r="AE277" s="555"/>
      <c r="AF277" s="610"/>
      <c r="AG277" s="555"/>
      <c r="AH277" s="610"/>
      <c r="AI277" s="555"/>
      <c r="AJ277" s="610"/>
      <c r="AK277" s="555"/>
      <c r="AL277" s="610"/>
      <c r="AM277" s="555"/>
      <c r="AN277" s="610"/>
      <c r="AO277" s="555"/>
      <c r="AP277" s="610"/>
      <c r="AQ277" s="555"/>
      <c r="AR277" s="610"/>
      <c r="AS277" s="555"/>
      <c r="AT277" s="610"/>
      <c r="AU277" s="555"/>
      <c r="AV277" s="610"/>
      <c r="AW277" s="555"/>
      <c r="AX277" s="610"/>
      <c r="AY277" s="555"/>
      <c r="AZ277" s="610"/>
      <c r="BA277" s="555"/>
      <c r="BB277" s="610"/>
      <c r="BC277" s="555"/>
      <c r="BD277" s="610"/>
      <c r="BE277" s="555"/>
      <c r="BF277" s="610"/>
      <c r="BG277" s="555"/>
      <c r="BH277" s="610"/>
      <c r="BI277" s="555"/>
      <c r="BJ277" s="610"/>
      <c r="BK277" s="555"/>
      <c r="BL277" s="610"/>
      <c r="BM277" s="555"/>
      <c r="BN277" s="610"/>
      <c r="BO277" s="555"/>
      <c r="BP277" s="610"/>
      <c r="BQ277" s="555"/>
      <c r="BR277" s="610"/>
      <c r="BS277" s="555"/>
      <c r="BT277" s="610"/>
      <c r="BU277" s="555"/>
      <c r="BV277" s="610"/>
      <c r="BW277" s="555"/>
      <c r="BX277" s="610"/>
      <c r="BY277" s="555"/>
      <c r="BZ277" s="610"/>
      <c r="CA277" s="555"/>
      <c r="CB277" s="610"/>
      <c r="CC277" s="555"/>
      <c r="CD277" s="610"/>
      <c r="CE277" s="555"/>
      <c r="CF277" s="610"/>
      <c r="CG277" s="555"/>
      <c r="CH277" s="610"/>
      <c r="CI277" s="555"/>
      <c r="CJ277" s="610"/>
      <c r="CK277" s="555"/>
      <c r="CL277" s="610"/>
      <c r="CM277" s="555"/>
      <c r="CN277" s="610"/>
      <c r="CO277" s="555"/>
      <c r="CP277" s="610"/>
      <c r="CQ277" s="555"/>
      <c r="CR277" s="610"/>
      <c r="CS277" s="555"/>
      <c r="CT277" s="610"/>
      <c r="CU277" s="555"/>
      <c r="CV277" s="610"/>
      <c r="CW277" s="555"/>
      <c r="CX277" s="610"/>
      <c r="CY277" s="555"/>
      <c r="CZ277" s="610"/>
      <c r="DA277" s="555"/>
      <c r="DB277" s="556"/>
      <c r="DC277" s="610"/>
      <c r="DD277" s="555"/>
      <c r="DE277" s="610"/>
      <c r="DF277" s="555"/>
      <c r="DG277" s="610"/>
      <c r="DH277" s="555"/>
      <c r="DI277" s="610"/>
      <c r="DJ277" s="555"/>
      <c r="DK277" s="610"/>
      <c r="DL277" s="555"/>
      <c r="DM277" s="610"/>
      <c r="DN277" s="555"/>
      <c r="DO277" s="610"/>
      <c r="DP277" s="555"/>
      <c r="DQ277" s="610"/>
      <c r="DR277" s="555"/>
      <c r="DS277" s="610"/>
      <c r="DT277" s="555"/>
      <c r="DU277" s="610"/>
      <c r="DV277" s="555"/>
      <c r="DW277" s="610"/>
      <c r="DX277" s="555"/>
      <c r="DY277" s="610"/>
      <c r="DZ277" s="555"/>
      <c r="EA277" s="610"/>
      <c r="EB277" s="555"/>
      <c r="EC277" s="610"/>
      <c r="ED277" s="555"/>
      <c r="EE277" s="610"/>
      <c r="EF277" s="555"/>
      <c r="EG277" s="610"/>
      <c r="EH277" s="555"/>
      <c r="EI277" s="610"/>
      <c r="EJ277" s="555"/>
      <c r="EK277" s="610"/>
      <c r="EL277" s="555"/>
      <c r="EM277" s="555"/>
    </row>
    <row r="278" spans="1:144" ht="12.75" hidden="1" customHeight="1" outlineLevel="1" x14ac:dyDescent="0.2">
      <c r="A278" s="609"/>
      <c r="B278" s="610"/>
      <c r="C278" s="555"/>
      <c r="D278" s="610"/>
      <c r="E278" s="555"/>
      <c r="F278" s="610"/>
      <c r="G278" s="555"/>
      <c r="H278" s="610"/>
      <c r="I278" s="555"/>
      <c r="J278" s="610"/>
      <c r="K278" s="555"/>
      <c r="L278" s="610"/>
      <c r="M278" s="555"/>
      <c r="N278" s="610"/>
      <c r="O278" s="555"/>
      <c r="P278" s="610"/>
      <c r="Q278" s="555"/>
      <c r="R278" s="610"/>
      <c r="S278" s="555"/>
      <c r="T278" s="610"/>
      <c r="U278" s="555"/>
      <c r="V278" s="610"/>
      <c r="W278" s="555"/>
      <c r="X278" s="610"/>
      <c r="Y278" s="555"/>
      <c r="Z278" s="610"/>
      <c r="AA278" s="555"/>
      <c r="AB278" s="610"/>
      <c r="AC278" s="555"/>
      <c r="AD278" s="610"/>
      <c r="AE278" s="555"/>
      <c r="AF278" s="610"/>
      <c r="AG278" s="555"/>
      <c r="AH278" s="610"/>
      <c r="AI278" s="555"/>
      <c r="AJ278" s="610"/>
      <c r="AK278" s="555"/>
      <c r="AL278" s="610"/>
      <c r="AM278" s="555"/>
      <c r="AN278" s="610"/>
      <c r="AO278" s="555"/>
      <c r="AP278" s="610"/>
      <c r="AQ278" s="555"/>
      <c r="AR278" s="610"/>
      <c r="AS278" s="555"/>
      <c r="AT278" s="610"/>
      <c r="AU278" s="555"/>
      <c r="AV278" s="610"/>
      <c r="AW278" s="555"/>
      <c r="AX278" s="610"/>
      <c r="AY278" s="555"/>
      <c r="AZ278" s="610"/>
      <c r="BA278" s="555"/>
      <c r="BB278" s="610"/>
      <c r="BC278" s="555"/>
      <c r="BD278" s="610"/>
      <c r="BE278" s="555"/>
      <c r="BF278" s="610"/>
      <c r="BG278" s="555"/>
      <c r="BH278" s="610"/>
      <c r="BI278" s="555"/>
      <c r="BJ278" s="610"/>
      <c r="BK278" s="555"/>
      <c r="BL278" s="610"/>
      <c r="BM278" s="555"/>
      <c r="BN278" s="610"/>
      <c r="BO278" s="555"/>
      <c r="BP278" s="610"/>
      <c r="BQ278" s="555"/>
      <c r="BR278" s="610"/>
      <c r="BS278" s="555"/>
      <c r="BT278" s="610"/>
      <c r="BU278" s="555"/>
      <c r="BV278" s="610"/>
      <c r="BW278" s="555"/>
      <c r="BX278" s="610"/>
      <c r="BY278" s="555"/>
      <c r="BZ278" s="610"/>
      <c r="CA278" s="555"/>
      <c r="CB278" s="610"/>
      <c r="CC278" s="555"/>
      <c r="CD278" s="610"/>
      <c r="CE278" s="555"/>
      <c r="CF278" s="610"/>
      <c r="CG278" s="555"/>
      <c r="CH278" s="610"/>
      <c r="CI278" s="555"/>
      <c r="CJ278" s="610"/>
      <c r="CK278" s="555"/>
      <c r="CL278" s="610"/>
      <c r="CM278" s="555"/>
      <c r="CN278" s="610"/>
      <c r="CO278" s="555"/>
      <c r="CP278" s="610"/>
      <c r="CQ278" s="555"/>
      <c r="CR278" s="610"/>
      <c r="CS278" s="555"/>
      <c r="CT278" s="610"/>
      <c r="CU278" s="555"/>
      <c r="CV278" s="610"/>
      <c r="CW278" s="555"/>
      <c r="CX278" s="610"/>
      <c r="CY278" s="555"/>
      <c r="CZ278" s="610"/>
      <c r="DA278" s="555"/>
      <c r="DB278" s="556"/>
      <c r="DC278" s="610"/>
      <c r="DD278" s="555"/>
      <c r="DE278" s="610"/>
      <c r="DF278" s="555"/>
      <c r="DG278" s="610"/>
      <c r="DH278" s="555"/>
      <c r="DI278" s="610"/>
      <c r="DJ278" s="555"/>
      <c r="DK278" s="610"/>
      <c r="DL278" s="555"/>
      <c r="DM278" s="610"/>
      <c r="DN278" s="555"/>
      <c r="DO278" s="610"/>
      <c r="DP278" s="555"/>
      <c r="DQ278" s="610"/>
      <c r="DR278" s="555"/>
      <c r="DS278" s="610"/>
      <c r="DT278" s="555"/>
      <c r="DU278" s="610"/>
      <c r="DV278" s="555"/>
      <c r="DW278" s="610"/>
      <c r="DX278" s="555"/>
      <c r="DY278" s="610"/>
      <c r="DZ278" s="555"/>
      <c r="EA278" s="610"/>
      <c r="EB278" s="555"/>
      <c r="EC278" s="610"/>
      <c r="ED278" s="555"/>
      <c r="EE278" s="610"/>
      <c r="EF278" s="555"/>
      <c r="EG278" s="610"/>
      <c r="EH278" s="555"/>
      <c r="EI278" s="610"/>
      <c r="EJ278" s="555"/>
      <c r="EK278" s="610"/>
      <c r="EL278" s="555"/>
      <c r="EM278" s="555"/>
    </row>
    <row r="279" spans="1:144" ht="21.95" hidden="1" customHeight="1" outlineLevel="1" x14ac:dyDescent="0.25">
      <c r="A279" s="546" t="str">
        <f>$A$1</f>
        <v>Prudential Financial, Inc.</v>
      </c>
      <c r="B279" s="554"/>
      <c r="C279" s="555"/>
      <c r="D279" s="554"/>
      <c r="E279" s="555"/>
      <c r="F279" s="554"/>
      <c r="G279" s="555"/>
      <c r="H279" s="554"/>
      <c r="I279" s="555"/>
      <c r="J279" s="554"/>
      <c r="K279" s="555"/>
      <c r="L279" s="554"/>
      <c r="M279" s="555"/>
      <c r="N279" s="554"/>
      <c r="O279" s="555"/>
      <c r="P279" s="554"/>
      <c r="Q279" s="555"/>
      <c r="R279" s="554"/>
      <c r="S279" s="555"/>
      <c r="T279" s="554"/>
      <c r="U279" s="555"/>
      <c r="V279" s="554"/>
      <c r="W279" s="555"/>
      <c r="X279" s="554"/>
      <c r="Y279" s="555"/>
      <c r="Z279" s="554"/>
      <c r="AA279" s="555"/>
      <c r="AB279" s="554"/>
      <c r="AC279" s="555"/>
      <c r="AD279" s="554"/>
      <c r="AE279" s="555"/>
      <c r="AF279" s="554"/>
      <c r="AG279" s="555"/>
      <c r="AH279" s="554"/>
      <c r="AI279" s="555"/>
      <c r="AJ279" s="554"/>
      <c r="AK279" s="555"/>
      <c r="AL279" s="554"/>
      <c r="AM279" s="555"/>
      <c r="AN279" s="554"/>
      <c r="AO279" s="555"/>
      <c r="AP279" s="554"/>
      <c r="AQ279" s="555"/>
      <c r="AR279" s="554"/>
      <c r="AS279" s="555"/>
      <c r="AT279" s="554"/>
      <c r="AU279" s="555"/>
      <c r="AV279" s="554"/>
      <c r="AW279" s="555"/>
      <c r="AX279" s="554"/>
      <c r="AY279" s="555"/>
      <c r="AZ279" s="554"/>
      <c r="BA279" s="555"/>
      <c r="BB279" s="554"/>
      <c r="BC279" s="555"/>
      <c r="BD279" s="554"/>
      <c r="BE279" s="555"/>
      <c r="BF279" s="554"/>
      <c r="BG279" s="555"/>
      <c r="BH279" s="554"/>
      <c r="BI279" s="555"/>
      <c r="BJ279" s="554"/>
      <c r="BK279" s="555"/>
      <c r="BL279" s="554"/>
      <c r="BM279" s="555"/>
      <c r="BN279" s="554"/>
      <c r="BO279" s="555"/>
      <c r="BP279" s="554"/>
      <c r="BQ279" s="555"/>
      <c r="BR279" s="554"/>
      <c r="BS279" s="555"/>
      <c r="BT279" s="554"/>
      <c r="BU279" s="555"/>
      <c r="BV279" s="554"/>
      <c r="BW279" s="555"/>
      <c r="BX279" s="554"/>
      <c r="BY279" s="555"/>
      <c r="BZ279" s="554"/>
      <c r="CA279" s="555"/>
      <c r="CB279" s="554"/>
      <c r="CC279" s="555"/>
      <c r="CD279" s="554"/>
      <c r="CE279" s="555"/>
      <c r="CF279" s="554"/>
      <c r="CG279" s="555"/>
      <c r="CH279" s="554"/>
      <c r="CI279" s="555"/>
      <c r="CJ279" s="554"/>
      <c r="CK279" s="555"/>
      <c r="CL279" s="554"/>
      <c r="CM279" s="555"/>
      <c r="CN279" s="554"/>
      <c r="CO279" s="555"/>
      <c r="CP279" s="554"/>
      <c r="CQ279" s="555"/>
      <c r="CR279" s="554"/>
      <c r="CS279" s="555"/>
      <c r="CT279" s="554"/>
      <c r="CU279" s="555"/>
      <c r="CV279" s="554"/>
      <c r="CW279" s="555"/>
      <c r="CX279" s="554"/>
      <c r="CY279" s="555"/>
      <c r="CZ279" s="554"/>
      <c r="DA279" s="555"/>
      <c r="DB279" s="556"/>
      <c r="DC279" s="554"/>
      <c r="DD279" s="555"/>
      <c r="DE279" s="554"/>
      <c r="DF279" s="555"/>
      <c r="DG279" s="554"/>
      <c r="DH279" s="555"/>
      <c r="DI279" s="554"/>
      <c r="DJ279" s="555"/>
      <c r="DK279" s="554"/>
      <c r="DL279" s="555"/>
      <c r="DM279" s="554"/>
      <c r="DN279" s="555"/>
      <c r="DO279" s="554"/>
      <c r="DP279" s="555"/>
      <c r="DQ279" s="554"/>
      <c r="DR279" s="555"/>
      <c r="DS279" s="554"/>
      <c r="DT279" s="555"/>
      <c r="DU279" s="554"/>
      <c r="DV279" s="555"/>
      <c r="DW279" s="554"/>
      <c r="DX279" s="555"/>
      <c r="DY279" s="554"/>
      <c r="DZ279" s="555"/>
      <c r="EA279" s="554"/>
      <c r="EB279" s="555"/>
      <c r="EC279" s="554"/>
      <c r="ED279" s="555"/>
      <c r="EE279" s="554"/>
      <c r="EF279" s="555"/>
      <c r="EG279" s="554"/>
      <c r="EH279" s="555"/>
      <c r="EI279" s="554"/>
      <c r="EJ279" s="555"/>
      <c r="EK279" s="554"/>
      <c r="EL279" s="555"/>
      <c r="EM279" s="554"/>
    </row>
    <row r="280" spans="1:144" ht="12.75" hidden="1" customHeight="1" outlineLevel="1" x14ac:dyDescent="0.2">
      <c r="A280" s="557" t="s">
        <v>517</v>
      </c>
      <c r="B280" s="558"/>
      <c r="C280" s="559"/>
      <c r="D280" s="558"/>
      <c r="E280" s="559"/>
      <c r="F280" s="558"/>
      <c r="G280" s="559"/>
      <c r="H280" s="558"/>
      <c r="I280" s="559"/>
      <c r="J280" s="558"/>
      <c r="K280" s="559"/>
      <c r="L280" s="558"/>
      <c r="M280" s="559"/>
      <c r="N280" s="558"/>
      <c r="O280" s="559"/>
      <c r="P280" s="558"/>
      <c r="Q280" s="559"/>
      <c r="R280" s="558"/>
      <c r="S280" s="559"/>
      <c r="T280" s="558"/>
      <c r="U280" s="559"/>
      <c r="V280" s="558"/>
      <c r="W280" s="559"/>
      <c r="X280" s="558"/>
      <c r="Y280" s="559"/>
      <c r="Z280" s="558"/>
      <c r="AA280" s="559"/>
      <c r="AB280" s="558"/>
      <c r="AC280" s="559"/>
      <c r="AD280" s="558"/>
      <c r="AE280" s="559"/>
      <c r="AF280" s="558"/>
      <c r="AG280" s="559"/>
      <c r="AH280" s="558"/>
      <c r="AI280" s="559"/>
      <c r="AJ280" s="558"/>
      <c r="AK280" s="559"/>
      <c r="AL280" s="558"/>
      <c r="AM280" s="559"/>
      <c r="AN280" s="558"/>
      <c r="AO280" s="559"/>
      <c r="AP280" s="558"/>
      <c r="AQ280" s="559"/>
      <c r="AR280" s="558"/>
      <c r="AS280" s="559"/>
      <c r="AT280" s="558"/>
      <c r="AU280" s="559"/>
      <c r="AV280" s="558"/>
      <c r="AW280" s="559"/>
      <c r="AX280" s="558"/>
      <c r="AY280" s="559"/>
      <c r="AZ280" s="558"/>
      <c r="BA280" s="559"/>
      <c r="BB280" s="558"/>
      <c r="BC280" s="559"/>
      <c r="BD280" s="558"/>
      <c r="BE280" s="559"/>
      <c r="BF280" s="558"/>
      <c r="BG280" s="559"/>
      <c r="BH280" s="558"/>
      <c r="BI280" s="559"/>
      <c r="BJ280" s="558"/>
      <c r="BK280" s="559"/>
      <c r="BL280" s="558"/>
      <c r="BM280" s="559"/>
      <c r="BN280" s="558"/>
      <c r="BO280" s="559"/>
      <c r="BP280" s="558"/>
      <c r="BQ280" s="559"/>
      <c r="BR280" s="558"/>
      <c r="BS280" s="559"/>
      <c r="BT280" s="558"/>
      <c r="BU280" s="559"/>
      <c r="BV280" s="558"/>
      <c r="BW280" s="559"/>
      <c r="BX280" s="558"/>
      <c r="BY280" s="559"/>
      <c r="BZ280" s="558"/>
      <c r="CA280" s="559"/>
      <c r="CB280" s="558"/>
      <c r="CC280" s="559"/>
      <c r="CD280" s="558"/>
      <c r="CE280" s="559"/>
      <c r="CF280" s="558"/>
      <c r="CG280" s="559"/>
      <c r="CH280" s="558"/>
      <c r="CI280" s="559"/>
      <c r="CJ280" s="558"/>
      <c r="CK280" s="559"/>
      <c r="CL280" s="558"/>
      <c r="CM280" s="559"/>
      <c r="CN280" s="558"/>
      <c r="CO280" s="559"/>
      <c r="CP280" s="558"/>
      <c r="CQ280" s="559"/>
      <c r="CR280" s="558"/>
      <c r="CS280" s="559"/>
      <c r="CT280" s="558"/>
      <c r="CU280" s="559"/>
      <c r="CV280" s="558"/>
      <c r="CW280" s="559"/>
      <c r="CX280" s="558"/>
      <c r="CY280" s="559"/>
      <c r="CZ280" s="558"/>
      <c r="DA280" s="559"/>
      <c r="DB280" s="560"/>
      <c r="DC280" s="561"/>
      <c r="DD280" s="559"/>
      <c r="DE280" s="558"/>
      <c r="DF280" s="559"/>
      <c r="DG280" s="558"/>
      <c r="DH280" s="559"/>
      <c r="DI280" s="558"/>
      <c r="DJ280" s="559"/>
      <c r="DK280" s="558"/>
      <c r="DL280" s="559"/>
      <c r="DM280" s="558"/>
      <c r="DN280" s="559"/>
      <c r="DO280" s="558"/>
      <c r="DP280" s="559"/>
      <c r="DQ280" s="558"/>
      <c r="DR280" s="559"/>
      <c r="DS280" s="558"/>
      <c r="DT280" s="559"/>
      <c r="DU280" s="558"/>
      <c r="DV280" s="559"/>
      <c r="DW280" s="558"/>
      <c r="DX280" s="559"/>
      <c r="DY280" s="558"/>
      <c r="DZ280" s="559"/>
      <c r="EA280" s="558"/>
      <c r="EB280" s="559"/>
      <c r="EC280" s="558"/>
      <c r="ED280" s="559"/>
      <c r="EE280" s="558"/>
      <c r="EF280" s="559"/>
      <c r="EG280" s="558"/>
      <c r="EH280" s="559"/>
      <c r="EI280" s="558"/>
      <c r="EJ280" s="559"/>
      <c r="EK280" s="558"/>
      <c r="EL280" s="559"/>
      <c r="EM280" s="558"/>
    </row>
    <row r="281" spans="1:144" ht="12.75" hidden="1" customHeight="1" outlineLevel="1" x14ac:dyDescent="0.2">
      <c r="A281" s="548" t="str">
        <f>A$3</f>
        <v>($Millions Except Per Share Data)</v>
      </c>
      <c r="B281" s="563"/>
      <c r="C281" s="564" t="str">
        <f>C$3</f>
        <v>1Q06/</v>
      </c>
      <c r="D281" s="563"/>
      <c r="E281" s="564" t="str">
        <f>E$3</f>
        <v>2Q06/</v>
      </c>
      <c r="F281" s="563"/>
      <c r="G281" s="564" t="str">
        <f>G$3</f>
        <v>3Q06/</v>
      </c>
      <c r="H281" s="563"/>
      <c r="I281" s="564" t="str">
        <f>I$3</f>
        <v>4Q06/</v>
      </c>
      <c r="J281" s="563"/>
      <c r="K281" s="564" t="str">
        <f>K$3</f>
        <v>1Q07/</v>
      </c>
      <c r="L281" s="563"/>
      <c r="M281" s="564" t="str">
        <f>M$3</f>
        <v>2Q07/</v>
      </c>
      <c r="N281" s="563"/>
      <c r="O281" s="564" t="str">
        <f>O$3</f>
        <v>3Q07/</v>
      </c>
      <c r="P281" s="563"/>
      <c r="Q281" s="564" t="str">
        <f>Q$3</f>
        <v>4Q07/</v>
      </c>
      <c r="R281" s="563"/>
      <c r="S281" s="564" t="str">
        <f>S$3</f>
        <v>1Q08/</v>
      </c>
      <c r="T281" s="563"/>
      <c r="U281" s="564" t="str">
        <f>U$3</f>
        <v>2Q08/</v>
      </c>
      <c r="V281" s="563"/>
      <c r="W281" s="564" t="str">
        <f>W$3</f>
        <v>3Q08/</v>
      </c>
      <c r="X281" s="563"/>
      <c r="Y281" s="564" t="str">
        <f>Y$3</f>
        <v>4Q08/</v>
      </c>
      <c r="Z281" s="563"/>
      <c r="AA281" s="564" t="str">
        <f>AA$3</f>
        <v>1Q09/</v>
      </c>
      <c r="AB281" s="563"/>
      <c r="AC281" s="564" t="str">
        <f>AC$3</f>
        <v>2Q09/</v>
      </c>
      <c r="AD281" s="563"/>
      <c r="AE281" s="564" t="str">
        <f>AE$3</f>
        <v>3Q09/</v>
      </c>
      <c r="AF281" s="563"/>
      <c r="AG281" s="564" t="str">
        <f>AG$3</f>
        <v>4Q09/</v>
      </c>
      <c r="AH281" s="563"/>
      <c r="AI281" s="564" t="str">
        <f>AI$3</f>
        <v>1Q10/</v>
      </c>
      <c r="AJ281" s="563"/>
      <c r="AK281" s="564" t="str">
        <f>AK$3</f>
        <v>2Q10/</v>
      </c>
      <c r="AL281" s="563"/>
      <c r="AM281" s="564" t="str">
        <f>AM$3</f>
        <v>3Q10/</v>
      </c>
      <c r="AN281" s="563"/>
      <c r="AO281" s="564" t="str">
        <f>AO$3</f>
        <v>4Q10/</v>
      </c>
      <c r="AP281" s="563"/>
      <c r="AQ281" s="564" t="str">
        <f>AQ$3</f>
        <v>1Q11/</v>
      </c>
      <c r="AR281" s="563"/>
      <c r="AS281" s="564" t="str">
        <f>AS$3</f>
        <v>2Q11/</v>
      </c>
      <c r="AT281" s="563"/>
      <c r="AU281" s="564" t="str">
        <f>AU$3</f>
        <v>3Q11/</v>
      </c>
      <c r="AV281" s="563"/>
      <c r="AW281" s="564" t="str">
        <f>AW$3</f>
        <v>4Q11/</v>
      </c>
      <c r="AX281" s="563"/>
      <c r="AY281" s="564" t="str">
        <f>AY$3</f>
        <v>1Q12/</v>
      </c>
      <c r="AZ281" s="563"/>
      <c r="BA281" s="564" t="str">
        <f>BA$3</f>
        <v>2Q12/</v>
      </c>
      <c r="BB281" s="563"/>
      <c r="BC281" s="564" t="str">
        <f>BC$3</f>
        <v>3Q12/</v>
      </c>
      <c r="BD281" s="563"/>
      <c r="BE281" s="564" t="str">
        <f>BE$3</f>
        <v>4Q12/</v>
      </c>
      <c r="BF281" s="563"/>
      <c r="BG281" s="564" t="str">
        <f>BG$3</f>
        <v>1Q13/</v>
      </c>
      <c r="BH281" s="563"/>
      <c r="BI281" s="564" t="str">
        <f>BI$3</f>
        <v>2Q13/</v>
      </c>
      <c r="BJ281" s="563"/>
      <c r="BK281" s="564" t="str">
        <f>BK$3</f>
        <v>3Q13/</v>
      </c>
      <c r="BL281" s="563"/>
      <c r="BM281" s="564" t="str">
        <f>BM$3</f>
        <v>4Q13/</v>
      </c>
      <c r="BN281" s="563"/>
      <c r="BO281" s="564" t="str">
        <f>BO$3</f>
        <v>1Q14/</v>
      </c>
      <c r="BP281" s="563"/>
      <c r="BQ281" s="564" t="str">
        <f>BQ$3</f>
        <v>2Q14/</v>
      </c>
      <c r="BR281" s="563"/>
      <c r="BS281" s="564" t="str">
        <f>BS$3</f>
        <v>3Q14/</v>
      </c>
      <c r="BT281" s="563"/>
      <c r="BU281" s="564" t="str">
        <f>BU$3</f>
        <v>4Q14/</v>
      </c>
      <c r="BV281" s="563"/>
      <c r="BW281" s="564" t="str">
        <f>BW$3</f>
        <v>1Q15/</v>
      </c>
      <c r="BX281" s="563"/>
      <c r="BY281" s="564" t="str">
        <f>BY$3</f>
        <v>2Q15/</v>
      </c>
      <c r="BZ281" s="563"/>
      <c r="CA281" s="564" t="str">
        <f>CA$3</f>
        <v>3Q15/</v>
      </c>
      <c r="CB281" s="563"/>
      <c r="CC281" s="564" t="str">
        <f>CC$3</f>
        <v>4Q15/</v>
      </c>
      <c r="CD281" s="563"/>
      <c r="CE281" s="564" t="str">
        <f>CE$3</f>
        <v>1Q16/</v>
      </c>
      <c r="CF281" s="563"/>
      <c r="CG281" s="564" t="str">
        <f>CG$3</f>
        <v>2Q16/</v>
      </c>
      <c r="CH281" s="563"/>
      <c r="CI281" s="564" t="str">
        <f>CI$3</f>
        <v>3Q16/</v>
      </c>
      <c r="CJ281" s="563"/>
      <c r="CK281" s="564" t="str">
        <f>CK$3</f>
        <v>4Q16/</v>
      </c>
      <c r="CL281" s="563"/>
      <c r="CM281" s="564" t="str">
        <f>CM$3</f>
        <v>1Q17/</v>
      </c>
      <c r="CN281" s="563"/>
      <c r="CO281" s="564" t="str">
        <f>CO$3</f>
        <v>2Q17/</v>
      </c>
      <c r="CP281" s="563"/>
      <c r="CQ281" s="564" t="str">
        <f>CQ$3</f>
        <v>3Q17/</v>
      </c>
      <c r="CR281" s="563"/>
      <c r="CS281" s="564" t="str">
        <f>CS$3</f>
        <v>4Q17/</v>
      </c>
      <c r="CT281" s="563"/>
      <c r="CU281" s="564" t="str">
        <f>CU$3</f>
        <v>1Q18E/</v>
      </c>
      <c r="CV281" s="563"/>
      <c r="CW281" s="564" t="str">
        <f>CW$3</f>
        <v>2Q18E/</v>
      </c>
      <c r="CX281" s="563"/>
      <c r="CY281" s="564" t="str">
        <f>CY$3</f>
        <v>3Q18E/</v>
      </c>
      <c r="CZ281" s="563"/>
      <c r="DA281" s="564" t="str">
        <f>DA$3</f>
        <v>4Q18E/</v>
      </c>
      <c r="DB281" s="565"/>
      <c r="DC281" s="563"/>
      <c r="DD281" s="564" t="str">
        <f>DD$3</f>
        <v>2005/</v>
      </c>
      <c r="DE281" s="563"/>
      <c r="DF281" s="564" t="str">
        <f>DF$3</f>
        <v>2006/</v>
      </c>
      <c r="DG281" s="563"/>
      <c r="DH281" s="564" t="str">
        <f>DH$3</f>
        <v>2007/</v>
      </c>
      <c r="DI281" s="563"/>
      <c r="DJ281" s="564" t="str">
        <f>DJ$3</f>
        <v>2008/</v>
      </c>
      <c r="DK281" s="563"/>
      <c r="DL281" s="564" t="str">
        <f>DL$3</f>
        <v>2009/</v>
      </c>
      <c r="DM281" s="563"/>
      <c r="DN281" s="564" t="str">
        <f>DN$3</f>
        <v>2010/</v>
      </c>
      <c r="DO281" s="563"/>
      <c r="DP281" s="564" t="str">
        <f>DP$3</f>
        <v>2011/</v>
      </c>
      <c r="DQ281" s="563"/>
      <c r="DR281" s="564" t="str">
        <f>DR$3</f>
        <v>2012/</v>
      </c>
      <c r="DS281" s="563"/>
      <c r="DT281" s="564" t="str">
        <f>DT$3</f>
        <v>2013/</v>
      </c>
      <c r="DU281" s="563"/>
      <c r="DV281" s="564" t="str">
        <f>DV$3</f>
        <v>2014/</v>
      </c>
      <c r="DW281" s="563"/>
      <c r="DX281" s="564" t="str">
        <f>DX$3</f>
        <v>2015/</v>
      </c>
      <c r="DY281" s="563"/>
      <c r="DZ281" s="564" t="str">
        <f>DZ$3</f>
        <v>2016/</v>
      </c>
      <c r="EA281" s="563"/>
      <c r="EB281" s="564" t="str">
        <f>EB$3</f>
        <v>2017/</v>
      </c>
      <c r="EC281" s="563"/>
      <c r="ED281" s="564" t="str">
        <f>ED$3</f>
        <v>2018E/</v>
      </c>
      <c r="EE281" s="563"/>
      <c r="EF281" s="564" t="str">
        <f>EF$3</f>
        <v>2019E/</v>
      </c>
      <c r="EG281" s="563"/>
      <c r="EH281" s="564" t="str">
        <f>EH$3</f>
        <v>2020E/</v>
      </c>
      <c r="EI281" s="563"/>
      <c r="EJ281" s="564" t="str">
        <f>EJ$3</f>
        <v>2021E/</v>
      </c>
      <c r="EK281" s="563"/>
      <c r="EL281" s="564" t="str">
        <f>EL$3</f>
        <v>2022E/</v>
      </c>
      <c r="EM281" s="566" t="str">
        <f>EM$3</f>
        <v>5-Yr</v>
      </c>
      <c r="EN281" s="549"/>
    </row>
    <row r="282" spans="1:144" ht="12.75" hidden="1" customHeight="1" outlineLevel="1" x14ac:dyDescent="0.2">
      <c r="A282" s="567"/>
      <c r="B282" s="568"/>
      <c r="C282" s="559" t="str">
        <f>C$4</f>
        <v>1Q05</v>
      </c>
      <c r="D282" s="568"/>
      <c r="E282" s="559" t="str">
        <f>E$4</f>
        <v>2Q05</v>
      </c>
      <c r="F282" s="568"/>
      <c r="G282" s="559" t="str">
        <f>G$4</f>
        <v>3Q05</v>
      </c>
      <c r="H282" s="568"/>
      <c r="I282" s="559" t="str">
        <f>I$4</f>
        <v>4Q05</v>
      </c>
      <c r="J282" s="568"/>
      <c r="K282" s="559" t="str">
        <f>K$4</f>
        <v>1Q06</v>
      </c>
      <c r="L282" s="568"/>
      <c r="M282" s="559" t="str">
        <f>M$4</f>
        <v>2Q06</v>
      </c>
      <c r="N282" s="568"/>
      <c r="O282" s="559" t="str">
        <f>O$4</f>
        <v>3Q06</v>
      </c>
      <c r="P282" s="568"/>
      <c r="Q282" s="559" t="str">
        <f>Q$4</f>
        <v>4Q06</v>
      </c>
      <c r="R282" s="568"/>
      <c r="S282" s="559" t="str">
        <f>S$4</f>
        <v>1Q07</v>
      </c>
      <c r="T282" s="568"/>
      <c r="U282" s="559" t="str">
        <f>U$4</f>
        <v>2Q07</v>
      </c>
      <c r="V282" s="568"/>
      <c r="W282" s="559" t="str">
        <f>W$4</f>
        <v>3Q07</v>
      </c>
      <c r="X282" s="568"/>
      <c r="Y282" s="559" t="str">
        <f>Y$4</f>
        <v>4Q07</v>
      </c>
      <c r="Z282" s="568"/>
      <c r="AA282" s="559" t="str">
        <f>AA$4</f>
        <v>1Q08</v>
      </c>
      <c r="AB282" s="568"/>
      <c r="AC282" s="559" t="str">
        <f>AC$4</f>
        <v>2Q08</v>
      </c>
      <c r="AD282" s="568"/>
      <c r="AE282" s="559" t="str">
        <f>AE$4</f>
        <v>3Q08</v>
      </c>
      <c r="AF282" s="568"/>
      <c r="AG282" s="559" t="str">
        <f>AG$4</f>
        <v>4Q08</v>
      </c>
      <c r="AH282" s="568"/>
      <c r="AI282" s="559" t="str">
        <f>AI$4</f>
        <v>1Q09</v>
      </c>
      <c r="AJ282" s="568"/>
      <c r="AK282" s="559" t="str">
        <f>AK$4</f>
        <v>2Q09</v>
      </c>
      <c r="AL282" s="568"/>
      <c r="AM282" s="559" t="str">
        <f>AM$4</f>
        <v>3Q09</v>
      </c>
      <c r="AN282" s="568"/>
      <c r="AO282" s="559" t="str">
        <f>AO$4</f>
        <v>4Q09</v>
      </c>
      <c r="AP282" s="568"/>
      <c r="AQ282" s="559" t="str">
        <f>AQ$4</f>
        <v>1Q10</v>
      </c>
      <c r="AR282" s="568"/>
      <c r="AS282" s="559" t="str">
        <f>AS$4</f>
        <v>2Q10</v>
      </c>
      <c r="AT282" s="568"/>
      <c r="AU282" s="559" t="str">
        <f>AU$4</f>
        <v>3Q10</v>
      </c>
      <c r="AV282" s="568"/>
      <c r="AW282" s="559" t="str">
        <f>AW$4</f>
        <v>4Q10</v>
      </c>
      <c r="AX282" s="568"/>
      <c r="AY282" s="559" t="str">
        <f>AY$4</f>
        <v>1Q11</v>
      </c>
      <c r="AZ282" s="568"/>
      <c r="BA282" s="559" t="str">
        <f>BA$4</f>
        <v>2Q11</v>
      </c>
      <c r="BB282" s="568"/>
      <c r="BC282" s="559" t="str">
        <f>BC$4</f>
        <v>3Q11</v>
      </c>
      <c r="BD282" s="568"/>
      <c r="BE282" s="559" t="str">
        <f>BE$4</f>
        <v>4Q11</v>
      </c>
      <c r="BF282" s="568"/>
      <c r="BG282" s="559" t="str">
        <f>BG$4</f>
        <v>1Q12</v>
      </c>
      <c r="BH282" s="568"/>
      <c r="BI282" s="559" t="str">
        <f>BI$4</f>
        <v>2Q12</v>
      </c>
      <c r="BJ282" s="568"/>
      <c r="BK282" s="559" t="str">
        <f>BK$4</f>
        <v>3Q12</v>
      </c>
      <c r="BL282" s="568"/>
      <c r="BM282" s="559" t="str">
        <f>BM$4</f>
        <v>4Q12</v>
      </c>
      <c r="BN282" s="568"/>
      <c r="BO282" s="559" t="str">
        <f>BO$4</f>
        <v>1Q13</v>
      </c>
      <c r="BP282" s="568"/>
      <c r="BQ282" s="559" t="str">
        <f>BQ$4</f>
        <v>2Q13</v>
      </c>
      <c r="BR282" s="568"/>
      <c r="BS282" s="559" t="str">
        <f>BS$4</f>
        <v>3Q13</v>
      </c>
      <c r="BT282" s="568"/>
      <c r="BU282" s="559" t="str">
        <f>BU$4</f>
        <v>4Q13</v>
      </c>
      <c r="BV282" s="568"/>
      <c r="BW282" s="559" t="str">
        <f>BW$4</f>
        <v>1Q14</v>
      </c>
      <c r="BX282" s="568"/>
      <c r="BY282" s="559" t="str">
        <f>BY$4</f>
        <v>2Q14</v>
      </c>
      <c r="BZ282" s="568"/>
      <c r="CA282" s="559" t="str">
        <f>CA$4</f>
        <v>3Q14</v>
      </c>
      <c r="CB282" s="568"/>
      <c r="CC282" s="559" t="str">
        <f>CC$4</f>
        <v>4Q14</v>
      </c>
      <c r="CD282" s="568"/>
      <c r="CE282" s="559" t="str">
        <f>CE$4</f>
        <v>1Q15</v>
      </c>
      <c r="CF282" s="568"/>
      <c r="CG282" s="559" t="str">
        <f>CG$4</f>
        <v>2Q15</v>
      </c>
      <c r="CH282" s="568"/>
      <c r="CI282" s="559" t="str">
        <f>CI$4</f>
        <v>3Q15</v>
      </c>
      <c r="CJ282" s="568"/>
      <c r="CK282" s="559" t="str">
        <f>CK$4</f>
        <v>4Q15</v>
      </c>
      <c r="CL282" s="568"/>
      <c r="CM282" s="559" t="str">
        <f>CM$4</f>
        <v>1Q16</v>
      </c>
      <c r="CN282" s="568"/>
      <c r="CO282" s="559" t="str">
        <f>CO$4</f>
        <v>2Q16</v>
      </c>
      <c r="CP282" s="568"/>
      <c r="CQ282" s="559" t="str">
        <f>CQ$4</f>
        <v>3Q16</v>
      </c>
      <c r="CR282" s="568"/>
      <c r="CS282" s="559" t="str">
        <f>CS$4</f>
        <v>4Q16</v>
      </c>
      <c r="CT282" s="568"/>
      <c r="CU282" s="559" t="str">
        <f>CU$4</f>
        <v>1Q17</v>
      </c>
      <c r="CV282" s="568"/>
      <c r="CW282" s="559" t="str">
        <f>CW$4</f>
        <v>2Q17</v>
      </c>
      <c r="CX282" s="568"/>
      <c r="CY282" s="559" t="str">
        <f>CY$4</f>
        <v>3Q17</v>
      </c>
      <c r="CZ282" s="568"/>
      <c r="DA282" s="559" t="str">
        <f>DA$4</f>
        <v>4Q17</v>
      </c>
      <c r="DB282" s="560"/>
      <c r="DC282" s="568"/>
      <c r="DD282" s="568">
        <f>DD$4</f>
        <v>2004</v>
      </c>
      <c r="DE282" s="568"/>
      <c r="DF282" s="559" t="str">
        <f>DF$4</f>
        <v>2005</v>
      </c>
      <c r="DG282" s="568"/>
      <c r="DH282" s="559" t="str">
        <f>DH$4</f>
        <v>2006</v>
      </c>
      <c r="DI282" s="568"/>
      <c r="DJ282" s="569">
        <f>DJ$4</f>
        <v>2007</v>
      </c>
      <c r="DK282" s="568"/>
      <c r="DL282" s="559" t="str">
        <f>DL$4</f>
        <v>2008</v>
      </c>
      <c r="DM282" s="568"/>
      <c r="DN282" s="559" t="str">
        <f>DN$4</f>
        <v>2009</v>
      </c>
      <c r="DO282" s="568"/>
      <c r="DP282" s="559" t="str">
        <f>DP$4</f>
        <v>2010</v>
      </c>
      <c r="DQ282" s="568"/>
      <c r="DR282" s="559" t="str">
        <f>DR$4</f>
        <v>2011</v>
      </c>
      <c r="DS282" s="568"/>
      <c r="DT282" s="559" t="str">
        <f>DT$4</f>
        <v>2012</v>
      </c>
      <c r="DU282" s="568"/>
      <c r="DV282" s="559" t="str">
        <f>DV$4</f>
        <v>2013</v>
      </c>
      <c r="DW282" s="568"/>
      <c r="DX282" s="559">
        <f>DX$4</f>
        <v>2014</v>
      </c>
      <c r="DY282" s="568"/>
      <c r="DZ282" s="559" t="str">
        <f>DZ$4</f>
        <v>2015</v>
      </c>
      <c r="EA282" s="568"/>
      <c r="EB282" s="559">
        <f>EB$4</f>
        <v>2016</v>
      </c>
      <c r="EC282" s="568"/>
      <c r="ED282" s="559">
        <f>ED$4</f>
        <v>2017</v>
      </c>
      <c r="EE282" s="568"/>
      <c r="EF282" s="559" t="str">
        <f>EF$4</f>
        <v>2018E</v>
      </c>
      <c r="EG282" s="568"/>
      <c r="EH282" s="559" t="str">
        <f>EH$4</f>
        <v>2019E</v>
      </c>
      <c r="EI282" s="568"/>
      <c r="EJ282" s="559" t="str">
        <f>EJ$4</f>
        <v>2020E</v>
      </c>
      <c r="EK282" s="568"/>
      <c r="EL282" s="559" t="str">
        <f>EL$4</f>
        <v>2021E</v>
      </c>
      <c r="EM282" s="558" t="str">
        <f>EM$4</f>
        <v>CAGR</v>
      </c>
      <c r="EN282" s="549"/>
    </row>
    <row r="283" spans="1:144" ht="12.75" hidden="1" customHeight="1" outlineLevel="1" x14ac:dyDescent="0.2">
      <c r="A283" s="570"/>
      <c r="B283" s="571" t="str">
        <f>+B$5</f>
        <v>1Q06</v>
      </c>
      <c r="C283" s="572" t="str">
        <f>C$5</f>
        <v>% Chg</v>
      </c>
      <c r="D283" s="571" t="str">
        <f>+D$5</f>
        <v>2Q06</v>
      </c>
      <c r="E283" s="572" t="str">
        <f>E$5</f>
        <v>% Chg</v>
      </c>
      <c r="F283" s="571" t="str">
        <f>+F$5</f>
        <v>3Q06</v>
      </c>
      <c r="G283" s="572" t="str">
        <f>G$5</f>
        <v>% Chg</v>
      </c>
      <c r="H283" s="571" t="str">
        <f>+H$5</f>
        <v>4Q06</v>
      </c>
      <c r="I283" s="572" t="str">
        <f>I$5</f>
        <v>% Chg</v>
      </c>
      <c r="J283" s="571" t="str">
        <f>+J$5</f>
        <v>1Q07</v>
      </c>
      <c r="K283" s="572" t="str">
        <f>K$5</f>
        <v>% Chg</v>
      </c>
      <c r="L283" s="571" t="str">
        <f>+L$5</f>
        <v>2Q07</v>
      </c>
      <c r="M283" s="572" t="str">
        <f>M$5</f>
        <v>% Chg</v>
      </c>
      <c r="N283" s="571" t="str">
        <f>+N$5</f>
        <v>3Q07</v>
      </c>
      <c r="O283" s="572" t="str">
        <f>O$5</f>
        <v>% Chg</v>
      </c>
      <c r="P283" s="571" t="str">
        <f>+P$5</f>
        <v>4Q07</v>
      </c>
      <c r="Q283" s="572" t="str">
        <f>Q$5</f>
        <v>% Chg</v>
      </c>
      <c r="R283" s="571" t="str">
        <f>+R$5</f>
        <v>1Q08</v>
      </c>
      <c r="S283" s="572" t="str">
        <f>S$5</f>
        <v>% Chg</v>
      </c>
      <c r="T283" s="571" t="str">
        <f>+T$5</f>
        <v>2Q08</v>
      </c>
      <c r="U283" s="572" t="str">
        <f>U$5</f>
        <v>% Chg</v>
      </c>
      <c r="V283" s="571" t="str">
        <f>+V$5</f>
        <v>3Q08</v>
      </c>
      <c r="W283" s="572" t="str">
        <f>W$5</f>
        <v>% Chg</v>
      </c>
      <c r="X283" s="571" t="str">
        <f>+X$5</f>
        <v>4Q08</v>
      </c>
      <c r="Y283" s="572" t="str">
        <f>Y$5</f>
        <v>% Chg</v>
      </c>
      <c r="Z283" s="571" t="str">
        <f>+Z$5</f>
        <v>1Q09</v>
      </c>
      <c r="AA283" s="572" t="str">
        <f>AA$5</f>
        <v>% Chg</v>
      </c>
      <c r="AB283" s="571" t="str">
        <f>+AB$5</f>
        <v>2Q09</v>
      </c>
      <c r="AC283" s="572" t="str">
        <f>AC$5</f>
        <v>% Chg</v>
      </c>
      <c r="AD283" s="571" t="str">
        <f>+AD$5</f>
        <v>3Q09</v>
      </c>
      <c r="AE283" s="572" t="str">
        <f>AE$5</f>
        <v>% Chg</v>
      </c>
      <c r="AF283" s="571" t="str">
        <f>+AF$5</f>
        <v>4Q09</v>
      </c>
      <c r="AG283" s="572" t="str">
        <f>AG$5</f>
        <v>% Chg</v>
      </c>
      <c r="AH283" s="571" t="str">
        <f>+AH$5</f>
        <v>1Q10</v>
      </c>
      <c r="AI283" s="572" t="str">
        <f>AI$5</f>
        <v>% Chg</v>
      </c>
      <c r="AJ283" s="571" t="str">
        <f>+AJ$5</f>
        <v>2Q10</v>
      </c>
      <c r="AK283" s="572" t="str">
        <f>AK$5</f>
        <v>% Chg</v>
      </c>
      <c r="AL283" s="571" t="str">
        <f>+AL$5</f>
        <v>3Q10</v>
      </c>
      <c r="AM283" s="572" t="str">
        <f>AM$5</f>
        <v>% Chg</v>
      </c>
      <c r="AN283" s="571" t="str">
        <f>+AN$5</f>
        <v>4Q10</v>
      </c>
      <c r="AO283" s="572" t="str">
        <f>AO$5</f>
        <v>% Chg</v>
      </c>
      <c r="AP283" s="571" t="str">
        <f>+AP$5</f>
        <v>1Q11</v>
      </c>
      <c r="AQ283" s="572" t="str">
        <f>AQ$5</f>
        <v>% Chg</v>
      </c>
      <c r="AR283" s="571" t="str">
        <f>+AR$5</f>
        <v>2Q11</v>
      </c>
      <c r="AS283" s="572" t="str">
        <f>AS$5</f>
        <v>% Chg</v>
      </c>
      <c r="AT283" s="571" t="str">
        <f>+AT$5</f>
        <v>3Q11</v>
      </c>
      <c r="AU283" s="572" t="str">
        <f>AU$5</f>
        <v>% Chg</v>
      </c>
      <c r="AV283" s="571" t="str">
        <f>+AV$5</f>
        <v>4Q11</v>
      </c>
      <c r="AW283" s="572" t="str">
        <f>AW$5</f>
        <v>% Chg</v>
      </c>
      <c r="AX283" s="571" t="str">
        <f>+AX$5</f>
        <v>1Q12</v>
      </c>
      <c r="AY283" s="572" t="str">
        <f>AY$5</f>
        <v>% Chg</v>
      </c>
      <c r="AZ283" s="571" t="str">
        <f>+AZ$5</f>
        <v>2Q12</v>
      </c>
      <c r="BA283" s="572" t="str">
        <f>BA$5</f>
        <v>% Chg</v>
      </c>
      <c r="BB283" s="571" t="str">
        <f>+BB$5</f>
        <v>3Q12</v>
      </c>
      <c r="BC283" s="572" t="str">
        <f>BC$5</f>
        <v>% Chg</v>
      </c>
      <c r="BD283" s="571" t="str">
        <f>+BD$5</f>
        <v>4Q12</v>
      </c>
      <c r="BE283" s="572" t="str">
        <f>BE$5</f>
        <v>% Chg</v>
      </c>
      <c r="BF283" s="571" t="str">
        <f>+BF$5</f>
        <v>1Q13</v>
      </c>
      <c r="BG283" s="572" t="str">
        <f>BG$5</f>
        <v>% Chg</v>
      </c>
      <c r="BH283" s="571" t="str">
        <f>+BH$5</f>
        <v>2Q13</v>
      </c>
      <c r="BI283" s="572" t="str">
        <f>BI$5</f>
        <v>% Chg</v>
      </c>
      <c r="BJ283" s="571" t="str">
        <f>+BJ$5</f>
        <v>3Q13</v>
      </c>
      <c r="BK283" s="572" t="str">
        <f>BK$5</f>
        <v>% Chg</v>
      </c>
      <c r="BL283" s="571" t="str">
        <f>+BL$5</f>
        <v>4Q13</v>
      </c>
      <c r="BM283" s="572" t="str">
        <f>BM$5</f>
        <v>% Chg</v>
      </c>
      <c r="BN283" s="571" t="str">
        <f>+BN$5</f>
        <v>1Q14</v>
      </c>
      <c r="BO283" s="572" t="str">
        <f>BO$5</f>
        <v>% Chg</v>
      </c>
      <c r="BP283" s="571" t="str">
        <f>+BP$5</f>
        <v>2Q14</v>
      </c>
      <c r="BQ283" s="572" t="str">
        <f>BQ$5</f>
        <v>% Chg</v>
      </c>
      <c r="BR283" s="571" t="str">
        <f>+BR$5</f>
        <v>3Q14</v>
      </c>
      <c r="BS283" s="572" t="str">
        <f>BS$5</f>
        <v>% Chg</v>
      </c>
      <c r="BT283" s="571" t="str">
        <f>+BT$5</f>
        <v>4Q14</v>
      </c>
      <c r="BU283" s="572" t="str">
        <f>BU$5</f>
        <v>% Chg</v>
      </c>
      <c r="BV283" s="571" t="str">
        <f>+BV$5</f>
        <v>1Q15</v>
      </c>
      <c r="BW283" s="572" t="str">
        <f>BW$5</f>
        <v>% Chg</v>
      </c>
      <c r="BX283" s="571" t="str">
        <f>+BX$5</f>
        <v>2Q15</v>
      </c>
      <c r="BY283" s="572" t="str">
        <f>BY$5</f>
        <v>% Chg</v>
      </c>
      <c r="BZ283" s="571" t="str">
        <f>+BZ$5</f>
        <v>3Q15</v>
      </c>
      <c r="CA283" s="572" t="str">
        <f>CA$5</f>
        <v>% Chg</v>
      </c>
      <c r="CB283" s="571" t="str">
        <f>+CB$5</f>
        <v>4Q15</v>
      </c>
      <c r="CC283" s="572" t="str">
        <f>CC$5</f>
        <v>% Chg</v>
      </c>
      <c r="CD283" s="571" t="str">
        <f>+CD$5</f>
        <v>1Q16</v>
      </c>
      <c r="CE283" s="572" t="str">
        <f>CE$5</f>
        <v>% Chg</v>
      </c>
      <c r="CF283" s="571" t="str">
        <f>+CF$5</f>
        <v>2Q16</v>
      </c>
      <c r="CG283" s="572" t="str">
        <f>CG$5</f>
        <v>% Chg</v>
      </c>
      <c r="CH283" s="571" t="str">
        <f>+CH$5</f>
        <v>3Q16</v>
      </c>
      <c r="CI283" s="572" t="str">
        <f>CI$5</f>
        <v>% Chg</v>
      </c>
      <c r="CJ283" s="571" t="str">
        <f>+CJ$5</f>
        <v>4Q16</v>
      </c>
      <c r="CK283" s="572" t="str">
        <f>CK$5</f>
        <v>% Chg</v>
      </c>
      <c r="CL283" s="571" t="str">
        <f>+CL$5</f>
        <v>1Q17</v>
      </c>
      <c r="CM283" s="572" t="str">
        <f>CM$5</f>
        <v>% Chg</v>
      </c>
      <c r="CN283" s="571" t="str">
        <f>+CN$5</f>
        <v>2Q17</v>
      </c>
      <c r="CO283" s="572" t="str">
        <f>CO$5</f>
        <v>% Chg</v>
      </c>
      <c r="CP283" s="571" t="str">
        <f>+CP$5</f>
        <v>3Q17</v>
      </c>
      <c r="CQ283" s="572" t="str">
        <f>CQ$5</f>
        <v>% Chg</v>
      </c>
      <c r="CR283" s="571" t="str">
        <f>+CR$5</f>
        <v>4Q17</v>
      </c>
      <c r="CS283" s="572" t="str">
        <f>CS$5</f>
        <v>% Chg</v>
      </c>
      <c r="CT283" s="571" t="str">
        <f>+CT$5</f>
        <v>1Q18E</v>
      </c>
      <c r="CU283" s="572" t="str">
        <f>CU$5</f>
        <v>% Chg</v>
      </c>
      <c r="CV283" s="571" t="str">
        <f>+CV$5</f>
        <v>2Q18E</v>
      </c>
      <c r="CW283" s="572" t="str">
        <f>CW$5</f>
        <v>% Chg</v>
      </c>
      <c r="CX283" s="571" t="str">
        <f>+CX$5</f>
        <v>3Q18E</v>
      </c>
      <c r="CY283" s="572" t="str">
        <f>CY$5</f>
        <v>% Chg</v>
      </c>
      <c r="CZ283" s="571" t="str">
        <f>+CZ$5</f>
        <v>4Q18E</v>
      </c>
      <c r="DA283" s="572" t="str">
        <f>DA$5</f>
        <v>% Chg</v>
      </c>
      <c r="DB283" s="573"/>
      <c r="DC283" s="571" t="str">
        <f>+DC$5</f>
        <v>2005</v>
      </c>
      <c r="DD283" s="572" t="str">
        <f>DD$5</f>
        <v>% Chg</v>
      </c>
      <c r="DE283" s="571" t="str">
        <f>+DE$5</f>
        <v>2006</v>
      </c>
      <c r="DF283" s="572" t="str">
        <f>DF$5</f>
        <v>% Chg</v>
      </c>
      <c r="DG283" s="571">
        <f>+DG$5</f>
        <v>2007</v>
      </c>
      <c r="DH283" s="572" t="str">
        <f>DH$5</f>
        <v>% Chg</v>
      </c>
      <c r="DI283" s="571" t="str">
        <f>+DI$5</f>
        <v>2008</v>
      </c>
      <c r="DJ283" s="572" t="str">
        <f>DJ$5</f>
        <v>% Chg</v>
      </c>
      <c r="DK283" s="571" t="str">
        <f>+DK$5</f>
        <v>2009</v>
      </c>
      <c r="DL283" s="572" t="str">
        <f>DL$5</f>
        <v>% Chg</v>
      </c>
      <c r="DM283" s="571" t="str">
        <f>+DM$5</f>
        <v>2010</v>
      </c>
      <c r="DN283" s="572" t="str">
        <f>DN$5</f>
        <v>% Chg</v>
      </c>
      <c r="DO283" s="571" t="str">
        <f>+DO$5</f>
        <v>2011</v>
      </c>
      <c r="DP283" s="572" t="str">
        <f>DP$5</f>
        <v>% Chg</v>
      </c>
      <c r="DQ283" s="571" t="str">
        <f>+DQ$5</f>
        <v>2012</v>
      </c>
      <c r="DR283" s="572" t="str">
        <f>DR$5</f>
        <v>% Chg</v>
      </c>
      <c r="DS283" s="571" t="str">
        <f>+DS$5</f>
        <v>2013</v>
      </c>
      <c r="DT283" s="572" t="str">
        <f>DT$5</f>
        <v>% Chg</v>
      </c>
      <c r="DU283" s="571">
        <f>+DU$5</f>
        <v>2014</v>
      </c>
      <c r="DV283" s="572" t="str">
        <f>DV$5</f>
        <v>% Chg</v>
      </c>
      <c r="DW283" s="571" t="str">
        <f>+DW$5</f>
        <v>2015</v>
      </c>
      <c r="DX283" s="572" t="str">
        <f>DX$5</f>
        <v>% Chg</v>
      </c>
      <c r="DY283" s="571">
        <f>+DY$5</f>
        <v>2016</v>
      </c>
      <c r="DZ283" s="572" t="str">
        <f>DZ$5</f>
        <v>% Chg</v>
      </c>
      <c r="EA283" s="571">
        <f>+EA$5</f>
        <v>2017</v>
      </c>
      <c r="EB283" s="572" t="str">
        <f>EB$5</f>
        <v>% Chg</v>
      </c>
      <c r="EC283" s="571" t="str">
        <f>+EC$5</f>
        <v>2018E</v>
      </c>
      <c r="ED283" s="572" t="str">
        <f>ED$5</f>
        <v>% Chg</v>
      </c>
      <c r="EE283" s="571" t="str">
        <f>+EE$5</f>
        <v>2019E</v>
      </c>
      <c r="EF283" s="572" t="str">
        <f>EF$5</f>
        <v>% Chg</v>
      </c>
      <c r="EG283" s="571" t="str">
        <f>+EG$5</f>
        <v>2020E</v>
      </c>
      <c r="EH283" s="572" t="str">
        <f>EH$5</f>
        <v>% Chg</v>
      </c>
      <c r="EI283" s="571" t="str">
        <f>+EI$5</f>
        <v>2021E</v>
      </c>
      <c r="EJ283" s="572" t="str">
        <f>EJ$5</f>
        <v>% Chg</v>
      </c>
      <c r="EK283" s="571" t="str">
        <f>+EK$5</f>
        <v>2022E</v>
      </c>
      <c r="EL283" s="572" t="str">
        <f>EL$5</f>
        <v>% Chg</v>
      </c>
      <c r="EM283" s="574" t="str">
        <f>EM$5</f>
        <v>(%)</v>
      </c>
      <c r="EN283" s="549"/>
    </row>
    <row r="284" spans="1:144" ht="12.75" hidden="1" customHeight="1" outlineLevel="1" x14ac:dyDescent="0.2">
      <c r="A284" s="575"/>
      <c r="B284" s="580"/>
      <c r="C284" s="577"/>
      <c r="D284" s="580"/>
      <c r="E284" s="577"/>
      <c r="F284" s="580"/>
      <c r="G284" s="577"/>
      <c r="H284" s="580"/>
      <c r="I284" s="577"/>
      <c r="J284" s="580"/>
      <c r="K284" s="577"/>
      <c r="L284" s="580"/>
      <c r="M284" s="577"/>
      <c r="N284" s="580"/>
      <c r="O284" s="577"/>
      <c r="P284" s="580"/>
      <c r="Q284" s="577"/>
      <c r="R284" s="580"/>
      <c r="S284" s="577"/>
      <c r="T284" s="580"/>
      <c r="U284" s="577"/>
      <c r="V284" s="580"/>
      <c r="W284" s="577"/>
      <c r="X284" s="580"/>
      <c r="Y284" s="577"/>
      <c r="Z284" s="580"/>
      <c r="AA284" s="577"/>
      <c r="AB284" s="580"/>
      <c r="AC284" s="577"/>
      <c r="AD284" s="580"/>
      <c r="AE284" s="577"/>
      <c r="AF284" s="580"/>
      <c r="AG284" s="577"/>
      <c r="AH284" s="580"/>
      <c r="AI284" s="577"/>
      <c r="AJ284" s="580"/>
      <c r="AK284" s="577"/>
      <c r="AL284" s="580"/>
      <c r="AM284" s="577"/>
      <c r="AN284" s="580"/>
      <c r="AO284" s="577"/>
      <c r="AP284" s="580"/>
      <c r="AQ284" s="577"/>
      <c r="AR284" s="580"/>
      <c r="AS284" s="577"/>
      <c r="AT284" s="580"/>
      <c r="AU284" s="577"/>
      <c r="AV284" s="580"/>
      <c r="AW284" s="577"/>
      <c r="AX284" s="580"/>
      <c r="AY284" s="577"/>
      <c r="AZ284" s="580"/>
      <c r="BA284" s="577"/>
      <c r="BB284" s="580"/>
      <c r="BC284" s="577"/>
      <c r="BD284" s="580"/>
      <c r="BE284" s="577"/>
      <c r="BF284" s="580"/>
      <c r="BG284" s="577"/>
      <c r="BH284" s="580"/>
      <c r="BI284" s="577"/>
      <c r="BJ284" s="580"/>
      <c r="BK284" s="577"/>
      <c r="BL284" s="580"/>
      <c r="BM284" s="577"/>
      <c r="BN284" s="580"/>
      <c r="BO284" s="577"/>
      <c r="BP284" s="580"/>
      <c r="BQ284" s="577"/>
      <c r="BR284" s="580"/>
      <c r="BS284" s="577"/>
      <c r="BT284" s="580"/>
      <c r="BU284" s="577"/>
      <c r="BV284" s="580"/>
      <c r="BW284" s="577"/>
      <c r="BX284" s="580"/>
      <c r="BY284" s="577"/>
      <c r="BZ284" s="580"/>
      <c r="CA284" s="577"/>
      <c r="CB284" s="580"/>
      <c r="CC284" s="577"/>
      <c r="CD284" s="580"/>
      <c r="CE284" s="577"/>
      <c r="CF284" s="580"/>
      <c r="CG284" s="577"/>
      <c r="CH284" s="580"/>
      <c r="CI284" s="577"/>
      <c r="CJ284" s="580"/>
      <c r="CK284" s="577"/>
      <c r="CL284" s="580"/>
      <c r="CM284" s="577"/>
      <c r="CN284" s="580"/>
      <c r="CO284" s="577"/>
      <c r="CP284" s="580"/>
      <c r="CQ284" s="577"/>
      <c r="CR284" s="580"/>
      <c r="CS284" s="577"/>
      <c r="CT284" s="580"/>
      <c r="CU284" s="577"/>
      <c r="CV284" s="580"/>
      <c r="CW284" s="577"/>
      <c r="CX284" s="580"/>
      <c r="CY284" s="577"/>
      <c r="CZ284" s="580"/>
      <c r="DA284" s="577"/>
      <c r="DB284" s="587"/>
      <c r="DC284" s="580"/>
      <c r="DD284" s="577"/>
      <c r="DE284" s="580"/>
      <c r="DF284" s="577"/>
      <c r="DG284" s="580"/>
      <c r="DH284" s="577"/>
      <c r="DI284" s="580"/>
      <c r="DJ284" s="577"/>
      <c r="DK284" s="580"/>
      <c r="DL284" s="577"/>
      <c r="DM284" s="580"/>
      <c r="DN284" s="577"/>
      <c r="DO284" s="580"/>
      <c r="DP284" s="577"/>
      <c r="DQ284" s="580"/>
      <c r="DR284" s="577"/>
      <c r="DS284" s="580"/>
      <c r="DT284" s="577"/>
      <c r="DU284" s="580"/>
      <c r="DV284" s="577"/>
      <c r="DW284" s="580"/>
      <c r="DX284" s="577"/>
      <c r="DY284" s="580"/>
      <c r="DZ284" s="577"/>
      <c r="EA284" s="580"/>
      <c r="EB284" s="577"/>
      <c r="EC284" s="580"/>
      <c r="ED284" s="577"/>
      <c r="EE284" s="580"/>
      <c r="EF284" s="577"/>
      <c r="EG284" s="580"/>
      <c r="EH284" s="577"/>
      <c r="EI284" s="580"/>
      <c r="EJ284" s="577"/>
      <c r="EK284" s="580"/>
      <c r="EL284" s="577"/>
      <c r="EM284" s="577"/>
    </row>
    <row r="285" spans="1:144" ht="12.75" hidden="1" customHeight="1" outlineLevel="1" x14ac:dyDescent="0.2">
      <c r="A285" s="575" t="s">
        <v>128</v>
      </c>
      <c r="B285" s="580"/>
      <c r="C285" s="577"/>
      <c r="D285" s="580"/>
      <c r="E285" s="577"/>
      <c r="F285" s="580"/>
      <c r="G285" s="577"/>
      <c r="H285" s="580"/>
      <c r="I285" s="577"/>
      <c r="J285" s="580"/>
      <c r="K285" s="577"/>
      <c r="L285" s="580"/>
      <c r="M285" s="577"/>
      <c r="N285" s="580"/>
      <c r="O285" s="577"/>
      <c r="P285" s="580"/>
      <c r="Q285" s="577"/>
      <c r="R285" s="580"/>
      <c r="S285" s="577"/>
      <c r="T285" s="580"/>
      <c r="U285" s="577"/>
      <c r="V285" s="580"/>
      <c r="W285" s="577"/>
      <c r="X285" s="580"/>
      <c r="Y285" s="577"/>
      <c r="Z285" s="580"/>
      <c r="AA285" s="577"/>
      <c r="AB285" s="580"/>
      <c r="AC285" s="577"/>
      <c r="AD285" s="580"/>
      <c r="AE285" s="577"/>
      <c r="AF285" s="580"/>
      <c r="AG285" s="577"/>
      <c r="AH285" s="580"/>
      <c r="AI285" s="577"/>
      <c r="AJ285" s="580"/>
      <c r="AK285" s="577"/>
      <c r="AL285" s="580"/>
      <c r="AM285" s="577"/>
      <c r="AN285" s="580"/>
      <c r="AO285" s="577"/>
      <c r="AP285" s="580"/>
      <c r="AQ285" s="577"/>
      <c r="AR285" s="580"/>
      <c r="AS285" s="577"/>
      <c r="AT285" s="580"/>
      <c r="AU285" s="577"/>
      <c r="AV285" s="580"/>
      <c r="AW285" s="577"/>
      <c r="AX285" s="580"/>
      <c r="AY285" s="577"/>
      <c r="AZ285" s="580"/>
      <c r="BA285" s="577"/>
      <c r="BB285" s="580"/>
      <c r="BC285" s="577"/>
      <c r="BD285" s="580"/>
      <c r="BE285" s="577"/>
      <c r="BF285" s="580"/>
      <c r="BG285" s="577"/>
      <c r="BH285" s="580"/>
      <c r="BI285" s="577"/>
      <c r="BJ285" s="580"/>
      <c r="BK285" s="577"/>
      <c r="BL285" s="580"/>
      <c r="BM285" s="577"/>
      <c r="BN285" s="580"/>
      <c r="BO285" s="577"/>
      <c r="BP285" s="580"/>
      <c r="BQ285" s="577"/>
      <c r="BR285" s="580"/>
      <c r="BS285" s="577"/>
      <c r="BT285" s="580"/>
      <c r="BU285" s="577"/>
      <c r="BV285" s="580"/>
      <c r="BW285" s="577"/>
      <c r="BX285" s="580"/>
      <c r="BY285" s="577"/>
      <c r="BZ285" s="580"/>
      <c r="CA285" s="577"/>
      <c r="CB285" s="580"/>
      <c r="CC285" s="577"/>
      <c r="CD285" s="580"/>
      <c r="CE285" s="577"/>
      <c r="CF285" s="580"/>
      <c r="CG285" s="577"/>
      <c r="CH285" s="580"/>
      <c r="CI285" s="577"/>
      <c r="CJ285" s="580"/>
      <c r="CK285" s="577"/>
      <c r="CL285" s="580"/>
      <c r="CM285" s="577"/>
      <c r="CN285" s="580"/>
      <c r="CO285" s="577"/>
      <c r="CP285" s="580"/>
      <c r="CQ285" s="577"/>
      <c r="CR285" s="580"/>
      <c r="CS285" s="577"/>
      <c r="CT285" s="580"/>
      <c r="CU285" s="577"/>
      <c r="CV285" s="580"/>
      <c r="CW285" s="577"/>
      <c r="CX285" s="580"/>
      <c r="CY285" s="577"/>
      <c r="CZ285" s="580"/>
      <c r="DA285" s="577"/>
      <c r="DB285" s="587"/>
      <c r="DC285" s="580"/>
      <c r="DD285" s="577"/>
      <c r="DE285" s="580"/>
      <c r="DF285" s="577"/>
      <c r="DG285" s="580"/>
      <c r="DH285" s="577"/>
      <c r="DI285" s="580"/>
      <c r="DJ285" s="577"/>
      <c r="DK285" s="580"/>
      <c r="DL285" s="577"/>
      <c r="DM285" s="580"/>
      <c r="DN285" s="577"/>
      <c r="DO285" s="580"/>
      <c r="DP285" s="577"/>
      <c r="DQ285" s="580"/>
      <c r="DR285" s="577"/>
      <c r="DS285" s="580"/>
      <c r="DT285" s="577"/>
      <c r="DU285" s="580"/>
      <c r="DV285" s="577"/>
      <c r="DW285" s="580"/>
      <c r="DX285" s="577"/>
      <c r="DY285" s="580"/>
      <c r="DZ285" s="577"/>
      <c r="EA285" s="580"/>
      <c r="EB285" s="577"/>
      <c r="EC285" s="580"/>
      <c r="ED285" s="577"/>
      <c r="EE285" s="580"/>
      <c r="EF285" s="577"/>
      <c r="EG285" s="580"/>
      <c r="EH285" s="577"/>
      <c r="EI285" s="580"/>
      <c r="EJ285" s="577"/>
      <c r="EK285" s="580"/>
      <c r="EL285" s="577"/>
      <c r="EM285" s="577"/>
    </row>
    <row r="286" spans="1:144" ht="12.75" hidden="1" customHeight="1" outlineLevel="1" x14ac:dyDescent="0.2">
      <c r="A286" s="579" t="str">
        <f>+INPUT!B301</f>
        <v>Net Investment Income</v>
      </c>
      <c r="B286" s="580">
        <f>+INPUT!AY301</f>
        <v>39</v>
      </c>
      <c r="C286" s="577">
        <f>+INPUT!AZ301</f>
        <v>44.444444444444429</v>
      </c>
      <c r="D286" s="580">
        <f>+INPUT!BA301</f>
        <v>37</v>
      </c>
      <c r="E286" s="577" t="str">
        <f>+INPUT!BB301</f>
        <v>NM</v>
      </c>
      <c r="F286" s="580">
        <f>+INPUT!BC301</f>
        <v>48</v>
      </c>
      <c r="G286" s="577">
        <f>+INPUT!BD301</f>
        <v>45.454545454545467</v>
      </c>
      <c r="H286" s="580">
        <f>+INPUT!BE301</f>
        <v>46</v>
      </c>
      <c r="I286" s="577">
        <f>+INPUT!BF301</f>
        <v>53.333333333333343</v>
      </c>
      <c r="J286" s="580">
        <f>+INPUT!BG301</f>
        <v>40</v>
      </c>
      <c r="K286" s="577">
        <f>+INPUT!BH301</f>
        <v>2.564102564102555</v>
      </c>
      <c r="L286" s="580">
        <f>+INPUT!BI301</f>
        <v>62</v>
      </c>
      <c r="M286" s="577">
        <f>+INPUT!BJ301</f>
        <v>67.567567567567579</v>
      </c>
      <c r="N286" s="580">
        <f>+INPUT!BK301</f>
        <v>44</v>
      </c>
      <c r="O286" s="577">
        <f>+INPUT!BL301</f>
        <v>-8.3333333333333428</v>
      </c>
      <c r="P286" s="580">
        <f>+INPUT!BM301</f>
        <v>70</v>
      </c>
      <c r="Q286" s="577">
        <f>+INPUT!BN301</f>
        <v>52.173913043478279</v>
      </c>
      <c r="R286" s="580">
        <f>+INPUT!BO301</f>
        <v>71</v>
      </c>
      <c r="S286" s="577">
        <f>+INPUT!BP301</f>
        <v>77.5</v>
      </c>
      <c r="T286" s="580">
        <f>+INPUT!BQ301</f>
        <v>96</v>
      </c>
      <c r="U286" s="577">
        <f>+INPUT!BR301</f>
        <v>54.838709677419359</v>
      </c>
      <c r="V286" s="580">
        <f>+INPUT!BS301</f>
        <v>-15</v>
      </c>
      <c r="W286" s="577" t="str">
        <f>+INPUT!BT301</f>
        <v>NM</v>
      </c>
      <c r="X286" s="580">
        <f>+INPUT!BU301</f>
        <v>-67</v>
      </c>
      <c r="Y286" s="577" t="str">
        <f>+INPUT!BV301</f>
        <v>NM</v>
      </c>
      <c r="Z286" s="580">
        <f>+INPUT!BW301</f>
        <v>11</v>
      </c>
      <c r="AA286" s="577" t="str">
        <f>+INPUT!BX301</f>
        <v>NM</v>
      </c>
      <c r="AB286" s="580">
        <f>+INPUT!BY301</f>
        <v>32</v>
      </c>
      <c r="AC286" s="577" t="str">
        <f>+INPUT!BZ301</f>
        <v>NM</v>
      </c>
      <c r="AD286" s="580">
        <f>+INPUT!CA301</f>
        <v>13</v>
      </c>
      <c r="AE286" s="577" t="str">
        <f>+INPUT!CB301</f>
        <v>NM</v>
      </c>
      <c r="AF286" s="580">
        <f>+INPUT!CC301</f>
        <v>34</v>
      </c>
      <c r="AG286" s="577" t="str">
        <f>+INPUT!CD301</f>
        <v>NM</v>
      </c>
      <c r="AH286" s="580">
        <f>+INPUT!CE301</f>
        <v>24</v>
      </c>
      <c r="AI286" s="577" t="str">
        <f>+INPUT!CF301</f>
        <v>NM</v>
      </c>
      <c r="AJ286" s="580">
        <f>+INPUT!CG301</f>
        <v>29</v>
      </c>
      <c r="AK286" s="577">
        <f>+INPUT!CH301</f>
        <v>-9.375</v>
      </c>
      <c r="AL286" s="580">
        <f>+INPUT!CI301</f>
        <v>31</v>
      </c>
      <c r="AM286" s="577" t="str">
        <f>+INPUT!CJ301</f>
        <v>NM</v>
      </c>
      <c r="AN286" s="580">
        <f>+INPUT!CK301</f>
        <v>37</v>
      </c>
      <c r="AO286" s="577">
        <f>+INPUT!CL301</f>
        <v>8.8235294117646959</v>
      </c>
      <c r="AP286" s="580">
        <f>+INPUT!CM301</f>
        <v>38</v>
      </c>
      <c r="AQ286" s="577">
        <f>+INPUT!CN301</f>
        <v>58.333333333333314</v>
      </c>
      <c r="AR286" s="580">
        <f>+INPUT!CO301</f>
        <v>32</v>
      </c>
      <c r="AS286" s="577">
        <f>+INPUT!CP301</f>
        <v>10.34482758620689</v>
      </c>
      <c r="AT286" s="580">
        <f>+INPUT!CQ301</f>
        <v>18</v>
      </c>
      <c r="AU286" s="577">
        <f>+INPUT!CR301</f>
        <v>-41.935483870967737</v>
      </c>
      <c r="AV286" s="580">
        <f>+INPUT!CS301</f>
        <v>32</v>
      </c>
      <c r="AW286" s="577">
        <f>+INPUT!CT301</f>
        <v>-13.513513513513516</v>
      </c>
      <c r="AX286" s="580">
        <f>+INPUT!CU301</f>
        <v>23</v>
      </c>
      <c r="AY286" s="577">
        <f>+INPUT!CV301</f>
        <v>-39.473684210526315</v>
      </c>
      <c r="AZ286" s="580">
        <f>+INPUT!CW301</f>
        <v>15</v>
      </c>
      <c r="BA286" s="577" t="str">
        <f>+INPUT!CX301</f>
        <v>NM</v>
      </c>
      <c r="BB286" s="580">
        <f>+INPUT!CY301</f>
        <v>38</v>
      </c>
      <c r="BC286" s="577" t="str">
        <f>+INPUT!CZ301</f>
        <v>NM</v>
      </c>
      <c r="BD286" s="580">
        <f>+INPUT!DA301</f>
        <v>31</v>
      </c>
      <c r="BE286" s="577">
        <f>+INPUT!DB301</f>
        <v>-3.125</v>
      </c>
      <c r="BF286" s="580">
        <f>+INPUT!DC301</f>
        <v>18</v>
      </c>
      <c r="BG286" s="577">
        <f>+INPUT!DD301</f>
        <v>-21.739130434782609</v>
      </c>
      <c r="BH286" s="580">
        <f>+INPUT!DE301</f>
        <v>20</v>
      </c>
      <c r="BI286" s="577">
        <f>+INPUT!DF301</f>
        <v>33.333333333333314</v>
      </c>
      <c r="BJ286" s="580">
        <f>+INPUT!DG301</f>
        <v>22</v>
      </c>
      <c r="BK286" s="577">
        <f>+INPUT!DH301</f>
        <v>-42.105263157894733</v>
      </c>
      <c r="BL286" s="580">
        <f>+INPUT!DI301</f>
        <v>27</v>
      </c>
      <c r="BM286" s="577">
        <f>+INPUT!DJ301</f>
        <v>-12.903225806451616</v>
      </c>
      <c r="BN286" s="580">
        <f>+INPUT!DK301</f>
        <v>24</v>
      </c>
      <c r="BO286" s="577">
        <f>+INPUT!DL301</f>
        <v>33.333333333333314</v>
      </c>
      <c r="BP286" s="580">
        <f>+INPUT!DM301</f>
        <v>21</v>
      </c>
      <c r="BQ286" s="577">
        <f>+INPUT!DN301</f>
        <v>5</v>
      </c>
      <c r="BR286" s="580">
        <f>+INPUT!DO301</f>
        <v>43</v>
      </c>
      <c r="BS286" s="577">
        <f>+INPUT!DP301</f>
        <v>95.454545454545467</v>
      </c>
      <c r="BT286" s="580">
        <f>+INPUT!DQ301</f>
        <v>32</v>
      </c>
      <c r="BU286" s="577">
        <f>+INPUT!DR301</f>
        <v>18.518518518518505</v>
      </c>
      <c r="BV286" s="580">
        <f>+INPUT!DS301</f>
        <v>25</v>
      </c>
      <c r="BW286" s="577">
        <f>+INPUT!DT301</f>
        <v>4.1666666666666714</v>
      </c>
      <c r="BX286" s="580">
        <f>+INPUT!DU301</f>
        <v>36</v>
      </c>
      <c r="BY286" s="577">
        <f>+INPUT!DV301</f>
        <v>71.428571428571416</v>
      </c>
      <c r="BZ286" s="580">
        <f>+INPUT!DW301</f>
        <v>20</v>
      </c>
      <c r="CA286" s="577" t="str">
        <f>+INPUT!DX301</f>
        <v>NM</v>
      </c>
      <c r="CB286" s="580">
        <f>+INPUT!DY301</f>
        <v>30</v>
      </c>
      <c r="CC286" s="577">
        <f>+INPUT!DZ301</f>
        <v>-6.25</v>
      </c>
      <c r="CD286" s="580">
        <f>+INPUT!EA301</f>
        <v>18</v>
      </c>
      <c r="CE286" s="577">
        <f>+INPUT!EB301</f>
        <v>-28</v>
      </c>
      <c r="CF286" s="580">
        <f>+INPUT!EC301</f>
        <v>23</v>
      </c>
      <c r="CG286" s="577">
        <f>+INPUT!ED301</f>
        <v>-36.111111111111114</v>
      </c>
      <c r="CH286" s="580">
        <f>+INPUT!EE301</f>
        <v>19</v>
      </c>
      <c r="CI286" s="577">
        <f>+INPUT!EF301</f>
        <v>-5</v>
      </c>
      <c r="CJ286" s="580">
        <f>+INPUT!EG301</f>
        <v>20</v>
      </c>
      <c r="CK286" s="577">
        <f>+INPUT!EH301</f>
        <v>-33.333333333333343</v>
      </c>
      <c r="CL286" s="580">
        <f>+INPUT!EI301</f>
        <v>32</v>
      </c>
      <c r="CM286" s="577">
        <f>+INPUT!EJ301</f>
        <v>77.777777777777771</v>
      </c>
      <c r="CN286" s="580">
        <f>+INPUT!EK301</f>
        <v>37</v>
      </c>
      <c r="CO286" s="577">
        <f>+INPUT!EL301</f>
        <v>60.869565217391312</v>
      </c>
      <c r="CP286" s="580">
        <f>+INPUT!EM301</f>
        <v>55</v>
      </c>
      <c r="CQ286" s="577" t="str">
        <f>+INPUT!EN301</f>
        <v>NM</v>
      </c>
      <c r="CR286" s="580">
        <f>+INPUT!EO301</f>
        <v>46</v>
      </c>
      <c r="CS286" s="577" t="str">
        <f>+INPUT!EP301</f>
        <v>NM</v>
      </c>
      <c r="CT286" s="580">
        <f>+INPUT!EQ301</f>
        <v>46.23</v>
      </c>
      <c r="CU286" s="577">
        <f>+INPUT!ER301</f>
        <v>44.46875</v>
      </c>
      <c r="CV286" s="580">
        <f>+INPUT!ES301</f>
        <v>46.461149999999989</v>
      </c>
      <c r="CW286" s="577">
        <f>+INPUT!ET301</f>
        <v>25.570675675675631</v>
      </c>
      <c r="CX286" s="580">
        <f>+INPUT!EU301</f>
        <v>46.693455749999984</v>
      </c>
      <c r="CY286" s="577">
        <f>+INPUT!EV301</f>
        <v>-15.102807727272761</v>
      </c>
      <c r="CZ286" s="580">
        <f>+INPUT!EW301</f>
        <v>46.926923028749982</v>
      </c>
      <c r="DA286" s="577">
        <f>+INPUT!EX301</f>
        <v>2.0150500624999523</v>
      </c>
      <c r="DB286" s="580"/>
      <c r="DC286" s="580">
        <f>+INPUT!FP301</f>
        <v>105</v>
      </c>
      <c r="DD286" s="577">
        <f>+INPUT!FQ301</f>
        <v>20.689655172413794</v>
      </c>
      <c r="DE286" s="580">
        <f>+INPUT!FR301</f>
        <v>170</v>
      </c>
      <c r="DF286" s="577">
        <f>+INPUT!FS301</f>
        <v>61.904761904761898</v>
      </c>
      <c r="DG286" s="580">
        <f>+INPUT!FT301</f>
        <v>216</v>
      </c>
      <c r="DH286" s="577">
        <f>+INPUT!FU301</f>
        <v>27.058823529411754</v>
      </c>
      <c r="DI286" s="580">
        <f>+INPUT!FV301</f>
        <v>85</v>
      </c>
      <c r="DJ286" s="577" t="str">
        <f>+INPUT!FW301</f>
        <v>NM</v>
      </c>
      <c r="DK286" s="580">
        <f>+INPUT!FX301</f>
        <v>90</v>
      </c>
      <c r="DL286" s="577">
        <f>+INPUT!FY301</f>
        <v>5.8823529411764781</v>
      </c>
      <c r="DM286" s="580">
        <f>+INPUT!FZ301</f>
        <v>121</v>
      </c>
      <c r="DN286" s="577">
        <f>+INPUT!GA301</f>
        <v>34.444444444444457</v>
      </c>
      <c r="DO286" s="580">
        <f>+INPUT!GB301</f>
        <v>120</v>
      </c>
      <c r="DP286" s="577">
        <f>+INPUT!GC301</f>
        <v>-0.8264462809917319</v>
      </c>
      <c r="DQ286" s="580">
        <f>+INPUT!GD301</f>
        <v>107</v>
      </c>
      <c r="DR286" s="577">
        <f>+INPUT!GE301</f>
        <v>-10.833333333333329</v>
      </c>
      <c r="DS286" s="580">
        <f>+INPUT!GF301</f>
        <v>87</v>
      </c>
      <c r="DT286" s="577">
        <f>+INPUT!GG301</f>
        <v>-18.691588785046733</v>
      </c>
      <c r="DU286" s="580">
        <f>+INPUT!GH301</f>
        <v>120</v>
      </c>
      <c r="DV286" s="577">
        <f>+INPUT!GI301</f>
        <v>37.931034482758633</v>
      </c>
      <c r="DW286" s="580">
        <f>+INPUT!GJ301</f>
        <v>111</v>
      </c>
      <c r="DX286" s="577">
        <f>+INPUT!GK301</f>
        <v>-7.5</v>
      </c>
      <c r="DY286" s="580">
        <f>+INPUT!GL301</f>
        <v>80</v>
      </c>
      <c r="DZ286" s="577">
        <f>+INPUT!GM301</f>
        <v>-27.927927927927925</v>
      </c>
      <c r="EA286" s="580">
        <f>+INPUT!GN301</f>
        <v>170</v>
      </c>
      <c r="EB286" s="577" t="str">
        <f>+INPUT!GO301</f>
        <v>NM</v>
      </c>
      <c r="EC286" s="580">
        <f>+INPUT!GP301</f>
        <v>186.31152877874996</v>
      </c>
      <c r="ED286" s="577">
        <f>+INPUT!GQ301</f>
        <v>9.5950169286764435</v>
      </c>
      <c r="EE286" s="580">
        <f>+INPUT!GR301</f>
        <v>195.62710521768747</v>
      </c>
      <c r="EF286" s="577">
        <f>+INPUT!GS301</f>
        <v>5</v>
      </c>
      <c r="EG286" s="580">
        <f>+INPUT!GT301</f>
        <v>205.40846047857187</v>
      </c>
      <c r="EH286" s="577">
        <f>+INPUT!GU301</f>
        <v>5</v>
      </c>
      <c r="EI286" s="580">
        <f>+INPUT!GV301</f>
        <v>215.67888350250047</v>
      </c>
      <c r="EJ286" s="577">
        <f>+INPUT!GW301</f>
        <v>5</v>
      </c>
      <c r="EK286" s="580">
        <f>+INPUT!GX301</f>
        <v>226.46282767762551</v>
      </c>
      <c r="EL286" s="577">
        <f>+INPUT!GY301</f>
        <v>5</v>
      </c>
      <c r="EM286" s="577">
        <f>+INPUT!GZ301</f>
        <v>5.9033262673358067</v>
      </c>
    </row>
    <row r="287" spans="1:144" ht="12.75" hidden="1" customHeight="1" outlineLevel="1" x14ac:dyDescent="0.2">
      <c r="A287" s="579" t="str">
        <f>+INPUT!B302</f>
        <v>Commissions, Fees and Other Income</v>
      </c>
      <c r="B287" s="580">
        <f>+INPUT!AY302</f>
        <v>445</v>
      </c>
      <c r="C287" s="577">
        <f>+INPUT!AZ302</f>
        <v>13.81074168797953</v>
      </c>
      <c r="D287" s="580">
        <f>+INPUT!BA302</f>
        <v>418</v>
      </c>
      <c r="E287" s="577">
        <f>+INPUT!BB302</f>
        <v>8.2901554404145088</v>
      </c>
      <c r="F287" s="580">
        <f>+INPUT!BC302</f>
        <v>392</v>
      </c>
      <c r="G287" s="577">
        <f>+INPUT!BD302</f>
        <v>-3.9215686274509807</v>
      </c>
      <c r="H287" s="580">
        <f>+INPUT!BE302</f>
        <v>566</v>
      </c>
      <c r="I287" s="577">
        <f>+INPUT!BF302</f>
        <v>39.408866995073879</v>
      </c>
      <c r="J287" s="580">
        <f>+INPUT!BG302</f>
        <v>505</v>
      </c>
      <c r="K287" s="577">
        <f>+INPUT!BH302</f>
        <v>13.483146067415746</v>
      </c>
      <c r="L287" s="580">
        <f>+INPUT!BI302</f>
        <v>528</v>
      </c>
      <c r="M287" s="577">
        <f>+INPUT!BJ302</f>
        <v>26.315789473684205</v>
      </c>
      <c r="N287" s="580">
        <f>+INPUT!BK302</f>
        <v>514</v>
      </c>
      <c r="O287" s="577">
        <f>+INPUT!BL302</f>
        <v>31.122448979591837</v>
      </c>
      <c r="P287" s="580">
        <f>+INPUT!BM302</f>
        <v>556</v>
      </c>
      <c r="Q287" s="577">
        <f>+INPUT!BN302</f>
        <v>-1.7667844522968181</v>
      </c>
      <c r="R287" s="580">
        <f>+INPUT!BO302</f>
        <v>477</v>
      </c>
      <c r="S287" s="577">
        <f>+INPUT!BP302</f>
        <v>-5.5445544554455495</v>
      </c>
      <c r="T287" s="580">
        <f>+INPUT!BQ302</f>
        <v>468</v>
      </c>
      <c r="U287" s="577">
        <f>+INPUT!BR302</f>
        <v>-11.36363636363636</v>
      </c>
      <c r="V287" s="580">
        <f>+INPUT!BS302</f>
        <v>360</v>
      </c>
      <c r="W287" s="577">
        <f>+INPUT!BT302</f>
        <v>-29.961089494163431</v>
      </c>
      <c r="X287" s="580">
        <f>+INPUT!BU302</f>
        <v>296</v>
      </c>
      <c r="Y287" s="577">
        <f>+INPUT!BV302</f>
        <v>-46.762589928057551</v>
      </c>
      <c r="Z287" s="580">
        <f>+INPUT!BW302</f>
        <v>252</v>
      </c>
      <c r="AA287" s="577">
        <f>+INPUT!BX302</f>
        <v>-47.169811320754718</v>
      </c>
      <c r="AB287" s="580">
        <f>+INPUT!BY302</f>
        <v>310</v>
      </c>
      <c r="AC287" s="577">
        <f>+INPUT!BZ302</f>
        <v>-33.760683760683762</v>
      </c>
      <c r="AD287" s="580">
        <f>+INPUT!CA302</f>
        <v>278</v>
      </c>
      <c r="AE287" s="577">
        <f>+INPUT!CB302</f>
        <v>-22.777777777777771</v>
      </c>
      <c r="AF287" s="580">
        <f>+INPUT!CC302</f>
        <v>327</v>
      </c>
      <c r="AG287" s="577">
        <f>+INPUT!CD302</f>
        <v>10.472972972972983</v>
      </c>
      <c r="AH287" s="580">
        <f>+INPUT!CE302</f>
        <v>355</v>
      </c>
      <c r="AI287" s="577">
        <f>+INPUT!CF302</f>
        <v>40.873015873015873</v>
      </c>
      <c r="AJ287" s="580">
        <f>+INPUT!CG302</f>
        <v>465</v>
      </c>
      <c r="AK287" s="577">
        <f>+INPUT!CH302</f>
        <v>50</v>
      </c>
      <c r="AL287" s="580">
        <f>+INPUT!CI302</f>
        <v>462</v>
      </c>
      <c r="AM287" s="577">
        <f>+INPUT!CJ302</f>
        <v>66.187050359712231</v>
      </c>
      <c r="AN287" s="580">
        <f>+INPUT!CK302</f>
        <v>485</v>
      </c>
      <c r="AO287" s="577">
        <f>+INPUT!CL302</f>
        <v>48.318042813455662</v>
      </c>
      <c r="AP287" s="580">
        <f>+INPUT!CM302</f>
        <v>510</v>
      </c>
      <c r="AQ287" s="577">
        <f>+INPUT!CN302</f>
        <v>43.661971830985919</v>
      </c>
      <c r="AR287" s="580">
        <f>+INPUT!CO302</f>
        <v>624</v>
      </c>
      <c r="AS287" s="577">
        <f>+INPUT!CP302</f>
        <v>34.193548387096797</v>
      </c>
      <c r="AT287" s="580">
        <f>+INPUT!CQ302</f>
        <v>495</v>
      </c>
      <c r="AU287" s="577">
        <f>+INPUT!CR302</f>
        <v>7.1428571428571388</v>
      </c>
      <c r="AV287" s="580">
        <f>+INPUT!CS302</f>
        <v>681</v>
      </c>
      <c r="AW287" s="577">
        <f>+INPUT!CT302</f>
        <v>40.412371134020617</v>
      </c>
      <c r="AX287" s="580">
        <f>+INPUT!CU302</f>
        <v>540</v>
      </c>
      <c r="AY287" s="577">
        <f>+INPUT!CV302</f>
        <v>5.8823529411764781</v>
      </c>
      <c r="AZ287" s="580">
        <f>+INPUT!CW302</f>
        <v>481</v>
      </c>
      <c r="BA287" s="577">
        <f>+INPUT!CX302</f>
        <v>-22.916666666666657</v>
      </c>
      <c r="BB287" s="580">
        <f>+INPUT!CY302</f>
        <v>594</v>
      </c>
      <c r="BC287" s="577">
        <f>+INPUT!CZ302</f>
        <v>20</v>
      </c>
      <c r="BD287" s="580">
        <f>+INPUT!DA302</f>
        <v>654</v>
      </c>
      <c r="BE287" s="577">
        <f>+INPUT!DB302</f>
        <v>-3.9647577092511028</v>
      </c>
      <c r="BF287" s="580">
        <f>+INPUT!DC302</f>
        <v>624</v>
      </c>
      <c r="BG287" s="577">
        <f>+INPUT!DD302</f>
        <v>15.555555555555543</v>
      </c>
      <c r="BH287" s="580">
        <f>+INPUT!DE302</f>
        <v>642</v>
      </c>
      <c r="BI287" s="577">
        <f>+INPUT!DF302</f>
        <v>33.471933471933482</v>
      </c>
      <c r="BJ287" s="580">
        <f>+INPUT!DG302</f>
        <v>627</v>
      </c>
      <c r="BK287" s="577">
        <f>+INPUT!DH302</f>
        <v>5.5555555555555571</v>
      </c>
      <c r="BL287" s="580">
        <f>+INPUT!DI302</f>
        <v>698</v>
      </c>
      <c r="BM287" s="577">
        <f>+INPUT!DJ302</f>
        <v>6.7278287461773658</v>
      </c>
      <c r="BN287" s="580">
        <f>+INPUT!DK302</f>
        <v>643</v>
      </c>
      <c r="BO287" s="577">
        <f>+INPUT!DL302</f>
        <v>3.0448717948717814</v>
      </c>
      <c r="BP287" s="580">
        <f>+INPUT!DM302</f>
        <v>692</v>
      </c>
      <c r="BQ287" s="577">
        <f>+INPUT!DN302</f>
        <v>7.7881619937694637</v>
      </c>
      <c r="BR287" s="580">
        <f>+INPUT!DO302</f>
        <v>678</v>
      </c>
      <c r="BS287" s="577">
        <f>+INPUT!DP302</f>
        <v>8.1339712918660325</v>
      </c>
      <c r="BT287" s="580">
        <f>+INPUT!DQ302</f>
        <v>707</v>
      </c>
      <c r="BU287" s="577">
        <f>+INPUT!DR302</f>
        <v>1.2893982808023026</v>
      </c>
      <c r="BV287" s="580">
        <f>+INPUT!DS302</f>
        <v>708</v>
      </c>
      <c r="BW287" s="577">
        <f>+INPUT!DT302</f>
        <v>10.108864696734059</v>
      </c>
      <c r="BX287" s="580">
        <f>+INPUT!DU302</f>
        <v>740</v>
      </c>
      <c r="BY287" s="577">
        <f>+INPUT!DV302</f>
        <v>6.9364161849710939</v>
      </c>
      <c r="BZ287" s="580">
        <f>+INPUT!DW302</f>
        <v>684</v>
      </c>
      <c r="CA287" s="577">
        <f>+INPUT!DX302</f>
        <v>0.88495575221239164</v>
      </c>
      <c r="CB287" s="580">
        <f>+INPUT!DY302</f>
        <v>701</v>
      </c>
      <c r="CC287" s="577">
        <f>+INPUT!DZ302</f>
        <v>-0.84865629420085043</v>
      </c>
      <c r="CD287" s="580">
        <f>+INPUT!EA302</f>
        <v>688</v>
      </c>
      <c r="CE287" s="577">
        <f>+INPUT!EB302</f>
        <v>-2.8248587570621453</v>
      </c>
      <c r="CF287" s="580">
        <f>+INPUT!EC302</f>
        <v>709</v>
      </c>
      <c r="CG287" s="577">
        <f>+INPUT!ED302</f>
        <v>-4.189189189189193</v>
      </c>
      <c r="CH287" s="580">
        <f>+INPUT!EE302</f>
        <v>731</v>
      </c>
      <c r="CI287" s="577">
        <f>+INPUT!EF302</f>
        <v>6.8713450292397624</v>
      </c>
      <c r="CJ287" s="580">
        <f>+INPUT!EG302</f>
        <v>753</v>
      </c>
      <c r="CK287" s="577">
        <f>+INPUT!EH302</f>
        <v>7.4179743223965744</v>
      </c>
      <c r="CL287" s="580">
        <f>+INPUT!EI302</f>
        <v>724</v>
      </c>
      <c r="CM287" s="577">
        <f>+INPUT!EJ302</f>
        <v>5.2325581395348877</v>
      </c>
      <c r="CN287" s="580">
        <f>+INPUT!EK302</f>
        <v>750</v>
      </c>
      <c r="CO287" s="577">
        <f>+INPUT!EL302</f>
        <v>5.7827926657263617</v>
      </c>
      <c r="CP287" s="580">
        <f>+INPUT!EM302</f>
        <v>772</v>
      </c>
      <c r="CQ287" s="577">
        <f>+INPUT!EN302</f>
        <v>5.6087551299589506</v>
      </c>
      <c r="CR287" s="580">
        <f>+INPUT!EO302</f>
        <v>939</v>
      </c>
      <c r="CS287" s="577">
        <f>+INPUT!EP302</f>
        <v>24.701195219123505</v>
      </c>
      <c r="CT287" s="580">
        <f>+INPUT!EQ302</f>
        <v>845.96141300000022</v>
      </c>
      <c r="CU287" s="577">
        <f>+INPUT!ER302</f>
        <v>16.845499033149196</v>
      </c>
      <c r="CV287" s="580">
        <f>+INPUT!ES302</f>
        <v>843.64489140935791</v>
      </c>
      <c r="CW287" s="577">
        <f>+INPUT!ET302</f>
        <v>12.485985521247713</v>
      </c>
      <c r="CX287" s="580">
        <f>+INPUT!EU302</f>
        <v>856.53220336721199</v>
      </c>
      <c r="CY287" s="577">
        <f>+INPUT!EV302</f>
        <v>10.949767275545597</v>
      </c>
      <c r="CZ287" s="580">
        <f>+INPUT!EW302</f>
        <v>870.17140990224914</v>
      </c>
      <c r="DA287" s="577">
        <f>+INPUT!EX302</f>
        <v>-7.3299882958201152</v>
      </c>
      <c r="DB287" s="580"/>
      <c r="DC287" s="580">
        <f>+INPUT!FP302</f>
        <v>1591</v>
      </c>
      <c r="DD287" s="577">
        <f>+INPUT!FQ302</f>
        <v>15.541031227305751</v>
      </c>
      <c r="DE287" s="580">
        <f>+INPUT!FR302</f>
        <v>1821</v>
      </c>
      <c r="DF287" s="577">
        <f>+INPUT!FS302</f>
        <v>14.456316781898181</v>
      </c>
      <c r="DG287" s="580">
        <f>+INPUT!FT302</f>
        <v>2103</v>
      </c>
      <c r="DH287" s="577">
        <f>+INPUT!FU302</f>
        <v>15.485996705107084</v>
      </c>
      <c r="DI287" s="580">
        <f>+INPUT!FV302</f>
        <v>1601</v>
      </c>
      <c r="DJ287" s="577">
        <f>+INPUT!FW302</f>
        <v>-23.870660960532575</v>
      </c>
      <c r="DK287" s="580">
        <f>+INPUT!FX302</f>
        <v>1167</v>
      </c>
      <c r="DL287" s="577">
        <f>+INPUT!FY302</f>
        <v>-27.108057464084951</v>
      </c>
      <c r="DM287" s="580">
        <f>+INPUT!FZ302</f>
        <v>1767</v>
      </c>
      <c r="DN287" s="577">
        <f>+INPUT!GA302</f>
        <v>51.413881748071987</v>
      </c>
      <c r="DO287" s="580">
        <f>+INPUT!GB302</f>
        <v>2310</v>
      </c>
      <c r="DP287" s="577">
        <f>+INPUT!GC302</f>
        <v>30.73005093378606</v>
      </c>
      <c r="DQ287" s="580">
        <f>+INPUT!GD302</f>
        <v>2269</v>
      </c>
      <c r="DR287" s="577">
        <f>+INPUT!GE302</f>
        <v>-1.7748917748917705</v>
      </c>
      <c r="DS287" s="580">
        <f>+INPUT!GF302</f>
        <v>2591</v>
      </c>
      <c r="DT287" s="577">
        <f>+INPUT!GG302</f>
        <v>14.191273688849719</v>
      </c>
      <c r="DU287" s="580">
        <f>+INPUT!GH302</f>
        <v>2720</v>
      </c>
      <c r="DV287" s="577">
        <f>+INPUT!GI302</f>
        <v>4.9787726746429968</v>
      </c>
      <c r="DW287" s="580">
        <f>+INPUT!GJ302</f>
        <v>2833</v>
      </c>
      <c r="DX287" s="577">
        <f>+INPUT!GK302</f>
        <v>4.154411764705884</v>
      </c>
      <c r="DY287" s="580">
        <f>+INPUT!GL302</f>
        <v>2881</v>
      </c>
      <c r="DZ287" s="577">
        <f>+INPUT!GM302</f>
        <v>1.6943169784680521</v>
      </c>
      <c r="EA287" s="580">
        <f>+INPUT!GN302</f>
        <v>3185</v>
      </c>
      <c r="EB287" s="577">
        <f>+INPUT!GO302</f>
        <v>10.551891704269352</v>
      </c>
      <c r="EC287" s="580">
        <f>+INPUT!GP302</f>
        <v>3416.3099176788191</v>
      </c>
      <c r="ED287" s="577">
        <f>+INPUT!GQ302</f>
        <v>7.2624777921136427</v>
      </c>
      <c r="EE287" s="580">
        <f>+INPUT!GR302</f>
        <v>3606.9110583596548</v>
      </c>
      <c r="EF287" s="577">
        <f>+INPUT!GS302</f>
        <v>5.5791525146622973</v>
      </c>
      <c r="EG287" s="580">
        <f>+INPUT!GT302</f>
        <v>3769.6692298432217</v>
      </c>
      <c r="EH287" s="577">
        <f>+INPUT!GU302</f>
        <v>4.5123976957054595</v>
      </c>
      <c r="EI287" s="580">
        <f>+INPUT!GV302</f>
        <v>3931.4891012084863</v>
      </c>
      <c r="EJ287" s="577">
        <f>+INPUT!GW302</f>
        <v>4.2926809090885172</v>
      </c>
      <c r="EK287" s="580">
        <f>+INPUT!GX302</f>
        <v>4047.6936379080335</v>
      </c>
      <c r="EL287" s="577">
        <f>+INPUT!GY302</f>
        <v>2.9557384926700507</v>
      </c>
      <c r="EM287" s="577">
        <f>+INPUT!GZ302</f>
        <v>4.9106649004007519</v>
      </c>
    </row>
    <row r="288" spans="1:144" ht="12.75" hidden="1" customHeight="1" outlineLevel="1" x14ac:dyDescent="0.2">
      <c r="A288" s="575" t="str">
        <f>+INPUT!B303</f>
        <v xml:space="preserve"> Total Revenues</v>
      </c>
      <c r="B288" s="580">
        <f>+INPUT!AY303</f>
        <v>484</v>
      </c>
      <c r="C288" s="577">
        <f>+INPUT!AZ303</f>
        <v>15.789473684210535</v>
      </c>
      <c r="D288" s="580">
        <f>+INPUT!BA303</f>
        <v>455</v>
      </c>
      <c r="E288" s="577">
        <f>+INPUT!BB303</f>
        <v>13.466334164588531</v>
      </c>
      <c r="F288" s="580">
        <f>+INPUT!BC303</f>
        <v>440</v>
      </c>
      <c r="G288" s="577">
        <f>+INPUT!BD303</f>
        <v>-0.22675736961451776</v>
      </c>
      <c r="H288" s="580">
        <f>+INPUT!BE303</f>
        <v>612</v>
      </c>
      <c r="I288" s="577">
        <f>+INPUT!BF303</f>
        <v>40.366972477064223</v>
      </c>
      <c r="J288" s="580">
        <f>+INPUT!BG303</f>
        <v>545</v>
      </c>
      <c r="K288" s="577">
        <f>+INPUT!BH303</f>
        <v>12.603305785123965</v>
      </c>
      <c r="L288" s="580">
        <f>+INPUT!BI303</f>
        <v>590</v>
      </c>
      <c r="M288" s="577">
        <f>+INPUT!BJ303</f>
        <v>29.670329670329664</v>
      </c>
      <c r="N288" s="580">
        <f>+INPUT!BK303</f>
        <v>558</v>
      </c>
      <c r="O288" s="577">
        <f>+INPUT!BL303</f>
        <v>26.818181818181813</v>
      </c>
      <c r="P288" s="580">
        <f>+INPUT!BM303</f>
        <v>626</v>
      </c>
      <c r="Q288" s="577">
        <f>+INPUT!BN303</f>
        <v>2.28758169934639</v>
      </c>
      <c r="R288" s="580">
        <f>+INPUT!BO303</f>
        <v>548</v>
      </c>
      <c r="S288" s="577">
        <f>+INPUT!BP303</f>
        <v>0.55045871559633497</v>
      </c>
      <c r="T288" s="580">
        <f>+INPUT!BQ303</f>
        <v>564</v>
      </c>
      <c r="U288" s="577">
        <f>+INPUT!BR303</f>
        <v>-4.406779661016941</v>
      </c>
      <c r="V288" s="580">
        <f>+INPUT!BS303</f>
        <v>345</v>
      </c>
      <c r="W288" s="577">
        <f>+INPUT!BT303</f>
        <v>-38.172043010752688</v>
      </c>
      <c r="X288" s="580">
        <f>+INPUT!BU303</f>
        <v>229</v>
      </c>
      <c r="Y288" s="577" t="str">
        <f>+INPUT!BV303</f>
        <v>NM</v>
      </c>
      <c r="Z288" s="580">
        <f>+INPUT!BW303</f>
        <v>263</v>
      </c>
      <c r="AA288" s="577" t="str">
        <f>+INPUT!BX303</f>
        <v>NM</v>
      </c>
      <c r="AB288" s="580">
        <f>+INPUT!BY303</f>
        <v>342</v>
      </c>
      <c r="AC288" s="577">
        <f>+INPUT!BZ303</f>
        <v>-39.361702127659569</v>
      </c>
      <c r="AD288" s="580">
        <f>+INPUT!CA303</f>
        <v>291</v>
      </c>
      <c r="AE288" s="577">
        <f>+INPUT!CB303</f>
        <v>-15.65217391304347</v>
      </c>
      <c r="AF288" s="580">
        <f>+INPUT!CC303</f>
        <v>361</v>
      </c>
      <c r="AG288" s="577">
        <f>+INPUT!CD303</f>
        <v>57.641921397379917</v>
      </c>
      <c r="AH288" s="580">
        <f>+INPUT!CE303</f>
        <v>379</v>
      </c>
      <c r="AI288" s="577">
        <f>+INPUT!CF303</f>
        <v>44.106463878326991</v>
      </c>
      <c r="AJ288" s="580">
        <f>+INPUT!CG303</f>
        <v>494</v>
      </c>
      <c r="AK288" s="577">
        <f>+INPUT!CH303</f>
        <v>44.444444444444429</v>
      </c>
      <c r="AL288" s="580">
        <f>+INPUT!CI303</f>
        <v>493</v>
      </c>
      <c r="AM288" s="577">
        <f>+INPUT!CJ303</f>
        <v>69.415807560137466</v>
      </c>
      <c r="AN288" s="580">
        <f>+INPUT!CK303</f>
        <v>522</v>
      </c>
      <c r="AO288" s="577">
        <f>+INPUT!CL303</f>
        <v>44.5983379501385</v>
      </c>
      <c r="AP288" s="580">
        <f>+INPUT!CM303</f>
        <v>548</v>
      </c>
      <c r="AQ288" s="577">
        <f>+INPUT!CN303</f>
        <v>44.5910290237467</v>
      </c>
      <c r="AR288" s="580">
        <f>+INPUT!CO303</f>
        <v>656</v>
      </c>
      <c r="AS288" s="577">
        <f>+INPUT!CP303</f>
        <v>32.793522267206498</v>
      </c>
      <c r="AT288" s="580">
        <f>+INPUT!CQ303</f>
        <v>513</v>
      </c>
      <c r="AU288" s="577">
        <f>+INPUT!CR303</f>
        <v>4.0567951318458455</v>
      </c>
      <c r="AV288" s="580">
        <f>+INPUT!CS303</f>
        <v>713</v>
      </c>
      <c r="AW288" s="577">
        <f>+INPUT!CT303</f>
        <v>36.59003831417624</v>
      </c>
      <c r="AX288" s="580">
        <f>+INPUT!CU303</f>
        <v>563</v>
      </c>
      <c r="AY288" s="577">
        <f>+INPUT!CV303</f>
        <v>2.7372262773722724</v>
      </c>
      <c r="AZ288" s="580">
        <f>+INPUT!CW303</f>
        <v>496</v>
      </c>
      <c r="BA288" s="577">
        <f>+INPUT!CX303</f>
        <v>-24.390243902439025</v>
      </c>
      <c r="BB288" s="580">
        <f>+INPUT!CY303</f>
        <v>632</v>
      </c>
      <c r="BC288" s="577">
        <f>+INPUT!CZ303</f>
        <v>23.196881091617925</v>
      </c>
      <c r="BD288" s="580">
        <f>+INPUT!DA303</f>
        <v>685</v>
      </c>
      <c r="BE288" s="577">
        <f>+INPUT!DB303</f>
        <v>-3.9270687237026607</v>
      </c>
      <c r="BF288" s="580">
        <f>+INPUT!DC303</f>
        <v>642</v>
      </c>
      <c r="BG288" s="577">
        <f>+INPUT!DD303</f>
        <v>14.031971580817057</v>
      </c>
      <c r="BH288" s="580">
        <f>+INPUT!DE303</f>
        <v>662</v>
      </c>
      <c r="BI288" s="577">
        <f>+INPUT!DF303</f>
        <v>33.467741935483872</v>
      </c>
      <c r="BJ288" s="580">
        <f>+INPUT!DG303</f>
        <v>649</v>
      </c>
      <c r="BK288" s="577">
        <f>+INPUT!DH303</f>
        <v>2.6898734177215147</v>
      </c>
      <c r="BL288" s="580">
        <f>+INPUT!DI303</f>
        <v>725</v>
      </c>
      <c r="BM288" s="577">
        <f>+INPUT!DJ303</f>
        <v>5.8394160583941499</v>
      </c>
      <c r="BN288" s="580">
        <f>+INPUT!DK303</f>
        <v>667</v>
      </c>
      <c r="BO288" s="577">
        <f>+INPUT!DL303</f>
        <v>3.8940809968847248</v>
      </c>
      <c r="BP288" s="580">
        <f>+INPUT!DM303</f>
        <v>713</v>
      </c>
      <c r="BQ288" s="577">
        <f>+INPUT!DN303</f>
        <v>7.7039274924471215</v>
      </c>
      <c r="BR288" s="580">
        <f>+INPUT!DO303</f>
        <v>721</v>
      </c>
      <c r="BS288" s="577">
        <f>+INPUT!DP303</f>
        <v>11.093990755007695</v>
      </c>
      <c r="BT288" s="580">
        <f>+INPUT!DQ303</f>
        <v>739</v>
      </c>
      <c r="BU288" s="577">
        <f>+INPUT!DR303</f>
        <v>1.9310344827586192</v>
      </c>
      <c r="BV288" s="580">
        <f>+INPUT!DS303</f>
        <v>733</v>
      </c>
      <c r="BW288" s="577">
        <f>+INPUT!DT303</f>
        <v>9.8950524737631156</v>
      </c>
      <c r="BX288" s="580">
        <f>+INPUT!DU303</f>
        <v>776</v>
      </c>
      <c r="BY288" s="577">
        <f>+INPUT!DV303</f>
        <v>8.8359046283309937</v>
      </c>
      <c r="BZ288" s="580">
        <f>+INPUT!DW303</f>
        <v>704</v>
      </c>
      <c r="CA288" s="577">
        <f>+INPUT!DX303</f>
        <v>-2.3578363384188634</v>
      </c>
      <c r="CB288" s="580">
        <f>+INPUT!DY303</f>
        <v>731</v>
      </c>
      <c r="CC288" s="577">
        <f>+INPUT!DZ303</f>
        <v>-1.082543978349122</v>
      </c>
      <c r="CD288" s="580">
        <f>+INPUT!EA303</f>
        <v>706</v>
      </c>
      <c r="CE288" s="577">
        <f>+INPUT!EB303</f>
        <v>-3.6834924965893521</v>
      </c>
      <c r="CF288" s="580">
        <f>+INPUT!EC303</f>
        <v>732</v>
      </c>
      <c r="CG288" s="577">
        <f>+INPUT!ED303</f>
        <v>-5.6701030927835063</v>
      </c>
      <c r="CH288" s="580">
        <f>+INPUT!EE303</f>
        <v>750</v>
      </c>
      <c r="CI288" s="577">
        <f>+INPUT!EF303</f>
        <v>6.5340909090909207</v>
      </c>
      <c r="CJ288" s="580">
        <f>+INPUT!EG303</f>
        <v>773</v>
      </c>
      <c r="CK288" s="577">
        <f>+INPUT!EH303</f>
        <v>5.7455540355677073</v>
      </c>
      <c r="CL288" s="580">
        <f>+INPUT!EI303</f>
        <v>756</v>
      </c>
      <c r="CM288" s="577">
        <f>+INPUT!EJ303</f>
        <v>7.082152974504254</v>
      </c>
      <c r="CN288" s="580">
        <f>+INPUT!EK303</f>
        <v>787</v>
      </c>
      <c r="CO288" s="577">
        <f>+INPUT!EL303</f>
        <v>7.5136612021858014</v>
      </c>
      <c r="CP288" s="580">
        <f>+INPUT!EM303</f>
        <v>827</v>
      </c>
      <c r="CQ288" s="577">
        <f>+INPUT!EN303</f>
        <v>10.266666666666666</v>
      </c>
      <c r="CR288" s="580">
        <f>+INPUT!EO303</f>
        <v>985</v>
      </c>
      <c r="CS288" s="577">
        <f>+INPUT!EP303</f>
        <v>27.425614489003891</v>
      </c>
      <c r="CT288" s="580">
        <f>+INPUT!EQ303</f>
        <v>892.19141300000024</v>
      </c>
      <c r="CU288" s="577">
        <f>+INPUT!ER303</f>
        <v>18.014737169312212</v>
      </c>
      <c r="CV288" s="580">
        <f>+INPUT!ES303</f>
        <v>890.10604140935789</v>
      </c>
      <c r="CW288" s="577">
        <f>+INPUT!ET303</f>
        <v>13.101148844899342</v>
      </c>
      <c r="CX288" s="580">
        <f>+INPUT!EU303</f>
        <v>903.22565911721199</v>
      </c>
      <c r="CY288" s="577">
        <f>+INPUT!EV303</f>
        <v>9.2171292765673485</v>
      </c>
      <c r="CZ288" s="580">
        <f>+INPUT!EW303</f>
        <v>917.09833293099916</v>
      </c>
      <c r="DA288" s="577">
        <f>+INPUT!EX303</f>
        <v>-6.8935702608122682</v>
      </c>
      <c r="DB288" s="580"/>
      <c r="DC288" s="580">
        <f>+INPUT!FP303</f>
        <v>1696</v>
      </c>
      <c r="DD288" s="577">
        <f>+INPUT!FQ303</f>
        <v>15.846994535519116</v>
      </c>
      <c r="DE288" s="580">
        <f>+INPUT!FR303</f>
        <v>1991</v>
      </c>
      <c r="DF288" s="577">
        <f>+INPUT!FS303</f>
        <v>17.393867924528308</v>
      </c>
      <c r="DG288" s="580">
        <f>+INPUT!FT303</f>
        <v>2319</v>
      </c>
      <c r="DH288" s="577">
        <f>+INPUT!FU303</f>
        <v>16.474133601205423</v>
      </c>
      <c r="DI288" s="580">
        <f>+INPUT!FV303</f>
        <v>1686</v>
      </c>
      <c r="DJ288" s="577">
        <f>+INPUT!FW303</f>
        <v>-27.296248382923665</v>
      </c>
      <c r="DK288" s="580">
        <f>+INPUT!FX303</f>
        <v>1257</v>
      </c>
      <c r="DL288" s="577">
        <f>+INPUT!FY303</f>
        <v>-25.444839857651246</v>
      </c>
      <c r="DM288" s="580">
        <f>+INPUT!FZ303</f>
        <v>1888</v>
      </c>
      <c r="DN288" s="577">
        <f>+INPUT!GA303</f>
        <v>50.198886237072401</v>
      </c>
      <c r="DO288" s="580">
        <f>+INPUT!GB303</f>
        <v>2430</v>
      </c>
      <c r="DP288" s="577">
        <f>+INPUT!GC303</f>
        <v>28.707627118644069</v>
      </c>
      <c r="DQ288" s="580">
        <f>+INPUT!GD303</f>
        <v>2376</v>
      </c>
      <c r="DR288" s="577">
        <f>+INPUT!GE303</f>
        <v>-2.2222222222222285</v>
      </c>
      <c r="DS288" s="580">
        <f>+INPUT!GF303</f>
        <v>2678</v>
      </c>
      <c r="DT288" s="577">
        <f>+INPUT!GG303</f>
        <v>12.710437710437716</v>
      </c>
      <c r="DU288" s="580">
        <f>+INPUT!GH303</f>
        <v>2840</v>
      </c>
      <c r="DV288" s="577">
        <f>+INPUT!GI303</f>
        <v>6.0492905153099343</v>
      </c>
      <c r="DW288" s="580">
        <f>+INPUT!GJ303</f>
        <v>2944</v>
      </c>
      <c r="DX288" s="577">
        <f>+INPUT!GK303</f>
        <v>3.6619718309859053</v>
      </c>
      <c r="DY288" s="580">
        <f>+INPUT!GL303</f>
        <v>2961</v>
      </c>
      <c r="DZ288" s="577">
        <f>+INPUT!GM303</f>
        <v>0.57744565217390686</v>
      </c>
      <c r="EA288" s="580">
        <f>+INPUT!GN303</f>
        <v>3355</v>
      </c>
      <c r="EB288" s="577">
        <f>+INPUT!GO303</f>
        <v>13.306315433975001</v>
      </c>
      <c r="EC288" s="580">
        <f>+INPUT!GP303</f>
        <v>3602.6214464575692</v>
      </c>
      <c r="ED288" s="577">
        <f>+INPUT!GQ303</f>
        <v>7.3806690449349901</v>
      </c>
      <c r="EE288" s="580">
        <f>+INPUT!GR303</f>
        <v>3802.5381635773424</v>
      </c>
      <c r="EF288" s="577">
        <f>+INPUT!GS303</f>
        <v>5.5492013271710761</v>
      </c>
      <c r="EG288" s="580">
        <f>+INPUT!GT303</f>
        <v>3975.0776903217934</v>
      </c>
      <c r="EH288" s="577">
        <f>+INPUT!GU303</f>
        <v>4.537483105288004</v>
      </c>
      <c r="EI288" s="580">
        <f>+INPUT!GV303</f>
        <v>4147.1679847109872</v>
      </c>
      <c r="EJ288" s="577">
        <f>+INPUT!GW303</f>
        <v>4.3292309684458701</v>
      </c>
      <c r="EK288" s="580">
        <f>+INPUT!GX303</f>
        <v>4274.1564655856591</v>
      </c>
      <c r="EL288" s="577">
        <f>+INPUT!GY303</f>
        <v>3.0620529803188532</v>
      </c>
      <c r="EM288" s="577">
        <f>+INPUT!GZ303</f>
        <v>4.9618745701216049</v>
      </c>
    </row>
    <row r="289" spans="1:144" ht="12.75" hidden="1" customHeight="1" outlineLevel="1" x14ac:dyDescent="0.2">
      <c r="A289" s="579"/>
      <c r="B289" s="580"/>
      <c r="C289" s="577"/>
      <c r="D289" s="580"/>
      <c r="E289" s="577"/>
      <c r="F289" s="580"/>
      <c r="G289" s="577"/>
      <c r="H289" s="580"/>
      <c r="I289" s="577"/>
      <c r="J289" s="580"/>
      <c r="K289" s="577"/>
      <c r="L289" s="580"/>
      <c r="M289" s="577"/>
      <c r="N289" s="580"/>
      <c r="O289" s="577"/>
      <c r="P289" s="580"/>
      <c r="Q289" s="577"/>
      <c r="R289" s="580"/>
      <c r="S289" s="577"/>
      <c r="T289" s="580"/>
      <c r="U289" s="577"/>
      <c r="V289" s="580"/>
      <c r="W289" s="577"/>
      <c r="X289" s="580"/>
      <c r="Y289" s="577"/>
      <c r="Z289" s="580"/>
      <c r="AA289" s="577"/>
      <c r="AB289" s="580"/>
      <c r="AC289" s="577"/>
      <c r="AD289" s="580"/>
      <c r="AE289" s="577"/>
      <c r="AF289" s="580"/>
      <c r="AG289" s="577"/>
      <c r="AH289" s="580"/>
      <c r="AI289" s="577"/>
      <c r="AJ289" s="580"/>
      <c r="AK289" s="577"/>
      <c r="AL289" s="580"/>
      <c r="AM289" s="577"/>
      <c r="AN289" s="580"/>
      <c r="AO289" s="577"/>
      <c r="AP289" s="580"/>
      <c r="AQ289" s="577"/>
      <c r="AR289" s="580"/>
      <c r="AS289" s="577"/>
      <c r="AT289" s="580"/>
      <c r="AU289" s="577"/>
      <c r="AV289" s="580"/>
      <c r="AW289" s="577"/>
      <c r="AX289" s="580"/>
      <c r="AY289" s="577"/>
      <c r="AZ289" s="580"/>
      <c r="BA289" s="577"/>
      <c r="BB289" s="580"/>
      <c r="BC289" s="577"/>
      <c r="BD289" s="580"/>
      <c r="BE289" s="577"/>
      <c r="BF289" s="580"/>
      <c r="BG289" s="577"/>
      <c r="BH289" s="580"/>
      <c r="BI289" s="577"/>
      <c r="BJ289" s="580"/>
      <c r="BK289" s="577"/>
      <c r="BL289" s="580"/>
      <c r="BM289" s="577"/>
      <c r="BN289" s="580"/>
      <c r="BO289" s="577"/>
      <c r="BP289" s="580"/>
      <c r="BQ289" s="577"/>
      <c r="BR289" s="580"/>
      <c r="BS289" s="577"/>
      <c r="BT289" s="580"/>
      <c r="BU289" s="577"/>
      <c r="BV289" s="580"/>
      <c r="BW289" s="577"/>
      <c r="BX289" s="580"/>
      <c r="BY289" s="577"/>
      <c r="BZ289" s="580"/>
      <c r="CA289" s="577"/>
      <c r="CB289" s="580"/>
      <c r="CC289" s="577"/>
      <c r="CD289" s="580"/>
      <c r="CE289" s="577"/>
      <c r="CF289" s="580"/>
      <c r="CG289" s="577"/>
      <c r="CH289" s="580"/>
      <c r="CI289" s="577"/>
      <c r="CJ289" s="580"/>
      <c r="CK289" s="577"/>
      <c r="CL289" s="580"/>
      <c r="CM289" s="577"/>
      <c r="CN289" s="580"/>
      <c r="CO289" s="577"/>
      <c r="CP289" s="580"/>
      <c r="CQ289" s="577"/>
      <c r="CR289" s="580"/>
      <c r="CS289" s="577"/>
      <c r="CT289" s="580"/>
      <c r="CU289" s="577"/>
      <c r="CV289" s="580"/>
      <c r="CW289" s="577"/>
      <c r="CX289" s="580"/>
      <c r="CY289" s="577"/>
      <c r="CZ289" s="580"/>
      <c r="DA289" s="577"/>
      <c r="DB289" s="580"/>
      <c r="DC289" s="580"/>
      <c r="DD289" s="577"/>
      <c r="DE289" s="580"/>
      <c r="DF289" s="577"/>
      <c r="DG289" s="580"/>
      <c r="DH289" s="577"/>
      <c r="DI289" s="580"/>
      <c r="DJ289" s="577"/>
      <c r="DK289" s="580"/>
      <c r="DL289" s="577"/>
      <c r="DM289" s="580"/>
      <c r="DN289" s="577"/>
      <c r="DO289" s="580"/>
      <c r="DP289" s="577"/>
      <c r="DQ289" s="580"/>
      <c r="DR289" s="577"/>
      <c r="DS289" s="580"/>
      <c r="DT289" s="577"/>
      <c r="DU289" s="580"/>
      <c r="DV289" s="577"/>
      <c r="DW289" s="580"/>
      <c r="DX289" s="577"/>
      <c r="DY289" s="580"/>
      <c r="DZ289" s="577"/>
      <c r="EA289" s="580"/>
      <c r="EB289" s="577"/>
      <c r="EC289" s="580"/>
      <c r="ED289" s="577"/>
      <c r="EE289" s="580"/>
      <c r="EF289" s="577"/>
      <c r="EG289" s="580"/>
      <c r="EH289" s="577"/>
      <c r="EI289" s="580"/>
      <c r="EJ289" s="577"/>
      <c r="EK289" s="580"/>
      <c r="EL289" s="577"/>
      <c r="EM289" s="577"/>
    </row>
    <row r="290" spans="1:144" ht="12.75" hidden="1" customHeight="1" outlineLevel="1" x14ac:dyDescent="0.2">
      <c r="A290" s="575" t="s">
        <v>129</v>
      </c>
      <c r="B290" s="580"/>
      <c r="C290" s="577"/>
      <c r="D290" s="580"/>
      <c r="E290" s="577"/>
      <c r="F290" s="580"/>
      <c r="G290" s="577"/>
      <c r="H290" s="580"/>
      <c r="I290" s="577"/>
      <c r="J290" s="580"/>
      <c r="K290" s="577"/>
      <c r="L290" s="580"/>
      <c r="M290" s="577"/>
      <c r="N290" s="580"/>
      <c r="O290" s="577"/>
      <c r="P290" s="580"/>
      <c r="Q290" s="577"/>
      <c r="R290" s="580"/>
      <c r="S290" s="577"/>
      <c r="T290" s="580"/>
      <c r="U290" s="577"/>
      <c r="V290" s="580"/>
      <c r="W290" s="577"/>
      <c r="X290" s="580"/>
      <c r="Y290" s="577"/>
      <c r="Z290" s="580"/>
      <c r="AA290" s="577"/>
      <c r="AB290" s="580"/>
      <c r="AC290" s="577"/>
      <c r="AD290" s="580"/>
      <c r="AE290" s="577"/>
      <c r="AF290" s="580"/>
      <c r="AG290" s="577"/>
      <c r="AH290" s="580"/>
      <c r="AI290" s="577"/>
      <c r="AJ290" s="580"/>
      <c r="AK290" s="577"/>
      <c r="AL290" s="580"/>
      <c r="AM290" s="577"/>
      <c r="AN290" s="580"/>
      <c r="AO290" s="577"/>
      <c r="AP290" s="580"/>
      <c r="AQ290" s="577"/>
      <c r="AR290" s="580"/>
      <c r="AS290" s="577"/>
      <c r="AT290" s="580"/>
      <c r="AU290" s="577"/>
      <c r="AV290" s="580"/>
      <c r="AW290" s="577"/>
      <c r="AX290" s="580"/>
      <c r="AY290" s="577"/>
      <c r="AZ290" s="580"/>
      <c r="BA290" s="577"/>
      <c r="BB290" s="580"/>
      <c r="BC290" s="577"/>
      <c r="BD290" s="580"/>
      <c r="BE290" s="577"/>
      <c r="BF290" s="580"/>
      <c r="BG290" s="577"/>
      <c r="BH290" s="580"/>
      <c r="BI290" s="577"/>
      <c r="BJ290" s="580"/>
      <c r="BK290" s="577"/>
      <c r="BL290" s="580"/>
      <c r="BM290" s="577"/>
      <c r="BN290" s="580"/>
      <c r="BO290" s="577"/>
      <c r="BP290" s="580"/>
      <c r="BQ290" s="577"/>
      <c r="BR290" s="580"/>
      <c r="BS290" s="577"/>
      <c r="BT290" s="580"/>
      <c r="BU290" s="577"/>
      <c r="BV290" s="580"/>
      <c r="BW290" s="577"/>
      <c r="BX290" s="580"/>
      <c r="BY290" s="577"/>
      <c r="BZ290" s="580"/>
      <c r="CA290" s="577"/>
      <c r="CB290" s="580"/>
      <c r="CC290" s="577"/>
      <c r="CD290" s="580"/>
      <c r="CE290" s="577"/>
      <c r="CF290" s="580"/>
      <c r="CG290" s="577"/>
      <c r="CH290" s="580"/>
      <c r="CI290" s="577"/>
      <c r="CJ290" s="580"/>
      <c r="CK290" s="577"/>
      <c r="CL290" s="580"/>
      <c r="CM290" s="577"/>
      <c r="CN290" s="580"/>
      <c r="CO290" s="577"/>
      <c r="CP290" s="580"/>
      <c r="CQ290" s="577"/>
      <c r="CR290" s="580"/>
      <c r="CS290" s="577"/>
      <c r="CT290" s="580"/>
      <c r="CU290" s="577"/>
      <c r="CV290" s="580"/>
      <c r="CW290" s="577"/>
      <c r="CX290" s="580"/>
      <c r="CY290" s="577"/>
      <c r="CZ290" s="580"/>
      <c r="DA290" s="577"/>
      <c r="DB290" s="581"/>
      <c r="DC290" s="580"/>
      <c r="DD290" s="577"/>
      <c r="DE290" s="580"/>
      <c r="DF290" s="577"/>
      <c r="DG290" s="580"/>
      <c r="DH290" s="577"/>
      <c r="DI290" s="580"/>
      <c r="DJ290" s="577"/>
      <c r="DK290" s="580"/>
      <c r="DL290" s="577"/>
      <c r="DM290" s="580"/>
      <c r="DN290" s="577"/>
      <c r="DO290" s="580"/>
      <c r="DP290" s="577"/>
      <c r="DQ290" s="580"/>
      <c r="DR290" s="577"/>
      <c r="DS290" s="580"/>
      <c r="DT290" s="577"/>
      <c r="DU290" s="580"/>
      <c r="DV290" s="577"/>
      <c r="DW290" s="580"/>
      <c r="DX290" s="577"/>
      <c r="DY290" s="580"/>
      <c r="DZ290" s="577"/>
      <c r="EA290" s="580"/>
      <c r="EB290" s="577"/>
      <c r="EC290" s="580"/>
      <c r="ED290" s="577"/>
      <c r="EE290" s="580"/>
      <c r="EF290" s="577"/>
      <c r="EG290" s="580"/>
      <c r="EH290" s="577"/>
      <c r="EI290" s="580"/>
      <c r="EJ290" s="577"/>
      <c r="EK290" s="580"/>
      <c r="EL290" s="577"/>
      <c r="EM290" s="577"/>
    </row>
    <row r="291" spans="1:144" ht="12.75" hidden="1" customHeight="1" outlineLevel="1" x14ac:dyDescent="0.2">
      <c r="A291" s="579" t="str">
        <f>+INPUT!B308</f>
        <v>Interest Expense</v>
      </c>
      <c r="B291" s="580">
        <f>+INPUT!AY308</f>
        <v>6</v>
      </c>
      <c r="C291" s="577">
        <f>+INPUT!AZ308</f>
        <v>100</v>
      </c>
      <c r="D291" s="580">
        <f>+INPUT!BA308</f>
        <v>9</v>
      </c>
      <c r="E291" s="577" t="str">
        <f>+INPUT!BB308</f>
        <v>NM</v>
      </c>
      <c r="F291" s="580">
        <f>+INPUT!BC308</f>
        <v>10</v>
      </c>
      <c r="G291" s="577" t="str">
        <f>+INPUT!BD308</f>
        <v>NM</v>
      </c>
      <c r="H291" s="580">
        <f>+INPUT!BE308</f>
        <v>16</v>
      </c>
      <c r="I291" s="577" t="str">
        <f>+INPUT!BF308</f>
        <v>NM</v>
      </c>
      <c r="J291" s="580">
        <f>+INPUT!BG308</f>
        <v>10</v>
      </c>
      <c r="K291" s="577">
        <f>+INPUT!BH308</f>
        <v>66.666666666666686</v>
      </c>
      <c r="L291" s="580">
        <f>+INPUT!BI308</f>
        <v>14</v>
      </c>
      <c r="M291" s="577">
        <f>+INPUT!BJ308</f>
        <v>55.555555555555571</v>
      </c>
      <c r="N291" s="580">
        <f>+INPUT!BK308</f>
        <v>19</v>
      </c>
      <c r="O291" s="577">
        <f>+INPUT!BL308</f>
        <v>90</v>
      </c>
      <c r="P291" s="580">
        <f>+INPUT!BM308</f>
        <v>19</v>
      </c>
      <c r="Q291" s="577">
        <f>+INPUT!BN308</f>
        <v>18.75</v>
      </c>
      <c r="R291" s="580">
        <f>+INPUT!BO308</f>
        <v>22</v>
      </c>
      <c r="S291" s="577" t="str">
        <f>+INPUT!BP308</f>
        <v>NM</v>
      </c>
      <c r="T291" s="580">
        <f>+INPUT!BQ308</f>
        <v>17</v>
      </c>
      <c r="U291" s="577">
        <f>+INPUT!BR308</f>
        <v>21.428571428571416</v>
      </c>
      <c r="V291" s="580">
        <f>+INPUT!BS308</f>
        <v>20</v>
      </c>
      <c r="W291" s="577">
        <f>+INPUT!BT308</f>
        <v>5.2631578947368354</v>
      </c>
      <c r="X291" s="580">
        <f>+INPUT!BU308</f>
        <v>19</v>
      </c>
      <c r="Y291" s="577">
        <f>+INPUT!BV308</f>
        <v>0</v>
      </c>
      <c r="Z291" s="580">
        <f>+INPUT!BW308</f>
        <v>9</v>
      </c>
      <c r="AA291" s="577" t="str">
        <f>+INPUT!BX308</f>
        <v>NM</v>
      </c>
      <c r="AB291" s="580">
        <f>+INPUT!BY308</f>
        <v>7</v>
      </c>
      <c r="AC291" s="577" t="str">
        <f>+INPUT!BZ308</f>
        <v>NM</v>
      </c>
      <c r="AD291" s="580">
        <f>+INPUT!CA308</f>
        <v>6</v>
      </c>
      <c r="AE291" s="577" t="str">
        <f>+INPUT!CB308</f>
        <v>NM</v>
      </c>
      <c r="AF291" s="580">
        <f>+INPUT!CC308</f>
        <v>4</v>
      </c>
      <c r="AG291" s="577" t="str">
        <f>+INPUT!CD308</f>
        <v>NM</v>
      </c>
      <c r="AH291" s="580">
        <f>+INPUT!CE308</f>
        <v>3</v>
      </c>
      <c r="AI291" s="577" t="str">
        <f>+INPUT!CF308</f>
        <v>NM</v>
      </c>
      <c r="AJ291" s="580">
        <f>+INPUT!CG308</f>
        <v>4</v>
      </c>
      <c r="AK291" s="577">
        <f>+INPUT!CH308</f>
        <v>-42.857142857142861</v>
      </c>
      <c r="AL291" s="580">
        <f>+INPUT!CI308</f>
        <v>3</v>
      </c>
      <c r="AM291" s="577">
        <f>+INPUT!CJ308</f>
        <v>-50</v>
      </c>
      <c r="AN291" s="580">
        <f>+INPUT!CK308</f>
        <v>3</v>
      </c>
      <c r="AO291" s="577">
        <f>+INPUT!CL308</f>
        <v>-25</v>
      </c>
      <c r="AP291" s="580">
        <f>+INPUT!CM308</f>
        <v>3</v>
      </c>
      <c r="AQ291" s="577">
        <f>+INPUT!CN308</f>
        <v>0</v>
      </c>
      <c r="AR291" s="580">
        <f>+INPUT!CO308</f>
        <v>4</v>
      </c>
      <c r="AS291" s="577">
        <f>+INPUT!CP308</f>
        <v>0</v>
      </c>
      <c r="AT291" s="580">
        <f>+INPUT!CQ308</f>
        <v>3</v>
      </c>
      <c r="AU291" s="577">
        <f>+INPUT!CR308</f>
        <v>0</v>
      </c>
      <c r="AV291" s="580">
        <f>+INPUT!CS308</f>
        <v>3</v>
      </c>
      <c r="AW291" s="577">
        <f>+INPUT!CT308</f>
        <v>0</v>
      </c>
      <c r="AX291" s="580">
        <f>+INPUT!CU308</f>
        <v>3</v>
      </c>
      <c r="AY291" s="577">
        <f>+INPUT!CV308</f>
        <v>0</v>
      </c>
      <c r="AZ291" s="580">
        <f>+INPUT!CW308</f>
        <v>5</v>
      </c>
      <c r="BA291" s="577">
        <f>+INPUT!CX308</f>
        <v>25</v>
      </c>
      <c r="BB291" s="580">
        <f>+INPUT!CY308</f>
        <v>3</v>
      </c>
      <c r="BC291" s="577">
        <f>+INPUT!CZ308</f>
        <v>0</v>
      </c>
      <c r="BD291" s="580">
        <f>+INPUT!DA308</f>
        <v>4</v>
      </c>
      <c r="BE291" s="577">
        <f>+INPUT!DB308</f>
        <v>33.333333333333314</v>
      </c>
      <c r="BF291" s="580">
        <f>+INPUT!DC308</f>
        <v>3</v>
      </c>
      <c r="BG291" s="577">
        <f>+INPUT!DD308</f>
        <v>0</v>
      </c>
      <c r="BH291" s="580">
        <f>+INPUT!DE308</f>
        <v>3</v>
      </c>
      <c r="BI291" s="577">
        <f>+INPUT!DF308</f>
        <v>-40</v>
      </c>
      <c r="BJ291" s="580">
        <f>+INPUT!DG308</f>
        <v>2</v>
      </c>
      <c r="BK291" s="577">
        <f>+INPUT!DH308</f>
        <v>-33.333333333333343</v>
      </c>
      <c r="BL291" s="580">
        <f>+INPUT!DI308</f>
        <v>3</v>
      </c>
      <c r="BM291" s="577">
        <f>+INPUT!DJ308</f>
        <v>-25</v>
      </c>
      <c r="BN291" s="580">
        <f>+INPUT!DK308</f>
        <v>3</v>
      </c>
      <c r="BO291" s="577">
        <f>+INPUT!DL308</f>
        <v>0</v>
      </c>
      <c r="BP291" s="580">
        <f>+INPUT!DM308</f>
        <v>3</v>
      </c>
      <c r="BQ291" s="577">
        <f>+INPUT!DN308</f>
        <v>0</v>
      </c>
      <c r="BR291" s="580">
        <f>+INPUT!DO308</f>
        <v>2</v>
      </c>
      <c r="BS291" s="577">
        <f>+INPUT!DP308</f>
        <v>0</v>
      </c>
      <c r="BT291" s="580">
        <f>+INPUT!DQ308</f>
        <v>2</v>
      </c>
      <c r="BU291" s="577">
        <f>+INPUT!DR308</f>
        <v>-33.333333333333343</v>
      </c>
      <c r="BV291" s="580">
        <f>+INPUT!DS308</f>
        <v>2</v>
      </c>
      <c r="BW291" s="577">
        <f>+INPUT!DT308</f>
        <v>-33.333333333333343</v>
      </c>
      <c r="BX291" s="580">
        <f>+INPUT!DU308</f>
        <v>2</v>
      </c>
      <c r="BY291" s="577">
        <f>+INPUT!DV308</f>
        <v>-33.333333333333343</v>
      </c>
      <c r="BZ291" s="580">
        <f>+INPUT!DW308</f>
        <v>3</v>
      </c>
      <c r="CA291" s="577">
        <f>+INPUT!DX308</f>
        <v>50</v>
      </c>
      <c r="CB291" s="580">
        <f>+INPUT!DY308</f>
        <v>3</v>
      </c>
      <c r="CC291" s="577">
        <f>+INPUT!DZ308</f>
        <v>50</v>
      </c>
      <c r="CD291" s="580">
        <f>+INPUT!EA308</f>
        <v>3</v>
      </c>
      <c r="CE291" s="577">
        <f>+INPUT!EB308</f>
        <v>50</v>
      </c>
      <c r="CF291" s="580">
        <f>+INPUT!EC308</f>
        <v>4</v>
      </c>
      <c r="CG291" s="577">
        <f>+INPUT!ED308</f>
        <v>100</v>
      </c>
      <c r="CH291" s="580">
        <f>+INPUT!EE308</f>
        <v>4</v>
      </c>
      <c r="CI291" s="577">
        <f>+INPUT!EF308</f>
        <v>33.333333333333314</v>
      </c>
      <c r="CJ291" s="580">
        <f>+INPUT!EG308</f>
        <v>4</v>
      </c>
      <c r="CK291" s="577">
        <f>+INPUT!EH308</f>
        <v>33.333333333333314</v>
      </c>
      <c r="CL291" s="580">
        <f>+INPUT!EI308</f>
        <v>5</v>
      </c>
      <c r="CM291" s="577">
        <f>+INPUT!EJ308</f>
        <v>66.666666666666686</v>
      </c>
      <c r="CN291" s="580">
        <f>+INPUT!EK308</f>
        <v>7</v>
      </c>
      <c r="CO291" s="577">
        <f>+INPUT!EL308</f>
        <v>75</v>
      </c>
      <c r="CP291" s="580">
        <f>+INPUT!EM308</f>
        <v>7</v>
      </c>
      <c r="CQ291" s="577">
        <f>+INPUT!EN308</f>
        <v>75</v>
      </c>
      <c r="CR291" s="580">
        <f>+INPUT!EO308</f>
        <v>8</v>
      </c>
      <c r="CS291" s="577">
        <f>+INPUT!EP308</f>
        <v>100</v>
      </c>
      <c r="CT291" s="580">
        <f>+INPUT!EQ308</f>
        <v>8.08</v>
      </c>
      <c r="CU291" s="577">
        <f>+INPUT!ER308</f>
        <v>61.600000000000023</v>
      </c>
      <c r="CV291" s="580">
        <f>+INPUT!ES308</f>
        <v>8.1608000000000001</v>
      </c>
      <c r="CW291" s="577">
        <f>+INPUT!ET308</f>
        <v>16.582857142857137</v>
      </c>
      <c r="CX291" s="580">
        <f>+INPUT!EU308</f>
        <v>8.2424079999999993</v>
      </c>
      <c r="CY291" s="577">
        <f>+INPUT!EV308</f>
        <v>17.748685714285699</v>
      </c>
      <c r="CZ291" s="580">
        <f>+INPUT!EW308</f>
        <v>8.3248320800000002</v>
      </c>
      <c r="DA291" s="577">
        <f>+INPUT!EX308</f>
        <v>4.0604009999999988</v>
      </c>
      <c r="DB291" s="580"/>
      <c r="DC291" s="580">
        <f>+INPUT!FP308</f>
        <v>16</v>
      </c>
      <c r="DD291" s="577">
        <f>+INPUT!FQ308</f>
        <v>45.454545454545467</v>
      </c>
      <c r="DE291" s="580">
        <f>+INPUT!FR308</f>
        <v>41</v>
      </c>
      <c r="DF291" s="577" t="str">
        <f>+INPUT!FS308</f>
        <v>NM</v>
      </c>
      <c r="DG291" s="580">
        <f>+INPUT!FT308</f>
        <v>62</v>
      </c>
      <c r="DH291" s="577">
        <f>+INPUT!FU308</f>
        <v>51.219512195121951</v>
      </c>
      <c r="DI291" s="580">
        <f>+INPUT!FV308</f>
        <v>78</v>
      </c>
      <c r="DJ291" s="577">
        <f>+INPUT!FW308</f>
        <v>25.806451612903231</v>
      </c>
      <c r="DK291" s="580">
        <f>+INPUT!FX308</f>
        <v>26</v>
      </c>
      <c r="DL291" s="577" t="str">
        <f>+INPUT!FY308</f>
        <v>NM</v>
      </c>
      <c r="DM291" s="580">
        <f>+INPUT!FZ308</f>
        <v>13</v>
      </c>
      <c r="DN291" s="577">
        <f>+INPUT!GA308</f>
        <v>-50</v>
      </c>
      <c r="DO291" s="580">
        <f>+INPUT!GB308</f>
        <v>13</v>
      </c>
      <c r="DP291" s="577">
        <f>+INPUT!GC308</f>
        <v>0</v>
      </c>
      <c r="DQ291" s="580">
        <f>+INPUT!GD308</f>
        <v>15</v>
      </c>
      <c r="DR291" s="577">
        <f>+INPUT!GE308</f>
        <v>15.384615384615373</v>
      </c>
      <c r="DS291" s="580">
        <f>+INPUT!GF308</f>
        <v>11</v>
      </c>
      <c r="DT291" s="577">
        <f>+INPUT!GG308</f>
        <v>-26.666666666666671</v>
      </c>
      <c r="DU291" s="580">
        <f>+INPUT!GH308</f>
        <v>10</v>
      </c>
      <c r="DV291" s="577">
        <f>+INPUT!GI308</f>
        <v>-9.0909090909090935</v>
      </c>
      <c r="DW291" s="580">
        <f>+INPUT!GJ308</f>
        <v>10</v>
      </c>
      <c r="DX291" s="577">
        <f>+INPUT!GK308</f>
        <v>0</v>
      </c>
      <c r="DY291" s="580">
        <f>+INPUT!GL308</f>
        <v>15</v>
      </c>
      <c r="DZ291" s="577">
        <f>+INPUT!GM308</f>
        <v>50</v>
      </c>
      <c r="EA291" s="580">
        <f>+INPUT!GN308</f>
        <v>27</v>
      </c>
      <c r="EB291" s="577">
        <f>+INPUT!GO308</f>
        <v>80</v>
      </c>
      <c r="EC291" s="580">
        <f>+INPUT!GP308</f>
        <v>32.808040079999998</v>
      </c>
      <c r="ED291" s="577">
        <f>+INPUT!GQ308</f>
        <v>21.511259555555554</v>
      </c>
      <c r="EE291" s="580">
        <f>+INPUT!GR308</f>
        <v>35.760763687199997</v>
      </c>
      <c r="EF291" s="577">
        <f>+INPUT!GS308</f>
        <v>9.0000000000000142</v>
      </c>
      <c r="EG291" s="580">
        <f>+INPUT!GT308</f>
        <v>38.979232419048003</v>
      </c>
      <c r="EH291" s="577">
        <f>+INPUT!GU308</f>
        <v>9.0000000000000142</v>
      </c>
      <c r="EI291" s="580">
        <f>+INPUT!GV308</f>
        <v>42.487363336762328</v>
      </c>
      <c r="EJ291" s="577">
        <f>+INPUT!GW308</f>
        <v>9.0000000000000142</v>
      </c>
      <c r="EK291" s="580">
        <f>+INPUT!GX308</f>
        <v>46.311226037070938</v>
      </c>
      <c r="EL291" s="577">
        <f>+INPUT!GY308</f>
        <v>9.0000000000000142</v>
      </c>
      <c r="EM291" s="577">
        <f>+INPUT!GZ308</f>
        <v>11.394693502207121</v>
      </c>
    </row>
    <row r="292" spans="1:144" ht="12.75" hidden="1" customHeight="1" outlineLevel="1" x14ac:dyDescent="0.2">
      <c r="A292" s="579" t="str">
        <f>+INPUT!B309</f>
        <v>General and Administrative Expenses</v>
      </c>
      <c r="B292" s="580">
        <f>+INPUT!AY309</f>
        <v>322</v>
      </c>
      <c r="C292" s="577">
        <f>+INPUT!AZ309</f>
        <v>16.666666666666671</v>
      </c>
      <c r="D292" s="580">
        <f>+INPUT!BA309</f>
        <v>317</v>
      </c>
      <c r="E292" s="577">
        <f>+INPUT!BB309</f>
        <v>10.069444444444443</v>
      </c>
      <c r="F292" s="580">
        <f>+INPUT!BC309</f>
        <v>325</v>
      </c>
      <c r="G292" s="577">
        <f>+INPUT!BD309</f>
        <v>1.8808777429467227</v>
      </c>
      <c r="H292" s="580">
        <f>+INPUT!BE309</f>
        <v>426</v>
      </c>
      <c r="I292" s="577">
        <f>+INPUT!BF309</f>
        <v>34.384858044164048</v>
      </c>
      <c r="J292" s="580">
        <f>+INPUT!BG309</f>
        <v>358</v>
      </c>
      <c r="K292" s="577">
        <f>+INPUT!BH309</f>
        <v>11.18012422360249</v>
      </c>
      <c r="L292" s="580">
        <f>+INPUT!BI309</f>
        <v>408</v>
      </c>
      <c r="M292" s="577">
        <f>+INPUT!BJ309</f>
        <v>28.706624605678229</v>
      </c>
      <c r="N292" s="580">
        <f>+INPUT!BK309</f>
        <v>378</v>
      </c>
      <c r="O292" s="577">
        <f>+INPUT!BL309</f>
        <v>16.307692307692307</v>
      </c>
      <c r="P292" s="580">
        <f>+INPUT!BM309</f>
        <v>408</v>
      </c>
      <c r="Q292" s="577">
        <f>+INPUT!BN309</f>
        <v>-4.2253521126760631</v>
      </c>
      <c r="R292" s="580">
        <f>+INPUT!BO309</f>
        <v>406</v>
      </c>
      <c r="S292" s="577">
        <f>+INPUT!BP309</f>
        <v>13.407821229050285</v>
      </c>
      <c r="T292" s="580">
        <f>+INPUT!BQ309</f>
        <v>358</v>
      </c>
      <c r="U292" s="577">
        <f>+INPUT!BR309</f>
        <v>-12.254901960784309</v>
      </c>
      <c r="V292" s="580">
        <f>+INPUT!BS309</f>
        <v>330</v>
      </c>
      <c r="W292" s="577">
        <f>+INPUT!BT309</f>
        <v>-12.698412698412696</v>
      </c>
      <c r="X292" s="580">
        <f>+INPUT!BU309</f>
        <v>276</v>
      </c>
      <c r="Y292" s="577">
        <f>+INPUT!BV309</f>
        <v>-32.35294117647058</v>
      </c>
      <c r="Z292" s="580">
        <f>+INPUT!BW309</f>
        <v>254</v>
      </c>
      <c r="AA292" s="577">
        <f>+INPUT!BX309</f>
        <v>-37.438423645320199</v>
      </c>
      <c r="AB292" s="580">
        <f>+INPUT!BY309</f>
        <v>303</v>
      </c>
      <c r="AC292" s="577">
        <f>+INPUT!BZ309</f>
        <v>-15.363128491620117</v>
      </c>
      <c r="AD292" s="580">
        <f>+INPUT!CA309</f>
        <v>258</v>
      </c>
      <c r="AE292" s="577">
        <f>+INPUT!CB309</f>
        <v>-21.818181818181813</v>
      </c>
      <c r="AF292" s="580">
        <f>+INPUT!CC309</f>
        <v>365</v>
      </c>
      <c r="AG292" s="577">
        <f>+INPUT!CD309</f>
        <v>32.246376811594217</v>
      </c>
      <c r="AH292" s="580">
        <f>+INPUT!CE309</f>
        <v>293</v>
      </c>
      <c r="AI292" s="577">
        <f>+INPUT!CF309</f>
        <v>15.354330708661408</v>
      </c>
      <c r="AJ292" s="580">
        <f>+INPUT!CG309</f>
        <v>365</v>
      </c>
      <c r="AK292" s="577">
        <f>+INPUT!CH309</f>
        <v>20.462046204620464</v>
      </c>
      <c r="AL292" s="580">
        <f>+INPUT!CI309</f>
        <v>342</v>
      </c>
      <c r="AM292" s="577">
        <f>+INPUT!CJ309</f>
        <v>32.558139534883708</v>
      </c>
      <c r="AN292" s="580">
        <f>+INPUT!CK309</f>
        <v>387</v>
      </c>
      <c r="AO292" s="577">
        <f>+INPUT!CL309</f>
        <v>6.0273972602739718</v>
      </c>
      <c r="AP292" s="580">
        <f>+INPUT!CM309</f>
        <v>392</v>
      </c>
      <c r="AQ292" s="577">
        <f>+INPUT!CN309</f>
        <v>33.78839590443684</v>
      </c>
      <c r="AR292" s="580">
        <f>+INPUT!CO309</f>
        <v>425</v>
      </c>
      <c r="AS292" s="577">
        <f>+INPUT!CP309</f>
        <v>16.438356164383563</v>
      </c>
      <c r="AT292" s="580">
        <f>+INPUT!CQ309</f>
        <v>385</v>
      </c>
      <c r="AU292" s="577">
        <f>+INPUT!CR309</f>
        <v>12.57309941520468</v>
      </c>
      <c r="AV292" s="580">
        <f>+INPUT!CS309</f>
        <v>453</v>
      </c>
      <c r="AW292" s="577">
        <f>+INPUT!CT309</f>
        <v>17.054263565891475</v>
      </c>
      <c r="AX292" s="580">
        <f>+INPUT!CU309</f>
        <v>414</v>
      </c>
      <c r="AY292" s="577">
        <f>+INPUT!CV309</f>
        <v>5.6122448979591724</v>
      </c>
      <c r="AZ292" s="580">
        <f>+INPUT!CW309</f>
        <v>436</v>
      </c>
      <c r="BA292" s="577">
        <f>+INPUT!CX309</f>
        <v>2.5882352941176521</v>
      </c>
      <c r="BB292" s="580">
        <f>+INPUT!CY309</f>
        <v>433</v>
      </c>
      <c r="BC292" s="577">
        <f>+INPUT!CZ309</f>
        <v>12.467532467532465</v>
      </c>
      <c r="BD292" s="580">
        <f>+INPUT!DA309</f>
        <v>496</v>
      </c>
      <c r="BE292" s="577">
        <f>+INPUT!DB309</f>
        <v>9.4922737306843317</v>
      </c>
      <c r="BF292" s="580">
        <f>+INPUT!DC309</f>
        <v>471</v>
      </c>
      <c r="BG292" s="577">
        <f>+INPUT!DD309</f>
        <v>13.768115942028984</v>
      </c>
      <c r="BH292" s="580">
        <f>+INPUT!DE309</f>
        <v>486</v>
      </c>
      <c r="BI292" s="577">
        <f>+INPUT!DF309</f>
        <v>11.467889908256893</v>
      </c>
      <c r="BJ292" s="580">
        <f>+INPUT!DG309</f>
        <v>473</v>
      </c>
      <c r="BK292" s="577">
        <f>+INPUT!DH309</f>
        <v>9.2378752886836111</v>
      </c>
      <c r="BL292" s="580">
        <f>+INPUT!DI309</f>
        <v>511</v>
      </c>
      <c r="BM292" s="577">
        <f>+INPUT!DJ309</f>
        <v>3.0241935483871032</v>
      </c>
      <c r="BN292" s="580">
        <f>+INPUT!DK309</f>
        <v>471</v>
      </c>
      <c r="BO292" s="577">
        <f>+INPUT!DL309</f>
        <v>0</v>
      </c>
      <c r="BP292" s="580">
        <f>+INPUT!DM309</f>
        <v>510</v>
      </c>
      <c r="BQ292" s="577">
        <f>+INPUT!DN309</f>
        <v>4.9382716049382651</v>
      </c>
      <c r="BR292" s="580">
        <f>+INPUT!DO309</f>
        <v>517</v>
      </c>
      <c r="BS292" s="577">
        <f>+INPUT!DP309</f>
        <v>9.3023255813953369</v>
      </c>
      <c r="BT292" s="580">
        <f>+INPUT!DQ309</f>
        <v>543</v>
      </c>
      <c r="BU292" s="577">
        <f>+INPUT!DR309</f>
        <v>6.2622309197651589</v>
      </c>
      <c r="BV292" s="580">
        <f>+INPUT!DS309</f>
        <v>524</v>
      </c>
      <c r="BW292" s="577">
        <f>+INPUT!DT309</f>
        <v>11.252653927813157</v>
      </c>
      <c r="BX292" s="580">
        <f>+INPUT!DU309</f>
        <v>576</v>
      </c>
      <c r="BY292" s="577">
        <f>+INPUT!DV309</f>
        <v>12.941176470588232</v>
      </c>
      <c r="BZ292" s="580">
        <f>+INPUT!DW309</f>
        <v>519</v>
      </c>
      <c r="CA292" s="577">
        <f>+INPUT!DX309</f>
        <v>0.38684719535784495</v>
      </c>
      <c r="CB292" s="580">
        <f>+INPUT!DY309</f>
        <v>528</v>
      </c>
      <c r="CC292" s="577">
        <f>+INPUT!DZ309</f>
        <v>-2.7624309392265189</v>
      </c>
      <c r="CD292" s="580">
        <f>+INPUT!EA309</f>
        <v>537</v>
      </c>
      <c r="CE292" s="577">
        <f>+INPUT!EB309</f>
        <v>2.4809160305343596</v>
      </c>
      <c r="CF292" s="580">
        <f>+INPUT!EC309</f>
        <v>520</v>
      </c>
      <c r="CG292" s="577">
        <f>+INPUT!ED309</f>
        <v>-9.7222222222222143</v>
      </c>
      <c r="CH292" s="580">
        <f>+INPUT!EE309</f>
        <v>554</v>
      </c>
      <c r="CI292" s="577">
        <f>+INPUT!EF309</f>
        <v>6.7437379576107901</v>
      </c>
      <c r="CJ292" s="580">
        <f>+INPUT!EG309</f>
        <v>543</v>
      </c>
      <c r="CK292" s="577">
        <f>+INPUT!EH309</f>
        <v>2.8409090909090793</v>
      </c>
      <c r="CL292" s="580">
        <f>+INPUT!EI309</f>
        <v>553</v>
      </c>
      <c r="CM292" s="577">
        <f>+INPUT!EJ309</f>
        <v>2.9795158286778332</v>
      </c>
      <c r="CN292" s="580">
        <f>+INPUT!EK309</f>
        <v>561</v>
      </c>
      <c r="CO292" s="577">
        <f>+INPUT!EL309</f>
        <v>7.8846153846153726</v>
      </c>
      <c r="CP292" s="580">
        <f>+INPUT!EM309</f>
        <v>561</v>
      </c>
      <c r="CQ292" s="577">
        <f>+INPUT!EN309</f>
        <v>1.2635379061371736</v>
      </c>
      <c r="CR292" s="580">
        <f>+INPUT!EO309</f>
        <v>669</v>
      </c>
      <c r="CS292" s="577">
        <f>+INPUT!EP309</f>
        <v>23.204419889502773</v>
      </c>
      <c r="CT292" s="580">
        <f>+INPUT!EQ309</f>
        <v>633.4559032300001</v>
      </c>
      <c r="CU292" s="577">
        <f>+INPUT!ER309</f>
        <v>14.548987925858967</v>
      </c>
      <c r="CV292" s="580">
        <f>+INPUT!ES309</f>
        <v>631.9752894006441</v>
      </c>
      <c r="CW292" s="577">
        <f>+INPUT!ET309</f>
        <v>12.651566738082721</v>
      </c>
      <c r="CX292" s="580">
        <f>+INPUT!EU309</f>
        <v>641.29021797322048</v>
      </c>
      <c r="CY292" s="577">
        <f>+INPUT!EV309</f>
        <v>14.311981813408295</v>
      </c>
      <c r="CZ292" s="580">
        <f>+INPUT!EW309</f>
        <v>655.72530804566441</v>
      </c>
      <c r="DA292" s="577">
        <f>+INPUT!EX309</f>
        <v>-1.9842588870456694</v>
      </c>
      <c r="DB292" s="580"/>
      <c r="DC292" s="580">
        <f>+INPUT!FP309</f>
        <v>1200</v>
      </c>
      <c r="DD292" s="577">
        <f>+INPUT!FQ309</f>
        <v>3.1814273430782407</v>
      </c>
      <c r="DE292" s="580">
        <f>+INPUT!FR309</f>
        <v>1390</v>
      </c>
      <c r="DF292" s="577">
        <f>+INPUT!FS309</f>
        <v>15.833333333333343</v>
      </c>
      <c r="DG292" s="580">
        <f>+INPUT!FT309</f>
        <v>1552</v>
      </c>
      <c r="DH292" s="577">
        <f>+INPUT!FU309</f>
        <v>11.654676258992808</v>
      </c>
      <c r="DI292" s="580">
        <f>+INPUT!FV309</f>
        <v>1370</v>
      </c>
      <c r="DJ292" s="577">
        <f>+INPUT!FW309</f>
        <v>-11.726804123711347</v>
      </c>
      <c r="DK292" s="580">
        <f>+INPUT!FX309</f>
        <v>1180</v>
      </c>
      <c r="DL292" s="577">
        <f>+INPUT!FY309</f>
        <v>-13.868613138686143</v>
      </c>
      <c r="DM292" s="580">
        <f>+INPUT!FZ309</f>
        <v>1387</v>
      </c>
      <c r="DN292" s="577">
        <f>+INPUT!GA309</f>
        <v>17.542372881355945</v>
      </c>
      <c r="DO292" s="580">
        <f>+INPUT!GB309</f>
        <v>1655</v>
      </c>
      <c r="DP292" s="577">
        <f>+INPUT!GC309</f>
        <v>19.322278298485941</v>
      </c>
      <c r="DQ292" s="580">
        <f>+INPUT!GD309</f>
        <v>1779</v>
      </c>
      <c r="DR292" s="577">
        <f>+INPUT!GE309</f>
        <v>7.4924471299093796</v>
      </c>
      <c r="DS292" s="580">
        <f>+INPUT!GF309</f>
        <v>1941</v>
      </c>
      <c r="DT292" s="577">
        <f>+INPUT!GG309</f>
        <v>9.1062394603709862</v>
      </c>
      <c r="DU292" s="580">
        <f>+INPUT!GH309</f>
        <v>2041</v>
      </c>
      <c r="DV292" s="577">
        <f>+INPUT!GI309</f>
        <v>5.1519835136527519</v>
      </c>
      <c r="DW292" s="580">
        <f>+INPUT!GJ309</f>
        <v>2147</v>
      </c>
      <c r="DX292" s="577">
        <f>+INPUT!GK309</f>
        <v>5.1935325820676042</v>
      </c>
      <c r="DY292" s="580">
        <f>+INPUT!GL309</f>
        <v>2154</v>
      </c>
      <c r="DZ292" s="577">
        <f>+INPUT!GM309</f>
        <v>0.32603632976247354</v>
      </c>
      <c r="EA292" s="580">
        <f>+INPUT!GN309</f>
        <v>2344</v>
      </c>
      <c r="EB292" s="577">
        <f>+INPUT!GO309</f>
        <v>8.8207985143918393</v>
      </c>
      <c r="EC292" s="580">
        <f>+INPUT!GP309</f>
        <v>2562.446718649529</v>
      </c>
      <c r="ED292" s="577">
        <f>+INPUT!GQ309</f>
        <v>9.319399259792192</v>
      </c>
      <c r="EE292" s="580">
        <f>+INPUT!GR309</f>
        <v>2704.6420459688802</v>
      </c>
      <c r="EF292" s="577">
        <f>+INPUT!GS309</f>
        <v>5.5492013271710761</v>
      </c>
      <c r="EG292" s="580">
        <f>+INPUT!GT309</f>
        <v>2827.3647218632341</v>
      </c>
      <c r="EH292" s="577">
        <f>+INPUT!GU309</f>
        <v>4.537483105288004</v>
      </c>
      <c r="EI292" s="580">
        <f>+INPUT!GV309</f>
        <v>2949.7678709930506</v>
      </c>
      <c r="EJ292" s="577">
        <f>+INPUT!GW309</f>
        <v>4.3292309684458701</v>
      </c>
      <c r="EK292" s="580">
        <f>+INPUT!GX309</f>
        <v>3040.0913259992813</v>
      </c>
      <c r="EL292" s="577">
        <f>+INPUT!GY309</f>
        <v>3.0620529803188532</v>
      </c>
      <c r="EM292" s="577">
        <f>+INPUT!GZ309</f>
        <v>5.3381785683976002</v>
      </c>
    </row>
    <row r="293" spans="1:144" ht="12.75" hidden="1" customHeight="1" outlineLevel="1" x14ac:dyDescent="0.2">
      <c r="A293" s="579" t="str">
        <f>+INPUT!B310</f>
        <v>Net DAC</v>
      </c>
      <c r="B293" s="580">
        <f>+INPUT!AY310</f>
        <v>2</v>
      </c>
      <c r="C293" s="577" t="str">
        <f>+INPUT!AZ310</f>
        <v>NM</v>
      </c>
      <c r="D293" s="580">
        <f>+INPUT!BA310</f>
        <v>2</v>
      </c>
      <c r="E293" s="577">
        <f>+INPUT!BB310</f>
        <v>-50</v>
      </c>
      <c r="F293" s="580">
        <f>+INPUT!BC310</f>
        <v>3</v>
      </c>
      <c r="G293" s="577">
        <f>+INPUT!BD310</f>
        <v>0</v>
      </c>
      <c r="H293" s="580">
        <f>+INPUT!BE310</f>
        <v>3</v>
      </c>
      <c r="I293" s="577">
        <f>+INPUT!BF310</f>
        <v>-25</v>
      </c>
      <c r="J293" s="580">
        <f>+INPUT!BG310</f>
        <v>2</v>
      </c>
      <c r="K293" s="577">
        <f>+INPUT!BH310</f>
        <v>0</v>
      </c>
      <c r="L293" s="580">
        <f>+INPUT!BI310</f>
        <v>1</v>
      </c>
      <c r="M293" s="577">
        <f>+INPUT!BJ310</f>
        <v>-50</v>
      </c>
      <c r="N293" s="580">
        <f>+INPUT!BK310</f>
        <v>0</v>
      </c>
      <c r="O293" s="577" t="str">
        <f>+INPUT!BL310</f>
        <v>NM</v>
      </c>
      <c r="P293" s="580">
        <f>+INPUT!BM310</f>
        <v>1</v>
      </c>
      <c r="Q293" s="577" t="str">
        <f>+INPUT!BN310</f>
        <v>NM</v>
      </c>
      <c r="R293" s="580">
        <f>+INPUT!BO310</f>
        <v>1</v>
      </c>
      <c r="S293" s="577">
        <f>+INPUT!BP310</f>
        <v>-50</v>
      </c>
      <c r="T293" s="580">
        <f>+INPUT!BQ310</f>
        <v>-1</v>
      </c>
      <c r="U293" s="577" t="str">
        <f>+INPUT!BR310</f>
        <v>NM</v>
      </c>
      <c r="V293" s="580">
        <f>+INPUT!BS310</f>
        <v>3</v>
      </c>
      <c r="W293" s="577" t="str">
        <f>+INPUT!BT310</f>
        <v>NA</v>
      </c>
      <c r="X293" s="580">
        <f>+INPUT!BU310</f>
        <v>3</v>
      </c>
      <c r="Y293" s="577" t="str">
        <f>+INPUT!BV310</f>
        <v>NM</v>
      </c>
      <c r="Z293" s="580">
        <f>+INPUT!BW310</f>
        <v>1</v>
      </c>
      <c r="AA293" s="577">
        <f>+INPUT!BX310</f>
        <v>0</v>
      </c>
      <c r="AB293" s="580">
        <f>+INPUT!BY310</f>
        <v>-1</v>
      </c>
      <c r="AC293" s="577">
        <f>+INPUT!BZ310</f>
        <v>0</v>
      </c>
      <c r="AD293" s="580">
        <f>+INPUT!CA310</f>
        <v>-2</v>
      </c>
      <c r="AE293" s="577" t="str">
        <f>+INPUT!CB310</f>
        <v>NM</v>
      </c>
      <c r="AF293" s="580">
        <f>+INPUT!CC310</f>
        <v>-2</v>
      </c>
      <c r="AG293" s="577" t="str">
        <f>+INPUT!CD310</f>
        <v>NM</v>
      </c>
      <c r="AH293" s="580">
        <f>+INPUT!CE310</f>
        <v>0</v>
      </c>
      <c r="AI293" s="577" t="str">
        <f>+INPUT!CF310</f>
        <v>NM</v>
      </c>
      <c r="AJ293" s="580">
        <f>+INPUT!CG310</f>
        <v>1</v>
      </c>
      <c r="AK293" s="577" t="str">
        <f>+INPUT!CH310</f>
        <v>NM</v>
      </c>
      <c r="AL293" s="580">
        <f>+INPUT!CI310</f>
        <v>0</v>
      </c>
      <c r="AM293" s="577" t="str">
        <f>+INPUT!CJ310</f>
        <v>NM</v>
      </c>
      <c r="AN293" s="580">
        <f>+INPUT!CK310</f>
        <v>0</v>
      </c>
      <c r="AO293" s="577" t="str">
        <f>+INPUT!CL310</f>
        <v>NM</v>
      </c>
      <c r="AP293" s="580">
        <f>+INPUT!CM310</f>
        <v>-1</v>
      </c>
      <c r="AQ293" s="577" t="str">
        <f>+INPUT!CN310</f>
        <v>NA</v>
      </c>
      <c r="AR293" s="580">
        <f>+INPUT!CO310</f>
        <v>0</v>
      </c>
      <c r="AS293" s="577" t="str">
        <f>+INPUT!CP310</f>
        <v>NM</v>
      </c>
      <c r="AT293" s="580">
        <f>+INPUT!CQ310</f>
        <v>2</v>
      </c>
      <c r="AU293" s="577" t="str">
        <f>+INPUT!CR310</f>
        <v>NA</v>
      </c>
      <c r="AV293" s="580">
        <f>+INPUT!CS310</f>
        <v>1</v>
      </c>
      <c r="AW293" s="577" t="str">
        <f>+INPUT!CT310</f>
        <v>NA</v>
      </c>
      <c r="AX293" s="580">
        <f>+INPUT!CU310</f>
        <v>-1</v>
      </c>
      <c r="AY293" s="577">
        <f>+INPUT!CV310</f>
        <v>0</v>
      </c>
      <c r="AZ293" s="580">
        <f>+INPUT!CW310</f>
        <v>0</v>
      </c>
      <c r="BA293" s="577" t="str">
        <f>+INPUT!CX310</f>
        <v>NA</v>
      </c>
      <c r="BB293" s="580">
        <f>+INPUT!CY310</f>
        <v>-1</v>
      </c>
      <c r="BC293" s="577" t="str">
        <f>+INPUT!CZ310</f>
        <v>NM</v>
      </c>
      <c r="BD293" s="580">
        <f>+INPUT!DA310</f>
        <v>0</v>
      </c>
      <c r="BE293" s="577" t="str">
        <f>+INPUT!DB310</f>
        <v>NM</v>
      </c>
      <c r="BF293" s="580">
        <f>+INPUT!DC310</f>
        <v>-1</v>
      </c>
      <c r="BG293" s="577">
        <f>+INPUT!DD310</f>
        <v>0</v>
      </c>
      <c r="BH293" s="580">
        <f>+INPUT!DE310</f>
        <v>1</v>
      </c>
      <c r="BI293" s="577" t="str">
        <f>+INPUT!DF310</f>
        <v>NA</v>
      </c>
      <c r="BJ293" s="580">
        <f>+INPUT!DG310</f>
        <v>1</v>
      </c>
      <c r="BK293" s="577" t="str">
        <f>+INPUT!DH310</f>
        <v>NM</v>
      </c>
      <c r="BL293" s="580">
        <f>+INPUT!DI310</f>
        <v>2</v>
      </c>
      <c r="BM293" s="577" t="str">
        <f>+INPUT!DJ310</f>
        <v>NA</v>
      </c>
      <c r="BN293" s="580">
        <f>+INPUT!DK310</f>
        <v>0</v>
      </c>
      <c r="BO293" s="577" t="str">
        <f>+INPUT!DL310</f>
        <v>NM</v>
      </c>
      <c r="BP293" s="580">
        <f>+INPUT!DM310</f>
        <v>0</v>
      </c>
      <c r="BQ293" s="577" t="str">
        <f>+INPUT!DN310</f>
        <v>NM</v>
      </c>
      <c r="BR293" s="580">
        <f>+INPUT!DO310</f>
        <v>2</v>
      </c>
      <c r="BS293" s="577">
        <f>+INPUT!DP310</f>
        <v>100</v>
      </c>
      <c r="BT293" s="580">
        <f>+INPUT!DQ310</f>
        <v>2</v>
      </c>
      <c r="BU293" s="577">
        <f>+INPUT!DR310</f>
        <v>0</v>
      </c>
      <c r="BV293" s="580">
        <f>+INPUT!DS310</f>
        <v>2</v>
      </c>
      <c r="BW293" s="577" t="str">
        <f>+INPUT!DT310</f>
        <v>NA</v>
      </c>
      <c r="BX293" s="580">
        <f>+INPUT!DU310</f>
        <v>2</v>
      </c>
      <c r="BY293" s="577" t="str">
        <f>+INPUT!DV310</f>
        <v>NA</v>
      </c>
      <c r="BZ293" s="580">
        <f>+INPUT!DW310</f>
        <v>2</v>
      </c>
      <c r="CA293" s="577">
        <f>+INPUT!DX310</f>
        <v>0</v>
      </c>
      <c r="CB293" s="580">
        <f>+INPUT!DY310</f>
        <v>2</v>
      </c>
      <c r="CC293" s="577">
        <f>+INPUT!DZ310</f>
        <v>0</v>
      </c>
      <c r="CD293" s="580">
        <f>+INPUT!EA310</f>
        <v>1</v>
      </c>
      <c r="CE293" s="577">
        <f>+INPUT!EB310</f>
        <v>-50</v>
      </c>
      <c r="CF293" s="580">
        <f>+INPUT!EC310</f>
        <v>1</v>
      </c>
      <c r="CG293" s="577">
        <f>+INPUT!ED310</f>
        <v>-50</v>
      </c>
      <c r="CH293" s="580">
        <f>+INPUT!EE310</f>
        <v>1</v>
      </c>
      <c r="CI293" s="577">
        <f>+INPUT!EF310</f>
        <v>-50</v>
      </c>
      <c r="CJ293" s="580">
        <f>+INPUT!EG310</f>
        <v>2</v>
      </c>
      <c r="CK293" s="577">
        <f>+INPUT!EH310</f>
        <v>0</v>
      </c>
      <c r="CL293" s="580">
        <f>+INPUT!EI310</f>
        <v>2</v>
      </c>
      <c r="CM293" s="577">
        <f>+INPUT!EJ310</f>
        <v>100</v>
      </c>
      <c r="CN293" s="580">
        <f>+INPUT!EK310</f>
        <v>1</v>
      </c>
      <c r="CO293" s="577">
        <f>+INPUT!EL310</f>
        <v>0</v>
      </c>
      <c r="CP293" s="580">
        <f>+INPUT!EM310</f>
        <v>0</v>
      </c>
      <c r="CQ293" s="577" t="str">
        <f>+INPUT!EN310</f>
        <v>NM</v>
      </c>
      <c r="CR293" s="580">
        <f>+INPUT!EO310</f>
        <v>2</v>
      </c>
      <c r="CS293" s="577">
        <f>+INPUT!EP310</f>
        <v>0</v>
      </c>
      <c r="CT293" s="580">
        <f>+INPUT!EQ310</f>
        <v>1.8937396210164428</v>
      </c>
      <c r="CU293" s="577">
        <f>+INPUT!ER310</f>
        <v>-5.3130189491778594</v>
      </c>
      <c r="CV293" s="580">
        <f>+INPUT!ES310</f>
        <v>1.8893132717508045</v>
      </c>
      <c r="CW293" s="577">
        <f>+INPUT!ET310</f>
        <v>88.931327175080469</v>
      </c>
      <c r="CX293" s="580">
        <f>+INPUT!EU310</f>
        <v>1.9171605918481929</v>
      </c>
      <c r="CY293" s="577" t="str">
        <f>+INPUT!EV310</f>
        <v>NA</v>
      </c>
      <c r="CZ293" s="580">
        <f>+INPUT!EW310</f>
        <v>1.9603148222590865</v>
      </c>
      <c r="DA293" s="577">
        <f>+INPUT!EX310</f>
        <v>-1.9842588870456694</v>
      </c>
      <c r="DB293" s="580"/>
      <c r="DC293" s="580">
        <f>+INPUT!FP310</f>
        <v>16</v>
      </c>
      <c r="DD293" s="577">
        <f>+INPUT!FQ310</f>
        <v>-33.333333333333343</v>
      </c>
      <c r="DE293" s="580">
        <f>+INPUT!FR310</f>
        <v>10</v>
      </c>
      <c r="DF293" s="577">
        <f>+INPUT!FS310</f>
        <v>-37.5</v>
      </c>
      <c r="DG293" s="580">
        <f>+INPUT!FT310</f>
        <v>4</v>
      </c>
      <c r="DH293" s="577" t="str">
        <f>+INPUT!FU310</f>
        <v>NM</v>
      </c>
      <c r="DI293" s="580">
        <f>+INPUT!FV310</f>
        <v>6</v>
      </c>
      <c r="DJ293" s="577">
        <f>+INPUT!FW310</f>
        <v>50</v>
      </c>
      <c r="DK293" s="580">
        <f>+INPUT!FX310</f>
        <v>-4</v>
      </c>
      <c r="DL293" s="577" t="str">
        <f>+INPUT!FY310</f>
        <v>NM</v>
      </c>
      <c r="DM293" s="580">
        <f>+INPUT!FZ310</f>
        <v>1</v>
      </c>
      <c r="DN293" s="577" t="str">
        <f>+INPUT!GA310</f>
        <v>NM</v>
      </c>
      <c r="DO293" s="580">
        <f>+INPUT!GB310</f>
        <v>2</v>
      </c>
      <c r="DP293" s="577">
        <f>+INPUT!GC310</f>
        <v>100</v>
      </c>
      <c r="DQ293" s="580">
        <f>+INPUT!GD310</f>
        <v>-2</v>
      </c>
      <c r="DR293" s="577" t="str">
        <f>+INPUT!GE310</f>
        <v>NM</v>
      </c>
      <c r="DS293" s="580">
        <f>+INPUT!GF310</f>
        <v>3</v>
      </c>
      <c r="DT293" s="577" t="str">
        <f>+INPUT!GG310</f>
        <v>NM</v>
      </c>
      <c r="DU293" s="580">
        <f>+INPUT!GH310</f>
        <v>4</v>
      </c>
      <c r="DV293" s="577">
        <f>+INPUT!GI310</f>
        <v>33.333333333333314</v>
      </c>
      <c r="DW293" s="580">
        <f>+INPUT!GJ310</f>
        <v>8</v>
      </c>
      <c r="DX293" s="577">
        <f>+INPUT!GK310</f>
        <v>100</v>
      </c>
      <c r="DY293" s="580">
        <f>+INPUT!GL310</f>
        <v>5</v>
      </c>
      <c r="DZ293" s="577">
        <f>+INPUT!GM310</f>
        <v>-37.5</v>
      </c>
      <c r="EA293" s="580">
        <f>+INPUT!GN310</f>
        <v>5</v>
      </c>
      <c r="EB293" s="577">
        <f>+INPUT!GO310</f>
        <v>0</v>
      </c>
      <c r="EC293" s="580">
        <f>+INPUT!GP310</f>
        <v>7.6605283068745269</v>
      </c>
      <c r="ED293" s="577">
        <f>+INPUT!GQ310</f>
        <v>53.210566137490531</v>
      </c>
      <c r="EE293" s="580">
        <f>+INPUT!GR310</f>
        <v>8.0856264453479252</v>
      </c>
      <c r="EF293" s="577">
        <f>+INPUT!GS310</f>
        <v>5.5492013271710903</v>
      </c>
      <c r="EG293" s="580">
        <f>+INPUT!GT310</f>
        <v>8.4525103792622858</v>
      </c>
      <c r="EH293" s="577">
        <f>+INPUT!GU310</f>
        <v>4.5374831052879898</v>
      </c>
      <c r="EI293" s="580">
        <f>+INPUT!GV310</f>
        <v>8.8184390762124103</v>
      </c>
      <c r="EJ293" s="577">
        <f>+INPUT!GW310</f>
        <v>4.3292309684458701</v>
      </c>
      <c r="EK293" s="580">
        <f>+INPUT!GX310</f>
        <v>9.0884643527631734</v>
      </c>
      <c r="EL293" s="577">
        <f>+INPUT!GY310</f>
        <v>3.0620529803188248</v>
      </c>
      <c r="EM293" s="577">
        <f>+INPUT!GZ310</f>
        <v>12.694858024405619</v>
      </c>
    </row>
    <row r="294" spans="1:144" ht="12.75" hidden="1" customHeight="1" outlineLevel="1" x14ac:dyDescent="0.2">
      <c r="A294" s="575" t="str">
        <f>+INPUT!B311</f>
        <v xml:space="preserve"> Total Benefits and Expenses</v>
      </c>
      <c r="B294" s="580">
        <f>+INPUT!AY311</f>
        <v>330</v>
      </c>
      <c r="C294" s="577">
        <f>+INPUT!AZ311</f>
        <v>16.197183098591552</v>
      </c>
      <c r="D294" s="580">
        <f>+INPUT!BA311</f>
        <v>328</v>
      </c>
      <c r="E294" s="577">
        <f>+INPUT!BB311</f>
        <v>10.810810810810807</v>
      </c>
      <c r="F294" s="580">
        <f>+INPUT!BC311</f>
        <v>338</v>
      </c>
      <c r="G294" s="577">
        <f>+INPUT!BD311</f>
        <v>4</v>
      </c>
      <c r="H294" s="580">
        <f>+INPUT!BE311</f>
        <v>445</v>
      </c>
      <c r="I294" s="577">
        <f>+INPUT!BF311</f>
        <v>36.085626911314989</v>
      </c>
      <c r="J294" s="580">
        <f>+INPUT!BG311</f>
        <v>370</v>
      </c>
      <c r="K294" s="577">
        <f>+INPUT!BH311</f>
        <v>12.12121212121211</v>
      </c>
      <c r="L294" s="580">
        <f>+INPUT!BI311</f>
        <v>423</v>
      </c>
      <c r="M294" s="577">
        <f>+INPUT!BJ311</f>
        <v>28.963414634146346</v>
      </c>
      <c r="N294" s="580">
        <f>+INPUT!BK311</f>
        <v>397</v>
      </c>
      <c r="O294" s="577">
        <f>+INPUT!BL311</f>
        <v>17.455621301775139</v>
      </c>
      <c r="P294" s="580">
        <f>+INPUT!BM311</f>
        <v>428</v>
      </c>
      <c r="Q294" s="577">
        <f>+INPUT!BN311</f>
        <v>-3.8202247191011338</v>
      </c>
      <c r="R294" s="580">
        <f>+INPUT!BO311</f>
        <v>429</v>
      </c>
      <c r="S294" s="577">
        <f>+INPUT!BP311</f>
        <v>15.945945945945937</v>
      </c>
      <c r="T294" s="580">
        <f>+INPUT!BQ311</f>
        <v>374</v>
      </c>
      <c r="U294" s="577">
        <f>+INPUT!BR311</f>
        <v>-11.583924349881798</v>
      </c>
      <c r="V294" s="580">
        <f>+INPUT!BS311</f>
        <v>353</v>
      </c>
      <c r="W294" s="577">
        <f>+INPUT!BT311</f>
        <v>-11.083123425692705</v>
      </c>
      <c r="X294" s="580">
        <f>+INPUT!BU311</f>
        <v>298</v>
      </c>
      <c r="Y294" s="577">
        <f>+INPUT!BV311</f>
        <v>-30.373831775700936</v>
      </c>
      <c r="Z294" s="580">
        <f>+INPUT!BW311</f>
        <v>264</v>
      </c>
      <c r="AA294" s="577">
        <f>+INPUT!BX311</f>
        <v>-38.46153846153846</v>
      </c>
      <c r="AB294" s="580">
        <f>+INPUT!BY311</f>
        <v>309</v>
      </c>
      <c r="AC294" s="577">
        <f>+INPUT!BZ311</f>
        <v>-17.379679144385022</v>
      </c>
      <c r="AD294" s="580">
        <f>+INPUT!CA311</f>
        <v>262</v>
      </c>
      <c r="AE294" s="577">
        <f>+INPUT!CB311</f>
        <v>-25.779036827195469</v>
      </c>
      <c r="AF294" s="580">
        <f>+INPUT!CC311</f>
        <v>367</v>
      </c>
      <c r="AG294" s="577">
        <f>+INPUT!CD311</f>
        <v>23.154362416107375</v>
      </c>
      <c r="AH294" s="580">
        <f>+INPUT!CE311</f>
        <v>296</v>
      </c>
      <c r="AI294" s="577">
        <f>+INPUT!CF311</f>
        <v>12.12121212121211</v>
      </c>
      <c r="AJ294" s="580">
        <f>+INPUT!CG311</f>
        <v>370</v>
      </c>
      <c r="AK294" s="577">
        <f>+INPUT!CH311</f>
        <v>19.741100323624593</v>
      </c>
      <c r="AL294" s="580">
        <f>+INPUT!CI311</f>
        <v>345</v>
      </c>
      <c r="AM294" s="577">
        <f>+INPUT!CJ311</f>
        <v>31.679389312977094</v>
      </c>
      <c r="AN294" s="580">
        <f>+INPUT!CK311</f>
        <v>390</v>
      </c>
      <c r="AO294" s="577">
        <f>+INPUT!CL311</f>
        <v>6.2670299727520415</v>
      </c>
      <c r="AP294" s="580">
        <f>+INPUT!CM311</f>
        <v>394</v>
      </c>
      <c r="AQ294" s="577">
        <f>+INPUT!CN311</f>
        <v>33.108108108108127</v>
      </c>
      <c r="AR294" s="580">
        <f>+INPUT!CO311</f>
        <v>429</v>
      </c>
      <c r="AS294" s="577">
        <f>+INPUT!CP311</f>
        <v>15.945945945945937</v>
      </c>
      <c r="AT294" s="580">
        <f>+INPUT!CQ311</f>
        <v>390</v>
      </c>
      <c r="AU294" s="577">
        <f>+INPUT!CR311</f>
        <v>13.043478260869563</v>
      </c>
      <c r="AV294" s="580">
        <f>+INPUT!CS311</f>
        <v>457</v>
      </c>
      <c r="AW294" s="577">
        <f>+INPUT!CT311</f>
        <v>17.179487179487182</v>
      </c>
      <c r="AX294" s="580">
        <f>+INPUT!CU311</f>
        <v>416</v>
      </c>
      <c r="AY294" s="577">
        <f>+INPUT!CV311</f>
        <v>5.5837563451776759</v>
      </c>
      <c r="AZ294" s="580">
        <f>+INPUT!CW311</f>
        <v>441</v>
      </c>
      <c r="BA294" s="577">
        <f>+INPUT!CX311</f>
        <v>2.797202797202786</v>
      </c>
      <c r="BB294" s="580">
        <f>+INPUT!CY311</f>
        <v>435</v>
      </c>
      <c r="BC294" s="577">
        <f>+INPUT!CZ311</f>
        <v>11.538461538461547</v>
      </c>
      <c r="BD294" s="580">
        <f>+INPUT!DA311</f>
        <v>500</v>
      </c>
      <c r="BE294" s="577">
        <f>+INPUT!DB311</f>
        <v>9.4091903719912438</v>
      </c>
      <c r="BF294" s="580">
        <f>+INPUT!DC311</f>
        <v>473</v>
      </c>
      <c r="BG294" s="577">
        <f>+INPUT!DD311</f>
        <v>13.70192307692308</v>
      </c>
      <c r="BH294" s="580">
        <f>+INPUT!DE311</f>
        <v>490</v>
      </c>
      <c r="BI294" s="577">
        <f>+INPUT!DF311</f>
        <v>11.111111111111114</v>
      </c>
      <c r="BJ294" s="580">
        <f>+INPUT!DG311</f>
        <v>476</v>
      </c>
      <c r="BK294" s="577">
        <f>+INPUT!DH311</f>
        <v>9.4252873563218458</v>
      </c>
      <c r="BL294" s="580">
        <f>+INPUT!DI311</f>
        <v>516</v>
      </c>
      <c r="BM294" s="577">
        <f>+INPUT!DJ311</f>
        <v>3.2000000000000028</v>
      </c>
      <c r="BN294" s="580">
        <f>+INPUT!DK311</f>
        <v>474</v>
      </c>
      <c r="BO294" s="577">
        <f>+INPUT!DL311</f>
        <v>0.21141649048625766</v>
      </c>
      <c r="BP294" s="580">
        <f>+INPUT!DM311</f>
        <v>513</v>
      </c>
      <c r="BQ294" s="577">
        <f>+INPUT!DN311</f>
        <v>4.6938775510203925</v>
      </c>
      <c r="BR294" s="580">
        <f>+INPUT!DO311</f>
        <v>521</v>
      </c>
      <c r="BS294" s="577">
        <f>+INPUT!DP311</f>
        <v>9.4537815126050475</v>
      </c>
      <c r="BT294" s="580">
        <f>+INPUT!DQ311</f>
        <v>547</v>
      </c>
      <c r="BU294" s="577">
        <f>+INPUT!DR311</f>
        <v>6.0077519379845086</v>
      </c>
      <c r="BV294" s="580">
        <f>+INPUT!DS311</f>
        <v>528</v>
      </c>
      <c r="BW294" s="577">
        <f>+INPUT!DT311</f>
        <v>11.392405063291136</v>
      </c>
      <c r="BX294" s="580">
        <f>+INPUT!DU311</f>
        <v>580</v>
      </c>
      <c r="BY294" s="577">
        <f>+INPUT!DV311</f>
        <v>13.060428849902522</v>
      </c>
      <c r="BZ294" s="580">
        <f>+INPUT!DW311</f>
        <v>524</v>
      </c>
      <c r="CA294" s="577">
        <f>+INPUT!DX311</f>
        <v>0.57581573896352722</v>
      </c>
      <c r="CB294" s="580">
        <f>+INPUT!DY311</f>
        <v>533</v>
      </c>
      <c r="CC294" s="577">
        <f>+INPUT!DZ311</f>
        <v>-2.5594149908592385</v>
      </c>
      <c r="CD294" s="580">
        <f>+INPUT!EA311</f>
        <v>541</v>
      </c>
      <c r="CE294" s="577">
        <f>+INPUT!EB311</f>
        <v>2.4621212121212182</v>
      </c>
      <c r="CF294" s="580">
        <f>+INPUT!EC311</f>
        <v>525</v>
      </c>
      <c r="CG294" s="577">
        <f>+INPUT!ED311</f>
        <v>-9.4827586206896513</v>
      </c>
      <c r="CH294" s="580">
        <f>+INPUT!EE311</f>
        <v>559</v>
      </c>
      <c r="CI294" s="577">
        <f>+INPUT!EF311</f>
        <v>6.6793893129770936</v>
      </c>
      <c r="CJ294" s="580">
        <f>+INPUT!EG311</f>
        <v>549</v>
      </c>
      <c r="CK294" s="577">
        <f>+INPUT!EH311</f>
        <v>3.0018761726078793</v>
      </c>
      <c r="CL294" s="580">
        <f>+INPUT!EI311</f>
        <v>560</v>
      </c>
      <c r="CM294" s="577">
        <f>+INPUT!EJ311</f>
        <v>3.5120147874306866</v>
      </c>
      <c r="CN294" s="580">
        <f>+INPUT!EK311</f>
        <v>569</v>
      </c>
      <c r="CO294" s="577">
        <f>+INPUT!EL311</f>
        <v>8.3809523809523796</v>
      </c>
      <c r="CP294" s="580">
        <f>+INPUT!EM311</f>
        <v>568</v>
      </c>
      <c r="CQ294" s="577">
        <f>+INPUT!EN311</f>
        <v>1.6100178890876577</v>
      </c>
      <c r="CR294" s="580">
        <f>+INPUT!EO311</f>
        <v>679</v>
      </c>
      <c r="CS294" s="577">
        <f>+INPUT!EP311</f>
        <v>23.679417122040064</v>
      </c>
      <c r="CT294" s="580">
        <f>+INPUT!EQ311</f>
        <v>643.42964285101664</v>
      </c>
      <c r="CU294" s="577">
        <f>+INPUT!ER311</f>
        <v>14.898150509110124</v>
      </c>
      <c r="CV294" s="580">
        <f>+INPUT!ES311</f>
        <v>642.02540267239488</v>
      </c>
      <c r="CW294" s="577">
        <f>+INPUT!ET311</f>
        <v>12.833989924849718</v>
      </c>
      <c r="CX294" s="580">
        <f>+INPUT!EU311</f>
        <v>651.44978656506862</v>
      </c>
      <c r="CY294" s="577">
        <f>+INPUT!EV311</f>
        <v>14.69186383187828</v>
      </c>
      <c r="CZ294" s="580">
        <f>+INPUT!EW311</f>
        <v>666.01045494792345</v>
      </c>
      <c r="DA294" s="577">
        <f>+INPUT!EX311</f>
        <v>-1.9130405084059703</v>
      </c>
      <c r="DB294" s="580"/>
      <c r="DC294" s="580">
        <f>+INPUT!FP311</f>
        <v>1232</v>
      </c>
      <c r="DD294" s="577">
        <f>+INPUT!FQ311</f>
        <v>2.8380634390651238</v>
      </c>
      <c r="DE294" s="580">
        <f>+INPUT!FR311</f>
        <v>1441</v>
      </c>
      <c r="DF294" s="577">
        <f>+INPUT!FS311</f>
        <v>16.964285714285722</v>
      </c>
      <c r="DG294" s="580">
        <f>+INPUT!FT311</f>
        <v>1618</v>
      </c>
      <c r="DH294" s="577">
        <f>+INPUT!FU311</f>
        <v>12.283136710617626</v>
      </c>
      <c r="DI294" s="580">
        <f>+INPUT!FV311</f>
        <v>1454</v>
      </c>
      <c r="DJ294" s="577">
        <f>+INPUT!FW311</f>
        <v>-10.135970333745377</v>
      </c>
      <c r="DK294" s="580">
        <f>+INPUT!FX311</f>
        <v>1202</v>
      </c>
      <c r="DL294" s="577">
        <f>+INPUT!FY311</f>
        <v>-17.331499312242087</v>
      </c>
      <c r="DM294" s="580">
        <f>+INPUT!FZ311</f>
        <v>1401</v>
      </c>
      <c r="DN294" s="577">
        <f>+INPUT!GA311</f>
        <v>16.555740432612325</v>
      </c>
      <c r="DO294" s="580">
        <f>+INPUT!GB311</f>
        <v>1670</v>
      </c>
      <c r="DP294" s="577">
        <f>+INPUT!GC311</f>
        <v>19.200571020699499</v>
      </c>
      <c r="DQ294" s="580">
        <f>+INPUT!GD311</f>
        <v>1792</v>
      </c>
      <c r="DR294" s="577">
        <f>+INPUT!GE311</f>
        <v>7.3053892215568794</v>
      </c>
      <c r="DS294" s="580">
        <f>+INPUT!GF311</f>
        <v>1955</v>
      </c>
      <c r="DT294" s="577">
        <f>+INPUT!GG311</f>
        <v>9.0959821428571388</v>
      </c>
      <c r="DU294" s="580">
        <f>+INPUT!GH311</f>
        <v>2055</v>
      </c>
      <c r="DV294" s="577">
        <f>+INPUT!GI311</f>
        <v>5.1150895140664971</v>
      </c>
      <c r="DW294" s="580">
        <f>+INPUT!GJ311</f>
        <v>2165</v>
      </c>
      <c r="DX294" s="577">
        <f>+INPUT!GK311</f>
        <v>5.3527980535279767</v>
      </c>
      <c r="DY294" s="580">
        <f>+INPUT!GL311</f>
        <v>2174</v>
      </c>
      <c r="DZ294" s="577">
        <f>+INPUT!GM311</f>
        <v>0.41570438799077181</v>
      </c>
      <c r="EA294" s="580">
        <f>+INPUT!GN311</f>
        <v>2376</v>
      </c>
      <c r="EB294" s="577">
        <f>+INPUT!GO311</f>
        <v>9.2916283348666013</v>
      </c>
      <c r="EC294" s="580">
        <f>+INPUT!GP311</f>
        <v>2602.9152870364032</v>
      </c>
      <c r="ED294" s="577">
        <f>+INPUT!GQ311</f>
        <v>9.5503066934513186</v>
      </c>
      <c r="EE294" s="580">
        <f>+INPUT!GR311</f>
        <v>2748.4884361014279</v>
      </c>
      <c r="EF294" s="577">
        <f>+INPUT!GS311</f>
        <v>5.5926963812475776</v>
      </c>
      <c r="EG294" s="580">
        <f>+INPUT!GT311</f>
        <v>2874.7964646615442</v>
      </c>
      <c r="EH294" s="577">
        <f>+INPUT!GU311</f>
        <v>4.5955452059051538</v>
      </c>
      <c r="EI294" s="580">
        <f>+INPUT!GV311</f>
        <v>3001.0736734060256</v>
      </c>
      <c r="EJ294" s="577">
        <f>+INPUT!GW311</f>
        <v>4.3925617099069427</v>
      </c>
      <c r="EK294" s="580">
        <f>+INPUT!GX311</f>
        <v>3095.4910163891154</v>
      </c>
      <c r="EL294" s="577">
        <f>+INPUT!GY311</f>
        <v>3.1461187980744256</v>
      </c>
      <c r="EM294" s="577">
        <f>+INPUT!GZ311</f>
        <v>5.4330141247787456</v>
      </c>
    </row>
    <row r="295" spans="1:144" ht="12.75" hidden="1" customHeight="1" outlineLevel="1" x14ac:dyDescent="0.2">
      <c r="A295" s="609"/>
      <c r="B295" s="580"/>
      <c r="C295" s="577"/>
      <c r="D295" s="580"/>
      <c r="E295" s="577"/>
      <c r="F295" s="580"/>
      <c r="G295" s="577"/>
      <c r="H295" s="580"/>
      <c r="I295" s="577"/>
      <c r="J295" s="580"/>
      <c r="K295" s="577"/>
      <c r="L295" s="580"/>
      <c r="M295" s="577"/>
      <c r="N295" s="580"/>
      <c r="O295" s="577"/>
      <c r="P295" s="580"/>
      <c r="Q295" s="577"/>
      <c r="R295" s="580"/>
      <c r="S295" s="577"/>
      <c r="T295" s="580"/>
      <c r="U295" s="577"/>
      <c r="V295" s="580"/>
      <c r="W295" s="577"/>
      <c r="X295" s="580"/>
      <c r="Y295" s="577"/>
      <c r="Z295" s="580"/>
      <c r="AA295" s="577"/>
      <c r="AB295" s="580"/>
      <c r="AC295" s="577"/>
      <c r="AD295" s="580"/>
      <c r="AE295" s="577"/>
      <c r="AF295" s="580"/>
      <c r="AG295" s="577"/>
      <c r="AH295" s="580"/>
      <c r="AI295" s="577"/>
      <c r="AJ295" s="580"/>
      <c r="AK295" s="577"/>
      <c r="AL295" s="580"/>
      <c r="AM295" s="577"/>
      <c r="AN295" s="580"/>
      <c r="AO295" s="577"/>
      <c r="AP295" s="580"/>
      <c r="AQ295" s="577"/>
      <c r="AR295" s="580"/>
      <c r="AS295" s="577"/>
      <c r="AT295" s="580"/>
      <c r="AU295" s="577"/>
      <c r="AV295" s="580"/>
      <c r="AW295" s="577"/>
      <c r="AX295" s="580"/>
      <c r="AY295" s="577"/>
      <c r="AZ295" s="580"/>
      <c r="BA295" s="577"/>
      <c r="BB295" s="580"/>
      <c r="BC295" s="577"/>
      <c r="BD295" s="580"/>
      <c r="BE295" s="577"/>
      <c r="BF295" s="580"/>
      <c r="BG295" s="577"/>
      <c r="BH295" s="580"/>
      <c r="BI295" s="577"/>
      <c r="BJ295" s="580"/>
      <c r="BK295" s="577"/>
      <c r="BL295" s="580"/>
      <c r="BM295" s="577"/>
      <c r="BN295" s="580"/>
      <c r="BO295" s="577"/>
      <c r="BP295" s="580"/>
      <c r="BQ295" s="577"/>
      <c r="BR295" s="580"/>
      <c r="BS295" s="577"/>
      <c r="BT295" s="580"/>
      <c r="BU295" s="577"/>
      <c r="BV295" s="580"/>
      <c r="BW295" s="577"/>
      <c r="BX295" s="580"/>
      <c r="BY295" s="577"/>
      <c r="BZ295" s="580"/>
      <c r="CA295" s="577"/>
      <c r="CB295" s="580"/>
      <c r="CC295" s="577"/>
      <c r="CD295" s="580"/>
      <c r="CE295" s="577"/>
      <c r="CF295" s="580"/>
      <c r="CG295" s="577"/>
      <c r="CH295" s="580"/>
      <c r="CI295" s="577"/>
      <c r="CJ295" s="580"/>
      <c r="CK295" s="577"/>
      <c r="CL295" s="580"/>
      <c r="CM295" s="577"/>
      <c r="CN295" s="580"/>
      <c r="CO295" s="577"/>
      <c r="CP295" s="580"/>
      <c r="CQ295" s="577"/>
      <c r="CR295" s="580"/>
      <c r="CS295" s="577"/>
      <c r="CT295" s="580"/>
      <c r="CU295" s="577"/>
      <c r="CV295" s="580"/>
      <c r="CW295" s="577"/>
      <c r="CX295" s="580"/>
      <c r="CY295" s="577"/>
      <c r="CZ295" s="580"/>
      <c r="DA295" s="577"/>
      <c r="DB295" s="580"/>
      <c r="DC295" s="580"/>
      <c r="DD295" s="577"/>
      <c r="DE295" s="580"/>
      <c r="DF295" s="577"/>
      <c r="DG295" s="580"/>
      <c r="DH295" s="577"/>
      <c r="DI295" s="580"/>
      <c r="DJ295" s="577"/>
      <c r="DK295" s="580"/>
      <c r="DL295" s="577"/>
      <c r="DM295" s="580"/>
      <c r="DN295" s="577"/>
      <c r="DO295" s="580"/>
      <c r="DP295" s="577"/>
      <c r="DQ295" s="580"/>
      <c r="DR295" s="577"/>
      <c r="DS295" s="580"/>
      <c r="DT295" s="577"/>
      <c r="DU295" s="580"/>
      <c r="DV295" s="577"/>
      <c r="DW295" s="580"/>
      <c r="DX295" s="577"/>
      <c r="DY295" s="580"/>
      <c r="DZ295" s="577"/>
      <c r="EA295" s="580"/>
      <c r="EB295" s="577"/>
      <c r="EC295" s="580"/>
      <c r="ED295" s="577"/>
      <c r="EE295" s="580"/>
      <c r="EF295" s="577"/>
      <c r="EG295" s="580"/>
      <c r="EH295" s="577"/>
      <c r="EI295" s="580"/>
      <c r="EJ295" s="577"/>
      <c r="EK295" s="580"/>
      <c r="EL295" s="577"/>
      <c r="EM295" s="577"/>
    </row>
    <row r="296" spans="1:144" ht="12.75" hidden="1" customHeight="1" outlineLevel="1" x14ac:dyDescent="0.2">
      <c r="A296" s="611" t="s">
        <v>706</v>
      </c>
      <c r="B296" s="602">
        <f>+INPUT!AY316</f>
        <v>154</v>
      </c>
      <c r="C296" s="612">
        <f>+INPUT!AZ316</f>
        <v>14.925373134328353</v>
      </c>
      <c r="D296" s="602">
        <f>+INPUT!BA316</f>
        <v>127</v>
      </c>
      <c r="E296" s="612">
        <f>+INPUT!BB316</f>
        <v>20.952380952380949</v>
      </c>
      <c r="F296" s="602">
        <f>+INPUT!BC316</f>
        <v>102</v>
      </c>
      <c r="G296" s="612">
        <f>+INPUT!BD316</f>
        <v>-12.068965517241381</v>
      </c>
      <c r="H296" s="602">
        <f>+INPUT!BE316</f>
        <v>167</v>
      </c>
      <c r="I296" s="612">
        <f>+INPUT!BF316</f>
        <v>53.211009174311926</v>
      </c>
      <c r="J296" s="602">
        <f>+INPUT!BG316</f>
        <v>175</v>
      </c>
      <c r="K296" s="612">
        <f>+INPUT!BH316</f>
        <v>13.63636363636364</v>
      </c>
      <c r="L296" s="602">
        <f>+INPUT!BI316</f>
        <v>167</v>
      </c>
      <c r="M296" s="612">
        <f>+INPUT!BJ316</f>
        <v>31.496062992125985</v>
      </c>
      <c r="N296" s="602">
        <f>+INPUT!BK316</f>
        <v>161</v>
      </c>
      <c r="O296" s="612">
        <f>+INPUT!BL316</f>
        <v>57.843137254901961</v>
      </c>
      <c r="P296" s="602">
        <f>+INPUT!BM316</f>
        <v>198</v>
      </c>
      <c r="Q296" s="612">
        <f>+INPUT!BN316</f>
        <v>18.562874251497007</v>
      </c>
      <c r="R296" s="602">
        <f>+INPUT!BO316</f>
        <v>119</v>
      </c>
      <c r="S296" s="612">
        <f>+INPUT!BP316</f>
        <v>-32</v>
      </c>
      <c r="T296" s="602">
        <f>+INPUT!BQ316</f>
        <v>190</v>
      </c>
      <c r="U296" s="612">
        <f>+INPUT!BR316</f>
        <v>13.772455089820369</v>
      </c>
      <c r="V296" s="602">
        <f>+INPUT!BS316</f>
        <v>-8</v>
      </c>
      <c r="W296" s="612" t="str">
        <f>+INPUT!BT316</f>
        <v>NM</v>
      </c>
      <c r="X296" s="602">
        <f>+INPUT!BU316</f>
        <v>-69</v>
      </c>
      <c r="Y296" s="612" t="str">
        <f>+INPUT!BV316</f>
        <v>NM</v>
      </c>
      <c r="Z296" s="602">
        <f>+INPUT!BW316</f>
        <v>-1</v>
      </c>
      <c r="AA296" s="612" t="str">
        <f>+INPUT!BX316</f>
        <v>NM</v>
      </c>
      <c r="AB296" s="602">
        <f>+INPUT!BY316</f>
        <v>33</v>
      </c>
      <c r="AC296" s="612" t="str">
        <f>+INPUT!BZ316</f>
        <v>NM</v>
      </c>
      <c r="AD296" s="602">
        <f>+INPUT!CA316</f>
        <v>29</v>
      </c>
      <c r="AE296" s="612" t="str">
        <f>+INPUT!CB316</f>
        <v>NM</v>
      </c>
      <c r="AF296" s="602">
        <f>+INPUT!CC316</f>
        <v>-6</v>
      </c>
      <c r="AG296" s="612" t="str">
        <f>+INPUT!CD316</f>
        <v>NM</v>
      </c>
      <c r="AH296" s="602">
        <f>+INPUT!CE316</f>
        <v>83</v>
      </c>
      <c r="AI296" s="612" t="str">
        <f>+INPUT!CF316</f>
        <v>NM</v>
      </c>
      <c r="AJ296" s="602">
        <f>+INPUT!CG316</f>
        <v>124</v>
      </c>
      <c r="AK296" s="612" t="str">
        <f>+INPUT!CH316</f>
        <v>NM</v>
      </c>
      <c r="AL296" s="602">
        <f>+INPUT!CI316</f>
        <v>148</v>
      </c>
      <c r="AM296" s="612" t="str">
        <f>+INPUT!CJ316</f>
        <v>NM</v>
      </c>
      <c r="AN296" s="602">
        <f>+INPUT!CK316</f>
        <v>132</v>
      </c>
      <c r="AO296" s="612" t="str">
        <f>+INPUT!CL316</f>
        <v>NM</v>
      </c>
      <c r="AP296" s="602">
        <f>+INPUT!CM316</f>
        <v>154</v>
      </c>
      <c r="AQ296" s="612">
        <f>+INPUT!CN316</f>
        <v>85.542168674698786</v>
      </c>
      <c r="AR296" s="602">
        <f>+INPUT!CO316</f>
        <v>227</v>
      </c>
      <c r="AS296" s="612">
        <f>+INPUT!CP316</f>
        <v>83.064516129032256</v>
      </c>
      <c r="AT296" s="602">
        <f>+INPUT!CQ316</f>
        <v>123</v>
      </c>
      <c r="AU296" s="612">
        <f>+INPUT!CR316</f>
        <v>-16.891891891891902</v>
      </c>
      <c r="AV296" s="602">
        <f>+INPUT!CS316</f>
        <v>256</v>
      </c>
      <c r="AW296" s="612">
        <f>+INPUT!CT316</f>
        <v>93.939393939393938</v>
      </c>
      <c r="AX296" s="602">
        <f>+INPUT!CU316</f>
        <v>147</v>
      </c>
      <c r="AY296" s="612">
        <f>+INPUT!CV316</f>
        <v>-4.5454545454545467</v>
      </c>
      <c r="AZ296" s="602">
        <f>+INPUT!CW316</f>
        <v>55</v>
      </c>
      <c r="BA296" s="612" t="str">
        <f>+INPUT!CX316</f>
        <v>NM</v>
      </c>
      <c r="BB296" s="602">
        <f>+INPUT!CY316</f>
        <v>197</v>
      </c>
      <c r="BC296" s="612">
        <f>+INPUT!CZ316</f>
        <v>60.162601626016254</v>
      </c>
      <c r="BD296" s="602">
        <f>+INPUT!DA316</f>
        <v>185</v>
      </c>
      <c r="BE296" s="612">
        <f>+INPUT!DB316</f>
        <v>-27.734375</v>
      </c>
      <c r="BF296" s="602">
        <f>+INPUT!DC316</f>
        <v>169</v>
      </c>
      <c r="BG296" s="612">
        <f>+INPUT!DD316</f>
        <v>14.965986394557817</v>
      </c>
      <c r="BH296" s="602">
        <f>+INPUT!DE316</f>
        <v>172</v>
      </c>
      <c r="BI296" s="612" t="str">
        <f>+INPUT!DF316</f>
        <v>NM</v>
      </c>
      <c r="BJ296" s="602">
        <f>+INPUT!DG316</f>
        <v>173</v>
      </c>
      <c r="BK296" s="612">
        <f>+INPUT!DH316</f>
        <v>-12.182741116751274</v>
      </c>
      <c r="BL296" s="602">
        <f>+INPUT!DI316</f>
        <v>209</v>
      </c>
      <c r="BM296" s="612">
        <f>+INPUT!DJ316</f>
        <v>12.972972972972968</v>
      </c>
      <c r="BN296" s="602">
        <f>+INPUT!DK316</f>
        <v>193</v>
      </c>
      <c r="BO296" s="612">
        <f>+INPUT!DL316</f>
        <v>14.201183431952671</v>
      </c>
      <c r="BP296" s="602">
        <f>+INPUT!DM316</f>
        <v>200</v>
      </c>
      <c r="BQ296" s="612">
        <f>+INPUT!DN316</f>
        <v>16.279069767441868</v>
      </c>
      <c r="BR296" s="602">
        <f>+INPUT!DO316</f>
        <v>200</v>
      </c>
      <c r="BS296" s="612">
        <f>+INPUT!DP316</f>
        <v>15.606936416184979</v>
      </c>
      <c r="BT296" s="602">
        <f>+INPUT!DQ316</f>
        <v>192</v>
      </c>
      <c r="BU296" s="612">
        <f>+INPUT!DR316</f>
        <v>-8.1339712918660325</v>
      </c>
      <c r="BV296" s="602">
        <f>+INPUT!DS316</f>
        <v>205</v>
      </c>
      <c r="BW296" s="612">
        <f>+INPUT!DT316</f>
        <v>6.2176165803108745</v>
      </c>
      <c r="BX296" s="602">
        <f>+INPUT!DU316</f>
        <v>196</v>
      </c>
      <c r="BY296" s="612">
        <f>+INPUT!DV316</f>
        <v>-2</v>
      </c>
      <c r="BZ296" s="602">
        <f>+INPUT!DW316</f>
        <v>180</v>
      </c>
      <c r="CA296" s="612">
        <f>+INPUT!DX316</f>
        <v>-10</v>
      </c>
      <c r="CB296" s="602">
        <f>+INPUT!DY316</f>
        <v>198</v>
      </c>
      <c r="CC296" s="612">
        <f>+INPUT!DZ316</f>
        <v>3.125</v>
      </c>
      <c r="CD296" s="602">
        <f>+INPUT!EA316</f>
        <v>165</v>
      </c>
      <c r="CE296" s="612">
        <f>+INPUT!EB316</f>
        <v>-19.512195121951208</v>
      </c>
      <c r="CF296" s="602">
        <f>+INPUT!EC316</f>
        <v>207</v>
      </c>
      <c r="CG296" s="612">
        <f>+INPUT!ED316</f>
        <v>5.6122448979591724</v>
      </c>
      <c r="CH296" s="602">
        <f>+INPUT!EE316</f>
        <v>191</v>
      </c>
      <c r="CI296" s="612">
        <f>+INPUT!EF316</f>
        <v>6.1111111111111143</v>
      </c>
      <c r="CJ296" s="602">
        <f>+INPUT!EG316</f>
        <v>224</v>
      </c>
      <c r="CK296" s="612">
        <f>+INPUT!EH316</f>
        <v>13.131313131313121</v>
      </c>
      <c r="CL296" s="602">
        <f>+INPUT!EI316</f>
        <v>196</v>
      </c>
      <c r="CM296" s="612">
        <f>+INPUT!EJ316</f>
        <v>18.787878787878796</v>
      </c>
      <c r="CN296" s="602">
        <f>+INPUT!EK316</f>
        <v>218</v>
      </c>
      <c r="CO296" s="612">
        <f>+INPUT!EL316</f>
        <v>5.3140096618357546</v>
      </c>
      <c r="CP296" s="602">
        <f>+INPUT!EM316</f>
        <v>259</v>
      </c>
      <c r="CQ296" s="612">
        <f>+INPUT!EN316</f>
        <v>35.602094240837687</v>
      </c>
      <c r="CR296" s="602">
        <f>+INPUT!EO316</f>
        <v>306</v>
      </c>
      <c r="CS296" s="612">
        <f>+INPUT!EP316</f>
        <v>36.607142857142861</v>
      </c>
      <c r="CT296" s="602">
        <f>+INPUT!EQ316</f>
        <v>248.7617701489836</v>
      </c>
      <c r="CU296" s="612">
        <f>+INPUT!ER316</f>
        <v>26.9192704841753</v>
      </c>
      <c r="CV296" s="602">
        <f>+INPUT!ES316</f>
        <v>248.08063873696301</v>
      </c>
      <c r="CW296" s="612">
        <f>+INPUT!ET316</f>
        <v>13.798458136221555</v>
      </c>
      <c r="CX296" s="602">
        <f>+INPUT!EU316</f>
        <v>251.77587255214337</v>
      </c>
      <c r="CY296" s="612">
        <f>+INPUT!EV316</f>
        <v>-2.7892383968558363</v>
      </c>
      <c r="CZ296" s="602">
        <f>+INPUT!EW316</f>
        <v>251.08787798307571</v>
      </c>
      <c r="DA296" s="612">
        <f>+INPUT!EX316</f>
        <v>-17.945137914027541</v>
      </c>
      <c r="DB296" s="602"/>
      <c r="DC296" s="602">
        <f>+INPUT!FP316</f>
        <v>464</v>
      </c>
      <c r="DD296" s="612">
        <f>+INPUT!FQ316</f>
        <v>74.436090225563902</v>
      </c>
      <c r="DE296" s="602">
        <f>+INPUT!FR316</f>
        <v>550</v>
      </c>
      <c r="DF296" s="612">
        <f>+INPUT!FS316</f>
        <v>18.534482758620683</v>
      </c>
      <c r="DG296" s="602">
        <f>+INPUT!FT316</f>
        <v>701</v>
      </c>
      <c r="DH296" s="612">
        <f>+INPUT!FU316</f>
        <v>27.454545454545467</v>
      </c>
      <c r="DI296" s="602">
        <f>+INPUT!FV316</f>
        <v>232</v>
      </c>
      <c r="DJ296" s="612" t="str">
        <f>+INPUT!FW316</f>
        <v>NM</v>
      </c>
      <c r="DK296" s="602">
        <f>+INPUT!FX316</f>
        <v>55</v>
      </c>
      <c r="DL296" s="612" t="str">
        <f>+INPUT!FY316</f>
        <v>NM</v>
      </c>
      <c r="DM296" s="602">
        <f>+INPUT!FZ316</f>
        <v>487</v>
      </c>
      <c r="DN296" s="612" t="str">
        <f>+INPUT!GA316</f>
        <v>NM</v>
      </c>
      <c r="DO296" s="602">
        <f>+INPUT!GB316</f>
        <v>760</v>
      </c>
      <c r="DP296" s="612">
        <f>+INPUT!GC316</f>
        <v>56.057494866529765</v>
      </c>
      <c r="DQ296" s="602">
        <f>+INPUT!GD316</f>
        <v>584</v>
      </c>
      <c r="DR296" s="612">
        <f>+INPUT!GE316</f>
        <v>-23.15789473684211</v>
      </c>
      <c r="DS296" s="602">
        <f>+INPUT!GF316</f>
        <v>723</v>
      </c>
      <c r="DT296" s="612">
        <f>+INPUT!GG316</f>
        <v>23.80136986301369</v>
      </c>
      <c r="DU296" s="602">
        <f>+INPUT!GH316</f>
        <v>785</v>
      </c>
      <c r="DV296" s="612">
        <f>+INPUT!GI316</f>
        <v>8.5753803596127227</v>
      </c>
      <c r="DW296" s="602">
        <f>+INPUT!GJ316</f>
        <v>779</v>
      </c>
      <c r="DX296" s="612">
        <f>+INPUT!GK316</f>
        <v>-0.76433121019108796</v>
      </c>
      <c r="DY296" s="602">
        <f>+INPUT!GL316</f>
        <v>787</v>
      </c>
      <c r="DZ296" s="612">
        <f>+INPUT!GM316</f>
        <v>1.0269576379974268</v>
      </c>
      <c r="EA296" s="602">
        <f>+INPUT!GN316</f>
        <v>979</v>
      </c>
      <c r="EB296" s="612">
        <f>+INPUT!GO316</f>
        <v>24.396442185514616</v>
      </c>
      <c r="EC296" s="602">
        <f>+INPUT!GP316</f>
        <v>999.70615942116592</v>
      </c>
      <c r="ED296" s="612">
        <f>+INPUT!GQ316</f>
        <v>2.1150316058392065</v>
      </c>
      <c r="EE296" s="602">
        <f>+INPUT!GR316</f>
        <v>1054.0497274759146</v>
      </c>
      <c r="EF296" s="612">
        <f>+INPUT!GS316</f>
        <v>5.4359541093768655</v>
      </c>
      <c r="EG296" s="602">
        <f>+INPUT!GT316</f>
        <v>1100.2812256602492</v>
      </c>
      <c r="EH296" s="612">
        <f>+INPUT!GU316</f>
        <v>4.3860832159259928</v>
      </c>
      <c r="EI296" s="602">
        <f>+INPUT!GV316</f>
        <v>1146.0943113049616</v>
      </c>
      <c r="EJ296" s="612">
        <f>+INPUT!GW316</f>
        <v>4.1637614617318519</v>
      </c>
      <c r="EK296" s="602">
        <f>+INPUT!GX316</f>
        <v>1178.6654491965437</v>
      </c>
      <c r="EL296" s="612">
        <f>+INPUT!GY316</f>
        <v>2.8419247500230682</v>
      </c>
      <c r="EM296" s="612">
        <f>+INPUT!GZ316</f>
        <v>3.7818892258121739</v>
      </c>
    </row>
    <row r="297" spans="1:144" ht="12.75" hidden="1" customHeight="1" outlineLevel="2" x14ac:dyDescent="0.2">
      <c r="A297" s="582" t="s">
        <v>683</v>
      </c>
      <c r="B297" s="583">
        <f>(B286+B287-B291-B292-B293)-B296</f>
        <v>0</v>
      </c>
      <c r="C297" s="584"/>
      <c r="D297" s="583">
        <f>(D286+D287-D291-D292-D293)-D296</f>
        <v>0</v>
      </c>
      <c r="E297" s="584"/>
      <c r="F297" s="583">
        <f>(F286+F287-F291-F292-F293)-F296</f>
        <v>0</v>
      </c>
      <c r="G297" s="584"/>
      <c r="H297" s="583">
        <f>(H286+H287-H291-H292-H293)-H296</f>
        <v>0</v>
      </c>
      <c r="I297" s="584"/>
      <c r="J297" s="583">
        <f>(J286+J287-J291-J292-J293)-J296</f>
        <v>0</v>
      </c>
      <c r="K297" s="584"/>
      <c r="L297" s="583">
        <f>(L286+L287-L291-L292-L293)-L296</f>
        <v>0</v>
      </c>
      <c r="M297" s="584"/>
      <c r="N297" s="583">
        <f>(N286+N287-N291-N292-N293)-N296</f>
        <v>0</v>
      </c>
      <c r="O297" s="584"/>
      <c r="P297" s="583">
        <f>(P286+P287-P291-P292-P293)-P296</f>
        <v>0</v>
      </c>
      <c r="Q297" s="584"/>
      <c r="R297" s="583">
        <f>(R286+R287-R291-R292-R293)-R296</f>
        <v>0</v>
      </c>
      <c r="S297" s="584"/>
      <c r="T297" s="583">
        <f>(T286+T287-T291-T292-T293)-T296</f>
        <v>0</v>
      </c>
      <c r="U297" s="584"/>
      <c r="V297" s="583">
        <f>(V286+V287-V291-V292-V293)-V296</f>
        <v>0</v>
      </c>
      <c r="W297" s="584"/>
      <c r="X297" s="583">
        <f>(X286+X287-X291-X292-X293)-X296</f>
        <v>0</v>
      </c>
      <c r="Y297" s="584"/>
      <c r="Z297" s="583">
        <f>(Z286+Z287-Z291-Z292-Z293)-Z296</f>
        <v>0</v>
      </c>
      <c r="AA297" s="584"/>
      <c r="AB297" s="583">
        <f>(AB286+AB287-AB291-AB292-AB293)-AB296</f>
        <v>0</v>
      </c>
      <c r="AC297" s="584"/>
      <c r="AD297" s="583">
        <f>(AD286+AD287-AD291-AD292-AD293)-AD296</f>
        <v>0</v>
      </c>
      <c r="AE297" s="584"/>
      <c r="AF297" s="583">
        <f>(AF286+AF287-AF291-AF292-AF293)-AF296</f>
        <v>0</v>
      </c>
      <c r="AG297" s="584"/>
      <c r="AH297" s="583">
        <f>(AH286+AH287-AH291-AH292-AH293)-AH296</f>
        <v>0</v>
      </c>
      <c r="AI297" s="584"/>
      <c r="AJ297" s="583">
        <f>(AJ286+AJ287-AJ291-AJ292-AJ293)-AJ296</f>
        <v>0</v>
      </c>
      <c r="AK297" s="584"/>
      <c r="AL297" s="583">
        <f>(AL286+AL287-AL291-AL292-AL293)-AL296</f>
        <v>0</v>
      </c>
      <c r="AM297" s="584"/>
      <c r="AN297" s="583">
        <f>(AN286+AN287-AN291-AN292-AN293)-AN296</f>
        <v>0</v>
      </c>
      <c r="AO297" s="584"/>
      <c r="AP297" s="583">
        <f>(AP286+AP287-AP291-AP292-AP293)-AP296</f>
        <v>0</v>
      </c>
      <c r="AQ297" s="584"/>
      <c r="AR297" s="583">
        <f>(AR286+AR287-AR291-AR292-AR293)-AR296</f>
        <v>0</v>
      </c>
      <c r="AS297" s="584"/>
      <c r="AT297" s="583">
        <f>(AT286+AT287-AT291-AT292-AT293)-AT296</f>
        <v>0</v>
      </c>
      <c r="AU297" s="584"/>
      <c r="AV297" s="583">
        <f>(AV286+AV287-AV291-AV292-AV293)-AV296</f>
        <v>0</v>
      </c>
      <c r="AW297" s="584"/>
      <c r="AX297" s="583">
        <f>(AX286+AX287-AX291-AX292-AX293)-AX296</f>
        <v>0</v>
      </c>
      <c r="AY297" s="584"/>
      <c r="AZ297" s="583">
        <f>(AZ286+AZ287-AZ291-AZ292-AZ293)-AZ296</f>
        <v>0</v>
      </c>
      <c r="BA297" s="584"/>
      <c r="BB297" s="583">
        <f>(BB286+BB287-BB291-BB292-BB293)-BB296</f>
        <v>0</v>
      </c>
      <c r="BC297" s="584"/>
      <c r="BD297" s="583">
        <f>(BD286+BD287-BD291-BD292-BD293)-BD296</f>
        <v>0</v>
      </c>
      <c r="BE297" s="584"/>
      <c r="BF297" s="583">
        <f>(BF286+BF287-BF291-BF292-BF293)-BF296</f>
        <v>0</v>
      </c>
      <c r="BG297" s="584"/>
      <c r="BH297" s="583">
        <f>(BH286+BH287-BH291-BH292-BH293)-BH296</f>
        <v>0</v>
      </c>
      <c r="BI297" s="584"/>
      <c r="BJ297" s="583">
        <f>(BJ286+BJ287-BJ291-BJ292-BJ293)-BJ296</f>
        <v>0</v>
      </c>
      <c r="BK297" s="584"/>
      <c r="BL297" s="583">
        <f>(BL286+BL287-BL291-BL292-BL293)-BL296</f>
        <v>0</v>
      </c>
      <c r="BM297" s="584"/>
      <c r="BN297" s="583">
        <f>(BN286+BN287-BN291-BN292-BN293)-BN296</f>
        <v>0</v>
      </c>
      <c r="BO297" s="584"/>
      <c r="BP297" s="583">
        <f>(BP286+BP287-BP291-BP292-BP293)-BP296</f>
        <v>0</v>
      </c>
      <c r="BQ297" s="584"/>
      <c r="BR297" s="583">
        <f>(BR286+BR287-BR291-BR292-BR293)-BR296</f>
        <v>0</v>
      </c>
      <c r="BS297" s="584"/>
      <c r="BT297" s="583">
        <f>(BT286+BT287-BT291-BT292-BT293)-BT296</f>
        <v>0</v>
      </c>
      <c r="BU297" s="584"/>
      <c r="BV297" s="583">
        <f>(BV286+BV287-BV291-BV292-BV293)-BV296</f>
        <v>0</v>
      </c>
      <c r="BW297" s="584"/>
      <c r="BX297" s="583">
        <f>(BX286+BX287-BX291-BX292-BX293)-BX296</f>
        <v>0</v>
      </c>
      <c r="BY297" s="584"/>
      <c r="BZ297" s="583">
        <f>(BZ286+BZ287-BZ291-BZ292-BZ293)-BZ296</f>
        <v>0</v>
      </c>
      <c r="CA297" s="584"/>
      <c r="CB297" s="583">
        <f>(CB286+CB287-CB291-CB292-CB293)-CB296</f>
        <v>0</v>
      </c>
      <c r="CC297" s="584"/>
      <c r="CD297" s="583">
        <f>(CD286+CD287-CD291-CD292-CD293)-CD296</f>
        <v>0</v>
      </c>
      <c r="CE297" s="584"/>
      <c r="CF297" s="583">
        <f>(CF286+CF287-CF291-CF292-CF293)-CF296</f>
        <v>0</v>
      </c>
      <c r="CG297" s="584"/>
      <c r="CH297" s="583">
        <f>(CH286+CH287-CH291-CH292-CH293)-CH296</f>
        <v>0</v>
      </c>
      <c r="CI297" s="584"/>
      <c r="CJ297" s="583">
        <f>(CJ286+CJ287-CJ291-CJ292-CJ293)-CJ296</f>
        <v>0</v>
      </c>
      <c r="CK297" s="584"/>
      <c r="CL297" s="583">
        <f>(CL286+CL287-CL291-CL292-CL293)-CL296</f>
        <v>0</v>
      </c>
      <c r="CM297" s="584"/>
      <c r="CN297" s="583">
        <f>(CN286+CN287-CN291-CN292-CN293)-CN296</f>
        <v>0</v>
      </c>
      <c r="CO297" s="584"/>
      <c r="CP297" s="583">
        <f>(CP286+CP287-CP291-CP292-CP293)-CP296</f>
        <v>0</v>
      </c>
      <c r="CQ297" s="584"/>
      <c r="CR297" s="583">
        <f>(CR286+CR287-CR291-CR292-CR293)-CR296</f>
        <v>0</v>
      </c>
      <c r="CS297" s="584"/>
      <c r="CT297" s="583">
        <f>(CT286+CT287-CT291-CT292-CT293)-CT296</f>
        <v>0</v>
      </c>
      <c r="CU297" s="584"/>
      <c r="CV297" s="583">
        <f>(CV286+CV287-CV291-CV292-CV293)-CV296</f>
        <v>0</v>
      </c>
      <c r="CW297" s="584"/>
      <c r="CX297" s="583">
        <f>(CX286+CX287-CX291-CX292-CX293)-CX296</f>
        <v>0</v>
      </c>
      <c r="CY297" s="584"/>
      <c r="CZ297" s="583">
        <f>(CZ286+CZ287-CZ291-CZ292-CZ293)-CZ296</f>
        <v>0</v>
      </c>
      <c r="DA297" s="584"/>
      <c r="DB297" s="583"/>
      <c r="DC297" s="583">
        <f>(DC286+DC287-DC291-DC292-DC293)-DC296</f>
        <v>0</v>
      </c>
      <c r="DD297" s="584"/>
      <c r="DE297" s="583">
        <f>(DE286+DE287-DE291-DE292-DE293)-DE296</f>
        <v>0</v>
      </c>
      <c r="DF297" s="584"/>
      <c r="DG297" s="583">
        <f>(DG286+DG287-DG291-DG292-DG293)-DG296</f>
        <v>0</v>
      </c>
      <c r="DH297" s="584"/>
      <c r="DI297" s="583">
        <f>(DI286+DI287-DI291-DI292-DI293)-DI296</f>
        <v>0</v>
      </c>
      <c r="DJ297" s="584"/>
      <c r="DK297" s="583">
        <f>(DK286+DK287-DK291-DK292-DK293)-DK296</f>
        <v>0</v>
      </c>
      <c r="DL297" s="584"/>
      <c r="DM297" s="583">
        <f>(DM286+DM287-DM291-DM292-DM293)-DM296</f>
        <v>0</v>
      </c>
      <c r="DN297" s="584"/>
      <c r="DO297" s="583">
        <f>(DO286+DO287-DO291-DO292-DO293)-DO296</f>
        <v>0</v>
      </c>
      <c r="DP297" s="584"/>
      <c r="DQ297" s="583">
        <f>(DQ286+DQ287-DQ291-DQ292-DQ293)-DQ296</f>
        <v>0</v>
      </c>
      <c r="DR297" s="584"/>
      <c r="DS297" s="583">
        <f>(DS286+DS287-DS291-DS292-DS293)-DS296</f>
        <v>0</v>
      </c>
      <c r="DT297" s="584"/>
      <c r="DU297" s="583">
        <f>(DU286+DU287-DU291-DU292-DU293)-DU296</f>
        <v>0</v>
      </c>
      <c r="DV297" s="584"/>
      <c r="DW297" s="583">
        <f>(DW286+DW287-DW291-DW292-DW293)-DW296</f>
        <v>0</v>
      </c>
      <c r="DX297" s="584"/>
      <c r="DY297" s="583">
        <f>(DY286+DY287-DY291-DY292-DY293)-DY296</f>
        <v>0</v>
      </c>
      <c r="DZ297" s="584"/>
      <c r="EA297" s="583">
        <f>(EA286+EA287-EA291-EA292-EA293)-EA296</f>
        <v>0</v>
      </c>
      <c r="EB297" s="584"/>
      <c r="EC297" s="583">
        <f>(EC286+EC287-EC291-EC292-EC293)-EC296</f>
        <v>0</v>
      </c>
      <c r="ED297" s="584"/>
      <c r="EE297" s="583">
        <f>(EE286+EE287-EE291-EE292-EE293)-EE296</f>
        <v>0</v>
      </c>
      <c r="EF297" s="584"/>
      <c r="EG297" s="583">
        <f>(EG286+EG287-EG291-EG292-EG293)-EG296</f>
        <v>0</v>
      </c>
      <c r="EH297" s="584"/>
      <c r="EI297" s="583">
        <f>(EI286+EI287-EI291-EI292-EI293)-EI296</f>
        <v>0</v>
      </c>
      <c r="EJ297" s="584"/>
      <c r="EK297" s="583">
        <f>(EK286+EK287-EK291-EK292-EK293)-EK296</f>
        <v>0</v>
      </c>
      <c r="EL297" s="584"/>
      <c r="EM297" s="583"/>
      <c r="EN297" s="584"/>
    </row>
    <row r="298" spans="1:144" ht="12.75" hidden="1" customHeight="1" outlineLevel="1" x14ac:dyDescent="0.2">
      <c r="A298" s="613"/>
      <c r="B298" s="580"/>
      <c r="C298" s="577"/>
      <c r="D298" s="580"/>
      <c r="E298" s="577"/>
      <c r="F298" s="580"/>
      <c r="G298" s="577"/>
      <c r="H298" s="580"/>
      <c r="I298" s="577"/>
      <c r="J298" s="580"/>
      <c r="K298" s="577"/>
      <c r="L298" s="580"/>
      <c r="M298" s="577"/>
      <c r="N298" s="580"/>
      <c r="O298" s="577"/>
      <c r="P298" s="580"/>
      <c r="Q298" s="577"/>
      <c r="R298" s="580"/>
      <c r="S298" s="577"/>
      <c r="T298" s="580"/>
      <c r="U298" s="577"/>
      <c r="V298" s="580"/>
      <c r="W298" s="577"/>
      <c r="X298" s="580"/>
      <c r="Y298" s="577"/>
      <c r="Z298" s="580"/>
      <c r="AA298" s="577"/>
      <c r="AB298" s="580"/>
      <c r="AC298" s="577"/>
      <c r="AD298" s="580"/>
      <c r="AE298" s="577"/>
      <c r="AF298" s="580"/>
      <c r="AG298" s="577"/>
      <c r="AH298" s="580"/>
      <c r="AI298" s="577"/>
      <c r="AJ298" s="580"/>
      <c r="AK298" s="577"/>
      <c r="AL298" s="580"/>
      <c r="AM298" s="577"/>
      <c r="AN298" s="580"/>
      <c r="AO298" s="577"/>
      <c r="AP298" s="580"/>
      <c r="AQ298" s="577"/>
      <c r="AR298" s="580"/>
      <c r="AS298" s="577"/>
      <c r="AT298" s="580"/>
      <c r="AU298" s="577"/>
      <c r="AV298" s="580"/>
      <c r="AW298" s="577"/>
      <c r="AX298" s="580"/>
      <c r="AY298" s="577"/>
      <c r="AZ298" s="580"/>
      <c r="BA298" s="577"/>
      <c r="BB298" s="580"/>
      <c r="BC298" s="577"/>
      <c r="BD298" s="580"/>
      <c r="BE298" s="577"/>
      <c r="BF298" s="580"/>
      <c r="BG298" s="577"/>
      <c r="BH298" s="580"/>
      <c r="BI298" s="577"/>
      <c r="BJ298" s="580"/>
      <c r="BK298" s="577"/>
      <c r="BL298" s="580"/>
      <c r="BM298" s="577"/>
      <c r="BN298" s="580"/>
      <c r="BO298" s="577"/>
      <c r="BP298" s="580"/>
      <c r="BQ298" s="577"/>
      <c r="BR298" s="580"/>
      <c r="BS298" s="577"/>
      <c r="BT298" s="580"/>
      <c r="BU298" s="577"/>
      <c r="BV298" s="580"/>
      <c r="BW298" s="577"/>
      <c r="BX298" s="580"/>
      <c r="BY298" s="577"/>
      <c r="BZ298" s="580"/>
      <c r="CA298" s="577"/>
      <c r="CB298" s="580"/>
      <c r="CC298" s="577"/>
      <c r="CD298" s="580"/>
      <c r="CE298" s="577"/>
      <c r="CF298" s="580"/>
      <c r="CG298" s="577"/>
      <c r="CH298" s="580"/>
      <c r="CI298" s="577"/>
      <c r="CJ298" s="580"/>
      <c r="CK298" s="577"/>
      <c r="CL298" s="580"/>
      <c r="CM298" s="577"/>
      <c r="CN298" s="580"/>
      <c r="CO298" s="577"/>
      <c r="CP298" s="580"/>
      <c r="CQ298" s="577"/>
      <c r="CR298" s="580"/>
      <c r="CS298" s="577"/>
      <c r="CT298" s="580"/>
      <c r="CU298" s="577"/>
      <c r="CV298" s="580"/>
      <c r="CW298" s="577"/>
      <c r="CX298" s="580"/>
      <c r="CY298" s="577"/>
      <c r="CZ298" s="580"/>
      <c r="DA298" s="577"/>
      <c r="DB298" s="580"/>
      <c r="DC298" s="580"/>
      <c r="DD298" s="577"/>
      <c r="DE298" s="580"/>
      <c r="DF298" s="577"/>
      <c r="DG298" s="580"/>
      <c r="DH298" s="577"/>
      <c r="DI298" s="580"/>
      <c r="DJ298" s="577"/>
      <c r="DK298" s="580"/>
      <c r="DL298" s="577"/>
      <c r="DM298" s="580"/>
      <c r="DN298" s="577"/>
      <c r="DO298" s="580"/>
      <c r="DP298" s="577"/>
      <c r="DQ298" s="580"/>
      <c r="DR298" s="577"/>
      <c r="DS298" s="580"/>
      <c r="DT298" s="577"/>
      <c r="DU298" s="580"/>
      <c r="DV298" s="577"/>
      <c r="DW298" s="580"/>
      <c r="DX298" s="577"/>
      <c r="DY298" s="580"/>
      <c r="DZ298" s="577"/>
      <c r="EA298" s="580"/>
      <c r="EB298" s="577"/>
      <c r="EC298" s="580"/>
      <c r="ED298" s="577"/>
      <c r="EE298" s="580"/>
      <c r="EF298" s="577"/>
      <c r="EG298" s="580"/>
      <c r="EH298" s="577"/>
      <c r="EI298" s="580"/>
      <c r="EJ298" s="577"/>
      <c r="EK298" s="580"/>
      <c r="EL298" s="577"/>
      <c r="EM298" s="577"/>
    </row>
    <row r="299" spans="1:144" ht="12.75" hidden="1" customHeight="1" outlineLevel="1" x14ac:dyDescent="0.2">
      <c r="A299" s="575" t="s">
        <v>255</v>
      </c>
      <c r="B299" s="580"/>
      <c r="C299" s="577"/>
      <c r="D299" s="580"/>
      <c r="E299" s="577"/>
      <c r="F299" s="580"/>
      <c r="G299" s="577"/>
      <c r="H299" s="580"/>
      <c r="I299" s="577"/>
      <c r="J299" s="580"/>
      <c r="K299" s="577"/>
      <c r="L299" s="580"/>
      <c r="M299" s="577"/>
      <c r="N299" s="580"/>
      <c r="O299" s="577"/>
      <c r="P299" s="580"/>
      <c r="Q299" s="577"/>
      <c r="R299" s="580"/>
      <c r="S299" s="577"/>
      <c r="T299" s="580"/>
      <c r="U299" s="577"/>
      <c r="V299" s="580"/>
      <c r="W299" s="577"/>
      <c r="X299" s="580"/>
      <c r="Y299" s="577"/>
      <c r="Z299" s="580"/>
      <c r="AA299" s="577"/>
      <c r="AB299" s="580"/>
      <c r="AC299" s="577"/>
      <c r="AD299" s="580"/>
      <c r="AE299" s="577"/>
      <c r="AF299" s="580"/>
      <c r="AG299" s="577"/>
      <c r="AH299" s="580"/>
      <c r="AI299" s="577"/>
      <c r="AJ299" s="580"/>
      <c r="AK299" s="577"/>
      <c r="AL299" s="580"/>
      <c r="AM299" s="577"/>
      <c r="AN299" s="580"/>
      <c r="AO299" s="577"/>
      <c r="AP299" s="580"/>
      <c r="AQ299" s="577"/>
      <c r="AR299" s="580"/>
      <c r="AS299" s="577"/>
      <c r="AT299" s="580"/>
      <c r="AU299" s="577"/>
      <c r="AV299" s="580"/>
      <c r="AW299" s="577"/>
      <c r="AX299" s="580"/>
      <c r="AY299" s="577"/>
      <c r="AZ299" s="580"/>
      <c r="BA299" s="577"/>
      <c r="BB299" s="580"/>
      <c r="BC299" s="577"/>
      <c r="BD299" s="580"/>
      <c r="BE299" s="577"/>
      <c r="BF299" s="580"/>
      <c r="BG299" s="577"/>
      <c r="BH299" s="580"/>
      <c r="BI299" s="577"/>
      <c r="BJ299" s="580"/>
      <c r="BK299" s="577"/>
      <c r="BL299" s="580"/>
      <c r="BM299" s="577"/>
      <c r="BN299" s="580"/>
      <c r="BO299" s="577"/>
      <c r="BP299" s="580"/>
      <c r="BQ299" s="577"/>
      <c r="BR299" s="580"/>
      <c r="BS299" s="577"/>
      <c r="BT299" s="580"/>
      <c r="BU299" s="577"/>
      <c r="BV299" s="580"/>
      <c r="BW299" s="577"/>
      <c r="BX299" s="580"/>
      <c r="BY299" s="577"/>
      <c r="BZ299" s="580"/>
      <c r="CA299" s="577"/>
      <c r="CB299" s="580"/>
      <c r="CC299" s="577"/>
      <c r="CD299" s="580"/>
      <c r="CE299" s="577"/>
      <c r="CF299" s="580"/>
      <c r="CG299" s="577"/>
      <c r="CH299" s="580"/>
      <c r="CI299" s="577"/>
      <c r="CJ299" s="580"/>
      <c r="CK299" s="577"/>
      <c r="CL299" s="580"/>
      <c r="CM299" s="577"/>
      <c r="CN299" s="580"/>
      <c r="CO299" s="577"/>
      <c r="CP299" s="580"/>
      <c r="CQ299" s="577"/>
      <c r="CR299" s="580"/>
      <c r="CS299" s="577"/>
      <c r="CT299" s="580"/>
      <c r="CU299" s="577"/>
      <c r="CV299" s="580"/>
      <c r="CW299" s="577"/>
      <c r="CX299" s="580"/>
      <c r="CY299" s="577"/>
      <c r="CZ299" s="580"/>
      <c r="DA299" s="577"/>
      <c r="DB299" s="580"/>
      <c r="DC299" s="580"/>
      <c r="DD299" s="577"/>
      <c r="DE299" s="580"/>
      <c r="DF299" s="577"/>
      <c r="DG299" s="580"/>
      <c r="DH299" s="577"/>
      <c r="DI299" s="580"/>
      <c r="DJ299" s="577"/>
      <c r="DK299" s="580"/>
      <c r="DL299" s="577"/>
      <c r="DM299" s="580"/>
      <c r="DN299" s="577"/>
      <c r="DO299" s="580"/>
      <c r="DP299" s="577"/>
      <c r="DQ299" s="580"/>
      <c r="DR299" s="577"/>
      <c r="DS299" s="580"/>
      <c r="DT299" s="577"/>
      <c r="DU299" s="580"/>
      <c r="DV299" s="577"/>
      <c r="DW299" s="580"/>
      <c r="DX299" s="577"/>
      <c r="DY299" s="580"/>
      <c r="DZ299" s="577"/>
      <c r="EA299" s="580"/>
      <c r="EB299" s="577"/>
      <c r="EC299" s="580"/>
      <c r="ED299" s="577"/>
      <c r="EE299" s="580"/>
      <c r="EF299" s="577"/>
      <c r="EG299" s="580"/>
      <c r="EH299" s="577"/>
      <c r="EI299" s="580"/>
      <c r="EJ299" s="577"/>
      <c r="EK299" s="580"/>
      <c r="EL299" s="577"/>
      <c r="EM299" s="577"/>
    </row>
    <row r="300" spans="1:144" ht="12.75" hidden="1" customHeight="1" outlineLevel="1" x14ac:dyDescent="0.2">
      <c r="A300" s="579" t="str">
        <f>+INPUT!B317</f>
        <v>Pretax Margin</v>
      </c>
      <c r="B300" s="586">
        <f>+INPUT!AY317</f>
        <v>31.818181818181817</v>
      </c>
      <c r="C300" s="577">
        <f>+INPUT!AZ317</f>
        <v>-0.74626865671643827</v>
      </c>
      <c r="D300" s="586">
        <f>+INPUT!BA317</f>
        <v>27.912087912087912</v>
      </c>
      <c r="E300" s="577">
        <f>+INPUT!BB317</f>
        <v>6.597592883307172</v>
      </c>
      <c r="F300" s="586">
        <f>+INPUT!BC317</f>
        <v>23.18181818181818</v>
      </c>
      <c r="G300" s="577">
        <f>+INPUT!BD317</f>
        <v>-11.869122257053291</v>
      </c>
      <c r="H300" s="586">
        <f>+INPUT!BE317</f>
        <v>27.287581699346404</v>
      </c>
      <c r="I300" s="577">
        <f>+INPUT!BF317</f>
        <v>9.1503267973856168</v>
      </c>
      <c r="J300" s="586">
        <f>+INPUT!BG317</f>
        <v>32.11009174311927</v>
      </c>
      <c r="K300" s="577">
        <f>+INPUT!BH317</f>
        <v>0.91743119266057249</v>
      </c>
      <c r="L300" s="586">
        <f>+INPUT!BI317</f>
        <v>28.305084745762709</v>
      </c>
      <c r="M300" s="577">
        <f>+INPUT!BJ317</f>
        <v>1.4079807820632624</v>
      </c>
      <c r="N300" s="586">
        <f>+INPUT!BK317</f>
        <v>28.853046594982079</v>
      </c>
      <c r="O300" s="577">
        <f>+INPUT!BL317</f>
        <v>24.464122566589367</v>
      </c>
      <c r="P300" s="586">
        <f>+INPUT!BM317</f>
        <v>31.629392971246006</v>
      </c>
      <c r="Q300" s="577">
        <f>+INPUT!BN317</f>
        <v>15.911308373668007</v>
      </c>
      <c r="R300" s="586">
        <f>+INPUT!BO317</f>
        <v>21.715328467153284</v>
      </c>
      <c r="S300" s="577">
        <f>+INPUT!BP317</f>
        <v>-32.372262773722639</v>
      </c>
      <c r="T300" s="586">
        <f>+INPUT!BQ317</f>
        <v>33.687943262411345</v>
      </c>
      <c r="U300" s="577">
        <f>+INPUT!BR317</f>
        <v>19.017284579776629</v>
      </c>
      <c r="V300" s="586">
        <f>+INPUT!BS317</f>
        <v>-2.318840579710145</v>
      </c>
      <c r="W300" s="577" t="str">
        <f>+INPUT!BT317</f>
        <v>NM</v>
      </c>
      <c r="X300" s="586">
        <f>+INPUT!BU317</f>
        <v>-30.131004366812224</v>
      </c>
      <c r="Y300" s="577" t="str">
        <f>+INPUT!BV317</f>
        <v>NM</v>
      </c>
      <c r="Z300" s="586">
        <f>+INPUT!BW317</f>
        <v>-0.38022813688212925</v>
      </c>
      <c r="AA300" s="577" t="str">
        <f>+INPUT!BX317</f>
        <v>NM</v>
      </c>
      <c r="AB300" s="586">
        <f>+INPUT!BY317</f>
        <v>9.6491228070175428</v>
      </c>
      <c r="AC300" s="577" t="str">
        <f>+INPUT!BZ317</f>
        <v>NM</v>
      </c>
      <c r="AD300" s="586">
        <f>+INPUT!CA317</f>
        <v>9.9656357388316152</v>
      </c>
      <c r="AE300" s="577" t="str">
        <f>+INPUT!CB317</f>
        <v>NM</v>
      </c>
      <c r="AF300" s="586">
        <f>+INPUT!CC317</f>
        <v>-1.662049861495845</v>
      </c>
      <c r="AG300" s="577" t="str">
        <f>+INPUT!CD317</f>
        <v>NM</v>
      </c>
      <c r="AH300" s="586">
        <f>+INPUT!CE317</f>
        <v>21.899736147757256</v>
      </c>
      <c r="AI300" s="577" t="str">
        <f>+INPUT!CF317</f>
        <v>NM</v>
      </c>
      <c r="AJ300" s="586">
        <f>+INPUT!CG317</f>
        <v>25.101214574898783</v>
      </c>
      <c r="AK300" s="577" t="str">
        <f>+INPUT!CH317</f>
        <v>NM</v>
      </c>
      <c r="AL300" s="586">
        <f>+INPUT!CI317</f>
        <v>30.020283975659229</v>
      </c>
      <c r="AM300" s="577" t="str">
        <f>+INPUT!CJ317</f>
        <v>NM</v>
      </c>
      <c r="AN300" s="586">
        <f>+INPUT!CK317</f>
        <v>25.287356321839084</v>
      </c>
      <c r="AO300" s="577" t="str">
        <f>+INPUT!CL317</f>
        <v>NM</v>
      </c>
      <c r="AP300" s="586">
        <f>+INPUT!CM317</f>
        <v>28.102189781021895</v>
      </c>
      <c r="AQ300" s="577">
        <f>+INPUT!CN317</f>
        <v>28.322047313340931</v>
      </c>
      <c r="AR300" s="586">
        <f>+INPUT!CO317</f>
        <v>34.603658536585364</v>
      </c>
      <c r="AS300" s="577">
        <f>+INPUT!CP317</f>
        <v>37.856510621557845</v>
      </c>
      <c r="AT300" s="586">
        <f>+INPUT!CQ317</f>
        <v>23.976608187134502</v>
      </c>
      <c r="AU300" s="577">
        <f>+INPUT!CR317</f>
        <v>-20.131974079342513</v>
      </c>
      <c r="AV300" s="586">
        <f>+INPUT!CS317</f>
        <v>35.904628330995791</v>
      </c>
      <c r="AW300" s="577">
        <f>+INPUT!CT317</f>
        <v>41.986484763483332</v>
      </c>
      <c r="AX300" s="586">
        <f>+INPUT!CU317</f>
        <v>26.110124333925398</v>
      </c>
      <c r="AY300" s="577">
        <f>+INPUT!CV317</f>
        <v>-7.0886484740836408</v>
      </c>
      <c r="AZ300" s="586">
        <f>+INPUT!CW317</f>
        <v>11.088709677419354</v>
      </c>
      <c r="BA300" s="577" t="str">
        <f>+INPUT!CX317</f>
        <v>NM</v>
      </c>
      <c r="BB300" s="586">
        <f>+INPUT!CY317</f>
        <v>31.170886075949365</v>
      </c>
      <c r="BC300" s="577">
        <f>+INPUT!CZ317</f>
        <v>30.005402902130271</v>
      </c>
      <c r="BD300" s="586">
        <f>+INPUT!DA317</f>
        <v>27.007299270072991</v>
      </c>
      <c r="BE300" s="577">
        <f>+INPUT!DB317</f>
        <v>-24.780451642335763</v>
      </c>
      <c r="BF300" s="586">
        <f>+INPUT!DC317</f>
        <v>26.323987538940806</v>
      </c>
      <c r="BG300" s="577">
        <f>+INPUT!DD317</f>
        <v>0.81908152669166157</v>
      </c>
      <c r="BH300" s="586">
        <f>+INPUT!DE317</f>
        <v>25.981873111782477</v>
      </c>
      <c r="BI300" s="577" t="str">
        <f>+INPUT!DF317</f>
        <v>NM</v>
      </c>
      <c r="BJ300" s="586">
        <f>+INPUT!DG317</f>
        <v>26.656394453004623</v>
      </c>
      <c r="BK300" s="577">
        <f>+INPUT!DH317</f>
        <v>-14.483039115233893</v>
      </c>
      <c r="BL300" s="586">
        <f>+INPUT!DI317</f>
        <v>28.827586206896548</v>
      </c>
      <c r="BM300" s="577">
        <f>+INPUT!DJ317</f>
        <v>6.7399813606709955</v>
      </c>
      <c r="BN300" s="586">
        <f>+INPUT!DK317</f>
        <v>28.935532233883059</v>
      </c>
      <c r="BO300" s="577">
        <f>+INPUT!DL317</f>
        <v>9.9207792553427652</v>
      </c>
      <c r="BP300" s="586">
        <f>+INPUT!DM317</f>
        <v>28.050490883590463</v>
      </c>
      <c r="BQ300" s="577">
        <f>+INPUT!DN317</f>
        <v>7.9617730519586445</v>
      </c>
      <c r="BR300" s="586">
        <f>+INPUT!DO317</f>
        <v>27.739251040221912</v>
      </c>
      <c r="BS300" s="577">
        <f>+INPUT!DP317</f>
        <v>4.0622770237226575</v>
      </c>
      <c r="BT300" s="586">
        <f>+INPUT!DQ317</f>
        <v>25.981055480378888</v>
      </c>
      <c r="BU300" s="577">
        <f>+INPUT!DR317</f>
        <v>-9.8743290752406807</v>
      </c>
      <c r="BV300" s="586">
        <f>+INPUT!DS317</f>
        <v>27.967257844474762</v>
      </c>
      <c r="BW300" s="577">
        <f>+INPUT!DT317</f>
        <v>-3.3463161540690862</v>
      </c>
      <c r="BX300" s="586">
        <f>+INPUT!DU317</f>
        <v>25.257731958762886</v>
      </c>
      <c r="BY300" s="577">
        <f>+INPUT!DV317</f>
        <v>-9.9561855670103085</v>
      </c>
      <c r="BZ300" s="586">
        <f>+INPUT!DW317</f>
        <v>25.568181818181817</v>
      </c>
      <c r="CA300" s="577">
        <f>+INPUT!DX317</f>
        <v>-7.8267045454545467</v>
      </c>
      <c r="CB300" s="586">
        <f>+INPUT!DY317</f>
        <v>27.086183310533517</v>
      </c>
      <c r="CC300" s="577">
        <f>+INPUT!DZ317</f>
        <v>4.2535909712722457</v>
      </c>
      <c r="CD300" s="586">
        <f>+INPUT!EA317</f>
        <v>23.371104815864022</v>
      </c>
      <c r="CE300" s="577">
        <f>+INPUT!EB317</f>
        <v>-16.434049609617915</v>
      </c>
      <c r="CF300" s="586">
        <f>+INPUT!EC317</f>
        <v>28.278688524590162</v>
      </c>
      <c r="CG300" s="577">
        <f>+INPUT!ED317</f>
        <v>11.960521913683507</v>
      </c>
      <c r="CH300" s="586">
        <f>+INPUT!EE317</f>
        <v>25.466666666666665</v>
      </c>
      <c r="CI300" s="577">
        <f>+INPUT!EF317</f>
        <v>-0.39703703703703752</v>
      </c>
      <c r="CJ300" s="586">
        <f>+INPUT!EG317</f>
        <v>28.978007761966364</v>
      </c>
      <c r="CK300" s="577">
        <f>+INPUT!EH317</f>
        <v>6.984462999986917</v>
      </c>
      <c r="CL300" s="586">
        <f>+INPUT!EI317</f>
        <v>25.925925925925924</v>
      </c>
      <c r="CM300" s="577">
        <f>+INPUT!EJ317</f>
        <v>10.931537598204272</v>
      </c>
      <c r="CN300" s="586">
        <f>+INPUT!EK317</f>
        <v>27.700127064803048</v>
      </c>
      <c r="CO300" s="577">
        <f>+INPUT!EL317</f>
        <v>-2.0459274809863217</v>
      </c>
      <c r="CP300" s="586">
        <f>+INPUT!EM317</f>
        <v>31.318016928657798</v>
      </c>
      <c r="CQ300" s="577">
        <f>+INPUT!EN317</f>
        <v>22.976506264363096</v>
      </c>
      <c r="CR300" s="586">
        <f>+INPUT!EO317</f>
        <v>31.065989847715734</v>
      </c>
      <c r="CS300" s="577">
        <f>+INPUT!EP317</f>
        <v>7.2054024655547408</v>
      </c>
      <c r="CT300" s="586">
        <f>+INPUT!EQ317</f>
        <v>27.882107642408293</v>
      </c>
      <c r="CU300" s="577">
        <f>+INPUT!ER317</f>
        <v>7.5452723350034177</v>
      </c>
      <c r="CV300" s="586">
        <f>+INPUT!ES317</f>
        <v>27.870908318312519</v>
      </c>
      <c r="CW300" s="577">
        <f>+INPUT!ET317</f>
        <v>0.61653599317411079</v>
      </c>
      <c r="CX300" s="586">
        <f>+INPUT!EU317</f>
        <v>27.875190436709051</v>
      </c>
      <c r="CY300" s="577">
        <f>+INPUT!EV317</f>
        <v>-10.993117794755264</v>
      </c>
      <c r="CZ300" s="586">
        <f>+INPUT!EW317</f>
        <v>27.378512092657694</v>
      </c>
      <c r="DA300" s="577">
        <f>+INPUT!EX317</f>
        <v>-11.869822185399244</v>
      </c>
      <c r="DB300" s="597"/>
      <c r="DC300" s="586">
        <f>+INPUT!FP317</f>
        <v>27.358490566037734</v>
      </c>
      <c r="DD300" s="577">
        <f>+INPUT!FQ317</f>
        <v>50.574549581500889</v>
      </c>
      <c r="DE300" s="586">
        <f>+INPUT!FR317</f>
        <v>27.624309392265197</v>
      </c>
      <c r="DF300" s="577">
        <f>+INPUT!FS317</f>
        <v>0.97161364069349077</v>
      </c>
      <c r="DG300" s="586">
        <f>+INPUT!FT317</f>
        <v>30.228546787408366</v>
      </c>
      <c r="DH300" s="577">
        <f>+INPUT!FU317</f>
        <v>9.4273393704182666</v>
      </c>
      <c r="DI300" s="586">
        <f>+INPUT!FV317</f>
        <v>13.760379596678529</v>
      </c>
      <c r="DJ300" s="577" t="str">
        <f>+INPUT!FW317</f>
        <v>NM</v>
      </c>
      <c r="DK300" s="586">
        <f>+INPUT!FX317</f>
        <v>4.3754972155926808</v>
      </c>
      <c r="DL300" s="577" t="str">
        <f>+INPUT!FY317</f>
        <v>NM</v>
      </c>
      <c r="DM300" s="586">
        <f>+INPUT!FZ317</f>
        <v>25.79449152542373</v>
      </c>
      <c r="DN300" s="577" t="str">
        <f>+INPUT!GA317</f>
        <v>NM</v>
      </c>
      <c r="DO300" s="586">
        <f>+INPUT!GB317</f>
        <v>31.275720164609055</v>
      </c>
      <c r="DP300" s="577">
        <f>+INPUT!GC317</f>
        <v>21.249609180250289</v>
      </c>
      <c r="DQ300" s="586">
        <f>+INPUT!GD317</f>
        <v>24.579124579124578</v>
      </c>
      <c r="DR300" s="577">
        <f>+INPUT!GE317</f>
        <v>-21.411483253588528</v>
      </c>
      <c r="DS300" s="586">
        <f>+INPUT!GF317</f>
        <v>26.997759522031366</v>
      </c>
      <c r="DT300" s="577">
        <f>+INPUT!GG317</f>
        <v>9.8401996992235183</v>
      </c>
      <c r="DU300" s="586">
        <f>+INPUT!GH317</f>
        <v>27.640845070422536</v>
      </c>
      <c r="DV300" s="577">
        <f>+INPUT!GI317</f>
        <v>2.3819959869869365</v>
      </c>
      <c r="DW300" s="586">
        <f>+INPUT!GJ317</f>
        <v>26.460597826086957</v>
      </c>
      <c r="DX300" s="577">
        <f>+INPUT!GK317</f>
        <v>-4.2699390750484696</v>
      </c>
      <c r="DY300" s="586">
        <f>+INPUT!GL317</f>
        <v>26.578858493752112</v>
      </c>
      <c r="DZ300" s="577">
        <f>+INPUT!GM317</f>
        <v>0.44693120103494266</v>
      </c>
      <c r="EA300" s="586">
        <f>+INPUT!GN317</f>
        <v>29.180327868852459</v>
      </c>
      <c r="EB300" s="577">
        <f>+INPUT!GO317</f>
        <v>9.7877392880205036</v>
      </c>
      <c r="EC300" s="586">
        <f>+INPUT!GP317</f>
        <v>27.749408986730188</v>
      </c>
      <c r="ED300" s="577">
        <f>+INPUT!GQ317</f>
        <v>-4.9037107758122715</v>
      </c>
      <c r="EE300" s="586">
        <f>+INPUT!GR317</f>
        <v>27.71963573100048</v>
      </c>
      <c r="EF300" s="577">
        <f>+INPUT!GS317</f>
        <v>-0.10729329674713028</v>
      </c>
      <c r="EG300" s="586">
        <f>+INPUT!GT317</f>
        <v>27.679489845924959</v>
      </c>
      <c r="EH300" s="577">
        <f>+INPUT!GU317</f>
        <v>-0.14482832842793414</v>
      </c>
      <c r="EI300" s="586">
        <f>+INPUT!GV317</f>
        <v>27.635589287199615</v>
      </c>
      <c r="EJ300" s="577">
        <f>+INPUT!GW317</f>
        <v>-0.15860320753637325</v>
      </c>
      <c r="EK300" s="586">
        <f>+INPUT!GX317</f>
        <v>27.576562970654823</v>
      </c>
      <c r="EL300" s="577">
        <f>+INPUT!GY317</f>
        <v>-0.21358805101409928</v>
      </c>
      <c r="EM300" s="577">
        <f>+INPUT!GZ317</f>
        <v>-1.1242037636447821</v>
      </c>
    </row>
    <row r="301" spans="1:144" ht="12.75" hidden="1" customHeight="1" outlineLevel="1" x14ac:dyDescent="0.2">
      <c r="A301" s="575"/>
      <c r="B301" s="586"/>
      <c r="C301" s="577"/>
      <c r="D301" s="586"/>
      <c r="E301" s="577"/>
      <c r="F301" s="586"/>
      <c r="G301" s="577"/>
      <c r="H301" s="586"/>
      <c r="I301" s="577"/>
      <c r="J301" s="586"/>
      <c r="K301" s="577"/>
      <c r="L301" s="586"/>
      <c r="M301" s="577"/>
      <c r="N301" s="586"/>
      <c r="O301" s="577"/>
      <c r="P301" s="586"/>
      <c r="Q301" s="577"/>
      <c r="R301" s="586"/>
      <c r="S301" s="577"/>
      <c r="T301" s="586"/>
      <c r="U301" s="577"/>
      <c r="V301" s="586"/>
      <c r="W301" s="577"/>
      <c r="X301" s="586"/>
      <c r="Y301" s="577"/>
      <c r="Z301" s="586"/>
      <c r="AA301" s="577"/>
      <c r="AB301" s="586"/>
      <c r="AC301" s="577"/>
      <c r="AD301" s="586"/>
      <c r="AE301" s="577"/>
      <c r="AF301" s="586"/>
      <c r="AG301" s="577"/>
      <c r="AH301" s="586"/>
      <c r="AI301" s="577"/>
      <c r="AJ301" s="586"/>
      <c r="AK301" s="577"/>
      <c r="AL301" s="586"/>
      <c r="AM301" s="577"/>
      <c r="AN301" s="586"/>
      <c r="AO301" s="577"/>
      <c r="AP301" s="586"/>
      <c r="AQ301" s="577"/>
      <c r="AR301" s="586"/>
      <c r="AS301" s="577"/>
      <c r="AT301" s="586"/>
      <c r="AU301" s="577"/>
      <c r="AV301" s="586"/>
      <c r="AW301" s="577"/>
      <c r="AX301" s="586"/>
      <c r="AY301" s="577"/>
      <c r="AZ301" s="586"/>
      <c r="BA301" s="577"/>
      <c r="BB301" s="586"/>
      <c r="BC301" s="577"/>
      <c r="BD301" s="586"/>
      <c r="BE301" s="577"/>
      <c r="BF301" s="586"/>
      <c r="BG301" s="577"/>
      <c r="BH301" s="586"/>
      <c r="BI301" s="577"/>
      <c r="BJ301" s="586"/>
      <c r="BK301" s="577"/>
      <c r="BL301" s="586"/>
      <c r="BM301" s="577"/>
      <c r="BN301" s="586"/>
      <c r="BO301" s="577"/>
      <c r="BP301" s="586"/>
      <c r="BQ301" s="577"/>
      <c r="BR301" s="586"/>
      <c r="BS301" s="577"/>
      <c r="BT301" s="586"/>
      <c r="BU301" s="577"/>
      <c r="BV301" s="586"/>
      <c r="BW301" s="577"/>
      <c r="BX301" s="586"/>
      <c r="BY301" s="577"/>
      <c r="BZ301" s="586"/>
      <c r="CA301" s="577"/>
      <c r="CB301" s="586"/>
      <c r="CC301" s="577"/>
      <c r="CD301" s="586"/>
      <c r="CE301" s="577"/>
      <c r="CF301" s="586"/>
      <c r="CG301" s="577"/>
      <c r="CH301" s="586"/>
      <c r="CI301" s="577"/>
      <c r="CJ301" s="586"/>
      <c r="CK301" s="577"/>
      <c r="CL301" s="586"/>
      <c r="CM301" s="577"/>
      <c r="CN301" s="586"/>
      <c r="CO301" s="577"/>
      <c r="CP301" s="586"/>
      <c r="CQ301" s="577"/>
      <c r="CR301" s="586"/>
      <c r="CS301" s="577"/>
      <c r="CT301" s="586"/>
      <c r="CU301" s="577"/>
      <c r="CV301" s="586"/>
      <c r="CW301" s="577"/>
      <c r="CX301" s="586"/>
      <c r="CY301" s="577"/>
      <c r="CZ301" s="586"/>
      <c r="DA301" s="577"/>
      <c r="DB301" s="580"/>
      <c r="DC301" s="586"/>
      <c r="DD301" s="577"/>
      <c r="DE301" s="586"/>
      <c r="DF301" s="577"/>
      <c r="DG301" s="586"/>
      <c r="DH301" s="577"/>
      <c r="DI301" s="586"/>
      <c r="DJ301" s="577"/>
      <c r="DK301" s="586"/>
      <c r="DL301" s="577"/>
      <c r="DM301" s="586"/>
      <c r="DN301" s="577"/>
      <c r="DO301" s="586"/>
      <c r="DP301" s="577"/>
      <c r="DQ301" s="586"/>
      <c r="DR301" s="577"/>
      <c r="DS301" s="586"/>
      <c r="DT301" s="577"/>
      <c r="DU301" s="586"/>
      <c r="DV301" s="577"/>
      <c r="DW301" s="586"/>
      <c r="DX301" s="577"/>
      <c r="DY301" s="586"/>
      <c r="DZ301" s="577"/>
      <c r="EA301" s="586"/>
      <c r="EB301" s="577"/>
      <c r="EC301" s="586"/>
      <c r="ED301" s="577"/>
      <c r="EE301" s="586"/>
      <c r="EF301" s="577"/>
      <c r="EG301" s="586"/>
      <c r="EH301" s="577"/>
      <c r="EI301" s="586"/>
      <c r="EJ301" s="577"/>
      <c r="EK301" s="586"/>
      <c r="EL301" s="577"/>
      <c r="EM301" s="577"/>
    </row>
    <row r="302" spans="1:144" ht="12.75" hidden="1" customHeight="1" outlineLevel="1" x14ac:dyDescent="0.2">
      <c r="A302" s="575" t="s">
        <v>498</v>
      </c>
      <c r="B302" s="586"/>
      <c r="C302" s="577"/>
      <c r="D302" s="586"/>
      <c r="E302" s="577"/>
      <c r="F302" s="586"/>
      <c r="G302" s="577"/>
      <c r="H302" s="586"/>
      <c r="I302" s="577"/>
      <c r="J302" s="586"/>
      <c r="K302" s="577"/>
      <c r="L302" s="586"/>
      <c r="M302" s="577"/>
      <c r="N302" s="586"/>
      <c r="O302" s="577"/>
      <c r="P302" s="586"/>
      <c r="Q302" s="577"/>
      <c r="R302" s="586"/>
      <c r="S302" s="577"/>
      <c r="T302" s="586"/>
      <c r="U302" s="577"/>
      <c r="V302" s="586"/>
      <c r="W302" s="577"/>
      <c r="X302" s="586"/>
      <c r="Y302" s="577"/>
      <c r="Z302" s="586"/>
      <c r="AA302" s="577"/>
      <c r="AB302" s="586"/>
      <c r="AC302" s="577"/>
      <c r="AD302" s="586"/>
      <c r="AE302" s="577"/>
      <c r="AF302" s="586"/>
      <c r="AG302" s="577"/>
      <c r="AH302" s="586"/>
      <c r="AI302" s="577"/>
      <c r="AJ302" s="586"/>
      <c r="AK302" s="577"/>
      <c r="AL302" s="586"/>
      <c r="AM302" s="577"/>
      <c r="AN302" s="586"/>
      <c r="AO302" s="577"/>
      <c r="AP302" s="586"/>
      <c r="AQ302" s="577"/>
      <c r="AR302" s="586"/>
      <c r="AS302" s="577"/>
      <c r="AT302" s="586"/>
      <c r="AU302" s="577"/>
      <c r="AV302" s="586"/>
      <c r="AW302" s="577"/>
      <c r="AX302" s="586"/>
      <c r="AY302" s="577"/>
      <c r="AZ302" s="586"/>
      <c r="BA302" s="577"/>
      <c r="BB302" s="586"/>
      <c r="BC302" s="577"/>
      <c r="BD302" s="586"/>
      <c r="BE302" s="577"/>
      <c r="BF302" s="586"/>
      <c r="BG302" s="577"/>
      <c r="BH302" s="586"/>
      <c r="BI302" s="577"/>
      <c r="BJ302" s="586"/>
      <c r="BK302" s="577"/>
      <c r="BL302" s="586"/>
      <c r="BM302" s="577"/>
      <c r="BN302" s="586"/>
      <c r="BO302" s="577"/>
      <c r="BP302" s="586"/>
      <c r="BQ302" s="577"/>
      <c r="BR302" s="586"/>
      <c r="BS302" s="577"/>
      <c r="BT302" s="586"/>
      <c r="BU302" s="577"/>
      <c r="BV302" s="586"/>
      <c r="BW302" s="577"/>
      <c r="BX302" s="586"/>
      <c r="BY302" s="577"/>
      <c r="BZ302" s="586"/>
      <c r="CA302" s="577"/>
      <c r="CB302" s="586"/>
      <c r="CC302" s="577"/>
      <c r="CD302" s="586"/>
      <c r="CE302" s="577"/>
      <c r="CF302" s="586"/>
      <c r="CG302" s="577"/>
      <c r="CH302" s="586"/>
      <c r="CI302" s="577"/>
      <c r="CJ302" s="586"/>
      <c r="CK302" s="577"/>
      <c r="CL302" s="586"/>
      <c r="CM302" s="577"/>
      <c r="CN302" s="586"/>
      <c r="CO302" s="577"/>
      <c r="CP302" s="586"/>
      <c r="CQ302" s="577"/>
      <c r="CR302" s="586"/>
      <c r="CS302" s="577"/>
      <c r="CT302" s="586"/>
      <c r="CU302" s="577"/>
      <c r="CV302" s="586"/>
      <c r="CW302" s="577"/>
      <c r="CX302" s="586"/>
      <c r="CY302" s="577"/>
      <c r="CZ302" s="586"/>
      <c r="DA302" s="577"/>
      <c r="DB302" s="580"/>
      <c r="DC302" s="586"/>
      <c r="DD302" s="577"/>
      <c r="DE302" s="586"/>
      <c r="DF302" s="577"/>
      <c r="DG302" s="586"/>
      <c r="DH302" s="577"/>
      <c r="DI302" s="586"/>
      <c r="DJ302" s="577"/>
      <c r="DK302" s="586"/>
      <c r="DL302" s="577"/>
      <c r="DM302" s="586"/>
      <c r="DN302" s="577"/>
      <c r="DO302" s="586"/>
      <c r="DP302" s="577"/>
      <c r="DQ302" s="586"/>
      <c r="DR302" s="577"/>
      <c r="DS302" s="586"/>
      <c r="DT302" s="577"/>
      <c r="DU302" s="586"/>
      <c r="DV302" s="577"/>
      <c r="DW302" s="586"/>
      <c r="DX302" s="577"/>
      <c r="DY302" s="586"/>
      <c r="DZ302" s="577"/>
      <c r="EA302" s="586"/>
      <c r="EB302" s="577"/>
      <c r="EC302" s="586"/>
      <c r="ED302" s="577"/>
      <c r="EE302" s="586"/>
      <c r="EF302" s="577"/>
      <c r="EG302" s="586"/>
      <c r="EH302" s="577"/>
      <c r="EI302" s="586"/>
      <c r="EJ302" s="577"/>
      <c r="EK302" s="586"/>
      <c r="EL302" s="577"/>
      <c r="EM302" s="577"/>
    </row>
    <row r="303" spans="1:144" ht="12.75" hidden="1" customHeight="1" outlineLevel="1" x14ac:dyDescent="0.2">
      <c r="A303" s="579" t="s">
        <v>68</v>
      </c>
      <c r="B303" s="586">
        <f>INPUT!AY597</f>
        <v>0</v>
      </c>
      <c r="C303" s="577">
        <f>INPUT!AZ597</f>
        <v>0</v>
      </c>
      <c r="D303" s="586">
        <f>INPUT!BA597</f>
        <v>0</v>
      </c>
      <c r="E303" s="577">
        <f>INPUT!BB597</f>
        <v>0</v>
      </c>
      <c r="F303" s="586">
        <f>INPUT!BC597</f>
        <v>0</v>
      </c>
      <c r="G303" s="577">
        <f>INPUT!BD597</f>
        <v>0</v>
      </c>
      <c r="H303" s="586">
        <f>INPUT!BE597</f>
        <v>0</v>
      </c>
      <c r="I303" s="577">
        <f>INPUT!BF597</f>
        <v>0</v>
      </c>
      <c r="J303" s="586">
        <f>INPUT!BG597</f>
        <v>0</v>
      </c>
      <c r="K303" s="577">
        <f>INPUT!BH597</f>
        <v>0</v>
      </c>
      <c r="L303" s="586">
        <f>INPUT!BI597</f>
        <v>0</v>
      </c>
      <c r="M303" s="577">
        <f>INPUT!BJ597</f>
        <v>0</v>
      </c>
      <c r="N303" s="586">
        <f>INPUT!BK597</f>
        <v>0</v>
      </c>
      <c r="O303" s="577">
        <f>INPUT!BL597</f>
        <v>0</v>
      </c>
      <c r="P303" s="586">
        <f>INPUT!BM597</f>
        <v>0</v>
      </c>
      <c r="Q303" s="577">
        <f>INPUT!BN597</f>
        <v>0</v>
      </c>
      <c r="R303" s="586">
        <f>INPUT!BO597</f>
        <v>0</v>
      </c>
      <c r="S303" s="577">
        <f>INPUT!BP597</f>
        <v>0</v>
      </c>
      <c r="T303" s="586">
        <f>INPUT!BQ597</f>
        <v>0</v>
      </c>
      <c r="U303" s="577">
        <f>INPUT!BR597</f>
        <v>0</v>
      </c>
      <c r="V303" s="586">
        <f>INPUT!BS597</f>
        <v>0</v>
      </c>
      <c r="W303" s="577">
        <f>INPUT!BT597</f>
        <v>0</v>
      </c>
      <c r="X303" s="586">
        <f>INPUT!BU597</f>
        <v>0</v>
      </c>
      <c r="Y303" s="577">
        <f>INPUT!BV597</f>
        <v>0</v>
      </c>
      <c r="Z303" s="586">
        <f>INPUT!BW597</f>
        <v>0</v>
      </c>
      <c r="AA303" s="577">
        <f>INPUT!BX597</f>
        <v>0</v>
      </c>
      <c r="AB303" s="586">
        <f>INPUT!BY597</f>
        <v>0</v>
      </c>
      <c r="AC303" s="577">
        <f>INPUT!BZ597</f>
        <v>0</v>
      </c>
      <c r="AD303" s="586">
        <f>INPUT!CA597</f>
        <v>0</v>
      </c>
      <c r="AE303" s="577">
        <f>INPUT!CB597</f>
        <v>0</v>
      </c>
      <c r="AF303" s="586">
        <f>INPUT!CC597</f>
        <v>0</v>
      </c>
      <c r="AG303" s="577">
        <f>INPUT!CD597</f>
        <v>0</v>
      </c>
      <c r="AH303" s="586">
        <f>INPUT!CE597</f>
        <v>0</v>
      </c>
      <c r="AI303" s="577">
        <f>INPUT!CF597</f>
        <v>0</v>
      </c>
      <c r="AJ303" s="586">
        <f>INPUT!CG597</f>
        <v>0</v>
      </c>
      <c r="AK303" s="577">
        <f>INPUT!CH597</f>
        <v>0</v>
      </c>
      <c r="AL303" s="586">
        <f>INPUT!CI597</f>
        <v>0</v>
      </c>
      <c r="AM303" s="577">
        <f>INPUT!CJ597</f>
        <v>0</v>
      </c>
      <c r="AN303" s="586">
        <f>INPUT!CK597</f>
        <v>0</v>
      </c>
      <c r="AO303" s="577">
        <f>INPUT!CL597</f>
        <v>0</v>
      </c>
      <c r="AP303" s="586">
        <f>INPUT!CM597</f>
        <v>0</v>
      </c>
      <c r="AQ303" s="577">
        <f>INPUT!CN597</f>
        <v>0</v>
      </c>
      <c r="AR303" s="586">
        <f>INPUT!CO597</f>
        <v>0</v>
      </c>
      <c r="AS303" s="577">
        <f>INPUT!CP597</f>
        <v>0</v>
      </c>
      <c r="AT303" s="586">
        <f>INPUT!CQ597</f>
        <v>0</v>
      </c>
      <c r="AU303" s="577">
        <f>INPUT!CR597</f>
        <v>0</v>
      </c>
      <c r="AV303" s="586">
        <f>INPUT!CS597</f>
        <v>0</v>
      </c>
      <c r="AW303" s="577">
        <f>INPUT!CT597</f>
        <v>0</v>
      </c>
      <c r="AX303" s="586">
        <f>INPUT!CU597</f>
        <v>0</v>
      </c>
      <c r="AY303" s="577">
        <f>INPUT!CV597</f>
        <v>0</v>
      </c>
      <c r="AZ303" s="586">
        <f>INPUT!CW597</f>
        <v>0</v>
      </c>
      <c r="BA303" s="577">
        <f>INPUT!CX597</f>
        <v>0</v>
      </c>
      <c r="BB303" s="586">
        <f>INPUT!CY597</f>
        <v>0</v>
      </c>
      <c r="BC303" s="577">
        <f>INPUT!CZ597</f>
        <v>0</v>
      </c>
      <c r="BD303" s="586">
        <f>INPUT!DA597</f>
        <v>0</v>
      </c>
      <c r="BE303" s="577">
        <f>INPUT!DB597</f>
        <v>0</v>
      </c>
      <c r="BF303" s="586">
        <f>INPUT!DC597</f>
        <v>0</v>
      </c>
      <c r="BG303" s="577">
        <f>INPUT!DD597</f>
        <v>0</v>
      </c>
      <c r="BH303" s="586">
        <f>INPUT!DE597</f>
        <v>0</v>
      </c>
      <c r="BI303" s="577">
        <f>INPUT!DF597</f>
        <v>0</v>
      </c>
      <c r="BJ303" s="586">
        <f>INPUT!DG597</f>
        <v>0</v>
      </c>
      <c r="BK303" s="577">
        <f>INPUT!DH597</f>
        <v>0</v>
      </c>
      <c r="BL303" s="586">
        <f>INPUT!DI597</f>
        <v>0</v>
      </c>
      <c r="BM303" s="577">
        <f>INPUT!DJ597</f>
        <v>0</v>
      </c>
      <c r="BN303" s="586">
        <f>INPUT!DK597</f>
        <v>0</v>
      </c>
      <c r="BO303" s="577">
        <f>INPUT!DL597</f>
        <v>0</v>
      </c>
      <c r="BP303" s="586">
        <f>INPUT!DM597</f>
        <v>0</v>
      </c>
      <c r="BQ303" s="577">
        <f>INPUT!DN597</f>
        <v>0</v>
      </c>
      <c r="BR303" s="586">
        <f>INPUT!DO597</f>
        <v>0</v>
      </c>
      <c r="BS303" s="577">
        <f>INPUT!DP597</f>
        <v>0</v>
      </c>
      <c r="BT303" s="586">
        <f>INPUT!DQ597</f>
        <v>0</v>
      </c>
      <c r="BU303" s="577">
        <f>INPUT!DR597</f>
        <v>0</v>
      </c>
      <c r="BV303" s="586">
        <f>INPUT!DS597</f>
        <v>0</v>
      </c>
      <c r="BW303" s="577">
        <f>INPUT!DT597</f>
        <v>0</v>
      </c>
      <c r="BX303" s="586">
        <f>INPUT!DU597</f>
        <v>0</v>
      </c>
      <c r="BY303" s="577">
        <f>INPUT!DV597</f>
        <v>0</v>
      </c>
      <c r="BZ303" s="586">
        <f>INPUT!DW597</f>
        <v>0</v>
      </c>
      <c r="CA303" s="577">
        <f>INPUT!DX597</f>
        <v>0</v>
      </c>
      <c r="CB303" s="586">
        <f>INPUT!DY597</f>
        <v>0</v>
      </c>
      <c r="CC303" s="577">
        <f>INPUT!DZ597</f>
        <v>0</v>
      </c>
      <c r="CD303" s="586">
        <f>INPUT!EA597</f>
        <v>0</v>
      </c>
      <c r="CE303" s="577">
        <f>INPUT!EB597</f>
        <v>0</v>
      </c>
      <c r="CF303" s="586">
        <f>INPUT!EC597</f>
        <v>0</v>
      </c>
      <c r="CG303" s="577">
        <f>INPUT!ED597</f>
        <v>0</v>
      </c>
      <c r="CH303" s="586">
        <f>INPUT!EE597</f>
        <v>0</v>
      </c>
      <c r="CI303" s="577">
        <f>INPUT!EF597</f>
        <v>0</v>
      </c>
      <c r="CJ303" s="586">
        <f>INPUT!EG597</f>
        <v>0</v>
      </c>
      <c r="CK303" s="577">
        <f>INPUT!EH597</f>
        <v>0</v>
      </c>
      <c r="CL303" s="586">
        <f>INPUT!EI597</f>
        <v>0</v>
      </c>
      <c r="CM303" s="577">
        <f>INPUT!EJ597</f>
        <v>0</v>
      </c>
      <c r="CN303" s="586">
        <f>INPUT!EK597</f>
        <v>0</v>
      </c>
      <c r="CO303" s="577">
        <f>INPUT!EL597</f>
        <v>0</v>
      </c>
      <c r="CP303" s="586">
        <f>INPUT!EM597</f>
        <v>0</v>
      </c>
      <c r="CQ303" s="577">
        <f>INPUT!EN597</f>
        <v>0</v>
      </c>
      <c r="CR303" s="586">
        <f>INPUT!EO597</f>
        <v>0</v>
      </c>
      <c r="CS303" s="577">
        <f>INPUT!EP597</f>
        <v>0</v>
      </c>
      <c r="CT303" s="586">
        <f>INPUT!EQ597</f>
        <v>0</v>
      </c>
      <c r="CU303" s="577">
        <f>INPUT!ER597</f>
        <v>0</v>
      </c>
      <c r="CV303" s="586">
        <f>INPUT!ES597</f>
        <v>0</v>
      </c>
      <c r="CW303" s="577">
        <f>INPUT!ET597</f>
        <v>0</v>
      </c>
      <c r="CX303" s="586">
        <f>INPUT!EU597</f>
        <v>0</v>
      </c>
      <c r="CY303" s="577">
        <f>INPUT!EV597</f>
        <v>0</v>
      </c>
      <c r="CZ303" s="586">
        <f>INPUT!EW597</f>
        <v>0</v>
      </c>
      <c r="DA303" s="577">
        <f>INPUT!EX597</f>
        <v>0</v>
      </c>
      <c r="DB303" s="586"/>
      <c r="DC303" s="586">
        <f>INPUT!FP597</f>
        <v>0</v>
      </c>
      <c r="DD303" s="577">
        <f>INPUT!FQ597</f>
        <v>0</v>
      </c>
      <c r="DE303" s="586">
        <f>INPUT!FR597</f>
        <v>0</v>
      </c>
      <c r="DF303" s="577">
        <f>INPUT!FS597</f>
        <v>0</v>
      </c>
      <c r="DG303" s="586">
        <f>INPUT!FT597</f>
        <v>0</v>
      </c>
      <c r="DH303" s="577">
        <f>INPUT!FU597</f>
        <v>0</v>
      </c>
      <c r="DI303" s="586">
        <f>INPUT!FV597</f>
        <v>0</v>
      </c>
      <c r="DJ303" s="577">
        <f>INPUT!FW597</f>
        <v>0</v>
      </c>
      <c r="DK303" s="586">
        <f>INPUT!FX597</f>
        <v>0</v>
      </c>
      <c r="DL303" s="577">
        <f>INPUT!FY597</f>
        <v>0</v>
      </c>
      <c r="DM303" s="586">
        <f>INPUT!FZ597</f>
        <v>0</v>
      </c>
      <c r="DN303" s="577">
        <f>INPUT!GA597</f>
        <v>0</v>
      </c>
      <c r="DO303" s="586">
        <f>INPUT!GB597</f>
        <v>0</v>
      </c>
      <c r="DP303" s="577">
        <f>INPUT!GC597</f>
        <v>0</v>
      </c>
      <c r="DQ303" s="586">
        <f>INPUT!GD597</f>
        <v>0</v>
      </c>
      <c r="DR303" s="577">
        <f>INPUT!GE597</f>
        <v>0</v>
      </c>
      <c r="DS303" s="586">
        <f>INPUT!GF597</f>
        <v>0</v>
      </c>
      <c r="DT303" s="577">
        <f>INPUT!GG597</f>
        <v>0</v>
      </c>
      <c r="DU303" s="586">
        <f>INPUT!GH597</f>
        <v>0</v>
      </c>
      <c r="DV303" s="577">
        <f>INPUT!GI597</f>
        <v>0</v>
      </c>
      <c r="DW303" s="586">
        <f>INPUT!GJ597</f>
        <v>0</v>
      </c>
      <c r="DX303" s="577">
        <f>INPUT!GK597</f>
        <v>0</v>
      </c>
      <c r="DY303" s="586">
        <f>INPUT!GL597</f>
        <v>0</v>
      </c>
      <c r="DZ303" s="577">
        <f>INPUT!GM597</f>
        <v>0</v>
      </c>
      <c r="EA303" s="586">
        <f>INPUT!GN597</f>
        <v>0</v>
      </c>
      <c r="EB303" s="577">
        <f>INPUT!GO597</f>
        <v>0</v>
      </c>
      <c r="EC303" s="586">
        <f>INPUT!GP597</f>
        <v>0</v>
      </c>
      <c r="ED303" s="577">
        <f>INPUT!GQ597</f>
        <v>0</v>
      </c>
      <c r="EE303" s="586">
        <f>INPUT!GR597</f>
        <v>0</v>
      </c>
      <c r="EF303" s="577">
        <f>INPUT!GS597</f>
        <v>0</v>
      </c>
      <c r="EG303" s="586">
        <f>INPUT!GT597</f>
        <v>0</v>
      </c>
      <c r="EH303" s="577">
        <f>INPUT!GU597</f>
        <v>0</v>
      </c>
      <c r="EI303" s="586">
        <f>INPUT!GV597</f>
        <v>0</v>
      </c>
      <c r="EJ303" s="577">
        <f>INPUT!GW597</f>
        <v>0</v>
      </c>
      <c r="EK303" s="586">
        <f>INPUT!GX597</f>
        <v>0</v>
      </c>
      <c r="EL303" s="577">
        <f>INPUT!GY597</f>
        <v>0</v>
      </c>
      <c r="EM303" s="577">
        <f>INPUT!GZ597</f>
        <v>0</v>
      </c>
    </row>
    <row r="304" spans="1:144" ht="12.75" hidden="1" customHeight="1" outlineLevel="1" x14ac:dyDescent="0.2">
      <c r="A304" s="575"/>
      <c r="B304" s="580"/>
      <c r="C304" s="577"/>
      <c r="D304" s="580"/>
      <c r="E304" s="577"/>
      <c r="F304" s="580"/>
      <c r="G304" s="577"/>
      <c r="H304" s="580"/>
      <c r="I304" s="577"/>
      <c r="J304" s="580"/>
      <c r="K304" s="577"/>
      <c r="L304" s="580"/>
      <c r="M304" s="577"/>
      <c r="N304" s="580"/>
      <c r="O304" s="577"/>
      <c r="P304" s="580"/>
      <c r="Q304" s="577"/>
      <c r="R304" s="580"/>
      <c r="S304" s="577"/>
      <c r="T304" s="580"/>
      <c r="U304" s="577"/>
      <c r="V304" s="580"/>
      <c r="W304" s="577"/>
      <c r="X304" s="580"/>
      <c r="Y304" s="577"/>
      <c r="Z304" s="580"/>
      <c r="AA304" s="577"/>
      <c r="AB304" s="580"/>
      <c r="AC304" s="577"/>
      <c r="AD304" s="580"/>
      <c r="AE304" s="577"/>
      <c r="AF304" s="580"/>
      <c r="AG304" s="577"/>
      <c r="AH304" s="580"/>
      <c r="AI304" s="577"/>
      <c r="AJ304" s="580"/>
      <c r="AK304" s="577"/>
      <c r="AL304" s="580"/>
      <c r="AM304" s="577"/>
      <c r="AN304" s="580"/>
      <c r="AO304" s="577"/>
      <c r="AP304" s="580"/>
      <c r="AQ304" s="577"/>
      <c r="AR304" s="580"/>
      <c r="AS304" s="577"/>
      <c r="AT304" s="580"/>
      <c r="AU304" s="577"/>
      <c r="AV304" s="580"/>
      <c r="AW304" s="577"/>
      <c r="AX304" s="580"/>
      <c r="AY304" s="577"/>
      <c r="AZ304" s="580"/>
      <c r="BA304" s="577"/>
      <c r="BB304" s="580"/>
      <c r="BC304" s="577"/>
      <c r="BD304" s="580"/>
      <c r="BE304" s="577"/>
      <c r="BF304" s="580"/>
      <c r="BG304" s="577"/>
      <c r="BH304" s="580"/>
      <c r="BI304" s="577"/>
      <c r="BJ304" s="580"/>
      <c r="BK304" s="577"/>
      <c r="BL304" s="580"/>
      <c r="BM304" s="577"/>
      <c r="BN304" s="580"/>
      <c r="BO304" s="577"/>
      <c r="BP304" s="580"/>
      <c r="BQ304" s="577"/>
      <c r="BR304" s="580"/>
      <c r="BS304" s="577"/>
      <c r="BT304" s="580"/>
      <c r="BU304" s="577"/>
      <c r="BV304" s="580"/>
      <c r="BW304" s="577"/>
      <c r="BX304" s="580"/>
      <c r="BY304" s="577"/>
      <c r="BZ304" s="580"/>
      <c r="CA304" s="577"/>
      <c r="CB304" s="580"/>
      <c r="CC304" s="577"/>
      <c r="CD304" s="580"/>
      <c r="CE304" s="577"/>
      <c r="CF304" s="580"/>
      <c r="CG304" s="577"/>
      <c r="CH304" s="580"/>
      <c r="CI304" s="577"/>
      <c r="CJ304" s="580"/>
      <c r="CK304" s="577"/>
      <c r="CL304" s="580"/>
      <c r="CM304" s="577"/>
      <c r="CN304" s="580"/>
      <c r="CO304" s="577"/>
      <c r="CP304" s="580"/>
      <c r="CQ304" s="577"/>
      <c r="CR304" s="580"/>
      <c r="CS304" s="577"/>
      <c r="CT304" s="580"/>
      <c r="CU304" s="577"/>
      <c r="CV304" s="580"/>
      <c r="CW304" s="577"/>
      <c r="CX304" s="580"/>
      <c r="CY304" s="577"/>
      <c r="CZ304" s="580"/>
      <c r="DA304" s="577"/>
      <c r="DB304" s="605"/>
      <c r="DC304" s="580"/>
      <c r="DD304" s="577"/>
      <c r="DE304" s="580"/>
      <c r="DF304" s="577"/>
      <c r="DG304" s="580"/>
      <c r="DH304" s="577"/>
      <c r="DI304" s="580"/>
      <c r="DJ304" s="577"/>
      <c r="DK304" s="580"/>
      <c r="DL304" s="577"/>
      <c r="DM304" s="580"/>
      <c r="DN304" s="577"/>
      <c r="DO304" s="580"/>
      <c r="DP304" s="577"/>
      <c r="DQ304" s="580"/>
      <c r="DR304" s="577"/>
      <c r="DS304" s="580"/>
      <c r="DT304" s="577"/>
      <c r="DU304" s="580"/>
      <c r="DV304" s="577"/>
      <c r="DW304" s="580"/>
      <c r="DX304" s="577"/>
      <c r="DY304" s="580"/>
      <c r="DZ304" s="577"/>
      <c r="EA304" s="580"/>
      <c r="EB304" s="577"/>
      <c r="EC304" s="580"/>
      <c r="ED304" s="577"/>
      <c r="EE304" s="580"/>
      <c r="EF304" s="577"/>
      <c r="EG304" s="580"/>
      <c r="EH304" s="577"/>
      <c r="EI304" s="580"/>
      <c r="EJ304" s="577"/>
      <c r="EK304" s="580"/>
      <c r="EL304" s="577"/>
      <c r="EM304" s="577"/>
    </row>
    <row r="305" spans="1:144" ht="12.75" hidden="1" customHeight="1" outlineLevel="1" x14ac:dyDescent="0.2">
      <c r="A305" s="575" t="s">
        <v>707</v>
      </c>
      <c r="B305" s="580"/>
      <c r="C305" s="577"/>
      <c r="D305" s="580"/>
      <c r="E305" s="577"/>
      <c r="F305" s="580"/>
      <c r="G305" s="577"/>
      <c r="H305" s="580"/>
      <c r="I305" s="577"/>
      <c r="J305" s="580"/>
      <c r="K305" s="577"/>
      <c r="L305" s="580"/>
      <c r="M305" s="577"/>
      <c r="N305" s="580"/>
      <c r="O305" s="577"/>
      <c r="P305" s="580"/>
      <c r="Q305" s="577"/>
      <c r="R305" s="580"/>
      <c r="S305" s="577"/>
      <c r="T305" s="580"/>
      <c r="U305" s="577"/>
      <c r="V305" s="580"/>
      <c r="W305" s="577"/>
      <c r="X305" s="580"/>
      <c r="Y305" s="577"/>
      <c r="Z305" s="580"/>
      <c r="AA305" s="577"/>
      <c r="AB305" s="580"/>
      <c r="AC305" s="577"/>
      <c r="AD305" s="580"/>
      <c r="AE305" s="577"/>
      <c r="AF305" s="580"/>
      <c r="AG305" s="577"/>
      <c r="AH305" s="580"/>
      <c r="AI305" s="577"/>
      <c r="AJ305" s="580"/>
      <c r="AK305" s="577"/>
      <c r="AL305" s="580"/>
      <c r="AM305" s="577"/>
      <c r="AN305" s="580"/>
      <c r="AO305" s="577"/>
      <c r="AP305" s="580"/>
      <c r="AQ305" s="577"/>
      <c r="AR305" s="580"/>
      <c r="AS305" s="577"/>
      <c r="AT305" s="580"/>
      <c r="AU305" s="577"/>
      <c r="AV305" s="580"/>
      <c r="AW305" s="577"/>
      <c r="AX305" s="580"/>
      <c r="AY305" s="577"/>
      <c r="AZ305" s="580"/>
      <c r="BA305" s="577"/>
      <c r="BB305" s="580"/>
      <c r="BC305" s="577"/>
      <c r="BD305" s="580"/>
      <c r="BE305" s="577"/>
      <c r="BF305" s="580"/>
      <c r="BG305" s="577"/>
      <c r="BH305" s="580"/>
      <c r="BI305" s="577"/>
      <c r="BJ305" s="580"/>
      <c r="BK305" s="577"/>
      <c r="BL305" s="580"/>
      <c r="BM305" s="577"/>
      <c r="BN305" s="580"/>
      <c r="BO305" s="577"/>
      <c r="BP305" s="580"/>
      <c r="BQ305" s="577"/>
      <c r="BR305" s="580"/>
      <c r="BS305" s="577"/>
      <c r="BT305" s="580"/>
      <c r="BU305" s="577"/>
      <c r="BV305" s="580"/>
      <c r="BW305" s="577"/>
      <c r="BX305" s="580"/>
      <c r="BY305" s="577"/>
      <c r="BZ305" s="580"/>
      <c r="CA305" s="577"/>
      <c r="CB305" s="580"/>
      <c r="CC305" s="577"/>
      <c r="CD305" s="580"/>
      <c r="CE305" s="577"/>
      <c r="CF305" s="580"/>
      <c r="CG305" s="577"/>
      <c r="CH305" s="580"/>
      <c r="CI305" s="577"/>
      <c r="CJ305" s="580"/>
      <c r="CK305" s="577"/>
      <c r="CL305" s="580"/>
      <c r="CM305" s="577"/>
      <c r="CN305" s="580"/>
      <c r="CO305" s="577"/>
      <c r="CP305" s="580"/>
      <c r="CQ305" s="577"/>
      <c r="CR305" s="580"/>
      <c r="CS305" s="577"/>
      <c r="CT305" s="580"/>
      <c r="CU305" s="577"/>
      <c r="CV305" s="580"/>
      <c r="CW305" s="577"/>
      <c r="CX305" s="580"/>
      <c r="CY305" s="577"/>
      <c r="CZ305" s="580"/>
      <c r="DA305" s="577"/>
      <c r="DB305" s="605"/>
      <c r="DC305" s="580"/>
      <c r="DD305" s="577"/>
      <c r="DE305" s="580"/>
      <c r="DF305" s="577"/>
      <c r="DG305" s="580"/>
      <c r="DH305" s="577"/>
      <c r="DI305" s="580"/>
      <c r="DJ305" s="577"/>
      <c r="DK305" s="580"/>
      <c r="DL305" s="577"/>
      <c r="DM305" s="580"/>
      <c r="DN305" s="577"/>
      <c r="DO305" s="580"/>
      <c r="DP305" s="577"/>
      <c r="DQ305" s="580"/>
      <c r="DR305" s="577"/>
      <c r="DS305" s="580"/>
      <c r="DT305" s="577"/>
      <c r="DU305" s="580"/>
      <c r="DV305" s="577"/>
      <c r="DW305" s="580"/>
      <c r="DX305" s="577"/>
      <c r="DY305" s="580"/>
      <c r="DZ305" s="577"/>
      <c r="EA305" s="580"/>
      <c r="EB305" s="577"/>
      <c r="EC305" s="580"/>
      <c r="ED305" s="577"/>
      <c r="EE305" s="580"/>
      <c r="EF305" s="577"/>
      <c r="EG305" s="580"/>
      <c r="EH305" s="577"/>
      <c r="EI305" s="580"/>
      <c r="EJ305" s="577"/>
      <c r="EK305" s="580"/>
      <c r="EL305" s="577"/>
      <c r="EM305" s="577"/>
    </row>
    <row r="306" spans="1:144" ht="12.75" hidden="1" customHeight="1" outlineLevel="1" x14ac:dyDescent="0.2">
      <c r="A306" s="579" t="str">
        <f>+INPUT!B305</f>
        <v>Fees/Average Assets (%)</v>
      </c>
      <c r="B306" s="597">
        <f>+INPUT!AY305</f>
        <v>0.84260355029585809</v>
      </c>
      <c r="C306" s="577" t="str">
        <f>+INPUT!AZ305</f>
        <v>NA</v>
      </c>
      <c r="D306" s="597">
        <f>+INPUT!BA305</f>
        <v>0.78149100257069426</v>
      </c>
      <c r="E306" s="577" t="str">
        <f>+INPUT!BB305</f>
        <v>NA</v>
      </c>
      <c r="F306" s="597">
        <f>+INPUT!BC305</f>
        <v>0.71696387745770473</v>
      </c>
      <c r="G306" s="577" t="str">
        <f>+INPUT!BD305</f>
        <v>NA</v>
      </c>
      <c r="H306" s="597">
        <f>+INPUT!BE305</f>
        <v>0.98520452567449956</v>
      </c>
      <c r="I306" s="577">
        <f>+INPUT!BF305</f>
        <v>23.908882000625951</v>
      </c>
      <c r="J306" s="597">
        <f>+INPUT!BG305</f>
        <v>0.83991683991683996</v>
      </c>
      <c r="K306" s="577">
        <f>+INPUT!BH305</f>
        <v>-0.31885818402672328</v>
      </c>
      <c r="L306" s="597">
        <f>+INPUT!BI305</f>
        <v>0.84734202607823483</v>
      </c>
      <c r="M306" s="577">
        <f>+INPUT!BJ305</f>
        <v>8.426331626458321</v>
      </c>
      <c r="N306" s="597">
        <f>+INPUT!BK305</f>
        <v>0.80328189099433489</v>
      </c>
      <c r="O306" s="577">
        <f>+INPUT!BL305</f>
        <v>12.039381097232791</v>
      </c>
      <c r="P306" s="597">
        <f>+INPUT!BM305</f>
        <v>0.85276073619631898</v>
      </c>
      <c r="Q306" s="577">
        <f>+INPUT!BN305</f>
        <v>-13.443278631663375</v>
      </c>
      <c r="R306" s="597">
        <f>+INPUT!BO305</f>
        <v>0.73526011560693649</v>
      </c>
      <c r="S306" s="577">
        <f>+INPUT!BP305</f>
        <v>-12.460367424025634</v>
      </c>
      <c r="T306" s="597">
        <f>+INPUT!BQ305</f>
        <v>0.72055427251732107</v>
      </c>
      <c r="U306" s="577">
        <f>+INPUT!BR305</f>
        <v>-14.962996010917493</v>
      </c>
      <c r="V306" s="597">
        <f>+INPUT!BS305</f>
        <v>0.56481663071190435</v>
      </c>
      <c r="W306" s="577">
        <f>+INPUT!BT305</f>
        <v>-29.68637323408953</v>
      </c>
      <c r="X306" s="597">
        <f>+INPUT!BU305</f>
        <v>0.50468883205456105</v>
      </c>
      <c r="Y306" s="577">
        <f>+INPUT!BV305</f>
        <v>-40.817065018062259</v>
      </c>
      <c r="Z306" s="597">
        <f>+INPUT!BW305</f>
        <v>0.46143282215609988</v>
      </c>
      <c r="AA306" s="577">
        <f>+INPUT!BX305</f>
        <v>-37.242234093549321</v>
      </c>
      <c r="AB306" s="597">
        <f>+INPUT!BY305</f>
        <v>0.55381866904868249</v>
      </c>
      <c r="AC306" s="577">
        <f>+INPUT!BZ305</f>
        <v>-23.139909071128358</v>
      </c>
      <c r="AD306" s="597">
        <f>+INPUT!CA305</f>
        <v>0.45113392024017201</v>
      </c>
      <c r="AE306" s="577">
        <f>+INPUT!CB305</f>
        <v>-20.127365996366777</v>
      </c>
      <c r="AF306" s="597">
        <f>+INPUT!CC305</f>
        <v>0.49176629821791107</v>
      </c>
      <c r="AG306" s="577">
        <f>+INPUT!CD305</f>
        <v>-2.560495302430823</v>
      </c>
      <c r="AH306" s="597">
        <f>+INPUT!CE305</f>
        <v>0.51101194760328206</v>
      </c>
      <c r="AI306" s="577">
        <f>+INPUT!CF305</f>
        <v>10.744603128905709</v>
      </c>
      <c r="AJ306" s="597">
        <f>+INPUT!CG305</f>
        <v>0.65005417118093178</v>
      </c>
      <c r="AK306" s="577">
        <f>+INPUT!CH305</f>
        <v>17.376716876944045</v>
      </c>
      <c r="AL306" s="597">
        <f>+INPUT!CI305</f>
        <v>0.6141983515022601</v>
      </c>
      <c r="AM306" s="577">
        <f>+INPUT!CJ305</f>
        <v>36.145460127510887</v>
      </c>
      <c r="AN306" s="597">
        <f>+INPUT!CK305</f>
        <v>0.5979718275128687</v>
      </c>
      <c r="AO306" s="577">
        <f>+INPUT!CL305</f>
        <v>21.596748227731524</v>
      </c>
      <c r="AP306" s="597">
        <f>+INPUT!CM305</f>
        <v>0.5795619193727094</v>
      </c>
      <c r="AQ306" s="577">
        <f>+INPUT!CN305</f>
        <v>13.414553630484832</v>
      </c>
      <c r="AR306" s="597">
        <f>+INPUT!CO305</f>
        <v>0.66889990620393958</v>
      </c>
      <c r="AS306" s="577">
        <f>+INPUT!CP305</f>
        <v>2.899102237706046</v>
      </c>
      <c r="AT306" s="597">
        <f>+INPUT!CQ305</f>
        <v>0.52153299091268279</v>
      </c>
      <c r="AU306" s="577">
        <f>+INPUT!CR305</f>
        <v>-15.08720437997404</v>
      </c>
      <c r="AV306" s="597">
        <f>+INPUT!CS305</f>
        <v>0.70597382402488007</v>
      </c>
      <c r="AW306" s="577">
        <f>+INPUT!CT305</f>
        <v>18.061385427006101</v>
      </c>
      <c r="AX306" s="597">
        <f>+INPUT!CU305</f>
        <v>0.53845195064190443</v>
      </c>
      <c r="AY306" s="577">
        <f>+INPUT!CV305</f>
        <v>-7.0932832811549247</v>
      </c>
      <c r="AZ306" s="597">
        <f>+INPUT!CW305</f>
        <v>0.46244441773825257</v>
      </c>
      <c r="BA306" s="577">
        <f>+INPUT!CX305</f>
        <v>-30.864930096542906</v>
      </c>
      <c r="BB306" s="597">
        <f>+INPUT!CY305</f>
        <v>0.5539107122042195</v>
      </c>
      <c r="BC306" s="577">
        <f>+INPUT!CZ305</f>
        <v>6.2081827718847933</v>
      </c>
      <c r="BD306" s="597">
        <f>+INPUT!DA305</f>
        <v>0.58826174949404086</v>
      </c>
      <c r="BE306" s="577">
        <f>+INPUT!DB305</f>
        <v>-16.673716577725514</v>
      </c>
      <c r="BF306" s="597">
        <f>+INPUT!DC305</f>
        <v>0.54296280182727852</v>
      </c>
      <c r="BG306" s="577">
        <f>+INPUT!DD305</f>
        <v>0.8377444226911166</v>
      </c>
      <c r="BH306" s="597">
        <f>+INPUT!DE305</f>
        <v>0.54725625998934457</v>
      </c>
      <c r="BI306" s="577">
        <f>+INPUT!DF305</f>
        <v>18.33989967181229</v>
      </c>
      <c r="BJ306" s="597">
        <f>+INPUT!DG305</f>
        <v>0.52201061504839208</v>
      </c>
      <c r="BK306" s="577">
        <f>+INPUT!DH305</f>
        <v>-5.7590684659057985</v>
      </c>
      <c r="BL306" s="597">
        <f>+INPUT!DI305</f>
        <v>0.55739668596526237</v>
      </c>
      <c r="BM306" s="577">
        <f>+INPUT!DJ305</f>
        <v>-5.2468248284586423</v>
      </c>
      <c r="BN306" s="597">
        <f>+INPUT!DK305</f>
        <v>0.49580722891566259</v>
      </c>
      <c r="BO306" s="577">
        <f>+INPUT!DL305</f>
        <v>-8.6848625270311857</v>
      </c>
      <c r="BP306" s="597">
        <f>+INPUT!DM305</f>
        <v>0.51632158179444121</v>
      </c>
      <c r="BQ306" s="577">
        <f>+INPUT!DN305</f>
        <v>-5.6526860369775704</v>
      </c>
      <c r="BR306" s="597">
        <f>+INPUT!DO305</f>
        <v>0.4972497249724972</v>
      </c>
      <c r="BS306" s="577">
        <f>+INPUT!DP305</f>
        <v>-4.7433690737494771</v>
      </c>
      <c r="BT306" s="597">
        <f>+INPUT!DQ305</f>
        <v>0.514275322785961</v>
      </c>
      <c r="BU306" s="577">
        <f>+INPUT!DR305</f>
        <v>-7.7362073125043196</v>
      </c>
      <c r="BV306" s="597">
        <f>+INPUT!DS305</f>
        <v>0.49885502906464674</v>
      </c>
      <c r="BW306" s="577">
        <f>+INPUT!DT305</f>
        <v>0.61471474622298672</v>
      </c>
      <c r="BX306" s="597">
        <f>+INPUT!DU305</f>
        <v>0.51074109222672748</v>
      </c>
      <c r="BY306" s="577">
        <f>+INPUT!DV305</f>
        <v>-1.0808166391803979</v>
      </c>
      <c r="BZ306" s="597">
        <f>+INPUT!DW305</f>
        <v>0.47599164926931087</v>
      </c>
      <c r="CA306" s="577">
        <f>+INPUT!DX305</f>
        <v>-4.2751307111053904</v>
      </c>
      <c r="CB306" s="597">
        <f>+INPUT!DY305</f>
        <v>0.48503719079743979</v>
      </c>
      <c r="CC306" s="577">
        <f>+INPUT!DZ305</f>
        <v>-5.685307206678857</v>
      </c>
      <c r="CD306" s="597">
        <f>+INPUT!EA305</f>
        <v>0.46306579168769962</v>
      </c>
      <c r="CE306" s="577">
        <f>+INPUT!EB305</f>
        <v>-7.1742761507390185</v>
      </c>
      <c r="CF306" s="597">
        <f>+INPUT!EC305</f>
        <v>0.46373967786771297</v>
      </c>
      <c r="CG306" s="577">
        <f>+INPUT!ED305</f>
        <v>-9.2025911120833968</v>
      </c>
      <c r="CH306" s="597">
        <f>+INPUT!EE305</f>
        <v>0.45837905627841341</v>
      </c>
      <c r="CI306" s="577">
        <f>+INPUT!EF305</f>
        <v>-3.7001894923859169</v>
      </c>
      <c r="CJ306" s="597">
        <f>+INPUT!EG305</f>
        <v>0.46495832046928048</v>
      </c>
      <c r="CK306" s="577">
        <f>+INPUT!EH305</f>
        <v>-4.1396558262157299</v>
      </c>
      <c r="CL306" s="597">
        <f>+INPUT!EI305</f>
        <v>0.44434215573456065</v>
      </c>
      <c r="CM306" s="577">
        <f>+INPUT!EJ305</f>
        <v>-4.043407284502365</v>
      </c>
      <c r="CN306" s="597">
        <f>+INPUT!EK305</f>
        <v>0.44273907910271532</v>
      </c>
      <c r="CO306" s="577">
        <f>+INPUT!EL305</f>
        <v>-4.5285317964507499</v>
      </c>
      <c r="CP306" s="597">
        <f>+INPUT!EM305</f>
        <v>0.43782787466326362</v>
      </c>
      <c r="CQ306" s="577">
        <f>+INPUT!EN305</f>
        <v>-4.4834469057127393</v>
      </c>
      <c r="CR306" s="597">
        <f>+INPUT!EO305</f>
        <v>0.51689258927957038</v>
      </c>
      <c r="CS306" s="577">
        <f>+INPUT!EP305</f>
        <v>11.16966113389968</v>
      </c>
      <c r="CT306" s="597">
        <f>+INPUT!EQ305</f>
        <v>0.46</v>
      </c>
      <c r="CU306" s="577">
        <f>+INPUT!ER305</f>
        <v>3.5238259668508647</v>
      </c>
      <c r="CV306" s="597">
        <f>+INPUT!ES305</f>
        <v>0.45500000000000002</v>
      </c>
      <c r="CW306" s="577">
        <f>+INPUT!ET305</f>
        <v>2.7693333333333783</v>
      </c>
      <c r="CX306" s="597">
        <f>+INPUT!EU305</f>
        <v>0.45500000000000002</v>
      </c>
      <c r="CY306" s="577">
        <f>+INPUT!EV305</f>
        <v>3.9221178756477286</v>
      </c>
      <c r="CZ306" s="597">
        <f>+INPUT!EW305</f>
        <v>0.45500000000000002</v>
      </c>
      <c r="DA306" s="577">
        <f>+INPUT!EX305</f>
        <v>-11.973974973375888</v>
      </c>
      <c r="DB306" s="597"/>
      <c r="DC306" s="597">
        <f>+INPUT!FP305</f>
        <v>0.76416906820365038</v>
      </c>
      <c r="DD306" s="577" t="str">
        <f>+INPUT!FQ305</f>
        <v>NA</v>
      </c>
      <c r="DE306" s="597">
        <f>+INPUT!FR305</f>
        <v>0.82027027027027044</v>
      </c>
      <c r="DF306" s="577">
        <f>+INPUT!FS305</f>
        <v>7.3414646576180473</v>
      </c>
      <c r="DG306" s="597">
        <f>+INPUT!FT305</f>
        <v>0.8432237369687251</v>
      </c>
      <c r="DH306" s="577">
        <f>+INPUT!FU305</f>
        <v>2.7982809484112749</v>
      </c>
      <c r="DI306" s="597">
        <f>+INPUT!FV305</f>
        <v>0.65898332990327235</v>
      </c>
      <c r="DJ306" s="577">
        <f>+INPUT!FW305</f>
        <v>-21.849528065679465</v>
      </c>
      <c r="DK306" s="597">
        <f>+INPUT!FX305</f>
        <v>0.4708683021304067</v>
      </c>
      <c r="DL306" s="577">
        <f>+INPUT!FY305</f>
        <v>-28.546249842234673</v>
      </c>
      <c r="DM306" s="597">
        <f>+INPUT!FZ305</f>
        <v>0.58014314794142752</v>
      </c>
      <c r="DN306" s="577">
        <f>+INPUT!GA305</f>
        <v>23.207093218340532</v>
      </c>
      <c r="DO306" s="597">
        <f>+INPUT!GB305</f>
        <v>0.63506900533347999</v>
      </c>
      <c r="DP306" s="577">
        <f>+INPUT!GC305</f>
        <v>9.4676387348451243</v>
      </c>
      <c r="DQ306" s="597">
        <f>+INPUT!GD305</f>
        <v>0.53799644339063435</v>
      </c>
      <c r="DR306" s="577">
        <f>+INPUT!GE305</f>
        <v>-15.285356571900721</v>
      </c>
      <c r="DS306" s="597">
        <f>+INPUT!GF305</f>
        <v>0.53710613598673296</v>
      </c>
      <c r="DT306" s="577">
        <f>+INPUT!GG305</f>
        <v>-0.16548574155812901</v>
      </c>
      <c r="DU306" s="597">
        <f>+INPUT!GH305</f>
        <v>0.50912494150678511</v>
      </c>
      <c r="DV306" s="577">
        <f>+INPUT!GI305</f>
        <v>-5.2096210795549354</v>
      </c>
      <c r="DW306" s="597">
        <f>+INPUT!GJ305</f>
        <v>0.4959299781181617</v>
      </c>
      <c r="DX306" s="577">
        <f>+INPUT!GK305</f>
        <v>-2.5916945552838371</v>
      </c>
      <c r="DY306" s="597">
        <f>+INPUT!GL305</f>
        <v>0.46986871075593239</v>
      </c>
      <c r="DZ306" s="577">
        <f>+INPUT!GM305</f>
        <v>-5.2550296437252086</v>
      </c>
      <c r="EA306" s="597">
        <f>+INPUT!GN305</f>
        <v>0.46513326031398317</v>
      </c>
      <c r="EB306" s="577">
        <f>+INPUT!GO305</f>
        <v>-1.0078241716352494</v>
      </c>
      <c r="EC306" s="597">
        <f>+INPUT!GP305</f>
        <v>0.45604960774047598</v>
      </c>
      <c r="ED306" s="577">
        <f>+INPUT!GQ305</f>
        <v>-1.9529140030483632</v>
      </c>
      <c r="EE306" s="597">
        <f>+INPUT!GR305</f>
        <v>0.45604960774047598</v>
      </c>
      <c r="EF306" s="577">
        <f>+INPUT!GS305</f>
        <v>0</v>
      </c>
      <c r="EG306" s="597">
        <f>+INPUT!GT305</f>
        <v>0.45104960774047598</v>
      </c>
      <c r="EH306" s="577">
        <f>+INPUT!GU305</f>
        <v>-1.0963719549662159</v>
      </c>
      <c r="EI306" s="597">
        <f>+INPUT!GV305</f>
        <v>0.44604960774047597</v>
      </c>
      <c r="EJ306" s="577">
        <f>+INPUT!GW305</f>
        <v>-1.1085255178576574</v>
      </c>
      <c r="EK306" s="597">
        <f>+INPUT!GX305</f>
        <v>0.43604960774047596</v>
      </c>
      <c r="EL306" s="577">
        <f>+INPUT!GY305</f>
        <v>-2.2419031037055106</v>
      </c>
      <c r="EM306" s="577">
        <f>+INPUT!GZ305</f>
        <v>-1.2830563356974523</v>
      </c>
    </row>
    <row r="307" spans="1:144" ht="12.75" hidden="1" customHeight="1" outlineLevel="1" x14ac:dyDescent="0.2">
      <c r="A307" s="575"/>
      <c r="B307" s="580"/>
      <c r="C307" s="577"/>
      <c r="D307" s="580"/>
      <c r="E307" s="577"/>
      <c r="F307" s="580"/>
      <c r="G307" s="577"/>
      <c r="H307" s="580"/>
      <c r="I307" s="577"/>
      <c r="J307" s="580"/>
      <c r="K307" s="577"/>
      <c r="L307" s="580"/>
      <c r="M307" s="577"/>
      <c r="N307" s="580"/>
      <c r="O307" s="577"/>
      <c r="P307" s="580"/>
      <c r="Q307" s="577"/>
      <c r="R307" s="580"/>
      <c r="S307" s="577"/>
      <c r="T307" s="580"/>
      <c r="U307" s="577"/>
      <c r="V307" s="580"/>
      <c r="W307" s="577"/>
      <c r="X307" s="580"/>
      <c r="Y307" s="577"/>
      <c r="Z307" s="580"/>
      <c r="AA307" s="577"/>
      <c r="AB307" s="580"/>
      <c r="AC307" s="577"/>
      <c r="AD307" s="580"/>
      <c r="AE307" s="577"/>
      <c r="AF307" s="580"/>
      <c r="AG307" s="577"/>
      <c r="AH307" s="580"/>
      <c r="AI307" s="577"/>
      <c r="AJ307" s="580"/>
      <c r="AK307" s="577"/>
      <c r="AL307" s="580"/>
      <c r="AM307" s="577"/>
      <c r="AN307" s="580"/>
      <c r="AO307" s="577"/>
      <c r="AP307" s="580"/>
      <c r="AQ307" s="577"/>
      <c r="AR307" s="580"/>
      <c r="AS307" s="577"/>
      <c r="AT307" s="580"/>
      <c r="AU307" s="577"/>
      <c r="AV307" s="580"/>
      <c r="AW307" s="577"/>
      <c r="AX307" s="580"/>
      <c r="AY307" s="577"/>
      <c r="AZ307" s="580"/>
      <c r="BA307" s="577"/>
      <c r="BB307" s="580"/>
      <c r="BC307" s="577"/>
      <c r="BD307" s="580"/>
      <c r="BE307" s="577"/>
      <c r="BF307" s="580"/>
      <c r="BG307" s="577"/>
      <c r="BH307" s="580"/>
      <c r="BI307" s="577"/>
      <c r="BJ307" s="580"/>
      <c r="BK307" s="577"/>
      <c r="BL307" s="580"/>
      <c r="BM307" s="577"/>
      <c r="BN307" s="580"/>
      <c r="BO307" s="577"/>
      <c r="BP307" s="580"/>
      <c r="BQ307" s="577"/>
      <c r="BR307" s="580"/>
      <c r="BS307" s="577"/>
      <c r="BT307" s="580"/>
      <c r="BU307" s="577"/>
      <c r="BV307" s="580"/>
      <c r="BW307" s="577"/>
      <c r="BX307" s="580"/>
      <c r="BY307" s="577"/>
      <c r="BZ307" s="580"/>
      <c r="CA307" s="577"/>
      <c r="CB307" s="580"/>
      <c r="CC307" s="577"/>
      <c r="CD307" s="580"/>
      <c r="CE307" s="577"/>
      <c r="CF307" s="580"/>
      <c r="CG307" s="577"/>
      <c r="CH307" s="580"/>
      <c r="CI307" s="577"/>
      <c r="CJ307" s="580"/>
      <c r="CK307" s="577"/>
      <c r="CL307" s="580"/>
      <c r="CM307" s="577"/>
      <c r="CN307" s="580"/>
      <c r="CO307" s="577"/>
      <c r="CP307" s="580"/>
      <c r="CQ307" s="577"/>
      <c r="CR307" s="580"/>
      <c r="CS307" s="577"/>
      <c r="CT307" s="580"/>
      <c r="CU307" s="577"/>
      <c r="CV307" s="580"/>
      <c r="CW307" s="577"/>
      <c r="CX307" s="580"/>
      <c r="CY307" s="577"/>
      <c r="CZ307" s="580"/>
      <c r="DA307" s="577"/>
      <c r="DB307" s="605"/>
      <c r="DC307" s="580"/>
      <c r="DD307" s="577"/>
      <c r="DE307" s="580"/>
      <c r="DF307" s="577"/>
      <c r="DG307" s="580"/>
      <c r="DH307" s="577"/>
      <c r="DI307" s="580"/>
      <c r="DJ307" s="577"/>
      <c r="DK307" s="580"/>
      <c r="DL307" s="577"/>
      <c r="DM307" s="580"/>
      <c r="DN307" s="577"/>
      <c r="DO307" s="580"/>
      <c r="DP307" s="577"/>
      <c r="DQ307" s="580"/>
      <c r="DR307" s="577"/>
      <c r="DS307" s="580"/>
      <c r="DT307" s="577"/>
      <c r="DU307" s="580"/>
      <c r="DV307" s="577"/>
      <c r="DW307" s="580"/>
      <c r="DX307" s="577"/>
      <c r="DY307" s="580"/>
      <c r="DZ307" s="577"/>
      <c r="EA307" s="580"/>
      <c r="EB307" s="577"/>
      <c r="EC307" s="580"/>
      <c r="ED307" s="577"/>
      <c r="EE307" s="580"/>
      <c r="EF307" s="577"/>
      <c r="EG307" s="580"/>
      <c r="EH307" s="577"/>
      <c r="EI307" s="580"/>
      <c r="EJ307" s="577"/>
      <c r="EK307" s="580"/>
      <c r="EL307" s="577"/>
      <c r="EM307" s="577"/>
    </row>
    <row r="308" spans="1:144" ht="12.75" hidden="1" customHeight="1" outlineLevel="1" x14ac:dyDescent="0.2">
      <c r="A308" s="614" t="s">
        <v>312</v>
      </c>
      <c r="B308" s="580"/>
      <c r="C308" s="577"/>
      <c r="D308" s="580"/>
      <c r="E308" s="577"/>
      <c r="F308" s="580"/>
      <c r="G308" s="577"/>
      <c r="H308" s="580"/>
      <c r="I308" s="577"/>
      <c r="J308" s="580"/>
      <c r="K308" s="577"/>
      <c r="L308" s="580"/>
      <c r="M308" s="577"/>
      <c r="N308" s="580"/>
      <c r="O308" s="577"/>
      <c r="P308" s="580"/>
      <c r="Q308" s="577"/>
      <c r="R308" s="580"/>
      <c r="S308" s="577"/>
      <c r="T308" s="580"/>
      <c r="U308" s="577"/>
      <c r="V308" s="580"/>
      <c r="W308" s="577"/>
      <c r="X308" s="580"/>
      <c r="Y308" s="577"/>
      <c r="Z308" s="580"/>
      <c r="AA308" s="577"/>
      <c r="AB308" s="580"/>
      <c r="AC308" s="577"/>
      <c r="AD308" s="580"/>
      <c r="AE308" s="577"/>
      <c r="AF308" s="580"/>
      <c r="AG308" s="577"/>
      <c r="AH308" s="580"/>
      <c r="AI308" s="577"/>
      <c r="AJ308" s="580"/>
      <c r="AK308" s="577"/>
      <c r="AL308" s="580"/>
      <c r="AM308" s="577"/>
      <c r="AN308" s="580"/>
      <c r="AO308" s="577"/>
      <c r="AP308" s="580"/>
      <c r="AQ308" s="577"/>
      <c r="AR308" s="580"/>
      <c r="AS308" s="577"/>
      <c r="AT308" s="580"/>
      <c r="AU308" s="577"/>
      <c r="AV308" s="580"/>
      <c r="AW308" s="577"/>
      <c r="AX308" s="580"/>
      <c r="AY308" s="577"/>
      <c r="AZ308" s="580"/>
      <c r="BA308" s="577"/>
      <c r="BB308" s="580"/>
      <c r="BC308" s="577"/>
      <c r="BD308" s="580"/>
      <c r="BE308" s="577"/>
      <c r="BF308" s="580"/>
      <c r="BG308" s="577"/>
      <c r="BH308" s="580"/>
      <c r="BI308" s="577"/>
      <c r="BJ308" s="580"/>
      <c r="BK308" s="577"/>
      <c r="BL308" s="580"/>
      <c r="BM308" s="577"/>
      <c r="BN308" s="580"/>
      <c r="BO308" s="577"/>
      <c r="BP308" s="580"/>
      <c r="BQ308" s="577"/>
      <c r="BR308" s="580"/>
      <c r="BS308" s="577"/>
      <c r="BT308" s="580"/>
      <c r="BU308" s="577"/>
      <c r="BV308" s="580"/>
      <c r="BW308" s="577"/>
      <c r="BX308" s="580"/>
      <c r="BY308" s="577"/>
      <c r="BZ308" s="580"/>
      <c r="CA308" s="577"/>
      <c r="CB308" s="580"/>
      <c r="CC308" s="577"/>
      <c r="CD308" s="580"/>
      <c r="CE308" s="577"/>
      <c r="CF308" s="580"/>
      <c r="CG308" s="577"/>
      <c r="CH308" s="580"/>
      <c r="CI308" s="577"/>
      <c r="CJ308" s="580"/>
      <c r="CK308" s="577"/>
      <c r="CL308" s="580"/>
      <c r="CM308" s="577"/>
      <c r="CN308" s="580"/>
      <c r="CO308" s="577"/>
      <c r="CP308" s="580"/>
      <c r="CQ308" s="577"/>
      <c r="CR308" s="580"/>
      <c r="CS308" s="577"/>
      <c r="CT308" s="580"/>
      <c r="CU308" s="577"/>
      <c r="CV308" s="580"/>
      <c r="CW308" s="577"/>
      <c r="CX308" s="580"/>
      <c r="CY308" s="577"/>
      <c r="CZ308" s="580"/>
      <c r="DA308" s="577"/>
      <c r="DB308" s="605"/>
      <c r="DC308" s="580"/>
      <c r="DD308" s="577"/>
      <c r="DE308" s="580"/>
      <c r="DF308" s="577"/>
      <c r="DG308" s="580"/>
      <c r="DH308" s="577"/>
      <c r="DI308" s="580"/>
      <c r="DJ308" s="577"/>
      <c r="DK308" s="580"/>
      <c r="DL308" s="577"/>
      <c r="DM308" s="580"/>
      <c r="DN308" s="577"/>
      <c r="DO308" s="580"/>
      <c r="DP308" s="577"/>
      <c r="DQ308" s="580"/>
      <c r="DR308" s="577"/>
      <c r="DS308" s="580"/>
      <c r="DT308" s="577"/>
      <c r="DU308" s="580"/>
      <c r="DV308" s="577"/>
      <c r="DW308" s="580"/>
      <c r="DX308" s="577"/>
      <c r="DY308" s="580"/>
      <c r="DZ308" s="577"/>
      <c r="EA308" s="580"/>
      <c r="EB308" s="577"/>
      <c r="EC308" s="580"/>
      <c r="ED308" s="577"/>
      <c r="EE308" s="580"/>
      <c r="EF308" s="577"/>
      <c r="EG308" s="580"/>
      <c r="EH308" s="577"/>
      <c r="EI308" s="580"/>
      <c r="EJ308" s="577"/>
      <c r="EK308" s="580"/>
      <c r="EL308" s="577"/>
      <c r="EM308" s="577"/>
    </row>
    <row r="309" spans="1:144" ht="12.75" hidden="1" customHeight="1" outlineLevel="1" x14ac:dyDescent="0.2">
      <c r="A309" s="609" t="str">
        <f>+INPUT!B313</f>
        <v>G&amp;A Expenses/Total Revenues (%)</v>
      </c>
      <c r="B309" s="597">
        <f>+INPUT!AY313</f>
        <v>66.528925619834709</v>
      </c>
      <c r="C309" s="577">
        <f>+INPUT!AZ313</f>
        <v>0.75757575757575069</v>
      </c>
      <c r="D309" s="597">
        <f>+INPUT!BA313</f>
        <v>69.670329670329664</v>
      </c>
      <c r="E309" s="577">
        <f>+INPUT!BB313</f>
        <v>-2.9937423687423745</v>
      </c>
      <c r="F309" s="597">
        <f>+INPUT!BC313</f>
        <v>73.86363636363636</v>
      </c>
      <c r="G309" s="577">
        <f>+INPUT!BD313</f>
        <v>2.1124251923624939</v>
      </c>
      <c r="H309" s="597">
        <f>+INPUT!BE313</f>
        <v>69.607843137254903</v>
      </c>
      <c r="I309" s="577">
        <f>+INPUT!BF313</f>
        <v>-4.2617677986021079</v>
      </c>
      <c r="J309" s="597">
        <f>+INPUT!BG313</f>
        <v>65.688073394495419</v>
      </c>
      <c r="K309" s="577">
        <f>+INPUT!BH313</f>
        <v>-1.2638896803236435</v>
      </c>
      <c r="L309" s="597">
        <f>+INPUT!BI313</f>
        <v>69.152542372881356</v>
      </c>
      <c r="M309" s="577">
        <f>+INPUT!BJ313</f>
        <v>-0.74319627867186</v>
      </c>
      <c r="N309" s="597">
        <f>+INPUT!BK313</f>
        <v>67.741935483870961</v>
      </c>
      <c r="O309" s="577">
        <f>+INPUT!BL313</f>
        <v>-8.2878411910670025</v>
      </c>
      <c r="P309" s="597">
        <f>+INPUT!BM313</f>
        <v>65.175718849840251</v>
      </c>
      <c r="Q309" s="577">
        <f>+INPUT!BN313</f>
        <v>-6.3672771452999228</v>
      </c>
      <c r="R309" s="597">
        <f>+INPUT!BO313</f>
        <v>74.087591240875923</v>
      </c>
      <c r="S309" s="577">
        <f>+INPUT!BP313</f>
        <v>12.786975492394888</v>
      </c>
      <c r="T309" s="597">
        <f>+INPUT!BQ313</f>
        <v>63.475177304964539</v>
      </c>
      <c r="U309" s="577">
        <f>+INPUT!BR313</f>
        <v>-8.2099151717424519</v>
      </c>
      <c r="V309" s="597">
        <f>+INPUT!BS313</f>
        <v>95.652173913043484</v>
      </c>
      <c r="W309" s="577">
        <f>+INPUT!BT313</f>
        <v>41.200828157349918</v>
      </c>
      <c r="X309" s="597">
        <f>+INPUT!BU313</f>
        <v>120.5240174672489</v>
      </c>
      <c r="Y309" s="577">
        <f>+INPUT!BV313</f>
        <v>84.921654251220133</v>
      </c>
      <c r="Z309" s="597">
        <f>+INPUT!BW313</f>
        <v>96.577946768060841</v>
      </c>
      <c r="AA309" s="577">
        <f>+INPUT!BX313</f>
        <v>30.35644046526437</v>
      </c>
      <c r="AB309" s="597">
        <f>+INPUT!BY313</f>
        <v>88.596491228070178</v>
      </c>
      <c r="AC309" s="577">
        <f>+INPUT!BZ313</f>
        <v>39.576595119082612</v>
      </c>
      <c r="AD309" s="597">
        <f>+INPUT!CA313</f>
        <v>88.659793814432987</v>
      </c>
      <c r="AE309" s="577">
        <f>+INPUT!CB313</f>
        <v>-7.3102155576382444</v>
      </c>
      <c r="AF309" s="597">
        <f>+INPUT!CC313</f>
        <v>101.10803324099722</v>
      </c>
      <c r="AG309" s="577">
        <f>+INPUT!CD313</f>
        <v>-16.109639086274044</v>
      </c>
      <c r="AH309" s="586">
        <f>+INPUT!CE313</f>
        <v>77.308707124010553</v>
      </c>
      <c r="AI309" s="577">
        <f>+INPUT!CF313</f>
        <v>-19.952007977894596</v>
      </c>
      <c r="AJ309" s="586">
        <f>+INPUT!CG313</f>
        <v>73.886639676113361</v>
      </c>
      <c r="AK309" s="577">
        <f>+INPUT!CH313</f>
        <v>-16.603198781416609</v>
      </c>
      <c r="AL309" s="586">
        <f>+INPUT!CI313</f>
        <v>69.371196754563897</v>
      </c>
      <c r="AM309" s="577">
        <f>+INPUT!CJ313</f>
        <v>-21.755743195433737</v>
      </c>
      <c r="AN309" s="586">
        <f>+INPUT!CK313</f>
        <v>74.137931034482762</v>
      </c>
      <c r="AO309" s="577">
        <f>+INPUT!CL313</f>
        <v>-26.674539442607454</v>
      </c>
      <c r="AP309" s="586">
        <f>+INPUT!CM313</f>
        <v>71.532846715328475</v>
      </c>
      <c r="AQ309" s="577">
        <f>+INPUT!CN313</f>
        <v>-7.471164146383984</v>
      </c>
      <c r="AR309" s="586">
        <f>+INPUT!CO313</f>
        <v>64.786585365853654</v>
      </c>
      <c r="AS309" s="577">
        <f>+INPUT!CP313</f>
        <v>-12.316237888406292</v>
      </c>
      <c r="AT309" s="586">
        <f>+INPUT!CQ313</f>
        <v>75.048732943469787</v>
      </c>
      <c r="AU309" s="577">
        <f>+INPUT!CR313</f>
        <v>8.1842846231889013</v>
      </c>
      <c r="AV309" s="586">
        <f>+INPUT!CS313</f>
        <v>63.534361851332399</v>
      </c>
      <c r="AW309" s="577">
        <f>+INPUT!CT313</f>
        <v>-14.302488665644674</v>
      </c>
      <c r="AX309" s="586">
        <f>+INPUT!CU313</f>
        <v>73.53463587921847</v>
      </c>
      <c r="AY309" s="577">
        <f>+INPUT!CV313</f>
        <v>2.7984195454380512</v>
      </c>
      <c r="AZ309" s="586">
        <f>+INPUT!CW313</f>
        <v>87.903225806451616</v>
      </c>
      <c r="BA309" s="577">
        <f>+INPUT!CX313</f>
        <v>35.681214421252378</v>
      </c>
      <c r="BB309" s="586">
        <f>+INPUT!CY313</f>
        <v>68.512658227848107</v>
      </c>
      <c r="BC309" s="577">
        <f>+INPUT!CZ313</f>
        <v>-8.7091073483478425</v>
      </c>
      <c r="BD309" s="586">
        <f>+INPUT!DA313</f>
        <v>72.408759124087595</v>
      </c>
      <c r="BE309" s="577">
        <f>+INPUT!DB313</f>
        <v>13.967870321135663</v>
      </c>
      <c r="BF309" s="586">
        <f>+INPUT!DC313</f>
        <v>73.36448598130842</v>
      </c>
      <c r="BG309" s="577">
        <f>+INPUT!DD313</f>
        <v>-0.23138742155400394</v>
      </c>
      <c r="BH309" s="586">
        <f>+INPUT!DE313</f>
        <v>73.413897280966765</v>
      </c>
      <c r="BI309" s="577">
        <f>+INPUT!DF313</f>
        <v>-16.483272817982765</v>
      </c>
      <c r="BJ309" s="586">
        <f>+INPUT!DG313</f>
        <v>72.881355932203391</v>
      </c>
      <c r="BK309" s="577">
        <f>+INPUT!DH313</f>
        <v>6.3764825615532033</v>
      </c>
      <c r="BL309" s="586">
        <f>+INPUT!DI313</f>
        <v>70.482758620689651</v>
      </c>
      <c r="BM309" s="577">
        <f>+INPUT!DJ313</f>
        <v>-2.6598998887653096</v>
      </c>
      <c r="BN309" s="586">
        <f>+INPUT!DK313</f>
        <v>70.61469265367316</v>
      </c>
      <c r="BO309" s="577">
        <f>+INPUT!DL313</f>
        <v>-3.748125937031503</v>
      </c>
      <c r="BP309" s="586">
        <f>+INPUT!DM313</f>
        <v>71.528751753155689</v>
      </c>
      <c r="BQ309" s="577">
        <f>+INPUT!DN313</f>
        <v>-2.5678319740965634</v>
      </c>
      <c r="BR309" s="586">
        <f>+INPUT!DO313</f>
        <v>71.705963938973653</v>
      </c>
      <c r="BS309" s="577">
        <f>+INPUT!DP313</f>
        <v>-1.6127471535012745</v>
      </c>
      <c r="BT309" s="586">
        <f>+INPUT!DQ313</f>
        <v>73.47767253044654</v>
      </c>
      <c r="BU309" s="577">
        <f>+INPUT!DR313</f>
        <v>4.2491440011228008</v>
      </c>
      <c r="BV309" s="586">
        <f>+INPUT!DS313</f>
        <v>71.487039563437932</v>
      </c>
      <c r="BW309" s="577">
        <f>+INPUT!DT313</f>
        <v>1.2353617596881179</v>
      </c>
      <c r="BX309" s="586">
        <f>+INPUT!DU313</f>
        <v>74.226804123711347</v>
      </c>
      <c r="BY309" s="577">
        <f>+INPUT!DV313</f>
        <v>3.7719830200121152</v>
      </c>
      <c r="BZ309" s="586">
        <f>+INPUT!DW313</f>
        <v>73.721590909090907</v>
      </c>
      <c r="CA309" s="577">
        <f>+INPUT!DX313</f>
        <v>2.810961403200281</v>
      </c>
      <c r="CB309" s="586">
        <f>+INPUT!DY313</f>
        <v>72.229822161422703</v>
      </c>
      <c r="CC309" s="577">
        <f>+INPUT!DZ313</f>
        <v>-1.6982714967009542</v>
      </c>
      <c r="CD309" s="586">
        <f>+INPUT!EA313</f>
        <v>76.062322946175641</v>
      </c>
      <c r="CE309" s="577">
        <f>+INPUT!EB313</f>
        <v>6.4001578617304204</v>
      </c>
      <c r="CF309" s="586">
        <f>+INPUT!EC313</f>
        <v>71.038251366120221</v>
      </c>
      <c r="CG309" s="577">
        <f>+INPUT!ED313</f>
        <v>-4.2956891317547132</v>
      </c>
      <c r="CH309" s="586">
        <f>+INPUT!EE313</f>
        <v>73.866666666666674</v>
      </c>
      <c r="CI309" s="577">
        <f>+INPUT!EF313</f>
        <v>0.19678869621067463</v>
      </c>
      <c r="CJ309" s="586">
        <f>+INPUT!EG313</f>
        <v>70.245795601552402</v>
      </c>
      <c r="CK309" s="577">
        <f>+INPUT!EH313</f>
        <v>-2.7468246501234717</v>
      </c>
      <c r="CL309" s="586">
        <f>+INPUT!EI313</f>
        <v>73.148148148148152</v>
      </c>
      <c r="CM309" s="577">
        <f>+INPUT!EJ313</f>
        <v>-3.8312987102558793</v>
      </c>
      <c r="CN309" s="586">
        <f>+INPUT!EK313</f>
        <v>71.283354510800507</v>
      </c>
      <c r="CO309" s="577">
        <f>+INPUT!EL313</f>
        <v>0.34502981135761956</v>
      </c>
      <c r="CP309" s="586">
        <f>+INPUT!EM313</f>
        <v>67.83555018137848</v>
      </c>
      <c r="CQ309" s="577">
        <f>+INPUT!EN313</f>
        <v>-8.1648688880255378</v>
      </c>
      <c r="CR309" s="586">
        <f>+INPUT!EO313</f>
        <v>67.918781725888323</v>
      </c>
      <c r="CS309" s="577">
        <f>+INPUT!EP313</f>
        <v>-3.3126735283394737</v>
      </c>
      <c r="CT309" s="586">
        <f>+INPUT!EQ313</f>
        <v>71</v>
      </c>
      <c r="CU309" s="577">
        <f>+INPUT!ER313</f>
        <v>-2.9367088607594951</v>
      </c>
      <c r="CV309" s="586">
        <f>+INPUT!ES313</f>
        <v>71</v>
      </c>
      <c r="CW309" s="577">
        <f>+INPUT!ET313</f>
        <v>-0.39750445632797948</v>
      </c>
      <c r="CX309" s="586">
        <f>+INPUT!EU313</f>
        <v>71</v>
      </c>
      <c r="CY309" s="577">
        <f>+INPUT!EV313</f>
        <v>4.6648841354723629</v>
      </c>
      <c r="CZ309" s="586">
        <f>+INPUT!EW313</f>
        <v>71.5</v>
      </c>
      <c r="DA309" s="577">
        <f>+INPUT!EX313</f>
        <v>5.2727952167414003</v>
      </c>
      <c r="DB309" s="615"/>
      <c r="DC309" s="597">
        <f>+INPUT!FP313</f>
        <v>70.754716981132077</v>
      </c>
      <c r="DD309" s="577">
        <f>+INPUT!FQ313</f>
        <v>-10.933013189701327</v>
      </c>
      <c r="DE309" s="597">
        <f>+INPUT!FR313</f>
        <v>69.814163736815672</v>
      </c>
      <c r="DF309" s="577">
        <f>+INPUT!FS313</f>
        <v>-1.3293152519671878</v>
      </c>
      <c r="DG309" s="597">
        <f>+INPUT!FT313</f>
        <v>66.925398878827082</v>
      </c>
      <c r="DH309" s="577">
        <f>+INPUT!FU313</f>
        <v>-4.1377919656512887</v>
      </c>
      <c r="DI309" s="597">
        <f>+INPUT!FV313</f>
        <v>81.257413997627523</v>
      </c>
      <c r="DJ309" s="577">
        <f>+INPUT!FW313</f>
        <v>21.414911765784936</v>
      </c>
      <c r="DK309" s="586">
        <f>+INPUT!FX313</f>
        <v>93.87430389817024</v>
      </c>
      <c r="DL309" s="577">
        <f>+INPUT!FY313</f>
        <v>15.527063045485406</v>
      </c>
      <c r="DM309" s="586">
        <f>+INPUT!FZ313</f>
        <v>73.46398305084746</v>
      </c>
      <c r="DN309" s="577">
        <f>+INPUT!GA313</f>
        <v>-21.742180767020955</v>
      </c>
      <c r="DO309" s="586">
        <f>+INPUT!GB313</f>
        <v>68.106995884773653</v>
      </c>
      <c r="DP309" s="577">
        <f>+INPUT!GC313</f>
        <v>-7.2919911820817305</v>
      </c>
      <c r="DQ309" s="586">
        <f>+INPUT!GD313</f>
        <v>74.87373737373737</v>
      </c>
      <c r="DR309" s="577">
        <f>+INPUT!GE313</f>
        <v>9.9354572919527726</v>
      </c>
      <c r="DS309" s="586">
        <f>+INPUT!GF313</f>
        <v>72.479462285287539</v>
      </c>
      <c r="DT309" s="577">
        <f>+INPUT!GG313</f>
        <v>-3.197750202449015</v>
      </c>
      <c r="DU309" s="586">
        <f>+INPUT!GH313</f>
        <v>71.866197183098592</v>
      </c>
      <c r="DV309" s="577">
        <f>+INPUT!GI313</f>
        <v>-0.84612258818238217</v>
      </c>
      <c r="DW309" s="586">
        <f>+INPUT!GJ313</f>
        <v>72.927989130434781</v>
      </c>
      <c r="DX309" s="577">
        <f>+INPUT!GK313</f>
        <v>1.4774567028097891</v>
      </c>
      <c r="DY309" s="586">
        <f>+INPUT!GL313</f>
        <v>72.745694022289769</v>
      </c>
      <c r="DZ309" s="577">
        <f>+INPUT!GM313</f>
        <v>-0.24996590516018102</v>
      </c>
      <c r="EA309" s="586">
        <f>+INPUT!GN313</f>
        <v>69.865871833084952</v>
      </c>
      <c r="EB309" s="577">
        <f>+INPUT!GO313</f>
        <v>-3.9587527865531484</v>
      </c>
      <c r="EC309" s="586">
        <f>+INPUT!GP313</f>
        <v>71.12728208424906</v>
      </c>
      <c r="ED309" s="577">
        <f>+INPUT!GQ313</f>
        <v>1.8054741436243944</v>
      </c>
      <c r="EE309" s="586">
        <f>+INPUT!GR313</f>
        <v>71.12728208424906</v>
      </c>
      <c r="EF309" s="577">
        <f>+INPUT!GS313</f>
        <v>0</v>
      </c>
      <c r="EG309" s="586">
        <f>+INPUT!GT313</f>
        <v>71.12728208424906</v>
      </c>
      <c r="EH309" s="577">
        <f>+INPUT!GU313</f>
        <v>0</v>
      </c>
      <c r="EI309" s="586">
        <f>+INPUT!GV313</f>
        <v>71.12728208424906</v>
      </c>
      <c r="EJ309" s="577">
        <f>+INPUT!GW313</f>
        <v>0</v>
      </c>
      <c r="EK309" s="586">
        <f>+INPUT!GX313</f>
        <v>71.12728208424906</v>
      </c>
      <c r="EL309" s="577">
        <f>+INPUT!GY313</f>
        <v>0</v>
      </c>
      <c r="EM309" s="577">
        <f>+INPUT!GZ313</f>
        <v>0.35851493679697199</v>
      </c>
    </row>
    <row r="310" spans="1:144" ht="12.75" hidden="1" customHeight="1" outlineLevel="1" x14ac:dyDescent="0.2">
      <c r="A310" s="609" t="str">
        <f>+INPUT!B314</f>
        <v>Net DAC/G&amp;A Expenses (%)</v>
      </c>
      <c r="B310" s="597">
        <f>+INPUT!AY314</f>
        <v>0.6211180124223602</v>
      </c>
      <c r="C310" s="577" t="str">
        <f>+INPUT!AZ314</f>
        <v>NM</v>
      </c>
      <c r="D310" s="597">
        <f>+INPUT!BA314</f>
        <v>0.63091482649842268</v>
      </c>
      <c r="E310" s="577" t="str">
        <f>+INPUT!BB314</f>
        <v>NM</v>
      </c>
      <c r="F310" s="597">
        <f>+INPUT!BC314</f>
        <v>0.92307692307692313</v>
      </c>
      <c r="G310" s="577">
        <f>+INPUT!BD314</f>
        <v>-1.8461538461538396</v>
      </c>
      <c r="H310" s="597">
        <f>+INPUT!BE314</f>
        <v>0.70422535211267612</v>
      </c>
      <c r="I310" s="577">
        <f>+INPUT!BF314</f>
        <v>-44.190140845070417</v>
      </c>
      <c r="J310" s="597">
        <f>+INPUT!BG314</f>
        <v>0.55865921787709494</v>
      </c>
      <c r="K310" s="577">
        <f>+INPUT!BH314</f>
        <v>-10.055865921787714</v>
      </c>
      <c r="L310" s="597">
        <f>+INPUT!BI314</f>
        <v>0.24509803921568626</v>
      </c>
      <c r="M310" s="577" t="str">
        <f>+INPUT!BJ314</f>
        <v>NM</v>
      </c>
      <c r="N310" s="597">
        <f>+INPUT!BK314</f>
        <v>0</v>
      </c>
      <c r="O310" s="577" t="str">
        <f>+INPUT!BL314</f>
        <v>NM</v>
      </c>
      <c r="P310" s="597">
        <f>+INPUT!BM314</f>
        <v>0.24509803921568626</v>
      </c>
      <c r="Q310" s="577" t="str">
        <f>+INPUT!BN314</f>
        <v>NM</v>
      </c>
      <c r="R310" s="597">
        <f>+INPUT!BO314</f>
        <v>0.24630541871921183</v>
      </c>
      <c r="S310" s="577" t="str">
        <f>+INPUT!BP314</f>
        <v>NM</v>
      </c>
      <c r="T310" s="597">
        <f>+INPUT!BQ314</f>
        <v>-0.27932960893854747</v>
      </c>
      <c r="U310" s="577" t="str">
        <f>+INPUT!BR314</f>
        <v>NM</v>
      </c>
      <c r="V310" s="597">
        <f>+INPUT!BS314</f>
        <v>0.90909090909090906</v>
      </c>
      <c r="W310" s="577" t="str">
        <f>+INPUT!BT314</f>
        <v>NA</v>
      </c>
      <c r="X310" s="597">
        <f>+INPUT!BU314</f>
        <v>1.0869565217391304</v>
      </c>
      <c r="Y310" s="577" t="str">
        <f>+INPUT!BV314</f>
        <v>NM</v>
      </c>
      <c r="Z310" s="597">
        <f>+INPUT!BW314</f>
        <v>0.39370078740157477</v>
      </c>
      <c r="AA310" s="577">
        <f>+INPUT!BX314</f>
        <v>59.842519685039349</v>
      </c>
      <c r="AB310" s="597">
        <f>+INPUT!BY314</f>
        <v>-0.33003300330033003</v>
      </c>
      <c r="AC310" s="577">
        <f>+INPUT!BZ314</f>
        <v>18.15181518151816</v>
      </c>
      <c r="AD310" s="597">
        <f>+INPUT!CA314</f>
        <v>-0.77519379844961245</v>
      </c>
      <c r="AE310" s="577" t="str">
        <f>+INPUT!CB314</f>
        <v>NM</v>
      </c>
      <c r="AF310" s="597">
        <f>+INPUT!CC314</f>
        <v>-0.54794520547945202</v>
      </c>
      <c r="AG310" s="577" t="str">
        <f>+INPUT!CD314</f>
        <v>NM</v>
      </c>
      <c r="AH310" s="586">
        <f>+INPUT!CE314</f>
        <v>0</v>
      </c>
      <c r="AI310" s="577" t="str">
        <f>+INPUT!CF314</f>
        <v>NM</v>
      </c>
      <c r="AJ310" s="586">
        <f>+INPUT!CG314</f>
        <v>0.27397260273972601</v>
      </c>
      <c r="AK310" s="577" t="str">
        <f>+INPUT!CH314</f>
        <v>NM</v>
      </c>
      <c r="AL310" s="586">
        <f>+INPUT!CI314</f>
        <v>0</v>
      </c>
      <c r="AM310" s="577" t="str">
        <f>+INPUT!CJ314</f>
        <v>NM</v>
      </c>
      <c r="AN310" s="586">
        <f>+INPUT!CK314</f>
        <v>0</v>
      </c>
      <c r="AO310" s="577" t="str">
        <f>+INPUT!CL314</f>
        <v>NM</v>
      </c>
      <c r="AP310" s="586">
        <f>+INPUT!CM314</f>
        <v>-0.25510204081632654</v>
      </c>
      <c r="AQ310" s="577" t="str">
        <f>+INPUT!CN314</f>
        <v>NA</v>
      </c>
      <c r="AR310" s="586">
        <f>+INPUT!CO314</f>
        <v>0</v>
      </c>
      <c r="AS310" s="577" t="str">
        <f>+INPUT!CP314</f>
        <v>NM</v>
      </c>
      <c r="AT310" s="586">
        <f>+INPUT!CQ314</f>
        <v>0.51948051948051943</v>
      </c>
      <c r="AU310" s="577" t="str">
        <f>+INPUT!CR314</f>
        <v>NA</v>
      </c>
      <c r="AV310" s="586">
        <f>+INPUT!CS314</f>
        <v>0.22075055187637968</v>
      </c>
      <c r="AW310" s="577" t="str">
        <f>+INPUT!CT314</f>
        <v>NA</v>
      </c>
      <c r="AX310" s="586">
        <f>+INPUT!CU314</f>
        <v>-0.24154589371980675</v>
      </c>
      <c r="AY310" s="577">
        <f>+INPUT!CV314</f>
        <v>-5.3140096618357546</v>
      </c>
      <c r="AZ310" s="586">
        <f>+INPUT!CW314</f>
        <v>0</v>
      </c>
      <c r="BA310" s="577" t="str">
        <f>+INPUT!CX314</f>
        <v>NA</v>
      </c>
      <c r="BB310" s="586">
        <f>+INPUT!CY314</f>
        <v>-0.23094688221709006</v>
      </c>
      <c r="BC310" s="577" t="str">
        <f>+INPUT!CZ314</f>
        <v>NM</v>
      </c>
      <c r="BD310" s="586">
        <f>+INPUT!DA314</f>
        <v>0</v>
      </c>
      <c r="BE310" s="577" t="str">
        <f>+INPUT!DB314</f>
        <v>NM</v>
      </c>
      <c r="BF310" s="586">
        <f>+INPUT!DC314</f>
        <v>-0.21231422505307856</v>
      </c>
      <c r="BG310" s="577">
        <f>+INPUT!DD314</f>
        <v>-12.101910828025481</v>
      </c>
      <c r="BH310" s="586">
        <f>+INPUT!DE314</f>
        <v>0.20576131687242799</v>
      </c>
      <c r="BI310" s="577" t="str">
        <f>+INPUT!DF314</f>
        <v>NA</v>
      </c>
      <c r="BJ310" s="586">
        <f>+INPUT!DG314</f>
        <v>0.21141649048625794</v>
      </c>
      <c r="BK310" s="577" t="str">
        <f>+INPUT!DH314</f>
        <v>NM</v>
      </c>
      <c r="BL310" s="586">
        <f>+INPUT!DI314</f>
        <v>0.39138943248532287</v>
      </c>
      <c r="BM310" s="577" t="str">
        <f>+INPUT!DJ314</f>
        <v>NA</v>
      </c>
      <c r="BN310" s="586">
        <f>+INPUT!DK314</f>
        <v>0</v>
      </c>
      <c r="BO310" s="577" t="str">
        <f>+INPUT!DL314</f>
        <v>NM</v>
      </c>
      <c r="BP310" s="586">
        <f>+INPUT!DM314</f>
        <v>0</v>
      </c>
      <c r="BQ310" s="577" t="str">
        <f>+INPUT!DN314</f>
        <v>NM</v>
      </c>
      <c r="BR310" s="586">
        <f>+INPUT!DO314</f>
        <v>0.38684719535783368</v>
      </c>
      <c r="BS310" s="577">
        <f>+INPUT!DP314</f>
        <v>82.978723404255305</v>
      </c>
      <c r="BT310" s="586">
        <f>+INPUT!DQ314</f>
        <v>0.36832412523020258</v>
      </c>
      <c r="BU310" s="577">
        <f>+INPUT!DR314</f>
        <v>-5.8931860036832404</v>
      </c>
      <c r="BV310" s="586">
        <f>+INPUT!DS314</f>
        <v>0.38167938931297707</v>
      </c>
      <c r="BW310" s="577" t="str">
        <f>+INPUT!DT314</f>
        <v>NA</v>
      </c>
      <c r="BX310" s="586">
        <f>+INPUT!DU314</f>
        <v>0.34722222222222221</v>
      </c>
      <c r="BY310" s="577" t="str">
        <f>+INPUT!DV314</f>
        <v>NA</v>
      </c>
      <c r="BZ310" s="586">
        <f>+INPUT!DW314</f>
        <v>0.38535645472061658</v>
      </c>
      <c r="CA310" s="577">
        <f>+INPUT!DX314</f>
        <v>-0.38535645472062185</v>
      </c>
      <c r="CB310" s="586">
        <f>+INPUT!DY314</f>
        <v>0.37878787878787878</v>
      </c>
      <c r="CC310" s="577">
        <f>+INPUT!DZ314</f>
        <v>2.8409090909090793</v>
      </c>
      <c r="CD310" s="586">
        <f>+INPUT!EA314</f>
        <v>0.18621973929236499</v>
      </c>
      <c r="CE310" s="577" t="str">
        <f>+INPUT!EB314</f>
        <v>NM</v>
      </c>
      <c r="CF310" s="586">
        <f>+INPUT!EC314</f>
        <v>0.19230769230769232</v>
      </c>
      <c r="CG310" s="577">
        <f>+INPUT!ED314</f>
        <v>-44.615384615384613</v>
      </c>
      <c r="CH310" s="586">
        <f>+INPUT!EE314</f>
        <v>0.18050541516245489</v>
      </c>
      <c r="CI310" s="577" t="str">
        <f>+INPUT!EF314</f>
        <v>NM</v>
      </c>
      <c r="CJ310" s="586">
        <f>+INPUT!EG314</f>
        <v>0.36832412523020258</v>
      </c>
      <c r="CK310" s="577">
        <f>+INPUT!EH314</f>
        <v>-2.7624309392265189</v>
      </c>
      <c r="CL310" s="586">
        <f>+INPUT!EI314</f>
        <v>0.36166365280289331</v>
      </c>
      <c r="CM310" s="577">
        <f>+INPUT!EJ314</f>
        <v>94.213381555153717</v>
      </c>
      <c r="CN310" s="586">
        <f>+INPUT!EK314</f>
        <v>0.17825311942959002</v>
      </c>
      <c r="CO310" s="577">
        <f>+INPUT!EL314</f>
        <v>-7.3083778966131945</v>
      </c>
      <c r="CP310" s="586">
        <f>+INPUT!EM314</f>
        <v>0</v>
      </c>
      <c r="CQ310" s="577" t="str">
        <f>+INPUT!EN314</f>
        <v>NM</v>
      </c>
      <c r="CR310" s="586">
        <f>+INPUT!EO314</f>
        <v>0.29895366218236175</v>
      </c>
      <c r="CS310" s="577">
        <f>+INPUT!EP314</f>
        <v>-18.834080717488789</v>
      </c>
      <c r="CT310" s="586">
        <f>+INPUT!EQ314</f>
        <v>0.29895366218236175</v>
      </c>
      <c r="CU310" s="577">
        <f>+INPUT!ER314</f>
        <v>-17.33931240657698</v>
      </c>
      <c r="CV310" s="586">
        <f>+INPUT!ES314</f>
        <v>0.29895366218236175</v>
      </c>
      <c r="CW310" s="577">
        <f>+INPUT!ET314</f>
        <v>67.713004484304918</v>
      </c>
      <c r="CX310" s="586">
        <f>+INPUT!EU314</f>
        <v>0.29895366218236175</v>
      </c>
      <c r="CY310" s="577" t="str">
        <f>+INPUT!EV314</f>
        <v>NA</v>
      </c>
      <c r="CZ310" s="586">
        <f>+INPUT!EW314</f>
        <v>0.29895366218236175</v>
      </c>
      <c r="DA310" s="577">
        <f>+INPUT!EX314</f>
        <v>0</v>
      </c>
      <c r="DB310" s="615"/>
      <c r="DC310" s="597">
        <f>+INPUT!FP314</f>
        <v>1.3333333333333335</v>
      </c>
      <c r="DD310" s="577">
        <f>+INPUT!FQ314</f>
        <v>-35.388888888888886</v>
      </c>
      <c r="DE310" s="597">
        <f>+INPUT!FR314</f>
        <v>0.71942446043165476</v>
      </c>
      <c r="DF310" s="577">
        <f>+INPUT!FS314</f>
        <v>-46.043165467625904</v>
      </c>
      <c r="DG310" s="597">
        <f>+INPUT!FT314</f>
        <v>0.25773195876288657</v>
      </c>
      <c r="DH310" s="577" t="str">
        <f>+INPUT!FU314</f>
        <v>NM</v>
      </c>
      <c r="DI310" s="597">
        <f>+INPUT!FV314</f>
        <v>0.43795620437956206</v>
      </c>
      <c r="DJ310" s="577">
        <f>+INPUT!FW314</f>
        <v>69.927007299270116</v>
      </c>
      <c r="DK310" s="597">
        <f>+INPUT!FX314</f>
        <v>-0.33898305084745761</v>
      </c>
      <c r="DL310" s="577" t="str">
        <f>+INPUT!FY314</f>
        <v>NM</v>
      </c>
      <c r="DM310" s="597">
        <f>+INPUT!FZ314</f>
        <v>7.2098053352559477E-2</v>
      </c>
      <c r="DN310" s="577" t="str">
        <f>+INPUT!GA314</f>
        <v>NM</v>
      </c>
      <c r="DO310" s="597">
        <f>+INPUT!GB314</f>
        <v>0.12084592145015105</v>
      </c>
      <c r="DP310" s="577">
        <f>+INPUT!GC314</f>
        <v>67.613293051359534</v>
      </c>
      <c r="DQ310" s="597">
        <f>+INPUT!GD314</f>
        <v>-0.11242270938729623</v>
      </c>
      <c r="DR310" s="577" t="str">
        <f>+INPUT!GE314</f>
        <v>NM</v>
      </c>
      <c r="DS310" s="597">
        <f>+INPUT!GF314</f>
        <v>0.15455950540958269</v>
      </c>
      <c r="DT310" s="577" t="str">
        <f>+INPUT!GG314</f>
        <v>NM</v>
      </c>
      <c r="DU310" s="597">
        <f>+INPUT!GH314</f>
        <v>0.19598236158745713</v>
      </c>
      <c r="DV310" s="577">
        <f>+INPUT!GI314</f>
        <v>26.800587947084779</v>
      </c>
      <c r="DW310" s="597">
        <f>+INPUT!GJ314</f>
        <v>0.37261294829995345</v>
      </c>
      <c r="DX310" s="577">
        <f>+INPUT!GK314</f>
        <v>90.125756870051248</v>
      </c>
      <c r="DY310" s="597">
        <f>+INPUT!GL314</f>
        <v>0.23212627669452179</v>
      </c>
      <c r="DZ310" s="577">
        <f>+INPUT!GM314</f>
        <v>-37.703110492107719</v>
      </c>
      <c r="EA310" s="597">
        <f>+INPUT!GN314</f>
        <v>0.21331058020477817</v>
      </c>
      <c r="EB310" s="577">
        <f>+INPUT!GO314</f>
        <v>-8.1058020477815518</v>
      </c>
      <c r="EC310" s="597">
        <f>+INPUT!GP314</f>
        <v>0.2989536621823618</v>
      </c>
      <c r="ED310" s="577">
        <f>+INPUT!GQ314</f>
        <v>40.149476831091192</v>
      </c>
      <c r="EE310" s="597">
        <f>+INPUT!GR314</f>
        <v>0.2989536621823618</v>
      </c>
      <c r="EF310" s="577">
        <f>+INPUT!GS314</f>
        <v>0</v>
      </c>
      <c r="EG310" s="597">
        <f>+INPUT!GT314</f>
        <v>0.2989536621823618</v>
      </c>
      <c r="EH310" s="577">
        <f>+INPUT!GU314</f>
        <v>0</v>
      </c>
      <c r="EI310" s="597">
        <f>+INPUT!GV314</f>
        <v>0.2989536621823618</v>
      </c>
      <c r="EJ310" s="577">
        <f>+INPUT!GW314</f>
        <v>0</v>
      </c>
      <c r="EK310" s="597">
        <f>+INPUT!GX314</f>
        <v>0.2989536621823618</v>
      </c>
      <c r="EL310" s="577">
        <f>+INPUT!GY314</f>
        <v>0</v>
      </c>
      <c r="EM310" s="577">
        <f>+INPUT!GZ314</f>
        <v>6.9838681055522933</v>
      </c>
    </row>
    <row r="311" spans="1:144" ht="12.75" hidden="1" customHeight="1" outlineLevel="1" x14ac:dyDescent="0.2">
      <c r="A311" s="609"/>
      <c r="B311" s="615"/>
      <c r="C311" s="555"/>
      <c r="D311" s="615"/>
      <c r="E311" s="555"/>
      <c r="F311" s="615"/>
      <c r="G311" s="555"/>
      <c r="H311" s="615"/>
      <c r="I311" s="555"/>
      <c r="J311" s="615"/>
      <c r="K311" s="555"/>
      <c r="L311" s="615"/>
      <c r="M311" s="555"/>
      <c r="N311" s="615"/>
      <c r="O311" s="555"/>
      <c r="P311" s="615"/>
      <c r="Q311" s="555"/>
      <c r="R311" s="615"/>
      <c r="S311" s="555"/>
      <c r="T311" s="615"/>
      <c r="U311" s="555"/>
      <c r="V311" s="615"/>
      <c r="W311" s="555"/>
      <c r="X311" s="615"/>
      <c r="Y311" s="555"/>
      <c r="Z311" s="615"/>
      <c r="AA311" s="555"/>
      <c r="AB311" s="615"/>
      <c r="AC311" s="555"/>
      <c r="AD311" s="615"/>
      <c r="AE311" s="555"/>
      <c r="AF311" s="615"/>
      <c r="AG311" s="555"/>
      <c r="AH311" s="615"/>
      <c r="AI311" s="555"/>
      <c r="AJ311" s="615"/>
      <c r="AK311" s="555"/>
      <c r="AL311" s="615"/>
      <c r="AM311" s="555"/>
      <c r="AN311" s="615"/>
      <c r="AO311" s="555"/>
      <c r="AP311" s="615"/>
      <c r="AQ311" s="555"/>
      <c r="AR311" s="615"/>
      <c r="AS311" s="555"/>
      <c r="AT311" s="615"/>
      <c r="AU311" s="555"/>
      <c r="AV311" s="615"/>
      <c r="AW311" s="555"/>
      <c r="AX311" s="615"/>
      <c r="AY311" s="555"/>
      <c r="AZ311" s="615"/>
      <c r="BA311" s="555"/>
      <c r="BB311" s="615"/>
      <c r="BC311" s="555"/>
      <c r="BD311" s="615"/>
      <c r="BE311" s="555"/>
      <c r="BF311" s="615"/>
      <c r="BG311" s="555"/>
      <c r="BH311" s="615"/>
      <c r="BI311" s="555"/>
      <c r="BJ311" s="615"/>
      <c r="BK311" s="555"/>
      <c r="BL311" s="615"/>
      <c r="BM311" s="555"/>
      <c r="BN311" s="615"/>
      <c r="BO311" s="555"/>
      <c r="BP311" s="615"/>
      <c r="BQ311" s="555"/>
      <c r="BR311" s="615"/>
      <c r="BS311" s="555"/>
      <c r="BT311" s="615"/>
      <c r="BU311" s="555"/>
      <c r="BV311" s="615"/>
      <c r="BW311" s="555"/>
      <c r="BX311" s="615"/>
      <c r="BY311" s="555"/>
      <c r="BZ311" s="615"/>
      <c r="CA311" s="555"/>
      <c r="CB311" s="615"/>
      <c r="CC311" s="555"/>
      <c r="CD311" s="615"/>
      <c r="CE311" s="555"/>
      <c r="CF311" s="615"/>
      <c r="CG311" s="555"/>
      <c r="CH311" s="615"/>
      <c r="CI311" s="555"/>
      <c r="CJ311" s="615"/>
      <c r="CK311" s="555"/>
      <c r="CL311" s="615"/>
      <c r="CM311" s="555"/>
      <c r="CN311" s="615"/>
      <c r="CO311" s="555"/>
      <c r="CP311" s="615"/>
      <c r="CQ311" s="555"/>
      <c r="CR311" s="615"/>
      <c r="CS311" s="555"/>
      <c r="CT311" s="615"/>
      <c r="CU311" s="555"/>
      <c r="CV311" s="615"/>
      <c r="CW311" s="555"/>
      <c r="CX311" s="615"/>
      <c r="CY311" s="555"/>
      <c r="CZ311" s="615"/>
      <c r="DA311" s="555"/>
      <c r="DB311" s="615"/>
      <c r="DC311" s="615"/>
      <c r="DD311" s="555"/>
      <c r="DE311" s="615"/>
      <c r="DF311" s="555"/>
      <c r="DG311" s="615"/>
      <c r="DH311" s="555"/>
      <c r="DI311" s="615"/>
      <c r="DJ311" s="555"/>
      <c r="DK311" s="615"/>
      <c r="DL311" s="555"/>
      <c r="DM311" s="615"/>
      <c r="DN311" s="555"/>
      <c r="DO311" s="615"/>
      <c r="DP311" s="555"/>
      <c r="DQ311" s="615"/>
      <c r="DR311" s="555"/>
      <c r="DS311" s="615"/>
      <c r="DT311" s="555"/>
      <c r="DU311" s="615"/>
      <c r="DV311" s="555"/>
      <c r="DW311" s="615"/>
      <c r="DX311" s="555"/>
      <c r="DY311" s="615"/>
      <c r="DZ311" s="555"/>
      <c r="EA311" s="615"/>
      <c r="EB311" s="555"/>
      <c r="EC311" s="615"/>
      <c r="ED311" s="555"/>
      <c r="EE311" s="615"/>
      <c r="EF311" s="555"/>
      <c r="EG311" s="615"/>
      <c r="EH311" s="555"/>
      <c r="EI311" s="615"/>
      <c r="EJ311" s="555"/>
      <c r="EK311" s="615"/>
      <c r="EL311" s="555"/>
      <c r="EM311" s="555"/>
    </row>
    <row r="312" spans="1:144" ht="12.75" hidden="1" customHeight="1" outlineLevel="1" x14ac:dyDescent="0.2">
      <c r="A312" s="599" t="s">
        <v>507</v>
      </c>
      <c r="B312" s="615"/>
      <c r="C312" s="555"/>
      <c r="D312" s="615"/>
      <c r="E312" s="555"/>
      <c r="F312" s="615"/>
      <c r="G312" s="555"/>
      <c r="H312" s="615"/>
      <c r="I312" s="555"/>
      <c r="J312" s="615"/>
      <c r="K312" s="555"/>
      <c r="L312" s="615"/>
      <c r="M312" s="555"/>
      <c r="N312" s="615"/>
      <c r="O312" s="555"/>
      <c r="P312" s="615"/>
      <c r="Q312" s="555"/>
      <c r="R312" s="615"/>
      <c r="S312" s="555"/>
      <c r="T312" s="615"/>
      <c r="U312" s="555"/>
      <c r="V312" s="615"/>
      <c r="W312" s="555"/>
      <c r="X312" s="615"/>
      <c r="Y312" s="555"/>
      <c r="Z312" s="615"/>
      <c r="AA312" s="555"/>
      <c r="AB312" s="615"/>
      <c r="AC312" s="555"/>
      <c r="AD312" s="615"/>
      <c r="AE312" s="555"/>
      <c r="AF312" s="615"/>
      <c r="AG312" s="555"/>
      <c r="AH312" s="615"/>
      <c r="AI312" s="555"/>
      <c r="AJ312" s="615"/>
      <c r="AK312" s="555"/>
      <c r="AL312" s="615"/>
      <c r="AM312" s="555"/>
      <c r="AN312" s="615"/>
      <c r="AO312" s="555"/>
      <c r="AP312" s="615"/>
      <c r="AQ312" s="555"/>
      <c r="AR312" s="615"/>
      <c r="AS312" s="555"/>
      <c r="AT312" s="615"/>
      <c r="AU312" s="555"/>
      <c r="AV312" s="615"/>
      <c r="AW312" s="555"/>
      <c r="AX312" s="615"/>
      <c r="AY312" s="555"/>
      <c r="AZ312" s="615"/>
      <c r="BA312" s="555"/>
      <c r="BB312" s="615"/>
      <c r="BC312" s="555"/>
      <c r="BD312" s="615"/>
      <c r="BE312" s="555"/>
      <c r="BF312" s="615"/>
      <c r="BG312" s="555"/>
      <c r="BH312" s="615"/>
      <c r="BI312" s="555"/>
      <c r="BJ312" s="615"/>
      <c r="BK312" s="555"/>
      <c r="BL312" s="615"/>
      <c r="BM312" s="555"/>
      <c r="BN312" s="615"/>
      <c r="BO312" s="555"/>
      <c r="BP312" s="615"/>
      <c r="BQ312" s="555"/>
      <c r="BR312" s="615"/>
      <c r="BS312" s="555"/>
      <c r="BT312" s="615"/>
      <c r="BU312" s="555"/>
      <c r="BV312" s="615"/>
      <c r="BW312" s="555"/>
      <c r="BX312" s="615"/>
      <c r="BY312" s="555"/>
      <c r="BZ312" s="615"/>
      <c r="CA312" s="555"/>
      <c r="CB312" s="615"/>
      <c r="CC312" s="555"/>
      <c r="CD312" s="615"/>
      <c r="CE312" s="555"/>
      <c r="CF312" s="615"/>
      <c r="CG312" s="555"/>
      <c r="CH312" s="615"/>
      <c r="CI312" s="555"/>
      <c r="CJ312" s="615"/>
      <c r="CK312" s="555"/>
      <c r="CL312" s="615"/>
      <c r="CM312" s="555"/>
      <c r="CN312" s="615"/>
      <c r="CO312" s="555"/>
      <c r="CP312" s="615"/>
      <c r="CQ312" s="555"/>
      <c r="CR312" s="615"/>
      <c r="CS312" s="555"/>
      <c r="CT312" s="615"/>
      <c r="CU312" s="555"/>
      <c r="CV312" s="615"/>
      <c r="CW312" s="555"/>
      <c r="CX312" s="615"/>
      <c r="CY312" s="555"/>
      <c r="CZ312" s="615"/>
      <c r="DA312" s="555"/>
      <c r="DB312" s="615"/>
      <c r="DC312" s="615"/>
      <c r="DD312" s="555"/>
      <c r="DE312" s="615"/>
      <c r="DF312" s="555"/>
      <c r="DG312" s="615"/>
      <c r="DH312" s="555"/>
      <c r="DI312" s="615"/>
      <c r="DJ312" s="555"/>
      <c r="DK312" s="615"/>
      <c r="DL312" s="555"/>
      <c r="DM312" s="615"/>
      <c r="DN312" s="555"/>
      <c r="DO312" s="615"/>
      <c r="DP312" s="555"/>
      <c r="DQ312" s="615"/>
      <c r="DR312" s="555"/>
      <c r="DS312" s="615"/>
      <c r="DT312" s="555"/>
      <c r="DU312" s="615"/>
      <c r="DV312" s="555"/>
      <c r="DW312" s="615"/>
      <c r="DX312" s="555"/>
      <c r="DY312" s="615"/>
      <c r="DZ312" s="555"/>
      <c r="EA312" s="615"/>
      <c r="EB312" s="555"/>
      <c r="EC312" s="615"/>
      <c r="ED312" s="555"/>
      <c r="EE312" s="615"/>
      <c r="EF312" s="555"/>
      <c r="EG312" s="615"/>
      <c r="EH312" s="555"/>
      <c r="EI312" s="615"/>
      <c r="EJ312" s="555"/>
      <c r="EK312" s="615"/>
      <c r="EL312" s="555"/>
      <c r="EM312" s="555"/>
    </row>
    <row r="313" spans="1:144" ht="12.75" hidden="1" customHeight="1" outlineLevel="1" x14ac:dyDescent="0.2">
      <c r="A313" s="599" t="s">
        <v>317</v>
      </c>
      <c r="B313" s="615"/>
      <c r="C313" s="555"/>
      <c r="D313" s="615"/>
      <c r="E313" s="555"/>
      <c r="F313" s="615"/>
      <c r="G313" s="555"/>
      <c r="H313" s="615"/>
      <c r="I313" s="555"/>
      <c r="J313" s="615"/>
      <c r="K313" s="555"/>
      <c r="L313" s="615"/>
      <c r="M313" s="555"/>
      <c r="N313" s="615"/>
      <c r="O313" s="555"/>
      <c r="P313" s="615"/>
      <c r="Q313" s="555"/>
      <c r="R313" s="615"/>
      <c r="S313" s="555"/>
      <c r="T313" s="615"/>
      <c r="U313" s="555"/>
      <c r="V313" s="615"/>
      <c r="W313" s="555"/>
      <c r="X313" s="615"/>
      <c r="Y313" s="555"/>
      <c r="Z313" s="615"/>
      <c r="AA313" s="555"/>
      <c r="AB313" s="615"/>
      <c r="AC313" s="555"/>
      <c r="AD313" s="615"/>
      <c r="AE313" s="555"/>
      <c r="AF313" s="615"/>
      <c r="AG313" s="555"/>
      <c r="AH313" s="615"/>
      <c r="AI313" s="555"/>
      <c r="AJ313" s="615"/>
      <c r="AK313" s="555"/>
      <c r="AL313" s="615"/>
      <c r="AM313" s="555"/>
      <c r="AN313" s="615"/>
      <c r="AO313" s="555"/>
      <c r="AP313" s="615"/>
      <c r="AQ313" s="555"/>
      <c r="AR313" s="615"/>
      <c r="AS313" s="555"/>
      <c r="AT313" s="615"/>
      <c r="AU313" s="555"/>
      <c r="AV313" s="615"/>
      <c r="AW313" s="555"/>
      <c r="AX313" s="615"/>
      <c r="AY313" s="555"/>
      <c r="AZ313" s="615"/>
      <c r="BA313" s="555"/>
      <c r="BB313" s="615"/>
      <c r="BC313" s="555"/>
      <c r="BD313" s="615"/>
      <c r="BE313" s="555"/>
      <c r="BF313" s="615"/>
      <c r="BG313" s="555"/>
      <c r="BH313" s="615"/>
      <c r="BI313" s="555"/>
      <c r="BJ313" s="615"/>
      <c r="BK313" s="555"/>
      <c r="BL313" s="615"/>
      <c r="BM313" s="555"/>
      <c r="BN313" s="615"/>
      <c r="BO313" s="555"/>
      <c r="BP313" s="615"/>
      <c r="BQ313" s="555"/>
      <c r="BR313" s="615"/>
      <c r="BS313" s="555"/>
      <c r="BT313" s="615"/>
      <c r="BU313" s="555"/>
      <c r="BV313" s="615"/>
      <c r="BW313" s="555"/>
      <c r="BX313" s="615"/>
      <c r="BY313" s="555"/>
      <c r="BZ313" s="615"/>
      <c r="CA313" s="555"/>
      <c r="CB313" s="615"/>
      <c r="CC313" s="555"/>
      <c r="CD313" s="615"/>
      <c r="CE313" s="555"/>
      <c r="CF313" s="615"/>
      <c r="CG313" s="555"/>
      <c r="CH313" s="615"/>
      <c r="CI313" s="555"/>
      <c r="CJ313" s="615"/>
      <c r="CK313" s="555"/>
      <c r="CL313" s="615"/>
      <c r="CM313" s="555"/>
      <c r="CN313" s="615"/>
      <c r="CO313" s="555"/>
      <c r="CP313" s="615"/>
      <c r="CQ313" s="555"/>
      <c r="CR313" s="615"/>
      <c r="CS313" s="555"/>
      <c r="CT313" s="615"/>
      <c r="CU313" s="555"/>
      <c r="CV313" s="615"/>
      <c r="CW313" s="555"/>
      <c r="CX313" s="615"/>
      <c r="CY313" s="555"/>
      <c r="CZ313" s="615"/>
      <c r="DA313" s="555"/>
      <c r="DB313" s="615"/>
      <c r="DC313" s="615"/>
      <c r="DD313" s="555"/>
      <c r="DE313" s="615"/>
      <c r="DF313" s="555"/>
      <c r="DG313" s="615"/>
      <c r="DH313" s="555"/>
      <c r="DI313" s="615"/>
      <c r="DJ313" s="555"/>
      <c r="DK313" s="615"/>
      <c r="DL313" s="555"/>
      <c r="DM313" s="615"/>
      <c r="DN313" s="555"/>
      <c r="DO313" s="615"/>
      <c r="DP313" s="555"/>
      <c r="DQ313" s="615"/>
      <c r="DR313" s="555"/>
      <c r="DS313" s="615"/>
      <c r="DT313" s="555"/>
      <c r="DU313" s="615"/>
      <c r="DV313" s="555"/>
      <c r="DW313" s="615"/>
      <c r="DX313" s="555"/>
      <c r="DY313" s="615"/>
      <c r="DZ313" s="555"/>
      <c r="EA313" s="615"/>
      <c r="EB313" s="555"/>
      <c r="EC313" s="615"/>
      <c r="ED313" s="555"/>
      <c r="EE313" s="615"/>
      <c r="EF313" s="555"/>
      <c r="EG313" s="615"/>
      <c r="EH313" s="555"/>
      <c r="EI313" s="615"/>
      <c r="EJ313" s="555"/>
      <c r="EK313" s="615"/>
      <c r="EL313" s="555"/>
      <c r="EM313" s="555"/>
    </row>
    <row r="314" spans="1:144" ht="12.75" hidden="1" customHeight="1" outlineLevel="1" x14ac:dyDescent="0.2">
      <c r="A314" s="609"/>
      <c r="B314" s="610"/>
      <c r="C314" s="555"/>
      <c r="D314" s="610"/>
      <c r="E314" s="555"/>
      <c r="F314" s="610"/>
      <c r="G314" s="555"/>
      <c r="H314" s="610"/>
      <c r="I314" s="555"/>
      <c r="J314" s="610"/>
      <c r="K314" s="555"/>
      <c r="L314" s="610"/>
      <c r="M314" s="555"/>
      <c r="N314" s="610"/>
      <c r="O314" s="555"/>
      <c r="P314" s="610"/>
      <c r="Q314" s="555"/>
      <c r="R314" s="610"/>
      <c r="S314" s="555"/>
      <c r="T314" s="610"/>
      <c r="U314" s="555"/>
      <c r="V314" s="610"/>
      <c r="W314" s="555"/>
      <c r="X314" s="610"/>
      <c r="Y314" s="555"/>
      <c r="Z314" s="610"/>
      <c r="AA314" s="555"/>
      <c r="AB314" s="610"/>
      <c r="AC314" s="555"/>
      <c r="AD314" s="610"/>
      <c r="AE314" s="555"/>
      <c r="AF314" s="610"/>
      <c r="AG314" s="555"/>
      <c r="AH314" s="610"/>
      <c r="AI314" s="555"/>
      <c r="AJ314" s="610"/>
      <c r="AK314" s="555"/>
      <c r="AL314" s="610"/>
      <c r="AM314" s="555"/>
      <c r="AN314" s="610"/>
      <c r="AO314" s="555"/>
      <c r="AP314" s="610"/>
      <c r="AQ314" s="555"/>
      <c r="AR314" s="610"/>
      <c r="AS314" s="555"/>
      <c r="AT314" s="610"/>
      <c r="AU314" s="555"/>
      <c r="AV314" s="610"/>
      <c r="AW314" s="555"/>
      <c r="AX314" s="610"/>
      <c r="AY314" s="555"/>
      <c r="AZ314" s="610"/>
      <c r="BA314" s="555"/>
      <c r="BB314" s="610"/>
      <c r="BC314" s="555"/>
      <c r="BD314" s="610"/>
      <c r="BE314" s="555"/>
      <c r="BF314" s="610"/>
      <c r="BG314" s="555"/>
      <c r="BH314" s="610"/>
      <c r="BI314" s="555"/>
      <c r="BJ314" s="610"/>
      <c r="BK314" s="555"/>
      <c r="BL314" s="610"/>
      <c r="BM314" s="555"/>
      <c r="BN314" s="610"/>
      <c r="BO314" s="555"/>
      <c r="BP314" s="610"/>
      <c r="BQ314" s="555"/>
      <c r="BR314" s="610"/>
      <c r="BS314" s="555"/>
      <c r="BT314" s="610"/>
      <c r="BU314" s="555"/>
      <c r="BV314" s="610"/>
      <c r="BW314" s="555"/>
      <c r="BX314" s="610"/>
      <c r="BY314" s="555"/>
      <c r="BZ314" s="610"/>
      <c r="CA314" s="555"/>
      <c r="CB314" s="610"/>
      <c r="CC314" s="555"/>
      <c r="CD314" s="610"/>
      <c r="CE314" s="555"/>
      <c r="CF314" s="610"/>
      <c r="CG314" s="555"/>
      <c r="CH314" s="610"/>
      <c r="CI314" s="555"/>
      <c r="CJ314" s="610"/>
      <c r="CK314" s="555"/>
      <c r="CL314" s="610"/>
      <c r="CM314" s="555"/>
      <c r="CN314" s="610"/>
      <c r="CO314" s="555"/>
      <c r="CP314" s="610"/>
      <c r="CQ314" s="555"/>
      <c r="CR314" s="610"/>
      <c r="CS314" s="555"/>
      <c r="CT314" s="610"/>
      <c r="CU314" s="555"/>
      <c r="CV314" s="610"/>
      <c r="CW314" s="555"/>
      <c r="CX314" s="610"/>
      <c r="CY314" s="555"/>
      <c r="CZ314" s="610"/>
      <c r="DA314" s="555"/>
      <c r="DB314" s="556"/>
      <c r="DC314" s="610"/>
      <c r="DD314" s="555"/>
      <c r="DE314" s="610"/>
      <c r="DF314" s="555"/>
      <c r="DG314" s="610"/>
      <c r="DH314" s="555"/>
      <c r="DI314" s="610"/>
      <c r="DJ314" s="555"/>
      <c r="DK314" s="610"/>
      <c r="DL314" s="555"/>
      <c r="DM314" s="610"/>
      <c r="DN314" s="555"/>
      <c r="DO314" s="610"/>
      <c r="DP314" s="555"/>
      <c r="DQ314" s="610"/>
      <c r="DR314" s="555"/>
      <c r="DS314" s="610"/>
      <c r="DT314" s="555"/>
      <c r="DU314" s="610"/>
      <c r="DV314" s="555"/>
      <c r="DW314" s="610"/>
      <c r="DX314" s="555"/>
      <c r="DY314" s="610"/>
      <c r="DZ314" s="555"/>
      <c r="EA314" s="610"/>
      <c r="EB314" s="555"/>
      <c r="EC314" s="610"/>
      <c r="ED314" s="555"/>
      <c r="EE314" s="610"/>
      <c r="EF314" s="555"/>
      <c r="EG314" s="610"/>
      <c r="EH314" s="555"/>
      <c r="EI314" s="610"/>
      <c r="EJ314" s="555"/>
      <c r="EK314" s="610"/>
      <c r="EL314" s="555"/>
      <c r="EM314" s="555"/>
    </row>
    <row r="315" spans="1:144" ht="21.95" hidden="1" customHeight="1" outlineLevel="1" x14ac:dyDescent="0.25">
      <c r="A315" s="546" t="str">
        <f>$A$1</f>
        <v>Prudential Financial, Inc.</v>
      </c>
      <c r="B315" s="554"/>
      <c r="C315" s="555"/>
      <c r="D315" s="554"/>
      <c r="E315" s="555"/>
      <c r="F315" s="554"/>
      <c r="G315" s="555"/>
      <c r="H315" s="554"/>
      <c r="I315" s="555"/>
      <c r="J315" s="554"/>
      <c r="K315" s="555"/>
      <c r="L315" s="554"/>
      <c r="M315" s="555"/>
      <c r="N315" s="554"/>
      <c r="O315" s="555"/>
      <c r="P315" s="554"/>
      <c r="Q315" s="555"/>
      <c r="R315" s="554"/>
      <c r="S315" s="555"/>
      <c r="T315" s="554"/>
      <c r="U315" s="555"/>
      <c r="V315" s="554"/>
      <c r="W315" s="555"/>
      <c r="X315" s="554"/>
      <c r="Y315" s="555"/>
      <c r="Z315" s="554"/>
      <c r="AA315" s="555"/>
      <c r="AB315" s="554"/>
      <c r="AC315" s="555"/>
      <c r="AD315" s="554"/>
      <c r="AE315" s="555"/>
      <c r="AF315" s="554"/>
      <c r="AG315" s="555"/>
      <c r="AH315" s="554"/>
      <c r="AI315" s="555"/>
      <c r="AJ315" s="554"/>
      <c r="AK315" s="555"/>
      <c r="AL315" s="554"/>
      <c r="AM315" s="555"/>
      <c r="AN315" s="554"/>
      <c r="AO315" s="555"/>
      <c r="AP315" s="554"/>
      <c r="AQ315" s="555"/>
      <c r="AR315" s="554"/>
      <c r="AS315" s="555"/>
      <c r="AT315" s="554"/>
      <c r="AU315" s="555"/>
      <c r="AV315" s="554"/>
      <c r="AW315" s="555"/>
      <c r="AX315" s="554"/>
      <c r="AY315" s="555"/>
      <c r="AZ315" s="554"/>
      <c r="BA315" s="555"/>
      <c r="BB315" s="554"/>
      <c r="BC315" s="555"/>
      <c r="BD315" s="554"/>
      <c r="BE315" s="555"/>
      <c r="BF315" s="554"/>
      <c r="BG315" s="555"/>
      <c r="BH315" s="554"/>
      <c r="BI315" s="555"/>
      <c r="BJ315" s="554"/>
      <c r="BK315" s="555"/>
      <c r="BL315" s="554"/>
      <c r="BM315" s="555"/>
      <c r="BN315" s="554"/>
      <c r="BO315" s="555"/>
      <c r="BP315" s="554"/>
      <c r="BQ315" s="555"/>
      <c r="BR315" s="554"/>
      <c r="BS315" s="555"/>
      <c r="BT315" s="554"/>
      <c r="BU315" s="555"/>
      <c r="BV315" s="554"/>
      <c r="BW315" s="555"/>
      <c r="BX315" s="554"/>
      <c r="BY315" s="555"/>
      <c r="BZ315" s="554"/>
      <c r="CA315" s="555"/>
      <c r="CB315" s="554"/>
      <c r="CC315" s="555"/>
      <c r="CD315" s="554"/>
      <c r="CE315" s="555"/>
      <c r="CF315" s="554"/>
      <c r="CG315" s="555"/>
      <c r="CH315" s="554"/>
      <c r="CI315" s="555"/>
      <c r="CJ315" s="554"/>
      <c r="CK315" s="555"/>
      <c r="CL315" s="554"/>
      <c r="CM315" s="555"/>
      <c r="CN315" s="554"/>
      <c r="CO315" s="555"/>
      <c r="CP315" s="554"/>
      <c r="CQ315" s="555"/>
      <c r="CR315" s="554"/>
      <c r="CS315" s="555"/>
      <c r="CT315" s="554"/>
      <c r="CU315" s="555"/>
      <c r="CV315" s="554"/>
      <c r="CW315" s="555"/>
      <c r="CX315" s="554"/>
      <c r="CY315" s="555"/>
      <c r="CZ315" s="554"/>
      <c r="DA315" s="555"/>
      <c r="DB315" s="556"/>
      <c r="DC315" s="554"/>
      <c r="DD315" s="555"/>
      <c r="DE315" s="554"/>
      <c r="DF315" s="555"/>
      <c r="DG315" s="554"/>
      <c r="DH315" s="555"/>
      <c r="DI315" s="554"/>
      <c r="DJ315" s="555"/>
      <c r="DK315" s="554"/>
      <c r="DL315" s="555"/>
      <c r="DM315" s="554"/>
      <c r="DN315" s="555"/>
      <c r="DO315" s="554"/>
      <c r="DP315" s="555"/>
      <c r="DQ315" s="554"/>
      <c r="DR315" s="555"/>
      <c r="DS315" s="554"/>
      <c r="DT315" s="555"/>
      <c r="DU315" s="554"/>
      <c r="DV315" s="555"/>
      <c r="DW315" s="554"/>
      <c r="DX315" s="555"/>
      <c r="DY315" s="554"/>
      <c r="DZ315" s="555"/>
      <c r="EA315" s="554"/>
      <c r="EB315" s="555"/>
      <c r="EC315" s="554"/>
      <c r="ED315" s="555"/>
      <c r="EE315" s="554"/>
      <c r="EF315" s="555"/>
      <c r="EG315" s="554"/>
      <c r="EH315" s="555"/>
      <c r="EI315" s="554"/>
      <c r="EJ315" s="555"/>
      <c r="EK315" s="554"/>
      <c r="EL315" s="555"/>
      <c r="EM315" s="554"/>
    </row>
    <row r="316" spans="1:144" ht="12.75" hidden="1" customHeight="1" outlineLevel="1" x14ac:dyDescent="0.2">
      <c r="A316" s="557" t="s">
        <v>623</v>
      </c>
      <c r="B316" s="558"/>
      <c r="C316" s="559"/>
      <c r="D316" s="558"/>
      <c r="E316" s="559"/>
      <c r="F316" s="558"/>
      <c r="G316" s="559"/>
      <c r="H316" s="558"/>
      <c r="I316" s="559"/>
      <c r="J316" s="558"/>
      <c r="K316" s="559"/>
      <c r="L316" s="558"/>
      <c r="M316" s="559"/>
      <c r="N316" s="558"/>
      <c r="O316" s="559"/>
      <c r="P316" s="558"/>
      <c r="Q316" s="559"/>
      <c r="R316" s="558"/>
      <c r="S316" s="559"/>
      <c r="T316" s="558"/>
      <c r="U316" s="559"/>
      <c r="V316" s="558"/>
      <c r="W316" s="559"/>
      <c r="X316" s="558"/>
      <c r="Y316" s="559"/>
      <c r="Z316" s="558"/>
      <c r="AA316" s="559"/>
      <c r="AB316" s="558"/>
      <c r="AC316" s="559"/>
      <c r="AD316" s="558"/>
      <c r="AE316" s="559"/>
      <c r="AF316" s="558"/>
      <c r="AG316" s="559"/>
      <c r="AH316" s="558"/>
      <c r="AI316" s="559"/>
      <c r="AJ316" s="558"/>
      <c r="AK316" s="559"/>
      <c r="AL316" s="558"/>
      <c r="AM316" s="559"/>
      <c r="AN316" s="558"/>
      <c r="AO316" s="559"/>
      <c r="AP316" s="558"/>
      <c r="AQ316" s="559"/>
      <c r="AR316" s="558"/>
      <c r="AS316" s="559"/>
      <c r="AT316" s="558"/>
      <c r="AU316" s="559"/>
      <c r="AV316" s="558"/>
      <c r="AW316" s="559"/>
      <c r="AX316" s="558"/>
      <c r="AY316" s="559"/>
      <c r="AZ316" s="558"/>
      <c r="BA316" s="559"/>
      <c r="BB316" s="558"/>
      <c r="BC316" s="559"/>
      <c r="BD316" s="558"/>
      <c r="BE316" s="559"/>
      <c r="BF316" s="558"/>
      <c r="BG316" s="559"/>
      <c r="BH316" s="558"/>
      <c r="BI316" s="559"/>
      <c r="BJ316" s="558"/>
      <c r="BK316" s="559"/>
      <c r="BL316" s="558"/>
      <c r="BM316" s="559"/>
      <c r="BN316" s="558"/>
      <c r="BO316" s="559"/>
      <c r="BP316" s="558"/>
      <c r="BQ316" s="559"/>
      <c r="BR316" s="558"/>
      <c r="BS316" s="559"/>
      <c r="BT316" s="558"/>
      <c r="BU316" s="559"/>
      <c r="BV316" s="558"/>
      <c r="BW316" s="559"/>
      <c r="BX316" s="558"/>
      <c r="BY316" s="559"/>
      <c r="BZ316" s="558"/>
      <c r="CA316" s="559"/>
      <c r="CB316" s="558"/>
      <c r="CC316" s="559"/>
      <c r="CD316" s="558"/>
      <c r="CE316" s="559"/>
      <c r="CF316" s="558"/>
      <c r="CG316" s="559"/>
      <c r="CH316" s="558"/>
      <c r="CI316" s="559"/>
      <c r="CJ316" s="558"/>
      <c r="CK316" s="559"/>
      <c r="CL316" s="558"/>
      <c r="CM316" s="559"/>
      <c r="CN316" s="558"/>
      <c r="CO316" s="559"/>
      <c r="CP316" s="558"/>
      <c r="CQ316" s="559"/>
      <c r="CR316" s="558"/>
      <c r="CS316" s="559"/>
      <c r="CT316" s="558"/>
      <c r="CU316" s="559"/>
      <c r="CV316" s="558"/>
      <c r="CW316" s="559"/>
      <c r="CX316" s="558"/>
      <c r="CY316" s="559"/>
      <c r="CZ316" s="558"/>
      <c r="DA316" s="559"/>
      <c r="DB316" s="560"/>
      <c r="DC316" s="561"/>
      <c r="DD316" s="559"/>
      <c r="DE316" s="558"/>
      <c r="DF316" s="559"/>
      <c r="DG316" s="558"/>
      <c r="DH316" s="559"/>
      <c r="DI316" s="558"/>
      <c r="DJ316" s="559"/>
      <c r="DK316" s="558"/>
      <c r="DL316" s="559"/>
      <c r="DM316" s="558"/>
      <c r="DN316" s="559"/>
      <c r="DO316" s="558"/>
      <c r="DP316" s="559"/>
      <c r="DQ316" s="558"/>
      <c r="DR316" s="559"/>
      <c r="DS316" s="558"/>
      <c r="DT316" s="559"/>
      <c r="DU316" s="558"/>
      <c r="DV316" s="559"/>
      <c r="DW316" s="558"/>
      <c r="DX316" s="559"/>
      <c r="DY316" s="558"/>
      <c r="DZ316" s="559"/>
      <c r="EA316" s="558"/>
      <c r="EB316" s="559"/>
      <c r="EC316" s="558"/>
      <c r="ED316" s="559"/>
      <c r="EE316" s="558"/>
      <c r="EF316" s="559"/>
      <c r="EG316" s="558"/>
      <c r="EH316" s="559"/>
      <c r="EI316" s="558"/>
      <c r="EJ316" s="559"/>
      <c r="EK316" s="558"/>
      <c r="EL316" s="559"/>
      <c r="EM316" s="558"/>
    </row>
    <row r="317" spans="1:144" ht="12.75" hidden="1" customHeight="1" outlineLevel="1" x14ac:dyDescent="0.2">
      <c r="A317" s="548" t="str">
        <f>A$3</f>
        <v>($Millions Except Per Share Data)</v>
      </c>
      <c r="B317" s="563"/>
      <c r="C317" s="564" t="str">
        <f>C$3</f>
        <v>1Q06/</v>
      </c>
      <c r="D317" s="563"/>
      <c r="E317" s="564" t="str">
        <f>E$3</f>
        <v>2Q06/</v>
      </c>
      <c r="F317" s="563"/>
      <c r="G317" s="564" t="str">
        <f>G$3</f>
        <v>3Q06/</v>
      </c>
      <c r="H317" s="563"/>
      <c r="I317" s="564" t="str">
        <f>I$3</f>
        <v>4Q06/</v>
      </c>
      <c r="J317" s="563"/>
      <c r="K317" s="564" t="str">
        <f>K$3</f>
        <v>1Q07/</v>
      </c>
      <c r="L317" s="563"/>
      <c r="M317" s="564" t="str">
        <f>M$3</f>
        <v>2Q07/</v>
      </c>
      <c r="N317" s="563"/>
      <c r="O317" s="564" t="str">
        <f>O$3</f>
        <v>3Q07/</v>
      </c>
      <c r="P317" s="563"/>
      <c r="Q317" s="564" t="str">
        <f>Q$3</f>
        <v>4Q07/</v>
      </c>
      <c r="R317" s="563"/>
      <c r="S317" s="564" t="str">
        <f>S$3</f>
        <v>1Q08/</v>
      </c>
      <c r="T317" s="563"/>
      <c r="U317" s="564" t="str">
        <f>U$3</f>
        <v>2Q08/</v>
      </c>
      <c r="V317" s="563"/>
      <c r="W317" s="564" t="str">
        <f>W$3</f>
        <v>3Q08/</v>
      </c>
      <c r="X317" s="563"/>
      <c r="Y317" s="564" t="str">
        <f>Y$3</f>
        <v>4Q08/</v>
      </c>
      <c r="Z317" s="563"/>
      <c r="AA317" s="564" t="str">
        <f>AA$3</f>
        <v>1Q09/</v>
      </c>
      <c r="AB317" s="563"/>
      <c r="AC317" s="564" t="str">
        <f>AC$3</f>
        <v>2Q09/</v>
      </c>
      <c r="AD317" s="563"/>
      <c r="AE317" s="564" t="str">
        <f>AE$3</f>
        <v>3Q09/</v>
      </c>
      <c r="AF317" s="563"/>
      <c r="AG317" s="564" t="str">
        <f>AG$3</f>
        <v>4Q09/</v>
      </c>
      <c r="AH317" s="563"/>
      <c r="AI317" s="564" t="str">
        <f>AI$3</f>
        <v>1Q10/</v>
      </c>
      <c r="AJ317" s="563"/>
      <c r="AK317" s="564" t="str">
        <f>AK$3</f>
        <v>2Q10/</v>
      </c>
      <c r="AL317" s="563"/>
      <c r="AM317" s="564" t="str">
        <f>AM$3</f>
        <v>3Q10/</v>
      </c>
      <c r="AN317" s="563"/>
      <c r="AO317" s="564" t="str">
        <f>AO$3</f>
        <v>4Q10/</v>
      </c>
      <c r="AP317" s="563"/>
      <c r="AQ317" s="564" t="str">
        <f>AQ$3</f>
        <v>1Q11/</v>
      </c>
      <c r="AR317" s="563"/>
      <c r="AS317" s="564" t="str">
        <f>AS$3</f>
        <v>2Q11/</v>
      </c>
      <c r="AT317" s="563"/>
      <c r="AU317" s="564" t="str">
        <f>AU$3</f>
        <v>3Q11/</v>
      </c>
      <c r="AV317" s="563"/>
      <c r="AW317" s="564" t="str">
        <f>AW$3</f>
        <v>4Q11/</v>
      </c>
      <c r="AX317" s="563"/>
      <c r="AY317" s="564" t="str">
        <f>AY$3</f>
        <v>1Q12/</v>
      </c>
      <c r="AZ317" s="563"/>
      <c r="BA317" s="564" t="str">
        <f>BA$3</f>
        <v>2Q12/</v>
      </c>
      <c r="BB317" s="563"/>
      <c r="BC317" s="564" t="str">
        <f>BC$3</f>
        <v>3Q12/</v>
      </c>
      <c r="BD317" s="563"/>
      <c r="BE317" s="564" t="str">
        <f>BE$3</f>
        <v>4Q12/</v>
      </c>
      <c r="BF317" s="563"/>
      <c r="BG317" s="564" t="str">
        <f>BG$3</f>
        <v>1Q13/</v>
      </c>
      <c r="BH317" s="563"/>
      <c r="BI317" s="564" t="str">
        <f>BI$3</f>
        <v>2Q13/</v>
      </c>
      <c r="BJ317" s="563"/>
      <c r="BK317" s="564" t="str">
        <f>BK$3</f>
        <v>3Q13/</v>
      </c>
      <c r="BL317" s="563"/>
      <c r="BM317" s="564" t="str">
        <f>BM$3</f>
        <v>4Q13/</v>
      </c>
      <c r="BN317" s="563"/>
      <c r="BO317" s="564" t="str">
        <f>BO$3</f>
        <v>1Q14/</v>
      </c>
      <c r="BP317" s="563"/>
      <c r="BQ317" s="564" t="str">
        <f>BQ$3</f>
        <v>2Q14/</v>
      </c>
      <c r="BR317" s="563"/>
      <c r="BS317" s="564" t="str">
        <f>BS$3</f>
        <v>3Q14/</v>
      </c>
      <c r="BT317" s="563"/>
      <c r="BU317" s="564" t="str">
        <f>BU$3</f>
        <v>4Q14/</v>
      </c>
      <c r="BV317" s="563"/>
      <c r="BW317" s="564" t="str">
        <f>BW$3</f>
        <v>1Q15/</v>
      </c>
      <c r="BX317" s="563"/>
      <c r="BY317" s="564" t="str">
        <f>BY$3</f>
        <v>2Q15/</v>
      </c>
      <c r="BZ317" s="563"/>
      <c r="CA317" s="564" t="str">
        <f>CA$3</f>
        <v>3Q15/</v>
      </c>
      <c r="CB317" s="563"/>
      <c r="CC317" s="564" t="str">
        <f>CC$3</f>
        <v>4Q15/</v>
      </c>
      <c r="CD317" s="563"/>
      <c r="CE317" s="564" t="str">
        <f>CE$3</f>
        <v>1Q16/</v>
      </c>
      <c r="CF317" s="563"/>
      <c r="CG317" s="564" t="str">
        <f>CG$3</f>
        <v>2Q16/</v>
      </c>
      <c r="CH317" s="563"/>
      <c r="CI317" s="564" t="str">
        <f>CI$3</f>
        <v>3Q16/</v>
      </c>
      <c r="CJ317" s="563"/>
      <c r="CK317" s="564" t="str">
        <f>CK$3</f>
        <v>4Q16/</v>
      </c>
      <c r="CL317" s="563"/>
      <c r="CM317" s="564" t="str">
        <f>CM$3</f>
        <v>1Q17/</v>
      </c>
      <c r="CN317" s="563"/>
      <c r="CO317" s="564" t="str">
        <f>CO$3</f>
        <v>2Q17/</v>
      </c>
      <c r="CP317" s="563"/>
      <c r="CQ317" s="564" t="str">
        <f>CQ$3</f>
        <v>3Q17/</v>
      </c>
      <c r="CR317" s="563"/>
      <c r="CS317" s="564" t="str">
        <f>CS$3</f>
        <v>4Q17/</v>
      </c>
      <c r="CT317" s="563"/>
      <c r="CU317" s="564" t="str">
        <f>CU$3</f>
        <v>1Q18E/</v>
      </c>
      <c r="CV317" s="563"/>
      <c r="CW317" s="564" t="str">
        <f>CW$3</f>
        <v>2Q18E/</v>
      </c>
      <c r="CX317" s="563"/>
      <c r="CY317" s="564" t="str">
        <f>CY$3</f>
        <v>3Q18E/</v>
      </c>
      <c r="CZ317" s="563"/>
      <c r="DA317" s="564" t="str">
        <f>DA$3</f>
        <v>4Q18E/</v>
      </c>
      <c r="DB317" s="565"/>
      <c r="DC317" s="563"/>
      <c r="DD317" s="564" t="str">
        <f>DD$3</f>
        <v>2005/</v>
      </c>
      <c r="DE317" s="563"/>
      <c r="DF317" s="564" t="str">
        <f>DF$3</f>
        <v>2006/</v>
      </c>
      <c r="DG317" s="563"/>
      <c r="DH317" s="564" t="str">
        <f>DH$3</f>
        <v>2007/</v>
      </c>
      <c r="DI317" s="563"/>
      <c r="DJ317" s="564" t="str">
        <f>DJ$3</f>
        <v>2008/</v>
      </c>
      <c r="DK317" s="563"/>
      <c r="DL317" s="564" t="str">
        <f>DL$3</f>
        <v>2009/</v>
      </c>
      <c r="DM317" s="563"/>
      <c r="DN317" s="564" t="str">
        <f>DN$3</f>
        <v>2010/</v>
      </c>
      <c r="DO317" s="563"/>
      <c r="DP317" s="564" t="str">
        <f>DP$3</f>
        <v>2011/</v>
      </c>
      <c r="DQ317" s="563"/>
      <c r="DR317" s="564" t="str">
        <f>DR$3</f>
        <v>2012/</v>
      </c>
      <c r="DS317" s="563"/>
      <c r="DT317" s="564" t="str">
        <f>DT$3</f>
        <v>2013/</v>
      </c>
      <c r="DU317" s="563"/>
      <c r="DV317" s="564" t="str">
        <f>DV$3</f>
        <v>2014/</v>
      </c>
      <c r="DW317" s="563"/>
      <c r="DX317" s="564" t="str">
        <f>DX$3</f>
        <v>2015/</v>
      </c>
      <c r="DY317" s="563"/>
      <c r="DZ317" s="564" t="str">
        <f>DZ$3</f>
        <v>2016/</v>
      </c>
      <c r="EA317" s="563"/>
      <c r="EB317" s="564" t="str">
        <f>EB$3</f>
        <v>2017/</v>
      </c>
      <c r="EC317" s="563"/>
      <c r="ED317" s="564" t="str">
        <f>ED$3</f>
        <v>2018E/</v>
      </c>
      <c r="EE317" s="563"/>
      <c r="EF317" s="564" t="str">
        <f>EF$3</f>
        <v>2019E/</v>
      </c>
      <c r="EG317" s="563"/>
      <c r="EH317" s="564" t="str">
        <f>EH$3</f>
        <v>2020E/</v>
      </c>
      <c r="EI317" s="563"/>
      <c r="EJ317" s="564" t="str">
        <f>EJ$3</f>
        <v>2021E/</v>
      </c>
      <c r="EK317" s="563"/>
      <c r="EL317" s="564" t="str">
        <f>EL$3</f>
        <v>2022E/</v>
      </c>
      <c r="EM317" s="566" t="str">
        <f>EM$3</f>
        <v>5-Yr</v>
      </c>
      <c r="EN317" s="549"/>
    </row>
    <row r="318" spans="1:144" ht="12.75" hidden="1" customHeight="1" outlineLevel="1" x14ac:dyDescent="0.2">
      <c r="A318" s="567"/>
      <c r="B318" s="568"/>
      <c r="C318" s="559" t="str">
        <f>C$4</f>
        <v>1Q05</v>
      </c>
      <c r="D318" s="568"/>
      <c r="E318" s="559" t="str">
        <f>E$4</f>
        <v>2Q05</v>
      </c>
      <c r="F318" s="568"/>
      <c r="G318" s="559" t="str">
        <f>G$4</f>
        <v>3Q05</v>
      </c>
      <c r="H318" s="568"/>
      <c r="I318" s="559" t="str">
        <f>I$4</f>
        <v>4Q05</v>
      </c>
      <c r="J318" s="568"/>
      <c r="K318" s="559" t="str">
        <f>K$4</f>
        <v>1Q06</v>
      </c>
      <c r="L318" s="568"/>
      <c r="M318" s="559" t="str">
        <f>M$4</f>
        <v>2Q06</v>
      </c>
      <c r="N318" s="568"/>
      <c r="O318" s="559" t="str">
        <f>O$4</f>
        <v>3Q06</v>
      </c>
      <c r="P318" s="568"/>
      <c r="Q318" s="559" t="str">
        <f>Q$4</f>
        <v>4Q06</v>
      </c>
      <c r="R318" s="568"/>
      <c r="S318" s="559" t="str">
        <f>S$4</f>
        <v>1Q07</v>
      </c>
      <c r="T318" s="568"/>
      <c r="U318" s="559" t="str">
        <f>U$4</f>
        <v>2Q07</v>
      </c>
      <c r="V318" s="568"/>
      <c r="W318" s="559" t="str">
        <f>W$4</f>
        <v>3Q07</v>
      </c>
      <c r="X318" s="568"/>
      <c r="Y318" s="559" t="str">
        <f>Y$4</f>
        <v>4Q07</v>
      </c>
      <c r="Z318" s="568"/>
      <c r="AA318" s="559" t="str">
        <f>AA$4</f>
        <v>1Q08</v>
      </c>
      <c r="AB318" s="568"/>
      <c r="AC318" s="559" t="str">
        <f>AC$4</f>
        <v>2Q08</v>
      </c>
      <c r="AD318" s="568"/>
      <c r="AE318" s="559" t="str">
        <f>AE$4</f>
        <v>3Q08</v>
      </c>
      <c r="AF318" s="568"/>
      <c r="AG318" s="559" t="str">
        <f>AG$4</f>
        <v>4Q08</v>
      </c>
      <c r="AH318" s="568"/>
      <c r="AI318" s="559" t="str">
        <f>AI$4</f>
        <v>1Q09</v>
      </c>
      <c r="AJ318" s="568"/>
      <c r="AK318" s="559" t="str">
        <f>AK$4</f>
        <v>2Q09</v>
      </c>
      <c r="AL318" s="568"/>
      <c r="AM318" s="559" t="str">
        <f>AM$4</f>
        <v>3Q09</v>
      </c>
      <c r="AN318" s="568"/>
      <c r="AO318" s="559" t="str">
        <f>AO$4</f>
        <v>4Q09</v>
      </c>
      <c r="AP318" s="568"/>
      <c r="AQ318" s="559" t="str">
        <f>AQ$4</f>
        <v>1Q10</v>
      </c>
      <c r="AR318" s="568"/>
      <c r="AS318" s="559" t="str">
        <f>AS$4</f>
        <v>2Q10</v>
      </c>
      <c r="AT318" s="568"/>
      <c r="AU318" s="559" t="str">
        <f>AU$4</f>
        <v>3Q10</v>
      </c>
      <c r="AV318" s="568"/>
      <c r="AW318" s="559" t="str">
        <f>AW$4</f>
        <v>4Q10</v>
      </c>
      <c r="AX318" s="568"/>
      <c r="AY318" s="559" t="str">
        <f>AY$4</f>
        <v>1Q11</v>
      </c>
      <c r="AZ318" s="568"/>
      <c r="BA318" s="559" t="str">
        <f>BA$4</f>
        <v>2Q11</v>
      </c>
      <c r="BB318" s="568"/>
      <c r="BC318" s="559" t="str">
        <f>BC$4</f>
        <v>3Q11</v>
      </c>
      <c r="BD318" s="568"/>
      <c r="BE318" s="559" t="str">
        <f>BE$4</f>
        <v>4Q11</v>
      </c>
      <c r="BF318" s="568"/>
      <c r="BG318" s="559" t="str">
        <f>BG$4</f>
        <v>1Q12</v>
      </c>
      <c r="BH318" s="568"/>
      <c r="BI318" s="559" t="str">
        <f>BI$4</f>
        <v>2Q12</v>
      </c>
      <c r="BJ318" s="568"/>
      <c r="BK318" s="559" t="str">
        <f>BK$4</f>
        <v>3Q12</v>
      </c>
      <c r="BL318" s="568"/>
      <c r="BM318" s="559" t="str">
        <f>BM$4</f>
        <v>4Q12</v>
      </c>
      <c r="BN318" s="568"/>
      <c r="BO318" s="559" t="str">
        <f>BO$4</f>
        <v>1Q13</v>
      </c>
      <c r="BP318" s="568"/>
      <c r="BQ318" s="559" t="str">
        <f>BQ$4</f>
        <v>2Q13</v>
      </c>
      <c r="BR318" s="568"/>
      <c r="BS318" s="559" t="str">
        <f>BS$4</f>
        <v>3Q13</v>
      </c>
      <c r="BT318" s="568"/>
      <c r="BU318" s="559" t="str">
        <f>BU$4</f>
        <v>4Q13</v>
      </c>
      <c r="BV318" s="568"/>
      <c r="BW318" s="559" t="str">
        <f>BW$4</f>
        <v>1Q14</v>
      </c>
      <c r="BX318" s="568"/>
      <c r="BY318" s="559" t="str">
        <f>BY$4</f>
        <v>2Q14</v>
      </c>
      <c r="BZ318" s="568"/>
      <c r="CA318" s="559" t="str">
        <f>CA$4</f>
        <v>3Q14</v>
      </c>
      <c r="CB318" s="568"/>
      <c r="CC318" s="559" t="str">
        <f>CC$4</f>
        <v>4Q14</v>
      </c>
      <c r="CD318" s="568"/>
      <c r="CE318" s="559" t="str">
        <f>CE$4</f>
        <v>1Q15</v>
      </c>
      <c r="CF318" s="568"/>
      <c r="CG318" s="559" t="str">
        <f>CG$4</f>
        <v>2Q15</v>
      </c>
      <c r="CH318" s="568"/>
      <c r="CI318" s="559" t="str">
        <f>CI$4</f>
        <v>3Q15</v>
      </c>
      <c r="CJ318" s="568"/>
      <c r="CK318" s="559" t="str">
        <f>CK$4</f>
        <v>4Q15</v>
      </c>
      <c r="CL318" s="568"/>
      <c r="CM318" s="559" t="str">
        <f>CM$4</f>
        <v>1Q16</v>
      </c>
      <c r="CN318" s="568"/>
      <c r="CO318" s="559" t="str">
        <f>CO$4</f>
        <v>2Q16</v>
      </c>
      <c r="CP318" s="568"/>
      <c r="CQ318" s="559" t="str">
        <f>CQ$4</f>
        <v>3Q16</v>
      </c>
      <c r="CR318" s="568"/>
      <c r="CS318" s="559" t="str">
        <f>CS$4</f>
        <v>4Q16</v>
      </c>
      <c r="CT318" s="568"/>
      <c r="CU318" s="559" t="str">
        <f>CU$4</f>
        <v>1Q17</v>
      </c>
      <c r="CV318" s="568"/>
      <c r="CW318" s="559" t="str">
        <f>CW$4</f>
        <v>2Q17</v>
      </c>
      <c r="CX318" s="568"/>
      <c r="CY318" s="559" t="str">
        <f>CY$4</f>
        <v>3Q17</v>
      </c>
      <c r="CZ318" s="568"/>
      <c r="DA318" s="559" t="str">
        <f>DA$4</f>
        <v>4Q17</v>
      </c>
      <c r="DB318" s="560"/>
      <c r="DC318" s="568"/>
      <c r="DD318" s="568">
        <f>DD$4</f>
        <v>2004</v>
      </c>
      <c r="DE318" s="568"/>
      <c r="DF318" s="559" t="str">
        <f>DF$4</f>
        <v>2005</v>
      </c>
      <c r="DG318" s="568"/>
      <c r="DH318" s="559" t="str">
        <f>DH$4</f>
        <v>2006</v>
      </c>
      <c r="DI318" s="568"/>
      <c r="DJ318" s="569">
        <f>DJ$4</f>
        <v>2007</v>
      </c>
      <c r="DK318" s="568"/>
      <c r="DL318" s="559" t="str">
        <f>DL$4</f>
        <v>2008</v>
      </c>
      <c r="DM318" s="568"/>
      <c r="DN318" s="559" t="str">
        <f>DN$4</f>
        <v>2009</v>
      </c>
      <c r="DO318" s="568"/>
      <c r="DP318" s="559" t="str">
        <f>DP$4</f>
        <v>2010</v>
      </c>
      <c r="DQ318" s="568"/>
      <c r="DR318" s="559" t="str">
        <f>DR$4</f>
        <v>2011</v>
      </c>
      <c r="DS318" s="568"/>
      <c r="DT318" s="559" t="str">
        <f>DT$4</f>
        <v>2012</v>
      </c>
      <c r="DU318" s="568"/>
      <c r="DV318" s="559" t="str">
        <f>DV$4</f>
        <v>2013</v>
      </c>
      <c r="DW318" s="568"/>
      <c r="DX318" s="559">
        <f>DX$4</f>
        <v>2014</v>
      </c>
      <c r="DY318" s="568"/>
      <c r="DZ318" s="559" t="str">
        <f>DZ$4</f>
        <v>2015</v>
      </c>
      <c r="EA318" s="568"/>
      <c r="EB318" s="559">
        <f>EB$4</f>
        <v>2016</v>
      </c>
      <c r="EC318" s="568"/>
      <c r="ED318" s="559">
        <f>ED$4</f>
        <v>2017</v>
      </c>
      <c r="EE318" s="568"/>
      <c r="EF318" s="559" t="str">
        <f>EF$4</f>
        <v>2018E</v>
      </c>
      <c r="EG318" s="568"/>
      <c r="EH318" s="559" t="str">
        <f>EH$4</f>
        <v>2019E</v>
      </c>
      <c r="EI318" s="568"/>
      <c r="EJ318" s="559" t="str">
        <f>EJ$4</f>
        <v>2020E</v>
      </c>
      <c r="EK318" s="568"/>
      <c r="EL318" s="559" t="str">
        <f>EL$4</f>
        <v>2021E</v>
      </c>
      <c r="EM318" s="558" t="str">
        <f>EM$4</f>
        <v>CAGR</v>
      </c>
      <c r="EN318" s="549"/>
    </row>
    <row r="319" spans="1:144" ht="12.75" hidden="1" customHeight="1" outlineLevel="1" x14ac:dyDescent="0.2">
      <c r="A319" s="570"/>
      <c r="B319" s="571" t="str">
        <f>+B$5</f>
        <v>1Q06</v>
      </c>
      <c r="C319" s="572" t="str">
        <f>C$5</f>
        <v>% Chg</v>
      </c>
      <c r="D319" s="571" t="str">
        <f>+D$5</f>
        <v>2Q06</v>
      </c>
      <c r="E319" s="572" t="str">
        <f>E$5</f>
        <v>% Chg</v>
      </c>
      <c r="F319" s="571" t="str">
        <f>+F$5</f>
        <v>3Q06</v>
      </c>
      <c r="G319" s="572" t="str">
        <f>G$5</f>
        <v>% Chg</v>
      </c>
      <c r="H319" s="571" t="str">
        <f>+H$5</f>
        <v>4Q06</v>
      </c>
      <c r="I319" s="572" t="str">
        <f>I$5</f>
        <v>% Chg</v>
      </c>
      <c r="J319" s="571" t="str">
        <f>+J$5</f>
        <v>1Q07</v>
      </c>
      <c r="K319" s="572" t="str">
        <f>K$5</f>
        <v>% Chg</v>
      </c>
      <c r="L319" s="571" t="str">
        <f>+L$5</f>
        <v>2Q07</v>
      </c>
      <c r="M319" s="572" t="str">
        <f>M$5</f>
        <v>% Chg</v>
      </c>
      <c r="N319" s="571" t="str">
        <f>+N$5</f>
        <v>3Q07</v>
      </c>
      <c r="O319" s="572" t="str">
        <f>O$5</f>
        <v>% Chg</v>
      </c>
      <c r="P319" s="571" t="str">
        <f>+P$5</f>
        <v>4Q07</v>
      </c>
      <c r="Q319" s="572" t="str">
        <f>Q$5</f>
        <v>% Chg</v>
      </c>
      <c r="R319" s="571" t="str">
        <f>+R$5</f>
        <v>1Q08</v>
      </c>
      <c r="S319" s="572" t="str">
        <f>S$5</f>
        <v>% Chg</v>
      </c>
      <c r="T319" s="571" t="str">
        <f>+T$5</f>
        <v>2Q08</v>
      </c>
      <c r="U319" s="572" t="str">
        <f>U$5</f>
        <v>% Chg</v>
      </c>
      <c r="V319" s="571" t="str">
        <f>+V$5</f>
        <v>3Q08</v>
      </c>
      <c r="W319" s="572" t="str">
        <f>W$5</f>
        <v>% Chg</v>
      </c>
      <c r="X319" s="571" t="str">
        <f>+X$5</f>
        <v>4Q08</v>
      </c>
      <c r="Y319" s="572" t="str">
        <f>Y$5</f>
        <v>% Chg</v>
      </c>
      <c r="Z319" s="571" t="str">
        <f>+Z$5</f>
        <v>1Q09</v>
      </c>
      <c r="AA319" s="572" t="str">
        <f>AA$5</f>
        <v>% Chg</v>
      </c>
      <c r="AB319" s="571" t="str">
        <f>+AB$5</f>
        <v>2Q09</v>
      </c>
      <c r="AC319" s="572" t="str">
        <f>AC$5</f>
        <v>% Chg</v>
      </c>
      <c r="AD319" s="571" t="str">
        <f>+AD$5</f>
        <v>3Q09</v>
      </c>
      <c r="AE319" s="572" t="str">
        <f>AE$5</f>
        <v>% Chg</v>
      </c>
      <c r="AF319" s="571" t="str">
        <f>+AF$5</f>
        <v>4Q09</v>
      </c>
      <c r="AG319" s="572" t="str">
        <f>AG$5</f>
        <v>% Chg</v>
      </c>
      <c r="AH319" s="571" t="str">
        <f>+AH$5</f>
        <v>1Q10</v>
      </c>
      <c r="AI319" s="572" t="str">
        <f>AI$5</f>
        <v>% Chg</v>
      </c>
      <c r="AJ319" s="571" t="str">
        <f>+AJ$5</f>
        <v>2Q10</v>
      </c>
      <c r="AK319" s="572" t="str">
        <f>AK$5</f>
        <v>% Chg</v>
      </c>
      <c r="AL319" s="571" t="str">
        <f>+AL$5</f>
        <v>3Q10</v>
      </c>
      <c r="AM319" s="572" t="str">
        <f>AM$5</f>
        <v>% Chg</v>
      </c>
      <c r="AN319" s="571" t="str">
        <f>+AN$5</f>
        <v>4Q10</v>
      </c>
      <c r="AO319" s="572" t="str">
        <f>AO$5</f>
        <v>% Chg</v>
      </c>
      <c r="AP319" s="571" t="str">
        <f>+AP$5</f>
        <v>1Q11</v>
      </c>
      <c r="AQ319" s="572" t="str">
        <f>AQ$5</f>
        <v>% Chg</v>
      </c>
      <c r="AR319" s="571" t="str">
        <f>+AR$5</f>
        <v>2Q11</v>
      </c>
      <c r="AS319" s="572" t="str">
        <f>AS$5</f>
        <v>% Chg</v>
      </c>
      <c r="AT319" s="571" t="str">
        <f>+AT$5</f>
        <v>3Q11</v>
      </c>
      <c r="AU319" s="572" t="str">
        <f>AU$5</f>
        <v>% Chg</v>
      </c>
      <c r="AV319" s="571" t="str">
        <f>+AV$5</f>
        <v>4Q11</v>
      </c>
      <c r="AW319" s="572" t="str">
        <f>AW$5</f>
        <v>% Chg</v>
      </c>
      <c r="AX319" s="571" t="str">
        <f>+AX$5</f>
        <v>1Q12</v>
      </c>
      <c r="AY319" s="572" t="str">
        <f>AY$5</f>
        <v>% Chg</v>
      </c>
      <c r="AZ319" s="571" t="str">
        <f>+AZ$5</f>
        <v>2Q12</v>
      </c>
      <c r="BA319" s="572" t="str">
        <f>BA$5</f>
        <v>% Chg</v>
      </c>
      <c r="BB319" s="571" t="str">
        <f>+BB$5</f>
        <v>3Q12</v>
      </c>
      <c r="BC319" s="572" t="str">
        <f>BC$5</f>
        <v>% Chg</v>
      </c>
      <c r="BD319" s="571" t="str">
        <f>+BD$5</f>
        <v>4Q12</v>
      </c>
      <c r="BE319" s="572" t="str">
        <f>BE$5</f>
        <v>% Chg</v>
      </c>
      <c r="BF319" s="571" t="str">
        <f>+BF$5</f>
        <v>1Q13</v>
      </c>
      <c r="BG319" s="572" t="str">
        <f>BG$5</f>
        <v>% Chg</v>
      </c>
      <c r="BH319" s="571" t="str">
        <f>+BH$5</f>
        <v>2Q13</v>
      </c>
      <c r="BI319" s="572" t="str">
        <f>BI$5</f>
        <v>% Chg</v>
      </c>
      <c r="BJ319" s="571" t="str">
        <f>+BJ$5</f>
        <v>3Q13</v>
      </c>
      <c r="BK319" s="572" t="str">
        <f>BK$5</f>
        <v>% Chg</v>
      </c>
      <c r="BL319" s="571" t="str">
        <f>+BL$5</f>
        <v>4Q13</v>
      </c>
      <c r="BM319" s="572" t="str">
        <f>BM$5</f>
        <v>% Chg</v>
      </c>
      <c r="BN319" s="571" t="str">
        <f>+BN$5</f>
        <v>1Q14</v>
      </c>
      <c r="BO319" s="572" t="str">
        <f>BO$5</f>
        <v>% Chg</v>
      </c>
      <c r="BP319" s="571" t="str">
        <f>+BP$5</f>
        <v>2Q14</v>
      </c>
      <c r="BQ319" s="572" t="str">
        <f>BQ$5</f>
        <v>% Chg</v>
      </c>
      <c r="BR319" s="571" t="str">
        <f>+BR$5</f>
        <v>3Q14</v>
      </c>
      <c r="BS319" s="572" t="str">
        <f>BS$5</f>
        <v>% Chg</v>
      </c>
      <c r="BT319" s="571" t="str">
        <f>+BT$5</f>
        <v>4Q14</v>
      </c>
      <c r="BU319" s="572" t="str">
        <f>BU$5</f>
        <v>% Chg</v>
      </c>
      <c r="BV319" s="571" t="str">
        <f>+BV$5</f>
        <v>1Q15</v>
      </c>
      <c r="BW319" s="572" t="str">
        <f>BW$5</f>
        <v>% Chg</v>
      </c>
      <c r="BX319" s="571" t="str">
        <f>+BX$5</f>
        <v>2Q15</v>
      </c>
      <c r="BY319" s="572" t="str">
        <f>BY$5</f>
        <v>% Chg</v>
      </c>
      <c r="BZ319" s="571" t="str">
        <f>+BZ$5</f>
        <v>3Q15</v>
      </c>
      <c r="CA319" s="572" t="str">
        <f>CA$5</f>
        <v>% Chg</v>
      </c>
      <c r="CB319" s="571" t="str">
        <f>+CB$5</f>
        <v>4Q15</v>
      </c>
      <c r="CC319" s="572" t="str">
        <f>CC$5</f>
        <v>% Chg</v>
      </c>
      <c r="CD319" s="571" t="str">
        <f>+CD$5</f>
        <v>1Q16</v>
      </c>
      <c r="CE319" s="572" t="str">
        <f>CE$5</f>
        <v>% Chg</v>
      </c>
      <c r="CF319" s="571" t="str">
        <f>+CF$5</f>
        <v>2Q16</v>
      </c>
      <c r="CG319" s="572" t="str">
        <f>CG$5</f>
        <v>% Chg</v>
      </c>
      <c r="CH319" s="571" t="str">
        <f>+CH$5</f>
        <v>3Q16</v>
      </c>
      <c r="CI319" s="572" t="str">
        <f>CI$5</f>
        <v>% Chg</v>
      </c>
      <c r="CJ319" s="571" t="str">
        <f>+CJ$5</f>
        <v>4Q16</v>
      </c>
      <c r="CK319" s="572" t="str">
        <f>CK$5</f>
        <v>% Chg</v>
      </c>
      <c r="CL319" s="571" t="str">
        <f>+CL$5</f>
        <v>1Q17</v>
      </c>
      <c r="CM319" s="572" t="str">
        <f>CM$5</f>
        <v>% Chg</v>
      </c>
      <c r="CN319" s="571" t="str">
        <f>+CN$5</f>
        <v>2Q17</v>
      </c>
      <c r="CO319" s="572" t="str">
        <f>CO$5</f>
        <v>% Chg</v>
      </c>
      <c r="CP319" s="571" t="str">
        <f>+CP$5</f>
        <v>3Q17</v>
      </c>
      <c r="CQ319" s="572" t="str">
        <f>CQ$5</f>
        <v>% Chg</v>
      </c>
      <c r="CR319" s="571" t="str">
        <f>+CR$5</f>
        <v>4Q17</v>
      </c>
      <c r="CS319" s="572" t="str">
        <f>CS$5</f>
        <v>% Chg</v>
      </c>
      <c r="CT319" s="571" t="str">
        <f>+CT$5</f>
        <v>1Q18E</v>
      </c>
      <c r="CU319" s="572" t="str">
        <f>CU$5</f>
        <v>% Chg</v>
      </c>
      <c r="CV319" s="571" t="str">
        <f>+CV$5</f>
        <v>2Q18E</v>
      </c>
      <c r="CW319" s="572" t="str">
        <f>CW$5</f>
        <v>% Chg</v>
      </c>
      <c r="CX319" s="571" t="str">
        <f>+CX$5</f>
        <v>3Q18E</v>
      </c>
      <c r="CY319" s="572" t="str">
        <f>CY$5</f>
        <v>% Chg</v>
      </c>
      <c r="CZ319" s="571" t="str">
        <f>+CZ$5</f>
        <v>4Q18E</v>
      </c>
      <c r="DA319" s="572" t="str">
        <f>DA$5</f>
        <v>% Chg</v>
      </c>
      <c r="DB319" s="573"/>
      <c r="DC319" s="571" t="str">
        <f>+DC$5</f>
        <v>2005</v>
      </c>
      <c r="DD319" s="572" t="str">
        <f>DD$5</f>
        <v>% Chg</v>
      </c>
      <c r="DE319" s="571" t="str">
        <f>+DE$5</f>
        <v>2006</v>
      </c>
      <c r="DF319" s="572" t="str">
        <f>DF$5</f>
        <v>% Chg</v>
      </c>
      <c r="DG319" s="571">
        <f>+DG$5</f>
        <v>2007</v>
      </c>
      <c r="DH319" s="572" t="str">
        <f>DH$5</f>
        <v>% Chg</v>
      </c>
      <c r="DI319" s="571" t="str">
        <f>+DI$5</f>
        <v>2008</v>
      </c>
      <c r="DJ319" s="572" t="str">
        <f>DJ$5</f>
        <v>% Chg</v>
      </c>
      <c r="DK319" s="571" t="str">
        <f>+DK$5</f>
        <v>2009</v>
      </c>
      <c r="DL319" s="572" t="str">
        <f>DL$5</f>
        <v>% Chg</v>
      </c>
      <c r="DM319" s="571" t="str">
        <f>+DM$5</f>
        <v>2010</v>
      </c>
      <c r="DN319" s="572" t="str">
        <f>DN$5</f>
        <v>% Chg</v>
      </c>
      <c r="DO319" s="571" t="str">
        <f>+DO$5</f>
        <v>2011</v>
      </c>
      <c r="DP319" s="572" t="str">
        <f>DP$5</f>
        <v>% Chg</v>
      </c>
      <c r="DQ319" s="571" t="str">
        <f>+DQ$5</f>
        <v>2012</v>
      </c>
      <c r="DR319" s="572" t="str">
        <f>DR$5</f>
        <v>% Chg</v>
      </c>
      <c r="DS319" s="571" t="str">
        <f>+DS$5</f>
        <v>2013</v>
      </c>
      <c r="DT319" s="572" t="str">
        <f>DT$5</f>
        <v>% Chg</v>
      </c>
      <c r="DU319" s="571">
        <f>+DU$5</f>
        <v>2014</v>
      </c>
      <c r="DV319" s="572" t="str">
        <f>DV$5</f>
        <v>% Chg</v>
      </c>
      <c r="DW319" s="571" t="str">
        <f>+DW$5</f>
        <v>2015</v>
      </c>
      <c r="DX319" s="572" t="str">
        <f>DX$5</f>
        <v>% Chg</v>
      </c>
      <c r="DY319" s="571">
        <f>+DY$5</f>
        <v>2016</v>
      </c>
      <c r="DZ319" s="572" t="str">
        <f>DZ$5</f>
        <v>% Chg</v>
      </c>
      <c r="EA319" s="571">
        <f>+EA$5</f>
        <v>2017</v>
      </c>
      <c r="EB319" s="572" t="str">
        <f>EB$5</f>
        <v>% Chg</v>
      </c>
      <c r="EC319" s="571" t="str">
        <f>+EC$5</f>
        <v>2018E</v>
      </c>
      <c r="ED319" s="572" t="str">
        <f>ED$5</f>
        <v>% Chg</v>
      </c>
      <c r="EE319" s="571" t="str">
        <f>+EE$5</f>
        <v>2019E</v>
      </c>
      <c r="EF319" s="572" t="str">
        <f>EF$5</f>
        <v>% Chg</v>
      </c>
      <c r="EG319" s="571" t="str">
        <f>+EG$5</f>
        <v>2020E</v>
      </c>
      <c r="EH319" s="572" t="str">
        <f>EH$5</f>
        <v>% Chg</v>
      </c>
      <c r="EI319" s="571" t="str">
        <f>+EI$5</f>
        <v>2021E</v>
      </c>
      <c r="EJ319" s="572" t="str">
        <f>EJ$5</f>
        <v>% Chg</v>
      </c>
      <c r="EK319" s="571" t="str">
        <f>+EK$5</f>
        <v>2022E</v>
      </c>
      <c r="EL319" s="572" t="str">
        <f>EL$5</f>
        <v>% Chg</v>
      </c>
      <c r="EM319" s="574" t="str">
        <f>EM$5</f>
        <v>(%)</v>
      </c>
      <c r="EN319" s="549"/>
    </row>
    <row r="320" spans="1:144" ht="12.75" hidden="1" customHeight="1" outlineLevel="1" x14ac:dyDescent="0.2">
      <c r="A320" s="575"/>
      <c r="B320" s="580"/>
      <c r="C320" s="577"/>
      <c r="D320" s="580"/>
      <c r="E320" s="577"/>
      <c r="F320" s="580"/>
      <c r="G320" s="577"/>
      <c r="H320" s="580"/>
      <c r="I320" s="577"/>
      <c r="J320" s="580"/>
      <c r="K320" s="577"/>
      <c r="L320" s="580"/>
      <c r="M320" s="577"/>
      <c r="N320" s="580"/>
      <c r="O320" s="577"/>
      <c r="P320" s="580"/>
      <c r="Q320" s="577"/>
      <c r="R320" s="580"/>
      <c r="S320" s="577"/>
      <c r="T320" s="580"/>
      <c r="U320" s="577"/>
      <c r="V320" s="580"/>
      <c r="W320" s="577"/>
      <c r="X320" s="580"/>
      <c r="Y320" s="577"/>
      <c r="Z320" s="580"/>
      <c r="AA320" s="577"/>
      <c r="AB320" s="580"/>
      <c r="AC320" s="577"/>
      <c r="AD320" s="580"/>
      <c r="AE320" s="577"/>
      <c r="AF320" s="580"/>
      <c r="AG320" s="577"/>
      <c r="AH320" s="580"/>
      <c r="AI320" s="577"/>
      <c r="AJ320" s="580"/>
      <c r="AK320" s="577"/>
      <c r="AL320" s="580"/>
      <c r="AM320" s="577"/>
      <c r="AN320" s="580"/>
      <c r="AO320" s="577"/>
      <c r="AP320" s="580"/>
      <c r="AQ320" s="577"/>
      <c r="AR320" s="580"/>
      <c r="AS320" s="577"/>
      <c r="AT320" s="580"/>
      <c r="AU320" s="577"/>
      <c r="AV320" s="580"/>
      <c r="AW320" s="577"/>
      <c r="AX320" s="580"/>
      <c r="AY320" s="577"/>
      <c r="AZ320" s="580"/>
      <c r="BA320" s="577"/>
      <c r="BB320" s="580"/>
      <c r="BC320" s="577"/>
      <c r="BD320" s="580"/>
      <c r="BE320" s="577"/>
      <c r="BF320" s="580"/>
      <c r="BG320" s="577"/>
      <c r="BH320" s="580"/>
      <c r="BI320" s="577"/>
      <c r="BJ320" s="580"/>
      <c r="BK320" s="577"/>
      <c r="BL320" s="580"/>
      <c r="BM320" s="577"/>
      <c r="BN320" s="580"/>
      <c r="BO320" s="577"/>
      <c r="BP320" s="580"/>
      <c r="BQ320" s="577"/>
      <c r="BR320" s="580"/>
      <c r="BS320" s="577"/>
      <c r="BT320" s="580"/>
      <c r="BU320" s="577"/>
      <c r="BV320" s="580"/>
      <c r="BW320" s="577"/>
      <c r="BX320" s="580"/>
      <c r="BY320" s="577"/>
      <c r="BZ320" s="580"/>
      <c r="CA320" s="577"/>
      <c r="CB320" s="580"/>
      <c r="CC320" s="577"/>
      <c r="CD320" s="580"/>
      <c r="CE320" s="577"/>
      <c r="CF320" s="580"/>
      <c r="CG320" s="577"/>
      <c r="CH320" s="580"/>
      <c r="CI320" s="577"/>
      <c r="CJ320" s="580"/>
      <c r="CK320" s="577"/>
      <c r="CL320" s="580"/>
      <c r="CM320" s="577"/>
      <c r="CN320" s="580"/>
      <c r="CO320" s="577"/>
      <c r="CP320" s="580"/>
      <c r="CQ320" s="577"/>
      <c r="CR320" s="580"/>
      <c r="CS320" s="577"/>
      <c r="CT320" s="580"/>
      <c r="CU320" s="577"/>
      <c r="CV320" s="580"/>
      <c r="CW320" s="577"/>
      <c r="CX320" s="580"/>
      <c r="CY320" s="577"/>
      <c r="CZ320" s="580"/>
      <c r="DA320" s="577"/>
      <c r="DB320" s="587"/>
      <c r="DC320" s="580"/>
      <c r="DD320" s="577"/>
      <c r="DE320" s="580"/>
      <c r="DF320" s="577"/>
      <c r="DG320" s="580"/>
      <c r="DH320" s="577"/>
      <c r="DI320" s="580"/>
      <c r="DJ320" s="577"/>
      <c r="DK320" s="580"/>
      <c r="DL320" s="577"/>
      <c r="DM320" s="580"/>
      <c r="DN320" s="577"/>
      <c r="DO320" s="580"/>
      <c r="DP320" s="577"/>
      <c r="DQ320" s="580"/>
      <c r="DR320" s="577"/>
      <c r="DS320" s="580"/>
      <c r="DT320" s="577"/>
      <c r="DU320" s="580"/>
      <c r="DV320" s="577"/>
      <c r="DW320" s="580"/>
      <c r="DX320" s="577"/>
      <c r="DY320" s="580"/>
      <c r="DZ320" s="577"/>
      <c r="EA320" s="580"/>
      <c r="EB320" s="577"/>
      <c r="EC320" s="580"/>
      <c r="ED320" s="577"/>
      <c r="EE320" s="580"/>
      <c r="EF320" s="577"/>
      <c r="EG320" s="580"/>
      <c r="EH320" s="577"/>
      <c r="EI320" s="580"/>
      <c r="EJ320" s="577"/>
      <c r="EK320" s="580"/>
      <c r="EL320" s="577"/>
      <c r="EM320" s="577"/>
    </row>
    <row r="321" spans="1:143" ht="12.75" hidden="1" customHeight="1" outlineLevel="1" x14ac:dyDescent="0.2">
      <c r="A321" s="575" t="s">
        <v>403</v>
      </c>
      <c r="B321" s="580"/>
      <c r="C321" s="577"/>
      <c r="D321" s="580"/>
      <c r="E321" s="577"/>
      <c r="F321" s="580"/>
      <c r="G321" s="577"/>
      <c r="H321" s="580"/>
      <c r="I321" s="577"/>
      <c r="J321" s="580"/>
      <c r="K321" s="577"/>
      <c r="L321" s="580"/>
      <c r="M321" s="577"/>
      <c r="N321" s="580"/>
      <c r="O321" s="577"/>
      <c r="P321" s="580"/>
      <c r="Q321" s="577"/>
      <c r="R321" s="580"/>
      <c r="S321" s="577"/>
      <c r="T321" s="580"/>
      <c r="U321" s="577"/>
      <c r="V321" s="580"/>
      <c r="W321" s="577"/>
      <c r="X321" s="580"/>
      <c r="Y321" s="577"/>
      <c r="Z321" s="580"/>
      <c r="AA321" s="577"/>
      <c r="AB321" s="580"/>
      <c r="AC321" s="577"/>
      <c r="AD321" s="580"/>
      <c r="AE321" s="577"/>
      <c r="AF321" s="580"/>
      <c r="AG321" s="577"/>
      <c r="AH321" s="580"/>
      <c r="AI321" s="577"/>
      <c r="AJ321" s="580"/>
      <c r="AK321" s="577"/>
      <c r="AL321" s="580"/>
      <c r="AM321" s="577"/>
      <c r="AN321" s="580"/>
      <c r="AO321" s="577"/>
      <c r="AP321" s="580"/>
      <c r="AQ321" s="577"/>
      <c r="AR321" s="580"/>
      <c r="AS321" s="577"/>
      <c r="AT321" s="580"/>
      <c r="AU321" s="577"/>
      <c r="AV321" s="580"/>
      <c r="AW321" s="577"/>
      <c r="AX321" s="580"/>
      <c r="AY321" s="577"/>
      <c r="AZ321" s="580"/>
      <c r="BA321" s="577"/>
      <c r="BB321" s="580"/>
      <c r="BC321" s="577"/>
      <c r="BD321" s="580"/>
      <c r="BE321" s="577"/>
      <c r="BF321" s="580"/>
      <c r="BG321" s="577"/>
      <c r="BH321" s="580"/>
      <c r="BI321" s="577"/>
      <c r="BJ321" s="580"/>
      <c r="BK321" s="577"/>
      <c r="BL321" s="580"/>
      <c r="BM321" s="577"/>
      <c r="BN321" s="580"/>
      <c r="BO321" s="577"/>
      <c r="BP321" s="580"/>
      <c r="BQ321" s="577"/>
      <c r="BR321" s="580"/>
      <c r="BS321" s="577"/>
      <c r="BT321" s="580"/>
      <c r="BU321" s="577"/>
      <c r="BV321" s="580"/>
      <c r="BW321" s="577"/>
      <c r="BX321" s="580"/>
      <c r="BY321" s="577"/>
      <c r="BZ321" s="580"/>
      <c r="CA321" s="577"/>
      <c r="CB321" s="580"/>
      <c r="CC321" s="577"/>
      <c r="CD321" s="580"/>
      <c r="CE321" s="577"/>
      <c r="CF321" s="580"/>
      <c r="CG321" s="577"/>
      <c r="CH321" s="580"/>
      <c r="CI321" s="577"/>
      <c r="CJ321" s="580"/>
      <c r="CK321" s="577"/>
      <c r="CL321" s="580"/>
      <c r="CM321" s="577"/>
      <c r="CN321" s="580"/>
      <c r="CO321" s="577"/>
      <c r="CP321" s="580"/>
      <c r="CQ321" s="577"/>
      <c r="CR321" s="580"/>
      <c r="CS321" s="577"/>
      <c r="CT321" s="580"/>
      <c r="CU321" s="577"/>
      <c r="CV321" s="580"/>
      <c r="CW321" s="577"/>
      <c r="CX321" s="580"/>
      <c r="CY321" s="577"/>
      <c r="CZ321" s="580"/>
      <c r="DA321" s="577"/>
      <c r="DB321" s="587"/>
      <c r="DC321" s="580"/>
      <c r="DD321" s="577"/>
      <c r="DE321" s="580"/>
      <c r="DF321" s="577"/>
      <c r="DG321" s="580"/>
      <c r="DH321" s="577"/>
      <c r="DI321" s="580"/>
      <c r="DJ321" s="577"/>
      <c r="DK321" s="580"/>
      <c r="DL321" s="577"/>
      <c r="DM321" s="580"/>
      <c r="DN321" s="577"/>
      <c r="DO321" s="580"/>
      <c r="DP321" s="577"/>
      <c r="DQ321" s="580"/>
      <c r="DR321" s="577"/>
      <c r="DS321" s="580"/>
      <c r="DT321" s="577"/>
      <c r="DU321" s="580"/>
      <c r="DV321" s="577"/>
      <c r="DW321" s="580"/>
      <c r="DX321" s="577"/>
      <c r="DY321" s="580"/>
      <c r="DZ321" s="577"/>
      <c r="EA321" s="580"/>
      <c r="EB321" s="577"/>
      <c r="EC321" s="580"/>
      <c r="ED321" s="577"/>
      <c r="EE321" s="580"/>
      <c r="EF321" s="577"/>
      <c r="EG321" s="580"/>
      <c r="EH321" s="577"/>
      <c r="EI321" s="580"/>
      <c r="EJ321" s="577"/>
      <c r="EK321" s="580"/>
      <c r="EL321" s="577"/>
      <c r="EM321" s="577"/>
    </row>
    <row r="322" spans="1:143" ht="12.75" hidden="1" customHeight="1" outlineLevel="1" x14ac:dyDescent="0.2">
      <c r="A322" s="618" t="str">
        <f>INPUT!B264</f>
        <v>Institutional Assets</v>
      </c>
      <c r="B322" s="610"/>
      <c r="C322" s="555"/>
      <c r="D322" s="610"/>
      <c r="E322" s="555"/>
      <c r="F322" s="610"/>
      <c r="G322" s="555"/>
      <c r="H322" s="610"/>
      <c r="I322" s="555"/>
      <c r="J322" s="610"/>
      <c r="K322" s="555"/>
      <c r="L322" s="610"/>
      <c r="M322" s="555"/>
      <c r="N322" s="610"/>
      <c r="O322" s="555"/>
      <c r="P322" s="610"/>
      <c r="Q322" s="555"/>
      <c r="R322" s="610"/>
      <c r="S322" s="555"/>
      <c r="T322" s="610"/>
      <c r="U322" s="555"/>
      <c r="V322" s="610"/>
      <c r="W322" s="555"/>
      <c r="X322" s="610"/>
      <c r="Y322" s="555"/>
      <c r="Z322" s="610"/>
      <c r="AA322" s="555"/>
      <c r="AB322" s="610"/>
      <c r="AC322" s="555"/>
      <c r="AD322" s="610"/>
      <c r="AE322" s="555"/>
      <c r="AF322" s="610"/>
      <c r="AG322" s="555"/>
      <c r="AH322" s="610"/>
      <c r="AI322" s="555"/>
      <c r="AJ322" s="610"/>
      <c r="AK322" s="555"/>
      <c r="AL322" s="610"/>
      <c r="AM322" s="555"/>
      <c r="AN322" s="610"/>
      <c r="AO322" s="555"/>
      <c r="AP322" s="610"/>
      <c r="AQ322" s="555"/>
      <c r="AR322" s="610"/>
      <c r="AS322" s="555"/>
      <c r="AT322" s="610"/>
      <c r="AU322" s="555"/>
      <c r="AV322" s="610"/>
      <c r="AW322" s="555"/>
      <c r="AX322" s="610"/>
      <c r="AY322" s="555"/>
      <c r="AZ322" s="610"/>
      <c r="BA322" s="555"/>
      <c r="BB322" s="610"/>
      <c r="BC322" s="555"/>
      <c r="BD322" s="610"/>
      <c r="BE322" s="555"/>
      <c r="BF322" s="610"/>
      <c r="BG322" s="555"/>
      <c r="BH322" s="610"/>
      <c r="BI322" s="555"/>
      <c r="BJ322" s="610"/>
      <c r="BK322" s="555"/>
      <c r="BL322" s="610"/>
      <c r="BM322" s="555"/>
      <c r="BN322" s="610"/>
      <c r="BO322" s="555"/>
      <c r="BP322" s="610"/>
      <c r="BQ322" s="555"/>
      <c r="BR322" s="610"/>
      <c r="BS322" s="555"/>
      <c r="BT322" s="610"/>
      <c r="BU322" s="555"/>
      <c r="BV322" s="610"/>
      <c r="BW322" s="555"/>
      <c r="BX322" s="610"/>
      <c r="BY322" s="555"/>
      <c r="BZ322" s="610"/>
      <c r="CA322" s="555"/>
      <c r="CB322" s="610"/>
      <c r="CC322" s="555"/>
      <c r="CD322" s="610"/>
      <c r="CE322" s="555"/>
      <c r="CF322" s="610"/>
      <c r="CG322" s="555"/>
      <c r="CH322" s="610"/>
      <c r="CI322" s="555"/>
      <c r="CJ322" s="610"/>
      <c r="CK322" s="555"/>
      <c r="CL322" s="610"/>
      <c r="CM322" s="555"/>
      <c r="CN322" s="610"/>
      <c r="CO322" s="555"/>
      <c r="CP322" s="610"/>
      <c r="CQ322" s="555"/>
      <c r="CR322" s="610"/>
      <c r="CS322" s="555"/>
      <c r="CT322" s="610"/>
      <c r="CU322" s="555"/>
      <c r="CV322" s="610"/>
      <c r="CW322" s="555"/>
      <c r="CX322" s="610"/>
      <c r="CY322" s="555"/>
      <c r="CZ322" s="610"/>
      <c r="DA322" s="555"/>
      <c r="DB322" s="556"/>
      <c r="DC322" s="610"/>
      <c r="DD322" s="555"/>
      <c r="DE322" s="610"/>
      <c r="DF322" s="555"/>
      <c r="DG322" s="610"/>
      <c r="DH322" s="555"/>
      <c r="DI322" s="610"/>
      <c r="DJ322" s="555"/>
      <c r="DK322" s="610"/>
      <c r="DL322" s="555"/>
      <c r="DM322" s="610"/>
      <c r="DN322" s="555"/>
      <c r="DO322" s="610"/>
      <c r="DP322" s="555"/>
      <c r="DQ322" s="610"/>
      <c r="DR322" s="555"/>
      <c r="DS322" s="610"/>
      <c r="DT322" s="555"/>
      <c r="DU322" s="610"/>
      <c r="DV322" s="555"/>
      <c r="DW322" s="610"/>
      <c r="DX322" s="555"/>
      <c r="DY322" s="610"/>
      <c r="DZ322" s="555"/>
      <c r="EA322" s="610"/>
      <c r="EB322" s="555"/>
      <c r="EC322" s="610"/>
      <c r="ED322" s="555"/>
      <c r="EE322" s="610"/>
      <c r="EF322" s="555"/>
      <c r="EG322" s="610"/>
      <c r="EH322" s="555"/>
      <c r="EI322" s="610"/>
      <c r="EJ322" s="555"/>
      <c r="EK322" s="610"/>
      <c r="EL322" s="555"/>
      <c r="EM322" s="555"/>
    </row>
    <row r="323" spans="1:143" ht="12.75" hidden="1" customHeight="1" outlineLevel="1" x14ac:dyDescent="0.2">
      <c r="A323" s="609" t="str">
        <f>INPUT!B265</f>
        <v>Beginning Assets</v>
      </c>
      <c r="B323" s="580">
        <f>INPUT!AY265</f>
        <v>101.3</v>
      </c>
      <c r="C323" s="577" t="str">
        <f>INPUT!AZ265</f>
        <v>NA</v>
      </c>
      <c r="D323" s="580">
        <f>INPUT!BA265</f>
        <v>106.7</v>
      </c>
      <c r="E323" s="577" t="str">
        <f>INPUT!BB265</f>
        <v>NA</v>
      </c>
      <c r="F323" s="580">
        <f>INPUT!BC265</f>
        <v>107.1</v>
      </c>
      <c r="G323" s="577">
        <f>INPUT!BD265</f>
        <v>17.563117453347971</v>
      </c>
      <c r="H323" s="580">
        <f>INPUT!BE265</f>
        <v>115</v>
      </c>
      <c r="I323" s="577">
        <f>INPUT!BF265</f>
        <v>21.05263157894737</v>
      </c>
      <c r="J323" s="580">
        <f>INPUT!BG265</f>
        <v>122.89999999999999</v>
      </c>
      <c r="K323" s="577">
        <f>INPUT!BH265</f>
        <v>21.322803553800583</v>
      </c>
      <c r="L323" s="580">
        <f>INPUT!BI265</f>
        <v>126.99999999999999</v>
      </c>
      <c r="M323" s="577">
        <f>INPUT!BJ265</f>
        <v>19.025304592314882</v>
      </c>
      <c r="N323" s="580">
        <f>INPUT!BK265</f>
        <v>132</v>
      </c>
      <c r="O323" s="577">
        <f>INPUT!BL265</f>
        <v>23.249299719887958</v>
      </c>
      <c r="P323" s="580">
        <f>INPUT!BM265</f>
        <v>135</v>
      </c>
      <c r="Q323" s="577">
        <f>INPUT!BN265</f>
        <v>17.391304347826093</v>
      </c>
      <c r="R323" s="580">
        <f>INPUT!BO265</f>
        <v>141.69999999999999</v>
      </c>
      <c r="S323" s="577">
        <f>INPUT!BP265</f>
        <v>15.296989422294544</v>
      </c>
      <c r="T323" s="580">
        <f>INPUT!BQ265</f>
        <v>140.09999999999997</v>
      </c>
      <c r="U323" s="577">
        <f>INPUT!BR265</f>
        <v>10.314960629921259</v>
      </c>
      <c r="V323" s="580">
        <f>INPUT!BS265</f>
        <v>145.79999999999998</v>
      </c>
      <c r="W323" s="577">
        <f>INPUT!BT265</f>
        <v>10.454545454545453</v>
      </c>
      <c r="X323" s="580">
        <f>INPUT!BU265</f>
        <v>138.59999999999997</v>
      </c>
      <c r="Y323" s="577">
        <f>INPUT!BV265</f>
        <v>2.666666666666643</v>
      </c>
      <c r="Z323" s="580">
        <f>INPUT!BW265</f>
        <v>128.49999999999997</v>
      </c>
      <c r="AA323" s="577">
        <f>INPUT!BX265</f>
        <v>-9.3154551870148339</v>
      </c>
      <c r="AB323" s="580">
        <f>INPUT!BY265</f>
        <v>120.59999999999998</v>
      </c>
      <c r="AC323" s="577">
        <f>INPUT!BZ265</f>
        <v>-13.918629550321199</v>
      </c>
      <c r="AD323" s="580">
        <f>INPUT!CA265</f>
        <v>128.89999999999998</v>
      </c>
      <c r="AE323" s="577">
        <f>INPUT!CB265</f>
        <v>-11.591220850480113</v>
      </c>
      <c r="AF323" s="580">
        <f>INPUT!CC265</f>
        <v>143.57999999999998</v>
      </c>
      <c r="AG323" s="577">
        <f>INPUT!CD265</f>
        <v>3.593073593073612</v>
      </c>
      <c r="AH323" s="580">
        <f>INPUT!CE265</f>
        <v>151.88</v>
      </c>
      <c r="AI323" s="577">
        <f>INPUT!CF265</f>
        <v>18.1945525291829</v>
      </c>
      <c r="AJ323" s="580">
        <f>INPUT!CG265</f>
        <v>156.88</v>
      </c>
      <c r="AK323" s="577">
        <f>INPUT!CH265</f>
        <v>30.082918739635176</v>
      </c>
      <c r="AL323" s="580">
        <f>INPUT!CI265</f>
        <v>167.17999999999998</v>
      </c>
      <c r="AM323" s="577">
        <f>INPUT!CJ265</f>
        <v>29.69743987587276</v>
      </c>
      <c r="AN323" s="580">
        <f>INPUT!CK265</f>
        <v>183.98</v>
      </c>
      <c r="AO323" s="577">
        <f>INPUT!CL265</f>
        <v>28.137623624460247</v>
      </c>
      <c r="AP323" s="580">
        <f>INPUT!CM265</f>
        <v>200.1</v>
      </c>
      <c r="AQ323" s="577">
        <f>INPUT!CN265</f>
        <v>31.748749012378198</v>
      </c>
      <c r="AR323" s="580">
        <f>INPUT!CO265</f>
        <v>211.9</v>
      </c>
      <c r="AS323" s="577">
        <f>INPUT!CP265</f>
        <v>35.071392146863843</v>
      </c>
      <c r="AT323" s="580">
        <f>INPUT!CQ265</f>
        <v>221.6</v>
      </c>
      <c r="AU323" s="577">
        <f>INPUT!CR265</f>
        <v>32.551740638832428</v>
      </c>
      <c r="AV323" s="580">
        <f>INPUT!CS265</f>
        <v>224</v>
      </c>
      <c r="AW323" s="577">
        <f>INPUT!CT265</f>
        <v>21.752364387433417</v>
      </c>
      <c r="AX323" s="580">
        <f>INPUT!CU265</f>
        <v>234.20000000000005</v>
      </c>
      <c r="AY323" s="577">
        <f>INPUT!CV265</f>
        <v>17.041479260369854</v>
      </c>
      <c r="AZ323" s="580">
        <f>INPUT!CW265</f>
        <v>247.50000000000003</v>
      </c>
      <c r="BA323" s="577">
        <f>INPUT!CX265</f>
        <v>16.800377536573862</v>
      </c>
      <c r="BB323" s="580">
        <f>INPUT!CY265</f>
        <v>251.40000000000003</v>
      </c>
      <c r="BC323" s="577">
        <f>INPUT!CZ265</f>
        <v>13.447653429602894</v>
      </c>
      <c r="BD323" s="580">
        <f>INPUT!DA265</f>
        <v>263.8</v>
      </c>
      <c r="BE323" s="577">
        <f>INPUT!DB265</f>
        <v>17.767857142857153</v>
      </c>
      <c r="BF323" s="580">
        <f>INPUT!DC265</f>
        <v>274.60000000000008</v>
      </c>
      <c r="BG323" s="577">
        <f>INPUT!DD265</f>
        <v>17.250213492741253</v>
      </c>
      <c r="BH323" s="580">
        <f>INPUT!DE265</f>
        <v>282.90000000000003</v>
      </c>
      <c r="BI323" s="577">
        <f>INPUT!DF265</f>
        <v>14.303030303030312</v>
      </c>
      <c r="BJ323" s="580">
        <f>INPUT!DG265</f>
        <v>279.60000000000002</v>
      </c>
      <c r="BK323" s="577">
        <f>INPUT!DH265</f>
        <v>11.217183770883054</v>
      </c>
      <c r="BL323" s="580">
        <f>INPUT!DI265</f>
        <v>290.00000000000006</v>
      </c>
      <c r="BM323" s="577">
        <f>INPUT!DJ265</f>
        <v>9.9317664897649962</v>
      </c>
      <c r="BN323" s="580">
        <f>INPUT!DK265</f>
        <v>300.50000000000006</v>
      </c>
      <c r="BO323" s="577">
        <f>INPUT!DL265</f>
        <v>9.4319009468317461</v>
      </c>
      <c r="BP323" s="580">
        <f>INPUT!DM265</f>
        <v>310.40000000000003</v>
      </c>
      <c r="BQ323" s="577">
        <f>INPUT!DN265</f>
        <v>9.7207493814068613</v>
      </c>
      <c r="BR323" s="580">
        <f>INPUT!DO265</f>
        <v>323.50000000000006</v>
      </c>
      <c r="BS323" s="577">
        <f>INPUT!DP265</f>
        <v>15.701001430615165</v>
      </c>
      <c r="BT323" s="580">
        <f>INPUT!DQ265</f>
        <v>320.7000000000001</v>
      </c>
      <c r="BU323" s="577">
        <f>INPUT!DR265</f>
        <v>10.586206896551744</v>
      </c>
      <c r="BV323" s="580">
        <f>INPUT!DS265</f>
        <v>323.60000000000014</v>
      </c>
      <c r="BW323" s="577">
        <f>INPUT!DT265</f>
        <v>7.6871880199667544</v>
      </c>
      <c r="BX323" s="580">
        <f>INPUT!DU265</f>
        <v>334.10000000000014</v>
      </c>
      <c r="BY323" s="577">
        <f>INPUT!DV265</f>
        <v>7.6353092783505474</v>
      </c>
      <c r="BZ323" s="580">
        <f>INPUT!DW265</f>
        <v>335.90000000000015</v>
      </c>
      <c r="CA323" s="577">
        <f>INPUT!DX265</f>
        <v>3.8330757341576742</v>
      </c>
      <c r="CB323" s="580">
        <f>INPUT!DY265</f>
        <v>338.60000000000014</v>
      </c>
      <c r="CC323" s="577">
        <f>INPUT!DZ265</f>
        <v>5.5815403804178487</v>
      </c>
      <c r="CD323" s="580">
        <f>INPUT!EA265</f>
        <v>347.10000000000014</v>
      </c>
      <c r="CE323" s="577">
        <f>INPUT!EB265</f>
        <v>7.2620519159456052</v>
      </c>
      <c r="CF323" s="580">
        <f>INPUT!EC265</f>
        <v>359.30000000000013</v>
      </c>
      <c r="CG323" s="577">
        <f>INPUT!ED265</f>
        <v>7.5426519006285559</v>
      </c>
      <c r="CH323" s="580">
        <f>INPUT!EE265</f>
        <v>373.40000000000015</v>
      </c>
      <c r="CI323" s="577">
        <f>INPUT!EF265</f>
        <v>11.164036915748724</v>
      </c>
      <c r="CJ323" s="580">
        <f>INPUT!EG265</f>
        <v>398.90000000000009</v>
      </c>
      <c r="CK323" s="577">
        <f>INPUT!EH265</f>
        <v>17.808623744831635</v>
      </c>
      <c r="CL323" s="580">
        <f>INPUT!EI265</f>
        <v>386.40000000000009</v>
      </c>
      <c r="CM323" s="577">
        <f>INPUT!EJ265</f>
        <v>11.322385479688819</v>
      </c>
      <c r="CN323" s="580">
        <f>INPUT!EK265</f>
        <v>399.10000000000014</v>
      </c>
      <c r="CO323" s="577">
        <f>INPUT!EL265</f>
        <v>11.07709435012525</v>
      </c>
      <c r="CP323" s="580">
        <f>INPUT!EM265</f>
        <v>414.60000000000014</v>
      </c>
      <c r="CQ323" s="577">
        <f>INPUT!EN265</f>
        <v>11.033743974290289</v>
      </c>
      <c r="CR323" s="580">
        <f>INPUT!EO265</f>
        <v>431.00000000000017</v>
      </c>
      <c r="CS323" s="577">
        <f>INPUT!EP265</f>
        <v>8.0471296064176698</v>
      </c>
      <c r="CT323" s="580">
        <f>INPUT!EQ265</f>
        <v>437.90000000000015</v>
      </c>
      <c r="CU323" s="577">
        <f>INPUT!ER265</f>
        <v>13.3281573498965</v>
      </c>
      <c r="CV323" s="580">
        <f>INPUT!ES265</f>
        <v>437.56485000000015</v>
      </c>
      <c r="CW323" s="577">
        <f>INPUT!ET265</f>
        <v>9.6378977699824446</v>
      </c>
      <c r="CX323" s="580">
        <f>INPUT!EU265</f>
        <v>444.57412087500018</v>
      </c>
      <c r="CY323" s="577">
        <f>INPUT!EV265</f>
        <v>7.2296480643994272</v>
      </c>
      <c r="CZ323" s="580">
        <f>INPUT!EW265</f>
        <v>451.76277275531265</v>
      </c>
      <c r="DA323" s="577">
        <f>INPUT!EX265</f>
        <v>4.8173486671258701</v>
      </c>
      <c r="DB323" s="556"/>
      <c r="DC323" s="580">
        <f>INPUT!FP265</f>
        <v>91.1</v>
      </c>
      <c r="DD323" s="577"/>
      <c r="DE323" s="580">
        <f>INPUT!FR265</f>
        <v>101.3</v>
      </c>
      <c r="DF323" s="577">
        <f>INPUT!FS265</f>
        <v>11.196487376509339</v>
      </c>
      <c r="DG323" s="580">
        <f>INPUT!FT265</f>
        <v>122.89999999999999</v>
      </c>
      <c r="DH323" s="577">
        <f>INPUT!FU265</f>
        <v>21.322803553800583</v>
      </c>
      <c r="DI323" s="580">
        <f>INPUT!FV265</f>
        <v>141.69999999999999</v>
      </c>
      <c r="DJ323" s="577">
        <f>INPUT!FW265</f>
        <v>15.296989422294544</v>
      </c>
      <c r="DK323" s="580">
        <f>INPUT!FX265</f>
        <v>128.5</v>
      </c>
      <c r="DL323" s="577">
        <f>INPUT!FY265</f>
        <v>-9.3154551870148055</v>
      </c>
      <c r="DM323" s="580">
        <f>INPUT!FZ265</f>
        <v>151.88000000000002</v>
      </c>
      <c r="DN323" s="577">
        <f>INPUT!GA265</f>
        <v>18.1945525291829</v>
      </c>
      <c r="DO323" s="580">
        <f>INPUT!GB265</f>
        <v>200.1</v>
      </c>
      <c r="DP323" s="577">
        <f>INPUT!GC265</f>
        <v>31.74874901237817</v>
      </c>
      <c r="DQ323" s="580">
        <f>INPUT!GD265</f>
        <v>234.20000000000002</v>
      </c>
      <c r="DR323" s="577">
        <f>INPUT!GE265</f>
        <v>17.041479260369826</v>
      </c>
      <c r="DS323" s="580">
        <f>INPUT!GF265</f>
        <v>274.60000000000002</v>
      </c>
      <c r="DT323" s="577">
        <f>INPUT!GG265</f>
        <v>17.250213492741253</v>
      </c>
      <c r="DU323" s="580">
        <f>INPUT!GH265</f>
        <v>300.50000000000006</v>
      </c>
      <c r="DV323" s="577">
        <f>INPUT!GI265</f>
        <v>9.4319009468317745</v>
      </c>
      <c r="DW323" s="580">
        <f>INPUT!GJ265</f>
        <v>323.60000000000008</v>
      </c>
      <c r="DX323" s="577">
        <f>INPUT!GK265</f>
        <v>7.687188019966726</v>
      </c>
      <c r="DY323" s="580">
        <f>INPUT!GL265</f>
        <v>347.10000000000014</v>
      </c>
      <c r="DZ323" s="577">
        <f>INPUT!GM265</f>
        <v>7.2620519159456194</v>
      </c>
      <c r="EA323" s="580">
        <f>INPUT!GN265</f>
        <v>386.40000000000009</v>
      </c>
      <c r="EB323" s="577">
        <f>INPUT!GO265</f>
        <v>11.322385479688819</v>
      </c>
      <c r="EC323" s="580">
        <f>INPUT!GP265</f>
        <v>437.90000000000009</v>
      </c>
      <c r="ED323" s="577">
        <f>INPUT!GQ265</f>
        <v>13.328157349896472</v>
      </c>
      <c r="EE323" s="580">
        <f>INPUT!GR265</f>
        <v>459.13351136031804</v>
      </c>
      <c r="EF323" s="577">
        <f>INPUT!GS265</f>
        <v>4.8489407079968032</v>
      </c>
      <c r="EG323" s="580">
        <f>INPUT!GT265</f>
        <v>489.31488025387921</v>
      </c>
      <c r="EH323" s="577">
        <f>INPUT!GU265</f>
        <v>6.5735495551479062</v>
      </c>
      <c r="EI323" s="580">
        <f>INPUT!GV265</f>
        <v>521.0661807686447</v>
      </c>
      <c r="EJ323" s="577">
        <f>INPUT!GW265</f>
        <v>6.4889300930908576</v>
      </c>
      <c r="EK323" s="580">
        <f>INPUT!GX265</f>
        <v>554.5036556123689</v>
      </c>
      <c r="EL323" s="577">
        <f>INPUT!GY265</f>
        <v>6.4171262841121717</v>
      </c>
      <c r="EM323" s="577">
        <f>INPUT!GZ265</f>
        <v>7.4913356161385281</v>
      </c>
    </row>
    <row r="324" spans="1:143" ht="12.75" hidden="1" customHeight="1" outlineLevel="1" x14ac:dyDescent="0.2">
      <c r="A324" s="609" t="str">
        <f>INPUT!B266</f>
        <v xml:space="preserve">  Deposits</v>
      </c>
      <c r="B324" s="580">
        <f>INPUT!AY266</f>
        <v>7.3</v>
      </c>
      <c r="C324" s="577" t="str">
        <f>INPUT!AZ266</f>
        <v>NA</v>
      </c>
      <c r="D324" s="580">
        <f>INPUT!BA266</f>
        <v>5.3</v>
      </c>
      <c r="E324" s="577" t="str">
        <f>INPUT!BB266</f>
        <v>NA</v>
      </c>
      <c r="F324" s="580">
        <f>INPUT!BC266</f>
        <v>6.8</v>
      </c>
      <c r="G324" s="577">
        <f>INPUT!BD266</f>
        <v>-4.2253521126760489</v>
      </c>
      <c r="H324" s="580">
        <f>INPUT!BE266</f>
        <v>8.3000000000000007</v>
      </c>
      <c r="I324" s="577">
        <f>INPUT!BF266</f>
        <v>13.69863013698631</v>
      </c>
      <c r="J324" s="580">
        <f>INPUT!BG266</f>
        <v>5.9</v>
      </c>
      <c r="K324" s="577">
        <f>INPUT!BH266</f>
        <v>-19.178082191780817</v>
      </c>
      <c r="L324" s="580">
        <f>INPUT!BI266</f>
        <v>9.9</v>
      </c>
      <c r="M324" s="577">
        <f>INPUT!BJ266</f>
        <v>86.792452830188694</v>
      </c>
      <c r="N324" s="580">
        <f>INPUT!BK266</f>
        <v>5.4</v>
      </c>
      <c r="O324" s="577">
        <f>INPUT!BL266</f>
        <v>-20.588235294117638</v>
      </c>
      <c r="P324" s="580">
        <f>INPUT!BM266</f>
        <v>11.1</v>
      </c>
      <c r="Q324" s="577">
        <f>INPUT!BN266</f>
        <v>33.734939759036109</v>
      </c>
      <c r="R324" s="580">
        <f>INPUT!BO266</f>
        <v>6.5</v>
      </c>
      <c r="S324" s="577">
        <f>INPUT!BP266</f>
        <v>10.169491525423723</v>
      </c>
      <c r="T324" s="580">
        <f>INPUT!BQ266</f>
        <v>10.9</v>
      </c>
      <c r="U324" s="577">
        <f>INPUT!BR266</f>
        <v>10.101010101010104</v>
      </c>
      <c r="V324" s="580">
        <f>INPUT!BS266</f>
        <v>6.3</v>
      </c>
      <c r="W324" s="577">
        <f>INPUT!BT266</f>
        <v>16.666666666666657</v>
      </c>
      <c r="X324" s="580">
        <f>INPUT!BU266</f>
        <v>6.1</v>
      </c>
      <c r="Y324" s="577">
        <f>INPUT!BV266</f>
        <v>-45.04504504504505</v>
      </c>
      <c r="Z324" s="580">
        <f>INPUT!BW266</f>
        <v>4.9000000000000004</v>
      </c>
      <c r="AA324" s="577">
        <f>INPUT!BX266</f>
        <v>-24.615384615384599</v>
      </c>
      <c r="AB324" s="580">
        <f>INPUT!BY266</f>
        <v>7.7</v>
      </c>
      <c r="AC324" s="577">
        <f>INPUT!BZ266</f>
        <v>-29.357798165137609</v>
      </c>
      <c r="AD324" s="580">
        <f>INPUT!CA266</f>
        <v>10.4</v>
      </c>
      <c r="AE324" s="577">
        <f>INPUT!CB266</f>
        <v>65.07936507936509</v>
      </c>
      <c r="AF324" s="580">
        <f>INPUT!CC266</f>
        <v>10.8</v>
      </c>
      <c r="AG324" s="577">
        <f>INPUT!CD266</f>
        <v>77.049180327868868</v>
      </c>
      <c r="AH324" s="580">
        <f>INPUT!CE266</f>
        <v>7.7</v>
      </c>
      <c r="AI324" s="577">
        <f>INPUT!CF266</f>
        <v>57.142857142857139</v>
      </c>
      <c r="AJ324" s="580">
        <f>INPUT!CG266</f>
        <v>15.2</v>
      </c>
      <c r="AK324" s="577">
        <f>INPUT!CH266</f>
        <v>97.402597402597394</v>
      </c>
      <c r="AL324" s="580">
        <f>INPUT!CI266</f>
        <v>11</v>
      </c>
      <c r="AM324" s="577">
        <f>INPUT!CJ266</f>
        <v>5.7692307692307736</v>
      </c>
      <c r="AN324" s="580">
        <f>INPUT!CK266</f>
        <v>16.600000000000001</v>
      </c>
      <c r="AO324" s="577">
        <f>INPUT!CL266</f>
        <v>53.703703703703695</v>
      </c>
      <c r="AP324" s="580">
        <f>INPUT!CM266</f>
        <v>13</v>
      </c>
      <c r="AQ324" s="577">
        <f>INPUT!CN266</f>
        <v>68.83116883116881</v>
      </c>
      <c r="AR324" s="580">
        <f>INPUT!CO266</f>
        <v>11.1</v>
      </c>
      <c r="AS324" s="577">
        <f>INPUT!CP266</f>
        <v>-26.973684210526315</v>
      </c>
      <c r="AT324" s="580">
        <f>INPUT!CQ266</f>
        <v>11</v>
      </c>
      <c r="AU324" s="577">
        <f>INPUT!CR266</f>
        <v>0</v>
      </c>
      <c r="AV324" s="580">
        <f>INPUT!CS266</f>
        <v>14.3</v>
      </c>
      <c r="AW324" s="577">
        <f>INPUT!CT266</f>
        <v>-13.855421686746993</v>
      </c>
      <c r="AX324" s="580">
        <f>INPUT!CU266</f>
        <v>14.1</v>
      </c>
      <c r="AY324" s="577">
        <f>INPUT!CV266</f>
        <v>8.4615384615384528</v>
      </c>
      <c r="AZ324" s="580">
        <f>INPUT!CW266</f>
        <v>11.2</v>
      </c>
      <c r="BA324" s="577">
        <f>INPUT!CX266</f>
        <v>0.90090090090089348</v>
      </c>
      <c r="BB324" s="580">
        <f>INPUT!CY266</f>
        <v>12.7</v>
      </c>
      <c r="BC324" s="577">
        <f>INPUT!CZ266</f>
        <v>15.454545454545453</v>
      </c>
      <c r="BD324" s="580">
        <f>INPUT!DA266</f>
        <v>20.8</v>
      </c>
      <c r="BE324" s="577">
        <f>INPUT!DB266</f>
        <v>45.454545454545467</v>
      </c>
      <c r="BF324" s="580">
        <f>INPUT!DC266</f>
        <v>14.4</v>
      </c>
      <c r="BG324" s="577">
        <f>INPUT!DD266</f>
        <v>2.1276595744680975</v>
      </c>
      <c r="BH324" s="580">
        <f>INPUT!DE266</f>
        <v>14.8</v>
      </c>
      <c r="BI324" s="577">
        <f>INPUT!DF266</f>
        <v>32.142857142857167</v>
      </c>
      <c r="BJ324" s="580">
        <f>INPUT!DG266</f>
        <v>14.1</v>
      </c>
      <c r="BK324" s="577">
        <f>INPUT!DH266</f>
        <v>11.023622047244103</v>
      </c>
      <c r="BL324" s="580">
        <f>INPUT!DI266</f>
        <v>13.8</v>
      </c>
      <c r="BM324" s="577">
        <f>INPUT!DJ266</f>
        <v>-33.65384615384616</v>
      </c>
      <c r="BN324" s="580">
        <f>INPUT!DK266</f>
        <v>10.9</v>
      </c>
      <c r="BO324" s="577">
        <f>INPUT!DL266</f>
        <v>-24.305555555555557</v>
      </c>
      <c r="BP324" s="580">
        <f>INPUT!DM266</f>
        <v>10.5</v>
      </c>
      <c r="BQ324" s="577">
        <f>INPUT!DN266</f>
        <v>-29.054054054054063</v>
      </c>
      <c r="BR324" s="580">
        <f>INPUT!DO266</f>
        <v>10</v>
      </c>
      <c r="BS324" s="577">
        <f>INPUT!DP266</f>
        <v>-29.078014184397162</v>
      </c>
      <c r="BT324" s="580">
        <f>INPUT!DQ266</f>
        <v>10.9</v>
      </c>
      <c r="BU324" s="577">
        <f>INPUT!DR266</f>
        <v>-21.014492753623188</v>
      </c>
      <c r="BV324" s="580">
        <f>INPUT!DS266</f>
        <v>16.8</v>
      </c>
      <c r="BW324" s="577">
        <f>INPUT!DT266</f>
        <v>54.128440366972484</v>
      </c>
      <c r="BX324" s="580">
        <f>INPUT!DU266</f>
        <v>18.3</v>
      </c>
      <c r="BY324" s="577">
        <f>INPUT!DV266</f>
        <v>74.285714285714278</v>
      </c>
      <c r="BZ324" s="580">
        <f>INPUT!DW266</f>
        <v>15.5</v>
      </c>
      <c r="CA324" s="577">
        <f>INPUT!DX266</f>
        <v>55</v>
      </c>
      <c r="CB324" s="580">
        <f>INPUT!DY266</f>
        <v>16.3</v>
      </c>
      <c r="CC324" s="577">
        <f>INPUT!DZ266</f>
        <v>49.541284403669721</v>
      </c>
      <c r="CD324" s="580">
        <f>INPUT!EA266</f>
        <v>12.5</v>
      </c>
      <c r="CE324" s="577">
        <f>INPUT!EB266</f>
        <v>-25.595238095238088</v>
      </c>
      <c r="CF324" s="580">
        <f>INPUT!EC266</f>
        <v>14.8</v>
      </c>
      <c r="CG324" s="577">
        <f>INPUT!ED266</f>
        <v>-19.125683060109282</v>
      </c>
      <c r="CH324" s="580">
        <f>INPUT!EE266</f>
        <v>16.399999999999999</v>
      </c>
      <c r="CI324" s="577">
        <f>INPUT!EF266</f>
        <v>5.8064516129032029</v>
      </c>
      <c r="CJ324" s="580">
        <f>INPUT!EG266</f>
        <v>15.7</v>
      </c>
      <c r="CK324" s="577">
        <f>INPUT!EH266</f>
        <v>-3.6809815950920353</v>
      </c>
      <c r="CL324" s="580">
        <f>INPUT!EI266</f>
        <v>15.9</v>
      </c>
      <c r="CM324" s="577">
        <f>INPUT!EJ266</f>
        <v>27.200000000000003</v>
      </c>
      <c r="CN324" s="580">
        <f>INPUT!EK266</f>
        <v>17.2</v>
      </c>
      <c r="CO324" s="577">
        <f>INPUT!EL266</f>
        <v>16.21621621621621</v>
      </c>
      <c r="CP324" s="580">
        <f>INPUT!EM266</f>
        <v>15.9</v>
      </c>
      <c r="CQ324" s="577">
        <f>INPUT!EN266</f>
        <v>-3.0487804878048763</v>
      </c>
      <c r="CR324" s="580">
        <f>INPUT!EO266</f>
        <v>16.2</v>
      </c>
      <c r="CS324" s="577">
        <f>INPUT!EP266</f>
        <v>3.1847133757961785</v>
      </c>
      <c r="CT324" s="580">
        <f>INPUT!EQ266</f>
        <v>16.524000000000001</v>
      </c>
      <c r="CU324" s="577">
        <f>INPUT!ER266</f>
        <v>3.9245283018867809</v>
      </c>
      <c r="CV324" s="580">
        <f>INPUT!ES266</f>
        <v>16.854480000000002</v>
      </c>
      <c r="CW324" s="577">
        <f>INPUT!ET266</f>
        <v>-2.0088372093022997</v>
      </c>
      <c r="CX324" s="580">
        <f>INPUT!EU266</f>
        <v>17.191569600000001</v>
      </c>
      <c r="CY324" s="577">
        <f>INPUT!EV266</f>
        <v>8.1230792452830087</v>
      </c>
      <c r="CZ324" s="580">
        <f>INPUT!EW266</f>
        <v>17.535400992000003</v>
      </c>
      <c r="DA324" s="577">
        <f>INPUT!EX266</f>
        <v>8.2432160000000181</v>
      </c>
      <c r="DB324" s="556"/>
      <c r="DC324" s="580">
        <f>INPUT!FP266</f>
        <v>14.399999999999999</v>
      </c>
      <c r="DD324" s="577"/>
      <c r="DE324" s="580">
        <f>INPUT!FR266</f>
        <v>27.7</v>
      </c>
      <c r="DF324" s="577">
        <f>INPUT!FS266</f>
        <v>92.361111111111114</v>
      </c>
      <c r="DG324" s="580">
        <f>INPUT!FT266</f>
        <v>32.300000000000004</v>
      </c>
      <c r="DH324" s="577">
        <f>INPUT!FU266</f>
        <v>16.606498194945857</v>
      </c>
      <c r="DI324" s="580">
        <f>INPUT!FV266</f>
        <v>29.799999999999997</v>
      </c>
      <c r="DJ324" s="577">
        <f>INPUT!FW266</f>
        <v>-7.7399380804953779</v>
      </c>
      <c r="DK324" s="580">
        <f>INPUT!FX266</f>
        <v>33.799999999999997</v>
      </c>
      <c r="DL324" s="577">
        <f>INPUT!FY266</f>
        <v>13.422818791946312</v>
      </c>
      <c r="DM324" s="580">
        <f>INPUT!FZ266</f>
        <v>50.5</v>
      </c>
      <c r="DN324" s="577">
        <f>INPUT!GA266</f>
        <v>49.408284023668671</v>
      </c>
      <c r="DO324" s="580">
        <f>INPUT!GB266</f>
        <v>49.400000000000006</v>
      </c>
      <c r="DP324" s="577">
        <f>INPUT!GC266</f>
        <v>-2.1782178217821695</v>
      </c>
      <c r="DQ324" s="580">
        <f>INPUT!GD266</f>
        <v>58.8</v>
      </c>
      <c r="DR324" s="577">
        <f>INPUT!GE266</f>
        <v>19.028340080971645</v>
      </c>
      <c r="DS324" s="580">
        <f>INPUT!GF266</f>
        <v>57.100000000000009</v>
      </c>
      <c r="DT324" s="577">
        <f>INPUT!GG266</f>
        <v>-2.8911564625850161</v>
      </c>
      <c r="DU324" s="580">
        <f>INPUT!GH266</f>
        <v>42.3</v>
      </c>
      <c r="DV324" s="577">
        <f>INPUT!GI266</f>
        <v>-25.919439579684777</v>
      </c>
      <c r="DW324" s="580">
        <f>INPUT!GJ266</f>
        <v>66.900000000000006</v>
      </c>
      <c r="DX324" s="577">
        <f>INPUT!GK266</f>
        <v>58.156028368794352</v>
      </c>
      <c r="DY324" s="580">
        <f>INPUT!GL266</f>
        <v>59.400000000000006</v>
      </c>
      <c r="DZ324" s="577">
        <f>INPUT!GM266</f>
        <v>-11.210762331838566</v>
      </c>
      <c r="EA324" s="580">
        <f>INPUT!GN266</f>
        <v>65.2</v>
      </c>
      <c r="EB324" s="577">
        <f>INPUT!GO266</f>
        <v>9.7643097643097576</v>
      </c>
      <c r="EC324" s="580">
        <f>INPUT!GP266</f>
        <v>68.105450592000011</v>
      </c>
      <c r="ED324" s="577">
        <f>INPUT!GQ266</f>
        <v>4.4562125644171999</v>
      </c>
      <c r="EE324" s="580">
        <f>INPUT!GR266</f>
        <v>72.191777627520011</v>
      </c>
      <c r="EF324" s="577">
        <f>INPUT!GS266</f>
        <v>6</v>
      </c>
      <c r="EG324" s="580">
        <f>INPUT!GT266</f>
        <v>76.523284285171215</v>
      </c>
      <c r="EH324" s="577">
        <f>INPUT!GU266</f>
        <v>6</v>
      </c>
      <c r="EI324" s="580">
        <f>INPUT!GV266</f>
        <v>81.114681342281486</v>
      </c>
      <c r="EJ324" s="577">
        <f>INPUT!GW266</f>
        <v>6</v>
      </c>
      <c r="EK324" s="580">
        <f>INPUT!GX266</f>
        <v>85.981562222818383</v>
      </c>
      <c r="EL324" s="577">
        <f>INPUT!GY266</f>
        <v>6</v>
      </c>
      <c r="EM324" s="577">
        <f>INPUT!GZ266</f>
        <v>5.6894279314195551</v>
      </c>
    </row>
    <row r="325" spans="1:143" ht="12.75" hidden="1" customHeight="1" outlineLevel="1" x14ac:dyDescent="0.2">
      <c r="A325" s="609" t="str">
        <f>INPUT!B267</f>
        <v xml:space="preserve">  Withdrawals</v>
      </c>
      <c r="B325" s="580">
        <f>INPUT!AY267</f>
        <v>-4</v>
      </c>
      <c r="C325" s="577" t="str">
        <f>INPUT!AZ267</f>
        <v>NA</v>
      </c>
      <c r="D325" s="580">
        <f>INPUT!BA267</f>
        <v>-4.4000000000000004</v>
      </c>
      <c r="E325" s="577" t="str">
        <f>INPUT!BB267</f>
        <v>NA</v>
      </c>
      <c r="F325" s="580">
        <f>INPUT!BC267</f>
        <v>-3.6</v>
      </c>
      <c r="G325" s="577">
        <f>INPUT!BD267</f>
        <v>-29.411764705882348</v>
      </c>
      <c r="H325" s="580">
        <f>INPUT!BE267</f>
        <v>-4.9000000000000004</v>
      </c>
      <c r="I325" s="577">
        <f>INPUT!BF267</f>
        <v>58.064516129032285</v>
      </c>
      <c r="J325" s="580">
        <f>INPUT!BG267</f>
        <v>-4.7</v>
      </c>
      <c r="K325" s="577">
        <f>INPUT!BH267</f>
        <v>17.5</v>
      </c>
      <c r="L325" s="580">
        <f>INPUT!BI267</f>
        <v>-8.1999999999999993</v>
      </c>
      <c r="M325" s="577">
        <f>INPUT!BJ267</f>
        <v>86.363636363636317</v>
      </c>
      <c r="N325" s="580">
        <f>INPUT!BK267</f>
        <v>-6</v>
      </c>
      <c r="O325" s="577">
        <f>INPUT!BL267</f>
        <v>66.666666666666657</v>
      </c>
      <c r="P325" s="580">
        <f>INPUT!BM267</f>
        <v>-6.4</v>
      </c>
      <c r="Q325" s="577">
        <f>INPUT!BN267</f>
        <v>30.612244897959187</v>
      </c>
      <c r="R325" s="580">
        <f>INPUT!BO267</f>
        <v>-4.3</v>
      </c>
      <c r="S325" s="577">
        <f>INPUT!BP267</f>
        <v>-8.5106382978723474</v>
      </c>
      <c r="T325" s="580">
        <f>INPUT!BQ267</f>
        <v>-4.5999999999999996</v>
      </c>
      <c r="U325" s="577">
        <f>INPUT!BR267</f>
        <v>-43.90243902439024</v>
      </c>
      <c r="V325" s="580">
        <f>INPUT!BS267</f>
        <v>-4.8</v>
      </c>
      <c r="W325" s="577">
        <f>INPUT!BT267</f>
        <v>-20</v>
      </c>
      <c r="X325" s="580">
        <f>INPUT!BU267</f>
        <v>-5.9</v>
      </c>
      <c r="Y325" s="577">
        <f>INPUT!BV267</f>
        <v>-7.8125</v>
      </c>
      <c r="Z325" s="580">
        <f>INPUT!BW267</f>
        <v>-4.5999999999999996</v>
      </c>
      <c r="AA325" s="577">
        <f>INPUT!BX267</f>
        <v>6.9767441860465027</v>
      </c>
      <c r="AB325" s="580">
        <f>INPUT!BY267</f>
        <v>-6.5</v>
      </c>
      <c r="AC325" s="577">
        <f>INPUT!BZ267</f>
        <v>41.304347826086968</v>
      </c>
      <c r="AD325" s="580">
        <f>INPUT!CA267</f>
        <v>-5.6</v>
      </c>
      <c r="AE325" s="577">
        <f>INPUT!CB267</f>
        <v>16.666666666666671</v>
      </c>
      <c r="AF325" s="580">
        <f>INPUT!CC267</f>
        <v>-4.5</v>
      </c>
      <c r="AG325" s="577">
        <f>INPUT!CD267</f>
        <v>-23.728813559322035</v>
      </c>
      <c r="AH325" s="580">
        <f>INPUT!CE267</f>
        <v>-5.7</v>
      </c>
      <c r="AI325" s="577">
        <f>INPUT!CF267</f>
        <v>23.913043478260889</v>
      </c>
      <c r="AJ325" s="580">
        <f>INPUT!CG267</f>
        <v>-4.3</v>
      </c>
      <c r="AK325" s="577">
        <f>INPUT!CH267</f>
        <v>-33.846153846153854</v>
      </c>
      <c r="AL325" s="580">
        <f>INPUT!CI267</f>
        <v>-5.2</v>
      </c>
      <c r="AM325" s="577">
        <f>INPUT!CJ267</f>
        <v>-7.1428571428571246</v>
      </c>
      <c r="AN325" s="580">
        <f>INPUT!CK267</f>
        <v>-6.7</v>
      </c>
      <c r="AO325" s="577">
        <f>INPUT!CL267</f>
        <v>48.888888888888886</v>
      </c>
      <c r="AP325" s="580">
        <f>INPUT!CM267</f>
        <v>-6.9</v>
      </c>
      <c r="AQ325" s="577">
        <f>INPUT!CN267</f>
        <v>21.05263157894737</v>
      </c>
      <c r="AR325" s="580">
        <f>INPUT!CO267</f>
        <v>-6.2</v>
      </c>
      <c r="AS325" s="577">
        <f>INPUT!CP267</f>
        <v>44.186046511627922</v>
      </c>
      <c r="AT325" s="580">
        <f>INPUT!CQ267</f>
        <v>-8.6999999999999993</v>
      </c>
      <c r="AU325" s="577">
        <f>INPUT!CR267</f>
        <v>67.307692307692292</v>
      </c>
      <c r="AV325" s="580">
        <f>INPUT!CS267</f>
        <v>-10.7</v>
      </c>
      <c r="AW325" s="577">
        <f>INPUT!CT267</f>
        <v>59.701492537313413</v>
      </c>
      <c r="AX325" s="580">
        <f>INPUT!CU267</f>
        <v>-8.6999999999999993</v>
      </c>
      <c r="AY325" s="577">
        <f>INPUT!CV267</f>
        <v>26.086956521739111</v>
      </c>
      <c r="AZ325" s="580">
        <f>INPUT!CW267</f>
        <v>-11.2</v>
      </c>
      <c r="BA325" s="577">
        <f>INPUT!CX267</f>
        <v>80.645161290322562</v>
      </c>
      <c r="BB325" s="580">
        <f>INPUT!CY267</f>
        <v>-9.3000000000000007</v>
      </c>
      <c r="BC325" s="577">
        <f>INPUT!CZ267</f>
        <v>6.8965517241379501</v>
      </c>
      <c r="BD325" s="580">
        <f>INPUT!DA267</f>
        <v>-12.4</v>
      </c>
      <c r="BE325" s="577">
        <f>INPUT!DB267</f>
        <v>15.887850467289738</v>
      </c>
      <c r="BF325" s="580">
        <f>INPUT!DC267</f>
        <v>-7.5</v>
      </c>
      <c r="BG325" s="577">
        <f>INPUT!DD267</f>
        <v>-13.793103448275858</v>
      </c>
      <c r="BH325" s="580">
        <f>INPUT!DE267</f>
        <v>-11.7</v>
      </c>
      <c r="BI325" s="577">
        <f>INPUT!DF267</f>
        <v>4.4642857142857224</v>
      </c>
      <c r="BJ325" s="580">
        <f>INPUT!DG267</f>
        <v>-10</v>
      </c>
      <c r="BK325" s="577">
        <f>INPUT!DH267</f>
        <v>7.5268817204300973</v>
      </c>
      <c r="BL325" s="580">
        <f>INPUT!DI267</f>
        <v>-8.5</v>
      </c>
      <c r="BM325" s="577">
        <f>INPUT!DJ267</f>
        <v>-31.451612903225808</v>
      </c>
      <c r="BN325" s="580">
        <f>INPUT!DK267</f>
        <v>-9</v>
      </c>
      <c r="BO325" s="577">
        <f>INPUT!DL267</f>
        <v>20</v>
      </c>
      <c r="BP325" s="580">
        <f>INPUT!DM267</f>
        <v>-7.8</v>
      </c>
      <c r="BQ325" s="577">
        <f>INPUT!DN267</f>
        <v>-33.333333333333329</v>
      </c>
      <c r="BR325" s="580">
        <f>INPUT!DO267</f>
        <v>-11.4</v>
      </c>
      <c r="BS325" s="577">
        <f>INPUT!DP267</f>
        <v>14.000000000000014</v>
      </c>
      <c r="BT325" s="580">
        <f>INPUT!DQ267</f>
        <v>-13.4</v>
      </c>
      <c r="BU325" s="577">
        <f>INPUT!DR267</f>
        <v>57.64705882352942</v>
      </c>
      <c r="BV325" s="580">
        <f>INPUT!DS267</f>
        <v>-13.1</v>
      </c>
      <c r="BW325" s="577">
        <f>INPUT!DT267</f>
        <v>45.555555555555543</v>
      </c>
      <c r="BX325" s="580">
        <f>INPUT!DU267</f>
        <v>-11.5</v>
      </c>
      <c r="BY325" s="577">
        <f>INPUT!DV267</f>
        <v>47.435897435897459</v>
      </c>
      <c r="BZ325" s="580">
        <f>INPUT!DW267</f>
        <v>-10.8</v>
      </c>
      <c r="CA325" s="577">
        <f>INPUT!DX267</f>
        <v>-5.2631578947368354</v>
      </c>
      <c r="CB325" s="580">
        <f>INPUT!DY267</f>
        <v>-10.3</v>
      </c>
      <c r="CC325" s="577">
        <f>INPUT!DZ267</f>
        <v>-23.134328358208961</v>
      </c>
      <c r="CD325" s="580">
        <f>INPUT!EA267</f>
        <v>-15.1</v>
      </c>
      <c r="CE325" s="577">
        <f>INPUT!EB267</f>
        <v>15.267175572519093</v>
      </c>
      <c r="CF325" s="580">
        <f>INPUT!EC267</f>
        <v>-12.8</v>
      </c>
      <c r="CG325" s="577">
        <f>INPUT!ED267</f>
        <v>11.304347826086953</v>
      </c>
      <c r="CH325" s="580">
        <f>INPUT!EE267</f>
        <v>-13</v>
      </c>
      <c r="CI325" s="577">
        <f>INPUT!EF267</f>
        <v>20.370370370370367</v>
      </c>
      <c r="CJ325" s="580">
        <f>INPUT!EG267</f>
        <v>-13.2</v>
      </c>
      <c r="CK325" s="577">
        <f>INPUT!EH267</f>
        <v>28.155339805825236</v>
      </c>
      <c r="CL325" s="580">
        <f>INPUT!EI267</f>
        <v>-15.4</v>
      </c>
      <c r="CM325" s="577">
        <f>INPUT!EJ267</f>
        <v>1.9867549668874318</v>
      </c>
      <c r="CN325" s="580">
        <f>INPUT!EK267</f>
        <v>-10.7</v>
      </c>
      <c r="CO325" s="577">
        <f>INPUT!EL267</f>
        <v>-16.406250000000014</v>
      </c>
      <c r="CP325" s="580">
        <f>INPUT!EM267</f>
        <v>-11.2</v>
      </c>
      <c r="CQ325" s="577">
        <f>INPUT!EN267</f>
        <v>-13.846153846153854</v>
      </c>
      <c r="CR325" s="580">
        <f>INPUT!EO267</f>
        <v>-16.3</v>
      </c>
      <c r="CS325" s="577">
        <f>INPUT!EP267</f>
        <v>23.484848484848484</v>
      </c>
      <c r="CT325" s="580">
        <f>INPUT!EQ267</f>
        <v>-14.231750000000003</v>
      </c>
      <c r="CU325" s="577">
        <f>INPUT!ER267</f>
        <v>-7.5860389610389376</v>
      </c>
      <c r="CV325" s="580">
        <f>INPUT!ES267</f>
        <v>-14.220857625000006</v>
      </c>
      <c r="CW325" s="577">
        <f>INPUT!ET267</f>
        <v>32.90521144859818</v>
      </c>
      <c r="CX325" s="580">
        <f>INPUT!EU267</f>
        <v>-14.448658928437505</v>
      </c>
      <c r="CY325" s="577">
        <f>INPUT!EV267</f>
        <v>29.005883289620584</v>
      </c>
      <c r="CZ325" s="580">
        <f>INPUT!EW267</f>
        <v>-14.682290114547662</v>
      </c>
      <c r="DA325" s="577">
        <f>INPUT!EX267</f>
        <v>-9.9246005242474666</v>
      </c>
      <c r="DB325" s="556"/>
      <c r="DC325" s="580">
        <f>INPUT!FP267</f>
        <v>-8.1999999999999993</v>
      </c>
      <c r="DD325" s="577"/>
      <c r="DE325" s="580">
        <f>INPUT!FR267</f>
        <v>-16.899999999999999</v>
      </c>
      <c r="DF325" s="577" t="str">
        <f>INPUT!FS267</f>
        <v>NM</v>
      </c>
      <c r="DG325" s="580">
        <f>INPUT!FT267</f>
        <v>-25.299999999999997</v>
      </c>
      <c r="DH325" s="577">
        <f>INPUT!FU267</f>
        <v>49.704142011834307</v>
      </c>
      <c r="DI325" s="580">
        <f>INPUT!FV267</f>
        <v>-19.600000000000001</v>
      </c>
      <c r="DJ325" s="577">
        <f>INPUT!FW267</f>
        <v>-22.529644268774689</v>
      </c>
      <c r="DK325" s="580">
        <f>INPUT!FX267</f>
        <v>-21.2</v>
      </c>
      <c r="DL325" s="577">
        <f>INPUT!FY267</f>
        <v>8.1632653061224403</v>
      </c>
      <c r="DM325" s="580">
        <f>INPUT!FZ267</f>
        <v>-21.9</v>
      </c>
      <c r="DN325" s="577">
        <f>INPUT!GA267</f>
        <v>3.3018867924528195</v>
      </c>
      <c r="DO325" s="580">
        <f>INPUT!GB267</f>
        <v>-32.5</v>
      </c>
      <c r="DP325" s="577">
        <f>INPUT!GC267</f>
        <v>48.401826484018272</v>
      </c>
      <c r="DQ325" s="580">
        <f>INPUT!GD267</f>
        <v>-41.6</v>
      </c>
      <c r="DR325" s="577">
        <f>INPUT!GE267</f>
        <v>28</v>
      </c>
      <c r="DS325" s="580">
        <f>INPUT!GF267</f>
        <v>-37.700000000000003</v>
      </c>
      <c r="DT325" s="577">
        <f>INPUT!GG267</f>
        <v>-9.375</v>
      </c>
      <c r="DU325" s="580">
        <f>INPUT!GH267</f>
        <v>-41.6</v>
      </c>
      <c r="DV325" s="577">
        <f>INPUT!GI267</f>
        <v>10.34482758620689</v>
      </c>
      <c r="DW325" s="580">
        <f>INPUT!GJ267</f>
        <v>-45.7</v>
      </c>
      <c r="DX325" s="577">
        <f>INPUT!GK267</f>
        <v>9.8557692307692264</v>
      </c>
      <c r="DY325" s="580">
        <f>INPUT!GL267</f>
        <v>-54.099999999999994</v>
      </c>
      <c r="DZ325" s="577">
        <f>INPUT!GM267</f>
        <v>18.380743982494522</v>
      </c>
      <c r="EA325" s="580">
        <f>INPUT!GN267</f>
        <v>-53.599999999999994</v>
      </c>
      <c r="EB325" s="577">
        <f>INPUT!GO267</f>
        <v>-0.92421441774492052</v>
      </c>
      <c r="EC325" s="580">
        <f>INPUT!GP267</f>
        <v>-57.583556667985178</v>
      </c>
      <c r="ED325" s="577">
        <f>INPUT!GQ267</f>
        <v>7.4320087089275688</v>
      </c>
      <c r="EE325" s="580">
        <f>INPUT!GR267</f>
        <v>-60.375749188371522</v>
      </c>
      <c r="EF325" s="577">
        <f>INPUT!GS267</f>
        <v>4.8489407079968174</v>
      </c>
      <c r="EG325" s="580">
        <f>INPUT!GT267</f>
        <v>-64.344578980560925</v>
      </c>
      <c r="EH325" s="577">
        <f>INPUT!GU267</f>
        <v>6.5735495551478778</v>
      </c>
      <c r="EI325" s="580">
        <f>INPUT!GV267</f>
        <v>-68.519853729303165</v>
      </c>
      <c r="EJ325" s="577">
        <f>INPUT!GW267</f>
        <v>6.4889300930908576</v>
      </c>
      <c r="EK325" s="580">
        <f>INPUT!GX267</f>
        <v>-72.916859272801503</v>
      </c>
      <c r="EL325" s="577">
        <f>INPUT!GY267</f>
        <v>6.4171262841122001</v>
      </c>
      <c r="EM325" s="577">
        <f>INPUT!GZ267</f>
        <v>6.3488095599466554</v>
      </c>
    </row>
    <row r="326" spans="1:143" ht="12.75" hidden="1" customHeight="1" outlineLevel="1" x14ac:dyDescent="0.2">
      <c r="A326" s="609" t="str">
        <f>INPUT!B268</f>
        <v xml:space="preserve">  Change in Market Value</v>
      </c>
      <c r="B326" s="580">
        <f>INPUT!AY268</f>
        <v>1.9</v>
      </c>
      <c r="C326" s="577" t="str">
        <f>INPUT!AZ268</f>
        <v>NA</v>
      </c>
      <c r="D326" s="580">
        <f>INPUT!BA268</f>
        <v>-0.4</v>
      </c>
      <c r="E326" s="577" t="str">
        <f>INPUT!BB268</f>
        <v>NA</v>
      </c>
      <c r="F326" s="580">
        <f>INPUT!BC268</f>
        <v>4.3</v>
      </c>
      <c r="G326" s="577">
        <f>INPUT!BD268</f>
        <v>95.454545454545439</v>
      </c>
      <c r="H326" s="580">
        <f>INPUT!BE268</f>
        <v>4.5</v>
      </c>
      <c r="I326" s="577" t="str">
        <f>INPUT!BF268</f>
        <v>NM</v>
      </c>
      <c r="J326" s="580">
        <f>INPUT!BG268</f>
        <v>2.5</v>
      </c>
      <c r="K326" s="577">
        <f>INPUT!BH268</f>
        <v>31.578947368421069</v>
      </c>
      <c r="L326" s="580">
        <f>INPUT!BI268</f>
        <v>3.5</v>
      </c>
      <c r="M326" s="577" t="str">
        <f>INPUT!BJ268</f>
        <v>NM</v>
      </c>
      <c r="N326" s="580">
        <f>INPUT!BK268</f>
        <v>3.7</v>
      </c>
      <c r="O326" s="577">
        <f>INPUT!BL268</f>
        <v>-13.95348837209302</v>
      </c>
      <c r="P326" s="580">
        <f>INPUT!BM268</f>
        <v>1.2</v>
      </c>
      <c r="Q326" s="577" t="str">
        <f>INPUT!BN268</f>
        <v>NM</v>
      </c>
      <c r="R326" s="580">
        <f>INPUT!BO268</f>
        <v>-2.8</v>
      </c>
      <c r="S326" s="577" t="str">
        <f>INPUT!BP268</f>
        <v>NM</v>
      </c>
      <c r="T326" s="580">
        <f>INPUT!BQ268</f>
        <v>-0.5</v>
      </c>
      <c r="U326" s="577" t="str">
        <f>INPUT!BR268</f>
        <v>NM</v>
      </c>
      <c r="V326" s="580">
        <f>INPUT!BS268</f>
        <v>-8.4</v>
      </c>
      <c r="W326" s="577" t="str">
        <f>INPUT!BT268</f>
        <v>NM</v>
      </c>
      <c r="X326" s="580">
        <f>INPUT!BU268</f>
        <v>-10.7</v>
      </c>
      <c r="Y326" s="577" t="str">
        <f>INPUT!BV268</f>
        <v>NM</v>
      </c>
      <c r="Z326" s="580">
        <f>INPUT!BW268</f>
        <v>-7.3</v>
      </c>
      <c r="AA326" s="577" t="str">
        <f>INPUT!BX268</f>
        <v>NM</v>
      </c>
      <c r="AB326" s="580">
        <f>INPUT!BY268</f>
        <v>7.2</v>
      </c>
      <c r="AC326" s="577" t="str">
        <f>INPUT!BZ268</f>
        <v>NM</v>
      </c>
      <c r="AD326" s="580">
        <f>INPUT!CA268</f>
        <v>9.9</v>
      </c>
      <c r="AE326" s="577" t="str">
        <f>INPUT!CB268</f>
        <v>NM</v>
      </c>
      <c r="AF326" s="580">
        <f>INPUT!CC268</f>
        <v>2.1</v>
      </c>
      <c r="AG326" s="577" t="str">
        <f>INPUT!CD268</f>
        <v>NM</v>
      </c>
      <c r="AH326" s="580">
        <f>INPUT!CE268</f>
        <v>3.6</v>
      </c>
      <c r="AI326" s="577" t="str">
        <f>INPUT!CF268</f>
        <v>NM</v>
      </c>
      <c r="AJ326" s="580">
        <f>INPUT!CG268</f>
        <v>-0.6</v>
      </c>
      <c r="AK326" s="577" t="str">
        <f>INPUT!CH268</f>
        <v>NM</v>
      </c>
      <c r="AL326" s="580">
        <f>INPUT!CI268</f>
        <v>11</v>
      </c>
      <c r="AM326" s="577">
        <f>INPUT!CJ268</f>
        <v>11.111111111111114</v>
      </c>
      <c r="AN326" s="580">
        <f>INPUT!CK268</f>
        <v>3</v>
      </c>
      <c r="AO326" s="577">
        <f>INPUT!CL268</f>
        <v>42.857142857142861</v>
      </c>
      <c r="AP326" s="580">
        <f>INPUT!CM268</f>
        <v>5.4</v>
      </c>
      <c r="AQ326" s="577">
        <f>INPUT!CN268</f>
        <v>50</v>
      </c>
      <c r="AR326" s="580">
        <f>INPUT!CO268</f>
        <v>4.7</v>
      </c>
      <c r="AS326" s="577" t="str">
        <f>INPUT!CP268</f>
        <v>NM</v>
      </c>
      <c r="AT326" s="580">
        <f>INPUT!CQ268</f>
        <v>0.4</v>
      </c>
      <c r="AU326" s="577" t="str">
        <f>INPUT!CR268</f>
        <v>NM</v>
      </c>
      <c r="AV326" s="580">
        <f>INPUT!CS268</f>
        <v>6.3</v>
      </c>
      <c r="AW326" s="577" t="str">
        <f>INPUT!CT268</f>
        <v>NM</v>
      </c>
      <c r="AX326" s="580">
        <f>INPUT!CU268</f>
        <v>7.7</v>
      </c>
      <c r="AY326" s="577">
        <f>INPUT!CV268</f>
        <v>42.592592592592581</v>
      </c>
      <c r="AZ326" s="580">
        <f>INPUT!CW268</f>
        <v>3.7</v>
      </c>
      <c r="BA326" s="577">
        <f>INPUT!CX268</f>
        <v>-21.276595744680847</v>
      </c>
      <c r="BB326" s="580">
        <f>INPUT!CY268</f>
        <v>8.9</v>
      </c>
      <c r="BC326" s="577" t="str">
        <f>INPUT!CZ268</f>
        <v>NM</v>
      </c>
      <c r="BD326" s="580">
        <f>INPUT!DA268</f>
        <v>2.8</v>
      </c>
      <c r="BE326" s="577" t="str">
        <f>INPUT!DB268</f>
        <v>NM</v>
      </c>
      <c r="BF326" s="580">
        <f>INPUT!DC268</f>
        <v>1.9</v>
      </c>
      <c r="BG326" s="577" t="str">
        <f>INPUT!DD268</f>
        <v>NM</v>
      </c>
      <c r="BH326" s="580">
        <f>INPUT!DE268</f>
        <v>-6.1</v>
      </c>
      <c r="BI326" s="577" t="str">
        <f>INPUT!DF268</f>
        <v>NM</v>
      </c>
      <c r="BJ326" s="580">
        <f>INPUT!DG268</f>
        <v>6</v>
      </c>
      <c r="BK326" s="577">
        <f>INPUT!DH268</f>
        <v>-32.584269662921344</v>
      </c>
      <c r="BL326" s="580">
        <f>INPUT!DI268</f>
        <v>6</v>
      </c>
      <c r="BM326" s="577" t="str">
        <f>INPUT!DJ268</f>
        <v>NM</v>
      </c>
      <c r="BN326" s="580">
        <f>INPUT!DK268</f>
        <v>8</v>
      </c>
      <c r="BO326" s="577" t="str">
        <f>INPUT!DL268</f>
        <v>NM</v>
      </c>
      <c r="BP326" s="580">
        <f>INPUT!DM268</f>
        <v>10.3</v>
      </c>
      <c r="BQ326" s="577" t="str">
        <f>INPUT!DN268</f>
        <v>NM</v>
      </c>
      <c r="BR326" s="580">
        <f>INPUT!DO268</f>
        <v>-1</v>
      </c>
      <c r="BS326" s="577" t="str">
        <f>INPUT!DP268</f>
        <v>NM</v>
      </c>
      <c r="BT326" s="580">
        <f>INPUT!DQ268</f>
        <v>5.8</v>
      </c>
      <c r="BU326" s="577">
        <f>INPUT!DR268</f>
        <v>-3.3333333333333286</v>
      </c>
      <c r="BV326" s="580">
        <f>INPUT!DS268</f>
        <v>6.6</v>
      </c>
      <c r="BW326" s="577">
        <f>INPUT!DT268</f>
        <v>-17.5</v>
      </c>
      <c r="BX326" s="580">
        <f>INPUT!DU268</f>
        <v>-5</v>
      </c>
      <c r="BY326" s="577" t="str">
        <f>INPUT!DV268</f>
        <v>NM</v>
      </c>
      <c r="BZ326" s="580">
        <f>INPUT!DW268</f>
        <v>-1.7</v>
      </c>
      <c r="CA326" s="577">
        <f>INPUT!DX268</f>
        <v>70</v>
      </c>
      <c r="CB326" s="580">
        <f>INPUT!DY268</f>
        <v>2.2000000000000002</v>
      </c>
      <c r="CC326" s="577" t="str">
        <f>INPUT!DZ268</f>
        <v>NM</v>
      </c>
      <c r="CD326" s="580">
        <f>INPUT!EA268</f>
        <v>12.7</v>
      </c>
      <c r="CE326" s="577">
        <f>INPUT!EB268</f>
        <v>92.424242424242436</v>
      </c>
      <c r="CF326" s="580">
        <f>INPUT!EC268</f>
        <v>11.3</v>
      </c>
      <c r="CG326" s="577" t="str">
        <f>INPUT!ED268</f>
        <v>NM</v>
      </c>
      <c r="CH326" s="580">
        <f>INPUT!EE268</f>
        <v>8.4</v>
      </c>
      <c r="CI326" s="577" t="str">
        <f>INPUT!EF268</f>
        <v>NM</v>
      </c>
      <c r="CJ326" s="580">
        <f>INPUT!EG268</f>
        <v>-10.6</v>
      </c>
      <c r="CK326" s="577" t="str">
        <f>INPUT!EH268</f>
        <v>NM</v>
      </c>
      <c r="CL326" s="580">
        <f>INPUT!EI268</f>
        <v>9.6</v>
      </c>
      <c r="CM326" s="577">
        <f>INPUT!EJ268</f>
        <v>-24.409448818897644</v>
      </c>
      <c r="CN326" s="580">
        <f>INPUT!EK268</f>
        <v>10.8</v>
      </c>
      <c r="CO326" s="577">
        <f>INPUT!EL268</f>
        <v>-4.424778761061944</v>
      </c>
      <c r="CP326" s="580">
        <f>INPUT!EM268</f>
        <v>9.1</v>
      </c>
      <c r="CQ326" s="577">
        <f>INPUT!EN268</f>
        <v>8.3333333333333286</v>
      </c>
      <c r="CR326" s="580">
        <f>INPUT!EO268</f>
        <v>8.5</v>
      </c>
      <c r="CS326" s="577" t="str">
        <f>INPUT!EP268</f>
        <v>NM</v>
      </c>
      <c r="CT326" s="580">
        <f>INPUT!EQ268</f>
        <v>-2.6274000000000011</v>
      </c>
      <c r="CU326" s="577" t="str">
        <f>INPUT!ER268</f>
        <v>NM</v>
      </c>
      <c r="CV326" s="580">
        <f>INPUT!ES268</f>
        <v>4.3756485000000014</v>
      </c>
      <c r="CW326" s="577" t="str">
        <f>INPUT!ET268</f>
        <v>NM</v>
      </c>
      <c r="CX326" s="580">
        <f>INPUT!EU268</f>
        <v>4.4457412087500021</v>
      </c>
      <c r="CY326" s="577" t="str">
        <f>INPUT!EV268</f>
        <v>NM</v>
      </c>
      <c r="CZ326" s="580">
        <f>INPUT!EW268</f>
        <v>4.5176277275531262</v>
      </c>
      <c r="DA326" s="577">
        <f>INPUT!EX268</f>
        <v>-46.851438499374986</v>
      </c>
      <c r="DB326" s="556"/>
      <c r="DC326" s="580">
        <f>INPUT!FP268</f>
        <v>4.2</v>
      </c>
      <c r="DD326" s="577"/>
      <c r="DE326" s="580">
        <f>INPUT!FR268</f>
        <v>10.3</v>
      </c>
      <c r="DF326" s="577" t="str">
        <f>INPUT!FS268</f>
        <v>NM</v>
      </c>
      <c r="DG326" s="580">
        <f>INPUT!FT268</f>
        <v>10.899999999999999</v>
      </c>
      <c r="DH326" s="577">
        <f>INPUT!FU268</f>
        <v>5.8252427184465745</v>
      </c>
      <c r="DI326" s="580">
        <f>INPUT!FV268</f>
        <v>-22.4</v>
      </c>
      <c r="DJ326" s="577" t="str">
        <f>INPUT!FW268</f>
        <v>NM</v>
      </c>
      <c r="DK326" s="580">
        <f>INPUT!FX268</f>
        <v>11.9</v>
      </c>
      <c r="DL326" s="577" t="str">
        <f>INPUT!FY268</f>
        <v>NM</v>
      </c>
      <c r="DM326" s="580">
        <f>INPUT!FZ268</f>
        <v>17</v>
      </c>
      <c r="DN326" s="577">
        <f>INPUT!GA268</f>
        <v>42.857142857142861</v>
      </c>
      <c r="DO326" s="580">
        <f>INPUT!GB268</f>
        <v>16.8</v>
      </c>
      <c r="DP326" s="577">
        <f>INPUT!GC268</f>
        <v>-1.1764705882352899</v>
      </c>
      <c r="DQ326" s="580">
        <f>INPUT!GD268</f>
        <v>23.1</v>
      </c>
      <c r="DR326" s="577">
        <f>INPUT!GE268</f>
        <v>37.5</v>
      </c>
      <c r="DS326" s="580">
        <f>INPUT!GF268</f>
        <v>7.8000000000000007</v>
      </c>
      <c r="DT326" s="577" t="str">
        <f>INPUT!GG268</f>
        <v>NM</v>
      </c>
      <c r="DU326" s="580">
        <f>INPUT!GH268</f>
        <v>23.1</v>
      </c>
      <c r="DV326" s="577" t="str">
        <f>INPUT!GI268</f>
        <v>NM</v>
      </c>
      <c r="DW326" s="580">
        <f>INPUT!GJ268</f>
        <v>2.0999999999999996</v>
      </c>
      <c r="DX326" s="577" t="str">
        <f>INPUT!GK268</f>
        <v>NM</v>
      </c>
      <c r="DY326" s="580">
        <f>INPUT!GL268</f>
        <v>21.799999999999997</v>
      </c>
      <c r="DZ326" s="577" t="str">
        <f>INPUT!GM268</f>
        <v>NM</v>
      </c>
      <c r="EA326" s="580">
        <f>INPUT!GN268</f>
        <v>38</v>
      </c>
      <c r="EB326" s="577">
        <f>INPUT!GO268</f>
        <v>74.311926605504595</v>
      </c>
      <c r="EC326" s="580">
        <f>INPUT!GP268</f>
        <v>10.711617436303129</v>
      </c>
      <c r="ED326" s="577" t="str">
        <f>INPUT!GQ268</f>
        <v>NM</v>
      </c>
      <c r="EE326" s="580">
        <f>INPUT!GR268</f>
        <v>18.365340454412721</v>
      </c>
      <c r="EF326" s="577">
        <f>INPUT!GS268</f>
        <v>71.452542658684621</v>
      </c>
      <c r="EG326" s="580">
        <f>INPUT!GT268</f>
        <v>19.572595210155168</v>
      </c>
      <c r="EH326" s="577">
        <f>INPUT!GU268</f>
        <v>6.5735495551479062</v>
      </c>
      <c r="EI326" s="580">
        <f>INPUT!GV268</f>
        <v>20.84264723074579</v>
      </c>
      <c r="EJ326" s="577">
        <f>INPUT!GW268</f>
        <v>6.488930093090886</v>
      </c>
      <c r="EK326" s="580">
        <f>INPUT!GX268</f>
        <v>22.180146224494756</v>
      </c>
      <c r="EL326" s="577">
        <f>INPUT!GY268</f>
        <v>6.4171262841121717</v>
      </c>
      <c r="EM326" s="577">
        <f>INPUT!GZ268</f>
        <v>-10.208306686874591</v>
      </c>
    </row>
    <row r="327" spans="1:143" ht="12.75" hidden="1" customHeight="1" outlineLevel="1" x14ac:dyDescent="0.2">
      <c r="A327" s="609" t="str">
        <f>INPUT!B269</f>
        <v xml:space="preserve">  Net Money Market Flows</v>
      </c>
      <c r="B327" s="580">
        <f>INPUT!AY269</f>
        <v>0.2</v>
      </c>
      <c r="C327" s="577" t="str">
        <f>INPUT!AZ269</f>
        <v>NA</v>
      </c>
      <c r="D327" s="580">
        <f>INPUT!BA269</f>
        <v>-0.1</v>
      </c>
      <c r="E327" s="577" t="str">
        <f>INPUT!BB269</f>
        <v>NA</v>
      </c>
      <c r="F327" s="580">
        <f>INPUT!BC269</f>
        <v>0.4</v>
      </c>
      <c r="G327" s="577" t="str">
        <f>INPUT!BD269</f>
        <v>NM</v>
      </c>
      <c r="H327" s="580">
        <f>INPUT!BE269</f>
        <v>0</v>
      </c>
      <c r="I327" s="577" t="str">
        <f>INPUT!BF269</f>
        <v>NM</v>
      </c>
      <c r="J327" s="580">
        <f>INPUT!BG269</f>
        <v>0.4</v>
      </c>
      <c r="K327" s="577">
        <f>INPUT!BH269</f>
        <v>100</v>
      </c>
      <c r="L327" s="580">
        <f>INPUT!BI269</f>
        <v>-0.2</v>
      </c>
      <c r="M327" s="577">
        <f>INPUT!BJ269</f>
        <v>100</v>
      </c>
      <c r="N327" s="580">
        <f>INPUT!BK269</f>
        <v>-0.1</v>
      </c>
      <c r="O327" s="577" t="str">
        <f>INPUT!BL269</f>
        <v>NM</v>
      </c>
      <c r="P327" s="580">
        <f>INPUT!BM269</f>
        <v>0.8</v>
      </c>
      <c r="Q327" s="577" t="str">
        <f>INPUT!BN269</f>
        <v>NA</v>
      </c>
      <c r="R327" s="580">
        <f>INPUT!BO269</f>
        <v>-1</v>
      </c>
      <c r="S327" s="577" t="str">
        <f>INPUT!BP269</f>
        <v>NM</v>
      </c>
      <c r="T327" s="580">
        <f>INPUT!BQ269</f>
        <v>-0.1</v>
      </c>
      <c r="U327" s="577">
        <f>INPUT!BR269</f>
        <v>-50</v>
      </c>
      <c r="V327" s="580">
        <f>INPUT!BS269</f>
        <v>-0.3</v>
      </c>
      <c r="W327" s="577" t="str">
        <f>INPUT!BT269</f>
        <v>NM</v>
      </c>
      <c r="X327" s="580">
        <f>INPUT!BU269</f>
        <v>0.4</v>
      </c>
      <c r="Y327" s="577">
        <f>INPUT!BV269</f>
        <v>-50</v>
      </c>
      <c r="Z327" s="580">
        <f>INPUT!BW269</f>
        <v>-0.9</v>
      </c>
      <c r="AA327" s="577">
        <f>INPUT!BX269</f>
        <v>-10</v>
      </c>
      <c r="AB327" s="580">
        <f>INPUT!BY269</f>
        <v>-0.1</v>
      </c>
      <c r="AC327" s="577">
        <f>INPUT!BZ269</f>
        <v>0</v>
      </c>
      <c r="AD327" s="580">
        <f>INPUT!CA269</f>
        <v>-0.02</v>
      </c>
      <c r="AE327" s="577" t="str">
        <f>INPUT!CB269</f>
        <v>NM</v>
      </c>
      <c r="AF327" s="580">
        <f>INPUT!CC269</f>
        <v>-0.1</v>
      </c>
      <c r="AG327" s="577" t="str">
        <f>INPUT!CD269</f>
        <v>NM</v>
      </c>
      <c r="AH327" s="580">
        <f>INPUT!CE269</f>
        <v>-0.6</v>
      </c>
      <c r="AI327" s="577">
        <f>INPUT!CF269</f>
        <v>-33.333333333333343</v>
      </c>
      <c r="AJ327" s="580">
        <f>INPUT!CG269</f>
        <v>0</v>
      </c>
      <c r="AK327" s="577" t="str">
        <f>INPUT!CH269</f>
        <v>NM</v>
      </c>
      <c r="AL327" s="580">
        <f>INPUT!CI269</f>
        <v>0</v>
      </c>
      <c r="AM327" s="577" t="str">
        <f>INPUT!CJ269</f>
        <v>NM</v>
      </c>
      <c r="AN327" s="580">
        <f>INPUT!CK269</f>
        <v>0.6</v>
      </c>
      <c r="AO327" s="577" t="str">
        <f>INPUT!CL269</f>
        <v>NM</v>
      </c>
      <c r="AP327" s="580">
        <f>INPUT!CM269</f>
        <v>0.30000000000000004</v>
      </c>
      <c r="AQ327" s="577" t="str">
        <f>INPUT!CN269</f>
        <v>NM</v>
      </c>
      <c r="AR327" s="580">
        <f>INPUT!CO269</f>
        <v>0.1</v>
      </c>
      <c r="AS327" s="577" t="str">
        <f>INPUT!CP269</f>
        <v>NA</v>
      </c>
      <c r="AT327" s="580">
        <f>INPUT!CQ269</f>
        <v>-0.30000000000000004</v>
      </c>
      <c r="AU327" s="577" t="str">
        <f>INPUT!CR269</f>
        <v>NA</v>
      </c>
      <c r="AV327" s="580">
        <f>INPUT!CS269</f>
        <v>0.3</v>
      </c>
      <c r="AW327" s="577">
        <f>INPUT!CT269</f>
        <v>-50</v>
      </c>
      <c r="AX327" s="580">
        <f>INPUT!CU269</f>
        <v>0.2</v>
      </c>
      <c r="AY327" s="577">
        <f>INPUT!CV269</f>
        <v>-33.333333333333343</v>
      </c>
      <c r="AZ327" s="580">
        <f>INPUT!CW269</f>
        <v>0.2</v>
      </c>
      <c r="BA327" s="577">
        <f>INPUT!CX269</f>
        <v>100</v>
      </c>
      <c r="BB327" s="580">
        <f>INPUT!CY269</f>
        <v>0.1</v>
      </c>
      <c r="BC327" s="577" t="str">
        <f>INPUT!CZ269</f>
        <v>NM</v>
      </c>
      <c r="BD327" s="580">
        <f>INPUT!DA269</f>
        <v>-0.4</v>
      </c>
      <c r="BE327" s="577" t="str">
        <f>INPUT!DB269</f>
        <v>NM</v>
      </c>
      <c r="BF327" s="580">
        <f>INPUT!DC269</f>
        <v>-0.5</v>
      </c>
      <c r="BG327" s="577" t="str">
        <f>INPUT!DD269</f>
        <v>NM</v>
      </c>
      <c r="BH327" s="580">
        <f>INPUT!DE269</f>
        <v>-0.3</v>
      </c>
      <c r="BI327" s="577" t="str">
        <f>INPUT!DF269</f>
        <v>NM</v>
      </c>
      <c r="BJ327" s="580">
        <f>INPUT!DG269</f>
        <v>0.30000000000000004</v>
      </c>
      <c r="BK327" s="577" t="str">
        <f>INPUT!DH269</f>
        <v>NM</v>
      </c>
      <c r="BL327" s="580">
        <f>INPUT!DI269</f>
        <v>-0.8</v>
      </c>
      <c r="BM327" s="577">
        <f>INPUT!DJ269</f>
        <v>100</v>
      </c>
      <c r="BN327" s="580">
        <f>INPUT!DK269</f>
        <v>0</v>
      </c>
      <c r="BO327" s="577" t="str">
        <f>INPUT!DL269</f>
        <v>NM</v>
      </c>
      <c r="BP327" s="580">
        <f>INPUT!DM269</f>
        <v>0.1</v>
      </c>
      <c r="BQ327" s="577" t="str">
        <f>INPUT!DN269</f>
        <v>NM</v>
      </c>
      <c r="BR327" s="580">
        <f>INPUT!DO269</f>
        <v>-0.4</v>
      </c>
      <c r="BS327" s="577" t="str">
        <f>INPUT!DP269</f>
        <v>NM</v>
      </c>
      <c r="BT327" s="580">
        <f>INPUT!DQ269</f>
        <v>-0.4</v>
      </c>
      <c r="BU327" s="577">
        <f>INPUT!DR269</f>
        <v>-50</v>
      </c>
      <c r="BV327" s="580">
        <f>INPUT!DS269</f>
        <v>0.2</v>
      </c>
      <c r="BW327" s="577" t="str">
        <f>INPUT!DT269</f>
        <v>NA</v>
      </c>
      <c r="BX327" s="580">
        <f>INPUT!DU269</f>
        <v>0</v>
      </c>
      <c r="BY327" s="577" t="str">
        <f>INPUT!DV269</f>
        <v>NM</v>
      </c>
      <c r="BZ327" s="580">
        <f>INPUT!DW269</f>
        <v>-0.30000000000000004</v>
      </c>
      <c r="CA327" s="577">
        <f>INPUT!DX269</f>
        <v>-24.999999999999986</v>
      </c>
      <c r="CB327" s="580">
        <f>INPUT!DY269</f>
        <v>0.3</v>
      </c>
      <c r="CC327" s="577" t="str">
        <f>INPUT!DZ269</f>
        <v>NM</v>
      </c>
      <c r="CD327" s="580">
        <f>INPUT!EA269</f>
        <v>2.1</v>
      </c>
      <c r="CE327" s="577" t="str">
        <f>INPUT!EB269</f>
        <v>NM</v>
      </c>
      <c r="CF327" s="580">
        <f>INPUT!EC269</f>
        <v>0.8</v>
      </c>
      <c r="CG327" s="577" t="str">
        <f>INPUT!ED269</f>
        <v>NA</v>
      </c>
      <c r="CH327" s="580">
        <f>INPUT!EE269</f>
        <v>13.7</v>
      </c>
      <c r="CI327" s="577" t="str">
        <f>INPUT!EF269</f>
        <v>NM</v>
      </c>
      <c r="CJ327" s="580">
        <f>INPUT!EG269</f>
        <v>-4.4000000000000004</v>
      </c>
      <c r="CK327" s="577" t="str">
        <f>INPUT!EH269</f>
        <v>NM</v>
      </c>
      <c r="CL327" s="580">
        <f>INPUT!EI269</f>
        <v>2.6</v>
      </c>
      <c r="CM327" s="577">
        <f>INPUT!EJ269</f>
        <v>23.80952380952381</v>
      </c>
      <c r="CN327" s="580">
        <f>INPUT!EK269</f>
        <v>-1.8</v>
      </c>
      <c r="CO327" s="577" t="str">
        <f>INPUT!EL269</f>
        <v>NM</v>
      </c>
      <c r="CP327" s="580">
        <f>INPUT!EM269</f>
        <v>2.6</v>
      </c>
      <c r="CQ327" s="577" t="str">
        <f>INPUT!EN269</f>
        <v>NM</v>
      </c>
      <c r="CR327" s="580">
        <f>INPUT!EO269</f>
        <v>-1.5</v>
      </c>
      <c r="CS327" s="577" t="str">
        <f>INPUT!EP269</f>
        <v>NM</v>
      </c>
      <c r="CT327" s="580">
        <f>INPUT!EQ269</f>
        <v>0</v>
      </c>
      <c r="CU327" s="577" t="str">
        <f>INPUT!ER269</f>
        <v>NM</v>
      </c>
      <c r="CV327" s="580">
        <f>INPUT!ES269</f>
        <v>0</v>
      </c>
      <c r="CW327" s="577" t="str">
        <f>INPUT!ET269</f>
        <v>NM</v>
      </c>
      <c r="CX327" s="580">
        <f>INPUT!EU269</f>
        <v>0</v>
      </c>
      <c r="CY327" s="577" t="str">
        <f>INPUT!EV269</f>
        <v>NM</v>
      </c>
      <c r="CZ327" s="580">
        <f>INPUT!EW269</f>
        <v>0</v>
      </c>
      <c r="DA327" s="577" t="str">
        <f>INPUT!EX269</f>
        <v>NM</v>
      </c>
      <c r="DB327" s="556"/>
      <c r="DC327" s="580">
        <f>INPUT!FP269</f>
        <v>-0.19999999999999998</v>
      </c>
      <c r="DD327" s="577"/>
      <c r="DE327" s="580">
        <f>INPUT!FR269</f>
        <v>0.5</v>
      </c>
      <c r="DF327" s="577" t="str">
        <f>INPUT!FS269</f>
        <v>NM</v>
      </c>
      <c r="DG327" s="580">
        <f>INPUT!FT269</f>
        <v>0.9</v>
      </c>
      <c r="DH327" s="577">
        <f>INPUT!FU269</f>
        <v>80</v>
      </c>
      <c r="DI327" s="580">
        <f>INPUT!FV269</f>
        <v>-1</v>
      </c>
      <c r="DJ327" s="577" t="str">
        <f>INPUT!FW269</f>
        <v>NM</v>
      </c>
      <c r="DK327" s="580">
        <f>INPUT!FX269</f>
        <v>-1.1200000000000001</v>
      </c>
      <c r="DL327" s="577">
        <f>INPUT!FY269</f>
        <v>12.000000000000014</v>
      </c>
      <c r="DM327" s="580">
        <f>INPUT!FZ269</f>
        <v>0</v>
      </c>
      <c r="DN327" s="577" t="str">
        <f>INPUT!GA269</f>
        <v>NM</v>
      </c>
      <c r="DO327" s="580">
        <f>INPUT!GB269</f>
        <v>0.39999999999999997</v>
      </c>
      <c r="DP327" s="577" t="str">
        <f>INPUT!GC269</f>
        <v>NA</v>
      </c>
      <c r="DQ327" s="580">
        <f>INPUT!GD269</f>
        <v>9.9999999999999978E-2</v>
      </c>
      <c r="DR327" s="577" t="str">
        <f>INPUT!GE269</f>
        <v>NM</v>
      </c>
      <c r="DS327" s="580">
        <f>INPUT!GF269</f>
        <v>-1.3</v>
      </c>
      <c r="DT327" s="577" t="str">
        <f>INPUT!GG269</f>
        <v>NM</v>
      </c>
      <c r="DU327" s="580">
        <f>INPUT!GH269</f>
        <v>-0.70000000000000007</v>
      </c>
      <c r="DV327" s="577">
        <f>INPUT!GI269</f>
        <v>-46.153846153846146</v>
      </c>
      <c r="DW327" s="580">
        <f>INPUT!GJ269</f>
        <v>0.19999999999999996</v>
      </c>
      <c r="DX327" s="577" t="str">
        <f>INPUT!GK269</f>
        <v>NM</v>
      </c>
      <c r="DY327" s="580">
        <f>INPUT!GL269</f>
        <v>12.200000000000001</v>
      </c>
      <c r="DZ327" s="577" t="str">
        <f>INPUT!GM269</f>
        <v>NM</v>
      </c>
      <c r="EA327" s="580">
        <f>INPUT!GN269</f>
        <v>1.9000000000000004</v>
      </c>
      <c r="EB327" s="577" t="str">
        <f>INPUT!GO269</f>
        <v>NM</v>
      </c>
      <c r="EC327" s="580">
        <f>INPUT!GP269</f>
        <v>0</v>
      </c>
      <c r="ED327" s="577" t="str">
        <f>INPUT!GQ269</f>
        <v>NM</v>
      </c>
      <c r="EE327" s="580">
        <f>INPUT!GR269</f>
        <v>0</v>
      </c>
      <c r="EF327" s="577" t="str">
        <f>INPUT!GS269</f>
        <v>NA</v>
      </c>
      <c r="EG327" s="580">
        <f>INPUT!GT269</f>
        <v>0</v>
      </c>
      <c r="EH327" s="577" t="str">
        <f>INPUT!GU269</f>
        <v>NA</v>
      </c>
      <c r="EI327" s="580">
        <f>INPUT!GV269</f>
        <v>0</v>
      </c>
      <c r="EJ327" s="577" t="str">
        <f>INPUT!GW269</f>
        <v>NA</v>
      </c>
      <c r="EK327" s="580">
        <f>INPUT!GX269</f>
        <v>0</v>
      </c>
      <c r="EL327" s="577" t="str">
        <f>INPUT!GY269</f>
        <v>NA</v>
      </c>
      <c r="EM327" s="577" t="str">
        <f>INPUT!GZ269</f>
        <v>NM</v>
      </c>
    </row>
    <row r="328" spans="1:143" ht="12.75" hidden="1" customHeight="1" outlineLevel="1" x14ac:dyDescent="0.2">
      <c r="A328" s="609" t="str">
        <f>INPUT!B270</f>
        <v>Ending Assets</v>
      </c>
      <c r="B328" s="580">
        <f>INPUT!AY270</f>
        <v>106.7</v>
      </c>
      <c r="C328" s="577" t="str">
        <f>INPUT!AZ270</f>
        <v>NA</v>
      </c>
      <c r="D328" s="580">
        <f>INPUT!BA270</f>
        <v>107.1</v>
      </c>
      <c r="E328" s="577" t="str">
        <f>INPUT!BB270</f>
        <v>NA</v>
      </c>
      <c r="F328" s="580">
        <f>INPUT!BC270</f>
        <v>115</v>
      </c>
      <c r="G328" s="577">
        <f>INPUT!BD270</f>
        <v>21.05263157894737</v>
      </c>
      <c r="H328" s="580">
        <f>INPUT!BE270</f>
        <v>122.89999999999999</v>
      </c>
      <c r="I328" s="577">
        <f>INPUT!BF270</f>
        <v>21.322803553800583</v>
      </c>
      <c r="J328" s="580">
        <f>INPUT!BG270</f>
        <v>126.99999999999999</v>
      </c>
      <c r="K328" s="577">
        <f>INPUT!BH270</f>
        <v>19.025304592314882</v>
      </c>
      <c r="L328" s="580">
        <f>INPUT!BI270</f>
        <v>132</v>
      </c>
      <c r="M328" s="577">
        <f>INPUT!BJ270</f>
        <v>23.249299719887958</v>
      </c>
      <c r="N328" s="580">
        <f>INPUT!BK270</f>
        <v>135</v>
      </c>
      <c r="O328" s="577">
        <f>INPUT!BL270</f>
        <v>17.391304347826093</v>
      </c>
      <c r="P328" s="580">
        <f>INPUT!BM270</f>
        <v>141.69999999999999</v>
      </c>
      <c r="Q328" s="577">
        <f>INPUT!BN270</f>
        <v>15.296989422294544</v>
      </c>
      <c r="R328" s="580">
        <f>INPUT!BO270</f>
        <v>140.09999999999997</v>
      </c>
      <c r="S328" s="577">
        <f>INPUT!BP270</f>
        <v>10.314960629921259</v>
      </c>
      <c r="T328" s="580">
        <f>INPUT!BQ270</f>
        <v>145.79999999999998</v>
      </c>
      <c r="U328" s="577">
        <f>INPUT!BR270</f>
        <v>10.454545454545453</v>
      </c>
      <c r="V328" s="580">
        <f>INPUT!BS270</f>
        <v>138.59999999999997</v>
      </c>
      <c r="W328" s="577">
        <f>INPUT!BT270</f>
        <v>2.666666666666643</v>
      </c>
      <c r="X328" s="580">
        <f>INPUT!BU270</f>
        <v>128.49999999999997</v>
      </c>
      <c r="Y328" s="577">
        <f>INPUT!BV270</f>
        <v>-9.3154551870148339</v>
      </c>
      <c r="Z328" s="580">
        <f>INPUT!BW270</f>
        <v>120.59999999999998</v>
      </c>
      <c r="AA328" s="577">
        <f>INPUT!BX270</f>
        <v>-13.918629550321199</v>
      </c>
      <c r="AB328" s="580">
        <f>INPUT!BY270</f>
        <v>128.89999999999998</v>
      </c>
      <c r="AC328" s="577">
        <f>INPUT!BZ270</f>
        <v>-11.591220850480113</v>
      </c>
      <c r="AD328" s="580">
        <f>INPUT!CA270</f>
        <v>143.57999999999998</v>
      </c>
      <c r="AE328" s="577">
        <f>INPUT!CB270</f>
        <v>3.593073593073612</v>
      </c>
      <c r="AF328" s="580">
        <f>INPUT!CC270</f>
        <v>151.88</v>
      </c>
      <c r="AG328" s="577">
        <f>INPUT!CD270</f>
        <v>18.1945525291829</v>
      </c>
      <c r="AH328" s="580">
        <f>INPUT!CE270</f>
        <v>156.88</v>
      </c>
      <c r="AI328" s="577">
        <f>INPUT!CF270</f>
        <v>30.082918739635176</v>
      </c>
      <c r="AJ328" s="580">
        <f>INPUT!CG270</f>
        <v>167.17999999999998</v>
      </c>
      <c r="AK328" s="577">
        <f>INPUT!CH270</f>
        <v>29.69743987587276</v>
      </c>
      <c r="AL328" s="580">
        <f>INPUT!CI270</f>
        <v>183.98</v>
      </c>
      <c r="AM328" s="577">
        <f>INPUT!CJ270</f>
        <v>28.137623624460247</v>
      </c>
      <c r="AN328" s="580">
        <f>INPUT!CK270</f>
        <v>197.48</v>
      </c>
      <c r="AO328" s="577">
        <f>INPUT!CL270</f>
        <v>30.023702923360531</v>
      </c>
      <c r="AP328" s="580">
        <f>INPUT!CM270</f>
        <v>211.9</v>
      </c>
      <c r="AQ328" s="577">
        <f>INPUT!CN270</f>
        <v>35.071392146863843</v>
      </c>
      <c r="AR328" s="580">
        <f>INPUT!CO270</f>
        <v>221.6</v>
      </c>
      <c r="AS328" s="577">
        <f>INPUT!CP270</f>
        <v>32.551740638832428</v>
      </c>
      <c r="AT328" s="580">
        <f>INPUT!CQ270</f>
        <v>224</v>
      </c>
      <c r="AU328" s="577">
        <f>INPUT!CR270</f>
        <v>21.752364387433417</v>
      </c>
      <c r="AV328" s="580">
        <f>INPUT!CS270</f>
        <v>234.20000000000005</v>
      </c>
      <c r="AW328" s="577">
        <f>INPUT!CT270</f>
        <v>18.594288029167544</v>
      </c>
      <c r="AX328" s="580">
        <f>INPUT!CU270</f>
        <v>247.50000000000003</v>
      </c>
      <c r="AY328" s="577">
        <f>INPUT!CV270</f>
        <v>16.800377536573862</v>
      </c>
      <c r="AZ328" s="580">
        <f>INPUT!CW270</f>
        <v>251.40000000000003</v>
      </c>
      <c r="BA328" s="577">
        <f>INPUT!CX270</f>
        <v>13.447653429602894</v>
      </c>
      <c r="BB328" s="580">
        <f>INPUT!CY270</f>
        <v>263.8</v>
      </c>
      <c r="BC328" s="577">
        <f>INPUT!CZ270</f>
        <v>17.767857142857153</v>
      </c>
      <c r="BD328" s="580">
        <f>INPUT!DA270</f>
        <v>274.60000000000008</v>
      </c>
      <c r="BE328" s="577">
        <f>INPUT!DB270</f>
        <v>17.250213492741253</v>
      </c>
      <c r="BF328" s="580">
        <f>INPUT!DC270</f>
        <v>282.90000000000003</v>
      </c>
      <c r="BG328" s="577">
        <f>INPUT!DD270</f>
        <v>14.303030303030312</v>
      </c>
      <c r="BH328" s="580">
        <f>INPUT!DE270</f>
        <v>279.60000000000002</v>
      </c>
      <c r="BI328" s="577">
        <f>INPUT!DF270</f>
        <v>11.217183770883054</v>
      </c>
      <c r="BJ328" s="580">
        <f>INPUT!DG270</f>
        <v>290.00000000000006</v>
      </c>
      <c r="BK328" s="577">
        <f>INPUT!DH270</f>
        <v>9.9317664897649962</v>
      </c>
      <c r="BL328" s="580">
        <f>INPUT!DI270</f>
        <v>300.50000000000006</v>
      </c>
      <c r="BM328" s="577">
        <f>INPUT!DJ270</f>
        <v>9.4319009468317461</v>
      </c>
      <c r="BN328" s="580">
        <f>INPUT!DK270</f>
        <v>310.40000000000003</v>
      </c>
      <c r="BO328" s="577">
        <f>INPUT!DL270</f>
        <v>9.7207493814068613</v>
      </c>
      <c r="BP328" s="580">
        <f>INPUT!DM270</f>
        <v>323.50000000000006</v>
      </c>
      <c r="BQ328" s="577">
        <f>INPUT!DN270</f>
        <v>15.701001430615165</v>
      </c>
      <c r="BR328" s="580">
        <f>INPUT!DO270</f>
        <v>320.7000000000001</v>
      </c>
      <c r="BS328" s="577">
        <f>INPUT!DP270</f>
        <v>10.586206896551744</v>
      </c>
      <c r="BT328" s="580">
        <f>INPUT!DQ270</f>
        <v>323.60000000000014</v>
      </c>
      <c r="BU328" s="577">
        <f>INPUT!DR270</f>
        <v>7.6871880199667544</v>
      </c>
      <c r="BV328" s="580">
        <f>INPUT!DS270</f>
        <v>334.10000000000014</v>
      </c>
      <c r="BW328" s="577">
        <f>INPUT!DT270</f>
        <v>7.6353092783505474</v>
      </c>
      <c r="BX328" s="580">
        <f>INPUT!DU270</f>
        <v>335.90000000000015</v>
      </c>
      <c r="BY328" s="577">
        <f>INPUT!DV270</f>
        <v>3.8330757341576742</v>
      </c>
      <c r="BZ328" s="580">
        <f>INPUT!DW270</f>
        <v>338.60000000000014</v>
      </c>
      <c r="CA328" s="577">
        <f>INPUT!DX270</f>
        <v>5.5815403804178487</v>
      </c>
      <c r="CB328" s="580">
        <f>INPUT!DY270</f>
        <v>347.10000000000014</v>
      </c>
      <c r="CC328" s="577">
        <f>INPUT!DZ270</f>
        <v>7.2620519159456052</v>
      </c>
      <c r="CD328" s="580">
        <f>INPUT!EA270</f>
        <v>359.30000000000013</v>
      </c>
      <c r="CE328" s="577">
        <f>INPUT!EB270</f>
        <v>7.5426519006285559</v>
      </c>
      <c r="CF328" s="580">
        <f>INPUT!EC270</f>
        <v>373.40000000000015</v>
      </c>
      <c r="CG328" s="577">
        <f>INPUT!ED270</f>
        <v>11.164036915748724</v>
      </c>
      <c r="CH328" s="580">
        <f>INPUT!EE270</f>
        <v>398.90000000000009</v>
      </c>
      <c r="CI328" s="577">
        <f>INPUT!EF270</f>
        <v>17.808623744831635</v>
      </c>
      <c r="CJ328" s="580">
        <f>INPUT!EG270</f>
        <v>386.40000000000009</v>
      </c>
      <c r="CK328" s="577">
        <f>INPUT!EH270</f>
        <v>11.322385479688819</v>
      </c>
      <c r="CL328" s="580">
        <f>INPUT!EI270</f>
        <v>399.10000000000014</v>
      </c>
      <c r="CM328" s="577">
        <f>INPUT!EJ270</f>
        <v>11.07709435012525</v>
      </c>
      <c r="CN328" s="580">
        <f>INPUT!EK270</f>
        <v>414.60000000000014</v>
      </c>
      <c r="CO328" s="577">
        <f>INPUT!EL270</f>
        <v>11.033743974290289</v>
      </c>
      <c r="CP328" s="580">
        <f>INPUT!EM270</f>
        <v>431.00000000000017</v>
      </c>
      <c r="CQ328" s="577">
        <f>INPUT!EN270</f>
        <v>8.0471296064176698</v>
      </c>
      <c r="CR328" s="580">
        <f>INPUT!EO270</f>
        <v>437.90000000000015</v>
      </c>
      <c r="CS328" s="577">
        <f>INPUT!EP270</f>
        <v>13.3281573498965</v>
      </c>
      <c r="CT328" s="580">
        <f>INPUT!EQ270</f>
        <v>437.56485000000015</v>
      </c>
      <c r="CU328" s="577">
        <f>INPUT!ER270</f>
        <v>9.6378977699824446</v>
      </c>
      <c r="CV328" s="580">
        <f>INPUT!ES270</f>
        <v>444.57412087500018</v>
      </c>
      <c r="CW328" s="577">
        <f>INPUT!ET270</f>
        <v>7.2296480643994272</v>
      </c>
      <c r="CX328" s="580">
        <f>INPUT!EU270</f>
        <v>451.76277275531265</v>
      </c>
      <c r="CY328" s="577">
        <f>INPUT!EV270</f>
        <v>4.8173486671258701</v>
      </c>
      <c r="CZ328" s="580">
        <f>INPUT!EW270</f>
        <v>459.13351136031815</v>
      </c>
      <c r="DA328" s="577">
        <f>INPUT!EX270</f>
        <v>4.8489407079968032</v>
      </c>
      <c r="DB328" s="556"/>
      <c r="DC328" s="580">
        <f>INPUT!FP270</f>
        <v>101.3</v>
      </c>
      <c r="DD328" s="577"/>
      <c r="DE328" s="580">
        <f>INPUT!FR270</f>
        <v>122.89999999999999</v>
      </c>
      <c r="DF328" s="577">
        <f>INPUT!FS270</f>
        <v>21.322803553800583</v>
      </c>
      <c r="DG328" s="580">
        <f>INPUT!FT270</f>
        <v>141.69999999999999</v>
      </c>
      <c r="DH328" s="577">
        <f>INPUT!FU270</f>
        <v>15.296989422294544</v>
      </c>
      <c r="DI328" s="580">
        <f>INPUT!FV270</f>
        <v>128.5</v>
      </c>
      <c r="DJ328" s="577">
        <f>INPUT!FW270</f>
        <v>-9.3154551870148055</v>
      </c>
      <c r="DK328" s="580">
        <f>INPUT!FX270</f>
        <v>151.88000000000002</v>
      </c>
      <c r="DL328" s="577">
        <f>INPUT!FY270</f>
        <v>18.1945525291829</v>
      </c>
      <c r="DM328" s="580">
        <f>INPUT!FZ270</f>
        <v>197.48000000000002</v>
      </c>
      <c r="DN328" s="577">
        <f>INPUT!GA270</f>
        <v>30.023702923360531</v>
      </c>
      <c r="DO328" s="580">
        <f>INPUT!GB270</f>
        <v>234.20000000000002</v>
      </c>
      <c r="DP328" s="577">
        <f>INPUT!GC270</f>
        <v>18.594288029167515</v>
      </c>
      <c r="DQ328" s="580">
        <f>INPUT!GD270</f>
        <v>274.60000000000002</v>
      </c>
      <c r="DR328" s="577">
        <f>INPUT!GE270</f>
        <v>17.250213492741253</v>
      </c>
      <c r="DS328" s="580">
        <f>INPUT!GF270</f>
        <v>300.50000000000006</v>
      </c>
      <c r="DT328" s="577">
        <f>INPUT!GG270</f>
        <v>9.4319009468317745</v>
      </c>
      <c r="DU328" s="580">
        <f>INPUT!GH270</f>
        <v>323.60000000000008</v>
      </c>
      <c r="DV328" s="577">
        <f>INPUT!GI270</f>
        <v>7.687188019966726</v>
      </c>
      <c r="DW328" s="580">
        <f>INPUT!GJ270</f>
        <v>347.10000000000014</v>
      </c>
      <c r="DX328" s="577">
        <f>INPUT!GK270</f>
        <v>7.2620519159456194</v>
      </c>
      <c r="DY328" s="580">
        <f>INPUT!GL270</f>
        <v>386.40000000000009</v>
      </c>
      <c r="DZ328" s="577">
        <f>INPUT!GM270</f>
        <v>11.322385479688819</v>
      </c>
      <c r="EA328" s="580">
        <f>INPUT!GN270</f>
        <v>437.90000000000009</v>
      </c>
      <c r="EB328" s="577">
        <f>INPUT!GO270</f>
        <v>13.328157349896472</v>
      </c>
      <c r="EC328" s="580">
        <f>INPUT!GP270</f>
        <v>459.13351136031804</v>
      </c>
      <c r="ED328" s="577">
        <f>INPUT!GQ270</f>
        <v>4.8489407079968032</v>
      </c>
      <c r="EE328" s="580">
        <f>INPUT!GR270</f>
        <v>489.31488025387921</v>
      </c>
      <c r="EF328" s="577">
        <f>INPUT!GS270</f>
        <v>6.5735495551479062</v>
      </c>
      <c r="EG328" s="580">
        <f>INPUT!GT270</f>
        <v>521.0661807686447</v>
      </c>
      <c r="EH328" s="577">
        <f>INPUT!GU270</f>
        <v>6.4889300930908576</v>
      </c>
      <c r="EI328" s="580">
        <f>INPUT!GV270</f>
        <v>554.5036556123689</v>
      </c>
      <c r="EJ328" s="577">
        <f>INPUT!GW270</f>
        <v>6.4171262841121717</v>
      </c>
      <c r="EK328" s="580">
        <f>INPUT!GX270</f>
        <v>589.74850478688052</v>
      </c>
      <c r="EL328" s="577">
        <f>INPUT!GY270</f>
        <v>6.35610763207481</v>
      </c>
      <c r="EM328" s="577">
        <f>INPUT!GZ270</f>
        <v>6.1349404710565159</v>
      </c>
    </row>
    <row r="329" spans="1:143" ht="12.75" hidden="1" customHeight="1" outlineLevel="1" x14ac:dyDescent="0.2">
      <c r="A329" s="609" t="str">
        <f>INPUT!B271</f>
        <v>Affiliated Institutional AUM</v>
      </c>
      <c r="B329" s="580">
        <f>INPUT!AY271</f>
        <v>32</v>
      </c>
      <c r="C329" s="577" t="str">
        <f>INPUT!AZ271</f>
        <v>NA</v>
      </c>
      <c r="D329" s="580">
        <f>INPUT!BA271</f>
        <v>31.4</v>
      </c>
      <c r="E329" s="577" t="str">
        <f>INPUT!BB271</f>
        <v>NA</v>
      </c>
      <c r="F329" s="580">
        <f>INPUT!BC271</f>
        <v>32.9</v>
      </c>
      <c r="G329" s="577">
        <f>INPUT!BD271</f>
        <v>-5.4597701149425291</v>
      </c>
      <c r="H329" s="580">
        <f>INPUT!BE271</f>
        <v>33.9</v>
      </c>
      <c r="I329" s="577">
        <f>INPUT!BF271</f>
        <v>1.4970059880239575</v>
      </c>
      <c r="J329" s="580">
        <f>INPUT!BG271</f>
        <v>34</v>
      </c>
      <c r="K329" s="577">
        <f>INPUT!BH271</f>
        <v>6.25</v>
      </c>
      <c r="L329" s="580">
        <f>INPUT!BI271</f>
        <v>34.200000000000003</v>
      </c>
      <c r="M329" s="577">
        <f>INPUT!BJ271</f>
        <v>8.9171974522293169</v>
      </c>
      <c r="N329" s="580">
        <f>INPUT!BK271</f>
        <v>35.1</v>
      </c>
      <c r="O329" s="577">
        <f>INPUT!BL271</f>
        <v>6.6869300911854168</v>
      </c>
      <c r="P329" s="580">
        <f>INPUT!BM271</f>
        <v>34.700000000000003</v>
      </c>
      <c r="Q329" s="577">
        <f>INPUT!BN271</f>
        <v>2.3598820058997205</v>
      </c>
      <c r="R329" s="580">
        <f>INPUT!BO271</f>
        <v>34.1</v>
      </c>
      <c r="S329" s="577">
        <f>INPUT!BP271</f>
        <v>0.29411764705882604</v>
      </c>
      <c r="T329" s="580">
        <f>INPUT!BQ271</f>
        <v>33.5</v>
      </c>
      <c r="U329" s="577">
        <f>INPUT!BR271</f>
        <v>-2.0467836257309955</v>
      </c>
      <c r="V329" s="580">
        <f>INPUT!BS271</f>
        <v>32.299999999999997</v>
      </c>
      <c r="W329" s="577">
        <f>INPUT!BT271</f>
        <v>-7.9772079772079962</v>
      </c>
      <c r="X329" s="580">
        <f>INPUT!BU271</f>
        <v>32.700000000000003</v>
      </c>
      <c r="Y329" s="577">
        <f>INPUT!BV271</f>
        <v>-5.7636887608069145</v>
      </c>
      <c r="Z329" s="580">
        <f>INPUT!BW271</f>
        <v>32.1</v>
      </c>
      <c r="AA329" s="577">
        <f>INPUT!BX271</f>
        <v>-5.8651026392961825</v>
      </c>
      <c r="AB329" s="580">
        <f>INPUT!BY271</f>
        <v>34.6</v>
      </c>
      <c r="AC329" s="577">
        <f>INPUT!BZ271</f>
        <v>3.2835820895522403</v>
      </c>
      <c r="AD329" s="580">
        <f>INPUT!CA271</f>
        <v>36.5</v>
      </c>
      <c r="AE329" s="577">
        <f>INPUT!CB271</f>
        <v>13.003095975232213</v>
      </c>
      <c r="AF329" s="580">
        <f>INPUT!CC271</f>
        <v>36.5</v>
      </c>
      <c r="AG329" s="577">
        <f>INPUT!CD271</f>
        <v>11.620795107033615</v>
      </c>
      <c r="AH329" s="580">
        <f>INPUT!CE271</f>
        <v>37.1</v>
      </c>
      <c r="AI329" s="577">
        <f>INPUT!CF271</f>
        <v>15.576323987538942</v>
      </c>
      <c r="AJ329" s="580">
        <f>INPUT!CG271</f>
        <v>37.9</v>
      </c>
      <c r="AK329" s="577">
        <f>INPUT!CH271</f>
        <v>9.5375722543352452</v>
      </c>
      <c r="AL329" s="580">
        <f>INPUT!CI271</f>
        <v>37.9</v>
      </c>
      <c r="AM329" s="577">
        <f>INPUT!CJ271</f>
        <v>3.8356164383561691</v>
      </c>
      <c r="AN329" s="580">
        <f>INPUT!CK271</f>
        <v>37.700000000000003</v>
      </c>
      <c r="AO329" s="577">
        <f>INPUT!CL271</f>
        <v>3.2876712328767184</v>
      </c>
      <c r="AP329" s="580">
        <f>INPUT!CM271</f>
        <v>37</v>
      </c>
      <c r="AQ329" s="577">
        <f>INPUT!CN271</f>
        <v>-0.26954177897574993</v>
      </c>
      <c r="AR329" s="580">
        <f>INPUT!CO271</f>
        <v>37.299999999999997</v>
      </c>
      <c r="AS329" s="577">
        <f>INPUT!CP271</f>
        <v>-1.5831134564643747</v>
      </c>
      <c r="AT329" s="580">
        <f>INPUT!CQ271</f>
        <v>37.200000000000003</v>
      </c>
      <c r="AU329" s="577">
        <f>INPUT!CR271</f>
        <v>-1.8469656992084396</v>
      </c>
      <c r="AV329" s="580">
        <f>INPUT!CS271</f>
        <v>37.6</v>
      </c>
      <c r="AW329" s="577">
        <f>INPUT!CT271</f>
        <v>-0.26525198938992389</v>
      </c>
      <c r="AX329" s="580">
        <f>INPUT!CU271</f>
        <v>38.6</v>
      </c>
      <c r="AY329" s="577">
        <f>INPUT!CV271</f>
        <v>4.3243243243243228</v>
      </c>
      <c r="AZ329" s="580">
        <f>INPUT!CW271</f>
        <v>37.799999999999997</v>
      </c>
      <c r="BA329" s="577">
        <f>INPUT!CX271</f>
        <v>1.3404825737265469</v>
      </c>
      <c r="BB329" s="580">
        <f>INPUT!CY271</f>
        <v>39.299999999999997</v>
      </c>
      <c r="BC329" s="577">
        <f>INPUT!CZ271</f>
        <v>5.6451612903225765</v>
      </c>
      <c r="BD329" s="580">
        <f>INPUT!DA271</f>
        <v>39.1</v>
      </c>
      <c r="BE329" s="577">
        <f>INPUT!DB271</f>
        <v>3.9893617021276668</v>
      </c>
      <c r="BF329" s="580">
        <f>INPUT!DC271</f>
        <v>40.299999999999997</v>
      </c>
      <c r="BG329" s="577">
        <f>INPUT!DD271</f>
        <v>4.4041450777202016</v>
      </c>
      <c r="BH329" s="580">
        <f>INPUT!DE271</f>
        <v>39.5</v>
      </c>
      <c r="BI329" s="577">
        <f>INPUT!DF271</f>
        <v>4.4973544973545074</v>
      </c>
      <c r="BJ329" s="580">
        <f>INPUT!DG271</f>
        <v>40.299999999999997</v>
      </c>
      <c r="BK329" s="577">
        <f>INPUT!DH271</f>
        <v>2.544529262086499</v>
      </c>
      <c r="BL329" s="580">
        <f>INPUT!DI271</f>
        <v>41.2</v>
      </c>
      <c r="BM329" s="577">
        <f>INPUT!DJ271</f>
        <v>5.3708439897698099</v>
      </c>
      <c r="BN329" s="580">
        <f>INPUT!DK271</f>
        <v>41.8</v>
      </c>
      <c r="BO329" s="577">
        <f>INPUT!DL271</f>
        <v>3.7220843672456567</v>
      </c>
      <c r="BP329" s="580">
        <f>INPUT!DM271</f>
        <v>43.5</v>
      </c>
      <c r="BQ329" s="577">
        <f>INPUT!DN271</f>
        <v>10.126582278481024</v>
      </c>
      <c r="BR329" s="580">
        <f>INPUT!DO271</f>
        <v>43</v>
      </c>
      <c r="BS329" s="577">
        <f>INPUT!DP271</f>
        <v>6.6997518610421878</v>
      </c>
      <c r="BT329" s="580">
        <f>INPUT!DQ271</f>
        <v>46.4</v>
      </c>
      <c r="BU329" s="577">
        <f>INPUT!DR271</f>
        <v>12.621359223300971</v>
      </c>
      <c r="BV329" s="580">
        <f>INPUT!DS271</f>
        <v>46.8</v>
      </c>
      <c r="BW329" s="577">
        <f>INPUT!DT271</f>
        <v>11.961722488038291</v>
      </c>
      <c r="BX329" s="580">
        <f>INPUT!DU271</f>
        <v>44.7</v>
      </c>
      <c r="BY329" s="577">
        <f>INPUT!DV271</f>
        <v>2.7586206896551744</v>
      </c>
      <c r="BZ329" s="580">
        <f>INPUT!DW271</f>
        <v>42.3</v>
      </c>
      <c r="CA329" s="577">
        <f>INPUT!DX271</f>
        <v>-1.6279069767441996</v>
      </c>
      <c r="CB329" s="580">
        <f>INPUT!DY271</f>
        <v>42</v>
      </c>
      <c r="CC329" s="577">
        <f>INPUT!DZ271</f>
        <v>-9.4827586206896513</v>
      </c>
      <c r="CD329" s="580">
        <f>INPUT!EA271</f>
        <v>44.3</v>
      </c>
      <c r="CE329" s="577">
        <f>INPUT!EB271</f>
        <v>-5.3418803418803407</v>
      </c>
      <c r="CF329" s="580">
        <f>INPUT!EC271</f>
        <v>45.4</v>
      </c>
      <c r="CG329" s="577">
        <f>INPUT!ED271</f>
        <v>1.5659955257270752</v>
      </c>
      <c r="CH329" s="580">
        <f>INPUT!EE271</f>
        <v>47</v>
      </c>
      <c r="CI329" s="577">
        <f>INPUT!EF271</f>
        <v>11.111111111111114</v>
      </c>
      <c r="CJ329" s="580">
        <f>INPUT!EG271</f>
        <v>45.1</v>
      </c>
      <c r="CK329" s="577">
        <f>INPUT!EH271</f>
        <v>7.3809523809523796</v>
      </c>
      <c r="CL329" s="580">
        <f>INPUT!EI271</f>
        <v>46.1</v>
      </c>
      <c r="CM329" s="577">
        <f>INPUT!EJ271</f>
        <v>4.0632054176072359</v>
      </c>
      <c r="CN329" s="580">
        <f>INPUT!EK271</f>
        <v>46.6</v>
      </c>
      <c r="CO329" s="577">
        <f>INPUT!EL271</f>
        <v>2.6431718061674019</v>
      </c>
      <c r="CP329" s="580">
        <f>INPUT!EM271</f>
        <v>47.3</v>
      </c>
      <c r="CQ329" s="577">
        <f>INPUT!EN271</f>
        <v>0.63829787234041646</v>
      </c>
      <c r="CR329" s="580">
        <f>INPUT!EO271</f>
        <v>51.6</v>
      </c>
      <c r="CS329" s="577">
        <f>INPUT!EP271</f>
        <v>14.412416851441236</v>
      </c>
      <c r="CT329" s="580">
        <f>INPUT!EQ271</f>
        <v>52.425600000000003</v>
      </c>
      <c r="CU329" s="577">
        <f>INPUT!ER271</f>
        <v>13.721475054229941</v>
      </c>
      <c r="CV329" s="580">
        <f>INPUT!ES271</f>
        <v>53.2644096</v>
      </c>
      <c r="CW329" s="577">
        <f>INPUT!ET271</f>
        <v>14.30130815450643</v>
      </c>
      <c r="CX329" s="580">
        <f>INPUT!EU271</f>
        <v>54.116640153600002</v>
      </c>
      <c r="CY329" s="577">
        <f>INPUT!EV271</f>
        <v>14.411501381818198</v>
      </c>
      <c r="CZ329" s="580">
        <f>INPUT!EW271</f>
        <v>54.982506396057602</v>
      </c>
      <c r="DA329" s="577">
        <f>INPUT!EX271</f>
        <v>6.5552449536000097</v>
      </c>
      <c r="DB329" s="556"/>
      <c r="DC329" s="580">
        <f>INPUT!FP271</f>
        <v>33.4</v>
      </c>
      <c r="DD329" s="577"/>
      <c r="DE329" s="580">
        <f>INPUT!FR271</f>
        <v>33.9</v>
      </c>
      <c r="DF329" s="577">
        <f>INPUT!FS271</f>
        <v>1.4970059880239575</v>
      </c>
      <c r="DG329" s="580">
        <f>INPUT!FT271</f>
        <v>34.700000000000003</v>
      </c>
      <c r="DH329" s="577">
        <f>INPUT!FU271</f>
        <v>2.3598820058997205</v>
      </c>
      <c r="DI329" s="580">
        <f>INPUT!FV271</f>
        <v>32.700000000000003</v>
      </c>
      <c r="DJ329" s="577">
        <f>INPUT!FW271</f>
        <v>-5.7636887608069145</v>
      </c>
      <c r="DK329" s="580">
        <f>INPUT!FX271</f>
        <v>36.5</v>
      </c>
      <c r="DL329" s="577">
        <f>INPUT!FY271</f>
        <v>11.620795107033615</v>
      </c>
      <c r="DM329" s="580">
        <f>INPUT!FZ271</f>
        <v>37.700000000000003</v>
      </c>
      <c r="DN329" s="577">
        <f>INPUT!GA271</f>
        <v>3.2876712328767184</v>
      </c>
      <c r="DO329" s="580">
        <f>INPUT!GB271</f>
        <v>37.6</v>
      </c>
      <c r="DP329" s="577">
        <f>INPUT!GC271</f>
        <v>-0.26525198938992389</v>
      </c>
      <c r="DQ329" s="580">
        <f>INPUT!GD271</f>
        <v>39.1</v>
      </c>
      <c r="DR329" s="577">
        <f>INPUT!GE271</f>
        <v>3.9893617021276668</v>
      </c>
      <c r="DS329" s="580">
        <f>INPUT!GF271</f>
        <v>41.2</v>
      </c>
      <c r="DT329" s="577">
        <f>INPUT!GG271</f>
        <v>5.3708439897698099</v>
      </c>
      <c r="DU329" s="580">
        <f>INPUT!GH271</f>
        <v>46.4</v>
      </c>
      <c r="DV329" s="577">
        <f>INPUT!GI271</f>
        <v>12.621359223300971</v>
      </c>
      <c r="DW329" s="580">
        <f>INPUT!GJ271</f>
        <v>42</v>
      </c>
      <c r="DX329" s="577">
        <f>INPUT!GK271</f>
        <v>-9.4827586206896513</v>
      </c>
      <c r="DY329" s="580">
        <f>INPUT!GL271</f>
        <v>44.3</v>
      </c>
      <c r="DZ329" s="577">
        <f>INPUT!GM271</f>
        <v>5.4761904761904816</v>
      </c>
      <c r="EA329" s="580">
        <f>INPUT!GN271</f>
        <v>46.1</v>
      </c>
      <c r="EB329" s="577">
        <f>INPUT!GO271</f>
        <v>4.0632054176072359</v>
      </c>
      <c r="EC329" s="580">
        <f>INPUT!GP271</f>
        <v>52.425600000000003</v>
      </c>
      <c r="ED329" s="577">
        <f>INPUT!GQ271</f>
        <v>13.721475054229941</v>
      </c>
      <c r="EE329" s="580">
        <f>INPUT!GR271</f>
        <v>54.522624000000008</v>
      </c>
      <c r="EF329" s="577">
        <f>INPUT!GS271</f>
        <v>4</v>
      </c>
      <c r="EG329" s="580">
        <f>INPUT!GT271</f>
        <v>56.703528960000007</v>
      </c>
      <c r="EH329" s="577">
        <f>INPUT!GU271</f>
        <v>4</v>
      </c>
      <c r="EI329" s="580">
        <f>INPUT!GV271</f>
        <v>58.971670118400006</v>
      </c>
      <c r="EJ329" s="577">
        <f>INPUT!GW271</f>
        <v>4</v>
      </c>
      <c r="EK329" s="580">
        <f>INPUT!GX271</f>
        <v>61.330536923136009</v>
      </c>
      <c r="EL329" s="577">
        <f>INPUT!GY271</f>
        <v>4</v>
      </c>
      <c r="EM329" s="577">
        <f>INPUT!GZ271</f>
        <v>5.8754253924955702</v>
      </c>
    </row>
    <row r="330" spans="1:143" ht="12.75" hidden="1" customHeight="1" outlineLevel="1" x14ac:dyDescent="0.2">
      <c r="A330" s="609" t="str">
        <f>INPUT!B272</f>
        <v>Total Institutional Assets</v>
      </c>
      <c r="B330" s="580">
        <f>INPUT!AY272</f>
        <v>138.69999999999999</v>
      </c>
      <c r="C330" s="577" t="str">
        <f>INPUT!AZ272</f>
        <v>NA</v>
      </c>
      <c r="D330" s="580">
        <f>INPUT!BA272</f>
        <v>138.5</v>
      </c>
      <c r="E330" s="577" t="str">
        <f>INPUT!BB272</f>
        <v>NA</v>
      </c>
      <c r="F330" s="580">
        <f>INPUT!BC272</f>
        <v>147.9</v>
      </c>
      <c r="G330" s="577">
        <f>INPUT!BD272</f>
        <v>13.944530046224955</v>
      </c>
      <c r="H330" s="580">
        <f>INPUT!BE272</f>
        <v>156.79999999999998</v>
      </c>
      <c r="I330" s="577">
        <f>INPUT!BF272</f>
        <v>16.406829992576093</v>
      </c>
      <c r="J330" s="580">
        <f>INPUT!BG272</f>
        <v>161</v>
      </c>
      <c r="K330" s="577">
        <f>INPUT!BH272</f>
        <v>16.077865897620768</v>
      </c>
      <c r="L330" s="580">
        <f>INPUT!BI272</f>
        <v>166.2</v>
      </c>
      <c r="M330" s="577">
        <f>INPUT!BJ272</f>
        <v>20</v>
      </c>
      <c r="N330" s="580">
        <f>INPUT!BK272</f>
        <v>170.1</v>
      </c>
      <c r="O330" s="577">
        <f>INPUT!BL272</f>
        <v>15.010141987829613</v>
      </c>
      <c r="P330" s="580">
        <f>INPUT!BM272</f>
        <v>176.39999999999998</v>
      </c>
      <c r="Q330" s="577">
        <f>INPUT!BN272</f>
        <v>12.5</v>
      </c>
      <c r="R330" s="580">
        <f>INPUT!BO272</f>
        <v>174.19999999999996</v>
      </c>
      <c r="S330" s="577">
        <f>INPUT!BP272</f>
        <v>8.1987577639751379</v>
      </c>
      <c r="T330" s="580">
        <f>INPUT!BQ272</f>
        <v>179.29999999999998</v>
      </c>
      <c r="U330" s="577">
        <f>INPUT!BR272</f>
        <v>7.882069795427185</v>
      </c>
      <c r="V330" s="580">
        <f>INPUT!BS272</f>
        <v>170.89999999999998</v>
      </c>
      <c r="W330" s="577">
        <f>INPUT!BT272</f>
        <v>0.4703115814226777</v>
      </c>
      <c r="X330" s="580">
        <f>INPUT!BU272</f>
        <v>161.19999999999999</v>
      </c>
      <c r="Y330" s="577">
        <f>INPUT!BV272</f>
        <v>-8.6167800453514758</v>
      </c>
      <c r="Z330" s="580">
        <f>INPUT!BW272</f>
        <v>152.69999999999999</v>
      </c>
      <c r="AA330" s="577">
        <f>INPUT!BX272</f>
        <v>-12.342135476463824</v>
      </c>
      <c r="AB330" s="580">
        <f>INPUT!BY272</f>
        <v>163.49999999999997</v>
      </c>
      <c r="AC330" s="577">
        <f>INPUT!BZ272</f>
        <v>-8.8120468488566672</v>
      </c>
      <c r="AD330" s="580">
        <f>INPUT!CA272</f>
        <v>180.07999999999998</v>
      </c>
      <c r="AE330" s="577">
        <f>INPUT!CB272</f>
        <v>5.371562317144523</v>
      </c>
      <c r="AF330" s="580">
        <f>INPUT!CC272</f>
        <v>188.38</v>
      </c>
      <c r="AG330" s="577">
        <f>INPUT!CD272</f>
        <v>16.861042183622828</v>
      </c>
      <c r="AH330" s="580">
        <f>INPUT!CE272</f>
        <v>193.98</v>
      </c>
      <c r="AI330" s="577">
        <f>INPUT!CF272</f>
        <v>27.033398821218071</v>
      </c>
      <c r="AJ330" s="580">
        <f>INPUT!CG272</f>
        <v>205.07999999999998</v>
      </c>
      <c r="AK330" s="577">
        <f>INPUT!CH272</f>
        <v>25.431192660550465</v>
      </c>
      <c r="AL330" s="580">
        <f>INPUT!CI272</f>
        <v>221.88</v>
      </c>
      <c r="AM330" s="577">
        <f>INPUT!CJ272</f>
        <v>23.211905819635732</v>
      </c>
      <c r="AN330" s="580">
        <f>INPUT!CK272</f>
        <v>235.18</v>
      </c>
      <c r="AO330" s="577">
        <f>INPUT!CL272</f>
        <v>24.8434016349931</v>
      </c>
      <c r="AP330" s="580">
        <f>INPUT!CM272</f>
        <v>248.9</v>
      </c>
      <c r="AQ330" s="577">
        <f>INPUT!CN272</f>
        <v>28.312197133725135</v>
      </c>
      <c r="AR330" s="580">
        <f>INPUT!CO272</f>
        <v>258.89999999999998</v>
      </c>
      <c r="AS330" s="577">
        <f>INPUT!CP272</f>
        <v>26.243417203042711</v>
      </c>
      <c r="AT330" s="580">
        <f>INPUT!CQ272</f>
        <v>261.2</v>
      </c>
      <c r="AU330" s="577">
        <f>INPUT!CR272</f>
        <v>17.721290787813231</v>
      </c>
      <c r="AV330" s="580">
        <f>INPUT!CS272</f>
        <v>271.80000000000007</v>
      </c>
      <c r="AW330" s="577">
        <f>INPUT!CT272</f>
        <v>15.57105196020072</v>
      </c>
      <c r="AX330" s="580">
        <f>INPUT!CU272</f>
        <v>286.10000000000002</v>
      </c>
      <c r="AY330" s="577">
        <f>INPUT!CV272</f>
        <v>14.945761349939744</v>
      </c>
      <c r="AZ330" s="580">
        <f>INPUT!CW272</f>
        <v>289.20000000000005</v>
      </c>
      <c r="BA330" s="577">
        <f>INPUT!CX272</f>
        <v>11.703360370799558</v>
      </c>
      <c r="BB330" s="580">
        <f>INPUT!CY272</f>
        <v>303.10000000000002</v>
      </c>
      <c r="BC330" s="577">
        <f>INPUT!CZ272</f>
        <v>16.04134762633997</v>
      </c>
      <c r="BD330" s="580">
        <f>INPUT!DA272</f>
        <v>313.7000000000001</v>
      </c>
      <c r="BE330" s="577">
        <f>INPUT!DB272</f>
        <v>15.415746872700538</v>
      </c>
      <c r="BF330" s="580">
        <f>INPUT!DC272</f>
        <v>323.20000000000005</v>
      </c>
      <c r="BG330" s="577">
        <f>INPUT!DD272</f>
        <v>12.967493883257617</v>
      </c>
      <c r="BH330" s="580">
        <f>INPUT!DE272</f>
        <v>319.10000000000002</v>
      </c>
      <c r="BI330" s="577">
        <f>INPUT!DF272</f>
        <v>10.338865836791129</v>
      </c>
      <c r="BJ330" s="580">
        <f>INPUT!DG272</f>
        <v>330.30000000000007</v>
      </c>
      <c r="BK330" s="577">
        <f>INPUT!DH272</f>
        <v>8.9739359947212307</v>
      </c>
      <c r="BL330" s="580">
        <f>INPUT!DI272</f>
        <v>341.70000000000005</v>
      </c>
      <c r="BM330" s="577">
        <f>INPUT!DJ272</f>
        <v>8.9257252151737134</v>
      </c>
      <c r="BN330" s="580">
        <f>INPUT!DK272</f>
        <v>352.20000000000005</v>
      </c>
      <c r="BO330" s="577">
        <f>INPUT!DL272</f>
        <v>8.972772277227719</v>
      </c>
      <c r="BP330" s="580">
        <f>INPUT!DM272</f>
        <v>367.00000000000006</v>
      </c>
      <c r="BQ330" s="577">
        <f>INPUT!DN272</f>
        <v>15.010968348480105</v>
      </c>
      <c r="BR330" s="580">
        <f>INPUT!DO272</f>
        <v>363.7000000000001</v>
      </c>
      <c r="BS330" s="577">
        <f>INPUT!DP272</f>
        <v>10.112019376324554</v>
      </c>
      <c r="BT330" s="580">
        <f>INPUT!DQ272</f>
        <v>370.00000000000011</v>
      </c>
      <c r="BU330" s="577">
        <f>INPUT!DR272</f>
        <v>8.2821188176763485</v>
      </c>
      <c r="BV330" s="580">
        <f>INPUT!DS272</f>
        <v>380.90000000000015</v>
      </c>
      <c r="BW330" s="577">
        <f>INPUT!DT272</f>
        <v>8.1487791027825267</v>
      </c>
      <c r="BX330" s="580">
        <f>INPUT!DU272</f>
        <v>380.60000000000014</v>
      </c>
      <c r="BY330" s="577">
        <f>INPUT!DV272</f>
        <v>3.7057220708447005</v>
      </c>
      <c r="BZ330" s="580">
        <f>INPUT!DW272</f>
        <v>380.90000000000015</v>
      </c>
      <c r="CA330" s="577">
        <f>INPUT!DX272</f>
        <v>4.7291723948309112</v>
      </c>
      <c r="CB330" s="580">
        <f>INPUT!DY272</f>
        <v>389.10000000000014</v>
      </c>
      <c r="CC330" s="577">
        <f>INPUT!DZ272</f>
        <v>5.1621621621621614</v>
      </c>
      <c r="CD330" s="580">
        <f>INPUT!EA272</f>
        <v>403.60000000000014</v>
      </c>
      <c r="CE330" s="577">
        <f>INPUT!EB272</f>
        <v>5.9595694407980915</v>
      </c>
      <c r="CF330" s="580">
        <f>INPUT!EC272</f>
        <v>418.80000000000013</v>
      </c>
      <c r="CG330" s="577">
        <f>INPUT!ED272</f>
        <v>10.036784025223326</v>
      </c>
      <c r="CH330" s="580">
        <f>INPUT!EE272</f>
        <v>445.90000000000009</v>
      </c>
      <c r="CI330" s="577">
        <f>INPUT!EF272</f>
        <v>17.064846416382238</v>
      </c>
      <c r="CJ330" s="580">
        <f>INPUT!EG272</f>
        <v>431.50000000000011</v>
      </c>
      <c r="CK330" s="577">
        <f>INPUT!EH272</f>
        <v>10.896941660241581</v>
      </c>
      <c r="CL330" s="580">
        <f>INPUT!EI272</f>
        <v>445.20000000000016</v>
      </c>
      <c r="CM330" s="577">
        <f>INPUT!EJ272</f>
        <v>10.307234886025768</v>
      </c>
      <c r="CN330" s="580">
        <f>INPUT!EK272</f>
        <v>461.20000000000016</v>
      </c>
      <c r="CO330" s="577">
        <f>INPUT!EL272</f>
        <v>10.124164278892067</v>
      </c>
      <c r="CP330" s="580">
        <f>INPUT!EM272</f>
        <v>478.30000000000018</v>
      </c>
      <c r="CQ330" s="577">
        <f>INPUT!EN272</f>
        <v>7.2662031845705428</v>
      </c>
      <c r="CR330" s="580">
        <f>INPUT!EO272</f>
        <v>489.50000000000017</v>
      </c>
      <c r="CS330" s="577">
        <f>INPUT!EP272</f>
        <v>13.441483198146017</v>
      </c>
      <c r="CT330" s="580">
        <f>INPUT!EQ272</f>
        <v>489.99045000000012</v>
      </c>
      <c r="CU330" s="577">
        <f>INPUT!ER272</f>
        <v>10.060747978436652</v>
      </c>
      <c r="CV330" s="580">
        <f>INPUT!ES272</f>
        <v>497.8385304750002</v>
      </c>
      <c r="CW330" s="577">
        <f>INPUT!ET272</f>
        <v>7.9441739971812808</v>
      </c>
      <c r="CX330" s="580">
        <f>INPUT!EU272</f>
        <v>505.87941290891263</v>
      </c>
      <c r="CY330" s="577">
        <f>INPUT!EV272</f>
        <v>5.7661327428209148</v>
      </c>
      <c r="CZ330" s="580">
        <f>INPUT!EW272</f>
        <v>514.11601775637575</v>
      </c>
      <c r="DA330" s="577">
        <f>INPUT!EX272</f>
        <v>5.0288085304138122</v>
      </c>
      <c r="DB330" s="556"/>
      <c r="DC330" s="580">
        <f>INPUT!FP272</f>
        <v>134.69999999999999</v>
      </c>
      <c r="DD330" s="577"/>
      <c r="DE330" s="580">
        <f>INPUT!FR272</f>
        <v>156.79999999999998</v>
      </c>
      <c r="DF330" s="577">
        <f>INPUT!FS272</f>
        <v>16.406829992576093</v>
      </c>
      <c r="DG330" s="580">
        <f>INPUT!FT272</f>
        <v>176.39999999999998</v>
      </c>
      <c r="DH330" s="577">
        <f>INPUT!FU272</f>
        <v>12.5</v>
      </c>
      <c r="DI330" s="580">
        <f>INPUT!FV272</f>
        <v>161.19999999999999</v>
      </c>
      <c r="DJ330" s="577">
        <f>INPUT!FW272</f>
        <v>-8.6167800453514758</v>
      </c>
      <c r="DK330" s="580">
        <f>INPUT!FX272</f>
        <v>188.38000000000002</v>
      </c>
      <c r="DL330" s="577">
        <f>INPUT!FY272</f>
        <v>16.861042183622857</v>
      </c>
      <c r="DM330" s="580">
        <f>INPUT!FZ272</f>
        <v>235.18</v>
      </c>
      <c r="DN330" s="577">
        <f>INPUT!GA272</f>
        <v>24.843401634993086</v>
      </c>
      <c r="DO330" s="580">
        <f>INPUT!GB272</f>
        <v>271.8</v>
      </c>
      <c r="DP330" s="577">
        <f>INPUT!GC272</f>
        <v>15.571051960200705</v>
      </c>
      <c r="DQ330" s="580">
        <f>INPUT!GD272</f>
        <v>313.70000000000005</v>
      </c>
      <c r="DR330" s="577">
        <f>INPUT!GE272</f>
        <v>15.415746872700538</v>
      </c>
      <c r="DS330" s="580">
        <f>INPUT!GF272</f>
        <v>341.70000000000005</v>
      </c>
      <c r="DT330" s="577">
        <f>INPUT!GG272</f>
        <v>8.9257252151737418</v>
      </c>
      <c r="DU330" s="580">
        <f>INPUT!GH272</f>
        <v>370.00000000000006</v>
      </c>
      <c r="DV330" s="577">
        <f>INPUT!GI272</f>
        <v>8.2821188176763343</v>
      </c>
      <c r="DW330" s="580">
        <f>INPUT!GJ272</f>
        <v>389.10000000000014</v>
      </c>
      <c r="DX330" s="577">
        <f>INPUT!GK272</f>
        <v>5.1621621621621898</v>
      </c>
      <c r="DY330" s="580">
        <f>INPUT!GL272</f>
        <v>430.7000000000001</v>
      </c>
      <c r="DZ330" s="577">
        <f>INPUT!GM272</f>
        <v>10.691338987406823</v>
      </c>
      <c r="EA330" s="580">
        <f>INPUT!GN272</f>
        <v>484.00000000000011</v>
      </c>
      <c r="EB330" s="577">
        <f>INPUT!GO272</f>
        <v>12.375203157650333</v>
      </c>
      <c r="EC330" s="580">
        <f>INPUT!GP272</f>
        <v>511.55911136031807</v>
      </c>
      <c r="ED330" s="577">
        <f>INPUT!GQ272</f>
        <v>5.6940312727929552</v>
      </c>
      <c r="EE330" s="580">
        <f>INPUT!GR272</f>
        <v>543.83750425387916</v>
      </c>
      <c r="EF330" s="577">
        <f>INPUT!GS272</f>
        <v>6.3098070539155486</v>
      </c>
      <c r="EG330" s="580">
        <f>INPUT!GT272</f>
        <v>577.76970972864467</v>
      </c>
      <c r="EH330" s="577">
        <f>INPUT!GU272</f>
        <v>6.2394015141193648</v>
      </c>
      <c r="EI330" s="580">
        <f>INPUT!GV272</f>
        <v>613.47532573076887</v>
      </c>
      <c r="EJ330" s="577">
        <f>INPUT!GW272</f>
        <v>6.1799044499743161</v>
      </c>
      <c r="EK330" s="580">
        <f>INPUT!GX272</f>
        <v>651.07904171001655</v>
      </c>
      <c r="EL330" s="577">
        <f>INPUT!GY272</f>
        <v>6.1296215841206418</v>
      </c>
      <c r="EM330" s="577">
        <f>INPUT!GZ272</f>
        <v>6.1103313708377849</v>
      </c>
    </row>
    <row r="331" spans="1:143" ht="12.75" hidden="1" customHeight="1" outlineLevel="1" x14ac:dyDescent="0.2">
      <c r="A331" s="609" t="str">
        <f>INPUT!B274</f>
        <v>Net Institutional Flows</v>
      </c>
      <c r="B331" s="580">
        <f>INPUT!AY273</f>
        <v>0</v>
      </c>
      <c r="C331" s="577">
        <f>INPUT!AZ273</f>
        <v>0</v>
      </c>
      <c r="D331" s="580">
        <f>INPUT!BA273</f>
        <v>0</v>
      </c>
      <c r="E331" s="577">
        <f>INPUT!BB273</f>
        <v>0</v>
      </c>
      <c r="F331" s="580">
        <f>INPUT!BC273</f>
        <v>0</v>
      </c>
      <c r="G331" s="577">
        <f>INPUT!BD273</f>
        <v>0</v>
      </c>
      <c r="H331" s="580">
        <f>INPUT!BE273</f>
        <v>0</v>
      </c>
      <c r="I331" s="577">
        <f>INPUT!BF273</f>
        <v>0</v>
      </c>
      <c r="J331" s="580">
        <f>INPUT!BG273</f>
        <v>0</v>
      </c>
      <c r="K331" s="577">
        <f>INPUT!BH273</f>
        <v>0</v>
      </c>
      <c r="L331" s="580">
        <f>INPUT!BI273</f>
        <v>0</v>
      </c>
      <c r="M331" s="577">
        <f>INPUT!BJ273</f>
        <v>0</v>
      </c>
      <c r="N331" s="580">
        <f>INPUT!BK273</f>
        <v>0</v>
      </c>
      <c r="O331" s="577">
        <f>INPUT!BL273</f>
        <v>0</v>
      </c>
      <c r="P331" s="580">
        <f>INPUT!BM273</f>
        <v>0</v>
      </c>
      <c r="Q331" s="577">
        <f>INPUT!BN273</f>
        <v>0</v>
      </c>
      <c r="R331" s="580">
        <f>INPUT!BO273</f>
        <v>0</v>
      </c>
      <c r="S331" s="577">
        <f>INPUT!BP273</f>
        <v>0</v>
      </c>
      <c r="T331" s="580">
        <f>INPUT!BQ273</f>
        <v>0</v>
      </c>
      <c r="U331" s="577">
        <f>INPUT!BR273</f>
        <v>0</v>
      </c>
      <c r="V331" s="580">
        <f>INPUT!BS273</f>
        <v>0</v>
      </c>
      <c r="W331" s="577">
        <f>INPUT!BT273</f>
        <v>0</v>
      </c>
      <c r="X331" s="580">
        <f>INPUT!BU273</f>
        <v>0</v>
      </c>
      <c r="Y331" s="577">
        <f>INPUT!BV273</f>
        <v>0</v>
      </c>
      <c r="Z331" s="580">
        <f>INPUT!BW273</f>
        <v>0</v>
      </c>
      <c r="AA331" s="577">
        <f>INPUT!BX273</f>
        <v>0</v>
      </c>
      <c r="AB331" s="580">
        <f>INPUT!BY273</f>
        <v>0</v>
      </c>
      <c r="AC331" s="577">
        <f>INPUT!BZ273</f>
        <v>0</v>
      </c>
      <c r="AD331" s="580">
        <f>INPUT!CA273</f>
        <v>0</v>
      </c>
      <c r="AE331" s="577">
        <f>INPUT!CB273</f>
        <v>0</v>
      </c>
      <c r="AF331" s="580">
        <f>INPUT!CC273</f>
        <v>0</v>
      </c>
      <c r="AG331" s="577">
        <f>INPUT!CD273</f>
        <v>0</v>
      </c>
      <c r="AH331" s="580">
        <f>INPUT!CE273</f>
        <v>0</v>
      </c>
      <c r="AI331" s="577">
        <f>INPUT!CF273</f>
        <v>0</v>
      </c>
      <c r="AJ331" s="580">
        <f>INPUT!CG273</f>
        <v>0</v>
      </c>
      <c r="AK331" s="577">
        <f>INPUT!CH273</f>
        <v>0</v>
      </c>
      <c r="AL331" s="580">
        <f>INPUT!CI273</f>
        <v>0</v>
      </c>
      <c r="AM331" s="577">
        <f>INPUT!CJ273</f>
        <v>0</v>
      </c>
      <c r="AN331" s="580">
        <f>INPUT!CK273</f>
        <v>0</v>
      </c>
      <c r="AO331" s="577">
        <f>INPUT!CL273</f>
        <v>0</v>
      </c>
      <c r="AP331" s="580">
        <f>INPUT!CM273</f>
        <v>0</v>
      </c>
      <c r="AQ331" s="577">
        <f>INPUT!CN273</f>
        <v>0</v>
      </c>
      <c r="AR331" s="580">
        <f>INPUT!CO273</f>
        <v>0</v>
      </c>
      <c r="AS331" s="577">
        <f>INPUT!CP273</f>
        <v>0</v>
      </c>
      <c r="AT331" s="580">
        <f>INPUT!CQ273</f>
        <v>0</v>
      </c>
      <c r="AU331" s="577">
        <f>INPUT!CR273</f>
        <v>0</v>
      </c>
      <c r="AV331" s="580">
        <f>INPUT!CS273</f>
        <v>0</v>
      </c>
      <c r="AW331" s="577">
        <f>INPUT!CT273</f>
        <v>0</v>
      </c>
      <c r="AX331" s="580">
        <f>INPUT!CU273</f>
        <v>0</v>
      </c>
      <c r="AY331" s="577">
        <f>INPUT!CV273</f>
        <v>0</v>
      </c>
      <c r="AZ331" s="580">
        <f>INPUT!CW273</f>
        <v>0</v>
      </c>
      <c r="BA331" s="577">
        <f>INPUT!CX273</f>
        <v>0</v>
      </c>
      <c r="BB331" s="580">
        <f>INPUT!CY273</f>
        <v>0</v>
      </c>
      <c r="BC331" s="577">
        <f>INPUT!CZ273</f>
        <v>0</v>
      </c>
      <c r="BD331" s="580">
        <f>INPUT!DA273</f>
        <v>0</v>
      </c>
      <c r="BE331" s="577">
        <f>INPUT!DB273</f>
        <v>0</v>
      </c>
      <c r="BF331" s="580">
        <f>INPUT!DC273</f>
        <v>0</v>
      </c>
      <c r="BG331" s="577">
        <f>INPUT!DD273</f>
        <v>0</v>
      </c>
      <c r="BH331" s="580">
        <f>INPUT!DE273</f>
        <v>0</v>
      </c>
      <c r="BI331" s="577">
        <f>INPUT!DF273</f>
        <v>0</v>
      </c>
      <c r="BJ331" s="580">
        <f>INPUT!DG273</f>
        <v>0</v>
      </c>
      <c r="BK331" s="577">
        <f>INPUT!DH273</f>
        <v>0</v>
      </c>
      <c r="BL331" s="580">
        <f>INPUT!DI273</f>
        <v>0</v>
      </c>
      <c r="BM331" s="577">
        <f>INPUT!DJ273</f>
        <v>0</v>
      </c>
      <c r="BN331" s="580">
        <f>INPUT!DK273</f>
        <v>0</v>
      </c>
      <c r="BO331" s="577">
        <f>INPUT!DL273</f>
        <v>0</v>
      </c>
      <c r="BP331" s="580">
        <f>INPUT!DM273</f>
        <v>0</v>
      </c>
      <c r="BQ331" s="577">
        <f>INPUT!DN273</f>
        <v>0</v>
      </c>
      <c r="BR331" s="580">
        <f>INPUT!DO273</f>
        <v>0</v>
      </c>
      <c r="BS331" s="577">
        <f>INPUT!DP273</f>
        <v>0</v>
      </c>
      <c r="BT331" s="580">
        <f>INPUT!DQ273</f>
        <v>0</v>
      </c>
      <c r="BU331" s="577">
        <f>INPUT!DR273</f>
        <v>0</v>
      </c>
      <c r="BV331" s="580">
        <f>INPUT!DS273</f>
        <v>0</v>
      </c>
      <c r="BW331" s="577">
        <f>INPUT!DT273</f>
        <v>0</v>
      </c>
      <c r="BX331" s="580">
        <f>INPUT!DU273</f>
        <v>0</v>
      </c>
      <c r="BY331" s="577">
        <f>INPUT!DV273</f>
        <v>0</v>
      </c>
      <c r="BZ331" s="580">
        <f>INPUT!DW273</f>
        <v>0</v>
      </c>
      <c r="CA331" s="577">
        <f>INPUT!DX273</f>
        <v>0</v>
      </c>
      <c r="CB331" s="580">
        <f>INPUT!DY273</f>
        <v>0</v>
      </c>
      <c r="CC331" s="577">
        <f>INPUT!DZ273</f>
        <v>0</v>
      </c>
      <c r="CD331" s="580">
        <f>INPUT!EA273</f>
        <v>0</v>
      </c>
      <c r="CE331" s="577">
        <f>INPUT!EB273</f>
        <v>0</v>
      </c>
      <c r="CF331" s="580">
        <f>INPUT!EC273</f>
        <v>0</v>
      </c>
      <c r="CG331" s="577">
        <f>INPUT!ED273</f>
        <v>0</v>
      </c>
      <c r="CH331" s="580">
        <f>INPUT!EE273</f>
        <v>0</v>
      </c>
      <c r="CI331" s="577">
        <f>INPUT!EF273</f>
        <v>0</v>
      </c>
      <c r="CJ331" s="580">
        <f>INPUT!EG273</f>
        <v>0</v>
      </c>
      <c r="CK331" s="577">
        <f>INPUT!EH273</f>
        <v>0</v>
      </c>
      <c r="CL331" s="580">
        <f>INPUT!EI273</f>
        <v>0</v>
      </c>
      <c r="CM331" s="577">
        <f>INPUT!EJ273</f>
        <v>0</v>
      </c>
      <c r="CN331" s="580">
        <f>INPUT!EK273</f>
        <v>0</v>
      </c>
      <c r="CO331" s="577">
        <f>INPUT!EL273</f>
        <v>0</v>
      </c>
      <c r="CP331" s="580">
        <f>INPUT!EM273</f>
        <v>0</v>
      </c>
      <c r="CQ331" s="577">
        <f>INPUT!EN273</f>
        <v>0</v>
      </c>
      <c r="CR331" s="580">
        <f>INPUT!EO273</f>
        <v>0</v>
      </c>
      <c r="CS331" s="577">
        <f>INPUT!EP273</f>
        <v>0</v>
      </c>
      <c r="CT331" s="580">
        <f>INPUT!EQ273</f>
        <v>0</v>
      </c>
      <c r="CU331" s="577">
        <f>INPUT!ER273</f>
        <v>0</v>
      </c>
      <c r="CV331" s="580">
        <f>INPUT!ES273</f>
        <v>0</v>
      </c>
      <c r="CW331" s="577">
        <f>INPUT!ET273</f>
        <v>0</v>
      </c>
      <c r="CX331" s="580">
        <f>INPUT!EU273</f>
        <v>0</v>
      </c>
      <c r="CY331" s="577">
        <f>INPUT!EV273</f>
        <v>0</v>
      </c>
      <c r="CZ331" s="580">
        <f>INPUT!EW273</f>
        <v>0</v>
      </c>
      <c r="DA331" s="577">
        <f>INPUT!EX273</f>
        <v>0</v>
      </c>
      <c r="DB331" s="556"/>
      <c r="DC331" s="580">
        <f>INPUT!FP273</f>
        <v>0</v>
      </c>
      <c r="DD331" s="577"/>
      <c r="DE331" s="580">
        <f>INPUT!FR273</f>
        <v>0</v>
      </c>
      <c r="DF331" s="577">
        <f>INPUT!FS273</f>
        <v>0</v>
      </c>
      <c r="DG331" s="580">
        <f>INPUT!FT273</f>
        <v>0</v>
      </c>
      <c r="DH331" s="577">
        <f>INPUT!FU273</f>
        <v>0</v>
      </c>
      <c r="DI331" s="580">
        <f>INPUT!FV273</f>
        <v>0</v>
      </c>
      <c r="DJ331" s="577">
        <f>INPUT!FW273</f>
        <v>0</v>
      </c>
      <c r="DK331" s="580">
        <f>INPUT!FX273</f>
        <v>0</v>
      </c>
      <c r="DL331" s="577">
        <f>INPUT!FY273</f>
        <v>0</v>
      </c>
      <c r="DM331" s="580">
        <f>INPUT!FZ273</f>
        <v>0</v>
      </c>
      <c r="DN331" s="577">
        <f>INPUT!GA273</f>
        <v>0</v>
      </c>
      <c r="DO331" s="580">
        <f>INPUT!GB273</f>
        <v>0</v>
      </c>
      <c r="DP331" s="577">
        <f>INPUT!GC273</f>
        <v>0</v>
      </c>
      <c r="DQ331" s="580">
        <f>INPUT!GD273</f>
        <v>0</v>
      </c>
      <c r="DR331" s="577">
        <f>INPUT!GE273</f>
        <v>0</v>
      </c>
      <c r="DS331" s="580">
        <f>INPUT!GF273</f>
        <v>0</v>
      </c>
      <c r="DT331" s="577">
        <f>INPUT!GG273</f>
        <v>0</v>
      </c>
      <c r="DU331" s="580">
        <f>INPUT!GH273</f>
        <v>0</v>
      </c>
      <c r="DV331" s="577">
        <f>INPUT!GI273</f>
        <v>0</v>
      </c>
      <c r="DW331" s="580">
        <f>INPUT!GJ273</f>
        <v>0</v>
      </c>
      <c r="DX331" s="577">
        <f>INPUT!GK273</f>
        <v>0</v>
      </c>
      <c r="DY331" s="580">
        <f>INPUT!GL273</f>
        <v>0</v>
      </c>
      <c r="DZ331" s="577">
        <f>INPUT!GM273</f>
        <v>0</v>
      </c>
      <c r="EA331" s="580">
        <f>INPUT!GN273</f>
        <v>0</v>
      </c>
      <c r="EB331" s="577">
        <f>INPUT!GO273</f>
        <v>0</v>
      </c>
      <c r="EC331" s="580">
        <f>INPUT!GP273</f>
        <v>0</v>
      </c>
      <c r="ED331" s="577">
        <f>INPUT!GQ273</f>
        <v>0</v>
      </c>
      <c r="EE331" s="580">
        <f>INPUT!GR273</f>
        <v>0</v>
      </c>
      <c r="EF331" s="577">
        <f>INPUT!GS273</f>
        <v>0</v>
      </c>
      <c r="EG331" s="580">
        <f>INPUT!GT273</f>
        <v>0</v>
      </c>
      <c r="EH331" s="577">
        <f>INPUT!GU273</f>
        <v>0</v>
      </c>
      <c r="EI331" s="580">
        <f>INPUT!GV273</f>
        <v>0</v>
      </c>
      <c r="EJ331" s="577">
        <f>INPUT!GW273</f>
        <v>0</v>
      </c>
      <c r="EK331" s="580">
        <f>INPUT!GX273</f>
        <v>0</v>
      </c>
      <c r="EL331" s="577">
        <f>INPUT!GY273</f>
        <v>0</v>
      </c>
      <c r="EM331" s="577">
        <f>INPUT!GZ273</f>
        <v>0</v>
      </c>
    </row>
    <row r="332" spans="1:143" ht="12.75" hidden="1" customHeight="1" outlineLevel="1" x14ac:dyDescent="0.2">
      <c r="A332" s="609"/>
      <c r="B332" s="586"/>
      <c r="C332" s="577"/>
      <c r="D332" s="586"/>
      <c r="E332" s="577"/>
      <c r="F332" s="586"/>
      <c r="G332" s="577"/>
      <c r="H332" s="586"/>
      <c r="I332" s="577"/>
      <c r="J332" s="586"/>
      <c r="K332" s="577"/>
      <c r="L332" s="586"/>
      <c r="M332" s="577"/>
      <c r="N332" s="586"/>
      <c r="O332" s="577"/>
      <c r="P332" s="586"/>
      <c r="Q332" s="577"/>
      <c r="R332" s="586"/>
      <c r="S332" s="577"/>
      <c r="T332" s="586"/>
      <c r="U332" s="577"/>
      <c r="V332" s="586"/>
      <c r="W332" s="577"/>
      <c r="X332" s="586"/>
      <c r="Y332" s="577"/>
      <c r="Z332" s="586"/>
      <c r="AA332" s="577"/>
      <c r="AB332" s="586"/>
      <c r="AC332" s="577"/>
      <c r="AD332" s="586"/>
      <c r="AE332" s="577"/>
      <c r="AF332" s="586"/>
      <c r="AG332" s="577"/>
      <c r="AH332" s="586"/>
      <c r="AI332" s="577"/>
      <c r="AJ332" s="586"/>
      <c r="AK332" s="577"/>
      <c r="AL332" s="586"/>
      <c r="AM332" s="577"/>
      <c r="AN332" s="586"/>
      <c r="AO332" s="577"/>
      <c r="AP332" s="586"/>
      <c r="AQ332" s="577"/>
      <c r="AR332" s="586"/>
      <c r="AS332" s="577"/>
      <c r="AT332" s="586"/>
      <c r="AU332" s="577"/>
      <c r="AV332" s="586"/>
      <c r="AW332" s="577"/>
      <c r="AX332" s="586"/>
      <c r="AY332" s="577"/>
      <c r="AZ332" s="586"/>
      <c r="BA332" s="577"/>
      <c r="BB332" s="586"/>
      <c r="BC332" s="577"/>
      <c r="BD332" s="586"/>
      <c r="BE332" s="577"/>
      <c r="BF332" s="586"/>
      <c r="BG332" s="577"/>
      <c r="BH332" s="586"/>
      <c r="BI332" s="577"/>
      <c r="BJ332" s="586"/>
      <c r="BK332" s="577"/>
      <c r="BL332" s="586"/>
      <c r="BM332" s="577"/>
      <c r="BN332" s="586"/>
      <c r="BO332" s="577"/>
      <c r="BP332" s="586"/>
      <c r="BQ332" s="577"/>
      <c r="BR332" s="586"/>
      <c r="BS332" s="577"/>
      <c r="BT332" s="586"/>
      <c r="BU332" s="577"/>
      <c r="BV332" s="586"/>
      <c r="BW332" s="577"/>
      <c r="BX332" s="586"/>
      <c r="BY332" s="577"/>
      <c r="BZ332" s="586"/>
      <c r="CA332" s="577"/>
      <c r="CB332" s="586"/>
      <c r="CC332" s="577"/>
      <c r="CD332" s="586"/>
      <c r="CE332" s="577"/>
      <c r="CF332" s="586"/>
      <c r="CG332" s="577"/>
      <c r="CH332" s="586"/>
      <c r="CI332" s="577"/>
      <c r="CJ332" s="586"/>
      <c r="CK332" s="577"/>
      <c r="CL332" s="586"/>
      <c r="CM332" s="577"/>
      <c r="CN332" s="586"/>
      <c r="CO332" s="577"/>
      <c r="CP332" s="586"/>
      <c r="CQ332" s="577"/>
      <c r="CR332" s="586"/>
      <c r="CS332" s="577"/>
      <c r="CT332" s="586"/>
      <c r="CU332" s="577"/>
      <c r="CV332" s="586"/>
      <c r="CW332" s="577"/>
      <c r="CX332" s="586"/>
      <c r="CY332" s="577"/>
      <c r="CZ332" s="586"/>
      <c r="DA332" s="577"/>
      <c r="DB332" s="556"/>
      <c r="DC332" s="586"/>
      <c r="DD332" s="577"/>
      <c r="DE332" s="586"/>
      <c r="DF332" s="577"/>
      <c r="DG332" s="586"/>
      <c r="DH332" s="577"/>
      <c r="DI332" s="586"/>
      <c r="DJ332" s="577"/>
      <c r="DK332" s="586"/>
      <c r="DL332" s="577"/>
      <c r="DM332" s="586"/>
      <c r="DN332" s="577"/>
      <c r="DO332" s="586"/>
      <c r="DP332" s="577"/>
      <c r="DQ332" s="586"/>
      <c r="DR332" s="577"/>
      <c r="DS332" s="586"/>
      <c r="DT332" s="577"/>
      <c r="DU332" s="586"/>
      <c r="DV332" s="577"/>
      <c r="DW332" s="586"/>
      <c r="DX332" s="577"/>
      <c r="DY332" s="586"/>
      <c r="DZ332" s="577"/>
      <c r="EA332" s="586"/>
      <c r="EB332" s="577"/>
      <c r="EC332" s="586"/>
      <c r="ED332" s="577"/>
      <c r="EE332" s="586"/>
      <c r="EF332" s="577"/>
      <c r="EG332" s="586"/>
      <c r="EH332" s="577"/>
      <c r="EI332" s="586"/>
      <c r="EJ332" s="577"/>
      <c r="EK332" s="586"/>
      <c r="EL332" s="577"/>
      <c r="EM332" s="577"/>
    </row>
    <row r="333" spans="1:143" ht="12.75" hidden="1" customHeight="1" outlineLevel="1" x14ac:dyDescent="0.2">
      <c r="A333" s="618" t="str">
        <f>INPUT!B280</f>
        <v>Retail Assets</v>
      </c>
      <c r="B333" s="586"/>
      <c r="C333" s="577"/>
      <c r="D333" s="586"/>
      <c r="E333" s="577"/>
      <c r="F333" s="586"/>
      <c r="G333" s="577"/>
      <c r="H333" s="586"/>
      <c r="I333" s="577"/>
      <c r="J333" s="586"/>
      <c r="K333" s="577"/>
      <c r="L333" s="586"/>
      <c r="M333" s="577"/>
      <c r="N333" s="586"/>
      <c r="O333" s="577"/>
      <c r="P333" s="586"/>
      <c r="Q333" s="577"/>
      <c r="R333" s="586"/>
      <c r="S333" s="577"/>
      <c r="T333" s="586"/>
      <c r="U333" s="577"/>
      <c r="V333" s="586"/>
      <c r="W333" s="577"/>
      <c r="X333" s="586"/>
      <c r="Y333" s="577"/>
      <c r="Z333" s="586"/>
      <c r="AA333" s="577"/>
      <c r="AB333" s="586"/>
      <c r="AC333" s="577"/>
      <c r="AD333" s="586"/>
      <c r="AE333" s="577"/>
      <c r="AF333" s="586"/>
      <c r="AG333" s="577"/>
      <c r="AH333" s="586"/>
      <c r="AI333" s="577"/>
      <c r="AJ333" s="586"/>
      <c r="AK333" s="577"/>
      <c r="AL333" s="586"/>
      <c r="AM333" s="577"/>
      <c r="AN333" s="586"/>
      <c r="AO333" s="577"/>
      <c r="AP333" s="586"/>
      <c r="AQ333" s="577"/>
      <c r="AR333" s="586"/>
      <c r="AS333" s="577"/>
      <c r="AT333" s="586"/>
      <c r="AU333" s="577"/>
      <c r="AV333" s="586"/>
      <c r="AW333" s="577"/>
      <c r="AX333" s="586"/>
      <c r="AY333" s="577"/>
      <c r="AZ333" s="586"/>
      <c r="BA333" s="577"/>
      <c r="BB333" s="586"/>
      <c r="BC333" s="577"/>
      <c r="BD333" s="586"/>
      <c r="BE333" s="577"/>
      <c r="BF333" s="586"/>
      <c r="BG333" s="577"/>
      <c r="BH333" s="586"/>
      <c r="BI333" s="577"/>
      <c r="BJ333" s="586"/>
      <c r="BK333" s="577"/>
      <c r="BL333" s="586"/>
      <c r="BM333" s="577"/>
      <c r="BN333" s="586"/>
      <c r="BO333" s="577"/>
      <c r="BP333" s="586"/>
      <c r="BQ333" s="577"/>
      <c r="BR333" s="586"/>
      <c r="BS333" s="577"/>
      <c r="BT333" s="586"/>
      <c r="BU333" s="577"/>
      <c r="BV333" s="586"/>
      <c r="BW333" s="577"/>
      <c r="BX333" s="586"/>
      <c r="BY333" s="577"/>
      <c r="BZ333" s="586"/>
      <c r="CA333" s="577"/>
      <c r="CB333" s="586"/>
      <c r="CC333" s="577"/>
      <c r="CD333" s="586"/>
      <c r="CE333" s="577"/>
      <c r="CF333" s="586"/>
      <c r="CG333" s="577"/>
      <c r="CH333" s="586"/>
      <c r="CI333" s="577"/>
      <c r="CJ333" s="586"/>
      <c r="CK333" s="577"/>
      <c r="CL333" s="586"/>
      <c r="CM333" s="577"/>
      <c r="CN333" s="586"/>
      <c r="CO333" s="577"/>
      <c r="CP333" s="586"/>
      <c r="CQ333" s="577"/>
      <c r="CR333" s="586"/>
      <c r="CS333" s="577"/>
      <c r="CT333" s="586"/>
      <c r="CU333" s="577"/>
      <c r="CV333" s="586"/>
      <c r="CW333" s="577"/>
      <c r="CX333" s="586"/>
      <c r="CY333" s="577"/>
      <c r="CZ333" s="586"/>
      <c r="DA333" s="577"/>
      <c r="DB333" s="556"/>
      <c r="DC333" s="586"/>
      <c r="DD333" s="577"/>
      <c r="DE333" s="586"/>
      <c r="DF333" s="577"/>
      <c r="DG333" s="586"/>
      <c r="DH333" s="577"/>
      <c r="DI333" s="586"/>
      <c r="DJ333" s="577"/>
      <c r="DK333" s="586"/>
      <c r="DL333" s="577"/>
      <c r="DM333" s="586"/>
      <c r="DN333" s="577"/>
      <c r="DO333" s="586"/>
      <c r="DP333" s="577"/>
      <c r="DQ333" s="586"/>
      <c r="DR333" s="577"/>
      <c r="DS333" s="586"/>
      <c r="DT333" s="577"/>
      <c r="DU333" s="586"/>
      <c r="DV333" s="577"/>
      <c r="DW333" s="586"/>
      <c r="DX333" s="577"/>
      <c r="DY333" s="586"/>
      <c r="DZ333" s="577"/>
      <c r="EA333" s="586"/>
      <c r="EB333" s="577"/>
      <c r="EC333" s="586"/>
      <c r="ED333" s="577"/>
      <c r="EE333" s="586"/>
      <c r="EF333" s="577"/>
      <c r="EG333" s="586"/>
      <c r="EH333" s="577"/>
      <c r="EI333" s="586"/>
      <c r="EJ333" s="577"/>
      <c r="EK333" s="586"/>
      <c r="EL333" s="577"/>
      <c r="EM333" s="577"/>
    </row>
    <row r="334" spans="1:143" ht="12.75" hidden="1" customHeight="1" outlineLevel="1" x14ac:dyDescent="0.2">
      <c r="A334" s="609" t="str">
        <f>INPUT!B281</f>
        <v>Beginning Assets</v>
      </c>
      <c r="B334" s="586">
        <f>INPUT!AY281</f>
        <v>38.700000000000003</v>
      </c>
      <c r="C334" s="577">
        <f>INPUT!AZ281</f>
        <v>16.566265060240966</v>
      </c>
      <c r="D334" s="586">
        <f>INPUT!BA281</f>
        <v>40.500000000000007</v>
      </c>
      <c r="E334" s="577">
        <f>INPUT!BB281</f>
        <v>23.475609756097597</v>
      </c>
      <c r="F334" s="586">
        <f>INPUT!BC281</f>
        <v>40.700000000000003</v>
      </c>
      <c r="G334" s="577">
        <f>INPUT!BD281</f>
        <v>21.130952380952394</v>
      </c>
      <c r="H334" s="586">
        <f>INPUT!BE281</f>
        <v>41.3</v>
      </c>
      <c r="I334" s="577">
        <f>INPUT!BF281</f>
        <v>12.22826086956519</v>
      </c>
      <c r="J334" s="586">
        <f>INPUT!BG281</f>
        <v>43.4</v>
      </c>
      <c r="K334" s="577">
        <f>INPUT!BH281</f>
        <v>12.144702842377257</v>
      </c>
      <c r="L334" s="586">
        <f>INPUT!BI281</f>
        <v>47.699999999999996</v>
      </c>
      <c r="M334" s="577">
        <f>INPUT!BJ281</f>
        <v>17.777777777777743</v>
      </c>
      <c r="N334" s="586">
        <f>INPUT!BK281</f>
        <v>49.3</v>
      </c>
      <c r="O334" s="577">
        <f>INPUT!BL281</f>
        <v>21.130221130221116</v>
      </c>
      <c r="P334" s="586">
        <f>INPUT!BM281</f>
        <v>51.300000000000004</v>
      </c>
      <c r="Q334" s="577">
        <f>INPUT!BN281</f>
        <v>24.213075060532702</v>
      </c>
      <c r="R334" s="586">
        <f>INPUT!BO281</f>
        <v>50.900000000000006</v>
      </c>
      <c r="S334" s="577">
        <f>INPUT!BP281</f>
        <v>17.281105990783431</v>
      </c>
      <c r="T334" s="586">
        <f>INPUT!BQ281</f>
        <v>48.2</v>
      </c>
      <c r="U334" s="577">
        <f>INPUT!BR281</f>
        <v>1.0482180293501102</v>
      </c>
      <c r="V334" s="586">
        <f>INPUT!BS281</f>
        <v>50.7</v>
      </c>
      <c r="W334" s="577">
        <f>INPUT!BT281</f>
        <v>2.8397565922921046</v>
      </c>
      <c r="X334" s="586">
        <f>INPUT!BU281</f>
        <v>43.400000000000006</v>
      </c>
      <c r="Y334" s="577">
        <f>INPUT!BV281</f>
        <v>-15.399610136452239</v>
      </c>
      <c r="Z334" s="586">
        <f>INPUT!BW281</f>
        <v>33.500000000000007</v>
      </c>
      <c r="AA334" s="577">
        <f>INPUT!BX281</f>
        <v>-34.18467583497052</v>
      </c>
      <c r="AB334" s="586">
        <f>INPUT!BY281</f>
        <v>33.500000000000007</v>
      </c>
      <c r="AC334" s="577">
        <f>INPUT!BZ281</f>
        <v>-30.497925311203318</v>
      </c>
      <c r="AD334" s="586">
        <f>INPUT!CA281</f>
        <v>39.500000000000007</v>
      </c>
      <c r="AE334" s="577">
        <f>INPUT!CB281</f>
        <v>-22.09072978303746</v>
      </c>
      <c r="AF334" s="586">
        <f>INPUT!CC281</f>
        <v>47.20000000000001</v>
      </c>
      <c r="AG334" s="577">
        <f>INPUT!CD281</f>
        <v>8.7557603686636156</v>
      </c>
      <c r="AH334" s="586">
        <f>INPUT!CE281</f>
        <v>51.1</v>
      </c>
      <c r="AI334" s="577">
        <f>INPUT!CF281</f>
        <v>52.537313432835788</v>
      </c>
      <c r="AJ334" s="586">
        <f>INPUT!CG281</f>
        <v>53.499999999999993</v>
      </c>
      <c r="AK334" s="577">
        <f>INPUT!CH281</f>
        <v>59.701492537313385</v>
      </c>
      <c r="AL334" s="586">
        <f>INPUT!CI281</f>
        <v>49.099999999999994</v>
      </c>
      <c r="AM334" s="577">
        <f>INPUT!CJ281</f>
        <v>24.303797468354404</v>
      </c>
      <c r="AN334" s="586">
        <f>INPUT!CK281</f>
        <v>55.5</v>
      </c>
      <c r="AO334" s="577">
        <f>INPUT!CL281</f>
        <v>17.584745762711833</v>
      </c>
      <c r="AP334" s="586">
        <f>INPUT!CM281</f>
        <v>75.099999999999994</v>
      </c>
      <c r="AQ334" s="577">
        <f>INPUT!CN281</f>
        <v>46.96673189823872</v>
      </c>
      <c r="AR334" s="586">
        <f>INPUT!CO281</f>
        <v>80.7</v>
      </c>
      <c r="AS334" s="577">
        <f>INPUT!CP281</f>
        <v>50.841121495327144</v>
      </c>
      <c r="AT334" s="580">
        <f>INPUT!CQ281</f>
        <v>82.100000000000009</v>
      </c>
      <c r="AU334" s="577">
        <f>INPUT!CR281</f>
        <v>67.209775967413492</v>
      </c>
      <c r="AV334" s="580">
        <f>INPUT!CS281</f>
        <v>72.2</v>
      </c>
      <c r="AW334" s="577">
        <f>INPUT!CT281</f>
        <v>30.090090090090087</v>
      </c>
      <c r="AX334" s="580">
        <f>INPUT!CU281</f>
        <v>69.600000000000009</v>
      </c>
      <c r="AY334" s="577">
        <f>INPUT!CV281</f>
        <v>-7.3235685752330113</v>
      </c>
      <c r="AZ334" s="580">
        <f>INPUT!CW281</f>
        <v>81.100000000000023</v>
      </c>
      <c r="BA334" s="577">
        <f>INPUT!CX281</f>
        <v>0.49566294919456766</v>
      </c>
      <c r="BB334" s="580">
        <f>INPUT!CY281</f>
        <v>81.100000000000023</v>
      </c>
      <c r="BC334" s="577">
        <f>INPUT!CZ281</f>
        <v>-1.2180267965895126</v>
      </c>
      <c r="BD334" s="580">
        <f>INPUT!DA281</f>
        <v>87.800000000000026</v>
      </c>
      <c r="BE334" s="577">
        <f>INPUT!DB281</f>
        <v>21.606648199446028</v>
      </c>
      <c r="BF334" s="580">
        <f>INPUT!DC281</f>
        <v>91.100000000000023</v>
      </c>
      <c r="BG334" s="577">
        <f>INPUT!DD281</f>
        <v>30.890804597701162</v>
      </c>
      <c r="BH334" s="580">
        <f>INPUT!DE281</f>
        <v>97.900000000000034</v>
      </c>
      <c r="BI334" s="577">
        <f>INPUT!DF281</f>
        <v>20.715166461159072</v>
      </c>
      <c r="BJ334" s="580">
        <f>INPUT!DG281</f>
        <v>100.40000000000003</v>
      </c>
      <c r="BK334" s="577">
        <f>INPUT!DH281</f>
        <v>23.797780517879175</v>
      </c>
      <c r="BL334" s="580">
        <f>INPUT!DI281</f>
        <v>106.50000000000003</v>
      </c>
      <c r="BM334" s="577">
        <f>INPUT!DJ281</f>
        <v>21.298405466970394</v>
      </c>
      <c r="BN334" s="580">
        <f>INPUT!DK281</f>
        <v>115.00000000000003</v>
      </c>
      <c r="BO334" s="577">
        <f>INPUT!DL281</f>
        <v>26.234906695938534</v>
      </c>
      <c r="BP334" s="580">
        <f>INPUT!DM281</f>
        <v>117.00000000000003</v>
      </c>
      <c r="BQ334" s="577">
        <f>INPUT!DN281</f>
        <v>19.509703779366689</v>
      </c>
      <c r="BR334" s="580">
        <f>INPUT!DO281</f>
        <v>122.50000000000003</v>
      </c>
      <c r="BS334" s="577">
        <f>INPUT!DP281</f>
        <v>22.011952191235039</v>
      </c>
      <c r="BT334" s="580">
        <f>INPUT!DQ281</f>
        <v>122.70000000000003</v>
      </c>
      <c r="BU334" s="577">
        <f>INPUT!DR281</f>
        <v>15.211267605633807</v>
      </c>
      <c r="BV334" s="580">
        <f>INPUT!DS281</f>
        <v>126.80000000000003</v>
      </c>
      <c r="BW334" s="577">
        <f>INPUT!DT281</f>
        <v>10.260869565217391</v>
      </c>
      <c r="BX334" s="580">
        <f>INPUT!DU281</f>
        <v>135.10000000000005</v>
      </c>
      <c r="BY334" s="577">
        <f>INPUT!DV281</f>
        <v>15.470085470085479</v>
      </c>
      <c r="BZ334" s="580">
        <f>INPUT!DW281</f>
        <v>135.20000000000007</v>
      </c>
      <c r="CA334" s="577">
        <f>INPUT!DX281</f>
        <v>10.36734693877554</v>
      </c>
      <c r="CB334" s="580">
        <f>INPUT!DY281</f>
        <v>125.90000000000006</v>
      </c>
      <c r="CC334" s="577">
        <f>INPUT!DZ281</f>
        <v>2.607986960065233</v>
      </c>
      <c r="CD334" s="580">
        <f>INPUT!EA281</f>
        <v>128.90000000000006</v>
      </c>
      <c r="CE334" s="577">
        <f>INPUT!EB281</f>
        <v>1.6561514195583982</v>
      </c>
      <c r="CF334" s="580">
        <f>INPUT!EC281</f>
        <v>127.80000000000007</v>
      </c>
      <c r="CG334" s="577">
        <f>INPUT!ED281</f>
        <v>-5.403404885270163</v>
      </c>
      <c r="CH334" s="580">
        <f>INPUT!EE281</f>
        <v>131.30000000000007</v>
      </c>
      <c r="CI334" s="577">
        <f>INPUT!EF281</f>
        <v>-2.8846153846153868</v>
      </c>
      <c r="CJ334" s="580">
        <f>INPUT!EG281</f>
        <v>137.70000000000007</v>
      </c>
      <c r="CK334" s="577">
        <f>INPUT!EH281</f>
        <v>9.3725178713264512</v>
      </c>
      <c r="CL334" s="580">
        <f>INPUT!EI281</f>
        <v>136.60000000000008</v>
      </c>
      <c r="CM334" s="577">
        <f>INPUT!EJ281</f>
        <v>5.9736229635376219</v>
      </c>
      <c r="CN334" s="580">
        <f>INPUT!EK281</f>
        <v>144.20000000000007</v>
      </c>
      <c r="CO334" s="577">
        <f>INPUT!EL281</f>
        <v>12.832550860719877</v>
      </c>
      <c r="CP334" s="580">
        <f>INPUT!EM281</f>
        <v>150.00000000000009</v>
      </c>
      <c r="CQ334" s="577">
        <f>INPUT!EN281</f>
        <v>14.242193450114243</v>
      </c>
      <c r="CR334" s="580">
        <f>INPUT!EO281</f>
        <v>157.50000000000009</v>
      </c>
      <c r="CS334" s="577">
        <f>INPUT!EP281</f>
        <v>14.379084967320253</v>
      </c>
      <c r="CT334" s="580">
        <f>INPUT!EQ281</f>
        <v>164.3000000000001</v>
      </c>
      <c r="CU334" s="577">
        <f>INPUT!ER281</f>
        <v>20.278184480234259</v>
      </c>
      <c r="CV334" s="580">
        <f>INPUT!ES281</f>
        <v>164.0337900000001</v>
      </c>
      <c r="CW334" s="577">
        <f>INPUT!ET281</f>
        <v>13.754361997226084</v>
      </c>
      <c r="CX334" s="580">
        <f>INPUT!EU281</f>
        <v>166.42177672826639</v>
      </c>
      <c r="CY334" s="577">
        <f>INPUT!EV281</f>
        <v>10.947851152177535</v>
      </c>
      <c r="CZ334" s="580">
        <f>INPUT!EW281</f>
        <v>169.15336582687476</v>
      </c>
      <c r="DA334" s="577">
        <f>INPUT!EX281</f>
        <v>7.3989624297616956</v>
      </c>
      <c r="DB334" s="586"/>
      <c r="DC334" s="586">
        <f>INPUT!FP281</f>
        <v>33.200000000000003</v>
      </c>
      <c r="DD334" s="577"/>
      <c r="DE334" s="586">
        <f>INPUT!FR281</f>
        <v>38.700000000000003</v>
      </c>
      <c r="DF334" s="577">
        <f>INPUT!FS281</f>
        <v>16.566265060240966</v>
      </c>
      <c r="DG334" s="586">
        <f>INPUT!FT281</f>
        <v>43.400000000000006</v>
      </c>
      <c r="DH334" s="577">
        <f>INPUT!FU281</f>
        <v>12.144702842377271</v>
      </c>
      <c r="DI334" s="586">
        <f>INPUT!FV281</f>
        <v>50.900000000000006</v>
      </c>
      <c r="DJ334" s="577">
        <f>INPUT!FW281</f>
        <v>17.281105990783402</v>
      </c>
      <c r="DK334" s="586">
        <f>INPUT!FX281</f>
        <v>33.5</v>
      </c>
      <c r="DL334" s="577">
        <f>INPUT!FY281</f>
        <v>-34.184675834970534</v>
      </c>
      <c r="DM334" s="586">
        <f>INPUT!FZ281</f>
        <v>51.099999999999994</v>
      </c>
      <c r="DN334" s="577">
        <f>INPUT!GA281</f>
        <v>52.537313432835816</v>
      </c>
      <c r="DO334" s="580">
        <f>INPUT!GB281</f>
        <v>75.099999999999994</v>
      </c>
      <c r="DP334" s="577">
        <f>INPUT!GC281</f>
        <v>46.966731898238748</v>
      </c>
      <c r="DQ334" s="580">
        <f>INPUT!GD281</f>
        <v>69.599999999999994</v>
      </c>
      <c r="DR334" s="577">
        <f>INPUT!GE281</f>
        <v>-7.3235685752330255</v>
      </c>
      <c r="DS334" s="580">
        <f>INPUT!GF281</f>
        <v>91.1</v>
      </c>
      <c r="DT334" s="577">
        <f>INPUT!GG281</f>
        <v>30.890804597701162</v>
      </c>
      <c r="DU334" s="580">
        <f>INPUT!GH281</f>
        <v>115.00000000000001</v>
      </c>
      <c r="DV334" s="577">
        <f>INPUT!GI281</f>
        <v>26.234906695938548</v>
      </c>
      <c r="DW334" s="580">
        <f>INPUT!GJ281</f>
        <v>126.80000000000003</v>
      </c>
      <c r="DX334" s="577">
        <f>INPUT!GK281</f>
        <v>10.260869565217391</v>
      </c>
      <c r="DY334" s="580">
        <f>INPUT!GL281</f>
        <v>128.90000000000003</v>
      </c>
      <c r="DZ334" s="577">
        <f>INPUT!GM281</f>
        <v>1.6561514195583698</v>
      </c>
      <c r="EA334" s="580">
        <f>INPUT!GN281</f>
        <v>136.60000000000002</v>
      </c>
      <c r="EB334" s="577">
        <f>INPUT!GO281</f>
        <v>5.9736229635376077</v>
      </c>
      <c r="EC334" s="580">
        <f>INPUT!GP281</f>
        <v>164.3</v>
      </c>
      <c r="ED334" s="577">
        <f>INPUT!GQ281</f>
        <v>20.278184480234245</v>
      </c>
      <c r="EE334" s="580">
        <f>INPUT!GR281</f>
        <v>172.45833591307695</v>
      </c>
      <c r="EF334" s="577">
        <f>INPUT!GS281</f>
        <v>4.9655118156280764</v>
      </c>
      <c r="EG334" s="580">
        <f>INPUT!GT281</f>
        <v>181.36524358341617</v>
      </c>
      <c r="EH334" s="577">
        <f>INPUT!GU281</f>
        <v>5.1646721645444416</v>
      </c>
      <c r="EI334" s="580">
        <f>INPUT!GV281</f>
        <v>189.04764998247822</v>
      </c>
      <c r="EJ334" s="577">
        <f>INPUT!GW281</f>
        <v>4.2358757649883643</v>
      </c>
      <c r="EK334" s="580">
        <f>INPUT!GX281</f>
        <v>195.84154341698132</v>
      </c>
      <c r="EL334" s="577">
        <f>INPUT!GY281</f>
        <v>3.5937465687263455</v>
      </c>
      <c r="EM334" s="577">
        <f>INPUT!GZ281</f>
        <v>7.4708848867173661</v>
      </c>
    </row>
    <row r="335" spans="1:143" ht="12.75" hidden="1" customHeight="1" outlineLevel="1" x14ac:dyDescent="0.2">
      <c r="A335" s="609" t="str">
        <f>INPUT!B282</f>
        <v xml:space="preserve">  Deposits</v>
      </c>
      <c r="B335" s="586">
        <f>INPUT!AY282</f>
        <v>2.7</v>
      </c>
      <c r="C335" s="577">
        <f>INPUT!AZ282</f>
        <v>92.85714285714289</v>
      </c>
      <c r="D335" s="586">
        <f>INPUT!BA282</f>
        <v>3.3</v>
      </c>
      <c r="E335" s="577" t="str">
        <f>INPUT!BB282</f>
        <v>NM</v>
      </c>
      <c r="F335" s="586">
        <f>INPUT!BC282</f>
        <v>1.9</v>
      </c>
      <c r="G335" s="577">
        <f>INPUT!BD282</f>
        <v>-24</v>
      </c>
      <c r="H335" s="586">
        <f>INPUT!BE282</f>
        <v>2.1</v>
      </c>
      <c r="I335" s="577">
        <f>INPUT!BF282</f>
        <v>-36.363636363636353</v>
      </c>
      <c r="J335" s="586">
        <f>INPUT!BG282</f>
        <v>3</v>
      </c>
      <c r="K335" s="577">
        <f>INPUT!BH282</f>
        <v>11.1111111111111</v>
      </c>
      <c r="L335" s="586">
        <f>INPUT!BI282</f>
        <v>2.7</v>
      </c>
      <c r="M335" s="577">
        <f>INPUT!BJ282</f>
        <v>-18.181818181818173</v>
      </c>
      <c r="N335" s="586">
        <f>INPUT!BK282</f>
        <v>2.7</v>
      </c>
      <c r="O335" s="577">
        <f>INPUT!BL282</f>
        <v>42.105263157894768</v>
      </c>
      <c r="P335" s="586">
        <f>INPUT!BM282</f>
        <v>2.6</v>
      </c>
      <c r="Q335" s="577">
        <f>INPUT!BN282</f>
        <v>23.80952380952381</v>
      </c>
      <c r="R335" s="586">
        <f>INPUT!BO282</f>
        <v>3.5</v>
      </c>
      <c r="S335" s="577">
        <f>INPUT!BP282</f>
        <v>16.666666666666671</v>
      </c>
      <c r="T335" s="586">
        <f>INPUT!BQ282</f>
        <v>3.8</v>
      </c>
      <c r="U335" s="577">
        <f>INPUT!BR282</f>
        <v>40.740740740740733</v>
      </c>
      <c r="V335" s="586">
        <f>INPUT!BS282</f>
        <v>4.4000000000000004</v>
      </c>
      <c r="W335" s="577">
        <f>INPUT!BT282</f>
        <v>62.96296296296299</v>
      </c>
      <c r="X335" s="586">
        <f>INPUT!BU282</f>
        <v>3.4</v>
      </c>
      <c r="Y335" s="577">
        <f>INPUT!BV282</f>
        <v>30.769230769230774</v>
      </c>
      <c r="Z335" s="586">
        <f>INPUT!BW282</f>
        <v>3.5</v>
      </c>
      <c r="AA335" s="577">
        <f>INPUT!BX282</f>
        <v>0</v>
      </c>
      <c r="AB335" s="586">
        <f>INPUT!BY282</f>
        <v>4.5999999999999996</v>
      </c>
      <c r="AC335" s="577">
        <f>INPUT!BZ282</f>
        <v>21.05263157894737</v>
      </c>
      <c r="AD335" s="586">
        <f>INPUT!CA282</f>
        <v>6.1</v>
      </c>
      <c r="AE335" s="577">
        <f>INPUT!CB282</f>
        <v>38.636363636363626</v>
      </c>
      <c r="AF335" s="586">
        <f>INPUT!CC282</f>
        <v>4.4000000000000004</v>
      </c>
      <c r="AG335" s="577">
        <f>INPUT!CD282</f>
        <v>29.411764705882348</v>
      </c>
      <c r="AH335" s="586">
        <f>INPUT!CE282</f>
        <v>4.8</v>
      </c>
      <c r="AI335" s="577">
        <f>INPUT!CF282</f>
        <v>37.142857142857139</v>
      </c>
      <c r="AJ335" s="586">
        <f>INPUT!CG282</f>
        <v>6.8</v>
      </c>
      <c r="AK335" s="577">
        <f>INPUT!CH282</f>
        <v>47.826086956521749</v>
      </c>
      <c r="AL335" s="586">
        <f>INPUT!CI282</f>
        <v>4.0999999999999996</v>
      </c>
      <c r="AM335" s="577">
        <f>INPUT!CJ282</f>
        <v>-32.786885245901644</v>
      </c>
      <c r="AN335" s="586">
        <f>INPUT!CK282</f>
        <v>5.3</v>
      </c>
      <c r="AO335" s="577">
        <f>INPUT!CL282</f>
        <v>20.454545454545439</v>
      </c>
      <c r="AP335" s="586">
        <f>INPUT!CM282</f>
        <v>8.1</v>
      </c>
      <c r="AQ335" s="577">
        <f>INPUT!CN282</f>
        <v>68.75</v>
      </c>
      <c r="AR335" s="586">
        <f>INPUT!CO282</f>
        <v>6.1</v>
      </c>
      <c r="AS335" s="577">
        <f>INPUT!CP282</f>
        <v>-10.294117647058826</v>
      </c>
      <c r="AT335" s="580">
        <f>INPUT!CQ282</f>
        <v>7.5</v>
      </c>
      <c r="AU335" s="577">
        <f>INPUT!CR282</f>
        <v>82.926829268292693</v>
      </c>
      <c r="AV335" s="580">
        <f>INPUT!CS282</f>
        <v>8.1999999999999993</v>
      </c>
      <c r="AW335" s="577">
        <f>INPUT!CT282</f>
        <v>54.71698113207546</v>
      </c>
      <c r="AX335" s="580">
        <f>INPUT!CU282</f>
        <v>9.4</v>
      </c>
      <c r="AY335" s="577">
        <f>INPUT!CV282</f>
        <v>16.049382716049394</v>
      </c>
      <c r="AZ335" s="580">
        <f>INPUT!CW282</f>
        <v>9.5</v>
      </c>
      <c r="BA335" s="577">
        <f>INPUT!CX282</f>
        <v>55.737704918032819</v>
      </c>
      <c r="BB335" s="580">
        <f>INPUT!CY282</f>
        <v>8</v>
      </c>
      <c r="BC335" s="577">
        <f>INPUT!CZ282</f>
        <v>6.6666666666666714</v>
      </c>
      <c r="BD335" s="580">
        <f>INPUT!DA282</f>
        <v>10.1</v>
      </c>
      <c r="BE335" s="577">
        <f>INPUT!DB282</f>
        <v>23.170731707317074</v>
      </c>
      <c r="BF335" s="580">
        <f>INPUT!DC282</f>
        <v>10.9</v>
      </c>
      <c r="BG335" s="577">
        <f>INPUT!DD282</f>
        <v>15.957446808510639</v>
      </c>
      <c r="BH335" s="580">
        <f>INPUT!DE282</f>
        <v>12.4</v>
      </c>
      <c r="BI335" s="577">
        <f>INPUT!DF282</f>
        <v>30.526315789473699</v>
      </c>
      <c r="BJ335" s="580">
        <f>INPUT!DG282</f>
        <v>7.1</v>
      </c>
      <c r="BK335" s="577">
        <f>INPUT!DH282</f>
        <v>-11.25</v>
      </c>
      <c r="BL335" s="580">
        <f>INPUT!DI282</f>
        <v>9.8000000000000007</v>
      </c>
      <c r="BM335" s="577">
        <f>INPUT!DJ282</f>
        <v>-2.9702970297029623</v>
      </c>
      <c r="BN335" s="580">
        <f>INPUT!DK282</f>
        <v>8</v>
      </c>
      <c r="BO335" s="577">
        <f>INPUT!DL282</f>
        <v>-26.605504587155977</v>
      </c>
      <c r="BP335" s="580">
        <f>INPUT!DM282</f>
        <v>8.4</v>
      </c>
      <c r="BQ335" s="577">
        <f>INPUT!DN282</f>
        <v>-32.258064516129025</v>
      </c>
      <c r="BR335" s="580">
        <f>INPUT!DO282</f>
        <v>8.5</v>
      </c>
      <c r="BS335" s="577">
        <f>INPUT!DP282</f>
        <v>19.718309859154928</v>
      </c>
      <c r="BT335" s="580">
        <f>INPUT!DQ282</f>
        <v>11.9</v>
      </c>
      <c r="BU335" s="577">
        <f>INPUT!DR282</f>
        <v>21.428571428571416</v>
      </c>
      <c r="BV335" s="580">
        <f>INPUT!DS282</f>
        <v>13.1</v>
      </c>
      <c r="BW335" s="577">
        <f>INPUT!DT282</f>
        <v>63.75</v>
      </c>
      <c r="BX335" s="580">
        <f>INPUT!DU282</f>
        <v>10.3</v>
      </c>
      <c r="BY335" s="577">
        <f>INPUT!DV282</f>
        <v>22.61904761904762</v>
      </c>
      <c r="BZ335" s="580">
        <f>INPUT!DW282</f>
        <v>8.1999999999999993</v>
      </c>
      <c r="CA335" s="577">
        <f>INPUT!DX282</f>
        <v>-3.5294117647058982</v>
      </c>
      <c r="CB335" s="580">
        <f>INPUT!DY282</f>
        <v>9.3000000000000007</v>
      </c>
      <c r="CC335" s="577">
        <f>INPUT!DZ282</f>
        <v>-21.848739495798313</v>
      </c>
      <c r="CD335" s="580">
        <f>INPUT!EA282</f>
        <v>10.199999999999999</v>
      </c>
      <c r="CE335" s="577">
        <f>INPUT!EB282</f>
        <v>-22.137404580152676</v>
      </c>
      <c r="CF335" s="580">
        <f>INPUT!EC282</f>
        <v>11.5</v>
      </c>
      <c r="CG335" s="577">
        <f>INPUT!ED282</f>
        <v>11.650485436893206</v>
      </c>
      <c r="CH335" s="580">
        <f>INPUT!EE282</f>
        <v>10.5</v>
      </c>
      <c r="CI335" s="577">
        <f>INPUT!EF282</f>
        <v>28.048780487804891</v>
      </c>
      <c r="CJ335" s="580">
        <f>INPUT!EG282</f>
        <v>9.9</v>
      </c>
      <c r="CK335" s="577">
        <f>INPUT!EH282</f>
        <v>6.4516129032257936</v>
      </c>
      <c r="CL335" s="580">
        <f>INPUT!EI282</f>
        <v>13</v>
      </c>
      <c r="CM335" s="577">
        <f>INPUT!EJ282</f>
        <v>27.450980392156879</v>
      </c>
      <c r="CN335" s="580">
        <f>INPUT!EK282</f>
        <v>10.8</v>
      </c>
      <c r="CO335" s="577">
        <f>INPUT!EL282</f>
        <v>-6.0869565217391255</v>
      </c>
      <c r="CP335" s="580">
        <f>INPUT!EM282</f>
        <v>11.9</v>
      </c>
      <c r="CQ335" s="577">
        <f>INPUT!EN282</f>
        <v>13.333333333333329</v>
      </c>
      <c r="CR335" s="580">
        <f>INPUT!EO282</f>
        <v>14</v>
      </c>
      <c r="CS335" s="577">
        <f>INPUT!EP282</f>
        <v>41.414141414141426</v>
      </c>
      <c r="CT335" s="580">
        <f>INPUT!EQ282</f>
        <v>13.65</v>
      </c>
      <c r="CU335" s="577">
        <f>INPUT!ER282</f>
        <v>5</v>
      </c>
      <c r="CV335" s="580">
        <f>INPUT!ES282</f>
        <v>11.340000000000002</v>
      </c>
      <c r="CW335" s="577">
        <f>INPUT!ET282</f>
        <v>5</v>
      </c>
      <c r="CX335" s="580">
        <f>INPUT!EU282</f>
        <v>12.495000000000001</v>
      </c>
      <c r="CY335" s="577">
        <f>INPUT!EV282</f>
        <v>5</v>
      </c>
      <c r="CZ335" s="580">
        <f>INPUT!EW282</f>
        <v>14.700000000000001</v>
      </c>
      <c r="DA335" s="577">
        <f>INPUT!EX282</f>
        <v>5</v>
      </c>
      <c r="DB335" s="586"/>
      <c r="DC335" s="586">
        <f>INPUT!FP282</f>
        <v>8.8000000000000007</v>
      </c>
      <c r="DD335" s="577"/>
      <c r="DE335" s="586">
        <f>INPUT!FR282</f>
        <v>10</v>
      </c>
      <c r="DF335" s="577">
        <f>INPUT!FS282</f>
        <v>13.636363636363626</v>
      </c>
      <c r="DG335" s="586">
        <f>INPUT!FT282</f>
        <v>11</v>
      </c>
      <c r="DH335" s="577">
        <f>INPUT!FU282</f>
        <v>10.000000000000014</v>
      </c>
      <c r="DI335" s="586">
        <f>INPUT!FV282</f>
        <v>15.1</v>
      </c>
      <c r="DJ335" s="577">
        <f>INPUT!FW282</f>
        <v>37.27272727272728</v>
      </c>
      <c r="DK335" s="586">
        <f>INPUT!FX282</f>
        <v>18.600000000000001</v>
      </c>
      <c r="DL335" s="577">
        <f>INPUT!FY282</f>
        <v>23.178807947019877</v>
      </c>
      <c r="DM335" s="586">
        <f>INPUT!FZ282</f>
        <v>21</v>
      </c>
      <c r="DN335" s="577">
        <f>INPUT!GA282</f>
        <v>12.903225806451601</v>
      </c>
      <c r="DO335" s="580">
        <f>INPUT!GB282</f>
        <v>29.9</v>
      </c>
      <c r="DP335" s="577">
        <f>INPUT!GC282</f>
        <v>42.380952380952351</v>
      </c>
      <c r="DQ335" s="580">
        <f>INPUT!GD282</f>
        <v>37</v>
      </c>
      <c r="DR335" s="577">
        <f>INPUT!GE282</f>
        <v>23.745819397993316</v>
      </c>
      <c r="DS335" s="580">
        <f>INPUT!GF282</f>
        <v>40.200000000000003</v>
      </c>
      <c r="DT335" s="577">
        <f>INPUT!GG282</f>
        <v>8.6486486486486456</v>
      </c>
      <c r="DU335" s="580">
        <f>INPUT!GH282</f>
        <v>36.799999999999997</v>
      </c>
      <c r="DV335" s="577">
        <f>INPUT!GI282</f>
        <v>-8.457711442786092</v>
      </c>
      <c r="DW335" s="580">
        <f>INPUT!GJ282</f>
        <v>40.9</v>
      </c>
      <c r="DX335" s="577">
        <f>INPUT!GK282</f>
        <v>11.141304347826093</v>
      </c>
      <c r="DY335" s="580">
        <f>INPUT!GL282</f>
        <v>42.1</v>
      </c>
      <c r="DZ335" s="577">
        <f>INPUT!GM282</f>
        <v>2.9339853300733694</v>
      </c>
      <c r="EA335" s="580">
        <f>INPUT!GN282</f>
        <v>49.7</v>
      </c>
      <c r="EB335" s="577">
        <f>INPUT!GO282</f>
        <v>18.052256532066508</v>
      </c>
      <c r="EC335" s="580">
        <f>INPUT!GP282</f>
        <v>52.185000000000002</v>
      </c>
      <c r="ED335" s="577">
        <f>INPUT!GQ282</f>
        <v>5</v>
      </c>
      <c r="EE335" s="580">
        <f>INPUT!GR282</f>
        <v>53.228700000000003</v>
      </c>
      <c r="EF335" s="577">
        <f>INPUT!GS282</f>
        <v>2</v>
      </c>
      <c r="EG335" s="580">
        <f>INPUT!GT282</f>
        <v>54.293274000000004</v>
      </c>
      <c r="EH335" s="577">
        <f>INPUT!GU282</f>
        <v>2</v>
      </c>
      <c r="EI335" s="580">
        <f>INPUT!GV282</f>
        <v>55.379139480000006</v>
      </c>
      <c r="EJ335" s="577">
        <f>INPUT!GW282</f>
        <v>2</v>
      </c>
      <c r="EK335" s="580">
        <f>INPUT!GX282</f>
        <v>56.486722269600008</v>
      </c>
      <c r="EL335" s="577">
        <f>INPUT!GY282</f>
        <v>2</v>
      </c>
      <c r="EM335" s="577">
        <f>INPUT!GZ282</f>
        <v>2.593063235330284</v>
      </c>
    </row>
    <row r="336" spans="1:143" ht="12.75" hidden="1" customHeight="1" outlineLevel="1" x14ac:dyDescent="0.2">
      <c r="A336" s="609" t="str">
        <f>INPUT!B283</f>
        <v xml:space="preserve">  Withdrawals</v>
      </c>
      <c r="B336" s="586">
        <f>INPUT!AY283</f>
        <v>-2.2999999999999998</v>
      </c>
      <c r="C336" s="577">
        <f>INPUT!AZ283</f>
        <v>21.05263157894737</v>
      </c>
      <c r="D336" s="586">
        <f>INPUT!BA283</f>
        <v>-3</v>
      </c>
      <c r="E336" s="577">
        <f>INPUT!BB283</f>
        <v>50</v>
      </c>
      <c r="F336" s="586">
        <f>INPUT!BC283</f>
        <v>-2.6</v>
      </c>
      <c r="G336" s="577">
        <f>INPUT!BD283</f>
        <v>30</v>
      </c>
      <c r="H336" s="586">
        <f>INPUT!BE283</f>
        <v>-1.9</v>
      </c>
      <c r="I336" s="577">
        <f>INPUT!BF283</f>
        <v>-17.391304347826093</v>
      </c>
      <c r="J336" s="586">
        <f>INPUT!BG283</f>
        <v>-2.7</v>
      </c>
      <c r="K336" s="577">
        <f>INPUT!BH283</f>
        <v>17.391304347826093</v>
      </c>
      <c r="L336" s="586">
        <f>INPUT!BI283</f>
        <v>-3.4</v>
      </c>
      <c r="M336" s="577">
        <f>INPUT!BJ283</f>
        <v>13.333333333333329</v>
      </c>
      <c r="N336" s="586">
        <f>INPUT!BK283</f>
        <v>-2.4</v>
      </c>
      <c r="O336" s="577">
        <f>INPUT!BL283</f>
        <v>-7.6923076923076934</v>
      </c>
      <c r="P336" s="586">
        <f>INPUT!BM283</f>
        <v>-2.4</v>
      </c>
      <c r="Q336" s="577">
        <f>INPUT!BN283</f>
        <v>26.315789473684205</v>
      </c>
      <c r="R336" s="586">
        <f>INPUT!BO283</f>
        <v>-2.5</v>
      </c>
      <c r="S336" s="577">
        <f>INPUT!BP283</f>
        <v>-7.407407407407419</v>
      </c>
      <c r="T336" s="586">
        <f>INPUT!BQ283</f>
        <v>-2.9</v>
      </c>
      <c r="U336" s="577">
        <f>INPUT!BR283</f>
        <v>-14.705882352941174</v>
      </c>
      <c r="V336" s="586">
        <f>INPUT!BS283</f>
        <v>-4.3</v>
      </c>
      <c r="W336" s="577">
        <f>INPUT!BT283</f>
        <v>79.166666666666686</v>
      </c>
      <c r="X336" s="586">
        <f>INPUT!BU283</f>
        <v>-5</v>
      </c>
      <c r="Y336" s="577" t="str">
        <f>INPUT!BV283</f>
        <v>NM</v>
      </c>
      <c r="Z336" s="586">
        <f>INPUT!BW283</f>
        <v>-3.3</v>
      </c>
      <c r="AA336" s="577">
        <f>INPUT!BX283</f>
        <v>31.999999999999972</v>
      </c>
      <c r="AB336" s="586">
        <f>INPUT!BY283</f>
        <v>-2.7</v>
      </c>
      <c r="AC336" s="577">
        <f>INPUT!BZ283</f>
        <v>-6.8965517241379217</v>
      </c>
      <c r="AD336" s="586">
        <f>INPUT!CA283</f>
        <v>-3.3</v>
      </c>
      <c r="AE336" s="577">
        <f>INPUT!CB283</f>
        <v>-23.255813953488371</v>
      </c>
      <c r="AF336" s="586">
        <f>INPUT!CC283</f>
        <v>-3.2</v>
      </c>
      <c r="AG336" s="577">
        <f>INPUT!CD283</f>
        <v>-36</v>
      </c>
      <c r="AH336" s="586">
        <f>INPUT!CE283</f>
        <v>-3.7</v>
      </c>
      <c r="AI336" s="577">
        <f>INPUT!CF283</f>
        <v>12.121212121212139</v>
      </c>
      <c r="AJ336" s="586">
        <f>INPUT!CG283</f>
        <v>-3.9</v>
      </c>
      <c r="AK336" s="577">
        <f>INPUT!CH283</f>
        <v>44.444444444444429</v>
      </c>
      <c r="AL336" s="586">
        <f>INPUT!CI283</f>
        <v>-2.9</v>
      </c>
      <c r="AM336" s="577">
        <f>INPUT!CJ283</f>
        <v>-12.121212121212125</v>
      </c>
      <c r="AN336" s="586">
        <f>INPUT!CK283</f>
        <v>-4.0999999999999996</v>
      </c>
      <c r="AO336" s="577">
        <f>INPUT!CL283</f>
        <v>28.124999999999972</v>
      </c>
      <c r="AP336" s="586">
        <f>INPUT!CM283</f>
        <v>-5.3</v>
      </c>
      <c r="AQ336" s="577">
        <f>INPUT!CN283</f>
        <v>43.243243243243228</v>
      </c>
      <c r="AR336" s="586">
        <f>INPUT!CO283</f>
        <v>-6.1</v>
      </c>
      <c r="AS336" s="577">
        <f>INPUT!CP283</f>
        <v>56.410256410256409</v>
      </c>
      <c r="AT336" s="580">
        <f>INPUT!CQ283</f>
        <v>-6.8</v>
      </c>
      <c r="AU336" s="577" t="str">
        <f>INPUT!CR283</f>
        <v>NM</v>
      </c>
      <c r="AV336" s="580">
        <f>INPUT!CS283</f>
        <v>-6</v>
      </c>
      <c r="AW336" s="577">
        <f>INPUT!CT283</f>
        <v>46.341463414634177</v>
      </c>
      <c r="AX336" s="580">
        <f>INPUT!CU283</f>
        <v>-6.1</v>
      </c>
      <c r="AY336" s="577">
        <f>INPUT!CV283</f>
        <v>15.094339622641513</v>
      </c>
      <c r="AZ336" s="580">
        <f>INPUT!CW283</f>
        <v>-5.9</v>
      </c>
      <c r="BA336" s="577">
        <f>INPUT!CX283</f>
        <v>-3.2786885245901516</v>
      </c>
      <c r="BB336" s="580">
        <f>INPUT!CY283</f>
        <v>-5.5</v>
      </c>
      <c r="BC336" s="577">
        <f>INPUT!CZ283</f>
        <v>-19.117647058823522</v>
      </c>
      <c r="BD336" s="580">
        <f>INPUT!DA283</f>
        <v>-6.7</v>
      </c>
      <c r="BE336" s="577">
        <f>INPUT!DB283</f>
        <v>11.666666666666671</v>
      </c>
      <c r="BF336" s="580">
        <f>INPUT!DC283</f>
        <v>-9.1</v>
      </c>
      <c r="BG336" s="577">
        <f>INPUT!DD283</f>
        <v>49.180327868852459</v>
      </c>
      <c r="BH336" s="580">
        <f>INPUT!DE283</f>
        <v>-9.9</v>
      </c>
      <c r="BI336" s="577">
        <f>INPUT!DF283</f>
        <v>67.796610169491515</v>
      </c>
      <c r="BJ336" s="580">
        <f>INPUT!DG283</f>
        <v>-8.5</v>
      </c>
      <c r="BK336" s="577">
        <f>INPUT!DH283</f>
        <v>54.545454545454533</v>
      </c>
      <c r="BL336" s="580">
        <f>INPUT!DI283</f>
        <v>-8.3000000000000007</v>
      </c>
      <c r="BM336" s="577">
        <f>INPUT!DJ283</f>
        <v>23.880597014925371</v>
      </c>
      <c r="BN336" s="580">
        <f>INPUT!DK283</f>
        <v>-7.8</v>
      </c>
      <c r="BO336" s="577">
        <f>INPUT!DL283</f>
        <v>-14.285714285714278</v>
      </c>
      <c r="BP336" s="580">
        <f>INPUT!DM283</f>
        <v>-7.7</v>
      </c>
      <c r="BQ336" s="577">
        <f>INPUT!DN283</f>
        <v>-22.222222222222214</v>
      </c>
      <c r="BR336" s="580">
        <f>INPUT!DO283</f>
        <v>-7.3</v>
      </c>
      <c r="BS336" s="577">
        <f>INPUT!DP283</f>
        <v>-14.117647058823536</v>
      </c>
      <c r="BT336" s="580">
        <f>INPUT!DQ283</f>
        <v>-9.3000000000000007</v>
      </c>
      <c r="BU336" s="577">
        <f>INPUT!DR283</f>
        <v>12.048192771084331</v>
      </c>
      <c r="BV336" s="580">
        <f>INPUT!DS283</f>
        <v>-9.1</v>
      </c>
      <c r="BW336" s="577">
        <f>INPUT!DT283</f>
        <v>16.666666666666671</v>
      </c>
      <c r="BX336" s="580">
        <f>INPUT!DU283</f>
        <v>-10.7</v>
      </c>
      <c r="BY336" s="577">
        <f>INPUT!DV283</f>
        <v>38.961038961038952</v>
      </c>
      <c r="BZ336" s="580">
        <f>INPUT!DW283</f>
        <v>-9.8000000000000007</v>
      </c>
      <c r="CA336" s="577">
        <f>INPUT!DX283</f>
        <v>34.246575342465746</v>
      </c>
      <c r="CB336" s="580">
        <f>INPUT!DY283</f>
        <v>-10.5</v>
      </c>
      <c r="CC336" s="577">
        <f>INPUT!DZ283</f>
        <v>12.903225806451601</v>
      </c>
      <c r="CD336" s="580">
        <f>INPUT!EA283</f>
        <v>-10.7</v>
      </c>
      <c r="CE336" s="577">
        <f>INPUT!EB283</f>
        <v>17.582417582417591</v>
      </c>
      <c r="CF336" s="580">
        <f>INPUT!EC283</f>
        <v>-9.9</v>
      </c>
      <c r="CG336" s="577">
        <f>INPUT!ED283</f>
        <v>-7.4766355140186818</v>
      </c>
      <c r="CH336" s="580">
        <f>INPUT!EE283</f>
        <v>-9.6</v>
      </c>
      <c r="CI336" s="577">
        <f>INPUT!EF283</f>
        <v>-2.0408163265306314</v>
      </c>
      <c r="CJ336" s="580">
        <f>INPUT!EG283</f>
        <v>-11.5</v>
      </c>
      <c r="CK336" s="577">
        <f>INPUT!EH283</f>
        <v>9.5238095238095326</v>
      </c>
      <c r="CL336" s="580">
        <f>INPUT!EI283</f>
        <v>-12.9</v>
      </c>
      <c r="CM336" s="577">
        <f>INPUT!EJ283</f>
        <v>20.56074766355141</v>
      </c>
      <c r="CN336" s="580">
        <f>INPUT!EK283</f>
        <v>-9.6</v>
      </c>
      <c r="CO336" s="577">
        <f>INPUT!EL283</f>
        <v>-3.0303030303030454</v>
      </c>
      <c r="CP336" s="580">
        <f>INPUT!EM283</f>
        <v>-10.6</v>
      </c>
      <c r="CQ336" s="577">
        <f>INPUT!EN283</f>
        <v>10.416666666666671</v>
      </c>
      <c r="CR336" s="580">
        <f>INPUT!EO283</f>
        <v>-12.5</v>
      </c>
      <c r="CS336" s="577">
        <f>INPUT!EP283</f>
        <v>8.6956521739130324</v>
      </c>
      <c r="CT336" s="580">
        <f>INPUT!EQ283</f>
        <v>-12.733250000000007</v>
      </c>
      <c r="CU336" s="577">
        <f>INPUT!ER283</f>
        <v>-1.2926356589146764</v>
      </c>
      <c r="CV336" s="580">
        <f>INPUT!ES283</f>
        <v>-10.920418751733703</v>
      </c>
      <c r="CW336" s="577">
        <f>INPUT!ET283</f>
        <v>13.754361997226084</v>
      </c>
      <c r="CX336" s="580">
        <f>INPUT!EU283</f>
        <v>-11.760472222130819</v>
      </c>
      <c r="CY336" s="577">
        <f>INPUT!EV283</f>
        <v>10.947851152177535</v>
      </c>
      <c r="CZ336" s="580">
        <f>INPUT!EW283</f>
        <v>-13.424870303720214</v>
      </c>
      <c r="DA336" s="577">
        <f>INPUT!EX283</f>
        <v>7.3989624297616956</v>
      </c>
      <c r="DB336" s="586"/>
      <c r="DC336" s="586">
        <f>INPUT!FP283</f>
        <v>-8.1999999999999993</v>
      </c>
      <c r="DD336" s="577"/>
      <c r="DE336" s="586">
        <f>INPUT!FR283</f>
        <v>-9.8000000000000007</v>
      </c>
      <c r="DF336" s="577">
        <f>INPUT!FS283</f>
        <v>19.512195121951237</v>
      </c>
      <c r="DG336" s="586">
        <f>INPUT!FT283</f>
        <v>-10.9</v>
      </c>
      <c r="DH336" s="577">
        <f>INPUT!FU283</f>
        <v>11.224489795918373</v>
      </c>
      <c r="DI336" s="586">
        <f>INPUT!FV283</f>
        <v>-14.7</v>
      </c>
      <c r="DJ336" s="577">
        <f>INPUT!FW283</f>
        <v>34.862385321100902</v>
      </c>
      <c r="DK336" s="586">
        <f>INPUT!FX283</f>
        <v>-12.5</v>
      </c>
      <c r="DL336" s="577">
        <f>INPUT!FY283</f>
        <v>-14.965986394557817</v>
      </c>
      <c r="DM336" s="586">
        <f>INPUT!FZ283</f>
        <v>-14.6</v>
      </c>
      <c r="DN336" s="577">
        <f>INPUT!GA283</f>
        <v>16.799999999999997</v>
      </c>
      <c r="DO336" s="580">
        <f>INPUT!GB283</f>
        <v>-24.2</v>
      </c>
      <c r="DP336" s="577">
        <f>INPUT!GC283</f>
        <v>65.753424657534254</v>
      </c>
      <c r="DQ336" s="580">
        <f>INPUT!GD283</f>
        <v>-24.2</v>
      </c>
      <c r="DR336" s="577">
        <f>INPUT!GE283</f>
        <v>0</v>
      </c>
      <c r="DS336" s="580">
        <f>INPUT!GF283</f>
        <v>-35.799999999999997</v>
      </c>
      <c r="DT336" s="577">
        <f>INPUT!GG283</f>
        <v>47.933884297520649</v>
      </c>
      <c r="DU336" s="580">
        <f>INPUT!GH283</f>
        <v>-32.1</v>
      </c>
      <c r="DV336" s="577">
        <f>INPUT!GI283</f>
        <v>-10.335195530726253</v>
      </c>
      <c r="DW336" s="580">
        <f>INPUT!GJ283</f>
        <v>-40.099999999999994</v>
      </c>
      <c r="DX336" s="577">
        <f>INPUT!GK283</f>
        <v>24.922118380062287</v>
      </c>
      <c r="DY336" s="580">
        <f>INPUT!GL283</f>
        <v>-41.7</v>
      </c>
      <c r="DZ336" s="577">
        <f>INPUT!GM283</f>
        <v>3.9900249376558747</v>
      </c>
      <c r="EA336" s="580">
        <f>INPUT!GN283</f>
        <v>-45.6</v>
      </c>
      <c r="EB336" s="577">
        <f>INPUT!GO283</f>
        <v>9.3525179856114988</v>
      </c>
      <c r="EC336" s="580">
        <f>INPUT!GP283</f>
        <v>-48.839011277584746</v>
      </c>
      <c r="ED336" s="577">
        <f>INPUT!GQ283</f>
        <v>7.103094906984083</v>
      </c>
      <c r="EE336" s="580">
        <f>INPUT!GR283</f>
        <v>-52.599792453488469</v>
      </c>
      <c r="EF336" s="577">
        <f>INPUT!GS283</f>
        <v>7.700363044879623</v>
      </c>
      <c r="EG336" s="580">
        <f>INPUT!GT283</f>
        <v>-55.316399292941931</v>
      </c>
      <c r="EH336" s="577">
        <f>INPUT!GU283</f>
        <v>5.1646721645444416</v>
      </c>
      <c r="EI336" s="580">
        <f>INPUT!GV283</f>
        <v>-57.659533244655861</v>
      </c>
      <c r="EJ336" s="577">
        <f>INPUT!GW283</f>
        <v>4.2358757649883785</v>
      </c>
      <c r="EK336" s="580">
        <f>INPUT!GX283</f>
        <v>-59.731670742179304</v>
      </c>
      <c r="EL336" s="577">
        <f>INPUT!GY283</f>
        <v>3.5937465687263312</v>
      </c>
      <c r="EM336" s="577">
        <f>INPUT!GZ283</f>
        <v>5.5475031361272853</v>
      </c>
    </row>
    <row r="337" spans="1:144" ht="12.75" hidden="1" customHeight="1" outlineLevel="1" x14ac:dyDescent="0.2">
      <c r="A337" s="609" t="str">
        <f>INPUT!B284</f>
        <v xml:space="preserve">  Change in Market Value</v>
      </c>
      <c r="B337" s="586">
        <f>INPUT!AY284</f>
        <v>1.3</v>
      </c>
      <c r="C337" s="577" t="str">
        <f>INPUT!AZ284</f>
        <v>NM</v>
      </c>
      <c r="D337" s="586">
        <f>INPUT!BA284</f>
        <v>-1</v>
      </c>
      <c r="E337" s="577" t="str">
        <f>INPUT!BB284</f>
        <v>NM</v>
      </c>
      <c r="F337" s="586">
        <f>INPUT!BC284</f>
        <v>1.3</v>
      </c>
      <c r="G337" s="577">
        <f>INPUT!BD284</f>
        <v>-40.909090909090921</v>
      </c>
      <c r="H337" s="586">
        <f>INPUT!BE284</f>
        <v>2</v>
      </c>
      <c r="I337" s="577">
        <f>INPUT!BF284</f>
        <v>100</v>
      </c>
      <c r="J337" s="586">
        <f>INPUT!BG284</f>
        <v>1.1000000000000001</v>
      </c>
      <c r="K337" s="577">
        <f>INPUT!BH284</f>
        <v>-15.384615384615387</v>
      </c>
      <c r="L337" s="586">
        <f>INPUT!BI284</f>
        <v>2.2999999999999998</v>
      </c>
      <c r="M337" s="577" t="str">
        <f>INPUT!BJ284</f>
        <v>NM</v>
      </c>
      <c r="N337" s="586">
        <f>INPUT!BK284</f>
        <v>1.7</v>
      </c>
      <c r="O337" s="577">
        <f>INPUT!BL284</f>
        <v>30.769230769230774</v>
      </c>
      <c r="P337" s="586">
        <f>INPUT!BM284</f>
        <v>-0.2</v>
      </c>
      <c r="Q337" s="577" t="str">
        <f>INPUT!BN284</f>
        <v>NM</v>
      </c>
      <c r="R337" s="586">
        <f>INPUT!BO284</f>
        <v>-4</v>
      </c>
      <c r="S337" s="577" t="str">
        <f>INPUT!BP284</f>
        <v>NM</v>
      </c>
      <c r="T337" s="586">
        <f>INPUT!BQ284</f>
        <v>1.9</v>
      </c>
      <c r="U337" s="577">
        <f>INPUT!BR284</f>
        <v>-17.391304347826093</v>
      </c>
      <c r="V337" s="586">
        <f>INPUT!BS284</f>
        <v>-7.5</v>
      </c>
      <c r="W337" s="577" t="str">
        <f>INPUT!BT284</f>
        <v>NM</v>
      </c>
      <c r="X337" s="586">
        <f>INPUT!BU284</f>
        <v>-8.4</v>
      </c>
      <c r="Y337" s="577" t="str">
        <f>INPUT!BV284</f>
        <v>NM</v>
      </c>
      <c r="Z337" s="586">
        <f>INPUT!BW284</f>
        <v>-0.7</v>
      </c>
      <c r="AA337" s="577" t="str">
        <f>INPUT!BX284</f>
        <v>NM</v>
      </c>
      <c r="AB337" s="586">
        <f>INPUT!BY284</f>
        <v>4.5</v>
      </c>
      <c r="AC337" s="577" t="str">
        <f>INPUT!BZ284</f>
        <v>NM</v>
      </c>
      <c r="AD337" s="586">
        <f>INPUT!CA284</f>
        <v>5.0999999999999996</v>
      </c>
      <c r="AE337" s="577" t="str">
        <f>INPUT!CB284</f>
        <v>NM</v>
      </c>
      <c r="AF337" s="586">
        <f>INPUT!CC284</f>
        <v>2.9</v>
      </c>
      <c r="AG337" s="577" t="str">
        <f>INPUT!CD284</f>
        <v>NM</v>
      </c>
      <c r="AH337" s="586">
        <f>INPUT!CE284</f>
        <v>1.5</v>
      </c>
      <c r="AI337" s="577" t="str">
        <f>INPUT!CF284</f>
        <v>NM</v>
      </c>
      <c r="AJ337" s="586">
        <f>INPUT!CG284</f>
        <v>-4.9000000000000004</v>
      </c>
      <c r="AK337" s="577" t="str">
        <f>INPUT!CH284</f>
        <v>NM</v>
      </c>
      <c r="AL337" s="586">
        <f>INPUT!CI284</f>
        <v>5.2</v>
      </c>
      <c r="AM337" s="577">
        <f>INPUT!CJ284</f>
        <v>1.9607843137255117</v>
      </c>
      <c r="AN337" s="586">
        <f>INPUT!CK284</f>
        <v>4.9000000000000004</v>
      </c>
      <c r="AO337" s="577">
        <f>INPUT!CL284</f>
        <v>68.965517241379331</v>
      </c>
      <c r="AP337" s="586">
        <f>INPUT!CM284</f>
        <v>3</v>
      </c>
      <c r="AQ337" s="577">
        <f>INPUT!CN284</f>
        <v>100</v>
      </c>
      <c r="AR337" s="586">
        <f>INPUT!CO284</f>
        <v>1.2</v>
      </c>
      <c r="AS337" s="577" t="str">
        <f>INPUT!CP284</f>
        <v>NM</v>
      </c>
      <c r="AT337" s="580">
        <f>INPUT!CQ284</f>
        <v>-9.1</v>
      </c>
      <c r="AU337" s="577" t="str">
        <f>INPUT!CR284</f>
        <v>NM</v>
      </c>
      <c r="AV337" s="580">
        <f>INPUT!CS284</f>
        <v>5.2</v>
      </c>
      <c r="AW337" s="577">
        <f>INPUT!CT284</f>
        <v>6.1224489795918373</v>
      </c>
      <c r="AX337" s="580">
        <f>INPUT!CU284</f>
        <v>8.1999999999999993</v>
      </c>
      <c r="AY337" s="577" t="str">
        <f>INPUT!CV284</f>
        <v>NM</v>
      </c>
      <c r="AZ337" s="580">
        <f>INPUT!CW284</f>
        <v>-3.6</v>
      </c>
      <c r="BA337" s="577" t="str">
        <f>INPUT!CX284</f>
        <v>NM</v>
      </c>
      <c r="BB337" s="580">
        <f>INPUT!CY284</f>
        <v>4.3</v>
      </c>
      <c r="BC337" s="577" t="str">
        <f>INPUT!CZ284</f>
        <v>NM</v>
      </c>
      <c r="BD337" s="580">
        <f>INPUT!DA284</f>
        <v>-0.1</v>
      </c>
      <c r="BE337" s="577" t="str">
        <f>INPUT!DB284</f>
        <v>NM</v>
      </c>
      <c r="BF337" s="580">
        <f>INPUT!DC284</f>
        <v>5</v>
      </c>
      <c r="BG337" s="577">
        <f>INPUT!DD284</f>
        <v>-39.024390243902431</v>
      </c>
      <c r="BH337" s="580">
        <f>INPUT!DE284</f>
        <v>0</v>
      </c>
      <c r="BI337" s="577" t="str">
        <f>INPUT!DF284</f>
        <v>NM</v>
      </c>
      <c r="BJ337" s="580">
        <f>INPUT!DG284</f>
        <v>7.5</v>
      </c>
      <c r="BK337" s="577">
        <f>INPUT!DH284</f>
        <v>74.418604651162781</v>
      </c>
      <c r="BL337" s="580">
        <f>INPUT!DI284</f>
        <v>7</v>
      </c>
      <c r="BM337" s="577" t="str">
        <f>INPUT!DJ284</f>
        <v>NM</v>
      </c>
      <c r="BN337" s="580">
        <f>INPUT!DK284</f>
        <v>1.8</v>
      </c>
      <c r="BO337" s="577" t="str">
        <f>INPUT!DL284</f>
        <v>NM</v>
      </c>
      <c r="BP337" s="580">
        <f>INPUT!DM284</f>
        <v>4.8</v>
      </c>
      <c r="BQ337" s="577" t="str">
        <f>INPUT!DN284</f>
        <v>NA</v>
      </c>
      <c r="BR337" s="580">
        <f>INPUT!DO284</f>
        <v>-1</v>
      </c>
      <c r="BS337" s="577" t="str">
        <f>INPUT!DP284</f>
        <v>NM</v>
      </c>
      <c r="BT337" s="580">
        <f>INPUT!DQ284</f>
        <v>1.6</v>
      </c>
      <c r="BU337" s="577" t="str">
        <f>INPUT!DR284</f>
        <v>NM</v>
      </c>
      <c r="BV337" s="580">
        <f>INPUT!DS284</f>
        <v>4.3</v>
      </c>
      <c r="BW337" s="577" t="str">
        <f>INPUT!DT284</f>
        <v>NM</v>
      </c>
      <c r="BX337" s="580">
        <f>INPUT!DU284</f>
        <v>0.5</v>
      </c>
      <c r="BY337" s="577" t="str">
        <f>INPUT!DV284</f>
        <v>NM</v>
      </c>
      <c r="BZ337" s="580">
        <f>INPUT!DW284</f>
        <v>-7.6</v>
      </c>
      <c r="CA337" s="577" t="str">
        <f>INPUT!DX284</f>
        <v>NM</v>
      </c>
      <c r="CB337" s="580">
        <f>INPUT!DY284</f>
        <v>4.2</v>
      </c>
      <c r="CC337" s="577" t="str">
        <f>INPUT!DZ284</f>
        <v>NM</v>
      </c>
      <c r="CD337" s="580">
        <f>INPUT!EA284</f>
        <v>-1.2</v>
      </c>
      <c r="CE337" s="577" t="str">
        <f>INPUT!EB284</f>
        <v>NM</v>
      </c>
      <c r="CF337" s="580">
        <f>INPUT!EC284</f>
        <v>1.9</v>
      </c>
      <c r="CG337" s="577" t="str">
        <f>INPUT!ED284</f>
        <v>NM</v>
      </c>
      <c r="CH337" s="580">
        <f>INPUT!EE284</f>
        <v>5.5</v>
      </c>
      <c r="CI337" s="577" t="str">
        <f>INPUT!EF284</f>
        <v>NM</v>
      </c>
      <c r="CJ337" s="580">
        <f>INPUT!EG284</f>
        <v>-1.7</v>
      </c>
      <c r="CK337" s="577" t="str">
        <f>INPUT!EH284</f>
        <v>NM</v>
      </c>
      <c r="CL337" s="580">
        <f>INPUT!EI284</f>
        <v>7.4</v>
      </c>
      <c r="CM337" s="577" t="str">
        <f>INPUT!EJ284</f>
        <v>NM</v>
      </c>
      <c r="CN337" s="580">
        <f>INPUT!EK284</f>
        <v>4.5999999999999996</v>
      </c>
      <c r="CO337" s="577" t="str">
        <f>INPUT!EL284</f>
        <v>NM</v>
      </c>
      <c r="CP337" s="580">
        <f>INPUT!EM284</f>
        <v>6.2</v>
      </c>
      <c r="CQ337" s="577">
        <f>INPUT!EN284</f>
        <v>12.72727272727272</v>
      </c>
      <c r="CR337" s="580">
        <f>INPUT!EO284</f>
        <v>5.3</v>
      </c>
      <c r="CS337" s="577" t="str">
        <f>INPUT!EP284</f>
        <v>NM</v>
      </c>
      <c r="CT337" s="580">
        <f>INPUT!EQ284</f>
        <v>-1.1829600000000007</v>
      </c>
      <c r="CU337" s="577" t="str">
        <f>INPUT!ER284</f>
        <v>NM</v>
      </c>
      <c r="CV337" s="580">
        <f>INPUT!ES284</f>
        <v>1.9684054800000013</v>
      </c>
      <c r="CW337" s="577" t="str">
        <f>INPUT!ET284</f>
        <v>NM</v>
      </c>
      <c r="CX337" s="580">
        <f>INPUT!EU284</f>
        <v>1.9970613207391967</v>
      </c>
      <c r="CY337" s="577" t="str">
        <f>INPUT!EV284</f>
        <v>NM</v>
      </c>
      <c r="CZ337" s="580">
        <f>INPUT!EW284</f>
        <v>2.029840389922497</v>
      </c>
      <c r="DA337" s="577" t="str">
        <f>INPUT!EX284</f>
        <v>NM</v>
      </c>
      <c r="DB337" s="586"/>
      <c r="DC337" s="586">
        <f>INPUT!FP284</f>
        <v>4.1000000000000005</v>
      </c>
      <c r="DD337" s="577"/>
      <c r="DE337" s="586">
        <f>INPUT!FR284</f>
        <v>3.6</v>
      </c>
      <c r="DF337" s="577">
        <f>INPUT!FS284</f>
        <v>-12.195121951219519</v>
      </c>
      <c r="DG337" s="586">
        <f>INPUT!FT284</f>
        <v>4.8999999999999995</v>
      </c>
      <c r="DH337" s="577">
        <f>INPUT!FU284</f>
        <v>36.111111111111086</v>
      </c>
      <c r="DI337" s="586">
        <f>INPUT!FV284</f>
        <v>-18</v>
      </c>
      <c r="DJ337" s="577" t="str">
        <f>INPUT!FW284</f>
        <v>NM</v>
      </c>
      <c r="DK337" s="586">
        <f>INPUT!FX284</f>
        <v>11.799999999999999</v>
      </c>
      <c r="DL337" s="577" t="str">
        <f>INPUT!FY284</f>
        <v>NM</v>
      </c>
      <c r="DM337" s="586">
        <f>INPUT!FZ284</f>
        <v>6.7</v>
      </c>
      <c r="DN337" s="577">
        <f>INPUT!GA284</f>
        <v>-43.220338983050844</v>
      </c>
      <c r="DO337" s="580">
        <f>INPUT!GB284</f>
        <v>0.30000000000000071</v>
      </c>
      <c r="DP337" s="577" t="str">
        <f>INPUT!GC284</f>
        <v>NM</v>
      </c>
      <c r="DQ337" s="580">
        <f>INPUT!GD284</f>
        <v>8.7999999999999989</v>
      </c>
      <c r="DR337" s="577" t="str">
        <f>INPUT!GE284</f>
        <v>NM</v>
      </c>
      <c r="DS337" s="580">
        <f>INPUT!GF284</f>
        <v>19.5</v>
      </c>
      <c r="DT337" s="577" t="str">
        <f>INPUT!GG284</f>
        <v>NM</v>
      </c>
      <c r="DU337" s="580">
        <f>INPUT!GH284</f>
        <v>7.1999999999999993</v>
      </c>
      <c r="DV337" s="577" t="str">
        <f>INPUT!GI284</f>
        <v>NM</v>
      </c>
      <c r="DW337" s="580">
        <f>INPUT!GJ284</f>
        <v>1.4000000000000004</v>
      </c>
      <c r="DX337" s="577" t="str">
        <f>INPUT!GK284</f>
        <v>NM</v>
      </c>
      <c r="DY337" s="580">
        <f>INPUT!GL284</f>
        <v>4.5</v>
      </c>
      <c r="DZ337" s="577" t="str">
        <f>INPUT!GM284</f>
        <v>NM</v>
      </c>
      <c r="EA337" s="580">
        <f>INPUT!GN284</f>
        <v>23.5</v>
      </c>
      <c r="EB337" s="577" t="str">
        <f>INPUT!GO284</f>
        <v>NM</v>
      </c>
      <c r="EC337" s="580">
        <f>INPUT!GP284</f>
        <v>4.8123471906616944</v>
      </c>
      <c r="ED337" s="577" t="str">
        <f>INPUT!GQ284</f>
        <v>NM</v>
      </c>
      <c r="EE337" s="580">
        <f>INPUT!GR284</f>
        <v>8.2780001238276935</v>
      </c>
      <c r="EF337" s="577">
        <f>INPUT!GS284</f>
        <v>72.015854132284119</v>
      </c>
      <c r="EG337" s="580">
        <f>INPUT!GT284</f>
        <v>8.7055316920039765</v>
      </c>
      <c r="EH337" s="577">
        <f>INPUT!GU284</f>
        <v>5.1646721645444416</v>
      </c>
      <c r="EI337" s="580">
        <f>INPUT!GV284</f>
        <v>9.0742871991589542</v>
      </c>
      <c r="EJ337" s="577">
        <f>INPUT!GW284</f>
        <v>4.2358757649883643</v>
      </c>
      <c r="EK337" s="580">
        <f>INPUT!GX284</f>
        <v>9.4003940840151046</v>
      </c>
      <c r="EL337" s="577">
        <f>INPUT!GY284</f>
        <v>3.5937465687263455</v>
      </c>
      <c r="EM337" s="577">
        <f>INPUT!GZ284</f>
        <v>-16.743981195112934</v>
      </c>
    </row>
    <row r="338" spans="1:144" ht="12.75" hidden="1" customHeight="1" outlineLevel="1" x14ac:dyDescent="0.2">
      <c r="A338" s="609" t="str">
        <f>INPUT!B285</f>
        <v xml:space="preserve">  Net Money Market Flows</v>
      </c>
      <c r="B338" s="586">
        <f>INPUT!AY285</f>
        <v>0.1</v>
      </c>
      <c r="C338" s="577">
        <f>INPUT!AZ285</f>
        <v>0</v>
      </c>
      <c r="D338" s="586">
        <f>INPUT!BA285</f>
        <v>0.9</v>
      </c>
      <c r="E338" s="577" t="str">
        <f>INPUT!BB285</f>
        <v>NM</v>
      </c>
      <c r="F338" s="586">
        <f>INPUT!BC285</f>
        <v>0</v>
      </c>
      <c r="G338" s="577" t="str">
        <f>INPUT!BD285</f>
        <v>NA</v>
      </c>
      <c r="H338" s="586">
        <f>INPUT!BE285</f>
        <v>-0.1</v>
      </c>
      <c r="I338" s="577" t="str">
        <f>INPUT!BF285</f>
        <v>NM</v>
      </c>
      <c r="J338" s="586">
        <f>INPUT!BG285</f>
        <v>0.1</v>
      </c>
      <c r="K338" s="577">
        <f>INPUT!BH285</f>
        <v>0</v>
      </c>
      <c r="L338" s="586">
        <f>INPUT!BI285</f>
        <v>0</v>
      </c>
      <c r="M338" s="577" t="str">
        <f>INPUT!BJ285</f>
        <v>NM</v>
      </c>
      <c r="N338" s="586">
        <f>INPUT!BK285</f>
        <v>0</v>
      </c>
      <c r="O338" s="577" t="str">
        <f>INPUT!BL285</f>
        <v>NA</v>
      </c>
      <c r="P338" s="586">
        <f>INPUT!BM285</f>
        <v>-0.6</v>
      </c>
      <c r="Q338" s="577" t="str">
        <f>INPUT!BN285</f>
        <v>NM</v>
      </c>
      <c r="R338" s="586">
        <f>INPUT!BO285</f>
        <v>0.3</v>
      </c>
      <c r="S338" s="577" t="str">
        <f>INPUT!BP285</f>
        <v>NM</v>
      </c>
      <c r="T338" s="586">
        <f>INPUT!BQ285</f>
        <v>-0.3</v>
      </c>
      <c r="U338" s="577" t="str">
        <f>INPUT!BR285</f>
        <v>NA</v>
      </c>
      <c r="V338" s="586">
        <f>INPUT!BS285</f>
        <v>0.1</v>
      </c>
      <c r="W338" s="577" t="str">
        <f>INPUT!BT285</f>
        <v>NA</v>
      </c>
      <c r="X338" s="586">
        <f>INPUT!BU285</f>
        <v>0.1</v>
      </c>
      <c r="Y338" s="577" t="str">
        <f>INPUT!BV285</f>
        <v>NM</v>
      </c>
      <c r="Z338" s="586">
        <f>INPUT!BW285</f>
        <v>0.7</v>
      </c>
      <c r="AA338" s="577" t="str">
        <f>INPUT!BX285</f>
        <v>NM</v>
      </c>
      <c r="AB338" s="586">
        <f>INPUT!BY285</f>
        <v>-0.4</v>
      </c>
      <c r="AC338" s="577">
        <f>INPUT!BZ285</f>
        <v>33.333333333333343</v>
      </c>
      <c r="AD338" s="586">
        <f>INPUT!CA285</f>
        <v>-0.2</v>
      </c>
      <c r="AE338" s="577" t="str">
        <f>INPUT!CB285</f>
        <v>NM</v>
      </c>
      <c r="AF338" s="586">
        <f>INPUT!CC285</f>
        <v>-0.2</v>
      </c>
      <c r="AG338" s="577" t="str">
        <f>INPUT!CD285</f>
        <v>NM</v>
      </c>
      <c r="AH338" s="586">
        <f>INPUT!CE285</f>
        <v>-0.2</v>
      </c>
      <c r="AI338" s="577" t="str">
        <f>INPUT!CF285</f>
        <v>NM</v>
      </c>
      <c r="AJ338" s="586">
        <f>INPUT!CG285</f>
        <v>-2.4</v>
      </c>
      <c r="AK338" s="577" t="str">
        <f>INPUT!CH285</f>
        <v>NM</v>
      </c>
      <c r="AL338" s="586">
        <f>INPUT!CI285</f>
        <v>0</v>
      </c>
      <c r="AM338" s="577" t="str">
        <f>INPUT!CJ285</f>
        <v>NM</v>
      </c>
      <c r="AN338" s="586">
        <f>INPUT!CK285</f>
        <v>0</v>
      </c>
      <c r="AO338" s="577" t="str">
        <f>INPUT!CL285</f>
        <v>NM</v>
      </c>
      <c r="AP338" s="586">
        <f>INPUT!CM285</f>
        <v>-0.1</v>
      </c>
      <c r="AQ338" s="577">
        <f>INPUT!CN285</f>
        <v>-50</v>
      </c>
      <c r="AR338" s="586">
        <f>INPUT!CO285</f>
        <v>0</v>
      </c>
      <c r="AS338" s="577" t="str">
        <f>INPUT!CP285</f>
        <v>NM</v>
      </c>
      <c r="AT338" s="580">
        <f>INPUT!CQ285</f>
        <v>0</v>
      </c>
      <c r="AU338" s="577" t="str">
        <f>INPUT!CR285</f>
        <v>NA</v>
      </c>
      <c r="AV338" s="580">
        <f>INPUT!CS285</f>
        <v>-1</v>
      </c>
      <c r="AW338" s="577" t="str">
        <f>INPUT!CT285</f>
        <v>NA</v>
      </c>
      <c r="AX338" s="580">
        <f>INPUT!CU285</f>
        <v>0</v>
      </c>
      <c r="AY338" s="577" t="str">
        <f>INPUT!CV285</f>
        <v>NM</v>
      </c>
      <c r="AZ338" s="580">
        <f>INPUT!CW285</f>
        <v>0</v>
      </c>
      <c r="BA338" s="577" t="str">
        <f>INPUT!CX285</f>
        <v>NA</v>
      </c>
      <c r="BB338" s="580">
        <f>INPUT!CY285</f>
        <v>-0.1</v>
      </c>
      <c r="BC338" s="577" t="str">
        <f>INPUT!CZ285</f>
        <v>NA</v>
      </c>
      <c r="BD338" s="580">
        <f>INPUT!DA285</f>
        <v>0</v>
      </c>
      <c r="BE338" s="577" t="str">
        <f>INPUT!DB285</f>
        <v>NM</v>
      </c>
      <c r="BF338" s="580">
        <f>INPUT!DC285</f>
        <v>0</v>
      </c>
      <c r="BG338" s="577" t="str">
        <f>INPUT!DD285</f>
        <v>NA</v>
      </c>
      <c r="BH338" s="580">
        <f>INPUT!DE285</f>
        <v>0</v>
      </c>
      <c r="BI338" s="577" t="str">
        <f>INPUT!DF285</f>
        <v>NA</v>
      </c>
      <c r="BJ338" s="580">
        <f>INPUT!DG285</f>
        <v>0</v>
      </c>
      <c r="BK338" s="577" t="str">
        <f>INPUT!DH285</f>
        <v>NM</v>
      </c>
      <c r="BL338" s="580">
        <f>INPUT!DI285</f>
        <v>0</v>
      </c>
      <c r="BM338" s="577" t="str">
        <f>INPUT!DJ285</f>
        <v>NA</v>
      </c>
      <c r="BN338" s="580">
        <f>INPUT!DK285</f>
        <v>0</v>
      </c>
      <c r="BO338" s="577" t="str">
        <f>INPUT!DL285</f>
        <v>NA</v>
      </c>
      <c r="BP338" s="580">
        <f>INPUT!DM285</f>
        <v>0</v>
      </c>
      <c r="BQ338" s="577" t="str">
        <f>INPUT!DN285</f>
        <v>NA</v>
      </c>
      <c r="BR338" s="580">
        <f>INPUT!DO285</f>
        <v>0</v>
      </c>
      <c r="BS338" s="577" t="str">
        <f>INPUT!DP285</f>
        <v>NA</v>
      </c>
      <c r="BT338" s="580">
        <f>INPUT!DQ285</f>
        <v>0</v>
      </c>
      <c r="BU338" s="577" t="str">
        <f>INPUT!DR285</f>
        <v>NA</v>
      </c>
      <c r="BV338" s="580">
        <f>INPUT!DS285</f>
        <v>0</v>
      </c>
      <c r="BW338" s="577" t="str">
        <f>INPUT!DT285</f>
        <v>NA</v>
      </c>
      <c r="BX338" s="580">
        <f>INPUT!DU285</f>
        <v>0</v>
      </c>
      <c r="BY338" s="577" t="str">
        <f>INPUT!DV285</f>
        <v>NA</v>
      </c>
      <c r="BZ338" s="580">
        <f>INPUT!DW285</f>
        <v>0</v>
      </c>
      <c r="CA338" s="577" t="str">
        <f>INPUT!DX285</f>
        <v>NA</v>
      </c>
      <c r="CB338" s="580">
        <f>INPUT!DY285</f>
        <v>0</v>
      </c>
      <c r="CC338" s="577" t="str">
        <f>INPUT!DZ285</f>
        <v>NA</v>
      </c>
      <c r="CD338" s="580">
        <f>INPUT!EA285</f>
        <v>-0.1</v>
      </c>
      <c r="CE338" s="577" t="str">
        <f>INPUT!EB285</f>
        <v>NA</v>
      </c>
      <c r="CF338" s="580">
        <f>INPUT!EC285</f>
        <v>0</v>
      </c>
      <c r="CG338" s="577" t="str">
        <f>INPUT!ED285</f>
        <v>NA</v>
      </c>
      <c r="CH338" s="580">
        <f>INPUT!EE285</f>
        <v>0</v>
      </c>
      <c r="CI338" s="577" t="str">
        <f>INPUT!EF285</f>
        <v>NA</v>
      </c>
      <c r="CJ338" s="580">
        <f>INPUT!EG285</f>
        <v>0</v>
      </c>
      <c r="CK338" s="577" t="str">
        <f>INPUT!EH285</f>
        <v>NA</v>
      </c>
      <c r="CL338" s="580">
        <f>INPUT!EI285</f>
        <v>0</v>
      </c>
      <c r="CM338" s="577" t="str">
        <f>INPUT!EJ285</f>
        <v>NM</v>
      </c>
      <c r="CN338" s="580">
        <f>INPUT!EK285</f>
        <v>0</v>
      </c>
      <c r="CO338" s="577" t="str">
        <f>INPUT!EL285</f>
        <v>NA</v>
      </c>
      <c r="CP338" s="580">
        <f>INPUT!EM285</f>
        <v>0</v>
      </c>
      <c r="CQ338" s="577" t="str">
        <f>INPUT!EN285</f>
        <v>NA</v>
      </c>
      <c r="CR338" s="580">
        <f>INPUT!EO285</f>
        <v>0</v>
      </c>
      <c r="CS338" s="577" t="str">
        <f>INPUT!EP285</f>
        <v>NA</v>
      </c>
      <c r="CT338" s="580">
        <f>INPUT!EQ285</f>
        <v>0</v>
      </c>
      <c r="CU338" s="577" t="str">
        <f>INPUT!ER285</f>
        <v>NA</v>
      </c>
      <c r="CV338" s="580">
        <f>INPUT!ES285</f>
        <v>0</v>
      </c>
      <c r="CW338" s="577" t="str">
        <f>INPUT!ET285</f>
        <v>NA</v>
      </c>
      <c r="CX338" s="580">
        <f>INPUT!EU285</f>
        <v>0</v>
      </c>
      <c r="CY338" s="577" t="str">
        <f>INPUT!EV285</f>
        <v>NA</v>
      </c>
      <c r="CZ338" s="580">
        <f>INPUT!EW285</f>
        <v>0</v>
      </c>
      <c r="DA338" s="577" t="str">
        <f>INPUT!EX285</f>
        <v>NA</v>
      </c>
      <c r="DB338" s="586"/>
      <c r="DC338" s="586">
        <f>INPUT!FP285</f>
        <v>0.1</v>
      </c>
      <c r="DD338" s="577"/>
      <c r="DE338" s="586">
        <f>INPUT!FR285</f>
        <v>0.9</v>
      </c>
      <c r="DF338" s="577" t="str">
        <f>INPUT!FS285</f>
        <v>NM</v>
      </c>
      <c r="DG338" s="586">
        <f>INPUT!FT285</f>
        <v>-0.5</v>
      </c>
      <c r="DH338" s="577" t="str">
        <f>INPUT!FU285</f>
        <v>NM</v>
      </c>
      <c r="DI338" s="586">
        <f>INPUT!FV285</f>
        <v>0.2</v>
      </c>
      <c r="DJ338" s="577" t="str">
        <f>INPUT!FW285</f>
        <v>NM</v>
      </c>
      <c r="DK338" s="586">
        <f>INPUT!FX285</f>
        <v>-0.10000000000000009</v>
      </c>
      <c r="DL338" s="577" t="str">
        <f>INPUT!FY285</f>
        <v>NM</v>
      </c>
      <c r="DM338" s="586">
        <f>INPUT!FZ285</f>
        <v>-2.6</v>
      </c>
      <c r="DN338" s="577" t="str">
        <f>INPUT!GA285</f>
        <v>NM</v>
      </c>
      <c r="DO338" s="580">
        <f>INPUT!GB285</f>
        <v>-1.1000000000000001</v>
      </c>
      <c r="DP338" s="577" t="str">
        <f>INPUT!GC285</f>
        <v>NM</v>
      </c>
      <c r="DQ338" s="580">
        <f>INPUT!GD285</f>
        <v>-0.1</v>
      </c>
      <c r="DR338" s="577" t="str">
        <f>INPUT!GE285</f>
        <v>NM</v>
      </c>
      <c r="DS338" s="580">
        <f>INPUT!GF285</f>
        <v>0</v>
      </c>
      <c r="DT338" s="577" t="str">
        <f>INPUT!GG285</f>
        <v>NM</v>
      </c>
      <c r="DU338" s="580">
        <f>INPUT!GH285</f>
        <v>0</v>
      </c>
      <c r="DV338" s="577" t="str">
        <f>INPUT!GI285</f>
        <v>NA</v>
      </c>
      <c r="DW338" s="580">
        <f>INPUT!GJ285</f>
        <v>0</v>
      </c>
      <c r="DX338" s="577" t="str">
        <f>INPUT!GK285</f>
        <v>NA</v>
      </c>
      <c r="DY338" s="580">
        <f>INPUT!GL285</f>
        <v>-0.1</v>
      </c>
      <c r="DZ338" s="577" t="str">
        <f>INPUT!GM285</f>
        <v>NA</v>
      </c>
      <c r="EA338" s="580">
        <f>INPUT!GN285</f>
        <v>0</v>
      </c>
      <c r="EB338" s="577" t="str">
        <f>INPUT!GO285</f>
        <v>NM</v>
      </c>
      <c r="EC338" s="580">
        <f>INPUT!GP285</f>
        <v>0</v>
      </c>
      <c r="ED338" s="577" t="str">
        <f>INPUT!GQ285</f>
        <v>NA</v>
      </c>
      <c r="EE338" s="580">
        <f>INPUT!GR285</f>
        <v>0</v>
      </c>
      <c r="EF338" s="577" t="str">
        <f>INPUT!GS285</f>
        <v>NA</v>
      </c>
      <c r="EG338" s="580">
        <f>INPUT!GT285</f>
        <v>0</v>
      </c>
      <c r="EH338" s="577" t="str">
        <f>INPUT!GU285</f>
        <v>NA</v>
      </c>
      <c r="EI338" s="580">
        <f>INPUT!GV285</f>
        <v>0</v>
      </c>
      <c r="EJ338" s="577" t="str">
        <f>INPUT!GW285</f>
        <v>NA</v>
      </c>
      <c r="EK338" s="580">
        <f>INPUT!GX285</f>
        <v>0</v>
      </c>
      <c r="EL338" s="577" t="str">
        <f>INPUT!GY285</f>
        <v>NA</v>
      </c>
      <c r="EM338" s="577" t="str">
        <f>INPUT!GZ285</f>
        <v>NA</v>
      </c>
    </row>
    <row r="339" spans="1:144" ht="12.75" hidden="1" customHeight="1" outlineLevel="1" x14ac:dyDescent="0.2">
      <c r="A339" s="609" t="str">
        <f>INPUT!B286</f>
        <v xml:space="preserve">  Other</v>
      </c>
      <c r="B339" s="586">
        <f>INPUT!AY286</f>
        <v>0</v>
      </c>
      <c r="C339" s="577" t="str">
        <f>INPUT!AZ286</f>
        <v>NM</v>
      </c>
      <c r="D339" s="586">
        <f>INPUT!BA286</f>
        <v>0</v>
      </c>
      <c r="E339" s="577" t="str">
        <f>INPUT!BB286</f>
        <v>NM</v>
      </c>
      <c r="F339" s="586">
        <f>INPUT!BC286</f>
        <v>0</v>
      </c>
      <c r="G339" s="577" t="str">
        <f>INPUT!BD286</f>
        <v>NM</v>
      </c>
      <c r="H339" s="586">
        <f>INPUT!BE286</f>
        <v>0</v>
      </c>
      <c r="I339" s="577" t="str">
        <f>INPUT!BF286</f>
        <v>NM</v>
      </c>
      <c r="J339" s="586">
        <f>INPUT!BG286</f>
        <v>2.8</v>
      </c>
      <c r="K339" s="577" t="str">
        <f>INPUT!BH286</f>
        <v>NA</v>
      </c>
      <c r="L339" s="586">
        <f>INPUT!BI286</f>
        <v>0</v>
      </c>
      <c r="M339" s="577" t="str">
        <f>INPUT!BJ286</f>
        <v>NA</v>
      </c>
      <c r="N339" s="586">
        <f>INPUT!BK286</f>
        <v>0</v>
      </c>
      <c r="O339" s="577" t="str">
        <f>INPUT!BL286</f>
        <v>NA</v>
      </c>
      <c r="P339" s="586">
        <f>INPUT!BM286</f>
        <v>0.2</v>
      </c>
      <c r="Q339" s="577" t="str">
        <f>INPUT!BN286</f>
        <v>NA</v>
      </c>
      <c r="R339" s="586">
        <f>INPUT!BO286</f>
        <v>0</v>
      </c>
      <c r="S339" s="577" t="str">
        <f>INPUT!BP286</f>
        <v>NM</v>
      </c>
      <c r="T339" s="586">
        <f>INPUT!BQ286</f>
        <v>0</v>
      </c>
      <c r="U339" s="577" t="str">
        <f>INPUT!BR286</f>
        <v>NA</v>
      </c>
      <c r="V339" s="586">
        <f>INPUT!BS286</f>
        <v>0</v>
      </c>
      <c r="W339" s="577" t="str">
        <f>INPUT!BT286</f>
        <v>NA</v>
      </c>
      <c r="X339" s="586">
        <f>INPUT!BU286</f>
        <v>0</v>
      </c>
      <c r="Y339" s="577" t="str">
        <f>INPUT!BV286</f>
        <v>NM</v>
      </c>
      <c r="Z339" s="586">
        <f>INPUT!BW286</f>
        <v>-0.2</v>
      </c>
      <c r="AA339" s="577" t="str">
        <f>INPUT!BX286</f>
        <v>NA</v>
      </c>
      <c r="AB339" s="586">
        <f>INPUT!BY286</f>
        <v>0</v>
      </c>
      <c r="AC339" s="577" t="str">
        <f>INPUT!BZ286</f>
        <v>NA</v>
      </c>
      <c r="AD339" s="586">
        <f>INPUT!CA286</f>
        <v>0</v>
      </c>
      <c r="AE339" s="577" t="str">
        <f>INPUT!CB286</f>
        <v>NA</v>
      </c>
      <c r="AF339" s="586">
        <f>INPUT!CC286</f>
        <v>0</v>
      </c>
      <c r="AG339" s="577" t="str">
        <f>INPUT!CD286</f>
        <v>NA</v>
      </c>
      <c r="AH339" s="586">
        <f>INPUT!CE286</f>
        <v>0</v>
      </c>
      <c r="AI339" s="577" t="str">
        <f>INPUT!CF286</f>
        <v>NM</v>
      </c>
      <c r="AJ339" s="586">
        <f>INPUT!CG286</f>
        <v>0</v>
      </c>
      <c r="AK339" s="577" t="str">
        <f>INPUT!CH286</f>
        <v>NA</v>
      </c>
      <c r="AL339" s="586">
        <f>INPUT!CI286</f>
        <v>0</v>
      </c>
      <c r="AM339" s="577" t="str">
        <f>INPUT!CJ286</f>
        <v>NA</v>
      </c>
      <c r="AN339" s="586">
        <f>INPUT!CK286</f>
        <v>0</v>
      </c>
      <c r="AO339" s="577" t="str">
        <f>INPUT!CL286</f>
        <v>NA</v>
      </c>
      <c r="AP339" s="586">
        <f>INPUT!CM286</f>
        <v>-0.1</v>
      </c>
      <c r="AQ339" s="577" t="str">
        <f>INPUT!CN286</f>
        <v>NA</v>
      </c>
      <c r="AR339" s="586">
        <f>INPUT!CO286</f>
        <v>0.2</v>
      </c>
      <c r="AS339" s="577" t="str">
        <f>INPUT!CP286</f>
        <v>NA</v>
      </c>
      <c r="AT339" s="580">
        <f>INPUT!CQ286</f>
        <v>-1.5</v>
      </c>
      <c r="AU339" s="577" t="str">
        <f>INPUT!CR286</f>
        <v>NA</v>
      </c>
      <c r="AV339" s="580">
        <f>INPUT!CS286</f>
        <v>-9</v>
      </c>
      <c r="AW339" s="577" t="str">
        <f>INPUT!CT286</f>
        <v>NA</v>
      </c>
      <c r="AX339" s="580">
        <f>INPUT!CU286</f>
        <v>0</v>
      </c>
      <c r="AY339" s="577" t="str">
        <f>INPUT!CV286</f>
        <v>NM</v>
      </c>
      <c r="AZ339" s="580">
        <f>INPUT!CW286</f>
        <v>0</v>
      </c>
      <c r="BA339" s="577" t="str">
        <f>INPUT!CX286</f>
        <v>NM</v>
      </c>
      <c r="BB339" s="580">
        <f>INPUT!CY286</f>
        <v>0</v>
      </c>
      <c r="BC339" s="577" t="str">
        <f>INPUT!CZ286</f>
        <v>NM</v>
      </c>
      <c r="BD339" s="580">
        <f>INPUT!DA286</f>
        <v>0</v>
      </c>
      <c r="BE339" s="577" t="str">
        <f>INPUT!DB286</f>
        <v>NM</v>
      </c>
      <c r="BF339" s="580">
        <f>INPUT!DC286</f>
        <v>0</v>
      </c>
      <c r="BG339" s="577" t="str">
        <f>INPUT!DD286</f>
        <v>NA</v>
      </c>
      <c r="BH339" s="580">
        <f>INPUT!DE286</f>
        <v>0</v>
      </c>
      <c r="BI339" s="577" t="str">
        <f>INPUT!DF286</f>
        <v>NA</v>
      </c>
      <c r="BJ339" s="580">
        <f>INPUT!DG286</f>
        <v>0</v>
      </c>
      <c r="BK339" s="577" t="str">
        <f>INPUT!DH286</f>
        <v>NA</v>
      </c>
      <c r="BL339" s="580">
        <f>INPUT!DI286</f>
        <v>0</v>
      </c>
      <c r="BM339" s="577" t="str">
        <f>INPUT!DJ286</f>
        <v>NA</v>
      </c>
      <c r="BN339" s="580">
        <f>INPUT!DK286</f>
        <v>0</v>
      </c>
      <c r="BO339" s="577" t="str">
        <f>INPUT!DL286</f>
        <v>NA</v>
      </c>
      <c r="BP339" s="580">
        <f>INPUT!DM286</f>
        <v>0</v>
      </c>
      <c r="BQ339" s="577" t="str">
        <f>INPUT!DN286</f>
        <v>NA</v>
      </c>
      <c r="BR339" s="580">
        <f>INPUT!DO286</f>
        <v>0</v>
      </c>
      <c r="BS339" s="577" t="str">
        <f>INPUT!DP286</f>
        <v>NA</v>
      </c>
      <c r="BT339" s="580">
        <f>INPUT!DQ286</f>
        <v>-0.1</v>
      </c>
      <c r="BU339" s="577" t="str">
        <f>INPUT!DR286</f>
        <v>NA</v>
      </c>
      <c r="BV339" s="580">
        <f>INPUT!DS286</f>
        <v>0</v>
      </c>
      <c r="BW339" s="577" t="str">
        <f>INPUT!DT286</f>
        <v>NA</v>
      </c>
      <c r="BX339" s="580">
        <f>INPUT!DU286</f>
        <v>0</v>
      </c>
      <c r="BY339" s="577" t="str">
        <f>INPUT!DV286</f>
        <v>NA</v>
      </c>
      <c r="BZ339" s="580">
        <f>INPUT!DW286</f>
        <v>-0.1</v>
      </c>
      <c r="CA339" s="577" t="str">
        <f>INPUT!DX286</f>
        <v>NA</v>
      </c>
      <c r="CB339" s="580">
        <f>INPUT!DY286</f>
        <v>0</v>
      </c>
      <c r="CC339" s="577" t="str">
        <f>INPUT!DZ286</f>
        <v>NM</v>
      </c>
      <c r="CD339" s="580">
        <f>INPUT!EA286</f>
        <v>0.7</v>
      </c>
      <c r="CE339" s="577" t="str">
        <f>INPUT!EB286</f>
        <v>NA</v>
      </c>
      <c r="CF339" s="580">
        <f>INPUT!EC286</f>
        <v>0</v>
      </c>
      <c r="CG339" s="577" t="str">
        <f>INPUT!ED286</f>
        <v>NA</v>
      </c>
      <c r="CH339" s="580">
        <f>INPUT!EE286</f>
        <v>0</v>
      </c>
      <c r="CI339" s="577" t="str">
        <f>INPUT!EF286</f>
        <v>NM</v>
      </c>
      <c r="CJ339" s="580">
        <f>INPUT!EG286</f>
        <v>2.2000000000000002</v>
      </c>
      <c r="CK339" s="577" t="str">
        <f>INPUT!EH286</f>
        <v>NA</v>
      </c>
      <c r="CL339" s="580">
        <f>INPUT!EI286</f>
        <v>0.1</v>
      </c>
      <c r="CM339" s="577" t="str">
        <f>INPUT!EJ286</f>
        <v>NM</v>
      </c>
      <c r="CN339" s="580">
        <f>INPUT!EK286</f>
        <v>0</v>
      </c>
      <c r="CO339" s="577" t="str">
        <f>INPUT!EL286</f>
        <v>NA</v>
      </c>
      <c r="CP339" s="580">
        <f>INPUT!EM286</f>
        <v>0</v>
      </c>
      <c r="CQ339" s="577" t="str">
        <f>INPUT!EN286</f>
        <v>NA</v>
      </c>
      <c r="CR339" s="580">
        <f>INPUT!EO286</f>
        <v>0</v>
      </c>
      <c r="CS339" s="577" t="str">
        <f>INPUT!EP286</f>
        <v>NM</v>
      </c>
      <c r="CT339" s="580">
        <f>INPUT!EQ286</f>
        <v>0</v>
      </c>
      <c r="CU339" s="577" t="str">
        <f>INPUT!ER286</f>
        <v>NM</v>
      </c>
      <c r="CV339" s="580">
        <f>INPUT!ES286</f>
        <v>0</v>
      </c>
      <c r="CW339" s="577" t="str">
        <f>INPUT!ET286</f>
        <v>NA</v>
      </c>
      <c r="CX339" s="580">
        <f>INPUT!EU286</f>
        <v>0</v>
      </c>
      <c r="CY339" s="577" t="str">
        <f>INPUT!EV286</f>
        <v>NA</v>
      </c>
      <c r="CZ339" s="580">
        <f>INPUT!EW286</f>
        <v>0</v>
      </c>
      <c r="DA339" s="577" t="str">
        <f>INPUT!EX286</f>
        <v>NA</v>
      </c>
      <c r="DB339" s="586"/>
      <c r="DC339" s="586">
        <f>INPUT!FP286</f>
        <v>0.7</v>
      </c>
      <c r="DD339" s="577"/>
      <c r="DE339" s="586">
        <f>INPUT!FR286</f>
        <v>0</v>
      </c>
      <c r="DF339" s="577" t="str">
        <f>INPUT!FS286</f>
        <v>NM</v>
      </c>
      <c r="DG339" s="586">
        <f>INPUT!FT286</f>
        <v>3</v>
      </c>
      <c r="DH339" s="577" t="str">
        <f>INPUT!FU286</f>
        <v>NA</v>
      </c>
      <c r="DI339" s="586">
        <f>INPUT!FV286</f>
        <v>0</v>
      </c>
      <c r="DJ339" s="577" t="str">
        <f>INPUT!FW286</f>
        <v>NM</v>
      </c>
      <c r="DK339" s="586">
        <f>INPUT!FX286</f>
        <v>-0.2</v>
      </c>
      <c r="DL339" s="577" t="str">
        <f>INPUT!FY286</f>
        <v>NA</v>
      </c>
      <c r="DM339" s="586">
        <f>INPUT!FZ286</f>
        <v>0</v>
      </c>
      <c r="DN339" s="577" t="str">
        <f>INPUT!GA286</f>
        <v>NM</v>
      </c>
      <c r="DO339" s="580">
        <f>INPUT!GB286</f>
        <v>-10.4</v>
      </c>
      <c r="DP339" s="577" t="str">
        <f>INPUT!GC286</f>
        <v>NA</v>
      </c>
      <c r="DQ339" s="580">
        <f>INPUT!GD286</f>
        <v>0</v>
      </c>
      <c r="DR339" s="577" t="str">
        <f>INPUT!GE286</f>
        <v>NM</v>
      </c>
      <c r="DS339" s="580">
        <f>INPUT!GF286</f>
        <v>0</v>
      </c>
      <c r="DT339" s="577" t="str">
        <f>INPUT!GG286</f>
        <v>NA</v>
      </c>
      <c r="DU339" s="580">
        <f>INPUT!GH286</f>
        <v>-0.1</v>
      </c>
      <c r="DV339" s="577" t="str">
        <f>INPUT!GI286</f>
        <v>NA</v>
      </c>
      <c r="DW339" s="580">
        <f>INPUT!GJ286</f>
        <v>-0.1</v>
      </c>
      <c r="DX339" s="577">
        <f>INPUT!GK286</f>
        <v>0</v>
      </c>
      <c r="DY339" s="580">
        <f>INPUT!GL286</f>
        <v>2.9000000000000004</v>
      </c>
      <c r="DZ339" s="577" t="str">
        <f>INPUT!GM286</f>
        <v>NM</v>
      </c>
      <c r="EA339" s="580">
        <f>INPUT!GN286</f>
        <v>0.1</v>
      </c>
      <c r="EB339" s="577" t="str">
        <f>INPUT!GO286</f>
        <v>NM</v>
      </c>
      <c r="EC339" s="580">
        <f>INPUT!GP286</f>
        <v>0</v>
      </c>
      <c r="ED339" s="577" t="str">
        <f>INPUT!GQ286</f>
        <v>NM</v>
      </c>
      <c r="EE339" s="580">
        <f>INPUT!GR286</f>
        <v>0</v>
      </c>
      <c r="EF339" s="577" t="str">
        <f>INPUT!GS286</f>
        <v>NA</v>
      </c>
      <c r="EG339" s="580">
        <f>INPUT!GT286</f>
        <v>0</v>
      </c>
      <c r="EH339" s="577" t="str">
        <f>INPUT!GU286</f>
        <v>NA</v>
      </c>
      <c r="EI339" s="580">
        <f>INPUT!GV286</f>
        <v>0</v>
      </c>
      <c r="EJ339" s="577" t="str">
        <f>INPUT!GW286</f>
        <v>NA</v>
      </c>
      <c r="EK339" s="580">
        <f>INPUT!GX286</f>
        <v>0</v>
      </c>
      <c r="EL339" s="577" t="str">
        <f>INPUT!GY286</f>
        <v>NA</v>
      </c>
      <c r="EM339" s="577" t="str">
        <f>INPUT!GZ286</f>
        <v>NM</v>
      </c>
    </row>
    <row r="340" spans="1:144" ht="12.75" hidden="1" customHeight="1" outlineLevel="1" x14ac:dyDescent="0.2">
      <c r="A340" s="609" t="str">
        <f>INPUT!B287</f>
        <v>Ending Assets</v>
      </c>
      <c r="B340" s="586">
        <f>INPUT!AY287</f>
        <v>40.500000000000007</v>
      </c>
      <c r="C340" s="577">
        <f>INPUT!AZ287</f>
        <v>23.475609756097597</v>
      </c>
      <c r="D340" s="586">
        <f>INPUT!BA287</f>
        <v>40.700000000000003</v>
      </c>
      <c r="E340" s="577">
        <f>INPUT!BB287</f>
        <v>21.130952380952394</v>
      </c>
      <c r="F340" s="586">
        <f>INPUT!BC287</f>
        <v>41.3</v>
      </c>
      <c r="G340" s="577">
        <f>INPUT!BD287</f>
        <v>12.22826086956519</v>
      </c>
      <c r="H340" s="586">
        <f>INPUT!BE287</f>
        <v>43.4</v>
      </c>
      <c r="I340" s="577">
        <f>INPUT!BF287</f>
        <v>12.144702842377257</v>
      </c>
      <c r="J340" s="586">
        <f>INPUT!BG287</f>
        <v>47.699999999999996</v>
      </c>
      <c r="K340" s="577">
        <f>INPUT!BH287</f>
        <v>17.777777777777743</v>
      </c>
      <c r="L340" s="586">
        <f>INPUT!BI287</f>
        <v>49.3</v>
      </c>
      <c r="M340" s="577">
        <f>INPUT!BJ287</f>
        <v>21.130221130221116</v>
      </c>
      <c r="N340" s="586">
        <f>INPUT!BK287</f>
        <v>51.300000000000004</v>
      </c>
      <c r="O340" s="577">
        <f>INPUT!BL287</f>
        <v>24.213075060532702</v>
      </c>
      <c r="P340" s="586">
        <f>INPUT!BM287</f>
        <v>50.900000000000006</v>
      </c>
      <c r="Q340" s="577">
        <f>INPUT!BN287</f>
        <v>17.281105990783431</v>
      </c>
      <c r="R340" s="586">
        <f>INPUT!BO287</f>
        <v>48.2</v>
      </c>
      <c r="S340" s="577">
        <f>INPUT!BP287</f>
        <v>1.0482180293501102</v>
      </c>
      <c r="T340" s="586">
        <f>INPUT!BQ287</f>
        <v>50.7</v>
      </c>
      <c r="U340" s="577">
        <f>INPUT!BR287</f>
        <v>2.8397565922921046</v>
      </c>
      <c r="V340" s="586">
        <f>INPUT!BS287</f>
        <v>43.400000000000006</v>
      </c>
      <c r="W340" s="577">
        <f>INPUT!BT287</f>
        <v>-15.399610136452239</v>
      </c>
      <c r="X340" s="586">
        <f>INPUT!BU287</f>
        <v>33.500000000000007</v>
      </c>
      <c r="Y340" s="577">
        <f>INPUT!BV287</f>
        <v>-34.18467583497052</v>
      </c>
      <c r="Z340" s="586">
        <f>INPUT!BW287</f>
        <v>33.500000000000007</v>
      </c>
      <c r="AA340" s="577">
        <f>INPUT!BX287</f>
        <v>-30.497925311203318</v>
      </c>
      <c r="AB340" s="586">
        <f>INPUT!BY287</f>
        <v>39.500000000000007</v>
      </c>
      <c r="AC340" s="577">
        <f>INPUT!BZ287</f>
        <v>-22.09072978303746</v>
      </c>
      <c r="AD340" s="586">
        <f>INPUT!CA287</f>
        <v>47.20000000000001</v>
      </c>
      <c r="AE340" s="577">
        <f>INPUT!CB287</f>
        <v>8.7557603686636156</v>
      </c>
      <c r="AF340" s="586">
        <f>INPUT!CC287</f>
        <v>51.1</v>
      </c>
      <c r="AG340" s="577">
        <f>INPUT!CD287</f>
        <v>52.537313432835788</v>
      </c>
      <c r="AH340" s="586">
        <f>INPUT!CE287</f>
        <v>53.499999999999993</v>
      </c>
      <c r="AI340" s="577">
        <f>INPUT!CF287</f>
        <v>59.701492537313385</v>
      </c>
      <c r="AJ340" s="586">
        <f>INPUT!CG287</f>
        <v>49.099999999999994</v>
      </c>
      <c r="AK340" s="577">
        <f>INPUT!CH287</f>
        <v>24.303797468354404</v>
      </c>
      <c r="AL340" s="586">
        <f>INPUT!CI287</f>
        <v>55.5</v>
      </c>
      <c r="AM340" s="577">
        <f>INPUT!CJ287</f>
        <v>17.584745762711833</v>
      </c>
      <c r="AN340" s="586">
        <f>INPUT!CK287</f>
        <v>61.599999999999994</v>
      </c>
      <c r="AO340" s="577">
        <f>INPUT!CL287</f>
        <v>20.547945205479451</v>
      </c>
      <c r="AP340" s="586">
        <f>INPUT!CM287</f>
        <v>80.7</v>
      </c>
      <c r="AQ340" s="577">
        <f>INPUT!CN287</f>
        <v>50.841121495327144</v>
      </c>
      <c r="AR340" s="586">
        <f>INPUT!CO287</f>
        <v>82.100000000000009</v>
      </c>
      <c r="AS340" s="577">
        <f>INPUT!CP287</f>
        <v>67.209775967413492</v>
      </c>
      <c r="AT340" s="580">
        <f>INPUT!CQ287</f>
        <v>72.200000000000017</v>
      </c>
      <c r="AU340" s="577">
        <f>INPUT!CR287</f>
        <v>30.090090090090115</v>
      </c>
      <c r="AV340" s="580">
        <f>INPUT!CS287</f>
        <v>69.600000000000009</v>
      </c>
      <c r="AW340" s="577">
        <f>INPUT!CT287</f>
        <v>12.987012987013017</v>
      </c>
      <c r="AX340" s="580">
        <f>INPUT!CU287</f>
        <v>81.100000000000023</v>
      </c>
      <c r="AY340" s="577">
        <f>INPUT!CV287</f>
        <v>0.49566294919456766</v>
      </c>
      <c r="AZ340" s="580">
        <f>INPUT!CW287</f>
        <v>81.100000000000023</v>
      </c>
      <c r="BA340" s="577">
        <f>INPUT!CX287</f>
        <v>-1.2180267965895126</v>
      </c>
      <c r="BB340" s="580">
        <f>INPUT!CY287</f>
        <v>87.800000000000026</v>
      </c>
      <c r="BC340" s="577">
        <f>INPUT!CZ287</f>
        <v>21.606648199445999</v>
      </c>
      <c r="BD340" s="580">
        <f>INPUT!DA287</f>
        <v>91.100000000000023</v>
      </c>
      <c r="BE340" s="577">
        <f>INPUT!DB287</f>
        <v>30.890804597701162</v>
      </c>
      <c r="BF340" s="580">
        <f>INPUT!DC287</f>
        <v>97.900000000000034</v>
      </c>
      <c r="BG340" s="577">
        <f>INPUT!DD287</f>
        <v>20.715166461159072</v>
      </c>
      <c r="BH340" s="580">
        <f>INPUT!DE287</f>
        <v>100.40000000000003</v>
      </c>
      <c r="BI340" s="577">
        <f>INPUT!DF287</f>
        <v>23.797780517879175</v>
      </c>
      <c r="BJ340" s="580">
        <f>INPUT!DG287</f>
        <v>106.50000000000003</v>
      </c>
      <c r="BK340" s="577">
        <f>INPUT!DH287</f>
        <v>21.298405466970394</v>
      </c>
      <c r="BL340" s="580">
        <f>INPUT!DI287</f>
        <v>115.00000000000003</v>
      </c>
      <c r="BM340" s="577">
        <f>INPUT!DJ287</f>
        <v>26.234906695938534</v>
      </c>
      <c r="BN340" s="580">
        <f>INPUT!DK287</f>
        <v>117.00000000000003</v>
      </c>
      <c r="BO340" s="577">
        <f>INPUT!DL287</f>
        <v>19.509703779366689</v>
      </c>
      <c r="BP340" s="580">
        <f>INPUT!DM287</f>
        <v>122.50000000000003</v>
      </c>
      <c r="BQ340" s="577">
        <f>INPUT!DN287</f>
        <v>22.011952191235039</v>
      </c>
      <c r="BR340" s="580">
        <f>INPUT!DO287</f>
        <v>122.70000000000003</v>
      </c>
      <c r="BS340" s="577">
        <f>INPUT!DP287</f>
        <v>15.211267605633807</v>
      </c>
      <c r="BT340" s="580">
        <f>INPUT!DQ287</f>
        <v>126.80000000000003</v>
      </c>
      <c r="BU340" s="577">
        <f>INPUT!DR287</f>
        <v>10.260869565217391</v>
      </c>
      <c r="BV340" s="580">
        <f>INPUT!DS287</f>
        <v>135.10000000000005</v>
      </c>
      <c r="BW340" s="577">
        <f>INPUT!DT287</f>
        <v>15.470085470085479</v>
      </c>
      <c r="BX340" s="580">
        <f>INPUT!DU287</f>
        <v>135.20000000000007</v>
      </c>
      <c r="BY340" s="577">
        <f>INPUT!DV287</f>
        <v>10.36734693877554</v>
      </c>
      <c r="BZ340" s="580">
        <f>INPUT!DW287</f>
        <v>125.90000000000006</v>
      </c>
      <c r="CA340" s="577">
        <f>INPUT!DX287</f>
        <v>2.607986960065233</v>
      </c>
      <c r="CB340" s="580">
        <f>INPUT!DY287</f>
        <v>128.90000000000006</v>
      </c>
      <c r="CC340" s="577">
        <f>INPUT!DZ287</f>
        <v>1.6561514195583982</v>
      </c>
      <c r="CD340" s="580">
        <f>INPUT!EA287</f>
        <v>127.80000000000007</v>
      </c>
      <c r="CE340" s="577">
        <f>INPUT!EB287</f>
        <v>-5.403404885270163</v>
      </c>
      <c r="CF340" s="580">
        <f>INPUT!EC287</f>
        <v>131.30000000000007</v>
      </c>
      <c r="CG340" s="577">
        <f>INPUT!ED287</f>
        <v>-2.8846153846153868</v>
      </c>
      <c r="CH340" s="580">
        <f>INPUT!EE287</f>
        <v>137.70000000000007</v>
      </c>
      <c r="CI340" s="577">
        <f>INPUT!EF287</f>
        <v>9.3725178713264512</v>
      </c>
      <c r="CJ340" s="580">
        <f>INPUT!EG287</f>
        <v>136.60000000000008</v>
      </c>
      <c r="CK340" s="577">
        <f>INPUT!EH287</f>
        <v>5.9736229635376219</v>
      </c>
      <c r="CL340" s="580">
        <f>INPUT!EI287</f>
        <v>144.20000000000007</v>
      </c>
      <c r="CM340" s="577">
        <f>INPUT!EJ287</f>
        <v>12.832550860719877</v>
      </c>
      <c r="CN340" s="580">
        <f>INPUT!EK287</f>
        <v>150.00000000000009</v>
      </c>
      <c r="CO340" s="577">
        <f>INPUT!EL287</f>
        <v>14.242193450114243</v>
      </c>
      <c r="CP340" s="580">
        <f>INPUT!EM287</f>
        <v>157.50000000000009</v>
      </c>
      <c r="CQ340" s="577">
        <f>INPUT!EN287</f>
        <v>14.379084967320253</v>
      </c>
      <c r="CR340" s="580">
        <f>INPUT!EO287</f>
        <v>164.3000000000001</v>
      </c>
      <c r="CS340" s="577">
        <f>INPUT!EP287</f>
        <v>20.278184480234259</v>
      </c>
      <c r="CT340" s="580">
        <f>INPUT!EQ287</f>
        <v>164.0337900000001</v>
      </c>
      <c r="CU340" s="577">
        <f>INPUT!ER287</f>
        <v>13.754361997226084</v>
      </c>
      <c r="CV340" s="580">
        <f>INPUT!ES287</f>
        <v>166.42177672826639</v>
      </c>
      <c r="CW340" s="577">
        <f>INPUT!ET287</f>
        <v>10.947851152177535</v>
      </c>
      <c r="CX340" s="580">
        <f>INPUT!EU287</f>
        <v>169.15336582687476</v>
      </c>
      <c r="CY340" s="577">
        <f>INPUT!EV287</f>
        <v>7.3989624297616956</v>
      </c>
      <c r="CZ340" s="580">
        <f>INPUT!EW287</f>
        <v>172.45833591307704</v>
      </c>
      <c r="DA340" s="577">
        <f>INPUT!EX287</f>
        <v>4.9655118156280764</v>
      </c>
      <c r="DB340" s="586"/>
      <c r="DC340" s="586">
        <f>INPUT!FP287</f>
        <v>38.700000000000003</v>
      </c>
      <c r="DD340" s="577"/>
      <c r="DE340" s="586">
        <f>INPUT!FR287</f>
        <v>43.400000000000006</v>
      </c>
      <c r="DF340" s="577">
        <f>INPUT!FS287</f>
        <v>12.144702842377271</v>
      </c>
      <c r="DG340" s="586">
        <f>INPUT!FT287</f>
        <v>50.900000000000006</v>
      </c>
      <c r="DH340" s="577">
        <f>INPUT!FU287</f>
        <v>17.281105990783402</v>
      </c>
      <c r="DI340" s="586">
        <f>INPUT!FV287</f>
        <v>33.5</v>
      </c>
      <c r="DJ340" s="577">
        <f>INPUT!FW287</f>
        <v>-34.184675834970534</v>
      </c>
      <c r="DK340" s="586">
        <f>INPUT!FX287</f>
        <v>51.099999999999994</v>
      </c>
      <c r="DL340" s="577">
        <f>INPUT!FY287</f>
        <v>52.537313432835816</v>
      </c>
      <c r="DM340" s="586">
        <f>INPUT!FZ287</f>
        <v>61.599999999999987</v>
      </c>
      <c r="DN340" s="577">
        <f>INPUT!GA287</f>
        <v>20.547945205479451</v>
      </c>
      <c r="DO340" s="580">
        <f>INPUT!GB287</f>
        <v>69.599999999999994</v>
      </c>
      <c r="DP340" s="577">
        <f>INPUT!GC287</f>
        <v>12.987012987012989</v>
      </c>
      <c r="DQ340" s="580">
        <f>INPUT!GD287</f>
        <v>91.1</v>
      </c>
      <c r="DR340" s="577">
        <f>INPUT!GE287</f>
        <v>30.890804597701162</v>
      </c>
      <c r="DS340" s="580">
        <f>INPUT!GF287</f>
        <v>115.00000000000001</v>
      </c>
      <c r="DT340" s="577">
        <f>INPUT!GG287</f>
        <v>26.234906695938548</v>
      </c>
      <c r="DU340" s="580">
        <f>INPUT!GH287</f>
        <v>126.80000000000003</v>
      </c>
      <c r="DV340" s="577">
        <f>INPUT!GI287</f>
        <v>10.260869565217391</v>
      </c>
      <c r="DW340" s="580">
        <f>INPUT!GJ287</f>
        <v>128.90000000000003</v>
      </c>
      <c r="DX340" s="577">
        <f>INPUT!GK287</f>
        <v>1.6561514195583698</v>
      </c>
      <c r="DY340" s="580">
        <f>INPUT!GL287</f>
        <v>136.60000000000002</v>
      </c>
      <c r="DZ340" s="577">
        <f>INPUT!GM287</f>
        <v>5.9736229635376077</v>
      </c>
      <c r="EA340" s="580">
        <f>INPUT!GN287</f>
        <v>164.3</v>
      </c>
      <c r="EB340" s="577">
        <f>INPUT!GO287</f>
        <v>20.278184480234245</v>
      </c>
      <c r="EC340" s="580">
        <f>INPUT!GP287</f>
        <v>172.45833591307695</v>
      </c>
      <c r="ED340" s="577">
        <f>INPUT!GQ287</f>
        <v>4.9655118156280764</v>
      </c>
      <c r="EE340" s="580">
        <f>INPUT!GR287</f>
        <v>181.36524358341617</v>
      </c>
      <c r="EF340" s="577">
        <f>INPUT!GS287</f>
        <v>5.1646721645444416</v>
      </c>
      <c r="EG340" s="580">
        <f>INPUT!GT287</f>
        <v>189.04764998247822</v>
      </c>
      <c r="EH340" s="577">
        <f>INPUT!GU287</f>
        <v>4.2358757649883643</v>
      </c>
      <c r="EI340" s="580">
        <f>INPUT!GV287</f>
        <v>195.84154341698132</v>
      </c>
      <c r="EJ340" s="577">
        <f>INPUT!GW287</f>
        <v>3.5937465687263455</v>
      </c>
      <c r="EK340" s="580">
        <f>INPUT!GX287</f>
        <v>201.99698902841715</v>
      </c>
      <c r="EL340" s="577">
        <f>INPUT!GY287</f>
        <v>3.1430744999439497</v>
      </c>
      <c r="EM340" s="577">
        <f>INPUT!GZ287</f>
        <v>4.2176957000570114</v>
      </c>
    </row>
    <row r="341" spans="1:144" ht="12.75" hidden="1" customHeight="1" outlineLevel="1" x14ac:dyDescent="0.2">
      <c r="A341" s="609" t="str">
        <f>INPUT!B288</f>
        <v>Affiliated Retail AUM</v>
      </c>
      <c r="B341" s="586">
        <f>INPUT!AY288</f>
        <v>35.1</v>
      </c>
      <c r="C341" s="577">
        <f>INPUT!AZ288</f>
        <v>9.6875</v>
      </c>
      <c r="D341" s="586">
        <f>INPUT!BA288</f>
        <v>34.4</v>
      </c>
      <c r="E341" s="577">
        <f>INPUT!BB288</f>
        <v>7.1651090342678998</v>
      </c>
      <c r="F341" s="586">
        <f>INPUT!BC288</f>
        <v>34.6</v>
      </c>
      <c r="G341" s="577">
        <f>INPUT!BD288</f>
        <v>2.6706231454005831</v>
      </c>
      <c r="H341" s="586">
        <f>INPUT!BE288</f>
        <v>35.6</v>
      </c>
      <c r="I341" s="577">
        <f>INPUT!BF288</f>
        <v>2.2988505747126595</v>
      </c>
      <c r="J341" s="586">
        <f>INPUT!BG288</f>
        <v>36.5</v>
      </c>
      <c r="K341" s="577">
        <f>INPUT!BH288</f>
        <v>3.9886039886039839</v>
      </c>
      <c r="L341" s="586">
        <f>INPUT!BI288</f>
        <v>37.799999999999997</v>
      </c>
      <c r="M341" s="577">
        <f>INPUT!BJ288</f>
        <v>9.8837209302325562</v>
      </c>
      <c r="N341" s="586">
        <f>INPUT!BK288</f>
        <v>37.200000000000003</v>
      </c>
      <c r="O341" s="577">
        <f>INPUT!BL288</f>
        <v>7.5144508670520196</v>
      </c>
      <c r="P341" s="586">
        <f>INPUT!BM288</f>
        <v>35.700000000000003</v>
      </c>
      <c r="Q341" s="577">
        <f>INPUT!BN288</f>
        <v>0.28089887640450684</v>
      </c>
      <c r="R341" s="586">
        <f>INPUT!BO288</f>
        <v>33.6</v>
      </c>
      <c r="S341" s="577">
        <f>INPUT!BP288</f>
        <v>-7.9452054794520564</v>
      </c>
      <c r="T341" s="586">
        <f>INPUT!BQ288</f>
        <v>33.6</v>
      </c>
      <c r="U341" s="577">
        <f>INPUT!BR288</f>
        <v>-11.1111111111111</v>
      </c>
      <c r="V341" s="586">
        <f>INPUT!BS288</f>
        <v>32</v>
      </c>
      <c r="W341" s="577">
        <f>INPUT!BT288</f>
        <v>-13.978494623655919</v>
      </c>
      <c r="X341" s="586">
        <f>INPUT!BU288</f>
        <v>28.2</v>
      </c>
      <c r="Y341" s="577">
        <f>INPUT!BV288</f>
        <v>-21.008403361344534</v>
      </c>
      <c r="Z341" s="586">
        <f>INPUT!BW288</f>
        <v>27.8</v>
      </c>
      <c r="AA341" s="577">
        <f>INPUT!BX288</f>
        <v>-17.261904761904773</v>
      </c>
      <c r="AB341" s="586">
        <f>INPUT!BY288</f>
        <v>30.8</v>
      </c>
      <c r="AC341" s="577">
        <f>INPUT!BZ288</f>
        <v>-8.3333333333333428</v>
      </c>
      <c r="AD341" s="586">
        <f>INPUT!CA288</f>
        <v>31.9</v>
      </c>
      <c r="AE341" s="577">
        <f>INPUT!CB288</f>
        <v>-0.3125</v>
      </c>
      <c r="AF341" s="586">
        <f>INPUT!CC288</f>
        <v>33.299999999999997</v>
      </c>
      <c r="AG341" s="577">
        <f>INPUT!CD288</f>
        <v>18.085106382978708</v>
      </c>
      <c r="AH341" s="586">
        <f>INPUT!CE288</f>
        <v>35.5</v>
      </c>
      <c r="AI341" s="577">
        <f>INPUT!CF288</f>
        <v>27.697841726618705</v>
      </c>
      <c r="AJ341" s="586">
        <f>INPUT!CG288</f>
        <v>35.1</v>
      </c>
      <c r="AK341" s="577">
        <f>INPUT!CH288</f>
        <v>13.96103896103898</v>
      </c>
      <c r="AL341" s="586">
        <f>INPUT!CI288</f>
        <v>35.1</v>
      </c>
      <c r="AM341" s="577">
        <f>INPUT!CJ288</f>
        <v>10.031347962382455</v>
      </c>
      <c r="AN341" s="586">
        <f>INPUT!CK288</f>
        <v>39.6</v>
      </c>
      <c r="AO341" s="577">
        <f>INPUT!CL288</f>
        <v>18.918918918918919</v>
      </c>
      <c r="AP341" s="586">
        <f>INPUT!CM288</f>
        <v>38</v>
      </c>
      <c r="AQ341" s="577">
        <f>INPUT!CN288</f>
        <v>7.042253521126753</v>
      </c>
      <c r="AR341" s="586">
        <f>INPUT!CO288</f>
        <v>37.700000000000003</v>
      </c>
      <c r="AS341" s="577">
        <f>INPUT!CP288</f>
        <v>7.407407407407419</v>
      </c>
      <c r="AT341" s="580">
        <f>INPUT!CQ288</f>
        <v>47.2</v>
      </c>
      <c r="AU341" s="577">
        <f>INPUT!CR288</f>
        <v>34.472934472934469</v>
      </c>
      <c r="AV341" s="580">
        <f>INPUT!CS288</f>
        <v>49.7</v>
      </c>
      <c r="AW341" s="577">
        <f>INPUT!CT288</f>
        <v>25.505050505050491</v>
      </c>
      <c r="AX341" s="580">
        <f>INPUT!CU288</f>
        <v>44</v>
      </c>
      <c r="AY341" s="577">
        <f>INPUT!CV288</f>
        <v>15.789473684210535</v>
      </c>
      <c r="AZ341" s="580">
        <f>INPUT!CW288</f>
        <v>50.6</v>
      </c>
      <c r="BA341" s="577">
        <f>INPUT!CX288</f>
        <v>34.217506631299727</v>
      </c>
      <c r="BB341" s="580">
        <f>INPUT!CY288</f>
        <v>46.1</v>
      </c>
      <c r="BC341" s="577">
        <f>INPUT!CZ288</f>
        <v>-2.330508474576277</v>
      </c>
      <c r="BD341" s="580">
        <f>INPUT!DA288</f>
        <v>47.6</v>
      </c>
      <c r="BE341" s="577">
        <f>INPUT!DB288</f>
        <v>-4.2253521126760631</v>
      </c>
      <c r="BF341" s="580">
        <f>INPUT!DC288</f>
        <v>45.9</v>
      </c>
      <c r="BG341" s="577">
        <f>INPUT!DD288</f>
        <v>4.3181818181818272</v>
      </c>
      <c r="BH341" s="580">
        <f>INPUT!DE288</f>
        <v>52</v>
      </c>
      <c r="BI341" s="577">
        <f>INPUT!DF288</f>
        <v>2.7667984189723427</v>
      </c>
      <c r="BJ341" s="580">
        <f>INPUT!DG288</f>
        <v>52.6</v>
      </c>
      <c r="BK341" s="577">
        <f>INPUT!DH288</f>
        <v>14.099783080260295</v>
      </c>
      <c r="BL341" s="580">
        <f>INPUT!DI288</f>
        <v>55.7</v>
      </c>
      <c r="BM341" s="577">
        <f>INPUT!DJ288</f>
        <v>17.016806722689083</v>
      </c>
      <c r="BN341" s="580">
        <f>INPUT!DK288</f>
        <v>55.9</v>
      </c>
      <c r="BO341" s="577">
        <f>INPUT!DL288</f>
        <v>21.786492374727672</v>
      </c>
      <c r="BP341" s="580">
        <f>INPUT!DM288</f>
        <v>57.6</v>
      </c>
      <c r="BQ341" s="577">
        <f>INPUT!DN288</f>
        <v>10.769230769230774</v>
      </c>
      <c r="BR341" s="580">
        <f>INPUT!DO288</f>
        <v>57.3</v>
      </c>
      <c r="BS341" s="577">
        <f>INPUT!DP288</f>
        <v>8.9353612167300156</v>
      </c>
      <c r="BT341" s="580">
        <f>INPUT!DQ288</f>
        <v>59.3</v>
      </c>
      <c r="BU341" s="577">
        <f>INPUT!DR288</f>
        <v>6.4631956912028556</v>
      </c>
      <c r="BV341" s="580">
        <f>INPUT!DS288</f>
        <v>63.3</v>
      </c>
      <c r="BW341" s="577">
        <f>INPUT!DT288</f>
        <v>13.237924865831843</v>
      </c>
      <c r="BX341" s="580">
        <f>INPUT!DU288</f>
        <v>64</v>
      </c>
      <c r="BY341" s="577">
        <f>INPUT!DV288</f>
        <v>11.111111111111114</v>
      </c>
      <c r="BZ341" s="580">
        <f>INPUT!DW288</f>
        <v>63</v>
      </c>
      <c r="CA341" s="577">
        <f>INPUT!DX288</f>
        <v>9.9476439790576023</v>
      </c>
      <c r="CB341" s="580">
        <f>INPUT!DY288</f>
        <v>68.400000000000006</v>
      </c>
      <c r="CC341" s="577">
        <f>INPUT!DZ288</f>
        <v>15.345699831365948</v>
      </c>
      <c r="CD341" s="580">
        <f>INPUT!EA288</f>
        <v>70.8</v>
      </c>
      <c r="CE341" s="577">
        <f>INPUT!EB288</f>
        <v>11.848341232227483</v>
      </c>
      <c r="CF341" s="580">
        <f>INPUT!EC288</f>
        <v>70.8</v>
      </c>
      <c r="CG341" s="577">
        <f>INPUT!ED288</f>
        <v>10.625</v>
      </c>
      <c r="CH341" s="580">
        <f>INPUT!EE288</f>
        <v>71.3</v>
      </c>
      <c r="CI341" s="577">
        <f>INPUT!EF288</f>
        <v>13.174603174603178</v>
      </c>
      <c r="CJ341" s="580">
        <f>INPUT!EG288</f>
        <v>72.599999999999994</v>
      </c>
      <c r="CK341" s="577">
        <f>INPUT!EH288</f>
        <v>6.140350877192958</v>
      </c>
      <c r="CL341" s="580">
        <f>INPUT!EI288</f>
        <v>73.400000000000006</v>
      </c>
      <c r="CM341" s="577">
        <f>INPUT!EJ288</f>
        <v>3.6723163841807889</v>
      </c>
      <c r="CN341" s="580">
        <f>INPUT!EK288</f>
        <v>81.2</v>
      </c>
      <c r="CO341" s="577">
        <f>INPUT!EL288</f>
        <v>14.689265536723155</v>
      </c>
      <c r="CP341" s="580">
        <f>INPUT!EM288</f>
        <v>82.4</v>
      </c>
      <c r="CQ341" s="577">
        <f>INPUT!EN288</f>
        <v>15.568022440392724</v>
      </c>
      <c r="CR341" s="580">
        <f>INPUT!EO288</f>
        <v>81.3</v>
      </c>
      <c r="CS341" s="577">
        <f>INPUT!EP288</f>
        <v>11.983471074380176</v>
      </c>
      <c r="CT341" s="580">
        <f>INPUT!EQ288</f>
        <v>82.113</v>
      </c>
      <c r="CU341" s="577">
        <f>INPUT!ER288</f>
        <v>11.87057220708445</v>
      </c>
      <c r="CV341" s="580">
        <f>INPUT!ES288</f>
        <v>82.934129999999996</v>
      </c>
      <c r="CW341" s="577">
        <f>INPUT!ET288</f>
        <v>2.1356280788177315</v>
      </c>
      <c r="CX341" s="580">
        <f>INPUT!EU288</f>
        <v>83.763471299999992</v>
      </c>
      <c r="CY341" s="577">
        <f>INPUT!EV288</f>
        <v>1.6546981796116427</v>
      </c>
      <c r="CZ341" s="580">
        <f>INPUT!EW288</f>
        <v>84.601106012999992</v>
      </c>
      <c r="DA341" s="577">
        <f>INPUT!EX288</f>
        <v>4.0604009999999988</v>
      </c>
      <c r="DB341" s="586"/>
      <c r="DC341" s="586">
        <f>INPUT!FP288</f>
        <v>34.799999999999997</v>
      </c>
      <c r="DD341" s="577"/>
      <c r="DE341" s="586">
        <f>INPUT!FR288</f>
        <v>35.6</v>
      </c>
      <c r="DF341" s="577">
        <f>INPUT!FS288</f>
        <v>2.2988505747126595</v>
      </c>
      <c r="DG341" s="586">
        <f>INPUT!FT288</f>
        <v>35.700000000000003</v>
      </c>
      <c r="DH341" s="577">
        <f>INPUT!FU288</f>
        <v>0.28089887640450684</v>
      </c>
      <c r="DI341" s="586">
        <f>INPUT!FV288</f>
        <v>28.2</v>
      </c>
      <c r="DJ341" s="577">
        <f>INPUT!FW288</f>
        <v>-21.008403361344534</v>
      </c>
      <c r="DK341" s="586">
        <f>INPUT!FX288</f>
        <v>33.299999999999997</v>
      </c>
      <c r="DL341" s="577">
        <f>INPUT!FY288</f>
        <v>18.085106382978708</v>
      </c>
      <c r="DM341" s="586">
        <f>INPUT!FZ288</f>
        <v>39.6</v>
      </c>
      <c r="DN341" s="577">
        <f>INPUT!GA288</f>
        <v>18.918918918918919</v>
      </c>
      <c r="DO341" s="580">
        <f>INPUT!GB288</f>
        <v>49.7</v>
      </c>
      <c r="DP341" s="577">
        <f>INPUT!GC288</f>
        <v>25.505050505050491</v>
      </c>
      <c r="DQ341" s="580">
        <f>INPUT!GD288</f>
        <v>47.6</v>
      </c>
      <c r="DR341" s="577">
        <f>INPUT!GE288</f>
        <v>-4.2253521126760631</v>
      </c>
      <c r="DS341" s="580">
        <f>INPUT!GF288</f>
        <v>55.7</v>
      </c>
      <c r="DT341" s="577">
        <f>INPUT!GG288</f>
        <v>17.016806722689083</v>
      </c>
      <c r="DU341" s="580">
        <f>INPUT!GH288</f>
        <v>59.3</v>
      </c>
      <c r="DV341" s="577">
        <f>INPUT!GI288</f>
        <v>6.4631956912028556</v>
      </c>
      <c r="DW341" s="580">
        <f>INPUT!GJ288</f>
        <v>68.400000000000006</v>
      </c>
      <c r="DX341" s="577">
        <f>INPUT!GK288</f>
        <v>15.345699831365948</v>
      </c>
      <c r="DY341" s="580">
        <f>INPUT!GL288</f>
        <v>72.599999999999994</v>
      </c>
      <c r="DZ341" s="577">
        <f>INPUT!GM288</f>
        <v>6.140350877192958</v>
      </c>
      <c r="EA341" s="580">
        <f>INPUT!GN288</f>
        <v>81.3</v>
      </c>
      <c r="EB341" s="577">
        <f>INPUT!GO288</f>
        <v>11.983471074380176</v>
      </c>
      <c r="EC341" s="580">
        <f>INPUT!GP288</f>
        <v>84.601106012999992</v>
      </c>
      <c r="ED341" s="577">
        <f>INPUT!GQ288</f>
        <v>4.0604009999999988</v>
      </c>
      <c r="EE341" s="580">
        <f>INPUT!GR288</f>
        <v>87.98515025351999</v>
      </c>
      <c r="EF341" s="577">
        <f>INPUT!GS288</f>
        <v>4</v>
      </c>
      <c r="EG341" s="580">
        <f>INPUT!GT288</f>
        <v>91.504556263660788</v>
      </c>
      <c r="EH341" s="577">
        <f>INPUT!GU288</f>
        <v>4</v>
      </c>
      <c r="EI341" s="580">
        <f>INPUT!GV288</f>
        <v>95.16473851420723</v>
      </c>
      <c r="EJ341" s="577">
        <f>INPUT!GW288</f>
        <v>4</v>
      </c>
      <c r="EK341" s="580">
        <f>INPUT!GX288</f>
        <v>98.971328054775526</v>
      </c>
      <c r="EL341" s="577">
        <f>INPUT!GY288</f>
        <v>4</v>
      </c>
      <c r="EM341" s="577">
        <f>INPUT!GZ288</f>
        <v>4.0120773946076937</v>
      </c>
    </row>
    <row r="342" spans="1:144" ht="12.75" hidden="1" customHeight="1" outlineLevel="1" x14ac:dyDescent="0.2">
      <c r="A342" s="609" t="str">
        <f>INPUT!B289</f>
        <v>Total Institutional Assets</v>
      </c>
      <c r="B342" s="586">
        <f>INPUT!AY289</f>
        <v>75.600000000000009</v>
      </c>
      <c r="C342" s="577">
        <f>INPUT!AZ289</f>
        <v>16.666666666666671</v>
      </c>
      <c r="D342" s="586">
        <f>INPUT!BA289</f>
        <v>75.099999999999994</v>
      </c>
      <c r="E342" s="577">
        <f>INPUT!BB289</f>
        <v>14.30745814307457</v>
      </c>
      <c r="F342" s="586">
        <f>INPUT!BC289</f>
        <v>75.900000000000006</v>
      </c>
      <c r="G342" s="577">
        <f>INPUT!BD289</f>
        <v>7.6595744680851112</v>
      </c>
      <c r="H342" s="586">
        <f>INPUT!BE289</f>
        <v>79</v>
      </c>
      <c r="I342" s="577">
        <f>INPUT!BF289</f>
        <v>7.4829931972789154</v>
      </c>
      <c r="J342" s="586">
        <f>INPUT!BG289</f>
        <v>84.199999999999989</v>
      </c>
      <c r="K342" s="577">
        <f>INPUT!BH289</f>
        <v>11.375661375661352</v>
      </c>
      <c r="L342" s="586">
        <f>INPUT!BI289</f>
        <v>87.1</v>
      </c>
      <c r="M342" s="577">
        <f>INPUT!BJ289</f>
        <v>15.978695073235684</v>
      </c>
      <c r="N342" s="586">
        <f>INPUT!BK289</f>
        <v>88.5</v>
      </c>
      <c r="O342" s="577">
        <f>INPUT!BL289</f>
        <v>16.600790513833985</v>
      </c>
      <c r="P342" s="586">
        <f>INPUT!BM289</f>
        <v>86.600000000000009</v>
      </c>
      <c r="Q342" s="577">
        <f>INPUT!BN289</f>
        <v>9.6202531645569707</v>
      </c>
      <c r="R342" s="586">
        <f>INPUT!BO289</f>
        <v>81.800000000000011</v>
      </c>
      <c r="S342" s="577">
        <f>INPUT!BP289</f>
        <v>-2.8503562945367946</v>
      </c>
      <c r="T342" s="586">
        <f>INPUT!BQ289</f>
        <v>84.300000000000011</v>
      </c>
      <c r="U342" s="577">
        <f>INPUT!BR289</f>
        <v>-3.2146957520091632</v>
      </c>
      <c r="V342" s="586">
        <f>INPUT!BS289</f>
        <v>75.400000000000006</v>
      </c>
      <c r="W342" s="577">
        <f>INPUT!BT289</f>
        <v>-14.802259887005647</v>
      </c>
      <c r="X342" s="586">
        <f>INPUT!BU289</f>
        <v>61.7</v>
      </c>
      <c r="Y342" s="577">
        <f>INPUT!BV289</f>
        <v>-28.752886836027713</v>
      </c>
      <c r="Z342" s="586">
        <f>INPUT!BW289</f>
        <v>61.300000000000011</v>
      </c>
      <c r="AA342" s="577">
        <f>INPUT!BX289</f>
        <v>-25.061124694376531</v>
      </c>
      <c r="AB342" s="586">
        <f>INPUT!BY289</f>
        <v>70.300000000000011</v>
      </c>
      <c r="AC342" s="577">
        <f>INPUT!BZ289</f>
        <v>-16.607354685646499</v>
      </c>
      <c r="AD342" s="586">
        <f>INPUT!CA289</f>
        <v>79.100000000000009</v>
      </c>
      <c r="AE342" s="577">
        <f>INPUT!CB289</f>
        <v>4.9071618037135352</v>
      </c>
      <c r="AF342" s="586">
        <f>INPUT!CC289</f>
        <v>84.4</v>
      </c>
      <c r="AG342" s="577">
        <f>INPUT!CD289</f>
        <v>36.790923824959464</v>
      </c>
      <c r="AH342" s="586">
        <f>INPUT!CE289</f>
        <v>89</v>
      </c>
      <c r="AI342" s="577">
        <f>INPUT!CF289</f>
        <v>45.187601957585628</v>
      </c>
      <c r="AJ342" s="586">
        <f>INPUT!CG289</f>
        <v>84.199999999999989</v>
      </c>
      <c r="AK342" s="577">
        <f>INPUT!CH289</f>
        <v>19.772403982930257</v>
      </c>
      <c r="AL342" s="586">
        <f>INPUT!CI289</f>
        <v>90.6</v>
      </c>
      <c r="AM342" s="577">
        <f>INPUT!CJ289</f>
        <v>14.538558786346385</v>
      </c>
      <c r="AN342" s="586">
        <f>INPUT!CK289</f>
        <v>101.19999999999999</v>
      </c>
      <c r="AO342" s="577">
        <f>INPUT!CL289</f>
        <v>19.90521327014217</v>
      </c>
      <c r="AP342" s="586">
        <f>INPUT!CM289</f>
        <v>118.7</v>
      </c>
      <c r="AQ342" s="577">
        <f>INPUT!CN289</f>
        <v>33.37078651685394</v>
      </c>
      <c r="AR342" s="586">
        <f>INPUT!CO289</f>
        <v>119.80000000000001</v>
      </c>
      <c r="AS342" s="577">
        <f>INPUT!CP289</f>
        <v>42.280285035629475</v>
      </c>
      <c r="AT342" s="580">
        <f>INPUT!CQ289</f>
        <v>119.40000000000002</v>
      </c>
      <c r="AU342" s="577">
        <f>INPUT!CR289</f>
        <v>31.78807947019871</v>
      </c>
      <c r="AV342" s="580">
        <f>INPUT!CS289</f>
        <v>119.30000000000001</v>
      </c>
      <c r="AW342" s="577">
        <f>INPUT!CT289</f>
        <v>17.88537549407117</v>
      </c>
      <c r="AX342" s="580">
        <f>INPUT!CU289</f>
        <v>125.10000000000002</v>
      </c>
      <c r="AY342" s="577">
        <f>INPUT!CV289</f>
        <v>5.3917438921651524</v>
      </c>
      <c r="AZ342" s="580">
        <f>INPUT!CW289</f>
        <v>131.70000000000002</v>
      </c>
      <c r="BA342" s="577">
        <f>INPUT!CX289</f>
        <v>9.9332220367278836</v>
      </c>
      <c r="BB342" s="580">
        <f>INPUT!CY289</f>
        <v>133.90000000000003</v>
      </c>
      <c r="BC342" s="577">
        <f>INPUT!CZ289</f>
        <v>12.144053601340033</v>
      </c>
      <c r="BD342" s="580">
        <f>INPUT!DA289</f>
        <v>138.70000000000002</v>
      </c>
      <c r="BE342" s="577">
        <f>INPUT!DB289</f>
        <v>16.261525565800511</v>
      </c>
      <c r="BF342" s="580">
        <f>INPUT!DC289</f>
        <v>143.80000000000004</v>
      </c>
      <c r="BG342" s="577">
        <f>INPUT!DD289</f>
        <v>14.94804156674661</v>
      </c>
      <c r="BH342" s="580">
        <f>INPUT!DE289</f>
        <v>152.40000000000003</v>
      </c>
      <c r="BI342" s="577">
        <f>INPUT!DF289</f>
        <v>15.717539863325754</v>
      </c>
      <c r="BJ342" s="580">
        <f>INPUT!DG289</f>
        <v>159.10000000000002</v>
      </c>
      <c r="BK342" s="577">
        <f>INPUT!DH289</f>
        <v>18.820014936519769</v>
      </c>
      <c r="BL342" s="580">
        <f>INPUT!DI289</f>
        <v>170.70000000000005</v>
      </c>
      <c r="BM342" s="577">
        <f>INPUT!DJ289</f>
        <v>23.071377072819061</v>
      </c>
      <c r="BN342" s="580">
        <f>INPUT!DK289</f>
        <v>172.90000000000003</v>
      </c>
      <c r="BO342" s="577">
        <f>INPUT!DL289</f>
        <v>20.236439499304581</v>
      </c>
      <c r="BP342" s="580">
        <f>INPUT!DM289</f>
        <v>180.10000000000002</v>
      </c>
      <c r="BQ342" s="577">
        <f>INPUT!DN289</f>
        <v>18.175853018372706</v>
      </c>
      <c r="BR342" s="580">
        <f>INPUT!DO289</f>
        <v>180.00000000000003</v>
      </c>
      <c r="BS342" s="577">
        <f>INPUT!DP289</f>
        <v>13.136392206159655</v>
      </c>
      <c r="BT342" s="580">
        <f>INPUT!DQ289</f>
        <v>186.10000000000002</v>
      </c>
      <c r="BU342" s="577">
        <f>INPUT!DR289</f>
        <v>9.0216754540128647</v>
      </c>
      <c r="BV342" s="580">
        <f>INPUT!DS289</f>
        <v>198.40000000000003</v>
      </c>
      <c r="BW342" s="577">
        <f>INPUT!DT289</f>
        <v>14.748409485251585</v>
      </c>
      <c r="BX342" s="580">
        <f>INPUT!DU289</f>
        <v>199.20000000000007</v>
      </c>
      <c r="BY342" s="577">
        <f>INPUT!DV289</f>
        <v>10.605219322598586</v>
      </c>
      <c r="BZ342" s="580">
        <f>INPUT!DW289</f>
        <v>188.90000000000006</v>
      </c>
      <c r="CA342" s="577">
        <f>INPUT!DX289</f>
        <v>4.9444444444444571</v>
      </c>
      <c r="CB342" s="580">
        <f>INPUT!DY289</f>
        <v>197.30000000000007</v>
      </c>
      <c r="CC342" s="577">
        <f>INPUT!DZ289</f>
        <v>6.0182697474476328</v>
      </c>
      <c r="CD342" s="580">
        <f>INPUT!EA289</f>
        <v>198.60000000000008</v>
      </c>
      <c r="CE342" s="577">
        <f>INPUT!EB289</f>
        <v>0.10080645161292523</v>
      </c>
      <c r="CF342" s="580">
        <f>INPUT!EC289</f>
        <v>202.10000000000008</v>
      </c>
      <c r="CG342" s="577">
        <f>INPUT!ED289</f>
        <v>1.4558232931726849</v>
      </c>
      <c r="CH342" s="580">
        <f>INPUT!EE289</f>
        <v>209.00000000000006</v>
      </c>
      <c r="CI342" s="577">
        <f>INPUT!EF289</f>
        <v>10.640550555849643</v>
      </c>
      <c r="CJ342" s="580">
        <f>INPUT!EG289</f>
        <v>209.20000000000007</v>
      </c>
      <c r="CK342" s="577">
        <f>INPUT!EH289</f>
        <v>6.0314242270653722</v>
      </c>
      <c r="CL342" s="580">
        <f>INPUT!EI289</f>
        <v>217.60000000000008</v>
      </c>
      <c r="CM342" s="577">
        <f>INPUT!EJ289</f>
        <v>9.5669687814702939</v>
      </c>
      <c r="CN342" s="580">
        <f>INPUT!EK289</f>
        <v>231.2000000000001</v>
      </c>
      <c r="CO342" s="577">
        <f>INPUT!EL289</f>
        <v>14.398812469074727</v>
      </c>
      <c r="CP342" s="580">
        <f>INPUT!EM289</f>
        <v>239.90000000000009</v>
      </c>
      <c r="CQ342" s="577">
        <f>INPUT!EN289</f>
        <v>14.784688995215319</v>
      </c>
      <c r="CR342" s="580">
        <f>INPUT!EO289</f>
        <v>245.60000000000008</v>
      </c>
      <c r="CS342" s="577">
        <f>INPUT!EP289</f>
        <v>17.399617590822174</v>
      </c>
      <c r="CT342" s="580">
        <f>INPUT!EQ289</f>
        <v>246.1467900000001</v>
      </c>
      <c r="CU342" s="577">
        <f>INPUT!ER289</f>
        <v>13.11892922794118</v>
      </c>
      <c r="CV342" s="580">
        <f>INPUT!ES289</f>
        <v>249.3559067282664</v>
      </c>
      <c r="CW342" s="577">
        <f>INPUT!ET289</f>
        <v>7.8529008340252062</v>
      </c>
      <c r="CX342" s="580">
        <f>INPUT!EU289</f>
        <v>252.91683712687475</v>
      </c>
      <c r="CY342" s="577">
        <f>INPUT!EV289</f>
        <v>5.4259429457585071</v>
      </c>
      <c r="CZ342" s="580">
        <f>INPUT!EW289</f>
        <v>257.05944192607706</v>
      </c>
      <c r="DA342" s="577">
        <f>INPUT!EX289</f>
        <v>4.6658965497056215</v>
      </c>
      <c r="DB342" s="586"/>
      <c r="DC342" s="586">
        <f>INPUT!FP289</f>
        <v>73.5</v>
      </c>
      <c r="DD342" s="577"/>
      <c r="DE342" s="586">
        <f>INPUT!FR289</f>
        <v>79</v>
      </c>
      <c r="DF342" s="577">
        <f>INPUT!FS289</f>
        <v>7.4829931972789154</v>
      </c>
      <c r="DG342" s="586">
        <f>INPUT!FT289</f>
        <v>86.600000000000009</v>
      </c>
      <c r="DH342" s="577">
        <f>INPUT!FU289</f>
        <v>9.6202531645569707</v>
      </c>
      <c r="DI342" s="586">
        <f>INPUT!FV289</f>
        <v>61.7</v>
      </c>
      <c r="DJ342" s="577">
        <f>INPUT!FW289</f>
        <v>-28.752886836027713</v>
      </c>
      <c r="DK342" s="586">
        <f>INPUT!FX289</f>
        <v>84.399999999999991</v>
      </c>
      <c r="DL342" s="577">
        <f>INPUT!FY289</f>
        <v>36.790923824959464</v>
      </c>
      <c r="DM342" s="586">
        <f>INPUT!FZ289</f>
        <v>101.19999999999999</v>
      </c>
      <c r="DN342" s="577">
        <f>INPUT!GA289</f>
        <v>19.905213270142184</v>
      </c>
      <c r="DO342" s="580">
        <f>INPUT!GB289</f>
        <v>119.3</v>
      </c>
      <c r="DP342" s="577">
        <f>INPUT!GC289</f>
        <v>17.88537549407117</v>
      </c>
      <c r="DQ342" s="580">
        <f>INPUT!GD289</f>
        <v>138.69999999999999</v>
      </c>
      <c r="DR342" s="577">
        <f>INPUT!GE289</f>
        <v>16.261525565800497</v>
      </c>
      <c r="DS342" s="580">
        <f>INPUT!GF289</f>
        <v>170.70000000000002</v>
      </c>
      <c r="DT342" s="577">
        <f>INPUT!GG289</f>
        <v>23.071377072819061</v>
      </c>
      <c r="DU342" s="580">
        <f>INPUT!GH289</f>
        <v>186.10000000000002</v>
      </c>
      <c r="DV342" s="577">
        <f>INPUT!GI289</f>
        <v>9.0216754540128932</v>
      </c>
      <c r="DW342" s="580">
        <f>INPUT!GJ289</f>
        <v>197.30000000000004</v>
      </c>
      <c r="DX342" s="577">
        <f>INPUT!GK289</f>
        <v>6.0182697474476186</v>
      </c>
      <c r="DY342" s="580">
        <f>INPUT!GL289</f>
        <v>209.20000000000002</v>
      </c>
      <c r="DZ342" s="577">
        <f>INPUT!GM289</f>
        <v>6.0314242270653722</v>
      </c>
      <c r="EA342" s="580">
        <f>INPUT!GN289</f>
        <v>245.60000000000002</v>
      </c>
      <c r="EB342" s="577">
        <f>INPUT!GO289</f>
        <v>17.399617590822174</v>
      </c>
      <c r="EC342" s="580">
        <f>INPUT!GP289</f>
        <v>257.05944192607694</v>
      </c>
      <c r="ED342" s="577">
        <f>INPUT!GQ289</f>
        <v>4.6658965497055931</v>
      </c>
      <c r="EE342" s="580">
        <f>INPUT!GR289</f>
        <v>269.35039383693618</v>
      </c>
      <c r="EF342" s="577">
        <f>INPUT!GS289</f>
        <v>4.7813656712107075</v>
      </c>
      <c r="EG342" s="580">
        <f>INPUT!GT289</f>
        <v>280.55220624613901</v>
      </c>
      <c r="EH342" s="577">
        <f>INPUT!GU289</f>
        <v>4.158825331432169</v>
      </c>
      <c r="EI342" s="580">
        <f>INPUT!GV289</f>
        <v>291.00628193118854</v>
      </c>
      <c r="EJ342" s="577">
        <f>INPUT!GW289</f>
        <v>3.7262496791338009</v>
      </c>
      <c r="EK342" s="580">
        <f>INPUT!GX289</f>
        <v>300.96831708319269</v>
      </c>
      <c r="EL342" s="577">
        <f>INPUT!GY289</f>
        <v>3.4233058770737301</v>
      </c>
      <c r="EM342" s="577">
        <f>INPUT!GZ289</f>
        <v>4.1498103530525743</v>
      </c>
    </row>
    <row r="343" spans="1:144" ht="12.75" hidden="1" customHeight="1" outlineLevel="1" x14ac:dyDescent="0.2">
      <c r="A343" s="619" t="str">
        <f>INPUT!B291</f>
        <v>Net Retail Flows</v>
      </c>
      <c r="B343" s="620">
        <f>INPUT!AY291</f>
        <v>0.40000000000000036</v>
      </c>
      <c r="C343" s="577" t="str">
        <f>INPUT!AZ291</f>
        <v>NM</v>
      </c>
      <c r="D343" s="620">
        <f>INPUT!BA291</f>
        <v>0.29999999999999982</v>
      </c>
      <c r="E343" s="577" t="str">
        <f>INPUT!BB291</f>
        <v>NM</v>
      </c>
      <c r="F343" s="620">
        <f>INPUT!BC291</f>
        <v>-0.70000000000000018</v>
      </c>
      <c r="G343" s="577" t="str">
        <f>INPUT!BD291</f>
        <v>NM</v>
      </c>
      <c r="H343" s="620">
        <f>INPUT!BE291</f>
        <v>0.20000000000000018</v>
      </c>
      <c r="I343" s="577" t="str">
        <f>INPUT!BF291</f>
        <v>NM</v>
      </c>
      <c r="J343" s="597">
        <f>INPUT!BG291</f>
        <v>0.29999999999999982</v>
      </c>
      <c r="K343" s="577">
        <f>INPUT!BH291</f>
        <v>-25.000000000000114</v>
      </c>
      <c r="L343" s="597">
        <f>INPUT!BI291</f>
        <v>-0.69999999999999973</v>
      </c>
      <c r="M343" s="577" t="str">
        <f>INPUT!BJ291</f>
        <v>NM</v>
      </c>
      <c r="N343" s="597">
        <f>INPUT!BK291</f>
        <v>0.30000000000000027</v>
      </c>
      <c r="O343" s="577" t="str">
        <f>INPUT!BL291</f>
        <v>NM</v>
      </c>
      <c r="P343" s="597">
        <f>INPUT!BM291</f>
        <v>0.20000000000000018</v>
      </c>
      <c r="Q343" s="577">
        <f>INPUT!BN291</f>
        <v>0</v>
      </c>
      <c r="R343" s="597">
        <f>INPUT!BO291</f>
        <v>1</v>
      </c>
      <c r="S343" s="577" t="str">
        <f>INPUT!BP291</f>
        <v>NM</v>
      </c>
      <c r="T343" s="597">
        <f>INPUT!BQ291</f>
        <v>0.89999999999999991</v>
      </c>
      <c r="U343" s="577" t="str">
        <f>INPUT!BR291</f>
        <v>NM</v>
      </c>
      <c r="V343" s="597">
        <f>INPUT!BS291</f>
        <v>0.10000000000000053</v>
      </c>
      <c r="W343" s="577" t="str">
        <f>INPUT!BT291</f>
        <v>NM</v>
      </c>
      <c r="X343" s="597">
        <f>INPUT!BU291</f>
        <v>-1.6</v>
      </c>
      <c r="Y343" s="577" t="str">
        <f>INPUT!BV291</f>
        <v>NM</v>
      </c>
      <c r="Z343" s="597">
        <f>INPUT!BW291</f>
        <v>0.20000000000000018</v>
      </c>
      <c r="AA343" s="577" t="str">
        <f>INPUT!BX291</f>
        <v>NM</v>
      </c>
      <c r="AB343" s="597">
        <f>INPUT!BY291</f>
        <v>1.8999999999999995</v>
      </c>
      <c r="AC343" s="577" t="str">
        <f>INPUT!BZ291</f>
        <v>NM</v>
      </c>
      <c r="AD343" s="597">
        <f>INPUT!CA291</f>
        <v>2.8</v>
      </c>
      <c r="AE343" s="577" t="str">
        <f>INPUT!CB291</f>
        <v>NM</v>
      </c>
      <c r="AF343" s="597">
        <f>INPUT!CC291</f>
        <v>1.2000000000000002</v>
      </c>
      <c r="AG343" s="577" t="str">
        <f>INPUT!CD291</f>
        <v>NM</v>
      </c>
      <c r="AH343" s="586">
        <f>INPUT!CE291</f>
        <v>1.0999999999999996</v>
      </c>
      <c r="AI343" s="577" t="str">
        <f>INPUT!CF291</f>
        <v>NM</v>
      </c>
      <c r="AJ343" s="586">
        <f>INPUT!CG291</f>
        <v>2.9</v>
      </c>
      <c r="AK343" s="577">
        <f>INPUT!CH291</f>
        <v>52.631578947368439</v>
      </c>
      <c r="AL343" s="586">
        <f>INPUT!CI291</f>
        <v>1.1999999999999997</v>
      </c>
      <c r="AM343" s="577" t="str">
        <f>INPUT!CJ291</f>
        <v>NM</v>
      </c>
      <c r="AN343" s="586">
        <f>INPUT!CK291</f>
        <v>1.2000000000000002</v>
      </c>
      <c r="AO343" s="577">
        <f>INPUT!CL291</f>
        <v>0</v>
      </c>
      <c r="AP343" s="586">
        <f>INPUT!CM291</f>
        <v>2.8</v>
      </c>
      <c r="AQ343" s="577" t="str">
        <f>INPUT!CN291</f>
        <v>NM</v>
      </c>
      <c r="AR343" s="586">
        <f>INPUT!CO291</f>
        <v>0</v>
      </c>
      <c r="AS343" s="577" t="str">
        <f>INPUT!CP291</f>
        <v>NM</v>
      </c>
      <c r="AT343" s="586">
        <f>INPUT!CQ291</f>
        <v>0.70000000000000018</v>
      </c>
      <c r="AU343" s="577">
        <f>INPUT!CR291</f>
        <v>-41.666666666666643</v>
      </c>
      <c r="AV343" s="586">
        <f>INPUT!CS291</f>
        <v>2.1999999999999993</v>
      </c>
      <c r="AW343" s="577">
        <f>INPUT!CT291</f>
        <v>83.333333333333229</v>
      </c>
      <c r="AX343" s="586">
        <f>INPUT!CU291</f>
        <v>3.3000000000000007</v>
      </c>
      <c r="AY343" s="577">
        <f>INPUT!CV291</f>
        <v>17.85714285714289</v>
      </c>
      <c r="AZ343" s="586">
        <f>INPUT!CW291</f>
        <v>3.5999999999999996</v>
      </c>
      <c r="BA343" s="577" t="str">
        <f>INPUT!CX291</f>
        <v>NA</v>
      </c>
      <c r="BB343" s="586">
        <f>INPUT!CY291</f>
        <v>2.5</v>
      </c>
      <c r="BC343" s="577" t="str">
        <f>INPUT!CZ291</f>
        <v>NM</v>
      </c>
      <c r="BD343" s="586">
        <f>INPUT!DA291</f>
        <v>3.3999999999999995</v>
      </c>
      <c r="BE343" s="577">
        <f>INPUT!DB291</f>
        <v>54.545454545454561</v>
      </c>
      <c r="BF343" s="586">
        <f>INPUT!DC291</f>
        <v>1.8000000000000007</v>
      </c>
      <c r="BG343" s="577">
        <f>INPUT!DD291</f>
        <v>-45.454545454545446</v>
      </c>
      <c r="BH343" s="586">
        <f>INPUT!DE291</f>
        <v>2.5</v>
      </c>
      <c r="BI343" s="577">
        <f>INPUT!DF291</f>
        <v>-30.555555555555543</v>
      </c>
      <c r="BJ343" s="586">
        <f>INPUT!DG291</f>
        <v>-1.4000000000000004</v>
      </c>
      <c r="BK343" s="577" t="str">
        <f>INPUT!DH291</f>
        <v>NM</v>
      </c>
      <c r="BL343" s="586">
        <f>INPUT!DI291</f>
        <v>1.5</v>
      </c>
      <c r="BM343" s="577" t="str">
        <f>INPUT!DJ291</f>
        <v>NM</v>
      </c>
      <c r="BN343" s="586">
        <f>INPUT!DK291</f>
        <v>0.20000000000000018</v>
      </c>
      <c r="BO343" s="577" t="str">
        <f>INPUT!DL291</f>
        <v>NM</v>
      </c>
      <c r="BP343" s="586">
        <f>INPUT!DM291</f>
        <v>0.70000000000000018</v>
      </c>
      <c r="BQ343" s="577" t="str">
        <f>INPUT!DN291</f>
        <v>NM</v>
      </c>
      <c r="BR343" s="586">
        <f>INPUT!DO291</f>
        <v>1.2000000000000002</v>
      </c>
      <c r="BS343" s="577" t="str">
        <f>INPUT!DP291</f>
        <v>NM</v>
      </c>
      <c r="BT343" s="586">
        <f>INPUT!DQ291</f>
        <v>2.5999999999999996</v>
      </c>
      <c r="BU343" s="577">
        <f>INPUT!DR291</f>
        <v>73.333333333333314</v>
      </c>
      <c r="BV343" s="586">
        <f>INPUT!DS291</f>
        <v>4</v>
      </c>
      <c r="BW343" s="577" t="str">
        <f>INPUT!DT291</f>
        <v>NM</v>
      </c>
      <c r="BX343" s="586">
        <f>INPUT!DU291</f>
        <v>-0.39999999999999858</v>
      </c>
      <c r="BY343" s="577" t="str">
        <f>INPUT!DV291</f>
        <v>NM</v>
      </c>
      <c r="BZ343" s="586">
        <f>INPUT!DW291</f>
        <v>-1.6000000000000014</v>
      </c>
      <c r="CA343" s="577" t="str">
        <f>INPUT!DX291</f>
        <v>NM</v>
      </c>
      <c r="CB343" s="586">
        <f>INPUT!DY291</f>
        <v>-1.1999999999999993</v>
      </c>
      <c r="CC343" s="577" t="str">
        <f>INPUT!DZ291</f>
        <v>NM</v>
      </c>
      <c r="CD343" s="586">
        <f>INPUT!EA291</f>
        <v>-0.5</v>
      </c>
      <c r="CE343" s="577" t="str">
        <f>INPUT!EB291</f>
        <v>NM</v>
      </c>
      <c r="CF343" s="586">
        <f>INPUT!EC291</f>
        <v>1.5999999999999996</v>
      </c>
      <c r="CG343" s="577" t="str">
        <f>INPUT!ED291</f>
        <v>NM</v>
      </c>
      <c r="CH343" s="586">
        <f>INPUT!EE291</f>
        <v>0.90000000000000036</v>
      </c>
      <c r="CI343" s="577" t="str">
        <f>INPUT!EF291</f>
        <v>NM</v>
      </c>
      <c r="CJ343" s="586">
        <f>INPUT!EG291</f>
        <v>-1.5999999999999996</v>
      </c>
      <c r="CK343" s="577">
        <f>INPUT!EH291</f>
        <v>33.3333333333334</v>
      </c>
      <c r="CL343" s="586">
        <f>INPUT!EI291</f>
        <v>9.9999999999999645E-2</v>
      </c>
      <c r="CM343" s="577" t="str">
        <f>INPUT!EJ291</f>
        <v>NM</v>
      </c>
      <c r="CN343" s="586">
        <f>INPUT!EK291</f>
        <v>1.2000000000000011</v>
      </c>
      <c r="CO343" s="577">
        <f>INPUT!EL291</f>
        <v>-24.999999999999915</v>
      </c>
      <c r="CP343" s="586">
        <f>INPUT!EM291</f>
        <v>1.3000000000000007</v>
      </c>
      <c r="CQ343" s="577">
        <f>INPUT!EN291</f>
        <v>44.444444444444457</v>
      </c>
      <c r="CR343" s="586">
        <f>INPUT!EO291</f>
        <v>1.5</v>
      </c>
      <c r="CS343" s="577" t="str">
        <f>INPUT!EP291</f>
        <v>NM</v>
      </c>
      <c r="CT343" s="586">
        <f>INPUT!EQ291</f>
        <v>0.91674999999999329</v>
      </c>
      <c r="CU343" s="577" t="str">
        <f>INPUT!ER291</f>
        <v>NM</v>
      </c>
      <c r="CV343" s="586">
        <f>INPUT!ES291</f>
        <v>0.41958124826629906</v>
      </c>
      <c r="CW343" s="577" t="str">
        <f>INPUT!ET291</f>
        <v>NM</v>
      </c>
      <c r="CX343" s="586">
        <f>INPUT!EU291</f>
        <v>0.73452777786918233</v>
      </c>
      <c r="CY343" s="577">
        <f>INPUT!EV291</f>
        <v>-43.49786324083216</v>
      </c>
      <c r="CZ343" s="586">
        <f>INPUT!EW291</f>
        <v>1.2751296962797873</v>
      </c>
      <c r="DA343" s="577">
        <f>INPUT!EX291</f>
        <v>-14.991353581347511</v>
      </c>
      <c r="DB343" s="620"/>
      <c r="DC343" s="620">
        <f>INPUT!FP291</f>
        <v>0.60000000000000142</v>
      </c>
      <c r="DD343" s="621"/>
      <c r="DE343" s="597">
        <f>INPUT!FR291</f>
        <v>0.19999999999999929</v>
      </c>
      <c r="DF343" s="577" t="str">
        <f>INPUT!FS291</f>
        <v>NM</v>
      </c>
      <c r="DG343" s="597">
        <f>INPUT!FT291</f>
        <v>9.9999999999999645E-2</v>
      </c>
      <c r="DH343" s="577">
        <f>INPUT!FU291</f>
        <v>-50</v>
      </c>
      <c r="DI343" s="597">
        <f>INPUT!FV291</f>
        <v>0.40000000000000036</v>
      </c>
      <c r="DJ343" s="577" t="str">
        <f>INPUT!FW291</f>
        <v>NM</v>
      </c>
      <c r="DK343" s="586">
        <f>INPUT!FX291</f>
        <v>6.1000000000000014</v>
      </c>
      <c r="DL343" s="577" t="str">
        <f>INPUT!FY291</f>
        <v>NM</v>
      </c>
      <c r="DM343" s="586">
        <f>INPUT!FZ291</f>
        <v>6.4</v>
      </c>
      <c r="DN343" s="577">
        <f>INPUT!GA291</f>
        <v>4.9180327868852345</v>
      </c>
      <c r="DO343" s="586">
        <f>INPUT!GB291</f>
        <v>5.6999999999999993</v>
      </c>
      <c r="DP343" s="577">
        <f>INPUT!GC291</f>
        <v>-10.937500000000014</v>
      </c>
      <c r="DQ343" s="586">
        <f>INPUT!GD291</f>
        <v>12.8</v>
      </c>
      <c r="DR343" s="577" t="str">
        <f>INPUT!GE291</f>
        <v>NM</v>
      </c>
      <c r="DS343" s="586">
        <f>INPUT!GF291</f>
        <v>4.4000000000000057</v>
      </c>
      <c r="DT343" s="577" t="str">
        <f>INPUT!GG291</f>
        <v>NM</v>
      </c>
      <c r="DU343" s="586">
        <f>INPUT!GH291</f>
        <v>4.6999999999999957</v>
      </c>
      <c r="DV343" s="577">
        <f>INPUT!GI291</f>
        <v>6.8181818181815856</v>
      </c>
      <c r="DW343" s="586">
        <f>INPUT!GJ291</f>
        <v>0.80000000000000426</v>
      </c>
      <c r="DX343" s="577" t="str">
        <f>INPUT!GK291</f>
        <v>NM</v>
      </c>
      <c r="DY343" s="586">
        <f>INPUT!GL291</f>
        <v>0.39999999999999858</v>
      </c>
      <c r="DZ343" s="577" t="str">
        <f>INPUT!GM291</f>
        <v>NM</v>
      </c>
      <c r="EA343" s="586">
        <f>INPUT!GN291</f>
        <v>4.1000000000000014</v>
      </c>
      <c r="EB343" s="577" t="str">
        <f>INPUT!GO291</f>
        <v>NM</v>
      </c>
      <c r="EC343" s="586">
        <f>INPUT!GP291</f>
        <v>3.3459887224152567</v>
      </c>
      <c r="ED343" s="577">
        <f>INPUT!GQ291</f>
        <v>-18.390518965481576</v>
      </c>
      <c r="EE343" s="586">
        <f>INPUT!GR291</f>
        <v>0.62890754651153458</v>
      </c>
      <c r="EF343" s="577" t="str">
        <f>INPUT!GS291</f>
        <v>NM</v>
      </c>
      <c r="EG343" s="586">
        <f>INPUT!GT291</f>
        <v>-1.023125292941927</v>
      </c>
      <c r="EH343" s="577" t="str">
        <f>INPUT!GU291</f>
        <v>NM</v>
      </c>
      <c r="EI343" s="586">
        <f>INPUT!GV291</f>
        <v>-2.2803937646558552</v>
      </c>
      <c r="EJ343" s="577" t="str">
        <f>INPUT!GW291</f>
        <v>NM</v>
      </c>
      <c r="EK343" s="586">
        <f>INPUT!GX291</f>
        <v>-3.2449484725792956</v>
      </c>
      <c r="EL343" s="577">
        <f>INPUT!GY291</f>
        <v>42.297726071400916</v>
      </c>
      <c r="EM343" s="577" t="str">
        <f>INPUT!GZ291</f>
        <v>NM</v>
      </c>
    </row>
    <row r="344" spans="1:144" ht="12.75" hidden="1" customHeight="1" outlineLevel="1" x14ac:dyDescent="0.2">
      <c r="A344" s="609"/>
      <c r="B344" s="580"/>
      <c r="C344" s="577"/>
      <c r="D344" s="580"/>
      <c r="E344" s="577"/>
      <c r="F344" s="580"/>
      <c r="G344" s="577"/>
      <c r="H344" s="580"/>
      <c r="I344" s="577"/>
      <c r="J344" s="580"/>
      <c r="K344" s="577"/>
      <c r="L344" s="580"/>
      <c r="M344" s="577"/>
      <c r="N344" s="580"/>
      <c r="O344" s="577"/>
      <c r="P344" s="580"/>
      <c r="Q344" s="577"/>
      <c r="R344" s="580"/>
      <c r="S344" s="577"/>
      <c r="T344" s="580"/>
      <c r="U344" s="577"/>
      <c r="V344" s="580"/>
      <c r="W344" s="577"/>
      <c r="X344" s="580"/>
      <c r="Y344" s="577"/>
      <c r="Z344" s="580"/>
      <c r="AA344" s="577"/>
      <c r="AB344" s="580"/>
      <c r="AC344" s="577"/>
      <c r="AD344" s="580"/>
      <c r="AE344" s="577"/>
      <c r="AF344" s="580"/>
      <c r="AG344" s="577"/>
      <c r="AH344" s="580"/>
      <c r="AI344" s="577"/>
      <c r="AJ344" s="580"/>
      <c r="AK344" s="577"/>
      <c r="AL344" s="580"/>
      <c r="AM344" s="577"/>
      <c r="AN344" s="580"/>
      <c r="AO344" s="577"/>
      <c r="AP344" s="580"/>
      <c r="AQ344" s="577"/>
      <c r="AR344" s="580"/>
      <c r="AS344" s="577"/>
      <c r="AT344" s="580"/>
      <c r="AU344" s="577"/>
      <c r="AV344" s="580"/>
      <c r="AW344" s="577"/>
      <c r="AX344" s="580"/>
      <c r="AY344" s="577"/>
      <c r="AZ344" s="580"/>
      <c r="BA344" s="577"/>
      <c r="BB344" s="580"/>
      <c r="BC344" s="577"/>
      <c r="BD344" s="580"/>
      <c r="BE344" s="577"/>
      <c r="BF344" s="580"/>
      <c r="BG344" s="577"/>
      <c r="BH344" s="580"/>
      <c r="BI344" s="577"/>
      <c r="BJ344" s="580"/>
      <c r="BK344" s="577"/>
      <c r="BL344" s="580"/>
      <c r="BM344" s="577"/>
      <c r="BN344" s="580"/>
      <c r="BO344" s="577"/>
      <c r="BP344" s="580"/>
      <c r="BQ344" s="577"/>
      <c r="BR344" s="580"/>
      <c r="BS344" s="577"/>
      <c r="BT344" s="580"/>
      <c r="BU344" s="577"/>
      <c r="BV344" s="580"/>
      <c r="BW344" s="577"/>
      <c r="BX344" s="580"/>
      <c r="BY344" s="577"/>
      <c r="BZ344" s="580"/>
      <c r="CA344" s="577"/>
      <c r="CB344" s="580"/>
      <c r="CC344" s="577"/>
      <c r="CD344" s="580"/>
      <c r="CE344" s="577"/>
      <c r="CF344" s="580"/>
      <c r="CG344" s="577"/>
      <c r="CH344" s="580"/>
      <c r="CI344" s="577"/>
      <c r="CJ344" s="580"/>
      <c r="CK344" s="577"/>
      <c r="CL344" s="580"/>
      <c r="CM344" s="577"/>
      <c r="CN344" s="580"/>
      <c r="CO344" s="577"/>
      <c r="CP344" s="580"/>
      <c r="CQ344" s="577"/>
      <c r="CR344" s="580"/>
      <c r="CS344" s="577"/>
      <c r="CT344" s="580"/>
      <c r="CU344" s="577"/>
      <c r="CV344" s="580"/>
      <c r="CW344" s="577"/>
      <c r="CX344" s="580"/>
      <c r="CY344" s="577"/>
      <c r="CZ344" s="580"/>
      <c r="DA344" s="577"/>
      <c r="DB344" s="556"/>
      <c r="DC344" s="580"/>
      <c r="DD344" s="577"/>
      <c r="DE344" s="580"/>
      <c r="DF344" s="577"/>
      <c r="DG344" s="580"/>
      <c r="DH344" s="577"/>
      <c r="DI344" s="580"/>
      <c r="DJ344" s="577"/>
      <c r="DK344" s="580"/>
      <c r="DL344" s="577"/>
      <c r="DM344" s="580"/>
      <c r="DN344" s="577"/>
      <c r="DO344" s="580"/>
      <c r="DP344" s="577"/>
      <c r="DQ344" s="580"/>
      <c r="DR344" s="577"/>
      <c r="DS344" s="580"/>
      <c r="DT344" s="577"/>
      <c r="DU344" s="580"/>
      <c r="DV344" s="577"/>
      <c r="DW344" s="580"/>
      <c r="DX344" s="577"/>
      <c r="DY344" s="580"/>
      <c r="DZ344" s="577"/>
      <c r="EA344" s="580"/>
      <c r="EB344" s="577"/>
      <c r="EC344" s="580"/>
      <c r="ED344" s="577"/>
      <c r="EE344" s="580"/>
      <c r="EF344" s="577"/>
      <c r="EG344" s="580"/>
      <c r="EH344" s="577"/>
      <c r="EI344" s="580"/>
      <c r="EJ344" s="577"/>
      <c r="EK344" s="580"/>
      <c r="EL344" s="577"/>
      <c r="EM344" s="577"/>
    </row>
    <row r="345" spans="1:144" ht="12.75" hidden="1" customHeight="1" outlineLevel="1" x14ac:dyDescent="0.2">
      <c r="A345" s="599" t="s">
        <v>507</v>
      </c>
      <c r="B345" s="615"/>
      <c r="C345" s="555"/>
      <c r="D345" s="615"/>
      <c r="E345" s="555"/>
      <c r="F345" s="615"/>
      <c r="G345" s="555"/>
      <c r="H345" s="615"/>
      <c r="I345" s="555"/>
      <c r="J345" s="615"/>
      <c r="K345" s="555"/>
      <c r="L345" s="615"/>
      <c r="M345" s="555"/>
      <c r="N345" s="615"/>
      <c r="O345" s="555"/>
      <c r="P345" s="615"/>
      <c r="Q345" s="555"/>
      <c r="R345" s="615"/>
      <c r="S345" s="555"/>
      <c r="T345" s="615"/>
      <c r="U345" s="555"/>
      <c r="V345" s="615"/>
      <c r="W345" s="555"/>
      <c r="X345" s="615"/>
      <c r="Y345" s="555"/>
      <c r="Z345" s="615"/>
      <c r="AA345" s="555"/>
      <c r="AB345" s="615"/>
      <c r="AC345" s="555"/>
      <c r="AD345" s="615"/>
      <c r="AE345" s="555"/>
      <c r="AF345" s="615"/>
      <c r="AG345" s="555"/>
      <c r="AH345" s="615"/>
      <c r="AI345" s="555"/>
      <c r="AJ345" s="615"/>
      <c r="AK345" s="555"/>
      <c r="AL345" s="615"/>
      <c r="AM345" s="555"/>
      <c r="AN345" s="615"/>
      <c r="AO345" s="555"/>
      <c r="AP345" s="615"/>
      <c r="AQ345" s="555"/>
      <c r="AR345" s="615"/>
      <c r="AS345" s="555"/>
      <c r="AT345" s="615"/>
      <c r="AU345" s="555"/>
      <c r="AV345" s="615"/>
      <c r="AW345" s="555"/>
      <c r="AX345" s="615"/>
      <c r="AY345" s="555"/>
      <c r="AZ345" s="615"/>
      <c r="BA345" s="555"/>
      <c r="BB345" s="615"/>
      <c r="BC345" s="555"/>
      <c r="BD345" s="615"/>
      <c r="BE345" s="555"/>
      <c r="BF345" s="615"/>
      <c r="BG345" s="555"/>
      <c r="BH345" s="615"/>
      <c r="BI345" s="555"/>
      <c r="BJ345" s="615"/>
      <c r="BK345" s="555"/>
      <c r="BL345" s="615"/>
      <c r="BM345" s="555"/>
      <c r="BN345" s="615"/>
      <c r="BO345" s="555"/>
      <c r="BP345" s="615"/>
      <c r="BQ345" s="555"/>
      <c r="BR345" s="615"/>
      <c r="BS345" s="555"/>
      <c r="BT345" s="615"/>
      <c r="BU345" s="555"/>
      <c r="BV345" s="615"/>
      <c r="BW345" s="555"/>
      <c r="BX345" s="615"/>
      <c r="BY345" s="555"/>
      <c r="BZ345" s="615"/>
      <c r="CA345" s="555"/>
      <c r="CB345" s="615"/>
      <c r="CC345" s="555"/>
      <c r="CD345" s="615"/>
      <c r="CE345" s="555"/>
      <c r="CF345" s="615"/>
      <c r="CG345" s="555"/>
      <c r="CH345" s="615"/>
      <c r="CI345" s="555"/>
      <c r="CJ345" s="615"/>
      <c r="CK345" s="555"/>
      <c r="CL345" s="615"/>
      <c r="CM345" s="555"/>
      <c r="CN345" s="615"/>
      <c r="CO345" s="555"/>
      <c r="CP345" s="615"/>
      <c r="CQ345" s="555"/>
      <c r="CR345" s="615"/>
      <c r="CS345" s="555"/>
      <c r="CT345" s="615"/>
      <c r="CU345" s="555"/>
      <c r="CV345" s="615"/>
      <c r="CW345" s="555"/>
      <c r="CX345" s="615"/>
      <c r="CY345" s="555"/>
      <c r="CZ345" s="615"/>
      <c r="DA345" s="555"/>
      <c r="DB345" s="615"/>
      <c r="DC345" s="615"/>
      <c r="DD345" s="555"/>
      <c r="DE345" s="615"/>
      <c r="DF345" s="555"/>
      <c r="DG345" s="615"/>
      <c r="DH345" s="555"/>
      <c r="DI345" s="615"/>
      <c r="DJ345" s="555"/>
      <c r="DK345" s="615"/>
      <c r="DL345" s="555"/>
      <c r="DM345" s="615"/>
      <c r="DN345" s="555"/>
      <c r="DO345" s="615"/>
      <c r="DP345" s="555"/>
      <c r="DQ345" s="615"/>
      <c r="DR345" s="555"/>
      <c r="DS345" s="615"/>
      <c r="DT345" s="555"/>
      <c r="DU345" s="615"/>
      <c r="DV345" s="555"/>
      <c r="DW345" s="615"/>
      <c r="DX345" s="555"/>
      <c r="DY345" s="615"/>
      <c r="DZ345" s="555"/>
      <c r="EA345" s="615"/>
      <c r="EB345" s="555"/>
      <c r="EC345" s="615"/>
      <c r="ED345" s="555"/>
      <c r="EE345" s="615"/>
      <c r="EF345" s="555"/>
      <c r="EG345" s="615"/>
      <c r="EH345" s="555"/>
      <c r="EI345" s="615"/>
      <c r="EJ345" s="555"/>
      <c r="EK345" s="615"/>
      <c r="EL345" s="555"/>
      <c r="EM345" s="555"/>
    </row>
    <row r="346" spans="1:144" ht="12.75" hidden="1" customHeight="1" outlineLevel="1" x14ac:dyDescent="0.2">
      <c r="A346" s="599" t="s">
        <v>317</v>
      </c>
      <c r="B346" s="615"/>
      <c r="C346" s="555"/>
      <c r="D346" s="615"/>
      <c r="E346" s="555"/>
      <c r="F346" s="615"/>
      <c r="G346" s="555"/>
      <c r="H346" s="615"/>
      <c r="I346" s="555"/>
      <c r="J346" s="615"/>
      <c r="K346" s="555"/>
      <c r="L346" s="615"/>
      <c r="M346" s="555"/>
      <c r="N346" s="615"/>
      <c r="O346" s="555"/>
      <c r="P346" s="615"/>
      <c r="Q346" s="555"/>
      <c r="R346" s="615"/>
      <c r="S346" s="555"/>
      <c r="T346" s="615"/>
      <c r="U346" s="555"/>
      <c r="V346" s="615"/>
      <c r="W346" s="555"/>
      <c r="X346" s="615"/>
      <c r="Y346" s="555"/>
      <c r="Z346" s="615"/>
      <c r="AA346" s="555"/>
      <c r="AB346" s="615"/>
      <c r="AC346" s="555"/>
      <c r="AD346" s="615"/>
      <c r="AE346" s="555"/>
      <c r="AF346" s="615"/>
      <c r="AG346" s="555"/>
      <c r="AH346" s="615"/>
      <c r="AI346" s="555"/>
      <c r="AJ346" s="615"/>
      <c r="AK346" s="555"/>
      <c r="AL346" s="615"/>
      <c r="AM346" s="555"/>
      <c r="AN346" s="615"/>
      <c r="AO346" s="555"/>
      <c r="AP346" s="615"/>
      <c r="AQ346" s="555"/>
      <c r="AR346" s="615"/>
      <c r="AS346" s="555"/>
      <c r="AT346" s="615"/>
      <c r="AU346" s="555"/>
      <c r="AV346" s="615"/>
      <c r="AW346" s="555"/>
      <c r="AX346" s="615"/>
      <c r="AY346" s="555"/>
      <c r="AZ346" s="615"/>
      <c r="BA346" s="555"/>
      <c r="BB346" s="615"/>
      <c r="BC346" s="555"/>
      <c r="BD346" s="615"/>
      <c r="BE346" s="555"/>
      <c r="BF346" s="615"/>
      <c r="BG346" s="555"/>
      <c r="BH346" s="615"/>
      <c r="BI346" s="555"/>
      <c r="BJ346" s="615"/>
      <c r="BK346" s="555"/>
      <c r="BL346" s="615"/>
      <c r="BM346" s="555"/>
      <c r="BN346" s="615"/>
      <c r="BO346" s="555"/>
      <c r="BP346" s="615"/>
      <c r="BQ346" s="555"/>
      <c r="BR346" s="615"/>
      <c r="BS346" s="555"/>
      <c r="BT346" s="615"/>
      <c r="BU346" s="555"/>
      <c r="BV346" s="615"/>
      <c r="BW346" s="555"/>
      <c r="BX346" s="615"/>
      <c r="BY346" s="555"/>
      <c r="BZ346" s="615"/>
      <c r="CA346" s="555"/>
      <c r="CB346" s="615"/>
      <c r="CC346" s="555"/>
      <c r="CD346" s="615"/>
      <c r="CE346" s="555"/>
      <c r="CF346" s="615"/>
      <c r="CG346" s="555"/>
      <c r="CH346" s="615"/>
      <c r="CI346" s="555"/>
      <c r="CJ346" s="615"/>
      <c r="CK346" s="555"/>
      <c r="CL346" s="615"/>
      <c r="CM346" s="555"/>
      <c r="CN346" s="615"/>
      <c r="CO346" s="555"/>
      <c r="CP346" s="615"/>
      <c r="CQ346" s="555"/>
      <c r="CR346" s="615"/>
      <c r="CS346" s="555"/>
      <c r="CT346" s="615"/>
      <c r="CU346" s="555"/>
      <c r="CV346" s="615"/>
      <c r="CW346" s="555"/>
      <c r="CX346" s="615"/>
      <c r="CY346" s="555"/>
      <c r="CZ346" s="615"/>
      <c r="DA346" s="555"/>
      <c r="DB346" s="615"/>
      <c r="DC346" s="615"/>
      <c r="DD346" s="555"/>
      <c r="DE346" s="615"/>
      <c r="DF346" s="555"/>
      <c r="DG346" s="615"/>
      <c r="DH346" s="555"/>
      <c r="DI346" s="615"/>
      <c r="DJ346" s="555"/>
      <c r="DK346" s="615"/>
      <c r="DL346" s="555"/>
      <c r="DM346" s="615"/>
      <c r="DN346" s="555"/>
      <c r="DO346" s="615"/>
      <c r="DP346" s="555"/>
      <c r="DQ346" s="615"/>
      <c r="DR346" s="555"/>
      <c r="DS346" s="615"/>
      <c r="DT346" s="555"/>
      <c r="DU346" s="615"/>
      <c r="DV346" s="555"/>
      <c r="DW346" s="615"/>
      <c r="DX346" s="555"/>
      <c r="DY346" s="615"/>
      <c r="DZ346" s="555"/>
      <c r="EA346" s="615"/>
      <c r="EB346" s="555"/>
      <c r="EC346" s="615"/>
      <c r="ED346" s="555"/>
      <c r="EE346" s="615"/>
      <c r="EF346" s="555"/>
      <c r="EG346" s="615"/>
      <c r="EH346" s="555"/>
      <c r="EI346" s="615"/>
      <c r="EJ346" s="555"/>
      <c r="EK346" s="615"/>
      <c r="EL346" s="555"/>
      <c r="EM346" s="555"/>
    </row>
    <row r="347" spans="1:144" ht="12.75" hidden="1" customHeight="1" outlineLevel="1" x14ac:dyDescent="0.2">
      <c r="A347" s="609"/>
      <c r="B347" s="610"/>
      <c r="C347" s="555"/>
      <c r="D347" s="610"/>
      <c r="E347" s="555"/>
      <c r="F347" s="610"/>
      <c r="G347" s="555"/>
      <c r="H347" s="610"/>
      <c r="I347" s="555"/>
      <c r="J347" s="610"/>
      <c r="K347" s="555"/>
      <c r="L347" s="610"/>
      <c r="M347" s="555"/>
      <c r="N347" s="610"/>
      <c r="O347" s="555"/>
      <c r="P347" s="610"/>
      <c r="Q347" s="555"/>
      <c r="R347" s="610"/>
      <c r="S347" s="555"/>
      <c r="T347" s="610"/>
      <c r="U347" s="555"/>
      <c r="V347" s="610"/>
      <c r="W347" s="555"/>
      <c r="X347" s="610"/>
      <c r="Y347" s="555"/>
      <c r="Z347" s="610"/>
      <c r="AA347" s="555"/>
      <c r="AB347" s="610"/>
      <c r="AC347" s="555"/>
      <c r="AD347" s="610"/>
      <c r="AE347" s="555"/>
      <c r="AF347" s="610"/>
      <c r="AG347" s="555"/>
      <c r="AH347" s="610"/>
      <c r="AI347" s="555"/>
      <c r="AJ347" s="610"/>
      <c r="AK347" s="555"/>
      <c r="AL347" s="610"/>
      <c r="AM347" s="555"/>
      <c r="AN347" s="610"/>
      <c r="AO347" s="555"/>
      <c r="AP347" s="610"/>
      <c r="AQ347" s="555"/>
      <c r="AR347" s="610"/>
      <c r="AS347" s="555"/>
      <c r="AT347" s="610"/>
      <c r="AU347" s="555"/>
      <c r="AV347" s="610"/>
      <c r="AW347" s="555"/>
      <c r="AX347" s="610"/>
      <c r="AY347" s="555"/>
      <c r="AZ347" s="610"/>
      <c r="BA347" s="555"/>
      <c r="BB347" s="610"/>
      <c r="BC347" s="555"/>
      <c r="BD347" s="610"/>
      <c r="BE347" s="555"/>
      <c r="BF347" s="610"/>
      <c r="BG347" s="555"/>
      <c r="BH347" s="610"/>
      <c r="BI347" s="555"/>
      <c r="BJ347" s="610"/>
      <c r="BK347" s="555"/>
      <c r="BL347" s="610"/>
      <c r="BM347" s="555"/>
      <c r="BN347" s="610"/>
      <c r="BO347" s="555"/>
      <c r="BP347" s="610"/>
      <c r="BQ347" s="555"/>
      <c r="BR347" s="610"/>
      <c r="BS347" s="555"/>
      <c r="BT347" s="610"/>
      <c r="BU347" s="555"/>
      <c r="BV347" s="610"/>
      <c r="BW347" s="555"/>
      <c r="BX347" s="610"/>
      <c r="BY347" s="555"/>
      <c r="BZ347" s="610"/>
      <c r="CA347" s="555"/>
      <c r="CB347" s="610"/>
      <c r="CC347" s="555"/>
      <c r="CD347" s="610"/>
      <c r="CE347" s="555"/>
      <c r="CF347" s="610"/>
      <c r="CG347" s="555"/>
      <c r="CH347" s="610"/>
      <c r="CI347" s="555"/>
      <c r="CJ347" s="610"/>
      <c r="CK347" s="555"/>
      <c r="CL347" s="610"/>
      <c r="CM347" s="555"/>
      <c r="CN347" s="610"/>
      <c r="CO347" s="555"/>
      <c r="CP347" s="610"/>
      <c r="CQ347" s="555"/>
      <c r="CR347" s="610"/>
      <c r="CS347" s="555"/>
      <c r="CT347" s="610"/>
      <c r="CU347" s="555"/>
      <c r="CV347" s="610"/>
      <c r="CW347" s="555"/>
      <c r="CX347" s="610"/>
      <c r="CY347" s="555"/>
      <c r="CZ347" s="610"/>
      <c r="DA347" s="555"/>
      <c r="DB347" s="556"/>
      <c r="DC347" s="610"/>
      <c r="DD347" s="555"/>
      <c r="DE347" s="610"/>
      <c r="DF347" s="555"/>
      <c r="DG347" s="610"/>
      <c r="DH347" s="555"/>
      <c r="DI347" s="610"/>
      <c r="DJ347" s="555"/>
      <c r="DK347" s="610"/>
      <c r="DL347" s="555"/>
      <c r="DM347" s="610"/>
      <c r="DN347" s="555"/>
      <c r="DO347" s="610"/>
      <c r="DP347" s="555"/>
      <c r="DQ347" s="610"/>
      <c r="DR347" s="555"/>
      <c r="DS347" s="610"/>
      <c r="DT347" s="555"/>
      <c r="DU347" s="610"/>
      <c r="DV347" s="555"/>
      <c r="DW347" s="610"/>
      <c r="DX347" s="555"/>
      <c r="DY347" s="610"/>
      <c r="DZ347" s="555"/>
      <c r="EA347" s="610"/>
      <c r="EB347" s="555"/>
      <c r="EC347" s="610"/>
      <c r="ED347" s="555"/>
      <c r="EE347" s="610"/>
      <c r="EF347" s="555"/>
      <c r="EG347" s="610"/>
      <c r="EH347" s="555"/>
      <c r="EI347" s="610"/>
      <c r="EJ347" s="555"/>
      <c r="EK347" s="610"/>
      <c r="EL347" s="555"/>
      <c r="EM347" s="555"/>
    </row>
    <row r="348" spans="1:144" ht="21.95" hidden="1" customHeight="1" outlineLevel="2" x14ac:dyDescent="0.2">
      <c r="A348" s="609" t="str">
        <f>$A$1</f>
        <v>Prudential Financial, Inc.</v>
      </c>
      <c r="B348" s="554"/>
      <c r="C348" s="555"/>
      <c r="D348" s="554"/>
      <c r="E348" s="555"/>
      <c r="F348" s="554"/>
      <c r="G348" s="555"/>
      <c r="H348" s="554"/>
      <c r="I348" s="555"/>
      <c r="J348" s="554"/>
      <c r="K348" s="555"/>
      <c r="L348" s="554"/>
      <c r="M348" s="555"/>
      <c r="N348" s="554"/>
      <c r="O348" s="555"/>
      <c r="P348" s="554"/>
      <c r="Q348" s="555"/>
      <c r="R348" s="554"/>
      <c r="S348" s="555"/>
      <c r="T348" s="554"/>
      <c r="U348" s="555"/>
      <c r="V348" s="554"/>
      <c r="W348" s="555"/>
      <c r="X348" s="554"/>
      <c r="Y348" s="555"/>
      <c r="Z348" s="554"/>
      <c r="AA348" s="555"/>
      <c r="AB348" s="554"/>
      <c r="AC348" s="555"/>
      <c r="AD348" s="554"/>
      <c r="AE348" s="555"/>
      <c r="AF348" s="554"/>
      <c r="AG348" s="555"/>
      <c r="AH348" s="554"/>
      <c r="AI348" s="555"/>
      <c r="AJ348" s="554"/>
      <c r="AK348" s="555"/>
      <c r="AL348" s="554"/>
      <c r="AM348" s="555"/>
      <c r="AN348" s="554"/>
      <c r="AO348" s="555"/>
      <c r="AP348" s="554"/>
      <c r="AQ348" s="555"/>
      <c r="AR348" s="554"/>
      <c r="AS348" s="555"/>
      <c r="AT348" s="554"/>
      <c r="AU348" s="555"/>
      <c r="AV348" s="554"/>
      <c r="AW348" s="555"/>
      <c r="AX348" s="554"/>
      <c r="AY348" s="555"/>
      <c r="AZ348" s="554"/>
      <c r="BA348" s="555"/>
      <c r="BB348" s="554"/>
      <c r="BC348" s="555"/>
      <c r="BD348" s="554"/>
      <c r="BE348" s="555"/>
      <c r="BF348" s="554"/>
      <c r="BG348" s="555"/>
      <c r="BH348" s="554"/>
      <c r="BI348" s="555"/>
      <c r="BJ348" s="554"/>
      <c r="BK348" s="555"/>
      <c r="BL348" s="554"/>
      <c r="BM348" s="555"/>
      <c r="BN348" s="554"/>
      <c r="BO348" s="555"/>
      <c r="BP348" s="554"/>
      <c r="BQ348" s="555"/>
      <c r="BR348" s="554"/>
      <c r="BS348" s="555"/>
      <c r="BT348" s="554"/>
      <c r="BU348" s="555"/>
      <c r="BV348" s="554"/>
      <c r="BW348" s="555"/>
      <c r="BX348" s="554"/>
      <c r="BY348" s="555"/>
      <c r="BZ348" s="554"/>
      <c r="CA348" s="555"/>
      <c r="CB348" s="554"/>
      <c r="CC348" s="555"/>
      <c r="CD348" s="554"/>
      <c r="CE348" s="555"/>
      <c r="CF348" s="554"/>
      <c r="CG348" s="555"/>
      <c r="CH348" s="554"/>
      <c r="CI348" s="555"/>
      <c r="CJ348" s="554"/>
      <c r="CK348" s="555"/>
      <c r="CL348" s="554"/>
      <c r="CM348" s="555"/>
      <c r="CN348" s="554"/>
      <c r="CO348" s="555"/>
      <c r="CP348" s="554"/>
      <c r="CQ348" s="555"/>
      <c r="CR348" s="554"/>
      <c r="CS348" s="555"/>
      <c r="CT348" s="554"/>
      <c r="CU348" s="555"/>
      <c r="CV348" s="554"/>
      <c r="CW348" s="555"/>
      <c r="CX348" s="554"/>
      <c r="CY348" s="555"/>
      <c r="CZ348" s="554"/>
      <c r="DA348" s="555"/>
      <c r="DB348" s="556"/>
      <c r="DC348" s="554"/>
      <c r="DD348" s="555"/>
      <c r="DE348" s="554"/>
      <c r="DF348" s="555"/>
      <c r="DG348" s="554"/>
      <c r="DH348" s="555"/>
      <c r="DI348" s="554"/>
      <c r="DJ348" s="555"/>
      <c r="DK348" s="554"/>
      <c r="DL348" s="555"/>
      <c r="DM348" s="554"/>
      <c r="DN348" s="555"/>
      <c r="DO348" s="554"/>
      <c r="DP348" s="555"/>
      <c r="DQ348" s="554"/>
      <c r="DR348" s="555"/>
      <c r="DS348" s="554"/>
      <c r="DT348" s="555"/>
      <c r="DU348" s="554"/>
      <c r="DV348" s="555"/>
      <c r="DW348" s="554"/>
      <c r="DX348" s="555"/>
      <c r="DY348" s="554"/>
      <c r="DZ348" s="555"/>
      <c r="EA348" s="554"/>
      <c r="EB348" s="555"/>
      <c r="EC348" s="554"/>
      <c r="ED348" s="555"/>
      <c r="EE348" s="554"/>
      <c r="EF348" s="555"/>
      <c r="EG348" s="554"/>
      <c r="EH348" s="555"/>
      <c r="EI348" s="554"/>
      <c r="EJ348" s="555"/>
      <c r="EK348" s="554"/>
      <c r="EL348" s="555"/>
      <c r="EM348" s="554"/>
    </row>
    <row r="349" spans="1:144" ht="12.75" hidden="1" customHeight="1" outlineLevel="2" x14ac:dyDescent="0.2">
      <c r="A349" s="557" t="s">
        <v>592</v>
      </c>
      <c r="B349" s="558"/>
      <c r="C349" s="559"/>
      <c r="D349" s="558"/>
      <c r="E349" s="559"/>
      <c r="F349" s="558"/>
      <c r="G349" s="559"/>
      <c r="H349" s="558"/>
      <c r="I349" s="559"/>
      <c r="J349" s="558"/>
      <c r="K349" s="559"/>
      <c r="L349" s="558"/>
      <c r="M349" s="559"/>
      <c r="N349" s="558"/>
      <c r="O349" s="559"/>
      <c r="P349" s="558"/>
      <c r="Q349" s="559"/>
      <c r="R349" s="558"/>
      <c r="S349" s="559"/>
      <c r="T349" s="558"/>
      <c r="U349" s="559"/>
      <c r="V349" s="558"/>
      <c r="W349" s="559"/>
      <c r="X349" s="558"/>
      <c r="Y349" s="559"/>
      <c r="Z349" s="558"/>
      <c r="AA349" s="559"/>
      <c r="AB349" s="558"/>
      <c r="AC349" s="559"/>
      <c r="AD349" s="558"/>
      <c r="AE349" s="559"/>
      <c r="AF349" s="558"/>
      <c r="AG349" s="559"/>
      <c r="AH349" s="558"/>
      <c r="AI349" s="559"/>
      <c r="AJ349" s="558"/>
      <c r="AK349" s="559"/>
      <c r="AL349" s="558"/>
      <c r="AM349" s="559"/>
      <c r="AN349" s="558"/>
      <c r="AO349" s="559"/>
      <c r="AP349" s="558"/>
      <c r="AQ349" s="559"/>
      <c r="AR349" s="558"/>
      <c r="AS349" s="559"/>
      <c r="AT349" s="558"/>
      <c r="AU349" s="559"/>
      <c r="AV349" s="558"/>
      <c r="AW349" s="559"/>
      <c r="AX349" s="558"/>
      <c r="AY349" s="559"/>
      <c r="AZ349" s="558"/>
      <c r="BA349" s="559"/>
      <c r="BB349" s="558"/>
      <c r="BC349" s="559"/>
      <c r="BD349" s="558"/>
      <c r="BE349" s="559"/>
      <c r="BF349" s="558"/>
      <c r="BG349" s="559"/>
      <c r="BH349" s="558"/>
      <c r="BI349" s="559"/>
      <c r="BJ349" s="558"/>
      <c r="BK349" s="559"/>
      <c r="BL349" s="558"/>
      <c r="BM349" s="559"/>
      <c r="BN349" s="558"/>
      <c r="BO349" s="559"/>
      <c r="BP349" s="558"/>
      <c r="BQ349" s="559"/>
      <c r="BR349" s="558"/>
      <c r="BS349" s="559"/>
      <c r="BT349" s="558"/>
      <c r="BU349" s="559"/>
      <c r="BV349" s="558"/>
      <c r="BW349" s="559"/>
      <c r="BX349" s="558"/>
      <c r="BY349" s="559"/>
      <c r="BZ349" s="558"/>
      <c r="CA349" s="559"/>
      <c r="CB349" s="558"/>
      <c r="CC349" s="559"/>
      <c r="CD349" s="558"/>
      <c r="CE349" s="559"/>
      <c r="CF349" s="558"/>
      <c r="CG349" s="559"/>
      <c r="CH349" s="558"/>
      <c r="CI349" s="559"/>
      <c r="CJ349" s="558"/>
      <c r="CK349" s="559"/>
      <c r="CL349" s="558"/>
      <c r="CM349" s="559"/>
      <c r="CN349" s="558"/>
      <c r="CO349" s="559"/>
      <c r="CP349" s="558"/>
      <c r="CQ349" s="559"/>
      <c r="CR349" s="558"/>
      <c r="CS349" s="559"/>
      <c r="CT349" s="558"/>
      <c r="CU349" s="559"/>
      <c r="CV349" s="558"/>
      <c r="CW349" s="559"/>
      <c r="CX349" s="558"/>
      <c r="CY349" s="559"/>
      <c r="CZ349" s="558"/>
      <c r="DA349" s="559"/>
      <c r="DB349" s="560"/>
      <c r="DC349" s="561"/>
      <c r="DD349" s="559"/>
      <c r="DE349" s="558"/>
      <c r="DF349" s="559"/>
      <c r="DG349" s="558"/>
      <c r="DH349" s="559"/>
      <c r="DI349" s="558"/>
      <c r="DJ349" s="559"/>
      <c r="DK349" s="558"/>
      <c r="DL349" s="559"/>
      <c r="DM349" s="558"/>
      <c r="DN349" s="559"/>
      <c r="DO349" s="558"/>
      <c r="DP349" s="559"/>
      <c r="DQ349" s="558"/>
      <c r="DR349" s="559"/>
      <c r="DS349" s="558"/>
      <c r="DT349" s="559"/>
      <c r="DU349" s="558"/>
      <c r="DV349" s="559"/>
      <c r="DW349" s="558"/>
      <c r="DX349" s="559"/>
      <c r="DY349" s="558"/>
      <c r="DZ349" s="559"/>
      <c r="EA349" s="558"/>
      <c r="EB349" s="559"/>
      <c r="EC349" s="558"/>
      <c r="ED349" s="559"/>
      <c r="EE349" s="558"/>
      <c r="EF349" s="559"/>
      <c r="EG349" s="558"/>
      <c r="EH349" s="559"/>
      <c r="EI349" s="558"/>
      <c r="EJ349" s="559"/>
      <c r="EK349" s="558"/>
      <c r="EL349" s="559"/>
      <c r="EM349" s="558"/>
    </row>
    <row r="350" spans="1:144" ht="12.75" hidden="1" customHeight="1" outlineLevel="2" x14ac:dyDescent="0.2">
      <c r="A350" s="562" t="str">
        <f>A$3</f>
        <v>($Millions Except Per Share Data)</v>
      </c>
      <c r="B350" s="563"/>
      <c r="C350" s="564" t="str">
        <f>C$3</f>
        <v>1Q06/</v>
      </c>
      <c r="D350" s="563"/>
      <c r="E350" s="564" t="str">
        <f>E$3</f>
        <v>2Q06/</v>
      </c>
      <c r="F350" s="563"/>
      <c r="G350" s="564" t="str">
        <f>G$3</f>
        <v>3Q06/</v>
      </c>
      <c r="H350" s="563"/>
      <c r="I350" s="564" t="str">
        <f>I$3</f>
        <v>4Q06/</v>
      </c>
      <c r="J350" s="563"/>
      <c r="K350" s="564" t="str">
        <f>K$3</f>
        <v>1Q07/</v>
      </c>
      <c r="L350" s="563"/>
      <c r="M350" s="564" t="str">
        <f>M$3</f>
        <v>2Q07/</v>
      </c>
      <c r="N350" s="563"/>
      <c r="O350" s="564" t="str">
        <f>O$3</f>
        <v>3Q07/</v>
      </c>
      <c r="P350" s="563"/>
      <c r="Q350" s="564" t="str">
        <f>Q$3</f>
        <v>4Q07/</v>
      </c>
      <c r="R350" s="563"/>
      <c r="S350" s="564" t="str">
        <f>S$3</f>
        <v>1Q08/</v>
      </c>
      <c r="T350" s="563"/>
      <c r="U350" s="564" t="str">
        <f>U$3</f>
        <v>2Q08/</v>
      </c>
      <c r="V350" s="563"/>
      <c r="W350" s="564" t="str">
        <f>W$3</f>
        <v>3Q08/</v>
      </c>
      <c r="X350" s="563"/>
      <c r="Y350" s="564" t="str">
        <f>Y$3</f>
        <v>4Q08/</v>
      </c>
      <c r="Z350" s="563"/>
      <c r="AA350" s="564" t="str">
        <f>AA$3</f>
        <v>1Q09/</v>
      </c>
      <c r="AB350" s="563"/>
      <c r="AC350" s="564" t="str">
        <f>AC$3</f>
        <v>2Q09/</v>
      </c>
      <c r="AD350" s="563"/>
      <c r="AE350" s="564" t="str">
        <f>AE$3</f>
        <v>3Q09/</v>
      </c>
      <c r="AF350" s="563"/>
      <c r="AG350" s="564" t="str">
        <f>AG$3</f>
        <v>4Q09/</v>
      </c>
      <c r="AH350" s="563"/>
      <c r="AI350" s="564" t="str">
        <f>AI$3</f>
        <v>1Q10/</v>
      </c>
      <c r="AJ350" s="563"/>
      <c r="AK350" s="564" t="str">
        <f>AK$3</f>
        <v>2Q10/</v>
      </c>
      <c r="AL350" s="563"/>
      <c r="AM350" s="564" t="str">
        <f>AM$3</f>
        <v>3Q10/</v>
      </c>
      <c r="AN350" s="563"/>
      <c r="AO350" s="564" t="str">
        <f>AO$3</f>
        <v>4Q10/</v>
      </c>
      <c r="AP350" s="563"/>
      <c r="AQ350" s="564" t="str">
        <f>AQ$3</f>
        <v>1Q11/</v>
      </c>
      <c r="AR350" s="563"/>
      <c r="AS350" s="564" t="str">
        <f>AS$3</f>
        <v>2Q11/</v>
      </c>
      <c r="AT350" s="563"/>
      <c r="AU350" s="564" t="str">
        <f>AU$3</f>
        <v>3Q11/</v>
      </c>
      <c r="AV350" s="563"/>
      <c r="AW350" s="564" t="str">
        <f>AW$3</f>
        <v>4Q11/</v>
      </c>
      <c r="AX350" s="563"/>
      <c r="AY350" s="564" t="str">
        <f>AY$3</f>
        <v>1Q12/</v>
      </c>
      <c r="AZ350" s="563"/>
      <c r="BA350" s="564" t="str">
        <f>BA$3</f>
        <v>2Q12/</v>
      </c>
      <c r="BB350" s="563"/>
      <c r="BC350" s="564" t="str">
        <f>BC$3</f>
        <v>3Q12/</v>
      </c>
      <c r="BD350" s="563"/>
      <c r="BE350" s="564" t="str">
        <f>BE$3</f>
        <v>4Q12/</v>
      </c>
      <c r="BF350" s="563"/>
      <c r="BG350" s="564" t="str">
        <f>BG$3</f>
        <v>1Q13/</v>
      </c>
      <c r="BH350" s="563"/>
      <c r="BI350" s="564" t="str">
        <f>BI$3</f>
        <v>2Q13/</v>
      </c>
      <c r="BJ350" s="563"/>
      <c r="BK350" s="564" t="str">
        <f>BK$3</f>
        <v>3Q13/</v>
      </c>
      <c r="BL350" s="563"/>
      <c r="BM350" s="564" t="str">
        <f>BM$3</f>
        <v>4Q13/</v>
      </c>
      <c r="BN350" s="563"/>
      <c r="BO350" s="564" t="str">
        <f>BO$3</f>
        <v>1Q14/</v>
      </c>
      <c r="BP350" s="563"/>
      <c r="BQ350" s="564" t="str">
        <f>BQ$3</f>
        <v>2Q14/</v>
      </c>
      <c r="BR350" s="563"/>
      <c r="BS350" s="564" t="str">
        <f>BS$3</f>
        <v>3Q14/</v>
      </c>
      <c r="BT350" s="563"/>
      <c r="BU350" s="564" t="str">
        <f>BU$3</f>
        <v>4Q14/</v>
      </c>
      <c r="BV350" s="563"/>
      <c r="BW350" s="564" t="str">
        <f>BW$3</f>
        <v>1Q15/</v>
      </c>
      <c r="BX350" s="563"/>
      <c r="BY350" s="564" t="str">
        <f>BY$3</f>
        <v>2Q15/</v>
      </c>
      <c r="BZ350" s="563"/>
      <c r="CA350" s="564" t="str">
        <f>CA$3</f>
        <v>3Q15/</v>
      </c>
      <c r="CB350" s="563"/>
      <c r="CC350" s="564" t="str">
        <f>CC$3</f>
        <v>4Q15/</v>
      </c>
      <c r="CD350" s="563"/>
      <c r="CE350" s="564" t="str">
        <f>CE$3</f>
        <v>1Q16/</v>
      </c>
      <c r="CF350" s="563"/>
      <c r="CG350" s="564" t="str">
        <f>CG$3</f>
        <v>2Q16/</v>
      </c>
      <c r="CH350" s="563"/>
      <c r="CI350" s="564" t="str">
        <f>CI$3</f>
        <v>3Q16/</v>
      </c>
      <c r="CJ350" s="563"/>
      <c r="CK350" s="564" t="str">
        <f>CK$3</f>
        <v>4Q16/</v>
      </c>
      <c r="CL350" s="563"/>
      <c r="CM350" s="564" t="str">
        <f>CM$3</f>
        <v>1Q17/</v>
      </c>
      <c r="CN350" s="563"/>
      <c r="CO350" s="564" t="str">
        <f>CO$3</f>
        <v>2Q17/</v>
      </c>
      <c r="CP350" s="563"/>
      <c r="CQ350" s="564" t="str">
        <f>CQ$3</f>
        <v>3Q17/</v>
      </c>
      <c r="CR350" s="563"/>
      <c r="CS350" s="564" t="str">
        <f>CS$3</f>
        <v>4Q17/</v>
      </c>
      <c r="CT350" s="563"/>
      <c r="CU350" s="564" t="str">
        <f>CU$3</f>
        <v>1Q18E/</v>
      </c>
      <c r="CV350" s="563"/>
      <c r="CW350" s="564" t="str">
        <f>CW$3</f>
        <v>2Q18E/</v>
      </c>
      <c r="CX350" s="563"/>
      <c r="CY350" s="564" t="str">
        <f>CY$3</f>
        <v>3Q18E/</v>
      </c>
      <c r="CZ350" s="563"/>
      <c r="DA350" s="564" t="str">
        <f>DA$3</f>
        <v>4Q18E/</v>
      </c>
      <c r="DB350" s="565"/>
      <c r="DC350" s="563"/>
      <c r="DD350" s="564" t="str">
        <f>DD$3</f>
        <v>2005/</v>
      </c>
      <c r="DE350" s="563"/>
      <c r="DF350" s="564" t="str">
        <f>DF$3</f>
        <v>2006/</v>
      </c>
      <c r="DG350" s="563"/>
      <c r="DH350" s="564" t="str">
        <f>DH$3</f>
        <v>2007/</v>
      </c>
      <c r="DI350" s="563"/>
      <c r="DJ350" s="564" t="str">
        <f>DJ$3</f>
        <v>2008/</v>
      </c>
      <c r="DK350" s="563"/>
      <c r="DL350" s="564" t="str">
        <f>DL$3</f>
        <v>2009/</v>
      </c>
      <c r="DM350" s="563"/>
      <c r="DN350" s="564" t="str">
        <f>DN$3</f>
        <v>2010/</v>
      </c>
      <c r="DO350" s="563"/>
      <c r="DP350" s="564" t="str">
        <f>DP$3</f>
        <v>2011/</v>
      </c>
      <c r="DQ350" s="563"/>
      <c r="DR350" s="564" t="str">
        <f>DR$3</f>
        <v>2012/</v>
      </c>
      <c r="DS350" s="563"/>
      <c r="DT350" s="564" t="str">
        <f>DT$3</f>
        <v>2013/</v>
      </c>
      <c r="DU350" s="563"/>
      <c r="DV350" s="564" t="str">
        <f>DV$3</f>
        <v>2014/</v>
      </c>
      <c r="DW350" s="563"/>
      <c r="DX350" s="564" t="str">
        <f>DX$3</f>
        <v>2015/</v>
      </c>
      <c r="DY350" s="563"/>
      <c r="DZ350" s="564" t="str">
        <f>DZ$3</f>
        <v>2016/</v>
      </c>
      <c r="EA350" s="563"/>
      <c r="EB350" s="564" t="str">
        <f>EB$3</f>
        <v>2017/</v>
      </c>
      <c r="EC350" s="563"/>
      <c r="ED350" s="564" t="str">
        <f>ED$3</f>
        <v>2018E/</v>
      </c>
      <c r="EE350" s="563"/>
      <c r="EF350" s="564" t="str">
        <f>EF$3</f>
        <v>2019E/</v>
      </c>
      <c r="EG350" s="563"/>
      <c r="EH350" s="564" t="str">
        <f>EH$3</f>
        <v>2020E/</v>
      </c>
      <c r="EI350" s="563"/>
      <c r="EJ350" s="564" t="str">
        <f>EJ$3</f>
        <v>2021E/</v>
      </c>
      <c r="EK350" s="563"/>
      <c r="EL350" s="564" t="str">
        <f>EL$3</f>
        <v>2022E/</v>
      </c>
      <c r="EM350" s="566" t="str">
        <f>EM$3</f>
        <v>5-Yr</v>
      </c>
      <c r="EN350" s="549"/>
    </row>
    <row r="351" spans="1:144" ht="12.75" hidden="1" customHeight="1" outlineLevel="2" x14ac:dyDescent="0.2">
      <c r="A351" s="567"/>
      <c r="B351" s="568"/>
      <c r="C351" s="559" t="str">
        <f>C$4</f>
        <v>1Q05</v>
      </c>
      <c r="D351" s="568"/>
      <c r="E351" s="559" t="str">
        <f>E$4</f>
        <v>2Q05</v>
      </c>
      <c r="F351" s="568"/>
      <c r="G351" s="559" t="str">
        <f>G$4</f>
        <v>3Q05</v>
      </c>
      <c r="H351" s="568"/>
      <c r="I351" s="559" t="str">
        <f>I$4</f>
        <v>4Q05</v>
      </c>
      <c r="J351" s="568"/>
      <c r="K351" s="559" t="str">
        <f>K$4</f>
        <v>1Q06</v>
      </c>
      <c r="L351" s="568"/>
      <c r="M351" s="559" t="str">
        <f>M$4</f>
        <v>2Q06</v>
      </c>
      <c r="N351" s="568"/>
      <c r="O351" s="559" t="str">
        <f>O$4</f>
        <v>3Q06</v>
      </c>
      <c r="P351" s="568"/>
      <c r="Q351" s="559" t="str">
        <f>Q$4</f>
        <v>4Q06</v>
      </c>
      <c r="R351" s="568"/>
      <c r="S351" s="559" t="str">
        <f>S$4</f>
        <v>1Q07</v>
      </c>
      <c r="T351" s="568"/>
      <c r="U351" s="559" t="str">
        <f>U$4</f>
        <v>2Q07</v>
      </c>
      <c r="V351" s="568"/>
      <c r="W351" s="559" t="str">
        <f>W$4</f>
        <v>3Q07</v>
      </c>
      <c r="X351" s="568"/>
      <c r="Y351" s="559" t="str">
        <f>Y$4</f>
        <v>4Q07</v>
      </c>
      <c r="Z351" s="568"/>
      <c r="AA351" s="559" t="str">
        <f>AA$4</f>
        <v>1Q08</v>
      </c>
      <c r="AB351" s="568"/>
      <c r="AC351" s="559" t="str">
        <f>AC$4</f>
        <v>2Q08</v>
      </c>
      <c r="AD351" s="568"/>
      <c r="AE351" s="559" t="str">
        <f>AE$4</f>
        <v>3Q08</v>
      </c>
      <c r="AF351" s="568"/>
      <c r="AG351" s="559" t="str">
        <f>AG$4</f>
        <v>4Q08</v>
      </c>
      <c r="AH351" s="568"/>
      <c r="AI351" s="559" t="str">
        <f>AI$4</f>
        <v>1Q09</v>
      </c>
      <c r="AJ351" s="568"/>
      <c r="AK351" s="559" t="str">
        <f>AK$4</f>
        <v>2Q09</v>
      </c>
      <c r="AL351" s="568"/>
      <c r="AM351" s="559" t="str">
        <f>AM$4</f>
        <v>3Q09</v>
      </c>
      <c r="AN351" s="568"/>
      <c r="AO351" s="559" t="str">
        <f>AO$4</f>
        <v>4Q09</v>
      </c>
      <c r="AP351" s="568"/>
      <c r="AQ351" s="559" t="str">
        <f>AQ$4</f>
        <v>1Q10</v>
      </c>
      <c r="AR351" s="568"/>
      <c r="AS351" s="559" t="str">
        <f>AS$4</f>
        <v>2Q10</v>
      </c>
      <c r="AT351" s="568"/>
      <c r="AU351" s="559" t="str">
        <f>AU$4</f>
        <v>3Q10</v>
      </c>
      <c r="AV351" s="568"/>
      <c r="AW351" s="559" t="str">
        <f>AW$4</f>
        <v>4Q10</v>
      </c>
      <c r="AX351" s="568"/>
      <c r="AY351" s="559" t="str">
        <f>AY$4</f>
        <v>1Q11</v>
      </c>
      <c r="AZ351" s="568"/>
      <c r="BA351" s="559" t="str">
        <f>BA$4</f>
        <v>2Q11</v>
      </c>
      <c r="BB351" s="568"/>
      <c r="BC351" s="559" t="str">
        <f>BC$4</f>
        <v>3Q11</v>
      </c>
      <c r="BD351" s="568"/>
      <c r="BE351" s="559" t="str">
        <f>BE$4</f>
        <v>4Q11</v>
      </c>
      <c r="BF351" s="568"/>
      <c r="BG351" s="559" t="str">
        <f>BG$4</f>
        <v>1Q12</v>
      </c>
      <c r="BH351" s="568"/>
      <c r="BI351" s="559" t="str">
        <f>BI$4</f>
        <v>2Q12</v>
      </c>
      <c r="BJ351" s="568"/>
      <c r="BK351" s="559" t="str">
        <f>BK$4</f>
        <v>3Q12</v>
      </c>
      <c r="BL351" s="568"/>
      <c r="BM351" s="559" t="str">
        <f>BM$4</f>
        <v>4Q12</v>
      </c>
      <c r="BN351" s="568"/>
      <c r="BO351" s="559" t="str">
        <f>BO$4</f>
        <v>1Q13</v>
      </c>
      <c r="BP351" s="568"/>
      <c r="BQ351" s="559" t="str">
        <f>BQ$4</f>
        <v>2Q13</v>
      </c>
      <c r="BR351" s="568"/>
      <c r="BS351" s="559" t="str">
        <f>BS$4</f>
        <v>3Q13</v>
      </c>
      <c r="BT351" s="568"/>
      <c r="BU351" s="559" t="str">
        <f>BU$4</f>
        <v>4Q13</v>
      </c>
      <c r="BV351" s="568"/>
      <c r="BW351" s="559" t="str">
        <f>BW$4</f>
        <v>1Q14</v>
      </c>
      <c r="BX351" s="568"/>
      <c r="BY351" s="559" t="str">
        <f>BY$4</f>
        <v>2Q14</v>
      </c>
      <c r="BZ351" s="568"/>
      <c r="CA351" s="559" t="str">
        <f>CA$4</f>
        <v>3Q14</v>
      </c>
      <c r="CB351" s="568"/>
      <c r="CC351" s="559" t="str">
        <f>CC$4</f>
        <v>4Q14</v>
      </c>
      <c r="CD351" s="568"/>
      <c r="CE351" s="559" t="str">
        <f>CE$4</f>
        <v>1Q15</v>
      </c>
      <c r="CF351" s="568"/>
      <c r="CG351" s="559" t="str">
        <f>CG$4</f>
        <v>2Q15</v>
      </c>
      <c r="CH351" s="568"/>
      <c r="CI351" s="559" t="str">
        <f>CI$4</f>
        <v>3Q15</v>
      </c>
      <c r="CJ351" s="568"/>
      <c r="CK351" s="559" t="str">
        <f>CK$4</f>
        <v>4Q15</v>
      </c>
      <c r="CL351" s="568"/>
      <c r="CM351" s="559" t="str">
        <f>CM$4</f>
        <v>1Q16</v>
      </c>
      <c r="CN351" s="568"/>
      <c r="CO351" s="559" t="str">
        <f>CO$4</f>
        <v>2Q16</v>
      </c>
      <c r="CP351" s="568"/>
      <c r="CQ351" s="559" t="str">
        <f>CQ$4</f>
        <v>3Q16</v>
      </c>
      <c r="CR351" s="568"/>
      <c r="CS351" s="559" t="str">
        <f>CS$4</f>
        <v>4Q16</v>
      </c>
      <c r="CT351" s="568"/>
      <c r="CU351" s="559" t="str">
        <f>CU$4</f>
        <v>1Q17</v>
      </c>
      <c r="CV351" s="568"/>
      <c r="CW351" s="559" t="str">
        <f>CW$4</f>
        <v>2Q17</v>
      </c>
      <c r="CX351" s="568"/>
      <c r="CY351" s="559" t="str">
        <f>CY$4</f>
        <v>3Q17</v>
      </c>
      <c r="CZ351" s="568"/>
      <c r="DA351" s="559" t="str">
        <f>DA$4</f>
        <v>4Q17</v>
      </c>
      <c r="DB351" s="560"/>
      <c r="DC351" s="568"/>
      <c r="DD351" s="568">
        <f>DD$4</f>
        <v>2004</v>
      </c>
      <c r="DE351" s="568"/>
      <c r="DF351" s="559" t="str">
        <f>DF$4</f>
        <v>2005</v>
      </c>
      <c r="DG351" s="568"/>
      <c r="DH351" s="559" t="str">
        <f>DH$4</f>
        <v>2006</v>
      </c>
      <c r="DI351" s="568"/>
      <c r="DJ351" s="569">
        <f>DJ$4</f>
        <v>2007</v>
      </c>
      <c r="DK351" s="568"/>
      <c r="DL351" s="559" t="str">
        <f>DL$4</f>
        <v>2008</v>
      </c>
      <c r="DM351" s="568"/>
      <c r="DN351" s="559" t="str">
        <f>DN$4</f>
        <v>2009</v>
      </c>
      <c r="DO351" s="568"/>
      <c r="DP351" s="559" t="str">
        <f>DP$4</f>
        <v>2010</v>
      </c>
      <c r="DQ351" s="568"/>
      <c r="DR351" s="559" t="str">
        <f>DR$4</f>
        <v>2011</v>
      </c>
      <c r="DS351" s="568"/>
      <c r="DT351" s="559" t="str">
        <f>DT$4</f>
        <v>2012</v>
      </c>
      <c r="DU351" s="568"/>
      <c r="DV351" s="559" t="str">
        <f>DV$4</f>
        <v>2013</v>
      </c>
      <c r="DW351" s="568"/>
      <c r="DX351" s="559">
        <f>DX$4</f>
        <v>2014</v>
      </c>
      <c r="DY351" s="568"/>
      <c r="DZ351" s="559" t="str">
        <f>DZ$4</f>
        <v>2015</v>
      </c>
      <c r="EA351" s="568"/>
      <c r="EB351" s="559">
        <f>EB$4</f>
        <v>2016</v>
      </c>
      <c r="EC351" s="568"/>
      <c r="ED351" s="559">
        <f>ED$4</f>
        <v>2017</v>
      </c>
      <c r="EE351" s="568"/>
      <c r="EF351" s="559" t="str">
        <f>EF$4</f>
        <v>2018E</v>
      </c>
      <c r="EG351" s="568"/>
      <c r="EH351" s="559" t="str">
        <f>EH$4</f>
        <v>2019E</v>
      </c>
      <c r="EI351" s="568"/>
      <c r="EJ351" s="559" t="str">
        <f>EJ$4</f>
        <v>2020E</v>
      </c>
      <c r="EK351" s="568"/>
      <c r="EL351" s="559" t="str">
        <f>EL$4</f>
        <v>2021E</v>
      </c>
      <c r="EM351" s="558" t="str">
        <f>EM$4</f>
        <v>CAGR</v>
      </c>
      <c r="EN351" s="549"/>
    </row>
    <row r="352" spans="1:144" ht="12.75" hidden="1" customHeight="1" outlineLevel="2" x14ac:dyDescent="0.2">
      <c r="A352" s="570"/>
      <c r="B352" s="571" t="str">
        <f>+B$5</f>
        <v>1Q06</v>
      </c>
      <c r="C352" s="572" t="str">
        <f>C$5</f>
        <v>% Chg</v>
      </c>
      <c r="D352" s="571" t="str">
        <f>+D$5</f>
        <v>2Q06</v>
      </c>
      <c r="E352" s="572" t="str">
        <f>E$5</f>
        <v>% Chg</v>
      </c>
      <c r="F352" s="571" t="str">
        <f>+F$5</f>
        <v>3Q06</v>
      </c>
      <c r="G352" s="572" t="str">
        <f>G$5</f>
        <v>% Chg</v>
      </c>
      <c r="H352" s="571" t="str">
        <f>+H$5</f>
        <v>4Q06</v>
      </c>
      <c r="I352" s="572" t="str">
        <f>I$5</f>
        <v>% Chg</v>
      </c>
      <c r="J352" s="571" t="str">
        <f>+J$5</f>
        <v>1Q07</v>
      </c>
      <c r="K352" s="572" t="str">
        <f>K$5</f>
        <v>% Chg</v>
      </c>
      <c r="L352" s="571" t="str">
        <f>+L$5</f>
        <v>2Q07</v>
      </c>
      <c r="M352" s="572" t="str">
        <f>M$5</f>
        <v>% Chg</v>
      </c>
      <c r="N352" s="571" t="str">
        <f>+N$5</f>
        <v>3Q07</v>
      </c>
      <c r="O352" s="572" t="str">
        <f>O$5</f>
        <v>% Chg</v>
      </c>
      <c r="P352" s="571" t="str">
        <f>+P$5</f>
        <v>4Q07</v>
      </c>
      <c r="Q352" s="572" t="str">
        <f>Q$5</f>
        <v>% Chg</v>
      </c>
      <c r="R352" s="571" t="str">
        <f>+R$5</f>
        <v>1Q08</v>
      </c>
      <c r="S352" s="572" t="str">
        <f>S$5</f>
        <v>% Chg</v>
      </c>
      <c r="T352" s="571" t="str">
        <f>+T$5</f>
        <v>2Q08</v>
      </c>
      <c r="U352" s="572" t="str">
        <f>U$5</f>
        <v>% Chg</v>
      </c>
      <c r="V352" s="571" t="str">
        <f>+V$5</f>
        <v>3Q08</v>
      </c>
      <c r="W352" s="572" t="str">
        <f>W$5</f>
        <v>% Chg</v>
      </c>
      <c r="X352" s="571" t="str">
        <f>+X$5</f>
        <v>4Q08</v>
      </c>
      <c r="Y352" s="572" t="str">
        <f>Y$5</f>
        <v>% Chg</v>
      </c>
      <c r="Z352" s="571" t="str">
        <f>+Z$5</f>
        <v>1Q09</v>
      </c>
      <c r="AA352" s="572" t="str">
        <f>AA$5</f>
        <v>% Chg</v>
      </c>
      <c r="AB352" s="571" t="str">
        <f>+AB$5</f>
        <v>2Q09</v>
      </c>
      <c r="AC352" s="572" t="str">
        <f>AC$5</f>
        <v>% Chg</v>
      </c>
      <c r="AD352" s="571" t="str">
        <f>+AD$5</f>
        <v>3Q09</v>
      </c>
      <c r="AE352" s="572" t="str">
        <f>AE$5</f>
        <v>% Chg</v>
      </c>
      <c r="AF352" s="571" t="str">
        <f>+AF$5</f>
        <v>4Q09</v>
      </c>
      <c r="AG352" s="572" t="str">
        <f>AG$5</f>
        <v>% Chg</v>
      </c>
      <c r="AH352" s="571" t="str">
        <f>+AH$5</f>
        <v>1Q10</v>
      </c>
      <c r="AI352" s="572" t="str">
        <f>AI$5</f>
        <v>% Chg</v>
      </c>
      <c r="AJ352" s="571" t="str">
        <f>+AJ$5</f>
        <v>2Q10</v>
      </c>
      <c r="AK352" s="572" t="str">
        <f>AK$5</f>
        <v>% Chg</v>
      </c>
      <c r="AL352" s="571" t="str">
        <f>+AL$5</f>
        <v>3Q10</v>
      </c>
      <c r="AM352" s="572" t="str">
        <f>AM$5</f>
        <v>% Chg</v>
      </c>
      <c r="AN352" s="571" t="str">
        <f>+AN$5</f>
        <v>4Q10</v>
      </c>
      <c r="AO352" s="572" t="str">
        <f>AO$5</f>
        <v>% Chg</v>
      </c>
      <c r="AP352" s="571" t="str">
        <f>+AP$5</f>
        <v>1Q11</v>
      </c>
      <c r="AQ352" s="572" t="str">
        <f>AQ$5</f>
        <v>% Chg</v>
      </c>
      <c r="AR352" s="571" t="str">
        <f>+AR$5</f>
        <v>2Q11</v>
      </c>
      <c r="AS352" s="572" t="str">
        <f>AS$5</f>
        <v>% Chg</v>
      </c>
      <c r="AT352" s="571" t="str">
        <f>+AT$5</f>
        <v>3Q11</v>
      </c>
      <c r="AU352" s="572" t="str">
        <f>AU$5</f>
        <v>% Chg</v>
      </c>
      <c r="AV352" s="571" t="str">
        <f>+AV$5</f>
        <v>4Q11</v>
      </c>
      <c r="AW352" s="572" t="str">
        <f>AW$5</f>
        <v>% Chg</v>
      </c>
      <c r="AX352" s="571" t="str">
        <f>+AX$5</f>
        <v>1Q12</v>
      </c>
      <c r="AY352" s="572" t="str">
        <f>AY$5</f>
        <v>% Chg</v>
      </c>
      <c r="AZ352" s="571" t="str">
        <f>+AZ$5</f>
        <v>2Q12</v>
      </c>
      <c r="BA352" s="572" t="str">
        <f>BA$5</f>
        <v>% Chg</v>
      </c>
      <c r="BB352" s="571" t="str">
        <f>+BB$5</f>
        <v>3Q12</v>
      </c>
      <c r="BC352" s="572" t="str">
        <f>BC$5</f>
        <v>% Chg</v>
      </c>
      <c r="BD352" s="571" t="str">
        <f>+BD$5</f>
        <v>4Q12</v>
      </c>
      <c r="BE352" s="572" t="str">
        <f>BE$5</f>
        <v>% Chg</v>
      </c>
      <c r="BF352" s="571" t="str">
        <f>+BF$5</f>
        <v>1Q13</v>
      </c>
      <c r="BG352" s="572" t="str">
        <f>BG$5</f>
        <v>% Chg</v>
      </c>
      <c r="BH352" s="571" t="str">
        <f>+BH$5</f>
        <v>2Q13</v>
      </c>
      <c r="BI352" s="572" t="str">
        <f>BI$5</f>
        <v>% Chg</v>
      </c>
      <c r="BJ352" s="571" t="str">
        <f>+BJ$5</f>
        <v>3Q13</v>
      </c>
      <c r="BK352" s="572" t="str">
        <f>BK$5</f>
        <v>% Chg</v>
      </c>
      <c r="BL352" s="571" t="str">
        <f>+BL$5</f>
        <v>4Q13</v>
      </c>
      <c r="BM352" s="572" t="str">
        <f>BM$5</f>
        <v>% Chg</v>
      </c>
      <c r="BN352" s="571" t="str">
        <f>+BN$5</f>
        <v>1Q14</v>
      </c>
      <c r="BO352" s="572" t="str">
        <f>BO$5</f>
        <v>% Chg</v>
      </c>
      <c r="BP352" s="571" t="str">
        <f>+BP$5</f>
        <v>2Q14</v>
      </c>
      <c r="BQ352" s="572" t="str">
        <f>BQ$5</f>
        <v>% Chg</v>
      </c>
      <c r="BR352" s="571" t="str">
        <f>+BR$5</f>
        <v>3Q14</v>
      </c>
      <c r="BS352" s="572" t="str">
        <f>BS$5</f>
        <v>% Chg</v>
      </c>
      <c r="BT352" s="571" t="str">
        <f>+BT$5</f>
        <v>4Q14</v>
      </c>
      <c r="BU352" s="572" t="str">
        <f>BU$5</f>
        <v>% Chg</v>
      </c>
      <c r="BV352" s="571" t="str">
        <f>+BV$5</f>
        <v>1Q15</v>
      </c>
      <c r="BW352" s="572" t="str">
        <f>BW$5</f>
        <v>% Chg</v>
      </c>
      <c r="BX352" s="571" t="str">
        <f>+BX$5</f>
        <v>2Q15</v>
      </c>
      <c r="BY352" s="572" t="str">
        <f>BY$5</f>
        <v>% Chg</v>
      </c>
      <c r="BZ352" s="571" t="str">
        <f>+BZ$5</f>
        <v>3Q15</v>
      </c>
      <c r="CA352" s="572" t="str">
        <f>CA$5</f>
        <v>% Chg</v>
      </c>
      <c r="CB352" s="571" t="str">
        <f>+CB$5</f>
        <v>4Q15</v>
      </c>
      <c r="CC352" s="572" t="str">
        <f>CC$5</f>
        <v>% Chg</v>
      </c>
      <c r="CD352" s="571" t="str">
        <f>+CD$5</f>
        <v>1Q16</v>
      </c>
      <c r="CE352" s="572" t="str">
        <f>CE$5</f>
        <v>% Chg</v>
      </c>
      <c r="CF352" s="571" t="str">
        <f>+CF$5</f>
        <v>2Q16</v>
      </c>
      <c r="CG352" s="572" t="str">
        <f>CG$5</f>
        <v>% Chg</v>
      </c>
      <c r="CH352" s="571" t="str">
        <f>+CH$5</f>
        <v>3Q16</v>
      </c>
      <c r="CI352" s="572" t="str">
        <f>CI$5</f>
        <v>% Chg</v>
      </c>
      <c r="CJ352" s="571" t="str">
        <f>+CJ$5</f>
        <v>4Q16</v>
      </c>
      <c r="CK352" s="572" t="str">
        <f>CK$5</f>
        <v>% Chg</v>
      </c>
      <c r="CL352" s="571" t="str">
        <f>+CL$5</f>
        <v>1Q17</v>
      </c>
      <c r="CM352" s="572" t="str">
        <f>CM$5</f>
        <v>% Chg</v>
      </c>
      <c r="CN352" s="571" t="str">
        <f>+CN$5</f>
        <v>2Q17</v>
      </c>
      <c r="CO352" s="572" t="str">
        <f>CO$5</f>
        <v>% Chg</v>
      </c>
      <c r="CP352" s="571" t="str">
        <f>+CP$5</f>
        <v>3Q17</v>
      </c>
      <c r="CQ352" s="572" t="str">
        <f>CQ$5</f>
        <v>% Chg</v>
      </c>
      <c r="CR352" s="571" t="str">
        <f>+CR$5</f>
        <v>4Q17</v>
      </c>
      <c r="CS352" s="572" t="str">
        <f>CS$5</f>
        <v>% Chg</v>
      </c>
      <c r="CT352" s="571" t="str">
        <f>+CT$5</f>
        <v>1Q18E</v>
      </c>
      <c r="CU352" s="572" t="str">
        <f>CU$5</f>
        <v>% Chg</v>
      </c>
      <c r="CV352" s="571" t="str">
        <f>+CV$5</f>
        <v>2Q18E</v>
      </c>
      <c r="CW352" s="572" t="str">
        <f>CW$5</f>
        <v>% Chg</v>
      </c>
      <c r="CX352" s="571" t="str">
        <f>+CX$5</f>
        <v>3Q18E</v>
      </c>
      <c r="CY352" s="572" t="str">
        <f>CY$5</f>
        <v>% Chg</v>
      </c>
      <c r="CZ352" s="571" t="str">
        <f>+CZ$5</f>
        <v>4Q18E</v>
      </c>
      <c r="DA352" s="572" t="str">
        <f>DA$5</f>
        <v>% Chg</v>
      </c>
      <c r="DB352" s="573"/>
      <c r="DC352" s="571" t="str">
        <f>+DC$5</f>
        <v>2005</v>
      </c>
      <c r="DD352" s="572" t="str">
        <f>DD$5</f>
        <v>% Chg</v>
      </c>
      <c r="DE352" s="571" t="str">
        <f>+DE$5</f>
        <v>2006</v>
      </c>
      <c r="DF352" s="572" t="str">
        <f>DF$5</f>
        <v>% Chg</v>
      </c>
      <c r="DG352" s="571">
        <f>+DG$5</f>
        <v>2007</v>
      </c>
      <c r="DH352" s="572" t="str">
        <f>DH$5</f>
        <v>% Chg</v>
      </c>
      <c r="DI352" s="571" t="str">
        <f>+DI$5</f>
        <v>2008</v>
      </c>
      <c r="DJ352" s="572" t="str">
        <f>DJ$5</f>
        <v>% Chg</v>
      </c>
      <c r="DK352" s="571" t="str">
        <f>+DK$5</f>
        <v>2009</v>
      </c>
      <c r="DL352" s="572" t="str">
        <f>DL$5</f>
        <v>% Chg</v>
      </c>
      <c r="DM352" s="571" t="str">
        <f>+DM$5</f>
        <v>2010</v>
      </c>
      <c r="DN352" s="572" t="str">
        <f>DN$5</f>
        <v>% Chg</v>
      </c>
      <c r="DO352" s="571" t="str">
        <f>+DO$5</f>
        <v>2011</v>
      </c>
      <c r="DP352" s="572" t="str">
        <f>DP$5</f>
        <v>% Chg</v>
      </c>
      <c r="DQ352" s="571" t="str">
        <f>+DQ$5</f>
        <v>2012</v>
      </c>
      <c r="DR352" s="572" t="str">
        <f>DR$5</f>
        <v>% Chg</v>
      </c>
      <c r="DS352" s="571" t="str">
        <f>+DS$5</f>
        <v>2013</v>
      </c>
      <c r="DT352" s="572" t="str">
        <f>DT$5</f>
        <v>% Chg</v>
      </c>
      <c r="DU352" s="571">
        <f>+DU$5</f>
        <v>2014</v>
      </c>
      <c r="DV352" s="572" t="str">
        <f>DV$5</f>
        <v>% Chg</v>
      </c>
      <c r="DW352" s="571" t="str">
        <f>+DW$5</f>
        <v>2015</v>
      </c>
      <c r="DX352" s="572" t="str">
        <f>DX$5</f>
        <v>% Chg</v>
      </c>
      <c r="DY352" s="571">
        <f>+DY$5</f>
        <v>2016</v>
      </c>
      <c r="DZ352" s="572" t="str">
        <f>DZ$5</f>
        <v>% Chg</v>
      </c>
      <c r="EA352" s="571">
        <f>+EA$5</f>
        <v>2017</v>
      </c>
      <c r="EB352" s="572" t="str">
        <f>EB$5</f>
        <v>% Chg</v>
      </c>
      <c r="EC352" s="571" t="str">
        <f>+EC$5</f>
        <v>2018E</v>
      </c>
      <c r="ED352" s="572" t="str">
        <f>ED$5</f>
        <v>% Chg</v>
      </c>
      <c r="EE352" s="571" t="str">
        <f>+EE$5</f>
        <v>2019E</v>
      </c>
      <c r="EF352" s="572" t="str">
        <f>EF$5</f>
        <v>% Chg</v>
      </c>
      <c r="EG352" s="571" t="str">
        <f>+EG$5</f>
        <v>2020E</v>
      </c>
      <c r="EH352" s="572" t="str">
        <f>EH$5</f>
        <v>% Chg</v>
      </c>
      <c r="EI352" s="571" t="str">
        <f>+EI$5</f>
        <v>2021E</v>
      </c>
      <c r="EJ352" s="572" t="str">
        <f>EJ$5</f>
        <v>% Chg</v>
      </c>
      <c r="EK352" s="571" t="str">
        <f>+EK$5</f>
        <v>2022E</v>
      </c>
      <c r="EL352" s="572" t="str">
        <f>EL$5</f>
        <v>% Chg</v>
      </c>
      <c r="EM352" s="574" t="str">
        <f>EM$5</f>
        <v>(%)</v>
      </c>
      <c r="EN352" s="549"/>
    </row>
    <row r="353" spans="1:143" ht="12.75" hidden="1" customHeight="1" outlineLevel="2" x14ac:dyDescent="0.2">
      <c r="A353" s="609"/>
      <c r="B353" s="610"/>
      <c r="C353" s="555"/>
      <c r="D353" s="610"/>
      <c r="E353" s="555"/>
      <c r="F353" s="610"/>
      <c r="G353" s="555"/>
      <c r="H353" s="610"/>
      <c r="I353" s="555"/>
      <c r="J353" s="610"/>
      <c r="K353" s="555"/>
      <c r="L353" s="610"/>
      <c r="M353" s="555"/>
      <c r="N353" s="610"/>
      <c r="O353" s="555"/>
      <c r="P353" s="610"/>
      <c r="Q353" s="555"/>
      <c r="R353" s="610"/>
      <c r="S353" s="555"/>
      <c r="T353" s="610"/>
      <c r="U353" s="555"/>
      <c r="V353" s="610"/>
      <c r="W353" s="555"/>
      <c r="X353" s="610"/>
      <c r="Y353" s="555"/>
      <c r="Z353" s="610"/>
      <c r="AA353" s="555"/>
      <c r="AB353" s="610"/>
      <c r="AC353" s="555"/>
      <c r="AD353" s="610"/>
      <c r="AE353" s="555"/>
      <c r="AF353" s="610"/>
      <c r="AG353" s="555"/>
      <c r="AH353" s="610"/>
      <c r="AI353" s="555"/>
      <c r="AJ353" s="610"/>
      <c r="AK353" s="555"/>
      <c r="AL353" s="610"/>
      <c r="AM353" s="555"/>
      <c r="AN353" s="610"/>
      <c r="AO353" s="555"/>
      <c r="AP353" s="610"/>
      <c r="AQ353" s="555"/>
      <c r="AR353" s="610"/>
      <c r="AS353" s="555"/>
      <c r="AT353" s="610"/>
      <c r="AU353" s="555"/>
      <c r="AV353" s="610"/>
      <c r="AW353" s="555"/>
      <c r="AX353" s="610"/>
      <c r="AY353" s="555"/>
      <c r="AZ353" s="610"/>
      <c r="BA353" s="555"/>
      <c r="BB353" s="610"/>
      <c r="BC353" s="555"/>
      <c r="BD353" s="610"/>
      <c r="BE353" s="555"/>
      <c r="BF353" s="610"/>
      <c r="BG353" s="555"/>
      <c r="BH353" s="610"/>
      <c r="BI353" s="555"/>
      <c r="BJ353" s="610"/>
      <c r="BK353" s="555"/>
      <c r="BL353" s="610"/>
      <c r="BM353" s="555"/>
      <c r="BN353" s="610"/>
      <c r="BO353" s="555"/>
      <c r="BP353" s="610"/>
      <c r="BQ353" s="555"/>
      <c r="BR353" s="610"/>
      <c r="BS353" s="555"/>
      <c r="BT353" s="610"/>
      <c r="BU353" s="555"/>
      <c r="BV353" s="610"/>
      <c r="BW353" s="555"/>
      <c r="BX353" s="610"/>
      <c r="BY353" s="555"/>
      <c r="BZ353" s="610"/>
      <c r="CA353" s="555"/>
      <c r="CB353" s="610"/>
      <c r="CC353" s="555"/>
      <c r="CD353" s="610"/>
      <c r="CE353" s="555"/>
      <c r="CF353" s="610"/>
      <c r="CG353" s="555"/>
      <c r="CH353" s="610"/>
      <c r="CI353" s="555"/>
      <c r="CJ353" s="610"/>
      <c r="CK353" s="555"/>
      <c r="CL353" s="610"/>
      <c r="CM353" s="555"/>
      <c r="CN353" s="610"/>
      <c r="CO353" s="555"/>
      <c r="CP353" s="610"/>
      <c r="CQ353" s="555"/>
      <c r="CR353" s="610"/>
      <c r="CS353" s="555"/>
      <c r="CT353" s="610"/>
      <c r="CU353" s="555"/>
      <c r="CV353" s="610"/>
      <c r="CW353" s="555"/>
      <c r="CX353" s="610"/>
      <c r="CY353" s="555"/>
      <c r="CZ353" s="610"/>
      <c r="DA353" s="555"/>
      <c r="DB353" s="556"/>
      <c r="DC353" s="610"/>
      <c r="DD353" s="555"/>
      <c r="DE353" s="610"/>
      <c r="DF353" s="555"/>
      <c r="DG353" s="610"/>
      <c r="DH353" s="555"/>
      <c r="DI353" s="610"/>
      <c r="DJ353" s="555"/>
      <c r="DK353" s="610"/>
      <c r="DL353" s="555"/>
      <c r="DM353" s="610"/>
      <c r="DN353" s="555"/>
      <c r="DO353" s="610"/>
      <c r="DP353" s="555"/>
      <c r="DQ353" s="610"/>
      <c r="DR353" s="555"/>
      <c r="DS353" s="610"/>
      <c r="DT353" s="555"/>
      <c r="DU353" s="610"/>
      <c r="DV353" s="555"/>
      <c r="DW353" s="610"/>
      <c r="DX353" s="555"/>
      <c r="DY353" s="610"/>
      <c r="DZ353" s="555"/>
      <c r="EA353" s="610"/>
      <c r="EB353" s="555"/>
      <c r="EC353" s="610"/>
      <c r="ED353" s="555"/>
      <c r="EE353" s="610"/>
      <c r="EF353" s="555"/>
      <c r="EG353" s="610"/>
      <c r="EH353" s="555"/>
      <c r="EI353" s="610"/>
      <c r="EJ353" s="555"/>
      <c r="EK353" s="610"/>
      <c r="EL353" s="555"/>
      <c r="EM353" s="555"/>
    </row>
    <row r="354" spans="1:143" ht="12.75" hidden="1" customHeight="1" outlineLevel="2" x14ac:dyDescent="0.2">
      <c r="A354" s="575" t="s">
        <v>216</v>
      </c>
      <c r="B354" s="610"/>
      <c r="C354" s="555"/>
      <c r="D354" s="610"/>
      <c r="E354" s="555"/>
      <c r="F354" s="610"/>
      <c r="G354" s="555"/>
      <c r="H354" s="610"/>
      <c r="I354" s="555"/>
      <c r="J354" s="610"/>
      <c r="K354" s="555"/>
      <c r="L354" s="610"/>
      <c r="M354" s="555"/>
      <c r="N354" s="610"/>
      <c r="O354" s="555"/>
      <c r="P354" s="610"/>
      <c r="Q354" s="555"/>
      <c r="R354" s="610"/>
      <c r="S354" s="555"/>
      <c r="T354" s="610"/>
      <c r="U354" s="555"/>
      <c r="V354" s="610"/>
      <c r="W354" s="555"/>
      <c r="X354" s="610"/>
      <c r="Y354" s="555"/>
      <c r="Z354" s="610"/>
      <c r="AA354" s="555"/>
      <c r="AB354" s="610"/>
      <c r="AC354" s="555"/>
      <c r="AD354" s="610"/>
      <c r="AE354" s="555"/>
      <c r="AF354" s="610"/>
      <c r="AG354" s="555"/>
      <c r="AH354" s="610"/>
      <c r="AI354" s="555"/>
      <c r="AJ354" s="610"/>
      <c r="AK354" s="555"/>
      <c r="AL354" s="610"/>
      <c r="AM354" s="555"/>
      <c r="AN354" s="610"/>
      <c r="AO354" s="555"/>
      <c r="AP354" s="610"/>
      <c r="AQ354" s="555"/>
      <c r="AR354" s="610"/>
      <c r="AS354" s="555"/>
      <c r="AT354" s="610"/>
      <c r="AU354" s="555"/>
      <c r="AV354" s="610"/>
      <c r="AW354" s="555"/>
      <c r="AX354" s="610"/>
      <c r="AY354" s="555"/>
      <c r="AZ354" s="610"/>
      <c r="BA354" s="555"/>
      <c r="BB354" s="610"/>
      <c r="BC354" s="555"/>
      <c r="BD354" s="610"/>
      <c r="BE354" s="555"/>
      <c r="BF354" s="610"/>
      <c r="BG354" s="555"/>
      <c r="BH354" s="610"/>
      <c r="BI354" s="555"/>
      <c r="BJ354" s="610"/>
      <c r="BK354" s="555"/>
      <c r="BL354" s="610"/>
      <c r="BM354" s="555"/>
      <c r="BN354" s="610"/>
      <c r="BO354" s="555"/>
      <c r="BP354" s="610"/>
      <c r="BQ354" s="555"/>
      <c r="BR354" s="610"/>
      <c r="BS354" s="555"/>
      <c r="BT354" s="610"/>
      <c r="BU354" s="555"/>
      <c r="BV354" s="610"/>
      <c r="BW354" s="555"/>
      <c r="BX354" s="610"/>
      <c r="BY354" s="555"/>
      <c r="BZ354" s="610"/>
      <c r="CA354" s="555"/>
      <c r="CB354" s="610"/>
      <c r="CC354" s="555"/>
      <c r="CD354" s="610"/>
      <c r="CE354" s="555"/>
      <c r="CF354" s="610"/>
      <c r="CG354" s="555"/>
      <c r="CH354" s="610"/>
      <c r="CI354" s="555"/>
      <c r="CJ354" s="610"/>
      <c r="CK354" s="555"/>
      <c r="CL354" s="610"/>
      <c r="CM354" s="555"/>
      <c r="CN354" s="610"/>
      <c r="CO354" s="555"/>
      <c r="CP354" s="610"/>
      <c r="CQ354" s="555"/>
      <c r="CR354" s="610"/>
      <c r="CS354" s="555"/>
      <c r="CT354" s="610"/>
      <c r="CU354" s="555"/>
      <c r="CV354" s="610"/>
      <c r="CW354" s="555"/>
      <c r="CX354" s="610"/>
      <c r="CY354" s="555"/>
      <c r="CZ354" s="610"/>
      <c r="DA354" s="555"/>
      <c r="DB354" s="556"/>
      <c r="DC354" s="610"/>
      <c r="DD354" s="555"/>
      <c r="DE354" s="610"/>
      <c r="DF354" s="555"/>
      <c r="DG354" s="610"/>
      <c r="DH354" s="555"/>
      <c r="DI354" s="610"/>
      <c r="DJ354" s="555"/>
      <c r="DK354" s="610"/>
      <c r="DL354" s="555"/>
      <c r="DM354" s="610"/>
      <c r="DN354" s="555"/>
      <c r="DO354" s="610"/>
      <c r="DP354" s="555"/>
      <c r="DQ354" s="610"/>
      <c r="DR354" s="555"/>
      <c r="DS354" s="610"/>
      <c r="DT354" s="555"/>
      <c r="DU354" s="610"/>
      <c r="DV354" s="555"/>
      <c r="DW354" s="610"/>
      <c r="DX354" s="555"/>
      <c r="DY354" s="610"/>
      <c r="DZ354" s="555"/>
      <c r="EA354" s="610"/>
      <c r="EB354" s="555"/>
      <c r="EC354" s="610"/>
      <c r="ED354" s="555"/>
      <c r="EE354" s="610"/>
      <c r="EF354" s="555"/>
      <c r="EG354" s="610"/>
      <c r="EH354" s="555"/>
      <c r="EI354" s="610"/>
      <c r="EJ354" s="555"/>
      <c r="EK354" s="610"/>
      <c r="EL354" s="555"/>
      <c r="EM354" s="555"/>
    </row>
    <row r="355" spans="1:143" ht="12.75" hidden="1" customHeight="1" outlineLevel="2" x14ac:dyDescent="0.2">
      <c r="A355" s="609" t="str">
        <f>+INPUT!B340</f>
        <v>Joint Venture Earnings, Before Trans Costs</v>
      </c>
      <c r="B355" s="580">
        <f>+INPUT!AY340</f>
        <v>69</v>
      </c>
      <c r="C355" s="577">
        <f>+INPUT!AZ340</f>
        <v>38</v>
      </c>
      <c r="D355" s="580">
        <f>+INPUT!BA340</f>
        <v>60</v>
      </c>
      <c r="E355" s="577">
        <f>+INPUT!BB340</f>
        <v>27.659574468085111</v>
      </c>
      <c r="F355" s="580">
        <f>+INPUT!BC340</f>
        <v>73</v>
      </c>
      <c r="G355" s="577">
        <f>+INPUT!BD340</f>
        <v>23.728813559322035</v>
      </c>
      <c r="H355" s="580">
        <f>+INPUT!BE340</f>
        <v>92</v>
      </c>
      <c r="I355" s="577">
        <f>+INPUT!BF340</f>
        <v>50.819672131147541</v>
      </c>
      <c r="J355" s="580">
        <f>+INPUT!BG340</f>
        <v>93</v>
      </c>
      <c r="K355" s="577">
        <f>+INPUT!BH340</f>
        <v>34.782608695652186</v>
      </c>
      <c r="L355" s="580">
        <f>+INPUT!BI340</f>
        <v>97</v>
      </c>
      <c r="M355" s="577">
        <f>+INPUT!BJ340</f>
        <v>61.666666666666657</v>
      </c>
      <c r="N355" s="580"/>
      <c r="O355" s="577"/>
      <c r="P355" s="580"/>
      <c r="Q355" s="577"/>
      <c r="R355" s="580"/>
      <c r="S355" s="577"/>
      <c r="T355" s="580"/>
      <c r="U355" s="577"/>
      <c r="V355" s="580"/>
      <c r="W355" s="577"/>
      <c r="X355" s="580"/>
      <c r="Y355" s="577"/>
      <c r="Z355" s="580"/>
      <c r="AA355" s="577"/>
      <c r="AB355" s="580"/>
      <c r="AC355" s="577"/>
      <c r="AD355" s="580"/>
      <c r="AE355" s="577"/>
      <c r="AF355" s="580"/>
      <c r="AG355" s="577"/>
      <c r="AH355" s="580"/>
      <c r="AI355" s="577"/>
      <c r="AJ355" s="580"/>
      <c r="AK355" s="577"/>
      <c r="AL355" s="580"/>
      <c r="AM355" s="577"/>
      <c r="AN355" s="580"/>
      <c r="AO355" s="577"/>
      <c r="AP355" s="580"/>
      <c r="AQ355" s="577"/>
      <c r="AR355" s="580"/>
      <c r="AS355" s="577"/>
      <c r="AT355" s="580"/>
      <c r="AU355" s="577"/>
      <c r="AV355" s="580"/>
      <c r="AW355" s="577"/>
      <c r="AX355" s="580"/>
      <c r="AY355" s="577"/>
      <c r="AZ355" s="580"/>
      <c r="BA355" s="577"/>
      <c r="BB355" s="580"/>
      <c r="BC355" s="577"/>
      <c r="BD355" s="580"/>
      <c r="BE355" s="577"/>
      <c r="BF355" s="580"/>
      <c r="BG355" s="577"/>
      <c r="BH355" s="580"/>
      <c r="BI355" s="577"/>
      <c r="BJ355" s="580"/>
      <c r="BK355" s="577"/>
      <c r="BL355" s="580"/>
      <c r="BM355" s="577"/>
      <c r="BN355" s="580"/>
      <c r="BO355" s="577"/>
      <c r="BP355" s="580"/>
      <c r="BQ355" s="577"/>
      <c r="BR355" s="580"/>
      <c r="BS355" s="577"/>
      <c r="BT355" s="580"/>
      <c r="BU355" s="577"/>
      <c r="BV355" s="580"/>
      <c r="BW355" s="577"/>
      <c r="BX355" s="580"/>
      <c r="BY355" s="577"/>
      <c r="BZ355" s="580"/>
      <c r="CA355" s="577"/>
      <c r="CB355" s="580"/>
      <c r="CC355" s="577"/>
      <c r="CD355" s="580"/>
      <c r="CE355" s="577"/>
      <c r="CF355" s="580"/>
      <c r="CG355" s="577"/>
      <c r="CH355" s="580"/>
      <c r="CI355" s="577"/>
      <c r="CJ355" s="580"/>
      <c r="CK355" s="577"/>
      <c r="CL355" s="580"/>
      <c r="CM355" s="577"/>
      <c r="CN355" s="580"/>
      <c r="CO355" s="577"/>
      <c r="CP355" s="580"/>
      <c r="CQ355" s="577"/>
      <c r="CR355" s="580"/>
      <c r="CS355" s="577"/>
      <c r="CT355" s="580"/>
      <c r="CU355" s="577"/>
      <c r="CV355" s="580"/>
      <c r="CW355" s="577"/>
      <c r="CX355" s="580"/>
      <c r="CY355" s="577"/>
      <c r="CZ355" s="580"/>
      <c r="DA355" s="577"/>
      <c r="DB355" s="556"/>
      <c r="DC355" s="580">
        <f>+INPUT!FP340</f>
        <v>217</v>
      </c>
      <c r="DD355" s="577">
        <f>+INPUT!FQ340</f>
        <v>26.162790697674424</v>
      </c>
      <c r="DE355" s="580">
        <f>+INPUT!FR340</f>
        <v>294</v>
      </c>
      <c r="DF355" s="577">
        <f>+INPUT!FS340</f>
        <v>35.483870967741922</v>
      </c>
      <c r="DG355" s="580">
        <f>+INPUT!FT340</f>
        <v>190</v>
      </c>
      <c r="DH355" s="577">
        <f>+INPUT!FU340</f>
        <v>-35.374149659863946</v>
      </c>
      <c r="DI355" s="580"/>
      <c r="DJ355" s="577"/>
      <c r="DK355" s="580"/>
      <c r="DL355" s="577"/>
      <c r="DM355" s="580"/>
      <c r="DN355" s="577"/>
      <c r="DO355" s="580"/>
      <c r="DP355" s="577"/>
      <c r="DQ355" s="580"/>
      <c r="DR355" s="577"/>
      <c r="DS355" s="580"/>
      <c r="DT355" s="577"/>
      <c r="DU355" s="580"/>
      <c r="DV355" s="577"/>
      <c r="DW355" s="580"/>
      <c r="DX355" s="577"/>
      <c r="DY355" s="580"/>
      <c r="DZ355" s="577"/>
      <c r="EA355" s="580"/>
      <c r="EB355" s="577"/>
      <c r="EC355" s="580"/>
      <c r="ED355" s="577"/>
      <c r="EE355" s="580"/>
      <c r="EF355" s="577"/>
      <c r="EG355" s="580"/>
      <c r="EH355" s="577"/>
      <c r="EI355" s="580"/>
      <c r="EJ355" s="577"/>
      <c r="EK355" s="580"/>
      <c r="EL355" s="577"/>
      <c r="EM355" s="577"/>
    </row>
    <row r="356" spans="1:143" ht="12.75" hidden="1" customHeight="1" outlineLevel="2" x14ac:dyDescent="0.2">
      <c r="A356" s="609" t="str">
        <f>+INPUT!B341</f>
        <v>Litigation Expenses</v>
      </c>
      <c r="B356" s="580">
        <f>+INPUT!AY341</f>
        <v>-134</v>
      </c>
      <c r="C356" s="577" t="str">
        <f>+INPUT!AZ341</f>
        <v>NM</v>
      </c>
      <c r="D356" s="580">
        <f>+INPUT!BA341</f>
        <v>-30</v>
      </c>
      <c r="E356" s="577" t="str">
        <f>+INPUT!BB341</f>
        <v>NM</v>
      </c>
      <c r="F356" s="580">
        <f>+INPUT!BC341</f>
        <v>-22</v>
      </c>
      <c r="G356" s="577">
        <f>+INPUT!BD341</f>
        <v>0</v>
      </c>
      <c r="H356" s="580">
        <f>+INPUT!BE341</f>
        <v>-39</v>
      </c>
      <c r="I356" s="577" t="str">
        <f>+INPUT!BF341</f>
        <v>NM</v>
      </c>
      <c r="J356" s="580">
        <f>+INPUT!BG341</f>
        <v>-21</v>
      </c>
      <c r="K356" s="577" t="str">
        <f>+INPUT!BH341</f>
        <v>NM</v>
      </c>
      <c r="L356" s="580">
        <f>+INPUT!BI341</f>
        <v>-12</v>
      </c>
      <c r="M356" s="577" t="str">
        <f>+INPUT!BJ341</f>
        <v>NM</v>
      </c>
      <c r="N356" s="580"/>
      <c r="O356" s="577"/>
      <c r="P356" s="580"/>
      <c r="Q356" s="577"/>
      <c r="R356" s="580"/>
      <c r="S356" s="577"/>
      <c r="T356" s="580"/>
      <c r="U356" s="577"/>
      <c r="V356" s="580"/>
      <c r="W356" s="577"/>
      <c r="X356" s="580"/>
      <c r="Y356" s="577"/>
      <c r="Z356" s="580"/>
      <c r="AA356" s="577"/>
      <c r="AB356" s="580"/>
      <c r="AC356" s="577"/>
      <c r="AD356" s="580"/>
      <c r="AE356" s="577"/>
      <c r="AF356" s="580"/>
      <c r="AG356" s="577"/>
      <c r="AH356" s="580"/>
      <c r="AI356" s="577"/>
      <c r="AJ356" s="580"/>
      <c r="AK356" s="577"/>
      <c r="AL356" s="580"/>
      <c r="AM356" s="577"/>
      <c r="AN356" s="580"/>
      <c r="AO356" s="577"/>
      <c r="AP356" s="580"/>
      <c r="AQ356" s="577"/>
      <c r="AR356" s="580"/>
      <c r="AS356" s="577"/>
      <c r="AT356" s="580"/>
      <c r="AU356" s="577"/>
      <c r="AV356" s="580"/>
      <c r="AW356" s="577"/>
      <c r="AX356" s="580"/>
      <c r="AY356" s="577"/>
      <c r="AZ356" s="580"/>
      <c r="BA356" s="577"/>
      <c r="BB356" s="580"/>
      <c r="BC356" s="577"/>
      <c r="BD356" s="580"/>
      <c r="BE356" s="577"/>
      <c r="BF356" s="580"/>
      <c r="BG356" s="577"/>
      <c r="BH356" s="580"/>
      <c r="BI356" s="577"/>
      <c r="BJ356" s="580"/>
      <c r="BK356" s="577"/>
      <c r="BL356" s="580"/>
      <c r="BM356" s="577"/>
      <c r="BN356" s="580"/>
      <c r="BO356" s="577"/>
      <c r="BP356" s="580"/>
      <c r="BQ356" s="577"/>
      <c r="BR356" s="580"/>
      <c r="BS356" s="577"/>
      <c r="BT356" s="580"/>
      <c r="BU356" s="577"/>
      <c r="BV356" s="580"/>
      <c r="BW356" s="577"/>
      <c r="BX356" s="580"/>
      <c r="BY356" s="577"/>
      <c r="BZ356" s="580"/>
      <c r="CA356" s="577"/>
      <c r="CB356" s="580"/>
      <c r="CC356" s="577"/>
      <c r="CD356" s="580"/>
      <c r="CE356" s="577"/>
      <c r="CF356" s="580"/>
      <c r="CG356" s="577"/>
      <c r="CH356" s="580"/>
      <c r="CI356" s="577"/>
      <c r="CJ356" s="580"/>
      <c r="CK356" s="577"/>
      <c r="CL356" s="580"/>
      <c r="CM356" s="577"/>
      <c r="CN356" s="580"/>
      <c r="CO356" s="577"/>
      <c r="CP356" s="580"/>
      <c r="CQ356" s="577"/>
      <c r="CR356" s="580"/>
      <c r="CS356" s="577"/>
      <c r="CT356" s="580"/>
      <c r="CU356" s="577"/>
      <c r="CV356" s="580"/>
      <c r="CW356" s="577"/>
      <c r="CX356" s="580"/>
      <c r="CY356" s="577"/>
      <c r="CZ356" s="580"/>
      <c r="DA356" s="577"/>
      <c r="DB356" s="556"/>
      <c r="DC356" s="580">
        <f>+INPUT!FP341</f>
        <v>-452</v>
      </c>
      <c r="DD356" s="577">
        <f>+INPUT!FQ341</f>
        <v>98.76868953386105</v>
      </c>
      <c r="DE356" s="580">
        <f>+INPUT!FR341</f>
        <v>-225</v>
      </c>
      <c r="DF356" s="577" t="str">
        <f>+INPUT!FS341</f>
        <v>NM</v>
      </c>
      <c r="DG356" s="580">
        <f>+INPUT!FT341</f>
        <v>-33</v>
      </c>
      <c r="DH356" s="577" t="str">
        <f>+INPUT!FU341</f>
        <v>NM</v>
      </c>
      <c r="DI356" s="580"/>
      <c r="DJ356" s="577"/>
      <c r="DK356" s="580"/>
      <c r="DL356" s="577"/>
      <c r="DM356" s="580"/>
      <c r="DN356" s="577"/>
      <c r="DO356" s="580"/>
      <c r="DP356" s="577"/>
      <c r="DQ356" s="580"/>
      <c r="DR356" s="577"/>
      <c r="DS356" s="580"/>
      <c r="DT356" s="577"/>
      <c r="DU356" s="580"/>
      <c r="DV356" s="577"/>
      <c r="DW356" s="580"/>
      <c r="DX356" s="577"/>
      <c r="DY356" s="580"/>
      <c r="DZ356" s="577"/>
      <c r="EA356" s="580"/>
      <c r="EB356" s="577"/>
      <c r="EC356" s="580"/>
      <c r="ED356" s="577"/>
      <c r="EE356" s="580"/>
      <c r="EF356" s="577"/>
      <c r="EG356" s="580"/>
      <c r="EH356" s="577"/>
      <c r="EI356" s="580"/>
      <c r="EJ356" s="577"/>
      <c r="EK356" s="580"/>
      <c r="EL356" s="577"/>
      <c r="EM356" s="577"/>
    </row>
    <row r="357" spans="1:143" ht="12.75" hidden="1" customHeight="1" outlineLevel="2" x14ac:dyDescent="0.2">
      <c r="A357" s="609" t="str">
        <f>+INPUT!B342</f>
        <v>Transition Costs -- Prudential's portion</v>
      </c>
      <c r="B357" s="580">
        <f>+INPUT!AY342</f>
        <v>0</v>
      </c>
      <c r="C357" s="577" t="str">
        <f>+INPUT!AZ342</f>
        <v>NM</v>
      </c>
      <c r="D357" s="580">
        <f>+INPUT!BA342</f>
        <v>-9</v>
      </c>
      <c r="E357" s="577">
        <f>+INPUT!BB342</f>
        <v>-35.714285714285708</v>
      </c>
      <c r="F357" s="580">
        <f>+INPUT!BC342</f>
        <v>0</v>
      </c>
      <c r="G357" s="577" t="str">
        <f>+INPUT!BD342</f>
        <v>NA</v>
      </c>
      <c r="H357" s="580">
        <f>+INPUT!BE342</f>
        <v>0</v>
      </c>
      <c r="I357" s="577" t="str">
        <f>+INPUT!BF342</f>
        <v>NA</v>
      </c>
      <c r="J357" s="580">
        <f>+INPUT!BG342</f>
        <v>0</v>
      </c>
      <c r="K357" s="577" t="str">
        <f>+INPUT!BH342</f>
        <v>NA</v>
      </c>
      <c r="L357" s="580">
        <f>+INPUT!BI342</f>
        <v>0</v>
      </c>
      <c r="M357" s="577" t="str">
        <f>+INPUT!BJ342</f>
        <v>NM</v>
      </c>
      <c r="N357" s="580"/>
      <c r="O357" s="577"/>
      <c r="P357" s="580"/>
      <c r="Q357" s="577"/>
      <c r="R357" s="580"/>
      <c r="S357" s="577"/>
      <c r="T357" s="580"/>
      <c r="U357" s="577"/>
      <c r="V357" s="580"/>
      <c r="W357" s="577"/>
      <c r="X357" s="580"/>
      <c r="Y357" s="577"/>
      <c r="Z357" s="580"/>
      <c r="AA357" s="577"/>
      <c r="AB357" s="580"/>
      <c r="AC357" s="577"/>
      <c r="AD357" s="580"/>
      <c r="AE357" s="577"/>
      <c r="AF357" s="580"/>
      <c r="AG357" s="577"/>
      <c r="AH357" s="580"/>
      <c r="AI357" s="577"/>
      <c r="AJ357" s="580"/>
      <c r="AK357" s="577"/>
      <c r="AL357" s="580"/>
      <c r="AM357" s="577"/>
      <c r="AN357" s="580"/>
      <c r="AO357" s="577"/>
      <c r="AP357" s="580"/>
      <c r="AQ357" s="577"/>
      <c r="AR357" s="580"/>
      <c r="AS357" s="577"/>
      <c r="AT357" s="580"/>
      <c r="AU357" s="577"/>
      <c r="AV357" s="580"/>
      <c r="AW357" s="577"/>
      <c r="AX357" s="580"/>
      <c r="AY357" s="577"/>
      <c r="AZ357" s="580"/>
      <c r="BA357" s="577"/>
      <c r="BB357" s="580"/>
      <c r="BC357" s="577"/>
      <c r="BD357" s="580"/>
      <c r="BE357" s="577"/>
      <c r="BF357" s="580"/>
      <c r="BG357" s="577"/>
      <c r="BH357" s="580"/>
      <c r="BI357" s="577"/>
      <c r="BJ357" s="580"/>
      <c r="BK357" s="577"/>
      <c r="BL357" s="580"/>
      <c r="BM357" s="577"/>
      <c r="BN357" s="580"/>
      <c r="BO357" s="577"/>
      <c r="BP357" s="580"/>
      <c r="BQ357" s="577"/>
      <c r="BR357" s="580"/>
      <c r="BS357" s="577"/>
      <c r="BT357" s="580"/>
      <c r="BU357" s="577"/>
      <c r="BV357" s="580"/>
      <c r="BW357" s="577"/>
      <c r="BX357" s="580"/>
      <c r="BY357" s="577"/>
      <c r="BZ357" s="580"/>
      <c r="CA357" s="577"/>
      <c r="CB357" s="580"/>
      <c r="CC357" s="577"/>
      <c r="CD357" s="580"/>
      <c r="CE357" s="577"/>
      <c r="CF357" s="580"/>
      <c r="CG357" s="577"/>
      <c r="CH357" s="580"/>
      <c r="CI357" s="577"/>
      <c r="CJ357" s="580"/>
      <c r="CK357" s="577"/>
      <c r="CL357" s="580"/>
      <c r="CM357" s="577"/>
      <c r="CN357" s="580"/>
      <c r="CO357" s="577"/>
      <c r="CP357" s="580"/>
      <c r="CQ357" s="577"/>
      <c r="CR357" s="580"/>
      <c r="CS357" s="577"/>
      <c r="CT357" s="580"/>
      <c r="CU357" s="577"/>
      <c r="CV357" s="580"/>
      <c r="CW357" s="577"/>
      <c r="CX357" s="580"/>
      <c r="CY357" s="577"/>
      <c r="CZ357" s="580"/>
      <c r="DA357" s="577"/>
      <c r="DB357" s="556"/>
      <c r="DC357" s="580">
        <f>+INPUT!FP342</f>
        <v>-25</v>
      </c>
      <c r="DD357" s="577" t="str">
        <f>+INPUT!FQ342</f>
        <v>NM</v>
      </c>
      <c r="DE357" s="580">
        <f>+INPUT!FR342</f>
        <v>-9</v>
      </c>
      <c r="DF357" s="577" t="str">
        <f>+INPUT!FS342</f>
        <v>NM</v>
      </c>
      <c r="DG357" s="580">
        <f>+INPUT!FT342</f>
        <v>0</v>
      </c>
      <c r="DH357" s="577" t="str">
        <f>+INPUT!FU342</f>
        <v>NM</v>
      </c>
      <c r="DI357" s="580"/>
      <c r="DJ357" s="577"/>
      <c r="DK357" s="580"/>
      <c r="DL357" s="577"/>
      <c r="DM357" s="580"/>
      <c r="DN357" s="577"/>
      <c r="DO357" s="580"/>
      <c r="DP357" s="577"/>
      <c r="DQ357" s="580"/>
      <c r="DR357" s="577"/>
      <c r="DS357" s="580"/>
      <c r="DT357" s="577"/>
      <c r="DU357" s="580"/>
      <c r="DV357" s="577"/>
      <c r="DW357" s="580"/>
      <c r="DX357" s="577"/>
      <c r="DY357" s="580"/>
      <c r="DZ357" s="577"/>
      <c r="EA357" s="580"/>
      <c r="EB357" s="577"/>
      <c r="EC357" s="580"/>
      <c r="ED357" s="577"/>
      <c r="EE357" s="580"/>
      <c r="EF357" s="577"/>
      <c r="EG357" s="580"/>
      <c r="EH357" s="577"/>
      <c r="EI357" s="580"/>
      <c r="EJ357" s="577"/>
      <c r="EK357" s="580"/>
      <c r="EL357" s="577"/>
      <c r="EM357" s="577"/>
    </row>
    <row r="358" spans="1:143" ht="12.75" hidden="1" customHeight="1" outlineLevel="2" x14ac:dyDescent="0.2">
      <c r="A358" s="609" t="str">
        <f>+INPUT!B343</f>
        <v>Transition Costs -- Prudential only</v>
      </c>
      <c r="B358" s="580">
        <f>+INPUT!AY343</f>
        <v>0</v>
      </c>
      <c r="C358" s="577" t="str">
        <f>+INPUT!AZ343</f>
        <v>NA</v>
      </c>
      <c r="D358" s="580">
        <f>+INPUT!BA343</f>
        <v>0</v>
      </c>
      <c r="E358" s="577" t="str">
        <f>+INPUT!BB343</f>
        <v>NM</v>
      </c>
      <c r="F358" s="580">
        <f>+INPUT!BC343</f>
        <v>0</v>
      </c>
      <c r="G358" s="577" t="str">
        <f>+INPUT!BD343</f>
        <v>NA</v>
      </c>
      <c r="H358" s="580">
        <f>+INPUT!BE343</f>
        <v>0</v>
      </c>
      <c r="I358" s="577" t="str">
        <f>+INPUT!BF343</f>
        <v>NA</v>
      </c>
      <c r="J358" s="580">
        <f>+INPUT!BG343</f>
        <v>0</v>
      </c>
      <c r="K358" s="577" t="str">
        <f>+INPUT!BH343</f>
        <v>NA</v>
      </c>
      <c r="L358" s="580">
        <f>+INPUT!BI343</f>
        <v>0</v>
      </c>
      <c r="M358" s="577" t="str">
        <f>+INPUT!BJ343</f>
        <v>NA</v>
      </c>
      <c r="N358" s="580"/>
      <c r="O358" s="577"/>
      <c r="P358" s="580"/>
      <c r="Q358" s="577"/>
      <c r="R358" s="580"/>
      <c r="S358" s="577"/>
      <c r="T358" s="580"/>
      <c r="U358" s="577"/>
      <c r="V358" s="580"/>
      <c r="W358" s="577"/>
      <c r="X358" s="580"/>
      <c r="Y358" s="577"/>
      <c r="Z358" s="580"/>
      <c r="AA358" s="577"/>
      <c r="AB358" s="580"/>
      <c r="AC358" s="577"/>
      <c r="AD358" s="580"/>
      <c r="AE358" s="577"/>
      <c r="AF358" s="580"/>
      <c r="AG358" s="577"/>
      <c r="AH358" s="580"/>
      <c r="AI358" s="577"/>
      <c r="AJ358" s="580"/>
      <c r="AK358" s="577"/>
      <c r="AL358" s="580"/>
      <c r="AM358" s="577"/>
      <c r="AN358" s="580"/>
      <c r="AO358" s="577"/>
      <c r="AP358" s="580"/>
      <c r="AQ358" s="577"/>
      <c r="AR358" s="580"/>
      <c r="AS358" s="577"/>
      <c r="AT358" s="580"/>
      <c r="AU358" s="577"/>
      <c r="AV358" s="580"/>
      <c r="AW358" s="577"/>
      <c r="AX358" s="580"/>
      <c r="AY358" s="577"/>
      <c r="AZ358" s="580"/>
      <c r="BA358" s="577"/>
      <c r="BB358" s="580"/>
      <c r="BC358" s="577"/>
      <c r="BD358" s="580"/>
      <c r="BE358" s="577"/>
      <c r="BF358" s="580"/>
      <c r="BG358" s="577"/>
      <c r="BH358" s="580"/>
      <c r="BI358" s="577"/>
      <c r="BJ358" s="580"/>
      <c r="BK358" s="577"/>
      <c r="BL358" s="580"/>
      <c r="BM358" s="577"/>
      <c r="BN358" s="580"/>
      <c r="BO358" s="577"/>
      <c r="BP358" s="580"/>
      <c r="BQ358" s="577"/>
      <c r="BR358" s="580"/>
      <c r="BS358" s="577"/>
      <c r="BT358" s="580"/>
      <c r="BU358" s="577"/>
      <c r="BV358" s="580"/>
      <c r="BW358" s="577"/>
      <c r="BX358" s="580"/>
      <c r="BY358" s="577"/>
      <c r="BZ358" s="580"/>
      <c r="CA358" s="577"/>
      <c r="CB358" s="580"/>
      <c r="CC358" s="577"/>
      <c r="CD358" s="580"/>
      <c r="CE358" s="577"/>
      <c r="CF358" s="580"/>
      <c r="CG358" s="577"/>
      <c r="CH358" s="580"/>
      <c r="CI358" s="577"/>
      <c r="CJ358" s="580"/>
      <c r="CK358" s="577"/>
      <c r="CL358" s="580"/>
      <c r="CM358" s="577"/>
      <c r="CN358" s="580"/>
      <c r="CO358" s="577"/>
      <c r="CP358" s="580"/>
      <c r="CQ358" s="577"/>
      <c r="CR358" s="580"/>
      <c r="CS358" s="577"/>
      <c r="CT358" s="580"/>
      <c r="CU358" s="577"/>
      <c r="CV358" s="580"/>
      <c r="CW358" s="577"/>
      <c r="CX358" s="580"/>
      <c r="CY358" s="577"/>
      <c r="CZ358" s="580"/>
      <c r="DA358" s="577"/>
      <c r="DB358" s="556"/>
      <c r="DC358" s="580">
        <f>+INPUT!FP343</f>
        <v>5</v>
      </c>
      <c r="DD358" s="577" t="str">
        <f>+INPUT!FQ343</f>
        <v>NM</v>
      </c>
      <c r="DE358" s="580">
        <f>+INPUT!FR343</f>
        <v>0</v>
      </c>
      <c r="DF358" s="577" t="str">
        <f>+INPUT!FS343</f>
        <v>NM</v>
      </c>
      <c r="DG358" s="580">
        <f>+INPUT!FT343</f>
        <v>0</v>
      </c>
      <c r="DH358" s="577" t="str">
        <f>+INPUT!FU343</f>
        <v>NA</v>
      </c>
      <c r="DI358" s="580"/>
      <c r="DJ358" s="577"/>
      <c r="DK358" s="580"/>
      <c r="DL358" s="577"/>
      <c r="DM358" s="580"/>
      <c r="DN358" s="577"/>
      <c r="DO358" s="580"/>
      <c r="DP358" s="577"/>
      <c r="DQ358" s="580"/>
      <c r="DR358" s="577"/>
      <c r="DS358" s="580"/>
      <c r="DT358" s="577"/>
      <c r="DU358" s="580"/>
      <c r="DV358" s="577"/>
      <c r="DW358" s="580"/>
      <c r="DX358" s="577"/>
      <c r="DY358" s="580"/>
      <c r="DZ358" s="577"/>
      <c r="EA358" s="580"/>
      <c r="EB358" s="577"/>
      <c r="EC358" s="580"/>
      <c r="ED358" s="577"/>
      <c r="EE358" s="580"/>
      <c r="EF358" s="577"/>
      <c r="EG358" s="580"/>
      <c r="EH358" s="577"/>
      <c r="EI358" s="580"/>
      <c r="EJ358" s="577"/>
      <c r="EK358" s="580"/>
      <c r="EL358" s="577"/>
      <c r="EM358" s="577"/>
    </row>
    <row r="359" spans="1:143" ht="12.75" hidden="1" customHeight="1" outlineLevel="2" x14ac:dyDescent="0.2">
      <c r="A359" s="609" t="str">
        <f>+INPUT!B344</f>
        <v>Joint Venture Earnings -- Prudential's Portion</v>
      </c>
      <c r="B359" s="580">
        <f>+INPUT!AY344</f>
        <v>-65</v>
      </c>
      <c r="C359" s="577" t="str">
        <f>+INPUT!AZ344</f>
        <v>NM</v>
      </c>
      <c r="D359" s="580">
        <f>+INPUT!BA344</f>
        <v>21</v>
      </c>
      <c r="E359" s="577" t="str">
        <f>+INPUT!BB344</f>
        <v>NM</v>
      </c>
      <c r="F359" s="580">
        <f>+INPUT!BC344</f>
        <v>51</v>
      </c>
      <c r="G359" s="577">
        <f>+INPUT!BD344</f>
        <v>37.837837837837839</v>
      </c>
      <c r="H359" s="580">
        <f>+INPUT!BE344</f>
        <v>53</v>
      </c>
      <c r="I359" s="577" t="str">
        <f>+INPUT!BF344</f>
        <v>NM</v>
      </c>
      <c r="J359" s="580">
        <f>+INPUT!BG344</f>
        <v>72</v>
      </c>
      <c r="K359" s="577" t="str">
        <f>+INPUT!BH344</f>
        <v>NM</v>
      </c>
      <c r="L359" s="580">
        <f>+INPUT!BI344</f>
        <v>85</v>
      </c>
      <c r="M359" s="577" t="str">
        <f>+INPUT!BJ344</f>
        <v>NM</v>
      </c>
      <c r="N359" s="580"/>
      <c r="O359" s="577"/>
      <c r="P359" s="580"/>
      <c r="Q359" s="577"/>
      <c r="R359" s="580"/>
      <c r="S359" s="577"/>
      <c r="T359" s="580"/>
      <c r="U359" s="577"/>
      <c r="V359" s="580"/>
      <c r="W359" s="577"/>
      <c r="X359" s="580"/>
      <c r="Y359" s="577"/>
      <c r="Z359" s="580"/>
      <c r="AA359" s="577"/>
      <c r="AB359" s="580"/>
      <c r="AC359" s="577"/>
      <c r="AD359" s="580"/>
      <c r="AE359" s="577"/>
      <c r="AF359" s="580"/>
      <c r="AG359" s="577"/>
      <c r="AH359" s="580"/>
      <c r="AI359" s="577"/>
      <c r="AJ359" s="580"/>
      <c r="AK359" s="577"/>
      <c r="AL359" s="580"/>
      <c r="AM359" s="577"/>
      <c r="AN359" s="580"/>
      <c r="AO359" s="577"/>
      <c r="AP359" s="580"/>
      <c r="AQ359" s="577"/>
      <c r="AR359" s="580"/>
      <c r="AS359" s="577"/>
      <c r="AT359" s="580"/>
      <c r="AU359" s="577"/>
      <c r="AV359" s="580"/>
      <c r="AW359" s="577"/>
      <c r="AX359" s="580"/>
      <c r="AY359" s="577"/>
      <c r="AZ359" s="580"/>
      <c r="BA359" s="577"/>
      <c r="BB359" s="580"/>
      <c r="BC359" s="577"/>
      <c r="BD359" s="580"/>
      <c r="BE359" s="577"/>
      <c r="BF359" s="580"/>
      <c r="BG359" s="577"/>
      <c r="BH359" s="580"/>
      <c r="BI359" s="577"/>
      <c r="BJ359" s="580"/>
      <c r="BK359" s="577"/>
      <c r="BL359" s="580"/>
      <c r="BM359" s="577"/>
      <c r="BN359" s="580"/>
      <c r="BO359" s="577"/>
      <c r="BP359" s="580"/>
      <c r="BQ359" s="577"/>
      <c r="BR359" s="580"/>
      <c r="BS359" s="577"/>
      <c r="BT359" s="580"/>
      <c r="BU359" s="577"/>
      <c r="BV359" s="580"/>
      <c r="BW359" s="577"/>
      <c r="BX359" s="580"/>
      <c r="BY359" s="577"/>
      <c r="BZ359" s="580"/>
      <c r="CA359" s="577"/>
      <c r="CB359" s="580"/>
      <c r="CC359" s="577"/>
      <c r="CD359" s="580"/>
      <c r="CE359" s="577"/>
      <c r="CF359" s="580"/>
      <c r="CG359" s="577"/>
      <c r="CH359" s="580"/>
      <c r="CI359" s="577"/>
      <c r="CJ359" s="580"/>
      <c r="CK359" s="577"/>
      <c r="CL359" s="580"/>
      <c r="CM359" s="577"/>
      <c r="CN359" s="580"/>
      <c r="CO359" s="577"/>
      <c r="CP359" s="580"/>
      <c r="CQ359" s="577"/>
      <c r="CR359" s="580"/>
      <c r="CS359" s="577"/>
      <c r="CT359" s="580"/>
      <c r="CU359" s="577"/>
      <c r="CV359" s="580"/>
      <c r="CW359" s="577"/>
      <c r="CX359" s="580"/>
      <c r="CY359" s="577"/>
      <c r="CZ359" s="580"/>
      <c r="DA359" s="577"/>
      <c r="DB359" s="556"/>
      <c r="DC359" s="580">
        <f>+INPUT!FP344</f>
        <v>-255</v>
      </c>
      <c r="DD359" s="577">
        <f>+INPUT!FQ344</f>
        <v>2.2453889334402675</v>
      </c>
      <c r="DE359" s="580">
        <f>+INPUT!FR344</f>
        <v>60</v>
      </c>
      <c r="DF359" s="577" t="str">
        <f>+INPUT!FS344</f>
        <v>NM</v>
      </c>
      <c r="DG359" s="580">
        <f>+INPUT!FT344</f>
        <v>157</v>
      </c>
      <c r="DH359" s="577" t="str">
        <f>+INPUT!FU344</f>
        <v>NM</v>
      </c>
      <c r="DI359" s="580"/>
      <c r="DJ359" s="577"/>
      <c r="DK359" s="580"/>
      <c r="DL359" s="577"/>
      <c r="DM359" s="580"/>
      <c r="DN359" s="577"/>
      <c r="DO359" s="580"/>
      <c r="DP359" s="577"/>
      <c r="DQ359" s="580"/>
      <c r="DR359" s="577"/>
      <c r="DS359" s="580"/>
      <c r="DT359" s="577"/>
      <c r="DU359" s="580"/>
      <c r="DV359" s="577"/>
      <c r="DW359" s="580"/>
      <c r="DX359" s="577"/>
      <c r="DY359" s="580"/>
      <c r="DZ359" s="577"/>
      <c r="EA359" s="580"/>
      <c r="EB359" s="577"/>
      <c r="EC359" s="580"/>
      <c r="ED359" s="577"/>
      <c r="EE359" s="580"/>
      <c r="EF359" s="577"/>
      <c r="EG359" s="580"/>
      <c r="EH359" s="577"/>
      <c r="EI359" s="580"/>
      <c r="EJ359" s="577"/>
      <c r="EK359" s="580"/>
      <c r="EL359" s="577"/>
      <c r="EM359" s="577"/>
    </row>
    <row r="360" spans="1:143" ht="12.75" hidden="1" customHeight="1" outlineLevel="2" x14ac:dyDescent="0.2">
      <c r="A360" s="609"/>
      <c r="B360" s="580"/>
      <c r="C360" s="577"/>
      <c r="D360" s="580"/>
      <c r="E360" s="577"/>
      <c r="F360" s="580"/>
      <c r="G360" s="577"/>
      <c r="H360" s="580"/>
      <c r="I360" s="577"/>
      <c r="J360" s="580"/>
      <c r="K360" s="577"/>
      <c r="L360" s="580"/>
      <c r="M360" s="577"/>
      <c r="N360" s="580"/>
      <c r="O360" s="577"/>
      <c r="P360" s="580"/>
      <c r="Q360" s="577"/>
      <c r="R360" s="580"/>
      <c r="S360" s="577"/>
      <c r="T360" s="580"/>
      <c r="U360" s="577"/>
      <c r="V360" s="580"/>
      <c r="W360" s="577"/>
      <c r="X360" s="580"/>
      <c r="Y360" s="577"/>
      <c r="Z360" s="580"/>
      <c r="AA360" s="577"/>
      <c r="AB360" s="580"/>
      <c r="AC360" s="577"/>
      <c r="AD360" s="580"/>
      <c r="AE360" s="577"/>
      <c r="AF360" s="580"/>
      <c r="AG360" s="577"/>
      <c r="AH360" s="580"/>
      <c r="AI360" s="577"/>
      <c r="AJ360" s="580"/>
      <c r="AK360" s="577"/>
      <c r="AL360" s="580"/>
      <c r="AM360" s="577"/>
      <c r="AN360" s="580"/>
      <c r="AO360" s="577"/>
      <c r="AP360" s="580"/>
      <c r="AQ360" s="577"/>
      <c r="AR360" s="580"/>
      <c r="AS360" s="577"/>
      <c r="AT360" s="580"/>
      <c r="AU360" s="577"/>
      <c r="AV360" s="580"/>
      <c r="AW360" s="577"/>
      <c r="AX360" s="580"/>
      <c r="AY360" s="577"/>
      <c r="AZ360" s="580"/>
      <c r="BA360" s="577"/>
      <c r="BB360" s="580"/>
      <c r="BC360" s="577"/>
      <c r="BD360" s="580"/>
      <c r="BE360" s="577"/>
      <c r="BF360" s="580"/>
      <c r="BG360" s="577"/>
      <c r="BH360" s="580"/>
      <c r="BI360" s="577"/>
      <c r="BJ360" s="580"/>
      <c r="BK360" s="577"/>
      <c r="BL360" s="580"/>
      <c r="BM360" s="577"/>
      <c r="BN360" s="580"/>
      <c r="BO360" s="577"/>
      <c r="BP360" s="580"/>
      <c r="BQ360" s="577"/>
      <c r="BR360" s="580"/>
      <c r="BS360" s="577"/>
      <c r="BT360" s="580"/>
      <c r="BU360" s="577"/>
      <c r="BV360" s="580"/>
      <c r="BW360" s="577"/>
      <c r="BX360" s="580"/>
      <c r="BY360" s="577"/>
      <c r="BZ360" s="580"/>
      <c r="CA360" s="577"/>
      <c r="CB360" s="580"/>
      <c r="CC360" s="577"/>
      <c r="CD360" s="580"/>
      <c r="CE360" s="577"/>
      <c r="CF360" s="580"/>
      <c r="CG360" s="577"/>
      <c r="CH360" s="580"/>
      <c r="CI360" s="577"/>
      <c r="CJ360" s="580"/>
      <c r="CK360" s="577"/>
      <c r="CL360" s="580"/>
      <c r="CM360" s="577"/>
      <c r="CN360" s="580"/>
      <c r="CO360" s="577"/>
      <c r="CP360" s="580"/>
      <c r="CQ360" s="577"/>
      <c r="CR360" s="580"/>
      <c r="CS360" s="577"/>
      <c r="CT360" s="580"/>
      <c r="CU360" s="577"/>
      <c r="CV360" s="580"/>
      <c r="CW360" s="577"/>
      <c r="CX360" s="580"/>
      <c r="CY360" s="577"/>
      <c r="CZ360" s="580"/>
      <c r="DA360" s="577"/>
      <c r="DB360" s="556"/>
      <c r="DC360" s="580"/>
      <c r="DD360" s="577"/>
      <c r="DE360" s="580"/>
      <c r="DF360" s="577"/>
      <c r="DG360" s="580"/>
      <c r="DH360" s="577"/>
      <c r="DI360" s="580"/>
      <c r="DJ360" s="577"/>
      <c r="DK360" s="580"/>
      <c r="DL360" s="577"/>
      <c r="DM360" s="580"/>
      <c r="DN360" s="577"/>
      <c r="DO360" s="580"/>
      <c r="DP360" s="577"/>
      <c r="DQ360" s="580"/>
      <c r="DR360" s="577"/>
      <c r="DS360" s="580"/>
      <c r="DT360" s="577"/>
      <c r="DU360" s="580"/>
      <c r="DV360" s="577"/>
      <c r="DW360" s="580"/>
      <c r="DX360" s="577"/>
      <c r="DY360" s="580"/>
      <c r="DZ360" s="577"/>
      <c r="EA360" s="580"/>
      <c r="EB360" s="577"/>
      <c r="EC360" s="580"/>
      <c r="ED360" s="577"/>
      <c r="EE360" s="580"/>
      <c r="EF360" s="577"/>
      <c r="EG360" s="580"/>
      <c r="EH360" s="577"/>
      <c r="EI360" s="580"/>
      <c r="EJ360" s="577"/>
      <c r="EK360" s="580"/>
      <c r="EL360" s="577"/>
      <c r="EM360" s="577"/>
    </row>
    <row r="361" spans="1:143" ht="12.75" hidden="1" customHeight="1" outlineLevel="2" x14ac:dyDescent="0.2">
      <c r="A361" s="609" t="str">
        <f>+INPUT!B345</f>
        <v>Pretax Earnings from Remaining FA business</v>
      </c>
      <c r="B361" s="580">
        <f>+INPUT!AY345</f>
        <v>-42</v>
      </c>
      <c r="C361" s="577" t="str">
        <f>+INPUT!AZ345</f>
        <v>NM</v>
      </c>
      <c r="D361" s="580">
        <f>+INPUT!BA345</f>
        <v>9</v>
      </c>
      <c r="E361" s="577" t="str">
        <f>+INPUT!BB345</f>
        <v>NM</v>
      </c>
      <c r="F361" s="580">
        <f>+INPUT!BC345</f>
        <v>0</v>
      </c>
      <c r="G361" s="577" t="str">
        <f>+INPUT!BD345</f>
        <v>NM</v>
      </c>
      <c r="H361" s="580">
        <f>+INPUT!BE345</f>
        <v>0</v>
      </c>
      <c r="I361" s="577" t="str">
        <f>+INPUT!BF345</f>
        <v>NM</v>
      </c>
      <c r="J361" s="580">
        <f>+INPUT!BG345</f>
        <v>0</v>
      </c>
      <c r="K361" s="577" t="str">
        <f>+INPUT!BH345</f>
        <v>NM</v>
      </c>
      <c r="L361" s="580">
        <f>+INPUT!BI345</f>
        <v>0</v>
      </c>
      <c r="M361" s="577" t="str">
        <f>+INPUT!BJ345</f>
        <v>NM</v>
      </c>
      <c r="N361" s="580"/>
      <c r="O361" s="577"/>
      <c r="P361" s="580"/>
      <c r="Q361" s="577"/>
      <c r="R361" s="580"/>
      <c r="S361" s="577"/>
      <c r="T361" s="580"/>
      <c r="U361" s="577"/>
      <c r="V361" s="580"/>
      <c r="W361" s="577"/>
      <c r="X361" s="580"/>
      <c r="Y361" s="577"/>
      <c r="Z361" s="580"/>
      <c r="AA361" s="577"/>
      <c r="AB361" s="580"/>
      <c r="AC361" s="577"/>
      <c r="AD361" s="580"/>
      <c r="AE361" s="577"/>
      <c r="AF361" s="580"/>
      <c r="AG361" s="577"/>
      <c r="AH361" s="580"/>
      <c r="AI361" s="577"/>
      <c r="AJ361" s="580"/>
      <c r="AK361" s="577"/>
      <c r="AL361" s="580"/>
      <c r="AM361" s="577"/>
      <c r="AN361" s="580"/>
      <c r="AO361" s="577"/>
      <c r="AP361" s="580"/>
      <c r="AQ361" s="577"/>
      <c r="AR361" s="580"/>
      <c r="AS361" s="577"/>
      <c r="AT361" s="580"/>
      <c r="AU361" s="577"/>
      <c r="AV361" s="580"/>
      <c r="AW361" s="577"/>
      <c r="AX361" s="580"/>
      <c r="AY361" s="577"/>
      <c r="AZ361" s="580"/>
      <c r="BA361" s="577"/>
      <c r="BB361" s="580"/>
      <c r="BC361" s="577"/>
      <c r="BD361" s="580"/>
      <c r="BE361" s="577"/>
      <c r="BF361" s="580"/>
      <c r="BG361" s="577"/>
      <c r="BH361" s="580"/>
      <c r="BI361" s="577"/>
      <c r="BJ361" s="580"/>
      <c r="BK361" s="577"/>
      <c r="BL361" s="580"/>
      <c r="BM361" s="577"/>
      <c r="BN361" s="580"/>
      <c r="BO361" s="577"/>
      <c r="BP361" s="580"/>
      <c r="BQ361" s="577"/>
      <c r="BR361" s="580"/>
      <c r="BS361" s="577"/>
      <c r="BT361" s="580"/>
      <c r="BU361" s="577"/>
      <c r="BV361" s="580"/>
      <c r="BW361" s="577"/>
      <c r="BX361" s="580"/>
      <c r="BY361" s="577"/>
      <c r="BZ361" s="580"/>
      <c r="CA361" s="577"/>
      <c r="CB361" s="580"/>
      <c r="CC361" s="577"/>
      <c r="CD361" s="580"/>
      <c r="CE361" s="577"/>
      <c r="CF361" s="580"/>
      <c r="CG361" s="577"/>
      <c r="CH361" s="580"/>
      <c r="CI361" s="577"/>
      <c r="CJ361" s="580"/>
      <c r="CK361" s="577"/>
      <c r="CL361" s="580"/>
      <c r="CM361" s="577"/>
      <c r="CN361" s="580"/>
      <c r="CO361" s="577"/>
      <c r="CP361" s="580"/>
      <c r="CQ361" s="577"/>
      <c r="CR361" s="580"/>
      <c r="CS361" s="577"/>
      <c r="CT361" s="580"/>
      <c r="CU361" s="577"/>
      <c r="CV361" s="580"/>
      <c r="CW361" s="577"/>
      <c r="CX361" s="580"/>
      <c r="CY361" s="577"/>
      <c r="CZ361" s="580"/>
      <c r="DA361" s="577"/>
      <c r="DB361" s="556"/>
      <c r="DC361" s="580">
        <f>+INPUT!FP345</f>
        <v>0</v>
      </c>
      <c r="DD361" s="577" t="str">
        <f>+INPUT!FQ345</f>
        <v>NM</v>
      </c>
      <c r="DE361" s="580">
        <f>+INPUT!FR345</f>
        <v>-33</v>
      </c>
      <c r="DF361" s="577" t="str">
        <f>+INPUT!FS345</f>
        <v>NA</v>
      </c>
      <c r="DG361" s="580">
        <f>+INPUT!FT345</f>
        <v>0</v>
      </c>
      <c r="DH361" s="577" t="str">
        <f>+INPUT!FU345</f>
        <v>NM</v>
      </c>
      <c r="DI361" s="580"/>
      <c r="DJ361" s="577"/>
      <c r="DK361" s="580"/>
      <c r="DL361" s="577"/>
      <c r="DM361" s="580"/>
      <c r="DN361" s="577"/>
      <c r="DO361" s="580"/>
      <c r="DP361" s="577"/>
      <c r="DQ361" s="580"/>
      <c r="DR361" s="577"/>
      <c r="DS361" s="580"/>
      <c r="DT361" s="577"/>
      <c r="DU361" s="580"/>
      <c r="DV361" s="577"/>
      <c r="DW361" s="580"/>
      <c r="DX361" s="577"/>
      <c r="DY361" s="580"/>
      <c r="DZ361" s="577"/>
      <c r="EA361" s="580"/>
      <c r="EB361" s="577"/>
      <c r="EC361" s="580"/>
      <c r="ED361" s="577"/>
      <c r="EE361" s="580"/>
      <c r="EF361" s="577"/>
      <c r="EG361" s="580"/>
      <c r="EH361" s="577"/>
      <c r="EI361" s="580"/>
      <c r="EJ361" s="577"/>
      <c r="EK361" s="580"/>
      <c r="EL361" s="577"/>
      <c r="EM361" s="577"/>
    </row>
    <row r="362" spans="1:143" ht="12.75" hidden="1" customHeight="1" outlineLevel="2" x14ac:dyDescent="0.2">
      <c r="A362" s="609"/>
      <c r="B362" s="580"/>
      <c r="C362" s="577"/>
      <c r="D362" s="580"/>
      <c r="E362" s="577"/>
      <c r="F362" s="580"/>
      <c r="G362" s="577"/>
      <c r="H362" s="580"/>
      <c r="I362" s="577"/>
      <c r="J362" s="580"/>
      <c r="K362" s="577"/>
      <c r="L362" s="580"/>
      <c r="M362" s="577"/>
      <c r="N362" s="580"/>
      <c r="O362" s="577"/>
      <c r="P362" s="580"/>
      <c r="Q362" s="577"/>
      <c r="R362" s="580"/>
      <c r="S362" s="577"/>
      <c r="T362" s="580"/>
      <c r="U362" s="577"/>
      <c r="V362" s="580"/>
      <c r="W362" s="577"/>
      <c r="X362" s="580"/>
      <c r="Y362" s="577"/>
      <c r="Z362" s="580"/>
      <c r="AA362" s="577"/>
      <c r="AB362" s="580"/>
      <c r="AC362" s="577"/>
      <c r="AD362" s="580"/>
      <c r="AE362" s="577"/>
      <c r="AF362" s="580"/>
      <c r="AG362" s="577"/>
      <c r="AH362" s="580"/>
      <c r="AI362" s="577"/>
      <c r="AJ362" s="580"/>
      <c r="AK362" s="577"/>
      <c r="AL362" s="580"/>
      <c r="AM362" s="577"/>
      <c r="AN362" s="580"/>
      <c r="AO362" s="577"/>
      <c r="AP362" s="580"/>
      <c r="AQ362" s="577"/>
      <c r="AR362" s="580"/>
      <c r="AS362" s="577"/>
      <c r="AT362" s="580"/>
      <c r="AU362" s="577"/>
      <c r="AV362" s="580"/>
      <c r="AW362" s="577"/>
      <c r="AX362" s="580"/>
      <c r="AY362" s="577"/>
      <c r="AZ362" s="580"/>
      <c r="BA362" s="577"/>
      <c r="BB362" s="580"/>
      <c r="BC362" s="577"/>
      <c r="BD362" s="580"/>
      <c r="BE362" s="577"/>
      <c r="BF362" s="580"/>
      <c r="BG362" s="577"/>
      <c r="BH362" s="580"/>
      <c r="BI362" s="577"/>
      <c r="BJ362" s="580"/>
      <c r="BK362" s="577"/>
      <c r="BL362" s="580"/>
      <c r="BM362" s="577"/>
      <c r="BN362" s="580"/>
      <c r="BO362" s="577"/>
      <c r="BP362" s="580"/>
      <c r="BQ362" s="577"/>
      <c r="BR362" s="580"/>
      <c r="BS362" s="577"/>
      <c r="BT362" s="580"/>
      <c r="BU362" s="577"/>
      <c r="BV362" s="580"/>
      <c r="BW362" s="577"/>
      <c r="BX362" s="580"/>
      <c r="BY362" s="577"/>
      <c r="BZ362" s="580"/>
      <c r="CA362" s="577"/>
      <c r="CB362" s="580"/>
      <c r="CC362" s="577"/>
      <c r="CD362" s="580"/>
      <c r="CE362" s="577"/>
      <c r="CF362" s="580"/>
      <c r="CG362" s="577"/>
      <c r="CH362" s="580"/>
      <c r="CI362" s="577"/>
      <c r="CJ362" s="580"/>
      <c r="CK362" s="577"/>
      <c r="CL362" s="580"/>
      <c r="CM362" s="577"/>
      <c r="CN362" s="580"/>
      <c r="CO362" s="577"/>
      <c r="CP362" s="580"/>
      <c r="CQ362" s="577"/>
      <c r="CR362" s="580"/>
      <c r="CS362" s="577"/>
      <c r="CT362" s="580"/>
      <c r="CU362" s="577"/>
      <c r="CV362" s="580"/>
      <c r="CW362" s="577"/>
      <c r="CX362" s="580"/>
      <c r="CY362" s="577"/>
      <c r="CZ362" s="580"/>
      <c r="DA362" s="577"/>
      <c r="DB362" s="580"/>
      <c r="DC362" s="580"/>
      <c r="DD362" s="577"/>
      <c r="DE362" s="580"/>
      <c r="DF362" s="577"/>
      <c r="DG362" s="580"/>
      <c r="DH362" s="577"/>
      <c r="DI362" s="580"/>
      <c r="DJ362" s="577"/>
      <c r="DK362" s="580"/>
      <c r="DL362" s="577"/>
      <c r="DM362" s="580"/>
      <c r="DN362" s="577"/>
      <c r="DO362" s="580"/>
      <c r="DP362" s="577"/>
      <c r="DQ362" s="580"/>
      <c r="DR362" s="577"/>
      <c r="DS362" s="580"/>
      <c r="DT362" s="577"/>
      <c r="DU362" s="580"/>
      <c r="DV362" s="577"/>
      <c r="DW362" s="580"/>
      <c r="DX362" s="577"/>
      <c r="DY362" s="580"/>
      <c r="DZ362" s="577"/>
      <c r="EA362" s="580"/>
      <c r="EB362" s="577"/>
      <c r="EC362" s="580"/>
      <c r="ED362" s="577"/>
      <c r="EE362" s="580"/>
      <c r="EF362" s="577"/>
      <c r="EG362" s="580"/>
      <c r="EH362" s="577"/>
      <c r="EI362" s="580"/>
      <c r="EJ362" s="577"/>
      <c r="EK362" s="580"/>
      <c r="EL362" s="577"/>
      <c r="EM362" s="577"/>
    </row>
    <row r="363" spans="1:143" ht="12.75" hidden="1" customHeight="1" outlineLevel="2" x14ac:dyDescent="0.2">
      <c r="A363" s="611" t="s">
        <v>706</v>
      </c>
      <c r="B363" s="602">
        <f>+INPUT!AY346</f>
        <v>-107</v>
      </c>
      <c r="C363" s="612" t="str">
        <f>+INPUT!AZ346</f>
        <v>NM</v>
      </c>
      <c r="D363" s="602">
        <f>+INPUT!BA346</f>
        <v>30</v>
      </c>
      <c r="E363" s="612" t="str">
        <f>+INPUT!BB346</f>
        <v>NM</v>
      </c>
      <c r="F363" s="602">
        <f>+INPUT!BC346</f>
        <v>51</v>
      </c>
      <c r="G363" s="612">
        <f>+INPUT!BD346</f>
        <v>64.516129032258078</v>
      </c>
      <c r="H363" s="602">
        <f>+INPUT!BE346</f>
        <v>53</v>
      </c>
      <c r="I363" s="612" t="str">
        <f>+INPUT!BF346</f>
        <v>NM</v>
      </c>
      <c r="J363" s="602">
        <f>+INPUT!BG346</f>
        <v>72</v>
      </c>
      <c r="K363" s="612" t="str">
        <f>+INPUT!BH346</f>
        <v>NM</v>
      </c>
      <c r="L363" s="602">
        <f>+INPUT!BI346</f>
        <v>85</v>
      </c>
      <c r="M363" s="612" t="str">
        <f>+INPUT!BJ346</f>
        <v>NM</v>
      </c>
      <c r="N363" s="602"/>
      <c r="O363" s="612"/>
      <c r="P363" s="602"/>
      <c r="Q363" s="612"/>
      <c r="R363" s="602"/>
      <c r="S363" s="612"/>
      <c r="T363" s="602"/>
      <c r="U363" s="612"/>
      <c r="V363" s="602"/>
      <c r="W363" s="612"/>
      <c r="X363" s="602"/>
      <c r="Y363" s="612"/>
      <c r="Z363" s="602"/>
      <c r="AA363" s="612"/>
      <c r="AB363" s="602"/>
      <c r="AC363" s="612"/>
      <c r="AD363" s="602"/>
      <c r="AE363" s="612"/>
      <c r="AF363" s="602"/>
      <c r="AG363" s="612"/>
      <c r="AH363" s="602"/>
      <c r="AI363" s="612"/>
      <c r="AJ363" s="602"/>
      <c r="AK363" s="612"/>
      <c r="AL363" s="602"/>
      <c r="AM363" s="612"/>
      <c r="AN363" s="602"/>
      <c r="AO363" s="612"/>
      <c r="AP363" s="602"/>
      <c r="AQ363" s="612"/>
      <c r="AR363" s="602"/>
      <c r="AS363" s="612"/>
      <c r="AT363" s="602"/>
      <c r="AU363" s="612"/>
      <c r="AV363" s="602"/>
      <c r="AW363" s="612"/>
      <c r="AX363" s="602"/>
      <c r="AY363" s="612"/>
      <c r="AZ363" s="602"/>
      <c r="BA363" s="612"/>
      <c r="BB363" s="602"/>
      <c r="BC363" s="612"/>
      <c r="BD363" s="602"/>
      <c r="BE363" s="612"/>
      <c r="BF363" s="602"/>
      <c r="BG363" s="612"/>
      <c r="BH363" s="602"/>
      <c r="BI363" s="612"/>
      <c r="BJ363" s="602"/>
      <c r="BK363" s="612"/>
      <c r="BL363" s="602"/>
      <c r="BM363" s="612"/>
      <c r="BN363" s="602"/>
      <c r="BO363" s="612"/>
      <c r="BP363" s="602"/>
      <c r="BQ363" s="612"/>
      <c r="BR363" s="602"/>
      <c r="BS363" s="612"/>
      <c r="BT363" s="602"/>
      <c r="BU363" s="612"/>
      <c r="BV363" s="602"/>
      <c r="BW363" s="612"/>
      <c r="BX363" s="602"/>
      <c r="BY363" s="612"/>
      <c r="BZ363" s="602"/>
      <c r="CA363" s="612"/>
      <c r="CB363" s="602"/>
      <c r="CC363" s="612"/>
      <c r="CD363" s="602"/>
      <c r="CE363" s="612"/>
      <c r="CF363" s="602"/>
      <c r="CG363" s="612"/>
      <c r="CH363" s="602"/>
      <c r="CI363" s="612"/>
      <c r="CJ363" s="602"/>
      <c r="CK363" s="612"/>
      <c r="CL363" s="602"/>
      <c r="CM363" s="612"/>
      <c r="CN363" s="602"/>
      <c r="CO363" s="612"/>
      <c r="CP363" s="602"/>
      <c r="CQ363" s="612"/>
      <c r="CR363" s="602"/>
      <c r="CS363" s="612"/>
      <c r="CT363" s="602"/>
      <c r="CU363" s="612"/>
      <c r="CV363" s="602"/>
      <c r="CW363" s="612"/>
      <c r="CX363" s="602"/>
      <c r="CY363" s="612"/>
      <c r="CZ363" s="602"/>
      <c r="DA363" s="612"/>
      <c r="DB363" s="602"/>
      <c r="DC363" s="602">
        <f>+INPUT!FP346</f>
        <v>-255</v>
      </c>
      <c r="DD363" s="612">
        <f>+INPUT!FQ346</f>
        <v>3.9119804400977927</v>
      </c>
      <c r="DE363" s="602">
        <f>+INPUT!FR346</f>
        <v>27</v>
      </c>
      <c r="DF363" s="612" t="str">
        <f>+INPUT!FS346</f>
        <v>NM</v>
      </c>
      <c r="DG363" s="602">
        <f>+INPUT!FT346</f>
        <v>157</v>
      </c>
      <c r="DH363" s="612" t="str">
        <f>+INPUT!FU346</f>
        <v>NM</v>
      </c>
      <c r="DI363" s="602"/>
      <c r="DJ363" s="612"/>
      <c r="DK363" s="602"/>
      <c r="DL363" s="612"/>
      <c r="DM363" s="602"/>
      <c r="DN363" s="612"/>
      <c r="DO363" s="602"/>
      <c r="DP363" s="612"/>
      <c r="DQ363" s="602"/>
      <c r="DR363" s="612"/>
      <c r="DS363" s="602"/>
      <c r="DT363" s="612"/>
      <c r="DU363" s="602"/>
      <c r="DV363" s="612"/>
      <c r="DW363" s="602"/>
      <c r="DX363" s="612"/>
      <c r="DY363" s="602"/>
      <c r="DZ363" s="612"/>
      <c r="EA363" s="602"/>
      <c r="EB363" s="612"/>
      <c r="EC363" s="602"/>
      <c r="ED363" s="612"/>
      <c r="EE363" s="602"/>
      <c r="EF363" s="612"/>
      <c r="EG363" s="602"/>
      <c r="EH363" s="612"/>
      <c r="EI363" s="602"/>
      <c r="EJ363" s="612"/>
      <c r="EK363" s="602"/>
      <c r="EL363" s="612"/>
      <c r="EM363" s="612"/>
    </row>
    <row r="364" spans="1:143" ht="12.75" hidden="1" customHeight="1" outlineLevel="2" x14ac:dyDescent="0.2">
      <c r="A364" s="613"/>
      <c r="B364" s="580"/>
      <c r="C364" s="577"/>
      <c r="D364" s="580"/>
      <c r="E364" s="577"/>
      <c r="F364" s="580"/>
      <c r="G364" s="577"/>
      <c r="H364" s="580"/>
      <c r="I364" s="577"/>
      <c r="J364" s="580"/>
      <c r="K364" s="577"/>
      <c r="L364" s="580"/>
      <c r="M364" s="577"/>
      <c r="N364" s="580"/>
      <c r="O364" s="577"/>
      <c r="P364" s="580"/>
      <c r="Q364" s="577"/>
      <c r="R364" s="580"/>
      <c r="S364" s="577"/>
      <c r="T364" s="580"/>
      <c r="U364" s="577"/>
      <c r="V364" s="580"/>
      <c r="W364" s="577"/>
      <c r="X364" s="580"/>
      <c r="Y364" s="577"/>
      <c r="Z364" s="580"/>
      <c r="AA364" s="577"/>
      <c r="AB364" s="580"/>
      <c r="AC364" s="577"/>
      <c r="AD364" s="580"/>
      <c r="AE364" s="577"/>
      <c r="AF364" s="580"/>
      <c r="AG364" s="577"/>
      <c r="AH364" s="580"/>
      <c r="AI364" s="577"/>
      <c r="AJ364" s="580"/>
      <c r="AK364" s="577"/>
      <c r="AL364" s="580"/>
      <c r="AM364" s="577"/>
      <c r="AN364" s="580"/>
      <c r="AO364" s="577"/>
      <c r="AP364" s="580"/>
      <c r="AQ364" s="577"/>
      <c r="AR364" s="580"/>
      <c r="AS364" s="577"/>
      <c r="AT364" s="580"/>
      <c r="AU364" s="577"/>
      <c r="AV364" s="580"/>
      <c r="AW364" s="577"/>
      <c r="AX364" s="580"/>
      <c r="AY364" s="577"/>
      <c r="AZ364" s="580"/>
      <c r="BA364" s="577"/>
      <c r="BB364" s="580"/>
      <c r="BC364" s="577"/>
      <c r="BD364" s="580"/>
      <c r="BE364" s="577"/>
      <c r="BF364" s="580"/>
      <c r="BG364" s="577"/>
      <c r="BH364" s="580"/>
      <c r="BI364" s="577"/>
      <c r="BJ364" s="580"/>
      <c r="BK364" s="577"/>
      <c r="BL364" s="580"/>
      <c r="BM364" s="577"/>
      <c r="BN364" s="580"/>
      <c r="BO364" s="577"/>
      <c r="BP364" s="580"/>
      <c r="BQ364" s="577"/>
      <c r="BR364" s="580"/>
      <c r="BS364" s="577"/>
      <c r="BT364" s="580"/>
      <c r="BU364" s="577"/>
      <c r="BV364" s="580"/>
      <c r="BW364" s="577"/>
      <c r="BX364" s="580"/>
      <c r="BY364" s="577"/>
      <c r="BZ364" s="580"/>
      <c r="CA364" s="577"/>
      <c r="CB364" s="580"/>
      <c r="CC364" s="577"/>
      <c r="CD364" s="580"/>
      <c r="CE364" s="577"/>
      <c r="CF364" s="580"/>
      <c r="CG364" s="577"/>
      <c r="CH364" s="580"/>
      <c r="CI364" s="577"/>
      <c r="CJ364" s="580"/>
      <c r="CK364" s="577"/>
      <c r="CL364" s="580"/>
      <c r="CM364" s="577"/>
      <c r="CN364" s="580"/>
      <c r="CO364" s="577"/>
      <c r="CP364" s="580"/>
      <c r="CQ364" s="577"/>
      <c r="CR364" s="580"/>
      <c r="CS364" s="577"/>
      <c r="CT364" s="580"/>
      <c r="CU364" s="577"/>
      <c r="CV364" s="580"/>
      <c r="CW364" s="577"/>
      <c r="CX364" s="580"/>
      <c r="CY364" s="577"/>
      <c r="CZ364" s="580"/>
      <c r="DA364" s="577"/>
      <c r="DB364" s="580"/>
      <c r="DC364" s="580"/>
      <c r="DD364" s="577"/>
      <c r="DE364" s="580"/>
      <c r="DF364" s="577"/>
      <c r="DG364" s="580"/>
      <c r="DH364" s="577"/>
      <c r="DI364" s="580"/>
      <c r="DJ364" s="577"/>
      <c r="DK364" s="580"/>
      <c r="DL364" s="577"/>
      <c r="DM364" s="580"/>
      <c r="DN364" s="577"/>
      <c r="DO364" s="580"/>
      <c r="DP364" s="577"/>
      <c r="DQ364" s="580"/>
      <c r="DR364" s="577"/>
      <c r="DS364" s="580"/>
      <c r="DT364" s="577"/>
      <c r="DU364" s="580"/>
      <c r="DV364" s="577"/>
      <c r="DW364" s="580"/>
      <c r="DX364" s="577"/>
      <c r="DY364" s="580"/>
      <c r="DZ364" s="577"/>
      <c r="EA364" s="580"/>
      <c r="EB364" s="577"/>
      <c r="EC364" s="580"/>
      <c r="ED364" s="577"/>
      <c r="EE364" s="580"/>
      <c r="EF364" s="577"/>
      <c r="EG364" s="580"/>
      <c r="EH364" s="577"/>
      <c r="EI364" s="580"/>
      <c r="EJ364" s="577"/>
      <c r="EK364" s="580"/>
      <c r="EL364" s="577"/>
      <c r="EM364" s="577"/>
    </row>
    <row r="365" spans="1:143" ht="12.75" hidden="1" customHeight="1" outlineLevel="2" x14ac:dyDescent="0.2">
      <c r="A365" s="575" t="s">
        <v>498</v>
      </c>
      <c r="B365" s="605"/>
      <c r="C365" s="555"/>
      <c r="D365" s="605"/>
      <c r="E365" s="555"/>
      <c r="F365" s="605"/>
      <c r="G365" s="555"/>
      <c r="H365" s="605"/>
      <c r="I365" s="555"/>
      <c r="J365" s="605"/>
      <c r="K365" s="555"/>
      <c r="L365" s="605"/>
      <c r="M365" s="555"/>
      <c r="N365" s="605"/>
      <c r="O365" s="555"/>
      <c r="P365" s="605"/>
      <c r="Q365" s="555"/>
      <c r="R365" s="605"/>
      <c r="S365" s="555"/>
      <c r="T365" s="605"/>
      <c r="U365" s="555"/>
      <c r="V365" s="605"/>
      <c r="W365" s="555"/>
      <c r="X365" s="605"/>
      <c r="Y365" s="555"/>
      <c r="Z365" s="605"/>
      <c r="AA365" s="555"/>
      <c r="AB365" s="605"/>
      <c r="AC365" s="555"/>
      <c r="AD365" s="605"/>
      <c r="AE365" s="555"/>
      <c r="AF365" s="605"/>
      <c r="AG365" s="555"/>
      <c r="AH365" s="605"/>
      <c r="AI365" s="555"/>
      <c r="AJ365" s="605"/>
      <c r="AK365" s="555"/>
      <c r="AL365" s="605"/>
      <c r="AM365" s="555"/>
      <c r="AN365" s="605"/>
      <c r="AO365" s="555"/>
      <c r="AP365" s="605"/>
      <c r="AQ365" s="555"/>
      <c r="AR365" s="605"/>
      <c r="AS365" s="555"/>
      <c r="AT365" s="605"/>
      <c r="AU365" s="555"/>
      <c r="AV365" s="605"/>
      <c r="AW365" s="555"/>
      <c r="AX365" s="605"/>
      <c r="AY365" s="555"/>
      <c r="AZ365" s="605"/>
      <c r="BA365" s="555"/>
      <c r="BB365" s="605"/>
      <c r="BC365" s="555"/>
      <c r="BD365" s="605"/>
      <c r="BE365" s="555"/>
      <c r="BF365" s="605"/>
      <c r="BG365" s="555"/>
      <c r="BH365" s="605"/>
      <c r="BI365" s="555"/>
      <c r="BJ365" s="605"/>
      <c r="BK365" s="555"/>
      <c r="BL365" s="605"/>
      <c r="BM365" s="555"/>
      <c r="BN365" s="605"/>
      <c r="BO365" s="555"/>
      <c r="BP365" s="605"/>
      <c r="BQ365" s="555"/>
      <c r="BR365" s="605"/>
      <c r="BS365" s="555"/>
      <c r="BT365" s="605"/>
      <c r="BU365" s="555"/>
      <c r="BV365" s="605"/>
      <c r="BW365" s="555"/>
      <c r="BX365" s="605"/>
      <c r="BY365" s="555"/>
      <c r="BZ365" s="605"/>
      <c r="CA365" s="555"/>
      <c r="CB365" s="605"/>
      <c r="CC365" s="555"/>
      <c r="CD365" s="605"/>
      <c r="CE365" s="555"/>
      <c r="CF365" s="605"/>
      <c r="CG365" s="555"/>
      <c r="CH365" s="605"/>
      <c r="CI365" s="555"/>
      <c r="CJ365" s="605"/>
      <c r="CK365" s="555"/>
      <c r="CL365" s="605"/>
      <c r="CM365" s="555"/>
      <c r="CN365" s="605"/>
      <c r="CO365" s="555"/>
      <c r="CP365" s="605"/>
      <c r="CQ365" s="555"/>
      <c r="CR365" s="605"/>
      <c r="CS365" s="555"/>
      <c r="CT365" s="605"/>
      <c r="CU365" s="555"/>
      <c r="CV365" s="605"/>
      <c r="CW365" s="555"/>
      <c r="CX365" s="605"/>
      <c r="CY365" s="555"/>
      <c r="CZ365" s="605"/>
      <c r="DA365" s="555"/>
      <c r="DB365" s="605"/>
      <c r="DC365" s="605"/>
      <c r="DD365" s="555"/>
      <c r="DE365" s="605"/>
      <c r="DF365" s="555"/>
      <c r="DG365" s="605"/>
      <c r="DH365" s="555"/>
      <c r="DI365" s="605"/>
      <c r="DJ365" s="555"/>
      <c r="DK365" s="605"/>
      <c r="DL365" s="555"/>
      <c r="DM365" s="605"/>
      <c r="DN365" s="555"/>
      <c r="DO365" s="605"/>
      <c r="DP365" s="555"/>
      <c r="DQ365" s="605"/>
      <c r="DR365" s="555"/>
      <c r="DS365" s="605"/>
      <c r="DT365" s="555"/>
      <c r="DU365" s="605"/>
      <c r="DV365" s="555"/>
      <c r="DW365" s="605"/>
      <c r="DX365" s="555"/>
      <c r="DY365" s="605"/>
      <c r="DZ365" s="555"/>
      <c r="EA365" s="605"/>
      <c r="EB365" s="555"/>
      <c r="EC365" s="605"/>
      <c r="ED365" s="555"/>
      <c r="EE365" s="605"/>
      <c r="EF365" s="555"/>
      <c r="EG365" s="605"/>
      <c r="EH365" s="555"/>
      <c r="EI365" s="605"/>
      <c r="EJ365" s="555"/>
      <c r="EK365" s="605"/>
      <c r="EL365" s="555"/>
      <c r="EM365" s="555"/>
    </row>
    <row r="366" spans="1:143" ht="12.75" hidden="1" customHeight="1" outlineLevel="2" x14ac:dyDescent="0.2">
      <c r="A366" s="579" t="s">
        <v>68</v>
      </c>
      <c r="B366" s="597" t="e">
        <f>+INPUT!#REF!</f>
        <v>#REF!</v>
      </c>
      <c r="C366" s="577" t="e">
        <f>+INPUT!#REF!</f>
        <v>#REF!</v>
      </c>
      <c r="D366" s="597" t="e">
        <f>+INPUT!#REF!</f>
        <v>#REF!</v>
      </c>
      <c r="E366" s="577" t="e">
        <f>+INPUT!#REF!</f>
        <v>#REF!</v>
      </c>
      <c r="F366" s="597" t="e">
        <f>+INPUT!#REF!</f>
        <v>#REF!</v>
      </c>
      <c r="G366" s="577" t="e">
        <f>+INPUT!#REF!</f>
        <v>#REF!</v>
      </c>
      <c r="H366" s="597" t="e">
        <f>+INPUT!#REF!</f>
        <v>#REF!</v>
      </c>
      <c r="I366" s="577" t="e">
        <f>+INPUT!#REF!</f>
        <v>#REF!</v>
      </c>
      <c r="J366" s="597" t="e">
        <f>+INPUT!#REF!</f>
        <v>#REF!</v>
      </c>
      <c r="K366" s="577" t="e">
        <f>+INPUT!#REF!</f>
        <v>#REF!</v>
      </c>
      <c r="L366" s="597" t="e">
        <f>+INPUT!#REF!</f>
        <v>#REF!</v>
      </c>
      <c r="M366" s="577" t="e">
        <f>+INPUT!#REF!</f>
        <v>#REF!</v>
      </c>
      <c r="N366" s="597"/>
      <c r="O366" s="577"/>
      <c r="P366" s="597"/>
      <c r="Q366" s="577"/>
      <c r="R366" s="597"/>
      <c r="S366" s="577"/>
      <c r="T366" s="597"/>
      <c r="U366" s="577"/>
      <c r="V366" s="597"/>
      <c r="W366" s="577"/>
      <c r="X366" s="597"/>
      <c r="Y366" s="577"/>
      <c r="Z366" s="597"/>
      <c r="AA366" s="577"/>
      <c r="AB366" s="597"/>
      <c r="AC366" s="577"/>
      <c r="AD366" s="597"/>
      <c r="AE366" s="577"/>
      <c r="AF366" s="597"/>
      <c r="AG366" s="577"/>
      <c r="AH366" s="597"/>
      <c r="AI366" s="577"/>
      <c r="AJ366" s="597"/>
      <c r="AK366" s="577"/>
      <c r="AL366" s="597"/>
      <c r="AM366" s="577"/>
      <c r="AN366" s="597"/>
      <c r="AO366" s="577"/>
      <c r="AP366" s="597"/>
      <c r="AQ366" s="577"/>
      <c r="AR366" s="597"/>
      <c r="AS366" s="577"/>
      <c r="AT366" s="597"/>
      <c r="AU366" s="577"/>
      <c r="AV366" s="597"/>
      <c r="AW366" s="577"/>
      <c r="AX366" s="597"/>
      <c r="AY366" s="577"/>
      <c r="AZ366" s="597"/>
      <c r="BA366" s="577"/>
      <c r="BB366" s="597"/>
      <c r="BC366" s="577"/>
      <c r="BD366" s="597"/>
      <c r="BE366" s="577"/>
      <c r="BF366" s="597"/>
      <c r="BG366" s="577"/>
      <c r="BH366" s="597"/>
      <c r="BI366" s="577"/>
      <c r="BJ366" s="597"/>
      <c r="BK366" s="577"/>
      <c r="BL366" s="597"/>
      <c r="BM366" s="577"/>
      <c r="BN366" s="597"/>
      <c r="BO366" s="577"/>
      <c r="BP366" s="597"/>
      <c r="BQ366" s="577"/>
      <c r="BR366" s="597"/>
      <c r="BS366" s="577"/>
      <c r="BT366" s="597"/>
      <c r="BU366" s="577"/>
      <c r="BV366" s="597"/>
      <c r="BW366" s="577"/>
      <c r="BX366" s="597"/>
      <c r="BY366" s="577"/>
      <c r="BZ366" s="597"/>
      <c r="CA366" s="577"/>
      <c r="CB366" s="597"/>
      <c r="CC366" s="577"/>
      <c r="CD366" s="597"/>
      <c r="CE366" s="577"/>
      <c r="CF366" s="597"/>
      <c r="CG366" s="577"/>
      <c r="CH366" s="597"/>
      <c r="CI366" s="577"/>
      <c r="CJ366" s="597"/>
      <c r="CK366" s="577"/>
      <c r="CL366" s="597"/>
      <c r="CM366" s="577"/>
      <c r="CN366" s="597"/>
      <c r="CO366" s="577"/>
      <c r="CP366" s="597"/>
      <c r="CQ366" s="577"/>
      <c r="CR366" s="597"/>
      <c r="CS366" s="577"/>
      <c r="CT366" s="597"/>
      <c r="CU366" s="577"/>
      <c r="CV366" s="597"/>
      <c r="CW366" s="577"/>
      <c r="CX366" s="597"/>
      <c r="CY366" s="577"/>
      <c r="CZ366" s="597"/>
      <c r="DA366" s="577"/>
      <c r="DB366" s="586"/>
      <c r="DC366" s="597" t="e">
        <f>+INPUT!#REF!</f>
        <v>#REF!</v>
      </c>
      <c r="DD366" s="577" t="e">
        <f>+INPUT!#REF!</f>
        <v>#REF!</v>
      </c>
      <c r="DE366" s="597" t="e">
        <f>+INPUT!#REF!</f>
        <v>#REF!</v>
      </c>
      <c r="DF366" s="577" t="e">
        <f>+INPUT!#REF!</f>
        <v>#REF!</v>
      </c>
      <c r="DG366" s="597" t="e">
        <f>+INPUT!#REF!</f>
        <v>#REF!</v>
      </c>
      <c r="DH366" s="577" t="e">
        <f>+INPUT!#REF!</f>
        <v>#REF!</v>
      </c>
      <c r="DI366" s="597"/>
      <c r="DJ366" s="577"/>
      <c r="DK366" s="597"/>
      <c r="DL366" s="577"/>
      <c r="DM366" s="597"/>
      <c r="DN366" s="577"/>
      <c r="DO366" s="597"/>
      <c r="DP366" s="577"/>
      <c r="DQ366" s="597"/>
      <c r="DR366" s="577"/>
      <c r="DS366" s="597"/>
      <c r="DT366" s="577"/>
      <c r="DU366" s="597"/>
      <c r="DV366" s="577"/>
      <c r="DW366" s="597"/>
      <c r="DX366" s="577"/>
      <c r="DY366" s="597"/>
      <c r="DZ366" s="577"/>
      <c r="EA366" s="597"/>
      <c r="EB366" s="577"/>
      <c r="EC366" s="597"/>
      <c r="ED366" s="577"/>
      <c r="EE366" s="597"/>
      <c r="EF366" s="577"/>
      <c r="EG366" s="597"/>
      <c r="EH366" s="577"/>
      <c r="EI366" s="597"/>
      <c r="EJ366" s="577"/>
      <c r="EK366" s="597"/>
      <c r="EL366" s="577"/>
      <c r="EM366" s="577"/>
    </row>
    <row r="367" spans="1:143" ht="12.75" hidden="1" customHeight="1" outlineLevel="2" x14ac:dyDescent="0.2">
      <c r="A367" s="622"/>
      <c r="B367" s="605"/>
      <c r="C367" s="555"/>
      <c r="D367" s="605"/>
      <c r="E367" s="555"/>
      <c r="F367" s="605"/>
      <c r="G367" s="555"/>
      <c r="H367" s="605"/>
      <c r="I367" s="555"/>
      <c r="J367" s="605"/>
      <c r="K367" s="555"/>
      <c r="L367" s="605"/>
      <c r="M367" s="555"/>
      <c r="N367" s="605"/>
      <c r="O367" s="555"/>
      <c r="P367" s="605"/>
      <c r="Q367" s="555"/>
      <c r="R367" s="605"/>
      <c r="S367" s="555"/>
      <c r="T367" s="605"/>
      <c r="U367" s="555"/>
      <c r="V367" s="605"/>
      <c r="W367" s="555"/>
      <c r="X367" s="605"/>
      <c r="Y367" s="555"/>
      <c r="Z367" s="605"/>
      <c r="AA367" s="555"/>
      <c r="AB367" s="605"/>
      <c r="AC367" s="555"/>
      <c r="AD367" s="605"/>
      <c r="AE367" s="555"/>
      <c r="AF367" s="605"/>
      <c r="AG367" s="555"/>
      <c r="AH367" s="605"/>
      <c r="AI367" s="555"/>
      <c r="AJ367" s="605"/>
      <c r="AK367" s="555"/>
      <c r="AL367" s="605"/>
      <c r="AM367" s="555"/>
      <c r="AN367" s="605"/>
      <c r="AO367" s="555"/>
      <c r="AP367" s="605"/>
      <c r="AQ367" s="555"/>
      <c r="AR367" s="605"/>
      <c r="AS367" s="555"/>
      <c r="AT367" s="605"/>
      <c r="AU367" s="555"/>
      <c r="AV367" s="605"/>
      <c r="AW367" s="555"/>
      <c r="AX367" s="605"/>
      <c r="AY367" s="555"/>
      <c r="AZ367" s="605"/>
      <c r="BA367" s="555"/>
      <c r="BB367" s="605"/>
      <c r="BC367" s="555"/>
      <c r="BD367" s="605"/>
      <c r="BE367" s="555"/>
      <c r="BF367" s="605"/>
      <c r="BG367" s="555"/>
      <c r="BH367" s="605"/>
      <c r="BI367" s="555"/>
      <c r="BJ367" s="605"/>
      <c r="BK367" s="555"/>
      <c r="BL367" s="605"/>
      <c r="BM367" s="555"/>
      <c r="BN367" s="605"/>
      <c r="BO367" s="555"/>
      <c r="BP367" s="605"/>
      <c r="BQ367" s="555"/>
      <c r="BR367" s="605"/>
      <c r="BS367" s="555"/>
      <c r="BT367" s="605"/>
      <c r="BU367" s="555"/>
      <c r="BV367" s="605"/>
      <c r="BW367" s="555"/>
      <c r="BX367" s="605"/>
      <c r="BY367" s="555"/>
      <c r="BZ367" s="605"/>
      <c r="CA367" s="555"/>
      <c r="CB367" s="605"/>
      <c r="CC367" s="555"/>
      <c r="CD367" s="605"/>
      <c r="CE367" s="555"/>
      <c r="CF367" s="605"/>
      <c r="CG367" s="555"/>
      <c r="CH367" s="605"/>
      <c r="CI367" s="555"/>
      <c r="CJ367" s="605"/>
      <c r="CK367" s="555"/>
      <c r="CL367" s="605"/>
      <c r="CM367" s="555"/>
      <c r="CN367" s="605"/>
      <c r="CO367" s="555"/>
      <c r="CP367" s="605"/>
      <c r="CQ367" s="555"/>
      <c r="CR367" s="605"/>
      <c r="CS367" s="555"/>
      <c r="CT367" s="605"/>
      <c r="CU367" s="555"/>
      <c r="CV367" s="605"/>
      <c r="CW367" s="555"/>
      <c r="CX367" s="605"/>
      <c r="CY367" s="555"/>
      <c r="CZ367" s="605"/>
      <c r="DA367" s="555"/>
      <c r="DB367" s="605"/>
      <c r="DC367" s="605"/>
      <c r="DD367" s="555"/>
      <c r="DE367" s="605"/>
      <c r="DF367" s="555"/>
      <c r="DG367" s="605"/>
      <c r="DH367" s="555"/>
      <c r="DI367" s="605"/>
      <c r="DJ367" s="555"/>
      <c r="DK367" s="605"/>
      <c r="DL367" s="555"/>
      <c r="DM367" s="605"/>
      <c r="DN367" s="555"/>
      <c r="DO367" s="605"/>
      <c r="DP367" s="555"/>
      <c r="DQ367" s="605"/>
      <c r="DR367" s="555"/>
      <c r="DS367" s="605"/>
      <c r="DT367" s="555"/>
      <c r="DU367" s="605"/>
      <c r="DV367" s="555"/>
      <c r="DW367" s="605"/>
      <c r="DX367" s="555"/>
      <c r="DY367" s="605"/>
      <c r="DZ367" s="555"/>
      <c r="EA367" s="605"/>
      <c r="EB367" s="555"/>
      <c r="EC367" s="605"/>
      <c r="ED367" s="555"/>
      <c r="EE367" s="605"/>
      <c r="EF367" s="555"/>
      <c r="EG367" s="605"/>
      <c r="EH367" s="555"/>
      <c r="EI367" s="605"/>
      <c r="EJ367" s="555"/>
      <c r="EK367" s="605"/>
      <c r="EL367" s="555"/>
      <c r="EM367" s="555"/>
    </row>
    <row r="368" spans="1:143" ht="12.75" hidden="1" customHeight="1" outlineLevel="2" x14ac:dyDescent="0.2">
      <c r="A368" s="599" t="s">
        <v>507</v>
      </c>
      <c r="B368" s="610"/>
      <c r="C368" s="555"/>
      <c r="D368" s="610"/>
      <c r="E368" s="555"/>
      <c r="F368" s="610"/>
      <c r="G368" s="555"/>
      <c r="H368" s="610"/>
      <c r="I368" s="555"/>
      <c r="J368" s="610"/>
      <c r="K368" s="555"/>
      <c r="L368" s="610"/>
      <c r="M368" s="555"/>
      <c r="N368" s="610"/>
      <c r="O368" s="555"/>
      <c r="P368" s="610"/>
      <c r="Q368" s="555"/>
      <c r="R368" s="610"/>
      <c r="S368" s="555"/>
      <c r="T368" s="610"/>
      <c r="U368" s="555"/>
      <c r="V368" s="610"/>
      <c r="W368" s="555"/>
      <c r="X368" s="610"/>
      <c r="Y368" s="555"/>
      <c r="Z368" s="610"/>
      <c r="AA368" s="555"/>
      <c r="AB368" s="610"/>
      <c r="AC368" s="555"/>
      <c r="AD368" s="610"/>
      <c r="AE368" s="555"/>
      <c r="AF368" s="610"/>
      <c r="AG368" s="555"/>
      <c r="AH368" s="610"/>
      <c r="AI368" s="555"/>
      <c r="AJ368" s="610"/>
      <c r="AK368" s="555"/>
      <c r="AL368" s="610"/>
      <c r="AM368" s="555"/>
      <c r="AN368" s="610"/>
      <c r="AO368" s="555"/>
      <c r="AP368" s="610"/>
      <c r="AQ368" s="555"/>
      <c r="AR368" s="610"/>
      <c r="AS368" s="555"/>
      <c r="AT368" s="610"/>
      <c r="AU368" s="555"/>
      <c r="AV368" s="610"/>
      <c r="AW368" s="555"/>
      <c r="AX368" s="610"/>
      <c r="AY368" s="555"/>
      <c r="AZ368" s="610"/>
      <c r="BA368" s="555"/>
      <c r="BB368" s="610"/>
      <c r="BC368" s="555"/>
      <c r="BD368" s="610"/>
      <c r="BE368" s="555"/>
      <c r="BF368" s="610"/>
      <c r="BG368" s="555"/>
      <c r="BH368" s="610"/>
      <c r="BI368" s="555"/>
      <c r="BJ368" s="610"/>
      <c r="BK368" s="555"/>
      <c r="BL368" s="610"/>
      <c r="BM368" s="555"/>
      <c r="BN368" s="610"/>
      <c r="BO368" s="555"/>
      <c r="BP368" s="610"/>
      <c r="BQ368" s="555"/>
      <c r="BR368" s="610"/>
      <c r="BS368" s="555"/>
      <c r="BT368" s="610"/>
      <c r="BU368" s="555"/>
      <c r="BV368" s="610"/>
      <c r="BW368" s="555"/>
      <c r="BX368" s="610"/>
      <c r="BY368" s="555"/>
      <c r="BZ368" s="610"/>
      <c r="CA368" s="555"/>
      <c r="CB368" s="610"/>
      <c r="CC368" s="555"/>
      <c r="CD368" s="610"/>
      <c r="CE368" s="555"/>
      <c r="CF368" s="610"/>
      <c r="CG368" s="555"/>
      <c r="CH368" s="610"/>
      <c r="CI368" s="555"/>
      <c r="CJ368" s="610"/>
      <c r="CK368" s="555"/>
      <c r="CL368" s="610"/>
      <c r="CM368" s="555"/>
      <c r="CN368" s="610"/>
      <c r="CO368" s="555"/>
      <c r="CP368" s="610"/>
      <c r="CQ368" s="555"/>
      <c r="CR368" s="610"/>
      <c r="CS368" s="555"/>
      <c r="CT368" s="610"/>
      <c r="CU368" s="555"/>
      <c r="CV368" s="610"/>
      <c r="CW368" s="555"/>
      <c r="CX368" s="610"/>
      <c r="CY368" s="555"/>
      <c r="CZ368" s="610"/>
      <c r="DA368" s="555"/>
      <c r="DB368" s="556"/>
      <c r="DC368" s="610"/>
      <c r="DD368" s="555"/>
      <c r="DE368" s="610"/>
      <c r="DF368" s="555"/>
      <c r="DG368" s="610"/>
      <c r="DH368" s="555"/>
      <c r="DI368" s="610"/>
      <c r="DJ368" s="555"/>
      <c r="DK368" s="610"/>
      <c r="DL368" s="555"/>
      <c r="DM368" s="610"/>
      <c r="DN368" s="555"/>
      <c r="DO368" s="610"/>
      <c r="DP368" s="555"/>
      <c r="DQ368" s="610"/>
      <c r="DR368" s="555"/>
      <c r="DS368" s="610"/>
      <c r="DT368" s="555"/>
      <c r="DU368" s="610"/>
      <c r="DV368" s="555"/>
      <c r="DW368" s="610"/>
      <c r="DX368" s="555"/>
      <c r="DY368" s="610"/>
      <c r="DZ368" s="555"/>
      <c r="EA368" s="610"/>
      <c r="EB368" s="555"/>
      <c r="EC368" s="610"/>
      <c r="ED368" s="555"/>
      <c r="EE368" s="610"/>
      <c r="EF368" s="555"/>
      <c r="EG368" s="610"/>
      <c r="EH368" s="555"/>
      <c r="EI368" s="610"/>
      <c r="EJ368" s="555"/>
      <c r="EK368" s="610"/>
      <c r="EL368" s="555"/>
      <c r="EM368" s="555"/>
    </row>
    <row r="369" spans="1:144" ht="12.75" hidden="1" customHeight="1" outlineLevel="2" x14ac:dyDescent="0.2">
      <c r="A369" s="599" t="s">
        <v>101</v>
      </c>
      <c r="B369" s="610"/>
      <c r="C369" s="555"/>
      <c r="D369" s="610"/>
      <c r="E369" s="555"/>
      <c r="F369" s="610"/>
      <c r="G369" s="555"/>
      <c r="H369" s="610"/>
      <c r="I369" s="555"/>
      <c r="J369" s="610"/>
      <c r="K369" s="555"/>
      <c r="L369" s="610"/>
      <c r="M369" s="555"/>
      <c r="N369" s="610"/>
      <c r="O369" s="555"/>
      <c r="P369" s="610"/>
      <c r="Q369" s="555"/>
      <c r="R369" s="610"/>
      <c r="S369" s="555"/>
      <c r="T369" s="610"/>
      <c r="U369" s="555"/>
      <c r="V369" s="610"/>
      <c r="W369" s="555"/>
      <c r="X369" s="610"/>
      <c r="Y369" s="555"/>
      <c r="Z369" s="610"/>
      <c r="AA369" s="555"/>
      <c r="AB369" s="610"/>
      <c r="AC369" s="555"/>
      <c r="AD369" s="610"/>
      <c r="AE369" s="555"/>
      <c r="AF369" s="610"/>
      <c r="AG369" s="555"/>
      <c r="AH369" s="610"/>
      <c r="AI369" s="555"/>
      <c r="AJ369" s="610"/>
      <c r="AK369" s="555"/>
      <c r="AL369" s="610"/>
      <c r="AM369" s="555"/>
      <c r="AN369" s="610"/>
      <c r="AO369" s="555"/>
      <c r="AP369" s="610"/>
      <c r="AQ369" s="555"/>
      <c r="AR369" s="610"/>
      <c r="AS369" s="555"/>
      <c r="AT369" s="610"/>
      <c r="AU369" s="555"/>
      <c r="AV369" s="610"/>
      <c r="AW369" s="555"/>
      <c r="AX369" s="610"/>
      <c r="AY369" s="555"/>
      <c r="AZ369" s="610"/>
      <c r="BA369" s="555"/>
      <c r="BB369" s="610"/>
      <c r="BC369" s="555"/>
      <c r="BD369" s="610"/>
      <c r="BE369" s="555"/>
      <c r="BF369" s="610"/>
      <c r="BG369" s="555"/>
      <c r="BH369" s="610"/>
      <c r="BI369" s="555"/>
      <c r="BJ369" s="610"/>
      <c r="BK369" s="555"/>
      <c r="BL369" s="610"/>
      <c r="BM369" s="555"/>
      <c r="BN369" s="610"/>
      <c r="BO369" s="555"/>
      <c r="BP369" s="610"/>
      <c r="BQ369" s="555"/>
      <c r="BR369" s="610"/>
      <c r="BS369" s="555"/>
      <c r="BT369" s="610"/>
      <c r="BU369" s="555"/>
      <c r="BV369" s="610"/>
      <c r="BW369" s="555"/>
      <c r="BX369" s="610"/>
      <c r="BY369" s="555"/>
      <c r="BZ369" s="610"/>
      <c r="CA369" s="555"/>
      <c r="CB369" s="610"/>
      <c r="CC369" s="555"/>
      <c r="CD369" s="610"/>
      <c r="CE369" s="555"/>
      <c r="CF369" s="610"/>
      <c r="CG369" s="555"/>
      <c r="CH369" s="610"/>
      <c r="CI369" s="555"/>
      <c r="CJ369" s="610"/>
      <c r="CK369" s="555"/>
      <c r="CL369" s="610"/>
      <c r="CM369" s="555"/>
      <c r="CN369" s="610"/>
      <c r="CO369" s="555"/>
      <c r="CP369" s="610"/>
      <c r="CQ369" s="555"/>
      <c r="CR369" s="610"/>
      <c r="CS369" s="555"/>
      <c r="CT369" s="610"/>
      <c r="CU369" s="555"/>
      <c r="CV369" s="610"/>
      <c r="CW369" s="555"/>
      <c r="CX369" s="610"/>
      <c r="CY369" s="555"/>
      <c r="CZ369" s="610"/>
      <c r="DA369" s="555"/>
      <c r="DB369" s="556"/>
      <c r="DC369" s="610"/>
      <c r="DD369" s="555"/>
      <c r="DE369" s="610"/>
      <c r="DF369" s="555"/>
      <c r="DG369" s="610"/>
      <c r="DH369" s="555"/>
      <c r="DI369" s="610"/>
      <c r="DJ369" s="555"/>
      <c r="DK369" s="610"/>
      <c r="DL369" s="555"/>
      <c r="DM369" s="610"/>
      <c r="DN369" s="555"/>
      <c r="DO369" s="610"/>
      <c r="DP369" s="555"/>
      <c r="DQ369" s="610"/>
      <c r="DR369" s="555"/>
      <c r="DS369" s="610"/>
      <c r="DT369" s="555"/>
      <c r="DU369" s="610"/>
      <c r="DV369" s="555"/>
      <c r="DW369" s="610"/>
      <c r="DX369" s="555"/>
      <c r="DY369" s="610"/>
      <c r="DZ369" s="555"/>
      <c r="EA369" s="610"/>
      <c r="EB369" s="555"/>
      <c r="EC369" s="610"/>
      <c r="ED369" s="555"/>
      <c r="EE369" s="610"/>
      <c r="EF369" s="555"/>
      <c r="EG369" s="610"/>
      <c r="EH369" s="555"/>
      <c r="EI369" s="610"/>
      <c r="EJ369" s="555"/>
      <c r="EK369" s="610"/>
      <c r="EL369" s="555"/>
      <c r="EM369" s="555"/>
    </row>
    <row r="370" spans="1:144" ht="12.75" hidden="1" customHeight="1" outlineLevel="2" x14ac:dyDescent="0.2">
      <c r="A370" s="609"/>
      <c r="B370" s="610"/>
      <c r="C370" s="555"/>
      <c r="D370" s="610"/>
      <c r="E370" s="555"/>
      <c r="F370" s="610"/>
      <c r="G370" s="555"/>
      <c r="H370" s="610"/>
      <c r="I370" s="555"/>
      <c r="J370" s="610"/>
      <c r="K370" s="555"/>
      <c r="L370" s="610"/>
      <c r="M370" s="555"/>
      <c r="N370" s="610"/>
      <c r="O370" s="555"/>
      <c r="P370" s="610"/>
      <c r="Q370" s="555"/>
      <c r="R370" s="610"/>
      <c r="S370" s="555"/>
      <c r="T370" s="610"/>
      <c r="U370" s="555"/>
      <c r="V370" s="610"/>
      <c r="W370" s="555"/>
      <c r="X370" s="610"/>
      <c r="Y370" s="555"/>
      <c r="Z370" s="610"/>
      <c r="AA370" s="555"/>
      <c r="AB370" s="610"/>
      <c r="AC370" s="555"/>
      <c r="AD370" s="610"/>
      <c r="AE370" s="555"/>
      <c r="AF370" s="610"/>
      <c r="AG370" s="555"/>
      <c r="AH370" s="610"/>
      <c r="AI370" s="555"/>
      <c r="AJ370" s="610"/>
      <c r="AK370" s="555"/>
      <c r="AL370" s="610"/>
      <c r="AM370" s="555"/>
      <c r="AN370" s="610"/>
      <c r="AO370" s="555"/>
      <c r="AP370" s="610"/>
      <c r="AQ370" s="555"/>
      <c r="AR370" s="610"/>
      <c r="AS370" s="555"/>
      <c r="AT370" s="610"/>
      <c r="AU370" s="555"/>
      <c r="AV370" s="610"/>
      <c r="AW370" s="555"/>
      <c r="AX370" s="610"/>
      <c r="AY370" s="555"/>
      <c r="AZ370" s="610"/>
      <c r="BA370" s="555"/>
      <c r="BB370" s="610"/>
      <c r="BC370" s="555"/>
      <c r="BD370" s="610"/>
      <c r="BE370" s="555"/>
      <c r="BF370" s="610"/>
      <c r="BG370" s="555"/>
      <c r="BH370" s="610"/>
      <c r="BI370" s="555"/>
      <c r="BJ370" s="610"/>
      <c r="BK370" s="555"/>
      <c r="BL370" s="610"/>
      <c r="BM370" s="555"/>
      <c r="BN370" s="610"/>
      <c r="BO370" s="555"/>
      <c r="BP370" s="610"/>
      <c r="BQ370" s="555"/>
      <c r="BR370" s="610"/>
      <c r="BS370" s="555"/>
      <c r="BT370" s="610"/>
      <c r="BU370" s="555"/>
      <c r="BV370" s="610"/>
      <c r="BW370" s="555"/>
      <c r="BX370" s="610"/>
      <c r="BY370" s="555"/>
      <c r="BZ370" s="610"/>
      <c r="CA370" s="555"/>
      <c r="CB370" s="610"/>
      <c r="CC370" s="555"/>
      <c r="CD370" s="610"/>
      <c r="CE370" s="555"/>
      <c r="CF370" s="610"/>
      <c r="CG370" s="555"/>
      <c r="CH370" s="610"/>
      <c r="CI370" s="555"/>
      <c r="CJ370" s="610"/>
      <c r="CK370" s="555"/>
      <c r="CL370" s="610"/>
      <c r="CM370" s="555"/>
      <c r="CN370" s="610"/>
      <c r="CO370" s="555"/>
      <c r="CP370" s="610"/>
      <c r="CQ370" s="555"/>
      <c r="CR370" s="610"/>
      <c r="CS370" s="555"/>
      <c r="CT370" s="610"/>
      <c r="CU370" s="555"/>
      <c r="CV370" s="610"/>
      <c r="CW370" s="555"/>
      <c r="CX370" s="610"/>
      <c r="CY370" s="555"/>
      <c r="CZ370" s="610"/>
      <c r="DA370" s="555"/>
      <c r="DB370" s="556"/>
      <c r="DC370" s="610"/>
      <c r="DD370" s="555"/>
      <c r="DE370" s="610"/>
      <c r="DF370" s="555"/>
      <c r="DG370" s="610"/>
      <c r="DH370" s="555"/>
      <c r="DI370" s="610"/>
      <c r="DJ370" s="555"/>
      <c r="DK370" s="610"/>
      <c r="DL370" s="555"/>
      <c r="DM370" s="610"/>
      <c r="DN370" s="555"/>
      <c r="DO370" s="610"/>
      <c r="DP370" s="555"/>
      <c r="DQ370" s="610"/>
      <c r="DR370" s="555"/>
      <c r="DS370" s="610"/>
      <c r="DT370" s="555"/>
      <c r="DU370" s="610"/>
      <c r="DV370" s="555"/>
      <c r="DW370" s="610"/>
      <c r="DX370" s="555"/>
      <c r="DY370" s="610"/>
      <c r="DZ370" s="555"/>
      <c r="EA370" s="610"/>
      <c r="EB370" s="555"/>
      <c r="EC370" s="610"/>
      <c r="ED370" s="555"/>
      <c r="EE370" s="610"/>
      <c r="EF370" s="555"/>
      <c r="EG370" s="610"/>
      <c r="EH370" s="555"/>
      <c r="EI370" s="610"/>
      <c r="EJ370" s="555"/>
      <c r="EK370" s="610"/>
      <c r="EL370" s="555"/>
      <c r="EM370" s="555"/>
    </row>
    <row r="371" spans="1:144" ht="21.95" hidden="1" customHeight="1" outlineLevel="1" x14ac:dyDescent="0.25">
      <c r="A371" s="546" t="str">
        <f>$A$1</f>
        <v>Prudential Financial, Inc.</v>
      </c>
      <c r="B371" s="554"/>
      <c r="C371" s="555"/>
      <c r="D371" s="554"/>
      <c r="E371" s="555"/>
      <c r="F371" s="554"/>
      <c r="G371" s="555"/>
      <c r="H371" s="554"/>
      <c r="I371" s="555"/>
      <c r="J371" s="554"/>
      <c r="K371" s="555"/>
      <c r="L371" s="554"/>
      <c r="M371" s="555"/>
      <c r="N371" s="554"/>
      <c r="O371" s="555"/>
      <c r="P371" s="554"/>
      <c r="Q371" s="555"/>
      <c r="R371" s="554"/>
      <c r="S371" s="555"/>
      <c r="T371" s="554"/>
      <c r="U371" s="555"/>
      <c r="V371" s="554"/>
      <c r="W371" s="555"/>
      <c r="X371" s="554"/>
      <c r="Y371" s="555"/>
      <c r="Z371" s="554"/>
      <c r="AA371" s="555"/>
      <c r="AB371" s="554"/>
      <c r="AC371" s="555"/>
      <c r="AD371" s="554"/>
      <c r="AE371" s="555"/>
      <c r="AF371" s="554"/>
      <c r="AG371" s="555"/>
      <c r="AH371" s="554"/>
      <c r="AI371" s="555"/>
      <c r="AJ371" s="554"/>
      <c r="AK371" s="555"/>
      <c r="AL371" s="554"/>
      <c r="AM371" s="555"/>
      <c r="AN371" s="554"/>
      <c r="AO371" s="555"/>
      <c r="AP371" s="554"/>
      <c r="AQ371" s="555"/>
      <c r="AR371" s="554"/>
      <c r="AS371" s="555"/>
      <c r="AT371" s="554"/>
      <c r="AU371" s="555"/>
      <c r="AV371" s="554"/>
      <c r="AW371" s="555"/>
      <c r="AX371" s="554"/>
      <c r="AY371" s="555"/>
      <c r="AZ371" s="554"/>
      <c r="BA371" s="555"/>
      <c r="BB371" s="554"/>
      <c r="BC371" s="555"/>
      <c r="BD371" s="554"/>
      <c r="BE371" s="555"/>
      <c r="BF371" s="554"/>
      <c r="BG371" s="555"/>
      <c r="BH371" s="554"/>
      <c r="BI371" s="555"/>
      <c r="BJ371" s="554"/>
      <c r="BK371" s="555"/>
      <c r="BL371" s="554"/>
      <c r="BM371" s="555"/>
      <c r="BN371" s="554"/>
      <c r="BO371" s="555"/>
      <c r="BP371" s="554"/>
      <c r="BQ371" s="555"/>
      <c r="BR371" s="554"/>
      <c r="BS371" s="555"/>
      <c r="BT371" s="554"/>
      <c r="BU371" s="555"/>
      <c r="BV371" s="554"/>
      <c r="BW371" s="555"/>
      <c r="BX371" s="554"/>
      <c r="BY371" s="555"/>
      <c r="BZ371" s="554"/>
      <c r="CA371" s="555"/>
      <c r="CB371" s="554"/>
      <c r="CC371" s="555"/>
      <c r="CD371" s="554"/>
      <c r="CE371" s="555"/>
      <c r="CF371" s="554"/>
      <c r="CG371" s="555"/>
      <c r="CH371" s="554"/>
      <c r="CI371" s="555"/>
      <c r="CJ371" s="554"/>
      <c r="CK371" s="555"/>
      <c r="CL371" s="554"/>
      <c r="CM371" s="555"/>
      <c r="CN371" s="554"/>
      <c r="CO371" s="555"/>
      <c r="CP371" s="554"/>
      <c r="CQ371" s="555"/>
      <c r="CR371" s="554"/>
      <c r="CS371" s="555"/>
      <c r="CT371" s="554"/>
      <c r="CU371" s="555"/>
      <c r="CV371" s="554"/>
      <c r="CW371" s="555"/>
      <c r="CX371" s="554"/>
      <c r="CY371" s="555"/>
      <c r="CZ371" s="554"/>
      <c r="DA371" s="555"/>
      <c r="DB371" s="556"/>
      <c r="DC371" s="554"/>
      <c r="DD371" s="555"/>
      <c r="DE371" s="554"/>
      <c r="DF371" s="555"/>
      <c r="DG371" s="554"/>
      <c r="DH371" s="555"/>
      <c r="DI371" s="554"/>
      <c r="DJ371" s="555"/>
      <c r="DK371" s="554"/>
      <c r="DL371" s="555"/>
      <c r="DM371" s="554"/>
      <c r="DN371" s="555"/>
      <c r="DO371" s="554"/>
      <c r="DP371" s="555"/>
      <c r="DQ371" s="554"/>
      <c r="DR371" s="555"/>
      <c r="DS371" s="554"/>
      <c r="DT371" s="555"/>
      <c r="DU371" s="554"/>
      <c r="DV371" s="555"/>
      <c r="DW371" s="554"/>
      <c r="DX371" s="555"/>
      <c r="DY371" s="554"/>
      <c r="DZ371" s="555"/>
      <c r="EA371" s="554"/>
      <c r="EB371" s="555"/>
      <c r="EC371" s="554"/>
      <c r="ED371" s="555"/>
      <c r="EE371" s="554"/>
      <c r="EF371" s="555"/>
      <c r="EG371" s="554"/>
      <c r="EH371" s="555"/>
      <c r="EI371" s="554"/>
      <c r="EJ371" s="555"/>
      <c r="EK371" s="554"/>
      <c r="EL371" s="555"/>
      <c r="EM371" s="554"/>
    </row>
    <row r="372" spans="1:144" ht="12.75" hidden="1" customHeight="1" outlineLevel="1" x14ac:dyDescent="0.2">
      <c r="A372" s="557" t="s">
        <v>69</v>
      </c>
      <c r="B372" s="558"/>
      <c r="C372" s="559"/>
      <c r="D372" s="558"/>
      <c r="E372" s="559"/>
      <c r="F372" s="558"/>
      <c r="G372" s="559"/>
      <c r="H372" s="558"/>
      <c r="I372" s="559"/>
      <c r="J372" s="558"/>
      <c r="K372" s="559"/>
      <c r="L372" s="558"/>
      <c r="M372" s="559"/>
      <c r="N372" s="558"/>
      <c r="O372" s="559"/>
      <c r="P372" s="558"/>
      <c r="Q372" s="559"/>
      <c r="R372" s="558"/>
      <c r="S372" s="559"/>
      <c r="T372" s="558"/>
      <c r="U372" s="559"/>
      <c r="V372" s="558"/>
      <c r="W372" s="559"/>
      <c r="X372" s="558"/>
      <c r="Y372" s="559"/>
      <c r="Z372" s="558"/>
      <c r="AA372" s="559"/>
      <c r="AB372" s="558"/>
      <c r="AC372" s="559"/>
      <c r="AD372" s="558"/>
      <c r="AE372" s="559"/>
      <c r="AF372" s="558"/>
      <c r="AG372" s="559"/>
      <c r="AH372" s="558"/>
      <c r="AI372" s="559"/>
      <c r="AJ372" s="558"/>
      <c r="AK372" s="559"/>
      <c r="AL372" s="558"/>
      <c r="AM372" s="559"/>
      <c r="AN372" s="558"/>
      <c r="AO372" s="559"/>
      <c r="AP372" s="558"/>
      <c r="AQ372" s="559"/>
      <c r="AR372" s="558"/>
      <c r="AS372" s="559"/>
      <c r="AT372" s="558"/>
      <c r="AU372" s="559"/>
      <c r="AV372" s="558"/>
      <c r="AW372" s="559"/>
      <c r="AX372" s="558"/>
      <c r="AY372" s="559"/>
      <c r="AZ372" s="558"/>
      <c r="BA372" s="559"/>
      <c r="BB372" s="558"/>
      <c r="BC372" s="559"/>
      <c r="BD372" s="558"/>
      <c r="BE372" s="559"/>
      <c r="BF372" s="558"/>
      <c r="BG372" s="559"/>
      <c r="BH372" s="558"/>
      <c r="BI372" s="559"/>
      <c r="BJ372" s="558"/>
      <c r="BK372" s="559"/>
      <c r="BL372" s="558"/>
      <c r="BM372" s="559"/>
      <c r="BN372" s="558"/>
      <c r="BO372" s="559"/>
      <c r="BP372" s="558"/>
      <c r="BQ372" s="559"/>
      <c r="BR372" s="558"/>
      <c r="BS372" s="559"/>
      <c r="BT372" s="558"/>
      <c r="BU372" s="559"/>
      <c r="BV372" s="558"/>
      <c r="BW372" s="559"/>
      <c r="BX372" s="558"/>
      <c r="BY372" s="559"/>
      <c r="BZ372" s="558"/>
      <c r="CA372" s="559"/>
      <c r="CB372" s="558"/>
      <c r="CC372" s="559"/>
      <c r="CD372" s="558"/>
      <c r="CE372" s="559"/>
      <c r="CF372" s="558"/>
      <c r="CG372" s="559"/>
      <c r="CH372" s="558"/>
      <c r="CI372" s="559"/>
      <c r="CJ372" s="558"/>
      <c r="CK372" s="559"/>
      <c r="CL372" s="558"/>
      <c r="CM372" s="559"/>
      <c r="CN372" s="558"/>
      <c r="CO372" s="559"/>
      <c r="CP372" s="558"/>
      <c r="CQ372" s="559"/>
      <c r="CR372" s="558"/>
      <c r="CS372" s="559"/>
      <c r="CT372" s="558"/>
      <c r="CU372" s="559"/>
      <c r="CV372" s="558"/>
      <c r="CW372" s="559"/>
      <c r="CX372" s="558"/>
      <c r="CY372" s="559"/>
      <c r="CZ372" s="558"/>
      <c r="DA372" s="559"/>
      <c r="DB372" s="560"/>
      <c r="DC372" s="561"/>
      <c r="DD372" s="559"/>
      <c r="DE372" s="558"/>
      <c r="DF372" s="559"/>
      <c r="DG372" s="558"/>
      <c r="DH372" s="559"/>
      <c r="DI372" s="558"/>
      <c r="DJ372" s="559"/>
      <c r="DK372" s="558"/>
      <c r="DL372" s="559"/>
      <c r="DM372" s="558"/>
      <c r="DN372" s="559"/>
      <c r="DO372" s="558"/>
      <c r="DP372" s="559"/>
      <c r="DQ372" s="558"/>
      <c r="DR372" s="559"/>
      <c r="DS372" s="558"/>
      <c r="DT372" s="559"/>
      <c r="DU372" s="558"/>
      <c r="DV372" s="559"/>
      <c r="DW372" s="558"/>
      <c r="DX372" s="559"/>
      <c r="DY372" s="558"/>
      <c r="DZ372" s="559"/>
      <c r="EA372" s="558"/>
      <c r="EB372" s="559"/>
      <c r="EC372" s="558"/>
      <c r="ED372" s="559"/>
      <c r="EE372" s="558"/>
      <c r="EF372" s="559"/>
      <c r="EG372" s="558"/>
      <c r="EH372" s="559"/>
      <c r="EI372" s="558"/>
      <c r="EJ372" s="559"/>
      <c r="EK372" s="558"/>
      <c r="EL372" s="559"/>
      <c r="EM372" s="558"/>
    </row>
    <row r="373" spans="1:144" ht="12.75" hidden="1" customHeight="1" outlineLevel="1" x14ac:dyDescent="0.2">
      <c r="A373" s="548" t="str">
        <f>+A$3</f>
        <v>($Millions Except Per Share Data)</v>
      </c>
      <c r="B373" s="563"/>
      <c r="C373" s="564" t="str">
        <f>+C$3</f>
        <v>1Q06/</v>
      </c>
      <c r="D373" s="563"/>
      <c r="E373" s="564" t="str">
        <f>+E$3</f>
        <v>2Q06/</v>
      </c>
      <c r="F373" s="563"/>
      <c r="G373" s="564" t="str">
        <f>+G$3</f>
        <v>3Q06/</v>
      </c>
      <c r="H373" s="563"/>
      <c r="I373" s="564" t="str">
        <f>+I$3</f>
        <v>4Q06/</v>
      </c>
      <c r="J373" s="563"/>
      <c r="K373" s="564" t="str">
        <f>+K$3</f>
        <v>1Q07/</v>
      </c>
      <c r="L373" s="563"/>
      <c r="M373" s="564" t="str">
        <f>+M$3</f>
        <v>2Q07/</v>
      </c>
      <c r="N373" s="563"/>
      <c r="O373" s="564" t="str">
        <f>+O$3</f>
        <v>3Q07/</v>
      </c>
      <c r="P373" s="563"/>
      <c r="Q373" s="564" t="str">
        <f>+Q$3</f>
        <v>4Q07/</v>
      </c>
      <c r="R373" s="563"/>
      <c r="S373" s="564" t="str">
        <f>+S$3</f>
        <v>1Q08/</v>
      </c>
      <c r="T373" s="563"/>
      <c r="U373" s="564" t="str">
        <f>+U$3</f>
        <v>2Q08/</v>
      </c>
      <c r="V373" s="563"/>
      <c r="W373" s="564" t="str">
        <f>+W$3</f>
        <v>3Q08/</v>
      </c>
      <c r="X373" s="563"/>
      <c r="Y373" s="564" t="str">
        <f>+Y$3</f>
        <v>4Q08/</v>
      </c>
      <c r="Z373" s="563"/>
      <c r="AA373" s="564" t="str">
        <f>+AA$3</f>
        <v>1Q09/</v>
      </c>
      <c r="AB373" s="563"/>
      <c r="AC373" s="564" t="str">
        <f>+AC$3</f>
        <v>2Q09/</v>
      </c>
      <c r="AD373" s="563"/>
      <c r="AE373" s="564" t="str">
        <f>+AE$3</f>
        <v>3Q09/</v>
      </c>
      <c r="AF373" s="563"/>
      <c r="AG373" s="564" t="str">
        <f>+AG$3</f>
        <v>4Q09/</v>
      </c>
      <c r="AH373" s="563"/>
      <c r="AI373" s="564" t="str">
        <f>+AI$3</f>
        <v>1Q10/</v>
      </c>
      <c r="AJ373" s="563"/>
      <c r="AK373" s="564" t="str">
        <f>+AK$3</f>
        <v>2Q10/</v>
      </c>
      <c r="AL373" s="563"/>
      <c r="AM373" s="564" t="str">
        <f>+AM$3</f>
        <v>3Q10/</v>
      </c>
      <c r="AN373" s="563"/>
      <c r="AO373" s="564" t="str">
        <f>+AO$3</f>
        <v>4Q10/</v>
      </c>
      <c r="AP373" s="563"/>
      <c r="AQ373" s="564" t="str">
        <f>+AQ$3</f>
        <v>1Q11/</v>
      </c>
      <c r="AR373" s="563"/>
      <c r="AS373" s="564" t="str">
        <f>+AS$3</f>
        <v>2Q11/</v>
      </c>
      <c r="AT373" s="563"/>
      <c r="AU373" s="564" t="str">
        <f>+AU$3</f>
        <v>3Q11/</v>
      </c>
      <c r="AV373" s="563"/>
      <c r="AW373" s="564" t="str">
        <f>+AW$3</f>
        <v>4Q11/</v>
      </c>
      <c r="AX373" s="563"/>
      <c r="AY373" s="564" t="str">
        <f>+AY$3</f>
        <v>1Q12/</v>
      </c>
      <c r="AZ373" s="563"/>
      <c r="BA373" s="564" t="str">
        <f>+BA$3</f>
        <v>2Q12/</v>
      </c>
      <c r="BB373" s="563"/>
      <c r="BC373" s="564" t="str">
        <f>+BC$3</f>
        <v>3Q12/</v>
      </c>
      <c r="BD373" s="563"/>
      <c r="BE373" s="564" t="str">
        <f>+BE$3</f>
        <v>4Q12/</v>
      </c>
      <c r="BF373" s="563"/>
      <c r="BG373" s="564" t="str">
        <f>+BG$3</f>
        <v>1Q13/</v>
      </c>
      <c r="BH373" s="563"/>
      <c r="BI373" s="564" t="str">
        <f>+BI$3</f>
        <v>2Q13/</v>
      </c>
      <c r="BJ373" s="563"/>
      <c r="BK373" s="564" t="str">
        <f>+BK$3</f>
        <v>3Q13/</v>
      </c>
      <c r="BL373" s="563"/>
      <c r="BM373" s="564" t="str">
        <f>+BM$3</f>
        <v>4Q13/</v>
      </c>
      <c r="BN373" s="563"/>
      <c r="BO373" s="564" t="str">
        <f>+BO$3</f>
        <v>1Q14/</v>
      </c>
      <c r="BP373" s="563"/>
      <c r="BQ373" s="564" t="str">
        <f>+BQ$3</f>
        <v>2Q14/</v>
      </c>
      <c r="BR373" s="563"/>
      <c r="BS373" s="564" t="str">
        <f>+BS$3</f>
        <v>3Q14/</v>
      </c>
      <c r="BT373" s="563"/>
      <c r="BU373" s="564" t="str">
        <f>+BU$3</f>
        <v>4Q14/</v>
      </c>
      <c r="BV373" s="563"/>
      <c r="BW373" s="564" t="str">
        <f>+BW$3</f>
        <v>1Q15/</v>
      </c>
      <c r="BX373" s="563"/>
      <c r="BY373" s="564" t="str">
        <f>+BY$3</f>
        <v>2Q15/</v>
      </c>
      <c r="BZ373" s="563"/>
      <c r="CA373" s="564" t="str">
        <f>+CA$3</f>
        <v>3Q15/</v>
      </c>
      <c r="CB373" s="563"/>
      <c r="CC373" s="564" t="str">
        <f>+CC$3</f>
        <v>4Q15/</v>
      </c>
      <c r="CD373" s="563"/>
      <c r="CE373" s="564" t="str">
        <f>+CE$3</f>
        <v>1Q16/</v>
      </c>
      <c r="CF373" s="563"/>
      <c r="CG373" s="564" t="str">
        <f>+CG$3</f>
        <v>2Q16/</v>
      </c>
      <c r="CH373" s="563"/>
      <c r="CI373" s="564" t="str">
        <f>+CI$3</f>
        <v>3Q16/</v>
      </c>
      <c r="CJ373" s="563"/>
      <c r="CK373" s="564" t="str">
        <f>+CK$3</f>
        <v>4Q16/</v>
      </c>
      <c r="CL373" s="563"/>
      <c r="CM373" s="564" t="str">
        <f>+CM$3</f>
        <v>1Q17/</v>
      </c>
      <c r="CN373" s="563"/>
      <c r="CO373" s="564" t="str">
        <f>+CO$3</f>
        <v>2Q17/</v>
      </c>
      <c r="CP373" s="563"/>
      <c r="CQ373" s="564" t="str">
        <f>+CQ$3</f>
        <v>3Q17/</v>
      </c>
      <c r="CR373" s="563"/>
      <c r="CS373" s="564" t="str">
        <f>+CS$3</f>
        <v>4Q17/</v>
      </c>
      <c r="CT373" s="563"/>
      <c r="CU373" s="564" t="str">
        <f>+CU$3</f>
        <v>1Q18E/</v>
      </c>
      <c r="CV373" s="563"/>
      <c r="CW373" s="564" t="str">
        <f>+CW$3</f>
        <v>2Q18E/</v>
      </c>
      <c r="CX373" s="563"/>
      <c r="CY373" s="564" t="str">
        <f>+CY$3</f>
        <v>3Q18E/</v>
      </c>
      <c r="CZ373" s="563"/>
      <c r="DA373" s="564" t="str">
        <f>+DA$3</f>
        <v>4Q18E/</v>
      </c>
      <c r="DB373" s="565"/>
      <c r="DC373" s="563"/>
      <c r="DD373" s="564" t="str">
        <f>+DD$3</f>
        <v>2005/</v>
      </c>
      <c r="DE373" s="563"/>
      <c r="DF373" s="564" t="str">
        <f>+DF$3</f>
        <v>2006/</v>
      </c>
      <c r="DG373" s="563"/>
      <c r="DH373" s="564" t="str">
        <f>+DH$3</f>
        <v>2007/</v>
      </c>
      <c r="DI373" s="563"/>
      <c r="DJ373" s="564" t="str">
        <f>+DJ$3</f>
        <v>2008/</v>
      </c>
      <c r="DK373" s="563"/>
      <c r="DL373" s="564" t="str">
        <f>+DL$3</f>
        <v>2009/</v>
      </c>
      <c r="DM373" s="563"/>
      <c r="DN373" s="564" t="str">
        <f>+DN$3</f>
        <v>2010/</v>
      </c>
      <c r="DO373" s="563"/>
      <c r="DP373" s="564" t="str">
        <f>+DP$3</f>
        <v>2011/</v>
      </c>
      <c r="DQ373" s="563"/>
      <c r="DR373" s="564" t="str">
        <f>+DR$3</f>
        <v>2012/</v>
      </c>
      <c r="DS373" s="563"/>
      <c r="DT373" s="564" t="str">
        <f>+DT$3</f>
        <v>2013/</v>
      </c>
      <c r="DU373" s="563"/>
      <c r="DV373" s="564" t="str">
        <f>+DV$3</f>
        <v>2014/</v>
      </c>
      <c r="DW373" s="563"/>
      <c r="DX373" s="564" t="str">
        <f>+DX$3</f>
        <v>2015/</v>
      </c>
      <c r="DY373" s="563"/>
      <c r="DZ373" s="564" t="str">
        <f>+DZ$3</f>
        <v>2016/</v>
      </c>
      <c r="EA373" s="563"/>
      <c r="EB373" s="564" t="str">
        <f>+EB$3</f>
        <v>2017/</v>
      </c>
      <c r="EC373" s="563"/>
      <c r="ED373" s="564" t="str">
        <f>+ED$3</f>
        <v>2018E/</v>
      </c>
      <c r="EE373" s="563"/>
      <c r="EF373" s="564" t="str">
        <f>+EF$3</f>
        <v>2019E/</v>
      </c>
      <c r="EG373" s="563"/>
      <c r="EH373" s="564" t="str">
        <f>+EH$3</f>
        <v>2020E/</v>
      </c>
      <c r="EI373" s="563"/>
      <c r="EJ373" s="564" t="str">
        <f>+EJ$3</f>
        <v>2021E/</v>
      </c>
      <c r="EK373" s="563"/>
      <c r="EL373" s="564" t="str">
        <f>+EL$3</f>
        <v>2022E/</v>
      </c>
      <c r="EM373" s="566" t="str">
        <f>+EM$3</f>
        <v>5-Yr</v>
      </c>
      <c r="EN373" s="549"/>
    </row>
    <row r="374" spans="1:144" ht="12.75" hidden="1" customHeight="1" outlineLevel="1" x14ac:dyDescent="0.2">
      <c r="A374" s="567"/>
      <c r="B374" s="568"/>
      <c r="C374" s="559" t="str">
        <f>+C$4</f>
        <v>1Q05</v>
      </c>
      <c r="D374" s="568"/>
      <c r="E374" s="559" t="str">
        <f>+E$4</f>
        <v>2Q05</v>
      </c>
      <c r="F374" s="568"/>
      <c r="G374" s="559" t="str">
        <f>+G$4</f>
        <v>3Q05</v>
      </c>
      <c r="H374" s="568"/>
      <c r="I374" s="559" t="str">
        <f>+I$4</f>
        <v>4Q05</v>
      </c>
      <c r="J374" s="568"/>
      <c r="K374" s="559" t="str">
        <f>+K$4</f>
        <v>1Q06</v>
      </c>
      <c r="L374" s="568"/>
      <c r="M374" s="559" t="str">
        <f>+M$4</f>
        <v>2Q06</v>
      </c>
      <c r="N374" s="568"/>
      <c r="O374" s="559" t="str">
        <f>+O$4</f>
        <v>3Q06</v>
      </c>
      <c r="P374" s="568"/>
      <c r="Q374" s="559" t="str">
        <f>+Q$4</f>
        <v>4Q06</v>
      </c>
      <c r="R374" s="568"/>
      <c r="S374" s="559" t="str">
        <f>+S$4</f>
        <v>1Q07</v>
      </c>
      <c r="T374" s="568"/>
      <c r="U374" s="559" t="str">
        <f>+U$4</f>
        <v>2Q07</v>
      </c>
      <c r="V374" s="568"/>
      <c r="W374" s="559" t="str">
        <f>+W$4</f>
        <v>3Q07</v>
      </c>
      <c r="X374" s="568"/>
      <c r="Y374" s="559" t="str">
        <f>+Y$4</f>
        <v>4Q07</v>
      </c>
      <c r="Z374" s="568"/>
      <c r="AA374" s="559" t="str">
        <f>+AA$4</f>
        <v>1Q08</v>
      </c>
      <c r="AB374" s="568"/>
      <c r="AC374" s="559" t="str">
        <f>+AC$4</f>
        <v>2Q08</v>
      </c>
      <c r="AD374" s="568"/>
      <c r="AE374" s="559" t="str">
        <f>+AE$4</f>
        <v>3Q08</v>
      </c>
      <c r="AF374" s="568"/>
      <c r="AG374" s="559" t="str">
        <f>+AG$4</f>
        <v>4Q08</v>
      </c>
      <c r="AH374" s="568"/>
      <c r="AI374" s="559" t="str">
        <f>+AI$4</f>
        <v>1Q09</v>
      </c>
      <c r="AJ374" s="568"/>
      <c r="AK374" s="559" t="str">
        <f>+AK$4</f>
        <v>2Q09</v>
      </c>
      <c r="AL374" s="568"/>
      <c r="AM374" s="559" t="str">
        <f>+AM$4</f>
        <v>3Q09</v>
      </c>
      <c r="AN374" s="568"/>
      <c r="AO374" s="559" t="str">
        <f>+AO$4</f>
        <v>4Q09</v>
      </c>
      <c r="AP374" s="568"/>
      <c r="AQ374" s="559" t="str">
        <f>+AQ$4</f>
        <v>1Q10</v>
      </c>
      <c r="AR374" s="568"/>
      <c r="AS374" s="559" t="str">
        <f>+AS$4</f>
        <v>2Q10</v>
      </c>
      <c r="AT374" s="568"/>
      <c r="AU374" s="559" t="str">
        <f>+AU$4</f>
        <v>3Q10</v>
      </c>
      <c r="AV374" s="568"/>
      <c r="AW374" s="559" t="str">
        <f>+AW$4</f>
        <v>4Q10</v>
      </c>
      <c r="AX374" s="568"/>
      <c r="AY374" s="559" t="str">
        <f>+AY$4</f>
        <v>1Q11</v>
      </c>
      <c r="AZ374" s="568"/>
      <c r="BA374" s="559" t="str">
        <f>+BA$4</f>
        <v>2Q11</v>
      </c>
      <c r="BB374" s="568"/>
      <c r="BC374" s="559" t="str">
        <f>+BC$4</f>
        <v>3Q11</v>
      </c>
      <c r="BD374" s="568"/>
      <c r="BE374" s="559" t="str">
        <f>+BE$4</f>
        <v>4Q11</v>
      </c>
      <c r="BF374" s="568"/>
      <c r="BG374" s="559" t="str">
        <f>+BG$4</f>
        <v>1Q12</v>
      </c>
      <c r="BH374" s="568"/>
      <c r="BI374" s="559" t="str">
        <f>+BI$4</f>
        <v>2Q12</v>
      </c>
      <c r="BJ374" s="568"/>
      <c r="BK374" s="559" t="str">
        <f>+BK$4</f>
        <v>3Q12</v>
      </c>
      <c r="BL374" s="568"/>
      <c r="BM374" s="559" t="str">
        <f>+BM$4</f>
        <v>4Q12</v>
      </c>
      <c r="BN374" s="568"/>
      <c r="BO374" s="559" t="str">
        <f>+BO$4</f>
        <v>1Q13</v>
      </c>
      <c r="BP374" s="568"/>
      <c r="BQ374" s="559" t="str">
        <f>+BQ$4</f>
        <v>2Q13</v>
      </c>
      <c r="BR374" s="568"/>
      <c r="BS374" s="559" t="str">
        <f>+BS$4</f>
        <v>3Q13</v>
      </c>
      <c r="BT374" s="568"/>
      <c r="BU374" s="559" t="str">
        <f>+BU$4</f>
        <v>4Q13</v>
      </c>
      <c r="BV374" s="568"/>
      <c r="BW374" s="559" t="str">
        <f>+BW$4</f>
        <v>1Q14</v>
      </c>
      <c r="BX374" s="568"/>
      <c r="BY374" s="559" t="str">
        <f>+BY$4</f>
        <v>2Q14</v>
      </c>
      <c r="BZ374" s="568"/>
      <c r="CA374" s="559" t="str">
        <f>+CA$4</f>
        <v>3Q14</v>
      </c>
      <c r="CB374" s="568"/>
      <c r="CC374" s="559" t="str">
        <f>+CC$4</f>
        <v>4Q14</v>
      </c>
      <c r="CD374" s="568"/>
      <c r="CE374" s="559" t="str">
        <f>+CE$4</f>
        <v>1Q15</v>
      </c>
      <c r="CF374" s="568"/>
      <c r="CG374" s="559" t="str">
        <f>+CG$4</f>
        <v>2Q15</v>
      </c>
      <c r="CH374" s="568"/>
      <c r="CI374" s="559" t="str">
        <f>+CI$4</f>
        <v>3Q15</v>
      </c>
      <c r="CJ374" s="568"/>
      <c r="CK374" s="559" t="str">
        <f>+CK$4</f>
        <v>4Q15</v>
      </c>
      <c r="CL374" s="568"/>
      <c r="CM374" s="559" t="str">
        <f>+CM$4</f>
        <v>1Q16</v>
      </c>
      <c r="CN374" s="568"/>
      <c r="CO374" s="559" t="str">
        <f>+CO$4</f>
        <v>2Q16</v>
      </c>
      <c r="CP374" s="568"/>
      <c r="CQ374" s="559" t="str">
        <f>+CQ$4</f>
        <v>3Q16</v>
      </c>
      <c r="CR374" s="568"/>
      <c r="CS374" s="559" t="str">
        <f>+CS$4</f>
        <v>4Q16</v>
      </c>
      <c r="CT374" s="568"/>
      <c r="CU374" s="559" t="str">
        <f>+CU$4</f>
        <v>1Q17</v>
      </c>
      <c r="CV374" s="568"/>
      <c r="CW374" s="559" t="str">
        <f>+CW$4</f>
        <v>2Q17</v>
      </c>
      <c r="CX374" s="568"/>
      <c r="CY374" s="559" t="str">
        <f>+CY$4</f>
        <v>3Q17</v>
      </c>
      <c r="CZ374" s="568"/>
      <c r="DA374" s="559" t="str">
        <f>+DA$4</f>
        <v>4Q17</v>
      </c>
      <c r="DB374" s="560"/>
      <c r="DC374" s="568"/>
      <c r="DD374" s="568">
        <f>+DD$4</f>
        <v>2004</v>
      </c>
      <c r="DE374" s="568"/>
      <c r="DF374" s="559" t="str">
        <f>+DF$4</f>
        <v>2005</v>
      </c>
      <c r="DG374" s="568"/>
      <c r="DH374" s="559" t="str">
        <f>+DH$4</f>
        <v>2006</v>
      </c>
      <c r="DI374" s="568"/>
      <c r="DJ374" s="569">
        <f>+DJ$4</f>
        <v>2007</v>
      </c>
      <c r="DK374" s="568"/>
      <c r="DL374" s="559" t="str">
        <f>+DL$4</f>
        <v>2008</v>
      </c>
      <c r="DM374" s="568"/>
      <c r="DN374" s="559" t="str">
        <f>+DN$4</f>
        <v>2009</v>
      </c>
      <c r="DO374" s="568"/>
      <c r="DP374" s="559" t="str">
        <f>+DP$4</f>
        <v>2010</v>
      </c>
      <c r="DQ374" s="568"/>
      <c r="DR374" s="559" t="str">
        <f>+DR$4</f>
        <v>2011</v>
      </c>
      <c r="DS374" s="568"/>
      <c r="DT374" s="559" t="str">
        <f>+DT$4</f>
        <v>2012</v>
      </c>
      <c r="DU374" s="568"/>
      <c r="DV374" s="559" t="str">
        <f>+DV$4</f>
        <v>2013</v>
      </c>
      <c r="DW374" s="568"/>
      <c r="DX374" s="559">
        <f>+DX$4</f>
        <v>2014</v>
      </c>
      <c r="DY374" s="568"/>
      <c r="DZ374" s="559" t="str">
        <f>+DZ$4</f>
        <v>2015</v>
      </c>
      <c r="EA374" s="568"/>
      <c r="EB374" s="559">
        <f>+EB$4</f>
        <v>2016</v>
      </c>
      <c r="EC374" s="568"/>
      <c r="ED374" s="559">
        <f>+ED$4</f>
        <v>2017</v>
      </c>
      <c r="EE374" s="568"/>
      <c r="EF374" s="559" t="str">
        <f>+EF$4</f>
        <v>2018E</v>
      </c>
      <c r="EG374" s="568"/>
      <c r="EH374" s="559" t="str">
        <f>+EH$4</f>
        <v>2019E</v>
      </c>
      <c r="EI374" s="568"/>
      <c r="EJ374" s="559" t="str">
        <f>+EJ$4</f>
        <v>2020E</v>
      </c>
      <c r="EK374" s="568"/>
      <c r="EL374" s="559" t="str">
        <f>+EL$4</f>
        <v>2021E</v>
      </c>
      <c r="EM374" s="558" t="str">
        <f>+EM$4</f>
        <v>CAGR</v>
      </c>
      <c r="EN374" s="549"/>
    </row>
    <row r="375" spans="1:144" ht="12.75" hidden="1" customHeight="1" outlineLevel="1" x14ac:dyDescent="0.2">
      <c r="A375" s="570"/>
      <c r="B375" s="571" t="str">
        <f t="shared" ref="B375:CL375" si="222">+B$5</f>
        <v>1Q06</v>
      </c>
      <c r="C375" s="572" t="str">
        <f t="shared" si="222"/>
        <v>% Chg</v>
      </c>
      <c r="D375" s="571" t="str">
        <f t="shared" si="222"/>
        <v>2Q06</v>
      </c>
      <c r="E375" s="572" t="str">
        <f t="shared" si="222"/>
        <v>% Chg</v>
      </c>
      <c r="F375" s="571" t="str">
        <f t="shared" si="222"/>
        <v>3Q06</v>
      </c>
      <c r="G375" s="572" t="str">
        <f t="shared" si="222"/>
        <v>% Chg</v>
      </c>
      <c r="H375" s="571" t="str">
        <f t="shared" si="222"/>
        <v>4Q06</v>
      </c>
      <c r="I375" s="572" t="str">
        <f t="shared" si="222"/>
        <v>% Chg</v>
      </c>
      <c r="J375" s="571" t="str">
        <f t="shared" si="222"/>
        <v>1Q07</v>
      </c>
      <c r="K375" s="572" t="str">
        <f t="shared" si="222"/>
        <v>% Chg</v>
      </c>
      <c r="L375" s="571" t="str">
        <f t="shared" si="222"/>
        <v>2Q07</v>
      </c>
      <c r="M375" s="572" t="str">
        <f t="shared" si="222"/>
        <v>% Chg</v>
      </c>
      <c r="N375" s="571" t="str">
        <f t="shared" si="222"/>
        <v>3Q07</v>
      </c>
      <c r="O375" s="572" t="str">
        <f t="shared" si="222"/>
        <v>% Chg</v>
      </c>
      <c r="P375" s="571" t="str">
        <f t="shared" si="222"/>
        <v>4Q07</v>
      </c>
      <c r="Q375" s="572" t="str">
        <f t="shared" si="222"/>
        <v>% Chg</v>
      </c>
      <c r="R375" s="571" t="str">
        <f t="shared" si="222"/>
        <v>1Q08</v>
      </c>
      <c r="S375" s="572" t="str">
        <f t="shared" si="222"/>
        <v>% Chg</v>
      </c>
      <c r="T375" s="571" t="str">
        <f t="shared" si="222"/>
        <v>2Q08</v>
      </c>
      <c r="U375" s="572" t="str">
        <f t="shared" si="222"/>
        <v>% Chg</v>
      </c>
      <c r="V375" s="571" t="str">
        <f t="shared" si="222"/>
        <v>3Q08</v>
      </c>
      <c r="W375" s="572" t="str">
        <f t="shared" si="222"/>
        <v>% Chg</v>
      </c>
      <c r="X375" s="571" t="str">
        <f t="shared" si="222"/>
        <v>4Q08</v>
      </c>
      <c r="Y375" s="572" t="str">
        <f t="shared" si="222"/>
        <v>% Chg</v>
      </c>
      <c r="Z375" s="571" t="str">
        <f t="shared" si="222"/>
        <v>1Q09</v>
      </c>
      <c r="AA375" s="572" t="str">
        <f t="shared" si="222"/>
        <v>% Chg</v>
      </c>
      <c r="AB375" s="571" t="str">
        <f t="shared" si="222"/>
        <v>2Q09</v>
      </c>
      <c r="AC375" s="572" t="str">
        <f t="shared" si="222"/>
        <v>% Chg</v>
      </c>
      <c r="AD375" s="571" t="str">
        <f t="shared" si="222"/>
        <v>3Q09</v>
      </c>
      <c r="AE375" s="572" t="str">
        <f t="shared" si="222"/>
        <v>% Chg</v>
      </c>
      <c r="AF375" s="571" t="str">
        <f t="shared" si="222"/>
        <v>4Q09</v>
      </c>
      <c r="AG375" s="572" t="str">
        <f t="shared" si="222"/>
        <v>% Chg</v>
      </c>
      <c r="AH375" s="571" t="str">
        <f t="shared" si="222"/>
        <v>1Q10</v>
      </c>
      <c r="AI375" s="572" t="str">
        <f t="shared" si="222"/>
        <v>% Chg</v>
      </c>
      <c r="AJ375" s="571" t="str">
        <f t="shared" si="222"/>
        <v>2Q10</v>
      </c>
      <c r="AK375" s="572" t="str">
        <f t="shared" si="222"/>
        <v>% Chg</v>
      </c>
      <c r="AL375" s="571" t="str">
        <f t="shared" si="222"/>
        <v>3Q10</v>
      </c>
      <c r="AM375" s="572" t="str">
        <f t="shared" si="222"/>
        <v>% Chg</v>
      </c>
      <c r="AN375" s="571" t="str">
        <f t="shared" si="222"/>
        <v>4Q10</v>
      </c>
      <c r="AO375" s="572" t="str">
        <f t="shared" si="222"/>
        <v>% Chg</v>
      </c>
      <c r="AP375" s="571" t="str">
        <f t="shared" si="222"/>
        <v>1Q11</v>
      </c>
      <c r="AQ375" s="572" t="str">
        <f t="shared" si="222"/>
        <v>% Chg</v>
      </c>
      <c r="AR375" s="571" t="str">
        <f t="shared" si="222"/>
        <v>2Q11</v>
      </c>
      <c r="AS375" s="572" t="str">
        <f t="shared" si="222"/>
        <v>% Chg</v>
      </c>
      <c r="AT375" s="571" t="str">
        <f t="shared" si="222"/>
        <v>3Q11</v>
      </c>
      <c r="AU375" s="572" t="str">
        <f t="shared" si="222"/>
        <v>% Chg</v>
      </c>
      <c r="AV375" s="571" t="str">
        <f t="shared" si="222"/>
        <v>4Q11</v>
      </c>
      <c r="AW375" s="572" t="str">
        <f t="shared" si="222"/>
        <v>% Chg</v>
      </c>
      <c r="AX375" s="571" t="str">
        <f t="shared" si="222"/>
        <v>1Q12</v>
      </c>
      <c r="AY375" s="572" t="str">
        <f t="shared" si="222"/>
        <v>% Chg</v>
      </c>
      <c r="AZ375" s="571" t="str">
        <f t="shared" si="222"/>
        <v>2Q12</v>
      </c>
      <c r="BA375" s="572" t="str">
        <f t="shared" si="222"/>
        <v>% Chg</v>
      </c>
      <c r="BB375" s="571" t="str">
        <f t="shared" si="222"/>
        <v>3Q12</v>
      </c>
      <c r="BC375" s="572" t="str">
        <f t="shared" si="222"/>
        <v>% Chg</v>
      </c>
      <c r="BD375" s="571" t="str">
        <f t="shared" si="222"/>
        <v>4Q12</v>
      </c>
      <c r="BE375" s="572" t="str">
        <f t="shared" si="222"/>
        <v>% Chg</v>
      </c>
      <c r="BF375" s="571" t="str">
        <f t="shared" si="222"/>
        <v>1Q13</v>
      </c>
      <c r="BG375" s="572" t="str">
        <f t="shared" si="222"/>
        <v>% Chg</v>
      </c>
      <c r="BH375" s="571" t="str">
        <f t="shared" si="222"/>
        <v>2Q13</v>
      </c>
      <c r="BI375" s="572" t="str">
        <f t="shared" si="222"/>
        <v>% Chg</v>
      </c>
      <c r="BJ375" s="571" t="str">
        <f t="shared" si="222"/>
        <v>3Q13</v>
      </c>
      <c r="BK375" s="572" t="str">
        <f t="shared" si="222"/>
        <v>% Chg</v>
      </c>
      <c r="BL375" s="571" t="str">
        <f t="shared" si="222"/>
        <v>4Q13</v>
      </c>
      <c r="BM375" s="572" t="str">
        <f t="shared" si="222"/>
        <v>% Chg</v>
      </c>
      <c r="BN375" s="571" t="str">
        <f t="shared" si="222"/>
        <v>1Q14</v>
      </c>
      <c r="BO375" s="572" t="str">
        <f t="shared" ref="BO375:DA375" si="223">+BO$5</f>
        <v>% Chg</v>
      </c>
      <c r="BP375" s="571" t="str">
        <f t="shared" si="222"/>
        <v>2Q14</v>
      </c>
      <c r="BQ375" s="572" t="str">
        <f t="shared" si="223"/>
        <v>% Chg</v>
      </c>
      <c r="BR375" s="571" t="str">
        <f t="shared" si="222"/>
        <v>3Q14</v>
      </c>
      <c r="BS375" s="572" t="str">
        <f t="shared" si="223"/>
        <v>% Chg</v>
      </c>
      <c r="BT375" s="571" t="str">
        <f t="shared" si="222"/>
        <v>4Q14</v>
      </c>
      <c r="BU375" s="572" t="str">
        <f t="shared" si="223"/>
        <v>% Chg</v>
      </c>
      <c r="BV375" s="571" t="str">
        <f t="shared" si="222"/>
        <v>1Q15</v>
      </c>
      <c r="BW375" s="572" t="str">
        <f t="shared" si="223"/>
        <v>% Chg</v>
      </c>
      <c r="BX375" s="571" t="str">
        <f t="shared" si="222"/>
        <v>2Q15</v>
      </c>
      <c r="BY375" s="572" t="str">
        <f t="shared" si="223"/>
        <v>% Chg</v>
      </c>
      <c r="BZ375" s="571" t="str">
        <f t="shared" si="222"/>
        <v>3Q15</v>
      </c>
      <c r="CA375" s="572" t="str">
        <f t="shared" si="223"/>
        <v>% Chg</v>
      </c>
      <c r="CB375" s="571" t="str">
        <f t="shared" si="222"/>
        <v>4Q15</v>
      </c>
      <c r="CC375" s="572" t="str">
        <f t="shared" si="223"/>
        <v>% Chg</v>
      </c>
      <c r="CD375" s="571" t="str">
        <f t="shared" si="222"/>
        <v>1Q16</v>
      </c>
      <c r="CE375" s="572" t="str">
        <f t="shared" si="223"/>
        <v>% Chg</v>
      </c>
      <c r="CF375" s="571" t="str">
        <f t="shared" si="222"/>
        <v>2Q16</v>
      </c>
      <c r="CG375" s="572" t="str">
        <f t="shared" si="223"/>
        <v>% Chg</v>
      </c>
      <c r="CH375" s="571" t="str">
        <f t="shared" si="222"/>
        <v>3Q16</v>
      </c>
      <c r="CI375" s="572" t="str">
        <f t="shared" si="223"/>
        <v>% Chg</v>
      </c>
      <c r="CJ375" s="571" t="str">
        <f t="shared" si="222"/>
        <v>4Q16</v>
      </c>
      <c r="CK375" s="572" t="str">
        <f t="shared" si="223"/>
        <v>% Chg</v>
      </c>
      <c r="CL375" s="571" t="str">
        <f t="shared" si="222"/>
        <v>1Q17</v>
      </c>
      <c r="CM375" s="572" t="str">
        <f t="shared" si="223"/>
        <v>% Chg</v>
      </c>
      <c r="CN375" s="571" t="str">
        <f t="shared" si="223"/>
        <v>2Q17</v>
      </c>
      <c r="CO375" s="572" t="str">
        <f t="shared" si="223"/>
        <v>% Chg</v>
      </c>
      <c r="CP375" s="571" t="str">
        <f t="shared" si="223"/>
        <v>3Q17</v>
      </c>
      <c r="CQ375" s="572" t="str">
        <f t="shared" si="223"/>
        <v>% Chg</v>
      </c>
      <c r="CR375" s="571" t="str">
        <f t="shared" si="223"/>
        <v>4Q17</v>
      </c>
      <c r="CS375" s="572" t="str">
        <f t="shared" si="223"/>
        <v>% Chg</v>
      </c>
      <c r="CT375" s="571" t="str">
        <f t="shared" si="223"/>
        <v>1Q18E</v>
      </c>
      <c r="CU375" s="572" t="str">
        <f t="shared" si="223"/>
        <v>% Chg</v>
      </c>
      <c r="CV375" s="571" t="str">
        <f t="shared" si="223"/>
        <v>2Q18E</v>
      </c>
      <c r="CW375" s="572" t="str">
        <f t="shared" si="223"/>
        <v>% Chg</v>
      </c>
      <c r="CX375" s="571" t="str">
        <f t="shared" si="223"/>
        <v>3Q18E</v>
      </c>
      <c r="CY375" s="572" t="str">
        <f t="shared" si="223"/>
        <v>% Chg</v>
      </c>
      <c r="CZ375" s="571" t="str">
        <f t="shared" si="223"/>
        <v>4Q18E</v>
      </c>
      <c r="DA375" s="572" t="str">
        <f t="shared" si="223"/>
        <v>% Chg</v>
      </c>
      <c r="DB375" s="573"/>
      <c r="DC375" s="571" t="str">
        <f t="shared" ref="DC375:EM375" si="224">+DC$5</f>
        <v>2005</v>
      </c>
      <c r="DD375" s="572" t="str">
        <f t="shared" si="224"/>
        <v>% Chg</v>
      </c>
      <c r="DE375" s="571" t="str">
        <f t="shared" si="224"/>
        <v>2006</v>
      </c>
      <c r="DF375" s="572" t="str">
        <f t="shared" si="224"/>
        <v>% Chg</v>
      </c>
      <c r="DG375" s="571">
        <f t="shared" si="224"/>
        <v>2007</v>
      </c>
      <c r="DH375" s="572" t="str">
        <f t="shared" si="224"/>
        <v>% Chg</v>
      </c>
      <c r="DI375" s="571" t="str">
        <f t="shared" si="224"/>
        <v>2008</v>
      </c>
      <c r="DJ375" s="572" t="str">
        <f t="shared" si="224"/>
        <v>% Chg</v>
      </c>
      <c r="DK375" s="571" t="str">
        <f t="shared" si="224"/>
        <v>2009</v>
      </c>
      <c r="DL375" s="572" t="str">
        <f t="shared" si="224"/>
        <v>% Chg</v>
      </c>
      <c r="DM375" s="571" t="str">
        <f t="shared" si="224"/>
        <v>2010</v>
      </c>
      <c r="DN375" s="572" t="str">
        <f t="shared" si="224"/>
        <v>% Chg</v>
      </c>
      <c r="DO375" s="571" t="str">
        <f t="shared" si="224"/>
        <v>2011</v>
      </c>
      <c r="DP375" s="572" t="str">
        <f t="shared" si="224"/>
        <v>% Chg</v>
      </c>
      <c r="DQ375" s="571" t="str">
        <f t="shared" si="224"/>
        <v>2012</v>
      </c>
      <c r="DR375" s="572" t="str">
        <f t="shared" si="224"/>
        <v>% Chg</v>
      </c>
      <c r="DS375" s="571" t="str">
        <f t="shared" si="224"/>
        <v>2013</v>
      </c>
      <c r="DT375" s="572" t="str">
        <f t="shared" si="224"/>
        <v>% Chg</v>
      </c>
      <c r="DU375" s="571">
        <f t="shared" si="224"/>
        <v>2014</v>
      </c>
      <c r="DV375" s="572" t="str">
        <f t="shared" si="224"/>
        <v>% Chg</v>
      </c>
      <c r="DW375" s="571" t="str">
        <f t="shared" si="224"/>
        <v>2015</v>
      </c>
      <c r="DX375" s="572" t="str">
        <f t="shared" si="224"/>
        <v>% Chg</v>
      </c>
      <c r="DY375" s="571">
        <f t="shared" si="224"/>
        <v>2016</v>
      </c>
      <c r="DZ375" s="572" t="str">
        <f t="shared" si="224"/>
        <v>% Chg</v>
      </c>
      <c r="EA375" s="571">
        <f t="shared" si="224"/>
        <v>2017</v>
      </c>
      <c r="EB375" s="572" t="str">
        <f t="shared" si="224"/>
        <v>% Chg</v>
      </c>
      <c r="EC375" s="571" t="str">
        <f t="shared" si="224"/>
        <v>2018E</v>
      </c>
      <c r="ED375" s="572" t="str">
        <f t="shared" si="224"/>
        <v>% Chg</v>
      </c>
      <c r="EE375" s="571" t="str">
        <f t="shared" si="224"/>
        <v>2019E</v>
      </c>
      <c r="EF375" s="572" t="str">
        <f t="shared" si="224"/>
        <v>% Chg</v>
      </c>
      <c r="EG375" s="571" t="str">
        <f t="shared" si="224"/>
        <v>2020E</v>
      </c>
      <c r="EH375" s="572" t="str">
        <f t="shared" si="224"/>
        <v>% Chg</v>
      </c>
      <c r="EI375" s="571" t="str">
        <f t="shared" si="224"/>
        <v>2021E</v>
      </c>
      <c r="EJ375" s="572" t="str">
        <f t="shared" si="224"/>
        <v>% Chg</v>
      </c>
      <c r="EK375" s="571" t="str">
        <f t="shared" si="224"/>
        <v>2022E</v>
      </c>
      <c r="EL375" s="572" t="str">
        <f t="shared" si="224"/>
        <v>% Chg</v>
      </c>
      <c r="EM375" s="574" t="str">
        <f t="shared" si="224"/>
        <v>(%)</v>
      </c>
      <c r="EN375" s="549"/>
    </row>
    <row r="376" spans="1:144" ht="12.75" hidden="1" customHeight="1" outlineLevel="1" x14ac:dyDescent="0.2">
      <c r="A376" s="575"/>
      <c r="B376" s="580"/>
      <c r="C376" s="577"/>
      <c r="D376" s="580"/>
      <c r="E376" s="577"/>
      <c r="F376" s="580"/>
      <c r="G376" s="577"/>
      <c r="H376" s="580"/>
      <c r="I376" s="577"/>
      <c r="J376" s="580"/>
      <c r="K376" s="577"/>
      <c r="L376" s="580"/>
      <c r="M376" s="577"/>
      <c r="N376" s="580"/>
      <c r="O376" s="577"/>
      <c r="P376" s="580"/>
      <c r="Q376" s="577"/>
      <c r="R376" s="580"/>
      <c r="S376" s="577"/>
      <c r="T376" s="580"/>
      <c r="U376" s="577"/>
      <c r="V376" s="580"/>
      <c r="W376" s="577"/>
      <c r="X376" s="580"/>
      <c r="Y376" s="577"/>
      <c r="Z376" s="580"/>
      <c r="AA376" s="577"/>
      <c r="AB376" s="580"/>
      <c r="AC376" s="577"/>
      <c r="AD376" s="580"/>
      <c r="AE376" s="577"/>
      <c r="AF376" s="580"/>
      <c r="AG376" s="577"/>
      <c r="AH376" s="580"/>
      <c r="AI376" s="577"/>
      <c r="AJ376" s="580"/>
      <c r="AK376" s="577"/>
      <c r="AL376" s="580"/>
      <c r="AM376" s="577"/>
      <c r="AN376" s="580"/>
      <c r="AO376" s="577"/>
      <c r="AP376" s="580"/>
      <c r="AQ376" s="577"/>
      <c r="AR376" s="580"/>
      <c r="AS376" s="577"/>
      <c r="AT376" s="580"/>
      <c r="AU376" s="577"/>
      <c r="AV376" s="580"/>
      <c r="AW376" s="577"/>
      <c r="AX376" s="580"/>
      <c r="AY376" s="577"/>
      <c r="AZ376" s="580"/>
      <c r="BA376" s="577"/>
      <c r="BB376" s="580"/>
      <c r="BC376" s="577"/>
      <c r="BD376" s="580"/>
      <c r="BE376" s="577"/>
      <c r="BF376" s="580"/>
      <c r="BG376" s="577"/>
      <c r="BH376" s="580"/>
      <c r="BI376" s="577"/>
      <c r="BJ376" s="580"/>
      <c r="BK376" s="577"/>
      <c r="BL376" s="580"/>
      <c r="BM376" s="577"/>
      <c r="BN376" s="580"/>
      <c r="BO376" s="577"/>
      <c r="BP376" s="580"/>
      <c r="BQ376" s="577"/>
      <c r="BR376" s="580"/>
      <c r="BS376" s="577"/>
      <c r="BT376" s="580"/>
      <c r="BU376" s="577"/>
      <c r="BV376" s="580"/>
      <c r="BW376" s="577"/>
      <c r="BX376" s="580"/>
      <c r="BY376" s="577"/>
      <c r="BZ376" s="580"/>
      <c r="CA376" s="577"/>
      <c r="CB376" s="580"/>
      <c r="CC376" s="577"/>
      <c r="CD376" s="580"/>
      <c r="CE376" s="577"/>
      <c r="CF376" s="580"/>
      <c r="CG376" s="577"/>
      <c r="CH376" s="580"/>
      <c r="CI376" s="577"/>
      <c r="CJ376" s="580"/>
      <c r="CK376" s="577"/>
      <c r="CL376" s="580"/>
      <c r="CM376" s="577"/>
      <c r="CN376" s="580"/>
      <c r="CO376" s="577"/>
      <c r="CP376" s="580"/>
      <c r="CQ376" s="577"/>
      <c r="CR376" s="580"/>
      <c r="CS376" s="577"/>
      <c r="CT376" s="580"/>
      <c r="CU376" s="577"/>
      <c r="CV376" s="580"/>
      <c r="CW376" s="577"/>
      <c r="CX376" s="580"/>
      <c r="CY376" s="577"/>
      <c r="CZ376" s="580"/>
      <c r="DA376" s="577"/>
      <c r="DB376" s="587"/>
      <c r="DC376" s="580"/>
      <c r="DD376" s="577"/>
      <c r="DE376" s="580"/>
      <c r="DF376" s="577"/>
      <c r="DG376" s="580"/>
      <c r="DH376" s="577"/>
      <c r="DI376" s="580"/>
      <c r="DJ376" s="577"/>
      <c r="DK376" s="580"/>
      <c r="DL376" s="577"/>
      <c r="DM376" s="580"/>
      <c r="DN376" s="577"/>
      <c r="DO376" s="580"/>
      <c r="DP376" s="577"/>
      <c r="DQ376" s="580"/>
      <c r="DR376" s="577"/>
      <c r="DS376" s="580"/>
      <c r="DT376" s="577"/>
      <c r="DU376" s="580"/>
      <c r="DV376" s="577"/>
      <c r="DW376" s="580"/>
      <c r="DX376" s="577"/>
      <c r="DY376" s="580"/>
      <c r="DZ376" s="577"/>
      <c r="EA376" s="580"/>
      <c r="EB376" s="577"/>
      <c r="EC376" s="580"/>
      <c r="ED376" s="577"/>
      <c r="EE376" s="580"/>
      <c r="EF376" s="577"/>
      <c r="EG376" s="580"/>
      <c r="EH376" s="577"/>
      <c r="EI376" s="580"/>
      <c r="EJ376" s="577"/>
      <c r="EK376" s="580"/>
      <c r="EL376" s="577"/>
      <c r="EM376" s="577"/>
    </row>
    <row r="377" spans="1:144" ht="12.75" hidden="1" customHeight="1" outlineLevel="1" x14ac:dyDescent="0.2">
      <c r="A377" s="575" t="s">
        <v>128</v>
      </c>
      <c r="B377" s="580"/>
      <c r="C377" s="577"/>
      <c r="D377" s="580"/>
      <c r="E377" s="577"/>
      <c r="F377" s="580"/>
      <c r="G377" s="577"/>
      <c r="H377" s="580"/>
      <c r="I377" s="577"/>
      <c r="J377" s="580"/>
      <c r="K377" s="577"/>
      <c r="L377" s="580"/>
      <c r="M377" s="577"/>
      <c r="N377" s="580"/>
      <c r="O377" s="577"/>
      <c r="P377" s="580"/>
      <c r="Q377" s="577"/>
      <c r="R377" s="580"/>
      <c r="S377" s="577"/>
      <c r="T377" s="580"/>
      <c r="U377" s="577"/>
      <c r="V377" s="580"/>
      <c r="W377" s="577"/>
      <c r="X377" s="580"/>
      <c r="Y377" s="577"/>
      <c r="Z377" s="580"/>
      <c r="AA377" s="577"/>
      <c r="AB377" s="580"/>
      <c r="AC377" s="577"/>
      <c r="AD377" s="580"/>
      <c r="AE377" s="577"/>
      <c r="AF377" s="580"/>
      <c r="AG377" s="577"/>
      <c r="AH377" s="580"/>
      <c r="AI377" s="577"/>
      <c r="AJ377" s="580"/>
      <c r="AK377" s="577"/>
      <c r="AL377" s="580"/>
      <c r="AM377" s="577"/>
      <c r="AN377" s="580"/>
      <c r="AO377" s="577"/>
      <c r="AP377" s="580"/>
      <c r="AQ377" s="577"/>
      <c r="AR377" s="580"/>
      <c r="AS377" s="577"/>
      <c r="AT377" s="580"/>
      <c r="AU377" s="577"/>
      <c r="AV377" s="580"/>
      <c r="AW377" s="577"/>
      <c r="AX377" s="580"/>
      <c r="AY377" s="577"/>
      <c r="AZ377" s="580"/>
      <c r="BA377" s="577"/>
      <c r="BB377" s="580"/>
      <c r="BC377" s="577"/>
      <c r="BD377" s="580"/>
      <c r="BE377" s="577"/>
      <c r="BF377" s="580"/>
      <c r="BG377" s="577"/>
      <c r="BH377" s="580"/>
      <c r="BI377" s="577"/>
      <c r="BJ377" s="580"/>
      <c r="BK377" s="577"/>
      <c r="BL377" s="580"/>
      <c r="BM377" s="577"/>
      <c r="BN377" s="580"/>
      <c r="BO377" s="577"/>
      <c r="BP377" s="580"/>
      <c r="BQ377" s="577"/>
      <c r="BR377" s="580"/>
      <c r="BS377" s="577"/>
      <c r="BT377" s="580"/>
      <c r="BU377" s="577"/>
      <c r="BV377" s="580"/>
      <c r="BW377" s="577"/>
      <c r="BX377" s="580"/>
      <c r="BY377" s="577"/>
      <c r="BZ377" s="580"/>
      <c r="CA377" s="577"/>
      <c r="CB377" s="580"/>
      <c r="CC377" s="577"/>
      <c r="CD377" s="580"/>
      <c r="CE377" s="577"/>
      <c r="CF377" s="580"/>
      <c r="CG377" s="577"/>
      <c r="CH377" s="580"/>
      <c r="CI377" s="577"/>
      <c r="CJ377" s="580"/>
      <c r="CK377" s="577"/>
      <c r="CL377" s="580"/>
      <c r="CM377" s="577"/>
      <c r="CN377" s="580"/>
      <c r="CO377" s="577"/>
      <c r="CP377" s="580"/>
      <c r="CQ377" s="577"/>
      <c r="CR377" s="580"/>
      <c r="CS377" s="577"/>
      <c r="CT377" s="580"/>
      <c r="CU377" s="577"/>
      <c r="CV377" s="580"/>
      <c r="CW377" s="577"/>
      <c r="CX377" s="580"/>
      <c r="CY377" s="577"/>
      <c r="CZ377" s="580"/>
      <c r="DA377" s="577"/>
      <c r="DB377" s="587"/>
      <c r="DC377" s="580"/>
      <c r="DD377" s="577"/>
      <c r="DE377" s="580"/>
      <c r="DF377" s="577"/>
      <c r="DG377" s="580"/>
      <c r="DH377" s="577"/>
      <c r="DI377" s="580"/>
      <c r="DJ377" s="577"/>
      <c r="DK377" s="580"/>
      <c r="DL377" s="577"/>
      <c r="DM377" s="580"/>
      <c r="DN377" s="577"/>
      <c r="DO377" s="580"/>
      <c r="DP377" s="577"/>
      <c r="DQ377" s="580"/>
      <c r="DR377" s="577"/>
      <c r="DS377" s="580"/>
      <c r="DT377" s="577"/>
      <c r="DU377" s="580"/>
      <c r="DV377" s="577"/>
      <c r="DW377" s="580"/>
      <c r="DX377" s="577"/>
      <c r="DY377" s="580"/>
      <c r="DZ377" s="577"/>
      <c r="EA377" s="580"/>
      <c r="EB377" s="577"/>
      <c r="EC377" s="580"/>
      <c r="ED377" s="577"/>
      <c r="EE377" s="580"/>
      <c r="EF377" s="577"/>
      <c r="EG377" s="580"/>
      <c r="EH377" s="577"/>
      <c r="EI377" s="580"/>
      <c r="EJ377" s="577"/>
      <c r="EK377" s="580"/>
      <c r="EL377" s="577"/>
      <c r="EM377" s="577"/>
    </row>
    <row r="378" spans="1:144" ht="12.75" hidden="1" customHeight="1" outlineLevel="1" x14ac:dyDescent="0.2">
      <c r="A378" s="579" t="str">
        <f>INPUT!B107</f>
        <v>Premiums</v>
      </c>
      <c r="B378" s="580">
        <f>INPUT!AY107</f>
        <v>100</v>
      </c>
      <c r="C378" s="577">
        <f>INPUT!AZ107</f>
        <v>8.6956521739130324</v>
      </c>
      <c r="D378" s="580">
        <f>INPUT!BA107</f>
        <v>103</v>
      </c>
      <c r="E378" s="577">
        <f>INPUT!BB107</f>
        <v>10.752688172043008</v>
      </c>
      <c r="F378" s="580">
        <f>INPUT!BC107</f>
        <v>109</v>
      </c>
      <c r="G378" s="577">
        <f>INPUT!BD107</f>
        <v>12.371134020618555</v>
      </c>
      <c r="H378" s="580">
        <f>INPUT!BE107</f>
        <v>117</v>
      </c>
      <c r="I378" s="577">
        <f>INPUT!BF107</f>
        <v>7.3394495412844094</v>
      </c>
      <c r="J378" s="580">
        <f>INPUT!BG107</f>
        <v>126</v>
      </c>
      <c r="K378" s="577">
        <f>INPUT!BH107</f>
        <v>26</v>
      </c>
      <c r="L378" s="580">
        <f>INPUT!BI107</f>
        <v>126</v>
      </c>
      <c r="M378" s="577">
        <f>INPUT!BJ107</f>
        <v>22.330097087378633</v>
      </c>
      <c r="N378" s="580">
        <f>INPUT!BK107</f>
        <v>137</v>
      </c>
      <c r="O378" s="577">
        <f>INPUT!BL107</f>
        <v>25.688073394495419</v>
      </c>
      <c r="P378" s="580">
        <f>INPUT!BM107</f>
        <v>144</v>
      </c>
      <c r="Q378" s="577">
        <f>INPUT!BN107</f>
        <v>23.07692307692308</v>
      </c>
      <c r="R378" s="580">
        <f>INPUT!BO107</f>
        <v>148</v>
      </c>
      <c r="S378" s="577">
        <f>INPUT!BP107</f>
        <v>17.460317460317469</v>
      </c>
      <c r="T378" s="580">
        <f>INPUT!BQ107</f>
        <v>148</v>
      </c>
      <c r="U378" s="577">
        <f>INPUT!BR107</f>
        <v>17.460317460317469</v>
      </c>
      <c r="V378" s="580">
        <f>INPUT!BS107</f>
        <v>155</v>
      </c>
      <c r="W378" s="577">
        <f>INPUT!BT107</f>
        <v>13.138686131386862</v>
      </c>
      <c r="X378" s="580">
        <f>INPUT!BU107</f>
        <v>162</v>
      </c>
      <c r="Y378" s="577">
        <f>INPUT!BV107</f>
        <v>12.5</v>
      </c>
      <c r="Z378" s="580">
        <f>INPUT!BW107</f>
        <v>160</v>
      </c>
      <c r="AA378" s="577">
        <f>INPUT!BX107</f>
        <v>8.1081081081081123</v>
      </c>
      <c r="AB378" s="580">
        <f>INPUT!BY107</f>
        <v>170</v>
      </c>
      <c r="AC378" s="577">
        <f>INPUT!BZ107</f>
        <v>14.86486486486487</v>
      </c>
      <c r="AD378" s="580">
        <f>INPUT!CA107</f>
        <v>178</v>
      </c>
      <c r="AE378" s="577">
        <f>INPUT!CB107</f>
        <v>14.838709677419359</v>
      </c>
      <c r="AF378" s="580">
        <f>INPUT!CC107</f>
        <v>178</v>
      </c>
      <c r="AG378" s="577">
        <f>INPUT!CD107</f>
        <v>9.8765432098765444</v>
      </c>
      <c r="AH378" s="580">
        <f>INPUT!CE107</f>
        <v>176</v>
      </c>
      <c r="AI378" s="577">
        <f>INPUT!CF107</f>
        <v>10.000000000000014</v>
      </c>
      <c r="AJ378" s="580">
        <f>INPUT!CG107</f>
        <v>177</v>
      </c>
      <c r="AK378" s="577">
        <f>INPUT!CH107</f>
        <v>4.1176470588235361</v>
      </c>
      <c r="AL378" s="580">
        <f>INPUT!CI107</f>
        <v>181</v>
      </c>
      <c r="AM378" s="577">
        <f>INPUT!CJ107</f>
        <v>1.6853932584269558</v>
      </c>
      <c r="AN378" s="580">
        <f>INPUT!CK107</f>
        <v>180</v>
      </c>
      <c r="AO378" s="577">
        <f>INPUT!CL107</f>
        <v>1.1235955056179847</v>
      </c>
      <c r="AP378" s="580">
        <f>INPUT!CM107</f>
        <v>172</v>
      </c>
      <c r="AQ378" s="577">
        <f>INPUT!CN107</f>
        <v>-2.2727272727272663</v>
      </c>
      <c r="AR378" s="580">
        <f>INPUT!CO107</f>
        <v>183</v>
      </c>
      <c r="AS378" s="577">
        <f>INPUT!CP107</f>
        <v>3.3898305084745743</v>
      </c>
      <c r="AT378" s="580">
        <f>INPUT!CQ107</f>
        <v>182</v>
      </c>
      <c r="AU378" s="577">
        <f>INPUT!CR107</f>
        <v>0.552486187845318</v>
      </c>
      <c r="AV378" s="580">
        <f>INPUT!CS107</f>
        <v>179</v>
      </c>
      <c r="AW378" s="577">
        <f>INPUT!CT107</f>
        <v>-0.55555555555555713</v>
      </c>
      <c r="AX378" s="580">
        <f>INPUT!CU107</f>
        <v>175</v>
      </c>
      <c r="AY378" s="577">
        <f>INPUT!CV107</f>
        <v>1.7441860465116292</v>
      </c>
      <c r="AZ378" s="580">
        <f>INPUT!CW107</f>
        <v>183</v>
      </c>
      <c r="BA378" s="577">
        <f>INPUT!CX107</f>
        <v>0</v>
      </c>
      <c r="BB378" s="580">
        <f>INPUT!CY107</f>
        <v>184</v>
      </c>
      <c r="BC378" s="577">
        <f>INPUT!CZ107</f>
        <v>1.098901098901095</v>
      </c>
      <c r="BD378" s="580">
        <f>INPUT!DA107</f>
        <v>183</v>
      </c>
      <c r="BE378" s="577">
        <f>INPUT!DB107</f>
        <v>2.2346368715083713</v>
      </c>
      <c r="BF378" s="580">
        <f>INPUT!DC107</f>
        <v>193</v>
      </c>
      <c r="BG378" s="577">
        <f>INPUT!DD107</f>
        <v>10.285714285714278</v>
      </c>
      <c r="BH378" s="580">
        <f>INPUT!DE107</f>
        <v>204</v>
      </c>
      <c r="BI378" s="577">
        <f>INPUT!DF107</f>
        <v>11.475409836065566</v>
      </c>
      <c r="BJ378" s="580">
        <f>INPUT!DG107</f>
        <v>198</v>
      </c>
      <c r="BK378" s="577">
        <f>INPUT!DH107</f>
        <v>7.6086956521739069</v>
      </c>
      <c r="BL378" s="580">
        <f>INPUT!DI107</f>
        <v>215</v>
      </c>
      <c r="BM378" s="577">
        <f>INPUT!DJ107</f>
        <v>17.486338797814199</v>
      </c>
      <c r="BN378" s="580">
        <f>INPUT!DK107</f>
        <v>214</v>
      </c>
      <c r="BO378" s="577">
        <f>INPUT!DL107</f>
        <v>10.880829015544037</v>
      </c>
      <c r="BP378" s="580">
        <f>INPUT!DM107</f>
        <v>219</v>
      </c>
      <c r="BQ378" s="577">
        <f>INPUT!DN107</f>
        <v>7.3529411764705799</v>
      </c>
      <c r="BR378" s="580">
        <f>INPUT!DO107</f>
        <v>210</v>
      </c>
      <c r="BS378" s="577">
        <f>INPUT!DP107</f>
        <v>6.0606060606060623</v>
      </c>
      <c r="BT378" s="580">
        <f>INPUT!DQ107</f>
        <v>205</v>
      </c>
      <c r="BU378" s="577">
        <f>INPUT!DR107</f>
        <v>-4.6511627906976685</v>
      </c>
      <c r="BV378" s="580">
        <f>INPUT!DS107</f>
        <v>232</v>
      </c>
      <c r="BW378" s="577">
        <f>INPUT!DT107</f>
        <v>8.4112149532710134</v>
      </c>
      <c r="BX378" s="580">
        <f>INPUT!DU107</f>
        <v>229</v>
      </c>
      <c r="BY378" s="577">
        <f>INPUT!DV107</f>
        <v>4.5662100456621175</v>
      </c>
      <c r="BZ378" s="580">
        <f>INPUT!DW107</f>
        <v>219</v>
      </c>
      <c r="CA378" s="577">
        <f>INPUT!DX107</f>
        <v>4.2857142857142918</v>
      </c>
      <c r="CB378" s="580">
        <f>INPUT!DY107</f>
        <v>216</v>
      </c>
      <c r="CC378" s="577">
        <f>INPUT!DZ107</f>
        <v>5.3658536585365937</v>
      </c>
      <c r="CD378" s="580">
        <f>INPUT!EA107</f>
        <v>210</v>
      </c>
      <c r="CE378" s="577">
        <f>INPUT!EB107</f>
        <v>-9.4827586206896513</v>
      </c>
      <c r="CF378" s="580">
        <f>INPUT!EC107</f>
        <v>216</v>
      </c>
      <c r="CG378" s="577">
        <f>INPUT!ED107</f>
        <v>-5.6768558951965105</v>
      </c>
      <c r="CH378" s="580">
        <f>INPUT!EE107</f>
        <v>216</v>
      </c>
      <c r="CI378" s="577">
        <f>INPUT!EF107</f>
        <v>-1.3698630136986338</v>
      </c>
      <c r="CJ378" s="580">
        <f>INPUT!EG107</f>
        <v>218</v>
      </c>
      <c r="CK378" s="577">
        <f>INPUT!EH107</f>
        <v>0.92592592592592382</v>
      </c>
      <c r="CL378" s="580">
        <f>INPUT!EI107</f>
        <v>216</v>
      </c>
      <c r="CM378" s="577">
        <f>INPUT!EJ107</f>
        <v>2.857142857142847</v>
      </c>
      <c r="CN378" s="580">
        <f>INPUT!EK107</f>
        <v>230</v>
      </c>
      <c r="CO378" s="577">
        <f>INPUT!EL107</f>
        <v>6.4814814814814952</v>
      </c>
      <c r="CP378" s="580">
        <f>INPUT!EM107</f>
        <v>223</v>
      </c>
      <c r="CQ378" s="577">
        <f>INPUT!EN107</f>
        <v>3.2407407407407476</v>
      </c>
      <c r="CR378" s="580">
        <f>INPUT!EO107</f>
        <v>226</v>
      </c>
      <c r="CS378" s="577">
        <f>INPUT!EP107</f>
        <v>3.6697247706422047</v>
      </c>
      <c r="CT378" s="580">
        <f>INPUT!EQ107</f>
        <v>228.96</v>
      </c>
      <c r="CU378" s="577">
        <f>INPUT!ER107</f>
        <v>6</v>
      </c>
      <c r="CV378" s="580">
        <f>INPUT!ES107</f>
        <v>243.8</v>
      </c>
      <c r="CW378" s="577">
        <f>INPUT!ET107</f>
        <v>6</v>
      </c>
      <c r="CX378" s="580">
        <f>INPUT!EU107</f>
        <v>236.38000000000002</v>
      </c>
      <c r="CY378" s="577">
        <f>INPUT!EV107</f>
        <v>6</v>
      </c>
      <c r="CZ378" s="580">
        <f>INPUT!EW107</f>
        <v>239.56</v>
      </c>
      <c r="DA378" s="577">
        <f>INPUT!EX107</f>
        <v>6</v>
      </c>
      <c r="DB378" s="596"/>
      <c r="DC378" s="580">
        <f>INPUT!FP107</f>
        <v>391</v>
      </c>
      <c r="DD378" s="577">
        <f>INPUT!FQ107</f>
        <v>17.06586826347305</v>
      </c>
      <c r="DE378" s="580">
        <f>INPUT!FR107</f>
        <v>429</v>
      </c>
      <c r="DF378" s="577">
        <f>INPUT!FS107</f>
        <v>9.7186700767263261</v>
      </c>
      <c r="DG378" s="580">
        <f>INPUT!FT107</f>
        <v>533</v>
      </c>
      <c r="DH378" s="577">
        <f>INPUT!FU107</f>
        <v>24.242424242424249</v>
      </c>
      <c r="DI378" s="580">
        <f>INPUT!FV107</f>
        <v>613</v>
      </c>
      <c r="DJ378" s="577">
        <f>INPUT!FW107</f>
        <v>15.009380863039397</v>
      </c>
      <c r="DK378" s="580">
        <f>INPUT!FX107</f>
        <v>686</v>
      </c>
      <c r="DL378" s="577">
        <f>INPUT!FY107</f>
        <v>11.908646003262646</v>
      </c>
      <c r="DM378" s="580">
        <f>INPUT!FZ107</f>
        <v>714</v>
      </c>
      <c r="DN378" s="577">
        <f>INPUT!GA107</f>
        <v>4.0816326530612344</v>
      </c>
      <c r="DO378" s="580">
        <f>INPUT!GB107</f>
        <v>716</v>
      </c>
      <c r="DP378" s="577">
        <f>INPUT!GC107</f>
        <v>0.28011204481792618</v>
      </c>
      <c r="DQ378" s="580">
        <f>INPUT!GD107</f>
        <v>725</v>
      </c>
      <c r="DR378" s="577">
        <f>INPUT!GE107</f>
        <v>1.2569832402234482</v>
      </c>
      <c r="DS378" s="580">
        <f>INPUT!GF107</f>
        <v>810</v>
      </c>
      <c r="DT378" s="577">
        <f>INPUT!GG107</f>
        <v>11.724137931034477</v>
      </c>
      <c r="DU378" s="580">
        <f>INPUT!GH107</f>
        <v>848</v>
      </c>
      <c r="DV378" s="577">
        <f>INPUT!GI107</f>
        <v>4.6913580246913682</v>
      </c>
      <c r="DW378" s="580">
        <f>INPUT!GJ107</f>
        <v>896</v>
      </c>
      <c r="DX378" s="577">
        <f>INPUT!GK107</f>
        <v>5.6603773584905639</v>
      </c>
      <c r="DY378" s="580">
        <f>INPUT!GL107</f>
        <v>860</v>
      </c>
      <c r="DZ378" s="577">
        <f>INPUT!GM107</f>
        <v>-4.0178571428571388</v>
      </c>
      <c r="EA378" s="580">
        <f>INPUT!GN107</f>
        <v>895</v>
      </c>
      <c r="EB378" s="577">
        <f>INPUT!GO107</f>
        <v>4.0697674418604777</v>
      </c>
      <c r="EC378" s="580">
        <f>INPUT!GP107</f>
        <v>948.7</v>
      </c>
      <c r="ED378" s="577">
        <f>INPUT!GQ107</f>
        <v>6</v>
      </c>
      <c r="EE378" s="580">
        <f>INPUT!GR107</f>
        <v>1005.6220000000001</v>
      </c>
      <c r="EF378" s="577">
        <f>INPUT!GS107</f>
        <v>6</v>
      </c>
      <c r="EG378" s="580">
        <f>INPUT!GT107</f>
        <v>1065.9593200000002</v>
      </c>
      <c r="EH378" s="577">
        <f>INPUT!GU107</f>
        <v>6</v>
      </c>
      <c r="EI378" s="580">
        <f>INPUT!GV107</f>
        <v>1129.9168792000003</v>
      </c>
      <c r="EJ378" s="577">
        <f>INPUT!GW107</f>
        <v>6</v>
      </c>
      <c r="EK378" s="580">
        <f>INPUT!GX107</f>
        <v>1197.7118919520003</v>
      </c>
      <c r="EL378" s="577">
        <f>INPUT!GY107</f>
        <v>6</v>
      </c>
      <c r="EM378" s="577">
        <f>INPUT!GZ107</f>
        <v>6.0000000000000053</v>
      </c>
    </row>
    <row r="379" spans="1:144" ht="12.75" hidden="1" customHeight="1" outlineLevel="1" x14ac:dyDescent="0.2">
      <c r="A379" s="579" t="str">
        <f>INPUT!B108</f>
        <v>Policy Charges and Fee Income</v>
      </c>
      <c r="B379" s="580">
        <f>INPUT!AY108</f>
        <v>266</v>
      </c>
      <c r="C379" s="577">
        <f>INPUT!AZ108</f>
        <v>1.915708812260533</v>
      </c>
      <c r="D379" s="580">
        <f>INPUT!BA108</f>
        <v>270</v>
      </c>
      <c r="E379" s="577">
        <f>INPUT!BB108</f>
        <v>4.2471042471042324</v>
      </c>
      <c r="F379" s="580">
        <f>INPUT!BC108</f>
        <v>117</v>
      </c>
      <c r="G379" s="577" t="str">
        <f>INPUT!BD108</f>
        <v>NM</v>
      </c>
      <c r="H379" s="580">
        <f>INPUT!BE108</f>
        <v>267</v>
      </c>
      <c r="I379" s="577">
        <f>INPUT!BF108</f>
        <v>-3.6101083032490919</v>
      </c>
      <c r="J379" s="580">
        <f>INPUT!BG108</f>
        <v>272</v>
      </c>
      <c r="K379" s="577">
        <f>INPUT!BH108</f>
        <v>2.2556390977443499</v>
      </c>
      <c r="L379" s="580">
        <f>INPUT!BI108</f>
        <v>264</v>
      </c>
      <c r="M379" s="577">
        <f>INPUT!BJ108</f>
        <v>-2.2222222222222285</v>
      </c>
      <c r="N379" s="580">
        <f>INPUT!BK108</f>
        <v>226</v>
      </c>
      <c r="O379" s="577">
        <f>INPUT!BL108</f>
        <v>93.162393162393158</v>
      </c>
      <c r="P379" s="580">
        <f>INPUT!BM108</f>
        <v>278</v>
      </c>
      <c r="Q379" s="577">
        <f>INPUT!BN108</f>
        <v>4.119850187265925</v>
      </c>
      <c r="R379" s="580">
        <f>INPUT!BO108</f>
        <v>285</v>
      </c>
      <c r="S379" s="577">
        <f>INPUT!BP108</f>
        <v>4.779411764705884</v>
      </c>
      <c r="T379" s="580">
        <f>INPUT!BQ108</f>
        <v>273</v>
      </c>
      <c r="U379" s="577">
        <f>INPUT!BR108</f>
        <v>3.4090909090909207</v>
      </c>
      <c r="V379" s="580">
        <f>INPUT!BS108</f>
        <v>209</v>
      </c>
      <c r="W379" s="577">
        <f>INPUT!BT108</f>
        <v>-7.5221238938053148</v>
      </c>
      <c r="X379" s="580">
        <f>INPUT!BU108</f>
        <v>299</v>
      </c>
      <c r="Y379" s="577">
        <f>INPUT!BV108</f>
        <v>7.5539568345323715</v>
      </c>
      <c r="Z379" s="580">
        <f>INPUT!BW108</f>
        <v>276</v>
      </c>
      <c r="AA379" s="577">
        <f>INPUT!BX108</f>
        <v>-3.1578947368421098</v>
      </c>
      <c r="AB379" s="580">
        <f>INPUT!BY108</f>
        <v>278</v>
      </c>
      <c r="AC379" s="577">
        <f>INPUT!BZ108</f>
        <v>1.831501831501825</v>
      </c>
      <c r="AD379" s="580">
        <f>INPUT!CA108</f>
        <v>181</v>
      </c>
      <c r="AE379" s="577">
        <f>INPUT!CB108</f>
        <v>-13.397129186602868</v>
      </c>
      <c r="AF379" s="580">
        <f>INPUT!CC108</f>
        <v>290</v>
      </c>
      <c r="AG379" s="577">
        <f>INPUT!CD108</f>
        <v>-3.0100334448160453</v>
      </c>
      <c r="AH379" s="580">
        <f>INPUT!CE108</f>
        <v>249</v>
      </c>
      <c r="AI379" s="577">
        <f>INPUT!CF108</f>
        <v>-9.7826086956521721</v>
      </c>
      <c r="AJ379" s="580">
        <f>INPUT!CG108</f>
        <v>294</v>
      </c>
      <c r="AK379" s="577">
        <f>INPUT!CH108</f>
        <v>5.7553956834532443</v>
      </c>
      <c r="AL379" s="580">
        <f>INPUT!CI108</f>
        <v>168</v>
      </c>
      <c r="AM379" s="577">
        <f>INPUT!CJ108</f>
        <v>-7.1823204419889493</v>
      </c>
      <c r="AN379" s="580">
        <f>INPUT!CK108</f>
        <v>266</v>
      </c>
      <c r="AO379" s="577">
        <f>INPUT!CL108</f>
        <v>-8.2758620689655231</v>
      </c>
      <c r="AP379" s="580">
        <f>INPUT!CM108</f>
        <v>264</v>
      </c>
      <c r="AQ379" s="577">
        <f>INPUT!CN108</f>
        <v>6.0240963855421796</v>
      </c>
      <c r="AR379" s="580">
        <f>INPUT!CO108</f>
        <v>274</v>
      </c>
      <c r="AS379" s="577">
        <f>INPUT!CP108</f>
        <v>-6.8027210884353764</v>
      </c>
      <c r="AT379" s="580">
        <f>INPUT!CQ108</f>
        <v>156</v>
      </c>
      <c r="AU379" s="577">
        <f>INPUT!CR108</f>
        <v>-7.1428571428571388</v>
      </c>
      <c r="AV379" s="580">
        <f>INPUT!CS108</f>
        <v>258</v>
      </c>
      <c r="AW379" s="577">
        <f>INPUT!CT108</f>
        <v>-3.0075187969924855</v>
      </c>
      <c r="AX379" s="580">
        <f>INPUT!CU108</f>
        <v>265</v>
      </c>
      <c r="AY379" s="577">
        <f>INPUT!CV108</f>
        <v>0.37878787878788955</v>
      </c>
      <c r="AZ379" s="580">
        <f>INPUT!CW108</f>
        <v>275</v>
      </c>
      <c r="BA379" s="577">
        <f>INPUT!CX108</f>
        <v>0.36496350364963348</v>
      </c>
      <c r="BB379" s="580">
        <f>INPUT!CY108</f>
        <v>407</v>
      </c>
      <c r="BC379" s="577" t="str">
        <f>INPUT!CZ108</f>
        <v>NM</v>
      </c>
      <c r="BD379" s="580">
        <f>INPUT!DA108</f>
        <v>304</v>
      </c>
      <c r="BE379" s="577">
        <f>INPUT!DB108</f>
        <v>17.829457364341096</v>
      </c>
      <c r="BF379" s="580">
        <f>INPUT!DC108</f>
        <v>515</v>
      </c>
      <c r="BG379" s="577">
        <f>INPUT!DD108</f>
        <v>94.339622641509436</v>
      </c>
      <c r="BH379" s="580">
        <f>INPUT!DE108</f>
        <v>523</v>
      </c>
      <c r="BI379" s="577">
        <f>INPUT!DF108</f>
        <v>90.181818181818187</v>
      </c>
      <c r="BJ379" s="580">
        <f>INPUT!DG108</f>
        <v>374</v>
      </c>
      <c r="BK379" s="577">
        <f>INPUT!DH108</f>
        <v>-8.1081081081080981</v>
      </c>
      <c r="BL379" s="580">
        <f>INPUT!DI108</f>
        <v>494</v>
      </c>
      <c r="BM379" s="577">
        <f>INPUT!DJ108</f>
        <v>62.5</v>
      </c>
      <c r="BN379" s="580">
        <f>INPUT!DK108</f>
        <v>541</v>
      </c>
      <c r="BO379" s="577">
        <f>INPUT!DL108</f>
        <v>5.0485436893203968</v>
      </c>
      <c r="BP379" s="580">
        <f>INPUT!DM108</f>
        <v>538</v>
      </c>
      <c r="BQ379" s="577">
        <f>INPUT!DN108</f>
        <v>2.8680688336520035</v>
      </c>
      <c r="BR379" s="580">
        <f>INPUT!DO108</f>
        <v>502</v>
      </c>
      <c r="BS379" s="577">
        <f>INPUT!DP108</f>
        <v>34.224598930481278</v>
      </c>
      <c r="BT379" s="580">
        <f>INPUT!DQ108</f>
        <v>562</v>
      </c>
      <c r="BU379" s="577">
        <f>INPUT!DR108</f>
        <v>13.76518218623481</v>
      </c>
      <c r="BV379" s="580">
        <f>INPUT!DS108</f>
        <v>563</v>
      </c>
      <c r="BW379" s="577">
        <f>INPUT!DT108</f>
        <v>4.0665434380776446</v>
      </c>
      <c r="BX379" s="580">
        <f>INPUT!DU108</f>
        <v>360</v>
      </c>
      <c r="BY379" s="577">
        <f>INPUT!DV108</f>
        <v>-33.085501858736052</v>
      </c>
      <c r="BZ379" s="580">
        <f>INPUT!DW108</f>
        <v>578</v>
      </c>
      <c r="CA379" s="577">
        <f>INPUT!DX108</f>
        <v>15.139442231075705</v>
      </c>
      <c r="CB379" s="580">
        <f>INPUT!DY108</f>
        <v>553</v>
      </c>
      <c r="CC379" s="577">
        <f>INPUT!DZ108</f>
        <v>-1.6014234875444799</v>
      </c>
      <c r="CD379" s="580">
        <f>INPUT!EA108</f>
        <v>570</v>
      </c>
      <c r="CE379" s="577">
        <f>INPUT!EB108</f>
        <v>1.2433392539964387</v>
      </c>
      <c r="CF379" s="580">
        <f>INPUT!EC108</f>
        <v>329</v>
      </c>
      <c r="CG379" s="577">
        <f>INPUT!ED108</f>
        <v>-8.6111111111111143</v>
      </c>
      <c r="CH379" s="580">
        <f>INPUT!EE108</f>
        <v>555</v>
      </c>
      <c r="CI379" s="577">
        <f>INPUT!EF108</f>
        <v>-3.9792387543252659</v>
      </c>
      <c r="CJ379" s="580">
        <f>INPUT!EG108</f>
        <v>566</v>
      </c>
      <c r="CK379" s="577">
        <f>INPUT!EH108</f>
        <v>2.3508137432188221</v>
      </c>
      <c r="CL379" s="580">
        <f>INPUT!EI108</f>
        <v>573</v>
      </c>
      <c r="CM379" s="577">
        <f>INPUT!EJ108</f>
        <v>0.52631578947368496</v>
      </c>
      <c r="CN379" s="580">
        <f>INPUT!EK108</f>
        <v>-240</v>
      </c>
      <c r="CO379" s="577" t="str">
        <f>INPUT!EL108</f>
        <v>NM</v>
      </c>
      <c r="CP379" s="580">
        <f>INPUT!EM108</f>
        <v>519</v>
      </c>
      <c r="CQ379" s="577">
        <f>INPUT!EN108</f>
        <v>-6.4864864864864842</v>
      </c>
      <c r="CR379" s="580">
        <f>INPUT!EO108</f>
        <v>550</v>
      </c>
      <c r="CS379" s="577">
        <f>INPUT!EP108</f>
        <v>-2.8268551236749033</v>
      </c>
      <c r="CT379" s="580">
        <f>INPUT!EQ108</f>
        <v>587.32499999999993</v>
      </c>
      <c r="CU379" s="577">
        <f>INPUT!ER108</f>
        <v>2.4999999999999858</v>
      </c>
      <c r="CV379" s="580">
        <f>INPUT!ES108</f>
        <v>384</v>
      </c>
      <c r="CW379" s="577" t="str">
        <f>INPUT!ET108</f>
        <v>NM</v>
      </c>
      <c r="CX379" s="580">
        <f>INPUT!EU108</f>
        <v>531.97499999999991</v>
      </c>
      <c r="CY379" s="577">
        <f>INPUT!EV108</f>
        <v>2.4999999999999858</v>
      </c>
      <c r="CZ379" s="580">
        <f>INPUT!EW108</f>
        <v>563.75</v>
      </c>
      <c r="DA379" s="577">
        <f>INPUT!EX108</f>
        <v>2.4999999999999858</v>
      </c>
      <c r="DB379" s="596"/>
      <c r="DC379" s="580">
        <f>INPUT!FP108</f>
        <v>1095</v>
      </c>
      <c r="DD379" s="577">
        <f>INPUT!FQ108</f>
        <v>6.6212268743914393</v>
      </c>
      <c r="DE379" s="580">
        <f>INPUT!FR108</f>
        <v>920</v>
      </c>
      <c r="DF379" s="577">
        <f>INPUT!FS108</f>
        <v>-15.981735159817362</v>
      </c>
      <c r="DG379" s="580">
        <f>INPUT!FT108</f>
        <v>1040</v>
      </c>
      <c r="DH379" s="577">
        <f>INPUT!FU108</f>
        <v>13.043478260869563</v>
      </c>
      <c r="DI379" s="580">
        <f>INPUT!FV108</f>
        <v>1066</v>
      </c>
      <c r="DJ379" s="577">
        <f>INPUT!FW108</f>
        <v>2.4999999999999858</v>
      </c>
      <c r="DK379" s="580">
        <f>INPUT!FX108</f>
        <v>1024</v>
      </c>
      <c r="DL379" s="577">
        <f>INPUT!FY108</f>
        <v>-3.9399624765478478</v>
      </c>
      <c r="DM379" s="580">
        <f>INPUT!FZ108</f>
        <v>977</v>
      </c>
      <c r="DN379" s="577">
        <f>INPUT!GA108</f>
        <v>-4.58984375</v>
      </c>
      <c r="DO379" s="580">
        <f>INPUT!GB108</f>
        <v>952</v>
      </c>
      <c r="DP379" s="577">
        <f>INPUT!GC108</f>
        <v>-2.5588536335721557</v>
      </c>
      <c r="DQ379" s="580">
        <f>INPUT!GD108</f>
        <v>1251</v>
      </c>
      <c r="DR379" s="577">
        <f>INPUT!GE108</f>
        <v>31.407563025210095</v>
      </c>
      <c r="DS379" s="580">
        <f>INPUT!GF108</f>
        <v>1906</v>
      </c>
      <c r="DT379" s="577">
        <f>INPUT!GG108</f>
        <v>52.358113509192634</v>
      </c>
      <c r="DU379" s="580">
        <f>INPUT!GH108</f>
        <v>2143</v>
      </c>
      <c r="DV379" s="577">
        <f>INPUT!GI108</f>
        <v>12.434417628541453</v>
      </c>
      <c r="DW379" s="580">
        <f>INPUT!GJ108</f>
        <v>2054</v>
      </c>
      <c r="DX379" s="577">
        <f>INPUT!GK108</f>
        <v>-4.1530564629024695</v>
      </c>
      <c r="DY379" s="580">
        <f>INPUT!GL108</f>
        <v>2020</v>
      </c>
      <c r="DZ379" s="577">
        <f>INPUT!GM108</f>
        <v>-1.6553067185978563</v>
      </c>
      <c r="EA379" s="580">
        <f>INPUT!GN108</f>
        <v>1402</v>
      </c>
      <c r="EB379" s="577">
        <f>INPUT!GO108</f>
        <v>-30.594059405940598</v>
      </c>
      <c r="EC379" s="580">
        <f>INPUT!GP108</f>
        <v>2067.0499999999997</v>
      </c>
      <c r="ED379" s="577">
        <f>INPUT!GQ108</f>
        <v>47.435805991440759</v>
      </c>
      <c r="EE379" s="580">
        <f>INPUT!GR108</f>
        <v>2191.0729999999999</v>
      </c>
      <c r="EF379" s="577">
        <f>INPUT!GS108</f>
        <v>6</v>
      </c>
      <c r="EG379" s="580">
        <f>INPUT!GT108</f>
        <v>2322.5373799999998</v>
      </c>
      <c r="EH379" s="577">
        <f>INPUT!GU108</f>
        <v>6</v>
      </c>
      <c r="EI379" s="580">
        <f>INPUT!GV108</f>
        <v>2461.8896227999999</v>
      </c>
      <c r="EJ379" s="577">
        <f>INPUT!GW108</f>
        <v>6</v>
      </c>
      <c r="EK379" s="580">
        <f>INPUT!GX108</f>
        <v>2609.6030001680001</v>
      </c>
      <c r="EL379" s="577">
        <f>INPUT!GY108</f>
        <v>6</v>
      </c>
      <c r="EM379" s="577">
        <f>INPUT!GZ108</f>
        <v>13.230985156196539</v>
      </c>
    </row>
    <row r="380" spans="1:144" ht="12.75" hidden="1" customHeight="1" outlineLevel="1" x14ac:dyDescent="0.2">
      <c r="A380" s="579" t="str">
        <f>INPUT!B109</f>
        <v xml:space="preserve">  Total Fees</v>
      </c>
      <c r="B380" s="580">
        <f>INPUT!AY109</f>
        <v>366</v>
      </c>
      <c r="C380" s="577">
        <f>INPUT!AZ109</f>
        <v>3.68271954674222</v>
      </c>
      <c r="D380" s="580">
        <f>INPUT!BA109</f>
        <v>373</v>
      </c>
      <c r="E380" s="577">
        <f>INPUT!BB109</f>
        <v>5.9659090909090793</v>
      </c>
      <c r="F380" s="580">
        <f>INPUT!BC109</f>
        <v>226</v>
      </c>
      <c r="G380" s="577">
        <f>INPUT!BD109</f>
        <v>-42.784810126582272</v>
      </c>
      <c r="H380" s="580">
        <f>INPUT!BE109</f>
        <v>384</v>
      </c>
      <c r="I380" s="577">
        <f>INPUT!BF109</f>
        <v>-0.51813471502590858</v>
      </c>
      <c r="J380" s="580">
        <f>INPUT!BG109</f>
        <v>398</v>
      </c>
      <c r="K380" s="577">
        <f>INPUT!BH109</f>
        <v>8.7431693989071135</v>
      </c>
      <c r="L380" s="580">
        <f>INPUT!BI109</f>
        <v>390</v>
      </c>
      <c r="M380" s="577">
        <f>INPUT!BJ109</f>
        <v>4.5576407506702452</v>
      </c>
      <c r="N380" s="580">
        <f>INPUT!BK109</f>
        <v>363</v>
      </c>
      <c r="O380" s="577">
        <f>INPUT!BL109</f>
        <v>60.619469026548671</v>
      </c>
      <c r="P380" s="580">
        <f>INPUT!BM109</f>
        <v>422</v>
      </c>
      <c r="Q380" s="577">
        <f>INPUT!BN109</f>
        <v>9.8958333333333286</v>
      </c>
      <c r="R380" s="580">
        <f>INPUT!BO109</f>
        <v>433</v>
      </c>
      <c r="S380" s="577">
        <f>INPUT!BP109</f>
        <v>8.7939698492462242</v>
      </c>
      <c r="T380" s="580">
        <f>INPUT!BQ109</f>
        <v>421</v>
      </c>
      <c r="U380" s="577">
        <f>INPUT!BR109</f>
        <v>7.9487179487179418</v>
      </c>
      <c r="V380" s="580">
        <f>INPUT!BS109</f>
        <v>364</v>
      </c>
      <c r="W380" s="577">
        <f>INPUT!BT109</f>
        <v>0.27548209366389642</v>
      </c>
      <c r="X380" s="580">
        <f>INPUT!BU109</f>
        <v>461</v>
      </c>
      <c r="Y380" s="577">
        <f>INPUT!BV109</f>
        <v>9.2417061611374436</v>
      </c>
      <c r="Z380" s="580">
        <f>INPUT!BW109</f>
        <v>436</v>
      </c>
      <c r="AA380" s="577">
        <f>INPUT!BX109</f>
        <v>0.69284064665127687</v>
      </c>
      <c r="AB380" s="580">
        <f>INPUT!BY109</f>
        <v>448</v>
      </c>
      <c r="AC380" s="577">
        <f>INPUT!BZ109</f>
        <v>6.4133016627078376</v>
      </c>
      <c r="AD380" s="580">
        <f>INPUT!CA109</f>
        <v>359</v>
      </c>
      <c r="AE380" s="577">
        <f>INPUT!CB109</f>
        <v>-1.3736263736263652</v>
      </c>
      <c r="AF380" s="580">
        <f>INPUT!CC109</f>
        <v>468</v>
      </c>
      <c r="AG380" s="577">
        <f>INPUT!CD109</f>
        <v>1.518438177874188</v>
      </c>
      <c r="AH380" s="580">
        <f>INPUT!CE109</f>
        <v>425</v>
      </c>
      <c r="AI380" s="577">
        <f>INPUT!CF109</f>
        <v>-2.5229357798165211</v>
      </c>
      <c r="AJ380" s="580">
        <f>INPUT!CG109</f>
        <v>471</v>
      </c>
      <c r="AK380" s="577">
        <f>INPUT!CH109</f>
        <v>5.1339285714285836</v>
      </c>
      <c r="AL380" s="580">
        <f>INPUT!CI109</f>
        <v>349</v>
      </c>
      <c r="AM380" s="577">
        <f>INPUT!CJ109</f>
        <v>-2.7855153203342695</v>
      </c>
      <c r="AN380" s="580">
        <f>INPUT!CK109</f>
        <v>446</v>
      </c>
      <c r="AO380" s="577">
        <f>INPUT!CL109</f>
        <v>-4.7008547008547055</v>
      </c>
      <c r="AP380" s="580">
        <f>INPUT!CM109</f>
        <v>436</v>
      </c>
      <c r="AQ380" s="577">
        <f>INPUT!CN109</f>
        <v>2.5882352941176521</v>
      </c>
      <c r="AR380" s="580">
        <f>INPUT!CO109</f>
        <v>457</v>
      </c>
      <c r="AS380" s="577">
        <f>INPUT!CP109</f>
        <v>-2.9723991507431009</v>
      </c>
      <c r="AT380" s="580">
        <f>INPUT!CQ109</f>
        <v>338</v>
      </c>
      <c r="AU380" s="577">
        <f>INPUT!CR109</f>
        <v>-3.151862464183381</v>
      </c>
      <c r="AV380" s="580">
        <f>INPUT!CS109</f>
        <v>437</v>
      </c>
      <c r="AW380" s="577">
        <f>INPUT!CT109</f>
        <v>-2.0179372197309391</v>
      </c>
      <c r="AX380" s="580">
        <f>INPUT!CU109</f>
        <v>440</v>
      </c>
      <c r="AY380" s="577">
        <f>INPUT!CV109</f>
        <v>0.91743119266054407</v>
      </c>
      <c r="AZ380" s="580">
        <f>INPUT!CW109</f>
        <v>458</v>
      </c>
      <c r="BA380" s="577">
        <f>INPUT!CX109</f>
        <v>0.21881838074398274</v>
      </c>
      <c r="BB380" s="580">
        <f>INPUT!CY109</f>
        <v>591</v>
      </c>
      <c r="BC380" s="577">
        <f>INPUT!CZ109</f>
        <v>74.852071005917139</v>
      </c>
      <c r="BD380" s="580">
        <f>INPUT!DA109</f>
        <v>487</v>
      </c>
      <c r="BE380" s="577">
        <f>INPUT!DB109</f>
        <v>11.441647597254018</v>
      </c>
      <c r="BF380" s="580">
        <f>INPUT!DC109</f>
        <v>708</v>
      </c>
      <c r="BG380" s="577">
        <f>INPUT!DD109</f>
        <v>60.909090909090907</v>
      </c>
      <c r="BH380" s="580">
        <f>INPUT!DE109</f>
        <v>727</v>
      </c>
      <c r="BI380" s="577">
        <f>INPUT!DF109</f>
        <v>58.733624454148469</v>
      </c>
      <c r="BJ380" s="580">
        <f>INPUT!DG109</f>
        <v>572</v>
      </c>
      <c r="BK380" s="577">
        <f>INPUT!DH109</f>
        <v>-3.2148900169204637</v>
      </c>
      <c r="BL380" s="580">
        <f>INPUT!DI109</f>
        <v>709</v>
      </c>
      <c r="BM380" s="577">
        <f>INPUT!DJ109</f>
        <v>45.585215605749482</v>
      </c>
      <c r="BN380" s="580">
        <f>INPUT!DK109</f>
        <v>755</v>
      </c>
      <c r="BO380" s="577">
        <f>INPUT!DL109</f>
        <v>6.6384180790960414</v>
      </c>
      <c r="BP380" s="580">
        <f>INPUT!DM109</f>
        <v>757</v>
      </c>
      <c r="BQ380" s="577">
        <f>INPUT!DN109</f>
        <v>4.1265474552957215</v>
      </c>
      <c r="BR380" s="580">
        <f>INPUT!DO109</f>
        <v>712</v>
      </c>
      <c r="BS380" s="577">
        <f>INPUT!DP109</f>
        <v>24.47552447552448</v>
      </c>
      <c r="BT380" s="580">
        <f>INPUT!DQ109</f>
        <v>767</v>
      </c>
      <c r="BU380" s="577">
        <f>INPUT!DR109</f>
        <v>8.1805359661495203</v>
      </c>
      <c r="BV380" s="580">
        <f>INPUT!DS109</f>
        <v>795</v>
      </c>
      <c r="BW380" s="577">
        <f>INPUT!DT109</f>
        <v>5.2980132450331183</v>
      </c>
      <c r="BX380" s="580">
        <f>INPUT!DU109</f>
        <v>589</v>
      </c>
      <c r="BY380" s="577">
        <f>INPUT!DV109</f>
        <v>-22.192866578599734</v>
      </c>
      <c r="BZ380" s="580">
        <f>INPUT!DW109</f>
        <v>797</v>
      </c>
      <c r="CA380" s="577">
        <f>INPUT!DX109</f>
        <v>11.938202247191015</v>
      </c>
      <c r="CB380" s="580">
        <f>INPUT!DY109</f>
        <v>769</v>
      </c>
      <c r="CC380" s="577">
        <f>INPUT!DZ109</f>
        <v>0.26075619295957608</v>
      </c>
      <c r="CD380" s="580">
        <f>INPUT!EA109</f>
        <v>780</v>
      </c>
      <c r="CE380" s="577">
        <f>INPUT!EB109</f>
        <v>-1.8867924528301927</v>
      </c>
      <c r="CF380" s="580">
        <f>INPUT!EC109</f>
        <v>545</v>
      </c>
      <c r="CG380" s="577">
        <f>INPUT!ED109</f>
        <v>-7.4702886247877842</v>
      </c>
      <c r="CH380" s="580">
        <f>INPUT!EE109</f>
        <v>771</v>
      </c>
      <c r="CI380" s="577">
        <f>INPUT!EF109</f>
        <v>-3.2622333751568391</v>
      </c>
      <c r="CJ380" s="580">
        <f>INPUT!EG109</f>
        <v>784</v>
      </c>
      <c r="CK380" s="577">
        <f>INPUT!EH109</f>
        <v>1.9505851755526606</v>
      </c>
      <c r="CL380" s="580">
        <f>INPUT!EI109</f>
        <v>789</v>
      </c>
      <c r="CM380" s="577">
        <f>INPUT!EJ109</f>
        <v>1.1538461538461462</v>
      </c>
      <c r="CN380" s="580">
        <f>INPUT!EK109</f>
        <v>-10</v>
      </c>
      <c r="CO380" s="577" t="str">
        <f>INPUT!EL109</f>
        <v>NM</v>
      </c>
      <c r="CP380" s="580">
        <f>INPUT!EM109</f>
        <v>742</v>
      </c>
      <c r="CQ380" s="577">
        <f>INPUT!EN109</f>
        <v>-3.7613488975356688</v>
      </c>
      <c r="CR380" s="580">
        <f>INPUT!EO109</f>
        <v>776</v>
      </c>
      <c r="CS380" s="577">
        <f>INPUT!EP109</f>
        <v>-1.0204081632653015</v>
      </c>
      <c r="CT380" s="580">
        <f>INPUT!EQ109</f>
        <v>816.28499999999997</v>
      </c>
      <c r="CU380" s="577">
        <f>INPUT!ER109</f>
        <v>3.4581749049429504</v>
      </c>
      <c r="CV380" s="580">
        <f>INPUT!ES109</f>
        <v>627.79999999999995</v>
      </c>
      <c r="CW380" s="577" t="str">
        <f>INPUT!ET109</f>
        <v>NM</v>
      </c>
      <c r="CX380" s="580">
        <f>INPUT!EU109</f>
        <v>768.3549999999999</v>
      </c>
      <c r="CY380" s="577">
        <f>INPUT!EV109</f>
        <v>3.5518867924528195</v>
      </c>
      <c r="CZ380" s="580">
        <f>INPUT!EW109</f>
        <v>803.31</v>
      </c>
      <c r="DA380" s="577">
        <f>INPUT!EX109</f>
        <v>3.5193298969072231</v>
      </c>
      <c r="DB380" s="596"/>
      <c r="DC380" s="580">
        <f>INPUT!FP109</f>
        <v>1486</v>
      </c>
      <c r="DD380" s="577">
        <f>INPUT!FQ109</f>
        <v>9.1844232182219088</v>
      </c>
      <c r="DE380" s="580">
        <f>INPUT!FR109</f>
        <v>1349</v>
      </c>
      <c r="DF380" s="577">
        <f>INPUT!FS109</f>
        <v>-9.2193808882907149</v>
      </c>
      <c r="DG380" s="580">
        <f>INPUT!FT109</f>
        <v>1573</v>
      </c>
      <c r="DH380" s="577">
        <f>INPUT!FU109</f>
        <v>16.604892512972569</v>
      </c>
      <c r="DI380" s="580">
        <f>INPUT!FV109</f>
        <v>1679</v>
      </c>
      <c r="DJ380" s="577">
        <f>INPUT!FW109</f>
        <v>6.7387158296249368</v>
      </c>
      <c r="DK380" s="580">
        <f>INPUT!FX109</f>
        <v>1710</v>
      </c>
      <c r="DL380" s="577">
        <f>INPUT!FY109</f>
        <v>1.8463371054198774</v>
      </c>
      <c r="DM380" s="580">
        <f>INPUT!FZ109</f>
        <v>1691</v>
      </c>
      <c r="DN380" s="577">
        <f>INPUT!GA109</f>
        <v>-1.1111111111111143</v>
      </c>
      <c r="DO380" s="580">
        <f>INPUT!GB109</f>
        <v>1668</v>
      </c>
      <c r="DP380" s="577">
        <f>INPUT!GC109</f>
        <v>-1.3601419278533484</v>
      </c>
      <c r="DQ380" s="580">
        <f>INPUT!GD109</f>
        <v>1976</v>
      </c>
      <c r="DR380" s="577">
        <f>INPUT!GE109</f>
        <v>18.465227817745799</v>
      </c>
      <c r="DS380" s="580">
        <f>INPUT!GF109</f>
        <v>2716</v>
      </c>
      <c r="DT380" s="577">
        <f>INPUT!GG109</f>
        <v>37.449392712550605</v>
      </c>
      <c r="DU380" s="580">
        <f>INPUT!GH109</f>
        <v>2991</v>
      </c>
      <c r="DV380" s="577">
        <f>INPUT!GI109</f>
        <v>10.125184094256269</v>
      </c>
      <c r="DW380" s="580">
        <f>INPUT!GJ109</f>
        <v>2950</v>
      </c>
      <c r="DX380" s="577">
        <f>INPUT!GK109</f>
        <v>-1.370779003677697</v>
      </c>
      <c r="DY380" s="580">
        <f>INPUT!GL109</f>
        <v>2880</v>
      </c>
      <c r="DZ380" s="577">
        <f>INPUT!GM109</f>
        <v>-2.3728813559321935</v>
      </c>
      <c r="EA380" s="580">
        <f>INPUT!GN109</f>
        <v>2297</v>
      </c>
      <c r="EB380" s="577">
        <f>INPUT!GO109</f>
        <v>-20.243055555555557</v>
      </c>
      <c r="EC380" s="580">
        <f>INPUT!GP109</f>
        <v>3015.75</v>
      </c>
      <c r="ED380" s="577">
        <f>INPUT!GQ109</f>
        <v>31.290814105354826</v>
      </c>
      <c r="EE380" s="580">
        <f>INPUT!GR109</f>
        <v>3196.6949999999997</v>
      </c>
      <c r="EF380" s="577">
        <f>INPUT!GS109</f>
        <v>5.9999999999999858</v>
      </c>
      <c r="EG380" s="580">
        <f>INPUT!GT109</f>
        <v>3388.4966999999997</v>
      </c>
      <c r="EH380" s="577">
        <f>INPUT!GU109</f>
        <v>6</v>
      </c>
      <c r="EI380" s="580">
        <f>INPUT!GV109</f>
        <v>3591.8065020000004</v>
      </c>
      <c r="EJ380" s="577">
        <f>INPUT!GW109</f>
        <v>6.0000000000000284</v>
      </c>
      <c r="EK380" s="580">
        <f>INPUT!GX109</f>
        <v>3807.3148921200004</v>
      </c>
      <c r="EL380" s="577">
        <f>INPUT!GY109</f>
        <v>6</v>
      </c>
      <c r="EM380" s="577">
        <f>INPUT!GZ109</f>
        <v>10.634750420517181</v>
      </c>
    </row>
    <row r="381" spans="1:144" ht="12.75" hidden="1" customHeight="1" outlineLevel="1" x14ac:dyDescent="0.2">
      <c r="A381" s="579" t="str">
        <f>INPUT!B110</f>
        <v>Net Investment Income</v>
      </c>
      <c r="B381" s="580">
        <f>INPUT!AY110</f>
        <v>126</v>
      </c>
      <c r="C381" s="577">
        <f>INPUT!AZ110</f>
        <v>0.79999999999999716</v>
      </c>
      <c r="D381" s="580">
        <f>INPUT!BA110</f>
        <v>136</v>
      </c>
      <c r="E381" s="577">
        <f>INPUT!BB110</f>
        <v>14.285714285714278</v>
      </c>
      <c r="F381" s="580">
        <f>INPUT!BC110</f>
        <v>137</v>
      </c>
      <c r="G381" s="577">
        <f>INPUT!BD110</f>
        <v>8.7301587301587205</v>
      </c>
      <c r="H381" s="580">
        <f>INPUT!BE110</f>
        <v>149</v>
      </c>
      <c r="I381" s="577">
        <f>INPUT!BF110</f>
        <v>14.615384615384613</v>
      </c>
      <c r="J381" s="580">
        <f>INPUT!BG110</f>
        <v>155</v>
      </c>
      <c r="K381" s="577">
        <f>INPUT!BH110</f>
        <v>23.015873015873026</v>
      </c>
      <c r="L381" s="580">
        <f>INPUT!BI110</f>
        <v>161</v>
      </c>
      <c r="M381" s="577">
        <f>INPUT!BJ110</f>
        <v>18.382352941176478</v>
      </c>
      <c r="N381" s="580">
        <f>INPUT!BK110</f>
        <v>165</v>
      </c>
      <c r="O381" s="577">
        <f>INPUT!BL110</f>
        <v>20.43795620437956</v>
      </c>
      <c r="P381" s="580">
        <f>INPUT!BM110</f>
        <v>175</v>
      </c>
      <c r="Q381" s="577">
        <f>INPUT!BN110</f>
        <v>17.449664429530202</v>
      </c>
      <c r="R381" s="580">
        <f>INPUT!BO110</f>
        <v>180</v>
      </c>
      <c r="S381" s="577">
        <f>INPUT!BP110</f>
        <v>16.129032258064527</v>
      </c>
      <c r="T381" s="580">
        <f>INPUT!BQ110</f>
        <v>182</v>
      </c>
      <c r="U381" s="577">
        <f>INPUT!BR110</f>
        <v>13.043478260869563</v>
      </c>
      <c r="V381" s="580">
        <f>INPUT!BS110</f>
        <v>191</v>
      </c>
      <c r="W381" s="577">
        <f>INPUT!BT110</f>
        <v>15.757575757575751</v>
      </c>
      <c r="X381" s="580">
        <f>INPUT!BU110</f>
        <v>196</v>
      </c>
      <c r="Y381" s="577">
        <f>INPUT!BV110</f>
        <v>12.000000000000014</v>
      </c>
      <c r="Z381" s="580">
        <f>INPUT!BW110</f>
        <v>197</v>
      </c>
      <c r="AA381" s="577">
        <f>INPUT!BX110</f>
        <v>9.4444444444444571</v>
      </c>
      <c r="AB381" s="580">
        <f>INPUT!BY110</f>
        <v>200</v>
      </c>
      <c r="AC381" s="577">
        <f>INPUT!BZ110</f>
        <v>9.8901098901098976</v>
      </c>
      <c r="AD381" s="580">
        <f>INPUT!CA110</f>
        <v>205</v>
      </c>
      <c r="AE381" s="577">
        <f>INPUT!CB110</f>
        <v>7.329842931937165</v>
      </c>
      <c r="AF381" s="580">
        <f>INPUT!CC110</f>
        <v>207</v>
      </c>
      <c r="AG381" s="577">
        <f>INPUT!CD110</f>
        <v>5.6122448979591724</v>
      </c>
      <c r="AH381" s="580">
        <f>INPUT!CE110</f>
        <v>213</v>
      </c>
      <c r="AI381" s="577">
        <f>INPUT!CF110</f>
        <v>8.1218274111675157</v>
      </c>
      <c r="AJ381" s="580">
        <f>INPUT!CG110</f>
        <v>223</v>
      </c>
      <c r="AK381" s="577">
        <f>INPUT!CH110</f>
        <v>11.5</v>
      </c>
      <c r="AL381" s="580">
        <f>INPUT!CI110</f>
        <v>230</v>
      </c>
      <c r="AM381" s="577">
        <f>INPUT!CJ110</f>
        <v>12.195121951219519</v>
      </c>
      <c r="AN381" s="580">
        <f>INPUT!CK110</f>
        <v>237</v>
      </c>
      <c r="AO381" s="577">
        <f>INPUT!CL110</f>
        <v>14.492753623188406</v>
      </c>
      <c r="AP381" s="580">
        <f>INPUT!CM110</f>
        <v>236</v>
      </c>
      <c r="AQ381" s="577">
        <f>INPUT!CN110</f>
        <v>10.798122065727696</v>
      </c>
      <c r="AR381" s="580">
        <f>INPUT!CO110</f>
        <v>245</v>
      </c>
      <c r="AS381" s="577">
        <f>INPUT!CP110</f>
        <v>9.8654708520179497</v>
      </c>
      <c r="AT381" s="580">
        <f>INPUT!CQ110</f>
        <v>248</v>
      </c>
      <c r="AU381" s="577">
        <f>INPUT!CR110</f>
        <v>7.8260869565217348</v>
      </c>
      <c r="AV381" s="580">
        <f>INPUT!CS110</f>
        <v>249</v>
      </c>
      <c r="AW381" s="577">
        <f>INPUT!CT110</f>
        <v>5.0632911392405049</v>
      </c>
      <c r="AX381" s="580">
        <f>INPUT!CU110</f>
        <v>254</v>
      </c>
      <c r="AY381" s="577">
        <f>INPUT!CV110</f>
        <v>7.6271186440677923</v>
      </c>
      <c r="AZ381" s="580">
        <f>INPUT!CW110</f>
        <v>256</v>
      </c>
      <c r="BA381" s="577">
        <f>INPUT!CX110</f>
        <v>4.4897959183673493</v>
      </c>
      <c r="BB381" s="580">
        <f>INPUT!CY110</f>
        <v>261</v>
      </c>
      <c r="BC381" s="577">
        <f>INPUT!CZ110</f>
        <v>5.2419354838709751</v>
      </c>
      <c r="BD381" s="580">
        <f>INPUT!DA110</f>
        <v>262</v>
      </c>
      <c r="BE381" s="577">
        <f>INPUT!DB110</f>
        <v>5.2208835341365472</v>
      </c>
      <c r="BF381" s="580">
        <f>INPUT!DC110</f>
        <v>330</v>
      </c>
      <c r="BG381" s="577">
        <f>INPUT!DD110</f>
        <v>29.921259842519675</v>
      </c>
      <c r="BH381" s="580">
        <f>INPUT!DE110</f>
        <v>354</v>
      </c>
      <c r="BI381" s="577">
        <f>INPUT!DF110</f>
        <v>38.28125</v>
      </c>
      <c r="BJ381" s="580">
        <f>INPUT!DG110</f>
        <v>353</v>
      </c>
      <c r="BK381" s="577">
        <f>INPUT!DH110</f>
        <v>35.249042145593876</v>
      </c>
      <c r="BL381" s="580">
        <f>INPUT!DI110</f>
        <v>369</v>
      </c>
      <c r="BM381" s="577">
        <f>INPUT!DJ110</f>
        <v>40.839694656488547</v>
      </c>
      <c r="BN381" s="580">
        <f>INPUT!DK110</f>
        <v>399</v>
      </c>
      <c r="BO381" s="577">
        <f>INPUT!DL110</f>
        <v>20.909090909090907</v>
      </c>
      <c r="BP381" s="580">
        <f>INPUT!DM110</f>
        <v>395</v>
      </c>
      <c r="BQ381" s="577">
        <f>INPUT!DN110</f>
        <v>11.581920903954796</v>
      </c>
      <c r="BR381" s="580">
        <f>INPUT!DO110</f>
        <v>415</v>
      </c>
      <c r="BS381" s="577">
        <f>INPUT!DP110</f>
        <v>17.563739376770542</v>
      </c>
      <c r="BT381" s="580">
        <f>INPUT!DQ110</f>
        <v>411</v>
      </c>
      <c r="BU381" s="577">
        <f>INPUT!DR110</f>
        <v>11.382113821138205</v>
      </c>
      <c r="BV381" s="580">
        <f>INPUT!DS110</f>
        <v>403</v>
      </c>
      <c r="BW381" s="577">
        <f>INPUT!DT110</f>
        <v>1.0025062656641666</v>
      </c>
      <c r="BX381" s="580">
        <f>INPUT!DU110</f>
        <v>409</v>
      </c>
      <c r="BY381" s="577">
        <f>INPUT!DV110</f>
        <v>3.5443037974683449</v>
      </c>
      <c r="BZ381" s="580">
        <f>INPUT!DW110</f>
        <v>436</v>
      </c>
      <c r="CA381" s="577">
        <f>INPUT!DX110</f>
        <v>5.0602409638554207</v>
      </c>
      <c r="CB381" s="580">
        <f>INPUT!DY110</f>
        <v>421</v>
      </c>
      <c r="CC381" s="577">
        <f>INPUT!DZ110</f>
        <v>2.4330900243308946</v>
      </c>
      <c r="CD381" s="580">
        <f>INPUT!EA110</f>
        <v>436</v>
      </c>
      <c r="CE381" s="577">
        <f>INPUT!EB110</f>
        <v>8.1885856079404391</v>
      </c>
      <c r="CF381" s="580">
        <f>INPUT!EC110</f>
        <v>445</v>
      </c>
      <c r="CG381" s="577">
        <f>INPUT!ED110</f>
        <v>8.8019559902200513</v>
      </c>
      <c r="CH381" s="580">
        <f>INPUT!EE110</f>
        <v>469</v>
      </c>
      <c r="CI381" s="577">
        <f>INPUT!EF110</f>
        <v>7.5688073394495348</v>
      </c>
      <c r="CJ381" s="580">
        <f>INPUT!EG110</f>
        <v>472</v>
      </c>
      <c r="CK381" s="577">
        <f>INPUT!EH110</f>
        <v>12.11401425178147</v>
      </c>
      <c r="CL381" s="580">
        <f>INPUT!EI110</f>
        <v>482</v>
      </c>
      <c r="CM381" s="577">
        <f>INPUT!EJ110</f>
        <v>10.550458715596321</v>
      </c>
      <c r="CN381" s="580">
        <f>INPUT!EK110</f>
        <v>483</v>
      </c>
      <c r="CO381" s="577">
        <f>INPUT!EL110</f>
        <v>8.539325842696627</v>
      </c>
      <c r="CP381" s="580">
        <f>INPUT!EM110</f>
        <v>484</v>
      </c>
      <c r="CQ381" s="577">
        <f>INPUT!EN110</f>
        <v>3.1982942430703645</v>
      </c>
      <c r="CR381" s="580">
        <f>INPUT!EO110</f>
        <v>499</v>
      </c>
      <c r="CS381" s="577">
        <f>INPUT!EP110</f>
        <v>5.7203389830508371</v>
      </c>
      <c r="CT381" s="580">
        <f>INPUT!EQ110</f>
        <v>494.01</v>
      </c>
      <c r="CU381" s="577">
        <f>INPUT!ER110</f>
        <v>2.4917012448132851</v>
      </c>
      <c r="CV381" s="580">
        <f>INPUT!ES110</f>
        <v>498.95010000000002</v>
      </c>
      <c r="CW381" s="577">
        <f>INPUT!ET110</f>
        <v>3.3022981366459732</v>
      </c>
      <c r="CX381" s="580">
        <f>INPUT!EU110</f>
        <v>503.93960100000004</v>
      </c>
      <c r="CY381" s="577">
        <f>INPUT!EV110</f>
        <v>4.1197522727272684</v>
      </c>
      <c r="CZ381" s="580">
        <f>INPUT!EW110</f>
        <v>508.97899701000006</v>
      </c>
      <c r="DA381" s="577">
        <f>INPUT!EX110</f>
        <v>1.9997989999999959</v>
      </c>
      <c r="DB381" s="596"/>
      <c r="DC381" s="580">
        <f>INPUT!FP110</f>
        <v>500</v>
      </c>
      <c r="DD381" s="577">
        <f>INPUT!FQ110</f>
        <v>18.764845605700714</v>
      </c>
      <c r="DE381" s="580">
        <f>INPUT!FR110</f>
        <v>548</v>
      </c>
      <c r="DF381" s="577">
        <f>INPUT!FS110</f>
        <v>9.6000000000000085</v>
      </c>
      <c r="DG381" s="580">
        <f>INPUT!FT110</f>
        <v>656</v>
      </c>
      <c r="DH381" s="577">
        <f>INPUT!FU110</f>
        <v>19.708029197080307</v>
      </c>
      <c r="DI381" s="580">
        <f>INPUT!FV110</f>
        <v>749</v>
      </c>
      <c r="DJ381" s="577">
        <f>INPUT!FW110</f>
        <v>14.176829268292693</v>
      </c>
      <c r="DK381" s="580">
        <f>INPUT!FX110</f>
        <v>809</v>
      </c>
      <c r="DL381" s="577">
        <f>INPUT!FY110</f>
        <v>8.0106809078771732</v>
      </c>
      <c r="DM381" s="580">
        <f>INPUT!FZ110</f>
        <v>903</v>
      </c>
      <c r="DN381" s="577">
        <f>INPUT!GA110</f>
        <v>11.619283065512988</v>
      </c>
      <c r="DO381" s="580">
        <f>INPUT!GB110</f>
        <v>978</v>
      </c>
      <c r="DP381" s="577">
        <f>INPUT!GC110</f>
        <v>8.305647840531563</v>
      </c>
      <c r="DQ381" s="580">
        <f>INPUT!GD110</f>
        <v>1033</v>
      </c>
      <c r="DR381" s="577">
        <f>INPUT!GE110</f>
        <v>5.623721881390594</v>
      </c>
      <c r="DS381" s="580">
        <f>INPUT!GF110</f>
        <v>1406</v>
      </c>
      <c r="DT381" s="577">
        <f>INPUT!GG110</f>
        <v>36.108422071635999</v>
      </c>
      <c r="DU381" s="580">
        <f>INPUT!GH110</f>
        <v>1620</v>
      </c>
      <c r="DV381" s="577">
        <f>INPUT!GI110</f>
        <v>15.220483641536276</v>
      </c>
      <c r="DW381" s="580">
        <f>INPUT!GJ110</f>
        <v>1669</v>
      </c>
      <c r="DX381" s="577">
        <f>INPUT!GK110</f>
        <v>3.0246913580246968</v>
      </c>
      <c r="DY381" s="580">
        <f>INPUT!GL110</f>
        <v>1822</v>
      </c>
      <c r="DZ381" s="577">
        <f>INPUT!GM110</f>
        <v>9.1671659676453032</v>
      </c>
      <c r="EA381" s="580">
        <f>INPUT!GN110</f>
        <v>1948</v>
      </c>
      <c r="EB381" s="577">
        <f>INPUT!GO110</f>
        <v>6.9154774972557647</v>
      </c>
      <c r="EC381" s="580">
        <f>INPUT!GP110</f>
        <v>2005.8786980100001</v>
      </c>
      <c r="ED381" s="577">
        <f>INPUT!GQ110</f>
        <v>2.9711857294661286</v>
      </c>
      <c r="EE381" s="580">
        <f>INPUT!GR110</f>
        <v>2086.1138459304002</v>
      </c>
      <c r="EF381" s="577">
        <f>INPUT!GS110</f>
        <v>4</v>
      </c>
      <c r="EG381" s="580">
        <f>INPUT!GT110</f>
        <v>2169.5583997676163</v>
      </c>
      <c r="EH381" s="577">
        <f>INPUT!GU110</f>
        <v>4</v>
      </c>
      <c r="EI381" s="580">
        <f>INPUT!GV110</f>
        <v>2256.340735758321</v>
      </c>
      <c r="EJ381" s="577">
        <f>INPUT!GW110</f>
        <v>4</v>
      </c>
      <c r="EK381" s="580">
        <f>INPUT!GX110</f>
        <v>2346.5943651886537</v>
      </c>
      <c r="EL381" s="577">
        <f>INPUT!GY110</f>
        <v>4</v>
      </c>
      <c r="EM381" s="577">
        <f>INPUT!GZ110</f>
        <v>3.7934180804437556</v>
      </c>
    </row>
    <row r="382" spans="1:144" ht="12.75" hidden="1" customHeight="1" outlineLevel="1" x14ac:dyDescent="0.2">
      <c r="A382" s="579" t="str">
        <f>INPUT!B111</f>
        <v>Commissions, Fees and Other Income</v>
      </c>
      <c r="B382" s="580">
        <f>INPUT!AY111</f>
        <v>67</v>
      </c>
      <c r="C382" s="577">
        <f>INPUT!AZ111</f>
        <v>24.074074074074076</v>
      </c>
      <c r="D382" s="580">
        <f>INPUT!BA111</f>
        <v>77</v>
      </c>
      <c r="E382" s="577">
        <f>INPUT!BB111</f>
        <v>0</v>
      </c>
      <c r="F382" s="580">
        <f>INPUT!BC111</f>
        <v>104</v>
      </c>
      <c r="G382" s="577">
        <f>INPUT!BD111</f>
        <v>28.395061728395063</v>
      </c>
      <c r="H382" s="580">
        <f>INPUT!BE111</f>
        <v>72</v>
      </c>
      <c r="I382" s="577">
        <f>INPUT!BF111</f>
        <v>12.5</v>
      </c>
      <c r="J382" s="580">
        <f>INPUT!BG111</f>
        <v>78</v>
      </c>
      <c r="K382" s="577">
        <f>INPUT!BH111</f>
        <v>16.417910447761201</v>
      </c>
      <c r="L382" s="580">
        <f>INPUT!BI111</f>
        <v>78</v>
      </c>
      <c r="M382" s="577">
        <f>INPUT!BJ111</f>
        <v>1.2987012987012889</v>
      </c>
      <c r="N382" s="580">
        <f>INPUT!BK111</f>
        <v>144</v>
      </c>
      <c r="O382" s="577">
        <f>INPUT!BL111</f>
        <v>38.461538461538453</v>
      </c>
      <c r="P382" s="580">
        <f>INPUT!BM111</f>
        <v>73</v>
      </c>
      <c r="Q382" s="577">
        <f>INPUT!BN111</f>
        <v>1.3888888888888857</v>
      </c>
      <c r="R382" s="580">
        <f>INPUT!BO111</f>
        <v>67</v>
      </c>
      <c r="S382" s="577">
        <f>INPUT!BP111</f>
        <v>-14.102564102564102</v>
      </c>
      <c r="T382" s="580">
        <f>INPUT!BQ111</f>
        <v>73</v>
      </c>
      <c r="U382" s="577">
        <f>INPUT!BR111</f>
        <v>-6.4102564102564088</v>
      </c>
      <c r="V382" s="580">
        <f>INPUT!BS111</f>
        <v>127</v>
      </c>
      <c r="W382" s="577">
        <f>INPUT!BT111</f>
        <v>-11.805555555555557</v>
      </c>
      <c r="X382" s="580">
        <f>INPUT!BU111</f>
        <v>59</v>
      </c>
      <c r="Y382" s="577">
        <f>INPUT!BV111</f>
        <v>-19.178082191780817</v>
      </c>
      <c r="Z382" s="580">
        <f>INPUT!BW111</f>
        <v>47</v>
      </c>
      <c r="AA382" s="577">
        <f>INPUT!BX111</f>
        <v>-29.850746268656707</v>
      </c>
      <c r="AB382" s="580">
        <f>INPUT!BY111</f>
        <v>55</v>
      </c>
      <c r="AC382" s="577">
        <f>INPUT!BZ111</f>
        <v>-24.657534246575338</v>
      </c>
      <c r="AD382" s="580">
        <f>INPUT!CA111</f>
        <v>92</v>
      </c>
      <c r="AE382" s="577">
        <f>INPUT!CB111</f>
        <v>-27.559055118110237</v>
      </c>
      <c r="AF382" s="580">
        <f>INPUT!CC111</f>
        <v>54</v>
      </c>
      <c r="AG382" s="577">
        <f>INPUT!CD111</f>
        <v>-8.4745762711864359</v>
      </c>
      <c r="AH382" s="580">
        <f>INPUT!CE111</f>
        <v>49</v>
      </c>
      <c r="AI382" s="577">
        <f>INPUT!CF111</f>
        <v>4.2553191489361808</v>
      </c>
      <c r="AJ382" s="580">
        <f>INPUT!CG111</f>
        <v>57</v>
      </c>
      <c r="AK382" s="577">
        <f>INPUT!CH111</f>
        <v>3.6363636363636402</v>
      </c>
      <c r="AL382" s="580">
        <f>INPUT!CI111</f>
        <v>61</v>
      </c>
      <c r="AM382" s="577">
        <f>INPUT!CJ111</f>
        <v>-33.695652173913047</v>
      </c>
      <c r="AN382" s="580">
        <f>INPUT!CK111</f>
        <v>56</v>
      </c>
      <c r="AO382" s="577">
        <f>INPUT!CL111</f>
        <v>3.7037037037036953</v>
      </c>
      <c r="AP382" s="580">
        <f>INPUT!CM111</f>
        <v>53</v>
      </c>
      <c r="AQ382" s="577">
        <f>INPUT!CN111</f>
        <v>8.1632653061224545</v>
      </c>
      <c r="AR382" s="580">
        <f>INPUT!CO111</f>
        <v>61</v>
      </c>
      <c r="AS382" s="577">
        <f>INPUT!CP111</f>
        <v>7.0175438596491233</v>
      </c>
      <c r="AT382" s="580">
        <f>INPUT!CQ111</f>
        <v>57</v>
      </c>
      <c r="AU382" s="577">
        <f>INPUT!CR111</f>
        <v>-6.5573770491803174</v>
      </c>
      <c r="AV382" s="580">
        <f>INPUT!CS111</f>
        <v>83</v>
      </c>
      <c r="AW382" s="577">
        <f>INPUT!CT111</f>
        <v>48.214285714285722</v>
      </c>
      <c r="AX382" s="580">
        <f>INPUT!CU111</f>
        <v>82</v>
      </c>
      <c r="AY382" s="577">
        <f>INPUT!CV111</f>
        <v>54.716981132075489</v>
      </c>
      <c r="AZ382" s="580">
        <f>INPUT!CW111</f>
        <v>89</v>
      </c>
      <c r="BA382" s="577">
        <f>INPUT!CX111</f>
        <v>45.901639344262293</v>
      </c>
      <c r="BB382" s="580">
        <f>INPUT!CY111</f>
        <v>96</v>
      </c>
      <c r="BC382" s="577">
        <f>INPUT!CZ111</f>
        <v>68.421052631578931</v>
      </c>
      <c r="BD382" s="580">
        <f>INPUT!DA111</f>
        <v>91</v>
      </c>
      <c r="BE382" s="577">
        <f>INPUT!DB111</f>
        <v>9.638554216867476</v>
      </c>
      <c r="BF382" s="580">
        <f>INPUT!DC111</f>
        <v>117</v>
      </c>
      <c r="BG382" s="577">
        <f>INPUT!DD111</f>
        <v>42.682926829268297</v>
      </c>
      <c r="BH382" s="580">
        <f>INPUT!DE111</f>
        <v>131</v>
      </c>
      <c r="BI382" s="577">
        <f>INPUT!DF111</f>
        <v>47.191011235955074</v>
      </c>
      <c r="BJ382" s="580">
        <f>INPUT!DG111</f>
        <v>116</v>
      </c>
      <c r="BK382" s="577">
        <f>INPUT!DH111</f>
        <v>20.833333333333329</v>
      </c>
      <c r="BL382" s="580">
        <f>INPUT!DI111</f>
        <v>134</v>
      </c>
      <c r="BM382" s="577">
        <f>INPUT!DJ111</f>
        <v>47.25274725274727</v>
      </c>
      <c r="BN382" s="580">
        <f>INPUT!DK111</f>
        <v>142</v>
      </c>
      <c r="BO382" s="577">
        <f>INPUT!DL111</f>
        <v>21.367521367521363</v>
      </c>
      <c r="BP382" s="580">
        <f>INPUT!DM111</f>
        <v>166</v>
      </c>
      <c r="BQ382" s="577">
        <f>INPUT!DN111</f>
        <v>26.717557251908389</v>
      </c>
      <c r="BR382" s="580">
        <f>INPUT!DO111</f>
        <v>154</v>
      </c>
      <c r="BS382" s="577">
        <f>INPUT!DP111</f>
        <v>32.758620689655174</v>
      </c>
      <c r="BT382" s="580">
        <f>INPUT!DQ111</f>
        <v>153</v>
      </c>
      <c r="BU382" s="577">
        <f>INPUT!DR111</f>
        <v>14.179104477611943</v>
      </c>
      <c r="BV382" s="580">
        <f>INPUT!DS111</f>
        <v>153</v>
      </c>
      <c r="BW382" s="577">
        <f>INPUT!DT111</f>
        <v>7.7464788732394254</v>
      </c>
      <c r="BX382" s="580">
        <f>INPUT!DU111</f>
        <v>162</v>
      </c>
      <c r="BY382" s="577">
        <f>INPUT!DV111</f>
        <v>-2.409638554216869</v>
      </c>
      <c r="BZ382" s="580">
        <f>INPUT!DW111</f>
        <v>142</v>
      </c>
      <c r="CA382" s="577">
        <f>INPUT!DX111</f>
        <v>-7.7922077922077904</v>
      </c>
      <c r="CB382" s="580">
        <f>INPUT!DY111</f>
        <v>157</v>
      </c>
      <c r="CC382" s="577">
        <f>INPUT!DZ111</f>
        <v>2.614379084967311</v>
      </c>
      <c r="CD382" s="580">
        <f>INPUT!EA111</f>
        <v>150</v>
      </c>
      <c r="CE382" s="577">
        <f>INPUT!EB111</f>
        <v>-1.9607843137254974</v>
      </c>
      <c r="CF382" s="580">
        <f>INPUT!EC111</f>
        <v>165</v>
      </c>
      <c r="CG382" s="577">
        <f>INPUT!ED111</f>
        <v>1.8518518518518619</v>
      </c>
      <c r="CH382" s="580">
        <f>INPUT!EE111</f>
        <v>170</v>
      </c>
      <c r="CI382" s="577">
        <f>INPUT!EF111</f>
        <v>19.718309859154928</v>
      </c>
      <c r="CJ382" s="580">
        <f>INPUT!EG111</f>
        <v>168</v>
      </c>
      <c r="CK382" s="577">
        <f>INPUT!EH111</f>
        <v>7.0063694267515899</v>
      </c>
      <c r="CL382" s="580">
        <f>INPUT!EI111</f>
        <v>174</v>
      </c>
      <c r="CM382" s="577">
        <f>INPUT!EJ111</f>
        <v>15.999999999999986</v>
      </c>
      <c r="CN382" s="580">
        <f>INPUT!EK111</f>
        <v>181</v>
      </c>
      <c r="CO382" s="577">
        <f>INPUT!EL111</f>
        <v>9.6969696969696884</v>
      </c>
      <c r="CP382" s="580">
        <f>INPUT!EM111</f>
        <v>185</v>
      </c>
      <c r="CQ382" s="577">
        <f>INPUT!EN111</f>
        <v>8.8235294117646959</v>
      </c>
      <c r="CR382" s="580">
        <f>INPUT!EO111</f>
        <v>189</v>
      </c>
      <c r="CS382" s="577">
        <f>INPUT!EP111</f>
        <v>12.5</v>
      </c>
      <c r="CT382" s="580">
        <f>INPUT!EQ111</f>
        <v>190.89000000000001</v>
      </c>
      <c r="CU382" s="577">
        <f>INPUT!ER111</f>
        <v>9.7068965517241423</v>
      </c>
      <c r="CV382" s="580">
        <f>INPUT!ES111</f>
        <v>192.7989</v>
      </c>
      <c r="CW382" s="577">
        <f>INPUT!ET111</f>
        <v>6.5187292817679605</v>
      </c>
      <c r="CX382" s="580">
        <f>INPUT!EU111</f>
        <v>194.726889</v>
      </c>
      <c r="CY382" s="577">
        <f>INPUT!EV111</f>
        <v>5.2577778378378355</v>
      </c>
      <c r="CZ382" s="580">
        <f>INPUT!EW111</f>
        <v>196.67415789</v>
      </c>
      <c r="DA382" s="577">
        <f>INPUT!EX111</f>
        <v>4.0604009999999988</v>
      </c>
      <c r="DB382" s="596"/>
      <c r="DC382" s="580">
        <f>INPUT!FP111</f>
        <v>276</v>
      </c>
      <c r="DD382" s="577">
        <f>INPUT!FQ111</f>
        <v>-5.1546391752577421</v>
      </c>
      <c r="DE382" s="580">
        <f>INPUT!FR111</f>
        <v>320</v>
      </c>
      <c r="DF382" s="577">
        <f>INPUT!FS111</f>
        <v>15.94202898550725</v>
      </c>
      <c r="DG382" s="580">
        <f>INPUT!FT111</f>
        <v>373</v>
      </c>
      <c r="DH382" s="577">
        <f>INPUT!FU111</f>
        <v>16.562499999999986</v>
      </c>
      <c r="DI382" s="580">
        <f>INPUT!FV111</f>
        <v>326</v>
      </c>
      <c r="DJ382" s="577">
        <f>INPUT!FW111</f>
        <v>-12.600536193029484</v>
      </c>
      <c r="DK382" s="580">
        <f>INPUT!FX111</f>
        <v>248</v>
      </c>
      <c r="DL382" s="577">
        <f>INPUT!FY111</f>
        <v>-23.926380368098151</v>
      </c>
      <c r="DM382" s="580">
        <f>INPUT!FZ111</f>
        <v>223</v>
      </c>
      <c r="DN382" s="577">
        <f>INPUT!GA111</f>
        <v>-10.08064516129032</v>
      </c>
      <c r="DO382" s="580">
        <f>INPUT!GB111</f>
        <v>254</v>
      </c>
      <c r="DP382" s="577">
        <f>INPUT!GC111</f>
        <v>13.901345291479814</v>
      </c>
      <c r="DQ382" s="580">
        <f>INPUT!GD111</f>
        <v>358</v>
      </c>
      <c r="DR382" s="577">
        <f>INPUT!GE111</f>
        <v>40.944881889763764</v>
      </c>
      <c r="DS382" s="580">
        <f>INPUT!GF111</f>
        <v>498</v>
      </c>
      <c r="DT382" s="577">
        <f>INPUT!GG111</f>
        <v>39.10614525139664</v>
      </c>
      <c r="DU382" s="580">
        <f>INPUT!GH111</f>
        <v>615</v>
      </c>
      <c r="DV382" s="577">
        <f>INPUT!GI111</f>
        <v>23.493975903614455</v>
      </c>
      <c r="DW382" s="580">
        <f>INPUT!GJ111</f>
        <v>614</v>
      </c>
      <c r="DX382" s="577">
        <f>INPUT!GK111</f>
        <v>-0.16260162601625439</v>
      </c>
      <c r="DY382" s="580">
        <f>INPUT!GL111</f>
        <v>653</v>
      </c>
      <c r="DZ382" s="577">
        <f>INPUT!GM111</f>
        <v>6.3517915309446238</v>
      </c>
      <c r="EA382" s="580">
        <f>INPUT!GN111</f>
        <v>729</v>
      </c>
      <c r="EB382" s="577">
        <f>INPUT!GO111</f>
        <v>11.638591117917301</v>
      </c>
      <c r="EC382" s="580">
        <f>INPUT!GP111</f>
        <v>775.08994688999996</v>
      </c>
      <c r="ED382" s="577">
        <f>INPUT!GQ111</f>
        <v>6.3223521111111012</v>
      </c>
      <c r="EE382" s="580">
        <f>INPUT!GR111</f>
        <v>806.09354476559997</v>
      </c>
      <c r="EF382" s="577">
        <f>INPUT!GS111</f>
        <v>4</v>
      </c>
      <c r="EG382" s="580">
        <f>INPUT!GT111</f>
        <v>838.33728655622394</v>
      </c>
      <c r="EH382" s="577">
        <f>INPUT!GU111</f>
        <v>4</v>
      </c>
      <c r="EI382" s="580">
        <f>INPUT!GV111</f>
        <v>871.87077801847295</v>
      </c>
      <c r="EJ382" s="577">
        <f>INPUT!GW111</f>
        <v>4</v>
      </c>
      <c r="EK382" s="580">
        <f>INPUT!GX111</f>
        <v>906.74560913921187</v>
      </c>
      <c r="EL382" s="577">
        <f>INPUT!GY111</f>
        <v>4</v>
      </c>
      <c r="EM382" s="577">
        <f>INPUT!GZ111</f>
        <v>4.4603764458175821</v>
      </c>
    </row>
    <row r="383" spans="1:144" ht="12.75" hidden="1" customHeight="1" outlineLevel="1" x14ac:dyDescent="0.2">
      <c r="A383" s="575" t="str">
        <f>INPUT!B112</f>
        <v xml:space="preserve">  Total Revenues</v>
      </c>
      <c r="B383" s="581">
        <f>INPUT!AY112</f>
        <v>559</v>
      </c>
      <c r="C383" s="577">
        <f>INPUT!AZ112</f>
        <v>5.0751879699248121</v>
      </c>
      <c r="D383" s="581">
        <f>INPUT!BA112</f>
        <v>586</v>
      </c>
      <c r="E383" s="577">
        <f>INPUT!BB112</f>
        <v>6.9343065693430646</v>
      </c>
      <c r="F383" s="581">
        <f>INPUT!BC112</f>
        <v>467</v>
      </c>
      <c r="G383" s="577">
        <f>INPUT!BD112</f>
        <v>-22.425249169435219</v>
      </c>
      <c r="H383" s="581">
        <f>INPUT!BE112</f>
        <v>605</v>
      </c>
      <c r="I383" s="577">
        <f>INPUT!BF112</f>
        <v>4.3103448275862064</v>
      </c>
      <c r="J383" s="581">
        <f>INPUT!BG112</f>
        <v>631</v>
      </c>
      <c r="K383" s="577">
        <f>INPUT!BH112</f>
        <v>12.880143112701248</v>
      </c>
      <c r="L383" s="581">
        <f>INPUT!BI112</f>
        <v>629</v>
      </c>
      <c r="M383" s="577">
        <f>INPUT!BJ112</f>
        <v>7.3378839590443761</v>
      </c>
      <c r="N383" s="581">
        <f>INPUT!BK112</f>
        <v>672</v>
      </c>
      <c r="O383" s="577">
        <f>INPUT!BL112</f>
        <v>43.897216274089942</v>
      </c>
      <c r="P383" s="581">
        <f>INPUT!BM112</f>
        <v>670</v>
      </c>
      <c r="Q383" s="577">
        <f>INPUT!BN112</f>
        <v>10.743801652892571</v>
      </c>
      <c r="R383" s="581">
        <f>INPUT!BO112</f>
        <v>680</v>
      </c>
      <c r="S383" s="577">
        <f>INPUT!BP112</f>
        <v>7.7654516640253632</v>
      </c>
      <c r="T383" s="581">
        <f>INPUT!BQ112</f>
        <v>676</v>
      </c>
      <c r="U383" s="577">
        <f>INPUT!BR112</f>
        <v>7.4721780604133556</v>
      </c>
      <c r="V383" s="581">
        <f>INPUT!BS112</f>
        <v>682</v>
      </c>
      <c r="W383" s="577">
        <f>INPUT!BT112</f>
        <v>1.4880952380952266</v>
      </c>
      <c r="X383" s="581">
        <f>INPUT!BU112</f>
        <v>716</v>
      </c>
      <c r="Y383" s="577">
        <f>INPUT!BV112</f>
        <v>6.8656716417910388</v>
      </c>
      <c r="Z383" s="581">
        <f>INPUT!BW112</f>
        <v>680</v>
      </c>
      <c r="AA383" s="577">
        <f>INPUT!BX112</f>
        <v>0</v>
      </c>
      <c r="AB383" s="581">
        <f>INPUT!BY112</f>
        <v>703</v>
      </c>
      <c r="AC383" s="577">
        <f>INPUT!BZ112</f>
        <v>3.9940828402366719</v>
      </c>
      <c r="AD383" s="581">
        <f>INPUT!CA112</f>
        <v>656</v>
      </c>
      <c r="AE383" s="577">
        <f>INPUT!CB112</f>
        <v>-3.8123167155425222</v>
      </c>
      <c r="AF383" s="581">
        <f>INPUT!CC112</f>
        <v>729</v>
      </c>
      <c r="AG383" s="577">
        <f>INPUT!CD112</f>
        <v>1.8156424581005552</v>
      </c>
      <c r="AH383" s="581">
        <f>INPUT!CE112</f>
        <v>687</v>
      </c>
      <c r="AI383" s="577">
        <f>INPUT!CF112</f>
        <v>1.029411764705884</v>
      </c>
      <c r="AJ383" s="581">
        <f>INPUT!CG112</f>
        <v>751</v>
      </c>
      <c r="AK383" s="577">
        <f>INPUT!CH112</f>
        <v>6.827880512091042</v>
      </c>
      <c r="AL383" s="581">
        <f>INPUT!CI112</f>
        <v>640</v>
      </c>
      <c r="AM383" s="577">
        <f>INPUT!CJ112</f>
        <v>-2.4390243902439011</v>
      </c>
      <c r="AN383" s="581">
        <f>INPUT!CK112</f>
        <v>739</v>
      </c>
      <c r="AO383" s="577">
        <f>INPUT!CL112</f>
        <v>1.3717421124828491</v>
      </c>
      <c r="AP383" s="581">
        <f>INPUT!CM112</f>
        <v>725</v>
      </c>
      <c r="AQ383" s="577">
        <f>INPUT!CN112</f>
        <v>5.5312954876273608</v>
      </c>
      <c r="AR383" s="581">
        <f>INPUT!CO112</f>
        <v>763</v>
      </c>
      <c r="AS383" s="577">
        <f>INPUT!CP112</f>
        <v>1.5978695073235656</v>
      </c>
      <c r="AT383" s="581">
        <f>INPUT!CQ112</f>
        <v>643</v>
      </c>
      <c r="AU383" s="577">
        <f>INPUT!CR112</f>
        <v>0.46875</v>
      </c>
      <c r="AV383" s="581">
        <f>INPUT!CS112</f>
        <v>769</v>
      </c>
      <c r="AW383" s="577">
        <f>INPUT!CT112</f>
        <v>4.0595399188092074</v>
      </c>
      <c r="AX383" s="581">
        <f>INPUT!CU112</f>
        <v>776</v>
      </c>
      <c r="AY383" s="577">
        <f>INPUT!CV112</f>
        <v>7.0344827586206833</v>
      </c>
      <c r="AZ383" s="581">
        <f>INPUT!CW112</f>
        <v>803</v>
      </c>
      <c r="BA383" s="577">
        <f>INPUT!CX112</f>
        <v>5.2424639580602985</v>
      </c>
      <c r="BB383" s="581">
        <f>INPUT!CY112</f>
        <v>948</v>
      </c>
      <c r="BC383" s="577">
        <f>INPUT!CZ112</f>
        <v>47.433903576982885</v>
      </c>
      <c r="BD383" s="581">
        <f>INPUT!DA112</f>
        <v>840</v>
      </c>
      <c r="BE383" s="577">
        <f>INPUT!DB112</f>
        <v>9.2327698309492945</v>
      </c>
      <c r="BF383" s="581">
        <f>INPUT!DC112</f>
        <v>1155</v>
      </c>
      <c r="BG383" s="577">
        <f>INPUT!DD112</f>
        <v>48.840206185567013</v>
      </c>
      <c r="BH383" s="581">
        <f>INPUT!DE112</f>
        <v>1212</v>
      </c>
      <c r="BI383" s="577">
        <f>INPUT!DF112</f>
        <v>50.933997509339974</v>
      </c>
      <c r="BJ383" s="581">
        <f>INPUT!DG112</f>
        <v>1041</v>
      </c>
      <c r="BK383" s="577">
        <f>INPUT!DH112</f>
        <v>9.8101265822784853</v>
      </c>
      <c r="BL383" s="581">
        <f>INPUT!DI112</f>
        <v>1212</v>
      </c>
      <c r="BM383" s="577">
        <f>INPUT!DJ112</f>
        <v>44.285714285714278</v>
      </c>
      <c r="BN383" s="581">
        <f>INPUT!DK112</f>
        <v>1296</v>
      </c>
      <c r="BO383" s="577">
        <f>INPUT!DL112</f>
        <v>12.207792207792195</v>
      </c>
      <c r="BP383" s="581">
        <f>INPUT!DM112</f>
        <v>1318</v>
      </c>
      <c r="BQ383" s="577">
        <f>INPUT!DN112</f>
        <v>8.7458745874587436</v>
      </c>
      <c r="BR383" s="581">
        <f>INPUT!DO112</f>
        <v>1281</v>
      </c>
      <c r="BS383" s="577">
        <f>INPUT!DP112</f>
        <v>23.054755043227672</v>
      </c>
      <c r="BT383" s="581">
        <f>INPUT!DQ112</f>
        <v>1331</v>
      </c>
      <c r="BU383" s="577">
        <f>INPUT!DR112</f>
        <v>9.8184818481848168</v>
      </c>
      <c r="BV383" s="581">
        <f>INPUT!DS112</f>
        <v>1351</v>
      </c>
      <c r="BW383" s="577">
        <f>INPUT!DT112</f>
        <v>4.2438271604938222</v>
      </c>
      <c r="BX383" s="581">
        <f>INPUT!DU112</f>
        <v>1160</v>
      </c>
      <c r="BY383" s="577">
        <f>INPUT!DV112</f>
        <v>-11.987860394537179</v>
      </c>
      <c r="BZ383" s="581">
        <f>INPUT!DW112</f>
        <v>1375</v>
      </c>
      <c r="CA383" s="577">
        <f>INPUT!DX112</f>
        <v>7.3380171740827507</v>
      </c>
      <c r="CB383" s="581">
        <f>INPUT!DY112</f>
        <v>1347</v>
      </c>
      <c r="CC383" s="577">
        <f>INPUT!DZ112</f>
        <v>1.2021036814425372</v>
      </c>
      <c r="CD383" s="581">
        <f>INPUT!EA112</f>
        <v>1366</v>
      </c>
      <c r="CE383" s="577">
        <f>INPUT!EB112</f>
        <v>1.1102886750555143</v>
      </c>
      <c r="CF383" s="581">
        <f>INPUT!EC112</f>
        <v>1155</v>
      </c>
      <c r="CG383" s="577">
        <f>INPUT!ED112</f>
        <v>-0.43103448275861922</v>
      </c>
      <c r="CH383" s="581">
        <f>INPUT!EE112</f>
        <v>1410</v>
      </c>
      <c r="CI383" s="577">
        <f>INPUT!EF112</f>
        <v>2.5454545454545325</v>
      </c>
      <c r="CJ383" s="581">
        <f>INPUT!EG112</f>
        <v>1424</v>
      </c>
      <c r="CK383" s="577">
        <f>INPUT!EH112</f>
        <v>5.7164068299925646</v>
      </c>
      <c r="CL383" s="581">
        <f>INPUT!EI112</f>
        <v>1445</v>
      </c>
      <c r="CM383" s="577">
        <f>INPUT!EJ112</f>
        <v>5.7833089311859425</v>
      </c>
      <c r="CN383" s="581">
        <f>INPUT!EK112</f>
        <v>654</v>
      </c>
      <c r="CO383" s="577">
        <f>INPUT!EL112</f>
        <v>-43.376623376623378</v>
      </c>
      <c r="CP383" s="581">
        <f>INPUT!EM112</f>
        <v>1411</v>
      </c>
      <c r="CQ383" s="577">
        <f>INPUT!EN112</f>
        <v>7.0921985815601829E-2</v>
      </c>
      <c r="CR383" s="581">
        <f>INPUT!EO112</f>
        <v>1464</v>
      </c>
      <c r="CS383" s="577">
        <f>INPUT!EP112</f>
        <v>2.8089887640449405</v>
      </c>
      <c r="CT383" s="581">
        <f>INPUT!EQ112</f>
        <v>1501.1850000000002</v>
      </c>
      <c r="CU383" s="577">
        <f>INPUT!ER112</f>
        <v>3.8882352941176634</v>
      </c>
      <c r="CV383" s="581">
        <f>INPUT!ES112</f>
        <v>1319.549</v>
      </c>
      <c r="CW383" s="577" t="str">
        <f>INPUT!ET112</f>
        <v>NM</v>
      </c>
      <c r="CX383" s="581">
        <f>INPUT!EU112</f>
        <v>1467.0214900000001</v>
      </c>
      <c r="CY383" s="577">
        <f>INPUT!EV112</f>
        <v>3.9703394755492525</v>
      </c>
      <c r="CZ383" s="581">
        <f>INPUT!EW112</f>
        <v>1508.9631549000001</v>
      </c>
      <c r="DA383" s="577">
        <f>INPUT!EX112</f>
        <v>3.071253750000011</v>
      </c>
      <c r="DB383" s="600"/>
      <c r="DC383" s="581">
        <f>INPUT!FP112</f>
        <v>2262</v>
      </c>
      <c r="DD383" s="577">
        <f>INPUT!FQ112</f>
        <v>9.1172214182344362</v>
      </c>
      <c r="DE383" s="581">
        <f>INPUT!FR112</f>
        <v>2217</v>
      </c>
      <c r="DF383" s="577">
        <f>INPUT!FS112</f>
        <v>-1.9893899204244008</v>
      </c>
      <c r="DG383" s="581">
        <f>INPUT!FT112</f>
        <v>2602</v>
      </c>
      <c r="DH383" s="577">
        <f>INPUT!FU112</f>
        <v>17.365809652683822</v>
      </c>
      <c r="DI383" s="581">
        <f>INPUT!FV112</f>
        <v>2754</v>
      </c>
      <c r="DJ383" s="577">
        <f>INPUT!FW112</f>
        <v>5.841660261337438</v>
      </c>
      <c r="DK383" s="581">
        <f>INPUT!FX112</f>
        <v>2767</v>
      </c>
      <c r="DL383" s="577">
        <f>INPUT!FY112</f>
        <v>0.4720406681191065</v>
      </c>
      <c r="DM383" s="581">
        <f>INPUT!FZ112</f>
        <v>2817</v>
      </c>
      <c r="DN383" s="577">
        <f>INPUT!GA112</f>
        <v>1.8070112034694716</v>
      </c>
      <c r="DO383" s="581">
        <f>INPUT!GB112</f>
        <v>2900</v>
      </c>
      <c r="DP383" s="577">
        <f>INPUT!GC112</f>
        <v>2.9463968761093327</v>
      </c>
      <c r="DQ383" s="581">
        <f>INPUT!GD112</f>
        <v>3367</v>
      </c>
      <c r="DR383" s="577">
        <f>INPUT!GE112</f>
        <v>16.103448275862078</v>
      </c>
      <c r="DS383" s="581">
        <f>INPUT!GF112</f>
        <v>4620</v>
      </c>
      <c r="DT383" s="577">
        <f>INPUT!GG112</f>
        <v>37.214137214137224</v>
      </c>
      <c r="DU383" s="581">
        <f>INPUT!GH112</f>
        <v>5226</v>
      </c>
      <c r="DV383" s="577">
        <f>INPUT!GI112</f>
        <v>13.11688311688313</v>
      </c>
      <c r="DW383" s="581">
        <f>INPUT!GJ112</f>
        <v>5233</v>
      </c>
      <c r="DX383" s="577">
        <f>INPUT!GK112</f>
        <v>0.13394565633370803</v>
      </c>
      <c r="DY383" s="581">
        <f>INPUT!GL112</f>
        <v>5355</v>
      </c>
      <c r="DZ383" s="577">
        <f>INPUT!GM112</f>
        <v>2.3313586852665651</v>
      </c>
      <c r="EA383" s="581">
        <f>INPUT!GN112</f>
        <v>4974</v>
      </c>
      <c r="EB383" s="577">
        <f>INPUT!GO112</f>
        <v>-7.1148459383753533</v>
      </c>
      <c r="EC383" s="581">
        <f>INPUT!GP112</f>
        <v>5796.7186449000001</v>
      </c>
      <c r="ED383" s="577">
        <f>INPUT!GQ112</f>
        <v>16.540382889022936</v>
      </c>
      <c r="EE383" s="581">
        <f>INPUT!GR112</f>
        <v>6088.9023906960001</v>
      </c>
      <c r="EF383" s="577">
        <f>INPUT!GS112</f>
        <v>5.040502458284152</v>
      </c>
      <c r="EG383" s="581">
        <f>INPUT!GT112</f>
        <v>6396.3923863238406</v>
      </c>
      <c r="EH383" s="577">
        <f>INPUT!GU112</f>
        <v>5.0500069782313091</v>
      </c>
      <c r="EI383" s="581">
        <f>INPUT!GV112</f>
        <v>6720.0180157767945</v>
      </c>
      <c r="EJ383" s="577">
        <f>INPUT!GW112</f>
        <v>5.0595024493009504</v>
      </c>
      <c r="EK383" s="581">
        <f>INPUT!GX112</f>
        <v>7060.6548664478669</v>
      </c>
      <c r="EL383" s="577">
        <f>INPUT!GY112</f>
        <v>5.0689871644889877</v>
      </c>
      <c r="EM383" s="577">
        <f>INPUT!GZ112</f>
        <v>7.2575420853762118</v>
      </c>
    </row>
    <row r="384" spans="1:144" ht="12.75" hidden="1" customHeight="1" outlineLevel="1" x14ac:dyDescent="0.2">
      <c r="A384" s="623"/>
      <c r="B384" s="580"/>
      <c r="C384" s="577"/>
      <c r="D384" s="580"/>
      <c r="E384" s="577"/>
      <c r="F384" s="580"/>
      <c r="G384" s="577"/>
      <c r="H384" s="580"/>
      <c r="I384" s="577"/>
      <c r="J384" s="580"/>
      <c r="K384" s="577"/>
      <c r="L384" s="580"/>
      <c r="M384" s="577"/>
      <c r="N384" s="580"/>
      <c r="O384" s="577"/>
      <c r="P384" s="580"/>
      <c r="Q384" s="577"/>
      <c r="R384" s="580"/>
      <c r="S384" s="577"/>
      <c r="T384" s="580"/>
      <c r="U384" s="577"/>
      <c r="V384" s="580"/>
      <c r="W384" s="577"/>
      <c r="X384" s="580"/>
      <c r="Y384" s="577"/>
      <c r="Z384" s="580"/>
      <c r="AA384" s="577"/>
      <c r="AB384" s="580"/>
      <c r="AC384" s="577"/>
      <c r="AD384" s="580"/>
      <c r="AE384" s="577"/>
      <c r="AF384" s="580"/>
      <c r="AG384" s="577"/>
      <c r="AH384" s="580"/>
      <c r="AI384" s="577"/>
      <c r="AJ384" s="580"/>
      <c r="AK384" s="577"/>
      <c r="AL384" s="580"/>
      <c r="AM384" s="577"/>
      <c r="AN384" s="580"/>
      <c r="AO384" s="577"/>
      <c r="AP384" s="580"/>
      <c r="AQ384" s="577"/>
      <c r="AR384" s="580"/>
      <c r="AS384" s="577"/>
      <c r="AT384" s="580"/>
      <c r="AU384" s="577"/>
      <c r="AV384" s="580"/>
      <c r="AW384" s="577"/>
      <c r="AX384" s="580"/>
      <c r="AY384" s="577"/>
      <c r="AZ384" s="580"/>
      <c r="BA384" s="577"/>
      <c r="BB384" s="580"/>
      <c r="BC384" s="577"/>
      <c r="BD384" s="580"/>
      <c r="BE384" s="577"/>
      <c r="BF384" s="580"/>
      <c r="BG384" s="577"/>
      <c r="BH384" s="580"/>
      <c r="BI384" s="577"/>
      <c r="BJ384" s="580"/>
      <c r="BK384" s="577"/>
      <c r="BL384" s="580"/>
      <c r="BM384" s="577"/>
      <c r="BN384" s="580"/>
      <c r="BO384" s="577"/>
      <c r="BP384" s="580"/>
      <c r="BQ384" s="577"/>
      <c r="BR384" s="580"/>
      <c r="BS384" s="577"/>
      <c r="BT384" s="580"/>
      <c r="BU384" s="577"/>
      <c r="BV384" s="580"/>
      <c r="BW384" s="577"/>
      <c r="BX384" s="580"/>
      <c r="BY384" s="577"/>
      <c r="BZ384" s="580"/>
      <c r="CA384" s="577"/>
      <c r="CB384" s="580"/>
      <c r="CC384" s="577"/>
      <c r="CD384" s="580"/>
      <c r="CE384" s="577"/>
      <c r="CF384" s="580"/>
      <c r="CG384" s="577"/>
      <c r="CH384" s="580"/>
      <c r="CI384" s="577"/>
      <c r="CJ384" s="580"/>
      <c r="CK384" s="577"/>
      <c r="CL384" s="580"/>
      <c r="CM384" s="577"/>
      <c r="CN384" s="580"/>
      <c r="CO384" s="577"/>
      <c r="CP384" s="580"/>
      <c r="CQ384" s="577"/>
      <c r="CR384" s="580"/>
      <c r="CS384" s="577"/>
      <c r="CT384" s="580"/>
      <c r="CU384" s="577"/>
      <c r="CV384" s="580"/>
      <c r="CW384" s="577"/>
      <c r="CX384" s="580"/>
      <c r="CY384" s="577"/>
      <c r="CZ384" s="580"/>
      <c r="DA384" s="577"/>
      <c r="DB384" s="596"/>
      <c r="DC384" s="580"/>
      <c r="DD384" s="577"/>
      <c r="DE384" s="580"/>
      <c r="DF384" s="577"/>
      <c r="DG384" s="580"/>
      <c r="DH384" s="577"/>
      <c r="DI384" s="580"/>
      <c r="DJ384" s="577"/>
      <c r="DK384" s="580"/>
      <c r="DL384" s="577"/>
      <c r="DM384" s="580"/>
      <c r="DN384" s="577"/>
      <c r="DO384" s="580"/>
      <c r="DP384" s="577"/>
      <c r="DQ384" s="580"/>
      <c r="DR384" s="577"/>
      <c r="DS384" s="580"/>
      <c r="DT384" s="577"/>
      <c r="DU384" s="580"/>
      <c r="DV384" s="577"/>
      <c r="DW384" s="580"/>
      <c r="DX384" s="577"/>
      <c r="DY384" s="580"/>
      <c r="DZ384" s="577"/>
      <c r="EA384" s="580"/>
      <c r="EB384" s="577"/>
      <c r="EC384" s="580"/>
      <c r="ED384" s="577"/>
      <c r="EE384" s="580"/>
      <c r="EF384" s="577"/>
      <c r="EG384" s="580"/>
      <c r="EH384" s="577"/>
      <c r="EI384" s="580"/>
      <c r="EJ384" s="577"/>
      <c r="EK384" s="580"/>
      <c r="EL384" s="577"/>
      <c r="EM384" s="577"/>
    </row>
    <row r="385" spans="1:144" ht="12.75" hidden="1" customHeight="1" outlineLevel="1" x14ac:dyDescent="0.2">
      <c r="A385" s="575" t="s">
        <v>129</v>
      </c>
      <c r="B385" s="580"/>
      <c r="C385" s="577"/>
      <c r="D385" s="580"/>
      <c r="E385" s="577"/>
      <c r="F385" s="580"/>
      <c r="G385" s="577"/>
      <c r="H385" s="580"/>
      <c r="I385" s="577"/>
      <c r="J385" s="580"/>
      <c r="K385" s="577"/>
      <c r="L385" s="580"/>
      <c r="M385" s="577"/>
      <c r="N385" s="580"/>
      <c r="O385" s="577"/>
      <c r="P385" s="580"/>
      <c r="Q385" s="577"/>
      <c r="R385" s="580"/>
      <c r="S385" s="577"/>
      <c r="T385" s="580"/>
      <c r="U385" s="577"/>
      <c r="V385" s="580"/>
      <c r="W385" s="577"/>
      <c r="X385" s="580"/>
      <c r="Y385" s="577"/>
      <c r="Z385" s="580"/>
      <c r="AA385" s="577"/>
      <c r="AB385" s="580"/>
      <c r="AC385" s="577"/>
      <c r="AD385" s="580"/>
      <c r="AE385" s="577"/>
      <c r="AF385" s="580"/>
      <c r="AG385" s="577"/>
      <c r="AH385" s="580"/>
      <c r="AI385" s="577"/>
      <c r="AJ385" s="580"/>
      <c r="AK385" s="577"/>
      <c r="AL385" s="580"/>
      <c r="AM385" s="577"/>
      <c r="AN385" s="580"/>
      <c r="AO385" s="577"/>
      <c r="AP385" s="580"/>
      <c r="AQ385" s="577"/>
      <c r="AR385" s="580"/>
      <c r="AS385" s="577"/>
      <c r="AT385" s="580"/>
      <c r="AU385" s="577"/>
      <c r="AV385" s="580"/>
      <c r="AW385" s="577"/>
      <c r="AX385" s="580"/>
      <c r="AY385" s="577"/>
      <c r="AZ385" s="580"/>
      <c r="BA385" s="577"/>
      <c r="BB385" s="580"/>
      <c r="BC385" s="577"/>
      <c r="BD385" s="580"/>
      <c r="BE385" s="577"/>
      <c r="BF385" s="580"/>
      <c r="BG385" s="577"/>
      <c r="BH385" s="580"/>
      <c r="BI385" s="577"/>
      <c r="BJ385" s="580"/>
      <c r="BK385" s="577"/>
      <c r="BL385" s="580"/>
      <c r="BM385" s="577"/>
      <c r="BN385" s="580"/>
      <c r="BO385" s="577"/>
      <c r="BP385" s="580"/>
      <c r="BQ385" s="577"/>
      <c r="BR385" s="580"/>
      <c r="BS385" s="577"/>
      <c r="BT385" s="580"/>
      <c r="BU385" s="577"/>
      <c r="BV385" s="580"/>
      <c r="BW385" s="577"/>
      <c r="BX385" s="580"/>
      <c r="BY385" s="577"/>
      <c r="BZ385" s="580"/>
      <c r="CA385" s="577"/>
      <c r="CB385" s="580"/>
      <c r="CC385" s="577"/>
      <c r="CD385" s="580"/>
      <c r="CE385" s="577"/>
      <c r="CF385" s="580"/>
      <c r="CG385" s="577"/>
      <c r="CH385" s="580"/>
      <c r="CI385" s="577"/>
      <c r="CJ385" s="580"/>
      <c r="CK385" s="577"/>
      <c r="CL385" s="580"/>
      <c r="CM385" s="577"/>
      <c r="CN385" s="580"/>
      <c r="CO385" s="577"/>
      <c r="CP385" s="580"/>
      <c r="CQ385" s="577"/>
      <c r="CR385" s="580"/>
      <c r="CS385" s="577"/>
      <c r="CT385" s="580"/>
      <c r="CU385" s="577"/>
      <c r="CV385" s="580"/>
      <c r="CW385" s="577"/>
      <c r="CX385" s="580"/>
      <c r="CY385" s="577"/>
      <c r="CZ385" s="580"/>
      <c r="DA385" s="577"/>
      <c r="DB385" s="596"/>
      <c r="DC385" s="580"/>
      <c r="DD385" s="577"/>
      <c r="DE385" s="580"/>
      <c r="DF385" s="577"/>
      <c r="DG385" s="580"/>
      <c r="DH385" s="577"/>
      <c r="DI385" s="580"/>
      <c r="DJ385" s="577"/>
      <c r="DK385" s="580"/>
      <c r="DL385" s="577"/>
      <c r="DM385" s="580"/>
      <c r="DN385" s="577"/>
      <c r="DO385" s="580"/>
      <c r="DP385" s="577"/>
      <c r="DQ385" s="580"/>
      <c r="DR385" s="577"/>
      <c r="DS385" s="580"/>
      <c r="DT385" s="577"/>
      <c r="DU385" s="580"/>
      <c r="DV385" s="577"/>
      <c r="DW385" s="580"/>
      <c r="DX385" s="577"/>
      <c r="DY385" s="580"/>
      <c r="DZ385" s="577"/>
      <c r="EA385" s="580"/>
      <c r="EB385" s="577"/>
      <c r="EC385" s="580"/>
      <c r="ED385" s="577"/>
      <c r="EE385" s="580"/>
      <c r="EF385" s="577"/>
      <c r="EG385" s="580"/>
      <c r="EH385" s="577"/>
      <c r="EI385" s="580"/>
      <c r="EJ385" s="577"/>
      <c r="EK385" s="580"/>
      <c r="EL385" s="577"/>
      <c r="EM385" s="577"/>
    </row>
    <row r="386" spans="1:144" ht="12.75" hidden="1" customHeight="1" outlineLevel="1" x14ac:dyDescent="0.2">
      <c r="A386" s="579" t="str">
        <f>INPUT!B115</f>
        <v>Benefits</v>
      </c>
      <c r="B386" s="580">
        <f>INPUT!AY115</f>
        <v>161</v>
      </c>
      <c r="C386" s="577">
        <f>INPUT!AZ115</f>
        <v>-1.2269938650306784</v>
      </c>
      <c r="D386" s="580">
        <f>INPUT!BA115</f>
        <v>199</v>
      </c>
      <c r="E386" s="577">
        <f>INPUT!BB115</f>
        <v>24.374999999999986</v>
      </c>
      <c r="F386" s="580">
        <f>INPUT!BC115</f>
        <v>300</v>
      </c>
      <c r="G386" s="577" t="str">
        <f>INPUT!BD115</f>
        <v>NM</v>
      </c>
      <c r="H386" s="580">
        <f>INPUT!BE115</f>
        <v>203</v>
      </c>
      <c r="I386" s="577">
        <f>INPUT!BF115</f>
        <v>15.999999999999986</v>
      </c>
      <c r="J386" s="580">
        <f>INPUT!BG115</f>
        <v>236</v>
      </c>
      <c r="K386" s="577">
        <f>INPUT!BH115</f>
        <v>46.583850931677034</v>
      </c>
      <c r="L386" s="580">
        <f>INPUT!BI115</f>
        <v>203</v>
      </c>
      <c r="M386" s="577">
        <f>INPUT!BJ115</f>
        <v>2.0100502512562883</v>
      </c>
      <c r="N386" s="580">
        <f>INPUT!BK115</f>
        <v>254</v>
      </c>
      <c r="O386" s="577">
        <f>INPUT!BL115</f>
        <v>-15.333333333333329</v>
      </c>
      <c r="P386" s="580">
        <f>INPUT!BM115</f>
        <v>211</v>
      </c>
      <c r="Q386" s="577">
        <f>INPUT!BN115</f>
        <v>3.9408866995073879</v>
      </c>
      <c r="R386" s="580">
        <f>INPUT!BO115</f>
        <v>239</v>
      </c>
      <c r="S386" s="577">
        <f>INPUT!BP115</f>
        <v>1.2711864406779654</v>
      </c>
      <c r="T386" s="580">
        <f>INPUT!BQ115</f>
        <v>249</v>
      </c>
      <c r="U386" s="577">
        <f>INPUT!BR115</f>
        <v>22.660098522167488</v>
      </c>
      <c r="V386" s="580">
        <f>INPUT!BS115</f>
        <v>230</v>
      </c>
      <c r="W386" s="577">
        <f>INPUT!BT115</f>
        <v>-9.4488188976378069</v>
      </c>
      <c r="X386" s="580">
        <f>INPUT!BU115</f>
        <v>247</v>
      </c>
      <c r="Y386" s="577">
        <f>INPUT!BV115</f>
        <v>17.061611374407576</v>
      </c>
      <c r="Z386" s="580">
        <f>INPUT!BW115</f>
        <v>272</v>
      </c>
      <c r="AA386" s="577">
        <f>INPUT!BX115</f>
        <v>13.807531380753147</v>
      </c>
      <c r="AB386" s="580">
        <f>INPUT!BY115</f>
        <v>250</v>
      </c>
      <c r="AC386" s="577">
        <f>INPUT!BZ115</f>
        <v>0.40160642570282334</v>
      </c>
      <c r="AD386" s="580">
        <f>INPUT!CA115</f>
        <v>269</v>
      </c>
      <c r="AE386" s="577">
        <f>INPUT!CB115</f>
        <v>16.956521739130423</v>
      </c>
      <c r="AF386" s="580">
        <f>INPUT!CC115</f>
        <v>251</v>
      </c>
      <c r="AG386" s="577">
        <f>INPUT!CD115</f>
        <v>1.6194331983805625</v>
      </c>
      <c r="AH386" s="580">
        <f>INPUT!CE115</f>
        <v>309</v>
      </c>
      <c r="AI386" s="577">
        <f>INPUT!CF115</f>
        <v>13.60294117647058</v>
      </c>
      <c r="AJ386" s="580">
        <f>INPUT!CG115</f>
        <v>270</v>
      </c>
      <c r="AK386" s="577">
        <f>INPUT!CH115</f>
        <v>8</v>
      </c>
      <c r="AL386" s="580">
        <f>INPUT!CI115</f>
        <v>265</v>
      </c>
      <c r="AM386" s="577">
        <f>INPUT!CJ115</f>
        <v>-1.4869888475836461</v>
      </c>
      <c r="AN386" s="580">
        <f>INPUT!CK115</f>
        <v>276</v>
      </c>
      <c r="AO386" s="577">
        <f>INPUT!CL115</f>
        <v>9.9601593625497884</v>
      </c>
      <c r="AP386" s="580">
        <f>INPUT!CM115</f>
        <v>297</v>
      </c>
      <c r="AQ386" s="577">
        <f>INPUT!CN115</f>
        <v>-3.8834951456310591</v>
      </c>
      <c r="AR386" s="580">
        <f>INPUT!CO115</f>
        <v>268</v>
      </c>
      <c r="AS386" s="577">
        <f>INPUT!CP115</f>
        <v>-0.74074074074074758</v>
      </c>
      <c r="AT386" s="580">
        <f>INPUT!CQ115</f>
        <v>303</v>
      </c>
      <c r="AU386" s="577">
        <f>INPUT!CR115</f>
        <v>14.339622641509436</v>
      </c>
      <c r="AV386" s="580">
        <f>INPUT!CS115</f>
        <v>276</v>
      </c>
      <c r="AW386" s="577">
        <f>INPUT!CT115</f>
        <v>0</v>
      </c>
      <c r="AX386" s="580">
        <f>INPUT!CU115</f>
        <v>294</v>
      </c>
      <c r="AY386" s="577">
        <f>INPUT!CV115</f>
        <v>-1.0101010101010104</v>
      </c>
      <c r="AZ386" s="580">
        <f>INPUT!CW115</f>
        <v>350</v>
      </c>
      <c r="BA386" s="577">
        <f>INPUT!CX115</f>
        <v>30.597014925373145</v>
      </c>
      <c r="BB386" s="580">
        <f>INPUT!CY115</f>
        <v>299</v>
      </c>
      <c r="BC386" s="577">
        <f>INPUT!CZ115</f>
        <v>-1.3201320132013308</v>
      </c>
      <c r="BD386" s="580">
        <f>INPUT!DA115</f>
        <v>298</v>
      </c>
      <c r="BE386" s="577">
        <f>INPUT!DB115</f>
        <v>7.9710144927536106</v>
      </c>
      <c r="BF386" s="580">
        <f>INPUT!DC115</f>
        <v>468</v>
      </c>
      <c r="BG386" s="577">
        <f>INPUT!DD115</f>
        <v>59.183673469387742</v>
      </c>
      <c r="BH386" s="580">
        <f>INPUT!DE115</f>
        <v>466</v>
      </c>
      <c r="BI386" s="577">
        <f>INPUT!DF115</f>
        <v>33.142857142857139</v>
      </c>
      <c r="BJ386" s="580">
        <f>INPUT!DG115</f>
        <v>487</v>
      </c>
      <c r="BK386" s="577">
        <f>INPUT!DH115</f>
        <v>62.876254180602018</v>
      </c>
      <c r="BL386" s="580">
        <f>INPUT!DI115</f>
        <v>481</v>
      </c>
      <c r="BM386" s="577">
        <f>INPUT!DJ115</f>
        <v>61.409395973154346</v>
      </c>
      <c r="BN386" s="580">
        <f>INPUT!DK115</f>
        <v>548</v>
      </c>
      <c r="BO386" s="577">
        <f>INPUT!DL115</f>
        <v>17.094017094017104</v>
      </c>
      <c r="BP386" s="580">
        <f>INPUT!DM115</f>
        <v>520</v>
      </c>
      <c r="BQ386" s="577">
        <f>INPUT!DN115</f>
        <v>11.58798283261801</v>
      </c>
      <c r="BR386" s="580">
        <f>INPUT!DO115</f>
        <v>548</v>
      </c>
      <c r="BS386" s="577">
        <f>INPUT!DP115</f>
        <v>12.525667351129371</v>
      </c>
      <c r="BT386" s="580">
        <f>INPUT!DQ115</f>
        <v>524</v>
      </c>
      <c r="BU386" s="577">
        <f>INPUT!DR115</f>
        <v>8.9397089397089502</v>
      </c>
      <c r="BV386" s="580">
        <f>INPUT!DS115</f>
        <v>615</v>
      </c>
      <c r="BW386" s="577">
        <f>INPUT!DT115</f>
        <v>12.226277372262786</v>
      </c>
      <c r="BX386" s="580">
        <f>INPUT!DU115</f>
        <v>540</v>
      </c>
      <c r="BY386" s="577">
        <f>INPUT!DV115</f>
        <v>3.8461538461538538</v>
      </c>
      <c r="BZ386" s="580">
        <f>INPUT!DW115</f>
        <v>525</v>
      </c>
      <c r="CA386" s="577">
        <f>INPUT!DX115</f>
        <v>-4.1970802919708063</v>
      </c>
      <c r="CB386" s="580">
        <f>INPUT!DY115</f>
        <v>598</v>
      </c>
      <c r="CC386" s="577">
        <f>INPUT!DZ115</f>
        <v>14.122137404580144</v>
      </c>
      <c r="CD386" s="580">
        <f>INPUT!EA115</f>
        <v>614</v>
      </c>
      <c r="CE386" s="577">
        <f>INPUT!EB115</f>
        <v>-0.16260162601625439</v>
      </c>
      <c r="CF386" s="580">
        <f>INPUT!EC115</f>
        <v>949</v>
      </c>
      <c r="CG386" s="577">
        <f>INPUT!ED115</f>
        <v>75.740740740740733</v>
      </c>
      <c r="CH386" s="580">
        <f>INPUT!EE115</f>
        <v>619</v>
      </c>
      <c r="CI386" s="577">
        <f>INPUT!EF115</f>
        <v>17.904761904761912</v>
      </c>
      <c r="CJ386" s="580">
        <f>INPUT!EG115</f>
        <v>603</v>
      </c>
      <c r="CK386" s="577">
        <f>INPUT!EH115</f>
        <v>0.83612040133780852</v>
      </c>
      <c r="CL386" s="580">
        <f>INPUT!EI115</f>
        <v>642</v>
      </c>
      <c r="CM386" s="577">
        <f>INPUT!EJ115</f>
        <v>4.5602605863192167</v>
      </c>
      <c r="CN386" s="580">
        <f>INPUT!EK115</f>
        <v>289</v>
      </c>
      <c r="CO386" s="577" t="str">
        <f>INPUT!EL115</f>
        <v>NM</v>
      </c>
      <c r="CP386" s="580">
        <f>INPUT!EM115</f>
        <v>555</v>
      </c>
      <c r="CQ386" s="577">
        <f>INPUT!EN115</f>
        <v>-10.339256865912759</v>
      </c>
      <c r="CR386" s="580">
        <f>INPUT!EO115</f>
        <v>650</v>
      </c>
      <c r="CS386" s="577">
        <f>INPUT!EP115</f>
        <v>7.7943615257048009</v>
      </c>
      <c r="CT386" s="580">
        <f>INPUT!EQ115</f>
        <v>669.3537</v>
      </c>
      <c r="CU386" s="577">
        <f>INPUT!ER115</f>
        <v>4.2607009345794467</v>
      </c>
      <c r="CV386" s="580">
        <f>INPUT!ES115</f>
        <v>508.51799999999997</v>
      </c>
      <c r="CW386" s="577">
        <f>INPUT!ET115</f>
        <v>75.957785467128019</v>
      </c>
      <c r="CX386" s="580">
        <f>INPUT!EU115</f>
        <v>614.68399999999997</v>
      </c>
      <c r="CY386" s="577">
        <f>INPUT!EV115</f>
        <v>10.753873873873872</v>
      </c>
      <c r="CZ386" s="580">
        <f>INPUT!EW115</f>
        <v>634.61490000000003</v>
      </c>
      <c r="DA386" s="577">
        <f>INPUT!EX115</f>
        <v>-2.366938461538453</v>
      </c>
      <c r="DB386" s="596"/>
      <c r="DC386" s="580">
        <f>INPUT!FP115</f>
        <v>631</v>
      </c>
      <c r="DD386" s="577">
        <f>INPUT!FQ115</f>
        <v>3.6124794745484365</v>
      </c>
      <c r="DE386" s="580">
        <f>INPUT!FR115</f>
        <v>863</v>
      </c>
      <c r="DF386" s="577">
        <f>INPUT!FS115</f>
        <v>36.767036450079246</v>
      </c>
      <c r="DG386" s="580">
        <f>INPUT!FT115</f>
        <v>904</v>
      </c>
      <c r="DH386" s="577">
        <f>INPUT!FU115</f>
        <v>4.7508690614136668</v>
      </c>
      <c r="DI386" s="580">
        <f>INPUT!FV115</f>
        <v>965</v>
      </c>
      <c r="DJ386" s="577">
        <f>INPUT!FW115</f>
        <v>6.7477876106194685</v>
      </c>
      <c r="DK386" s="580">
        <f>INPUT!FX115</f>
        <v>1042</v>
      </c>
      <c r="DL386" s="577">
        <f>INPUT!FY115</f>
        <v>7.9792746113989494</v>
      </c>
      <c r="DM386" s="580">
        <f>INPUT!FZ115</f>
        <v>1120</v>
      </c>
      <c r="DN386" s="577">
        <f>INPUT!GA115</f>
        <v>7.485604606525925</v>
      </c>
      <c r="DO386" s="580">
        <f>INPUT!GB115</f>
        <v>1144</v>
      </c>
      <c r="DP386" s="577">
        <f>INPUT!GC115</f>
        <v>2.1428571428571388</v>
      </c>
      <c r="DQ386" s="580">
        <f>INPUT!GD115</f>
        <v>1241</v>
      </c>
      <c r="DR386" s="577">
        <f>INPUT!GE115</f>
        <v>8.479020979020973</v>
      </c>
      <c r="DS386" s="580">
        <f>INPUT!GF115</f>
        <v>1902</v>
      </c>
      <c r="DT386" s="577">
        <f>INPUT!GG115</f>
        <v>53.263497179693786</v>
      </c>
      <c r="DU386" s="580">
        <f>INPUT!GH115</f>
        <v>2140</v>
      </c>
      <c r="DV386" s="577">
        <f>INPUT!GI115</f>
        <v>12.513144058885388</v>
      </c>
      <c r="DW386" s="580">
        <f>INPUT!GJ115</f>
        <v>2278</v>
      </c>
      <c r="DX386" s="577">
        <f>INPUT!GK115</f>
        <v>6.448598130841134</v>
      </c>
      <c r="DY386" s="580">
        <f>INPUT!GL115</f>
        <v>2785</v>
      </c>
      <c r="DZ386" s="577">
        <f>INPUT!GM115</f>
        <v>22.256365232660229</v>
      </c>
      <c r="EA386" s="580">
        <f>INPUT!GN115</f>
        <v>2136</v>
      </c>
      <c r="EB386" s="577">
        <f>INPUT!GO115</f>
        <v>-23.303411131059249</v>
      </c>
      <c r="EC386" s="580">
        <f>INPUT!GP115</f>
        <v>2427.1705999999999</v>
      </c>
      <c r="ED386" s="577">
        <f>INPUT!GQ115</f>
        <v>13.631582397003754</v>
      </c>
      <c r="EE386" s="580">
        <f>INPUT!GR115</f>
        <v>2572.8008359999994</v>
      </c>
      <c r="EF386" s="577">
        <f>INPUT!GS115</f>
        <v>5.9999999999999858</v>
      </c>
      <c r="EG386" s="580">
        <f>INPUT!GT115</f>
        <v>2727.1688861599996</v>
      </c>
      <c r="EH386" s="577">
        <f>INPUT!GU115</f>
        <v>6</v>
      </c>
      <c r="EI386" s="580">
        <f>INPUT!GV115</f>
        <v>2890.7990193295996</v>
      </c>
      <c r="EJ386" s="577">
        <f>INPUT!GW115</f>
        <v>6</v>
      </c>
      <c r="EK386" s="580">
        <f>INPUT!GX115</f>
        <v>3064.2469604893759</v>
      </c>
      <c r="EL386" s="577">
        <f>INPUT!GY115</f>
        <v>6</v>
      </c>
      <c r="EM386" s="577">
        <f>INPUT!GZ115</f>
        <v>7.4841690025876151</v>
      </c>
    </row>
    <row r="387" spans="1:144" ht="12.75" hidden="1" customHeight="1" outlineLevel="1" x14ac:dyDescent="0.2">
      <c r="A387" s="579" t="str">
        <f>INPUT!B116</f>
        <v>Interest Credited</v>
      </c>
      <c r="B387" s="580">
        <f>INPUT!AY116</f>
        <v>48</v>
      </c>
      <c r="C387" s="577">
        <f>INPUT!AZ116</f>
        <v>14.285714285714278</v>
      </c>
      <c r="D387" s="580">
        <f>INPUT!BA116</f>
        <v>50</v>
      </c>
      <c r="E387" s="577">
        <f>INPUT!BB116</f>
        <v>13.63636363636364</v>
      </c>
      <c r="F387" s="580">
        <f>INPUT!BC116</f>
        <v>51</v>
      </c>
      <c r="G387" s="577">
        <f>INPUT!BD116</f>
        <v>18.604651162790702</v>
      </c>
      <c r="H387" s="580">
        <f>INPUT!BE116</f>
        <v>54</v>
      </c>
      <c r="I387" s="577">
        <f>INPUT!BF116</f>
        <v>12.5</v>
      </c>
      <c r="J387" s="580">
        <f>INPUT!BG116</f>
        <v>54</v>
      </c>
      <c r="K387" s="577">
        <f>INPUT!BH116</f>
        <v>12.5</v>
      </c>
      <c r="L387" s="580">
        <f>INPUT!BI116</f>
        <v>54</v>
      </c>
      <c r="M387" s="577">
        <f>INPUT!BJ116</f>
        <v>8</v>
      </c>
      <c r="N387" s="580">
        <f>INPUT!BK116</f>
        <v>54</v>
      </c>
      <c r="O387" s="577">
        <f>INPUT!BL116</f>
        <v>5.8823529411764781</v>
      </c>
      <c r="P387" s="580">
        <f>INPUT!BM116</f>
        <v>56</v>
      </c>
      <c r="Q387" s="577">
        <f>INPUT!BN116</f>
        <v>3.7037037037036953</v>
      </c>
      <c r="R387" s="580">
        <f>INPUT!BO116</f>
        <v>55</v>
      </c>
      <c r="S387" s="577">
        <f>INPUT!BP116</f>
        <v>1.8518518518518619</v>
      </c>
      <c r="T387" s="580">
        <f>INPUT!BQ116</f>
        <v>57</v>
      </c>
      <c r="U387" s="577">
        <f>INPUT!BR116</f>
        <v>5.5555555555555571</v>
      </c>
      <c r="V387" s="580">
        <f>INPUT!BS116</f>
        <v>59</v>
      </c>
      <c r="W387" s="577">
        <f>INPUT!BT116</f>
        <v>9.2592592592592524</v>
      </c>
      <c r="X387" s="580">
        <f>INPUT!BU116</f>
        <v>60</v>
      </c>
      <c r="Y387" s="577">
        <f>INPUT!BV116</f>
        <v>7.1428571428571388</v>
      </c>
      <c r="Z387" s="580">
        <f>INPUT!BW116</f>
        <v>62</v>
      </c>
      <c r="AA387" s="577">
        <f>INPUT!BX116</f>
        <v>12.72727272727272</v>
      </c>
      <c r="AB387" s="580">
        <f>INPUT!BY116</f>
        <v>65</v>
      </c>
      <c r="AC387" s="577">
        <f>INPUT!BZ116</f>
        <v>14.035087719298247</v>
      </c>
      <c r="AD387" s="580">
        <f>INPUT!CA116</f>
        <v>68</v>
      </c>
      <c r="AE387" s="577">
        <f>INPUT!CB116</f>
        <v>15.254237288135599</v>
      </c>
      <c r="AF387" s="580">
        <f>INPUT!CC116</f>
        <v>68</v>
      </c>
      <c r="AG387" s="577">
        <f>INPUT!CD116</f>
        <v>13.333333333333329</v>
      </c>
      <c r="AH387" s="580">
        <f>INPUT!CE116</f>
        <v>69</v>
      </c>
      <c r="AI387" s="577">
        <f>INPUT!CF116</f>
        <v>11.290322580645153</v>
      </c>
      <c r="AJ387" s="580">
        <f>INPUT!CG116</f>
        <v>70</v>
      </c>
      <c r="AK387" s="577">
        <f>INPUT!CH116</f>
        <v>7.6923076923076934</v>
      </c>
      <c r="AL387" s="580">
        <f>INPUT!CI116</f>
        <v>73</v>
      </c>
      <c r="AM387" s="577">
        <f>INPUT!CJ116</f>
        <v>7.3529411764705799</v>
      </c>
      <c r="AN387" s="580">
        <f>INPUT!CK116</f>
        <v>72</v>
      </c>
      <c r="AO387" s="577">
        <f>INPUT!CL116</f>
        <v>5.8823529411764781</v>
      </c>
      <c r="AP387" s="580">
        <f>INPUT!CM116</f>
        <v>71</v>
      </c>
      <c r="AQ387" s="577">
        <f>INPUT!CN116</f>
        <v>2.8985507246376727</v>
      </c>
      <c r="AR387" s="580">
        <f>INPUT!CO116</f>
        <v>74</v>
      </c>
      <c r="AS387" s="577">
        <f>INPUT!CP116</f>
        <v>5.7142857142857224</v>
      </c>
      <c r="AT387" s="580">
        <f>INPUT!CQ116</f>
        <v>77</v>
      </c>
      <c r="AU387" s="577">
        <f>INPUT!CR116</f>
        <v>5.4794520547945211</v>
      </c>
      <c r="AV387" s="580">
        <f>INPUT!CS116</f>
        <v>77</v>
      </c>
      <c r="AW387" s="577">
        <f>INPUT!CT116</f>
        <v>6.9444444444444429</v>
      </c>
      <c r="AX387" s="580">
        <f>INPUT!CU116</f>
        <v>77</v>
      </c>
      <c r="AY387" s="577">
        <f>INPUT!CV116</f>
        <v>8.4507042253521263</v>
      </c>
      <c r="AZ387" s="580">
        <f>INPUT!CW116</f>
        <v>81</v>
      </c>
      <c r="BA387" s="577">
        <f>INPUT!CX116</f>
        <v>9.4594594594594525</v>
      </c>
      <c r="BB387" s="580">
        <f>INPUT!CY116</f>
        <v>83</v>
      </c>
      <c r="BC387" s="577">
        <f>INPUT!CZ116</f>
        <v>7.7922077922077904</v>
      </c>
      <c r="BD387" s="580">
        <f>INPUT!DA116</f>
        <v>88</v>
      </c>
      <c r="BE387" s="577">
        <f>INPUT!DB116</f>
        <v>14.285714285714278</v>
      </c>
      <c r="BF387" s="580">
        <f>INPUT!DC116</f>
        <v>136</v>
      </c>
      <c r="BG387" s="577">
        <f>INPUT!DD116</f>
        <v>76.623376623376629</v>
      </c>
      <c r="BH387" s="580">
        <f>INPUT!DE116</f>
        <v>145</v>
      </c>
      <c r="BI387" s="577">
        <f>INPUT!DF116</f>
        <v>79.012345679012356</v>
      </c>
      <c r="BJ387" s="580">
        <f>INPUT!DG116</f>
        <v>149</v>
      </c>
      <c r="BK387" s="577">
        <f>INPUT!DH116</f>
        <v>79.518072289156606</v>
      </c>
      <c r="BL387" s="580">
        <f>INPUT!DI116</f>
        <v>146</v>
      </c>
      <c r="BM387" s="577">
        <f>INPUT!DJ116</f>
        <v>65.909090909090907</v>
      </c>
      <c r="BN387" s="580">
        <f>INPUT!DK116</f>
        <v>149</v>
      </c>
      <c r="BO387" s="577">
        <f>INPUT!DL116</f>
        <v>9.558823529411768</v>
      </c>
      <c r="BP387" s="580">
        <f>INPUT!DM116</f>
        <v>151</v>
      </c>
      <c r="BQ387" s="577">
        <f>INPUT!DN116</f>
        <v>4.1379310344827616</v>
      </c>
      <c r="BR387" s="580">
        <f>INPUT!DO116</f>
        <v>152</v>
      </c>
      <c r="BS387" s="577">
        <f>INPUT!DP116</f>
        <v>2.0134228187919518</v>
      </c>
      <c r="BT387" s="580">
        <f>INPUT!DQ116</f>
        <v>154</v>
      </c>
      <c r="BU387" s="577">
        <f>INPUT!DR116</f>
        <v>5.4794520547945211</v>
      </c>
      <c r="BV387" s="580">
        <f>INPUT!DS116</f>
        <v>155</v>
      </c>
      <c r="BW387" s="577">
        <f>INPUT!DT116</f>
        <v>4.0268456375838895</v>
      </c>
      <c r="BX387" s="580">
        <f>INPUT!DU116</f>
        <v>160</v>
      </c>
      <c r="BY387" s="577">
        <f>INPUT!DV116</f>
        <v>5.9602649006622528</v>
      </c>
      <c r="BZ387" s="580">
        <f>INPUT!DW116</f>
        <v>165</v>
      </c>
      <c r="CA387" s="577">
        <f>INPUT!DX116</f>
        <v>8.5526315789473699</v>
      </c>
      <c r="CB387" s="580">
        <f>INPUT!DY116</f>
        <v>164</v>
      </c>
      <c r="CC387" s="577">
        <f>INPUT!DZ116</f>
        <v>6.4935064935064872</v>
      </c>
      <c r="CD387" s="580">
        <f>INPUT!EA116</f>
        <v>164</v>
      </c>
      <c r="CE387" s="577">
        <f>INPUT!EB116</f>
        <v>5.8064516129032313</v>
      </c>
      <c r="CF387" s="580">
        <f>INPUT!EC116</f>
        <v>169</v>
      </c>
      <c r="CG387" s="577">
        <f>INPUT!ED116</f>
        <v>5.6249999999999858</v>
      </c>
      <c r="CH387" s="580">
        <f>INPUT!EE116</f>
        <v>171</v>
      </c>
      <c r="CI387" s="577">
        <f>INPUT!EF116</f>
        <v>3.6363636363636402</v>
      </c>
      <c r="CJ387" s="580">
        <f>INPUT!EG116</f>
        <v>176</v>
      </c>
      <c r="CK387" s="577">
        <f>INPUT!EH116</f>
        <v>7.3170731707317174</v>
      </c>
      <c r="CL387" s="580">
        <f>INPUT!EI116</f>
        <v>176</v>
      </c>
      <c r="CM387" s="577">
        <f>INPUT!EJ116</f>
        <v>7.3170731707317174</v>
      </c>
      <c r="CN387" s="580">
        <f>INPUT!EK116</f>
        <v>178</v>
      </c>
      <c r="CO387" s="577">
        <f>INPUT!EL116</f>
        <v>5.3254437869822482</v>
      </c>
      <c r="CP387" s="580">
        <f>INPUT!EM116</f>
        <v>182</v>
      </c>
      <c r="CQ387" s="577">
        <f>INPUT!EN116</f>
        <v>6.4327485380117082</v>
      </c>
      <c r="CR387" s="580">
        <f>INPUT!EO116</f>
        <v>183</v>
      </c>
      <c r="CS387" s="577">
        <f>INPUT!EP116</f>
        <v>3.9772727272727337</v>
      </c>
      <c r="CT387" s="580">
        <f>INPUT!EQ116</f>
        <v>182.78369999999998</v>
      </c>
      <c r="CU387" s="577">
        <f>INPUT!ER116</f>
        <v>3.8543749999999903</v>
      </c>
      <c r="CV387" s="580">
        <f>INPUT!ES116</f>
        <v>184.61153700000003</v>
      </c>
      <c r="CW387" s="577">
        <f>INPUT!ET116</f>
        <v>3.7143466292135088</v>
      </c>
      <c r="CX387" s="580">
        <f>INPUT!EU116</f>
        <v>186.45765237000001</v>
      </c>
      <c r="CY387" s="577">
        <f>INPUT!EV116</f>
        <v>2.4492595439560461</v>
      </c>
      <c r="CZ387" s="580">
        <f>INPUT!EW116</f>
        <v>188.32222889370001</v>
      </c>
      <c r="DA387" s="577">
        <f>INPUT!EX116</f>
        <v>2.9083217998360738</v>
      </c>
      <c r="DB387" s="596"/>
      <c r="DC387" s="580">
        <f>INPUT!FP116</f>
        <v>177</v>
      </c>
      <c r="DD387" s="577">
        <f>INPUT!FQ116</f>
        <v>7.2727272727272805</v>
      </c>
      <c r="DE387" s="580">
        <f>INPUT!FR116</f>
        <v>203</v>
      </c>
      <c r="DF387" s="577">
        <f>INPUT!FS116</f>
        <v>14.689265536723155</v>
      </c>
      <c r="DG387" s="580">
        <f>INPUT!FT116</f>
        <v>218</v>
      </c>
      <c r="DH387" s="577">
        <f>INPUT!FU116</f>
        <v>7.3891625615763559</v>
      </c>
      <c r="DI387" s="580">
        <f>INPUT!FV116</f>
        <v>231</v>
      </c>
      <c r="DJ387" s="577">
        <f>INPUT!FW116</f>
        <v>5.963302752293572</v>
      </c>
      <c r="DK387" s="580">
        <f>INPUT!FX116</f>
        <v>263</v>
      </c>
      <c r="DL387" s="577">
        <f>INPUT!FY116</f>
        <v>13.852813852813853</v>
      </c>
      <c r="DM387" s="580">
        <f>INPUT!FZ116</f>
        <v>284</v>
      </c>
      <c r="DN387" s="577">
        <f>INPUT!GA116</f>
        <v>7.9847908745247054</v>
      </c>
      <c r="DO387" s="580">
        <f>INPUT!GB116</f>
        <v>299</v>
      </c>
      <c r="DP387" s="577">
        <f>INPUT!GC116</f>
        <v>5.2816901408450718</v>
      </c>
      <c r="DQ387" s="580">
        <f>INPUT!GD116</f>
        <v>329</v>
      </c>
      <c r="DR387" s="577">
        <f>INPUT!GE116</f>
        <v>10.033444816053503</v>
      </c>
      <c r="DS387" s="580">
        <f>INPUT!GF116</f>
        <v>576</v>
      </c>
      <c r="DT387" s="577">
        <f>INPUT!GG116</f>
        <v>75.075987841945278</v>
      </c>
      <c r="DU387" s="580">
        <f>INPUT!GH116</f>
        <v>606</v>
      </c>
      <c r="DV387" s="577">
        <f>INPUT!GI116</f>
        <v>5.2083333333333286</v>
      </c>
      <c r="DW387" s="580">
        <f>INPUT!GJ116</f>
        <v>644</v>
      </c>
      <c r="DX387" s="577">
        <f>INPUT!GK116</f>
        <v>6.2706270627062679</v>
      </c>
      <c r="DY387" s="580">
        <f>INPUT!GL116</f>
        <v>680</v>
      </c>
      <c r="DZ387" s="577">
        <f>INPUT!GM116</f>
        <v>5.5900621118012452</v>
      </c>
      <c r="EA387" s="580">
        <f>INPUT!GN116</f>
        <v>719</v>
      </c>
      <c r="EB387" s="577">
        <f>INPUT!GO116</f>
        <v>5.735294117647058</v>
      </c>
      <c r="EC387" s="580">
        <f>INPUT!GP116</f>
        <v>742.17511826369991</v>
      </c>
      <c r="ED387" s="577">
        <f>INPUT!GQ116</f>
        <v>3.223243152114037</v>
      </c>
      <c r="EE387" s="580">
        <f>INPUT!GR116</f>
        <v>782.29269222389996</v>
      </c>
      <c r="EF387" s="577">
        <f>INPUT!GS116</f>
        <v>5.4054054054054177</v>
      </c>
      <c r="EG387" s="580">
        <f>INPUT!GT116</f>
        <v>824.43219191169408</v>
      </c>
      <c r="EH387" s="577">
        <f>INPUT!GU116</f>
        <v>5.3866666666666703</v>
      </c>
      <c r="EI387" s="580">
        <f>INPUT!GV116</f>
        <v>861.9221610596785</v>
      </c>
      <c r="EJ387" s="577">
        <f>INPUT!GW116</f>
        <v>4.5473684210526386</v>
      </c>
      <c r="EK387" s="580">
        <f>INPUT!GX116</f>
        <v>901.09223623244293</v>
      </c>
      <c r="EL387" s="577">
        <f>INPUT!GY116</f>
        <v>4.5445026178010437</v>
      </c>
      <c r="EM387" s="577">
        <f>INPUT!GZ116</f>
        <v>4.6183994482946966</v>
      </c>
    </row>
    <row r="388" spans="1:144" ht="12.75" hidden="1" customHeight="1" outlineLevel="1" x14ac:dyDescent="0.2">
      <c r="A388" s="579" t="str">
        <f>INPUT!B117</f>
        <v>Interest Expense</v>
      </c>
      <c r="B388" s="580">
        <f>INPUT!AY117</f>
        <v>17</v>
      </c>
      <c r="C388" s="577">
        <f>INPUT!AZ117</f>
        <v>13.333333333333329</v>
      </c>
      <c r="D388" s="580">
        <f>INPUT!BA117</f>
        <v>18</v>
      </c>
      <c r="E388" s="577">
        <f>INPUT!BB117</f>
        <v>20</v>
      </c>
      <c r="F388" s="580">
        <f>INPUT!BC117</f>
        <v>20</v>
      </c>
      <c r="G388" s="577">
        <f>INPUT!BD117</f>
        <v>11.111111111111114</v>
      </c>
      <c r="H388" s="580">
        <f>INPUT!BE117</f>
        <v>27</v>
      </c>
      <c r="I388" s="577">
        <f>INPUT!BF117</f>
        <v>50</v>
      </c>
      <c r="J388" s="580">
        <f>INPUT!BG117</f>
        <v>38</v>
      </c>
      <c r="K388" s="577" t="str">
        <f>INPUT!BH117</f>
        <v>NM</v>
      </c>
      <c r="L388" s="580">
        <f>INPUT!BI117</f>
        <v>37</v>
      </c>
      <c r="M388" s="577" t="str">
        <f>INPUT!BJ117</f>
        <v>NM</v>
      </c>
      <c r="N388" s="580">
        <f>INPUT!BK117</f>
        <v>41</v>
      </c>
      <c r="O388" s="577" t="str">
        <f>INPUT!BL117</f>
        <v>NM</v>
      </c>
      <c r="P388" s="580">
        <f>INPUT!BM117</f>
        <v>49</v>
      </c>
      <c r="Q388" s="577">
        <f>INPUT!BN117</f>
        <v>81.481481481481495</v>
      </c>
      <c r="R388" s="580">
        <f>INPUT!BO117</f>
        <v>52</v>
      </c>
      <c r="S388" s="577">
        <f>INPUT!BP117</f>
        <v>36.84210526315789</v>
      </c>
      <c r="T388" s="580">
        <f>INPUT!BQ117</f>
        <v>49</v>
      </c>
      <c r="U388" s="577">
        <f>INPUT!BR117</f>
        <v>32.432432432432421</v>
      </c>
      <c r="V388" s="580">
        <f>INPUT!BS117</f>
        <v>51</v>
      </c>
      <c r="W388" s="577">
        <f>INPUT!BT117</f>
        <v>24.390243902439025</v>
      </c>
      <c r="X388" s="580">
        <f>INPUT!BU117</f>
        <v>62</v>
      </c>
      <c r="Y388" s="577">
        <f>INPUT!BV117</f>
        <v>26.530612244897966</v>
      </c>
      <c r="Z388" s="580">
        <f>INPUT!BW117</f>
        <v>51</v>
      </c>
      <c r="AA388" s="577">
        <f>INPUT!BX117</f>
        <v>-1.923076923076934</v>
      </c>
      <c r="AB388" s="580">
        <f>INPUT!BY117</f>
        <v>47</v>
      </c>
      <c r="AC388" s="577">
        <f>INPUT!BZ117</f>
        <v>-4.0816326530612344</v>
      </c>
      <c r="AD388" s="580">
        <f>INPUT!CA117</f>
        <v>42</v>
      </c>
      <c r="AE388" s="577">
        <f>INPUT!CB117</f>
        <v>-17.64705882352942</v>
      </c>
      <c r="AF388" s="580">
        <f>INPUT!CC117</f>
        <v>41</v>
      </c>
      <c r="AG388" s="577">
        <f>INPUT!CD117</f>
        <v>-33.870967741935488</v>
      </c>
      <c r="AH388" s="580">
        <f>INPUT!CE117</f>
        <v>35</v>
      </c>
      <c r="AI388" s="577">
        <f>INPUT!CF117</f>
        <v>-31.372549019607845</v>
      </c>
      <c r="AJ388" s="580">
        <f>INPUT!CG117</f>
        <v>37</v>
      </c>
      <c r="AK388" s="577">
        <f>INPUT!CH117</f>
        <v>-21.276595744680847</v>
      </c>
      <c r="AL388" s="580">
        <f>INPUT!CI117</f>
        <v>45</v>
      </c>
      <c r="AM388" s="577">
        <f>INPUT!CJ117</f>
        <v>7.1428571428571388</v>
      </c>
      <c r="AN388" s="580">
        <f>INPUT!CK117</f>
        <v>45</v>
      </c>
      <c r="AO388" s="577">
        <f>INPUT!CL117</f>
        <v>9.7560975609756184</v>
      </c>
      <c r="AP388" s="580">
        <f>INPUT!CM117</f>
        <v>45</v>
      </c>
      <c r="AQ388" s="577">
        <f>INPUT!CN117</f>
        <v>28.571428571428584</v>
      </c>
      <c r="AR388" s="580">
        <f>INPUT!CO117</f>
        <v>48</v>
      </c>
      <c r="AS388" s="577">
        <f>INPUT!CP117</f>
        <v>29.72972972972974</v>
      </c>
      <c r="AT388" s="580">
        <f>INPUT!CQ117</f>
        <v>48</v>
      </c>
      <c r="AU388" s="577">
        <f>INPUT!CR117</f>
        <v>6.6666666666666714</v>
      </c>
      <c r="AV388" s="580">
        <f>INPUT!CS117</f>
        <v>73</v>
      </c>
      <c r="AW388" s="577">
        <f>INPUT!CT117</f>
        <v>62.222222222222229</v>
      </c>
      <c r="AX388" s="580">
        <f>INPUT!CU117</f>
        <v>77</v>
      </c>
      <c r="AY388" s="577">
        <f>INPUT!CV117</f>
        <v>71.111111111111114</v>
      </c>
      <c r="AZ388" s="580">
        <f>INPUT!CW117</f>
        <v>78</v>
      </c>
      <c r="BA388" s="577">
        <f>INPUT!CX117</f>
        <v>62.5</v>
      </c>
      <c r="BB388" s="580">
        <f>INPUT!CY117</f>
        <v>80</v>
      </c>
      <c r="BC388" s="577">
        <f>INPUT!CZ117</f>
        <v>66.666666666666686</v>
      </c>
      <c r="BD388" s="580">
        <f>INPUT!DA117</f>
        <v>81</v>
      </c>
      <c r="BE388" s="577">
        <f>INPUT!DB117</f>
        <v>10.958904109589042</v>
      </c>
      <c r="BF388" s="580">
        <f>INPUT!DC117</f>
        <v>94</v>
      </c>
      <c r="BG388" s="577">
        <f>INPUT!DD117</f>
        <v>22.077922077922068</v>
      </c>
      <c r="BH388" s="580">
        <f>INPUT!DE117</f>
        <v>95</v>
      </c>
      <c r="BI388" s="577">
        <f>INPUT!DF117</f>
        <v>21.794871794871781</v>
      </c>
      <c r="BJ388" s="580">
        <f>INPUT!DG117</f>
        <v>108</v>
      </c>
      <c r="BK388" s="577">
        <f>INPUT!DH117</f>
        <v>35</v>
      </c>
      <c r="BL388" s="580">
        <f>INPUT!DI117</f>
        <v>110</v>
      </c>
      <c r="BM388" s="577">
        <f>INPUT!DJ117</f>
        <v>35.802469135802482</v>
      </c>
      <c r="BN388" s="580">
        <f>INPUT!DK117</f>
        <v>122</v>
      </c>
      <c r="BO388" s="577">
        <f>INPUT!DL117</f>
        <v>29.787234042553195</v>
      </c>
      <c r="BP388" s="580">
        <f>INPUT!DM117</f>
        <v>127</v>
      </c>
      <c r="BQ388" s="577">
        <f>INPUT!DN117</f>
        <v>33.68421052631578</v>
      </c>
      <c r="BR388" s="580">
        <f>INPUT!DO117</f>
        <v>146</v>
      </c>
      <c r="BS388" s="577">
        <f>INPUT!DP117</f>
        <v>35.18518518518519</v>
      </c>
      <c r="BT388" s="580">
        <f>INPUT!DQ117</f>
        <v>138</v>
      </c>
      <c r="BU388" s="577">
        <f>INPUT!DR117</f>
        <v>25.454545454545467</v>
      </c>
      <c r="BV388" s="580">
        <f>INPUT!DS117</f>
        <v>134</v>
      </c>
      <c r="BW388" s="577">
        <f>INPUT!DT117</f>
        <v>9.8360655737704974</v>
      </c>
      <c r="BX388" s="580">
        <f>INPUT!DU117</f>
        <v>137</v>
      </c>
      <c r="BY388" s="577">
        <f>INPUT!DV117</f>
        <v>7.8740157480315105</v>
      </c>
      <c r="BZ388" s="580">
        <f>INPUT!DW117</f>
        <v>140</v>
      </c>
      <c r="CA388" s="577">
        <f>INPUT!DX117</f>
        <v>-4.1095890410959015</v>
      </c>
      <c r="CB388" s="580">
        <f>INPUT!DY117</f>
        <v>139</v>
      </c>
      <c r="CC388" s="577">
        <f>INPUT!DZ117</f>
        <v>0.72463768115942173</v>
      </c>
      <c r="CD388" s="580">
        <f>INPUT!EA117</f>
        <v>141</v>
      </c>
      <c r="CE388" s="577">
        <f>INPUT!EB117</f>
        <v>5.2238805970149258</v>
      </c>
      <c r="CF388" s="580">
        <f>INPUT!EC117</f>
        <v>145</v>
      </c>
      <c r="CG388" s="577">
        <f>INPUT!ED117</f>
        <v>5.8394160583941499</v>
      </c>
      <c r="CH388" s="580">
        <f>INPUT!EE117</f>
        <v>146</v>
      </c>
      <c r="CI388" s="577">
        <f>INPUT!EF117</f>
        <v>4.2857142857142918</v>
      </c>
      <c r="CJ388" s="580">
        <f>INPUT!EG117</f>
        <v>151</v>
      </c>
      <c r="CK388" s="577">
        <f>INPUT!EH117</f>
        <v>8.6330935251798451</v>
      </c>
      <c r="CL388" s="580">
        <f>INPUT!EI117</f>
        <v>156</v>
      </c>
      <c r="CM388" s="577">
        <f>INPUT!EJ117</f>
        <v>10.638297872340431</v>
      </c>
      <c r="CN388" s="580">
        <f>INPUT!EK117</f>
        <v>162</v>
      </c>
      <c r="CO388" s="577">
        <f>INPUT!EL117</f>
        <v>11.724137931034477</v>
      </c>
      <c r="CP388" s="580">
        <f>INPUT!EM117</f>
        <v>163</v>
      </c>
      <c r="CQ388" s="577">
        <f>INPUT!EN117</f>
        <v>11.643835616438352</v>
      </c>
      <c r="CR388" s="580">
        <f>INPUT!EO117</f>
        <v>167</v>
      </c>
      <c r="CS388" s="577">
        <f>INPUT!EP117</f>
        <v>10.596026490066237</v>
      </c>
      <c r="CT388" s="580">
        <f>INPUT!EQ117</f>
        <v>163.80000000000001</v>
      </c>
      <c r="CU388" s="577">
        <f>INPUT!ER117</f>
        <v>5</v>
      </c>
      <c r="CV388" s="580">
        <f>INPUT!ES117</f>
        <v>170.1</v>
      </c>
      <c r="CW388" s="577">
        <f>INPUT!ET117</f>
        <v>5</v>
      </c>
      <c r="CX388" s="580">
        <f>INPUT!EU117</f>
        <v>171.15</v>
      </c>
      <c r="CY388" s="577">
        <f>INPUT!EV117</f>
        <v>5</v>
      </c>
      <c r="CZ388" s="580">
        <f>INPUT!EW117</f>
        <v>175.35</v>
      </c>
      <c r="DA388" s="577">
        <f>INPUT!EX117</f>
        <v>5</v>
      </c>
      <c r="DB388" s="596"/>
      <c r="DC388" s="580">
        <f>INPUT!FP117</f>
        <v>66</v>
      </c>
      <c r="DD388" s="577" t="str">
        <f>INPUT!FQ117</f>
        <v>NM</v>
      </c>
      <c r="DE388" s="580">
        <f>INPUT!FR117</f>
        <v>82</v>
      </c>
      <c r="DF388" s="577">
        <f>INPUT!FS117</f>
        <v>24.242424242424249</v>
      </c>
      <c r="DG388" s="580">
        <f>INPUT!FT117</f>
        <v>165</v>
      </c>
      <c r="DH388" s="577" t="str">
        <f>INPUT!FU117</f>
        <v>NM</v>
      </c>
      <c r="DI388" s="580">
        <f>INPUT!FV117</f>
        <v>214</v>
      </c>
      <c r="DJ388" s="577">
        <f>INPUT!FW117</f>
        <v>29.696969696969688</v>
      </c>
      <c r="DK388" s="580">
        <f>INPUT!FX117</f>
        <v>181</v>
      </c>
      <c r="DL388" s="577">
        <f>INPUT!FY117</f>
        <v>-15.420560747663544</v>
      </c>
      <c r="DM388" s="580">
        <f>INPUT!FZ117</f>
        <v>162</v>
      </c>
      <c r="DN388" s="577">
        <f>INPUT!GA117</f>
        <v>-10.497237569060772</v>
      </c>
      <c r="DO388" s="580">
        <f>INPUT!GB117</f>
        <v>214</v>
      </c>
      <c r="DP388" s="577">
        <f>INPUT!GC117</f>
        <v>32.098765432098787</v>
      </c>
      <c r="DQ388" s="580">
        <f>INPUT!GD117</f>
        <v>316</v>
      </c>
      <c r="DR388" s="577">
        <f>INPUT!GE117</f>
        <v>47.663551401869142</v>
      </c>
      <c r="DS388" s="580">
        <f>INPUT!GF117</f>
        <v>407</v>
      </c>
      <c r="DT388" s="577">
        <f>INPUT!GG117</f>
        <v>28.797468354430379</v>
      </c>
      <c r="DU388" s="580">
        <f>INPUT!GH117</f>
        <v>533</v>
      </c>
      <c r="DV388" s="577">
        <f>INPUT!GI117</f>
        <v>30.958230958230956</v>
      </c>
      <c r="DW388" s="580">
        <f>INPUT!GJ117</f>
        <v>550</v>
      </c>
      <c r="DX388" s="577">
        <f>INPUT!GK117</f>
        <v>3.1894934333958673</v>
      </c>
      <c r="DY388" s="580">
        <f>INPUT!GL117</f>
        <v>583</v>
      </c>
      <c r="DZ388" s="577">
        <f>INPUT!GM117</f>
        <v>6</v>
      </c>
      <c r="EA388" s="580">
        <f>INPUT!GN117</f>
        <v>648</v>
      </c>
      <c r="EB388" s="577">
        <f>INPUT!GO117</f>
        <v>11.149228130360214</v>
      </c>
      <c r="EC388" s="580">
        <f>INPUT!GP117</f>
        <v>680.4</v>
      </c>
      <c r="ED388" s="577">
        <f>INPUT!GQ117</f>
        <v>5</v>
      </c>
      <c r="EE388" s="580">
        <f>INPUT!GR117</f>
        <v>714.42</v>
      </c>
      <c r="EF388" s="577">
        <f>INPUT!GS117</f>
        <v>5</v>
      </c>
      <c r="EG388" s="580">
        <f>INPUT!GT117</f>
        <v>750.14099999999996</v>
      </c>
      <c r="EH388" s="577">
        <f>INPUT!GU117</f>
        <v>5</v>
      </c>
      <c r="EI388" s="580">
        <f>INPUT!GV117</f>
        <v>787.64805000000001</v>
      </c>
      <c r="EJ388" s="577">
        <f>INPUT!GW117</f>
        <v>5</v>
      </c>
      <c r="EK388" s="580">
        <f>INPUT!GX117</f>
        <v>827.03045250000002</v>
      </c>
      <c r="EL388" s="577">
        <f>INPUT!GY117</f>
        <v>5</v>
      </c>
      <c r="EM388" s="577">
        <f>INPUT!GZ117</f>
        <v>5.0000000000000044</v>
      </c>
    </row>
    <row r="389" spans="1:144" ht="12.75" hidden="1" customHeight="1" outlineLevel="1" x14ac:dyDescent="0.2">
      <c r="A389" s="579" t="str">
        <f>INPUT!B118</f>
        <v>Operating Expenses - Ongoing</v>
      </c>
      <c r="B389" s="580">
        <f>INPUT!AY118</f>
        <v>206</v>
      </c>
      <c r="C389" s="577">
        <f>INPUT!AZ118</f>
        <v>4.5685279187817258</v>
      </c>
      <c r="D389" s="580">
        <f>INPUT!BA118</f>
        <v>214</v>
      </c>
      <c r="E389" s="577">
        <f>INPUT!BB118</f>
        <v>-2.2831050228310517</v>
      </c>
      <c r="F389" s="580">
        <f>INPUT!BC118</f>
        <v>224</v>
      </c>
      <c r="G389" s="577">
        <f>INPUT!BD118</f>
        <v>4.1860465116279073</v>
      </c>
      <c r="H389" s="580">
        <f>INPUT!BE118</f>
        <v>229</v>
      </c>
      <c r="I389" s="577">
        <f>INPUT!BF118</f>
        <v>12.254901960784309</v>
      </c>
      <c r="J389" s="580">
        <f>INPUT!BG118</f>
        <v>227</v>
      </c>
      <c r="K389" s="577">
        <f>INPUT!BH118</f>
        <v>10.194174757281544</v>
      </c>
      <c r="L389" s="580">
        <f>INPUT!BI118</f>
        <v>245</v>
      </c>
      <c r="M389" s="577">
        <f>INPUT!BJ118</f>
        <v>14.485981308411212</v>
      </c>
      <c r="N389" s="580">
        <f>INPUT!BK118</f>
        <v>255</v>
      </c>
      <c r="O389" s="577">
        <f>INPUT!BL118</f>
        <v>13.839285714285722</v>
      </c>
      <c r="P389" s="580">
        <f>INPUT!BM118</f>
        <v>254</v>
      </c>
      <c r="Q389" s="577">
        <f>INPUT!BN118</f>
        <v>10.917030567685586</v>
      </c>
      <c r="R389" s="580">
        <f>INPUT!BO118</f>
        <v>235</v>
      </c>
      <c r="S389" s="577">
        <f>INPUT!BP118</f>
        <v>3.5242290748898739</v>
      </c>
      <c r="T389" s="580">
        <f>INPUT!BQ118</f>
        <v>248</v>
      </c>
      <c r="U389" s="577">
        <f>INPUT!BR118</f>
        <v>1.2244897959183589</v>
      </c>
      <c r="V389" s="580">
        <f>INPUT!BS118</f>
        <v>255</v>
      </c>
      <c r="W389" s="577">
        <f>INPUT!BT118</f>
        <v>0</v>
      </c>
      <c r="X389" s="580">
        <f>INPUT!BU118</f>
        <v>233</v>
      </c>
      <c r="Y389" s="577">
        <f>INPUT!BV118</f>
        <v>-8.2677165354330668</v>
      </c>
      <c r="Z389" s="580">
        <f>INPUT!BW118</f>
        <v>242</v>
      </c>
      <c r="AA389" s="577">
        <f>INPUT!BX118</f>
        <v>2.9787234042553052</v>
      </c>
      <c r="AB389" s="580">
        <f>INPUT!BY118</f>
        <v>262</v>
      </c>
      <c r="AC389" s="577">
        <f>INPUT!BZ118</f>
        <v>5.6451612903225765</v>
      </c>
      <c r="AD389" s="580">
        <f>INPUT!CA118</f>
        <v>260</v>
      </c>
      <c r="AE389" s="577">
        <f>INPUT!CB118</f>
        <v>1.9607843137254832</v>
      </c>
      <c r="AF389" s="580">
        <f>INPUT!CC118</f>
        <v>261</v>
      </c>
      <c r="AG389" s="577">
        <f>INPUT!CD118</f>
        <v>12.017167381974247</v>
      </c>
      <c r="AH389" s="580">
        <f>INPUT!CE118</f>
        <v>235</v>
      </c>
      <c r="AI389" s="577">
        <f>INPUT!CF118</f>
        <v>-2.8925619834710687</v>
      </c>
      <c r="AJ389" s="580">
        <f>INPUT!CG118</f>
        <v>233</v>
      </c>
      <c r="AK389" s="577">
        <f>INPUT!CH118</f>
        <v>-11.068702290076331</v>
      </c>
      <c r="AL389" s="580">
        <f>INPUT!CI118</f>
        <v>229</v>
      </c>
      <c r="AM389" s="577">
        <f>INPUT!CJ118</f>
        <v>-11.92307692307692</v>
      </c>
      <c r="AN389" s="580">
        <f>INPUT!CK118</f>
        <v>230</v>
      </c>
      <c r="AO389" s="577">
        <f>INPUT!CL118</f>
        <v>-11.877394636015325</v>
      </c>
      <c r="AP389" s="580">
        <f>INPUT!CM118</f>
        <v>219</v>
      </c>
      <c r="AQ389" s="577">
        <f>INPUT!CN118</f>
        <v>-6.8085106382978751</v>
      </c>
      <c r="AR389" s="580">
        <f>INPUT!CO118</f>
        <v>239</v>
      </c>
      <c r="AS389" s="577">
        <f>INPUT!CP118</f>
        <v>2.5751072961373467</v>
      </c>
      <c r="AT389" s="580">
        <f>INPUT!CQ118</f>
        <v>242</v>
      </c>
      <c r="AU389" s="577">
        <f>INPUT!CR118</f>
        <v>5.6768558951965105</v>
      </c>
      <c r="AV389" s="580">
        <f>INPUT!CS118</f>
        <v>243</v>
      </c>
      <c r="AW389" s="577">
        <f>INPUT!CT118</f>
        <v>5.6521739130434696</v>
      </c>
      <c r="AX389" s="580">
        <f>INPUT!CU118</f>
        <v>249</v>
      </c>
      <c r="AY389" s="577">
        <f>INPUT!CV118</f>
        <v>13.69863013698631</v>
      </c>
      <c r="AZ389" s="580">
        <f>INPUT!CW118</f>
        <v>257</v>
      </c>
      <c r="BA389" s="577">
        <f>INPUT!CX118</f>
        <v>7.5313807531380803</v>
      </c>
      <c r="BB389" s="580">
        <f>INPUT!CY118</f>
        <v>268</v>
      </c>
      <c r="BC389" s="577">
        <f>INPUT!CZ118</f>
        <v>10.743801652892571</v>
      </c>
      <c r="BD389" s="580">
        <f>INPUT!DA118</f>
        <v>340</v>
      </c>
      <c r="BE389" s="577">
        <f>INPUT!DB118</f>
        <v>39.91769547325103</v>
      </c>
      <c r="BF389" s="580">
        <f>INPUT!DC118</f>
        <v>469</v>
      </c>
      <c r="BG389" s="577">
        <f>INPUT!DD118</f>
        <v>88.353413654618493</v>
      </c>
      <c r="BH389" s="580">
        <f>INPUT!DE118</f>
        <v>454</v>
      </c>
      <c r="BI389" s="577">
        <f>INPUT!DF118</f>
        <v>76.653696498054472</v>
      </c>
      <c r="BJ389" s="580">
        <f>INPUT!DG118</f>
        <v>435</v>
      </c>
      <c r="BK389" s="577">
        <f>INPUT!DH118</f>
        <v>62.31343283582089</v>
      </c>
      <c r="BL389" s="580">
        <f>INPUT!DI118</f>
        <v>445</v>
      </c>
      <c r="BM389" s="577">
        <f>INPUT!DJ118</f>
        <v>30.882352941176464</v>
      </c>
      <c r="BN389" s="580">
        <f>INPUT!DK118</f>
        <v>399</v>
      </c>
      <c r="BO389" s="577">
        <f>INPUT!DL118</f>
        <v>-14.925373134328353</v>
      </c>
      <c r="BP389" s="580">
        <f>INPUT!DM118</f>
        <v>394</v>
      </c>
      <c r="BQ389" s="577">
        <f>INPUT!DN118</f>
        <v>-13.215859030837009</v>
      </c>
      <c r="BR389" s="580">
        <f>INPUT!DO118</f>
        <v>436</v>
      </c>
      <c r="BS389" s="577">
        <f>INPUT!DP118</f>
        <v>0.22988505747125032</v>
      </c>
      <c r="BT389" s="580">
        <f>INPUT!DQ118</f>
        <v>422</v>
      </c>
      <c r="BU389" s="577">
        <f>INPUT!DR118</f>
        <v>-5.168539325842687</v>
      </c>
      <c r="BV389" s="580">
        <f>INPUT!DS118</f>
        <v>384</v>
      </c>
      <c r="BW389" s="577">
        <f>INPUT!DT118</f>
        <v>-3.7593984962406068</v>
      </c>
      <c r="BX389" s="580">
        <f>INPUT!DU118</f>
        <v>362</v>
      </c>
      <c r="BY389" s="577">
        <f>INPUT!DV118</f>
        <v>-8.1218274111675157</v>
      </c>
      <c r="BZ389" s="580">
        <f>INPUT!DW118</f>
        <v>431</v>
      </c>
      <c r="CA389" s="577">
        <f>INPUT!DX118</f>
        <v>-1.1467889908256836</v>
      </c>
      <c r="CB389" s="580">
        <f>INPUT!DY118</f>
        <v>466</v>
      </c>
      <c r="CC389" s="577">
        <f>INPUT!DZ118</f>
        <v>10.426540284360186</v>
      </c>
      <c r="CD389" s="580">
        <f>INPUT!EA118</f>
        <v>412</v>
      </c>
      <c r="CE389" s="577">
        <f>INPUT!EB118</f>
        <v>7.2916666666666714</v>
      </c>
      <c r="CF389" s="580">
        <f>INPUT!EC118</f>
        <v>467</v>
      </c>
      <c r="CG389" s="577">
        <f>INPUT!ED118</f>
        <v>29.005524861878456</v>
      </c>
      <c r="CH389" s="580">
        <f>INPUT!EE118</f>
        <v>450</v>
      </c>
      <c r="CI389" s="577">
        <f>INPUT!EF118</f>
        <v>4.4083526682134675</v>
      </c>
      <c r="CJ389" s="580">
        <f>INPUT!EG118</f>
        <v>490</v>
      </c>
      <c r="CK389" s="577">
        <f>INPUT!EH118</f>
        <v>5.1502145922746649</v>
      </c>
      <c r="CL389" s="580">
        <f>INPUT!EI118</f>
        <v>465</v>
      </c>
      <c r="CM389" s="577">
        <f>INPUT!EJ118</f>
        <v>12.864077669902912</v>
      </c>
      <c r="CN389" s="580">
        <f>INPUT!EK118</f>
        <v>490</v>
      </c>
      <c r="CO389" s="577">
        <f>INPUT!EL118</f>
        <v>4.925053533190578</v>
      </c>
      <c r="CP389" s="580">
        <f>INPUT!EM118</f>
        <v>451</v>
      </c>
      <c r="CQ389" s="577">
        <f>INPUT!EN118</f>
        <v>0.22222222222221433</v>
      </c>
      <c r="CR389" s="580">
        <f>INPUT!EO118</f>
        <v>464</v>
      </c>
      <c r="CS389" s="577">
        <f>INPUT!EP118</f>
        <v>-5.3061224489795933</v>
      </c>
      <c r="CT389" s="580">
        <f>INPUT!EQ118</f>
        <v>487.88512500000002</v>
      </c>
      <c r="CU389" s="577">
        <f>INPUT!ER118</f>
        <v>4.9215322580645022</v>
      </c>
      <c r="CV389" s="580">
        <f>INPUT!ES118</f>
        <v>428.85342500000002</v>
      </c>
      <c r="CW389" s="577">
        <f>INPUT!ET118</f>
        <v>-12.478892857142853</v>
      </c>
      <c r="CX389" s="580">
        <f>INPUT!EU118</f>
        <v>476.78198425000005</v>
      </c>
      <c r="CY389" s="577">
        <f>INPUT!EV118</f>
        <v>5.7166262195122073</v>
      </c>
      <c r="CZ389" s="580">
        <f>INPUT!EW118</f>
        <v>497.95784111699999</v>
      </c>
      <c r="DA389" s="577">
        <f>INPUT!EX118</f>
        <v>7.318500240732746</v>
      </c>
      <c r="DB389" s="596"/>
      <c r="DC389" s="580">
        <f>INPUT!FP118</f>
        <v>835</v>
      </c>
      <c r="DD389" s="577">
        <f>INPUT!FQ118</f>
        <v>-10.311493018259938</v>
      </c>
      <c r="DE389" s="580">
        <f>INPUT!FR118</f>
        <v>873</v>
      </c>
      <c r="DF389" s="577">
        <f>INPUT!FS118</f>
        <v>4.5508982035928227</v>
      </c>
      <c r="DG389" s="580">
        <f>INPUT!FT118</f>
        <v>981</v>
      </c>
      <c r="DH389" s="577">
        <f>INPUT!FU118</f>
        <v>12.371134020618555</v>
      </c>
      <c r="DI389" s="580">
        <f>INPUT!FV118</f>
        <v>971</v>
      </c>
      <c r="DJ389" s="577">
        <f>INPUT!FW118</f>
        <v>-1.0193679918450584</v>
      </c>
      <c r="DK389" s="580">
        <f>INPUT!FX118</f>
        <v>1025</v>
      </c>
      <c r="DL389" s="577">
        <f>INPUT!FY118</f>
        <v>5.5612770339855899</v>
      </c>
      <c r="DM389" s="580">
        <f>INPUT!FZ118</f>
        <v>927</v>
      </c>
      <c r="DN389" s="577">
        <f>INPUT!GA118</f>
        <v>-9.5609756097560989</v>
      </c>
      <c r="DO389" s="580">
        <f>INPUT!GB118</f>
        <v>943</v>
      </c>
      <c r="DP389" s="577">
        <f>INPUT!GC118</f>
        <v>1.7259978425026929</v>
      </c>
      <c r="DQ389" s="580">
        <f>INPUT!GD118</f>
        <v>1114</v>
      </c>
      <c r="DR389" s="577">
        <f>INPUT!GE118</f>
        <v>18.133616118769893</v>
      </c>
      <c r="DS389" s="580">
        <f>INPUT!GF118</f>
        <v>1803</v>
      </c>
      <c r="DT389" s="577">
        <f>INPUT!GG118</f>
        <v>61.849192100538602</v>
      </c>
      <c r="DU389" s="580">
        <f>INPUT!GH118</f>
        <v>1651</v>
      </c>
      <c r="DV389" s="577">
        <f>INPUT!GI118</f>
        <v>-8.4303937881308997</v>
      </c>
      <c r="DW389" s="580">
        <f>INPUT!GJ118</f>
        <v>1643</v>
      </c>
      <c r="DX389" s="577">
        <f>INPUT!GK118</f>
        <v>-0.48455481526346489</v>
      </c>
      <c r="DY389" s="580">
        <f>INPUT!GL118</f>
        <v>1819</v>
      </c>
      <c r="DZ389" s="577">
        <f>INPUT!GM118</f>
        <v>10.712111990261718</v>
      </c>
      <c r="EA389" s="580">
        <f>INPUT!GN118</f>
        <v>1870</v>
      </c>
      <c r="EB389" s="577">
        <f>INPUT!GO118</f>
        <v>2.803738317756995</v>
      </c>
      <c r="EC389" s="580">
        <f>INPUT!GP118</f>
        <v>1891.4783753670001</v>
      </c>
      <c r="ED389" s="577">
        <f>INPUT!GQ118</f>
        <v>1.1485762228342367</v>
      </c>
      <c r="EE389" s="580">
        <f>INPUT!GR118</f>
        <v>1986.8183893752869</v>
      </c>
      <c r="EF389" s="577">
        <f>INPUT!GS118</f>
        <v>5.040502458284152</v>
      </c>
      <c r="EG389" s="580">
        <f>INPUT!GT118</f>
        <v>2087.1528566835218</v>
      </c>
      <c r="EH389" s="577">
        <f>INPUT!GU118</f>
        <v>5.0500069782313091</v>
      </c>
      <c r="EI389" s="580">
        <f>INPUT!GV118</f>
        <v>2192.7524065880793</v>
      </c>
      <c r="EJ389" s="577">
        <f>INPUT!GW118</f>
        <v>5.0595024493009504</v>
      </c>
      <c r="EK389" s="580">
        <f>INPUT!GX118</f>
        <v>2303.902744627052</v>
      </c>
      <c r="EL389" s="577">
        <f>INPUT!GY118</f>
        <v>5.0689871644889593</v>
      </c>
      <c r="EM389" s="577">
        <f>INPUT!GZ118</f>
        <v>4.2616292375307285</v>
      </c>
    </row>
    <row r="390" spans="1:144" ht="12.75" hidden="1" customHeight="1" outlineLevel="1" x14ac:dyDescent="0.2">
      <c r="A390" s="579" t="str">
        <f>INPUT!B119</f>
        <v>Net DAC</v>
      </c>
      <c r="B390" s="580">
        <f>INPUT!AY119</f>
        <v>-6</v>
      </c>
      <c r="C390" s="577" t="str">
        <f>INPUT!AZ119</f>
        <v>NM</v>
      </c>
      <c r="D390" s="580">
        <f>INPUT!BA119</f>
        <v>8</v>
      </c>
      <c r="E390" s="577" t="str">
        <f>INPUT!BB119</f>
        <v>NM</v>
      </c>
      <c r="F390" s="580">
        <f>INPUT!BC119</f>
        <v>-311</v>
      </c>
      <c r="G390" s="577" t="str">
        <f>INPUT!BD119</f>
        <v>NM</v>
      </c>
      <c r="H390" s="580">
        <f>INPUT!BE119</f>
        <v>-40</v>
      </c>
      <c r="I390" s="577" t="str">
        <f>INPUT!BF119</f>
        <v>NM</v>
      </c>
      <c r="J390" s="580">
        <f>INPUT!BG119</f>
        <v>-25</v>
      </c>
      <c r="K390" s="577" t="str">
        <f>INPUT!BH119</f>
        <v>NM</v>
      </c>
      <c r="L390" s="580">
        <f>INPUT!BI119</f>
        <v>-51</v>
      </c>
      <c r="M390" s="577" t="str">
        <f>INPUT!BJ119</f>
        <v>NM</v>
      </c>
      <c r="N390" s="580">
        <f>INPUT!BK119</f>
        <v>-183</v>
      </c>
      <c r="O390" s="577">
        <f>INPUT!BL119</f>
        <v>-41.157556270096464</v>
      </c>
      <c r="P390" s="580">
        <f>INPUT!BM119</f>
        <v>-29</v>
      </c>
      <c r="Q390" s="577">
        <f>INPUT!BN119</f>
        <v>-27.5</v>
      </c>
      <c r="R390" s="580">
        <f>INPUT!BO119</f>
        <v>3</v>
      </c>
      <c r="S390" s="577" t="str">
        <f>INPUT!BP119</f>
        <v>NM</v>
      </c>
      <c r="T390" s="580">
        <f>INPUT!BQ119</f>
        <v>-30</v>
      </c>
      <c r="U390" s="577">
        <f>INPUT!BR119</f>
        <v>-41.17647058823529</v>
      </c>
      <c r="V390" s="580">
        <f>INPUT!BS119</f>
        <v>-151</v>
      </c>
      <c r="W390" s="577">
        <f>INPUT!BT119</f>
        <v>-17.486338797814199</v>
      </c>
      <c r="X390" s="580">
        <f>INPUT!BU119</f>
        <v>105</v>
      </c>
      <c r="Y390" s="577" t="str">
        <f>INPUT!BV119</f>
        <v>NM</v>
      </c>
      <c r="Z390" s="580">
        <f>INPUT!BW119</f>
        <v>13</v>
      </c>
      <c r="AA390" s="577" t="str">
        <f>INPUT!BX119</f>
        <v>NM</v>
      </c>
      <c r="AB390" s="580">
        <f>INPUT!BY119</f>
        <v>-59</v>
      </c>
      <c r="AC390" s="577">
        <f>INPUT!BZ119</f>
        <v>96.666666666666657</v>
      </c>
      <c r="AD390" s="580">
        <f>INPUT!CA119</f>
        <v>-226</v>
      </c>
      <c r="AE390" s="577">
        <f>INPUT!CB119</f>
        <v>49.66887417218544</v>
      </c>
      <c r="AF390" s="580">
        <f>INPUT!CC119</f>
        <v>-33</v>
      </c>
      <c r="AG390" s="577" t="str">
        <f>INPUT!CD119</f>
        <v>NM</v>
      </c>
      <c r="AH390" s="580">
        <f>INPUT!CE119</f>
        <v>-47</v>
      </c>
      <c r="AI390" s="577" t="str">
        <f>INPUT!CF119</f>
        <v>NM</v>
      </c>
      <c r="AJ390" s="580">
        <f>INPUT!CG119</f>
        <v>34</v>
      </c>
      <c r="AK390" s="577" t="str">
        <f>INPUT!CH119</f>
        <v>NM</v>
      </c>
      <c r="AL390" s="580">
        <f>INPUT!CI119</f>
        <v>-129</v>
      </c>
      <c r="AM390" s="577">
        <f>INPUT!CJ119</f>
        <v>-42.920353982300888</v>
      </c>
      <c r="AN390" s="580">
        <f>INPUT!CK119</f>
        <v>-16</v>
      </c>
      <c r="AO390" s="577" t="str">
        <f>INPUT!CL119</f>
        <v>NM</v>
      </c>
      <c r="AP390" s="580">
        <f>INPUT!CM119</f>
        <v>-5</v>
      </c>
      <c r="AQ390" s="577" t="str">
        <f>INPUT!CN119</f>
        <v>NM</v>
      </c>
      <c r="AR390" s="580">
        <f>INPUT!CO119</f>
        <v>-1</v>
      </c>
      <c r="AS390" s="577" t="str">
        <f>INPUT!CP119</f>
        <v>NM</v>
      </c>
      <c r="AT390" s="580">
        <f>INPUT!CQ119</f>
        <v>-138</v>
      </c>
      <c r="AU390" s="577">
        <f>INPUT!CR119</f>
        <v>6.9767441860465027</v>
      </c>
      <c r="AV390" s="580">
        <f>INPUT!CS119</f>
        <v>-38</v>
      </c>
      <c r="AW390" s="577" t="str">
        <f>INPUT!CT119</f>
        <v>NM</v>
      </c>
      <c r="AX390" s="580">
        <f>INPUT!CU119</f>
        <v>-33</v>
      </c>
      <c r="AY390" s="577" t="str">
        <f>INPUT!CV119</f>
        <v>NM</v>
      </c>
      <c r="AZ390" s="580">
        <f>INPUT!CW119</f>
        <v>-24</v>
      </c>
      <c r="BA390" s="577" t="str">
        <f>INPUT!CX119</f>
        <v>NM</v>
      </c>
      <c r="BB390" s="580">
        <f>INPUT!CY119</f>
        <v>106</v>
      </c>
      <c r="BC390" s="577" t="str">
        <f>INPUT!CZ119</f>
        <v>NM</v>
      </c>
      <c r="BD390" s="580">
        <f>INPUT!DA119</f>
        <v>-66</v>
      </c>
      <c r="BE390" s="577">
        <f>INPUT!DB119</f>
        <v>73.684210526315809</v>
      </c>
      <c r="BF390" s="580">
        <f>INPUT!DC119</f>
        <v>-149</v>
      </c>
      <c r="BG390" s="577" t="str">
        <f>INPUT!DD119</f>
        <v>NM</v>
      </c>
      <c r="BH390" s="580">
        <f>INPUT!DE119</f>
        <v>-89</v>
      </c>
      <c r="BI390" s="577" t="str">
        <f>INPUT!DF119</f>
        <v>NM</v>
      </c>
      <c r="BJ390" s="580">
        <f>INPUT!DG119</f>
        <v>-286</v>
      </c>
      <c r="BK390" s="577" t="str">
        <f>INPUT!DH119</f>
        <v>NM</v>
      </c>
      <c r="BL390" s="580">
        <f>INPUT!DI119</f>
        <v>-127</v>
      </c>
      <c r="BM390" s="577">
        <f>INPUT!DJ119</f>
        <v>92.424242424242436</v>
      </c>
      <c r="BN390" s="580">
        <f>INPUT!DK119</f>
        <v>-47</v>
      </c>
      <c r="BO390" s="577" t="str">
        <f>INPUT!DL119</f>
        <v>NM</v>
      </c>
      <c r="BP390" s="580">
        <f>INPUT!DM119</f>
        <v>-32</v>
      </c>
      <c r="BQ390" s="577" t="str">
        <f>INPUT!DN119</f>
        <v>NM</v>
      </c>
      <c r="BR390" s="580">
        <f>INPUT!DO119</f>
        <v>-98</v>
      </c>
      <c r="BS390" s="577" t="str">
        <f>INPUT!DP119</f>
        <v>NM</v>
      </c>
      <c r="BT390" s="580">
        <f>INPUT!DQ119</f>
        <v>-25</v>
      </c>
      <c r="BU390" s="577" t="str">
        <f>INPUT!DR119</f>
        <v>NM</v>
      </c>
      <c r="BV390" s="580">
        <f>INPUT!DS119</f>
        <v>-53</v>
      </c>
      <c r="BW390" s="577">
        <f>INPUT!DT119</f>
        <v>12.7659574468085</v>
      </c>
      <c r="BX390" s="580">
        <f>INPUT!DU119</f>
        <v>-276</v>
      </c>
      <c r="BY390" s="577" t="str">
        <f>INPUT!DV119</f>
        <v>NM</v>
      </c>
      <c r="BZ390" s="580">
        <f>INPUT!DW119</f>
        <v>-69</v>
      </c>
      <c r="CA390" s="577">
        <f>INPUT!DX119</f>
        <v>-29.591836734693871</v>
      </c>
      <c r="CB390" s="580">
        <f>INPUT!DY119</f>
        <v>-119</v>
      </c>
      <c r="CC390" s="577" t="str">
        <f>INPUT!DZ119</f>
        <v>NM</v>
      </c>
      <c r="CD390" s="580">
        <f>INPUT!EA119</f>
        <v>-85</v>
      </c>
      <c r="CE390" s="577">
        <f>INPUT!EB119</f>
        <v>60.377358490566053</v>
      </c>
      <c r="CF390" s="580">
        <f>INPUT!EC119</f>
        <v>-285</v>
      </c>
      <c r="CG390" s="577">
        <f>INPUT!ED119</f>
        <v>3.2608695652173765</v>
      </c>
      <c r="CH390" s="580">
        <f>INPUT!EE119</f>
        <v>-87</v>
      </c>
      <c r="CI390" s="577">
        <f>INPUT!EF119</f>
        <v>26.08695652173914</v>
      </c>
      <c r="CJ390" s="580">
        <f>INPUT!EG119</f>
        <v>-134</v>
      </c>
      <c r="CK390" s="577">
        <f>INPUT!EH119</f>
        <v>12.605042016806721</v>
      </c>
      <c r="CL390" s="580">
        <f>INPUT!EI119</f>
        <v>-112</v>
      </c>
      <c r="CM390" s="577">
        <f>INPUT!EJ119</f>
        <v>31.764705882352928</v>
      </c>
      <c r="CN390" s="580">
        <f>INPUT!EK119</f>
        <v>92</v>
      </c>
      <c r="CO390" s="577" t="str">
        <f>INPUT!EL119</f>
        <v>NM</v>
      </c>
      <c r="CP390" s="580">
        <f>INPUT!EM119</f>
        <v>-90</v>
      </c>
      <c r="CQ390" s="577">
        <f>INPUT!EN119</f>
        <v>3.448275862068968</v>
      </c>
      <c r="CR390" s="580">
        <f>INPUT!EO119</f>
        <v>-98</v>
      </c>
      <c r="CS390" s="577">
        <f>INPUT!EP119</f>
        <v>-26.865671641791039</v>
      </c>
      <c r="CT390" s="580">
        <f>INPUT!EQ119</f>
        <v>-98.165851875000001</v>
      </c>
      <c r="CU390" s="577">
        <f>INPUT!ER119</f>
        <v>-12.351917968750001</v>
      </c>
      <c r="CV390" s="580">
        <f>INPUT!ES119</f>
        <v>-86.28826671982759</v>
      </c>
      <c r="CW390" s="577" t="str">
        <f>INPUT!ET119</f>
        <v>NM</v>
      </c>
      <c r="CX390" s="580">
        <f>INPUT!EU119</f>
        <v>-95.931823382715521</v>
      </c>
      <c r="CY390" s="577">
        <f>INPUT!EV119</f>
        <v>6.5909148696838997</v>
      </c>
      <c r="CZ390" s="580">
        <f>INPUT!EW119</f>
        <v>-100.19255182474809</v>
      </c>
      <c r="DA390" s="577">
        <f>INPUT!EX119</f>
        <v>2.2372977803551919</v>
      </c>
      <c r="DB390" s="596"/>
      <c r="DC390" s="580">
        <f>INPUT!FP119</f>
        <v>55</v>
      </c>
      <c r="DD390" s="577" t="str">
        <f>INPUT!FQ119</f>
        <v>NM</v>
      </c>
      <c r="DE390" s="580">
        <f>INPUT!FR119</f>
        <v>-349</v>
      </c>
      <c r="DF390" s="577" t="str">
        <f>INPUT!FS119</f>
        <v>NM</v>
      </c>
      <c r="DG390" s="580">
        <f>INPUT!FT119</f>
        <v>-288</v>
      </c>
      <c r="DH390" s="577">
        <f>INPUT!FU119</f>
        <v>-17.47851002865329</v>
      </c>
      <c r="DI390" s="580">
        <f>INPUT!FV119</f>
        <v>-90</v>
      </c>
      <c r="DJ390" s="577" t="str">
        <f>INPUT!FW119</f>
        <v>NM</v>
      </c>
      <c r="DK390" s="580">
        <f>INPUT!FX119</f>
        <v>-258</v>
      </c>
      <c r="DL390" s="577" t="str">
        <f>INPUT!FY119</f>
        <v>NM</v>
      </c>
      <c r="DM390" s="580">
        <f>INPUT!FZ119</f>
        <v>-158</v>
      </c>
      <c r="DN390" s="577">
        <f>INPUT!GA119</f>
        <v>-38.759689922480625</v>
      </c>
      <c r="DO390" s="580">
        <f>INPUT!GB119</f>
        <v>-182</v>
      </c>
      <c r="DP390" s="577">
        <f>INPUT!GC119</f>
        <v>15.189873417721515</v>
      </c>
      <c r="DQ390" s="580">
        <f>INPUT!GD119</f>
        <v>-17</v>
      </c>
      <c r="DR390" s="577" t="str">
        <f>INPUT!GE119</f>
        <v>NM</v>
      </c>
      <c r="DS390" s="580">
        <f>INPUT!GF119</f>
        <v>-651</v>
      </c>
      <c r="DT390" s="577" t="str">
        <f>INPUT!GG119</f>
        <v>NM</v>
      </c>
      <c r="DU390" s="580">
        <f>INPUT!GH119</f>
        <v>-202</v>
      </c>
      <c r="DV390" s="577" t="str">
        <f>INPUT!GI119</f>
        <v>NM</v>
      </c>
      <c r="DW390" s="580">
        <f>INPUT!GJ119</f>
        <v>-517</v>
      </c>
      <c r="DX390" s="577" t="str">
        <f>INPUT!GK119</f>
        <v>NM</v>
      </c>
      <c r="DY390" s="580">
        <f>INPUT!GL119</f>
        <v>-591</v>
      </c>
      <c r="DZ390" s="577">
        <f>INPUT!GM119</f>
        <v>14.313346228239851</v>
      </c>
      <c r="EA390" s="580">
        <f>INPUT!GN119</f>
        <v>-208</v>
      </c>
      <c r="EB390" s="577" t="str">
        <f>INPUT!GO119</f>
        <v>NM</v>
      </c>
      <c r="EC390" s="580">
        <f>INPUT!GP119</f>
        <v>-380.57849380229118</v>
      </c>
      <c r="ED390" s="577">
        <f>INPUT!GQ119</f>
        <v>82.970429712639998</v>
      </c>
      <c r="EE390" s="580">
        <f>INPUT!GR119</f>
        <v>-399.76156213809639</v>
      </c>
      <c r="EF390" s="577">
        <f>INPUT!GS119</f>
        <v>5.0405024582841378</v>
      </c>
      <c r="EG390" s="580">
        <f>INPUT!GT119</f>
        <v>-419.94954892235677</v>
      </c>
      <c r="EH390" s="577">
        <f>INPUT!GU119</f>
        <v>5.0500069782313091</v>
      </c>
      <c r="EI390" s="580">
        <f>INPUT!GV119</f>
        <v>-441.19690663591172</v>
      </c>
      <c r="EJ390" s="577">
        <f>INPUT!GW119</f>
        <v>5.0595024493009504</v>
      </c>
      <c r="EK390" s="580">
        <f>INPUT!GX119</f>
        <v>-463.56112120340845</v>
      </c>
      <c r="EL390" s="577">
        <f>INPUT!GY119</f>
        <v>5.0689871644889593</v>
      </c>
      <c r="EM390" s="577">
        <f>INPUT!GZ119</f>
        <v>17.383953888212144</v>
      </c>
    </row>
    <row r="391" spans="1:144" ht="12.75" hidden="1" customHeight="1" outlineLevel="1" x14ac:dyDescent="0.2">
      <c r="A391" s="575" t="str">
        <f>INPUT!B120</f>
        <v>Total Benefits and Expenses</v>
      </c>
      <c r="B391" s="581">
        <f>INPUT!AY120</f>
        <v>426</v>
      </c>
      <c r="C391" s="577">
        <f>INPUT!AZ120</f>
        <v>2.6506024096385516</v>
      </c>
      <c r="D391" s="581">
        <f>INPUT!BA120</f>
        <v>489</v>
      </c>
      <c r="E391" s="577">
        <f>INPUT!BB120</f>
        <v>13.986013986013972</v>
      </c>
      <c r="F391" s="581">
        <f>INPUT!BC120</f>
        <v>284</v>
      </c>
      <c r="G391" s="577">
        <f>INPUT!BD120</f>
        <v>-41.078838174273855</v>
      </c>
      <c r="H391" s="581">
        <f>INPUT!BE120</f>
        <v>473</v>
      </c>
      <c r="I391" s="577">
        <f>INPUT!BF120</f>
        <v>7.9908675799086808</v>
      </c>
      <c r="J391" s="581">
        <f>INPUT!BG120</f>
        <v>530</v>
      </c>
      <c r="K391" s="577">
        <f>INPUT!BH120</f>
        <v>24.413145539906097</v>
      </c>
      <c r="L391" s="581">
        <f>INPUT!BI120</f>
        <v>488</v>
      </c>
      <c r="M391" s="577">
        <f>INPUT!BJ120</f>
        <v>-0.2044989775051107</v>
      </c>
      <c r="N391" s="581">
        <f>INPUT!BK120</f>
        <v>421</v>
      </c>
      <c r="O391" s="577">
        <f>INPUT!BL120</f>
        <v>48.239436619718305</v>
      </c>
      <c r="P391" s="581">
        <f>INPUT!BM120</f>
        <v>541</v>
      </c>
      <c r="Q391" s="577">
        <f>INPUT!BN120</f>
        <v>14.376321353065549</v>
      </c>
      <c r="R391" s="581">
        <f>INPUT!BO120</f>
        <v>584</v>
      </c>
      <c r="S391" s="577">
        <f>INPUT!BP120</f>
        <v>10.188679245283012</v>
      </c>
      <c r="T391" s="581">
        <f>INPUT!BQ120</f>
        <v>573</v>
      </c>
      <c r="U391" s="577">
        <f>INPUT!BR120</f>
        <v>17.418032786885249</v>
      </c>
      <c r="V391" s="581">
        <f>INPUT!BS120</f>
        <v>444</v>
      </c>
      <c r="W391" s="577">
        <f>INPUT!BT120</f>
        <v>5.4631828978622252</v>
      </c>
      <c r="X391" s="581">
        <f>INPUT!BU120</f>
        <v>707</v>
      </c>
      <c r="Y391" s="577">
        <f>INPUT!BV120</f>
        <v>30.683918669131259</v>
      </c>
      <c r="Z391" s="581">
        <f>INPUT!BW120</f>
        <v>640</v>
      </c>
      <c r="AA391" s="577">
        <f>INPUT!BX120</f>
        <v>9.5890410958904084</v>
      </c>
      <c r="AB391" s="581">
        <f>INPUT!BY120</f>
        <v>565</v>
      </c>
      <c r="AC391" s="577">
        <f>INPUT!BZ120</f>
        <v>-1.3961605584642172</v>
      </c>
      <c r="AD391" s="581">
        <f>INPUT!CA120</f>
        <v>413</v>
      </c>
      <c r="AE391" s="577">
        <f>INPUT!CB120</f>
        <v>-6.9819819819819742</v>
      </c>
      <c r="AF391" s="581">
        <f>INPUT!CC120</f>
        <v>588</v>
      </c>
      <c r="AG391" s="577">
        <f>INPUT!CD120</f>
        <v>-16.831683168316829</v>
      </c>
      <c r="AH391" s="581">
        <f>INPUT!CE120</f>
        <v>601</v>
      </c>
      <c r="AI391" s="577">
        <f>INPUT!CF120</f>
        <v>-6.09375</v>
      </c>
      <c r="AJ391" s="581">
        <f>INPUT!CG120</f>
        <v>644</v>
      </c>
      <c r="AK391" s="577">
        <f>INPUT!CH120</f>
        <v>13.982300884955762</v>
      </c>
      <c r="AL391" s="581">
        <f>INPUT!CI120</f>
        <v>483</v>
      </c>
      <c r="AM391" s="577">
        <f>INPUT!CJ120</f>
        <v>16.949152542372886</v>
      </c>
      <c r="AN391" s="581">
        <f>INPUT!CK120</f>
        <v>607</v>
      </c>
      <c r="AO391" s="577">
        <f>INPUT!CL120</f>
        <v>3.231292517006807</v>
      </c>
      <c r="AP391" s="581">
        <f>INPUT!CM120</f>
        <v>627</v>
      </c>
      <c r="AQ391" s="577">
        <f>INPUT!CN120</f>
        <v>4.3261231281198036</v>
      </c>
      <c r="AR391" s="581">
        <f>INPUT!CO120</f>
        <v>628</v>
      </c>
      <c r="AS391" s="577">
        <f>INPUT!CP120</f>
        <v>-2.4844720496894439</v>
      </c>
      <c r="AT391" s="581">
        <f>INPUT!CQ120</f>
        <v>532</v>
      </c>
      <c r="AU391" s="577">
        <f>INPUT!CR120</f>
        <v>10.14492753623189</v>
      </c>
      <c r="AV391" s="581">
        <f>INPUT!CS120</f>
        <v>631</v>
      </c>
      <c r="AW391" s="577">
        <f>INPUT!CT120</f>
        <v>3.9538714991762731</v>
      </c>
      <c r="AX391" s="581">
        <f>INPUT!CU120</f>
        <v>664</v>
      </c>
      <c r="AY391" s="577">
        <f>INPUT!CV120</f>
        <v>5.9011164274322141</v>
      </c>
      <c r="AZ391" s="581">
        <f>INPUT!CW120</f>
        <v>742</v>
      </c>
      <c r="BA391" s="577">
        <f>INPUT!CX120</f>
        <v>18.152866242038229</v>
      </c>
      <c r="BB391" s="581">
        <f>INPUT!CY120</f>
        <v>836</v>
      </c>
      <c r="BC391" s="577">
        <f>INPUT!CZ120</f>
        <v>57.142857142857139</v>
      </c>
      <c r="BD391" s="581">
        <f>INPUT!DA120</f>
        <v>741</v>
      </c>
      <c r="BE391" s="577">
        <f>INPUT!DB120</f>
        <v>17.432646592709972</v>
      </c>
      <c r="BF391" s="581">
        <f>INPUT!DC120</f>
        <v>1018</v>
      </c>
      <c r="BG391" s="577">
        <f>INPUT!DD120</f>
        <v>53.313253012048193</v>
      </c>
      <c r="BH391" s="581">
        <f>INPUT!DE120</f>
        <v>1071</v>
      </c>
      <c r="BI391" s="577">
        <f>INPUT!DF120</f>
        <v>44.339622641509436</v>
      </c>
      <c r="BJ391" s="581">
        <f>INPUT!DG120</f>
        <v>893</v>
      </c>
      <c r="BK391" s="577">
        <f>INPUT!DH120</f>
        <v>6.818181818181813</v>
      </c>
      <c r="BL391" s="581">
        <f>INPUT!DI120</f>
        <v>1055</v>
      </c>
      <c r="BM391" s="577">
        <f>INPUT!DJ120</f>
        <v>42.375168690958162</v>
      </c>
      <c r="BN391" s="581">
        <f>INPUT!DK120</f>
        <v>1171</v>
      </c>
      <c r="BO391" s="577">
        <f>INPUT!DL120</f>
        <v>15.029469548133605</v>
      </c>
      <c r="BP391" s="581">
        <f>INPUT!DM120</f>
        <v>1160</v>
      </c>
      <c r="BQ391" s="577">
        <f>INPUT!DN120</f>
        <v>8.3099906629318383</v>
      </c>
      <c r="BR391" s="581">
        <f>INPUT!DO120</f>
        <v>1184</v>
      </c>
      <c r="BS391" s="577">
        <f>INPUT!DP120</f>
        <v>32.586786114221724</v>
      </c>
      <c r="BT391" s="581">
        <f>INPUT!DQ120</f>
        <v>1213</v>
      </c>
      <c r="BU391" s="577">
        <f>INPUT!DR120</f>
        <v>14.976303317535539</v>
      </c>
      <c r="BV391" s="581">
        <f>INPUT!DS120</f>
        <v>1235</v>
      </c>
      <c r="BW391" s="577">
        <f>INPUT!DT120</f>
        <v>5.4654141759180135</v>
      </c>
      <c r="BX391" s="581">
        <f>INPUT!DU120</f>
        <v>923</v>
      </c>
      <c r="BY391" s="577">
        <f>INPUT!DV120</f>
        <v>-20.431034482758619</v>
      </c>
      <c r="BZ391" s="581">
        <f>INPUT!DW120</f>
        <v>1192</v>
      </c>
      <c r="CA391" s="577">
        <f>INPUT!DX120</f>
        <v>0.67567567567567721</v>
      </c>
      <c r="CB391" s="581">
        <f>INPUT!DY120</f>
        <v>1248</v>
      </c>
      <c r="CC391" s="577">
        <f>INPUT!DZ120</f>
        <v>2.8854080791426213</v>
      </c>
      <c r="CD391" s="581">
        <f>INPUT!EA120</f>
        <v>1246</v>
      </c>
      <c r="CE391" s="577">
        <f>INPUT!EB120</f>
        <v>0.89068825910931082</v>
      </c>
      <c r="CF391" s="581">
        <f>INPUT!EC120</f>
        <v>1445</v>
      </c>
      <c r="CG391" s="577">
        <f>INPUT!ED120</f>
        <v>56.554712892741065</v>
      </c>
      <c r="CH391" s="581">
        <f>INPUT!EE120</f>
        <v>1299</v>
      </c>
      <c r="CI391" s="577">
        <f>INPUT!EF120</f>
        <v>8.9765100671140914</v>
      </c>
      <c r="CJ391" s="581">
        <f>INPUT!EG120</f>
        <v>1286</v>
      </c>
      <c r="CK391" s="577">
        <f>INPUT!EH120</f>
        <v>3.0448717948717814</v>
      </c>
      <c r="CL391" s="581">
        <f>INPUT!EI120</f>
        <v>1327</v>
      </c>
      <c r="CM391" s="577">
        <f>INPUT!EJ120</f>
        <v>6.5008025682183046</v>
      </c>
      <c r="CN391" s="581">
        <f>INPUT!EK120</f>
        <v>1211</v>
      </c>
      <c r="CO391" s="577">
        <f>INPUT!EL120</f>
        <v>-16.193771626297575</v>
      </c>
      <c r="CP391" s="581">
        <f>INPUT!EM120</f>
        <v>1261</v>
      </c>
      <c r="CQ391" s="577">
        <f>INPUT!EN120</f>
        <v>-2.9253271747498104</v>
      </c>
      <c r="CR391" s="581">
        <f>INPUT!EO120</f>
        <v>1366</v>
      </c>
      <c r="CS391" s="577">
        <f>INPUT!EP120</f>
        <v>6.2208398133747949</v>
      </c>
      <c r="CT391" s="581">
        <f>INPUT!EQ120</f>
        <v>1405.656673125</v>
      </c>
      <c r="CU391" s="577">
        <f>INPUT!ER120</f>
        <v>5.9274056612660218</v>
      </c>
      <c r="CV391" s="581">
        <f>INPUT!ES120</f>
        <v>1205.7946952801724</v>
      </c>
      <c r="CW391" s="577">
        <f>INPUT!ET120</f>
        <v>-0.42983523697998294</v>
      </c>
      <c r="CX391" s="581">
        <f>INPUT!EU120</f>
        <v>1353.1418132372844</v>
      </c>
      <c r="CY391" s="577">
        <f>INPUT!EV120</f>
        <v>7.3070430798798185</v>
      </c>
      <c r="CZ391" s="581">
        <f>INPUT!EW120</f>
        <v>1396.0524181859519</v>
      </c>
      <c r="DA391" s="577">
        <f>INPUT!EX120</f>
        <v>2.200030613905696</v>
      </c>
      <c r="DB391" s="600"/>
      <c r="DC391" s="581">
        <f>INPUT!FP120</f>
        <v>1764</v>
      </c>
      <c r="DD391" s="577">
        <f>INPUT!FQ120</f>
        <v>4.8128342245989302</v>
      </c>
      <c r="DE391" s="581">
        <f>INPUT!FR120</f>
        <v>1672</v>
      </c>
      <c r="DF391" s="577">
        <f>INPUT!FS120</f>
        <v>-5.2154195011337947</v>
      </c>
      <c r="DG391" s="581">
        <f>INPUT!FT120</f>
        <v>1980</v>
      </c>
      <c r="DH391" s="577">
        <f>INPUT!FU120</f>
        <v>18.421052631578931</v>
      </c>
      <c r="DI391" s="581">
        <f>INPUT!FV120</f>
        <v>2291</v>
      </c>
      <c r="DJ391" s="577">
        <f>INPUT!FW120</f>
        <v>15.707070707070713</v>
      </c>
      <c r="DK391" s="581">
        <f>INPUT!FX120</f>
        <v>2253</v>
      </c>
      <c r="DL391" s="577">
        <f>INPUT!FY120</f>
        <v>-1.6586643387167186</v>
      </c>
      <c r="DM391" s="581">
        <f>INPUT!FZ120</f>
        <v>2335</v>
      </c>
      <c r="DN391" s="577">
        <f>INPUT!GA120</f>
        <v>3.6395916555703565</v>
      </c>
      <c r="DO391" s="581">
        <f>INPUT!GB120</f>
        <v>2418</v>
      </c>
      <c r="DP391" s="577">
        <f>INPUT!GC120</f>
        <v>3.5546038543897254</v>
      </c>
      <c r="DQ391" s="581">
        <f>INPUT!GD120</f>
        <v>2983</v>
      </c>
      <c r="DR391" s="577">
        <f>INPUT!GE120</f>
        <v>23.366418527708845</v>
      </c>
      <c r="DS391" s="581">
        <f>INPUT!GF120</f>
        <v>4037</v>
      </c>
      <c r="DT391" s="577">
        <f>INPUT!GG120</f>
        <v>35.333556821991294</v>
      </c>
      <c r="DU391" s="581">
        <f>INPUT!GH120</f>
        <v>4728</v>
      </c>
      <c r="DV391" s="577">
        <f>INPUT!GI120</f>
        <v>17.116670795144913</v>
      </c>
      <c r="DW391" s="581">
        <f>INPUT!GJ120</f>
        <v>4598</v>
      </c>
      <c r="DX391" s="577">
        <f>INPUT!GK120</f>
        <v>-2.7495769881556669</v>
      </c>
      <c r="DY391" s="581">
        <f>INPUT!GL120</f>
        <v>5276</v>
      </c>
      <c r="DZ391" s="577">
        <f>INPUT!GM120</f>
        <v>14.745541539799916</v>
      </c>
      <c r="EA391" s="581">
        <f>INPUT!GN120</f>
        <v>5165</v>
      </c>
      <c r="EB391" s="577">
        <f>INPUT!GO120</f>
        <v>-2.1038665655799775</v>
      </c>
      <c r="EC391" s="581">
        <f>INPUT!GP120</f>
        <v>5360.6455998284091</v>
      </c>
      <c r="ED391" s="577">
        <f>INPUT!GQ120</f>
        <v>3.7879109356903911</v>
      </c>
      <c r="EE391" s="581">
        <f>INPUT!GR120</f>
        <v>5656.57035546109</v>
      </c>
      <c r="EF391" s="577">
        <f>INPUT!GS120</f>
        <v>5.5203193369498962</v>
      </c>
      <c r="EG391" s="581">
        <f>INPUT!GT120</f>
        <v>5968.9453858328588</v>
      </c>
      <c r="EH391" s="577">
        <f>INPUT!GU120</f>
        <v>5.5223396995352374</v>
      </c>
      <c r="EI391" s="581">
        <f>INPUT!GV120</f>
        <v>6291.9247303414459</v>
      </c>
      <c r="EJ391" s="577">
        <f>INPUT!GW120</f>
        <v>5.4109951361788404</v>
      </c>
      <c r="EK391" s="581">
        <f>INPUT!GX120</f>
        <v>6632.7112726454625</v>
      </c>
      <c r="EL391" s="577">
        <f>INPUT!GY120</f>
        <v>5.4162526875225865</v>
      </c>
      <c r="EM391" s="577">
        <f>INPUT!GZ120</f>
        <v>5.1293921422402189</v>
      </c>
    </row>
    <row r="392" spans="1:144" ht="12.75" hidden="1" customHeight="1" outlineLevel="1" x14ac:dyDescent="0.2">
      <c r="A392" s="575"/>
      <c r="B392" s="580"/>
      <c r="C392" s="577"/>
      <c r="D392" s="580"/>
      <c r="E392" s="577"/>
      <c r="F392" s="580"/>
      <c r="G392" s="577"/>
      <c r="H392" s="580"/>
      <c r="I392" s="577"/>
      <c r="J392" s="580"/>
      <c r="K392" s="577"/>
      <c r="L392" s="580"/>
      <c r="M392" s="577"/>
      <c r="N392" s="580"/>
      <c r="O392" s="577"/>
      <c r="P392" s="580"/>
      <c r="Q392" s="577"/>
      <c r="R392" s="580"/>
      <c r="S392" s="577"/>
      <c r="T392" s="580"/>
      <c r="U392" s="577"/>
      <c r="V392" s="580"/>
      <c r="W392" s="577"/>
      <c r="X392" s="580"/>
      <c r="Y392" s="577"/>
      <c r="Z392" s="580"/>
      <c r="AA392" s="577"/>
      <c r="AB392" s="580"/>
      <c r="AC392" s="577"/>
      <c r="AD392" s="580"/>
      <c r="AE392" s="577"/>
      <c r="AF392" s="580"/>
      <c r="AG392" s="577"/>
      <c r="AH392" s="580"/>
      <c r="AI392" s="577"/>
      <c r="AJ392" s="580"/>
      <c r="AK392" s="577"/>
      <c r="AL392" s="580"/>
      <c r="AM392" s="577"/>
      <c r="AN392" s="580"/>
      <c r="AO392" s="577"/>
      <c r="AP392" s="580"/>
      <c r="AQ392" s="577"/>
      <c r="AR392" s="580"/>
      <c r="AS392" s="577"/>
      <c r="AT392" s="580"/>
      <c r="AU392" s="577"/>
      <c r="AV392" s="580"/>
      <c r="AW392" s="577"/>
      <c r="AX392" s="580"/>
      <c r="AY392" s="577"/>
      <c r="AZ392" s="580"/>
      <c r="BA392" s="577"/>
      <c r="BB392" s="580"/>
      <c r="BC392" s="577"/>
      <c r="BD392" s="580"/>
      <c r="BE392" s="577"/>
      <c r="BF392" s="580"/>
      <c r="BG392" s="577"/>
      <c r="BH392" s="580"/>
      <c r="BI392" s="577"/>
      <c r="BJ392" s="580"/>
      <c r="BK392" s="577"/>
      <c r="BL392" s="580"/>
      <c r="BM392" s="577"/>
      <c r="BN392" s="580"/>
      <c r="BO392" s="577"/>
      <c r="BP392" s="580"/>
      <c r="BQ392" s="577"/>
      <c r="BR392" s="580"/>
      <c r="BS392" s="577"/>
      <c r="BT392" s="580"/>
      <c r="BU392" s="577"/>
      <c r="BV392" s="580"/>
      <c r="BW392" s="577"/>
      <c r="BX392" s="580"/>
      <c r="BY392" s="577"/>
      <c r="BZ392" s="580"/>
      <c r="CA392" s="577"/>
      <c r="CB392" s="580"/>
      <c r="CC392" s="577"/>
      <c r="CD392" s="580"/>
      <c r="CE392" s="577"/>
      <c r="CF392" s="580"/>
      <c r="CG392" s="577"/>
      <c r="CH392" s="580"/>
      <c r="CI392" s="577"/>
      <c r="CJ392" s="580"/>
      <c r="CK392" s="577"/>
      <c r="CL392" s="580"/>
      <c r="CM392" s="577"/>
      <c r="CN392" s="580"/>
      <c r="CO392" s="577"/>
      <c r="CP392" s="580"/>
      <c r="CQ392" s="577"/>
      <c r="CR392" s="580"/>
      <c r="CS392" s="577"/>
      <c r="CT392" s="580"/>
      <c r="CU392" s="577"/>
      <c r="CV392" s="580"/>
      <c r="CW392" s="577"/>
      <c r="CX392" s="580"/>
      <c r="CY392" s="577"/>
      <c r="CZ392" s="580"/>
      <c r="DA392" s="577"/>
      <c r="DB392" s="596"/>
      <c r="DC392" s="580"/>
      <c r="DD392" s="577"/>
      <c r="DE392" s="580"/>
      <c r="DF392" s="577"/>
      <c r="DG392" s="580"/>
      <c r="DH392" s="577"/>
      <c r="DI392" s="580"/>
      <c r="DJ392" s="577"/>
      <c r="DK392" s="580"/>
      <c r="DL392" s="577"/>
      <c r="DM392" s="580"/>
      <c r="DN392" s="577"/>
      <c r="DO392" s="580"/>
      <c r="DP392" s="577"/>
      <c r="DQ392" s="580"/>
      <c r="DR392" s="577"/>
      <c r="DS392" s="580"/>
      <c r="DT392" s="577"/>
      <c r="DU392" s="580"/>
      <c r="DV392" s="577"/>
      <c r="DW392" s="580"/>
      <c r="DX392" s="577"/>
      <c r="DY392" s="580"/>
      <c r="DZ392" s="577"/>
      <c r="EA392" s="580"/>
      <c r="EB392" s="577"/>
      <c r="EC392" s="580"/>
      <c r="ED392" s="577"/>
      <c r="EE392" s="580"/>
      <c r="EF392" s="577"/>
      <c r="EG392" s="580"/>
      <c r="EH392" s="577"/>
      <c r="EI392" s="580"/>
      <c r="EJ392" s="577"/>
      <c r="EK392" s="580"/>
      <c r="EL392" s="577"/>
      <c r="EM392" s="577"/>
    </row>
    <row r="393" spans="1:144" ht="12.75" hidden="1" customHeight="1" outlineLevel="1" x14ac:dyDescent="0.2">
      <c r="A393" s="601" t="s">
        <v>706</v>
      </c>
      <c r="B393" s="602">
        <f>INPUT!AY128</f>
        <v>133</v>
      </c>
      <c r="C393" s="612">
        <f>INPUT!AZ128</f>
        <v>13.675213675213669</v>
      </c>
      <c r="D393" s="602">
        <f>INPUT!BA128</f>
        <v>97</v>
      </c>
      <c r="E393" s="612">
        <f>INPUT!BB128</f>
        <v>-18.487394957983199</v>
      </c>
      <c r="F393" s="602">
        <f>INPUT!BC128</f>
        <v>183</v>
      </c>
      <c r="G393" s="612">
        <f>INPUT!BD128</f>
        <v>52.5</v>
      </c>
      <c r="H393" s="602">
        <f>INPUT!BE128</f>
        <v>132</v>
      </c>
      <c r="I393" s="612">
        <f>INPUT!BF128</f>
        <v>-7.0422535211267672</v>
      </c>
      <c r="J393" s="602">
        <f>INPUT!BG128</f>
        <v>101</v>
      </c>
      <c r="K393" s="612">
        <f>INPUT!BH128</f>
        <v>-24.060150375939855</v>
      </c>
      <c r="L393" s="602">
        <f>INPUT!BI128</f>
        <v>141</v>
      </c>
      <c r="M393" s="612">
        <f>INPUT!BJ128</f>
        <v>45.360824742268022</v>
      </c>
      <c r="N393" s="602">
        <f>INPUT!BK128</f>
        <v>251</v>
      </c>
      <c r="O393" s="612">
        <f>INPUT!BL128</f>
        <v>37.158469945355193</v>
      </c>
      <c r="P393" s="602">
        <f>INPUT!BM128</f>
        <v>129</v>
      </c>
      <c r="Q393" s="612">
        <f>INPUT!BN128</f>
        <v>-2.2727272727272663</v>
      </c>
      <c r="R393" s="602">
        <f>INPUT!BO128</f>
        <v>96</v>
      </c>
      <c r="S393" s="612">
        <f>INPUT!BP128</f>
        <v>-4.9504950495049513</v>
      </c>
      <c r="T393" s="602">
        <f>INPUT!BQ128</f>
        <v>103</v>
      </c>
      <c r="U393" s="612">
        <f>INPUT!BR128</f>
        <v>-26.950354609929079</v>
      </c>
      <c r="V393" s="602">
        <f>INPUT!BS128</f>
        <v>238</v>
      </c>
      <c r="W393" s="612">
        <f>INPUT!BT128</f>
        <v>-5.1792828685258883</v>
      </c>
      <c r="X393" s="602">
        <f>INPUT!BU128</f>
        <v>9</v>
      </c>
      <c r="Y393" s="612" t="str">
        <f>INPUT!BV128</f>
        <v>NM</v>
      </c>
      <c r="Z393" s="602">
        <f>INPUT!BW128</f>
        <v>40</v>
      </c>
      <c r="AA393" s="612" t="str">
        <f>INPUT!BX128</f>
        <v>NM</v>
      </c>
      <c r="AB393" s="602">
        <f>INPUT!BY128</f>
        <v>138</v>
      </c>
      <c r="AC393" s="612">
        <f>INPUT!BZ128</f>
        <v>33.980582524271853</v>
      </c>
      <c r="AD393" s="602">
        <f>INPUT!CA128</f>
        <v>243</v>
      </c>
      <c r="AE393" s="612">
        <f>INPUT!CB128</f>
        <v>2.1008403361344392</v>
      </c>
      <c r="AF393" s="602">
        <f>INPUT!CC128</f>
        <v>141</v>
      </c>
      <c r="AG393" s="612" t="str">
        <f>INPUT!CD128</f>
        <v>NM</v>
      </c>
      <c r="AH393" s="602">
        <f>INPUT!CE128</f>
        <v>86</v>
      </c>
      <c r="AI393" s="612" t="str">
        <f>INPUT!CF128</f>
        <v>NM</v>
      </c>
      <c r="AJ393" s="602">
        <f>INPUT!CG128</f>
        <v>107</v>
      </c>
      <c r="AK393" s="612">
        <f>INPUT!CH128</f>
        <v>-22.463768115942031</v>
      </c>
      <c r="AL393" s="602">
        <f>INPUT!CI128</f>
        <v>157</v>
      </c>
      <c r="AM393" s="612">
        <f>INPUT!CJ128</f>
        <v>-35.390946502057616</v>
      </c>
      <c r="AN393" s="602">
        <f>INPUT!CK128</f>
        <v>132</v>
      </c>
      <c r="AO393" s="612">
        <f>INPUT!CL128</f>
        <v>-6.3829787234042499</v>
      </c>
      <c r="AP393" s="602">
        <f>INPUT!CM128</f>
        <v>98</v>
      </c>
      <c r="AQ393" s="612">
        <f>INPUT!CN128</f>
        <v>13.95348837209302</v>
      </c>
      <c r="AR393" s="602">
        <f>INPUT!CO128</f>
        <v>135</v>
      </c>
      <c r="AS393" s="612">
        <f>INPUT!CP128</f>
        <v>26.168224299065429</v>
      </c>
      <c r="AT393" s="602">
        <f>INPUT!CQ128</f>
        <v>111</v>
      </c>
      <c r="AU393" s="612">
        <f>INPUT!CR128</f>
        <v>-29.29936305732484</v>
      </c>
      <c r="AV393" s="602">
        <f>INPUT!CS128</f>
        <v>138</v>
      </c>
      <c r="AW393" s="612">
        <f>INPUT!CT128</f>
        <v>4.5454545454545467</v>
      </c>
      <c r="AX393" s="602">
        <f>INPUT!CU128</f>
        <v>112</v>
      </c>
      <c r="AY393" s="612">
        <f>INPUT!CV128</f>
        <v>14.285714285714278</v>
      </c>
      <c r="AZ393" s="602">
        <f>INPUT!CW128</f>
        <v>61</v>
      </c>
      <c r="BA393" s="612" t="str">
        <f>INPUT!CX128</f>
        <v>NM</v>
      </c>
      <c r="BB393" s="602">
        <f>INPUT!CY128</f>
        <v>112</v>
      </c>
      <c r="BC393" s="612">
        <f>INPUT!CZ128</f>
        <v>0.90090090090089348</v>
      </c>
      <c r="BD393" s="602">
        <f>INPUT!DA128</f>
        <v>99</v>
      </c>
      <c r="BE393" s="612">
        <f>INPUT!DB128</f>
        <v>-28.260869565217391</v>
      </c>
      <c r="BF393" s="602">
        <f>INPUT!DC128</f>
        <v>137</v>
      </c>
      <c r="BG393" s="612">
        <f>INPUT!DD128</f>
        <v>22.321428571428584</v>
      </c>
      <c r="BH393" s="602">
        <f>INPUT!DE128</f>
        <v>141</v>
      </c>
      <c r="BI393" s="612" t="str">
        <f>INPUT!DF128</f>
        <v>NM</v>
      </c>
      <c r="BJ393" s="602">
        <f>INPUT!DG128</f>
        <v>148</v>
      </c>
      <c r="BK393" s="612">
        <f>INPUT!DH128</f>
        <v>32.142857142857139</v>
      </c>
      <c r="BL393" s="602">
        <f>INPUT!DI128</f>
        <v>157</v>
      </c>
      <c r="BM393" s="612">
        <f>INPUT!DJ128</f>
        <v>58.585858585858574</v>
      </c>
      <c r="BN393" s="602">
        <f>INPUT!DK128</f>
        <v>125</v>
      </c>
      <c r="BO393" s="612">
        <f>INPUT!DL128</f>
        <v>-8.7591240875912462</v>
      </c>
      <c r="BP393" s="602">
        <f>INPUT!DM128</f>
        <v>158</v>
      </c>
      <c r="BQ393" s="612">
        <f>INPUT!DN128</f>
        <v>12.056737588652481</v>
      </c>
      <c r="BR393" s="602">
        <f>INPUT!DO128</f>
        <v>97</v>
      </c>
      <c r="BS393" s="612">
        <f>INPUT!DP128</f>
        <v>-34.459459459459467</v>
      </c>
      <c r="BT393" s="602">
        <f>INPUT!DQ128</f>
        <v>118</v>
      </c>
      <c r="BU393" s="612">
        <f>INPUT!DR128</f>
        <v>-24.840764331210181</v>
      </c>
      <c r="BV393" s="602">
        <f>INPUT!DS128</f>
        <v>116</v>
      </c>
      <c r="BW393" s="612">
        <f>INPUT!DT128</f>
        <v>-7.1999999999999886</v>
      </c>
      <c r="BX393" s="602">
        <f>INPUT!DU128</f>
        <v>237</v>
      </c>
      <c r="BY393" s="612">
        <f>INPUT!DV128</f>
        <v>50</v>
      </c>
      <c r="BZ393" s="602">
        <f>INPUT!DW128</f>
        <v>183</v>
      </c>
      <c r="CA393" s="612">
        <f>INPUT!DX128</f>
        <v>88.659793814432987</v>
      </c>
      <c r="CB393" s="602">
        <f>INPUT!DY128</f>
        <v>99</v>
      </c>
      <c r="CC393" s="612">
        <f>INPUT!DZ128</f>
        <v>-16.101694915254242</v>
      </c>
      <c r="CD393" s="602">
        <f>INPUT!EA128</f>
        <v>120</v>
      </c>
      <c r="CE393" s="612">
        <f>INPUT!EB128</f>
        <v>3.448275862068968</v>
      </c>
      <c r="CF393" s="602">
        <f>INPUT!EC128</f>
        <v>-290</v>
      </c>
      <c r="CG393" s="612" t="str">
        <f>INPUT!ED128</f>
        <v>NM</v>
      </c>
      <c r="CH393" s="602">
        <f>INPUT!EE128</f>
        <v>111</v>
      </c>
      <c r="CI393" s="612">
        <f>INPUT!EF128</f>
        <v>-39.344262295081968</v>
      </c>
      <c r="CJ393" s="602">
        <f>INPUT!EG128</f>
        <v>138</v>
      </c>
      <c r="CK393" s="612">
        <f>INPUT!EH128</f>
        <v>39.393939393939405</v>
      </c>
      <c r="CL393" s="602">
        <f>INPUT!EI128</f>
        <v>118</v>
      </c>
      <c r="CM393" s="612">
        <f>INPUT!EJ128</f>
        <v>-1.6666666666666714</v>
      </c>
      <c r="CN393" s="602">
        <f>INPUT!EK128</f>
        <v>-557</v>
      </c>
      <c r="CO393" s="612">
        <f>INPUT!EL128</f>
        <v>92.068965517241367</v>
      </c>
      <c r="CP393" s="602">
        <f>INPUT!EM128</f>
        <v>150</v>
      </c>
      <c r="CQ393" s="612">
        <f>INPUT!EN128</f>
        <v>35.13513513513513</v>
      </c>
      <c r="CR393" s="602">
        <f>INPUT!EO128</f>
        <v>98</v>
      </c>
      <c r="CS393" s="612">
        <f>INPUT!EP128</f>
        <v>-28.985507246376812</v>
      </c>
      <c r="CT393" s="602">
        <f>INPUT!EQ128</f>
        <v>95.528326875000175</v>
      </c>
      <c r="CU393" s="612">
        <f>INPUT!ER128</f>
        <v>-19.043790783898146</v>
      </c>
      <c r="CV393" s="602">
        <f>INPUT!ES128</f>
        <v>113.75430471982759</v>
      </c>
      <c r="CW393" s="612" t="str">
        <f>INPUT!ET128</f>
        <v>NM</v>
      </c>
      <c r="CX393" s="602">
        <f>INPUT!EU128</f>
        <v>113.87967676271569</v>
      </c>
      <c r="CY393" s="612">
        <f>INPUT!EV128</f>
        <v>-24.080215491522878</v>
      </c>
      <c r="CZ393" s="602">
        <f>INPUT!EW128</f>
        <v>112.9107367140482</v>
      </c>
      <c r="DA393" s="612">
        <f>INPUT!EX128</f>
        <v>15.215037463314502</v>
      </c>
      <c r="DB393" s="624"/>
      <c r="DC393" s="602">
        <f>INPUT!FP128</f>
        <v>498</v>
      </c>
      <c r="DD393" s="612">
        <f>INPUT!FQ128</f>
        <v>27.692307692307679</v>
      </c>
      <c r="DE393" s="602">
        <f>INPUT!FR128</f>
        <v>545</v>
      </c>
      <c r="DF393" s="612">
        <f>INPUT!FS128</f>
        <v>9.4377510040160644</v>
      </c>
      <c r="DG393" s="602">
        <f>INPUT!FT128</f>
        <v>622</v>
      </c>
      <c r="DH393" s="612">
        <f>INPUT!FU128</f>
        <v>14.12844036697247</v>
      </c>
      <c r="DI393" s="602">
        <f>INPUT!FV128</f>
        <v>463</v>
      </c>
      <c r="DJ393" s="612">
        <f>INPUT!FW128</f>
        <v>-25.562700964630224</v>
      </c>
      <c r="DK393" s="602">
        <f>INPUT!FX128</f>
        <v>514</v>
      </c>
      <c r="DL393" s="612">
        <f>INPUT!FY128</f>
        <v>11.015118790496771</v>
      </c>
      <c r="DM393" s="602">
        <f>INPUT!FZ128</f>
        <v>482</v>
      </c>
      <c r="DN393" s="612">
        <f>INPUT!GA128</f>
        <v>-6.2256809338521464</v>
      </c>
      <c r="DO393" s="602">
        <f>INPUT!GB128</f>
        <v>482</v>
      </c>
      <c r="DP393" s="612">
        <f>INPUT!GC128</f>
        <v>0</v>
      </c>
      <c r="DQ393" s="602">
        <f>INPUT!GD128</f>
        <v>384</v>
      </c>
      <c r="DR393" s="612">
        <f>INPUT!GE128</f>
        <v>-20.331950207468878</v>
      </c>
      <c r="DS393" s="602">
        <f>INPUT!GF128</f>
        <v>583</v>
      </c>
      <c r="DT393" s="612">
        <f>INPUT!GG128</f>
        <v>51.822916666666686</v>
      </c>
      <c r="DU393" s="602">
        <f>INPUT!GH128</f>
        <v>498</v>
      </c>
      <c r="DV393" s="612">
        <f>INPUT!GI128</f>
        <v>-14.579759862778729</v>
      </c>
      <c r="DW393" s="602">
        <f>INPUT!GJ128</f>
        <v>635</v>
      </c>
      <c r="DX393" s="612">
        <f>INPUT!GK128</f>
        <v>27.510040160642575</v>
      </c>
      <c r="DY393" s="602">
        <f>INPUT!GL128</f>
        <v>79</v>
      </c>
      <c r="DZ393" s="612" t="str">
        <f>INPUT!GM128</f>
        <v>NM</v>
      </c>
      <c r="EA393" s="602">
        <f>INPUT!GN128</f>
        <v>-191</v>
      </c>
      <c r="EB393" s="612" t="str">
        <f>INPUT!GO128</f>
        <v>NM</v>
      </c>
      <c r="EC393" s="602">
        <f>INPUT!GP128</f>
        <v>436.07304507159097</v>
      </c>
      <c r="ED393" s="612" t="str">
        <f>INPUT!GQ128</f>
        <v>NM</v>
      </c>
      <c r="EE393" s="602">
        <f>INPUT!GR128</f>
        <v>432.33203523491011</v>
      </c>
      <c r="EF393" s="612">
        <f>INPUT!GS128</f>
        <v>-0.85788605348598423</v>
      </c>
      <c r="EG393" s="602">
        <f>INPUT!GT128</f>
        <v>427.44700049098174</v>
      </c>
      <c r="EH393" s="612">
        <f>INPUT!GU128</f>
        <v>-1.1299266179232035</v>
      </c>
      <c r="EI393" s="602">
        <f>INPUT!GV128</f>
        <v>428.09328543534866</v>
      </c>
      <c r="EJ393" s="612">
        <f>INPUT!GW128</f>
        <v>0.15119650942094154</v>
      </c>
      <c r="EK393" s="602">
        <f>INPUT!GX128</f>
        <v>427.94359380240439</v>
      </c>
      <c r="EL393" s="612">
        <f>INPUT!GY128</f>
        <v>-3.4967059292227987E-2</v>
      </c>
      <c r="EM393" s="612" t="str">
        <f>INPUT!GZ128</f>
        <v>NM</v>
      </c>
    </row>
    <row r="394" spans="1:144" ht="12.75" hidden="1" customHeight="1" outlineLevel="2" x14ac:dyDescent="0.2">
      <c r="A394" s="582" t="s">
        <v>683</v>
      </c>
      <c r="B394" s="583">
        <f>(B378+B379+B381+B382-B386-B387-B388-B389-B390)-B393</f>
        <v>0</v>
      </c>
      <c r="C394" s="584"/>
      <c r="D394" s="583">
        <f>(D378+D379+D381+D382-D386-D387-D388-D389-D390)-D393</f>
        <v>0</v>
      </c>
      <c r="E394" s="584"/>
      <c r="F394" s="583">
        <f>(F378+F379+F381+F382-F386-F387-F388-F389-F390)-F393</f>
        <v>0</v>
      </c>
      <c r="G394" s="584"/>
      <c r="H394" s="583">
        <f>(H378+H379+H381+H382-H386-H387-H388-H389-H390)-H393</f>
        <v>0</v>
      </c>
      <c r="I394" s="584"/>
      <c r="J394" s="583">
        <f>(J378+J379+J381+J382-J386-J387-J388-J389-J390)-J393</f>
        <v>0</v>
      </c>
      <c r="K394" s="584"/>
      <c r="L394" s="583">
        <f>(L378+L379+L381+L382-L386-L387-L388-L389-L390)-L393</f>
        <v>0</v>
      </c>
      <c r="M394" s="584"/>
      <c r="N394" s="583">
        <f>(N378+N379+N381+N382-N386-N387-N388-N389-N390)-N393</f>
        <v>0</v>
      </c>
      <c r="O394" s="584"/>
      <c r="P394" s="583">
        <f>(P378+P379+P381+P382-P386-P387-P388-P389-P390)-P393</f>
        <v>0</v>
      </c>
      <c r="Q394" s="584"/>
      <c r="R394" s="583">
        <f>(R378+R379+R381+R382-R386-R387-R388-R389-R390)-R393</f>
        <v>0</v>
      </c>
      <c r="S394" s="584"/>
      <c r="T394" s="583">
        <f>(T378+T379+T381+T382-T386-T387-T388-T389-T390)-T393</f>
        <v>0</v>
      </c>
      <c r="U394" s="584"/>
      <c r="V394" s="583">
        <f>(V378+V379+V381+V382-V386-V387-V388-V389-V390)-V393</f>
        <v>0</v>
      </c>
      <c r="W394" s="584"/>
      <c r="X394" s="583">
        <f>(X378+X379+X381+X382-X386-X387-X388-X389-X390)-X393</f>
        <v>0</v>
      </c>
      <c r="Y394" s="584"/>
      <c r="Z394" s="583">
        <f>(Z378+Z379+Z381+Z382-Z386-Z387-Z388-Z389-Z390)-Z393</f>
        <v>0</v>
      </c>
      <c r="AA394" s="584"/>
      <c r="AB394" s="583">
        <f>(AB378+AB379+AB381+AB382-AB386-AB387-AB388-AB389-AB390)-AB393</f>
        <v>0</v>
      </c>
      <c r="AC394" s="584"/>
      <c r="AD394" s="583">
        <f>(AD378+AD379+AD381+AD382-AD386-AD387-AD388-AD389-AD390)-AD393</f>
        <v>0</v>
      </c>
      <c r="AE394" s="584"/>
      <c r="AF394" s="583">
        <f>(AF378+AF379+AF381+AF382-AF386-AF387-AF388-AF389-AF390)-AF393</f>
        <v>0</v>
      </c>
      <c r="AG394" s="584"/>
      <c r="AH394" s="583">
        <f>(AH378+AH379+AH381+AH382-AH386-AH387-AH388-AH389-AH390)-AH393</f>
        <v>0</v>
      </c>
      <c r="AI394" s="584"/>
      <c r="AJ394" s="583">
        <f>(AJ378+AJ379+AJ381+AJ382-AJ386-AJ387-AJ388-AJ389-AJ390)-AJ393</f>
        <v>0</v>
      </c>
      <c r="AK394" s="584"/>
      <c r="AL394" s="583">
        <f>(AL378+AL379+AL381+AL382-AL386-AL387-AL388-AL389-AL390)-AL393</f>
        <v>0</v>
      </c>
      <c r="AM394" s="584"/>
      <c r="AN394" s="583">
        <f>(AN378+AN379+AN381+AN382-AN386-AN387-AN388-AN389-AN390)-AN393</f>
        <v>0</v>
      </c>
      <c r="AO394" s="584"/>
      <c r="AP394" s="583">
        <f>(AP378+AP379+AP381+AP382-AP386-AP387-AP388-AP389-AP390)-AP393</f>
        <v>0</v>
      </c>
      <c r="AQ394" s="584"/>
      <c r="AR394" s="583">
        <f>(AR378+AR379+AR381+AR382-AR386-AR387-AR388-AR389-AR390)-AR393</f>
        <v>0</v>
      </c>
      <c r="AS394" s="584"/>
      <c r="AT394" s="583">
        <f>(AT378+AT379+AT381+AT382-AT386-AT387-AT388-AT389-AT390)-AT393</f>
        <v>0</v>
      </c>
      <c r="AU394" s="584"/>
      <c r="AV394" s="583">
        <f>(AV378+AV379+AV381+AV382-AV386-AV387-AV388-AV389-AV390)-AV393</f>
        <v>0</v>
      </c>
      <c r="AW394" s="584"/>
      <c r="AX394" s="583">
        <f>(AX378+AX379+AX381+AX382-AX386-AX387-AX388-AX389-AX390)-AX393</f>
        <v>0</v>
      </c>
      <c r="AY394" s="584"/>
      <c r="AZ394" s="583">
        <f>(AZ378+AZ379+AZ381+AZ382-AZ386-AZ387-AZ388-AZ389-AZ390)-AZ393</f>
        <v>0</v>
      </c>
      <c r="BA394" s="584"/>
      <c r="BB394" s="583">
        <f>(BB378+BB379+BB381+BB382-BB386-BB387-BB388-BB389-BB390)-BB393</f>
        <v>0</v>
      </c>
      <c r="BC394" s="584"/>
      <c r="BD394" s="583">
        <f>(BD378+BD379+BD381+BD382-BD386-BD387-BD388-BD389-BD390)-BD393</f>
        <v>0</v>
      </c>
      <c r="BE394" s="584"/>
      <c r="BF394" s="583">
        <f>(BF378+BF379+BF381+BF382-BF386-BF387-BF388-BF389-BF390)-BF393</f>
        <v>0</v>
      </c>
      <c r="BG394" s="584"/>
      <c r="BH394" s="583">
        <f>(BH378+BH379+BH381+BH382-BH386-BH387-BH388-BH389-BH390)-BH393</f>
        <v>0</v>
      </c>
      <c r="BI394" s="584"/>
      <c r="BJ394" s="583">
        <f>(BJ378+BJ379+BJ381+BJ382-BJ386-BJ387-BJ388-BJ389-BJ390)-BJ393</f>
        <v>0</v>
      </c>
      <c r="BK394" s="584"/>
      <c r="BL394" s="583">
        <f>(BL378+BL379+BL381+BL382-BL386-BL387-BL388-BL389-BL390)-BL393</f>
        <v>0</v>
      </c>
      <c r="BM394" s="584"/>
      <c r="BN394" s="583">
        <f>(BN378+BN379+BN381+BN382-BN386-BN387-BN388-BN389-BN390)-BN393</f>
        <v>0</v>
      </c>
      <c r="BO394" s="584"/>
      <c r="BP394" s="583">
        <f>(BP378+BP379+BP381+BP382-BP386-BP387-BP388-BP389-BP390)-BP393</f>
        <v>0</v>
      </c>
      <c r="BQ394" s="584"/>
      <c r="BR394" s="583">
        <f>(BR378+BR379+BR381+BR382-BR386-BR387-BR388-BR389-BR390)-BR393</f>
        <v>0</v>
      </c>
      <c r="BS394" s="584"/>
      <c r="BT394" s="583">
        <f>(BT378+BT379+BT381+BT382-BT386-BT387-BT388-BT389-BT390)-BT393</f>
        <v>0</v>
      </c>
      <c r="BU394" s="584"/>
      <c r="BV394" s="583">
        <f>(BV378+BV379+BV381+BV382-BV386-BV387-BV388-BV389-BV390)-BV393</f>
        <v>0</v>
      </c>
      <c r="BW394" s="584"/>
      <c r="BX394" s="583">
        <f>(BX378+BX379+BX381+BX382-BX386-BX387-BX388-BX389-BX390)-BX393</f>
        <v>0</v>
      </c>
      <c r="BY394" s="584"/>
      <c r="BZ394" s="583">
        <f>(BZ378+BZ379+BZ381+BZ382-BZ386-BZ387-BZ388-BZ389-BZ390)-BZ393</f>
        <v>0</v>
      </c>
      <c r="CA394" s="584"/>
      <c r="CB394" s="583">
        <f>(CB378+CB379+CB381+CB382-CB386-CB387-CB388-CB389-CB390)-CB393</f>
        <v>0</v>
      </c>
      <c r="CC394" s="584"/>
      <c r="CD394" s="583">
        <f>(CD378+CD379+CD381+CD382-CD386-CD387-CD388-CD389-CD390)-CD393</f>
        <v>0</v>
      </c>
      <c r="CE394" s="584"/>
      <c r="CF394" s="583">
        <f>(CF378+CF379+CF381+CF382-CF386-CF387-CF388-CF389-CF390)-CF393</f>
        <v>0</v>
      </c>
      <c r="CG394" s="584"/>
      <c r="CH394" s="583">
        <f>(CH378+CH379+CH381+CH382-CH386-CH387-CH388-CH389-CH390)-CH393</f>
        <v>0</v>
      </c>
      <c r="CI394" s="584"/>
      <c r="CJ394" s="583">
        <f>(CJ378+CJ379+CJ381+CJ382-CJ386-CJ387-CJ388-CJ389-CJ390)-CJ393</f>
        <v>0</v>
      </c>
      <c r="CK394" s="584"/>
      <c r="CL394" s="583">
        <f>(CL378+CL379+CL381+CL382-CL386-CL387-CL388-CL389-CL390)-CL393</f>
        <v>0</v>
      </c>
      <c r="CM394" s="584"/>
      <c r="CN394" s="583">
        <f>(CN378+CN379+CN381+CN382-CN386-CN387-CN388-CN389-CN390)-CN393</f>
        <v>0</v>
      </c>
      <c r="CO394" s="584"/>
      <c r="CP394" s="583">
        <f>(CP378+CP379+CP381+CP382-CP386-CP387-CP388-CP389-CP390)-CP393</f>
        <v>0</v>
      </c>
      <c r="CQ394" s="584"/>
      <c r="CR394" s="583">
        <f>(CR378+CR379+CR381+CR382-CR386-CR387-CR388-CR389-CR390)-CR393</f>
        <v>0</v>
      </c>
      <c r="CS394" s="584"/>
      <c r="CT394" s="583">
        <f>(CT378+CT379+CT381+CT382-CT386-CT387-CT388-CT389-CT390)-CT393</f>
        <v>0</v>
      </c>
      <c r="CU394" s="584"/>
      <c r="CV394" s="583">
        <f>(CV378+CV379+CV381+CV382-CV386-CV387-CV388-CV389-CV390)-CV393</f>
        <v>0</v>
      </c>
      <c r="CW394" s="584"/>
      <c r="CX394" s="583">
        <f>(CX378+CX379+CX381+CX382-CX386-CX387-CX388-CX389-CX390)-CX393</f>
        <v>0</v>
      </c>
      <c r="CY394" s="584"/>
      <c r="CZ394" s="583">
        <f>(CZ378+CZ379+CZ381+CZ382-CZ386-CZ387-CZ388-CZ389-CZ390)-CZ393</f>
        <v>0</v>
      </c>
      <c r="DA394" s="584"/>
      <c r="DB394" s="583"/>
      <c r="DC394" s="583">
        <f>(DC378+DC379+DC381+DC382-DC386-DC387-DC388-DC389-DC390)-DC393</f>
        <v>0</v>
      </c>
      <c r="DD394" s="584"/>
      <c r="DE394" s="583">
        <f>(DE378+DE379+DE381+DE382-DE386-DE387-DE388-DE389-DE390)-DE393</f>
        <v>0</v>
      </c>
      <c r="DF394" s="584"/>
      <c r="DG394" s="583">
        <f>(DG378+DG379+DG381+DG382-DG386-DG387-DG388-DG389-DG390)-DG393</f>
        <v>0</v>
      </c>
      <c r="DH394" s="584"/>
      <c r="DI394" s="583">
        <f>(DI378+DI379+DI381+DI382-DI386-DI387-DI388-DI389-DI390)-DI393</f>
        <v>0</v>
      </c>
      <c r="DJ394" s="584"/>
      <c r="DK394" s="583">
        <f>(DK378+DK379+DK381+DK382-DK386-DK387-DK388-DK389-DK390)-DK393</f>
        <v>0</v>
      </c>
      <c r="DL394" s="584"/>
      <c r="DM394" s="583">
        <f>(DM378+DM379+DM381+DM382-DM386-DM387-DM388-DM389-DM390)-DM393</f>
        <v>0</v>
      </c>
      <c r="DN394" s="584"/>
      <c r="DO394" s="583">
        <f>(DO378+DO379+DO381+DO382-DO386-DO387-DO388-DO389-DO390)-DO393</f>
        <v>0</v>
      </c>
      <c r="DP394" s="584"/>
      <c r="DQ394" s="583">
        <f>(DQ378+DQ379+DQ381+DQ382-DQ386-DQ387-DQ388-DQ389-DQ390)-DQ393</f>
        <v>0</v>
      </c>
      <c r="DR394" s="584"/>
      <c r="DS394" s="583">
        <f>(DS378+DS379+DS381+DS382-DS386-DS387-DS388-DS389-DS390)-DS393</f>
        <v>0</v>
      </c>
      <c r="DT394" s="584"/>
      <c r="DU394" s="583">
        <f>(DU378+DU379+DU381+DU382-DU386-DU387-DU388-DU389-DU390)-DU393</f>
        <v>0</v>
      </c>
      <c r="DV394" s="584"/>
      <c r="DW394" s="583">
        <f>(DW378+DW379+DW381+DW382-DW386-DW387-DW388-DW389-DW390)-DW393</f>
        <v>0</v>
      </c>
      <c r="DX394" s="584"/>
      <c r="DY394" s="583">
        <f>(DY378+DY379+DY381+DY382-DY386-DY387-DY388-DY389-DY390)-DY393</f>
        <v>0</v>
      </c>
      <c r="DZ394" s="584"/>
      <c r="EA394" s="583">
        <f>(EA378+EA379+EA381+EA382-EA386-EA387-EA388-EA389-EA390)-EA393</f>
        <v>0</v>
      </c>
      <c r="EB394" s="584"/>
      <c r="EC394" s="583">
        <f>(EC378+EC379+EC381+EC382-EC386-EC387-EC388-EC389-EC390)-EC393</f>
        <v>0</v>
      </c>
      <c r="ED394" s="584"/>
      <c r="EE394" s="583">
        <f>(EE378+EE379+EE381+EE382-EE386-EE387-EE388-EE389-EE390)-EE393</f>
        <v>0</v>
      </c>
      <c r="EF394" s="584"/>
      <c r="EG394" s="583">
        <f>(EG378+EG379+EG381+EG382-EG386-EG387-EG388-EG389-EG390)-EG393</f>
        <v>0</v>
      </c>
      <c r="EH394" s="584"/>
      <c r="EI394" s="583">
        <f>(EI378+EI379+EI381+EI382-EI386-EI387-EI388-EI389-EI390)-EI393</f>
        <v>6.2527760746888816E-13</v>
      </c>
      <c r="EJ394" s="584"/>
      <c r="EK394" s="583">
        <f>(EK378+EK379+EK381+EK382-EK386-EK387-EK388-EK389-EK390)-EK393</f>
        <v>0</v>
      </c>
      <c r="EL394" s="584"/>
      <c r="EM394" s="583"/>
      <c r="EN394" s="584"/>
    </row>
    <row r="395" spans="1:144" ht="12.75" hidden="1" customHeight="1" outlineLevel="1" x14ac:dyDescent="0.2">
      <c r="A395" s="575"/>
      <c r="B395" s="586"/>
      <c r="C395" s="577"/>
      <c r="D395" s="586"/>
      <c r="E395" s="577"/>
      <c r="F395" s="586"/>
      <c r="G395" s="577"/>
      <c r="H395" s="586"/>
      <c r="I395" s="577"/>
      <c r="J395" s="586"/>
      <c r="K395" s="577"/>
      <c r="L395" s="586"/>
      <c r="M395" s="577"/>
      <c r="N395" s="586"/>
      <c r="O395" s="577"/>
      <c r="P395" s="586"/>
      <c r="Q395" s="577"/>
      <c r="R395" s="586"/>
      <c r="S395" s="577"/>
      <c r="T395" s="586"/>
      <c r="U395" s="577"/>
      <c r="V395" s="586"/>
      <c r="W395" s="577"/>
      <c r="X395" s="586"/>
      <c r="Y395" s="577"/>
      <c r="Z395" s="586"/>
      <c r="AA395" s="577"/>
      <c r="AB395" s="586"/>
      <c r="AC395" s="577"/>
      <c r="AD395" s="586"/>
      <c r="AE395" s="577"/>
      <c r="AF395" s="586"/>
      <c r="AG395" s="577"/>
      <c r="AH395" s="586"/>
      <c r="AI395" s="577"/>
      <c r="AJ395" s="586"/>
      <c r="AK395" s="577"/>
      <c r="AL395" s="586"/>
      <c r="AM395" s="577"/>
      <c r="AN395" s="586"/>
      <c r="AO395" s="577"/>
      <c r="AP395" s="586"/>
      <c r="AQ395" s="577"/>
      <c r="AR395" s="586"/>
      <c r="AS395" s="577"/>
      <c r="AT395" s="586"/>
      <c r="AU395" s="577"/>
      <c r="AV395" s="586"/>
      <c r="AW395" s="577"/>
      <c r="AX395" s="586"/>
      <c r="AY395" s="577"/>
      <c r="AZ395" s="586"/>
      <c r="BA395" s="577"/>
      <c r="BB395" s="586"/>
      <c r="BC395" s="577"/>
      <c r="BD395" s="586"/>
      <c r="BE395" s="577"/>
      <c r="BF395" s="586"/>
      <c r="BG395" s="577"/>
      <c r="BH395" s="586"/>
      <c r="BI395" s="577"/>
      <c r="BJ395" s="586"/>
      <c r="BK395" s="577"/>
      <c r="BL395" s="586"/>
      <c r="BM395" s="577"/>
      <c r="BN395" s="586"/>
      <c r="BO395" s="577"/>
      <c r="BP395" s="586"/>
      <c r="BQ395" s="577"/>
      <c r="BR395" s="586"/>
      <c r="BS395" s="577"/>
      <c r="BT395" s="586"/>
      <c r="BU395" s="577"/>
      <c r="BV395" s="586"/>
      <c r="BW395" s="577"/>
      <c r="BX395" s="586"/>
      <c r="BY395" s="577"/>
      <c r="BZ395" s="586"/>
      <c r="CA395" s="577"/>
      <c r="CB395" s="586"/>
      <c r="CC395" s="577"/>
      <c r="CD395" s="586"/>
      <c r="CE395" s="577"/>
      <c r="CF395" s="586"/>
      <c r="CG395" s="577"/>
      <c r="CH395" s="586"/>
      <c r="CI395" s="577"/>
      <c r="CJ395" s="586"/>
      <c r="CK395" s="577"/>
      <c r="CL395" s="586"/>
      <c r="CM395" s="577"/>
      <c r="CN395" s="586"/>
      <c r="CO395" s="577"/>
      <c r="CP395" s="586"/>
      <c r="CQ395" s="577"/>
      <c r="CR395" s="586"/>
      <c r="CS395" s="577"/>
      <c r="CT395" s="586"/>
      <c r="CU395" s="577"/>
      <c r="CV395" s="586"/>
      <c r="CW395" s="577"/>
      <c r="CX395" s="586"/>
      <c r="CY395" s="577"/>
      <c r="CZ395" s="586"/>
      <c r="DA395" s="577"/>
      <c r="DB395" s="596"/>
      <c r="DC395" s="586"/>
      <c r="DD395" s="577"/>
      <c r="DE395" s="586"/>
      <c r="DF395" s="577"/>
      <c r="DG395" s="586"/>
      <c r="DH395" s="577"/>
      <c r="DI395" s="586"/>
      <c r="DJ395" s="577"/>
      <c r="DK395" s="586"/>
      <c r="DL395" s="577"/>
      <c r="DM395" s="586"/>
      <c r="DN395" s="577"/>
      <c r="DO395" s="586"/>
      <c r="DP395" s="577"/>
      <c r="DQ395" s="586"/>
      <c r="DR395" s="577"/>
      <c r="DS395" s="586"/>
      <c r="DT395" s="577"/>
      <c r="DU395" s="586"/>
      <c r="DV395" s="577"/>
      <c r="DW395" s="586"/>
      <c r="DX395" s="577"/>
      <c r="DY395" s="586"/>
      <c r="DZ395" s="577"/>
      <c r="EA395" s="586"/>
      <c r="EB395" s="577"/>
      <c r="EC395" s="586"/>
      <c r="ED395" s="577"/>
      <c r="EE395" s="586"/>
      <c r="EF395" s="577"/>
      <c r="EG395" s="586"/>
      <c r="EH395" s="577"/>
      <c r="EI395" s="586"/>
      <c r="EJ395" s="577"/>
      <c r="EK395" s="586"/>
      <c r="EL395" s="577"/>
      <c r="EM395" s="577"/>
    </row>
    <row r="396" spans="1:144" ht="12.75" hidden="1" customHeight="1" outlineLevel="1" x14ac:dyDescent="0.2">
      <c r="A396" s="575" t="s">
        <v>255</v>
      </c>
      <c r="B396" s="580"/>
      <c r="C396" s="577"/>
      <c r="D396" s="580"/>
      <c r="E396" s="577"/>
      <c r="F396" s="580"/>
      <c r="G396" s="577"/>
      <c r="H396" s="580"/>
      <c r="I396" s="577"/>
      <c r="J396" s="580"/>
      <c r="K396" s="577"/>
      <c r="L396" s="580"/>
      <c r="M396" s="577"/>
      <c r="N396" s="580"/>
      <c r="O396" s="577"/>
      <c r="P396" s="580"/>
      <c r="Q396" s="577"/>
      <c r="R396" s="580"/>
      <c r="S396" s="577"/>
      <c r="T396" s="580"/>
      <c r="U396" s="577"/>
      <c r="V396" s="580"/>
      <c r="W396" s="577"/>
      <c r="X396" s="580"/>
      <c r="Y396" s="577"/>
      <c r="Z396" s="580"/>
      <c r="AA396" s="577"/>
      <c r="AB396" s="580"/>
      <c r="AC396" s="577"/>
      <c r="AD396" s="580"/>
      <c r="AE396" s="577"/>
      <c r="AF396" s="580"/>
      <c r="AG396" s="577"/>
      <c r="AH396" s="580"/>
      <c r="AI396" s="577"/>
      <c r="AJ396" s="580"/>
      <c r="AK396" s="577"/>
      <c r="AL396" s="580"/>
      <c r="AM396" s="577"/>
      <c r="AN396" s="580"/>
      <c r="AO396" s="577"/>
      <c r="AP396" s="580"/>
      <c r="AQ396" s="577"/>
      <c r="AR396" s="580"/>
      <c r="AS396" s="577"/>
      <c r="AT396" s="580"/>
      <c r="AU396" s="577"/>
      <c r="AV396" s="580"/>
      <c r="AW396" s="577"/>
      <c r="AX396" s="580"/>
      <c r="AY396" s="577"/>
      <c r="AZ396" s="580"/>
      <c r="BA396" s="577"/>
      <c r="BB396" s="580"/>
      <c r="BC396" s="577"/>
      <c r="BD396" s="580"/>
      <c r="BE396" s="577"/>
      <c r="BF396" s="580"/>
      <c r="BG396" s="577"/>
      <c r="BH396" s="580"/>
      <c r="BI396" s="577"/>
      <c r="BJ396" s="580"/>
      <c r="BK396" s="577"/>
      <c r="BL396" s="580"/>
      <c r="BM396" s="577"/>
      <c r="BN396" s="580"/>
      <c r="BO396" s="577"/>
      <c r="BP396" s="580"/>
      <c r="BQ396" s="577"/>
      <c r="BR396" s="580"/>
      <c r="BS396" s="577"/>
      <c r="BT396" s="580"/>
      <c r="BU396" s="577"/>
      <c r="BV396" s="580"/>
      <c r="BW396" s="577"/>
      <c r="BX396" s="580"/>
      <c r="BY396" s="577"/>
      <c r="BZ396" s="580"/>
      <c r="CA396" s="577"/>
      <c r="CB396" s="580"/>
      <c r="CC396" s="577"/>
      <c r="CD396" s="580"/>
      <c r="CE396" s="577"/>
      <c r="CF396" s="580"/>
      <c r="CG396" s="577"/>
      <c r="CH396" s="580"/>
      <c r="CI396" s="577"/>
      <c r="CJ396" s="580"/>
      <c r="CK396" s="577"/>
      <c r="CL396" s="580"/>
      <c r="CM396" s="577"/>
      <c r="CN396" s="580"/>
      <c r="CO396" s="577"/>
      <c r="CP396" s="580"/>
      <c r="CQ396" s="577"/>
      <c r="CR396" s="580"/>
      <c r="CS396" s="577"/>
      <c r="CT396" s="580"/>
      <c r="CU396" s="577"/>
      <c r="CV396" s="580"/>
      <c r="CW396" s="577"/>
      <c r="CX396" s="580"/>
      <c r="CY396" s="577"/>
      <c r="CZ396" s="580"/>
      <c r="DA396" s="577"/>
      <c r="DB396" s="587"/>
      <c r="DC396" s="580"/>
      <c r="DD396" s="577"/>
      <c r="DE396" s="580"/>
      <c r="DF396" s="577"/>
      <c r="DG396" s="580"/>
      <c r="DH396" s="577"/>
      <c r="DI396" s="580"/>
      <c r="DJ396" s="577"/>
      <c r="DK396" s="580"/>
      <c r="DL396" s="577"/>
      <c r="DM396" s="580"/>
      <c r="DN396" s="577"/>
      <c r="DO396" s="580"/>
      <c r="DP396" s="577"/>
      <c r="DQ396" s="580"/>
      <c r="DR396" s="577"/>
      <c r="DS396" s="580"/>
      <c r="DT396" s="577"/>
      <c r="DU396" s="580"/>
      <c r="DV396" s="577"/>
      <c r="DW396" s="580"/>
      <c r="DX396" s="577"/>
      <c r="DY396" s="580"/>
      <c r="DZ396" s="577"/>
      <c r="EA396" s="580"/>
      <c r="EB396" s="577"/>
      <c r="EC396" s="580"/>
      <c r="ED396" s="577"/>
      <c r="EE396" s="580"/>
      <c r="EF396" s="577"/>
      <c r="EG396" s="580"/>
      <c r="EH396" s="577"/>
      <c r="EI396" s="580"/>
      <c r="EJ396" s="577"/>
      <c r="EK396" s="580"/>
      <c r="EL396" s="577"/>
      <c r="EM396" s="577"/>
    </row>
    <row r="397" spans="1:144" ht="12.75" hidden="1" customHeight="1" outlineLevel="1" x14ac:dyDescent="0.2">
      <c r="A397" s="579" t="str">
        <f>INPUT!B129</f>
        <v>Pretax Margin (%)</v>
      </c>
      <c r="B397" s="597">
        <f>INPUT!AY129</f>
        <v>23.792486583184257</v>
      </c>
      <c r="C397" s="577">
        <f>INPUT!AZ129</f>
        <v>8.1846398483250056</v>
      </c>
      <c r="D397" s="597">
        <f>INPUT!BA129</f>
        <v>16.552901023890783</v>
      </c>
      <c r="E397" s="577">
        <f>INPUT!BB129</f>
        <v>-23.773195284939916</v>
      </c>
      <c r="F397" s="597">
        <f>INPUT!BC129</f>
        <v>39.186295503211994</v>
      </c>
      <c r="G397" s="577">
        <f>INPUT!BD129</f>
        <v>96.584582441113497</v>
      </c>
      <c r="H397" s="597">
        <f>INPUT!BE129</f>
        <v>21.818181818181817</v>
      </c>
      <c r="I397" s="577">
        <f>INPUT!BF129</f>
        <v>-10.883482714468641</v>
      </c>
      <c r="J397" s="597">
        <f>INPUT!BG129</f>
        <v>16.006339144215531</v>
      </c>
      <c r="K397" s="577">
        <f>INPUT!BH129</f>
        <v>-32.725236228447514</v>
      </c>
      <c r="L397" s="597">
        <f>INPUT!BI129</f>
        <v>22.416534181240063</v>
      </c>
      <c r="M397" s="577">
        <f>INPUT!BJ129</f>
        <v>35.423598249553379</v>
      </c>
      <c r="N397" s="597">
        <f>INPUT!BK129</f>
        <v>37.351190476190474</v>
      </c>
      <c r="O397" s="577">
        <f>INPUT!BL129</f>
        <v>-4.6830275826177541</v>
      </c>
      <c r="P397" s="597">
        <f>INPUT!BM129</f>
        <v>19.253731343283579</v>
      </c>
      <c r="Q397" s="577">
        <f>INPUT!BN129</f>
        <v>-11.75373134328359</v>
      </c>
      <c r="R397" s="597">
        <f>INPUT!BO129</f>
        <v>14.117647058823529</v>
      </c>
      <c r="S397" s="577">
        <f>INPUT!BP129</f>
        <v>-11.799650553290618</v>
      </c>
      <c r="T397" s="597">
        <f>INPUT!BQ129</f>
        <v>15.236686390532544</v>
      </c>
      <c r="U397" s="577">
        <f>INPUT!BR129</f>
        <v>-32.029250073439925</v>
      </c>
      <c r="V397" s="597">
        <f>INPUT!BS129</f>
        <v>34.897360703812318</v>
      </c>
      <c r="W397" s="577">
        <f>INPUT!BT129</f>
        <v>-6.5696159642953091</v>
      </c>
      <c r="X397" s="597">
        <f>INPUT!BU129</f>
        <v>1.2569832402234637</v>
      </c>
      <c r="Y397" s="577" t="str">
        <f>INPUT!BV129</f>
        <v>NM</v>
      </c>
      <c r="Z397" s="597">
        <f>INPUT!BW129</f>
        <v>5.8823529411764701</v>
      </c>
      <c r="AA397" s="577" t="str">
        <f>INPUT!BX129</f>
        <v>NM</v>
      </c>
      <c r="AB397" s="597">
        <f>INPUT!BY129</f>
        <v>19.630156472261735</v>
      </c>
      <c r="AC397" s="577">
        <f>INPUT!BZ129</f>
        <v>28.834813351931388</v>
      </c>
      <c r="AD397" s="597">
        <f>INPUT!CA129</f>
        <v>37.042682926829265</v>
      </c>
      <c r="AE397" s="577">
        <f>INPUT!CB129</f>
        <v>6.1475199836031891</v>
      </c>
      <c r="AF397" s="597">
        <f>INPUT!CC129</f>
        <v>19.34156378600823</v>
      </c>
      <c r="AG397" s="577" t="str">
        <f>INPUT!CD129</f>
        <v>NM</v>
      </c>
      <c r="AH397" s="597">
        <f>INPUT!CE129</f>
        <v>12.518195050946144</v>
      </c>
      <c r="AI397" s="577" t="str">
        <f>INPUT!CF129</f>
        <v>NM</v>
      </c>
      <c r="AJ397" s="597">
        <f>INPUT!CG129</f>
        <v>14.247669773635153</v>
      </c>
      <c r="AK397" s="577">
        <f>INPUT!CH129</f>
        <v>-27.419479341554251</v>
      </c>
      <c r="AL397" s="597">
        <f>INPUT!CI129</f>
        <v>24.53125</v>
      </c>
      <c r="AM397" s="577">
        <f>INPUT!CJ129</f>
        <v>-33.775720164609041</v>
      </c>
      <c r="AN397" s="597">
        <f>INPUT!CK129</f>
        <v>17.861975642760484</v>
      </c>
      <c r="AO397" s="577">
        <f>INPUT!CL129</f>
        <v>-7.6497855065787661</v>
      </c>
      <c r="AP397" s="597">
        <f>INPUT!CM129</f>
        <v>13.517241379310343</v>
      </c>
      <c r="AQ397" s="577">
        <f>INPUT!CN129</f>
        <v>7.9807538091419161</v>
      </c>
      <c r="AR397" s="597">
        <f>INPUT!CO129</f>
        <v>17.693315858453474</v>
      </c>
      <c r="AS397" s="577">
        <f>INPUT!CP129</f>
        <v>24.183927193444489</v>
      </c>
      <c r="AT397" s="597">
        <f>INPUT!CQ129</f>
        <v>17.262830482115085</v>
      </c>
      <c r="AU397" s="577">
        <f>INPUT!CR129</f>
        <v>-29.629226060167795</v>
      </c>
      <c r="AV397" s="597">
        <f>INPUT!CS129</f>
        <v>17.945383615084527</v>
      </c>
      <c r="AW397" s="577">
        <f>INPUT!CT129</f>
        <v>0.46695826929898487</v>
      </c>
      <c r="AX397" s="597">
        <f>INPUT!CU129</f>
        <v>14.432989690721648</v>
      </c>
      <c r="AY397" s="577">
        <f>INPUT!CV129</f>
        <v>6.7746686303387378</v>
      </c>
      <c r="AZ397" s="597">
        <f>INPUT!CW129</f>
        <v>7.5965130759651309</v>
      </c>
      <c r="BA397" s="577" t="str">
        <f>INPUT!CX129</f>
        <v>NM</v>
      </c>
      <c r="BB397" s="597">
        <f>INPUT!CY129</f>
        <v>11.814345991561181</v>
      </c>
      <c r="BC397" s="577">
        <f>INPUT!CZ129</f>
        <v>-31.561941688523959</v>
      </c>
      <c r="BD397" s="597">
        <f>INPUT!DA129</f>
        <v>11.785714285714285</v>
      </c>
      <c r="BE397" s="577">
        <f>INPUT!DB129</f>
        <v>-34.324534161490689</v>
      </c>
      <c r="BF397" s="597">
        <f>INPUT!DC129</f>
        <v>11.861471861471863</v>
      </c>
      <c r="BG397" s="577">
        <f>INPUT!DD129</f>
        <v>-17.816944959802086</v>
      </c>
      <c r="BH397" s="597">
        <f>INPUT!DE129</f>
        <v>11.633663366336634</v>
      </c>
      <c r="BI397" s="577">
        <f>INPUT!DF129</f>
        <v>53.144781691283896</v>
      </c>
      <c r="BJ397" s="597">
        <f>INPUT!DG129</f>
        <v>14.217098943323728</v>
      </c>
      <c r="BK397" s="577">
        <f>INPUT!DH129</f>
        <v>20.337587484561553</v>
      </c>
      <c r="BL397" s="597">
        <f>INPUT!DI129</f>
        <v>12.953795379537954</v>
      </c>
      <c r="BM397" s="577">
        <f>INPUT!DJ129</f>
        <v>9.9109910991099355</v>
      </c>
      <c r="BN397" s="597">
        <f>INPUT!DK129</f>
        <v>9.6450617283950617</v>
      </c>
      <c r="BO397" s="577">
        <f>INPUT!DL129</f>
        <v>-18.685793457691275</v>
      </c>
      <c r="BP397" s="597">
        <f>INPUT!DM129</f>
        <v>11.987860394537178</v>
      </c>
      <c r="BQ397" s="577">
        <f>INPUT!DN129</f>
        <v>3.0445872211280829</v>
      </c>
      <c r="BR397" s="597">
        <f>INPUT!DO129</f>
        <v>7.5722092115534743</v>
      </c>
      <c r="BS397" s="577">
        <f>INPUT!DP129</f>
        <v>-46.738717640356988</v>
      </c>
      <c r="BT397" s="597">
        <f>INPUT!DQ129</f>
        <v>8.8655146506386178</v>
      </c>
      <c r="BU397" s="577">
        <f>INPUT!DR129</f>
        <v>-31.560485626917171</v>
      </c>
      <c r="BV397" s="597">
        <f>INPUT!DS129</f>
        <v>8.5862324204293117</v>
      </c>
      <c r="BW397" s="577">
        <f>INPUT!DT129</f>
        <v>-10.977942264988897</v>
      </c>
      <c r="BX397" s="597">
        <f>INPUT!DU129</f>
        <v>20.431034482758619</v>
      </c>
      <c r="BY397" s="577">
        <f>INPUT!DV129</f>
        <v>70.431034482758605</v>
      </c>
      <c r="BZ397" s="597">
        <f>INPUT!DW129</f>
        <v>13.309090909090909</v>
      </c>
      <c r="CA397" s="577">
        <f>INPUT!DX129</f>
        <v>75.762324273664461</v>
      </c>
      <c r="CB397" s="597">
        <f>INPUT!DY129</f>
        <v>7.3496659242761693</v>
      </c>
      <c r="CC397" s="577">
        <f>INPUT!DZ129</f>
        <v>-17.098259786342524</v>
      </c>
      <c r="CD397" s="597">
        <f>INPUT!EA129</f>
        <v>8.7847730600292824</v>
      </c>
      <c r="CE397" s="577">
        <f>INPUT!EB129</f>
        <v>2.3123138284444735</v>
      </c>
      <c r="CF397" s="597">
        <f>INPUT!EC129</f>
        <v>-25.108225108225106</v>
      </c>
      <c r="CG397" s="577" t="str">
        <f>INPUT!ED129</f>
        <v>NM</v>
      </c>
      <c r="CH397" s="597">
        <f>INPUT!EE129</f>
        <v>7.8723404255319149</v>
      </c>
      <c r="CI397" s="577">
        <f>INPUT!EF129</f>
        <v>-40.849901174282053</v>
      </c>
      <c r="CJ397" s="597">
        <f>INPUT!EG129</f>
        <v>9.691011235955056</v>
      </c>
      <c r="CK397" s="577">
        <f>INPUT!EH129</f>
        <v>31.85648621041878</v>
      </c>
      <c r="CL397" s="597">
        <f>INPUT!EI129</f>
        <v>8.1660899653979246</v>
      </c>
      <c r="CM397" s="577">
        <f>INPUT!EJ129</f>
        <v>-7.0426758938869511</v>
      </c>
      <c r="CN397" s="597">
        <f>INPUT!EK129</f>
        <v>-85.168195718654431</v>
      </c>
      <c r="CO397" s="577" t="str">
        <f>INPUT!EL129</f>
        <v>NM</v>
      </c>
      <c r="CP397" s="597">
        <f>INPUT!EM129</f>
        <v>10.630758327427356</v>
      </c>
      <c r="CQ397" s="577">
        <f>INPUT!EN129</f>
        <v>35.039362537590733</v>
      </c>
      <c r="CR397" s="597">
        <f>INPUT!EO129</f>
        <v>6.6939890710382519</v>
      </c>
      <c r="CS397" s="577">
        <f>INPUT!EP129</f>
        <v>-30.925793933634267</v>
      </c>
      <c r="CT397" s="597">
        <f>INPUT!EQ129</f>
        <v>6.3635279379290477</v>
      </c>
      <c r="CU397" s="577">
        <f>INPUT!ER129</f>
        <v>-22.073746861801084</v>
      </c>
      <c r="CV397" s="597">
        <f>INPUT!ES129</f>
        <v>8.6206957619480296</v>
      </c>
      <c r="CW397" s="577" t="str">
        <f>INPUT!ET129</f>
        <v>NM</v>
      </c>
      <c r="CX397" s="597">
        <f>INPUT!EU129</f>
        <v>7.7626454376422043</v>
      </c>
      <c r="CY397" s="577">
        <f>INPUT!EV129</f>
        <v>-26.979381916579001</v>
      </c>
      <c r="CZ397" s="597">
        <f>INPUT!EW129</f>
        <v>7.4826702260686311</v>
      </c>
      <c r="DA397" s="577">
        <f>INPUT!EX129</f>
        <v>11.781930724127292</v>
      </c>
      <c r="DB397" s="596"/>
      <c r="DC397" s="597">
        <f>INPUT!FP129</f>
        <v>22.015915119363395</v>
      </c>
      <c r="DD397" s="577">
        <f>INPUT!FQ129</f>
        <v>17.023056519077755</v>
      </c>
      <c r="DE397" s="597">
        <f>INPUT!FR129</f>
        <v>24.582769508344608</v>
      </c>
      <c r="DF397" s="577">
        <f>INPUT!FS129</f>
        <v>11.659085598143577</v>
      </c>
      <c r="DG397" s="597">
        <f>INPUT!FT129</f>
        <v>23.904688700999234</v>
      </c>
      <c r="DH397" s="577">
        <f>INPUT!FU129</f>
        <v>-2.7583580731829187</v>
      </c>
      <c r="DI397" s="597">
        <f>INPUT!FV129</f>
        <v>16.811909949164853</v>
      </c>
      <c r="DJ397" s="577">
        <f>INPUT!FW129</f>
        <v>-29.671077672464719</v>
      </c>
      <c r="DK397" s="586">
        <f>INPUT!FX129</f>
        <v>18.576075171666066</v>
      </c>
      <c r="DL397" s="577">
        <f>INPUT!FY129</f>
        <v>10.493544325633565</v>
      </c>
      <c r="DM397" s="586">
        <f>INPUT!FZ129</f>
        <v>17.110401135960242</v>
      </c>
      <c r="DN397" s="577">
        <f>INPUT!GA129</f>
        <v>-7.8901168420194807</v>
      </c>
      <c r="DO397" s="586">
        <f>INPUT!GB129</f>
        <v>16.620689655172413</v>
      </c>
      <c r="DP397" s="577">
        <f>INPUT!GC129</f>
        <v>-2.8620689655172526</v>
      </c>
      <c r="DQ397" s="586">
        <f>INPUT!GD129</f>
        <v>11.404811404811404</v>
      </c>
      <c r="DR397" s="577">
        <f>INPUT!GE129</f>
        <v>-31.381840095533036</v>
      </c>
      <c r="DS397" s="586">
        <f>INPUT!GF129</f>
        <v>12.619047619047619</v>
      </c>
      <c r="DT397" s="577">
        <f>INPUT!GG129</f>
        <v>10.646701388888886</v>
      </c>
      <c r="DU397" s="586">
        <f>INPUT!GH129</f>
        <v>9.5292766934557971</v>
      </c>
      <c r="DV397" s="577">
        <f>INPUT!GI129</f>
        <v>-24.484977146199341</v>
      </c>
      <c r="DW397" s="586">
        <f>INPUT!GJ129</f>
        <v>12.134530861838332</v>
      </c>
      <c r="DX397" s="577">
        <f>INPUT!GK129</f>
        <v>27.339474465797451</v>
      </c>
      <c r="DY397" s="586">
        <f>INPUT!GL129</f>
        <v>1.4752567693744163</v>
      </c>
      <c r="DZ397" s="577" t="str">
        <f>INPUT!GM129</f>
        <v>NM</v>
      </c>
      <c r="EA397" s="586">
        <f>INPUT!GN129</f>
        <v>-3.8399678327301969</v>
      </c>
      <c r="EB397" s="577" t="str">
        <f>INPUT!GO129</f>
        <v>NM</v>
      </c>
      <c r="EC397" s="586">
        <f>INPUT!GP129</f>
        <v>7.5227567833614204</v>
      </c>
      <c r="ED397" s="577" t="str">
        <f>INPUT!GQ129</f>
        <v>NM</v>
      </c>
      <c r="EE397" s="586">
        <f>INPUT!GR129</f>
        <v>7.1003278997463424</v>
      </c>
      <c r="EF397" s="577">
        <f>INPUT!GS129</f>
        <v>-5.6153468173980059</v>
      </c>
      <c r="EG397" s="586">
        <f>INPUT!GT129</f>
        <v>6.6826263098697378</v>
      </c>
      <c r="EH397" s="577">
        <f>INPUT!GU129</f>
        <v>-5.8828492961786623</v>
      </c>
      <c r="EI397" s="586">
        <f>INPUT!GV129</f>
        <v>6.3704187165912476</v>
      </c>
      <c r="EJ397" s="577">
        <f>INPUT!GW129</f>
        <v>-4.6719295498744771</v>
      </c>
      <c r="EK397" s="586">
        <f>INPUT!GX129</f>
        <v>6.060961793161515</v>
      </c>
      <c r="EL397" s="577">
        <f>INPUT!GY129</f>
        <v>-4.8577171642387782</v>
      </c>
      <c r="EM397" s="577" t="str">
        <f>INPUT!GZ129</f>
        <v>NM</v>
      </c>
    </row>
    <row r="398" spans="1:144" ht="12.75" hidden="1" customHeight="1" outlineLevel="1" x14ac:dyDescent="0.2">
      <c r="A398" s="579"/>
      <c r="B398" s="586"/>
      <c r="C398" s="577"/>
      <c r="D398" s="586"/>
      <c r="E398" s="577"/>
      <c r="F398" s="586"/>
      <c r="G398" s="577"/>
      <c r="H398" s="586"/>
      <c r="I398" s="577"/>
      <c r="J398" s="586"/>
      <c r="K398" s="577"/>
      <c r="L398" s="586"/>
      <c r="M398" s="577"/>
      <c r="N398" s="586"/>
      <c r="O398" s="577"/>
      <c r="P398" s="586"/>
      <c r="Q398" s="577"/>
      <c r="R398" s="586"/>
      <c r="S398" s="577"/>
      <c r="T398" s="586"/>
      <c r="U398" s="577"/>
      <c r="V398" s="586"/>
      <c r="W398" s="577"/>
      <c r="X398" s="586"/>
      <c r="Y398" s="577"/>
      <c r="Z398" s="586"/>
      <c r="AA398" s="577"/>
      <c r="AB398" s="586"/>
      <c r="AC398" s="577"/>
      <c r="AD398" s="586"/>
      <c r="AE398" s="577"/>
      <c r="AF398" s="586"/>
      <c r="AG398" s="577"/>
      <c r="AH398" s="586"/>
      <c r="AI398" s="577"/>
      <c r="AJ398" s="586"/>
      <c r="AK398" s="577"/>
      <c r="AL398" s="586"/>
      <c r="AM398" s="577"/>
      <c r="AN398" s="586"/>
      <c r="AO398" s="577"/>
      <c r="AP398" s="586"/>
      <c r="AQ398" s="577"/>
      <c r="AR398" s="586"/>
      <c r="AS398" s="577"/>
      <c r="AT398" s="586"/>
      <c r="AU398" s="577"/>
      <c r="AV398" s="586"/>
      <c r="AW398" s="577"/>
      <c r="AX398" s="586"/>
      <c r="AY398" s="577"/>
      <c r="AZ398" s="586"/>
      <c r="BA398" s="577"/>
      <c r="BB398" s="586"/>
      <c r="BC398" s="577"/>
      <c r="BD398" s="586"/>
      <c r="BE398" s="577"/>
      <c r="BF398" s="586"/>
      <c r="BG398" s="577"/>
      <c r="BH398" s="586"/>
      <c r="BI398" s="577"/>
      <c r="BJ398" s="586"/>
      <c r="BK398" s="577"/>
      <c r="BL398" s="586"/>
      <c r="BM398" s="577"/>
      <c r="BN398" s="586"/>
      <c r="BO398" s="577"/>
      <c r="BP398" s="586"/>
      <c r="BQ398" s="577"/>
      <c r="BR398" s="586"/>
      <c r="BS398" s="577"/>
      <c r="BT398" s="586"/>
      <c r="BU398" s="577"/>
      <c r="BV398" s="586"/>
      <c r="BW398" s="577"/>
      <c r="BX398" s="586"/>
      <c r="BY398" s="577"/>
      <c r="BZ398" s="586"/>
      <c r="CA398" s="577"/>
      <c r="CB398" s="586"/>
      <c r="CC398" s="577"/>
      <c r="CD398" s="586"/>
      <c r="CE398" s="577"/>
      <c r="CF398" s="586"/>
      <c r="CG398" s="577"/>
      <c r="CH398" s="586"/>
      <c r="CI398" s="577"/>
      <c r="CJ398" s="586"/>
      <c r="CK398" s="577"/>
      <c r="CL398" s="586"/>
      <c r="CM398" s="577"/>
      <c r="CN398" s="586"/>
      <c r="CO398" s="577"/>
      <c r="CP398" s="586"/>
      <c r="CQ398" s="577"/>
      <c r="CR398" s="586"/>
      <c r="CS398" s="577"/>
      <c r="CT398" s="586"/>
      <c r="CU398" s="577"/>
      <c r="CV398" s="586"/>
      <c r="CW398" s="577"/>
      <c r="CX398" s="586"/>
      <c r="CY398" s="577"/>
      <c r="CZ398" s="586"/>
      <c r="DA398" s="577"/>
      <c r="DB398" s="596"/>
      <c r="DC398" s="586"/>
      <c r="DD398" s="577"/>
      <c r="DE398" s="586"/>
      <c r="DF398" s="577"/>
      <c r="DG398" s="586"/>
      <c r="DH398" s="577"/>
      <c r="DI398" s="586"/>
      <c r="DJ398" s="577"/>
      <c r="DK398" s="586"/>
      <c r="DL398" s="577"/>
      <c r="DM398" s="586"/>
      <c r="DN398" s="577"/>
      <c r="DO398" s="586"/>
      <c r="DP398" s="577"/>
      <c r="DQ398" s="586"/>
      <c r="DR398" s="577"/>
      <c r="DS398" s="586"/>
      <c r="DT398" s="577"/>
      <c r="DU398" s="586"/>
      <c r="DV398" s="577"/>
      <c r="DW398" s="586"/>
      <c r="DX398" s="577"/>
      <c r="DY398" s="586"/>
      <c r="DZ398" s="577"/>
      <c r="EA398" s="586"/>
      <c r="EB398" s="577"/>
      <c r="EC398" s="586"/>
      <c r="ED398" s="577"/>
      <c r="EE398" s="586"/>
      <c r="EF398" s="577"/>
      <c r="EG398" s="586"/>
      <c r="EH398" s="577"/>
      <c r="EI398" s="586"/>
      <c r="EJ398" s="577"/>
      <c r="EK398" s="586"/>
      <c r="EL398" s="577"/>
      <c r="EM398" s="577"/>
    </row>
    <row r="399" spans="1:144" ht="12.75" hidden="1" customHeight="1" outlineLevel="1" x14ac:dyDescent="0.2">
      <c r="A399" s="575" t="s">
        <v>498</v>
      </c>
      <c r="B399" s="586"/>
      <c r="C399" s="577"/>
      <c r="D399" s="586"/>
      <c r="E399" s="577"/>
      <c r="F399" s="586"/>
      <c r="G399" s="577"/>
      <c r="H399" s="586"/>
      <c r="I399" s="577"/>
      <c r="J399" s="586"/>
      <c r="K399" s="577"/>
      <c r="L399" s="586"/>
      <c r="M399" s="577"/>
      <c r="N399" s="586"/>
      <c r="O399" s="577"/>
      <c r="P399" s="586"/>
      <c r="Q399" s="577"/>
      <c r="R399" s="586"/>
      <c r="S399" s="577"/>
      <c r="T399" s="586"/>
      <c r="U399" s="577"/>
      <c r="V399" s="586"/>
      <c r="W399" s="577"/>
      <c r="X399" s="586"/>
      <c r="Y399" s="577"/>
      <c r="Z399" s="586"/>
      <c r="AA399" s="577"/>
      <c r="AB399" s="586"/>
      <c r="AC399" s="577"/>
      <c r="AD399" s="586"/>
      <c r="AE399" s="577"/>
      <c r="AF399" s="586"/>
      <c r="AG399" s="577"/>
      <c r="AH399" s="586"/>
      <c r="AI399" s="577"/>
      <c r="AJ399" s="586"/>
      <c r="AK399" s="577"/>
      <c r="AL399" s="586"/>
      <c r="AM399" s="577"/>
      <c r="AN399" s="586"/>
      <c r="AO399" s="577"/>
      <c r="AP399" s="586"/>
      <c r="AQ399" s="577"/>
      <c r="AR399" s="586"/>
      <c r="AS399" s="577"/>
      <c r="AT399" s="586"/>
      <c r="AU399" s="577"/>
      <c r="AV399" s="586"/>
      <c r="AW399" s="577"/>
      <c r="AX399" s="586"/>
      <c r="AY399" s="577"/>
      <c r="AZ399" s="586"/>
      <c r="BA399" s="577"/>
      <c r="BB399" s="586"/>
      <c r="BC399" s="577"/>
      <c r="BD399" s="586"/>
      <c r="BE399" s="577"/>
      <c r="BF399" s="586"/>
      <c r="BG399" s="577"/>
      <c r="BH399" s="586"/>
      <c r="BI399" s="577"/>
      <c r="BJ399" s="586"/>
      <c r="BK399" s="577"/>
      <c r="BL399" s="586"/>
      <c r="BM399" s="577"/>
      <c r="BN399" s="586"/>
      <c r="BO399" s="577"/>
      <c r="BP399" s="586"/>
      <c r="BQ399" s="577"/>
      <c r="BR399" s="586"/>
      <c r="BS399" s="577"/>
      <c r="BT399" s="586"/>
      <c r="BU399" s="577"/>
      <c r="BV399" s="586"/>
      <c r="BW399" s="577"/>
      <c r="BX399" s="586"/>
      <c r="BY399" s="577"/>
      <c r="BZ399" s="586"/>
      <c r="CA399" s="577"/>
      <c r="CB399" s="586"/>
      <c r="CC399" s="577"/>
      <c r="CD399" s="586"/>
      <c r="CE399" s="577"/>
      <c r="CF399" s="586"/>
      <c r="CG399" s="577"/>
      <c r="CH399" s="586"/>
      <c r="CI399" s="577"/>
      <c r="CJ399" s="586"/>
      <c r="CK399" s="577"/>
      <c r="CL399" s="586"/>
      <c r="CM399" s="577"/>
      <c r="CN399" s="586"/>
      <c r="CO399" s="577"/>
      <c r="CP399" s="586"/>
      <c r="CQ399" s="577"/>
      <c r="CR399" s="586"/>
      <c r="CS399" s="577"/>
      <c r="CT399" s="586"/>
      <c r="CU399" s="577"/>
      <c r="CV399" s="586"/>
      <c r="CW399" s="577"/>
      <c r="CX399" s="586"/>
      <c r="CY399" s="577"/>
      <c r="CZ399" s="586"/>
      <c r="DA399" s="577"/>
      <c r="DB399" s="596"/>
      <c r="DC399" s="586"/>
      <c r="DD399" s="577"/>
      <c r="DE399" s="586"/>
      <c r="DF399" s="577"/>
      <c r="DG399" s="586"/>
      <c r="DH399" s="577"/>
      <c r="DI399" s="586"/>
      <c r="DJ399" s="577"/>
      <c r="DK399" s="586"/>
      <c r="DL399" s="577"/>
      <c r="DM399" s="586"/>
      <c r="DN399" s="577"/>
      <c r="DO399" s="586"/>
      <c r="DP399" s="577"/>
      <c r="DQ399" s="586"/>
      <c r="DR399" s="577"/>
      <c r="DS399" s="586"/>
      <c r="DT399" s="577"/>
      <c r="DU399" s="586"/>
      <c r="DV399" s="577"/>
      <c r="DW399" s="586"/>
      <c r="DX399" s="577"/>
      <c r="DY399" s="586"/>
      <c r="DZ399" s="577"/>
      <c r="EA399" s="586"/>
      <c r="EB399" s="577"/>
      <c r="EC399" s="586"/>
      <c r="ED399" s="577"/>
      <c r="EE399" s="586"/>
      <c r="EF399" s="577"/>
      <c r="EG399" s="586"/>
      <c r="EH399" s="577"/>
      <c r="EI399" s="586"/>
      <c r="EJ399" s="577"/>
      <c r="EK399" s="586"/>
      <c r="EL399" s="577"/>
      <c r="EM399" s="577"/>
    </row>
    <row r="400" spans="1:144" ht="12.75" hidden="1" customHeight="1" outlineLevel="1" x14ac:dyDescent="0.2">
      <c r="A400" s="579" t="s">
        <v>68</v>
      </c>
      <c r="B400" s="586">
        <f>INPUT!AY591</f>
        <v>12.225705329153605</v>
      </c>
      <c r="C400" s="577">
        <f>INPUT!AZ591</f>
        <v>3.3751306165099209</v>
      </c>
      <c r="D400" s="586">
        <f>INPUT!BA591</f>
        <v>10.839532412327312</v>
      </c>
      <c r="E400" s="577">
        <f>INPUT!BB591</f>
        <v>-15.178027919069777</v>
      </c>
      <c r="F400" s="586">
        <f>INPUT!BC591</f>
        <v>11.876988335100743</v>
      </c>
      <c r="G400" s="577">
        <f>INPUT!BD591</f>
        <v>-2.7640954995490574</v>
      </c>
      <c r="H400" s="586">
        <f>INPUT!BE591</f>
        <v>13.580246913580247</v>
      </c>
      <c r="I400" s="577">
        <f>INPUT!BF591</f>
        <v>-10.102590853764568</v>
      </c>
      <c r="J400" s="586">
        <f>INPUT!BG591</f>
        <v>9.6227134146341466</v>
      </c>
      <c r="K400" s="577">
        <f>INPUT!BH591</f>
        <v>-21.291138993120697</v>
      </c>
      <c r="L400" s="586">
        <f>INPUT!BI591</f>
        <v>12.864963503649635</v>
      </c>
      <c r="M400" s="577">
        <f>INPUT!BJ591</f>
        <v>18.685594675826536</v>
      </c>
      <c r="N400" s="586">
        <f>INPUT!BK591</f>
        <v>13.435114503816795</v>
      </c>
      <c r="O400" s="577">
        <f>INPUT!BL591</f>
        <v>13.118865866957478</v>
      </c>
      <c r="P400" s="586">
        <f>INPUT!BM591</f>
        <v>11.328790459965928</v>
      </c>
      <c r="Q400" s="577">
        <f>INPUT!BN591</f>
        <v>-16.578906612978159</v>
      </c>
      <c r="R400" s="586">
        <f>INPUT!BO591</f>
        <v>10.191082802547772</v>
      </c>
      <c r="S400" s="577">
        <f>INPUT!BP591</f>
        <v>5.9065396985558607</v>
      </c>
      <c r="T400" s="586">
        <f>INPUT!BQ591</f>
        <v>9.5903165735567963</v>
      </c>
      <c r="U400" s="577">
        <f>INPUT!BR591</f>
        <v>-25.453993158735827</v>
      </c>
      <c r="V400" s="586">
        <f>INPUT!BS591</f>
        <v>11.041666666666666</v>
      </c>
      <c r="W400" s="577">
        <f>INPUT!BT591</f>
        <v>-17.814867424242436</v>
      </c>
      <c r="X400" s="586">
        <f>INPUT!BU591</f>
        <v>1.5652173913043479</v>
      </c>
      <c r="Y400" s="577" t="str">
        <f>INPUT!BV591</f>
        <v>NM</v>
      </c>
      <c r="Z400" s="586">
        <f>INPUT!BW591</f>
        <v>11.745513866231647</v>
      </c>
      <c r="AA400" s="577">
        <f>INPUT!BX591</f>
        <v>15.252854812398027</v>
      </c>
      <c r="AB400" s="586">
        <f>INPUT!BY591</f>
        <v>16.106442577030812</v>
      </c>
      <c r="AC400" s="577">
        <f>INPUT!BZ591</f>
        <v>67.944847842049427</v>
      </c>
      <c r="AD400" s="586">
        <f>INPUT!CA591</f>
        <v>12.81437125748503</v>
      </c>
      <c r="AE400" s="577">
        <f>INPUT!CB591</f>
        <v>16.05468308665688</v>
      </c>
      <c r="AF400" s="586">
        <f>INPUT!CC591</f>
        <v>20.55393586005831</v>
      </c>
      <c r="AG400" s="577" t="str">
        <f>INPUT!CD591</f>
        <v>NM</v>
      </c>
      <c r="AH400" s="586">
        <f>INPUT!CE591</f>
        <v>11.360634081902246</v>
      </c>
      <c r="AI400" s="577">
        <f>INPUT!CF591</f>
        <v>-3.2768237193600385</v>
      </c>
      <c r="AJ400" s="586">
        <f>INPUT!CG591</f>
        <v>16.892725030826142</v>
      </c>
      <c r="AK400" s="577">
        <f>INPUT!CH591</f>
        <v>4.8817884522597126</v>
      </c>
      <c r="AL400" s="586">
        <f>INPUT!CI591</f>
        <v>13.90728476821192</v>
      </c>
      <c r="AM400" s="577">
        <f>INPUT!CJ591</f>
        <v>8.5288110416537677</v>
      </c>
      <c r="AN400" s="586">
        <f>INPUT!CK591</f>
        <v>15.137614678899084</v>
      </c>
      <c r="AO400" s="577">
        <f>INPUT!CL591</f>
        <v>-26.351747023228583</v>
      </c>
      <c r="AP400" s="586">
        <f>INPUT!CM591</f>
        <v>10.319048120459092</v>
      </c>
      <c r="AQ400" s="577">
        <f>INPUT!CN591</f>
        <v>-9.1683787536333483</v>
      </c>
      <c r="AR400" s="586">
        <f>INPUT!CO591</f>
        <v>12.217194570135746</v>
      </c>
      <c r="AS400" s="577">
        <f>INPUT!CP591</f>
        <v>-27.677775208904464</v>
      </c>
      <c r="AT400" s="586">
        <f>INPUT!CQ591</f>
        <v>8.5452695829094605</v>
      </c>
      <c r="AU400" s="577">
        <f>INPUT!CR591</f>
        <v>-38.555442522889116</v>
      </c>
      <c r="AV400" s="586">
        <f>INPUT!CS591</f>
        <v>13.0879345603272</v>
      </c>
      <c r="AW400" s="577">
        <f>INPUT!CT591</f>
        <v>-13.540311086323356</v>
      </c>
      <c r="AX400" s="586">
        <f>INPUT!CU591</f>
        <v>12.068965517241379</v>
      </c>
      <c r="AY400" s="577">
        <f>INPUT!CV591</f>
        <v>16.958128078817737</v>
      </c>
      <c r="AZ400" s="586">
        <f>INPUT!CW591</f>
        <v>5.5353901996370229</v>
      </c>
      <c r="BA400" s="577" t="str">
        <f>INPUT!CX591</f>
        <v>NM</v>
      </c>
      <c r="BB400" s="586">
        <f>INPUT!CY591</f>
        <v>11.710193765796124</v>
      </c>
      <c r="BC400" s="577">
        <f>INPUT!CZ591</f>
        <v>37.037148473542743</v>
      </c>
      <c r="BD400" s="586">
        <f>INPUT!DA591</f>
        <v>10.070671378091872</v>
      </c>
      <c r="BE400" s="577">
        <f>INPUT!DB591</f>
        <v>-23.053776501766805</v>
      </c>
      <c r="BF400" s="586">
        <f>INPUT!DC591</f>
        <v>10.568513119533527</v>
      </c>
      <c r="BG400" s="577">
        <f>INPUT!DD591</f>
        <v>-12.432319866722196</v>
      </c>
      <c r="BH400" s="586">
        <f>INPUT!DE591</f>
        <v>11.086797957695113</v>
      </c>
      <c r="BI400" s="577" t="str">
        <f>INPUT!DF591</f>
        <v>NM</v>
      </c>
      <c r="BJ400" s="586">
        <f>INPUT!DG591</f>
        <v>9.5709570957095718</v>
      </c>
      <c r="BK400" s="577">
        <f>INPUT!DH591</f>
        <v>-18.268157751026891</v>
      </c>
      <c r="BL400" s="586">
        <f>INPUT!DI591</f>
        <v>11.201629327902241</v>
      </c>
      <c r="BM400" s="577">
        <f>INPUT!DJ591</f>
        <v>11.230214027941557</v>
      </c>
      <c r="BN400" s="586">
        <f>INPUT!DK591</f>
        <v>8.2301980198019802</v>
      </c>
      <c r="BO400" s="577">
        <f>INPUT!DL591</f>
        <v>-22.125298736770233</v>
      </c>
      <c r="BP400" s="586">
        <f>INPUT!DM591</f>
        <v>10.152905198776759</v>
      </c>
      <c r="BQ400" s="577">
        <f>INPUT!DN591</f>
        <v>-8.423466924191203</v>
      </c>
      <c r="BR400" s="586">
        <f>INPUT!DO591</f>
        <v>10.519724483406387</v>
      </c>
      <c r="BS400" s="577">
        <f>INPUT!DP591</f>
        <v>9.9129833955908566</v>
      </c>
      <c r="BT400" s="586">
        <f>INPUT!DQ591</f>
        <v>9.0240641711229941</v>
      </c>
      <c r="BU400" s="577">
        <f>INPUT!DR591</f>
        <v>-19.439718035974735</v>
      </c>
      <c r="BV400" s="586">
        <f>INPUT!DS591</f>
        <v>7.5849514563106792</v>
      </c>
      <c r="BW400" s="577">
        <f>INPUT!DT591</f>
        <v>-7.8399883203153564</v>
      </c>
      <c r="BX400" s="586">
        <f>INPUT!DU591</f>
        <v>10.805860805860807</v>
      </c>
      <c r="BY400" s="577">
        <f>INPUT!DV591</f>
        <v>6.4312193830266153</v>
      </c>
      <c r="BZ400" s="586">
        <f>INPUT!DW591</f>
        <v>11.829347123464769</v>
      </c>
      <c r="CA400" s="577">
        <f>INPUT!DX591</f>
        <v>12.449210453412121</v>
      </c>
      <c r="CB400" s="586">
        <f>INPUT!DY591</f>
        <v>9.3369948999607679</v>
      </c>
      <c r="CC400" s="577">
        <f>INPUT!DZ591</f>
        <v>3.4677360766022929</v>
      </c>
      <c r="CD400" s="586">
        <f>INPUT!EA591</f>
        <v>11.595221363316936</v>
      </c>
      <c r="CE400" s="577">
        <f>INPUT!EB591</f>
        <v>52.8713984539705</v>
      </c>
      <c r="CF400" s="586">
        <f>INPUT!EC591</f>
        <v>8.713136729222521</v>
      </c>
      <c r="CG400" s="577">
        <f>INPUT!ED591</f>
        <v>-19.36656518380515</v>
      </c>
      <c r="CH400" s="586">
        <f>INPUT!EE591</f>
        <v>7.6393668272539568</v>
      </c>
      <c r="CI400" s="577">
        <f>INPUT!EF591</f>
        <v>-35.420215946656427</v>
      </c>
      <c r="CJ400" s="586">
        <f>INPUT!EG591</f>
        <v>9.5899930507296745</v>
      </c>
      <c r="CK400" s="577">
        <f>INPUT!EH591</f>
        <v>2.7096314550837803</v>
      </c>
      <c r="CL400" s="586">
        <f>INPUT!EI591</f>
        <v>7.1946832510212788</v>
      </c>
      <c r="CM400" s="577">
        <f>INPUT!EJ591</f>
        <v>-37.951307477555886</v>
      </c>
      <c r="CN400" s="586">
        <f>INPUT!EK591</f>
        <v>5.3452115812917596</v>
      </c>
      <c r="CO400" s="577">
        <f>INPUT!EL591</f>
        <v>-38.653417851636121</v>
      </c>
      <c r="CP400" s="586">
        <f>INPUT!EM591</f>
        <v>8.6405529953917046</v>
      </c>
      <c r="CQ400" s="577">
        <f>INPUT!EN591</f>
        <v>13.105617137875214</v>
      </c>
      <c r="CR400" s="586">
        <f>INPUT!EO591</f>
        <v>6.25</v>
      </c>
      <c r="CS400" s="577">
        <f>INPUT!EP591</f>
        <v>-34.82789855072464</v>
      </c>
      <c r="CT400" s="586">
        <f>INPUT!EQ591</f>
        <v>5.5703564015694402</v>
      </c>
      <c r="CU400" s="577">
        <f>INPUT!ER591</f>
        <v>-22.576766659203045</v>
      </c>
      <c r="CV400" s="586">
        <f>INPUT!ES591</f>
        <v>6.5971073939001048</v>
      </c>
      <c r="CW400" s="577">
        <f>INPUT!ET591</f>
        <v>23.42088416088113</v>
      </c>
      <c r="CX400" s="586">
        <f>INPUT!EU591</f>
        <v>6.6794629694865906</v>
      </c>
      <c r="CY400" s="577">
        <f>INPUT!EV591</f>
        <v>-22.696348566475194</v>
      </c>
      <c r="CZ400" s="586">
        <f>INPUT!EW591</f>
        <v>7.3416845376653734</v>
      </c>
      <c r="DA400" s="577">
        <f>INPUT!EX591</f>
        <v>17.466952602645975</v>
      </c>
      <c r="DB400" s="596"/>
      <c r="DC400" s="586">
        <f>INPUT!FP591</f>
        <v>12.996177594825051</v>
      </c>
      <c r="DD400" s="577">
        <f>INPUT!FQ591</f>
        <v>-6.9239270397144992</v>
      </c>
      <c r="DE400" s="586">
        <f>INPUT!FR591</f>
        <v>12.20026350461133</v>
      </c>
      <c r="DF400" s="577">
        <f>INPUT!FS591</f>
        <v>-6.1242167891784334</v>
      </c>
      <c r="DG400" s="586">
        <f>INPUT!FT591</f>
        <v>11.966294574990226</v>
      </c>
      <c r="DH400" s="577">
        <f>INPUT!FU591</f>
        <v>-1.9177366909548397</v>
      </c>
      <c r="DI400" s="586">
        <f>INPUT!FV591</f>
        <v>10.190886699507388</v>
      </c>
      <c r="DJ400" s="577">
        <f>INPUT!FW591</f>
        <v>-14.836738844733716</v>
      </c>
      <c r="DK400" s="586">
        <f>INPUT!FX591</f>
        <v>15.146771037181997</v>
      </c>
      <c r="DL400" s="577">
        <f>INPUT!FY591</f>
        <v>48.630550842196783</v>
      </c>
      <c r="DM400" s="586">
        <f>INPUT!FZ591</f>
        <v>14.397496087636933</v>
      </c>
      <c r="DN400" s="577">
        <f>INPUT!GA591</f>
        <v>-4.9467635557820131</v>
      </c>
      <c r="DO400" s="586">
        <f>INPUT!GB591</f>
        <v>11.081505092511891</v>
      </c>
      <c r="DP400" s="577">
        <f>INPUT!GC591</f>
        <v>-23.031720063966318</v>
      </c>
      <c r="DQ400" s="586">
        <f>INPUT!GD591</f>
        <v>9.7953552540813984</v>
      </c>
      <c r="DR400" s="577">
        <f>INPUT!GE591</f>
        <v>-11.606273946483896</v>
      </c>
      <c r="DS400" s="586">
        <f>INPUT!GF591</f>
        <v>10.591519804571629</v>
      </c>
      <c r="DT400" s="577">
        <f>INPUT!GG591</f>
        <v>8.127980352305201</v>
      </c>
      <c r="DU400" s="586">
        <f>INPUT!GH591</f>
        <v>9.4892812105926865</v>
      </c>
      <c r="DV400" s="577">
        <f>INPUT!GI591</f>
        <v>-10.406802935903329</v>
      </c>
      <c r="DW400" s="586">
        <f>INPUT!GJ591</f>
        <v>9.8894801473598033</v>
      </c>
      <c r="DX400" s="577">
        <f>INPUT!GK591</f>
        <v>4.2173788286554696</v>
      </c>
      <c r="DY400" s="586">
        <f>INPUT!GL591</f>
        <v>9.3680041329429997</v>
      </c>
      <c r="DZ400" s="577">
        <f>INPUT!GM591</f>
        <v>-5.2730376788917681</v>
      </c>
      <c r="EA400" s="586">
        <f>INPUT!GN591</f>
        <v>6.8544977077491422</v>
      </c>
      <c r="EB400" s="577">
        <f>INPUT!GO591</f>
        <v>-26.830757005699866</v>
      </c>
      <c r="EC400" s="586">
        <f>INPUT!GP591</f>
        <v>6.5259783341113948</v>
      </c>
      <c r="ED400" s="577">
        <f>INPUT!GQ591</f>
        <v>-4.7927563425449762</v>
      </c>
      <c r="EE400" s="586">
        <f>INPUT!GR591</f>
        <v>6.392309154840917</v>
      </c>
      <c r="EF400" s="577">
        <f>INPUT!GS591</f>
        <v>-2.0482626883970312</v>
      </c>
      <c r="EG400" s="586">
        <f>INPUT!GT591</f>
        <v>6.2551139490842438</v>
      </c>
      <c r="EH400" s="577">
        <f>INPUT!GU591</f>
        <v>-2.1462542319746092</v>
      </c>
      <c r="EI400" s="586">
        <f>INPUT!GV591</f>
        <v>6.1936547973355935</v>
      </c>
      <c r="EJ400" s="577">
        <f>INPUT!GW591</f>
        <v>-0.98254248042351833</v>
      </c>
      <c r="EK400" s="586">
        <f>INPUT!GX591</f>
        <v>6.1311303582491892</v>
      </c>
      <c r="EL400" s="577">
        <f>INPUT!GY591</f>
        <v>-1.0094918288520205</v>
      </c>
      <c r="EM400" s="577">
        <f>INPUT!GZ591</f>
        <v>-2.205825988327903</v>
      </c>
    </row>
    <row r="401" spans="1:144" ht="12.75" hidden="1" customHeight="1" outlineLevel="1" x14ac:dyDescent="0.2">
      <c r="A401" s="579"/>
      <c r="B401" s="586"/>
      <c r="C401" s="577"/>
      <c r="D401" s="586"/>
      <c r="E401" s="577"/>
      <c r="F401" s="586"/>
      <c r="G401" s="577"/>
      <c r="H401" s="586"/>
      <c r="I401" s="577"/>
      <c r="J401" s="586"/>
      <c r="K401" s="577"/>
      <c r="L401" s="586"/>
      <c r="M401" s="577"/>
      <c r="N401" s="586"/>
      <c r="O401" s="577"/>
      <c r="P401" s="586"/>
      <c r="Q401" s="577"/>
      <c r="R401" s="586"/>
      <c r="S401" s="577"/>
      <c r="T401" s="586"/>
      <c r="U401" s="577"/>
      <c r="V401" s="586"/>
      <c r="W401" s="577"/>
      <c r="X401" s="586"/>
      <c r="Y401" s="577"/>
      <c r="Z401" s="586"/>
      <c r="AA401" s="577"/>
      <c r="AB401" s="586"/>
      <c r="AC401" s="577"/>
      <c r="AD401" s="586"/>
      <c r="AE401" s="577"/>
      <c r="AF401" s="586"/>
      <c r="AG401" s="577"/>
      <c r="AH401" s="586"/>
      <c r="AI401" s="577"/>
      <c r="AJ401" s="586"/>
      <c r="AK401" s="577"/>
      <c r="AL401" s="586"/>
      <c r="AM401" s="577"/>
      <c r="AN401" s="586"/>
      <c r="AO401" s="577"/>
      <c r="AP401" s="586"/>
      <c r="AQ401" s="577"/>
      <c r="AR401" s="586"/>
      <c r="AS401" s="577"/>
      <c r="AT401" s="586"/>
      <c r="AU401" s="577"/>
      <c r="AV401" s="586"/>
      <c r="AW401" s="577"/>
      <c r="AX401" s="586"/>
      <c r="AY401" s="577"/>
      <c r="AZ401" s="586"/>
      <c r="BA401" s="577"/>
      <c r="BB401" s="586"/>
      <c r="BC401" s="577"/>
      <c r="BD401" s="586"/>
      <c r="BE401" s="577"/>
      <c r="BF401" s="586"/>
      <c r="BG401" s="577"/>
      <c r="BH401" s="586"/>
      <c r="BI401" s="577"/>
      <c r="BJ401" s="586"/>
      <c r="BK401" s="577"/>
      <c r="BL401" s="586"/>
      <c r="BM401" s="577"/>
      <c r="BN401" s="586"/>
      <c r="BO401" s="577"/>
      <c r="BP401" s="586"/>
      <c r="BQ401" s="577"/>
      <c r="BR401" s="586"/>
      <c r="BS401" s="577"/>
      <c r="BT401" s="586"/>
      <c r="BU401" s="577"/>
      <c r="BV401" s="586"/>
      <c r="BW401" s="577"/>
      <c r="BX401" s="586"/>
      <c r="BY401" s="577"/>
      <c r="BZ401" s="586"/>
      <c r="CA401" s="577"/>
      <c r="CB401" s="586"/>
      <c r="CC401" s="577"/>
      <c r="CD401" s="586"/>
      <c r="CE401" s="577"/>
      <c r="CF401" s="586"/>
      <c r="CG401" s="577"/>
      <c r="CH401" s="586"/>
      <c r="CI401" s="577"/>
      <c r="CJ401" s="586"/>
      <c r="CK401" s="577"/>
      <c r="CL401" s="586"/>
      <c r="CM401" s="577"/>
      <c r="CN401" s="586"/>
      <c r="CO401" s="577"/>
      <c r="CP401" s="586"/>
      <c r="CQ401" s="577"/>
      <c r="CR401" s="586"/>
      <c r="CS401" s="577"/>
      <c r="CT401" s="586"/>
      <c r="CU401" s="577"/>
      <c r="CV401" s="586"/>
      <c r="CW401" s="577"/>
      <c r="CX401" s="586"/>
      <c r="CY401" s="577"/>
      <c r="CZ401" s="586"/>
      <c r="DA401" s="577"/>
      <c r="DB401" s="596"/>
      <c r="DC401" s="586"/>
      <c r="DD401" s="577"/>
      <c r="DE401" s="586"/>
      <c r="DF401" s="577"/>
      <c r="DG401" s="586"/>
      <c r="DH401" s="577"/>
      <c r="DI401" s="586"/>
      <c r="DJ401" s="577"/>
      <c r="DK401" s="586"/>
      <c r="DL401" s="577"/>
      <c r="DM401" s="586"/>
      <c r="DN401" s="577"/>
      <c r="DO401" s="586"/>
      <c r="DP401" s="577"/>
      <c r="DQ401" s="586"/>
      <c r="DR401" s="577"/>
      <c r="DS401" s="586"/>
      <c r="DT401" s="577"/>
      <c r="DU401" s="586"/>
      <c r="DV401" s="577"/>
      <c r="DW401" s="586"/>
      <c r="DX401" s="577"/>
      <c r="DY401" s="586"/>
      <c r="DZ401" s="577"/>
      <c r="EA401" s="586"/>
      <c r="EB401" s="577"/>
      <c r="EC401" s="586"/>
      <c r="ED401" s="577"/>
      <c r="EE401" s="586"/>
      <c r="EF401" s="577"/>
      <c r="EG401" s="586"/>
      <c r="EH401" s="577"/>
      <c r="EI401" s="586"/>
      <c r="EJ401" s="577"/>
      <c r="EK401" s="586"/>
      <c r="EL401" s="577"/>
      <c r="EM401" s="577"/>
    </row>
    <row r="402" spans="1:144" ht="12.75" hidden="1" customHeight="1" outlineLevel="1" x14ac:dyDescent="0.2">
      <c r="A402" s="575" t="s">
        <v>312</v>
      </c>
      <c r="B402" s="586"/>
      <c r="C402" s="577"/>
      <c r="D402" s="586"/>
      <c r="E402" s="577"/>
      <c r="F402" s="586"/>
      <c r="G402" s="577"/>
      <c r="H402" s="586"/>
      <c r="I402" s="577"/>
      <c r="J402" s="586"/>
      <c r="K402" s="577"/>
      <c r="L402" s="586"/>
      <c r="M402" s="577"/>
      <c r="N402" s="586"/>
      <c r="O402" s="577"/>
      <c r="P402" s="586"/>
      <c r="Q402" s="577"/>
      <c r="R402" s="586"/>
      <c r="S402" s="577"/>
      <c r="T402" s="586"/>
      <c r="U402" s="577"/>
      <c r="V402" s="586"/>
      <c r="W402" s="577"/>
      <c r="X402" s="586"/>
      <c r="Y402" s="577"/>
      <c r="Z402" s="586"/>
      <c r="AA402" s="577"/>
      <c r="AB402" s="586"/>
      <c r="AC402" s="577"/>
      <c r="AD402" s="586"/>
      <c r="AE402" s="577"/>
      <c r="AF402" s="586"/>
      <c r="AG402" s="577"/>
      <c r="AH402" s="586"/>
      <c r="AI402" s="577"/>
      <c r="AJ402" s="586"/>
      <c r="AK402" s="577"/>
      <c r="AL402" s="586"/>
      <c r="AM402" s="577"/>
      <c r="AN402" s="586"/>
      <c r="AO402" s="577"/>
      <c r="AP402" s="586"/>
      <c r="AQ402" s="577"/>
      <c r="AR402" s="586"/>
      <c r="AS402" s="577"/>
      <c r="AT402" s="586"/>
      <c r="AU402" s="577"/>
      <c r="AV402" s="586"/>
      <c r="AW402" s="577"/>
      <c r="AX402" s="586"/>
      <c r="AY402" s="577"/>
      <c r="AZ402" s="586"/>
      <c r="BA402" s="577"/>
      <c r="BB402" s="586"/>
      <c r="BC402" s="577"/>
      <c r="BD402" s="586"/>
      <c r="BE402" s="577"/>
      <c r="BF402" s="586"/>
      <c r="BG402" s="577"/>
      <c r="BH402" s="586"/>
      <c r="BI402" s="577"/>
      <c r="BJ402" s="586"/>
      <c r="BK402" s="577"/>
      <c r="BL402" s="586"/>
      <c r="BM402" s="577"/>
      <c r="BN402" s="586"/>
      <c r="BO402" s="577"/>
      <c r="BP402" s="586"/>
      <c r="BQ402" s="577"/>
      <c r="BR402" s="586"/>
      <c r="BS402" s="577"/>
      <c r="BT402" s="586"/>
      <c r="BU402" s="577"/>
      <c r="BV402" s="586"/>
      <c r="BW402" s="577"/>
      <c r="BX402" s="586"/>
      <c r="BY402" s="577"/>
      <c r="BZ402" s="586"/>
      <c r="CA402" s="577"/>
      <c r="CB402" s="586"/>
      <c r="CC402" s="577"/>
      <c r="CD402" s="586"/>
      <c r="CE402" s="577"/>
      <c r="CF402" s="586"/>
      <c r="CG402" s="577"/>
      <c r="CH402" s="586"/>
      <c r="CI402" s="577"/>
      <c r="CJ402" s="586"/>
      <c r="CK402" s="577"/>
      <c r="CL402" s="586"/>
      <c r="CM402" s="577"/>
      <c r="CN402" s="586"/>
      <c r="CO402" s="577"/>
      <c r="CP402" s="586"/>
      <c r="CQ402" s="577"/>
      <c r="CR402" s="586"/>
      <c r="CS402" s="577"/>
      <c r="CT402" s="586"/>
      <c r="CU402" s="577"/>
      <c r="CV402" s="586"/>
      <c r="CW402" s="577"/>
      <c r="CX402" s="586"/>
      <c r="CY402" s="577"/>
      <c r="CZ402" s="586"/>
      <c r="DA402" s="577"/>
      <c r="DB402" s="596"/>
      <c r="DC402" s="586"/>
      <c r="DD402" s="577"/>
      <c r="DE402" s="586"/>
      <c r="DF402" s="577"/>
      <c r="DG402" s="586"/>
      <c r="DH402" s="577"/>
      <c r="DI402" s="586"/>
      <c r="DJ402" s="577"/>
      <c r="DK402" s="586"/>
      <c r="DL402" s="577"/>
      <c r="DM402" s="586"/>
      <c r="DN402" s="577"/>
      <c r="DO402" s="586"/>
      <c r="DP402" s="577"/>
      <c r="DQ402" s="586"/>
      <c r="DR402" s="577"/>
      <c r="DS402" s="586"/>
      <c r="DT402" s="577"/>
      <c r="DU402" s="586"/>
      <c r="DV402" s="577"/>
      <c r="DW402" s="586"/>
      <c r="DX402" s="577"/>
      <c r="DY402" s="586"/>
      <c r="DZ402" s="577"/>
      <c r="EA402" s="586"/>
      <c r="EB402" s="577"/>
      <c r="EC402" s="586"/>
      <c r="ED402" s="577"/>
      <c r="EE402" s="586"/>
      <c r="EF402" s="577"/>
      <c r="EG402" s="586"/>
      <c r="EH402" s="577"/>
      <c r="EI402" s="586"/>
      <c r="EJ402" s="577"/>
      <c r="EK402" s="586"/>
      <c r="EL402" s="577"/>
      <c r="EM402" s="577"/>
    </row>
    <row r="403" spans="1:144" ht="12.75" hidden="1" customHeight="1" outlineLevel="1" x14ac:dyDescent="0.2">
      <c r="A403" s="579" t="str">
        <f>INPUT!B122</f>
        <v>Benefits/Fees (%)</v>
      </c>
      <c r="B403" s="586">
        <f>INPUT!AY122</f>
        <v>43.989071038251367</v>
      </c>
      <c r="C403" s="577">
        <f>INPUT!AZ122</f>
        <v>-4.7353246840323067</v>
      </c>
      <c r="D403" s="586">
        <f>INPUT!BA122</f>
        <v>53.351206434316353</v>
      </c>
      <c r="E403" s="577">
        <f>INPUT!BB122</f>
        <v>17.372654155495979</v>
      </c>
      <c r="F403" s="586">
        <f>INPUT!BC122</f>
        <v>132.74336283185841</v>
      </c>
      <c r="G403" s="577" t="str">
        <f>INPUT!BD122</f>
        <v>NM</v>
      </c>
      <c r="H403" s="586">
        <f>INPUT!BE122</f>
        <v>52.864583333333336</v>
      </c>
      <c r="I403" s="577">
        <f>INPUT!BF122</f>
        <v>16.604166666666686</v>
      </c>
      <c r="J403" s="586">
        <f>INPUT!BG122</f>
        <v>59.2964824120603</v>
      </c>
      <c r="K403" s="577">
        <f>INPUT!BH122</f>
        <v>34.79821467586379</v>
      </c>
      <c r="L403" s="586">
        <f>INPUT!BI122</f>
        <v>52.051282051282058</v>
      </c>
      <c r="M403" s="577">
        <f>INPUT!BJ122</f>
        <v>-2.4365416827728126</v>
      </c>
      <c r="N403" s="586">
        <f>INPUT!BK122</f>
        <v>69.972451790633599</v>
      </c>
      <c r="O403" s="577">
        <f>INPUT!BL122</f>
        <v>-47.28741965105602</v>
      </c>
      <c r="P403" s="586">
        <f>INPUT!BM122</f>
        <v>50</v>
      </c>
      <c r="Q403" s="577">
        <f>INPUT!BN122</f>
        <v>-5.4187192118226619</v>
      </c>
      <c r="R403" s="586">
        <f>INPUT!BO122</f>
        <v>55.196304849884527</v>
      </c>
      <c r="S403" s="577">
        <f>INPUT!BP122</f>
        <v>-6.9147062277371134</v>
      </c>
      <c r="T403" s="586">
        <f>INPUT!BQ122</f>
        <v>59.14489311163895</v>
      </c>
      <c r="U403" s="577">
        <f>INPUT!BR122</f>
        <v>13.628119771129008</v>
      </c>
      <c r="V403" s="586">
        <f>INPUT!BS122</f>
        <v>63.186813186813183</v>
      </c>
      <c r="W403" s="577">
        <f>INPUT!BT122</f>
        <v>-9.6975858786882299</v>
      </c>
      <c r="X403" s="586">
        <f>INPUT!BU122</f>
        <v>53.579175704989154</v>
      </c>
      <c r="Y403" s="577">
        <f>INPUT!BV122</f>
        <v>7.1583514099783088</v>
      </c>
      <c r="Z403" s="586">
        <f>INPUT!BW122</f>
        <v>62.385321100917437</v>
      </c>
      <c r="AA403" s="577">
        <f>INPUT!BX122</f>
        <v>13.024452036390173</v>
      </c>
      <c r="AB403" s="586">
        <f>INPUT!BY122</f>
        <v>55.803571428571431</v>
      </c>
      <c r="AC403" s="577">
        <f>INPUT!BZ122</f>
        <v>-5.6493832472747982</v>
      </c>
      <c r="AD403" s="586">
        <f>INPUT!CA122</f>
        <v>74.930362116991645</v>
      </c>
      <c r="AE403" s="577">
        <f>INPUT!CB122</f>
        <v>18.585442654717227</v>
      </c>
      <c r="AF403" s="586">
        <f>INPUT!CC122</f>
        <v>53.63247863247863</v>
      </c>
      <c r="AG403" s="577">
        <f>INPUT!CD122</f>
        <v>9.9484411225290614E-2</v>
      </c>
      <c r="AH403" s="586">
        <f>INPUT!CE122</f>
        <v>72.705882352941174</v>
      </c>
      <c r="AI403" s="577">
        <f>INPUT!CF122</f>
        <v>16.543252595155707</v>
      </c>
      <c r="AJ403" s="586">
        <f>INPUT!CG122</f>
        <v>57.324840764331206</v>
      </c>
      <c r="AK403" s="577">
        <f>INPUT!CH122</f>
        <v>2.7261146496815059</v>
      </c>
      <c r="AL403" s="586">
        <f>INPUT!CI122</f>
        <v>75.931232091690546</v>
      </c>
      <c r="AM403" s="577">
        <f>INPUT!CJ122</f>
        <v>1.335733535007094</v>
      </c>
      <c r="AN403" s="586">
        <f>INPUT!CK122</f>
        <v>61.883408071748882</v>
      </c>
      <c r="AO403" s="577">
        <f>INPUT!CL122</f>
        <v>15.384203097922239</v>
      </c>
      <c r="AP403" s="586">
        <f>INPUT!CM122</f>
        <v>68.11926605504587</v>
      </c>
      <c r="AQ403" s="577">
        <f>INPUT!CN122</f>
        <v>-6.308452836911016</v>
      </c>
      <c r="AR403" s="586">
        <f>INPUT!CO122</f>
        <v>58.643326039387311</v>
      </c>
      <c r="AS403" s="577">
        <f>INPUT!CP122</f>
        <v>2.3000243131534432</v>
      </c>
      <c r="AT403" s="586">
        <f>INPUT!CQ122</f>
        <v>89.644970414201183</v>
      </c>
      <c r="AU403" s="577">
        <f>INPUT!CR122</f>
        <v>18.060734620966841</v>
      </c>
      <c r="AV403" s="586">
        <f>INPUT!CS122</f>
        <v>63.157894736842103</v>
      </c>
      <c r="AW403" s="577">
        <f>INPUT!CT122</f>
        <v>2.059496567505704</v>
      </c>
      <c r="AX403" s="586">
        <f>INPUT!CU122</f>
        <v>66.818181818181827</v>
      </c>
      <c r="AY403" s="577">
        <f>INPUT!CV122</f>
        <v>-1.9100091827364452</v>
      </c>
      <c r="AZ403" s="586">
        <f>INPUT!CW122</f>
        <v>76.419213973799131</v>
      </c>
      <c r="BA403" s="577">
        <f>INPUT!CX122</f>
        <v>30.31186860457538</v>
      </c>
      <c r="BB403" s="586">
        <f>INPUT!CY122</f>
        <v>50.592216582064296</v>
      </c>
      <c r="BC403" s="577">
        <f>INPUT!CZ122</f>
        <v>-43.563798004165896</v>
      </c>
      <c r="BD403" s="586">
        <f>INPUT!DA122</f>
        <v>61.190965092402458</v>
      </c>
      <c r="BE403" s="577">
        <f>INPUT!DB122</f>
        <v>-3.1143052703627774</v>
      </c>
      <c r="BF403" s="586">
        <f>INPUT!DC122</f>
        <v>66.101694915254242</v>
      </c>
      <c r="BG403" s="577">
        <f>INPUT!DD122</f>
        <v>-1.0722933241093102</v>
      </c>
      <c r="BH403" s="586">
        <f>INPUT!DE122</f>
        <v>64.099037138927102</v>
      </c>
      <c r="BI403" s="577">
        <f>INPUT!DF122</f>
        <v>-16.121831401061115</v>
      </c>
      <c r="BJ403" s="586">
        <f>INPUT!DG122</f>
        <v>85.139860139860133</v>
      </c>
      <c r="BK403" s="577">
        <f>INPUT!DH122</f>
        <v>68.286479406880716</v>
      </c>
      <c r="BL403" s="586">
        <f>INPUT!DI122</f>
        <v>67.842031029619179</v>
      </c>
      <c r="BM403" s="577">
        <f>INPUT!DJ122</f>
        <v>10.869359434310553</v>
      </c>
      <c r="BN403" s="586">
        <f>INPUT!DK122</f>
        <v>72.58278145695364</v>
      </c>
      <c r="BO403" s="577">
        <f>INPUT!DL122</f>
        <v>9.804720665647821</v>
      </c>
      <c r="BP403" s="586">
        <f>INPUT!DM122</f>
        <v>68.692206076618234</v>
      </c>
      <c r="BQ403" s="577">
        <f>INPUT!DN122</f>
        <v>7.1657378062262893</v>
      </c>
      <c r="BR403" s="586">
        <f>INPUT!DO122</f>
        <v>76.966292134831463</v>
      </c>
      <c r="BS403" s="577">
        <f>INPUT!DP122</f>
        <v>-9.6001661167893246</v>
      </c>
      <c r="BT403" s="586">
        <f>INPUT!DQ122</f>
        <v>68.318122555410682</v>
      </c>
      <c r="BU403" s="577">
        <f>INPUT!DR122</f>
        <v>0.70176484778829717</v>
      </c>
      <c r="BV403" s="586">
        <f>INPUT!DS122</f>
        <v>77.358490566037744</v>
      </c>
      <c r="BW403" s="577">
        <f>INPUT!DT122</f>
        <v>6.5796722214571162</v>
      </c>
      <c r="BX403" s="586">
        <f>INPUT!DU122</f>
        <v>91.68081494057725</v>
      </c>
      <c r="BY403" s="577">
        <f>INPUT!DV122</f>
        <v>33.466109442340354</v>
      </c>
      <c r="BZ403" s="586">
        <f>INPUT!DW122</f>
        <v>65.872020075282308</v>
      </c>
      <c r="CA403" s="577">
        <f>INPUT!DX122</f>
        <v>-14.414455668611311</v>
      </c>
      <c r="CB403" s="586">
        <f>INPUT!DY122</f>
        <v>77.763328998699606</v>
      </c>
      <c r="CC403" s="577">
        <f>INPUT!DZ122</f>
        <v>13.825330805348486</v>
      </c>
      <c r="CD403" s="586">
        <f>INPUT!EA122</f>
        <v>78.717948717948715</v>
      </c>
      <c r="CE403" s="577">
        <f>INPUT!EB122</f>
        <v>1.7573483427141667</v>
      </c>
      <c r="CF403" s="586">
        <f>INPUT!EC122</f>
        <v>174.12844036697248</v>
      </c>
      <c r="CG403" s="577">
        <f>INPUT!ED122</f>
        <v>89.928984029901471</v>
      </c>
      <c r="CH403" s="586">
        <f>INPUT!EE122</f>
        <v>80.285343709468222</v>
      </c>
      <c r="CI403" s="577">
        <f>INPUT!EF122</f>
        <v>21.880797974183182</v>
      </c>
      <c r="CJ403" s="586">
        <f>INPUT!EG122</f>
        <v>76.91326530612244</v>
      </c>
      <c r="CK403" s="577">
        <f>INPUT!EH122</f>
        <v>-1.0931421063408777</v>
      </c>
      <c r="CL403" s="586">
        <f>INPUT!EI122</f>
        <v>81.368821292775664</v>
      </c>
      <c r="CM403" s="577">
        <f>INPUT!EJ122</f>
        <v>3.3675579940798457</v>
      </c>
      <c r="CN403" s="586">
        <f>INPUT!EK122</f>
        <v>-2890</v>
      </c>
      <c r="CO403" s="577" t="str">
        <f>INPUT!EL122</f>
        <v>NM</v>
      </c>
      <c r="CP403" s="586">
        <f>INPUT!EM122</f>
        <v>74.797843665768198</v>
      </c>
      <c r="CQ403" s="577">
        <f>INPUT!EN122</f>
        <v>-6.8349960156586747</v>
      </c>
      <c r="CR403" s="586">
        <f>INPUT!EO122</f>
        <v>83.762886597938149</v>
      </c>
      <c r="CS403" s="577">
        <f>INPUT!EP122</f>
        <v>8.9056436032894055</v>
      </c>
      <c r="CT403" s="586">
        <f>INPUT!EQ122</f>
        <v>82</v>
      </c>
      <c r="CU403" s="577">
        <f>INPUT!ER122</f>
        <v>0.77570093457943301</v>
      </c>
      <c r="CV403" s="586">
        <f>INPUT!ES122</f>
        <v>81</v>
      </c>
      <c r="CW403" s="577" t="str">
        <f>INPUT!ET122</f>
        <v>NM</v>
      </c>
      <c r="CX403" s="586">
        <f>INPUT!EU122</f>
        <v>80</v>
      </c>
      <c r="CY403" s="577">
        <f>INPUT!EV122</f>
        <v>6.9549549549549567</v>
      </c>
      <c r="CZ403" s="586">
        <f>INPUT!EW122</f>
        <v>79</v>
      </c>
      <c r="DA403" s="577">
        <f>INPUT!EX122</f>
        <v>-5.6861538461538572</v>
      </c>
      <c r="DB403" s="596"/>
      <c r="DC403" s="586">
        <f>INPUT!FP122</f>
        <v>42.462987886944816</v>
      </c>
      <c r="DD403" s="577">
        <f>INPUT!FQ122</f>
        <v>-5.1032405350871954</v>
      </c>
      <c r="DE403" s="586">
        <f>INPUT!FR122</f>
        <v>63.973313565604151</v>
      </c>
      <c r="DF403" s="577">
        <f>INPUT!FS122</f>
        <v>50.656646526921975</v>
      </c>
      <c r="DG403" s="586">
        <f>INPUT!FT122</f>
        <v>57.469802924348379</v>
      </c>
      <c r="DH403" s="577">
        <f>INPUT!FU122</f>
        <v>-10.165974339575939</v>
      </c>
      <c r="DI403" s="586">
        <f>INPUT!FV122</f>
        <v>57.474687313877304</v>
      </c>
      <c r="DJ403" s="577">
        <f>INPUT!FW122</f>
        <v>8.4990539037619328E-3</v>
      </c>
      <c r="DK403" s="586">
        <f>INPUT!FX122</f>
        <v>60.935672514619888</v>
      </c>
      <c r="DL403" s="577">
        <f>INPUT!FY122</f>
        <v>6.0217555979759538</v>
      </c>
      <c r="DM403" s="586">
        <f>INPUT!FZ122</f>
        <v>66.232998225901824</v>
      </c>
      <c r="DN403" s="577">
        <f>INPUT!GA122</f>
        <v>8.6933080290711189</v>
      </c>
      <c r="DO403" s="586">
        <f>INPUT!GB122</f>
        <v>68.585131894484405</v>
      </c>
      <c r="DP403" s="577">
        <f>INPUT!GC122</f>
        <v>3.5513018156902945</v>
      </c>
      <c r="DQ403" s="586">
        <f>INPUT!GD122</f>
        <v>62.803643724696357</v>
      </c>
      <c r="DR403" s="577">
        <f>INPUT!GE122</f>
        <v>-8.4296523314741734</v>
      </c>
      <c r="DS403" s="586">
        <f>INPUT!GF122</f>
        <v>70.029455081001473</v>
      </c>
      <c r="DT403" s="577">
        <f>INPUT!GG122</f>
        <v>11.505401482722718</v>
      </c>
      <c r="DU403" s="586">
        <f>INPUT!GH122</f>
        <v>71.547977265128708</v>
      </c>
      <c r="DV403" s="577">
        <f>INPUT!GI122</f>
        <v>2.1684049695528813</v>
      </c>
      <c r="DW403" s="586">
        <f>INPUT!GJ122</f>
        <v>77.220338983050851</v>
      </c>
      <c r="DX403" s="577">
        <f>INPUT!GK122</f>
        <v>7.9280532235070638</v>
      </c>
      <c r="DY403" s="586">
        <f>INPUT!GL122</f>
        <v>96.701388888888886</v>
      </c>
      <c r="DZ403" s="577">
        <f>INPUT!GM122</f>
        <v>25.227874109842929</v>
      </c>
      <c r="EA403" s="586">
        <f>INPUT!GN122</f>
        <v>92.99085764040052</v>
      </c>
      <c r="EB403" s="577">
        <f>INPUT!GO122</f>
        <v>-3.8371023323685733</v>
      </c>
      <c r="EC403" s="586">
        <f>INPUT!GP122</f>
        <v>80.483150128492071</v>
      </c>
      <c r="ED403" s="577">
        <f>INPUT!GQ122</f>
        <v>-13.450470109950246</v>
      </c>
      <c r="EE403" s="586">
        <f>INPUT!GR122</f>
        <v>80.483150128492071</v>
      </c>
      <c r="EF403" s="577">
        <f>INPUT!GS122</f>
        <v>0</v>
      </c>
      <c r="EG403" s="586">
        <f>INPUT!GT122</f>
        <v>80.483150128492071</v>
      </c>
      <c r="EH403" s="577">
        <f>INPUT!GU122</f>
        <v>0</v>
      </c>
      <c r="EI403" s="586">
        <f>INPUT!GV122</f>
        <v>80.483150128492071</v>
      </c>
      <c r="EJ403" s="577">
        <f>INPUT!GW122</f>
        <v>0</v>
      </c>
      <c r="EK403" s="586">
        <f>INPUT!GX122</f>
        <v>80.483150128492071</v>
      </c>
      <c r="EL403" s="577">
        <f>INPUT!GY122</f>
        <v>0</v>
      </c>
      <c r="EM403" s="577">
        <f>INPUT!GZ122</f>
        <v>-2.8477322052559151</v>
      </c>
    </row>
    <row r="404" spans="1:144" ht="12.75" hidden="1" customHeight="1" outlineLevel="1" x14ac:dyDescent="0.2">
      <c r="A404" s="579" t="str">
        <f>INPUT!B124</f>
        <v>Interest Credited/Net investment income (%)</v>
      </c>
      <c r="B404" s="586">
        <f>INPUT!AY124</f>
        <v>38.095238095238095</v>
      </c>
      <c r="C404" s="577">
        <f>INPUT!AZ124</f>
        <v>13.378684807256235</v>
      </c>
      <c r="D404" s="586">
        <f>INPUT!BA124</f>
        <v>36.764705882352942</v>
      </c>
      <c r="E404" s="577">
        <f>INPUT!BB124</f>
        <v>-0.56818181818182723</v>
      </c>
      <c r="F404" s="586">
        <f>INPUT!BC124</f>
        <v>37.226277372262771</v>
      </c>
      <c r="G404" s="577">
        <f>INPUT!BD124</f>
        <v>9.0816499745374131</v>
      </c>
      <c r="H404" s="586">
        <f>INPUT!BE124</f>
        <v>36.241610738255034</v>
      </c>
      <c r="I404" s="577">
        <f>INPUT!BF124</f>
        <v>-1.8456375838926249</v>
      </c>
      <c r="J404" s="586">
        <f>INPUT!BG124</f>
        <v>34.838709677419352</v>
      </c>
      <c r="K404" s="577">
        <f>INPUT!BH124</f>
        <v>-8.5483870967742064</v>
      </c>
      <c r="L404" s="586">
        <f>INPUT!BI124</f>
        <v>33.540372670807457</v>
      </c>
      <c r="M404" s="577">
        <f>INPUT!BJ124</f>
        <v>-8.7701863354037215</v>
      </c>
      <c r="N404" s="586">
        <f>INPUT!BK124</f>
        <v>32.727272727272727</v>
      </c>
      <c r="O404" s="577">
        <f>INPUT!BL124</f>
        <v>-12.085561497326196</v>
      </c>
      <c r="P404" s="586">
        <f>INPUT!BM124</f>
        <v>32</v>
      </c>
      <c r="Q404" s="577">
        <f>INPUT!BN124</f>
        <v>-11.703703703703709</v>
      </c>
      <c r="R404" s="586">
        <f>INPUT!BO124</f>
        <v>30.555555555555557</v>
      </c>
      <c r="S404" s="577">
        <f>INPUT!BP124</f>
        <v>-12.29423868312756</v>
      </c>
      <c r="T404" s="586">
        <f>INPUT!BQ124</f>
        <v>31.318681318681318</v>
      </c>
      <c r="U404" s="577">
        <f>INPUT!BR124</f>
        <v>-6.6239316239316395</v>
      </c>
      <c r="V404" s="586">
        <f>INPUT!BS124</f>
        <v>30.890052356020941</v>
      </c>
      <c r="W404" s="577">
        <f>INPUT!BT124</f>
        <v>-5.613728912158237</v>
      </c>
      <c r="X404" s="586">
        <f>INPUT!BU124</f>
        <v>30.612244897959183</v>
      </c>
      <c r="Y404" s="577">
        <f>INPUT!BV124</f>
        <v>-4.3367346938775597</v>
      </c>
      <c r="Z404" s="586">
        <f>INPUT!BW124</f>
        <v>31.472081218274113</v>
      </c>
      <c r="AA404" s="577">
        <f>INPUT!BX124</f>
        <v>2.9995385325334496</v>
      </c>
      <c r="AB404" s="586">
        <f>INPUT!BY124</f>
        <v>32.5</v>
      </c>
      <c r="AC404" s="577">
        <f>INPUT!BZ124</f>
        <v>3.771929824561397</v>
      </c>
      <c r="AD404" s="586">
        <f>INPUT!CA124</f>
        <v>33.170731707317074</v>
      </c>
      <c r="AE404" s="577">
        <f>INPUT!CB124</f>
        <v>7.3832162050434107</v>
      </c>
      <c r="AF404" s="586">
        <f>INPUT!CC124</f>
        <v>32.850241545893724</v>
      </c>
      <c r="AG404" s="577">
        <f>INPUT!CD124</f>
        <v>7.3107890499195065</v>
      </c>
      <c r="AH404" s="586">
        <f>INPUT!CE124</f>
        <v>32.394366197183103</v>
      </c>
      <c r="AI404" s="577">
        <f>INPUT!CF124</f>
        <v>2.9304861426624456</v>
      </c>
      <c r="AJ404" s="586">
        <f>INPUT!CG124</f>
        <v>31.390134529147986</v>
      </c>
      <c r="AK404" s="577">
        <f>INPUT!CH124</f>
        <v>-3.4149706795446662</v>
      </c>
      <c r="AL404" s="586">
        <f>INPUT!CI124</f>
        <v>31.739130434782609</v>
      </c>
      <c r="AM404" s="577">
        <f>INPUT!CJ124</f>
        <v>-4.3158567774936074</v>
      </c>
      <c r="AN404" s="586">
        <f>INPUT!CK124</f>
        <v>30.37974683544304</v>
      </c>
      <c r="AO404" s="577">
        <f>INPUT!CL124</f>
        <v>-7.5204765450484103</v>
      </c>
      <c r="AP404" s="586">
        <f>INPUT!CM124</f>
        <v>30.084745762711862</v>
      </c>
      <c r="AQ404" s="577">
        <f>INPUT!CN124</f>
        <v>-7.1296978629329573</v>
      </c>
      <c r="AR404" s="586">
        <f>INPUT!CO124</f>
        <v>30.204081632653061</v>
      </c>
      <c r="AS404" s="577">
        <f>INPUT!CP124</f>
        <v>-3.7784256559766902</v>
      </c>
      <c r="AT404" s="586">
        <f>INPUT!CQ124</f>
        <v>31.048387096774192</v>
      </c>
      <c r="AU404" s="577">
        <f>INPUT!CR124</f>
        <v>-2.1763146266018651</v>
      </c>
      <c r="AV404" s="586">
        <f>INPUT!CS124</f>
        <v>30.923694779116467</v>
      </c>
      <c r="AW404" s="577">
        <f>INPUT!CT124</f>
        <v>1.7904953145916949</v>
      </c>
      <c r="AX404" s="586">
        <f>INPUT!CU124</f>
        <v>30.314960629921263</v>
      </c>
      <c r="AY404" s="577">
        <f>INPUT!CV124</f>
        <v>0.76522124875238262</v>
      </c>
      <c r="AZ404" s="586">
        <f>INPUT!CW124</f>
        <v>31.640625</v>
      </c>
      <c r="BA404" s="577">
        <f>INPUT!CX124</f>
        <v>4.756123310810807</v>
      </c>
      <c r="BB404" s="586">
        <f>INPUT!CY124</f>
        <v>31.800766283524908</v>
      </c>
      <c r="BC404" s="577">
        <f>INPUT!CZ124</f>
        <v>2.4232472508334695</v>
      </c>
      <c r="BD404" s="586">
        <f>INPUT!DA124</f>
        <v>33.587786259541986</v>
      </c>
      <c r="BE404" s="577">
        <f>INPUT!DB124</f>
        <v>8.6150490730643412</v>
      </c>
      <c r="BF404" s="586">
        <f>INPUT!DC124</f>
        <v>41.212121212121211</v>
      </c>
      <c r="BG404" s="577">
        <f>INPUT!DD124</f>
        <v>35.946477764659562</v>
      </c>
      <c r="BH404" s="586">
        <f>INPUT!DE124</f>
        <v>40.960451977401128</v>
      </c>
      <c r="BI404" s="577">
        <f>INPUT!DF124</f>
        <v>29.455255632280114</v>
      </c>
      <c r="BJ404" s="586">
        <f>INPUT!DG124</f>
        <v>42.209631728045323</v>
      </c>
      <c r="BK404" s="577">
        <f>INPUT!DH124</f>
        <v>32.73149254240758</v>
      </c>
      <c r="BL404" s="586">
        <f>INPUT!DI124</f>
        <v>39.566395663956641</v>
      </c>
      <c r="BM404" s="577">
        <f>INPUT!DJ124</f>
        <v>17.799950726779997</v>
      </c>
      <c r="BN404" s="586">
        <f>INPUT!DK124</f>
        <v>37.343358395989974</v>
      </c>
      <c r="BO404" s="577">
        <f>INPUT!DL124</f>
        <v>-9.387439186200794</v>
      </c>
      <c r="BP404" s="586">
        <f>INPUT!DM124</f>
        <v>38.22784810126582</v>
      </c>
      <c r="BQ404" s="577">
        <f>INPUT!DN124</f>
        <v>-6.6713225665648253</v>
      </c>
      <c r="BR404" s="586">
        <f>INPUT!DO124</f>
        <v>36.626506024096386</v>
      </c>
      <c r="BS404" s="577">
        <f>INPUT!DP124</f>
        <v>-13.227136734858888</v>
      </c>
      <c r="BT404" s="586">
        <f>INPUT!DQ124</f>
        <v>37.469586374695865</v>
      </c>
      <c r="BU404" s="577">
        <f>INPUT!DR124</f>
        <v>-5.2994700529947067</v>
      </c>
      <c r="BV404" s="586">
        <f>INPUT!DS124</f>
        <v>38.461538461538467</v>
      </c>
      <c r="BW404" s="577">
        <f>INPUT!DT124</f>
        <v>2.9943211151264961</v>
      </c>
      <c r="BX404" s="586">
        <f>INPUT!DU124</f>
        <v>39.119804400977998</v>
      </c>
      <c r="BY404" s="577">
        <f>INPUT!DV124</f>
        <v>2.3332631681212632</v>
      </c>
      <c r="BZ404" s="586">
        <f>INPUT!DW124</f>
        <v>37.844036697247709</v>
      </c>
      <c r="CA404" s="577">
        <f>INPUT!DX124</f>
        <v>3.3241791405118448</v>
      </c>
      <c r="CB404" s="586">
        <f>INPUT!DY124</f>
        <v>38.954869358669839</v>
      </c>
      <c r="CC404" s="577">
        <f>INPUT!DZ124</f>
        <v>3.9639695221643194</v>
      </c>
      <c r="CD404" s="586">
        <f>INPUT!EA124</f>
        <v>37.61467889908257</v>
      </c>
      <c r="CE404" s="577">
        <f>INPUT!EB124</f>
        <v>-2.2018348623853257</v>
      </c>
      <c r="CF404" s="586">
        <f>INPUT!EC124</f>
        <v>37.977528089887642</v>
      </c>
      <c r="CG404" s="577">
        <f>INPUT!ED124</f>
        <v>-2.9199438202247308</v>
      </c>
      <c r="CH404" s="586">
        <f>INPUT!EE124</f>
        <v>36.460554371002132</v>
      </c>
      <c r="CI404" s="577">
        <f>INPUT!EF124</f>
        <v>-3.6557472378367919</v>
      </c>
      <c r="CJ404" s="586">
        <f>INPUT!EG124</f>
        <v>37.288135593220339</v>
      </c>
      <c r="CK404" s="577">
        <f>INPUT!EH124</f>
        <v>-4.278627532038044</v>
      </c>
      <c r="CL404" s="586">
        <f>INPUT!EI124</f>
        <v>36.514522821576762</v>
      </c>
      <c r="CM404" s="577">
        <f>INPUT!EJ124</f>
        <v>-2.9248051816617817</v>
      </c>
      <c r="CN404" s="586">
        <f>INPUT!EK124</f>
        <v>36.853002070393373</v>
      </c>
      <c r="CO404" s="577">
        <f>INPUT!EL124</f>
        <v>-2.9610300513310648</v>
      </c>
      <c r="CP404" s="586">
        <f>INPUT!EM124</f>
        <v>37.603305785123972</v>
      </c>
      <c r="CQ404" s="577">
        <f>INPUT!EN124</f>
        <v>3.1342129428253855</v>
      </c>
      <c r="CR404" s="586">
        <f>INPUT!EO124</f>
        <v>36.673346693386769</v>
      </c>
      <c r="CS404" s="577">
        <f>INPUT!EP124</f>
        <v>-1.6487520495536643</v>
      </c>
      <c r="CT404" s="586">
        <f>INPUT!EQ124</f>
        <v>37</v>
      </c>
      <c r="CU404" s="577">
        <f>INPUT!ER124</f>
        <v>1.3295454545454675</v>
      </c>
      <c r="CV404" s="586">
        <f>INPUT!ES124</f>
        <v>37</v>
      </c>
      <c r="CW404" s="577">
        <f>INPUT!ET124</f>
        <v>0.39887640449438777</v>
      </c>
      <c r="CX404" s="586">
        <f>INPUT!EU124</f>
        <v>37</v>
      </c>
      <c r="CY404" s="577">
        <f>INPUT!EV124</f>
        <v>-1.60439560439562</v>
      </c>
      <c r="CZ404" s="586">
        <f>INPUT!EW124</f>
        <v>37</v>
      </c>
      <c r="DA404" s="577">
        <f>INPUT!EX124</f>
        <v>0.8907103825136744</v>
      </c>
      <c r="DB404" s="596"/>
      <c r="DC404" s="586">
        <f>INPUT!FP124</f>
        <v>35.4</v>
      </c>
      <c r="DD404" s="577">
        <f>INPUT!FQ124</f>
        <v>-9.6763636363636323</v>
      </c>
      <c r="DE404" s="586">
        <f>INPUT!FR124</f>
        <v>37.043795620437962</v>
      </c>
      <c r="DF404" s="577">
        <f>INPUT!FS124</f>
        <v>4.6434904532145964</v>
      </c>
      <c r="DG404" s="586">
        <f>INPUT!FT124</f>
        <v>33.231707317073173</v>
      </c>
      <c r="DH404" s="577">
        <f>INPUT!FU124</f>
        <v>-10.290760543073418</v>
      </c>
      <c r="DI404" s="586">
        <f>INPUT!FV124</f>
        <v>30.841121495327101</v>
      </c>
      <c r="DJ404" s="577">
        <f>INPUT!FW124</f>
        <v>-7.1936894452542361</v>
      </c>
      <c r="DK404" s="586">
        <f>INPUT!FX124</f>
        <v>32.509270704573545</v>
      </c>
      <c r="DL404" s="577">
        <f>INPUT!FY124</f>
        <v>5.408847436041512</v>
      </c>
      <c r="DM404" s="586">
        <f>INPUT!FZ124</f>
        <v>31.450719822812843</v>
      </c>
      <c r="DN404" s="577">
        <f>INPUT!GA124</f>
        <v>-3.256150811195468</v>
      </c>
      <c r="DO404" s="586">
        <f>INPUT!GB124</f>
        <v>30.572597137014313</v>
      </c>
      <c r="DP404" s="577">
        <f>INPUT!GC124</f>
        <v>-2.7920591030847675</v>
      </c>
      <c r="DQ404" s="586">
        <f>INPUT!GD124</f>
        <v>31.848983543078411</v>
      </c>
      <c r="DR404" s="577">
        <f>INPUT!GE124</f>
        <v>4.1749361375608345</v>
      </c>
      <c r="DS404" s="586">
        <f>INPUT!GF124</f>
        <v>40.96728307254623</v>
      </c>
      <c r="DT404" s="577">
        <f>INPUT!GG124</f>
        <v>28.629797610760647</v>
      </c>
      <c r="DU404" s="586">
        <f>INPUT!GH124</f>
        <v>37.407407407407405</v>
      </c>
      <c r="DV404" s="577">
        <f>INPUT!GI124</f>
        <v>-8.6895576131687307</v>
      </c>
      <c r="DW404" s="586">
        <f>INPUT!GJ124</f>
        <v>38.585979628520072</v>
      </c>
      <c r="DX404" s="577">
        <f>INPUT!GK124</f>
        <v>3.1506386108952427</v>
      </c>
      <c r="DY404" s="586">
        <f>INPUT!GL124</f>
        <v>37.321624588364429</v>
      </c>
      <c r="DZ404" s="577">
        <f>INPUT!GM124</f>
        <v>-3.2767213695959185</v>
      </c>
      <c r="EA404" s="586">
        <f>INPUT!GN124</f>
        <v>36.909650924024639</v>
      </c>
      <c r="EB404" s="577">
        <f>INPUT!GO124</f>
        <v>-1.1038470829810194</v>
      </c>
      <c r="EC404" s="586">
        <f>INPUT!GP124</f>
        <v>36.999999999999993</v>
      </c>
      <c r="ED404" s="577">
        <f>INPUT!GQ124</f>
        <v>0.24478442280944535</v>
      </c>
      <c r="EE404" s="586">
        <f>INPUT!GR124</f>
        <v>37.499999999999993</v>
      </c>
      <c r="EF404" s="577">
        <f>INPUT!GS124</f>
        <v>1.3513513513513544</v>
      </c>
      <c r="EG404" s="586">
        <f>INPUT!GT124</f>
        <v>37.999999999999993</v>
      </c>
      <c r="EH404" s="577">
        <f>INPUT!GU124</f>
        <v>1.3333333333333428</v>
      </c>
      <c r="EI404" s="586">
        <f>INPUT!GV124</f>
        <v>38.199999999999996</v>
      </c>
      <c r="EJ404" s="577">
        <f>INPUT!GW124</f>
        <v>0.52631578947368496</v>
      </c>
      <c r="EK404" s="586">
        <f>INPUT!GX124</f>
        <v>38.4</v>
      </c>
      <c r="EL404" s="577">
        <f>INPUT!GY124</f>
        <v>0.52356020942410453</v>
      </c>
      <c r="EM404" s="577">
        <f>INPUT!GZ124</f>
        <v>0.79483013769867661</v>
      </c>
    </row>
    <row r="405" spans="1:144" ht="12.75" hidden="1" customHeight="1" outlineLevel="1" x14ac:dyDescent="0.2">
      <c r="A405" s="579" t="str">
        <f>INPUT!B125</f>
        <v>Operating Expenses/Total Revenues (%)</v>
      </c>
      <c r="B405" s="586">
        <f>INPUT!AY125</f>
        <v>36.851520572450809</v>
      </c>
      <c r="C405" s="577">
        <f>INPUT!AZ125</f>
        <v>-0.48218809876229329</v>
      </c>
      <c r="D405" s="586">
        <f>INPUT!BA125</f>
        <v>36.518771331058019</v>
      </c>
      <c r="E405" s="577">
        <f>INPUT!BB125</f>
        <v>-8.6196954821013918</v>
      </c>
      <c r="F405" s="586">
        <f>INPUT!BC125</f>
        <v>47.965738758029978</v>
      </c>
      <c r="G405" s="577">
        <f>INPUT!BD125</f>
        <v>34.304068522483931</v>
      </c>
      <c r="H405" s="586">
        <f>INPUT!BE125</f>
        <v>37.851239669421489</v>
      </c>
      <c r="I405" s="577">
        <f>INPUT!BF125</f>
        <v>7.6162696483552281</v>
      </c>
      <c r="J405" s="586">
        <f>INPUT!BG125</f>
        <v>35.974643423137877</v>
      </c>
      <c r="K405" s="577">
        <f>INPUT!BH125</f>
        <v>-2.3794870216792674</v>
      </c>
      <c r="L405" s="586">
        <f>INPUT!BI125</f>
        <v>38.950715421303656</v>
      </c>
      <c r="M405" s="577">
        <f>INPUT!BJ125</f>
        <v>6.6594356863735698</v>
      </c>
      <c r="N405" s="586">
        <f>INPUT!BK125</f>
        <v>37.946428571428569</v>
      </c>
      <c r="O405" s="577">
        <f>INPUT!BL125</f>
        <v>-20.888472576530617</v>
      </c>
      <c r="P405" s="586">
        <f>INPUT!BM125</f>
        <v>37.910447761194028</v>
      </c>
      <c r="Q405" s="577">
        <f>INPUT!BN125</f>
        <v>0.15642312455190677</v>
      </c>
      <c r="R405" s="586">
        <f>INPUT!BO125</f>
        <v>34.558823529411761</v>
      </c>
      <c r="S405" s="577">
        <f>INPUT!BP125</f>
        <v>-3.9356050790360371</v>
      </c>
      <c r="T405" s="586">
        <f>INPUT!BQ125</f>
        <v>36.68639053254438</v>
      </c>
      <c r="U405" s="577">
        <f>INPUT!BR125</f>
        <v>-5.8133075715493305</v>
      </c>
      <c r="V405" s="586">
        <f>INPUT!BS125</f>
        <v>37.390029325513197</v>
      </c>
      <c r="W405" s="577">
        <f>INPUT!BT125</f>
        <v>-1.4662756598240492</v>
      </c>
      <c r="X405" s="586">
        <f>INPUT!BU125</f>
        <v>32.541899441340782</v>
      </c>
      <c r="Y405" s="577">
        <f>INPUT!BV125</f>
        <v>-14.161131394888486</v>
      </c>
      <c r="Z405" s="586">
        <f>INPUT!BW125</f>
        <v>35.588235294117645</v>
      </c>
      <c r="AA405" s="577">
        <f>INPUT!BX125</f>
        <v>2.9787234042553337</v>
      </c>
      <c r="AB405" s="586">
        <f>INPUT!BY125</f>
        <v>37.268847795163587</v>
      </c>
      <c r="AC405" s="577">
        <f>INPUT!BZ125</f>
        <v>1.5876657642362346</v>
      </c>
      <c r="AD405" s="586">
        <f>INPUT!CA125</f>
        <v>39.634146341463413</v>
      </c>
      <c r="AE405" s="577">
        <f>INPUT!CB125</f>
        <v>6.0019129603060719</v>
      </c>
      <c r="AF405" s="586">
        <f>INPUT!CC125</f>
        <v>35.802469135802468</v>
      </c>
      <c r="AG405" s="577">
        <f>INPUT!CD125</f>
        <v>10.019604726328609</v>
      </c>
      <c r="AH405" s="586">
        <f>INPUT!CE125</f>
        <v>34.206695778748184</v>
      </c>
      <c r="AI405" s="577">
        <f>INPUT!CF125</f>
        <v>-3.8820118613687242</v>
      </c>
      <c r="AJ405" s="586">
        <f>INPUT!CG125</f>
        <v>31.025299600532623</v>
      </c>
      <c r="AK405" s="577">
        <f>INPUT!CH125</f>
        <v>-16.752726644372402</v>
      </c>
      <c r="AL405" s="586">
        <f>INPUT!CI125</f>
        <v>35.78125</v>
      </c>
      <c r="AM405" s="577">
        <f>INPUT!CJ125</f>
        <v>-9.7211538461538396</v>
      </c>
      <c r="AN405" s="586">
        <f>INPUT!CK125</f>
        <v>31.123139377537214</v>
      </c>
      <c r="AO405" s="577">
        <f>INPUT!CL125</f>
        <v>-13.069852083430533</v>
      </c>
      <c r="AP405" s="586">
        <f>INPUT!CM125</f>
        <v>30.206896551724139</v>
      </c>
      <c r="AQ405" s="577">
        <f>INPUT!CN125</f>
        <v>-11.693030080704332</v>
      </c>
      <c r="AR405" s="586">
        <f>INPUT!CO125</f>
        <v>31.323722149410223</v>
      </c>
      <c r="AS405" s="577">
        <f>INPUT!CP125</f>
        <v>0.96186838715483702</v>
      </c>
      <c r="AT405" s="586">
        <f>INPUT!CQ125</f>
        <v>37.636080870917574</v>
      </c>
      <c r="AU405" s="577">
        <f>INPUT!CR125</f>
        <v>5.1838068008176634</v>
      </c>
      <c r="AV405" s="586">
        <f>INPUT!CS125</f>
        <v>31.599479843953187</v>
      </c>
      <c r="AW405" s="577">
        <f>INPUT!CT125</f>
        <v>1.5305026290495931</v>
      </c>
      <c r="AX405" s="586">
        <f>INPUT!CU125</f>
        <v>32.087628865979383</v>
      </c>
      <c r="AY405" s="577">
        <f>INPUT!CV125</f>
        <v>6.2261686202513857</v>
      </c>
      <c r="AZ405" s="586">
        <f>INPUT!CW125</f>
        <v>32.004981320049815</v>
      </c>
      <c r="BA405" s="577">
        <f>INPUT!CX125</f>
        <v>2.1748985238410512</v>
      </c>
      <c r="BB405" s="586">
        <f>INPUT!CY125</f>
        <v>28.270042194092827</v>
      </c>
      <c r="BC405" s="577">
        <f>INPUT!CZ125</f>
        <v>-24.885796980158318</v>
      </c>
      <c r="BD405" s="586">
        <f>INPUT!DA125</f>
        <v>40.476190476190474</v>
      </c>
      <c r="BE405" s="577">
        <f>INPUT!DB125</f>
        <v>28.091318832059557</v>
      </c>
      <c r="BF405" s="586">
        <f>INPUT!DC125</f>
        <v>40.606060606060609</v>
      </c>
      <c r="BG405" s="577">
        <f>INPUT!DD125</f>
        <v>26.547401728124626</v>
      </c>
      <c r="BH405" s="586">
        <f>INPUT!DE125</f>
        <v>37.458745874587457</v>
      </c>
      <c r="BI405" s="577">
        <f>INPUT!DF125</f>
        <v>17.040361623710993</v>
      </c>
      <c r="BJ405" s="586">
        <f>INPUT!DG125</f>
        <v>41.786743515850148</v>
      </c>
      <c r="BK405" s="577">
        <f>INPUT!DH125</f>
        <v>47.812809153081872</v>
      </c>
      <c r="BL405" s="586">
        <f>INPUT!DI125</f>
        <v>36.716171617161713</v>
      </c>
      <c r="BM405" s="577">
        <f>INPUT!DJ125</f>
        <v>-9.2894583576004663</v>
      </c>
      <c r="BN405" s="586">
        <f>INPUT!DK125</f>
        <v>30.787037037037035</v>
      </c>
      <c r="BO405" s="577">
        <f>INPUT!DL125</f>
        <v>-24.181177446102836</v>
      </c>
      <c r="BP405" s="586">
        <f>INPUT!DM125</f>
        <v>29.893778452200305</v>
      </c>
      <c r="BQ405" s="577">
        <f>INPUT!DN125</f>
        <v>-20.195463691482885</v>
      </c>
      <c r="BR405" s="586">
        <f>INPUT!DO125</f>
        <v>34.03590944574551</v>
      </c>
      <c r="BS405" s="577">
        <f>INPUT!DP125</f>
        <v>-18.548547740181448</v>
      </c>
      <c r="BT405" s="586">
        <f>INPUT!DQ125</f>
        <v>31.705484598046578</v>
      </c>
      <c r="BU405" s="577">
        <f>INPUT!DR125</f>
        <v>-13.647084645320334</v>
      </c>
      <c r="BV405" s="586">
        <f>INPUT!DS125</f>
        <v>28.423390081421168</v>
      </c>
      <c r="BW405" s="577">
        <f>INPUT!DT125</f>
        <v>-7.6774096603462851</v>
      </c>
      <c r="BX405" s="586">
        <f>INPUT!DU125</f>
        <v>31.206896551724139</v>
      </c>
      <c r="BY405" s="577">
        <f>INPUT!DV125</f>
        <v>4.3926133380010555</v>
      </c>
      <c r="BZ405" s="586">
        <f>INPUT!DW125</f>
        <v>31.345454545454544</v>
      </c>
      <c r="CA405" s="577">
        <f>INPUT!DX125</f>
        <v>-7.9047539616346967</v>
      </c>
      <c r="CB405" s="586">
        <f>INPUT!DY125</f>
        <v>34.595397178916109</v>
      </c>
      <c r="CC405" s="577">
        <f>INPUT!DZ125</f>
        <v>9.1148664576714395</v>
      </c>
      <c r="CD405" s="586">
        <f>INPUT!EA125</f>
        <v>30.161054172767205</v>
      </c>
      <c r="CE405" s="577">
        <f>INPUT!EB125</f>
        <v>6.1135004880429591</v>
      </c>
      <c r="CF405" s="586">
        <f>INPUT!EC125</f>
        <v>40.432900432900432</v>
      </c>
      <c r="CG405" s="577">
        <f>INPUT!ED125</f>
        <v>29.563990337470983</v>
      </c>
      <c r="CH405" s="586">
        <f>INPUT!EE125</f>
        <v>31.914893617021278</v>
      </c>
      <c r="CI405" s="577">
        <f>INPUT!EF125</f>
        <v>1.8166559707755425</v>
      </c>
      <c r="CJ405" s="586">
        <f>INPUT!EG125</f>
        <v>34.41011235955056</v>
      </c>
      <c r="CK405" s="577">
        <f>INPUT!EH125</f>
        <v>-0.53557650576264848</v>
      </c>
      <c r="CL405" s="586">
        <f>INPUT!EI125</f>
        <v>32.179930795847753</v>
      </c>
      <c r="CM405" s="577">
        <f>INPUT!EJ125</f>
        <v>6.6936540464272554</v>
      </c>
      <c r="CN405" s="586">
        <f>INPUT!EK125</f>
        <v>74.923547400611625</v>
      </c>
      <c r="CO405" s="577">
        <f>INPUT!EL125</f>
        <v>85.303420230634742</v>
      </c>
      <c r="CP405" s="586">
        <f>INPUT!EM125</f>
        <v>31.963146704464918</v>
      </c>
      <c r="CQ405" s="577">
        <f>INPUT!EN125</f>
        <v>0.1511930073233998</v>
      </c>
      <c r="CR405" s="586">
        <f>INPUT!EO125</f>
        <v>31.693989071038253</v>
      </c>
      <c r="CS405" s="577">
        <f>INPUT!EP125</f>
        <v>-7.8933868629418811</v>
      </c>
      <c r="CT405" s="586">
        <f>INPUT!EQ125</f>
        <v>32.5</v>
      </c>
      <c r="CU405" s="577">
        <f>INPUT!ER125</f>
        <v>0.99462365591395496</v>
      </c>
      <c r="CV405" s="586">
        <f>INPUT!ES125</f>
        <v>32.5</v>
      </c>
      <c r="CW405" s="577" t="str">
        <f>INPUT!ET125</f>
        <v>NM</v>
      </c>
      <c r="CX405" s="586">
        <f>INPUT!EU125</f>
        <v>32.5</v>
      </c>
      <c r="CY405" s="577">
        <f>INPUT!EV125</f>
        <v>1.6796008869179673</v>
      </c>
      <c r="CZ405" s="586">
        <f>INPUT!EW125</f>
        <v>33</v>
      </c>
      <c r="DA405" s="577">
        <f>INPUT!EX125</f>
        <v>4.1206896551723986</v>
      </c>
      <c r="DB405" s="596"/>
      <c r="DC405" s="586">
        <f>INPUT!FP125</f>
        <v>36.914235190097259</v>
      </c>
      <c r="DD405" s="577">
        <f>INPUT!FQ125</f>
        <v>-17.805360312490194</v>
      </c>
      <c r="DE405" s="586">
        <f>INPUT!FR125</f>
        <v>39.377537212449255</v>
      </c>
      <c r="DF405" s="577">
        <f>INPUT!FS125</f>
        <v>6.6730409276170235</v>
      </c>
      <c r="DG405" s="586">
        <f>INPUT!FT125</f>
        <v>37.701767870868565</v>
      </c>
      <c r="DH405" s="577">
        <f>INPUT!FU125</f>
        <v>-4.2556479155605729</v>
      </c>
      <c r="DI405" s="586">
        <f>INPUT!FV125</f>
        <v>35.257806826434276</v>
      </c>
      <c r="DJ405" s="577">
        <f>INPUT!FW125</f>
        <v>-6.4823513125566024</v>
      </c>
      <c r="DK405" s="586">
        <f>INPUT!FX125</f>
        <v>37.043729671123963</v>
      </c>
      <c r="DL405" s="577">
        <f>INPUT!FY125</f>
        <v>5.0653259673279223</v>
      </c>
      <c r="DM405" s="586">
        <f>INPUT!FZ125</f>
        <v>32.907348242811501</v>
      </c>
      <c r="DN405" s="577">
        <f>INPUT!GA125</f>
        <v>-11.16621210940545</v>
      </c>
      <c r="DO405" s="586">
        <f>INPUT!GB125</f>
        <v>32.517241379310349</v>
      </c>
      <c r="DP405" s="577">
        <f>INPUT!GC125</f>
        <v>-1.1854703716102932</v>
      </c>
      <c r="DQ405" s="586">
        <f>INPUT!GD125</f>
        <v>33.085833085833087</v>
      </c>
      <c r="DR405" s="577">
        <f>INPUT!GE125</f>
        <v>1.7485853116818078</v>
      </c>
      <c r="DS405" s="586">
        <f>INPUT!GF125</f>
        <v>39.025974025974023</v>
      </c>
      <c r="DT405" s="577">
        <f>INPUT!GG125</f>
        <v>17.953729394483403</v>
      </c>
      <c r="DU405" s="586">
        <f>INPUT!GH125</f>
        <v>31.592039800995025</v>
      </c>
      <c r="DV405" s="577">
        <f>INPUT!GI125</f>
        <v>-19.048683371826385</v>
      </c>
      <c r="DW405" s="586">
        <f>INPUT!GJ125</f>
        <v>31.396904261417923</v>
      </c>
      <c r="DX405" s="577">
        <f>INPUT!GK125</f>
        <v>-0.61767312527555873</v>
      </c>
      <c r="DY405" s="586">
        <f>INPUT!GL125</f>
        <v>33.968253968253968</v>
      </c>
      <c r="DZ405" s="577">
        <f>INPUT!GM125</f>
        <v>8.1898192427711507</v>
      </c>
      <c r="EA405" s="586">
        <f>INPUT!GN125</f>
        <v>37.595496582227582</v>
      </c>
      <c r="EB405" s="577">
        <f>INPUT!GO125</f>
        <v>10.678331059828878</v>
      </c>
      <c r="EC405" s="586">
        <f>INPUT!GP125</f>
        <v>32.630156666843547</v>
      </c>
      <c r="ED405" s="577">
        <f>INPUT!GQ125</f>
        <v>-13.207273122524171</v>
      </c>
      <c r="EE405" s="586">
        <f>INPUT!GR125</f>
        <v>32.630156666843547</v>
      </c>
      <c r="EF405" s="577">
        <f>INPUT!GS125</f>
        <v>0</v>
      </c>
      <c r="EG405" s="586">
        <f>INPUT!GT125</f>
        <v>32.630156666843547</v>
      </c>
      <c r="EH405" s="577">
        <f>INPUT!GU125</f>
        <v>0</v>
      </c>
      <c r="EI405" s="586">
        <f>INPUT!GV125</f>
        <v>32.630156666843547</v>
      </c>
      <c r="EJ405" s="577">
        <f>INPUT!GW125</f>
        <v>0</v>
      </c>
      <c r="EK405" s="586">
        <f>INPUT!GX125</f>
        <v>32.630156666843547</v>
      </c>
      <c r="EL405" s="577">
        <f>INPUT!GY125</f>
        <v>0</v>
      </c>
      <c r="EM405" s="577">
        <f>INPUT!GZ125</f>
        <v>-2.7931955083035143</v>
      </c>
    </row>
    <row r="406" spans="1:144" ht="12.75" hidden="1" customHeight="1" outlineLevel="1" x14ac:dyDescent="0.2">
      <c r="A406" s="579" t="str">
        <f>INPUT!B126</f>
        <v>Net DAC/Operating Expenses (%)</v>
      </c>
      <c r="B406" s="597">
        <f>INPUT!AY126</f>
        <v>-2.912621359223301</v>
      </c>
      <c r="C406" s="577" t="str">
        <f>INPUT!AZ126</f>
        <v>NM</v>
      </c>
      <c r="D406" s="597">
        <f>INPUT!BA126</f>
        <v>3.7383177570093453</v>
      </c>
      <c r="E406" s="577" t="str">
        <f>INPUT!BB126</f>
        <v>NM</v>
      </c>
      <c r="F406" s="597">
        <f>INPUT!BC126</f>
        <v>-138.83928571428572</v>
      </c>
      <c r="G406" s="577" t="str">
        <f>INPUT!BD126</f>
        <v>NM</v>
      </c>
      <c r="H406" s="597">
        <f>INPUT!BE126</f>
        <v>-17.467248908296941</v>
      </c>
      <c r="I406" s="577" t="str">
        <f>INPUT!BF126</f>
        <v>NM</v>
      </c>
      <c r="J406" s="597">
        <f>INPUT!BG126</f>
        <v>-11.013215859030836</v>
      </c>
      <c r="K406" s="577" t="str">
        <f>INPUT!BH126</f>
        <v>NM</v>
      </c>
      <c r="L406" s="597">
        <f>INPUT!BI126</f>
        <v>-20.816326530612244</v>
      </c>
      <c r="M406" s="577" t="str">
        <f>INPUT!BJ126</f>
        <v>NM</v>
      </c>
      <c r="N406" s="597">
        <f>INPUT!BK126</f>
        <v>-71.764705882352942</v>
      </c>
      <c r="O406" s="577">
        <f>INPUT!BL126</f>
        <v>-48.310951390202383</v>
      </c>
      <c r="P406" s="597">
        <f>INPUT!BM126</f>
        <v>-11.41732283464567</v>
      </c>
      <c r="Q406" s="577">
        <f>INPUT!BN126</f>
        <v>-34.635826771653527</v>
      </c>
      <c r="R406" s="597">
        <f>INPUT!BO126</f>
        <v>1.2765957446808509</v>
      </c>
      <c r="S406" s="577" t="str">
        <f>INPUT!BP126</f>
        <v>NM</v>
      </c>
      <c r="T406" s="597">
        <f>INPUT!BQ126</f>
        <v>-12.096774193548388</v>
      </c>
      <c r="U406" s="577">
        <f>INPUT!BR126</f>
        <v>-41.888045540796959</v>
      </c>
      <c r="V406" s="597">
        <f>INPUT!BS126</f>
        <v>-59.215686274509807</v>
      </c>
      <c r="W406" s="577">
        <f>INPUT!BT126</f>
        <v>-17.486338797814199</v>
      </c>
      <c r="X406" s="597">
        <f>INPUT!BU126</f>
        <v>45.064377682403432</v>
      </c>
      <c r="Y406" s="577" t="str">
        <f>INPUT!BV126</f>
        <v>NM</v>
      </c>
      <c r="Z406" s="597">
        <f>INPUT!BW126</f>
        <v>5.3719008264462813</v>
      </c>
      <c r="AA406" s="577" t="str">
        <f>INPUT!BX126</f>
        <v>NM</v>
      </c>
      <c r="AB406" s="597">
        <f>INPUT!BY126</f>
        <v>-22.519083969465647</v>
      </c>
      <c r="AC406" s="577">
        <f>INPUT!BZ126</f>
        <v>86.157760814249343</v>
      </c>
      <c r="AD406" s="597">
        <f>INPUT!CA126</f>
        <v>-86.92307692307692</v>
      </c>
      <c r="AE406" s="577">
        <f>INPUT!CB126</f>
        <v>46.790626591951082</v>
      </c>
      <c r="AF406" s="597">
        <f>INPUT!CC126</f>
        <v>-12.643678160919542</v>
      </c>
      <c r="AG406" s="577" t="str">
        <f>INPUT!CD126</f>
        <v>NM</v>
      </c>
      <c r="AH406" s="586">
        <f>INPUT!CE126</f>
        <v>-20</v>
      </c>
      <c r="AI406" s="577" t="str">
        <f>INPUT!CF126</f>
        <v>NM</v>
      </c>
      <c r="AJ406" s="586">
        <f>INPUT!CG126</f>
        <v>14.592274678111588</v>
      </c>
      <c r="AK406" s="577" t="str">
        <f>INPUT!CH126</f>
        <v>NM</v>
      </c>
      <c r="AL406" s="586">
        <f>INPUT!CI126</f>
        <v>-56.331877729257641</v>
      </c>
      <c r="AM406" s="577">
        <f>INPUT!CJ126</f>
        <v>-35.193415001738998</v>
      </c>
      <c r="AN406" s="586">
        <f>INPUT!CK126</f>
        <v>-6.9565217391304346</v>
      </c>
      <c r="AO406" s="577">
        <f>INPUT!CL126</f>
        <v>-44.980237154150203</v>
      </c>
      <c r="AP406" s="586">
        <f>INPUT!CM126</f>
        <v>-2.2831050228310499</v>
      </c>
      <c r="AQ406" s="577" t="str">
        <f>INPUT!CN126</f>
        <v>NM</v>
      </c>
      <c r="AR406" s="586">
        <f>INPUT!CO126</f>
        <v>-0.41841004184100417</v>
      </c>
      <c r="AS406" s="577" t="str">
        <f>INPUT!CP126</f>
        <v>NM</v>
      </c>
      <c r="AT406" s="586">
        <f>INPUT!CQ126</f>
        <v>-57.02479338842975</v>
      </c>
      <c r="AU406" s="577">
        <f>INPUT!CR126</f>
        <v>1.2300595810109485</v>
      </c>
      <c r="AV406" s="586">
        <f>INPUT!CS126</f>
        <v>-15.637860082304528</v>
      </c>
      <c r="AW406" s="577" t="str">
        <f>INPUT!CT126</f>
        <v>NM</v>
      </c>
      <c r="AX406" s="586">
        <f>INPUT!CU126</f>
        <v>-13.253012048192772</v>
      </c>
      <c r="AY406" s="577" t="str">
        <f>INPUT!CV126</f>
        <v>NM</v>
      </c>
      <c r="AZ406" s="586">
        <f>INPUT!CW126</f>
        <v>-9.3385214007782107</v>
      </c>
      <c r="BA406" s="577" t="str">
        <f>INPUT!CX126</f>
        <v>NM</v>
      </c>
      <c r="BB406" s="586">
        <f>INPUT!CY126</f>
        <v>39.552238805970148</v>
      </c>
      <c r="BC406" s="577" t="str">
        <f>INPUT!CZ126</f>
        <v>NM</v>
      </c>
      <c r="BD406" s="586">
        <f>INPUT!DA126</f>
        <v>-19.411764705882355</v>
      </c>
      <c r="BE406" s="577">
        <f>INPUT!DB126</f>
        <v>24.133126934984531</v>
      </c>
      <c r="BF406" s="586">
        <f>INPUT!DC126</f>
        <v>-31.769722814498934</v>
      </c>
      <c r="BG406" s="577" t="str">
        <f>INPUT!DD126</f>
        <v>NM</v>
      </c>
      <c r="BH406" s="586">
        <f>INPUT!DE126</f>
        <v>-19.603524229074889</v>
      </c>
      <c r="BI406" s="577" t="str">
        <f>INPUT!DF126</f>
        <v>NM</v>
      </c>
      <c r="BJ406" s="586">
        <f>INPUT!DG126</f>
        <v>-65.747126436781613</v>
      </c>
      <c r="BK406" s="577" t="str">
        <f>INPUT!DH126</f>
        <v>NM</v>
      </c>
      <c r="BL406" s="586">
        <f>INPUT!DI126</f>
        <v>-28.539325842696627</v>
      </c>
      <c r="BM406" s="577">
        <f>INPUT!DJ126</f>
        <v>47.020769492679563</v>
      </c>
      <c r="BN406" s="586">
        <f>INPUT!DK126</f>
        <v>-11.779448621553884</v>
      </c>
      <c r="BO406" s="577" t="str">
        <f>INPUT!DL126</f>
        <v>NM</v>
      </c>
      <c r="BP406" s="586">
        <f>INPUT!DM126</f>
        <v>-8.1218274111675122</v>
      </c>
      <c r="BQ406" s="577" t="str">
        <f>INPUT!DN126</f>
        <v>NM</v>
      </c>
      <c r="BR406" s="586">
        <f>INPUT!DO126</f>
        <v>-22.477064220183486</v>
      </c>
      <c r="BS406" s="577" t="str">
        <f>INPUT!DP126</f>
        <v>NM</v>
      </c>
      <c r="BT406" s="586">
        <f>INPUT!DQ126</f>
        <v>-5.9241706161137442</v>
      </c>
      <c r="BU406" s="577" t="str">
        <f>INPUT!DR126</f>
        <v>NM</v>
      </c>
      <c r="BV406" s="586">
        <f>INPUT!DS126</f>
        <v>-13.802083333333334</v>
      </c>
      <c r="BW406" s="577">
        <f>INPUT!DT126</f>
        <v>17.170877659574472</v>
      </c>
      <c r="BX406" s="586">
        <f>INPUT!DU126</f>
        <v>-76.243093922651937</v>
      </c>
      <c r="BY406" s="577" t="str">
        <f>INPUT!DV126</f>
        <v>NM</v>
      </c>
      <c r="BZ406" s="586">
        <f>INPUT!DW126</f>
        <v>-16.009280742459396</v>
      </c>
      <c r="CA406" s="577">
        <f>INPUT!DX126</f>
        <v>-28.775036696813302</v>
      </c>
      <c r="CB406" s="586">
        <f>INPUT!DY126</f>
        <v>-25.536480686695278</v>
      </c>
      <c r="CC406" s="577" t="str">
        <f>INPUT!DZ126</f>
        <v>NM</v>
      </c>
      <c r="CD406" s="586">
        <f>INPUT!EA126</f>
        <v>-20.631067961165048</v>
      </c>
      <c r="CE406" s="577">
        <f>INPUT!EB126</f>
        <v>49.477926360139207</v>
      </c>
      <c r="CF406" s="586">
        <f>INPUT!EC126</f>
        <v>-61.02783725910065</v>
      </c>
      <c r="CG406" s="577">
        <f>INPUT!ED126</f>
        <v>-19.956242435527415</v>
      </c>
      <c r="CH406" s="586">
        <f>INPUT!EE126</f>
        <v>-19.333333333333332</v>
      </c>
      <c r="CI406" s="577">
        <f>INPUT!EF126</f>
        <v>20.763285024154584</v>
      </c>
      <c r="CJ406" s="586">
        <f>INPUT!EG126</f>
        <v>-27.346938775510203</v>
      </c>
      <c r="CK406" s="577">
        <f>INPUT!EH126</f>
        <v>7.0896930200651695</v>
      </c>
      <c r="CL406" s="586">
        <f>INPUT!EI126</f>
        <v>-24.086021505376344</v>
      </c>
      <c r="CM406" s="577">
        <f>INPUT!EJ126</f>
        <v>16.746363061353577</v>
      </c>
      <c r="CN406" s="586">
        <f>INPUT!EK126</f>
        <v>18.775510204081634</v>
      </c>
      <c r="CO406" s="577" t="str">
        <f>INPUT!EL126</f>
        <v>NM</v>
      </c>
      <c r="CP406" s="586">
        <f>INPUT!EM126</f>
        <v>-19.955654101995567</v>
      </c>
      <c r="CQ406" s="577">
        <f>INPUT!EN126</f>
        <v>3.218900527563278</v>
      </c>
      <c r="CR406" s="586">
        <f>INPUT!EO126</f>
        <v>-21.120689655172413</v>
      </c>
      <c r="CS406" s="577">
        <f>INPUT!EP126</f>
        <v>-22.76762738033969</v>
      </c>
      <c r="CT406" s="586">
        <f>INPUT!EQ126</f>
        <v>-20.120689655172413</v>
      </c>
      <c r="CU406" s="577">
        <f>INPUT!ER126</f>
        <v>-16.463208128078819</v>
      </c>
      <c r="CV406" s="586">
        <f>INPUT!ES126</f>
        <v>-20.120689655172413</v>
      </c>
      <c r="CW406" s="577" t="str">
        <f>INPUT!ET126</f>
        <v>NM</v>
      </c>
      <c r="CX406" s="586">
        <f>INPUT!EU126</f>
        <v>-20.120689655172413</v>
      </c>
      <c r="CY406" s="577">
        <f>INPUT!EV126</f>
        <v>0.82701149425285791</v>
      </c>
      <c r="CZ406" s="586">
        <f>INPUT!EW126</f>
        <v>-20.120689655172413</v>
      </c>
      <c r="DA406" s="577">
        <f>INPUT!EX126</f>
        <v>-4.7346938775510239</v>
      </c>
      <c r="DB406" s="587"/>
      <c r="DC406" s="597">
        <f>INPUT!FP126</f>
        <v>6.5868263473053901</v>
      </c>
      <c r="DD406" s="577" t="str">
        <f>INPUT!FQ126</f>
        <v>NM</v>
      </c>
      <c r="DE406" s="597">
        <f>INPUT!FR126</f>
        <v>-39.97709049255441</v>
      </c>
      <c r="DF406" s="577" t="str">
        <f>INPUT!FS126</f>
        <v>NM</v>
      </c>
      <c r="DG406" s="597">
        <f>INPUT!FT126</f>
        <v>-29.357798165137616</v>
      </c>
      <c r="DH406" s="577">
        <f>INPUT!FU126</f>
        <v>-26.563444704397881</v>
      </c>
      <c r="DI406" s="597">
        <f>INPUT!FV126</f>
        <v>-9.2687950566426363</v>
      </c>
      <c r="DJ406" s="577" t="str">
        <f>INPUT!FW126</f>
        <v>NM</v>
      </c>
      <c r="DK406" s="586">
        <f>INPUT!FX126</f>
        <v>-25.170731707317074</v>
      </c>
      <c r="DL406" s="577" t="str">
        <f>INPUT!FY126</f>
        <v>NM</v>
      </c>
      <c r="DM406" s="586">
        <f>INPUT!FZ126</f>
        <v>-17.044228694714132</v>
      </c>
      <c r="DN406" s="577">
        <f>INPUT!GA126</f>
        <v>-32.285525534565949</v>
      </c>
      <c r="DO406" s="586">
        <f>INPUT!GB126</f>
        <v>-19.300106044538705</v>
      </c>
      <c r="DP406" s="577">
        <f>INPUT!GC126</f>
        <v>13.235432299287211</v>
      </c>
      <c r="DQ406" s="586">
        <f>INPUT!GD126</f>
        <v>-1.5260323159784559</v>
      </c>
      <c r="DR406" s="577" t="str">
        <f>INPUT!GE126</f>
        <v>NM</v>
      </c>
      <c r="DS406" s="586">
        <f>INPUT!GF126</f>
        <v>-36.10648918469218</v>
      </c>
      <c r="DT406" s="577" t="str">
        <f>INPUT!GG126</f>
        <v>NM</v>
      </c>
      <c r="DU406" s="586">
        <f>INPUT!GH126</f>
        <v>-12.235009085402785</v>
      </c>
      <c r="DV406" s="577" t="str">
        <f>INPUT!GI126</f>
        <v>NM</v>
      </c>
      <c r="DW406" s="586">
        <f>INPUT!GJ126</f>
        <v>-31.466828971393788</v>
      </c>
      <c r="DX406" s="577" t="str">
        <f>INPUT!GK126</f>
        <v>NM</v>
      </c>
      <c r="DY406" s="586">
        <f>INPUT!GL126</f>
        <v>-32.490379329301817</v>
      </c>
      <c r="DZ406" s="577">
        <f>INPUT!GM126</f>
        <v>3.2527915629456174</v>
      </c>
      <c r="EA406" s="586">
        <f>INPUT!GN126</f>
        <v>-11.122994652406417</v>
      </c>
      <c r="EB406" s="577" t="str">
        <f>INPUT!GO126</f>
        <v>NM</v>
      </c>
      <c r="EC406" s="586">
        <f>INPUT!GP126</f>
        <v>-20.120689655172409</v>
      </c>
      <c r="ED406" s="577">
        <f>INPUT!GQ126</f>
        <v>80.892738726790412</v>
      </c>
      <c r="EE406" s="586">
        <f>INPUT!GR126</f>
        <v>-20.120689655172409</v>
      </c>
      <c r="EF406" s="577">
        <f>INPUT!GS126</f>
        <v>0</v>
      </c>
      <c r="EG406" s="586">
        <f>INPUT!GT126</f>
        <v>-20.120689655172409</v>
      </c>
      <c r="EH406" s="577">
        <f>INPUT!GU126</f>
        <v>0</v>
      </c>
      <c r="EI406" s="586">
        <f>INPUT!GV126</f>
        <v>-20.120689655172409</v>
      </c>
      <c r="EJ406" s="577">
        <f>INPUT!GW126</f>
        <v>0</v>
      </c>
      <c r="EK406" s="586">
        <f>INPUT!GX126</f>
        <v>-20.120689655172409</v>
      </c>
      <c r="EL406" s="577">
        <f>INPUT!GY126</f>
        <v>0</v>
      </c>
      <c r="EM406" s="577">
        <f>INPUT!GZ126</f>
        <v>12.585957793529111</v>
      </c>
    </row>
    <row r="407" spans="1:144" ht="12.75" hidden="1" customHeight="1" outlineLevel="1" x14ac:dyDescent="0.2">
      <c r="A407" s="579"/>
      <c r="B407" s="580"/>
      <c r="C407" s="577"/>
      <c r="D407" s="580"/>
      <c r="E407" s="577"/>
      <c r="F407" s="580"/>
      <c r="G407" s="577"/>
      <c r="H407" s="580"/>
      <c r="I407" s="577"/>
      <c r="J407" s="580"/>
      <c r="K407" s="577"/>
      <c r="L407" s="580"/>
      <c r="M407" s="577"/>
      <c r="N407" s="580"/>
      <c r="O407" s="577"/>
      <c r="P407" s="580"/>
      <c r="Q407" s="577"/>
      <c r="R407" s="580"/>
      <c r="S407" s="577"/>
      <c r="T407" s="580"/>
      <c r="U407" s="577"/>
      <c r="V407" s="580"/>
      <c r="W407" s="577"/>
      <c r="X407" s="580"/>
      <c r="Y407" s="577"/>
      <c r="Z407" s="580"/>
      <c r="AA407" s="577"/>
      <c r="AB407" s="580"/>
      <c r="AC407" s="577"/>
      <c r="AD407" s="580"/>
      <c r="AE407" s="577"/>
      <c r="AF407" s="580"/>
      <c r="AG407" s="577"/>
      <c r="AH407" s="580"/>
      <c r="AI407" s="577"/>
      <c r="AJ407" s="580"/>
      <c r="AK407" s="577"/>
      <c r="AL407" s="580"/>
      <c r="AM407" s="577"/>
      <c r="AN407" s="580"/>
      <c r="AO407" s="577"/>
      <c r="AP407" s="580"/>
      <c r="AQ407" s="577"/>
      <c r="AR407" s="580"/>
      <c r="AS407" s="577"/>
      <c r="AT407" s="580"/>
      <c r="AU407" s="577"/>
      <c r="AV407" s="580"/>
      <c r="AW407" s="577"/>
      <c r="AX407" s="580"/>
      <c r="AY407" s="577"/>
      <c r="AZ407" s="580"/>
      <c r="BA407" s="577"/>
      <c r="BB407" s="580"/>
      <c r="BC407" s="577"/>
      <c r="BD407" s="580"/>
      <c r="BE407" s="577"/>
      <c r="BF407" s="580"/>
      <c r="BG407" s="577"/>
      <c r="BH407" s="580"/>
      <c r="BI407" s="577"/>
      <c r="BJ407" s="580"/>
      <c r="BK407" s="577"/>
      <c r="BL407" s="580"/>
      <c r="BM407" s="577"/>
      <c r="BN407" s="580"/>
      <c r="BO407" s="577"/>
      <c r="BP407" s="580"/>
      <c r="BQ407" s="577"/>
      <c r="BR407" s="580"/>
      <c r="BS407" s="577"/>
      <c r="BT407" s="580"/>
      <c r="BU407" s="577"/>
      <c r="BV407" s="580"/>
      <c r="BW407" s="577"/>
      <c r="BX407" s="580"/>
      <c r="BY407" s="577"/>
      <c r="BZ407" s="580"/>
      <c r="CA407" s="577"/>
      <c r="CB407" s="580"/>
      <c r="CC407" s="577"/>
      <c r="CD407" s="580"/>
      <c r="CE407" s="577"/>
      <c r="CF407" s="580"/>
      <c r="CG407" s="577"/>
      <c r="CH407" s="580"/>
      <c r="CI407" s="577"/>
      <c r="CJ407" s="580"/>
      <c r="CK407" s="577"/>
      <c r="CL407" s="580"/>
      <c r="CM407" s="577"/>
      <c r="CN407" s="580"/>
      <c r="CO407" s="577"/>
      <c r="CP407" s="580"/>
      <c r="CQ407" s="577"/>
      <c r="CR407" s="580"/>
      <c r="CS407" s="577"/>
      <c r="CT407" s="580"/>
      <c r="CU407" s="577"/>
      <c r="CV407" s="580"/>
      <c r="CW407" s="577"/>
      <c r="CX407" s="580"/>
      <c r="CY407" s="577"/>
      <c r="CZ407" s="580"/>
      <c r="DA407" s="577"/>
      <c r="DB407" s="587"/>
      <c r="DC407" s="580"/>
      <c r="DD407" s="577"/>
      <c r="DE407" s="580"/>
      <c r="DF407" s="577"/>
      <c r="DG407" s="580"/>
      <c r="DH407" s="577"/>
      <c r="DI407" s="580"/>
      <c r="DJ407" s="577"/>
      <c r="DK407" s="580"/>
      <c r="DL407" s="577"/>
      <c r="DM407" s="580"/>
      <c r="DN407" s="577"/>
      <c r="DO407" s="580"/>
      <c r="DP407" s="577"/>
      <c r="DQ407" s="580"/>
      <c r="DR407" s="577"/>
      <c r="DS407" s="580"/>
      <c r="DT407" s="577"/>
      <c r="DU407" s="580"/>
      <c r="DV407" s="577"/>
      <c r="DW407" s="580"/>
      <c r="DX407" s="577"/>
      <c r="DY407" s="580"/>
      <c r="DZ407" s="577"/>
      <c r="EA407" s="580"/>
      <c r="EB407" s="577"/>
      <c r="EC407" s="580"/>
      <c r="ED407" s="577"/>
      <c r="EE407" s="580"/>
      <c r="EF407" s="577"/>
      <c r="EG407" s="580"/>
      <c r="EH407" s="577"/>
      <c r="EI407" s="580"/>
      <c r="EJ407" s="577"/>
      <c r="EK407" s="580"/>
      <c r="EL407" s="577"/>
      <c r="EM407" s="577"/>
    </row>
    <row r="408" spans="1:144" ht="12.75" hidden="1" customHeight="1" outlineLevel="1" x14ac:dyDescent="0.2">
      <c r="A408" s="599" t="s">
        <v>507</v>
      </c>
      <c r="B408" s="580"/>
      <c r="C408" s="577"/>
      <c r="D408" s="580"/>
      <c r="E408" s="577"/>
      <c r="F408" s="580"/>
      <c r="G408" s="577"/>
      <c r="H408" s="580"/>
      <c r="I408" s="577"/>
      <c r="J408" s="580"/>
      <c r="K408" s="577"/>
      <c r="L408" s="580"/>
      <c r="M408" s="577"/>
      <c r="N408" s="580"/>
      <c r="O408" s="577"/>
      <c r="P408" s="580"/>
      <c r="Q408" s="577"/>
      <c r="R408" s="580"/>
      <c r="S408" s="577"/>
      <c r="T408" s="580"/>
      <c r="U408" s="577"/>
      <c r="V408" s="580"/>
      <c r="W408" s="577"/>
      <c r="X408" s="580"/>
      <c r="Y408" s="577"/>
      <c r="Z408" s="580"/>
      <c r="AA408" s="577"/>
      <c r="AB408" s="580"/>
      <c r="AC408" s="577"/>
      <c r="AD408" s="580"/>
      <c r="AE408" s="577"/>
      <c r="AF408" s="580"/>
      <c r="AG408" s="577"/>
      <c r="AH408" s="580"/>
      <c r="AI408" s="577"/>
      <c r="AJ408" s="580"/>
      <c r="AK408" s="577"/>
      <c r="AL408" s="580"/>
      <c r="AM408" s="577"/>
      <c r="AN408" s="580"/>
      <c r="AO408" s="577"/>
      <c r="AP408" s="580"/>
      <c r="AQ408" s="577"/>
      <c r="AR408" s="580"/>
      <c r="AS408" s="577"/>
      <c r="AT408" s="580"/>
      <c r="AU408" s="577"/>
      <c r="AV408" s="580"/>
      <c r="AW408" s="577"/>
      <c r="AX408" s="580"/>
      <c r="AY408" s="577"/>
      <c r="AZ408" s="580"/>
      <c r="BA408" s="577"/>
      <c r="BB408" s="580"/>
      <c r="BC408" s="577"/>
      <c r="BD408" s="580"/>
      <c r="BE408" s="577"/>
      <c r="BF408" s="580"/>
      <c r="BG408" s="577"/>
      <c r="BH408" s="580"/>
      <c r="BI408" s="577"/>
      <c r="BJ408" s="580"/>
      <c r="BK408" s="577"/>
      <c r="BL408" s="580"/>
      <c r="BM408" s="577"/>
      <c r="BN408" s="580"/>
      <c r="BO408" s="577"/>
      <c r="BP408" s="580"/>
      <c r="BQ408" s="577"/>
      <c r="BR408" s="580"/>
      <c r="BS408" s="577"/>
      <c r="BT408" s="580"/>
      <c r="BU408" s="577"/>
      <c r="BV408" s="580"/>
      <c r="BW408" s="577"/>
      <c r="BX408" s="580"/>
      <c r="BY408" s="577"/>
      <c r="BZ408" s="580"/>
      <c r="CA408" s="577"/>
      <c r="CB408" s="580"/>
      <c r="CC408" s="577"/>
      <c r="CD408" s="580"/>
      <c r="CE408" s="577"/>
      <c r="CF408" s="580"/>
      <c r="CG408" s="577"/>
      <c r="CH408" s="580"/>
      <c r="CI408" s="577"/>
      <c r="CJ408" s="580"/>
      <c r="CK408" s="577"/>
      <c r="CL408" s="580"/>
      <c r="CM408" s="577"/>
      <c r="CN408" s="580"/>
      <c r="CO408" s="577"/>
      <c r="CP408" s="580"/>
      <c r="CQ408" s="577"/>
      <c r="CR408" s="580"/>
      <c r="CS408" s="577"/>
      <c r="CT408" s="580"/>
      <c r="CU408" s="577"/>
      <c r="CV408" s="580"/>
      <c r="CW408" s="577"/>
      <c r="CX408" s="580"/>
      <c r="CY408" s="577"/>
      <c r="CZ408" s="580"/>
      <c r="DA408" s="577"/>
      <c r="DB408" s="587"/>
      <c r="DC408" s="580"/>
      <c r="DD408" s="577"/>
      <c r="DE408" s="580"/>
      <c r="DF408" s="577"/>
      <c r="DG408" s="580"/>
      <c r="DH408" s="577"/>
      <c r="DI408" s="580"/>
      <c r="DJ408" s="577"/>
      <c r="DK408" s="580"/>
      <c r="DL408" s="577"/>
      <c r="DM408" s="580"/>
      <c r="DN408" s="577"/>
      <c r="DO408" s="580"/>
      <c r="DP408" s="577"/>
      <c r="DQ408" s="580"/>
      <c r="DR408" s="577"/>
      <c r="DS408" s="580"/>
      <c r="DT408" s="577"/>
      <c r="DU408" s="580"/>
      <c r="DV408" s="577"/>
      <c r="DW408" s="580"/>
      <c r="DX408" s="577"/>
      <c r="DY408" s="580"/>
      <c r="DZ408" s="577"/>
      <c r="EA408" s="580"/>
      <c r="EB408" s="577"/>
      <c r="EC408" s="580"/>
      <c r="ED408" s="577"/>
      <c r="EE408" s="580"/>
      <c r="EF408" s="577"/>
      <c r="EG408" s="580"/>
      <c r="EH408" s="577"/>
      <c r="EI408" s="580"/>
      <c r="EJ408" s="577"/>
      <c r="EK408" s="580"/>
      <c r="EL408" s="577"/>
      <c r="EM408" s="577"/>
    </row>
    <row r="409" spans="1:144" ht="12.75" hidden="1" customHeight="1" outlineLevel="1" x14ac:dyDescent="0.2">
      <c r="A409" s="599" t="s">
        <v>170</v>
      </c>
      <c r="B409" s="580"/>
      <c r="C409" s="577"/>
      <c r="D409" s="580"/>
      <c r="E409" s="577"/>
      <c r="F409" s="580"/>
      <c r="G409" s="577"/>
      <c r="H409" s="580"/>
      <c r="I409" s="577"/>
      <c r="J409" s="580"/>
      <c r="K409" s="577"/>
      <c r="L409" s="580"/>
      <c r="M409" s="577"/>
      <c r="N409" s="580"/>
      <c r="O409" s="577"/>
      <c r="P409" s="580"/>
      <c r="Q409" s="577"/>
      <c r="R409" s="580"/>
      <c r="S409" s="577"/>
      <c r="T409" s="580"/>
      <c r="U409" s="577"/>
      <c r="V409" s="580"/>
      <c r="W409" s="577"/>
      <c r="X409" s="580"/>
      <c r="Y409" s="577"/>
      <c r="Z409" s="580"/>
      <c r="AA409" s="577"/>
      <c r="AB409" s="580"/>
      <c r="AC409" s="577"/>
      <c r="AD409" s="580"/>
      <c r="AE409" s="577"/>
      <c r="AF409" s="580"/>
      <c r="AG409" s="577"/>
      <c r="AH409" s="580"/>
      <c r="AI409" s="577"/>
      <c r="AJ409" s="580"/>
      <c r="AK409" s="577"/>
      <c r="AL409" s="580"/>
      <c r="AM409" s="577"/>
      <c r="AN409" s="580"/>
      <c r="AO409" s="577"/>
      <c r="AP409" s="580"/>
      <c r="AQ409" s="577"/>
      <c r="AR409" s="580"/>
      <c r="AS409" s="577"/>
      <c r="AT409" s="580"/>
      <c r="AU409" s="577"/>
      <c r="AV409" s="580"/>
      <c r="AW409" s="577"/>
      <c r="AX409" s="580"/>
      <c r="AY409" s="577"/>
      <c r="AZ409" s="580"/>
      <c r="BA409" s="577"/>
      <c r="BB409" s="580"/>
      <c r="BC409" s="577"/>
      <c r="BD409" s="580"/>
      <c r="BE409" s="577"/>
      <c r="BF409" s="580"/>
      <c r="BG409" s="577"/>
      <c r="BH409" s="580"/>
      <c r="BI409" s="577"/>
      <c r="BJ409" s="580"/>
      <c r="BK409" s="577"/>
      <c r="BL409" s="580"/>
      <c r="BM409" s="577"/>
      <c r="BN409" s="580"/>
      <c r="BO409" s="577"/>
      <c r="BP409" s="580"/>
      <c r="BQ409" s="577"/>
      <c r="BR409" s="580"/>
      <c r="BS409" s="577"/>
      <c r="BT409" s="580"/>
      <c r="BU409" s="577"/>
      <c r="BV409" s="580"/>
      <c r="BW409" s="577"/>
      <c r="BX409" s="580"/>
      <c r="BY409" s="577"/>
      <c r="BZ409" s="580"/>
      <c r="CA409" s="577"/>
      <c r="CB409" s="580"/>
      <c r="CC409" s="577"/>
      <c r="CD409" s="580"/>
      <c r="CE409" s="577"/>
      <c r="CF409" s="580"/>
      <c r="CG409" s="577"/>
      <c r="CH409" s="580"/>
      <c r="CI409" s="577"/>
      <c r="CJ409" s="580"/>
      <c r="CK409" s="577"/>
      <c r="CL409" s="580"/>
      <c r="CM409" s="577"/>
      <c r="CN409" s="580"/>
      <c r="CO409" s="577"/>
      <c r="CP409" s="580"/>
      <c r="CQ409" s="577"/>
      <c r="CR409" s="580"/>
      <c r="CS409" s="577"/>
      <c r="CT409" s="580"/>
      <c r="CU409" s="577"/>
      <c r="CV409" s="580"/>
      <c r="CW409" s="577"/>
      <c r="CX409" s="580"/>
      <c r="CY409" s="577"/>
      <c r="CZ409" s="580"/>
      <c r="DA409" s="577"/>
      <c r="DB409" s="587"/>
      <c r="DC409" s="580"/>
      <c r="DD409" s="577"/>
      <c r="DE409" s="580"/>
      <c r="DF409" s="577"/>
      <c r="DG409" s="580"/>
      <c r="DH409" s="577"/>
      <c r="DI409" s="580"/>
      <c r="DJ409" s="577"/>
      <c r="DK409" s="580"/>
      <c r="DL409" s="577"/>
      <c r="DM409" s="580"/>
      <c r="DN409" s="577"/>
      <c r="DO409" s="580"/>
      <c r="DP409" s="577"/>
      <c r="DQ409" s="580"/>
      <c r="DR409" s="577"/>
      <c r="DS409" s="580"/>
      <c r="DT409" s="577"/>
      <c r="DU409" s="580"/>
      <c r="DV409" s="577"/>
      <c r="DW409" s="580"/>
      <c r="DX409" s="577"/>
      <c r="DY409" s="580"/>
      <c r="DZ409" s="577"/>
      <c r="EA409" s="580"/>
      <c r="EB409" s="577"/>
      <c r="EC409" s="580"/>
      <c r="ED409" s="577"/>
      <c r="EE409" s="580"/>
      <c r="EF409" s="577"/>
      <c r="EG409" s="580"/>
      <c r="EH409" s="577"/>
      <c r="EI409" s="580"/>
      <c r="EJ409" s="577"/>
      <c r="EK409" s="580"/>
      <c r="EL409" s="577"/>
      <c r="EM409" s="577"/>
    </row>
    <row r="410" spans="1:144" ht="12.75" hidden="1" customHeight="1" outlineLevel="1" x14ac:dyDescent="0.2">
      <c r="A410" s="599"/>
      <c r="B410" s="580"/>
      <c r="C410" s="577"/>
      <c r="D410" s="580"/>
      <c r="E410" s="577"/>
      <c r="F410" s="580"/>
      <c r="G410" s="577"/>
      <c r="H410" s="580"/>
      <c r="I410" s="577"/>
      <c r="J410" s="580"/>
      <c r="K410" s="577"/>
      <c r="L410" s="580"/>
      <c r="M410" s="577"/>
      <c r="N410" s="580"/>
      <c r="O410" s="577"/>
      <c r="P410" s="580"/>
      <c r="Q410" s="577"/>
      <c r="R410" s="580"/>
      <c r="S410" s="577"/>
      <c r="T410" s="580"/>
      <c r="U410" s="577"/>
      <c r="V410" s="580"/>
      <c r="W410" s="577"/>
      <c r="X410" s="580"/>
      <c r="Y410" s="577"/>
      <c r="Z410" s="580"/>
      <c r="AA410" s="577"/>
      <c r="AB410" s="580"/>
      <c r="AC410" s="577"/>
      <c r="AD410" s="580"/>
      <c r="AE410" s="577"/>
      <c r="AF410" s="580"/>
      <c r="AG410" s="577"/>
      <c r="AH410" s="580"/>
      <c r="AI410" s="577"/>
      <c r="AJ410" s="580"/>
      <c r="AK410" s="577"/>
      <c r="AL410" s="580"/>
      <c r="AM410" s="577"/>
      <c r="AN410" s="580"/>
      <c r="AO410" s="577"/>
      <c r="AP410" s="580"/>
      <c r="AQ410" s="577"/>
      <c r="AR410" s="580"/>
      <c r="AS410" s="577"/>
      <c r="AT410" s="580"/>
      <c r="AU410" s="577"/>
      <c r="AV410" s="580"/>
      <c r="AW410" s="577"/>
      <c r="AX410" s="580"/>
      <c r="AY410" s="577"/>
      <c r="AZ410" s="580"/>
      <c r="BA410" s="577"/>
      <c r="BB410" s="580"/>
      <c r="BC410" s="577"/>
      <c r="BD410" s="580"/>
      <c r="BE410" s="577"/>
      <c r="BF410" s="580"/>
      <c r="BG410" s="577"/>
      <c r="BH410" s="580"/>
      <c r="BI410" s="577"/>
      <c r="BJ410" s="580"/>
      <c r="BK410" s="577"/>
      <c r="BL410" s="580"/>
      <c r="BM410" s="577"/>
      <c r="BN410" s="580"/>
      <c r="BO410" s="577"/>
      <c r="BP410" s="580"/>
      <c r="BQ410" s="577"/>
      <c r="BR410" s="580"/>
      <c r="BS410" s="577"/>
      <c r="BT410" s="580"/>
      <c r="BU410" s="577"/>
      <c r="BV410" s="580"/>
      <c r="BW410" s="577"/>
      <c r="BX410" s="580"/>
      <c r="BY410" s="577"/>
      <c r="BZ410" s="580"/>
      <c r="CA410" s="577"/>
      <c r="CB410" s="580"/>
      <c r="CC410" s="577"/>
      <c r="CD410" s="580"/>
      <c r="CE410" s="577"/>
      <c r="CF410" s="580"/>
      <c r="CG410" s="577"/>
      <c r="CH410" s="580"/>
      <c r="CI410" s="577"/>
      <c r="CJ410" s="580"/>
      <c r="CK410" s="577"/>
      <c r="CL410" s="580"/>
      <c r="CM410" s="577"/>
      <c r="CN410" s="580"/>
      <c r="CO410" s="577"/>
      <c r="CP410" s="580"/>
      <c r="CQ410" s="577"/>
      <c r="CR410" s="580"/>
      <c r="CS410" s="577"/>
      <c r="CT410" s="580"/>
      <c r="CU410" s="577"/>
      <c r="CV410" s="580"/>
      <c r="CW410" s="577"/>
      <c r="CX410" s="580"/>
      <c r="CY410" s="577"/>
      <c r="CZ410" s="580"/>
      <c r="DA410" s="577"/>
      <c r="DB410" s="587"/>
      <c r="DC410" s="580"/>
      <c r="DD410" s="577"/>
      <c r="DE410" s="580"/>
      <c r="DF410" s="577"/>
      <c r="DG410" s="580"/>
      <c r="DH410" s="577"/>
      <c r="DI410" s="580"/>
      <c r="DJ410" s="577"/>
      <c r="DK410" s="580"/>
      <c r="DL410" s="577"/>
      <c r="DM410" s="580"/>
      <c r="DN410" s="577"/>
      <c r="DO410" s="580"/>
      <c r="DP410" s="577"/>
      <c r="DQ410" s="580"/>
      <c r="DR410" s="577"/>
      <c r="DS410" s="580"/>
      <c r="DT410" s="577"/>
      <c r="DU410" s="580"/>
      <c r="DV410" s="577"/>
      <c r="DW410" s="580"/>
      <c r="DX410" s="577"/>
      <c r="DY410" s="580"/>
      <c r="DZ410" s="577"/>
      <c r="EA410" s="580"/>
      <c r="EB410" s="577"/>
      <c r="EC410" s="580"/>
      <c r="ED410" s="577"/>
      <c r="EE410" s="580"/>
      <c r="EF410" s="577"/>
      <c r="EG410" s="580"/>
      <c r="EH410" s="577"/>
      <c r="EI410" s="580"/>
      <c r="EJ410" s="577"/>
      <c r="EK410" s="580"/>
      <c r="EL410" s="577"/>
      <c r="EM410" s="577"/>
    </row>
    <row r="411" spans="1:144" ht="21.95" hidden="1" customHeight="1" outlineLevel="1" x14ac:dyDescent="0.25">
      <c r="A411" s="546" t="str">
        <f>$A$1</f>
        <v>Prudential Financial, Inc.</v>
      </c>
      <c r="B411" s="554"/>
      <c r="C411" s="555"/>
      <c r="D411" s="554"/>
      <c r="E411" s="555"/>
      <c r="F411" s="554"/>
      <c r="G411" s="555"/>
      <c r="H411" s="554"/>
      <c r="I411" s="555"/>
      <c r="J411" s="554"/>
      <c r="K411" s="555"/>
      <c r="L411" s="554"/>
      <c r="M411" s="555"/>
      <c r="N411" s="554"/>
      <c r="O411" s="555"/>
      <c r="P411" s="554"/>
      <c r="Q411" s="555"/>
      <c r="R411" s="554"/>
      <c r="S411" s="555"/>
      <c r="T411" s="554"/>
      <c r="U411" s="555"/>
      <c r="V411" s="554"/>
      <c r="W411" s="555"/>
      <c r="X411" s="554"/>
      <c r="Y411" s="555"/>
      <c r="Z411" s="554"/>
      <c r="AA411" s="555"/>
      <c r="AB411" s="554"/>
      <c r="AC411" s="555"/>
      <c r="AD411" s="554"/>
      <c r="AE411" s="555"/>
      <c r="AF411" s="554"/>
      <c r="AG411" s="555"/>
      <c r="AH411" s="554"/>
      <c r="AI411" s="555"/>
      <c r="AJ411" s="554"/>
      <c r="AK411" s="555"/>
      <c r="AL411" s="554"/>
      <c r="AM411" s="555"/>
      <c r="AN411" s="554"/>
      <c r="AO411" s="555"/>
      <c r="AP411" s="554"/>
      <c r="AQ411" s="555"/>
      <c r="AR411" s="554"/>
      <c r="AS411" s="555"/>
      <c r="AT411" s="554"/>
      <c r="AU411" s="555"/>
      <c r="AV411" s="554"/>
      <c r="AW411" s="555"/>
      <c r="AX411" s="554"/>
      <c r="AY411" s="555"/>
      <c r="AZ411" s="554"/>
      <c r="BA411" s="555"/>
      <c r="BB411" s="554"/>
      <c r="BC411" s="555"/>
      <c r="BD411" s="554"/>
      <c r="BE411" s="555"/>
      <c r="BF411" s="554"/>
      <c r="BG411" s="555"/>
      <c r="BH411" s="554"/>
      <c r="BI411" s="555"/>
      <c r="BJ411" s="554"/>
      <c r="BK411" s="555"/>
      <c r="BL411" s="554"/>
      <c r="BM411" s="555"/>
      <c r="BN411" s="554"/>
      <c r="BO411" s="555"/>
      <c r="BP411" s="554"/>
      <c r="BQ411" s="555"/>
      <c r="BR411" s="554"/>
      <c r="BS411" s="555"/>
      <c r="BT411" s="554"/>
      <c r="BU411" s="555"/>
      <c r="BV411" s="554"/>
      <c r="BW411" s="555"/>
      <c r="BX411" s="554"/>
      <c r="BY411" s="555"/>
      <c r="BZ411" s="554"/>
      <c r="CA411" s="555"/>
      <c r="CB411" s="554"/>
      <c r="CC411" s="555"/>
      <c r="CD411" s="554"/>
      <c r="CE411" s="555"/>
      <c r="CF411" s="554"/>
      <c r="CG411" s="555"/>
      <c r="CH411" s="554"/>
      <c r="CI411" s="555"/>
      <c r="CJ411" s="554"/>
      <c r="CK411" s="555"/>
      <c r="CL411" s="554"/>
      <c r="CM411" s="555"/>
      <c r="CN411" s="554"/>
      <c r="CO411" s="555"/>
      <c r="CP411" s="554"/>
      <c r="CQ411" s="555"/>
      <c r="CR411" s="554"/>
      <c r="CS411" s="555"/>
      <c r="CT411" s="554"/>
      <c r="CU411" s="555"/>
      <c r="CV411" s="554"/>
      <c r="CW411" s="555"/>
      <c r="CX411" s="554"/>
      <c r="CY411" s="555"/>
      <c r="CZ411" s="554"/>
      <c r="DA411" s="555"/>
      <c r="DB411" s="556"/>
      <c r="DC411" s="554"/>
      <c r="DD411" s="555"/>
      <c r="DE411" s="554"/>
      <c r="DF411" s="555"/>
      <c r="DG411" s="554"/>
      <c r="DH411" s="555"/>
      <c r="DI411" s="554"/>
      <c r="DJ411" s="555"/>
      <c r="DK411" s="554"/>
      <c r="DL411" s="555"/>
      <c r="DM411" s="554"/>
      <c r="DN411" s="555"/>
      <c r="DO411" s="554"/>
      <c r="DP411" s="555"/>
      <c r="DQ411" s="554"/>
      <c r="DR411" s="555"/>
      <c r="DS411" s="554"/>
      <c r="DT411" s="555"/>
      <c r="DU411" s="554"/>
      <c r="DV411" s="555"/>
      <c r="DW411" s="554"/>
      <c r="DX411" s="555"/>
      <c r="DY411" s="554"/>
      <c r="DZ411" s="555"/>
      <c r="EA411" s="554"/>
      <c r="EB411" s="555"/>
      <c r="EC411" s="554"/>
      <c r="ED411" s="555"/>
      <c r="EE411" s="554"/>
      <c r="EF411" s="555"/>
      <c r="EG411" s="554"/>
      <c r="EH411" s="555"/>
      <c r="EI411" s="554"/>
      <c r="EJ411" s="555"/>
      <c r="EK411" s="554"/>
      <c r="EL411" s="555"/>
      <c r="EM411" s="554"/>
    </row>
    <row r="412" spans="1:144" ht="12.75" hidden="1" customHeight="1" outlineLevel="1" x14ac:dyDescent="0.2">
      <c r="A412" s="557" t="s">
        <v>304</v>
      </c>
      <c r="B412" s="558"/>
      <c r="C412" s="559"/>
      <c r="D412" s="558"/>
      <c r="E412" s="559"/>
      <c r="F412" s="558"/>
      <c r="G412" s="559"/>
      <c r="H412" s="558"/>
      <c r="I412" s="559"/>
      <c r="J412" s="558"/>
      <c r="K412" s="559"/>
      <c r="L412" s="558"/>
      <c r="M412" s="559"/>
      <c r="N412" s="558"/>
      <c r="O412" s="559"/>
      <c r="P412" s="558"/>
      <c r="Q412" s="559"/>
      <c r="R412" s="558"/>
      <c r="S412" s="559"/>
      <c r="T412" s="558"/>
      <c r="U412" s="559"/>
      <c r="V412" s="558"/>
      <c r="W412" s="559"/>
      <c r="X412" s="558"/>
      <c r="Y412" s="559"/>
      <c r="Z412" s="558"/>
      <c r="AA412" s="559"/>
      <c r="AB412" s="558"/>
      <c r="AC412" s="559"/>
      <c r="AD412" s="558"/>
      <c r="AE412" s="559"/>
      <c r="AF412" s="558"/>
      <c r="AG412" s="559"/>
      <c r="AH412" s="558"/>
      <c r="AI412" s="559"/>
      <c r="AJ412" s="558"/>
      <c r="AK412" s="559"/>
      <c r="AL412" s="558"/>
      <c r="AM412" s="559"/>
      <c r="AN412" s="558"/>
      <c r="AO412" s="559"/>
      <c r="AP412" s="558"/>
      <c r="AQ412" s="559"/>
      <c r="AR412" s="558"/>
      <c r="AS412" s="559"/>
      <c r="AT412" s="558"/>
      <c r="AU412" s="559"/>
      <c r="AV412" s="558"/>
      <c r="AW412" s="559"/>
      <c r="AX412" s="558"/>
      <c r="AY412" s="559"/>
      <c r="AZ412" s="558"/>
      <c r="BA412" s="559"/>
      <c r="BB412" s="558"/>
      <c r="BC412" s="559"/>
      <c r="BD412" s="558"/>
      <c r="BE412" s="559"/>
      <c r="BF412" s="558"/>
      <c r="BG412" s="559"/>
      <c r="BH412" s="558"/>
      <c r="BI412" s="559"/>
      <c r="BJ412" s="558"/>
      <c r="BK412" s="559"/>
      <c r="BL412" s="558"/>
      <c r="BM412" s="559"/>
      <c r="BN412" s="558"/>
      <c r="BO412" s="559"/>
      <c r="BP412" s="558"/>
      <c r="BQ412" s="559"/>
      <c r="BR412" s="558"/>
      <c r="BS412" s="559"/>
      <c r="BT412" s="558"/>
      <c r="BU412" s="559"/>
      <c r="BV412" s="558"/>
      <c r="BW412" s="559"/>
      <c r="BX412" s="558"/>
      <c r="BY412" s="559"/>
      <c r="BZ412" s="558"/>
      <c r="CA412" s="559"/>
      <c r="CB412" s="558"/>
      <c r="CC412" s="559"/>
      <c r="CD412" s="558"/>
      <c r="CE412" s="559"/>
      <c r="CF412" s="558"/>
      <c r="CG412" s="559"/>
      <c r="CH412" s="558"/>
      <c r="CI412" s="559"/>
      <c r="CJ412" s="558"/>
      <c r="CK412" s="559"/>
      <c r="CL412" s="558"/>
      <c r="CM412" s="559"/>
      <c r="CN412" s="558"/>
      <c r="CO412" s="559"/>
      <c r="CP412" s="558"/>
      <c r="CQ412" s="559"/>
      <c r="CR412" s="558"/>
      <c r="CS412" s="559"/>
      <c r="CT412" s="558"/>
      <c r="CU412" s="559"/>
      <c r="CV412" s="558"/>
      <c r="CW412" s="559"/>
      <c r="CX412" s="558"/>
      <c r="CY412" s="559"/>
      <c r="CZ412" s="558"/>
      <c r="DA412" s="559"/>
      <c r="DB412" s="560"/>
      <c r="DC412" s="561"/>
      <c r="DD412" s="559"/>
      <c r="DE412" s="558"/>
      <c r="DF412" s="559"/>
      <c r="DG412" s="558"/>
      <c r="DH412" s="559"/>
      <c r="DI412" s="558"/>
      <c r="DJ412" s="559"/>
      <c r="DK412" s="558"/>
      <c r="DL412" s="559"/>
      <c r="DM412" s="558"/>
      <c r="DN412" s="559"/>
      <c r="DO412" s="558"/>
      <c r="DP412" s="559"/>
      <c r="DQ412" s="558"/>
      <c r="DR412" s="559"/>
      <c r="DS412" s="558"/>
      <c r="DT412" s="559"/>
      <c r="DU412" s="558"/>
      <c r="DV412" s="559"/>
      <c r="DW412" s="558"/>
      <c r="DX412" s="559"/>
      <c r="DY412" s="558"/>
      <c r="DZ412" s="559"/>
      <c r="EA412" s="558"/>
      <c r="EB412" s="559"/>
      <c r="EC412" s="558"/>
      <c r="ED412" s="559"/>
      <c r="EE412" s="558"/>
      <c r="EF412" s="559"/>
      <c r="EG412" s="558"/>
      <c r="EH412" s="559"/>
      <c r="EI412" s="558"/>
      <c r="EJ412" s="559"/>
      <c r="EK412" s="558"/>
      <c r="EL412" s="559"/>
      <c r="EM412" s="558"/>
    </row>
    <row r="413" spans="1:144" ht="12.75" hidden="1" customHeight="1" outlineLevel="1" x14ac:dyDescent="0.2">
      <c r="A413" s="548" t="str">
        <f>A$3</f>
        <v>($Millions Except Per Share Data)</v>
      </c>
      <c r="B413" s="563"/>
      <c r="C413" s="564" t="str">
        <f>C$3</f>
        <v>1Q06/</v>
      </c>
      <c r="D413" s="563"/>
      <c r="E413" s="564" t="str">
        <f>E$3</f>
        <v>2Q06/</v>
      </c>
      <c r="F413" s="563"/>
      <c r="G413" s="564" t="str">
        <f>G$3</f>
        <v>3Q06/</v>
      </c>
      <c r="H413" s="563"/>
      <c r="I413" s="564" t="str">
        <f>I$3</f>
        <v>4Q06/</v>
      </c>
      <c r="J413" s="563"/>
      <c r="K413" s="564" t="str">
        <f>K$3</f>
        <v>1Q07/</v>
      </c>
      <c r="L413" s="563"/>
      <c r="M413" s="564" t="str">
        <f>M$3</f>
        <v>2Q07/</v>
      </c>
      <c r="N413" s="563"/>
      <c r="O413" s="564" t="str">
        <f>O$3</f>
        <v>3Q07/</v>
      </c>
      <c r="P413" s="563"/>
      <c r="Q413" s="564" t="str">
        <f>Q$3</f>
        <v>4Q07/</v>
      </c>
      <c r="R413" s="563"/>
      <c r="S413" s="564" t="str">
        <f>S$3</f>
        <v>1Q08/</v>
      </c>
      <c r="T413" s="563"/>
      <c r="U413" s="564" t="str">
        <f>U$3</f>
        <v>2Q08/</v>
      </c>
      <c r="V413" s="563"/>
      <c r="W413" s="564" t="str">
        <f>W$3</f>
        <v>3Q08/</v>
      </c>
      <c r="X413" s="563"/>
      <c r="Y413" s="564" t="str">
        <f>Y$3</f>
        <v>4Q08/</v>
      </c>
      <c r="Z413" s="563"/>
      <c r="AA413" s="564" t="str">
        <f>AA$3</f>
        <v>1Q09/</v>
      </c>
      <c r="AB413" s="563"/>
      <c r="AC413" s="564" t="str">
        <f>AC$3</f>
        <v>2Q09/</v>
      </c>
      <c r="AD413" s="563"/>
      <c r="AE413" s="564" t="str">
        <f>AE$3</f>
        <v>3Q09/</v>
      </c>
      <c r="AF413" s="563"/>
      <c r="AG413" s="564" t="str">
        <f>AG$3</f>
        <v>4Q09/</v>
      </c>
      <c r="AH413" s="563"/>
      <c r="AI413" s="564" t="str">
        <f>AI$3</f>
        <v>1Q10/</v>
      </c>
      <c r="AJ413" s="563"/>
      <c r="AK413" s="564" t="str">
        <f>AK$3</f>
        <v>2Q10/</v>
      </c>
      <c r="AL413" s="563"/>
      <c r="AM413" s="564" t="str">
        <f>AM$3</f>
        <v>3Q10/</v>
      </c>
      <c r="AN413" s="563"/>
      <c r="AO413" s="564" t="str">
        <f>AO$3</f>
        <v>4Q10/</v>
      </c>
      <c r="AP413" s="563"/>
      <c r="AQ413" s="564" t="str">
        <f>AQ$3</f>
        <v>1Q11/</v>
      </c>
      <c r="AR413" s="563"/>
      <c r="AS413" s="564" t="str">
        <f>AS$3</f>
        <v>2Q11/</v>
      </c>
      <c r="AT413" s="563"/>
      <c r="AU413" s="564" t="str">
        <f>AU$3</f>
        <v>3Q11/</v>
      </c>
      <c r="AV413" s="563"/>
      <c r="AW413" s="564" t="str">
        <f>AW$3</f>
        <v>4Q11/</v>
      </c>
      <c r="AX413" s="563"/>
      <c r="AY413" s="564" t="str">
        <f>AY$3</f>
        <v>1Q12/</v>
      </c>
      <c r="AZ413" s="563"/>
      <c r="BA413" s="564" t="str">
        <f>BA$3</f>
        <v>2Q12/</v>
      </c>
      <c r="BB413" s="563"/>
      <c r="BC413" s="564" t="str">
        <f>BC$3</f>
        <v>3Q12/</v>
      </c>
      <c r="BD413" s="563"/>
      <c r="BE413" s="564" t="str">
        <f>BE$3</f>
        <v>4Q12/</v>
      </c>
      <c r="BF413" s="563"/>
      <c r="BG413" s="564" t="str">
        <f>BG$3</f>
        <v>1Q13/</v>
      </c>
      <c r="BH413" s="563"/>
      <c r="BI413" s="564" t="str">
        <f>BI$3</f>
        <v>2Q13/</v>
      </c>
      <c r="BJ413" s="563"/>
      <c r="BK413" s="564" t="str">
        <f>BK$3</f>
        <v>3Q13/</v>
      </c>
      <c r="BL413" s="563"/>
      <c r="BM413" s="564" t="str">
        <f>BM$3</f>
        <v>4Q13/</v>
      </c>
      <c r="BN413" s="563"/>
      <c r="BO413" s="564" t="str">
        <f>BO$3</f>
        <v>1Q14/</v>
      </c>
      <c r="BP413" s="563"/>
      <c r="BQ413" s="564" t="str">
        <f>BQ$3</f>
        <v>2Q14/</v>
      </c>
      <c r="BR413" s="563"/>
      <c r="BS413" s="564" t="str">
        <f>BS$3</f>
        <v>3Q14/</v>
      </c>
      <c r="BT413" s="563"/>
      <c r="BU413" s="564" t="str">
        <f>BU$3</f>
        <v>4Q14/</v>
      </c>
      <c r="BV413" s="563"/>
      <c r="BW413" s="564" t="str">
        <f>BW$3</f>
        <v>1Q15/</v>
      </c>
      <c r="BX413" s="563"/>
      <c r="BY413" s="564" t="str">
        <f>BY$3</f>
        <v>2Q15/</v>
      </c>
      <c r="BZ413" s="563"/>
      <c r="CA413" s="564" t="str">
        <f>CA$3</f>
        <v>3Q15/</v>
      </c>
      <c r="CB413" s="563"/>
      <c r="CC413" s="564" t="str">
        <f>CC$3</f>
        <v>4Q15/</v>
      </c>
      <c r="CD413" s="563"/>
      <c r="CE413" s="564" t="str">
        <f>CE$3</f>
        <v>1Q16/</v>
      </c>
      <c r="CF413" s="563"/>
      <c r="CG413" s="564" t="str">
        <f>CG$3</f>
        <v>2Q16/</v>
      </c>
      <c r="CH413" s="563"/>
      <c r="CI413" s="564" t="str">
        <f>CI$3</f>
        <v>3Q16/</v>
      </c>
      <c r="CJ413" s="563"/>
      <c r="CK413" s="564" t="str">
        <f>CK$3</f>
        <v>4Q16/</v>
      </c>
      <c r="CL413" s="563"/>
      <c r="CM413" s="564" t="str">
        <f>CM$3</f>
        <v>1Q17/</v>
      </c>
      <c r="CN413" s="563"/>
      <c r="CO413" s="564" t="str">
        <f>CO$3</f>
        <v>2Q17/</v>
      </c>
      <c r="CP413" s="563"/>
      <c r="CQ413" s="564" t="str">
        <f>CQ$3</f>
        <v>3Q17/</v>
      </c>
      <c r="CR413" s="563"/>
      <c r="CS413" s="564" t="str">
        <f>CS$3</f>
        <v>4Q17/</v>
      </c>
      <c r="CT413" s="563"/>
      <c r="CU413" s="564" t="str">
        <f>CU$3</f>
        <v>1Q18E/</v>
      </c>
      <c r="CV413" s="563"/>
      <c r="CW413" s="564" t="str">
        <f>CW$3</f>
        <v>2Q18E/</v>
      </c>
      <c r="CX413" s="563"/>
      <c r="CY413" s="564" t="str">
        <f>CY$3</f>
        <v>3Q18E/</v>
      </c>
      <c r="CZ413" s="563"/>
      <c r="DA413" s="564" t="str">
        <f>DA$3</f>
        <v>4Q18E/</v>
      </c>
      <c r="DB413" s="565"/>
      <c r="DC413" s="563"/>
      <c r="DD413" s="564" t="str">
        <f>DD$3</f>
        <v>2005/</v>
      </c>
      <c r="DE413" s="563"/>
      <c r="DF413" s="564" t="str">
        <f>DF$3</f>
        <v>2006/</v>
      </c>
      <c r="DG413" s="563"/>
      <c r="DH413" s="564" t="str">
        <f>DH$3</f>
        <v>2007/</v>
      </c>
      <c r="DI413" s="563"/>
      <c r="DJ413" s="564" t="str">
        <f>DJ$3</f>
        <v>2008/</v>
      </c>
      <c r="DK413" s="563"/>
      <c r="DL413" s="564" t="str">
        <f>DL$3</f>
        <v>2009/</v>
      </c>
      <c r="DM413" s="563"/>
      <c r="DN413" s="564" t="str">
        <f>DN$3</f>
        <v>2010/</v>
      </c>
      <c r="DO413" s="563"/>
      <c r="DP413" s="564" t="str">
        <f>DP$3</f>
        <v>2011/</v>
      </c>
      <c r="DQ413" s="563"/>
      <c r="DR413" s="564" t="str">
        <f>DR$3</f>
        <v>2012/</v>
      </c>
      <c r="DS413" s="563"/>
      <c r="DT413" s="564" t="str">
        <f>DT$3</f>
        <v>2013/</v>
      </c>
      <c r="DU413" s="563"/>
      <c r="DV413" s="564" t="str">
        <f>DV$3</f>
        <v>2014/</v>
      </c>
      <c r="DW413" s="563"/>
      <c r="DX413" s="564" t="str">
        <f>DX$3</f>
        <v>2015/</v>
      </c>
      <c r="DY413" s="563"/>
      <c r="DZ413" s="564" t="str">
        <f>DZ$3</f>
        <v>2016/</v>
      </c>
      <c r="EA413" s="563"/>
      <c r="EB413" s="564" t="str">
        <f>EB$3</f>
        <v>2017/</v>
      </c>
      <c r="EC413" s="563"/>
      <c r="ED413" s="564" t="str">
        <f>ED$3</f>
        <v>2018E/</v>
      </c>
      <c r="EE413" s="563"/>
      <c r="EF413" s="564" t="str">
        <f>EF$3</f>
        <v>2019E/</v>
      </c>
      <c r="EG413" s="563"/>
      <c r="EH413" s="564" t="str">
        <f>EH$3</f>
        <v>2020E/</v>
      </c>
      <c r="EI413" s="563"/>
      <c r="EJ413" s="564" t="str">
        <f>EJ$3</f>
        <v>2021E/</v>
      </c>
      <c r="EK413" s="563"/>
      <c r="EL413" s="564" t="str">
        <f>EL$3</f>
        <v>2022E/</v>
      </c>
      <c r="EM413" s="566" t="str">
        <f>EM$3</f>
        <v>5-Yr</v>
      </c>
      <c r="EN413" s="549"/>
    </row>
    <row r="414" spans="1:144" ht="12.75" hidden="1" customHeight="1" outlineLevel="1" x14ac:dyDescent="0.2">
      <c r="A414" s="567"/>
      <c r="B414" s="568"/>
      <c r="C414" s="559" t="str">
        <f>C$4</f>
        <v>1Q05</v>
      </c>
      <c r="D414" s="568"/>
      <c r="E414" s="559" t="str">
        <f>E$4</f>
        <v>2Q05</v>
      </c>
      <c r="F414" s="568"/>
      <c r="G414" s="559" t="str">
        <f>G$4</f>
        <v>3Q05</v>
      </c>
      <c r="H414" s="568"/>
      <c r="I414" s="559" t="str">
        <f>I$4</f>
        <v>4Q05</v>
      </c>
      <c r="J414" s="568"/>
      <c r="K414" s="559" t="str">
        <f>K$4</f>
        <v>1Q06</v>
      </c>
      <c r="L414" s="568"/>
      <c r="M414" s="559" t="str">
        <f>M$4</f>
        <v>2Q06</v>
      </c>
      <c r="N414" s="568"/>
      <c r="O414" s="559" t="str">
        <f>O$4</f>
        <v>3Q06</v>
      </c>
      <c r="P414" s="568"/>
      <c r="Q414" s="559" t="str">
        <f>Q$4</f>
        <v>4Q06</v>
      </c>
      <c r="R414" s="568"/>
      <c r="S414" s="559" t="str">
        <f>S$4</f>
        <v>1Q07</v>
      </c>
      <c r="T414" s="568"/>
      <c r="U414" s="559" t="str">
        <f>U$4</f>
        <v>2Q07</v>
      </c>
      <c r="V414" s="568"/>
      <c r="W414" s="559" t="str">
        <f>W$4</f>
        <v>3Q07</v>
      </c>
      <c r="X414" s="568"/>
      <c r="Y414" s="559" t="str">
        <f>Y$4</f>
        <v>4Q07</v>
      </c>
      <c r="Z414" s="568"/>
      <c r="AA414" s="559" t="str">
        <f>AA$4</f>
        <v>1Q08</v>
      </c>
      <c r="AB414" s="568"/>
      <c r="AC414" s="559" t="str">
        <f>AC$4</f>
        <v>2Q08</v>
      </c>
      <c r="AD414" s="568"/>
      <c r="AE414" s="559" t="str">
        <f>AE$4</f>
        <v>3Q08</v>
      </c>
      <c r="AF414" s="568"/>
      <c r="AG414" s="559" t="str">
        <f>AG$4</f>
        <v>4Q08</v>
      </c>
      <c r="AH414" s="568"/>
      <c r="AI414" s="559" t="str">
        <f>AI$4</f>
        <v>1Q09</v>
      </c>
      <c r="AJ414" s="568"/>
      <c r="AK414" s="559" t="str">
        <f>AK$4</f>
        <v>2Q09</v>
      </c>
      <c r="AL414" s="568"/>
      <c r="AM414" s="559" t="str">
        <f>AM$4</f>
        <v>3Q09</v>
      </c>
      <c r="AN414" s="568"/>
      <c r="AO414" s="559" t="str">
        <f>AO$4</f>
        <v>4Q09</v>
      </c>
      <c r="AP414" s="568"/>
      <c r="AQ414" s="559" t="str">
        <f>AQ$4</f>
        <v>1Q10</v>
      </c>
      <c r="AR414" s="568"/>
      <c r="AS414" s="559" t="str">
        <f>AS$4</f>
        <v>2Q10</v>
      </c>
      <c r="AT414" s="568"/>
      <c r="AU414" s="559" t="str">
        <f>AU$4</f>
        <v>3Q10</v>
      </c>
      <c r="AV414" s="568"/>
      <c r="AW414" s="559" t="str">
        <f>AW$4</f>
        <v>4Q10</v>
      </c>
      <c r="AX414" s="568"/>
      <c r="AY414" s="559" t="str">
        <f>AY$4</f>
        <v>1Q11</v>
      </c>
      <c r="AZ414" s="568"/>
      <c r="BA414" s="559" t="str">
        <f>BA$4</f>
        <v>2Q11</v>
      </c>
      <c r="BB414" s="568"/>
      <c r="BC414" s="559" t="str">
        <f>BC$4</f>
        <v>3Q11</v>
      </c>
      <c r="BD414" s="568"/>
      <c r="BE414" s="559" t="str">
        <f>BE$4</f>
        <v>4Q11</v>
      </c>
      <c r="BF414" s="568"/>
      <c r="BG414" s="559" t="str">
        <f>BG$4</f>
        <v>1Q12</v>
      </c>
      <c r="BH414" s="568"/>
      <c r="BI414" s="559" t="str">
        <f>BI$4</f>
        <v>2Q12</v>
      </c>
      <c r="BJ414" s="568"/>
      <c r="BK414" s="559" t="str">
        <f>BK$4</f>
        <v>3Q12</v>
      </c>
      <c r="BL414" s="568"/>
      <c r="BM414" s="559" t="str">
        <f>BM$4</f>
        <v>4Q12</v>
      </c>
      <c r="BN414" s="568"/>
      <c r="BO414" s="559" t="str">
        <f>BO$4</f>
        <v>1Q13</v>
      </c>
      <c r="BP414" s="568"/>
      <c r="BQ414" s="559" t="str">
        <f>BQ$4</f>
        <v>2Q13</v>
      </c>
      <c r="BR414" s="568"/>
      <c r="BS414" s="559" t="str">
        <f>BS$4</f>
        <v>3Q13</v>
      </c>
      <c r="BT414" s="568"/>
      <c r="BU414" s="559" t="str">
        <f>BU$4</f>
        <v>4Q13</v>
      </c>
      <c r="BV414" s="568"/>
      <c r="BW414" s="559" t="str">
        <f>BW$4</f>
        <v>1Q14</v>
      </c>
      <c r="BX414" s="568"/>
      <c r="BY414" s="559" t="str">
        <f>BY$4</f>
        <v>2Q14</v>
      </c>
      <c r="BZ414" s="568"/>
      <c r="CA414" s="559" t="str">
        <f>CA$4</f>
        <v>3Q14</v>
      </c>
      <c r="CB414" s="568"/>
      <c r="CC414" s="559" t="str">
        <f>CC$4</f>
        <v>4Q14</v>
      </c>
      <c r="CD414" s="568"/>
      <c r="CE414" s="559" t="str">
        <f>CE$4</f>
        <v>1Q15</v>
      </c>
      <c r="CF414" s="568"/>
      <c r="CG414" s="559" t="str">
        <f>CG$4</f>
        <v>2Q15</v>
      </c>
      <c r="CH414" s="568"/>
      <c r="CI414" s="559" t="str">
        <f>CI$4</f>
        <v>3Q15</v>
      </c>
      <c r="CJ414" s="568"/>
      <c r="CK414" s="559" t="str">
        <f>CK$4</f>
        <v>4Q15</v>
      </c>
      <c r="CL414" s="568"/>
      <c r="CM414" s="559" t="str">
        <f>CM$4</f>
        <v>1Q16</v>
      </c>
      <c r="CN414" s="568"/>
      <c r="CO414" s="559" t="str">
        <f>CO$4</f>
        <v>2Q16</v>
      </c>
      <c r="CP414" s="568"/>
      <c r="CQ414" s="559" t="str">
        <f>CQ$4</f>
        <v>3Q16</v>
      </c>
      <c r="CR414" s="568"/>
      <c r="CS414" s="559" t="str">
        <f>CS$4</f>
        <v>4Q16</v>
      </c>
      <c r="CT414" s="568"/>
      <c r="CU414" s="559" t="str">
        <f>CU$4</f>
        <v>1Q17</v>
      </c>
      <c r="CV414" s="568"/>
      <c r="CW414" s="559" t="str">
        <f>CW$4</f>
        <v>2Q17</v>
      </c>
      <c r="CX414" s="568"/>
      <c r="CY414" s="559" t="str">
        <f>CY$4</f>
        <v>3Q17</v>
      </c>
      <c r="CZ414" s="568"/>
      <c r="DA414" s="559" t="str">
        <f>DA$4</f>
        <v>4Q17</v>
      </c>
      <c r="DB414" s="560"/>
      <c r="DC414" s="568"/>
      <c r="DD414" s="568">
        <f>DD$4</f>
        <v>2004</v>
      </c>
      <c r="DE414" s="568"/>
      <c r="DF414" s="559" t="str">
        <f>DF$4</f>
        <v>2005</v>
      </c>
      <c r="DG414" s="568"/>
      <c r="DH414" s="559" t="str">
        <f>DH$4</f>
        <v>2006</v>
      </c>
      <c r="DI414" s="568"/>
      <c r="DJ414" s="569">
        <f>DJ$4</f>
        <v>2007</v>
      </c>
      <c r="DK414" s="568"/>
      <c r="DL414" s="559" t="str">
        <f>DL$4</f>
        <v>2008</v>
      </c>
      <c r="DM414" s="568"/>
      <c r="DN414" s="559" t="str">
        <f>DN$4</f>
        <v>2009</v>
      </c>
      <c r="DO414" s="568"/>
      <c r="DP414" s="559" t="str">
        <f>DP$4</f>
        <v>2010</v>
      </c>
      <c r="DQ414" s="568"/>
      <c r="DR414" s="559" t="str">
        <f>DR$4</f>
        <v>2011</v>
      </c>
      <c r="DS414" s="568"/>
      <c r="DT414" s="559" t="str">
        <f>DT$4</f>
        <v>2012</v>
      </c>
      <c r="DU414" s="568"/>
      <c r="DV414" s="559" t="str">
        <f>DV$4</f>
        <v>2013</v>
      </c>
      <c r="DW414" s="568"/>
      <c r="DX414" s="559">
        <f>DX$4</f>
        <v>2014</v>
      </c>
      <c r="DY414" s="568"/>
      <c r="DZ414" s="559" t="str">
        <f>DZ$4</f>
        <v>2015</v>
      </c>
      <c r="EA414" s="568"/>
      <c r="EB414" s="559">
        <f>EB$4</f>
        <v>2016</v>
      </c>
      <c r="EC414" s="568"/>
      <c r="ED414" s="559">
        <f>ED$4</f>
        <v>2017</v>
      </c>
      <c r="EE414" s="568"/>
      <c r="EF414" s="559" t="str">
        <f>EF$4</f>
        <v>2018E</v>
      </c>
      <c r="EG414" s="568"/>
      <c r="EH414" s="559" t="str">
        <f>EH$4</f>
        <v>2019E</v>
      </c>
      <c r="EI414" s="568"/>
      <c r="EJ414" s="559" t="str">
        <f>EJ$4</f>
        <v>2020E</v>
      </c>
      <c r="EK414" s="568"/>
      <c r="EL414" s="559" t="str">
        <f>EL$4</f>
        <v>2021E</v>
      </c>
      <c r="EM414" s="558" t="str">
        <f>EM$4</f>
        <v>CAGR</v>
      </c>
      <c r="EN414" s="549"/>
    </row>
    <row r="415" spans="1:144" ht="12.75" hidden="1" customHeight="1" outlineLevel="1" x14ac:dyDescent="0.2">
      <c r="A415" s="570"/>
      <c r="B415" s="571" t="str">
        <f>+B$5</f>
        <v>1Q06</v>
      </c>
      <c r="C415" s="572" t="str">
        <f>C$5</f>
        <v>% Chg</v>
      </c>
      <c r="D415" s="571" t="str">
        <f>+D$5</f>
        <v>2Q06</v>
      </c>
      <c r="E415" s="572" t="str">
        <f>E$5</f>
        <v>% Chg</v>
      </c>
      <c r="F415" s="571" t="str">
        <f>+F$5</f>
        <v>3Q06</v>
      </c>
      <c r="G415" s="572" t="str">
        <f>G$5</f>
        <v>% Chg</v>
      </c>
      <c r="H415" s="571" t="str">
        <f>+H$5</f>
        <v>4Q06</v>
      </c>
      <c r="I415" s="572" t="str">
        <f>I$5</f>
        <v>% Chg</v>
      </c>
      <c r="J415" s="571" t="str">
        <f>+J$5</f>
        <v>1Q07</v>
      </c>
      <c r="K415" s="572" t="str">
        <f>K$5</f>
        <v>% Chg</v>
      </c>
      <c r="L415" s="571" t="str">
        <f>+L$5</f>
        <v>2Q07</v>
      </c>
      <c r="M415" s="572" t="str">
        <f>M$5</f>
        <v>% Chg</v>
      </c>
      <c r="N415" s="571" t="str">
        <f>+N$5</f>
        <v>3Q07</v>
      </c>
      <c r="O415" s="572" t="str">
        <f>O$5</f>
        <v>% Chg</v>
      </c>
      <c r="P415" s="571" t="str">
        <f>+P$5</f>
        <v>4Q07</v>
      </c>
      <c r="Q415" s="572" t="str">
        <f>Q$5</f>
        <v>% Chg</v>
      </c>
      <c r="R415" s="571" t="str">
        <f>+R$5</f>
        <v>1Q08</v>
      </c>
      <c r="S415" s="572" t="str">
        <f>S$5</f>
        <v>% Chg</v>
      </c>
      <c r="T415" s="571" t="str">
        <f>+T$5</f>
        <v>2Q08</v>
      </c>
      <c r="U415" s="572" t="str">
        <f>U$5</f>
        <v>% Chg</v>
      </c>
      <c r="V415" s="571" t="str">
        <f>+V$5</f>
        <v>3Q08</v>
      </c>
      <c r="W415" s="572" t="str">
        <f>W$5</f>
        <v>% Chg</v>
      </c>
      <c r="X415" s="571" t="str">
        <f>+X$5</f>
        <v>4Q08</v>
      </c>
      <c r="Y415" s="572" t="str">
        <f>Y$5</f>
        <v>% Chg</v>
      </c>
      <c r="Z415" s="571" t="str">
        <f>+Z$5</f>
        <v>1Q09</v>
      </c>
      <c r="AA415" s="572" t="str">
        <f>AA$5</f>
        <v>% Chg</v>
      </c>
      <c r="AB415" s="571" t="str">
        <f>+AB$5</f>
        <v>2Q09</v>
      </c>
      <c r="AC415" s="572" t="str">
        <f>AC$5</f>
        <v>% Chg</v>
      </c>
      <c r="AD415" s="571" t="str">
        <f>+AD$5</f>
        <v>3Q09</v>
      </c>
      <c r="AE415" s="572" t="str">
        <f>AE$5</f>
        <v>% Chg</v>
      </c>
      <c r="AF415" s="571" t="str">
        <f>+AF$5</f>
        <v>4Q09</v>
      </c>
      <c r="AG415" s="572" t="str">
        <f>AG$5</f>
        <v>% Chg</v>
      </c>
      <c r="AH415" s="571" t="str">
        <f>+AH$5</f>
        <v>1Q10</v>
      </c>
      <c r="AI415" s="572" t="str">
        <f>AI$5</f>
        <v>% Chg</v>
      </c>
      <c r="AJ415" s="571" t="str">
        <f>+AJ$5</f>
        <v>2Q10</v>
      </c>
      <c r="AK415" s="572" t="str">
        <f>AK$5</f>
        <v>% Chg</v>
      </c>
      <c r="AL415" s="571" t="str">
        <f>+AL$5</f>
        <v>3Q10</v>
      </c>
      <c r="AM415" s="572" t="str">
        <f>AM$5</f>
        <v>% Chg</v>
      </c>
      <c r="AN415" s="571" t="str">
        <f>+AN$5</f>
        <v>4Q10</v>
      </c>
      <c r="AO415" s="572" t="str">
        <f>AO$5</f>
        <v>% Chg</v>
      </c>
      <c r="AP415" s="571" t="str">
        <f>+AP$5</f>
        <v>1Q11</v>
      </c>
      <c r="AQ415" s="572" t="str">
        <f>AQ$5</f>
        <v>% Chg</v>
      </c>
      <c r="AR415" s="571" t="str">
        <f>+AR$5</f>
        <v>2Q11</v>
      </c>
      <c r="AS415" s="572" t="str">
        <f>AS$5</f>
        <v>% Chg</v>
      </c>
      <c r="AT415" s="571" t="str">
        <f>+AT$5</f>
        <v>3Q11</v>
      </c>
      <c r="AU415" s="572" t="str">
        <f>AU$5</f>
        <v>% Chg</v>
      </c>
      <c r="AV415" s="571" t="str">
        <f>+AV$5</f>
        <v>4Q11</v>
      </c>
      <c r="AW415" s="572" t="str">
        <f>AW$5</f>
        <v>% Chg</v>
      </c>
      <c r="AX415" s="571" t="str">
        <f>+AX$5</f>
        <v>1Q12</v>
      </c>
      <c r="AY415" s="572" t="str">
        <f>AY$5</f>
        <v>% Chg</v>
      </c>
      <c r="AZ415" s="571" t="str">
        <f>+AZ$5</f>
        <v>2Q12</v>
      </c>
      <c r="BA415" s="572" t="str">
        <f>BA$5</f>
        <v>% Chg</v>
      </c>
      <c r="BB415" s="571" t="str">
        <f>+BB$5</f>
        <v>3Q12</v>
      </c>
      <c r="BC415" s="572" t="str">
        <f>BC$5</f>
        <v>% Chg</v>
      </c>
      <c r="BD415" s="571" t="str">
        <f>+BD$5</f>
        <v>4Q12</v>
      </c>
      <c r="BE415" s="572" t="str">
        <f>BE$5</f>
        <v>% Chg</v>
      </c>
      <c r="BF415" s="571" t="str">
        <f>+BF$5</f>
        <v>1Q13</v>
      </c>
      <c r="BG415" s="572" t="str">
        <f>BG$5</f>
        <v>% Chg</v>
      </c>
      <c r="BH415" s="571" t="str">
        <f>+BH$5</f>
        <v>2Q13</v>
      </c>
      <c r="BI415" s="572" t="str">
        <f>BI$5</f>
        <v>% Chg</v>
      </c>
      <c r="BJ415" s="571" t="str">
        <f>+BJ$5</f>
        <v>3Q13</v>
      </c>
      <c r="BK415" s="572" t="str">
        <f>BK$5</f>
        <v>% Chg</v>
      </c>
      <c r="BL415" s="571" t="str">
        <f>+BL$5</f>
        <v>4Q13</v>
      </c>
      <c r="BM415" s="572" t="str">
        <f>BM$5</f>
        <v>% Chg</v>
      </c>
      <c r="BN415" s="571" t="str">
        <f>+BN$5</f>
        <v>1Q14</v>
      </c>
      <c r="BO415" s="572" t="str">
        <f>BO$5</f>
        <v>% Chg</v>
      </c>
      <c r="BP415" s="571" t="str">
        <f>+BP$5</f>
        <v>2Q14</v>
      </c>
      <c r="BQ415" s="572" t="str">
        <f>BQ$5</f>
        <v>% Chg</v>
      </c>
      <c r="BR415" s="571" t="str">
        <f>+BR$5</f>
        <v>3Q14</v>
      </c>
      <c r="BS415" s="572" t="str">
        <f>BS$5</f>
        <v>% Chg</v>
      </c>
      <c r="BT415" s="571" t="str">
        <f>+BT$5</f>
        <v>4Q14</v>
      </c>
      <c r="BU415" s="572" t="str">
        <f>BU$5</f>
        <v>% Chg</v>
      </c>
      <c r="BV415" s="571" t="str">
        <f>+BV$5</f>
        <v>1Q15</v>
      </c>
      <c r="BW415" s="572" t="str">
        <f>BW$5</f>
        <v>% Chg</v>
      </c>
      <c r="BX415" s="571" t="str">
        <f>+BX$5</f>
        <v>2Q15</v>
      </c>
      <c r="BY415" s="572" t="str">
        <f>BY$5</f>
        <v>% Chg</v>
      </c>
      <c r="BZ415" s="571" t="str">
        <f>+BZ$5</f>
        <v>3Q15</v>
      </c>
      <c r="CA415" s="572" t="str">
        <f>CA$5</f>
        <v>% Chg</v>
      </c>
      <c r="CB415" s="571" t="str">
        <f>+CB$5</f>
        <v>4Q15</v>
      </c>
      <c r="CC415" s="572" t="str">
        <f>CC$5</f>
        <v>% Chg</v>
      </c>
      <c r="CD415" s="571" t="str">
        <f>+CD$5</f>
        <v>1Q16</v>
      </c>
      <c r="CE415" s="572" t="str">
        <f>CE$5</f>
        <v>% Chg</v>
      </c>
      <c r="CF415" s="571" t="str">
        <f>+CF$5</f>
        <v>2Q16</v>
      </c>
      <c r="CG415" s="572" t="str">
        <f>CG$5</f>
        <v>% Chg</v>
      </c>
      <c r="CH415" s="571" t="str">
        <f>+CH$5</f>
        <v>3Q16</v>
      </c>
      <c r="CI415" s="572" t="str">
        <f>CI$5</f>
        <v>% Chg</v>
      </c>
      <c r="CJ415" s="571" t="str">
        <f>+CJ$5</f>
        <v>4Q16</v>
      </c>
      <c r="CK415" s="572" t="str">
        <f>CK$5</f>
        <v>% Chg</v>
      </c>
      <c r="CL415" s="571" t="str">
        <f>+CL$5</f>
        <v>1Q17</v>
      </c>
      <c r="CM415" s="572" t="str">
        <f>CM$5</f>
        <v>% Chg</v>
      </c>
      <c r="CN415" s="571" t="str">
        <f>+CN$5</f>
        <v>2Q17</v>
      </c>
      <c r="CO415" s="572" t="str">
        <f>CO$5</f>
        <v>% Chg</v>
      </c>
      <c r="CP415" s="571" t="str">
        <f>+CP$5</f>
        <v>3Q17</v>
      </c>
      <c r="CQ415" s="572" t="str">
        <f>CQ$5</f>
        <v>% Chg</v>
      </c>
      <c r="CR415" s="571" t="str">
        <f>+CR$5</f>
        <v>4Q17</v>
      </c>
      <c r="CS415" s="572" t="str">
        <f>CS$5</f>
        <v>% Chg</v>
      </c>
      <c r="CT415" s="571" t="str">
        <f>+CT$5</f>
        <v>1Q18E</v>
      </c>
      <c r="CU415" s="572" t="str">
        <f>CU$5</f>
        <v>% Chg</v>
      </c>
      <c r="CV415" s="571" t="str">
        <f>+CV$5</f>
        <v>2Q18E</v>
      </c>
      <c r="CW415" s="572" t="str">
        <f>CW$5</f>
        <v>% Chg</v>
      </c>
      <c r="CX415" s="571" t="str">
        <f>+CX$5</f>
        <v>3Q18E</v>
      </c>
      <c r="CY415" s="572" t="str">
        <f>CY$5</f>
        <v>% Chg</v>
      </c>
      <c r="CZ415" s="571" t="str">
        <f>+CZ$5</f>
        <v>4Q18E</v>
      </c>
      <c r="DA415" s="572" t="str">
        <f>DA$5</f>
        <v>% Chg</v>
      </c>
      <c r="DB415" s="573"/>
      <c r="DC415" s="571" t="str">
        <f>+DC$5</f>
        <v>2005</v>
      </c>
      <c r="DD415" s="572" t="str">
        <f>DD$5</f>
        <v>% Chg</v>
      </c>
      <c r="DE415" s="571" t="str">
        <f>+DE$5</f>
        <v>2006</v>
      </c>
      <c r="DF415" s="572" t="str">
        <f>DF$5</f>
        <v>% Chg</v>
      </c>
      <c r="DG415" s="571">
        <f>+DG$5</f>
        <v>2007</v>
      </c>
      <c r="DH415" s="572" t="str">
        <f>DH$5</f>
        <v>% Chg</v>
      </c>
      <c r="DI415" s="571" t="str">
        <f>+DI$5</f>
        <v>2008</v>
      </c>
      <c r="DJ415" s="572" t="str">
        <f>DJ$5</f>
        <v>% Chg</v>
      </c>
      <c r="DK415" s="571" t="str">
        <f>+DK$5</f>
        <v>2009</v>
      </c>
      <c r="DL415" s="572" t="str">
        <f>DL$5</f>
        <v>% Chg</v>
      </c>
      <c r="DM415" s="571" t="str">
        <f>+DM$5</f>
        <v>2010</v>
      </c>
      <c r="DN415" s="572" t="str">
        <f>DN$5</f>
        <v>% Chg</v>
      </c>
      <c r="DO415" s="571" t="str">
        <f>+DO$5</f>
        <v>2011</v>
      </c>
      <c r="DP415" s="572" t="str">
        <f>DP$5</f>
        <v>% Chg</v>
      </c>
      <c r="DQ415" s="571" t="str">
        <f>+DQ$5</f>
        <v>2012</v>
      </c>
      <c r="DR415" s="572" t="str">
        <f>DR$5</f>
        <v>% Chg</v>
      </c>
      <c r="DS415" s="571" t="str">
        <f>+DS$5</f>
        <v>2013</v>
      </c>
      <c r="DT415" s="572" t="str">
        <f>DT$5</f>
        <v>% Chg</v>
      </c>
      <c r="DU415" s="571">
        <f>+DU$5</f>
        <v>2014</v>
      </c>
      <c r="DV415" s="572" t="str">
        <f>DV$5</f>
        <v>% Chg</v>
      </c>
      <c r="DW415" s="571" t="str">
        <f>+DW$5</f>
        <v>2015</v>
      </c>
      <c r="DX415" s="572" t="str">
        <f>DX$5</f>
        <v>% Chg</v>
      </c>
      <c r="DY415" s="571">
        <f>+DY$5</f>
        <v>2016</v>
      </c>
      <c r="DZ415" s="572" t="str">
        <f>DZ$5</f>
        <v>% Chg</v>
      </c>
      <c r="EA415" s="571">
        <f>+EA$5</f>
        <v>2017</v>
      </c>
      <c r="EB415" s="572" t="str">
        <f>EB$5</f>
        <v>% Chg</v>
      </c>
      <c r="EC415" s="571" t="str">
        <f>+EC$5</f>
        <v>2018E</v>
      </c>
      <c r="ED415" s="572" t="str">
        <f>ED$5</f>
        <v>% Chg</v>
      </c>
      <c r="EE415" s="571" t="str">
        <f>+EE$5</f>
        <v>2019E</v>
      </c>
      <c r="EF415" s="572" t="str">
        <f>EF$5</f>
        <v>% Chg</v>
      </c>
      <c r="EG415" s="571" t="str">
        <f>+EG$5</f>
        <v>2020E</v>
      </c>
      <c r="EH415" s="572" t="str">
        <f>EH$5</f>
        <v>% Chg</v>
      </c>
      <c r="EI415" s="571" t="str">
        <f>+EI$5</f>
        <v>2021E</v>
      </c>
      <c r="EJ415" s="572" t="str">
        <f>EJ$5</f>
        <v>% Chg</v>
      </c>
      <c r="EK415" s="571" t="str">
        <f>+EK$5</f>
        <v>2022E</v>
      </c>
      <c r="EL415" s="572" t="str">
        <f>EL$5</f>
        <v>% Chg</v>
      </c>
      <c r="EM415" s="574" t="str">
        <f>EM$5</f>
        <v>(%)</v>
      </c>
      <c r="EN415" s="549"/>
    </row>
    <row r="416" spans="1:144" ht="12.75" hidden="1" customHeight="1" outlineLevel="1" x14ac:dyDescent="0.2">
      <c r="A416" s="575"/>
      <c r="B416" s="580"/>
      <c r="C416" s="577"/>
      <c r="D416" s="580"/>
      <c r="E416" s="577"/>
      <c r="F416" s="580"/>
      <c r="G416" s="577"/>
      <c r="H416" s="580"/>
      <c r="I416" s="577"/>
      <c r="J416" s="580"/>
      <c r="K416" s="577"/>
      <c r="L416" s="580"/>
      <c r="M416" s="577"/>
      <c r="N416" s="580"/>
      <c r="O416" s="577"/>
      <c r="P416" s="580"/>
      <c r="Q416" s="577"/>
      <c r="R416" s="580"/>
      <c r="S416" s="577"/>
      <c r="T416" s="580"/>
      <c r="U416" s="577"/>
      <c r="V416" s="580"/>
      <c r="W416" s="577"/>
      <c r="X416" s="580"/>
      <c r="Y416" s="577"/>
      <c r="Z416" s="580"/>
      <c r="AA416" s="577"/>
      <c r="AB416" s="580"/>
      <c r="AC416" s="577"/>
      <c r="AD416" s="580"/>
      <c r="AE416" s="577"/>
      <c r="AF416" s="580"/>
      <c r="AG416" s="577"/>
      <c r="AH416" s="580"/>
      <c r="AI416" s="577"/>
      <c r="AJ416" s="580"/>
      <c r="AK416" s="577"/>
      <c r="AL416" s="580"/>
      <c r="AM416" s="577"/>
      <c r="AN416" s="580"/>
      <c r="AO416" s="577"/>
      <c r="AP416" s="580"/>
      <c r="AQ416" s="577"/>
      <c r="AR416" s="580"/>
      <c r="AS416" s="577"/>
      <c r="AT416" s="580"/>
      <c r="AU416" s="577"/>
      <c r="AV416" s="580"/>
      <c r="AW416" s="577"/>
      <c r="AX416" s="580"/>
      <c r="AY416" s="577"/>
      <c r="AZ416" s="580"/>
      <c r="BA416" s="577"/>
      <c r="BB416" s="580"/>
      <c r="BC416" s="577"/>
      <c r="BD416" s="580"/>
      <c r="BE416" s="577"/>
      <c r="BF416" s="580"/>
      <c r="BG416" s="577"/>
      <c r="BH416" s="580"/>
      <c r="BI416" s="577"/>
      <c r="BJ416" s="580"/>
      <c r="BK416" s="577"/>
      <c r="BL416" s="580"/>
      <c r="BM416" s="577"/>
      <c r="BN416" s="580"/>
      <c r="BO416" s="577"/>
      <c r="BP416" s="580"/>
      <c r="BQ416" s="577"/>
      <c r="BR416" s="580"/>
      <c r="BS416" s="577"/>
      <c r="BT416" s="580"/>
      <c r="BU416" s="577"/>
      <c r="BV416" s="580"/>
      <c r="BW416" s="577"/>
      <c r="BX416" s="580"/>
      <c r="BY416" s="577"/>
      <c r="BZ416" s="580"/>
      <c r="CA416" s="577"/>
      <c r="CB416" s="580"/>
      <c r="CC416" s="577"/>
      <c r="CD416" s="580"/>
      <c r="CE416" s="577"/>
      <c r="CF416" s="580"/>
      <c r="CG416" s="577"/>
      <c r="CH416" s="580"/>
      <c r="CI416" s="577"/>
      <c r="CJ416" s="580"/>
      <c r="CK416" s="577"/>
      <c r="CL416" s="580"/>
      <c r="CM416" s="577"/>
      <c r="CN416" s="580"/>
      <c r="CO416" s="577"/>
      <c r="CP416" s="580"/>
      <c r="CQ416" s="577"/>
      <c r="CR416" s="580"/>
      <c r="CS416" s="577"/>
      <c r="CT416" s="580"/>
      <c r="CU416" s="577"/>
      <c r="CV416" s="580"/>
      <c r="CW416" s="577"/>
      <c r="CX416" s="580"/>
      <c r="CY416" s="577"/>
      <c r="CZ416" s="580"/>
      <c r="DA416" s="577"/>
      <c r="DB416" s="587"/>
      <c r="DC416" s="580"/>
      <c r="DD416" s="577"/>
      <c r="DE416" s="580"/>
      <c r="DF416" s="577"/>
      <c r="DG416" s="580"/>
      <c r="DH416" s="577"/>
      <c r="DI416" s="580"/>
      <c r="DJ416" s="577"/>
      <c r="DK416" s="580"/>
      <c r="DL416" s="577"/>
      <c r="DM416" s="580"/>
      <c r="DN416" s="577"/>
      <c r="DO416" s="580"/>
      <c r="DP416" s="577"/>
      <c r="DQ416" s="580"/>
      <c r="DR416" s="577"/>
      <c r="DS416" s="580"/>
      <c r="DT416" s="577"/>
      <c r="DU416" s="580"/>
      <c r="DV416" s="577"/>
      <c r="DW416" s="580"/>
      <c r="DX416" s="577"/>
      <c r="DY416" s="580"/>
      <c r="DZ416" s="577"/>
      <c r="EA416" s="580"/>
      <c r="EB416" s="577"/>
      <c r="EC416" s="580"/>
      <c r="ED416" s="577"/>
      <c r="EE416" s="580"/>
      <c r="EF416" s="577"/>
      <c r="EG416" s="580"/>
      <c r="EH416" s="577"/>
      <c r="EI416" s="580"/>
      <c r="EJ416" s="577"/>
      <c r="EK416" s="580"/>
      <c r="EL416" s="577"/>
      <c r="EM416" s="577"/>
    </row>
    <row r="417" spans="1:143" ht="12.75" hidden="1" customHeight="1" outlineLevel="1" x14ac:dyDescent="0.2">
      <c r="A417" s="575" t="s">
        <v>128</v>
      </c>
      <c r="B417" s="580"/>
      <c r="C417" s="577"/>
      <c r="D417" s="580"/>
      <c r="E417" s="577"/>
      <c r="F417" s="580"/>
      <c r="G417" s="577"/>
      <c r="H417" s="580"/>
      <c r="I417" s="577"/>
      <c r="J417" s="580"/>
      <c r="K417" s="577"/>
      <c r="L417" s="580"/>
      <c r="M417" s="577"/>
      <c r="N417" s="580"/>
      <c r="O417" s="577"/>
      <c r="P417" s="580"/>
      <c r="Q417" s="577"/>
      <c r="R417" s="580"/>
      <c r="S417" s="577"/>
      <c r="T417" s="580"/>
      <c r="U417" s="577"/>
      <c r="V417" s="580"/>
      <c r="W417" s="577"/>
      <c r="X417" s="580"/>
      <c r="Y417" s="577"/>
      <c r="Z417" s="580"/>
      <c r="AA417" s="577"/>
      <c r="AB417" s="580"/>
      <c r="AC417" s="577"/>
      <c r="AD417" s="580"/>
      <c r="AE417" s="577"/>
      <c r="AF417" s="580"/>
      <c r="AG417" s="577"/>
      <c r="AH417" s="580"/>
      <c r="AI417" s="577"/>
      <c r="AJ417" s="580"/>
      <c r="AK417" s="577"/>
      <c r="AL417" s="580"/>
      <c r="AM417" s="577"/>
      <c r="AN417" s="580"/>
      <c r="AO417" s="577"/>
      <c r="AP417" s="580"/>
      <c r="AQ417" s="577"/>
      <c r="AR417" s="580"/>
      <c r="AS417" s="577"/>
      <c r="AT417" s="580"/>
      <c r="AU417" s="577"/>
      <c r="AV417" s="580"/>
      <c r="AW417" s="577"/>
      <c r="AX417" s="580"/>
      <c r="AY417" s="577"/>
      <c r="AZ417" s="580"/>
      <c r="BA417" s="577"/>
      <c r="BB417" s="580"/>
      <c r="BC417" s="577"/>
      <c r="BD417" s="580"/>
      <c r="BE417" s="577"/>
      <c r="BF417" s="580"/>
      <c r="BG417" s="577"/>
      <c r="BH417" s="580"/>
      <c r="BI417" s="577"/>
      <c r="BJ417" s="580"/>
      <c r="BK417" s="577"/>
      <c r="BL417" s="580"/>
      <c r="BM417" s="577"/>
      <c r="BN417" s="580"/>
      <c r="BO417" s="577"/>
      <c r="BP417" s="580"/>
      <c r="BQ417" s="577"/>
      <c r="BR417" s="580"/>
      <c r="BS417" s="577"/>
      <c r="BT417" s="580"/>
      <c r="BU417" s="577"/>
      <c r="BV417" s="580"/>
      <c r="BW417" s="577"/>
      <c r="BX417" s="580"/>
      <c r="BY417" s="577"/>
      <c r="BZ417" s="580"/>
      <c r="CA417" s="577"/>
      <c r="CB417" s="580"/>
      <c r="CC417" s="577"/>
      <c r="CD417" s="580"/>
      <c r="CE417" s="577"/>
      <c r="CF417" s="580"/>
      <c r="CG417" s="577"/>
      <c r="CH417" s="580"/>
      <c r="CI417" s="577"/>
      <c r="CJ417" s="580"/>
      <c r="CK417" s="577"/>
      <c r="CL417" s="580"/>
      <c r="CM417" s="577"/>
      <c r="CN417" s="580"/>
      <c r="CO417" s="577"/>
      <c r="CP417" s="580"/>
      <c r="CQ417" s="577"/>
      <c r="CR417" s="580"/>
      <c r="CS417" s="577"/>
      <c r="CT417" s="580"/>
      <c r="CU417" s="577"/>
      <c r="CV417" s="580"/>
      <c r="CW417" s="577"/>
      <c r="CX417" s="580"/>
      <c r="CY417" s="577"/>
      <c r="CZ417" s="580"/>
      <c r="DA417" s="577"/>
      <c r="DB417" s="587"/>
      <c r="DC417" s="580"/>
      <c r="DD417" s="577"/>
      <c r="DE417" s="580"/>
      <c r="DF417" s="577"/>
      <c r="DG417" s="580"/>
      <c r="DH417" s="577"/>
      <c r="DI417" s="580"/>
      <c r="DJ417" s="577"/>
      <c r="DK417" s="580"/>
      <c r="DL417" s="577"/>
      <c r="DM417" s="580"/>
      <c r="DN417" s="577"/>
      <c r="DO417" s="580"/>
      <c r="DP417" s="577"/>
      <c r="DQ417" s="580"/>
      <c r="DR417" s="577"/>
      <c r="DS417" s="580"/>
      <c r="DT417" s="577"/>
      <c r="DU417" s="580"/>
      <c r="DV417" s="577"/>
      <c r="DW417" s="580"/>
      <c r="DX417" s="577"/>
      <c r="DY417" s="580"/>
      <c r="DZ417" s="577"/>
      <c r="EA417" s="580"/>
      <c r="EB417" s="577"/>
      <c r="EC417" s="580"/>
      <c r="ED417" s="577"/>
      <c r="EE417" s="580"/>
      <c r="EF417" s="577"/>
      <c r="EG417" s="580"/>
      <c r="EH417" s="577"/>
      <c r="EI417" s="580"/>
      <c r="EJ417" s="577"/>
      <c r="EK417" s="580"/>
      <c r="EL417" s="577"/>
      <c r="EM417" s="577"/>
    </row>
    <row r="418" spans="1:143" ht="12.75" hidden="1" customHeight="1" outlineLevel="1" x14ac:dyDescent="0.2">
      <c r="A418" s="579" t="str">
        <f>INPUT!B227</f>
        <v>Premiums</v>
      </c>
      <c r="B418" s="580">
        <f>INPUT!AY227</f>
        <v>867</v>
      </c>
      <c r="C418" s="577">
        <f>INPUT!AZ227</f>
        <v>5.9902200488997579</v>
      </c>
      <c r="D418" s="580">
        <f>INPUT!BA227</f>
        <v>886</v>
      </c>
      <c r="E418" s="577">
        <f>INPUT!BB227</f>
        <v>6.3625450180071965</v>
      </c>
      <c r="F418" s="580">
        <f>INPUT!BC227</f>
        <v>892</v>
      </c>
      <c r="G418" s="577">
        <f>INPUT!BD227</f>
        <v>11.221945137157107</v>
      </c>
      <c r="H418" s="580">
        <f>INPUT!BE227</f>
        <v>911</v>
      </c>
      <c r="I418" s="577">
        <f>INPUT!BF227</f>
        <v>11.505507955936338</v>
      </c>
      <c r="J418" s="580">
        <f>INPUT!BG227</f>
        <v>926</v>
      </c>
      <c r="K418" s="577">
        <f>INPUT!BH227</f>
        <v>6.8050749711649416</v>
      </c>
      <c r="L418" s="580">
        <f>INPUT!BI227</f>
        <v>938</v>
      </c>
      <c r="M418" s="577">
        <f>INPUT!BJ227</f>
        <v>5.8690744920993296</v>
      </c>
      <c r="N418" s="580">
        <f>INPUT!BK227</f>
        <v>923</v>
      </c>
      <c r="O418" s="577">
        <f>INPUT!BL227</f>
        <v>3.4753363228699641</v>
      </c>
      <c r="P418" s="580">
        <f>INPUT!BM227</f>
        <v>892</v>
      </c>
      <c r="Q418" s="577">
        <f>INPUT!BN227</f>
        <v>-2.0856201975850723</v>
      </c>
      <c r="R418" s="580">
        <f>INPUT!BO227</f>
        <v>967</v>
      </c>
      <c r="S418" s="577">
        <f>INPUT!BP227</f>
        <v>4.427645788336946</v>
      </c>
      <c r="T418" s="580">
        <f>INPUT!BQ227</f>
        <v>928</v>
      </c>
      <c r="U418" s="577">
        <f>INPUT!BR227</f>
        <v>-1.0660980810234548</v>
      </c>
      <c r="V418" s="580">
        <f>INPUT!BS227</f>
        <v>944</v>
      </c>
      <c r="W418" s="577">
        <f>INPUT!BT227</f>
        <v>2.2751895991332702</v>
      </c>
      <c r="X418" s="580">
        <f>INPUT!BU227</f>
        <v>929</v>
      </c>
      <c r="Y418" s="577">
        <f>INPUT!BV227</f>
        <v>4.1479820627802582</v>
      </c>
      <c r="Z418" s="580">
        <f>INPUT!BW227</f>
        <v>1030</v>
      </c>
      <c r="AA418" s="577">
        <f>INPUT!BX227</f>
        <v>6.5149948293691864</v>
      </c>
      <c r="AB418" s="580">
        <f>INPUT!BY227</f>
        <v>986</v>
      </c>
      <c r="AC418" s="577">
        <f>INPUT!BZ227</f>
        <v>6.25</v>
      </c>
      <c r="AD418" s="580">
        <f>INPUT!CA227</f>
        <v>1048</v>
      </c>
      <c r="AE418" s="577">
        <f>INPUT!CB227</f>
        <v>11.016949152542367</v>
      </c>
      <c r="AF418" s="580">
        <f>INPUT!CC227</f>
        <v>987</v>
      </c>
      <c r="AG418" s="577">
        <f>INPUT!CD227</f>
        <v>6.2432723358449778</v>
      </c>
      <c r="AH418" s="580">
        <f>INPUT!CE227</f>
        <v>996</v>
      </c>
      <c r="AI418" s="577">
        <f>INPUT!CF227</f>
        <v>-3.3009708737864116</v>
      </c>
      <c r="AJ418" s="580">
        <f>INPUT!CG227</f>
        <v>1013</v>
      </c>
      <c r="AK418" s="577">
        <f>INPUT!CH227</f>
        <v>2.7383367139959489</v>
      </c>
      <c r="AL418" s="580">
        <f>INPUT!CI227</f>
        <v>1139</v>
      </c>
      <c r="AM418" s="577">
        <f>INPUT!CJ227</f>
        <v>8.6832061068702302</v>
      </c>
      <c r="AN418" s="580">
        <f>INPUT!CK227</f>
        <v>1059</v>
      </c>
      <c r="AO418" s="577">
        <f>INPUT!CL227</f>
        <v>7.2948328267477223</v>
      </c>
      <c r="AP418" s="580">
        <f>INPUT!CM227</f>
        <v>1188</v>
      </c>
      <c r="AQ418" s="577">
        <f>INPUT!CN227</f>
        <v>19.277108433734938</v>
      </c>
      <c r="AR418" s="580">
        <f>INPUT!CO227</f>
        <v>1178</v>
      </c>
      <c r="AS418" s="577">
        <f>INPUT!CP227</f>
        <v>16.28825271470879</v>
      </c>
      <c r="AT418" s="580">
        <f>INPUT!CQ227</f>
        <v>1119</v>
      </c>
      <c r="AU418" s="577">
        <f>INPUT!CR227</f>
        <v>-1.7559262510974492</v>
      </c>
      <c r="AV418" s="580">
        <f>INPUT!CS227</f>
        <v>1097</v>
      </c>
      <c r="AW418" s="577">
        <f>INPUT!CT227</f>
        <v>3.5882908404154819</v>
      </c>
      <c r="AX418" s="580">
        <f>INPUT!CU227</f>
        <v>1094</v>
      </c>
      <c r="AY418" s="577">
        <f>INPUT!CV227</f>
        <v>-7.91245791245791</v>
      </c>
      <c r="AZ418" s="580">
        <f>INPUT!CW227</f>
        <v>1107</v>
      </c>
      <c r="BA418" s="577">
        <f>INPUT!CX227</f>
        <v>-6.0271646859083177</v>
      </c>
      <c r="BB418" s="580">
        <f>INPUT!CY227</f>
        <v>1111</v>
      </c>
      <c r="BC418" s="577">
        <f>INPUT!CZ227</f>
        <v>-0.71492403932082027</v>
      </c>
      <c r="BD418" s="580">
        <f>INPUT!DA227</f>
        <v>1091</v>
      </c>
      <c r="BE418" s="577">
        <f>INPUT!DB227</f>
        <v>-0.54694621695533385</v>
      </c>
      <c r="BF418" s="580">
        <f>INPUT!DC227</f>
        <v>1086</v>
      </c>
      <c r="BG418" s="577">
        <f>INPUT!DD227</f>
        <v>-0.73126142595978649</v>
      </c>
      <c r="BH418" s="580">
        <f>INPUT!DE227</f>
        <v>1090</v>
      </c>
      <c r="BI418" s="577">
        <f>INPUT!DF227</f>
        <v>-1.5356820234869133</v>
      </c>
      <c r="BJ418" s="580">
        <f>INPUT!DG227</f>
        <v>1058</v>
      </c>
      <c r="BK418" s="577">
        <f>INPUT!DH227</f>
        <v>-4.7704770477047731</v>
      </c>
      <c r="BL418" s="580">
        <f>INPUT!DI227</f>
        <v>1054</v>
      </c>
      <c r="BM418" s="577">
        <f>INPUT!DJ227</f>
        <v>-3.3913840513290552</v>
      </c>
      <c r="BN418" s="580">
        <f>INPUT!DK227</f>
        <v>1026</v>
      </c>
      <c r="BO418" s="577">
        <f>INPUT!DL227</f>
        <v>-5.5248618784530379</v>
      </c>
      <c r="BP418" s="580">
        <f>INPUT!DM227</f>
        <v>1022</v>
      </c>
      <c r="BQ418" s="577">
        <f>INPUT!DN227</f>
        <v>-6.2385321100917395</v>
      </c>
      <c r="BR418" s="580">
        <f>INPUT!DO227</f>
        <v>1033</v>
      </c>
      <c r="BS418" s="577">
        <f>INPUT!DP227</f>
        <v>-2.3629489603024609</v>
      </c>
      <c r="BT418" s="580">
        <f>INPUT!DQ227</f>
        <v>978</v>
      </c>
      <c r="BU418" s="577">
        <f>INPUT!DR227</f>
        <v>-7.2106261859582617</v>
      </c>
      <c r="BV418" s="580">
        <f>INPUT!DS227</f>
        <v>956</v>
      </c>
      <c r="BW418" s="577">
        <f>INPUT!DT227</f>
        <v>-6.8226120857699897</v>
      </c>
      <c r="BX418" s="580">
        <f>INPUT!DU227</f>
        <v>971</v>
      </c>
      <c r="BY418" s="577">
        <f>INPUT!DV227</f>
        <v>-4.9902152641878672</v>
      </c>
      <c r="BZ418" s="580">
        <f>INPUT!DW227</f>
        <v>984</v>
      </c>
      <c r="CA418" s="577">
        <f>INPUT!DX227</f>
        <v>-4.7434656340755055</v>
      </c>
      <c r="CB418" s="580">
        <f>INPUT!DY227</f>
        <v>974</v>
      </c>
      <c r="CC418" s="577">
        <f>INPUT!DZ227</f>
        <v>-0.4089979550102214</v>
      </c>
      <c r="CD418" s="580">
        <f>INPUT!EA227</f>
        <v>1009</v>
      </c>
      <c r="CE418" s="577">
        <f>INPUT!EB227</f>
        <v>5.5439330543933067</v>
      </c>
      <c r="CF418" s="580">
        <f>INPUT!EC227</f>
        <v>1018</v>
      </c>
      <c r="CG418" s="577">
        <f>INPUT!ED227</f>
        <v>4.8403707518022543</v>
      </c>
      <c r="CH418" s="580">
        <f>INPUT!EE227</f>
        <v>994</v>
      </c>
      <c r="CI418" s="577">
        <f>INPUT!EF227</f>
        <v>1.0162601626016396</v>
      </c>
      <c r="CJ418" s="580">
        <f>INPUT!EG227</f>
        <v>1013</v>
      </c>
      <c r="CK418" s="577">
        <f>INPUT!EH227</f>
        <v>4.0041067761807057</v>
      </c>
      <c r="CL418" s="580">
        <f>INPUT!EI227</f>
        <v>1052</v>
      </c>
      <c r="CM418" s="577">
        <f>INPUT!EJ227</f>
        <v>4.2616451932606481</v>
      </c>
      <c r="CN418" s="580">
        <f>INPUT!EK227</f>
        <v>1026</v>
      </c>
      <c r="CO418" s="577">
        <f>INPUT!EL227</f>
        <v>0.78585461689586111</v>
      </c>
      <c r="CP418" s="580">
        <f>INPUT!EM227</f>
        <v>1042</v>
      </c>
      <c r="CQ418" s="577">
        <f>INPUT!EN227</f>
        <v>4.828973843058364</v>
      </c>
      <c r="CR418" s="580">
        <f>INPUT!EO227</f>
        <v>1038</v>
      </c>
      <c r="CS418" s="577">
        <f>INPUT!EP227</f>
        <v>2.4679170779861721</v>
      </c>
      <c r="CT418" s="580">
        <f>INPUT!EQ227</f>
        <v>1048.3800000000001</v>
      </c>
      <c r="CU418" s="577">
        <f>INPUT!ER227</f>
        <v>-0.34410646387831889</v>
      </c>
      <c r="CV418" s="580">
        <f>INPUT!ES227</f>
        <v>1058.8638000000001</v>
      </c>
      <c r="CW418" s="577">
        <f>INPUT!ET227</f>
        <v>3.2030994152046901</v>
      </c>
      <c r="CX418" s="580">
        <f>INPUT!EU227</f>
        <v>1069.452438</v>
      </c>
      <c r="CY418" s="577">
        <f>INPUT!EV227</f>
        <v>2.634590978886763</v>
      </c>
      <c r="CZ418" s="580">
        <f>INPUT!EW227</f>
        <v>1080.1469623800001</v>
      </c>
      <c r="DA418" s="577">
        <f>INPUT!EX227</f>
        <v>4.0604009999999988</v>
      </c>
      <c r="DB418" s="580"/>
      <c r="DC418" s="580">
        <f>INPUT!FP227</f>
        <v>3270</v>
      </c>
      <c r="DD418" s="577">
        <f>INPUT!FQ227</f>
        <v>10.847457627118644</v>
      </c>
      <c r="DE418" s="580">
        <f>INPUT!FR227</f>
        <v>3556</v>
      </c>
      <c r="DF418" s="577">
        <f>INPUT!FS227</f>
        <v>8.7461773700305798</v>
      </c>
      <c r="DG418" s="580">
        <f>INPUT!FT227</f>
        <v>3679</v>
      </c>
      <c r="DH418" s="577">
        <f>INPUT!FU227</f>
        <v>3.4589426321709738</v>
      </c>
      <c r="DI418" s="580">
        <f>INPUT!FV227</f>
        <v>3768</v>
      </c>
      <c r="DJ418" s="577">
        <f>INPUT!FW227</f>
        <v>2.419135634683343</v>
      </c>
      <c r="DK418" s="580">
        <f>INPUT!FX227</f>
        <v>4051</v>
      </c>
      <c r="DL418" s="577">
        <f>INPUT!FY227</f>
        <v>7.5106157112526404</v>
      </c>
      <c r="DM418" s="580">
        <f>INPUT!FZ227</f>
        <v>4207</v>
      </c>
      <c r="DN418" s="577">
        <f>INPUT!GA227</f>
        <v>3.8509010120957754</v>
      </c>
      <c r="DO418" s="580">
        <f>INPUT!GB227</f>
        <v>4582</v>
      </c>
      <c r="DP418" s="577">
        <f>INPUT!GC227</f>
        <v>8.9137152365105692</v>
      </c>
      <c r="DQ418" s="580">
        <f>INPUT!GD227</f>
        <v>4403</v>
      </c>
      <c r="DR418" s="577">
        <f>INPUT!GE227</f>
        <v>-3.9065910082933186</v>
      </c>
      <c r="DS418" s="580">
        <f>INPUT!GF227</f>
        <v>4288</v>
      </c>
      <c r="DT418" s="577">
        <f>INPUT!GG227</f>
        <v>-2.6118555530320293</v>
      </c>
      <c r="DU418" s="580">
        <f>INPUT!GH227</f>
        <v>4059</v>
      </c>
      <c r="DV418" s="577">
        <f>INPUT!GI227</f>
        <v>-5.3404850746268693</v>
      </c>
      <c r="DW418" s="580">
        <f>INPUT!GJ227</f>
        <v>3885</v>
      </c>
      <c r="DX418" s="577">
        <f>INPUT!GK227</f>
        <v>-4.286770140428672</v>
      </c>
      <c r="DY418" s="580">
        <f>INPUT!GL227</f>
        <v>4034</v>
      </c>
      <c r="DZ418" s="577">
        <f>INPUT!GM227</f>
        <v>3.8352638352638309</v>
      </c>
      <c r="EA418" s="580">
        <f>INPUT!GN227</f>
        <v>4158</v>
      </c>
      <c r="EB418" s="577">
        <f>INPUT!GO227</f>
        <v>3.0738720872583087</v>
      </c>
      <c r="EC418" s="580">
        <f>INPUT!GP227</f>
        <v>4256.8432003800008</v>
      </c>
      <c r="ED418" s="577">
        <f>INPUT!GQ227</f>
        <v>2.3771813463203699</v>
      </c>
      <c r="EE418" s="580">
        <f>INPUT!GR227</f>
        <v>4427.1169283952013</v>
      </c>
      <c r="EF418" s="577">
        <f>INPUT!GS227</f>
        <v>4</v>
      </c>
      <c r="EG418" s="580">
        <f>INPUT!GT227</f>
        <v>4604.2016055310096</v>
      </c>
      <c r="EH418" s="577">
        <f>INPUT!GU227</f>
        <v>4</v>
      </c>
      <c r="EI418" s="580">
        <f>INPUT!GV227</f>
        <v>4788.36966975225</v>
      </c>
      <c r="EJ418" s="577">
        <f>INPUT!GW227</f>
        <v>4</v>
      </c>
      <c r="EK418" s="580">
        <f>INPUT!GX227</f>
        <v>4979.9044565423401</v>
      </c>
      <c r="EL418" s="577">
        <f>INPUT!GY227</f>
        <v>4</v>
      </c>
      <c r="EM418" s="577">
        <f>INPUT!GZ227</f>
        <v>3.6733912929317603</v>
      </c>
    </row>
    <row r="419" spans="1:143" ht="12.75" hidden="1" customHeight="1" outlineLevel="1" x14ac:dyDescent="0.2">
      <c r="A419" s="579" t="str">
        <f>INPUT!B228</f>
        <v>Policy Charges and Fee Income</v>
      </c>
      <c r="B419" s="580">
        <f>INPUT!AY228</f>
        <v>77</v>
      </c>
      <c r="C419" s="577">
        <f>INPUT!AZ228</f>
        <v>4.0540540540540633</v>
      </c>
      <c r="D419" s="580">
        <f>INPUT!BA228</f>
        <v>64</v>
      </c>
      <c r="E419" s="577">
        <f>INPUT!BB228</f>
        <v>-7.2463768115942031</v>
      </c>
      <c r="F419" s="580">
        <f>INPUT!BC228</f>
        <v>87</v>
      </c>
      <c r="G419" s="577">
        <f>INPUT!BD228</f>
        <v>14.473684210526301</v>
      </c>
      <c r="H419" s="580">
        <f>INPUT!BE228</f>
        <v>79</v>
      </c>
      <c r="I419" s="577">
        <f>INPUT!BF228</f>
        <v>9.7222222222222285</v>
      </c>
      <c r="J419" s="580">
        <f>INPUT!BG228</f>
        <v>96</v>
      </c>
      <c r="K419" s="577">
        <f>INPUT!BH228</f>
        <v>24.675324675324674</v>
      </c>
      <c r="L419" s="580">
        <f>INPUT!BI228</f>
        <v>88</v>
      </c>
      <c r="M419" s="577">
        <f>INPUT!BJ228</f>
        <v>37.5</v>
      </c>
      <c r="N419" s="580">
        <f>INPUT!BK228</f>
        <v>84</v>
      </c>
      <c r="O419" s="577">
        <f>INPUT!BL228</f>
        <v>-3.448275862068968</v>
      </c>
      <c r="P419" s="580">
        <f>INPUT!BM228</f>
        <v>98</v>
      </c>
      <c r="Q419" s="577">
        <f>INPUT!BN228</f>
        <v>24.050632911392398</v>
      </c>
      <c r="R419" s="580">
        <f>INPUT!BO228</f>
        <v>106</v>
      </c>
      <c r="S419" s="577">
        <f>INPUT!BP228</f>
        <v>10.416666666666671</v>
      </c>
      <c r="T419" s="580">
        <f>INPUT!BQ228</f>
        <v>107</v>
      </c>
      <c r="U419" s="577">
        <f>INPUT!BR228</f>
        <v>21.590909090909079</v>
      </c>
      <c r="V419" s="580">
        <f>INPUT!BS228</f>
        <v>104</v>
      </c>
      <c r="W419" s="577">
        <f>INPUT!BT228</f>
        <v>23.80952380952381</v>
      </c>
      <c r="X419" s="580">
        <f>INPUT!BU228</f>
        <v>142</v>
      </c>
      <c r="Y419" s="577">
        <f>INPUT!BV228</f>
        <v>44.897959183673464</v>
      </c>
      <c r="Z419" s="580">
        <f>INPUT!BW228</f>
        <v>117</v>
      </c>
      <c r="AA419" s="577">
        <f>INPUT!BX228</f>
        <v>10.377358490566053</v>
      </c>
      <c r="AB419" s="580">
        <f>INPUT!BY228</f>
        <v>134</v>
      </c>
      <c r="AC419" s="577">
        <f>INPUT!BZ228</f>
        <v>25.233644859813069</v>
      </c>
      <c r="AD419" s="580">
        <f>INPUT!CA228</f>
        <v>116</v>
      </c>
      <c r="AE419" s="577">
        <f>INPUT!CB228</f>
        <v>11.538461538461547</v>
      </c>
      <c r="AF419" s="580">
        <f>INPUT!CC228</f>
        <v>117</v>
      </c>
      <c r="AG419" s="577">
        <f>INPUT!CD228</f>
        <v>-17.605633802816897</v>
      </c>
      <c r="AH419" s="580">
        <f>INPUT!CE228</f>
        <v>126</v>
      </c>
      <c r="AI419" s="577">
        <f>INPUT!CF228</f>
        <v>7.6923076923076934</v>
      </c>
      <c r="AJ419" s="580">
        <f>INPUT!CG228</f>
        <v>112</v>
      </c>
      <c r="AK419" s="577">
        <f>INPUT!CH228</f>
        <v>-16.417910447761201</v>
      </c>
      <c r="AL419" s="580">
        <f>INPUT!CI228</f>
        <v>134</v>
      </c>
      <c r="AM419" s="577">
        <f>INPUT!CJ228</f>
        <v>15.517241379310349</v>
      </c>
      <c r="AN419" s="580">
        <f>INPUT!CK228</f>
        <v>106</v>
      </c>
      <c r="AO419" s="577">
        <f>INPUT!CL228</f>
        <v>-9.4017094017093967</v>
      </c>
      <c r="AP419" s="580">
        <f>INPUT!CM228</f>
        <v>121</v>
      </c>
      <c r="AQ419" s="577">
        <f>INPUT!CN228</f>
        <v>-3.9682539682539613</v>
      </c>
      <c r="AR419" s="580">
        <f>INPUT!CO228</f>
        <v>110</v>
      </c>
      <c r="AS419" s="577">
        <f>INPUT!CP228</f>
        <v>-1.7857142857142918</v>
      </c>
      <c r="AT419" s="580">
        <f>INPUT!CQ228</f>
        <v>163</v>
      </c>
      <c r="AU419" s="577">
        <f>INPUT!CR228</f>
        <v>21.641791044776127</v>
      </c>
      <c r="AV419" s="580">
        <f>INPUT!CS228</f>
        <v>126</v>
      </c>
      <c r="AW419" s="577">
        <f>INPUT!CT228</f>
        <v>18.867924528301884</v>
      </c>
      <c r="AX419" s="580">
        <f>INPUT!CU228</f>
        <v>126</v>
      </c>
      <c r="AY419" s="577">
        <f>INPUT!CV228</f>
        <v>4.1322314049586879</v>
      </c>
      <c r="AZ419" s="580">
        <f>INPUT!CW228</f>
        <v>114</v>
      </c>
      <c r="BA419" s="577">
        <f>INPUT!CX228</f>
        <v>3.6363636363636402</v>
      </c>
      <c r="BB419" s="580">
        <f>INPUT!CY228</f>
        <v>130</v>
      </c>
      <c r="BC419" s="577">
        <f>INPUT!CZ228</f>
        <v>-20.245398773006144</v>
      </c>
      <c r="BD419" s="580">
        <f>INPUT!DA228</f>
        <v>135</v>
      </c>
      <c r="BE419" s="577">
        <f>INPUT!DB228</f>
        <v>7.1428571428571388</v>
      </c>
      <c r="BF419" s="580">
        <f>INPUT!DC228</f>
        <v>142</v>
      </c>
      <c r="BG419" s="577">
        <f>INPUT!DD228</f>
        <v>12.698412698412696</v>
      </c>
      <c r="BH419" s="580">
        <f>INPUT!DE228</f>
        <v>131</v>
      </c>
      <c r="BI419" s="577">
        <f>INPUT!DF228</f>
        <v>14.912280701754383</v>
      </c>
      <c r="BJ419" s="580">
        <f>INPUT!DG228</f>
        <v>113</v>
      </c>
      <c r="BK419" s="577">
        <f>INPUT!DH228</f>
        <v>-13.07692307692308</v>
      </c>
      <c r="BL419" s="580">
        <f>INPUT!DI228</f>
        <v>140</v>
      </c>
      <c r="BM419" s="577">
        <f>INPUT!DJ228</f>
        <v>3.7037037037036953</v>
      </c>
      <c r="BN419" s="580">
        <f>INPUT!DK228</f>
        <v>147</v>
      </c>
      <c r="BO419" s="577">
        <f>INPUT!DL228</f>
        <v>3.5211267605633765</v>
      </c>
      <c r="BP419" s="580">
        <f>INPUT!DM228</f>
        <v>143</v>
      </c>
      <c r="BQ419" s="577">
        <f>INPUT!DN228</f>
        <v>9.160305343511439</v>
      </c>
      <c r="BR419" s="580">
        <f>INPUT!DO228</f>
        <v>135</v>
      </c>
      <c r="BS419" s="577">
        <f>INPUT!DP228</f>
        <v>19.469026548672574</v>
      </c>
      <c r="BT419" s="580">
        <f>INPUT!DQ228</f>
        <v>142</v>
      </c>
      <c r="BU419" s="577">
        <f>INPUT!DR228</f>
        <v>1.4285714285714164</v>
      </c>
      <c r="BV419" s="580">
        <f>INPUT!DS228</f>
        <v>142</v>
      </c>
      <c r="BW419" s="577">
        <f>INPUT!DT228</f>
        <v>-3.4013605442176953</v>
      </c>
      <c r="BX419" s="580">
        <f>INPUT!DU228</f>
        <v>156</v>
      </c>
      <c r="BY419" s="577">
        <f>INPUT!DV228</f>
        <v>9.0909090909090793</v>
      </c>
      <c r="BZ419" s="580">
        <f>INPUT!DW228</f>
        <v>139</v>
      </c>
      <c r="CA419" s="577">
        <f>INPUT!DX228</f>
        <v>2.9629629629629619</v>
      </c>
      <c r="CB419" s="580">
        <f>INPUT!DY228</f>
        <v>146</v>
      </c>
      <c r="CC419" s="577">
        <f>INPUT!DZ228</f>
        <v>2.816901408450704</v>
      </c>
      <c r="CD419" s="580">
        <f>INPUT!EA228</f>
        <v>149</v>
      </c>
      <c r="CE419" s="577">
        <f>INPUT!EB228</f>
        <v>4.9295774647887214</v>
      </c>
      <c r="CF419" s="580">
        <f>INPUT!EC228</f>
        <v>176</v>
      </c>
      <c r="CG419" s="577">
        <f>INPUT!ED228</f>
        <v>12.820512820512818</v>
      </c>
      <c r="CH419" s="580">
        <f>INPUT!EE228</f>
        <v>158</v>
      </c>
      <c r="CI419" s="577">
        <f>INPUT!EF228</f>
        <v>13.669064748201436</v>
      </c>
      <c r="CJ419" s="580">
        <f>INPUT!EG228</f>
        <v>133</v>
      </c>
      <c r="CK419" s="577">
        <f>INPUT!EH228</f>
        <v>-8.9041095890410986</v>
      </c>
      <c r="CL419" s="580">
        <f>INPUT!EI228</f>
        <v>144</v>
      </c>
      <c r="CM419" s="577">
        <f>INPUT!EJ228</f>
        <v>-3.3557046979865675</v>
      </c>
      <c r="CN419" s="580">
        <f>INPUT!EK228</f>
        <v>164</v>
      </c>
      <c r="CO419" s="577">
        <f>INPUT!EL228</f>
        <v>-6.8181818181818272</v>
      </c>
      <c r="CP419" s="580">
        <f>INPUT!EM228</f>
        <v>143</v>
      </c>
      <c r="CQ419" s="577">
        <f>INPUT!EN228</f>
        <v>-9.4936708860759467</v>
      </c>
      <c r="CR419" s="580">
        <f>INPUT!EO228</f>
        <v>139</v>
      </c>
      <c r="CS419" s="577">
        <f>INPUT!EP228</f>
        <v>4.5112781954887282</v>
      </c>
      <c r="CT419" s="580">
        <f>INPUT!EQ228</f>
        <v>140.39000000000001</v>
      </c>
      <c r="CU419" s="577">
        <f>INPUT!ER228</f>
        <v>-2.5069444444444429</v>
      </c>
      <c r="CV419" s="580">
        <f>INPUT!ES228</f>
        <v>141.79390000000001</v>
      </c>
      <c r="CW419" s="577">
        <f>INPUT!ET228</f>
        <v>-13.540304878048786</v>
      </c>
      <c r="CX419" s="580">
        <f>INPUT!EU228</f>
        <v>143.211839</v>
      </c>
      <c r="CY419" s="577">
        <f>INPUT!EV228</f>
        <v>0.14813916083915046</v>
      </c>
      <c r="CZ419" s="580">
        <f>INPUT!EW228</f>
        <v>144.64395739</v>
      </c>
      <c r="DA419" s="577">
        <f>INPUT!EX228</f>
        <v>4.0604009999999988</v>
      </c>
      <c r="DB419" s="580"/>
      <c r="DC419" s="580">
        <f>INPUT!FP228</f>
        <v>291</v>
      </c>
      <c r="DD419" s="577">
        <f>INPUT!FQ228</f>
        <v>-14.912280701754383</v>
      </c>
      <c r="DE419" s="580">
        <f>INPUT!FR228</f>
        <v>307</v>
      </c>
      <c r="DF419" s="577">
        <f>INPUT!FS228</f>
        <v>5.4982817869415896</v>
      </c>
      <c r="DG419" s="580">
        <f>INPUT!FT228</f>
        <v>366</v>
      </c>
      <c r="DH419" s="577">
        <f>INPUT!FU228</f>
        <v>19.218241042345284</v>
      </c>
      <c r="DI419" s="580">
        <f>INPUT!FV228</f>
        <v>459</v>
      </c>
      <c r="DJ419" s="577">
        <f>INPUT!FW228</f>
        <v>25.409836065573771</v>
      </c>
      <c r="DK419" s="580">
        <f>INPUT!FX228</f>
        <v>484</v>
      </c>
      <c r="DL419" s="577">
        <f>INPUT!FY228</f>
        <v>5.4466230936819073</v>
      </c>
      <c r="DM419" s="580">
        <f>INPUT!FZ228</f>
        <v>478</v>
      </c>
      <c r="DN419" s="577">
        <f>INPUT!GA228</f>
        <v>-1.239669421487605</v>
      </c>
      <c r="DO419" s="580">
        <f>INPUT!GB228</f>
        <v>520</v>
      </c>
      <c r="DP419" s="577">
        <f>INPUT!GC228</f>
        <v>8.7866108786610795</v>
      </c>
      <c r="DQ419" s="580">
        <f>INPUT!GD228</f>
        <v>505</v>
      </c>
      <c r="DR419" s="577">
        <f>INPUT!GE228</f>
        <v>-2.8846153846153868</v>
      </c>
      <c r="DS419" s="580">
        <f>INPUT!GF228</f>
        <v>526</v>
      </c>
      <c r="DT419" s="577">
        <f>INPUT!GG228</f>
        <v>4.1584158415841586</v>
      </c>
      <c r="DU419" s="580">
        <f>INPUT!GH228</f>
        <v>567</v>
      </c>
      <c r="DV419" s="577">
        <f>INPUT!GI228</f>
        <v>7.7946768060836575</v>
      </c>
      <c r="DW419" s="580">
        <f>INPUT!GJ228</f>
        <v>583</v>
      </c>
      <c r="DX419" s="577">
        <f>INPUT!GK228</f>
        <v>2.8218694885361515</v>
      </c>
      <c r="DY419" s="580">
        <f>INPUT!GL228</f>
        <v>616</v>
      </c>
      <c r="DZ419" s="577">
        <f>INPUT!GM228</f>
        <v>5.6603773584905639</v>
      </c>
      <c r="EA419" s="580">
        <f>INPUT!GN228</f>
        <v>590</v>
      </c>
      <c r="EB419" s="577">
        <f>INPUT!GO228</f>
        <v>-4.220779220779221</v>
      </c>
      <c r="EC419" s="580">
        <f>INPUT!GP228</f>
        <v>570.03969639000002</v>
      </c>
      <c r="ED419" s="577">
        <f>INPUT!GQ228</f>
        <v>-3.3831023067796622</v>
      </c>
      <c r="EE419" s="580">
        <f>INPUT!GR228</f>
        <v>604.24207817340005</v>
      </c>
      <c r="EF419" s="577">
        <f>INPUT!GS228</f>
        <v>6</v>
      </c>
      <c r="EG419" s="580">
        <f>INPUT!GT228</f>
        <v>640.49660286380413</v>
      </c>
      <c r="EH419" s="577">
        <f>INPUT!GU228</f>
        <v>6</v>
      </c>
      <c r="EI419" s="580">
        <f>INPUT!GV228</f>
        <v>678.92639903563236</v>
      </c>
      <c r="EJ419" s="577">
        <f>INPUT!GW228</f>
        <v>6</v>
      </c>
      <c r="EK419" s="580">
        <f>INPUT!GX228</f>
        <v>719.66198297777032</v>
      </c>
      <c r="EL419" s="577">
        <f>INPUT!GY228</f>
        <v>6</v>
      </c>
      <c r="EM419" s="577">
        <f>INPUT!GZ228</f>
        <v>4.0531686315266713</v>
      </c>
    </row>
    <row r="420" spans="1:143" ht="12.75" hidden="1" customHeight="1" outlineLevel="1" x14ac:dyDescent="0.2">
      <c r="A420" s="579" t="str">
        <f>INPUT!B229</f>
        <v xml:space="preserve">  Total Fees</v>
      </c>
      <c r="B420" s="580">
        <f>INPUT!AY229</f>
        <v>944</v>
      </c>
      <c r="C420" s="577">
        <f>INPUT!AZ229</f>
        <v>5.8295964125560431</v>
      </c>
      <c r="D420" s="580">
        <f>INPUT!BA229</f>
        <v>950</v>
      </c>
      <c r="E420" s="577">
        <f>INPUT!BB229</f>
        <v>5.3215077605321568</v>
      </c>
      <c r="F420" s="580">
        <f>INPUT!BC229</f>
        <v>979</v>
      </c>
      <c r="G420" s="577">
        <f>INPUT!BD229</f>
        <v>11.503416856492038</v>
      </c>
      <c r="H420" s="580">
        <f>INPUT!BE229</f>
        <v>990</v>
      </c>
      <c r="I420" s="577">
        <f>INPUT!BF229</f>
        <v>11.361079865016862</v>
      </c>
      <c r="J420" s="580">
        <f>INPUT!BG229</f>
        <v>1022</v>
      </c>
      <c r="K420" s="577">
        <f>INPUT!BH229</f>
        <v>8.2627118644067679</v>
      </c>
      <c r="L420" s="580">
        <f>INPUT!BI229</f>
        <v>1026</v>
      </c>
      <c r="M420" s="577">
        <f>INPUT!BJ229</f>
        <v>8</v>
      </c>
      <c r="N420" s="580">
        <f>INPUT!BK229</f>
        <v>1007</v>
      </c>
      <c r="O420" s="577">
        <f>INPUT!BL229</f>
        <v>2.8600612870275768</v>
      </c>
      <c r="P420" s="580">
        <f>INPUT!BM229</f>
        <v>990</v>
      </c>
      <c r="Q420" s="577">
        <f>INPUT!BN229</f>
        <v>0</v>
      </c>
      <c r="R420" s="580">
        <f>INPUT!BO229</f>
        <v>1073</v>
      </c>
      <c r="S420" s="577">
        <f>INPUT!BP229</f>
        <v>4.990215264187853</v>
      </c>
      <c r="T420" s="580">
        <f>INPUT!BQ229</f>
        <v>1035</v>
      </c>
      <c r="U420" s="577">
        <f>INPUT!BR229</f>
        <v>0.87719298245613686</v>
      </c>
      <c r="V420" s="580">
        <f>INPUT!BS229</f>
        <v>1048</v>
      </c>
      <c r="W420" s="577">
        <f>INPUT!BT229</f>
        <v>4.0714995034756782</v>
      </c>
      <c r="X420" s="580">
        <f>INPUT!BU229</f>
        <v>1071</v>
      </c>
      <c r="Y420" s="577">
        <f>INPUT!BV229</f>
        <v>8.1818181818181728</v>
      </c>
      <c r="Z420" s="580">
        <f>INPUT!BW229</f>
        <v>1147</v>
      </c>
      <c r="AA420" s="577">
        <f>INPUT!BX229</f>
        <v>6.8965517241379217</v>
      </c>
      <c r="AB420" s="580">
        <f>INPUT!BY229</f>
        <v>1120</v>
      </c>
      <c r="AC420" s="577">
        <f>INPUT!BZ229</f>
        <v>8.2125603864734273</v>
      </c>
      <c r="AD420" s="580">
        <f>INPUT!CA229</f>
        <v>1164</v>
      </c>
      <c r="AE420" s="577">
        <f>INPUT!CB229</f>
        <v>11.068702290076331</v>
      </c>
      <c r="AF420" s="580">
        <f>INPUT!CC229</f>
        <v>1104</v>
      </c>
      <c r="AG420" s="577">
        <f>INPUT!CD229</f>
        <v>3.0812324929971879</v>
      </c>
      <c r="AH420" s="580">
        <f>INPUT!CE229</f>
        <v>1122</v>
      </c>
      <c r="AI420" s="577">
        <f>INPUT!CF229</f>
        <v>-2.1795989537925067</v>
      </c>
      <c r="AJ420" s="580">
        <f>INPUT!CG229</f>
        <v>1125</v>
      </c>
      <c r="AK420" s="577">
        <f>INPUT!CH229</f>
        <v>0.44642857142858361</v>
      </c>
      <c r="AL420" s="580">
        <f>INPUT!CI229</f>
        <v>1273</v>
      </c>
      <c r="AM420" s="577">
        <f>INPUT!CJ229</f>
        <v>9.3642611683848713</v>
      </c>
      <c r="AN420" s="580">
        <f>INPUT!CK229</f>
        <v>1165</v>
      </c>
      <c r="AO420" s="577">
        <f>INPUT!CL229</f>
        <v>5.5253623188405783</v>
      </c>
      <c r="AP420" s="580">
        <f>INPUT!CM229</f>
        <v>1309</v>
      </c>
      <c r="AQ420" s="577">
        <f>INPUT!CN229</f>
        <v>16.666666666666671</v>
      </c>
      <c r="AR420" s="580">
        <f>INPUT!CO229</f>
        <v>1288</v>
      </c>
      <c r="AS420" s="577">
        <f>INPUT!CP229</f>
        <v>14.48888888888888</v>
      </c>
      <c r="AT420" s="580">
        <f>INPUT!CQ229</f>
        <v>1282</v>
      </c>
      <c r="AU420" s="577">
        <f>INPUT!CR229</f>
        <v>0.70699135899450027</v>
      </c>
      <c r="AV420" s="580">
        <f>INPUT!CS229</f>
        <v>1223</v>
      </c>
      <c r="AW420" s="577">
        <f>INPUT!CT229</f>
        <v>4.9785407725321988</v>
      </c>
      <c r="AX420" s="580">
        <f>INPUT!CU229</f>
        <v>1220</v>
      </c>
      <c r="AY420" s="577">
        <f>INPUT!CV229</f>
        <v>-6.7990832696714989</v>
      </c>
      <c r="AZ420" s="580">
        <f>INPUT!CW229</f>
        <v>1221</v>
      </c>
      <c r="BA420" s="577">
        <f>INPUT!CX229</f>
        <v>-5.2018633540372576</v>
      </c>
      <c r="BB420" s="580">
        <f>INPUT!CY229</f>
        <v>1241</v>
      </c>
      <c r="BC420" s="577">
        <f>INPUT!CZ229</f>
        <v>-3.1981279251170065</v>
      </c>
      <c r="BD420" s="580">
        <f>INPUT!DA229</f>
        <v>1226</v>
      </c>
      <c r="BE420" s="577">
        <f>INPUT!DB229</f>
        <v>0.24529844644317222</v>
      </c>
      <c r="BF420" s="580">
        <f>INPUT!DC229</f>
        <v>1228</v>
      </c>
      <c r="BG420" s="577">
        <f>INPUT!DD229</f>
        <v>0.65573770491802463</v>
      </c>
      <c r="BH420" s="580">
        <f>INPUT!DE229</f>
        <v>1221</v>
      </c>
      <c r="BI420" s="577">
        <f>INPUT!DF229</f>
        <v>0</v>
      </c>
      <c r="BJ420" s="580">
        <f>INPUT!DG229</f>
        <v>1171</v>
      </c>
      <c r="BK420" s="577">
        <f>INPUT!DH229</f>
        <v>-5.6406124093472982</v>
      </c>
      <c r="BL420" s="580">
        <f>INPUT!DI229</f>
        <v>1194</v>
      </c>
      <c r="BM420" s="577">
        <f>INPUT!DJ229</f>
        <v>-2.6101141924959279</v>
      </c>
      <c r="BN420" s="580">
        <f>INPUT!DK229</f>
        <v>1173</v>
      </c>
      <c r="BO420" s="577">
        <f>INPUT!DL229</f>
        <v>-4.4788273615635177</v>
      </c>
      <c r="BP420" s="580">
        <f>INPUT!DM229</f>
        <v>1165</v>
      </c>
      <c r="BQ420" s="577">
        <f>INPUT!DN229</f>
        <v>-4.5864045864045977</v>
      </c>
      <c r="BR420" s="580">
        <f>INPUT!DO229</f>
        <v>1168</v>
      </c>
      <c r="BS420" s="577">
        <f>INPUT!DP229</f>
        <v>-0.25619128949615799</v>
      </c>
      <c r="BT420" s="580">
        <f>INPUT!DQ229</f>
        <v>1120</v>
      </c>
      <c r="BU420" s="577">
        <f>INPUT!DR229</f>
        <v>-6.1976549413735285</v>
      </c>
      <c r="BV420" s="580">
        <f>INPUT!DS229</f>
        <v>1098</v>
      </c>
      <c r="BW420" s="577">
        <f>INPUT!DT229</f>
        <v>-6.3938618925831179</v>
      </c>
      <c r="BX420" s="580">
        <f>INPUT!DU229</f>
        <v>1127</v>
      </c>
      <c r="BY420" s="577">
        <f>INPUT!DV229</f>
        <v>-3.2618025751072963</v>
      </c>
      <c r="BZ420" s="580">
        <f>INPUT!DW229</f>
        <v>1123</v>
      </c>
      <c r="CA420" s="577">
        <f>INPUT!DX229</f>
        <v>-3.8527397260273943</v>
      </c>
      <c r="CB420" s="580">
        <f>INPUT!DY229</f>
        <v>1120</v>
      </c>
      <c r="CC420" s="577">
        <f>INPUT!DZ229</f>
        <v>0</v>
      </c>
      <c r="CD420" s="580">
        <f>INPUT!EA229</f>
        <v>1158</v>
      </c>
      <c r="CE420" s="577">
        <f>INPUT!EB229</f>
        <v>5.4644808743169477</v>
      </c>
      <c r="CF420" s="580">
        <f>INPUT!EC229</f>
        <v>1194</v>
      </c>
      <c r="CG420" s="577">
        <f>INPUT!ED229</f>
        <v>5.9449866903283066</v>
      </c>
      <c r="CH420" s="580">
        <f>INPUT!EE229</f>
        <v>1152</v>
      </c>
      <c r="CI420" s="577">
        <f>INPUT!EF229</f>
        <v>2.5823686553873415</v>
      </c>
      <c r="CJ420" s="580">
        <f>INPUT!EG229</f>
        <v>1146</v>
      </c>
      <c r="CK420" s="577">
        <f>INPUT!EH229</f>
        <v>2.3214285714285694</v>
      </c>
      <c r="CL420" s="580">
        <f>INPUT!EI229</f>
        <v>1196</v>
      </c>
      <c r="CM420" s="577">
        <f>INPUT!EJ229</f>
        <v>3.2815198618307448</v>
      </c>
      <c r="CN420" s="580">
        <f>INPUT!EK229</f>
        <v>1190</v>
      </c>
      <c r="CO420" s="577">
        <f>INPUT!EL229</f>
        <v>-0.33500837520938376</v>
      </c>
      <c r="CP420" s="580">
        <f>INPUT!EM229</f>
        <v>1185</v>
      </c>
      <c r="CQ420" s="577">
        <f>INPUT!EN229</f>
        <v>2.8645833333333286</v>
      </c>
      <c r="CR420" s="580">
        <f>INPUT!EO229</f>
        <v>1177</v>
      </c>
      <c r="CS420" s="577">
        <f>INPUT!EP229</f>
        <v>2.705061082024443</v>
      </c>
      <c r="CT420" s="580">
        <f>INPUT!EQ229</f>
        <v>1188.7700000000002</v>
      </c>
      <c r="CU420" s="577">
        <f>INPUT!ER229</f>
        <v>-0.6045150501672083</v>
      </c>
      <c r="CV420" s="580">
        <f>INPUT!ES229</f>
        <v>1200.6577000000002</v>
      </c>
      <c r="CW420" s="577">
        <f>INPUT!ET229</f>
        <v>0.89560504201682534</v>
      </c>
      <c r="CX420" s="580">
        <f>INPUT!EU229</f>
        <v>1212.6642770000001</v>
      </c>
      <c r="CY420" s="577">
        <f>INPUT!EV229</f>
        <v>2.3345381434599233</v>
      </c>
      <c r="CZ420" s="580">
        <f>INPUT!EW229</f>
        <v>1224.7909197700001</v>
      </c>
      <c r="DA420" s="577">
        <f>INPUT!EX229</f>
        <v>4.0604009999999988</v>
      </c>
      <c r="DB420" s="580"/>
      <c r="DC420" s="580">
        <f>INPUT!FP229</f>
        <v>3561</v>
      </c>
      <c r="DD420" s="577">
        <f>INPUT!FQ229</f>
        <v>8.1713244228432558</v>
      </c>
      <c r="DE420" s="580">
        <f>INPUT!FR229</f>
        <v>3863</v>
      </c>
      <c r="DF420" s="577">
        <f>INPUT!FS229</f>
        <v>8.480763830384717</v>
      </c>
      <c r="DG420" s="580">
        <f>INPUT!FT229</f>
        <v>4045</v>
      </c>
      <c r="DH420" s="577">
        <f>INPUT!FU229</f>
        <v>4.7113642246958278</v>
      </c>
      <c r="DI420" s="580">
        <f>INPUT!FV229</f>
        <v>4227</v>
      </c>
      <c r="DJ420" s="577">
        <f>INPUT!FW229</f>
        <v>4.4993819530284327</v>
      </c>
      <c r="DK420" s="580">
        <f>INPUT!FX229</f>
        <v>4535</v>
      </c>
      <c r="DL420" s="577">
        <f>INPUT!FY229</f>
        <v>7.2864916016087022</v>
      </c>
      <c r="DM420" s="580">
        <f>INPUT!FZ229</f>
        <v>4685</v>
      </c>
      <c r="DN420" s="577">
        <f>INPUT!GA229</f>
        <v>3.3076074972436516</v>
      </c>
      <c r="DO420" s="580">
        <f>INPUT!GB229</f>
        <v>5102</v>
      </c>
      <c r="DP420" s="577">
        <f>INPUT!GC229</f>
        <v>8.9007470651013705</v>
      </c>
      <c r="DQ420" s="580">
        <f>INPUT!GD229</f>
        <v>4908</v>
      </c>
      <c r="DR420" s="577">
        <f>INPUT!GE229</f>
        <v>-3.802430419443354</v>
      </c>
      <c r="DS420" s="580">
        <f>INPUT!GF229</f>
        <v>4814</v>
      </c>
      <c r="DT420" s="577">
        <f>INPUT!GG229</f>
        <v>-1.9152404237978828</v>
      </c>
      <c r="DU420" s="580">
        <f>INPUT!GH229</f>
        <v>4626</v>
      </c>
      <c r="DV420" s="577">
        <f>INPUT!GI229</f>
        <v>-3.9052762775238818</v>
      </c>
      <c r="DW420" s="580">
        <f>INPUT!GJ229</f>
        <v>4468</v>
      </c>
      <c r="DX420" s="577">
        <f>INPUT!GK229</f>
        <v>-3.4154777345438845</v>
      </c>
      <c r="DY420" s="580">
        <f>INPUT!GL229</f>
        <v>4650</v>
      </c>
      <c r="DZ420" s="577">
        <f>INPUT!GM229</f>
        <v>4.0734109221127994</v>
      </c>
      <c r="EA420" s="580">
        <f>INPUT!GN229</f>
        <v>4748</v>
      </c>
      <c r="EB420" s="577">
        <f>INPUT!GO229</f>
        <v>2.1075268817204176</v>
      </c>
      <c r="EC420" s="580">
        <f>INPUT!GP229</f>
        <v>4826.882896770001</v>
      </c>
      <c r="ED420" s="577">
        <f>INPUT!GQ229</f>
        <v>1.6613920970935254</v>
      </c>
      <c r="EE420" s="580">
        <f>INPUT!GR229</f>
        <v>5031.3590065686012</v>
      </c>
      <c r="EF420" s="577">
        <f>INPUT!GS229</f>
        <v>4.236193712829234</v>
      </c>
      <c r="EG420" s="580">
        <f>INPUT!GT229</f>
        <v>5244.6982083948133</v>
      </c>
      <c r="EH420" s="577">
        <f>INPUT!GU229</f>
        <v>4.2401904047731733</v>
      </c>
      <c r="EI420" s="580">
        <f>INPUT!GV229</f>
        <v>5467.2960687878822</v>
      </c>
      <c r="EJ420" s="577">
        <f>INPUT!GW229</f>
        <v>4.2442453607105932</v>
      </c>
      <c r="EK420" s="580">
        <f>INPUT!GX229</f>
        <v>5699.5664395201102</v>
      </c>
      <c r="EL420" s="577">
        <f>INPUT!GY229</f>
        <v>4.2483591122535245</v>
      </c>
      <c r="EM420" s="577">
        <f>INPUT!GZ229</f>
        <v>3.7208869870745787</v>
      </c>
    </row>
    <row r="421" spans="1:143" ht="12.75" hidden="1" customHeight="1" outlineLevel="1" x14ac:dyDescent="0.2">
      <c r="A421" s="579" t="str">
        <f>INPUT!B230</f>
        <v>Net Investment Income</v>
      </c>
      <c r="B421" s="580">
        <f>INPUT!AY230</f>
        <v>148</v>
      </c>
      <c r="C421" s="577">
        <f>INPUT!AZ230</f>
        <v>-1.9867549668874176</v>
      </c>
      <c r="D421" s="580">
        <f>INPUT!BA230</f>
        <v>153</v>
      </c>
      <c r="E421" s="577">
        <f>INPUT!BB230</f>
        <v>3.3783783783783718</v>
      </c>
      <c r="F421" s="580">
        <f>INPUT!BC230</f>
        <v>157</v>
      </c>
      <c r="G421" s="577">
        <f>INPUT!BD230</f>
        <v>6.8027210884353764</v>
      </c>
      <c r="H421" s="580">
        <f>INPUT!BE230</f>
        <v>163</v>
      </c>
      <c r="I421" s="577">
        <f>INPUT!BF230</f>
        <v>10.884353741496582</v>
      </c>
      <c r="J421" s="580">
        <f>INPUT!BG230</f>
        <v>164</v>
      </c>
      <c r="K421" s="577">
        <f>INPUT!BH230</f>
        <v>10.810810810810807</v>
      </c>
      <c r="L421" s="580">
        <f>INPUT!BI230</f>
        <v>166</v>
      </c>
      <c r="M421" s="577">
        <f>INPUT!BJ230</f>
        <v>8.4967320261437891</v>
      </c>
      <c r="N421" s="580">
        <f>INPUT!BK230</f>
        <v>170</v>
      </c>
      <c r="O421" s="577">
        <f>INPUT!BL230</f>
        <v>8.2802547770700556</v>
      </c>
      <c r="P421" s="580">
        <f>INPUT!BM230</f>
        <v>171</v>
      </c>
      <c r="Q421" s="577">
        <f>INPUT!BN230</f>
        <v>4.9079754601226995</v>
      </c>
      <c r="R421" s="580">
        <f>INPUT!BO230</f>
        <v>163</v>
      </c>
      <c r="S421" s="577">
        <f>INPUT!BP230</f>
        <v>-0.60975609756097526</v>
      </c>
      <c r="T421" s="580">
        <f>INPUT!BQ230</f>
        <v>161</v>
      </c>
      <c r="U421" s="577">
        <f>INPUT!BR230</f>
        <v>-3.0120481927710898</v>
      </c>
      <c r="V421" s="580">
        <f>INPUT!BS230</f>
        <v>162</v>
      </c>
      <c r="W421" s="577">
        <f>INPUT!BT230</f>
        <v>-4.7058823529411882</v>
      </c>
      <c r="X421" s="580">
        <f>INPUT!BU230</f>
        <v>161</v>
      </c>
      <c r="Y421" s="577">
        <f>INPUT!BV230</f>
        <v>-5.8479532163742647</v>
      </c>
      <c r="Z421" s="580">
        <f>INPUT!BW230</f>
        <v>156</v>
      </c>
      <c r="AA421" s="577">
        <f>INPUT!BX230</f>
        <v>-4.2944785276073532</v>
      </c>
      <c r="AB421" s="580">
        <f>INPUT!BY230</f>
        <v>150</v>
      </c>
      <c r="AC421" s="577">
        <f>INPUT!BZ230</f>
        <v>-6.8322981366459601</v>
      </c>
      <c r="AD421" s="580">
        <f>INPUT!CA230</f>
        <v>156</v>
      </c>
      <c r="AE421" s="577">
        <f>INPUT!CB230</f>
        <v>-3.7037037037037095</v>
      </c>
      <c r="AF421" s="580">
        <f>INPUT!CC230</f>
        <v>161</v>
      </c>
      <c r="AG421" s="577">
        <f>INPUT!CD230</f>
        <v>0</v>
      </c>
      <c r="AH421" s="580">
        <f>INPUT!CE230</f>
        <v>162</v>
      </c>
      <c r="AI421" s="577">
        <f>INPUT!CF230</f>
        <v>3.8461538461538538</v>
      </c>
      <c r="AJ421" s="580">
        <f>INPUT!CG230</f>
        <v>166</v>
      </c>
      <c r="AK421" s="577">
        <f>INPUT!CH230</f>
        <v>10.666666666666671</v>
      </c>
      <c r="AL421" s="580">
        <f>INPUT!CI230</f>
        <v>169</v>
      </c>
      <c r="AM421" s="577">
        <f>INPUT!CJ230</f>
        <v>8.3333333333333286</v>
      </c>
      <c r="AN421" s="580">
        <f>INPUT!CK230</f>
        <v>171</v>
      </c>
      <c r="AO421" s="577">
        <f>INPUT!CL230</f>
        <v>6.2111801242235885</v>
      </c>
      <c r="AP421" s="580">
        <f>INPUT!CM230</f>
        <v>171</v>
      </c>
      <c r="AQ421" s="577">
        <f>INPUT!CN230</f>
        <v>5.5555555555555571</v>
      </c>
      <c r="AR421" s="580">
        <f>INPUT!CO230</f>
        <v>173</v>
      </c>
      <c r="AS421" s="577">
        <f>INPUT!CP230</f>
        <v>4.2168674698795314</v>
      </c>
      <c r="AT421" s="580">
        <f>INPUT!CQ230</f>
        <v>145</v>
      </c>
      <c r="AU421" s="577">
        <f>INPUT!CR230</f>
        <v>-14.201183431952657</v>
      </c>
      <c r="AV421" s="580">
        <f>INPUT!CS230</f>
        <v>140</v>
      </c>
      <c r="AW421" s="577">
        <f>INPUT!CT230</f>
        <v>-18.128654970760238</v>
      </c>
      <c r="AX421" s="580">
        <f>INPUT!CU230</f>
        <v>146</v>
      </c>
      <c r="AY421" s="577">
        <f>INPUT!CV230</f>
        <v>-14.619883040935676</v>
      </c>
      <c r="AZ421" s="580">
        <f>INPUT!CW230</f>
        <v>146</v>
      </c>
      <c r="BA421" s="577">
        <f>INPUT!CX230</f>
        <v>-15.606936416184965</v>
      </c>
      <c r="BB421" s="580">
        <f>INPUT!CY230</f>
        <v>148</v>
      </c>
      <c r="BC421" s="577">
        <f>INPUT!CZ230</f>
        <v>2.0689655172413808</v>
      </c>
      <c r="BD421" s="580">
        <f>INPUT!DA230</f>
        <v>146</v>
      </c>
      <c r="BE421" s="577">
        <f>INPUT!DB230</f>
        <v>4.2857142857142918</v>
      </c>
      <c r="BF421" s="580">
        <f>INPUT!DC230</f>
        <v>143</v>
      </c>
      <c r="BG421" s="577">
        <f>INPUT!DD230</f>
        <v>-2.0547945205479436</v>
      </c>
      <c r="BH421" s="580">
        <f>INPUT!DE230</f>
        <v>150</v>
      </c>
      <c r="BI421" s="577">
        <f>INPUT!DF230</f>
        <v>2.7397260273972677</v>
      </c>
      <c r="BJ421" s="580">
        <f>INPUT!DG230</f>
        <v>144</v>
      </c>
      <c r="BK421" s="577">
        <f>INPUT!DH230</f>
        <v>-2.7027027027026946</v>
      </c>
      <c r="BL421" s="580">
        <f>INPUT!DI230</f>
        <v>148</v>
      </c>
      <c r="BM421" s="577">
        <f>INPUT!DJ230</f>
        <v>1.3698630136986338</v>
      </c>
      <c r="BN421" s="580">
        <f>INPUT!DK230</f>
        <v>159</v>
      </c>
      <c r="BO421" s="577">
        <f>INPUT!DL230</f>
        <v>11.188811188811187</v>
      </c>
      <c r="BP421" s="580">
        <f>INPUT!DM230</f>
        <v>145</v>
      </c>
      <c r="BQ421" s="577">
        <f>INPUT!DN230</f>
        <v>-3.3333333333333286</v>
      </c>
      <c r="BR421" s="580">
        <f>INPUT!DO230</f>
        <v>155</v>
      </c>
      <c r="BS421" s="577">
        <f>INPUT!DP230</f>
        <v>7.6388888888888857</v>
      </c>
      <c r="BT421" s="580">
        <f>INPUT!DQ230</f>
        <v>154</v>
      </c>
      <c r="BU421" s="577">
        <f>INPUT!DR230</f>
        <v>4.0540540540540633</v>
      </c>
      <c r="BV421" s="580">
        <f>INPUT!DS230</f>
        <v>146</v>
      </c>
      <c r="BW421" s="577">
        <f>INPUT!DT230</f>
        <v>-8.1761006289308114</v>
      </c>
      <c r="BX421" s="580">
        <f>INPUT!DU230</f>
        <v>142</v>
      </c>
      <c r="BY421" s="577">
        <f>INPUT!DV230</f>
        <v>-2.0689655172413808</v>
      </c>
      <c r="BZ421" s="580">
        <f>INPUT!DW230</f>
        <v>157</v>
      </c>
      <c r="CA421" s="577">
        <f>INPUT!DX230</f>
        <v>1.2903225806451672</v>
      </c>
      <c r="CB421" s="580">
        <f>INPUT!DY230</f>
        <v>141</v>
      </c>
      <c r="CC421" s="577">
        <f>INPUT!DZ230</f>
        <v>-8.4415584415584419</v>
      </c>
      <c r="CD421" s="580">
        <f>INPUT!EA230</f>
        <v>146</v>
      </c>
      <c r="CE421" s="577">
        <f>INPUT!EB230</f>
        <v>0</v>
      </c>
      <c r="CF421" s="580">
        <f>INPUT!EC230</f>
        <v>148</v>
      </c>
      <c r="CG421" s="577">
        <f>INPUT!ED230</f>
        <v>4.2253521126760489</v>
      </c>
      <c r="CH421" s="580">
        <f>INPUT!EE230</f>
        <v>156</v>
      </c>
      <c r="CI421" s="577">
        <f>INPUT!EF230</f>
        <v>-0.63694267515923286</v>
      </c>
      <c r="CJ421" s="580">
        <f>INPUT!EG230</f>
        <v>158</v>
      </c>
      <c r="CK421" s="577">
        <f>INPUT!EH230</f>
        <v>12.056737588652481</v>
      </c>
      <c r="CL421" s="580">
        <f>INPUT!EI230</f>
        <v>165</v>
      </c>
      <c r="CM421" s="577">
        <f>INPUT!EJ230</f>
        <v>13.013698630137</v>
      </c>
      <c r="CN421" s="580">
        <f>INPUT!EK230</f>
        <v>153</v>
      </c>
      <c r="CO421" s="577">
        <f>INPUT!EL230</f>
        <v>3.3783783783783718</v>
      </c>
      <c r="CP421" s="580">
        <f>INPUT!EM230</f>
        <v>155</v>
      </c>
      <c r="CQ421" s="577">
        <f>INPUT!EN230</f>
        <v>-0.6410256410256352</v>
      </c>
      <c r="CR421" s="580">
        <f>INPUT!EO230</f>
        <v>164</v>
      </c>
      <c r="CS421" s="577">
        <f>INPUT!EP230</f>
        <v>3.7974683544303787</v>
      </c>
      <c r="CT421" s="580">
        <f>INPUT!EQ230</f>
        <v>165.64000000000001</v>
      </c>
      <c r="CU421" s="577">
        <f>INPUT!ER230</f>
        <v>0.38787878787880459</v>
      </c>
      <c r="CV421" s="580">
        <f>INPUT!ES230</f>
        <v>167.29640000000001</v>
      </c>
      <c r="CW421" s="577">
        <f>INPUT!ET230</f>
        <v>9.3440522875817038</v>
      </c>
      <c r="CX421" s="580">
        <f>INPUT!EU230</f>
        <v>168.96936400000001</v>
      </c>
      <c r="CY421" s="577">
        <f>INPUT!EV230</f>
        <v>9.0124929032258052</v>
      </c>
      <c r="CZ421" s="580">
        <f>INPUT!EW230</f>
        <v>170.65905764000001</v>
      </c>
      <c r="DA421" s="577">
        <f>INPUT!EX230</f>
        <v>4.0604009999999988</v>
      </c>
      <c r="DB421" s="580"/>
      <c r="DC421" s="580">
        <f>INPUT!FP230</f>
        <v>593</v>
      </c>
      <c r="DD421" s="577">
        <f>INPUT!FQ230</f>
        <v>5.7040998217468939</v>
      </c>
      <c r="DE421" s="580">
        <f>INPUT!FR230</f>
        <v>621</v>
      </c>
      <c r="DF421" s="577">
        <f>INPUT!FS230</f>
        <v>4.7217537942664478</v>
      </c>
      <c r="DG421" s="580">
        <f>INPUT!FT230</f>
        <v>671</v>
      </c>
      <c r="DH421" s="577">
        <f>INPUT!FU230</f>
        <v>8.0515297906602115</v>
      </c>
      <c r="DI421" s="580">
        <f>INPUT!FV230</f>
        <v>647</v>
      </c>
      <c r="DJ421" s="577">
        <f>INPUT!FW230</f>
        <v>-3.576751117734716</v>
      </c>
      <c r="DK421" s="580">
        <f>INPUT!FX230</f>
        <v>623</v>
      </c>
      <c r="DL421" s="577">
        <f>INPUT!FY230</f>
        <v>-3.7094281298299876</v>
      </c>
      <c r="DM421" s="580">
        <f>INPUT!FZ230</f>
        <v>668</v>
      </c>
      <c r="DN421" s="577">
        <f>INPUT!GA230</f>
        <v>7.223113964687002</v>
      </c>
      <c r="DO421" s="580">
        <f>INPUT!GB230</f>
        <v>629</v>
      </c>
      <c r="DP421" s="577">
        <f>INPUT!GC230</f>
        <v>-5.8383233532934184</v>
      </c>
      <c r="DQ421" s="580">
        <f>INPUT!GD230</f>
        <v>586</v>
      </c>
      <c r="DR421" s="577">
        <f>INPUT!GE230</f>
        <v>-6.8362480127185989</v>
      </c>
      <c r="DS421" s="580">
        <f>INPUT!GF230</f>
        <v>585</v>
      </c>
      <c r="DT421" s="577">
        <f>INPUT!GG230</f>
        <v>-0.1706484641638184</v>
      </c>
      <c r="DU421" s="580">
        <f>INPUT!GH230</f>
        <v>613</v>
      </c>
      <c r="DV421" s="577">
        <f>INPUT!GI230</f>
        <v>4.7863247863247977</v>
      </c>
      <c r="DW421" s="580">
        <f>INPUT!GJ230</f>
        <v>586</v>
      </c>
      <c r="DX421" s="577">
        <f>INPUT!GK230</f>
        <v>-4.4045676998368748</v>
      </c>
      <c r="DY421" s="580">
        <f>INPUT!GL230</f>
        <v>608</v>
      </c>
      <c r="DZ421" s="577">
        <f>INPUT!GM230</f>
        <v>3.7542662116040901</v>
      </c>
      <c r="EA421" s="580">
        <f>INPUT!GN230</f>
        <v>637</v>
      </c>
      <c r="EB421" s="577">
        <f>INPUT!GO230</f>
        <v>4.7697368421052602</v>
      </c>
      <c r="EC421" s="580">
        <f>INPUT!GP230</f>
        <v>672.5648216400001</v>
      </c>
      <c r="ED421" s="577">
        <f>INPUT!GQ230</f>
        <v>5.5831745117739473</v>
      </c>
      <c r="EE421" s="580">
        <f>INPUT!GR230</f>
        <v>699.46741450560012</v>
      </c>
      <c r="EF421" s="577">
        <f>INPUT!GS230</f>
        <v>4</v>
      </c>
      <c r="EG421" s="580">
        <f>INPUT!GT230</f>
        <v>727.4461110858241</v>
      </c>
      <c r="EH421" s="577">
        <f>INPUT!GU230</f>
        <v>4</v>
      </c>
      <c r="EI421" s="580">
        <f>INPUT!GV230</f>
        <v>756.54395552925712</v>
      </c>
      <c r="EJ421" s="577">
        <f>INPUT!GW230</f>
        <v>4</v>
      </c>
      <c r="EK421" s="580">
        <f>INPUT!GX230</f>
        <v>786.80571375042746</v>
      </c>
      <c r="EL421" s="577">
        <f>INPUT!GY230</f>
        <v>4</v>
      </c>
      <c r="EM421" s="577">
        <f>INPUT!GZ230</f>
        <v>4.3147242949610698</v>
      </c>
    </row>
    <row r="422" spans="1:143" ht="12.75" hidden="1" customHeight="1" outlineLevel="1" x14ac:dyDescent="0.2">
      <c r="A422" s="579" t="str">
        <f>INPUT!B231</f>
        <v>Commissions, Fees and Other Income</v>
      </c>
      <c r="B422" s="580">
        <f>INPUT!AY231</f>
        <v>17</v>
      </c>
      <c r="C422" s="577">
        <f>INPUT!AZ231</f>
        <v>88.888888888888886</v>
      </c>
      <c r="D422" s="580">
        <f>INPUT!BA231</f>
        <v>14</v>
      </c>
      <c r="E422" s="577">
        <f>INPUT!BB231</f>
        <v>40</v>
      </c>
      <c r="F422" s="580">
        <f>INPUT!BC231</f>
        <v>19</v>
      </c>
      <c r="G422" s="577">
        <f>INPUT!BD231</f>
        <v>46.153846153846132</v>
      </c>
      <c r="H422" s="580">
        <f>INPUT!BE231</f>
        <v>21</v>
      </c>
      <c r="I422" s="577">
        <f>INPUT!BF231</f>
        <v>50</v>
      </c>
      <c r="J422" s="580">
        <f>INPUT!BG231</f>
        <v>19</v>
      </c>
      <c r="K422" s="577">
        <f>INPUT!BH231</f>
        <v>11.764705882352942</v>
      </c>
      <c r="L422" s="580">
        <f>INPUT!BI231</f>
        <v>19</v>
      </c>
      <c r="M422" s="577">
        <f>INPUT!BJ231</f>
        <v>35.714285714285722</v>
      </c>
      <c r="N422" s="580">
        <f>INPUT!BK231</f>
        <v>26</v>
      </c>
      <c r="O422" s="577">
        <f>INPUT!BL231</f>
        <v>36.84210526315789</v>
      </c>
      <c r="P422" s="580">
        <f>INPUT!BM231</f>
        <v>19</v>
      </c>
      <c r="Q422" s="577">
        <f>INPUT!BN231</f>
        <v>-9.5238095238095184</v>
      </c>
      <c r="R422" s="580">
        <f>INPUT!BO231</f>
        <v>21</v>
      </c>
      <c r="S422" s="577">
        <f>INPUT!BP231</f>
        <v>10.526315789473699</v>
      </c>
      <c r="T422" s="580">
        <f>INPUT!BQ231</f>
        <v>22</v>
      </c>
      <c r="U422" s="577">
        <f>INPUT!BR231</f>
        <v>15.789473684210535</v>
      </c>
      <c r="V422" s="580">
        <f>INPUT!BS231</f>
        <v>22</v>
      </c>
      <c r="W422" s="577">
        <f>INPUT!BT231</f>
        <v>-15.384615384615387</v>
      </c>
      <c r="X422" s="580">
        <f>INPUT!BU231</f>
        <v>21</v>
      </c>
      <c r="Y422" s="577">
        <f>INPUT!BV231</f>
        <v>10.526315789473699</v>
      </c>
      <c r="Z422" s="580">
        <f>INPUT!BW231</f>
        <v>30</v>
      </c>
      <c r="AA422" s="577">
        <f>INPUT!BX231</f>
        <v>42.857142857142861</v>
      </c>
      <c r="AB422" s="580">
        <f>INPUT!BY231</f>
        <v>33</v>
      </c>
      <c r="AC422" s="577">
        <f>INPUT!BZ231</f>
        <v>50</v>
      </c>
      <c r="AD422" s="580">
        <f>INPUT!CA231</f>
        <v>36</v>
      </c>
      <c r="AE422" s="577">
        <f>INPUT!CB231</f>
        <v>63.636363636363654</v>
      </c>
      <c r="AF422" s="580">
        <f>INPUT!CC231</f>
        <v>28</v>
      </c>
      <c r="AG422" s="577">
        <f>INPUT!CD231</f>
        <v>33.333333333333314</v>
      </c>
      <c r="AH422" s="580">
        <f>INPUT!CE231</f>
        <v>27</v>
      </c>
      <c r="AI422" s="577">
        <f>INPUT!CF231</f>
        <v>-10</v>
      </c>
      <c r="AJ422" s="580">
        <f>INPUT!CG231</f>
        <v>25</v>
      </c>
      <c r="AK422" s="577">
        <f>INPUT!CH231</f>
        <v>-24.242424242424249</v>
      </c>
      <c r="AL422" s="580">
        <f>INPUT!CI231</f>
        <v>24</v>
      </c>
      <c r="AM422" s="577">
        <f>INPUT!CJ231</f>
        <v>-33.333333333333343</v>
      </c>
      <c r="AN422" s="580">
        <f>INPUT!CK231</f>
        <v>29</v>
      </c>
      <c r="AO422" s="577">
        <f>INPUT!CL231</f>
        <v>3.5714285714285836</v>
      </c>
      <c r="AP422" s="580">
        <f>INPUT!CM231</f>
        <v>26</v>
      </c>
      <c r="AQ422" s="577">
        <f>INPUT!CN231</f>
        <v>-3.7037037037037095</v>
      </c>
      <c r="AR422" s="580">
        <f>INPUT!CO231</f>
        <v>25</v>
      </c>
      <c r="AS422" s="577">
        <f>INPUT!CP231</f>
        <v>0</v>
      </c>
      <c r="AT422" s="580">
        <f>INPUT!CQ231</f>
        <v>20</v>
      </c>
      <c r="AU422" s="577">
        <f>INPUT!CR231</f>
        <v>-16.666666666666657</v>
      </c>
      <c r="AV422" s="580">
        <f>INPUT!CS231</f>
        <v>21</v>
      </c>
      <c r="AW422" s="577">
        <f>INPUT!CT231</f>
        <v>-27.58620689655173</v>
      </c>
      <c r="AX422" s="580">
        <f>INPUT!CU231</f>
        <v>25</v>
      </c>
      <c r="AY422" s="577">
        <f>INPUT!CV231</f>
        <v>-3.8461538461538396</v>
      </c>
      <c r="AZ422" s="580">
        <f>INPUT!CW231</f>
        <v>25</v>
      </c>
      <c r="BA422" s="577">
        <f>INPUT!CX231</f>
        <v>0</v>
      </c>
      <c r="BB422" s="580">
        <f>INPUT!CY231</f>
        <v>31</v>
      </c>
      <c r="BC422" s="577">
        <f>INPUT!CZ231</f>
        <v>55</v>
      </c>
      <c r="BD422" s="580">
        <f>INPUT!DA231</f>
        <v>26</v>
      </c>
      <c r="BE422" s="577">
        <f>INPUT!DB231</f>
        <v>23.80952380952381</v>
      </c>
      <c r="BF422" s="580">
        <f>INPUT!DC231</f>
        <v>31</v>
      </c>
      <c r="BG422" s="577">
        <f>INPUT!DD231</f>
        <v>24</v>
      </c>
      <c r="BH422" s="580">
        <f>INPUT!DE231</f>
        <v>28</v>
      </c>
      <c r="BI422" s="577">
        <f>INPUT!DF231</f>
        <v>12.000000000000014</v>
      </c>
      <c r="BJ422" s="580">
        <f>INPUT!DG231</f>
        <v>27</v>
      </c>
      <c r="BK422" s="577">
        <f>INPUT!DH231</f>
        <v>-12.903225806451616</v>
      </c>
      <c r="BL422" s="580">
        <f>INPUT!DI231</f>
        <v>33</v>
      </c>
      <c r="BM422" s="577">
        <f>INPUT!DJ231</f>
        <v>26.92307692307692</v>
      </c>
      <c r="BN422" s="580">
        <f>INPUT!DK231</f>
        <v>30</v>
      </c>
      <c r="BO422" s="577">
        <f>INPUT!DL231</f>
        <v>-3.2258064516128968</v>
      </c>
      <c r="BP422" s="580">
        <f>INPUT!DM231</f>
        <v>32</v>
      </c>
      <c r="BQ422" s="577">
        <f>INPUT!DN231</f>
        <v>14.285714285714278</v>
      </c>
      <c r="BR422" s="580">
        <f>INPUT!DO231</f>
        <v>26</v>
      </c>
      <c r="BS422" s="577">
        <f>INPUT!DP231</f>
        <v>-3.7037037037037095</v>
      </c>
      <c r="BT422" s="580">
        <f>INPUT!DQ231</f>
        <v>30</v>
      </c>
      <c r="BU422" s="577">
        <f>INPUT!DR231</f>
        <v>-9.0909090909090935</v>
      </c>
      <c r="BV422" s="580">
        <f>INPUT!DS231</f>
        <v>33</v>
      </c>
      <c r="BW422" s="577">
        <f>INPUT!DT231</f>
        <v>10.000000000000014</v>
      </c>
      <c r="BX422" s="580">
        <f>INPUT!DU231</f>
        <v>22</v>
      </c>
      <c r="BY422" s="577">
        <f>INPUT!DV231</f>
        <v>-31.25</v>
      </c>
      <c r="BZ422" s="580">
        <f>INPUT!DW231</f>
        <v>14</v>
      </c>
      <c r="CA422" s="577">
        <f>INPUT!DX231</f>
        <v>-46.153846153846153</v>
      </c>
      <c r="CB422" s="580">
        <f>INPUT!DY231</f>
        <v>20</v>
      </c>
      <c r="CC422" s="577">
        <f>INPUT!DZ231</f>
        <v>-33.333333333333343</v>
      </c>
      <c r="CD422" s="580">
        <f>INPUT!EA231</f>
        <v>16</v>
      </c>
      <c r="CE422" s="577" t="str">
        <f>INPUT!EB231</f>
        <v>NM</v>
      </c>
      <c r="CF422" s="580">
        <f>INPUT!EC231</f>
        <v>22</v>
      </c>
      <c r="CG422" s="577">
        <f>INPUT!ED231</f>
        <v>0</v>
      </c>
      <c r="CH422" s="580">
        <f>INPUT!EE231</f>
        <v>25</v>
      </c>
      <c r="CI422" s="577">
        <f>INPUT!EF231</f>
        <v>78.571428571428584</v>
      </c>
      <c r="CJ422" s="580">
        <f>INPUT!EG231</f>
        <v>22</v>
      </c>
      <c r="CK422" s="577">
        <f>INPUT!EH231</f>
        <v>10.000000000000014</v>
      </c>
      <c r="CL422" s="580">
        <f>INPUT!EI231</f>
        <v>22</v>
      </c>
      <c r="CM422" s="577">
        <f>INPUT!EJ231</f>
        <v>37.5</v>
      </c>
      <c r="CN422" s="580">
        <f>INPUT!EK231</f>
        <v>19</v>
      </c>
      <c r="CO422" s="577">
        <f>INPUT!EL231</f>
        <v>-13.63636363636364</v>
      </c>
      <c r="CP422" s="580">
        <f>INPUT!EM231</f>
        <v>23</v>
      </c>
      <c r="CQ422" s="577">
        <f>INPUT!EN231</f>
        <v>-8</v>
      </c>
      <c r="CR422" s="580">
        <f>INPUT!EO231</f>
        <v>22</v>
      </c>
      <c r="CS422" s="577">
        <f>INPUT!EP231</f>
        <v>0</v>
      </c>
      <c r="CT422" s="580">
        <f>INPUT!EQ231</f>
        <v>22.22</v>
      </c>
      <c r="CU422" s="577">
        <f>INPUT!ER231</f>
        <v>1</v>
      </c>
      <c r="CV422" s="580">
        <f>INPUT!ES231</f>
        <v>22.4422</v>
      </c>
      <c r="CW422" s="577">
        <f>INPUT!ET231</f>
        <v>18.11684210526316</v>
      </c>
      <c r="CX422" s="580">
        <f>INPUT!EU231</f>
        <v>22.666622</v>
      </c>
      <c r="CY422" s="577">
        <f>INPUT!EV231</f>
        <v>-1.4494695652173846</v>
      </c>
      <c r="CZ422" s="580">
        <f>INPUT!EW231</f>
        <v>22.893288219999999</v>
      </c>
      <c r="DA422" s="577">
        <f>INPUT!EX231</f>
        <v>4.0604009999999988</v>
      </c>
      <c r="DB422" s="580"/>
      <c r="DC422" s="580">
        <f>INPUT!FP231</f>
        <v>46</v>
      </c>
      <c r="DD422" s="577">
        <f>INPUT!FQ231</f>
        <v>17.948717948717956</v>
      </c>
      <c r="DE422" s="580">
        <f>INPUT!FR231</f>
        <v>71</v>
      </c>
      <c r="DF422" s="577">
        <f>INPUT!FS231</f>
        <v>54.34782608695653</v>
      </c>
      <c r="DG422" s="580">
        <f>INPUT!FT231</f>
        <v>83</v>
      </c>
      <c r="DH422" s="577">
        <f>INPUT!FU231</f>
        <v>16.901408450704224</v>
      </c>
      <c r="DI422" s="580">
        <f>INPUT!FV231</f>
        <v>86</v>
      </c>
      <c r="DJ422" s="577">
        <f>INPUT!FW231</f>
        <v>3.6144578313252964</v>
      </c>
      <c r="DK422" s="580">
        <f>INPUT!FX231</f>
        <v>127</v>
      </c>
      <c r="DL422" s="577">
        <f>INPUT!FY231</f>
        <v>47.674418604651152</v>
      </c>
      <c r="DM422" s="580">
        <f>INPUT!FZ231</f>
        <v>105</v>
      </c>
      <c r="DN422" s="577">
        <f>INPUT!GA231</f>
        <v>-17.322834645669289</v>
      </c>
      <c r="DO422" s="580">
        <f>INPUT!GB231</f>
        <v>92</v>
      </c>
      <c r="DP422" s="577">
        <f>INPUT!GC231</f>
        <v>-12.38095238095238</v>
      </c>
      <c r="DQ422" s="580">
        <f>INPUT!GD231</f>
        <v>107</v>
      </c>
      <c r="DR422" s="577">
        <f>INPUT!GE231</f>
        <v>16.304347826086968</v>
      </c>
      <c r="DS422" s="580">
        <f>INPUT!GF231</f>
        <v>119</v>
      </c>
      <c r="DT422" s="577">
        <f>INPUT!GG231</f>
        <v>11.214953271028037</v>
      </c>
      <c r="DU422" s="580">
        <f>INPUT!GH231</f>
        <v>118</v>
      </c>
      <c r="DV422" s="577">
        <f>INPUT!GI231</f>
        <v>-0.84033613445377853</v>
      </c>
      <c r="DW422" s="580">
        <f>INPUT!GJ231</f>
        <v>89</v>
      </c>
      <c r="DX422" s="577">
        <f>INPUT!GK231</f>
        <v>-24.576271186440678</v>
      </c>
      <c r="DY422" s="580">
        <f>INPUT!GL231</f>
        <v>85</v>
      </c>
      <c r="DZ422" s="577">
        <f>INPUT!GM231</f>
        <v>-4.4943820224719104</v>
      </c>
      <c r="EA422" s="580">
        <f>INPUT!GN231</f>
        <v>86</v>
      </c>
      <c r="EB422" s="577">
        <f>INPUT!GO231</f>
        <v>1.1764705882352899</v>
      </c>
      <c r="EC422" s="580">
        <f>INPUT!GP231</f>
        <v>90.222110220000005</v>
      </c>
      <c r="ED422" s="577">
        <f>INPUT!GQ231</f>
        <v>4.9094304883720952</v>
      </c>
      <c r="EE422" s="580">
        <f>INPUT!GR231</f>
        <v>93.830994628800013</v>
      </c>
      <c r="EF422" s="577">
        <f>INPUT!GS231</f>
        <v>4</v>
      </c>
      <c r="EG422" s="580">
        <f>INPUT!GT231</f>
        <v>97.584234413952018</v>
      </c>
      <c r="EH422" s="577">
        <f>INPUT!GU231</f>
        <v>4</v>
      </c>
      <c r="EI422" s="580">
        <f>INPUT!GV231</f>
        <v>101.48760379051011</v>
      </c>
      <c r="EJ422" s="577">
        <f>INPUT!GW231</f>
        <v>4</v>
      </c>
      <c r="EK422" s="580">
        <f>INPUT!GX231</f>
        <v>105.54710794213051</v>
      </c>
      <c r="EL422" s="577">
        <f>INPUT!GY231</f>
        <v>4</v>
      </c>
      <c r="EM422" s="577">
        <f>INPUT!GZ231</f>
        <v>4.1812532124188229</v>
      </c>
    </row>
    <row r="423" spans="1:143" ht="12.75" hidden="1" customHeight="1" outlineLevel="1" x14ac:dyDescent="0.2">
      <c r="A423" s="575" t="str">
        <f>INPUT!B232</f>
        <v xml:space="preserve">  Total Revenues</v>
      </c>
      <c r="B423" s="581">
        <f>INPUT!AY232</f>
        <v>1109</v>
      </c>
      <c r="C423" s="577">
        <f>INPUT!AZ232</f>
        <v>5.4182509505703393</v>
      </c>
      <c r="D423" s="581">
        <f>INPUT!BA232</f>
        <v>1117</v>
      </c>
      <c r="E423" s="577">
        <f>INPUT!BB232</f>
        <v>5.3773584905660385</v>
      </c>
      <c r="F423" s="581">
        <f>INPUT!BC232</f>
        <v>1155</v>
      </c>
      <c r="G423" s="577">
        <f>INPUT!BD232</f>
        <v>11.271676300578036</v>
      </c>
      <c r="H423" s="581">
        <f>INPUT!BE232</f>
        <v>1174</v>
      </c>
      <c r="I423" s="577">
        <f>INPUT!BF232</f>
        <v>11.809523809523796</v>
      </c>
      <c r="J423" s="581">
        <f>INPUT!BG232</f>
        <v>1205</v>
      </c>
      <c r="K423" s="577">
        <f>INPUT!BH232</f>
        <v>8.6564472497745726</v>
      </c>
      <c r="L423" s="581">
        <f>INPUT!BI232</f>
        <v>1211</v>
      </c>
      <c r="M423" s="577">
        <f>INPUT!BJ232</f>
        <v>8.4153983885407229</v>
      </c>
      <c r="N423" s="581">
        <f>INPUT!BK232</f>
        <v>1203</v>
      </c>
      <c r="O423" s="577">
        <f>INPUT!BL232</f>
        <v>4.1558441558441643</v>
      </c>
      <c r="P423" s="581">
        <f>INPUT!BM232</f>
        <v>1180</v>
      </c>
      <c r="Q423" s="577">
        <f>INPUT!BN232</f>
        <v>0.51107325383303248</v>
      </c>
      <c r="R423" s="581">
        <f>INPUT!BO232</f>
        <v>1257</v>
      </c>
      <c r="S423" s="577">
        <f>INPUT!BP232</f>
        <v>4.3153526970954488</v>
      </c>
      <c r="T423" s="581">
        <f>INPUT!BQ232</f>
        <v>1218</v>
      </c>
      <c r="U423" s="577">
        <f>INPUT!BR232</f>
        <v>0.57803468208092568</v>
      </c>
      <c r="V423" s="581">
        <f>INPUT!BS232</f>
        <v>1232</v>
      </c>
      <c r="W423" s="577">
        <f>INPUT!BT232</f>
        <v>2.4106400665004202</v>
      </c>
      <c r="X423" s="581">
        <f>INPUT!BU232</f>
        <v>1253</v>
      </c>
      <c r="Y423" s="577">
        <f>INPUT!BV232</f>
        <v>6.1864406779661039</v>
      </c>
      <c r="Z423" s="581">
        <f>INPUT!BW232</f>
        <v>1333</v>
      </c>
      <c r="AA423" s="577">
        <f>INPUT!BX232</f>
        <v>6.0461416070007914</v>
      </c>
      <c r="AB423" s="581">
        <f>INPUT!BY232</f>
        <v>1303</v>
      </c>
      <c r="AC423" s="577">
        <f>INPUT!BZ232</f>
        <v>6.9786535303776702</v>
      </c>
      <c r="AD423" s="581">
        <f>INPUT!CA232</f>
        <v>1356</v>
      </c>
      <c r="AE423" s="577">
        <f>INPUT!CB232</f>
        <v>10.064935064935071</v>
      </c>
      <c r="AF423" s="581">
        <f>INPUT!CC232</f>
        <v>1293</v>
      </c>
      <c r="AG423" s="577">
        <f>INPUT!CD232</f>
        <v>3.1923383878691141</v>
      </c>
      <c r="AH423" s="581">
        <f>INPUT!CE232</f>
        <v>1311</v>
      </c>
      <c r="AI423" s="577">
        <f>INPUT!CF232</f>
        <v>-1.6504126031507838</v>
      </c>
      <c r="AJ423" s="581">
        <f>INPUT!CG232</f>
        <v>1316</v>
      </c>
      <c r="AK423" s="577">
        <f>INPUT!CH232</f>
        <v>0.997697620874888</v>
      </c>
      <c r="AL423" s="581">
        <f>INPUT!CI232</f>
        <v>1466</v>
      </c>
      <c r="AM423" s="577">
        <f>INPUT!CJ232</f>
        <v>8.112094395280252</v>
      </c>
      <c r="AN423" s="581">
        <f>INPUT!CK232</f>
        <v>1365</v>
      </c>
      <c r="AO423" s="577">
        <f>INPUT!CL232</f>
        <v>5.5684454756380575</v>
      </c>
      <c r="AP423" s="581">
        <f>INPUT!CM232</f>
        <v>1506</v>
      </c>
      <c r="AQ423" s="577">
        <f>INPUT!CN232</f>
        <v>14.874141876430215</v>
      </c>
      <c r="AR423" s="581">
        <f>INPUT!CO232</f>
        <v>1486</v>
      </c>
      <c r="AS423" s="577">
        <f>INPUT!CP232</f>
        <v>12.917933130699083</v>
      </c>
      <c r="AT423" s="581">
        <f>INPUT!CQ232</f>
        <v>1447</v>
      </c>
      <c r="AU423" s="577">
        <f>INPUT!CR232</f>
        <v>-1.2960436562073738</v>
      </c>
      <c r="AV423" s="581">
        <f>INPUT!CS232</f>
        <v>1384</v>
      </c>
      <c r="AW423" s="577">
        <f>INPUT!CT232</f>
        <v>1.391941391941387</v>
      </c>
      <c r="AX423" s="581">
        <f>INPUT!CU232</f>
        <v>1391</v>
      </c>
      <c r="AY423" s="577">
        <f>INPUT!CV232</f>
        <v>-7.6361221779548458</v>
      </c>
      <c r="AZ423" s="581">
        <f>INPUT!CW232</f>
        <v>1392</v>
      </c>
      <c r="BA423" s="577">
        <f>INPUT!CX232</f>
        <v>-6.3257065948855882</v>
      </c>
      <c r="BB423" s="581">
        <f>INPUT!CY232</f>
        <v>1420</v>
      </c>
      <c r="BC423" s="577">
        <f>INPUT!CZ232</f>
        <v>-1.8659295093296464</v>
      </c>
      <c r="BD423" s="581">
        <f>INPUT!DA232</f>
        <v>1398</v>
      </c>
      <c r="BE423" s="577">
        <f>INPUT!DB232</f>
        <v>1.0115606936416128</v>
      </c>
      <c r="BF423" s="581">
        <f>INPUT!DC232</f>
        <v>1402</v>
      </c>
      <c r="BG423" s="577">
        <f>INPUT!DD232</f>
        <v>0.79079798705967619</v>
      </c>
      <c r="BH423" s="581">
        <f>INPUT!DE232</f>
        <v>1399</v>
      </c>
      <c r="BI423" s="577">
        <f>INPUT!DF232</f>
        <v>0.50287356321838672</v>
      </c>
      <c r="BJ423" s="581">
        <f>INPUT!DG232</f>
        <v>1342</v>
      </c>
      <c r="BK423" s="577">
        <f>INPUT!DH232</f>
        <v>-5.4929577464788792</v>
      </c>
      <c r="BL423" s="581">
        <f>INPUT!DI232</f>
        <v>1375</v>
      </c>
      <c r="BM423" s="577">
        <f>INPUT!DJ232</f>
        <v>-1.645207439198856</v>
      </c>
      <c r="BN423" s="581">
        <f>INPUT!DK232</f>
        <v>1362</v>
      </c>
      <c r="BO423" s="577">
        <f>INPUT!DL232</f>
        <v>-2.8530670470756121</v>
      </c>
      <c r="BP423" s="581">
        <f>INPUT!DM232</f>
        <v>1342</v>
      </c>
      <c r="BQ423" s="577">
        <f>INPUT!DN232</f>
        <v>-4.0743388134381746</v>
      </c>
      <c r="BR423" s="581">
        <f>INPUT!DO232</f>
        <v>1349</v>
      </c>
      <c r="BS423" s="577">
        <f>INPUT!DP232</f>
        <v>0.52160953800297705</v>
      </c>
      <c r="BT423" s="581">
        <f>INPUT!DQ232</f>
        <v>1304</v>
      </c>
      <c r="BU423" s="577">
        <f>INPUT!DR232</f>
        <v>-5.1636363636363569</v>
      </c>
      <c r="BV423" s="581">
        <f>INPUT!DS232</f>
        <v>1277</v>
      </c>
      <c r="BW423" s="577">
        <f>INPUT!DT232</f>
        <v>-6.2408223201174735</v>
      </c>
      <c r="BX423" s="581">
        <f>INPUT!DU232</f>
        <v>1291</v>
      </c>
      <c r="BY423" s="577">
        <f>INPUT!DV232</f>
        <v>-3.8002980625931428</v>
      </c>
      <c r="BZ423" s="581">
        <f>INPUT!DW232</f>
        <v>1294</v>
      </c>
      <c r="CA423" s="577">
        <f>INPUT!DX232</f>
        <v>-4.0770941438102284</v>
      </c>
      <c r="CB423" s="581">
        <f>INPUT!DY232</f>
        <v>1281</v>
      </c>
      <c r="CC423" s="577">
        <f>INPUT!DZ232</f>
        <v>-1.7638036809815958</v>
      </c>
      <c r="CD423" s="581">
        <f>INPUT!EA232</f>
        <v>1320</v>
      </c>
      <c r="CE423" s="577">
        <f>INPUT!EB232</f>
        <v>3.367267032106497</v>
      </c>
      <c r="CF423" s="581">
        <f>INPUT!EC232</f>
        <v>1364</v>
      </c>
      <c r="CG423" s="577">
        <f>INPUT!ED232</f>
        <v>5.6545313710302025</v>
      </c>
      <c r="CH423" s="581">
        <f>INPUT!EE232</f>
        <v>1333</v>
      </c>
      <c r="CI423" s="577">
        <f>INPUT!EF232</f>
        <v>3.0139103554868569</v>
      </c>
      <c r="CJ423" s="581">
        <f>INPUT!EG232</f>
        <v>1326</v>
      </c>
      <c r="CK423" s="577">
        <f>INPUT!EH232</f>
        <v>3.5128805620609</v>
      </c>
      <c r="CL423" s="581">
        <f>INPUT!EI232</f>
        <v>1383</v>
      </c>
      <c r="CM423" s="577">
        <f>INPUT!EJ232</f>
        <v>4.7727272727272663</v>
      </c>
      <c r="CN423" s="581">
        <f>INPUT!EK232</f>
        <v>1362</v>
      </c>
      <c r="CO423" s="577">
        <f>INPUT!EL232</f>
        <v>-0.14662756598239923</v>
      </c>
      <c r="CP423" s="581">
        <f>INPUT!EM232</f>
        <v>1363</v>
      </c>
      <c r="CQ423" s="577">
        <f>INPUT!EN232</f>
        <v>2.2505626406601635</v>
      </c>
      <c r="CR423" s="581">
        <f>INPUT!EO232</f>
        <v>1363</v>
      </c>
      <c r="CS423" s="577">
        <f>INPUT!EP232</f>
        <v>2.7903469079939498</v>
      </c>
      <c r="CT423" s="581">
        <f>INPUT!EQ232</f>
        <v>1376.6300000000003</v>
      </c>
      <c r="CU423" s="577">
        <f>INPUT!ER232</f>
        <v>-0.46059291395515345</v>
      </c>
      <c r="CV423" s="581">
        <f>INPUT!ES232</f>
        <v>1390.3963000000001</v>
      </c>
      <c r="CW423" s="577">
        <f>INPUT!ET232</f>
        <v>2.0848972099853285</v>
      </c>
      <c r="CX423" s="581">
        <f>INPUT!EU232</f>
        <v>1404.3002630000001</v>
      </c>
      <c r="CY423" s="577">
        <f>INPUT!EV232</f>
        <v>3.0301000000000187</v>
      </c>
      <c r="CZ423" s="581">
        <f>INPUT!EW232</f>
        <v>1418.3432656299999</v>
      </c>
      <c r="DA423" s="577">
        <f>INPUT!EX232</f>
        <v>4.0604009999999988</v>
      </c>
      <c r="DB423" s="581"/>
      <c r="DC423" s="581">
        <f>INPUT!FP232</f>
        <v>4200</v>
      </c>
      <c r="DD423" s="577">
        <f>INPUT!FQ232</f>
        <v>7.9136690647481913</v>
      </c>
      <c r="DE423" s="581">
        <f>INPUT!FR232</f>
        <v>4555</v>
      </c>
      <c r="DF423" s="577">
        <f>INPUT!FS232</f>
        <v>8.452380952380949</v>
      </c>
      <c r="DG423" s="581">
        <f>INPUT!FT232</f>
        <v>4799</v>
      </c>
      <c r="DH423" s="577">
        <f>INPUT!FU232</f>
        <v>5.3567508232711418</v>
      </c>
      <c r="DI423" s="581">
        <f>INPUT!FV232</f>
        <v>4960</v>
      </c>
      <c r="DJ423" s="577">
        <f>INPUT!FW232</f>
        <v>3.3548655969993746</v>
      </c>
      <c r="DK423" s="581">
        <f>INPUT!FX232</f>
        <v>5285</v>
      </c>
      <c r="DL423" s="577">
        <f>INPUT!FY232</f>
        <v>6.5524193548387046</v>
      </c>
      <c r="DM423" s="581">
        <f>INPUT!FZ232</f>
        <v>5458</v>
      </c>
      <c r="DN423" s="577">
        <f>INPUT!GA232</f>
        <v>3.2734153263954653</v>
      </c>
      <c r="DO423" s="581">
        <f>INPUT!GB232</f>
        <v>5823</v>
      </c>
      <c r="DP423" s="577">
        <f>INPUT!GC232</f>
        <v>6.6874312935140949</v>
      </c>
      <c r="DQ423" s="581">
        <f>INPUT!GD232</f>
        <v>5601</v>
      </c>
      <c r="DR423" s="577">
        <f>INPUT!GE232</f>
        <v>-3.8124678001030361</v>
      </c>
      <c r="DS423" s="581">
        <f>INPUT!GF232</f>
        <v>5518</v>
      </c>
      <c r="DT423" s="577">
        <f>INPUT!GG232</f>
        <v>-1.4818782360292744</v>
      </c>
      <c r="DU423" s="581">
        <f>INPUT!GH232</f>
        <v>5357</v>
      </c>
      <c r="DV423" s="577">
        <f>INPUT!GI232</f>
        <v>-2.9177238129757086</v>
      </c>
      <c r="DW423" s="581">
        <f>INPUT!GJ232</f>
        <v>5143</v>
      </c>
      <c r="DX423" s="577">
        <f>INPUT!GK232</f>
        <v>-3.9947731939518434</v>
      </c>
      <c r="DY423" s="581">
        <f>INPUT!GL232</f>
        <v>5343</v>
      </c>
      <c r="DZ423" s="577">
        <f>INPUT!GM232</f>
        <v>3.8887808671981219</v>
      </c>
      <c r="EA423" s="581">
        <f>INPUT!GN232</f>
        <v>5471</v>
      </c>
      <c r="EB423" s="577">
        <f>INPUT!GO232</f>
        <v>2.3956578701104263</v>
      </c>
      <c r="EC423" s="581">
        <f>INPUT!GP232</f>
        <v>5589.6698286300016</v>
      </c>
      <c r="ED423" s="577">
        <f>INPUT!GQ232</f>
        <v>2.1690701632242906</v>
      </c>
      <c r="EE423" s="581">
        <f>INPUT!GR232</f>
        <v>5824.6574157030018</v>
      </c>
      <c r="EF423" s="577">
        <f>INPUT!GS232</f>
        <v>4.2039618488628037</v>
      </c>
      <c r="EG423" s="581">
        <f>INPUT!GT232</f>
        <v>6069.7285538945889</v>
      </c>
      <c r="EH423" s="577">
        <f>INPUT!GU232</f>
        <v>4.2074772935295215</v>
      </c>
      <c r="EI423" s="581">
        <f>INPUT!GV232</f>
        <v>6325.3276281076496</v>
      </c>
      <c r="EJ423" s="577">
        <f>INPUT!GW232</f>
        <v>4.2110462097857351</v>
      </c>
      <c r="EK423" s="581">
        <f>INPUT!GX232</f>
        <v>6591.9192612126681</v>
      </c>
      <c r="EL423" s="577">
        <f>INPUT!GY232</f>
        <v>4.2146691646512267</v>
      </c>
      <c r="EM423" s="577">
        <f>INPUT!GZ232</f>
        <v>3.7980113301367746</v>
      </c>
    </row>
    <row r="424" spans="1:143" ht="12.75" hidden="1" customHeight="1" outlineLevel="1" x14ac:dyDescent="0.2">
      <c r="A424" s="579"/>
      <c r="B424" s="580"/>
      <c r="C424" s="577"/>
      <c r="D424" s="580"/>
      <c r="E424" s="577"/>
      <c r="F424" s="580"/>
      <c r="G424" s="577"/>
      <c r="H424" s="580"/>
      <c r="I424" s="577"/>
      <c r="J424" s="580"/>
      <c r="K424" s="577"/>
      <c r="L424" s="580"/>
      <c r="M424" s="577"/>
      <c r="N424" s="580"/>
      <c r="O424" s="577"/>
      <c r="P424" s="580"/>
      <c r="Q424" s="577"/>
      <c r="R424" s="580"/>
      <c r="S424" s="577"/>
      <c r="T424" s="580"/>
      <c r="U424" s="577"/>
      <c r="V424" s="580"/>
      <c r="W424" s="577"/>
      <c r="X424" s="580"/>
      <c r="Y424" s="577"/>
      <c r="Z424" s="580"/>
      <c r="AA424" s="577"/>
      <c r="AB424" s="580"/>
      <c r="AC424" s="577"/>
      <c r="AD424" s="580"/>
      <c r="AE424" s="577"/>
      <c r="AF424" s="580"/>
      <c r="AG424" s="577"/>
      <c r="AH424" s="580"/>
      <c r="AI424" s="577"/>
      <c r="AJ424" s="580"/>
      <c r="AK424" s="577"/>
      <c r="AL424" s="580"/>
      <c r="AM424" s="577"/>
      <c r="AN424" s="580"/>
      <c r="AO424" s="577"/>
      <c r="AP424" s="580"/>
      <c r="AQ424" s="577"/>
      <c r="AR424" s="580"/>
      <c r="AS424" s="577"/>
      <c r="AT424" s="580"/>
      <c r="AU424" s="577"/>
      <c r="AV424" s="580"/>
      <c r="AW424" s="577"/>
      <c r="AX424" s="580"/>
      <c r="AY424" s="577"/>
      <c r="AZ424" s="580"/>
      <c r="BA424" s="577"/>
      <c r="BB424" s="580"/>
      <c r="BC424" s="577"/>
      <c r="BD424" s="580"/>
      <c r="BE424" s="577"/>
      <c r="BF424" s="580"/>
      <c r="BG424" s="577"/>
      <c r="BH424" s="580"/>
      <c r="BI424" s="577"/>
      <c r="BJ424" s="580"/>
      <c r="BK424" s="577"/>
      <c r="BL424" s="580"/>
      <c r="BM424" s="577"/>
      <c r="BN424" s="580"/>
      <c r="BO424" s="577"/>
      <c r="BP424" s="580"/>
      <c r="BQ424" s="577"/>
      <c r="BR424" s="580"/>
      <c r="BS424" s="577"/>
      <c r="BT424" s="580"/>
      <c r="BU424" s="577"/>
      <c r="BV424" s="580"/>
      <c r="BW424" s="577"/>
      <c r="BX424" s="580"/>
      <c r="BY424" s="577"/>
      <c r="BZ424" s="580"/>
      <c r="CA424" s="577"/>
      <c r="CB424" s="580"/>
      <c r="CC424" s="577"/>
      <c r="CD424" s="580"/>
      <c r="CE424" s="577"/>
      <c r="CF424" s="580"/>
      <c r="CG424" s="577"/>
      <c r="CH424" s="580"/>
      <c r="CI424" s="577"/>
      <c r="CJ424" s="580"/>
      <c r="CK424" s="577"/>
      <c r="CL424" s="580"/>
      <c r="CM424" s="577"/>
      <c r="CN424" s="580"/>
      <c r="CO424" s="577"/>
      <c r="CP424" s="580"/>
      <c r="CQ424" s="577"/>
      <c r="CR424" s="580"/>
      <c r="CS424" s="577"/>
      <c r="CT424" s="580"/>
      <c r="CU424" s="577"/>
      <c r="CV424" s="580"/>
      <c r="CW424" s="577"/>
      <c r="CX424" s="580"/>
      <c r="CY424" s="577"/>
      <c r="CZ424" s="580"/>
      <c r="DA424" s="577"/>
      <c r="DB424" s="580"/>
      <c r="DC424" s="580"/>
      <c r="DD424" s="577"/>
      <c r="DE424" s="580"/>
      <c r="DF424" s="577"/>
      <c r="DG424" s="580"/>
      <c r="DH424" s="577"/>
      <c r="DI424" s="580"/>
      <c r="DJ424" s="577"/>
      <c r="DK424" s="580"/>
      <c r="DL424" s="577"/>
      <c r="DM424" s="580"/>
      <c r="DN424" s="577"/>
      <c r="DO424" s="580"/>
      <c r="DP424" s="577"/>
      <c r="DQ424" s="580"/>
      <c r="DR424" s="577"/>
      <c r="DS424" s="580"/>
      <c r="DT424" s="577"/>
      <c r="DU424" s="580"/>
      <c r="DV424" s="577"/>
      <c r="DW424" s="580"/>
      <c r="DX424" s="577"/>
      <c r="DY424" s="580"/>
      <c r="DZ424" s="577"/>
      <c r="EA424" s="580"/>
      <c r="EB424" s="577"/>
      <c r="EC424" s="580"/>
      <c r="ED424" s="577"/>
      <c r="EE424" s="580"/>
      <c r="EF424" s="577"/>
      <c r="EG424" s="580"/>
      <c r="EH424" s="577"/>
      <c r="EI424" s="580"/>
      <c r="EJ424" s="577"/>
      <c r="EK424" s="580"/>
      <c r="EL424" s="577"/>
      <c r="EM424" s="577"/>
    </row>
    <row r="425" spans="1:143" ht="12.75" hidden="1" customHeight="1" outlineLevel="1" x14ac:dyDescent="0.2">
      <c r="A425" s="575" t="s">
        <v>129</v>
      </c>
      <c r="B425" s="581"/>
      <c r="C425" s="577"/>
      <c r="D425" s="581"/>
      <c r="E425" s="577"/>
      <c r="F425" s="581"/>
      <c r="G425" s="577"/>
      <c r="H425" s="581"/>
      <c r="I425" s="577"/>
      <c r="J425" s="581"/>
      <c r="K425" s="577"/>
      <c r="L425" s="581"/>
      <c r="M425" s="577"/>
      <c r="N425" s="581"/>
      <c r="O425" s="577"/>
      <c r="P425" s="581"/>
      <c r="Q425" s="577"/>
      <c r="R425" s="581"/>
      <c r="S425" s="577"/>
      <c r="T425" s="581"/>
      <c r="U425" s="577"/>
      <c r="V425" s="581"/>
      <c r="W425" s="577"/>
      <c r="X425" s="581"/>
      <c r="Y425" s="577"/>
      <c r="Z425" s="581"/>
      <c r="AA425" s="577"/>
      <c r="AB425" s="581"/>
      <c r="AC425" s="577"/>
      <c r="AD425" s="581"/>
      <c r="AE425" s="577"/>
      <c r="AF425" s="581"/>
      <c r="AG425" s="577"/>
      <c r="AH425" s="581"/>
      <c r="AI425" s="577"/>
      <c r="AJ425" s="581"/>
      <c r="AK425" s="577"/>
      <c r="AL425" s="581"/>
      <c r="AM425" s="577"/>
      <c r="AN425" s="581"/>
      <c r="AO425" s="577"/>
      <c r="AP425" s="581"/>
      <c r="AQ425" s="577"/>
      <c r="AR425" s="581"/>
      <c r="AS425" s="577"/>
      <c r="AT425" s="581"/>
      <c r="AU425" s="577"/>
      <c r="AV425" s="581"/>
      <c r="AW425" s="577"/>
      <c r="AX425" s="581"/>
      <c r="AY425" s="577"/>
      <c r="AZ425" s="581"/>
      <c r="BA425" s="577"/>
      <c r="BB425" s="581"/>
      <c r="BC425" s="577"/>
      <c r="BD425" s="581"/>
      <c r="BE425" s="577"/>
      <c r="BF425" s="581"/>
      <c r="BG425" s="577"/>
      <c r="BH425" s="581"/>
      <c r="BI425" s="577"/>
      <c r="BJ425" s="581"/>
      <c r="BK425" s="577"/>
      <c r="BL425" s="581"/>
      <c r="BM425" s="577"/>
      <c r="BN425" s="581"/>
      <c r="BO425" s="577"/>
      <c r="BP425" s="581"/>
      <c r="BQ425" s="577"/>
      <c r="BR425" s="581"/>
      <c r="BS425" s="577"/>
      <c r="BT425" s="581"/>
      <c r="BU425" s="577"/>
      <c r="BV425" s="581"/>
      <c r="BW425" s="577"/>
      <c r="BX425" s="581"/>
      <c r="BY425" s="577"/>
      <c r="BZ425" s="581"/>
      <c r="CA425" s="577"/>
      <c r="CB425" s="581"/>
      <c r="CC425" s="577"/>
      <c r="CD425" s="581"/>
      <c r="CE425" s="577"/>
      <c r="CF425" s="581"/>
      <c r="CG425" s="577"/>
      <c r="CH425" s="581"/>
      <c r="CI425" s="577"/>
      <c r="CJ425" s="581"/>
      <c r="CK425" s="577"/>
      <c r="CL425" s="581"/>
      <c r="CM425" s="577"/>
      <c r="CN425" s="581"/>
      <c r="CO425" s="577"/>
      <c r="CP425" s="581"/>
      <c r="CQ425" s="577"/>
      <c r="CR425" s="581"/>
      <c r="CS425" s="577"/>
      <c r="CT425" s="581"/>
      <c r="CU425" s="577"/>
      <c r="CV425" s="581"/>
      <c r="CW425" s="577"/>
      <c r="CX425" s="581"/>
      <c r="CY425" s="577"/>
      <c r="CZ425" s="581"/>
      <c r="DA425" s="577"/>
      <c r="DB425" s="581"/>
      <c r="DC425" s="581"/>
      <c r="DD425" s="577"/>
      <c r="DE425" s="581"/>
      <c r="DF425" s="577"/>
      <c r="DG425" s="581"/>
      <c r="DH425" s="577"/>
      <c r="DI425" s="581"/>
      <c r="DJ425" s="577"/>
      <c r="DK425" s="581"/>
      <c r="DL425" s="577"/>
      <c r="DM425" s="581"/>
      <c r="DN425" s="577"/>
      <c r="DO425" s="581"/>
      <c r="DP425" s="577"/>
      <c r="DQ425" s="581"/>
      <c r="DR425" s="577"/>
      <c r="DS425" s="581"/>
      <c r="DT425" s="577"/>
      <c r="DU425" s="581"/>
      <c r="DV425" s="577"/>
      <c r="DW425" s="581"/>
      <c r="DX425" s="577"/>
      <c r="DY425" s="581"/>
      <c r="DZ425" s="577"/>
      <c r="EA425" s="581"/>
      <c r="EB425" s="577"/>
      <c r="EC425" s="581"/>
      <c r="ED425" s="577"/>
      <c r="EE425" s="581"/>
      <c r="EF425" s="577"/>
      <c r="EG425" s="581"/>
      <c r="EH425" s="577"/>
      <c r="EI425" s="581"/>
      <c r="EJ425" s="577"/>
      <c r="EK425" s="581"/>
      <c r="EL425" s="577"/>
      <c r="EM425" s="577"/>
    </row>
    <row r="426" spans="1:143" ht="12.75" hidden="1" customHeight="1" outlineLevel="1" x14ac:dyDescent="0.2">
      <c r="A426" s="579" t="str">
        <f>INPUT!B235</f>
        <v>Benefits</v>
      </c>
      <c r="B426" s="580">
        <f>INPUT!AY235</f>
        <v>860</v>
      </c>
      <c r="C426" s="577">
        <f>INPUT!AZ235</f>
        <v>3.9903264812575685</v>
      </c>
      <c r="D426" s="580">
        <f>INPUT!BA235</f>
        <v>894</v>
      </c>
      <c r="E426" s="577">
        <f>INPUT!BB235</f>
        <v>9.2909535452322842</v>
      </c>
      <c r="F426" s="580">
        <f>INPUT!BC235</f>
        <v>859</v>
      </c>
      <c r="G426" s="577">
        <f>INPUT!BD235</f>
        <v>8.8719898605830139</v>
      </c>
      <c r="H426" s="580">
        <f>INPUT!BE235</f>
        <v>884</v>
      </c>
      <c r="I426" s="577">
        <f>INPUT!BF235</f>
        <v>13.333333333333329</v>
      </c>
      <c r="J426" s="580">
        <f>INPUT!BG235</f>
        <v>935</v>
      </c>
      <c r="K426" s="577">
        <f>INPUT!BH235</f>
        <v>8.7209302325581319</v>
      </c>
      <c r="L426" s="580">
        <f>INPUT!BI235</f>
        <v>920</v>
      </c>
      <c r="M426" s="577">
        <f>INPUT!BJ235</f>
        <v>2.9082774049217051</v>
      </c>
      <c r="N426" s="580">
        <f>INPUT!BK235</f>
        <v>876</v>
      </c>
      <c r="O426" s="577">
        <f>INPUT!BL235</f>
        <v>1.9790454016298042</v>
      </c>
      <c r="P426" s="580">
        <f>INPUT!BM235</f>
        <v>892</v>
      </c>
      <c r="Q426" s="577">
        <f>INPUT!BN235</f>
        <v>0.90497737556560764</v>
      </c>
      <c r="R426" s="580">
        <f>INPUT!BO235</f>
        <v>945</v>
      </c>
      <c r="S426" s="577">
        <f>INPUT!BP235</f>
        <v>1.0695187165775479</v>
      </c>
      <c r="T426" s="580">
        <f>INPUT!BQ235</f>
        <v>919</v>
      </c>
      <c r="U426" s="577">
        <f>INPUT!BR235</f>
        <v>-0.10869565217392108</v>
      </c>
      <c r="V426" s="580">
        <f>INPUT!BS235</f>
        <v>906</v>
      </c>
      <c r="W426" s="577">
        <f>INPUT!BT235</f>
        <v>3.4246575342465633</v>
      </c>
      <c r="X426" s="580">
        <f>INPUT!BU235</f>
        <v>963</v>
      </c>
      <c r="Y426" s="577">
        <f>INPUT!BV235</f>
        <v>7.9596412556053764</v>
      </c>
      <c r="Z426" s="580">
        <f>INPUT!BW235</f>
        <v>1004</v>
      </c>
      <c r="AA426" s="577">
        <f>INPUT!BX235</f>
        <v>6.2433862433862544</v>
      </c>
      <c r="AB426" s="580">
        <f>INPUT!BY235</f>
        <v>972</v>
      </c>
      <c r="AC426" s="577">
        <f>INPUT!BZ235</f>
        <v>5.767138193688794</v>
      </c>
      <c r="AD426" s="580">
        <f>INPUT!CA235</f>
        <v>1057</v>
      </c>
      <c r="AE426" s="577">
        <f>INPUT!CB235</f>
        <v>16.666666666666671</v>
      </c>
      <c r="AF426" s="580">
        <f>INPUT!CC235</f>
        <v>983</v>
      </c>
      <c r="AG426" s="577">
        <f>INPUT!CD235</f>
        <v>2.0768431983385227</v>
      </c>
      <c r="AH426" s="580">
        <f>INPUT!CE235</f>
        <v>1014</v>
      </c>
      <c r="AI426" s="577">
        <f>INPUT!CF235</f>
        <v>0.99601593625497742</v>
      </c>
      <c r="AJ426" s="580">
        <f>INPUT!CG235</f>
        <v>1038</v>
      </c>
      <c r="AK426" s="577">
        <f>INPUT!CH235</f>
        <v>6.790123456790127</v>
      </c>
      <c r="AL426" s="580">
        <f>INPUT!CI235</f>
        <v>1163</v>
      </c>
      <c r="AM426" s="577">
        <f>INPUT!CJ235</f>
        <v>10.028382213812677</v>
      </c>
      <c r="AN426" s="580">
        <f>INPUT!CK235</f>
        <v>1043</v>
      </c>
      <c r="AO426" s="577">
        <f>INPUT!CL235</f>
        <v>6.1037639877924619</v>
      </c>
      <c r="AP426" s="580">
        <f>INPUT!CM235</f>
        <v>1213</v>
      </c>
      <c r="AQ426" s="577">
        <f>INPUT!CN235</f>
        <v>19.625246548323474</v>
      </c>
      <c r="AR426" s="580">
        <f>INPUT!CO235</f>
        <v>1185</v>
      </c>
      <c r="AS426" s="577">
        <f>INPUT!CP235</f>
        <v>14.161849710982665</v>
      </c>
      <c r="AT426" s="580">
        <f>INPUT!CQ235</f>
        <v>1156</v>
      </c>
      <c r="AU426" s="577">
        <f>INPUT!CR235</f>
        <v>-0.60189165950129109</v>
      </c>
      <c r="AV426" s="580">
        <f>INPUT!CS235</f>
        <v>1091</v>
      </c>
      <c r="AW426" s="577">
        <f>INPUT!CT235</f>
        <v>4.6021093000958757</v>
      </c>
      <c r="AX426" s="580">
        <f>INPUT!CU235</f>
        <v>1179</v>
      </c>
      <c r="AY426" s="577">
        <f>INPUT!CV235</f>
        <v>-2.8029678483099758</v>
      </c>
      <c r="AZ426" s="580">
        <f>INPUT!CW235</f>
        <v>1102</v>
      </c>
      <c r="BA426" s="577">
        <f>INPUT!CX235</f>
        <v>-7.0042194092826975</v>
      </c>
      <c r="BB426" s="580">
        <f>INPUT!CY235</f>
        <v>1134</v>
      </c>
      <c r="BC426" s="577">
        <f>INPUT!CZ235</f>
        <v>-1.9031141868512123</v>
      </c>
      <c r="BD426" s="580">
        <f>INPUT!DA235</f>
        <v>1113</v>
      </c>
      <c r="BE426" s="577">
        <f>INPUT!DB235</f>
        <v>2.0164986251145649</v>
      </c>
      <c r="BF426" s="580">
        <f>INPUT!DC235</f>
        <v>1137</v>
      </c>
      <c r="BG426" s="577">
        <f>INPUT!DD235</f>
        <v>-3.5623409669211128</v>
      </c>
      <c r="BH426" s="580">
        <f>INPUT!DE235</f>
        <v>1112</v>
      </c>
      <c r="BI426" s="577">
        <f>INPUT!DF235</f>
        <v>0.9074410163339337</v>
      </c>
      <c r="BJ426" s="580">
        <f>INPUT!DG235</f>
        <v>1009</v>
      </c>
      <c r="BK426" s="577">
        <f>INPUT!DH235</f>
        <v>-11.022927689594354</v>
      </c>
      <c r="BL426" s="580">
        <f>INPUT!DI235</f>
        <v>1041</v>
      </c>
      <c r="BM426" s="577">
        <f>INPUT!DJ235</f>
        <v>-6.4690026954177853</v>
      </c>
      <c r="BN426" s="580">
        <f>INPUT!DK235</f>
        <v>1073</v>
      </c>
      <c r="BO426" s="577">
        <f>INPUT!DL235</f>
        <v>-5.6288478452066926</v>
      </c>
      <c r="BP426" s="580">
        <f>INPUT!DM235</f>
        <v>1030</v>
      </c>
      <c r="BQ426" s="577">
        <f>INPUT!DN235</f>
        <v>-7.3741007194244617</v>
      </c>
      <c r="BR426" s="580">
        <f>INPUT!DO235</f>
        <v>1144</v>
      </c>
      <c r="BS426" s="577">
        <f>INPUT!DP235</f>
        <v>13.379583746283458</v>
      </c>
      <c r="BT426" s="580">
        <f>INPUT!DQ235</f>
        <v>968</v>
      </c>
      <c r="BU426" s="577">
        <f>INPUT!DR235</f>
        <v>-7.0124879923150871</v>
      </c>
      <c r="BV426" s="580">
        <f>INPUT!DS235</f>
        <v>983</v>
      </c>
      <c r="BW426" s="577">
        <f>INPUT!DT235</f>
        <v>-8.3876980428704684</v>
      </c>
      <c r="BX426" s="580">
        <f>INPUT!DU235</f>
        <v>931</v>
      </c>
      <c r="BY426" s="577">
        <f>INPUT!DV235</f>
        <v>-9.6116504854368969</v>
      </c>
      <c r="BZ426" s="580">
        <f>INPUT!DW235</f>
        <v>982</v>
      </c>
      <c r="CA426" s="577">
        <f>INPUT!DX235</f>
        <v>-14.16083916083916</v>
      </c>
      <c r="CB426" s="580">
        <f>INPUT!DY235</f>
        <v>972</v>
      </c>
      <c r="CC426" s="577">
        <f>INPUT!DZ235</f>
        <v>0.41322314049587305</v>
      </c>
      <c r="CD426" s="580">
        <f>INPUT!EA235</f>
        <v>1020</v>
      </c>
      <c r="CE426" s="577">
        <f>INPUT!EB235</f>
        <v>3.7639877924720224</v>
      </c>
      <c r="CF426" s="580">
        <f>INPUT!EC235</f>
        <v>1001</v>
      </c>
      <c r="CG426" s="577">
        <f>INPUT!ED235</f>
        <v>7.5187969924812137</v>
      </c>
      <c r="CH426" s="580">
        <f>INPUT!EE235</f>
        <v>1003</v>
      </c>
      <c r="CI426" s="577">
        <f>INPUT!EF235</f>
        <v>2.1384928716904312</v>
      </c>
      <c r="CJ426" s="580">
        <f>INPUT!EG235</f>
        <v>1008</v>
      </c>
      <c r="CK426" s="577">
        <f>INPUT!EH235</f>
        <v>3.7037037037036953</v>
      </c>
      <c r="CL426" s="580">
        <f>INPUT!EI235</f>
        <v>1065</v>
      </c>
      <c r="CM426" s="577">
        <f>INPUT!EJ235</f>
        <v>4.4117647058823621</v>
      </c>
      <c r="CN426" s="580">
        <f>INPUT!EK235</f>
        <v>952</v>
      </c>
      <c r="CO426" s="577">
        <f>INPUT!EL235</f>
        <v>-4.8951048951048932</v>
      </c>
      <c r="CP426" s="580">
        <f>INPUT!EM235</f>
        <v>1013</v>
      </c>
      <c r="CQ426" s="577">
        <f>INPUT!EN235</f>
        <v>0.99700897308075298</v>
      </c>
      <c r="CR426" s="580">
        <f>INPUT!EO235</f>
        <v>1043</v>
      </c>
      <c r="CS426" s="577">
        <f>INPUT!EP235</f>
        <v>3.4722222222222285</v>
      </c>
      <c r="CT426" s="580">
        <f>INPUT!EQ235</f>
        <v>1046.1176000000003</v>
      </c>
      <c r="CU426" s="577">
        <f>INPUT!ER235</f>
        <v>-1.7729953051642866</v>
      </c>
      <c r="CV426" s="580">
        <f>INPUT!ES235</f>
        <v>1050.5754875000002</v>
      </c>
      <c r="CW426" s="577">
        <f>INPUT!ET235</f>
        <v>10.354568014705904</v>
      </c>
      <c r="CX426" s="580">
        <f>INPUT!EU235</f>
        <v>1055.0179209900002</v>
      </c>
      <c r="CY426" s="577">
        <f>INPUT!EV235</f>
        <v>4.1478697917078193</v>
      </c>
      <c r="CZ426" s="580">
        <f>INPUT!EW235</f>
        <v>1059.4441456010502</v>
      </c>
      <c r="DA426" s="577">
        <f>INPUT!EX235</f>
        <v>1.5766199042234206</v>
      </c>
      <c r="DB426" s="580"/>
      <c r="DC426" s="580">
        <f>INPUT!FP235</f>
        <v>3214</v>
      </c>
      <c r="DD426" s="577">
        <f>INPUT!FQ235</f>
        <v>9.6928327645051269</v>
      </c>
      <c r="DE426" s="580">
        <f>INPUT!FR235</f>
        <v>3497</v>
      </c>
      <c r="DF426" s="577">
        <f>INPUT!FS235</f>
        <v>8.805227131300569</v>
      </c>
      <c r="DG426" s="580">
        <f>INPUT!FT235</f>
        <v>3623</v>
      </c>
      <c r="DH426" s="577">
        <f>INPUT!FU235</f>
        <v>3.603088361452663</v>
      </c>
      <c r="DI426" s="580">
        <f>INPUT!FV235</f>
        <v>3733</v>
      </c>
      <c r="DJ426" s="577">
        <f>INPUT!FW235</f>
        <v>3.0361578802097711</v>
      </c>
      <c r="DK426" s="580">
        <f>INPUT!FX235</f>
        <v>4016</v>
      </c>
      <c r="DL426" s="577">
        <f>INPUT!FY235</f>
        <v>7.5810340208947196</v>
      </c>
      <c r="DM426" s="580">
        <f>INPUT!FZ235</f>
        <v>4258</v>
      </c>
      <c r="DN426" s="577">
        <f>INPUT!GA235</f>
        <v>6.0258964143426397</v>
      </c>
      <c r="DO426" s="580">
        <f>INPUT!GB235</f>
        <v>4645</v>
      </c>
      <c r="DP426" s="577">
        <f>INPUT!GC235</f>
        <v>9.088774072334445</v>
      </c>
      <c r="DQ426" s="580">
        <f>INPUT!GD235</f>
        <v>4528</v>
      </c>
      <c r="DR426" s="577">
        <f>INPUT!GE235</f>
        <v>-2.518837459634014</v>
      </c>
      <c r="DS426" s="580">
        <f>INPUT!GF235</f>
        <v>4299</v>
      </c>
      <c r="DT426" s="577">
        <f>INPUT!GG235</f>
        <v>-5.0574204946996559</v>
      </c>
      <c r="DU426" s="580">
        <f>INPUT!GH235</f>
        <v>4215</v>
      </c>
      <c r="DV426" s="577">
        <f>INPUT!GI235</f>
        <v>-1.9539427773900968</v>
      </c>
      <c r="DW426" s="580">
        <f>INPUT!GJ235</f>
        <v>3868</v>
      </c>
      <c r="DX426" s="577">
        <f>INPUT!GK235</f>
        <v>-8.2325029655990534</v>
      </c>
      <c r="DY426" s="580">
        <f>INPUT!GL235</f>
        <v>4032</v>
      </c>
      <c r="DZ426" s="577">
        <f>INPUT!GM235</f>
        <v>4.2399172699069396</v>
      </c>
      <c r="EA426" s="580">
        <f>INPUT!GN235</f>
        <v>4073</v>
      </c>
      <c r="EB426" s="577">
        <f>INPUT!GO235</f>
        <v>1.0168650793650755</v>
      </c>
      <c r="EC426" s="580">
        <f>INPUT!GP235</f>
        <v>4211.1551540910514</v>
      </c>
      <c r="ED426" s="577">
        <f>INPUT!GQ235</f>
        <v>3.3919753029965989</v>
      </c>
      <c r="EE426" s="580">
        <f>INPUT!GR235</f>
        <v>4389.5478439661401</v>
      </c>
      <c r="EF426" s="577">
        <f>INPUT!GS235</f>
        <v>4.2361937128292197</v>
      </c>
      <c r="EG426" s="580">
        <f>INPUT!GT235</f>
        <v>4573.0506813547227</v>
      </c>
      <c r="EH426" s="577">
        <f>INPUT!GU235</f>
        <v>4.1804496479250162</v>
      </c>
      <c r="EI426" s="580">
        <f>INPUT!GV235</f>
        <v>4767.1421727410652</v>
      </c>
      <c r="EJ426" s="577">
        <f>INPUT!GW235</f>
        <v>4.2442453607105932</v>
      </c>
      <c r="EK426" s="580">
        <f>INPUT!GX235</f>
        <v>4969.6674916307902</v>
      </c>
      <c r="EL426" s="577">
        <f>INPUT!GY235</f>
        <v>4.2483591122535245</v>
      </c>
      <c r="EM426" s="577">
        <f>INPUT!GZ235</f>
        <v>4.0597035697247152</v>
      </c>
    </row>
    <row r="427" spans="1:143" ht="12.75" hidden="1" customHeight="1" outlineLevel="1" x14ac:dyDescent="0.2">
      <c r="A427" s="579" t="str">
        <f>INPUT!B236</f>
        <v>Interest Credited</v>
      </c>
      <c r="B427" s="580">
        <f>INPUT!AY236</f>
        <v>49</v>
      </c>
      <c r="C427" s="577">
        <f>INPUT!AZ236</f>
        <v>-3.9215686274509807</v>
      </c>
      <c r="D427" s="580">
        <f>INPUT!BA236</f>
        <v>48</v>
      </c>
      <c r="E427" s="577">
        <f>INPUT!BB236</f>
        <v>-7.6923076923076934</v>
      </c>
      <c r="F427" s="580">
        <f>INPUT!BC236</f>
        <v>52</v>
      </c>
      <c r="G427" s="577">
        <f>INPUT!BD236</f>
        <v>4</v>
      </c>
      <c r="H427" s="580">
        <f>INPUT!BE236</f>
        <v>55</v>
      </c>
      <c r="I427" s="577">
        <f>INPUT!BF236</f>
        <v>14.583333333333329</v>
      </c>
      <c r="J427" s="580">
        <f>INPUT!BG236</f>
        <v>59</v>
      </c>
      <c r="K427" s="577">
        <f>INPUT!BH236</f>
        <v>20.408163265306129</v>
      </c>
      <c r="L427" s="580">
        <f>INPUT!BI236</f>
        <v>58</v>
      </c>
      <c r="M427" s="577">
        <f>INPUT!BJ236</f>
        <v>20.833333333333329</v>
      </c>
      <c r="N427" s="580">
        <f>INPUT!BK236</f>
        <v>60</v>
      </c>
      <c r="O427" s="577">
        <f>INPUT!BL236</f>
        <v>15.384615384615373</v>
      </c>
      <c r="P427" s="580">
        <f>INPUT!BM236</f>
        <v>63</v>
      </c>
      <c r="Q427" s="577">
        <f>INPUT!BN236</f>
        <v>14.545454545454547</v>
      </c>
      <c r="R427" s="580">
        <f>INPUT!BO236</f>
        <v>59</v>
      </c>
      <c r="S427" s="577">
        <f>INPUT!BP236</f>
        <v>0</v>
      </c>
      <c r="T427" s="580">
        <f>INPUT!BQ236</f>
        <v>56</v>
      </c>
      <c r="U427" s="577">
        <f>INPUT!BR236</f>
        <v>-3.448275862068968</v>
      </c>
      <c r="V427" s="580">
        <f>INPUT!BS236</f>
        <v>60</v>
      </c>
      <c r="W427" s="577">
        <f>INPUT!BT236</f>
        <v>0</v>
      </c>
      <c r="X427" s="580">
        <f>INPUT!BU236</f>
        <v>57</v>
      </c>
      <c r="Y427" s="577">
        <f>INPUT!BV236</f>
        <v>-9.5238095238095184</v>
      </c>
      <c r="Z427" s="580">
        <f>INPUT!BW236</f>
        <v>57</v>
      </c>
      <c r="AA427" s="577">
        <f>INPUT!BX236</f>
        <v>-3.3898305084745743</v>
      </c>
      <c r="AB427" s="580">
        <f>INPUT!BY236</f>
        <v>54</v>
      </c>
      <c r="AC427" s="577">
        <f>INPUT!BZ236</f>
        <v>-3.5714285714285694</v>
      </c>
      <c r="AD427" s="580">
        <f>INPUT!CA236</f>
        <v>58</v>
      </c>
      <c r="AE427" s="577">
        <f>INPUT!CB236</f>
        <v>-3.3333333333333286</v>
      </c>
      <c r="AF427" s="580">
        <f>INPUT!CC236</f>
        <v>60</v>
      </c>
      <c r="AG427" s="577">
        <f>INPUT!CD236</f>
        <v>5.2631578947368354</v>
      </c>
      <c r="AH427" s="580">
        <f>INPUT!CE236</f>
        <v>57</v>
      </c>
      <c r="AI427" s="577">
        <f>INPUT!CF236</f>
        <v>0</v>
      </c>
      <c r="AJ427" s="580">
        <f>INPUT!CG236</f>
        <v>54</v>
      </c>
      <c r="AK427" s="577">
        <f>INPUT!CH236</f>
        <v>0</v>
      </c>
      <c r="AL427" s="580">
        <f>INPUT!CI236</f>
        <v>57</v>
      </c>
      <c r="AM427" s="577">
        <f>INPUT!CJ236</f>
        <v>-1.7241379310344911</v>
      </c>
      <c r="AN427" s="580">
        <f>INPUT!CK236</f>
        <v>59</v>
      </c>
      <c r="AO427" s="577">
        <f>INPUT!CL236</f>
        <v>-1.6666666666666714</v>
      </c>
      <c r="AP427" s="580">
        <f>INPUT!CM236</f>
        <v>57</v>
      </c>
      <c r="AQ427" s="577">
        <f>INPUT!CN236</f>
        <v>0</v>
      </c>
      <c r="AR427" s="580">
        <f>INPUT!CO236</f>
        <v>56</v>
      </c>
      <c r="AS427" s="577">
        <f>INPUT!CP236</f>
        <v>3.7037037037036953</v>
      </c>
      <c r="AT427" s="580">
        <f>INPUT!CQ236</f>
        <v>57</v>
      </c>
      <c r="AU427" s="577">
        <f>INPUT!CR236</f>
        <v>0</v>
      </c>
      <c r="AV427" s="580">
        <f>INPUT!CS236</f>
        <v>58</v>
      </c>
      <c r="AW427" s="577">
        <f>INPUT!CT236</f>
        <v>-1.6949152542372872</v>
      </c>
      <c r="AX427" s="580">
        <f>INPUT!CU236</f>
        <v>56</v>
      </c>
      <c r="AY427" s="577">
        <f>INPUT!CV236</f>
        <v>-1.7543859649122879</v>
      </c>
      <c r="AZ427" s="580">
        <f>INPUT!CW236</f>
        <v>58</v>
      </c>
      <c r="BA427" s="577">
        <f>INPUT!CX236</f>
        <v>3.5714285714285836</v>
      </c>
      <c r="BB427" s="580">
        <f>INPUT!CY236</f>
        <v>56</v>
      </c>
      <c r="BC427" s="577">
        <f>INPUT!CZ236</f>
        <v>-1.7543859649122879</v>
      </c>
      <c r="BD427" s="580">
        <f>INPUT!DA236</f>
        <v>58</v>
      </c>
      <c r="BE427" s="577">
        <f>INPUT!DB236</f>
        <v>0</v>
      </c>
      <c r="BF427" s="580">
        <f>INPUT!DC236</f>
        <v>57</v>
      </c>
      <c r="BG427" s="577">
        <f>INPUT!DD236</f>
        <v>1.7857142857142776</v>
      </c>
      <c r="BH427" s="580">
        <f>INPUT!DE236</f>
        <v>56</v>
      </c>
      <c r="BI427" s="577">
        <f>INPUT!DF236</f>
        <v>-3.448275862068968</v>
      </c>
      <c r="BJ427" s="580">
        <f>INPUT!DG236</f>
        <v>59</v>
      </c>
      <c r="BK427" s="577">
        <f>INPUT!DH236</f>
        <v>5.3571428571428612</v>
      </c>
      <c r="BL427" s="580">
        <f>INPUT!DI236</f>
        <v>60</v>
      </c>
      <c r="BM427" s="577">
        <f>INPUT!DJ236</f>
        <v>3.448275862068968</v>
      </c>
      <c r="BN427" s="580">
        <f>INPUT!DK236</f>
        <v>61</v>
      </c>
      <c r="BO427" s="577">
        <f>INPUT!DL236</f>
        <v>7.0175438596491233</v>
      </c>
      <c r="BP427" s="580">
        <f>INPUT!DM236</f>
        <v>60</v>
      </c>
      <c r="BQ427" s="577">
        <f>INPUT!DN236</f>
        <v>7.1428571428571388</v>
      </c>
      <c r="BR427" s="580">
        <f>INPUT!DO236</f>
        <v>62</v>
      </c>
      <c r="BS427" s="577">
        <f>INPUT!DP236</f>
        <v>5.0847457627118757</v>
      </c>
      <c r="BT427" s="580">
        <f>INPUT!DQ236</f>
        <v>65</v>
      </c>
      <c r="BU427" s="577">
        <f>INPUT!DR236</f>
        <v>8.3333333333333286</v>
      </c>
      <c r="BV427" s="580">
        <f>INPUT!DS236</f>
        <v>55</v>
      </c>
      <c r="BW427" s="577">
        <f>INPUT!DT236</f>
        <v>-9.8360655737704974</v>
      </c>
      <c r="BX427" s="580">
        <f>INPUT!DU236</f>
        <v>77</v>
      </c>
      <c r="BY427" s="577">
        <f>INPUT!DV236</f>
        <v>28.333333333333343</v>
      </c>
      <c r="BZ427" s="580">
        <f>INPUT!DW236</f>
        <v>63</v>
      </c>
      <c r="CA427" s="577">
        <f>INPUT!DX236</f>
        <v>1.6129032258064484</v>
      </c>
      <c r="CB427" s="580">
        <f>INPUT!DY236</f>
        <v>62</v>
      </c>
      <c r="CC427" s="577">
        <f>INPUT!DZ236</f>
        <v>-4.6153846153846132</v>
      </c>
      <c r="CD427" s="580">
        <f>INPUT!EA236</f>
        <v>63</v>
      </c>
      <c r="CE427" s="577">
        <f>INPUT!EB236</f>
        <v>14.545454545454547</v>
      </c>
      <c r="CF427" s="580">
        <f>INPUT!EC236</f>
        <v>64</v>
      </c>
      <c r="CG427" s="577">
        <f>INPUT!ED236</f>
        <v>-16.883116883116884</v>
      </c>
      <c r="CH427" s="580">
        <f>INPUT!EE236</f>
        <v>66</v>
      </c>
      <c r="CI427" s="577">
        <f>INPUT!EF236</f>
        <v>4.7619047619047734</v>
      </c>
      <c r="CJ427" s="580">
        <f>INPUT!EG236</f>
        <v>70</v>
      </c>
      <c r="CK427" s="577">
        <f>INPUT!EH236</f>
        <v>12.90322580645163</v>
      </c>
      <c r="CL427" s="580">
        <f>INPUT!EI236</f>
        <v>67</v>
      </c>
      <c r="CM427" s="577">
        <f>INPUT!EJ236</f>
        <v>6.3492063492063551</v>
      </c>
      <c r="CN427" s="580">
        <f>INPUT!EK236</f>
        <v>67</v>
      </c>
      <c r="CO427" s="577">
        <f>INPUT!EL236</f>
        <v>4.6875</v>
      </c>
      <c r="CP427" s="580">
        <f>INPUT!EM236</f>
        <v>68</v>
      </c>
      <c r="CQ427" s="577">
        <f>INPUT!EN236</f>
        <v>3.0303030303030312</v>
      </c>
      <c r="CR427" s="580">
        <f>INPUT!EO236</f>
        <v>72</v>
      </c>
      <c r="CS427" s="577">
        <f>INPUT!EP236</f>
        <v>2.857142857142847</v>
      </c>
      <c r="CT427" s="580">
        <f>INPUT!EQ236</f>
        <v>72.550319999999999</v>
      </c>
      <c r="CU427" s="577">
        <f>INPUT!ER236</f>
        <v>8.2840597014925237</v>
      </c>
      <c r="CV427" s="580">
        <f>INPUT!ES236</f>
        <v>73.275823199999991</v>
      </c>
      <c r="CW427" s="577">
        <f>INPUT!ET236</f>
        <v>9.3669002985074457</v>
      </c>
      <c r="CX427" s="580">
        <f>INPUT!EU236</f>
        <v>74.008581432</v>
      </c>
      <c r="CY427" s="577">
        <f>INPUT!EV236</f>
        <v>8.8361491647058727</v>
      </c>
      <c r="CZ427" s="580">
        <f>INPUT!EW236</f>
        <v>74.748667246319997</v>
      </c>
      <c r="DA427" s="577">
        <f>INPUT!EX236</f>
        <v>3.8175933976666556</v>
      </c>
      <c r="DB427" s="580"/>
      <c r="DC427" s="580">
        <f>INPUT!FP236</f>
        <v>201</v>
      </c>
      <c r="DD427" s="577">
        <f>INPUT!FQ236</f>
        <v>-4.2857142857142776</v>
      </c>
      <c r="DE427" s="580">
        <f>INPUT!FR236</f>
        <v>204</v>
      </c>
      <c r="DF427" s="577">
        <f>INPUT!FS236</f>
        <v>1.4925373134328339</v>
      </c>
      <c r="DG427" s="580">
        <f>INPUT!FT236</f>
        <v>240</v>
      </c>
      <c r="DH427" s="577">
        <f>INPUT!FU236</f>
        <v>17.64705882352942</v>
      </c>
      <c r="DI427" s="580">
        <f>INPUT!FV236</f>
        <v>232</v>
      </c>
      <c r="DJ427" s="577">
        <f>INPUT!FW236</f>
        <v>-3.3333333333333286</v>
      </c>
      <c r="DK427" s="580">
        <f>INPUT!FX236</f>
        <v>229</v>
      </c>
      <c r="DL427" s="577">
        <f>INPUT!FY236</f>
        <v>-1.2931034482758719</v>
      </c>
      <c r="DM427" s="580">
        <f>INPUT!FZ236</f>
        <v>227</v>
      </c>
      <c r="DN427" s="577">
        <f>INPUT!GA236</f>
        <v>-0.87336244541485542</v>
      </c>
      <c r="DO427" s="580">
        <f>INPUT!GB236</f>
        <v>228</v>
      </c>
      <c r="DP427" s="577">
        <f>INPUT!GC236</f>
        <v>0.44052863436124312</v>
      </c>
      <c r="DQ427" s="580">
        <f>INPUT!GD236</f>
        <v>228</v>
      </c>
      <c r="DR427" s="577">
        <f>INPUT!GE236</f>
        <v>0</v>
      </c>
      <c r="DS427" s="580">
        <f>INPUT!GF236</f>
        <v>232</v>
      </c>
      <c r="DT427" s="577">
        <f>INPUT!GG236</f>
        <v>1.7543859649122879</v>
      </c>
      <c r="DU427" s="580">
        <f>INPUT!GH236</f>
        <v>248</v>
      </c>
      <c r="DV427" s="577">
        <f>INPUT!GI236</f>
        <v>6.8965517241379217</v>
      </c>
      <c r="DW427" s="580">
        <f>INPUT!GJ236</f>
        <v>257</v>
      </c>
      <c r="DX427" s="577">
        <f>INPUT!GK236</f>
        <v>3.6290322580645267</v>
      </c>
      <c r="DY427" s="580">
        <f>INPUT!GL236</f>
        <v>263</v>
      </c>
      <c r="DZ427" s="577">
        <f>INPUT!GM236</f>
        <v>2.3346303501945442</v>
      </c>
      <c r="EA427" s="580">
        <f>INPUT!GN236</f>
        <v>274</v>
      </c>
      <c r="EB427" s="577">
        <f>INPUT!GO236</f>
        <v>4.1825095057034218</v>
      </c>
      <c r="EC427" s="580">
        <f>INPUT!GP236</f>
        <v>294.58339187831996</v>
      </c>
      <c r="ED427" s="577">
        <f>INPUT!GQ236</f>
        <v>7.5121868169050856</v>
      </c>
      <c r="EE427" s="580">
        <f>INPUT!GR236</f>
        <v>306.36672755345279</v>
      </c>
      <c r="EF427" s="577">
        <f>INPUT!GS236</f>
        <v>4</v>
      </c>
      <c r="EG427" s="580">
        <f>INPUT!GT236</f>
        <v>318.62139665559084</v>
      </c>
      <c r="EH427" s="577">
        <f>INPUT!GU236</f>
        <v>3.9999999999999858</v>
      </c>
      <c r="EI427" s="580">
        <f>INPUT!GV236</f>
        <v>331.36625252181454</v>
      </c>
      <c r="EJ427" s="577">
        <f>INPUT!GW236</f>
        <v>4.0000000000000284</v>
      </c>
      <c r="EK427" s="580">
        <f>INPUT!GX236</f>
        <v>344.62090262268714</v>
      </c>
      <c r="EL427" s="577">
        <f>INPUT!GY236</f>
        <v>4</v>
      </c>
      <c r="EM427" s="577">
        <f>INPUT!GZ236</f>
        <v>4.6931363874820775</v>
      </c>
    </row>
    <row r="428" spans="1:143" ht="12.75" hidden="1" customHeight="1" outlineLevel="1" x14ac:dyDescent="0.2">
      <c r="A428" s="579" t="str">
        <f>INPUT!B237</f>
        <v>Interest Expense</v>
      </c>
      <c r="B428" s="580">
        <f>INPUT!AY237</f>
        <v>3</v>
      </c>
      <c r="C428" s="577">
        <f>INPUT!AZ237</f>
        <v>-40</v>
      </c>
      <c r="D428" s="580">
        <f>INPUT!BA237</f>
        <v>0</v>
      </c>
      <c r="E428" s="577" t="str">
        <f>INPUT!BB237</f>
        <v>NM</v>
      </c>
      <c r="F428" s="580">
        <f>INPUT!BC237</f>
        <v>2</v>
      </c>
      <c r="G428" s="577">
        <f>INPUT!BD237</f>
        <v>-50</v>
      </c>
      <c r="H428" s="580">
        <f>INPUT!BE237</f>
        <v>2</v>
      </c>
      <c r="I428" s="577">
        <f>INPUT!BF237</f>
        <v>0</v>
      </c>
      <c r="J428" s="580">
        <f>INPUT!BG237</f>
        <v>2</v>
      </c>
      <c r="K428" s="577">
        <f>INPUT!BH237</f>
        <v>-33.333333333333343</v>
      </c>
      <c r="L428" s="580">
        <f>INPUT!BI237</f>
        <v>2</v>
      </c>
      <c r="M428" s="577" t="str">
        <f>INPUT!BJ237</f>
        <v>NA</v>
      </c>
      <c r="N428" s="580">
        <f>INPUT!BK237</f>
        <v>2</v>
      </c>
      <c r="O428" s="577">
        <f>INPUT!BL237</f>
        <v>0</v>
      </c>
      <c r="P428" s="580">
        <f>INPUT!BM237</f>
        <v>2</v>
      </c>
      <c r="Q428" s="577">
        <f>INPUT!BN237</f>
        <v>0</v>
      </c>
      <c r="R428" s="580">
        <f>INPUT!BO237</f>
        <v>0</v>
      </c>
      <c r="S428" s="577" t="str">
        <f>INPUT!BP237</f>
        <v>NM</v>
      </c>
      <c r="T428" s="580">
        <f>INPUT!BQ237</f>
        <v>1</v>
      </c>
      <c r="U428" s="577">
        <f>INPUT!BR237</f>
        <v>-50</v>
      </c>
      <c r="V428" s="580">
        <f>INPUT!BS237</f>
        <v>0</v>
      </c>
      <c r="W428" s="577" t="str">
        <f>INPUT!BT237</f>
        <v>NM</v>
      </c>
      <c r="X428" s="580">
        <f>INPUT!BU237</f>
        <v>0</v>
      </c>
      <c r="Y428" s="577" t="str">
        <f>INPUT!BV237</f>
        <v>NM</v>
      </c>
      <c r="Z428" s="580">
        <f>INPUT!BW237</f>
        <v>0</v>
      </c>
      <c r="AA428" s="577" t="str">
        <f>INPUT!BX237</f>
        <v>NA</v>
      </c>
      <c r="AB428" s="580">
        <f>INPUT!BY237</f>
        <v>0</v>
      </c>
      <c r="AC428" s="577" t="str">
        <f>INPUT!BZ237</f>
        <v>NM</v>
      </c>
      <c r="AD428" s="580">
        <f>INPUT!CA237</f>
        <v>0</v>
      </c>
      <c r="AE428" s="577" t="str">
        <f>INPUT!CB237</f>
        <v>NA</v>
      </c>
      <c r="AF428" s="580">
        <f>INPUT!CC237</f>
        <v>0</v>
      </c>
      <c r="AG428" s="577" t="str">
        <f>INPUT!CD237</f>
        <v>NA</v>
      </c>
      <c r="AH428" s="580">
        <f>INPUT!CE237</f>
        <v>0</v>
      </c>
      <c r="AI428" s="577" t="str">
        <f>INPUT!CF237</f>
        <v>NA</v>
      </c>
      <c r="AJ428" s="580">
        <f>INPUT!CG237</f>
        <v>0</v>
      </c>
      <c r="AK428" s="577" t="str">
        <f>INPUT!CH237</f>
        <v>NA</v>
      </c>
      <c r="AL428" s="580">
        <f>INPUT!CI237</f>
        <v>0</v>
      </c>
      <c r="AM428" s="577" t="str">
        <f>INPUT!CJ237</f>
        <v>NA</v>
      </c>
      <c r="AN428" s="580">
        <f>INPUT!CK237</f>
        <v>0</v>
      </c>
      <c r="AO428" s="577" t="str">
        <f>INPUT!CL237</f>
        <v>NA</v>
      </c>
      <c r="AP428" s="580">
        <f>INPUT!CM237</f>
        <v>0</v>
      </c>
      <c r="AQ428" s="577" t="str">
        <f>INPUT!CN237</f>
        <v>NA</v>
      </c>
      <c r="AR428" s="580">
        <f>INPUT!CO237</f>
        <v>0</v>
      </c>
      <c r="AS428" s="577" t="str">
        <f>INPUT!CP237</f>
        <v>NA</v>
      </c>
      <c r="AT428" s="580">
        <f>INPUT!CQ237</f>
        <v>0</v>
      </c>
      <c r="AU428" s="577" t="str">
        <f>INPUT!CR237</f>
        <v>NA</v>
      </c>
      <c r="AV428" s="580">
        <f>INPUT!CS237</f>
        <v>0</v>
      </c>
      <c r="AW428" s="577" t="str">
        <f>INPUT!CT237</f>
        <v>NA</v>
      </c>
      <c r="AX428" s="580">
        <f>INPUT!CU237</f>
        <v>0</v>
      </c>
      <c r="AY428" s="577" t="str">
        <f>INPUT!CV237</f>
        <v>NA</v>
      </c>
      <c r="AZ428" s="580">
        <f>INPUT!CW237</f>
        <v>2</v>
      </c>
      <c r="BA428" s="577" t="str">
        <f>INPUT!CX237</f>
        <v>NA</v>
      </c>
      <c r="BB428" s="580">
        <f>INPUT!CY237</f>
        <v>3</v>
      </c>
      <c r="BC428" s="577" t="str">
        <f>INPUT!CZ237</f>
        <v>NA</v>
      </c>
      <c r="BD428" s="580">
        <f>INPUT!DA237</f>
        <v>2</v>
      </c>
      <c r="BE428" s="577" t="str">
        <f>INPUT!DB237</f>
        <v>NA</v>
      </c>
      <c r="BF428" s="580">
        <f>INPUT!DC237</f>
        <v>2</v>
      </c>
      <c r="BG428" s="577" t="str">
        <f>INPUT!DD237</f>
        <v>NA</v>
      </c>
      <c r="BH428" s="580">
        <f>INPUT!DE237</f>
        <v>3</v>
      </c>
      <c r="BI428" s="577">
        <f>INPUT!DF237</f>
        <v>50</v>
      </c>
      <c r="BJ428" s="580">
        <f>INPUT!DG237</f>
        <v>0</v>
      </c>
      <c r="BK428" s="577" t="str">
        <f>INPUT!DH237</f>
        <v>NM</v>
      </c>
      <c r="BL428" s="580">
        <f>INPUT!DI237</f>
        <v>2</v>
      </c>
      <c r="BM428" s="577">
        <f>INPUT!DJ237</f>
        <v>0</v>
      </c>
      <c r="BN428" s="580">
        <f>INPUT!DK237</f>
        <v>2</v>
      </c>
      <c r="BO428" s="577">
        <f>INPUT!DL237</f>
        <v>0</v>
      </c>
      <c r="BP428" s="580">
        <f>INPUT!DM237</f>
        <v>2</v>
      </c>
      <c r="BQ428" s="577">
        <f>INPUT!DN237</f>
        <v>-33.333333333333343</v>
      </c>
      <c r="BR428" s="580">
        <f>INPUT!DO237</f>
        <v>3</v>
      </c>
      <c r="BS428" s="577" t="str">
        <f>INPUT!DP237</f>
        <v>NA</v>
      </c>
      <c r="BT428" s="580">
        <f>INPUT!DQ237</f>
        <v>2</v>
      </c>
      <c r="BU428" s="577">
        <f>INPUT!DR237</f>
        <v>0</v>
      </c>
      <c r="BV428" s="580">
        <f>INPUT!DS237</f>
        <v>2</v>
      </c>
      <c r="BW428" s="577">
        <f>INPUT!DT237</f>
        <v>0</v>
      </c>
      <c r="BX428" s="580">
        <f>INPUT!DU237</f>
        <v>3</v>
      </c>
      <c r="BY428" s="577">
        <f>INPUT!DV237</f>
        <v>50</v>
      </c>
      <c r="BZ428" s="580">
        <f>INPUT!DW237</f>
        <v>2</v>
      </c>
      <c r="CA428" s="577">
        <f>INPUT!DX237</f>
        <v>-33.333333333333343</v>
      </c>
      <c r="CB428" s="580">
        <f>INPUT!DY237</f>
        <v>1</v>
      </c>
      <c r="CC428" s="577">
        <f>INPUT!DZ237</f>
        <v>-50</v>
      </c>
      <c r="CD428" s="580">
        <f>INPUT!EA237</f>
        <v>1</v>
      </c>
      <c r="CE428" s="577">
        <f>INPUT!EB237</f>
        <v>-50</v>
      </c>
      <c r="CF428" s="580">
        <f>INPUT!EC237</f>
        <v>1</v>
      </c>
      <c r="CG428" s="577" t="str">
        <f>INPUT!ED237</f>
        <v>NM</v>
      </c>
      <c r="CH428" s="580">
        <f>INPUT!EE237</f>
        <v>1</v>
      </c>
      <c r="CI428" s="577">
        <f>INPUT!EF237</f>
        <v>-50</v>
      </c>
      <c r="CJ428" s="580">
        <f>INPUT!EG237</f>
        <v>2</v>
      </c>
      <c r="CK428" s="577">
        <f>INPUT!EH237</f>
        <v>100</v>
      </c>
      <c r="CL428" s="580">
        <f>INPUT!EI237</f>
        <v>1</v>
      </c>
      <c r="CM428" s="577">
        <f>INPUT!EJ237</f>
        <v>0</v>
      </c>
      <c r="CN428" s="580">
        <f>INPUT!EK237</f>
        <v>2</v>
      </c>
      <c r="CO428" s="577">
        <f>INPUT!EL237</f>
        <v>100</v>
      </c>
      <c r="CP428" s="580">
        <f>INPUT!EM237</f>
        <v>1</v>
      </c>
      <c r="CQ428" s="577">
        <f>INPUT!EN237</f>
        <v>0</v>
      </c>
      <c r="CR428" s="580">
        <f>INPUT!EO237</f>
        <v>1</v>
      </c>
      <c r="CS428" s="577">
        <f>INPUT!EP237</f>
        <v>-50</v>
      </c>
      <c r="CT428" s="580">
        <f>INPUT!EQ237</f>
        <v>1</v>
      </c>
      <c r="CU428" s="577">
        <f>INPUT!ER237</f>
        <v>0</v>
      </c>
      <c r="CV428" s="580">
        <f>INPUT!ES237</f>
        <v>1</v>
      </c>
      <c r="CW428" s="577">
        <f>INPUT!ET237</f>
        <v>-50</v>
      </c>
      <c r="CX428" s="580">
        <f>INPUT!EU237</f>
        <v>1</v>
      </c>
      <c r="CY428" s="577">
        <f>INPUT!EV237</f>
        <v>0</v>
      </c>
      <c r="CZ428" s="580">
        <f>INPUT!EW237</f>
        <v>1</v>
      </c>
      <c r="DA428" s="577">
        <f>INPUT!EX237</f>
        <v>0</v>
      </c>
      <c r="DB428" s="580"/>
      <c r="DC428" s="580">
        <f>INPUT!FP237</f>
        <v>15</v>
      </c>
      <c r="DD428" s="577">
        <f>INPUT!FQ237</f>
        <v>87.5</v>
      </c>
      <c r="DE428" s="580">
        <f>INPUT!FR237</f>
        <v>7</v>
      </c>
      <c r="DF428" s="577" t="str">
        <f>INPUT!FS237</f>
        <v>NM</v>
      </c>
      <c r="DG428" s="580">
        <f>INPUT!FT237</f>
        <v>8</v>
      </c>
      <c r="DH428" s="577">
        <f>INPUT!FU237</f>
        <v>14.285714285714278</v>
      </c>
      <c r="DI428" s="580">
        <f>INPUT!FV237</f>
        <v>1</v>
      </c>
      <c r="DJ428" s="577" t="str">
        <f>INPUT!FW237</f>
        <v>NM</v>
      </c>
      <c r="DK428" s="580">
        <f>INPUT!FX237</f>
        <v>0</v>
      </c>
      <c r="DL428" s="577" t="str">
        <f>INPUT!FY237</f>
        <v>NM</v>
      </c>
      <c r="DM428" s="580">
        <f>INPUT!FZ237</f>
        <v>0</v>
      </c>
      <c r="DN428" s="577" t="str">
        <f>INPUT!GA237</f>
        <v>NA</v>
      </c>
      <c r="DO428" s="580">
        <f>INPUT!GB237</f>
        <v>0</v>
      </c>
      <c r="DP428" s="577" t="str">
        <f>INPUT!GC237</f>
        <v>NA</v>
      </c>
      <c r="DQ428" s="580">
        <f>INPUT!GD237</f>
        <v>7</v>
      </c>
      <c r="DR428" s="577" t="str">
        <f>INPUT!GE237</f>
        <v>NA</v>
      </c>
      <c r="DS428" s="580">
        <f>INPUT!GF237</f>
        <v>7</v>
      </c>
      <c r="DT428" s="577">
        <f>INPUT!GG237</f>
        <v>0</v>
      </c>
      <c r="DU428" s="580">
        <f>INPUT!GH237</f>
        <v>9</v>
      </c>
      <c r="DV428" s="577">
        <f>INPUT!GI237</f>
        <v>28.571428571428584</v>
      </c>
      <c r="DW428" s="580">
        <f>INPUT!GJ237</f>
        <v>8</v>
      </c>
      <c r="DX428" s="577">
        <f>INPUT!GK237</f>
        <v>-11.111111111111114</v>
      </c>
      <c r="DY428" s="580">
        <f>INPUT!GL237</f>
        <v>5</v>
      </c>
      <c r="DZ428" s="577">
        <f>INPUT!GM237</f>
        <v>-37.5</v>
      </c>
      <c r="EA428" s="580">
        <f>INPUT!GN237</f>
        <v>5</v>
      </c>
      <c r="EB428" s="577">
        <f>INPUT!GO237</f>
        <v>0</v>
      </c>
      <c r="EC428" s="580">
        <f>INPUT!GP237</f>
        <v>4</v>
      </c>
      <c r="ED428" s="577">
        <f>INPUT!GQ237</f>
        <v>-20</v>
      </c>
      <c r="EE428" s="580">
        <f>INPUT!GR237</f>
        <v>4</v>
      </c>
      <c r="EF428" s="577">
        <f>INPUT!GS237</f>
        <v>0</v>
      </c>
      <c r="EG428" s="580">
        <f>INPUT!GT237</f>
        <v>4</v>
      </c>
      <c r="EH428" s="577">
        <f>INPUT!GU237</f>
        <v>0</v>
      </c>
      <c r="EI428" s="580">
        <f>INPUT!GV237</f>
        <v>4</v>
      </c>
      <c r="EJ428" s="577">
        <f>INPUT!GW237</f>
        <v>0</v>
      </c>
      <c r="EK428" s="580">
        <f>INPUT!GX237</f>
        <v>4</v>
      </c>
      <c r="EL428" s="577">
        <f>INPUT!GY237</f>
        <v>0</v>
      </c>
      <c r="EM428" s="577">
        <f>INPUT!GZ237</f>
        <v>-4.3647500209962997</v>
      </c>
    </row>
    <row r="429" spans="1:143" ht="12.75" hidden="1" customHeight="1" outlineLevel="1" x14ac:dyDescent="0.2">
      <c r="A429" s="579" t="str">
        <f>INPUT!B238</f>
        <v>Operating Expenses</v>
      </c>
      <c r="B429" s="580">
        <f>INPUT!AY238</f>
        <v>207</v>
      </c>
      <c r="C429" s="577">
        <f>INPUT!AZ238</f>
        <v>50</v>
      </c>
      <c r="D429" s="580">
        <f>INPUT!BA238</f>
        <v>158</v>
      </c>
      <c r="E429" s="577">
        <f>INPUT!BB238</f>
        <v>-10.734463276836152</v>
      </c>
      <c r="F429" s="580">
        <f>INPUT!BC238</f>
        <v>164</v>
      </c>
      <c r="G429" s="577">
        <f>INPUT!BD238</f>
        <v>10.067114093959731</v>
      </c>
      <c r="H429" s="580">
        <f>INPUT!BE238</f>
        <v>203</v>
      </c>
      <c r="I429" s="577">
        <f>INPUT!BF238</f>
        <v>43.971631205673759</v>
      </c>
      <c r="J429" s="580">
        <f>INPUT!BG238</f>
        <v>170</v>
      </c>
      <c r="K429" s="577">
        <f>INPUT!BH238</f>
        <v>-17.874396135265698</v>
      </c>
      <c r="L429" s="580">
        <f>INPUT!BI238</f>
        <v>165</v>
      </c>
      <c r="M429" s="577">
        <f>INPUT!BJ238</f>
        <v>4.4303797468354418</v>
      </c>
      <c r="N429" s="580">
        <f>INPUT!BK238</f>
        <v>179</v>
      </c>
      <c r="O429" s="577">
        <f>INPUT!BL238</f>
        <v>9.1463414634146432</v>
      </c>
      <c r="P429" s="580">
        <f>INPUT!BM238</f>
        <v>165</v>
      </c>
      <c r="Q429" s="577">
        <f>INPUT!BN238</f>
        <v>-18.7192118226601</v>
      </c>
      <c r="R429" s="580">
        <f>INPUT!BO238</f>
        <v>168</v>
      </c>
      <c r="S429" s="577">
        <f>INPUT!BP238</f>
        <v>-1.1764705882352899</v>
      </c>
      <c r="T429" s="580">
        <f>INPUT!BQ238</f>
        <v>167</v>
      </c>
      <c r="U429" s="577">
        <f>INPUT!BR238</f>
        <v>1.2121212121212182</v>
      </c>
      <c r="V429" s="580">
        <f>INPUT!BS238</f>
        <v>172</v>
      </c>
      <c r="W429" s="577">
        <f>INPUT!BT238</f>
        <v>-3.910614525139664</v>
      </c>
      <c r="X429" s="580">
        <f>INPUT!BU238</f>
        <v>173</v>
      </c>
      <c r="Y429" s="577">
        <f>INPUT!BV238</f>
        <v>4.8484848484848584</v>
      </c>
      <c r="Z429" s="580">
        <f>INPUT!BW238</f>
        <v>181</v>
      </c>
      <c r="AA429" s="577">
        <f>INPUT!BX238</f>
        <v>7.7380952380952266</v>
      </c>
      <c r="AB429" s="580">
        <f>INPUT!BY238</f>
        <v>175</v>
      </c>
      <c r="AC429" s="577">
        <f>INPUT!BZ238</f>
        <v>4.7904191616766383</v>
      </c>
      <c r="AD429" s="580">
        <f>INPUT!CA238</f>
        <v>192</v>
      </c>
      <c r="AE429" s="577">
        <f>INPUT!CB238</f>
        <v>11.627906976744185</v>
      </c>
      <c r="AF429" s="580">
        <f>INPUT!CC238</f>
        <v>185</v>
      </c>
      <c r="AG429" s="577">
        <f>INPUT!CD238</f>
        <v>6.9364161849710939</v>
      </c>
      <c r="AH429" s="580">
        <f>INPUT!CE238</f>
        <v>193</v>
      </c>
      <c r="AI429" s="577">
        <f>INPUT!CF238</f>
        <v>6.6298342541436455</v>
      </c>
      <c r="AJ429" s="580">
        <f>INPUT!CG238</f>
        <v>198</v>
      </c>
      <c r="AK429" s="577">
        <f>INPUT!CH238</f>
        <v>13.142857142857139</v>
      </c>
      <c r="AL429" s="580">
        <f>INPUT!CI238</f>
        <v>192</v>
      </c>
      <c r="AM429" s="577">
        <f>INPUT!CJ238</f>
        <v>0</v>
      </c>
      <c r="AN429" s="580">
        <f>INPUT!CK238</f>
        <v>196</v>
      </c>
      <c r="AO429" s="577">
        <f>INPUT!CL238</f>
        <v>5.9459459459459509</v>
      </c>
      <c r="AP429" s="580">
        <f>INPUT!CM238</f>
        <v>203</v>
      </c>
      <c r="AQ429" s="577">
        <f>INPUT!CN238</f>
        <v>5.1813471502590573</v>
      </c>
      <c r="AR429" s="580">
        <f>INPUT!CO238</f>
        <v>205</v>
      </c>
      <c r="AS429" s="577">
        <f>INPUT!CP238</f>
        <v>3.5353535353535221</v>
      </c>
      <c r="AT429" s="580">
        <f>INPUT!CQ238</f>
        <v>187</v>
      </c>
      <c r="AU429" s="577">
        <f>INPUT!CR238</f>
        <v>-2.6041666666666572</v>
      </c>
      <c r="AV429" s="580">
        <f>INPUT!CS238</f>
        <v>191</v>
      </c>
      <c r="AW429" s="577">
        <f>INPUT!CT238</f>
        <v>-2.5510204081632679</v>
      </c>
      <c r="AX429" s="580">
        <f>INPUT!CU238</f>
        <v>195</v>
      </c>
      <c r="AY429" s="577">
        <f>INPUT!CV238</f>
        <v>-3.9408866995073879</v>
      </c>
      <c r="AZ429" s="580">
        <f>INPUT!CW238</f>
        <v>196</v>
      </c>
      <c r="BA429" s="577">
        <f>INPUT!CX238</f>
        <v>-4.3902439024390247</v>
      </c>
      <c r="BB429" s="580">
        <f>INPUT!CY238</f>
        <v>191</v>
      </c>
      <c r="BC429" s="577">
        <f>INPUT!CZ238</f>
        <v>2.1390374331550959</v>
      </c>
      <c r="BD429" s="580">
        <f>INPUT!DA238</f>
        <v>290</v>
      </c>
      <c r="BE429" s="577">
        <f>INPUT!DB238</f>
        <v>51.832460732984288</v>
      </c>
      <c r="BF429" s="580">
        <f>INPUT!DC238</f>
        <v>195</v>
      </c>
      <c r="BG429" s="577">
        <f>INPUT!DD238</f>
        <v>0</v>
      </c>
      <c r="BH429" s="580">
        <f>INPUT!DE238</f>
        <v>201</v>
      </c>
      <c r="BI429" s="577">
        <f>INPUT!DF238</f>
        <v>2.5510204081632679</v>
      </c>
      <c r="BJ429" s="580">
        <f>INPUT!DG238</f>
        <v>208</v>
      </c>
      <c r="BK429" s="577">
        <f>INPUT!DH238</f>
        <v>8.9005235602094217</v>
      </c>
      <c r="BL429" s="580">
        <f>INPUT!DI238</f>
        <v>220</v>
      </c>
      <c r="BM429" s="577">
        <f>INPUT!DJ238</f>
        <v>-24.137931034482762</v>
      </c>
      <c r="BN429" s="580">
        <f>INPUT!DK238</f>
        <v>217</v>
      </c>
      <c r="BO429" s="577">
        <f>INPUT!DL238</f>
        <v>11.282051282051285</v>
      </c>
      <c r="BP429" s="580">
        <f>INPUT!DM238</f>
        <v>202</v>
      </c>
      <c r="BQ429" s="577">
        <f>INPUT!DN238</f>
        <v>0.49751243781095411</v>
      </c>
      <c r="BR429" s="580">
        <f>INPUT!DO238</f>
        <v>211</v>
      </c>
      <c r="BS429" s="577">
        <f>INPUT!DP238</f>
        <v>1.4423076923076934</v>
      </c>
      <c r="BT429" s="580">
        <f>INPUT!DQ238</f>
        <v>226</v>
      </c>
      <c r="BU429" s="577">
        <f>INPUT!DR238</f>
        <v>2.7272727272727337</v>
      </c>
      <c r="BV429" s="580">
        <f>INPUT!DS238</f>
        <v>205</v>
      </c>
      <c r="BW429" s="577">
        <f>INPUT!DT238</f>
        <v>-5.5299539170506904</v>
      </c>
      <c r="BX429" s="580">
        <f>INPUT!DU238</f>
        <v>213</v>
      </c>
      <c r="BY429" s="577">
        <f>INPUT!DV238</f>
        <v>5.4455445544554522</v>
      </c>
      <c r="BZ429" s="580">
        <f>INPUT!DW238</f>
        <v>202</v>
      </c>
      <c r="CA429" s="577">
        <f>INPUT!DX238</f>
        <v>-4.2654028436018905</v>
      </c>
      <c r="CB429" s="580">
        <f>INPUT!DY238</f>
        <v>218</v>
      </c>
      <c r="CC429" s="577">
        <f>INPUT!DZ238</f>
        <v>-3.5398230088495666</v>
      </c>
      <c r="CD429" s="580">
        <f>INPUT!EA238</f>
        <v>209</v>
      </c>
      <c r="CE429" s="577">
        <f>INPUT!EB238</f>
        <v>1.9512195121951237</v>
      </c>
      <c r="CF429" s="580">
        <f>INPUT!EC238</f>
        <v>207</v>
      </c>
      <c r="CG429" s="577">
        <f>INPUT!ED238</f>
        <v>-2.816901408450704</v>
      </c>
      <c r="CH429" s="580">
        <f>INPUT!EE238</f>
        <v>200</v>
      </c>
      <c r="CI429" s="577">
        <f>INPUT!EF238</f>
        <v>-0.99009900990098743</v>
      </c>
      <c r="CJ429" s="580">
        <f>INPUT!EG238</f>
        <v>201</v>
      </c>
      <c r="CK429" s="577">
        <f>INPUT!EH238</f>
        <v>-7.7981651376146743</v>
      </c>
      <c r="CL429" s="580">
        <f>INPUT!EI238</f>
        <v>215</v>
      </c>
      <c r="CM429" s="577">
        <f>INPUT!EJ238</f>
        <v>2.8708133971291829</v>
      </c>
      <c r="CN429" s="580">
        <f>INPUT!EK238</f>
        <v>203</v>
      </c>
      <c r="CO429" s="577">
        <f>INPUT!EL238</f>
        <v>-1.9323671497584485</v>
      </c>
      <c r="CP429" s="580">
        <f>INPUT!EM238</f>
        <v>210</v>
      </c>
      <c r="CQ429" s="577">
        <f>INPUT!EN238</f>
        <v>5</v>
      </c>
      <c r="CR429" s="580">
        <f>INPUT!EO238</f>
        <v>224</v>
      </c>
      <c r="CS429" s="577">
        <f>INPUT!EP238</f>
        <v>11.442786069651746</v>
      </c>
      <c r="CT429" s="580">
        <f>INPUT!EQ238</f>
        <v>210.62439000000006</v>
      </c>
      <c r="CU429" s="577">
        <f>INPUT!ER238</f>
        <v>-2.0351674418604375</v>
      </c>
      <c r="CV429" s="580">
        <f>INPUT!ES238</f>
        <v>212.73063390000004</v>
      </c>
      <c r="CW429" s="577">
        <f>INPUT!ET238</f>
        <v>4.7934157142857288</v>
      </c>
      <c r="CX429" s="580">
        <f>INPUT!EU238</f>
        <v>214.85794023900002</v>
      </c>
      <c r="CY429" s="577">
        <f>INPUT!EV238</f>
        <v>2.3133048757142802</v>
      </c>
      <c r="CZ429" s="580">
        <f>INPUT!EW238</f>
        <v>232.60829556331996</v>
      </c>
      <c r="DA429" s="577">
        <f>INPUT!EX238</f>
        <v>3.8429890907678299</v>
      </c>
      <c r="DB429" s="580"/>
      <c r="DC429" s="580">
        <f>INPUT!FP238</f>
        <v>605</v>
      </c>
      <c r="DD429" s="577">
        <f>INPUT!FQ238</f>
        <v>2.0236087689713429</v>
      </c>
      <c r="DE429" s="580">
        <f>INPUT!FR238</f>
        <v>732</v>
      </c>
      <c r="DF429" s="577">
        <f>INPUT!FS238</f>
        <v>20.991735537190095</v>
      </c>
      <c r="DG429" s="580">
        <f>INPUT!FT238</f>
        <v>679</v>
      </c>
      <c r="DH429" s="577">
        <f>INPUT!FU238</f>
        <v>-7.2404371584699447</v>
      </c>
      <c r="DI429" s="580">
        <f>INPUT!FV238</f>
        <v>680</v>
      </c>
      <c r="DJ429" s="577">
        <f>INPUT!FW238</f>
        <v>0.14727540500736325</v>
      </c>
      <c r="DK429" s="580">
        <f>INPUT!FX238</f>
        <v>733</v>
      </c>
      <c r="DL429" s="577">
        <f>INPUT!FY238</f>
        <v>7.7941176470588118</v>
      </c>
      <c r="DM429" s="580">
        <f>INPUT!FZ238</f>
        <v>779</v>
      </c>
      <c r="DN429" s="577">
        <f>INPUT!GA238</f>
        <v>6.2755798090040855</v>
      </c>
      <c r="DO429" s="580">
        <f>INPUT!GB238</f>
        <v>786</v>
      </c>
      <c r="DP429" s="577">
        <f>INPUT!GC238</f>
        <v>0.89858793324775377</v>
      </c>
      <c r="DQ429" s="580">
        <f>INPUT!GD238</f>
        <v>872</v>
      </c>
      <c r="DR429" s="577">
        <f>INPUT!GE238</f>
        <v>10.94147582697201</v>
      </c>
      <c r="DS429" s="580">
        <f>INPUT!GF238</f>
        <v>824</v>
      </c>
      <c r="DT429" s="577">
        <f>INPUT!GG238</f>
        <v>-5.5045871559633071</v>
      </c>
      <c r="DU429" s="580">
        <f>INPUT!GH238</f>
        <v>856</v>
      </c>
      <c r="DV429" s="577">
        <f>INPUT!GI238</f>
        <v>3.8834951456310591</v>
      </c>
      <c r="DW429" s="580">
        <f>INPUT!GJ238</f>
        <v>838</v>
      </c>
      <c r="DX429" s="577">
        <f>INPUT!GK238</f>
        <v>-2.1028037383177605</v>
      </c>
      <c r="DY429" s="580">
        <f>INPUT!GL238</f>
        <v>817</v>
      </c>
      <c r="DZ429" s="577">
        <f>INPUT!GM238</f>
        <v>-2.5059665871121695</v>
      </c>
      <c r="EA429" s="580">
        <f>INPUT!GN238</f>
        <v>852</v>
      </c>
      <c r="EB429" s="577">
        <f>INPUT!GO238</f>
        <v>4.2839657282741683</v>
      </c>
      <c r="EC429" s="580">
        <f>INPUT!GP238</f>
        <v>870.82125970232016</v>
      </c>
      <c r="ED429" s="577">
        <f>INPUT!GQ238</f>
        <v>2.2090680401784226</v>
      </c>
      <c r="EE429" s="580">
        <f>INPUT!GR238</f>
        <v>907.43025323199208</v>
      </c>
      <c r="EF429" s="577">
        <f>INPUT!GS238</f>
        <v>4.2039618488628037</v>
      </c>
      <c r="EG429" s="580">
        <f>INPUT!GT238</f>
        <v>945.61017509134558</v>
      </c>
      <c r="EH429" s="577">
        <f>INPUT!GU238</f>
        <v>4.2074772935295215</v>
      </c>
      <c r="EI429" s="580">
        <f>INPUT!GV238</f>
        <v>985.43025652887798</v>
      </c>
      <c r="EJ429" s="577">
        <f>INPUT!GW238</f>
        <v>4.2110462097857351</v>
      </c>
      <c r="EK429" s="580">
        <f>INPUT!GX238</f>
        <v>1026.962881689944</v>
      </c>
      <c r="EL429" s="577">
        <f>INPUT!GY238</f>
        <v>4.2146691646512124</v>
      </c>
      <c r="EM429" s="577">
        <f>INPUT!GZ238</f>
        <v>3.8061371750650386</v>
      </c>
    </row>
    <row r="430" spans="1:143" ht="12.75" hidden="1" customHeight="1" outlineLevel="1" x14ac:dyDescent="0.2">
      <c r="A430" s="579" t="str">
        <f>INPUT!B239</f>
        <v>Net DAC</v>
      </c>
      <c r="B430" s="580">
        <f>INPUT!AY239</f>
        <v>-57</v>
      </c>
      <c r="C430" s="577" t="str">
        <f>INPUT!AZ239</f>
        <v>NM</v>
      </c>
      <c r="D430" s="580">
        <f>INPUT!BA239</f>
        <v>-12</v>
      </c>
      <c r="E430" s="577" t="str">
        <f>INPUT!BB239</f>
        <v>NM</v>
      </c>
      <c r="F430" s="580">
        <f>INPUT!BC239</f>
        <v>-12</v>
      </c>
      <c r="G430" s="577">
        <f>INPUT!BD239</f>
        <v>-14.285714285714292</v>
      </c>
      <c r="H430" s="580">
        <f>INPUT!BE239</f>
        <v>-33</v>
      </c>
      <c r="I430" s="577" t="str">
        <f>INPUT!BF239</f>
        <v>NM</v>
      </c>
      <c r="J430" s="580">
        <f>INPUT!BG239</f>
        <v>-12</v>
      </c>
      <c r="K430" s="577" t="str">
        <f>INPUT!BH239</f>
        <v>NM</v>
      </c>
      <c r="L430" s="580">
        <f>INPUT!BI239</f>
        <v>-3</v>
      </c>
      <c r="M430" s="577" t="str">
        <f>INPUT!BJ239</f>
        <v>NM</v>
      </c>
      <c r="N430" s="580">
        <f>INPUT!BK239</f>
        <v>-14</v>
      </c>
      <c r="O430" s="577">
        <f>INPUT!BL239</f>
        <v>16.666666666666671</v>
      </c>
      <c r="P430" s="580">
        <f>INPUT!BM239</f>
        <v>-8</v>
      </c>
      <c r="Q430" s="577" t="str">
        <f>INPUT!BN239</f>
        <v>NM</v>
      </c>
      <c r="R430" s="580">
        <f>INPUT!BO239</f>
        <v>-5</v>
      </c>
      <c r="S430" s="577" t="str">
        <f>INPUT!BP239</f>
        <v>NM</v>
      </c>
      <c r="T430" s="580">
        <f>INPUT!BQ239</f>
        <v>-5</v>
      </c>
      <c r="U430" s="577">
        <f>INPUT!BR239</f>
        <v>66.666666666666686</v>
      </c>
      <c r="V430" s="580">
        <f>INPUT!BS239</f>
        <v>-7</v>
      </c>
      <c r="W430" s="577">
        <f>INPUT!BT239</f>
        <v>-50</v>
      </c>
      <c r="X430" s="580">
        <f>INPUT!BU239</f>
        <v>-9</v>
      </c>
      <c r="Y430" s="577">
        <f>INPUT!BV239</f>
        <v>12.5</v>
      </c>
      <c r="Z430" s="580">
        <f>INPUT!BW239</f>
        <v>-2</v>
      </c>
      <c r="AA430" s="577" t="str">
        <f>INPUT!BX239</f>
        <v>NM</v>
      </c>
      <c r="AB430" s="580">
        <f>INPUT!BY239</f>
        <v>-3</v>
      </c>
      <c r="AC430" s="577">
        <f>INPUT!BZ239</f>
        <v>-40</v>
      </c>
      <c r="AD430" s="580">
        <f>INPUT!CA239</f>
        <v>-15</v>
      </c>
      <c r="AE430" s="577" t="str">
        <f>INPUT!CB239</f>
        <v>NM</v>
      </c>
      <c r="AF430" s="580">
        <f>INPUT!CC239</f>
        <v>-4</v>
      </c>
      <c r="AG430" s="577" t="str">
        <f>INPUT!CD239</f>
        <v>NM</v>
      </c>
      <c r="AH430" s="580">
        <f>INPUT!CE239</f>
        <v>-5</v>
      </c>
      <c r="AI430" s="577" t="str">
        <f>INPUT!CF239</f>
        <v>NM</v>
      </c>
      <c r="AJ430" s="580">
        <f>INPUT!CG239</f>
        <v>-6</v>
      </c>
      <c r="AK430" s="577">
        <f>INPUT!CH239</f>
        <v>100</v>
      </c>
      <c r="AL430" s="580">
        <f>INPUT!CI239</f>
        <v>-6</v>
      </c>
      <c r="AM430" s="577" t="str">
        <f>INPUT!CJ239</f>
        <v>NM</v>
      </c>
      <c r="AN430" s="580">
        <f>INPUT!CK239</f>
        <v>-1</v>
      </c>
      <c r="AO430" s="577" t="str">
        <f>INPUT!CL239</f>
        <v>NM</v>
      </c>
      <c r="AP430" s="580">
        <f>INPUT!CM239</f>
        <v>-6</v>
      </c>
      <c r="AQ430" s="577">
        <f>INPUT!CN239</f>
        <v>20</v>
      </c>
      <c r="AR430" s="580">
        <f>INPUT!CO239</f>
        <v>-9</v>
      </c>
      <c r="AS430" s="577">
        <f>INPUT!CP239</f>
        <v>50</v>
      </c>
      <c r="AT430" s="580">
        <f>INPUT!CQ239</f>
        <v>2</v>
      </c>
      <c r="AU430" s="577" t="str">
        <f>INPUT!CR239</f>
        <v>NM</v>
      </c>
      <c r="AV430" s="580">
        <f>INPUT!CS239</f>
        <v>2</v>
      </c>
      <c r="AW430" s="577" t="str">
        <f>INPUT!CT239</f>
        <v>NM</v>
      </c>
      <c r="AX430" s="580">
        <f>INPUT!CU239</f>
        <v>1</v>
      </c>
      <c r="AY430" s="577" t="str">
        <f>INPUT!CV239</f>
        <v>NM</v>
      </c>
      <c r="AZ430" s="580">
        <f>INPUT!CW239</f>
        <v>1</v>
      </c>
      <c r="BA430" s="577" t="str">
        <f>INPUT!CX239</f>
        <v>NM</v>
      </c>
      <c r="BB430" s="580">
        <f>INPUT!CY239</f>
        <v>1</v>
      </c>
      <c r="BC430" s="577">
        <f>INPUT!CZ239</f>
        <v>-50</v>
      </c>
      <c r="BD430" s="580">
        <f>INPUT!DA239</f>
        <v>-53</v>
      </c>
      <c r="BE430" s="577" t="str">
        <f>INPUT!DB239</f>
        <v>NM</v>
      </c>
      <c r="BF430" s="580">
        <f>INPUT!DC239</f>
        <v>2</v>
      </c>
      <c r="BG430" s="577">
        <f>INPUT!DD239</f>
        <v>100</v>
      </c>
      <c r="BH430" s="580">
        <f>INPUT!DE239</f>
        <v>5</v>
      </c>
      <c r="BI430" s="577" t="str">
        <f>INPUT!DF239</f>
        <v>NM</v>
      </c>
      <c r="BJ430" s="580">
        <f>INPUT!DG239</f>
        <v>-2</v>
      </c>
      <c r="BK430" s="577" t="str">
        <f>INPUT!DH239</f>
        <v>NM</v>
      </c>
      <c r="BL430" s="580">
        <f>INPUT!DI239</f>
        <v>-6</v>
      </c>
      <c r="BM430" s="577" t="str">
        <f>INPUT!DJ239</f>
        <v>NM</v>
      </c>
      <c r="BN430" s="580">
        <f>INPUT!DK239</f>
        <v>3</v>
      </c>
      <c r="BO430" s="577">
        <f>INPUT!DL239</f>
        <v>50</v>
      </c>
      <c r="BP430" s="580">
        <f>INPUT!DM239</f>
        <v>2</v>
      </c>
      <c r="BQ430" s="577" t="str">
        <f>INPUT!DN239</f>
        <v>NM</v>
      </c>
      <c r="BR430" s="580">
        <f>INPUT!DO239</f>
        <v>2</v>
      </c>
      <c r="BS430" s="577" t="str">
        <f>INPUT!DP239</f>
        <v>NM</v>
      </c>
      <c r="BT430" s="580">
        <f>INPUT!DQ239</f>
        <v>-1</v>
      </c>
      <c r="BU430" s="577" t="str">
        <f>INPUT!DR239</f>
        <v>NM</v>
      </c>
      <c r="BV430" s="580">
        <f>INPUT!DS239</f>
        <v>2</v>
      </c>
      <c r="BW430" s="577">
        <f>INPUT!DT239</f>
        <v>-33.333333333333343</v>
      </c>
      <c r="BX430" s="580">
        <f>INPUT!DU239</f>
        <v>-8</v>
      </c>
      <c r="BY430" s="577" t="str">
        <f>INPUT!DV239</f>
        <v>NM</v>
      </c>
      <c r="BZ430" s="580">
        <f>INPUT!DW239</f>
        <v>1</v>
      </c>
      <c r="CA430" s="577">
        <f>INPUT!DX239</f>
        <v>-50</v>
      </c>
      <c r="CB430" s="580">
        <f>INPUT!DY239</f>
        <v>1</v>
      </c>
      <c r="CC430" s="577" t="str">
        <f>INPUT!DZ239</f>
        <v>NM</v>
      </c>
      <c r="CD430" s="580">
        <f>INPUT!EA239</f>
        <v>1</v>
      </c>
      <c r="CE430" s="577">
        <f>INPUT!EB239</f>
        <v>-50</v>
      </c>
      <c r="CF430" s="580">
        <f>INPUT!EC239</f>
        <v>2</v>
      </c>
      <c r="CG430" s="577" t="str">
        <f>INPUT!ED239</f>
        <v>NM</v>
      </c>
      <c r="CH430" s="580">
        <f>INPUT!EE239</f>
        <v>1</v>
      </c>
      <c r="CI430" s="577">
        <f>INPUT!EF239</f>
        <v>0</v>
      </c>
      <c r="CJ430" s="580">
        <f>INPUT!EG239</f>
        <v>2</v>
      </c>
      <c r="CK430" s="577">
        <f>INPUT!EH239</f>
        <v>100</v>
      </c>
      <c r="CL430" s="580">
        <f>INPUT!EI239</f>
        <v>1</v>
      </c>
      <c r="CM430" s="577">
        <f>INPUT!EJ239</f>
        <v>0</v>
      </c>
      <c r="CN430" s="580">
        <f>INPUT!EK239</f>
        <v>2</v>
      </c>
      <c r="CO430" s="577">
        <f>INPUT!EL239</f>
        <v>0</v>
      </c>
      <c r="CP430" s="580">
        <f>INPUT!EM239</f>
        <v>10</v>
      </c>
      <c r="CQ430" s="577" t="str">
        <f>INPUT!EN239</f>
        <v>NM</v>
      </c>
      <c r="CR430" s="580">
        <f>INPUT!EO239</f>
        <v>1</v>
      </c>
      <c r="CS430" s="577">
        <f>INPUT!EP239</f>
        <v>-50</v>
      </c>
      <c r="CT430" s="580">
        <f>INPUT!EQ239</f>
        <v>3.1593658500000008</v>
      </c>
      <c r="CU430" s="577" t="str">
        <f>INPUT!ER239</f>
        <v>NM</v>
      </c>
      <c r="CV430" s="580">
        <f>INPUT!ES239</f>
        <v>3.1909595085000007</v>
      </c>
      <c r="CW430" s="577">
        <f>INPUT!ET239</f>
        <v>59.547975425000033</v>
      </c>
      <c r="CX430" s="580">
        <f>INPUT!EU239</f>
        <v>3.2228691035849999</v>
      </c>
      <c r="CY430" s="577" t="str">
        <f>INPUT!EV239</f>
        <v>NM</v>
      </c>
      <c r="CZ430" s="580">
        <f>INPUT!EW239</f>
        <v>3.4891244334497991</v>
      </c>
      <c r="DA430" s="577" t="str">
        <f>INPUT!EX239</f>
        <v>NM</v>
      </c>
      <c r="DB430" s="580"/>
      <c r="DC430" s="580">
        <f>INPUT!FP239</f>
        <v>-59</v>
      </c>
      <c r="DD430" s="577" t="str">
        <f>INPUT!FQ239</f>
        <v>NM</v>
      </c>
      <c r="DE430" s="580">
        <f>INPUT!FR239</f>
        <v>-114</v>
      </c>
      <c r="DF430" s="577">
        <f>INPUT!FS239</f>
        <v>93.220338983050851</v>
      </c>
      <c r="DG430" s="580">
        <f>INPUT!FT239</f>
        <v>-37</v>
      </c>
      <c r="DH430" s="577" t="str">
        <f>INPUT!FU239</f>
        <v>NM</v>
      </c>
      <c r="DI430" s="580">
        <f>INPUT!FV239</f>
        <v>-22</v>
      </c>
      <c r="DJ430" s="577">
        <f>INPUT!FW239</f>
        <v>-40.54054054054054</v>
      </c>
      <c r="DK430" s="580">
        <f>INPUT!FX239</f>
        <v>-22</v>
      </c>
      <c r="DL430" s="577">
        <f>INPUT!FY239</f>
        <v>0</v>
      </c>
      <c r="DM430" s="580">
        <f>INPUT!FZ239</f>
        <v>-18</v>
      </c>
      <c r="DN430" s="577">
        <f>INPUT!GA239</f>
        <v>-18.181818181818173</v>
      </c>
      <c r="DO430" s="580">
        <f>INPUT!GB239</f>
        <v>-11</v>
      </c>
      <c r="DP430" s="577">
        <f>INPUT!GC239</f>
        <v>-38.888888888888886</v>
      </c>
      <c r="DQ430" s="580">
        <f>INPUT!GD239</f>
        <v>-50</v>
      </c>
      <c r="DR430" s="577" t="str">
        <f>INPUT!GE239</f>
        <v>NM</v>
      </c>
      <c r="DS430" s="580">
        <f>INPUT!GF239</f>
        <v>-1</v>
      </c>
      <c r="DT430" s="577" t="str">
        <f>INPUT!GG239</f>
        <v>NM</v>
      </c>
      <c r="DU430" s="580">
        <f>INPUT!GH239</f>
        <v>6</v>
      </c>
      <c r="DV430" s="577" t="str">
        <f>INPUT!GI239</f>
        <v>NM</v>
      </c>
      <c r="DW430" s="580">
        <f>INPUT!GJ239</f>
        <v>-4</v>
      </c>
      <c r="DX430" s="577" t="str">
        <f>INPUT!GK239</f>
        <v>NM</v>
      </c>
      <c r="DY430" s="580">
        <f>INPUT!GL239</f>
        <v>6</v>
      </c>
      <c r="DZ430" s="577" t="str">
        <f>INPUT!GM239</f>
        <v>NM</v>
      </c>
      <c r="EA430" s="580">
        <f>INPUT!GN239</f>
        <v>14</v>
      </c>
      <c r="EB430" s="577" t="str">
        <f>INPUT!GO239</f>
        <v>NM</v>
      </c>
      <c r="EC430" s="580">
        <f>INPUT!GP239</f>
        <v>13.0623188955348</v>
      </c>
      <c r="ED430" s="577">
        <f>INPUT!GQ239</f>
        <v>-6.6977221747514335</v>
      </c>
      <c r="EE430" s="580">
        <f>INPUT!GR239</f>
        <v>13.611453798479877</v>
      </c>
      <c r="EF430" s="577">
        <f>INPUT!GS239</f>
        <v>4.2039618488627752</v>
      </c>
      <c r="EG430" s="580">
        <f>INPUT!GT239</f>
        <v>14.18415262637018</v>
      </c>
      <c r="EH430" s="577">
        <f>INPUT!GU239</f>
        <v>4.2074772935295215</v>
      </c>
      <c r="EI430" s="580">
        <f>INPUT!GV239</f>
        <v>14.781453847933166</v>
      </c>
      <c r="EJ430" s="577">
        <f>INPUT!GW239</f>
        <v>4.2110462097857351</v>
      </c>
      <c r="EK430" s="580">
        <f>INPUT!GX239</f>
        <v>15.404443225349155</v>
      </c>
      <c r="EL430" s="577">
        <f>INPUT!GY239</f>
        <v>4.2146691646512124</v>
      </c>
      <c r="EM430" s="577">
        <f>INPUT!GZ239</f>
        <v>1.930368444091668</v>
      </c>
    </row>
    <row r="431" spans="1:143" ht="12.75" hidden="1" customHeight="1" outlineLevel="1" x14ac:dyDescent="0.2">
      <c r="A431" s="575" t="str">
        <f>INPUT!B240</f>
        <v>Total Benefits and Expenses</v>
      </c>
      <c r="B431" s="581">
        <f>INPUT!AY240</f>
        <v>1062</v>
      </c>
      <c r="C431" s="577">
        <f>INPUT!AZ240</f>
        <v>4.7337278106508904</v>
      </c>
      <c r="D431" s="581">
        <f>INPUT!BA240</f>
        <v>1088</v>
      </c>
      <c r="E431" s="577">
        <f>INPUT!BB240</f>
        <v>7.2978303747534454</v>
      </c>
      <c r="F431" s="581">
        <f>INPUT!BC240</f>
        <v>1065</v>
      </c>
      <c r="G431" s="577">
        <f>INPUT!BD240</f>
        <v>8.8957055214723795</v>
      </c>
      <c r="H431" s="581">
        <f>INPUT!BE240</f>
        <v>1111</v>
      </c>
      <c r="I431" s="577">
        <f>INPUT!BF240</f>
        <v>14.536082474226802</v>
      </c>
      <c r="J431" s="581">
        <f>INPUT!BG240</f>
        <v>1154</v>
      </c>
      <c r="K431" s="577">
        <f>INPUT!BH240</f>
        <v>8.662900188323917</v>
      </c>
      <c r="L431" s="581">
        <f>INPUT!BI240</f>
        <v>1142</v>
      </c>
      <c r="M431" s="577">
        <f>INPUT!BJ240</f>
        <v>4.9632352941176379</v>
      </c>
      <c r="N431" s="581">
        <f>INPUT!BK240</f>
        <v>1103</v>
      </c>
      <c r="O431" s="577">
        <f>INPUT!BL240</f>
        <v>3.5680751173708956</v>
      </c>
      <c r="P431" s="581">
        <f>INPUT!BM240</f>
        <v>1114</v>
      </c>
      <c r="Q431" s="577">
        <f>INPUT!BN240</f>
        <v>0.27002700270027447</v>
      </c>
      <c r="R431" s="581">
        <f>INPUT!BO240</f>
        <v>1167</v>
      </c>
      <c r="S431" s="577">
        <f>INPUT!BP240</f>
        <v>1.1265164644713934</v>
      </c>
      <c r="T431" s="581">
        <f>INPUT!BQ240</f>
        <v>1138</v>
      </c>
      <c r="U431" s="577">
        <f>INPUT!BR240</f>
        <v>-0.3502626970227567</v>
      </c>
      <c r="V431" s="581">
        <f>INPUT!BS240</f>
        <v>1131</v>
      </c>
      <c r="W431" s="577">
        <f>INPUT!BT240</f>
        <v>2.538531278331817</v>
      </c>
      <c r="X431" s="581">
        <f>INPUT!BU240</f>
        <v>1184</v>
      </c>
      <c r="Y431" s="577">
        <f>INPUT!BV240</f>
        <v>6.2836624775583374</v>
      </c>
      <c r="Z431" s="581">
        <f>INPUT!BW240</f>
        <v>1240</v>
      </c>
      <c r="AA431" s="577">
        <f>INPUT!BX240</f>
        <v>6.2553556126820951</v>
      </c>
      <c r="AB431" s="581">
        <f>INPUT!BY240</f>
        <v>1198</v>
      </c>
      <c r="AC431" s="577">
        <f>INPUT!BZ240</f>
        <v>5.2724077328646786</v>
      </c>
      <c r="AD431" s="581">
        <f>INPUT!CA240</f>
        <v>1292</v>
      </c>
      <c r="AE431" s="577">
        <f>INPUT!CB240</f>
        <v>14.235190097259064</v>
      </c>
      <c r="AF431" s="581">
        <f>INPUT!CC240</f>
        <v>1224</v>
      </c>
      <c r="AG431" s="577">
        <f>INPUT!CD240</f>
        <v>3.3783783783783718</v>
      </c>
      <c r="AH431" s="581">
        <f>INPUT!CE240</f>
        <v>1259</v>
      </c>
      <c r="AI431" s="577">
        <f>INPUT!CF240</f>
        <v>1.5322580645161281</v>
      </c>
      <c r="AJ431" s="581">
        <f>INPUT!CG240</f>
        <v>1284</v>
      </c>
      <c r="AK431" s="577">
        <f>INPUT!CH240</f>
        <v>7.1786310517529159</v>
      </c>
      <c r="AL431" s="581">
        <f>INPUT!CI240</f>
        <v>1406</v>
      </c>
      <c r="AM431" s="577">
        <f>INPUT!CJ240</f>
        <v>8.8235294117646959</v>
      </c>
      <c r="AN431" s="581">
        <f>INPUT!CK240</f>
        <v>1297</v>
      </c>
      <c r="AO431" s="577">
        <f>INPUT!CL240</f>
        <v>5.9640522875816941</v>
      </c>
      <c r="AP431" s="581">
        <f>INPUT!CM240</f>
        <v>1467</v>
      </c>
      <c r="AQ431" s="577">
        <f>INPUT!CN240</f>
        <v>16.5210484511517</v>
      </c>
      <c r="AR431" s="581">
        <f>INPUT!CO240</f>
        <v>1437</v>
      </c>
      <c r="AS431" s="577">
        <f>INPUT!CP240</f>
        <v>11.915887850467286</v>
      </c>
      <c r="AT431" s="581">
        <f>INPUT!CQ240</f>
        <v>1402</v>
      </c>
      <c r="AU431" s="577">
        <f>INPUT!CR240</f>
        <v>-0.28449502133712201</v>
      </c>
      <c r="AV431" s="581">
        <f>INPUT!CS240</f>
        <v>1342</v>
      </c>
      <c r="AW431" s="577">
        <f>INPUT!CT240</f>
        <v>3.4695451040863503</v>
      </c>
      <c r="AX431" s="581">
        <f>INPUT!CU240</f>
        <v>1431</v>
      </c>
      <c r="AY431" s="577">
        <f>INPUT!CV240</f>
        <v>-2.4539877300613426</v>
      </c>
      <c r="AZ431" s="581">
        <f>INPUT!CW240</f>
        <v>1359</v>
      </c>
      <c r="BA431" s="577">
        <f>INPUT!CX240</f>
        <v>-5.4279749478079395</v>
      </c>
      <c r="BB431" s="581">
        <f>INPUT!CY240</f>
        <v>1385</v>
      </c>
      <c r="BC431" s="577">
        <f>INPUT!CZ240</f>
        <v>-1.2125534950071284</v>
      </c>
      <c r="BD431" s="581">
        <f>INPUT!DA240</f>
        <v>1410</v>
      </c>
      <c r="BE431" s="577">
        <f>INPUT!DB240</f>
        <v>5.0670640834575238</v>
      </c>
      <c r="BF431" s="581">
        <f>INPUT!DC240</f>
        <v>1393</v>
      </c>
      <c r="BG431" s="577">
        <f>INPUT!DD240</f>
        <v>-2.6554856743535993</v>
      </c>
      <c r="BH431" s="581">
        <f>INPUT!DE240</f>
        <v>1377</v>
      </c>
      <c r="BI431" s="577">
        <f>INPUT!DF240</f>
        <v>1.3245033112582831</v>
      </c>
      <c r="BJ431" s="581">
        <f>INPUT!DG240</f>
        <v>1274</v>
      </c>
      <c r="BK431" s="577">
        <f>INPUT!DH240</f>
        <v>-8.0144404332129966</v>
      </c>
      <c r="BL431" s="581">
        <f>INPUT!DI240</f>
        <v>1317</v>
      </c>
      <c r="BM431" s="577">
        <f>INPUT!DJ240</f>
        <v>-6.5957446808510696</v>
      </c>
      <c r="BN431" s="581">
        <f>INPUT!DK240</f>
        <v>1356</v>
      </c>
      <c r="BO431" s="577">
        <f>INPUT!DL240</f>
        <v>-2.6561378320172224</v>
      </c>
      <c r="BP431" s="581">
        <f>INPUT!DM240</f>
        <v>1296</v>
      </c>
      <c r="BQ431" s="577">
        <f>INPUT!DN240</f>
        <v>-5.8823529411764781</v>
      </c>
      <c r="BR431" s="581">
        <f>INPUT!DO240</f>
        <v>1422</v>
      </c>
      <c r="BS431" s="577">
        <f>INPUT!DP240</f>
        <v>11.616954474097341</v>
      </c>
      <c r="BT431" s="581">
        <f>INPUT!DQ240</f>
        <v>1260</v>
      </c>
      <c r="BU431" s="577">
        <f>INPUT!DR240</f>
        <v>-4.328018223234622</v>
      </c>
      <c r="BV431" s="581">
        <f>INPUT!DS240</f>
        <v>1247</v>
      </c>
      <c r="BW431" s="577">
        <f>INPUT!DT240</f>
        <v>-8.0383480825958742</v>
      </c>
      <c r="BX431" s="581">
        <f>INPUT!DU240</f>
        <v>1216</v>
      </c>
      <c r="BY431" s="577">
        <f>INPUT!DV240</f>
        <v>-6.1728395061728492</v>
      </c>
      <c r="BZ431" s="581">
        <f>INPUT!DW240</f>
        <v>1250</v>
      </c>
      <c r="CA431" s="577">
        <f>INPUT!DX240</f>
        <v>-12.095639943741205</v>
      </c>
      <c r="CB431" s="581">
        <f>INPUT!DY240</f>
        <v>1254</v>
      </c>
      <c r="CC431" s="577">
        <f>INPUT!DZ240</f>
        <v>-0.4761904761904816</v>
      </c>
      <c r="CD431" s="581">
        <f>INPUT!EA240</f>
        <v>1294</v>
      </c>
      <c r="CE431" s="577">
        <f>INPUT!EB240</f>
        <v>3.7690457097032919</v>
      </c>
      <c r="CF431" s="581">
        <f>INPUT!EC240</f>
        <v>1275</v>
      </c>
      <c r="CG431" s="577">
        <f>INPUT!ED240</f>
        <v>4.8519736842105345</v>
      </c>
      <c r="CH431" s="581">
        <f>INPUT!EE240</f>
        <v>1271</v>
      </c>
      <c r="CI431" s="577">
        <f>INPUT!EF240</f>
        <v>1.6799999999999926</v>
      </c>
      <c r="CJ431" s="581">
        <f>INPUT!EG240</f>
        <v>1283</v>
      </c>
      <c r="CK431" s="577">
        <f>INPUT!EH240</f>
        <v>2.3125996810207283</v>
      </c>
      <c r="CL431" s="581">
        <f>INPUT!EI240</f>
        <v>1349</v>
      </c>
      <c r="CM431" s="577">
        <f>INPUT!EJ240</f>
        <v>4.25038639876351</v>
      </c>
      <c r="CN431" s="581">
        <f>INPUT!EK240</f>
        <v>1226</v>
      </c>
      <c r="CO431" s="577">
        <f>INPUT!EL240</f>
        <v>-3.8431372549019613</v>
      </c>
      <c r="CP431" s="581">
        <f>INPUT!EM240</f>
        <v>1302</v>
      </c>
      <c r="CQ431" s="577">
        <f>INPUT!EN240</f>
        <v>2.4390243902439011</v>
      </c>
      <c r="CR431" s="581">
        <f>INPUT!EO240</f>
        <v>1341</v>
      </c>
      <c r="CS431" s="577">
        <f>INPUT!EP240</f>
        <v>4.5206547155105312</v>
      </c>
      <c r="CT431" s="581">
        <f>INPUT!EQ240</f>
        <v>1333.4516758500004</v>
      </c>
      <c r="CU431" s="577">
        <f>INPUT!ER240</f>
        <v>-1.1525814788732163</v>
      </c>
      <c r="CV431" s="581">
        <f>INPUT!ES240</f>
        <v>1340.7729041085006</v>
      </c>
      <c r="CW431" s="577">
        <f>INPUT!ET240</f>
        <v>9.3615745602365905</v>
      </c>
      <c r="CX431" s="581">
        <f>INPUT!EU240</f>
        <v>1348.1073117645853</v>
      </c>
      <c r="CY431" s="577">
        <f>INPUT!EV240</f>
        <v>3.5412681846839718</v>
      </c>
      <c r="CZ431" s="581">
        <f>INPUT!EW240</f>
        <v>1371.2902328441398</v>
      </c>
      <c r="DA431" s="577">
        <f>INPUT!EX240</f>
        <v>2.2587794812930468</v>
      </c>
      <c r="DB431" s="581"/>
      <c r="DC431" s="581">
        <f>INPUT!FP240</f>
        <v>3976</v>
      </c>
      <c r="DD431" s="577">
        <f>INPUT!FQ240</f>
        <v>6.9392146315223187</v>
      </c>
      <c r="DE431" s="581">
        <f>INPUT!FR240</f>
        <v>4326</v>
      </c>
      <c r="DF431" s="577">
        <f>INPUT!FS240</f>
        <v>8.8028169014084483</v>
      </c>
      <c r="DG431" s="581">
        <f>INPUT!FT240</f>
        <v>4513</v>
      </c>
      <c r="DH431" s="577">
        <f>INPUT!FU240</f>
        <v>4.3226999537679092</v>
      </c>
      <c r="DI431" s="581">
        <f>INPUT!FV240</f>
        <v>4624</v>
      </c>
      <c r="DJ431" s="577">
        <f>INPUT!FW240</f>
        <v>2.459561267449601</v>
      </c>
      <c r="DK431" s="581">
        <f>INPUT!FX240</f>
        <v>4956</v>
      </c>
      <c r="DL431" s="577">
        <f>INPUT!FY240</f>
        <v>7.1799307958477527</v>
      </c>
      <c r="DM431" s="581">
        <f>INPUT!FZ240</f>
        <v>5246</v>
      </c>
      <c r="DN431" s="577">
        <f>INPUT!GA240</f>
        <v>5.8514931396287437</v>
      </c>
      <c r="DO431" s="581">
        <f>INPUT!GB240</f>
        <v>5648</v>
      </c>
      <c r="DP431" s="577">
        <f>INPUT!GC240</f>
        <v>7.662981319100254</v>
      </c>
      <c r="DQ431" s="581">
        <f>INPUT!GD240</f>
        <v>5585</v>
      </c>
      <c r="DR431" s="577">
        <f>INPUT!GE240</f>
        <v>-1.1154390934844116</v>
      </c>
      <c r="DS431" s="581">
        <f>INPUT!GF240</f>
        <v>5361</v>
      </c>
      <c r="DT431" s="577">
        <f>INPUT!GG240</f>
        <v>-4.010743061772601</v>
      </c>
      <c r="DU431" s="581">
        <f>INPUT!GH240</f>
        <v>5334</v>
      </c>
      <c r="DV431" s="577">
        <f>INPUT!GI240</f>
        <v>-0.50363738108562472</v>
      </c>
      <c r="DW431" s="581">
        <f>INPUT!GJ240</f>
        <v>4967</v>
      </c>
      <c r="DX431" s="577">
        <f>INPUT!GK240</f>
        <v>-6.8803899512560918</v>
      </c>
      <c r="DY431" s="581">
        <f>INPUT!GL240</f>
        <v>5123</v>
      </c>
      <c r="DZ431" s="577">
        <f>INPUT!GM240</f>
        <v>3.1407288101469817</v>
      </c>
      <c r="EA431" s="581">
        <f>INPUT!GN240</f>
        <v>5218</v>
      </c>
      <c r="EB431" s="577">
        <f>INPUT!GO240</f>
        <v>1.854382197930903</v>
      </c>
      <c r="EC431" s="581">
        <f>INPUT!GP240</f>
        <v>5393.6221245672259</v>
      </c>
      <c r="ED431" s="577">
        <f>INPUT!GQ240</f>
        <v>3.3656980560986085</v>
      </c>
      <c r="EE431" s="581">
        <f>INPUT!GR240</f>
        <v>5620.9562785500639</v>
      </c>
      <c r="EF431" s="577">
        <f>INPUT!GS240</f>
        <v>4.2148698728329776</v>
      </c>
      <c r="EG431" s="581">
        <f>INPUT!GT240</f>
        <v>5855.4664057280297</v>
      </c>
      <c r="EH431" s="577">
        <f>INPUT!GU240</f>
        <v>4.1720681598765026</v>
      </c>
      <c r="EI431" s="581">
        <f>INPUT!GV240</f>
        <v>6102.7201356396909</v>
      </c>
      <c r="EJ431" s="577">
        <f>INPUT!GW240</f>
        <v>4.2226137557511976</v>
      </c>
      <c r="EK431" s="581">
        <f>INPUT!GX240</f>
        <v>6360.6557191687707</v>
      </c>
      <c r="EL431" s="577">
        <f>INPUT!GY240</f>
        <v>4.2265674616593429</v>
      </c>
      <c r="EM431" s="577">
        <f>INPUT!GZ240</f>
        <v>4.0398129957472939</v>
      </c>
    </row>
    <row r="432" spans="1:143" ht="12.75" hidden="1" customHeight="1" outlineLevel="1" x14ac:dyDescent="0.2">
      <c r="A432" s="609"/>
      <c r="B432" s="580"/>
      <c r="C432" s="577"/>
      <c r="D432" s="580"/>
      <c r="E432" s="577"/>
      <c r="F432" s="580"/>
      <c r="G432" s="577"/>
      <c r="H432" s="580"/>
      <c r="I432" s="577"/>
      <c r="J432" s="580"/>
      <c r="K432" s="577"/>
      <c r="L432" s="580"/>
      <c r="M432" s="577"/>
      <c r="N432" s="580"/>
      <c r="O432" s="577"/>
      <c r="P432" s="580"/>
      <c r="Q432" s="577"/>
      <c r="R432" s="580"/>
      <c r="S432" s="577"/>
      <c r="T432" s="580"/>
      <c r="U432" s="577"/>
      <c r="V432" s="580"/>
      <c r="W432" s="577"/>
      <c r="X432" s="580"/>
      <c r="Y432" s="577"/>
      <c r="Z432" s="580"/>
      <c r="AA432" s="577"/>
      <c r="AB432" s="580"/>
      <c r="AC432" s="577"/>
      <c r="AD432" s="580"/>
      <c r="AE432" s="577"/>
      <c r="AF432" s="580"/>
      <c r="AG432" s="577"/>
      <c r="AH432" s="580"/>
      <c r="AI432" s="577"/>
      <c r="AJ432" s="580"/>
      <c r="AK432" s="577"/>
      <c r="AL432" s="580"/>
      <c r="AM432" s="577"/>
      <c r="AN432" s="580"/>
      <c r="AO432" s="577"/>
      <c r="AP432" s="580"/>
      <c r="AQ432" s="577"/>
      <c r="AR432" s="580"/>
      <c r="AS432" s="577"/>
      <c r="AT432" s="580"/>
      <c r="AU432" s="577"/>
      <c r="AV432" s="580"/>
      <c r="AW432" s="577"/>
      <c r="AX432" s="580"/>
      <c r="AY432" s="577"/>
      <c r="AZ432" s="580"/>
      <c r="BA432" s="577"/>
      <c r="BB432" s="580"/>
      <c r="BC432" s="577"/>
      <c r="BD432" s="580"/>
      <c r="BE432" s="577"/>
      <c r="BF432" s="580"/>
      <c r="BG432" s="577"/>
      <c r="BH432" s="580"/>
      <c r="BI432" s="577"/>
      <c r="BJ432" s="580"/>
      <c r="BK432" s="577"/>
      <c r="BL432" s="580"/>
      <c r="BM432" s="577"/>
      <c r="BN432" s="580"/>
      <c r="BO432" s="577"/>
      <c r="BP432" s="580"/>
      <c r="BQ432" s="577"/>
      <c r="BR432" s="580"/>
      <c r="BS432" s="577"/>
      <c r="BT432" s="580"/>
      <c r="BU432" s="577"/>
      <c r="BV432" s="580"/>
      <c r="BW432" s="577"/>
      <c r="BX432" s="580"/>
      <c r="BY432" s="577"/>
      <c r="BZ432" s="580"/>
      <c r="CA432" s="577"/>
      <c r="CB432" s="580"/>
      <c r="CC432" s="577"/>
      <c r="CD432" s="580"/>
      <c r="CE432" s="577"/>
      <c r="CF432" s="580"/>
      <c r="CG432" s="577"/>
      <c r="CH432" s="580"/>
      <c r="CI432" s="577"/>
      <c r="CJ432" s="580"/>
      <c r="CK432" s="577"/>
      <c r="CL432" s="580"/>
      <c r="CM432" s="577"/>
      <c r="CN432" s="580"/>
      <c r="CO432" s="577"/>
      <c r="CP432" s="580"/>
      <c r="CQ432" s="577"/>
      <c r="CR432" s="580"/>
      <c r="CS432" s="577"/>
      <c r="CT432" s="580"/>
      <c r="CU432" s="577"/>
      <c r="CV432" s="580"/>
      <c r="CW432" s="577"/>
      <c r="CX432" s="580"/>
      <c r="CY432" s="577"/>
      <c r="CZ432" s="580"/>
      <c r="DA432" s="577"/>
      <c r="DB432" s="580"/>
      <c r="DC432" s="580"/>
      <c r="DD432" s="577"/>
      <c r="DE432" s="580"/>
      <c r="DF432" s="577"/>
      <c r="DG432" s="580"/>
      <c r="DH432" s="577"/>
      <c r="DI432" s="580"/>
      <c r="DJ432" s="577"/>
      <c r="DK432" s="580"/>
      <c r="DL432" s="577"/>
      <c r="DM432" s="580"/>
      <c r="DN432" s="577"/>
      <c r="DO432" s="580"/>
      <c r="DP432" s="577"/>
      <c r="DQ432" s="580"/>
      <c r="DR432" s="577"/>
      <c r="DS432" s="580"/>
      <c r="DT432" s="577"/>
      <c r="DU432" s="580"/>
      <c r="DV432" s="577"/>
      <c r="DW432" s="580"/>
      <c r="DX432" s="577"/>
      <c r="DY432" s="580"/>
      <c r="DZ432" s="577"/>
      <c r="EA432" s="580"/>
      <c r="EB432" s="577"/>
      <c r="EC432" s="580"/>
      <c r="ED432" s="577"/>
      <c r="EE432" s="580"/>
      <c r="EF432" s="577"/>
      <c r="EG432" s="580"/>
      <c r="EH432" s="577"/>
      <c r="EI432" s="580"/>
      <c r="EJ432" s="577"/>
      <c r="EK432" s="580"/>
      <c r="EL432" s="577"/>
      <c r="EM432" s="577"/>
    </row>
    <row r="433" spans="1:144" ht="12.75" hidden="1" customHeight="1" outlineLevel="1" x14ac:dyDescent="0.2">
      <c r="A433" s="611" t="s">
        <v>706</v>
      </c>
      <c r="B433" s="602">
        <f>INPUT!AY248</f>
        <v>47</v>
      </c>
      <c r="C433" s="612">
        <f>INPUT!AZ248</f>
        <v>23.684210526315795</v>
      </c>
      <c r="D433" s="602">
        <f>INPUT!BA248</f>
        <v>29</v>
      </c>
      <c r="E433" s="612">
        <f>INPUT!BB248</f>
        <v>-36.95652173913043</v>
      </c>
      <c r="F433" s="602">
        <f>INPUT!BC248</f>
        <v>90</v>
      </c>
      <c r="G433" s="612">
        <f>INPUT!BD248</f>
        <v>50</v>
      </c>
      <c r="H433" s="602">
        <f>INPUT!BE248</f>
        <v>63</v>
      </c>
      <c r="I433" s="612">
        <f>INPUT!BF248</f>
        <v>-21.25</v>
      </c>
      <c r="J433" s="602">
        <f>INPUT!BG248</f>
        <v>51</v>
      </c>
      <c r="K433" s="612">
        <f>INPUT!BH248</f>
        <v>8.5106382978723332</v>
      </c>
      <c r="L433" s="602">
        <f>INPUT!BI248</f>
        <v>69</v>
      </c>
      <c r="M433" s="612" t="str">
        <f>INPUT!BJ248</f>
        <v>NM</v>
      </c>
      <c r="N433" s="602">
        <f>INPUT!BK248</f>
        <v>100</v>
      </c>
      <c r="O433" s="612">
        <f>INPUT!BL248</f>
        <v>11.111111111111114</v>
      </c>
      <c r="P433" s="602">
        <f>INPUT!BM248</f>
        <v>66</v>
      </c>
      <c r="Q433" s="612">
        <f>INPUT!BN248</f>
        <v>4.7619047619047734</v>
      </c>
      <c r="R433" s="602">
        <f>INPUT!BO248</f>
        <v>90</v>
      </c>
      <c r="S433" s="612">
        <f>INPUT!BP248</f>
        <v>76.470588235294116</v>
      </c>
      <c r="T433" s="602">
        <f>INPUT!BQ248</f>
        <v>80</v>
      </c>
      <c r="U433" s="612">
        <f>INPUT!BR248</f>
        <v>15.94202898550725</v>
      </c>
      <c r="V433" s="602">
        <f>INPUT!BS248</f>
        <v>101</v>
      </c>
      <c r="W433" s="612">
        <f>INPUT!BT248</f>
        <v>1</v>
      </c>
      <c r="X433" s="602">
        <f>INPUT!BU248</f>
        <v>69</v>
      </c>
      <c r="Y433" s="612">
        <f>INPUT!BV248</f>
        <v>4.5454545454545467</v>
      </c>
      <c r="Z433" s="602">
        <f>INPUT!BW248</f>
        <v>93</v>
      </c>
      <c r="AA433" s="612">
        <f>INPUT!BX248</f>
        <v>3.3333333333333428</v>
      </c>
      <c r="AB433" s="602">
        <f>INPUT!BY248</f>
        <v>105</v>
      </c>
      <c r="AC433" s="612">
        <f>INPUT!BZ248</f>
        <v>31.25</v>
      </c>
      <c r="AD433" s="602">
        <f>INPUT!CA248</f>
        <v>64</v>
      </c>
      <c r="AE433" s="612">
        <f>INPUT!CB248</f>
        <v>-36.633663366336634</v>
      </c>
      <c r="AF433" s="602">
        <f>INPUT!CC248</f>
        <v>69</v>
      </c>
      <c r="AG433" s="612">
        <f>INPUT!CD248</f>
        <v>0</v>
      </c>
      <c r="AH433" s="602">
        <f>INPUT!CE248</f>
        <v>52</v>
      </c>
      <c r="AI433" s="612">
        <f>INPUT!CF248</f>
        <v>-44.086021505376351</v>
      </c>
      <c r="AJ433" s="602">
        <f>INPUT!CG248</f>
        <v>32</v>
      </c>
      <c r="AK433" s="612" t="str">
        <f>INPUT!CH248</f>
        <v>NM</v>
      </c>
      <c r="AL433" s="602">
        <f>INPUT!CI248</f>
        <v>60</v>
      </c>
      <c r="AM433" s="612">
        <f>INPUT!CJ248</f>
        <v>-6.25</v>
      </c>
      <c r="AN433" s="602">
        <f>INPUT!CK248</f>
        <v>68</v>
      </c>
      <c r="AO433" s="612">
        <f>INPUT!CL248</f>
        <v>-1.4492753623188293</v>
      </c>
      <c r="AP433" s="602">
        <f>INPUT!CM248</f>
        <v>39</v>
      </c>
      <c r="AQ433" s="612">
        <f>INPUT!CN248</f>
        <v>-25</v>
      </c>
      <c r="AR433" s="602">
        <f>INPUT!CO248</f>
        <v>49</v>
      </c>
      <c r="AS433" s="612">
        <f>INPUT!CP248</f>
        <v>53.125</v>
      </c>
      <c r="AT433" s="602">
        <f>INPUT!CQ248</f>
        <v>45</v>
      </c>
      <c r="AU433" s="612">
        <f>INPUT!CR248</f>
        <v>-25</v>
      </c>
      <c r="AV433" s="602">
        <f>INPUT!CS248</f>
        <v>42</v>
      </c>
      <c r="AW433" s="612">
        <f>INPUT!CT248</f>
        <v>-38.235294117647058</v>
      </c>
      <c r="AX433" s="602">
        <f>INPUT!CU248</f>
        <v>-40</v>
      </c>
      <c r="AY433" s="612" t="str">
        <f>INPUT!CV248</f>
        <v>NM</v>
      </c>
      <c r="AZ433" s="602">
        <f>INPUT!CW248</f>
        <v>33</v>
      </c>
      <c r="BA433" s="612">
        <f>INPUT!CX248</f>
        <v>-32.653061224489804</v>
      </c>
      <c r="BB433" s="602">
        <f>INPUT!CY248</f>
        <v>35</v>
      </c>
      <c r="BC433" s="612">
        <f>INPUT!CZ248</f>
        <v>-22.222222222222214</v>
      </c>
      <c r="BD433" s="602">
        <f>INPUT!DA248</f>
        <v>-12</v>
      </c>
      <c r="BE433" s="612" t="str">
        <f>INPUT!DB248</f>
        <v>NM</v>
      </c>
      <c r="BF433" s="602">
        <f>INPUT!DC248</f>
        <v>9</v>
      </c>
      <c r="BG433" s="612" t="str">
        <f>INPUT!DD248</f>
        <v>NM</v>
      </c>
      <c r="BH433" s="602">
        <f>INPUT!DE248</f>
        <v>22</v>
      </c>
      <c r="BI433" s="612">
        <f>INPUT!DF248</f>
        <v>-33.333333333333343</v>
      </c>
      <c r="BJ433" s="602">
        <f>INPUT!DG248</f>
        <v>68</v>
      </c>
      <c r="BK433" s="612">
        <f>INPUT!DH248</f>
        <v>94.285714285714278</v>
      </c>
      <c r="BL433" s="602">
        <f>INPUT!DI248</f>
        <v>58</v>
      </c>
      <c r="BM433" s="612" t="str">
        <f>INPUT!DJ248</f>
        <v>NM</v>
      </c>
      <c r="BN433" s="602">
        <f>INPUT!DK248</f>
        <v>6</v>
      </c>
      <c r="BO433" s="612">
        <f>INPUT!DL248</f>
        <v>-33.333333333333343</v>
      </c>
      <c r="BP433" s="602">
        <f>INPUT!DM248</f>
        <v>46</v>
      </c>
      <c r="BQ433" s="612" t="str">
        <f>INPUT!DN248</f>
        <v>NM</v>
      </c>
      <c r="BR433" s="602">
        <f>INPUT!DO248</f>
        <v>-73</v>
      </c>
      <c r="BS433" s="612" t="str">
        <f>INPUT!DP248</f>
        <v>NM</v>
      </c>
      <c r="BT433" s="602">
        <f>INPUT!DQ248</f>
        <v>44</v>
      </c>
      <c r="BU433" s="612">
        <f>INPUT!DR248</f>
        <v>-24.137931034482762</v>
      </c>
      <c r="BV433" s="602">
        <f>INPUT!DS248</f>
        <v>30</v>
      </c>
      <c r="BW433" s="612" t="str">
        <f>INPUT!DT248</f>
        <v>NM</v>
      </c>
      <c r="BX433" s="602">
        <f>INPUT!DU248</f>
        <v>75</v>
      </c>
      <c r="BY433" s="612">
        <f>INPUT!DV248</f>
        <v>63.043478260869563</v>
      </c>
      <c r="BZ433" s="602">
        <f>INPUT!DW248</f>
        <v>44</v>
      </c>
      <c r="CA433" s="612" t="str">
        <f>INPUT!DX248</f>
        <v>NM</v>
      </c>
      <c r="CB433" s="602">
        <f>INPUT!DY248</f>
        <v>27</v>
      </c>
      <c r="CC433" s="612">
        <f>INPUT!DZ248</f>
        <v>-38.636363636363633</v>
      </c>
      <c r="CD433" s="602">
        <f>INPUT!EA248</f>
        <v>26</v>
      </c>
      <c r="CE433" s="612">
        <f>INPUT!EB248</f>
        <v>-13.333333333333329</v>
      </c>
      <c r="CF433" s="602">
        <f>INPUT!EC248</f>
        <v>89</v>
      </c>
      <c r="CG433" s="612">
        <f>INPUT!ED248</f>
        <v>18.666666666666671</v>
      </c>
      <c r="CH433" s="602">
        <f>INPUT!EE248</f>
        <v>62</v>
      </c>
      <c r="CI433" s="612">
        <f>INPUT!EF248</f>
        <v>40.909090909090907</v>
      </c>
      <c r="CJ433" s="602">
        <f>INPUT!EG248</f>
        <v>43</v>
      </c>
      <c r="CK433" s="612">
        <f>INPUT!EH248</f>
        <v>59.259259259259267</v>
      </c>
      <c r="CL433" s="602">
        <f>INPUT!EI248</f>
        <v>34</v>
      </c>
      <c r="CM433" s="612">
        <f>INPUT!EJ248</f>
        <v>30.769230769230774</v>
      </c>
      <c r="CN433" s="602">
        <f>INPUT!EK248</f>
        <v>136</v>
      </c>
      <c r="CO433" s="612">
        <f>INPUT!EL248</f>
        <v>52.808988764044926</v>
      </c>
      <c r="CP433" s="602">
        <f>INPUT!EM248</f>
        <v>61</v>
      </c>
      <c r="CQ433" s="612">
        <f>INPUT!EN248</f>
        <v>-1.6129032258064484</v>
      </c>
      <c r="CR433" s="602">
        <f>INPUT!EO248</f>
        <v>22</v>
      </c>
      <c r="CS433" s="612">
        <f>INPUT!EP248</f>
        <v>-48.837209302325576</v>
      </c>
      <c r="CT433" s="602">
        <f>INPUT!EQ248</f>
        <v>43.17832414999998</v>
      </c>
      <c r="CU433" s="612">
        <f>INPUT!ER248</f>
        <v>26.995071029411704</v>
      </c>
      <c r="CV433" s="602">
        <f>INPUT!ES248</f>
        <v>49.623395891499513</v>
      </c>
      <c r="CW433" s="612" t="str">
        <f>INPUT!ET248</f>
        <v>NM</v>
      </c>
      <c r="CX433" s="602">
        <f>INPUT!EU248</f>
        <v>56.192951235414739</v>
      </c>
      <c r="CY433" s="612">
        <f>INPUT!EV248</f>
        <v>-7.8804078107955036</v>
      </c>
      <c r="CZ433" s="602">
        <f>INPUT!EW248</f>
        <v>47.053032785860069</v>
      </c>
      <c r="DA433" s="612" t="str">
        <f>INPUT!EX248</f>
        <v>NM</v>
      </c>
      <c r="DB433" s="602"/>
      <c r="DC433" s="602">
        <f>INPUT!FP248</f>
        <v>224</v>
      </c>
      <c r="DD433" s="612">
        <f>INPUT!FQ248</f>
        <v>28.735632183908052</v>
      </c>
      <c r="DE433" s="602">
        <f>INPUT!FR248</f>
        <v>229</v>
      </c>
      <c r="DF433" s="612">
        <f>INPUT!FS248</f>
        <v>2.2321428571428612</v>
      </c>
      <c r="DG433" s="602">
        <f>INPUT!FT248</f>
        <v>286</v>
      </c>
      <c r="DH433" s="612">
        <f>INPUT!FU248</f>
        <v>24.890829694323145</v>
      </c>
      <c r="DI433" s="602">
        <f>INPUT!FV248</f>
        <v>336</v>
      </c>
      <c r="DJ433" s="612">
        <f>INPUT!FW248</f>
        <v>17.48251748251748</v>
      </c>
      <c r="DK433" s="602">
        <f>INPUT!FX248</f>
        <v>329</v>
      </c>
      <c r="DL433" s="612">
        <f>INPUT!FY248</f>
        <v>-2.0833333333333428</v>
      </c>
      <c r="DM433" s="602">
        <f>INPUT!FZ248</f>
        <v>212</v>
      </c>
      <c r="DN433" s="612">
        <f>INPUT!GA248</f>
        <v>-35.562310030395139</v>
      </c>
      <c r="DO433" s="602">
        <f>INPUT!GB248</f>
        <v>175</v>
      </c>
      <c r="DP433" s="612">
        <f>INPUT!GC248</f>
        <v>-17.452830188679243</v>
      </c>
      <c r="DQ433" s="602">
        <f>INPUT!GD248</f>
        <v>16</v>
      </c>
      <c r="DR433" s="612" t="str">
        <f>INPUT!GE248</f>
        <v>NM</v>
      </c>
      <c r="DS433" s="602">
        <f>INPUT!GF248</f>
        <v>157</v>
      </c>
      <c r="DT433" s="612" t="str">
        <f>INPUT!GG248</f>
        <v>NM</v>
      </c>
      <c r="DU433" s="602">
        <f>INPUT!GH248</f>
        <v>23</v>
      </c>
      <c r="DV433" s="612" t="str">
        <f>INPUT!GI248</f>
        <v>NM</v>
      </c>
      <c r="DW433" s="602">
        <f>INPUT!GJ248</f>
        <v>176</v>
      </c>
      <c r="DX433" s="612" t="str">
        <f>INPUT!GK248</f>
        <v>NM</v>
      </c>
      <c r="DY433" s="602">
        <f>INPUT!GL248</f>
        <v>220</v>
      </c>
      <c r="DZ433" s="612">
        <f>INPUT!GM248</f>
        <v>25</v>
      </c>
      <c r="EA433" s="602">
        <f>INPUT!GN248</f>
        <v>253</v>
      </c>
      <c r="EB433" s="612">
        <f>INPUT!GO248</f>
        <v>14.999999999999986</v>
      </c>
      <c r="EC433" s="602">
        <f>INPUT!GP248</f>
        <v>196.04770406277567</v>
      </c>
      <c r="ED433" s="612">
        <f>INPUT!GQ248</f>
        <v>-22.510788907993799</v>
      </c>
      <c r="EE433" s="602">
        <f>INPUT!GR248</f>
        <v>203.70113715293792</v>
      </c>
      <c r="EF433" s="612">
        <f>INPUT!GS248</f>
        <v>3.9038626474868607</v>
      </c>
      <c r="EG433" s="602">
        <f>INPUT!GT248</f>
        <v>214.2621481665592</v>
      </c>
      <c r="EH433" s="612">
        <f>INPUT!GU248</f>
        <v>5.1845616383045154</v>
      </c>
      <c r="EI433" s="602">
        <f>INPUT!GV248</f>
        <v>222.60749246795876</v>
      </c>
      <c r="EJ433" s="612">
        <f>INPUT!GW248</f>
        <v>3.894922352272971</v>
      </c>
      <c r="EK433" s="602">
        <f>INPUT!GX248</f>
        <v>231.26354204389736</v>
      </c>
      <c r="EL433" s="612">
        <f>INPUT!GY248</f>
        <v>3.8884807874040916</v>
      </c>
      <c r="EM433" s="612">
        <f>INPUT!GZ248</f>
        <v>-1.7805878837331424</v>
      </c>
    </row>
    <row r="434" spans="1:144" ht="12.75" hidden="1" customHeight="1" outlineLevel="2" x14ac:dyDescent="0.2">
      <c r="A434" s="582" t="s">
        <v>683</v>
      </c>
      <c r="B434" s="583">
        <f>(B418+B419+B421+B422-B426-B427-B428-B429-B430)-B433</f>
        <v>0</v>
      </c>
      <c r="C434" s="584"/>
      <c r="D434" s="583">
        <f>(D418+D419+D421+D422-D426-D427-D428-D429-D430)-D433</f>
        <v>0</v>
      </c>
      <c r="E434" s="584"/>
      <c r="F434" s="583">
        <f>(F418+F419+F421+F422-F426-F427-F428-F429-F430)-F433</f>
        <v>0</v>
      </c>
      <c r="G434" s="584"/>
      <c r="H434" s="583">
        <f>(H418+H419+H421+H422-H426-H427-H428-H429-H430)-H433</f>
        <v>0</v>
      </c>
      <c r="I434" s="584"/>
      <c r="J434" s="583">
        <f>(J418+J419+J421+J422-J426-J427-J428-J429-J430)-J433</f>
        <v>0</v>
      </c>
      <c r="K434" s="584"/>
      <c r="L434" s="583">
        <f>(L418+L419+L421+L422-L426-L427-L428-L429-L430)-L433</f>
        <v>0</v>
      </c>
      <c r="M434" s="584"/>
      <c r="N434" s="583">
        <f>(N418+N419+N421+N422-N426-N427-N428-N429-N430)-N433</f>
        <v>0</v>
      </c>
      <c r="O434" s="584"/>
      <c r="P434" s="583">
        <f>(P418+P419+P421+P422-P426-P427-P428-P429-P430)-P433</f>
        <v>0</v>
      </c>
      <c r="Q434" s="584"/>
      <c r="R434" s="583">
        <f>(R418+R419+R421+R422-R426-R427-R428-R429-R430)-R433</f>
        <v>0</v>
      </c>
      <c r="S434" s="584"/>
      <c r="T434" s="583">
        <f>(T418+T419+T421+T422-T426-T427-T428-T429-T430)-T433</f>
        <v>0</v>
      </c>
      <c r="U434" s="584"/>
      <c r="V434" s="583">
        <f>(V418+V419+V421+V422-V426-V427-V428-V429-V430)-V433</f>
        <v>0</v>
      </c>
      <c r="W434" s="584"/>
      <c r="X434" s="583">
        <f>(X418+X419+X421+X422-X426-X427-X428-X429-X430)-X433</f>
        <v>0</v>
      </c>
      <c r="Y434" s="584"/>
      <c r="Z434" s="583">
        <f>(Z418+Z419+Z421+Z422-Z426-Z427-Z428-Z429-Z430)-Z433</f>
        <v>0</v>
      </c>
      <c r="AA434" s="584"/>
      <c r="AB434" s="583">
        <f>(AB418+AB419+AB421+AB422-AB426-AB427-AB428-AB429-AB430)-AB433</f>
        <v>0</v>
      </c>
      <c r="AC434" s="584"/>
      <c r="AD434" s="583">
        <f>(AD418+AD419+AD421+AD422-AD426-AD427-AD428-AD429-AD430)-AD433</f>
        <v>0</v>
      </c>
      <c r="AE434" s="584"/>
      <c r="AF434" s="583">
        <f>(AF418+AF419+AF421+AF422-AF426-AF427-AF428-AF429-AF430)-AF433</f>
        <v>0</v>
      </c>
      <c r="AG434" s="584"/>
      <c r="AH434" s="583">
        <f>(AH418+AH419+AH421+AH422-AH426-AH427-AH428-AH429-AH430)-AH433</f>
        <v>0</v>
      </c>
      <c r="AI434" s="584"/>
      <c r="AJ434" s="583">
        <f>(AJ418+AJ419+AJ421+AJ422-AJ426-AJ427-AJ428-AJ429-AJ430)-AJ433</f>
        <v>0</v>
      </c>
      <c r="AK434" s="584"/>
      <c r="AL434" s="583">
        <f>(AL418+AL419+AL421+AL422-AL426-AL427-AL428-AL429-AL430)-AL433</f>
        <v>0</v>
      </c>
      <c r="AM434" s="584"/>
      <c r="AN434" s="583">
        <f>(AN418+AN419+AN421+AN422-AN426-AN427-AN428-AN429-AN430)-AN433</f>
        <v>0</v>
      </c>
      <c r="AO434" s="584"/>
      <c r="AP434" s="583">
        <f>(AP418+AP419+AP421+AP422-AP426-AP427-AP428-AP429-AP430)-AP433</f>
        <v>0</v>
      </c>
      <c r="AQ434" s="584"/>
      <c r="AR434" s="583">
        <f>(AR418+AR419+AR421+AR422-AR426-AR427-AR428-AR429-AR430)-AR433</f>
        <v>0</v>
      </c>
      <c r="AS434" s="584"/>
      <c r="AT434" s="583">
        <f>(AT418+AT419+AT421+AT422-AT426-AT427-AT428-AT429-AT430)-AT433</f>
        <v>0</v>
      </c>
      <c r="AU434" s="584"/>
      <c r="AV434" s="583">
        <f>(AV418+AV419+AV421+AV422-AV426-AV427-AV428-AV429-AV430)-AV433</f>
        <v>0</v>
      </c>
      <c r="AW434" s="584"/>
      <c r="AX434" s="583">
        <f>(AX418+AX419+AX421+AX422-AX426-AX427-AX428-AX429-AX430)-AX433</f>
        <v>0</v>
      </c>
      <c r="AY434" s="584"/>
      <c r="AZ434" s="583">
        <f>(AZ418+AZ419+AZ421+AZ422-AZ426-AZ427-AZ428-AZ429-AZ430)-AZ433</f>
        <v>0</v>
      </c>
      <c r="BA434" s="584"/>
      <c r="BB434" s="583">
        <f>(BB418+BB419+BB421+BB422-BB426-BB427-BB428-BB429-BB430)-BB433</f>
        <v>0</v>
      </c>
      <c r="BC434" s="584"/>
      <c r="BD434" s="583">
        <f>(BD418+BD419+BD421+BD422-BD426-BD427-BD428-BD429-BD430)-BD433</f>
        <v>0</v>
      </c>
      <c r="BE434" s="584"/>
      <c r="BF434" s="583">
        <f>(BF418+BF419+BF421+BF422-BF426-BF427-BF428-BF429-BF430)-BF433</f>
        <v>0</v>
      </c>
      <c r="BG434" s="584"/>
      <c r="BH434" s="583">
        <f>(BH418+BH419+BH421+BH422-BH426-BH427-BH428-BH429-BH430)-BH433</f>
        <v>0</v>
      </c>
      <c r="BI434" s="584"/>
      <c r="BJ434" s="583">
        <f>(BJ418+BJ419+BJ421+BJ422-BJ426-BJ427-BJ428-BJ429-BJ430)-BJ433</f>
        <v>0</v>
      </c>
      <c r="BK434" s="584"/>
      <c r="BL434" s="583">
        <f>(BL418+BL419+BL421+BL422-BL426-BL427-BL428-BL429-BL430)-BL433</f>
        <v>0</v>
      </c>
      <c r="BM434" s="584"/>
      <c r="BN434" s="583">
        <f>(BN418+BN419+BN421+BN422-BN426-BN427-BN428-BN429-BN430)-BN433</f>
        <v>0</v>
      </c>
      <c r="BO434" s="584"/>
      <c r="BP434" s="583">
        <f>(BP418+BP419+BP421+BP422-BP426-BP427-BP428-BP429-BP430)-BP433</f>
        <v>0</v>
      </c>
      <c r="BQ434" s="584"/>
      <c r="BR434" s="583">
        <f>(BR418+BR419+BR421+BR422-BR426-BR427-BR428-BR429-BR430)-BR433</f>
        <v>0</v>
      </c>
      <c r="BS434" s="584"/>
      <c r="BT434" s="583">
        <f>(BT418+BT419+BT421+BT422-BT426-BT427-BT428-BT429-BT430)-BT433</f>
        <v>0</v>
      </c>
      <c r="BU434" s="584"/>
      <c r="BV434" s="583">
        <f>(BV418+BV419+BV421+BV422-BV426-BV427-BV428-BV429-BV430)-BV433</f>
        <v>0</v>
      </c>
      <c r="BW434" s="584"/>
      <c r="BX434" s="583">
        <f>(BX418+BX419+BX421+BX422-BX426-BX427-BX428-BX429-BX430)-BX433</f>
        <v>0</v>
      </c>
      <c r="BY434" s="584"/>
      <c r="BZ434" s="583">
        <f>(BZ418+BZ419+BZ421+BZ422-BZ426-BZ427-BZ428-BZ429-BZ430)-BZ433</f>
        <v>0</v>
      </c>
      <c r="CA434" s="584"/>
      <c r="CB434" s="583">
        <f>(CB418+CB419+CB421+CB422-CB426-CB427-CB428-CB429-CB430)-CB433</f>
        <v>0</v>
      </c>
      <c r="CC434" s="584"/>
      <c r="CD434" s="583">
        <f>(CD418+CD419+CD421+CD422-CD426-CD427-CD428-CD429-CD430)-CD433</f>
        <v>0</v>
      </c>
      <c r="CE434" s="584"/>
      <c r="CF434" s="583">
        <f>(CF418+CF419+CF421+CF422-CF426-CF427-CF428-CF429-CF430)-CF433</f>
        <v>0</v>
      </c>
      <c r="CG434" s="584"/>
      <c r="CH434" s="583">
        <f>(CH418+CH419+CH421+CH422-CH426-CH427-CH428-CH429-CH430)-CH433</f>
        <v>0</v>
      </c>
      <c r="CI434" s="584"/>
      <c r="CJ434" s="583">
        <f>(CJ418+CJ419+CJ421+CJ422-CJ426-CJ427-CJ428-CJ429-CJ430)-CJ433</f>
        <v>0</v>
      </c>
      <c r="CK434" s="584"/>
      <c r="CL434" s="583">
        <f>(CL418+CL419+CL421+CL422-CL426-CL427-CL428-CL429-CL430)-CL433</f>
        <v>0</v>
      </c>
      <c r="CM434" s="584"/>
      <c r="CN434" s="583">
        <f>(CN418+CN419+CN421+CN422-CN426-CN427-CN428-CN429-CN430)-CN433</f>
        <v>0</v>
      </c>
      <c r="CO434" s="584"/>
      <c r="CP434" s="583">
        <f>(CP418+CP419+CP421+CP422-CP426-CP427-CP428-CP429-CP430)-CP433</f>
        <v>0</v>
      </c>
      <c r="CQ434" s="584"/>
      <c r="CR434" s="583">
        <f>(CR418+CR419+CR421+CR422-CR426-CR427-CR428-CR429-CR430)-CR433</f>
        <v>0</v>
      </c>
      <c r="CS434" s="584"/>
      <c r="CT434" s="583">
        <f>(CT418+CT419+CT421+CT422-CT426-CT427-CT428-CT429-CT430)-CT433</f>
        <v>0</v>
      </c>
      <c r="CU434" s="584"/>
      <c r="CV434" s="583">
        <f>(CV418+CV419+CV421+CV422-CV426-CV427-CV428-CV429-CV430)-CV433</f>
        <v>3.2684965844964609E-13</v>
      </c>
      <c r="CW434" s="584"/>
      <c r="CX434" s="583">
        <f>(CX418+CX419+CX421+CX422-CX426-CX427-CX428-CX429-CX430)-CX433</f>
        <v>8.5265128291212022E-14</v>
      </c>
      <c r="CY434" s="584"/>
      <c r="CZ434" s="583">
        <f>(CZ418+CZ419+CZ421+CZ422-CZ426-CZ427-CZ428-CZ429-CZ430)-CZ433</f>
        <v>-1.1368683772161603E-13</v>
      </c>
      <c r="DA434" s="584"/>
      <c r="DB434" s="583"/>
      <c r="DC434" s="583">
        <f>(DC418+DC419+DC421+DC422-DC426-DC427-DC428-DC429-DC430)-DC433</f>
        <v>0</v>
      </c>
      <c r="DD434" s="584"/>
      <c r="DE434" s="583">
        <f>(DE418+DE419+DE421+DE422-DE426-DE427-DE428-DE429-DE430)-DE433</f>
        <v>0</v>
      </c>
      <c r="DF434" s="584"/>
      <c r="DG434" s="583">
        <f>(DG418+DG419+DG421+DG422-DG426-DG427-DG428-DG429-DG430)-DG433</f>
        <v>0</v>
      </c>
      <c r="DH434" s="584"/>
      <c r="DI434" s="583">
        <f>(DI418+DI419+DI421+DI422-DI426-DI427-DI428-DI429-DI430)-DI433</f>
        <v>0</v>
      </c>
      <c r="DJ434" s="584"/>
      <c r="DK434" s="583">
        <f>(DK418+DK419+DK421+DK422-DK426-DK427-DK428-DK429-DK430)-DK433</f>
        <v>0</v>
      </c>
      <c r="DL434" s="584"/>
      <c r="DM434" s="583">
        <f>(DM418+DM419+DM421+DM422-DM426-DM427-DM428-DM429-DM430)-DM433</f>
        <v>0</v>
      </c>
      <c r="DN434" s="584"/>
      <c r="DO434" s="583">
        <f>(DO418+DO419+DO421+DO422-DO426-DO427-DO428-DO429-DO430)-DO433</f>
        <v>0</v>
      </c>
      <c r="DP434" s="584"/>
      <c r="DQ434" s="583">
        <f>(DQ418+DQ419+DQ421+DQ422-DQ426-DQ427-DQ428-DQ429-DQ430)-DQ433</f>
        <v>0</v>
      </c>
      <c r="DR434" s="584"/>
      <c r="DS434" s="583">
        <f>(DS418+DS419+DS421+DS422-DS426-DS427-DS428-DS429-DS430)-DS433</f>
        <v>0</v>
      </c>
      <c r="DT434" s="584"/>
      <c r="DU434" s="583">
        <f>(DU418+DU419+DU421+DU422-DU426-DU427-DU428-DU429-DU430)-DU433</f>
        <v>0</v>
      </c>
      <c r="DV434" s="584"/>
      <c r="DW434" s="583">
        <f>(DW418+DW419+DW421+DW422-DW426-DW427-DW428-DW429-DW430)-DW433</f>
        <v>0</v>
      </c>
      <c r="DX434" s="584"/>
      <c r="DY434" s="583">
        <f>(DY418+DY419+DY421+DY422-DY426-DY427-DY428-DY429-DY430)-DY433</f>
        <v>0</v>
      </c>
      <c r="DZ434" s="584"/>
      <c r="EA434" s="583">
        <f>(EA418+EA419+EA421+EA422-EA426-EA427-EA428-EA429-EA430)-EA433</f>
        <v>0</v>
      </c>
      <c r="EB434" s="584"/>
      <c r="EC434" s="583">
        <f>(EC418+EC419+EC421+EC422-EC426-EC427-EC428-EC429-EC430)-EC433</f>
        <v>-4.8316906031686813E-13</v>
      </c>
      <c r="ED434" s="584"/>
      <c r="EE434" s="583">
        <f>(EE418+EE419+EE421+EE422-EE426-EE427-EE428-EE429-EE430)-EE433</f>
        <v>-1.0800249583553523E-12</v>
      </c>
      <c r="EF434" s="584"/>
      <c r="EG434" s="583">
        <f>(EG418+EG419+EG421+EG422-EG426-EG427-EG428-EG429-EG430)-EG433</f>
        <v>4.5474735088646412E-13</v>
      </c>
      <c r="EH434" s="584"/>
      <c r="EI434" s="583">
        <f>(EI418+EI419+EI421+EI422-EI426-EI427-EI428-EI429-EI430)-EI433</f>
        <v>0</v>
      </c>
      <c r="EJ434" s="584"/>
      <c r="EK434" s="583">
        <f>(EK418+EK419+EK421+EK422-EK426-EK427-EK428-EK429-EK430)-EK433</f>
        <v>3.4106051316484809E-13</v>
      </c>
      <c r="EL434" s="584"/>
      <c r="EM434" s="583"/>
      <c r="EN434" s="584"/>
    </row>
    <row r="435" spans="1:144" ht="12.75" hidden="1" customHeight="1" outlineLevel="1" x14ac:dyDescent="0.2">
      <c r="A435" s="613"/>
      <c r="B435" s="580"/>
      <c r="C435" s="577"/>
      <c r="D435" s="580"/>
      <c r="E435" s="577"/>
      <c r="F435" s="580"/>
      <c r="G435" s="577"/>
      <c r="H435" s="580"/>
      <c r="I435" s="577"/>
      <c r="J435" s="580"/>
      <c r="K435" s="577"/>
      <c r="L435" s="580"/>
      <c r="M435" s="577"/>
      <c r="N435" s="580"/>
      <c r="O435" s="577"/>
      <c r="P435" s="580"/>
      <c r="Q435" s="577"/>
      <c r="R435" s="580"/>
      <c r="S435" s="577"/>
      <c r="T435" s="580"/>
      <c r="U435" s="577"/>
      <c r="V435" s="580"/>
      <c r="W435" s="577"/>
      <c r="X435" s="580"/>
      <c r="Y435" s="577"/>
      <c r="Z435" s="580"/>
      <c r="AA435" s="577"/>
      <c r="AB435" s="580"/>
      <c r="AC435" s="577"/>
      <c r="AD435" s="580"/>
      <c r="AE435" s="577"/>
      <c r="AF435" s="580"/>
      <c r="AG435" s="577"/>
      <c r="AH435" s="580"/>
      <c r="AI435" s="577"/>
      <c r="AJ435" s="580"/>
      <c r="AK435" s="577"/>
      <c r="AL435" s="580"/>
      <c r="AM435" s="577"/>
      <c r="AN435" s="580"/>
      <c r="AO435" s="577"/>
      <c r="AP435" s="580"/>
      <c r="AQ435" s="577"/>
      <c r="AR435" s="580"/>
      <c r="AS435" s="577"/>
      <c r="AT435" s="580"/>
      <c r="AU435" s="577"/>
      <c r="AV435" s="580"/>
      <c r="AW435" s="577"/>
      <c r="AX435" s="580"/>
      <c r="AY435" s="577"/>
      <c r="AZ435" s="580"/>
      <c r="BA435" s="577"/>
      <c r="BB435" s="580"/>
      <c r="BC435" s="577"/>
      <c r="BD435" s="580"/>
      <c r="BE435" s="577"/>
      <c r="BF435" s="580"/>
      <c r="BG435" s="577"/>
      <c r="BH435" s="580"/>
      <c r="BI435" s="577"/>
      <c r="BJ435" s="580"/>
      <c r="BK435" s="577"/>
      <c r="BL435" s="580"/>
      <c r="BM435" s="577"/>
      <c r="BN435" s="580"/>
      <c r="BO435" s="577"/>
      <c r="BP435" s="580"/>
      <c r="BQ435" s="577"/>
      <c r="BR435" s="580"/>
      <c r="BS435" s="577"/>
      <c r="BT435" s="580"/>
      <c r="BU435" s="577"/>
      <c r="BV435" s="580"/>
      <c r="BW435" s="577"/>
      <c r="BX435" s="580"/>
      <c r="BY435" s="577"/>
      <c r="BZ435" s="580"/>
      <c r="CA435" s="577"/>
      <c r="CB435" s="580"/>
      <c r="CC435" s="577"/>
      <c r="CD435" s="580"/>
      <c r="CE435" s="577"/>
      <c r="CF435" s="580"/>
      <c r="CG435" s="577"/>
      <c r="CH435" s="580"/>
      <c r="CI435" s="577"/>
      <c r="CJ435" s="580"/>
      <c r="CK435" s="577"/>
      <c r="CL435" s="580"/>
      <c r="CM435" s="577"/>
      <c r="CN435" s="580"/>
      <c r="CO435" s="577"/>
      <c r="CP435" s="580"/>
      <c r="CQ435" s="577"/>
      <c r="CR435" s="580"/>
      <c r="CS435" s="577"/>
      <c r="CT435" s="580"/>
      <c r="CU435" s="577"/>
      <c r="CV435" s="580"/>
      <c r="CW435" s="577"/>
      <c r="CX435" s="580"/>
      <c r="CY435" s="577"/>
      <c r="CZ435" s="580"/>
      <c r="DA435" s="577"/>
      <c r="DB435" s="580"/>
      <c r="DC435" s="580"/>
      <c r="DD435" s="577"/>
      <c r="DE435" s="580"/>
      <c r="DF435" s="577"/>
      <c r="DG435" s="580"/>
      <c r="DH435" s="577"/>
      <c r="DI435" s="580"/>
      <c r="DJ435" s="577"/>
      <c r="DK435" s="580"/>
      <c r="DL435" s="577"/>
      <c r="DM435" s="580"/>
      <c r="DN435" s="577"/>
      <c r="DO435" s="580"/>
      <c r="DP435" s="577"/>
      <c r="DQ435" s="580"/>
      <c r="DR435" s="577"/>
      <c r="DS435" s="580"/>
      <c r="DT435" s="577"/>
      <c r="DU435" s="580"/>
      <c r="DV435" s="577"/>
      <c r="DW435" s="580"/>
      <c r="DX435" s="577"/>
      <c r="DY435" s="580"/>
      <c r="DZ435" s="577"/>
      <c r="EA435" s="580"/>
      <c r="EB435" s="577"/>
      <c r="EC435" s="580"/>
      <c r="ED435" s="577"/>
      <c r="EE435" s="580"/>
      <c r="EF435" s="577"/>
      <c r="EG435" s="580"/>
      <c r="EH435" s="577"/>
      <c r="EI435" s="580"/>
      <c r="EJ435" s="577"/>
      <c r="EK435" s="580"/>
      <c r="EL435" s="577"/>
      <c r="EM435" s="577"/>
    </row>
    <row r="436" spans="1:144" ht="12.75" hidden="1" customHeight="1" outlineLevel="1" x14ac:dyDescent="0.2">
      <c r="A436" s="575" t="s">
        <v>255</v>
      </c>
      <c r="B436" s="580"/>
      <c r="C436" s="577"/>
      <c r="D436" s="580"/>
      <c r="E436" s="577"/>
      <c r="F436" s="580"/>
      <c r="G436" s="577"/>
      <c r="H436" s="580"/>
      <c r="I436" s="577"/>
      <c r="J436" s="580"/>
      <c r="K436" s="577"/>
      <c r="L436" s="580"/>
      <c r="M436" s="577"/>
      <c r="N436" s="580"/>
      <c r="O436" s="577"/>
      <c r="P436" s="580"/>
      <c r="Q436" s="577"/>
      <c r="R436" s="580"/>
      <c r="S436" s="577"/>
      <c r="T436" s="580"/>
      <c r="U436" s="577"/>
      <c r="V436" s="580"/>
      <c r="W436" s="577"/>
      <c r="X436" s="580"/>
      <c r="Y436" s="577"/>
      <c r="Z436" s="580"/>
      <c r="AA436" s="577"/>
      <c r="AB436" s="580"/>
      <c r="AC436" s="577"/>
      <c r="AD436" s="580"/>
      <c r="AE436" s="577"/>
      <c r="AF436" s="580"/>
      <c r="AG436" s="577"/>
      <c r="AH436" s="580"/>
      <c r="AI436" s="577"/>
      <c r="AJ436" s="580"/>
      <c r="AK436" s="577"/>
      <c r="AL436" s="580"/>
      <c r="AM436" s="577"/>
      <c r="AN436" s="580"/>
      <c r="AO436" s="577"/>
      <c r="AP436" s="580"/>
      <c r="AQ436" s="577"/>
      <c r="AR436" s="580"/>
      <c r="AS436" s="577"/>
      <c r="AT436" s="580"/>
      <c r="AU436" s="577"/>
      <c r="AV436" s="580"/>
      <c r="AW436" s="577"/>
      <c r="AX436" s="580"/>
      <c r="AY436" s="577"/>
      <c r="AZ436" s="580"/>
      <c r="BA436" s="577"/>
      <c r="BB436" s="580"/>
      <c r="BC436" s="577"/>
      <c r="BD436" s="580"/>
      <c r="BE436" s="577"/>
      <c r="BF436" s="580"/>
      <c r="BG436" s="577"/>
      <c r="BH436" s="580"/>
      <c r="BI436" s="577"/>
      <c r="BJ436" s="580"/>
      <c r="BK436" s="577"/>
      <c r="BL436" s="580"/>
      <c r="BM436" s="577"/>
      <c r="BN436" s="580"/>
      <c r="BO436" s="577"/>
      <c r="BP436" s="580"/>
      <c r="BQ436" s="577"/>
      <c r="BR436" s="580"/>
      <c r="BS436" s="577"/>
      <c r="BT436" s="580"/>
      <c r="BU436" s="577"/>
      <c r="BV436" s="580"/>
      <c r="BW436" s="577"/>
      <c r="BX436" s="580"/>
      <c r="BY436" s="577"/>
      <c r="BZ436" s="580"/>
      <c r="CA436" s="577"/>
      <c r="CB436" s="580"/>
      <c r="CC436" s="577"/>
      <c r="CD436" s="580"/>
      <c r="CE436" s="577"/>
      <c r="CF436" s="580"/>
      <c r="CG436" s="577"/>
      <c r="CH436" s="580"/>
      <c r="CI436" s="577"/>
      <c r="CJ436" s="580"/>
      <c r="CK436" s="577"/>
      <c r="CL436" s="580"/>
      <c r="CM436" s="577"/>
      <c r="CN436" s="580"/>
      <c r="CO436" s="577"/>
      <c r="CP436" s="580"/>
      <c r="CQ436" s="577"/>
      <c r="CR436" s="580"/>
      <c r="CS436" s="577"/>
      <c r="CT436" s="580"/>
      <c r="CU436" s="577"/>
      <c r="CV436" s="580"/>
      <c r="CW436" s="577"/>
      <c r="CX436" s="580"/>
      <c r="CY436" s="577"/>
      <c r="CZ436" s="580"/>
      <c r="DA436" s="577"/>
      <c r="DB436" s="580"/>
      <c r="DC436" s="580"/>
      <c r="DD436" s="577"/>
      <c r="DE436" s="580"/>
      <c r="DF436" s="577"/>
      <c r="DG436" s="580"/>
      <c r="DH436" s="577"/>
      <c r="DI436" s="580"/>
      <c r="DJ436" s="577"/>
      <c r="DK436" s="580"/>
      <c r="DL436" s="577"/>
      <c r="DM436" s="580"/>
      <c r="DN436" s="577"/>
      <c r="DO436" s="580"/>
      <c r="DP436" s="577"/>
      <c r="DQ436" s="580"/>
      <c r="DR436" s="577"/>
      <c r="DS436" s="580"/>
      <c r="DT436" s="577"/>
      <c r="DU436" s="580"/>
      <c r="DV436" s="577"/>
      <c r="DW436" s="580"/>
      <c r="DX436" s="577"/>
      <c r="DY436" s="580"/>
      <c r="DZ436" s="577"/>
      <c r="EA436" s="580"/>
      <c r="EB436" s="577"/>
      <c r="EC436" s="580"/>
      <c r="ED436" s="577"/>
      <c r="EE436" s="580"/>
      <c r="EF436" s="577"/>
      <c r="EG436" s="580"/>
      <c r="EH436" s="577"/>
      <c r="EI436" s="580"/>
      <c r="EJ436" s="577"/>
      <c r="EK436" s="580"/>
      <c r="EL436" s="577"/>
      <c r="EM436" s="577"/>
    </row>
    <row r="437" spans="1:144" ht="12.75" hidden="1" customHeight="1" outlineLevel="1" x14ac:dyDescent="0.2">
      <c r="A437" s="579" t="str">
        <f>INPUT!B249</f>
        <v xml:space="preserve">  Pretax Margin</v>
      </c>
      <c r="B437" s="597">
        <f>INPUT!AY249</f>
        <v>4.2380522993688015</v>
      </c>
      <c r="C437" s="577">
        <f>INPUT!AZ249</f>
        <v>17.327132077262618</v>
      </c>
      <c r="D437" s="597">
        <f>INPUT!BA249</f>
        <v>2.5962399283795885</v>
      </c>
      <c r="E437" s="577">
        <f>INPUT!BB249</f>
        <v>-40.173601650383382</v>
      </c>
      <c r="F437" s="597">
        <f>INPUT!BC249</f>
        <v>7.7922077922077921</v>
      </c>
      <c r="G437" s="577">
        <f>INPUT!BD249</f>
        <v>34.805194805194787</v>
      </c>
      <c r="H437" s="597">
        <f>INPUT!BE249</f>
        <v>5.3662691652470187</v>
      </c>
      <c r="I437" s="577">
        <f>INPUT!BF249</f>
        <v>-29.567717206132883</v>
      </c>
      <c r="J437" s="597">
        <f>INPUT!BG249</f>
        <v>4.2323651452282158</v>
      </c>
      <c r="K437" s="577">
        <f>INPUT!BH249</f>
        <v>-0.13419263706190065</v>
      </c>
      <c r="L437" s="597">
        <f>INPUT!BI249</f>
        <v>5.6977704376548308</v>
      </c>
      <c r="M437" s="577" t="str">
        <f>INPUT!BJ249</f>
        <v>NM</v>
      </c>
      <c r="N437" s="597">
        <f>INPUT!BK249</f>
        <v>8.3125519534497094</v>
      </c>
      <c r="O437" s="577">
        <f>INPUT!BL249</f>
        <v>6.6777500692712692</v>
      </c>
      <c r="P437" s="597">
        <f>INPUT!BM249</f>
        <v>5.593220338983051</v>
      </c>
      <c r="Q437" s="577">
        <f>INPUT!BN249</f>
        <v>4.2292171105730461</v>
      </c>
      <c r="R437" s="597">
        <f>INPUT!BO249</f>
        <v>7.1599045346062056</v>
      </c>
      <c r="S437" s="577">
        <f>INPUT!BP249</f>
        <v>69.170293415695653</v>
      </c>
      <c r="T437" s="597">
        <f>INPUT!BQ249</f>
        <v>6.5681444991789819</v>
      </c>
      <c r="U437" s="577">
        <f>INPUT!BR249</f>
        <v>15.275695485590532</v>
      </c>
      <c r="V437" s="597">
        <f>INPUT!BS249</f>
        <v>8.1980519480519494</v>
      </c>
      <c r="W437" s="577">
        <f>INPUT!BT249</f>
        <v>-1.3774350649350566</v>
      </c>
      <c r="X437" s="597">
        <f>INPUT!BU249</f>
        <v>5.5067837190742219</v>
      </c>
      <c r="Y437" s="577">
        <f>INPUT!BV249</f>
        <v>-1.5453819923093732</v>
      </c>
      <c r="Z437" s="597">
        <f>INPUT!BW249</f>
        <v>6.9767441860465116</v>
      </c>
      <c r="AA437" s="577">
        <f>INPUT!BX249</f>
        <v>-2.5581395348837361</v>
      </c>
      <c r="AB437" s="597">
        <f>INPUT!BY249</f>
        <v>8.0583269378357638</v>
      </c>
      <c r="AC437" s="577">
        <f>INPUT!BZ249</f>
        <v>22.688027628549506</v>
      </c>
      <c r="AD437" s="597">
        <f>INPUT!CA249</f>
        <v>4.71976401179941</v>
      </c>
      <c r="AE437" s="577">
        <f>INPUT!CB249</f>
        <v>-42.428225123397297</v>
      </c>
      <c r="AF437" s="597">
        <f>INPUT!CC249</f>
        <v>5.3364269141531322</v>
      </c>
      <c r="AG437" s="577">
        <f>INPUT!CD249</f>
        <v>-3.0935808197989303</v>
      </c>
      <c r="AH437" s="586">
        <f>INPUT!CE249</f>
        <v>3.9664378337147213</v>
      </c>
      <c r="AI437" s="577">
        <f>INPUT!CF249</f>
        <v>-43.147724383422329</v>
      </c>
      <c r="AJ437" s="586">
        <f>INPUT!CG249</f>
        <v>2.43161094224924</v>
      </c>
      <c r="AK437" s="577" t="str">
        <f>INPUT!CH249</f>
        <v>NM</v>
      </c>
      <c r="AL437" s="586">
        <f>INPUT!CI249</f>
        <v>4.0927694406548438</v>
      </c>
      <c r="AM437" s="577">
        <f>INPUT!CJ249</f>
        <v>-13.284447476125493</v>
      </c>
      <c r="AN437" s="586">
        <f>INPUT!CK249</f>
        <v>4.9816849816849818</v>
      </c>
      <c r="AO437" s="577">
        <f>INPUT!CL249</f>
        <v>-6.6475553432075145</v>
      </c>
      <c r="AP437" s="586">
        <f>INPUT!CM249</f>
        <v>2.5896414342629481</v>
      </c>
      <c r="AQ437" s="577">
        <f>INPUT!CN249</f>
        <v>-34.71115537848604</v>
      </c>
      <c r="AR437" s="586">
        <f>INPUT!CO249</f>
        <v>3.297442799461642</v>
      </c>
      <c r="AS437" s="577">
        <f>INPUT!CP249</f>
        <v>35.60733512786004</v>
      </c>
      <c r="AT437" s="586">
        <f>INPUT!CQ249</f>
        <v>3.1098825155494123</v>
      </c>
      <c r="AU437" s="577">
        <f>INPUT!CR249</f>
        <v>-24.015203870076036</v>
      </c>
      <c r="AV437" s="586">
        <f>INPUT!CS249</f>
        <v>3.0346820809248554</v>
      </c>
      <c r="AW437" s="577">
        <f>INPUT!CT249</f>
        <v>-39.083219993199592</v>
      </c>
      <c r="AX437" s="586">
        <f>INPUT!CU249</f>
        <v>-2.8756290438533427</v>
      </c>
      <c r="AY437" s="577" t="str">
        <f>INPUT!CV249</f>
        <v>NM</v>
      </c>
      <c r="AZ437" s="586">
        <f>INPUT!CW249</f>
        <v>2.3706896551724137</v>
      </c>
      <c r="BA437" s="577">
        <f>INPUT!CX249</f>
        <v>-28.105207600281489</v>
      </c>
      <c r="BB437" s="586">
        <f>INPUT!CY249</f>
        <v>2.464788732394366</v>
      </c>
      <c r="BC437" s="577">
        <f>INPUT!CZ249</f>
        <v>-20.743348982785605</v>
      </c>
      <c r="BD437" s="586">
        <f>INPUT!DA249</f>
        <v>-0.85836909871244638</v>
      </c>
      <c r="BE437" s="577" t="str">
        <f>INPUT!DB249</f>
        <v>NM</v>
      </c>
      <c r="BF437" s="586">
        <f>INPUT!DC249</f>
        <v>0.64194008559201143</v>
      </c>
      <c r="BG437" s="577" t="str">
        <f>INPUT!DD249</f>
        <v>NM</v>
      </c>
      <c r="BH437" s="586">
        <f>INPUT!DE249</f>
        <v>1.5725518227305217</v>
      </c>
      <c r="BI437" s="577">
        <f>INPUT!DF249</f>
        <v>-33.666904932094354</v>
      </c>
      <c r="BJ437" s="586">
        <f>INPUT!DG249</f>
        <v>5.0670640834575256</v>
      </c>
      <c r="BK437" s="577" t="str">
        <f>INPUT!DH249</f>
        <v>NM</v>
      </c>
      <c r="BL437" s="586">
        <f>INPUT!DI249</f>
        <v>4.2181818181818178</v>
      </c>
      <c r="BM437" s="577" t="str">
        <f>INPUT!DJ249</f>
        <v>NM</v>
      </c>
      <c r="BN437" s="586">
        <f>INPUT!DK249</f>
        <v>0.44052863436123352</v>
      </c>
      <c r="BO437" s="577">
        <f>INPUT!DL249</f>
        <v>-31.375428291727843</v>
      </c>
      <c r="BP437" s="586">
        <f>INPUT!DM249</f>
        <v>3.427719821162444</v>
      </c>
      <c r="BQ437" s="577" t="str">
        <f>INPUT!DN249</f>
        <v>NM</v>
      </c>
      <c r="BR437" s="586">
        <f>INPUT!DO249</f>
        <v>-5.4114158636026684</v>
      </c>
      <c r="BS437" s="577" t="str">
        <f>INPUT!DP249</f>
        <v>NM</v>
      </c>
      <c r="BT437" s="586">
        <f>INPUT!DQ249</f>
        <v>3.3742331288343559</v>
      </c>
      <c r="BU437" s="577">
        <f>INPUT!DR249</f>
        <v>-20.007404273323445</v>
      </c>
      <c r="BV437" s="586">
        <f>INPUT!DS249</f>
        <v>2.3492560689115116</v>
      </c>
      <c r="BW437" s="577" t="str">
        <f>INPUT!DT249</f>
        <v>NM</v>
      </c>
      <c r="BX437" s="586">
        <f>INPUT!DU249</f>
        <v>5.8094500387296666</v>
      </c>
      <c r="BY437" s="577">
        <f>INPUT!DV249</f>
        <v>69.484390260330713</v>
      </c>
      <c r="BZ437" s="586">
        <f>INPUT!DW249</f>
        <v>3.400309119010819</v>
      </c>
      <c r="CA437" s="577" t="str">
        <f>INPUT!DX249</f>
        <v>NM</v>
      </c>
      <c r="CB437" s="586">
        <f>INPUT!DY249</f>
        <v>2.1077283372365341</v>
      </c>
      <c r="CC437" s="577">
        <f>INPUT!DZ249</f>
        <v>-37.534596550989995</v>
      </c>
      <c r="CD437" s="586">
        <f>INPUT!EA249</f>
        <v>1.9696969696969695</v>
      </c>
      <c r="CE437" s="577">
        <f>INPUT!EB249</f>
        <v>-16.156565656565675</v>
      </c>
      <c r="CF437" s="586">
        <f>INPUT!EC249</f>
        <v>6.5249266862170083</v>
      </c>
      <c r="CG437" s="577">
        <f>INPUT!ED249</f>
        <v>12.315738025415442</v>
      </c>
      <c r="CH437" s="586">
        <f>INPUT!EE249</f>
        <v>4.6511627906976747</v>
      </c>
      <c r="CI437" s="577">
        <f>INPUT!EF249</f>
        <v>36.786469344608889</v>
      </c>
      <c r="CJ437" s="586">
        <f>INPUT!EG249</f>
        <v>3.2428355957767727</v>
      </c>
      <c r="CK437" s="577">
        <f>INPUT!EH249</f>
        <v>53.854533266297977</v>
      </c>
      <c r="CL437" s="586">
        <f>INPUT!EI249</f>
        <v>2.4584237165582068</v>
      </c>
      <c r="CM437" s="577">
        <f>INPUT!EJ249</f>
        <v>24.812280994493591</v>
      </c>
      <c r="CN437" s="586">
        <f>INPUT!EK249</f>
        <v>9.9853157121879583</v>
      </c>
      <c r="CO437" s="577">
        <f>INPUT!EL249</f>
        <v>53.033377881172783</v>
      </c>
      <c r="CP437" s="586">
        <f>INPUT!EM249</f>
        <v>4.475421863536317</v>
      </c>
      <c r="CQ437" s="577">
        <f>INPUT!EN249</f>
        <v>-3.7784299339691785</v>
      </c>
      <c r="CR437" s="586">
        <f>INPUT!EO249</f>
        <v>1.6140865737344092</v>
      </c>
      <c r="CS437" s="577" t="str">
        <f>INPUT!EP249</f>
        <v>NM</v>
      </c>
      <c r="CT437" s="586">
        <f>INPUT!EQ249</f>
        <v>3.1365235502640485</v>
      </c>
      <c r="CU437" s="577">
        <f>INPUT!ER249</f>
        <v>27.582707941622914</v>
      </c>
      <c r="CV437" s="586">
        <f>INPUT!ES249</f>
        <v>3.5690109281432578</v>
      </c>
      <c r="CW437" s="577" t="str">
        <f>INPUT!ET249</f>
        <v>NM</v>
      </c>
      <c r="CX437" s="586">
        <f>INPUT!EU249</f>
        <v>4.0014911850383053</v>
      </c>
      <c r="CY437" s="577">
        <f>INPUT!EV249</f>
        <v>-10.589631390045739</v>
      </c>
      <c r="CZ437" s="586">
        <f>INPUT!EW249</f>
        <v>3.3174643914539295</v>
      </c>
      <c r="DA437" s="577" t="str">
        <f>INPUT!EX249</f>
        <v>NM</v>
      </c>
      <c r="DB437" s="597"/>
      <c r="DC437" s="597">
        <f>INPUT!FP249</f>
        <v>5.3333333333333339</v>
      </c>
      <c r="DD437" s="577">
        <f>INPUT!FQ249</f>
        <v>19.295019157088149</v>
      </c>
      <c r="DE437" s="597">
        <f>INPUT!FR249</f>
        <v>5.0274423710208564</v>
      </c>
      <c r="DF437" s="577">
        <f>INPUT!FS249</f>
        <v>-5.7354555433589525</v>
      </c>
      <c r="DG437" s="597">
        <f>INPUT!FT249</f>
        <v>5.9595749114398835</v>
      </c>
      <c r="DH437" s="577">
        <f>INPUT!FU249</f>
        <v>18.540889614011661</v>
      </c>
      <c r="DI437" s="597">
        <f>INPUT!FV249</f>
        <v>6.7741935483870979</v>
      </c>
      <c r="DJ437" s="577">
        <f>INPUT!FW249</f>
        <v>13.669072862621263</v>
      </c>
      <c r="DK437" s="586">
        <f>INPUT!FX249</f>
        <v>6.2251655629139071</v>
      </c>
      <c r="DL437" s="577">
        <f>INPUT!FY249</f>
        <v>-8.1046988331756751</v>
      </c>
      <c r="DM437" s="586">
        <f>INPUT!FZ249</f>
        <v>3.884206669109564</v>
      </c>
      <c r="DN437" s="577">
        <f>INPUT!GA249</f>
        <v>-37.604765208984659</v>
      </c>
      <c r="DO437" s="586">
        <f>INPUT!GB249</f>
        <v>3.0053237162974411</v>
      </c>
      <c r="DP437" s="577">
        <f>INPUT!GC249</f>
        <v>-22.627090360606445</v>
      </c>
      <c r="DQ437" s="586">
        <f>INPUT!GD249</f>
        <v>0.28566327441528294</v>
      </c>
      <c r="DR437" s="577" t="str">
        <f>INPUT!GE249</f>
        <v>NM</v>
      </c>
      <c r="DS437" s="586">
        <f>INPUT!GF249</f>
        <v>2.8452337803552012</v>
      </c>
      <c r="DT437" s="577" t="str">
        <f>INPUT!GG249</f>
        <v>NM</v>
      </c>
      <c r="DU437" s="586">
        <f>INPUT!GH249</f>
        <v>0.42934478252753411</v>
      </c>
      <c r="DV437" s="577" t="str">
        <f>INPUT!GI249</f>
        <v>NM</v>
      </c>
      <c r="DW437" s="586">
        <f>INPUT!GJ249</f>
        <v>3.4221271631343573</v>
      </c>
      <c r="DX437" s="577" t="str">
        <f>INPUT!GK249</f>
        <v>NM</v>
      </c>
      <c r="DY437" s="586">
        <f>INPUT!GL249</f>
        <v>4.1175369642522925</v>
      </c>
      <c r="DZ437" s="577">
        <f>INPUT!GM249</f>
        <v>20.320980722440567</v>
      </c>
      <c r="EA437" s="586">
        <f>INPUT!GN249</f>
        <v>4.6243831109486386</v>
      </c>
      <c r="EB437" s="577">
        <f>INPUT!GO249</f>
        <v>12.309449826357181</v>
      </c>
      <c r="EC437" s="586">
        <f>INPUT!GP249</f>
        <v>3.507321721555527</v>
      </c>
      <c r="ED437" s="577">
        <f>INPUT!GQ249</f>
        <v>-24.155900637824956</v>
      </c>
      <c r="EE437" s="586">
        <f>INPUT!GR249</f>
        <v>3.4972209112894648</v>
      </c>
      <c r="EF437" s="577">
        <f>INPUT!GS249</f>
        <v>-0.28799212242162753</v>
      </c>
      <c r="EG437" s="586">
        <f>INPUT!GT249</f>
        <v>3.5300120304239924</v>
      </c>
      <c r="EH437" s="577">
        <f>INPUT!GU249</f>
        <v>0.93763362299115727</v>
      </c>
      <c r="EI437" s="586">
        <f>INPUT!GV249</f>
        <v>3.5193037508249403</v>
      </c>
      <c r="EJ437" s="577">
        <f>INPUT!GW249</f>
        <v>-0.30334966302552857</v>
      </c>
      <c r="EK437" s="586">
        <f>INPUT!GX249</f>
        <v>3.5082884495365239</v>
      </c>
      <c r="EL437" s="577">
        <f>INPUT!GY249</f>
        <v>-0.31299660581541389</v>
      </c>
      <c r="EM437" s="577">
        <f>INPUT!GZ249</f>
        <v>-5.3744760062182539</v>
      </c>
    </row>
    <row r="438" spans="1:144" ht="12.75" hidden="1" customHeight="1" outlineLevel="1" x14ac:dyDescent="0.2">
      <c r="A438" s="575"/>
      <c r="B438" s="580"/>
      <c r="C438" s="577"/>
      <c r="D438" s="580"/>
      <c r="E438" s="577"/>
      <c r="F438" s="580"/>
      <c r="G438" s="577"/>
      <c r="H438" s="580"/>
      <c r="I438" s="577"/>
      <c r="J438" s="580"/>
      <c r="K438" s="577"/>
      <c r="L438" s="580"/>
      <c r="M438" s="577"/>
      <c r="N438" s="580"/>
      <c r="O438" s="577"/>
      <c r="P438" s="580"/>
      <c r="Q438" s="577"/>
      <c r="R438" s="580"/>
      <c r="S438" s="577"/>
      <c r="T438" s="580"/>
      <c r="U438" s="577"/>
      <c r="V438" s="580"/>
      <c r="W438" s="577"/>
      <c r="X438" s="580"/>
      <c r="Y438" s="577"/>
      <c r="Z438" s="580"/>
      <c r="AA438" s="577"/>
      <c r="AB438" s="580"/>
      <c r="AC438" s="577"/>
      <c r="AD438" s="580"/>
      <c r="AE438" s="577"/>
      <c r="AF438" s="580"/>
      <c r="AG438" s="577"/>
      <c r="AH438" s="580"/>
      <c r="AI438" s="577"/>
      <c r="AJ438" s="580"/>
      <c r="AK438" s="577"/>
      <c r="AL438" s="580"/>
      <c r="AM438" s="577"/>
      <c r="AN438" s="580"/>
      <c r="AO438" s="577"/>
      <c r="AP438" s="580"/>
      <c r="AQ438" s="577"/>
      <c r="AR438" s="580"/>
      <c r="AS438" s="577"/>
      <c r="AT438" s="580"/>
      <c r="AU438" s="577"/>
      <c r="AV438" s="580"/>
      <c r="AW438" s="577"/>
      <c r="AX438" s="580"/>
      <c r="AY438" s="577"/>
      <c r="AZ438" s="580"/>
      <c r="BA438" s="577"/>
      <c r="BB438" s="580"/>
      <c r="BC438" s="577"/>
      <c r="BD438" s="580"/>
      <c r="BE438" s="577"/>
      <c r="BF438" s="580"/>
      <c r="BG438" s="577"/>
      <c r="BH438" s="580"/>
      <c r="BI438" s="577"/>
      <c r="BJ438" s="580"/>
      <c r="BK438" s="577"/>
      <c r="BL438" s="580"/>
      <c r="BM438" s="577"/>
      <c r="BN438" s="580"/>
      <c r="BO438" s="577"/>
      <c r="BP438" s="580"/>
      <c r="BQ438" s="577"/>
      <c r="BR438" s="580"/>
      <c r="BS438" s="577"/>
      <c r="BT438" s="580"/>
      <c r="BU438" s="577"/>
      <c r="BV438" s="580"/>
      <c r="BW438" s="577"/>
      <c r="BX438" s="580"/>
      <c r="BY438" s="577"/>
      <c r="BZ438" s="580"/>
      <c r="CA438" s="577"/>
      <c r="CB438" s="580"/>
      <c r="CC438" s="577"/>
      <c r="CD438" s="580"/>
      <c r="CE438" s="577"/>
      <c r="CF438" s="580"/>
      <c r="CG438" s="577"/>
      <c r="CH438" s="580"/>
      <c r="CI438" s="577"/>
      <c r="CJ438" s="580"/>
      <c r="CK438" s="577"/>
      <c r="CL438" s="580"/>
      <c r="CM438" s="577"/>
      <c r="CN438" s="580"/>
      <c r="CO438" s="577"/>
      <c r="CP438" s="580"/>
      <c r="CQ438" s="577"/>
      <c r="CR438" s="580"/>
      <c r="CS438" s="577"/>
      <c r="CT438" s="580"/>
      <c r="CU438" s="577"/>
      <c r="CV438" s="580"/>
      <c r="CW438" s="577"/>
      <c r="CX438" s="580"/>
      <c r="CY438" s="577"/>
      <c r="CZ438" s="580"/>
      <c r="DA438" s="577"/>
      <c r="DB438" s="580"/>
      <c r="DC438" s="580"/>
      <c r="DD438" s="577"/>
      <c r="DE438" s="580"/>
      <c r="DF438" s="577"/>
      <c r="DG438" s="580"/>
      <c r="DH438" s="577"/>
      <c r="DI438" s="580"/>
      <c r="DJ438" s="577"/>
      <c r="DK438" s="580"/>
      <c r="DL438" s="577"/>
      <c r="DM438" s="580"/>
      <c r="DN438" s="577"/>
      <c r="DO438" s="580"/>
      <c r="DP438" s="577"/>
      <c r="DQ438" s="580"/>
      <c r="DR438" s="577"/>
      <c r="DS438" s="580"/>
      <c r="DT438" s="577"/>
      <c r="DU438" s="580"/>
      <c r="DV438" s="577"/>
      <c r="DW438" s="580"/>
      <c r="DX438" s="577"/>
      <c r="DY438" s="580"/>
      <c r="DZ438" s="577"/>
      <c r="EA438" s="580"/>
      <c r="EB438" s="577"/>
      <c r="EC438" s="580"/>
      <c r="ED438" s="577"/>
      <c r="EE438" s="580"/>
      <c r="EF438" s="577"/>
      <c r="EG438" s="580"/>
      <c r="EH438" s="577"/>
      <c r="EI438" s="580"/>
      <c r="EJ438" s="577"/>
      <c r="EK438" s="580"/>
      <c r="EL438" s="577"/>
      <c r="EM438" s="577"/>
    </row>
    <row r="439" spans="1:144" ht="12.75" hidden="1" customHeight="1" outlineLevel="1" x14ac:dyDescent="0.2">
      <c r="A439" s="575" t="s">
        <v>498</v>
      </c>
      <c r="B439" s="580"/>
      <c r="C439" s="577"/>
      <c r="D439" s="580"/>
      <c r="E439" s="577"/>
      <c r="F439" s="580"/>
      <c r="G439" s="577"/>
      <c r="H439" s="580"/>
      <c r="I439" s="577"/>
      <c r="J439" s="580"/>
      <c r="K439" s="577"/>
      <c r="L439" s="580"/>
      <c r="M439" s="577"/>
      <c r="N439" s="580"/>
      <c r="O439" s="577"/>
      <c r="P439" s="580"/>
      <c r="Q439" s="577"/>
      <c r="R439" s="580"/>
      <c r="S439" s="577"/>
      <c r="T439" s="580"/>
      <c r="U439" s="577"/>
      <c r="V439" s="580"/>
      <c r="W439" s="577"/>
      <c r="X439" s="580"/>
      <c r="Y439" s="577"/>
      <c r="Z439" s="580"/>
      <c r="AA439" s="577"/>
      <c r="AB439" s="580"/>
      <c r="AC439" s="577"/>
      <c r="AD439" s="580"/>
      <c r="AE439" s="577"/>
      <c r="AF439" s="580"/>
      <c r="AG439" s="577"/>
      <c r="AH439" s="580"/>
      <c r="AI439" s="577"/>
      <c r="AJ439" s="580"/>
      <c r="AK439" s="577"/>
      <c r="AL439" s="580"/>
      <c r="AM439" s="577"/>
      <c r="AN439" s="580"/>
      <c r="AO439" s="577"/>
      <c r="AP439" s="580"/>
      <c r="AQ439" s="577"/>
      <c r="AR439" s="580"/>
      <c r="AS439" s="577"/>
      <c r="AT439" s="580"/>
      <c r="AU439" s="577"/>
      <c r="AV439" s="580"/>
      <c r="AW439" s="577"/>
      <c r="AX439" s="580"/>
      <c r="AY439" s="577"/>
      <c r="AZ439" s="580"/>
      <c r="BA439" s="577"/>
      <c r="BB439" s="580"/>
      <c r="BC439" s="577"/>
      <c r="BD439" s="580"/>
      <c r="BE439" s="577"/>
      <c r="BF439" s="580"/>
      <c r="BG439" s="577"/>
      <c r="BH439" s="580"/>
      <c r="BI439" s="577"/>
      <c r="BJ439" s="580"/>
      <c r="BK439" s="577"/>
      <c r="BL439" s="580"/>
      <c r="BM439" s="577"/>
      <c r="BN439" s="580"/>
      <c r="BO439" s="577"/>
      <c r="BP439" s="580"/>
      <c r="BQ439" s="577"/>
      <c r="BR439" s="580"/>
      <c r="BS439" s="577"/>
      <c r="BT439" s="580"/>
      <c r="BU439" s="577"/>
      <c r="BV439" s="580"/>
      <c r="BW439" s="577"/>
      <c r="BX439" s="580"/>
      <c r="BY439" s="577"/>
      <c r="BZ439" s="580"/>
      <c r="CA439" s="577"/>
      <c r="CB439" s="580"/>
      <c r="CC439" s="577"/>
      <c r="CD439" s="580"/>
      <c r="CE439" s="577"/>
      <c r="CF439" s="580"/>
      <c r="CG439" s="577"/>
      <c r="CH439" s="580"/>
      <c r="CI439" s="577"/>
      <c r="CJ439" s="580"/>
      <c r="CK439" s="577"/>
      <c r="CL439" s="580"/>
      <c r="CM439" s="577"/>
      <c r="CN439" s="580"/>
      <c r="CO439" s="577"/>
      <c r="CP439" s="580"/>
      <c r="CQ439" s="577"/>
      <c r="CR439" s="580"/>
      <c r="CS439" s="577"/>
      <c r="CT439" s="580"/>
      <c r="CU439" s="577"/>
      <c r="CV439" s="580"/>
      <c r="CW439" s="577"/>
      <c r="CX439" s="580"/>
      <c r="CY439" s="577"/>
      <c r="CZ439" s="580"/>
      <c r="DA439" s="577"/>
      <c r="DB439" s="580"/>
      <c r="DC439" s="580"/>
      <c r="DD439" s="577"/>
      <c r="DE439" s="580"/>
      <c r="DF439" s="577"/>
      <c r="DG439" s="580"/>
      <c r="DH439" s="577"/>
      <c r="DI439" s="580"/>
      <c r="DJ439" s="577"/>
      <c r="DK439" s="580"/>
      <c r="DL439" s="577"/>
      <c r="DM439" s="580"/>
      <c r="DN439" s="577"/>
      <c r="DO439" s="580"/>
      <c r="DP439" s="577"/>
      <c r="DQ439" s="580"/>
      <c r="DR439" s="577"/>
      <c r="DS439" s="580"/>
      <c r="DT439" s="577"/>
      <c r="DU439" s="580"/>
      <c r="DV439" s="577"/>
      <c r="DW439" s="580"/>
      <c r="DX439" s="577"/>
      <c r="DY439" s="580"/>
      <c r="DZ439" s="577"/>
      <c r="EA439" s="580"/>
      <c r="EB439" s="577"/>
      <c r="EC439" s="580"/>
      <c r="ED439" s="577"/>
      <c r="EE439" s="580"/>
      <c r="EF439" s="577"/>
      <c r="EG439" s="580"/>
      <c r="EH439" s="577"/>
      <c r="EI439" s="580"/>
      <c r="EJ439" s="577"/>
      <c r="EK439" s="580"/>
      <c r="EL439" s="577"/>
      <c r="EM439" s="577"/>
    </row>
    <row r="440" spans="1:144" ht="12.75" hidden="1" customHeight="1" outlineLevel="1" x14ac:dyDescent="0.2">
      <c r="A440" s="579" t="s">
        <v>68</v>
      </c>
      <c r="B440" s="586">
        <f>INPUT!AY595</f>
        <v>4.9111807732497388</v>
      </c>
      <c r="C440" s="577">
        <f>INPUT!AZ595</f>
        <v>9.9237814247956209</v>
      </c>
      <c r="D440" s="586">
        <f>INPUT!BA595</f>
        <v>6.1636556854410207</v>
      </c>
      <c r="E440" s="577">
        <f>INPUT!BB595</f>
        <v>7.9979670101187423</v>
      </c>
      <c r="F440" s="586">
        <f>INPUT!BC595</f>
        <v>6.1505832449628848</v>
      </c>
      <c r="G440" s="577">
        <f>INPUT!BD595</f>
        <v>-10.201484623541873</v>
      </c>
      <c r="H440" s="586">
        <f>INPUT!BE595</f>
        <v>7.9218106995884776</v>
      </c>
      <c r="I440" s="577">
        <f>INPUT!BF595</f>
        <v>-6.9187242798353878</v>
      </c>
      <c r="J440" s="586">
        <f>INPUT!BG595</f>
        <v>4.8589939024390247</v>
      </c>
      <c r="K440" s="577">
        <f>INPUT!BH595</f>
        <v>-1.0626135184224097</v>
      </c>
      <c r="L440" s="586">
        <f>INPUT!BI595</f>
        <v>6.2956204379562051</v>
      </c>
      <c r="M440" s="577">
        <f>INPUT!BJ595</f>
        <v>2.1410143468411746</v>
      </c>
      <c r="N440" s="586">
        <f>INPUT!BK595</f>
        <v>6.9465648854961826</v>
      </c>
      <c r="O440" s="577">
        <f>INPUT!BL595</f>
        <v>12.941563569360341</v>
      </c>
      <c r="P440" s="586">
        <f>INPUT!BM595</f>
        <v>5.9625212947189095</v>
      </c>
      <c r="Q440" s="577">
        <f>INPUT!BN595</f>
        <v>-24.732848071860005</v>
      </c>
      <c r="R440" s="586">
        <f>INPUT!BO595</f>
        <v>7.4309978768577496</v>
      </c>
      <c r="S440" s="577">
        <f>INPUT!BP595</f>
        <v>52.932850422546949</v>
      </c>
      <c r="T440" s="586">
        <f>INPUT!BQ595</f>
        <v>7.4487895716945998</v>
      </c>
      <c r="U440" s="577">
        <f>INPUT!BR595</f>
        <v>18.317005370685209</v>
      </c>
      <c r="V440" s="586">
        <f>INPUT!BS595</f>
        <v>9.1666666666666661</v>
      </c>
      <c r="W440" s="577">
        <f>INPUT!BT595</f>
        <v>31.959706959706949</v>
      </c>
      <c r="X440" s="586">
        <f>INPUT!BU595</f>
        <v>12</v>
      </c>
      <c r="Y440" s="577" t="str">
        <f>INPUT!BV595</f>
        <v>NM</v>
      </c>
      <c r="Z440" s="586">
        <f>INPUT!BW595</f>
        <v>15.171288743882544</v>
      </c>
      <c r="AA440" s="577" t="str">
        <f>INPUT!BX595</f>
        <v>NM</v>
      </c>
      <c r="AB440" s="586">
        <f>INPUT!BY595</f>
        <v>14.705882352941178</v>
      </c>
      <c r="AC440" s="577">
        <f>INPUT!BZ595</f>
        <v>97.426470588235304</v>
      </c>
      <c r="AD440" s="586">
        <f>INPUT!CA595</f>
        <v>7.6646706586826348</v>
      </c>
      <c r="AE440" s="577">
        <f>INPUT!CB595</f>
        <v>-16.385410996189435</v>
      </c>
      <c r="AF440" s="586">
        <f>INPUT!CC595</f>
        <v>10.058309037900875</v>
      </c>
      <c r="AG440" s="577">
        <f>INPUT!CD595</f>
        <v>-16.180758017492707</v>
      </c>
      <c r="AH440" s="586">
        <f>INPUT!CE595</f>
        <v>6.8692206076618234</v>
      </c>
      <c r="AI440" s="577" t="str">
        <f>INPUT!CF595</f>
        <v>NM</v>
      </c>
      <c r="AJ440" s="586">
        <f>INPUT!CG595</f>
        <v>4.808877928483354</v>
      </c>
      <c r="AK440" s="577" t="str">
        <f>INPUT!CH595</f>
        <v>NM</v>
      </c>
      <c r="AL440" s="586">
        <f>INPUT!CI595</f>
        <v>4.2384105960264904</v>
      </c>
      <c r="AM440" s="577">
        <f>INPUT!CJ595</f>
        <v>-44.701986754966882</v>
      </c>
      <c r="AN440" s="586">
        <f>INPUT!CK595</f>
        <v>7.7981651376146797</v>
      </c>
      <c r="AO440" s="577">
        <f>INPUT!CL595</f>
        <v>-22.470416168062755</v>
      </c>
      <c r="AP440" s="586">
        <f>INPUT!CM595</f>
        <v>4.1065599663051486</v>
      </c>
      <c r="AQ440" s="577">
        <f>INPUT!CN595</f>
        <v>-40.217963567442361</v>
      </c>
      <c r="AR440" s="586">
        <f>INPUT!CO595</f>
        <v>4.4343891402714934</v>
      </c>
      <c r="AS440" s="577">
        <f>INPUT!CP595</f>
        <v>-7.7874463394825426</v>
      </c>
      <c r="AT440" s="586">
        <f>INPUT!CQ595</f>
        <v>2.3397761953204474</v>
      </c>
      <c r="AU440" s="577">
        <f>INPUT!CR595</f>
        <v>-44.795905391658195</v>
      </c>
      <c r="AV440" s="586">
        <f>INPUT!CS595</f>
        <v>4.294478527607362</v>
      </c>
      <c r="AW440" s="577">
        <f>INPUT!CT595</f>
        <v>-44.929628293035009</v>
      </c>
      <c r="AX440" s="586">
        <f>INPUT!CU595</f>
        <v>-4.3103448275862073</v>
      </c>
      <c r="AY440" s="577" t="str">
        <f>INPUT!CV595</f>
        <v>NM</v>
      </c>
      <c r="AZ440" s="586">
        <f>INPUT!CW595</f>
        <v>2.9945553539019962</v>
      </c>
      <c r="BA440" s="577">
        <f>INPUT!CX595</f>
        <v>-32.469721100781513</v>
      </c>
      <c r="BB440" s="586">
        <f>INPUT!CY595</f>
        <v>2.3588879528222408</v>
      </c>
      <c r="BC440" s="577">
        <f>INPUT!CZ595</f>
        <v>0.81681989670707367</v>
      </c>
      <c r="BD440" s="586">
        <f>INPUT!DA595</f>
        <v>2.2968197879858656</v>
      </c>
      <c r="BE440" s="577">
        <f>INPUT!DB595</f>
        <v>-46.516910651186272</v>
      </c>
      <c r="BF440" s="586">
        <f>INPUT!DC595</f>
        <v>0.6559766763848397</v>
      </c>
      <c r="BG440" s="577" t="str">
        <f>INPUT!DD595</f>
        <v>NM</v>
      </c>
      <c r="BH440" s="586">
        <f>INPUT!DE595</f>
        <v>1.6046681254558719</v>
      </c>
      <c r="BI440" s="577">
        <f>INPUT!DF595</f>
        <v>-46.413809871140273</v>
      </c>
      <c r="BJ440" s="586">
        <f>INPUT!DG595</f>
        <v>1.5181518151815181</v>
      </c>
      <c r="BK440" s="577">
        <f>INPUT!DH595</f>
        <v>-35.641206977840639</v>
      </c>
      <c r="BL440" s="586">
        <f>INPUT!DI595</f>
        <v>3.9375424304141213</v>
      </c>
      <c r="BM440" s="577">
        <f>INPUT!DJ595</f>
        <v>71.434539662645591</v>
      </c>
      <c r="BN440" s="586">
        <f>INPUT!DK595</f>
        <v>0.37128712871287128</v>
      </c>
      <c r="BO440" s="577">
        <f>INPUT!DL595</f>
        <v>-43.39933993399341</v>
      </c>
      <c r="BP440" s="586">
        <f>INPUT!DM595</f>
        <v>2.8134556574923546</v>
      </c>
      <c r="BQ440" s="577">
        <f>INPUT!DN595</f>
        <v>75.329441201000805</v>
      </c>
      <c r="BR440" s="586">
        <f>INPUT!DO595</f>
        <v>2.128991859737007</v>
      </c>
      <c r="BS440" s="577">
        <f>INPUT!DP595</f>
        <v>40.235768152242002</v>
      </c>
      <c r="BT440" s="586">
        <f>INPUT!DQ595</f>
        <v>2.9411764705882351</v>
      </c>
      <c r="BU440" s="577">
        <f>INPUT!DR595</f>
        <v>-25.304259634888453</v>
      </c>
      <c r="BV440" s="586">
        <f>INPUT!DS595</f>
        <v>1.820388349514563</v>
      </c>
      <c r="BW440" s="577" t="str">
        <f>INPUT!DT595</f>
        <v>NM</v>
      </c>
      <c r="BX440" s="586">
        <f>INPUT!DU595</f>
        <v>2.8693528693528694</v>
      </c>
      <c r="BY440" s="577">
        <f>INPUT!DV595</f>
        <v>1.9867813346074286</v>
      </c>
      <c r="BZ440" s="586">
        <f>INPUT!DW595</f>
        <v>2.8442146089204914</v>
      </c>
      <c r="CA440" s="577">
        <f>INPUT!DX595</f>
        <v>33.594433248412486</v>
      </c>
      <c r="CB440" s="586">
        <f>INPUT!DY595</f>
        <v>2.1184778344448802</v>
      </c>
      <c r="CC440" s="577">
        <f>INPUT!DZ595</f>
        <v>-27.971753628874069</v>
      </c>
      <c r="CD440" s="586">
        <f>INPUT!EA595</f>
        <v>1.8271257905832747</v>
      </c>
      <c r="CE440" s="577">
        <f>INPUT!EB595</f>
        <v>0.37011009604124467</v>
      </c>
      <c r="CF440" s="586">
        <f>INPUT!EC595</f>
        <v>5.9651474530831097</v>
      </c>
      <c r="CG440" s="577" t="str">
        <f>INPUT!ED595</f>
        <v>NM</v>
      </c>
      <c r="CH440" s="586">
        <f>INPUT!EE595</f>
        <v>4.2670337233310391</v>
      </c>
      <c r="CI440" s="577">
        <f>INPUT!EF595</f>
        <v>50.025026590752674</v>
      </c>
      <c r="CJ440" s="586">
        <f>INPUT!EG595</f>
        <v>2.9881862404447532</v>
      </c>
      <c r="CK440" s="577">
        <f>INPUT!EH595</f>
        <v>41.053457905438449</v>
      </c>
      <c r="CL440" s="586">
        <f>INPUT!EI595</f>
        <v>2.0730443265654532</v>
      </c>
      <c r="CM440" s="577">
        <f>INPUT!EJ595</f>
        <v>13.459310642409235</v>
      </c>
      <c r="CN440" s="586">
        <f>INPUT!EK595</f>
        <v>4.5100222717149219</v>
      </c>
      <c r="CO440" s="577">
        <f>INPUT!EL595</f>
        <v>-24.39378393934085</v>
      </c>
      <c r="CP440" s="586">
        <f>INPUT!EM595</f>
        <v>3.5138248847926268</v>
      </c>
      <c r="CQ440" s="577">
        <f>INPUT!EN595</f>
        <v>-17.65181358703731</v>
      </c>
      <c r="CR440" s="586">
        <f>INPUT!EO595</f>
        <v>1.403061224489796</v>
      </c>
      <c r="CS440" s="577" t="str">
        <f>INPUT!EP595</f>
        <v>NM</v>
      </c>
      <c r="CT440" s="586">
        <f>INPUT!EQ595</f>
        <v>2.5177731276788085</v>
      </c>
      <c r="CU440" s="577">
        <f>INPUT!ER595</f>
        <v>21.452932550176882</v>
      </c>
      <c r="CV440" s="586">
        <f>INPUT!ES595</f>
        <v>2.8778767779605809</v>
      </c>
      <c r="CW440" s="577">
        <f>INPUT!ET595</f>
        <v>-36.189300083738232</v>
      </c>
      <c r="CX440" s="586">
        <f>INPUT!EU595</f>
        <v>3.2959237995133188</v>
      </c>
      <c r="CY440" s="577">
        <f>INPUT!EV595</f>
        <v>-6.2012505581127613</v>
      </c>
      <c r="CZ440" s="586">
        <f>INPUT!EW595</f>
        <v>3.0594833875637129</v>
      </c>
      <c r="DA440" s="577" t="str">
        <f>INPUT!EX595</f>
        <v>NM</v>
      </c>
      <c r="DB440" s="586"/>
      <c r="DC440" s="586">
        <f>INPUT!FP595</f>
        <v>6.4686856806821531</v>
      </c>
      <c r="DD440" s="577">
        <f>INPUT!FQ595</f>
        <v>18.812594134978326</v>
      </c>
      <c r="DE440" s="586">
        <f>INPUT!FR595</f>
        <v>6.3241106719367588</v>
      </c>
      <c r="DF440" s="577">
        <f>INPUT!FS595</f>
        <v>-2.234998203377657</v>
      </c>
      <c r="DG440" s="586">
        <f>INPUT!FT595</f>
        <v>6.1025930591147981</v>
      </c>
      <c r="DH440" s="577">
        <f>INPUT!FU595</f>
        <v>-3.5027472527472554</v>
      </c>
      <c r="DI440" s="586">
        <f>INPUT!FV595</f>
        <v>9.3288177339901477</v>
      </c>
      <c r="DJ440" s="577">
        <f>INPUT!FW595</f>
        <v>52.866456006871999</v>
      </c>
      <c r="DK440" s="586">
        <f>INPUT!FX595</f>
        <v>12.876712328767123</v>
      </c>
      <c r="DL440" s="577">
        <f>INPUT!FY595</f>
        <v>38.031556580315566</v>
      </c>
      <c r="DM440" s="586">
        <f>INPUT!FZ595</f>
        <v>5.9780907668231613</v>
      </c>
      <c r="DN440" s="577" t="str">
        <f>INPUT!GA595</f>
        <v>NM</v>
      </c>
      <c r="DO440" s="586">
        <f>INPUT!GB595</f>
        <v>3.8100455711333017</v>
      </c>
      <c r="DP440" s="577">
        <f>INPUT!GC595</f>
        <v>-36.266515184445559</v>
      </c>
      <c r="DQ440" s="586">
        <f>INPUT!GD595</f>
        <v>1.0807082087836284</v>
      </c>
      <c r="DR440" s="577" t="str">
        <f>INPUT!GE595</f>
        <v>NM</v>
      </c>
      <c r="DS440" s="586">
        <f>INPUT!GF595</f>
        <v>1.9542837201186529</v>
      </c>
      <c r="DT440" s="577">
        <f>INPUT!GG595</f>
        <v>80.833614868000467</v>
      </c>
      <c r="DU440" s="586">
        <f>INPUT!GH595</f>
        <v>2.0491803278688523</v>
      </c>
      <c r="DV440" s="577">
        <f>INPUT!GI595</f>
        <v>4.8558255269320654</v>
      </c>
      <c r="DW440" s="586">
        <f>INPUT!GJ595</f>
        <v>2.4232501023331969</v>
      </c>
      <c r="DX440" s="577">
        <f>INPUT!GK595</f>
        <v>18.254604993860028</v>
      </c>
      <c r="DY440" s="586">
        <f>INPUT!GL595</f>
        <v>3.7885310831754779</v>
      </c>
      <c r="DZ440" s="577">
        <f>INPUT!GM595</f>
        <v>56.340902638474546</v>
      </c>
      <c r="EA440" s="586">
        <f>INPUT!GN595</f>
        <v>2.9376418747496325</v>
      </c>
      <c r="EB440" s="577">
        <f>INPUT!GO595</f>
        <v>-22.459607424222199</v>
      </c>
      <c r="EC440" s="586">
        <f>INPUT!GP595</f>
        <v>2.9339191762148795</v>
      </c>
      <c r="ED440" s="577">
        <f>INPUT!GQ595</f>
        <v>-0.12672404239438606</v>
      </c>
      <c r="EE440" s="586">
        <f>INPUT!GR595</f>
        <v>3.0118532464676493</v>
      </c>
      <c r="EF440" s="577">
        <f>INPUT!GS595</f>
        <v>2.6563127875020314</v>
      </c>
      <c r="EG440" s="586">
        <f>INPUT!GT595</f>
        <v>3.1354393649223313</v>
      </c>
      <c r="EH440" s="577">
        <f>INPUT!GU595</f>
        <v>4.1033247087860474</v>
      </c>
      <c r="EI440" s="586">
        <f>INPUT!GV595</f>
        <v>3.2206857957253372</v>
      </c>
      <c r="EJ440" s="577">
        <f>INPUT!GW595</f>
        <v>2.7188033599596366</v>
      </c>
      <c r="EK440" s="586">
        <f>INPUT!GX595</f>
        <v>3.3133033042580631</v>
      </c>
      <c r="EL440" s="577">
        <f>INPUT!GY595</f>
        <v>2.8757076724358797</v>
      </c>
      <c r="EM440" s="577">
        <f>INPUT!GZ595</f>
        <v>2.4359663210672622</v>
      </c>
    </row>
    <row r="441" spans="1:144" ht="12.75" hidden="1" customHeight="1" outlineLevel="1" x14ac:dyDescent="0.2">
      <c r="A441" s="575"/>
      <c r="B441" s="605"/>
      <c r="C441" s="555"/>
      <c r="D441" s="605"/>
      <c r="E441" s="555"/>
      <c r="F441" s="605"/>
      <c r="G441" s="555"/>
      <c r="H441" s="605"/>
      <c r="I441" s="555"/>
      <c r="J441" s="605"/>
      <c r="K441" s="555"/>
      <c r="L441" s="605"/>
      <c r="M441" s="555"/>
      <c r="N441" s="605"/>
      <c r="O441" s="555"/>
      <c r="P441" s="605"/>
      <c r="Q441" s="555"/>
      <c r="R441" s="605"/>
      <c r="S441" s="555"/>
      <c r="T441" s="605"/>
      <c r="U441" s="555"/>
      <c r="V441" s="605"/>
      <c r="W441" s="555"/>
      <c r="X441" s="605"/>
      <c r="Y441" s="555"/>
      <c r="Z441" s="605"/>
      <c r="AA441" s="555"/>
      <c r="AB441" s="605"/>
      <c r="AC441" s="555"/>
      <c r="AD441" s="605"/>
      <c r="AE441" s="555"/>
      <c r="AF441" s="605"/>
      <c r="AG441" s="555"/>
      <c r="AH441" s="605"/>
      <c r="AI441" s="555"/>
      <c r="AJ441" s="605"/>
      <c r="AK441" s="555"/>
      <c r="AL441" s="605"/>
      <c r="AM441" s="555"/>
      <c r="AN441" s="605"/>
      <c r="AO441" s="555"/>
      <c r="AP441" s="605"/>
      <c r="AQ441" s="555"/>
      <c r="AR441" s="605"/>
      <c r="AS441" s="555"/>
      <c r="AT441" s="605"/>
      <c r="AU441" s="555"/>
      <c r="AV441" s="605"/>
      <c r="AW441" s="555"/>
      <c r="AX441" s="605"/>
      <c r="AY441" s="555"/>
      <c r="AZ441" s="605"/>
      <c r="BA441" s="555"/>
      <c r="BB441" s="605"/>
      <c r="BC441" s="555"/>
      <c r="BD441" s="605"/>
      <c r="BE441" s="555"/>
      <c r="BF441" s="605"/>
      <c r="BG441" s="555"/>
      <c r="BH441" s="605"/>
      <c r="BI441" s="555"/>
      <c r="BJ441" s="605"/>
      <c r="BK441" s="555"/>
      <c r="BL441" s="605"/>
      <c r="BM441" s="555"/>
      <c r="BN441" s="605"/>
      <c r="BO441" s="555"/>
      <c r="BP441" s="605"/>
      <c r="BQ441" s="555"/>
      <c r="BR441" s="605"/>
      <c r="BS441" s="555"/>
      <c r="BT441" s="605"/>
      <c r="BU441" s="555"/>
      <c r="BV441" s="605"/>
      <c r="BW441" s="555"/>
      <c r="BX441" s="605"/>
      <c r="BY441" s="555"/>
      <c r="BZ441" s="605"/>
      <c r="CA441" s="555"/>
      <c r="CB441" s="605"/>
      <c r="CC441" s="555"/>
      <c r="CD441" s="605"/>
      <c r="CE441" s="555"/>
      <c r="CF441" s="605"/>
      <c r="CG441" s="555"/>
      <c r="CH441" s="605"/>
      <c r="CI441" s="555"/>
      <c r="CJ441" s="605"/>
      <c r="CK441" s="555"/>
      <c r="CL441" s="605"/>
      <c r="CM441" s="555"/>
      <c r="CN441" s="605"/>
      <c r="CO441" s="555"/>
      <c r="CP441" s="605"/>
      <c r="CQ441" s="555"/>
      <c r="CR441" s="605"/>
      <c r="CS441" s="555"/>
      <c r="CT441" s="605"/>
      <c r="CU441" s="555"/>
      <c r="CV441" s="605"/>
      <c r="CW441" s="555"/>
      <c r="CX441" s="605"/>
      <c r="CY441" s="555"/>
      <c r="CZ441" s="605"/>
      <c r="DA441" s="555"/>
      <c r="DB441" s="605"/>
      <c r="DC441" s="605"/>
      <c r="DD441" s="577"/>
      <c r="DE441" s="605"/>
      <c r="DF441" s="555"/>
      <c r="DG441" s="605"/>
      <c r="DH441" s="555"/>
      <c r="DI441" s="605"/>
      <c r="DJ441" s="555"/>
      <c r="DK441" s="605"/>
      <c r="DL441" s="555"/>
      <c r="DM441" s="605"/>
      <c r="DN441" s="555"/>
      <c r="DO441" s="605"/>
      <c r="DP441" s="555"/>
      <c r="DQ441" s="605"/>
      <c r="DR441" s="555"/>
      <c r="DS441" s="605"/>
      <c r="DT441" s="555"/>
      <c r="DU441" s="605"/>
      <c r="DV441" s="555"/>
      <c r="DW441" s="605"/>
      <c r="DX441" s="555"/>
      <c r="DY441" s="605"/>
      <c r="DZ441" s="555"/>
      <c r="EA441" s="605"/>
      <c r="EB441" s="555"/>
      <c r="EC441" s="605"/>
      <c r="ED441" s="555"/>
      <c r="EE441" s="605"/>
      <c r="EF441" s="555"/>
      <c r="EG441" s="605"/>
      <c r="EH441" s="555"/>
      <c r="EI441" s="605"/>
      <c r="EJ441" s="555"/>
      <c r="EK441" s="605"/>
      <c r="EL441" s="555"/>
      <c r="EM441" s="555"/>
    </row>
    <row r="442" spans="1:144" ht="12.75" hidden="1" customHeight="1" outlineLevel="1" x14ac:dyDescent="0.2">
      <c r="A442" s="614" t="s">
        <v>312</v>
      </c>
      <c r="B442" s="605"/>
      <c r="C442" s="555"/>
      <c r="D442" s="605"/>
      <c r="E442" s="555"/>
      <c r="F442" s="605"/>
      <c r="G442" s="555"/>
      <c r="H442" s="605"/>
      <c r="I442" s="555"/>
      <c r="J442" s="605"/>
      <c r="K442" s="555"/>
      <c r="L442" s="605"/>
      <c r="M442" s="555"/>
      <c r="N442" s="605"/>
      <c r="O442" s="555"/>
      <c r="P442" s="605"/>
      <c r="Q442" s="555"/>
      <c r="R442" s="605"/>
      <c r="S442" s="555"/>
      <c r="T442" s="605"/>
      <c r="U442" s="555"/>
      <c r="V442" s="605"/>
      <c r="W442" s="555"/>
      <c r="X442" s="605"/>
      <c r="Y442" s="555"/>
      <c r="Z442" s="605"/>
      <c r="AA442" s="555"/>
      <c r="AB442" s="605"/>
      <c r="AC442" s="555"/>
      <c r="AD442" s="605"/>
      <c r="AE442" s="555"/>
      <c r="AF442" s="605"/>
      <c r="AG442" s="555"/>
      <c r="AH442" s="605"/>
      <c r="AI442" s="555"/>
      <c r="AJ442" s="605"/>
      <c r="AK442" s="555"/>
      <c r="AL442" s="605"/>
      <c r="AM442" s="555"/>
      <c r="AN442" s="605"/>
      <c r="AO442" s="555"/>
      <c r="AP442" s="605"/>
      <c r="AQ442" s="555"/>
      <c r="AR442" s="605"/>
      <c r="AS442" s="555"/>
      <c r="AT442" s="605"/>
      <c r="AU442" s="555"/>
      <c r="AV442" s="605"/>
      <c r="AW442" s="555"/>
      <c r="AX442" s="605"/>
      <c r="AY442" s="555"/>
      <c r="AZ442" s="605"/>
      <c r="BA442" s="555"/>
      <c r="BB442" s="605"/>
      <c r="BC442" s="555"/>
      <c r="BD442" s="605"/>
      <c r="BE442" s="555"/>
      <c r="BF442" s="605"/>
      <c r="BG442" s="555"/>
      <c r="BH442" s="605"/>
      <c r="BI442" s="555"/>
      <c r="BJ442" s="605"/>
      <c r="BK442" s="555"/>
      <c r="BL442" s="605"/>
      <c r="BM442" s="555"/>
      <c r="BN442" s="605"/>
      <c r="BO442" s="555"/>
      <c r="BP442" s="605"/>
      <c r="BQ442" s="555"/>
      <c r="BR442" s="605"/>
      <c r="BS442" s="555"/>
      <c r="BT442" s="605"/>
      <c r="BU442" s="555"/>
      <c r="BV442" s="605"/>
      <c r="BW442" s="555"/>
      <c r="BX442" s="605"/>
      <c r="BY442" s="555"/>
      <c r="BZ442" s="605"/>
      <c r="CA442" s="555"/>
      <c r="CB442" s="605"/>
      <c r="CC442" s="555"/>
      <c r="CD442" s="605"/>
      <c r="CE442" s="555"/>
      <c r="CF442" s="605"/>
      <c r="CG442" s="555"/>
      <c r="CH442" s="605"/>
      <c r="CI442" s="555"/>
      <c r="CJ442" s="605"/>
      <c r="CK442" s="555"/>
      <c r="CL442" s="605"/>
      <c r="CM442" s="555"/>
      <c r="CN442" s="605"/>
      <c r="CO442" s="555"/>
      <c r="CP442" s="605"/>
      <c r="CQ442" s="555"/>
      <c r="CR442" s="605"/>
      <c r="CS442" s="555"/>
      <c r="CT442" s="605"/>
      <c r="CU442" s="555"/>
      <c r="CV442" s="605"/>
      <c r="CW442" s="555"/>
      <c r="CX442" s="605"/>
      <c r="CY442" s="555"/>
      <c r="CZ442" s="605"/>
      <c r="DA442" s="555"/>
      <c r="DB442" s="605"/>
      <c r="DC442" s="605"/>
      <c r="DD442" s="577"/>
      <c r="DE442" s="605"/>
      <c r="DF442" s="555"/>
      <c r="DG442" s="605"/>
      <c r="DH442" s="555"/>
      <c r="DI442" s="605"/>
      <c r="DJ442" s="555"/>
      <c r="DK442" s="605"/>
      <c r="DL442" s="555"/>
      <c r="DM442" s="605"/>
      <c r="DN442" s="555"/>
      <c r="DO442" s="605"/>
      <c r="DP442" s="555"/>
      <c r="DQ442" s="605"/>
      <c r="DR442" s="555"/>
      <c r="DS442" s="605"/>
      <c r="DT442" s="555"/>
      <c r="DU442" s="605"/>
      <c r="DV442" s="555"/>
      <c r="DW442" s="605"/>
      <c r="DX442" s="555"/>
      <c r="DY442" s="605"/>
      <c r="DZ442" s="555"/>
      <c r="EA442" s="605"/>
      <c r="EB442" s="555"/>
      <c r="EC442" s="605"/>
      <c r="ED442" s="555"/>
      <c r="EE442" s="605"/>
      <c r="EF442" s="555"/>
      <c r="EG442" s="605"/>
      <c r="EH442" s="555"/>
      <c r="EI442" s="605"/>
      <c r="EJ442" s="555"/>
      <c r="EK442" s="605"/>
      <c r="EL442" s="555"/>
      <c r="EM442" s="555"/>
    </row>
    <row r="443" spans="1:144" ht="12.75" hidden="1" customHeight="1" outlineLevel="1" x14ac:dyDescent="0.2">
      <c r="A443" s="609" t="str">
        <f>INPUT!B242</f>
        <v>Benefits/Fees (%)</v>
      </c>
      <c r="B443" s="625">
        <f>INPUT!AY242</f>
        <v>91.101694915254242</v>
      </c>
      <c r="C443" s="555">
        <f>INPUT!AZ242</f>
        <v>-1.7379542147439082</v>
      </c>
      <c r="D443" s="625">
        <f>INPUT!BA242</f>
        <v>94.10526315789474</v>
      </c>
      <c r="E443" s="555">
        <f>INPUT!BB242</f>
        <v>3.7688843134731798</v>
      </c>
      <c r="F443" s="625">
        <f>INPUT!BC242</f>
        <v>87.742594484167512</v>
      </c>
      <c r="G443" s="555">
        <f>INPUT!BD242</f>
        <v>-2.3599518921431297</v>
      </c>
      <c r="H443" s="625">
        <f>INPUT!BE242</f>
        <v>89.292929292929287</v>
      </c>
      <c r="I443" s="555">
        <f>INPUT!BF242</f>
        <v>1.7710437710437503</v>
      </c>
      <c r="J443" s="625">
        <f>INPUT!BG242</f>
        <v>91.487279843444227</v>
      </c>
      <c r="K443" s="555">
        <f>INPUT!BH242</f>
        <v>0.42324671187365936</v>
      </c>
      <c r="L443" s="625">
        <f>INPUT!BI242</f>
        <v>89.668615984405449</v>
      </c>
      <c r="M443" s="555">
        <f>INPUT!BJ242</f>
        <v>-4.7145579584058481</v>
      </c>
      <c r="N443" s="625">
        <f>INPUT!BK242</f>
        <v>86.991062562065551</v>
      </c>
      <c r="O443" s="555">
        <f>INPUT!BL242</f>
        <v>-0.85651891936882407</v>
      </c>
      <c r="P443" s="625">
        <f>INPUT!BM242</f>
        <v>90.101010101010104</v>
      </c>
      <c r="Q443" s="555">
        <f>INPUT!BN242</f>
        <v>0.90497737556563607</v>
      </c>
      <c r="R443" s="625">
        <f>INPUT!BO242</f>
        <v>88.070829450139797</v>
      </c>
      <c r="S443" s="555">
        <f>INPUT!BP242</f>
        <v>-3.7343447079755379</v>
      </c>
      <c r="T443" s="625">
        <f>INPUT!BQ242</f>
        <v>88.792270531400959</v>
      </c>
      <c r="U443" s="555">
        <f>INPUT!BR242</f>
        <v>-0.97731568998109708</v>
      </c>
      <c r="V443" s="625">
        <f>INPUT!BS242</f>
        <v>86.450381679389309</v>
      </c>
      <c r="W443" s="555">
        <f>INPUT!BT242</f>
        <v>-0.62153612882987375</v>
      </c>
      <c r="X443" s="625">
        <f>INPUT!BU242</f>
        <v>89.915966386554629</v>
      </c>
      <c r="Y443" s="555">
        <f>INPUT!BV242</f>
        <v>-0.20537362927233005</v>
      </c>
      <c r="Z443" s="625">
        <f>INPUT!BW242</f>
        <v>87.532693984306889</v>
      </c>
      <c r="AA443" s="555">
        <f>INPUT!BX242</f>
        <v>-0.611025772316097</v>
      </c>
      <c r="AB443" s="625">
        <f>INPUT!BY242</f>
        <v>86.785714285714292</v>
      </c>
      <c r="AC443" s="555">
        <f>INPUT!BZ242</f>
        <v>-2.2598321156536514</v>
      </c>
      <c r="AD443" s="625">
        <f>INPUT!CA242</f>
        <v>90.807560137457045</v>
      </c>
      <c r="AE443" s="555">
        <f>INPUT!CB242</f>
        <v>5.0400916380297929</v>
      </c>
      <c r="AF443" s="625">
        <f>INPUT!CC242</f>
        <v>89.039855072463766</v>
      </c>
      <c r="AG443" s="555">
        <f>INPUT!CD242</f>
        <v>-0.97436678856834646</v>
      </c>
      <c r="AH443" s="625">
        <f>INPUT!CE242</f>
        <v>90.37433155080214</v>
      </c>
      <c r="AI443" s="555">
        <f>INPUT!CF242</f>
        <v>3.2463727975797383</v>
      </c>
      <c r="AJ443" s="625">
        <f>INPUT!CG242</f>
        <v>92.266666666666666</v>
      </c>
      <c r="AK443" s="555">
        <f>INPUT!CH242</f>
        <v>6.3155006858710578</v>
      </c>
      <c r="AL443" s="625">
        <f>INPUT!CI242</f>
        <v>91.358994501178316</v>
      </c>
      <c r="AM443" s="555">
        <f>INPUT!CJ242</f>
        <v>0.60725600697404047</v>
      </c>
      <c r="AN443" s="625">
        <f>INPUT!CK242</f>
        <v>89.527896995708161</v>
      </c>
      <c r="AO443" s="555">
        <f>INPUT!CL242</f>
        <v>0.54811625967630562</v>
      </c>
      <c r="AP443" s="625">
        <f>INPUT!CM242</f>
        <v>92.66615737203972</v>
      </c>
      <c r="AQ443" s="555">
        <f>INPUT!CN242</f>
        <v>2.535925612848672</v>
      </c>
      <c r="AR443" s="625">
        <f>INPUT!CO242</f>
        <v>92.003105590062106</v>
      </c>
      <c r="AS443" s="555">
        <f>INPUT!CP242</f>
        <v>-0.28565145585753271</v>
      </c>
      <c r="AT443" s="625">
        <f>INPUT!CQ242</f>
        <v>90.171606864274565</v>
      </c>
      <c r="AU443" s="555">
        <f>INPUT!CR242</f>
        <v>-1.2996942921569001</v>
      </c>
      <c r="AV443" s="625">
        <f>INPUT!CS242</f>
        <v>89.206868356500408</v>
      </c>
      <c r="AW443" s="555">
        <f>INPUT!CT242</f>
        <v>-0.35857944839600009</v>
      </c>
      <c r="AX443" s="625">
        <f>INPUT!CU242</f>
        <v>96.639344262295083</v>
      </c>
      <c r="AY443" s="555">
        <f>INPUT!CV242</f>
        <v>4.2876353168543062</v>
      </c>
      <c r="AZ443" s="625">
        <f>INPUT!CW242</f>
        <v>90.253890253890262</v>
      </c>
      <c r="BA443" s="555">
        <f>INPUT!CX242</f>
        <v>-1.9012568379656756</v>
      </c>
      <c r="BB443" s="625">
        <f>INPUT!CY242</f>
        <v>91.377921031426268</v>
      </c>
      <c r="BC443" s="555">
        <f>INPUT!CZ242</f>
        <v>1.3377982372737733</v>
      </c>
      <c r="BD443" s="625">
        <f>INPUT!DA242</f>
        <v>90.783034257748767</v>
      </c>
      <c r="BE443" s="555">
        <f>INPUT!DB242</f>
        <v>1.7668660836175292</v>
      </c>
      <c r="BF443" s="625">
        <f>INPUT!DC242</f>
        <v>92.58957654723126</v>
      </c>
      <c r="BG443" s="555">
        <f>INPUT!DD242</f>
        <v>-4.1905993319574719</v>
      </c>
      <c r="BH443" s="625">
        <f>INPUT!DE242</f>
        <v>91.072891072891068</v>
      </c>
      <c r="BI443" s="555">
        <f>INPUT!DF242</f>
        <v>0.9074410163339337</v>
      </c>
      <c r="BJ443" s="625">
        <f>INPUT!DG242</f>
        <v>86.165670367207511</v>
      </c>
      <c r="BK443" s="555">
        <f>INPUT!DH242</f>
        <v>-5.7040591484087173</v>
      </c>
      <c r="BL443" s="625">
        <f>INPUT!DI242</f>
        <v>87.185929648241199</v>
      </c>
      <c r="BM443" s="555">
        <f>INPUT!DJ242</f>
        <v>-3.9623093003201149</v>
      </c>
      <c r="BN443" s="625">
        <f>INPUT!DK242</f>
        <v>91.474850809889176</v>
      </c>
      <c r="BO443" s="555">
        <f>INPUT!DL242</f>
        <v>-1.2039430127142197</v>
      </c>
      <c r="BP443" s="625">
        <f>INPUT!DM242</f>
        <v>88.412017167381975</v>
      </c>
      <c r="BQ443" s="555">
        <f>INPUT!DN242</f>
        <v>-2.9216969771821937</v>
      </c>
      <c r="BR443" s="625">
        <f>INPUT!DO242</f>
        <v>97.945205479452056</v>
      </c>
      <c r="BS443" s="555">
        <f>INPUT!DP242</f>
        <v>13.670798430563295</v>
      </c>
      <c r="BT443" s="625">
        <f>INPUT!DQ242</f>
        <v>86.428571428571431</v>
      </c>
      <c r="BU443" s="555">
        <f>INPUT!DR242</f>
        <v>-0.86867023466446369</v>
      </c>
      <c r="BV443" s="625">
        <f>INPUT!DS242</f>
        <v>89.526411657559208</v>
      </c>
      <c r="BW443" s="555">
        <f>INPUT!DT242</f>
        <v>-2.1300271441594134</v>
      </c>
      <c r="BX443" s="625">
        <f>INPUT!DU242</f>
        <v>82.608695652173907</v>
      </c>
      <c r="BY443" s="555">
        <f>INPUT!DV242</f>
        <v>-6.5639510341916463</v>
      </c>
      <c r="BZ443" s="625">
        <f>INPUT!DW242</f>
        <v>87.444345503116651</v>
      </c>
      <c r="CA443" s="555">
        <f>INPUT!DX242</f>
        <v>-10.721157738076698</v>
      </c>
      <c r="CB443" s="625">
        <f>INPUT!DY242</f>
        <v>86.785714285714292</v>
      </c>
      <c r="CC443" s="555">
        <f>INPUT!DZ242</f>
        <v>0.41322314049587305</v>
      </c>
      <c r="CD443" s="625">
        <f>INPUT!EA242</f>
        <v>88.082901554404145</v>
      </c>
      <c r="CE443" s="555">
        <f>INPUT!EB242</f>
        <v>-1.6123846320083999</v>
      </c>
      <c r="CF443" s="625">
        <f>INPUT!EC242</f>
        <v>83.835845896147404</v>
      </c>
      <c r="CG443" s="555">
        <f>INPUT!ED242</f>
        <v>1.4854976637573856</v>
      </c>
      <c r="CH443" s="625">
        <f>INPUT!EE242</f>
        <v>87.065972222222214</v>
      </c>
      <c r="CI443" s="555">
        <f>INPUT!EF242</f>
        <v>-0.43270182733651552</v>
      </c>
      <c r="CJ443" s="625">
        <f>INPUT!EG242</f>
        <v>87.958115183246079</v>
      </c>
      <c r="CK443" s="555">
        <f>INPUT!EH242</f>
        <v>1.3509146144399296</v>
      </c>
      <c r="CL443" s="625">
        <f>INPUT!EI242</f>
        <v>89.046822742474916</v>
      </c>
      <c r="CM443" s="555">
        <f>INPUT!EJ242</f>
        <v>1.0943340546920979</v>
      </c>
      <c r="CN443" s="625">
        <f>INPUT!EK242</f>
        <v>80</v>
      </c>
      <c r="CO443" s="555">
        <f>INPUT!EL242</f>
        <v>-4.5754245754245773</v>
      </c>
      <c r="CP443" s="625">
        <f>INPUT!EM242</f>
        <v>85.485232067510552</v>
      </c>
      <c r="CQ443" s="555">
        <f>INPUT!EN242</f>
        <v>-1.8155659603468024</v>
      </c>
      <c r="CR443" s="625">
        <f>INPUT!EO242</f>
        <v>88.615123194562457</v>
      </c>
      <c r="CS443" s="555">
        <f>INPUT!EP242</f>
        <v>0.74695553667515924</v>
      </c>
      <c r="CT443" s="625">
        <f>INPUT!EQ242</f>
        <v>88</v>
      </c>
      <c r="CU443" s="555">
        <f>INPUT!ER242</f>
        <v>-1.1755868544600929</v>
      </c>
      <c r="CV443" s="625">
        <f>INPUT!ES242</f>
        <v>87.5</v>
      </c>
      <c r="CW443" s="555">
        <f>INPUT!ET242</f>
        <v>9.375</v>
      </c>
      <c r="CX443" s="625">
        <f>INPUT!EU242</f>
        <v>87</v>
      </c>
      <c r="CY443" s="555">
        <f>INPUT!EV242</f>
        <v>1.7719644619940738</v>
      </c>
      <c r="CZ443" s="625">
        <f>INPUT!EW242</f>
        <v>86.5</v>
      </c>
      <c r="DA443" s="555">
        <f>INPUT!EX242</f>
        <v>-2.386864813039324</v>
      </c>
      <c r="DB443" s="615"/>
      <c r="DC443" s="625">
        <f>INPUT!FP242</f>
        <v>90.255546194889078</v>
      </c>
      <c r="DD443" s="577">
        <f>INPUT!FQ242</f>
        <v>1.4065727213565964</v>
      </c>
      <c r="DE443" s="625">
        <f>INPUT!FR242</f>
        <v>90.525498317369923</v>
      </c>
      <c r="DF443" s="555">
        <f>INPUT!FS242</f>
        <v>0.29909754454084236</v>
      </c>
      <c r="DG443" s="625">
        <f>INPUT!FT242</f>
        <v>89.567367119901107</v>
      </c>
      <c r="DH443" s="555">
        <f>INPUT!FU242</f>
        <v>-1.0584102990626434</v>
      </c>
      <c r="DI443" s="625">
        <f>INPUT!FV242</f>
        <v>88.31322450910811</v>
      </c>
      <c r="DJ443" s="555">
        <f>INPUT!FW242</f>
        <v>-1.4002227051221752</v>
      </c>
      <c r="DK443" s="625">
        <f>INPUT!FX242</f>
        <v>88.55567805953693</v>
      </c>
      <c r="DL443" s="555">
        <f>INPUT!FY242</f>
        <v>0.27453821528600031</v>
      </c>
      <c r="DM443" s="625">
        <f>INPUT!FZ242</f>
        <v>90.885805763073634</v>
      </c>
      <c r="DN443" s="555">
        <f>INPUT!GA242</f>
        <v>2.6312572548652895</v>
      </c>
      <c r="DO443" s="625">
        <f>INPUT!GB242</f>
        <v>91.042728341826745</v>
      </c>
      <c r="DP443" s="555">
        <f>INPUT!GC242</f>
        <v>0.17265906093430772</v>
      </c>
      <c r="DQ443" s="625">
        <f>INPUT!GD242</f>
        <v>92.257538712306442</v>
      </c>
      <c r="DR443" s="555">
        <f>INPUT!GE242</f>
        <v>1.3343299268433668</v>
      </c>
      <c r="DS443" s="625">
        <f>INPUT!GF242</f>
        <v>89.302035729123389</v>
      </c>
      <c r="DT443" s="555">
        <f>INPUT!GG242</f>
        <v>-3.2035354773547766</v>
      </c>
      <c r="DU443" s="625">
        <f>INPUT!GH242</f>
        <v>91.115434500648504</v>
      </c>
      <c r="DV443" s="555">
        <f>INPUT!GI242</f>
        <v>2.0306354236152373</v>
      </c>
      <c r="DW443" s="625">
        <f>INPUT!GJ242</f>
        <v>86.571172784243515</v>
      </c>
      <c r="DX443" s="555">
        <f>INPUT!GK242</f>
        <v>-4.9873676631291772</v>
      </c>
      <c r="DY443" s="625">
        <f>INPUT!GL242</f>
        <v>86.709677419354833</v>
      </c>
      <c r="DZ443" s="555">
        <f>INPUT!GM242</f>
        <v>0.15998932514926878</v>
      </c>
      <c r="EA443" s="625">
        <f>INPUT!GN242</f>
        <v>85.783487784330248</v>
      </c>
      <c r="EB443" s="555">
        <f>INPUT!GO242</f>
        <v>-1.0681502487262691</v>
      </c>
      <c r="EC443" s="625">
        <f>INPUT!GP242</f>
        <v>87.243781217667916</v>
      </c>
      <c r="ED443" s="555">
        <f>INPUT!GQ242</f>
        <v>1.7023013065276871</v>
      </c>
      <c r="EE443" s="625">
        <f>INPUT!GR242</f>
        <v>87.243781217667916</v>
      </c>
      <c r="EF443" s="555">
        <f>INPUT!GS242</f>
        <v>0</v>
      </c>
      <c r="EG443" s="625">
        <f>INPUT!GT242</f>
        <v>87.193781217667919</v>
      </c>
      <c r="EH443" s="555">
        <f>INPUT!GU242</f>
        <v>-5.7310675101589936E-2</v>
      </c>
      <c r="EI443" s="625">
        <f>INPUT!GV242</f>
        <v>87.193781217667919</v>
      </c>
      <c r="EJ443" s="555">
        <f>INPUT!GW242</f>
        <v>0</v>
      </c>
      <c r="EK443" s="625">
        <f>INPUT!GX242</f>
        <v>87.193781217667919</v>
      </c>
      <c r="EL443" s="555">
        <f>INPUT!GY242</f>
        <v>0</v>
      </c>
      <c r="EM443" s="555">
        <f>INPUT!GZ242</f>
        <v>0.32666186386580698</v>
      </c>
    </row>
    <row r="444" spans="1:144" ht="12.75" hidden="1" customHeight="1" outlineLevel="1" x14ac:dyDescent="0.2">
      <c r="A444" s="609" t="str">
        <f>INPUT!B244</f>
        <v>Interest Credited/Net investment income (%)</v>
      </c>
      <c r="B444" s="625">
        <f>INPUT!AY244</f>
        <v>33.108108108108105</v>
      </c>
      <c r="C444" s="555">
        <f>INPUT!AZ244</f>
        <v>-1.9740328563858043</v>
      </c>
      <c r="D444" s="625">
        <f>INPUT!BA244</f>
        <v>31.372549019607842</v>
      </c>
      <c r="E444" s="555">
        <f>INPUT!BB244</f>
        <v>-10.708898944193066</v>
      </c>
      <c r="F444" s="625">
        <f>INPUT!BC244</f>
        <v>33.121019108280251</v>
      </c>
      <c r="G444" s="555">
        <f>INPUT!BD244</f>
        <v>-2.624203821656053</v>
      </c>
      <c r="H444" s="625">
        <f>INPUT!BE244</f>
        <v>33.742331288343557</v>
      </c>
      <c r="I444" s="555">
        <f>INPUT!BF244</f>
        <v>3.3358895705521263</v>
      </c>
      <c r="J444" s="625">
        <f>INPUT!BG244</f>
        <v>35.975609756097562</v>
      </c>
      <c r="K444" s="555">
        <f>INPUT!BH244</f>
        <v>8.6610253857640771</v>
      </c>
      <c r="L444" s="625">
        <f>INPUT!BI244</f>
        <v>34.939759036144579</v>
      </c>
      <c r="M444" s="555">
        <f>INPUT!BJ244</f>
        <v>11.370481927710841</v>
      </c>
      <c r="N444" s="625">
        <f>INPUT!BK244</f>
        <v>35.294117647058826</v>
      </c>
      <c r="O444" s="555">
        <f>INPUT!BL244</f>
        <v>6.5610859728507052</v>
      </c>
      <c r="P444" s="625">
        <f>INPUT!BM244</f>
        <v>36.84210526315789</v>
      </c>
      <c r="Q444" s="555">
        <f>INPUT!BN244</f>
        <v>9.1866028708133882</v>
      </c>
      <c r="R444" s="625">
        <f>INPUT!BO244</f>
        <v>36.196319018404907</v>
      </c>
      <c r="S444" s="555">
        <f>INPUT!BP244</f>
        <v>0.61349693251533211</v>
      </c>
      <c r="T444" s="625">
        <f>INPUT!BQ244</f>
        <v>34.782608695652172</v>
      </c>
      <c r="U444" s="555">
        <f>INPUT!BR244</f>
        <v>-0.44977511244378832</v>
      </c>
      <c r="V444" s="625">
        <f>INPUT!BS244</f>
        <v>37.037037037037038</v>
      </c>
      <c r="W444" s="555">
        <f>INPUT!BT244</f>
        <v>4.9382716049382651</v>
      </c>
      <c r="X444" s="625">
        <f>INPUT!BU244</f>
        <v>35.403726708074537</v>
      </c>
      <c r="Y444" s="555">
        <f>INPUT!BV244</f>
        <v>-3.9041703637976752</v>
      </c>
      <c r="Z444" s="625">
        <f>INPUT!BW244</f>
        <v>36.538461538461533</v>
      </c>
      <c r="AA444" s="555">
        <f>INPUT!BX244</f>
        <v>0.94524119947847396</v>
      </c>
      <c r="AB444" s="625">
        <f>INPUT!BY244</f>
        <v>36</v>
      </c>
      <c r="AC444" s="555">
        <f>INPUT!BZ244</f>
        <v>3.5000000000000142</v>
      </c>
      <c r="AD444" s="625">
        <f>INPUT!CA244</f>
        <v>37.179487179487182</v>
      </c>
      <c r="AE444" s="555">
        <f>INPUT!CB244</f>
        <v>0.3846153846153868</v>
      </c>
      <c r="AF444" s="625">
        <f>INPUT!CC244</f>
        <v>37.267080745341616</v>
      </c>
      <c r="AG444" s="555">
        <f>INPUT!CD244</f>
        <v>5.2631578947368354</v>
      </c>
      <c r="AH444" s="625">
        <f>INPUT!CE244</f>
        <v>35.185185185185183</v>
      </c>
      <c r="AI444" s="555">
        <f>INPUT!CF244</f>
        <v>-3.7037037037036953</v>
      </c>
      <c r="AJ444" s="625">
        <f>INPUT!CG244</f>
        <v>32.53012048192771</v>
      </c>
      <c r="AK444" s="555">
        <f>INPUT!CH244</f>
        <v>-9.6385542168674618</v>
      </c>
      <c r="AL444" s="625">
        <f>INPUT!CI244</f>
        <v>33.727810650887577</v>
      </c>
      <c r="AM444" s="555">
        <f>INPUT!CJ244</f>
        <v>-9.2838196286472225</v>
      </c>
      <c r="AN444" s="625">
        <f>INPUT!CK244</f>
        <v>34.502923976608187</v>
      </c>
      <c r="AO444" s="555">
        <f>INPUT!CL244</f>
        <v>-7.4171539961013622</v>
      </c>
      <c r="AP444" s="625">
        <f>INPUT!CM244</f>
        <v>33.333333333333329</v>
      </c>
      <c r="AQ444" s="555">
        <f>INPUT!CN244</f>
        <v>-5.2631578947368496</v>
      </c>
      <c r="AR444" s="625">
        <f>INPUT!CO244</f>
        <v>32.369942196531795</v>
      </c>
      <c r="AS444" s="555">
        <f>INPUT!CP244</f>
        <v>-0.49239991436522246</v>
      </c>
      <c r="AT444" s="625">
        <f>INPUT!CQ244</f>
        <v>39.310344827586206</v>
      </c>
      <c r="AU444" s="555">
        <f>INPUT!CR244</f>
        <v>16.551724137931018</v>
      </c>
      <c r="AV444" s="625">
        <f>INPUT!CS244</f>
        <v>41.428571428571431</v>
      </c>
      <c r="AW444" s="555">
        <f>INPUT!CT244</f>
        <v>20.072639225181604</v>
      </c>
      <c r="AX444" s="625">
        <f>INPUT!CU244</f>
        <v>38.356164383561641</v>
      </c>
      <c r="AY444" s="555">
        <f>INPUT!CV244</f>
        <v>15.068493150684944</v>
      </c>
      <c r="AZ444" s="625">
        <f>INPUT!CW244</f>
        <v>39.726027397260275</v>
      </c>
      <c r="BA444" s="555">
        <f>INPUT!CX244</f>
        <v>22.725048923679054</v>
      </c>
      <c r="BB444" s="625">
        <f>INPUT!CY244</f>
        <v>37.837837837837839</v>
      </c>
      <c r="BC444" s="555">
        <f>INPUT!CZ244</f>
        <v>-3.7458511142721562</v>
      </c>
      <c r="BD444" s="625">
        <f>INPUT!DA244</f>
        <v>39.726027397260275</v>
      </c>
      <c r="BE444" s="555">
        <f>INPUT!DB244</f>
        <v>-4.1095890410959015</v>
      </c>
      <c r="BF444" s="625">
        <f>INPUT!DC244</f>
        <v>39.86013986013986</v>
      </c>
      <c r="BG444" s="555">
        <f>INPUT!DD244</f>
        <v>3.9210789210789301</v>
      </c>
      <c r="BH444" s="625">
        <f>INPUT!DE244</f>
        <v>37.333333333333336</v>
      </c>
      <c r="BI444" s="555">
        <f>INPUT!DF244</f>
        <v>-6.0229885057471222</v>
      </c>
      <c r="BJ444" s="625">
        <f>INPUT!DG244</f>
        <v>40.972222222222221</v>
      </c>
      <c r="BK444" s="555">
        <f>INPUT!DH244</f>
        <v>8.2837301587301653</v>
      </c>
      <c r="BL444" s="625">
        <f>INPUT!DI244</f>
        <v>40.54054054054054</v>
      </c>
      <c r="BM444" s="555">
        <f>INPUT!DJ244</f>
        <v>2.0503261882572303</v>
      </c>
      <c r="BN444" s="625">
        <f>INPUT!DK244</f>
        <v>38.364779874213838</v>
      </c>
      <c r="BO444" s="555">
        <f>INPUT!DL244</f>
        <v>-3.7515171576740585</v>
      </c>
      <c r="BP444" s="625">
        <f>INPUT!DM244</f>
        <v>41.379310344827587</v>
      </c>
      <c r="BQ444" s="555">
        <f>INPUT!DN244</f>
        <v>10.83743842364531</v>
      </c>
      <c r="BR444" s="625">
        <f>INPUT!DO244</f>
        <v>40</v>
      </c>
      <c r="BS444" s="555">
        <f>INPUT!DP244</f>
        <v>-2.3728813559321935</v>
      </c>
      <c r="BT444" s="625">
        <f>INPUT!DQ244</f>
        <v>42.207792207792203</v>
      </c>
      <c r="BU444" s="555">
        <f>INPUT!DR244</f>
        <v>4.1125541125540934</v>
      </c>
      <c r="BV444" s="625">
        <f>INPUT!DS244</f>
        <v>37.671232876712331</v>
      </c>
      <c r="BW444" s="555">
        <f>INPUT!DT244</f>
        <v>-1.8077700426678689</v>
      </c>
      <c r="BX444" s="625">
        <f>INPUT!DU244</f>
        <v>54.225352112676063</v>
      </c>
      <c r="BY444" s="555">
        <f>INPUT!DV244</f>
        <v>31.044600938967136</v>
      </c>
      <c r="BZ444" s="625">
        <f>INPUT!DW244</f>
        <v>40.127388535031848</v>
      </c>
      <c r="CA444" s="555">
        <f>INPUT!DX244</f>
        <v>0.31847133757962354</v>
      </c>
      <c r="CB444" s="625">
        <f>INPUT!DY244</f>
        <v>43.971631205673759</v>
      </c>
      <c r="CC444" s="555">
        <f>INPUT!DZ244</f>
        <v>4.1789416257501415</v>
      </c>
      <c r="CD444" s="625">
        <f>INPUT!EA244</f>
        <v>43.150684931506852</v>
      </c>
      <c r="CE444" s="555">
        <f>INPUT!EB244</f>
        <v>14.545454545454547</v>
      </c>
      <c r="CF444" s="625">
        <f>INPUT!EC244</f>
        <v>43.243243243243242</v>
      </c>
      <c r="CG444" s="555">
        <f>INPUT!ED244</f>
        <v>-20.252720252720266</v>
      </c>
      <c r="CH444" s="625">
        <f>INPUT!EE244</f>
        <v>42.307692307692307</v>
      </c>
      <c r="CI444" s="555">
        <f>INPUT!EF244</f>
        <v>5.4334554334554355</v>
      </c>
      <c r="CJ444" s="625">
        <f>INPUT!EG244</f>
        <v>44.303797468354425</v>
      </c>
      <c r="CK444" s="555">
        <f>INPUT!EH244</f>
        <v>0.75541037158022561</v>
      </c>
      <c r="CL444" s="625">
        <f>INPUT!EI244</f>
        <v>40.606060606060609</v>
      </c>
      <c r="CM444" s="555">
        <f>INPUT!EJ244</f>
        <v>-5.8970658970659002</v>
      </c>
      <c r="CN444" s="625">
        <f>INPUT!EK244</f>
        <v>43.790849673202615</v>
      </c>
      <c r="CO444" s="555">
        <f>INPUT!EL244</f>
        <v>1.2663398692810404</v>
      </c>
      <c r="CP444" s="625">
        <f>INPUT!EM244</f>
        <v>43.870967741935488</v>
      </c>
      <c r="CQ444" s="555">
        <f>INPUT!EN244</f>
        <v>3.6950146627566198</v>
      </c>
      <c r="CR444" s="625">
        <f>INPUT!EO244</f>
        <v>43.902439024390247</v>
      </c>
      <c r="CS444" s="555">
        <f>INPUT!EP244</f>
        <v>-0.9059233449477091</v>
      </c>
      <c r="CT444" s="625">
        <f>INPUT!EQ244</f>
        <v>43.8</v>
      </c>
      <c r="CU444" s="555">
        <f>INPUT!ER244</f>
        <v>7.8656716417910388</v>
      </c>
      <c r="CV444" s="625">
        <f>INPUT!ES244</f>
        <v>43.8</v>
      </c>
      <c r="CW444" s="555">
        <f>INPUT!ET244</f>
        <v>2.0895522388045151E-2</v>
      </c>
      <c r="CX444" s="625">
        <f>INPUT!EU244</f>
        <v>43.8</v>
      </c>
      <c r="CY444" s="555">
        <f>INPUT!EV244</f>
        <v>-0.16176470588237635</v>
      </c>
      <c r="CZ444" s="625">
        <f>INPUT!EW244</f>
        <v>43.8</v>
      </c>
      <c r="DA444" s="555">
        <f>INPUT!EX244</f>
        <v>-0.23333333333334849</v>
      </c>
      <c r="DB444" s="615"/>
      <c r="DC444" s="625">
        <f>INPUT!FP244</f>
        <v>33.895446880269816</v>
      </c>
      <c r="DD444" s="577">
        <f>INPUT!FQ244</f>
        <v>-9.4507347627077678</v>
      </c>
      <c r="DE444" s="625">
        <f>INPUT!FR244</f>
        <v>32.850241545893724</v>
      </c>
      <c r="DF444" s="555">
        <f>INPUT!FS244</f>
        <v>-3.0836157377364373</v>
      </c>
      <c r="DG444" s="625">
        <f>INPUT!FT244</f>
        <v>35.767511177347245</v>
      </c>
      <c r="DH444" s="555">
        <f>INPUT!FU244</f>
        <v>8.8805119663364565</v>
      </c>
      <c r="DI444" s="625">
        <f>INPUT!FV244</f>
        <v>35.857805255023187</v>
      </c>
      <c r="DJ444" s="555">
        <f>INPUT!FW244</f>
        <v>0.25244719216898659</v>
      </c>
      <c r="DK444" s="625">
        <f>INPUT!FX244</f>
        <v>36.757624398073837</v>
      </c>
      <c r="DL444" s="555">
        <f>INPUT!FY244</f>
        <v>2.5094094204903854</v>
      </c>
      <c r="DM444" s="625">
        <f>INPUT!FZ244</f>
        <v>33.982035928143709</v>
      </c>
      <c r="DN444" s="555">
        <f>INPUT!GA244</f>
        <v>-7.5510550950500885</v>
      </c>
      <c r="DO444" s="625">
        <f>INPUT!GB244</f>
        <v>36.248012718600954</v>
      </c>
      <c r="DP444" s="555">
        <f>INPUT!GC244</f>
        <v>6.668160775442459</v>
      </c>
      <c r="DQ444" s="625">
        <f>INPUT!GD244</f>
        <v>38.907849829351534</v>
      </c>
      <c r="DR444" s="555">
        <f>INPUT!GE244</f>
        <v>7.3378839590443619</v>
      </c>
      <c r="DS444" s="625">
        <f>INPUT!GF244</f>
        <v>39.658119658119659</v>
      </c>
      <c r="DT444" s="555">
        <f>INPUT!GG244</f>
        <v>1.9283250862198287</v>
      </c>
      <c r="DU444" s="625">
        <f>INPUT!GH244</f>
        <v>40.456769983686783</v>
      </c>
      <c r="DV444" s="555">
        <f>INPUT!GI244</f>
        <v>2.0138381054171077</v>
      </c>
      <c r="DW444" s="625">
        <f>INPUT!GJ244</f>
        <v>43.856655290102388</v>
      </c>
      <c r="DX444" s="555">
        <f>INPUT!GK244</f>
        <v>8.4037487614224489</v>
      </c>
      <c r="DY444" s="625">
        <f>INPUT!GL244</f>
        <v>43.256578947368425</v>
      </c>
      <c r="DZ444" s="555">
        <f>INPUT!GM244</f>
        <v>-1.3682674585295871</v>
      </c>
      <c r="EA444" s="625">
        <f>INPUT!GN244</f>
        <v>43.014128728414441</v>
      </c>
      <c r="EB444" s="555">
        <f>INPUT!GO244</f>
        <v>-0.56049328184039382</v>
      </c>
      <c r="EC444" s="625">
        <f>INPUT!GP244</f>
        <v>43.79999999999999</v>
      </c>
      <c r="ED444" s="555">
        <f>INPUT!GQ244</f>
        <v>1.8270072992700506</v>
      </c>
      <c r="EE444" s="625">
        <f>INPUT!GR244</f>
        <v>43.79999999999999</v>
      </c>
      <c r="EF444" s="555">
        <f>INPUT!GS244</f>
        <v>0</v>
      </c>
      <c r="EG444" s="625">
        <f>INPUT!GT244</f>
        <v>43.79999999999999</v>
      </c>
      <c r="EH444" s="555">
        <f>INPUT!GU244</f>
        <v>0</v>
      </c>
      <c r="EI444" s="625">
        <f>INPUT!GV244</f>
        <v>43.79999999999999</v>
      </c>
      <c r="EJ444" s="555">
        <f>INPUT!GW244</f>
        <v>0</v>
      </c>
      <c r="EK444" s="625">
        <f>INPUT!GX244</f>
        <v>43.79999999999999</v>
      </c>
      <c r="EL444" s="555">
        <f>INPUT!GY244</f>
        <v>0</v>
      </c>
      <c r="EM444" s="555">
        <f>INPUT!GZ244</f>
        <v>0.36275999872366071</v>
      </c>
    </row>
    <row r="445" spans="1:144" ht="12.75" hidden="1" customHeight="1" outlineLevel="1" x14ac:dyDescent="0.2">
      <c r="A445" s="609" t="str">
        <f>INPUT!B245</f>
        <v>Operating Expenses/Total Revenues (%)</v>
      </c>
      <c r="B445" s="625">
        <f>INPUT!AY245</f>
        <v>18.665464382326423</v>
      </c>
      <c r="C445" s="555">
        <f>INPUT!AZ245</f>
        <v>42.290351668169535</v>
      </c>
      <c r="D445" s="625">
        <f>INPUT!BA245</f>
        <v>14.14503133393017</v>
      </c>
      <c r="E445" s="555">
        <f>INPUT!BB245</f>
        <v>-15.289642858949264</v>
      </c>
      <c r="F445" s="625">
        <f>INPUT!BC245</f>
        <v>14.1991341991342</v>
      </c>
      <c r="G445" s="555">
        <f>INPUT!BD245</f>
        <v>-1.0825416194543749</v>
      </c>
      <c r="H445" s="625">
        <f>INPUT!BE245</f>
        <v>17.291311754684838</v>
      </c>
      <c r="I445" s="555">
        <f>INPUT!BF245</f>
        <v>28.765087534887101</v>
      </c>
      <c r="J445" s="625">
        <f>INPUT!BG245</f>
        <v>14.107883817427386</v>
      </c>
      <c r="K445" s="555">
        <f>INPUT!BH245</f>
        <v>-24.417182833203057</v>
      </c>
      <c r="L445" s="625">
        <f>INPUT!BI245</f>
        <v>13.625103220478943</v>
      </c>
      <c r="M445" s="555">
        <f>INPUT!BJ245</f>
        <v>-3.6756943210444319</v>
      </c>
      <c r="N445" s="625">
        <f>INPUT!BK245</f>
        <v>14.879467996674981</v>
      </c>
      <c r="O445" s="555">
        <f>INPUT!BL245</f>
        <v>4.7913752204853779</v>
      </c>
      <c r="P445" s="625">
        <f>INPUT!BM245</f>
        <v>13.983050847457626</v>
      </c>
      <c r="Q445" s="555">
        <f>INPUT!BN245</f>
        <v>-19.132503965934717</v>
      </c>
      <c r="R445" s="625">
        <f>INPUT!BO245</f>
        <v>13.365155131264917</v>
      </c>
      <c r="S445" s="555">
        <f>INPUT!BP245</f>
        <v>-5.2646356872104434</v>
      </c>
      <c r="T445" s="625">
        <f>INPUT!BQ245</f>
        <v>13.711001642036125</v>
      </c>
      <c r="U445" s="555">
        <f>INPUT!BR245</f>
        <v>0.63044235458029618</v>
      </c>
      <c r="V445" s="625">
        <f>INPUT!BS245</f>
        <v>13.961038961038961</v>
      </c>
      <c r="W445" s="555">
        <f>INPUT!BT245</f>
        <v>-6.1724588260901214</v>
      </c>
      <c r="X445" s="625">
        <f>INPUT!BU245</f>
        <v>13.806863527533919</v>
      </c>
      <c r="Y445" s="555">
        <f>INPUT!BV245</f>
        <v>-1.2600062879392482</v>
      </c>
      <c r="Z445" s="625">
        <f>INPUT!BW245</f>
        <v>13.578394598649663</v>
      </c>
      <c r="AA445" s="555">
        <f>INPUT!BX245</f>
        <v>1.5954881577537208</v>
      </c>
      <c r="AB445" s="625">
        <f>INPUT!BY245</f>
        <v>13.43054489639294</v>
      </c>
      <c r="AC445" s="555">
        <f>INPUT!BZ245</f>
        <v>-2.04548692331376</v>
      </c>
      <c r="AD445" s="625">
        <f>INPUT!CA245</f>
        <v>14.159292035398231</v>
      </c>
      <c r="AE445" s="555">
        <f>INPUT!CB245</f>
        <v>1.4200452768059222</v>
      </c>
      <c r="AF445" s="625">
        <f>INPUT!CC245</f>
        <v>14.30781129156999</v>
      </c>
      <c r="AG445" s="555">
        <f>INPUT!CD245</f>
        <v>3.6282517244924861</v>
      </c>
      <c r="AH445" s="625">
        <f>INPUT!CE245</f>
        <v>14.721586575133486</v>
      </c>
      <c r="AI445" s="555">
        <f>INPUT!CF245</f>
        <v>8.4191983682482743</v>
      </c>
      <c r="AJ445" s="625">
        <f>INPUT!CG245</f>
        <v>15.045592705167174</v>
      </c>
      <c r="AK445" s="555">
        <f>INPUT!CH245</f>
        <v>12.025184541901865</v>
      </c>
      <c r="AL445" s="625">
        <f>INPUT!CI245</f>
        <v>13.096862210095498</v>
      </c>
      <c r="AM445" s="555">
        <f>INPUT!CJ245</f>
        <v>-7.5034106412005457</v>
      </c>
      <c r="AN445" s="625">
        <f>INPUT!CK245</f>
        <v>14.358974358974358</v>
      </c>
      <c r="AO445" s="555">
        <f>INPUT!CL245</f>
        <v>0.35758835758836938</v>
      </c>
      <c r="AP445" s="625">
        <f>INPUT!CM245</f>
        <v>13.479415670650729</v>
      </c>
      <c r="AQ445" s="555">
        <f>INPUT!CN245</f>
        <v>-8.4377515843362403</v>
      </c>
      <c r="AR445" s="625">
        <f>INPUT!CO245</f>
        <v>13.79542395693136</v>
      </c>
      <c r="AS445" s="555">
        <f>INPUT!CP245</f>
        <v>-8.3092023872642926</v>
      </c>
      <c r="AT445" s="625">
        <f>INPUT!CQ245</f>
        <v>12.923289564616447</v>
      </c>
      <c r="AU445" s="555">
        <f>INPUT!CR245</f>
        <v>-1.3252994701681757</v>
      </c>
      <c r="AV445" s="625">
        <f>INPUT!CS245</f>
        <v>13.800578034682081</v>
      </c>
      <c r="AW445" s="555">
        <f>INPUT!CT245</f>
        <v>-3.8888315441783448</v>
      </c>
      <c r="AX445" s="625">
        <f>INPUT!CU245</f>
        <v>14.018691588785046</v>
      </c>
      <c r="AY445" s="555">
        <f>INPUT!CV245</f>
        <v>4.000736614336347</v>
      </c>
      <c r="AZ445" s="625">
        <f>INPUT!CW245</f>
        <v>14.080459770114942</v>
      </c>
      <c r="BA445" s="555">
        <f>INPUT!CX245</f>
        <v>2.0661620409307488</v>
      </c>
      <c r="BB445" s="625">
        <f>INPUT!CY245</f>
        <v>13.450704225352112</v>
      </c>
      <c r="BC445" s="555">
        <f>INPUT!CZ245</f>
        <v>4.0811177223770443</v>
      </c>
      <c r="BD445" s="625">
        <f>INPUT!DA245</f>
        <v>20.743919885550788</v>
      </c>
      <c r="BE445" s="555">
        <f>INPUT!DB245</f>
        <v>50.311963987446546</v>
      </c>
      <c r="BF445" s="625">
        <f>INPUT!DC245</f>
        <v>13.908701854493581</v>
      </c>
      <c r="BG445" s="555">
        <f>INPUT!DD245</f>
        <v>-0.78459343794578729</v>
      </c>
      <c r="BH445" s="625">
        <f>INPUT!DE245</f>
        <v>14.367405289492494</v>
      </c>
      <c r="BI445" s="555">
        <f>INPUT!DF245</f>
        <v>2.0378987906813961</v>
      </c>
      <c r="BJ445" s="625">
        <f>INPUT!DG245</f>
        <v>15.499254843517138</v>
      </c>
      <c r="BK445" s="555">
        <f>INPUT!DH245</f>
        <v>15.230062187404897</v>
      </c>
      <c r="BL445" s="625">
        <f>INPUT!DI245</f>
        <v>16</v>
      </c>
      <c r="BM445" s="555">
        <f>INPUT!DJ245</f>
        <v>-22.868965517241378</v>
      </c>
      <c r="BN445" s="625">
        <f>INPUT!DK245</f>
        <v>15.932452276064609</v>
      </c>
      <c r="BO445" s="555">
        <f>INPUT!DL245</f>
        <v>14.550246620731187</v>
      </c>
      <c r="BP445" s="625">
        <f>INPUT!DM245</f>
        <v>15.052160953800298</v>
      </c>
      <c r="BQ445" s="555">
        <f>INPUT!DN245</f>
        <v>4.7660356933662626</v>
      </c>
      <c r="BR445" s="625">
        <f>INPUT!DO245</f>
        <v>15.6412157153447</v>
      </c>
      <c r="BS445" s="555">
        <f>INPUT!DP245</f>
        <v>0.91592062496437165</v>
      </c>
      <c r="BT445" s="625">
        <f>INPUT!DQ245</f>
        <v>17.331288343558281</v>
      </c>
      <c r="BU445" s="555">
        <f>INPUT!DR245</f>
        <v>8.3205521472392547</v>
      </c>
      <c r="BV445" s="625">
        <f>INPUT!DS245</f>
        <v>16.05324980422866</v>
      </c>
      <c r="BW445" s="555">
        <f>INPUT!DT245</f>
        <v>0.75818540718634608</v>
      </c>
      <c r="BX445" s="625">
        <f>INPUT!DU245</f>
        <v>16.498838109992253</v>
      </c>
      <c r="BY445" s="555">
        <f>INPUT!DV245</f>
        <v>9.6110927901465573</v>
      </c>
      <c r="BZ445" s="625">
        <f>INPUT!DW245</f>
        <v>15.610510046367851</v>
      </c>
      <c r="CA445" s="555">
        <f>INPUT!DX245</f>
        <v>-0.19631254715530133</v>
      </c>
      <c r="CB445" s="625">
        <f>INPUT!DY245</f>
        <v>17.017954722872755</v>
      </c>
      <c r="CC445" s="555">
        <f>INPUT!DZ245</f>
        <v>-1.8079072627164976</v>
      </c>
      <c r="CD445" s="625">
        <f>INPUT!EA245</f>
        <v>15.833333333333332</v>
      </c>
      <c r="CE445" s="555">
        <f>INPUT!EB245</f>
        <v>-1.3699186991869965</v>
      </c>
      <c r="CF445" s="625">
        <f>INPUT!EC245</f>
        <v>15.175953079178885</v>
      </c>
      <c r="CG445" s="555">
        <f>INPUT!ED245</f>
        <v>-8.0180496468547346</v>
      </c>
      <c r="CH445" s="625">
        <f>INPUT!EE245</f>
        <v>15.003750937734434</v>
      </c>
      <c r="CI445" s="555">
        <f>INPUT!EF245</f>
        <v>-3.8868628048101073</v>
      </c>
      <c r="CJ445" s="625">
        <f>INPUT!EG245</f>
        <v>15.158371040723981</v>
      </c>
      <c r="CK445" s="555">
        <f>INPUT!EH245</f>
        <v>-10.927186682718244</v>
      </c>
      <c r="CL445" s="625">
        <f>INPUT!EI245</f>
        <v>15.54591467823572</v>
      </c>
      <c r="CM445" s="555">
        <f>INPUT!EJ245</f>
        <v>-1.8152757164059778</v>
      </c>
      <c r="CN445" s="625">
        <f>INPUT!EK245</f>
        <v>14.904552129221733</v>
      </c>
      <c r="CO445" s="555">
        <f>INPUT!EL245</f>
        <v>-1.7883618151766001</v>
      </c>
      <c r="CP445" s="625">
        <f>INPUT!EM245</f>
        <v>15.407190022010273</v>
      </c>
      <c r="CQ445" s="555">
        <f>INPUT!EN245</f>
        <v>2.6889214966984554</v>
      </c>
      <c r="CR445" s="625">
        <f>INPUT!EO245</f>
        <v>16.434336023477623</v>
      </c>
      <c r="CS445" s="555">
        <f>INPUT!EP245</f>
        <v>8.4175600354792408</v>
      </c>
      <c r="CT445" s="625">
        <f>INPUT!EQ245</f>
        <v>15.3</v>
      </c>
      <c r="CU445" s="555">
        <f>INPUT!ER245</f>
        <v>-1.5818604651162786</v>
      </c>
      <c r="CV445" s="625">
        <f>INPUT!ES245</f>
        <v>15.3</v>
      </c>
      <c r="CW445" s="555">
        <f>INPUT!ET245</f>
        <v>2.6532019704433623</v>
      </c>
      <c r="CX445" s="625">
        <f>INPUT!EU245</f>
        <v>15.3</v>
      </c>
      <c r="CY445" s="555">
        <f>INPUT!EV245</f>
        <v>-0.69571428571428839</v>
      </c>
      <c r="CZ445" s="625">
        <f>INPUT!EW245</f>
        <v>16.399999999999999</v>
      </c>
      <c r="DA445" s="555">
        <f>INPUT!EX245</f>
        <v>-0.20892857142857224</v>
      </c>
      <c r="DB445" s="615"/>
      <c r="DC445" s="625">
        <f>INPUT!FP245</f>
        <v>14.404761904761903</v>
      </c>
      <c r="DD445" s="577">
        <f>INPUT!FQ245</f>
        <v>-5.4581225407532372</v>
      </c>
      <c r="DE445" s="625">
        <f>INPUT!FR245</f>
        <v>16.070252469813394</v>
      </c>
      <c r="DF445" s="555">
        <f>INPUT!FS245</f>
        <v>11.562083261514488</v>
      </c>
      <c r="DG445" s="625">
        <f>INPUT!FT245</f>
        <v>14.148780996040841</v>
      </c>
      <c r="DH445" s="555">
        <f>INPUT!FU245</f>
        <v>-11.956697490483563</v>
      </c>
      <c r="DI445" s="625">
        <f>INPUT!FV245</f>
        <v>13.709677419354838</v>
      </c>
      <c r="DJ445" s="555">
        <f>INPUT!FW245</f>
        <v>-3.1034728490664634</v>
      </c>
      <c r="DK445" s="625">
        <f>INPUT!FX245</f>
        <v>13.869441816461684</v>
      </c>
      <c r="DL445" s="555">
        <f>INPUT!FY245</f>
        <v>1.1653403083087426</v>
      </c>
      <c r="DM445" s="625">
        <f>INPUT!FZ245</f>
        <v>14.272627336020522</v>
      </c>
      <c r="DN445" s="555">
        <f>INPUT!GA245</f>
        <v>2.9070060994112623</v>
      </c>
      <c r="DO445" s="625">
        <f>INPUT!GB245</f>
        <v>13.49819680577022</v>
      </c>
      <c r="DP445" s="555">
        <f>INPUT!GC245</f>
        <v>-5.4259843826779672</v>
      </c>
      <c r="DQ445" s="625">
        <f>INPUT!GD245</f>
        <v>15.568648455632921</v>
      </c>
      <c r="DR445" s="555">
        <f>INPUT!GE245</f>
        <v>15.338727680853069</v>
      </c>
      <c r="DS445" s="625">
        <f>INPUT!GF245</f>
        <v>14.932946719826024</v>
      </c>
      <c r="DT445" s="555">
        <f>INPUT!GG245</f>
        <v>-4.0832172273560019</v>
      </c>
      <c r="DU445" s="625">
        <f>INPUT!GH245</f>
        <v>15.979092775807354</v>
      </c>
      <c r="DV445" s="555">
        <f>INPUT!GI245</f>
        <v>7.0056237098361578</v>
      </c>
      <c r="DW445" s="625">
        <f>INPUT!GJ245</f>
        <v>16.293991833560177</v>
      </c>
      <c r="DX445" s="555">
        <f>INPUT!GK245</f>
        <v>1.970694220072275</v>
      </c>
      <c r="DY445" s="625">
        <f>INPUT!GL245</f>
        <v>15.291034999064196</v>
      </c>
      <c r="DZ445" s="555">
        <f>INPUT!GM245</f>
        <v>-6.1553782813995639</v>
      </c>
      <c r="EA445" s="625">
        <f>INPUT!GN245</f>
        <v>15.573021385487115</v>
      </c>
      <c r="EB445" s="555">
        <f>INPUT!GO245</f>
        <v>1.8441288404622327</v>
      </c>
      <c r="EC445" s="625">
        <f>INPUT!GP245</f>
        <v>15.579118023072102</v>
      </c>
      <c r="ED445" s="555">
        <f>INPUT!GQ245</f>
        <v>3.9148713881999697E-2</v>
      </c>
      <c r="EE445" s="625">
        <f>INPUT!GR245</f>
        <v>15.579118023072102</v>
      </c>
      <c r="EF445" s="555">
        <f>INPUT!GS245</f>
        <v>0</v>
      </c>
      <c r="EG445" s="625">
        <f>INPUT!GT245</f>
        <v>15.579118023072102</v>
      </c>
      <c r="EH445" s="555">
        <f>INPUT!GU245</f>
        <v>0</v>
      </c>
      <c r="EI445" s="625">
        <f>INPUT!GV245</f>
        <v>15.579118023072102</v>
      </c>
      <c r="EJ445" s="555">
        <f>INPUT!GW245</f>
        <v>0</v>
      </c>
      <c r="EK445" s="625">
        <f>INPUT!GX245</f>
        <v>15.579118023072102</v>
      </c>
      <c r="EL445" s="555">
        <f>INPUT!GY245</f>
        <v>0</v>
      </c>
      <c r="EM445" s="555">
        <f>INPUT!GZ245</f>
        <v>7.8285169668790289E-3</v>
      </c>
    </row>
    <row r="446" spans="1:144" ht="12.75" hidden="1" customHeight="1" outlineLevel="1" x14ac:dyDescent="0.2">
      <c r="A446" s="609" t="str">
        <f>INPUT!B246</f>
        <v>Net DAC/Operating Expenses (%)</v>
      </c>
      <c r="B446" s="625">
        <f>INPUT!AY246</f>
        <v>27.536231884057973</v>
      </c>
      <c r="C446" s="555" t="str">
        <f>INPUT!AZ246</f>
        <v>NM</v>
      </c>
      <c r="D446" s="625">
        <f>INPUT!BA246</f>
        <v>7.59493670886076</v>
      </c>
      <c r="E446" s="555" t="str">
        <f>INPUT!BB246</f>
        <v>NM</v>
      </c>
      <c r="F446" s="625">
        <f>INPUT!BC246</f>
        <v>7.3170731707317067</v>
      </c>
      <c r="G446" s="555">
        <f>INPUT!BD246</f>
        <v>-22.125435540069688</v>
      </c>
      <c r="H446" s="625">
        <f>INPUT!BE246</f>
        <v>16.256157635467979</v>
      </c>
      <c r="I446" s="555" t="str">
        <f>INPUT!BF246</f>
        <v>NM</v>
      </c>
      <c r="J446" s="625">
        <f>INPUT!BG246</f>
        <v>7.0588235294117645</v>
      </c>
      <c r="K446" s="555" t="str">
        <f>INPUT!BH246</f>
        <v>NM</v>
      </c>
      <c r="L446" s="625">
        <f>INPUT!BI246</f>
        <v>1.8181818181818181</v>
      </c>
      <c r="M446" s="555" t="str">
        <f>INPUT!BJ246</f>
        <v>NM</v>
      </c>
      <c r="N446" s="625">
        <f>INPUT!BK246</f>
        <v>7.8212290502793298</v>
      </c>
      <c r="O446" s="555">
        <f>INPUT!BL246</f>
        <v>6.8901303538175114</v>
      </c>
      <c r="P446" s="625">
        <f>INPUT!BM246</f>
        <v>4.8484848484848486</v>
      </c>
      <c r="Q446" s="555" t="str">
        <f>INPUT!BN246</f>
        <v>NM</v>
      </c>
      <c r="R446" s="625">
        <f>INPUT!BO246</f>
        <v>2.9761904761904758</v>
      </c>
      <c r="S446" s="555" t="str">
        <f>INPUT!BP246</f>
        <v>NM</v>
      </c>
      <c r="T446" s="625">
        <f>INPUT!BQ246</f>
        <v>2.9940119760479043</v>
      </c>
      <c r="U446" s="555">
        <f>INPUT!BR246</f>
        <v>64.670658682634723</v>
      </c>
      <c r="V446" s="625">
        <f>INPUT!BS246</f>
        <v>4.0697674418604652</v>
      </c>
      <c r="W446" s="555">
        <f>INPUT!BT246</f>
        <v>-47.965116279069761</v>
      </c>
      <c r="X446" s="625">
        <f>INPUT!BU246</f>
        <v>5.202312138728324</v>
      </c>
      <c r="Y446" s="555">
        <f>INPUT!BV246</f>
        <v>7.2976878612716689</v>
      </c>
      <c r="Z446" s="625">
        <f>INPUT!BW246</f>
        <v>1.1049723756906076</v>
      </c>
      <c r="AA446" s="555" t="str">
        <f>INPUT!BX246</f>
        <v>NM</v>
      </c>
      <c r="AB446" s="625">
        <f>INPUT!BY246</f>
        <v>1.7142857142857144</v>
      </c>
      <c r="AC446" s="555">
        <f>INPUT!BZ246</f>
        <v>-42.74285714285714</v>
      </c>
      <c r="AD446" s="625">
        <f>INPUT!CA246</f>
        <v>7.8125</v>
      </c>
      <c r="AE446" s="555">
        <f>INPUT!CB246</f>
        <v>91.964285714285694</v>
      </c>
      <c r="AF446" s="625">
        <f>INPUT!CC246</f>
        <v>2.1621621621621623</v>
      </c>
      <c r="AG446" s="555" t="str">
        <f>INPUT!CD246</f>
        <v>NM</v>
      </c>
      <c r="AH446" s="625">
        <f>INPUT!CE246</f>
        <v>2.5906735751295336</v>
      </c>
      <c r="AI446" s="555" t="str">
        <f>INPUT!CF246</f>
        <v>NM</v>
      </c>
      <c r="AJ446" s="625">
        <f>INPUT!CG246</f>
        <v>3.0303030303030303</v>
      </c>
      <c r="AK446" s="555">
        <f>INPUT!CH246</f>
        <v>76.767676767676761</v>
      </c>
      <c r="AL446" s="625">
        <f>INPUT!CI246</f>
        <v>3.125</v>
      </c>
      <c r="AM446" s="555" t="str">
        <f>INPUT!CJ246</f>
        <v>NM</v>
      </c>
      <c r="AN446" s="625">
        <f>INPUT!CK246</f>
        <v>0.51020408163265307</v>
      </c>
      <c r="AO446" s="555" t="str">
        <f>INPUT!CL246</f>
        <v>NM</v>
      </c>
      <c r="AP446" s="625">
        <f>INPUT!CM246</f>
        <v>2.9556650246305418</v>
      </c>
      <c r="AQ446" s="555">
        <f>INPUT!CN246</f>
        <v>14.088669950738918</v>
      </c>
      <c r="AR446" s="625">
        <f>INPUT!CO246</f>
        <v>4.3902439024390238</v>
      </c>
      <c r="AS446" s="555">
        <f>INPUT!CP246</f>
        <v>44.878048780487774</v>
      </c>
      <c r="AT446" s="625">
        <f>INPUT!CQ246</f>
        <v>-1.0695187165775399</v>
      </c>
      <c r="AU446" s="555" t="str">
        <f>INPUT!CR246</f>
        <v>NM</v>
      </c>
      <c r="AV446" s="625">
        <f>INPUT!CS246</f>
        <v>-1.0471204188481675</v>
      </c>
      <c r="AW446" s="555" t="str">
        <f>INPUT!CT246</f>
        <v>NM</v>
      </c>
      <c r="AX446" s="625">
        <f>INPUT!CU246</f>
        <v>-0.51282051282051277</v>
      </c>
      <c r="AY446" s="555" t="str">
        <f>INPUT!CV246</f>
        <v>NM</v>
      </c>
      <c r="AZ446" s="625">
        <f>INPUT!CW246</f>
        <v>-0.51020408163265307</v>
      </c>
      <c r="BA446" s="555" t="str">
        <f>INPUT!CX246</f>
        <v>NM</v>
      </c>
      <c r="BB446" s="625">
        <f>INPUT!CY246</f>
        <v>-0.52356020942408377</v>
      </c>
      <c r="BC446" s="555" t="str">
        <f>INPUT!CZ246</f>
        <v>NM</v>
      </c>
      <c r="BD446" s="625">
        <f>INPUT!DA246</f>
        <v>18.275862068965516</v>
      </c>
      <c r="BE446" s="555" t="str">
        <f>INPUT!DB246</f>
        <v>NM</v>
      </c>
      <c r="BF446" s="625">
        <f>INPUT!DC246</f>
        <v>-1.0256410256410255</v>
      </c>
      <c r="BG446" s="555">
        <f>INPUT!DD246</f>
        <v>100</v>
      </c>
      <c r="BH446" s="625">
        <f>INPUT!DE246</f>
        <v>-2.4875621890547266</v>
      </c>
      <c r="BI446" s="555" t="str">
        <f>INPUT!DF246</f>
        <v>NM</v>
      </c>
      <c r="BJ446" s="625">
        <f>INPUT!DG246</f>
        <v>0.96153846153846156</v>
      </c>
      <c r="BK446" s="555" t="str">
        <f>INPUT!DH246</f>
        <v>NM</v>
      </c>
      <c r="BL446" s="625">
        <f>INPUT!DI246</f>
        <v>2.7272727272727271</v>
      </c>
      <c r="BM446" s="555" t="str">
        <f>INPUT!DJ246</f>
        <v>NM</v>
      </c>
      <c r="BN446" s="625">
        <f>INPUT!DK246</f>
        <v>-1.3824884792626728</v>
      </c>
      <c r="BO446" s="555">
        <f>INPUT!DL246</f>
        <v>34.792626728110605</v>
      </c>
      <c r="BP446" s="625">
        <f>INPUT!DM246</f>
        <v>-0.99009900990099009</v>
      </c>
      <c r="BQ446" s="555" t="str">
        <f>INPUT!DN246</f>
        <v>NM</v>
      </c>
      <c r="BR446" s="625">
        <f>INPUT!DO246</f>
        <v>-0.94786729857819907</v>
      </c>
      <c r="BS446" s="555" t="str">
        <f>INPUT!DP246</f>
        <v>NM</v>
      </c>
      <c r="BT446" s="625">
        <f>INPUT!DQ246</f>
        <v>0.44247787610619471</v>
      </c>
      <c r="BU446" s="555" t="str">
        <f>INPUT!DR246</f>
        <v>NM</v>
      </c>
      <c r="BV446" s="625">
        <f>INPUT!DS246</f>
        <v>-0.97560975609756095</v>
      </c>
      <c r="BW446" s="555">
        <f>INPUT!DT246</f>
        <v>-29.430894308943095</v>
      </c>
      <c r="BX446" s="625">
        <f>INPUT!DU246</f>
        <v>3.755868544600939</v>
      </c>
      <c r="BY446" s="555" t="str">
        <f>INPUT!DV246</f>
        <v>NM</v>
      </c>
      <c r="BZ446" s="625">
        <f>INPUT!DW246</f>
        <v>-0.49504950495049505</v>
      </c>
      <c r="CA446" s="555">
        <f>INPUT!DX246</f>
        <v>-47.772277227722768</v>
      </c>
      <c r="CB446" s="625">
        <f>INPUT!DY246</f>
        <v>-0.45871559633027525</v>
      </c>
      <c r="CC446" s="555" t="str">
        <f>INPUT!DZ246</f>
        <v>NM</v>
      </c>
      <c r="CD446" s="625">
        <f>INPUT!EA246</f>
        <v>-0.4784688995215311</v>
      </c>
      <c r="CE446" s="555" t="str">
        <f>INPUT!EB246</f>
        <v>NM</v>
      </c>
      <c r="CF446" s="625">
        <f>INPUT!EC246</f>
        <v>-0.96618357487922701</v>
      </c>
      <c r="CG446" s="555" t="str">
        <f>INPUT!ED246</f>
        <v>NM</v>
      </c>
      <c r="CH446" s="625">
        <f>INPUT!EE246</f>
        <v>-0.5</v>
      </c>
      <c r="CI446" s="555">
        <f>INPUT!EF246</f>
        <v>1</v>
      </c>
      <c r="CJ446" s="625">
        <f>INPUT!EG246</f>
        <v>-0.99502487562189057</v>
      </c>
      <c r="CK446" s="555" t="str">
        <f>INPUT!EH246</f>
        <v>NM</v>
      </c>
      <c r="CL446" s="625">
        <f>INPUT!EI246</f>
        <v>-0.46511627906976744</v>
      </c>
      <c r="CM446" s="555">
        <f>INPUT!EJ246</f>
        <v>-2.7906976744186096</v>
      </c>
      <c r="CN446" s="625">
        <f>INPUT!EK246</f>
        <v>-0.98522167487684731</v>
      </c>
      <c r="CO446" s="555">
        <f>INPUT!EL246</f>
        <v>1.970443349753694</v>
      </c>
      <c r="CP446" s="625">
        <f>INPUT!EM246</f>
        <v>-4.7619047619047619</v>
      </c>
      <c r="CQ446" s="555" t="str">
        <f>INPUT!EN246</f>
        <v>NM</v>
      </c>
      <c r="CR446" s="625">
        <f>INPUT!EO246</f>
        <v>-0.4464285714285714</v>
      </c>
      <c r="CS446" s="555" t="str">
        <f>INPUT!EP246</f>
        <v>NM</v>
      </c>
      <c r="CT446" s="625">
        <f>INPUT!EQ246</f>
        <v>-1.5</v>
      </c>
      <c r="CU446" s="555" t="str">
        <f>INPUT!ER246</f>
        <v>NM</v>
      </c>
      <c r="CV446" s="625">
        <f>INPUT!ES246</f>
        <v>-1.5</v>
      </c>
      <c r="CW446" s="555">
        <f>INPUT!ET246</f>
        <v>52.25</v>
      </c>
      <c r="CX446" s="625">
        <f>INPUT!EU246</f>
        <v>-1.5</v>
      </c>
      <c r="CY446" s="555" t="str">
        <f>INPUT!EV246</f>
        <v>NM</v>
      </c>
      <c r="CZ446" s="625">
        <f>INPUT!EW246</f>
        <v>-1.5</v>
      </c>
      <c r="DA446" s="555" t="str">
        <f>INPUT!EX246</f>
        <v>NM</v>
      </c>
      <c r="DB446" s="615"/>
      <c r="DC446" s="625">
        <f>INPUT!FP246</f>
        <v>9.7520661157024797</v>
      </c>
      <c r="DD446" s="577" t="str">
        <f>INPUT!FQ246</f>
        <v>NM</v>
      </c>
      <c r="DE446" s="625">
        <f>INPUT!FR246</f>
        <v>15.573770491803279</v>
      </c>
      <c r="DF446" s="555">
        <f>INPUT!FS246</f>
        <v>59.697138093914958</v>
      </c>
      <c r="DG446" s="625">
        <f>INPUT!FT246</f>
        <v>5.4491899852724597</v>
      </c>
      <c r="DH446" s="555" t="str">
        <f>INPUT!FU246</f>
        <v>NM</v>
      </c>
      <c r="DI446" s="625">
        <f>INPUT!FV246</f>
        <v>3.2352941176470593</v>
      </c>
      <c r="DJ446" s="555">
        <f>INPUT!FW246</f>
        <v>-40.627980922098558</v>
      </c>
      <c r="DK446" s="625">
        <f>INPUT!FX246</f>
        <v>3.0013642564802185</v>
      </c>
      <c r="DL446" s="555">
        <f>INPUT!FY246</f>
        <v>-7.230559345156891</v>
      </c>
      <c r="DM446" s="625">
        <f>INPUT!FZ246</f>
        <v>2.3106546854942236</v>
      </c>
      <c r="DN446" s="555">
        <f>INPUT!GA246</f>
        <v>-23.01318706966974</v>
      </c>
      <c r="DO446" s="625">
        <f>INPUT!GB246</f>
        <v>1.3994910941475827</v>
      </c>
      <c r="DP446" s="555">
        <f>INPUT!GC246</f>
        <v>-39.433135425501845</v>
      </c>
      <c r="DQ446" s="625">
        <f>INPUT!GD246</f>
        <v>5.7339449541284404</v>
      </c>
      <c r="DR446" s="555" t="str">
        <f>INPUT!GE246</f>
        <v>NM</v>
      </c>
      <c r="DS446" s="625">
        <f>INPUT!GF246</f>
        <v>0.12135922330097086</v>
      </c>
      <c r="DT446" s="555" t="str">
        <f>INPUT!GG246</f>
        <v>NM</v>
      </c>
      <c r="DU446" s="625">
        <f>INPUT!GH246</f>
        <v>-0.7009345794392523</v>
      </c>
      <c r="DV446" s="555" t="str">
        <f>INPUT!GI246</f>
        <v>NM</v>
      </c>
      <c r="DW446" s="625">
        <f>INPUT!GJ246</f>
        <v>0.47732696897374705</v>
      </c>
      <c r="DX446" s="555" t="str">
        <f>INPUT!GK246</f>
        <v>NM</v>
      </c>
      <c r="DY446" s="625">
        <f>INPUT!GL246</f>
        <v>-0.73439412484700128</v>
      </c>
      <c r="DZ446" s="555" t="str">
        <f>INPUT!GM246</f>
        <v>NM</v>
      </c>
      <c r="EA446" s="625">
        <f>INPUT!GN246</f>
        <v>-1.643192488262911</v>
      </c>
      <c r="EB446" s="555" t="str">
        <f>INPUT!GO246</f>
        <v>NM</v>
      </c>
      <c r="EC446" s="625">
        <f>INPUT!GP246</f>
        <v>-1.4999999999999996</v>
      </c>
      <c r="ED446" s="555">
        <f>INPUT!GQ246</f>
        <v>-8.7142857142857508</v>
      </c>
      <c r="EE446" s="625">
        <f>INPUT!GR246</f>
        <v>-1.4999999999999996</v>
      </c>
      <c r="EF446" s="555">
        <f>INPUT!GS246</f>
        <v>0</v>
      </c>
      <c r="EG446" s="625">
        <f>INPUT!GT246</f>
        <v>-1.4999999999999996</v>
      </c>
      <c r="EH446" s="555">
        <f>INPUT!GU246</f>
        <v>0</v>
      </c>
      <c r="EI446" s="625">
        <f>INPUT!GV246</f>
        <v>-1.4999999999999996</v>
      </c>
      <c r="EJ446" s="555">
        <f>INPUT!GW246</f>
        <v>0</v>
      </c>
      <c r="EK446" s="625">
        <f>INPUT!GX246</f>
        <v>-1.4999999999999996</v>
      </c>
      <c r="EL446" s="555">
        <f>INPUT!GY246</f>
        <v>0</v>
      </c>
      <c r="EM446" s="555">
        <f>INPUT!GZ246</f>
        <v>-1.8069921316982929</v>
      </c>
    </row>
    <row r="447" spans="1:144" ht="12.75" hidden="1" customHeight="1" outlineLevel="1" x14ac:dyDescent="0.2">
      <c r="A447" s="609"/>
      <c r="B447" s="610"/>
      <c r="C447" s="555"/>
      <c r="D447" s="610"/>
      <c r="E447" s="555"/>
      <c r="F447" s="610"/>
      <c r="G447" s="555"/>
      <c r="H447" s="610"/>
      <c r="I447" s="555"/>
      <c r="J447" s="610"/>
      <c r="K447" s="555"/>
      <c r="L447" s="610"/>
      <c r="M447" s="555"/>
      <c r="N447" s="610"/>
      <c r="O447" s="555"/>
      <c r="P447" s="610"/>
      <c r="Q447" s="555"/>
      <c r="R447" s="610"/>
      <c r="S447" s="555"/>
      <c r="T447" s="610"/>
      <c r="U447" s="555"/>
      <c r="V447" s="610"/>
      <c r="W447" s="555"/>
      <c r="X447" s="610"/>
      <c r="Y447" s="555"/>
      <c r="Z447" s="610"/>
      <c r="AA447" s="555"/>
      <c r="AB447" s="610"/>
      <c r="AC447" s="555"/>
      <c r="AD447" s="610"/>
      <c r="AE447" s="555"/>
      <c r="AF447" s="610"/>
      <c r="AG447" s="555"/>
      <c r="AH447" s="610"/>
      <c r="AI447" s="555"/>
      <c r="AJ447" s="610"/>
      <c r="AK447" s="555"/>
      <c r="AL447" s="610"/>
      <c r="AM447" s="555"/>
      <c r="AN447" s="610"/>
      <c r="AO447" s="555"/>
      <c r="AP447" s="610"/>
      <c r="AQ447" s="555"/>
      <c r="AR447" s="610"/>
      <c r="AS447" s="555"/>
      <c r="AT447" s="610"/>
      <c r="AU447" s="555"/>
      <c r="AV447" s="610"/>
      <c r="AW447" s="555"/>
      <c r="AX447" s="610"/>
      <c r="AY447" s="555"/>
      <c r="AZ447" s="610"/>
      <c r="BA447" s="555"/>
      <c r="BB447" s="610"/>
      <c r="BC447" s="555"/>
      <c r="BD447" s="610"/>
      <c r="BE447" s="555"/>
      <c r="BF447" s="610"/>
      <c r="BG447" s="555"/>
      <c r="BH447" s="610"/>
      <c r="BI447" s="555"/>
      <c r="BJ447" s="610"/>
      <c r="BK447" s="555"/>
      <c r="BL447" s="610"/>
      <c r="BM447" s="555"/>
      <c r="BN447" s="610"/>
      <c r="BO447" s="555"/>
      <c r="BP447" s="610"/>
      <c r="BQ447" s="555"/>
      <c r="BR447" s="610"/>
      <c r="BS447" s="555"/>
      <c r="BT447" s="610"/>
      <c r="BU447" s="555"/>
      <c r="BV447" s="610"/>
      <c r="BW447" s="555"/>
      <c r="BX447" s="610"/>
      <c r="BY447" s="555"/>
      <c r="BZ447" s="610"/>
      <c r="CA447" s="555"/>
      <c r="CB447" s="610"/>
      <c r="CC447" s="555"/>
      <c r="CD447" s="610"/>
      <c r="CE447" s="555"/>
      <c r="CF447" s="610"/>
      <c r="CG447" s="555"/>
      <c r="CH447" s="610"/>
      <c r="CI447" s="555"/>
      <c r="CJ447" s="610"/>
      <c r="CK447" s="555"/>
      <c r="CL447" s="610"/>
      <c r="CM447" s="555"/>
      <c r="CN447" s="610"/>
      <c r="CO447" s="555"/>
      <c r="CP447" s="610"/>
      <c r="CQ447" s="555"/>
      <c r="CR447" s="610"/>
      <c r="CS447" s="555"/>
      <c r="CT447" s="610"/>
      <c r="CU447" s="555"/>
      <c r="CV447" s="610"/>
      <c r="CW447" s="555"/>
      <c r="CX447" s="610"/>
      <c r="CY447" s="555"/>
      <c r="CZ447" s="610"/>
      <c r="DA447" s="555"/>
      <c r="DB447" s="556"/>
      <c r="DC447" s="610"/>
      <c r="DD447" s="577"/>
      <c r="DE447" s="610"/>
      <c r="DF447" s="555"/>
      <c r="DG447" s="610"/>
      <c r="DH447" s="555"/>
      <c r="DI447" s="610"/>
      <c r="DJ447" s="555"/>
      <c r="DK447" s="610"/>
      <c r="DL447" s="555"/>
      <c r="DM447" s="610"/>
      <c r="DN447" s="555"/>
      <c r="DO447" s="610"/>
      <c r="DP447" s="555"/>
      <c r="DQ447" s="610"/>
      <c r="DR447" s="555"/>
      <c r="DS447" s="610"/>
      <c r="DT447" s="555"/>
      <c r="DU447" s="610"/>
      <c r="DV447" s="555"/>
      <c r="DW447" s="610"/>
      <c r="DX447" s="555"/>
      <c r="DY447" s="610"/>
      <c r="DZ447" s="555"/>
      <c r="EA447" s="610"/>
      <c r="EB447" s="555"/>
      <c r="EC447" s="610"/>
      <c r="ED447" s="555"/>
      <c r="EE447" s="610"/>
      <c r="EF447" s="555"/>
      <c r="EG447" s="610"/>
      <c r="EH447" s="555"/>
      <c r="EI447" s="610"/>
      <c r="EJ447" s="555"/>
      <c r="EK447" s="610"/>
      <c r="EL447" s="555"/>
      <c r="EM447" s="555"/>
    </row>
    <row r="448" spans="1:144" ht="12.75" hidden="1" customHeight="1" outlineLevel="1" x14ac:dyDescent="0.2">
      <c r="A448" s="599" t="s">
        <v>507</v>
      </c>
      <c r="B448" s="610"/>
      <c r="C448" s="555"/>
      <c r="D448" s="610"/>
      <c r="E448" s="555"/>
      <c r="F448" s="610"/>
      <c r="G448" s="555"/>
      <c r="H448" s="610"/>
      <c r="I448" s="555"/>
      <c r="J448" s="610"/>
      <c r="K448" s="555"/>
      <c r="L448" s="610"/>
      <c r="M448" s="555"/>
      <c r="N448" s="610"/>
      <c r="O448" s="555"/>
      <c r="P448" s="610"/>
      <c r="Q448" s="555"/>
      <c r="R448" s="610"/>
      <c r="S448" s="555"/>
      <c r="T448" s="610"/>
      <c r="U448" s="555"/>
      <c r="V448" s="610"/>
      <c r="W448" s="555"/>
      <c r="X448" s="610"/>
      <c r="Y448" s="555"/>
      <c r="Z448" s="610"/>
      <c r="AA448" s="555"/>
      <c r="AB448" s="610"/>
      <c r="AC448" s="555"/>
      <c r="AD448" s="610"/>
      <c r="AE448" s="555"/>
      <c r="AF448" s="610"/>
      <c r="AG448" s="555"/>
      <c r="AH448" s="610"/>
      <c r="AI448" s="555"/>
      <c r="AJ448" s="610"/>
      <c r="AK448" s="555"/>
      <c r="AL448" s="610"/>
      <c r="AM448" s="555"/>
      <c r="AN448" s="610"/>
      <c r="AO448" s="555"/>
      <c r="AP448" s="610"/>
      <c r="AQ448" s="555"/>
      <c r="AR448" s="610"/>
      <c r="AS448" s="555"/>
      <c r="AT448" s="610"/>
      <c r="AU448" s="555"/>
      <c r="AV448" s="610"/>
      <c r="AW448" s="555"/>
      <c r="AX448" s="610"/>
      <c r="AY448" s="555"/>
      <c r="AZ448" s="610"/>
      <c r="BA448" s="555"/>
      <c r="BB448" s="610"/>
      <c r="BC448" s="555"/>
      <c r="BD448" s="610"/>
      <c r="BE448" s="555"/>
      <c r="BF448" s="610"/>
      <c r="BG448" s="555"/>
      <c r="BH448" s="610"/>
      <c r="BI448" s="555"/>
      <c r="BJ448" s="610"/>
      <c r="BK448" s="555"/>
      <c r="BL448" s="610"/>
      <c r="BM448" s="555"/>
      <c r="BN448" s="610"/>
      <c r="BO448" s="555"/>
      <c r="BP448" s="610"/>
      <c r="BQ448" s="555"/>
      <c r="BR448" s="610"/>
      <c r="BS448" s="555"/>
      <c r="BT448" s="610"/>
      <c r="BU448" s="555"/>
      <c r="BV448" s="610"/>
      <c r="BW448" s="555"/>
      <c r="BX448" s="610"/>
      <c r="BY448" s="555"/>
      <c r="BZ448" s="610"/>
      <c r="CA448" s="555"/>
      <c r="CB448" s="610"/>
      <c r="CC448" s="555"/>
      <c r="CD448" s="610"/>
      <c r="CE448" s="555"/>
      <c r="CF448" s="610"/>
      <c r="CG448" s="555"/>
      <c r="CH448" s="610"/>
      <c r="CI448" s="555"/>
      <c r="CJ448" s="610"/>
      <c r="CK448" s="555"/>
      <c r="CL448" s="610"/>
      <c r="CM448" s="555"/>
      <c r="CN448" s="610"/>
      <c r="CO448" s="555"/>
      <c r="CP448" s="610"/>
      <c r="CQ448" s="555"/>
      <c r="CR448" s="610"/>
      <c r="CS448" s="555"/>
      <c r="CT448" s="610"/>
      <c r="CU448" s="555"/>
      <c r="CV448" s="610"/>
      <c r="CW448" s="555"/>
      <c r="CX448" s="610"/>
      <c r="CY448" s="555"/>
      <c r="CZ448" s="610"/>
      <c r="DA448" s="555"/>
      <c r="DB448" s="556"/>
      <c r="DC448" s="610"/>
      <c r="DD448" s="555"/>
      <c r="DE448" s="610"/>
      <c r="DF448" s="555"/>
      <c r="DG448" s="610"/>
      <c r="DH448" s="555"/>
      <c r="DI448" s="610"/>
      <c r="DJ448" s="555"/>
      <c r="DK448" s="610"/>
      <c r="DL448" s="555"/>
      <c r="DM448" s="610"/>
      <c r="DN448" s="555"/>
      <c r="DO448" s="610"/>
      <c r="DP448" s="555"/>
      <c r="DQ448" s="610"/>
      <c r="DR448" s="555"/>
      <c r="DS448" s="610"/>
      <c r="DT448" s="555"/>
      <c r="DU448" s="610"/>
      <c r="DV448" s="555"/>
      <c r="DW448" s="610"/>
      <c r="DX448" s="555"/>
      <c r="DY448" s="610"/>
      <c r="DZ448" s="555"/>
      <c r="EA448" s="610"/>
      <c r="EB448" s="555"/>
      <c r="EC448" s="610"/>
      <c r="ED448" s="555"/>
      <c r="EE448" s="610"/>
      <c r="EF448" s="555"/>
      <c r="EG448" s="610"/>
      <c r="EH448" s="555"/>
      <c r="EI448" s="610"/>
      <c r="EJ448" s="555"/>
      <c r="EK448" s="610"/>
      <c r="EL448" s="555"/>
      <c r="EM448" s="555"/>
    </row>
    <row r="449" spans="1:144" ht="12.75" hidden="1" customHeight="1" outlineLevel="1" x14ac:dyDescent="0.2">
      <c r="A449" s="599" t="s">
        <v>543</v>
      </c>
      <c r="B449" s="610"/>
      <c r="C449" s="555"/>
      <c r="D449" s="610"/>
      <c r="E449" s="555"/>
      <c r="F449" s="610"/>
      <c r="G449" s="555"/>
      <c r="H449" s="610"/>
      <c r="I449" s="555"/>
      <c r="J449" s="610"/>
      <c r="K449" s="555"/>
      <c r="L449" s="610"/>
      <c r="M449" s="555"/>
      <c r="N449" s="610"/>
      <c r="O449" s="555"/>
      <c r="P449" s="610"/>
      <c r="Q449" s="555"/>
      <c r="R449" s="610"/>
      <c r="S449" s="555"/>
      <c r="T449" s="610"/>
      <c r="U449" s="555"/>
      <c r="V449" s="610"/>
      <c r="W449" s="555"/>
      <c r="X449" s="610"/>
      <c r="Y449" s="555"/>
      <c r="Z449" s="610"/>
      <c r="AA449" s="555"/>
      <c r="AB449" s="610"/>
      <c r="AC449" s="555"/>
      <c r="AD449" s="610"/>
      <c r="AE449" s="555"/>
      <c r="AF449" s="610"/>
      <c r="AG449" s="555"/>
      <c r="AH449" s="610"/>
      <c r="AI449" s="555"/>
      <c r="AJ449" s="610"/>
      <c r="AK449" s="555"/>
      <c r="AL449" s="610"/>
      <c r="AM449" s="555"/>
      <c r="AN449" s="610"/>
      <c r="AO449" s="555"/>
      <c r="AP449" s="610"/>
      <c r="AQ449" s="555"/>
      <c r="AR449" s="610"/>
      <c r="AS449" s="555"/>
      <c r="AT449" s="610"/>
      <c r="AU449" s="555"/>
      <c r="AV449" s="610"/>
      <c r="AW449" s="555"/>
      <c r="AX449" s="610"/>
      <c r="AY449" s="555"/>
      <c r="AZ449" s="610"/>
      <c r="BA449" s="555"/>
      <c r="BB449" s="610"/>
      <c r="BC449" s="555"/>
      <c r="BD449" s="610"/>
      <c r="BE449" s="555"/>
      <c r="BF449" s="610"/>
      <c r="BG449" s="555"/>
      <c r="BH449" s="610"/>
      <c r="BI449" s="555"/>
      <c r="BJ449" s="610"/>
      <c r="BK449" s="555"/>
      <c r="BL449" s="610"/>
      <c r="BM449" s="555"/>
      <c r="BN449" s="610"/>
      <c r="BO449" s="555"/>
      <c r="BP449" s="610"/>
      <c r="BQ449" s="555"/>
      <c r="BR449" s="610"/>
      <c r="BS449" s="555"/>
      <c r="BT449" s="610"/>
      <c r="BU449" s="555"/>
      <c r="BV449" s="610"/>
      <c r="BW449" s="555"/>
      <c r="BX449" s="610"/>
      <c r="BY449" s="555"/>
      <c r="BZ449" s="610"/>
      <c r="CA449" s="555"/>
      <c r="CB449" s="610"/>
      <c r="CC449" s="555"/>
      <c r="CD449" s="610"/>
      <c r="CE449" s="555"/>
      <c r="CF449" s="610"/>
      <c r="CG449" s="555"/>
      <c r="CH449" s="610"/>
      <c r="CI449" s="555"/>
      <c r="CJ449" s="610"/>
      <c r="CK449" s="555"/>
      <c r="CL449" s="610"/>
      <c r="CM449" s="555"/>
      <c r="CN449" s="610"/>
      <c r="CO449" s="555"/>
      <c r="CP449" s="610"/>
      <c r="CQ449" s="555"/>
      <c r="CR449" s="610"/>
      <c r="CS449" s="555"/>
      <c r="CT449" s="610"/>
      <c r="CU449" s="555"/>
      <c r="CV449" s="610"/>
      <c r="CW449" s="555"/>
      <c r="CX449" s="610"/>
      <c r="CY449" s="555"/>
      <c r="CZ449" s="610"/>
      <c r="DA449" s="555"/>
      <c r="DB449" s="556"/>
      <c r="DC449" s="610"/>
      <c r="DD449" s="555"/>
      <c r="DE449" s="610"/>
      <c r="DF449" s="555"/>
      <c r="DG449" s="610"/>
      <c r="DH449" s="555"/>
      <c r="DI449" s="610"/>
      <c r="DJ449" s="555"/>
      <c r="DK449" s="610"/>
      <c r="DL449" s="555"/>
      <c r="DM449" s="610"/>
      <c r="DN449" s="555"/>
      <c r="DO449" s="610"/>
      <c r="DP449" s="555"/>
      <c r="DQ449" s="610"/>
      <c r="DR449" s="555"/>
      <c r="DS449" s="610"/>
      <c r="DT449" s="555"/>
      <c r="DU449" s="610"/>
      <c r="DV449" s="555"/>
      <c r="DW449" s="610"/>
      <c r="DX449" s="555"/>
      <c r="DY449" s="610"/>
      <c r="DZ449" s="555"/>
      <c r="EA449" s="610"/>
      <c r="EB449" s="555"/>
      <c r="EC449" s="610"/>
      <c r="ED449" s="555"/>
      <c r="EE449" s="610"/>
      <c r="EF449" s="555"/>
      <c r="EG449" s="610"/>
      <c r="EH449" s="555"/>
      <c r="EI449" s="610"/>
      <c r="EJ449" s="555"/>
      <c r="EK449" s="610"/>
      <c r="EL449" s="555"/>
      <c r="EM449" s="555"/>
    </row>
    <row r="450" spans="1:144" ht="12.75" hidden="1" customHeight="1" outlineLevel="1" x14ac:dyDescent="0.2">
      <c r="A450" s="609"/>
      <c r="B450" s="610"/>
      <c r="C450" s="555"/>
      <c r="D450" s="610"/>
      <c r="E450" s="555"/>
      <c r="F450" s="610"/>
      <c r="G450" s="555"/>
      <c r="H450" s="610"/>
      <c r="I450" s="555"/>
      <c r="J450" s="610"/>
      <c r="K450" s="555"/>
      <c r="L450" s="610"/>
      <c r="M450" s="555"/>
      <c r="N450" s="610"/>
      <c r="O450" s="555"/>
      <c r="P450" s="610"/>
      <c r="Q450" s="555"/>
      <c r="R450" s="610"/>
      <c r="S450" s="555"/>
      <c r="T450" s="610"/>
      <c r="U450" s="555"/>
      <c r="V450" s="610"/>
      <c r="W450" s="555"/>
      <c r="X450" s="610"/>
      <c r="Y450" s="555"/>
      <c r="Z450" s="610"/>
      <c r="AA450" s="555"/>
      <c r="AB450" s="610"/>
      <c r="AC450" s="555"/>
      <c r="AD450" s="610"/>
      <c r="AE450" s="555"/>
      <c r="AF450" s="610"/>
      <c r="AG450" s="555"/>
      <c r="AH450" s="610"/>
      <c r="AI450" s="555"/>
      <c r="AJ450" s="610"/>
      <c r="AK450" s="555"/>
      <c r="AL450" s="610"/>
      <c r="AM450" s="555"/>
      <c r="AN450" s="610"/>
      <c r="AO450" s="555"/>
      <c r="AP450" s="610"/>
      <c r="AQ450" s="555"/>
      <c r="AR450" s="610"/>
      <c r="AS450" s="555"/>
      <c r="AT450" s="610"/>
      <c r="AU450" s="555"/>
      <c r="AV450" s="610"/>
      <c r="AW450" s="555"/>
      <c r="AX450" s="610"/>
      <c r="AY450" s="555"/>
      <c r="AZ450" s="610"/>
      <c r="BA450" s="555"/>
      <c r="BB450" s="610"/>
      <c r="BC450" s="555"/>
      <c r="BD450" s="610"/>
      <c r="BE450" s="555"/>
      <c r="BF450" s="610"/>
      <c r="BG450" s="555"/>
      <c r="BH450" s="610"/>
      <c r="BI450" s="555"/>
      <c r="BJ450" s="610"/>
      <c r="BK450" s="555"/>
      <c r="BL450" s="610"/>
      <c r="BM450" s="555"/>
      <c r="BN450" s="610"/>
      <c r="BO450" s="555"/>
      <c r="BP450" s="610"/>
      <c r="BQ450" s="555"/>
      <c r="BR450" s="610"/>
      <c r="BS450" s="555"/>
      <c r="BT450" s="610"/>
      <c r="BU450" s="555"/>
      <c r="BV450" s="610"/>
      <c r="BW450" s="555"/>
      <c r="BX450" s="610"/>
      <c r="BY450" s="555"/>
      <c r="BZ450" s="610"/>
      <c r="CA450" s="555"/>
      <c r="CB450" s="610"/>
      <c r="CC450" s="555"/>
      <c r="CD450" s="610"/>
      <c r="CE450" s="555"/>
      <c r="CF450" s="610"/>
      <c r="CG450" s="555"/>
      <c r="CH450" s="610"/>
      <c r="CI450" s="555"/>
      <c r="CJ450" s="610"/>
      <c r="CK450" s="555"/>
      <c r="CL450" s="610"/>
      <c r="CM450" s="555"/>
      <c r="CN450" s="610"/>
      <c r="CO450" s="555"/>
      <c r="CP450" s="610"/>
      <c r="CQ450" s="555"/>
      <c r="CR450" s="610"/>
      <c r="CS450" s="555"/>
      <c r="CT450" s="610"/>
      <c r="CU450" s="555"/>
      <c r="CV450" s="610"/>
      <c r="CW450" s="555"/>
      <c r="CX450" s="610"/>
      <c r="CY450" s="555"/>
      <c r="CZ450" s="610"/>
      <c r="DA450" s="555"/>
      <c r="DB450" s="556"/>
      <c r="DC450" s="610"/>
      <c r="DD450" s="555"/>
      <c r="DE450" s="610"/>
      <c r="DF450" s="555"/>
      <c r="DG450" s="610"/>
      <c r="DH450" s="555"/>
      <c r="DI450" s="610"/>
      <c r="DJ450" s="555"/>
      <c r="DK450" s="610"/>
      <c r="DL450" s="555"/>
      <c r="DM450" s="610"/>
      <c r="DN450" s="555"/>
      <c r="DO450" s="610"/>
      <c r="DP450" s="555"/>
      <c r="DQ450" s="610"/>
      <c r="DR450" s="555"/>
      <c r="DS450" s="610"/>
      <c r="DT450" s="555"/>
      <c r="DU450" s="610"/>
      <c r="DV450" s="555"/>
      <c r="DW450" s="610"/>
      <c r="DX450" s="555"/>
      <c r="DY450" s="610"/>
      <c r="DZ450" s="555"/>
      <c r="EA450" s="610"/>
      <c r="EB450" s="555"/>
      <c r="EC450" s="610"/>
      <c r="ED450" s="555"/>
      <c r="EE450" s="610"/>
      <c r="EF450" s="555"/>
      <c r="EG450" s="610"/>
      <c r="EH450" s="555"/>
      <c r="EI450" s="610"/>
      <c r="EJ450" s="555"/>
      <c r="EK450" s="610"/>
      <c r="EL450" s="555"/>
      <c r="EM450" s="555"/>
    </row>
    <row r="451" spans="1:144" ht="21.95" hidden="1" customHeight="1" outlineLevel="1" x14ac:dyDescent="0.25">
      <c r="A451" s="546" t="str">
        <f>$A$1</f>
        <v>Prudential Financial, Inc.</v>
      </c>
      <c r="B451" s="554"/>
      <c r="C451" s="555"/>
      <c r="D451" s="554"/>
      <c r="E451" s="555"/>
      <c r="F451" s="554"/>
      <c r="G451" s="555"/>
      <c r="H451" s="554"/>
      <c r="I451" s="555"/>
      <c r="J451" s="554"/>
      <c r="K451" s="555"/>
      <c r="L451" s="554"/>
      <c r="M451" s="555"/>
      <c r="N451" s="554"/>
      <c r="O451" s="555"/>
      <c r="P451" s="554"/>
      <c r="Q451" s="555"/>
      <c r="R451" s="554"/>
      <c r="S451" s="555"/>
      <c r="T451" s="554"/>
      <c r="U451" s="555"/>
      <c r="V451" s="554"/>
      <c r="W451" s="555"/>
      <c r="X451" s="554"/>
      <c r="Y451" s="555"/>
      <c r="Z451" s="554"/>
      <c r="AA451" s="555"/>
      <c r="AB451" s="554"/>
      <c r="AC451" s="555"/>
      <c r="AD451" s="554"/>
      <c r="AE451" s="555"/>
      <c r="AF451" s="554"/>
      <c r="AG451" s="555"/>
      <c r="AH451" s="554"/>
      <c r="AI451" s="555"/>
      <c r="AJ451" s="554"/>
      <c r="AK451" s="555"/>
      <c r="AL451" s="554"/>
      <c r="AM451" s="555"/>
      <c r="AN451" s="554"/>
      <c r="AO451" s="555"/>
      <c r="AP451" s="554"/>
      <c r="AQ451" s="555"/>
      <c r="AR451" s="554"/>
      <c r="AS451" s="555"/>
      <c r="AT451" s="554"/>
      <c r="AU451" s="555"/>
      <c r="AV451" s="554"/>
      <c r="AW451" s="555"/>
      <c r="AX451" s="554"/>
      <c r="AY451" s="555"/>
      <c r="AZ451" s="554"/>
      <c r="BA451" s="555"/>
      <c r="BB451" s="554"/>
      <c r="BC451" s="555"/>
      <c r="BD451" s="554"/>
      <c r="BE451" s="555"/>
      <c r="BF451" s="554"/>
      <c r="BG451" s="555"/>
      <c r="BH451" s="554"/>
      <c r="BI451" s="555"/>
      <c r="BJ451" s="554"/>
      <c r="BK451" s="555"/>
      <c r="BL451" s="554"/>
      <c r="BM451" s="555"/>
      <c r="BN451" s="554"/>
      <c r="BO451" s="555"/>
      <c r="BP451" s="554"/>
      <c r="BQ451" s="555"/>
      <c r="BR451" s="554"/>
      <c r="BS451" s="555"/>
      <c r="BT451" s="554"/>
      <c r="BU451" s="555"/>
      <c r="BV451" s="554"/>
      <c r="BW451" s="555"/>
      <c r="BX451" s="554"/>
      <c r="BY451" s="555"/>
      <c r="BZ451" s="554"/>
      <c r="CA451" s="555"/>
      <c r="CB451" s="554"/>
      <c r="CC451" s="555"/>
      <c r="CD451" s="554"/>
      <c r="CE451" s="555"/>
      <c r="CF451" s="554"/>
      <c r="CG451" s="555"/>
      <c r="CH451" s="554"/>
      <c r="CI451" s="555"/>
      <c r="CJ451" s="554"/>
      <c r="CK451" s="555"/>
      <c r="CL451" s="554"/>
      <c r="CM451" s="555"/>
      <c r="CN451" s="554"/>
      <c r="CO451" s="555"/>
      <c r="CP451" s="554"/>
      <c r="CQ451" s="555"/>
      <c r="CR451" s="554"/>
      <c r="CS451" s="555"/>
      <c r="CT451" s="554"/>
      <c r="CU451" s="555"/>
      <c r="CV451" s="554"/>
      <c r="CW451" s="555"/>
      <c r="CX451" s="554"/>
      <c r="CY451" s="555"/>
      <c r="CZ451" s="554"/>
      <c r="DA451" s="555"/>
      <c r="DB451" s="556"/>
      <c r="DC451" s="554"/>
      <c r="DD451" s="555"/>
      <c r="DE451" s="554"/>
      <c r="DF451" s="555"/>
      <c r="DG451" s="554"/>
      <c r="DH451" s="555"/>
      <c r="DI451" s="554"/>
      <c r="DJ451" s="555"/>
      <c r="DK451" s="554"/>
      <c r="DL451" s="555"/>
      <c r="DM451" s="554"/>
      <c r="DN451" s="555"/>
      <c r="DO451" s="554"/>
      <c r="DP451" s="555"/>
      <c r="DQ451" s="554"/>
      <c r="DR451" s="555"/>
      <c r="DS451" s="554"/>
      <c r="DT451" s="555"/>
      <c r="DU451" s="554"/>
      <c r="DV451" s="555"/>
      <c r="DW451" s="554"/>
      <c r="DX451" s="555"/>
      <c r="DY451" s="554"/>
      <c r="DZ451" s="555"/>
      <c r="EA451" s="554"/>
      <c r="EB451" s="555"/>
      <c r="EC451" s="554"/>
      <c r="ED451" s="555"/>
      <c r="EE451" s="554"/>
      <c r="EF451" s="555"/>
      <c r="EG451" s="554"/>
      <c r="EH451" s="555"/>
      <c r="EI451" s="554"/>
      <c r="EJ451" s="555"/>
      <c r="EK451" s="554"/>
      <c r="EL451" s="555"/>
      <c r="EM451" s="554"/>
    </row>
    <row r="452" spans="1:144" ht="12.75" hidden="1" customHeight="1" outlineLevel="1" x14ac:dyDescent="0.2">
      <c r="A452" s="557" t="s">
        <v>192</v>
      </c>
      <c r="B452" s="558"/>
      <c r="C452" s="559"/>
      <c r="D452" s="558"/>
      <c r="E452" s="559"/>
      <c r="F452" s="558"/>
      <c r="G452" s="559"/>
      <c r="H452" s="558"/>
      <c r="I452" s="559"/>
      <c r="J452" s="558"/>
      <c r="K452" s="559"/>
      <c r="L452" s="558"/>
      <c r="M452" s="559"/>
      <c r="N452" s="558"/>
      <c r="O452" s="559"/>
      <c r="P452" s="558"/>
      <c r="Q452" s="559"/>
      <c r="R452" s="558"/>
      <c r="S452" s="559"/>
      <c r="T452" s="558"/>
      <c r="U452" s="559"/>
      <c r="V452" s="558"/>
      <c r="W452" s="559"/>
      <c r="X452" s="558"/>
      <c r="Y452" s="559"/>
      <c r="Z452" s="558"/>
      <c r="AA452" s="559"/>
      <c r="AB452" s="558"/>
      <c r="AC452" s="559"/>
      <c r="AD452" s="558"/>
      <c r="AE452" s="559"/>
      <c r="AF452" s="558"/>
      <c r="AG452" s="559"/>
      <c r="AH452" s="558"/>
      <c r="AI452" s="559"/>
      <c r="AJ452" s="558"/>
      <c r="AK452" s="559"/>
      <c r="AL452" s="558"/>
      <c r="AM452" s="559"/>
      <c r="AN452" s="558"/>
      <c r="AO452" s="559"/>
      <c r="AP452" s="558"/>
      <c r="AQ452" s="559"/>
      <c r="AR452" s="558"/>
      <c r="AS452" s="559"/>
      <c r="AT452" s="558"/>
      <c r="AU452" s="559"/>
      <c r="AV452" s="558"/>
      <c r="AW452" s="559"/>
      <c r="AX452" s="558"/>
      <c r="AY452" s="559"/>
      <c r="AZ452" s="558"/>
      <c r="BA452" s="559"/>
      <c r="BB452" s="558"/>
      <c r="BC452" s="559"/>
      <c r="BD452" s="558"/>
      <c r="BE452" s="559"/>
      <c r="BF452" s="558"/>
      <c r="BG452" s="559"/>
      <c r="BH452" s="558"/>
      <c r="BI452" s="559"/>
      <c r="BJ452" s="558"/>
      <c r="BK452" s="559"/>
      <c r="BL452" s="558"/>
      <c r="BM452" s="559"/>
      <c r="BN452" s="558"/>
      <c r="BO452" s="559"/>
      <c r="BP452" s="558"/>
      <c r="BQ452" s="559"/>
      <c r="BR452" s="558"/>
      <c r="BS452" s="559"/>
      <c r="BT452" s="558"/>
      <c r="BU452" s="559"/>
      <c r="BV452" s="558"/>
      <c r="BW452" s="559"/>
      <c r="BX452" s="558"/>
      <c r="BY452" s="559"/>
      <c r="BZ452" s="558"/>
      <c r="CA452" s="559"/>
      <c r="CB452" s="558"/>
      <c r="CC452" s="559"/>
      <c r="CD452" s="558"/>
      <c r="CE452" s="559"/>
      <c r="CF452" s="558"/>
      <c r="CG452" s="559"/>
      <c r="CH452" s="558"/>
      <c r="CI452" s="559"/>
      <c r="CJ452" s="558"/>
      <c r="CK452" s="559"/>
      <c r="CL452" s="558"/>
      <c r="CM452" s="559"/>
      <c r="CN452" s="558"/>
      <c r="CO452" s="559"/>
      <c r="CP452" s="558"/>
      <c r="CQ452" s="559"/>
      <c r="CR452" s="558"/>
      <c r="CS452" s="559"/>
      <c r="CT452" s="558"/>
      <c r="CU452" s="559"/>
      <c r="CV452" s="558"/>
      <c r="CW452" s="559"/>
      <c r="CX452" s="558"/>
      <c r="CY452" s="559"/>
      <c r="CZ452" s="558"/>
      <c r="DA452" s="559"/>
      <c r="DB452" s="560"/>
      <c r="DC452" s="561"/>
      <c r="DD452" s="559"/>
      <c r="DE452" s="558"/>
      <c r="DF452" s="559"/>
      <c r="DG452" s="558"/>
      <c r="DH452" s="559"/>
      <c r="DI452" s="558"/>
      <c r="DJ452" s="559"/>
      <c r="DK452" s="558"/>
      <c r="DL452" s="559"/>
      <c r="DM452" s="558"/>
      <c r="DN452" s="559"/>
      <c r="DO452" s="558"/>
      <c r="DP452" s="559"/>
      <c r="DQ452" s="558"/>
      <c r="DR452" s="559"/>
      <c r="DS452" s="558"/>
      <c r="DT452" s="559"/>
      <c r="DU452" s="558"/>
      <c r="DV452" s="559"/>
      <c r="DW452" s="558"/>
      <c r="DX452" s="559"/>
      <c r="DY452" s="558"/>
      <c r="DZ452" s="559"/>
      <c r="EA452" s="558"/>
      <c r="EB452" s="559"/>
      <c r="EC452" s="558"/>
      <c r="ED452" s="559"/>
      <c r="EE452" s="558"/>
      <c r="EF452" s="559"/>
      <c r="EG452" s="558"/>
      <c r="EH452" s="559"/>
      <c r="EI452" s="558"/>
      <c r="EJ452" s="559"/>
      <c r="EK452" s="558"/>
      <c r="EL452" s="559"/>
      <c r="EM452" s="558"/>
    </row>
    <row r="453" spans="1:144" ht="12.75" hidden="1" customHeight="1" outlineLevel="1" x14ac:dyDescent="0.2">
      <c r="A453" s="548" t="str">
        <f>A$3</f>
        <v>($Millions Except Per Share Data)</v>
      </c>
      <c r="B453" s="563"/>
      <c r="C453" s="564" t="str">
        <f>C$3</f>
        <v>1Q06/</v>
      </c>
      <c r="D453" s="563"/>
      <c r="E453" s="564" t="str">
        <f>E$3</f>
        <v>2Q06/</v>
      </c>
      <c r="F453" s="563"/>
      <c r="G453" s="564" t="str">
        <f>G$3</f>
        <v>3Q06/</v>
      </c>
      <c r="H453" s="563"/>
      <c r="I453" s="564" t="str">
        <f>I$3</f>
        <v>4Q06/</v>
      </c>
      <c r="J453" s="563"/>
      <c r="K453" s="564" t="str">
        <f>K$3</f>
        <v>1Q07/</v>
      </c>
      <c r="L453" s="563"/>
      <c r="M453" s="564" t="str">
        <f>M$3</f>
        <v>2Q07/</v>
      </c>
      <c r="N453" s="563"/>
      <c r="O453" s="564" t="str">
        <f>O$3</f>
        <v>3Q07/</v>
      </c>
      <c r="P453" s="563"/>
      <c r="Q453" s="564" t="str">
        <f>Q$3</f>
        <v>4Q07/</v>
      </c>
      <c r="R453" s="563"/>
      <c r="S453" s="564" t="str">
        <f>S$3</f>
        <v>1Q08/</v>
      </c>
      <c r="T453" s="563"/>
      <c r="U453" s="564" t="str">
        <f>U$3</f>
        <v>2Q08/</v>
      </c>
      <c r="V453" s="563"/>
      <c r="W453" s="564" t="str">
        <f>W$3</f>
        <v>3Q08/</v>
      </c>
      <c r="X453" s="563"/>
      <c r="Y453" s="564" t="str">
        <f>Y$3</f>
        <v>4Q08/</v>
      </c>
      <c r="Z453" s="563"/>
      <c r="AA453" s="564" t="str">
        <f>AA$3</f>
        <v>1Q09/</v>
      </c>
      <c r="AB453" s="563"/>
      <c r="AC453" s="564" t="str">
        <f>AC$3</f>
        <v>2Q09/</v>
      </c>
      <c r="AD453" s="563"/>
      <c r="AE453" s="564" t="str">
        <f>AE$3</f>
        <v>3Q09/</v>
      </c>
      <c r="AF453" s="563"/>
      <c r="AG453" s="564" t="str">
        <f>AG$3</f>
        <v>4Q09/</v>
      </c>
      <c r="AH453" s="563"/>
      <c r="AI453" s="564" t="str">
        <f>AI$3</f>
        <v>1Q10/</v>
      </c>
      <c r="AJ453" s="563"/>
      <c r="AK453" s="564" t="str">
        <f>AK$3</f>
        <v>2Q10/</v>
      </c>
      <c r="AL453" s="563"/>
      <c r="AM453" s="564" t="str">
        <f>AM$3</f>
        <v>3Q10/</v>
      </c>
      <c r="AN453" s="563"/>
      <c r="AO453" s="564" t="str">
        <f>AO$3</f>
        <v>4Q10/</v>
      </c>
      <c r="AP453" s="563"/>
      <c r="AQ453" s="564" t="str">
        <f>AQ$3</f>
        <v>1Q11/</v>
      </c>
      <c r="AR453" s="563"/>
      <c r="AS453" s="564" t="str">
        <f>AS$3</f>
        <v>2Q11/</v>
      </c>
      <c r="AT453" s="563"/>
      <c r="AU453" s="564" t="str">
        <f>AU$3</f>
        <v>3Q11/</v>
      </c>
      <c r="AV453" s="563"/>
      <c r="AW453" s="564" t="str">
        <f>AW$3</f>
        <v>4Q11/</v>
      </c>
      <c r="AX453" s="563"/>
      <c r="AY453" s="564" t="str">
        <f>AY$3</f>
        <v>1Q12/</v>
      </c>
      <c r="AZ453" s="563"/>
      <c r="BA453" s="564" t="str">
        <f>BA$3</f>
        <v>2Q12/</v>
      </c>
      <c r="BB453" s="563"/>
      <c r="BC453" s="564" t="str">
        <f>BC$3</f>
        <v>3Q12/</v>
      </c>
      <c r="BD453" s="563"/>
      <c r="BE453" s="564" t="str">
        <f>BE$3</f>
        <v>4Q12/</v>
      </c>
      <c r="BF453" s="563"/>
      <c r="BG453" s="564" t="str">
        <f>BG$3</f>
        <v>1Q13/</v>
      </c>
      <c r="BH453" s="563"/>
      <c r="BI453" s="564" t="str">
        <f>BI$3</f>
        <v>2Q13/</v>
      </c>
      <c r="BJ453" s="563"/>
      <c r="BK453" s="564" t="str">
        <f>BK$3</f>
        <v>3Q13/</v>
      </c>
      <c r="BL453" s="563"/>
      <c r="BM453" s="564" t="str">
        <f>BM$3</f>
        <v>4Q13/</v>
      </c>
      <c r="BN453" s="563"/>
      <c r="BO453" s="564" t="str">
        <f>BO$3</f>
        <v>1Q14/</v>
      </c>
      <c r="BP453" s="563"/>
      <c r="BQ453" s="564" t="str">
        <f>BQ$3</f>
        <v>2Q14/</v>
      </c>
      <c r="BR453" s="563"/>
      <c r="BS453" s="564" t="str">
        <f>BS$3</f>
        <v>3Q14/</v>
      </c>
      <c r="BT453" s="563"/>
      <c r="BU453" s="564" t="str">
        <f>BU$3</f>
        <v>4Q14/</v>
      </c>
      <c r="BV453" s="563"/>
      <c r="BW453" s="564" t="str">
        <f>BW$3</f>
        <v>1Q15/</v>
      </c>
      <c r="BX453" s="563"/>
      <c r="BY453" s="564" t="str">
        <f>BY$3</f>
        <v>2Q15/</v>
      </c>
      <c r="BZ453" s="563"/>
      <c r="CA453" s="564" t="str">
        <f>CA$3</f>
        <v>3Q15/</v>
      </c>
      <c r="CB453" s="563"/>
      <c r="CC453" s="564" t="str">
        <f>CC$3</f>
        <v>4Q15/</v>
      </c>
      <c r="CD453" s="563"/>
      <c r="CE453" s="564" t="str">
        <f>CE$3</f>
        <v>1Q16/</v>
      </c>
      <c r="CF453" s="563"/>
      <c r="CG453" s="564" t="str">
        <f>CG$3</f>
        <v>2Q16/</v>
      </c>
      <c r="CH453" s="563"/>
      <c r="CI453" s="564" t="str">
        <f>CI$3</f>
        <v>3Q16/</v>
      </c>
      <c r="CJ453" s="563"/>
      <c r="CK453" s="564" t="str">
        <f>CK$3</f>
        <v>4Q16/</v>
      </c>
      <c r="CL453" s="563"/>
      <c r="CM453" s="564" t="str">
        <f>CM$3</f>
        <v>1Q17/</v>
      </c>
      <c r="CN453" s="563"/>
      <c r="CO453" s="564" t="str">
        <f>CO$3</f>
        <v>2Q17/</v>
      </c>
      <c r="CP453" s="563"/>
      <c r="CQ453" s="564" t="str">
        <f>CQ$3</f>
        <v>3Q17/</v>
      </c>
      <c r="CR453" s="563"/>
      <c r="CS453" s="564" t="str">
        <f>CS$3</f>
        <v>4Q17/</v>
      </c>
      <c r="CT453" s="563"/>
      <c r="CU453" s="564" t="str">
        <f>CU$3</f>
        <v>1Q18E/</v>
      </c>
      <c r="CV453" s="563"/>
      <c r="CW453" s="564" t="str">
        <f>CW$3</f>
        <v>2Q18E/</v>
      </c>
      <c r="CX453" s="563"/>
      <c r="CY453" s="564" t="str">
        <f>CY$3</f>
        <v>3Q18E/</v>
      </c>
      <c r="CZ453" s="563"/>
      <c r="DA453" s="564" t="str">
        <f>DA$3</f>
        <v>4Q18E/</v>
      </c>
      <c r="DB453" s="565"/>
      <c r="DC453" s="563"/>
      <c r="DD453" s="564" t="str">
        <f>DD$3</f>
        <v>2005/</v>
      </c>
      <c r="DE453" s="563"/>
      <c r="DF453" s="564" t="str">
        <f>DF$3</f>
        <v>2006/</v>
      </c>
      <c r="DG453" s="563"/>
      <c r="DH453" s="564" t="str">
        <f>DH$3</f>
        <v>2007/</v>
      </c>
      <c r="DI453" s="563"/>
      <c r="DJ453" s="564" t="str">
        <f>DJ$3</f>
        <v>2008/</v>
      </c>
      <c r="DK453" s="563"/>
      <c r="DL453" s="564" t="str">
        <f>DL$3</f>
        <v>2009/</v>
      </c>
      <c r="DM453" s="563"/>
      <c r="DN453" s="564" t="str">
        <f>DN$3</f>
        <v>2010/</v>
      </c>
      <c r="DO453" s="563"/>
      <c r="DP453" s="564" t="str">
        <f>DP$3</f>
        <v>2011/</v>
      </c>
      <c r="DQ453" s="563"/>
      <c r="DR453" s="564" t="str">
        <f>DR$3</f>
        <v>2012/</v>
      </c>
      <c r="DS453" s="563"/>
      <c r="DT453" s="564" t="str">
        <f>DT$3</f>
        <v>2013/</v>
      </c>
      <c r="DU453" s="563"/>
      <c r="DV453" s="564" t="str">
        <f>DV$3</f>
        <v>2014/</v>
      </c>
      <c r="DW453" s="563"/>
      <c r="DX453" s="564" t="str">
        <f>DX$3</f>
        <v>2015/</v>
      </c>
      <c r="DY453" s="563"/>
      <c r="DZ453" s="564" t="str">
        <f>DZ$3</f>
        <v>2016/</v>
      </c>
      <c r="EA453" s="563"/>
      <c r="EB453" s="564" t="str">
        <f>EB$3</f>
        <v>2017/</v>
      </c>
      <c r="EC453" s="563"/>
      <c r="ED453" s="564" t="str">
        <f>ED$3</f>
        <v>2018E/</v>
      </c>
      <c r="EE453" s="563"/>
      <c r="EF453" s="564" t="str">
        <f>EF$3</f>
        <v>2019E/</v>
      </c>
      <c r="EG453" s="563"/>
      <c r="EH453" s="564" t="str">
        <f>EH$3</f>
        <v>2020E/</v>
      </c>
      <c r="EI453" s="563"/>
      <c r="EJ453" s="564" t="str">
        <f>EJ$3</f>
        <v>2021E/</v>
      </c>
      <c r="EK453" s="563"/>
      <c r="EL453" s="564" t="str">
        <f>EL$3</f>
        <v>2022E/</v>
      </c>
      <c r="EM453" s="566" t="str">
        <f>EM$3</f>
        <v>5-Yr</v>
      </c>
      <c r="EN453" s="549"/>
    </row>
    <row r="454" spans="1:144" ht="12.75" hidden="1" customHeight="1" outlineLevel="1" x14ac:dyDescent="0.2">
      <c r="A454" s="567"/>
      <c r="B454" s="568"/>
      <c r="C454" s="559" t="str">
        <f>C$4</f>
        <v>1Q05</v>
      </c>
      <c r="D454" s="568"/>
      <c r="E454" s="559" t="str">
        <f>E$4</f>
        <v>2Q05</v>
      </c>
      <c r="F454" s="568"/>
      <c r="G454" s="559" t="str">
        <f>G$4</f>
        <v>3Q05</v>
      </c>
      <c r="H454" s="568"/>
      <c r="I454" s="559" t="str">
        <f>I$4</f>
        <v>4Q05</v>
      </c>
      <c r="J454" s="568"/>
      <c r="K454" s="559" t="str">
        <f>K$4</f>
        <v>1Q06</v>
      </c>
      <c r="L454" s="568"/>
      <c r="M454" s="559" t="str">
        <f>M$4</f>
        <v>2Q06</v>
      </c>
      <c r="N454" s="568"/>
      <c r="O454" s="559" t="str">
        <f>O$4</f>
        <v>3Q06</v>
      </c>
      <c r="P454" s="568"/>
      <c r="Q454" s="559" t="str">
        <f>Q$4</f>
        <v>4Q06</v>
      </c>
      <c r="R454" s="568"/>
      <c r="S454" s="559" t="str">
        <f>S$4</f>
        <v>1Q07</v>
      </c>
      <c r="T454" s="568"/>
      <c r="U454" s="559" t="str">
        <f>U$4</f>
        <v>2Q07</v>
      </c>
      <c r="V454" s="568"/>
      <c r="W454" s="559" t="str">
        <f>W$4</f>
        <v>3Q07</v>
      </c>
      <c r="X454" s="568"/>
      <c r="Y454" s="559" t="str">
        <f>Y$4</f>
        <v>4Q07</v>
      </c>
      <c r="Z454" s="568"/>
      <c r="AA454" s="559" t="str">
        <f>AA$4</f>
        <v>1Q08</v>
      </c>
      <c r="AB454" s="568"/>
      <c r="AC454" s="559" t="str">
        <f>AC$4</f>
        <v>2Q08</v>
      </c>
      <c r="AD454" s="568"/>
      <c r="AE454" s="559" t="str">
        <f>AE$4</f>
        <v>3Q08</v>
      </c>
      <c r="AF454" s="568"/>
      <c r="AG454" s="559" t="str">
        <f>AG$4</f>
        <v>4Q08</v>
      </c>
      <c r="AH454" s="568"/>
      <c r="AI454" s="559" t="str">
        <f>AI$4</f>
        <v>1Q09</v>
      </c>
      <c r="AJ454" s="568"/>
      <c r="AK454" s="559" t="str">
        <f>AK$4</f>
        <v>2Q09</v>
      </c>
      <c r="AL454" s="568"/>
      <c r="AM454" s="559" t="str">
        <f>AM$4</f>
        <v>3Q09</v>
      </c>
      <c r="AN454" s="568"/>
      <c r="AO454" s="559" t="str">
        <f>AO$4</f>
        <v>4Q09</v>
      </c>
      <c r="AP454" s="568"/>
      <c r="AQ454" s="559" t="str">
        <f>AQ$4</f>
        <v>1Q10</v>
      </c>
      <c r="AR454" s="568"/>
      <c r="AS454" s="559" t="str">
        <f>AS$4</f>
        <v>2Q10</v>
      </c>
      <c r="AT454" s="568"/>
      <c r="AU454" s="559" t="str">
        <f>AU$4</f>
        <v>3Q10</v>
      </c>
      <c r="AV454" s="568"/>
      <c r="AW454" s="559" t="str">
        <f>AW$4</f>
        <v>4Q10</v>
      </c>
      <c r="AX454" s="568"/>
      <c r="AY454" s="559" t="str">
        <f>AY$4</f>
        <v>1Q11</v>
      </c>
      <c r="AZ454" s="568"/>
      <c r="BA454" s="559" t="str">
        <f>BA$4</f>
        <v>2Q11</v>
      </c>
      <c r="BB454" s="568"/>
      <c r="BC454" s="559" t="str">
        <f>BC$4</f>
        <v>3Q11</v>
      </c>
      <c r="BD454" s="568"/>
      <c r="BE454" s="559" t="str">
        <f>BE$4</f>
        <v>4Q11</v>
      </c>
      <c r="BF454" s="568"/>
      <c r="BG454" s="559" t="str">
        <f>BG$4</f>
        <v>1Q12</v>
      </c>
      <c r="BH454" s="568"/>
      <c r="BI454" s="559" t="str">
        <f>BI$4</f>
        <v>2Q12</v>
      </c>
      <c r="BJ454" s="568"/>
      <c r="BK454" s="559" t="str">
        <f>BK$4</f>
        <v>3Q12</v>
      </c>
      <c r="BL454" s="568"/>
      <c r="BM454" s="559" t="str">
        <f>BM$4</f>
        <v>4Q12</v>
      </c>
      <c r="BN454" s="568"/>
      <c r="BO454" s="559" t="str">
        <f>BO$4</f>
        <v>1Q13</v>
      </c>
      <c r="BP454" s="568"/>
      <c r="BQ454" s="559" t="str">
        <f>BQ$4</f>
        <v>2Q13</v>
      </c>
      <c r="BR454" s="568"/>
      <c r="BS454" s="559" t="str">
        <f>BS$4</f>
        <v>3Q13</v>
      </c>
      <c r="BT454" s="568"/>
      <c r="BU454" s="559" t="str">
        <f>BU$4</f>
        <v>4Q13</v>
      </c>
      <c r="BV454" s="568"/>
      <c r="BW454" s="559" t="str">
        <f>BW$4</f>
        <v>1Q14</v>
      </c>
      <c r="BX454" s="568"/>
      <c r="BY454" s="559" t="str">
        <f>BY$4</f>
        <v>2Q14</v>
      </c>
      <c r="BZ454" s="568"/>
      <c r="CA454" s="559" t="str">
        <f>CA$4</f>
        <v>3Q14</v>
      </c>
      <c r="CB454" s="568"/>
      <c r="CC454" s="559" t="str">
        <f>CC$4</f>
        <v>4Q14</v>
      </c>
      <c r="CD454" s="568"/>
      <c r="CE454" s="559" t="str">
        <f>CE$4</f>
        <v>1Q15</v>
      </c>
      <c r="CF454" s="568"/>
      <c r="CG454" s="559" t="str">
        <f>CG$4</f>
        <v>2Q15</v>
      </c>
      <c r="CH454" s="568"/>
      <c r="CI454" s="559" t="str">
        <f>CI$4</f>
        <v>3Q15</v>
      </c>
      <c r="CJ454" s="568"/>
      <c r="CK454" s="559" t="str">
        <f>CK$4</f>
        <v>4Q15</v>
      </c>
      <c r="CL454" s="568"/>
      <c r="CM454" s="559" t="str">
        <f>CM$4</f>
        <v>1Q16</v>
      </c>
      <c r="CN454" s="568"/>
      <c r="CO454" s="559" t="str">
        <f>CO$4</f>
        <v>2Q16</v>
      </c>
      <c r="CP454" s="568"/>
      <c r="CQ454" s="559" t="str">
        <f>CQ$4</f>
        <v>3Q16</v>
      </c>
      <c r="CR454" s="568"/>
      <c r="CS454" s="559" t="str">
        <f>CS$4</f>
        <v>4Q16</v>
      </c>
      <c r="CT454" s="568"/>
      <c r="CU454" s="559" t="str">
        <f>CU$4</f>
        <v>1Q17</v>
      </c>
      <c r="CV454" s="568"/>
      <c r="CW454" s="559" t="str">
        <f>CW$4</f>
        <v>2Q17</v>
      </c>
      <c r="CX454" s="568"/>
      <c r="CY454" s="559" t="str">
        <f>CY$4</f>
        <v>3Q17</v>
      </c>
      <c r="CZ454" s="568"/>
      <c r="DA454" s="559" t="str">
        <f>DA$4</f>
        <v>4Q17</v>
      </c>
      <c r="DB454" s="560"/>
      <c r="DC454" s="568"/>
      <c r="DD454" s="568">
        <f>DD$4</f>
        <v>2004</v>
      </c>
      <c r="DE454" s="568"/>
      <c r="DF454" s="559" t="str">
        <f>DF$4</f>
        <v>2005</v>
      </c>
      <c r="DG454" s="568"/>
      <c r="DH454" s="559" t="str">
        <f>DH$4</f>
        <v>2006</v>
      </c>
      <c r="DI454" s="568"/>
      <c r="DJ454" s="569">
        <f>DJ$4</f>
        <v>2007</v>
      </c>
      <c r="DK454" s="568"/>
      <c r="DL454" s="559" t="str">
        <f>DL$4</f>
        <v>2008</v>
      </c>
      <c r="DM454" s="568"/>
      <c r="DN454" s="559" t="str">
        <f>DN$4</f>
        <v>2009</v>
      </c>
      <c r="DO454" s="568"/>
      <c r="DP454" s="559" t="str">
        <f>DP$4</f>
        <v>2010</v>
      </c>
      <c r="DQ454" s="568"/>
      <c r="DR454" s="559" t="str">
        <f>DR$4</f>
        <v>2011</v>
      </c>
      <c r="DS454" s="568"/>
      <c r="DT454" s="559" t="str">
        <f>DT$4</f>
        <v>2012</v>
      </c>
      <c r="DU454" s="568"/>
      <c r="DV454" s="559" t="str">
        <f>DV$4</f>
        <v>2013</v>
      </c>
      <c r="DW454" s="568"/>
      <c r="DX454" s="559">
        <f>DX$4</f>
        <v>2014</v>
      </c>
      <c r="DY454" s="568"/>
      <c r="DZ454" s="559" t="str">
        <f>DZ$4</f>
        <v>2015</v>
      </c>
      <c r="EA454" s="568"/>
      <c r="EB454" s="559">
        <f>EB$4</f>
        <v>2016</v>
      </c>
      <c r="EC454" s="568"/>
      <c r="ED454" s="559">
        <f>ED$4</f>
        <v>2017</v>
      </c>
      <c r="EE454" s="568"/>
      <c r="EF454" s="559" t="str">
        <f>EF$4</f>
        <v>2018E</v>
      </c>
      <c r="EG454" s="568"/>
      <c r="EH454" s="559" t="str">
        <f>EH$4</f>
        <v>2019E</v>
      </c>
      <c r="EI454" s="568"/>
      <c r="EJ454" s="559" t="str">
        <f>EJ$4</f>
        <v>2020E</v>
      </c>
      <c r="EK454" s="568"/>
      <c r="EL454" s="559" t="str">
        <f>EL$4</f>
        <v>2021E</v>
      </c>
      <c r="EM454" s="558" t="str">
        <f>EM$4</f>
        <v>CAGR</v>
      </c>
      <c r="EN454" s="549"/>
    </row>
    <row r="455" spans="1:144" ht="12.75" hidden="1" customHeight="1" outlineLevel="1" x14ac:dyDescent="0.2">
      <c r="A455" s="570"/>
      <c r="B455" s="571" t="str">
        <f>+B$5</f>
        <v>1Q06</v>
      </c>
      <c r="C455" s="572" t="str">
        <f>C$5</f>
        <v>% Chg</v>
      </c>
      <c r="D455" s="571" t="str">
        <f>+D$5</f>
        <v>2Q06</v>
      </c>
      <c r="E455" s="572" t="str">
        <f>E$5</f>
        <v>% Chg</v>
      </c>
      <c r="F455" s="571" t="str">
        <f>+F$5</f>
        <v>3Q06</v>
      </c>
      <c r="G455" s="572" t="str">
        <f>G$5</f>
        <v>% Chg</v>
      </c>
      <c r="H455" s="571" t="str">
        <f>+H$5</f>
        <v>4Q06</v>
      </c>
      <c r="I455" s="572" t="str">
        <f>I$5</f>
        <v>% Chg</v>
      </c>
      <c r="J455" s="571" t="str">
        <f>+J$5</f>
        <v>1Q07</v>
      </c>
      <c r="K455" s="572" t="str">
        <f>K$5</f>
        <v>% Chg</v>
      </c>
      <c r="L455" s="571" t="str">
        <f>+L$5</f>
        <v>2Q07</v>
      </c>
      <c r="M455" s="572" t="str">
        <f>M$5</f>
        <v>% Chg</v>
      </c>
      <c r="N455" s="571" t="str">
        <f>+N$5</f>
        <v>3Q07</v>
      </c>
      <c r="O455" s="572" t="str">
        <f>O$5</f>
        <v>% Chg</v>
      </c>
      <c r="P455" s="571" t="str">
        <f>+P$5</f>
        <v>4Q07</v>
      </c>
      <c r="Q455" s="572" t="str">
        <f>Q$5</f>
        <v>% Chg</v>
      </c>
      <c r="R455" s="571" t="str">
        <f>+R$5</f>
        <v>1Q08</v>
      </c>
      <c r="S455" s="572" t="str">
        <f>S$5</f>
        <v>% Chg</v>
      </c>
      <c r="T455" s="571" t="str">
        <f>+T$5</f>
        <v>2Q08</v>
      </c>
      <c r="U455" s="572" t="str">
        <f>U$5</f>
        <v>% Chg</v>
      </c>
      <c r="V455" s="571" t="str">
        <f>+V$5</f>
        <v>3Q08</v>
      </c>
      <c r="W455" s="572" t="str">
        <f>W$5</f>
        <v>% Chg</v>
      </c>
      <c r="X455" s="571" t="str">
        <f>+X$5</f>
        <v>4Q08</v>
      </c>
      <c r="Y455" s="572" t="str">
        <f>Y$5</f>
        <v>% Chg</v>
      </c>
      <c r="Z455" s="571" t="str">
        <f>+Z$5</f>
        <v>1Q09</v>
      </c>
      <c r="AA455" s="572" t="str">
        <f>AA$5</f>
        <v>% Chg</v>
      </c>
      <c r="AB455" s="571" t="str">
        <f>+AB$5</f>
        <v>2Q09</v>
      </c>
      <c r="AC455" s="572" t="str">
        <f>AC$5</f>
        <v>% Chg</v>
      </c>
      <c r="AD455" s="571" t="str">
        <f>+AD$5</f>
        <v>3Q09</v>
      </c>
      <c r="AE455" s="572" t="str">
        <f>AE$5</f>
        <v>% Chg</v>
      </c>
      <c r="AF455" s="571" t="str">
        <f>+AF$5</f>
        <v>4Q09</v>
      </c>
      <c r="AG455" s="572" t="str">
        <f>AG$5</f>
        <v>% Chg</v>
      </c>
      <c r="AH455" s="571" t="str">
        <f>+AH$5</f>
        <v>1Q10</v>
      </c>
      <c r="AI455" s="572" t="str">
        <f>AI$5</f>
        <v>% Chg</v>
      </c>
      <c r="AJ455" s="571" t="str">
        <f>+AJ$5</f>
        <v>2Q10</v>
      </c>
      <c r="AK455" s="572" t="str">
        <f>AK$5</f>
        <v>% Chg</v>
      </c>
      <c r="AL455" s="571" t="str">
        <f>+AL$5</f>
        <v>3Q10</v>
      </c>
      <c r="AM455" s="572" t="str">
        <f>AM$5</f>
        <v>% Chg</v>
      </c>
      <c r="AN455" s="571" t="str">
        <f>+AN$5</f>
        <v>4Q10</v>
      </c>
      <c r="AO455" s="572" t="str">
        <f>AO$5</f>
        <v>% Chg</v>
      </c>
      <c r="AP455" s="571" t="str">
        <f>+AP$5</f>
        <v>1Q11</v>
      </c>
      <c r="AQ455" s="572" t="str">
        <f>AQ$5</f>
        <v>% Chg</v>
      </c>
      <c r="AR455" s="571" t="str">
        <f>+AR$5</f>
        <v>2Q11</v>
      </c>
      <c r="AS455" s="572" t="str">
        <f>AS$5</f>
        <v>% Chg</v>
      </c>
      <c r="AT455" s="571" t="str">
        <f>+AT$5</f>
        <v>3Q11</v>
      </c>
      <c r="AU455" s="572" t="str">
        <f>AU$5</f>
        <v>% Chg</v>
      </c>
      <c r="AV455" s="571" t="str">
        <f>+AV$5</f>
        <v>4Q11</v>
      </c>
      <c r="AW455" s="572" t="str">
        <f>AW$5</f>
        <v>% Chg</v>
      </c>
      <c r="AX455" s="571" t="str">
        <f>+AX$5</f>
        <v>1Q12</v>
      </c>
      <c r="AY455" s="572" t="str">
        <f>AY$5</f>
        <v>% Chg</v>
      </c>
      <c r="AZ455" s="571" t="str">
        <f>+AZ$5</f>
        <v>2Q12</v>
      </c>
      <c r="BA455" s="572" t="str">
        <f>BA$5</f>
        <v>% Chg</v>
      </c>
      <c r="BB455" s="571" t="str">
        <f>+BB$5</f>
        <v>3Q12</v>
      </c>
      <c r="BC455" s="572" t="str">
        <f>BC$5</f>
        <v>% Chg</v>
      </c>
      <c r="BD455" s="571" t="str">
        <f>+BD$5</f>
        <v>4Q12</v>
      </c>
      <c r="BE455" s="572" t="str">
        <f>BE$5</f>
        <v>% Chg</v>
      </c>
      <c r="BF455" s="571" t="str">
        <f>+BF$5</f>
        <v>1Q13</v>
      </c>
      <c r="BG455" s="572" t="str">
        <f>BG$5</f>
        <v>% Chg</v>
      </c>
      <c r="BH455" s="571" t="str">
        <f>+BH$5</f>
        <v>2Q13</v>
      </c>
      <c r="BI455" s="572" t="str">
        <f>BI$5</f>
        <v>% Chg</v>
      </c>
      <c r="BJ455" s="571" t="str">
        <f>+BJ$5</f>
        <v>3Q13</v>
      </c>
      <c r="BK455" s="572" t="str">
        <f>BK$5</f>
        <v>% Chg</v>
      </c>
      <c r="BL455" s="571" t="str">
        <f>+BL$5</f>
        <v>4Q13</v>
      </c>
      <c r="BM455" s="572" t="str">
        <f>BM$5</f>
        <v>% Chg</v>
      </c>
      <c r="BN455" s="571" t="str">
        <f>+BN$5</f>
        <v>1Q14</v>
      </c>
      <c r="BO455" s="572" t="str">
        <f>BO$5</f>
        <v>% Chg</v>
      </c>
      <c r="BP455" s="571" t="str">
        <f>+BP$5</f>
        <v>2Q14</v>
      </c>
      <c r="BQ455" s="572" t="str">
        <f>BQ$5</f>
        <v>% Chg</v>
      </c>
      <c r="BR455" s="571" t="str">
        <f>+BR$5</f>
        <v>3Q14</v>
      </c>
      <c r="BS455" s="572" t="str">
        <f>BS$5</f>
        <v>% Chg</v>
      </c>
      <c r="BT455" s="571" t="str">
        <f>+BT$5</f>
        <v>4Q14</v>
      </c>
      <c r="BU455" s="572" t="str">
        <f>BU$5</f>
        <v>% Chg</v>
      </c>
      <c r="BV455" s="571" t="str">
        <f>+BV$5</f>
        <v>1Q15</v>
      </c>
      <c r="BW455" s="572" t="str">
        <f>BW$5</f>
        <v>% Chg</v>
      </c>
      <c r="BX455" s="571" t="str">
        <f>+BX$5</f>
        <v>2Q15</v>
      </c>
      <c r="BY455" s="572" t="str">
        <f>BY$5</f>
        <v>% Chg</v>
      </c>
      <c r="BZ455" s="571" t="str">
        <f>+BZ$5</f>
        <v>3Q15</v>
      </c>
      <c r="CA455" s="572" t="str">
        <f>CA$5</f>
        <v>% Chg</v>
      </c>
      <c r="CB455" s="571" t="str">
        <f>+CB$5</f>
        <v>4Q15</v>
      </c>
      <c r="CC455" s="572" t="str">
        <f>CC$5</f>
        <v>% Chg</v>
      </c>
      <c r="CD455" s="571" t="str">
        <f>+CD$5</f>
        <v>1Q16</v>
      </c>
      <c r="CE455" s="572" t="str">
        <f>CE$5</f>
        <v>% Chg</v>
      </c>
      <c r="CF455" s="571" t="str">
        <f>+CF$5</f>
        <v>2Q16</v>
      </c>
      <c r="CG455" s="572" t="str">
        <f>CG$5</f>
        <v>% Chg</v>
      </c>
      <c r="CH455" s="571" t="str">
        <f>+CH$5</f>
        <v>3Q16</v>
      </c>
      <c r="CI455" s="572" t="str">
        <f>CI$5</f>
        <v>% Chg</v>
      </c>
      <c r="CJ455" s="571" t="str">
        <f>+CJ$5</f>
        <v>4Q16</v>
      </c>
      <c r="CK455" s="572" t="str">
        <f>CK$5</f>
        <v>% Chg</v>
      </c>
      <c r="CL455" s="571" t="str">
        <f>+CL$5</f>
        <v>1Q17</v>
      </c>
      <c r="CM455" s="572" t="str">
        <f>CM$5</f>
        <v>% Chg</v>
      </c>
      <c r="CN455" s="571" t="str">
        <f>+CN$5</f>
        <v>2Q17</v>
      </c>
      <c r="CO455" s="572" t="str">
        <f>CO$5</f>
        <v>% Chg</v>
      </c>
      <c r="CP455" s="571" t="str">
        <f>+CP$5</f>
        <v>3Q17</v>
      </c>
      <c r="CQ455" s="572" t="str">
        <f>CQ$5</f>
        <v>% Chg</v>
      </c>
      <c r="CR455" s="571" t="str">
        <f>+CR$5</f>
        <v>4Q17</v>
      </c>
      <c r="CS455" s="572" t="str">
        <f>CS$5</f>
        <v>% Chg</v>
      </c>
      <c r="CT455" s="571" t="str">
        <f>+CT$5</f>
        <v>1Q18E</v>
      </c>
      <c r="CU455" s="572" t="str">
        <f>CU$5</f>
        <v>% Chg</v>
      </c>
      <c r="CV455" s="571" t="str">
        <f>+CV$5</f>
        <v>2Q18E</v>
      </c>
      <c r="CW455" s="572" t="str">
        <f>CW$5</f>
        <v>% Chg</v>
      </c>
      <c r="CX455" s="571" t="str">
        <f>+CX$5</f>
        <v>3Q18E</v>
      </c>
      <c r="CY455" s="572" t="str">
        <f>CY$5</f>
        <v>% Chg</v>
      </c>
      <c r="CZ455" s="571" t="str">
        <f>+CZ$5</f>
        <v>4Q18E</v>
      </c>
      <c r="DA455" s="572" t="str">
        <f>DA$5</f>
        <v>% Chg</v>
      </c>
      <c r="DB455" s="573"/>
      <c r="DC455" s="571" t="str">
        <f>+DC$5</f>
        <v>2005</v>
      </c>
      <c r="DD455" s="572" t="str">
        <f>DD$5</f>
        <v>% Chg</v>
      </c>
      <c r="DE455" s="571" t="str">
        <f>+DE$5</f>
        <v>2006</v>
      </c>
      <c r="DF455" s="572" t="str">
        <f>DF$5</f>
        <v>% Chg</v>
      </c>
      <c r="DG455" s="571">
        <f>+DG$5</f>
        <v>2007</v>
      </c>
      <c r="DH455" s="572" t="str">
        <f>DH$5</f>
        <v>% Chg</v>
      </c>
      <c r="DI455" s="571" t="str">
        <f>+DI$5</f>
        <v>2008</v>
      </c>
      <c r="DJ455" s="572" t="str">
        <f>DJ$5</f>
        <v>% Chg</v>
      </c>
      <c r="DK455" s="571" t="str">
        <f>+DK$5</f>
        <v>2009</v>
      </c>
      <c r="DL455" s="572" t="str">
        <f>DL$5</f>
        <v>% Chg</v>
      </c>
      <c r="DM455" s="571" t="str">
        <f>+DM$5</f>
        <v>2010</v>
      </c>
      <c r="DN455" s="572" t="str">
        <f>DN$5</f>
        <v>% Chg</v>
      </c>
      <c r="DO455" s="571" t="str">
        <f>+DO$5</f>
        <v>2011</v>
      </c>
      <c r="DP455" s="572" t="str">
        <f>DP$5</f>
        <v>% Chg</v>
      </c>
      <c r="DQ455" s="571" t="str">
        <f>+DQ$5</f>
        <v>2012</v>
      </c>
      <c r="DR455" s="572" t="str">
        <f>DR$5</f>
        <v>% Chg</v>
      </c>
      <c r="DS455" s="571" t="str">
        <f>+DS$5</f>
        <v>2013</v>
      </c>
      <c r="DT455" s="572" t="str">
        <f>DT$5</f>
        <v>% Chg</v>
      </c>
      <c r="DU455" s="571">
        <f>+DU$5</f>
        <v>2014</v>
      </c>
      <c r="DV455" s="572" t="str">
        <f>DV$5</f>
        <v>% Chg</v>
      </c>
      <c r="DW455" s="571" t="str">
        <f>+DW$5</f>
        <v>2015</v>
      </c>
      <c r="DX455" s="572" t="str">
        <f>DX$5</f>
        <v>% Chg</v>
      </c>
      <c r="DY455" s="571">
        <f>+DY$5</f>
        <v>2016</v>
      </c>
      <c r="DZ455" s="572" t="str">
        <f>DZ$5</f>
        <v>% Chg</v>
      </c>
      <c r="EA455" s="571">
        <f>+EA$5</f>
        <v>2017</v>
      </c>
      <c r="EB455" s="572" t="str">
        <f>EB$5</f>
        <v>% Chg</v>
      </c>
      <c r="EC455" s="571" t="str">
        <f>+EC$5</f>
        <v>2018E</v>
      </c>
      <c r="ED455" s="572" t="str">
        <f>ED$5</f>
        <v>% Chg</v>
      </c>
      <c r="EE455" s="571" t="str">
        <f>+EE$5</f>
        <v>2019E</v>
      </c>
      <c r="EF455" s="572" t="str">
        <f>EF$5</f>
        <v>% Chg</v>
      </c>
      <c r="EG455" s="571" t="str">
        <f>+EG$5</f>
        <v>2020E</v>
      </c>
      <c r="EH455" s="572" t="str">
        <f>EH$5</f>
        <v>% Chg</v>
      </c>
      <c r="EI455" s="571" t="str">
        <f>+EI$5</f>
        <v>2021E</v>
      </c>
      <c r="EJ455" s="572" t="str">
        <f>EJ$5</f>
        <v>% Chg</v>
      </c>
      <c r="EK455" s="571" t="str">
        <f>+EK$5</f>
        <v>2022E</v>
      </c>
      <c r="EL455" s="572" t="str">
        <f>EL$5</f>
        <v>% Chg</v>
      </c>
      <c r="EM455" s="574" t="str">
        <f>EM$5</f>
        <v>(%)</v>
      </c>
      <c r="EN455" s="549"/>
    </row>
    <row r="456" spans="1:144" ht="12.75" hidden="1" customHeight="1" outlineLevel="1" x14ac:dyDescent="0.2">
      <c r="A456" s="609"/>
      <c r="B456" s="610"/>
      <c r="C456" s="555"/>
      <c r="D456" s="610"/>
      <c r="E456" s="555"/>
      <c r="F456" s="610"/>
      <c r="G456" s="555"/>
      <c r="H456" s="610"/>
      <c r="I456" s="555"/>
      <c r="J456" s="610"/>
      <c r="K456" s="555"/>
      <c r="L456" s="610"/>
      <c r="M456" s="555"/>
      <c r="N456" s="610"/>
      <c r="O456" s="555"/>
      <c r="P456" s="610"/>
      <c r="Q456" s="555"/>
      <c r="R456" s="610"/>
      <c r="S456" s="555"/>
      <c r="T456" s="610"/>
      <c r="U456" s="555"/>
      <c r="V456" s="610"/>
      <c r="W456" s="555"/>
      <c r="X456" s="610"/>
      <c r="Y456" s="555"/>
      <c r="Z456" s="610"/>
      <c r="AA456" s="555"/>
      <c r="AB456" s="610"/>
      <c r="AC456" s="555"/>
      <c r="AD456" s="610"/>
      <c r="AE456" s="555"/>
      <c r="AF456" s="610"/>
      <c r="AG456" s="555"/>
      <c r="AH456" s="610"/>
      <c r="AI456" s="555"/>
      <c r="AJ456" s="610"/>
      <c r="AK456" s="555"/>
      <c r="AL456" s="610"/>
      <c r="AM456" s="555"/>
      <c r="AN456" s="610"/>
      <c r="AO456" s="555"/>
      <c r="AP456" s="610"/>
      <c r="AQ456" s="555"/>
      <c r="AR456" s="610"/>
      <c r="AS456" s="555"/>
      <c r="AT456" s="610"/>
      <c r="AU456" s="555"/>
      <c r="AV456" s="610"/>
      <c r="AW456" s="555"/>
      <c r="AX456" s="610"/>
      <c r="AY456" s="555"/>
      <c r="AZ456" s="610"/>
      <c r="BA456" s="555"/>
      <c r="BB456" s="610"/>
      <c r="BC456" s="555"/>
      <c r="BD456" s="610"/>
      <c r="BE456" s="555"/>
      <c r="BF456" s="610"/>
      <c r="BG456" s="555"/>
      <c r="BH456" s="610"/>
      <c r="BI456" s="555"/>
      <c r="BJ456" s="610"/>
      <c r="BK456" s="555"/>
      <c r="BL456" s="610"/>
      <c r="BM456" s="555"/>
      <c r="BN456" s="610"/>
      <c r="BO456" s="555"/>
      <c r="BP456" s="610"/>
      <c r="BQ456" s="555"/>
      <c r="BR456" s="610"/>
      <c r="BS456" s="555"/>
      <c r="BT456" s="610"/>
      <c r="BU456" s="555"/>
      <c r="BV456" s="610"/>
      <c r="BW456" s="555"/>
      <c r="BX456" s="610"/>
      <c r="BY456" s="555"/>
      <c r="BZ456" s="610"/>
      <c r="CA456" s="555"/>
      <c r="CB456" s="610"/>
      <c r="CC456" s="555"/>
      <c r="CD456" s="610"/>
      <c r="CE456" s="555"/>
      <c r="CF456" s="610"/>
      <c r="CG456" s="555"/>
      <c r="CH456" s="610"/>
      <c r="CI456" s="555"/>
      <c r="CJ456" s="610"/>
      <c r="CK456" s="555"/>
      <c r="CL456" s="610"/>
      <c r="CM456" s="555"/>
      <c r="CN456" s="610"/>
      <c r="CO456" s="555"/>
      <c r="CP456" s="610"/>
      <c r="CQ456" s="555"/>
      <c r="CR456" s="610"/>
      <c r="CS456" s="555"/>
      <c r="CT456" s="610"/>
      <c r="CU456" s="555"/>
      <c r="CV456" s="610"/>
      <c r="CW456" s="555"/>
      <c r="CX456" s="610"/>
      <c r="CY456" s="555"/>
      <c r="CZ456" s="610"/>
      <c r="DA456" s="555"/>
      <c r="DB456" s="556"/>
      <c r="DC456" s="610"/>
      <c r="DD456" s="555"/>
      <c r="DE456" s="610"/>
      <c r="DF456" s="555"/>
      <c r="DG456" s="610"/>
      <c r="DH456" s="555"/>
      <c r="DI456" s="610"/>
      <c r="DJ456" s="555"/>
      <c r="DK456" s="610"/>
      <c r="DL456" s="555"/>
      <c r="DM456" s="610"/>
      <c r="DN456" s="555"/>
      <c r="DO456" s="610"/>
      <c r="DP456" s="555"/>
      <c r="DQ456" s="610"/>
      <c r="DR456" s="555"/>
      <c r="DS456" s="610"/>
      <c r="DT456" s="555"/>
      <c r="DU456" s="610"/>
      <c r="DV456" s="555"/>
      <c r="DW456" s="610"/>
      <c r="DX456" s="555"/>
      <c r="DY456" s="610"/>
      <c r="DZ456" s="555"/>
      <c r="EA456" s="610"/>
      <c r="EB456" s="555"/>
      <c r="EC456" s="610"/>
      <c r="ED456" s="555"/>
      <c r="EE456" s="610"/>
      <c r="EF456" s="555"/>
      <c r="EG456" s="610"/>
      <c r="EH456" s="555"/>
      <c r="EI456" s="610"/>
      <c r="EJ456" s="555"/>
      <c r="EK456" s="610"/>
      <c r="EL456" s="555"/>
      <c r="EM456" s="555"/>
    </row>
    <row r="457" spans="1:144" ht="12.75" hidden="1" customHeight="1" outlineLevel="1" x14ac:dyDescent="0.2">
      <c r="A457" s="575" t="s">
        <v>128</v>
      </c>
      <c r="B457" s="610"/>
      <c r="C457" s="555"/>
      <c r="D457" s="610"/>
      <c r="E457" s="555"/>
      <c r="F457" s="610"/>
      <c r="G457" s="555"/>
      <c r="H457" s="610"/>
      <c r="I457" s="555"/>
      <c r="J457" s="610"/>
      <c r="K457" s="555"/>
      <c r="L457" s="610"/>
      <c r="M457" s="555"/>
      <c r="N457" s="610"/>
      <c r="O457" s="555"/>
      <c r="P457" s="610"/>
      <c r="Q457" s="555"/>
      <c r="R457" s="610"/>
      <c r="S457" s="555"/>
      <c r="T457" s="610"/>
      <c r="U457" s="555"/>
      <c r="V457" s="610"/>
      <c r="W457" s="555"/>
      <c r="X457" s="610"/>
      <c r="Y457" s="555"/>
      <c r="Z457" s="610"/>
      <c r="AA457" s="555"/>
      <c r="AB457" s="610"/>
      <c r="AC457" s="555"/>
      <c r="AD457" s="610"/>
      <c r="AE457" s="555"/>
      <c r="AF457" s="610"/>
      <c r="AG457" s="555"/>
      <c r="AH457" s="610"/>
      <c r="AI457" s="555"/>
      <c r="AJ457" s="610"/>
      <c r="AK457" s="555"/>
      <c r="AL457" s="610"/>
      <c r="AM457" s="555"/>
      <c r="AN457" s="610"/>
      <c r="AO457" s="555"/>
      <c r="AP457" s="610"/>
      <c r="AQ457" s="555"/>
      <c r="AR457" s="610"/>
      <c r="AS457" s="555"/>
      <c r="AT457" s="610"/>
      <c r="AU457" s="555"/>
      <c r="AV457" s="610"/>
      <c r="AW457" s="555"/>
      <c r="AX457" s="610"/>
      <c r="AY457" s="555"/>
      <c r="AZ457" s="610"/>
      <c r="BA457" s="555"/>
      <c r="BB457" s="610"/>
      <c r="BC457" s="555"/>
      <c r="BD457" s="610"/>
      <c r="BE457" s="555"/>
      <c r="BF457" s="610"/>
      <c r="BG457" s="555"/>
      <c r="BH457" s="610"/>
      <c r="BI457" s="555"/>
      <c r="BJ457" s="610"/>
      <c r="BK457" s="555"/>
      <c r="BL457" s="610"/>
      <c r="BM457" s="555"/>
      <c r="BN457" s="610"/>
      <c r="BO457" s="555"/>
      <c r="BP457" s="610"/>
      <c r="BQ457" s="555"/>
      <c r="BR457" s="610"/>
      <c r="BS457" s="555"/>
      <c r="BT457" s="610"/>
      <c r="BU457" s="555"/>
      <c r="BV457" s="610"/>
      <c r="BW457" s="555"/>
      <c r="BX457" s="610"/>
      <c r="BY457" s="555"/>
      <c r="BZ457" s="610"/>
      <c r="CA457" s="555"/>
      <c r="CB457" s="610"/>
      <c r="CC457" s="555"/>
      <c r="CD457" s="610"/>
      <c r="CE457" s="555"/>
      <c r="CF457" s="610"/>
      <c r="CG457" s="555"/>
      <c r="CH457" s="610"/>
      <c r="CI457" s="555"/>
      <c r="CJ457" s="610"/>
      <c r="CK457" s="555"/>
      <c r="CL457" s="610"/>
      <c r="CM457" s="555"/>
      <c r="CN457" s="610"/>
      <c r="CO457" s="555"/>
      <c r="CP457" s="610"/>
      <c r="CQ457" s="555"/>
      <c r="CR457" s="610"/>
      <c r="CS457" s="555"/>
      <c r="CT457" s="610"/>
      <c r="CU457" s="555"/>
      <c r="CV457" s="610"/>
      <c r="CW457" s="555"/>
      <c r="CX457" s="610"/>
      <c r="CY457" s="555"/>
      <c r="CZ457" s="610"/>
      <c r="DA457" s="555"/>
      <c r="DB457" s="556"/>
      <c r="DC457" s="610"/>
      <c r="DD457" s="555"/>
      <c r="DE457" s="610"/>
      <c r="DF457" s="555"/>
      <c r="DG457" s="610"/>
      <c r="DH457" s="555"/>
      <c r="DI457" s="610"/>
      <c r="DJ457" s="555"/>
      <c r="DK457" s="610"/>
      <c r="DL457" s="555"/>
      <c r="DM457" s="610"/>
      <c r="DN457" s="555"/>
      <c r="DO457" s="610"/>
      <c r="DP457" s="555"/>
      <c r="DQ457" s="610"/>
      <c r="DR457" s="555"/>
      <c r="DS457" s="610"/>
      <c r="DT457" s="555"/>
      <c r="DU457" s="610"/>
      <c r="DV457" s="555"/>
      <c r="DW457" s="610"/>
      <c r="DX457" s="555"/>
      <c r="DY457" s="610"/>
      <c r="DZ457" s="555"/>
      <c r="EA457" s="610"/>
      <c r="EB457" s="555"/>
      <c r="EC457" s="610"/>
      <c r="ED457" s="555"/>
      <c r="EE457" s="610"/>
      <c r="EF457" s="555"/>
      <c r="EG457" s="610"/>
      <c r="EH457" s="555"/>
      <c r="EI457" s="610"/>
      <c r="EJ457" s="555"/>
      <c r="EK457" s="610"/>
      <c r="EL457" s="555"/>
      <c r="EM457" s="555"/>
    </row>
    <row r="458" spans="1:144" ht="12.75" hidden="1" customHeight="1" outlineLevel="1" x14ac:dyDescent="0.2">
      <c r="A458" s="579" t="str">
        <f>INPUT!B364</f>
        <v>Premiums</v>
      </c>
      <c r="B458" s="580">
        <f>INPUT!AY364</f>
        <v>989</v>
      </c>
      <c r="C458" s="577">
        <f>INPUT!AZ364</f>
        <v>2.5933609958506167</v>
      </c>
      <c r="D458" s="580">
        <f>INPUT!BA364</f>
        <v>977</v>
      </c>
      <c r="E458" s="577">
        <f>INPUT!BB364</f>
        <v>7.2447859495060385</v>
      </c>
      <c r="F458" s="580">
        <f>INPUT!BC364</f>
        <v>963</v>
      </c>
      <c r="G458" s="577">
        <f>INPUT!BD364</f>
        <v>7.7181208053691392</v>
      </c>
      <c r="H458" s="580">
        <f>INPUT!BE364</f>
        <v>988</v>
      </c>
      <c r="I458" s="577">
        <f>INPUT!BF364</f>
        <v>11.011235955056179</v>
      </c>
      <c r="J458" s="580">
        <f>INPUT!BG364</f>
        <v>1086</v>
      </c>
      <c r="K458" s="577">
        <f>INPUT!BH364</f>
        <v>9.8078867542972716</v>
      </c>
      <c r="L458" s="580">
        <f>INPUT!BI364</f>
        <v>1024</v>
      </c>
      <c r="M458" s="577">
        <f>INPUT!BJ364</f>
        <v>4.8106448311156669</v>
      </c>
      <c r="N458" s="580">
        <f>INPUT!BK364</f>
        <v>1060</v>
      </c>
      <c r="O458" s="577">
        <f>INPUT!BL364</f>
        <v>10.072689511941846</v>
      </c>
      <c r="P458" s="580">
        <f>INPUT!BM364</f>
        <v>1106</v>
      </c>
      <c r="Q458" s="577">
        <f>INPUT!BN364</f>
        <v>11.943319838056681</v>
      </c>
      <c r="R458" s="580">
        <f>INPUT!BO364</f>
        <v>1262</v>
      </c>
      <c r="S458" s="577">
        <f>INPUT!BP364</f>
        <v>16.206261510128911</v>
      </c>
      <c r="T458" s="580">
        <f>INPUT!BQ364</f>
        <v>1161</v>
      </c>
      <c r="U458" s="577">
        <f>INPUT!BR364</f>
        <v>13.37890625</v>
      </c>
      <c r="V458" s="580">
        <f>INPUT!BS364</f>
        <v>1129</v>
      </c>
      <c r="W458" s="577">
        <f>INPUT!BT364</f>
        <v>6.5094339622641542</v>
      </c>
      <c r="X458" s="580">
        <f>INPUT!BU364</f>
        <v>1158</v>
      </c>
      <c r="Y458" s="577">
        <f>INPUT!BV364</f>
        <v>4.7016274864376157</v>
      </c>
      <c r="Z458" s="580">
        <f>INPUT!BW364</f>
        <v>1285</v>
      </c>
      <c r="AA458" s="577">
        <f>INPUT!BX364</f>
        <v>1.8225039619651255</v>
      </c>
      <c r="AB458" s="580">
        <f>INPUT!BY364</f>
        <v>1199</v>
      </c>
      <c r="AC458" s="577">
        <f>INPUT!BZ364</f>
        <v>3.2730404823428074</v>
      </c>
      <c r="AD458" s="580">
        <f>INPUT!CA364</f>
        <v>1232</v>
      </c>
      <c r="AE458" s="577">
        <f>INPUT!CB364</f>
        <v>9.1231178033658153</v>
      </c>
      <c r="AF458" s="580">
        <f>INPUT!CC364</f>
        <v>1302</v>
      </c>
      <c r="AG458" s="577">
        <f>INPUT!CD364</f>
        <v>12.435233160621763</v>
      </c>
      <c r="AH458" s="580">
        <f>INPUT!CE364</f>
        <v>1443</v>
      </c>
      <c r="AI458" s="577">
        <f>INPUT!CF364</f>
        <v>12.295719844357976</v>
      </c>
      <c r="AJ458" s="580">
        <f>INPUT!CG364</f>
        <v>1311</v>
      </c>
      <c r="AK458" s="577">
        <f>INPUT!CH364</f>
        <v>9.3411175979983341</v>
      </c>
      <c r="AL458" s="580">
        <f>INPUT!CI364</f>
        <v>1407</v>
      </c>
      <c r="AM458" s="577">
        <f>INPUT!CJ364</f>
        <v>14.204545454545453</v>
      </c>
      <c r="AN458" s="580">
        <f>INPUT!CK364</f>
        <v>1487</v>
      </c>
      <c r="AO458" s="577">
        <f>INPUT!CL364</f>
        <v>14.208909370199692</v>
      </c>
      <c r="AP458" s="580">
        <f>INPUT!CM364</f>
        <v>1655</v>
      </c>
      <c r="AQ458" s="577">
        <f>INPUT!CN364</f>
        <v>14.691614691614689</v>
      </c>
      <c r="AR458" s="580">
        <f>INPUT!CO364</f>
        <v>1512</v>
      </c>
      <c r="AS458" s="577">
        <f>INPUT!CP364</f>
        <v>15.331807780320375</v>
      </c>
      <c r="AT458" s="580">
        <f>INPUT!CQ364</f>
        <v>1612</v>
      </c>
      <c r="AU458" s="577">
        <f>INPUT!CR364</f>
        <v>14.570007107320549</v>
      </c>
      <c r="AV458" s="580">
        <f>INPUT!CS364</f>
        <v>1632</v>
      </c>
      <c r="AW458" s="577">
        <f>INPUT!CT364</f>
        <v>9.751176866173509</v>
      </c>
      <c r="AX458" s="580">
        <f>INPUT!CU364</f>
        <v>1826</v>
      </c>
      <c r="AY458" s="577">
        <f>INPUT!CV364</f>
        <v>10.332326283987925</v>
      </c>
      <c r="AZ458" s="580">
        <f>INPUT!CW364</f>
        <v>1690</v>
      </c>
      <c r="BA458" s="577">
        <f>INPUT!CX364</f>
        <v>11.772486772486772</v>
      </c>
      <c r="BB458" s="580">
        <f>INPUT!CY364</f>
        <v>1727</v>
      </c>
      <c r="BC458" s="577">
        <f>INPUT!CZ364</f>
        <v>7.1339950372208563</v>
      </c>
      <c r="BD458" s="580">
        <f>INPUT!DA364</f>
        <v>1728</v>
      </c>
      <c r="BE458" s="577">
        <f>INPUT!DB364</f>
        <v>5.8823529411764781</v>
      </c>
      <c r="BF458" s="580">
        <f>INPUT!DC364</f>
        <v>1890</v>
      </c>
      <c r="BG458" s="577">
        <f>INPUT!DD364</f>
        <v>3.5049288061336199</v>
      </c>
      <c r="BH458" s="580">
        <f>INPUT!DE364</f>
        <v>1623</v>
      </c>
      <c r="BI458" s="577">
        <f>INPUT!DF364</f>
        <v>-3.9644970414201168</v>
      </c>
      <c r="BJ458" s="580">
        <f>INPUT!DG364</f>
        <v>1606</v>
      </c>
      <c r="BK458" s="577">
        <f>INPUT!DH364</f>
        <v>-7.0063694267515899</v>
      </c>
      <c r="BL458" s="580">
        <f>INPUT!DI364</f>
        <v>1651</v>
      </c>
      <c r="BM458" s="577">
        <f>INPUT!DJ364</f>
        <v>-4.456018518518519</v>
      </c>
      <c r="BN458" s="580">
        <f>INPUT!DK364</f>
        <v>1884</v>
      </c>
      <c r="BO458" s="577">
        <f>INPUT!DL364</f>
        <v>-0.31746031746031633</v>
      </c>
      <c r="BP458" s="580">
        <f>INPUT!DM364</f>
        <v>1686</v>
      </c>
      <c r="BQ458" s="577">
        <f>INPUT!DN364</f>
        <v>3.8817005545286491</v>
      </c>
      <c r="BR458" s="580">
        <f>INPUT!DO364</f>
        <v>1693</v>
      </c>
      <c r="BS458" s="577">
        <f>INPUT!DP364</f>
        <v>5.4171855541718514</v>
      </c>
      <c r="BT458" s="580">
        <f>INPUT!DQ364</f>
        <v>1620</v>
      </c>
      <c r="BU458" s="577">
        <f>INPUT!DR364</f>
        <v>-1.8776499091459726</v>
      </c>
      <c r="BV458" s="580">
        <f>INPUT!DS364</f>
        <v>1830</v>
      </c>
      <c r="BW458" s="577">
        <f>INPUT!DT364</f>
        <v>-2.866242038216555</v>
      </c>
      <c r="BX458" s="580">
        <f>INPUT!DU364</f>
        <v>1627</v>
      </c>
      <c r="BY458" s="577">
        <f>INPUT!DV364</f>
        <v>-3.4994068801898095</v>
      </c>
      <c r="BZ458" s="580">
        <f>INPUT!DW364</f>
        <v>1643</v>
      </c>
      <c r="CA458" s="577">
        <f>INPUT!DX364</f>
        <v>-2.9533372711163679</v>
      </c>
      <c r="CB458" s="580">
        <f>INPUT!DY364</f>
        <v>1628</v>
      </c>
      <c r="CC458" s="577">
        <f>INPUT!DZ364</f>
        <v>0.49382716049382225</v>
      </c>
      <c r="CD458" s="580">
        <f>INPUT!EA364</f>
        <v>1940</v>
      </c>
      <c r="CE458" s="577">
        <f>INPUT!EB364</f>
        <v>6.0109289617486468</v>
      </c>
      <c r="CF458" s="580">
        <f>INPUT!EC364</f>
        <v>1818</v>
      </c>
      <c r="CG458" s="577">
        <f>INPUT!ED364</f>
        <v>11.739397664413033</v>
      </c>
      <c r="CH458" s="580">
        <f>INPUT!EE364</f>
        <v>1882</v>
      </c>
      <c r="CI458" s="577">
        <f>INPUT!EF364</f>
        <v>14.546561168594025</v>
      </c>
      <c r="CJ458" s="580">
        <f>INPUT!EG364</f>
        <v>1831</v>
      </c>
      <c r="CK458" s="577">
        <f>INPUT!EH364</f>
        <v>12.469287469287465</v>
      </c>
      <c r="CL458" s="580">
        <f>INPUT!EI364</f>
        <v>2116</v>
      </c>
      <c r="CM458" s="577">
        <f>INPUT!EJ364</f>
        <v>9.0721649484536044</v>
      </c>
      <c r="CN458" s="580">
        <f>INPUT!EK364</f>
        <v>1933</v>
      </c>
      <c r="CO458" s="577">
        <f>INPUT!EL364</f>
        <v>6.3256325632563346</v>
      </c>
      <c r="CP458" s="580">
        <f>INPUT!EM364</f>
        <v>1938</v>
      </c>
      <c r="CQ458" s="577">
        <f>INPUT!EN364</f>
        <v>2.9755579171094553</v>
      </c>
      <c r="CR458" s="580">
        <f>INPUT!EO364</f>
        <v>1966</v>
      </c>
      <c r="CS458" s="577">
        <f>INPUT!EP364</f>
        <v>7.373020207536868</v>
      </c>
      <c r="CT458" s="580">
        <f>INPUT!EQ364</f>
        <v>2210.1715315315314</v>
      </c>
      <c r="CU458" s="577">
        <f>INPUT!ER364</f>
        <v>4.4504504504504467</v>
      </c>
      <c r="CV458" s="580">
        <f>INPUT!ES364</f>
        <v>2019.0272072072071</v>
      </c>
      <c r="CW458" s="577">
        <f>INPUT!ET364</f>
        <v>4.4504504504504467</v>
      </c>
      <c r="CX458" s="580">
        <f>INPUT!EU364</f>
        <v>2024.2497297297298</v>
      </c>
      <c r="CY458" s="577">
        <f>INPUT!EV364</f>
        <v>4.4504504504504467</v>
      </c>
      <c r="CZ458" s="580">
        <f>INPUT!EW364</f>
        <v>2053.495855855856</v>
      </c>
      <c r="DA458" s="577">
        <f>INPUT!EX364</f>
        <v>4.4504504504504467</v>
      </c>
      <c r="DB458" s="580"/>
      <c r="DC458" s="580">
        <f>INPUT!FP364</f>
        <v>3659</v>
      </c>
      <c r="DD458" s="577">
        <f>INPUT!FQ364</f>
        <v>24.1180461329715</v>
      </c>
      <c r="DE458" s="580">
        <f>INPUT!FR364</f>
        <v>3917</v>
      </c>
      <c r="DF458" s="577">
        <f>INPUT!FS364</f>
        <v>7.0511068597977555</v>
      </c>
      <c r="DG458" s="580">
        <f>INPUT!FT364</f>
        <v>4276</v>
      </c>
      <c r="DH458" s="577">
        <f>INPUT!FU364</f>
        <v>9.1651774317079457</v>
      </c>
      <c r="DI458" s="580">
        <f>INPUT!FV364</f>
        <v>4702</v>
      </c>
      <c r="DJ458" s="577">
        <f>INPUT!FW364</f>
        <v>9.962581852198312</v>
      </c>
      <c r="DK458" s="580">
        <f>INPUT!FX364</f>
        <v>4975</v>
      </c>
      <c r="DL458" s="577">
        <f>INPUT!FY364</f>
        <v>5.8060399829859648</v>
      </c>
      <c r="DM458" s="580">
        <f>INPUT!FZ364</f>
        <v>5648</v>
      </c>
      <c r="DN458" s="577">
        <f>INPUT!GA364</f>
        <v>13.527638190954775</v>
      </c>
      <c r="DO458" s="580">
        <f>INPUT!GB364</f>
        <v>6411</v>
      </c>
      <c r="DP458" s="577">
        <f>INPUT!GC364</f>
        <v>13.509206798866842</v>
      </c>
      <c r="DQ458" s="580">
        <f>INPUT!GD364</f>
        <v>6971</v>
      </c>
      <c r="DR458" s="577">
        <f>INPUT!GE364</f>
        <v>8.7349867415379805</v>
      </c>
      <c r="DS458" s="580">
        <f>INPUT!GF364</f>
        <v>6770</v>
      </c>
      <c r="DT458" s="577">
        <f>INPUT!GG364</f>
        <v>-2.8833739779084766</v>
      </c>
      <c r="DU458" s="580">
        <f>INPUT!GH364</f>
        <v>6883</v>
      </c>
      <c r="DV458" s="577">
        <f>INPUT!GI364</f>
        <v>1.6691285081240892</v>
      </c>
      <c r="DW458" s="580">
        <f>INPUT!GJ364</f>
        <v>6728</v>
      </c>
      <c r="DX458" s="577">
        <f>INPUT!GK364</f>
        <v>-2.2519250326892433</v>
      </c>
      <c r="DY458" s="580">
        <f>INPUT!GL364</f>
        <v>7471</v>
      </c>
      <c r="DZ458" s="577">
        <f>INPUT!GM364</f>
        <v>11.043400713436398</v>
      </c>
      <c r="EA458" s="580">
        <f>INPUT!GN364</f>
        <v>7953</v>
      </c>
      <c r="EB458" s="577">
        <f>INPUT!GO364</f>
        <v>6.4516129032257936</v>
      </c>
      <c r="EC458" s="580">
        <f>INPUT!GP364</f>
        <v>8306.944324324324</v>
      </c>
      <c r="ED458" s="577">
        <f>INPUT!GQ364</f>
        <v>4.4504504504504467</v>
      </c>
      <c r="EE458" s="580">
        <f>INPUT!GR364</f>
        <v>8639.2220972972973</v>
      </c>
      <c r="EF458" s="577">
        <f>INPUT!GS364</f>
        <v>4</v>
      </c>
      <c r="EG458" s="580">
        <f>INPUT!GT364</f>
        <v>8984.7909811891896</v>
      </c>
      <c r="EH458" s="577">
        <f>INPUT!GU364</f>
        <v>4</v>
      </c>
      <c r="EI458" s="580">
        <f>INPUT!GV364</f>
        <v>9344.1826204367571</v>
      </c>
      <c r="EJ458" s="577">
        <f>INPUT!GW364</f>
        <v>4</v>
      </c>
      <c r="EK458" s="580">
        <f>INPUT!GX364</f>
        <v>9717.9499252542282</v>
      </c>
      <c r="EL458" s="577">
        <f>INPUT!GY364</f>
        <v>4</v>
      </c>
      <c r="EM458" s="577">
        <f>INPUT!GZ364</f>
        <v>4.089934413243701</v>
      </c>
    </row>
    <row r="459" spans="1:144" ht="12.75" hidden="1" customHeight="1" outlineLevel="1" x14ac:dyDescent="0.2">
      <c r="A459" s="579" t="str">
        <f>INPUT!B366</f>
        <v>Policy Charges and Fee Income</v>
      </c>
      <c r="B459" s="580">
        <f>INPUT!AY366</f>
        <v>58</v>
      </c>
      <c r="C459" s="577">
        <f>INPUT!AZ366</f>
        <v>9.4339622641509351</v>
      </c>
      <c r="D459" s="580">
        <f>INPUT!BA366</f>
        <v>51</v>
      </c>
      <c r="E459" s="577">
        <f>INPUT!BB366</f>
        <v>10.869565217391312</v>
      </c>
      <c r="F459" s="580">
        <f>INPUT!BC366</f>
        <v>55</v>
      </c>
      <c r="G459" s="577">
        <f>INPUT!BD366</f>
        <v>1.8518518518518619</v>
      </c>
      <c r="H459" s="580">
        <f>INPUT!BE366</f>
        <v>57</v>
      </c>
      <c r="I459" s="577">
        <f>INPUT!BF366</f>
        <v>29.545454545454533</v>
      </c>
      <c r="J459" s="580">
        <f>INPUT!BG366</f>
        <v>56</v>
      </c>
      <c r="K459" s="577">
        <f>INPUT!BH366</f>
        <v>-3.448275862068968</v>
      </c>
      <c r="L459" s="580">
        <f>INPUT!BI366</f>
        <v>57</v>
      </c>
      <c r="M459" s="577">
        <f>INPUT!BJ366</f>
        <v>11.764705882352942</v>
      </c>
      <c r="N459" s="580">
        <f>INPUT!BK366</f>
        <v>58</v>
      </c>
      <c r="O459" s="577">
        <f>INPUT!BL366</f>
        <v>5.454545454545439</v>
      </c>
      <c r="P459" s="580">
        <f>INPUT!BM366</f>
        <v>59</v>
      </c>
      <c r="Q459" s="577">
        <f>INPUT!BN366</f>
        <v>3.5087719298245759</v>
      </c>
      <c r="R459" s="580">
        <f>INPUT!BO366</f>
        <v>70</v>
      </c>
      <c r="S459" s="577">
        <f>INPUT!BP366</f>
        <v>25</v>
      </c>
      <c r="T459" s="580">
        <f>INPUT!BQ366</f>
        <v>64</v>
      </c>
      <c r="U459" s="577">
        <f>INPUT!BR366</f>
        <v>12.280701754385959</v>
      </c>
      <c r="V459" s="580">
        <f>INPUT!BS366</f>
        <v>66</v>
      </c>
      <c r="W459" s="577">
        <f>INPUT!BT366</f>
        <v>13.793103448275872</v>
      </c>
      <c r="X459" s="580">
        <f>INPUT!BU366</f>
        <v>71</v>
      </c>
      <c r="Y459" s="577">
        <f>INPUT!BV366</f>
        <v>20.338983050847446</v>
      </c>
      <c r="Z459" s="580">
        <f>INPUT!BW366</f>
        <v>78</v>
      </c>
      <c r="AA459" s="577">
        <f>INPUT!BX366</f>
        <v>11.428571428571431</v>
      </c>
      <c r="AB459" s="580">
        <f>INPUT!BY366</f>
        <v>72</v>
      </c>
      <c r="AC459" s="577">
        <f>INPUT!BZ366</f>
        <v>12.5</v>
      </c>
      <c r="AD459" s="580">
        <f>INPUT!CA366</f>
        <v>71</v>
      </c>
      <c r="AE459" s="577">
        <f>INPUT!CB366</f>
        <v>7.5757575757575637</v>
      </c>
      <c r="AF459" s="580">
        <f>INPUT!CC366</f>
        <v>74</v>
      </c>
      <c r="AG459" s="577">
        <f>INPUT!CD366</f>
        <v>4.2253521126760489</v>
      </c>
      <c r="AH459" s="580">
        <f>INPUT!CE366</f>
        <v>76</v>
      </c>
      <c r="AI459" s="577">
        <f>INPUT!CF366</f>
        <v>-2.5641025641025692</v>
      </c>
      <c r="AJ459" s="580">
        <f>INPUT!CG366</f>
        <v>77</v>
      </c>
      <c r="AK459" s="577">
        <f>INPUT!CH366</f>
        <v>6.9444444444444429</v>
      </c>
      <c r="AL459" s="580">
        <f>INPUT!CI366</f>
        <v>86</v>
      </c>
      <c r="AM459" s="577">
        <f>INPUT!CJ366</f>
        <v>21.126760563380273</v>
      </c>
      <c r="AN459" s="580">
        <f>INPUT!CK366</f>
        <v>86</v>
      </c>
      <c r="AO459" s="577">
        <f>INPUT!CL366</f>
        <v>16.21621621621621</v>
      </c>
      <c r="AP459" s="580">
        <f>INPUT!CM366</f>
        <v>90</v>
      </c>
      <c r="AQ459" s="577">
        <f>INPUT!CN366</f>
        <v>18.421052631578931</v>
      </c>
      <c r="AR459" s="580">
        <f>INPUT!CO366</f>
        <v>91</v>
      </c>
      <c r="AS459" s="577">
        <f>INPUT!CP366</f>
        <v>18.181818181818187</v>
      </c>
      <c r="AT459" s="580">
        <f>INPUT!CQ366</f>
        <v>98</v>
      </c>
      <c r="AU459" s="577">
        <f>INPUT!CR366</f>
        <v>13.95348837209302</v>
      </c>
      <c r="AV459" s="580">
        <f>INPUT!CS366</f>
        <v>92</v>
      </c>
      <c r="AW459" s="577">
        <f>INPUT!CT366</f>
        <v>6.9767441860465027</v>
      </c>
      <c r="AX459" s="580">
        <f>INPUT!CU366</f>
        <v>94</v>
      </c>
      <c r="AY459" s="577">
        <f>INPUT!CV366</f>
        <v>4.4444444444444571</v>
      </c>
      <c r="AZ459" s="580">
        <f>INPUT!CW366</f>
        <v>94</v>
      </c>
      <c r="BA459" s="577">
        <f>INPUT!CX366</f>
        <v>3.2967032967033134</v>
      </c>
      <c r="BB459" s="580">
        <f>INPUT!CY366</f>
        <v>83</v>
      </c>
      <c r="BC459" s="577">
        <f>INPUT!CZ366</f>
        <v>-15.306122448979593</v>
      </c>
      <c r="BD459" s="580">
        <f>INPUT!DA366</f>
        <v>100</v>
      </c>
      <c r="BE459" s="577">
        <f>INPUT!DB366</f>
        <v>8.6956521739130324</v>
      </c>
      <c r="BF459" s="580">
        <f>INPUT!DC366</f>
        <v>90</v>
      </c>
      <c r="BG459" s="577">
        <f>INPUT!DD366</f>
        <v>-4.2553191489361666</v>
      </c>
      <c r="BH459" s="580">
        <f>INPUT!DE366</f>
        <v>85</v>
      </c>
      <c r="BI459" s="577">
        <f>INPUT!DF366</f>
        <v>-9.5744680851063748</v>
      </c>
      <c r="BJ459" s="580">
        <f>INPUT!DG366</f>
        <v>88</v>
      </c>
      <c r="BK459" s="577">
        <f>INPUT!DH366</f>
        <v>6.0240963855421796</v>
      </c>
      <c r="BL459" s="580">
        <f>INPUT!DI366</f>
        <v>86</v>
      </c>
      <c r="BM459" s="577">
        <f>INPUT!DJ366</f>
        <v>-14</v>
      </c>
      <c r="BN459" s="580">
        <f>INPUT!DK366</f>
        <v>91</v>
      </c>
      <c r="BO459" s="577">
        <f>INPUT!DL366</f>
        <v>1.1111111111111143</v>
      </c>
      <c r="BP459" s="580">
        <f>INPUT!DM366</f>
        <v>89</v>
      </c>
      <c r="BQ459" s="577">
        <f>INPUT!DN366</f>
        <v>4.7058823529411882</v>
      </c>
      <c r="BR459" s="580">
        <f>INPUT!DO366</f>
        <v>87</v>
      </c>
      <c r="BS459" s="577">
        <f>INPUT!DP366</f>
        <v>-1.1363636363636402</v>
      </c>
      <c r="BT459" s="580">
        <f>INPUT!DQ366</f>
        <v>106</v>
      </c>
      <c r="BU459" s="577">
        <f>INPUT!DR366</f>
        <v>23.255813953488371</v>
      </c>
      <c r="BV459" s="580">
        <f>INPUT!DS366</f>
        <v>87</v>
      </c>
      <c r="BW459" s="577">
        <f>INPUT!DT366</f>
        <v>-4.3956043956043942</v>
      </c>
      <c r="BX459" s="580">
        <f>INPUT!DU366</f>
        <v>85</v>
      </c>
      <c r="BY459" s="577">
        <f>INPUT!DV366</f>
        <v>-4.4943820224719104</v>
      </c>
      <c r="BZ459" s="580">
        <f>INPUT!DW366</f>
        <v>85</v>
      </c>
      <c r="CA459" s="577">
        <f>INPUT!DX366</f>
        <v>-2.2988505747126453</v>
      </c>
      <c r="CB459" s="580">
        <f>INPUT!DY366</f>
        <v>82</v>
      </c>
      <c r="CC459" s="577">
        <f>INPUT!DZ366</f>
        <v>-22.641509433962256</v>
      </c>
      <c r="CD459" s="580">
        <f>INPUT!EA366</f>
        <v>92</v>
      </c>
      <c r="CE459" s="577">
        <f>INPUT!EB366</f>
        <v>5.7471264367816133</v>
      </c>
      <c r="CF459" s="580">
        <f>INPUT!EC366</f>
        <v>67</v>
      </c>
      <c r="CG459" s="577">
        <f>INPUT!ED366</f>
        <v>-21.17647058823529</v>
      </c>
      <c r="CH459" s="580">
        <f>INPUT!EE366</f>
        <v>97</v>
      </c>
      <c r="CI459" s="577">
        <f>INPUT!EF366</f>
        <v>14.117647058823522</v>
      </c>
      <c r="CJ459" s="580">
        <f>INPUT!EG366</f>
        <v>90</v>
      </c>
      <c r="CK459" s="577">
        <f>INPUT!EH366</f>
        <v>9.7560975609756184</v>
      </c>
      <c r="CL459" s="580">
        <f>INPUT!EI366</f>
        <v>96</v>
      </c>
      <c r="CM459" s="577">
        <f>INPUT!EJ366</f>
        <v>4.3478260869565162</v>
      </c>
      <c r="CN459" s="580">
        <f>INPUT!EK366</f>
        <v>77</v>
      </c>
      <c r="CO459" s="577">
        <f>INPUT!EL366</f>
        <v>14.925373134328353</v>
      </c>
      <c r="CP459" s="580">
        <f>INPUT!EM366</f>
        <v>92</v>
      </c>
      <c r="CQ459" s="577">
        <f>INPUT!EN366</f>
        <v>-5.1546391752577421</v>
      </c>
      <c r="CR459" s="580">
        <f>INPUT!EO366</f>
        <v>92</v>
      </c>
      <c r="CS459" s="577">
        <f>INPUT!EP366</f>
        <v>2.2222222222222143</v>
      </c>
      <c r="CT459" s="580">
        <f>INPUT!EQ366</f>
        <v>100.27243243243242</v>
      </c>
      <c r="CU459" s="577">
        <f>INPUT!ER366</f>
        <v>4.4504504504504467</v>
      </c>
      <c r="CV459" s="580">
        <f>INPUT!ES366</f>
        <v>80.426846846846843</v>
      </c>
      <c r="CW459" s="577">
        <f>INPUT!ET366</f>
        <v>4.4504504504504467</v>
      </c>
      <c r="CX459" s="580">
        <f>INPUT!EU366</f>
        <v>96.094414414414416</v>
      </c>
      <c r="CY459" s="577">
        <f>INPUT!EV366</f>
        <v>4.4504504504504467</v>
      </c>
      <c r="CZ459" s="580">
        <f>INPUT!EW366</f>
        <v>96.094414414414416</v>
      </c>
      <c r="DA459" s="577">
        <f>INPUT!EX366</f>
        <v>4.4504504504504467</v>
      </c>
      <c r="DB459" s="580"/>
      <c r="DC459" s="580">
        <f>INPUT!FP366</f>
        <v>197</v>
      </c>
      <c r="DD459" s="577">
        <f>INPUT!FQ366</f>
        <v>20.121951219512198</v>
      </c>
      <c r="DE459" s="580">
        <f>INPUT!FR366</f>
        <v>221</v>
      </c>
      <c r="DF459" s="577">
        <f>INPUT!FS366</f>
        <v>12.182741116751259</v>
      </c>
      <c r="DG459" s="580">
        <f>INPUT!FT366</f>
        <v>230</v>
      </c>
      <c r="DH459" s="577">
        <f>INPUT!FU366</f>
        <v>4.0723981900452628</v>
      </c>
      <c r="DI459" s="580">
        <f>INPUT!FV366</f>
        <v>271</v>
      </c>
      <c r="DJ459" s="577">
        <f>INPUT!FW366</f>
        <v>17.826086956521749</v>
      </c>
      <c r="DK459" s="580">
        <f>INPUT!FX366</f>
        <v>295</v>
      </c>
      <c r="DL459" s="577">
        <f>INPUT!FY366</f>
        <v>8.8560885608855955</v>
      </c>
      <c r="DM459" s="580">
        <f>INPUT!FZ366</f>
        <v>325</v>
      </c>
      <c r="DN459" s="577">
        <f>INPUT!GA366</f>
        <v>10.169491525423723</v>
      </c>
      <c r="DO459" s="580">
        <f>INPUT!GB366</f>
        <v>371</v>
      </c>
      <c r="DP459" s="577">
        <f>INPUT!GC366</f>
        <v>14.15384615384616</v>
      </c>
      <c r="DQ459" s="580">
        <f>INPUT!GD366</f>
        <v>371</v>
      </c>
      <c r="DR459" s="577">
        <f>INPUT!GE366</f>
        <v>0</v>
      </c>
      <c r="DS459" s="580">
        <f>INPUT!GF366</f>
        <v>349</v>
      </c>
      <c r="DT459" s="577">
        <f>INPUT!GG366</f>
        <v>-5.9299191374663138</v>
      </c>
      <c r="DU459" s="580">
        <f>INPUT!GH366</f>
        <v>373</v>
      </c>
      <c r="DV459" s="577">
        <f>INPUT!GI366</f>
        <v>6.8767908309455663</v>
      </c>
      <c r="DW459" s="580">
        <f>INPUT!GJ366</f>
        <v>339</v>
      </c>
      <c r="DX459" s="577">
        <f>INPUT!GK366</f>
        <v>-9.1152815013404762</v>
      </c>
      <c r="DY459" s="580">
        <f>INPUT!GL366</f>
        <v>346</v>
      </c>
      <c r="DZ459" s="577">
        <f>INPUT!GM366</f>
        <v>2.0648967551622377</v>
      </c>
      <c r="EA459" s="580">
        <f>INPUT!GN366</f>
        <v>357</v>
      </c>
      <c r="EB459" s="577">
        <f>INPUT!GO366</f>
        <v>3.179190751445077</v>
      </c>
      <c r="EC459" s="580">
        <f>INPUT!GP366</f>
        <v>372.8881081081081</v>
      </c>
      <c r="ED459" s="577">
        <f>INPUT!GQ366</f>
        <v>4.4504504504504467</v>
      </c>
      <c r="EE459" s="580">
        <f>INPUT!GR366</f>
        <v>387.80363243243244</v>
      </c>
      <c r="EF459" s="577">
        <f>INPUT!GS366</f>
        <v>4</v>
      </c>
      <c r="EG459" s="580">
        <f>INPUT!GT366</f>
        <v>403.31577772972975</v>
      </c>
      <c r="EH459" s="577">
        <f>INPUT!GU366</f>
        <v>4</v>
      </c>
      <c r="EI459" s="580">
        <f>INPUT!GV366</f>
        <v>419.44840883891897</v>
      </c>
      <c r="EJ459" s="577">
        <f>INPUT!GW366</f>
        <v>4</v>
      </c>
      <c r="EK459" s="580">
        <f>INPUT!GX366</f>
        <v>436.22634519247572</v>
      </c>
      <c r="EL459" s="577">
        <f>INPUT!GY366</f>
        <v>4</v>
      </c>
      <c r="EM459" s="577">
        <f>INPUT!GZ366</f>
        <v>4.089934413243701</v>
      </c>
    </row>
    <row r="460" spans="1:144" ht="12.75" hidden="1" customHeight="1" outlineLevel="1" x14ac:dyDescent="0.2">
      <c r="A460" s="579" t="str">
        <f>INPUT!B367</f>
        <v xml:space="preserve">  Total Fees</v>
      </c>
      <c r="B460" s="580">
        <f>INPUT!AY367</f>
        <v>1047</v>
      </c>
      <c r="C460" s="577">
        <f>INPUT!AZ367</f>
        <v>2.9498525073746293</v>
      </c>
      <c r="D460" s="580">
        <f>INPUT!BA367</f>
        <v>1028</v>
      </c>
      <c r="E460" s="577">
        <f>INPUT!BB367</f>
        <v>7.4190177638453463</v>
      </c>
      <c r="F460" s="580">
        <f>INPUT!BC367</f>
        <v>1018</v>
      </c>
      <c r="G460" s="577">
        <f>INPUT!BD367</f>
        <v>7.383966244725741</v>
      </c>
      <c r="H460" s="580">
        <f>INPUT!BE367</f>
        <v>1045</v>
      </c>
      <c r="I460" s="577">
        <f>INPUT!BF367</f>
        <v>11.884368308351185</v>
      </c>
      <c r="J460" s="580">
        <f>INPUT!BG367</f>
        <v>1142</v>
      </c>
      <c r="K460" s="577">
        <f>INPUT!BH367</f>
        <v>9.0735434574976068</v>
      </c>
      <c r="L460" s="580">
        <f>INPUT!BI367</f>
        <v>1081</v>
      </c>
      <c r="M460" s="577">
        <f>INPUT!BJ367</f>
        <v>5.1556420233463029</v>
      </c>
      <c r="N460" s="580">
        <f>INPUT!BK367</f>
        <v>1118</v>
      </c>
      <c r="O460" s="577">
        <f>INPUT!BL367</f>
        <v>9.8231827111984131</v>
      </c>
      <c r="P460" s="580">
        <f>INPUT!BM367</f>
        <v>1165</v>
      </c>
      <c r="Q460" s="577">
        <f>INPUT!BN367</f>
        <v>11.483253588516746</v>
      </c>
      <c r="R460" s="580">
        <f>INPUT!BO367</f>
        <v>1332</v>
      </c>
      <c r="S460" s="577">
        <f>INPUT!BP367</f>
        <v>16.637478108581433</v>
      </c>
      <c r="T460" s="580">
        <f>INPUT!BQ367</f>
        <v>1225</v>
      </c>
      <c r="U460" s="577">
        <f>INPUT!BR367</f>
        <v>13.320999074930626</v>
      </c>
      <c r="V460" s="580">
        <f>INPUT!BS367</f>
        <v>1195</v>
      </c>
      <c r="W460" s="577">
        <f>INPUT!BT367</f>
        <v>6.8872987477638645</v>
      </c>
      <c r="X460" s="580">
        <f>INPUT!BU367</f>
        <v>1229</v>
      </c>
      <c r="Y460" s="577">
        <f>INPUT!BV367</f>
        <v>5.493562231759654</v>
      </c>
      <c r="Z460" s="580">
        <f>INPUT!BW367</f>
        <v>1363</v>
      </c>
      <c r="AA460" s="577">
        <f>INPUT!BX367</f>
        <v>2.3273273273273247</v>
      </c>
      <c r="AB460" s="580">
        <f>INPUT!BY367</f>
        <v>1271</v>
      </c>
      <c r="AC460" s="577">
        <f>INPUT!BZ367</f>
        <v>3.7551020408163254</v>
      </c>
      <c r="AD460" s="580">
        <f>INPUT!CA367</f>
        <v>1303</v>
      </c>
      <c r="AE460" s="577">
        <f>INPUT!CB367</f>
        <v>9.0376569037657077</v>
      </c>
      <c r="AF460" s="580">
        <f>INPUT!CC367</f>
        <v>1376</v>
      </c>
      <c r="AG460" s="577">
        <f>INPUT!CD367</f>
        <v>11.960943856794131</v>
      </c>
      <c r="AH460" s="580">
        <f>INPUT!CE367</f>
        <v>1519</v>
      </c>
      <c r="AI460" s="577">
        <f>INPUT!CF367</f>
        <v>11.445341159207629</v>
      </c>
      <c r="AJ460" s="580">
        <f>INPUT!CG367</f>
        <v>1388</v>
      </c>
      <c r="AK460" s="577">
        <f>INPUT!CH367</f>
        <v>9.2053501180173072</v>
      </c>
      <c r="AL460" s="580">
        <f>INPUT!CI367</f>
        <v>1493</v>
      </c>
      <c r="AM460" s="577">
        <f>INPUT!CJ367</f>
        <v>14.581734458940915</v>
      </c>
      <c r="AN460" s="580">
        <f>INPUT!CK367</f>
        <v>1573</v>
      </c>
      <c r="AO460" s="577">
        <f>INPUT!CL367</f>
        <v>14.316860465116292</v>
      </c>
      <c r="AP460" s="580">
        <f>INPUT!CM367</f>
        <v>1745</v>
      </c>
      <c r="AQ460" s="577">
        <f>INPUT!CN367</f>
        <v>14.878209348255439</v>
      </c>
      <c r="AR460" s="580">
        <f>INPUT!CO367</f>
        <v>1603</v>
      </c>
      <c r="AS460" s="577">
        <f>INPUT!CP367</f>
        <v>15.489913544668596</v>
      </c>
      <c r="AT460" s="580">
        <f>INPUT!CQ367</f>
        <v>1710</v>
      </c>
      <c r="AU460" s="577">
        <f>INPUT!CR367</f>
        <v>14.534494306764898</v>
      </c>
      <c r="AV460" s="580">
        <f>INPUT!CS367</f>
        <v>1724</v>
      </c>
      <c r="AW460" s="577">
        <f>INPUT!CT367</f>
        <v>9.5994914176732493</v>
      </c>
      <c r="AX460" s="580">
        <f>INPUT!CU367</f>
        <v>1920</v>
      </c>
      <c r="AY460" s="577">
        <f>INPUT!CV367</f>
        <v>10.028653295128947</v>
      </c>
      <c r="AZ460" s="580">
        <f>INPUT!CW367</f>
        <v>1784</v>
      </c>
      <c r="BA460" s="577">
        <f>INPUT!CX367</f>
        <v>11.291328758577663</v>
      </c>
      <c r="BB460" s="580">
        <f>INPUT!CY367</f>
        <v>1810</v>
      </c>
      <c r="BC460" s="577">
        <f>INPUT!CZ367</f>
        <v>5.8479532163742789</v>
      </c>
      <c r="BD460" s="580">
        <f>INPUT!DA367</f>
        <v>1828</v>
      </c>
      <c r="BE460" s="577">
        <f>INPUT!DB367</f>
        <v>6.0324825986078849</v>
      </c>
      <c r="BF460" s="580">
        <f>INPUT!DC367</f>
        <v>1980</v>
      </c>
      <c r="BG460" s="577">
        <f>INPUT!DD367</f>
        <v>3.125</v>
      </c>
      <c r="BH460" s="580">
        <f>INPUT!DE367</f>
        <v>1708</v>
      </c>
      <c r="BI460" s="577">
        <f>INPUT!DF367</f>
        <v>-4.2600896860986524</v>
      </c>
      <c r="BJ460" s="580">
        <f>INPUT!DG367</f>
        <v>1694</v>
      </c>
      <c r="BK460" s="577">
        <f>INPUT!DH367</f>
        <v>-6.4088397790055325</v>
      </c>
      <c r="BL460" s="580">
        <f>INPUT!DI367</f>
        <v>1737</v>
      </c>
      <c r="BM460" s="577">
        <f>INPUT!DJ367</f>
        <v>-4.9781181619256074</v>
      </c>
      <c r="BN460" s="580">
        <f>INPUT!DK367</f>
        <v>1975</v>
      </c>
      <c r="BO460" s="577">
        <f>INPUT!DL367</f>
        <v>-0.25252525252524549</v>
      </c>
      <c r="BP460" s="580">
        <f>INPUT!DM367</f>
        <v>1775</v>
      </c>
      <c r="BQ460" s="577">
        <f>INPUT!DN367</f>
        <v>3.9227166276346566</v>
      </c>
      <c r="BR460" s="580">
        <f>INPUT!DO367</f>
        <v>1780</v>
      </c>
      <c r="BS460" s="577">
        <f>INPUT!DP367</f>
        <v>5.076741440377802</v>
      </c>
      <c r="BT460" s="580">
        <f>INPUT!DQ367</f>
        <v>1726</v>
      </c>
      <c r="BU460" s="577">
        <f>INPUT!DR367</f>
        <v>-0.63327576280943276</v>
      </c>
      <c r="BV460" s="580">
        <f>INPUT!DS367</f>
        <v>1917</v>
      </c>
      <c r="BW460" s="577">
        <f>INPUT!DT367</f>
        <v>-2.9367088607594951</v>
      </c>
      <c r="BX460" s="580">
        <f>INPUT!DU367</f>
        <v>1712</v>
      </c>
      <c r="BY460" s="577">
        <f>INPUT!DV367</f>
        <v>-3.5492957746478879</v>
      </c>
      <c r="BZ460" s="580">
        <f>INPUT!DW367</f>
        <v>1728</v>
      </c>
      <c r="CA460" s="577">
        <f>INPUT!DX367</f>
        <v>-2.921348314606746</v>
      </c>
      <c r="CB460" s="580">
        <f>INPUT!DY367</f>
        <v>1710</v>
      </c>
      <c r="CC460" s="577">
        <f>INPUT!DZ367</f>
        <v>-0.92699884125144649</v>
      </c>
      <c r="CD460" s="580">
        <f>INPUT!EA367</f>
        <v>2032</v>
      </c>
      <c r="CE460" s="577">
        <f>INPUT!EB367</f>
        <v>5.9989567031820457</v>
      </c>
      <c r="CF460" s="580">
        <f>INPUT!EC367</f>
        <v>1885</v>
      </c>
      <c r="CG460" s="577">
        <f>INPUT!ED367</f>
        <v>10.105140186915889</v>
      </c>
      <c r="CH460" s="580">
        <f>INPUT!EE367</f>
        <v>1979</v>
      </c>
      <c r="CI460" s="577">
        <f>INPUT!EF367</f>
        <v>14.525462962962948</v>
      </c>
      <c r="CJ460" s="580">
        <f>INPUT!EG367</f>
        <v>1921</v>
      </c>
      <c r="CK460" s="577">
        <f>INPUT!EH367</f>
        <v>12.339181286549717</v>
      </c>
      <c r="CL460" s="580">
        <f>INPUT!EI367</f>
        <v>2212</v>
      </c>
      <c r="CM460" s="577">
        <f>INPUT!EJ367</f>
        <v>8.8582677165354369</v>
      </c>
      <c r="CN460" s="580">
        <f>INPUT!EK367</f>
        <v>2010</v>
      </c>
      <c r="CO460" s="577">
        <f>INPUT!EL367</f>
        <v>6.631299734748012</v>
      </c>
      <c r="CP460" s="580">
        <f>INPUT!EM367</f>
        <v>2030</v>
      </c>
      <c r="CQ460" s="577">
        <f>INPUT!EN367</f>
        <v>2.5770591207680695</v>
      </c>
      <c r="CR460" s="580">
        <f>INPUT!EO367</f>
        <v>2058</v>
      </c>
      <c r="CS460" s="577">
        <f>INPUT!EP367</f>
        <v>7.1317022384174749</v>
      </c>
      <c r="CT460" s="580">
        <f>INPUT!EQ367</f>
        <v>2310.4439639639641</v>
      </c>
      <c r="CU460" s="577">
        <f>INPUT!ER367</f>
        <v>4.4504504504504467</v>
      </c>
      <c r="CV460" s="580">
        <f>INPUT!ES367</f>
        <v>2099.4540540540538</v>
      </c>
      <c r="CW460" s="577">
        <f>INPUT!ET367</f>
        <v>4.4504504504504467</v>
      </c>
      <c r="CX460" s="580">
        <f>INPUT!EU367</f>
        <v>2120.3441441441441</v>
      </c>
      <c r="CY460" s="577">
        <f>INPUT!EV367</f>
        <v>4.4504504504504467</v>
      </c>
      <c r="CZ460" s="580">
        <f>INPUT!EW367</f>
        <v>2149.5902702702706</v>
      </c>
      <c r="DA460" s="577">
        <f>INPUT!EX367</f>
        <v>4.4504504504504752</v>
      </c>
      <c r="DB460" s="580"/>
      <c r="DC460" s="580">
        <f>INPUT!FP367</f>
        <v>3856</v>
      </c>
      <c r="DD460" s="577">
        <f>INPUT!FQ367</f>
        <v>23.907455012853475</v>
      </c>
      <c r="DE460" s="580">
        <f>INPUT!FR367</f>
        <v>4138</v>
      </c>
      <c r="DF460" s="577">
        <f>INPUT!FS367</f>
        <v>7.3132780082987523</v>
      </c>
      <c r="DG460" s="580">
        <f>INPUT!FT367</f>
        <v>4506</v>
      </c>
      <c r="DH460" s="577">
        <f>INPUT!FU367</f>
        <v>8.8931851135814384</v>
      </c>
      <c r="DI460" s="580">
        <f>INPUT!FV367</f>
        <v>4973</v>
      </c>
      <c r="DJ460" s="577">
        <f>INPUT!FW367</f>
        <v>10.363959165557034</v>
      </c>
      <c r="DK460" s="580">
        <f>INPUT!FX367</f>
        <v>5270</v>
      </c>
      <c r="DL460" s="577">
        <f>INPUT!FY367</f>
        <v>5.9722501508143893</v>
      </c>
      <c r="DM460" s="580">
        <f>INPUT!FZ367</f>
        <v>5973</v>
      </c>
      <c r="DN460" s="577">
        <f>INPUT!GA367</f>
        <v>13.33965844402276</v>
      </c>
      <c r="DO460" s="580">
        <f>INPUT!GB367</f>
        <v>6782</v>
      </c>
      <c r="DP460" s="577">
        <f>INPUT!GC367</f>
        <v>13.544282605056097</v>
      </c>
      <c r="DQ460" s="580">
        <f>INPUT!GD367</f>
        <v>7342</v>
      </c>
      <c r="DR460" s="577">
        <f>INPUT!GE367</f>
        <v>8.2571512828074418</v>
      </c>
      <c r="DS460" s="580">
        <f>INPUT!GF367</f>
        <v>7119</v>
      </c>
      <c r="DT460" s="577">
        <f>INPUT!GG367</f>
        <v>-3.0373195314628134</v>
      </c>
      <c r="DU460" s="580">
        <f>INPUT!GH367</f>
        <v>7256</v>
      </c>
      <c r="DV460" s="577">
        <f>INPUT!GI367</f>
        <v>1.9244275881443969</v>
      </c>
      <c r="DW460" s="580">
        <f>INPUT!GJ367</f>
        <v>7067</v>
      </c>
      <c r="DX460" s="577">
        <f>INPUT!GK367</f>
        <v>-2.6047409040793781</v>
      </c>
      <c r="DY460" s="580">
        <f>INPUT!GL367</f>
        <v>7817</v>
      </c>
      <c r="DZ460" s="577">
        <f>INPUT!GM367</f>
        <v>10.612706947785483</v>
      </c>
      <c r="EA460" s="580">
        <f>INPUT!GN367</f>
        <v>8310</v>
      </c>
      <c r="EB460" s="577">
        <f>INPUT!GO367</f>
        <v>6.3067673020340322</v>
      </c>
      <c r="EC460" s="580">
        <f>INPUT!GP367</f>
        <v>8679.8324324324312</v>
      </c>
      <c r="ED460" s="577">
        <f>INPUT!GQ367</f>
        <v>4.4504504504504325</v>
      </c>
      <c r="EE460" s="580">
        <f>INPUT!GR367</f>
        <v>9027.0257297297303</v>
      </c>
      <c r="EF460" s="577">
        <f>INPUT!GS367</f>
        <v>4.0000000000000284</v>
      </c>
      <c r="EG460" s="580">
        <f>INPUT!GT367</f>
        <v>9388.1067589189188</v>
      </c>
      <c r="EH460" s="577">
        <f>INPUT!GU367</f>
        <v>3.9999999999999858</v>
      </c>
      <c r="EI460" s="580">
        <f>INPUT!GV367</f>
        <v>9763.6310292756752</v>
      </c>
      <c r="EJ460" s="577">
        <f>INPUT!GW367</f>
        <v>4</v>
      </c>
      <c r="EK460" s="580">
        <f>INPUT!GX367</f>
        <v>10154.176270446704</v>
      </c>
      <c r="EL460" s="577">
        <f>INPUT!GY367</f>
        <v>4.0000000000000284</v>
      </c>
      <c r="EM460" s="577">
        <f>INPUT!GZ367</f>
        <v>4.089934413243701</v>
      </c>
    </row>
    <row r="461" spans="1:144" ht="12.75" hidden="1" customHeight="1" outlineLevel="1" x14ac:dyDescent="0.2">
      <c r="A461" s="579" t="str">
        <f>INPUT!B368</f>
        <v>Net Investment Income</v>
      </c>
      <c r="B461" s="580">
        <f>INPUT!AY368</f>
        <v>156</v>
      </c>
      <c r="C461" s="577">
        <f>INPUT!AZ368</f>
        <v>8.3333333333333286</v>
      </c>
      <c r="D461" s="580">
        <f>INPUT!BA368</f>
        <v>162</v>
      </c>
      <c r="E461" s="577">
        <f>INPUT!BB368</f>
        <v>15.714285714285722</v>
      </c>
      <c r="F461" s="580">
        <f>INPUT!BC368</f>
        <v>173</v>
      </c>
      <c r="G461" s="577">
        <f>INPUT!BD368</f>
        <v>18.493150684931521</v>
      </c>
      <c r="H461" s="580">
        <f>INPUT!BE368</f>
        <v>179</v>
      </c>
      <c r="I461" s="577">
        <f>INPUT!BF368</f>
        <v>-7.2538860103626916</v>
      </c>
      <c r="J461" s="580">
        <f>INPUT!BG368</f>
        <v>187</v>
      </c>
      <c r="K461" s="577">
        <f>INPUT!BH368</f>
        <v>19.871794871794862</v>
      </c>
      <c r="L461" s="580">
        <f>INPUT!BI368</f>
        <v>188</v>
      </c>
      <c r="M461" s="577">
        <f>INPUT!BJ368</f>
        <v>16.049382716049394</v>
      </c>
      <c r="N461" s="580">
        <f>INPUT!BK368</f>
        <v>207</v>
      </c>
      <c r="O461" s="577">
        <f>INPUT!BL368</f>
        <v>19.653179190751445</v>
      </c>
      <c r="P461" s="580">
        <f>INPUT!BM368</f>
        <v>217</v>
      </c>
      <c r="Q461" s="577">
        <f>INPUT!BN368</f>
        <v>21.229050279329613</v>
      </c>
      <c r="R461" s="580">
        <f>INPUT!BO368</f>
        <v>232</v>
      </c>
      <c r="S461" s="577">
        <f>INPUT!BP368</f>
        <v>24.064171122994665</v>
      </c>
      <c r="T461" s="580">
        <f>INPUT!BQ368</f>
        <v>234</v>
      </c>
      <c r="U461" s="577">
        <f>INPUT!BR368</f>
        <v>24.468085106382986</v>
      </c>
      <c r="V461" s="580">
        <f>INPUT!BS368</f>
        <v>247</v>
      </c>
      <c r="W461" s="577">
        <f>INPUT!BT368</f>
        <v>19.323671497584542</v>
      </c>
      <c r="X461" s="580">
        <f>INPUT!BU368</f>
        <v>249</v>
      </c>
      <c r="Y461" s="577">
        <f>INPUT!BV368</f>
        <v>14.746543778801851</v>
      </c>
      <c r="Z461" s="580">
        <f>INPUT!BW368</f>
        <v>254</v>
      </c>
      <c r="AA461" s="577">
        <f>INPUT!BX368</f>
        <v>9.4827586206896513</v>
      </c>
      <c r="AB461" s="580">
        <f>INPUT!BY368</f>
        <v>251</v>
      </c>
      <c r="AC461" s="577">
        <f>INPUT!BZ368</f>
        <v>7.2649572649572605</v>
      </c>
      <c r="AD461" s="580">
        <f>INPUT!CA368</f>
        <v>279</v>
      </c>
      <c r="AE461" s="577">
        <f>INPUT!CB368</f>
        <v>12.955465587044529</v>
      </c>
      <c r="AF461" s="580">
        <f>INPUT!CC368</f>
        <v>285</v>
      </c>
      <c r="AG461" s="577">
        <f>INPUT!CD368</f>
        <v>14.457831325301214</v>
      </c>
      <c r="AH461" s="580">
        <f>INPUT!CE368</f>
        <v>299</v>
      </c>
      <c r="AI461" s="577">
        <f>INPUT!CF368</f>
        <v>17.71653543307086</v>
      </c>
      <c r="AJ461" s="580">
        <f>INPUT!CG368</f>
        <v>295</v>
      </c>
      <c r="AK461" s="577">
        <f>INPUT!CH368</f>
        <v>17.529880478087662</v>
      </c>
      <c r="AL461" s="580">
        <f>INPUT!CI368</f>
        <v>326</v>
      </c>
      <c r="AM461" s="577">
        <f>INPUT!CJ368</f>
        <v>16.84587813620071</v>
      </c>
      <c r="AN461" s="580">
        <f>INPUT!CK368</f>
        <v>336</v>
      </c>
      <c r="AO461" s="577">
        <f>INPUT!CL368</f>
        <v>17.894736842105246</v>
      </c>
      <c r="AP461" s="580">
        <f>INPUT!CM368</f>
        <v>351</v>
      </c>
      <c r="AQ461" s="577">
        <f>INPUT!CN368</f>
        <v>17.391304347826093</v>
      </c>
      <c r="AR461" s="580">
        <f>INPUT!CO368</f>
        <v>347</v>
      </c>
      <c r="AS461" s="577">
        <f>INPUT!CP368</f>
        <v>17.627118644067806</v>
      </c>
      <c r="AT461" s="580">
        <f>INPUT!CQ368</f>
        <v>378</v>
      </c>
      <c r="AU461" s="577">
        <f>INPUT!CR368</f>
        <v>15.950920245398777</v>
      </c>
      <c r="AV461" s="580">
        <f>INPUT!CS368</f>
        <v>375</v>
      </c>
      <c r="AW461" s="577">
        <f>INPUT!CT368</f>
        <v>11.607142857142861</v>
      </c>
      <c r="AX461" s="580">
        <f>INPUT!CU368</f>
        <v>386</v>
      </c>
      <c r="AY461" s="577">
        <f>INPUT!CV368</f>
        <v>9.971509971509974</v>
      </c>
      <c r="AZ461" s="580">
        <f>INPUT!CW368</f>
        <v>381</v>
      </c>
      <c r="BA461" s="577">
        <f>INPUT!CX368</f>
        <v>9.7982708933717504</v>
      </c>
      <c r="BB461" s="580">
        <f>INPUT!CY368</f>
        <v>418</v>
      </c>
      <c r="BC461" s="577">
        <f>INPUT!CZ368</f>
        <v>10.582010582010582</v>
      </c>
      <c r="BD461" s="580">
        <f>INPUT!DA368</f>
        <v>410</v>
      </c>
      <c r="BE461" s="577">
        <f>INPUT!DB368</f>
        <v>9.3333333333333286</v>
      </c>
      <c r="BF461" s="580">
        <f>INPUT!DC368</f>
        <v>403</v>
      </c>
      <c r="BG461" s="577">
        <f>INPUT!DD368</f>
        <v>4.4041450777202016</v>
      </c>
      <c r="BH461" s="580">
        <f>INPUT!DE368</f>
        <v>390</v>
      </c>
      <c r="BI461" s="577">
        <f>INPUT!DF368</f>
        <v>2.3622047244094517</v>
      </c>
      <c r="BJ461" s="580">
        <f>INPUT!DG368</f>
        <v>405</v>
      </c>
      <c r="BK461" s="577">
        <f>INPUT!DH368</f>
        <v>-3.1100478468899553</v>
      </c>
      <c r="BL461" s="580">
        <f>INPUT!DI368</f>
        <v>418</v>
      </c>
      <c r="BM461" s="577">
        <f>INPUT!DJ368</f>
        <v>1.9512195121951237</v>
      </c>
      <c r="BN461" s="580">
        <f>INPUT!DK368</f>
        <v>431</v>
      </c>
      <c r="BO461" s="577">
        <f>INPUT!DL368</f>
        <v>6.9478908188585535</v>
      </c>
      <c r="BP461" s="580">
        <f>INPUT!DM368</f>
        <v>431</v>
      </c>
      <c r="BQ461" s="577">
        <f>INPUT!DN368</f>
        <v>10.512820512820525</v>
      </c>
      <c r="BR461" s="580">
        <f>INPUT!DO368</f>
        <v>436</v>
      </c>
      <c r="BS461" s="577">
        <f>INPUT!DP368</f>
        <v>7.6543209876543301</v>
      </c>
      <c r="BT461" s="580">
        <f>INPUT!DQ368</f>
        <v>429</v>
      </c>
      <c r="BU461" s="577">
        <f>INPUT!DR368</f>
        <v>2.6315789473684248</v>
      </c>
      <c r="BV461" s="580">
        <f>INPUT!DS368</f>
        <v>434</v>
      </c>
      <c r="BW461" s="577">
        <f>INPUT!DT368</f>
        <v>0.69605568445476251</v>
      </c>
      <c r="BX461" s="580">
        <f>INPUT!DU368</f>
        <v>435</v>
      </c>
      <c r="BY461" s="577">
        <f>INPUT!DV368</f>
        <v>0.92807424593968335</v>
      </c>
      <c r="BZ461" s="580">
        <f>INPUT!DW368</f>
        <v>434</v>
      </c>
      <c r="CA461" s="577">
        <f>INPUT!DX368</f>
        <v>-0.45871559633027914</v>
      </c>
      <c r="CB461" s="580">
        <f>INPUT!DY368</f>
        <v>448</v>
      </c>
      <c r="CC461" s="577">
        <f>INPUT!DZ368</f>
        <v>4.428904428904417</v>
      </c>
      <c r="CD461" s="580">
        <f>INPUT!EA368</f>
        <v>464</v>
      </c>
      <c r="CE461" s="577">
        <f>INPUT!EB368</f>
        <v>6.9124423963133665</v>
      </c>
      <c r="CF461" s="580">
        <f>INPUT!EC368</f>
        <v>483</v>
      </c>
      <c r="CG461" s="577">
        <f>INPUT!ED368</f>
        <v>11.034482758620683</v>
      </c>
      <c r="CH461" s="580">
        <f>INPUT!EE368</f>
        <v>513</v>
      </c>
      <c r="CI461" s="577">
        <f>INPUT!EF368</f>
        <v>18.20276497695852</v>
      </c>
      <c r="CJ461" s="580">
        <f>INPUT!EG368</f>
        <v>492</v>
      </c>
      <c r="CK461" s="577">
        <f>INPUT!EH368</f>
        <v>9.8214285714285836</v>
      </c>
      <c r="CL461" s="580">
        <f>INPUT!EI368</f>
        <v>509</v>
      </c>
      <c r="CM461" s="577">
        <f>INPUT!EJ368</f>
        <v>9.698275862068968</v>
      </c>
      <c r="CN461" s="580">
        <f>INPUT!EK368</f>
        <v>516</v>
      </c>
      <c r="CO461" s="577">
        <f>INPUT!EL368</f>
        <v>6.8322981366459601</v>
      </c>
      <c r="CP461" s="580">
        <f>INPUT!EM368</f>
        <v>540</v>
      </c>
      <c r="CQ461" s="577">
        <f>INPUT!EN368</f>
        <v>5.2631578947368354</v>
      </c>
      <c r="CR461" s="580">
        <f>INPUT!EO368</f>
        <v>554</v>
      </c>
      <c r="CS461" s="577">
        <f>INPUT!EP368</f>
        <v>12.601626016260155</v>
      </c>
      <c r="CT461" s="580">
        <f>INPUT!EQ368</f>
        <v>531.65279279279275</v>
      </c>
      <c r="CU461" s="577">
        <f>INPUT!ER368</f>
        <v>4.4504504504504467</v>
      </c>
      <c r="CV461" s="580">
        <f>INPUT!ES368</f>
        <v>538.96432432432437</v>
      </c>
      <c r="CW461" s="577">
        <f>INPUT!ET368</f>
        <v>4.4504504504504467</v>
      </c>
      <c r="CX461" s="580">
        <f>INPUT!EU368</f>
        <v>564.03243243243242</v>
      </c>
      <c r="CY461" s="577">
        <f>INPUT!EV368</f>
        <v>4.4504504504504467</v>
      </c>
      <c r="CZ461" s="580">
        <f>INPUT!EW368</f>
        <v>578.65549549549553</v>
      </c>
      <c r="DA461" s="577">
        <f>INPUT!EX368</f>
        <v>4.4504504504504467</v>
      </c>
      <c r="DB461" s="580"/>
      <c r="DC461" s="580">
        <f>INPUT!FP368</f>
        <v>623</v>
      </c>
      <c r="DD461" s="577">
        <f>INPUT!FQ368</f>
        <v>95.29780564263325</v>
      </c>
      <c r="DE461" s="580">
        <f>INPUT!FR368</f>
        <v>670</v>
      </c>
      <c r="DF461" s="577">
        <f>INPUT!FS368</f>
        <v>7.5441412520064262</v>
      </c>
      <c r="DG461" s="580">
        <f>INPUT!FT368</f>
        <v>799</v>
      </c>
      <c r="DH461" s="577">
        <f>INPUT!FU368</f>
        <v>19.25373134328359</v>
      </c>
      <c r="DI461" s="580">
        <f>INPUT!FV368</f>
        <v>962</v>
      </c>
      <c r="DJ461" s="577">
        <f>INPUT!FW368</f>
        <v>20.400500625782229</v>
      </c>
      <c r="DK461" s="580">
        <f>INPUT!FX368</f>
        <v>1069</v>
      </c>
      <c r="DL461" s="577">
        <f>INPUT!FY368</f>
        <v>11.122661122661114</v>
      </c>
      <c r="DM461" s="580">
        <f>INPUT!FZ368</f>
        <v>1256</v>
      </c>
      <c r="DN461" s="577">
        <f>INPUT!GA368</f>
        <v>17.492984097287192</v>
      </c>
      <c r="DO461" s="580">
        <f>INPUT!GB368</f>
        <v>1451</v>
      </c>
      <c r="DP461" s="577">
        <f>INPUT!GC368</f>
        <v>15.52547770700636</v>
      </c>
      <c r="DQ461" s="580">
        <f>INPUT!GD368</f>
        <v>1595</v>
      </c>
      <c r="DR461" s="577">
        <f>INPUT!GE368</f>
        <v>9.9241902136457725</v>
      </c>
      <c r="DS461" s="580">
        <f>INPUT!GF368</f>
        <v>1616</v>
      </c>
      <c r="DT461" s="577">
        <f>INPUT!GG368</f>
        <v>1.3166144200627059</v>
      </c>
      <c r="DU461" s="580">
        <f>INPUT!GH368</f>
        <v>1727</v>
      </c>
      <c r="DV461" s="577">
        <f>INPUT!GI368</f>
        <v>6.8688118811881083</v>
      </c>
      <c r="DW461" s="580">
        <f>INPUT!GJ368</f>
        <v>1751</v>
      </c>
      <c r="DX461" s="577">
        <f>INPUT!GK368</f>
        <v>1.3896931094383262</v>
      </c>
      <c r="DY461" s="580">
        <f>INPUT!GL368</f>
        <v>1952</v>
      </c>
      <c r="DZ461" s="577">
        <f>INPUT!GM368</f>
        <v>11.479154768703609</v>
      </c>
      <c r="EA461" s="580">
        <f>INPUT!GN368</f>
        <v>2119</v>
      </c>
      <c r="EB461" s="577">
        <f>INPUT!GO368</f>
        <v>8.5553278688524728</v>
      </c>
      <c r="EC461" s="580">
        <f>INPUT!GP368</f>
        <v>2213.3050450450451</v>
      </c>
      <c r="ED461" s="577">
        <f>INPUT!GQ368</f>
        <v>4.4504504504504467</v>
      </c>
      <c r="EE461" s="580">
        <f>INPUT!GR368</f>
        <v>2301.8372468468469</v>
      </c>
      <c r="EF461" s="577">
        <f>INPUT!GS368</f>
        <v>4</v>
      </c>
      <c r="EG461" s="580">
        <f>INPUT!GT368</f>
        <v>2393.9107367207207</v>
      </c>
      <c r="EH461" s="577">
        <f>INPUT!GU368</f>
        <v>4</v>
      </c>
      <c r="EI461" s="580">
        <f>INPUT!GV368</f>
        <v>2489.6671661895498</v>
      </c>
      <c r="EJ461" s="577">
        <f>INPUT!GW368</f>
        <v>4</v>
      </c>
      <c r="EK461" s="580">
        <f>INPUT!GX368</f>
        <v>2589.2538528371319</v>
      </c>
      <c r="EL461" s="577">
        <f>INPUT!GY368</f>
        <v>4</v>
      </c>
      <c r="EM461" s="577">
        <f>INPUT!GZ368</f>
        <v>4.089934413243701</v>
      </c>
    </row>
    <row r="462" spans="1:144" ht="12.75" hidden="1" customHeight="1" outlineLevel="1" x14ac:dyDescent="0.2">
      <c r="A462" s="579" t="str">
        <f>INPUT!B369</f>
        <v>Commissions, Fees and Other Income</v>
      </c>
      <c r="B462" s="580">
        <f>INPUT!AY369</f>
        <v>16</v>
      </c>
      <c r="C462" s="577" t="str">
        <f>INPUT!AZ369</f>
        <v>NM</v>
      </c>
      <c r="D462" s="580">
        <f>INPUT!BA369</f>
        <v>13</v>
      </c>
      <c r="E462" s="577" t="str">
        <f>INPUT!BB369</f>
        <v>NM</v>
      </c>
      <c r="F462" s="580">
        <f>INPUT!BC369</f>
        <v>25</v>
      </c>
      <c r="G462" s="577" t="str">
        <f>INPUT!BD369</f>
        <v>NM</v>
      </c>
      <c r="H462" s="580">
        <f>INPUT!BE369</f>
        <v>22</v>
      </c>
      <c r="I462" s="577">
        <f>INPUT!BF369</f>
        <v>4.7619047619047734</v>
      </c>
      <c r="J462" s="580">
        <f>INPUT!BG369</f>
        <v>30</v>
      </c>
      <c r="K462" s="577">
        <f>INPUT!BH369</f>
        <v>87.5</v>
      </c>
      <c r="L462" s="580">
        <f>INPUT!BI369</f>
        <v>39</v>
      </c>
      <c r="M462" s="577" t="str">
        <f>INPUT!BJ369</f>
        <v>NM</v>
      </c>
      <c r="N462" s="580">
        <f>INPUT!BK369</f>
        <v>19</v>
      </c>
      <c r="O462" s="577">
        <f>INPUT!BL369</f>
        <v>-24</v>
      </c>
      <c r="P462" s="580">
        <f>INPUT!BM369</f>
        <v>21</v>
      </c>
      <c r="Q462" s="577">
        <f>INPUT!BN369</f>
        <v>-4.5454545454545467</v>
      </c>
      <c r="R462" s="580">
        <f>INPUT!BO369</f>
        <v>13</v>
      </c>
      <c r="S462" s="577" t="str">
        <f>INPUT!BP369</f>
        <v>NM</v>
      </c>
      <c r="T462" s="580">
        <f>INPUT!BQ369</f>
        <v>30</v>
      </c>
      <c r="U462" s="577">
        <f>INPUT!BR369</f>
        <v>-23.076923076923066</v>
      </c>
      <c r="V462" s="580">
        <f>INPUT!BS369</f>
        <v>20</v>
      </c>
      <c r="W462" s="577">
        <f>INPUT!BT369</f>
        <v>5.2631578947368354</v>
      </c>
      <c r="X462" s="580">
        <f>INPUT!BU369</f>
        <v>16</v>
      </c>
      <c r="Y462" s="577">
        <f>INPUT!BV369</f>
        <v>-23.80952380952381</v>
      </c>
      <c r="Z462" s="580">
        <f>INPUT!BW369</f>
        <v>25</v>
      </c>
      <c r="AA462" s="577">
        <f>INPUT!BX369</f>
        <v>92.307692307692321</v>
      </c>
      <c r="AB462" s="580">
        <f>INPUT!BY369</f>
        <v>17</v>
      </c>
      <c r="AC462" s="577">
        <f>INPUT!BZ369</f>
        <v>-43.333333333333336</v>
      </c>
      <c r="AD462" s="580">
        <f>INPUT!CA369</f>
        <v>14</v>
      </c>
      <c r="AE462" s="577">
        <f>INPUT!CB369</f>
        <v>-30</v>
      </c>
      <c r="AF462" s="580">
        <f>INPUT!CC369</f>
        <v>5</v>
      </c>
      <c r="AG462" s="577" t="str">
        <f>INPUT!CD369</f>
        <v>NM</v>
      </c>
      <c r="AH462" s="580">
        <f>INPUT!CE369</f>
        <v>10</v>
      </c>
      <c r="AI462" s="577" t="str">
        <f>INPUT!CF369</f>
        <v>NM</v>
      </c>
      <c r="AJ462" s="580">
        <f>INPUT!CG369</f>
        <v>10</v>
      </c>
      <c r="AK462" s="577">
        <f>INPUT!CH369</f>
        <v>-41.17647058823529</v>
      </c>
      <c r="AL462" s="580">
        <f>INPUT!CI369</f>
        <v>7</v>
      </c>
      <c r="AM462" s="577">
        <f>INPUT!CJ369</f>
        <v>-50</v>
      </c>
      <c r="AN462" s="580">
        <f>INPUT!CK369</f>
        <v>-4</v>
      </c>
      <c r="AO462" s="577" t="str">
        <f>INPUT!CL369</f>
        <v>NM</v>
      </c>
      <c r="AP462" s="580">
        <f>INPUT!CM369</f>
        <v>1</v>
      </c>
      <c r="AQ462" s="577" t="str">
        <f>INPUT!CN369</f>
        <v>NM</v>
      </c>
      <c r="AR462" s="580">
        <f>INPUT!CO369</f>
        <v>-6</v>
      </c>
      <c r="AS462" s="577" t="str">
        <f>INPUT!CP369</f>
        <v>NM</v>
      </c>
      <c r="AT462" s="580">
        <f>INPUT!CQ369</f>
        <v>-12</v>
      </c>
      <c r="AU462" s="577" t="str">
        <f>INPUT!CR369</f>
        <v>NM</v>
      </c>
      <c r="AV462" s="580">
        <f>INPUT!CS369</f>
        <v>-14</v>
      </c>
      <c r="AW462" s="577" t="str">
        <f>INPUT!CT369</f>
        <v>NM</v>
      </c>
      <c r="AX462" s="580">
        <f>INPUT!CU369</f>
        <v>11</v>
      </c>
      <c r="AY462" s="577" t="str">
        <f>INPUT!CV369</f>
        <v>NM</v>
      </c>
      <c r="AZ462" s="580">
        <f>INPUT!CW369</f>
        <v>27</v>
      </c>
      <c r="BA462" s="577" t="str">
        <f>INPUT!CX369</f>
        <v>NM</v>
      </c>
      <c r="BB462" s="580">
        <f>INPUT!CY369</f>
        <v>9</v>
      </c>
      <c r="BC462" s="577" t="str">
        <f>INPUT!CZ369</f>
        <v>NM</v>
      </c>
      <c r="BD462" s="580">
        <f>INPUT!DA369</f>
        <v>18</v>
      </c>
      <c r="BE462" s="577" t="str">
        <f>INPUT!DB369</f>
        <v>NM</v>
      </c>
      <c r="BF462" s="580">
        <f>INPUT!DC369</f>
        <v>60</v>
      </c>
      <c r="BG462" s="577" t="str">
        <f>INPUT!DD369</f>
        <v>NM</v>
      </c>
      <c r="BH462" s="580">
        <f>INPUT!DE369</f>
        <v>60</v>
      </c>
      <c r="BI462" s="577" t="str">
        <f>INPUT!DF369</f>
        <v>NM</v>
      </c>
      <c r="BJ462" s="580">
        <f>INPUT!DG369</f>
        <v>74</v>
      </c>
      <c r="BK462" s="577" t="str">
        <f>INPUT!DH369</f>
        <v>NM</v>
      </c>
      <c r="BL462" s="580">
        <f>INPUT!DI369</f>
        <v>49</v>
      </c>
      <c r="BM462" s="577" t="str">
        <f>INPUT!DJ369</f>
        <v>NM</v>
      </c>
      <c r="BN462" s="580">
        <f>INPUT!DK369</f>
        <v>73</v>
      </c>
      <c r="BO462" s="577">
        <f>INPUT!DL369</f>
        <v>21.666666666666657</v>
      </c>
      <c r="BP462" s="580">
        <f>INPUT!DM369</f>
        <v>55</v>
      </c>
      <c r="BQ462" s="577">
        <f>INPUT!DN369</f>
        <v>-8.3333333333333428</v>
      </c>
      <c r="BR462" s="580">
        <f>INPUT!DO369</f>
        <v>68</v>
      </c>
      <c r="BS462" s="577">
        <f>INPUT!DP369</f>
        <v>-8.1081081081080981</v>
      </c>
      <c r="BT462" s="580">
        <f>INPUT!DQ369</f>
        <v>88</v>
      </c>
      <c r="BU462" s="577">
        <f>INPUT!DR369</f>
        <v>79.591836734693885</v>
      </c>
      <c r="BV462" s="580">
        <f>INPUT!DS369</f>
        <v>91</v>
      </c>
      <c r="BW462" s="577">
        <f>INPUT!DT369</f>
        <v>24.657534246575352</v>
      </c>
      <c r="BX462" s="580">
        <f>INPUT!DU369</f>
        <v>84</v>
      </c>
      <c r="BY462" s="577">
        <f>INPUT!DV369</f>
        <v>52.727272727272748</v>
      </c>
      <c r="BZ462" s="580">
        <f>INPUT!DW369</f>
        <v>88</v>
      </c>
      <c r="CA462" s="577">
        <f>INPUT!DX369</f>
        <v>29.411764705882348</v>
      </c>
      <c r="CB462" s="580">
        <f>INPUT!DY369</f>
        <v>91</v>
      </c>
      <c r="CC462" s="577">
        <f>INPUT!DZ369</f>
        <v>3.4090909090909207</v>
      </c>
      <c r="CD462" s="580">
        <f>INPUT!EA369</f>
        <v>63</v>
      </c>
      <c r="CE462" s="577">
        <f>INPUT!EB369</f>
        <v>-30.769230769230774</v>
      </c>
      <c r="CF462" s="580">
        <f>INPUT!EC369</f>
        <v>49</v>
      </c>
      <c r="CG462" s="577">
        <f>INPUT!ED369</f>
        <v>-41.666666666666664</v>
      </c>
      <c r="CH462" s="580">
        <f>INPUT!EE369</f>
        <v>41</v>
      </c>
      <c r="CI462" s="577" t="str">
        <f>INPUT!EF369</f>
        <v>NM</v>
      </c>
      <c r="CJ462" s="580">
        <f>INPUT!EG369</f>
        <v>64</v>
      </c>
      <c r="CK462" s="577">
        <f>INPUT!EH369</f>
        <v>-29.670329670329664</v>
      </c>
      <c r="CL462" s="580">
        <f>INPUT!EI369</f>
        <v>57</v>
      </c>
      <c r="CM462" s="577">
        <f>INPUT!EJ369</f>
        <v>-9.5238095238095184</v>
      </c>
      <c r="CN462" s="580">
        <f>INPUT!EK369</f>
        <v>51</v>
      </c>
      <c r="CO462" s="577">
        <f>INPUT!EL369</f>
        <v>4.0816326530612344</v>
      </c>
      <c r="CP462" s="580">
        <f>INPUT!EM369</f>
        <v>57</v>
      </c>
      <c r="CQ462" s="577">
        <f>INPUT!EN369</f>
        <v>39.024390243902417</v>
      </c>
      <c r="CR462" s="580">
        <f>INPUT!EO369</f>
        <v>50</v>
      </c>
      <c r="CS462" s="577">
        <f>INPUT!EP369</f>
        <v>-21.875</v>
      </c>
      <c r="CT462" s="580">
        <f>INPUT!EQ369</f>
        <v>59.536756756756759</v>
      </c>
      <c r="CU462" s="577">
        <f>INPUT!ER369</f>
        <v>4.4504504504504467</v>
      </c>
      <c r="CV462" s="580">
        <f>INPUT!ES369</f>
        <v>53.269729729729733</v>
      </c>
      <c r="CW462" s="577">
        <f>INPUT!ET369</f>
        <v>4.4504504504504467</v>
      </c>
      <c r="CX462" s="580">
        <f>INPUT!EU369</f>
        <v>59.536756756756759</v>
      </c>
      <c r="CY462" s="577">
        <f>INPUT!EV369</f>
        <v>4.4504504504504467</v>
      </c>
      <c r="CZ462" s="580">
        <f>INPUT!EW369</f>
        <v>52.225225225225223</v>
      </c>
      <c r="DA462" s="577">
        <f>INPUT!EX369</f>
        <v>4.4504504504504467</v>
      </c>
      <c r="DB462" s="580"/>
      <c r="DC462" s="580">
        <f>INPUT!FP369</f>
        <v>3</v>
      </c>
      <c r="DD462" s="577" t="str">
        <f>INPUT!FQ369</f>
        <v>NM</v>
      </c>
      <c r="DE462" s="580">
        <f>INPUT!FR369</f>
        <v>76</v>
      </c>
      <c r="DF462" s="577" t="str">
        <f>INPUT!FS369</f>
        <v>NM</v>
      </c>
      <c r="DG462" s="580">
        <f>INPUT!FT369</f>
        <v>109</v>
      </c>
      <c r="DH462" s="577">
        <f>INPUT!FU369</f>
        <v>43.421052631578931</v>
      </c>
      <c r="DI462" s="580">
        <f>INPUT!FV369</f>
        <v>78</v>
      </c>
      <c r="DJ462" s="577">
        <f>INPUT!FW369</f>
        <v>-28.440366972477065</v>
      </c>
      <c r="DK462" s="580">
        <f>INPUT!FX369</f>
        <v>54</v>
      </c>
      <c r="DL462" s="577">
        <f>INPUT!FY369</f>
        <v>-30.769230769230774</v>
      </c>
      <c r="DM462" s="580">
        <f>INPUT!FZ369</f>
        <v>23</v>
      </c>
      <c r="DN462" s="577" t="str">
        <f>INPUT!GA369</f>
        <v>NM</v>
      </c>
      <c r="DO462" s="580">
        <f>INPUT!GB369</f>
        <v>-31</v>
      </c>
      <c r="DP462" s="577" t="str">
        <f>INPUT!GC369</f>
        <v>NM</v>
      </c>
      <c r="DQ462" s="580">
        <f>INPUT!GD369</f>
        <v>65</v>
      </c>
      <c r="DR462" s="577" t="str">
        <f>INPUT!GE369</f>
        <v>NM</v>
      </c>
      <c r="DS462" s="580">
        <f>INPUT!GF369</f>
        <v>243</v>
      </c>
      <c r="DT462" s="577" t="str">
        <f>INPUT!GG369</f>
        <v>NM</v>
      </c>
      <c r="DU462" s="580">
        <f>INPUT!GH369</f>
        <v>284</v>
      </c>
      <c r="DV462" s="577">
        <f>INPUT!GI369</f>
        <v>16.872427983539097</v>
      </c>
      <c r="DW462" s="580">
        <f>INPUT!GJ369</f>
        <v>354</v>
      </c>
      <c r="DX462" s="577">
        <f>INPUT!GK369</f>
        <v>24.64788732394365</v>
      </c>
      <c r="DY462" s="580">
        <f>INPUT!GL369</f>
        <v>217</v>
      </c>
      <c r="DZ462" s="577">
        <f>INPUT!GM369</f>
        <v>-38.700564971751419</v>
      </c>
      <c r="EA462" s="580">
        <f>INPUT!GN369</f>
        <v>215</v>
      </c>
      <c r="EB462" s="577">
        <f>INPUT!GO369</f>
        <v>-0.92165898617511743</v>
      </c>
      <c r="EC462" s="580">
        <f>INPUT!GP369</f>
        <v>224.56846846846847</v>
      </c>
      <c r="ED462" s="577">
        <f>INPUT!GQ369</f>
        <v>4.4504504504504467</v>
      </c>
      <c r="EE462" s="580">
        <f>INPUT!GR369</f>
        <v>233.55120720720723</v>
      </c>
      <c r="EF462" s="577">
        <f>INPUT!GS369</f>
        <v>4</v>
      </c>
      <c r="EG462" s="580">
        <f>INPUT!GT369</f>
        <v>242.89325549549554</v>
      </c>
      <c r="EH462" s="577">
        <f>INPUT!GU369</f>
        <v>4</v>
      </c>
      <c r="EI462" s="580">
        <f>INPUT!GV369</f>
        <v>252.60898571531536</v>
      </c>
      <c r="EJ462" s="577">
        <f>INPUT!GW369</f>
        <v>4</v>
      </c>
      <c r="EK462" s="580">
        <f>INPUT!GX369</f>
        <v>262.713345143928</v>
      </c>
      <c r="EL462" s="577">
        <f>INPUT!GY369</f>
        <v>4</v>
      </c>
      <c r="EM462" s="577">
        <f>INPUT!GZ369</f>
        <v>4.089934413243701</v>
      </c>
    </row>
    <row r="463" spans="1:144" ht="12.75" hidden="1" customHeight="1" outlineLevel="1" x14ac:dyDescent="0.2">
      <c r="A463" s="575" t="str">
        <f>INPUT!B370</f>
        <v xml:space="preserve">  Total Revenues</v>
      </c>
      <c r="B463" s="581">
        <f>INPUT!AY370</f>
        <v>1219</v>
      </c>
      <c r="C463" s="577">
        <f>INPUT!AZ370</f>
        <v>5.1768766177739565</v>
      </c>
      <c r="D463" s="581">
        <f>INPUT!BA370</f>
        <v>1203</v>
      </c>
      <c r="E463" s="577">
        <f>INPUT!BB370</f>
        <v>10.977859778597775</v>
      </c>
      <c r="F463" s="581">
        <f>INPUT!BC370</f>
        <v>1216</v>
      </c>
      <c r="G463" s="577">
        <f>INPUT!BD370</f>
        <v>11.457378551787343</v>
      </c>
      <c r="H463" s="581">
        <f>INPUT!BE370</f>
        <v>1246</v>
      </c>
      <c r="I463" s="577">
        <f>INPUT!BF370</f>
        <v>8.5365853658536679</v>
      </c>
      <c r="J463" s="581">
        <f>INPUT!BG370</f>
        <v>1359</v>
      </c>
      <c r="K463" s="577">
        <f>INPUT!BH370</f>
        <v>11.484823625922886</v>
      </c>
      <c r="L463" s="581">
        <f>INPUT!BI370</f>
        <v>1308</v>
      </c>
      <c r="M463" s="577">
        <f>INPUT!BJ370</f>
        <v>8.7281795511221958</v>
      </c>
      <c r="N463" s="581">
        <f>INPUT!BK370</f>
        <v>1344</v>
      </c>
      <c r="O463" s="577">
        <f>INPUT!BL370</f>
        <v>10.526315789473699</v>
      </c>
      <c r="P463" s="581">
        <f>INPUT!BM370</f>
        <v>1403</v>
      </c>
      <c r="Q463" s="577">
        <f>INPUT!BN370</f>
        <v>12.600321027287322</v>
      </c>
      <c r="R463" s="581">
        <f>INPUT!BO370</f>
        <v>1577</v>
      </c>
      <c r="S463" s="577">
        <f>INPUT!BP370</f>
        <v>16.041206769683598</v>
      </c>
      <c r="T463" s="581">
        <f>INPUT!BQ370</f>
        <v>1489</v>
      </c>
      <c r="U463" s="577">
        <f>INPUT!BR370</f>
        <v>13.837920489296636</v>
      </c>
      <c r="V463" s="581">
        <f>INPUT!BS370</f>
        <v>1462</v>
      </c>
      <c r="W463" s="577">
        <f>INPUT!BT370</f>
        <v>8.7797619047619122</v>
      </c>
      <c r="X463" s="581">
        <f>INPUT!BU370</f>
        <v>1494</v>
      </c>
      <c r="Y463" s="577">
        <f>INPUT!BV370</f>
        <v>6.4861012116892454</v>
      </c>
      <c r="Z463" s="581">
        <f>INPUT!BW370</f>
        <v>1642</v>
      </c>
      <c r="AA463" s="577">
        <f>INPUT!BX370</f>
        <v>4.1217501585288403</v>
      </c>
      <c r="AB463" s="581">
        <f>INPUT!BY370</f>
        <v>1539</v>
      </c>
      <c r="AC463" s="577">
        <f>INPUT!BZ370</f>
        <v>3.3579583613163209</v>
      </c>
      <c r="AD463" s="581">
        <f>INPUT!CA370</f>
        <v>1596</v>
      </c>
      <c r="AE463" s="577">
        <f>INPUT!CB370</f>
        <v>9.1655266757865803</v>
      </c>
      <c r="AF463" s="581">
        <f>INPUT!CC370</f>
        <v>1666</v>
      </c>
      <c r="AG463" s="577">
        <f>INPUT!CD370</f>
        <v>11.512717536813938</v>
      </c>
      <c r="AH463" s="581">
        <f>INPUT!CE370</f>
        <v>1828</v>
      </c>
      <c r="AI463" s="577">
        <f>INPUT!CF370</f>
        <v>11.32764920828258</v>
      </c>
      <c r="AJ463" s="581">
        <f>INPUT!CG370</f>
        <v>1693</v>
      </c>
      <c r="AK463" s="577">
        <f>INPUT!CH370</f>
        <v>10.006497725795981</v>
      </c>
      <c r="AL463" s="581">
        <f>INPUT!CI370</f>
        <v>1826</v>
      </c>
      <c r="AM463" s="577">
        <f>INPUT!CJ370</f>
        <v>14.411027568922293</v>
      </c>
      <c r="AN463" s="581">
        <f>INPUT!CK370</f>
        <v>1905</v>
      </c>
      <c r="AO463" s="577">
        <f>INPUT!CL370</f>
        <v>14.345738295318128</v>
      </c>
      <c r="AP463" s="581">
        <f>INPUT!CM370</f>
        <v>2097</v>
      </c>
      <c r="AQ463" s="577">
        <f>INPUT!CN370</f>
        <v>14.715536105032825</v>
      </c>
      <c r="AR463" s="581">
        <f>INPUT!CO370</f>
        <v>1944</v>
      </c>
      <c r="AS463" s="577">
        <f>INPUT!CP370</f>
        <v>14.825753101004139</v>
      </c>
      <c r="AT463" s="581">
        <f>INPUT!CQ370</f>
        <v>2076</v>
      </c>
      <c r="AU463" s="577">
        <f>INPUT!CR370</f>
        <v>13.691128148959478</v>
      </c>
      <c r="AV463" s="581">
        <f>INPUT!CS370</f>
        <v>2085</v>
      </c>
      <c r="AW463" s="577">
        <f>INPUT!CT370</f>
        <v>9.4488188976378069</v>
      </c>
      <c r="AX463" s="581">
        <f>INPUT!CU370</f>
        <v>2317</v>
      </c>
      <c r="AY463" s="577">
        <f>INPUT!CV370</f>
        <v>10.491177873152125</v>
      </c>
      <c r="AZ463" s="581">
        <f>INPUT!CW370</f>
        <v>2192</v>
      </c>
      <c r="BA463" s="577">
        <f>INPUT!CX370</f>
        <v>12.757201646090536</v>
      </c>
      <c r="BB463" s="581">
        <f>INPUT!CY370</f>
        <v>2237</v>
      </c>
      <c r="BC463" s="577">
        <f>INPUT!CZ370</f>
        <v>7.7552986512524171</v>
      </c>
      <c r="BD463" s="581">
        <f>INPUT!DA370</f>
        <v>2256</v>
      </c>
      <c r="BE463" s="577">
        <f>INPUT!DB370</f>
        <v>8.2014388489208585</v>
      </c>
      <c r="BF463" s="581">
        <f>INPUT!DC370</f>
        <v>2443</v>
      </c>
      <c r="BG463" s="577">
        <f>INPUT!DD370</f>
        <v>5.4380664652567958</v>
      </c>
      <c r="BH463" s="581">
        <f>INPUT!DE370</f>
        <v>2158</v>
      </c>
      <c r="BI463" s="577">
        <f>INPUT!DF370</f>
        <v>-1.551094890510953</v>
      </c>
      <c r="BJ463" s="581">
        <f>INPUT!DG370</f>
        <v>2173</v>
      </c>
      <c r="BK463" s="577">
        <f>INPUT!DH370</f>
        <v>-2.8609745194456906</v>
      </c>
      <c r="BL463" s="581">
        <f>INPUT!DI370</f>
        <v>2204</v>
      </c>
      <c r="BM463" s="577">
        <f>INPUT!DJ370</f>
        <v>-2.3049645390070879</v>
      </c>
      <c r="BN463" s="581">
        <f>INPUT!DK370</f>
        <v>2479</v>
      </c>
      <c r="BO463" s="577">
        <f>INPUT!DL370</f>
        <v>1.4735980352026132</v>
      </c>
      <c r="BP463" s="581">
        <f>INPUT!DM370</f>
        <v>2261</v>
      </c>
      <c r="BQ463" s="577">
        <f>INPUT!DN370</f>
        <v>4.7729379054680265</v>
      </c>
      <c r="BR463" s="581">
        <f>INPUT!DO370</f>
        <v>2284</v>
      </c>
      <c r="BS463" s="577">
        <f>INPUT!DP370</f>
        <v>5.1081454210768413</v>
      </c>
      <c r="BT463" s="581">
        <f>INPUT!DQ370</f>
        <v>2243</v>
      </c>
      <c r="BU463" s="577">
        <f>INPUT!DR370</f>
        <v>1.7695099818511721</v>
      </c>
      <c r="BV463" s="581">
        <f>INPUT!DS370</f>
        <v>2442</v>
      </c>
      <c r="BW463" s="577">
        <f>INPUT!DT370</f>
        <v>-1.4925373134328339</v>
      </c>
      <c r="BX463" s="581">
        <f>INPUT!DU370</f>
        <v>2231</v>
      </c>
      <c r="BY463" s="577">
        <f>INPUT!DV370</f>
        <v>-1.3268465280849142</v>
      </c>
      <c r="BZ463" s="581">
        <f>INPUT!DW370</f>
        <v>2250</v>
      </c>
      <c r="CA463" s="577">
        <f>INPUT!DX370</f>
        <v>-1.488616462346755</v>
      </c>
      <c r="CB463" s="581">
        <f>INPUT!DY370</f>
        <v>2249</v>
      </c>
      <c r="CC463" s="577">
        <f>INPUT!DZ370</f>
        <v>0.26749888542130407</v>
      </c>
      <c r="CD463" s="581">
        <f>INPUT!EA370</f>
        <v>2559</v>
      </c>
      <c r="CE463" s="577">
        <f>INPUT!EB370</f>
        <v>4.7911547911547956</v>
      </c>
      <c r="CF463" s="581">
        <f>INPUT!EC370</f>
        <v>2417</v>
      </c>
      <c r="CG463" s="577">
        <f>INPUT!ED370</f>
        <v>8.3370685791125112</v>
      </c>
      <c r="CH463" s="581">
        <f>INPUT!EE370</f>
        <v>2533</v>
      </c>
      <c r="CI463" s="577">
        <f>INPUT!EF370</f>
        <v>12.577777777777783</v>
      </c>
      <c r="CJ463" s="581">
        <f>INPUT!EG370</f>
        <v>2477</v>
      </c>
      <c r="CK463" s="577">
        <f>INPUT!EH370</f>
        <v>10.137839039573151</v>
      </c>
      <c r="CL463" s="581">
        <f>INPUT!EI370</f>
        <v>2778</v>
      </c>
      <c r="CM463" s="577">
        <f>INPUT!EJ370</f>
        <v>8.5580304806565124</v>
      </c>
      <c r="CN463" s="581">
        <f>INPUT!EK370</f>
        <v>2577</v>
      </c>
      <c r="CO463" s="577">
        <f>INPUT!EL370</f>
        <v>6.6197765825403394</v>
      </c>
      <c r="CP463" s="581">
        <f>INPUT!EM370</f>
        <v>2627</v>
      </c>
      <c r="CQ463" s="577">
        <f>INPUT!EN370</f>
        <v>3.7110146071851489</v>
      </c>
      <c r="CR463" s="581">
        <f>INPUT!EO370</f>
        <v>2662</v>
      </c>
      <c r="CS463" s="577">
        <f>INPUT!EP370</f>
        <v>7.4687121517965238</v>
      </c>
      <c r="CT463" s="581">
        <f>INPUT!EQ370</f>
        <v>2901.6335135135137</v>
      </c>
      <c r="CU463" s="577">
        <f>INPUT!ER370</f>
        <v>4.4504504504504467</v>
      </c>
      <c r="CV463" s="581">
        <f>INPUT!ES370</f>
        <v>2691.6881081081078</v>
      </c>
      <c r="CW463" s="577">
        <f>INPUT!ET370</f>
        <v>4.4504504504504467</v>
      </c>
      <c r="CX463" s="581">
        <f>INPUT!EU370</f>
        <v>2743.9133333333334</v>
      </c>
      <c r="CY463" s="577">
        <f>INPUT!EV370</f>
        <v>4.4504504504504467</v>
      </c>
      <c r="CZ463" s="581">
        <f>INPUT!EW370</f>
        <v>2780.4709909909911</v>
      </c>
      <c r="DA463" s="577">
        <f>INPUT!EX370</f>
        <v>4.4504504504504467</v>
      </c>
      <c r="DB463" s="581"/>
      <c r="DC463" s="581">
        <f>INPUT!FP370</f>
        <v>4482</v>
      </c>
      <c r="DD463" s="577">
        <f>INPUT!FQ370</f>
        <v>31.668625146886029</v>
      </c>
      <c r="DE463" s="581">
        <f>INPUT!FR370</f>
        <v>4884</v>
      </c>
      <c r="DF463" s="577">
        <f>INPUT!FS370</f>
        <v>8.9692101740294561</v>
      </c>
      <c r="DG463" s="581">
        <f>INPUT!FT370</f>
        <v>5414</v>
      </c>
      <c r="DH463" s="577">
        <f>INPUT!FU370</f>
        <v>10.851760851760844</v>
      </c>
      <c r="DI463" s="581">
        <f>INPUT!FV370</f>
        <v>6013</v>
      </c>
      <c r="DJ463" s="577">
        <f>INPUT!FW370</f>
        <v>11.063908385666792</v>
      </c>
      <c r="DK463" s="581">
        <f>INPUT!FX370</f>
        <v>6393</v>
      </c>
      <c r="DL463" s="577">
        <f>INPUT!FY370</f>
        <v>6.3196407783136692</v>
      </c>
      <c r="DM463" s="581">
        <f>INPUT!FZ370</f>
        <v>7252</v>
      </c>
      <c r="DN463" s="577">
        <f>INPUT!GA370</f>
        <v>13.436571249804459</v>
      </c>
      <c r="DO463" s="581">
        <f>INPUT!GB370</f>
        <v>8202</v>
      </c>
      <c r="DP463" s="577">
        <f>INPUT!GC370</f>
        <v>13.09983452840595</v>
      </c>
      <c r="DQ463" s="581">
        <f>INPUT!GD370</f>
        <v>9002</v>
      </c>
      <c r="DR463" s="577">
        <f>INPUT!GE370</f>
        <v>9.753718605218225</v>
      </c>
      <c r="DS463" s="581">
        <f>INPUT!GF370</f>
        <v>8978</v>
      </c>
      <c r="DT463" s="577">
        <f>INPUT!GG370</f>
        <v>-0.26660742057320874</v>
      </c>
      <c r="DU463" s="581">
        <f>INPUT!GH370</f>
        <v>9267</v>
      </c>
      <c r="DV463" s="577">
        <f>INPUT!GI370</f>
        <v>3.2189797282245536</v>
      </c>
      <c r="DW463" s="581">
        <f>INPUT!GJ370</f>
        <v>9172</v>
      </c>
      <c r="DX463" s="577">
        <f>INPUT!GK370</f>
        <v>-1.0251429804683312</v>
      </c>
      <c r="DY463" s="581">
        <f>INPUT!GL370</f>
        <v>9986</v>
      </c>
      <c r="DZ463" s="577">
        <f>INPUT!GM370</f>
        <v>8.8748364587876125</v>
      </c>
      <c r="EA463" s="581">
        <f>INPUT!GN370</f>
        <v>10644</v>
      </c>
      <c r="EB463" s="577">
        <f>INPUT!GO370</f>
        <v>6.5892249148808304</v>
      </c>
      <c r="EC463" s="581">
        <f>INPUT!GP370</f>
        <v>11117.705945945945</v>
      </c>
      <c r="ED463" s="577">
        <f>INPUT!GQ370</f>
        <v>4.4504504504504467</v>
      </c>
      <c r="EE463" s="581">
        <f>INPUT!GR370</f>
        <v>11562.414183783783</v>
      </c>
      <c r="EF463" s="577">
        <f>INPUT!GS370</f>
        <v>4</v>
      </c>
      <c r="EG463" s="581">
        <f>INPUT!GT370</f>
        <v>12024.910751135136</v>
      </c>
      <c r="EH463" s="577">
        <f>INPUT!GU370</f>
        <v>4</v>
      </c>
      <c r="EI463" s="581">
        <f>INPUT!GV370</f>
        <v>12505.907181180539</v>
      </c>
      <c r="EJ463" s="577">
        <f>INPUT!GW370</f>
        <v>3.9999999999999858</v>
      </c>
      <c r="EK463" s="581">
        <f>INPUT!GX370</f>
        <v>13006.143468427763</v>
      </c>
      <c r="EL463" s="577">
        <f>INPUT!GY370</f>
        <v>4.0000000000000284</v>
      </c>
      <c r="EM463" s="577">
        <f>INPUT!GZ370</f>
        <v>4.089934413243701</v>
      </c>
    </row>
    <row r="464" spans="1:144" ht="12.75" hidden="1" customHeight="1" outlineLevel="1" x14ac:dyDescent="0.2">
      <c r="A464" s="579"/>
      <c r="B464" s="605"/>
      <c r="C464" s="555"/>
      <c r="D464" s="605"/>
      <c r="E464" s="555"/>
      <c r="F464" s="605"/>
      <c r="G464" s="555"/>
      <c r="H464" s="605"/>
      <c r="I464" s="555"/>
      <c r="J464" s="605"/>
      <c r="K464" s="555"/>
      <c r="L464" s="605"/>
      <c r="M464" s="555"/>
      <c r="N464" s="605"/>
      <c r="O464" s="555"/>
      <c r="P464" s="605"/>
      <c r="Q464" s="555"/>
      <c r="R464" s="605"/>
      <c r="S464" s="555"/>
      <c r="T464" s="605"/>
      <c r="U464" s="555"/>
      <c r="V464" s="605"/>
      <c r="W464" s="555"/>
      <c r="X464" s="605"/>
      <c r="Y464" s="555"/>
      <c r="Z464" s="605"/>
      <c r="AA464" s="555"/>
      <c r="AB464" s="605"/>
      <c r="AC464" s="555"/>
      <c r="AD464" s="605"/>
      <c r="AE464" s="555"/>
      <c r="AF464" s="605"/>
      <c r="AG464" s="555"/>
      <c r="AH464" s="605"/>
      <c r="AI464" s="555"/>
      <c r="AJ464" s="605"/>
      <c r="AK464" s="555"/>
      <c r="AL464" s="605"/>
      <c r="AM464" s="555"/>
      <c r="AN464" s="605"/>
      <c r="AO464" s="555"/>
      <c r="AP464" s="605"/>
      <c r="AQ464" s="555"/>
      <c r="AR464" s="605"/>
      <c r="AS464" s="555"/>
      <c r="AT464" s="605"/>
      <c r="AU464" s="555"/>
      <c r="AV464" s="605"/>
      <c r="AW464" s="555"/>
      <c r="AX464" s="605"/>
      <c r="AY464" s="555"/>
      <c r="AZ464" s="605"/>
      <c r="BA464" s="555"/>
      <c r="BB464" s="605"/>
      <c r="BC464" s="555"/>
      <c r="BD464" s="605"/>
      <c r="BE464" s="555"/>
      <c r="BF464" s="605"/>
      <c r="BG464" s="555"/>
      <c r="BH464" s="605"/>
      <c r="BI464" s="555"/>
      <c r="BJ464" s="605"/>
      <c r="BK464" s="555"/>
      <c r="BL464" s="605"/>
      <c r="BM464" s="555"/>
      <c r="BN464" s="605"/>
      <c r="BO464" s="555"/>
      <c r="BP464" s="605"/>
      <c r="BQ464" s="555"/>
      <c r="BR464" s="605"/>
      <c r="BS464" s="555"/>
      <c r="BT464" s="605"/>
      <c r="BU464" s="555"/>
      <c r="BV464" s="605"/>
      <c r="BW464" s="555"/>
      <c r="BX464" s="605"/>
      <c r="BY464" s="555"/>
      <c r="BZ464" s="605"/>
      <c r="CA464" s="555"/>
      <c r="CB464" s="605"/>
      <c r="CC464" s="555"/>
      <c r="CD464" s="605"/>
      <c r="CE464" s="555"/>
      <c r="CF464" s="605"/>
      <c r="CG464" s="555"/>
      <c r="CH464" s="605"/>
      <c r="CI464" s="555"/>
      <c r="CJ464" s="605"/>
      <c r="CK464" s="555"/>
      <c r="CL464" s="605"/>
      <c r="CM464" s="555"/>
      <c r="CN464" s="605"/>
      <c r="CO464" s="555"/>
      <c r="CP464" s="605"/>
      <c r="CQ464" s="555"/>
      <c r="CR464" s="605"/>
      <c r="CS464" s="555"/>
      <c r="CT464" s="605"/>
      <c r="CU464" s="555"/>
      <c r="CV464" s="605"/>
      <c r="CW464" s="555"/>
      <c r="CX464" s="605"/>
      <c r="CY464" s="555"/>
      <c r="CZ464" s="605"/>
      <c r="DA464" s="555"/>
      <c r="DB464" s="605"/>
      <c r="DC464" s="605"/>
      <c r="DD464" s="555"/>
      <c r="DE464" s="605"/>
      <c r="DF464" s="555"/>
      <c r="DG464" s="605"/>
      <c r="DH464" s="555"/>
      <c r="DI464" s="605"/>
      <c r="DJ464" s="555"/>
      <c r="DK464" s="605"/>
      <c r="DL464" s="555"/>
      <c r="DM464" s="605"/>
      <c r="DN464" s="555"/>
      <c r="DO464" s="605"/>
      <c r="DP464" s="555"/>
      <c r="DQ464" s="605"/>
      <c r="DR464" s="555"/>
      <c r="DS464" s="605"/>
      <c r="DT464" s="555"/>
      <c r="DU464" s="605"/>
      <c r="DV464" s="555"/>
      <c r="DW464" s="605"/>
      <c r="DX464" s="555"/>
      <c r="DY464" s="605"/>
      <c r="DZ464" s="555"/>
      <c r="EA464" s="605"/>
      <c r="EB464" s="555"/>
      <c r="EC464" s="605"/>
      <c r="ED464" s="555"/>
      <c r="EE464" s="605"/>
      <c r="EF464" s="555"/>
      <c r="EG464" s="605"/>
      <c r="EH464" s="555"/>
      <c r="EI464" s="605"/>
      <c r="EJ464" s="555"/>
      <c r="EK464" s="605"/>
      <c r="EL464" s="555"/>
      <c r="EM464" s="555"/>
    </row>
    <row r="465" spans="1:144" ht="12.75" hidden="1" customHeight="1" outlineLevel="1" x14ac:dyDescent="0.2">
      <c r="A465" s="575" t="s">
        <v>129</v>
      </c>
      <c r="B465" s="605"/>
      <c r="C465" s="555"/>
      <c r="D465" s="605"/>
      <c r="E465" s="555"/>
      <c r="F465" s="605"/>
      <c r="G465" s="555"/>
      <c r="H465" s="605"/>
      <c r="I465" s="555"/>
      <c r="J465" s="605"/>
      <c r="K465" s="555"/>
      <c r="L465" s="605"/>
      <c r="M465" s="555"/>
      <c r="N465" s="605"/>
      <c r="O465" s="555"/>
      <c r="P465" s="605"/>
      <c r="Q465" s="555"/>
      <c r="R465" s="605"/>
      <c r="S465" s="555"/>
      <c r="T465" s="605"/>
      <c r="U465" s="555"/>
      <c r="V465" s="605"/>
      <c r="W465" s="555"/>
      <c r="X465" s="605"/>
      <c r="Y465" s="555"/>
      <c r="Z465" s="605"/>
      <c r="AA465" s="555"/>
      <c r="AB465" s="605"/>
      <c r="AC465" s="555"/>
      <c r="AD465" s="605"/>
      <c r="AE465" s="555"/>
      <c r="AF465" s="605"/>
      <c r="AG465" s="555"/>
      <c r="AH465" s="605"/>
      <c r="AI465" s="555"/>
      <c r="AJ465" s="605"/>
      <c r="AK465" s="555"/>
      <c r="AL465" s="605"/>
      <c r="AM465" s="555"/>
      <c r="AN465" s="605"/>
      <c r="AO465" s="555"/>
      <c r="AP465" s="605"/>
      <c r="AQ465" s="555"/>
      <c r="AR465" s="605"/>
      <c r="AS465" s="555"/>
      <c r="AT465" s="605"/>
      <c r="AU465" s="555"/>
      <c r="AV465" s="605"/>
      <c r="AW465" s="555"/>
      <c r="AX465" s="605"/>
      <c r="AY465" s="555"/>
      <c r="AZ465" s="605"/>
      <c r="BA465" s="555"/>
      <c r="BB465" s="605"/>
      <c r="BC465" s="555"/>
      <c r="BD465" s="605"/>
      <c r="BE465" s="555"/>
      <c r="BF465" s="605"/>
      <c r="BG465" s="555"/>
      <c r="BH465" s="605"/>
      <c r="BI465" s="555"/>
      <c r="BJ465" s="605"/>
      <c r="BK465" s="555"/>
      <c r="BL465" s="605"/>
      <c r="BM465" s="555"/>
      <c r="BN465" s="605"/>
      <c r="BO465" s="555"/>
      <c r="BP465" s="605"/>
      <c r="BQ465" s="555"/>
      <c r="BR465" s="605"/>
      <c r="BS465" s="555"/>
      <c r="BT465" s="605"/>
      <c r="BU465" s="555"/>
      <c r="BV465" s="605"/>
      <c r="BW465" s="555"/>
      <c r="BX465" s="605"/>
      <c r="BY465" s="555"/>
      <c r="BZ465" s="605"/>
      <c r="CA465" s="555"/>
      <c r="CB465" s="605"/>
      <c r="CC465" s="555"/>
      <c r="CD465" s="605"/>
      <c r="CE465" s="555"/>
      <c r="CF465" s="605"/>
      <c r="CG465" s="555"/>
      <c r="CH465" s="605"/>
      <c r="CI465" s="555"/>
      <c r="CJ465" s="605"/>
      <c r="CK465" s="555"/>
      <c r="CL465" s="605"/>
      <c r="CM465" s="555"/>
      <c r="CN465" s="605"/>
      <c r="CO465" s="555"/>
      <c r="CP465" s="605"/>
      <c r="CQ465" s="555"/>
      <c r="CR465" s="605"/>
      <c r="CS465" s="555"/>
      <c r="CT465" s="605"/>
      <c r="CU465" s="555"/>
      <c r="CV465" s="605"/>
      <c r="CW465" s="555"/>
      <c r="CX465" s="605"/>
      <c r="CY465" s="555"/>
      <c r="CZ465" s="605"/>
      <c r="DA465" s="555"/>
      <c r="DB465" s="605"/>
      <c r="DC465" s="605"/>
      <c r="DD465" s="555"/>
      <c r="DE465" s="605"/>
      <c r="DF465" s="555"/>
      <c r="DG465" s="605"/>
      <c r="DH465" s="555"/>
      <c r="DI465" s="605"/>
      <c r="DJ465" s="555"/>
      <c r="DK465" s="605"/>
      <c r="DL465" s="555"/>
      <c r="DM465" s="605"/>
      <c r="DN465" s="555"/>
      <c r="DO465" s="605"/>
      <c r="DP465" s="555"/>
      <c r="DQ465" s="605"/>
      <c r="DR465" s="555"/>
      <c r="DS465" s="605"/>
      <c r="DT465" s="555"/>
      <c r="DU465" s="605"/>
      <c r="DV465" s="555"/>
      <c r="DW465" s="605"/>
      <c r="DX465" s="555"/>
      <c r="DY465" s="605"/>
      <c r="DZ465" s="555"/>
      <c r="EA465" s="605"/>
      <c r="EB465" s="555"/>
      <c r="EC465" s="605"/>
      <c r="ED465" s="555"/>
      <c r="EE465" s="605"/>
      <c r="EF465" s="555"/>
      <c r="EG465" s="605"/>
      <c r="EH465" s="555"/>
      <c r="EI465" s="605"/>
      <c r="EJ465" s="555"/>
      <c r="EK465" s="605"/>
      <c r="EL465" s="555"/>
      <c r="EM465" s="555"/>
    </row>
    <row r="466" spans="1:144" ht="12.75" hidden="1" customHeight="1" outlineLevel="1" x14ac:dyDescent="0.2">
      <c r="A466" s="579" t="str">
        <f>INPUT!B373</f>
        <v>Benefits</v>
      </c>
      <c r="B466" s="580">
        <f>INPUT!AY373</f>
        <v>769</v>
      </c>
      <c r="C466" s="577">
        <f>INPUT!AZ373</f>
        <v>-0.12987012987012747</v>
      </c>
      <c r="D466" s="580">
        <f>INPUT!BA373</f>
        <v>744</v>
      </c>
      <c r="E466" s="577">
        <f>INPUT!BB373</f>
        <v>8.4548104956268162</v>
      </c>
      <c r="F466" s="580">
        <f>INPUT!BC373</f>
        <v>733</v>
      </c>
      <c r="G466" s="577">
        <f>INPUT!BD373</f>
        <v>8.91530460624071</v>
      </c>
      <c r="H466" s="580">
        <f>INPUT!BE373</f>
        <v>773</v>
      </c>
      <c r="I466" s="577">
        <f>INPUT!BF373</f>
        <v>9.3352192362093263</v>
      </c>
      <c r="J466" s="580">
        <f>INPUT!BG373</f>
        <v>848</v>
      </c>
      <c r="K466" s="577">
        <f>INPUT!BH373</f>
        <v>10.273081924577369</v>
      </c>
      <c r="L466" s="580">
        <f>INPUT!BI373</f>
        <v>807</v>
      </c>
      <c r="M466" s="577">
        <f>INPUT!BJ373</f>
        <v>8.4677419354838719</v>
      </c>
      <c r="N466" s="580">
        <f>INPUT!BK373</f>
        <v>837</v>
      </c>
      <c r="O466" s="577">
        <f>INPUT!BL373</f>
        <v>14.188267394270127</v>
      </c>
      <c r="P466" s="580">
        <f>INPUT!BM373</f>
        <v>894</v>
      </c>
      <c r="Q466" s="577">
        <f>INPUT!BN373</f>
        <v>15.653298835705058</v>
      </c>
      <c r="R466" s="580">
        <f>INPUT!BO373</f>
        <v>1001</v>
      </c>
      <c r="S466" s="577">
        <f>INPUT!BP373</f>
        <v>18.04245283018868</v>
      </c>
      <c r="T466" s="580">
        <f>INPUT!BQ373</f>
        <v>916</v>
      </c>
      <c r="U466" s="577">
        <f>INPUT!BR373</f>
        <v>13.506815365551432</v>
      </c>
      <c r="V466" s="580">
        <f>INPUT!BS373</f>
        <v>900</v>
      </c>
      <c r="W466" s="577">
        <f>INPUT!BT373</f>
        <v>7.5268817204300973</v>
      </c>
      <c r="X466" s="580">
        <f>INPUT!BU373</f>
        <v>921</v>
      </c>
      <c r="Y466" s="577">
        <f>INPUT!BV373</f>
        <v>3.0201342281879135</v>
      </c>
      <c r="Z466" s="580">
        <f>INPUT!BW373</f>
        <v>1018</v>
      </c>
      <c r="AA466" s="577">
        <f>INPUT!BX373</f>
        <v>1.698301698301691</v>
      </c>
      <c r="AB466" s="580">
        <f>INPUT!BY373</f>
        <v>900</v>
      </c>
      <c r="AC466" s="577">
        <f>INPUT!BZ373</f>
        <v>-1.7467248908296966</v>
      </c>
      <c r="AD466" s="580">
        <f>INPUT!CA373</f>
        <v>970</v>
      </c>
      <c r="AE466" s="577">
        <f>INPUT!CB373</f>
        <v>7.7777777777777715</v>
      </c>
      <c r="AF466" s="580">
        <f>INPUT!CC373</f>
        <v>1013</v>
      </c>
      <c r="AG466" s="577">
        <f>INPUT!CD373</f>
        <v>9.9891422366992515</v>
      </c>
      <c r="AH466" s="580">
        <f>INPUT!CE373</f>
        <v>1163</v>
      </c>
      <c r="AI466" s="577">
        <f>INPUT!CF373</f>
        <v>14.243614931237715</v>
      </c>
      <c r="AJ466" s="580">
        <f>INPUT!CG373</f>
        <v>1070</v>
      </c>
      <c r="AK466" s="577">
        <f>INPUT!CH373</f>
        <v>18.888888888888886</v>
      </c>
      <c r="AL466" s="580">
        <f>INPUT!CI373</f>
        <v>1150</v>
      </c>
      <c r="AM466" s="577">
        <f>INPUT!CJ373</f>
        <v>18.55670103092784</v>
      </c>
      <c r="AN466" s="580">
        <f>INPUT!CK373</f>
        <v>1211</v>
      </c>
      <c r="AO466" s="577">
        <f>INPUT!CL373</f>
        <v>19.545903257650536</v>
      </c>
      <c r="AP466" s="580">
        <f>INPUT!CM373</f>
        <v>1389</v>
      </c>
      <c r="AQ466" s="577">
        <f>INPUT!CN373</f>
        <v>19.432502149613072</v>
      </c>
      <c r="AR466" s="580">
        <f>INPUT!CO373</f>
        <v>1229</v>
      </c>
      <c r="AS466" s="577">
        <f>INPUT!CP373</f>
        <v>14.859813084112147</v>
      </c>
      <c r="AT466" s="580">
        <f>INPUT!CQ373</f>
        <v>1325</v>
      </c>
      <c r="AU466" s="577">
        <f>INPUT!CR373</f>
        <v>15.217391304347828</v>
      </c>
      <c r="AV466" s="580">
        <f>INPUT!CS373</f>
        <v>1351</v>
      </c>
      <c r="AW466" s="577">
        <f>INPUT!CT373</f>
        <v>11.560693641618485</v>
      </c>
      <c r="AX466" s="580">
        <f>INPUT!CU373</f>
        <v>1490</v>
      </c>
      <c r="AY466" s="577">
        <f>INPUT!CV373</f>
        <v>7.2714182865370844</v>
      </c>
      <c r="AZ466" s="580">
        <f>INPUT!CW373</f>
        <v>1402</v>
      </c>
      <c r="BA466" s="577">
        <f>INPUT!CX373</f>
        <v>14.076484947111467</v>
      </c>
      <c r="BB466" s="580">
        <f>INPUT!CY373</f>
        <v>1436</v>
      </c>
      <c r="BC466" s="577">
        <f>INPUT!CZ373</f>
        <v>8.3773584905660385</v>
      </c>
      <c r="BD466" s="580">
        <f>INPUT!DA373</f>
        <v>1471</v>
      </c>
      <c r="BE466" s="577">
        <f>INPUT!DB373</f>
        <v>8.8823094004441145</v>
      </c>
      <c r="BF466" s="580">
        <f>INPUT!DC373</f>
        <v>1591</v>
      </c>
      <c r="BG466" s="577">
        <f>INPUT!DD373</f>
        <v>6.7785234899328799</v>
      </c>
      <c r="BH466" s="580">
        <f>INPUT!DE373</f>
        <v>1381</v>
      </c>
      <c r="BI466" s="577">
        <f>INPUT!DF373</f>
        <v>-1.4978601997146939</v>
      </c>
      <c r="BJ466" s="580">
        <f>INPUT!DG373</f>
        <v>1364</v>
      </c>
      <c r="BK466" s="577">
        <f>INPUT!DH373</f>
        <v>-5.0139275766016738</v>
      </c>
      <c r="BL466" s="580">
        <f>INPUT!DI373</f>
        <v>1478</v>
      </c>
      <c r="BM466" s="577">
        <f>INPUT!DJ373</f>
        <v>0.47586675730795491</v>
      </c>
      <c r="BN466" s="580">
        <f>INPUT!DK373</f>
        <v>1637</v>
      </c>
      <c r="BO466" s="577">
        <f>INPUT!DL373</f>
        <v>2.891263356379639</v>
      </c>
      <c r="BP466" s="580">
        <f>INPUT!DM373</f>
        <v>1457</v>
      </c>
      <c r="BQ466" s="577">
        <f>INPUT!DN373</f>
        <v>5.503258508327292</v>
      </c>
      <c r="BR466" s="580">
        <f>INPUT!DO373</f>
        <v>1486</v>
      </c>
      <c r="BS466" s="577">
        <f>INPUT!DP373</f>
        <v>8.94428152492668</v>
      </c>
      <c r="BT466" s="580">
        <f>INPUT!DQ373</f>
        <v>1434</v>
      </c>
      <c r="BU466" s="577">
        <f>INPUT!DR373</f>
        <v>-2.9769959404600854</v>
      </c>
      <c r="BV466" s="580">
        <f>INPUT!DS373</f>
        <v>1591</v>
      </c>
      <c r="BW466" s="577">
        <f>INPUT!DT373</f>
        <v>-2.8100183262064746</v>
      </c>
      <c r="BX466" s="580">
        <f>INPUT!DU373</f>
        <v>1450</v>
      </c>
      <c r="BY466" s="577">
        <f>INPUT!DV373</f>
        <v>-0.48043925875084881</v>
      </c>
      <c r="BZ466" s="580">
        <f>INPUT!DW373</f>
        <v>1444</v>
      </c>
      <c r="CA466" s="577">
        <f>INPUT!DX373</f>
        <v>-2.8263795423956992</v>
      </c>
      <c r="CB466" s="580">
        <f>INPUT!DY373</f>
        <v>1448</v>
      </c>
      <c r="CC466" s="577">
        <f>INPUT!DZ373</f>
        <v>0.97629009762900409</v>
      </c>
      <c r="CD466" s="580">
        <f>INPUT!EA373</f>
        <v>1709</v>
      </c>
      <c r="CE466" s="577">
        <f>INPUT!EB373</f>
        <v>7.4167190446260207</v>
      </c>
      <c r="CF466" s="580">
        <f>INPUT!EC373</f>
        <v>1632</v>
      </c>
      <c r="CG466" s="577">
        <f>INPUT!ED373</f>
        <v>12.551724137931046</v>
      </c>
      <c r="CH466" s="580">
        <f>INPUT!EE373</f>
        <v>1658</v>
      </c>
      <c r="CI466" s="577">
        <f>INPUT!EF373</f>
        <v>14.819944598337955</v>
      </c>
      <c r="CJ466" s="580">
        <f>INPUT!EG373</f>
        <v>1608</v>
      </c>
      <c r="CK466" s="577">
        <f>INPUT!EH373</f>
        <v>11.049723756906076</v>
      </c>
      <c r="CL466" s="580">
        <f>INPUT!EI373</f>
        <v>1866</v>
      </c>
      <c r="CM466" s="577">
        <f>INPUT!EJ373</f>
        <v>9.1866588648332339</v>
      </c>
      <c r="CN466" s="580">
        <f>INPUT!EK373</f>
        <v>1711</v>
      </c>
      <c r="CO466" s="577">
        <f>INPUT!EL373</f>
        <v>4.8406862745097925</v>
      </c>
      <c r="CP466" s="580">
        <f>INPUT!EM373</f>
        <v>1701</v>
      </c>
      <c r="CQ466" s="577">
        <f>INPUT!EN373</f>
        <v>2.5934861278648924</v>
      </c>
      <c r="CR466" s="580">
        <f>INPUT!EO373</f>
        <v>1741</v>
      </c>
      <c r="CS466" s="577">
        <f>INPUT!EP373</f>
        <v>8.271144278606954</v>
      </c>
      <c r="CT466" s="580">
        <f>INPUT!EQ373</f>
        <v>1940.7729297297296</v>
      </c>
      <c r="CU466" s="577">
        <f>INPUT!ER373</f>
        <v>4.0071237797282748</v>
      </c>
      <c r="CV466" s="580">
        <f>INPUT!ES373</f>
        <v>1774.0386756756752</v>
      </c>
      <c r="CW466" s="577">
        <f>INPUT!ET373</f>
        <v>3.6843176899868695</v>
      </c>
      <c r="CX466" s="580">
        <f>INPUT!EU373</f>
        <v>1785.3297693693694</v>
      </c>
      <c r="CY466" s="577">
        <f>INPUT!EV373</f>
        <v>4.9576583991398877</v>
      </c>
      <c r="CZ466" s="580">
        <f>INPUT!EW373</f>
        <v>1809.9550075675679</v>
      </c>
      <c r="DA466" s="577">
        <f>INPUT!EX373</f>
        <v>3.9606552307620717</v>
      </c>
      <c r="DB466" s="580"/>
      <c r="DC466" s="580">
        <f>INPUT!FP373</f>
        <v>2836</v>
      </c>
      <c r="DD466" s="577">
        <f>INPUT!FQ373</f>
        <v>25.653522374833841</v>
      </c>
      <c r="DE466" s="580">
        <f>INPUT!FR373</f>
        <v>3019</v>
      </c>
      <c r="DF466" s="577">
        <f>INPUT!FS373</f>
        <v>6.4527503526093</v>
      </c>
      <c r="DG466" s="580">
        <f>INPUT!FT373</f>
        <v>3386</v>
      </c>
      <c r="DH466" s="577">
        <f>INPUT!FU373</f>
        <v>12.156343159986747</v>
      </c>
      <c r="DI466" s="580">
        <f>INPUT!FV373</f>
        <v>3738</v>
      </c>
      <c r="DJ466" s="577">
        <f>INPUT!FW373</f>
        <v>10.395747194329587</v>
      </c>
      <c r="DK466" s="580">
        <f>INPUT!FX373</f>
        <v>3901</v>
      </c>
      <c r="DL466" s="577">
        <f>INPUT!FY373</f>
        <v>4.360620652755486</v>
      </c>
      <c r="DM466" s="580">
        <f>INPUT!FZ373</f>
        <v>4594</v>
      </c>
      <c r="DN466" s="577">
        <f>INPUT!GA373</f>
        <v>17.764675724173287</v>
      </c>
      <c r="DO466" s="580">
        <f>INPUT!GB373</f>
        <v>5294</v>
      </c>
      <c r="DP466" s="577">
        <f>INPUT!GC373</f>
        <v>15.237265999129292</v>
      </c>
      <c r="DQ466" s="580">
        <f>INPUT!GD373</f>
        <v>5799</v>
      </c>
      <c r="DR466" s="577">
        <f>INPUT!GE373</f>
        <v>9.5391008689081929</v>
      </c>
      <c r="DS466" s="580">
        <f>INPUT!GF373</f>
        <v>5814</v>
      </c>
      <c r="DT466" s="577">
        <f>INPUT!GG373</f>
        <v>0.25866528711846115</v>
      </c>
      <c r="DU466" s="580">
        <f>INPUT!GH373</f>
        <v>6014</v>
      </c>
      <c r="DV466" s="577">
        <f>INPUT!GI373</f>
        <v>3.4399724802201632</v>
      </c>
      <c r="DW466" s="580">
        <f>INPUT!GJ373</f>
        <v>5933</v>
      </c>
      <c r="DX466" s="577">
        <f>INPUT!GK373</f>
        <v>-1.3468573328899254</v>
      </c>
      <c r="DY466" s="580">
        <f>INPUT!GL373</f>
        <v>6607</v>
      </c>
      <c r="DZ466" s="577">
        <f>INPUT!GM373</f>
        <v>11.360188774650254</v>
      </c>
      <c r="EA466" s="580">
        <f>INPUT!GN373</f>
        <v>7019</v>
      </c>
      <c r="EB466" s="577">
        <f>INPUT!GO373</f>
        <v>6.2358105040108995</v>
      </c>
      <c r="EC466" s="580">
        <f>INPUT!GP373</f>
        <v>7310.0963823423417</v>
      </c>
      <c r="ED466" s="577">
        <f>INPUT!GQ373</f>
        <v>4.147262891328424</v>
      </c>
      <c r="EE466" s="580">
        <f>INPUT!GR373</f>
        <v>7602.500237636038</v>
      </c>
      <c r="EF466" s="577">
        <f>INPUT!GS373</f>
        <v>4.0000000000000284</v>
      </c>
      <c r="EG466" s="580">
        <f>INPUT!GT373</f>
        <v>7906.6002471414777</v>
      </c>
      <c r="EH466" s="577">
        <f>INPUT!GU373</f>
        <v>3.9999999999999858</v>
      </c>
      <c r="EI466" s="580">
        <f>INPUT!GV373</f>
        <v>8222.8642570271368</v>
      </c>
      <c r="EJ466" s="577">
        <f>INPUT!GW373</f>
        <v>4</v>
      </c>
      <c r="EK466" s="580">
        <f>INPUT!GX373</f>
        <v>8551.7788273082242</v>
      </c>
      <c r="EL466" s="577">
        <f>INPUT!GY373</f>
        <v>4.0000000000000284</v>
      </c>
      <c r="EM466" s="577">
        <f>INPUT!GZ373</f>
        <v>4.0294359106096689</v>
      </c>
    </row>
    <row r="467" spans="1:144" ht="12.75" hidden="1" customHeight="1" outlineLevel="1" x14ac:dyDescent="0.2">
      <c r="A467" s="579" t="str">
        <f>INPUT!B374</f>
        <v>Interest Credited</v>
      </c>
      <c r="B467" s="580">
        <f>INPUT!AY374</f>
        <v>27</v>
      </c>
      <c r="C467" s="577">
        <f>INPUT!AZ374</f>
        <v>8</v>
      </c>
      <c r="D467" s="580">
        <f>INPUT!BA374</f>
        <v>27</v>
      </c>
      <c r="E467" s="577">
        <f>INPUT!BB374</f>
        <v>-6.8965517241379359</v>
      </c>
      <c r="F467" s="580">
        <f>INPUT!BC374</f>
        <v>27</v>
      </c>
      <c r="G467" s="577">
        <f>INPUT!BD374</f>
        <v>8</v>
      </c>
      <c r="H467" s="580">
        <f>INPUT!BE374</f>
        <v>25</v>
      </c>
      <c r="I467" s="577">
        <f>INPUT!BF374</f>
        <v>8.6956521739130324</v>
      </c>
      <c r="J467" s="580">
        <f>INPUT!BG374</f>
        <v>34</v>
      </c>
      <c r="K467" s="577">
        <f>INPUT!BH374</f>
        <v>25.925925925925924</v>
      </c>
      <c r="L467" s="580">
        <f>INPUT!BI374</f>
        <v>31</v>
      </c>
      <c r="M467" s="577">
        <f>INPUT!BJ374</f>
        <v>14.81481481481481</v>
      </c>
      <c r="N467" s="580">
        <f>INPUT!BK374</f>
        <v>36</v>
      </c>
      <c r="O467" s="577">
        <f>INPUT!BL374</f>
        <v>33.333333333333314</v>
      </c>
      <c r="P467" s="580">
        <f>INPUT!BM374</f>
        <v>36</v>
      </c>
      <c r="Q467" s="577">
        <f>INPUT!BN374</f>
        <v>44</v>
      </c>
      <c r="R467" s="580">
        <f>INPUT!BO374</f>
        <v>43</v>
      </c>
      <c r="S467" s="577">
        <f>INPUT!BP374</f>
        <v>26.470588235294116</v>
      </c>
      <c r="T467" s="580">
        <f>INPUT!BQ374</f>
        <v>40</v>
      </c>
      <c r="U467" s="577">
        <f>INPUT!BR374</f>
        <v>29.032258064516128</v>
      </c>
      <c r="V467" s="580">
        <f>INPUT!BS374</f>
        <v>42</v>
      </c>
      <c r="W467" s="577">
        <f>INPUT!BT374</f>
        <v>16.666666666666671</v>
      </c>
      <c r="X467" s="580">
        <f>INPUT!BU374</f>
        <v>42</v>
      </c>
      <c r="Y467" s="577">
        <f>INPUT!BV374</f>
        <v>16.666666666666671</v>
      </c>
      <c r="Z467" s="580">
        <f>INPUT!BW374</f>
        <v>48</v>
      </c>
      <c r="AA467" s="577">
        <f>INPUT!BX374</f>
        <v>11.627906976744185</v>
      </c>
      <c r="AB467" s="580">
        <f>INPUT!BY374</f>
        <v>40</v>
      </c>
      <c r="AC467" s="577">
        <f>INPUT!BZ374</f>
        <v>0</v>
      </c>
      <c r="AD467" s="580">
        <f>INPUT!CA374</f>
        <v>49</v>
      </c>
      <c r="AE467" s="577">
        <f>INPUT!CB374</f>
        <v>16.666666666666671</v>
      </c>
      <c r="AF467" s="580">
        <f>INPUT!CC374</f>
        <v>49</v>
      </c>
      <c r="AG467" s="577">
        <f>INPUT!CD374</f>
        <v>16.666666666666671</v>
      </c>
      <c r="AH467" s="580">
        <f>INPUT!CE374</f>
        <v>53</v>
      </c>
      <c r="AI467" s="577">
        <f>INPUT!CF374</f>
        <v>10.416666666666671</v>
      </c>
      <c r="AJ467" s="580">
        <f>INPUT!CG374</f>
        <v>47</v>
      </c>
      <c r="AK467" s="577">
        <f>INPUT!CH374</f>
        <v>17.5</v>
      </c>
      <c r="AL467" s="580">
        <f>INPUT!CI374</f>
        <v>59</v>
      </c>
      <c r="AM467" s="577">
        <f>INPUT!CJ374</f>
        <v>20.408163265306129</v>
      </c>
      <c r="AN467" s="580">
        <f>INPUT!CK374</f>
        <v>54</v>
      </c>
      <c r="AO467" s="577">
        <f>INPUT!CL374</f>
        <v>10.204081632653043</v>
      </c>
      <c r="AP467" s="580">
        <f>INPUT!CM374</f>
        <v>62</v>
      </c>
      <c r="AQ467" s="577">
        <f>INPUT!CN374</f>
        <v>16.981132075471692</v>
      </c>
      <c r="AR467" s="580">
        <f>INPUT!CO374</f>
        <v>56</v>
      </c>
      <c r="AS467" s="577">
        <f>INPUT!CP374</f>
        <v>19.148936170212764</v>
      </c>
      <c r="AT467" s="580">
        <f>INPUT!CQ374</f>
        <v>66</v>
      </c>
      <c r="AU467" s="577">
        <f>INPUT!CR374</f>
        <v>11.86440677966101</v>
      </c>
      <c r="AV467" s="580">
        <f>INPUT!CS374</f>
        <v>61</v>
      </c>
      <c r="AW467" s="577">
        <f>INPUT!CT374</f>
        <v>12.962962962962948</v>
      </c>
      <c r="AX467" s="580">
        <f>INPUT!CU374</f>
        <v>68</v>
      </c>
      <c r="AY467" s="577">
        <f>INPUT!CV374</f>
        <v>9.6774193548387046</v>
      </c>
      <c r="AZ467" s="580">
        <f>INPUT!CW374</f>
        <v>61</v>
      </c>
      <c r="BA467" s="577">
        <f>INPUT!CX374</f>
        <v>8.9285714285714164</v>
      </c>
      <c r="BB467" s="580">
        <f>INPUT!CY374</f>
        <v>80</v>
      </c>
      <c r="BC467" s="577">
        <f>INPUT!CZ374</f>
        <v>21.212121212121218</v>
      </c>
      <c r="BD467" s="580">
        <f>INPUT!DA374</f>
        <v>52</v>
      </c>
      <c r="BE467" s="577">
        <f>INPUT!DB374</f>
        <v>-14.754098360655746</v>
      </c>
      <c r="BF467" s="580">
        <f>INPUT!DC374</f>
        <v>69</v>
      </c>
      <c r="BG467" s="577">
        <f>INPUT!DD374</f>
        <v>1.470588235294116</v>
      </c>
      <c r="BH467" s="580">
        <f>INPUT!DE374</f>
        <v>55</v>
      </c>
      <c r="BI467" s="577">
        <f>INPUT!DF374</f>
        <v>-9.8360655737704974</v>
      </c>
      <c r="BJ467" s="580">
        <f>INPUT!DG374</f>
        <v>63</v>
      </c>
      <c r="BK467" s="577">
        <f>INPUT!DH374</f>
        <v>-21.25</v>
      </c>
      <c r="BL467" s="580">
        <f>INPUT!DI374</f>
        <v>57</v>
      </c>
      <c r="BM467" s="577">
        <f>INPUT!DJ374</f>
        <v>9.6153846153846274</v>
      </c>
      <c r="BN467" s="580">
        <f>INPUT!DK374</f>
        <v>60</v>
      </c>
      <c r="BO467" s="577">
        <f>INPUT!DL374</f>
        <v>-13.043478260869563</v>
      </c>
      <c r="BP467" s="580">
        <f>INPUT!DM374</f>
        <v>53</v>
      </c>
      <c r="BQ467" s="577">
        <f>INPUT!DN374</f>
        <v>-3.6363636363636402</v>
      </c>
      <c r="BR467" s="580">
        <f>INPUT!DO374</f>
        <v>59</v>
      </c>
      <c r="BS467" s="577">
        <f>INPUT!DP374</f>
        <v>-6.3492063492063551</v>
      </c>
      <c r="BT467" s="580">
        <f>INPUT!DQ374</f>
        <v>49</v>
      </c>
      <c r="BU467" s="577">
        <f>INPUT!DR374</f>
        <v>-14.035087719298247</v>
      </c>
      <c r="BV467" s="580">
        <f>INPUT!DS374</f>
        <v>55</v>
      </c>
      <c r="BW467" s="577">
        <f>INPUT!DT374</f>
        <v>-8.3333333333333428</v>
      </c>
      <c r="BX467" s="580">
        <f>INPUT!DU374</f>
        <v>48</v>
      </c>
      <c r="BY467" s="577">
        <f>INPUT!DV374</f>
        <v>-9.4339622641509351</v>
      </c>
      <c r="BZ467" s="580">
        <f>INPUT!DW374</f>
        <v>54</v>
      </c>
      <c r="CA467" s="577">
        <f>INPUT!DX374</f>
        <v>-8.4745762711864359</v>
      </c>
      <c r="CB467" s="580">
        <f>INPUT!DY374</f>
        <v>47</v>
      </c>
      <c r="CC467" s="577">
        <f>INPUT!DZ374</f>
        <v>-4.0816326530612344</v>
      </c>
      <c r="CD467" s="580">
        <f>INPUT!EA374</f>
        <v>59</v>
      </c>
      <c r="CE467" s="577">
        <f>INPUT!EB374</f>
        <v>7.2727272727272805</v>
      </c>
      <c r="CF467" s="580">
        <f>INPUT!EC374</f>
        <v>56</v>
      </c>
      <c r="CG467" s="577">
        <f>INPUT!ED374</f>
        <v>16.666666666666671</v>
      </c>
      <c r="CH467" s="580">
        <f>INPUT!EE374</f>
        <v>64</v>
      </c>
      <c r="CI467" s="577">
        <f>INPUT!EF374</f>
        <v>18.518518518518505</v>
      </c>
      <c r="CJ467" s="580">
        <f>INPUT!EG374</f>
        <v>55</v>
      </c>
      <c r="CK467" s="577">
        <f>INPUT!EH374</f>
        <v>17.021276595744681</v>
      </c>
      <c r="CL467" s="580">
        <f>INPUT!EI374</f>
        <v>62</v>
      </c>
      <c r="CM467" s="577">
        <f>INPUT!EJ374</f>
        <v>5.0847457627118757</v>
      </c>
      <c r="CN467" s="580">
        <f>INPUT!EK374</f>
        <v>56</v>
      </c>
      <c r="CO467" s="577">
        <f>INPUT!EL374</f>
        <v>0</v>
      </c>
      <c r="CP467" s="580">
        <f>INPUT!EM374</f>
        <v>64</v>
      </c>
      <c r="CQ467" s="577">
        <f>INPUT!EN374</f>
        <v>0</v>
      </c>
      <c r="CR467" s="580">
        <f>INPUT!EO374</f>
        <v>56</v>
      </c>
      <c r="CS467" s="577">
        <f>INPUT!EP374</f>
        <v>1.818181818181813</v>
      </c>
      <c r="CT467" s="580">
        <f>INPUT!EQ374</f>
        <v>64.759279279279284</v>
      </c>
      <c r="CU467" s="577">
        <f>INPUT!ER374</f>
        <v>4.4504504504504467</v>
      </c>
      <c r="CV467" s="580">
        <f>INPUT!ES374</f>
        <v>58.49225225225225</v>
      </c>
      <c r="CW467" s="577">
        <f>INPUT!ET374</f>
        <v>4.4504504504504467</v>
      </c>
      <c r="CX467" s="580">
        <f>INPUT!EU374</f>
        <v>66.848288288288288</v>
      </c>
      <c r="CY467" s="577">
        <f>INPUT!EV374</f>
        <v>4.4504504504504467</v>
      </c>
      <c r="CZ467" s="580">
        <f>INPUT!EW374</f>
        <v>58.49225225225225</v>
      </c>
      <c r="DA467" s="577">
        <f>INPUT!EX374</f>
        <v>4.4504504504504467</v>
      </c>
      <c r="DB467" s="580"/>
      <c r="DC467" s="580">
        <f>INPUT!FP374</f>
        <v>102</v>
      </c>
      <c r="DD467" s="577" t="str">
        <f>INPUT!FQ374</f>
        <v>NM</v>
      </c>
      <c r="DE467" s="580">
        <f>INPUT!FR374</f>
        <v>106</v>
      </c>
      <c r="DF467" s="577">
        <f>INPUT!FS374</f>
        <v>3.9215686274509949</v>
      </c>
      <c r="DG467" s="580">
        <f>INPUT!FT374</f>
        <v>137</v>
      </c>
      <c r="DH467" s="577">
        <f>INPUT!FU374</f>
        <v>29.245283018867923</v>
      </c>
      <c r="DI467" s="580">
        <f>INPUT!FV374</f>
        <v>167</v>
      </c>
      <c r="DJ467" s="577">
        <f>INPUT!FW374</f>
        <v>21.897810218978094</v>
      </c>
      <c r="DK467" s="580">
        <f>INPUT!FX374</f>
        <v>186</v>
      </c>
      <c r="DL467" s="577">
        <f>INPUT!FY374</f>
        <v>11.377245508982028</v>
      </c>
      <c r="DM467" s="580">
        <f>INPUT!FZ374</f>
        <v>213</v>
      </c>
      <c r="DN467" s="577">
        <f>INPUT!GA374</f>
        <v>14.516129032258078</v>
      </c>
      <c r="DO467" s="580">
        <f>INPUT!GB374</f>
        <v>245</v>
      </c>
      <c r="DP467" s="577">
        <f>INPUT!GC374</f>
        <v>15.023474178403745</v>
      </c>
      <c r="DQ467" s="580">
        <f>INPUT!GD374</f>
        <v>261</v>
      </c>
      <c r="DR467" s="577">
        <f>INPUT!GE374</f>
        <v>6.5306122448979522</v>
      </c>
      <c r="DS467" s="580">
        <f>INPUT!GF374</f>
        <v>244</v>
      </c>
      <c r="DT467" s="577">
        <f>INPUT!GG374</f>
        <v>-6.5134099616858236</v>
      </c>
      <c r="DU467" s="580">
        <f>INPUT!GH374</f>
        <v>221</v>
      </c>
      <c r="DV467" s="577">
        <f>INPUT!GI374</f>
        <v>-9.4262295081967267</v>
      </c>
      <c r="DW467" s="580">
        <f>INPUT!GJ374</f>
        <v>204</v>
      </c>
      <c r="DX467" s="577">
        <f>INPUT!GK374</f>
        <v>-7.6923076923076934</v>
      </c>
      <c r="DY467" s="580">
        <f>INPUT!GL374</f>
        <v>234</v>
      </c>
      <c r="DZ467" s="577">
        <f>INPUT!GM374</f>
        <v>14.705882352941174</v>
      </c>
      <c r="EA467" s="580">
        <f>INPUT!GN374</f>
        <v>238</v>
      </c>
      <c r="EB467" s="577">
        <f>INPUT!GO374</f>
        <v>1.7094017094017033</v>
      </c>
      <c r="EC467" s="580">
        <f>INPUT!GP374</f>
        <v>248.59207207207206</v>
      </c>
      <c r="ED467" s="577">
        <f>INPUT!GQ374</f>
        <v>4.4504504504504467</v>
      </c>
      <c r="EE467" s="580">
        <f>INPUT!GR374</f>
        <v>258.53575495495494</v>
      </c>
      <c r="EF467" s="577">
        <f>INPUT!GS374</f>
        <v>4</v>
      </c>
      <c r="EG467" s="580">
        <f>INPUT!GT374</f>
        <v>268.87718515315316</v>
      </c>
      <c r="EH467" s="577">
        <f>INPUT!GU374</f>
        <v>4</v>
      </c>
      <c r="EI467" s="580">
        <f>INPUT!GV374</f>
        <v>279.63227255927927</v>
      </c>
      <c r="EJ467" s="577">
        <f>INPUT!GW374</f>
        <v>4</v>
      </c>
      <c r="EK467" s="580">
        <f>INPUT!GX374</f>
        <v>290.81756346165048</v>
      </c>
      <c r="EL467" s="577">
        <f>INPUT!GY374</f>
        <v>4</v>
      </c>
      <c r="EM467" s="577">
        <f>INPUT!GZ374</f>
        <v>4.089934413243701</v>
      </c>
    </row>
    <row r="468" spans="1:144" ht="12.75" hidden="1" customHeight="1" outlineLevel="1" x14ac:dyDescent="0.2">
      <c r="A468" s="579" t="str">
        <f>INPUT!B375</f>
        <v>Interest Expense</v>
      </c>
      <c r="B468" s="580">
        <f>INPUT!AY375</f>
        <v>3</v>
      </c>
      <c r="C468" s="577">
        <f>INPUT!AZ375</f>
        <v>-50</v>
      </c>
      <c r="D468" s="580">
        <f>INPUT!BA375</f>
        <v>3</v>
      </c>
      <c r="E468" s="577">
        <f>INPUT!BB375</f>
        <v>-40</v>
      </c>
      <c r="F468" s="580">
        <f>INPUT!BC375</f>
        <v>3</v>
      </c>
      <c r="G468" s="577">
        <f>INPUT!BD375</f>
        <v>-50</v>
      </c>
      <c r="H468" s="580">
        <f>INPUT!BE375</f>
        <v>2</v>
      </c>
      <c r="I468" s="577">
        <f>INPUT!BF375</f>
        <v>-50</v>
      </c>
      <c r="J468" s="580">
        <f>INPUT!BG375</f>
        <v>3</v>
      </c>
      <c r="K468" s="577">
        <f>INPUT!BH375</f>
        <v>0</v>
      </c>
      <c r="L468" s="580">
        <f>INPUT!BI375</f>
        <v>3</v>
      </c>
      <c r="M468" s="577">
        <f>INPUT!BJ375</f>
        <v>0</v>
      </c>
      <c r="N468" s="580">
        <f>INPUT!BK375</f>
        <v>2</v>
      </c>
      <c r="O468" s="577">
        <f>INPUT!BL375</f>
        <v>-33.333333333333343</v>
      </c>
      <c r="P468" s="580">
        <f>INPUT!BM375</f>
        <v>4</v>
      </c>
      <c r="Q468" s="577">
        <f>INPUT!BN375</f>
        <v>100</v>
      </c>
      <c r="R468" s="580">
        <f>INPUT!BO375</f>
        <v>3</v>
      </c>
      <c r="S468" s="577">
        <f>INPUT!BP375</f>
        <v>0</v>
      </c>
      <c r="T468" s="580">
        <f>INPUT!BQ375</f>
        <v>4</v>
      </c>
      <c r="U468" s="577">
        <f>INPUT!BR375</f>
        <v>33.333333333333314</v>
      </c>
      <c r="V468" s="580">
        <f>INPUT!BS375</f>
        <v>2</v>
      </c>
      <c r="W468" s="577">
        <f>INPUT!BT375</f>
        <v>0</v>
      </c>
      <c r="X468" s="580">
        <f>INPUT!BU375</f>
        <v>4</v>
      </c>
      <c r="Y468" s="577">
        <f>INPUT!BV375</f>
        <v>0</v>
      </c>
      <c r="Z468" s="580">
        <f>INPUT!BW375</f>
        <v>3</v>
      </c>
      <c r="AA468" s="577">
        <f>INPUT!BX375</f>
        <v>0</v>
      </c>
      <c r="AB468" s="580">
        <f>INPUT!BY375</f>
        <v>-1</v>
      </c>
      <c r="AC468" s="577" t="str">
        <f>INPUT!BZ375</f>
        <v>NM</v>
      </c>
      <c r="AD468" s="580">
        <f>INPUT!CA375</f>
        <v>0</v>
      </c>
      <c r="AE468" s="577" t="str">
        <f>INPUT!CB375</f>
        <v>NM</v>
      </c>
      <c r="AF468" s="580">
        <f>INPUT!CC375</f>
        <v>1</v>
      </c>
      <c r="AG468" s="577" t="str">
        <f>INPUT!CD375</f>
        <v>NM</v>
      </c>
      <c r="AH468" s="580">
        <f>INPUT!CE375</f>
        <v>1</v>
      </c>
      <c r="AI468" s="577" t="str">
        <f>INPUT!CF375</f>
        <v>NM</v>
      </c>
      <c r="AJ468" s="580">
        <f>INPUT!CG375</f>
        <v>0</v>
      </c>
      <c r="AK468" s="577" t="str">
        <f>INPUT!CH375</f>
        <v>NM</v>
      </c>
      <c r="AL468" s="580">
        <f>INPUT!CI375</f>
        <v>0</v>
      </c>
      <c r="AM468" s="577" t="str">
        <f>INPUT!CJ375</f>
        <v>NA</v>
      </c>
      <c r="AN468" s="580">
        <f>INPUT!CK375</f>
        <v>1</v>
      </c>
      <c r="AO468" s="577">
        <f>INPUT!CL375</f>
        <v>0</v>
      </c>
      <c r="AP468" s="580">
        <f>INPUT!CM375</f>
        <v>0</v>
      </c>
      <c r="AQ468" s="577" t="str">
        <f>INPUT!CN375</f>
        <v>NM</v>
      </c>
      <c r="AR468" s="580">
        <f>INPUT!CO375</f>
        <v>0</v>
      </c>
      <c r="AS468" s="577" t="str">
        <f>INPUT!CP375</f>
        <v>NA</v>
      </c>
      <c r="AT468" s="580">
        <f>INPUT!CQ375</f>
        <v>0</v>
      </c>
      <c r="AU468" s="577" t="str">
        <f>INPUT!CR375</f>
        <v>NA</v>
      </c>
      <c r="AV468" s="580">
        <f>INPUT!CS375</f>
        <v>-1</v>
      </c>
      <c r="AW468" s="577" t="str">
        <f>INPUT!CT375</f>
        <v>NM</v>
      </c>
      <c r="AX468" s="580">
        <f>INPUT!CU375</f>
        <v>0</v>
      </c>
      <c r="AY468" s="577" t="str">
        <f>INPUT!CV375</f>
        <v>NA</v>
      </c>
      <c r="AZ468" s="580">
        <f>INPUT!CW375</f>
        <v>0</v>
      </c>
      <c r="BA468" s="577" t="str">
        <f>INPUT!CX375</f>
        <v>NA</v>
      </c>
      <c r="BB468" s="580">
        <f>INPUT!CY375</f>
        <v>0</v>
      </c>
      <c r="BC468" s="577" t="str">
        <f>INPUT!CZ375</f>
        <v>NA</v>
      </c>
      <c r="BD468" s="580">
        <f>INPUT!DA375</f>
        <v>0</v>
      </c>
      <c r="BE468" s="577" t="str">
        <f>INPUT!DB375</f>
        <v>NM</v>
      </c>
      <c r="BF468" s="580">
        <f>INPUT!DC375</f>
        <v>1</v>
      </c>
      <c r="BG468" s="577" t="str">
        <f>INPUT!DD375</f>
        <v>NA</v>
      </c>
      <c r="BH468" s="580">
        <f>INPUT!DE375</f>
        <v>0</v>
      </c>
      <c r="BI468" s="577" t="str">
        <f>INPUT!DF375</f>
        <v>NA</v>
      </c>
      <c r="BJ468" s="580">
        <f>INPUT!DG375</f>
        <v>0</v>
      </c>
      <c r="BK468" s="577" t="str">
        <f>INPUT!DH375</f>
        <v>NA</v>
      </c>
      <c r="BL468" s="580">
        <f>INPUT!DI375</f>
        <v>1</v>
      </c>
      <c r="BM468" s="577" t="str">
        <f>INPUT!DJ375</f>
        <v>NA</v>
      </c>
      <c r="BN468" s="580">
        <f>INPUT!DK375</f>
        <v>0</v>
      </c>
      <c r="BO468" s="577" t="str">
        <f>INPUT!DL375</f>
        <v>NM</v>
      </c>
      <c r="BP468" s="580">
        <f>INPUT!DM375</f>
        <v>1</v>
      </c>
      <c r="BQ468" s="577" t="str">
        <f>INPUT!DN375</f>
        <v>NA</v>
      </c>
      <c r="BR468" s="580">
        <f>INPUT!DO375</f>
        <v>1</v>
      </c>
      <c r="BS468" s="577" t="str">
        <f>INPUT!DP375</f>
        <v>NA</v>
      </c>
      <c r="BT468" s="580">
        <f>INPUT!DQ375</f>
        <v>0</v>
      </c>
      <c r="BU468" s="577" t="str">
        <f>INPUT!DR375</f>
        <v>NM</v>
      </c>
      <c r="BV468" s="580">
        <f>INPUT!DS375</f>
        <v>1</v>
      </c>
      <c r="BW468" s="577" t="str">
        <f>INPUT!DT375</f>
        <v>NA</v>
      </c>
      <c r="BX468" s="580">
        <f>INPUT!DU375</f>
        <v>0</v>
      </c>
      <c r="BY468" s="577" t="str">
        <f>INPUT!DV375</f>
        <v>NM</v>
      </c>
      <c r="BZ468" s="580">
        <f>INPUT!DW375</f>
        <v>1</v>
      </c>
      <c r="CA468" s="577">
        <f>INPUT!DX375</f>
        <v>0</v>
      </c>
      <c r="CB468" s="580">
        <f>INPUT!DY375</f>
        <v>1</v>
      </c>
      <c r="CC468" s="577" t="str">
        <f>INPUT!DZ375</f>
        <v>NA</v>
      </c>
      <c r="CD468" s="580">
        <f>INPUT!EA375</f>
        <v>1</v>
      </c>
      <c r="CE468" s="577">
        <f>INPUT!EB375</f>
        <v>0</v>
      </c>
      <c r="CF468" s="580">
        <f>INPUT!EC375</f>
        <v>1</v>
      </c>
      <c r="CG468" s="577" t="str">
        <f>INPUT!ED375</f>
        <v>NA</v>
      </c>
      <c r="CH468" s="580">
        <f>INPUT!EE375</f>
        <v>1</v>
      </c>
      <c r="CI468" s="577">
        <f>INPUT!EF375</f>
        <v>0</v>
      </c>
      <c r="CJ468" s="580">
        <f>INPUT!EG375</f>
        <v>2</v>
      </c>
      <c r="CK468" s="577">
        <f>INPUT!EH375</f>
        <v>100</v>
      </c>
      <c r="CL468" s="580">
        <f>INPUT!EI375</f>
        <v>2</v>
      </c>
      <c r="CM468" s="577">
        <f>INPUT!EJ375</f>
        <v>100</v>
      </c>
      <c r="CN468" s="580">
        <f>INPUT!EK375</f>
        <v>2</v>
      </c>
      <c r="CO468" s="577">
        <f>INPUT!EL375</f>
        <v>100</v>
      </c>
      <c r="CP468" s="580">
        <f>INPUT!EM375</f>
        <v>2</v>
      </c>
      <c r="CQ468" s="577">
        <f>INPUT!EN375</f>
        <v>100</v>
      </c>
      <c r="CR468" s="580">
        <f>INPUT!EO375</f>
        <v>2</v>
      </c>
      <c r="CS468" s="577">
        <f>INPUT!EP375</f>
        <v>0</v>
      </c>
      <c r="CT468" s="580">
        <f>INPUT!EQ375</f>
        <v>2.2200000000000002</v>
      </c>
      <c r="CU468" s="577">
        <f>INPUT!ER375</f>
        <v>11.000000000000014</v>
      </c>
      <c r="CV468" s="580">
        <f>INPUT!ES375</f>
        <v>2.2200000000000002</v>
      </c>
      <c r="CW468" s="577">
        <f>INPUT!ET375</f>
        <v>11.000000000000014</v>
      </c>
      <c r="CX468" s="580">
        <f>INPUT!EU375</f>
        <v>2.2200000000000002</v>
      </c>
      <c r="CY468" s="577">
        <f>INPUT!EV375</f>
        <v>11.000000000000014</v>
      </c>
      <c r="CZ468" s="580">
        <f>INPUT!EW375</f>
        <v>2.2200000000000002</v>
      </c>
      <c r="DA468" s="577">
        <f>INPUT!EX375</f>
        <v>11.000000000000014</v>
      </c>
      <c r="DB468" s="580"/>
      <c r="DC468" s="580">
        <f>INPUT!FP375</f>
        <v>21</v>
      </c>
      <c r="DD468" s="577">
        <f>INPUT!FQ375</f>
        <v>75</v>
      </c>
      <c r="DE468" s="580">
        <f>INPUT!FR375</f>
        <v>11</v>
      </c>
      <c r="DF468" s="577">
        <f>INPUT!FS375</f>
        <v>-47.619047619047613</v>
      </c>
      <c r="DG468" s="580">
        <f>INPUT!FT375</f>
        <v>12</v>
      </c>
      <c r="DH468" s="577">
        <f>INPUT!FU375</f>
        <v>9.0909090909090793</v>
      </c>
      <c r="DI468" s="580">
        <f>INPUT!FV375</f>
        <v>13</v>
      </c>
      <c r="DJ468" s="577">
        <f>INPUT!FW375</f>
        <v>8.3333333333333286</v>
      </c>
      <c r="DK468" s="580">
        <f>INPUT!FX375</f>
        <v>3</v>
      </c>
      <c r="DL468" s="577" t="str">
        <f>INPUT!FY375</f>
        <v>NM</v>
      </c>
      <c r="DM468" s="580">
        <f>INPUT!FZ375</f>
        <v>2</v>
      </c>
      <c r="DN468" s="577">
        <f>INPUT!GA375</f>
        <v>-33.333333333333343</v>
      </c>
      <c r="DO468" s="580">
        <f>INPUT!GB375</f>
        <v>-1</v>
      </c>
      <c r="DP468" s="577" t="str">
        <f>INPUT!GC375</f>
        <v>NM</v>
      </c>
      <c r="DQ468" s="580">
        <f>INPUT!GD375</f>
        <v>0</v>
      </c>
      <c r="DR468" s="577" t="str">
        <f>INPUT!GE375</f>
        <v>NM</v>
      </c>
      <c r="DS468" s="580">
        <f>INPUT!GF375</f>
        <v>2</v>
      </c>
      <c r="DT468" s="577" t="str">
        <f>INPUT!GG375</f>
        <v>NA</v>
      </c>
      <c r="DU468" s="580">
        <f>INPUT!GH375</f>
        <v>2</v>
      </c>
      <c r="DV468" s="577">
        <f>INPUT!GI375</f>
        <v>0</v>
      </c>
      <c r="DW468" s="580">
        <f>INPUT!GJ375</f>
        <v>3</v>
      </c>
      <c r="DX468" s="577">
        <f>INPUT!GK375</f>
        <v>50</v>
      </c>
      <c r="DY468" s="580">
        <f>INPUT!GL375</f>
        <v>5</v>
      </c>
      <c r="DZ468" s="577">
        <f>INPUT!GM375</f>
        <v>66.666666666666686</v>
      </c>
      <c r="EA468" s="580">
        <f>INPUT!GN375</f>
        <v>8</v>
      </c>
      <c r="EB468" s="577">
        <f>INPUT!GO375</f>
        <v>60</v>
      </c>
      <c r="EC468" s="580">
        <f>INPUT!GP375</f>
        <v>8.8800000000000008</v>
      </c>
      <c r="ED468" s="577">
        <f>INPUT!GQ375</f>
        <v>11.000000000000014</v>
      </c>
      <c r="EE468" s="580">
        <f>INPUT!GR375</f>
        <v>9.8568000000000016</v>
      </c>
      <c r="EF468" s="577">
        <f>INPUT!GS375</f>
        <v>11.000000000000014</v>
      </c>
      <c r="EG468" s="580">
        <f>INPUT!GT375</f>
        <v>10.941048000000002</v>
      </c>
      <c r="EH468" s="577">
        <f>INPUT!GU375</f>
        <v>11.000000000000014</v>
      </c>
      <c r="EI468" s="580">
        <f>INPUT!GV375</f>
        <v>12.144563280000003</v>
      </c>
      <c r="EJ468" s="577">
        <f>INPUT!GW375</f>
        <v>11.000000000000014</v>
      </c>
      <c r="EK468" s="580">
        <f>INPUT!GX375</f>
        <v>13.480465240800005</v>
      </c>
      <c r="EL468" s="577">
        <f>INPUT!GY375</f>
        <v>11.000000000000014</v>
      </c>
      <c r="EM468" s="577">
        <f>INPUT!GZ375</f>
        <v>11.000000000000011</v>
      </c>
    </row>
    <row r="469" spans="1:144" ht="12.75" hidden="1" customHeight="1" outlineLevel="1" x14ac:dyDescent="0.2">
      <c r="A469" s="579" t="str">
        <f>INPUT!B376</f>
        <v>Operating Expenses</v>
      </c>
      <c r="B469" s="580">
        <f>INPUT!AY376</f>
        <v>290</v>
      </c>
      <c r="C469" s="577">
        <f>INPUT!AZ376</f>
        <v>-2.6845637583892596</v>
      </c>
      <c r="D469" s="580">
        <f>INPUT!BA376</f>
        <v>287</v>
      </c>
      <c r="E469" s="577">
        <f>INPUT!BB376</f>
        <v>-2.711864406779668</v>
      </c>
      <c r="F469" s="580">
        <f>INPUT!BC376</f>
        <v>288</v>
      </c>
      <c r="G469" s="577">
        <f>INPUT!BD376</f>
        <v>5.8823529411764781</v>
      </c>
      <c r="H469" s="580">
        <f>INPUT!BE376</f>
        <v>313</v>
      </c>
      <c r="I469" s="577">
        <f>INPUT!BF376</f>
        <v>7.1917808219178028</v>
      </c>
      <c r="J469" s="580">
        <f>INPUT!BG376</f>
        <v>304</v>
      </c>
      <c r="K469" s="577">
        <f>INPUT!BH376</f>
        <v>4.8275862068965552</v>
      </c>
      <c r="L469" s="580">
        <f>INPUT!BI376</f>
        <v>308</v>
      </c>
      <c r="M469" s="577">
        <f>INPUT!BJ376</f>
        <v>7.3170731707317174</v>
      </c>
      <c r="N469" s="580">
        <f>INPUT!BK376</f>
        <v>316</v>
      </c>
      <c r="O469" s="577">
        <f>INPUT!BL376</f>
        <v>9.7222222222222285</v>
      </c>
      <c r="P469" s="580">
        <f>INPUT!BM376</f>
        <v>352</v>
      </c>
      <c r="Q469" s="577">
        <f>INPUT!BN376</f>
        <v>12.460063897763575</v>
      </c>
      <c r="R469" s="580">
        <f>INPUT!BO376</f>
        <v>345</v>
      </c>
      <c r="S469" s="577">
        <f>INPUT!BP376</f>
        <v>13.486842105263165</v>
      </c>
      <c r="T469" s="580">
        <f>INPUT!BQ376</f>
        <v>341</v>
      </c>
      <c r="U469" s="577">
        <f>INPUT!BR376</f>
        <v>10.714285714285722</v>
      </c>
      <c r="V469" s="580">
        <f>INPUT!BS376</f>
        <v>325</v>
      </c>
      <c r="W469" s="577">
        <f>INPUT!BT376</f>
        <v>2.8481012658227769</v>
      </c>
      <c r="X469" s="580">
        <f>INPUT!BU376</f>
        <v>350</v>
      </c>
      <c r="Y469" s="577">
        <f>INPUT!BV376</f>
        <v>-0.56818181818182723</v>
      </c>
      <c r="Z469" s="580">
        <f>INPUT!BW376</f>
        <v>360</v>
      </c>
      <c r="AA469" s="577">
        <f>INPUT!BX376</f>
        <v>4.3478260869565162</v>
      </c>
      <c r="AB469" s="580">
        <f>INPUT!BY376</f>
        <v>339</v>
      </c>
      <c r="AC469" s="577">
        <f>INPUT!BZ376</f>
        <v>-0.58651026392962535</v>
      </c>
      <c r="AD469" s="580">
        <f>INPUT!CA376</f>
        <v>360</v>
      </c>
      <c r="AE469" s="577">
        <f>INPUT!CB376</f>
        <v>10.769230769230774</v>
      </c>
      <c r="AF469" s="580">
        <f>INPUT!CC376</f>
        <v>399</v>
      </c>
      <c r="AG469" s="577">
        <f>INPUT!CD376</f>
        <v>13.999999999999986</v>
      </c>
      <c r="AH469" s="580">
        <f>INPUT!CE376</f>
        <v>377</v>
      </c>
      <c r="AI469" s="577">
        <f>INPUT!CF376</f>
        <v>4.7222222222222285</v>
      </c>
      <c r="AJ469" s="580">
        <f>INPUT!CG376</f>
        <v>355</v>
      </c>
      <c r="AK469" s="577">
        <f>INPUT!CH376</f>
        <v>4.7197640117994126</v>
      </c>
      <c r="AL469" s="580">
        <f>INPUT!CI376</f>
        <v>377</v>
      </c>
      <c r="AM469" s="577">
        <f>INPUT!CJ376</f>
        <v>4.7222222222222285</v>
      </c>
      <c r="AN469" s="580">
        <f>INPUT!CK376</f>
        <v>417</v>
      </c>
      <c r="AO469" s="577">
        <f>INPUT!CL376</f>
        <v>4.5112781954887282</v>
      </c>
      <c r="AP469" s="580">
        <f>INPUT!CM376</f>
        <v>425</v>
      </c>
      <c r="AQ469" s="577">
        <f>INPUT!CN376</f>
        <v>12.732095490716191</v>
      </c>
      <c r="AR469" s="580">
        <f>INPUT!CO376</f>
        <v>409</v>
      </c>
      <c r="AS469" s="577">
        <f>INPUT!CP376</f>
        <v>15.211267605633807</v>
      </c>
      <c r="AT469" s="580">
        <f>INPUT!CQ376</f>
        <v>418</v>
      </c>
      <c r="AU469" s="577">
        <f>INPUT!CR376</f>
        <v>10.875331564986752</v>
      </c>
      <c r="AV469" s="580">
        <f>INPUT!CS376</f>
        <v>441</v>
      </c>
      <c r="AW469" s="577">
        <f>INPUT!CT376</f>
        <v>5.7553956834532443</v>
      </c>
      <c r="AX469" s="580">
        <f>INPUT!CU376</f>
        <v>463</v>
      </c>
      <c r="AY469" s="577">
        <f>INPUT!CV376</f>
        <v>8.941176470588232</v>
      </c>
      <c r="AZ469" s="580">
        <f>INPUT!CW376</f>
        <v>457</v>
      </c>
      <c r="BA469" s="577">
        <f>INPUT!CX376</f>
        <v>11.735941320293406</v>
      </c>
      <c r="BB469" s="580">
        <f>INPUT!CY376</f>
        <v>442</v>
      </c>
      <c r="BC469" s="577">
        <f>INPUT!CZ376</f>
        <v>5.7416267942583801</v>
      </c>
      <c r="BD469" s="580">
        <f>INPUT!DA376</f>
        <v>477</v>
      </c>
      <c r="BE469" s="577">
        <f>INPUT!DB376</f>
        <v>8.1632653061224545</v>
      </c>
      <c r="BF469" s="580">
        <f>INPUT!DC376</f>
        <v>450</v>
      </c>
      <c r="BG469" s="577">
        <f>INPUT!DD376</f>
        <v>-2.8077753779697616</v>
      </c>
      <c r="BH469" s="580">
        <f>INPUT!DE376</f>
        <v>403</v>
      </c>
      <c r="BI469" s="577">
        <f>INPUT!DF376</f>
        <v>-11.816192560175054</v>
      </c>
      <c r="BJ469" s="580">
        <f>INPUT!DG376</f>
        <v>379</v>
      </c>
      <c r="BK469" s="577">
        <f>INPUT!DH376</f>
        <v>-14.25339366515837</v>
      </c>
      <c r="BL469" s="580">
        <f>INPUT!DI376</f>
        <v>428</v>
      </c>
      <c r="BM469" s="577">
        <f>INPUT!DJ376</f>
        <v>-10.272536687631032</v>
      </c>
      <c r="BN469" s="580">
        <f>INPUT!DK376</f>
        <v>438</v>
      </c>
      <c r="BO469" s="577">
        <f>INPUT!DL376</f>
        <v>-2.6666666666666572</v>
      </c>
      <c r="BP469" s="580">
        <f>INPUT!DM376</f>
        <v>440</v>
      </c>
      <c r="BQ469" s="577">
        <f>INPUT!DN376</f>
        <v>9.1811414392059589</v>
      </c>
      <c r="BR469" s="580">
        <f>INPUT!DO376</f>
        <v>425</v>
      </c>
      <c r="BS469" s="577">
        <f>INPUT!DP376</f>
        <v>12.137203166226911</v>
      </c>
      <c r="BT469" s="580">
        <f>INPUT!DQ376</f>
        <v>459</v>
      </c>
      <c r="BU469" s="577">
        <f>INPUT!DR376</f>
        <v>7.2429906542056131</v>
      </c>
      <c r="BV469" s="580">
        <f>INPUT!DS376</f>
        <v>437</v>
      </c>
      <c r="BW469" s="577">
        <f>INPUT!DT376</f>
        <v>-0.22831050228310801</v>
      </c>
      <c r="BX469" s="580">
        <f>INPUT!DU376</f>
        <v>418</v>
      </c>
      <c r="BY469" s="577">
        <f>INPUT!DV376</f>
        <v>-5</v>
      </c>
      <c r="BZ469" s="580">
        <f>INPUT!DW376</f>
        <v>411</v>
      </c>
      <c r="CA469" s="577">
        <f>INPUT!DX376</f>
        <v>-3.294117647058826</v>
      </c>
      <c r="CB469" s="580">
        <f>INPUT!DY376</f>
        <v>461</v>
      </c>
      <c r="CC469" s="577">
        <f>INPUT!DZ376</f>
        <v>0.43572984749455657</v>
      </c>
      <c r="CD469" s="580">
        <f>INPUT!EA376</f>
        <v>462</v>
      </c>
      <c r="CE469" s="577">
        <f>INPUT!EB376</f>
        <v>5.720823798626995</v>
      </c>
      <c r="CF469" s="580">
        <f>INPUT!EC376</f>
        <v>455</v>
      </c>
      <c r="CG469" s="577">
        <f>INPUT!ED376</f>
        <v>8.8516746411483354</v>
      </c>
      <c r="CH469" s="580">
        <f>INPUT!EE376</f>
        <v>505</v>
      </c>
      <c r="CI469" s="577">
        <f>INPUT!EF376</f>
        <v>22.871046228710455</v>
      </c>
      <c r="CJ469" s="580">
        <f>INPUT!EG376</f>
        <v>507</v>
      </c>
      <c r="CK469" s="577">
        <f>INPUT!EH376</f>
        <v>9.978308026030362</v>
      </c>
      <c r="CL469" s="580">
        <f>INPUT!EI376</f>
        <v>557</v>
      </c>
      <c r="CM469" s="577">
        <f>INPUT!EJ376</f>
        <v>20.562770562770567</v>
      </c>
      <c r="CN469" s="580">
        <f>INPUT!EK376</f>
        <v>591</v>
      </c>
      <c r="CO469" s="577">
        <f>INPUT!EL376</f>
        <v>29.890109890109898</v>
      </c>
      <c r="CP469" s="580">
        <f>INPUT!EM376</f>
        <v>566</v>
      </c>
      <c r="CQ469" s="577">
        <f>INPUT!EN376</f>
        <v>12.079207920792086</v>
      </c>
      <c r="CR469" s="580">
        <f>INPUT!EO376</f>
        <v>568</v>
      </c>
      <c r="CS469" s="577">
        <f>INPUT!EP376</f>
        <v>12.031558185404336</v>
      </c>
      <c r="CT469" s="580">
        <f>INPUT!EQ376</f>
        <v>581.78900900900908</v>
      </c>
      <c r="CU469" s="577">
        <f>INPUT!ER376</f>
        <v>4.4504504504504752</v>
      </c>
      <c r="CV469" s="580">
        <f>INPUT!ES376</f>
        <v>570.63787891891889</v>
      </c>
      <c r="CW469" s="577">
        <f>INPUT!ET376</f>
        <v>-3.4453673572049297</v>
      </c>
      <c r="CX469" s="580">
        <f>INPUT!EU376</f>
        <v>581.70962666666662</v>
      </c>
      <c r="CY469" s="577">
        <f>INPUT!EV376</f>
        <v>2.7755524146054142</v>
      </c>
      <c r="CZ469" s="580">
        <f>INPUT!EW376</f>
        <v>603.36220504504502</v>
      </c>
      <c r="DA469" s="577">
        <f>INPUT!EX376</f>
        <v>6.2257403248318752</v>
      </c>
      <c r="DB469" s="580"/>
      <c r="DC469" s="580">
        <f>INPUT!FP376</f>
        <v>1157</v>
      </c>
      <c r="DD469" s="577">
        <f>INPUT!FQ376</f>
        <v>24.274973147153588</v>
      </c>
      <c r="DE469" s="580">
        <f>INPUT!FR376</f>
        <v>1178</v>
      </c>
      <c r="DF469" s="577">
        <f>INPUT!FS376</f>
        <v>1.8150388936905699</v>
      </c>
      <c r="DG469" s="580">
        <f>INPUT!FT376</f>
        <v>1280</v>
      </c>
      <c r="DH469" s="577">
        <f>INPUT!FU376</f>
        <v>8.6587436332767425</v>
      </c>
      <c r="DI469" s="580">
        <f>INPUT!FV376</f>
        <v>1361</v>
      </c>
      <c r="DJ469" s="577">
        <f>INPUT!FW376</f>
        <v>6.328125</v>
      </c>
      <c r="DK469" s="580">
        <f>INPUT!FX376</f>
        <v>1458</v>
      </c>
      <c r="DL469" s="577">
        <f>INPUT!FY376</f>
        <v>7.1271124173401859</v>
      </c>
      <c r="DM469" s="580">
        <f>INPUT!FZ376</f>
        <v>1526</v>
      </c>
      <c r="DN469" s="577">
        <f>INPUT!GA376</f>
        <v>4.6639231824417067</v>
      </c>
      <c r="DO469" s="580">
        <f>INPUT!GB376</f>
        <v>1693</v>
      </c>
      <c r="DP469" s="577">
        <f>INPUT!GC376</f>
        <v>10.943643512450848</v>
      </c>
      <c r="DQ469" s="580">
        <f>INPUT!GD376</f>
        <v>1839</v>
      </c>
      <c r="DR469" s="577">
        <f>INPUT!GE376</f>
        <v>8.6237448316597778</v>
      </c>
      <c r="DS469" s="580">
        <f>INPUT!GF376</f>
        <v>1660</v>
      </c>
      <c r="DT469" s="577">
        <f>INPUT!GG376</f>
        <v>-9.7335508428493682</v>
      </c>
      <c r="DU469" s="580">
        <f>INPUT!GH376</f>
        <v>1762</v>
      </c>
      <c r="DV469" s="577">
        <f>INPUT!GI376</f>
        <v>6.1445783132530067</v>
      </c>
      <c r="DW469" s="580">
        <f>INPUT!GJ376</f>
        <v>1727</v>
      </c>
      <c r="DX469" s="577">
        <f>INPUT!GK376</f>
        <v>-1.9863791146424603</v>
      </c>
      <c r="DY469" s="580">
        <f>INPUT!GL376</f>
        <v>1929</v>
      </c>
      <c r="DZ469" s="577">
        <f>INPUT!GM376</f>
        <v>11.696583671105955</v>
      </c>
      <c r="EA469" s="580">
        <f>INPUT!GN376</f>
        <v>2282</v>
      </c>
      <c r="EB469" s="577">
        <f>INPUT!GO376</f>
        <v>18.299637117677548</v>
      </c>
      <c r="EC469" s="580">
        <f>INPUT!GP376</f>
        <v>2337.4987196396396</v>
      </c>
      <c r="ED469" s="577">
        <f>INPUT!GQ376</f>
        <v>2.4320210183891078</v>
      </c>
      <c r="EE469" s="580">
        <f>INPUT!GR376</f>
        <v>2430.9986684252253</v>
      </c>
      <c r="EF469" s="577">
        <f>INPUT!GS376</f>
        <v>4</v>
      </c>
      <c r="EG469" s="580">
        <f>INPUT!GT376</f>
        <v>2528.2386151622345</v>
      </c>
      <c r="EH469" s="577">
        <f>INPUT!GU376</f>
        <v>4</v>
      </c>
      <c r="EI469" s="580">
        <f>INPUT!GV376</f>
        <v>2629.3681597687232</v>
      </c>
      <c r="EJ469" s="577">
        <f>INPUT!GW376</f>
        <v>3.9999999999999858</v>
      </c>
      <c r="EK469" s="580">
        <f>INPUT!GX376</f>
        <v>2734.5428861594728</v>
      </c>
      <c r="EL469" s="577">
        <f>INPUT!GY376</f>
        <v>4.0000000000000284</v>
      </c>
      <c r="EM469" s="577">
        <f>INPUT!GZ376</f>
        <v>3.6844957146608293</v>
      </c>
    </row>
    <row r="470" spans="1:144" ht="12.75" hidden="1" customHeight="1" outlineLevel="1" x14ac:dyDescent="0.2">
      <c r="A470" s="579" t="str">
        <f>INPUT!B377</f>
        <v>Net DAC</v>
      </c>
      <c r="B470" s="580">
        <f>INPUT!AY377</f>
        <v>-100</v>
      </c>
      <c r="C470" s="577">
        <f>INPUT!AZ377</f>
        <v>-15.966386554621849</v>
      </c>
      <c r="D470" s="580">
        <f>INPUT!BA377</f>
        <v>-86</v>
      </c>
      <c r="E470" s="577">
        <f>INPUT!BB377</f>
        <v>-24.561403508771932</v>
      </c>
      <c r="F470" s="580">
        <f>INPUT!BC377</f>
        <v>-82</v>
      </c>
      <c r="G470" s="577">
        <f>INPUT!BD377</f>
        <v>-19.607843137254903</v>
      </c>
      <c r="H470" s="580">
        <f>INPUT!BE377</f>
        <v>-99</v>
      </c>
      <c r="I470" s="577">
        <f>INPUT!BF377</f>
        <v>-7.476635514018696</v>
      </c>
      <c r="J470" s="580">
        <f>INPUT!BG377</f>
        <v>-99</v>
      </c>
      <c r="K470" s="577">
        <f>INPUT!BH377</f>
        <v>-1</v>
      </c>
      <c r="L470" s="580">
        <f>INPUT!BI377</f>
        <v>-94</v>
      </c>
      <c r="M470" s="577">
        <f>INPUT!BJ377</f>
        <v>9.3023255813953369</v>
      </c>
      <c r="N470" s="580">
        <f>INPUT!BK377</f>
        <v>-113</v>
      </c>
      <c r="O470" s="577">
        <f>INPUT!BL377</f>
        <v>37.804878048780466</v>
      </c>
      <c r="P470" s="580">
        <f>INPUT!BM377</f>
        <v>-115</v>
      </c>
      <c r="Q470" s="577">
        <f>INPUT!BN377</f>
        <v>16.161616161616152</v>
      </c>
      <c r="R470" s="580">
        <f>INPUT!BO377</f>
        <v>-100</v>
      </c>
      <c r="S470" s="577">
        <f>INPUT!BP377</f>
        <v>1.0101010101010104</v>
      </c>
      <c r="T470" s="580">
        <f>INPUT!BQ377</f>
        <v>-98</v>
      </c>
      <c r="U470" s="577">
        <f>INPUT!BR377</f>
        <v>4.2553191489361808</v>
      </c>
      <c r="V470" s="580">
        <f>INPUT!BS377</f>
        <v>-100</v>
      </c>
      <c r="W470" s="577">
        <f>INPUT!BT377</f>
        <v>-11.504424778761063</v>
      </c>
      <c r="X470" s="580">
        <f>INPUT!BU377</f>
        <v>-84</v>
      </c>
      <c r="Y470" s="577">
        <f>INPUT!BV377</f>
        <v>-26.956521739130437</v>
      </c>
      <c r="Z470" s="580">
        <f>INPUT!BW377</f>
        <v>-81</v>
      </c>
      <c r="AA470" s="577">
        <f>INPUT!BX377</f>
        <v>-19</v>
      </c>
      <c r="AB470" s="580">
        <f>INPUT!BY377</f>
        <v>-54</v>
      </c>
      <c r="AC470" s="577">
        <f>INPUT!BZ377</f>
        <v>-44.897959183673478</v>
      </c>
      <c r="AD470" s="580">
        <f>INPUT!CA377</f>
        <v>-93</v>
      </c>
      <c r="AE470" s="577">
        <f>INPUT!CB377</f>
        <v>-7</v>
      </c>
      <c r="AF470" s="580">
        <f>INPUT!CC377</f>
        <v>-98</v>
      </c>
      <c r="AG470" s="577">
        <f>INPUT!CD377</f>
        <v>16.666666666666671</v>
      </c>
      <c r="AH470" s="580">
        <f>INPUT!CE377</f>
        <v>-64</v>
      </c>
      <c r="AI470" s="577">
        <f>INPUT!CF377</f>
        <v>-20.987654320987659</v>
      </c>
      <c r="AJ470" s="580">
        <f>INPUT!CG377</f>
        <v>-44</v>
      </c>
      <c r="AK470" s="577">
        <f>INPUT!CH377</f>
        <v>-18.518518518518519</v>
      </c>
      <c r="AL470" s="580">
        <f>INPUT!CI377</f>
        <v>-56</v>
      </c>
      <c r="AM470" s="577">
        <f>INPUT!CJ377</f>
        <v>-39.784946236559136</v>
      </c>
      <c r="AN470" s="580">
        <f>INPUT!CK377</f>
        <v>-68</v>
      </c>
      <c r="AO470" s="577">
        <f>INPUT!CL377</f>
        <v>-30.612244897959187</v>
      </c>
      <c r="AP470" s="580">
        <f>INPUT!CM377</f>
        <v>-79</v>
      </c>
      <c r="AQ470" s="577">
        <f>INPUT!CN377</f>
        <v>23.4375</v>
      </c>
      <c r="AR470" s="580">
        <f>INPUT!CO377</f>
        <v>-65</v>
      </c>
      <c r="AS470" s="577">
        <f>INPUT!CP377</f>
        <v>47.72727272727272</v>
      </c>
      <c r="AT470" s="580">
        <f>INPUT!CQ377</f>
        <v>-64</v>
      </c>
      <c r="AU470" s="577">
        <f>INPUT!CR377</f>
        <v>14.285714285714278</v>
      </c>
      <c r="AV470" s="580">
        <f>INPUT!CS377</f>
        <v>-67</v>
      </c>
      <c r="AW470" s="577">
        <f>INPUT!CT377</f>
        <v>-1.470588235294116</v>
      </c>
      <c r="AX470" s="580">
        <f>INPUT!CU377</f>
        <v>-86</v>
      </c>
      <c r="AY470" s="577">
        <f>INPUT!CV377</f>
        <v>8.8607594936708836</v>
      </c>
      <c r="AZ470" s="580">
        <f>INPUT!CW377</f>
        <v>-102</v>
      </c>
      <c r="BA470" s="577">
        <f>INPUT!CX377</f>
        <v>56.923076923076934</v>
      </c>
      <c r="BB470" s="580">
        <f>INPUT!CY377</f>
        <v>-114</v>
      </c>
      <c r="BC470" s="577">
        <f>INPUT!CZ377</f>
        <v>78.125</v>
      </c>
      <c r="BD470" s="580">
        <f>INPUT!DA377</f>
        <v>-76</v>
      </c>
      <c r="BE470" s="577">
        <f>INPUT!DB377</f>
        <v>13.432835820895519</v>
      </c>
      <c r="BF470" s="580">
        <f>INPUT!DC377</f>
        <v>-90</v>
      </c>
      <c r="BG470" s="577">
        <f>INPUT!DD377</f>
        <v>4.6511627906976827</v>
      </c>
      <c r="BH470" s="580">
        <f>INPUT!DE377</f>
        <v>-49</v>
      </c>
      <c r="BI470" s="577" t="str">
        <f>INPUT!DF377</f>
        <v>NM</v>
      </c>
      <c r="BJ470" s="580">
        <f>INPUT!DG377</f>
        <v>-57</v>
      </c>
      <c r="BK470" s="577">
        <f>INPUT!DH377</f>
        <v>-50</v>
      </c>
      <c r="BL470" s="580">
        <f>INPUT!DI377</f>
        <v>-63</v>
      </c>
      <c r="BM470" s="577">
        <f>INPUT!DJ377</f>
        <v>-17.10526315789474</v>
      </c>
      <c r="BN470" s="580">
        <f>INPUT!DK377</f>
        <v>-75</v>
      </c>
      <c r="BO470" s="577">
        <f>INPUT!DL377</f>
        <v>-16.666666666666657</v>
      </c>
      <c r="BP470" s="580">
        <f>INPUT!DM377</f>
        <v>-72</v>
      </c>
      <c r="BQ470" s="577">
        <f>INPUT!DN377</f>
        <v>46.938775510204096</v>
      </c>
      <c r="BR470" s="580">
        <f>INPUT!DO377</f>
        <v>-101</v>
      </c>
      <c r="BS470" s="577">
        <f>INPUT!DP377</f>
        <v>77.192982456140356</v>
      </c>
      <c r="BT470" s="580">
        <f>INPUT!DQ377</f>
        <v>-73</v>
      </c>
      <c r="BU470" s="577">
        <f>INPUT!DR377</f>
        <v>15.873015873015888</v>
      </c>
      <c r="BV470" s="580">
        <f>INPUT!DS377</f>
        <v>-81</v>
      </c>
      <c r="BW470" s="577">
        <f>INPUT!DT377</f>
        <v>8</v>
      </c>
      <c r="BX470" s="580">
        <f>INPUT!DU377</f>
        <v>-66</v>
      </c>
      <c r="BY470" s="577">
        <f>INPUT!DV377</f>
        <v>-8.3333333333333428</v>
      </c>
      <c r="BZ470" s="580">
        <f>INPUT!DW377</f>
        <v>-58</v>
      </c>
      <c r="CA470" s="577">
        <f>INPUT!DX377</f>
        <v>-42.57425742574258</v>
      </c>
      <c r="CB470" s="580">
        <f>INPUT!DY377</f>
        <v>-75</v>
      </c>
      <c r="CC470" s="577">
        <f>INPUT!DZ377</f>
        <v>2.7397260273972677</v>
      </c>
      <c r="CD470" s="580">
        <f>INPUT!EA377</f>
        <v>-82</v>
      </c>
      <c r="CE470" s="577">
        <f>INPUT!EB377</f>
        <v>1.2345679012345698</v>
      </c>
      <c r="CF470" s="580">
        <f>INPUT!EC377</f>
        <v>-70</v>
      </c>
      <c r="CG470" s="577">
        <f>INPUT!ED377</f>
        <v>6.0606060606060623</v>
      </c>
      <c r="CH470" s="580">
        <f>INPUT!EE377</f>
        <v>-86</v>
      </c>
      <c r="CI470" s="577">
        <f>INPUT!EF377</f>
        <v>48.275862068965523</v>
      </c>
      <c r="CJ470" s="580">
        <f>INPUT!EG377</f>
        <v>-90</v>
      </c>
      <c r="CK470" s="577">
        <f>INPUT!EH377</f>
        <v>20</v>
      </c>
      <c r="CL470" s="580">
        <f>INPUT!EI377</f>
        <v>-117</v>
      </c>
      <c r="CM470" s="577">
        <f>INPUT!EJ377</f>
        <v>42.682926829268297</v>
      </c>
      <c r="CN470" s="580">
        <f>INPUT!EK377</f>
        <v>-112</v>
      </c>
      <c r="CO470" s="577">
        <f>INPUT!EL377</f>
        <v>60</v>
      </c>
      <c r="CP470" s="580">
        <f>INPUT!EM377</f>
        <v>-79</v>
      </c>
      <c r="CQ470" s="577">
        <f>INPUT!EN377</f>
        <v>-8.1395348837209269</v>
      </c>
      <c r="CR470" s="580">
        <f>INPUT!EO377</f>
        <v>-88</v>
      </c>
      <c r="CS470" s="577">
        <f>INPUT!EP377</f>
        <v>-2.2222222222222285</v>
      </c>
      <c r="CT470" s="580">
        <f>INPUT!EQ377</f>
        <v>-122.20702702702702</v>
      </c>
      <c r="CU470" s="577">
        <f>INPUT!ER377</f>
        <v>4.4504504504504467</v>
      </c>
      <c r="CV470" s="580">
        <f>INPUT!ES377</f>
        <v>-116.9845045045045</v>
      </c>
      <c r="CW470" s="577">
        <f>INPUT!ET377</f>
        <v>4.4504504504504467</v>
      </c>
      <c r="CX470" s="580">
        <f>INPUT!EU377</f>
        <v>-82.515855855855861</v>
      </c>
      <c r="CY470" s="577">
        <f>INPUT!EV377</f>
        <v>4.4504504504504467</v>
      </c>
      <c r="CZ470" s="580">
        <f>INPUT!EW377</f>
        <v>-91.916396396396394</v>
      </c>
      <c r="DA470" s="577">
        <f>INPUT!EX377</f>
        <v>4.4504504504504467</v>
      </c>
      <c r="DB470" s="580"/>
      <c r="DC470" s="580">
        <f>INPUT!FP377</f>
        <v>-442</v>
      </c>
      <c r="DD470" s="577">
        <f>INPUT!FQ377</f>
        <v>30.383480825958685</v>
      </c>
      <c r="DE470" s="580">
        <f>INPUT!FR377</f>
        <v>-367</v>
      </c>
      <c r="DF470" s="577">
        <f>INPUT!FS377</f>
        <v>-16.968325791855193</v>
      </c>
      <c r="DG470" s="580">
        <f>INPUT!FT377</f>
        <v>-421</v>
      </c>
      <c r="DH470" s="577">
        <f>INPUT!FU377</f>
        <v>14.713896457765657</v>
      </c>
      <c r="DI470" s="580">
        <f>INPUT!FV377</f>
        <v>-264</v>
      </c>
      <c r="DJ470" s="577">
        <f>INPUT!FW377</f>
        <v>-37.292161520190028</v>
      </c>
      <c r="DK470" s="580">
        <f>INPUT!FX377</f>
        <v>-214</v>
      </c>
      <c r="DL470" s="577">
        <f>INPUT!FY377</f>
        <v>-18.939393939393938</v>
      </c>
      <c r="DM470" s="580">
        <f>INPUT!FZ377</f>
        <v>-232</v>
      </c>
      <c r="DN470" s="577">
        <f>INPUT!GA377</f>
        <v>8.4112149532710134</v>
      </c>
      <c r="DO470" s="580">
        <f>INPUT!GB377</f>
        <v>-275</v>
      </c>
      <c r="DP470" s="577">
        <f>INPUT!GC377</f>
        <v>18.534482758620683</v>
      </c>
      <c r="DQ470" s="580">
        <f>INPUT!GD377</f>
        <v>-378</v>
      </c>
      <c r="DR470" s="577">
        <f>INPUT!GE377</f>
        <v>37.454545454545439</v>
      </c>
      <c r="DS470" s="580">
        <f>INPUT!GF377</f>
        <v>-259</v>
      </c>
      <c r="DT470" s="577">
        <f>INPUT!GG377</f>
        <v>-31.481481481481481</v>
      </c>
      <c r="DU470" s="580">
        <f>INPUT!GH377</f>
        <v>-321</v>
      </c>
      <c r="DV470" s="577">
        <f>INPUT!GI377</f>
        <v>23.938223938223928</v>
      </c>
      <c r="DW470" s="580">
        <f>INPUT!GJ377</f>
        <v>-280</v>
      </c>
      <c r="DX470" s="577">
        <f>INPUT!GK377</f>
        <v>-12.772585669781932</v>
      </c>
      <c r="DY470" s="580">
        <f>INPUT!GL377</f>
        <v>-328</v>
      </c>
      <c r="DZ470" s="577">
        <f>INPUT!GM377</f>
        <v>17.142857142857153</v>
      </c>
      <c r="EA470" s="580">
        <f>INPUT!GN377</f>
        <v>-396</v>
      </c>
      <c r="EB470" s="577">
        <f>INPUT!GO377</f>
        <v>20.731707317073173</v>
      </c>
      <c r="EC470" s="580">
        <f>INPUT!GP377</f>
        <v>-413.62378378378378</v>
      </c>
      <c r="ED470" s="577">
        <f>INPUT!GQ377</f>
        <v>4.4504504504504467</v>
      </c>
      <c r="EE470" s="580">
        <f>INPUT!GR377</f>
        <v>-430.16873513513514</v>
      </c>
      <c r="EF470" s="577">
        <f>INPUT!GS377</f>
        <v>4</v>
      </c>
      <c r="EG470" s="580">
        <f>INPUT!GT377</f>
        <v>-447.37548454054058</v>
      </c>
      <c r="EH470" s="577">
        <f>INPUT!GU377</f>
        <v>4</v>
      </c>
      <c r="EI470" s="580">
        <f>INPUT!GV377</f>
        <v>-465.27050392216222</v>
      </c>
      <c r="EJ470" s="577">
        <f>INPUT!GW377</f>
        <v>4</v>
      </c>
      <c r="EK470" s="580">
        <f>INPUT!GX377</f>
        <v>-483.88132407904874</v>
      </c>
      <c r="EL470" s="577">
        <f>INPUT!GY377</f>
        <v>4</v>
      </c>
      <c r="EM470" s="577">
        <f>INPUT!GZ377</f>
        <v>4.089934413243701</v>
      </c>
    </row>
    <row r="471" spans="1:144" ht="12.75" hidden="1" customHeight="1" outlineLevel="1" x14ac:dyDescent="0.2">
      <c r="A471" s="575" t="str">
        <f>INPUT!B378</f>
        <v>Total Benefits and Expenses</v>
      </c>
      <c r="B471" s="581">
        <f>INPUT!AY378</f>
        <v>989</v>
      </c>
      <c r="C471" s="577">
        <f>INPUT!AZ378</f>
        <v>0.91836734693877986</v>
      </c>
      <c r="D471" s="581">
        <f>INPUT!BA378</f>
        <v>975</v>
      </c>
      <c r="E471" s="577">
        <f>INPUT!BB378</f>
        <v>8.2130965593784708</v>
      </c>
      <c r="F471" s="581">
        <f>INPUT!BC378</f>
        <v>969</v>
      </c>
      <c r="G471" s="577">
        <f>INPUT!BD378</f>
        <v>10.869565217391312</v>
      </c>
      <c r="H471" s="581">
        <f>INPUT!BE378</f>
        <v>1014</v>
      </c>
      <c r="I471" s="577">
        <f>INPUT!BF378</f>
        <v>10.337323177366713</v>
      </c>
      <c r="J471" s="581">
        <f>INPUT!BG378</f>
        <v>1090</v>
      </c>
      <c r="K471" s="577">
        <f>INPUT!BH378</f>
        <v>10.212335692618808</v>
      </c>
      <c r="L471" s="581">
        <f>INPUT!BI378</f>
        <v>1055</v>
      </c>
      <c r="M471" s="577">
        <f>INPUT!BJ378</f>
        <v>8.2051282051282044</v>
      </c>
      <c r="N471" s="581">
        <f>INPUT!BK378</f>
        <v>1078</v>
      </c>
      <c r="O471" s="577">
        <f>INPUT!BL378</f>
        <v>11.248710010319911</v>
      </c>
      <c r="P471" s="581">
        <f>INPUT!BM378</f>
        <v>1171</v>
      </c>
      <c r="Q471" s="577">
        <f>INPUT!BN378</f>
        <v>15.483234714003942</v>
      </c>
      <c r="R471" s="581">
        <f>INPUT!BO378</f>
        <v>1292</v>
      </c>
      <c r="S471" s="577">
        <f>INPUT!BP378</f>
        <v>18.532110091743121</v>
      </c>
      <c r="T471" s="581">
        <f>INPUT!BQ378</f>
        <v>1203</v>
      </c>
      <c r="U471" s="577">
        <f>INPUT!BR378</f>
        <v>14.028436018957336</v>
      </c>
      <c r="V471" s="581">
        <f>INPUT!BS378</f>
        <v>1169</v>
      </c>
      <c r="W471" s="577">
        <f>INPUT!BT378</f>
        <v>8.4415584415584561</v>
      </c>
      <c r="X471" s="581">
        <f>INPUT!BU378</f>
        <v>1233</v>
      </c>
      <c r="Y471" s="577">
        <f>INPUT!BV378</f>
        <v>5.2946199829205796</v>
      </c>
      <c r="Z471" s="581">
        <f>INPUT!BW378</f>
        <v>1348</v>
      </c>
      <c r="AA471" s="577">
        <f>INPUT!BX378</f>
        <v>4.3343653250773997</v>
      </c>
      <c r="AB471" s="581">
        <f>INPUT!BY378</f>
        <v>1224</v>
      </c>
      <c r="AC471" s="577">
        <f>INPUT!BZ378</f>
        <v>1.7456359102244363</v>
      </c>
      <c r="AD471" s="581">
        <f>INPUT!CA378</f>
        <v>1286</v>
      </c>
      <c r="AE471" s="577">
        <f>INPUT!CB378</f>
        <v>10.008554319931577</v>
      </c>
      <c r="AF471" s="581">
        <f>INPUT!CC378</f>
        <v>1364</v>
      </c>
      <c r="AG471" s="577">
        <f>INPUT!CD378</f>
        <v>10.624493106244941</v>
      </c>
      <c r="AH471" s="581">
        <f>INPUT!CE378</f>
        <v>1530</v>
      </c>
      <c r="AI471" s="577">
        <f>INPUT!CF378</f>
        <v>13.501483679525222</v>
      </c>
      <c r="AJ471" s="581">
        <f>INPUT!CG378</f>
        <v>1428</v>
      </c>
      <c r="AK471" s="577">
        <f>INPUT!CH378</f>
        <v>16.666666666666671</v>
      </c>
      <c r="AL471" s="581">
        <f>INPUT!CI378</f>
        <v>1530</v>
      </c>
      <c r="AM471" s="577">
        <f>INPUT!CJ378</f>
        <v>18.973561430793168</v>
      </c>
      <c r="AN471" s="581">
        <f>INPUT!CK378</f>
        <v>1615</v>
      </c>
      <c r="AO471" s="577">
        <f>INPUT!CL378</f>
        <v>18.401759530791793</v>
      </c>
      <c r="AP471" s="581">
        <f>INPUT!CM378</f>
        <v>1797</v>
      </c>
      <c r="AQ471" s="577">
        <f>INPUT!CN378</f>
        <v>17.450980392156865</v>
      </c>
      <c r="AR471" s="581">
        <f>INPUT!CO378</f>
        <v>1629</v>
      </c>
      <c r="AS471" s="577">
        <f>INPUT!CP378</f>
        <v>14.075630252100837</v>
      </c>
      <c r="AT471" s="581">
        <f>INPUT!CQ378</f>
        <v>1745</v>
      </c>
      <c r="AU471" s="577">
        <f>INPUT!CR378</f>
        <v>14.052287581699346</v>
      </c>
      <c r="AV471" s="581">
        <f>INPUT!CS378</f>
        <v>1785</v>
      </c>
      <c r="AW471" s="577">
        <f>INPUT!CT378</f>
        <v>10.526315789473699</v>
      </c>
      <c r="AX471" s="581">
        <f>INPUT!CU378</f>
        <v>1935</v>
      </c>
      <c r="AY471" s="577">
        <f>INPUT!CV378</f>
        <v>7.6794657762938101</v>
      </c>
      <c r="AZ471" s="581">
        <f>INPUT!CW378</f>
        <v>1818</v>
      </c>
      <c r="BA471" s="577">
        <f>INPUT!CX378</f>
        <v>11.60220994475138</v>
      </c>
      <c r="BB471" s="581">
        <f>INPUT!CY378</f>
        <v>1844</v>
      </c>
      <c r="BC471" s="577">
        <f>INPUT!CZ378</f>
        <v>5.6733524355300915</v>
      </c>
      <c r="BD471" s="581">
        <f>INPUT!DA378</f>
        <v>1924</v>
      </c>
      <c r="BE471" s="577">
        <f>INPUT!DB378</f>
        <v>7.7871148459383761</v>
      </c>
      <c r="BF471" s="581">
        <f>INPUT!DC378</f>
        <v>2021</v>
      </c>
      <c r="BG471" s="577">
        <f>INPUT!DD378</f>
        <v>4.4444444444444571</v>
      </c>
      <c r="BH471" s="581">
        <f>INPUT!DE378</f>
        <v>1790</v>
      </c>
      <c r="BI471" s="577">
        <f>INPUT!DF378</f>
        <v>-1.5401540154015407</v>
      </c>
      <c r="BJ471" s="581">
        <f>INPUT!DG378</f>
        <v>1749</v>
      </c>
      <c r="BK471" s="577">
        <f>INPUT!DH378</f>
        <v>-5.1518438177874089</v>
      </c>
      <c r="BL471" s="581">
        <f>INPUT!DI378</f>
        <v>1901</v>
      </c>
      <c r="BM471" s="577">
        <f>INPUT!DJ378</f>
        <v>-1.1954261954261938</v>
      </c>
      <c r="BN471" s="581">
        <f>INPUT!DK378</f>
        <v>2060</v>
      </c>
      <c r="BO471" s="577">
        <f>INPUT!DL378</f>
        <v>1.9297377535873323</v>
      </c>
      <c r="BP471" s="581">
        <f>INPUT!DM378</f>
        <v>1879</v>
      </c>
      <c r="BQ471" s="577">
        <f>INPUT!DN378</f>
        <v>4.9720670391061503</v>
      </c>
      <c r="BR471" s="581">
        <f>INPUT!DO378</f>
        <v>1870</v>
      </c>
      <c r="BS471" s="577">
        <f>INPUT!DP378</f>
        <v>6.9182389937106876</v>
      </c>
      <c r="BT471" s="581">
        <f>INPUT!DQ378</f>
        <v>1869</v>
      </c>
      <c r="BU471" s="577">
        <f>INPUT!DR378</f>
        <v>-1.6833245660178875</v>
      </c>
      <c r="BV471" s="581">
        <f>INPUT!DS378</f>
        <v>2003</v>
      </c>
      <c r="BW471" s="577">
        <f>INPUT!DT378</f>
        <v>-2.7669902912621325</v>
      </c>
      <c r="BX471" s="581">
        <f>INPUT!DU378</f>
        <v>1850</v>
      </c>
      <c r="BY471" s="577">
        <f>INPUT!DV378</f>
        <v>-1.5433741351782828</v>
      </c>
      <c r="BZ471" s="581">
        <f>INPUT!DW378</f>
        <v>1852</v>
      </c>
      <c r="CA471" s="577">
        <f>INPUT!DX378</f>
        <v>-0.96256684491979172</v>
      </c>
      <c r="CB471" s="581">
        <f>INPUT!DY378</f>
        <v>1882</v>
      </c>
      <c r="CC471" s="577">
        <f>INPUT!DZ378</f>
        <v>0.69555912252540963</v>
      </c>
      <c r="CD471" s="581">
        <f>INPUT!EA378</f>
        <v>2149</v>
      </c>
      <c r="CE471" s="577">
        <f>INPUT!EB378</f>
        <v>7.2890664003993919</v>
      </c>
      <c r="CF471" s="581">
        <f>INPUT!EC378</f>
        <v>2074</v>
      </c>
      <c r="CG471" s="577">
        <f>INPUT!ED378</f>
        <v>12.108108108108112</v>
      </c>
      <c r="CH471" s="581">
        <f>INPUT!EE378</f>
        <v>2142</v>
      </c>
      <c r="CI471" s="577">
        <f>INPUT!EF378</f>
        <v>15.658747300215992</v>
      </c>
      <c r="CJ471" s="581">
        <f>INPUT!EG378</f>
        <v>2082</v>
      </c>
      <c r="CK471" s="577">
        <f>INPUT!EH378</f>
        <v>10.626992561105197</v>
      </c>
      <c r="CL471" s="581">
        <f>INPUT!EI378</f>
        <v>2370</v>
      </c>
      <c r="CM471" s="577">
        <f>INPUT!EJ378</f>
        <v>10.283852954862738</v>
      </c>
      <c r="CN471" s="581">
        <f>INPUT!EK378</f>
        <v>2248</v>
      </c>
      <c r="CO471" s="577">
        <f>INPUT!EL378</f>
        <v>8.3895853423336462</v>
      </c>
      <c r="CP471" s="581">
        <f>INPUT!EM378</f>
        <v>2254</v>
      </c>
      <c r="CQ471" s="577">
        <f>INPUT!EN378</f>
        <v>5.2287581699346504</v>
      </c>
      <c r="CR471" s="581">
        <f>INPUT!EO378</f>
        <v>2279</v>
      </c>
      <c r="CS471" s="577">
        <f>INPUT!EP378</f>
        <v>9.4620557156580105</v>
      </c>
      <c r="CT471" s="581">
        <f>INPUT!EQ378</f>
        <v>2467.3341909909914</v>
      </c>
      <c r="CU471" s="577">
        <f>INPUT!ER378</f>
        <v>4.1069278899152408</v>
      </c>
      <c r="CV471" s="581">
        <f>INPUT!ES378</f>
        <v>2288.4043023423419</v>
      </c>
      <c r="CW471" s="577">
        <f>INPUT!ET378</f>
        <v>1.7973444102465237</v>
      </c>
      <c r="CX471" s="581">
        <f>INPUT!EU378</f>
        <v>2353.5918284684685</v>
      </c>
      <c r="CY471" s="577">
        <f>INPUT!EV378</f>
        <v>4.4184484679888385</v>
      </c>
      <c r="CZ471" s="581">
        <f>INPUT!EW378</f>
        <v>2382.1130684684686</v>
      </c>
      <c r="DA471" s="577">
        <f>INPUT!EX378</f>
        <v>4.5244874273132325</v>
      </c>
      <c r="DB471" s="581"/>
      <c r="DC471" s="581">
        <f>INPUT!FP378</f>
        <v>3674</v>
      </c>
      <c r="DD471" s="577">
        <f>INPUT!FQ378</f>
        <v>27.172031844929052</v>
      </c>
      <c r="DE471" s="581">
        <f>INPUT!FR378</f>
        <v>3947</v>
      </c>
      <c r="DF471" s="577">
        <f>INPUT!FS378</f>
        <v>7.4305933587370845</v>
      </c>
      <c r="DG471" s="581">
        <f>INPUT!FT378</f>
        <v>4394</v>
      </c>
      <c r="DH471" s="577">
        <f>INPUT!FU378</f>
        <v>11.325057005320488</v>
      </c>
      <c r="DI471" s="581">
        <f>INPUT!FV378</f>
        <v>5015</v>
      </c>
      <c r="DJ471" s="577">
        <f>INPUT!FW378</f>
        <v>14.132908511606729</v>
      </c>
      <c r="DK471" s="581">
        <f>INPUT!FX378</f>
        <v>5334</v>
      </c>
      <c r="DL471" s="577">
        <f>INPUT!FY378</f>
        <v>6.3609172482552196</v>
      </c>
      <c r="DM471" s="581">
        <f>INPUT!FZ378</f>
        <v>6103</v>
      </c>
      <c r="DN471" s="577">
        <f>INPUT!GA378</f>
        <v>14.416947881514815</v>
      </c>
      <c r="DO471" s="581">
        <f>INPUT!GB378</f>
        <v>6956</v>
      </c>
      <c r="DP471" s="577">
        <f>INPUT!GC378</f>
        <v>13.976732754383093</v>
      </c>
      <c r="DQ471" s="581">
        <f>INPUT!GD378</f>
        <v>7521</v>
      </c>
      <c r="DR471" s="577">
        <f>INPUT!GE378</f>
        <v>8.1224841863139829</v>
      </c>
      <c r="DS471" s="581">
        <f>INPUT!GF378</f>
        <v>7461</v>
      </c>
      <c r="DT471" s="577">
        <f>INPUT!GG378</f>
        <v>-0.79776625448742777</v>
      </c>
      <c r="DU471" s="581">
        <f>INPUT!GH378</f>
        <v>7678</v>
      </c>
      <c r="DV471" s="577">
        <f>INPUT!GI378</f>
        <v>2.9084573113523646</v>
      </c>
      <c r="DW471" s="581">
        <f>INPUT!GJ378</f>
        <v>7587</v>
      </c>
      <c r="DX471" s="577">
        <f>INPUT!GK378</f>
        <v>-1.1852044803334252</v>
      </c>
      <c r="DY471" s="581">
        <f>INPUT!GL378</f>
        <v>8447</v>
      </c>
      <c r="DZ471" s="577">
        <f>INPUT!GM378</f>
        <v>11.335178594965072</v>
      </c>
      <c r="EA471" s="581">
        <f>INPUT!GN378</f>
        <v>9151</v>
      </c>
      <c r="EB471" s="577">
        <f>INPUT!GO378</f>
        <v>8.3343198768793627</v>
      </c>
      <c r="EC471" s="581">
        <f>INPUT!GP378</f>
        <v>9491.4433902702694</v>
      </c>
      <c r="ED471" s="577">
        <f>INPUT!GQ378</f>
        <v>3.7202862011831428</v>
      </c>
      <c r="EE471" s="581">
        <f>INPUT!GR378</f>
        <v>9871.7227258810817</v>
      </c>
      <c r="EF471" s="577">
        <f>INPUT!GS378</f>
        <v>4.0065490566022675</v>
      </c>
      <c r="EG471" s="581">
        <f>INPUT!GT378</f>
        <v>10267.281610916325</v>
      </c>
      <c r="EH471" s="577">
        <f>INPUT!GU378</f>
        <v>4.0069894183533989</v>
      </c>
      <c r="EI471" s="581">
        <f>INPUT!GV378</f>
        <v>10678.738748712978</v>
      </c>
      <c r="EJ471" s="577">
        <f>INPUT!GW378</f>
        <v>4.0074593586600997</v>
      </c>
      <c r="EK471" s="581">
        <f>INPUT!GX378</f>
        <v>11106.738418091098</v>
      </c>
      <c r="EL471" s="577">
        <f>INPUT!GY378</f>
        <v>4.0079608598880867</v>
      </c>
      <c r="EM471" s="577">
        <f>INPUT!GZ378</f>
        <v>3.9497855370064894</v>
      </c>
    </row>
    <row r="472" spans="1:144" ht="12.75" hidden="1" customHeight="1" outlineLevel="1" x14ac:dyDescent="0.2">
      <c r="A472" s="609"/>
      <c r="B472" s="605"/>
      <c r="C472" s="555"/>
      <c r="D472" s="605"/>
      <c r="E472" s="555"/>
      <c r="F472" s="605"/>
      <c r="G472" s="555"/>
      <c r="H472" s="605"/>
      <c r="I472" s="555"/>
      <c r="J472" s="605"/>
      <c r="K472" s="555"/>
      <c r="L472" s="605"/>
      <c r="M472" s="555"/>
      <c r="N472" s="605"/>
      <c r="O472" s="555"/>
      <c r="P472" s="605"/>
      <c r="Q472" s="555"/>
      <c r="R472" s="605"/>
      <c r="S472" s="555"/>
      <c r="T472" s="605"/>
      <c r="U472" s="555"/>
      <c r="V472" s="605"/>
      <c r="W472" s="555"/>
      <c r="X472" s="605"/>
      <c r="Y472" s="555"/>
      <c r="Z472" s="605"/>
      <c r="AA472" s="555"/>
      <c r="AB472" s="605"/>
      <c r="AC472" s="555"/>
      <c r="AD472" s="605"/>
      <c r="AE472" s="555"/>
      <c r="AF472" s="605"/>
      <c r="AG472" s="555"/>
      <c r="AH472" s="605"/>
      <c r="AI472" s="555"/>
      <c r="AJ472" s="605"/>
      <c r="AK472" s="555"/>
      <c r="AL472" s="605"/>
      <c r="AM472" s="555"/>
      <c r="AN472" s="605"/>
      <c r="AO472" s="555"/>
      <c r="AP472" s="605"/>
      <c r="AQ472" s="555"/>
      <c r="AR472" s="605"/>
      <c r="AS472" s="555"/>
      <c r="AT472" s="605"/>
      <c r="AU472" s="555"/>
      <c r="AV472" s="605"/>
      <c r="AW472" s="555"/>
      <c r="AX472" s="605"/>
      <c r="AY472" s="555"/>
      <c r="AZ472" s="605"/>
      <c r="BA472" s="555"/>
      <c r="BB472" s="605"/>
      <c r="BC472" s="555"/>
      <c r="BD472" s="605"/>
      <c r="BE472" s="555"/>
      <c r="BF472" s="605"/>
      <c r="BG472" s="555"/>
      <c r="BH472" s="605"/>
      <c r="BI472" s="555"/>
      <c r="BJ472" s="605"/>
      <c r="BK472" s="555"/>
      <c r="BL472" s="605"/>
      <c r="BM472" s="555"/>
      <c r="BN472" s="605"/>
      <c r="BO472" s="555"/>
      <c r="BP472" s="605"/>
      <c r="BQ472" s="555"/>
      <c r="BR472" s="605"/>
      <c r="BS472" s="555"/>
      <c r="BT472" s="605"/>
      <c r="BU472" s="555"/>
      <c r="BV472" s="605"/>
      <c r="BW472" s="555"/>
      <c r="BX472" s="605"/>
      <c r="BY472" s="555"/>
      <c r="BZ472" s="605"/>
      <c r="CA472" s="555"/>
      <c r="CB472" s="605"/>
      <c r="CC472" s="555"/>
      <c r="CD472" s="605"/>
      <c r="CE472" s="555"/>
      <c r="CF472" s="605"/>
      <c r="CG472" s="555"/>
      <c r="CH472" s="605"/>
      <c r="CI472" s="555"/>
      <c r="CJ472" s="605"/>
      <c r="CK472" s="555"/>
      <c r="CL472" s="605"/>
      <c r="CM472" s="555"/>
      <c r="CN472" s="605"/>
      <c r="CO472" s="555"/>
      <c r="CP472" s="605"/>
      <c r="CQ472" s="555"/>
      <c r="CR472" s="605"/>
      <c r="CS472" s="555"/>
      <c r="CT472" s="605"/>
      <c r="CU472" s="555"/>
      <c r="CV472" s="605"/>
      <c r="CW472" s="555"/>
      <c r="CX472" s="605"/>
      <c r="CY472" s="555"/>
      <c r="CZ472" s="605"/>
      <c r="DA472" s="555"/>
      <c r="DB472" s="605"/>
      <c r="DC472" s="605"/>
      <c r="DD472" s="555"/>
      <c r="DE472" s="605"/>
      <c r="DF472" s="555"/>
      <c r="DG472" s="605"/>
      <c r="DH472" s="555"/>
      <c r="DI472" s="605"/>
      <c r="DJ472" s="555"/>
      <c r="DK472" s="605"/>
      <c r="DL472" s="555"/>
      <c r="DM472" s="605"/>
      <c r="DN472" s="555"/>
      <c r="DO472" s="605"/>
      <c r="DP472" s="555"/>
      <c r="DQ472" s="605"/>
      <c r="DR472" s="555"/>
      <c r="DS472" s="605"/>
      <c r="DT472" s="555"/>
      <c r="DU472" s="605"/>
      <c r="DV472" s="555"/>
      <c r="DW472" s="605"/>
      <c r="DX472" s="555"/>
      <c r="DY472" s="605"/>
      <c r="DZ472" s="555"/>
      <c r="EA472" s="605"/>
      <c r="EB472" s="555"/>
      <c r="EC472" s="605"/>
      <c r="ED472" s="555"/>
      <c r="EE472" s="605"/>
      <c r="EF472" s="555"/>
      <c r="EG472" s="605"/>
      <c r="EH472" s="555"/>
      <c r="EI472" s="605"/>
      <c r="EJ472" s="555"/>
      <c r="EK472" s="605"/>
      <c r="EL472" s="555"/>
      <c r="EM472" s="555"/>
    </row>
    <row r="473" spans="1:144" ht="12.75" hidden="1" customHeight="1" outlineLevel="1" x14ac:dyDescent="0.2">
      <c r="A473" s="611" t="s">
        <v>706</v>
      </c>
      <c r="B473" s="602">
        <f>INPUT!AY383</f>
        <v>230</v>
      </c>
      <c r="C473" s="612">
        <f>INPUT!AZ383</f>
        <v>28.491620111731862</v>
      </c>
      <c r="D473" s="602">
        <f>INPUT!BA383</f>
        <v>228</v>
      </c>
      <c r="E473" s="612">
        <f>INPUT!BB383</f>
        <v>24.590163934426229</v>
      </c>
      <c r="F473" s="602">
        <f>INPUT!BC383</f>
        <v>247</v>
      </c>
      <c r="G473" s="612">
        <f>INPUT!BD383</f>
        <v>13.824884792626733</v>
      </c>
      <c r="H473" s="602">
        <f>INPUT!BE383</f>
        <v>232</v>
      </c>
      <c r="I473" s="612">
        <f>INPUT!BF383</f>
        <v>1.3100436681222618</v>
      </c>
      <c r="J473" s="602">
        <f>INPUT!BG383</f>
        <v>269</v>
      </c>
      <c r="K473" s="612">
        <f>INPUT!BH383</f>
        <v>16.956521739130423</v>
      </c>
      <c r="L473" s="602">
        <f>INPUT!BI383</f>
        <v>253</v>
      </c>
      <c r="M473" s="612">
        <f>INPUT!BJ383</f>
        <v>10.964912280701753</v>
      </c>
      <c r="N473" s="602">
        <f>INPUT!BK383</f>
        <v>266</v>
      </c>
      <c r="O473" s="612">
        <f>INPUT!BL383</f>
        <v>7.6923076923076934</v>
      </c>
      <c r="P473" s="602">
        <f>INPUT!BM383</f>
        <v>232</v>
      </c>
      <c r="Q473" s="612">
        <f>INPUT!BN383</f>
        <v>0</v>
      </c>
      <c r="R473" s="602">
        <f>INPUT!BO383</f>
        <v>285</v>
      </c>
      <c r="S473" s="612">
        <f>INPUT!BP383</f>
        <v>5.9479553903345703</v>
      </c>
      <c r="T473" s="602">
        <f>INPUT!BQ383</f>
        <v>286</v>
      </c>
      <c r="U473" s="612">
        <f>INPUT!BR383</f>
        <v>13.043478260869563</v>
      </c>
      <c r="V473" s="602">
        <f>INPUT!BS383</f>
        <v>293</v>
      </c>
      <c r="W473" s="612">
        <f>INPUT!BT383</f>
        <v>10.150375939849624</v>
      </c>
      <c r="X473" s="602">
        <f>INPUT!BU383</f>
        <v>261</v>
      </c>
      <c r="Y473" s="612">
        <f>INPUT!BV383</f>
        <v>12.5</v>
      </c>
      <c r="Z473" s="602">
        <f>INPUT!BW383</f>
        <v>294</v>
      </c>
      <c r="AA473" s="612">
        <f>INPUT!BX383</f>
        <v>3.1578947368421098</v>
      </c>
      <c r="AB473" s="602">
        <f>INPUT!BY383</f>
        <v>315</v>
      </c>
      <c r="AC473" s="612">
        <f>INPUT!BZ383</f>
        <v>10.139860139860147</v>
      </c>
      <c r="AD473" s="602">
        <f>INPUT!CA383</f>
        <v>310</v>
      </c>
      <c r="AE473" s="612">
        <f>INPUT!CB383</f>
        <v>5.8020477815699678</v>
      </c>
      <c r="AF473" s="602">
        <f>INPUT!CC383</f>
        <v>302</v>
      </c>
      <c r="AG473" s="612">
        <f>INPUT!CD383</f>
        <v>15.708812260536405</v>
      </c>
      <c r="AH473" s="602">
        <f>INPUT!CE383</f>
        <v>298</v>
      </c>
      <c r="AI473" s="612">
        <f>INPUT!CF383</f>
        <v>1.3605442176870781</v>
      </c>
      <c r="AJ473" s="602">
        <f>INPUT!CG383</f>
        <v>265</v>
      </c>
      <c r="AK473" s="612">
        <f>INPUT!CH383</f>
        <v>-15.873015873015873</v>
      </c>
      <c r="AL473" s="602">
        <f>INPUT!CI383</f>
        <v>296</v>
      </c>
      <c r="AM473" s="612">
        <f>INPUT!CJ383</f>
        <v>-4.5161290322580641</v>
      </c>
      <c r="AN473" s="602">
        <f>INPUT!CK383</f>
        <v>290</v>
      </c>
      <c r="AO473" s="612">
        <f>INPUT!CL383</f>
        <v>-3.9735099337748352</v>
      </c>
      <c r="AP473" s="602">
        <f>INPUT!CM383</f>
        <v>300</v>
      </c>
      <c r="AQ473" s="612">
        <f>INPUT!CN383</f>
        <v>0.67114093959732202</v>
      </c>
      <c r="AR473" s="602">
        <f>INPUT!CO383</f>
        <v>315</v>
      </c>
      <c r="AS473" s="612">
        <f>INPUT!CP383</f>
        <v>18.867924528301884</v>
      </c>
      <c r="AT473" s="602">
        <f>INPUT!CQ383</f>
        <v>331</v>
      </c>
      <c r="AU473" s="612">
        <f>INPUT!CR383</f>
        <v>11.824324324324323</v>
      </c>
      <c r="AV473" s="602">
        <f>INPUT!CS383</f>
        <v>300</v>
      </c>
      <c r="AW473" s="612">
        <f>INPUT!CT383</f>
        <v>3.448275862068968</v>
      </c>
      <c r="AX473" s="602">
        <f>INPUT!CU383</f>
        <v>382</v>
      </c>
      <c r="AY473" s="612">
        <f>INPUT!CV383</f>
        <v>27.333333333333343</v>
      </c>
      <c r="AZ473" s="602">
        <f>INPUT!CW383</f>
        <v>374</v>
      </c>
      <c r="BA473" s="612">
        <f>INPUT!CX383</f>
        <v>18.730158730158735</v>
      </c>
      <c r="BB473" s="602">
        <f>INPUT!CY383</f>
        <v>393</v>
      </c>
      <c r="BC473" s="612">
        <f>INPUT!CZ383</f>
        <v>18.731117824773406</v>
      </c>
      <c r="BD473" s="602">
        <f>INPUT!DA383</f>
        <v>332</v>
      </c>
      <c r="BE473" s="612">
        <f>INPUT!DB383</f>
        <v>10.666666666666671</v>
      </c>
      <c r="BF473" s="602">
        <f>INPUT!DC383</f>
        <v>422</v>
      </c>
      <c r="BG473" s="612">
        <f>INPUT!DD383</f>
        <v>10.471204188481693</v>
      </c>
      <c r="BH473" s="602">
        <f>INPUT!DE383</f>
        <v>368</v>
      </c>
      <c r="BI473" s="612">
        <f>INPUT!DF383</f>
        <v>-1.6042780748663006</v>
      </c>
      <c r="BJ473" s="602">
        <f>INPUT!DG383</f>
        <v>424</v>
      </c>
      <c r="BK473" s="612">
        <f>INPUT!DH383</f>
        <v>7.8880407124681966</v>
      </c>
      <c r="BL473" s="602">
        <f>INPUT!DI383</f>
        <v>303</v>
      </c>
      <c r="BM473" s="612">
        <f>INPUT!DJ383</f>
        <v>-8.7349397590361377</v>
      </c>
      <c r="BN473" s="602">
        <f>INPUT!DK383</f>
        <v>419</v>
      </c>
      <c r="BO473" s="612">
        <f>INPUT!DL383</f>
        <v>-0.71090047393364841</v>
      </c>
      <c r="BP473" s="602">
        <f>INPUT!DM383</f>
        <v>382</v>
      </c>
      <c r="BQ473" s="612">
        <f>INPUT!DN383</f>
        <v>3.8043478260869676</v>
      </c>
      <c r="BR473" s="602">
        <f>INPUT!DO383</f>
        <v>414</v>
      </c>
      <c r="BS473" s="612">
        <f>INPUT!DP383</f>
        <v>-2.3584905660377444</v>
      </c>
      <c r="BT473" s="602">
        <f>INPUT!DQ383</f>
        <v>374</v>
      </c>
      <c r="BU473" s="612">
        <f>INPUT!DR383</f>
        <v>23.43234323432344</v>
      </c>
      <c r="BV473" s="602">
        <f>INPUT!DS383</f>
        <v>439</v>
      </c>
      <c r="BW473" s="612">
        <f>INPUT!DT383</f>
        <v>4.7732696897374751</v>
      </c>
      <c r="BX473" s="602">
        <f>INPUT!DU383</f>
        <v>381</v>
      </c>
      <c r="BY473" s="612">
        <f>INPUT!DV383</f>
        <v>-0.26178010471204516</v>
      </c>
      <c r="BZ473" s="602">
        <f>INPUT!DW383</f>
        <v>398</v>
      </c>
      <c r="CA473" s="612">
        <f>INPUT!DX383</f>
        <v>-3.864734299516897</v>
      </c>
      <c r="CB473" s="602">
        <f>INPUT!DY383</f>
        <v>367</v>
      </c>
      <c r="CC473" s="612">
        <f>INPUT!DZ383</f>
        <v>-1.8716577540106982</v>
      </c>
      <c r="CD473" s="602">
        <f>INPUT!EA383</f>
        <v>410</v>
      </c>
      <c r="CE473" s="612">
        <f>INPUT!EB383</f>
        <v>-6.6059225512528457</v>
      </c>
      <c r="CF473" s="602">
        <f>INPUT!EC383</f>
        <v>343</v>
      </c>
      <c r="CG473" s="612">
        <f>INPUT!ED383</f>
        <v>-9.9737532808398868</v>
      </c>
      <c r="CH473" s="602">
        <f>INPUT!EE383</f>
        <v>391</v>
      </c>
      <c r="CI473" s="612">
        <f>INPUT!EF383</f>
        <v>-1.7587939698492505</v>
      </c>
      <c r="CJ473" s="602">
        <f>INPUT!EG383</f>
        <v>395</v>
      </c>
      <c r="CK473" s="612">
        <f>INPUT!EH383</f>
        <v>7.6294277929155356</v>
      </c>
      <c r="CL473" s="602">
        <f>INPUT!EI383</f>
        <v>408</v>
      </c>
      <c r="CM473" s="612">
        <f>INPUT!EJ383</f>
        <v>-0.48780487804877737</v>
      </c>
      <c r="CN473" s="602">
        <f>INPUT!EK383</f>
        <v>329</v>
      </c>
      <c r="CO473" s="612">
        <f>INPUT!EL383</f>
        <v>-4.0816326530612344</v>
      </c>
      <c r="CP473" s="602">
        <f>INPUT!EM383</f>
        <v>373</v>
      </c>
      <c r="CQ473" s="612">
        <f>INPUT!EN383</f>
        <v>-4.6035805626598432</v>
      </c>
      <c r="CR473" s="602">
        <f>INPUT!EO383</f>
        <v>383</v>
      </c>
      <c r="CS473" s="612">
        <f>INPUT!EP383</f>
        <v>-3.0379746835443058</v>
      </c>
      <c r="CT473" s="602">
        <f>INPUT!EQ383</f>
        <v>434.29932252252229</v>
      </c>
      <c r="CU473" s="612">
        <f>INPUT!ER383</f>
        <v>6.4459123829711444</v>
      </c>
      <c r="CV473" s="602">
        <f>INPUT!ES383</f>
        <v>403.28380576576592</v>
      </c>
      <c r="CW473" s="612">
        <f>INPUT!ET383</f>
        <v>22.578664366494209</v>
      </c>
      <c r="CX473" s="602">
        <f>INPUT!EU383</f>
        <v>390.32150486486489</v>
      </c>
      <c r="CY473" s="612">
        <f>INPUT!EV383</f>
        <v>4.643835084414178</v>
      </c>
      <c r="CZ473" s="602">
        <f>INPUT!EW383</f>
        <v>398.35792252252259</v>
      </c>
      <c r="DA473" s="612">
        <f>INPUT!EX383</f>
        <v>4.0099014419119072</v>
      </c>
      <c r="DB473" s="602"/>
      <c r="DC473" s="602">
        <f>INPUT!FP383</f>
        <v>808</v>
      </c>
      <c r="DD473" s="612">
        <f>INPUT!FQ383</f>
        <v>56.893203883495147</v>
      </c>
      <c r="DE473" s="602">
        <f>INPUT!FR383</f>
        <v>937</v>
      </c>
      <c r="DF473" s="612">
        <f>INPUT!FS383</f>
        <v>15.965346534653463</v>
      </c>
      <c r="DG473" s="602">
        <f>INPUT!FT383</f>
        <v>1020</v>
      </c>
      <c r="DH473" s="612">
        <f>INPUT!FU383</f>
        <v>8.858057630736397</v>
      </c>
      <c r="DI473" s="602">
        <f>INPUT!FV383</f>
        <v>998</v>
      </c>
      <c r="DJ473" s="612">
        <f>INPUT!FW383</f>
        <v>-2.1568627450980387</v>
      </c>
      <c r="DK473" s="602">
        <f>INPUT!FX383</f>
        <v>1059</v>
      </c>
      <c r="DL473" s="612">
        <f>INPUT!FY383</f>
        <v>6.1122244488977913</v>
      </c>
      <c r="DM473" s="602">
        <f>INPUT!FZ383</f>
        <v>1149</v>
      </c>
      <c r="DN473" s="612">
        <f>INPUT!GA383</f>
        <v>8.4985835694050991</v>
      </c>
      <c r="DO473" s="602">
        <f>INPUT!GB383</f>
        <v>1246</v>
      </c>
      <c r="DP473" s="612">
        <f>INPUT!GC383</f>
        <v>8.4421235857267192</v>
      </c>
      <c r="DQ473" s="602">
        <f>INPUT!GD383</f>
        <v>1481</v>
      </c>
      <c r="DR473" s="612">
        <f>INPUT!GE383</f>
        <v>18.860353130016065</v>
      </c>
      <c r="DS473" s="602">
        <f>INPUT!GF383</f>
        <v>1517</v>
      </c>
      <c r="DT473" s="612">
        <f>INPUT!GG383</f>
        <v>2.4307900067521899</v>
      </c>
      <c r="DU473" s="602">
        <f>INPUT!GH383</f>
        <v>1589</v>
      </c>
      <c r="DV473" s="612">
        <f>INPUT!GI383</f>
        <v>4.7462096242583982</v>
      </c>
      <c r="DW473" s="602">
        <f>INPUT!GJ383</f>
        <v>1585</v>
      </c>
      <c r="DX473" s="612">
        <f>INPUT!GK383</f>
        <v>-0.25173064820641855</v>
      </c>
      <c r="DY473" s="602">
        <f>INPUT!GL383</f>
        <v>1539</v>
      </c>
      <c r="DZ473" s="612">
        <f>INPUT!GM383</f>
        <v>-2.9022082018927478</v>
      </c>
      <c r="EA473" s="602">
        <f>INPUT!GN383</f>
        <v>1493</v>
      </c>
      <c r="EB473" s="612">
        <f>INPUT!GO383</f>
        <v>-2.9889538661468436</v>
      </c>
      <c r="EC473" s="602">
        <f>INPUT!GP383</f>
        <v>1626.2625556756757</v>
      </c>
      <c r="ED473" s="612">
        <f>INPUT!GQ383</f>
        <v>8.9258242247606034</v>
      </c>
      <c r="EE473" s="602">
        <f>INPUT!GR383</f>
        <v>1690.6914579027016</v>
      </c>
      <c r="EF473" s="612">
        <f>INPUT!GS383</f>
        <v>3.9617773896452491</v>
      </c>
      <c r="EG473" s="602">
        <f>INPUT!GT383</f>
        <v>1757.6291402188108</v>
      </c>
      <c r="EH473" s="612">
        <f>INPUT!GU383</f>
        <v>3.9591897151444471</v>
      </c>
      <c r="EI473" s="602">
        <f>INPUT!GV383</f>
        <v>1827.1684324675607</v>
      </c>
      <c r="EJ473" s="612">
        <f>INPUT!GW383</f>
        <v>3.95642577023348</v>
      </c>
      <c r="EK473" s="602">
        <f>INPUT!GX383</f>
        <v>1899.4050503366652</v>
      </c>
      <c r="EL473" s="612">
        <f>INPUT!GY383</f>
        <v>3.9534733955287322</v>
      </c>
      <c r="EM473" s="612">
        <f>INPUT!GZ383</f>
        <v>4.93287116057326</v>
      </c>
    </row>
    <row r="474" spans="1:144" ht="12.75" hidden="1" customHeight="1" outlineLevel="2" x14ac:dyDescent="0.2">
      <c r="A474" s="582" t="s">
        <v>683</v>
      </c>
      <c r="B474" s="583">
        <f>(B458+B459+B461+B462-B466-B467-B468-B469-B470)-B473</f>
        <v>0</v>
      </c>
      <c r="C474" s="584"/>
      <c r="D474" s="583">
        <f>(D458+D459+D461+D462-D466-D467-D468-D469-D470)-D473</f>
        <v>0</v>
      </c>
      <c r="E474" s="584"/>
      <c r="F474" s="583">
        <f>(F458+F459+F461+F462-F466-F467-F468-F469-F470)-F473</f>
        <v>0</v>
      </c>
      <c r="G474" s="584"/>
      <c r="H474" s="583">
        <f>(H458+H459+H461+H462-H466-H467-H468-H469-H470)-H473</f>
        <v>0</v>
      </c>
      <c r="I474" s="584"/>
      <c r="J474" s="583">
        <f>(J458+J459+J461+J462-J466-J467-J468-J469-J470)-J473</f>
        <v>0</v>
      </c>
      <c r="K474" s="584"/>
      <c r="L474" s="583">
        <f>(L458+L459+L461+L462-L466-L467-L468-L469-L470)-L473</f>
        <v>0</v>
      </c>
      <c r="M474" s="584"/>
      <c r="N474" s="583">
        <f>(N458+N459+N461+N462-N466-N467-N468-N469-N470)-N473</f>
        <v>0</v>
      </c>
      <c r="O474" s="584"/>
      <c r="P474" s="583">
        <f>(P458+P459+P461+P462-P466-P467-P468-P469-P470)-P473</f>
        <v>0</v>
      </c>
      <c r="Q474" s="584"/>
      <c r="R474" s="583">
        <f>(R458+R459+R461+R462-R466-R467-R468-R469-R470)-R473</f>
        <v>0</v>
      </c>
      <c r="S474" s="584"/>
      <c r="T474" s="583">
        <f>(T458+T459+T461+T462-T466-T467-T468-T469-T470)-T473</f>
        <v>0</v>
      </c>
      <c r="U474" s="584"/>
      <c r="V474" s="583">
        <f>(V458+V459+V461+V462-V466-V467-V468-V469-V470)-V473</f>
        <v>0</v>
      </c>
      <c r="W474" s="584"/>
      <c r="X474" s="583">
        <f>(X458+X459+X461+X462-X466-X467-X468-X469-X470)-X473</f>
        <v>0</v>
      </c>
      <c r="Y474" s="584"/>
      <c r="Z474" s="583">
        <f>(Z458+Z459+Z461+Z462-Z466-Z467-Z468-Z469-Z470)-Z473</f>
        <v>0</v>
      </c>
      <c r="AA474" s="584"/>
      <c r="AB474" s="583">
        <f>(AB458+AB459+AB461+AB462-AB466-AB467-AB468-AB469-AB470)-AB473</f>
        <v>0</v>
      </c>
      <c r="AC474" s="584"/>
      <c r="AD474" s="583">
        <f>(AD458+AD459+AD461+AD462-AD466-AD467-AD468-AD469-AD470)-AD473</f>
        <v>0</v>
      </c>
      <c r="AE474" s="584"/>
      <c r="AF474" s="583">
        <f>(AF458+AF459+AF461+AF462-AF466-AF467-AF468-AF469-AF470)-AF473</f>
        <v>0</v>
      </c>
      <c r="AG474" s="584"/>
      <c r="AH474" s="583">
        <f>(AH458+AH459+AH461+AH462-AH466-AH467-AH468-AH469-AH470)-AH473</f>
        <v>0</v>
      </c>
      <c r="AI474" s="584"/>
      <c r="AJ474" s="583">
        <f>(AJ458+AJ459+AJ461+AJ462-AJ466-AJ467-AJ468-AJ469-AJ470)-AJ473</f>
        <v>0</v>
      </c>
      <c r="AK474" s="584"/>
      <c r="AL474" s="583">
        <f>(AL458+AL459+AL461+AL462-AL466-AL467-AL468-AL469-AL470)-AL473</f>
        <v>0</v>
      </c>
      <c r="AM474" s="584"/>
      <c r="AN474" s="583">
        <f>(AN458+AN459+AN461+AN462-AN466-AN467-AN468-AN469-AN470)-AN473</f>
        <v>0</v>
      </c>
      <c r="AO474" s="584"/>
      <c r="AP474" s="583">
        <f>(AP458+AP459+AP461+AP462-AP466-AP467-AP468-AP469-AP470)-AP473</f>
        <v>0</v>
      </c>
      <c r="AQ474" s="584"/>
      <c r="AR474" s="583">
        <f>(AR458+AR459+AR461+AR462-AR466-AR467-AR468-AR469-AR470)-AR473</f>
        <v>0</v>
      </c>
      <c r="AS474" s="584"/>
      <c r="AT474" s="583">
        <f>(AT458+AT459+AT461+AT462-AT466-AT467-AT468-AT469-AT470)-AT473</f>
        <v>0</v>
      </c>
      <c r="AU474" s="584"/>
      <c r="AV474" s="583">
        <f>(AV458+AV459+AV461+AV462-AV466-AV467-AV468-AV469-AV470)-AV473</f>
        <v>0</v>
      </c>
      <c r="AW474" s="584"/>
      <c r="AX474" s="583">
        <f>(AX458+AX459+AX461+AX462-AX466-AX467-AX468-AX469-AX470)-AX473</f>
        <v>0</v>
      </c>
      <c r="AY474" s="584"/>
      <c r="AZ474" s="583">
        <f>(AZ458+AZ459+AZ461+AZ462-AZ466-AZ467-AZ468-AZ469-AZ470)-AZ473</f>
        <v>0</v>
      </c>
      <c r="BA474" s="584"/>
      <c r="BB474" s="583">
        <f>(BB458+BB459+BB461+BB462-BB466-BB467-BB468-BB469-BB470)-BB473</f>
        <v>0</v>
      </c>
      <c r="BC474" s="584"/>
      <c r="BD474" s="583">
        <f>(BD458+BD459+BD461+BD462-BD466-BD467-BD468-BD469-BD470)-BD473</f>
        <v>0</v>
      </c>
      <c r="BE474" s="584"/>
      <c r="BF474" s="583">
        <f>(BF458+BF459+BF461+BF462-BF466-BF467-BF468-BF469-BF470)-BF473</f>
        <v>0</v>
      </c>
      <c r="BG474" s="584"/>
      <c r="BH474" s="583">
        <f>(BH458+BH459+BH461+BH462-BH466-BH467-BH468-BH469-BH470)-BH473</f>
        <v>0</v>
      </c>
      <c r="BI474" s="584"/>
      <c r="BJ474" s="583">
        <f>(BJ458+BJ459+BJ461+BJ462-BJ466-BJ467-BJ468-BJ469-BJ470)-BJ473</f>
        <v>0</v>
      </c>
      <c r="BK474" s="584"/>
      <c r="BL474" s="583">
        <f>(BL458+BL459+BL461+BL462-BL466-BL467-BL468-BL469-BL470)-BL473</f>
        <v>0</v>
      </c>
      <c r="BM474" s="584"/>
      <c r="BN474" s="583">
        <f>(BN458+BN459+BN461+BN462-BN466-BN467-BN468-BN469-BN470)-BN473</f>
        <v>0</v>
      </c>
      <c r="BO474" s="584"/>
      <c r="BP474" s="583">
        <f>(BP458+BP459+BP461+BP462-BP466-BP467-BP468-BP469-BP470)-BP473</f>
        <v>0</v>
      </c>
      <c r="BQ474" s="584"/>
      <c r="BR474" s="583">
        <f>(BR458+BR459+BR461+BR462-BR466-BR467-BR468-BR469-BR470)-BR473</f>
        <v>0</v>
      </c>
      <c r="BS474" s="584"/>
      <c r="BT474" s="583">
        <f>(BT458+BT459+BT461+BT462-BT466-BT467-BT468-BT469-BT470)-BT473</f>
        <v>0</v>
      </c>
      <c r="BU474" s="584"/>
      <c r="BV474" s="583">
        <f>(BV458+BV459+BV461+BV462-BV466-BV467-BV468-BV469-BV470)-BV473</f>
        <v>0</v>
      </c>
      <c r="BW474" s="584"/>
      <c r="BX474" s="583">
        <f>(BX458+BX459+BX461+BX462-BX466-BX467-BX468-BX469-BX470)-BX473</f>
        <v>0</v>
      </c>
      <c r="BY474" s="584"/>
      <c r="BZ474" s="583">
        <f>(BZ458+BZ459+BZ461+BZ462-BZ466-BZ467-BZ468-BZ469-BZ470)-BZ473</f>
        <v>0</v>
      </c>
      <c r="CA474" s="584"/>
      <c r="CB474" s="583">
        <f>(CB458+CB459+CB461+CB462-CB466-CB467-CB468-CB469-CB470)-CB473</f>
        <v>0</v>
      </c>
      <c r="CC474" s="584"/>
      <c r="CD474" s="583">
        <f>(CD458+CD459+CD461+CD462-CD466-CD467-CD468-CD469-CD470)-CD473</f>
        <v>0</v>
      </c>
      <c r="CE474" s="584"/>
      <c r="CF474" s="583">
        <f>(CF458+CF459+CF461+CF462-CF466-CF467-CF468-CF469-CF470)-CF473</f>
        <v>0</v>
      </c>
      <c r="CG474" s="584"/>
      <c r="CH474" s="583">
        <f>(CH458+CH459+CH461+CH462-CH466-CH467-CH468-CH469-CH470)-CH473</f>
        <v>0</v>
      </c>
      <c r="CI474" s="584"/>
      <c r="CJ474" s="583">
        <f>(CJ458+CJ459+CJ461+CJ462-CJ466-CJ467-CJ468-CJ469-CJ470)-CJ473</f>
        <v>0</v>
      </c>
      <c r="CK474" s="584"/>
      <c r="CL474" s="583">
        <f>(CL458+CL459+CL461+CL462-CL466-CL467-CL468-CL469-CL470)-CL473</f>
        <v>0</v>
      </c>
      <c r="CM474" s="584"/>
      <c r="CN474" s="583">
        <f>(CN458+CN459+CN461+CN462-CN466-CN467-CN468-CN469-CN470)-CN473</f>
        <v>0</v>
      </c>
      <c r="CO474" s="584"/>
      <c r="CP474" s="583">
        <f>(CP458+CP459+CP461+CP462-CP466-CP467-CP468-CP469-CP470)-CP473</f>
        <v>0</v>
      </c>
      <c r="CQ474" s="584"/>
      <c r="CR474" s="583">
        <f>(CR458+CR459+CR461+CR462-CR466-CR467-CR468-CR469-CR470)-CR473</f>
        <v>0</v>
      </c>
      <c r="CS474" s="584"/>
      <c r="CT474" s="583">
        <f>(CT458+CT459+CT461+CT462-CT466-CT467-CT468-CT469-CT470)-CT473</f>
        <v>0</v>
      </c>
      <c r="CU474" s="584"/>
      <c r="CV474" s="583">
        <f>(CV458+CV459+CV461+CV462-CV466-CV467-CV468-CV469-CV470)-CV473</f>
        <v>0</v>
      </c>
      <c r="CW474" s="584"/>
      <c r="CX474" s="583">
        <f>(CX458+CX459+CX461+CX462-CX466-CX467-CX468-CX469-CX470)-CX473</f>
        <v>0</v>
      </c>
      <c r="CY474" s="584"/>
      <c r="CZ474" s="583">
        <f>(CZ458+CZ459+CZ461+CZ462-CZ466-CZ467-CZ468-CZ469-CZ470)-CZ473</f>
        <v>0</v>
      </c>
      <c r="DA474" s="584"/>
      <c r="DB474" s="583"/>
      <c r="DC474" s="583">
        <f>(DC458+DC459+DC461+DC462-DC466-DC467-DC468-DC469-DC470)-DC473</f>
        <v>0</v>
      </c>
      <c r="DD474" s="584"/>
      <c r="DE474" s="583">
        <f>(DE458+DE459+DE461+DE462-DE466-DE467-DE468-DE469-DE470)-DE473</f>
        <v>0</v>
      </c>
      <c r="DF474" s="584"/>
      <c r="DG474" s="583">
        <f>(DG458+DG459+DG461+DG462-DG466-DG467-DG468-DG469-DG470)-DG473</f>
        <v>0</v>
      </c>
      <c r="DH474" s="584"/>
      <c r="DI474" s="583">
        <f>(DI458+DI459+DI461+DI462-DI466-DI467-DI468-DI469-DI470)-DI473</f>
        <v>0</v>
      </c>
      <c r="DJ474" s="584"/>
      <c r="DK474" s="583">
        <f>(DK458+DK459+DK461+DK462-DK466-DK467-DK468-DK469-DK470)-DK473</f>
        <v>0</v>
      </c>
      <c r="DL474" s="584"/>
      <c r="DM474" s="583">
        <f>(DM458+DM459+DM461+DM462-DM466-DM467-DM468-DM469-DM470)-DM473</f>
        <v>0</v>
      </c>
      <c r="DN474" s="584"/>
      <c r="DO474" s="583">
        <f>(DO458+DO459+DO461+DO462-DO466-DO467-DO468-DO469-DO470)-DO473</f>
        <v>0</v>
      </c>
      <c r="DP474" s="584"/>
      <c r="DQ474" s="583">
        <f>(DQ458+DQ459+DQ461+DQ462-DQ466-DQ467-DQ468-DQ469-DQ470)-DQ473</f>
        <v>0</v>
      </c>
      <c r="DR474" s="584"/>
      <c r="DS474" s="583">
        <f>(DS458+DS459+DS461+DS462-DS466-DS467-DS468-DS469-DS470)-DS473</f>
        <v>0</v>
      </c>
      <c r="DT474" s="584"/>
      <c r="DU474" s="583">
        <f>(DU458+DU459+DU461+DU462-DU466-DU467-DU468-DU469-DU470)-DU473</f>
        <v>0</v>
      </c>
      <c r="DV474" s="584"/>
      <c r="DW474" s="583">
        <f>(DW458+DW459+DW461+DW462-DW466-DW467-DW468-DW469-DW470)-DW473</f>
        <v>0</v>
      </c>
      <c r="DX474" s="584"/>
      <c r="DY474" s="583">
        <f>(DY458+DY459+DY461+DY462-DY466-DY467-DY468-DY469-DY470)-DY473</f>
        <v>0</v>
      </c>
      <c r="DZ474" s="584"/>
      <c r="EA474" s="583">
        <f>(EA458+EA459+EA461+EA462-EA466-EA467-EA468-EA469-EA470)-EA473</f>
        <v>0</v>
      </c>
      <c r="EB474" s="584"/>
      <c r="EC474" s="583">
        <f>(EC458+EC459+EC461+EC462-EC466-EC467-EC468-EC469-EC470)-EC473</f>
        <v>0</v>
      </c>
      <c r="ED474" s="584"/>
      <c r="EE474" s="583">
        <f>(EE458+EE459+EE461+EE462-EE466-EE467-EE468-EE469-EE470)-EE473</f>
        <v>0</v>
      </c>
      <c r="EF474" s="584"/>
      <c r="EG474" s="583">
        <f>(EG458+EG459+EG461+EG462-EG466-EG467-EG468-EG469-EG470)-EG473</f>
        <v>0</v>
      </c>
      <c r="EH474" s="584"/>
      <c r="EI474" s="583">
        <f>(EI458+EI459+EI461+EI462-EI466-EI467-EI468-EI469-EI470)-EI473</f>
        <v>0</v>
      </c>
      <c r="EJ474" s="584"/>
      <c r="EK474" s="583">
        <f>(EK458+EK459+EK461+EK462-EK466-EK467-EK468-EK469-EK470)-EK473</f>
        <v>-1.8189894035458565E-12</v>
      </c>
      <c r="EL474" s="584"/>
      <c r="EM474" s="583"/>
      <c r="EN474" s="584"/>
    </row>
    <row r="475" spans="1:144" ht="12.75" hidden="1" customHeight="1" outlineLevel="1" x14ac:dyDescent="0.2">
      <c r="A475" s="613"/>
      <c r="B475" s="605"/>
      <c r="C475" s="555"/>
      <c r="D475" s="605"/>
      <c r="E475" s="555"/>
      <c r="F475" s="605"/>
      <c r="G475" s="555"/>
      <c r="H475" s="605"/>
      <c r="I475" s="555"/>
      <c r="J475" s="605"/>
      <c r="K475" s="555"/>
      <c r="L475" s="605"/>
      <c r="M475" s="555"/>
      <c r="N475" s="605"/>
      <c r="O475" s="555"/>
      <c r="P475" s="605"/>
      <c r="Q475" s="555"/>
      <c r="R475" s="605"/>
      <c r="S475" s="555"/>
      <c r="T475" s="605"/>
      <c r="U475" s="555"/>
      <c r="V475" s="605"/>
      <c r="W475" s="555"/>
      <c r="X475" s="605"/>
      <c r="Y475" s="555"/>
      <c r="Z475" s="605"/>
      <c r="AA475" s="555"/>
      <c r="AB475" s="605"/>
      <c r="AC475" s="555"/>
      <c r="AD475" s="605"/>
      <c r="AE475" s="555"/>
      <c r="AF475" s="605"/>
      <c r="AG475" s="555"/>
      <c r="AH475" s="605"/>
      <c r="AI475" s="555"/>
      <c r="AJ475" s="605"/>
      <c r="AK475" s="555"/>
      <c r="AL475" s="605"/>
      <c r="AM475" s="555"/>
      <c r="AN475" s="605"/>
      <c r="AO475" s="555"/>
      <c r="AP475" s="605"/>
      <c r="AQ475" s="555"/>
      <c r="AR475" s="605"/>
      <c r="AS475" s="555"/>
      <c r="AT475" s="605"/>
      <c r="AU475" s="555"/>
      <c r="AV475" s="605"/>
      <c r="AW475" s="555"/>
      <c r="AX475" s="605"/>
      <c r="AY475" s="555"/>
      <c r="AZ475" s="605"/>
      <c r="BA475" s="555"/>
      <c r="BB475" s="605"/>
      <c r="BC475" s="555"/>
      <c r="BD475" s="605"/>
      <c r="BE475" s="555"/>
      <c r="BF475" s="605"/>
      <c r="BG475" s="555"/>
      <c r="BH475" s="605"/>
      <c r="BI475" s="555"/>
      <c r="BJ475" s="605"/>
      <c r="BK475" s="555"/>
      <c r="BL475" s="605"/>
      <c r="BM475" s="555"/>
      <c r="BN475" s="605"/>
      <c r="BO475" s="555"/>
      <c r="BP475" s="605"/>
      <c r="BQ475" s="555"/>
      <c r="BR475" s="605"/>
      <c r="BS475" s="555"/>
      <c r="BT475" s="605"/>
      <c r="BU475" s="555"/>
      <c r="BV475" s="605"/>
      <c r="BW475" s="555"/>
      <c r="BX475" s="605"/>
      <c r="BY475" s="555"/>
      <c r="BZ475" s="605"/>
      <c r="CA475" s="555"/>
      <c r="CB475" s="605"/>
      <c r="CC475" s="555"/>
      <c r="CD475" s="605"/>
      <c r="CE475" s="555"/>
      <c r="CF475" s="605"/>
      <c r="CG475" s="555"/>
      <c r="CH475" s="605"/>
      <c r="CI475" s="555"/>
      <c r="CJ475" s="605"/>
      <c r="CK475" s="555"/>
      <c r="CL475" s="605"/>
      <c r="CM475" s="555"/>
      <c r="CN475" s="605"/>
      <c r="CO475" s="555"/>
      <c r="CP475" s="605"/>
      <c r="CQ475" s="555"/>
      <c r="CR475" s="605"/>
      <c r="CS475" s="555"/>
      <c r="CT475" s="605"/>
      <c r="CU475" s="555"/>
      <c r="CV475" s="605"/>
      <c r="CW475" s="555"/>
      <c r="CX475" s="605"/>
      <c r="CY475" s="555"/>
      <c r="CZ475" s="605"/>
      <c r="DA475" s="555"/>
      <c r="DB475" s="605"/>
      <c r="DC475" s="605"/>
      <c r="DD475" s="555"/>
      <c r="DE475" s="605"/>
      <c r="DF475" s="555"/>
      <c r="DG475" s="605"/>
      <c r="DH475" s="555"/>
      <c r="DI475" s="605"/>
      <c r="DJ475" s="555"/>
      <c r="DK475" s="605"/>
      <c r="DL475" s="555"/>
      <c r="DM475" s="605"/>
      <c r="DN475" s="555"/>
      <c r="DO475" s="605"/>
      <c r="DP475" s="555"/>
      <c r="DQ475" s="605"/>
      <c r="DR475" s="555"/>
      <c r="DS475" s="605"/>
      <c r="DT475" s="555"/>
      <c r="DU475" s="605"/>
      <c r="DV475" s="555"/>
      <c r="DW475" s="605"/>
      <c r="DX475" s="555"/>
      <c r="DY475" s="605"/>
      <c r="DZ475" s="555"/>
      <c r="EA475" s="605"/>
      <c r="EB475" s="555"/>
      <c r="EC475" s="605"/>
      <c r="ED475" s="555"/>
      <c r="EE475" s="605"/>
      <c r="EF475" s="555"/>
      <c r="EG475" s="605"/>
      <c r="EH475" s="555"/>
      <c r="EI475" s="605"/>
      <c r="EJ475" s="555"/>
      <c r="EK475" s="605"/>
      <c r="EL475" s="555"/>
      <c r="EM475" s="555"/>
    </row>
    <row r="476" spans="1:144" ht="12.75" hidden="1" customHeight="1" outlineLevel="1" x14ac:dyDescent="0.2">
      <c r="A476" s="575" t="s">
        <v>255</v>
      </c>
      <c r="B476" s="605"/>
      <c r="C476" s="555"/>
      <c r="D476" s="605"/>
      <c r="E476" s="555"/>
      <c r="F476" s="605"/>
      <c r="G476" s="555"/>
      <c r="H476" s="605"/>
      <c r="I476" s="555"/>
      <c r="J476" s="605"/>
      <c r="K476" s="555"/>
      <c r="L476" s="605"/>
      <c r="M476" s="555"/>
      <c r="N476" s="605"/>
      <c r="O476" s="555"/>
      <c r="P476" s="605"/>
      <c r="Q476" s="555"/>
      <c r="R476" s="605"/>
      <c r="S476" s="555"/>
      <c r="T476" s="605"/>
      <c r="U476" s="555"/>
      <c r="V476" s="605"/>
      <c r="W476" s="555"/>
      <c r="X476" s="605"/>
      <c r="Y476" s="555"/>
      <c r="Z476" s="605"/>
      <c r="AA476" s="555"/>
      <c r="AB476" s="605"/>
      <c r="AC476" s="555"/>
      <c r="AD476" s="605"/>
      <c r="AE476" s="555"/>
      <c r="AF476" s="605"/>
      <c r="AG476" s="555"/>
      <c r="AH476" s="605"/>
      <c r="AI476" s="555"/>
      <c r="AJ476" s="605"/>
      <c r="AK476" s="555"/>
      <c r="AL476" s="605"/>
      <c r="AM476" s="555"/>
      <c r="AN476" s="605"/>
      <c r="AO476" s="555"/>
      <c r="AP476" s="605"/>
      <c r="AQ476" s="555"/>
      <c r="AR476" s="605"/>
      <c r="AS476" s="555"/>
      <c r="AT476" s="605"/>
      <c r="AU476" s="555"/>
      <c r="AV476" s="605"/>
      <c r="AW476" s="555"/>
      <c r="AX476" s="605"/>
      <c r="AY476" s="555"/>
      <c r="AZ476" s="605"/>
      <c r="BA476" s="555"/>
      <c r="BB476" s="605"/>
      <c r="BC476" s="555"/>
      <c r="BD476" s="605"/>
      <c r="BE476" s="555"/>
      <c r="BF476" s="605"/>
      <c r="BG476" s="555"/>
      <c r="BH476" s="605"/>
      <c r="BI476" s="555"/>
      <c r="BJ476" s="605"/>
      <c r="BK476" s="555"/>
      <c r="BL476" s="605"/>
      <c r="BM476" s="555"/>
      <c r="BN476" s="605"/>
      <c r="BO476" s="555"/>
      <c r="BP476" s="605"/>
      <c r="BQ476" s="555"/>
      <c r="BR476" s="605"/>
      <c r="BS476" s="555"/>
      <c r="BT476" s="605"/>
      <c r="BU476" s="555"/>
      <c r="BV476" s="605"/>
      <c r="BW476" s="555"/>
      <c r="BX476" s="605"/>
      <c r="BY476" s="555"/>
      <c r="BZ476" s="605"/>
      <c r="CA476" s="555"/>
      <c r="CB476" s="605"/>
      <c r="CC476" s="555"/>
      <c r="CD476" s="605"/>
      <c r="CE476" s="555"/>
      <c r="CF476" s="605"/>
      <c r="CG476" s="555"/>
      <c r="CH476" s="605"/>
      <c r="CI476" s="555"/>
      <c r="CJ476" s="605"/>
      <c r="CK476" s="555"/>
      <c r="CL476" s="605"/>
      <c r="CM476" s="555"/>
      <c r="CN476" s="605"/>
      <c r="CO476" s="555"/>
      <c r="CP476" s="605"/>
      <c r="CQ476" s="555"/>
      <c r="CR476" s="605"/>
      <c r="CS476" s="555"/>
      <c r="CT476" s="605"/>
      <c r="CU476" s="555"/>
      <c r="CV476" s="605"/>
      <c r="CW476" s="555"/>
      <c r="CX476" s="605"/>
      <c r="CY476" s="555"/>
      <c r="CZ476" s="605"/>
      <c r="DA476" s="555"/>
      <c r="DB476" s="605"/>
      <c r="DC476" s="605"/>
      <c r="DD476" s="555"/>
      <c r="DE476" s="605"/>
      <c r="DF476" s="555"/>
      <c r="DG476" s="605"/>
      <c r="DH476" s="555"/>
      <c r="DI476" s="605"/>
      <c r="DJ476" s="555"/>
      <c r="DK476" s="605"/>
      <c r="DL476" s="555"/>
      <c r="DM476" s="605"/>
      <c r="DN476" s="555"/>
      <c r="DO476" s="605"/>
      <c r="DP476" s="555"/>
      <c r="DQ476" s="605"/>
      <c r="DR476" s="555"/>
      <c r="DS476" s="605"/>
      <c r="DT476" s="555"/>
      <c r="DU476" s="605"/>
      <c r="DV476" s="555"/>
      <c r="DW476" s="605"/>
      <c r="DX476" s="555"/>
      <c r="DY476" s="605"/>
      <c r="DZ476" s="555"/>
      <c r="EA476" s="605"/>
      <c r="EB476" s="555"/>
      <c r="EC476" s="605"/>
      <c r="ED476" s="555"/>
      <c r="EE476" s="605"/>
      <c r="EF476" s="555"/>
      <c r="EG476" s="605"/>
      <c r="EH476" s="555"/>
      <c r="EI476" s="605"/>
      <c r="EJ476" s="555"/>
      <c r="EK476" s="605"/>
      <c r="EL476" s="555"/>
      <c r="EM476" s="555"/>
    </row>
    <row r="477" spans="1:144" ht="12.75" hidden="1" customHeight="1" outlineLevel="1" x14ac:dyDescent="0.2">
      <c r="A477" s="579" t="str">
        <f>INPUT!B384</f>
        <v>Pretax Margin</v>
      </c>
      <c r="B477" s="597">
        <f>INPUT!AY384</f>
        <v>18.867924528301888</v>
      </c>
      <c r="C477" s="577">
        <f>INPUT!AZ384</f>
        <v>22.167176135764734</v>
      </c>
      <c r="D477" s="597">
        <f>INPUT!BA384</f>
        <v>18.952618453865338</v>
      </c>
      <c r="E477" s="577">
        <f>INPUT!BB384</f>
        <v>12.265783628360822</v>
      </c>
      <c r="F477" s="597">
        <f>INPUT!BC384</f>
        <v>20.3125</v>
      </c>
      <c r="G477" s="577">
        <f>INPUT!BD384</f>
        <v>2.1241359447004413</v>
      </c>
      <c r="H477" s="597">
        <f>INPUT!BE384</f>
        <v>18.619582664526487</v>
      </c>
      <c r="I477" s="577">
        <f>INPUT!BF384</f>
        <v>-6.6581620136401511</v>
      </c>
      <c r="J477" s="597">
        <f>INPUT!BG384</f>
        <v>19.793966151582048</v>
      </c>
      <c r="K477" s="577">
        <f>INPUT!BH384</f>
        <v>4.9080206033848413</v>
      </c>
      <c r="L477" s="597">
        <f>INPUT!BI384</f>
        <v>19.342507645259939</v>
      </c>
      <c r="M477" s="577">
        <f>INPUT!BJ384</f>
        <v>2.0571784967004589</v>
      </c>
      <c r="N477" s="597">
        <f>INPUT!BK384</f>
        <v>19.791666666666664</v>
      </c>
      <c r="O477" s="577">
        <f>INPUT!BL384</f>
        <v>-2.5641025641025834</v>
      </c>
      <c r="P477" s="597">
        <f>INPUT!BM384</f>
        <v>16.535994297933001</v>
      </c>
      <c r="Q477" s="577">
        <f>INPUT!BN384</f>
        <v>-11.190306486101221</v>
      </c>
      <c r="R477" s="597">
        <f>INPUT!BO384</f>
        <v>18.072289156626507</v>
      </c>
      <c r="S477" s="577">
        <f>INPUT!BP384</f>
        <v>-8.6979889819501182</v>
      </c>
      <c r="T477" s="597">
        <f>INPUT!BQ384</f>
        <v>19.207521826729348</v>
      </c>
      <c r="U477" s="577">
        <f>INPUT!BR384</f>
        <v>-0.69787134639530279</v>
      </c>
      <c r="V477" s="597">
        <f>INPUT!BS384</f>
        <v>20.041039671682626</v>
      </c>
      <c r="W477" s="577">
        <f>INPUT!BT384</f>
        <v>1.2599899200806561</v>
      </c>
      <c r="X477" s="597">
        <f>INPUT!BU384</f>
        <v>17.46987951807229</v>
      </c>
      <c r="Y477" s="577">
        <f>INPUT!BV384</f>
        <v>5.6475903614457792</v>
      </c>
      <c r="Z477" s="597">
        <f>INPUT!BW384</f>
        <v>17.904993909866018</v>
      </c>
      <c r="AA477" s="577">
        <f>INPUT!BX384</f>
        <v>-0.92570036540803358</v>
      </c>
      <c r="AB477" s="597">
        <f>INPUT!BY384</f>
        <v>20.467836257309941</v>
      </c>
      <c r="AC477" s="577">
        <f>INPUT!BZ384</f>
        <v>6.5615670878828638</v>
      </c>
      <c r="AD477" s="597">
        <f>INPUT!CA384</f>
        <v>19.423558897243108</v>
      </c>
      <c r="AE477" s="577">
        <f>INPUT!CB384</f>
        <v>-3.0810815434490593</v>
      </c>
      <c r="AF477" s="597">
        <f>INPUT!CC384</f>
        <v>18.127250900360146</v>
      </c>
      <c r="AG477" s="577">
        <f>INPUT!CD384</f>
        <v>3.7628844641304937</v>
      </c>
      <c r="AH477" s="586">
        <f>INPUT!CE384</f>
        <v>16.301969365426697</v>
      </c>
      <c r="AI477" s="577">
        <f>INPUT!CF384</f>
        <v>-8.9529466053379707</v>
      </c>
      <c r="AJ477" s="586">
        <f>INPUT!CG384</f>
        <v>15.652687536916716</v>
      </c>
      <c r="AK477" s="577">
        <f>INPUT!CH384</f>
        <v>-23.525440891064036</v>
      </c>
      <c r="AL477" s="586">
        <f>INPUT!CI384</f>
        <v>16.210295728368017</v>
      </c>
      <c r="AM477" s="577">
        <f>INPUT!CJ384</f>
        <v>-16.543122637176282</v>
      </c>
      <c r="AN477" s="586">
        <f>INPUT!CK384</f>
        <v>15.223097112860891</v>
      </c>
      <c r="AO477" s="577">
        <f>INPUT!CL384</f>
        <v>-16.020927847595217</v>
      </c>
      <c r="AP477" s="586">
        <f>INPUT!CM384</f>
        <v>14.306151645207441</v>
      </c>
      <c r="AQ477" s="577">
        <f>INPUT!CN384</f>
        <v>-12.242801317318126</v>
      </c>
      <c r="AR477" s="586">
        <f>INPUT!CO384</f>
        <v>16.203703703703702</v>
      </c>
      <c r="AS477" s="577">
        <f>INPUT!CP384</f>
        <v>3.520265548567437</v>
      </c>
      <c r="AT477" s="586">
        <f>INPUT!CQ384</f>
        <v>15.944123314065511</v>
      </c>
      <c r="AU477" s="577">
        <f>INPUT!CR384</f>
        <v>-1.6419960422850579</v>
      </c>
      <c r="AV477" s="586">
        <f>INPUT!CS384</f>
        <v>14.388489208633093</v>
      </c>
      <c r="AW477" s="577">
        <f>INPUT!CT384</f>
        <v>-5.4825105432895072</v>
      </c>
      <c r="AX477" s="586">
        <f>INPUT!CU384</f>
        <v>16.486836426413465</v>
      </c>
      <c r="AY477" s="577">
        <f>INPUT!CV384</f>
        <v>15.242986620630106</v>
      </c>
      <c r="AZ477" s="586">
        <f>INPUT!CW384</f>
        <v>17.062043795620436</v>
      </c>
      <c r="BA477" s="577">
        <f>INPUT!CX384</f>
        <v>5.2971845672575597</v>
      </c>
      <c r="BB477" s="586">
        <f>INPUT!CY384</f>
        <v>17.568171658471165</v>
      </c>
      <c r="BC477" s="577">
        <f>INPUT!CZ384</f>
        <v>10.185874208417346</v>
      </c>
      <c r="BD477" s="586">
        <f>INPUT!DA384</f>
        <v>14.716312056737587</v>
      </c>
      <c r="BE477" s="577">
        <f>INPUT!DB384</f>
        <v>2.2783687943262407</v>
      </c>
      <c r="BF477" s="586">
        <f>INPUT!DC384</f>
        <v>17.273843634875153</v>
      </c>
      <c r="BG477" s="577">
        <f>INPUT!DD384</f>
        <v>4.7735489581301778</v>
      </c>
      <c r="BH477" s="586">
        <f>INPUT!DE384</f>
        <v>17.052826691380911</v>
      </c>
      <c r="BI477" s="577">
        <f>INPUT!DF384</f>
        <v>-5.4021102922561681E-2</v>
      </c>
      <c r="BJ477" s="586">
        <f>INPUT!DG384</f>
        <v>19.512195121951219</v>
      </c>
      <c r="BK477" s="577">
        <f>INPUT!DH384</f>
        <v>11.065599205610383</v>
      </c>
      <c r="BL477" s="586">
        <f>INPUT!DI384</f>
        <v>13.747731397459164</v>
      </c>
      <c r="BM477" s="577">
        <f>INPUT!DJ384</f>
        <v>-6.5816806244943393</v>
      </c>
      <c r="BN477" s="586">
        <f>INPUT!DK384</f>
        <v>16.901976603469141</v>
      </c>
      <c r="BO477" s="577">
        <f>INPUT!DL384</f>
        <v>-2.1527752552722461</v>
      </c>
      <c r="BP477" s="586">
        <f>INPUT!DM384</f>
        <v>16.895179124281292</v>
      </c>
      <c r="BQ477" s="577">
        <f>INPUT!DN384</f>
        <v>-0.92446589619831343</v>
      </c>
      <c r="BR477" s="586">
        <f>INPUT!DO384</f>
        <v>18.126094570928196</v>
      </c>
      <c r="BS477" s="577">
        <f>INPUT!DP384</f>
        <v>-7.1037653239929881</v>
      </c>
      <c r="BT477" s="586">
        <f>INPUT!DQ384</f>
        <v>16.674097191261701</v>
      </c>
      <c r="BU477" s="577">
        <f>INPUT!DR384</f>
        <v>21.286172308715479</v>
      </c>
      <c r="BV477" s="586">
        <f>INPUT!DS384</f>
        <v>17.977067977067975</v>
      </c>
      <c r="BW477" s="577">
        <f>INPUT!DT384</f>
        <v>6.3607434729152885</v>
      </c>
      <c r="BX477" s="586">
        <f>INPUT!DU384</f>
        <v>17.077543702375618</v>
      </c>
      <c r="BY477" s="577">
        <f>INPUT!DV384</f>
        <v>1.0793882488776774</v>
      </c>
      <c r="BZ477" s="586">
        <f>INPUT!DW384</f>
        <v>17.68888888888889</v>
      </c>
      <c r="CA477" s="577">
        <f>INPUT!DX384</f>
        <v>-2.412023617820708</v>
      </c>
      <c r="CB477" s="586">
        <f>INPUT!DY384</f>
        <v>16.318363717207649</v>
      </c>
      <c r="CC477" s="577">
        <f>INPUT!DZ384</f>
        <v>-2.1334496853027787</v>
      </c>
      <c r="CD477" s="586">
        <f>INPUT!EA384</f>
        <v>16.021883548261041</v>
      </c>
      <c r="CE477" s="577">
        <f>INPUT!EB384</f>
        <v>-10.875991742930609</v>
      </c>
      <c r="CF477" s="586">
        <f>INPUT!EC384</f>
        <v>14.191146048820851</v>
      </c>
      <c r="CG477" s="577">
        <f>INPUT!ED384</f>
        <v>-16.901714344043782</v>
      </c>
      <c r="CH477" s="586">
        <f>INPUT!EE384</f>
        <v>15.436241610738255</v>
      </c>
      <c r="CI477" s="577">
        <f>INPUT!EF384</f>
        <v>-12.734815014670673</v>
      </c>
      <c r="CJ477" s="586">
        <f>INPUT!EG384</f>
        <v>15.946709729511504</v>
      </c>
      <c r="CK477" s="577">
        <f>INPUT!EH384</f>
        <v>-2.2775199409499436</v>
      </c>
      <c r="CL477" s="586">
        <f>INPUT!EI384</f>
        <v>14.686825053995682</v>
      </c>
      <c r="CM477" s="577">
        <f>INPUT!EJ384</f>
        <v>-8.3327187483537983</v>
      </c>
      <c r="CN477" s="586">
        <f>INPUT!EK384</f>
        <v>12.766783081102057</v>
      </c>
      <c r="CO477" s="577">
        <f>INPUT!EL384</f>
        <v>-10.036983361447014</v>
      </c>
      <c r="CP477" s="586">
        <f>INPUT!EM384</f>
        <v>14.198705748001522</v>
      </c>
      <c r="CQ477" s="577">
        <f>INPUT!EN384</f>
        <v>-8.0170801542510048</v>
      </c>
      <c r="CR477" s="586">
        <f>INPUT!EO384</f>
        <v>14.387678437265214</v>
      </c>
      <c r="CS477" s="577">
        <f>INPUT!EP384</f>
        <v>-9.7765076225166183</v>
      </c>
      <c r="CT477" s="586">
        <f>INPUT!EQ384</f>
        <v>14.967407858363217</v>
      </c>
      <c r="CU477" s="577">
        <f>INPUT!ER384</f>
        <v>1.9104388003260198</v>
      </c>
      <c r="CV477" s="586">
        <f>INPUT!ES384</f>
        <v>14.982560741378755</v>
      </c>
      <c r="CW477" s="577">
        <f>INPUT!ET384</f>
        <v>17.355802524416575</v>
      </c>
      <c r="CX477" s="586">
        <f>INPUT!EU384</f>
        <v>14.224993921025137</v>
      </c>
      <c r="CY477" s="577">
        <f>INPUT!EV384</f>
        <v>0.18514485397595593</v>
      </c>
      <c r="CZ477" s="586">
        <f>INPUT!EW384</f>
        <v>14.326994376608956</v>
      </c>
      <c r="DA477" s="577">
        <f>INPUT!EX384</f>
        <v>-0.42177798816437928</v>
      </c>
      <c r="DB477" s="597"/>
      <c r="DC477" s="597">
        <f>INPUT!FP384</f>
        <v>18.027666220437304</v>
      </c>
      <c r="DD477" s="577">
        <f>INPUT!FQ384</f>
        <v>19.15762294052152</v>
      </c>
      <c r="DE477" s="597">
        <f>INPUT!FR384</f>
        <v>19.185094185094183</v>
      </c>
      <c r="DF477" s="577">
        <f>INPUT!FS384</f>
        <v>6.4202872990001651</v>
      </c>
      <c r="DG477" s="597">
        <f>INPUT!FT384</f>
        <v>18.840044329516068</v>
      </c>
      <c r="DH477" s="577">
        <f>INPUT!FU384</f>
        <v>-1.7985309441232715</v>
      </c>
      <c r="DI477" s="597">
        <f>INPUT!FV384</f>
        <v>16.597372359886911</v>
      </c>
      <c r="DJ477" s="577">
        <f>INPUT!FW384</f>
        <v>-11.903751023110061</v>
      </c>
      <c r="DK477" s="586">
        <f>INPUT!FX384</f>
        <v>16.56499296105115</v>
      </c>
      <c r="DL477" s="577">
        <f>INPUT!FY384</f>
        <v>-0.19508750019983268</v>
      </c>
      <c r="DM477" s="586">
        <f>INPUT!FZ384</f>
        <v>15.843905129619415</v>
      </c>
      <c r="DN477" s="577">
        <f>INPUT!GA384</f>
        <v>-4.3530826311077249</v>
      </c>
      <c r="DO477" s="586">
        <f>INPUT!GB384</f>
        <v>15.191416727627407</v>
      </c>
      <c r="DP477" s="577">
        <f>INPUT!GC384</f>
        <v>-4.1182296703620835</v>
      </c>
      <c r="DQ477" s="586">
        <f>INPUT!GD384</f>
        <v>16.451899577871583</v>
      </c>
      <c r="DR477" s="577">
        <f>INPUT!GE384</f>
        <v>8.2973357445447249</v>
      </c>
      <c r="DS477" s="586">
        <f>INPUT!GF384</f>
        <v>16.896858988638897</v>
      </c>
      <c r="DT477" s="577">
        <f>INPUT!GG384</f>
        <v>2.7046081132527746</v>
      </c>
      <c r="DU477" s="586">
        <f>INPUT!GH384</f>
        <v>17.146865220675515</v>
      </c>
      <c r="DV477" s="577">
        <f>INPUT!GI384</f>
        <v>1.4796018135957496</v>
      </c>
      <c r="DW477" s="586">
        <f>INPUT!GJ384</f>
        <v>17.280854775403402</v>
      </c>
      <c r="DX477" s="577">
        <f>INPUT!GK384</f>
        <v>0.78142303565972782</v>
      </c>
      <c r="DY477" s="586">
        <f>INPUT!GL384</f>
        <v>15.411576206689364</v>
      </c>
      <c r="DZ477" s="577">
        <f>INPUT!GM384</f>
        <v>-10.817049231700409</v>
      </c>
      <c r="EA477" s="586">
        <f>INPUT!GN384</f>
        <v>14.026681698609544</v>
      </c>
      <c r="EB477" s="577">
        <f>INPUT!GO384</f>
        <v>-8.9860666391715966</v>
      </c>
      <c r="EC477" s="586">
        <f>INPUT!GP384</f>
        <v>14.627680958486671</v>
      </c>
      <c r="ED477" s="577">
        <f>INPUT!GQ384</f>
        <v>4.2846859491842935</v>
      </c>
      <c r="EE477" s="586">
        <f>INPUT!GR384</f>
        <v>14.622304918586002</v>
      </c>
      <c r="EF477" s="577">
        <f>INPUT!GS384</f>
        <v>-3.6752509956471613E-2</v>
      </c>
      <c r="EG477" s="586">
        <f>INPUT!GT384</f>
        <v>14.61656702984588</v>
      </c>
      <c r="EH477" s="577">
        <f>INPUT!GU384</f>
        <v>-3.9240658514984261E-2</v>
      </c>
      <c r="EI477" s="586">
        <f>INPUT!GV384</f>
        <v>14.610442937055918</v>
      </c>
      <c r="EJ477" s="577">
        <f>INPUT!GW384</f>
        <v>-4.1898297852412725E-2</v>
      </c>
      <c r="EK477" s="586">
        <f>INPUT!GX384</f>
        <v>14.603906645712813</v>
      </c>
      <c r="EL477" s="577">
        <f>INPUT!GY384</f>
        <v>-4.4737119683944115E-2</v>
      </c>
      <c r="EM477" s="577">
        <f>INPUT!GZ384</f>
        <v>0.80981581176047257</v>
      </c>
    </row>
    <row r="478" spans="1:144" ht="12.75" hidden="1" customHeight="1" outlineLevel="1" x14ac:dyDescent="0.2">
      <c r="A478" s="575"/>
      <c r="B478" s="581"/>
      <c r="C478" s="577"/>
      <c r="D478" s="581"/>
      <c r="E478" s="577"/>
      <c r="F478" s="581"/>
      <c r="G478" s="577"/>
      <c r="H478" s="581"/>
      <c r="I478" s="577"/>
      <c r="J478" s="581"/>
      <c r="K478" s="577"/>
      <c r="L478" s="581"/>
      <c r="M478" s="577"/>
      <c r="N478" s="581"/>
      <c r="O478" s="577"/>
      <c r="P478" s="581"/>
      <c r="Q478" s="577"/>
      <c r="R478" s="581"/>
      <c r="S478" s="577"/>
      <c r="T478" s="581"/>
      <c r="U478" s="577"/>
      <c r="V478" s="581"/>
      <c r="W478" s="577"/>
      <c r="X478" s="581"/>
      <c r="Y478" s="577"/>
      <c r="Z478" s="581"/>
      <c r="AA478" s="577"/>
      <c r="AB478" s="581"/>
      <c r="AC478" s="577"/>
      <c r="AD478" s="581"/>
      <c r="AE478" s="577"/>
      <c r="AF478" s="581"/>
      <c r="AG478" s="577"/>
      <c r="AH478" s="581"/>
      <c r="AI478" s="577"/>
      <c r="AJ478" s="581"/>
      <c r="AK478" s="577"/>
      <c r="AL478" s="581"/>
      <c r="AM478" s="577"/>
      <c r="AN478" s="581"/>
      <c r="AO478" s="577"/>
      <c r="AP478" s="581"/>
      <c r="AQ478" s="577"/>
      <c r="AR478" s="581"/>
      <c r="AS478" s="577"/>
      <c r="AT478" s="581"/>
      <c r="AU478" s="577"/>
      <c r="AV478" s="581"/>
      <c r="AW478" s="577"/>
      <c r="AX478" s="581"/>
      <c r="AY478" s="577"/>
      <c r="AZ478" s="581"/>
      <c r="BA478" s="577"/>
      <c r="BB478" s="581"/>
      <c r="BC478" s="577"/>
      <c r="BD478" s="581"/>
      <c r="BE478" s="577"/>
      <c r="BF478" s="581"/>
      <c r="BG478" s="577"/>
      <c r="BH478" s="581"/>
      <c r="BI478" s="577"/>
      <c r="BJ478" s="581"/>
      <c r="BK478" s="577"/>
      <c r="BL478" s="581"/>
      <c r="BM478" s="577"/>
      <c r="BN478" s="581"/>
      <c r="BO478" s="577"/>
      <c r="BP478" s="581"/>
      <c r="BQ478" s="577"/>
      <c r="BR478" s="581"/>
      <c r="BS478" s="577"/>
      <c r="BT478" s="581"/>
      <c r="BU478" s="577"/>
      <c r="BV478" s="581"/>
      <c r="BW478" s="577"/>
      <c r="BX478" s="581"/>
      <c r="BY478" s="577"/>
      <c r="BZ478" s="581"/>
      <c r="CA478" s="577"/>
      <c r="CB478" s="581"/>
      <c r="CC478" s="577"/>
      <c r="CD478" s="581"/>
      <c r="CE478" s="577"/>
      <c r="CF478" s="581"/>
      <c r="CG478" s="577"/>
      <c r="CH478" s="581"/>
      <c r="CI478" s="577"/>
      <c r="CJ478" s="581"/>
      <c r="CK478" s="577"/>
      <c r="CL478" s="581"/>
      <c r="CM478" s="577"/>
      <c r="CN478" s="581"/>
      <c r="CO478" s="577"/>
      <c r="CP478" s="581"/>
      <c r="CQ478" s="577"/>
      <c r="CR478" s="581"/>
      <c r="CS478" s="577"/>
      <c r="CT478" s="581"/>
      <c r="CU478" s="577"/>
      <c r="CV478" s="581"/>
      <c r="CW478" s="577"/>
      <c r="CX478" s="581"/>
      <c r="CY478" s="577"/>
      <c r="CZ478" s="581"/>
      <c r="DA478" s="577"/>
      <c r="DB478" s="581"/>
      <c r="DC478" s="581"/>
      <c r="DD478" s="577"/>
      <c r="DE478" s="581"/>
      <c r="DF478" s="577"/>
      <c r="DG478" s="581"/>
      <c r="DH478" s="577"/>
      <c r="DI478" s="581"/>
      <c r="DJ478" s="577"/>
      <c r="DK478" s="581"/>
      <c r="DL478" s="577"/>
      <c r="DM478" s="581"/>
      <c r="DN478" s="577"/>
      <c r="DO478" s="581"/>
      <c r="DP478" s="577"/>
      <c r="DQ478" s="581"/>
      <c r="DR478" s="577"/>
      <c r="DS478" s="581"/>
      <c r="DT478" s="577"/>
      <c r="DU478" s="581"/>
      <c r="DV478" s="577"/>
      <c r="DW478" s="581"/>
      <c r="DX478" s="577"/>
      <c r="DY478" s="581"/>
      <c r="DZ478" s="577"/>
      <c r="EA478" s="581"/>
      <c r="EB478" s="577"/>
      <c r="EC478" s="581"/>
      <c r="ED478" s="577"/>
      <c r="EE478" s="581"/>
      <c r="EF478" s="577"/>
      <c r="EG478" s="581"/>
      <c r="EH478" s="577"/>
      <c r="EI478" s="581"/>
      <c r="EJ478" s="577"/>
      <c r="EK478" s="581"/>
      <c r="EL478" s="577"/>
      <c r="EM478" s="577"/>
    </row>
    <row r="479" spans="1:144" ht="12.75" hidden="1" customHeight="1" outlineLevel="1" x14ac:dyDescent="0.2">
      <c r="A479" s="575" t="s">
        <v>498</v>
      </c>
      <c r="B479" s="581"/>
      <c r="C479" s="577"/>
      <c r="D479" s="581"/>
      <c r="E479" s="577"/>
      <c r="F479" s="581"/>
      <c r="G479" s="577"/>
      <c r="H479" s="581"/>
      <c r="I479" s="577"/>
      <c r="J479" s="581"/>
      <c r="K479" s="577"/>
      <c r="L479" s="581"/>
      <c r="M479" s="577"/>
      <c r="N479" s="581"/>
      <c r="O479" s="577"/>
      <c r="P479" s="581"/>
      <c r="Q479" s="577"/>
      <c r="R479" s="581"/>
      <c r="S479" s="577"/>
      <c r="T479" s="581"/>
      <c r="U479" s="577"/>
      <c r="V479" s="581"/>
      <c r="W479" s="577"/>
      <c r="X479" s="581"/>
      <c r="Y479" s="577"/>
      <c r="Z479" s="581"/>
      <c r="AA479" s="577"/>
      <c r="AB479" s="581"/>
      <c r="AC479" s="577"/>
      <c r="AD479" s="581"/>
      <c r="AE479" s="577"/>
      <c r="AF479" s="581"/>
      <c r="AG479" s="577"/>
      <c r="AH479" s="581"/>
      <c r="AI479" s="577"/>
      <c r="AJ479" s="581"/>
      <c r="AK479" s="577"/>
      <c r="AL479" s="581"/>
      <c r="AM479" s="577"/>
      <c r="AN479" s="581"/>
      <c r="AO479" s="577"/>
      <c r="AP479" s="581"/>
      <c r="AQ479" s="577"/>
      <c r="AR479" s="581"/>
      <c r="AS479" s="577"/>
      <c r="AT479" s="581"/>
      <c r="AU479" s="577"/>
      <c r="AV479" s="581"/>
      <c r="AW479" s="577"/>
      <c r="AX479" s="581"/>
      <c r="AY479" s="577"/>
      <c r="AZ479" s="581"/>
      <c r="BA479" s="577"/>
      <c r="BB479" s="581"/>
      <c r="BC479" s="577"/>
      <c r="BD479" s="581"/>
      <c r="BE479" s="577"/>
      <c r="BF479" s="581"/>
      <c r="BG479" s="577"/>
      <c r="BH479" s="581"/>
      <c r="BI479" s="577"/>
      <c r="BJ479" s="581"/>
      <c r="BK479" s="577"/>
      <c r="BL479" s="581"/>
      <c r="BM479" s="577"/>
      <c r="BN479" s="581"/>
      <c r="BO479" s="577"/>
      <c r="BP479" s="581"/>
      <c r="BQ479" s="577"/>
      <c r="BR479" s="581"/>
      <c r="BS479" s="577"/>
      <c r="BT479" s="581"/>
      <c r="BU479" s="577"/>
      <c r="BV479" s="581"/>
      <c r="BW479" s="577"/>
      <c r="BX479" s="581"/>
      <c r="BY479" s="577"/>
      <c r="BZ479" s="581"/>
      <c r="CA479" s="577"/>
      <c r="CB479" s="581"/>
      <c r="CC479" s="577"/>
      <c r="CD479" s="581"/>
      <c r="CE479" s="577"/>
      <c r="CF479" s="581"/>
      <c r="CG479" s="577"/>
      <c r="CH479" s="581"/>
      <c r="CI479" s="577"/>
      <c r="CJ479" s="581"/>
      <c r="CK479" s="577"/>
      <c r="CL479" s="581"/>
      <c r="CM479" s="577"/>
      <c r="CN479" s="581"/>
      <c r="CO479" s="577"/>
      <c r="CP479" s="581"/>
      <c r="CQ479" s="577"/>
      <c r="CR479" s="581"/>
      <c r="CS479" s="577"/>
      <c r="CT479" s="581"/>
      <c r="CU479" s="577"/>
      <c r="CV479" s="581"/>
      <c r="CW479" s="577"/>
      <c r="CX479" s="581"/>
      <c r="CY479" s="577"/>
      <c r="CZ479" s="581"/>
      <c r="DA479" s="577"/>
      <c r="DB479" s="581"/>
      <c r="DC479" s="581"/>
      <c r="DD479" s="577"/>
      <c r="DE479" s="581"/>
      <c r="DF479" s="577"/>
      <c r="DG479" s="581"/>
      <c r="DH479" s="577"/>
      <c r="DI479" s="581"/>
      <c r="DJ479" s="577"/>
      <c r="DK479" s="581"/>
      <c r="DL479" s="577"/>
      <c r="DM479" s="581"/>
      <c r="DN479" s="577"/>
      <c r="DO479" s="581"/>
      <c r="DP479" s="577"/>
      <c r="DQ479" s="581"/>
      <c r="DR479" s="577"/>
      <c r="DS479" s="581"/>
      <c r="DT479" s="577"/>
      <c r="DU479" s="581"/>
      <c r="DV479" s="577"/>
      <c r="DW479" s="581"/>
      <c r="DX479" s="577"/>
      <c r="DY479" s="581"/>
      <c r="DZ479" s="577"/>
      <c r="EA479" s="581"/>
      <c r="EB479" s="577"/>
      <c r="EC479" s="581"/>
      <c r="ED479" s="577"/>
      <c r="EE479" s="581"/>
      <c r="EF479" s="577"/>
      <c r="EG479" s="581"/>
      <c r="EH479" s="577"/>
      <c r="EI479" s="581"/>
      <c r="EJ479" s="577"/>
      <c r="EK479" s="581"/>
      <c r="EL479" s="577"/>
      <c r="EM479" s="577"/>
    </row>
    <row r="480" spans="1:144" ht="12.75" hidden="1" customHeight="1" outlineLevel="1" x14ac:dyDescent="0.2">
      <c r="A480" s="579" t="s">
        <v>68</v>
      </c>
      <c r="B480" s="586" t="e">
        <f>INPUT!#REF!</f>
        <v>#REF!</v>
      </c>
      <c r="C480" s="577" t="e">
        <f>INPUT!#REF!</f>
        <v>#REF!</v>
      </c>
      <c r="D480" s="586" t="e">
        <f>INPUT!#REF!</f>
        <v>#REF!</v>
      </c>
      <c r="E480" s="577" t="e">
        <f>INPUT!#REF!</f>
        <v>#REF!</v>
      </c>
      <c r="F480" s="586" t="e">
        <f>INPUT!#REF!</f>
        <v>#REF!</v>
      </c>
      <c r="G480" s="577" t="e">
        <f>INPUT!#REF!</f>
        <v>#REF!</v>
      </c>
      <c r="H480" s="586" t="e">
        <f>INPUT!#REF!</f>
        <v>#REF!</v>
      </c>
      <c r="I480" s="577" t="e">
        <f>INPUT!#REF!</f>
        <v>#REF!</v>
      </c>
      <c r="J480" s="586" t="e">
        <f>INPUT!#REF!</f>
        <v>#REF!</v>
      </c>
      <c r="K480" s="577" t="e">
        <f>INPUT!#REF!</f>
        <v>#REF!</v>
      </c>
      <c r="L480" s="586" t="e">
        <f>INPUT!#REF!</f>
        <v>#REF!</v>
      </c>
      <c r="M480" s="577" t="e">
        <f>INPUT!#REF!</f>
        <v>#REF!</v>
      </c>
      <c r="N480" s="586" t="e">
        <f>INPUT!#REF!</f>
        <v>#REF!</v>
      </c>
      <c r="O480" s="577" t="e">
        <f>INPUT!#REF!</f>
        <v>#REF!</v>
      </c>
      <c r="P480" s="586" t="e">
        <f>INPUT!#REF!</f>
        <v>#REF!</v>
      </c>
      <c r="Q480" s="577" t="e">
        <f>INPUT!#REF!</f>
        <v>#REF!</v>
      </c>
      <c r="R480" s="586" t="e">
        <f>INPUT!#REF!</f>
        <v>#REF!</v>
      </c>
      <c r="S480" s="577" t="e">
        <f>INPUT!#REF!</f>
        <v>#REF!</v>
      </c>
      <c r="T480" s="586" t="e">
        <f>INPUT!#REF!</f>
        <v>#REF!</v>
      </c>
      <c r="U480" s="577" t="e">
        <f>INPUT!#REF!</f>
        <v>#REF!</v>
      </c>
      <c r="V480" s="586" t="e">
        <f>INPUT!#REF!</f>
        <v>#REF!</v>
      </c>
      <c r="W480" s="577" t="e">
        <f>INPUT!#REF!</f>
        <v>#REF!</v>
      </c>
      <c r="X480" s="586" t="e">
        <f>INPUT!#REF!</f>
        <v>#REF!</v>
      </c>
      <c r="Y480" s="577" t="e">
        <f>INPUT!#REF!</f>
        <v>#REF!</v>
      </c>
      <c r="Z480" s="586" t="e">
        <f>INPUT!#REF!</f>
        <v>#REF!</v>
      </c>
      <c r="AA480" s="577" t="e">
        <f>INPUT!#REF!</f>
        <v>#REF!</v>
      </c>
      <c r="AB480" s="586" t="e">
        <f>INPUT!#REF!</f>
        <v>#REF!</v>
      </c>
      <c r="AC480" s="577" t="e">
        <f>INPUT!#REF!</f>
        <v>#REF!</v>
      </c>
      <c r="AD480" s="586" t="e">
        <f>INPUT!#REF!</f>
        <v>#REF!</v>
      </c>
      <c r="AE480" s="577" t="e">
        <f>INPUT!#REF!</f>
        <v>#REF!</v>
      </c>
      <c r="AF480" s="586" t="e">
        <f>INPUT!#REF!</f>
        <v>#REF!</v>
      </c>
      <c r="AG480" s="577" t="e">
        <f>INPUT!#REF!</f>
        <v>#REF!</v>
      </c>
      <c r="AH480" s="586" t="e">
        <f>INPUT!#REF!</f>
        <v>#REF!</v>
      </c>
      <c r="AI480" s="577" t="e">
        <f>INPUT!#REF!</f>
        <v>#REF!</v>
      </c>
      <c r="AJ480" s="586" t="e">
        <f>INPUT!#REF!</f>
        <v>#REF!</v>
      </c>
      <c r="AK480" s="577" t="e">
        <f>INPUT!#REF!</f>
        <v>#REF!</v>
      </c>
      <c r="AL480" s="586" t="e">
        <f>INPUT!#REF!</f>
        <v>#REF!</v>
      </c>
      <c r="AM480" s="577" t="e">
        <f>INPUT!#REF!</f>
        <v>#REF!</v>
      </c>
      <c r="AN480" s="586" t="e">
        <f>INPUT!#REF!</f>
        <v>#REF!</v>
      </c>
      <c r="AO480" s="577" t="e">
        <f>INPUT!#REF!</f>
        <v>#REF!</v>
      </c>
      <c r="AP480" s="586" t="e">
        <f>INPUT!#REF!</f>
        <v>#REF!</v>
      </c>
      <c r="AQ480" s="577" t="e">
        <f>INPUT!#REF!</f>
        <v>#REF!</v>
      </c>
      <c r="AR480" s="586" t="e">
        <f>INPUT!#REF!</f>
        <v>#REF!</v>
      </c>
      <c r="AS480" s="577" t="e">
        <f>INPUT!#REF!</f>
        <v>#REF!</v>
      </c>
      <c r="AT480" s="586" t="e">
        <f>INPUT!#REF!</f>
        <v>#REF!</v>
      </c>
      <c r="AU480" s="577" t="e">
        <f>INPUT!#REF!</f>
        <v>#REF!</v>
      </c>
      <c r="AV480" s="586" t="e">
        <f>INPUT!#REF!</f>
        <v>#REF!</v>
      </c>
      <c r="AW480" s="577" t="e">
        <f>INPUT!#REF!</f>
        <v>#REF!</v>
      </c>
      <c r="AX480" s="586" t="e">
        <f>INPUT!#REF!</f>
        <v>#REF!</v>
      </c>
      <c r="AY480" s="577" t="e">
        <f>INPUT!#REF!</f>
        <v>#REF!</v>
      </c>
      <c r="AZ480" s="586" t="e">
        <f>INPUT!#REF!</f>
        <v>#REF!</v>
      </c>
      <c r="BA480" s="577" t="e">
        <f>INPUT!#REF!</f>
        <v>#REF!</v>
      </c>
      <c r="BB480" s="586" t="e">
        <f>INPUT!#REF!</f>
        <v>#REF!</v>
      </c>
      <c r="BC480" s="577" t="e">
        <f>INPUT!#REF!</f>
        <v>#REF!</v>
      </c>
      <c r="BD480" s="586" t="e">
        <f>INPUT!#REF!</f>
        <v>#REF!</v>
      </c>
      <c r="BE480" s="577" t="e">
        <f>INPUT!#REF!</f>
        <v>#REF!</v>
      </c>
      <c r="BF480" s="586" t="e">
        <f>INPUT!#REF!</f>
        <v>#REF!</v>
      </c>
      <c r="BG480" s="577" t="e">
        <f>INPUT!#REF!</f>
        <v>#REF!</v>
      </c>
      <c r="BH480" s="586" t="e">
        <f>INPUT!#REF!</f>
        <v>#REF!</v>
      </c>
      <c r="BI480" s="577" t="e">
        <f>INPUT!#REF!</f>
        <v>#REF!</v>
      </c>
      <c r="BJ480" s="586" t="e">
        <f>INPUT!#REF!</f>
        <v>#REF!</v>
      </c>
      <c r="BK480" s="577" t="e">
        <f>INPUT!#REF!</f>
        <v>#REF!</v>
      </c>
      <c r="BL480" s="586" t="e">
        <f>INPUT!#REF!</f>
        <v>#REF!</v>
      </c>
      <c r="BM480" s="577" t="e">
        <f>INPUT!#REF!</f>
        <v>#REF!</v>
      </c>
      <c r="BN480" s="586" t="e">
        <f>INPUT!#REF!</f>
        <v>#REF!</v>
      </c>
      <c r="BO480" s="577" t="e">
        <f>INPUT!#REF!</f>
        <v>#REF!</v>
      </c>
      <c r="BP480" s="586" t="e">
        <f>INPUT!#REF!</f>
        <v>#REF!</v>
      </c>
      <c r="BQ480" s="577" t="e">
        <f>INPUT!#REF!</f>
        <v>#REF!</v>
      </c>
      <c r="BR480" s="586" t="e">
        <f>INPUT!#REF!</f>
        <v>#REF!</v>
      </c>
      <c r="BS480" s="577" t="e">
        <f>INPUT!#REF!</f>
        <v>#REF!</v>
      </c>
      <c r="BT480" s="586" t="e">
        <f>INPUT!#REF!</f>
        <v>#REF!</v>
      </c>
      <c r="BU480" s="577" t="e">
        <f>INPUT!#REF!</f>
        <v>#REF!</v>
      </c>
      <c r="BV480" s="586" t="e">
        <f>INPUT!#REF!</f>
        <v>#REF!</v>
      </c>
      <c r="BW480" s="577" t="e">
        <f>INPUT!#REF!</f>
        <v>#REF!</v>
      </c>
      <c r="BX480" s="586" t="e">
        <f>INPUT!#REF!</f>
        <v>#REF!</v>
      </c>
      <c r="BY480" s="577" t="e">
        <f>INPUT!#REF!</f>
        <v>#REF!</v>
      </c>
      <c r="BZ480" s="586" t="e">
        <f>INPUT!#REF!</f>
        <v>#REF!</v>
      </c>
      <c r="CA480" s="577" t="e">
        <f>INPUT!#REF!</f>
        <v>#REF!</v>
      </c>
      <c r="CB480" s="586" t="e">
        <f>INPUT!#REF!</f>
        <v>#REF!</v>
      </c>
      <c r="CC480" s="577" t="e">
        <f>INPUT!#REF!</f>
        <v>#REF!</v>
      </c>
      <c r="CD480" s="586" t="e">
        <f>INPUT!#REF!</f>
        <v>#REF!</v>
      </c>
      <c r="CE480" s="577" t="e">
        <f>INPUT!#REF!</f>
        <v>#REF!</v>
      </c>
      <c r="CF480" s="586" t="e">
        <f>INPUT!#REF!</f>
        <v>#REF!</v>
      </c>
      <c r="CG480" s="577" t="e">
        <f>INPUT!#REF!</f>
        <v>#REF!</v>
      </c>
      <c r="CH480" s="586" t="e">
        <f>INPUT!#REF!</f>
        <v>#REF!</v>
      </c>
      <c r="CI480" s="577" t="e">
        <f>INPUT!#REF!</f>
        <v>#REF!</v>
      </c>
      <c r="CJ480" s="586" t="e">
        <f>INPUT!#REF!</f>
        <v>#REF!</v>
      </c>
      <c r="CK480" s="577" t="e">
        <f>INPUT!#REF!</f>
        <v>#REF!</v>
      </c>
      <c r="CL480" s="586" t="e">
        <f>INPUT!#REF!</f>
        <v>#REF!</v>
      </c>
      <c r="CM480" s="577" t="e">
        <f>INPUT!#REF!</f>
        <v>#REF!</v>
      </c>
      <c r="CN480" s="586" t="e">
        <f>INPUT!#REF!</f>
        <v>#REF!</v>
      </c>
      <c r="CO480" s="577" t="e">
        <f>INPUT!#REF!</f>
        <v>#REF!</v>
      </c>
      <c r="CP480" s="586" t="e">
        <f>INPUT!#REF!</f>
        <v>#REF!</v>
      </c>
      <c r="CQ480" s="577" t="e">
        <f>INPUT!#REF!</f>
        <v>#REF!</v>
      </c>
      <c r="CR480" s="586" t="e">
        <f>INPUT!#REF!</f>
        <v>#REF!</v>
      </c>
      <c r="CS480" s="577" t="e">
        <f>INPUT!#REF!</f>
        <v>#REF!</v>
      </c>
      <c r="CT480" s="586" t="e">
        <f>INPUT!#REF!</f>
        <v>#REF!</v>
      </c>
      <c r="CU480" s="577" t="e">
        <f>INPUT!#REF!</f>
        <v>#REF!</v>
      </c>
      <c r="CV480" s="586" t="e">
        <f>INPUT!#REF!</f>
        <v>#REF!</v>
      </c>
      <c r="CW480" s="577" t="e">
        <f>INPUT!#REF!</f>
        <v>#REF!</v>
      </c>
      <c r="CX480" s="586" t="e">
        <f>INPUT!#REF!</f>
        <v>#REF!</v>
      </c>
      <c r="CY480" s="577" t="e">
        <f>INPUT!#REF!</f>
        <v>#REF!</v>
      </c>
      <c r="CZ480" s="586" t="e">
        <f>INPUT!#REF!</f>
        <v>#REF!</v>
      </c>
      <c r="DA480" s="577" t="e">
        <f>INPUT!#REF!</f>
        <v>#REF!</v>
      </c>
      <c r="DB480" s="586"/>
      <c r="DC480" s="586" t="e">
        <f>INPUT!#REF!</f>
        <v>#REF!</v>
      </c>
      <c r="DD480" s="577" t="e">
        <f>INPUT!#REF!</f>
        <v>#REF!</v>
      </c>
      <c r="DE480" s="586" t="e">
        <f>INPUT!#REF!</f>
        <v>#REF!</v>
      </c>
      <c r="DF480" s="577" t="e">
        <f>INPUT!#REF!</f>
        <v>#REF!</v>
      </c>
      <c r="DG480" s="586" t="e">
        <f>INPUT!#REF!</f>
        <v>#REF!</v>
      </c>
      <c r="DH480" s="577" t="e">
        <f>INPUT!#REF!</f>
        <v>#REF!</v>
      </c>
      <c r="DI480" s="586" t="e">
        <f>INPUT!#REF!</f>
        <v>#REF!</v>
      </c>
      <c r="DJ480" s="577" t="e">
        <f>INPUT!#REF!</f>
        <v>#REF!</v>
      </c>
      <c r="DK480" s="586" t="e">
        <f>INPUT!#REF!</f>
        <v>#REF!</v>
      </c>
      <c r="DL480" s="577" t="e">
        <f>INPUT!#REF!</f>
        <v>#REF!</v>
      </c>
      <c r="DM480" s="586" t="e">
        <f>INPUT!#REF!</f>
        <v>#REF!</v>
      </c>
      <c r="DN480" s="577" t="e">
        <f>INPUT!#REF!</f>
        <v>#REF!</v>
      </c>
      <c r="DO480" s="586" t="e">
        <f>INPUT!#REF!</f>
        <v>#REF!</v>
      </c>
      <c r="DP480" s="577" t="e">
        <f>INPUT!#REF!</f>
        <v>#REF!</v>
      </c>
      <c r="DQ480" s="586" t="e">
        <f>INPUT!#REF!</f>
        <v>#REF!</v>
      </c>
      <c r="DR480" s="577" t="e">
        <f>INPUT!#REF!</f>
        <v>#REF!</v>
      </c>
      <c r="DS480" s="586" t="e">
        <f>INPUT!#REF!</f>
        <v>#REF!</v>
      </c>
      <c r="DT480" s="577" t="e">
        <f>INPUT!#REF!</f>
        <v>#REF!</v>
      </c>
      <c r="DU480" s="586" t="e">
        <f>INPUT!#REF!</f>
        <v>#REF!</v>
      </c>
      <c r="DV480" s="577" t="e">
        <f>INPUT!#REF!</f>
        <v>#REF!</v>
      </c>
      <c r="DW480" s="586" t="e">
        <f>INPUT!#REF!</f>
        <v>#REF!</v>
      </c>
      <c r="DX480" s="577" t="e">
        <f>INPUT!#REF!</f>
        <v>#REF!</v>
      </c>
      <c r="DY480" s="586" t="e">
        <f>INPUT!#REF!</f>
        <v>#REF!</v>
      </c>
      <c r="DZ480" s="577" t="e">
        <f>INPUT!#REF!</f>
        <v>#REF!</v>
      </c>
      <c r="EA480" s="586" t="e">
        <f>INPUT!#REF!</f>
        <v>#REF!</v>
      </c>
      <c r="EB480" s="577" t="e">
        <f>INPUT!#REF!</f>
        <v>#REF!</v>
      </c>
      <c r="EC480" s="586" t="e">
        <f>INPUT!#REF!</f>
        <v>#REF!</v>
      </c>
      <c r="ED480" s="577" t="e">
        <f>INPUT!#REF!</f>
        <v>#REF!</v>
      </c>
      <c r="EE480" s="586" t="e">
        <f>INPUT!#REF!</f>
        <v>#REF!</v>
      </c>
      <c r="EF480" s="577" t="e">
        <f>INPUT!#REF!</f>
        <v>#REF!</v>
      </c>
      <c r="EG480" s="586" t="e">
        <f>INPUT!#REF!</f>
        <v>#REF!</v>
      </c>
      <c r="EH480" s="577" t="e">
        <f>INPUT!#REF!</f>
        <v>#REF!</v>
      </c>
      <c r="EI480" s="586" t="e">
        <f>INPUT!#REF!</f>
        <v>#REF!</v>
      </c>
      <c r="EJ480" s="577" t="e">
        <f>INPUT!#REF!</f>
        <v>#REF!</v>
      </c>
      <c r="EK480" s="586" t="e">
        <f>INPUT!#REF!</f>
        <v>#REF!</v>
      </c>
      <c r="EL480" s="577" t="e">
        <f>INPUT!#REF!</f>
        <v>#REF!</v>
      </c>
      <c r="EM480" s="577" t="e">
        <f>INPUT!#REF!</f>
        <v>#REF!</v>
      </c>
    </row>
    <row r="481" spans="1:144" ht="12.75" hidden="1" customHeight="1" outlineLevel="1" x14ac:dyDescent="0.2">
      <c r="A481" s="575"/>
      <c r="B481" s="581"/>
      <c r="C481" s="577"/>
      <c r="D481" s="581"/>
      <c r="E481" s="577"/>
      <c r="F481" s="581"/>
      <c r="G481" s="577"/>
      <c r="H481" s="581"/>
      <c r="I481" s="577"/>
      <c r="J481" s="581"/>
      <c r="K481" s="577"/>
      <c r="L481" s="581"/>
      <c r="M481" s="577"/>
      <c r="N481" s="581"/>
      <c r="O481" s="577"/>
      <c r="P481" s="581"/>
      <c r="Q481" s="577"/>
      <c r="R481" s="581"/>
      <c r="S481" s="577"/>
      <c r="T481" s="581"/>
      <c r="U481" s="577"/>
      <c r="V481" s="581"/>
      <c r="W481" s="577"/>
      <c r="X481" s="581"/>
      <c r="Y481" s="577"/>
      <c r="Z481" s="581"/>
      <c r="AA481" s="577"/>
      <c r="AB481" s="581"/>
      <c r="AC481" s="577"/>
      <c r="AD481" s="581"/>
      <c r="AE481" s="577"/>
      <c r="AF481" s="581"/>
      <c r="AG481" s="577"/>
      <c r="AH481" s="581"/>
      <c r="AI481" s="577"/>
      <c r="AJ481" s="581"/>
      <c r="AK481" s="577"/>
      <c r="AL481" s="581"/>
      <c r="AM481" s="577"/>
      <c r="AN481" s="581"/>
      <c r="AO481" s="577"/>
      <c r="AP481" s="581"/>
      <c r="AQ481" s="577"/>
      <c r="AR481" s="581"/>
      <c r="AS481" s="577"/>
      <c r="AT481" s="581"/>
      <c r="AU481" s="577"/>
      <c r="AV481" s="581"/>
      <c r="AW481" s="577"/>
      <c r="AX481" s="581"/>
      <c r="AY481" s="577"/>
      <c r="AZ481" s="581"/>
      <c r="BA481" s="577"/>
      <c r="BB481" s="581"/>
      <c r="BC481" s="577"/>
      <c r="BD481" s="581"/>
      <c r="BE481" s="577"/>
      <c r="BF481" s="581"/>
      <c r="BG481" s="577"/>
      <c r="BH481" s="581"/>
      <c r="BI481" s="577"/>
      <c r="BJ481" s="581"/>
      <c r="BK481" s="577"/>
      <c r="BL481" s="581"/>
      <c r="BM481" s="577"/>
      <c r="BN481" s="581"/>
      <c r="BO481" s="577"/>
      <c r="BP481" s="581"/>
      <c r="BQ481" s="577"/>
      <c r="BR481" s="581"/>
      <c r="BS481" s="577"/>
      <c r="BT481" s="581"/>
      <c r="BU481" s="577"/>
      <c r="BV481" s="581"/>
      <c r="BW481" s="577"/>
      <c r="BX481" s="581"/>
      <c r="BY481" s="577"/>
      <c r="BZ481" s="581"/>
      <c r="CA481" s="577"/>
      <c r="CB481" s="581"/>
      <c r="CC481" s="577"/>
      <c r="CD481" s="581"/>
      <c r="CE481" s="577"/>
      <c r="CF481" s="581"/>
      <c r="CG481" s="577"/>
      <c r="CH481" s="581"/>
      <c r="CI481" s="577"/>
      <c r="CJ481" s="581"/>
      <c r="CK481" s="577"/>
      <c r="CL481" s="581"/>
      <c r="CM481" s="577"/>
      <c r="CN481" s="581"/>
      <c r="CO481" s="577"/>
      <c r="CP481" s="581"/>
      <c r="CQ481" s="577"/>
      <c r="CR481" s="581"/>
      <c r="CS481" s="577"/>
      <c r="CT481" s="581"/>
      <c r="CU481" s="577"/>
      <c r="CV481" s="581"/>
      <c r="CW481" s="577"/>
      <c r="CX481" s="581"/>
      <c r="CY481" s="577"/>
      <c r="CZ481" s="581"/>
      <c r="DA481" s="577"/>
      <c r="DB481" s="581"/>
      <c r="DC481" s="581"/>
      <c r="DD481" s="577"/>
      <c r="DE481" s="581"/>
      <c r="DF481" s="577"/>
      <c r="DG481" s="581"/>
      <c r="DH481" s="577"/>
      <c r="DI481" s="581"/>
      <c r="DJ481" s="577"/>
      <c r="DK481" s="581"/>
      <c r="DL481" s="577"/>
      <c r="DM481" s="581"/>
      <c r="DN481" s="577"/>
      <c r="DO481" s="581"/>
      <c r="DP481" s="577"/>
      <c r="DQ481" s="581"/>
      <c r="DR481" s="577"/>
      <c r="DS481" s="581"/>
      <c r="DT481" s="577"/>
      <c r="DU481" s="581"/>
      <c r="DV481" s="577"/>
      <c r="DW481" s="581"/>
      <c r="DX481" s="577"/>
      <c r="DY481" s="581"/>
      <c r="DZ481" s="577"/>
      <c r="EA481" s="581"/>
      <c r="EB481" s="577"/>
      <c r="EC481" s="581"/>
      <c r="ED481" s="577"/>
      <c r="EE481" s="581"/>
      <c r="EF481" s="577"/>
      <c r="EG481" s="581"/>
      <c r="EH481" s="577"/>
      <c r="EI481" s="581"/>
      <c r="EJ481" s="577"/>
      <c r="EK481" s="581"/>
      <c r="EL481" s="577"/>
      <c r="EM481" s="577"/>
    </row>
    <row r="482" spans="1:144" ht="12.75" hidden="1" customHeight="1" outlineLevel="1" x14ac:dyDescent="0.2">
      <c r="A482" s="575" t="s">
        <v>193</v>
      </c>
      <c r="B482" s="581"/>
      <c r="C482" s="577"/>
      <c r="D482" s="581"/>
      <c r="E482" s="577"/>
      <c r="F482" s="581"/>
      <c r="G482" s="577"/>
      <c r="H482" s="581"/>
      <c r="I482" s="577"/>
      <c r="J482" s="581"/>
      <c r="K482" s="577"/>
      <c r="L482" s="581"/>
      <c r="M482" s="577"/>
      <c r="N482" s="581"/>
      <c r="O482" s="577"/>
      <c r="P482" s="581"/>
      <c r="Q482" s="577"/>
      <c r="R482" s="581"/>
      <c r="S482" s="577"/>
      <c r="T482" s="581"/>
      <c r="U482" s="577"/>
      <c r="V482" s="581"/>
      <c r="W482" s="577"/>
      <c r="X482" s="581"/>
      <c r="Y482" s="577"/>
      <c r="Z482" s="581"/>
      <c r="AA482" s="577"/>
      <c r="AB482" s="581"/>
      <c r="AC482" s="577"/>
      <c r="AD482" s="581"/>
      <c r="AE482" s="577"/>
      <c r="AF482" s="581"/>
      <c r="AG482" s="577"/>
      <c r="AH482" s="581"/>
      <c r="AI482" s="577"/>
      <c r="AJ482" s="581"/>
      <c r="AK482" s="577"/>
      <c r="AL482" s="581"/>
      <c r="AM482" s="577"/>
      <c r="AN482" s="581"/>
      <c r="AO482" s="577"/>
      <c r="AP482" s="581"/>
      <c r="AQ482" s="577"/>
      <c r="AR482" s="581"/>
      <c r="AS482" s="577"/>
      <c r="AT482" s="581"/>
      <c r="AU482" s="577"/>
      <c r="AV482" s="581"/>
      <c r="AW482" s="577"/>
      <c r="AX482" s="581"/>
      <c r="AY482" s="577"/>
      <c r="AZ482" s="581"/>
      <c r="BA482" s="577"/>
      <c r="BB482" s="581"/>
      <c r="BC482" s="577"/>
      <c r="BD482" s="581"/>
      <c r="BE482" s="577"/>
      <c r="BF482" s="581"/>
      <c r="BG482" s="577"/>
      <c r="BH482" s="581"/>
      <c r="BI482" s="577"/>
      <c r="BJ482" s="581"/>
      <c r="BK482" s="577"/>
      <c r="BL482" s="581"/>
      <c r="BM482" s="577"/>
      <c r="BN482" s="581"/>
      <c r="BO482" s="577"/>
      <c r="BP482" s="581"/>
      <c r="BQ482" s="577"/>
      <c r="BR482" s="581"/>
      <c r="BS482" s="577"/>
      <c r="BT482" s="581"/>
      <c r="BU482" s="577"/>
      <c r="BV482" s="581"/>
      <c r="BW482" s="577"/>
      <c r="BX482" s="581"/>
      <c r="BY482" s="577"/>
      <c r="BZ482" s="581"/>
      <c r="CA482" s="577"/>
      <c r="CB482" s="581"/>
      <c r="CC482" s="577"/>
      <c r="CD482" s="581"/>
      <c r="CE482" s="577"/>
      <c r="CF482" s="581"/>
      <c r="CG482" s="577"/>
      <c r="CH482" s="581"/>
      <c r="CI482" s="577"/>
      <c r="CJ482" s="581"/>
      <c r="CK482" s="577"/>
      <c r="CL482" s="581"/>
      <c r="CM482" s="577"/>
      <c r="CN482" s="581"/>
      <c r="CO482" s="577"/>
      <c r="CP482" s="581"/>
      <c r="CQ482" s="577"/>
      <c r="CR482" s="581"/>
      <c r="CS482" s="577"/>
      <c r="CT482" s="581"/>
      <c r="CU482" s="577"/>
      <c r="CV482" s="581"/>
      <c r="CW482" s="577"/>
      <c r="CX482" s="581"/>
      <c r="CY482" s="577"/>
      <c r="CZ482" s="581"/>
      <c r="DA482" s="577"/>
      <c r="DB482" s="581"/>
      <c r="DC482" s="581"/>
      <c r="DD482" s="577"/>
      <c r="DE482" s="581"/>
      <c r="DF482" s="577"/>
      <c r="DG482" s="581"/>
      <c r="DH482" s="577"/>
      <c r="DI482" s="581"/>
      <c r="DJ482" s="577"/>
      <c r="DK482" s="581"/>
      <c r="DL482" s="577"/>
      <c r="DM482" s="581"/>
      <c r="DN482" s="577"/>
      <c r="DO482" s="581"/>
      <c r="DP482" s="577"/>
      <c r="DQ482" s="581"/>
      <c r="DR482" s="577"/>
      <c r="DS482" s="581"/>
      <c r="DT482" s="577"/>
      <c r="DU482" s="581"/>
      <c r="DV482" s="577"/>
      <c r="DW482" s="581"/>
      <c r="DX482" s="577"/>
      <c r="DY482" s="581"/>
      <c r="DZ482" s="577"/>
      <c r="EA482" s="581"/>
      <c r="EB482" s="577"/>
      <c r="EC482" s="581"/>
      <c r="ED482" s="577"/>
      <c r="EE482" s="581"/>
      <c r="EF482" s="577"/>
      <c r="EG482" s="581"/>
      <c r="EH482" s="577"/>
      <c r="EI482" s="581"/>
      <c r="EJ482" s="577"/>
      <c r="EK482" s="581"/>
      <c r="EL482" s="577"/>
      <c r="EM482" s="577"/>
    </row>
    <row r="483" spans="1:144" ht="12.75" hidden="1" customHeight="1" outlineLevel="1" x14ac:dyDescent="0.2">
      <c r="A483" s="609" t="str">
        <f>INPUT!B393</f>
        <v>New Sales</v>
      </c>
      <c r="B483" s="586">
        <f>INPUT!AY393</f>
        <v>216</v>
      </c>
      <c r="C483" s="577">
        <f>INPUT!AZ393</f>
        <v>-8.8607594936708836</v>
      </c>
      <c r="D483" s="586">
        <f>INPUT!BA393</f>
        <v>185</v>
      </c>
      <c r="E483" s="577">
        <f>INPUT!BB393</f>
        <v>-25.10121457489879</v>
      </c>
      <c r="F483" s="586">
        <f>INPUT!BC393</f>
        <v>174</v>
      </c>
      <c r="G483" s="577">
        <f>INPUT!BD393</f>
        <v>-3.8674033149171265</v>
      </c>
      <c r="H483" s="586">
        <f>INPUT!BE393</f>
        <v>192</v>
      </c>
      <c r="I483" s="577">
        <f>INPUT!BF393</f>
        <v>0.52356020942407611</v>
      </c>
      <c r="J483" s="586">
        <f>INPUT!BG393</f>
        <v>223</v>
      </c>
      <c r="K483" s="577">
        <f>INPUT!BH393</f>
        <v>3.2407407407407476</v>
      </c>
      <c r="L483" s="586">
        <f>INPUT!BI393</f>
        <v>178</v>
      </c>
      <c r="M483" s="577">
        <f>INPUT!BJ393</f>
        <v>-3.7837837837837753</v>
      </c>
      <c r="N483" s="586">
        <f>INPUT!BK393</f>
        <v>178</v>
      </c>
      <c r="O483" s="577">
        <f>INPUT!BL393</f>
        <v>2.2988505747126453</v>
      </c>
      <c r="P483" s="586">
        <f>INPUT!BM393</f>
        <v>209</v>
      </c>
      <c r="Q483" s="577">
        <f>INPUT!BN393</f>
        <v>8.8541666666666714</v>
      </c>
      <c r="R483" s="586">
        <f>INPUT!BO393</f>
        <v>235</v>
      </c>
      <c r="S483" s="577">
        <f>INPUT!BP393</f>
        <v>5.381165919282509</v>
      </c>
      <c r="T483" s="586">
        <f>INPUT!BQ393</f>
        <v>188</v>
      </c>
      <c r="U483" s="577">
        <f>INPUT!BR393</f>
        <v>5.6179775280898809</v>
      </c>
      <c r="V483" s="586">
        <f>INPUT!BS393</f>
        <v>175</v>
      </c>
      <c r="W483" s="577">
        <f>INPUT!BT393</f>
        <v>-1.68539325842697</v>
      </c>
      <c r="X483" s="586">
        <f>INPUT!BU393</f>
        <v>177</v>
      </c>
      <c r="Y483" s="577">
        <f>INPUT!BV393</f>
        <v>-15.311004784689004</v>
      </c>
      <c r="Z483" s="586">
        <f>INPUT!BW393</f>
        <v>220</v>
      </c>
      <c r="AA483" s="577">
        <f>INPUT!BX393</f>
        <v>-6.3829787234042499</v>
      </c>
      <c r="AB483" s="586">
        <f>INPUT!BY393</f>
        <v>181</v>
      </c>
      <c r="AC483" s="577">
        <f>INPUT!BZ393</f>
        <v>-3.7234042553191529</v>
      </c>
      <c r="AD483" s="586">
        <f>INPUT!CA393</f>
        <v>205</v>
      </c>
      <c r="AE483" s="577">
        <f>INPUT!CB393</f>
        <v>17.142857142857153</v>
      </c>
      <c r="AF483" s="586">
        <f>INPUT!CC393</f>
        <v>227</v>
      </c>
      <c r="AG483" s="577">
        <f>INPUT!CD393</f>
        <v>28.248587570621481</v>
      </c>
      <c r="AH483" s="580">
        <f>INPUT!CE393</f>
        <v>248</v>
      </c>
      <c r="AI483" s="577">
        <f>INPUT!CF393</f>
        <v>12.72727272727272</v>
      </c>
      <c r="AJ483" s="580">
        <f>INPUT!CG393</f>
        <v>198</v>
      </c>
      <c r="AK483" s="577">
        <f>INPUT!CH393</f>
        <v>9.3922651933701786</v>
      </c>
      <c r="AL483" s="580">
        <f>INPUT!CI393</f>
        <v>242</v>
      </c>
      <c r="AM483" s="577">
        <f>INPUT!CJ393</f>
        <v>18.048780487804876</v>
      </c>
      <c r="AN483" s="580">
        <f>INPUT!CK393</f>
        <v>276</v>
      </c>
      <c r="AO483" s="577">
        <f>INPUT!CL393</f>
        <v>21.58590308370043</v>
      </c>
      <c r="AP483" s="580">
        <f>INPUT!CM393</f>
        <v>307</v>
      </c>
      <c r="AQ483" s="577">
        <f>INPUT!CN393</f>
        <v>23.790322580645153</v>
      </c>
      <c r="AR483" s="580">
        <f>INPUT!CO393</f>
        <v>258</v>
      </c>
      <c r="AS483" s="577">
        <f>INPUT!CP393</f>
        <v>30.303030303030312</v>
      </c>
      <c r="AT483" s="580">
        <f>INPUT!CQ393</f>
        <v>291</v>
      </c>
      <c r="AU483" s="577">
        <f>INPUT!CR393</f>
        <v>20.247933884297538</v>
      </c>
      <c r="AV483" s="580">
        <f>INPUT!CS393</f>
        <v>294</v>
      </c>
      <c r="AW483" s="577">
        <f>INPUT!CT393</f>
        <v>6.5217391304347956</v>
      </c>
      <c r="AX483" s="580">
        <f>INPUT!CU393</f>
        <v>394</v>
      </c>
      <c r="AY483" s="577">
        <f>INPUT!CV393</f>
        <v>28.338762214983717</v>
      </c>
      <c r="AZ483" s="580">
        <f>INPUT!CW393</f>
        <v>402</v>
      </c>
      <c r="BA483" s="577">
        <f>INPUT!CX393</f>
        <v>55.813953488372107</v>
      </c>
      <c r="BB483" s="580">
        <f>INPUT!CY393</f>
        <v>274</v>
      </c>
      <c r="BC483" s="577">
        <f>INPUT!CZ393</f>
        <v>-5.8419243986254372</v>
      </c>
      <c r="BD483" s="580">
        <f>INPUT!DA393</f>
        <v>284</v>
      </c>
      <c r="BE483" s="577">
        <f>INPUT!DB393</f>
        <v>-3.4013605442176953</v>
      </c>
      <c r="BF483" s="580">
        <f>INPUT!DC393</f>
        <v>345</v>
      </c>
      <c r="BG483" s="577">
        <f>INPUT!DD393</f>
        <v>-12.436548223350258</v>
      </c>
      <c r="BH483" s="580">
        <f>INPUT!DE393</f>
        <v>255</v>
      </c>
      <c r="BI483" s="577">
        <f>INPUT!DF393</f>
        <v>-36.567164179104473</v>
      </c>
      <c r="BJ483" s="580">
        <f>INPUT!DG393</f>
        <v>237</v>
      </c>
      <c r="BK483" s="577">
        <f>INPUT!DH393</f>
        <v>-13.503649635036496</v>
      </c>
      <c r="BL483" s="580">
        <f>INPUT!DI393</f>
        <v>291</v>
      </c>
      <c r="BM483" s="577">
        <f>INPUT!DJ393</f>
        <v>2.4647887323943678</v>
      </c>
      <c r="BN483" s="580">
        <f>INPUT!DK393</f>
        <v>331</v>
      </c>
      <c r="BO483" s="577">
        <f>INPUT!DL393</f>
        <v>-4.0579710144927503</v>
      </c>
      <c r="BP483" s="580">
        <f>INPUT!DM393</f>
        <v>272</v>
      </c>
      <c r="BQ483" s="577">
        <f>INPUT!DN393</f>
        <v>6.6666666666666714</v>
      </c>
      <c r="BR483" s="580">
        <f>INPUT!DO393</f>
        <v>274</v>
      </c>
      <c r="BS483" s="577">
        <f>INPUT!DP393</f>
        <v>15.611814345991576</v>
      </c>
      <c r="BT483" s="580">
        <f>INPUT!DQ393</f>
        <v>284</v>
      </c>
      <c r="BU483" s="577">
        <f>INPUT!DR393</f>
        <v>-2.4054982817869472</v>
      </c>
      <c r="BV483" s="580">
        <f>INPUT!DS393</f>
        <v>316</v>
      </c>
      <c r="BW483" s="577">
        <f>INPUT!DT393</f>
        <v>-4.5317220543806656</v>
      </c>
      <c r="BX483" s="580">
        <f>INPUT!DU393</f>
        <v>258</v>
      </c>
      <c r="BY483" s="577">
        <f>INPUT!DV393</f>
        <v>-5.1470588235294201</v>
      </c>
      <c r="BZ483" s="580">
        <f>INPUT!DW393</f>
        <v>263</v>
      </c>
      <c r="CA483" s="577">
        <f>INPUT!DX393</f>
        <v>-4.0145985401459825</v>
      </c>
      <c r="CB483" s="580">
        <f>INPUT!DY393</f>
        <v>280</v>
      </c>
      <c r="CC483" s="577">
        <f>INPUT!DZ393</f>
        <v>-1.4084507042253449</v>
      </c>
      <c r="CD483" s="580">
        <f>INPUT!EA393</f>
        <v>335</v>
      </c>
      <c r="CE483" s="577">
        <f>INPUT!EB393</f>
        <v>6.0126582278481067</v>
      </c>
      <c r="CF483" s="580">
        <f>INPUT!EC393</f>
        <v>289</v>
      </c>
      <c r="CG483" s="577">
        <f>INPUT!ED393</f>
        <v>12.015503875968989</v>
      </c>
      <c r="CH483" s="580">
        <f>INPUT!EE393</f>
        <v>323</v>
      </c>
      <c r="CI483" s="577">
        <f>INPUT!EF393</f>
        <v>22.813688212927758</v>
      </c>
      <c r="CJ483" s="580">
        <f>INPUT!EG393</f>
        <v>329</v>
      </c>
      <c r="CK483" s="577">
        <f>INPUT!EH393</f>
        <v>17.5</v>
      </c>
      <c r="CL483" s="580">
        <f>INPUT!EI393</f>
        <v>464</v>
      </c>
      <c r="CM483" s="577">
        <f>INPUT!EJ393</f>
        <v>38.50746268656718</v>
      </c>
      <c r="CN483" s="580">
        <f>INPUT!EK393</f>
        <v>357</v>
      </c>
      <c r="CO483" s="577">
        <f>INPUT!EL393</f>
        <v>23.529411764705884</v>
      </c>
      <c r="CP483" s="580">
        <f>INPUT!EM393</f>
        <v>277</v>
      </c>
      <c r="CQ483" s="577">
        <f>INPUT!EN393</f>
        <v>-14.241486068111456</v>
      </c>
      <c r="CR483" s="580">
        <f>INPUT!EO393</f>
        <v>293</v>
      </c>
      <c r="CS483" s="577">
        <f>INPUT!EP393</f>
        <v>-10.942249240121583</v>
      </c>
      <c r="CT483" s="580">
        <f>INPUT!EQ393</f>
        <v>487.20000000000005</v>
      </c>
      <c r="CU483" s="577">
        <f>INPUT!ER393</f>
        <v>5</v>
      </c>
      <c r="CV483" s="580">
        <f>INPUT!ES393</f>
        <v>374.85</v>
      </c>
      <c r="CW483" s="577">
        <f>INPUT!ET393</f>
        <v>5</v>
      </c>
      <c r="CX483" s="580">
        <f>INPUT!EU393</f>
        <v>290.85000000000002</v>
      </c>
      <c r="CY483" s="577">
        <f>INPUT!EV393</f>
        <v>5</v>
      </c>
      <c r="CZ483" s="580">
        <f>INPUT!EW393</f>
        <v>307.65000000000003</v>
      </c>
      <c r="DA483" s="577">
        <f>INPUT!EX393</f>
        <v>5</v>
      </c>
      <c r="DB483" s="586"/>
      <c r="DC483" s="586">
        <f>INPUT!FP393</f>
        <v>856</v>
      </c>
      <c r="DD483" s="577">
        <f>INPUT!FQ393</f>
        <v>28.143712574850298</v>
      </c>
      <c r="DE483" s="586">
        <f>INPUT!FR393</f>
        <v>767</v>
      </c>
      <c r="DF483" s="577">
        <f>INPUT!FS393</f>
        <v>-10.39719626168224</v>
      </c>
      <c r="DG483" s="586">
        <f>INPUT!FT393</f>
        <v>788</v>
      </c>
      <c r="DH483" s="577">
        <f>INPUT!FU393</f>
        <v>2.7379400260756199</v>
      </c>
      <c r="DI483" s="586">
        <f>INPUT!FV393</f>
        <v>775</v>
      </c>
      <c r="DJ483" s="577">
        <f>INPUT!FW393</f>
        <v>-1.649746192893403</v>
      </c>
      <c r="DK483" s="580">
        <f>INPUT!FX393</f>
        <v>833</v>
      </c>
      <c r="DL483" s="577">
        <f>INPUT!FY393</f>
        <v>7.4838709677419502</v>
      </c>
      <c r="DM483" s="580">
        <f>INPUT!FZ393</f>
        <v>964</v>
      </c>
      <c r="DN483" s="577">
        <f>INPUT!GA393</f>
        <v>15.72629051620649</v>
      </c>
      <c r="DO483" s="580">
        <f>INPUT!GB393</f>
        <v>1150</v>
      </c>
      <c r="DP483" s="577">
        <f>INPUT!GC393</f>
        <v>19.294605809128626</v>
      </c>
      <c r="DQ483" s="580">
        <f>INPUT!GD393</f>
        <v>1354</v>
      </c>
      <c r="DR483" s="577">
        <f>INPUT!GE393</f>
        <v>17.739130434782609</v>
      </c>
      <c r="DS483" s="580">
        <f>INPUT!GF393</f>
        <v>1128</v>
      </c>
      <c r="DT483" s="577">
        <f>INPUT!GG393</f>
        <v>-16.691285081240764</v>
      </c>
      <c r="DU483" s="580">
        <f>INPUT!GH393</f>
        <v>1161</v>
      </c>
      <c r="DV483" s="577">
        <f>INPUT!GI393</f>
        <v>2.9255319148936252</v>
      </c>
      <c r="DW483" s="580">
        <f>INPUT!GJ393</f>
        <v>1117</v>
      </c>
      <c r="DX483" s="577">
        <f>INPUT!GK393</f>
        <v>-3.7898363479758785</v>
      </c>
      <c r="DY483" s="580">
        <f>INPUT!GL393</f>
        <v>1276</v>
      </c>
      <c r="DZ483" s="577">
        <f>INPUT!GM393</f>
        <v>14.234556848701871</v>
      </c>
      <c r="EA483" s="580">
        <f>INPUT!GN393</f>
        <v>1391</v>
      </c>
      <c r="EB483" s="577">
        <f>INPUT!GO393</f>
        <v>9.0125391849529706</v>
      </c>
      <c r="EC483" s="580">
        <f>INPUT!GP393</f>
        <v>1460.5500000000002</v>
      </c>
      <c r="ED483" s="577">
        <f>INPUT!GQ393</f>
        <v>5</v>
      </c>
      <c r="EE483" s="580">
        <f>INPUT!GR393</f>
        <v>1533.5775000000003</v>
      </c>
      <c r="EF483" s="577">
        <f>INPUT!GS393</f>
        <v>5</v>
      </c>
      <c r="EG483" s="580">
        <f>INPUT!GT393</f>
        <v>1610.2563750000004</v>
      </c>
      <c r="EH483" s="577">
        <f>INPUT!GU393</f>
        <v>5</v>
      </c>
      <c r="EI483" s="580">
        <f>INPUT!GV393</f>
        <v>1690.7691937500006</v>
      </c>
      <c r="EJ483" s="577">
        <f>INPUT!GW393</f>
        <v>5</v>
      </c>
      <c r="EK483" s="580">
        <f>INPUT!GX393</f>
        <v>1775.3076534375007</v>
      </c>
      <c r="EL483" s="577">
        <f>INPUT!GY393</f>
        <v>5</v>
      </c>
      <c r="EM483" s="577">
        <f>INPUT!GZ393</f>
        <v>5.0000000000000044</v>
      </c>
    </row>
    <row r="484" spans="1:144" ht="12.75" hidden="1" customHeight="1" outlineLevel="1" x14ac:dyDescent="0.2">
      <c r="A484" s="575"/>
      <c r="B484" s="581"/>
      <c r="C484" s="577"/>
      <c r="D484" s="581"/>
      <c r="E484" s="577"/>
      <c r="F484" s="581"/>
      <c r="G484" s="577"/>
      <c r="H484" s="581"/>
      <c r="I484" s="577"/>
      <c r="J484" s="581"/>
      <c r="K484" s="577"/>
      <c r="L484" s="581"/>
      <c r="M484" s="577"/>
      <c r="N484" s="581"/>
      <c r="O484" s="577"/>
      <c r="P484" s="581"/>
      <c r="Q484" s="577"/>
      <c r="R484" s="581"/>
      <c r="S484" s="577"/>
      <c r="T484" s="581"/>
      <c r="U484" s="577"/>
      <c r="V484" s="581"/>
      <c r="W484" s="577"/>
      <c r="X484" s="581"/>
      <c r="Y484" s="577"/>
      <c r="Z484" s="581"/>
      <c r="AA484" s="577"/>
      <c r="AB484" s="581"/>
      <c r="AC484" s="577"/>
      <c r="AD484" s="581"/>
      <c r="AE484" s="577"/>
      <c r="AF484" s="581"/>
      <c r="AG484" s="577"/>
      <c r="AH484" s="581"/>
      <c r="AI484" s="577"/>
      <c r="AJ484" s="581"/>
      <c r="AK484" s="577"/>
      <c r="AL484" s="581"/>
      <c r="AM484" s="577"/>
      <c r="AN484" s="581"/>
      <c r="AO484" s="577"/>
      <c r="AP484" s="581"/>
      <c r="AQ484" s="577"/>
      <c r="AR484" s="581"/>
      <c r="AS484" s="577"/>
      <c r="AT484" s="581"/>
      <c r="AU484" s="577"/>
      <c r="AV484" s="581"/>
      <c r="AW484" s="577"/>
      <c r="AX484" s="581"/>
      <c r="AY484" s="577"/>
      <c r="AZ484" s="581"/>
      <c r="BA484" s="577"/>
      <c r="BB484" s="581"/>
      <c r="BC484" s="577"/>
      <c r="BD484" s="581"/>
      <c r="BE484" s="577"/>
      <c r="BF484" s="581"/>
      <c r="BG484" s="577"/>
      <c r="BH484" s="581"/>
      <c r="BI484" s="577"/>
      <c r="BJ484" s="581"/>
      <c r="BK484" s="577"/>
      <c r="BL484" s="581"/>
      <c r="BM484" s="577"/>
      <c r="BN484" s="581"/>
      <c r="BO484" s="577"/>
      <c r="BP484" s="581"/>
      <c r="BQ484" s="577"/>
      <c r="BR484" s="581"/>
      <c r="BS484" s="577"/>
      <c r="BT484" s="581"/>
      <c r="BU484" s="577"/>
      <c r="BV484" s="581"/>
      <c r="BW484" s="577"/>
      <c r="BX484" s="581"/>
      <c r="BY484" s="577"/>
      <c r="BZ484" s="581"/>
      <c r="CA484" s="577"/>
      <c r="CB484" s="581"/>
      <c r="CC484" s="577"/>
      <c r="CD484" s="581"/>
      <c r="CE484" s="577"/>
      <c r="CF484" s="581"/>
      <c r="CG484" s="577"/>
      <c r="CH484" s="581"/>
      <c r="CI484" s="577"/>
      <c r="CJ484" s="581"/>
      <c r="CK484" s="577"/>
      <c r="CL484" s="581"/>
      <c r="CM484" s="577"/>
      <c r="CN484" s="581"/>
      <c r="CO484" s="577"/>
      <c r="CP484" s="581"/>
      <c r="CQ484" s="577"/>
      <c r="CR484" s="581"/>
      <c r="CS484" s="577"/>
      <c r="CT484" s="581"/>
      <c r="CU484" s="577"/>
      <c r="CV484" s="581"/>
      <c r="CW484" s="577"/>
      <c r="CX484" s="581"/>
      <c r="CY484" s="577"/>
      <c r="CZ484" s="581"/>
      <c r="DA484" s="577"/>
      <c r="DB484" s="581"/>
      <c r="DC484" s="581"/>
      <c r="DD484" s="577"/>
      <c r="DE484" s="581"/>
      <c r="DF484" s="577"/>
      <c r="DG484" s="581"/>
      <c r="DH484" s="577"/>
      <c r="DI484" s="581"/>
      <c r="DJ484" s="577"/>
      <c r="DK484" s="581"/>
      <c r="DL484" s="577"/>
      <c r="DM484" s="581"/>
      <c r="DN484" s="577"/>
      <c r="DO484" s="581"/>
      <c r="DP484" s="577"/>
      <c r="DQ484" s="581"/>
      <c r="DR484" s="577"/>
      <c r="DS484" s="581"/>
      <c r="DT484" s="577"/>
      <c r="DU484" s="581"/>
      <c r="DV484" s="577"/>
      <c r="DW484" s="581"/>
      <c r="DX484" s="577"/>
      <c r="DY484" s="581"/>
      <c r="DZ484" s="577"/>
      <c r="EA484" s="581"/>
      <c r="EB484" s="577"/>
      <c r="EC484" s="581"/>
      <c r="ED484" s="577"/>
      <c r="EE484" s="581"/>
      <c r="EF484" s="577"/>
      <c r="EG484" s="581"/>
      <c r="EH484" s="577"/>
      <c r="EI484" s="581"/>
      <c r="EJ484" s="577"/>
      <c r="EK484" s="581"/>
      <c r="EL484" s="577"/>
      <c r="EM484" s="577"/>
    </row>
    <row r="485" spans="1:144" ht="12.75" hidden="1" customHeight="1" outlineLevel="1" x14ac:dyDescent="0.2">
      <c r="A485" s="614" t="s">
        <v>312</v>
      </c>
      <c r="B485" s="626"/>
      <c r="C485" s="555"/>
      <c r="D485" s="626"/>
      <c r="E485" s="555"/>
      <c r="F485" s="626"/>
      <c r="G485" s="555"/>
      <c r="H485" s="626"/>
      <c r="I485" s="555"/>
      <c r="J485" s="626"/>
      <c r="K485" s="555"/>
      <c r="L485" s="626"/>
      <c r="M485" s="555"/>
      <c r="N485" s="626"/>
      <c r="O485" s="555"/>
      <c r="P485" s="626"/>
      <c r="Q485" s="555"/>
      <c r="R485" s="626"/>
      <c r="S485" s="555"/>
      <c r="T485" s="626"/>
      <c r="U485" s="555"/>
      <c r="V485" s="626"/>
      <c r="W485" s="555"/>
      <c r="X485" s="626"/>
      <c r="Y485" s="555"/>
      <c r="Z485" s="626"/>
      <c r="AA485" s="555"/>
      <c r="AB485" s="626"/>
      <c r="AC485" s="555"/>
      <c r="AD485" s="626"/>
      <c r="AE485" s="555"/>
      <c r="AF485" s="626"/>
      <c r="AG485" s="555"/>
      <c r="AH485" s="626"/>
      <c r="AI485" s="555"/>
      <c r="AJ485" s="626"/>
      <c r="AK485" s="555"/>
      <c r="AL485" s="626"/>
      <c r="AM485" s="555"/>
      <c r="AN485" s="626"/>
      <c r="AO485" s="555"/>
      <c r="AP485" s="626"/>
      <c r="AQ485" s="555"/>
      <c r="AR485" s="626"/>
      <c r="AS485" s="555"/>
      <c r="AT485" s="626"/>
      <c r="AU485" s="555"/>
      <c r="AV485" s="626"/>
      <c r="AW485" s="555"/>
      <c r="AX485" s="626"/>
      <c r="AY485" s="555"/>
      <c r="AZ485" s="626"/>
      <c r="BA485" s="555"/>
      <c r="BB485" s="626"/>
      <c r="BC485" s="555"/>
      <c r="BD485" s="626"/>
      <c r="BE485" s="555"/>
      <c r="BF485" s="626"/>
      <c r="BG485" s="555"/>
      <c r="BH485" s="626"/>
      <c r="BI485" s="555"/>
      <c r="BJ485" s="626"/>
      <c r="BK485" s="555"/>
      <c r="BL485" s="626"/>
      <c r="BM485" s="555"/>
      <c r="BN485" s="626"/>
      <c r="BO485" s="555"/>
      <c r="BP485" s="626"/>
      <c r="BQ485" s="555"/>
      <c r="BR485" s="626"/>
      <c r="BS485" s="555"/>
      <c r="BT485" s="626"/>
      <c r="BU485" s="555"/>
      <c r="BV485" s="626"/>
      <c r="BW485" s="555"/>
      <c r="BX485" s="626"/>
      <c r="BY485" s="555"/>
      <c r="BZ485" s="626"/>
      <c r="CA485" s="555"/>
      <c r="CB485" s="626"/>
      <c r="CC485" s="555"/>
      <c r="CD485" s="626"/>
      <c r="CE485" s="555"/>
      <c r="CF485" s="626"/>
      <c r="CG485" s="555"/>
      <c r="CH485" s="626"/>
      <c r="CI485" s="555"/>
      <c r="CJ485" s="626"/>
      <c r="CK485" s="555"/>
      <c r="CL485" s="626"/>
      <c r="CM485" s="555"/>
      <c r="CN485" s="626"/>
      <c r="CO485" s="555"/>
      <c r="CP485" s="626"/>
      <c r="CQ485" s="555"/>
      <c r="CR485" s="626"/>
      <c r="CS485" s="555"/>
      <c r="CT485" s="626"/>
      <c r="CU485" s="555"/>
      <c r="CV485" s="626"/>
      <c r="CW485" s="555"/>
      <c r="CX485" s="626"/>
      <c r="CY485" s="555"/>
      <c r="CZ485" s="626"/>
      <c r="DA485" s="555"/>
      <c r="DB485" s="626"/>
      <c r="DC485" s="626"/>
      <c r="DD485" s="555"/>
      <c r="DE485" s="626"/>
      <c r="DF485" s="555"/>
      <c r="DG485" s="626"/>
      <c r="DH485" s="555"/>
      <c r="DI485" s="626"/>
      <c r="DJ485" s="555"/>
      <c r="DK485" s="626"/>
      <c r="DL485" s="555"/>
      <c r="DM485" s="626"/>
      <c r="DN485" s="555"/>
      <c r="DO485" s="626"/>
      <c r="DP485" s="555"/>
      <c r="DQ485" s="626"/>
      <c r="DR485" s="555"/>
      <c r="DS485" s="626"/>
      <c r="DT485" s="555"/>
      <c r="DU485" s="626"/>
      <c r="DV485" s="555"/>
      <c r="DW485" s="626"/>
      <c r="DX485" s="555"/>
      <c r="DY485" s="626"/>
      <c r="DZ485" s="555"/>
      <c r="EA485" s="626"/>
      <c r="EB485" s="555"/>
      <c r="EC485" s="626"/>
      <c r="ED485" s="555"/>
      <c r="EE485" s="626"/>
      <c r="EF485" s="555"/>
      <c r="EG485" s="626"/>
      <c r="EH485" s="555"/>
      <c r="EI485" s="626"/>
      <c r="EJ485" s="555"/>
      <c r="EK485" s="626"/>
      <c r="EL485" s="555"/>
      <c r="EM485" s="555"/>
    </row>
    <row r="486" spans="1:144" ht="12.75" hidden="1" customHeight="1" outlineLevel="1" x14ac:dyDescent="0.2">
      <c r="A486" s="609" t="str">
        <f>INPUT!B380</f>
        <v>Benefits/Fees (%)</v>
      </c>
      <c r="B486" s="586">
        <f>INPUT!AY380</f>
        <v>73.447946513849089</v>
      </c>
      <c r="C486" s="577">
        <f>INPUT!AZ380</f>
        <v>-2.9914784356045345</v>
      </c>
      <c r="D486" s="586">
        <f>INPUT!BA380</f>
        <v>72.373540856031127</v>
      </c>
      <c r="E486" s="577">
        <f>INPUT!BB380</f>
        <v>0.96425451781603044</v>
      </c>
      <c r="F486" s="586">
        <f>INPUT!BC380</f>
        <v>72.003929273084481</v>
      </c>
      <c r="G486" s="577">
        <f>INPUT!BD380</f>
        <v>1.4260400458901756</v>
      </c>
      <c r="H486" s="586">
        <f>INPUT!BE380</f>
        <v>73.971291866028707</v>
      </c>
      <c r="I486" s="577">
        <f>INPUT!BF380</f>
        <v>-2.2783782137612292</v>
      </c>
      <c r="J486" s="586">
        <f>INPUT!BG380</f>
        <v>74.255691768826608</v>
      </c>
      <c r="K486" s="577">
        <f>INPUT!BH380</f>
        <v>1.0997519921475316</v>
      </c>
      <c r="L486" s="586">
        <f>INPUT!BI380</f>
        <v>74.653098982423685</v>
      </c>
      <c r="M486" s="577">
        <f>INPUT!BJ380</f>
        <v>3.1497120348542325</v>
      </c>
      <c r="N486" s="586">
        <f>INPUT!BK380</f>
        <v>74.865831842576029</v>
      </c>
      <c r="O486" s="577">
        <f>INPUT!BL380</f>
        <v>3.9746477704534584</v>
      </c>
      <c r="P486" s="586">
        <f>INPUT!BM380</f>
        <v>76.738197424892704</v>
      </c>
      <c r="Q486" s="577">
        <f>INPUT!BN380</f>
        <v>3.7405126895380079</v>
      </c>
      <c r="R486" s="586">
        <f>INPUT!BO380</f>
        <v>75.150150150150154</v>
      </c>
      <c r="S486" s="577">
        <f>INPUT!BP380</f>
        <v>1.2045654144710909</v>
      </c>
      <c r="T486" s="586">
        <f>INPUT!BQ380</f>
        <v>74.775510204081627</v>
      </c>
      <c r="U486" s="577">
        <f>INPUT!BR380</f>
        <v>0.16397339604985461</v>
      </c>
      <c r="V486" s="586">
        <f>INPUT!BS380</f>
        <v>75.313807531380746</v>
      </c>
      <c r="W486" s="577">
        <f>INPUT!BT380</f>
        <v>0.59837135015969523</v>
      </c>
      <c r="X486" s="586">
        <f>INPUT!BU380</f>
        <v>74.93897477624084</v>
      </c>
      <c r="Y486" s="577">
        <f>INPUT!BV380</f>
        <v>-2.3446245924825746</v>
      </c>
      <c r="Z486" s="586">
        <f>INPUT!BW380</f>
        <v>74.688187820983117</v>
      </c>
      <c r="AA486" s="577">
        <f>INPUT!BX380</f>
        <v>-0.61471910334715574</v>
      </c>
      <c r="AB486" s="586">
        <f>INPUT!BY380</f>
        <v>70.810385523210073</v>
      </c>
      <c r="AC486" s="577">
        <f>INPUT!BZ380</f>
        <v>-5.3027049498555243</v>
      </c>
      <c r="AD486" s="586">
        <f>INPUT!CA380</f>
        <v>74.443591711435147</v>
      </c>
      <c r="AE486" s="577">
        <f>INPUT!CB380</f>
        <v>-1.1554532275944354</v>
      </c>
      <c r="AF486" s="586">
        <f>INPUT!CC380</f>
        <v>73.619186046511629</v>
      </c>
      <c r="AG486" s="577">
        <f>INPUT!CD380</f>
        <v>-1.7611513016690594</v>
      </c>
      <c r="AH486" s="586">
        <f>INPUT!CE380</f>
        <v>76.563528637261356</v>
      </c>
      <c r="AI486" s="577">
        <f>INPUT!CF380</f>
        <v>2.5108934504786333</v>
      </c>
      <c r="AJ486" s="586">
        <f>INPUT!CG380</f>
        <v>77.089337175792508</v>
      </c>
      <c r="AK486" s="577">
        <f>INPUT!CH380</f>
        <v>8.8672750560358651</v>
      </c>
      <c r="AL486" s="586">
        <f>INPUT!CI380</f>
        <v>77.026121902210306</v>
      </c>
      <c r="AM486" s="577">
        <f>INPUT!CJ380</f>
        <v>3.4691101428660147</v>
      </c>
      <c r="AN486" s="586">
        <f>INPUT!CK380</f>
        <v>76.986649713922446</v>
      </c>
      <c r="AO486" s="577">
        <f>INPUT!CL380</f>
        <v>4.5741658503033449</v>
      </c>
      <c r="AP486" s="586">
        <f>INPUT!CM380</f>
        <v>79.598853868194837</v>
      </c>
      <c r="AQ486" s="577">
        <f>INPUT!CN380</f>
        <v>3.9644531606087412</v>
      </c>
      <c r="AR486" s="586">
        <f>INPUT!CO380</f>
        <v>76.66874610106052</v>
      </c>
      <c r="AS486" s="577">
        <f>INPUT!CP380</f>
        <v>-0.54558916983926053</v>
      </c>
      <c r="AT486" s="586">
        <f>INPUT!CQ380</f>
        <v>77.485380116959064</v>
      </c>
      <c r="AU486" s="577">
        <f>INPUT!CR380</f>
        <v>0.59623696923469538</v>
      </c>
      <c r="AV486" s="586">
        <f>INPUT!CS380</f>
        <v>78.364269141531324</v>
      </c>
      <c r="AW486" s="577">
        <f>INPUT!CT380</f>
        <v>1.7894263911055077</v>
      </c>
      <c r="AX486" s="586">
        <f>INPUT!CU380</f>
        <v>77.604166666666657</v>
      </c>
      <c r="AY486" s="577">
        <f>INPUT!CV380</f>
        <v>-2.5059245260379157</v>
      </c>
      <c r="AZ486" s="586">
        <f>INPUT!CW380</f>
        <v>78.587443946188344</v>
      </c>
      <c r="BA486" s="577">
        <f>INPUT!CX380</f>
        <v>2.5025814855491433</v>
      </c>
      <c r="BB486" s="586">
        <f>INPUT!CY380</f>
        <v>79.337016574585633</v>
      </c>
      <c r="BC486" s="577">
        <f>INPUT!CZ380</f>
        <v>2.3896591264463751</v>
      </c>
      <c r="BD486" s="586">
        <f>INPUT!DA380</f>
        <v>80.470459518599554</v>
      </c>
      <c r="BE486" s="577">
        <f>INPUT!DB380</f>
        <v>2.687692235429779</v>
      </c>
      <c r="BF486" s="586">
        <f>INPUT!DC380</f>
        <v>80.353535353535349</v>
      </c>
      <c r="BG486" s="577">
        <f>INPUT!DD380</f>
        <v>3.5428106569046207</v>
      </c>
      <c r="BH486" s="586">
        <f>INPUT!DE380</f>
        <v>80.854800936768143</v>
      </c>
      <c r="BI486" s="577">
        <f>INPUT!DF380</f>
        <v>2.8851389951457804</v>
      </c>
      <c r="BJ486" s="586">
        <f>INPUT!DG380</f>
        <v>80.519480519480524</v>
      </c>
      <c r="BK486" s="577">
        <f>INPUT!DH380</f>
        <v>1.4904315739970428</v>
      </c>
      <c r="BL486" s="586">
        <f>INPUT!DI380</f>
        <v>85.089234312032232</v>
      </c>
      <c r="BM486" s="577">
        <f>INPUT!DJ380</f>
        <v>5.7397146991128096</v>
      </c>
      <c r="BN486" s="586">
        <f>INPUT!DK380</f>
        <v>82.886075949367083</v>
      </c>
      <c r="BO486" s="577">
        <f>INPUT!DL380</f>
        <v>3.1517475674084352</v>
      </c>
      <c r="BP486" s="586">
        <f>INPUT!DM380</f>
        <v>82.08450704225352</v>
      </c>
      <c r="BQ486" s="577">
        <f>INPUT!DN380</f>
        <v>1.5208819899848152</v>
      </c>
      <c r="BR486" s="586">
        <f>INPUT!DO380</f>
        <v>83.483146067415731</v>
      </c>
      <c r="BS486" s="577">
        <f>INPUT!DP380</f>
        <v>3.6806814063066184</v>
      </c>
      <c r="BT486" s="586">
        <f>INPUT!DQ380</f>
        <v>83.082271147161066</v>
      </c>
      <c r="BU486" s="577">
        <f>INPUT!DR380</f>
        <v>-2.3586569806368232</v>
      </c>
      <c r="BV486" s="586">
        <f>INPUT!DS380</f>
        <v>82.994261867501308</v>
      </c>
      <c r="BW486" s="577">
        <f>INPUT!DT380</f>
        <v>0.13052363366834641</v>
      </c>
      <c r="BX486" s="586">
        <f>INPUT!DU380</f>
        <v>84.696261682242991</v>
      </c>
      <c r="BY486" s="577">
        <f>INPUT!DV380</f>
        <v>3.1817875675918401</v>
      </c>
      <c r="BZ486" s="586">
        <f>INPUT!DW380</f>
        <v>83.56481481481481</v>
      </c>
      <c r="CA486" s="577">
        <f>INPUT!DX380</f>
        <v>9.7826628782215153E-2</v>
      </c>
      <c r="CB486" s="586">
        <f>INPUT!DY380</f>
        <v>84.67836257309942</v>
      </c>
      <c r="CC486" s="577">
        <f>INPUT!DZ380</f>
        <v>1.9210974903553648</v>
      </c>
      <c r="CD486" s="586">
        <f>INPUT!EA380</f>
        <v>84.104330708661408</v>
      </c>
      <c r="CE486" s="577">
        <f>INPUT!EB380</f>
        <v>1.3375248073563171</v>
      </c>
      <c r="CF486" s="586">
        <f>INPUT!EC380</f>
        <v>86.57824933687003</v>
      </c>
      <c r="CG486" s="577">
        <f>INPUT!ED380</f>
        <v>2.2220433549803289</v>
      </c>
      <c r="CH486" s="586">
        <f>INPUT!EE380</f>
        <v>83.779686710459828</v>
      </c>
      <c r="CI486" s="577">
        <f>INPUT!EF380</f>
        <v>0.25713201916524042</v>
      </c>
      <c r="CJ486" s="586">
        <f>INPUT!EG380</f>
        <v>83.70640291514836</v>
      </c>
      <c r="CK486" s="577">
        <f>INPUT!EH380</f>
        <v>-1.14782528666872</v>
      </c>
      <c r="CL486" s="586">
        <f>INPUT!EI380</f>
        <v>84.358047016274867</v>
      </c>
      <c r="CM486" s="577">
        <f>INPUT!EJ380</f>
        <v>0.30166854129348053</v>
      </c>
      <c r="CN486" s="586">
        <f>INPUT!EK380</f>
        <v>85.124378109452735</v>
      </c>
      <c r="CO486" s="577">
        <f>INPUT!EL380</f>
        <v>-1.6792569017656973</v>
      </c>
      <c r="CP486" s="586">
        <f>INPUT!EM380</f>
        <v>83.793103448275858</v>
      </c>
      <c r="CQ486" s="577">
        <f>INPUT!EN380</f>
        <v>1.6014308888983919E-2</v>
      </c>
      <c r="CR486" s="586">
        <f>INPUT!EO380</f>
        <v>84.596695821185619</v>
      </c>
      <c r="CS486" s="577">
        <f>INPUT!EP380</f>
        <v>1.0635899704587075</v>
      </c>
      <c r="CT486" s="586">
        <f>INPUT!EQ380</f>
        <v>84</v>
      </c>
      <c r="CU486" s="577">
        <f>INPUT!ER380</f>
        <v>-0.4244372990353753</v>
      </c>
      <c r="CV486" s="586">
        <f>INPUT!ES380</f>
        <v>84.5</v>
      </c>
      <c r="CW486" s="577">
        <f>INPUT!ET380</f>
        <v>-0.73348918760957815</v>
      </c>
      <c r="CX486" s="586">
        <f>INPUT!EU380</f>
        <v>84.2</v>
      </c>
      <c r="CY486" s="577">
        <f>INPUT!EV380</f>
        <v>0.48559670781894226</v>
      </c>
      <c r="CZ486" s="586">
        <f>INPUT!EW380</f>
        <v>84.2</v>
      </c>
      <c r="DA486" s="577">
        <f>INPUT!EX380</f>
        <v>-0.46892590465249384</v>
      </c>
      <c r="DB486" s="586"/>
      <c r="DC486" s="586">
        <f>INPUT!FP380</f>
        <v>73.547717842323664</v>
      </c>
      <c r="DD486" s="577">
        <f>INPUT!FQ380</f>
        <v>1.409170547324436</v>
      </c>
      <c r="DE486" s="586">
        <f>INPUT!FR380</f>
        <v>72.957950700821655</v>
      </c>
      <c r="DF486" s="577">
        <f>INPUT!FS380</f>
        <v>-0.80188367335392741</v>
      </c>
      <c r="DG486" s="586">
        <f>INPUT!FT380</f>
        <v>75.144252108300051</v>
      </c>
      <c r="DH486" s="577">
        <f>INPUT!FU380</f>
        <v>2.9966595641423055</v>
      </c>
      <c r="DI486" s="586">
        <f>INPUT!FV380</f>
        <v>75.165895837522626</v>
      </c>
      <c r="DJ486" s="577">
        <f>INPUT!FW380</f>
        <v>2.8802907228865138E-2</v>
      </c>
      <c r="DK486" s="586">
        <f>INPUT!FX380</f>
        <v>74.022770398481981</v>
      </c>
      <c r="DL486" s="577">
        <f>INPUT!FY380</f>
        <v>-1.5208033195155508</v>
      </c>
      <c r="DM486" s="586">
        <f>INPUT!FZ380</f>
        <v>76.912774150343211</v>
      </c>
      <c r="DN486" s="577">
        <f>INPUT!GA380</f>
        <v>3.9042091187666301</v>
      </c>
      <c r="DO486" s="586">
        <f>INPUT!GB380</f>
        <v>78.059569448540259</v>
      </c>
      <c r="DP486" s="577">
        <f>INPUT!GC380</f>
        <v>1.491033590799077</v>
      </c>
      <c r="DQ486" s="586">
        <f>INPUT!GD380</f>
        <v>78.983928084990467</v>
      </c>
      <c r="DR486" s="577">
        <f>INPUT!GE380</f>
        <v>1.1841708108056821</v>
      </c>
      <c r="DS486" s="586">
        <f>INPUT!GF380</f>
        <v>81.66877370417194</v>
      </c>
      <c r="DT486" s="577">
        <f>INPUT!GG380</f>
        <v>3.3992303045404952</v>
      </c>
      <c r="DU486" s="586">
        <f>INPUT!GH380</f>
        <v>82.883131201764058</v>
      </c>
      <c r="DV486" s="577">
        <f>INPUT!GI380</f>
        <v>1.4869300009216175</v>
      </c>
      <c r="DW486" s="586">
        <f>INPUT!GJ380</f>
        <v>83.953587094948361</v>
      </c>
      <c r="DX486" s="577">
        <f>INPUT!GK380</f>
        <v>1.291524436472443</v>
      </c>
      <c r="DY486" s="586">
        <f>INPUT!GL380</f>
        <v>84.520915952411414</v>
      </c>
      <c r="DZ486" s="577">
        <f>INPUT!GM380</f>
        <v>0.67576488044689142</v>
      </c>
      <c r="EA486" s="586">
        <f>INPUT!GN380</f>
        <v>84.464500601684719</v>
      </c>
      <c r="EB486" s="577">
        <f>INPUT!GO380</f>
        <v>-6.6747206997206376E-2</v>
      </c>
      <c r="EC486" s="586">
        <f>INPUT!GP380</f>
        <v>84.219326113116736</v>
      </c>
      <c r="ED486" s="577">
        <f>INPUT!GQ380</f>
        <v>-0.29026926912665374</v>
      </c>
      <c r="EE486" s="586">
        <f>INPUT!GR380</f>
        <v>84.219326113116736</v>
      </c>
      <c r="EF486" s="577">
        <f>INPUT!GS380</f>
        <v>0</v>
      </c>
      <c r="EG486" s="586">
        <f>INPUT!GT380</f>
        <v>84.219326113116736</v>
      </c>
      <c r="EH486" s="577">
        <f>INPUT!GU380</f>
        <v>0</v>
      </c>
      <c r="EI486" s="586">
        <f>INPUT!GV380</f>
        <v>84.219326113116736</v>
      </c>
      <c r="EJ486" s="577">
        <f>INPUT!GW380</f>
        <v>0</v>
      </c>
      <c r="EK486" s="586">
        <f>INPUT!GX380</f>
        <v>84.219326113116736</v>
      </c>
      <c r="EL486" s="577">
        <f>INPUT!GY380</f>
        <v>0</v>
      </c>
      <c r="EM486" s="577">
        <f>INPUT!GZ380</f>
        <v>-5.8121376456865548E-2</v>
      </c>
    </row>
    <row r="487" spans="1:144" ht="12.75" hidden="1" customHeight="1" outlineLevel="1" x14ac:dyDescent="0.2">
      <c r="A487" s="609" t="str">
        <f>INPUT!B381</f>
        <v>Operating Expenses/Total Revenues (%)</v>
      </c>
      <c r="B487" s="586">
        <f>INPUT!AY381</f>
        <v>23.789991796554553</v>
      </c>
      <c r="C487" s="577">
        <f>INPUT!AZ381</f>
        <v>-7.4744949925948845</v>
      </c>
      <c r="D487" s="586">
        <f>INPUT!BA381</f>
        <v>23.857024106400665</v>
      </c>
      <c r="E487" s="577">
        <f>INPUT!BB381</f>
        <v>-12.335545317497207</v>
      </c>
      <c r="F487" s="586">
        <f>INPUT!BC381</f>
        <v>23.684210526315788</v>
      </c>
      <c r="G487" s="577">
        <f>INPUT!BD381</f>
        <v>-5.0019349845201333</v>
      </c>
      <c r="H487" s="586">
        <f>INPUT!BE381</f>
        <v>25.120385232744784</v>
      </c>
      <c r="I487" s="577">
        <f>INPUT!BF381</f>
        <v>-1.2390334000307917</v>
      </c>
      <c r="J487" s="586">
        <f>INPUT!BG381</f>
        <v>22.369389256806478</v>
      </c>
      <c r="K487" s="577">
        <f>INPUT!BH381</f>
        <v>-5.9714292963893172</v>
      </c>
      <c r="L487" s="586">
        <f>INPUT!BI381</f>
        <v>23.547400611620795</v>
      </c>
      <c r="M487" s="577">
        <f>INPUT!BJ381</f>
        <v>-1.297829492056394</v>
      </c>
      <c r="N487" s="586">
        <f>INPUT!BK381</f>
        <v>23.511904761904763</v>
      </c>
      <c r="O487" s="577">
        <f>INPUT!BL381</f>
        <v>-0.72751322751322789</v>
      </c>
      <c r="P487" s="586">
        <f>INPUT!BM381</f>
        <v>25.089094796863865</v>
      </c>
      <c r="Q487" s="577">
        <f>INPUT!BN381</f>
        <v>-0.12456192686141776</v>
      </c>
      <c r="R487" s="586">
        <f>INPUT!BO381</f>
        <v>21.876981610653139</v>
      </c>
      <c r="S487" s="577">
        <f>INPUT!BP381</f>
        <v>-2.2012565497446843</v>
      </c>
      <c r="T487" s="586">
        <f>INPUT!BQ381</f>
        <v>22.901276024177299</v>
      </c>
      <c r="U487" s="577">
        <f>INPUT!BR381</f>
        <v>-2.7439316895327579</v>
      </c>
      <c r="V487" s="586">
        <f>INPUT!BS381</f>
        <v>22.229822161422707</v>
      </c>
      <c r="W487" s="577">
        <f>INPUT!BT381</f>
        <v>-5.4529082754679763</v>
      </c>
      <c r="X487" s="586">
        <f>INPUT!BU381</f>
        <v>23.427041499330656</v>
      </c>
      <c r="Y487" s="577">
        <f>INPUT!BV381</f>
        <v>-6.6246044785201406</v>
      </c>
      <c r="Z487" s="586">
        <f>INPUT!BW381</f>
        <v>21.924482338611451</v>
      </c>
      <c r="AA487" s="577">
        <f>INPUT!BX381</f>
        <v>0.21712651591379029</v>
      </c>
      <c r="AB487" s="586">
        <f>INPUT!BY381</f>
        <v>22.027290448343077</v>
      </c>
      <c r="AC487" s="577">
        <f>INPUT!BZ381</f>
        <v>-3.8163182475576463</v>
      </c>
      <c r="AD487" s="586">
        <f>INPUT!CA381</f>
        <v>22.556390977443609</v>
      </c>
      <c r="AE487" s="577">
        <f>INPUT!CB381</f>
        <v>1.4690572585309525</v>
      </c>
      <c r="AF487" s="586">
        <f>INPUT!CC381</f>
        <v>23.949579831932773</v>
      </c>
      <c r="AG487" s="577">
        <f>INPUT!CD381</f>
        <v>2.2304921968787426</v>
      </c>
      <c r="AH487" s="586">
        <f>INPUT!CE381</f>
        <v>20.623632385120349</v>
      </c>
      <c r="AI487" s="577">
        <f>INPUT!CF381</f>
        <v>-5.9333211767566354</v>
      </c>
      <c r="AJ487" s="586">
        <f>INPUT!CG381</f>
        <v>20.968694624926165</v>
      </c>
      <c r="AK487" s="577">
        <f>INPUT!CH381</f>
        <v>-4.8058376762201362</v>
      </c>
      <c r="AL487" s="586">
        <f>INPUT!CI381</f>
        <v>20.646221248630887</v>
      </c>
      <c r="AM487" s="577">
        <f>INPUT!CJ381</f>
        <v>-8.4684191310697372</v>
      </c>
      <c r="AN487" s="586">
        <f>INPUT!CK381</f>
        <v>21.889763779527559</v>
      </c>
      <c r="AO487" s="577">
        <f>INPUT!CL381</f>
        <v>-8.6006354468849366</v>
      </c>
      <c r="AP487" s="586">
        <f>INPUT!CM381</f>
        <v>20.267048164043871</v>
      </c>
      <c r="AQ487" s="577">
        <f>INPUT!CN381</f>
        <v>-1.7290078411878085</v>
      </c>
      <c r="AR487" s="586">
        <f>INPUT!CO381</f>
        <v>21.039094650205762</v>
      </c>
      <c r="AS487" s="577">
        <f>INPUT!CP381</f>
        <v>0.33573871210805351</v>
      </c>
      <c r="AT487" s="586">
        <f>INPUT!CQ381</f>
        <v>20.134874759152215</v>
      </c>
      <c r="AU487" s="577">
        <f>INPUT!CR381</f>
        <v>-2.4767073999683191</v>
      </c>
      <c r="AV487" s="586">
        <f>INPUT!CS381</f>
        <v>21.151079136690647</v>
      </c>
      <c r="AW487" s="577">
        <f>INPUT!CT381</f>
        <v>-3.3745665338232982</v>
      </c>
      <c r="AX487" s="586">
        <f>INPUT!CU381</f>
        <v>19.982736296935695</v>
      </c>
      <c r="AY487" s="577">
        <f>INPUT!CV381</f>
        <v>-1.4028282007666917</v>
      </c>
      <c r="AZ487" s="586">
        <f>INPUT!CW381</f>
        <v>20.8485401459854</v>
      </c>
      <c r="BA487" s="577">
        <f>INPUT!CX381</f>
        <v>-0.90571627433834578</v>
      </c>
      <c r="BB487" s="586">
        <f>INPUT!CY381</f>
        <v>19.75860527492177</v>
      </c>
      <c r="BC487" s="577">
        <f>INPUT!CZ381</f>
        <v>-1.8687450939291921</v>
      </c>
      <c r="BD487" s="586">
        <f>INPUT!DA381</f>
        <v>21.143617021276594</v>
      </c>
      <c r="BE487" s="577">
        <f>INPUT!DB381</f>
        <v>-3.5280069474609377E-2</v>
      </c>
      <c r="BF487" s="586">
        <f>INPUT!DC381</f>
        <v>18.419975440032747</v>
      </c>
      <c r="BG487" s="577">
        <f>INPUT!DD381</f>
        <v>-7.8205548713696089</v>
      </c>
      <c r="BH487" s="586">
        <f>INPUT!DE381</f>
        <v>18.674698795180721</v>
      </c>
      <c r="BI487" s="577">
        <f>INPUT!DF381</f>
        <v>-10.426827660752423</v>
      </c>
      <c r="BJ487" s="586">
        <f>INPUT!DG381</f>
        <v>17.441325356649791</v>
      </c>
      <c r="BK487" s="577">
        <f>INPUT!DH381</f>
        <v>-11.727952889534876</v>
      </c>
      <c r="BL487" s="586">
        <f>INPUT!DI381</f>
        <v>19.419237749546276</v>
      </c>
      <c r="BM487" s="577">
        <f>INPUT!DJ381</f>
        <v>-8.1555547945987286</v>
      </c>
      <c r="BN487" s="586">
        <f>INPUT!DK381</f>
        <v>17.668414683340057</v>
      </c>
      <c r="BO487" s="577">
        <f>INPUT!DL381</f>
        <v>-4.0801398413338745</v>
      </c>
      <c r="BP487" s="586">
        <f>INPUT!DM381</f>
        <v>19.460415745245466</v>
      </c>
      <c r="BQ487" s="577">
        <f>INPUT!DN381</f>
        <v>4.2073875390563842</v>
      </c>
      <c r="BR487" s="586">
        <f>INPUT!DO381</f>
        <v>18.607705779334502</v>
      </c>
      <c r="BS487" s="577">
        <f>INPUT!DP381</f>
        <v>6.6874529247859584</v>
      </c>
      <c r="BT487" s="586">
        <f>INPUT!DQ381</f>
        <v>20.463664734730273</v>
      </c>
      <c r="BU487" s="577">
        <f>INPUT!DR381</f>
        <v>5.3783109237045039</v>
      </c>
      <c r="BV487" s="586">
        <f>INPUT!DS381</f>
        <v>17.895167895167894</v>
      </c>
      <c r="BW487" s="577">
        <f>INPUT!DT381</f>
        <v>1.2833817628337982</v>
      </c>
      <c r="BX487" s="586">
        <f>INPUT!DU381</f>
        <v>18.735992828328104</v>
      </c>
      <c r="BY487" s="577">
        <f>INPUT!DV381</f>
        <v>-3.7225459435230874</v>
      </c>
      <c r="BZ487" s="586">
        <f>INPUT!DW381</f>
        <v>18.266666666666666</v>
      </c>
      <c r="CA487" s="577">
        <f>INPUT!DX381</f>
        <v>-1.8327843137254973</v>
      </c>
      <c r="CB487" s="586">
        <f>INPUT!DY381</f>
        <v>20.497999110715874</v>
      </c>
      <c r="CC487" s="577">
        <f>INPUT!DZ381</f>
        <v>0.16778214670087266</v>
      </c>
      <c r="CD487" s="586">
        <f>INPUT!EA381</f>
        <v>18.053927315357562</v>
      </c>
      <c r="CE487" s="577">
        <f>INPUT!EB381</f>
        <v>0.8871636249500483</v>
      </c>
      <c r="CF487" s="586">
        <f>INPUT!EC381</f>
        <v>18.82498965659909</v>
      </c>
      <c r="CG487" s="577">
        <f>INPUT!ED381</f>
        <v>0.47500460256596</v>
      </c>
      <c r="CH487" s="586">
        <f>INPUT!EE381</f>
        <v>19.936833793920254</v>
      </c>
      <c r="CI487" s="577">
        <f>INPUT!EF381</f>
        <v>9.1432506966437188</v>
      </c>
      <c r="CJ487" s="586">
        <f>INPUT!EG381</f>
        <v>20.468308437626163</v>
      </c>
      <c r="CK487" s="577">
        <f>INPUT!EH381</f>
        <v>-0.144846689324865</v>
      </c>
      <c r="CL487" s="586">
        <f>INPUT!EI381</f>
        <v>20.050395968322533</v>
      </c>
      <c r="CM487" s="577">
        <f>INPUT!EJ381</f>
        <v>11.058362084279992</v>
      </c>
      <c r="CN487" s="586">
        <f>INPUT!EK381</f>
        <v>22.933643771827704</v>
      </c>
      <c r="CO487" s="577">
        <f>INPUT!EL381</f>
        <v>21.825531860456167</v>
      </c>
      <c r="CP487" s="586">
        <f>INPUT!EM381</f>
        <v>21.545489151122954</v>
      </c>
      <c r="CQ487" s="577">
        <f>INPUT!EN381</f>
        <v>8.068760435236527</v>
      </c>
      <c r="CR487" s="586">
        <f>INPUT!EO381</f>
        <v>21.337340345604808</v>
      </c>
      <c r="CS487" s="577">
        <f>INPUT!EP381</f>
        <v>4.245743660873984</v>
      </c>
      <c r="CT487" s="586">
        <f>INPUT!EQ381</f>
        <v>20.050395968322533</v>
      </c>
      <c r="CU487" s="577">
        <f>INPUT!ER381</f>
        <v>0</v>
      </c>
      <c r="CV487" s="586">
        <f>INPUT!ES381</f>
        <v>21.2</v>
      </c>
      <c r="CW487" s="577">
        <f>INPUT!ET381</f>
        <v>-7.5593908629441557</v>
      </c>
      <c r="CX487" s="586">
        <f>INPUT!EU381</f>
        <v>21.2</v>
      </c>
      <c r="CY487" s="577">
        <f>INPUT!EV381</f>
        <v>-1.6035335689046093</v>
      </c>
      <c r="CZ487" s="586">
        <f>INPUT!EW381</f>
        <v>21.7</v>
      </c>
      <c r="DA487" s="577">
        <f>INPUT!EX381</f>
        <v>1.6996478873239482</v>
      </c>
      <c r="DB487" s="586"/>
      <c r="DC487" s="586">
        <f>INPUT!FP381</f>
        <v>25.814368585452925</v>
      </c>
      <c r="DD487" s="577">
        <f>INPUT!FQ381</f>
        <v>-5.615348372844494</v>
      </c>
      <c r="DE487" s="586">
        <f>INPUT!FR381</f>
        <v>24.119574119574118</v>
      </c>
      <c r="DF487" s="577">
        <f>INPUT!FS381</f>
        <v>-6.5653144304829851</v>
      </c>
      <c r="DG487" s="586">
        <f>INPUT!FT381</f>
        <v>23.642408570373107</v>
      </c>
      <c r="DH487" s="577">
        <f>INPUT!FU381</f>
        <v>-1.9783332277569912</v>
      </c>
      <c r="DI487" s="586">
        <f>INPUT!FV381</f>
        <v>22.634292366539167</v>
      </c>
      <c r="DJ487" s="577">
        <f>INPUT!FW381</f>
        <v>-4.2640165059038679</v>
      </c>
      <c r="DK487" s="586">
        <f>INPUT!FX381</f>
        <v>22.806194274988268</v>
      </c>
      <c r="DL487" s="577">
        <f>INPUT!FY381</f>
        <v>0.75947551469835162</v>
      </c>
      <c r="DM487" s="586">
        <f>INPUT!FZ381</f>
        <v>21.042471042471043</v>
      </c>
      <c r="DN487" s="577">
        <f>INPUT!GA381</f>
        <v>-7.7335271779716237</v>
      </c>
      <c r="DO487" s="586">
        <f>INPUT!GB381</f>
        <v>20.6413069982931</v>
      </c>
      <c r="DP487" s="577">
        <f>INPUT!GC381</f>
        <v>-1.9064493108639908</v>
      </c>
      <c r="DQ487" s="586">
        <f>INPUT!GD381</f>
        <v>20.428793601421908</v>
      </c>
      <c r="DR487" s="577">
        <f>INPUT!GE381</f>
        <v>-1.0295539758638625</v>
      </c>
      <c r="DS487" s="586">
        <f>INPUT!GF381</f>
        <v>18.489641345511249</v>
      </c>
      <c r="DT487" s="577">
        <f>INPUT!GG381</f>
        <v>-9.4922504663989997</v>
      </c>
      <c r="DU487" s="586">
        <f>INPUT!GH381</f>
        <v>19.013704543002049</v>
      </c>
      <c r="DV487" s="577">
        <f>INPUT!GI381</f>
        <v>2.8343610765496408</v>
      </c>
      <c r="DW487" s="586">
        <f>INPUT!GJ381</f>
        <v>18.829044919319667</v>
      </c>
      <c r="DX487" s="577">
        <f>INPUT!GK381</f>
        <v>-0.97119224328298515</v>
      </c>
      <c r="DY487" s="586">
        <f>INPUT!GL381</f>
        <v>19.317043861405971</v>
      </c>
      <c r="DZ487" s="577">
        <f>INPUT!GM381</f>
        <v>2.5917349720993457</v>
      </c>
      <c r="EA487" s="586">
        <f>INPUT!GN381</f>
        <v>21.439308530627585</v>
      </c>
      <c r="EB487" s="577">
        <f>INPUT!GO381</f>
        <v>10.986487810703508</v>
      </c>
      <c r="EC487" s="586">
        <f>INPUT!GP381</f>
        <v>21.0250093949643</v>
      </c>
      <c r="ED487" s="577">
        <f>INPUT!GQ381</f>
        <v>-1.9324276950043782</v>
      </c>
      <c r="EE487" s="586">
        <f>INPUT!GR381</f>
        <v>21.0250093949643</v>
      </c>
      <c r="EF487" s="577">
        <f>INPUT!GS381</f>
        <v>0</v>
      </c>
      <c r="EG487" s="586">
        <f>INPUT!GT381</f>
        <v>21.0250093949643</v>
      </c>
      <c r="EH487" s="577">
        <f>INPUT!GU381</f>
        <v>0</v>
      </c>
      <c r="EI487" s="586">
        <f>INPUT!GV381</f>
        <v>21.0250093949643</v>
      </c>
      <c r="EJ487" s="577">
        <f>INPUT!GW381</f>
        <v>0</v>
      </c>
      <c r="EK487" s="586">
        <f>INPUT!GX381</f>
        <v>21.0250093949643</v>
      </c>
      <c r="EL487" s="577">
        <f>INPUT!GY381</f>
        <v>0</v>
      </c>
      <c r="EM487" s="577">
        <f>INPUT!GZ381</f>
        <v>-0.38950807382899244</v>
      </c>
    </row>
    <row r="488" spans="1:144" ht="12.75" hidden="1" customHeight="1" outlineLevel="1" x14ac:dyDescent="0.2">
      <c r="A488" s="609"/>
      <c r="B488" s="610"/>
      <c r="C488" s="555"/>
      <c r="D488" s="610"/>
      <c r="E488" s="555"/>
      <c r="F488" s="610"/>
      <c r="G488" s="555"/>
      <c r="H488" s="610"/>
      <c r="I488" s="555"/>
      <c r="J488" s="610"/>
      <c r="K488" s="555"/>
      <c r="L488" s="610"/>
      <c r="M488" s="555"/>
      <c r="N488" s="610"/>
      <c r="O488" s="555"/>
      <c r="P488" s="610"/>
      <c r="Q488" s="555"/>
      <c r="R488" s="610"/>
      <c r="S488" s="555"/>
      <c r="T488" s="610"/>
      <c r="U488" s="555"/>
      <c r="V488" s="610"/>
      <c r="W488" s="555"/>
      <c r="X488" s="610"/>
      <c r="Y488" s="555"/>
      <c r="Z488" s="610"/>
      <c r="AA488" s="555"/>
      <c r="AB488" s="610"/>
      <c r="AC488" s="555"/>
      <c r="AD488" s="610"/>
      <c r="AE488" s="555"/>
      <c r="AF488" s="610"/>
      <c r="AG488" s="555"/>
      <c r="AH488" s="610"/>
      <c r="AI488" s="555"/>
      <c r="AJ488" s="610"/>
      <c r="AK488" s="555"/>
      <c r="AL488" s="610"/>
      <c r="AM488" s="555"/>
      <c r="AN488" s="610"/>
      <c r="AO488" s="555"/>
      <c r="AP488" s="610"/>
      <c r="AQ488" s="555"/>
      <c r="AR488" s="610"/>
      <c r="AS488" s="555"/>
      <c r="AT488" s="610"/>
      <c r="AU488" s="555"/>
      <c r="AV488" s="610"/>
      <c r="AW488" s="555"/>
      <c r="AX488" s="610"/>
      <c r="AY488" s="555"/>
      <c r="AZ488" s="610"/>
      <c r="BA488" s="555"/>
      <c r="BB488" s="610"/>
      <c r="BC488" s="555"/>
      <c r="BD488" s="610"/>
      <c r="BE488" s="555"/>
      <c r="BF488" s="610"/>
      <c r="BG488" s="555"/>
      <c r="BH488" s="610"/>
      <c r="BI488" s="555"/>
      <c r="BJ488" s="610"/>
      <c r="BK488" s="555"/>
      <c r="BL488" s="610"/>
      <c r="BM488" s="555"/>
      <c r="BN488" s="610"/>
      <c r="BO488" s="555"/>
      <c r="BP488" s="610"/>
      <c r="BQ488" s="555"/>
      <c r="BR488" s="610"/>
      <c r="BS488" s="555"/>
      <c r="BT488" s="610"/>
      <c r="BU488" s="555"/>
      <c r="BV488" s="610"/>
      <c r="BW488" s="555"/>
      <c r="BX488" s="610"/>
      <c r="BY488" s="555"/>
      <c r="BZ488" s="610"/>
      <c r="CA488" s="555"/>
      <c r="CB488" s="610"/>
      <c r="CC488" s="555"/>
      <c r="CD488" s="610"/>
      <c r="CE488" s="555"/>
      <c r="CF488" s="610"/>
      <c r="CG488" s="555"/>
      <c r="CH488" s="610"/>
      <c r="CI488" s="555"/>
      <c r="CJ488" s="610"/>
      <c r="CK488" s="555"/>
      <c r="CL488" s="610"/>
      <c r="CM488" s="555"/>
      <c r="CN488" s="610"/>
      <c r="CO488" s="555"/>
      <c r="CP488" s="610"/>
      <c r="CQ488" s="555"/>
      <c r="CR488" s="610"/>
      <c r="CS488" s="555"/>
      <c r="CT488" s="610"/>
      <c r="CU488" s="555"/>
      <c r="CV488" s="610"/>
      <c r="CW488" s="555"/>
      <c r="CX488" s="610"/>
      <c r="CY488" s="555"/>
      <c r="CZ488" s="610"/>
      <c r="DA488" s="555"/>
      <c r="DB488" s="556"/>
      <c r="DC488" s="610"/>
      <c r="DD488" s="555"/>
      <c r="DE488" s="610"/>
      <c r="DF488" s="555"/>
      <c r="DG488" s="610"/>
      <c r="DH488" s="555"/>
      <c r="DI488" s="610"/>
      <c r="DJ488" s="555"/>
      <c r="DK488" s="610"/>
      <c r="DL488" s="555"/>
      <c r="DM488" s="610"/>
      <c r="DN488" s="555"/>
      <c r="DO488" s="610"/>
      <c r="DP488" s="555"/>
      <c r="DQ488" s="610"/>
      <c r="DR488" s="555"/>
      <c r="DS488" s="610"/>
      <c r="DT488" s="555"/>
      <c r="DU488" s="610"/>
      <c r="DV488" s="555"/>
      <c r="DW488" s="610"/>
      <c r="DX488" s="555"/>
      <c r="DY488" s="610"/>
      <c r="DZ488" s="555"/>
      <c r="EA488" s="610"/>
      <c r="EB488" s="555"/>
      <c r="EC488" s="610"/>
      <c r="ED488" s="555"/>
      <c r="EE488" s="610"/>
      <c r="EF488" s="555"/>
      <c r="EG488" s="610"/>
      <c r="EH488" s="555"/>
      <c r="EI488" s="610"/>
      <c r="EJ488" s="555"/>
      <c r="EK488" s="610"/>
      <c r="EL488" s="555"/>
      <c r="EM488" s="555"/>
    </row>
    <row r="489" spans="1:144" ht="12.75" hidden="1" customHeight="1" outlineLevel="1" x14ac:dyDescent="0.2">
      <c r="A489" s="599" t="s">
        <v>507</v>
      </c>
      <c r="B489" s="610"/>
      <c r="C489" s="555"/>
      <c r="D489" s="610"/>
      <c r="E489" s="555"/>
      <c r="F489" s="610"/>
      <c r="G489" s="555"/>
      <c r="H489" s="610"/>
      <c r="I489" s="555"/>
      <c r="J489" s="610"/>
      <c r="K489" s="555"/>
      <c r="L489" s="610"/>
      <c r="M489" s="555"/>
      <c r="N489" s="610"/>
      <c r="O489" s="555"/>
      <c r="P489" s="610"/>
      <c r="Q489" s="555"/>
      <c r="R489" s="610"/>
      <c r="S489" s="555"/>
      <c r="T489" s="610"/>
      <c r="U489" s="555"/>
      <c r="V489" s="610"/>
      <c r="W489" s="555"/>
      <c r="X489" s="610"/>
      <c r="Y489" s="555"/>
      <c r="Z489" s="610"/>
      <c r="AA489" s="555"/>
      <c r="AB489" s="610"/>
      <c r="AC489" s="555"/>
      <c r="AD489" s="610"/>
      <c r="AE489" s="555"/>
      <c r="AF489" s="610"/>
      <c r="AG489" s="555"/>
      <c r="AH489" s="610"/>
      <c r="AI489" s="555"/>
      <c r="AJ489" s="610"/>
      <c r="AK489" s="555"/>
      <c r="AL489" s="610"/>
      <c r="AM489" s="555"/>
      <c r="AN489" s="610"/>
      <c r="AO489" s="555"/>
      <c r="AP489" s="610"/>
      <c r="AQ489" s="555"/>
      <c r="AR489" s="610"/>
      <c r="AS489" s="555"/>
      <c r="AT489" s="610"/>
      <c r="AU489" s="555"/>
      <c r="AV489" s="610"/>
      <c r="AW489" s="555"/>
      <c r="AX489" s="610"/>
      <c r="AY489" s="555"/>
      <c r="AZ489" s="610"/>
      <c r="BA489" s="555"/>
      <c r="BB489" s="610"/>
      <c r="BC489" s="555"/>
      <c r="BD489" s="610"/>
      <c r="BE489" s="555"/>
      <c r="BF489" s="610"/>
      <c r="BG489" s="555"/>
      <c r="BH489" s="610"/>
      <c r="BI489" s="555"/>
      <c r="BJ489" s="610"/>
      <c r="BK489" s="555"/>
      <c r="BL489" s="610"/>
      <c r="BM489" s="555"/>
      <c r="BN489" s="610"/>
      <c r="BO489" s="555"/>
      <c r="BP489" s="610"/>
      <c r="BQ489" s="555"/>
      <c r="BR489" s="610"/>
      <c r="BS489" s="555"/>
      <c r="BT489" s="610"/>
      <c r="BU489" s="555"/>
      <c r="BV489" s="610"/>
      <c r="BW489" s="555"/>
      <c r="BX489" s="610"/>
      <c r="BY489" s="555"/>
      <c r="BZ489" s="610"/>
      <c r="CA489" s="555"/>
      <c r="CB489" s="610"/>
      <c r="CC489" s="555"/>
      <c r="CD489" s="610"/>
      <c r="CE489" s="555"/>
      <c r="CF489" s="610"/>
      <c r="CG489" s="555"/>
      <c r="CH489" s="610"/>
      <c r="CI489" s="555"/>
      <c r="CJ489" s="610"/>
      <c r="CK489" s="555"/>
      <c r="CL489" s="610"/>
      <c r="CM489" s="555"/>
      <c r="CN489" s="610"/>
      <c r="CO489" s="555"/>
      <c r="CP489" s="610"/>
      <c r="CQ489" s="555"/>
      <c r="CR489" s="610"/>
      <c r="CS489" s="555"/>
      <c r="CT489" s="610"/>
      <c r="CU489" s="555"/>
      <c r="CV489" s="610"/>
      <c r="CW489" s="555"/>
      <c r="CX489" s="610"/>
      <c r="CY489" s="555"/>
      <c r="CZ489" s="610"/>
      <c r="DA489" s="555"/>
      <c r="DB489" s="556"/>
      <c r="DC489" s="610"/>
      <c r="DD489" s="555"/>
      <c r="DE489" s="610"/>
      <c r="DF489" s="555"/>
      <c r="DG489" s="610"/>
      <c r="DH489" s="555"/>
      <c r="DI489" s="610"/>
      <c r="DJ489" s="555"/>
      <c r="DK489" s="610"/>
      <c r="DL489" s="555"/>
      <c r="DM489" s="610"/>
      <c r="DN489" s="555"/>
      <c r="DO489" s="610"/>
      <c r="DP489" s="555"/>
      <c r="DQ489" s="610"/>
      <c r="DR489" s="555"/>
      <c r="DS489" s="610"/>
      <c r="DT489" s="555"/>
      <c r="DU489" s="610"/>
      <c r="DV489" s="555"/>
      <c r="DW489" s="610"/>
      <c r="DX489" s="555"/>
      <c r="DY489" s="610"/>
      <c r="DZ489" s="555"/>
      <c r="EA489" s="610"/>
      <c r="EB489" s="555"/>
      <c r="EC489" s="610"/>
      <c r="ED489" s="555"/>
      <c r="EE489" s="610"/>
      <c r="EF489" s="555"/>
      <c r="EG489" s="610"/>
      <c r="EH489" s="555"/>
      <c r="EI489" s="610"/>
      <c r="EJ489" s="555"/>
      <c r="EK489" s="610"/>
      <c r="EL489" s="555"/>
      <c r="EM489" s="555"/>
    </row>
    <row r="490" spans="1:144" ht="12.75" hidden="1" customHeight="1" outlineLevel="1" x14ac:dyDescent="0.2">
      <c r="A490" s="599" t="s">
        <v>543</v>
      </c>
      <c r="B490" s="610"/>
      <c r="C490" s="555"/>
      <c r="D490" s="610"/>
      <c r="E490" s="555"/>
      <c r="F490" s="610"/>
      <c r="G490" s="555"/>
      <c r="H490" s="610"/>
      <c r="I490" s="555"/>
      <c r="J490" s="610"/>
      <c r="K490" s="555"/>
      <c r="L490" s="610"/>
      <c r="M490" s="555"/>
      <c r="N490" s="610"/>
      <c r="O490" s="555"/>
      <c r="P490" s="610"/>
      <c r="Q490" s="555"/>
      <c r="R490" s="610"/>
      <c r="S490" s="555"/>
      <c r="T490" s="610"/>
      <c r="U490" s="555"/>
      <c r="V490" s="610"/>
      <c r="W490" s="555"/>
      <c r="X490" s="610"/>
      <c r="Y490" s="555"/>
      <c r="Z490" s="610"/>
      <c r="AA490" s="555"/>
      <c r="AB490" s="610"/>
      <c r="AC490" s="555"/>
      <c r="AD490" s="610"/>
      <c r="AE490" s="555"/>
      <c r="AF490" s="610"/>
      <c r="AG490" s="555"/>
      <c r="AH490" s="610"/>
      <c r="AI490" s="555"/>
      <c r="AJ490" s="610"/>
      <c r="AK490" s="555"/>
      <c r="AL490" s="610"/>
      <c r="AM490" s="555"/>
      <c r="AN490" s="610"/>
      <c r="AO490" s="555"/>
      <c r="AP490" s="610"/>
      <c r="AQ490" s="555"/>
      <c r="AR490" s="610"/>
      <c r="AS490" s="555"/>
      <c r="AT490" s="610"/>
      <c r="AU490" s="555"/>
      <c r="AV490" s="610"/>
      <c r="AW490" s="555"/>
      <c r="AX490" s="610"/>
      <c r="AY490" s="555"/>
      <c r="AZ490" s="610"/>
      <c r="BA490" s="555"/>
      <c r="BB490" s="610"/>
      <c r="BC490" s="555"/>
      <c r="BD490" s="610"/>
      <c r="BE490" s="555"/>
      <c r="BF490" s="610"/>
      <c r="BG490" s="555"/>
      <c r="BH490" s="610"/>
      <c r="BI490" s="555"/>
      <c r="BJ490" s="610"/>
      <c r="BK490" s="555"/>
      <c r="BL490" s="610"/>
      <c r="BM490" s="555"/>
      <c r="BN490" s="610"/>
      <c r="BO490" s="555"/>
      <c r="BP490" s="610"/>
      <c r="BQ490" s="555"/>
      <c r="BR490" s="610"/>
      <c r="BS490" s="555"/>
      <c r="BT490" s="610"/>
      <c r="BU490" s="555"/>
      <c r="BV490" s="610"/>
      <c r="BW490" s="555"/>
      <c r="BX490" s="610"/>
      <c r="BY490" s="555"/>
      <c r="BZ490" s="610"/>
      <c r="CA490" s="555"/>
      <c r="CB490" s="610"/>
      <c r="CC490" s="555"/>
      <c r="CD490" s="610"/>
      <c r="CE490" s="555"/>
      <c r="CF490" s="610"/>
      <c r="CG490" s="555"/>
      <c r="CH490" s="610"/>
      <c r="CI490" s="555"/>
      <c r="CJ490" s="610"/>
      <c r="CK490" s="555"/>
      <c r="CL490" s="610"/>
      <c r="CM490" s="555"/>
      <c r="CN490" s="610"/>
      <c r="CO490" s="555"/>
      <c r="CP490" s="610"/>
      <c r="CQ490" s="555"/>
      <c r="CR490" s="610"/>
      <c r="CS490" s="555"/>
      <c r="CT490" s="610"/>
      <c r="CU490" s="555"/>
      <c r="CV490" s="610"/>
      <c r="CW490" s="555"/>
      <c r="CX490" s="610"/>
      <c r="CY490" s="555"/>
      <c r="CZ490" s="610"/>
      <c r="DA490" s="555"/>
      <c r="DB490" s="556"/>
      <c r="DC490" s="610"/>
      <c r="DD490" s="555"/>
      <c r="DE490" s="610"/>
      <c r="DF490" s="555"/>
      <c r="DG490" s="610"/>
      <c r="DH490" s="555"/>
      <c r="DI490" s="610"/>
      <c r="DJ490" s="555"/>
      <c r="DK490" s="610"/>
      <c r="DL490" s="555"/>
      <c r="DM490" s="610"/>
      <c r="DN490" s="555"/>
      <c r="DO490" s="610"/>
      <c r="DP490" s="555"/>
      <c r="DQ490" s="610"/>
      <c r="DR490" s="555"/>
      <c r="DS490" s="610"/>
      <c r="DT490" s="555"/>
      <c r="DU490" s="610"/>
      <c r="DV490" s="555"/>
      <c r="DW490" s="610"/>
      <c r="DX490" s="555"/>
      <c r="DY490" s="610"/>
      <c r="DZ490" s="555"/>
      <c r="EA490" s="610"/>
      <c r="EB490" s="555"/>
      <c r="EC490" s="610"/>
      <c r="ED490" s="555"/>
      <c r="EE490" s="610"/>
      <c r="EF490" s="555"/>
      <c r="EG490" s="610"/>
      <c r="EH490" s="555"/>
      <c r="EI490" s="610"/>
      <c r="EJ490" s="555"/>
      <c r="EK490" s="610"/>
      <c r="EL490" s="555"/>
      <c r="EM490" s="555"/>
    </row>
    <row r="491" spans="1:144" ht="12.75" hidden="1" customHeight="1" outlineLevel="1" x14ac:dyDescent="0.2">
      <c r="A491" s="609"/>
      <c r="B491" s="610"/>
      <c r="C491" s="555"/>
      <c r="D491" s="610"/>
      <c r="E491" s="555"/>
      <c r="F491" s="610"/>
      <c r="G491" s="555"/>
      <c r="H491" s="610"/>
      <c r="I491" s="555"/>
      <c r="J491" s="610"/>
      <c r="K491" s="555"/>
      <c r="L491" s="610"/>
      <c r="M491" s="555"/>
      <c r="N491" s="610"/>
      <c r="O491" s="555"/>
      <c r="P491" s="610"/>
      <c r="Q491" s="555"/>
      <c r="R491" s="610"/>
      <c r="S491" s="555"/>
      <c r="T491" s="610"/>
      <c r="U491" s="555"/>
      <c r="V491" s="610"/>
      <c r="W491" s="555"/>
      <c r="X491" s="610"/>
      <c r="Y491" s="555"/>
      <c r="Z491" s="610"/>
      <c r="AA491" s="555"/>
      <c r="AB491" s="610"/>
      <c r="AC491" s="555"/>
      <c r="AD491" s="610"/>
      <c r="AE491" s="555"/>
      <c r="AF491" s="610"/>
      <c r="AG491" s="555"/>
      <c r="AH491" s="610"/>
      <c r="AI491" s="555"/>
      <c r="AJ491" s="610"/>
      <c r="AK491" s="555"/>
      <c r="AL491" s="610"/>
      <c r="AM491" s="555"/>
      <c r="AN491" s="610"/>
      <c r="AO491" s="555"/>
      <c r="AP491" s="610"/>
      <c r="AQ491" s="555"/>
      <c r="AR491" s="610"/>
      <c r="AS491" s="555"/>
      <c r="AT491" s="610"/>
      <c r="AU491" s="555"/>
      <c r="AV491" s="610"/>
      <c r="AW491" s="555"/>
      <c r="AX491" s="610"/>
      <c r="AY491" s="555"/>
      <c r="AZ491" s="610"/>
      <c r="BA491" s="555"/>
      <c r="BB491" s="610"/>
      <c r="BC491" s="555"/>
      <c r="BD491" s="610"/>
      <c r="BE491" s="555"/>
      <c r="BF491" s="610"/>
      <c r="BG491" s="555"/>
      <c r="BH491" s="610"/>
      <c r="BI491" s="555"/>
      <c r="BJ491" s="610"/>
      <c r="BK491" s="555"/>
      <c r="BL491" s="610"/>
      <c r="BM491" s="555"/>
      <c r="BN491" s="610"/>
      <c r="BO491" s="555"/>
      <c r="BP491" s="610"/>
      <c r="BQ491" s="555"/>
      <c r="BR491" s="610"/>
      <c r="BS491" s="555"/>
      <c r="BT491" s="610"/>
      <c r="BU491" s="555"/>
      <c r="BV491" s="610"/>
      <c r="BW491" s="555"/>
      <c r="BX491" s="610"/>
      <c r="BY491" s="555"/>
      <c r="BZ491" s="610"/>
      <c r="CA491" s="555"/>
      <c r="CB491" s="610"/>
      <c r="CC491" s="555"/>
      <c r="CD491" s="610"/>
      <c r="CE491" s="555"/>
      <c r="CF491" s="610"/>
      <c r="CG491" s="555"/>
      <c r="CH491" s="610"/>
      <c r="CI491" s="555"/>
      <c r="CJ491" s="610"/>
      <c r="CK491" s="555"/>
      <c r="CL491" s="610"/>
      <c r="CM491" s="555"/>
      <c r="CN491" s="610"/>
      <c r="CO491" s="555"/>
      <c r="CP491" s="610"/>
      <c r="CQ491" s="555"/>
      <c r="CR491" s="610"/>
      <c r="CS491" s="555"/>
      <c r="CT491" s="610"/>
      <c r="CU491" s="555"/>
      <c r="CV491" s="610"/>
      <c r="CW491" s="555"/>
      <c r="CX491" s="610"/>
      <c r="CY491" s="555"/>
      <c r="CZ491" s="610"/>
      <c r="DA491" s="555"/>
      <c r="DB491" s="556"/>
      <c r="DC491" s="610"/>
      <c r="DD491" s="555"/>
      <c r="DE491" s="610"/>
      <c r="DF491" s="555"/>
      <c r="DG491" s="610"/>
      <c r="DH491" s="555"/>
      <c r="DI491" s="610"/>
      <c r="DJ491" s="555"/>
      <c r="DK491" s="610"/>
      <c r="DL491" s="555"/>
      <c r="DM491" s="610"/>
      <c r="DN491" s="555"/>
      <c r="DO491" s="610"/>
      <c r="DP491" s="555"/>
      <c r="DQ491" s="610"/>
      <c r="DR491" s="555"/>
      <c r="DS491" s="610"/>
      <c r="DT491" s="555"/>
      <c r="DU491" s="610"/>
      <c r="DV491" s="555"/>
      <c r="DW491" s="610"/>
      <c r="DX491" s="555"/>
      <c r="DY491" s="610"/>
      <c r="DZ491" s="555"/>
      <c r="EA491" s="610"/>
      <c r="EB491" s="555"/>
      <c r="EC491" s="610"/>
      <c r="ED491" s="555"/>
      <c r="EE491" s="610"/>
      <c r="EF491" s="555"/>
      <c r="EG491" s="610"/>
      <c r="EH491" s="555"/>
      <c r="EI491" s="610"/>
      <c r="EJ491" s="555"/>
      <c r="EK491" s="610"/>
      <c r="EL491" s="555"/>
      <c r="EM491" s="555"/>
    </row>
    <row r="492" spans="1:144" ht="21.95" hidden="1" customHeight="1" outlineLevel="1" x14ac:dyDescent="0.25">
      <c r="A492" s="546" t="str">
        <f>$A$1</f>
        <v>Prudential Financial, Inc.</v>
      </c>
      <c r="B492" s="554"/>
      <c r="C492" s="555"/>
      <c r="D492" s="554"/>
      <c r="E492" s="555"/>
      <c r="F492" s="554"/>
      <c r="G492" s="555"/>
      <c r="H492" s="554"/>
      <c r="I492" s="555"/>
      <c r="J492" s="554"/>
      <c r="K492" s="555"/>
      <c r="L492" s="554"/>
      <c r="M492" s="555"/>
      <c r="N492" s="554"/>
      <c r="O492" s="555"/>
      <c r="P492" s="554"/>
      <c r="Q492" s="555"/>
      <c r="R492" s="554"/>
      <c r="S492" s="555"/>
      <c r="T492" s="554"/>
      <c r="U492" s="555"/>
      <c r="V492" s="554"/>
      <c r="W492" s="555"/>
      <c r="X492" s="554"/>
      <c r="Y492" s="555"/>
      <c r="Z492" s="554"/>
      <c r="AA492" s="555"/>
      <c r="AB492" s="554"/>
      <c r="AC492" s="555"/>
      <c r="AD492" s="554"/>
      <c r="AE492" s="555"/>
      <c r="AF492" s="554"/>
      <c r="AG492" s="555"/>
      <c r="AH492" s="554"/>
      <c r="AI492" s="555"/>
      <c r="AJ492" s="554"/>
      <c r="AK492" s="555"/>
      <c r="AL492" s="554"/>
      <c r="AM492" s="555"/>
      <c r="AN492" s="554"/>
      <c r="AO492" s="555"/>
      <c r="AP492" s="554"/>
      <c r="AQ492" s="555"/>
      <c r="AR492" s="554"/>
      <c r="AS492" s="555"/>
      <c r="AT492" s="554"/>
      <c r="AU492" s="555"/>
      <c r="AV492" s="554"/>
      <c r="AW492" s="555"/>
      <c r="AX492" s="554"/>
      <c r="AY492" s="555"/>
      <c r="AZ492" s="554"/>
      <c r="BA492" s="555"/>
      <c r="BB492" s="554"/>
      <c r="BC492" s="555"/>
      <c r="BD492" s="554"/>
      <c r="BE492" s="555"/>
      <c r="BF492" s="554"/>
      <c r="BG492" s="555"/>
      <c r="BH492" s="554"/>
      <c r="BI492" s="555"/>
      <c r="BJ492" s="554"/>
      <c r="BK492" s="555"/>
      <c r="BL492" s="554"/>
      <c r="BM492" s="555"/>
      <c r="BN492" s="554"/>
      <c r="BO492" s="555"/>
      <c r="BP492" s="554"/>
      <c r="BQ492" s="555"/>
      <c r="BR492" s="554"/>
      <c r="BS492" s="555"/>
      <c r="BT492" s="554"/>
      <c r="BU492" s="555"/>
      <c r="BV492" s="554"/>
      <c r="BW492" s="555"/>
      <c r="BX492" s="554"/>
      <c r="BY492" s="555"/>
      <c r="BZ492" s="554"/>
      <c r="CA492" s="555"/>
      <c r="CB492" s="554"/>
      <c r="CC492" s="555"/>
      <c r="CD492" s="554"/>
      <c r="CE492" s="555"/>
      <c r="CF492" s="554"/>
      <c r="CG492" s="555"/>
      <c r="CH492" s="554"/>
      <c r="CI492" s="555"/>
      <c r="CJ492" s="554"/>
      <c r="CK492" s="555"/>
      <c r="CL492" s="554"/>
      <c r="CM492" s="555"/>
      <c r="CN492" s="554"/>
      <c r="CO492" s="555"/>
      <c r="CP492" s="554"/>
      <c r="CQ492" s="555"/>
      <c r="CR492" s="554"/>
      <c r="CS492" s="555"/>
      <c r="CT492" s="554"/>
      <c r="CU492" s="555"/>
      <c r="CV492" s="554"/>
      <c r="CW492" s="555"/>
      <c r="CX492" s="554"/>
      <c r="CY492" s="555"/>
      <c r="CZ492" s="554"/>
      <c r="DA492" s="555"/>
      <c r="DB492" s="556"/>
      <c r="DC492" s="554"/>
      <c r="DD492" s="555"/>
      <c r="DE492" s="554"/>
      <c r="DF492" s="555"/>
      <c r="DG492" s="554"/>
      <c r="DH492" s="555"/>
      <c r="DI492" s="554"/>
      <c r="DJ492" s="555"/>
      <c r="DK492" s="554"/>
      <c r="DL492" s="555"/>
      <c r="DM492" s="554"/>
      <c r="DN492" s="555"/>
      <c r="DO492" s="554"/>
      <c r="DP492" s="555"/>
      <c r="DQ492" s="554"/>
      <c r="DR492" s="555"/>
      <c r="DS492" s="554"/>
      <c r="DT492" s="555"/>
      <c r="DU492" s="554"/>
      <c r="DV492" s="555"/>
      <c r="DW492" s="554"/>
      <c r="DX492" s="555"/>
      <c r="DY492" s="554"/>
      <c r="DZ492" s="555"/>
      <c r="EA492" s="554"/>
      <c r="EB492" s="555"/>
      <c r="EC492" s="554"/>
      <c r="ED492" s="555"/>
      <c r="EE492" s="554"/>
      <c r="EF492" s="555"/>
      <c r="EG492" s="554"/>
      <c r="EH492" s="555"/>
      <c r="EI492" s="554"/>
      <c r="EJ492" s="555"/>
      <c r="EK492" s="554"/>
      <c r="EL492" s="555"/>
      <c r="EM492" s="554"/>
    </row>
    <row r="493" spans="1:144" ht="12.75" hidden="1" customHeight="1" outlineLevel="1" x14ac:dyDescent="0.2">
      <c r="A493" s="557" t="s">
        <v>387</v>
      </c>
      <c r="B493" s="558"/>
      <c r="C493" s="559"/>
      <c r="D493" s="558"/>
      <c r="E493" s="559"/>
      <c r="F493" s="558"/>
      <c r="G493" s="559"/>
      <c r="H493" s="558"/>
      <c r="I493" s="559"/>
      <c r="J493" s="558"/>
      <c r="K493" s="559"/>
      <c r="L493" s="558"/>
      <c r="M493" s="559"/>
      <c r="N493" s="558"/>
      <c r="O493" s="559"/>
      <c r="P493" s="558"/>
      <c r="Q493" s="559"/>
      <c r="R493" s="558"/>
      <c r="S493" s="559"/>
      <c r="T493" s="558"/>
      <c r="U493" s="559"/>
      <c r="V493" s="558"/>
      <c r="W493" s="559"/>
      <c r="X493" s="558"/>
      <c r="Y493" s="559"/>
      <c r="Z493" s="558"/>
      <c r="AA493" s="559"/>
      <c r="AB493" s="558"/>
      <c r="AC493" s="559"/>
      <c r="AD493" s="558"/>
      <c r="AE493" s="559"/>
      <c r="AF493" s="558"/>
      <c r="AG493" s="559"/>
      <c r="AH493" s="558"/>
      <c r="AI493" s="559"/>
      <c r="AJ493" s="558"/>
      <c r="AK493" s="559"/>
      <c r="AL493" s="558"/>
      <c r="AM493" s="559"/>
      <c r="AN493" s="558"/>
      <c r="AO493" s="559"/>
      <c r="AP493" s="558"/>
      <c r="AQ493" s="559"/>
      <c r="AR493" s="558"/>
      <c r="AS493" s="559"/>
      <c r="AT493" s="558"/>
      <c r="AU493" s="559"/>
      <c r="AV493" s="558"/>
      <c r="AW493" s="559"/>
      <c r="AX493" s="558"/>
      <c r="AY493" s="559"/>
      <c r="AZ493" s="558"/>
      <c r="BA493" s="559"/>
      <c r="BB493" s="558"/>
      <c r="BC493" s="559"/>
      <c r="BD493" s="558"/>
      <c r="BE493" s="559"/>
      <c r="BF493" s="558"/>
      <c r="BG493" s="559"/>
      <c r="BH493" s="558"/>
      <c r="BI493" s="559"/>
      <c r="BJ493" s="558"/>
      <c r="BK493" s="559"/>
      <c r="BL493" s="558"/>
      <c r="BM493" s="559"/>
      <c r="BN493" s="558"/>
      <c r="BO493" s="559"/>
      <c r="BP493" s="558"/>
      <c r="BQ493" s="559"/>
      <c r="BR493" s="558"/>
      <c r="BS493" s="559"/>
      <c r="BT493" s="558"/>
      <c r="BU493" s="559"/>
      <c r="BV493" s="558"/>
      <c r="BW493" s="559"/>
      <c r="BX493" s="558"/>
      <c r="BY493" s="559"/>
      <c r="BZ493" s="558"/>
      <c r="CA493" s="559"/>
      <c r="CB493" s="558"/>
      <c r="CC493" s="559"/>
      <c r="CD493" s="558"/>
      <c r="CE493" s="559"/>
      <c r="CF493" s="558"/>
      <c r="CG493" s="559"/>
      <c r="CH493" s="558"/>
      <c r="CI493" s="559"/>
      <c r="CJ493" s="558"/>
      <c r="CK493" s="559"/>
      <c r="CL493" s="558"/>
      <c r="CM493" s="559"/>
      <c r="CN493" s="558"/>
      <c r="CO493" s="559"/>
      <c r="CP493" s="558"/>
      <c r="CQ493" s="559"/>
      <c r="CR493" s="558"/>
      <c r="CS493" s="559"/>
      <c r="CT493" s="558"/>
      <c r="CU493" s="559"/>
      <c r="CV493" s="558"/>
      <c r="CW493" s="559"/>
      <c r="CX493" s="558"/>
      <c r="CY493" s="559"/>
      <c r="CZ493" s="558"/>
      <c r="DA493" s="559"/>
      <c r="DB493" s="560"/>
      <c r="DC493" s="561"/>
      <c r="DD493" s="559"/>
      <c r="DE493" s="558"/>
      <c r="DF493" s="559"/>
      <c r="DG493" s="558"/>
      <c r="DH493" s="559"/>
      <c r="DI493" s="558"/>
      <c r="DJ493" s="559"/>
      <c r="DK493" s="558"/>
      <c r="DL493" s="559"/>
      <c r="DM493" s="558"/>
      <c r="DN493" s="559"/>
      <c r="DO493" s="558"/>
      <c r="DP493" s="559"/>
      <c r="DQ493" s="558"/>
      <c r="DR493" s="559"/>
      <c r="DS493" s="558"/>
      <c r="DT493" s="559"/>
      <c r="DU493" s="558"/>
      <c r="DV493" s="559"/>
      <c r="DW493" s="558"/>
      <c r="DX493" s="559"/>
      <c r="DY493" s="558"/>
      <c r="DZ493" s="559"/>
      <c r="EA493" s="558"/>
      <c r="EB493" s="559"/>
      <c r="EC493" s="558"/>
      <c r="ED493" s="559"/>
      <c r="EE493" s="558"/>
      <c r="EF493" s="559"/>
      <c r="EG493" s="558"/>
      <c r="EH493" s="559"/>
      <c r="EI493" s="558"/>
      <c r="EJ493" s="559"/>
      <c r="EK493" s="558"/>
      <c r="EL493" s="559"/>
      <c r="EM493" s="558"/>
    </row>
    <row r="494" spans="1:144" ht="12.75" hidden="1" customHeight="1" outlineLevel="1" x14ac:dyDescent="0.2">
      <c r="A494" s="548" t="str">
        <f>A$3</f>
        <v>($Millions Except Per Share Data)</v>
      </c>
      <c r="B494" s="563"/>
      <c r="C494" s="564" t="str">
        <f>C$3</f>
        <v>1Q06/</v>
      </c>
      <c r="D494" s="563"/>
      <c r="E494" s="564" t="str">
        <f>E$3</f>
        <v>2Q06/</v>
      </c>
      <c r="F494" s="563"/>
      <c r="G494" s="564" t="str">
        <f>G$3</f>
        <v>3Q06/</v>
      </c>
      <c r="H494" s="563"/>
      <c r="I494" s="564" t="str">
        <f>I$3</f>
        <v>4Q06/</v>
      </c>
      <c r="J494" s="563"/>
      <c r="K494" s="564" t="str">
        <f>K$3</f>
        <v>1Q07/</v>
      </c>
      <c r="L494" s="563"/>
      <c r="M494" s="564" t="str">
        <f>M$3</f>
        <v>2Q07/</v>
      </c>
      <c r="N494" s="563"/>
      <c r="O494" s="564" t="str">
        <f>O$3</f>
        <v>3Q07/</v>
      </c>
      <c r="P494" s="563"/>
      <c r="Q494" s="564" t="str">
        <f>Q$3</f>
        <v>4Q07/</v>
      </c>
      <c r="R494" s="563"/>
      <c r="S494" s="564" t="str">
        <f>S$3</f>
        <v>1Q08/</v>
      </c>
      <c r="T494" s="563"/>
      <c r="U494" s="564" t="str">
        <f>U$3</f>
        <v>2Q08/</v>
      </c>
      <c r="V494" s="563"/>
      <c r="W494" s="564" t="str">
        <f>W$3</f>
        <v>3Q08/</v>
      </c>
      <c r="X494" s="563"/>
      <c r="Y494" s="564" t="str">
        <f>Y$3</f>
        <v>4Q08/</v>
      </c>
      <c r="Z494" s="563"/>
      <c r="AA494" s="564" t="str">
        <f>AA$3</f>
        <v>1Q09/</v>
      </c>
      <c r="AB494" s="563"/>
      <c r="AC494" s="564" t="str">
        <f>AC$3</f>
        <v>2Q09/</v>
      </c>
      <c r="AD494" s="563"/>
      <c r="AE494" s="564" t="str">
        <f>AE$3</f>
        <v>3Q09/</v>
      </c>
      <c r="AF494" s="563"/>
      <c r="AG494" s="564" t="str">
        <f>AG$3</f>
        <v>4Q09/</v>
      </c>
      <c r="AH494" s="563"/>
      <c r="AI494" s="564" t="str">
        <f>AI$3</f>
        <v>1Q10/</v>
      </c>
      <c r="AJ494" s="563"/>
      <c r="AK494" s="564" t="str">
        <f>AK$3</f>
        <v>2Q10/</v>
      </c>
      <c r="AL494" s="563"/>
      <c r="AM494" s="564" t="str">
        <f>AM$3</f>
        <v>3Q10/</v>
      </c>
      <c r="AN494" s="563"/>
      <c r="AO494" s="564" t="str">
        <f>AO$3</f>
        <v>4Q10/</v>
      </c>
      <c r="AP494" s="563"/>
      <c r="AQ494" s="564" t="str">
        <f>AQ$3</f>
        <v>1Q11/</v>
      </c>
      <c r="AR494" s="563"/>
      <c r="AS494" s="564" t="str">
        <f>AS$3</f>
        <v>2Q11/</v>
      </c>
      <c r="AT494" s="563"/>
      <c r="AU494" s="564" t="str">
        <f>AU$3</f>
        <v>3Q11/</v>
      </c>
      <c r="AV494" s="563"/>
      <c r="AW494" s="564" t="str">
        <f>AW$3</f>
        <v>4Q11/</v>
      </c>
      <c r="AX494" s="563"/>
      <c r="AY494" s="564" t="str">
        <f>AY$3</f>
        <v>1Q12/</v>
      </c>
      <c r="AZ494" s="563"/>
      <c r="BA494" s="564" t="str">
        <f>BA$3</f>
        <v>2Q12/</v>
      </c>
      <c r="BB494" s="563"/>
      <c r="BC494" s="564" t="str">
        <f>BC$3</f>
        <v>3Q12/</v>
      </c>
      <c r="BD494" s="563"/>
      <c r="BE494" s="564" t="str">
        <f>BE$3</f>
        <v>4Q12/</v>
      </c>
      <c r="BF494" s="563"/>
      <c r="BG494" s="564" t="str">
        <f>BG$3</f>
        <v>1Q13/</v>
      </c>
      <c r="BH494" s="563"/>
      <c r="BI494" s="564" t="str">
        <f>BI$3</f>
        <v>2Q13/</v>
      </c>
      <c r="BJ494" s="563"/>
      <c r="BK494" s="564" t="str">
        <f>BK$3</f>
        <v>3Q13/</v>
      </c>
      <c r="BL494" s="563"/>
      <c r="BM494" s="564" t="str">
        <f>BM$3</f>
        <v>4Q13/</v>
      </c>
      <c r="BN494" s="563"/>
      <c r="BO494" s="564" t="str">
        <f>BO$3</f>
        <v>1Q14/</v>
      </c>
      <c r="BP494" s="563"/>
      <c r="BQ494" s="564" t="str">
        <f>BQ$3</f>
        <v>2Q14/</v>
      </c>
      <c r="BR494" s="563"/>
      <c r="BS494" s="564" t="str">
        <f>BS$3</f>
        <v>3Q14/</v>
      </c>
      <c r="BT494" s="563"/>
      <c r="BU494" s="564" t="str">
        <f>BU$3</f>
        <v>4Q14/</v>
      </c>
      <c r="BV494" s="563"/>
      <c r="BW494" s="564" t="str">
        <f>BW$3</f>
        <v>1Q15/</v>
      </c>
      <c r="BX494" s="563"/>
      <c r="BY494" s="564" t="str">
        <f>BY$3</f>
        <v>2Q15/</v>
      </c>
      <c r="BZ494" s="563"/>
      <c r="CA494" s="564" t="str">
        <f>CA$3</f>
        <v>3Q15/</v>
      </c>
      <c r="CB494" s="563"/>
      <c r="CC494" s="564" t="str">
        <f>CC$3</f>
        <v>4Q15/</v>
      </c>
      <c r="CD494" s="563"/>
      <c r="CE494" s="564" t="str">
        <f>CE$3</f>
        <v>1Q16/</v>
      </c>
      <c r="CF494" s="563"/>
      <c r="CG494" s="564" t="str">
        <f>CG$3</f>
        <v>2Q16/</v>
      </c>
      <c r="CH494" s="563"/>
      <c r="CI494" s="564" t="str">
        <f>CI$3</f>
        <v>3Q16/</v>
      </c>
      <c r="CJ494" s="563"/>
      <c r="CK494" s="564" t="str">
        <f>CK$3</f>
        <v>4Q16/</v>
      </c>
      <c r="CL494" s="563"/>
      <c r="CM494" s="564" t="str">
        <f>CM$3</f>
        <v>1Q17/</v>
      </c>
      <c r="CN494" s="563"/>
      <c r="CO494" s="564" t="str">
        <f>CO$3</f>
        <v>2Q17/</v>
      </c>
      <c r="CP494" s="563"/>
      <c r="CQ494" s="564" t="str">
        <f>CQ$3</f>
        <v>3Q17/</v>
      </c>
      <c r="CR494" s="563"/>
      <c r="CS494" s="564" t="str">
        <f>CS$3</f>
        <v>4Q17/</v>
      </c>
      <c r="CT494" s="563"/>
      <c r="CU494" s="564" t="str">
        <f>CU$3</f>
        <v>1Q18E/</v>
      </c>
      <c r="CV494" s="563"/>
      <c r="CW494" s="564" t="str">
        <f>CW$3</f>
        <v>2Q18E/</v>
      </c>
      <c r="CX494" s="563"/>
      <c r="CY494" s="564" t="str">
        <f>CY$3</f>
        <v>3Q18E/</v>
      </c>
      <c r="CZ494" s="563"/>
      <c r="DA494" s="564" t="str">
        <f>DA$3</f>
        <v>4Q18E/</v>
      </c>
      <c r="DB494" s="565"/>
      <c r="DC494" s="563"/>
      <c r="DD494" s="564" t="str">
        <f>DD$3</f>
        <v>2005/</v>
      </c>
      <c r="DE494" s="563"/>
      <c r="DF494" s="564" t="str">
        <f>DF$3</f>
        <v>2006/</v>
      </c>
      <c r="DG494" s="563"/>
      <c r="DH494" s="564" t="str">
        <f>DH$3</f>
        <v>2007/</v>
      </c>
      <c r="DI494" s="563"/>
      <c r="DJ494" s="564" t="str">
        <f>DJ$3</f>
        <v>2008/</v>
      </c>
      <c r="DK494" s="563"/>
      <c r="DL494" s="564" t="str">
        <f>DL$3</f>
        <v>2009/</v>
      </c>
      <c r="DM494" s="563"/>
      <c r="DN494" s="564" t="str">
        <f>DN$3</f>
        <v>2010/</v>
      </c>
      <c r="DO494" s="563"/>
      <c r="DP494" s="564" t="str">
        <f>DP$3</f>
        <v>2011/</v>
      </c>
      <c r="DQ494" s="563"/>
      <c r="DR494" s="564" t="str">
        <f>DR$3</f>
        <v>2012/</v>
      </c>
      <c r="DS494" s="563"/>
      <c r="DT494" s="564" t="str">
        <f>DT$3</f>
        <v>2013/</v>
      </c>
      <c r="DU494" s="563"/>
      <c r="DV494" s="564" t="str">
        <f>DV$3</f>
        <v>2014/</v>
      </c>
      <c r="DW494" s="563"/>
      <c r="DX494" s="564" t="str">
        <f>DX$3</f>
        <v>2015/</v>
      </c>
      <c r="DY494" s="563"/>
      <c r="DZ494" s="564" t="str">
        <f>DZ$3</f>
        <v>2016/</v>
      </c>
      <c r="EA494" s="563"/>
      <c r="EB494" s="564" t="str">
        <f>EB$3</f>
        <v>2017/</v>
      </c>
      <c r="EC494" s="563"/>
      <c r="ED494" s="564" t="str">
        <f>ED$3</f>
        <v>2018E/</v>
      </c>
      <c r="EE494" s="563"/>
      <c r="EF494" s="564" t="str">
        <f>EF$3</f>
        <v>2019E/</v>
      </c>
      <c r="EG494" s="563"/>
      <c r="EH494" s="564" t="str">
        <f>EH$3</f>
        <v>2020E/</v>
      </c>
      <c r="EI494" s="563"/>
      <c r="EJ494" s="564" t="str">
        <f>EJ$3</f>
        <v>2021E/</v>
      </c>
      <c r="EK494" s="563"/>
      <c r="EL494" s="564" t="str">
        <f>EL$3</f>
        <v>2022E/</v>
      </c>
      <c r="EM494" s="566" t="str">
        <f>EM$3</f>
        <v>5-Yr</v>
      </c>
      <c r="EN494" s="549"/>
    </row>
    <row r="495" spans="1:144" ht="12.75" hidden="1" customHeight="1" outlineLevel="1" x14ac:dyDescent="0.2">
      <c r="A495" s="567"/>
      <c r="B495" s="568"/>
      <c r="C495" s="559" t="str">
        <f>C$4</f>
        <v>1Q05</v>
      </c>
      <c r="D495" s="568"/>
      <c r="E495" s="559" t="str">
        <f>E$4</f>
        <v>2Q05</v>
      </c>
      <c r="F495" s="568"/>
      <c r="G495" s="559" t="str">
        <f>G$4</f>
        <v>3Q05</v>
      </c>
      <c r="H495" s="568"/>
      <c r="I495" s="559" t="str">
        <f>I$4</f>
        <v>4Q05</v>
      </c>
      <c r="J495" s="568"/>
      <c r="K495" s="559" t="str">
        <f>K$4</f>
        <v>1Q06</v>
      </c>
      <c r="L495" s="568"/>
      <c r="M495" s="559" t="str">
        <f>M$4</f>
        <v>2Q06</v>
      </c>
      <c r="N495" s="568"/>
      <c r="O495" s="559" t="str">
        <f>O$4</f>
        <v>3Q06</v>
      </c>
      <c r="P495" s="568"/>
      <c r="Q495" s="559" t="str">
        <f>Q$4</f>
        <v>4Q06</v>
      </c>
      <c r="R495" s="568"/>
      <c r="S495" s="559" t="str">
        <f>S$4</f>
        <v>1Q07</v>
      </c>
      <c r="T495" s="568"/>
      <c r="U495" s="559" t="str">
        <f>U$4</f>
        <v>2Q07</v>
      </c>
      <c r="V495" s="568"/>
      <c r="W495" s="559" t="str">
        <f>W$4</f>
        <v>3Q07</v>
      </c>
      <c r="X495" s="568"/>
      <c r="Y495" s="559" t="str">
        <f>Y$4</f>
        <v>4Q07</v>
      </c>
      <c r="Z495" s="568"/>
      <c r="AA495" s="559" t="str">
        <f>AA$4</f>
        <v>1Q08</v>
      </c>
      <c r="AB495" s="568"/>
      <c r="AC495" s="559" t="str">
        <f>AC$4</f>
        <v>2Q08</v>
      </c>
      <c r="AD495" s="568"/>
      <c r="AE495" s="559" t="str">
        <f>AE$4</f>
        <v>3Q08</v>
      </c>
      <c r="AF495" s="568"/>
      <c r="AG495" s="559" t="str">
        <f>AG$4</f>
        <v>4Q08</v>
      </c>
      <c r="AH495" s="568"/>
      <c r="AI495" s="559" t="str">
        <f>AI$4</f>
        <v>1Q09</v>
      </c>
      <c r="AJ495" s="568"/>
      <c r="AK495" s="559" t="str">
        <f>AK$4</f>
        <v>2Q09</v>
      </c>
      <c r="AL495" s="568"/>
      <c r="AM495" s="559" t="str">
        <f>AM$4</f>
        <v>3Q09</v>
      </c>
      <c r="AN495" s="568"/>
      <c r="AO495" s="559" t="str">
        <f>AO$4</f>
        <v>4Q09</v>
      </c>
      <c r="AP495" s="568"/>
      <c r="AQ495" s="559" t="str">
        <f>AQ$4</f>
        <v>1Q10</v>
      </c>
      <c r="AR495" s="568"/>
      <c r="AS495" s="559" t="str">
        <f>AS$4</f>
        <v>2Q10</v>
      </c>
      <c r="AT495" s="568"/>
      <c r="AU495" s="559" t="str">
        <f>AU$4</f>
        <v>3Q10</v>
      </c>
      <c r="AV495" s="568"/>
      <c r="AW495" s="559" t="str">
        <f>AW$4</f>
        <v>4Q10</v>
      </c>
      <c r="AX495" s="568"/>
      <c r="AY495" s="559" t="str">
        <f>AY$4</f>
        <v>1Q11</v>
      </c>
      <c r="AZ495" s="568"/>
      <c r="BA495" s="559" t="str">
        <f>BA$4</f>
        <v>2Q11</v>
      </c>
      <c r="BB495" s="568"/>
      <c r="BC495" s="559" t="str">
        <f>BC$4</f>
        <v>3Q11</v>
      </c>
      <c r="BD495" s="568"/>
      <c r="BE495" s="559" t="str">
        <f>BE$4</f>
        <v>4Q11</v>
      </c>
      <c r="BF495" s="568"/>
      <c r="BG495" s="559" t="str">
        <f>BG$4</f>
        <v>1Q12</v>
      </c>
      <c r="BH495" s="568"/>
      <c r="BI495" s="559" t="str">
        <f>BI$4</f>
        <v>2Q12</v>
      </c>
      <c r="BJ495" s="568"/>
      <c r="BK495" s="559" t="str">
        <f>BK$4</f>
        <v>3Q12</v>
      </c>
      <c r="BL495" s="568"/>
      <c r="BM495" s="559" t="str">
        <f>BM$4</f>
        <v>4Q12</v>
      </c>
      <c r="BN495" s="568"/>
      <c r="BO495" s="559" t="str">
        <f>BO$4</f>
        <v>1Q13</v>
      </c>
      <c r="BP495" s="568"/>
      <c r="BQ495" s="559" t="str">
        <f>BQ$4</f>
        <v>2Q13</v>
      </c>
      <c r="BR495" s="568"/>
      <c r="BS495" s="559" t="str">
        <f>BS$4</f>
        <v>3Q13</v>
      </c>
      <c r="BT495" s="568"/>
      <c r="BU495" s="559" t="str">
        <f>BU$4</f>
        <v>4Q13</v>
      </c>
      <c r="BV495" s="568"/>
      <c r="BW495" s="559" t="str">
        <f>BW$4</f>
        <v>1Q14</v>
      </c>
      <c r="BX495" s="568"/>
      <c r="BY495" s="559" t="str">
        <f>BY$4</f>
        <v>2Q14</v>
      </c>
      <c r="BZ495" s="568"/>
      <c r="CA495" s="559" t="str">
        <f>CA$4</f>
        <v>3Q14</v>
      </c>
      <c r="CB495" s="568"/>
      <c r="CC495" s="559" t="str">
        <f>CC$4</f>
        <v>4Q14</v>
      </c>
      <c r="CD495" s="568"/>
      <c r="CE495" s="559" t="str">
        <f>CE$4</f>
        <v>1Q15</v>
      </c>
      <c r="CF495" s="568"/>
      <c r="CG495" s="559" t="str">
        <f>CG$4</f>
        <v>2Q15</v>
      </c>
      <c r="CH495" s="568"/>
      <c r="CI495" s="559" t="str">
        <f>CI$4</f>
        <v>3Q15</v>
      </c>
      <c r="CJ495" s="568"/>
      <c r="CK495" s="559" t="str">
        <f>CK$4</f>
        <v>4Q15</v>
      </c>
      <c r="CL495" s="568"/>
      <c r="CM495" s="559" t="str">
        <f>CM$4</f>
        <v>1Q16</v>
      </c>
      <c r="CN495" s="568"/>
      <c r="CO495" s="559" t="str">
        <f>CO$4</f>
        <v>2Q16</v>
      </c>
      <c r="CP495" s="568"/>
      <c r="CQ495" s="559" t="str">
        <f>CQ$4</f>
        <v>3Q16</v>
      </c>
      <c r="CR495" s="568"/>
      <c r="CS495" s="559" t="str">
        <f>CS$4</f>
        <v>4Q16</v>
      </c>
      <c r="CT495" s="568"/>
      <c r="CU495" s="559" t="str">
        <f>CU$4</f>
        <v>1Q17</v>
      </c>
      <c r="CV495" s="568"/>
      <c r="CW495" s="559" t="str">
        <f>CW$4</f>
        <v>2Q17</v>
      </c>
      <c r="CX495" s="568"/>
      <c r="CY495" s="559" t="str">
        <f>CY$4</f>
        <v>3Q17</v>
      </c>
      <c r="CZ495" s="568"/>
      <c r="DA495" s="559" t="str">
        <f>DA$4</f>
        <v>4Q17</v>
      </c>
      <c r="DB495" s="560"/>
      <c r="DC495" s="568"/>
      <c r="DD495" s="568">
        <f>DD$4</f>
        <v>2004</v>
      </c>
      <c r="DE495" s="568"/>
      <c r="DF495" s="559" t="str">
        <f>DF$4</f>
        <v>2005</v>
      </c>
      <c r="DG495" s="568"/>
      <c r="DH495" s="559" t="str">
        <f>DH$4</f>
        <v>2006</v>
      </c>
      <c r="DI495" s="568"/>
      <c r="DJ495" s="569">
        <f>DJ$4</f>
        <v>2007</v>
      </c>
      <c r="DK495" s="568"/>
      <c r="DL495" s="559" t="str">
        <f>DL$4</f>
        <v>2008</v>
      </c>
      <c r="DM495" s="568"/>
      <c r="DN495" s="559" t="str">
        <f>DN$4</f>
        <v>2009</v>
      </c>
      <c r="DO495" s="568"/>
      <c r="DP495" s="559" t="str">
        <f>DP$4</f>
        <v>2010</v>
      </c>
      <c r="DQ495" s="568"/>
      <c r="DR495" s="559" t="str">
        <f>DR$4</f>
        <v>2011</v>
      </c>
      <c r="DS495" s="568"/>
      <c r="DT495" s="559" t="str">
        <f>DT$4</f>
        <v>2012</v>
      </c>
      <c r="DU495" s="568"/>
      <c r="DV495" s="559" t="str">
        <f>DV$4</f>
        <v>2013</v>
      </c>
      <c r="DW495" s="568"/>
      <c r="DX495" s="559">
        <f>DX$4</f>
        <v>2014</v>
      </c>
      <c r="DY495" s="568"/>
      <c r="DZ495" s="559" t="str">
        <f>DZ$4</f>
        <v>2015</v>
      </c>
      <c r="EA495" s="568"/>
      <c r="EB495" s="559">
        <f>EB$4</f>
        <v>2016</v>
      </c>
      <c r="EC495" s="568"/>
      <c r="ED495" s="559">
        <f>ED$4</f>
        <v>2017</v>
      </c>
      <c r="EE495" s="568"/>
      <c r="EF495" s="559" t="str">
        <f>EF$4</f>
        <v>2018E</v>
      </c>
      <c r="EG495" s="568"/>
      <c r="EH495" s="559" t="str">
        <f>EH$4</f>
        <v>2019E</v>
      </c>
      <c r="EI495" s="568"/>
      <c r="EJ495" s="559" t="str">
        <f>EJ$4</f>
        <v>2020E</v>
      </c>
      <c r="EK495" s="568"/>
      <c r="EL495" s="559" t="str">
        <f>EL$4</f>
        <v>2021E</v>
      </c>
      <c r="EM495" s="558" t="str">
        <f>EM$4</f>
        <v>CAGR</v>
      </c>
      <c r="EN495" s="549"/>
    </row>
    <row r="496" spans="1:144" ht="12.75" hidden="1" customHeight="1" outlineLevel="1" x14ac:dyDescent="0.2">
      <c r="A496" s="570"/>
      <c r="B496" s="571" t="str">
        <f>+B$5</f>
        <v>1Q06</v>
      </c>
      <c r="C496" s="572" t="str">
        <f>C$5</f>
        <v>% Chg</v>
      </c>
      <c r="D496" s="571" t="str">
        <f>+D$5</f>
        <v>2Q06</v>
      </c>
      <c r="E496" s="572" t="str">
        <f>E$5</f>
        <v>% Chg</v>
      </c>
      <c r="F496" s="571" t="str">
        <f>+F$5</f>
        <v>3Q06</v>
      </c>
      <c r="G496" s="572" t="str">
        <f>G$5</f>
        <v>% Chg</v>
      </c>
      <c r="H496" s="571" t="str">
        <f>+H$5</f>
        <v>4Q06</v>
      </c>
      <c r="I496" s="572" t="str">
        <f>I$5</f>
        <v>% Chg</v>
      </c>
      <c r="J496" s="571" t="str">
        <f>+J$5</f>
        <v>1Q07</v>
      </c>
      <c r="K496" s="572" t="str">
        <f>K$5</f>
        <v>% Chg</v>
      </c>
      <c r="L496" s="571" t="str">
        <f>+L$5</f>
        <v>2Q07</v>
      </c>
      <c r="M496" s="572" t="str">
        <f>M$5</f>
        <v>% Chg</v>
      </c>
      <c r="N496" s="571" t="str">
        <f>+N$5</f>
        <v>3Q07</v>
      </c>
      <c r="O496" s="572" t="str">
        <f>O$5</f>
        <v>% Chg</v>
      </c>
      <c r="P496" s="571" t="str">
        <f>+P$5</f>
        <v>4Q07</v>
      </c>
      <c r="Q496" s="572" t="str">
        <f>Q$5</f>
        <v>% Chg</v>
      </c>
      <c r="R496" s="571" t="str">
        <f>+R$5</f>
        <v>1Q08</v>
      </c>
      <c r="S496" s="572" t="str">
        <f>S$5</f>
        <v>% Chg</v>
      </c>
      <c r="T496" s="571" t="str">
        <f>+T$5</f>
        <v>2Q08</v>
      </c>
      <c r="U496" s="572" t="str">
        <f>U$5</f>
        <v>% Chg</v>
      </c>
      <c r="V496" s="571" t="str">
        <f>+V$5</f>
        <v>3Q08</v>
      </c>
      <c r="W496" s="572" t="str">
        <f>W$5</f>
        <v>% Chg</v>
      </c>
      <c r="X496" s="571" t="str">
        <f>+X$5</f>
        <v>4Q08</v>
      </c>
      <c r="Y496" s="572" t="str">
        <f>Y$5</f>
        <v>% Chg</v>
      </c>
      <c r="Z496" s="571" t="str">
        <f>+Z$5</f>
        <v>1Q09</v>
      </c>
      <c r="AA496" s="572" t="str">
        <f>AA$5</f>
        <v>% Chg</v>
      </c>
      <c r="AB496" s="571" t="str">
        <f>+AB$5</f>
        <v>2Q09</v>
      </c>
      <c r="AC496" s="572" t="str">
        <f>AC$5</f>
        <v>% Chg</v>
      </c>
      <c r="AD496" s="571" t="str">
        <f>+AD$5</f>
        <v>3Q09</v>
      </c>
      <c r="AE496" s="572" t="str">
        <f>AE$5</f>
        <v>% Chg</v>
      </c>
      <c r="AF496" s="571" t="str">
        <f>+AF$5</f>
        <v>4Q09</v>
      </c>
      <c r="AG496" s="572" t="str">
        <f>AG$5</f>
        <v>% Chg</v>
      </c>
      <c r="AH496" s="571" t="str">
        <f>+AH$5</f>
        <v>1Q10</v>
      </c>
      <c r="AI496" s="572" t="str">
        <f>AI$5</f>
        <v>% Chg</v>
      </c>
      <c r="AJ496" s="571" t="str">
        <f>+AJ$5</f>
        <v>2Q10</v>
      </c>
      <c r="AK496" s="572" t="str">
        <f>AK$5</f>
        <v>% Chg</v>
      </c>
      <c r="AL496" s="571" t="str">
        <f>+AL$5</f>
        <v>3Q10</v>
      </c>
      <c r="AM496" s="572" t="str">
        <f>AM$5</f>
        <v>% Chg</v>
      </c>
      <c r="AN496" s="571" t="str">
        <f>+AN$5</f>
        <v>4Q10</v>
      </c>
      <c r="AO496" s="572" t="str">
        <f>AO$5</f>
        <v>% Chg</v>
      </c>
      <c r="AP496" s="571" t="str">
        <f>+AP$5</f>
        <v>1Q11</v>
      </c>
      <c r="AQ496" s="572" t="str">
        <f>AQ$5</f>
        <v>% Chg</v>
      </c>
      <c r="AR496" s="571" t="str">
        <f>+AR$5</f>
        <v>2Q11</v>
      </c>
      <c r="AS496" s="572" t="str">
        <f>AS$5</f>
        <v>% Chg</v>
      </c>
      <c r="AT496" s="571" t="str">
        <f>+AT$5</f>
        <v>3Q11</v>
      </c>
      <c r="AU496" s="572" t="str">
        <f>AU$5</f>
        <v>% Chg</v>
      </c>
      <c r="AV496" s="571" t="str">
        <f>+AV$5</f>
        <v>4Q11</v>
      </c>
      <c r="AW496" s="572" t="str">
        <f>AW$5</f>
        <v>% Chg</v>
      </c>
      <c r="AX496" s="571" t="str">
        <f>+AX$5</f>
        <v>1Q12</v>
      </c>
      <c r="AY496" s="572" t="str">
        <f>AY$5</f>
        <v>% Chg</v>
      </c>
      <c r="AZ496" s="571" t="str">
        <f>+AZ$5</f>
        <v>2Q12</v>
      </c>
      <c r="BA496" s="572" t="str">
        <f>BA$5</f>
        <v>% Chg</v>
      </c>
      <c r="BB496" s="571" t="str">
        <f>+BB$5</f>
        <v>3Q12</v>
      </c>
      <c r="BC496" s="572" t="str">
        <f>BC$5</f>
        <v>% Chg</v>
      </c>
      <c r="BD496" s="571" t="str">
        <f>+BD$5</f>
        <v>4Q12</v>
      </c>
      <c r="BE496" s="572" t="str">
        <f>BE$5</f>
        <v>% Chg</v>
      </c>
      <c r="BF496" s="571" t="str">
        <f>+BF$5</f>
        <v>1Q13</v>
      </c>
      <c r="BG496" s="572" t="str">
        <f>BG$5</f>
        <v>% Chg</v>
      </c>
      <c r="BH496" s="571" t="str">
        <f>+BH$5</f>
        <v>2Q13</v>
      </c>
      <c r="BI496" s="572" t="str">
        <f>BI$5</f>
        <v>% Chg</v>
      </c>
      <c r="BJ496" s="571" t="str">
        <f>+BJ$5</f>
        <v>3Q13</v>
      </c>
      <c r="BK496" s="572" t="str">
        <f>BK$5</f>
        <v>% Chg</v>
      </c>
      <c r="BL496" s="571" t="str">
        <f>+BL$5</f>
        <v>4Q13</v>
      </c>
      <c r="BM496" s="572" t="str">
        <f>BM$5</f>
        <v>% Chg</v>
      </c>
      <c r="BN496" s="571" t="str">
        <f>+BN$5</f>
        <v>1Q14</v>
      </c>
      <c r="BO496" s="572" t="str">
        <f>BO$5</f>
        <v>% Chg</v>
      </c>
      <c r="BP496" s="571" t="str">
        <f>+BP$5</f>
        <v>2Q14</v>
      </c>
      <c r="BQ496" s="572" t="str">
        <f>BQ$5</f>
        <v>% Chg</v>
      </c>
      <c r="BR496" s="571" t="str">
        <f>+BR$5</f>
        <v>3Q14</v>
      </c>
      <c r="BS496" s="572" t="str">
        <f>BS$5</f>
        <v>% Chg</v>
      </c>
      <c r="BT496" s="571" t="str">
        <f>+BT$5</f>
        <v>4Q14</v>
      </c>
      <c r="BU496" s="572" t="str">
        <f>BU$5</f>
        <v>% Chg</v>
      </c>
      <c r="BV496" s="571" t="str">
        <f>+BV$5</f>
        <v>1Q15</v>
      </c>
      <c r="BW496" s="572" t="str">
        <f>BW$5</f>
        <v>% Chg</v>
      </c>
      <c r="BX496" s="571" t="str">
        <f>+BX$5</f>
        <v>2Q15</v>
      </c>
      <c r="BY496" s="572" t="str">
        <f>BY$5</f>
        <v>% Chg</v>
      </c>
      <c r="BZ496" s="571" t="str">
        <f>+BZ$5</f>
        <v>3Q15</v>
      </c>
      <c r="CA496" s="572" t="str">
        <f>CA$5</f>
        <v>% Chg</v>
      </c>
      <c r="CB496" s="571" t="str">
        <f>+CB$5</f>
        <v>4Q15</v>
      </c>
      <c r="CC496" s="572" t="str">
        <f>CC$5</f>
        <v>% Chg</v>
      </c>
      <c r="CD496" s="571" t="str">
        <f>+CD$5</f>
        <v>1Q16</v>
      </c>
      <c r="CE496" s="572" t="str">
        <f>CE$5</f>
        <v>% Chg</v>
      </c>
      <c r="CF496" s="571" t="str">
        <f>+CF$5</f>
        <v>2Q16</v>
      </c>
      <c r="CG496" s="572" t="str">
        <f>CG$5</f>
        <v>% Chg</v>
      </c>
      <c r="CH496" s="571" t="str">
        <f>+CH$5</f>
        <v>3Q16</v>
      </c>
      <c r="CI496" s="572" t="str">
        <f>CI$5</f>
        <v>% Chg</v>
      </c>
      <c r="CJ496" s="571" t="str">
        <f>+CJ$5</f>
        <v>4Q16</v>
      </c>
      <c r="CK496" s="572" t="str">
        <f>CK$5</f>
        <v>% Chg</v>
      </c>
      <c r="CL496" s="571" t="str">
        <f>+CL$5</f>
        <v>1Q17</v>
      </c>
      <c r="CM496" s="572" t="str">
        <f>CM$5</f>
        <v>% Chg</v>
      </c>
      <c r="CN496" s="571" t="str">
        <f>+CN$5</f>
        <v>2Q17</v>
      </c>
      <c r="CO496" s="572" t="str">
        <f>CO$5</f>
        <v>% Chg</v>
      </c>
      <c r="CP496" s="571" t="str">
        <f>+CP$5</f>
        <v>3Q17</v>
      </c>
      <c r="CQ496" s="572" t="str">
        <f>CQ$5</f>
        <v>% Chg</v>
      </c>
      <c r="CR496" s="571" t="str">
        <f>+CR$5</f>
        <v>4Q17</v>
      </c>
      <c r="CS496" s="572" t="str">
        <f>CS$5</f>
        <v>% Chg</v>
      </c>
      <c r="CT496" s="571" t="str">
        <f>+CT$5</f>
        <v>1Q18E</v>
      </c>
      <c r="CU496" s="572" t="str">
        <f>CU$5</f>
        <v>% Chg</v>
      </c>
      <c r="CV496" s="571" t="str">
        <f>+CV$5</f>
        <v>2Q18E</v>
      </c>
      <c r="CW496" s="572" t="str">
        <f>CW$5</f>
        <v>% Chg</v>
      </c>
      <c r="CX496" s="571" t="str">
        <f>+CX$5</f>
        <v>3Q18E</v>
      </c>
      <c r="CY496" s="572" t="str">
        <f>CY$5</f>
        <v>% Chg</v>
      </c>
      <c r="CZ496" s="571" t="str">
        <f>+CZ$5</f>
        <v>4Q18E</v>
      </c>
      <c r="DA496" s="572" t="str">
        <f>DA$5</f>
        <v>% Chg</v>
      </c>
      <c r="DB496" s="573"/>
      <c r="DC496" s="571" t="str">
        <f>+DC$5</f>
        <v>2005</v>
      </c>
      <c r="DD496" s="572" t="str">
        <f>DD$5</f>
        <v>% Chg</v>
      </c>
      <c r="DE496" s="571" t="str">
        <f>+DE$5</f>
        <v>2006</v>
      </c>
      <c r="DF496" s="572" t="str">
        <f>DF$5</f>
        <v>% Chg</v>
      </c>
      <c r="DG496" s="571">
        <f>+DG$5</f>
        <v>2007</v>
      </c>
      <c r="DH496" s="572" t="str">
        <f>DH$5</f>
        <v>% Chg</v>
      </c>
      <c r="DI496" s="571" t="str">
        <f>+DI$5</f>
        <v>2008</v>
      </c>
      <c r="DJ496" s="572" t="str">
        <f>DJ$5</f>
        <v>% Chg</v>
      </c>
      <c r="DK496" s="571" t="str">
        <f>+DK$5</f>
        <v>2009</v>
      </c>
      <c r="DL496" s="572" t="str">
        <f>DL$5</f>
        <v>% Chg</v>
      </c>
      <c r="DM496" s="571" t="str">
        <f>+DM$5</f>
        <v>2010</v>
      </c>
      <c r="DN496" s="572" t="str">
        <f>DN$5</f>
        <v>% Chg</v>
      </c>
      <c r="DO496" s="571" t="str">
        <f>+DO$5</f>
        <v>2011</v>
      </c>
      <c r="DP496" s="572" t="str">
        <f>DP$5</f>
        <v>% Chg</v>
      </c>
      <c r="DQ496" s="571" t="str">
        <f>+DQ$5</f>
        <v>2012</v>
      </c>
      <c r="DR496" s="572" t="str">
        <f>DR$5</f>
        <v>% Chg</v>
      </c>
      <c r="DS496" s="571" t="str">
        <f>+DS$5</f>
        <v>2013</v>
      </c>
      <c r="DT496" s="572" t="str">
        <f>DT$5</f>
        <v>% Chg</v>
      </c>
      <c r="DU496" s="571">
        <f>+DU$5</f>
        <v>2014</v>
      </c>
      <c r="DV496" s="572" t="str">
        <f>DV$5</f>
        <v>% Chg</v>
      </c>
      <c r="DW496" s="571" t="str">
        <f>+DW$5</f>
        <v>2015</v>
      </c>
      <c r="DX496" s="572" t="str">
        <f>DX$5</f>
        <v>% Chg</v>
      </c>
      <c r="DY496" s="571">
        <f>+DY$5</f>
        <v>2016</v>
      </c>
      <c r="DZ496" s="572" t="str">
        <f>DZ$5</f>
        <v>% Chg</v>
      </c>
      <c r="EA496" s="571">
        <f>+EA$5</f>
        <v>2017</v>
      </c>
      <c r="EB496" s="572" t="str">
        <f>EB$5</f>
        <v>% Chg</v>
      </c>
      <c r="EC496" s="571" t="str">
        <f>+EC$5</f>
        <v>2018E</v>
      </c>
      <c r="ED496" s="572" t="str">
        <f>ED$5</f>
        <v>% Chg</v>
      </c>
      <c r="EE496" s="571" t="str">
        <f>+EE$5</f>
        <v>2019E</v>
      </c>
      <c r="EF496" s="572" t="str">
        <f>EF$5</f>
        <v>% Chg</v>
      </c>
      <c r="EG496" s="571" t="str">
        <f>+EG$5</f>
        <v>2020E</v>
      </c>
      <c r="EH496" s="572" t="str">
        <f>EH$5</f>
        <v>% Chg</v>
      </c>
      <c r="EI496" s="571" t="str">
        <f>+EI$5</f>
        <v>2021E</v>
      </c>
      <c r="EJ496" s="572" t="str">
        <f>EJ$5</f>
        <v>% Chg</v>
      </c>
      <c r="EK496" s="571" t="str">
        <f>+EK$5</f>
        <v>2022E</v>
      </c>
      <c r="EL496" s="572" t="str">
        <f>EL$5</f>
        <v>% Chg</v>
      </c>
      <c r="EM496" s="574" t="str">
        <f>EM$5</f>
        <v>(%)</v>
      </c>
      <c r="EN496" s="549"/>
    </row>
    <row r="497" spans="1:143" ht="12.75" hidden="1" customHeight="1" outlineLevel="1" x14ac:dyDescent="0.2">
      <c r="A497" s="609"/>
      <c r="B497" s="610"/>
      <c r="C497" s="555"/>
      <c r="D497" s="610"/>
      <c r="E497" s="555"/>
      <c r="F497" s="610"/>
      <c r="G497" s="555"/>
      <c r="H497" s="610"/>
      <c r="I497" s="555"/>
      <c r="J497" s="610"/>
      <c r="K497" s="555"/>
      <c r="L497" s="610"/>
      <c r="M497" s="555"/>
      <c r="N497" s="610"/>
      <c r="O497" s="555"/>
      <c r="P497" s="610"/>
      <c r="Q497" s="555"/>
      <c r="R497" s="610"/>
      <c r="S497" s="555"/>
      <c r="T497" s="610"/>
      <c r="U497" s="555"/>
      <c r="V497" s="610"/>
      <c r="W497" s="555"/>
      <c r="X497" s="610"/>
      <c r="Y497" s="555"/>
      <c r="Z497" s="610"/>
      <c r="AA497" s="555"/>
      <c r="AB497" s="610"/>
      <c r="AC497" s="555"/>
      <c r="AD497" s="610"/>
      <c r="AE497" s="555"/>
      <c r="AF497" s="610"/>
      <c r="AG497" s="555"/>
      <c r="AH497" s="610"/>
      <c r="AI497" s="555"/>
      <c r="AJ497" s="610"/>
      <c r="AK497" s="555"/>
      <c r="AL497" s="610"/>
      <c r="AM497" s="555"/>
      <c r="AN497" s="610"/>
      <c r="AO497" s="555"/>
      <c r="AP497" s="610"/>
      <c r="AQ497" s="555"/>
      <c r="AR497" s="610"/>
      <c r="AS497" s="555"/>
      <c r="AT497" s="610"/>
      <c r="AU497" s="555"/>
      <c r="AV497" s="610"/>
      <c r="AW497" s="555"/>
      <c r="AX497" s="610"/>
      <c r="AY497" s="555"/>
      <c r="AZ497" s="610"/>
      <c r="BA497" s="555"/>
      <c r="BB497" s="610"/>
      <c r="BC497" s="555"/>
      <c r="BD497" s="610"/>
      <c r="BE497" s="555"/>
      <c r="BF497" s="610"/>
      <c r="BG497" s="555"/>
      <c r="BH497" s="610"/>
      <c r="BI497" s="555"/>
      <c r="BJ497" s="610"/>
      <c r="BK497" s="555"/>
      <c r="BL497" s="610"/>
      <c r="BM497" s="555"/>
      <c r="BN497" s="610"/>
      <c r="BO497" s="555"/>
      <c r="BP497" s="610"/>
      <c r="BQ497" s="555"/>
      <c r="BR497" s="610"/>
      <c r="BS497" s="555"/>
      <c r="BT497" s="610"/>
      <c r="BU497" s="555"/>
      <c r="BV497" s="610"/>
      <c r="BW497" s="555"/>
      <c r="BX497" s="610"/>
      <c r="BY497" s="555"/>
      <c r="BZ497" s="610"/>
      <c r="CA497" s="555"/>
      <c r="CB497" s="610"/>
      <c r="CC497" s="555"/>
      <c r="CD497" s="610"/>
      <c r="CE497" s="555"/>
      <c r="CF497" s="610"/>
      <c r="CG497" s="555"/>
      <c r="CH497" s="610"/>
      <c r="CI497" s="555"/>
      <c r="CJ497" s="610"/>
      <c r="CK497" s="555"/>
      <c r="CL497" s="610"/>
      <c r="CM497" s="555"/>
      <c r="CN497" s="610"/>
      <c r="CO497" s="555"/>
      <c r="CP497" s="610"/>
      <c r="CQ497" s="555"/>
      <c r="CR497" s="610"/>
      <c r="CS497" s="555"/>
      <c r="CT497" s="610"/>
      <c r="CU497" s="555"/>
      <c r="CV497" s="610"/>
      <c r="CW497" s="555"/>
      <c r="CX497" s="610"/>
      <c r="CY497" s="555"/>
      <c r="CZ497" s="610"/>
      <c r="DA497" s="555"/>
      <c r="DB497" s="556"/>
      <c r="DC497" s="610"/>
      <c r="DD497" s="555"/>
      <c r="DE497" s="610"/>
      <c r="DF497" s="555"/>
      <c r="DG497" s="610"/>
      <c r="DH497" s="555"/>
      <c r="DI497" s="610"/>
      <c r="DJ497" s="555"/>
      <c r="DK497" s="610"/>
      <c r="DL497" s="555"/>
      <c r="DM497" s="610"/>
      <c r="DN497" s="555"/>
      <c r="DO497" s="610"/>
      <c r="DP497" s="555"/>
      <c r="DQ497" s="610"/>
      <c r="DR497" s="555"/>
      <c r="DS497" s="610"/>
      <c r="DT497" s="555"/>
      <c r="DU497" s="610"/>
      <c r="DV497" s="555"/>
      <c r="DW497" s="610"/>
      <c r="DX497" s="555"/>
      <c r="DY497" s="610"/>
      <c r="DZ497" s="555"/>
      <c r="EA497" s="610"/>
      <c r="EB497" s="555"/>
      <c r="EC497" s="610"/>
      <c r="ED497" s="555"/>
      <c r="EE497" s="610"/>
      <c r="EF497" s="555"/>
      <c r="EG497" s="610"/>
      <c r="EH497" s="555"/>
      <c r="EI497" s="610"/>
      <c r="EJ497" s="555"/>
      <c r="EK497" s="610"/>
      <c r="EL497" s="555"/>
      <c r="EM497" s="555"/>
    </row>
    <row r="498" spans="1:143" ht="12.75" hidden="1" customHeight="1" outlineLevel="1" x14ac:dyDescent="0.2">
      <c r="A498" s="575" t="s">
        <v>128</v>
      </c>
      <c r="B498" s="610"/>
      <c r="C498" s="555"/>
      <c r="D498" s="610"/>
      <c r="E498" s="555"/>
      <c r="F498" s="610"/>
      <c r="G498" s="555"/>
      <c r="H498" s="610"/>
      <c r="I498" s="555"/>
      <c r="J498" s="610"/>
      <c r="K498" s="555"/>
      <c r="L498" s="610"/>
      <c r="M498" s="555"/>
      <c r="N498" s="610"/>
      <c r="O498" s="555"/>
      <c r="P498" s="610"/>
      <c r="Q498" s="555"/>
      <c r="R498" s="610"/>
      <c r="S498" s="555"/>
      <c r="T498" s="610"/>
      <c r="U498" s="555"/>
      <c r="V498" s="610"/>
      <c r="W498" s="555"/>
      <c r="X498" s="610"/>
      <c r="Y498" s="555"/>
      <c r="Z498" s="610"/>
      <c r="AA498" s="555"/>
      <c r="AB498" s="610"/>
      <c r="AC498" s="555"/>
      <c r="AD498" s="610"/>
      <c r="AE498" s="555"/>
      <c r="AF498" s="610"/>
      <c r="AG498" s="555"/>
      <c r="AH498" s="610"/>
      <c r="AI498" s="555"/>
      <c r="AJ498" s="610"/>
      <c r="AK498" s="555"/>
      <c r="AL498" s="610"/>
      <c r="AM498" s="555"/>
      <c r="AN498" s="610"/>
      <c r="AO498" s="555"/>
      <c r="AP498" s="610"/>
      <c r="AQ498" s="555"/>
      <c r="AR498" s="610"/>
      <c r="AS498" s="555"/>
      <c r="AT498" s="610"/>
      <c r="AU498" s="555"/>
      <c r="AV498" s="610"/>
      <c r="AW498" s="555"/>
      <c r="AX498" s="610"/>
      <c r="AY498" s="555"/>
      <c r="AZ498" s="610"/>
      <c r="BA498" s="555"/>
      <c r="BB498" s="610"/>
      <c r="BC498" s="555"/>
      <c r="BD498" s="610"/>
      <c r="BE498" s="555"/>
      <c r="BF498" s="610"/>
      <c r="BG498" s="555"/>
      <c r="BH498" s="610"/>
      <c r="BI498" s="555"/>
      <c r="BJ498" s="610"/>
      <c r="BK498" s="555"/>
      <c r="BL498" s="610"/>
      <c r="BM498" s="555"/>
      <c r="BN498" s="610"/>
      <c r="BO498" s="555"/>
      <c r="BP498" s="610"/>
      <c r="BQ498" s="555"/>
      <c r="BR498" s="610"/>
      <c r="BS498" s="555"/>
      <c r="BT498" s="610"/>
      <c r="BU498" s="555"/>
      <c r="BV498" s="610"/>
      <c r="BW498" s="555"/>
      <c r="BX498" s="610"/>
      <c r="BY498" s="555"/>
      <c r="BZ498" s="610"/>
      <c r="CA498" s="555"/>
      <c r="CB498" s="610"/>
      <c r="CC498" s="555"/>
      <c r="CD498" s="610"/>
      <c r="CE498" s="555"/>
      <c r="CF498" s="610"/>
      <c r="CG498" s="555"/>
      <c r="CH498" s="610"/>
      <c r="CI498" s="555"/>
      <c r="CJ498" s="610"/>
      <c r="CK498" s="555"/>
      <c r="CL498" s="610"/>
      <c r="CM498" s="555"/>
      <c r="CN498" s="610"/>
      <c r="CO498" s="555"/>
      <c r="CP498" s="610"/>
      <c r="CQ498" s="555"/>
      <c r="CR498" s="610"/>
      <c r="CS498" s="555"/>
      <c r="CT498" s="610"/>
      <c r="CU498" s="555"/>
      <c r="CV498" s="610"/>
      <c r="CW498" s="555"/>
      <c r="CX498" s="610"/>
      <c r="CY498" s="555"/>
      <c r="CZ498" s="610"/>
      <c r="DA498" s="555"/>
      <c r="DB498" s="556"/>
      <c r="DC498" s="610"/>
      <c r="DD498" s="555"/>
      <c r="DE498" s="610"/>
      <c r="DF498" s="555"/>
      <c r="DG498" s="610"/>
      <c r="DH498" s="555"/>
      <c r="DI498" s="610"/>
      <c r="DJ498" s="555"/>
      <c r="DK498" s="610"/>
      <c r="DL498" s="555"/>
      <c r="DM498" s="610"/>
      <c r="DN498" s="555"/>
      <c r="DO498" s="610"/>
      <c r="DP498" s="555"/>
      <c r="DQ498" s="610"/>
      <c r="DR498" s="555"/>
      <c r="DS498" s="610"/>
      <c r="DT498" s="555"/>
      <c r="DU498" s="610"/>
      <c r="DV498" s="555"/>
      <c r="DW498" s="610"/>
      <c r="DX498" s="555"/>
      <c r="DY498" s="610"/>
      <c r="DZ498" s="555"/>
      <c r="EA498" s="610"/>
      <c r="EB498" s="555"/>
      <c r="EC498" s="610"/>
      <c r="ED498" s="555"/>
      <c r="EE498" s="610"/>
      <c r="EF498" s="555"/>
      <c r="EG498" s="610"/>
      <c r="EH498" s="555"/>
      <c r="EI498" s="610"/>
      <c r="EJ498" s="555"/>
      <c r="EK498" s="610"/>
      <c r="EL498" s="555"/>
      <c r="EM498" s="555"/>
    </row>
    <row r="499" spans="1:143" ht="12.75" hidden="1" customHeight="1" outlineLevel="1" x14ac:dyDescent="0.2"/>
    <row r="500" spans="1:143" ht="12.75" hidden="1" customHeight="1" outlineLevel="1" x14ac:dyDescent="0.2">
      <c r="A500" s="579" t="str">
        <f>INPUT!B404</f>
        <v>Policy Charges and Fee Income</v>
      </c>
      <c r="B500" s="580">
        <f>INPUT!AY404</f>
        <v>18</v>
      </c>
      <c r="C500" s="577">
        <f>INPUT!AZ404</f>
        <v>0</v>
      </c>
      <c r="D500" s="580">
        <f>INPUT!BA404</f>
        <v>19</v>
      </c>
      <c r="E500" s="577">
        <f>INPUT!BB404</f>
        <v>-5</v>
      </c>
      <c r="F500" s="580">
        <f>INPUT!BC404</f>
        <v>15</v>
      </c>
      <c r="G500" s="577">
        <f>INPUT!BD404</f>
        <v>15.384615384615373</v>
      </c>
      <c r="H500" s="580">
        <f>INPUT!BE404</f>
        <v>13</v>
      </c>
      <c r="I500" s="577">
        <f>INPUT!BF404</f>
        <v>-18.75</v>
      </c>
      <c r="J500" s="580">
        <f>INPUT!BG404</f>
        <v>16</v>
      </c>
      <c r="K500" s="577">
        <f>INPUT!BH404</f>
        <v>-11.111111111111114</v>
      </c>
      <c r="L500" s="580">
        <f>INPUT!BI404</f>
        <v>16</v>
      </c>
      <c r="M500" s="577">
        <f>INPUT!BJ404</f>
        <v>-15.789473684210535</v>
      </c>
      <c r="N500" s="580">
        <f>INPUT!BK404</f>
        <v>14</v>
      </c>
      <c r="O500" s="577">
        <f>INPUT!BL404</f>
        <v>-6.6666666666666714</v>
      </c>
      <c r="P500" s="580">
        <f>INPUT!BM404</f>
        <v>17</v>
      </c>
      <c r="Q500" s="577">
        <f>INPUT!BN404</f>
        <v>30.769230769230774</v>
      </c>
      <c r="R500" s="580">
        <f>INPUT!BO404</f>
        <v>17</v>
      </c>
      <c r="S500" s="577">
        <f>INPUT!BP404</f>
        <v>6.25</v>
      </c>
      <c r="T500" s="580">
        <f>INPUT!BQ404</f>
        <v>18</v>
      </c>
      <c r="U500" s="577">
        <f>INPUT!BR404</f>
        <v>12.5</v>
      </c>
      <c r="V500" s="580">
        <f>INPUT!BS404</f>
        <v>17</v>
      </c>
      <c r="W500" s="577">
        <f>INPUT!BT404</f>
        <v>21.428571428571416</v>
      </c>
      <c r="X500" s="580">
        <f>INPUT!BU404</f>
        <v>19</v>
      </c>
      <c r="Y500" s="577">
        <f>INPUT!BV404</f>
        <v>11.764705882352942</v>
      </c>
      <c r="Z500" s="580">
        <f>INPUT!BW404</f>
        <v>21</v>
      </c>
      <c r="AA500" s="577">
        <f>INPUT!BX404</f>
        <v>23.529411764705884</v>
      </c>
      <c r="AB500" s="580">
        <f>INPUT!BY404</f>
        <v>19</v>
      </c>
      <c r="AC500" s="577">
        <f>INPUT!BZ404</f>
        <v>5.5555555555555571</v>
      </c>
      <c r="AD500" s="580">
        <f>INPUT!CA404</f>
        <v>19</v>
      </c>
      <c r="AE500" s="577">
        <f>INPUT!CB404</f>
        <v>11.764705882352942</v>
      </c>
      <c r="AF500" s="580">
        <f>INPUT!CC404</f>
        <v>20</v>
      </c>
      <c r="AG500" s="577">
        <f>INPUT!CD404</f>
        <v>5.2631578947368354</v>
      </c>
      <c r="AH500" s="580">
        <f>INPUT!CE404</f>
        <v>19</v>
      </c>
      <c r="AI500" s="577">
        <f>INPUT!CF404</f>
        <v>-9.5238095238095184</v>
      </c>
      <c r="AJ500" s="580">
        <f>INPUT!CG404</f>
        <v>19</v>
      </c>
      <c r="AK500" s="577">
        <f>INPUT!CH404</f>
        <v>0</v>
      </c>
      <c r="AL500" s="580">
        <f>INPUT!CI404</f>
        <v>21</v>
      </c>
      <c r="AM500" s="577">
        <f>INPUT!CJ404</f>
        <v>10.526315789473699</v>
      </c>
      <c r="AN500" s="580">
        <f>INPUT!CK404</f>
        <v>23</v>
      </c>
      <c r="AO500" s="577">
        <f>INPUT!CL404</f>
        <v>14.999999999999986</v>
      </c>
      <c r="AP500" s="580">
        <f>INPUT!CM404</f>
        <v>23</v>
      </c>
      <c r="AQ500" s="577">
        <f>INPUT!CN404</f>
        <v>21.05263157894737</v>
      </c>
      <c r="AR500" s="580">
        <f>INPUT!CO404</f>
        <v>52</v>
      </c>
      <c r="AS500" s="577" t="str">
        <f>INPUT!CP404</f>
        <v>NM</v>
      </c>
      <c r="AT500" s="580">
        <f>INPUT!CQ404</f>
        <v>52</v>
      </c>
      <c r="AU500" s="577" t="str">
        <f>INPUT!CR404</f>
        <v>NM</v>
      </c>
      <c r="AV500" s="580">
        <f>INPUT!CS404</f>
        <v>54</v>
      </c>
      <c r="AW500" s="577" t="str">
        <f>INPUT!CT404</f>
        <v>NM</v>
      </c>
      <c r="AX500" s="580">
        <f>INPUT!CU404</f>
        <v>58</v>
      </c>
      <c r="AY500" s="577" t="str">
        <f>INPUT!CV404</f>
        <v>NM</v>
      </c>
      <c r="AZ500" s="580">
        <f>INPUT!CW404</f>
        <v>56</v>
      </c>
      <c r="BA500" s="577">
        <f>INPUT!CX404</f>
        <v>7.6923076923076934</v>
      </c>
      <c r="BB500" s="580">
        <f>INPUT!CY404</f>
        <v>56</v>
      </c>
      <c r="BC500" s="577">
        <f>INPUT!CZ404</f>
        <v>7.6923076923076934</v>
      </c>
      <c r="BD500" s="580">
        <f>INPUT!DA404</f>
        <v>56</v>
      </c>
      <c r="BE500" s="577">
        <f>INPUT!DB404</f>
        <v>3.7037037037036953</v>
      </c>
      <c r="BF500" s="580">
        <f>INPUT!DC404</f>
        <v>69</v>
      </c>
      <c r="BG500" s="577">
        <f>INPUT!DD404</f>
        <v>18.965517241379317</v>
      </c>
      <c r="BH500" s="580">
        <f>INPUT!DE404</f>
        <v>77</v>
      </c>
      <c r="BI500" s="577">
        <f>INPUT!DF404</f>
        <v>37.5</v>
      </c>
      <c r="BJ500" s="580">
        <f>INPUT!DG404</f>
        <v>54</v>
      </c>
      <c r="BK500" s="577">
        <f>INPUT!DH404</f>
        <v>-3.5714285714285694</v>
      </c>
      <c r="BL500" s="580">
        <f>INPUT!DI404</f>
        <v>50</v>
      </c>
      <c r="BM500" s="577">
        <f>INPUT!DJ404</f>
        <v>-10.714285714285708</v>
      </c>
      <c r="BN500" s="580">
        <f>INPUT!DK404</f>
        <v>47</v>
      </c>
      <c r="BO500" s="577">
        <f>INPUT!DL404</f>
        <v>-31.884057971014485</v>
      </c>
      <c r="BP500" s="580">
        <f>INPUT!DM404</f>
        <v>49</v>
      </c>
      <c r="BQ500" s="577">
        <f>INPUT!DN404</f>
        <v>-36.363636363636367</v>
      </c>
      <c r="BR500" s="580">
        <f>INPUT!DO404</f>
        <v>69</v>
      </c>
      <c r="BS500" s="577">
        <f>INPUT!DP404</f>
        <v>27.777777777777771</v>
      </c>
      <c r="BT500" s="580">
        <f>INPUT!DQ404</f>
        <v>58</v>
      </c>
      <c r="BU500" s="577">
        <f>INPUT!DR404</f>
        <v>15.999999999999986</v>
      </c>
      <c r="BV500" s="580">
        <f>INPUT!DS404</f>
        <v>53</v>
      </c>
      <c r="BW500" s="577">
        <f>INPUT!DT404</f>
        <v>12.7659574468085</v>
      </c>
      <c r="BX500" s="580">
        <f>INPUT!DU404</f>
        <v>54</v>
      </c>
      <c r="BY500" s="577">
        <f>INPUT!DV404</f>
        <v>10.204081632653043</v>
      </c>
      <c r="BZ500" s="580">
        <f>INPUT!DW404</f>
        <v>44</v>
      </c>
      <c r="CA500" s="577">
        <f>INPUT!DX404</f>
        <v>-36.231884057971023</v>
      </c>
      <c r="CB500" s="580">
        <f>INPUT!DY404</f>
        <v>40</v>
      </c>
      <c r="CC500" s="577">
        <f>INPUT!DZ404</f>
        <v>-31.034482758620683</v>
      </c>
      <c r="CD500" s="580">
        <f>INPUT!EA404</f>
        <v>38</v>
      </c>
      <c r="CE500" s="577">
        <f>INPUT!EB404</f>
        <v>-28.301886792452834</v>
      </c>
      <c r="CF500" s="580">
        <f>INPUT!EC404</f>
        <v>39</v>
      </c>
      <c r="CG500" s="577">
        <f>INPUT!ED404</f>
        <v>-27.777777777777786</v>
      </c>
      <c r="CH500" s="580">
        <f>INPUT!EE404</f>
        <v>37</v>
      </c>
      <c r="CI500" s="577">
        <f>INPUT!EF404</f>
        <v>-15.909090909090907</v>
      </c>
      <c r="CJ500" s="580">
        <f>INPUT!EG404</f>
        <v>39</v>
      </c>
      <c r="CK500" s="577">
        <f>INPUT!EH404</f>
        <v>-2.5</v>
      </c>
      <c r="CL500" s="580">
        <f>INPUT!EI404</f>
        <v>38</v>
      </c>
      <c r="CM500" s="577">
        <f>INPUT!EJ404</f>
        <v>0</v>
      </c>
      <c r="CN500" s="580">
        <f>INPUT!EK404</f>
        <v>35</v>
      </c>
      <c r="CO500" s="577">
        <f>INPUT!EL404</f>
        <v>-10.256410256410248</v>
      </c>
      <c r="CP500" s="580">
        <f>INPUT!EM404</f>
        <v>36</v>
      </c>
      <c r="CQ500" s="577">
        <f>INPUT!EN404</f>
        <v>-2.7027027027026946</v>
      </c>
      <c r="CR500" s="580">
        <f>INPUT!EO404</f>
        <v>37</v>
      </c>
      <c r="CS500" s="577">
        <f>INPUT!EP404</f>
        <v>-5.1282051282051384</v>
      </c>
      <c r="CT500" s="580">
        <f>INPUT!EQ404</f>
        <v>38.55117117117117</v>
      </c>
      <c r="CU500" s="577">
        <f>INPUT!ER404</f>
        <v>1.4504504504504467</v>
      </c>
      <c r="CV500" s="580">
        <f>INPUT!ES404</f>
        <v>35.50765765765766</v>
      </c>
      <c r="CW500" s="577">
        <f>INPUT!ET404</f>
        <v>1.4504504504504467</v>
      </c>
      <c r="CX500" s="580">
        <f>INPUT!EU404</f>
        <v>36.522162162162161</v>
      </c>
      <c r="CY500" s="577">
        <f>INPUT!EV404</f>
        <v>1.4504504504504467</v>
      </c>
      <c r="CZ500" s="580">
        <f>INPUT!EW404</f>
        <v>37.536666666666662</v>
      </c>
      <c r="DA500" s="577">
        <f>INPUT!EX404</f>
        <v>1.4504504504504467</v>
      </c>
      <c r="DB500" s="580"/>
      <c r="DC500" s="580">
        <f>INPUT!FP404</f>
        <v>67</v>
      </c>
      <c r="DD500" s="577">
        <f>INPUT!FQ404</f>
        <v>-11.842105263157904</v>
      </c>
      <c r="DE500" s="580">
        <f>INPUT!FR404</f>
        <v>65</v>
      </c>
      <c r="DF500" s="577">
        <f>INPUT!FS404</f>
        <v>-2.9850746268656678</v>
      </c>
      <c r="DG500" s="580">
        <f>INPUT!FT404</f>
        <v>63</v>
      </c>
      <c r="DH500" s="577">
        <f>INPUT!FU404</f>
        <v>-3.0769230769230802</v>
      </c>
      <c r="DI500" s="580">
        <f>INPUT!FV404</f>
        <v>71</v>
      </c>
      <c r="DJ500" s="577">
        <f>INPUT!FW404</f>
        <v>12.698412698412696</v>
      </c>
      <c r="DK500" s="580">
        <f>INPUT!FX404</f>
        <v>79</v>
      </c>
      <c r="DL500" s="577">
        <f>INPUT!FY404</f>
        <v>11.26760563380283</v>
      </c>
      <c r="DM500" s="580">
        <f>INPUT!FZ404</f>
        <v>82</v>
      </c>
      <c r="DN500" s="577">
        <f>INPUT!GA404</f>
        <v>3.7974683544303787</v>
      </c>
      <c r="DO500" s="580">
        <f>INPUT!GB404</f>
        <v>181</v>
      </c>
      <c r="DP500" s="577" t="str">
        <f>INPUT!GC404</f>
        <v>NM</v>
      </c>
      <c r="DQ500" s="580">
        <f>INPUT!GD404</f>
        <v>226</v>
      </c>
      <c r="DR500" s="577">
        <f>INPUT!GE404</f>
        <v>24.861878453038671</v>
      </c>
      <c r="DS500" s="580">
        <f>INPUT!GF404</f>
        <v>250</v>
      </c>
      <c r="DT500" s="577">
        <f>INPUT!GG404</f>
        <v>10.619469026548671</v>
      </c>
      <c r="DU500" s="580">
        <f>INPUT!GH404</f>
        <v>223</v>
      </c>
      <c r="DV500" s="577">
        <f>INPUT!GI404</f>
        <v>-10.799999999999997</v>
      </c>
      <c r="DW500" s="580">
        <f>INPUT!GJ404</f>
        <v>191</v>
      </c>
      <c r="DX500" s="577">
        <f>INPUT!GK404</f>
        <v>-14.349775784753362</v>
      </c>
      <c r="DY500" s="580">
        <f>INPUT!GL404</f>
        <v>153</v>
      </c>
      <c r="DZ500" s="577">
        <f>INPUT!GM404</f>
        <v>-19.895287958115176</v>
      </c>
      <c r="EA500" s="580">
        <f>INPUT!GN404</f>
        <v>146</v>
      </c>
      <c r="EB500" s="577">
        <f>INPUT!GO404</f>
        <v>-4.5751633986928084</v>
      </c>
      <c r="EC500" s="580">
        <f>INPUT!GP404</f>
        <v>148.11765765765767</v>
      </c>
      <c r="ED500" s="577">
        <f>INPUT!GQ404</f>
        <v>1.4504504504504752</v>
      </c>
      <c r="EE500" s="580">
        <f>INPUT!GR404</f>
        <v>149.59883423423426</v>
      </c>
      <c r="EF500" s="577">
        <f>INPUT!GS404</f>
        <v>1</v>
      </c>
      <c r="EG500" s="580">
        <f>INPUT!GT404</f>
        <v>151.0948225765766</v>
      </c>
      <c r="EH500" s="577">
        <f>INPUT!GU404</f>
        <v>1</v>
      </c>
      <c r="EI500" s="580">
        <f>INPUT!GV404</f>
        <v>152.60577080234236</v>
      </c>
      <c r="EJ500" s="577">
        <f>INPUT!GW404</f>
        <v>1</v>
      </c>
      <c r="EK500" s="580">
        <f>INPUT!GX404</f>
        <v>154.13182851036578</v>
      </c>
      <c r="EL500" s="577">
        <f>INPUT!GY404</f>
        <v>1</v>
      </c>
      <c r="EM500" s="577">
        <f>INPUT!GZ404</f>
        <v>1.0899298015088821</v>
      </c>
    </row>
    <row r="501" spans="1:143" ht="12.75" hidden="1" customHeight="1" outlineLevel="1" x14ac:dyDescent="0.2">
      <c r="A501" s="579" t="str">
        <f>INPUT!B405</f>
        <v xml:space="preserve">  Total Fees</v>
      </c>
      <c r="B501" s="580">
        <f>INPUT!AY405</f>
        <v>562</v>
      </c>
      <c r="C501" s="577">
        <f>INPUT!AZ405</f>
        <v>-4.0955631399317411</v>
      </c>
      <c r="D501" s="580">
        <f>INPUT!BA405</f>
        <v>559</v>
      </c>
      <c r="E501" s="577">
        <f>INPUT!BB405</f>
        <v>-11.968503937007881</v>
      </c>
      <c r="F501" s="580">
        <f>INPUT!BC405</f>
        <v>490</v>
      </c>
      <c r="G501" s="577">
        <f>INPUT!BD405</f>
        <v>-26.31578947368422</v>
      </c>
      <c r="H501" s="580">
        <f>INPUT!BE405</f>
        <v>483</v>
      </c>
      <c r="I501" s="577">
        <f>INPUT!BF405</f>
        <v>-11.213235294117652</v>
      </c>
      <c r="J501" s="580">
        <f>INPUT!BG405</f>
        <v>483</v>
      </c>
      <c r="K501" s="577">
        <f>INPUT!BH405</f>
        <v>-14.056939501779368</v>
      </c>
      <c r="L501" s="580">
        <f>INPUT!BI405</f>
        <v>523</v>
      </c>
      <c r="M501" s="577">
        <f>INPUT!BJ405</f>
        <v>-6.440071556350631</v>
      </c>
      <c r="N501" s="580">
        <f>INPUT!BK405</f>
        <v>472</v>
      </c>
      <c r="O501" s="577">
        <f>INPUT!BL405</f>
        <v>-3.6734693877551052</v>
      </c>
      <c r="P501" s="580">
        <f>INPUT!BM405</f>
        <v>501</v>
      </c>
      <c r="Q501" s="577">
        <f>INPUT!BN405</f>
        <v>3.726708074534173</v>
      </c>
      <c r="R501" s="580">
        <f>INPUT!BO405</f>
        <v>527</v>
      </c>
      <c r="S501" s="577">
        <f>INPUT!BP405</f>
        <v>9.1097308488612896</v>
      </c>
      <c r="T501" s="580">
        <f>INPUT!BQ405</f>
        <v>593</v>
      </c>
      <c r="U501" s="577">
        <f>INPUT!BR405</f>
        <v>13.384321223709364</v>
      </c>
      <c r="V501" s="580">
        <f>INPUT!BS405</f>
        <v>515</v>
      </c>
      <c r="W501" s="577">
        <f>INPUT!BT405</f>
        <v>9.1101694915254257</v>
      </c>
      <c r="X501" s="580">
        <f>INPUT!BU405</f>
        <v>559</v>
      </c>
      <c r="Y501" s="577">
        <f>INPUT!BV405</f>
        <v>11.576846307385225</v>
      </c>
      <c r="Z501" s="580">
        <f>INPUT!BW405</f>
        <v>635</v>
      </c>
      <c r="AA501" s="577">
        <f>INPUT!BX405</f>
        <v>20.493358633776083</v>
      </c>
      <c r="AB501" s="580">
        <f>INPUT!BY405</f>
        <v>731</v>
      </c>
      <c r="AC501" s="577">
        <f>INPUT!BZ405</f>
        <v>23.271500843170315</v>
      </c>
      <c r="AD501" s="580">
        <f>INPUT!CA405</f>
        <v>802</v>
      </c>
      <c r="AE501" s="577">
        <f>INPUT!CB405</f>
        <v>55.728155339805824</v>
      </c>
      <c r="AF501" s="580">
        <f>INPUT!CC405</f>
        <v>771</v>
      </c>
      <c r="AG501" s="577">
        <f>INPUT!CD405</f>
        <v>37.924865831842567</v>
      </c>
      <c r="AH501" s="580">
        <f>INPUT!CE405</f>
        <v>787</v>
      </c>
      <c r="AI501" s="577">
        <f>INPUT!CF405</f>
        <v>23.937007874015762</v>
      </c>
      <c r="AJ501" s="580">
        <f>INPUT!CG405</f>
        <v>935</v>
      </c>
      <c r="AK501" s="577">
        <f>INPUT!CH405</f>
        <v>27.906976744186053</v>
      </c>
      <c r="AL501" s="580">
        <f>INPUT!CI405</f>
        <v>862</v>
      </c>
      <c r="AM501" s="577">
        <f>INPUT!CJ405</f>
        <v>7.4812967581047332</v>
      </c>
      <c r="AN501" s="580">
        <f>INPUT!CK405</f>
        <v>944</v>
      </c>
      <c r="AO501" s="577">
        <f>INPUT!CL405</f>
        <v>22.438391699092094</v>
      </c>
      <c r="AP501" s="580">
        <f>INPUT!CM405</f>
        <v>1624</v>
      </c>
      <c r="AQ501" s="577" t="str">
        <f>INPUT!CN405</f>
        <v>NM</v>
      </c>
      <c r="AR501" s="580">
        <f>INPUT!CO405</f>
        <v>2443</v>
      </c>
      <c r="AS501" s="577" t="str">
        <f>INPUT!CP405</f>
        <v>NM</v>
      </c>
      <c r="AT501" s="580">
        <f>INPUT!CQ405</f>
        <v>2278</v>
      </c>
      <c r="AU501" s="577" t="str">
        <f>INPUT!CR405</f>
        <v>NM</v>
      </c>
      <c r="AV501" s="580">
        <f>INPUT!CS405</f>
        <v>2440</v>
      </c>
      <c r="AW501" s="577" t="str">
        <f>INPUT!CT405</f>
        <v>NM</v>
      </c>
      <c r="AX501" s="580">
        <f>INPUT!CU405</f>
        <v>2837</v>
      </c>
      <c r="AY501" s="577">
        <f>INPUT!CV405</f>
        <v>74.692118226600968</v>
      </c>
      <c r="AZ501" s="580">
        <f>INPUT!CW405</f>
        <v>3530</v>
      </c>
      <c r="BA501" s="577">
        <f>INPUT!CX405</f>
        <v>44.494474007367984</v>
      </c>
      <c r="BB501" s="580">
        <f>INPUT!CY405</f>
        <v>5143</v>
      </c>
      <c r="BC501" s="577" t="str">
        <f>INPUT!CZ405</f>
        <v>NM</v>
      </c>
      <c r="BD501" s="580">
        <f>INPUT!DA405</f>
        <v>6229</v>
      </c>
      <c r="BE501" s="577" t="str">
        <f>INPUT!DB405</f>
        <v>NM</v>
      </c>
      <c r="BF501" s="580">
        <f>INPUT!DC405</f>
        <v>3093</v>
      </c>
      <c r="BG501" s="577">
        <f>INPUT!DD405</f>
        <v>9.0236164962988994</v>
      </c>
      <c r="BH501" s="580">
        <f>INPUT!DE405</f>
        <v>3024</v>
      </c>
      <c r="BI501" s="577">
        <f>INPUT!DF405</f>
        <v>-14.334277620396591</v>
      </c>
      <c r="BJ501" s="580">
        <f>INPUT!DG405</f>
        <v>2337</v>
      </c>
      <c r="BK501" s="577" t="str">
        <f>INPUT!DH405</f>
        <v>NM</v>
      </c>
      <c r="BL501" s="580">
        <f>INPUT!DI405</f>
        <v>2063</v>
      </c>
      <c r="BM501" s="577" t="str">
        <f>INPUT!DJ405</f>
        <v>NM</v>
      </c>
      <c r="BN501" s="580">
        <f>INPUT!DK405</f>
        <v>1859</v>
      </c>
      <c r="BO501" s="577">
        <f>INPUT!DL405</f>
        <v>-39.896540575493042</v>
      </c>
      <c r="BP501" s="580">
        <f>INPUT!DM405</f>
        <v>2185</v>
      </c>
      <c r="BQ501" s="577">
        <f>INPUT!DN405</f>
        <v>-27.744708994709001</v>
      </c>
      <c r="BR501" s="580">
        <f>INPUT!DO405</f>
        <v>1944</v>
      </c>
      <c r="BS501" s="577">
        <f>INPUT!DP405</f>
        <v>-16.816431322207961</v>
      </c>
      <c r="BT501" s="580">
        <f>INPUT!DQ405</f>
        <v>1776</v>
      </c>
      <c r="BU501" s="577">
        <f>INPUT!DR405</f>
        <v>-13.911778962675712</v>
      </c>
      <c r="BV501" s="580">
        <f>INPUT!DS405</f>
        <v>1742</v>
      </c>
      <c r="BW501" s="577">
        <f>INPUT!DT405</f>
        <v>-6.2937062937062933</v>
      </c>
      <c r="BX501" s="580">
        <f>INPUT!DU405</f>
        <v>2060</v>
      </c>
      <c r="BY501" s="577">
        <f>INPUT!DV405</f>
        <v>-5.7208237986270092</v>
      </c>
      <c r="BZ501" s="580">
        <f>INPUT!DW405</f>
        <v>1786</v>
      </c>
      <c r="CA501" s="577">
        <f>INPUT!DX405</f>
        <v>-8.1275720164609027</v>
      </c>
      <c r="CB501" s="580">
        <f>INPUT!DY405</f>
        <v>1719</v>
      </c>
      <c r="CC501" s="577">
        <f>INPUT!DZ405</f>
        <v>-3.2094594594594668</v>
      </c>
      <c r="CD501" s="580">
        <f>INPUT!EA405</f>
        <v>1794</v>
      </c>
      <c r="CE501" s="577">
        <f>INPUT!EB405</f>
        <v>2.985074626865682</v>
      </c>
      <c r="CF501" s="580">
        <f>INPUT!EC405</f>
        <v>2120</v>
      </c>
      <c r="CG501" s="577">
        <f>INPUT!ED405</f>
        <v>2.9126213592232943</v>
      </c>
      <c r="CH501" s="580">
        <f>INPUT!EE405</f>
        <v>2094</v>
      </c>
      <c r="CI501" s="577">
        <f>INPUT!EF405</f>
        <v>17.245240761478158</v>
      </c>
      <c r="CJ501" s="580">
        <f>INPUT!EG405</f>
        <v>2022</v>
      </c>
      <c r="CK501" s="577">
        <f>INPUT!EH405</f>
        <v>17.626527050610832</v>
      </c>
      <c r="CL501" s="580">
        <f>INPUT!EI405</f>
        <v>1884</v>
      </c>
      <c r="CM501" s="577">
        <f>INPUT!EJ405</f>
        <v>5.0167224080267516</v>
      </c>
      <c r="CN501" s="580">
        <f>INPUT!EK405</f>
        <v>2134</v>
      </c>
      <c r="CO501" s="577">
        <f>INPUT!EL405</f>
        <v>0.66037735849056389</v>
      </c>
      <c r="CP501" s="580">
        <f>INPUT!EM405</f>
        <v>1989</v>
      </c>
      <c r="CQ501" s="577">
        <f>INPUT!EN405</f>
        <v>-5.0143266475644737</v>
      </c>
      <c r="CR501" s="580">
        <f>INPUT!EO405</f>
        <v>1893</v>
      </c>
      <c r="CS501" s="577">
        <f>INPUT!EP405</f>
        <v>-6.3798219584569722</v>
      </c>
      <c r="CT501" s="580">
        <f>INPUT!EQ405</f>
        <v>1911.3264864864864</v>
      </c>
      <c r="CU501" s="577">
        <f>INPUT!ER405</f>
        <v>1.4504504504504467</v>
      </c>
      <c r="CV501" s="580">
        <f>INPUT!ES405</f>
        <v>2164.9526126126125</v>
      </c>
      <c r="CW501" s="577">
        <f>INPUT!ET405</f>
        <v>1.4504504504504467</v>
      </c>
      <c r="CX501" s="580">
        <f>INPUT!EU405</f>
        <v>2017.8494594594595</v>
      </c>
      <c r="CY501" s="577">
        <f>INPUT!EV405</f>
        <v>1.4504504504504467</v>
      </c>
      <c r="CZ501" s="580">
        <f>INPUT!EW405</f>
        <v>1920.4570270270269</v>
      </c>
      <c r="DA501" s="577">
        <f>INPUT!EX405</f>
        <v>1.4504504504504467</v>
      </c>
      <c r="DB501" s="580"/>
      <c r="DC501" s="580">
        <f>INPUT!FP405</f>
        <v>2430</v>
      </c>
      <c r="DD501" s="577">
        <f>INPUT!FQ405</f>
        <v>2.7484143763213638</v>
      </c>
      <c r="DE501" s="580">
        <f>INPUT!FR405</f>
        <v>2094</v>
      </c>
      <c r="DF501" s="577">
        <f>INPUT!FS405</f>
        <v>-13.827160493827165</v>
      </c>
      <c r="DG501" s="580">
        <f>INPUT!FT405</f>
        <v>1979</v>
      </c>
      <c r="DH501" s="577">
        <f>INPUT!FU405</f>
        <v>-5.4918815663801297</v>
      </c>
      <c r="DI501" s="580">
        <f>INPUT!FV405</f>
        <v>2193</v>
      </c>
      <c r="DJ501" s="577">
        <f>INPUT!FW405</f>
        <v>10.813542193026777</v>
      </c>
      <c r="DK501" s="580">
        <f>INPUT!FX405</f>
        <v>2939</v>
      </c>
      <c r="DL501" s="577">
        <f>INPUT!FY405</f>
        <v>34.017327861377112</v>
      </c>
      <c r="DM501" s="580">
        <f>INPUT!FZ405</f>
        <v>3528</v>
      </c>
      <c r="DN501" s="577">
        <f>INPUT!GA405</f>
        <v>20.040830214358635</v>
      </c>
      <c r="DO501" s="580">
        <f>INPUT!GB405</f>
        <v>8785</v>
      </c>
      <c r="DP501" s="577" t="str">
        <f>INPUT!GC405</f>
        <v>NM</v>
      </c>
      <c r="DQ501" s="580">
        <f>INPUT!GD405</f>
        <v>17739</v>
      </c>
      <c r="DR501" s="577" t="str">
        <f>INPUT!GE405</f>
        <v>NM</v>
      </c>
      <c r="DS501" s="580">
        <f>INPUT!GF405</f>
        <v>10517</v>
      </c>
      <c r="DT501" s="577">
        <f>INPUT!GG405</f>
        <v>-40.712554258977399</v>
      </c>
      <c r="DU501" s="580">
        <f>INPUT!GH405</f>
        <v>7764</v>
      </c>
      <c r="DV501" s="577">
        <f>INPUT!GI405</f>
        <v>-26.176666349719497</v>
      </c>
      <c r="DW501" s="580">
        <f>INPUT!GJ405</f>
        <v>7307</v>
      </c>
      <c r="DX501" s="577">
        <f>INPUT!GK405</f>
        <v>-5.8861411643482739</v>
      </c>
      <c r="DY501" s="580">
        <f>INPUT!GL405</f>
        <v>8030</v>
      </c>
      <c r="DZ501" s="577">
        <f>INPUT!GM405</f>
        <v>9.8946215957301149</v>
      </c>
      <c r="EA501" s="580">
        <f>INPUT!GN405</f>
        <v>7900</v>
      </c>
      <c r="EB501" s="577">
        <f>INPUT!GO405</f>
        <v>-1.6189290161892842</v>
      </c>
      <c r="EC501" s="580">
        <f>INPUT!GP405</f>
        <v>8014.5855855855852</v>
      </c>
      <c r="ED501" s="577">
        <f>INPUT!GQ405</f>
        <v>1.4504504504504467</v>
      </c>
      <c r="EE501" s="580">
        <f>INPUT!GR405</f>
        <v>8094.7314414414413</v>
      </c>
      <c r="EF501" s="577">
        <f>INPUT!GS405</f>
        <v>1</v>
      </c>
      <c r="EG501" s="580">
        <f>INPUT!GT405</f>
        <v>8175.6787558558563</v>
      </c>
      <c r="EH501" s="577">
        <f>INPUT!GU405</f>
        <v>1</v>
      </c>
      <c r="EI501" s="580">
        <f>INPUT!GV405</f>
        <v>8257.4355434144145</v>
      </c>
      <c r="EJ501" s="577">
        <f>INPUT!GW405</f>
        <v>1</v>
      </c>
      <c r="EK501" s="580">
        <f>INPUT!GX405</f>
        <v>8340.0098988485588</v>
      </c>
      <c r="EL501" s="577">
        <f>INPUT!GY405</f>
        <v>1</v>
      </c>
      <c r="EM501" s="577">
        <f>INPUT!GZ405</f>
        <v>1.0899298015088821</v>
      </c>
    </row>
    <row r="502" spans="1:143" ht="12.75" hidden="1" customHeight="1" outlineLevel="1" x14ac:dyDescent="0.2">
      <c r="A502" s="579" t="str">
        <f>INPUT!B406</f>
        <v>Net Investment Income</v>
      </c>
      <c r="B502" s="580">
        <f>INPUT!AY406</f>
        <v>167</v>
      </c>
      <c r="C502" s="577">
        <f>INPUT!AZ406</f>
        <v>7.051282051282044</v>
      </c>
      <c r="D502" s="580">
        <f>INPUT!BA406</f>
        <v>175</v>
      </c>
      <c r="E502" s="577">
        <f>INPUT!BB406</f>
        <v>2.941176470588232</v>
      </c>
      <c r="F502" s="580">
        <f>INPUT!BC406</f>
        <v>196</v>
      </c>
      <c r="G502" s="577">
        <f>INPUT!BD406</f>
        <v>9.4972067039106065</v>
      </c>
      <c r="H502" s="580">
        <f>INPUT!BE406</f>
        <v>186</v>
      </c>
      <c r="I502" s="577">
        <f>INPUT!BF406</f>
        <v>8.7719298245614112</v>
      </c>
      <c r="J502" s="580">
        <f>INPUT!BG406</f>
        <v>191</v>
      </c>
      <c r="K502" s="577">
        <f>INPUT!BH406</f>
        <v>14.371257485029943</v>
      </c>
      <c r="L502" s="580">
        <f>INPUT!BI406</f>
        <v>208</v>
      </c>
      <c r="M502" s="577">
        <f>INPUT!BJ406</f>
        <v>18.857142857142861</v>
      </c>
      <c r="N502" s="580">
        <f>INPUT!BK406</f>
        <v>201</v>
      </c>
      <c r="O502" s="577">
        <f>INPUT!BL406</f>
        <v>2.5510204081632679</v>
      </c>
      <c r="P502" s="580">
        <f>INPUT!BM406</f>
        <v>209</v>
      </c>
      <c r="Q502" s="577">
        <f>INPUT!BN406</f>
        <v>12.365591397849457</v>
      </c>
      <c r="R502" s="580">
        <f>INPUT!BO406</f>
        <v>216</v>
      </c>
      <c r="S502" s="577">
        <f>INPUT!BP406</f>
        <v>13.089005235602102</v>
      </c>
      <c r="T502" s="580">
        <f>INPUT!BQ406</f>
        <v>258</v>
      </c>
      <c r="U502" s="577">
        <f>INPUT!BR406</f>
        <v>24.038461538461547</v>
      </c>
      <c r="V502" s="580">
        <f>INPUT!BS406</f>
        <v>255</v>
      </c>
      <c r="W502" s="577">
        <f>INPUT!BT406</f>
        <v>26.865671641791053</v>
      </c>
      <c r="X502" s="580">
        <f>INPUT!BU406</f>
        <v>266</v>
      </c>
      <c r="Y502" s="577">
        <f>INPUT!BV406</f>
        <v>27.272727272727266</v>
      </c>
      <c r="Z502" s="580">
        <f>INPUT!BW406</f>
        <v>277</v>
      </c>
      <c r="AA502" s="577">
        <f>INPUT!BX406</f>
        <v>28.240740740740733</v>
      </c>
      <c r="AB502" s="580">
        <f>INPUT!BY406</f>
        <v>258</v>
      </c>
      <c r="AC502" s="577">
        <f>INPUT!BZ406</f>
        <v>0</v>
      </c>
      <c r="AD502" s="580">
        <f>INPUT!CA406</f>
        <v>286</v>
      </c>
      <c r="AE502" s="577">
        <f>INPUT!CB406</f>
        <v>12.156862745098039</v>
      </c>
      <c r="AF502" s="580">
        <f>INPUT!CC406</f>
        <v>282</v>
      </c>
      <c r="AG502" s="577">
        <f>INPUT!CD406</f>
        <v>6.0150375939849567</v>
      </c>
      <c r="AH502" s="580">
        <f>INPUT!CE406</f>
        <v>286</v>
      </c>
      <c r="AI502" s="577">
        <f>INPUT!CF406</f>
        <v>3.2490974729241913</v>
      </c>
      <c r="AJ502" s="580">
        <f>INPUT!CG406</f>
        <v>285</v>
      </c>
      <c r="AK502" s="577">
        <f>INPUT!CH406</f>
        <v>10.465116279069761</v>
      </c>
      <c r="AL502" s="580">
        <f>INPUT!CI406</f>
        <v>316</v>
      </c>
      <c r="AM502" s="577">
        <f>INPUT!CJ406</f>
        <v>10.489510489510479</v>
      </c>
      <c r="AN502" s="580">
        <f>INPUT!CK406</f>
        <v>326</v>
      </c>
      <c r="AO502" s="577">
        <f>INPUT!CL406</f>
        <v>15.60283687943263</v>
      </c>
      <c r="AP502" s="580">
        <f>INPUT!CM406</f>
        <v>414</v>
      </c>
      <c r="AQ502" s="577">
        <f>INPUT!CN406</f>
        <v>44.755244755244746</v>
      </c>
      <c r="AR502" s="580">
        <f>INPUT!CO406</f>
        <v>614</v>
      </c>
      <c r="AS502" s="577" t="str">
        <f>INPUT!CP406</f>
        <v>NM</v>
      </c>
      <c r="AT502" s="580">
        <f>INPUT!CQ406</f>
        <v>648</v>
      </c>
      <c r="AU502" s="577" t="str">
        <f>INPUT!CR406</f>
        <v>NM</v>
      </c>
      <c r="AV502" s="580">
        <f>INPUT!CS406</f>
        <v>643</v>
      </c>
      <c r="AW502" s="577">
        <f>INPUT!CT406</f>
        <v>97.239263803680984</v>
      </c>
      <c r="AX502" s="580">
        <f>INPUT!CU406</f>
        <v>628</v>
      </c>
      <c r="AY502" s="577">
        <f>INPUT!CV406</f>
        <v>51.690821256038646</v>
      </c>
      <c r="AZ502" s="580">
        <f>INPUT!CW406</f>
        <v>649</v>
      </c>
      <c r="BA502" s="577">
        <f>INPUT!CX406</f>
        <v>5.7003257328990316</v>
      </c>
      <c r="BB502" s="580">
        <f>INPUT!CY406</f>
        <v>701</v>
      </c>
      <c r="BC502" s="577">
        <f>INPUT!CZ406</f>
        <v>8.1790123456790127</v>
      </c>
      <c r="BD502" s="580">
        <f>INPUT!DA406</f>
        <v>695</v>
      </c>
      <c r="BE502" s="577">
        <f>INPUT!DB406</f>
        <v>8.0870917573872418</v>
      </c>
      <c r="BF502" s="580">
        <f>INPUT!DC406</f>
        <v>690</v>
      </c>
      <c r="BG502" s="577">
        <f>INPUT!DD406</f>
        <v>9.8726114649681591</v>
      </c>
      <c r="BH502" s="580">
        <f>INPUT!DE406</f>
        <v>677</v>
      </c>
      <c r="BI502" s="577">
        <f>INPUT!DF406</f>
        <v>4.3143297380585466</v>
      </c>
      <c r="BJ502" s="580">
        <f>INPUT!DG406</f>
        <v>681</v>
      </c>
      <c r="BK502" s="577">
        <f>INPUT!DH406</f>
        <v>-2.8530670470756121</v>
      </c>
      <c r="BL502" s="580">
        <f>INPUT!DI406</f>
        <v>642</v>
      </c>
      <c r="BM502" s="577">
        <f>INPUT!DJ406</f>
        <v>-7.6258992805755383</v>
      </c>
      <c r="BN502" s="580">
        <f>INPUT!DK406</f>
        <v>653</v>
      </c>
      <c r="BO502" s="577">
        <f>INPUT!DL406</f>
        <v>-5.3623188405797038</v>
      </c>
      <c r="BP502" s="580">
        <f>INPUT!DM406</f>
        <v>697</v>
      </c>
      <c r="BQ502" s="577">
        <f>INPUT!DN406</f>
        <v>2.9542097488921826</v>
      </c>
      <c r="BR502" s="580">
        <f>INPUT!DO406</f>
        <v>702</v>
      </c>
      <c r="BS502" s="577">
        <f>INPUT!DP406</f>
        <v>3.0837004405286308</v>
      </c>
      <c r="BT502" s="580">
        <f>INPUT!DQ406</f>
        <v>655</v>
      </c>
      <c r="BU502" s="577">
        <f>INPUT!DR406</f>
        <v>2.0249221183800614</v>
      </c>
      <c r="BV502" s="580">
        <f>INPUT!DS406</f>
        <v>665</v>
      </c>
      <c r="BW502" s="577">
        <f>INPUT!DT406</f>
        <v>1.8376722817764204</v>
      </c>
      <c r="BX502" s="580">
        <f>INPUT!DU406</f>
        <v>664</v>
      </c>
      <c r="BY502" s="577">
        <f>INPUT!DV406</f>
        <v>-4.734576757532281</v>
      </c>
      <c r="BZ502" s="580">
        <f>INPUT!DW406</f>
        <v>647</v>
      </c>
      <c r="CA502" s="577">
        <f>INPUT!DX406</f>
        <v>-7.8347578347578377</v>
      </c>
      <c r="CB502" s="580">
        <f>INPUT!DY406</f>
        <v>630</v>
      </c>
      <c r="CC502" s="577">
        <f>INPUT!DZ406</f>
        <v>-3.8167938931297698</v>
      </c>
      <c r="CD502" s="580">
        <f>INPUT!EA406</f>
        <v>656</v>
      </c>
      <c r="CE502" s="577">
        <f>INPUT!EB406</f>
        <v>-1.3533834586466185</v>
      </c>
      <c r="CF502" s="580">
        <f>INPUT!EC406</f>
        <v>721</v>
      </c>
      <c r="CG502" s="577">
        <f>INPUT!ED406</f>
        <v>8.5843373493975861</v>
      </c>
      <c r="CH502" s="580">
        <f>INPUT!EE406</f>
        <v>716</v>
      </c>
      <c r="CI502" s="577">
        <f>INPUT!EF406</f>
        <v>10.664605873261209</v>
      </c>
      <c r="CJ502" s="580">
        <f>INPUT!EG406</f>
        <v>714</v>
      </c>
      <c r="CK502" s="577">
        <f>INPUT!EH406</f>
        <v>13.333333333333329</v>
      </c>
      <c r="CL502" s="580">
        <f>INPUT!EI406</f>
        <v>696</v>
      </c>
      <c r="CM502" s="577">
        <f>INPUT!EJ406</f>
        <v>6.0975609756097668</v>
      </c>
      <c r="CN502" s="580">
        <f>INPUT!EK406</f>
        <v>744</v>
      </c>
      <c r="CO502" s="577">
        <f>INPUT!EL406</f>
        <v>3.1900138696255169</v>
      </c>
      <c r="CP502" s="580">
        <f>INPUT!EM406</f>
        <v>738</v>
      </c>
      <c r="CQ502" s="577">
        <f>INPUT!EN406</f>
        <v>3.0726256983240319</v>
      </c>
      <c r="CR502" s="580">
        <f>INPUT!EO406</f>
        <v>730</v>
      </c>
      <c r="CS502" s="577">
        <f>INPUT!EP406</f>
        <v>2.2408963585434094</v>
      </c>
      <c r="CT502" s="580">
        <f>INPUT!EQ406</f>
        <v>705</v>
      </c>
      <c r="CU502" s="577">
        <f>INPUT!ER406</f>
        <v>1.2931034482758719</v>
      </c>
      <c r="CV502" s="580">
        <f>INPUT!ES406</f>
        <v>705</v>
      </c>
      <c r="CW502" s="577">
        <f>INPUT!ET406</f>
        <v>-5.2419354838709609</v>
      </c>
      <c r="CX502" s="580">
        <f>INPUT!EU406</f>
        <v>705</v>
      </c>
      <c r="CY502" s="577">
        <f>INPUT!EV406</f>
        <v>-4.4715447154471519</v>
      </c>
      <c r="CZ502" s="580">
        <f>INPUT!EW406</f>
        <v>705</v>
      </c>
      <c r="DA502" s="577">
        <f>INPUT!EX406</f>
        <v>-3.4246575342465775</v>
      </c>
      <c r="DB502" s="580"/>
      <c r="DC502" s="580">
        <f>INPUT!FP406</f>
        <v>676</v>
      </c>
      <c r="DD502" s="577">
        <f>INPUT!FQ406</f>
        <v>12.666666666666671</v>
      </c>
      <c r="DE502" s="580">
        <f>INPUT!FR406</f>
        <v>724</v>
      </c>
      <c r="DF502" s="577">
        <f>INPUT!FS406</f>
        <v>7.1005917159763214</v>
      </c>
      <c r="DG502" s="580">
        <f>INPUT!FT406</f>
        <v>809</v>
      </c>
      <c r="DH502" s="577">
        <f>INPUT!FU406</f>
        <v>11.740331491712695</v>
      </c>
      <c r="DI502" s="580">
        <f>INPUT!FV406</f>
        <v>1007</v>
      </c>
      <c r="DJ502" s="577">
        <f>INPUT!FW406</f>
        <v>24.474660074165627</v>
      </c>
      <c r="DK502" s="580">
        <f>INPUT!FX406</f>
        <v>1103</v>
      </c>
      <c r="DL502" s="577">
        <f>INPUT!FY406</f>
        <v>9.5332671300893708</v>
      </c>
      <c r="DM502" s="580">
        <f>INPUT!FZ406</f>
        <v>1213</v>
      </c>
      <c r="DN502" s="577">
        <f>INPUT!GA406</f>
        <v>9.9728014505893015</v>
      </c>
      <c r="DO502" s="580">
        <f>INPUT!GB406</f>
        <v>2319</v>
      </c>
      <c r="DP502" s="577">
        <f>INPUT!GC406</f>
        <v>91.178895300906845</v>
      </c>
      <c r="DQ502" s="580">
        <f>INPUT!GD406</f>
        <v>2673</v>
      </c>
      <c r="DR502" s="577">
        <f>INPUT!GE406</f>
        <v>15.265200517464422</v>
      </c>
      <c r="DS502" s="580">
        <f>INPUT!GF406</f>
        <v>2690</v>
      </c>
      <c r="DT502" s="577">
        <f>INPUT!GG406</f>
        <v>0.63598952487842553</v>
      </c>
      <c r="DU502" s="580">
        <f>INPUT!GH406</f>
        <v>2707</v>
      </c>
      <c r="DV502" s="577">
        <f>INPUT!GI406</f>
        <v>0.63197026022305636</v>
      </c>
      <c r="DW502" s="580">
        <f>INPUT!GJ406</f>
        <v>2606</v>
      </c>
      <c r="DX502" s="577">
        <f>INPUT!GK406</f>
        <v>-3.7310676025120131</v>
      </c>
      <c r="DY502" s="580">
        <f>INPUT!GL406</f>
        <v>2807</v>
      </c>
      <c r="DZ502" s="577">
        <f>INPUT!GM406</f>
        <v>7.7129700690713605</v>
      </c>
      <c r="EA502" s="580">
        <f>INPUT!GN406</f>
        <v>2908</v>
      </c>
      <c r="EB502" s="577">
        <f>INPUT!GO406</f>
        <v>3.5981474884218017</v>
      </c>
      <c r="EC502" s="580">
        <f>INPUT!GP406</f>
        <v>2820</v>
      </c>
      <c r="ED502" s="577">
        <f>INPUT!GQ406</f>
        <v>-3.02613480055021</v>
      </c>
      <c r="EE502" s="580">
        <f>INPUT!GR406</f>
        <v>2848.2</v>
      </c>
      <c r="EF502" s="577">
        <f>INPUT!GS406</f>
        <v>1</v>
      </c>
      <c r="EG502" s="580">
        <f>INPUT!GT406</f>
        <v>2876.6819999999998</v>
      </c>
      <c r="EH502" s="577">
        <f>INPUT!GU406</f>
        <v>1</v>
      </c>
      <c r="EI502" s="580">
        <f>INPUT!GV406</f>
        <v>2905.4488199999996</v>
      </c>
      <c r="EJ502" s="577">
        <f>INPUT!GW406</f>
        <v>1</v>
      </c>
      <c r="EK502" s="580">
        <f>INPUT!GX406</f>
        <v>2934.5033081999995</v>
      </c>
      <c r="EL502" s="577">
        <f>INPUT!GY406</f>
        <v>1</v>
      </c>
      <c r="EM502" s="577">
        <f>INPUT!GZ406</f>
        <v>0.18161769935505223</v>
      </c>
    </row>
    <row r="503" spans="1:143" ht="12.75" hidden="1" customHeight="1" outlineLevel="1" x14ac:dyDescent="0.2">
      <c r="A503" s="579" t="str">
        <f>INPUT!B407</f>
        <v>Commissions, Fees and Other Income</v>
      </c>
      <c r="B503" s="580">
        <f>INPUT!AY407</f>
        <v>2</v>
      </c>
      <c r="C503" s="577" t="str">
        <f>INPUT!AZ407</f>
        <v>NM</v>
      </c>
      <c r="D503" s="580">
        <f>INPUT!BA407</f>
        <v>3</v>
      </c>
      <c r="E503" s="577" t="str">
        <f>INPUT!BB407</f>
        <v>NM</v>
      </c>
      <c r="F503" s="580">
        <f>INPUT!BC407</f>
        <v>21</v>
      </c>
      <c r="G503" s="577" t="str">
        <f>INPUT!BD407</f>
        <v>NM</v>
      </c>
      <c r="H503" s="580">
        <f>INPUT!BE407</f>
        <v>7</v>
      </c>
      <c r="I503" s="577">
        <f>INPUT!BF407</f>
        <v>16.666666666666671</v>
      </c>
      <c r="J503" s="580">
        <f>INPUT!BG407</f>
        <v>20</v>
      </c>
      <c r="K503" s="577" t="str">
        <f>INPUT!BH407</f>
        <v>NM</v>
      </c>
      <c r="L503" s="580">
        <f>INPUT!BI407</f>
        <v>16</v>
      </c>
      <c r="M503" s="577" t="str">
        <f>INPUT!BJ407</f>
        <v>NM</v>
      </c>
      <c r="N503" s="580">
        <f>INPUT!BK407</f>
        <v>23</v>
      </c>
      <c r="O503" s="577">
        <f>INPUT!BL407</f>
        <v>9.5238095238095326</v>
      </c>
      <c r="P503" s="580">
        <f>INPUT!BM407</f>
        <v>-3</v>
      </c>
      <c r="Q503" s="577" t="str">
        <f>INPUT!BN407</f>
        <v>NM</v>
      </c>
      <c r="R503" s="580">
        <f>INPUT!BO407</f>
        <v>5</v>
      </c>
      <c r="S503" s="577" t="str">
        <f>INPUT!BP407</f>
        <v>NM</v>
      </c>
      <c r="T503" s="580">
        <f>INPUT!BQ407</f>
        <v>-11</v>
      </c>
      <c r="U503" s="577" t="str">
        <f>INPUT!BR407</f>
        <v>NM</v>
      </c>
      <c r="V503" s="580">
        <f>INPUT!BS407</f>
        <v>-6</v>
      </c>
      <c r="W503" s="577" t="str">
        <f>INPUT!BT407</f>
        <v>NM</v>
      </c>
      <c r="X503" s="580">
        <f>INPUT!BU407</f>
        <v>-14</v>
      </c>
      <c r="Y503" s="577" t="str">
        <f>INPUT!BV407</f>
        <v>NM</v>
      </c>
      <c r="Z503" s="580">
        <f>INPUT!BW407</f>
        <v>14</v>
      </c>
      <c r="AA503" s="577" t="str">
        <f>INPUT!BX407</f>
        <v>NM</v>
      </c>
      <c r="AB503" s="580">
        <f>INPUT!BY407</f>
        <v>36</v>
      </c>
      <c r="AC503" s="577" t="str">
        <f>INPUT!BZ407</f>
        <v>NM</v>
      </c>
      <c r="AD503" s="580">
        <f>INPUT!CA407</f>
        <v>16</v>
      </c>
      <c r="AE503" s="577" t="str">
        <f>INPUT!CB407</f>
        <v>NM</v>
      </c>
      <c r="AF503" s="580">
        <f>INPUT!CC407</f>
        <v>41</v>
      </c>
      <c r="AG503" s="577" t="str">
        <f>INPUT!CD407</f>
        <v>NM</v>
      </c>
      <c r="AH503" s="580">
        <f>INPUT!CE407</f>
        <v>40</v>
      </c>
      <c r="AI503" s="577" t="str">
        <f>INPUT!CF407</f>
        <v>NM</v>
      </c>
      <c r="AJ503" s="580">
        <f>INPUT!CG407</f>
        <v>38</v>
      </c>
      <c r="AK503" s="577">
        <f>INPUT!CH407</f>
        <v>5.5555555555555571</v>
      </c>
      <c r="AL503" s="580">
        <f>INPUT!CI407</f>
        <v>36</v>
      </c>
      <c r="AM503" s="577" t="str">
        <f>INPUT!CJ407</f>
        <v>NM</v>
      </c>
      <c r="AN503" s="580">
        <f>INPUT!CK407</f>
        <v>95</v>
      </c>
      <c r="AO503" s="577" t="str">
        <f>INPUT!CL407</f>
        <v>NM</v>
      </c>
      <c r="AP503" s="580">
        <f>INPUT!CM407</f>
        <v>186</v>
      </c>
      <c r="AQ503" s="577" t="str">
        <f>INPUT!CN407</f>
        <v>NM</v>
      </c>
      <c r="AR503" s="580">
        <f>INPUT!CO407</f>
        <v>47</v>
      </c>
      <c r="AS503" s="577">
        <f>INPUT!CP407</f>
        <v>23.684210526315795</v>
      </c>
      <c r="AT503" s="580">
        <f>INPUT!CQ407</f>
        <v>128</v>
      </c>
      <c r="AU503" s="577" t="str">
        <f>INPUT!CR407</f>
        <v>NM</v>
      </c>
      <c r="AV503" s="580">
        <f>INPUT!CS407</f>
        <v>10</v>
      </c>
      <c r="AW503" s="577" t="str">
        <f>INPUT!CT407</f>
        <v>NM</v>
      </c>
      <c r="AX503" s="580">
        <f>INPUT!CU407</f>
        <v>35</v>
      </c>
      <c r="AY503" s="577" t="str">
        <f>INPUT!CV407</f>
        <v>NM</v>
      </c>
      <c r="AZ503" s="580">
        <f>INPUT!CW407</f>
        <v>35</v>
      </c>
      <c r="BA503" s="577">
        <f>INPUT!CX407</f>
        <v>-25.531914893617028</v>
      </c>
      <c r="BB503" s="580">
        <f>INPUT!CY407</f>
        <v>73</v>
      </c>
      <c r="BC503" s="577">
        <f>INPUT!CZ407</f>
        <v>-42.96875</v>
      </c>
      <c r="BD503" s="580">
        <f>INPUT!DA407</f>
        <v>29</v>
      </c>
      <c r="BE503" s="577" t="str">
        <f>INPUT!DB407</f>
        <v>NM</v>
      </c>
      <c r="BF503" s="580">
        <f>INPUT!DC407</f>
        <v>124</v>
      </c>
      <c r="BG503" s="577" t="str">
        <f>INPUT!DD407</f>
        <v>NM</v>
      </c>
      <c r="BH503" s="580">
        <f>INPUT!DE407</f>
        <v>81</v>
      </c>
      <c r="BI503" s="577" t="str">
        <f>INPUT!DF407</f>
        <v>NM</v>
      </c>
      <c r="BJ503" s="580">
        <f>INPUT!DG407</f>
        <v>68</v>
      </c>
      <c r="BK503" s="577">
        <f>INPUT!DH407</f>
        <v>-6.849315068493155</v>
      </c>
      <c r="BL503" s="580">
        <f>INPUT!DI407</f>
        <v>82</v>
      </c>
      <c r="BM503" s="577" t="str">
        <f>INPUT!DJ407</f>
        <v>NM</v>
      </c>
      <c r="BN503" s="580">
        <f>INPUT!DK407</f>
        <v>84</v>
      </c>
      <c r="BO503" s="577">
        <f>INPUT!DL407</f>
        <v>-32.258064516129039</v>
      </c>
      <c r="BP503" s="580">
        <f>INPUT!DM407</f>
        <v>109</v>
      </c>
      <c r="BQ503" s="577">
        <f>INPUT!DN407</f>
        <v>34.567901234567898</v>
      </c>
      <c r="BR503" s="580">
        <f>INPUT!DO407</f>
        <v>72</v>
      </c>
      <c r="BS503" s="577">
        <f>INPUT!DP407</f>
        <v>5.8823529411764781</v>
      </c>
      <c r="BT503" s="580">
        <f>INPUT!DQ407</f>
        <v>63</v>
      </c>
      <c r="BU503" s="577">
        <f>INPUT!DR407</f>
        <v>-23.170731707317074</v>
      </c>
      <c r="BV503" s="580">
        <f>INPUT!DS407</f>
        <v>57</v>
      </c>
      <c r="BW503" s="577">
        <f>INPUT!DT407</f>
        <v>-32.142857142857139</v>
      </c>
      <c r="BX503" s="580">
        <f>INPUT!DU407</f>
        <v>82</v>
      </c>
      <c r="BY503" s="577">
        <f>INPUT!DV407</f>
        <v>-24.77064220183486</v>
      </c>
      <c r="BZ503" s="580">
        <f>INPUT!DW407</f>
        <v>67</v>
      </c>
      <c r="CA503" s="577">
        <f>INPUT!DX407</f>
        <v>-6.9444444444444429</v>
      </c>
      <c r="CB503" s="580">
        <f>INPUT!DY407</f>
        <v>73</v>
      </c>
      <c r="CC503" s="577">
        <f>INPUT!DZ407</f>
        <v>15.873015873015888</v>
      </c>
      <c r="CD503" s="580">
        <f>INPUT!EA407</f>
        <v>35</v>
      </c>
      <c r="CE503" s="577">
        <f>INPUT!EB407</f>
        <v>-38.596491228070171</v>
      </c>
      <c r="CF503" s="580">
        <f>INPUT!EC407</f>
        <v>85</v>
      </c>
      <c r="CG503" s="577">
        <f>INPUT!ED407</f>
        <v>3.6585365853658516</v>
      </c>
      <c r="CH503" s="580">
        <f>INPUT!EE407</f>
        <v>41</v>
      </c>
      <c r="CI503" s="577">
        <f>INPUT!EF407</f>
        <v>-38.805970149253731</v>
      </c>
      <c r="CJ503" s="580">
        <f>INPUT!EG407</f>
        <v>25</v>
      </c>
      <c r="CK503" s="577" t="str">
        <f>INPUT!EH407</f>
        <v>NM</v>
      </c>
      <c r="CL503" s="580">
        <f>INPUT!EI407</f>
        <v>51</v>
      </c>
      <c r="CM503" s="577">
        <f>INPUT!EJ407</f>
        <v>45.714285714285694</v>
      </c>
      <c r="CN503" s="580">
        <f>INPUT!EK407</f>
        <v>28</v>
      </c>
      <c r="CO503" s="577" t="str">
        <f>INPUT!EL407</f>
        <v>NM</v>
      </c>
      <c r="CP503" s="580">
        <f>INPUT!EM407</f>
        <v>22</v>
      </c>
      <c r="CQ503" s="577">
        <f>INPUT!EN407</f>
        <v>-46.341463414634141</v>
      </c>
      <c r="CR503" s="580">
        <f>INPUT!EO407</f>
        <v>7</v>
      </c>
      <c r="CS503" s="577" t="str">
        <f>INPUT!EP407</f>
        <v>NM</v>
      </c>
      <c r="CT503" s="580">
        <f>INPUT!EQ407</f>
        <v>51.739729729729731</v>
      </c>
      <c r="CU503" s="577">
        <f>INPUT!ER407</f>
        <v>1.4504504504504467</v>
      </c>
      <c r="CV503" s="580">
        <f>INPUT!ES407</f>
        <v>28.406126126126125</v>
      </c>
      <c r="CW503" s="577">
        <f>INPUT!ET407</f>
        <v>1.4504504504504467</v>
      </c>
      <c r="CX503" s="580">
        <f>INPUT!EU407</f>
        <v>22.319099099099098</v>
      </c>
      <c r="CY503" s="577">
        <f>INPUT!EV407</f>
        <v>1.4504504504504467</v>
      </c>
      <c r="CZ503" s="580">
        <f>INPUT!EW407</f>
        <v>7.1015315315315313</v>
      </c>
      <c r="DA503" s="577">
        <f>INPUT!EX407</f>
        <v>1.4504504504504467</v>
      </c>
      <c r="DB503" s="580"/>
      <c r="DC503" s="580">
        <f>INPUT!FP407</f>
        <v>7</v>
      </c>
      <c r="DD503" s="577" t="str">
        <f>INPUT!FQ407</f>
        <v>NM</v>
      </c>
      <c r="DE503" s="580">
        <f>INPUT!FR407</f>
        <v>33</v>
      </c>
      <c r="DF503" s="577" t="str">
        <f>INPUT!FS407</f>
        <v>NM</v>
      </c>
      <c r="DG503" s="580">
        <f>INPUT!FT407</f>
        <v>56</v>
      </c>
      <c r="DH503" s="577">
        <f>INPUT!FU407</f>
        <v>69.696969696969688</v>
      </c>
      <c r="DI503" s="580">
        <f>INPUT!FV407</f>
        <v>-235</v>
      </c>
      <c r="DJ503" s="577" t="str">
        <f>INPUT!FW407</f>
        <v>NM</v>
      </c>
      <c r="DK503" s="580">
        <f>INPUT!FX407</f>
        <v>107</v>
      </c>
      <c r="DL503" s="577" t="str">
        <f>INPUT!FY407</f>
        <v>NM</v>
      </c>
      <c r="DM503" s="580">
        <f>INPUT!FZ407</f>
        <v>209</v>
      </c>
      <c r="DN503" s="577">
        <f>INPUT!GA407</f>
        <v>95.327102803738342</v>
      </c>
      <c r="DO503" s="580">
        <f>INPUT!GB407</f>
        <v>371</v>
      </c>
      <c r="DP503" s="577">
        <f>INPUT!GC407</f>
        <v>77.511961722488053</v>
      </c>
      <c r="DQ503" s="580">
        <f>INPUT!GD407</f>
        <v>172</v>
      </c>
      <c r="DR503" s="577" t="str">
        <f>INPUT!GE407</f>
        <v>NM</v>
      </c>
      <c r="DS503" s="580">
        <f>INPUT!GF407</f>
        <v>355</v>
      </c>
      <c r="DT503" s="577" t="str">
        <f>INPUT!GG407</f>
        <v>NM</v>
      </c>
      <c r="DU503" s="580">
        <f>INPUT!GH407</f>
        <v>328</v>
      </c>
      <c r="DV503" s="577">
        <f>INPUT!GI407</f>
        <v>-7.6056338028168966</v>
      </c>
      <c r="DW503" s="580">
        <f>INPUT!GJ407</f>
        <v>279</v>
      </c>
      <c r="DX503" s="577">
        <f>INPUT!GK407</f>
        <v>-14.939024390243901</v>
      </c>
      <c r="DY503" s="580">
        <f>INPUT!GL407</f>
        <v>186</v>
      </c>
      <c r="DZ503" s="577">
        <f>INPUT!GM407</f>
        <v>-33.333333333333343</v>
      </c>
      <c r="EA503" s="580">
        <f>INPUT!GN407</f>
        <v>108</v>
      </c>
      <c r="EB503" s="577">
        <f>INPUT!GO407</f>
        <v>-41.935483870967737</v>
      </c>
      <c r="EC503" s="580">
        <f>INPUT!GP407</f>
        <v>109.56648648648648</v>
      </c>
      <c r="ED503" s="577">
        <f>INPUT!GQ407</f>
        <v>1.4504504504504467</v>
      </c>
      <c r="EE503" s="580">
        <f>INPUT!GR407</f>
        <v>110.66215135135135</v>
      </c>
      <c r="EF503" s="577">
        <f>INPUT!GS407</f>
        <v>1</v>
      </c>
      <c r="EG503" s="580">
        <f>INPUT!GT407</f>
        <v>111.76877286486487</v>
      </c>
      <c r="EH503" s="577">
        <f>INPUT!GU407</f>
        <v>1</v>
      </c>
      <c r="EI503" s="580">
        <f>INPUT!GV407</f>
        <v>112.88646059351352</v>
      </c>
      <c r="EJ503" s="577">
        <f>INPUT!GW407</f>
        <v>1</v>
      </c>
      <c r="EK503" s="580">
        <f>INPUT!GX407</f>
        <v>114.01532519944865</v>
      </c>
      <c r="EL503" s="577">
        <f>INPUT!GY407</f>
        <v>1</v>
      </c>
      <c r="EM503" s="577">
        <f>INPUT!GZ407</f>
        <v>1.0899298015088821</v>
      </c>
    </row>
    <row r="504" spans="1:143" ht="12.75" hidden="1" customHeight="1" outlineLevel="1" x14ac:dyDescent="0.2">
      <c r="A504" s="575" t="str">
        <f>INPUT!B408</f>
        <v xml:space="preserve">  Total Revenues</v>
      </c>
      <c r="B504" s="581">
        <f>INPUT!AY408</f>
        <v>731</v>
      </c>
      <c r="C504" s="577">
        <f>INPUT!AZ408</f>
        <v>-1.3495276653171402</v>
      </c>
      <c r="D504" s="581">
        <f>INPUT!BA408</f>
        <v>737</v>
      </c>
      <c r="E504" s="577">
        <f>INPUT!BB408</f>
        <v>-8.3333333333333428</v>
      </c>
      <c r="F504" s="581">
        <f>INPUT!BC408</f>
        <v>707</v>
      </c>
      <c r="G504" s="577">
        <f>INPUT!BD408</f>
        <v>-16.528925619834709</v>
      </c>
      <c r="H504" s="581">
        <f>INPUT!BE408</f>
        <v>676</v>
      </c>
      <c r="I504" s="577">
        <f>INPUT!BF408</f>
        <v>-6.2413314840499226</v>
      </c>
      <c r="J504" s="581">
        <f>INPUT!BG408</f>
        <v>694</v>
      </c>
      <c r="K504" s="577">
        <f>INPUT!BH408</f>
        <v>-5.0615595075239384</v>
      </c>
      <c r="L504" s="581">
        <f>INPUT!BI408</f>
        <v>747</v>
      </c>
      <c r="M504" s="577">
        <f>INPUT!BJ408</f>
        <v>1.3568521031207581</v>
      </c>
      <c r="N504" s="581">
        <f>INPUT!BK408</f>
        <v>696</v>
      </c>
      <c r="O504" s="577">
        <f>INPUT!BL408</f>
        <v>-1.5558698727015496</v>
      </c>
      <c r="P504" s="581">
        <f>INPUT!BM408</f>
        <v>707</v>
      </c>
      <c r="Q504" s="577">
        <f>INPUT!BN408</f>
        <v>4.5857988165680439</v>
      </c>
      <c r="R504" s="581">
        <f>INPUT!BO408</f>
        <v>748</v>
      </c>
      <c r="S504" s="577">
        <f>INPUT!BP408</f>
        <v>7.7809798270893396</v>
      </c>
      <c r="T504" s="581">
        <f>INPUT!BQ408</f>
        <v>840</v>
      </c>
      <c r="U504" s="577">
        <f>INPUT!BR408</f>
        <v>12.449799196787154</v>
      </c>
      <c r="V504" s="581">
        <f>INPUT!BS408</f>
        <v>764</v>
      </c>
      <c r="W504" s="577">
        <f>INPUT!BT408</f>
        <v>9.7701149425287355</v>
      </c>
      <c r="X504" s="581">
        <f>INPUT!BU408</f>
        <v>811</v>
      </c>
      <c r="Y504" s="577">
        <f>INPUT!BV408</f>
        <v>14.710042432814703</v>
      </c>
      <c r="Z504" s="581">
        <f>INPUT!BW408</f>
        <v>926</v>
      </c>
      <c r="AA504" s="577">
        <f>INPUT!BX408</f>
        <v>23.796791443850267</v>
      </c>
      <c r="AB504" s="581">
        <f>INPUT!BY408</f>
        <v>1025</v>
      </c>
      <c r="AC504" s="577">
        <f>INPUT!BZ408</f>
        <v>22.023809523809533</v>
      </c>
      <c r="AD504" s="581">
        <f>INPUT!CA408</f>
        <v>1104</v>
      </c>
      <c r="AE504" s="577">
        <f>INPUT!CB408</f>
        <v>44.502617801047109</v>
      </c>
      <c r="AF504" s="581">
        <f>INPUT!CC408</f>
        <v>1094</v>
      </c>
      <c r="AG504" s="577">
        <f>INPUT!CD408</f>
        <v>34.895191122071509</v>
      </c>
      <c r="AH504" s="581">
        <f>INPUT!CE408</f>
        <v>1113</v>
      </c>
      <c r="AI504" s="577">
        <f>INPUT!CF408</f>
        <v>20.194384449244069</v>
      </c>
      <c r="AJ504" s="581">
        <f>INPUT!CG408</f>
        <v>1258</v>
      </c>
      <c r="AK504" s="577">
        <f>INPUT!CH408</f>
        <v>22.731707317073173</v>
      </c>
      <c r="AL504" s="581">
        <f>INPUT!CI408</f>
        <v>1214</v>
      </c>
      <c r="AM504" s="577">
        <f>INPUT!CJ408</f>
        <v>9.9637681159420453</v>
      </c>
      <c r="AN504" s="581">
        <f>INPUT!CK408</f>
        <v>1365</v>
      </c>
      <c r="AO504" s="577">
        <f>INPUT!CL408</f>
        <v>24.771480804387551</v>
      </c>
      <c r="AP504" s="581">
        <f>INPUT!CM408</f>
        <v>2224</v>
      </c>
      <c r="AQ504" s="577">
        <f>INPUT!CN408</f>
        <v>99.820305480682833</v>
      </c>
      <c r="AR504" s="581">
        <f>INPUT!CO408</f>
        <v>3104</v>
      </c>
      <c r="AS504" s="577" t="str">
        <f>INPUT!CP408</f>
        <v>NM</v>
      </c>
      <c r="AT504" s="581">
        <f>INPUT!CQ408</f>
        <v>3054</v>
      </c>
      <c r="AU504" s="577" t="str">
        <f>INPUT!CR408</f>
        <v>NM</v>
      </c>
      <c r="AV504" s="581">
        <f>INPUT!CS408</f>
        <v>3093</v>
      </c>
      <c r="AW504" s="577" t="str">
        <f>INPUT!CT408</f>
        <v>NM</v>
      </c>
      <c r="AX504" s="581">
        <f>INPUT!CU408</f>
        <v>3500</v>
      </c>
      <c r="AY504" s="577">
        <f>INPUT!CV408</f>
        <v>57.374100719424462</v>
      </c>
      <c r="AZ504" s="581">
        <f>INPUT!CW408</f>
        <v>4214</v>
      </c>
      <c r="BA504" s="577">
        <f>INPUT!CX408</f>
        <v>35.760309278350519</v>
      </c>
      <c r="BB504" s="581">
        <f>INPUT!CY408</f>
        <v>5917</v>
      </c>
      <c r="BC504" s="577">
        <f>INPUT!CZ408</f>
        <v>93.74590700720367</v>
      </c>
      <c r="BD504" s="581">
        <f>INPUT!DA408</f>
        <v>6953</v>
      </c>
      <c r="BE504" s="577" t="str">
        <f>INPUT!DB408</f>
        <v>NM</v>
      </c>
      <c r="BF504" s="581">
        <f>INPUT!DC408</f>
        <v>3907</v>
      </c>
      <c r="BG504" s="577">
        <f>INPUT!DD408</f>
        <v>11.628571428571433</v>
      </c>
      <c r="BH504" s="581">
        <f>INPUT!DE408</f>
        <v>3782</v>
      </c>
      <c r="BI504" s="577">
        <f>INPUT!DF408</f>
        <v>-10.251542477456098</v>
      </c>
      <c r="BJ504" s="581">
        <f>INPUT!DG408</f>
        <v>3086</v>
      </c>
      <c r="BK504" s="577">
        <f>INPUT!DH408</f>
        <v>-47.845191820179146</v>
      </c>
      <c r="BL504" s="581">
        <f>INPUT!DI408</f>
        <v>2787</v>
      </c>
      <c r="BM504" s="577" t="str">
        <f>INPUT!DJ408</f>
        <v>NM</v>
      </c>
      <c r="BN504" s="581">
        <f>INPUT!DK408</f>
        <v>2596</v>
      </c>
      <c r="BO504" s="577">
        <f>INPUT!DL408</f>
        <v>-33.555157409777323</v>
      </c>
      <c r="BP504" s="581">
        <f>INPUT!DM408</f>
        <v>2991</v>
      </c>
      <c r="BQ504" s="577">
        <f>INPUT!DN408</f>
        <v>-20.914859862506603</v>
      </c>
      <c r="BR504" s="581">
        <f>INPUT!DO408</f>
        <v>2718</v>
      </c>
      <c r="BS504" s="577">
        <f>INPUT!DP408</f>
        <v>-11.924821775761501</v>
      </c>
      <c r="BT504" s="581">
        <f>INPUT!DQ408</f>
        <v>2494</v>
      </c>
      <c r="BU504" s="577">
        <f>INPUT!DR408</f>
        <v>-10.513096519555077</v>
      </c>
      <c r="BV504" s="581">
        <f>INPUT!DS408</f>
        <v>2464</v>
      </c>
      <c r="BW504" s="577">
        <f>INPUT!DT408</f>
        <v>-5.0847457627118615</v>
      </c>
      <c r="BX504" s="581">
        <f>INPUT!DU408</f>
        <v>2806</v>
      </c>
      <c r="BY504" s="577">
        <f>INPUT!DV408</f>
        <v>-6.1852223336676673</v>
      </c>
      <c r="BZ504" s="581">
        <f>INPUT!DW408</f>
        <v>2500</v>
      </c>
      <c r="CA504" s="577">
        <f>INPUT!DX408</f>
        <v>-8.0206033848417917</v>
      </c>
      <c r="CB504" s="581">
        <f>INPUT!DY408</f>
        <v>2422</v>
      </c>
      <c r="CC504" s="577">
        <f>INPUT!DZ408</f>
        <v>-2.8869286287089011</v>
      </c>
      <c r="CD504" s="581">
        <f>INPUT!EA408</f>
        <v>2485</v>
      </c>
      <c r="CE504" s="577">
        <f>INPUT!EB408</f>
        <v>0.85227272727273373</v>
      </c>
      <c r="CF504" s="581">
        <f>INPUT!EC408</f>
        <v>2926</v>
      </c>
      <c r="CG504" s="577">
        <f>INPUT!ED408</f>
        <v>4.2765502494654299</v>
      </c>
      <c r="CH504" s="581">
        <f>INPUT!EE408</f>
        <v>2851</v>
      </c>
      <c r="CI504" s="577">
        <f>INPUT!EF408</f>
        <v>14.040000000000006</v>
      </c>
      <c r="CJ504" s="581">
        <f>INPUT!EG408</f>
        <v>2761</v>
      </c>
      <c r="CK504" s="577">
        <f>INPUT!EH408</f>
        <v>13.996696944673829</v>
      </c>
      <c r="CL504" s="581">
        <f>INPUT!EI408</f>
        <v>2631</v>
      </c>
      <c r="CM504" s="577">
        <f>INPUT!EJ408</f>
        <v>5.8752515090543227</v>
      </c>
      <c r="CN504" s="581">
        <f>INPUT!EK408</f>
        <v>2906</v>
      </c>
      <c r="CO504" s="577">
        <f>INPUT!EL408</f>
        <v>-0.6835269993164701</v>
      </c>
      <c r="CP504" s="581">
        <f>INPUT!EM408</f>
        <v>2749</v>
      </c>
      <c r="CQ504" s="577">
        <f>INPUT!EN408</f>
        <v>-3.5776920378814481</v>
      </c>
      <c r="CR504" s="581">
        <f>INPUT!EO408</f>
        <v>2630</v>
      </c>
      <c r="CS504" s="577">
        <f>INPUT!EP408</f>
        <v>-4.7446577327055337</v>
      </c>
      <c r="CT504" s="581">
        <f>INPUT!EQ408</f>
        <v>2668.0662162162162</v>
      </c>
      <c r="CU504" s="577">
        <f>INPUT!ER408</f>
        <v>1.408826157970978</v>
      </c>
      <c r="CV504" s="581">
        <f>INPUT!ES408</f>
        <v>2898.3587387387388</v>
      </c>
      <c r="CW504" s="577">
        <f>INPUT!ET408</f>
        <v>-0.26294773782728953</v>
      </c>
      <c r="CX504" s="581">
        <f>INPUT!EU408</f>
        <v>2745.1685585585587</v>
      </c>
      <c r="CY504" s="577">
        <f>INPUT!EV408</f>
        <v>-0.13937582544348004</v>
      </c>
      <c r="CZ504" s="581">
        <f>INPUT!EW408</f>
        <v>2632.5585585585586</v>
      </c>
      <c r="DA504" s="577">
        <f>INPUT!EX408</f>
        <v>9.7283595382464227E-2</v>
      </c>
      <c r="DB504" s="581"/>
      <c r="DC504" s="581">
        <f>INPUT!FP408</f>
        <v>3113</v>
      </c>
      <c r="DD504" s="577">
        <f>INPUT!FQ408</f>
        <v>5.9564329475833944</v>
      </c>
      <c r="DE504" s="581">
        <f>INPUT!FR408</f>
        <v>2851</v>
      </c>
      <c r="DF504" s="577">
        <f>INPUT!FS408</f>
        <v>-8.4163186636684912</v>
      </c>
      <c r="DG504" s="581">
        <f>INPUT!FT408</f>
        <v>2844</v>
      </c>
      <c r="DH504" s="577">
        <f>INPUT!FU408</f>
        <v>-0.24552788495265077</v>
      </c>
      <c r="DI504" s="581">
        <f>INPUT!FV408</f>
        <v>2965</v>
      </c>
      <c r="DJ504" s="577">
        <f>INPUT!FW408</f>
        <v>4.2545710267229282</v>
      </c>
      <c r="DK504" s="581">
        <f>INPUT!FX408</f>
        <v>4149</v>
      </c>
      <c r="DL504" s="577">
        <f>INPUT!FY408</f>
        <v>39.932546374367632</v>
      </c>
      <c r="DM504" s="581">
        <f>INPUT!FZ408</f>
        <v>4950</v>
      </c>
      <c r="DN504" s="577">
        <f>INPUT!GA408</f>
        <v>19.305856832971784</v>
      </c>
      <c r="DO504" s="581">
        <f>INPUT!GB408</f>
        <v>11475</v>
      </c>
      <c r="DP504" s="577" t="str">
        <f>INPUT!GC408</f>
        <v>NM</v>
      </c>
      <c r="DQ504" s="581">
        <f>INPUT!GD408</f>
        <v>20584</v>
      </c>
      <c r="DR504" s="577">
        <f>INPUT!GE408</f>
        <v>79.381263616557732</v>
      </c>
      <c r="DS504" s="581">
        <f>INPUT!GF408</f>
        <v>13562</v>
      </c>
      <c r="DT504" s="577">
        <f>INPUT!GG408</f>
        <v>-34.113874854255727</v>
      </c>
      <c r="DU504" s="581">
        <f>INPUT!GH408</f>
        <v>10799</v>
      </c>
      <c r="DV504" s="577">
        <f>INPUT!GI408</f>
        <v>-20.373101312490789</v>
      </c>
      <c r="DW504" s="581">
        <f>INPUT!GJ408</f>
        <v>10192</v>
      </c>
      <c r="DX504" s="577">
        <f>INPUT!GK408</f>
        <v>-5.6208908232243715</v>
      </c>
      <c r="DY504" s="581">
        <f>INPUT!GL408</f>
        <v>11023</v>
      </c>
      <c r="DZ504" s="577">
        <f>INPUT!GM408</f>
        <v>8.153453689167975</v>
      </c>
      <c r="EA504" s="581">
        <f>INPUT!GN408</f>
        <v>10916</v>
      </c>
      <c r="EB504" s="577">
        <f>INPUT!GO408</f>
        <v>-0.97069763222353345</v>
      </c>
      <c r="EC504" s="581">
        <f>INPUT!GP408</f>
        <v>10944.152072072071</v>
      </c>
      <c r="ED504" s="577">
        <f>INPUT!GQ408</f>
        <v>0.25789732568770773</v>
      </c>
      <c r="EE504" s="581">
        <f>INPUT!GR408</f>
        <v>11053.593592792791</v>
      </c>
      <c r="EF504" s="577">
        <f>INPUT!GS408</f>
        <v>1</v>
      </c>
      <c r="EG504" s="581">
        <f>INPUT!GT408</f>
        <v>11164.129528720721</v>
      </c>
      <c r="EH504" s="577">
        <f>INPUT!GU408</f>
        <v>1.0000000000000284</v>
      </c>
      <c r="EI504" s="581">
        <f>INPUT!GV408</f>
        <v>11275.770824007928</v>
      </c>
      <c r="EJ504" s="577">
        <f>INPUT!GW408</f>
        <v>1</v>
      </c>
      <c r="EK504" s="581">
        <f>INPUT!GX408</f>
        <v>11388.528532248007</v>
      </c>
      <c r="EL504" s="577">
        <f>INPUT!GY408</f>
        <v>1</v>
      </c>
      <c r="EM504" s="577">
        <f>INPUT!GZ408</f>
        <v>0.85114132114818553</v>
      </c>
    </row>
    <row r="505" spans="1:143" ht="12.75" hidden="1" customHeight="1" outlineLevel="1" x14ac:dyDescent="0.2">
      <c r="A505" s="579"/>
      <c r="B505" s="605"/>
      <c r="C505" s="555"/>
      <c r="D505" s="605"/>
      <c r="E505" s="555"/>
      <c r="F505" s="605"/>
      <c r="G505" s="555"/>
      <c r="H505" s="605"/>
      <c r="I505" s="555"/>
      <c r="J505" s="605"/>
      <c r="K505" s="555"/>
      <c r="L505" s="605"/>
      <c r="M505" s="555"/>
      <c r="N505" s="605"/>
      <c r="O505" s="555"/>
      <c r="P505" s="605"/>
      <c r="Q505" s="555"/>
      <c r="R505" s="605"/>
      <c r="S505" s="555"/>
      <c r="T505" s="605"/>
      <c r="U505" s="555"/>
      <c r="V505" s="605"/>
      <c r="W505" s="555"/>
      <c r="X505" s="605"/>
      <c r="Y505" s="555"/>
      <c r="Z505" s="605"/>
      <c r="AA505" s="555"/>
      <c r="AB505" s="605"/>
      <c r="AC505" s="555"/>
      <c r="AD505" s="605"/>
      <c r="AE505" s="555"/>
      <c r="AF505" s="605"/>
      <c r="AG505" s="555"/>
      <c r="AH505" s="605"/>
      <c r="AI505" s="555"/>
      <c r="AJ505" s="605"/>
      <c r="AK505" s="555"/>
      <c r="AL505" s="605"/>
      <c r="AM505" s="555"/>
      <c r="AN505" s="605"/>
      <c r="AO505" s="555"/>
      <c r="AP505" s="605"/>
      <c r="AQ505" s="555"/>
      <c r="AR505" s="605"/>
      <c r="AS505" s="555"/>
      <c r="AT505" s="605"/>
      <c r="AU505" s="555"/>
      <c r="AV505" s="605"/>
      <c r="AW505" s="555"/>
      <c r="AX505" s="605"/>
      <c r="AY505" s="555"/>
      <c r="AZ505" s="605"/>
      <c r="BA505" s="555"/>
      <c r="BB505" s="605"/>
      <c r="BC505" s="555"/>
      <c r="BD505" s="605"/>
      <c r="BE505" s="555"/>
      <c r="BF505" s="605"/>
      <c r="BG505" s="555"/>
      <c r="BH505" s="605"/>
      <c r="BI505" s="555"/>
      <c r="BJ505" s="605"/>
      <c r="BK505" s="555"/>
      <c r="BL505" s="605"/>
      <c r="BM505" s="555"/>
      <c r="BN505" s="605"/>
      <c r="BO505" s="555"/>
      <c r="BP505" s="605"/>
      <c r="BQ505" s="555"/>
      <c r="BR505" s="605"/>
      <c r="BS505" s="555"/>
      <c r="BT505" s="605"/>
      <c r="BU505" s="555"/>
      <c r="BV505" s="605"/>
      <c r="BW505" s="555"/>
      <c r="BX505" s="605"/>
      <c r="BY505" s="555"/>
      <c r="BZ505" s="605"/>
      <c r="CA505" s="555"/>
      <c r="CB505" s="605"/>
      <c r="CC505" s="555"/>
      <c r="CD505" s="605"/>
      <c r="CE505" s="555"/>
      <c r="CF505" s="605"/>
      <c r="CG505" s="555"/>
      <c r="CH505" s="605"/>
      <c r="CI505" s="555"/>
      <c r="CJ505" s="605"/>
      <c r="CK505" s="555"/>
      <c r="CL505" s="605"/>
      <c r="CM505" s="555"/>
      <c r="CN505" s="605"/>
      <c r="CO505" s="555"/>
      <c r="CP505" s="605"/>
      <c r="CQ505" s="555"/>
      <c r="CR505" s="605"/>
      <c r="CS505" s="555"/>
      <c r="CT505" s="605"/>
      <c r="CU505" s="555"/>
      <c r="CV505" s="605"/>
      <c r="CW505" s="555"/>
      <c r="CX505" s="605"/>
      <c r="CY505" s="555"/>
      <c r="CZ505" s="605"/>
      <c r="DA505" s="555"/>
      <c r="DB505" s="605"/>
      <c r="DC505" s="605"/>
      <c r="DD505" s="555"/>
      <c r="DE505" s="605"/>
      <c r="DF505" s="555"/>
      <c r="DG505" s="605"/>
      <c r="DH505" s="555"/>
      <c r="DI505" s="605"/>
      <c r="DJ505" s="555"/>
      <c r="DK505" s="605"/>
      <c r="DL505" s="555"/>
      <c r="DM505" s="605"/>
      <c r="DN505" s="555"/>
      <c r="DO505" s="605"/>
      <c r="DP505" s="555"/>
      <c r="DQ505" s="605"/>
      <c r="DR505" s="555"/>
      <c r="DS505" s="605"/>
      <c r="DT505" s="555"/>
      <c r="DU505" s="605"/>
      <c r="DV505" s="555"/>
      <c r="DW505" s="605"/>
      <c r="DX505" s="555"/>
      <c r="DY505" s="605"/>
      <c r="DZ505" s="555"/>
      <c r="EA505" s="605"/>
      <c r="EB505" s="555"/>
      <c r="EC505" s="605"/>
      <c r="ED505" s="555"/>
      <c r="EE505" s="605"/>
      <c r="EF505" s="555"/>
      <c r="EG505" s="605"/>
      <c r="EH505" s="555"/>
      <c r="EI505" s="605"/>
      <c r="EJ505" s="555"/>
      <c r="EK505" s="605"/>
      <c r="EL505" s="555"/>
      <c r="EM505" s="555"/>
    </row>
    <row r="506" spans="1:143" ht="12.75" hidden="1" customHeight="1" outlineLevel="1" x14ac:dyDescent="0.2">
      <c r="A506" s="575" t="s">
        <v>129</v>
      </c>
      <c r="B506" s="605"/>
      <c r="C506" s="555"/>
      <c r="D506" s="605"/>
      <c r="E506" s="555"/>
      <c r="F506" s="605"/>
      <c r="G506" s="555"/>
      <c r="H506" s="605"/>
      <c r="I506" s="555"/>
      <c r="J506" s="605"/>
      <c r="K506" s="555"/>
      <c r="L506" s="605"/>
      <c r="M506" s="555"/>
      <c r="N506" s="605"/>
      <c r="O506" s="555"/>
      <c r="P506" s="605"/>
      <c r="Q506" s="555"/>
      <c r="R506" s="605"/>
      <c r="S506" s="555"/>
      <c r="T506" s="605"/>
      <c r="U506" s="555"/>
      <c r="V506" s="605"/>
      <c r="W506" s="555"/>
      <c r="X506" s="605"/>
      <c r="Y506" s="555"/>
      <c r="Z506" s="605"/>
      <c r="AA506" s="555"/>
      <c r="AB506" s="605"/>
      <c r="AC506" s="555"/>
      <c r="AD506" s="605"/>
      <c r="AE506" s="555"/>
      <c r="AF506" s="605"/>
      <c r="AG506" s="555"/>
      <c r="AH506" s="605"/>
      <c r="AI506" s="555"/>
      <c r="AJ506" s="605"/>
      <c r="AK506" s="555"/>
      <c r="AL506" s="605"/>
      <c r="AM506" s="555"/>
      <c r="AN506" s="605"/>
      <c r="AO506" s="555"/>
      <c r="AP506" s="605"/>
      <c r="AQ506" s="555"/>
      <c r="AR506" s="605"/>
      <c r="AS506" s="555"/>
      <c r="AT506" s="605"/>
      <c r="AU506" s="555"/>
      <c r="AV506" s="605"/>
      <c r="AW506" s="555"/>
      <c r="AX506" s="605"/>
      <c r="AY506" s="555"/>
      <c r="AZ506" s="605"/>
      <c r="BA506" s="555"/>
      <c r="BB506" s="605"/>
      <c r="BC506" s="555"/>
      <c r="BD506" s="605"/>
      <c r="BE506" s="555"/>
      <c r="BF506" s="605"/>
      <c r="BG506" s="555"/>
      <c r="BH506" s="605"/>
      <c r="BI506" s="555"/>
      <c r="BJ506" s="605"/>
      <c r="BK506" s="555"/>
      <c r="BL506" s="605"/>
      <c r="BM506" s="555"/>
      <c r="BN506" s="605"/>
      <c r="BO506" s="555"/>
      <c r="BP506" s="605"/>
      <c r="BQ506" s="555"/>
      <c r="BR506" s="605"/>
      <c r="BS506" s="555"/>
      <c r="BT506" s="605"/>
      <c r="BU506" s="555"/>
      <c r="BV506" s="605"/>
      <c r="BW506" s="555"/>
      <c r="BX506" s="605"/>
      <c r="BY506" s="555"/>
      <c r="BZ506" s="605"/>
      <c r="CA506" s="555"/>
      <c r="CB506" s="605"/>
      <c r="CC506" s="555"/>
      <c r="CD506" s="605"/>
      <c r="CE506" s="555"/>
      <c r="CF506" s="605"/>
      <c r="CG506" s="555"/>
      <c r="CH506" s="605"/>
      <c r="CI506" s="555"/>
      <c r="CJ506" s="605"/>
      <c r="CK506" s="555"/>
      <c r="CL506" s="605"/>
      <c r="CM506" s="555"/>
      <c r="CN506" s="605"/>
      <c r="CO506" s="555"/>
      <c r="CP506" s="605"/>
      <c r="CQ506" s="555"/>
      <c r="CR506" s="605"/>
      <c r="CS506" s="555"/>
      <c r="CT506" s="605"/>
      <c r="CU506" s="555"/>
      <c r="CV506" s="605"/>
      <c r="CW506" s="555"/>
      <c r="CX506" s="605"/>
      <c r="CY506" s="555"/>
      <c r="CZ506" s="605"/>
      <c r="DA506" s="555"/>
      <c r="DB506" s="605"/>
      <c r="DC506" s="605"/>
      <c r="DD506" s="555"/>
      <c r="DE506" s="605"/>
      <c r="DF506" s="555"/>
      <c r="DG506" s="605"/>
      <c r="DH506" s="555"/>
      <c r="DI506" s="605"/>
      <c r="DJ506" s="555"/>
      <c r="DK506" s="605"/>
      <c r="DL506" s="555"/>
      <c r="DM506" s="605"/>
      <c r="DN506" s="555"/>
      <c r="DO506" s="605"/>
      <c r="DP506" s="555"/>
      <c r="DQ506" s="605"/>
      <c r="DR506" s="555"/>
      <c r="DS506" s="605"/>
      <c r="DT506" s="555"/>
      <c r="DU506" s="605"/>
      <c r="DV506" s="555"/>
      <c r="DW506" s="605"/>
      <c r="DX506" s="555"/>
      <c r="DY506" s="605"/>
      <c r="DZ506" s="555"/>
      <c r="EA506" s="605"/>
      <c r="EB506" s="555"/>
      <c r="EC506" s="605"/>
      <c r="ED506" s="555"/>
      <c r="EE506" s="605"/>
      <c r="EF506" s="555"/>
      <c r="EG506" s="605"/>
      <c r="EH506" s="555"/>
      <c r="EI506" s="605"/>
      <c r="EJ506" s="555"/>
      <c r="EK506" s="605"/>
      <c r="EL506" s="555"/>
      <c r="EM506" s="555"/>
    </row>
    <row r="507" spans="1:143" ht="12.75" hidden="1" customHeight="1" outlineLevel="1" x14ac:dyDescent="0.2">
      <c r="A507" s="579" t="str">
        <f>INPUT!B411</f>
        <v>Benefits</v>
      </c>
      <c r="B507" s="580">
        <f>INPUT!AY411</f>
        <v>455</v>
      </c>
      <c r="C507" s="577">
        <f>INPUT!AZ411</f>
        <v>-2.5695931477516041</v>
      </c>
      <c r="D507" s="580">
        <f>INPUT!BA411</f>
        <v>459</v>
      </c>
      <c r="E507" s="577">
        <f>INPUT!BB411</f>
        <v>-6.3265306122448948</v>
      </c>
      <c r="F507" s="580">
        <f>INPUT!BC411</f>
        <v>380</v>
      </c>
      <c r="G507" s="577">
        <f>INPUT!BD411</f>
        <v>-32.263814616755795</v>
      </c>
      <c r="H507" s="580">
        <f>INPUT!BE411</f>
        <v>370</v>
      </c>
      <c r="I507" s="577">
        <f>INPUT!BF411</f>
        <v>-14.942528735632195</v>
      </c>
      <c r="J507" s="580">
        <f>INPUT!BG411</f>
        <v>371</v>
      </c>
      <c r="K507" s="577">
        <f>INPUT!BH411</f>
        <v>-18.461538461538467</v>
      </c>
      <c r="L507" s="580">
        <f>INPUT!BI411</f>
        <v>412</v>
      </c>
      <c r="M507" s="577">
        <f>INPUT!BJ411</f>
        <v>-10.239651416122015</v>
      </c>
      <c r="N507" s="580">
        <f>INPUT!BK411</f>
        <v>357</v>
      </c>
      <c r="O507" s="577">
        <f>INPUT!BL411</f>
        <v>-6.0526315789473699</v>
      </c>
      <c r="P507" s="580">
        <f>INPUT!BM411</f>
        <v>381</v>
      </c>
      <c r="Q507" s="577">
        <f>INPUT!BN411</f>
        <v>2.9729729729729684</v>
      </c>
      <c r="R507" s="580">
        <f>INPUT!BO411</f>
        <v>412</v>
      </c>
      <c r="S507" s="577">
        <f>INPUT!BP411</f>
        <v>11.051212938005392</v>
      </c>
      <c r="T507" s="580">
        <f>INPUT!BQ411</f>
        <v>444</v>
      </c>
      <c r="U507" s="577">
        <f>INPUT!BR411</f>
        <v>7.7669902912621325</v>
      </c>
      <c r="V507" s="580">
        <f>INPUT!BS411</f>
        <v>379</v>
      </c>
      <c r="W507" s="577">
        <f>INPUT!BT411</f>
        <v>6.1624649859944043</v>
      </c>
      <c r="X507" s="580">
        <f>INPUT!BU411</f>
        <v>404</v>
      </c>
      <c r="Y507" s="577">
        <f>INPUT!BV411</f>
        <v>6.0367454068241528</v>
      </c>
      <c r="Z507" s="580">
        <f>INPUT!BW411</f>
        <v>483</v>
      </c>
      <c r="AA507" s="577">
        <f>INPUT!BX411</f>
        <v>17.233009708737868</v>
      </c>
      <c r="AB507" s="580">
        <f>INPUT!BY411</f>
        <v>565</v>
      </c>
      <c r="AC507" s="577">
        <f>INPUT!BZ411</f>
        <v>27.252252252252248</v>
      </c>
      <c r="AD507" s="580">
        <f>INPUT!CA411</f>
        <v>602</v>
      </c>
      <c r="AE507" s="577">
        <f>INPUT!CB411</f>
        <v>58.839050131926115</v>
      </c>
      <c r="AF507" s="580">
        <f>INPUT!CC411</f>
        <v>588</v>
      </c>
      <c r="AG507" s="577">
        <f>INPUT!CD411</f>
        <v>45.544554455445535</v>
      </c>
      <c r="AH507" s="580">
        <f>INPUT!CE411</f>
        <v>607</v>
      </c>
      <c r="AI507" s="577">
        <f>INPUT!CF411</f>
        <v>25.672877846790882</v>
      </c>
      <c r="AJ507" s="580">
        <f>INPUT!CG411</f>
        <v>745</v>
      </c>
      <c r="AK507" s="577">
        <f>INPUT!CH411</f>
        <v>31.858407079646014</v>
      </c>
      <c r="AL507" s="580">
        <f>INPUT!CI411</f>
        <v>651</v>
      </c>
      <c r="AM507" s="577">
        <f>INPUT!CJ411</f>
        <v>8.1395348837209269</v>
      </c>
      <c r="AN507" s="580">
        <f>INPUT!CK411</f>
        <v>718</v>
      </c>
      <c r="AO507" s="577">
        <f>INPUT!CL411</f>
        <v>22.108843537414955</v>
      </c>
      <c r="AP507" s="580">
        <f>INPUT!CM411</f>
        <v>1317</v>
      </c>
      <c r="AQ507" s="577" t="str">
        <f>INPUT!CN411</f>
        <v>NM</v>
      </c>
      <c r="AR507" s="580">
        <f>INPUT!CO411</f>
        <v>1941</v>
      </c>
      <c r="AS507" s="577" t="str">
        <f>INPUT!CP411</f>
        <v>NM</v>
      </c>
      <c r="AT507" s="580">
        <f>INPUT!CQ411</f>
        <v>1709</v>
      </c>
      <c r="AU507" s="577" t="str">
        <f>INPUT!CR411</f>
        <v>NM</v>
      </c>
      <c r="AV507" s="580">
        <f>INPUT!CS411</f>
        <v>1824</v>
      </c>
      <c r="AW507" s="577" t="str">
        <f>INPUT!CT411</f>
        <v>NM</v>
      </c>
      <c r="AX507" s="580">
        <f>INPUT!CU411</f>
        <v>2262</v>
      </c>
      <c r="AY507" s="577">
        <f>INPUT!CV411</f>
        <v>71.753986332574044</v>
      </c>
      <c r="AZ507" s="580">
        <f>INPUT!CW411</f>
        <v>2901</v>
      </c>
      <c r="BA507" s="577">
        <f>INPUT!CX411</f>
        <v>49.459041731066463</v>
      </c>
      <c r="BB507" s="580">
        <f>INPUT!CY411</f>
        <v>4546</v>
      </c>
      <c r="BC507" s="577" t="str">
        <f>INPUT!CZ411</f>
        <v>NM</v>
      </c>
      <c r="BD507" s="580">
        <f>INPUT!DA411</f>
        <v>5597</v>
      </c>
      <c r="BE507" s="577" t="str">
        <f>INPUT!DB411</f>
        <v>NM</v>
      </c>
      <c r="BF507" s="580">
        <f>INPUT!DC411</f>
        <v>2612</v>
      </c>
      <c r="BG507" s="577">
        <f>INPUT!DD411</f>
        <v>15.473032714412028</v>
      </c>
      <c r="BH507" s="580">
        <f>INPUT!DE411</f>
        <v>2523</v>
      </c>
      <c r="BI507" s="577">
        <f>INPUT!DF411</f>
        <v>-13.029989658738359</v>
      </c>
      <c r="BJ507" s="580">
        <f>INPUT!DG411</f>
        <v>1985</v>
      </c>
      <c r="BK507" s="577" t="str">
        <f>INPUT!DH411</f>
        <v>NM</v>
      </c>
      <c r="BL507" s="580">
        <f>INPUT!DI411</f>
        <v>1672</v>
      </c>
      <c r="BM507" s="577" t="str">
        <f>INPUT!DJ411</f>
        <v>NM</v>
      </c>
      <c r="BN507" s="580">
        <f>INPUT!DK411</f>
        <v>1476</v>
      </c>
      <c r="BO507" s="577">
        <f>INPUT!DL411</f>
        <v>-43.491577335375183</v>
      </c>
      <c r="BP507" s="580">
        <f>INPUT!DM411</f>
        <v>1760</v>
      </c>
      <c r="BQ507" s="577">
        <f>INPUT!DN411</f>
        <v>-30.241775663892184</v>
      </c>
      <c r="BR507" s="580">
        <f>INPUT!DO411</f>
        <v>1565</v>
      </c>
      <c r="BS507" s="577">
        <f>INPUT!DP411</f>
        <v>-21.158690176322409</v>
      </c>
      <c r="BT507" s="580">
        <f>INPUT!DQ411</f>
        <v>1469</v>
      </c>
      <c r="BU507" s="577">
        <f>INPUT!DR411</f>
        <v>-12.141148325358856</v>
      </c>
      <c r="BV507" s="580">
        <f>INPUT!DS411</f>
        <v>1411</v>
      </c>
      <c r="BW507" s="577">
        <f>INPUT!DT411</f>
        <v>-4.4037940379403722</v>
      </c>
      <c r="BX507" s="580">
        <f>INPUT!DU411</f>
        <v>1683</v>
      </c>
      <c r="BY507" s="577">
        <f>INPUT!DV411</f>
        <v>-4.375</v>
      </c>
      <c r="BZ507" s="580">
        <f>INPUT!DW411</f>
        <v>1460</v>
      </c>
      <c r="CA507" s="577">
        <f>INPUT!DX411</f>
        <v>-6.7092651757188548</v>
      </c>
      <c r="CB507" s="580">
        <f>INPUT!DY411</f>
        <v>1385</v>
      </c>
      <c r="CC507" s="577">
        <f>INPUT!DZ411</f>
        <v>-5.7181756296800614</v>
      </c>
      <c r="CD507" s="580">
        <f>INPUT!EA411</f>
        <v>1464</v>
      </c>
      <c r="CE507" s="577">
        <f>INPUT!EB411</f>
        <v>3.7562012756910121</v>
      </c>
      <c r="CF507" s="580">
        <f>INPUT!EC411</f>
        <v>1765</v>
      </c>
      <c r="CG507" s="577">
        <f>INPUT!ED411</f>
        <v>4.8722519310754535</v>
      </c>
      <c r="CH507" s="580">
        <f>INPUT!EE411</f>
        <v>1724</v>
      </c>
      <c r="CI507" s="577">
        <f>INPUT!EF411</f>
        <v>18.082191780821915</v>
      </c>
      <c r="CJ507" s="580">
        <f>INPUT!EG411</f>
        <v>1672</v>
      </c>
      <c r="CK507" s="577">
        <f>INPUT!EH411</f>
        <v>20.72202166064983</v>
      </c>
      <c r="CL507" s="580">
        <f>INPUT!EI411</f>
        <v>1567</v>
      </c>
      <c r="CM507" s="577">
        <f>INPUT!EJ411</f>
        <v>7.0355191256830523</v>
      </c>
      <c r="CN507" s="580">
        <f>INPUT!EK411</f>
        <v>1711</v>
      </c>
      <c r="CO507" s="577">
        <f>INPUT!EL411</f>
        <v>-3.0594900849858391</v>
      </c>
      <c r="CP507" s="580">
        <f>INPUT!EM411</f>
        <v>1641</v>
      </c>
      <c r="CQ507" s="577">
        <f>INPUT!EN411</f>
        <v>-4.8143851508120576</v>
      </c>
      <c r="CR507" s="580">
        <f>INPUT!EO411</f>
        <v>1550</v>
      </c>
      <c r="CS507" s="577">
        <f>INPUT!EP411</f>
        <v>-7.2966507177033435</v>
      </c>
      <c r="CT507" s="580">
        <f>INPUT!EQ411</f>
        <v>1589.7285585585587</v>
      </c>
      <c r="CU507" s="577">
        <f>INPUT!ER411</f>
        <v>1.4504504504504752</v>
      </c>
      <c r="CV507" s="580">
        <f>INPUT!ES411</f>
        <v>1735.817207207207</v>
      </c>
      <c r="CW507" s="577">
        <f>INPUT!ET411</f>
        <v>1.4504504504504467</v>
      </c>
      <c r="CX507" s="580">
        <f>INPUT!EU411</f>
        <v>1646.6412467567563</v>
      </c>
      <c r="CY507" s="577">
        <f>INPUT!EV411</f>
        <v>0.34376884562806254</v>
      </c>
      <c r="CZ507" s="580">
        <f>INPUT!EW411</f>
        <v>1562.8796968468469</v>
      </c>
      <c r="DA507" s="577">
        <f>INPUT!EX411</f>
        <v>0.83094818366753032</v>
      </c>
      <c r="DB507" s="580"/>
      <c r="DC507" s="580">
        <f>INPUT!FP411</f>
        <v>1953</v>
      </c>
      <c r="DD507" s="577">
        <f>INPUT!FQ411</f>
        <v>3.4976152623211476</v>
      </c>
      <c r="DE507" s="580">
        <f>INPUT!FR411</f>
        <v>1664</v>
      </c>
      <c r="DF507" s="577">
        <f>INPUT!FS411</f>
        <v>-14.79774705581157</v>
      </c>
      <c r="DG507" s="580">
        <f>INPUT!FT411</f>
        <v>1521</v>
      </c>
      <c r="DH507" s="577">
        <f>INPUT!FU411</f>
        <v>-8.59375</v>
      </c>
      <c r="DI507" s="580">
        <f>INPUT!FV411</f>
        <v>1639</v>
      </c>
      <c r="DJ507" s="577">
        <f>INPUT!FW411</f>
        <v>7.7580539119000775</v>
      </c>
      <c r="DK507" s="580">
        <f>INPUT!FX411</f>
        <v>2238</v>
      </c>
      <c r="DL507" s="577">
        <f>INPUT!FY411</f>
        <v>36.546674801708377</v>
      </c>
      <c r="DM507" s="580">
        <f>INPUT!FZ411</f>
        <v>2721</v>
      </c>
      <c r="DN507" s="577">
        <f>INPUT!GA411</f>
        <v>21.58176943699732</v>
      </c>
      <c r="DO507" s="580">
        <f>INPUT!GB411</f>
        <v>6791</v>
      </c>
      <c r="DP507" s="577" t="str">
        <f>INPUT!GC411</f>
        <v>NM</v>
      </c>
      <c r="DQ507" s="580">
        <f>INPUT!GD411</f>
        <v>15306</v>
      </c>
      <c r="DR507" s="577" t="str">
        <f>INPUT!GE411</f>
        <v>NM</v>
      </c>
      <c r="DS507" s="580">
        <f>INPUT!GF411</f>
        <v>8792</v>
      </c>
      <c r="DT507" s="577">
        <f>INPUT!GG411</f>
        <v>-42.558473801123739</v>
      </c>
      <c r="DU507" s="580">
        <f>INPUT!GH411</f>
        <v>6270</v>
      </c>
      <c r="DV507" s="577">
        <f>INPUT!GI411</f>
        <v>-28.685168334849863</v>
      </c>
      <c r="DW507" s="580">
        <f>INPUT!GJ411</f>
        <v>5939</v>
      </c>
      <c r="DX507" s="577">
        <f>INPUT!GK411</f>
        <v>-5.2791068580542344</v>
      </c>
      <c r="DY507" s="580">
        <f>INPUT!GL411</f>
        <v>6625</v>
      </c>
      <c r="DZ507" s="577">
        <f>INPUT!GM411</f>
        <v>11.550766122242791</v>
      </c>
      <c r="EA507" s="580">
        <f>INPUT!GN411</f>
        <v>6469</v>
      </c>
      <c r="EB507" s="577">
        <f>INPUT!GO411</f>
        <v>-2.3547169811320714</v>
      </c>
      <c r="EC507" s="580">
        <f>INPUT!GP411</f>
        <v>6535.0667093693692</v>
      </c>
      <c r="ED507" s="577">
        <f>INPUT!GQ411</f>
        <v>1.0212816412021937</v>
      </c>
      <c r="EE507" s="580">
        <f>INPUT!GR411</f>
        <v>6596.3700107423429</v>
      </c>
      <c r="EF507" s="577">
        <f>INPUT!GS411</f>
        <v>0.93806695630334502</v>
      </c>
      <c r="EG507" s="580">
        <f>INPUT!GT411</f>
        <v>6662.3337108497672</v>
      </c>
      <c r="EH507" s="577">
        <f>INPUT!GU411</f>
        <v>1.0000000000000284</v>
      </c>
      <c r="EI507" s="580">
        <f>INPUT!GV411</f>
        <v>6728.9570479582644</v>
      </c>
      <c r="EJ507" s="577">
        <f>INPUT!GW411</f>
        <v>1</v>
      </c>
      <c r="EK507" s="580">
        <f>INPUT!GX411</f>
        <v>6796.2466184378472</v>
      </c>
      <c r="EL507" s="577">
        <f>INPUT!GY411</f>
        <v>1</v>
      </c>
      <c r="EM507" s="577">
        <f>INPUT!GZ411</f>
        <v>0.99186579943038033</v>
      </c>
    </row>
    <row r="508" spans="1:143" ht="12.75" hidden="1" customHeight="1" outlineLevel="1" x14ac:dyDescent="0.2">
      <c r="A508" s="579" t="str">
        <f>INPUT!B412</f>
        <v>Interest Credited</v>
      </c>
      <c r="B508" s="580">
        <f>INPUT!AY412</f>
        <v>30</v>
      </c>
      <c r="C508" s="577">
        <f>INPUT!AZ412</f>
        <v>30.434782608695656</v>
      </c>
      <c r="D508" s="580">
        <f>INPUT!BA412</f>
        <v>34</v>
      </c>
      <c r="E508" s="577">
        <f>INPUT!BB412</f>
        <v>30.769230769230774</v>
      </c>
      <c r="F508" s="580">
        <f>INPUT!BC412</f>
        <v>39</v>
      </c>
      <c r="G508" s="577">
        <f>INPUT!BD412</f>
        <v>34.482758620689651</v>
      </c>
      <c r="H508" s="580">
        <f>INPUT!BE412</f>
        <v>42</v>
      </c>
      <c r="I508" s="577">
        <f>INPUT!BF412</f>
        <v>55.555555555555571</v>
      </c>
      <c r="J508" s="580">
        <f>INPUT!BG412</f>
        <v>43</v>
      </c>
      <c r="K508" s="577">
        <f>INPUT!BH412</f>
        <v>43.333333333333343</v>
      </c>
      <c r="L508" s="580">
        <f>INPUT!BI412</f>
        <v>48</v>
      </c>
      <c r="M508" s="577">
        <f>INPUT!BJ412</f>
        <v>41.176470588235304</v>
      </c>
      <c r="N508" s="580">
        <f>INPUT!BK412</f>
        <v>48</v>
      </c>
      <c r="O508" s="577">
        <f>INPUT!BL412</f>
        <v>23.07692307692308</v>
      </c>
      <c r="P508" s="580">
        <f>INPUT!BM412</f>
        <v>54</v>
      </c>
      <c r="Q508" s="577">
        <f>INPUT!BN412</f>
        <v>28.571428571428584</v>
      </c>
      <c r="R508" s="580">
        <f>INPUT!BO412</f>
        <v>57</v>
      </c>
      <c r="S508" s="577">
        <f>INPUT!BP412</f>
        <v>32.558139534883708</v>
      </c>
      <c r="T508" s="580">
        <f>INPUT!BQ412</f>
        <v>61</v>
      </c>
      <c r="U508" s="577">
        <f>INPUT!BR412</f>
        <v>27.083333333333329</v>
      </c>
      <c r="V508" s="580">
        <f>INPUT!BS412</f>
        <v>64</v>
      </c>
      <c r="W508" s="577">
        <f>INPUT!BT412</f>
        <v>33.333333333333314</v>
      </c>
      <c r="X508" s="580">
        <f>INPUT!BU412</f>
        <v>67</v>
      </c>
      <c r="Y508" s="577">
        <f>INPUT!BV412</f>
        <v>24.074074074074076</v>
      </c>
      <c r="Z508" s="580">
        <f>INPUT!BW412</f>
        <v>71</v>
      </c>
      <c r="AA508" s="577">
        <f>INPUT!BX412</f>
        <v>24.561403508771946</v>
      </c>
      <c r="AB508" s="580">
        <f>INPUT!BY412</f>
        <v>70</v>
      </c>
      <c r="AC508" s="577">
        <f>INPUT!BZ412</f>
        <v>14.754098360655732</v>
      </c>
      <c r="AD508" s="580">
        <f>INPUT!CA412</f>
        <v>74</v>
      </c>
      <c r="AE508" s="577">
        <f>INPUT!CB412</f>
        <v>15.625</v>
      </c>
      <c r="AF508" s="580">
        <f>INPUT!CC412</f>
        <v>79</v>
      </c>
      <c r="AG508" s="577">
        <f>INPUT!CD412</f>
        <v>17.910447761194035</v>
      </c>
      <c r="AH508" s="580">
        <f>INPUT!CE412</f>
        <v>81</v>
      </c>
      <c r="AI508" s="577">
        <f>INPUT!CF412</f>
        <v>14.08450704225352</v>
      </c>
      <c r="AJ508" s="580">
        <f>INPUT!CG412</f>
        <v>83</v>
      </c>
      <c r="AK508" s="577">
        <f>INPUT!CH412</f>
        <v>18.571428571428569</v>
      </c>
      <c r="AL508" s="580">
        <f>INPUT!CI412</f>
        <v>89</v>
      </c>
      <c r="AM508" s="577">
        <f>INPUT!CJ412</f>
        <v>20.27027027027026</v>
      </c>
      <c r="AN508" s="580">
        <f>INPUT!CK412</f>
        <v>96</v>
      </c>
      <c r="AO508" s="577">
        <f>INPUT!CL412</f>
        <v>21.51898734177216</v>
      </c>
      <c r="AP508" s="580">
        <f>INPUT!CM412</f>
        <v>99</v>
      </c>
      <c r="AQ508" s="577">
        <f>INPUT!CN412</f>
        <v>22.222222222222229</v>
      </c>
      <c r="AR508" s="580">
        <f>INPUT!CO412</f>
        <v>193</v>
      </c>
      <c r="AS508" s="577" t="str">
        <f>INPUT!CP412</f>
        <v>NM</v>
      </c>
      <c r="AT508" s="580">
        <f>INPUT!CQ412</f>
        <v>226</v>
      </c>
      <c r="AU508" s="577" t="str">
        <f>INPUT!CR412</f>
        <v>NM</v>
      </c>
      <c r="AV508" s="580">
        <f>INPUT!CS412</f>
        <v>215</v>
      </c>
      <c r="AW508" s="577" t="str">
        <f>INPUT!CT412</f>
        <v>NM</v>
      </c>
      <c r="AX508" s="580">
        <f>INPUT!CU412</f>
        <v>210</v>
      </c>
      <c r="AY508" s="577" t="str">
        <f>INPUT!CV412</f>
        <v>NM</v>
      </c>
      <c r="AZ508" s="580">
        <f>INPUT!CW412</f>
        <v>209</v>
      </c>
      <c r="BA508" s="577">
        <f>INPUT!CX412</f>
        <v>8.2901554404145088</v>
      </c>
      <c r="BB508" s="580">
        <f>INPUT!CY412</f>
        <v>223</v>
      </c>
      <c r="BC508" s="577">
        <f>INPUT!CZ412</f>
        <v>-1.3274336283185875</v>
      </c>
      <c r="BD508" s="580">
        <f>INPUT!DA412</f>
        <v>219</v>
      </c>
      <c r="BE508" s="577">
        <f>INPUT!DB412</f>
        <v>1.8604651162790589</v>
      </c>
      <c r="BF508" s="580">
        <f>INPUT!DC412</f>
        <v>198</v>
      </c>
      <c r="BG508" s="577">
        <f>INPUT!DD412</f>
        <v>-5.7142857142857224</v>
      </c>
      <c r="BH508" s="580">
        <f>INPUT!DE412</f>
        <v>178</v>
      </c>
      <c r="BI508" s="577">
        <f>INPUT!DF412</f>
        <v>-14.832535885167459</v>
      </c>
      <c r="BJ508" s="580">
        <f>INPUT!DG412</f>
        <v>182</v>
      </c>
      <c r="BK508" s="577">
        <f>INPUT!DH412</f>
        <v>-18.38565022421524</v>
      </c>
      <c r="BL508" s="580">
        <f>INPUT!DI412</f>
        <v>182</v>
      </c>
      <c r="BM508" s="577">
        <f>INPUT!DJ412</f>
        <v>-16.894977168949779</v>
      </c>
      <c r="BN508" s="580">
        <f>INPUT!DK412</f>
        <v>179</v>
      </c>
      <c r="BO508" s="577">
        <f>INPUT!DL412</f>
        <v>-9.5959595959595845</v>
      </c>
      <c r="BP508" s="580">
        <f>INPUT!DM412</f>
        <v>189</v>
      </c>
      <c r="BQ508" s="577">
        <f>INPUT!DN412</f>
        <v>6.1797752808988804</v>
      </c>
      <c r="BR508" s="580">
        <f>INPUT!DO412</f>
        <v>197</v>
      </c>
      <c r="BS508" s="577">
        <f>INPUT!DP412</f>
        <v>8.2417582417582338</v>
      </c>
      <c r="BT508" s="580">
        <f>INPUT!DQ412</f>
        <v>175</v>
      </c>
      <c r="BU508" s="577">
        <f>INPUT!DR412</f>
        <v>-3.8461538461538396</v>
      </c>
      <c r="BV508" s="580">
        <f>INPUT!DS412</f>
        <v>169</v>
      </c>
      <c r="BW508" s="577">
        <f>INPUT!DT412</f>
        <v>-5.5865921787709567</v>
      </c>
      <c r="BX508" s="580">
        <f>INPUT!DU412</f>
        <v>176</v>
      </c>
      <c r="BY508" s="577">
        <f>INPUT!DV412</f>
        <v>-6.878306878306887</v>
      </c>
      <c r="BZ508" s="580">
        <f>INPUT!DW412</f>
        <v>165</v>
      </c>
      <c r="CA508" s="577">
        <f>INPUT!DX412</f>
        <v>-16.243654822335031</v>
      </c>
      <c r="CB508" s="580">
        <f>INPUT!DY412</f>
        <v>166</v>
      </c>
      <c r="CC508" s="577">
        <f>INPUT!DZ412</f>
        <v>-5.1428571428571388</v>
      </c>
      <c r="CD508" s="580">
        <f>INPUT!EA412</f>
        <v>168</v>
      </c>
      <c r="CE508" s="577">
        <f>INPUT!EB412</f>
        <v>-0.59171597633135775</v>
      </c>
      <c r="CF508" s="580">
        <f>INPUT!EC412</f>
        <v>174</v>
      </c>
      <c r="CG508" s="577">
        <f>INPUT!ED412</f>
        <v>-1.1363636363636402</v>
      </c>
      <c r="CH508" s="580">
        <f>INPUT!EE412</f>
        <v>173</v>
      </c>
      <c r="CI508" s="577">
        <f>INPUT!EF412</f>
        <v>4.8484848484848584</v>
      </c>
      <c r="CJ508" s="580">
        <f>INPUT!EG412</f>
        <v>171</v>
      </c>
      <c r="CK508" s="577">
        <f>INPUT!EH412</f>
        <v>3.0120481927710756</v>
      </c>
      <c r="CL508" s="580">
        <f>INPUT!EI412</f>
        <v>164</v>
      </c>
      <c r="CM508" s="577">
        <f>INPUT!EJ412</f>
        <v>-2.3809523809523796</v>
      </c>
      <c r="CN508" s="580">
        <f>INPUT!EK412</f>
        <v>166</v>
      </c>
      <c r="CO508" s="577">
        <f>INPUT!EL412</f>
        <v>-4.5977011494252906</v>
      </c>
      <c r="CP508" s="580">
        <f>INPUT!EM412</f>
        <v>166</v>
      </c>
      <c r="CQ508" s="577">
        <f>INPUT!EN412</f>
        <v>-4.0462427745664797</v>
      </c>
      <c r="CR508" s="580">
        <f>INPUT!EO412</f>
        <v>165</v>
      </c>
      <c r="CS508" s="577">
        <f>INPUT!EP412</f>
        <v>-3.5087719298245617</v>
      </c>
      <c r="CT508" s="580">
        <f>INPUT!EQ412</f>
        <v>157.29838709677421</v>
      </c>
      <c r="CU508" s="577">
        <f>INPUT!ER412</f>
        <v>-4.0863493312352404</v>
      </c>
      <c r="CV508" s="580">
        <f>INPUT!ES412</f>
        <v>160.74</v>
      </c>
      <c r="CW508" s="577">
        <f>INPUT!ET412</f>
        <v>-3.1686746987951722</v>
      </c>
      <c r="CX508" s="580">
        <f>INPUT!EU412</f>
        <v>160.74</v>
      </c>
      <c r="CY508" s="577">
        <f>INPUT!EV412</f>
        <v>-3.1686746987951722</v>
      </c>
      <c r="CZ508" s="580">
        <f>INPUT!EW412</f>
        <v>160.74</v>
      </c>
      <c r="DA508" s="577">
        <f>INPUT!EX412</f>
        <v>-2.5818181818181785</v>
      </c>
      <c r="DB508" s="580"/>
      <c r="DC508" s="580">
        <f>INPUT!FP412</f>
        <v>105</v>
      </c>
      <c r="DD508" s="577">
        <f>INPUT!FQ412</f>
        <v>3.9603960396039639</v>
      </c>
      <c r="DE508" s="580">
        <f>INPUT!FR412</f>
        <v>145</v>
      </c>
      <c r="DF508" s="577">
        <f>INPUT!FS412</f>
        <v>38.095238095238102</v>
      </c>
      <c r="DG508" s="580">
        <f>INPUT!FT412</f>
        <v>193</v>
      </c>
      <c r="DH508" s="577">
        <f>INPUT!FU412</f>
        <v>33.103448275862064</v>
      </c>
      <c r="DI508" s="580">
        <f>INPUT!FV412</f>
        <v>249</v>
      </c>
      <c r="DJ508" s="577">
        <f>INPUT!FW412</f>
        <v>29.015544041450767</v>
      </c>
      <c r="DK508" s="580">
        <f>INPUT!FX412</f>
        <v>294</v>
      </c>
      <c r="DL508" s="577">
        <f>INPUT!FY412</f>
        <v>18.07228915662651</v>
      </c>
      <c r="DM508" s="580">
        <f>INPUT!FZ412</f>
        <v>349</v>
      </c>
      <c r="DN508" s="577">
        <f>INPUT!GA412</f>
        <v>18.707482993197289</v>
      </c>
      <c r="DO508" s="580">
        <f>INPUT!GB412</f>
        <v>733</v>
      </c>
      <c r="DP508" s="577" t="str">
        <f>INPUT!GC412</f>
        <v>NM</v>
      </c>
      <c r="DQ508" s="580">
        <f>INPUT!GD412</f>
        <v>861</v>
      </c>
      <c r="DR508" s="577">
        <f>INPUT!GE412</f>
        <v>17.462482946793997</v>
      </c>
      <c r="DS508" s="580">
        <f>INPUT!GF412</f>
        <v>740</v>
      </c>
      <c r="DT508" s="577">
        <f>INPUT!GG412</f>
        <v>-14.053426248548192</v>
      </c>
      <c r="DU508" s="580">
        <f>INPUT!GH412</f>
        <v>740</v>
      </c>
      <c r="DV508" s="577">
        <f>INPUT!GI412</f>
        <v>0</v>
      </c>
      <c r="DW508" s="580">
        <f>INPUT!GJ412</f>
        <v>676</v>
      </c>
      <c r="DX508" s="577">
        <f>INPUT!GK412</f>
        <v>-8.6486486486486456</v>
      </c>
      <c r="DY508" s="580">
        <f>INPUT!GL412</f>
        <v>686</v>
      </c>
      <c r="DZ508" s="577">
        <f>INPUT!GM412</f>
        <v>1.4792899408283944</v>
      </c>
      <c r="EA508" s="580">
        <f>INPUT!GN412</f>
        <v>661</v>
      </c>
      <c r="EB508" s="577">
        <f>INPUT!GO412</f>
        <v>-3.6443148688046705</v>
      </c>
      <c r="EC508" s="580">
        <f>INPUT!GP412</f>
        <v>639.51838709677418</v>
      </c>
      <c r="ED508" s="577">
        <f>INPUT!GQ412</f>
        <v>-3.2498657947391649</v>
      </c>
      <c r="EE508" s="580">
        <f>INPUT!GR412</f>
        <v>653.03407096774185</v>
      </c>
      <c r="EF508" s="577">
        <f>INPUT!GS412</f>
        <v>2.1134159929826097</v>
      </c>
      <c r="EG508" s="580">
        <f>INPUT!GT412</f>
        <v>673.94782167741926</v>
      </c>
      <c r="EH508" s="577">
        <f>INPUT!GU412</f>
        <v>3.2025512357548109</v>
      </c>
      <c r="EI508" s="580">
        <f>INPUT!GV412</f>
        <v>695.21454399419338</v>
      </c>
      <c r="EJ508" s="577">
        <f>INPUT!GW412</f>
        <v>3.1555443363319142</v>
      </c>
      <c r="EK508" s="580">
        <f>INPUT!GX412</f>
        <v>716.83920597513531</v>
      </c>
      <c r="EL508" s="577">
        <f>INPUT!GY412</f>
        <v>3.1105019547926105</v>
      </c>
      <c r="EM508" s="577">
        <f>INPUT!GZ412</f>
        <v>1.6351794069707548</v>
      </c>
    </row>
    <row r="509" spans="1:143" ht="12.75" hidden="1" customHeight="1" outlineLevel="1" x14ac:dyDescent="0.2">
      <c r="A509" s="579" t="str">
        <f>INPUT!B413</f>
        <v>Interest Expense</v>
      </c>
      <c r="B509" s="580">
        <f>INPUT!AY413</f>
        <v>0</v>
      </c>
      <c r="C509" s="577" t="str">
        <f>INPUT!AZ413</f>
        <v>NM</v>
      </c>
      <c r="D509" s="580">
        <f>INPUT!BA413</f>
        <v>0</v>
      </c>
      <c r="E509" s="577" t="str">
        <f>INPUT!BB413</f>
        <v>NA</v>
      </c>
      <c r="F509" s="580">
        <f>INPUT!BC413</f>
        <v>0</v>
      </c>
      <c r="G509" s="577" t="str">
        <f>INPUT!BD413</f>
        <v>NA</v>
      </c>
      <c r="H509" s="580">
        <f>INPUT!BE413</f>
        <v>-2</v>
      </c>
      <c r="I509" s="577" t="str">
        <f>INPUT!BF413</f>
        <v>NA</v>
      </c>
      <c r="J509" s="580">
        <f>INPUT!BG413</f>
        <v>-2</v>
      </c>
      <c r="K509" s="577" t="str">
        <f>INPUT!BH413</f>
        <v>NA</v>
      </c>
      <c r="L509" s="580">
        <f>INPUT!BI413</f>
        <v>-2</v>
      </c>
      <c r="M509" s="577" t="str">
        <f>INPUT!BJ413</f>
        <v>NA</v>
      </c>
      <c r="N509" s="580">
        <f>INPUT!BK413</f>
        <v>4</v>
      </c>
      <c r="O509" s="577" t="str">
        <f>INPUT!BL413</f>
        <v>NA</v>
      </c>
      <c r="P509" s="580">
        <f>INPUT!BM413</f>
        <v>1</v>
      </c>
      <c r="Q509" s="577" t="str">
        <f>INPUT!BN413</f>
        <v>NM</v>
      </c>
      <c r="R509" s="580">
        <f>INPUT!BO413</f>
        <v>-2</v>
      </c>
      <c r="S509" s="577">
        <f>INPUT!BP413</f>
        <v>0</v>
      </c>
      <c r="T509" s="580">
        <f>INPUT!BQ413</f>
        <v>-2</v>
      </c>
      <c r="U509" s="577">
        <f>INPUT!BR413</f>
        <v>0</v>
      </c>
      <c r="V509" s="580">
        <f>INPUT!BS413</f>
        <v>-2</v>
      </c>
      <c r="W509" s="577" t="str">
        <f>INPUT!BT413</f>
        <v>NM</v>
      </c>
      <c r="X509" s="580">
        <f>INPUT!BU413</f>
        <v>-2</v>
      </c>
      <c r="Y509" s="577" t="str">
        <f>INPUT!BV413</f>
        <v>NM</v>
      </c>
      <c r="Z509" s="580">
        <f>INPUT!BW413</f>
        <v>-2</v>
      </c>
      <c r="AA509" s="577">
        <f>INPUT!BX413</f>
        <v>0</v>
      </c>
      <c r="AB509" s="580">
        <f>INPUT!BY413</f>
        <v>2</v>
      </c>
      <c r="AC509" s="577" t="str">
        <f>INPUT!BZ413</f>
        <v>NM</v>
      </c>
      <c r="AD509" s="580">
        <f>INPUT!CA413</f>
        <v>1</v>
      </c>
      <c r="AE509" s="577" t="str">
        <f>INPUT!CB413</f>
        <v>NM</v>
      </c>
      <c r="AF509" s="580">
        <f>INPUT!CC413</f>
        <v>0</v>
      </c>
      <c r="AG509" s="577" t="str">
        <f>INPUT!CD413</f>
        <v>NM</v>
      </c>
      <c r="AH509" s="580">
        <f>INPUT!CE413</f>
        <v>0</v>
      </c>
      <c r="AI509" s="577" t="str">
        <f>INPUT!CF413</f>
        <v>NM</v>
      </c>
      <c r="AJ509" s="580">
        <f>INPUT!CG413</f>
        <v>0</v>
      </c>
      <c r="AK509" s="577" t="str">
        <f>INPUT!CH413</f>
        <v>NM</v>
      </c>
      <c r="AL509" s="580">
        <f>INPUT!CI413</f>
        <v>1</v>
      </c>
      <c r="AM509" s="577">
        <f>INPUT!CJ413</f>
        <v>0</v>
      </c>
      <c r="AN509" s="580">
        <f>INPUT!CK413</f>
        <v>0</v>
      </c>
      <c r="AO509" s="577" t="str">
        <f>INPUT!CL413</f>
        <v>NA</v>
      </c>
      <c r="AP509" s="580">
        <f>INPUT!CM413</f>
        <v>0</v>
      </c>
      <c r="AQ509" s="577" t="str">
        <f>INPUT!CN413</f>
        <v>NA</v>
      </c>
      <c r="AR509" s="580">
        <f>INPUT!CO413</f>
        <v>1</v>
      </c>
      <c r="AS509" s="577" t="str">
        <f>INPUT!CP413</f>
        <v>NA</v>
      </c>
      <c r="AT509" s="580">
        <f>INPUT!CQ413</f>
        <v>0</v>
      </c>
      <c r="AU509" s="577" t="str">
        <f>INPUT!CR413</f>
        <v>NM</v>
      </c>
      <c r="AV509" s="580">
        <f>INPUT!CS413</f>
        <v>1</v>
      </c>
      <c r="AW509" s="577" t="str">
        <f>INPUT!CT413</f>
        <v>NA</v>
      </c>
      <c r="AX509" s="580">
        <f>INPUT!CU413</f>
        <v>1</v>
      </c>
      <c r="AY509" s="577" t="str">
        <f>INPUT!CV413</f>
        <v>NA</v>
      </c>
      <c r="AZ509" s="580">
        <f>INPUT!CW413</f>
        <v>-1</v>
      </c>
      <c r="BA509" s="577" t="str">
        <f>INPUT!CX413</f>
        <v>NM</v>
      </c>
      <c r="BB509" s="580">
        <f>INPUT!CY413</f>
        <v>1</v>
      </c>
      <c r="BC509" s="577" t="str">
        <f>INPUT!CZ413</f>
        <v>NA</v>
      </c>
      <c r="BD509" s="580">
        <f>INPUT!DA413</f>
        <v>2</v>
      </c>
      <c r="BE509" s="577">
        <f>INPUT!DB413</f>
        <v>100</v>
      </c>
      <c r="BF509" s="580">
        <f>INPUT!DC413</f>
        <v>0</v>
      </c>
      <c r="BG509" s="577" t="str">
        <f>INPUT!DD413</f>
        <v>NM</v>
      </c>
      <c r="BH509" s="580">
        <f>INPUT!DE413</f>
        <v>0</v>
      </c>
      <c r="BI509" s="577" t="str">
        <f>INPUT!DF413</f>
        <v>NM</v>
      </c>
      <c r="BJ509" s="580">
        <f>INPUT!DG413</f>
        <v>0</v>
      </c>
      <c r="BK509" s="577" t="str">
        <f>INPUT!DH413</f>
        <v>NM</v>
      </c>
      <c r="BL509" s="580">
        <f>INPUT!DI413</f>
        <v>1</v>
      </c>
      <c r="BM509" s="577">
        <f>INPUT!DJ413</f>
        <v>-50</v>
      </c>
      <c r="BN509" s="580">
        <f>INPUT!DK413</f>
        <v>0</v>
      </c>
      <c r="BO509" s="577" t="str">
        <f>INPUT!DL413</f>
        <v>NA</v>
      </c>
      <c r="BP509" s="580">
        <f>INPUT!DM413</f>
        <v>1</v>
      </c>
      <c r="BQ509" s="577" t="str">
        <f>INPUT!DN413</f>
        <v>NA</v>
      </c>
      <c r="BR509" s="580">
        <f>INPUT!DO413</f>
        <v>0</v>
      </c>
      <c r="BS509" s="577" t="str">
        <f>INPUT!DP413</f>
        <v>NA</v>
      </c>
      <c r="BT509" s="580">
        <f>INPUT!DQ413</f>
        <v>1</v>
      </c>
      <c r="BU509" s="577">
        <f>INPUT!DR413</f>
        <v>0</v>
      </c>
      <c r="BV509" s="580">
        <f>INPUT!DS413</f>
        <v>0</v>
      </c>
      <c r="BW509" s="577" t="str">
        <f>INPUT!DT413</f>
        <v>NA</v>
      </c>
      <c r="BX509" s="580">
        <f>INPUT!DU413</f>
        <v>1</v>
      </c>
      <c r="BY509" s="577">
        <f>INPUT!DV413</f>
        <v>0</v>
      </c>
      <c r="BZ509" s="580">
        <f>INPUT!DW413</f>
        <v>1</v>
      </c>
      <c r="CA509" s="577" t="str">
        <f>INPUT!DX413</f>
        <v>NA</v>
      </c>
      <c r="CB509" s="580">
        <f>INPUT!DY413</f>
        <v>0</v>
      </c>
      <c r="CC509" s="577" t="str">
        <f>INPUT!DZ413</f>
        <v>NM</v>
      </c>
      <c r="CD509" s="580">
        <f>INPUT!EA413</f>
        <v>1</v>
      </c>
      <c r="CE509" s="577" t="str">
        <f>INPUT!EB413</f>
        <v>NA</v>
      </c>
      <c r="CF509" s="580">
        <f>INPUT!EC413</f>
        <v>0</v>
      </c>
      <c r="CG509" s="577" t="str">
        <f>INPUT!ED413</f>
        <v>NM</v>
      </c>
      <c r="CH509" s="580">
        <f>INPUT!EE413</f>
        <v>1</v>
      </c>
      <c r="CI509" s="577">
        <f>INPUT!EF413</f>
        <v>0</v>
      </c>
      <c r="CJ509" s="580">
        <f>INPUT!EG413</f>
        <v>1</v>
      </c>
      <c r="CK509" s="577" t="str">
        <f>INPUT!EH413</f>
        <v>NA</v>
      </c>
      <c r="CL509" s="580">
        <f>INPUT!EI413</f>
        <v>1</v>
      </c>
      <c r="CM509" s="577">
        <f>INPUT!EJ413</f>
        <v>0</v>
      </c>
      <c r="CN509" s="580">
        <f>INPUT!EK413</f>
        <v>1</v>
      </c>
      <c r="CO509" s="577" t="str">
        <f>INPUT!EL413</f>
        <v>NA</v>
      </c>
      <c r="CP509" s="580">
        <f>INPUT!EM413</f>
        <v>2</v>
      </c>
      <c r="CQ509" s="577">
        <f>INPUT!EN413</f>
        <v>100</v>
      </c>
      <c r="CR509" s="580">
        <f>INPUT!EO413</f>
        <v>1</v>
      </c>
      <c r="CS509" s="577">
        <f>INPUT!EP413</f>
        <v>0</v>
      </c>
      <c r="CT509" s="580">
        <f>INPUT!EQ413</f>
        <v>1</v>
      </c>
      <c r="CU509" s="577">
        <f>INPUT!ER413</f>
        <v>0</v>
      </c>
      <c r="CV509" s="580">
        <f>INPUT!ES413</f>
        <v>1</v>
      </c>
      <c r="CW509" s="577">
        <f>INPUT!ET413</f>
        <v>0</v>
      </c>
      <c r="CX509" s="580">
        <f>INPUT!EU413</f>
        <v>1</v>
      </c>
      <c r="CY509" s="577">
        <f>INPUT!EV413</f>
        <v>-50</v>
      </c>
      <c r="CZ509" s="580">
        <f>INPUT!EW413</f>
        <v>1</v>
      </c>
      <c r="DA509" s="577">
        <f>INPUT!EX413</f>
        <v>0</v>
      </c>
      <c r="DB509" s="580"/>
      <c r="DC509" s="580">
        <f>INPUT!FP413</f>
        <v>-1</v>
      </c>
      <c r="DD509" s="577" t="str">
        <f>INPUT!FQ413</f>
        <v>NM</v>
      </c>
      <c r="DE509" s="580">
        <f>INPUT!FR413</f>
        <v>-2</v>
      </c>
      <c r="DF509" s="577">
        <f>INPUT!FS413</f>
        <v>100</v>
      </c>
      <c r="DG509" s="580">
        <f>INPUT!FT413</f>
        <v>1</v>
      </c>
      <c r="DH509" s="577" t="str">
        <f>INPUT!FU413</f>
        <v>NM</v>
      </c>
      <c r="DI509" s="580">
        <f>INPUT!FV413</f>
        <v>-5</v>
      </c>
      <c r="DJ509" s="577" t="str">
        <f>INPUT!FW413</f>
        <v>NM</v>
      </c>
      <c r="DK509" s="580">
        <f>INPUT!FX413</f>
        <v>1</v>
      </c>
      <c r="DL509" s="577" t="str">
        <f>INPUT!FY413</f>
        <v>NM</v>
      </c>
      <c r="DM509" s="580">
        <f>INPUT!FZ413</f>
        <v>1</v>
      </c>
      <c r="DN509" s="577">
        <f>INPUT!GA413</f>
        <v>0</v>
      </c>
      <c r="DO509" s="580">
        <f>INPUT!GB413</f>
        <v>2</v>
      </c>
      <c r="DP509" s="577">
        <f>INPUT!GC413</f>
        <v>100</v>
      </c>
      <c r="DQ509" s="580">
        <f>INPUT!GD413</f>
        <v>3</v>
      </c>
      <c r="DR509" s="577">
        <f>INPUT!GE413</f>
        <v>50</v>
      </c>
      <c r="DS509" s="580">
        <f>INPUT!GF413</f>
        <v>1</v>
      </c>
      <c r="DT509" s="577" t="str">
        <f>INPUT!GG413</f>
        <v>NM</v>
      </c>
      <c r="DU509" s="580">
        <f>INPUT!GH413</f>
        <v>2</v>
      </c>
      <c r="DV509" s="577">
        <f>INPUT!GI413</f>
        <v>100</v>
      </c>
      <c r="DW509" s="580">
        <f>INPUT!GJ413</f>
        <v>2</v>
      </c>
      <c r="DX509" s="577">
        <f>INPUT!GK413</f>
        <v>0</v>
      </c>
      <c r="DY509" s="580">
        <f>INPUT!GL413</f>
        <v>3</v>
      </c>
      <c r="DZ509" s="577">
        <f>INPUT!GM413</f>
        <v>50</v>
      </c>
      <c r="EA509" s="580">
        <f>INPUT!GN413</f>
        <v>5</v>
      </c>
      <c r="EB509" s="577">
        <f>INPUT!GO413</f>
        <v>66.666666666666686</v>
      </c>
      <c r="EC509" s="580">
        <f>INPUT!GP413</f>
        <v>4</v>
      </c>
      <c r="ED509" s="577">
        <f>INPUT!GQ413</f>
        <v>-20</v>
      </c>
      <c r="EE509" s="580">
        <f>INPUT!GR413</f>
        <v>4</v>
      </c>
      <c r="EF509" s="577">
        <f>INPUT!GS413</f>
        <v>0</v>
      </c>
      <c r="EG509" s="580">
        <f>INPUT!GT413</f>
        <v>4</v>
      </c>
      <c r="EH509" s="577">
        <f>INPUT!GU413</f>
        <v>0</v>
      </c>
      <c r="EI509" s="580">
        <f>INPUT!GV413</f>
        <v>4</v>
      </c>
      <c r="EJ509" s="577">
        <f>INPUT!GW413</f>
        <v>0</v>
      </c>
      <c r="EK509" s="580">
        <f>INPUT!GX413</f>
        <v>4</v>
      </c>
      <c r="EL509" s="577">
        <f>INPUT!GY413</f>
        <v>0</v>
      </c>
      <c r="EM509" s="577">
        <f>INPUT!GZ413</f>
        <v>-4.3647500209962997</v>
      </c>
    </row>
    <row r="510" spans="1:143" ht="12.75" hidden="1" customHeight="1" outlineLevel="1" x14ac:dyDescent="0.2">
      <c r="A510" s="579" t="str">
        <f>INPUT!B414</f>
        <v>Operating Expenses</v>
      </c>
      <c r="B510" s="580">
        <f>INPUT!AY414</f>
        <v>177</v>
      </c>
      <c r="C510" s="577">
        <f>INPUT!AZ414</f>
        <v>0</v>
      </c>
      <c r="D510" s="580">
        <f>INPUT!BA414</f>
        <v>198</v>
      </c>
      <c r="E510" s="577">
        <f>INPUT!BB414</f>
        <v>5.8823529411764781</v>
      </c>
      <c r="F510" s="580">
        <f>INPUT!BC414</f>
        <v>189</v>
      </c>
      <c r="G510" s="577">
        <f>INPUT!BD414</f>
        <v>13.173652694610766</v>
      </c>
      <c r="H510" s="580">
        <f>INPUT!BE414</f>
        <v>176</v>
      </c>
      <c r="I510" s="577">
        <f>INPUT!BF414</f>
        <v>-9.278350515463913</v>
      </c>
      <c r="J510" s="580">
        <f>INPUT!BG414</f>
        <v>173</v>
      </c>
      <c r="K510" s="577">
        <f>INPUT!BH414</f>
        <v>-2.2598870056497162</v>
      </c>
      <c r="L510" s="580">
        <f>INPUT!BI414</f>
        <v>171</v>
      </c>
      <c r="M510" s="577">
        <f>INPUT!BJ414</f>
        <v>-13.63636363636364</v>
      </c>
      <c r="N510" s="580">
        <f>INPUT!BK414</f>
        <v>167</v>
      </c>
      <c r="O510" s="577">
        <f>INPUT!BL414</f>
        <v>-11.640211640211646</v>
      </c>
      <c r="P510" s="580">
        <f>INPUT!BM414</f>
        <v>190</v>
      </c>
      <c r="Q510" s="577">
        <f>INPUT!BN414</f>
        <v>7.9545454545454533</v>
      </c>
      <c r="R510" s="580">
        <f>INPUT!BO414</f>
        <v>187</v>
      </c>
      <c r="S510" s="577">
        <f>INPUT!BP414</f>
        <v>8.0924855491329595</v>
      </c>
      <c r="T510" s="580">
        <f>INPUT!BQ414</f>
        <v>219</v>
      </c>
      <c r="U510" s="577">
        <f>INPUT!BR414</f>
        <v>28.070175438596493</v>
      </c>
      <c r="V510" s="580">
        <f>INPUT!BS414</f>
        <v>193</v>
      </c>
      <c r="W510" s="577">
        <f>INPUT!BT414</f>
        <v>15.568862275449092</v>
      </c>
      <c r="X510" s="580">
        <f>INPUT!BU414</f>
        <v>215</v>
      </c>
      <c r="Y510" s="577">
        <f>INPUT!BV414</f>
        <v>13.157894736842096</v>
      </c>
      <c r="Z510" s="580">
        <f>INPUT!BW414</f>
        <v>264</v>
      </c>
      <c r="AA510" s="577">
        <f>INPUT!BX414</f>
        <v>41.176470588235304</v>
      </c>
      <c r="AB510" s="580">
        <f>INPUT!BY414</f>
        <v>261</v>
      </c>
      <c r="AC510" s="577">
        <f>INPUT!BZ414</f>
        <v>19.178082191780831</v>
      </c>
      <c r="AD510" s="580">
        <f>INPUT!CA414</f>
        <v>264</v>
      </c>
      <c r="AE510" s="577">
        <f>INPUT!CB414</f>
        <v>36.787564766839381</v>
      </c>
      <c r="AF510" s="580">
        <f>INPUT!CC414</f>
        <v>304</v>
      </c>
      <c r="AG510" s="577">
        <f>INPUT!CD414</f>
        <v>41.395348837209298</v>
      </c>
      <c r="AH510" s="580">
        <f>INPUT!CE414</f>
        <v>298</v>
      </c>
      <c r="AI510" s="577">
        <f>INPUT!CF414</f>
        <v>12.87878787878789</v>
      </c>
      <c r="AJ510" s="580">
        <f>INPUT!CG414</f>
        <v>306</v>
      </c>
      <c r="AK510" s="577">
        <f>INPUT!CH414</f>
        <v>17.241379310344811</v>
      </c>
      <c r="AL510" s="580">
        <f>INPUT!CI414</f>
        <v>317</v>
      </c>
      <c r="AM510" s="577">
        <f>INPUT!CJ414</f>
        <v>20.075757575757564</v>
      </c>
      <c r="AN510" s="580">
        <f>INPUT!CK414</f>
        <v>355</v>
      </c>
      <c r="AO510" s="577">
        <f>INPUT!CL414</f>
        <v>16.776315789473699</v>
      </c>
      <c r="AP510" s="580">
        <f>INPUT!CM414</f>
        <v>536</v>
      </c>
      <c r="AQ510" s="577">
        <f>INPUT!CN414</f>
        <v>79.865771812080538</v>
      </c>
      <c r="AR510" s="580">
        <f>INPUT!CO414</f>
        <v>946</v>
      </c>
      <c r="AS510" s="577" t="str">
        <f>INPUT!CP414</f>
        <v>NM</v>
      </c>
      <c r="AT510" s="580">
        <f>INPUT!CQ414</f>
        <v>958</v>
      </c>
      <c r="AU510" s="577" t="str">
        <f>INPUT!CR414</f>
        <v>NM</v>
      </c>
      <c r="AV510" s="580">
        <f>INPUT!CS414</f>
        <v>994</v>
      </c>
      <c r="AW510" s="577" t="str">
        <f>INPUT!CT414</f>
        <v>NM</v>
      </c>
      <c r="AX510" s="580">
        <f>INPUT!CU414</f>
        <v>936</v>
      </c>
      <c r="AY510" s="577">
        <f>INPUT!CV414</f>
        <v>74.626865671641781</v>
      </c>
      <c r="AZ510" s="580">
        <f>INPUT!CW414</f>
        <v>957</v>
      </c>
      <c r="BA510" s="577">
        <f>INPUT!CX414</f>
        <v>1.1627906976744242</v>
      </c>
      <c r="BB510" s="580">
        <f>INPUT!CY414</f>
        <v>859</v>
      </c>
      <c r="BC510" s="577">
        <f>INPUT!CZ414</f>
        <v>-10.334029227557409</v>
      </c>
      <c r="BD510" s="580">
        <f>INPUT!DA414</f>
        <v>912</v>
      </c>
      <c r="BE510" s="577">
        <f>INPUT!DB414</f>
        <v>-8.2494969818913404</v>
      </c>
      <c r="BF510" s="580">
        <f>INPUT!DC414</f>
        <v>709</v>
      </c>
      <c r="BG510" s="577">
        <f>INPUT!DD414</f>
        <v>-24.252136752136749</v>
      </c>
      <c r="BH510" s="580">
        <f>INPUT!DE414</f>
        <v>672</v>
      </c>
      <c r="BI510" s="577">
        <f>INPUT!DF414</f>
        <v>-29.780564263322887</v>
      </c>
      <c r="BJ510" s="580">
        <f>INPUT!DG414</f>
        <v>621</v>
      </c>
      <c r="BK510" s="577">
        <f>INPUT!DH414</f>
        <v>-27.706635622817231</v>
      </c>
      <c r="BL510" s="580">
        <f>INPUT!DI414</f>
        <v>665</v>
      </c>
      <c r="BM510" s="577">
        <f>INPUT!DJ414</f>
        <v>-27.083333333333343</v>
      </c>
      <c r="BN510" s="580">
        <f>INPUT!DK414</f>
        <v>610</v>
      </c>
      <c r="BO510" s="577">
        <f>INPUT!DL414</f>
        <v>-13.963328631875882</v>
      </c>
      <c r="BP510" s="580">
        <f>INPUT!DM414</f>
        <v>631</v>
      </c>
      <c r="BQ510" s="577">
        <f>INPUT!DN414</f>
        <v>-6.1011904761904816</v>
      </c>
      <c r="BR510" s="580">
        <f>INPUT!DO414</f>
        <v>630</v>
      </c>
      <c r="BS510" s="577">
        <f>INPUT!DP414</f>
        <v>1.4492753623188435</v>
      </c>
      <c r="BT510" s="580">
        <f>INPUT!DQ414</f>
        <v>612</v>
      </c>
      <c r="BU510" s="577">
        <f>INPUT!DR414</f>
        <v>-7.9699248120300723</v>
      </c>
      <c r="BV510" s="580">
        <f>INPUT!DS414</f>
        <v>557</v>
      </c>
      <c r="BW510" s="577">
        <f>INPUT!DT414</f>
        <v>-8.6885245901639365</v>
      </c>
      <c r="BX510" s="580">
        <f>INPUT!DU414</f>
        <v>559</v>
      </c>
      <c r="BY510" s="577">
        <f>INPUT!DV414</f>
        <v>-11.410459587955629</v>
      </c>
      <c r="BZ510" s="580">
        <f>INPUT!DW414</f>
        <v>535</v>
      </c>
      <c r="CA510" s="577">
        <f>INPUT!DX414</f>
        <v>-15.079365079365076</v>
      </c>
      <c r="CB510" s="580">
        <f>INPUT!DY414</f>
        <v>579</v>
      </c>
      <c r="CC510" s="577">
        <f>INPUT!DZ414</f>
        <v>-5.3921568627450966</v>
      </c>
      <c r="CD510" s="580">
        <f>INPUT!EA414</f>
        <v>567</v>
      </c>
      <c r="CE510" s="577">
        <f>INPUT!EB414</f>
        <v>1.7953321364452535</v>
      </c>
      <c r="CF510" s="580">
        <f>INPUT!EC414</f>
        <v>620</v>
      </c>
      <c r="CG510" s="577">
        <f>INPUT!ED414</f>
        <v>10.912343470482995</v>
      </c>
      <c r="CH510" s="580">
        <f>INPUT!EE414</f>
        <v>669</v>
      </c>
      <c r="CI510" s="577">
        <f>INPUT!EF414</f>
        <v>25.046728971962608</v>
      </c>
      <c r="CJ510" s="580">
        <f>INPUT!EG414</f>
        <v>629</v>
      </c>
      <c r="CK510" s="577">
        <f>INPUT!EH414</f>
        <v>8.6355785837651098</v>
      </c>
      <c r="CL510" s="580">
        <f>INPUT!EI414</f>
        <v>571</v>
      </c>
      <c r="CM510" s="577">
        <f>INPUT!EJ414</f>
        <v>0.70546737213403787</v>
      </c>
      <c r="CN510" s="580">
        <f>INPUT!EK414</f>
        <v>625</v>
      </c>
      <c r="CO510" s="577">
        <f>INPUT!EL414</f>
        <v>0.80645161290323131</v>
      </c>
      <c r="CP510" s="580">
        <f>INPUT!EM414</f>
        <v>577</v>
      </c>
      <c r="CQ510" s="577">
        <f>INPUT!EN414</f>
        <v>-13.751868460388636</v>
      </c>
      <c r="CR510" s="580">
        <f>INPUT!EO414</f>
        <v>576</v>
      </c>
      <c r="CS510" s="577">
        <f>INPUT!EP414</f>
        <v>-8.4260731319554765</v>
      </c>
      <c r="CT510" s="580">
        <f>INPUT!EQ414</f>
        <v>581.63843513513518</v>
      </c>
      <c r="CU510" s="577">
        <f>INPUT!ER414</f>
        <v>1.8631234912671175</v>
      </c>
      <c r="CV510" s="580">
        <f>INPUT!ES414</f>
        <v>623.35657663857944</v>
      </c>
      <c r="CW510" s="577">
        <f>INPUT!ET414</f>
        <v>-0.26294773782728953</v>
      </c>
      <c r="CX510" s="580">
        <f>INPUT!EU414</f>
        <v>576.19580148719103</v>
      </c>
      <c r="CY510" s="577">
        <f>INPUT!EV414</f>
        <v>-0.13937582544349425</v>
      </c>
      <c r="CZ510" s="580">
        <f>INPUT!EW414</f>
        <v>568.63264864864868</v>
      </c>
      <c r="DA510" s="577">
        <f>INPUT!EX414</f>
        <v>-1.2790540540540576</v>
      </c>
      <c r="DB510" s="580"/>
      <c r="DC510" s="580">
        <f>INPUT!FP414</f>
        <v>725</v>
      </c>
      <c r="DD510" s="577">
        <f>INPUT!FQ414</f>
        <v>3.5714285714285836</v>
      </c>
      <c r="DE510" s="580">
        <f>INPUT!FR414</f>
        <v>740</v>
      </c>
      <c r="DF510" s="577">
        <f>INPUT!FS414</f>
        <v>2.0689655172413808</v>
      </c>
      <c r="DG510" s="580">
        <f>INPUT!FT414</f>
        <v>701</v>
      </c>
      <c r="DH510" s="577">
        <f>INPUT!FU414</f>
        <v>-5.2702702702702737</v>
      </c>
      <c r="DI510" s="580">
        <f>INPUT!FV414</f>
        <v>1025</v>
      </c>
      <c r="DJ510" s="577">
        <f>INPUT!FW414</f>
        <v>46.219686162624811</v>
      </c>
      <c r="DK510" s="580">
        <f>INPUT!FX414</f>
        <v>1093</v>
      </c>
      <c r="DL510" s="577">
        <f>INPUT!FY414</f>
        <v>6.6341463414634205</v>
      </c>
      <c r="DM510" s="580">
        <f>INPUT!FZ414</f>
        <v>1276</v>
      </c>
      <c r="DN510" s="577">
        <f>INPUT!GA414</f>
        <v>16.742909423604772</v>
      </c>
      <c r="DO510" s="580">
        <f>INPUT!GB414</f>
        <v>3434</v>
      </c>
      <c r="DP510" s="577" t="str">
        <f>INPUT!GC414</f>
        <v>NM</v>
      </c>
      <c r="DQ510" s="580">
        <f>INPUT!GD414</f>
        <v>3664</v>
      </c>
      <c r="DR510" s="577">
        <f>INPUT!GE414</f>
        <v>6.6977285963890409</v>
      </c>
      <c r="DS510" s="580">
        <f>INPUT!GF414</f>
        <v>2667</v>
      </c>
      <c r="DT510" s="577">
        <f>INPUT!GG414</f>
        <v>-27.210698689956331</v>
      </c>
      <c r="DU510" s="580">
        <f>INPUT!GH414</f>
        <v>2483</v>
      </c>
      <c r="DV510" s="577">
        <f>INPUT!GI414</f>
        <v>-6.8991376077990196</v>
      </c>
      <c r="DW510" s="580">
        <f>INPUT!GJ414</f>
        <v>2230</v>
      </c>
      <c r="DX510" s="577">
        <f>INPUT!GK414</f>
        <v>-10.189287152637945</v>
      </c>
      <c r="DY510" s="580">
        <f>INPUT!GL414</f>
        <v>2485</v>
      </c>
      <c r="DZ510" s="577">
        <f>INPUT!GM414</f>
        <v>11.43497757847534</v>
      </c>
      <c r="EA510" s="580">
        <f>INPUT!GN414</f>
        <v>2349</v>
      </c>
      <c r="EB510" s="577">
        <f>INPUT!GO414</f>
        <v>-5.4728370221327935</v>
      </c>
      <c r="EC510" s="580">
        <f>INPUT!GP414</f>
        <v>2349.8234619095542</v>
      </c>
      <c r="ED510" s="577">
        <f>INPUT!GQ414</f>
        <v>3.5055849704306752E-2</v>
      </c>
      <c r="EE510" s="580">
        <f>INPUT!GR414</f>
        <v>2373.3216965286497</v>
      </c>
      <c r="EF510" s="577">
        <f>INPUT!GS414</f>
        <v>1</v>
      </c>
      <c r="EG510" s="580">
        <f>INPUT!GT414</f>
        <v>2397.0549134939365</v>
      </c>
      <c r="EH510" s="577">
        <f>INPUT!GU414</f>
        <v>1.0000000000000284</v>
      </c>
      <c r="EI510" s="580">
        <f>INPUT!GV414</f>
        <v>2421.0254626288761</v>
      </c>
      <c r="EJ510" s="577">
        <f>INPUT!GW414</f>
        <v>1</v>
      </c>
      <c r="EK510" s="580">
        <f>INPUT!GX414</f>
        <v>2445.2357172551642</v>
      </c>
      <c r="EL510" s="577">
        <f>INPUT!GY414</f>
        <v>0.99999999999997158</v>
      </c>
      <c r="EM510" s="577">
        <f>INPUT!GZ414</f>
        <v>0.80626939516712515</v>
      </c>
    </row>
    <row r="511" spans="1:143" ht="12.75" hidden="1" customHeight="1" outlineLevel="1" x14ac:dyDescent="0.2">
      <c r="A511" s="579" t="str">
        <f>INPUT!B415</f>
        <v>Net DAC</v>
      </c>
      <c r="B511" s="580">
        <f>INPUT!AY415</f>
        <v>-40</v>
      </c>
      <c r="C511" s="577">
        <f>INPUT!AZ415</f>
        <v>29.032258064516128</v>
      </c>
      <c r="D511" s="580">
        <f>INPUT!BA415</f>
        <v>-56</v>
      </c>
      <c r="E511" s="577">
        <f>INPUT!BB415</f>
        <v>30.232558139534888</v>
      </c>
      <c r="F511" s="580">
        <f>INPUT!BC415</f>
        <v>-49</v>
      </c>
      <c r="G511" s="577">
        <f>INPUT!BD415</f>
        <v>-3.9215686274509807</v>
      </c>
      <c r="H511" s="580">
        <f>INPUT!BE415</f>
        <v>-41</v>
      </c>
      <c r="I511" s="577">
        <f>INPUT!BF415</f>
        <v>-10.869565217391312</v>
      </c>
      <c r="J511" s="580">
        <f>INPUT!BG415</f>
        <v>-34</v>
      </c>
      <c r="K511" s="577">
        <f>INPUT!BH415</f>
        <v>-15</v>
      </c>
      <c r="L511" s="580">
        <f>INPUT!BI415</f>
        <v>-39</v>
      </c>
      <c r="M511" s="577">
        <f>INPUT!BJ415</f>
        <v>-30.357142857142861</v>
      </c>
      <c r="N511" s="580">
        <f>INPUT!BK415</f>
        <v>-37</v>
      </c>
      <c r="O511" s="577">
        <f>INPUT!BL415</f>
        <v>-24.489795918367349</v>
      </c>
      <c r="P511" s="580">
        <f>INPUT!BM415</f>
        <v>-40</v>
      </c>
      <c r="Q511" s="577">
        <f>INPUT!BN415</f>
        <v>-2.4390243902439011</v>
      </c>
      <c r="R511" s="580">
        <f>INPUT!BO415</f>
        <v>-34</v>
      </c>
      <c r="S511" s="577">
        <f>INPUT!BP415</f>
        <v>0</v>
      </c>
      <c r="T511" s="580">
        <f>INPUT!BQ415</f>
        <v>-49</v>
      </c>
      <c r="U511" s="577">
        <f>INPUT!BR415</f>
        <v>25.641025641025635</v>
      </c>
      <c r="V511" s="580">
        <f>INPUT!BS415</f>
        <v>-37</v>
      </c>
      <c r="W511" s="577">
        <f>INPUT!BT415</f>
        <v>0</v>
      </c>
      <c r="X511" s="580">
        <f>INPUT!BU415</f>
        <v>-33</v>
      </c>
      <c r="Y511" s="577">
        <f>INPUT!BV415</f>
        <v>-17.5</v>
      </c>
      <c r="Z511" s="580">
        <f>INPUT!BW415</f>
        <v>-26</v>
      </c>
      <c r="AA511" s="577">
        <f>INPUT!BX415</f>
        <v>-23.529411764705884</v>
      </c>
      <c r="AB511" s="580">
        <f>INPUT!BY415</f>
        <v>-31</v>
      </c>
      <c r="AC511" s="577">
        <f>INPUT!BZ415</f>
        <v>-36.734693877551017</v>
      </c>
      <c r="AD511" s="580">
        <f>INPUT!CA415</f>
        <v>-34</v>
      </c>
      <c r="AE511" s="577">
        <f>INPUT!CB415</f>
        <v>-8.1081081081080981</v>
      </c>
      <c r="AF511" s="580">
        <f>INPUT!CC415</f>
        <v>-33</v>
      </c>
      <c r="AG511" s="577">
        <f>INPUT!CD415</f>
        <v>0</v>
      </c>
      <c r="AH511" s="580">
        <f>INPUT!CE415</f>
        <v>-29</v>
      </c>
      <c r="AI511" s="577">
        <f>INPUT!CF415</f>
        <v>11.538461538461547</v>
      </c>
      <c r="AJ511" s="580">
        <f>INPUT!CG415</f>
        <v>-39</v>
      </c>
      <c r="AK511" s="577">
        <f>INPUT!CH415</f>
        <v>25.806451612903231</v>
      </c>
      <c r="AL511" s="580">
        <f>INPUT!CI415</f>
        <v>-43</v>
      </c>
      <c r="AM511" s="577">
        <f>INPUT!CJ415</f>
        <v>26.470588235294116</v>
      </c>
      <c r="AN511" s="580">
        <f>INPUT!CK415</f>
        <v>-52</v>
      </c>
      <c r="AO511" s="577">
        <f>INPUT!CL415</f>
        <v>57.575757575757564</v>
      </c>
      <c r="AP511" s="580">
        <f>INPUT!CM415</f>
        <v>-56</v>
      </c>
      <c r="AQ511" s="577">
        <f>INPUT!CN415</f>
        <v>93.103448275862064</v>
      </c>
      <c r="AR511" s="580">
        <f>INPUT!CO415</f>
        <v>-162</v>
      </c>
      <c r="AS511" s="577" t="str">
        <f>INPUT!CP415</f>
        <v>NM</v>
      </c>
      <c r="AT511" s="580">
        <f>INPUT!CQ415</f>
        <v>-168</v>
      </c>
      <c r="AU511" s="577" t="str">
        <f>INPUT!CR415</f>
        <v>NM</v>
      </c>
      <c r="AV511" s="580">
        <f>INPUT!CS415</f>
        <v>-143</v>
      </c>
      <c r="AW511" s="577" t="str">
        <f>INPUT!CT415</f>
        <v>NM</v>
      </c>
      <c r="AX511" s="580">
        <f>INPUT!CU415</f>
        <v>-124</v>
      </c>
      <c r="AY511" s="577" t="str">
        <f>INPUT!CV415</f>
        <v>NM</v>
      </c>
      <c r="AZ511" s="580">
        <f>INPUT!CW415</f>
        <v>-156</v>
      </c>
      <c r="BA511" s="577">
        <f>INPUT!CX415</f>
        <v>-3.7037037037037095</v>
      </c>
      <c r="BB511" s="580">
        <f>INPUT!CY415</f>
        <v>-101</v>
      </c>
      <c r="BC511" s="577">
        <f>INPUT!CZ415</f>
        <v>-39.880952380952387</v>
      </c>
      <c r="BD511" s="580">
        <f>INPUT!DA415</f>
        <v>-92</v>
      </c>
      <c r="BE511" s="577">
        <f>INPUT!DB415</f>
        <v>-35.664335664335667</v>
      </c>
      <c r="BF511" s="580">
        <f>INPUT!DC415</f>
        <v>-67</v>
      </c>
      <c r="BG511" s="577">
        <f>INPUT!DD415</f>
        <v>-45.967741935483872</v>
      </c>
      <c r="BH511" s="580">
        <f>INPUT!DE415</f>
        <v>-73</v>
      </c>
      <c r="BI511" s="577" t="str">
        <f>INPUT!DF415</f>
        <v>NM</v>
      </c>
      <c r="BJ511" s="580">
        <f>INPUT!DG415</f>
        <v>-56</v>
      </c>
      <c r="BK511" s="577">
        <f>INPUT!DH415</f>
        <v>-44.554455445544548</v>
      </c>
      <c r="BL511" s="580">
        <f>INPUT!DI415</f>
        <v>-77</v>
      </c>
      <c r="BM511" s="577">
        <f>INPUT!DJ415</f>
        <v>-16.304347826086953</v>
      </c>
      <c r="BN511" s="580">
        <f>INPUT!DK415</f>
        <v>-87</v>
      </c>
      <c r="BO511" s="577">
        <f>INPUT!DL415</f>
        <v>29.850746268656707</v>
      </c>
      <c r="BP511" s="580">
        <f>INPUT!DM415</f>
        <v>-92</v>
      </c>
      <c r="BQ511" s="577">
        <f>INPUT!DN415</f>
        <v>26.027397260273972</v>
      </c>
      <c r="BR511" s="580">
        <f>INPUT!DO415</f>
        <v>-105</v>
      </c>
      <c r="BS511" s="577">
        <f>INPUT!DP415</f>
        <v>87.5</v>
      </c>
      <c r="BT511" s="580">
        <f>INPUT!DQ415</f>
        <v>-75</v>
      </c>
      <c r="BU511" s="577">
        <f>INPUT!DR415</f>
        <v>-2.5974025974025921</v>
      </c>
      <c r="BV511" s="580">
        <f>INPUT!DS415</f>
        <v>-68</v>
      </c>
      <c r="BW511" s="577">
        <f>INPUT!DT415</f>
        <v>-21.839080459770116</v>
      </c>
      <c r="BX511" s="580">
        <f>INPUT!DU415</f>
        <v>-74</v>
      </c>
      <c r="BY511" s="577">
        <f>INPUT!DV415</f>
        <v>-19.565217391304344</v>
      </c>
      <c r="BZ511" s="580">
        <f>INPUT!DW415</f>
        <v>-75</v>
      </c>
      <c r="CA511" s="577">
        <f>INPUT!DX415</f>
        <v>-28.571428571428569</v>
      </c>
      <c r="CB511" s="580">
        <f>INPUT!DY415</f>
        <v>-79</v>
      </c>
      <c r="CC511" s="577">
        <f>INPUT!DZ415</f>
        <v>5.3333333333333286</v>
      </c>
      <c r="CD511" s="580">
        <f>INPUT!EA415</f>
        <v>-84</v>
      </c>
      <c r="CE511" s="577">
        <f>INPUT!EB415</f>
        <v>23.529411764705884</v>
      </c>
      <c r="CF511" s="580">
        <f>INPUT!EC415</f>
        <v>-93</v>
      </c>
      <c r="CG511" s="577">
        <f>INPUT!ED415</f>
        <v>25.675675675675677</v>
      </c>
      <c r="CH511" s="580">
        <f>INPUT!EE415</f>
        <v>-105</v>
      </c>
      <c r="CI511" s="577">
        <f>INPUT!EF415</f>
        <v>40</v>
      </c>
      <c r="CJ511" s="580">
        <f>INPUT!EG415</f>
        <v>-72</v>
      </c>
      <c r="CK511" s="577">
        <f>INPUT!EH415</f>
        <v>-8.8607594936708836</v>
      </c>
      <c r="CL511" s="580">
        <f>INPUT!EI415</f>
        <v>-63</v>
      </c>
      <c r="CM511" s="577">
        <f>INPUT!EJ415</f>
        <v>-25</v>
      </c>
      <c r="CN511" s="580">
        <f>INPUT!EK415</f>
        <v>-91</v>
      </c>
      <c r="CO511" s="577">
        <f>INPUT!EL415</f>
        <v>-2.1505376344086073</v>
      </c>
      <c r="CP511" s="580">
        <f>INPUT!EM415</f>
        <v>-63</v>
      </c>
      <c r="CQ511" s="577">
        <f>INPUT!EN415</f>
        <v>-40</v>
      </c>
      <c r="CR511" s="580">
        <f>INPUT!EO415</f>
        <v>-56</v>
      </c>
      <c r="CS511" s="577">
        <f>INPUT!EP415</f>
        <v>-22.222222222222214</v>
      </c>
      <c r="CT511" s="580">
        <f>INPUT!EQ415</f>
        <v>-80</v>
      </c>
      <c r="CU511" s="577">
        <f>INPUT!ER415</f>
        <v>26.984126984126974</v>
      </c>
      <c r="CV511" s="580">
        <f>INPUT!ES415</f>
        <v>-63</v>
      </c>
      <c r="CW511" s="577">
        <f>INPUT!ET415</f>
        <v>-30.769230769230774</v>
      </c>
      <c r="CX511" s="580">
        <f>INPUT!EU415</f>
        <v>-63</v>
      </c>
      <c r="CY511" s="577">
        <f>INPUT!EV415</f>
        <v>0</v>
      </c>
      <c r="CZ511" s="580">
        <f>INPUT!EW415</f>
        <v>-63</v>
      </c>
      <c r="DA511" s="577">
        <f>INPUT!EX415</f>
        <v>12.5</v>
      </c>
      <c r="DB511" s="580"/>
      <c r="DC511" s="580">
        <f>INPUT!FP415</f>
        <v>-171</v>
      </c>
      <c r="DD511" s="577">
        <f>INPUT!FQ415</f>
        <v>17.931034482758605</v>
      </c>
      <c r="DE511" s="580">
        <f>INPUT!FR415</f>
        <v>-186</v>
      </c>
      <c r="DF511" s="577">
        <f>INPUT!FS415</f>
        <v>8.7719298245614112</v>
      </c>
      <c r="DG511" s="580">
        <f>INPUT!FT415</f>
        <v>-150</v>
      </c>
      <c r="DH511" s="577">
        <f>INPUT!FU415</f>
        <v>-19.354838709677423</v>
      </c>
      <c r="DI511" s="580">
        <f>INPUT!FV415</f>
        <v>-114</v>
      </c>
      <c r="DJ511" s="577">
        <f>INPUT!FW415</f>
        <v>-24</v>
      </c>
      <c r="DK511" s="580">
        <f>INPUT!FX415</f>
        <v>-95</v>
      </c>
      <c r="DL511" s="577">
        <f>INPUT!FY415</f>
        <v>-16.666666666666657</v>
      </c>
      <c r="DM511" s="580">
        <f>INPUT!FZ415</f>
        <v>-163</v>
      </c>
      <c r="DN511" s="577">
        <f>INPUT!GA415</f>
        <v>71.578947368421041</v>
      </c>
      <c r="DO511" s="580">
        <f>INPUT!GB415</f>
        <v>-529</v>
      </c>
      <c r="DP511" s="577" t="str">
        <f>INPUT!GC415</f>
        <v>NM</v>
      </c>
      <c r="DQ511" s="580">
        <f>INPUT!GD415</f>
        <v>-473</v>
      </c>
      <c r="DR511" s="577">
        <f>INPUT!GE415</f>
        <v>-10.586011342155004</v>
      </c>
      <c r="DS511" s="580">
        <f>INPUT!GF415</f>
        <v>-273</v>
      </c>
      <c r="DT511" s="577">
        <f>INPUT!GG415</f>
        <v>-42.283298097251588</v>
      </c>
      <c r="DU511" s="580">
        <f>INPUT!GH415</f>
        <v>-359</v>
      </c>
      <c r="DV511" s="577">
        <f>INPUT!GI415</f>
        <v>31.501831501831504</v>
      </c>
      <c r="DW511" s="580">
        <f>INPUT!GJ415</f>
        <v>-296</v>
      </c>
      <c r="DX511" s="577">
        <f>INPUT!GK415</f>
        <v>-17.548746518105844</v>
      </c>
      <c r="DY511" s="580">
        <f>INPUT!GL415</f>
        <v>-354</v>
      </c>
      <c r="DZ511" s="577">
        <f>INPUT!GM415</f>
        <v>19.594594594594611</v>
      </c>
      <c r="EA511" s="580">
        <f>INPUT!GN415</f>
        <v>-273</v>
      </c>
      <c r="EB511" s="577">
        <f>INPUT!GO415</f>
        <v>-22.881355932203391</v>
      </c>
      <c r="EC511" s="580">
        <f>INPUT!GP415</f>
        <v>-269</v>
      </c>
      <c r="ED511" s="577">
        <f>INPUT!GQ415</f>
        <v>-1.46520146520146</v>
      </c>
      <c r="EE511" s="580">
        <f>INPUT!GR415</f>
        <v>-271.69</v>
      </c>
      <c r="EF511" s="577">
        <f>INPUT!GS415</f>
        <v>1</v>
      </c>
      <c r="EG511" s="580">
        <f>INPUT!GT415</f>
        <v>-274.40690000000001</v>
      </c>
      <c r="EH511" s="577">
        <f>INPUT!GU415</f>
        <v>1</v>
      </c>
      <c r="EI511" s="580">
        <f>INPUT!GV415</f>
        <v>-277.15096900000003</v>
      </c>
      <c r="EJ511" s="577">
        <f>INPUT!GW415</f>
        <v>1</v>
      </c>
      <c r="EK511" s="580">
        <f>INPUT!GX415</f>
        <v>-279.92247869000005</v>
      </c>
      <c r="EL511" s="577">
        <f>INPUT!GY415</f>
        <v>1</v>
      </c>
      <c r="EM511" s="577">
        <f>INPUT!GZ415</f>
        <v>0.5020743469218214</v>
      </c>
    </row>
    <row r="512" spans="1:143" ht="12.75" hidden="1" customHeight="1" outlineLevel="1" x14ac:dyDescent="0.2">
      <c r="A512" s="575" t="str">
        <f>INPUT!B416</f>
        <v>Total Benefits and Expenses</v>
      </c>
      <c r="B512" s="581">
        <f>INPUT!AY416</f>
        <v>622</v>
      </c>
      <c r="C512" s="577">
        <f>INPUT!AZ416</f>
        <v>-2.0472440944881924</v>
      </c>
      <c r="D512" s="581">
        <f>INPUT!BA416</f>
        <v>635</v>
      </c>
      <c r="E512" s="577">
        <f>INPUT!BB416</f>
        <v>-3.7878787878787818</v>
      </c>
      <c r="F512" s="581">
        <f>INPUT!BC416</f>
        <v>559</v>
      </c>
      <c r="G512" s="577">
        <f>INPUT!BD416</f>
        <v>-20.821529745042483</v>
      </c>
      <c r="H512" s="581">
        <f>INPUT!BE416</f>
        <v>545</v>
      </c>
      <c r="I512" s="577">
        <f>INPUT!BF416</f>
        <v>-10.655737704918039</v>
      </c>
      <c r="J512" s="581">
        <f>INPUT!BG416</f>
        <v>551</v>
      </c>
      <c r="K512" s="577">
        <f>INPUT!BH416</f>
        <v>-11.414790996784561</v>
      </c>
      <c r="L512" s="581">
        <f>INPUT!BI416</f>
        <v>590</v>
      </c>
      <c r="M512" s="577">
        <f>INPUT!BJ416</f>
        <v>-7.086614173228341</v>
      </c>
      <c r="N512" s="581">
        <f>INPUT!BK416</f>
        <v>539</v>
      </c>
      <c r="O512" s="577">
        <f>INPUT!BL416</f>
        <v>-3.5778175313059108</v>
      </c>
      <c r="P512" s="581">
        <f>INPUT!BM416</f>
        <v>586</v>
      </c>
      <c r="Q512" s="577">
        <f>INPUT!BN416</f>
        <v>7.5229357798165069</v>
      </c>
      <c r="R512" s="581">
        <f>INPUT!BO416</f>
        <v>620</v>
      </c>
      <c r="S512" s="577">
        <f>INPUT!BP416</f>
        <v>12.522686025408362</v>
      </c>
      <c r="T512" s="581">
        <f>INPUT!BQ416</f>
        <v>673</v>
      </c>
      <c r="U512" s="577">
        <f>INPUT!BR416</f>
        <v>14.067796610169481</v>
      </c>
      <c r="V512" s="581">
        <f>INPUT!BS416</f>
        <v>597</v>
      </c>
      <c r="W512" s="577">
        <f>INPUT!BT416</f>
        <v>10.760667903525061</v>
      </c>
      <c r="X512" s="581">
        <f>INPUT!BU416</f>
        <v>651</v>
      </c>
      <c r="Y512" s="577">
        <f>INPUT!BV416</f>
        <v>11.092150170648466</v>
      </c>
      <c r="Z512" s="581">
        <f>INPUT!BW416</f>
        <v>790</v>
      </c>
      <c r="AA512" s="577">
        <f>INPUT!BX416</f>
        <v>27.41935483870968</v>
      </c>
      <c r="AB512" s="581">
        <f>INPUT!BY416</f>
        <v>867</v>
      </c>
      <c r="AC512" s="577">
        <f>INPUT!BZ416</f>
        <v>28.826151560178317</v>
      </c>
      <c r="AD512" s="581">
        <f>INPUT!CA416</f>
        <v>907</v>
      </c>
      <c r="AE512" s="577">
        <f>INPUT!CB416</f>
        <v>51.926298157453942</v>
      </c>
      <c r="AF512" s="581">
        <f>INPUT!CC416</f>
        <v>938</v>
      </c>
      <c r="AG512" s="577">
        <f>INPUT!CD416</f>
        <v>44.086021505376351</v>
      </c>
      <c r="AH512" s="581">
        <f>INPUT!CE416</f>
        <v>957</v>
      </c>
      <c r="AI512" s="577">
        <f>INPUT!CF416</f>
        <v>21.139240506329116</v>
      </c>
      <c r="AJ512" s="581">
        <f>INPUT!CG416</f>
        <v>1095</v>
      </c>
      <c r="AK512" s="577">
        <f>INPUT!CH416</f>
        <v>26.297577854671289</v>
      </c>
      <c r="AL512" s="581">
        <f>INPUT!CI416</f>
        <v>1015</v>
      </c>
      <c r="AM512" s="577">
        <f>INPUT!CJ416</f>
        <v>11.907386990077185</v>
      </c>
      <c r="AN512" s="581">
        <f>INPUT!CK416</f>
        <v>1117</v>
      </c>
      <c r="AO512" s="577">
        <f>INPUT!CL416</f>
        <v>19.083155650319839</v>
      </c>
      <c r="AP512" s="581">
        <f>INPUT!CM416</f>
        <v>1896</v>
      </c>
      <c r="AQ512" s="577">
        <f>INPUT!CN416</f>
        <v>98.119122257053277</v>
      </c>
      <c r="AR512" s="581">
        <f>INPUT!CO416</f>
        <v>2919</v>
      </c>
      <c r="AS512" s="577" t="str">
        <f>INPUT!CP416</f>
        <v>NM</v>
      </c>
      <c r="AT512" s="581">
        <f>INPUT!CQ416</f>
        <v>2725</v>
      </c>
      <c r="AU512" s="577" t="str">
        <f>INPUT!CR416</f>
        <v>NM</v>
      </c>
      <c r="AV512" s="581">
        <f>INPUT!CS416</f>
        <v>2891</v>
      </c>
      <c r="AW512" s="577" t="str">
        <f>INPUT!CT416</f>
        <v>NM</v>
      </c>
      <c r="AX512" s="581">
        <f>INPUT!CU416</f>
        <v>3285</v>
      </c>
      <c r="AY512" s="577">
        <f>INPUT!CV416</f>
        <v>73.259493670886059</v>
      </c>
      <c r="AZ512" s="581">
        <f>INPUT!CW416</f>
        <v>3910</v>
      </c>
      <c r="BA512" s="577">
        <f>INPUT!CX416</f>
        <v>33.949982870846185</v>
      </c>
      <c r="BB512" s="581">
        <f>INPUT!CY416</f>
        <v>5528</v>
      </c>
      <c r="BC512" s="577" t="str">
        <f>INPUT!CZ416</f>
        <v>NM</v>
      </c>
      <c r="BD512" s="581">
        <f>INPUT!DA416</f>
        <v>6638</v>
      </c>
      <c r="BE512" s="577" t="str">
        <f>INPUT!DB416</f>
        <v>NM</v>
      </c>
      <c r="BF512" s="581">
        <f>INPUT!DC416</f>
        <v>3452</v>
      </c>
      <c r="BG512" s="577">
        <f>INPUT!DD416</f>
        <v>5.0837138508371424</v>
      </c>
      <c r="BH512" s="581">
        <f>INPUT!DE416</f>
        <v>3300</v>
      </c>
      <c r="BI512" s="577">
        <f>INPUT!DF416</f>
        <v>-15.601023017902818</v>
      </c>
      <c r="BJ512" s="581">
        <f>INPUT!DG416</f>
        <v>2732</v>
      </c>
      <c r="BK512" s="577" t="str">
        <f>INPUT!DH416</f>
        <v>NM</v>
      </c>
      <c r="BL512" s="581">
        <f>INPUT!DI416</f>
        <v>2443</v>
      </c>
      <c r="BM512" s="577" t="str">
        <f>INPUT!DJ416</f>
        <v>NM</v>
      </c>
      <c r="BN512" s="581">
        <f>INPUT!DK416</f>
        <v>2178</v>
      </c>
      <c r="BO512" s="577">
        <f>INPUT!DL416</f>
        <v>-36.906141367323286</v>
      </c>
      <c r="BP512" s="581">
        <f>INPUT!DM416</f>
        <v>2489</v>
      </c>
      <c r="BQ512" s="577">
        <f>INPUT!DN416</f>
        <v>-24.575757575757578</v>
      </c>
      <c r="BR512" s="581">
        <f>INPUT!DO416</f>
        <v>2287</v>
      </c>
      <c r="BS512" s="577">
        <f>INPUT!DP416</f>
        <v>-16.288433382137626</v>
      </c>
      <c r="BT512" s="581">
        <f>INPUT!DQ416</f>
        <v>2182</v>
      </c>
      <c r="BU512" s="577">
        <f>INPUT!DR416</f>
        <v>-10.683585755218999</v>
      </c>
      <c r="BV512" s="581">
        <f>INPUT!DS416</f>
        <v>2069</v>
      </c>
      <c r="BW512" s="577">
        <f>INPUT!DT416</f>
        <v>-5.0045913682277217</v>
      </c>
      <c r="BX512" s="581">
        <f>INPUT!DU416</f>
        <v>2345</v>
      </c>
      <c r="BY512" s="577">
        <f>INPUT!DV416</f>
        <v>-5.7854560064282765</v>
      </c>
      <c r="BZ512" s="581">
        <f>INPUT!DW416</f>
        <v>2086</v>
      </c>
      <c r="CA512" s="577">
        <f>INPUT!DX416</f>
        <v>-8.7888062964582332</v>
      </c>
      <c r="CB512" s="581">
        <f>INPUT!DY416</f>
        <v>2051</v>
      </c>
      <c r="CC512" s="577">
        <f>INPUT!DZ416</f>
        <v>-6.0036663611365668</v>
      </c>
      <c r="CD512" s="581">
        <f>INPUT!EA416</f>
        <v>2116</v>
      </c>
      <c r="CE512" s="577">
        <f>INPUT!EB416</f>
        <v>2.2716288061865697</v>
      </c>
      <c r="CF512" s="581">
        <f>INPUT!EC416</f>
        <v>2466</v>
      </c>
      <c r="CG512" s="577">
        <f>INPUT!ED416</f>
        <v>5.1599147121535083</v>
      </c>
      <c r="CH512" s="581">
        <f>INPUT!EE416</f>
        <v>2462</v>
      </c>
      <c r="CI512" s="577">
        <f>INPUT!EF416</f>
        <v>18.024928092042188</v>
      </c>
      <c r="CJ512" s="581">
        <f>INPUT!EG416</f>
        <v>2401</v>
      </c>
      <c r="CK512" s="577">
        <f>INPUT!EH416</f>
        <v>17.064846416382267</v>
      </c>
      <c r="CL512" s="581">
        <f>INPUT!EI416</f>
        <v>2240</v>
      </c>
      <c r="CM512" s="577">
        <f>INPUT!EJ416</f>
        <v>5.8601134215500821</v>
      </c>
      <c r="CN512" s="581">
        <f>INPUT!EK416</f>
        <v>2412</v>
      </c>
      <c r="CO512" s="577">
        <f>INPUT!EL416</f>
        <v>-2.1897810218978009</v>
      </c>
      <c r="CP512" s="581">
        <f>INPUT!EM416</f>
        <v>2323</v>
      </c>
      <c r="CQ512" s="577">
        <f>INPUT!EN416</f>
        <v>-5.645816409423233</v>
      </c>
      <c r="CR512" s="581">
        <f>INPUT!EO416</f>
        <v>2236</v>
      </c>
      <c r="CS512" s="577">
        <f>INPUT!EP416</f>
        <v>-6.8721366097459367</v>
      </c>
      <c r="CT512" s="581">
        <f>INPUT!EQ416</f>
        <v>2249.6653807904681</v>
      </c>
      <c r="CU512" s="577">
        <f>INPUT!ER416</f>
        <v>0.43149021386017239</v>
      </c>
      <c r="CV512" s="581">
        <f>INPUT!ES416</f>
        <v>2457.9137838457864</v>
      </c>
      <c r="CW512" s="577">
        <f>INPUT!ET416</f>
        <v>1.9035565441868414</v>
      </c>
      <c r="CX512" s="581">
        <f>INPUT!EU416</f>
        <v>2321.5770482439475</v>
      </c>
      <c r="CY512" s="577">
        <f>INPUT!EV416</f>
        <v>-6.1254918469757058E-2</v>
      </c>
      <c r="CZ512" s="581">
        <f>INPUT!EW416</f>
        <v>2230.2523454954953</v>
      </c>
      <c r="DA512" s="577">
        <f>INPUT!EX416</f>
        <v>-0.25705073812632406</v>
      </c>
      <c r="DB512" s="581"/>
      <c r="DC512" s="581">
        <f>INPUT!FP416</f>
        <v>2611</v>
      </c>
      <c r="DD512" s="577">
        <f>INPUT!FQ416</f>
        <v>2.9574132492113563</v>
      </c>
      <c r="DE512" s="581">
        <f>INPUT!FR416</f>
        <v>2361</v>
      </c>
      <c r="DF512" s="577">
        <f>INPUT!FS416</f>
        <v>-9.5748755266181576</v>
      </c>
      <c r="DG512" s="581">
        <f>INPUT!FT416</f>
        <v>2266</v>
      </c>
      <c r="DH512" s="577">
        <f>INPUT!FU416</f>
        <v>-4.0237187632359195</v>
      </c>
      <c r="DI512" s="581">
        <f>INPUT!FV416</f>
        <v>2794</v>
      </c>
      <c r="DJ512" s="577">
        <f>INPUT!FW416</f>
        <v>23.300970873786397</v>
      </c>
      <c r="DK512" s="581">
        <f>INPUT!FX416</f>
        <v>3531</v>
      </c>
      <c r="DL512" s="577">
        <f>INPUT!FY416</f>
        <v>26.377952755905511</v>
      </c>
      <c r="DM512" s="581">
        <f>INPUT!FZ416</f>
        <v>4184</v>
      </c>
      <c r="DN512" s="577">
        <f>INPUT!GA416</f>
        <v>18.493344661568955</v>
      </c>
      <c r="DO512" s="581">
        <f>INPUT!GB416</f>
        <v>10431</v>
      </c>
      <c r="DP512" s="577" t="str">
        <f>INPUT!GC416</f>
        <v>NM</v>
      </c>
      <c r="DQ512" s="581">
        <f>INPUT!GD416</f>
        <v>19361</v>
      </c>
      <c r="DR512" s="577">
        <f>INPUT!GE416</f>
        <v>85.61020036429872</v>
      </c>
      <c r="DS512" s="581">
        <f>INPUT!GF416</f>
        <v>11927</v>
      </c>
      <c r="DT512" s="577">
        <f>INPUT!GG416</f>
        <v>-38.396777025980064</v>
      </c>
      <c r="DU512" s="581">
        <f>INPUT!GH416</f>
        <v>9136</v>
      </c>
      <c r="DV512" s="577">
        <f>INPUT!GI416</f>
        <v>-23.400687515720634</v>
      </c>
      <c r="DW512" s="581">
        <f>INPUT!GJ416</f>
        <v>8551</v>
      </c>
      <c r="DX512" s="577">
        <f>INPUT!GK416</f>
        <v>-6.4032399299474605</v>
      </c>
      <c r="DY512" s="581">
        <f>INPUT!GL416</f>
        <v>9445</v>
      </c>
      <c r="DZ512" s="577">
        <f>INPUT!GM416</f>
        <v>10.454917553502526</v>
      </c>
      <c r="EA512" s="581">
        <f>INPUT!GN416</f>
        <v>9211</v>
      </c>
      <c r="EB512" s="577">
        <f>INPUT!GO416</f>
        <v>-2.4775013234515626</v>
      </c>
      <c r="EC512" s="581">
        <f>INPUT!GP416</f>
        <v>9259.4085583756969</v>
      </c>
      <c r="ED512" s="577">
        <f>INPUT!GQ416</f>
        <v>0.5255516054249938</v>
      </c>
      <c r="EE512" s="581">
        <f>INPUT!GR416</f>
        <v>9355.0357782387346</v>
      </c>
      <c r="EF512" s="577">
        <f>INPUT!GS416</f>
        <v>1.0327573220271944</v>
      </c>
      <c r="EG512" s="581">
        <f>INPUT!GT416</f>
        <v>9462.9295460211233</v>
      </c>
      <c r="EH512" s="577">
        <f>INPUT!GU416</f>
        <v>1.1533228770045554</v>
      </c>
      <c r="EI512" s="581">
        <f>INPUT!GV416</f>
        <v>9572.0460855813344</v>
      </c>
      <c r="EJ512" s="577">
        <f>INPUT!GW416</f>
        <v>1.1530947052870175</v>
      </c>
      <c r="EK512" s="581">
        <f>INPUT!GX416</f>
        <v>9682.3990629781474</v>
      </c>
      <c r="EL512" s="577">
        <f>INPUT!GY416</f>
        <v>1.1528671760475646</v>
      </c>
      <c r="EM512" s="577">
        <f>INPUT!GZ416</f>
        <v>1.0032246056440375</v>
      </c>
    </row>
    <row r="513" spans="1:144" ht="12.75" hidden="1" customHeight="1" outlineLevel="1" x14ac:dyDescent="0.2">
      <c r="A513" s="622"/>
      <c r="B513" s="605"/>
      <c r="C513" s="555"/>
      <c r="D513" s="605"/>
      <c r="E513" s="555"/>
      <c r="F513" s="605"/>
      <c r="G513" s="555"/>
      <c r="H513" s="605"/>
      <c r="I513" s="555"/>
      <c r="J513" s="605"/>
      <c r="K513" s="555"/>
      <c r="L513" s="605"/>
      <c r="M513" s="555"/>
      <c r="N513" s="605"/>
      <c r="O513" s="555"/>
      <c r="P513" s="605"/>
      <c r="Q513" s="555"/>
      <c r="R513" s="605"/>
      <c r="S513" s="555"/>
      <c r="T513" s="605"/>
      <c r="U513" s="555"/>
      <c r="V513" s="605"/>
      <c r="W513" s="555"/>
      <c r="X513" s="605"/>
      <c r="Y513" s="555"/>
      <c r="Z513" s="605"/>
      <c r="AA513" s="555"/>
      <c r="AB513" s="605"/>
      <c r="AC513" s="555"/>
      <c r="AD513" s="605"/>
      <c r="AE513" s="555"/>
      <c r="AF513" s="605"/>
      <c r="AG513" s="555"/>
      <c r="AH513" s="605"/>
      <c r="AI513" s="555"/>
      <c r="AJ513" s="605"/>
      <c r="AK513" s="555"/>
      <c r="AL513" s="605"/>
      <c r="AM513" s="555"/>
      <c r="AN513" s="605"/>
      <c r="AO513" s="555"/>
      <c r="AP513" s="605"/>
      <c r="AQ513" s="555"/>
      <c r="AR513" s="605"/>
      <c r="AS513" s="555"/>
      <c r="AT513" s="605"/>
      <c r="AU513" s="555"/>
      <c r="AV513" s="605"/>
      <c r="AW513" s="555"/>
      <c r="AX513" s="605"/>
      <c r="AY513" s="555"/>
      <c r="AZ513" s="605"/>
      <c r="BA513" s="555"/>
      <c r="BB513" s="605"/>
      <c r="BC513" s="555"/>
      <c r="BD513" s="605"/>
      <c r="BE513" s="555"/>
      <c r="BF513" s="605"/>
      <c r="BG513" s="555"/>
      <c r="BH513" s="605"/>
      <c r="BI513" s="555"/>
      <c r="BJ513" s="605"/>
      <c r="BK513" s="555"/>
      <c r="BL513" s="605"/>
      <c r="BM513" s="555"/>
      <c r="BN513" s="605"/>
      <c r="BO513" s="555"/>
      <c r="BP513" s="605"/>
      <c r="BQ513" s="555"/>
      <c r="BR513" s="605"/>
      <c r="BS513" s="555"/>
      <c r="BT513" s="605"/>
      <c r="BU513" s="555"/>
      <c r="BV513" s="605"/>
      <c r="BW513" s="555"/>
      <c r="BX513" s="605"/>
      <c r="BY513" s="555"/>
      <c r="BZ513" s="605"/>
      <c r="CA513" s="555"/>
      <c r="CB513" s="605"/>
      <c r="CC513" s="555"/>
      <c r="CD513" s="605"/>
      <c r="CE513" s="555"/>
      <c r="CF513" s="605"/>
      <c r="CG513" s="555"/>
      <c r="CH513" s="605"/>
      <c r="CI513" s="555"/>
      <c r="CJ513" s="605"/>
      <c r="CK513" s="555"/>
      <c r="CL513" s="605"/>
      <c r="CM513" s="555"/>
      <c r="CN513" s="605"/>
      <c r="CO513" s="555"/>
      <c r="CP513" s="605"/>
      <c r="CQ513" s="555"/>
      <c r="CR513" s="605"/>
      <c r="CS513" s="555"/>
      <c r="CT513" s="605"/>
      <c r="CU513" s="555"/>
      <c r="CV513" s="605"/>
      <c r="CW513" s="555"/>
      <c r="CX513" s="605"/>
      <c r="CY513" s="555"/>
      <c r="CZ513" s="605"/>
      <c r="DA513" s="555"/>
      <c r="DB513" s="605"/>
      <c r="DC513" s="605"/>
      <c r="DD513" s="555"/>
      <c r="DE513" s="605"/>
      <c r="DF513" s="555"/>
      <c r="DG513" s="605"/>
      <c r="DH513" s="555"/>
      <c r="DI513" s="605"/>
      <c r="DJ513" s="555"/>
      <c r="DK513" s="605"/>
      <c r="DL513" s="555"/>
      <c r="DM513" s="605"/>
      <c r="DN513" s="555"/>
      <c r="DO513" s="605"/>
      <c r="DP513" s="555"/>
      <c r="DQ513" s="605"/>
      <c r="DR513" s="555"/>
      <c r="DS513" s="605"/>
      <c r="DT513" s="555"/>
      <c r="DU513" s="605"/>
      <c r="DV513" s="555"/>
      <c r="DW513" s="605"/>
      <c r="DX513" s="555"/>
      <c r="DY513" s="605"/>
      <c r="DZ513" s="555"/>
      <c r="EA513" s="605"/>
      <c r="EB513" s="555"/>
      <c r="EC513" s="605"/>
      <c r="ED513" s="555"/>
      <c r="EE513" s="605"/>
      <c r="EF513" s="555"/>
      <c r="EG513" s="605"/>
      <c r="EH513" s="555"/>
      <c r="EI513" s="605"/>
      <c r="EJ513" s="555"/>
      <c r="EK513" s="605"/>
      <c r="EL513" s="555"/>
      <c r="EM513" s="555"/>
    </row>
    <row r="514" spans="1:144" ht="12.75" hidden="1" customHeight="1" outlineLevel="1" x14ac:dyDescent="0.2">
      <c r="A514" s="611" t="s">
        <v>706</v>
      </c>
      <c r="B514" s="602">
        <f>INPUT!AY422</f>
        <v>109</v>
      </c>
      <c r="C514" s="612">
        <f>INPUT!AZ422</f>
        <v>2.8301886792452962</v>
      </c>
      <c r="D514" s="602">
        <f>INPUT!BA422</f>
        <v>102</v>
      </c>
      <c r="E514" s="612">
        <f>INPUT!BB422</f>
        <v>-29.166666666666657</v>
      </c>
      <c r="F514" s="602">
        <f>INPUT!BC422</f>
        <v>148</v>
      </c>
      <c r="G514" s="612">
        <f>INPUT!BD422</f>
        <v>4.9645390070921991</v>
      </c>
      <c r="H514" s="602">
        <f>INPUT!BE422</f>
        <v>131</v>
      </c>
      <c r="I514" s="612">
        <f>INPUT!BF422</f>
        <v>18.018018018018012</v>
      </c>
      <c r="J514" s="602">
        <f>INPUT!BG422</f>
        <v>143</v>
      </c>
      <c r="K514" s="612">
        <f>INPUT!BH422</f>
        <v>31.192660550458697</v>
      </c>
      <c r="L514" s="602">
        <f>INPUT!BI422</f>
        <v>157</v>
      </c>
      <c r="M514" s="612">
        <f>INPUT!BJ422</f>
        <v>53.921568627450995</v>
      </c>
      <c r="N514" s="602">
        <f>INPUT!BK422</f>
        <v>157</v>
      </c>
      <c r="O514" s="612">
        <f>INPUT!BL422</f>
        <v>6.0810810810810807</v>
      </c>
      <c r="P514" s="602">
        <f>INPUT!BM422</f>
        <v>121</v>
      </c>
      <c r="Q514" s="612">
        <f>INPUT!BN422</f>
        <v>-7.6335877862595396</v>
      </c>
      <c r="R514" s="602">
        <f>INPUT!BO422</f>
        <v>128</v>
      </c>
      <c r="S514" s="612">
        <f>INPUT!BP422</f>
        <v>-10.489510489510494</v>
      </c>
      <c r="T514" s="602">
        <f>INPUT!BQ422</f>
        <v>167</v>
      </c>
      <c r="U514" s="612">
        <f>INPUT!BR422</f>
        <v>6.369426751592357</v>
      </c>
      <c r="V514" s="602">
        <f>INPUT!BS422</f>
        <v>167</v>
      </c>
      <c r="W514" s="612">
        <f>INPUT!BT422</f>
        <v>6.369426751592357</v>
      </c>
      <c r="X514" s="602">
        <f>INPUT!BU422</f>
        <v>160</v>
      </c>
      <c r="Y514" s="612">
        <f>INPUT!BV422</f>
        <v>32.2314049586777</v>
      </c>
      <c r="Z514" s="602">
        <f>INPUT!BW422</f>
        <v>136</v>
      </c>
      <c r="AA514" s="612">
        <f>INPUT!BX422</f>
        <v>6.25</v>
      </c>
      <c r="AB514" s="602">
        <f>INPUT!BY422</f>
        <v>158</v>
      </c>
      <c r="AC514" s="612">
        <f>INPUT!BZ422</f>
        <v>-5.3892215568862269</v>
      </c>
      <c r="AD514" s="602">
        <f>INPUT!CA422</f>
        <v>197</v>
      </c>
      <c r="AE514" s="612">
        <f>INPUT!CB422</f>
        <v>17.964071856287433</v>
      </c>
      <c r="AF514" s="602">
        <f>INPUT!CC422</f>
        <v>156</v>
      </c>
      <c r="AG514" s="612">
        <f>INPUT!CD422</f>
        <v>-2.5</v>
      </c>
      <c r="AH514" s="602">
        <f>INPUT!CE422</f>
        <v>156</v>
      </c>
      <c r="AI514" s="612">
        <f>INPUT!CF422</f>
        <v>14.705882352941174</v>
      </c>
      <c r="AJ514" s="602">
        <f>INPUT!CG422</f>
        <v>163</v>
      </c>
      <c r="AK514" s="612">
        <f>INPUT!CH422</f>
        <v>3.1645569620253156</v>
      </c>
      <c r="AL514" s="602">
        <f>INPUT!CI422</f>
        <v>199</v>
      </c>
      <c r="AM514" s="612">
        <f>INPUT!CJ422</f>
        <v>1.0152284263959359</v>
      </c>
      <c r="AN514" s="602">
        <f>INPUT!CK422</f>
        <v>248</v>
      </c>
      <c r="AO514" s="612">
        <f>INPUT!CL422</f>
        <v>58.974358974358978</v>
      </c>
      <c r="AP514" s="602">
        <f>INPUT!CM422</f>
        <v>328</v>
      </c>
      <c r="AQ514" s="612" t="str">
        <f>INPUT!CN422</f>
        <v>NM</v>
      </c>
      <c r="AR514" s="602">
        <f>INPUT!CO422</f>
        <v>185</v>
      </c>
      <c r="AS514" s="612">
        <f>INPUT!CP422</f>
        <v>13.496932515337434</v>
      </c>
      <c r="AT514" s="602">
        <f>INPUT!CQ422</f>
        <v>329</v>
      </c>
      <c r="AU514" s="612">
        <f>INPUT!CR422</f>
        <v>65.326633165829151</v>
      </c>
      <c r="AV514" s="602">
        <f>INPUT!CS422</f>
        <v>202</v>
      </c>
      <c r="AW514" s="612">
        <f>INPUT!CT422</f>
        <v>-18.548387096774192</v>
      </c>
      <c r="AX514" s="602">
        <f>INPUT!CU422</f>
        <v>215</v>
      </c>
      <c r="AY514" s="612">
        <f>INPUT!CV422</f>
        <v>-34.451219512195124</v>
      </c>
      <c r="AZ514" s="602">
        <f>INPUT!CW422</f>
        <v>304</v>
      </c>
      <c r="BA514" s="612">
        <f>INPUT!CX422</f>
        <v>64.324324324324323</v>
      </c>
      <c r="BB514" s="602">
        <f>INPUT!CY422</f>
        <v>389</v>
      </c>
      <c r="BC514" s="612">
        <f>INPUT!CZ422</f>
        <v>18.237082066869291</v>
      </c>
      <c r="BD514" s="602">
        <f>INPUT!DA422</f>
        <v>315</v>
      </c>
      <c r="BE514" s="612">
        <f>INPUT!DB422</f>
        <v>55.940594059405953</v>
      </c>
      <c r="BF514" s="602">
        <f>INPUT!DC422</f>
        <v>455</v>
      </c>
      <c r="BG514" s="612" t="str">
        <f>INPUT!DD422</f>
        <v>NM</v>
      </c>
      <c r="BH514" s="602">
        <f>INPUT!DE422</f>
        <v>482</v>
      </c>
      <c r="BI514" s="612">
        <f>INPUT!DF422</f>
        <v>58.55263157894737</v>
      </c>
      <c r="BJ514" s="602">
        <f>INPUT!DG422</f>
        <v>354</v>
      </c>
      <c r="BK514" s="612">
        <f>INPUT!DH422</f>
        <v>-8.9974293059125898</v>
      </c>
      <c r="BL514" s="602">
        <f>INPUT!DI422</f>
        <v>344</v>
      </c>
      <c r="BM514" s="612">
        <f>INPUT!DJ422</f>
        <v>9.2063492063492021</v>
      </c>
      <c r="BN514" s="602">
        <f>INPUT!DK422</f>
        <v>418</v>
      </c>
      <c r="BO514" s="612">
        <f>INPUT!DL422</f>
        <v>-8.1318681318681314</v>
      </c>
      <c r="BP514" s="602">
        <f>INPUT!DM422</f>
        <v>502</v>
      </c>
      <c r="BQ514" s="612">
        <f>INPUT!DN422</f>
        <v>4.1493775933610095</v>
      </c>
      <c r="BR514" s="602">
        <f>INPUT!DO422</f>
        <v>431</v>
      </c>
      <c r="BS514" s="612">
        <f>INPUT!DP422</f>
        <v>21.751412429378519</v>
      </c>
      <c r="BT514" s="602">
        <f>INPUT!DQ422</f>
        <v>312</v>
      </c>
      <c r="BU514" s="612">
        <f>INPUT!DR422</f>
        <v>-9.3023255813953512</v>
      </c>
      <c r="BV514" s="602">
        <f>INPUT!DS422</f>
        <v>395</v>
      </c>
      <c r="BW514" s="612">
        <f>INPUT!DT422</f>
        <v>-5.5023923444976077</v>
      </c>
      <c r="BX514" s="602">
        <f>INPUT!DU422</f>
        <v>461</v>
      </c>
      <c r="BY514" s="612">
        <f>INPUT!DV422</f>
        <v>-8.1673306772908347</v>
      </c>
      <c r="BZ514" s="602">
        <f>INPUT!DW422</f>
        <v>414</v>
      </c>
      <c r="CA514" s="612">
        <f>INPUT!DX422</f>
        <v>-3.9443155452436116</v>
      </c>
      <c r="CB514" s="602">
        <f>INPUT!DY422</f>
        <v>371</v>
      </c>
      <c r="CC514" s="612">
        <f>INPUT!DZ422</f>
        <v>18.910256410256409</v>
      </c>
      <c r="CD514" s="602">
        <f>INPUT!EA422</f>
        <v>369</v>
      </c>
      <c r="CE514" s="612">
        <f>INPUT!EB422</f>
        <v>-6.5822784810126649</v>
      </c>
      <c r="CF514" s="602">
        <f>INPUT!EC422</f>
        <v>460</v>
      </c>
      <c r="CG514" s="612">
        <f>INPUT!ED422</f>
        <v>-0.21691973969630851</v>
      </c>
      <c r="CH514" s="602">
        <f>INPUT!EE422</f>
        <v>389</v>
      </c>
      <c r="CI514" s="612">
        <f>INPUT!EF422</f>
        <v>-6.0386473429951764</v>
      </c>
      <c r="CJ514" s="602">
        <f>INPUT!EG422</f>
        <v>360</v>
      </c>
      <c r="CK514" s="612">
        <f>INPUT!EH422</f>
        <v>-2.9649595687331498</v>
      </c>
      <c r="CL514" s="602">
        <f>INPUT!EI422</f>
        <v>391</v>
      </c>
      <c r="CM514" s="612">
        <f>INPUT!EJ422</f>
        <v>5.9620596205962215</v>
      </c>
      <c r="CN514" s="602">
        <f>INPUT!EK422</f>
        <v>494</v>
      </c>
      <c r="CO514" s="612">
        <f>INPUT!EL422</f>
        <v>7.3913043478260931</v>
      </c>
      <c r="CP514" s="602">
        <f>INPUT!EM422</f>
        <v>426</v>
      </c>
      <c r="CQ514" s="612">
        <f>INPUT!EN422</f>
        <v>9.5115681233933174</v>
      </c>
      <c r="CR514" s="602">
        <f>INPUT!EO422</f>
        <v>394</v>
      </c>
      <c r="CS514" s="612">
        <f>INPUT!EP422</f>
        <v>9.4444444444444571</v>
      </c>
      <c r="CT514" s="602">
        <f>INPUT!EQ422</f>
        <v>418.40083542574803</v>
      </c>
      <c r="CU514" s="612">
        <f>INPUT!ER422</f>
        <v>7.0078862981452801</v>
      </c>
      <c r="CV514" s="602">
        <f>INPUT!ES422</f>
        <v>440.44495489295241</v>
      </c>
      <c r="CW514" s="612">
        <f>INPUT!ET422</f>
        <v>-10.8411022483902</v>
      </c>
      <c r="CX514" s="602">
        <f>INPUT!EU422</f>
        <v>423.59151031461124</v>
      </c>
      <c r="CY514" s="612">
        <f>INPUT!EV422</f>
        <v>-0.56537316558421935</v>
      </c>
      <c r="CZ514" s="602">
        <f>INPUT!EW422</f>
        <v>402.3062130630633</v>
      </c>
      <c r="DA514" s="612">
        <f>INPUT!EX422</f>
        <v>2.1081759043307926</v>
      </c>
      <c r="DB514" s="602"/>
      <c r="DC514" s="602">
        <f>INPUT!FP422</f>
        <v>502</v>
      </c>
      <c r="DD514" s="612">
        <f>INPUT!FQ422</f>
        <v>24.875621890547265</v>
      </c>
      <c r="DE514" s="602">
        <f>INPUT!FR422</f>
        <v>490</v>
      </c>
      <c r="DF514" s="612">
        <f>INPUT!FS422</f>
        <v>-2.3904382470119572</v>
      </c>
      <c r="DG514" s="602">
        <f>INPUT!FT422</f>
        <v>578</v>
      </c>
      <c r="DH514" s="612">
        <f>INPUT!FU422</f>
        <v>17.959183673469383</v>
      </c>
      <c r="DI514" s="602">
        <f>INPUT!FV422</f>
        <v>171</v>
      </c>
      <c r="DJ514" s="612" t="str">
        <f>INPUT!FW422</f>
        <v>NM</v>
      </c>
      <c r="DK514" s="602">
        <f>INPUT!FX422</f>
        <v>618</v>
      </c>
      <c r="DL514" s="612" t="str">
        <f>INPUT!FY422</f>
        <v>NM</v>
      </c>
      <c r="DM514" s="602">
        <f>INPUT!FZ422</f>
        <v>766</v>
      </c>
      <c r="DN514" s="612">
        <f>INPUT!GA422</f>
        <v>23.948220064724921</v>
      </c>
      <c r="DO514" s="602">
        <f>INPUT!GB422</f>
        <v>1044</v>
      </c>
      <c r="DP514" s="612">
        <f>INPUT!GC422</f>
        <v>36.292428198433413</v>
      </c>
      <c r="DQ514" s="602">
        <f>INPUT!GD422</f>
        <v>1223</v>
      </c>
      <c r="DR514" s="612">
        <f>INPUT!GE422</f>
        <v>17.145593869731798</v>
      </c>
      <c r="DS514" s="602">
        <f>INPUT!GF422</f>
        <v>1635</v>
      </c>
      <c r="DT514" s="612">
        <f>INPUT!GG422</f>
        <v>33.687653311529033</v>
      </c>
      <c r="DU514" s="602">
        <f>INPUT!GH422</f>
        <v>1663</v>
      </c>
      <c r="DV514" s="612">
        <f>INPUT!GI422</f>
        <v>1.7125382262996851</v>
      </c>
      <c r="DW514" s="602">
        <f>INPUT!GJ422</f>
        <v>1641</v>
      </c>
      <c r="DX514" s="612">
        <f>INPUT!GK422</f>
        <v>-1.3229104028863503</v>
      </c>
      <c r="DY514" s="602">
        <f>INPUT!GL422</f>
        <v>1578</v>
      </c>
      <c r="DZ514" s="612">
        <f>INPUT!GM422</f>
        <v>-3.8391224862888436</v>
      </c>
      <c r="EA514" s="602">
        <f>INPUT!GN422</f>
        <v>1705</v>
      </c>
      <c r="EB514" s="612">
        <f>INPUT!GO422</f>
        <v>8.0481622306717355</v>
      </c>
      <c r="EC514" s="602">
        <f>INPUT!GP422</f>
        <v>1684.7435136963741</v>
      </c>
      <c r="ED514" s="612">
        <f>INPUT!GQ422</f>
        <v>-1.1880637128226397</v>
      </c>
      <c r="EE514" s="602">
        <f>INPUT!GR422</f>
        <v>1698.5578145540567</v>
      </c>
      <c r="EF514" s="612">
        <f>INPUT!GS422</f>
        <v>0.8199646263883551</v>
      </c>
      <c r="EG514" s="602">
        <f>INPUT!GT422</f>
        <v>1701.199982699598</v>
      </c>
      <c r="EH514" s="612">
        <f>INPUT!GU422</f>
        <v>0.1555536186582458</v>
      </c>
      <c r="EI514" s="602">
        <f>INPUT!GV422</f>
        <v>1703.7247384265938</v>
      </c>
      <c r="EJ514" s="612">
        <f>INPUT!GW422</f>
        <v>0.14841028407425938</v>
      </c>
      <c r="EK514" s="602">
        <f>INPUT!GX422</f>
        <v>1706.1294692698593</v>
      </c>
      <c r="EL514" s="612">
        <f>INPUT!GY422</f>
        <v>0.14114550249979629</v>
      </c>
      <c r="EM514" s="612">
        <f>INPUT!GZ422</f>
        <v>1.3245397115624336E-2</v>
      </c>
    </row>
    <row r="515" spans="1:144" ht="12.75" hidden="1" customHeight="1" outlineLevel="2" x14ac:dyDescent="0.2">
      <c r="A515" s="582" t="s">
        <v>683</v>
      </c>
      <c r="B515" s="583">
        <f>(B499+B500+B502+B503-B507-B508-B509-B510-B511)-B514</f>
        <v>-544</v>
      </c>
      <c r="C515" s="584"/>
      <c r="D515" s="583">
        <f>(D499+D500+D502+D503-D507-D508-D509-D510-D511)-D514</f>
        <v>-540</v>
      </c>
      <c r="E515" s="584"/>
      <c r="F515" s="583">
        <f>(F499+F500+F502+F503-F507-F508-F509-F510-F511)-F514</f>
        <v>-475</v>
      </c>
      <c r="G515" s="584"/>
      <c r="H515" s="583">
        <f>(H499+H500+H502+H503-H507-H508-H509-H510-H511)-H514</f>
        <v>-470</v>
      </c>
      <c r="I515" s="584"/>
      <c r="J515" s="583">
        <f>(J499+J500+J502+J503-J507-J508-J509-J510-J511)-J514</f>
        <v>-467</v>
      </c>
      <c r="K515" s="584"/>
      <c r="L515" s="583">
        <f>(L499+L500+L502+L503-L507-L508-L509-L510-L511)-L514</f>
        <v>-507</v>
      </c>
      <c r="M515" s="584"/>
      <c r="N515" s="583">
        <f>(N499+N500+N502+N503-N507-N508-N509-N510-N511)-N514</f>
        <v>-458</v>
      </c>
      <c r="O515" s="584"/>
      <c r="P515" s="583">
        <f>(P499+P500+P502+P503-P507-P508-P509-P510-P511)-P514</f>
        <v>-484</v>
      </c>
      <c r="Q515" s="584"/>
      <c r="R515" s="583">
        <f>(R499+R500+R502+R503-R507-R508-R509-R510-R511)-R514</f>
        <v>-510</v>
      </c>
      <c r="S515" s="584"/>
      <c r="T515" s="583">
        <f>(T499+T500+T502+T503-T507-T508-T509-T510-T511)-T514</f>
        <v>-575</v>
      </c>
      <c r="U515" s="584"/>
      <c r="V515" s="583">
        <f>(V499+V500+V502+V503-V507-V508-V509-V510-V511)-V514</f>
        <v>-498</v>
      </c>
      <c r="W515" s="584"/>
      <c r="X515" s="583">
        <f>(X499+X500+X502+X503-X507-X508-X509-X510-X511)-X514</f>
        <v>-540</v>
      </c>
      <c r="Y515" s="584"/>
      <c r="Z515" s="583">
        <f>(Z499+Z500+Z502+Z503-Z507-Z508-Z509-Z510-Z511)-Z514</f>
        <v>-614</v>
      </c>
      <c r="AA515" s="584"/>
      <c r="AB515" s="583">
        <f>(AB499+AB500+AB502+AB503-AB507-AB508-AB509-AB510-AB511)-AB514</f>
        <v>-712</v>
      </c>
      <c r="AC515" s="584"/>
      <c r="AD515" s="583">
        <f>(AD499+AD500+AD502+AD503-AD507-AD508-AD509-AD510-AD511)-AD514</f>
        <v>-783</v>
      </c>
      <c r="AE515" s="584"/>
      <c r="AF515" s="583">
        <f>(AF499+AF500+AF502+AF503-AF507-AF508-AF509-AF510-AF511)-AF514</f>
        <v>-751</v>
      </c>
      <c r="AG515" s="584"/>
      <c r="AH515" s="583">
        <f>(AH499+AH500+AH502+AH503-AH507-AH508-AH509-AH510-AH511)-AH514</f>
        <v>-768</v>
      </c>
      <c r="AI515" s="584"/>
      <c r="AJ515" s="583">
        <f>(AJ499+AJ500+AJ502+AJ503-AJ507-AJ508-AJ509-AJ510-AJ511)-AJ514</f>
        <v>-916</v>
      </c>
      <c r="AK515" s="584"/>
      <c r="AL515" s="583">
        <f>(AL499+AL500+AL502+AL503-AL507-AL508-AL509-AL510-AL511)-AL514</f>
        <v>-841</v>
      </c>
      <c r="AM515" s="584"/>
      <c r="AN515" s="583">
        <f>(AN499+AN500+AN502+AN503-AN507-AN508-AN509-AN510-AN511)-AN514</f>
        <v>-921</v>
      </c>
      <c r="AO515" s="584"/>
      <c r="AP515" s="583">
        <f>(AP499+AP500+AP502+AP503-AP507-AP508-AP509-AP510-AP511)-AP514</f>
        <v>-1601</v>
      </c>
      <c r="AQ515" s="584"/>
      <c r="AR515" s="583">
        <f>(AR499+AR500+AR502+AR503-AR507-AR508-AR509-AR510-AR511)-AR514</f>
        <v>-2391</v>
      </c>
      <c r="AS515" s="584"/>
      <c r="AT515" s="583">
        <f>(AT499+AT500+AT502+AT503-AT507-AT508-AT509-AT510-AT511)-AT514</f>
        <v>-2226</v>
      </c>
      <c r="AU515" s="584"/>
      <c r="AV515" s="583">
        <f>(AV499+AV500+AV502+AV503-AV507-AV508-AV509-AV510-AV511)-AV514</f>
        <v>-2386</v>
      </c>
      <c r="AW515" s="584"/>
      <c r="AX515" s="583">
        <f>(AX499+AX500+AX502+AX503-AX507-AX508-AX509-AX510-AX511)-AX514</f>
        <v>-2779</v>
      </c>
      <c r="AY515" s="584"/>
      <c r="AZ515" s="583">
        <f>(AZ499+AZ500+AZ502+AZ503-AZ507-AZ508-AZ509-AZ510-AZ511)-AZ514</f>
        <v>-3474</v>
      </c>
      <c r="BA515" s="584"/>
      <c r="BB515" s="583">
        <f>(BB499+BB500+BB502+BB503-BB507-BB508-BB509-BB510-BB511)-BB514</f>
        <v>-5087</v>
      </c>
      <c r="BC515" s="584"/>
      <c r="BD515" s="583">
        <f>(BD499+BD500+BD502+BD503-BD507-BD508-BD509-BD510-BD511)-BD514</f>
        <v>-6173</v>
      </c>
      <c r="BE515" s="584"/>
      <c r="BF515" s="583">
        <f>(BF499+BF500+BF502+BF503-BF507-BF508-BF509-BF510-BF511)-BF514</f>
        <v>-3024</v>
      </c>
      <c r="BG515" s="584"/>
      <c r="BH515" s="583">
        <f>(BH499+BH500+BH502+BH503-BH507-BH508-BH509-BH510-BH511)-BH514</f>
        <v>-2947</v>
      </c>
      <c r="BI515" s="584"/>
      <c r="BJ515" s="583">
        <f>(BJ499+BJ500+BJ502+BJ503-BJ507-BJ508-BJ509-BJ510-BJ511)-BJ514</f>
        <v>-2283</v>
      </c>
      <c r="BK515" s="584"/>
      <c r="BL515" s="583">
        <f>(BL499+BL500+BL502+BL503-BL507-BL508-BL509-BL510-BL511)-BL514</f>
        <v>-2013</v>
      </c>
      <c r="BM515" s="584"/>
      <c r="BN515" s="583">
        <f>(BN499+BN500+BN502+BN503-BN507-BN508-BN509-BN510-BN511)-BN514</f>
        <v>-1812</v>
      </c>
      <c r="BO515" s="584"/>
      <c r="BP515" s="583">
        <f>(BP499+BP500+BP502+BP503-BP507-BP508-BP509-BP510-BP511)-BP514</f>
        <v>-2136</v>
      </c>
      <c r="BQ515" s="584"/>
      <c r="BR515" s="583">
        <f>(BR499+BR500+BR502+BR503-BR507-BR508-BR509-BR510-BR511)-BR514</f>
        <v>-1875</v>
      </c>
      <c r="BS515" s="584"/>
      <c r="BT515" s="583">
        <f>(BT499+BT500+BT502+BT503-BT507-BT508-BT509-BT510-BT511)-BT514</f>
        <v>-1718</v>
      </c>
      <c r="BU515" s="584"/>
      <c r="BV515" s="583">
        <f>(BV499+BV500+BV502+BV503-BV507-BV508-BV509-BV510-BV511)-BV514</f>
        <v>-1689</v>
      </c>
      <c r="BW515" s="584"/>
      <c r="BX515" s="583">
        <f>(BX499+BX500+BX502+BX503-BX507-BX508-BX509-BX510-BX511)-BX514</f>
        <v>-2006</v>
      </c>
      <c r="BY515" s="584"/>
      <c r="BZ515" s="583">
        <f>(BZ499+BZ500+BZ502+BZ503-BZ507-BZ508-BZ509-BZ510-BZ511)-BZ514</f>
        <v>-1742</v>
      </c>
      <c r="CA515" s="584"/>
      <c r="CB515" s="583">
        <f>(CB499+CB500+CB502+CB503-CB507-CB508-CB509-CB510-CB511)-CB514</f>
        <v>-1679</v>
      </c>
      <c r="CC515" s="584"/>
      <c r="CD515" s="583">
        <f>(CD499+CD500+CD502+CD503-CD507-CD508-CD509-CD510-CD511)-CD514</f>
        <v>-1756</v>
      </c>
      <c r="CE515" s="584"/>
      <c r="CF515" s="583">
        <f>(CF499+CF500+CF502+CF503-CF507-CF508-CF509-CF510-CF511)-CF514</f>
        <v>-2081</v>
      </c>
      <c r="CG515" s="584"/>
      <c r="CH515" s="583">
        <f>(CH499+CH500+CH502+CH503-CH507-CH508-CH509-CH510-CH511)-CH514</f>
        <v>-2057</v>
      </c>
      <c r="CI515" s="584"/>
      <c r="CJ515" s="583">
        <f>(CJ499+CJ500+CJ502+CJ503-CJ507-CJ508-CJ509-CJ510-CJ511)-CJ514</f>
        <v>-1983</v>
      </c>
      <c r="CK515" s="584"/>
      <c r="CL515" s="583">
        <f>(CL499+CL500+CL502+CL503-CL507-CL508-CL509-CL510-CL511)-CL514</f>
        <v>-1846</v>
      </c>
      <c r="CM515" s="584"/>
      <c r="CN515" s="583">
        <f>(CN499+CN500+CN502+CN503-CN507-CN508-CN509-CN510-CN511)-CN514</f>
        <v>-2099</v>
      </c>
      <c r="CO515" s="584"/>
      <c r="CP515" s="583">
        <f>(CP499+CP500+CP502+CP503-CP507-CP508-CP509-CP510-CP511)-CP514</f>
        <v>-1953</v>
      </c>
      <c r="CQ515" s="584"/>
      <c r="CR515" s="583">
        <f>(CR499+CR500+CR502+CR503-CR507-CR508-CR509-CR510-CR511)-CR514</f>
        <v>-1856</v>
      </c>
      <c r="CS515" s="584"/>
      <c r="CT515" s="583">
        <f>(CT499+CT500+CT502+CT503-CT507-CT508-CT509-CT510-CT511)-CT514</f>
        <v>-1872.7753153153153</v>
      </c>
      <c r="CU515" s="584"/>
      <c r="CV515" s="583">
        <f>(CV499+CV500+CV502+CV503-CV507-CV508-CV509-CV510-CV511)-CV514</f>
        <v>-2129.4449549549554</v>
      </c>
      <c r="CW515" s="584"/>
      <c r="CX515" s="583">
        <f>(CX499+CX500+CX502+CX503-CX507-CX508-CX509-CX510-CX511)-CX514</f>
        <v>-1981.3272972972973</v>
      </c>
      <c r="CY515" s="584"/>
      <c r="CZ515" s="583">
        <f>(CZ499+CZ500+CZ502+CZ503-CZ507-CZ508-CZ509-CZ510-CZ511)-CZ514</f>
        <v>-1882.9203603603605</v>
      </c>
      <c r="DA515" s="584"/>
      <c r="DB515" s="583"/>
      <c r="DC515" s="583">
        <f>(DC499+DC500+DC502+DC503-DC507-DC508-DC509-DC510-DC511)-DC514</f>
        <v>-2363</v>
      </c>
      <c r="DD515" s="584"/>
      <c r="DE515" s="583">
        <f>(DE499+DE500+DE502+DE503-DE507-DE508-DE509-DE510-DE511)-DE514</f>
        <v>-2029</v>
      </c>
      <c r="DF515" s="584"/>
      <c r="DG515" s="583">
        <f>(DG499+DG500+DG502+DG503-DG507-DG508-DG509-DG510-DG511)-DG514</f>
        <v>-1916</v>
      </c>
      <c r="DH515" s="584"/>
      <c r="DI515" s="583">
        <f>(DI499+DI500+DI502+DI503-DI507-DI508-DI509-DI510-DI511)-DI514</f>
        <v>-2122</v>
      </c>
      <c r="DJ515" s="584"/>
      <c r="DK515" s="583">
        <f>(DK499+DK500+DK502+DK503-DK507-DK508-DK509-DK510-DK511)-DK514</f>
        <v>-2860</v>
      </c>
      <c r="DL515" s="584"/>
      <c r="DM515" s="583">
        <f>(DM499+DM500+DM502+DM503-DM507-DM508-DM509-DM510-DM511)-DM514</f>
        <v>-3446</v>
      </c>
      <c r="DN515" s="584"/>
      <c r="DO515" s="583">
        <f>(DO499+DO500+DO502+DO503-DO507-DO508-DO509-DO510-DO511)-DO514</f>
        <v>-8604</v>
      </c>
      <c r="DP515" s="584"/>
      <c r="DQ515" s="583">
        <f>(DQ499+DQ500+DQ502+DQ503-DQ507-DQ508-DQ509-DQ510-DQ511)-DQ514</f>
        <v>-17513</v>
      </c>
      <c r="DR515" s="584"/>
      <c r="DS515" s="583">
        <f>(DS499+DS500+DS502+DS503-DS507-DS508-DS509-DS510-DS511)-DS514</f>
        <v>-10267</v>
      </c>
      <c r="DT515" s="584"/>
      <c r="DU515" s="583">
        <f>(DU499+DU500+DU502+DU503-DU507-DU508-DU509-DU510-DU511)-DU514</f>
        <v>-7541</v>
      </c>
      <c r="DV515" s="584"/>
      <c r="DW515" s="583">
        <f>(DW499+DW500+DW502+DW503-DW507-DW508-DW509-DW510-DW511)-DW514</f>
        <v>-7116</v>
      </c>
      <c r="DX515" s="584"/>
      <c r="DY515" s="583">
        <f>(DY499+DY500+DY502+DY503-DY507-DY508-DY509-DY510-DY511)-DY514</f>
        <v>-7877</v>
      </c>
      <c r="DZ515" s="584"/>
      <c r="EA515" s="583">
        <f>(EA499+EA500+EA502+EA503-EA507-EA508-EA509-EA510-EA511)-EA514</f>
        <v>-7754</v>
      </c>
      <c r="EB515" s="584"/>
      <c r="EC515" s="583">
        <f>(EC499+EC500+EC502+EC503-EC507-EC508-EC509-EC510-EC511)-EC514</f>
        <v>-7866.467927927928</v>
      </c>
      <c r="ED515" s="584"/>
      <c r="EE515" s="583">
        <f>(EE499+EE500+EE502+EE503-EE507-EE508-EE509-EE510-EE511)-EE514</f>
        <v>-7945.1326072072052</v>
      </c>
      <c r="EF515" s="584"/>
      <c r="EG515" s="583">
        <f>(EG499+EG500+EG502+EG503-EG507-EG508-EG509-EG510-EG511)-EG514</f>
        <v>-8024.5839332792802</v>
      </c>
      <c r="EH515" s="584"/>
      <c r="EI515" s="583">
        <f>(EI499+EI500+EI502+EI503-EI507-EI508-EI509-EI510-EI511)-EI514</f>
        <v>-8104.8297726120718</v>
      </c>
      <c r="EJ515" s="584"/>
      <c r="EK515" s="583">
        <f>(EK499+EK500+EK502+EK503-EK507-EK508-EK509-EK510-EK511)-EK514</f>
        <v>-8185.8780703381917</v>
      </c>
      <c r="EL515" s="584"/>
      <c r="EM515" s="583"/>
      <c r="EN515" s="584"/>
    </row>
    <row r="516" spans="1:144" ht="12.75" hidden="1" customHeight="1" outlineLevel="1" x14ac:dyDescent="0.2">
      <c r="A516" s="613"/>
      <c r="B516" s="605"/>
      <c r="C516" s="555"/>
      <c r="D516" s="605"/>
      <c r="E516" s="555"/>
      <c r="F516" s="605"/>
      <c r="G516" s="555"/>
      <c r="H516" s="605"/>
      <c r="I516" s="555"/>
      <c r="J516" s="605"/>
      <c r="K516" s="555"/>
      <c r="L516" s="605"/>
      <c r="M516" s="555"/>
      <c r="N516" s="605"/>
      <c r="O516" s="555"/>
      <c r="P516" s="605"/>
      <c r="Q516" s="555"/>
      <c r="R516" s="605"/>
      <c r="S516" s="555"/>
      <c r="T516" s="605"/>
      <c r="U516" s="555"/>
      <c r="V516" s="605"/>
      <c r="W516" s="555"/>
      <c r="X516" s="605"/>
      <c r="Y516" s="555"/>
      <c r="Z516" s="605"/>
      <c r="AA516" s="555"/>
      <c r="AB516" s="605"/>
      <c r="AC516" s="555"/>
      <c r="AD516" s="605"/>
      <c r="AE516" s="555"/>
      <c r="AF516" s="605"/>
      <c r="AG516" s="555"/>
      <c r="AH516" s="605"/>
      <c r="AI516" s="555"/>
      <c r="AJ516" s="605"/>
      <c r="AK516" s="555"/>
      <c r="AL516" s="605"/>
      <c r="AM516" s="555"/>
      <c r="AN516" s="605"/>
      <c r="AO516" s="555"/>
      <c r="AP516" s="605"/>
      <c r="AQ516" s="555"/>
      <c r="AR516" s="605"/>
      <c r="AS516" s="555"/>
      <c r="AT516" s="605"/>
      <c r="AU516" s="555"/>
      <c r="AV516" s="605"/>
      <c r="AW516" s="555"/>
      <c r="AX516" s="605"/>
      <c r="AY516" s="555"/>
      <c r="AZ516" s="605"/>
      <c r="BA516" s="555"/>
      <c r="BB516" s="605"/>
      <c r="BC516" s="555"/>
      <c r="BD516" s="605"/>
      <c r="BE516" s="555"/>
      <c r="BF516" s="605"/>
      <c r="BG516" s="555"/>
      <c r="BH516" s="605"/>
      <c r="BI516" s="555"/>
      <c r="BJ516" s="605"/>
      <c r="BK516" s="555"/>
      <c r="BL516" s="605"/>
      <c r="BM516" s="555"/>
      <c r="BN516" s="605"/>
      <c r="BO516" s="555"/>
      <c r="BP516" s="605"/>
      <c r="BQ516" s="555"/>
      <c r="BR516" s="605"/>
      <c r="BS516" s="555"/>
      <c r="BT516" s="605"/>
      <c r="BU516" s="555"/>
      <c r="BV516" s="605"/>
      <c r="BW516" s="555"/>
      <c r="BX516" s="605"/>
      <c r="BY516" s="555"/>
      <c r="BZ516" s="605"/>
      <c r="CA516" s="555"/>
      <c r="CB516" s="605"/>
      <c r="CC516" s="555"/>
      <c r="CD516" s="605"/>
      <c r="CE516" s="555"/>
      <c r="CF516" s="605"/>
      <c r="CG516" s="555"/>
      <c r="CH516" s="605"/>
      <c r="CI516" s="555"/>
      <c r="CJ516" s="605"/>
      <c r="CK516" s="555"/>
      <c r="CL516" s="605"/>
      <c r="CM516" s="555"/>
      <c r="CN516" s="605"/>
      <c r="CO516" s="555"/>
      <c r="CP516" s="605"/>
      <c r="CQ516" s="555"/>
      <c r="CR516" s="605"/>
      <c r="CS516" s="555"/>
      <c r="CT516" s="605"/>
      <c r="CU516" s="555"/>
      <c r="CV516" s="605"/>
      <c r="CW516" s="555"/>
      <c r="CX516" s="605"/>
      <c r="CY516" s="555"/>
      <c r="CZ516" s="605"/>
      <c r="DA516" s="555"/>
      <c r="DB516" s="605"/>
      <c r="DC516" s="605"/>
      <c r="DD516" s="555"/>
      <c r="DE516" s="605"/>
      <c r="DF516" s="555"/>
      <c r="DG516" s="605"/>
      <c r="DH516" s="555"/>
      <c r="DI516" s="605"/>
      <c r="DJ516" s="555"/>
      <c r="DK516" s="605"/>
      <c r="DL516" s="555"/>
      <c r="DM516" s="605"/>
      <c r="DN516" s="555"/>
      <c r="DO516" s="605"/>
      <c r="DP516" s="555"/>
      <c r="DQ516" s="605"/>
      <c r="DR516" s="555"/>
      <c r="DS516" s="605"/>
      <c r="DT516" s="555"/>
      <c r="DU516" s="605"/>
      <c r="DV516" s="555"/>
      <c r="DW516" s="605"/>
      <c r="DX516" s="555"/>
      <c r="DY516" s="605"/>
      <c r="DZ516" s="555"/>
      <c r="EA516" s="605"/>
      <c r="EB516" s="555"/>
      <c r="EC516" s="605"/>
      <c r="ED516" s="555"/>
      <c r="EE516" s="605"/>
      <c r="EF516" s="555"/>
      <c r="EG516" s="605"/>
      <c r="EH516" s="555"/>
      <c r="EI516" s="605"/>
      <c r="EJ516" s="555"/>
      <c r="EK516" s="605"/>
      <c r="EL516" s="555"/>
      <c r="EM516" s="555"/>
    </row>
    <row r="517" spans="1:144" ht="12.75" hidden="1" customHeight="1" outlineLevel="1" x14ac:dyDescent="0.2">
      <c r="A517" s="575" t="s">
        <v>255</v>
      </c>
      <c r="B517" s="605"/>
      <c r="C517" s="555"/>
      <c r="D517" s="605"/>
      <c r="E517" s="555"/>
      <c r="F517" s="605"/>
      <c r="G517" s="555"/>
      <c r="H517" s="605"/>
      <c r="I517" s="555"/>
      <c r="J517" s="605"/>
      <c r="K517" s="555"/>
      <c r="L517" s="605"/>
      <c r="M517" s="555"/>
      <c r="N517" s="605"/>
      <c r="O517" s="555"/>
      <c r="P517" s="605"/>
      <c r="Q517" s="555"/>
      <c r="R517" s="605"/>
      <c r="S517" s="555"/>
      <c r="T517" s="605"/>
      <c r="U517" s="555"/>
      <c r="V517" s="605"/>
      <c r="W517" s="555"/>
      <c r="X517" s="605"/>
      <c r="Y517" s="555"/>
      <c r="Z517" s="605"/>
      <c r="AA517" s="555"/>
      <c r="AB517" s="605"/>
      <c r="AC517" s="555"/>
      <c r="AD517" s="605"/>
      <c r="AE517" s="555"/>
      <c r="AF517" s="605"/>
      <c r="AG517" s="555"/>
      <c r="AH517" s="605"/>
      <c r="AI517" s="555"/>
      <c r="AJ517" s="605"/>
      <c r="AK517" s="555"/>
      <c r="AL517" s="605"/>
      <c r="AM517" s="555"/>
      <c r="AN517" s="605"/>
      <c r="AO517" s="555"/>
      <c r="AP517" s="605"/>
      <c r="AQ517" s="555"/>
      <c r="AR517" s="605"/>
      <c r="AS517" s="555"/>
      <c r="AT517" s="605"/>
      <c r="AU517" s="555"/>
      <c r="AV517" s="605"/>
      <c r="AW517" s="555"/>
      <c r="AX517" s="605"/>
      <c r="AY517" s="555"/>
      <c r="AZ517" s="605"/>
      <c r="BA517" s="555"/>
      <c r="BB517" s="605"/>
      <c r="BC517" s="555"/>
      <c r="BD517" s="605"/>
      <c r="BE517" s="555"/>
      <c r="BF517" s="605"/>
      <c r="BG517" s="555"/>
      <c r="BH517" s="605"/>
      <c r="BI517" s="555"/>
      <c r="BJ517" s="605"/>
      <c r="BK517" s="555"/>
      <c r="BL517" s="605"/>
      <c r="BM517" s="555"/>
      <c r="BN517" s="605"/>
      <c r="BO517" s="555"/>
      <c r="BP517" s="605"/>
      <c r="BQ517" s="555"/>
      <c r="BR517" s="605"/>
      <c r="BS517" s="555"/>
      <c r="BT517" s="605"/>
      <c r="BU517" s="555"/>
      <c r="BV517" s="605"/>
      <c r="BW517" s="555"/>
      <c r="BX517" s="605"/>
      <c r="BY517" s="555"/>
      <c r="BZ517" s="605"/>
      <c r="CA517" s="555"/>
      <c r="CB517" s="605"/>
      <c r="CC517" s="555"/>
      <c r="CD517" s="605"/>
      <c r="CE517" s="555"/>
      <c r="CF517" s="605"/>
      <c r="CG517" s="555"/>
      <c r="CH517" s="605"/>
      <c r="CI517" s="555"/>
      <c r="CJ517" s="605"/>
      <c r="CK517" s="555"/>
      <c r="CL517" s="605"/>
      <c r="CM517" s="555"/>
      <c r="CN517" s="605"/>
      <c r="CO517" s="555"/>
      <c r="CP517" s="605"/>
      <c r="CQ517" s="555"/>
      <c r="CR517" s="605"/>
      <c r="CS517" s="555"/>
      <c r="CT517" s="605"/>
      <c r="CU517" s="555"/>
      <c r="CV517" s="605"/>
      <c r="CW517" s="555"/>
      <c r="CX517" s="605"/>
      <c r="CY517" s="555"/>
      <c r="CZ517" s="605"/>
      <c r="DA517" s="555"/>
      <c r="DB517" s="605"/>
      <c r="DC517" s="605"/>
      <c r="DD517" s="555"/>
      <c r="DE517" s="605"/>
      <c r="DF517" s="555"/>
      <c r="DG517" s="605"/>
      <c r="DH517" s="555"/>
      <c r="DI517" s="605"/>
      <c r="DJ517" s="555"/>
      <c r="DK517" s="605"/>
      <c r="DL517" s="555"/>
      <c r="DM517" s="605"/>
      <c r="DN517" s="555"/>
      <c r="DO517" s="605"/>
      <c r="DP517" s="555"/>
      <c r="DQ517" s="605"/>
      <c r="DR517" s="555"/>
      <c r="DS517" s="605"/>
      <c r="DT517" s="555"/>
      <c r="DU517" s="605"/>
      <c r="DV517" s="555"/>
      <c r="DW517" s="605"/>
      <c r="DX517" s="555"/>
      <c r="DY517" s="605"/>
      <c r="DZ517" s="555"/>
      <c r="EA517" s="605"/>
      <c r="EB517" s="555"/>
      <c r="EC517" s="605"/>
      <c r="ED517" s="555"/>
      <c r="EE517" s="605"/>
      <c r="EF517" s="555"/>
      <c r="EG517" s="605"/>
      <c r="EH517" s="555"/>
      <c r="EI517" s="605"/>
      <c r="EJ517" s="555"/>
      <c r="EK517" s="605"/>
      <c r="EL517" s="555"/>
      <c r="EM517" s="555"/>
    </row>
    <row r="518" spans="1:144" ht="12.75" hidden="1" customHeight="1" outlineLevel="1" x14ac:dyDescent="0.2">
      <c r="A518" s="579" t="str">
        <f>INPUT!B423</f>
        <v>Pretax Margin</v>
      </c>
      <c r="B518" s="597">
        <f>INPUT!AY423</f>
        <v>14.911080711354311</v>
      </c>
      <c r="C518" s="577">
        <f>INPUT!AZ423</f>
        <v>4.2368944067315653</v>
      </c>
      <c r="D518" s="597">
        <f>INPUT!BA423</f>
        <v>13.83989145183175</v>
      </c>
      <c r="E518" s="577">
        <f>INPUT!BB423</f>
        <v>-22.72727272727272</v>
      </c>
      <c r="F518" s="597">
        <f>INPUT!BC423</f>
        <v>20.933521923620933</v>
      </c>
      <c r="G518" s="577">
        <f>INPUT!BD423</f>
        <v>25.749596236219375</v>
      </c>
      <c r="H518" s="597">
        <f>INPUT!BE423</f>
        <v>19.378698224852069</v>
      </c>
      <c r="I518" s="577">
        <f>INPUT!BF423</f>
        <v>25.87424702809318</v>
      </c>
      <c r="J518" s="597">
        <f>INPUT!BG423</f>
        <v>20.605187319884728</v>
      </c>
      <c r="K518" s="577">
        <f>INPUT!BH423</f>
        <v>38.187081934272783</v>
      </c>
      <c r="L518" s="597">
        <f>INPUT!BI423</f>
        <v>21.01740294511379</v>
      </c>
      <c r="M518" s="577">
        <f>INPUT!BJ423</f>
        <v>51.861038926949647</v>
      </c>
      <c r="N518" s="597">
        <f>INPUT!BK423</f>
        <v>22.557471264367816</v>
      </c>
      <c r="O518" s="577">
        <f>INPUT!BL423</f>
        <v>7.7576498912705887</v>
      </c>
      <c r="P518" s="597">
        <f>INPUT!BM423</f>
        <v>17.114568599717114</v>
      </c>
      <c r="Q518" s="577">
        <f>INPUT!BN423</f>
        <v>-11.683600202986483</v>
      </c>
      <c r="R518" s="597">
        <f>INPUT!BO423</f>
        <v>17.112299465240639</v>
      </c>
      <c r="S518" s="577">
        <f>INPUT!BP423</f>
        <v>-16.951497700160829</v>
      </c>
      <c r="T518" s="597">
        <f>INPUT!BQ423</f>
        <v>19.88095238095238</v>
      </c>
      <c r="U518" s="577">
        <f>INPUT!BR423</f>
        <v>-5.407188353048241</v>
      </c>
      <c r="V518" s="597">
        <f>INPUT!BS423</f>
        <v>21.858638743455497</v>
      </c>
      <c r="W518" s="577">
        <f>INPUT!BT423</f>
        <v>-3.09800913729282</v>
      </c>
      <c r="X518" s="597">
        <f>INPUT!BU423</f>
        <v>19.728729963008632</v>
      </c>
      <c r="Y518" s="577">
        <f>INPUT!BV423</f>
        <v>15.274480031794255</v>
      </c>
      <c r="Z518" s="597">
        <f>INPUT!BW423</f>
        <v>14.686825053995682</v>
      </c>
      <c r="AA518" s="577">
        <f>INPUT!BX423</f>
        <v>-14.173866090712721</v>
      </c>
      <c r="AB518" s="597">
        <f>INPUT!BY423</f>
        <v>15.414634146341463</v>
      </c>
      <c r="AC518" s="577">
        <f>INPUT!BZ423</f>
        <v>-22.46531327588724</v>
      </c>
      <c r="AD518" s="597">
        <f>INPUT!CA423</f>
        <v>17.844202898550723</v>
      </c>
      <c r="AE518" s="577">
        <f>INPUT!CB423</f>
        <v>-18.36544302698951</v>
      </c>
      <c r="AF518" s="597">
        <f>INPUT!CC423</f>
        <v>14.259597806215721</v>
      </c>
      <c r="AG518" s="577">
        <f>INPUT!CD423</f>
        <v>-27.721663619744064</v>
      </c>
      <c r="AH518" s="586">
        <f>INPUT!CE423</f>
        <v>14.016172506738545</v>
      </c>
      <c r="AI518" s="577">
        <f>INPUT!CF423</f>
        <v>-4.5663548438243282</v>
      </c>
      <c r="AJ518" s="586">
        <f>INPUT!CG423</f>
        <v>12.957074721780604</v>
      </c>
      <c r="AK518" s="577">
        <f>INPUT!CH423</f>
        <v>-15.943027912499247</v>
      </c>
      <c r="AL518" s="586">
        <f>INPUT!CI423</f>
        <v>16.392092257001647</v>
      </c>
      <c r="AM518" s="577">
        <f>INPUT!CJ423</f>
        <v>-8.1377164886811215</v>
      </c>
      <c r="AN518" s="586">
        <f>INPUT!CK423</f>
        <v>18.168498168498168</v>
      </c>
      <c r="AO518" s="577">
        <f>INPUT!CL423</f>
        <v>27.412416643185878</v>
      </c>
      <c r="AP518" s="586">
        <f>INPUT!CM423</f>
        <v>14.748201438848922</v>
      </c>
      <c r="AQ518" s="577">
        <f>INPUT!CN423</f>
        <v>5.222744881018258</v>
      </c>
      <c r="AR518" s="586">
        <f>INPUT!CO423</f>
        <v>5.9600515463917532</v>
      </c>
      <c r="AS518" s="577" t="str">
        <f>INPUT!CP423</f>
        <v>NM</v>
      </c>
      <c r="AT518" s="586">
        <f>INPUT!CQ423</f>
        <v>10.77275703994761</v>
      </c>
      <c r="AU518" s="577">
        <f>INPUT!CR423</f>
        <v>-34.28076861057086</v>
      </c>
      <c r="AV518" s="586">
        <f>INPUT!CS423</f>
        <v>6.5308761720012933</v>
      </c>
      <c r="AW518" s="577" t="str">
        <f>INPUT!CT423</f>
        <v>NM</v>
      </c>
      <c r="AX518" s="586">
        <f>INPUT!CU423</f>
        <v>6.1428571428571432</v>
      </c>
      <c r="AY518" s="577" t="str">
        <f>INPUT!CV423</f>
        <v>NM</v>
      </c>
      <c r="AZ518" s="586">
        <f>INPUT!CW423</f>
        <v>7.2140484100616993</v>
      </c>
      <c r="BA518" s="577">
        <f>INPUT!CX423</f>
        <v>21.040033863954122</v>
      </c>
      <c r="BB518" s="586">
        <f>INPUT!CY423</f>
        <v>6.5742775054926481</v>
      </c>
      <c r="BC518" s="577">
        <f>INPUT!CZ423</f>
        <v>-38.973120055396514</v>
      </c>
      <c r="BD518" s="586">
        <f>INPUT!DA423</f>
        <v>4.5304185243779669</v>
      </c>
      <c r="BE518" s="577">
        <f>INPUT!DB423</f>
        <v>-30.630769822272015</v>
      </c>
      <c r="BF518" s="586">
        <f>INPUT!DC423</f>
        <v>11.645764013309444</v>
      </c>
      <c r="BG518" s="577">
        <f>INPUT!DD423</f>
        <v>89.582204867828153</v>
      </c>
      <c r="BH518" s="586">
        <f>INPUT!DE423</f>
        <v>12.74457958751983</v>
      </c>
      <c r="BI518" s="577">
        <f>INPUT!DF423</f>
        <v>76.663349940159748</v>
      </c>
      <c r="BJ518" s="586">
        <f>INPUT!DG423</f>
        <v>11.471160077770577</v>
      </c>
      <c r="BK518" s="577">
        <f>INPUT!DH423</f>
        <v>74.485486324340627</v>
      </c>
      <c r="BL518" s="586">
        <f>INPUT!DI423</f>
        <v>12.343021169716542</v>
      </c>
      <c r="BM518" s="577" t="str">
        <f>INPUT!DJ423</f>
        <v>NM</v>
      </c>
      <c r="BN518" s="586">
        <f>INPUT!DK423</f>
        <v>16.101694915254235</v>
      </c>
      <c r="BO518" s="577">
        <f>INPUT!DL423</f>
        <v>38.262246228347919</v>
      </c>
      <c r="BP518" s="586">
        <f>INPUT!DM423</f>
        <v>16.783684386492812</v>
      </c>
      <c r="BQ518" s="577">
        <f>INPUT!DN423</f>
        <v>31.692726866630352</v>
      </c>
      <c r="BR518" s="586">
        <f>INPUT!DO423</f>
        <v>15.857247976453273</v>
      </c>
      <c r="BS518" s="577">
        <f>INPUT!DP423</f>
        <v>38.235783207160466</v>
      </c>
      <c r="BT518" s="586">
        <f>INPUT!DQ423</f>
        <v>12.510024057738573</v>
      </c>
      <c r="BU518" s="577">
        <f>INPUT!DR423</f>
        <v>1.3530146770854685</v>
      </c>
      <c r="BV518" s="586">
        <f>INPUT!DS423</f>
        <v>16.030844155844157</v>
      </c>
      <c r="BW518" s="577">
        <f>INPUT!DT423</f>
        <v>-0.44002050580995444</v>
      </c>
      <c r="BX518" s="586">
        <f>INPUT!DU423</f>
        <v>16.429080541696365</v>
      </c>
      <c r="BY518" s="577">
        <f>INPUT!DV423</f>
        <v>-2.1127890433987488</v>
      </c>
      <c r="BZ518" s="586">
        <f>INPUT!DW423</f>
        <v>16.559999999999999</v>
      </c>
      <c r="CA518" s="577">
        <f>INPUT!DX423</f>
        <v>4.4317401392111435</v>
      </c>
      <c r="CB518" s="586">
        <f>INPUT!DY423</f>
        <v>15.317919075144509</v>
      </c>
      <c r="CC518" s="577">
        <f>INPUT!DZ423</f>
        <v>22.445160812212833</v>
      </c>
      <c r="CD518" s="586">
        <f>INPUT!EA423</f>
        <v>14.849094567404428</v>
      </c>
      <c r="CE518" s="577">
        <f>INPUT!EB423</f>
        <v>-7.3717240149759391</v>
      </c>
      <c r="CF518" s="586">
        <f>INPUT!EC423</f>
        <v>15.72112098427888</v>
      </c>
      <c r="CG518" s="577">
        <f>INPUT!ED423</f>
        <v>-4.3091855056691202</v>
      </c>
      <c r="CH518" s="586">
        <f>INPUT!EE423</f>
        <v>13.644335320940021</v>
      </c>
      <c r="CI518" s="577">
        <f>INPUT!EF423</f>
        <v>-17.606670767270387</v>
      </c>
      <c r="CJ518" s="586">
        <f>INPUT!EG423</f>
        <v>13.038754074610647</v>
      </c>
      <c r="CK518" s="577">
        <f>INPUT!EH423</f>
        <v>-14.879077173296523</v>
      </c>
      <c r="CL518" s="586">
        <f>INPUT!EI423</f>
        <v>14.861269479285443</v>
      </c>
      <c r="CM518" s="577">
        <f>INPUT!EJ423</f>
        <v>8.1990937735284319E-2</v>
      </c>
      <c r="CN518" s="586">
        <f>INPUT!EK423</f>
        <v>16.999311768754303</v>
      </c>
      <c r="CO518" s="577">
        <f>INPUT!EL423</f>
        <v>8.1304048595110601</v>
      </c>
      <c r="CP518" s="586">
        <f>INPUT!EM423</f>
        <v>15.496544197890142</v>
      </c>
      <c r="CQ518" s="577">
        <f>INPUT!EN423</f>
        <v>13.574929326953196</v>
      </c>
      <c r="CR518" s="586">
        <f>INPUT!EO423</f>
        <v>14.980988593155894</v>
      </c>
      <c r="CS518" s="577">
        <f>INPUT!EP423</f>
        <v>14.89585973806507</v>
      </c>
      <c r="CT518" s="586">
        <f>INPUT!EQ423</f>
        <v>15.681801031876693</v>
      </c>
      <c r="CU518" s="577">
        <f>INPUT!ER423</f>
        <v>5.521274974085884</v>
      </c>
      <c r="CV518" s="586">
        <f>INPUT!ES423</f>
        <v>15.196357476597882</v>
      </c>
      <c r="CW518" s="577">
        <f>INPUT!ET423</f>
        <v>-10.606042860337155</v>
      </c>
      <c r="CX518" s="586">
        <f>INPUT!EU423</f>
        <v>15.430437194611901</v>
      </c>
      <c r="CY518" s="577">
        <f>INPUT!EV423</f>
        <v>-0.42659190613117914</v>
      </c>
      <c r="CZ518" s="586">
        <f>INPUT!EW423</f>
        <v>15.281947357073932</v>
      </c>
      <c r="DA518" s="577">
        <f>INPUT!EX423</f>
        <v>2.0089379418894282</v>
      </c>
      <c r="DB518" s="597"/>
      <c r="DC518" s="597">
        <f>INPUT!FP423</f>
        <v>16.125923546418246</v>
      </c>
      <c r="DD518" s="577">
        <f>INPUT!FQ423</f>
        <v>17.855630296957244</v>
      </c>
      <c r="DE518" s="597">
        <f>INPUT!FR423</f>
        <v>17.186951946685376</v>
      </c>
      <c r="DF518" s="577">
        <f>INPUT!FS423</f>
        <v>6.5796442430907831</v>
      </c>
      <c r="DG518" s="597">
        <f>INPUT!FT423</f>
        <v>20.323488045007032</v>
      </c>
      <c r="DH518" s="577">
        <f>INPUT!FU423</f>
        <v>18.249519216969475</v>
      </c>
      <c r="DI518" s="597">
        <f>INPUT!FV423</f>
        <v>5.7672849915682969</v>
      </c>
      <c r="DJ518" s="577" t="str">
        <f>INPUT!FW423</f>
        <v>NM</v>
      </c>
      <c r="DK518" s="586">
        <f>INPUT!FX423</f>
        <v>14.895155459146784</v>
      </c>
      <c r="DL518" s="577" t="str">
        <f>INPUT!FY423</f>
        <v>NM</v>
      </c>
      <c r="DM518" s="586">
        <f>INPUT!FZ423</f>
        <v>15.474747474747474</v>
      </c>
      <c r="DN518" s="577">
        <f>INPUT!GA423</f>
        <v>3.8911444542512328</v>
      </c>
      <c r="DO518" s="586">
        <f>INPUT!GB423</f>
        <v>9.0980392156862742</v>
      </c>
      <c r="DP518" s="577">
        <f>INPUT!GC423</f>
        <v>-41.207187835969897</v>
      </c>
      <c r="DQ518" s="586">
        <f>INPUT!GD423</f>
        <v>5.9415079673532842</v>
      </c>
      <c r="DR518" s="577">
        <f>INPUT!GE423</f>
        <v>-34.694632255384164</v>
      </c>
      <c r="DS518" s="586">
        <f>INPUT!GF423</f>
        <v>12.055743990561863</v>
      </c>
      <c r="DT518" s="577" t="str">
        <f>INPUT!GG423</f>
        <v>NM</v>
      </c>
      <c r="DU518" s="586">
        <f>INPUT!GH423</f>
        <v>15.399574034632838</v>
      </c>
      <c r="DV518" s="577">
        <f>INPUT!GI423</f>
        <v>27.73640553987191</v>
      </c>
      <c r="DW518" s="586">
        <f>INPUT!GJ423</f>
        <v>16.100863422291994</v>
      </c>
      <c r="DX518" s="577">
        <f>INPUT!GK423</f>
        <v>4.55395315534048</v>
      </c>
      <c r="DY518" s="586">
        <f>INPUT!GL423</f>
        <v>14.31552209017509</v>
      </c>
      <c r="DZ518" s="577">
        <f>INPUT!GM423</f>
        <v>-11.08848193597531</v>
      </c>
      <c r="EA518" s="586">
        <f>INPUT!GN423</f>
        <v>15.619274459508977</v>
      </c>
      <c r="EB518" s="577">
        <f>INPUT!GO423</f>
        <v>9.1072638575205644</v>
      </c>
      <c r="EC518" s="586">
        <f>INPUT!GP423</f>
        <v>15.394006795607321</v>
      </c>
      <c r="ED518" s="577">
        <f>INPUT!GQ423</f>
        <v>-1.4422415361586332</v>
      </c>
      <c r="EE518" s="586">
        <f>INPUT!GR423</f>
        <v>15.366566540510021</v>
      </c>
      <c r="EF518" s="577">
        <f>INPUT!GS423</f>
        <v>-0.17825284516004558</v>
      </c>
      <c r="EG518" s="586">
        <f>INPUT!GT423</f>
        <v>15.238088901809219</v>
      </c>
      <c r="EH518" s="577">
        <f>INPUT!GU423</f>
        <v>-0.8360855260809501</v>
      </c>
      <c r="EI518" s="586">
        <f>INPUT!GV423</f>
        <v>15.109607715679092</v>
      </c>
      <c r="EJ518" s="577">
        <f>INPUT!GW423</f>
        <v>-0.84315813457993727</v>
      </c>
      <c r="EK518" s="586">
        <f>INPUT!GX423</f>
        <v>14.981123017242709</v>
      </c>
      <c r="EL518" s="577">
        <f>INPUT!GY423</f>
        <v>-0.85035098762395478</v>
      </c>
      <c r="EM518" s="577">
        <f>INPUT!GZ423</f>
        <v>-0.83082443396884642</v>
      </c>
    </row>
    <row r="519" spans="1:144" ht="12.75" hidden="1" customHeight="1" outlineLevel="1" x14ac:dyDescent="0.2">
      <c r="A519" s="575"/>
      <c r="B519" s="581"/>
      <c r="C519" s="577"/>
      <c r="D519" s="581"/>
      <c r="E519" s="577"/>
      <c r="F519" s="581"/>
      <c r="G519" s="577"/>
      <c r="H519" s="581"/>
      <c r="I519" s="577"/>
      <c r="J519" s="581"/>
      <c r="K519" s="577"/>
      <c r="L519" s="581"/>
      <c r="M519" s="577"/>
      <c r="N519" s="581"/>
      <c r="O519" s="577"/>
      <c r="P519" s="581"/>
      <c r="Q519" s="577"/>
      <c r="R519" s="581"/>
      <c r="S519" s="577"/>
      <c r="T519" s="581"/>
      <c r="U519" s="577"/>
      <c r="V519" s="581"/>
      <c r="W519" s="577"/>
      <c r="X519" s="581"/>
      <c r="Y519" s="577"/>
      <c r="Z519" s="581"/>
      <c r="AA519" s="577"/>
      <c r="AB519" s="581"/>
      <c r="AC519" s="577"/>
      <c r="AD519" s="581"/>
      <c r="AE519" s="577"/>
      <c r="AF519" s="581"/>
      <c r="AG519" s="577"/>
      <c r="AH519" s="581"/>
      <c r="AI519" s="577"/>
      <c r="AJ519" s="581"/>
      <c r="AK519" s="577"/>
      <c r="AL519" s="581"/>
      <c r="AM519" s="577"/>
      <c r="AN519" s="581"/>
      <c r="AO519" s="577"/>
      <c r="AP519" s="581"/>
      <c r="AQ519" s="577"/>
      <c r="AR519" s="581"/>
      <c r="AS519" s="577"/>
      <c r="AT519" s="581"/>
      <c r="AU519" s="577"/>
      <c r="AV519" s="581"/>
      <c r="AW519" s="577"/>
      <c r="AX519" s="581"/>
      <c r="AY519" s="577"/>
      <c r="AZ519" s="581"/>
      <c r="BA519" s="577"/>
      <c r="BB519" s="581"/>
      <c r="BC519" s="577"/>
      <c r="BD519" s="581"/>
      <c r="BE519" s="577"/>
      <c r="BF519" s="581"/>
      <c r="BG519" s="577"/>
      <c r="BH519" s="581"/>
      <c r="BI519" s="577"/>
      <c r="BJ519" s="581"/>
      <c r="BK519" s="577"/>
      <c r="BL519" s="581"/>
      <c r="BM519" s="577"/>
      <c r="BN519" s="581"/>
      <c r="BO519" s="577"/>
      <c r="BP519" s="581"/>
      <c r="BQ519" s="577"/>
      <c r="BR519" s="581"/>
      <c r="BS519" s="577"/>
      <c r="BT519" s="581"/>
      <c r="BU519" s="577"/>
      <c r="BV519" s="581"/>
      <c r="BW519" s="577"/>
      <c r="BX519" s="581"/>
      <c r="BY519" s="577"/>
      <c r="BZ519" s="581"/>
      <c r="CA519" s="577"/>
      <c r="CB519" s="581"/>
      <c r="CC519" s="577"/>
      <c r="CD519" s="581"/>
      <c r="CE519" s="577"/>
      <c r="CF519" s="581"/>
      <c r="CG519" s="577"/>
      <c r="CH519" s="581"/>
      <c r="CI519" s="577"/>
      <c r="CJ519" s="581"/>
      <c r="CK519" s="577"/>
      <c r="CL519" s="581"/>
      <c r="CM519" s="577"/>
      <c r="CN519" s="581"/>
      <c r="CO519" s="577"/>
      <c r="CP519" s="581"/>
      <c r="CQ519" s="577"/>
      <c r="CR519" s="581"/>
      <c r="CS519" s="577"/>
      <c r="CT519" s="581"/>
      <c r="CU519" s="577"/>
      <c r="CV519" s="581"/>
      <c r="CW519" s="577"/>
      <c r="CX519" s="581"/>
      <c r="CY519" s="577"/>
      <c r="CZ519" s="581"/>
      <c r="DA519" s="577"/>
      <c r="DB519" s="581"/>
      <c r="DC519" s="581"/>
      <c r="DD519" s="577"/>
      <c r="DE519" s="581"/>
      <c r="DF519" s="577"/>
      <c r="DG519" s="581"/>
      <c r="DH519" s="577"/>
      <c r="DI519" s="581"/>
      <c r="DJ519" s="577"/>
      <c r="DK519" s="581"/>
      <c r="DL519" s="577"/>
      <c r="DM519" s="581"/>
      <c r="DN519" s="577"/>
      <c r="DO519" s="581"/>
      <c r="DP519" s="577"/>
      <c r="DQ519" s="581"/>
      <c r="DR519" s="577"/>
      <c r="DS519" s="581"/>
      <c r="DT519" s="577"/>
      <c r="DU519" s="581"/>
      <c r="DV519" s="577"/>
      <c r="DW519" s="581"/>
      <c r="DX519" s="577"/>
      <c r="DY519" s="581"/>
      <c r="DZ519" s="577"/>
      <c r="EA519" s="581"/>
      <c r="EB519" s="577"/>
      <c r="EC519" s="581"/>
      <c r="ED519" s="577"/>
      <c r="EE519" s="581"/>
      <c r="EF519" s="577"/>
      <c r="EG519" s="581"/>
      <c r="EH519" s="577"/>
      <c r="EI519" s="581"/>
      <c r="EJ519" s="577"/>
      <c r="EK519" s="581"/>
      <c r="EL519" s="577"/>
      <c r="EM519" s="577"/>
    </row>
    <row r="520" spans="1:144" ht="12.75" hidden="1" customHeight="1" outlineLevel="1" x14ac:dyDescent="0.2">
      <c r="A520" s="575" t="s">
        <v>498</v>
      </c>
      <c r="B520" s="581"/>
      <c r="C520" s="577"/>
      <c r="D520" s="581"/>
      <c r="E520" s="577"/>
      <c r="F520" s="581"/>
      <c r="G520" s="577"/>
      <c r="H520" s="581"/>
      <c r="I520" s="577"/>
      <c r="J520" s="581"/>
      <c r="K520" s="577"/>
      <c r="L520" s="581"/>
      <c r="M520" s="577"/>
      <c r="N520" s="581"/>
      <c r="O520" s="577"/>
      <c r="P520" s="581"/>
      <c r="Q520" s="577"/>
      <c r="R520" s="581"/>
      <c r="S520" s="577"/>
      <c r="T520" s="581"/>
      <c r="U520" s="577"/>
      <c r="V520" s="581"/>
      <c r="W520" s="577"/>
      <c r="X520" s="581"/>
      <c r="Y520" s="577"/>
      <c r="Z520" s="581"/>
      <c r="AA520" s="577"/>
      <c r="AB520" s="581"/>
      <c r="AC520" s="577"/>
      <c r="AD520" s="581"/>
      <c r="AE520" s="577"/>
      <c r="AF520" s="581"/>
      <c r="AG520" s="577"/>
      <c r="AH520" s="581"/>
      <c r="AI520" s="577"/>
      <c r="AJ520" s="581"/>
      <c r="AK520" s="577"/>
      <c r="AL520" s="581"/>
      <c r="AM520" s="577"/>
      <c r="AN520" s="581"/>
      <c r="AO520" s="577"/>
      <c r="AP520" s="581"/>
      <c r="AQ520" s="577"/>
      <c r="AR520" s="581"/>
      <c r="AS520" s="577"/>
      <c r="AT520" s="581"/>
      <c r="AU520" s="577"/>
      <c r="AV520" s="581"/>
      <c r="AW520" s="577"/>
      <c r="AX520" s="581"/>
      <c r="AY520" s="577"/>
      <c r="AZ520" s="581"/>
      <c r="BA520" s="577"/>
      <c r="BB520" s="581"/>
      <c r="BC520" s="577"/>
      <c r="BD520" s="581"/>
      <c r="BE520" s="577"/>
      <c r="BF520" s="581"/>
      <c r="BG520" s="577"/>
      <c r="BH520" s="581"/>
      <c r="BI520" s="577"/>
      <c r="BJ520" s="581"/>
      <c r="BK520" s="577"/>
      <c r="BL520" s="581"/>
      <c r="BM520" s="577"/>
      <c r="BN520" s="581"/>
      <c r="BO520" s="577"/>
      <c r="BP520" s="581"/>
      <c r="BQ520" s="577"/>
      <c r="BR520" s="581"/>
      <c r="BS520" s="577"/>
      <c r="BT520" s="581"/>
      <c r="BU520" s="577"/>
      <c r="BV520" s="581"/>
      <c r="BW520" s="577"/>
      <c r="BX520" s="581"/>
      <c r="BY520" s="577"/>
      <c r="BZ520" s="581"/>
      <c r="CA520" s="577"/>
      <c r="CB520" s="581"/>
      <c r="CC520" s="577"/>
      <c r="CD520" s="581"/>
      <c r="CE520" s="577"/>
      <c r="CF520" s="581"/>
      <c r="CG520" s="577"/>
      <c r="CH520" s="581"/>
      <c r="CI520" s="577"/>
      <c r="CJ520" s="581"/>
      <c r="CK520" s="577"/>
      <c r="CL520" s="581"/>
      <c r="CM520" s="577"/>
      <c r="CN520" s="581"/>
      <c r="CO520" s="577"/>
      <c r="CP520" s="581"/>
      <c r="CQ520" s="577"/>
      <c r="CR520" s="581"/>
      <c r="CS520" s="577"/>
      <c r="CT520" s="581"/>
      <c r="CU520" s="577"/>
      <c r="CV520" s="581"/>
      <c r="CW520" s="577"/>
      <c r="CX520" s="581"/>
      <c r="CY520" s="577"/>
      <c r="CZ520" s="581"/>
      <c r="DA520" s="577"/>
      <c r="DB520" s="581"/>
      <c r="DC520" s="581"/>
      <c r="DD520" s="577"/>
      <c r="DE520" s="581"/>
      <c r="DF520" s="577"/>
      <c r="DG520" s="581"/>
      <c r="DH520" s="577"/>
      <c r="DI520" s="581"/>
      <c r="DJ520" s="577"/>
      <c r="DK520" s="581"/>
      <c r="DL520" s="577"/>
      <c r="DM520" s="581"/>
      <c r="DN520" s="577"/>
      <c r="DO520" s="581"/>
      <c r="DP520" s="577"/>
      <c r="DQ520" s="581"/>
      <c r="DR520" s="577"/>
      <c r="DS520" s="581"/>
      <c r="DT520" s="577"/>
      <c r="DU520" s="581"/>
      <c r="DV520" s="577"/>
      <c r="DW520" s="581"/>
      <c r="DX520" s="577"/>
      <c r="DY520" s="581"/>
      <c r="DZ520" s="577"/>
      <c r="EA520" s="581"/>
      <c r="EB520" s="577"/>
      <c r="EC520" s="581"/>
      <c r="ED520" s="577"/>
      <c r="EE520" s="581"/>
      <c r="EF520" s="577"/>
      <c r="EG520" s="581"/>
      <c r="EH520" s="577"/>
      <c r="EI520" s="581"/>
      <c r="EJ520" s="577"/>
      <c r="EK520" s="581"/>
      <c r="EL520" s="577"/>
      <c r="EM520" s="577"/>
    </row>
    <row r="521" spans="1:144" ht="12.75" hidden="1" customHeight="1" outlineLevel="1" x14ac:dyDescent="0.2">
      <c r="A521" s="579" t="s">
        <v>68</v>
      </c>
      <c r="B521" s="586">
        <f>INPUT!AY600</f>
        <v>24.033437826541274</v>
      </c>
      <c r="C521" s="577">
        <f>INPUT!AZ600</f>
        <v>6.3339894534762351</v>
      </c>
      <c r="D521" s="586">
        <f>INPUT!BA600</f>
        <v>24.229543039319871</v>
      </c>
      <c r="E521" s="577">
        <f>INPUT!BB600</f>
        <v>6.7159108726328753</v>
      </c>
      <c r="F521" s="586">
        <f>INPUT!BC600</f>
        <v>25.132555673382821</v>
      </c>
      <c r="G521" s="577">
        <f>INPUT!BD600</f>
        <v>6.3580616902577418</v>
      </c>
      <c r="H521" s="586">
        <f>INPUT!BE600</f>
        <v>23.868312757201647</v>
      </c>
      <c r="I521" s="577">
        <f>INPUT!BF600</f>
        <v>9.4449463013148431</v>
      </c>
      <c r="J521" s="586">
        <f>INPUT!BG600</f>
        <v>25.628810975609756</v>
      </c>
      <c r="K521" s="577">
        <f>INPUT!BH600</f>
        <v>6.6381395811240651</v>
      </c>
      <c r="L521" s="586">
        <f>INPUT!BI600</f>
        <v>23.083941605839417</v>
      </c>
      <c r="M521" s="577">
        <f>INPUT!BJ600</f>
        <v>-4.7281181969522237</v>
      </c>
      <c r="N521" s="586">
        <f>INPUT!BK600</f>
        <v>24.351145038167939</v>
      </c>
      <c r="O521" s="577">
        <f>INPUT!BL600</f>
        <v>-3.1091570844204028</v>
      </c>
      <c r="P521" s="586">
        <f>INPUT!BM600</f>
        <v>23.93526405451448</v>
      </c>
      <c r="Q521" s="577">
        <f>INPUT!BN600</f>
        <v>0.2805028490865169</v>
      </c>
      <c r="R521" s="586">
        <f>INPUT!BO600</f>
        <v>30.254777070063692</v>
      </c>
      <c r="S521" s="577">
        <f>INPUT!BP600</f>
        <v>18.049866218360052</v>
      </c>
      <c r="T521" s="586">
        <f>INPUT!BQ600</f>
        <v>26.629422718808193</v>
      </c>
      <c r="U521" s="577">
        <f>INPUT!BR600</f>
        <v>15.359080236418095</v>
      </c>
      <c r="V521" s="586">
        <f>INPUT!BS600</f>
        <v>30.520833333333336</v>
      </c>
      <c r="W521" s="577">
        <f>INPUT!BT600</f>
        <v>25.336337513061665</v>
      </c>
      <c r="X521" s="586">
        <f>INPUT!BU600</f>
        <v>45.391304347826086</v>
      </c>
      <c r="Y521" s="577">
        <f>INPUT!BV600</f>
        <v>89.641961937180895</v>
      </c>
      <c r="Z521" s="586">
        <f>INPUT!BW600</f>
        <v>48.613376835236544</v>
      </c>
      <c r="AA521" s="577">
        <f>INPUT!BX600</f>
        <v>60.680003434360799</v>
      </c>
      <c r="AB521" s="586">
        <f>INPUT!BY600</f>
        <v>45.098039215686278</v>
      </c>
      <c r="AC521" s="577">
        <f>INPUT!BZ600</f>
        <v>69.354175236528192</v>
      </c>
      <c r="AD521" s="586">
        <f>INPUT!CA600</f>
        <v>35.32934131736527</v>
      </c>
      <c r="AE521" s="577">
        <f>INPUT!CB600</f>
        <v>15.75483844597494</v>
      </c>
      <c r="AF521" s="586">
        <f>INPUT!CC600</f>
        <v>44.023323615160351</v>
      </c>
      <c r="AG521" s="577">
        <f>INPUT!CD600</f>
        <v>-3.0137506562559366</v>
      </c>
      <c r="AH521" s="586">
        <f>INPUT!CE600</f>
        <v>39.365918097754296</v>
      </c>
      <c r="AI521" s="577">
        <f>INPUT!CF600</f>
        <v>-19.022457067371207</v>
      </c>
      <c r="AJ521" s="586">
        <f>INPUT!CG600</f>
        <v>32.675709001233045</v>
      </c>
      <c r="AK521" s="577">
        <f>INPUT!CH600</f>
        <v>-27.545166997265852</v>
      </c>
      <c r="AL521" s="586">
        <f>INPUT!CI600</f>
        <v>39.205298013245034</v>
      </c>
      <c r="AM521" s="577">
        <f>INPUT!CJ600</f>
        <v>10.970928274778331</v>
      </c>
      <c r="AN521" s="586">
        <f>INPUT!CK600</f>
        <v>33.256880733944953</v>
      </c>
      <c r="AO521" s="577">
        <f>INPUT!CL600</f>
        <v>-24.456224557992584</v>
      </c>
      <c r="AP521" s="586">
        <f>INPUT!CM600</f>
        <v>33.536906391492053</v>
      </c>
      <c r="AQ521" s="577">
        <f>INPUT!CN600</f>
        <v>-14.807254569263478</v>
      </c>
      <c r="AR521" s="586">
        <f>INPUT!CO600</f>
        <v>27.963800904977376</v>
      </c>
      <c r="AS521" s="577">
        <f>INPUT!CP600</f>
        <v>-14.420216853069235</v>
      </c>
      <c r="AT521" s="586">
        <f>INPUT!CQ600</f>
        <v>33.672431332655137</v>
      </c>
      <c r="AU521" s="577">
        <f>INPUT!CR600</f>
        <v>-14.11254845893707</v>
      </c>
      <c r="AV521" s="586">
        <f>INPUT!CS600</f>
        <v>30.674846625766872</v>
      </c>
      <c r="AW521" s="577">
        <f>INPUT!CT600</f>
        <v>-7.7639094563147921</v>
      </c>
      <c r="AX521" s="586">
        <f>INPUT!CU600</f>
        <v>41.163793103448278</v>
      </c>
      <c r="AY521" s="577">
        <f>INPUT!CV600</f>
        <v>22.741771775022983</v>
      </c>
      <c r="AZ521" s="586">
        <f>INPUT!CW600</f>
        <v>33.938294010889294</v>
      </c>
      <c r="BA521" s="577">
        <f>INPUT!CX600</f>
        <v>21.365096705607328</v>
      </c>
      <c r="BB521" s="586">
        <f>INPUT!CY600</f>
        <v>31.42375737152485</v>
      </c>
      <c r="BC521" s="577">
        <f>INPUT!CZ600</f>
        <v>-6.6780861141724159</v>
      </c>
      <c r="BD521" s="586">
        <f>INPUT!DA600</f>
        <v>29.328621908127207</v>
      </c>
      <c r="BE521" s="577">
        <f>INPUT!DB600</f>
        <v>-4.3886925795053031</v>
      </c>
      <c r="BF521" s="586">
        <f>INPUT!DC600</f>
        <v>30.758017492711371</v>
      </c>
      <c r="BG521" s="577">
        <f>INPUT!DD600</f>
        <v>-25.278952269015306</v>
      </c>
      <c r="BH521" s="586">
        <f>INPUT!DE600</f>
        <v>26.841721371261851</v>
      </c>
      <c r="BI521" s="577">
        <f>INPUT!DF600</f>
        <v>-20.910222055800645</v>
      </c>
      <c r="BJ521" s="586">
        <f>INPUT!DG600</f>
        <v>26.732673267326735</v>
      </c>
      <c r="BK521" s="577">
        <f>INPUT!DH600</f>
        <v>-14.928463355718932</v>
      </c>
      <c r="BL521" s="586">
        <f>INPUT!DI600</f>
        <v>25.865580448065174</v>
      </c>
      <c r="BM521" s="577">
        <f>INPUT!DJ600</f>
        <v>-11.807719677078993</v>
      </c>
      <c r="BN521" s="586">
        <f>INPUT!DK600</f>
        <v>26.918316831683171</v>
      </c>
      <c r="BO521" s="577">
        <f>INPUT!DL600</f>
        <v>-12.483576556707803</v>
      </c>
      <c r="BP521" s="586">
        <f>INPUT!DM600</f>
        <v>23.363914373088683</v>
      </c>
      <c r="BQ521" s="577">
        <f>INPUT!DN600</f>
        <v>-12.956721180694061</v>
      </c>
      <c r="BR521" s="586">
        <f>INPUT!DO600</f>
        <v>24.85911083281152</v>
      </c>
      <c r="BS521" s="577">
        <f>INPUT!DP600</f>
        <v>-7.0085113291124657</v>
      </c>
      <c r="BT521" s="586">
        <f>INPUT!DQ600</f>
        <v>25.534759358288774</v>
      </c>
      <c r="BU521" s="577">
        <f>INPUT!DR600</f>
        <v>-1.2790012211040391</v>
      </c>
      <c r="BV521" s="586">
        <f>INPUT!DS600</f>
        <v>26.63834951456311</v>
      </c>
      <c r="BW521" s="577">
        <f>INPUT!DT600</f>
        <v>-1.0400624930253315</v>
      </c>
      <c r="BX521" s="586">
        <f>INPUT!DU600</f>
        <v>23.931623931623932</v>
      </c>
      <c r="BY521" s="577">
        <f>INPUT!DV600</f>
        <v>2.4298563565579485</v>
      </c>
      <c r="BZ521" s="586">
        <f>INPUT!DW600</f>
        <v>25.727213962508078</v>
      </c>
      <c r="CA521" s="577">
        <f>INPUT!DX600</f>
        <v>3.4920924386030237</v>
      </c>
      <c r="CB521" s="586">
        <f>INPUT!DY600</f>
        <v>28.795606120047079</v>
      </c>
      <c r="CC521" s="577">
        <f>INPUT!DZ600</f>
        <v>12.77022710887546</v>
      </c>
      <c r="CD521" s="586">
        <f>INPUT!EA600</f>
        <v>28.812368236120872</v>
      </c>
      <c r="CE521" s="577">
        <f>INPUT!EB600</f>
        <v>8.1612365674879044</v>
      </c>
      <c r="CF521" s="586">
        <f>INPUT!EC600</f>
        <v>22.989276139410187</v>
      </c>
      <c r="CG521" s="577">
        <f>INPUT!ED600</f>
        <v>-3.9376675603217279</v>
      </c>
      <c r="CH521" s="586">
        <f>INPUT!EE600</f>
        <v>26.909841706813491</v>
      </c>
      <c r="CI521" s="577">
        <f>INPUT!EF600</f>
        <v>4.5967967850263136</v>
      </c>
      <c r="CJ521" s="586">
        <f>INPUT!EG600</f>
        <v>27.449617790132034</v>
      </c>
      <c r="CK521" s="577">
        <f>INPUT!EH600</f>
        <v>-4.6742837233698253</v>
      </c>
      <c r="CL521" s="586">
        <f>INPUT!EI600</f>
        <v>24.876531918785442</v>
      </c>
      <c r="CM521" s="577">
        <f>INPUT!EJ600</f>
        <v>-13.660231901386126</v>
      </c>
      <c r="CN521" s="586">
        <f>INPUT!EK600</f>
        <v>22.048997772828507</v>
      </c>
      <c r="CO521" s="577">
        <f>INPUT!EL600</f>
        <v>-4.0900738278130291</v>
      </c>
      <c r="CP521" s="586">
        <f>INPUT!EM600</f>
        <v>21.486175115207374</v>
      </c>
      <c r="CQ521" s="577">
        <f>INPUT!EN600</f>
        <v>-20.154955390290766</v>
      </c>
      <c r="CR521" s="586">
        <f>INPUT!EO600</f>
        <v>24.426020408163264</v>
      </c>
      <c r="CS521" s="577">
        <f>INPUT!EP600</f>
        <v>-11.015080082665975</v>
      </c>
      <c r="CT521" s="586">
        <f>INPUT!EQ600</f>
        <v>25.324446586154014</v>
      </c>
      <c r="CU521" s="577">
        <f>INPUT!ER600</f>
        <v>1.8005510930176456</v>
      </c>
      <c r="CV521" s="586">
        <f>INPUT!ES600</f>
        <v>23.388183712345938</v>
      </c>
      <c r="CW521" s="577">
        <f>INPUT!ET600</f>
        <v>6.0736816852861182</v>
      </c>
      <c r="CX521" s="586">
        <f>INPUT!EU600</f>
        <v>22.893795557318658</v>
      </c>
      <c r="CY521" s="577">
        <f>INPUT!EV600</f>
        <v>6.5512844169039965</v>
      </c>
      <c r="CZ521" s="586">
        <f>INPUT!EW600</f>
        <v>25.902038064341383</v>
      </c>
      <c r="DA521" s="577">
        <f>INPUT!EX600</f>
        <v>6.0428085767292146</v>
      </c>
      <c r="DB521" s="586"/>
      <c r="DC521" s="586">
        <f>INPUT!FP600</f>
        <v>22.552190532196413</v>
      </c>
      <c r="DD521" s="577">
        <f>INPUT!FQ600</f>
        <v>15.762194747015812</v>
      </c>
      <c r="DE521" s="586">
        <f>INPUT!FR600</f>
        <v>24.426877470355731</v>
      </c>
      <c r="DF521" s="577">
        <f>INPUT!FS600</f>
        <v>8.3126600738981011</v>
      </c>
      <c r="DG521" s="586">
        <f>INPUT!FT600</f>
        <v>24.36693741041567</v>
      </c>
      <c r="DH521" s="577">
        <f>INPUT!FU600</f>
        <v>-0.24538568227889357</v>
      </c>
      <c r="DI521" s="586">
        <f>INPUT!FV600</f>
        <v>30.726600985221676</v>
      </c>
      <c r="DJ521" s="577">
        <f>INPUT!FW600</f>
        <v>26.099560513860737</v>
      </c>
      <c r="DK521" s="586">
        <f>INPUT!FX600</f>
        <v>41.291585127201564</v>
      </c>
      <c r="DL521" s="577">
        <f>INPUT!FY600</f>
        <v>34.383836165481654</v>
      </c>
      <c r="DM521" s="586">
        <f>INPUT!FZ600</f>
        <v>35.962441314553992</v>
      </c>
      <c r="DN521" s="577">
        <f>INPUT!GA600</f>
        <v>-12.906125536791038</v>
      </c>
      <c r="DO521" s="586">
        <f>INPUT!GB600</f>
        <v>31.339492491969022</v>
      </c>
      <c r="DP521" s="577">
        <f>INPUT!GC600</f>
        <v>-12.854936021026091</v>
      </c>
      <c r="DQ521" s="586">
        <f>INPUT!GD600</f>
        <v>33.593929638997473</v>
      </c>
      <c r="DR521" s="577">
        <f>INPUT!GE600</f>
        <v>7.1935981337482247</v>
      </c>
      <c r="DS521" s="586">
        <f>INPUT!GF600</f>
        <v>27.499563775955334</v>
      </c>
      <c r="DT521" s="577">
        <f>INPUT!GG600</f>
        <v>-18.14127114193721</v>
      </c>
      <c r="DU521" s="586">
        <f>INPUT!GH600</f>
        <v>25.15762925598991</v>
      </c>
      <c r="DV521" s="577">
        <f>INPUT!GI600</f>
        <v>-8.5162606179707154</v>
      </c>
      <c r="DW521" s="586">
        <f>INPUT!GJ600</f>
        <v>26.131805157593124</v>
      </c>
      <c r="DX521" s="577">
        <f>INPUT!GK600</f>
        <v>3.8722881702824452</v>
      </c>
      <c r="DY521" s="586">
        <f>INPUT!GL600</f>
        <v>26.50249698639573</v>
      </c>
      <c r="DZ521" s="577">
        <f>INPUT!GM600</f>
        <v>1.4185465817117233</v>
      </c>
      <c r="EA521" s="586">
        <f>INPUT!GN600</f>
        <v>23.145057194997108</v>
      </c>
      <c r="EB521" s="577">
        <f>INPUT!GO600</f>
        <v>-12.668390427973875</v>
      </c>
      <c r="EC521" s="586">
        <f>INPUT!GP600</f>
        <v>24.33756069966153</v>
      </c>
      <c r="ED521" s="577">
        <f>INPUT!GQ600</f>
        <v>5.1523031229414613</v>
      </c>
      <c r="EE521" s="586">
        <f>INPUT!GR600</f>
        <v>24.997968236359121</v>
      </c>
      <c r="EF521" s="577">
        <f>INPUT!GS600</f>
        <v>2.7135321606276364</v>
      </c>
      <c r="EG521" s="586">
        <f>INPUT!GT600</f>
        <v>25.720546733679988</v>
      </c>
      <c r="EH521" s="577">
        <f>INPUT!GU600</f>
        <v>2.8905489057702312</v>
      </c>
      <c r="EI521" s="586">
        <f>INPUT!GV600</f>
        <v>26.435477762245707</v>
      </c>
      <c r="EJ521" s="577">
        <f>INPUT!GW600</f>
        <v>2.7796105423744564</v>
      </c>
      <c r="EK521" s="586">
        <f>INPUT!GX600</f>
        <v>27.212698438262095</v>
      </c>
      <c r="EL521" s="577">
        <f>INPUT!GY600</f>
        <v>2.9400666899479688</v>
      </c>
      <c r="EM521" s="577">
        <f>INPUT!GZ600</f>
        <v>3.2910447405585241</v>
      </c>
    </row>
    <row r="522" spans="1:144" ht="12.75" hidden="1" customHeight="1" outlineLevel="1" x14ac:dyDescent="0.2">
      <c r="A522" s="579"/>
      <c r="B522" s="586"/>
      <c r="C522" s="577"/>
      <c r="D522" s="586"/>
      <c r="E522" s="577"/>
      <c r="F522" s="586"/>
      <c r="G522" s="577"/>
      <c r="H522" s="586"/>
      <c r="I522" s="577"/>
      <c r="J522" s="586"/>
      <c r="K522" s="577"/>
      <c r="L522" s="586"/>
      <c r="M522" s="577"/>
      <c r="N522" s="586"/>
      <c r="O522" s="577"/>
      <c r="P522" s="586"/>
      <c r="Q522" s="577"/>
      <c r="R522" s="586"/>
      <c r="S522" s="577"/>
      <c r="T522" s="586"/>
      <c r="U522" s="577"/>
      <c r="V522" s="586"/>
      <c r="W522" s="577"/>
      <c r="X522" s="586"/>
      <c r="Y522" s="577"/>
      <c r="Z522" s="586"/>
      <c r="AA522" s="577"/>
      <c r="AB522" s="586"/>
      <c r="AC522" s="577"/>
      <c r="AD522" s="586"/>
      <c r="AE522" s="577"/>
      <c r="AF522" s="586"/>
      <c r="AG522" s="577"/>
      <c r="AH522" s="586"/>
      <c r="AI522" s="577"/>
      <c r="AJ522" s="586"/>
      <c r="AK522" s="577"/>
      <c r="AL522" s="586"/>
      <c r="AM522" s="577"/>
      <c r="AN522" s="586"/>
      <c r="AO522" s="577"/>
      <c r="AP522" s="586"/>
      <c r="AQ522" s="577"/>
      <c r="AR522" s="586"/>
      <c r="AS522" s="577"/>
      <c r="AT522" s="586"/>
      <c r="AU522" s="577"/>
      <c r="AV522" s="586"/>
      <c r="AW522" s="577"/>
      <c r="AX522" s="586"/>
      <c r="AY522" s="577"/>
      <c r="AZ522" s="586"/>
      <c r="BA522" s="577"/>
      <c r="BB522" s="586"/>
      <c r="BC522" s="577"/>
      <c r="BD522" s="586"/>
      <c r="BE522" s="577"/>
      <c r="BF522" s="586"/>
      <c r="BG522" s="577"/>
      <c r="BH522" s="586"/>
      <c r="BI522" s="577"/>
      <c r="BJ522" s="586"/>
      <c r="BK522" s="577"/>
      <c r="BL522" s="586"/>
      <c r="BM522" s="577"/>
      <c r="BN522" s="586"/>
      <c r="BO522" s="577"/>
      <c r="BP522" s="586"/>
      <c r="BQ522" s="577"/>
      <c r="BR522" s="586"/>
      <c r="BS522" s="577"/>
      <c r="BT522" s="586"/>
      <c r="BU522" s="577"/>
      <c r="BV522" s="586"/>
      <c r="BW522" s="577"/>
      <c r="BX522" s="586"/>
      <c r="BY522" s="577"/>
      <c r="BZ522" s="586"/>
      <c r="CA522" s="577"/>
      <c r="CB522" s="586"/>
      <c r="CC522" s="577"/>
      <c r="CD522" s="586"/>
      <c r="CE522" s="577"/>
      <c r="CF522" s="586"/>
      <c r="CG522" s="577"/>
      <c r="CH522" s="586"/>
      <c r="CI522" s="577"/>
      <c r="CJ522" s="586"/>
      <c r="CK522" s="577"/>
      <c r="CL522" s="586"/>
      <c r="CM522" s="577"/>
      <c r="CN522" s="586"/>
      <c r="CO522" s="577"/>
      <c r="CP522" s="586"/>
      <c r="CQ522" s="577"/>
      <c r="CR522" s="586"/>
      <c r="CS522" s="577"/>
      <c r="CT522" s="586"/>
      <c r="CU522" s="577"/>
      <c r="CV522" s="586"/>
      <c r="CW522" s="577"/>
      <c r="CX522" s="586"/>
      <c r="CY522" s="577"/>
      <c r="CZ522" s="586"/>
      <c r="DA522" s="577"/>
      <c r="DB522" s="586"/>
      <c r="DC522" s="586"/>
      <c r="DD522" s="577"/>
      <c r="DE522" s="586"/>
      <c r="DF522" s="577"/>
      <c r="DG522" s="586"/>
      <c r="DH522" s="577"/>
      <c r="DI522" s="586"/>
      <c r="DJ522" s="577"/>
      <c r="DK522" s="586"/>
      <c r="DL522" s="577"/>
      <c r="DM522" s="586"/>
      <c r="DN522" s="577"/>
      <c r="DO522" s="586"/>
      <c r="DP522" s="577"/>
      <c r="DQ522" s="586"/>
      <c r="DR522" s="577"/>
      <c r="DS522" s="586"/>
      <c r="DT522" s="577"/>
      <c r="DU522" s="586"/>
      <c r="DV522" s="577"/>
      <c r="DW522" s="586"/>
      <c r="DX522" s="577"/>
      <c r="DY522" s="586"/>
      <c r="DZ522" s="577"/>
      <c r="EA522" s="586"/>
      <c r="EB522" s="577"/>
      <c r="EC522" s="586"/>
      <c r="ED522" s="577"/>
      <c r="EE522" s="586"/>
      <c r="EF522" s="577"/>
      <c r="EG522" s="586"/>
      <c r="EH522" s="577"/>
      <c r="EI522" s="586"/>
      <c r="EJ522" s="577"/>
      <c r="EK522" s="586"/>
      <c r="EL522" s="577"/>
      <c r="EM522" s="577"/>
    </row>
    <row r="523" spans="1:144" ht="12.75" hidden="1" customHeight="1" outlineLevel="1" x14ac:dyDescent="0.2">
      <c r="A523" s="575" t="s">
        <v>193</v>
      </c>
      <c r="B523" s="586"/>
      <c r="C523" s="577"/>
      <c r="D523" s="586"/>
      <c r="E523" s="577"/>
      <c r="F523" s="586"/>
      <c r="G523" s="577"/>
      <c r="H523" s="586"/>
      <c r="I523" s="577"/>
      <c r="J523" s="586"/>
      <c r="K523" s="577"/>
      <c r="L523" s="586"/>
      <c r="M523" s="577"/>
      <c r="N523" s="586"/>
      <c r="O523" s="577"/>
      <c r="P523" s="586"/>
      <c r="Q523" s="577"/>
      <c r="R523" s="586"/>
      <c r="S523" s="577"/>
      <c r="T523" s="586"/>
      <c r="U523" s="577"/>
      <c r="V523" s="586"/>
      <c r="W523" s="577"/>
      <c r="X523" s="586"/>
      <c r="Y523" s="577"/>
      <c r="Z523" s="586"/>
      <c r="AA523" s="577"/>
      <c r="AB523" s="586"/>
      <c r="AC523" s="577"/>
      <c r="AD523" s="586"/>
      <c r="AE523" s="577"/>
      <c r="AF523" s="586"/>
      <c r="AG523" s="577"/>
      <c r="AH523" s="586"/>
      <c r="AI523" s="577"/>
      <c r="AJ523" s="586"/>
      <c r="AK523" s="577"/>
      <c r="AL523" s="586"/>
      <c r="AM523" s="577"/>
      <c r="AN523" s="586"/>
      <c r="AO523" s="577"/>
      <c r="AP523" s="586"/>
      <c r="AQ523" s="577"/>
      <c r="AR523" s="586"/>
      <c r="AS523" s="577"/>
      <c r="AT523" s="586"/>
      <c r="AU523" s="577"/>
      <c r="AV523" s="586"/>
      <c r="AW523" s="577"/>
      <c r="AX523" s="586"/>
      <c r="AY523" s="577"/>
      <c r="AZ523" s="586"/>
      <c r="BA523" s="577"/>
      <c r="BB523" s="586"/>
      <c r="BC523" s="577"/>
      <c r="BD523" s="586"/>
      <c r="BE523" s="577"/>
      <c r="BF523" s="586"/>
      <c r="BG523" s="577"/>
      <c r="BH523" s="586"/>
      <c r="BI523" s="577"/>
      <c r="BJ523" s="586"/>
      <c r="BK523" s="577"/>
      <c r="BL523" s="586"/>
      <c r="BM523" s="577"/>
      <c r="BN523" s="586"/>
      <c r="BO523" s="577"/>
      <c r="BP523" s="586"/>
      <c r="BQ523" s="577"/>
      <c r="BR523" s="586"/>
      <c r="BS523" s="577"/>
      <c r="BT523" s="586"/>
      <c r="BU523" s="577"/>
      <c r="BV523" s="586"/>
      <c r="BW523" s="577"/>
      <c r="BX523" s="586"/>
      <c r="BY523" s="577"/>
      <c r="BZ523" s="586"/>
      <c r="CA523" s="577"/>
      <c r="CB523" s="586"/>
      <c r="CC523" s="577"/>
      <c r="CD523" s="586"/>
      <c r="CE523" s="577"/>
      <c r="CF523" s="586"/>
      <c r="CG523" s="577"/>
      <c r="CH523" s="586"/>
      <c r="CI523" s="577"/>
      <c r="CJ523" s="586"/>
      <c r="CK523" s="577"/>
      <c r="CL523" s="586"/>
      <c r="CM523" s="577"/>
      <c r="CN523" s="586"/>
      <c r="CO523" s="577"/>
      <c r="CP523" s="586"/>
      <c r="CQ523" s="577"/>
      <c r="CR523" s="586"/>
      <c r="CS523" s="577"/>
      <c r="CT523" s="586"/>
      <c r="CU523" s="577"/>
      <c r="CV523" s="586"/>
      <c r="CW523" s="577"/>
      <c r="CX523" s="586"/>
      <c r="CY523" s="577"/>
      <c r="CZ523" s="586"/>
      <c r="DA523" s="577"/>
      <c r="DB523" s="586"/>
      <c r="DC523" s="586"/>
      <c r="DD523" s="577"/>
      <c r="DE523" s="586"/>
      <c r="DF523" s="577"/>
      <c r="DG523" s="586"/>
      <c r="DH523" s="577"/>
      <c r="DI523" s="586"/>
      <c r="DJ523" s="577"/>
      <c r="DK523" s="586"/>
      <c r="DL523" s="577"/>
      <c r="DM523" s="586"/>
      <c r="DN523" s="577"/>
      <c r="DO523" s="586"/>
      <c r="DP523" s="577"/>
      <c r="DQ523" s="586"/>
      <c r="DR523" s="577"/>
      <c r="DS523" s="586"/>
      <c r="DT523" s="577"/>
      <c r="DU523" s="586"/>
      <c r="DV523" s="577"/>
      <c r="DW523" s="586"/>
      <c r="DX523" s="577"/>
      <c r="DY523" s="586"/>
      <c r="DZ523" s="577"/>
      <c r="EA523" s="586"/>
      <c r="EB523" s="577"/>
      <c r="EC523" s="586"/>
      <c r="ED523" s="577"/>
      <c r="EE523" s="586"/>
      <c r="EF523" s="577"/>
      <c r="EG523" s="586"/>
      <c r="EH523" s="577"/>
      <c r="EI523" s="586"/>
      <c r="EJ523" s="577"/>
      <c r="EK523" s="586"/>
      <c r="EL523" s="577"/>
      <c r="EM523" s="577"/>
    </row>
    <row r="524" spans="1:144" ht="12.75" hidden="1" customHeight="1" outlineLevel="1" x14ac:dyDescent="0.2">
      <c r="A524" s="609" t="str">
        <f>INPUT!B434</f>
        <v>Non-Bank Sales</v>
      </c>
      <c r="B524" s="586">
        <f>INPUT!AY434</f>
        <v>73</v>
      </c>
      <c r="C524" s="577">
        <f>INPUT!AZ434</f>
        <v>2.816901408450704</v>
      </c>
      <c r="D524" s="586">
        <f>INPUT!BA434</f>
        <v>115</v>
      </c>
      <c r="E524" s="577">
        <f>INPUT!BB434</f>
        <v>19.791666666666671</v>
      </c>
      <c r="F524" s="586">
        <f>INPUT!BC434</f>
        <v>71</v>
      </c>
      <c r="G524" s="577">
        <f>INPUT!BD434</f>
        <v>-13.41463414634147</v>
      </c>
      <c r="H524" s="586">
        <f>INPUT!BE434</f>
        <v>68</v>
      </c>
      <c r="I524" s="577">
        <f>INPUT!BF434</f>
        <v>-8.1081081081080981</v>
      </c>
      <c r="J524" s="586">
        <f>INPUT!BG434</f>
        <v>67</v>
      </c>
      <c r="K524" s="577">
        <f>INPUT!BH434</f>
        <v>-8.2191780821917746</v>
      </c>
      <c r="L524" s="586">
        <f>INPUT!BI434</f>
        <v>85</v>
      </c>
      <c r="M524" s="577">
        <f>INPUT!BJ434</f>
        <v>-26.08695652173914</v>
      </c>
      <c r="N524" s="586">
        <f>INPUT!BK434</f>
        <v>82</v>
      </c>
      <c r="O524" s="577">
        <f>INPUT!BL434</f>
        <v>15.492957746478879</v>
      </c>
      <c r="P524" s="586">
        <f>INPUT!BM434</f>
        <v>86</v>
      </c>
      <c r="Q524" s="577">
        <f>INPUT!BN434</f>
        <v>26.470588235294116</v>
      </c>
      <c r="R524" s="586">
        <f>INPUT!BO434</f>
        <v>88</v>
      </c>
      <c r="S524" s="577">
        <f>INPUT!BP434</f>
        <v>31.343283582089555</v>
      </c>
      <c r="T524" s="586">
        <f>INPUT!BQ434</f>
        <v>127</v>
      </c>
      <c r="U524" s="577">
        <f>INPUT!BR434</f>
        <v>49.411764705882348</v>
      </c>
      <c r="V524" s="586">
        <f>INPUT!BS434</f>
        <v>96</v>
      </c>
      <c r="W524" s="577">
        <f>INPUT!BT434</f>
        <v>17.073170731707307</v>
      </c>
      <c r="X524" s="586">
        <f>INPUT!BU434</f>
        <v>89</v>
      </c>
      <c r="Y524" s="577">
        <f>INPUT!BV434</f>
        <v>3.4883720930232585</v>
      </c>
      <c r="Z524" s="586">
        <f>INPUT!BW434</f>
        <v>92</v>
      </c>
      <c r="AA524" s="577">
        <f>INPUT!BX434</f>
        <v>4.5454545454545467</v>
      </c>
      <c r="AB524" s="586">
        <f>INPUT!BY434</f>
        <v>122</v>
      </c>
      <c r="AC524" s="577">
        <f>INPUT!BZ434</f>
        <v>-3.9370078740157481</v>
      </c>
      <c r="AD524" s="586">
        <f>INPUT!CA434</f>
        <v>111</v>
      </c>
      <c r="AE524" s="577">
        <f>INPUT!CB434</f>
        <v>15.625</v>
      </c>
      <c r="AF524" s="586">
        <f>INPUT!CC434</f>
        <v>111</v>
      </c>
      <c r="AG524" s="577">
        <f>INPUT!CD434</f>
        <v>24.719101123595493</v>
      </c>
      <c r="AH524" s="580">
        <f>INPUT!CE434</f>
        <v>107</v>
      </c>
      <c r="AI524" s="577">
        <f>INPUT!CF434</f>
        <v>16.304347826086968</v>
      </c>
      <c r="AJ524" s="580">
        <f>INPUT!CG434</f>
        <v>143</v>
      </c>
      <c r="AK524" s="577">
        <f>INPUT!CH434</f>
        <v>17.21311475409837</v>
      </c>
      <c r="AL524" s="580">
        <f>INPUT!CI434</f>
        <v>142</v>
      </c>
      <c r="AM524" s="577">
        <f>INPUT!CJ434</f>
        <v>27.927927927927925</v>
      </c>
      <c r="AN524" s="580">
        <f>INPUT!CK434</f>
        <v>150</v>
      </c>
      <c r="AO524" s="577">
        <f>INPUT!CL434</f>
        <v>35.13513513513513</v>
      </c>
      <c r="AP524" s="580">
        <f>INPUT!CM434</f>
        <v>238</v>
      </c>
      <c r="AQ524" s="577" t="str">
        <f>INPUT!CN434</f>
        <v>NM</v>
      </c>
      <c r="AR524" s="580">
        <f>INPUT!CO434</f>
        <v>401</v>
      </c>
      <c r="AS524" s="577" t="str">
        <f>INPUT!CP434</f>
        <v>NM</v>
      </c>
      <c r="AT524" s="580">
        <f>INPUT!CQ434</f>
        <v>397</v>
      </c>
      <c r="AU524" s="577" t="str">
        <f>INPUT!CR434</f>
        <v>NM</v>
      </c>
      <c r="AV524" s="580">
        <f>INPUT!CS434</f>
        <v>393</v>
      </c>
      <c r="AW524" s="577" t="str">
        <f>INPUT!CT434</f>
        <v>NM</v>
      </c>
      <c r="AX524" s="580">
        <f>INPUT!CU434</f>
        <v>276</v>
      </c>
      <c r="AY524" s="577">
        <f>INPUT!CV434</f>
        <v>15.966386554621863</v>
      </c>
      <c r="AZ524" s="580">
        <f>INPUT!CW434</f>
        <v>501</v>
      </c>
      <c r="BA524" s="577">
        <f>INPUT!CX434</f>
        <v>24.937655860349125</v>
      </c>
      <c r="BB524" s="580">
        <f>INPUT!CY434</f>
        <v>247</v>
      </c>
      <c r="BC524" s="577">
        <f>INPUT!CZ434</f>
        <v>-37.783375314861459</v>
      </c>
      <c r="BD524" s="580">
        <f>INPUT!DA434</f>
        <v>266</v>
      </c>
      <c r="BE524" s="577">
        <f>INPUT!DB434</f>
        <v>-32.315521628498729</v>
      </c>
      <c r="BF524" s="580">
        <f>INPUT!DC434</f>
        <v>250</v>
      </c>
      <c r="BG524" s="577">
        <f>INPUT!DD434</f>
        <v>-9.4202898550724683</v>
      </c>
      <c r="BH524" s="580">
        <f>INPUT!DE434</f>
        <v>301</v>
      </c>
      <c r="BI524" s="577">
        <f>INPUT!DF434</f>
        <v>-39.920159680638726</v>
      </c>
      <c r="BJ524" s="580">
        <f>INPUT!DG434</f>
        <v>225</v>
      </c>
      <c r="BK524" s="577">
        <f>INPUT!DH434</f>
        <v>-8.9068825910931082</v>
      </c>
      <c r="BL524" s="580">
        <f>INPUT!DI434</f>
        <v>223</v>
      </c>
      <c r="BM524" s="577">
        <f>INPUT!DJ434</f>
        <v>-16.165413533834581</v>
      </c>
      <c r="BN524" s="580">
        <f>INPUT!DK434</f>
        <v>217</v>
      </c>
      <c r="BO524" s="577">
        <f>INPUT!DL434</f>
        <v>-13.200000000000003</v>
      </c>
      <c r="BP524" s="580">
        <f>INPUT!DM434</f>
        <v>281</v>
      </c>
      <c r="BQ524" s="577">
        <f>INPUT!DN434</f>
        <v>-6.6445182724252447</v>
      </c>
      <c r="BR524" s="580">
        <f>INPUT!DO434</f>
        <v>239</v>
      </c>
      <c r="BS524" s="577">
        <f>INPUT!DP434</f>
        <v>6.2222222222222143</v>
      </c>
      <c r="BT524" s="580">
        <f>INPUT!DQ434</f>
        <v>221</v>
      </c>
      <c r="BU524" s="577">
        <f>INPUT!DR434</f>
        <v>-0.89686098654708246</v>
      </c>
      <c r="BV524" s="580">
        <f>INPUT!DS434</f>
        <v>204</v>
      </c>
      <c r="BW524" s="577">
        <f>INPUT!DT434</f>
        <v>-5.9907834101382491</v>
      </c>
      <c r="BX524" s="580">
        <f>INPUT!DU434</f>
        <v>239</v>
      </c>
      <c r="BY524" s="577">
        <f>INPUT!DV434</f>
        <v>-14.946619217081846</v>
      </c>
      <c r="BZ524" s="580">
        <f>INPUT!DW434</f>
        <v>222</v>
      </c>
      <c r="CA524" s="577">
        <f>INPUT!DX434</f>
        <v>-7.1129707112970664</v>
      </c>
      <c r="CB524" s="580">
        <f>INPUT!DY434</f>
        <v>204</v>
      </c>
      <c r="CC524" s="577">
        <f>INPUT!DZ434</f>
        <v>-7.6923076923076934</v>
      </c>
      <c r="CD524" s="580">
        <f>INPUT!EA434</f>
        <v>215</v>
      </c>
      <c r="CE524" s="577">
        <f>INPUT!EB434</f>
        <v>5.3921568627450966</v>
      </c>
      <c r="CF524" s="580">
        <f>INPUT!EC434</f>
        <v>273</v>
      </c>
      <c r="CG524" s="577">
        <f>INPUT!ED434</f>
        <v>14.225941422594147</v>
      </c>
      <c r="CH524" s="580">
        <f>INPUT!EE434</f>
        <v>272</v>
      </c>
      <c r="CI524" s="577">
        <f>INPUT!EF434</f>
        <v>22.522522522522507</v>
      </c>
      <c r="CJ524" s="580">
        <f>INPUT!EG434</f>
        <v>250</v>
      </c>
      <c r="CK524" s="577">
        <f>INPUT!EH434</f>
        <v>22.54901960784315</v>
      </c>
      <c r="CL524" s="580">
        <f>INPUT!EI434</f>
        <v>226</v>
      </c>
      <c r="CM524" s="577">
        <f>INPUT!EJ434</f>
        <v>5.1162790697674438</v>
      </c>
      <c r="CN524" s="580">
        <f>INPUT!EK434</f>
        <v>322</v>
      </c>
      <c r="CO524" s="577">
        <f>INPUT!EL434</f>
        <v>17.948717948717956</v>
      </c>
      <c r="CP524" s="580">
        <f>INPUT!EM434</f>
        <v>229</v>
      </c>
      <c r="CQ524" s="577">
        <f>INPUT!EN434</f>
        <v>-15.808823529411768</v>
      </c>
      <c r="CR524" s="580">
        <f>INPUT!EO434</f>
        <v>209</v>
      </c>
      <c r="CS524" s="577">
        <f>INPUT!EP434</f>
        <v>-16.400000000000006</v>
      </c>
      <c r="CT524" s="580">
        <f>INPUT!EQ434</f>
        <v>239.56</v>
      </c>
      <c r="CU524" s="577">
        <f>INPUT!ER434</f>
        <v>6</v>
      </c>
      <c r="CV524" s="580">
        <f>INPUT!ES434</f>
        <v>341.32</v>
      </c>
      <c r="CW524" s="577">
        <f>INPUT!ET434</f>
        <v>6</v>
      </c>
      <c r="CX524" s="580">
        <f>INPUT!EU434</f>
        <v>242.74</v>
      </c>
      <c r="CY524" s="577">
        <f>INPUT!EV434</f>
        <v>6</v>
      </c>
      <c r="CZ524" s="580">
        <f>INPUT!EW434</f>
        <v>221.54000000000002</v>
      </c>
      <c r="DA524" s="577">
        <f>INPUT!EX434</f>
        <v>6</v>
      </c>
      <c r="DB524" s="586"/>
      <c r="DC524" s="586">
        <f>INPUT!FP434</f>
        <v>323</v>
      </c>
      <c r="DD524" s="577">
        <f>INPUT!FQ434</f>
        <v>16.606498194945843</v>
      </c>
      <c r="DE524" s="586">
        <f>INPUT!FR434</f>
        <v>327</v>
      </c>
      <c r="DF524" s="577">
        <f>INPUT!FS434</f>
        <v>1.2383900928792428</v>
      </c>
      <c r="DG524" s="586">
        <f>INPUT!FT434</f>
        <v>320</v>
      </c>
      <c r="DH524" s="577">
        <f>INPUT!FU434</f>
        <v>-2.140672782874617</v>
      </c>
      <c r="DI524" s="586">
        <f>INPUT!FV434</f>
        <v>400</v>
      </c>
      <c r="DJ524" s="577">
        <f>INPUT!FW434</f>
        <v>25</v>
      </c>
      <c r="DK524" s="586">
        <f>INPUT!FX434</f>
        <v>436</v>
      </c>
      <c r="DL524" s="577">
        <f>INPUT!FY434</f>
        <v>9.0000000000000142</v>
      </c>
      <c r="DM524" s="586">
        <f>INPUT!FZ434</f>
        <v>542</v>
      </c>
      <c r="DN524" s="577">
        <f>INPUT!GA434</f>
        <v>24.311926605504581</v>
      </c>
      <c r="DO524" s="586">
        <f>INPUT!GB434</f>
        <v>1429</v>
      </c>
      <c r="DP524" s="577" t="str">
        <f>INPUT!GC434</f>
        <v>NM</v>
      </c>
      <c r="DQ524" s="586">
        <f>INPUT!GD434</f>
        <v>1290</v>
      </c>
      <c r="DR524" s="577">
        <f>INPUT!GE434</f>
        <v>-9.7270818754373778</v>
      </c>
      <c r="DS524" s="586">
        <f>INPUT!GF434</f>
        <v>999</v>
      </c>
      <c r="DT524" s="577">
        <f>INPUT!GG434</f>
        <v>-22.558139534883722</v>
      </c>
      <c r="DU524" s="586">
        <f>INPUT!GH434</f>
        <v>958</v>
      </c>
      <c r="DV524" s="577">
        <f>INPUT!GI434</f>
        <v>-4.1041041041040955</v>
      </c>
      <c r="DW524" s="586">
        <f>INPUT!GJ434</f>
        <v>869</v>
      </c>
      <c r="DX524" s="577">
        <f>INPUT!GK434</f>
        <v>-9.2901878914405103</v>
      </c>
      <c r="DY524" s="586">
        <f>INPUT!GL434</f>
        <v>1010</v>
      </c>
      <c r="DZ524" s="577">
        <f>INPUT!GM434</f>
        <v>16.225546605293445</v>
      </c>
      <c r="EA524" s="586">
        <f>INPUT!GN434</f>
        <v>986</v>
      </c>
      <c r="EB524" s="577">
        <f>INPUT!GO434</f>
        <v>-2.3762376237623783</v>
      </c>
      <c r="EC524" s="586">
        <f>INPUT!GP434</f>
        <v>1045.1600000000001</v>
      </c>
      <c r="ED524" s="577">
        <f>INPUT!GQ434</f>
        <v>6</v>
      </c>
      <c r="EE524" s="586">
        <f>INPUT!GR434</f>
        <v>1107.8696000000002</v>
      </c>
      <c r="EF524" s="577">
        <f>INPUT!GS434</f>
        <v>6</v>
      </c>
      <c r="EG524" s="586">
        <f>INPUT!GT434</f>
        <v>1174.3417760000002</v>
      </c>
      <c r="EH524" s="577">
        <f>INPUT!GU434</f>
        <v>6</v>
      </c>
      <c r="EI524" s="586">
        <f>INPUT!GV434</f>
        <v>1244.8022825600003</v>
      </c>
      <c r="EJ524" s="577">
        <f>INPUT!GW434</f>
        <v>6</v>
      </c>
      <c r="EK524" s="586">
        <f>INPUT!GX434</f>
        <v>1319.4904195136005</v>
      </c>
      <c r="EL524" s="577">
        <f>INPUT!GY434</f>
        <v>6</v>
      </c>
      <c r="EM524" s="577">
        <f>INPUT!GZ434</f>
        <v>6.0000000000000053</v>
      </c>
    </row>
    <row r="525" spans="1:144" ht="12.75" hidden="1" customHeight="1" outlineLevel="1" x14ac:dyDescent="0.2">
      <c r="A525" s="575"/>
      <c r="B525" s="581"/>
      <c r="C525" s="577"/>
      <c r="D525" s="581"/>
      <c r="E525" s="577"/>
      <c r="F525" s="581"/>
      <c r="G525" s="577"/>
      <c r="H525" s="581"/>
      <c r="I525" s="577"/>
      <c r="J525" s="581"/>
      <c r="K525" s="577"/>
      <c r="L525" s="581"/>
      <c r="M525" s="577"/>
      <c r="N525" s="581"/>
      <c r="O525" s="577"/>
      <c r="P525" s="581"/>
      <c r="Q525" s="577"/>
      <c r="R525" s="581"/>
      <c r="S525" s="577"/>
      <c r="T525" s="581"/>
      <c r="U525" s="577"/>
      <c r="V525" s="581"/>
      <c r="W525" s="577"/>
      <c r="X525" s="581"/>
      <c r="Y525" s="577"/>
      <c r="Z525" s="581"/>
      <c r="AA525" s="577"/>
      <c r="AB525" s="581"/>
      <c r="AC525" s="577"/>
      <c r="AD525" s="581"/>
      <c r="AE525" s="577"/>
      <c r="AF525" s="581"/>
      <c r="AG525" s="577"/>
      <c r="AH525" s="581"/>
      <c r="AI525" s="577"/>
      <c r="AJ525" s="581"/>
      <c r="AK525" s="577"/>
      <c r="AL525" s="581"/>
      <c r="AM525" s="577"/>
      <c r="AN525" s="581"/>
      <c r="AO525" s="577"/>
      <c r="AP525" s="581"/>
      <c r="AQ525" s="577"/>
      <c r="AR525" s="581"/>
      <c r="AS525" s="577"/>
      <c r="AT525" s="581"/>
      <c r="AU525" s="577"/>
      <c r="AV525" s="581"/>
      <c r="AW525" s="577"/>
      <c r="AX525" s="581"/>
      <c r="AY525" s="577"/>
      <c r="AZ525" s="581"/>
      <c r="BA525" s="577"/>
      <c r="BB525" s="581"/>
      <c r="BC525" s="577"/>
      <c r="BD525" s="581"/>
      <c r="BE525" s="577"/>
      <c r="BF525" s="581"/>
      <c r="BG525" s="577"/>
      <c r="BH525" s="581"/>
      <c r="BI525" s="577"/>
      <c r="BJ525" s="581"/>
      <c r="BK525" s="577"/>
      <c r="BL525" s="581"/>
      <c r="BM525" s="577"/>
      <c r="BN525" s="581"/>
      <c r="BO525" s="577"/>
      <c r="BP525" s="581"/>
      <c r="BQ525" s="577"/>
      <c r="BR525" s="581"/>
      <c r="BS525" s="577"/>
      <c r="BT525" s="581"/>
      <c r="BU525" s="577"/>
      <c r="BV525" s="581"/>
      <c r="BW525" s="577"/>
      <c r="BX525" s="581"/>
      <c r="BY525" s="577"/>
      <c r="BZ525" s="581"/>
      <c r="CA525" s="577"/>
      <c r="CB525" s="581"/>
      <c r="CC525" s="577"/>
      <c r="CD525" s="581"/>
      <c r="CE525" s="577"/>
      <c r="CF525" s="581"/>
      <c r="CG525" s="577"/>
      <c r="CH525" s="581"/>
      <c r="CI525" s="577"/>
      <c r="CJ525" s="581"/>
      <c r="CK525" s="577"/>
      <c r="CL525" s="581"/>
      <c r="CM525" s="577"/>
      <c r="CN525" s="581"/>
      <c r="CO525" s="577"/>
      <c r="CP525" s="581"/>
      <c r="CQ525" s="577"/>
      <c r="CR525" s="581"/>
      <c r="CS525" s="577"/>
      <c r="CT525" s="581"/>
      <c r="CU525" s="577"/>
      <c r="CV525" s="581"/>
      <c r="CW525" s="577"/>
      <c r="CX525" s="581"/>
      <c r="CY525" s="577"/>
      <c r="CZ525" s="581"/>
      <c r="DA525" s="577"/>
      <c r="DB525" s="581"/>
      <c r="DC525" s="581"/>
      <c r="DD525" s="577"/>
      <c r="DE525" s="581"/>
      <c r="DF525" s="577"/>
      <c r="DG525" s="581"/>
      <c r="DH525" s="577"/>
      <c r="DI525" s="581"/>
      <c r="DJ525" s="577"/>
      <c r="DK525" s="581"/>
      <c r="DL525" s="577"/>
      <c r="DM525" s="581"/>
      <c r="DN525" s="577"/>
      <c r="DO525" s="581"/>
      <c r="DP525" s="577"/>
      <c r="DQ525" s="581"/>
      <c r="DR525" s="577"/>
      <c r="DS525" s="581"/>
      <c r="DT525" s="577"/>
      <c r="DU525" s="581"/>
      <c r="DV525" s="577"/>
      <c r="DW525" s="581"/>
      <c r="DX525" s="577"/>
      <c r="DY525" s="581"/>
      <c r="DZ525" s="577"/>
      <c r="EA525" s="581"/>
      <c r="EB525" s="577"/>
      <c r="EC525" s="581"/>
      <c r="ED525" s="577"/>
      <c r="EE525" s="581"/>
      <c r="EF525" s="577"/>
      <c r="EG525" s="581"/>
      <c r="EH525" s="577"/>
      <c r="EI525" s="581"/>
      <c r="EJ525" s="577"/>
      <c r="EK525" s="581"/>
      <c r="EL525" s="577"/>
      <c r="EM525" s="577"/>
    </row>
    <row r="526" spans="1:144" ht="12.75" hidden="1" customHeight="1" outlineLevel="1" x14ac:dyDescent="0.2">
      <c r="A526" s="614" t="s">
        <v>312</v>
      </c>
      <c r="B526" s="626"/>
      <c r="C526" s="555"/>
      <c r="D526" s="626"/>
      <c r="E526" s="555"/>
      <c r="F526" s="626"/>
      <c r="G526" s="555"/>
      <c r="H526" s="626"/>
      <c r="I526" s="555"/>
      <c r="J526" s="626"/>
      <c r="K526" s="555"/>
      <c r="L526" s="626"/>
      <c r="M526" s="555"/>
      <c r="N526" s="626"/>
      <c r="O526" s="555"/>
      <c r="P526" s="626"/>
      <c r="Q526" s="555"/>
      <c r="R526" s="626"/>
      <c r="S526" s="555"/>
      <c r="T526" s="626"/>
      <c r="U526" s="555"/>
      <c r="V526" s="626"/>
      <c r="W526" s="555"/>
      <c r="X526" s="626"/>
      <c r="Y526" s="555"/>
      <c r="Z526" s="626"/>
      <c r="AA526" s="555"/>
      <c r="AB526" s="626"/>
      <c r="AC526" s="555"/>
      <c r="AD526" s="626"/>
      <c r="AE526" s="555"/>
      <c r="AF526" s="626"/>
      <c r="AG526" s="555"/>
      <c r="AH526" s="626"/>
      <c r="AI526" s="555"/>
      <c r="AJ526" s="626"/>
      <c r="AK526" s="555"/>
      <c r="AL526" s="626"/>
      <c r="AM526" s="555"/>
      <c r="AN526" s="626"/>
      <c r="AO526" s="555"/>
      <c r="AP526" s="626"/>
      <c r="AQ526" s="555"/>
      <c r="AR526" s="626"/>
      <c r="AS526" s="555"/>
      <c r="AT526" s="626"/>
      <c r="AU526" s="555"/>
      <c r="AV526" s="626"/>
      <c r="AW526" s="555"/>
      <c r="AX526" s="626"/>
      <c r="AY526" s="555"/>
      <c r="AZ526" s="626"/>
      <c r="BA526" s="555"/>
      <c r="BB526" s="626"/>
      <c r="BC526" s="555"/>
      <c r="BD526" s="626"/>
      <c r="BE526" s="555"/>
      <c r="BF526" s="626"/>
      <c r="BG526" s="555"/>
      <c r="BH526" s="626"/>
      <c r="BI526" s="555"/>
      <c r="BJ526" s="626"/>
      <c r="BK526" s="555"/>
      <c r="BL526" s="626"/>
      <c r="BM526" s="555"/>
      <c r="BN526" s="626"/>
      <c r="BO526" s="555"/>
      <c r="BP526" s="626"/>
      <c r="BQ526" s="555"/>
      <c r="BR526" s="626"/>
      <c r="BS526" s="555"/>
      <c r="BT526" s="626"/>
      <c r="BU526" s="555"/>
      <c r="BV526" s="626"/>
      <c r="BW526" s="555"/>
      <c r="BX526" s="626"/>
      <c r="BY526" s="555"/>
      <c r="BZ526" s="626"/>
      <c r="CA526" s="555"/>
      <c r="CB526" s="626"/>
      <c r="CC526" s="555"/>
      <c r="CD526" s="626"/>
      <c r="CE526" s="555"/>
      <c r="CF526" s="626"/>
      <c r="CG526" s="555"/>
      <c r="CH526" s="626"/>
      <c r="CI526" s="555"/>
      <c r="CJ526" s="626"/>
      <c r="CK526" s="555"/>
      <c r="CL526" s="626"/>
      <c r="CM526" s="555"/>
      <c r="CN526" s="626"/>
      <c r="CO526" s="555"/>
      <c r="CP526" s="626"/>
      <c r="CQ526" s="555"/>
      <c r="CR526" s="626"/>
      <c r="CS526" s="555"/>
      <c r="CT526" s="626"/>
      <c r="CU526" s="555"/>
      <c r="CV526" s="626"/>
      <c r="CW526" s="555"/>
      <c r="CX526" s="626"/>
      <c r="CY526" s="555"/>
      <c r="CZ526" s="626"/>
      <c r="DA526" s="555"/>
      <c r="DB526" s="626"/>
      <c r="DC526" s="626"/>
      <c r="DD526" s="555"/>
      <c r="DE526" s="626"/>
      <c r="DF526" s="555"/>
      <c r="DG526" s="626"/>
      <c r="DH526" s="555"/>
      <c r="DI526" s="626"/>
      <c r="DJ526" s="555"/>
      <c r="DK526" s="626"/>
      <c r="DL526" s="555"/>
      <c r="DM526" s="626"/>
      <c r="DN526" s="555"/>
      <c r="DO526" s="626"/>
      <c r="DP526" s="555"/>
      <c r="DQ526" s="626"/>
      <c r="DR526" s="555"/>
      <c r="DS526" s="626"/>
      <c r="DT526" s="555"/>
      <c r="DU526" s="626"/>
      <c r="DV526" s="555"/>
      <c r="DW526" s="626"/>
      <c r="DX526" s="555"/>
      <c r="DY526" s="626"/>
      <c r="DZ526" s="555"/>
      <c r="EA526" s="626"/>
      <c r="EB526" s="555"/>
      <c r="EC526" s="626"/>
      <c r="ED526" s="555"/>
      <c r="EE526" s="626"/>
      <c r="EF526" s="555"/>
      <c r="EG526" s="626"/>
      <c r="EH526" s="555"/>
      <c r="EI526" s="626"/>
      <c r="EJ526" s="555"/>
      <c r="EK526" s="626"/>
      <c r="EL526" s="555"/>
      <c r="EM526" s="555"/>
    </row>
    <row r="527" spans="1:144" ht="12.75" hidden="1" customHeight="1" outlineLevel="1" x14ac:dyDescent="0.2">
      <c r="A527" s="609" t="str">
        <f>INPUT!B418</f>
        <v>Benefits/Fees (%)</v>
      </c>
      <c r="B527" s="586">
        <f>INPUT!AY418</f>
        <v>80.960854092526688</v>
      </c>
      <c r="C527" s="577">
        <f>INPUT!AZ418</f>
        <v>1.5911359704938661</v>
      </c>
      <c r="D527" s="586">
        <f>INPUT!BA418</f>
        <v>82.110912343470488</v>
      </c>
      <c r="E527" s="577">
        <f>INPUT!BB418</f>
        <v>6.4090394655178926</v>
      </c>
      <c r="F527" s="586">
        <f>INPUT!BC418</f>
        <v>77.551020408163268</v>
      </c>
      <c r="G527" s="577">
        <f>INPUT!BD418</f>
        <v>-8.0723198370257165</v>
      </c>
      <c r="H527" s="586">
        <f>INPUT!BE418</f>
        <v>76.604554865424433</v>
      </c>
      <c r="I527" s="577">
        <f>INPUT!BF418</f>
        <v>-4.2002808119749631</v>
      </c>
      <c r="J527" s="586">
        <f>INPUT!BG418</f>
        <v>76.811594202898547</v>
      </c>
      <c r="K527" s="577">
        <f>INPUT!BH418</f>
        <v>-5.125019907628598</v>
      </c>
      <c r="L527" s="586">
        <f>INPUT!BI418</f>
        <v>78.77629063097514</v>
      </c>
      <c r="M527" s="577">
        <f>INPUT!BJ418</f>
        <v>-4.0611188176141582</v>
      </c>
      <c r="N527" s="586">
        <f>INPUT!BK418</f>
        <v>75.635593220338976</v>
      </c>
      <c r="O527" s="577">
        <f>INPUT!BL418</f>
        <v>-2.469892952720798</v>
      </c>
      <c r="P527" s="586">
        <f>INPUT!BM418</f>
        <v>76.047904191616766</v>
      </c>
      <c r="Q527" s="577">
        <f>INPUT!BN418</f>
        <v>-0.72665479851109183</v>
      </c>
      <c r="R527" s="586">
        <f>INPUT!BO418</f>
        <v>78.178368121442119</v>
      </c>
      <c r="S527" s="577">
        <f>INPUT!BP418</f>
        <v>1.7793849128208876</v>
      </c>
      <c r="T527" s="586">
        <f>INPUT!BQ418</f>
        <v>74.873524451939289</v>
      </c>
      <c r="U527" s="577">
        <f>INPUT!BR418</f>
        <v>-4.9542395913489088</v>
      </c>
      <c r="V527" s="586">
        <f>INPUT!BS418</f>
        <v>73.592233009708735</v>
      </c>
      <c r="W527" s="577">
        <f>INPUT!BT418</f>
        <v>-2.7015854885643478</v>
      </c>
      <c r="X527" s="586">
        <f>INPUT!BU418</f>
        <v>72.271914132379251</v>
      </c>
      <c r="Y527" s="577">
        <f>INPUT!BV418</f>
        <v>-4.9652782668713797</v>
      </c>
      <c r="Z527" s="586">
        <f>INPUT!BW418</f>
        <v>76.062992125984252</v>
      </c>
      <c r="AA527" s="577">
        <f>INPUT!BX418</f>
        <v>-2.7058328873939246</v>
      </c>
      <c r="AB527" s="586">
        <f>INPUT!BY418</f>
        <v>77.291381668946642</v>
      </c>
      <c r="AC527" s="577">
        <f>INPUT!BZ418</f>
        <v>3.2292552470390916</v>
      </c>
      <c r="AD527" s="586">
        <f>INPUT!CA418</f>
        <v>75.062344139650875</v>
      </c>
      <c r="AE527" s="577">
        <f>INPUT!CB418</f>
        <v>1.9976444113989515</v>
      </c>
      <c r="AF527" s="586">
        <f>INPUT!CC418</f>
        <v>76.264591439688715</v>
      </c>
      <c r="AG527" s="577">
        <f>INPUT!CD418</f>
        <v>5.5245213237276971</v>
      </c>
      <c r="AH527" s="586">
        <f>INPUT!CE418</f>
        <v>77.128335451080048</v>
      </c>
      <c r="AI527" s="577">
        <f>INPUT!CF418</f>
        <v>1.4006066489354652</v>
      </c>
      <c r="AJ527" s="586">
        <f>INPUT!CG418</f>
        <v>79.679144385026731</v>
      </c>
      <c r="AK527" s="577">
        <f>INPUT!CH418</f>
        <v>3.0893000804505135</v>
      </c>
      <c r="AL527" s="586">
        <f>INPUT!CI418</f>
        <v>75.522041763341065</v>
      </c>
      <c r="AM527" s="577">
        <f>INPUT!CJ418</f>
        <v>0.61242108671018514</v>
      </c>
      <c r="AN527" s="586">
        <f>INPUT!CK418</f>
        <v>76.059322033898297</v>
      </c>
      <c r="AO527" s="577">
        <f>INPUT!CL418</f>
        <v>-0.26915427187825003</v>
      </c>
      <c r="AP527" s="586">
        <f>INPUT!CM418</f>
        <v>81.096059113300484</v>
      </c>
      <c r="AQ527" s="577">
        <f>INPUT!CN418</f>
        <v>5.1443138750699973</v>
      </c>
      <c r="AR527" s="586">
        <f>INPUT!CO418</f>
        <v>79.451494064674577</v>
      </c>
      <c r="AS527" s="577">
        <f>INPUT!CP418</f>
        <v>-0.28570879131444826</v>
      </c>
      <c r="AT527" s="586">
        <f>INPUT!CQ418</f>
        <v>75.021949078138718</v>
      </c>
      <c r="AU527" s="577">
        <f>INPUT!CR418</f>
        <v>-0.66218109776409051</v>
      </c>
      <c r="AV527" s="586">
        <f>INPUT!CS418</f>
        <v>74.754098360655746</v>
      </c>
      <c r="AW527" s="577">
        <f>INPUT!CT418</f>
        <v>-1.7160600940682116</v>
      </c>
      <c r="AX527" s="586">
        <f>INPUT!CU418</f>
        <v>79.732111385266123</v>
      </c>
      <c r="AY527" s="577">
        <f>INPUT!CV418</f>
        <v>-1.6818915036657529</v>
      </c>
      <c r="AZ527" s="586">
        <f>INPUT!CW418</f>
        <v>82.181303116147305</v>
      </c>
      <c r="BA527" s="577">
        <f>INPUT!CX418</f>
        <v>3.4358183991488431</v>
      </c>
      <c r="BB527" s="586">
        <f>INPUT!CY418</f>
        <v>88.391989111413565</v>
      </c>
      <c r="BC527" s="577">
        <f>INPUT!CZ418</f>
        <v>17.821504503101295</v>
      </c>
      <c r="BD527" s="586">
        <f>INPUT!DA418</f>
        <v>89.853909134692572</v>
      </c>
      <c r="BE527" s="577">
        <f>INPUT!DB418</f>
        <v>20.199308272286103</v>
      </c>
      <c r="BF527" s="586">
        <f>INPUT!DC418</f>
        <v>84.448755253798907</v>
      </c>
      <c r="BG527" s="577">
        <f>INPUT!DD418</f>
        <v>5.9156139058477208</v>
      </c>
      <c r="BH527" s="586">
        <f>INPUT!DE418</f>
        <v>83.432539682539684</v>
      </c>
      <c r="BI527" s="577">
        <f>INPUT!DF418</f>
        <v>1.5225319129145305</v>
      </c>
      <c r="BJ527" s="586">
        <f>INPUT!DG418</f>
        <v>84.937954642704312</v>
      </c>
      <c r="BK527" s="577">
        <f>INPUT!DH418</f>
        <v>-3.9076329240148908</v>
      </c>
      <c r="BL527" s="586">
        <f>INPUT!DI418</f>
        <v>81.047018904507993</v>
      </c>
      <c r="BM527" s="577">
        <f>INPUT!DJ418</f>
        <v>-9.801343441811639</v>
      </c>
      <c r="BN527" s="586">
        <f>INPUT!DK418</f>
        <v>79.3975255513717</v>
      </c>
      <c r="BO527" s="577">
        <f>INPUT!DL418</f>
        <v>-5.9814140389002119</v>
      </c>
      <c r="BP527" s="586">
        <f>INPUT!DM418</f>
        <v>80.549199084668189</v>
      </c>
      <c r="BQ527" s="577">
        <f>INPUT!DN418</f>
        <v>-3.4558945572585742</v>
      </c>
      <c r="BR527" s="586">
        <f>INPUT!DO418</f>
        <v>80.504115226337447</v>
      </c>
      <c r="BS527" s="577">
        <f>INPUT!DP418</f>
        <v>-5.220092048387599</v>
      </c>
      <c r="BT527" s="586">
        <f>INPUT!DQ418</f>
        <v>82.713963963963963</v>
      </c>
      <c r="BU527" s="577">
        <f>INPUT!DR418</f>
        <v>2.0567629531445419</v>
      </c>
      <c r="BV527" s="586">
        <f>INPUT!DS418</f>
        <v>80.998851894374283</v>
      </c>
      <c r="BW527" s="577">
        <f>INPUT!DT418</f>
        <v>2.0168466610039246</v>
      </c>
      <c r="BX527" s="586">
        <f>INPUT!DU418</f>
        <v>81.699029126213603</v>
      </c>
      <c r="BY527" s="577">
        <f>INPUT!DV418</f>
        <v>1.4274878640776905</v>
      </c>
      <c r="BZ527" s="586">
        <f>INPUT!DW418</f>
        <v>81.746920492721159</v>
      </c>
      <c r="CA527" s="577">
        <f>INPUT!DX418</f>
        <v>1.5437785545366864</v>
      </c>
      <c r="CB527" s="586">
        <f>INPUT!DY418</f>
        <v>80.57009889470622</v>
      </c>
      <c r="CC527" s="577">
        <f>INPUT!DZ418</f>
        <v>-2.591902221240133</v>
      </c>
      <c r="CD527" s="586">
        <f>INPUT!EA418</f>
        <v>81.605351170568568</v>
      </c>
      <c r="CE527" s="577">
        <f>INPUT!EB418</f>
        <v>0.74877515175792553</v>
      </c>
      <c r="CF527" s="586">
        <f>INPUT!EC418</f>
        <v>83.254716981132077</v>
      </c>
      <c r="CG527" s="577">
        <f>INPUT!ED418</f>
        <v>1.9041693292525679</v>
      </c>
      <c r="CH527" s="586">
        <f>INPUT!EE418</f>
        <v>82.330468003820428</v>
      </c>
      <c r="CI527" s="577">
        <f>INPUT!EF418</f>
        <v>0.7138464759063794</v>
      </c>
      <c r="CJ527" s="586">
        <f>INPUT!EG418</f>
        <v>82.690405539070227</v>
      </c>
      <c r="CK527" s="577">
        <f>INPUT!EH418</f>
        <v>2.6316296907304917</v>
      </c>
      <c r="CL527" s="586">
        <f>INPUT!EI418</f>
        <v>83.174097664543524</v>
      </c>
      <c r="CM527" s="577">
        <f>INPUT!EJ418</f>
        <v>1.9223573840102972</v>
      </c>
      <c r="CN527" s="586">
        <f>INPUT!EK418</f>
        <v>80.178069353327089</v>
      </c>
      <c r="CO527" s="577">
        <f>INPUT!EL418</f>
        <v>-3.6954634396297905</v>
      </c>
      <c r="CP527" s="586">
        <f>INPUT!EM418</f>
        <v>82.503770739064848</v>
      </c>
      <c r="CQ527" s="577">
        <f>INPUT!EN418</f>
        <v>0.21049647772726132</v>
      </c>
      <c r="CR527" s="586">
        <f>INPUT!EO418</f>
        <v>81.880612783940833</v>
      </c>
      <c r="CS527" s="577">
        <f>INPUT!EP418</f>
        <v>-0.97930678879882294</v>
      </c>
      <c r="CT527" s="586">
        <f>INPUT!EQ418</f>
        <v>83.174097664543524</v>
      </c>
      <c r="CU527" s="577">
        <f>INPUT!ER418</f>
        <v>0</v>
      </c>
      <c r="CV527" s="586">
        <f>INPUT!ES418</f>
        <v>80.178069353327089</v>
      </c>
      <c r="CW527" s="577">
        <f>INPUT!ET418</f>
        <v>0</v>
      </c>
      <c r="CX527" s="586">
        <f>INPUT!EU418</f>
        <v>81.603770739064842</v>
      </c>
      <c r="CY527" s="577">
        <f>INPUT!EV418</f>
        <v>-1.0908592321755179</v>
      </c>
      <c r="CZ527" s="586">
        <f>INPUT!EW418</f>
        <v>81.380612783940833</v>
      </c>
      <c r="DA527" s="577">
        <f>INPUT!EX418</f>
        <v>-0.61064516129032143</v>
      </c>
      <c r="DB527" s="586"/>
      <c r="DC527" s="586">
        <f>INPUT!FP418</f>
        <v>80.370370370370367</v>
      </c>
      <c r="DD527" s="577">
        <f>INPUT!FQ418</f>
        <v>0.72916053308209428</v>
      </c>
      <c r="DE527" s="586">
        <f>INPUT!FR418</f>
        <v>79.465138490926464</v>
      </c>
      <c r="DF527" s="577">
        <f>INPUT!FS418</f>
        <v>-1.1263253799532436</v>
      </c>
      <c r="DG527" s="586">
        <f>INPUT!FT418</f>
        <v>76.856998484082879</v>
      </c>
      <c r="DH527" s="577">
        <f>INPUT!FU418</f>
        <v>-3.2821184941889783</v>
      </c>
      <c r="DI527" s="586">
        <f>INPUT!FV418</f>
        <v>74.737802097583213</v>
      </c>
      <c r="DJ527" s="577">
        <f>INPUT!FW418</f>
        <v>-2.7573238980163239</v>
      </c>
      <c r="DK527" s="586">
        <f>INPUT!FX418</f>
        <v>76.148349778836348</v>
      </c>
      <c r="DL527" s="577">
        <f>INPUT!FY418</f>
        <v>1.8873282885833618</v>
      </c>
      <c r="DM527" s="586">
        <f>INPUT!FZ418</f>
        <v>77.125850340136054</v>
      </c>
      <c r="DN527" s="577">
        <f>INPUT!GA418</f>
        <v>1.2836792447094894</v>
      </c>
      <c r="DO527" s="586">
        <f>INPUT!GB418</f>
        <v>77.302219692657943</v>
      </c>
      <c r="DP527" s="577">
        <f>INPUT!GC418</f>
        <v>0.22867735233266728</v>
      </c>
      <c r="DQ527" s="586">
        <f>INPUT!GD418</f>
        <v>86.284457973955682</v>
      </c>
      <c r="DR527" s="577">
        <f>INPUT!GE418</f>
        <v>11.619638241967408</v>
      </c>
      <c r="DS527" s="586">
        <f>INPUT!GF418</f>
        <v>83.597984216031179</v>
      </c>
      <c r="DT527" s="577">
        <f>INPUT!GG418</f>
        <v>-3.1135082968654615</v>
      </c>
      <c r="DU527" s="586">
        <f>INPUT!GH418</f>
        <v>80.75734157650696</v>
      </c>
      <c r="DV527" s="577">
        <f>INPUT!GI418</f>
        <v>-3.3979798271014801</v>
      </c>
      <c r="DW527" s="586">
        <f>INPUT!GJ418</f>
        <v>81.278226358286574</v>
      </c>
      <c r="DX527" s="577">
        <f>INPUT!GK418</f>
        <v>0.64499991160079162</v>
      </c>
      <c r="DY527" s="586">
        <f>INPUT!GL418</f>
        <v>82.503113325031137</v>
      </c>
      <c r="DZ527" s="577">
        <f>INPUT!GM418</f>
        <v>1.5070296457320325</v>
      </c>
      <c r="EA527" s="586">
        <f>INPUT!GN418</f>
        <v>81.886075949367083</v>
      </c>
      <c r="EB527" s="577">
        <f>INPUT!GO418</f>
        <v>-0.7478958681633685</v>
      </c>
      <c r="EC527" s="586">
        <f>INPUT!GP418</f>
        <v>81.539670886075953</v>
      </c>
      <c r="ED527" s="577">
        <f>INPUT!GQ418</f>
        <v>-0.42303292626371558</v>
      </c>
      <c r="EE527" s="586">
        <f>INPUT!GR418</f>
        <v>81.489670886075956</v>
      </c>
      <c r="EF527" s="577">
        <f>INPUT!GS418</f>
        <v>-6.1319845244227622E-2</v>
      </c>
      <c r="EG527" s="586">
        <f>INPUT!GT418</f>
        <v>81.489670886075956</v>
      </c>
      <c r="EH527" s="577">
        <f>INPUT!GU418</f>
        <v>0</v>
      </c>
      <c r="EI527" s="586">
        <f>INPUT!GV418</f>
        <v>81.489670886075956</v>
      </c>
      <c r="EJ527" s="577">
        <f>INPUT!GW418</f>
        <v>0</v>
      </c>
      <c r="EK527" s="586">
        <f>INPUT!GX418</f>
        <v>81.489670886075956</v>
      </c>
      <c r="EL527" s="577">
        <f>INPUT!GY418</f>
        <v>0</v>
      </c>
      <c r="EM527" s="577">
        <f>INPUT!GZ418</f>
        <v>-9.7006697176515999E-2</v>
      </c>
    </row>
    <row r="528" spans="1:144" ht="12.75" hidden="1" customHeight="1" outlineLevel="1" x14ac:dyDescent="0.2">
      <c r="A528" s="609" t="str">
        <f>INPUT!B419</f>
        <v>Interest Credited/Net investment income (%)</v>
      </c>
      <c r="B528" s="586">
        <f>INPUT!AY419</f>
        <v>17.964071856287426</v>
      </c>
      <c r="C528" s="577">
        <f>INPUT!AZ419</f>
        <v>21.843269981775563</v>
      </c>
      <c r="D528" s="586">
        <f>INPUT!BA419</f>
        <v>19.428571428571427</v>
      </c>
      <c r="E528" s="577">
        <f>INPUT!BB419</f>
        <v>27.032967032967022</v>
      </c>
      <c r="F528" s="586">
        <f>INPUT!BC419</f>
        <v>19.897959183673468</v>
      </c>
      <c r="G528" s="577">
        <f>INPUT!BD419</f>
        <v>22.818437719915565</v>
      </c>
      <c r="H528" s="586">
        <f>INPUT!BE419</f>
        <v>22.58064516129032</v>
      </c>
      <c r="I528" s="577">
        <f>INPUT!BF419</f>
        <v>43.010752688172033</v>
      </c>
      <c r="J528" s="586">
        <f>INPUT!BG419</f>
        <v>22.513089005235599</v>
      </c>
      <c r="K528" s="577">
        <f>INPUT!BH419</f>
        <v>25.322862129144823</v>
      </c>
      <c r="L528" s="586">
        <f>INPUT!BI419</f>
        <v>23.076923076923077</v>
      </c>
      <c r="M528" s="577">
        <f>INPUT!BJ419</f>
        <v>18.778280542986423</v>
      </c>
      <c r="N528" s="586">
        <f>INPUT!BK419</f>
        <v>23.880597014925371</v>
      </c>
      <c r="O528" s="577">
        <f>INPUT!BL419</f>
        <v>20.015308075009571</v>
      </c>
      <c r="P528" s="586">
        <f>INPUT!BM419</f>
        <v>25.837320574162682</v>
      </c>
      <c r="Q528" s="577">
        <f>INPUT!BN419</f>
        <v>14.422419685577609</v>
      </c>
      <c r="R528" s="586">
        <f>INPUT!BO419</f>
        <v>26.388888888888889</v>
      </c>
      <c r="S528" s="577">
        <f>INPUT!BP419</f>
        <v>17.215762273901831</v>
      </c>
      <c r="T528" s="586">
        <f>INPUT!BQ419</f>
        <v>23.643410852713178</v>
      </c>
      <c r="U528" s="577">
        <f>INPUT!BR419</f>
        <v>2.454780361757102</v>
      </c>
      <c r="V528" s="586">
        <f>INPUT!BS419</f>
        <v>25.098039215686274</v>
      </c>
      <c r="W528" s="577">
        <f>INPUT!BT419</f>
        <v>5.0980392156862848</v>
      </c>
      <c r="X528" s="586">
        <f>INPUT!BU419</f>
        <v>25.18796992481203</v>
      </c>
      <c r="Y528" s="577">
        <f>INPUT!BV419</f>
        <v>-2.5132275132275197</v>
      </c>
      <c r="Z528" s="586">
        <f>INPUT!BW419</f>
        <v>25.63176895306859</v>
      </c>
      <c r="AA528" s="577">
        <f>INPUT!BX419</f>
        <v>-2.8690860725821778</v>
      </c>
      <c r="AB528" s="586">
        <f>INPUT!BY419</f>
        <v>27.131782945736433</v>
      </c>
      <c r="AC528" s="577">
        <f>INPUT!BZ419</f>
        <v>14.754098360655732</v>
      </c>
      <c r="AD528" s="586">
        <f>INPUT!CA419</f>
        <v>25.874125874125873</v>
      </c>
      <c r="AE528" s="577">
        <f>INPUT!CB419</f>
        <v>3.0922202797202658</v>
      </c>
      <c r="AF528" s="586">
        <f>INPUT!CC419</f>
        <v>28.01418439716312</v>
      </c>
      <c r="AG528" s="577">
        <f>INPUT!CD419</f>
        <v>11.220493278289396</v>
      </c>
      <c r="AH528" s="586">
        <f>INPUT!CE419</f>
        <v>28.321678321678323</v>
      </c>
      <c r="AI528" s="577">
        <f>INPUT!CF419</f>
        <v>10.494435142322487</v>
      </c>
      <c r="AJ528" s="586">
        <f>INPUT!CG419</f>
        <v>29.122807017543863</v>
      </c>
      <c r="AK528" s="577">
        <f>INPUT!CH419</f>
        <v>7.3383458646616617</v>
      </c>
      <c r="AL528" s="586">
        <f>INPUT!CI419</f>
        <v>28.164556962025316</v>
      </c>
      <c r="AM528" s="577">
        <f>INPUT!CJ419</f>
        <v>8.8522066370167636</v>
      </c>
      <c r="AN528" s="586">
        <f>INPUT!CK419</f>
        <v>29.447852760736197</v>
      </c>
      <c r="AO528" s="577">
        <f>INPUT!CL419</f>
        <v>5.117651626931746</v>
      </c>
      <c r="AP528" s="586">
        <f>INPUT!CM419</f>
        <v>23.913043478260871</v>
      </c>
      <c r="AQ528" s="577">
        <f>INPUT!CN419</f>
        <v>-15.566290928609774</v>
      </c>
      <c r="AR528" s="586">
        <f>INPUT!CO419</f>
        <v>31.433224755700323</v>
      </c>
      <c r="AS528" s="577">
        <f>INPUT!CP419</f>
        <v>7.933362112946881</v>
      </c>
      <c r="AT528" s="586">
        <f>INPUT!CQ419</f>
        <v>34.876543209876544</v>
      </c>
      <c r="AU528" s="577">
        <f>INPUT!CR419</f>
        <v>23.831321958662798</v>
      </c>
      <c r="AV528" s="586">
        <f>INPUT!CS419</f>
        <v>33.437013996889583</v>
      </c>
      <c r="AW528" s="577">
        <f>INPUT!CT419</f>
        <v>13.546526697770872</v>
      </c>
      <c r="AX528" s="586">
        <f>INPUT!CU419</f>
        <v>33.439490445859867</v>
      </c>
      <c r="AY528" s="577">
        <f>INPUT!CV419</f>
        <v>39.837869137232161</v>
      </c>
      <c r="AZ528" s="586">
        <f>INPUT!CW419</f>
        <v>32.20338983050847</v>
      </c>
      <c r="BA528" s="577">
        <f>INPUT!CX419</f>
        <v>2.4501624659699672</v>
      </c>
      <c r="BB528" s="586">
        <f>INPUT!CY419</f>
        <v>31.81169757489301</v>
      </c>
      <c r="BC528" s="577">
        <f>INPUT!CZ419</f>
        <v>-8.7876989888023473</v>
      </c>
      <c r="BD528" s="586">
        <f>INPUT!DA419</f>
        <v>31.510791366906478</v>
      </c>
      <c r="BE528" s="577">
        <f>INPUT!DB419</f>
        <v>-5.7607495399029602</v>
      </c>
      <c r="BF528" s="586">
        <f>INPUT!DC419</f>
        <v>28.695652173913043</v>
      </c>
      <c r="BG528" s="577">
        <f>INPUT!DD419</f>
        <v>-14.186335403726687</v>
      </c>
      <c r="BH528" s="586">
        <f>INPUT!DE419</f>
        <v>26.292466765140325</v>
      </c>
      <c r="BI528" s="577">
        <f>INPUT!DF419</f>
        <v>-18.35497162403793</v>
      </c>
      <c r="BJ528" s="586">
        <f>INPUT!DG419</f>
        <v>26.725403817914835</v>
      </c>
      <c r="BK528" s="577">
        <f>INPUT!DH419</f>
        <v>-15.988753020814812</v>
      </c>
      <c r="BL528" s="586">
        <f>INPUT!DI419</f>
        <v>28.348909657320871</v>
      </c>
      <c r="BM528" s="577">
        <f>INPUT!DJ419</f>
        <v>-10.034282137726009</v>
      </c>
      <c r="BN528" s="586">
        <f>INPUT!DK419</f>
        <v>27.411944869831544</v>
      </c>
      <c r="BO528" s="577">
        <f>INPUT!DL419</f>
        <v>-4.4735254536173414</v>
      </c>
      <c r="BP528" s="586">
        <f>INPUT!DM419</f>
        <v>27.116212338593975</v>
      </c>
      <c r="BQ528" s="577">
        <f>INPUT!DN419</f>
        <v>3.133009849596192</v>
      </c>
      <c r="BR528" s="586">
        <f>INPUT!DO419</f>
        <v>28.062678062678064</v>
      </c>
      <c r="BS528" s="577">
        <f>INPUT!DP419</f>
        <v>5.0037569268338302</v>
      </c>
      <c r="BT528" s="586">
        <f>INPUT!DQ419</f>
        <v>26.717557251908396</v>
      </c>
      <c r="BU528" s="577">
        <f>INPUT!DR419</f>
        <v>-5.7545507927187316</v>
      </c>
      <c r="BV528" s="586">
        <f>INPUT!DS419</f>
        <v>25.413533834586467</v>
      </c>
      <c r="BW528" s="577">
        <f>INPUT!DT419</f>
        <v>-7.2902927710337195</v>
      </c>
      <c r="BX528" s="586">
        <f>INPUT!DU419</f>
        <v>26.506024096385545</v>
      </c>
      <c r="BY528" s="577">
        <f>INPUT!DV419</f>
        <v>-2.2502709249697119</v>
      </c>
      <c r="BZ528" s="586">
        <f>INPUT!DW419</f>
        <v>25.502318392581142</v>
      </c>
      <c r="CA528" s="577">
        <f>INPUT!DX419</f>
        <v>-9.1237182152692355</v>
      </c>
      <c r="CB528" s="586">
        <f>INPUT!DY419</f>
        <v>26.349206349206352</v>
      </c>
      <c r="CC528" s="577">
        <f>INPUT!DZ419</f>
        <v>-1.3786848072562208</v>
      </c>
      <c r="CD528" s="586">
        <f>INPUT!EA419</f>
        <v>25.609756097560975</v>
      </c>
      <c r="CE528" s="577">
        <f>INPUT!EB419</f>
        <v>0.77211718862750445</v>
      </c>
      <c r="CF528" s="586">
        <f>INPUT!EC419</f>
        <v>24.133148404993065</v>
      </c>
      <c r="CG528" s="577">
        <f>INPUT!ED419</f>
        <v>-8.9522128357079964</v>
      </c>
      <c r="CH528" s="586">
        <f>INPUT!EE419</f>
        <v>24.162011173184357</v>
      </c>
      <c r="CI528" s="577">
        <f>INPUT!EF419</f>
        <v>-5.2556289148467954</v>
      </c>
      <c r="CJ528" s="586">
        <f>INPUT!EG419</f>
        <v>23.949579831932773</v>
      </c>
      <c r="CK528" s="577">
        <f>INPUT!EH419</f>
        <v>-9.1070163004961131</v>
      </c>
      <c r="CL528" s="586">
        <f>INPUT!EI419</f>
        <v>23.563218390804597</v>
      </c>
      <c r="CM528" s="577">
        <f>INPUT!EJ419</f>
        <v>-7.9912424740010977</v>
      </c>
      <c r="CN528" s="586">
        <f>INPUT!EK419</f>
        <v>22.311827956989248</v>
      </c>
      <c r="CO528" s="577">
        <f>INPUT!EL419</f>
        <v>-7.5469657644296149</v>
      </c>
      <c r="CP528" s="586">
        <f>INPUT!EM419</f>
        <v>22.493224932249323</v>
      </c>
      <c r="CQ528" s="577">
        <f>INPUT!EN419</f>
        <v>-6.9066528815577186</v>
      </c>
      <c r="CR528" s="586">
        <f>INPUT!EO419</f>
        <v>22.602739726027394</v>
      </c>
      <c r="CS528" s="577">
        <f>INPUT!EP419</f>
        <v>-5.623648161499645</v>
      </c>
      <c r="CT528" s="586">
        <f>INPUT!EQ419</f>
        <v>22.311827956989248</v>
      </c>
      <c r="CU528" s="577">
        <f>INPUT!ER419</f>
        <v>-5.3107789142407427</v>
      </c>
      <c r="CV528" s="586">
        <f>INPUT!ES419</f>
        <v>22.8</v>
      </c>
      <c r="CW528" s="577">
        <f>INPUT!ET419</f>
        <v>2.1879518072288988</v>
      </c>
      <c r="CX528" s="586">
        <f>INPUT!EU419</f>
        <v>22.8</v>
      </c>
      <c r="CY528" s="577">
        <f>INPUT!EV419</f>
        <v>1.3638554216867504</v>
      </c>
      <c r="CZ528" s="586">
        <f>INPUT!EW419</f>
        <v>22.8</v>
      </c>
      <c r="DA528" s="577">
        <f>INPUT!EX419</f>
        <v>0.87272727272728901</v>
      </c>
      <c r="DB528" s="586"/>
      <c r="DC528" s="586">
        <f>INPUT!FP419</f>
        <v>15.532544378698224</v>
      </c>
      <c r="DD528" s="577">
        <f>INPUT!FQ419</f>
        <v>-7.7274591364461855</v>
      </c>
      <c r="DE528" s="586">
        <f>INPUT!FR419</f>
        <v>20.027624309392262</v>
      </c>
      <c r="DF528" s="577">
        <f>INPUT!FS419</f>
        <v>28.939752696658758</v>
      </c>
      <c r="DG528" s="586">
        <f>INPUT!FT419</f>
        <v>23.856613102595798</v>
      </c>
      <c r="DH528" s="577">
        <f>INPUT!FU419</f>
        <v>19.118537146754193</v>
      </c>
      <c r="DI528" s="586">
        <f>INPUT!FV419</f>
        <v>24.726911618669316</v>
      </c>
      <c r="DJ528" s="577">
        <f>INPUT!FW419</f>
        <v>3.648038857530949</v>
      </c>
      <c r="DK528" s="586">
        <f>INPUT!FX419</f>
        <v>26.654578422484132</v>
      </c>
      <c r="DL528" s="577">
        <f>INPUT!FY419</f>
        <v>7.7958251865121184</v>
      </c>
      <c r="DM528" s="586">
        <f>INPUT!FZ419</f>
        <v>28.771640560593571</v>
      </c>
      <c r="DN528" s="577">
        <f>INPUT!GA419</f>
        <v>7.9425834637235226</v>
      </c>
      <c r="DO528" s="586">
        <f>INPUT!GB419</f>
        <v>31.608451918930573</v>
      </c>
      <c r="DP528" s="577">
        <f>INPUT!GC419</f>
        <v>9.8597483600652964</v>
      </c>
      <c r="DQ528" s="586">
        <f>INPUT!GD419</f>
        <v>32.210998877665546</v>
      </c>
      <c r="DR528" s="577">
        <f>INPUT!GE419</f>
        <v>1.9062843073757136</v>
      </c>
      <c r="DS528" s="586">
        <f>INPUT!GF419</f>
        <v>27.509293680297397</v>
      </c>
      <c r="DT528" s="577">
        <f>INPUT!GG419</f>
        <v>-14.596583034338053</v>
      </c>
      <c r="DU528" s="586">
        <f>INPUT!GH419</f>
        <v>27.336534909493903</v>
      </c>
      <c r="DV528" s="577">
        <f>INPUT!GI419</f>
        <v>-0.62800147765054248</v>
      </c>
      <c r="DW528" s="586">
        <f>INPUT!GJ419</f>
        <v>25.940138142747504</v>
      </c>
      <c r="DX528" s="577">
        <f>INPUT!GK419</f>
        <v>-5.1081703345709428</v>
      </c>
      <c r="DY528" s="586">
        <f>INPUT!GL419</f>
        <v>24.438902743142144</v>
      </c>
      <c r="DZ528" s="577">
        <f>INPUT!GM419</f>
        <v>-5.7873068807271721</v>
      </c>
      <c r="EA528" s="586">
        <f>INPUT!GN419</f>
        <v>22.730398899587346</v>
      </c>
      <c r="EB528" s="577">
        <f>INPUT!GO419</f>
        <v>-6.9909187884232011</v>
      </c>
      <c r="EC528" s="586">
        <f>INPUT!GP419</f>
        <v>22.67795698924731</v>
      </c>
      <c r="ED528" s="577">
        <f>INPUT!GQ419</f>
        <v>-0.23071267060336709</v>
      </c>
      <c r="EE528" s="586">
        <f>INPUT!GR419</f>
        <v>22.92795698924731</v>
      </c>
      <c r="EF528" s="577">
        <f>INPUT!GS419</f>
        <v>1.1023920722600167</v>
      </c>
      <c r="EG528" s="586">
        <f>INPUT!GT419</f>
        <v>23.42795698924731</v>
      </c>
      <c r="EH528" s="577">
        <f>INPUT!GU419</f>
        <v>2.1807437977770405</v>
      </c>
      <c r="EI528" s="586">
        <f>INPUT!GV419</f>
        <v>23.92795698924731</v>
      </c>
      <c r="EJ528" s="577">
        <f>INPUT!GW419</f>
        <v>2.1342023131999213</v>
      </c>
      <c r="EK528" s="586">
        <f>INPUT!GX419</f>
        <v>24.42795698924731</v>
      </c>
      <c r="EL528" s="577">
        <f>INPUT!GY419</f>
        <v>2.0896058958342678</v>
      </c>
      <c r="EM528" s="577">
        <f>INPUT!GZ419</f>
        <v>1.4509265681633021</v>
      </c>
    </row>
    <row r="529" spans="1:144" ht="12.75" hidden="1" customHeight="1" outlineLevel="1" x14ac:dyDescent="0.2">
      <c r="A529" s="609" t="str">
        <f>INPUT!B420</f>
        <v>Operating Expenses/Total Revenues (%)</v>
      </c>
      <c r="B529" s="586">
        <f>INPUT!AY420</f>
        <v>24.21340629274966</v>
      </c>
      <c r="C529" s="577">
        <f>INPUT!AZ420</f>
        <v>1.3679890560875521</v>
      </c>
      <c r="D529" s="586">
        <f>INPUT!BA420</f>
        <v>26.865671641791046</v>
      </c>
      <c r="E529" s="577">
        <f>INPUT!BB420</f>
        <v>15.508021390374324</v>
      </c>
      <c r="F529" s="586">
        <f>INPUT!BC420</f>
        <v>26.732673267326735</v>
      </c>
      <c r="G529" s="577">
        <f>INPUT!BD420</f>
        <v>35.584276990573329</v>
      </c>
      <c r="H529" s="586">
        <f>INPUT!BE420</f>
        <v>26.035502958579883</v>
      </c>
      <c r="I529" s="577">
        <f>INPUT!BF420</f>
        <v>-3.2391874580613518</v>
      </c>
      <c r="J529" s="586">
        <f>INPUT!BG420</f>
        <v>24.927953890489913</v>
      </c>
      <c r="K529" s="577">
        <f>INPUT!BH420</f>
        <v>2.9510412087464744</v>
      </c>
      <c r="L529" s="586">
        <f>INPUT!BI420</f>
        <v>22.891566265060241</v>
      </c>
      <c r="M529" s="577">
        <f>INPUT!BJ420</f>
        <v>-14.792503346720224</v>
      </c>
      <c r="N529" s="586">
        <f>INPUT!BK420</f>
        <v>23.994252873563219</v>
      </c>
      <c r="O529" s="577">
        <f>INPUT!BL420</f>
        <v>-10.243720732226478</v>
      </c>
      <c r="P529" s="586">
        <f>INPUT!BM420</f>
        <v>26.874115983026876</v>
      </c>
      <c r="Q529" s="577">
        <f>INPUT!BN420</f>
        <v>3.2210363893532303</v>
      </c>
      <c r="R529" s="586">
        <f>INPUT!BO420</f>
        <v>25</v>
      </c>
      <c r="S529" s="577">
        <f>INPUT!BP420</f>
        <v>0.28901734104044863</v>
      </c>
      <c r="T529" s="586">
        <f>INPUT!BQ420</f>
        <v>26.071428571428573</v>
      </c>
      <c r="U529" s="577">
        <f>INPUT!BR420</f>
        <v>13.890977443609032</v>
      </c>
      <c r="V529" s="586">
        <f>INPUT!BS420</f>
        <v>25.261780104712038</v>
      </c>
      <c r="W529" s="577">
        <f>INPUT!BT420</f>
        <v>5.2826284603567473</v>
      </c>
      <c r="X529" s="586">
        <f>INPUT!BU420</f>
        <v>26.510480887792848</v>
      </c>
      <c r="Y529" s="577">
        <f>INPUT!BV420</f>
        <v>-1.3531053280550367</v>
      </c>
      <c r="Z529" s="586">
        <f>INPUT!BW420</f>
        <v>28.509719222462206</v>
      </c>
      <c r="AA529" s="577">
        <f>INPUT!BX420</f>
        <v>14.038876889848822</v>
      </c>
      <c r="AB529" s="586">
        <f>INPUT!BY420</f>
        <v>25.463414634146343</v>
      </c>
      <c r="AC529" s="577">
        <f>INPUT!BZ420</f>
        <v>-2.3321082525893644</v>
      </c>
      <c r="AD529" s="586">
        <f>INPUT!CA420</f>
        <v>23.913043478260871</v>
      </c>
      <c r="AE529" s="577">
        <f>INPUT!CB420</f>
        <v>-5.3390403243973736</v>
      </c>
      <c r="AF529" s="586">
        <f>INPUT!CC420</f>
        <v>27.787934186471663</v>
      </c>
      <c r="AG529" s="577">
        <f>INPUT!CD420</f>
        <v>4.8186726754814799</v>
      </c>
      <c r="AH529" s="586">
        <f>INPUT!CE420</f>
        <v>26.774483378256964</v>
      </c>
      <c r="AI529" s="577">
        <f>INPUT!CF420</f>
        <v>-6.0864711808108183</v>
      </c>
      <c r="AJ529" s="586">
        <f>INPUT!CG420</f>
        <v>24.324324324324326</v>
      </c>
      <c r="AK529" s="577">
        <f>INPUT!CH420</f>
        <v>-4.4734389561975689</v>
      </c>
      <c r="AL529" s="586">
        <f>INPUT!CI420</f>
        <v>26.112026359143325</v>
      </c>
      <c r="AM529" s="577">
        <f>INPUT!CJ420</f>
        <v>9.1957465927811768</v>
      </c>
      <c r="AN529" s="586">
        <f>INPUT!CK420</f>
        <v>26.007326007326011</v>
      </c>
      <c r="AO529" s="577">
        <f>INPUT!CL420</f>
        <v>-6.4078465394254778</v>
      </c>
      <c r="AP529" s="586">
        <f>INPUT!CM420</f>
        <v>24.100719424460433</v>
      </c>
      <c r="AQ529" s="577">
        <f>INPUT!CN420</f>
        <v>-9.9862391965622095</v>
      </c>
      <c r="AR529" s="586">
        <f>INPUT!CO420</f>
        <v>30.476804123711343</v>
      </c>
      <c r="AS529" s="577">
        <f>INPUT!CP420</f>
        <v>25.293528064146614</v>
      </c>
      <c r="AT529" s="586">
        <f>INPUT!CQ420</f>
        <v>31.368696791093647</v>
      </c>
      <c r="AU529" s="577">
        <f>INPUT!CR420</f>
        <v>20.131223673147304</v>
      </c>
      <c r="AV529" s="586">
        <f>INPUT!CS420</f>
        <v>32.137083737471713</v>
      </c>
      <c r="AW529" s="577">
        <f>INPUT!CT420</f>
        <v>23.569350145489793</v>
      </c>
      <c r="AX529" s="586">
        <f>INPUT!CU420</f>
        <v>26.74285714285714</v>
      </c>
      <c r="AY529" s="577">
        <f>INPUT!CV420</f>
        <v>10.962899786780383</v>
      </c>
      <c r="AZ529" s="586">
        <f>INPUT!CW420</f>
        <v>22.710014238253439</v>
      </c>
      <c r="BA529" s="577">
        <f>INPUT!CX420</f>
        <v>-25.484266178077519</v>
      </c>
      <c r="BB529" s="586">
        <f>INPUT!CY420</f>
        <v>14.517491972283253</v>
      </c>
      <c r="BC529" s="577" t="str">
        <f>INPUT!CZ420</f>
        <v>NM</v>
      </c>
      <c r="BD529" s="586">
        <f>INPUT!DA420</f>
        <v>13.116640299151443</v>
      </c>
      <c r="BE529" s="577" t="str">
        <f>INPUT!DB420</f>
        <v>NM</v>
      </c>
      <c r="BF529" s="586">
        <f>INPUT!DC420</f>
        <v>18.146915792167903</v>
      </c>
      <c r="BG529" s="577">
        <f>INPUT!DD420</f>
        <v>-32.14294308484223</v>
      </c>
      <c r="BH529" s="586">
        <f>INPUT!DE420</f>
        <v>17.768376520359599</v>
      </c>
      <c r="BI529" s="577">
        <f>INPUT!DF420</f>
        <v>-21.759729721216985</v>
      </c>
      <c r="BJ529" s="586">
        <f>INPUT!DG420</f>
        <v>20.123136746597538</v>
      </c>
      <c r="BK529" s="577">
        <f>INPUT!DH420</f>
        <v>38.613038567657298</v>
      </c>
      <c r="BL529" s="586">
        <f>INPUT!DI420</f>
        <v>23.860782203085755</v>
      </c>
      <c r="BM529" s="577">
        <f>INPUT!DJ420</f>
        <v>81.912301160148331</v>
      </c>
      <c r="BN529" s="586">
        <f>INPUT!DK420</f>
        <v>23.497688751926042</v>
      </c>
      <c r="BO529" s="577">
        <f>INPUT!DL420</f>
        <v>29.48585324933012</v>
      </c>
      <c r="BP529" s="586">
        <f>INPUT!DM420</f>
        <v>21.096623202942162</v>
      </c>
      <c r="BQ529" s="577">
        <f>INPUT!DN420</f>
        <v>18.73129308560604</v>
      </c>
      <c r="BR529" s="586">
        <f>INPUT!DO420</f>
        <v>23.178807947019866</v>
      </c>
      <c r="BS529" s="577">
        <f>INPUT!DP420</f>
        <v>15.184865256849122</v>
      </c>
      <c r="BT529" s="586">
        <f>INPUT!DQ420</f>
        <v>24.538893344025663</v>
      </c>
      <c r="BU529" s="577">
        <f>INPUT!DR420</f>
        <v>2.8419484959391355</v>
      </c>
      <c r="BV529" s="586">
        <f>INPUT!DS420</f>
        <v>22.605519480519483</v>
      </c>
      <c r="BW529" s="577">
        <f>INPUT!DT420</f>
        <v>-3.7968384074941355</v>
      </c>
      <c r="BX529" s="586">
        <f>INPUT!DU420</f>
        <v>19.9215965787598</v>
      </c>
      <c r="BY529" s="577">
        <f>INPUT!DV420</f>
        <v>-5.5697379285728204</v>
      </c>
      <c r="BZ529" s="586">
        <f>INPUT!DW420</f>
        <v>21.4</v>
      </c>
      <c r="CA529" s="577">
        <f>INPUT!DX420</f>
        <v>-7.6742857142857162</v>
      </c>
      <c r="CB529" s="586">
        <f>INPUT!DY420</f>
        <v>23.905862923203962</v>
      </c>
      <c r="CC529" s="577">
        <f>INPUT!DZ420</f>
        <v>-2.579702401191696</v>
      </c>
      <c r="CD529" s="586">
        <f>INPUT!EA420</f>
        <v>22.816901408450704</v>
      </c>
      <c r="CE529" s="577">
        <f>INPUT!EB420</f>
        <v>0.93508989303865064</v>
      </c>
      <c r="CF529" s="586">
        <f>INPUT!EC420</f>
        <v>21.189336978810662</v>
      </c>
      <c r="CG529" s="577">
        <f>INPUT!ED420</f>
        <v>6.3636485913107492</v>
      </c>
      <c r="CH529" s="586">
        <f>INPUT!EE420</f>
        <v>23.46545071904595</v>
      </c>
      <c r="CI529" s="577">
        <f>INPUT!EF420</f>
        <v>9.6516388740464976</v>
      </c>
      <c r="CJ529" s="586">
        <f>INPUT!EG420</f>
        <v>22.781600869250269</v>
      </c>
      <c r="CK529" s="577">
        <f>INPUT!EH420</f>
        <v>-4.702871666106816</v>
      </c>
      <c r="CL529" s="586">
        <f>INPUT!EI420</f>
        <v>21.702774610414291</v>
      </c>
      <c r="CM529" s="577">
        <f>INPUT!EJ420</f>
        <v>-4.8829013988015646</v>
      </c>
      <c r="CN529" s="586">
        <f>INPUT!EK420</f>
        <v>21.507226428079836</v>
      </c>
      <c r="CO529" s="577">
        <f>INPUT!EL420</f>
        <v>1.5002331105832241</v>
      </c>
      <c r="CP529" s="586">
        <f>INPUT!EM420</f>
        <v>20.989450709348851</v>
      </c>
      <c r="CQ529" s="577">
        <f>INPUT!EN420</f>
        <v>-10.551683150443097</v>
      </c>
      <c r="CR529" s="586">
        <f>INPUT!EO420</f>
        <v>21.901140684410649</v>
      </c>
      <c r="CS529" s="577">
        <f>INPUT!EP420</f>
        <v>-3.8647862803532433</v>
      </c>
      <c r="CT529" s="586">
        <f>INPUT!EQ420</f>
        <v>21.8</v>
      </c>
      <c r="CU529" s="577">
        <f>INPUT!ER420</f>
        <v>0.44798598949211055</v>
      </c>
      <c r="CV529" s="586">
        <f>INPUT!ES420</f>
        <v>21.507226428079836</v>
      </c>
      <c r="CW529" s="577">
        <f>INPUT!ET420</f>
        <v>0</v>
      </c>
      <c r="CX529" s="586">
        <f>INPUT!EU420</f>
        <v>20.989450709348851</v>
      </c>
      <c r="CY529" s="577">
        <f>INPUT!EV420</f>
        <v>0</v>
      </c>
      <c r="CZ529" s="586">
        <f>INPUT!EW420</f>
        <v>21.6</v>
      </c>
      <c r="DA529" s="577">
        <f>INPUT!EX420</f>
        <v>-1.375</v>
      </c>
      <c r="DB529" s="586"/>
      <c r="DC529" s="586">
        <f>INPUT!FP420</f>
        <v>23.289431416639896</v>
      </c>
      <c r="DD529" s="577">
        <f>INPUT!FQ420</f>
        <v>-2.2509292827314056</v>
      </c>
      <c r="DE529" s="586">
        <f>INPUT!FR420</f>
        <v>25.955804980708525</v>
      </c>
      <c r="DF529" s="577">
        <f>INPUT!FS420</f>
        <v>11.448856420614689</v>
      </c>
      <c r="DG529" s="586">
        <f>INPUT!FT420</f>
        <v>24.648382559774966</v>
      </c>
      <c r="DH529" s="577">
        <f>INPUT!FU420</f>
        <v>-5.0371098947048267</v>
      </c>
      <c r="DI529" s="586">
        <f>INPUT!FV420</f>
        <v>34.569983136593592</v>
      </c>
      <c r="DJ529" s="577">
        <f>INPUT!FW420</f>
        <v>40.252542140473849</v>
      </c>
      <c r="DK529" s="586">
        <f>INPUT!FX420</f>
        <v>26.343697276452154</v>
      </c>
      <c r="DL529" s="577">
        <f>INPUT!FY420</f>
        <v>-23.796036658848166</v>
      </c>
      <c r="DM529" s="586">
        <f>INPUT!FZ420</f>
        <v>25.777777777777779</v>
      </c>
      <c r="DN529" s="577">
        <f>INPUT!GA420</f>
        <v>-2.1482159194876402</v>
      </c>
      <c r="DO529" s="586">
        <f>INPUT!GB420</f>
        <v>29.925925925925927</v>
      </c>
      <c r="DP529" s="577">
        <f>INPUT!GC420</f>
        <v>16.091954022988503</v>
      </c>
      <c r="DQ529" s="586">
        <f>INPUT!GD420</f>
        <v>17.800233190827829</v>
      </c>
      <c r="DR529" s="577">
        <f>INPUT!GE420</f>
        <v>-40.519022753421865</v>
      </c>
      <c r="DS529" s="586">
        <f>INPUT!GF420</f>
        <v>19.665241114879812</v>
      </c>
      <c r="DT529" s="577">
        <f>INPUT!GG420</f>
        <v>10.47743534625711</v>
      </c>
      <c r="DU529" s="586">
        <f>INPUT!GH420</f>
        <v>22.992869710158349</v>
      </c>
      <c r="DV529" s="577">
        <f>INPUT!GI420</f>
        <v>16.92137195694319</v>
      </c>
      <c r="DW529" s="586">
        <f>INPUT!GJ420</f>
        <v>21.879905808477236</v>
      </c>
      <c r="DX529" s="577">
        <f>INPUT!GK420</f>
        <v>-4.840474093537793</v>
      </c>
      <c r="DY529" s="586">
        <f>INPUT!GL420</f>
        <v>22.543772112854938</v>
      </c>
      <c r="DZ529" s="577">
        <f>INPUT!GM420</f>
        <v>3.0341369391110078</v>
      </c>
      <c r="EA529" s="586">
        <f>INPUT!GN420</f>
        <v>21.51887138145841</v>
      </c>
      <c r="EB529" s="577">
        <f>INPUT!GO420</f>
        <v>-4.5462699244200877</v>
      </c>
      <c r="EC529" s="586">
        <f>INPUT!GP420</f>
        <v>21.471041762166038</v>
      </c>
      <c r="ED529" s="577">
        <f>INPUT!GQ420</f>
        <v>-0.22226825210537982</v>
      </c>
      <c r="EE529" s="586">
        <f>INPUT!GR420</f>
        <v>21.471041762166038</v>
      </c>
      <c r="EF529" s="577">
        <f>INPUT!GS420</f>
        <v>0</v>
      </c>
      <c r="EG529" s="586">
        <f>INPUT!GT420</f>
        <v>21.471041762166038</v>
      </c>
      <c r="EH529" s="577">
        <f>INPUT!GU420</f>
        <v>0</v>
      </c>
      <c r="EI529" s="586">
        <f>INPUT!GV420</f>
        <v>21.471041762166038</v>
      </c>
      <c r="EJ529" s="577">
        <f>INPUT!GW420</f>
        <v>0</v>
      </c>
      <c r="EK529" s="586">
        <f>INPUT!GX420</f>
        <v>21.471041762166038</v>
      </c>
      <c r="EL529" s="577">
        <f>INPUT!GY420</f>
        <v>0</v>
      </c>
      <c r="EM529" s="577">
        <f>INPUT!GZ420</f>
        <v>-4.4493225751573995E-2</v>
      </c>
    </row>
    <row r="530" spans="1:144" ht="12.75" hidden="1" customHeight="1" outlineLevel="1" x14ac:dyDescent="0.2">
      <c r="A530" s="609"/>
      <c r="B530" s="615"/>
      <c r="C530" s="555"/>
      <c r="D530" s="615"/>
      <c r="E530" s="555"/>
      <c r="F530" s="615"/>
      <c r="G530" s="555"/>
      <c r="H530" s="615"/>
      <c r="I530" s="555"/>
      <c r="J530" s="615"/>
      <c r="K530" s="555"/>
      <c r="L530" s="615"/>
      <c r="M530" s="555"/>
      <c r="N530" s="615"/>
      <c r="O530" s="555"/>
      <c r="P530" s="615"/>
      <c r="Q530" s="555"/>
      <c r="R530" s="615"/>
      <c r="S530" s="555"/>
      <c r="T530" s="615"/>
      <c r="U530" s="555"/>
      <c r="V530" s="615"/>
      <c r="W530" s="555"/>
      <c r="X530" s="615"/>
      <c r="Y530" s="555"/>
      <c r="Z530" s="615"/>
      <c r="AA530" s="555"/>
      <c r="AB530" s="615"/>
      <c r="AC530" s="555"/>
      <c r="AD530" s="615"/>
      <c r="AE530" s="555"/>
      <c r="AF530" s="615"/>
      <c r="AG530" s="555"/>
      <c r="AH530" s="615"/>
      <c r="AI530" s="555"/>
      <c r="AJ530" s="615"/>
      <c r="AK530" s="555"/>
      <c r="AL530" s="615"/>
      <c r="AM530" s="555"/>
      <c r="AN530" s="615"/>
      <c r="AO530" s="555"/>
      <c r="AP530" s="615"/>
      <c r="AQ530" s="555"/>
      <c r="AR530" s="615"/>
      <c r="AS530" s="555"/>
      <c r="AT530" s="615"/>
      <c r="AU530" s="555"/>
      <c r="AV530" s="615"/>
      <c r="AW530" s="555"/>
      <c r="AX530" s="615"/>
      <c r="AY530" s="555"/>
      <c r="AZ530" s="615"/>
      <c r="BA530" s="555"/>
      <c r="BB530" s="615"/>
      <c r="BC530" s="555"/>
      <c r="BD530" s="615"/>
      <c r="BE530" s="555"/>
      <c r="BF530" s="615"/>
      <c r="BG530" s="555"/>
      <c r="BH530" s="615"/>
      <c r="BI530" s="555"/>
      <c r="BJ530" s="615"/>
      <c r="BK530" s="555"/>
      <c r="BL530" s="615"/>
      <c r="BM530" s="555"/>
      <c r="BN530" s="615"/>
      <c r="BO530" s="555"/>
      <c r="BP530" s="615"/>
      <c r="BQ530" s="555"/>
      <c r="BR530" s="615"/>
      <c r="BS530" s="555"/>
      <c r="BT530" s="615"/>
      <c r="BU530" s="555"/>
      <c r="BV530" s="615"/>
      <c r="BW530" s="555"/>
      <c r="BX530" s="615"/>
      <c r="BY530" s="555"/>
      <c r="BZ530" s="615"/>
      <c r="CA530" s="555"/>
      <c r="CB530" s="615"/>
      <c r="CC530" s="555"/>
      <c r="CD530" s="615"/>
      <c r="CE530" s="555"/>
      <c r="CF530" s="615"/>
      <c r="CG530" s="555"/>
      <c r="CH530" s="615"/>
      <c r="CI530" s="555"/>
      <c r="CJ530" s="615"/>
      <c r="CK530" s="555"/>
      <c r="CL530" s="615"/>
      <c r="CM530" s="555"/>
      <c r="CN530" s="615"/>
      <c r="CO530" s="555"/>
      <c r="CP530" s="615"/>
      <c r="CQ530" s="555"/>
      <c r="CR530" s="615"/>
      <c r="CS530" s="555"/>
      <c r="CT530" s="615"/>
      <c r="CU530" s="555"/>
      <c r="CV530" s="615"/>
      <c r="CW530" s="555"/>
      <c r="CX530" s="615"/>
      <c r="CY530" s="555"/>
      <c r="CZ530" s="615"/>
      <c r="DA530" s="555"/>
      <c r="DB530" s="615"/>
      <c r="DC530" s="615"/>
      <c r="DD530" s="555"/>
      <c r="DE530" s="615"/>
      <c r="DF530" s="555"/>
      <c r="DG530" s="615"/>
      <c r="DH530" s="555"/>
      <c r="DI530" s="615"/>
      <c r="DJ530" s="555"/>
      <c r="DK530" s="615"/>
      <c r="DL530" s="555"/>
      <c r="DM530" s="615"/>
      <c r="DN530" s="555"/>
      <c r="DO530" s="615"/>
      <c r="DP530" s="555"/>
      <c r="DQ530" s="615"/>
      <c r="DR530" s="555"/>
      <c r="DS530" s="615"/>
      <c r="DT530" s="555"/>
      <c r="DU530" s="615"/>
      <c r="DV530" s="555"/>
      <c r="DW530" s="615"/>
      <c r="DX530" s="555"/>
      <c r="DY530" s="615"/>
      <c r="DZ530" s="555"/>
      <c r="EA530" s="615"/>
      <c r="EB530" s="555"/>
      <c r="EC530" s="615"/>
      <c r="ED530" s="555"/>
      <c r="EE530" s="615"/>
      <c r="EF530" s="555"/>
      <c r="EG530" s="615"/>
      <c r="EH530" s="555"/>
      <c r="EI530" s="615"/>
      <c r="EJ530" s="555"/>
      <c r="EK530" s="615"/>
      <c r="EL530" s="555"/>
      <c r="EM530" s="555"/>
    </row>
    <row r="531" spans="1:144" ht="12.75" hidden="1" customHeight="1" outlineLevel="1" x14ac:dyDescent="0.2">
      <c r="A531" s="599" t="s">
        <v>507</v>
      </c>
      <c r="B531" s="610"/>
      <c r="C531" s="555"/>
      <c r="D531" s="610"/>
      <c r="E531" s="555"/>
      <c r="F531" s="610"/>
      <c r="G531" s="555"/>
      <c r="H531" s="610"/>
      <c r="I531" s="555"/>
      <c r="J531" s="610"/>
      <c r="K531" s="555"/>
      <c r="L531" s="610"/>
      <c r="M531" s="555"/>
      <c r="N531" s="610"/>
      <c r="O531" s="555"/>
      <c r="P531" s="610"/>
      <c r="Q531" s="555"/>
      <c r="R531" s="610"/>
      <c r="S531" s="555"/>
      <c r="T531" s="610"/>
      <c r="U531" s="555"/>
      <c r="V531" s="610"/>
      <c r="W531" s="555"/>
      <c r="X531" s="610"/>
      <c r="Y531" s="555"/>
      <c r="Z531" s="610"/>
      <c r="AA531" s="555"/>
      <c r="AB531" s="610"/>
      <c r="AC531" s="555"/>
      <c r="AD531" s="610"/>
      <c r="AE531" s="555"/>
      <c r="AF531" s="610"/>
      <c r="AG531" s="555"/>
      <c r="AH531" s="610"/>
      <c r="AI531" s="555"/>
      <c r="AJ531" s="610"/>
      <c r="AK531" s="555"/>
      <c r="AL531" s="610"/>
      <c r="AM531" s="555"/>
      <c r="AN531" s="610"/>
      <c r="AO531" s="555"/>
      <c r="AP531" s="610"/>
      <c r="AQ531" s="555"/>
      <c r="AR531" s="610"/>
      <c r="AS531" s="555"/>
      <c r="AT531" s="610"/>
      <c r="AU531" s="555"/>
      <c r="AV531" s="610"/>
      <c r="AW531" s="555"/>
      <c r="AX531" s="610"/>
      <c r="AY531" s="555"/>
      <c r="AZ531" s="610"/>
      <c r="BA531" s="555"/>
      <c r="BB531" s="610"/>
      <c r="BC531" s="555"/>
      <c r="BD531" s="610"/>
      <c r="BE531" s="555"/>
      <c r="BF531" s="610"/>
      <c r="BG531" s="555"/>
      <c r="BH531" s="610"/>
      <c r="BI531" s="555"/>
      <c r="BJ531" s="610"/>
      <c r="BK531" s="555"/>
      <c r="BL531" s="610"/>
      <c r="BM531" s="555"/>
      <c r="BN531" s="610"/>
      <c r="BO531" s="555"/>
      <c r="BP531" s="610"/>
      <c r="BQ531" s="555"/>
      <c r="BR531" s="610"/>
      <c r="BS531" s="555"/>
      <c r="BT531" s="610"/>
      <c r="BU531" s="555"/>
      <c r="BV531" s="610"/>
      <c r="BW531" s="555"/>
      <c r="BX531" s="610"/>
      <c r="BY531" s="555"/>
      <c r="BZ531" s="610"/>
      <c r="CA531" s="555"/>
      <c r="CB531" s="610"/>
      <c r="CC531" s="555"/>
      <c r="CD531" s="610"/>
      <c r="CE531" s="555"/>
      <c r="CF531" s="610"/>
      <c r="CG531" s="555"/>
      <c r="CH531" s="610"/>
      <c r="CI531" s="555"/>
      <c r="CJ531" s="610"/>
      <c r="CK531" s="555"/>
      <c r="CL531" s="610"/>
      <c r="CM531" s="555"/>
      <c r="CN531" s="610"/>
      <c r="CO531" s="555"/>
      <c r="CP531" s="610"/>
      <c r="CQ531" s="555"/>
      <c r="CR531" s="610"/>
      <c r="CS531" s="555"/>
      <c r="CT531" s="610"/>
      <c r="CU531" s="555"/>
      <c r="CV531" s="610"/>
      <c r="CW531" s="555"/>
      <c r="CX531" s="610"/>
      <c r="CY531" s="555"/>
      <c r="CZ531" s="610"/>
      <c r="DA531" s="555"/>
      <c r="DB531" s="556"/>
      <c r="DC531" s="610"/>
      <c r="DD531" s="555"/>
      <c r="DE531" s="610"/>
      <c r="DF531" s="555"/>
      <c r="DG531" s="610"/>
      <c r="DH531" s="555"/>
      <c r="DI531" s="610"/>
      <c r="DJ531" s="555"/>
      <c r="DK531" s="610"/>
      <c r="DL531" s="555"/>
      <c r="DM531" s="610"/>
      <c r="DN531" s="555"/>
      <c r="DO531" s="610"/>
      <c r="DP531" s="555"/>
      <c r="DQ531" s="610"/>
      <c r="DR531" s="555"/>
      <c r="DS531" s="610"/>
      <c r="DT531" s="555"/>
      <c r="DU531" s="610"/>
      <c r="DV531" s="555"/>
      <c r="DW531" s="610"/>
      <c r="DX531" s="555"/>
      <c r="DY531" s="610"/>
      <c r="DZ531" s="555"/>
      <c r="EA531" s="610"/>
      <c r="EB531" s="555"/>
      <c r="EC531" s="610"/>
      <c r="ED531" s="555"/>
      <c r="EE531" s="610"/>
      <c r="EF531" s="555"/>
      <c r="EG531" s="610"/>
      <c r="EH531" s="555"/>
      <c r="EI531" s="610"/>
      <c r="EJ531" s="555"/>
      <c r="EK531" s="610"/>
      <c r="EL531" s="555"/>
      <c r="EM531" s="555"/>
    </row>
    <row r="532" spans="1:144" ht="12.75" hidden="1" customHeight="1" outlineLevel="1" x14ac:dyDescent="0.2">
      <c r="A532" s="599" t="s">
        <v>543</v>
      </c>
      <c r="B532" s="610"/>
      <c r="C532" s="555"/>
      <c r="D532" s="610"/>
      <c r="E532" s="555"/>
      <c r="F532" s="610"/>
      <c r="G532" s="555"/>
      <c r="H532" s="610"/>
      <c r="I532" s="555"/>
      <c r="J532" s="610"/>
      <c r="K532" s="555"/>
      <c r="L532" s="610"/>
      <c r="M532" s="555"/>
      <c r="N532" s="610"/>
      <c r="O532" s="555"/>
      <c r="P532" s="610"/>
      <c r="Q532" s="555"/>
      <c r="R532" s="610"/>
      <c r="S532" s="555"/>
      <c r="T532" s="610"/>
      <c r="U532" s="555"/>
      <c r="V532" s="610"/>
      <c r="W532" s="555"/>
      <c r="X532" s="610"/>
      <c r="Y532" s="555"/>
      <c r="Z532" s="610"/>
      <c r="AA532" s="555"/>
      <c r="AB532" s="610"/>
      <c r="AC532" s="555"/>
      <c r="AD532" s="610"/>
      <c r="AE532" s="555"/>
      <c r="AF532" s="610"/>
      <c r="AG532" s="555"/>
      <c r="AH532" s="610"/>
      <c r="AI532" s="555"/>
      <c r="AJ532" s="610"/>
      <c r="AK532" s="555"/>
      <c r="AL532" s="610"/>
      <c r="AM532" s="555"/>
      <c r="AN532" s="610"/>
      <c r="AO532" s="555"/>
      <c r="AP532" s="610"/>
      <c r="AQ532" s="555"/>
      <c r="AR532" s="610"/>
      <c r="AS532" s="555"/>
      <c r="AT532" s="610"/>
      <c r="AU532" s="555"/>
      <c r="AV532" s="610"/>
      <c r="AW532" s="555"/>
      <c r="AX532" s="610"/>
      <c r="AY532" s="555"/>
      <c r="AZ532" s="610"/>
      <c r="BA532" s="555"/>
      <c r="BB532" s="610"/>
      <c r="BC532" s="555"/>
      <c r="BD532" s="610"/>
      <c r="BE532" s="555"/>
      <c r="BF532" s="610"/>
      <c r="BG532" s="555"/>
      <c r="BH532" s="610"/>
      <c r="BI532" s="555"/>
      <c r="BJ532" s="610"/>
      <c r="BK532" s="555"/>
      <c r="BL532" s="610"/>
      <c r="BM532" s="555"/>
      <c r="BN532" s="610"/>
      <c r="BO532" s="555"/>
      <c r="BP532" s="610"/>
      <c r="BQ532" s="555"/>
      <c r="BR532" s="610"/>
      <c r="BS532" s="555"/>
      <c r="BT532" s="610"/>
      <c r="BU532" s="555"/>
      <c r="BV532" s="610"/>
      <c r="BW532" s="555"/>
      <c r="BX532" s="610"/>
      <c r="BY532" s="555"/>
      <c r="BZ532" s="610"/>
      <c r="CA532" s="555"/>
      <c r="CB532" s="610"/>
      <c r="CC532" s="555"/>
      <c r="CD532" s="610"/>
      <c r="CE532" s="555"/>
      <c r="CF532" s="610"/>
      <c r="CG532" s="555"/>
      <c r="CH532" s="610"/>
      <c r="CI532" s="555"/>
      <c r="CJ532" s="610"/>
      <c r="CK532" s="555"/>
      <c r="CL532" s="610"/>
      <c r="CM532" s="555"/>
      <c r="CN532" s="610"/>
      <c r="CO532" s="555"/>
      <c r="CP532" s="610"/>
      <c r="CQ532" s="555"/>
      <c r="CR532" s="610"/>
      <c r="CS532" s="555"/>
      <c r="CT532" s="610"/>
      <c r="CU532" s="555"/>
      <c r="CV532" s="610"/>
      <c r="CW532" s="555"/>
      <c r="CX532" s="610"/>
      <c r="CY532" s="555"/>
      <c r="CZ532" s="610"/>
      <c r="DA532" s="555"/>
      <c r="DB532" s="556"/>
      <c r="DC532" s="610"/>
      <c r="DD532" s="555"/>
      <c r="DE532" s="610"/>
      <c r="DF532" s="555"/>
      <c r="DG532" s="610"/>
      <c r="DH532" s="555"/>
      <c r="DI532" s="610"/>
      <c r="DJ532" s="555"/>
      <c r="DK532" s="610"/>
      <c r="DL532" s="555"/>
      <c r="DM532" s="610"/>
      <c r="DN532" s="555"/>
      <c r="DO532" s="610"/>
      <c r="DP532" s="555"/>
      <c r="DQ532" s="610"/>
      <c r="DR532" s="555"/>
      <c r="DS532" s="610"/>
      <c r="DT532" s="555"/>
      <c r="DU532" s="610"/>
      <c r="DV532" s="555"/>
      <c r="DW532" s="610"/>
      <c r="DX532" s="555"/>
      <c r="DY532" s="610"/>
      <c r="DZ532" s="555"/>
      <c r="EA532" s="610"/>
      <c r="EB532" s="555"/>
      <c r="EC532" s="610"/>
      <c r="ED532" s="555"/>
      <c r="EE532" s="610"/>
      <c r="EF532" s="555"/>
      <c r="EG532" s="610"/>
      <c r="EH532" s="555"/>
      <c r="EI532" s="610"/>
      <c r="EJ532" s="555"/>
      <c r="EK532" s="610"/>
      <c r="EL532" s="555"/>
      <c r="EM532" s="555"/>
    </row>
    <row r="533" spans="1:144" ht="12.75" customHeight="1" collapsed="1" x14ac:dyDescent="0.2">
      <c r="A533" s="609"/>
      <c r="B533" s="610"/>
      <c r="C533" s="555"/>
      <c r="D533" s="610"/>
      <c r="E533" s="555"/>
      <c r="F533" s="610"/>
      <c r="G533" s="555"/>
      <c r="H533" s="610"/>
      <c r="I533" s="555"/>
      <c r="J533" s="610"/>
      <c r="K533" s="555"/>
      <c r="L533" s="610"/>
      <c r="M533" s="555"/>
      <c r="N533" s="610"/>
      <c r="O533" s="555"/>
      <c r="P533" s="610"/>
      <c r="Q533" s="555"/>
      <c r="R533" s="610"/>
      <c r="S533" s="555"/>
      <c r="T533" s="610"/>
      <c r="U533" s="555"/>
      <c r="V533" s="610"/>
      <c r="W533" s="555"/>
      <c r="X533" s="610"/>
      <c r="Y533" s="555"/>
      <c r="Z533" s="610"/>
      <c r="AA533" s="555"/>
      <c r="AB533" s="610"/>
      <c r="AC533" s="555"/>
      <c r="AD533" s="610"/>
      <c r="AE533" s="555"/>
      <c r="AF533" s="610"/>
      <c r="AG533" s="555"/>
      <c r="AH533" s="610"/>
      <c r="AI533" s="555"/>
      <c r="AJ533" s="610"/>
      <c r="AK533" s="555"/>
      <c r="AL533" s="610"/>
      <c r="AM533" s="555"/>
      <c r="AN533" s="610"/>
      <c r="AO533" s="555"/>
      <c r="AP533" s="610"/>
      <c r="AQ533" s="555"/>
      <c r="AR533" s="610"/>
      <c r="AS533" s="555"/>
      <c r="AT533" s="610"/>
      <c r="AU533" s="555"/>
      <c r="AV533" s="610"/>
      <c r="AW533" s="555"/>
      <c r="AX533" s="610"/>
      <c r="AY533" s="555"/>
      <c r="AZ533" s="610"/>
      <c r="BA533" s="555"/>
      <c r="BB533" s="610"/>
      <c r="BC533" s="555"/>
      <c r="BD533" s="610"/>
      <c r="BE533" s="555"/>
      <c r="BF533" s="610"/>
      <c r="BG533" s="555"/>
      <c r="BH533" s="610"/>
      <c r="BI533" s="555"/>
      <c r="BJ533" s="610"/>
      <c r="BK533" s="555"/>
      <c r="BL533" s="610"/>
      <c r="BM533" s="555"/>
      <c r="BN533" s="610"/>
      <c r="BO533" s="555"/>
      <c r="BP533" s="610"/>
      <c r="BQ533" s="555"/>
      <c r="BR533" s="610"/>
      <c r="BS533" s="555"/>
      <c r="BT533" s="610"/>
      <c r="BU533" s="555"/>
      <c r="BV533" s="610"/>
      <c r="BW533" s="555"/>
      <c r="BX533" s="610"/>
      <c r="BY533" s="555"/>
      <c r="BZ533" s="610"/>
      <c r="CA533" s="555"/>
      <c r="CB533" s="610"/>
      <c r="CC533" s="555"/>
      <c r="CD533" s="610"/>
      <c r="CE533" s="555"/>
      <c r="CF533" s="610"/>
      <c r="CG533" s="555"/>
      <c r="CH533" s="610"/>
      <c r="CI533" s="555"/>
      <c r="CJ533" s="610"/>
      <c r="CK533" s="555"/>
      <c r="CL533" s="610"/>
      <c r="CM533" s="555"/>
      <c r="CN533" s="610"/>
      <c r="CO533" s="555"/>
      <c r="CP533" s="610"/>
      <c r="CQ533" s="555"/>
      <c r="CR533" s="610"/>
      <c r="CS533" s="555"/>
      <c r="CT533" s="610"/>
      <c r="CU533" s="555"/>
      <c r="CV533" s="610"/>
      <c r="CW533" s="555"/>
      <c r="CX533" s="610"/>
      <c r="CY533" s="555"/>
      <c r="CZ533" s="610"/>
      <c r="DA533" s="555"/>
      <c r="DB533" s="556"/>
      <c r="DC533" s="610"/>
      <c r="DD533" s="555"/>
      <c r="DE533" s="610"/>
      <c r="DF533" s="555"/>
      <c r="DG533" s="610"/>
      <c r="DH533" s="555"/>
      <c r="DI533" s="610"/>
      <c r="DJ533" s="555"/>
      <c r="DK533" s="610"/>
      <c r="DL533" s="555"/>
      <c r="DM533" s="610"/>
      <c r="DN533" s="555"/>
      <c r="DO533" s="610"/>
      <c r="DP533" s="555"/>
      <c r="DQ533" s="610"/>
      <c r="DR533" s="555"/>
      <c r="DS533" s="610"/>
      <c r="DT533" s="555"/>
      <c r="DU533" s="610"/>
      <c r="DV533" s="555"/>
      <c r="DW533" s="610"/>
      <c r="DX533" s="555"/>
      <c r="DY533" s="610"/>
      <c r="DZ533" s="555"/>
      <c r="EA533" s="610"/>
      <c r="EB533" s="555"/>
      <c r="EC533" s="610"/>
      <c r="ED533" s="555"/>
      <c r="EE533" s="610"/>
      <c r="EF533" s="555"/>
      <c r="EG533" s="610"/>
      <c r="EH533" s="555"/>
      <c r="EI533" s="610"/>
      <c r="EJ533" s="555"/>
      <c r="EK533" s="610"/>
      <c r="EL533" s="555"/>
      <c r="EM533" s="555"/>
    </row>
    <row r="534" spans="1:144" ht="21.95" hidden="1" customHeight="1" outlineLevel="1" x14ac:dyDescent="0.2">
      <c r="A534" s="609" t="str">
        <f>$A$1</f>
        <v>Prudential Financial, Inc.</v>
      </c>
      <c r="B534" s="554"/>
      <c r="C534" s="555"/>
      <c r="D534" s="554"/>
      <c r="E534" s="555"/>
      <c r="F534" s="554"/>
      <c r="G534" s="555"/>
      <c r="H534" s="554"/>
      <c r="I534" s="555"/>
      <c r="J534" s="554"/>
      <c r="K534" s="555"/>
      <c r="L534" s="554"/>
      <c r="M534" s="555"/>
      <c r="N534" s="554"/>
      <c r="O534" s="555"/>
      <c r="P534" s="554"/>
      <c r="Q534" s="555"/>
      <c r="R534" s="554"/>
      <c r="S534" s="555"/>
      <c r="T534" s="554"/>
      <c r="U534" s="555"/>
      <c r="V534" s="554"/>
      <c r="W534" s="555"/>
      <c r="X534" s="554"/>
      <c r="Y534" s="555"/>
      <c r="Z534" s="554"/>
      <c r="AA534" s="555"/>
      <c r="AB534" s="554"/>
      <c r="AC534" s="555"/>
      <c r="AD534" s="554"/>
      <c r="AE534" s="555"/>
      <c r="AF534" s="554"/>
      <c r="AG534" s="555"/>
      <c r="AH534" s="554"/>
      <c r="AI534" s="555"/>
      <c r="AJ534" s="554"/>
      <c r="AK534" s="555"/>
      <c r="AL534" s="554"/>
      <c r="AM534" s="555"/>
      <c r="AN534" s="554"/>
      <c r="AO534" s="555"/>
      <c r="AP534" s="554"/>
      <c r="AQ534" s="555"/>
      <c r="AR534" s="554"/>
      <c r="AS534" s="555"/>
      <c r="AT534" s="554"/>
      <c r="AU534" s="555"/>
      <c r="AV534" s="554"/>
      <c r="AW534" s="555"/>
      <c r="AX534" s="554"/>
      <c r="AY534" s="555"/>
      <c r="AZ534" s="554"/>
      <c r="BA534" s="555"/>
      <c r="BB534" s="554"/>
      <c r="BC534" s="555"/>
      <c r="BD534" s="554"/>
      <c r="BE534" s="555"/>
      <c r="BF534" s="554"/>
      <c r="BG534" s="555"/>
      <c r="BH534" s="554"/>
      <c r="BI534" s="555"/>
      <c r="BJ534" s="554"/>
      <c r="BK534" s="555"/>
      <c r="BL534" s="554"/>
      <c r="BM534" s="555"/>
      <c r="BN534" s="554"/>
      <c r="BO534" s="555"/>
      <c r="BP534" s="554"/>
      <c r="BQ534" s="555"/>
      <c r="BR534" s="554"/>
      <c r="BS534" s="555"/>
      <c r="BT534" s="554"/>
      <c r="BU534" s="555"/>
      <c r="BV534" s="554"/>
      <c r="BW534" s="555"/>
      <c r="BX534" s="554"/>
      <c r="BY534" s="555"/>
      <c r="BZ534" s="554"/>
      <c r="CA534" s="555"/>
      <c r="CB534" s="554"/>
      <c r="CC534" s="555"/>
      <c r="CD534" s="554"/>
      <c r="CE534" s="555"/>
      <c r="CF534" s="554"/>
      <c r="CG534" s="555"/>
      <c r="CH534" s="554"/>
      <c r="CI534" s="555"/>
      <c r="CJ534" s="554"/>
      <c r="CK534" s="555"/>
      <c r="CL534" s="554"/>
      <c r="CM534" s="555"/>
      <c r="CN534" s="554"/>
      <c r="CO534" s="555"/>
      <c r="CP534" s="554"/>
      <c r="CQ534" s="555"/>
      <c r="CR534" s="554"/>
      <c r="CS534" s="555"/>
      <c r="CT534" s="554"/>
      <c r="CU534" s="555"/>
      <c r="CV534" s="554"/>
      <c r="CW534" s="555"/>
      <c r="CX534" s="554"/>
      <c r="CY534" s="555"/>
      <c r="CZ534" s="554"/>
      <c r="DA534" s="555"/>
      <c r="DB534" s="556"/>
      <c r="DC534" s="554"/>
      <c r="DD534" s="555"/>
      <c r="DE534" s="554"/>
      <c r="DF534" s="555"/>
      <c r="DG534" s="554"/>
      <c r="DH534" s="555"/>
      <c r="DI534" s="554"/>
      <c r="DJ534" s="555"/>
      <c r="DK534" s="554"/>
      <c r="DL534" s="555"/>
      <c r="DM534" s="554"/>
      <c r="DN534" s="555"/>
      <c r="DO534" s="554"/>
      <c r="DP534" s="555"/>
      <c r="DQ534" s="554"/>
      <c r="DR534" s="555"/>
      <c r="DS534" s="554"/>
      <c r="DT534" s="555"/>
      <c r="DU534" s="554"/>
      <c r="DV534" s="555"/>
      <c r="DW534" s="554"/>
      <c r="DX534" s="555"/>
      <c r="DY534" s="554"/>
      <c r="DZ534" s="555"/>
      <c r="EA534" s="554"/>
      <c r="EB534" s="555"/>
      <c r="EC534" s="554"/>
      <c r="ED534" s="555"/>
      <c r="EE534" s="554"/>
      <c r="EF534" s="555"/>
      <c r="EG534" s="554"/>
      <c r="EH534" s="555"/>
      <c r="EI534" s="554"/>
      <c r="EJ534" s="555"/>
      <c r="EK534" s="554"/>
      <c r="EL534" s="555"/>
      <c r="EM534" s="554"/>
    </row>
    <row r="535" spans="1:144" ht="12.75" hidden="1" customHeight="1" outlineLevel="1" x14ac:dyDescent="0.2">
      <c r="A535" s="557" t="s">
        <v>593</v>
      </c>
      <c r="B535" s="558"/>
      <c r="C535" s="559"/>
      <c r="D535" s="558"/>
      <c r="E535" s="559"/>
      <c r="F535" s="558"/>
      <c r="G535" s="559"/>
      <c r="H535" s="558"/>
      <c r="I535" s="559"/>
      <c r="J535" s="558"/>
      <c r="K535" s="559"/>
      <c r="L535" s="558"/>
      <c r="M535" s="559"/>
      <c r="N535" s="558"/>
      <c r="O535" s="559"/>
      <c r="P535" s="558"/>
      <c r="Q535" s="559"/>
      <c r="R535" s="558"/>
      <c r="S535" s="559"/>
      <c r="T535" s="558"/>
      <c r="U535" s="559"/>
      <c r="V535" s="558"/>
      <c r="W535" s="559"/>
      <c r="X535" s="558"/>
      <c r="Y535" s="559"/>
      <c r="Z535" s="558"/>
      <c r="AA535" s="559"/>
      <c r="AB535" s="558"/>
      <c r="AC535" s="559"/>
      <c r="AD535" s="558"/>
      <c r="AE535" s="559"/>
      <c r="AF535" s="558"/>
      <c r="AG535" s="559"/>
      <c r="AH535" s="558"/>
      <c r="AI535" s="559"/>
      <c r="AJ535" s="558"/>
      <c r="AK535" s="559"/>
      <c r="AL535" s="558"/>
      <c r="AM535" s="559"/>
      <c r="AN535" s="558"/>
      <c r="AO535" s="559"/>
      <c r="AP535" s="558"/>
      <c r="AQ535" s="559"/>
      <c r="AR535" s="558"/>
      <c r="AS535" s="559"/>
      <c r="AT535" s="558"/>
      <c r="AU535" s="559"/>
      <c r="AV535" s="558"/>
      <c r="AW535" s="559"/>
      <c r="AX535" s="558"/>
      <c r="AY535" s="559"/>
      <c r="AZ535" s="558"/>
      <c r="BA535" s="559"/>
      <c r="BB535" s="558"/>
      <c r="BC535" s="559"/>
      <c r="BD535" s="558"/>
      <c r="BE535" s="559"/>
      <c r="BF535" s="558"/>
      <c r="BG535" s="559"/>
      <c r="BH535" s="558"/>
      <c r="BI535" s="559"/>
      <c r="BJ535" s="558"/>
      <c r="BK535" s="559"/>
      <c r="BL535" s="558"/>
      <c r="BM535" s="559"/>
      <c r="BN535" s="558"/>
      <c r="BO535" s="559"/>
      <c r="BP535" s="558"/>
      <c r="BQ535" s="559"/>
      <c r="BR535" s="558"/>
      <c r="BS535" s="559"/>
      <c r="BT535" s="558"/>
      <c r="BU535" s="559"/>
      <c r="BV535" s="558"/>
      <c r="BW535" s="559"/>
      <c r="BX535" s="558"/>
      <c r="BY535" s="559"/>
      <c r="BZ535" s="558"/>
      <c r="CA535" s="559"/>
      <c r="CB535" s="558"/>
      <c r="CC535" s="559"/>
      <c r="CD535" s="558"/>
      <c r="CE535" s="559"/>
      <c r="CF535" s="558"/>
      <c r="CG535" s="559"/>
      <c r="CH535" s="558"/>
      <c r="CI535" s="559"/>
      <c r="CJ535" s="558"/>
      <c r="CK535" s="559"/>
      <c r="CL535" s="558"/>
      <c r="CM535" s="559"/>
      <c r="CN535" s="558"/>
      <c r="CO535" s="559"/>
      <c r="CP535" s="558"/>
      <c r="CQ535" s="559"/>
      <c r="CR535" s="558"/>
      <c r="CS535" s="559"/>
      <c r="CT535" s="558"/>
      <c r="CU535" s="559"/>
      <c r="CV535" s="558"/>
      <c r="CW535" s="559"/>
      <c r="CX535" s="558"/>
      <c r="CY535" s="559"/>
      <c r="CZ535" s="558"/>
      <c r="DA535" s="559"/>
      <c r="DB535" s="560"/>
      <c r="DC535" s="561"/>
      <c r="DD535" s="559"/>
      <c r="DE535" s="558"/>
      <c r="DF535" s="559"/>
      <c r="DG535" s="558"/>
      <c r="DH535" s="559"/>
      <c r="DI535" s="558"/>
      <c r="DJ535" s="559"/>
      <c r="DK535" s="558"/>
      <c r="DL535" s="559"/>
      <c r="DM535" s="558"/>
      <c r="DN535" s="559"/>
      <c r="DO535" s="558"/>
      <c r="DP535" s="559"/>
      <c r="DQ535" s="558"/>
      <c r="DR535" s="559"/>
      <c r="DS535" s="558"/>
      <c r="DT535" s="559"/>
      <c r="DU535" s="558"/>
      <c r="DV535" s="559"/>
      <c r="DW535" s="558"/>
      <c r="DX535" s="559"/>
      <c r="DY535" s="558"/>
      <c r="DZ535" s="559"/>
      <c r="EA535" s="558"/>
      <c r="EB535" s="559"/>
      <c r="EC535" s="558"/>
      <c r="ED535" s="559"/>
      <c r="EE535" s="558"/>
      <c r="EF535" s="559"/>
      <c r="EG535" s="558"/>
      <c r="EH535" s="559"/>
      <c r="EI535" s="558"/>
      <c r="EJ535" s="559"/>
      <c r="EK535" s="558"/>
      <c r="EL535" s="559"/>
      <c r="EM535" s="558"/>
    </row>
    <row r="536" spans="1:144" ht="12.75" hidden="1" customHeight="1" outlineLevel="1" x14ac:dyDescent="0.2">
      <c r="A536" s="562" t="str">
        <f>A$3</f>
        <v>($Millions Except Per Share Data)</v>
      </c>
      <c r="B536" s="563"/>
      <c r="C536" s="564" t="str">
        <f>C$3</f>
        <v>1Q06/</v>
      </c>
      <c r="D536" s="563"/>
      <c r="E536" s="564" t="str">
        <f>E$3</f>
        <v>2Q06/</v>
      </c>
      <c r="F536" s="563"/>
      <c r="G536" s="564" t="str">
        <f>G$3</f>
        <v>3Q06/</v>
      </c>
      <c r="H536" s="563"/>
      <c r="I536" s="564" t="str">
        <f>I$3</f>
        <v>4Q06/</v>
      </c>
      <c r="J536" s="563"/>
      <c r="K536" s="564" t="str">
        <f>K$3</f>
        <v>1Q07/</v>
      </c>
      <c r="L536" s="563"/>
      <c r="M536" s="564" t="str">
        <f>M$3</f>
        <v>2Q07/</v>
      </c>
      <c r="N536" s="563"/>
      <c r="O536" s="564" t="str">
        <f>O$3</f>
        <v>3Q07/</v>
      </c>
      <c r="P536" s="563"/>
      <c r="Q536" s="564" t="str">
        <f>Q$3</f>
        <v>4Q07/</v>
      </c>
      <c r="R536" s="563"/>
      <c r="S536" s="564" t="str">
        <f>S$3</f>
        <v>1Q08/</v>
      </c>
      <c r="T536" s="563"/>
      <c r="U536" s="564" t="str">
        <f>U$3</f>
        <v>2Q08/</v>
      </c>
      <c r="V536" s="563"/>
      <c r="W536" s="564" t="str">
        <f>W$3</f>
        <v>3Q08/</v>
      </c>
      <c r="X536" s="563"/>
      <c r="Y536" s="564" t="str">
        <f>Y$3</f>
        <v>4Q08/</v>
      </c>
      <c r="Z536" s="563"/>
      <c r="AA536" s="564" t="str">
        <f>AA$3</f>
        <v>1Q09/</v>
      </c>
      <c r="AB536" s="563"/>
      <c r="AC536" s="564" t="str">
        <f>AC$3</f>
        <v>2Q09/</v>
      </c>
      <c r="AD536" s="563"/>
      <c r="AE536" s="564" t="str">
        <f>AE$3</f>
        <v>3Q09/</v>
      </c>
      <c r="AF536" s="563"/>
      <c r="AG536" s="564" t="str">
        <f>AG$3</f>
        <v>4Q09/</v>
      </c>
      <c r="AH536" s="563"/>
      <c r="AI536" s="564" t="str">
        <f>AI$3</f>
        <v>1Q10/</v>
      </c>
      <c r="AJ536" s="563"/>
      <c r="AK536" s="564" t="str">
        <f>AK$3</f>
        <v>2Q10/</v>
      </c>
      <c r="AL536" s="563"/>
      <c r="AM536" s="564" t="str">
        <f>AM$3</f>
        <v>3Q10/</v>
      </c>
      <c r="AN536" s="563"/>
      <c r="AO536" s="564" t="str">
        <f>AO$3</f>
        <v>4Q10/</v>
      </c>
      <c r="AP536" s="563"/>
      <c r="AQ536" s="564" t="str">
        <f>AQ$3</f>
        <v>1Q11/</v>
      </c>
      <c r="AR536" s="563"/>
      <c r="AS536" s="564" t="str">
        <f>AS$3</f>
        <v>2Q11/</v>
      </c>
      <c r="AT536" s="563"/>
      <c r="AU536" s="564" t="str">
        <f>AU$3</f>
        <v>3Q11/</v>
      </c>
      <c r="AV536" s="563"/>
      <c r="AW536" s="564" t="str">
        <f>AW$3</f>
        <v>4Q11/</v>
      </c>
      <c r="AX536" s="563"/>
      <c r="AY536" s="564" t="str">
        <f>AY$3</f>
        <v>1Q12/</v>
      </c>
      <c r="AZ536" s="563"/>
      <c r="BA536" s="564" t="str">
        <f>BA$3</f>
        <v>2Q12/</v>
      </c>
      <c r="BB536" s="563"/>
      <c r="BC536" s="564" t="str">
        <f>BC$3</f>
        <v>3Q12/</v>
      </c>
      <c r="BD536" s="563"/>
      <c r="BE536" s="564" t="str">
        <f>BE$3</f>
        <v>4Q12/</v>
      </c>
      <c r="BF536" s="563"/>
      <c r="BG536" s="564" t="str">
        <f>BG$3</f>
        <v>1Q13/</v>
      </c>
      <c r="BH536" s="563"/>
      <c r="BI536" s="564" t="str">
        <f>BI$3</f>
        <v>2Q13/</v>
      </c>
      <c r="BJ536" s="563"/>
      <c r="BK536" s="564" t="str">
        <f>BK$3</f>
        <v>3Q13/</v>
      </c>
      <c r="BL536" s="563"/>
      <c r="BM536" s="564" t="str">
        <f>BM$3</f>
        <v>4Q13/</v>
      </c>
      <c r="BN536" s="563"/>
      <c r="BO536" s="564" t="str">
        <f>BO$3</f>
        <v>1Q14/</v>
      </c>
      <c r="BP536" s="563"/>
      <c r="BQ536" s="564" t="str">
        <f>BQ$3</f>
        <v>2Q14/</v>
      </c>
      <c r="BR536" s="563"/>
      <c r="BS536" s="564" t="str">
        <f>BS$3</f>
        <v>3Q14/</v>
      </c>
      <c r="BT536" s="563"/>
      <c r="BU536" s="564" t="str">
        <f>BU$3</f>
        <v>4Q14/</v>
      </c>
      <c r="BV536" s="563"/>
      <c r="BW536" s="564" t="str">
        <f>BW$3</f>
        <v>1Q15/</v>
      </c>
      <c r="BX536" s="563"/>
      <c r="BY536" s="564" t="str">
        <f>BY$3</f>
        <v>2Q15/</v>
      </c>
      <c r="BZ536" s="563"/>
      <c r="CA536" s="564" t="str">
        <f>CA$3</f>
        <v>3Q15/</v>
      </c>
      <c r="CB536" s="563"/>
      <c r="CC536" s="564" t="str">
        <f>CC$3</f>
        <v>4Q15/</v>
      </c>
      <c r="CD536" s="563"/>
      <c r="CE536" s="564" t="str">
        <f>CE$3</f>
        <v>1Q16/</v>
      </c>
      <c r="CF536" s="563"/>
      <c r="CG536" s="564" t="str">
        <f>CG$3</f>
        <v>2Q16/</v>
      </c>
      <c r="CH536" s="563"/>
      <c r="CI536" s="564" t="str">
        <f>CI$3</f>
        <v>3Q16/</v>
      </c>
      <c r="CJ536" s="563"/>
      <c r="CK536" s="564" t="str">
        <f>CK$3</f>
        <v>4Q16/</v>
      </c>
      <c r="CL536" s="563"/>
      <c r="CM536" s="564" t="str">
        <f>CM$3</f>
        <v>1Q17/</v>
      </c>
      <c r="CN536" s="563"/>
      <c r="CO536" s="564" t="str">
        <f>CO$3</f>
        <v>2Q17/</v>
      </c>
      <c r="CP536" s="563"/>
      <c r="CQ536" s="564" t="str">
        <f>CQ$3</f>
        <v>3Q17/</v>
      </c>
      <c r="CR536" s="563"/>
      <c r="CS536" s="564" t="str">
        <f>CS$3</f>
        <v>4Q17/</v>
      </c>
      <c r="CT536" s="563"/>
      <c r="CU536" s="564" t="str">
        <f>CU$3</f>
        <v>1Q18E/</v>
      </c>
      <c r="CV536" s="563"/>
      <c r="CW536" s="564" t="str">
        <f>CW$3</f>
        <v>2Q18E/</v>
      </c>
      <c r="CX536" s="563"/>
      <c r="CY536" s="564" t="str">
        <f>CY$3</f>
        <v>3Q18E/</v>
      </c>
      <c r="CZ536" s="563"/>
      <c r="DA536" s="564" t="str">
        <f>DA$3</f>
        <v>4Q18E/</v>
      </c>
      <c r="DB536" s="565"/>
      <c r="DC536" s="563"/>
      <c r="DD536" s="564" t="str">
        <f>DD$3</f>
        <v>2005/</v>
      </c>
      <c r="DE536" s="563"/>
      <c r="DF536" s="564" t="str">
        <f>DF$3</f>
        <v>2006/</v>
      </c>
      <c r="DG536" s="563"/>
      <c r="DH536" s="564" t="str">
        <f>DH$3</f>
        <v>2007/</v>
      </c>
      <c r="DI536" s="563"/>
      <c r="DJ536" s="564" t="str">
        <f>DJ$3</f>
        <v>2008/</v>
      </c>
      <c r="DK536" s="563"/>
      <c r="DL536" s="564" t="str">
        <f>DL$3</f>
        <v>2009/</v>
      </c>
      <c r="DM536" s="563"/>
      <c r="DN536" s="564" t="str">
        <f>DN$3</f>
        <v>2010/</v>
      </c>
      <c r="DO536" s="563"/>
      <c r="DP536" s="564" t="str">
        <f>DP$3</f>
        <v>2011/</v>
      </c>
      <c r="DQ536" s="563"/>
      <c r="DR536" s="564" t="str">
        <f>DR$3</f>
        <v>2012/</v>
      </c>
      <c r="DS536" s="563"/>
      <c r="DT536" s="564" t="str">
        <f>DT$3</f>
        <v>2013/</v>
      </c>
      <c r="DU536" s="563"/>
      <c r="DV536" s="564" t="str">
        <f>DV$3</f>
        <v>2014/</v>
      </c>
      <c r="DW536" s="563"/>
      <c r="DX536" s="564" t="str">
        <f>DX$3</f>
        <v>2015/</v>
      </c>
      <c r="DY536" s="563"/>
      <c r="DZ536" s="564" t="str">
        <f>DZ$3</f>
        <v>2016/</v>
      </c>
      <c r="EA536" s="563"/>
      <c r="EB536" s="564" t="str">
        <f>EB$3</f>
        <v>2017/</v>
      </c>
      <c r="EC536" s="563"/>
      <c r="ED536" s="564" t="str">
        <f>ED$3</f>
        <v>2018E/</v>
      </c>
      <c r="EE536" s="563"/>
      <c r="EF536" s="564" t="str">
        <f>EF$3</f>
        <v>2019E/</v>
      </c>
      <c r="EG536" s="563"/>
      <c r="EH536" s="564" t="str">
        <f>EH$3</f>
        <v>2020E/</v>
      </c>
      <c r="EI536" s="563"/>
      <c r="EJ536" s="564" t="str">
        <f>EJ$3</f>
        <v>2021E/</v>
      </c>
      <c r="EK536" s="563"/>
      <c r="EL536" s="564" t="str">
        <f>EL$3</f>
        <v>2022E/</v>
      </c>
      <c r="EM536" s="566" t="str">
        <f>EM$3</f>
        <v>5-Yr</v>
      </c>
      <c r="EN536" s="549"/>
    </row>
    <row r="537" spans="1:144" ht="12.75" hidden="1" customHeight="1" outlineLevel="1" x14ac:dyDescent="0.2">
      <c r="A537" s="567"/>
      <c r="B537" s="568"/>
      <c r="C537" s="559" t="str">
        <f>C$4</f>
        <v>1Q05</v>
      </c>
      <c r="D537" s="568"/>
      <c r="E537" s="559" t="str">
        <f>E$4</f>
        <v>2Q05</v>
      </c>
      <c r="F537" s="568"/>
      <c r="G537" s="559" t="str">
        <f>G$4</f>
        <v>3Q05</v>
      </c>
      <c r="H537" s="568"/>
      <c r="I537" s="559" t="str">
        <f>I$4</f>
        <v>4Q05</v>
      </c>
      <c r="J537" s="568"/>
      <c r="K537" s="559" t="str">
        <f>K$4</f>
        <v>1Q06</v>
      </c>
      <c r="L537" s="568"/>
      <c r="M537" s="559" t="str">
        <f>M$4</f>
        <v>2Q06</v>
      </c>
      <c r="N537" s="568"/>
      <c r="O537" s="559" t="str">
        <f>O$4</f>
        <v>3Q06</v>
      </c>
      <c r="P537" s="568"/>
      <c r="Q537" s="559" t="str">
        <f>Q$4</f>
        <v>4Q06</v>
      </c>
      <c r="R537" s="568"/>
      <c r="S537" s="559" t="str">
        <f>S$4</f>
        <v>1Q07</v>
      </c>
      <c r="T537" s="568"/>
      <c r="U537" s="559" t="str">
        <f>U$4</f>
        <v>2Q07</v>
      </c>
      <c r="V537" s="568"/>
      <c r="W537" s="559" t="str">
        <f>W$4</f>
        <v>3Q07</v>
      </c>
      <c r="X537" s="568"/>
      <c r="Y537" s="559" t="str">
        <f>Y$4</f>
        <v>4Q07</v>
      </c>
      <c r="Z537" s="568"/>
      <c r="AA537" s="559" t="str">
        <f>AA$4</f>
        <v>1Q08</v>
      </c>
      <c r="AB537" s="568"/>
      <c r="AC537" s="559" t="str">
        <f>AC$4</f>
        <v>2Q08</v>
      </c>
      <c r="AD537" s="568"/>
      <c r="AE537" s="559" t="str">
        <f>AE$4</f>
        <v>3Q08</v>
      </c>
      <c r="AF537" s="568"/>
      <c r="AG537" s="559" t="str">
        <f>AG$4</f>
        <v>4Q08</v>
      </c>
      <c r="AH537" s="568"/>
      <c r="AI537" s="559" t="str">
        <f>AI$4</f>
        <v>1Q09</v>
      </c>
      <c r="AJ537" s="568"/>
      <c r="AK537" s="559" t="str">
        <f>AK$4</f>
        <v>2Q09</v>
      </c>
      <c r="AL537" s="568"/>
      <c r="AM537" s="559" t="str">
        <f>AM$4</f>
        <v>3Q09</v>
      </c>
      <c r="AN537" s="568"/>
      <c r="AO537" s="559" t="str">
        <f>AO$4</f>
        <v>4Q09</v>
      </c>
      <c r="AP537" s="568"/>
      <c r="AQ537" s="559" t="str">
        <f>AQ$4</f>
        <v>1Q10</v>
      </c>
      <c r="AR537" s="568"/>
      <c r="AS537" s="559" t="str">
        <f>AS$4</f>
        <v>2Q10</v>
      </c>
      <c r="AT537" s="568"/>
      <c r="AU537" s="559" t="str">
        <f>AU$4</f>
        <v>3Q10</v>
      </c>
      <c r="AV537" s="568"/>
      <c r="AW537" s="559" t="str">
        <f>AW$4</f>
        <v>4Q10</v>
      </c>
      <c r="AX537" s="568"/>
      <c r="AY537" s="559" t="str">
        <f>AY$4</f>
        <v>1Q11</v>
      </c>
      <c r="AZ537" s="568"/>
      <c r="BA537" s="559" t="str">
        <f>BA$4</f>
        <v>2Q11</v>
      </c>
      <c r="BB537" s="568"/>
      <c r="BC537" s="559" t="str">
        <f>BC$4</f>
        <v>3Q11</v>
      </c>
      <c r="BD537" s="568"/>
      <c r="BE537" s="559" t="str">
        <f>BE$4</f>
        <v>4Q11</v>
      </c>
      <c r="BF537" s="568"/>
      <c r="BG537" s="559" t="str">
        <f>BG$4</f>
        <v>1Q12</v>
      </c>
      <c r="BH537" s="568"/>
      <c r="BI537" s="559" t="str">
        <f>BI$4</f>
        <v>2Q12</v>
      </c>
      <c r="BJ537" s="568"/>
      <c r="BK537" s="559" t="str">
        <f>BK$4</f>
        <v>3Q12</v>
      </c>
      <c r="BL537" s="568"/>
      <c r="BM537" s="559" t="str">
        <f>BM$4</f>
        <v>4Q12</v>
      </c>
      <c r="BN537" s="568"/>
      <c r="BO537" s="559" t="str">
        <f>BO$4</f>
        <v>1Q13</v>
      </c>
      <c r="BP537" s="568"/>
      <c r="BQ537" s="559" t="str">
        <f>BQ$4</f>
        <v>2Q13</v>
      </c>
      <c r="BR537" s="568"/>
      <c r="BS537" s="559" t="str">
        <f>BS$4</f>
        <v>3Q13</v>
      </c>
      <c r="BT537" s="568"/>
      <c r="BU537" s="559" t="str">
        <f>BU$4</f>
        <v>4Q13</v>
      </c>
      <c r="BV537" s="568"/>
      <c r="BW537" s="559" t="str">
        <f>BW$4</f>
        <v>1Q14</v>
      </c>
      <c r="BX537" s="568"/>
      <c r="BY537" s="559" t="str">
        <f>BY$4</f>
        <v>2Q14</v>
      </c>
      <c r="BZ537" s="568"/>
      <c r="CA537" s="559" t="str">
        <f>CA$4</f>
        <v>3Q14</v>
      </c>
      <c r="CB537" s="568"/>
      <c r="CC537" s="559" t="str">
        <f>CC$4</f>
        <v>4Q14</v>
      </c>
      <c r="CD537" s="568"/>
      <c r="CE537" s="559" t="str">
        <f>CE$4</f>
        <v>1Q15</v>
      </c>
      <c r="CF537" s="568"/>
      <c r="CG537" s="559" t="str">
        <f>CG$4</f>
        <v>2Q15</v>
      </c>
      <c r="CH537" s="568"/>
      <c r="CI537" s="559" t="str">
        <f>CI$4</f>
        <v>3Q15</v>
      </c>
      <c r="CJ537" s="568"/>
      <c r="CK537" s="559" t="str">
        <f>CK$4</f>
        <v>4Q15</v>
      </c>
      <c r="CL537" s="568"/>
      <c r="CM537" s="559" t="str">
        <f>CM$4</f>
        <v>1Q16</v>
      </c>
      <c r="CN537" s="568"/>
      <c r="CO537" s="559" t="str">
        <f>CO$4</f>
        <v>2Q16</v>
      </c>
      <c r="CP537" s="568"/>
      <c r="CQ537" s="559" t="str">
        <f>CQ$4</f>
        <v>3Q16</v>
      </c>
      <c r="CR537" s="568"/>
      <c r="CS537" s="559" t="str">
        <f>CS$4</f>
        <v>4Q16</v>
      </c>
      <c r="CT537" s="568"/>
      <c r="CU537" s="559" t="str">
        <f>CU$4</f>
        <v>1Q17</v>
      </c>
      <c r="CV537" s="568"/>
      <c r="CW537" s="559" t="str">
        <f>CW$4</f>
        <v>2Q17</v>
      </c>
      <c r="CX537" s="568"/>
      <c r="CY537" s="559" t="str">
        <f>CY$4</f>
        <v>3Q17</v>
      </c>
      <c r="CZ537" s="568"/>
      <c r="DA537" s="559" t="str">
        <f>DA$4</f>
        <v>4Q17</v>
      </c>
      <c r="DB537" s="560"/>
      <c r="DC537" s="568"/>
      <c r="DD537" s="568">
        <f>DD$4</f>
        <v>2004</v>
      </c>
      <c r="DE537" s="568"/>
      <c r="DF537" s="559" t="str">
        <f>DF$4</f>
        <v>2005</v>
      </c>
      <c r="DG537" s="568"/>
      <c r="DH537" s="559" t="str">
        <f>DH$4</f>
        <v>2006</v>
      </c>
      <c r="DI537" s="568"/>
      <c r="DJ537" s="569">
        <f>DJ$4</f>
        <v>2007</v>
      </c>
      <c r="DK537" s="568"/>
      <c r="DL537" s="559" t="str">
        <f>DL$4</f>
        <v>2008</v>
      </c>
      <c r="DM537" s="568"/>
      <c r="DN537" s="559" t="str">
        <f>DN$4</f>
        <v>2009</v>
      </c>
      <c r="DO537" s="568"/>
      <c r="DP537" s="559" t="str">
        <f>DP$4</f>
        <v>2010</v>
      </c>
      <c r="DQ537" s="568"/>
      <c r="DR537" s="559" t="str">
        <f>DR$4</f>
        <v>2011</v>
      </c>
      <c r="DS537" s="568"/>
      <c r="DT537" s="559" t="str">
        <f>DT$4</f>
        <v>2012</v>
      </c>
      <c r="DU537" s="568"/>
      <c r="DV537" s="559" t="str">
        <f>DV$4</f>
        <v>2013</v>
      </c>
      <c r="DW537" s="568"/>
      <c r="DX537" s="559">
        <f>DX$4</f>
        <v>2014</v>
      </c>
      <c r="DY537" s="568"/>
      <c r="DZ537" s="559" t="str">
        <f>DZ$4</f>
        <v>2015</v>
      </c>
      <c r="EA537" s="568"/>
      <c r="EB537" s="559">
        <f>EB$4</f>
        <v>2016</v>
      </c>
      <c r="EC537" s="568"/>
      <c r="ED537" s="559">
        <f>ED$4</f>
        <v>2017</v>
      </c>
      <c r="EE537" s="568"/>
      <c r="EF537" s="559" t="str">
        <f>EF$4</f>
        <v>2018E</v>
      </c>
      <c r="EG537" s="568"/>
      <c r="EH537" s="559" t="str">
        <f>EH$4</f>
        <v>2019E</v>
      </c>
      <c r="EI537" s="568"/>
      <c r="EJ537" s="559" t="str">
        <f>EJ$4</f>
        <v>2020E</v>
      </c>
      <c r="EK537" s="568"/>
      <c r="EL537" s="559" t="str">
        <f>EL$4</f>
        <v>2021E</v>
      </c>
      <c r="EM537" s="558" t="str">
        <f>EM$4</f>
        <v>CAGR</v>
      </c>
      <c r="EN537" s="549"/>
    </row>
    <row r="538" spans="1:144" ht="12.75" hidden="1" customHeight="1" outlineLevel="1" x14ac:dyDescent="0.2">
      <c r="A538" s="570"/>
      <c r="B538" s="571" t="str">
        <f>+B$5</f>
        <v>1Q06</v>
      </c>
      <c r="C538" s="572" t="str">
        <f>C$5</f>
        <v>% Chg</v>
      </c>
      <c r="D538" s="571" t="str">
        <f>+D$5</f>
        <v>2Q06</v>
      </c>
      <c r="E538" s="572" t="str">
        <f>E$5</f>
        <v>% Chg</v>
      </c>
      <c r="F538" s="571" t="str">
        <f>+F$5</f>
        <v>3Q06</v>
      </c>
      <c r="G538" s="572" t="str">
        <f>G$5</f>
        <v>% Chg</v>
      </c>
      <c r="H538" s="571" t="str">
        <f>+H$5</f>
        <v>4Q06</v>
      </c>
      <c r="I538" s="572" t="str">
        <f>I$5</f>
        <v>% Chg</v>
      </c>
      <c r="J538" s="571" t="str">
        <f>+J$5</f>
        <v>1Q07</v>
      </c>
      <c r="K538" s="572" t="str">
        <f>K$5</f>
        <v>% Chg</v>
      </c>
      <c r="L538" s="571" t="str">
        <f>+L$5</f>
        <v>2Q07</v>
      </c>
      <c r="M538" s="572" t="str">
        <f>M$5</f>
        <v>% Chg</v>
      </c>
      <c r="N538" s="571" t="str">
        <f>+N$5</f>
        <v>3Q07</v>
      </c>
      <c r="O538" s="572" t="str">
        <f>O$5</f>
        <v>% Chg</v>
      </c>
      <c r="P538" s="571" t="str">
        <f>+P$5</f>
        <v>4Q07</v>
      </c>
      <c r="Q538" s="572" t="str">
        <f>Q$5</f>
        <v>% Chg</v>
      </c>
      <c r="R538" s="571" t="str">
        <f>+R$5</f>
        <v>1Q08</v>
      </c>
      <c r="S538" s="572" t="str">
        <f>S$5</f>
        <v>% Chg</v>
      </c>
      <c r="T538" s="571" t="str">
        <f>+T$5</f>
        <v>2Q08</v>
      </c>
      <c r="U538" s="572" t="str">
        <f>U$5</f>
        <v>% Chg</v>
      </c>
      <c r="V538" s="571" t="str">
        <f>+V$5</f>
        <v>3Q08</v>
      </c>
      <c r="W538" s="572" t="str">
        <f>W$5</f>
        <v>% Chg</v>
      </c>
      <c r="X538" s="571" t="str">
        <f>+X$5</f>
        <v>4Q08</v>
      </c>
      <c r="Y538" s="572" t="str">
        <f>Y$5</f>
        <v>% Chg</v>
      </c>
      <c r="Z538" s="571" t="str">
        <f>+Z$5</f>
        <v>1Q09</v>
      </c>
      <c r="AA538" s="572" t="str">
        <f>AA$5</f>
        <v>% Chg</v>
      </c>
      <c r="AB538" s="571" t="str">
        <f>+AB$5</f>
        <v>2Q09</v>
      </c>
      <c r="AC538" s="572" t="str">
        <f>AC$5</f>
        <v>% Chg</v>
      </c>
      <c r="AD538" s="571" t="str">
        <f>+AD$5</f>
        <v>3Q09</v>
      </c>
      <c r="AE538" s="572" t="str">
        <f>AE$5</f>
        <v>% Chg</v>
      </c>
      <c r="AF538" s="571" t="str">
        <f>+AF$5</f>
        <v>4Q09</v>
      </c>
      <c r="AG538" s="572" t="str">
        <f>AG$5</f>
        <v>% Chg</v>
      </c>
      <c r="AH538" s="571" t="str">
        <f>+AH$5</f>
        <v>1Q10</v>
      </c>
      <c r="AI538" s="572" t="str">
        <f>AI$5</f>
        <v>% Chg</v>
      </c>
      <c r="AJ538" s="571" t="str">
        <f>+AJ$5</f>
        <v>2Q10</v>
      </c>
      <c r="AK538" s="572" t="str">
        <f>AK$5</f>
        <v>% Chg</v>
      </c>
      <c r="AL538" s="571" t="str">
        <f>+AL$5</f>
        <v>3Q10</v>
      </c>
      <c r="AM538" s="572" t="str">
        <f>AM$5</f>
        <v>% Chg</v>
      </c>
      <c r="AN538" s="571" t="str">
        <f>+AN$5</f>
        <v>4Q10</v>
      </c>
      <c r="AO538" s="572" t="str">
        <f>AO$5</f>
        <v>% Chg</v>
      </c>
      <c r="AP538" s="571" t="str">
        <f>+AP$5</f>
        <v>1Q11</v>
      </c>
      <c r="AQ538" s="572" t="str">
        <f>AQ$5</f>
        <v>% Chg</v>
      </c>
      <c r="AR538" s="571" t="str">
        <f>+AR$5</f>
        <v>2Q11</v>
      </c>
      <c r="AS538" s="572" t="str">
        <f>AS$5</f>
        <v>% Chg</v>
      </c>
      <c r="AT538" s="571" t="str">
        <f>+AT$5</f>
        <v>3Q11</v>
      </c>
      <c r="AU538" s="572" t="str">
        <f>AU$5</f>
        <v>% Chg</v>
      </c>
      <c r="AV538" s="571" t="str">
        <f>+AV$5</f>
        <v>4Q11</v>
      </c>
      <c r="AW538" s="572" t="str">
        <f>AW$5</f>
        <v>% Chg</v>
      </c>
      <c r="AX538" s="571" t="str">
        <f>+AX$5</f>
        <v>1Q12</v>
      </c>
      <c r="AY538" s="572" t="str">
        <f>AY$5</f>
        <v>% Chg</v>
      </c>
      <c r="AZ538" s="571" t="str">
        <f>+AZ$5</f>
        <v>2Q12</v>
      </c>
      <c r="BA538" s="572" t="str">
        <f>BA$5</f>
        <v>% Chg</v>
      </c>
      <c r="BB538" s="571" t="str">
        <f>+BB$5</f>
        <v>3Q12</v>
      </c>
      <c r="BC538" s="572" t="str">
        <f>BC$5</f>
        <v>% Chg</v>
      </c>
      <c r="BD538" s="571" t="str">
        <f>+BD$5</f>
        <v>4Q12</v>
      </c>
      <c r="BE538" s="572" t="str">
        <f>BE$5</f>
        <v>% Chg</v>
      </c>
      <c r="BF538" s="571" t="str">
        <f>+BF$5</f>
        <v>1Q13</v>
      </c>
      <c r="BG538" s="572" t="str">
        <f>BG$5</f>
        <v>% Chg</v>
      </c>
      <c r="BH538" s="571" t="str">
        <f>+BH$5</f>
        <v>2Q13</v>
      </c>
      <c r="BI538" s="572" t="str">
        <f>BI$5</f>
        <v>% Chg</v>
      </c>
      <c r="BJ538" s="571" t="str">
        <f>+BJ$5</f>
        <v>3Q13</v>
      </c>
      <c r="BK538" s="572" t="str">
        <f>BK$5</f>
        <v>% Chg</v>
      </c>
      <c r="BL538" s="571" t="str">
        <f>+BL$5</f>
        <v>4Q13</v>
      </c>
      <c r="BM538" s="572" t="str">
        <f>BM$5</f>
        <v>% Chg</v>
      </c>
      <c r="BN538" s="571" t="str">
        <f>+BN$5</f>
        <v>1Q14</v>
      </c>
      <c r="BO538" s="572" t="str">
        <f>BO$5</f>
        <v>% Chg</v>
      </c>
      <c r="BP538" s="571" t="str">
        <f>+BP$5</f>
        <v>2Q14</v>
      </c>
      <c r="BQ538" s="572" t="str">
        <f>BQ$5</f>
        <v>% Chg</v>
      </c>
      <c r="BR538" s="571" t="str">
        <f>+BR$5</f>
        <v>3Q14</v>
      </c>
      <c r="BS538" s="572" t="str">
        <f>BS$5</f>
        <v>% Chg</v>
      </c>
      <c r="BT538" s="571" t="str">
        <f>+BT$5</f>
        <v>4Q14</v>
      </c>
      <c r="BU538" s="572" t="str">
        <f>BU$5</f>
        <v>% Chg</v>
      </c>
      <c r="BV538" s="571" t="str">
        <f>+BV$5</f>
        <v>1Q15</v>
      </c>
      <c r="BW538" s="572" t="str">
        <f>BW$5</f>
        <v>% Chg</v>
      </c>
      <c r="BX538" s="571" t="str">
        <f>+BX$5</f>
        <v>2Q15</v>
      </c>
      <c r="BY538" s="572" t="str">
        <f>BY$5</f>
        <v>% Chg</v>
      </c>
      <c r="BZ538" s="571" t="str">
        <f>+BZ$5</f>
        <v>3Q15</v>
      </c>
      <c r="CA538" s="572" t="str">
        <f>CA$5</f>
        <v>% Chg</v>
      </c>
      <c r="CB538" s="571" t="str">
        <f>+CB$5</f>
        <v>4Q15</v>
      </c>
      <c r="CC538" s="572" t="str">
        <f>CC$5</f>
        <v>% Chg</v>
      </c>
      <c r="CD538" s="571" t="str">
        <f>+CD$5</f>
        <v>1Q16</v>
      </c>
      <c r="CE538" s="572" t="str">
        <f>CE$5</f>
        <v>% Chg</v>
      </c>
      <c r="CF538" s="571" t="str">
        <f>+CF$5</f>
        <v>2Q16</v>
      </c>
      <c r="CG538" s="572" t="str">
        <f>CG$5</f>
        <v>% Chg</v>
      </c>
      <c r="CH538" s="571" t="str">
        <f>+CH$5</f>
        <v>3Q16</v>
      </c>
      <c r="CI538" s="572" t="str">
        <f>CI$5</f>
        <v>% Chg</v>
      </c>
      <c r="CJ538" s="571" t="str">
        <f>+CJ$5</f>
        <v>4Q16</v>
      </c>
      <c r="CK538" s="572" t="str">
        <f>CK$5</f>
        <v>% Chg</v>
      </c>
      <c r="CL538" s="571" t="str">
        <f>+CL$5</f>
        <v>1Q17</v>
      </c>
      <c r="CM538" s="572" t="str">
        <f>CM$5</f>
        <v>% Chg</v>
      </c>
      <c r="CN538" s="571" t="str">
        <f>+CN$5</f>
        <v>2Q17</v>
      </c>
      <c r="CO538" s="572" t="str">
        <f>CO$5</f>
        <v>% Chg</v>
      </c>
      <c r="CP538" s="571" t="str">
        <f>+CP$5</f>
        <v>3Q17</v>
      </c>
      <c r="CQ538" s="572" t="str">
        <f>CQ$5</f>
        <v>% Chg</v>
      </c>
      <c r="CR538" s="571" t="str">
        <f>+CR$5</f>
        <v>4Q17</v>
      </c>
      <c r="CS538" s="572" t="str">
        <f>CS$5</f>
        <v>% Chg</v>
      </c>
      <c r="CT538" s="571" t="str">
        <f>+CT$5</f>
        <v>1Q18E</v>
      </c>
      <c r="CU538" s="572" t="str">
        <f>CU$5</f>
        <v>% Chg</v>
      </c>
      <c r="CV538" s="571" t="str">
        <f>+CV$5</f>
        <v>2Q18E</v>
      </c>
      <c r="CW538" s="572" t="str">
        <f>CW$5</f>
        <v>% Chg</v>
      </c>
      <c r="CX538" s="571" t="str">
        <f>+CX$5</f>
        <v>3Q18E</v>
      </c>
      <c r="CY538" s="572" t="str">
        <f>CY$5</f>
        <v>% Chg</v>
      </c>
      <c r="CZ538" s="571" t="str">
        <f>+CZ$5</f>
        <v>4Q18E</v>
      </c>
      <c r="DA538" s="572" t="str">
        <f>DA$5</f>
        <v>% Chg</v>
      </c>
      <c r="DB538" s="573"/>
      <c r="DC538" s="571" t="str">
        <f>+DC$5</f>
        <v>2005</v>
      </c>
      <c r="DD538" s="572" t="str">
        <f>DD$5</f>
        <v>% Chg</v>
      </c>
      <c r="DE538" s="571" t="str">
        <f>+DE$5</f>
        <v>2006</v>
      </c>
      <c r="DF538" s="572" t="str">
        <f>DF$5</f>
        <v>% Chg</v>
      </c>
      <c r="DG538" s="571">
        <f>+DG$5</f>
        <v>2007</v>
      </c>
      <c r="DH538" s="572" t="str">
        <f>DH$5</f>
        <v>% Chg</v>
      </c>
      <c r="DI538" s="571" t="str">
        <f>+DI$5</f>
        <v>2008</v>
      </c>
      <c r="DJ538" s="572" t="str">
        <f>DJ$5</f>
        <v>% Chg</v>
      </c>
      <c r="DK538" s="571" t="str">
        <f>+DK$5</f>
        <v>2009</v>
      </c>
      <c r="DL538" s="572" t="str">
        <f>DL$5</f>
        <v>% Chg</v>
      </c>
      <c r="DM538" s="571" t="str">
        <f>+DM$5</f>
        <v>2010</v>
      </c>
      <c r="DN538" s="572" t="str">
        <f>DN$5</f>
        <v>% Chg</v>
      </c>
      <c r="DO538" s="571" t="str">
        <f>+DO$5</f>
        <v>2011</v>
      </c>
      <c r="DP538" s="572" t="str">
        <f>DP$5</f>
        <v>% Chg</v>
      </c>
      <c r="DQ538" s="571" t="str">
        <f>+DQ$5</f>
        <v>2012</v>
      </c>
      <c r="DR538" s="572" t="str">
        <f>DR$5</f>
        <v>% Chg</v>
      </c>
      <c r="DS538" s="571" t="str">
        <f>+DS$5</f>
        <v>2013</v>
      </c>
      <c r="DT538" s="572" t="str">
        <f>DT$5</f>
        <v>% Chg</v>
      </c>
      <c r="DU538" s="571">
        <f>+DU$5</f>
        <v>2014</v>
      </c>
      <c r="DV538" s="572" t="str">
        <f>DV$5</f>
        <v>% Chg</v>
      </c>
      <c r="DW538" s="571" t="str">
        <f>+DW$5</f>
        <v>2015</v>
      </c>
      <c r="DX538" s="572" t="str">
        <f>DX$5</f>
        <v>% Chg</v>
      </c>
      <c r="DY538" s="571">
        <f>+DY$5</f>
        <v>2016</v>
      </c>
      <c r="DZ538" s="572" t="str">
        <f>DZ$5</f>
        <v>% Chg</v>
      </c>
      <c r="EA538" s="571">
        <f>+EA$5</f>
        <v>2017</v>
      </c>
      <c r="EB538" s="572" t="str">
        <f>EB$5</f>
        <v>% Chg</v>
      </c>
      <c r="EC538" s="571" t="str">
        <f>+EC$5</f>
        <v>2018E</v>
      </c>
      <c r="ED538" s="572" t="str">
        <f>ED$5</f>
        <v>% Chg</v>
      </c>
      <c r="EE538" s="571" t="str">
        <f>+EE$5</f>
        <v>2019E</v>
      </c>
      <c r="EF538" s="572" t="str">
        <f>EF$5</f>
        <v>% Chg</v>
      </c>
      <c r="EG538" s="571" t="str">
        <f>+EG$5</f>
        <v>2020E</v>
      </c>
      <c r="EH538" s="572" t="str">
        <f>EH$5</f>
        <v>% Chg</v>
      </c>
      <c r="EI538" s="571" t="str">
        <f>+EI$5</f>
        <v>2021E</v>
      </c>
      <c r="EJ538" s="572" t="str">
        <f>EJ$5</f>
        <v>% Chg</v>
      </c>
      <c r="EK538" s="571" t="str">
        <f>+EK$5</f>
        <v>2022E</v>
      </c>
      <c r="EL538" s="572" t="str">
        <f>EL$5</f>
        <v>% Chg</v>
      </c>
      <c r="EM538" s="574" t="str">
        <f>EM$5</f>
        <v>(%)</v>
      </c>
      <c r="EN538" s="549"/>
    </row>
    <row r="539" spans="1:144" ht="12.75" hidden="1" customHeight="1" outlineLevel="1" x14ac:dyDescent="0.2">
      <c r="A539" s="609"/>
      <c r="B539" s="610"/>
      <c r="C539" s="555"/>
      <c r="D539" s="610"/>
      <c r="E539" s="555"/>
      <c r="F539" s="610"/>
      <c r="G539" s="555"/>
      <c r="H539" s="610"/>
      <c r="I539" s="555"/>
      <c r="J539" s="610"/>
      <c r="K539" s="555"/>
      <c r="L539" s="610"/>
      <c r="M539" s="555"/>
      <c r="N539" s="610"/>
      <c r="O539" s="555"/>
      <c r="P539" s="610"/>
      <c r="Q539" s="555"/>
      <c r="R539" s="610"/>
      <c r="S539" s="555"/>
      <c r="T539" s="610"/>
      <c r="U539" s="555"/>
      <c r="V539" s="610"/>
      <c r="W539" s="555"/>
      <c r="X539" s="610"/>
      <c r="Y539" s="555"/>
      <c r="Z539" s="610"/>
      <c r="AA539" s="555"/>
      <c r="AB539" s="610"/>
      <c r="AC539" s="555"/>
      <c r="AD539" s="610"/>
      <c r="AE539" s="555"/>
      <c r="AF539" s="610"/>
      <c r="AG539" s="555"/>
      <c r="AH539" s="610"/>
      <c r="AI539" s="555"/>
      <c r="AJ539" s="610"/>
      <c r="AK539" s="555"/>
      <c r="AL539" s="610"/>
      <c r="AM539" s="555"/>
      <c r="AN539" s="610"/>
      <c r="AO539" s="555"/>
      <c r="AP539" s="610"/>
      <c r="AQ539" s="555"/>
      <c r="AR539" s="610"/>
      <c r="AS539" s="555"/>
      <c r="AT539" s="610"/>
      <c r="AU539" s="555"/>
      <c r="AV539" s="610"/>
      <c r="AW539" s="555"/>
      <c r="AX539" s="610"/>
      <c r="AY539" s="555"/>
      <c r="AZ539" s="610"/>
      <c r="BA539" s="555"/>
      <c r="BB539" s="610"/>
      <c r="BC539" s="555"/>
      <c r="BD539" s="610"/>
      <c r="BE539" s="555"/>
      <c r="BF539" s="610"/>
      <c r="BG539" s="555"/>
      <c r="BH539" s="610"/>
      <c r="BI539" s="555"/>
      <c r="BJ539" s="610"/>
      <c r="BK539" s="555"/>
      <c r="BL539" s="610"/>
      <c r="BM539" s="555"/>
      <c r="BN539" s="610"/>
      <c r="BO539" s="555"/>
      <c r="BP539" s="610"/>
      <c r="BQ539" s="555"/>
      <c r="BR539" s="610"/>
      <c r="BS539" s="555"/>
      <c r="BT539" s="610"/>
      <c r="BU539" s="555"/>
      <c r="BV539" s="610"/>
      <c r="BW539" s="555"/>
      <c r="BX539" s="610"/>
      <c r="BY539" s="555"/>
      <c r="BZ539" s="610"/>
      <c r="CA539" s="555"/>
      <c r="CB539" s="610"/>
      <c r="CC539" s="555"/>
      <c r="CD539" s="610"/>
      <c r="CE539" s="555"/>
      <c r="CF539" s="610"/>
      <c r="CG539" s="555"/>
      <c r="CH539" s="610"/>
      <c r="CI539" s="555"/>
      <c r="CJ539" s="610"/>
      <c r="CK539" s="555"/>
      <c r="CL539" s="610"/>
      <c r="CM539" s="555"/>
      <c r="CN539" s="610"/>
      <c r="CO539" s="555"/>
      <c r="CP539" s="610"/>
      <c r="CQ539" s="555"/>
      <c r="CR539" s="610"/>
      <c r="CS539" s="555"/>
      <c r="CT539" s="610"/>
      <c r="CU539" s="555"/>
      <c r="CV539" s="610"/>
      <c r="CW539" s="555"/>
      <c r="CX539" s="610"/>
      <c r="CY539" s="555"/>
      <c r="CZ539" s="610"/>
      <c r="DA539" s="555"/>
      <c r="DB539" s="556"/>
      <c r="DC539" s="610"/>
      <c r="DD539" s="555"/>
      <c r="DE539" s="610"/>
      <c r="DF539" s="555"/>
      <c r="DG539" s="610"/>
      <c r="DH539" s="555"/>
      <c r="DI539" s="610"/>
      <c r="DJ539" s="555"/>
      <c r="DK539" s="610"/>
      <c r="DL539" s="555"/>
      <c r="DM539" s="610"/>
      <c r="DN539" s="555"/>
      <c r="DO539" s="610"/>
      <c r="DP539" s="555"/>
      <c r="DQ539" s="610"/>
      <c r="DR539" s="555"/>
      <c r="DS539" s="610"/>
      <c r="DT539" s="555"/>
      <c r="DU539" s="610"/>
      <c r="DV539" s="555"/>
      <c r="DW539" s="610"/>
      <c r="DX539" s="555"/>
      <c r="DY539" s="610"/>
      <c r="DZ539" s="555"/>
      <c r="EA539" s="610"/>
      <c r="EB539" s="555"/>
      <c r="EC539" s="610"/>
      <c r="ED539" s="555"/>
      <c r="EE539" s="610"/>
      <c r="EF539" s="555"/>
      <c r="EG539" s="610"/>
      <c r="EH539" s="555"/>
      <c r="EI539" s="610"/>
      <c r="EJ539" s="555"/>
      <c r="EK539" s="610"/>
      <c r="EL539" s="555"/>
      <c r="EM539" s="555"/>
    </row>
    <row r="540" spans="1:144" ht="12.75" hidden="1" customHeight="1" outlineLevel="1" x14ac:dyDescent="0.2">
      <c r="A540" s="575" t="s">
        <v>128</v>
      </c>
      <c r="B540" s="610"/>
      <c r="C540" s="555"/>
      <c r="D540" s="610"/>
      <c r="E540" s="555"/>
      <c r="F540" s="610"/>
      <c r="G540" s="555"/>
      <c r="H540" s="610"/>
      <c r="I540" s="555"/>
      <c r="J540" s="610"/>
      <c r="K540" s="555"/>
      <c r="L540" s="610"/>
      <c r="M540" s="555"/>
      <c r="N540" s="610"/>
      <c r="O540" s="555"/>
      <c r="P540" s="610"/>
      <c r="Q540" s="555"/>
      <c r="R540" s="610"/>
      <c r="S540" s="555"/>
      <c r="T540" s="610"/>
      <c r="U540" s="555"/>
      <c r="V540" s="610"/>
      <c r="W540" s="555"/>
      <c r="X540" s="610"/>
      <c r="Y540" s="555"/>
      <c r="Z540" s="610"/>
      <c r="AA540" s="555"/>
      <c r="AB540" s="610"/>
      <c r="AC540" s="555"/>
      <c r="AD540" s="610"/>
      <c r="AE540" s="555"/>
      <c r="AF540" s="610"/>
      <c r="AG540" s="555"/>
      <c r="AH540" s="610"/>
      <c r="AI540" s="555"/>
      <c r="AJ540" s="610"/>
      <c r="AK540" s="555"/>
      <c r="AL540" s="610"/>
      <c r="AM540" s="555"/>
      <c r="AN540" s="610"/>
      <c r="AO540" s="555"/>
      <c r="AP540" s="610"/>
      <c r="AQ540" s="555"/>
      <c r="AR540" s="610"/>
      <c r="AS540" s="555"/>
      <c r="AT540" s="610"/>
      <c r="AU540" s="555"/>
      <c r="AV540" s="610"/>
      <c r="AW540" s="555"/>
      <c r="AX540" s="610"/>
      <c r="AY540" s="555"/>
      <c r="AZ540" s="610"/>
      <c r="BA540" s="555"/>
      <c r="BB540" s="610"/>
      <c r="BC540" s="555"/>
      <c r="BD540" s="610"/>
      <c r="BE540" s="555"/>
      <c r="BF540" s="610"/>
      <c r="BG540" s="555"/>
      <c r="BH540" s="610"/>
      <c r="BI540" s="555"/>
      <c r="BJ540" s="610"/>
      <c r="BK540" s="555"/>
      <c r="BL540" s="610"/>
      <c r="BM540" s="555"/>
      <c r="BN540" s="610"/>
      <c r="BO540" s="555"/>
      <c r="BP540" s="610"/>
      <c r="BQ540" s="555"/>
      <c r="BR540" s="610"/>
      <c r="BS540" s="555"/>
      <c r="BT540" s="610"/>
      <c r="BU540" s="555"/>
      <c r="BV540" s="610"/>
      <c r="BW540" s="555"/>
      <c r="BX540" s="610"/>
      <c r="BY540" s="555"/>
      <c r="BZ540" s="610"/>
      <c r="CA540" s="555"/>
      <c r="CB540" s="610"/>
      <c r="CC540" s="555"/>
      <c r="CD540" s="610"/>
      <c r="CE540" s="555"/>
      <c r="CF540" s="610"/>
      <c r="CG540" s="555"/>
      <c r="CH540" s="610"/>
      <c r="CI540" s="555"/>
      <c r="CJ540" s="610"/>
      <c r="CK540" s="555"/>
      <c r="CL540" s="610"/>
      <c r="CM540" s="555"/>
      <c r="CN540" s="610"/>
      <c r="CO540" s="555"/>
      <c r="CP540" s="610"/>
      <c r="CQ540" s="555"/>
      <c r="CR540" s="610"/>
      <c r="CS540" s="555"/>
      <c r="CT540" s="610"/>
      <c r="CU540" s="555"/>
      <c r="CV540" s="610"/>
      <c r="CW540" s="555"/>
      <c r="CX540" s="610"/>
      <c r="CY540" s="555"/>
      <c r="CZ540" s="610"/>
      <c r="DA540" s="555"/>
      <c r="DB540" s="556"/>
      <c r="DC540" s="610"/>
      <c r="DD540" s="555"/>
      <c r="DE540" s="610"/>
      <c r="DF540" s="555"/>
      <c r="DG540" s="610"/>
      <c r="DH540" s="555"/>
      <c r="DI540" s="610"/>
      <c r="DJ540" s="555"/>
      <c r="DK540" s="610"/>
      <c r="DL540" s="555"/>
      <c r="DM540" s="610"/>
      <c r="DN540" s="555"/>
      <c r="DO540" s="610"/>
      <c r="DP540" s="555"/>
      <c r="DQ540" s="610"/>
      <c r="DR540" s="555"/>
      <c r="DS540" s="610"/>
      <c r="DT540" s="555"/>
      <c r="DU540" s="610"/>
      <c r="DV540" s="555"/>
      <c r="DW540" s="610"/>
      <c r="DX540" s="555"/>
      <c r="DY540" s="610"/>
      <c r="DZ540" s="555"/>
      <c r="EA540" s="610"/>
      <c r="EB540" s="555"/>
      <c r="EC540" s="610"/>
      <c r="ED540" s="555"/>
      <c r="EE540" s="610"/>
      <c r="EF540" s="555"/>
      <c r="EG540" s="610"/>
      <c r="EH540" s="555"/>
      <c r="EI540" s="610"/>
      <c r="EJ540" s="555"/>
      <c r="EK540" s="610"/>
      <c r="EL540" s="555"/>
      <c r="EM540" s="555"/>
    </row>
    <row r="541" spans="1:144" ht="12.75" hidden="1" customHeight="1" outlineLevel="1" x14ac:dyDescent="0.2">
      <c r="A541" s="579" t="str">
        <f>INPUT!B441</f>
        <v>Net Investment Income</v>
      </c>
      <c r="B541" s="580">
        <f>INPUT!AY441</f>
        <v>7</v>
      </c>
      <c r="C541" s="577">
        <f>INPUT!AZ441</f>
        <v>40</v>
      </c>
      <c r="D541" s="580">
        <f>INPUT!BA441</f>
        <v>6</v>
      </c>
      <c r="E541" s="577">
        <f>INPUT!BB441</f>
        <v>20</v>
      </c>
      <c r="F541" s="580">
        <f>INPUT!BC441</f>
        <v>7</v>
      </c>
      <c r="G541" s="577">
        <f>INPUT!BD441</f>
        <v>-12.5</v>
      </c>
      <c r="H541" s="580">
        <f>INPUT!BE441</f>
        <v>11</v>
      </c>
      <c r="I541" s="577">
        <f>INPUT!BF441</f>
        <v>57.142857142857139</v>
      </c>
      <c r="J541" s="580">
        <f>INPUT!BG441</f>
        <v>8</v>
      </c>
      <c r="K541" s="577">
        <f>INPUT!BH441</f>
        <v>14.285714285714278</v>
      </c>
      <c r="L541" s="580">
        <f>INPUT!BI441</f>
        <v>9</v>
      </c>
      <c r="M541" s="577">
        <f>INPUT!BJ441</f>
        <v>50</v>
      </c>
      <c r="N541" s="580">
        <f>INPUT!BK441</f>
        <v>11</v>
      </c>
      <c r="O541" s="577">
        <f>INPUT!BL441</f>
        <v>57.142857142857139</v>
      </c>
      <c r="P541" s="580">
        <f>INPUT!BM441</f>
        <v>8</v>
      </c>
      <c r="Q541" s="577">
        <f>INPUT!BN441</f>
        <v>-27.272727272727266</v>
      </c>
      <c r="R541" s="580">
        <f>INPUT!BO441</f>
        <v>6</v>
      </c>
      <c r="S541" s="577">
        <f>INPUT!BP441</f>
        <v>-25</v>
      </c>
      <c r="T541" s="580">
        <f>INPUT!BQ441</f>
        <v>8</v>
      </c>
      <c r="U541" s="577">
        <f>INPUT!BR441</f>
        <v>-11.111111111111114</v>
      </c>
      <c r="V541" s="580">
        <f>INPUT!BS441</f>
        <v>7</v>
      </c>
      <c r="W541" s="577">
        <f>INPUT!BT441</f>
        <v>-36.363636363636367</v>
      </c>
      <c r="X541" s="580">
        <f>INPUT!BU441</f>
        <v>8</v>
      </c>
      <c r="Y541" s="577">
        <f>INPUT!BV441</f>
        <v>0</v>
      </c>
      <c r="Z541" s="580"/>
      <c r="AA541" s="577"/>
      <c r="AB541" s="580"/>
      <c r="AC541" s="577"/>
      <c r="AD541" s="580"/>
      <c r="AE541" s="577"/>
      <c r="AF541" s="580"/>
      <c r="AG541" s="577"/>
      <c r="AH541" s="580"/>
      <c r="AI541" s="577"/>
      <c r="AJ541" s="580"/>
      <c r="AK541" s="577"/>
      <c r="AL541" s="580"/>
      <c r="AM541" s="577"/>
      <c r="AN541" s="580"/>
      <c r="AO541" s="577"/>
      <c r="AP541" s="580"/>
      <c r="AQ541" s="577"/>
      <c r="AR541" s="580"/>
      <c r="AS541" s="577"/>
      <c r="AT541" s="580"/>
      <c r="AU541" s="577"/>
      <c r="AV541" s="580"/>
      <c r="AW541" s="577"/>
      <c r="AX541" s="580"/>
      <c r="AY541" s="577"/>
      <c r="AZ541" s="580"/>
      <c r="BA541" s="577"/>
      <c r="BB541" s="580"/>
      <c r="BC541" s="577"/>
      <c r="BD541" s="580"/>
      <c r="BE541" s="577"/>
      <c r="BF541" s="580"/>
      <c r="BG541" s="577"/>
      <c r="BH541" s="580"/>
      <c r="BI541" s="577"/>
      <c r="BJ541" s="580"/>
      <c r="BK541" s="577"/>
      <c r="BL541" s="580"/>
      <c r="BM541" s="577"/>
      <c r="BN541" s="580"/>
      <c r="BO541" s="577"/>
      <c r="BP541" s="580"/>
      <c r="BQ541" s="577"/>
      <c r="BR541" s="580"/>
      <c r="BS541" s="577"/>
      <c r="BT541" s="580"/>
      <c r="BU541" s="577"/>
      <c r="BV541" s="580"/>
      <c r="BW541" s="577"/>
      <c r="BX541" s="580"/>
      <c r="BY541" s="577"/>
      <c r="BZ541" s="580"/>
      <c r="CA541" s="577"/>
      <c r="CB541" s="580"/>
      <c r="CC541" s="577"/>
      <c r="CD541" s="580"/>
      <c r="CE541" s="577"/>
      <c r="CF541" s="580"/>
      <c r="CG541" s="577"/>
      <c r="CH541" s="580"/>
      <c r="CI541" s="577"/>
      <c r="CJ541" s="580"/>
      <c r="CK541" s="577"/>
      <c r="CL541" s="580"/>
      <c r="CM541" s="577"/>
      <c r="CN541" s="580"/>
      <c r="CO541" s="577"/>
      <c r="CP541" s="580"/>
      <c r="CQ541" s="577"/>
      <c r="CR541" s="580"/>
      <c r="CS541" s="577"/>
      <c r="CT541" s="580"/>
      <c r="CU541" s="577"/>
      <c r="CV541" s="580"/>
      <c r="CW541" s="577"/>
      <c r="CX541" s="580"/>
      <c r="CY541" s="577"/>
      <c r="CZ541" s="580"/>
      <c r="DA541" s="577"/>
      <c r="DB541" s="580"/>
      <c r="DC541" s="580">
        <f>INPUT!FP441</f>
        <v>25</v>
      </c>
      <c r="DD541" s="577">
        <f>INPUT!FQ441</f>
        <v>78.571428571428584</v>
      </c>
      <c r="DE541" s="580">
        <f>INPUT!FR441</f>
        <v>31</v>
      </c>
      <c r="DF541" s="577">
        <f>INPUT!FS441</f>
        <v>24</v>
      </c>
      <c r="DG541" s="580">
        <f>INPUT!FT441</f>
        <v>36</v>
      </c>
      <c r="DH541" s="577">
        <f>INPUT!FU441</f>
        <v>16.129032258064527</v>
      </c>
      <c r="DI541" s="580">
        <f>INPUT!FV441</f>
        <v>29</v>
      </c>
      <c r="DJ541" s="577">
        <f>INPUT!FW441</f>
        <v>-19.444444444444443</v>
      </c>
      <c r="DK541" s="580"/>
      <c r="DL541" s="577"/>
      <c r="DM541" s="580"/>
      <c r="DN541" s="577"/>
      <c r="DO541" s="580"/>
      <c r="DP541" s="577"/>
      <c r="DQ541" s="580"/>
      <c r="DR541" s="577"/>
      <c r="DS541" s="580"/>
      <c r="DT541" s="577"/>
      <c r="DU541" s="580"/>
      <c r="DV541" s="577"/>
      <c r="DW541" s="580"/>
      <c r="DX541" s="577"/>
      <c r="DY541" s="580"/>
      <c r="DZ541" s="577"/>
      <c r="EA541" s="580"/>
      <c r="EB541" s="577"/>
      <c r="EC541" s="580"/>
      <c r="ED541" s="577"/>
      <c r="EE541" s="580"/>
      <c r="EF541" s="577"/>
      <c r="EG541" s="580"/>
      <c r="EH541" s="577"/>
      <c r="EI541" s="580"/>
      <c r="EJ541" s="577"/>
      <c r="EK541" s="580"/>
      <c r="EL541" s="577"/>
      <c r="EM541" s="577"/>
    </row>
    <row r="542" spans="1:144" ht="12.75" hidden="1" customHeight="1" outlineLevel="1" x14ac:dyDescent="0.2">
      <c r="A542" s="579" t="str">
        <f>INPUT!B442</f>
        <v>Commissions, Fees and Other Income</v>
      </c>
      <c r="B542" s="580">
        <f>INPUT!AY442</f>
        <v>143</v>
      </c>
      <c r="C542" s="577">
        <f>INPUT!AZ442</f>
        <v>16.260162601626021</v>
      </c>
      <c r="D542" s="580">
        <f>INPUT!BA442</f>
        <v>140</v>
      </c>
      <c r="E542" s="577">
        <f>INPUT!BB442</f>
        <v>38.613861386138609</v>
      </c>
      <c r="F542" s="580">
        <f>INPUT!BC442</f>
        <v>125</v>
      </c>
      <c r="G542" s="577">
        <f>INPUT!BD442</f>
        <v>9.6491228070175481</v>
      </c>
      <c r="H542" s="580">
        <f>INPUT!BE442</f>
        <v>151</v>
      </c>
      <c r="I542" s="577">
        <f>INPUT!BF442</f>
        <v>21.774193548387103</v>
      </c>
      <c r="J542" s="580">
        <f>INPUT!BG442</f>
        <v>169</v>
      </c>
      <c r="K542" s="577">
        <f>INPUT!BH442</f>
        <v>18.181818181818187</v>
      </c>
      <c r="L542" s="580">
        <f>INPUT!BI442</f>
        <v>160</v>
      </c>
      <c r="M542" s="577">
        <f>INPUT!BJ442</f>
        <v>14.285714285714278</v>
      </c>
      <c r="N542" s="580">
        <f>INPUT!BK442</f>
        <v>240</v>
      </c>
      <c r="O542" s="577">
        <f>INPUT!BL442</f>
        <v>92</v>
      </c>
      <c r="P542" s="580">
        <f>INPUT!BM442</f>
        <v>164</v>
      </c>
      <c r="Q542" s="577">
        <f>INPUT!BN442</f>
        <v>8.6092715231788048</v>
      </c>
      <c r="R542" s="580">
        <f>INPUT!BO442</f>
        <v>110</v>
      </c>
      <c r="S542" s="577">
        <f>INPUT!BP442</f>
        <v>-34.911242603550292</v>
      </c>
      <c r="T542" s="580">
        <f>INPUT!BQ442</f>
        <v>92</v>
      </c>
      <c r="U542" s="577">
        <f>INPUT!BR442</f>
        <v>-42.500000000000007</v>
      </c>
      <c r="V542" s="580">
        <f>INPUT!BS442</f>
        <v>101</v>
      </c>
      <c r="W542" s="577" t="str">
        <f>INPUT!BT442</f>
        <v>NM</v>
      </c>
      <c r="X542" s="580">
        <f>INPUT!BU442</f>
        <v>-239</v>
      </c>
      <c r="Y542" s="577" t="str">
        <f>INPUT!BV442</f>
        <v>NM</v>
      </c>
      <c r="Z542" s="580"/>
      <c r="AA542" s="577"/>
      <c r="AB542" s="580"/>
      <c r="AC542" s="577"/>
      <c r="AD542" s="580"/>
      <c r="AE542" s="577"/>
      <c r="AF542" s="580"/>
      <c r="AG542" s="577"/>
      <c r="AH542" s="580"/>
      <c r="AI542" s="577"/>
      <c r="AJ542" s="580"/>
      <c r="AK542" s="577"/>
      <c r="AL542" s="580"/>
      <c r="AM542" s="577"/>
      <c r="AN542" s="580"/>
      <c r="AO542" s="577"/>
      <c r="AP542" s="580"/>
      <c r="AQ542" s="577"/>
      <c r="AR542" s="580"/>
      <c r="AS542" s="577"/>
      <c r="AT542" s="580"/>
      <c r="AU542" s="577"/>
      <c r="AV542" s="580"/>
      <c r="AW542" s="577"/>
      <c r="AX542" s="580"/>
      <c r="AY542" s="577"/>
      <c r="AZ542" s="580"/>
      <c r="BA542" s="577"/>
      <c r="BB542" s="580"/>
      <c r="BC542" s="577"/>
      <c r="BD542" s="580"/>
      <c r="BE542" s="577"/>
      <c r="BF542" s="580"/>
      <c r="BG542" s="577"/>
      <c r="BH542" s="580"/>
      <c r="BI542" s="577"/>
      <c r="BJ542" s="580"/>
      <c r="BK542" s="577"/>
      <c r="BL542" s="580"/>
      <c r="BM542" s="577"/>
      <c r="BN542" s="580"/>
      <c r="BO542" s="577"/>
      <c r="BP542" s="580"/>
      <c r="BQ542" s="577"/>
      <c r="BR542" s="580"/>
      <c r="BS542" s="577"/>
      <c r="BT542" s="580"/>
      <c r="BU542" s="577"/>
      <c r="BV542" s="580"/>
      <c r="BW542" s="577"/>
      <c r="BX542" s="580"/>
      <c r="BY542" s="577"/>
      <c r="BZ542" s="580"/>
      <c r="CA542" s="577"/>
      <c r="CB542" s="580"/>
      <c r="CC542" s="577"/>
      <c r="CD542" s="580"/>
      <c r="CE542" s="577"/>
      <c r="CF542" s="580"/>
      <c r="CG542" s="577"/>
      <c r="CH542" s="580"/>
      <c r="CI542" s="577"/>
      <c r="CJ542" s="580"/>
      <c r="CK542" s="577"/>
      <c r="CL542" s="580"/>
      <c r="CM542" s="577"/>
      <c r="CN542" s="580"/>
      <c r="CO542" s="577"/>
      <c r="CP542" s="580"/>
      <c r="CQ542" s="577"/>
      <c r="CR542" s="580"/>
      <c r="CS542" s="577"/>
      <c r="CT542" s="580"/>
      <c r="CU542" s="577"/>
      <c r="CV542" s="580"/>
      <c r="CW542" s="577"/>
      <c r="CX542" s="580"/>
      <c r="CY542" s="577"/>
      <c r="CZ542" s="580"/>
      <c r="DA542" s="577"/>
      <c r="DB542" s="580"/>
      <c r="DC542" s="580">
        <f>INPUT!FP442</f>
        <v>462</v>
      </c>
      <c r="DD542" s="577">
        <f>INPUT!FQ442</f>
        <v>6.9444444444444429</v>
      </c>
      <c r="DE542" s="580">
        <f>INPUT!FR442</f>
        <v>559</v>
      </c>
      <c r="DF542" s="577">
        <f>INPUT!FS442</f>
        <v>20.995670995670991</v>
      </c>
      <c r="DG542" s="580">
        <f>INPUT!FT442</f>
        <v>733</v>
      </c>
      <c r="DH542" s="577">
        <f>INPUT!FU442</f>
        <v>31.127012522361355</v>
      </c>
      <c r="DI542" s="580">
        <f>INPUT!FV442</f>
        <v>64</v>
      </c>
      <c r="DJ542" s="577" t="str">
        <f>INPUT!FW442</f>
        <v>NM</v>
      </c>
      <c r="DK542" s="580"/>
      <c r="DL542" s="577"/>
      <c r="DM542" s="580"/>
      <c r="DN542" s="577"/>
      <c r="DO542" s="580"/>
      <c r="DP542" s="577"/>
      <c r="DQ542" s="580"/>
      <c r="DR542" s="577"/>
      <c r="DS542" s="580"/>
      <c r="DT542" s="577"/>
      <c r="DU542" s="580"/>
      <c r="DV542" s="577"/>
      <c r="DW542" s="580"/>
      <c r="DX542" s="577"/>
      <c r="DY542" s="580"/>
      <c r="DZ542" s="577"/>
      <c r="EA542" s="580"/>
      <c r="EB542" s="577"/>
      <c r="EC542" s="580"/>
      <c r="ED542" s="577"/>
      <c r="EE542" s="580"/>
      <c r="EF542" s="577"/>
      <c r="EG542" s="580"/>
      <c r="EH542" s="577"/>
      <c r="EI542" s="580"/>
      <c r="EJ542" s="577"/>
      <c r="EK542" s="580"/>
      <c r="EL542" s="577"/>
      <c r="EM542" s="577"/>
    </row>
    <row r="543" spans="1:144" ht="12.75" hidden="1" customHeight="1" outlineLevel="1" x14ac:dyDescent="0.2">
      <c r="A543" s="575" t="str">
        <f>INPUT!B443</f>
        <v xml:space="preserve">  Total Revenues</v>
      </c>
      <c r="B543" s="581">
        <f>INPUT!AY443</f>
        <v>150</v>
      </c>
      <c r="C543" s="577">
        <f>INPUT!AZ443</f>
        <v>17.1875</v>
      </c>
      <c r="D543" s="581">
        <f>INPUT!BA443</f>
        <v>146</v>
      </c>
      <c r="E543" s="577">
        <f>INPUT!BB443</f>
        <v>37.735849056603769</v>
      </c>
      <c r="F543" s="581">
        <f>INPUT!BC443</f>
        <v>132</v>
      </c>
      <c r="G543" s="577">
        <f>INPUT!BD443</f>
        <v>8.1967213114754145</v>
      </c>
      <c r="H543" s="581">
        <f>INPUT!BE443</f>
        <v>162</v>
      </c>
      <c r="I543" s="577">
        <f>INPUT!BF443</f>
        <v>23.66412213740459</v>
      </c>
      <c r="J543" s="581">
        <f>INPUT!BG443</f>
        <v>177</v>
      </c>
      <c r="K543" s="577">
        <f>INPUT!BH443</f>
        <v>18</v>
      </c>
      <c r="L543" s="581">
        <f>INPUT!BI443</f>
        <v>169</v>
      </c>
      <c r="M543" s="577">
        <f>INPUT!BJ443</f>
        <v>15.753424657534239</v>
      </c>
      <c r="N543" s="581">
        <f>INPUT!BK443</f>
        <v>251</v>
      </c>
      <c r="O543" s="577">
        <f>INPUT!BL443</f>
        <v>90.151515151515156</v>
      </c>
      <c r="P543" s="581">
        <f>INPUT!BM443</f>
        <v>172</v>
      </c>
      <c r="Q543" s="577">
        <f>INPUT!BN443</f>
        <v>6.1728395061728492</v>
      </c>
      <c r="R543" s="581">
        <f>INPUT!BO443</f>
        <v>116</v>
      </c>
      <c r="S543" s="577">
        <f>INPUT!BP443</f>
        <v>-34.463276836158201</v>
      </c>
      <c r="T543" s="581">
        <f>INPUT!BQ443</f>
        <v>100</v>
      </c>
      <c r="U543" s="577">
        <f>INPUT!BR443</f>
        <v>-40.828402366863905</v>
      </c>
      <c r="V543" s="581">
        <f>INPUT!BS443</f>
        <v>108</v>
      </c>
      <c r="W543" s="577" t="str">
        <f>INPUT!BT443</f>
        <v>NM</v>
      </c>
      <c r="X543" s="581">
        <f>INPUT!BU443</f>
        <v>-231</v>
      </c>
      <c r="Y543" s="577" t="str">
        <f>INPUT!BV443</f>
        <v>NM</v>
      </c>
      <c r="Z543" s="581"/>
      <c r="AA543" s="577"/>
      <c r="AB543" s="581"/>
      <c r="AC543" s="577"/>
      <c r="AD543" s="581"/>
      <c r="AE543" s="577"/>
      <c r="AF543" s="581"/>
      <c r="AG543" s="577"/>
      <c r="AH543" s="581"/>
      <c r="AI543" s="577"/>
      <c r="AJ543" s="581"/>
      <c r="AK543" s="577"/>
      <c r="AL543" s="581"/>
      <c r="AM543" s="577"/>
      <c r="AN543" s="581"/>
      <c r="AO543" s="577"/>
      <c r="AP543" s="581"/>
      <c r="AQ543" s="577"/>
      <c r="AR543" s="581"/>
      <c r="AS543" s="577"/>
      <c r="AT543" s="581"/>
      <c r="AU543" s="577"/>
      <c r="AV543" s="581"/>
      <c r="AW543" s="577"/>
      <c r="AX543" s="581"/>
      <c r="AY543" s="577"/>
      <c r="AZ543" s="581"/>
      <c r="BA543" s="577"/>
      <c r="BB543" s="581"/>
      <c r="BC543" s="577"/>
      <c r="BD543" s="581"/>
      <c r="BE543" s="577"/>
      <c r="BF543" s="581"/>
      <c r="BG543" s="577"/>
      <c r="BH543" s="581"/>
      <c r="BI543" s="577"/>
      <c r="BJ543" s="581"/>
      <c r="BK543" s="577"/>
      <c r="BL543" s="581"/>
      <c r="BM543" s="577"/>
      <c r="BN543" s="581"/>
      <c r="BO543" s="577"/>
      <c r="BP543" s="581"/>
      <c r="BQ543" s="577"/>
      <c r="BR543" s="581"/>
      <c r="BS543" s="577"/>
      <c r="BT543" s="581"/>
      <c r="BU543" s="577"/>
      <c r="BV543" s="581"/>
      <c r="BW543" s="577"/>
      <c r="BX543" s="581"/>
      <c r="BY543" s="577"/>
      <c r="BZ543" s="581"/>
      <c r="CA543" s="577"/>
      <c r="CB543" s="581"/>
      <c r="CC543" s="577"/>
      <c r="CD543" s="581"/>
      <c r="CE543" s="577"/>
      <c r="CF543" s="581"/>
      <c r="CG543" s="577"/>
      <c r="CH543" s="581"/>
      <c r="CI543" s="577"/>
      <c r="CJ543" s="581"/>
      <c r="CK543" s="577"/>
      <c r="CL543" s="581"/>
      <c r="CM543" s="577"/>
      <c r="CN543" s="581"/>
      <c r="CO543" s="577"/>
      <c r="CP543" s="581"/>
      <c r="CQ543" s="577"/>
      <c r="CR543" s="581"/>
      <c r="CS543" s="577"/>
      <c r="CT543" s="581"/>
      <c r="CU543" s="577"/>
      <c r="CV543" s="581"/>
      <c r="CW543" s="577"/>
      <c r="CX543" s="581"/>
      <c r="CY543" s="577"/>
      <c r="CZ543" s="581"/>
      <c r="DA543" s="577"/>
      <c r="DB543" s="581"/>
      <c r="DC543" s="581">
        <f>INPUT!FP443</f>
        <v>487</v>
      </c>
      <c r="DD543" s="577">
        <f>INPUT!FQ443</f>
        <v>9.192825112107613</v>
      </c>
      <c r="DE543" s="581">
        <f>INPUT!FR443</f>
        <v>590</v>
      </c>
      <c r="DF543" s="577">
        <f>INPUT!FS443</f>
        <v>21.149897330595493</v>
      </c>
      <c r="DG543" s="581">
        <f>INPUT!FT443</f>
        <v>769</v>
      </c>
      <c r="DH543" s="577">
        <f>INPUT!FU443</f>
        <v>30.338983050847446</v>
      </c>
      <c r="DI543" s="581">
        <f>INPUT!FV443</f>
        <v>93</v>
      </c>
      <c r="DJ543" s="577" t="str">
        <f>INPUT!FW443</f>
        <v>NM</v>
      </c>
      <c r="DK543" s="581"/>
      <c r="DL543" s="577"/>
      <c r="DM543" s="581"/>
      <c r="DN543" s="577"/>
      <c r="DO543" s="581"/>
      <c r="DP543" s="577"/>
      <c r="DQ543" s="581"/>
      <c r="DR543" s="577"/>
      <c r="DS543" s="581"/>
      <c r="DT543" s="577"/>
      <c r="DU543" s="581"/>
      <c r="DV543" s="577"/>
      <c r="DW543" s="581"/>
      <c r="DX543" s="577"/>
      <c r="DY543" s="581"/>
      <c r="DZ543" s="577"/>
      <c r="EA543" s="581"/>
      <c r="EB543" s="577"/>
      <c r="EC543" s="581"/>
      <c r="ED543" s="577"/>
      <c r="EE543" s="581"/>
      <c r="EF543" s="577"/>
      <c r="EG543" s="581"/>
      <c r="EH543" s="577"/>
      <c r="EI543" s="581"/>
      <c r="EJ543" s="577"/>
      <c r="EK543" s="581"/>
      <c r="EL543" s="577"/>
      <c r="EM543" s="577"/>
    </row>
    <row r="544" spans="1:144" ht="12.75" hidden="1" customHeight="1" outlineLevel="1" x14ac:dyDescent="0.2">
      <c r="A544" s="579"/>
      <c r="B544" s="580"/>
      <c r="C544" s="577"/>
      <c r="D544" s="580"/>
      <c r="E544" s="577"/>
      <c r="F544" s="580"/>
      <c r="G544" s="577"/>
      <c r="H544" s="580"/>
      <c r="I544" s="577"/>
      <c r="J544" s="580"/>
      <c r="K544" s="577"/>
      <c r="L544" s="580"/>
      <c r="M544" s="577"/>
      <c r="N544" s="580"/>
      <c r="O544" s="577"/>
      <c r="P544" s="580"/>
      <c r="Q544" s="577"/>
      <c r="R544" s="580"/>
      <c r="S544" s="577"/>
      <c r="T544" s="580"/>
      <c r="U544" s="577"/>
      <c r="V544" s="580"/>
      <c r="W544" s="577"/>
      <c r="X544" s="580"/>
      <c r="Y544" s="577"/>
      <c r="Z544" s="580"/>
      <c r="AA544" s="577"/>
      <c r="AB544" s="580"/>
      <c r="AC544" s="577"/>
      <c r="AD544" s="580"/>
      <c r="AE544" s="577"/>
      <c r="AF544" s="580"/>
      <c r="AG544" s="577"/>
      <c r="AH544" s="580"/>
      <c r="AI544" s="577"/>
      <c r="AJ544" s="580"/>
      <c r="AK544" s="577"/>
      <c r="AL544" s="580"/>
      <c r="AM544" s="577"/>
      <c r="AN544" s="580"/>
      <c r="AO544" s="577"/>
      <c r="AP544" s="580"/>
      <c r="AQ544" s="577"/>
      <c r="AR544" s="580"/>
      <c r="AS544" s="577"/>
      <c r="AT544" s="580"/>
      <c r="AU544" s="577"/>
      <c r="AV544" s="580"/>
      <c r="AW544" s="577"/>
      <c r="AX544" s="580"/>
      <c r="AY544" s="577"/>
      <c r="AZ544" s="580"/>
      <c r="BA544" s="577"/>
      <c r="BB544" s="580"/>
      <c r="BC544" s="577"/>
      <c r="BD544" s="580"/>
      <c r="BE544" s="577"/>
      <c r="BF544" s="580"/>
      <c r="BG544" s="577"/>
      <c r="BH544" s="580"/>
      <c r="BI544" s="577"/>
      <c r="BJ544" s="580"/>
      <c r="BK544" s="577"/>
      <c r="BL544" s="580"/>
      <c r="BM544" s="577"/>
      <c r="BN544" s="580"/>
      <c r="BO544" s="577"/>
      <c r="BP544" s="580"/>
      <c r="BQ544" s="577"/>
      <c r="BR544" s="580"/>
      <c r="BS544" s="577"/>
      <c r="BT544" s="580"/>
      <c r="BU544" s="577"/>
      <c r="BV544" s="580"/>
      <c r="BW544" s="577"/>
      <c r="BX544" s="580"/>
      <c r="BY544" s="577"/>
      <c r="BZ544" s="580"/>
      <c r="CA544" s="577"/>
      <c r="CB544" s="580"/>
      <c r="CC544" s="577"/>
      <c r="CD544" s="580"/>
      <c r="CE544" s="577"/>
      <c r="CF544" s="580"/>
      <c r="CG544" s="577"/>
      <c r="CH544" s="580"/>
      <c r="CI544" s="577"/>
      <c r="CJ544" s="580"/>
      <c r="CK544" s="577"/>
      <c r="CL544" s="580"/>
      <c r="CM544" s="577"/>
      <c r="CN544" s="580"/>
      <c r="CO544" s="577"/>
      <c r="CP544" s="580"/>
      <c r="CQ544" s="577"/>
      <c r="CR544" s="580"/>
      <c r="CS544" s="577"/>
      <c r="CT544" s="580"/>
      <c r="CU544" s="577"/>
      <c r="CV544" s="580"/>
      <c r="CW544" s="577"/>
      <c r="CX544" s="580"/>
      <c r="CY544" s="577"/>
      <c r="CZ544" s="580"/>
      <c r="DA544" s="577"/>
      <c r="DB544" s="580"/>
      <c r="DC544" s="580"/>
      <c r="DD544" s="577"/>
      <c r="DE544" s="580"/>
      <c r="DF544" s="577"/>
      <c r="DG544" s="580"/>
      <c r="DH544" s="577"/>
      <c r="DI544" s="580"/>
      <c r="DJ544" s="577"/>
      <c r="DK544" s="580"/>
      <c r="DL544" s="577"/>
      <c r="DM544" s="580"/>
      <c r="DN544" s="577"/>
      <c r="DO544" s="580"/>
      <c r="DP544" s="577"/>
      <c r="DQ544" s="580"/>
      <c r="DR544" s="577"/>
      <c r="DS544" s="580"/>
      <c r="DT544" s="577"/>
      <c r="DU544" s="580"/>
      <c r="DV544" s="577"/>
      <c r="DW544" s="580"/>
      <c r="DX544" s="577"/>
      <c r="DY544" s="580"/>
      <c r="DZ544" s="577"/>
      <c r="EA544" s="580"/>
      <c r="EB544" s="577"/>
      <c r="EC544" s="580"/>
      <c r="ED544" s="577"/>
      <c r="EE544" s="580"/>
      <c r="EF544" s="577"/>
      <c r="EG544" s="580"/>
      <c r="EH544" s="577"/>
      <c r="EI544" s="580"/>
      <c r="EJ544" s="577"/>
      <c r="EK544" s="580"/>
      <c r="EL544" s="577"/>
      <c r="EM544" s="577"/>
    </row>
    <row r="545" spans="1:143" ht="12.75" hidden="1" customHeight="1" outlineLevel="1" x14ac:dyDescent="0.2">
      <c r="A545" s="575" t="s">
        <v>129</v>
      </c>
      <c r="B545" s="605"/>
      <c r="C545" s="555"/>
      <c r="D545" s="605"/>
      <c r="E545" s="555"/>
      <c r="F545" s="605"/>
      <c r="G545" s="555"/>
      <c r="H545" s="605"/>
      <c r="I545" s="555"/>
      <c r="J545" s="605"/>
      <c r="K545" s="555"/>
      <c r="L545" s="605"/>
      <c r="M545" s="555"/>
      <c r="N545" s="605"/>
      <c r="O545" s="555"/>
      <c r="P545" s="605"/>
      <c r="Q545" s="555"/>
      <c r="R545" s="605"/>
      <c r="S545" s="555"/>
      <c r="T545" s="605"/>
      <c r="U545" s="555"/>
      <c r="V545" s="605"/>
      <c r="W545" s="555"/>
      <c r="X545" s="605"/>
      <c r="Y545" s="555"/>
      <c r="Z545" s="605"/>
      <c r="AA545" s="555"/>
      <c r="AB545" s="605"/>
      <c r="AC545" s="555"/>
      <c r="AD545" s="605"/>
      <c r="AE545" s="555"/>
      <c r="AF545" s="605"/>
      <c r="AG545" s="555"/>
      <c r="AH545" s="605"/>
      <c r="AI545" s="555"/>
      <c r="AJ545" s="605"/>
      <c r="AK545" s="555"/>
      <c r="AL545" s="605"/>
      <c r="AM545" s="555"/>
      <c r="AN545" s="605"/>
      <c r="AO545" s="555"/>
      <c r="AP545" s="605"/>
      <c r="AQ545" s="555"/>
      <c r="AR545" s="605"/>
      <c r="AS545" s="555"/>
      <c r="AT545" s="605"/>
      <c r="AU545" s="555"/>
      <c r="AV545" s="605"/>
      <c r="AW545" s="555"/>
      <c r="AX545" s="605"/>
      <c r="AY545" s="555"/>
      <c r="AZ545" s="605"/>
      <c r="BA545" s="555"/>
      <c r="BB545" s="605"/>
      <c r="BC545" s="555"/>
      <c r="BD545" s="605"/>
      <c r="BE545" s="555"/>
      <c r="BF545" s="605"/>
      <c r="BG545" s="555"/>
      <c r="BH545" s="605"/>
      <c r="BI545" s="555"/>
      <c r="BJ545" s="605"/>
      <c r="BK545" s="555"/>
      <c r="BL545" s="605"/>
      <c r="BM545" s="555"/>
      <c r="BN545" s="605"/>
      <c r="BO545" s="555"/>
      <c r="BP545" s="605"/>
      <c r="BQ545" s="555"/>
      <c r="BR545" s="605"/>
      <c r="BS545" s="555"/>
      <c r="BT545" s="605"/>
      <c r="BU545" s="555"/>
      <c r="BV545" s="605"/>
      <c r="BW545" s="555"/>
      <c r="BX545" s="605"/>
      <c r="BY545" s="555"/>
      <c r="BZ545" s="605"/>
      <c r="CA545" s="555"/>
      <c r="CB545" s="605"/>
      <c r="CC545" s="555"/>
      <c r="CD545" s="605"/>
      <c r="CE545" s="555"/>
      <c r="CF545" s="605"/>
      <c r="CG545" s="555"/>
      <c r="CH545" s="605"/>
      <c r="CI545" s="555"/>
      <c r="CJ545" s="605"/>
      <c r="CK545" s="555"/>
      <c r="CL545" s="605"/>
      <c r="CM545" s="555"/>
      <c r="CN545" s="605"/>
      <c r="CO545" s="555"/>
      <c r="CP545" s="605"/>
      <c r="CQ545" s="555"/>
      <c r="CR545" s="605"/>
      <c r="CS545" s="555"/>
      <c r="CT545" s="605"/>
      <c r="CU545" s="555"/>
      <c r="CV545" s="605"/>
      <c r="CW545" s="555"/>
      <c r="CX545" s="605"/>
      <c r="CY545" s="555"/>
      <c r="CZ545" s="605"/>
      <c r="DA545" s="555"/>
      <c r="DB545" s="605"/>
      <c r="DC545" s="605"/>
      <c r="DD545" s="555"/>
      <c r="DE545" s="605"/>
      <c r="DF545" s="555"/>
      <c r="DG545" s="605"/>
      <c r="DH545" s="555"/>
      <c r="DI545" s="605"/>
      <c r="DJ545" s="555"/>
      <c r="DK545" s="605"/>
      <c r="DL545" s="555"/>
      <c r="DM545" s="605"/>
      <c r="DN545" s="555"/>
      <c r="DO545" s="605"/>
      <c r="DP545" s="555"/>
      <c r="DQ545" s="605"/>
      <c r="DR545" s="555"/>
      <c r="DS545" s="605"/>
      <c r="DT545" s="555"/>
      <c r="DU545" s="605"/>
      <c r="DV545" s="555"/>
      <c r="DW545" s="605"/>
      <c r="DX545" s="555"/>
      <c r="DY545" s="605"/>
      <c r="DZ545" s="555"/>
      <c r="EA545" s="605"/>
      <c r="EB545" s="555"/>
      <c r="EC545" s="605"/>
      <c r="ED545" s="555"/>
      <c r="EE545" s="605"/>
      <c r="EF545" s="555"/>
      <c r="EG545" s="605"/>
      <c r="EH545" s="555"/>
      <c r="EI545" s="605"/>
      <c r="EJ545" s="555"/>
      <c r="EK545" s="605"/>
      <c r="EL545" s="555"/>
      <c r="EM545" s="555"/>
    </row>
    <row r="546" spans="1:143" ht="12.75" hidden="1" customHeight="1" outlineLevel="1" x14ac:dyDescent="0.2">
      <c r="A546" s="579" t="str">
        <f>INPUT!B447</f>
        <v>Operating Expenses</v>
      </c>
      <c r="B546" s="580">
        <f>INPUT!AY447</f>
        <v>106</v>
      </c>
      <c r="C546" s="577">
        <f>INPUT!AZ447</f>
        <v>2.9126213592232943</v>
      </c>
      <c r="D546" s="580">
        <f>INPUT!BA447</f>
        <v>112</v>
      </c>
      <c r="E546" s="577">
        <f>INPUT!BB447</f>
        <v>28.735632183908052</v>
      </c>
      <c r="F546" s="580">
        <f>INPUT!BC447</f>
        <v>101</v>
      </c>
      <c r="G546" s="577">
        <f>INPUT!BD447</f>
        <v>4.1237113402061993</v>
      </c>
      <c r="H546" s="580">
        <f>INPUT!BE447</f>
        <v>128</v>
      </c>
      <c r="I546" s="577">
        <f>INPUT!BF447</f>
        <v>36.170212765957444</v>
      </c>
      <c r="J546" s="580">
        <f>INPUT!BG447</f>
        <v>115</v>
      </c>
      <c r="K546" s="577">
        <f>INPUT!BH447</f>
        <v>8.49056603773586</v>
      </c>
      <c r="L546" s="580">
        <f>INPUT!BI447</f>
        <v>126</v>
      </c>
      <c r="M546" s="577">
        <f>INPUT!BJ447</f>
        <v>12.5</v>
      </c>
      <c r="N546" s="580">
        <f>INPUT!BK447</f>
        <v>137</v>
      </c>
      <c r="O546" s="577">
        <f>INPUT!BL447</f>
        <v>35.643564356435661</v>
      </c>
      <c r="P546" s="580">
        <f>INPUT!BM447</f>
        <v>132</v>
      </c>
      <c r="Q546" s="577">
        <f>INPUT!BN447</f>
        <v>3.125</v>
      </c>
      <c r="R546" s="580">
        <f>INPUT!BO447</f>
        <v>109</v>
      </c>
      <c r="S546" s="577">
        <f>INPUT!BP447</f>
        <v>-5.2173913043478279</v>
      </c>
      <c r="T546" s="580">
        <f>INPUT!BQ447</f>
        <v>87</v>
      </c>
      <c r="U546" s="577">
        <f>INPUT!BR447</f>
        <v>-30.952380952380949</v>
      </c>
      <c r="V546" s="580">
        <f>INPUT!BS447</f>
        <v>81</v>
      </c>
      <c r="W546" s="577">
        <f>INPUT!BT447</f>
        <v>-40.87591240875912</v>
      </c>
      <c r="X546" s="580">
        <f>INPUT!BU447</f>
        <v>176</v>
      </c>
      <c r="Y546" s="577">
        <f>INPUT!BV447</f>
        <v>33.333333333333314</v>
      </c>
      <c r="Z546" s="580"/>
      <c r="AA546" s="577"/>
      <c r="AB546" s="580"/>
      <c r="AC546" s="577"/>
      <c r="AD546" s="580"/>
      <c r="AE546" s="577"/>
      <c r="AF546" s="580"/>
      <c r="AG546" s="577"/>
      <c r="AH546" s="580"/>
      <c r="AI546" s="577"/>
      <c r="AJ546" s="580"/>
      <c r="AK546" s="577"/>
      <c r="AL546" s="580"/>
      <c r="AM546" s="577"/>
      <c r="AN546" s="580"/>
      <c r="AO546" s="577"/>
      <c r="AP546" s="580"/>
      <c r="AQ546" s="577"/>
      <c r="AR546" s="580"/>
      <c r="AS546" s="577"/>
      <c r="AT546" s="580"/>
      <c r="AU546" s="577"/>
      <c r="AV546" s="580"/>
      <c r="AW546" s="577"/>
      <c r="AX546" s="580"/>
      <c r="AY546" s="577"/>
      <c r="AZ546" s="580"/>
      <c r="BA546" s="577"/>
      <c r="BB546" s="580"/>
      <c r="BC546" s="577"/>
      <c r="BD546" s="580"/>
      <c r="BE546" s="577"/>
      <c r="BF546" s="580"/>
      <c r="BG546" s="577"/>
      <c r="BH546" s="580"/>
      <c r="BI546" s="577"/>
      <c r="BJ546" s="580"/>
      <c r="BK546" s="577"/>
      <c r="BL546" s="580"/>
      <c r="BM546" s="577"/>
      <c r="BN546" s="580"/>
      <c r="BO546" s="577"/>
      <c r="BP546" s="580"/>
      <c r="BQ546" s="577"/>
      <c r="BR546" s="580"/>
      <c r="BS546" s="577"/>
      <c r="BT546" s="580"/>
      <c r="BU546" s="577"/>
      <c r="BV546" s="580"/>
      <c r="BW546" s="577"/>
      <c r="BX546" s="580"/>
      <c r="BY546" s="577"/>
      <c r="BZ546" s="580"/>
      <c r="CA546" s="577"/>
      <c r="CB546" s="580"/>
      <c r="CC546" s="577"/>
      <c r="CD546" s="580"/>
      <c r="CE546" s="577"/>
      <c r="CF546" s="580"/>
      <c r="CG546" s="577"/>
      <c r="CH546" s="580"/>
      <c r="CI546" s="577"/>
      <c r="CJ546" s="580"/>
      <c r="CK546" s="577"/>
      <c r="CL546" s="580"/>
      <c r="CM546" s="577"/>
      <c r="CN546" s="580"/>
      <c r="CO546" s="577"/>
      <c r="CP546" s="580"/>
      <c r="CQ546" s="577"/>
      <c r="CR546" s="580"/>
      <c r="CS546" s="577"/>
      <c r="CT546" s="580"/>
      <c r="CU546" s="577"/>
      <c r="CV546" s="580"/>
      <c r="CW546" s="577"/>
      <c r="CX546" s="580"/>
      <c r="CY546" s="577"/>
      <c r="CZ546" s="580"/>
      <c r="DA546" s="577"/>
      <c r="DB546" s="580"/>
      <c r="DC546" s="580">
        <f>INPUT!FP447</f>
        <v>381</v>
      </c>
      <c r="DD546" s="577">
        <f>INPUT!FQ447</f>
        <v>3.2520325203252014</v>
      </c>
      <c r="DE546" s="580">
        <f>INPUT!FR447</f>
        <v>447</v>
      </c>
      <c r="DF546" s="577">
        <f>INPUT!FS447</f>
        <v>17.322834645669289</v>
      </c>
      <c r="DG546" s="580">
        <f>INPUT!FT447</f>
        <v>510</v>
      </c>
      <c r="DH546" s="577">
        <f>INPUT!FU447</f>
        <v>14.09395973154362</v>
      </c>
      <c r="DI546" s="580">
        <f>INPUT!FV447</f>
        <v>453</v>
      </c>
      <c r="DJ546" s="577">
        <f>INPUT!FW447</f>
        <v>-11.176470588235304</v>
      </c>
      <c r="DK546" s="580"/>
      <c r="DL546" s="577"/>
      <c r="DM546" s="580"/>
      <c r="DN546" s="577"/>
      <c r="DO546" s="580"/>
      <c r="DP546" s="577"/>
      <c r="DQ546" s="580"/>
      <c r="DR546" s="577"/>
      <c r="DS546" s="580"/>
      <c r="DT546" s="577"/>
      <c r="DU546" s="580"/>
      <c r="DV546" s="577"/>
      <c r="DW546" s="580"/>
      <c r="DX546" s="577"/>
      <c r="DY546" s="580"/>
      <c r="DZ546" s="577"/>
      <c r="EA546" s="580"/>
      <c r="EB546" s="577"/>
      <c r="EC546" s="580"/>
      <c r="ED546" s="577"/>
      <c r="EE546" s="580"/>
      <c r="EF546" s="577"/>
      <c r="EG546" s="580"/>
      <c r="EH546" s="577"/>
      <c r="EI546" s="580"/>
      <c r="EJ546" s="577"/>
      <c r="EK546" s="580"/>
      <c r="EL546" s="577"/>
      <c r="EM546" s="577"/>
    </row>
    <row r="547" spans="1:143" ht="12.75" hidden="1" customHeight="1" outlineLevel="1" x14ac:dyDescent="0.2">
      <c r="A547" s="579" t="str">
        <f>INPUT!B448</f>
        <v>Net DAC</v>
      </c>
      <c r="B547" s="580">
        <f>INPUT!AY448</f>
        <v>0</v>
      </c>
      <c r="C547" s="577" t="str">
        <f>INPUT!AZ448</f>
        <v>NA</v>
      </c>
      <c r="D547" s="580">
        <f>INPUT!BA448</f>
        <v>0</v>
      </c>
      <c r="E547" s="577" t="str">
        <f>INPUT!BB448</f>
        <v>NA</v>
      </c>
      <c r="F547" s="580">
        <f>INPUT!BC448</f>
        <v>0</v>
      </c>
      <c r="G547" s="577" t="str">
        <f>INPUT!BD448</f>
        <v>NA</v>
      </c>
      <c r="H547" s="580">
        <f>INPUT!BE448</f>
        <v>0</v>
      </c>
      <c r="I547" s="577" t="str">
        <f>INPUT!BF448</f>
        <v>NA</v>
      </c>
      <c r="J547" s="580">
        <f>INPUT!BG448</f>
        <v>0</v>
      </c>
      <c r="K547" s="577" t="str">
        <f>INPUT!BH448</f>
        <v>NA</v>
      </c>
      <c r="L547" s="580">
        <f>INPUT!BI448</f>
        <v>0</v>
      </c>
      <c r="M547" s="577" t="str">
        <f>INPUT!BJ448</f>
        <v>NA</v>
      </c>
      <c r="N547" s="580">
        <f>INPUT!BK448</f>
        <v>0</v>
      </c>
      <c r="O547" s="577" t="str">
        <f>INPUT!BL448</f>
        <v>NA</v>
      </c>
      <c r="P547" s="580">
        <f>INPUT!BM448</f>
        <v>0</v>
      </c>
      <c r="Q547" s="577" t="str">
        <f>INPUT!BN448</f>
        <v>NA</v>
      </c>
      <c r="R547" s="580">
        <f>INPUT!BO448</f>
        <v>0</v>
      </c>
      <c r="S547" s="577" t="str">
        <f>INPUT!BP448</f>
        <v>NA</v>
      </c>
      <c r="T547" s="580">
        <f>INPUT!BQ448</f>
        <v>0</v>
      </c>
      <c r="U547" s="577" t="str">
        <f>INPUT!BR448</f>
        <v>NA</v>
      </c>
      <c r="V547" s="580">
        <f>INPUT!BS448</f>
        <v>0</v>
      </c>
      <c r="W547" s="577" t="str">
        <f>INPUT!BT448</f>
        <v>NA</v>
      </c>
      <c r="X547" s="580">
        <f>INPUT!BU448</f>
        <v>0</v>
      </c>
      <c r="Y547" s="577" t="str">
        <f>INPUT!BV448</f>
        <v>NA</v>
      </c>
      <c r="Z547" s="580"/>
      <c r="AA547" s="577"/>
      <c r="AB547" s="580"/>
      <c r="AC547" s="577"/>
      <c r="AD547" s="580"/>
      <c r="AE547" s="577"/>
      <c r="AF547" s="580"/>
      <c r="AG547" s="577"/>
      <c r="AH547" s="580"/>
      <c r="AI547" s="577"/>
      <c r="AJ547" s="580"/>
      <c r="AK547" s="577"/>
      <c r="AL547" s="580"/>
      <c r="AM547" s="577"/>
      <c r="AN547" s="580"/>
      <c r="AO547" s="577"/>
      <c r="AP547" s="580"/>
      <c r="AQ547" s="577"/>
      <c r="AR547" s="580"/>
      <c r="AS547" s="577"/>
      <c r="AT547" s="580"/>
      <c r="AU547" s="577"/>
      <c r="AV547" s="580"/>
      <c r="AW547" s="577"/>
      <c r="AX547" s="580"/>
      <c r="AY547" s="577"/>
      <c r="AZ547" s="580"/>
      <c r="BA547" s="577"/>
      <c r="BB547" s="580"/>
      <c r="BC547" s="577"/>
      <c r="BD547" s="580"/>
      <c r="BE547" s="577"/>
      <c r="BF547" s="580"/>
      <c r="BG547" s="577"/>
      <c r="BH547" s="580"/>
      <c r="BI547" s="577"/>
      <c r="BJ547" s="580"/>
      <c r="BK547" s="577"/>
      <c r="BL547" s="580"/>
      <c r="BM547" s="577"/>
      <c r="BN547" s="580"/>
      <c r="BO547" s="577"/>
      <c r="BP547" s="580"/>
      <c r="BQ547" s="577"/>
      <c r="BR547" s="580"/>
      <c r="BS547" s="577"/>
      <c r="BT547" s="580"/>
      <c r="BU547" s="577"/>
      <c r="BV547" s="580"/>
      <c r="BW547" s="577"/>
      <c r="BX547" s="580"/>
      <c r="BY547" s="577"/>
      <c r="BZ547" s="580"/>
      <c r="CA547" s="577"/>
      <c r="CB547" s="580"/>
      <c r="CC547" s="577"/>
      <c r="CD547" s="580"/>
      <c r="CE547" s="577"/>
      <c r="CF547" s="580"/>
      <c r="CG547" s="577"/>
      <c r="CH547" s="580"/>
      <c r="CI547" s="577"/>
      <c r="CJ547" s="580"/>
      <c r="CK547" s="577"/>
      <c r="CL547" s="580"/>
      <c r="CM547" s="577"/>
      <c r="CN547" s="580"/>
      <c r="CO547" s="577"/>
      <c r="CP547" s="580"/>
      <c r="CQ547" s="577"/>
      <c r="CR547" s="580"/>
      <c r="CS547" s="577"/>
      <c r="CT547" s="580"/>
      <c r="CU547" s="577"/>
      <c r="CV547" s="580"/>
      <c r="CW547" s="577"/>
      <c r="CX547" s="580"/>
      <c r="CY547" s="577"/>
      <c r="CZ547" s="580"/>
      <c r="DA547" s="577"/>
      <c r="DB547" s="580"/>
      <c r="DC547" s="580">
        <f>INPUT!FP448</f>
        <v>0</v>
      </c>
      <c r="DD547" s="577" t="str">
        <f>INPUT!FQ448</f>
        <v>NA</v>
      </c>
      <c r="DE547" s="580">
        <f>INPUT!FR448</f>
        <v>0</v>
      </c>
      <c r="DF547" s="577" t="str">
        <f>INPUT!FS448</f>
        <v>NA</v>
      </c>
      <c r="DG547" s="580">
        <f>INPUT!FT448</f>
        <v>0</v>
      </c>
      <c r="DH547" s="577" t="str">
        <f>INPUT!FU448</f>
        <v>NA</v>
      </c>
      <c r="DI547" s="580">
        <f>INPUT!FV448</f>
        <v>0</v>
      </c>
      <c r="DJ547" s="577" t="str">
        <f>INPUT!FW448</f>
        <v>NA</v>
      </c>
      <c r="DK547" s="580"/>
      <c r="DL547" s="577"/>
      <c r="DM547" s="580"/>
      <c r="DN547" s="577"/>
      <c r="DO547" s="580"/>
      <c r="DP547" s="577"/>
      <c r="DQ547" s="580"/>
      <c r="DR547" s="577"/>
      <c r="DS547" s="580"/>
      <c r="DT547" s="577"/>
      <c r="DU547" s="580"/>
      <c r="DV547" s="577"/>
      <c r="DW547" s="580"/>
      <c r="DX547" s="577"/>
      <c r="DY547" s="580"/>
      <c r="DZ547" s="577"/>
      <c r="EA547" s="580"/>
      <c r="EB547" s="577"/>
      <c r="EC547" s="580"/>
      <c r="ED547" s="577"/>
      <c r="EE547" s="580"/>
      <c r="EF547" s="577"/>
      <c r="EG547" s="580"/>
      <c r="EH547" s="577"/>
      <c r="EI547" s="580"/>
      <c r="EJ547" s="577"/>
      <c r="EK547" s="580"/>
      <c r="EL547" s="577"/>
      <c r="EM547" s="577"/>
    </row>
    <row r="548" spans="1:143" ht="12.75" hidden="1" customHeight="1" outlineLevel="1" x14ac:dyDescent="0.2">
      <c r="A548" s="575" t="str">
        <f>INPUT!B449</f>
        <v>Total Benefits and Expenses</v>
      </c>
      <c r="B548" s="581">
        <f>INPUT!AY449</f>
        <v>106</v>
      </c>
      <c r="C548" s="577">
        <f>INPUT!AZ449</f>
        <v>2.9126213592232943</v>
      </c>
      <c r="D548" s="581">
        <f>INPUT!BA449</f>
        <v>112</v>
      </c>
      <c r="E548" s="577">
        <f>INPUT!BB449</f>
        <v>28.735632183908052</v>
      </c>
      <c r="F548" s="581">
        <f>INPUT!BC449</f>
        <v>101</v>
      </c>
      <c r="G548" s="577">
        <f>INPUT!BD449</f>
        <v>4.1237113402061993</v>
      </c>
      <c r="H548" s="581">
        <f>INPUT!BE449</f>
        <v>128</v>
      </c>
      <c r="I548" s="577">
        <f>INPUT!BF449</f>
        <v>36.170212765957444</v>
      </c>
      <c r="J548" s="581">
        <f>INPUT!BG449</f>
        <v>115</v>
      </c>
      <c r="K548" s="577">
        <f>INPUT!BH449</f>
        <v>8.49056603773586</v>
      </c>
      <c r="L548" s="581">
        <f>INPUT!BI449</f>
        <v>126</v>
      </c>
      <c r="M548" s="577">
        <f>INPUT!BJ449</f>
        <v>12.5</v>
      </c>
      <c r="N548" s="581">
        <f>INPUT!BK449</f>
        <v>137</v>
      </c>
      <c r="O548" s="577">
        <f>INPUT!BL449</f>
        <v>35.643564356435661</v>
      </c>
      <c r="P548" s="581">
        <f>INPUT!BM449</f>
        <v>132</v>
      </c>
      <c r="Q548" s="577">
        <f>INPUT!BN449</f>
        <v>3.125</v>
      </c>
      <c r="R548" s="581">
        <f>INPUT!BO449</f>
        <v>109</v>
      </c>
      <c r="S548" s="577">
        <f>INPUT!BP449</f>
        <v>-5.2173913043478279</v>
      </c>
      <c r="T548" s="581">
        <f>INPUT!BQ449</f>
        <v>87</v>
      </c>
      <c r="U548" s="577">
        <f>INPUT!BR449</f>
        <v>-30.952380952380949</v>
      </c>
      <c r="V548" s="581">
        <f>INPUT!BS449</f>
        <v>81</v>
      </c>
      <c r="W548" s="577">
        <f>INPUT!BT449</f>
        <v>-40.87591240875912</v>
      </c>
      <c r="X548" s="581">
        <f>INPUT!BU449</f>
        <v>176</v>
      </c>
      <c r="Y548" s="577">
        <f>INPUT!BV449</f>
        <v>33.333333333333314</v>
      </c>
      <c r="Z548" s="581"/>
      <c r="AA548" s="577"/>
      <c r="AB548" s="581"/>
      <c r="AC548" s="577"/>
      <c r="AD548" s="581"/>
      <c r="AE548" s="577"/>
      <c r="AF548" s="581"/>
      <c r="AG548" s="577"/>
      <c r="AH548" s="581"/>
      <c r="AI548" s="577"/>
      <c r="AJ548" s="581"/>
      <c r="AK548" s="577"/>
      <c r="AL548" s="581"/>
      <c r="AM548" s="577"/>
      <c r="AN548" s="581"/>
      <c r="AO548" s="577"/>
      <c r="AP548" s="581"/>
      <c r="AQ548" s="577"/>
      <c r="AR548" s="581"/>
      <c r="AS548" s="577"/>
      <c r="AT548" s="581"/>
      <c r="AU548" s="577"/>
      <c r="AV548" s="581"/>
      <c r="AW548" s="577"/>
      <c r="AX548" s="581"/>
      <c r="AY548" s="577"/>
      <c r="AZ548" s="581"/>
      <c r="BA548" s="577"/>
      <c r="BB548" s="581"/>
      <c r="BC548" s="577"/>
      <c r="BD548" s="581"/>
      <c r="BE548" s="577"/>
      <c r="BF548" s="581"/>
      <c r="BG548" s="577"/>
      <c r="BH548" s="581"/>
      <c r="BI548" s="577"/>
      <c r="BJ548" s="581"/>
      <c r="BK548" s="577"/>
      <c r="BL548" s="581"/>
      <c r="BM548" s="577"/>
      <c r="BN548" s="581"/>
      <c r="BO548" s="577"/>
      <c r="BP548" s="581"/>
      <c r="BQ548" s="577"/>
      <c r="BR548" s="581"/>
      <c r="BS548" s="577"/>
      <c r="BT548" s="581"/>
      <c r="BU548" s="577"/>
      <c r="BV548" s="581"/>
      <c r="BW548" s="577"/>
      <c r="BX548" s="581"/>
      <c r="BY548" s="577"/>
      <c r="BZ548" s="581"/>
      <c r="CA548" s="577"/>
      <c r="CB548" s="581"/>
      <c r="CC548" s="577"/>
      <c r="CD548" s="581"/>
      <c r="CE548" s="577"/>
      <c r="CF548" s="581"/>
      <c r="CG548" s="577"/>
      <c r="CH548" s="581"/>
      <c r="CI548" s="577"/>
      <c r="CJ548" s="581"/>
      <c r="CK548" s="577"/>
      <c r="CL548" s="581"/>
      <c r="CM548" s="577"/>
      <c r="CN548" s="581"/>
      <c r="CO548" s="577"/>
      <c r="CP548" s="581"/>
      <c r="CQ548" s="577"/>
      <c r="CR548" s="581"/>
      <c r="CS548" s="577"/>
      <c r="CT548" s="581"/>
      <c r="CU548" s="577"/>
      <c r="CV548" s="581"/>
      <c r="CW548" s="577"/>
      <c r="CX548" s="581"/>
      <c r="CY548" s="577"/>
      <c r="CZ548" s="581"/>
      <c r="DA548" s="577"/>
      <c r="DB548" s="581"/>
      <c r="DC548" s="581">
        <f>INPUT!FP449</f>
        <v>381</v>
      </c>
      <c r="DD548" s="577">
        <f>INPUT!FQ449</f>
        <v>3.2520325203252014</v>
      </c>
      <c r="DE548" s="581">
        <f>INPUT!FR449</f>
        <v>447</v>
      </c>
      <c r="DF548" s="577">
        <f>INPUT!FS449</f>
        <v>17.322834645669289</v>
      </c>
      <c r="DG548" s="581">
        <f>INPUT!FT449</f>
        <v>510</v>
      </c>
      <c r="DH548" s="577">
        <f>INPUT!FU449</f>
        <v>14.09395973154362</v>
      </c>
      <c r="DI548" s="581">
        <f>INPUT!FV449</f>
        <v>453</v>
      </c>
      <c r="DJ548" s="577">
        <f>INPUT!FW449</f>
        <v>-11.176470588235304</v>
      </c>
      <c r="DK548" s="581"/>
      <c r="DL548" s="577"/>
      <c r="DM548" s="581"/>
      <c r="DN548" s="577"/>
      <c r="DO548" s="581"/>
      <c r="DP548" s="577"/>
      <c r="DQ548" s="581"/>
      <c r="DR548" s="577"/>
      <c r="DS548" s="581"/>
      <c r="DT548" s="577"/>
      <c r="DU548" s="581"/>
      <c r="DV548" s="577"/>
      <c r="DW548" s="581"/>
      <c r="DX548" s="577"/>
      <c r="DY548" s="581"/>
      <c r="DZ548" s="577"/>
      <c r="EA548" s="581"/>
      <c r="EB548" s="577"/>
      <c r="EC548" s="581"/>
      <c r="ED548" s="577"/>
      <c r="EE548" s="581"/>
      <c r="EF548" s="577"/>
      <c r="EG548" s="581"/>
      <c r="EH548" s="577"/>
      <c r="EI548" s="581"/>
      <c r="EJ548" s="577"/>
      <c r="EK548" s="581"/>
      <c r="EL548" s="577"/>
      <c r="EM548" s="577"/>
    </row>
    <row r="549" spans="1:143" ht="12.75" hidden="1" customHeight="1" outlineLevel="1" x14ac:dyDescent="0.2">
      <c r="A549" s="579"/>
      <c r="B549" s="605"/>
      <c r="C549" s="555"/>
      <c r="D549" s="605"/>
      <c r="E549" s="555"/>
      <c r="F549" s="605"/>
      <c r="G549" s="555"/>
      <c r="H549" s="605"/>
      <c r="I549" s="555"/>
      <c r="J549" s="605"/>
      <c r="K549" s="555"/>
      <c r="L549" s="605"/>
      <c r="M549" s="555"/>
      <c r="N549" s="605"/>
      <c r="O549" s="555"/>
      <c r="P549" s="605"/>
      <c r="Q549" s="555"/>
      <c r="R549" s="605"/>
      <c r="S549" s="555"/>
      <c r="T549" s="605"/>
      <c r="U549" s="555"/>
      <c r="V549" s="605"/>
      <c r="W549" s="555"/>
      <c r="X549" s="605"/>
      <c r="Y549" s="555"/>
      <c r="Z549" s="605"/>
      <c r="AA549" s="555"/>
      <c r="AB549" s="605"/>
      <c r="AC549" s="555"/>
      <c r="AD549" s="605"/>
      <c r="AE549" s="555"/>
      <c r="AF549" s="605"/>
      <c r="AG549" s="555"/>
      <c r="AH549" s="605"/>
      <c r="AI549" s="555"/>
      <c r="AJ549" s="605"/>
      <c r="AK549" s="555"/>
      <c r="AL549" s="605"/>
      <c r="AM549" s="555"/>
      <c r="AN549" s="605"/>
      <c r="AO549" s="555"/>
      <c r="AP549" s="605"/>
      <c r="AQ549" s="555"/>
      <c r="AR549" s="605"/>
      <c r="AS549" s="555"/>
      <c r="AT549" s="605"/>
      <c r="AU549" s="555"/>
      <c r="AV549" s="605"/>
      <c r="AW549" s="555"/>
      <c r="AX549" s="605"/>
      <c r="AY549" s="555"/>
      <c r="AZ549" s="605"/>
      <c r="BA549" s="555"/>
      <c r="BB549" s="605"/>
      <c r="BC549" s="555"/>
      <c r="BD549" s="605"/>
      <c r="BE549" s="555"/>
      <c r="BF549" s="605"/>
      <c r="BG549" s="555"/>
      <c r="BH549" s="605"/>
      <c r="BI549" s="555"/>
      <c r="BJ549" s="605"/>
      <c r="BK549" s="555"/>
      <c r="BL549" s="605"/>
      <c r="BM549" s="555"/>
      <c r="BN549" s="605"/>
      <c r="BO549" s="555"/>
      <c r="BP549" s="605"/>
      <c r="BQ549" s="555"/>
      <c r="BR549" s="605"/>
      <c r="BS549" s="555"/>
      <c r="BT549" s="605"/>
      <c r="BU549" s="555"/>
      <c r="BV549" s="605"/>
      <c r="BW549" s="555"/>
      <c r="BX549" s="605"/>
      <c r="BY549" s="555"/>
      <c r="BZ549" s="605"/>
      <c r="CA549" s="555"/>
      <c r="CB549" s="605"/>
      <c r="CC549" s="555"/>
      <c r="CD549" s="605"/>
      <c r="CE549" s="555"/>
      <c r="CF549" s="605"/>
      <c r="CG549" s="555"/>
      <c r="CH549" s="605"/>
      <c r="CI549" s="555"/>
      <c r="CJ549" s="605"/>
      <c r="CK549" s="555"/>
      <c r="CL549" s="605"/>
      <c r="CM549" s="555"/>
      <c r="CN549" s="605"/>
      <c r="CO549" s="555"/>
      <c r="CP549" s="605"/>
      <c r="CQ549" s="555"/>
      <c r="CR549" s="605"/>
      <c r="CS549" s="555"/>
      <c r="CT549" s="605"/>
      <c r="CU549" s="555"/>
      <c r="CV549" s="605"/>
      <c r="CW549" s="555"/>
      <c r="CX549" s="605"/>
      <c r="CY549" s="555"/>
      <c r="CZ549" s="605"/>
      <c r="DA549" s="555"/>
      <c r="DB549" s="605"/>
      <c r="DC549" s="605"/>
      <c r="DD549" s="555"/>
      <c r="DE549" s="605"/>
      <c r="DF549" s="555"/>
      <c r="DG549" s="605"/>
      <c r="DH549" s="555"/>
      <c r="DI549" s="605"/>
      <c r="DJ549" s="555"/>
      <c r="DK549" s="605"/>
      <c r="DL549" s="555"/>
      <c r="DM549" s="605"/>
      <c r="DN549" s="555"/>
      <c r="DO549" s="605"/>
      <c r="DP549" s="555"/>
      <c r="DQ549" s="605"/>
      <c r="DR549" s="555"/>
      <c r="DS549" s="605"/>
      <c r="DT549" s="555"/>
      <c r="DU549" s="605"/>
      <c r="DV549" s="555"/>
      <c r="DW549" s="605"/>
      <c r="DX549" s="555"/>
      <c r="DY549" s="605"/>
      <c r="DZ549" s="555"/>
      <c r="EA549" s="605"/>
      <c r="EB549" s="555"/>
      <c r="EC549" s="605"/>
      <c r="ED549" s="555"/>
      <c r="EE549" s="605"/>
      <c r="EF549" s="555"/>
      <c r="EG549" s="605"/>
      <c r="EH549" s="555"/>
      <c r="EI549" s="605"/>
      <c r="EJ549" s="555"/>
      <c r="EK549" s="605"/>
      <c r="EL549" s="555"/>
      <c r="EM549" s="555"/>
    </row>
    <row r="550" spans="1:143" ht="12.75" hidden="1" customHeight="1" outlineLevel="1" x14ac:dyDescent="0.2">
      <c r="A550" s="611" t="s">
        <v>706</v>
      </c>
      <c r="B550" s="602">
        <f>INPUT!AY453</f>
        <v>44</v>
      </c>
      <c r="C550" s="612">
        <f>INPUT!AZ453</f>
        <v>76</v>
      </c>
      <c r="D550" s="602">
        <f>INPUT!BA453</f>
        <v>34</v>
      </c>
      <c r="E550" s="612">
        <f>INPUT!BB453</f>
        <v>78.94736842105263</v>
      </c>
      <c r="F550" s="602">
        <f>INPUT!BC453</f>
        <v>31</v>
      </c>
      <c r="G550" s="612">
        <f>INPUT!BD453</f>
        <v>24</v>
      </c>
      <c r="H550" s="602">
        <f>INPUT!BE453</f>
        <v>34</v>
      </c>
      <c r="I550" s="612">
        <f>INPUT!BF453</f>
        <v>-8.1081081081080981</v>
      </c>
      <c r="J550" s="602">
        <f>INPUT!BG453</f>
        <v>62</v>
      </c>
      <c r="K550" s="612">
        <f>INPUT!BH453</f>
        <v>40.909090909090907</v>
      </c>
      <c r="L550" s="602">
        <f>INPUT!BI453</f>
        <v>43</v>
      </c>
      <c r="M550" s="612">
        <f>INPUT!BJ453</f>
        <v>26.470588235294116</v>
      </c>
      <c r="N550" s="602">
        <f>INPUT!BK453</f>
        <v>114</v>
      </c>
      <c r="O550" s="612" t="str">
        <f>INPUT!BL453</f>
        <v>NM</v>
      </c>
      <c r="P550" s="602">
        <f>INPUT!BM453</f>
        <v>40</v>
      </c>
      <c r="Q550" s="612">
        <f>INPUT!BN453</f>
        <v>17.64705882352942</v>
      </c>
      <c r="R550" s="602">
        <f>INPUT!BO453</f>
        <v>7</v>
      </c>
      <c r="S550" s="612" t="str">
        <f>INPUT!BP453</f>
        <v>NM</v>
      </c>
      <c r="T550" s="602">
        <f>INPUT!BQ453</f>
        <v>13</v>
      </c>
      <c r="U550" s="612" t="str">
        <f>INPUT!BR453</f>
        <v>NM</v>
      </c>
      <c r="V550" s="602">
        <f>INPUT!BS453</f>
        <v>27</v>
      </c>
      <c r="W550" s="612" t="str">
        <f>INPUT!BT453</f>
        <v>NM</v>
      </c>
      <c r="X550" s="602">
        <f>INPUT!BU453</f>
        <v>-407</v>
      </c>
      <c r="Y550" s="612" t="str">
        <f>INPUT!BV453</f>
        <v>NM</v>
      </c>
      <c r="Z550" s="602"/>
      <c r="AA550" s="612"/>
      <c r="AB550" s="602"/>
      <c r="AC550" s="612"/>
      <c r="AD550" s="602"/>
      <c r="AE550" s="612"/>
      <c r="AF550" s="602"/>
      <c r="AG550" s="612"/>
      <c r="AH550" s="602"/>
      <c r="AI550" s="612"/>
      <c r="AJ550" s="602"/>
      <c r="AK550" s="612"/>
      <c r="AL550" s="602"/>
      <c r="AM550" s="612"/>
      <c r="AN550" s="602"/>
      <c r="AO550" s="612"/>
      <c r="AP550" s="602"/>
      <c r="AQ550" s="612"/>
      <c r="AR550" s="602"/>
      <c r="AS550" s="612"/>
      <c r="AT550" s="602"/>
      <c r="AU550" s="612"/>
      <c r="AV550" s="602"/>
      <c r="AW550" s="612"/>
      <c r="AX550" s="602"/>
      <c r="AY550" s="612"/>
      <c r="AZ550" s="602"/>
      <c r="BA550" s="612"/>
      <c r="BB550" s="602"/>
      <c r="BC550" s="612"/>
      <c r="BD550" s="602"/>
      <c r="BE550" s="612"/>
      <c r="BF550" s="602"/>
      <c r="BG550" s="612"/>
      <c r="BH550" s="602"/>
      <c r="BI550" s="612"/>
      <c r="BJ550" s="602"/>
      <c r="BK550" s="612"/>
      <c r="BL550" s="602"/>
      <c r="BM550" s="612"/>
      <c r="BN550" s="602"/>
      <c r="BO550" s="612"/>
      <c r="BP550" s="602"/>
      <c r="BQ550" s="612"/>
      <c r="BR550" s="602"/>
      <c r="BS550" s="612"/>
      <c r="BT550" s="602"/>
      <c r="BU550" s="612"/>
      <c r="BV550" s="602"/>
      <c r="BW550" s="612"/>
      <c r="BX550" s="602"/>
      <c r="BY550" s="612"/>
      <c r="BZ550" s="602"/>
      <c r="CA550" s="612"/>
      <c r="CB550" s="602"/>
      <c r="CC550" s="612"/>
      <c r="CD550" s="602"/>
      <c r="CE550" s="612"/>
      <c r="CF550" s="602"/>
      <c r="CG550" s="612"/>
      <c r="CH550" s="602"/>
      <c r="CI550" s="612"/>
      <c r="CJ550" s="602"/>
      <c r="CK550" s="612"/>
      <c r="CL550" s="602"/>
      <c r="CM550" s="612"/>
      <c r="CN550" s="602"/>
      <c r="CO550" s="612"/>
      <c r="CP550" s="602"/>
      <c r="CQ550" s="612"/>
      <c r="CR550" s="602"/>
      <c r="CS550" s="612"/>
      <c r="CT550" s="602"/>
      <c r="CU550" s="612"/>
      <c r="CV550" s="602"/>
      <c r="CW550" s="612"/>
      <c r="CX550" s="602"/>
      <c r="CY550" s="612"/>
      <c r="CZ550" s="602"/>
      <c r="DA550" s="612"/>
      <c r="DB550" s="602"/>
      <c r="DC550" s="602">
        <f>INPUT!FP453</f>
        <v>106</v>
      </c>
      <c r="DD550" s="612">
        <f>INPUT!FQ453</f>
        <v>37.662337662337677</v>
      </c>
      <c r="DE550" s="602">
        <f>INPUT!FR453</f>
        <v>143</v>
      </c>
      <c r="DF550" s="612">
        <f>INPUT!FS453</f>
        <v>34.905660377358487</v>
      </c>
      <c r="DG550" s="602">
        <f>INPUT!FT453</f>
        <v>259</v>
      </c>
      <c r="DH550" s="612">
        <f>INPUT!FU453</f>
        <v>81.11888111888112</v>
      </c>
      <c r="DI550" s="602">
        <f>INPUT!FV453</f>
        <v>-360</v>
      </c>
      <c r="DJ550" s="612" t="str">
        <f>INPUT!FW453</f>
        <v>NM</v>
      </c>
      <c r="DK550" s="602"/>
      <c r="DL550" s="612"/>
      <c r="DM550" s="602"/>
      <c r="DN550" s="612"/>
      <c r="DO550" s="602"/>
      <c r="DP550" s="612"/>
      <c r="DQ550" s="602"/>
      <c r="DR550" s="612"/>
      <c r="DS550" s="602"/>
      <c r="DT550" s="612"/>
      <c r="DU550" s="602"/>
      <c r="DV550" s="612"/>
      <c r="DW550" s="602"/>
      <c r="DX550" s="612"/>
      <c r="DY550" s="602"/>
      <c r="DZ550" s="612"/>
      <c r="EA550" s="602"/>
      <c r="EB550" s="612"/>
      <c r="EC550" s="602"/>
      <c r="ED550" s="612"/>
      <c r="EE550" s="602"/>
      <c r="EF550" s="612"/>
      <c r="EG550" s="602"/>
      <c r="EH550" s="612"/>
      <c r="EI550" s="602"/>
      <c r="EJ550" s="612"/>
      <c r="EK550" s="602"/>
      <c r="EL550" s="612"/>
      <c r="EM550" s="612"/>
    </row>
    <row r="551" spans="1:143" ht="12.75" hidden="1" customHeight="1" outlineLevel="1" x14ac:dyDescent="0.2">
      <c r="A551" s="613"/>
      <c r="B551" s="605"/>
      <c r="C551" s="555"/>
      <c r="D551" s="605"/>
      <c r="E551" s="555"/>
      <c r="F551" s="605"/>
      <c r="G551" s="555"/>
      <c r="H551" s="605"/>
      <c r="I551" s="555"/>
      <c r="J551" s="605"/>
      <c r="K551" s="555"/>
      <c r="L551" s="605"/>
      <c r="M551" s="555"/>
      <c r="N551" s="605"/>
      <c r="O551" s="555"/>
      <c r="P551" s="605"/>
      <c r="Q551" s="555"/>
      <c r="R551" s="605"/>
      <c r="S551" s="555"/>
      <c r="T551" s="605"/>
      <c r="U551" s="555"/>
      <c r="V551" s="605"/>
      <c r="W551" s="555"/>
      <c r="X551" s="605"/>
      <c r="Y551" s="555"/>
      <c r="Z551" s="605"/>
      <c r="AA551" s="555"/>
      <c r="AB551" s="605"/>
      <c r="AC551" s="555"/>
      <c r="AD551" s="605"/>
      <c r="AE551" s="555"/>
      <c r="AF551" s="605"/>
      <c r="AG551" s="555"/>
      <c r="AH551" s="605"/>
      <c r="AI551" s="555"/>
      <c r="AJ551" s="605"/>
      <c r="AK551" s="555"/>
      <c r="AL551" s="605"/>
      <c r="AM551" s="555"/>
      <c r="AN551" s="605"/>
      <c r="AO551" s="555"/>
      <c r="AP551" s="605"/>
      <c r="AQ551" s="555"/>
      <c r="AR551" s="605"/>
      <c r="AS551" s="555"/>
      <c r="AT551" s="605"/>
      <c r="AU551" s="555"/>
      <c r="AV551" s="605"/>
      <c r="AW551" s="555"/>
      <c r="AX551" s="605"/>
      <c r="AY551" s="555"/>
      <c r="AZ551" s="605"/>
      <c r="BA551" s="555"/>
      <c r="BB551" s="605"/>
      <c r="BC551" s="555"/>
      <c r="BD551" s="605"/>
      <c r="BE551" s="555"/>
      <c r="BF551" s="605"/>
      <c r="BG551" s="555"/>
      <c r="BH551" s="605"/>
      <c r="BI551" s="555"/>
      <c r="BJ551" s="605"/>
      <c r="BK551" s="555"/>
      <c r="BL551" s="605"/>
      <c r="BM551" s="555"/>
      <c r="BN551" s="605"/>
      <c r="BO551" s="555"/>
      <c r="BP551" s="605"/>
      <c r="BQ551" s="555"/>
      <c r="BR551" s="605"/>
      <c r="BS551" s="555"/>
      <c r="BT551" s="605"/>
      <c r="BU551" s="555"/>
      <c r="BV551" s="605"/>
      <c r="BW551" s="555"/>
      <c r="BX551" s="605"/>
      <c r="BY551" s="555"/>
      <c r="BZ551" s="605"/>
      <c r="CA551" s="555"/>
      <c r="CB551" s="605"/>
      <c r="CC551" s="555"/>
      <c r="CD551" s="605"/>
      <c r="CE551" s="555"/>
      <c r="CF551" s="605"/>
      <c r="CG551" s="555"/>
      <c r="CH551" s="605"/>
      <c r="CI551" s="555"/>
      <c r="CJ551" s="605"/>
      <c r="CK551" s="555"/>
      <c r="CL551" s="605"/>
      <c r="CM551" s="555"/>
      <c r="CN551" s="605"/>
      <c r="CO551" s="555"/>
      <c r="CP551" s="605"/>
      <c r="CQ551" s="555"/>
      <c r="CR551" s="605"/>
      <c r="CS551" s="555"/>
      <c r="CT551" s="605"/>
      <c r="CU551" s="555"/>
      <c r="CV551" s="605"/>
      <c r="CW551" s="555"/>
      <c r="CX551" s="605"/>
      <c r="CY551" s="555"/>
      <c r="CZ551" s="605"/>
      <c r="DA551" s="555"/>
      <c r="DB551" s="605"/>
      <c r="DC551" s="605"/>
      <c r="DD551" s="555"/>
      <c r="DE551" s="605"/>
      <c r="DF551" s="555"/>
      <c r="DG551" s="605"/>
      <c r="DH551" s="555"/>
      <c r="DI551" s="605"/>
      <c r="DJ551" s="555"/>
      <c r="DK551" s="605"/>
      <c r="DL551" s="555"/>
      <c r="DM551" s="605"/>
      <c r="DN551" s="555"/>
      <c r="DO551" s="605"/>
      <c r="DP551" s="555"/>
      <c r="DQ551" s="605"/>
      <c r="DR551" s="555"/>
      <c r="DS551" s="605"/>
      <c r="DT551" s="555"/>
      <c r="DU551" s="605"/>
      <c r="DV551" s="555"/>
      <c r="DW551" s="605"/>
      <c r="DX551" s="555"/>
      <c r="DY551" s="605"/>
      <c r="DZ551" s="555"/>
      <c r="EA551" s="605"/>
      <c r="EB551" s="555"/>
      <c r="EC551" s="605"/>
      <c r="ED551" s="555"/>
      <c r="EE551" s="605"/>
      <c r="EF551" s="555"/>
      <c r="EG551" s="605"/>
      <c r="EH551" s="555"/>
      <c r="EI551" s="605"/>
      <c r="EJ551" s="555"/>
      <c r="EK551" s="605"/>
      <c r="EL551" s="555"/>
      <c r="EM551" s="555"/>
    </row>
    <row r="552" spans="1:143" ht="12.75" hidden="1" customHeight="1" outlineLevel="1" x14ac:dyDescent="0.2">
      <c r="A552" s="575" t="s">
        <v>255</v>
      </c>
      <c r="B552" s="605"/>
      <c r="C552" s="555"/>
      <c r="D552" s="605"/>
      <c r="E552" s="555"/>
      <c r="F552" s="605"/>
      <c r="G552" s="555"/>
      <c r="H552" s="605"/>
      <c r="I552" s="555"/>
      <c r="J552" s="605"/>
      <c r="K552" s="555"/>
      <c r="L552" s="605"/>
      <c r="M552" s="555"/>
      <c r="N552" s="605"/>
      <c r="O552" s="555"/>
      <c r="P552" s="605"/>
      <c r="Q552" s="555"/>
      <c r="R552" s="605"/>
      <c r="S552" s="555"/>
      <c r="T552" s="605"/>
      <c r="U552" s="555"/>
      <c r="V552" s="605"/>
      <c r="W552" s="555"/>
      <c r="X552" s="605"/>
      <c r="Y552" s="555"/>
      <c r="Z552" s="605"/>
      <c r="AA552" s="555"/>
      <c r="AB552" s="605"/>
      <c r="AC552" s="555"/>
      <c r="AD552" s="605"/>
      <c r="AE552" s="555"/>
      <c r="AF552" s="605"/>
      <c r="AG552" s="555"/>
      <c r="AH552" s="605"/>
      <c r="AI552" s="555"/>
      <c r="AJ552" s="605"/>
      <c r="AK552" s="555"/>
      <c r="AL552" s="605"/>
      <c r="AM552" s="555"/>
      <c r="AN552" s="605"/>
      <c r="AO552" s="555"/>
      <c r="AP552" s="605"/>
      <c r="AQ552" s="555"/>
      <c r="AR552" s="605"/>
      <c r="AS552" s="555"/>
      <c r="AT552" s="605"/>
      <c r="AU552" s="555"/>
      <c r="AV552" s="605"/>
      <c r="AW552" s="555"/>
      <c r="AX552" s="605"/>
      <c r="AY552" s="555"/>
      <c r="AZ552" s="605"/>
      <c r="BA552" s="555"/>
      <c r="BB552" s="605"/>
      <c r="BC552" s="555"/>
      <c r="BD552" s="605"/>
      <c r="BE552" s="555"/>
      <c r="BF552" s="605"/>
      <c r="BG552" s="555"/>
      <c r="BH552" s="605"/>
      <c r="BI552" s="555"/>
      <c r="BJ552" s="605"/>
      <c r="BK552" s="555"/>
      <c r="BL552" s="605"/>
      <c r="BM552" s="555"/>
      <c r="BN552" s="605"/>
      <c r="BO552" s="555"/>
      <c r="BP552" s="605"/>
      <c r="BQ552" s="555"/>
      <c r="BR552" s="605"/>
      <c r="BS552" s="555"/>
      <c r="BT552" s="605"/>
      <c r="BU552" s="555"/>
      <c r="BV552" s="605"/>
      <c r="BW552" s="555"/>
      <c r="BX552" s="605"/>
      <c r="BY552" s="555"/>
      <c r="BZ552" s="605"/>
      <c r="CA552" s="555"/>
      <c r="CB552" s="605"/>
      <c r="CC552" s="555"/>
      <c r="CD552" s="605"/>
      <c r="CE552" s="555"/>
      <c r="CF552" s="605"/>
      <c r="CG552" s="555"/>
      <c r="CH552" s="605"/>
      <c r="CI552" s="555"/>
      <c r="CJ552" s="605"/>
      <c r="CK552" s="555"/>
      <c r="CL552" s="605"/>
      <c r="CM552" s="555"/>
      <c r="CN552" s="605"/>
      <c r="CO552" s="555"/>
      <c r="CP552" s="605"/>
      <c r="CQ552" s="555"/>
      <c r="CR552" s="605"/>
      <c r="CS552" s="555"/>
      <c r="CT552" s="605"/>
      <c r="CU552" s="555"/>
      <c r="CV552" s="605"/>
      <c r="CW552" s="555"/>
      <c r="CX552" s="605"/>
      <c r="CY552" s="555"/>
      <c r="CZ552" s="605"/>
      <c r="DA552" s="555"/>
      <c r="DB552" s="605"/>
      <c r="DC552" s="605"/>
      <c r="DD552" s="555"/>
      <c r="DE552" s="605"/>
      <c r="DF552" s="555"/>
      <c r="DG552" s="605"/>
      <c r="DH552" s="555"/>
      <c r="DI552" s="605"/>
      <c r="DJ552" s="555"/>
      <c r="DK552" s="605"/>
      <c r="DL552" s="555"/>
      <c r="DM552" s="605"/>
      <c r="DN552" s="555"/>
      <c r="DO552" s="605"/>
      <c r="DP552" s="555"/>
      <c r="DQ552" s="605"/>
      <c r="DR552" s="555"/>
      <c r="DS552" s="605"/>
      <c r="DT552" s="555"/>
      <c r="DU552" s="605"/>
      <c r="DV552" s="555"/>
      <c r="DW552" s="605"/>
      <c r="DX552" s="555"/>
      <c r="DY552" s="605"/>
      <c r="DZ552" s="555"/>
      <c r="EA552" s="605"/>
      <c r="EB552" s="555"/>
      <c r="EC552" s="605"/>
      <c r="ED552" s="555"/>
      <c r="EE552" s="605"/>
      <c r="EF552" s="555"/>
      <c r="EG552" s="605"/>
      <c r="EH552" s="555"/>
      <c r="EI552" s="605"/>
      <c r="EJ552" s="555"/>
      <c r="EK552" s="605"/>
      <c r="EL552" s="555"/>
      <c r="EM552" s="555"/>
    </row>
    <row r="553" spans="1:143" ht="12.75" hidden="1" customHeight="1" outlineLevel="1" x14ac:dyDescent="0.2">
      <c r="A553" s="579" t="str">
        <f>INPUT!B454</f>
        <v xml:space="preserve">  Pretax Margin</v>
      </c>
      <c r="B553" s="615">
        <f>INPUT!AY454</f>
        <v>29.333333333333332</v>
      </c>
      <c r="C553" s="555">
        <f>INPUT!AZ454</f>
        <v>50.186666666666667</v>
      </c>
      <c r="D553" s="615">
        <f>INPUT!BA454</f>
        <v>23.287671232876711</v>
      </c>
      <c r="E553" s="555">
        <f>INPUT!BB454</f>
        <v>29.920692141312202</v>
      </c>
      <c r="F553" s="615">
        <f>INPUT!BC454</f>
        <v>23.484848484848484</v>
      </c>
      <c r="G553" s="555">
        <f>INPUT!BD454</f>
        <v>14.606060606060595</v>
      </c>
      <c r="H553" s="615">
        <f>INPUT!BE454</f>
        <v>20.987654320987652</v>
      </c>
      <c r="I553" s="555">
        <f>INPUT!BF454</f>
        <v>-25.692359025692383</v>
      </c>
      <c r="J553" s="615">
        <f>INPUT!BG454</f>
        <v>35.028248587570623</v>
      </c>
      <c r="K553" s="555">
        <f>INPUT!BH454</f>
        <v>19.414483821263502</v>
      </c>
      <c r="L553" s="615">
        <f>INPUT!BI454</f>
        <v>25.443786982248522</v>
      </c>
      <c r="M553" s="555">
        <f>INPUT!BJ454</f>
        <v>9.2586146884789571</v>
      </c>
      <c r="N553" s="615">
        <f>INPUT!BK454</f>
        <v>45.418326693227087</v>
      </c>
      <c r="O553" s="555">
        <f>INPUT!BL454</f>
        <v>93.394165274386296</v>
      </c>
      <c r="P553" s="615">
        <f>INPUT!BM454</f>
        <v>23.255813953488371</v>
      </c>
      <c r="Q553" s="555">
        <f>INPUT!BN454</f>
        <v>10.807113543091674</v>
      </c>
      <c r="R553" s="615">
        <f>INPUT!BO454</f>
        <v>6.0344827586206895</v>
      </c>
      <c r="S553" s="555" t="str">
        <f>INPUT!BP454</f>
        <v>NM</v>
      </c>
      <c r="T553" s="615">
        <f>INPUT!BQ454</f>
        <v>13</v>
      </c>
      <c r="U553" s="555">
        <f>INPUT!BR454</f>
        <v>-48.906976744186046</v>
      </c>
      <c r="V553" s="615">
        <f>INPUT!BS454</f>
        <v>25</v>
      </c>
      <c r="W553" s="555">
        <f>INPUT!BT454</f>
        <v>-44.956140350877185</v>
      </c>
      <c r="X553" s="615">
        <f>INPUT!BU454</f>
        <v>176.19047619047618</v>
      </c>
      <c r="Y553" s="555" t="str">
        <f>INPUT!BV454</f>
        <v>NM</v>
      </c>
      <c r="Z553" s="615"/>
      <c r="AA553" s="555"/>
      <c r="AB553" s="615"/>
      <c r="AC553" s="555"/>
      <c r="AD553" s="615"/>
      <c r="AE553" s="555"/>
      <c r="AF553" s="615"/>
      <c r="AG553" s="555"/>
      <c r="AH553" s="625"/>
      <c r="AI553" s="555"/>
      <c r="AJ553" s="625"/>
      <c r="AK553" s="555"/>
      <c r="AL553" s="625"/>
      <c r="AM553" s="555"/>
      <c r="AN553" s="625"/>
      <c r="AO553" s="555"/>
      <c r="AP553" s="625"/>
      <c r="AQ553" s="555"/>
      <c r="AR553" s="625"/>
      <c r="AS553" s="555"/>
      <c r="AT553" s="625"/>
      <c r="AU553" s="555"/>
      <c r="AV553" s="625"/>
      <c r="AW553" s="555"/>
      <c r="AX553" s="625"/>
      <c r="AY553" s="555"/>
      <c r="AZ553" s="625"/>
      <c r="BA553" s="555"/>
      <c r="BB553" s="625"/>
      <c r="BC553" s="555"/>
      <c r="BD553" s="625"/>
      <c r="BE553" s="555"/>
      <c r="BF553" s="625"/>
      <c r="BG553" s="555"/>
      <c r="BH553" s="625"/>
      <c r="BI553" s="555"/>
      <c r="BJ553" s="625"/>
      <c r="BK553" s="555"/>
      <c r="BL553" s="625"/>
      <c r="BM553" s="555"/>
      <c r="BN553" s="625"/>
      <c r="BO553" s="555"/>
      <c r="BP553" s="625"/>
      <c r="BQ553" s="555"/>
      <c r="BR553" s="625"/>
      <c r="BS553" s="555"/>
      <c r="BT553" s="625"/>
      <c r="BU553" s="555"/>
      <c r="BV553" s="625"/>
      <c r="BW553" s="555"/>
      <c r="BX553" s="625"/>
      <c r="BY553" s="555"/>
      <c r="BZ553" s="625"/>
      <c r="CA553" s="555"/>
      <c r="CB553" s="625"/>
      <c r="CC553" s="555"/>
      <c r="CD553" s="625"/>
      <c r="CE553" s="555"/>
      <c r="CF553" s="625"/>
      <c r="CG553" s="555"/>
      <c r="CH553" s="625"/>
      <c r="CI553" s="555"/>
      <c r="CJ553" s="625"/>
      <c r="CK553" s="555"/>
      <c r="CL553" s="625"/>
      <c r="CM553" s="555"/>
      <c r="CN553" s="625"/>
      <c r="CO553" s="555"/>
      <c r="CP553" s="625"/>
      <c r="CQ553" s="555"/>
      <c r="CR553" s="625"/>
      <c r="CS553" s="555"/>
      <c r="CT553" s="625"/>
      <c r="CU553" s="555"/>
      <c r="CV553" s="625"/>
      <c r="CW553" s="555"/>
      <c r="CX553" s="625"/>
      <c r="CY553" s="555"/>
      <c r="CZ553" s="625"/>
      <c r="DA553" s="555"/>
      <c r="DB553" s="615"/>
      <c r="DC553" s="615">
        <f>INPUT!FP454</f>
        <v>21.765913757700204</v>
      </c>
      <c r="DD553" s="555">
        <f>INPUT!FQ454</f>
        <v>26.072695271873897</v>
      </c>
      <c r="DE553" s="615">
        <f>INPUT!FR454</f>
        <v>24.237288135593221</v>
      </c>
      <c r="DF553" s="555">
        <f>INPUT!FS454</f>
        <v>11.354333226734894</v>
      </c>
      <c r="DG553" s="615">
        <f>INPUT!FT454</f>
        <v>33.68010403120936</v>
      </c>
      <c r="DH553" s="555">
        <f>INPUT!FU454</f>
        <v>38.959869779115536</v>
      </c>
      <c r="DI553" s="615">
        <f>INPUT!FV454</f>
        <v>-387.09677419354841</v>
      </c>
      <c r="DJ553" s="555" t="str">
        <f>INPUT!FW454</f>
        <v>NM</v>
      </c>
      <c r="DK553" s="625"/>
      <c r="DL553" s="555"/>
      <c r="DM553" s="625"/>
      <c r="DN553" s="555"/>
      <c r="DO553" s="625"/>
      <c r="DP553" s="555"/>
      <c r="DQ553" s="625"/>
      <c r="DR553" s="555"/>
      <c r="DS553" s="625"/>
      <c r="DT553" s="555"/>
      <c r="DU553" s="625"/>
      <c r="DV553" s="555"/>
      <c r="DW553" s="625"/>
      <c r="DX553" s="555"/>
      <c r="DY553" s="625"/>
      <c r="DZ553" s="555"/>
      <c r="EA553" s="625"/>
      <c r="EB553" s="555"/>
      <c r="EC553" s="625"/>
      <c r="ED553" s="555"/>
      <c r="EE553" s="625"/>
      <c r="EF553" s="555"/>
      <c r="EG553" s="625"/>
      <c r="EH553" s="555"/>
      <c r="EI553" s="625"/>
      <c r="EJ553" s="555"/>
      <c r="EK553" s="625"/>
      <c r="EL553" s="555"/>
      <c r="EM553" s="555"/>
    </row>
    <row r="554" spans="1:143" ht="12.75" hidden="1" customHeight="1" outlineLevel="1" x14ac:dyDescent="0.2">
      <c r="A554" s="575"/>
      <c r="B554" s="581"/>
      <c r="C554" s="577"/>
      <c r="D554" s="581"/>
      <c r="E554" s="577"/>
      <c r="F554" s="581"/>
      <c r="G554" s="577"/>
      <c r="H554" s="581"/>
      <c r="I554" s="577"/>
      <c r="J554" s="581"/>
      <c r="K554" s="577"/>
      <c r="L554" s="581"/>
      <c r="M554" s="577"/>
      <c r="N554" s="581"/>
      <c r="O554" s="577"/>
      <c r="P554" s="581"/>
      <c r="Q554" s="577"/>
      <c r="R554" s="581"/>
      <c r="S554" s="577"/>
      <c r="T554" s="581"/>
      <c r="U554" s="577"/>
      <c r="V554" s="581"/>
      <c r="W554" s="577"/>
      <c r="X554" s="581"/>
      <c r="Y554" s="577"/>
      <c r="Z554" s="581"/>
      <c r="AA554" s="577"/>
      <c r="AB554" s="581"/>
      <c r="AC554" s="577"/>
      <c r="AD554" s="581"/>
      <c r="AE554" s="577"/>
      <c r="AF554" s="581"/>
      <c r="AG554" s="577"/>
      <c r="AH554" s="581"/>
      <c r="AI554" s="577"/>
      <c r="AJ554" s="581"/>
      <c r="AK554" s="577"/>
      <c r="AL554" s="581"/>
      <c r="AM554" s="577"/>
      <c r="AN554" s="581"/>
      <c r="AO554" s="577"/>
      <c r="AP554" s="581"/>
      <c r="AQ554" s="577"/>
      <c r="AR554" s="581"/>
      <c r="AS554" s="577"/>
      <c r="AT554" s="581"/>
      <c r="AU554" s="577"/>
      <c r="AV554" s="581"/>
      <c r="AW554" s="577"/>
      <c r="AX554" s="581"/>
      <c r="AY554" s="577"/>
      <c r="AZ554" s="581"/>
      <c r="BA554" s="577"/>
      <c r="BB554" s="581"/>
      <c r="BC554" s="577"/>
      <c r="BD554" s="581"/>
      <c r="BE554" s="577"/>
      <c r="BF554" s="581"/>
      <c r="BG554" s="577"/>
      <c r="BH554" s="581"/>
      <c r="BI554" s="577"/>
      <c r="BJ554" s="581"/>
      <c r="BK554" s="577"/>
      <c r="BL554" s="581"/>
      <c r="BM554" s="577"/>
      <c r="BN554" s="581"/>
      <c r="BO554" s="577"/>
      <c r="BP554" s="581"/>
      <c r="BQ554" s="577"/>
      <c r="BR554" s="581"/>
      <c r="BS554" s="577"/>
      <c r="BT554" s="581"/>
      <c r="BU554" s="577"/>
      <c r="BV554" s="581"/>
      <c r="BW554" s="577"/>
      <c r="BX554" s="581"/>
      <c r="BY554" s="577"/>
      <c r="BZ554" s="581"/>
      <c r="CA554" s="577"/>
      <c r="CB554" s="581"/>
      <c r="CC554" s="577"/>
      <c r="CD554" s="581"/>
      <c r="CE554" s="577"/>
      <c r="CF554" s="581"/>
      <c r="CG554" s="577"/>
      <c r="CH554" s="581"/>
      <c r="CI554" s="577"/>
      <c r="CJ554" s="581"/>
      <c r="CK554" s="577"/>
      <c r="CL554" s="581"/>
      <c r="CM554" s="577"/>
      <c r="CN554" s="581"/>
      <c r="CO554" s="577"/>
      <c r="CP554" s="581"/>
      <c r="CQ554" s="577"/>
      <c r="CR554" s="581"/>
      <c r="CS554" s="577"/>
      <c r="CT554" s="581"/>
      <c r="CU554" s="577"/>
      <c r="CV554" s="581"/>
      <c r="CW554" s="577"/>
      <c r="CX554" s="581"/>
      <c r="CY554" s="577"/>
      <c r="CZ554" s="581"/>
      <c r="DA554" s="577"/>
      <c r="DB554" s="581"/>
      <c r="DC554" s="581"/>
      <c r="DD554" s="577"/>
      <c r="DE554" s="581"/>
      <c r="DF554" s="577"/>
      <c r="DG554" s="581"/>
      <c r="DH554" s="577"/>
      <c r="DI554" s="581"/>
      <c r="DJ554" s="577"/>
      <c r="DK554" s="581"/>
      <c r="DL554" s="577"/>
      <c r="DM554" s="581"/>
      <c r="DN554" s="577"/>
      <c r="DO554" s="581"/>
      <c r="DP554" s="577"/>
      <c r="DQ554" s="581"/>
      <c r="DR554" s="577"/>
      <c r="DS554" s="581"/>
      <c r="DT554" s="577"/>
      <c r="DU554" s="581"/>
      <c r="DV554" s="577"/>
      <c r="DW554" s="581"/>
      <c r="DX554" s="577"/>
      <c r="DY554" s="581"/>
      <c r="DZ554" s="577"/>
      <c r="EA554" s="581"/>
      <c r="EB554" s="577"/>
      <c r="EC554" s="581"/>
      <c r="ED554" s="577"/>
      <c r="EE554" s="581"/>
      <c r="EF554" s="577"/>
      <c r="EG554" s="581"/>
      <c r="EH554" s="577"/>
      <c r="EI554" s="581"/>
      <c r="EJ554" s="577"/>
      <c r="EK554" s="581"/>
      <c r="EL554" s="577"/>
      <c r="EM554" s="577"/>
    </row>
    <row r="555" spans="1:143" ht="12.75" hidden="1" customHeight="1" outlineLevel="1" x14ac:dyDescent="0.2">
      <c r="A555" s="575" t="s">
        <v>498</v>
      </c>
      <c r="B555" s="581"/>
      <c r="C555" s="577"/>
      <c r="D555" s="581"/>
      <c r="E555" s="577"/>
      <c r="F555" s="581"/>
      <c r="G555" s="577"/>
      <c r="H555" s="581"/>
      <c r="I555" s="577"/>
      <c r="J555" s="581"/>
      <c r="K555" s="577"/>
      <c r="L555" s="581"/>
      <c r="M555" s="577"/>
      <c r="N555" s="581"/>
      <c r="O555" s="577"/>
      <c r="P555" s="581"/>
      <c r="Q555" s="577"/>
      <c r="R555" s="581"/>
      <c r="S555" s="577"/>
      <c r="T555" s="581"/>
      <c r="U555" s="577"/>
      <c r="V555" s="581"/>
      <c r="W555" s="577"/>
      <c r="X555" s="581"/>
      <c r="Y555" s="577"/>
      <c r="Z555" s="581"/>
      <c r="AA555" s="577"/>
      <c r="AB555" s="581"/>
      <c r="AC555" s="577"/>
      <c r="AD555" s="581"/>
      <c r="AE555" s="577"/>
      <c r="AF555" s="581"/>
      <c r="AG555" s="577"/>
      <c r="AH555" s="581"/>
      <c r="AI555" s="577"/>
      <c r="AJ555" s="581"/>
      <c r="AK555" s="577"/>
      <c r="AL555" s="581"/>
      <c r="AM555" s="577"/>
      <c r="AN555" s="581"/>
      <c r="AO555" s="577"/>
      <c r="AP555" s="581"/>
      <c r="AQ555" s="577"/>
      <c r="AR555" s="581"/>
      <c r="AS555" s="577"/>
      <c r="AT555" s="581"/>
      <c r="AU555" s="577"/>
      <c r="AV555" s="581"/>
      <c r="AW555" s="577"/>
      <c r="AX555" s="581"/>
      <c r="AY555" s="577"/>
      <c r="AZ555" s="581"/>
      <c r="BA555" s="577"/>
      <c r="BB555" s="581"/>
      <c r="BC555" s="577"/>
      <c r="BD555" s="581"/>
      <c r="BE555" s="577"/>
      <c r="BF555" s="581"/>
      <c r="BG555" s="577"/>
      <c r="BH555" s="581"/>
      <c r="BI555" s="577"/>
      <c r="BJ555" s="581"/>
      <c r="BK555" s="577"/>
      <c r="BL555" s="581"/>
      <c r="BM555" s="577"/>
      <c r="BN555" s="581"/>
      <c r="BO555" s="577"/>
      <c r="BP555" s="581"/>
      <c r="BQ555" s="577"/>
      <c r="BR555" s="581"/>
      <c r="BS555" s="577"/>
      <c r="BT555" s="581"/>
      <c r="BU555" s="577"/>
      <c r="BV555" s="581"/>
      <c r="BW555" s="577"/>
      <c r="BX555" s="581"/>
      <c r="BY555" s="577"/>
      <c r="BZ555" s="581"/>
      <c r="CA555" s="577"/>
      <c r="CB555" s="581"/>
      <c r="CC555" s="577"/>
      <c r="CD555" s="581"/>
      <c r="CE555" s="577"/>
      <c r="CF555" s="581"/>
      <c r="CG555" s="577"/>
      <c r="CH555" s="581"/>
      <c r="CI555" s="577"/>
      <c r="CJ555" s="581"/>
      <c r="CK555" s="577"/>
      <c r="CL555" s="581"/>
      <c r="CM555" s="577"/>
      <c r="CN555" s="581"/>
      <c r="CO555" s="577"/>
      <c r="CP555" s="581"/>
      <c r="CQ555" s="577"/>
      <c r="CR555" s="581"/>
      <c r="CS555" s="577"/>
      <c r="CT555" s="581"/>
      <c r="CU555" s="577"/>
      <c r="CV555" s="581"/>
      <c r="CW555" s="577"/>
      <c r="CX555" s="581"/>
      <c r="CY555" s="577"/>
      <c r="CZ555" s="581"/>
      <c r="DA555" s="577"/>
      <c r="DB555" s="581"/>
      <c r="DC555" s="581"/>
      <c r="DD555" s="577"/>
      <c r="DE555" s="581"/>
      <c r="DF555" s="577"/>
      <c r="DG555" s="581"/>
      <c r="DH555" s="577"/>
      <c r="DI555" s="581"/>
      <c r="DJ555" s="577"/>
      <c r="DK555" s="581"/>
      <c r="DL555" s="577"/>
      <c r="DM555" s="581"/>
      <c r="DN555" s="577"/>
      <c r="DO555" s="581"/>
      <c r="DP555" s="577"/>
      <c r="DQ555" s="581"/>
      <c r="DR555" s="577"/>
      <c r="DS555" s="581"/>
      <c r="DT555" s="577"/>
      <c r="DU555" s="581"/>
      <c r="DV555" s="577"/>
      <c r="DW555" s="581"/>
      <c r="DX555" s="577"/>
      <c r="DY555" s="581"/>
      <c r="DZ555" s="577"/>
      <c r="EA555" s="581"/>
      <c r="EB555" s="577"/>
      <c r="EC555" s="581"/>
      <c r="ED555" s="577"/>
      <c r="EE555" s="581"/>
      <c r="EF555" s="577"/>
      <c r="EG555" s="581"/>
      <c r="EH555" s="577"/>
      <c r="EI555" s="581"/>
      <c r="EJ555" s="577"/>
      <c r="EK555" s="581"/>
      <c r="EL555" s="577"/>
      <c r="EM555" s="577"/>
    </row>
    <row r="556" spans="1:143" ht="12.75" hidden="1" customHeight="1" outlineLevel="1" x14ac:dyDescent="0.2">
      <c r="A556" s="579" t="s">
        <v>68</v>
      </c>
      <c r="B556" s="586">
        <f>INPUT!AY601</f>
        <v>11.389759665621735</v>
      </c>
      <c r="C556" s="577">
        <f>INPUT!AZ601</f>
        <v>-18.230121645866589</v>
      </c>
      <c r="D556" s="586">
        <f>INPUT!BA601</f>
        <v>13.708820403825717</v>
      </c>
      <c r="E556" s="577">
        <f>INPUT!BB601</f>
        <v>-1.345453165325651</v>
      </c>
      <c r="F556" s="586">
        <f>INPUT!BC601</f>
        <v>14.316012725344645</v>
      </c>
      <c r="G556" s="577">
        <f>INPUT!BD601</f>
        <v>-4.2684950580006813</v>
      </c>
      <c r="H556" s="586">
        <f>INPUT!BE601</f>
        <v>13.477366255144032</v>
      </c>
      <c r="I556" s="577">
        <f>INPUT!BF601</f>
        <v>0.54543079234437641</v>
      </c>
      <c r="J556" s="586">
        <f>INPUT!BG601</f>
        <v>13.624237804878051</v>
      </c>
      <c r="K556" s="577">
        <f>INPUT!BH601</f>
        <v>19.618308066681593</v>
      </c>
      <c r="L556" s="586">
        <f>INPUT!BI601</f>
        <v>13.321167883211679</v>
      </c>
      <c r="M556" s="577">
        <f>INPUT!BJ601</f>
        <v>-2.8277598596729376</v>
      </c>
      <c r="N556" s="586">
        <f>INPUT!BK601</f>
        <v>12.213740458015266</v>
      </c>
      <c r="O556" s="577">
        <f>INPUT!BL601</f>
        <v>-14.684761096974853</v>
      </c>
      <c r="P556" s="586">
        <f>INPUT!BM601</f>
        <v>10.988074957410563</v>
      </c>
      <c r="Q556" s="577">
        <f>INPUT!BN601</f>
        <v>-18.470161384709399</v>
      </c>
      <c r="R556" s="586">
        <f>INPUT!BO601</f>
        <v>13.588110403397028</v>
      </c>
      <c r="S556" s="577">
        <f>INPUT!BP601</f>
        <v>-0.26517007408727977</v>
      </c>
      <c r="T556" s="586">
        <f>INPUT!BQ601</f>
        <v>15.549348230912477</v>
      </c>
      <c r="U556" s="577">
        <f>INPUT!BR601</f>
        <v>16.726614116986809</v>
      </c>
      <c r="V556" s="586">
        <f>INPUT!BS601</f>
        <v>17.395833333333332</v>
      </c>
      <c r="W556" s="577">
        <f>INPUT!BT601</f>
        <v>42.428385416666657</v>
      </c>
      <c r="X556" s="586">
        <f>INPUT!BU601</f>
        <v>26.260869565217394</v>
      </c>
      <c r="Y556" s="577" t="str">
        <f>INPUT!BV601</f>
        <v>NM</v>
      </c>
      <c r="Z556" s="586"/>
      <c r="AA556" s="577"/>
      <c r="AB556" s="586"/>
      <c r="AC556" s="577"/>
      <c r="AD556" s="586"/>
      <c r="AE556" s="577"/>
      <c r="AF556" s="586"/>
      <c r="AG556" s="577"/>
      <c r="AH556" s="586"/>
      <c r="AI556" s="577"/>
      <c r="AJ556" s="586"/>
      <c r="AK556" s="577"/>
      <c r="AL556" s="586"/>
      <c r="AM556" s="577"/>
      <c r="AN556" s="586"/>
      <c r="AO556" s="577"/>
      <c r="AP556" s="586"/>
      <c r="AQ556" s="577"/>
      <c r="AR556" s="586"/>
      <c r="AS556" s="577"/>
      <c r="AT556" s="586"/>
      <c r="AU556" s="577"/>
      <c r="AV556" s="586"/>
      <c r="AW556" s="577"/>
      <c r="AX556" s="586"/>
      <c r="AY556" s="577"/>
      <c r="AZ556" s="586"/>
      <c r="BA556" s="577"/>
      <c r="BB556" s="586"/>
      <c r="BC556" s="577"/>
      <c r="BD556" s="586"/>
      <c r="BE556" s="577"/>
      <c r="BF556" s="586"/>
      <c r="BG556" s="577"/>
      <c r="BH556" s="586"/>
      <c r="BI556" s="577"/>
      <c r="BJ556" s="586"/>
      <c r="BK556" s="577"/>
      <c r="BL556" s="586"/>
      <c r="BM556" s="577"/>
      <c r="BN556" s="586"/>
      <c r="BO556" s="577"/>
      <c r="BP556" s="586"/>
      <c r="BQ556" s="577"/>
      <c r="BR556" s="586"/>
      <c r="BS556" s="577"/>
      <c r="BT556" s="586"/>
      <c r="BU556" s="577"/>
      <c r="BV556" s="586"/>
      <c r="BW556" s="577"/>
      <c r="BX556" s="586"/>
      <c r="BY556" s="577"/>
      <c r="BZ556" s="586"/>
      <c r="CA556" s="577"/>
      <c r="CB556" s="586"/>
      <c r="CC556" s="577"/>
      <c r="CD556" s="586"/>
      <c r="CE556" s="577"/>
      <c r="CF556" s="586"/>
      <c r="CG556" s="577"/>
      <c r="CH556" s="586"/>
      <c r="CI556" s="577"/>
      <c r="CJ556" s="586"/>
      <c r="CK556" s="577"/>
      <c r="CL556" s="586"/>
      <c r="CM556" s="577"/>
      <c r="CN556" s="586"/>
      <c r="CO556" s="577"/>
      <c r="CP556" s="586"/>
      <c r="CQ556" s="577"/>
      <c r="CR556" s="586"/>
      <c r="CS556" s="577"/>
      <c r="CT556" s="586"/>
      <c r="CU556" s="577"/>
      <c r="CV556" s="586"/>
      <c r="CW556" s="577"/>
      <c r="CX556" s="586"/>
      <c r="CY556" s="577"/>
      <c r="CZ556" s="586"/>
      <c r="DA556" s="577"/>
      <c r="DB556" s="586"/>
      <c r="DC556" s="586">
        <f>INPUT!FP601</f>
        <v>14.495736548074095</v>
      </c>
      <c r="DD556" s="577">
        <f>INPUT!FQ601</f>
        <v>-4.5402715126827786</v>
      </c>
      <c r="DE556" s="586">
        <f>INPUT!FR601</f>
        <v>12.806324110671937</v>
      </c>
      <c r="DF556" s="577">
        <f>INPUT!FS601</f>
        <v>-11.654547058021777</v>
      </c>
      <c r="DG556" s="586">
        <f>INPUT!FT601</f>
        <v>12.009729401033747</v>
      </c>
      <c r="DH556" s="577">
        <f>INPUT!FU601</f>
        <v>-6.2203228869895781</v>
      </c>
      <c r="DI556" s="586">
        <f>INPUT!FV601</f>
        <v>4.4950738916256157</v>
      </c>
      <c r="DJ556" s="577" t="str">
        <f>INPUT!FW601</f>
        <v>NM</v>
      </c>
      <c r="DK556" s="586"/>
      <c r="DL556" s="577"/>
      <c r="DM556" s="586"/>
      <c r="DN556" s="577"/>
      <c r="DO556" s="586"/>
      <c r="DP556" s="577"/>
      <c r="DQ556" s="586"/>
      <c r="DR556" s="577"/>
      <c r="DS556" s="586"/>
      <c r="DT556" s="577"/>
      <c r="DU556" s="586"/>
      <c r="DV556" s="577"/>
      <c r="DW556" s="586"/>
      <c r="DX556" s="577"/>
      <c r="DY556" s="586"/>
      <c r="DZ556" s="577"/>
      <c r="EA556" s="586"/>
      <c r="EB556" s="577"/>
      <c r="EC556" s="586"/>
      <c r="ED556" s="577"/>
      <c r="EE556" s="586"/>
      <c r="EF556" s="577"/>
      <c r="EG556" s="586"/>
      <c r="EH556" s="577"/>
      <c r="EI556" s="586"/>
      <c r="EJ556" s="577"/>
      <c r="EK556" s="586"/>
      <c r="EL556" s="577"/>
      <c r="EM556" s="577"/>
    </row>
    <row r="557" spans="1:143" ht="12.75" hidden="1" customHeight="1" outlineLevel="1" x14ac:dyDescent="0.2">
      <c r="A557" s="575"/>
      <c r="B557" s="581"/>
      <c r="C557" s="577"/>
      <c r="D557" s="581"/>
      <c r="E557" s="577"/>
      <c r="F557" s="581"/>
      <c r="G557" s="577"/>
      <c r="H557" s="581"/>
      <c r="I557" s="577"/>
      <c r="J557" s="581"/>
      <c r="K557" s="577"/>
      <c r="L557" s="581"/>
      <c r="M557" s="577"/>
      <c r="N557" s="581"/>
      <c r="O557" s="577"/>
      <c r="P557" s="581"/>
      <c r="Q557" s="577"/>
      <c r="R557" s="581"/>
      <c r="S557" s="577"/>
      <c r="T557" s="581"/>
      <c r="U557" s="577"/>
      <c r="V557" s="581"/>
      <c r="W557" s="577"/>
      <c r="X557" s="581"/>
      <c r="Y557" s="577"/>
      <c r="Z557" s="581"/>
      <c r="AA557" s="577"/>
      <c r="AB557" s="581"/>
      <c r="AC557" s="577"/>
      <c r="AD557" s="581"/>
      <c r="AE557" s="577"/>
      <c r="AF557" s="581"/>
      <c r="AG557" s="577"/>
      <c r="AH557" s="581"/>
      <c r="AI557" s="577"/>
      <c r="AJ557" s="581"/>
      <c r="AK557" s="577"/>
      <c r="AL557" s="581"/>
      <c r="AM557" s="577"/>
      <c r="AN557" s="581"/>
      <c r="AO557" s="577"/>
      <c r="AP557" s="581"/>
      <c r="AQ557" s="577"/>
      <c r="AR557" s="581"/>
      <c r="AS557" s="577"/>
      <c r="AT557" s="581"/>
      <c r="AU557" s="577"/>
      <c r="AV557" s="581"/>
      <c r="AW557" s="577"/>
      <c r="AX557" s="581"/>
      <c r="AY557" s="577"/>
      <c r="AZ557" s="581"/>
      <c r="BA557" s="577"/>
      <c r="BB557" s="581"/>
      <c r="BC557" s="577"/>
      <c r="BD557" s="581"/>
      <c r="BE557" s="577"/>
      <c r="BF557" s="581"/>
      <c r="BG557" s="577"/>
      <c r="BH557" s="581"/>
      <c r="BI557" s="577"/>
      <c r="BJ557" s="581"/>
      <c r="BK557" s="577"/>
      <c r="BL557" s="581"/>
      <c r="BM557" s="577"/>
      <c r="BN557" s="581"/>
      <c r="BO557" s="577"/>
      <c r="BP557" s="581"/>
      <c r="BQ557" s="577"/>
      <c r="BR557" s="581"/>
      <c r="BS557" s="577"/>
      <c r="BT557" s="581"/>
      <c r="BU557" s="577"/>
      <c r="BV557" s="581"/>
      <c r="BW557" s="577"/>
      <c r="BX557" s="581"/>
      <c r="BY557" s="577"/>
      <c r="BZ557" s="581"/>
      <c r="CA557" s="577"/>
      <c r="CB557" s="581"/>
      <c r="CC557" s="577"/>
      <c r="CD557" s="581"/>
      <c r="CE557" s="577"/>
      <c r="CF557" s="581"/>
      <c r="CG557" s="577"/>
      <c r="CH557" s="581"/>
      <c r="CI557" s="577"/>
      <c r="CJ557" s="581"/>
      <c r="CK557" s="577"/>
      <c r="CL557" s="581"/>
      <c r="CM557" s="577"/>
      <c r="CN557" s="581"/>
      <c r="CO557" s="577"/>
      <c r="CP557" s="581"/>
      <c r="CQ557" s="577"/>
      <c r="CR557" s="581"/>
      <c r="CS557" s="577"/>
      <c r="CT557" s="581"/>
      <c r="CU557" s="577"/>
      <c r="CV557" s="581"/>
      <c r="CW557" s="577"/>
      <c r="CX557" s="581"/>
      <c r="CY557" s="577"/>
      <c r="CZ557" s="581"/>
      <c r="DA557" s="577"/>
      <c r="DB557" s="581"/>
      <c r="DC557" s="581"/>
      <c r="DD557" s="577"/>
      <c r="DE557" s="581"/>
      <c r="DF557" s="577"/>
      <c r="DG557" s="581"/>
      <c r="DH557" s="577"/>
      <c r="DI557" s="581"/>
      <c r="DJ557" s="577"/>
      <c r="DK557" s="581"/>
      <c r="DL557" s="577"/>
      <c r="DM557" s="581"/>
      <c r="DN557" s="577"/>
      <c r="DO557" s="581"/>
      <c r="DP557" s="577"/>
      <c r="DQ557" s="581"/>
      <c r="DR557" s="577"/>
      <c r="DS557" s="581"/>
      <c r="DT557" s="577"/>
      <c r="DU557" s="581"/>
      <c r="DV557" s="577"/>
      <c r="DW557" s="581"/>
      <c r="DX557" s="577"/>
      <c r="DY557" s="581"/>
      <c r="DZ557" s="577"/>
      <c r="EA557" s="581"/>
      <c r="EB557" s="577"/>
      <c r="EC557" s="581"/>
      <c r="ED557" s="577"/>
      <c r="EE557" s="581"/>
      <c r="EF557" s="577"/>
      <c r="EG557" s="581"/>
      <c r="EH557" s="577"/>
      <c r="EI557" s="581"/>
      <c r="EJ557" s="577"/>
      <c r="EK557" s="581"/>
      <c r="EL557" s="577"/>
      <c r="EM557" s="577"/>
    </row>
    <row r="558" spans="1:143" ht="12.75" hidden="1" customHeight="1" outlineLevel="1" x14ac:dyDescent="0.2">
      <c r="A558" s="614" t="s">
        <v>312</v>
      </c>
      <c r="B558" s="626"/>
      <c r="C558" s="555"/>
      <c r="D558" s="626"/>
      <c r="E558" s="555"/>
      <c r="F558" s="626"/>
      <c r="G558" s="555"/>
      <c r="H558" s="626"/>
      <c r="I558" s="555"/>
      <c r="J558" s="626"/>
      <c r="K558" s="555"/>
      <c r="L558" s="626"/>
      <c r="M558" s="555"/>
      <c r="N558" s="626"/>
      <c r="O558" s="555"/>
      <c r="P558" s="626"/>
      <c r="Q558" s="555"/>
      <c r="R558" s="626"/>
      <c r="S558" s="555"/>
      <c r="T558" s="626"/>
      <c r="U558" s="555"/>
      <c r="V558" s="626"/>
      <c r="W558" s="555"/>
      <c r="X558" s="626"/>
      <c r="Y558" s="555"/>
      <c r="Z558" s="626"/>
      <c r="AA558" s="555"/>
      <c r="AB558" s="626"/>
      <c r="AC558" s="555"/>
      <c r="AD558" s="626"/>
      <c r="AE558" s="555"/>
      <c r="AF558" s="626"/>
      <c r="AG558" s="555"/>
      <c r="AH558" s="626"/>
      <c r="AI558" s="555"/>
      <c r="AJ558" s="626"/>
      <c r="AK558" s="555"/>
      <c r="AL558" s="626"/>
      <c r="AM558" s="555"/>
      <c r="AN558" s="626"/>
      <c r="AO558" s="555"/>
      <c r="AP558" s="626"/>
      <c r="AQ558" s="555"/>
      <c r="AR558" s="626"/>
      <c r="AS558" s="555"/>
      <c r="AT558" s="626"/>
      <c r="AU558" s="555"/>
      <c r="AV558" s="626"/>
      <c r="AW558" s="555"/>
      <c r="AX558" s="626"/>
      <c r="AY558" s="555"/>
      <c r="AZ558" s="626"/>
      <c r="BA558" s="555"/>
      <c r="BB558" s="626"/>
      <c r="BC558" s="555"/>
      <c r="BD558" s="626"/>
      <c r="BE558" s="555"/>
      <c r="BF558" s="626"/>
      <c r="BG558" s="555"/>
      <c r="BH558" s="626"/>
      <c r="BI558" s="555"/>
      <c r="BJ558" s="626"/>
      <c r="BK558" s="555"/>
      <c r="BL558" s="626"/>
      <c r="BM558" s="555"/>
      <c r="BN558" s="626"/>
      <c r="BO558" s="555"/>
      <c r="BP558" s="626"/>
      <c r="BQ558" s="555"/>
      <c r="BR558" s="626"/>
      <c r="BS558" s="555"/>
      <c r="BT558" s="626"/>
      <c r="BU558" s="555"/>
      <c r="BV558" s="626"/>
      <c r="BW558" s="555"/>
      <c r="BX558" s="626"/>
      <c r="BY558" s="555"/>
      <c r="BZ558" s="626"/>
      <c r="CA558" s="555"/>
      <c r="CB558" s="626"/>
      <c r="CC558" s="555"/>
      <c r="CD558" s="626"/>
      <c r="CE558" s="555"/>
      <c r="CF558" s="626"/>
      <c r="CG558" s="555"/>
      <c r="CH558" s="626"/>
      <c r="CI558" s="555"/>
      <c r="CJ558" s="626"/>
      <c r="CK558" s="555"/>
      <c r="CL558" s="626"/>
      <c r="CM558" s="555"/>
      <c r="CN558" s="626"/>
      <c r="CO558" s="555"/>
      <c r="CP558" s="626"/>
      <c r="CQ558" s="555"/>
      <c r="CR558" s="626"/>
      <c r="CS558" s="555"/>
      <c r="CT558" s="626"/>
      <c r="CU558" s="555"/>
      <c r="CV558" s="626"/>
      <c r="CW558" s="555"/>
      <c r="CX558" s="626"/>
      <c r="CY558" s="555"/>
      <c r="CZ558" s="626"/>
      <c r="DA558" s="555"/>
      <c r="DB558" s="626"/>
      <c r="DC558" s="626"/>
      <c r="DD558" s="555"/>
      <c r="DE558" s="626"/>
      <c r="DF558" s="555"/>
      <c r="DG558" s="626"/>
      <c r="DH558" s="555"/>
      <c r="DI558" s="626"/>
      <c r="DJ558" s="555"/>
      <c r="DK558" s="626"/>
      <c r="DL558" s="555"/>
      <c r="DM558" s="626"/>
      <c r="DN558" s="555"/>
      <c r="DO558" s="626"/>
      <c r="DP558" s="555"/>
      <c r="DQ558" s="626"/>
      <c r="DR558" s="555"/>
      <c r="DS558" s="626"/>
      <c r="DT558" s="555"/>
      <c r="DU558" s="626"/>
      <c r="DV558" s="555"/>
      <c r="DW558" s="626"/>
      <c r="DX558" s="555"/>
      <c r="DY558" s="626"/>
      <c r="DZ558" s="555"/>
      <c r="EA558" s="626"/>
      <c r="EB558" s="555"/>
      <c r="EC558" s="626"/>
      <c r="ED558" s="555"/>
      <c r="EE558" s="626"/>
      <c r="EF558" s="555"/>
      <c r="EG558" s="626"/>
      <c r="EH558" s="555"/>
      <c r="EI558" s="626"/>
      <c r="EJ558" s="555"/>
      <c r="EK558" s="626"/>
      <c r="EL558" s="555"/>
      <c r="EM558" s="555"/>
    </row>
    <row r="559" spans="1:143" ht="12.75" hidden="1" customHeight="1" outlineLevel="1" x14ac:dyDescent="0.2">
      <c r="A559" s="609" t="str">
        <f>INPUT!B451</f>
        <v>Operating Expenses/Total Revenues (%)</v>
      </c>
      <c r="B559" s="615">
        <f>INPUT!AY451</f>
        <v>70.666666666666671</v>
      </c>
      <c r="C559" s="555">
        <f>INPUT!AZ451</f>
        <v>-12.181229773462775</v>
      </c>
      <c r="D559" s="615">
        <f>INPUT!BA451</f>
        <v>76.712328767123282</v>
      </c>
      <c r="E559" s="555">
        <f>INPUT!BB451</f>
        <v>-6.5344040308612819</v>
      </c>
      <c r="F559" s="615">
        <f>INPUT!BC451</f>
        <v>76.515151515151516</v>
      </c>
      <c r="G559" s="555">
        <f>INPUT!BD451</f>
        <v>-3.7644486098094347</v>
      </c>
      <c r="H559" s="615">
        <f>INPUT!BE451</f>
        <v>79.012345679012341</v>
      </c>
      <c r="I559" s="555">
        <f>INPUT!BF451</f>
        <v>10.112949829261879</v>
      </c>
      <c r="J559" s="615">
        <f>INPUT!BG451</f>
        <v>64.971751412429384</v>
      </c>
      <c r="K559" s="555">
        <f>INPUT!BH451</f>
        <v>-8.0588423409018191</v>
      </c>
      <c r="L559" s="615">
        <f>INPUT!BI451</f>
        <v>74.556213017751489</v>
      </c>
      <c r="M559" s="555">
        <f>INPUT!BJ451</f>
        <v>-2.8106508875739422</v>
      </c>
      <c r="N559" s="615">
        <f>INPUT!BK451</f>
        <v>54.581673306772906</v>
      </c>
      <c r="O559" s="555">
        <f>INPUT!BL451</f>
        <v>-28.665535876296801</v>
      </c>
      <c r="P559" s="615">
        <f>INPUT!BM451</f>
        <v>76.744186046511629</v>
      </c>
      <c r="Q559" s="555">
        <f>INPUT!BN451</f>
        <v>-2.8706395348837077</v>
      </c>
      <c r="R559" s="615">
        <f>INPUT!BO451</f>
        <v>93.965517241379317</v>
      </c>
      <c r="S559" s="555">
        <f>INPUT!BP451</f>
        <v>44.625187406296845</v>
      </c>
      <c r="T559" s="615">
        <f>INPUT!BQ451</f>
        <v>87</v>
      </c>
      <c r="U559" s="555">
        <f>INPUT!BR451</f>
        <v>16.690476190476161</v>
      </c>
      <c r="V559" s="615">
        <f>INPUT!BS451</f>
        <v>75</v>
      </c>
      <c r="W559" s="555">
        <f>INPUT!BT451</f>
        <v>37.408759124087595</v>
      </c>
      <c r="X559" s="615">
        <f>INPUT!BU451</f>
        <v>-76.19047619047619</v>
      </c>
      <c r="Y559" s="555" t="str">
        <f>INPUT!BV451</f>
        <v>NM</v>
      </c>
      <c r="Z559" s="615"/>
      <c r="AA559" s="555"/>
      <c r="AB559" s="615"/>
      <c r="AC559" s="555"/>
      <c r="AD559" s="615"/>
      <c r="AE559" s="555"/>
      <c r="AF559" s="615"/>
      <c r="AG559" s="555"/>
      <c r="AH559" s="625"/>
      <c r="AI559" s="555"/>
      <c r="AJ559" s="625"/>
      <c r="AK559" s="555"/>
      <c r="AL559" s="625"/>
      <c r="AM559" s="555"/>
      <c r="AN559" s="625"/>
      <c r="AO559" s="555"/>
      <c r="AP559" s="625"/>
      <c r="AQ559" s="555"/>
      <c r="AR559" s="625"/>
      <c r="AS559" s="555"/>
      <c r="AT559" s="625"/>
      <c r="AU559" s="555"/>
      <c r="AV559" s="625"/>
      <c r="AW559" s="555"/>
      <c r="AX559" s="625"/>
      <c r="AY559" s="555"/>
      <c r="AZ559" s="625"/>
      <c r="BA559" s="555"/>
      <c r="BB559" s="625"/>
      <c r="BC559" s="555"/>
      <c r="BD559" s="625"/>
      <c r="BE559" s="555"/>
      <c r="BF559" s="625"/>
      <c r="BG559" s="555"/>
      <c r="BH559" s="625"/>
      <c r="BI559" s="555"/>
      <c r="BJ559" s="625"/>
      <c r="BK559" s="555"/>
      <c r="BL559" s="625"/>
      <c r="BM559" s="555"/>
      <c r="BN559" s="625"/>
      <c r="BO559" s="555"/>
      <c r="BP559" s="625"/>
      <c r="BQ559" s="555"/>
      <c r="BR559" s="625"/>
      <c r="BS559" s="555"/>
      <c r="BT559" s="625"/>
      <c r="BU559" s="555"/>
      <c r="BV559" s="625"/>
      <c r="BW559" s="555"/>
      <c r="BX559" s="625"/>
      <c r="BY559" s="555"/>
      <c r="BZ559" s="625"/>
      <c r="CA559" s="555"/>
      <c r="CB559" s="625"/>
      <c r="CC559" s="555"/>
      <c r="CD559" s="625"/>
      <c r="CE559" s="555"/>
      <c r="CF559" s="625"/>
      <c r="CG559" s="555"/>
      <c r="CH559" s="625"/>
      <c r="CI559" s="555"/>
      <c r="CJ559" s="625"/>
      <c r="CK559" s="555"/>
      <c r="CL559" s="625"/>
      <c r="CM559" s="555"/>
      <c r="CN559" s="625"/>
      <c r="CO559" s="555"/>
      <c r="CP559" s="625"/>
      <c r="CQ559" s="555"/>
      <c r="CR559" s="625"/>
      <c r="CS559" s="555"/>
      <c r="CT559" s="625"/>
      <c r="CU559" s="555"/>
      <c r="CV559" s="625"/>
      <c r="CW559" s="555"/>
      <c r="CX559" s="625"/>
      <c r="CY559" s="555"/>
      <c r="CZ559" s="625"/>
      <c r="DA559" s="555"/>
      <c r="DB559" s="615"/>
      <c r="DC559" s="615">
        <f>INPUT!FP451</f>
        <v>78.234086242299796</v>
      </c>
      <c r="DD559" s="555">
        <f>INPUT!FQ451</f>
        <v>-5.4406437288192109</v>
      </c>
      <c r="DE559" s="615">
        <f>INPUT!FR451</f>
        <v>75.762711864406782</v>
      </c>
      <c r="DF559" s="555">
        <f>INPUT!FS451</f>
        <v>-3.1589483517950043</v>
      </c>
      <c r="DG559" s="615">
        <f>INPUT!FT451</f>
        <v>66.319895968790632</v>
      </c>
      <c r="DH559" s="555">
        <f>INPUT!FU451</f>
        <v>-12.463671987502295</v>
      </c>
      <c r="DI559" s="615">
        <f>INPUT!FV451</f>
        <v>487.09677419354841</v>
      </c>
      <c r="DJ559" s="555" t="str">
        <f>INPUT!FW451</f>
        <v>NM</v>
      </c>
      <c r="DK559" s="625"/>
      <c r="DL559" s="555"/>
      <c r="DM559" s="625"/>
      <c r="DN559" s="555"/>
      <c r="DO559" s="625"/>
      <c r="DP559" s="555"/>
      <c r="DQ559" s="625"/>
      <c r="DR559" s="555"/>
      <c r="DS559" s="625"/>
      <c r="DT559" s="555"/>
      <c r="DU559" s="625"/>
      <c r="DV559" s="555"/>
      <c r="DW559" s="625"/>
      <c r="DX559" s="555"/>
      <c r="DY559" s="625"/>
      <c r="DZ559" s="555"/>
      <c r="EA559" s="625"/>
      <c r="EB559" s="555"/>
      <c r="EC559" s="625"/>
      <c r="ED559" s="555"/>
      <c r="EE559" s="625"/>
      <c r="EF559" s="555"/>
      <c r="EG559" s="625"/>
      <c r="EH559" s="555"/>
      <c r="EI559" s="625"/>
      <c r="EJ559" s="555"/>
      <c r="EK559" s="625"/>
      <c r="EL559" s="555"/>
      <c r="EM559" s="555"/>
    </row>
    <row r="560" spans="1:143" ht="12.75" hidden="1" customHeight="1" outlineLevel="1" x14ac:dyDescent="0.2">
      <c r="A560" s="609"/>
      <c r="B560" s="615"/>
      <c r="C560" s="555"/>
      <c r="D560" s="615"/>
      <c r="E560" s="555"/>
      <c r="F560" s="615"/>
      <c r="G560" s="555"/>
      <c r="H560" s="615"/>
      <c r="I560" s="555"/>
      <c r="J560" s="615"/>
      <c r="K560" s="555"/>
      <c r="L560" s="615"/>
      <c r="M560" s="555"/>
      <c r="N560" s="615"/>
      <c r="O560" s="555"/>
      <c r="P560" s="615"/>
      <c r="Q560" s="555"/>
      <c r="R560" s="615"/>
      <c r="S560" s="555"/>
      <c r="T560" s="615"/>
      <c r="U560" s="555"/>
      <c r="V560" s="615"/>
      <c r="W560" s="555"/>
      <c r="X560" s="615"/>
      <c r="Y560" s="555"/>
      <c r="Z560" s="615"/>
      <c r="AA560" s="555"/>
      <c r="AB560" s="615"/>
      <c r="AC560" s="555"/>
      <c r="AD560" s="615"/>
      <c r="AE560" s="555"/>
      <c r="AF560" s="615"/>
      <c r="AG560" s="555"/>
      <c r="AH560" s="615"/>
      <c r="AI560" s="555"/>
      <c r="AJ560" s="615"/>
      <c r="AK560" s="555"/>
      <c r="AL560" s="615"/>
      <c r="AM560" s="555"/>
      <c r="AN560" s="615"/>
      <c r="AO560" s="555"/>
      <c r="AP560" s="615"/>
      <c r="AQ560" s="555"/>
      <c r="AR560" s="615"/>
      <c r="AS560" s="555"/>
      <c r="AT560" s="615"/>
      <c r="AU560" s="555"/>
      <c r="AV560" s="615"/>
      <c r="AW560" s="555"/>
      <c r="AX560" s="615"/>
      <c r="AY560" s="555"/>
      <c r="AZ560" s="615"/>
      <c r="BA560" s="555"/>
      <c r="BB560" s="615"/>
      <c r="BC560" s="555"/>
      <c r="BD560" s="615"/>
      <c r="BE560" s="555"/>
      <c r="BF560" s="615"/>
      <c r="BG560" s="555"/>
      <c r="BH560" s="615"/>
      <c r="BI560" s="555"/>
      <c r="BJ560" s="615"/>
      <c r="BK560" s="555"/>
      <c r="BL560" s="615"/>
      <c r="BM560" s="555"/>
      <c r="BN560" s="615"/>
      <c r="BO560" s="555"/>
      <c r="BP560" s="615"/>
      <c r="BQ560" s="555"/>
      <c r="BR560" s="615"/>
      <c r="BS560" s="555"/>
      <c r="BT560" s="615"/>
      <c r="BU560" s="555"/>
      <c r="BV560" s="615"/>
      <c r="BW560" s="555"/>
      <c r="BX560" s="615"/>
      <c r="BY560" s="555"/>
      <c r="BZ560" s="615"/>
      <c r="CA560" s="555"/>
      <c r="CB560" s="615"/>
      <c r="CC560" s="555"/>
      <c r="CD560" s="615"/>
      <c r="CE560" s="555"/>
      <c r="CF560" s="615"/>
      <c r="CG560" s="555"/>
      <c r="CH560" s="615"/>
      <c r="CI560" s="555"/>
      <c r="CJ560" s="615"/>
      <c r="CK560" s="555"/>
      <c r="CL560" s="615"/>
      <c r="CM560" s="555"/>
      <c r="CN560" s="615"/>
      <c r="CO560" s="555"/>
      <c r="CP560" s="615"/>
      <c r="CQ560" s="555"/>
      <c r="CR560" s="615"/>
      <c r="CS560" s="555"/>
      <c r="CT560" s="615"/>
      <c r="CU560" s="555"/>
      <c r="CV560" s="615"/>
      <c r="CW560" s="555"/>
      <c r="CX560" s="615"/>
      <c r="CY560" s="555"/>
      <c r="CZ560" s="615"/>
      <c r="DA560" s="555"/>
      <c r="DB560" s="615"/>
      <c r="DC560" s="615"/>
      <c r="DD560" s="555"/>
      <c r="DE560" s="615"/>
      <c r="DF560" s="555"/>
      <c r="DG560" s="615"/>
      <c r="DH560" s="555"/>
      <c r="DI560" s="615"/>
      <c r="DJ560" s="555"/>
      <c r="DK560" s="615"/>
      <c r="DL560" s="555"/>
      <c r="DM560" s="615"/>
      <c r="DN560" s="555"/>
      <c r="DO560" s="615"/>
      <c r="DP560" s="555"/>
      <c r="DQ560" s="615"/>
      <c r="DR560" s="555"/>
      <c r="DS560" s="615"/>
      <c r="DT560" s="555"/>
      <c r="DU560" s="615"/>
      <c r="DV560" s="555"/>
      <c r="DW560" s="615"/>
      <c r="DX560" s="555"/>
      <c r="DY560" s="615"/>
      <c r="DZ560" s="555"/>
      <c r="EA560" s="615"/>
      <c r="EB560" s="555"/>
      <c r="EC560" s="615"/>
      <c r="ED560" s="555"/>
      <c r="EE560" s="615"/>
      <c r="EF560" s="555"/>
      <c r="EG560" s="615"/>
      <c r="EH560" s="555"/>
      <c r="EI560" s="615"/>
      <c r="EJ560" s="555"/>
      <c r="EK560" s="615"/>
      <c r="EL560" s="555"/>
      <c r="EM560" s="554"/>
    </row>
    <row r="561" spans="1:143" ht="12.75" hidden="1" customHeight="1" outlineLevel="1" x14ac:dyDescent="0.2">
      <c r="A561" s="599" t="s">
        <v>507</v>
      </c>
      <c r="B561" s="615"/>
      <c r="C561" s="555"/>
      <c r="D561" s="615"/>
      <c r="E561" s="555"/>
      <c r="F561" s="615"/>
      <c r="G561" s="555"/>
      <c r="H561" s="615"/>
      <c r="I561" s="555"/>
      <c r="J561" s="615"/>
      <c r="K561" s="555"/>
      <c r="L561" s="615"/>
      <c r="M561" s="555"/>
      <c r="N561" s="615"/>
      <c r="O561" s="555"/>
      <c r="P561" s="615"/>
      <c r="Q561" s="555"/>
      <c r="R561" s="615"/>
      <c r="S561" s="555"/>
      <c r="T561" s="615"/>
      <c r="U561" s="555"/>
      <c r="V561" s="615"/>
      <c r="W561" s="555"/>
      <c r="X561" s="615"/>
      <c r="Y561" s="555"/>
      <c r="Z561" s="615"/>
      <c r="AA561" s="555"/>
      <c r="AB561" s="615"/>
      <c r="AC561" s="555"/>
      <c r="AD561" s="615"/>
      <c r="AE561" s="555"/>
      <c r="AF561" s="615"/>
      <c r="AG561" s="555"/>
      <c r="AH561" s="615"/>
      <c r="AI561" s="555"/>
      <c r="AJ561" s="615"/>
      <c r="AK561" s="555"/>
      <c r="AL561" s="615"/>
      <c r="AM561" s="555"/>
      <c r="AN561" s="615"/>
      <c r="AO561" s="555"/>
      <c r="AP561" s="615"/>
      <c r="AQ561" s="555"/>
      <c r="AR561" s="615"/>
      <c r="AS561" s="555"/>
      <c r="AT561" s="615"/>
      <c r="AU561" s="555"/>
      <c r="AV561" s="615"/>
      <c r="AW561" s="555"/>
      <c r="AX561" s="615"/>
      <c r="AY561" s="555"/>
      <c r="AZ561" s="615"/>
      <c r="BA561" s="555"/>
      <c r="BB561" s="615"/>
      <c r="BC561" s="555"/>
      <c r="BD561" s="615"/>
      <c r="BE561" s="555"/>
      <c r="BF561" s="615"/>
      <c r="BG561" s="555"/>
      <c r="BH561" s="615"/>
      <c r="BI561" s="555"/>
      <c r="BJ561" s="615"/>
      <c r="BK561" s="555"/>
      <c r="BL561" s="615"/>
      <c r="BM561" s="555"/>
      <c r="BN561" s="615"/>
      <c r="BO561" s="555"/>
      <c r="BP561" s="615"/>
      <c r="BQ561" s="555"/>
      <c r="BR561" s="615"/>
      <c r="BS561" s="555"/>
      <c r="BT561" s="615"/>
      <c r="BU561" s="555"/>
      <c r="BV561" s="615"/>
      <c r="BW561" s="555"/>
      <c r="BX561" s="615"/>
      <c r="BY561" s="555"/>
      <c r="BZ561" s="615"/>
      <c r="CA561" s="555"/>
      <c r="CB561" s="615"/>
      <c r="CC561" s="555"/>
      <c r="CD561" s="615"/>
      <c r="CE561" s="555"/>
      <c r="CF561" s="615"/>
      <c r="CG561" s="555"/>
      <c r="CH561" s="615"/>
      <c r="CI561" s="555"/>
      <c r="CJ561" s="615"/>
      <c r="CK561" s="555"/>
      <c r="CL561" s="615"/>
      <c r="CM561" s="555"/>
      <c r="CN561" s="615"/>
      <c r="CO561" s="555"/>
      <c r="CP561" s="615"/>
      <c r="CQ561" s="555"/>
      <c r="CR561" s="615"/>
      <c r="CS561" s="555"/>
      <c r="CT561" s="615"/>
      <c r="CU561" s="555"/>
      <c r="CV561" s="615"/>
      <c r="CW561" s="555"/>
      <c r="CX561" s="615"/>
      <c r="CY561" s="555"/>
      <c r="CZ561" s="615"/>
      <c r="DA561" s="555"/>
      <c r="DB561" s="615"/>
      <c r="DC561" s="615"/>
      <c r="DD561" s="555"/>
      <c r="DE561" s="615"/>
      <c r="DF561" s="555"/>
      <c r="DG561" s="615"/>
      <c r="DH561" s="555"/>
      <c r="DI561" s="615"/>
      <c r="DJ561" s="555"/>
      <c r="DK561" s="615"/>
      <c r="DL561" s="555"/>
      <c r="DM561" s="615"/>
      <c r="DN561" s="555"/>
      <c r="DO561" s="615"/>
      <c r="DP561" s="555"/>
      <c r="DQ561" s="615"/>
      <c r="DR561" s="555"/>
      <c r="DS561" s="615"/>
      <c r="DT561" s="555"/>
      <c r="DU561" s="615"/>
      <c r="DV561" s="555"/>
      <c r="DW561" s="615"/>
      <c r="DX561" s="555"/>
      <c r="DY561" s="615"/>
      <c r="DZ561" s="555"/>
      <c r="EA561" s="615"/>
      <c r="EB561" s="555"/>
      <c r="EC561" s="615"/>
      <c r="ED561" s="555"/>
      <c r="EE561" s="615"/>
      <c r="EF561" s="555"/>
      <c r="EG561" s="615"/>
      <c r="EH561" s="555"/>
      <c r="EI561" s="615"/>
      <c r="EJ561" s="555"/>
      <c r="EK561" s="615"/>
      <c r="EL561" s="555"/>
      <c r="EM561" s="554"/>
    </row>
    <row r="562" spans="1:143" ht="12.75" hidden="1" customHeight="1" outlineLevel="1" x14ac:dyDescent="0.2">
      <c r="A562" s="599" t="s">
        <v>710</v>
      </c>
      <c r="B562" s="610"/>
      <c r="C562" s="555"/>
      <c r="D562" s="610"/>
      <c r="E562" s="555"/>
      <c r="F562" s="610"/>
      <c r="G562" s="555"/>
      <c r="H562" s="610"/>
      <c r="I562" s="555"/>
      <c r="J562" s="610"/>
      <c r="K562" s="555"/>
      <c r="L562" s="610"/>
      <c r="M562" s="555"/>
      <c r="N562" s="610"/>
      <c r="O562" s="555"/>
      <c r="P562" s="610"/>
      <c r="Q562" s="555"/>
      <c r="R562" s="610"/>
      <c r="S562" s="555"/>
      <c r="T562" s="610"/>
      <c r="U562" s="555"/>
      <c r="V562" s="610"/>
      <c r="W562" s="555"/>
      <c r="X562" s="610"/>
      <c r="Y562" s="555"/>
      <c r="Z562" s="610"/>
      <c r="AA562" s="555"/>
      <c r="AB562" s="610"/>
      <c r="AC562" s="555"/>
      <c r="AD562" s="610"/>
      <c r="AE562" s="555"/>
      <c r="AF562" s="610"/>
      <c r="AG562" s="555"/>
      <c r="AH562" s="610"/>
      <c r="AI562" s="555"/>
      <c r="AJ562" s="610"/>
      <c r="AK562" s="555"/>
      <c r="AL562" s="610"/>
      <c r="AM562" s="555"/>
      <c r="AN562" s="610"/>
      <c r="AO562" s="555"/>
      <c r="AP562" s="610"/>
      <c r="AQ562" s="555"/>
      <c r="AR562" s="610"/>
      <c r="AS562" s="555"/>
      <c r="AT562" s="610"/>
      <c r="AU562" s="555"/>
      <c r="AV562" s="610"/>
      <c r="AW562" s="555"/>
      <c r="AX562" s="610"/>
      <c r="AY562" s="555"/>
      <c r="AZ562" s="610"/>
      <c r="BA562" s="555"/>
      <c r="BB562" s="610"/>
      <c r="BC562" s="555"/>
      <c r="BD562" s="610"/>
      <c r="BE562" s="555"/>
      <c r="BF562" s="610"/>
      <c r="BG562" s="555"/>
      <c r="BH562" s="610"/>
      <c r="BI562" s="555"/>
      <c r="BJ562" s="610"/>
      <c r="BK562" s="555"/>
      <c r="BL562" s="610"/>
      <c r="BM562" s="555"/>
      <c r="BN562" s="610"/>
      <c r="BO562" s="555"/>
      <c r="BP562" s="610"/>
      <c r="BQ562" s="555"/>
      <c r="BR562" s="610"/>
      <c r="BS562" s="555"/>
      <c r="BT562" s="610"/>
      <c r="BU562" s="555"/>
      <c r="BV562" s="610"/>
      <c r="BW562" s="555"/>
      <c r="BX562" s="610"/>
      <c r="BY562" s="555"/>
      <c r="BZ562" s="610"/>
      <c r="CA562" s="555"/>
      <c r="CB562" s="610"/>
      <c r="CC562" s="555"/>
      <c r="CD562" s="610"/>
      <c r="CE562" s="555"/>
      <c r="CF562" s="610"/>
      <c r="CG562" s="555"/>
      <c r="CH562" s="610"/>
      <c r="CI562" s="555"/>
      <c r="CJ562" s="610"/>
      <c r="CK562" s="555"/>
      <c r="CL562" s="610"/>
      <c r="CM562" s="555"/>
      <c r="CN562" s="610"/>
      <c r="CO562" s="555"/>
      <c r="CP562" s="610"/>
      <c r="CQ562" s="555"/>
      <c r="CR562" s="610"/>
      <c r="CS562" s="555"/>
      <c r="CT562" s="610"/>
      <c r="CU562" s="555"/>
      <c r="CV562" s="610"/>
      <c r="CW562" s="555"/>
      <c r="CX562" s="610"/>
      <c r="CY562" s="555"/>
      <c r="CZ562" s="610"/>
      <c r="DA562" s="555"/>
      <c r="DB562" s="556"/>
      <c r="DC562" s="610"/>
      <c r="DD562" s="555"/>
      <c r="DE562" s="610"/>
      <c r="DF562" s="555"/>
      <c r="DG562" s="610"/>
      <c r="DH562" s="555"/>
      <c r="DI562" s="610"/>
      <c r="DJ562" s="555"/>
      <c r="DK562" s="610"/>
      <c r="DL562" s="555"/>
      <c r="DM562" s="610"/>
      <c r="DN562" s="555"/>
      <c r="DO562" s="610"/>
      <c r="DP562" s="555"/>
      <c r="DQ562" s="610"/>
      <c r="DR562" s="555"/>
      <c r="DS562" s="610"/>
      <c r="DT562" s="555"/>
      <c r="DU562" s="610"/>
      <c r="DV562" s="555"/>
      <c r="DW562" s="610"/>
      <c r="DX562" s="555"/>
      <c r="DY562" s="610"/>
      <c r="DZ562" s="555"/>
      <c r="EA562" s="610"/>
      <c r="EB562" s="555"/>
      <c r="EC562" s="610"/>
      <c r="ED562" s="555"/>
      <c r="EE562" s="610"/>
      <c r="EF562" s="555"/>
      <c r="EG562" s="610"/>
      <c r="EH562" s="555"/>
      <c r="EI562" s="610"/>
      <c r="EJ562" s="555"/>
      <c r="EK562" s="610"/>
      <c r="EL562" s="555"/>
      <c r="EM562" s="554"/>
    </row>
    <row r="563" spans="1:143" ht="12.75" customHeight="1" collapsed="1" x14ac:dyDescent="0.2"/>
  </sheetData>
  <phoneticPr fontId="5" type="noConversion"/>
  <pageMargins left="0.5" right="0.5" top="0.75" bottom="0.5" header="0.25" footer="0.25"/>
  <pageSetup scale="67" fitToHeight="5" orientation="landscape" horizontalDpi="300" r:id="rId1"/>
  <headerFooter alignWithMargins="0"/>
  <rowBreaks count="13" manualBreakCount="13">
    <brk id="53" max="142" man="1"/>
    <brk id="101" max="142" man="1"/>
    <brk id="146" max="142" man="1"/>
    <brk id="189" max="142" man="1"/>
    <brk id="236" max="142" man="1"/>
    <brk id="278" max="142" man="1"/>
    <brk id="314" max="142" man="1"/>
    <brk id="347" max="142" man="1"/>
    <brk id="370" max="142" man="1"/>
    <brk id="410" max="142" man="1"/>
    <brk id="450" max="142" man="1"/>
    <brk id="491" max="142" man="1"/>
    <brk id="533" max="142" man="1"/>
  </rowBreaks>
  <ignoredErrors>
    <ignoredError sqref="AH65:AW65 DY65:DZ65 EN19:EN20 AH298:AW354 EN27 EN38:EN46 AH395:AW433 DY475:DZ514 AH516:AW540 DO8:DO10 AH51:AW59 EN65:EN79 DC51:DP59 DY516:DZ540 EN22 AU32 DY51:DZ59 AS32 EN31:EN32 DY298:DZ354 EN24:EN25 DY561:DZ564 AQ32 AW32 DY36:DZ36 DC435:DP473 EN475:EN514 DY38:DZ46 DP32 AH435:AW473 AH36:AW36 DC36:DP36 EN36 AH38:AW46 DC38:DP46 AH81:AW122 DC81:DP122 DC298:DH393 DI298:DP354 DI367:DP393 DC65:DP65 DG8:DG10 EN435:EN473 DY395:DZ433 DI8:DI10 DK8:DK10 DC395:DP433 DM8:DM10 AH367:AW393 DY81:DZ122 DK516:DP540 EN516:EN540 AH561:AI562 DK561:DP564 EN81:EN122 DC475:DP514 AH475:AW514 DC8:DF11 DY124:DZ211 DY435:DZ473 EN561:EN564 AJ561:AW564 EN51:EN59 DC516:DJ564 EN124:EN211 DY213:DZ296 EN395:EN433 DC124:DP211 EN213:EN296 AH124:AW211 DY367:DZ393 DC213:DP296 EN298:EN393 AH213:AW296 AH32:AO32 AH29:AW29 DC32:DN32 DC29:DP29 DY29:DZ29 DZ32 EN29 DO16 DM16 DM13:DM14 DM22 DK16 DK13:DK14 DK22 DI20 DI16 DI13:DI14 DC20:DG20 DC16:DG16 DC13:DG14 DK20 DO13:DO14 DO22 DC18:DG18 CL12 CL19 DH18:DV18 CL22 DP22:DV22 CL15 DP14:DV14 CL21 CL20 DL20:DW20 DH13:DH14 DC17:DV17 DH16 DH20 DJ13:DJ14 DJ16 DJ20 DL22 DL13:DL14 DL16 DN22 DN13:DN14 DN16 DP16:DV16 DC12:DW12 DC19:DV19 DC22:DJ22 DC15:DW15 DC21:DW21 DP13:DV13" formula="1"/>
  </ignoredError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
  <sheetViews>
    <sheetView workbookViewId="0"/>
  </sheetViews>
  <sheetFormatPr defaultRowHeight="12.75" x14ac:dyDescent="0.2"/>
  <sheetData/>
  <phoneticPr fontId="5" type="noConversion"/>
  <pageMargins left="0.75" right="0.75" top="1" bottom="1" header="0.5" footer="0.5"/>
  <pageSetup orientation="portrait" r:id="rId1"/>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J64"/>
  <sheetViews>
    <sheetView topLeftCell="A44" workbookViewId="0">
      <selection activeCell="A86" sqref="A86"/>
    </sheetView>
  </sheetViews>
  <sheetFormatPr defaultRowHeight="12.75" outlineLevelRow="1" outlineLevelCol="1" x14ac:dyDescent="0.2"/>
  <cols>
    <col min="1" max="1" width="23.42578125" style="2" customWidth="1"/>
    <col min="2" max="2" width="9.140625" style="2" hidden="1" customWidth="1" outlineLevel="1"/>
    <col min="3" max="3" width="9.140625" style="2" customWidth="1" collapsed="1"/>
    <col min="4" max="5" width="9.140625" style="2" customWidth="1"/>
    <col min="6" max="6" width="0.85546875" style="2" customWidth="1"/>
    <col min="7" max="16384" width="9.140625" style="2"/>
  </cols>
  <sheetData>
    <row r="1" spans="1:10" x14ac:dyDescent="0.2">
      <c r="J1" s="744"/>
    </row>
    <row r="2" spans="1:10" x14ac:dyDescent="0.2">
      <c r="A2" s="795"/>
      <c r="B2" s="796" t="s">
        <v>798</v>
      </c>
      <c r="C2" s="796" t="s">
        <v>799</v>
      </c>
      <c r="D2" s="796" t="s">
        <v>640</v>
      </c>
      <c r="E2" s="796" t="s">
        <v>639</v>
      </c>
      <c r="H2" s="714" t="s">
        <v>573</v>
      </c>
    </row>
    <row r="3" spans="1:10" x14ac:dyDescent="0.2">
      <c r="A3" s="716" t="str">
        <f>'FORECAST-CORE'!A8</f>
        <v>Individual Annuities</v>
      </c>
      <c r="B3" s="717">
        <f>CorePTEarns_Annuity F2018_</f>
        <v>2079.4593155114753</v>
      </c>
      <c r="C3" s="717">
        <f>B3*(1-$H$3/100)</f>
        <v>1621.9782660989508</v>
      </c>
      <c r="D3" s="718">
        <f>E26</f>
        <v>8.3321637426900566</v>
      </c>
      <c r="E3" s="717">
        <f>C3*D3</f>
        <v>13514.588500220963</v>
      </c>
      <c r="H3" s="715">
        <f>TaxRate F2018_</f>
        <v>22.000000000000004</v>
      </c>
    </row>
    <row r="4" spans="1:10" x14ac:dyDescent="0.2">
      <c r="A4" s="716" t="str">
        <f>'FORECAST-CORE'!A9</f>
        <v>Individual Life</v>
      </c>
      <c r="B4" s="717">
        <f>corePTEarns_Pension F2018_</f>
        <v>1109.8176178401463</v>
      </c>
      <c r="C4" s="717">
        <f t="shared" ref="C4:C10" si="0">B4*(1-$H$3/100)</f>
        <v>865.6577419153142</v>
      </c>
      <c r="D4" s="718">
        <f>E31</f>
        <v>11.160076183936798</v>
      </c>
      <c r="E4" s="717">
        <f>C4*D4</f>
        <v>9660.8063489896049</v>
      </c>
    </row>
    <row r="5" spans="1:10" x14ac:dyDescent="0.2">
      <c r="A5" s="716" t="str">
        <f>'FORECAST-CORE'!A10</f>
        <v>US Individual Solutions Division</v>
      </c>
      <c r="B5" s="717">
        <f>CorePTEarns_InvMgmt F2018_</f>
        <v>999.70615942116592</v>
      </c>
      <c r="C5" s="717">
        <f t="shared" si="0"/>
        <v>779.7708043485095</v>
      </c>
      <c r="D5" s="718">
        <f>E41</f>
        <v>17.493899587307787</v>
      </c>
      <c r="E5" s="717">
        <f>C5*D5</f>
        <v>13641.232152387052</v>
      </c>
    </row>
    <row r="6" spans="1:10" x14ac:dyDescent="0.2">
      <c r="A6" s="529" t="str">
        <f>'FORECAST-CORE'!A11</f>
        <v>Retirement</v>
      </c>
      <c r="B6" s="717">
        <f>B3+B4+B5</f>
        <v>4188.9830927727871</v>
      </c>
      <c r="C6" s="717">
        <f>C3+C4+C5</f>
        <v>3267.4068123627744</v>
      </c>
      <c r="D6" s="718">
        <f>E6/C6</f>
        <v>11.267843006966814</v>
      </c>
      <c r="E6" s="717">
        <f>E3+E4+E5</f>
        <v>36816.627001597619</v>
      </c>
    </row>
    <row r="7" spans="1:10" x14ac:dyDescent="0.2">
      <c r="A7" s="529" t="str">
        <f>'FORECAST-CORE'!A12</f>
        <v>Group Insurance</v>
      </c>
      <c r="B7" s="717">
        <f>CorePTEarns_LifeIns F2018_</f>
        <v>436.07304507159097</v>
      </c>
      <c r="C7" s="717">
        <f t="shared" si="0"/>
        <v>340.13697515584096</v>
      </c>
      <c r="D7" s="718">
        <f>E46</f>
        <v>14.168565315053637</v>
      </c>
      <c r="E7" s="717">
        <f>C7*D7</f>
        <v>4819.2529485603091</v>
      </c>
    </row>
    <row r="8" spans="1:10" x14ac:dyDescent="0.2">
      <c r="A8" s="529" t="str">
        <f>'FORECAST-CORE'!A13</f>
        <v>US Workplace Solutions Division</v>
      </c>
      <c r="B8" s="717">
        <f>CorePTEarns_Group F2018_</f>
        <v>196.04770406277567</v>
      </c>
      <c r="C8" s="717">
        <f t="shared" si="0"/>
        <v>152.91720916896503</v>
      </c>
      <c r="D8" s="718">
        <f>E50</f>
        <v>9.2582524271844662</v>
      </c>
      <c r="E8" s="717">
        <f>C8*D8</f>
        <v>1415.7461229468452</v>
      </c>
    </row>
    <row r="9" spans="1:10" hidden="1" outlineLevel="1" x14ac:dyDescent="0.2">
      <c r="A9" s="716" t="str">
        <f>'FORECAST-CORE'!A15</f>
        <v>Investment Management Division</v>
      </c>
      <c r="B9" s="717">
        <f>CorePTEarns_Intl_exROCK F2018_</f>
        <v>1626.2625556756757</v>
      </c>
      <c r="C9" s="717">
        <f t="shared" si="0"/>
        <v>1268.4847934270272</v>
      </c>
      <c r="D9" s="719"/>
      <c r="E9" s="717">
        <f>C9*D9</f>
        <v>0</v>
      </c>
    </row>
    <row r="10" spans="1:10" hidden="1" outlineLevel="1" x14ac:dyDescent="0.2">
      <c r="A10" s="716" t="str">
        <f>'FORECAST-CORE'!A16</f>
        <v>International Insurance  - Life Planner</v>
      </c>
      <c r="B10" s="717">
        <f>CorePTEarns_Intl_ROCK F2018_</f>
        <v>1684.7435136963741</v>
      </c>
      <c r="C10" s="717">
        <f t="shared" si="0"/>
        <v>1314.0999406831718</v>
      </c>
      <c r="D10" s="719"/>
      <c r="E10" s="717">
        <f>C10*D10</f>
        <v>0</v>
      </c>
    </row>
    <row r="11" spans="1:10" collapsed="1" x14ac:dyDescent="0.2">
      <c r="A11" s="529" t="s">
        <v>95</v>
      </c>
      <c r="B11" s="717">
        <f>B10+B9</f>
        <v>3311.0060693720498</v>
      </c>
      <c r="C11" s="717">
        <f>C10+C9</f>
        <v>2582.584734110199</v>
      </c>
      <c r="D11" s="718">
        <f>E11/C11</f>
        <v>8.6209313561812841</v>
      </c>
      <c r="E11" s="717">
        <f>C64</f>
        <v>22264.285714285717</v>
      </c>
      <c r="G11" s="2" t="s">
        <v>752</v>
      </c>
    </row>
    <row r="12" spans="1:10" x14ac:dyDescent="0.2">
      <c r="A12" s="711" t="s">
        <v>206</v>
      </c>
      <c r="B12" s="712">
        <f>SUM(B6:B8, B11)</f>
        <v>8132.1099112792035</v>
      </c>
      <c r="C12" s="712">
        <f>SUM(C6:C8, C11)</f>
        <v>6343.0457307977795</v>
      </c>
      <c r="D12" s="713">
        <f>E12/C12</f>
        <v>10.297247498982726</v>
      </c>
      <c r="E12" s="712">
        <f>SUM(E6:E8, E11)</f>
        <v>65315.911787390491</v>
      </c>
    </row>
    <row r="13" spans="1:10" x14ac:dyDescent="0.2">
      <c r="A13" s="529" t="s">
        <v>79</v>
      </c>
      <c r="B13" s="717">
        <f>CorePTEarns_CO F2018_</f>
        <v>-1450</v>
      </c>
      <c r="C13" s="717">
        <f>B13*(1-$H$3/100)</f>
        <v>-1131</v>
      </c>
      <c r="D13" s="718">
        <f>D12</f>
        <v>10.297247498982726</v>
      </c>
      <c r="E13" s="717">
        <f>C13*D13</f>
        <v>-11646.186921349463</v>
      </c>
    </row>
    <row r="14" spans="1:10" x14ac:dyDescent="0.2">
      <c r="A14" s="711" t="s">
        <v>652</v>
      </c>
      <c r="B14" s="712"/>
      <c r="C14" s="712"/>
      <c r="D14" s="712"/>
      <c r="E14" s="712">
        <f>E12+E13</f>
        <v>53669.724866041026</v>
      </c>
    </row>
    <row r="15" spans="1:10" x14ac:dyDescent="0.2">
      <c r="A15" s="529" t="s">
        <v>800</v>
      </c>
      <c r="B15" s="717"/>
      <c r="C15" s="717"/>
      <c r="D15" s="717"/>
      <c r="E15" s="717">
        <f>AvgShrsOut _4Q18</f>
        <v>418.75055400014276</v>
      </c>
    </row>
    <row r="16" spans="1:10" x14ac:dyDescent="0.2">
      <c r="A16" s="382" t="s">
        <v>180</v>
      </c>
      <c r="B16" s="430"/>
      <c r="C16" s="430"/>
      <c r="D16" s="382"/>
      <c r="E16" s="430">
        <f>E14/E15</f>
        <v>128.16633758058916</v>
      </c>
    </row>
    <row r="17" spans="1:6" x14ac:dyDescent="0.2">
      <c r="A17" s="529" t="s">
        <v>655</v>
      </c>
      <c r="B17" s="717"/>
      <c r="C17" s="717"/>
      <c r="D17" s="529"/>
      <c r="E17" s="797"/>
    </row>
    <row r="18" spans="1:6" x14ac:dyDescent="0.2">
      <c r="A18" s="709" t="s">
        <v>753</v>
      </c>
      <c r="B18" s="710"/>
      <c r="C18" s="710"/>
      <c r="D18" s="709"/>
      <c r="E18" s="743">
        <f>(1-E17)*E16</f>
        <v>128.16633758058916</v>
      </c>
    </row>
    <row r="19" spans="1:6" hidden="1" outlineLevel="1" x14ac:dyDescent="0.2">
      <c r="A19" s="529" t="s">
        <v>653</v>
      </c>
      <c r="B19" s="717"/>
      <c r="C19" s="717"/>
      <c r="D19" s="529"/>
      <c r="E19" s="423">
        <v>104.42</v>
      </c>
    </row>
    <row r="20" spans="1:6" collapsed="1" x14ac:dyDescent="0.2">
      <c r="A20" s="711" t="s">
        <v>654</v>
      </c>
      <c r="B20" s="712"/>
      <c r="C20" s="712"/>
      <c r="D20" s="711"/>
      <c r="E20" s="745">
        <f>E18/E19*100-100</f>
        <v>22.741177533603874</v>
      </c>
    </row>
    <row r="23" spans="1:6" x14ac:dyDescent="0.2">
      <c r="A23" s="432"/>
      <c r="B23" s="420"/>
      <c r="C23" s="420" t="s">
        <v>751</v>
      </c>
      <c r="D23" s="704" t="s">
        <v>801</v>
      </c>
      <c r="E23" s="420" t="s">
        <v>640</v>
      </c>
    </row>
    <row r="24" spans="1:6" s="426" customFormat="1" x14ac:dyDescent="0.2">
      <c r="A24" s="425" t="s">
        <v>649</v>
      </c>
    </row>
    <row r="25" spans="1:6" s="426" customFormat="1" x14ac:dyDescent="0.2">
      <c r="A25" s="111" t="s">
        <v>650</v>
      </c>
      <c r="B25" s="427"/>
      <c r="C25" s="423">
        <v>71.239999999999995</v>
      </c>
      <c r="D25" s="427">
        <v>8.5500000000000007</v>
      </c>
      <c r="E25" s="428">
        <f>C25/D25</f>
        <v>8.3321637426900566</v>
      </c>
      <c r="F25" s="427"/>
    </row>
    <row r="26" spans="1:6" s="426" customFormat="1" x14ac:dyDescent="0.2">
      <c r="A26" s="705" t="s">
        <v>651</v>
      </c>
      <c r="B26" s="706"/>
      <c r="C26" s="706"/>
      <c r="D26" s="706"/>
      <c r="E26" s="707">
        <f>MEDIAN(E25:E25)</f>
        <v>8.3321637426900566</v>
      </c>
    </row>
    <row r="29" spans="1:6" x14ac:dyDescent="0.2">
      <c r="A29" s="2" t="s">
        <v>647</v>
      </c>
      <c r="B29" s="423"/>
      <c r="C29" s="423">
        <v>61.04</v>
      </c>
      <c r="D29" s="427">
        <v>5.73</v>
      </c>
      <c r="E29" s="424">
        <f>C29/D29</f>
        <v>10.652705061082024</v>
      </c>
    </row>
    <row r="30" spans="1:6" x14ac:dyDescent="0.2">
      <c r="A30" s="2" t="s">
        <v>648</v>
      </c>
      <c r="B30" s="423"/>
      <c r="C30" s="423">
        <v>49.82</v>
      </c>
      <c r="D30" s="427">
        <v>4.2699999999999996</v>
      </c>
      <c r="E30" s="424">
        <f>C30/D30</f>
        <v>11.667447306791571</v>
      </c>
    </row>
    <row r="31" spans="1:6" x14ac:dyDescent="0.2">
      <c r="A31" s="705" t="s">
        <v>651</v>
      </c>
      <c r="B31" s="705"/>
      <c r="C31" s="705"/>
      <c r="D31" s="705"/>
      <c r="E31" s="707">
        <f>MEDIAN(E29:E30)</f>
        <v>11.160076183936798</v>
      </c>
    </row>
    <row r="32" spans="1:6" x14ac:dyDescent="0.2">
      <c r="A32" s="429"/>
    </row>
    <row r="33" spans="1:5" s="285" customFormat="1" x14ac:dyDescent="0.2">
      <c r="A33" s="5" t="s">
        <v>292</v>
      </c>
    </row>
    <row r="34" spans="1:5" s="285" customFormat="1" x14ac:dyDescent="0.2">
      <c r="A34" s="2" t="s">
        <v>641</v>
      </c>
      <c r="B34" s="423"/>
      <c r="C34" s="423"/>
      <c r="D34" s="427"/>
      <c r="E34" s="424"/>
    </row>
    <row r="35" spans="1:5" s="285" customFormat="1" x14ac:dyDescent="0.2">
      <c r="A35" s="2" t="s">
        <v>642</v>
      </c>
      <c r="B35" s="423"/>
      <c r="C35" s="423">
        <v>31.72</v>
      </c>
      <c r="D35" s="427">
        <v>3.01</v>
      </c>
      <c r="E35" s="424">
        <f t="shared" ref="E35:E40" si="1">C35/D35</f>
        <v>10.538205980066445</v>
      </c>
    </row>
    <row r="36" spans="1:5" s="285" customFormat="1" x14ac:dyDescent="0.2">
      <c r="A36" s="111" t="s">
        <v>643</v>
      </c>
      <c r="B36" s="427"/>
      <c r="C36" s="427">
        <v>55.79</v>
      </c>
      <c r="D36" s="427">
        <v>3.33</v>
      </c>
      <c r="E36" s="428">
        <f t="shared" si="1"/>
        <v>16.753753753753752</v>
      </c>
    </row>
    <row r="37" spans="1:5" s="285" customFormat="1" x14ac:dyDescent="0.2">
      <c r="A37" s="111" t="s">
        <v>644</v>
      </c>
      <c r="B37" s="427"/>
      <c r="C37" s="427">
        <v>34.369999999999997</v>
      </c>
      <c r="D37" s="427">
        <v>3.24</v>
      </c>
      <c r="E37" s="428">
        <f t="shared" si="1"/>
        <v>10.608024691358024</v>
      </c>
    </row>
    <row r="38" spans="1:5" s="285" customFormat="1" x14ac:dyDescent="0.2">
      <c r="A38" s="111" t="s">
        <v>754</v>
      </c>
      <c r="B38" s="427"/>
      <c r="C38" s="427">
        <v>20.34</v>
      </c>
      <c r="D38" s="427">
        <v>2.2200000000000002</v>
      </c>
      <c r="E38" s="428">
        <f t="shared" si="1"/>
        <v>9.1621621621621614</v>
      </c>
    </row>
    <row r="39" spans="1:5" s="285" customFormat="1" x14ac:dyDescent="0.2">
      <c r="A39" s="111" t="s">
        <v>755</v>
      </c>
      <c r="B39" s="427"/>
      <c r="C39" s="427">
        <v>536.30999999999995</v>
      </c>
      <c r="D39" s="427">
        <v>28.41</v>
      </c>
      <c r="E39" s="428">
        <f t="shared" si="1"/>
        <v>18.877507919746567</v>
      </c>
    </row>
    <row r="40" spans="1:5" s="285" customFormat="1" x14ac:dyDescent="0.2">
      <c r="A40" s="111" t="s">
        <v>756</v>
      </c>
      <c r="B40" s="427"/>
      <c r="C40" s="427">
        <v>107.57</v>
      </c>
      <c r="D40" s="427">
        <v>7.16</v>
      </c>
      <c r="E40" s="428">
        <f t="shared" si="1"/>
        <v>15.023743016759775</v>
      </c>
    </row>
    <row r="41" spans="1:5" s="285" customFormat="1" x14ac:dyDescent="0.2">
      <c r="A41" s="705" t="s">
        <v>770</v>
      </c>
      <c r="B41" s="708"/>
      <c r="C41" s="708"/>
      <c r="D41" s="708"/>
      <c r="E41" s="707">
        <f>AVERAGE(E34:E40)+4</f>
        <v>17.493899587307787</v>
      </c>
    </row>
    <row r="44" spans="1:5" x14ac:dyDescent="0.2">
      <c r="A44" s="2" t="s">
        <v>650</v>
      </c>
      <c r="B44" s="423"/>
      <c r="C44" s="423">
        <v>71.239999999999995</v>
      </c>
      <c r="D44" s="427">
        <v>8.5500000000000007</v>
      </c>
      <c r="E44" s="424">
        <f>C44/D44</f>
        <v>8.3321637426900566</v>
      </c>
    </row>
    <row r="45" spans="1:5" x14ac:dyDescent="0.2">
      <c r="A45" s="2" t="s">
        <v>715</v>
      </c>
      <c r="B45" s="423"/>
      <c r="C45" s="423">
        <v>84.59</v>
      </c>
      <c r="D45" s="427">
        <v>6.04</v>
      </c>
      <c r="E45" s="424">
        <f>C45/D45</f>
        <v>14.004966887417218</v>
      </c>
    </row>
    <row r="46" spans="1:5" x14ac:dyDescent="0.2">
      <c r="A46" s="705" t="s">
        <v>770</v>
      </c>
      <c r="B46" s="705"/>
      <c r="C46" s="705"/>
      <c r="D46" s="705"/>
      <c r="E46" s="707">
        <f>AVERAGE(E44:E45)+3</f>
        <v>14.168565315053637</v>
      </c>
    </row>
    <row r="49" spans="1:5" s="285" customFormat="1" x14ac:dyDescent="0.2">
      <c r="A49" s="2" t="s">
        <v>645</v>
      </c>
      <c r="B49" s="423"/>
      <c r="C49" s="423">
        <v>47.68</v>
      </c>
      <c r="D49" s="427">
        <v>5.15</v>
      </c>
      <c r="E49" s="424">
        <f>C49/D49</f>
        <v>9.2582524271844662</v>
      </c>
    </row>
    <row r="50" spans="1:5" s="285" customFormat="1" x14ac:dyDescent="0.2">
      <c r="A50" s="705" t="s">
        <v>651</v>
      </c>
      <c r="B50" s="706"/>
      <c r="C50" s="706"/>
      <c r="D50" s="706"/>
      <c r="E50" s="707">
        <f>MEDIAN(E49:E49)</f>
        <v>9.2582524271844662</v>
      </c>
    </row>
    <row r="53" spans="1:5" x14ac:dyDescent="0.2">
      <c r="A53" s="2" t="s">
        <v>646</v>
      </c>
      <c r="B53" s="423"/>
      <c r="C53" s="423">
        <v>44.24</v>
      </c>
      <c r="D53" s="427">
        <v>3.87</v>
      </c>
      <c r="E53" s="424">
        <f>C53/D53</f>
        <v>11.431524547803617</v>
      </c>
    </row>
    <row r="54" spans="1:5" x14ac:dyDescent="0.2">
      <c r="A54" s="433" t="s">
        <v>716</v>
      </c>
      <c r="B54" s="423"/>
      <c r="C54" s="423">
        <v>1948</v>
      </c>
      <c r="D54" s="427">
        <v>302.12</v>
      </c>
      <c r="E54" s="424">
        <f>C54/D54</f>
        <v>6.4477690983715084</v>
      </c>
    </row>
    <row r="55" spans="1:5" x14ac:dyDescent="0.2">
      <c r="A55" s="2" t="s">
        <v>717</v>
      </c>
      <c r="B55" s="423"/>
      <c r="C55" s="423">
        <v>4837</v>
      </c>
      <c r="D55" s="427">
        <v>363.9</v>
      </c>
      <c r="E55" s="424">
        <f>C55/D55</f>
        <v>13.292113217917011</v>
      </c>
    </row>
    <row r="56" spans="1:5" x14ac:dyDescent="0.2">
      <c r="A56" s="2" t="s">
        <v>718</v>
      </c>
      <c r="B56" s="423"/>
      <c r="C56" s="423">
        <v>4440</v>
      </c>
      <c r="D56" s="427">
        <v>516.80999999999995</v>
      </c>
      <c r="E56" s="424">
        <f>C56/D56</f>
        <v>8.5911650316363861</v>
      </c>
    </row>
    <row r="57" spans="1:5" x14ac:dyDescent="0.2">
      <c r="A57" s="705" t="s">
        <v>651</v>
      </c>
      <c r="B57" s="706"/>
      <c r="C57" s="706"/>
      <c r="D57" s="706"/>
      <c r="E57" s="707">
        <f>AVERAGE(E53:E56)+2</f>
        <v>11.94064297393213</v>
      </c>
    </row>
    <row r="58" spans="1:5" x14ac:dyDescent="0.2">
      <c r="C58" s="423"/>
      <c r="D58" s="423"/>
      <c r="E58" s="423"/>
    </row>
    <row r="59" spans="1:5" x14ac:dyDescent="0.2">
      <c r="C59" s="423"/>
      <c r="D59" s="423"/>
      <c r="E59" s="423"/>
    </row>
    <row r="60" spans="1:5" x14ac:dyDescent="0.2">
      <c r="A60" s="2" t="s">
        <v>719</v>
      </c>
      <c r="C60" s="699">
        <f>9477</f>
        <v>9477</v>
      </c>
      <c r="D60" s="423" t="s">
        <v>722</v>
      </c>
      <c r="E60" s="423"/>
    </row>
    <row r="61" spans="1:5" x14ac:dyDescent="0.2">
      <c r="A61" s="2" t="s">
        <v>720</v>
      </c>
      <c r="C61" s="422">
        <f>INPUT!GL10*0.65</f>
        <v>2026.0500000000002</v>
      </c>
      <c r="D61" s="423"/>
      <c r="E61" s="423"/>
    </row>
    <row r="62" spans="1:5" x14ac:dyDescent="0.2">
      <c r="A62" s="2" t="s">
        <v>721</v>
      </c>
      <c r="C62" s="421">
        <f>C61/C60*100</f>
        <v>21.378600823045268</v>
      </c>
      <c r="D62" s="423"/>
      <c r="E62" s="423"/>
    </row>
    <row r="63" spans="1:5" x14ac:dyDescent="0.2">
      <c r="A63" s="2" t="s">
        <v>723</v>
      </c>
      <c r="C63" s="700">
        <f>(C62/9.1)</f>
        <v>2.3492967937412383</v>
      </c>
      <c r="D63" s="423"/>
      <c r="E63" s="423"/>
    </row>
    <row r="64" spans="1:5" x14ac:dyDescent="0.2">
      <c r="A64" s="5" t="s">
        <v>724</v>
      </c>
      <c r="C64" s="431">
        <f>C63*C60</f>
        <v>22264.285714285717</v>
      </c>
      <c r="D64" s="423"/>
      <c r="E64" s="423"/>
    </row>
  </sheetData>
  <phoneticPr fontId="5" type="noConversion"/>
  <pageMargins left="0" right="0" top="0" bottom="0" header="0" footer="0"/>
  <pageSetup paperSize="5" scale="77" orientation="landscape" r:id="rId1"/>
  <headerFooter alignWithMargins="0"/>
  <ignoredErrors>
    <ignoredError sqref="C6:C13 D12" formula="1"/>
    <ignoredError sqref="D6:E11 D13:E13 E12" evalError="1" formula="1"/>
    <ignoredError sqref="D4:H5 D14:H14 F6:H13 D51:H52 D50 F50:H50 D19 D17 F17:H17 F3:G3 D47:H48 D46 F46:H46 D42:H43 D41 F41:H41 E38:H38 F35:H35 E40:H40 D32:H33 D31 F31:H31 F25:H25 D27:H28 D26 F26:H26 D58:H64 D57 F57:H57 D18 F18:H18 E49:H49 D21:H22 D20 F20:H20 F19:H19 D16 F16:H16 E30:H30 E29:H29 F34:H34 E36:H36 E37:H37 E39:H39 E45:H45 E44:H44 E56:H56 E53:H53 E54:H54 E55:H55 D24:H24 E23:H23 D15 F15:H15" evalError="1"/>
  </ignoredErrors>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AE43"/>
  <sheetViews>
    <sheetView workbookViewId="0">
      <pane xSplit="1" ySplit="2" topLeftCell="N6" activePane="bottomRight" state="frozen"/>
      <selection activeCell="A86" sqref="A86"/>
      <selection pane="topRight" activeCell="A86" sqref="A86"/>
      <selection pane="bottomLeft" activeCell="A86" sqref="A86"/>
      <selection pane="bottomRight" activeCell="A86" sqref="A86"/>
    </sheetView>
  </sheetViews>
  <sheetFormatPr defaultRowHeight="12.75" outlineLevelRow="1" outlineLevelCol="1" x14ac:dyDescent="0.2"/>
  <cols>
    <col min="1" max="1" width="28" style="2" customWidth="1"/>
    <col min="2" max="5" width="9.140625" style="2" hidden="1" customWidth="1" outlineLevel="1"/>
    <col min="6" max="9" width="0" style="2" hidden="1" customWidth="1" outlineLevel="1"/>
    <col min="10" max="10" width="0" style="2" hidden="1" customWidth="1" outlineLevel="1" collapsed="1"/>
    <col min="11" max="13" width="0" style="2" hidden="1" customWidth="1" outlineLevel="1"/>
    <col min="14" max="14" width="0.85546875" style="2" customWidth="1" collapsed="1"/>
    <col min="15" max="15" width="0" style="2" hidden="1" customWidth="1" outlineLevel="1"/>
    <col min="16" max="16" width="0" style="2" hidden="1" customWidth="1" outlineLevel="1" collapsed="1"/>
    <col min="17" max="17" width="9.140625" style="2" collapsed="1"/>
    <col min="18" max="21" width="9.140625" style="2"/>
    <col min="22" max="22" width="0.85546875" style="2" customWidth="1"/>
    <col min="23" max="23" width="9.7109375" style="2" customWidth="1" outlineLevel="1"/>
    <col min="24" max="24" width="9.140625" style="2" customWidth="1" outlineLevel="1"/>
    <col min="25" max="25" width="10.42578125" style="2" customWidth="1" outlineLevel="1"/>
    <col min="26" max="27" width="11.42578125" style="2" bestFit="1" customWidth="1"/>
    <col min="28" max="29" width="9.140625" style="2"/>
    <col min="30" max="30" width="13.7109375" style="2" bestFit="1" customWidth="1"/>
    <col min="31" max="16384" width="9.140625" style="2"/>
  </cols>
  <sheetData>
    <row r="1" spans="1:31" x14ac:dyDescent="0.2">
      <c r="W1" s="902" t="s">
        <v>616</v>
      </c>
      <c r="X1" s="902"/>
      <c r="Y1" s="902"/>
      <c r="Z1" s="902"/>
      <c r="AA1" s="902"/>
      <c r="AB1" s="902"/>
    </row>
    <row r="2" spans="1:31" x14ac:dyDescent="0.2">
      <c r="B2" s="282" t="s">
        <v>198</v>
      </c>
      <c r="C2" s="282" t="s">
        <v>199</v>
      </c>
      <c r="D2" s="282" t="s">
        <v>200</v>
      </c>
      <c r="E2" s="282" t="s">
        <v>201</v>
      </c>
      <c r="F2" s="282" t="s">
        <v>61</v>
      </c>
      <c r="G2" s="282" t="s">
        <v>62</v>
      </c>
      <c r="H2" s="282" t="s">
        <v>63</v>
      </c>
      <c r="I2" s="282" t="s">
        <v>64</v>
      </c>
      <c r="J2" s="282" t="s">
        <v>173</v>
      </c>
      <c r="K2" s="282" t="s">
        <v>175</v>
      </c>
      <c r="L2" s="282" t="s">
        <v>174</v>
      </c>
      <c r="M2" s="282" t="s">
        <v>176</v>
      </c>
      <c r="N2" s="281"/>
      <c r="O2" s="282">
        <v>2012</v>
      </c>
      <c r="P2" s="282">
        <v>2013</v>
      </c>
      <c r="Q2" s="282">
        <v>2014</v>
      </c>
      <c r="R2" s="282" t="s">
        <v>152</v>
      </c>
      <c r="S2" s="282" t="s">
        <v>153</v>
      </c>
      <c r="T2" s="282" t="s">
        <v>779</v>
      </c>
      <c r="U2" s="282" t="s">
        <v>809</v>
      </c>
      <c r="V2" s="281"/>
      <c r="W2" s="282">
        <v>2013</v>
      </c>
      <c r="X2" s="282">
        <v>2014</v>
      </c>
      <c r="Y2" s="282" t="s">
        <v>153</v>
      </c>
      <c r="Z2" s="282" t="s">
        <v>779</v>
      </c>
      <c r="AA2" s="282" t="s">
        <v>809</v>
      </c>
      <c r="AB2" s="5" t="s">
        <v>549</v>
      </c>
    </row>
    <row r="4" spans="1:31" outlineLevel="1" x14ac:dyDescent="0.2">
      <c r="A4" s="5" t="s">
        <v>513</v>
      </c>
    </row>
    <row r="5" spans="1:31" ht="15" outlineLevel="1" x14ac:dyDescent="0.25">
      <c r="A5" s="89" t="s">
        <v>117</v>
      </c>
      <c r="AD5" s="850" t="s">
        <v>653</v>
      </c>
      <c r="AE5" s="851"/>
    </row>
    <row r="6" spans="1:31" outlineLevel="1" x14ac:dyDescent="0.2">
      <c r="A6" s="10" t="s">
        <v>151</v>
      </c>
      <c r="B6" s="285">
        <f>CorePTEarns_Annuity _1Q12</f>
        <v>225</v>
      </c>
      <c r="C6" s="285">
        <f>CorePTEarns_Annuity _2Q12</f>
        <v>231</v>
      </c>
      <c r="D6" s="285">
        <f>CorePTEarns_Annuity _3Q12</f>
        <v>255</v>
      </c>
      <c r="E6" s="285">
        <f>CorePTEarns_Annuity _4Q12</f>
        <v>273</v>
      </c>
      <c r="F6" s="285">
        <f>CorePTEarns_Annuity _1Q13</f>
        <v>310</v>
      </c>
      <c r="G6" s="285">
        <f>CorePTEarns_Annuity _2Q13</f>
        <v>325</v>
      </c>
      <c r="H6" s="285">
        <f>CorePTEarns_Annuity _3Q13</f>
        <v>370</v>
      </c>
      <c r="I6" s="285">
        <f>CorePTEarns_Annuity _4Q13</f>
        <v>384</v>
      </c>
      <c r="J6" s="285">
        <f>CorePTEarns_Annuity _1Q14</f>
        <v>409</v>
      </c>
      <c r="K6" s="285">
        <f>CorePTEarns_Annuity _2Q14</f>
        <v>394</v>
      </c>
      <c r="L6" s="285">
        <f>CorePTEarns_Annuity _3Q14</f>
        <v>403</v>
      </c>
      <c r="M6" s="285">
        <f>CorePTEarns_Annuity _4Q14</f>
        <v>390</v>
      </c>
      <c r="N6" s="285"/>
      <c r="O6" s="285">
        <f>CorePTEarns_Annuity F2012_</f>
        <v>984</v>
      </c>
      <c r="P6" s="285">
        <f>CorePTEarns_Annuity F2013_</f>
        <v>1389</v>
      </c>
      <c r="Q6" s="285">
        <f>CorePTEarns_Annuity F2014_</f>
        <v>1596</v>
      </c>
      <c r="R6" s="285">
        <f>CorePTEarns_Annuity F2015_</f>
        <v>1663</v>
      </c>
      <c r="S6" s="285">
        <f>CorePTEarns_Annuity F2016_</f>
        <v>1627</v>
      </c>
      <c r="T6" s="285">
        <f>CorePTEarns_Annuity F2017_</f>
        <v>2014.1</v>
      </c>
      <c r="U6" s="285">
        <f>CorePTEarns_Annuity F2018_</f>
        <v>2079.4593155114753</v>
      </c>
      <c r="AD6" s="852" t="s">
        <v>803</v>
      </c>
      <c r="AE6" s="853">
        <v>10.462210305376653</v>
      </c>
    </row>
    <row r="7" spans="1:31" outlineLevel="1" x14ac:dyDescent="0.2">
      <c r="A7" s="284" t="s">
        <v>509</v>
      </c>
      <c r="F7" s="283">
        <f t="shared" ref="F7:M7" si="0">F6/B6-1</f>
        <v>0.37777777777777777</v>
      </c>
      <c r="G7" s="283">
        <f t="shared" si="0"/>
        <v>0.40692640692640691</v>
      </c>
      <c r="H7" s="283">
        <f t="shared" si="0"/>
        <v>0.4509803921568627</v>
      </c>
      <c r="I7" s="283">
        <f t="shared" si="0"/>
        <v>0.4065934065934067</v>
      </c>
      <c r="J7" s="283">
        <f t="shared" si="0"/>
        <v>0.3193548387096774</v>
      </c>
      <c r="K7" s="283">
        <f t="shared" si="0"/>
        <v>0.21230769230769231</v>
      </c>
      <c r="L7" s="283">
        <f t="shared" si="0"/>
        <v>8.9189189189189166E-2</v>
      </c>
      <c r="M7" s="283">
        <f t="shared" si="0"/>
        <v>1.5625E-2</v>
      </c>
      <c r="P7" s="283">
        <f t="shared" ref="P7:U7" si="1">P6/O6-1</f>
        <v>0.41158536585365857</v>
      </c>
      <c r="Q7" s="283">
        <f t="shared" si="1"/>
        <v>0.1490280777537798</v>
      </c>
      <c r="R7" s="283">
        <f t="shared" si="1"/>
        <v>4.1979949874686673E-2</v>
      </c>
      <c r="S7" s="283">
        <f t="shared" si="1"/>
        <v>-2.1647624774503882E-2</v>
      </c>
      <c r="T7" s="283">
        <f t="shared" si="1"/>
        <v>0.23792255685310382</v>
      </c>
      <c r="U7" s="283">
        <f t="shared" si="1"/>
        <v>3.2450879058376181E-2</v>
      </c>
      <c r="AD7" s="854" t="s">
        <v>537</v>
      </c>
      <c r="AE7" s="855">
        <f>AE6-AE8</f>
        <v>-0.74619984077955159</v>
      </c>
    </row>
    <row r="8" spans="1:31" outlineLevel="1" x14ac:dyDescent="0.2">
      <c r="A8" s="10" t="s">
        <v>117</v>
      </c>
      <c r="B8" s="285">
        <f>corePTEarns_Pension _1Q12</f>
        <v>156</v>
      </c>
      <c r="C8" s="285">
        <f>corePTEarns_Pension _2Q12</f>
        <v>156</v>
      </c>
      <c r="D8" s="285">
        <f>corePTEarns_Pension _3Q12</f>
        <v>152</v>
      </c>
      <c r="E8" s="285">
        <f>corePTEarns_Pension _4Q12</f>
        <v>163</v>
      </c>
      <c r="F8" s="285">
        <f>corePTEarns_Pension _1Q13</f>
        <v>228</v>
      </c>
      <c r="G8" s="285">
        <f>corePTEarns_Pension _2Q13</f>
        <v>232</v>
      </c>
      <c r="H8" s="285">
        <f>corePTEarns_Pension _3Q13</f>
        <v>241</v>
      </c>
      <c r="I8" s="285">
        <f>corePTEarns_Pension _4Q13</f>
        <v>295</v>
      </c>
      <c r="J8" s="285">
        <f>corePTEarns_Pension _1Q14</f>
        <v>364</v>
      </c>
      <c r="K8" s="285">
        <f>corePTEarns_Pension _2Q14</f>
        <v>286</v>
      </c>
      <c r="L8" s="285">
        <f>corePTEarns_Pension _3Q14</f>
        <v>269</v>
      </c>
      <c r="M8" s="285">
        <f>corePTEarns_Pension _4Q14</f>
        <v>294</v>
      </c>
      <c r="N8" s="285"/>
      <c r="O8" s="285">
        <f>corePTEarns_Pension F2012_</f>
        <v>627</v>
      </c>
      <c r="P8" s="285">
        <f>corePTEarns_Pension F2013_</f>
        <v>996</v>
      </c>
      <c r="Q8" s="285">
        <f>corePTEarns_Pension F2014_</f>
        <v>1213</v>
      </c>
      <c r="R8" s="285">
        <f>corePTEarns_Pension F2015_</f>
        <v>911</v>
      </c>
      <c r="S8" s="285">
        <f>corePTEarns_Pension F2016_</f>
        <v>1020</v>
      </c>
      <c r="T8" s="285">
        <f>corePTEarns_Pension F2017_</f>
        <v>1264</v>
      </c>
      <c r="U8" s="285">
        <f>corePTEarns_Pension F2018_</f>
        <v>1109.8176178401463</v>
      </c>
      <c r="AD8" s="852" t="s">
        <v>804</v>
      </c>
      <c r="AE8" s="853">
        <v>11.208410146156204</v>
      </c>
    </row>
    <row r="9" spans="1:31" outlineLevel="1" x14ac:dyDescent="0.2">
      <c r="A9" s="284" t="s">
        <v>509</v>
      </c>
      <c r="B9" s="7"/>
      <c r="C9" s="7"/>
      <c r="D9" s="7"/>
      <c r="E9" s="7"/>
      <c r="F9" s="283">
        <f t="shared" ref="F9:M9" si="2">F8/B8-1</f>
        <v>0.46153846153846145</v>
      </c>
      <c r="G9" s="283">
        <f t="shared" si="2"/>
        <v>0.48717948717948723</v>
      </c>
      <c r="H9" s="283">
        <f t="shared" si="2"/>
        <v>0.58552631578947367</v>
      </c>
      <c r="I9" s="283">
        <f t="shared" si="2"/>
        <v>0.80981595092024539</v>
      </c>
      <c r="J9" s="283">
        <f t="shared" si="2"/>
        <v>0.59649122807017552</v>
      </c>
      <c r="K9" s="283">
        <f t="shared" si="2"/>
        <v>0.23275862068965525</v>
      </c>
      <c r="L9" s="283">
        <f t="shared" si="2"/>
        <v>0.11618257261410792</v>
      </c>
      <c r="M9" s="283">
        <f t="shared" si="2"/>
        <v>-3.3898305084745228E-3</v>
      </c>
      <c r="O9" s="7"/>
      <c r="P9" s="283">
        <f t="shared" ref="P9:U9" si="3">P8/O8-1</f>
        <v>0.58851674641148333</v>
      </c>
      <c r="Q9" s="283">
        <f t="shared" si="3"/>
        <v>0.21787148594377514</v>
      </c>
      <c r="R9" s="283">
        <f t="shared" si="3"/>
        <v>-0.24896949711459193</v>
      </c>
      <c r="S9" s="283">
        <f t="shared" si="3"/>
        <v>0.11964873765093298</v>
      </c>
      <c r="T9" s="283">
        <f t="shared" si="3"/>
        <v>0.23921568627450984</v>
      </c>
      <c r="U9" s="283">
        <f t="shared" si="3"/>
        <v>-0.12197973272140317</v>
      </c>
      <c r="AD9" s="854" t="s">
        <v>805</v>
      </c>
      <c r="AE9" s="855">
        <v>0.24</v>
      </c>
    </row>
    <row r="10" spans="1:31" outlineLevel="1" x14ac:dyDescent="0.2">
      <c r="A10" s="10" t="s">
        <v>554</v>
      </c>
      <c r="B10" s="285">
        <f>CorePTEarns_InvMgmt _1Q12</f>
        <v>147</v>
      </c>
      <c r="C10" s="285">
        <f>CorePTEarns_InvMgmt _2Q12</f>
        <v>130</v>
      </c>
      <c r="D10" s="285">
        <f>CorePTEarns_InvMgmt _3Q12</f>
        <v>197</v>
      </c>
      <c r="E10" s="285">
        <f>CorePTEarns_InvMgmt _4Q12</f>
        <v>202</v>
      </c>
      <c r="F10" s="285">
        <f>CorePTEarns_InvMgmt _1Q13</f>
        <v>169</v>
      </c>
      <c r="G10" s="285">
        <f>CorePTEarns_InvMgmt _2Q13</f>
        <v>172</v>
      </c>
      <c r="H10" s="285">
        <f>CorePTEarns_InvMgmt _3Q13</f>
        <v>173</v>
      </c>
      <c r="I10" s="285">
        <f>CorePTEarns_InvMgmt _4Q13</f>
        <v>209</v>
      </c>
      <c r="J10" s="285">
        <f>CorePTEarns_InvMgmt _1Q14</f>
        <v>193</v>
      </c>
      <c r="K10" s="285">
        <f>CorePTEarns_InvMgmt _2Q14</f>
        <v>200</v>
      </c>
      <c r="L10" s="285">
        <f>CorePTEarns_InvMgmt _3Q14</f>
        <v>200</v>
      </c>
      <c r="M10" s="285">
        <f>CorePTEarns_InvMgmt _4Q14</f>
        <v>192</v>
      </c>
      <c r="N10" s="285"/>
      <c r="O10" s="285">
        <f>CorePTEarns_InvMgmt F2012_</f>
        <v>676</v>
      </c>
      <c r="P10" s="285">
        <f>CorePTEarns_InvMgmt F2013_</f>
        <v>723</v>
      </c>
      <c r="Q10" s="285">
        <f>CorePTEarns_InvMgmt F2014_</f>
        <v>785</v>
      </c>
      <c r="R10" s="285">
        <f>CorePTEarns_InvMgmt F2015_</f>
        <v>779</v>
      </c>
      <c r="S10" s="285">
        <f>CorePTEarns_InvMgmt F2016_</f>
        <v>787</v>
      </c>
      <c r="T10" s="285">
        <f>CorePTEarns_InvMgmt F2017_</f>
        <v>979</v>
      </c>
      <c r="U10" s="285">
        <f>CorePTEarns_InvMgmt F2018_</f>
        <v>999.70615942116592</v>
      </c>
      <c r="AD10" s="852" t="s">
        <v>806</v>
      </c>
      <c r="AE10" s="853">
        <f>AE8-AE9</f>
        <v>10.968410146156204</v>
      </c>
    </row>
    <row r="11" spans="1:31" outlineLevel="1" x14ac:dyDescent="0.2">
      <c r="A11" s="284" t="s">
        <v>509</v>
      </c>
      <c r="F11" s="283">
        <f t="shared" ref="F11:M11" si="4">F10/B10-1</f>
        <v>0.14965986394557818</v>
      </c>
      <c r="G11" s="283">
        <f t="shared" si="4"/>
        <v>0.32307692307692304</v>
      </c>
      <c r="H11" s="283">
        <f t="shared" si="4"/>
        <v>-0.12182741116751272</v>
      </c>
      <c r="I11" s="283">
        <f t="shared" si="4"/>
        <v>3.4653465346534684E-2</v>
      </c>
      <c r="J11" s="283">
        <f t="shared" si="4"/>
        <v>0.14201183431952669</v>
      </c>
      <c r="K11" s="283">
        <f t="shared" si="4"/>
        <v>0.16279069767441867</v>
      </c>
      <c r="L11" s="283">
        <f t="shared" si="4"/>
        <v>0.1560693641618498</v>
      </c>
      <c r="M11" s="283">
        <f t="shared" si="4"/>
        <v>-8.1339712918660267E-2</v>
      </c>
      <c r="P11" s="283">
        <f t="shared" ref="P11:U11" si="5">P10/O10-1</f>
        <v>6.9526627218934989E-2</v>
      </c>
      <c r="Q11" s="283">
        <f t="shared" si="5"/>
        <v>8.5753803596127165E-2</v>
      </c>
      <c r="R11" s="283">
        <f t="shared" si="5"/>
        <v>-7.6433121019108263E-3</v>
      </c>
      <c r="S11" s="283">
        <f t="shared" si="5"/>
        <v>1.0269576379974277E-2</v>
      </c>
      <c r="T11" s="283">
        <f t="shared" si="5"/>
        <v>0.24396442185514622</v>
      </c>
      <c r="U11" s="283">
        <f t="shared" si="5"/>
        <v>2.1150316058392127E-2</v>
      </c>
      <c r="AD11" s="854" t="s">
        <v>807</v>
      </c>
      <c r="AE11" s="855">
        <v>11.395942036848217</v>
      </c>
    </row>
    <row r="12" spans="1:31" outlineLevel="1" x14ac:dyDescent="0.2">
      <c r="A12" s="89" t="s">
        <v>406</v>
      </c>
      <c r="AD12" s="856" t="s">
        <v>808</v>
      </c>
      <c r="AE12" s="857">
        <f>AE11/AE10-1</f>
        <v>3.89784740901431E-2</v>
      </c>
    </row>
    <row r="13" spans="1:31" outlineLevel="1" x14ac:dyDescent="0.2">
      <c r="A13" s="10" t="s">
        <v>75</v>
      </c>
      <c r="B13" s="285">
        <f>CorePTEarns_LifeIns _1Q12</f>
        <v>112</v>
      </c>
      <c r="C13" s="285">
        <f>CorePTEarns_LifeIns _2Q12</f>
        <v>61</v>
      </c>
      <c r="D13" s="285">
        <f>CorePTEarns_LifeIns _3Q12</f>
        <v>139</v>
      </c>
      <c r="E13" s="285">
        <f>CorePTEarns_LifeIns _4Q12</f>
        <v>114</v>
      </c>
      <c r="F13" s="285">
        <f>CorePTEarns_LifeIns _1Q13</f>
        <v>145</v>
      </c>
      <c r="G13" s="285">
        <f>CorePTEarns_LifeIns _2Q13</f>
        <v>152</v>
      </c>
      <c r="H13" s="285">
        <f>CorePTEarns_LifeIns _3Q13</f>
        <v>145</v>
      </c>
      <c r="I13" s="285">
        <f>CorePTEarns_LifeIns _4Q13</f>
        <v>165</v>
      </c>
      <c r="J13" s="285">
        <f>CorePTEarns_LifeIns _1Q14</f>
        <v>133</v>
      </c>
      <c r="K13" s="285">
        <f>CorePTEarns_LifeIns _2Q14</f>
        <v>166</v>
      </c>
      <c r="L13" s="285">
        <f>CorePTEarns_LifeIns _3Q14</f>
        <v>168</v>
      </c>
      <c r="M13" s="285">
        <f>CorePTEarns_LifeIns _4Q14</f>
        <v>135</v>
      </c>
      <c r="N13" s="285"/>
      <c r="O13" s="285">
        <f>CorePTEarns_LifeIns F2012_</f>
        <v>426</v>
      </c>
      <c r="P13" s="285">
        <f>CorePTEarns_LifeIns F2013_</f>
        <v>607</v>
      </c>
      <c r="Q13" s="285">
        <f>CorePTEarns_LifeIns F2014_</f>
        <v>602</v>
      </c>
      <c r="R13" s="285">
        <f>CorePTEarns_LifeIns F2015_</f>
        <v>604</v>
      </c>
      <c r="S13" s="285">
        <f>CorePTEarns_LifeIns F2016_</f>
        <v>544</v>
      </c>
      <c r="T13" s="285">
        <f>CorePTEarns_LifeIns F2017_</f>
        <v>462</v>
      </c>
      <c r="U13" s="285">
        <f>CorePTEarns_LifeIns F2018_</f>
        <v>436.07304507159097</v>
      </c>
    </row>
    <row r="14" spans="1:31" outlineLevel="1" x14ac:dyDescent="0.2">
      <c r="A14" s="284" t="s">
        <v>509</v>
      </c>
      <c r="F14" s="283">
        <f t="shared" ref="F14:M14" si="6">F13/B13-1</f>
        <v>0.29464285714285721</v>
      </c>
      <c r="G14" s="283">
        <f t="shared" si="6"/>
        <v>1.4918032786885247</v>
      </c>
      <c r="H14" s="283">
        <f t="shared" si="6"/>
        <v>4.3165467625899234E-2</v>
      </c>
      <c r="I14" s="283">
        <f t="shared" si="6"/>
        <v>0.44736842105263164</v>
      </c>
      <c r="J14" s="283">
        <f t="shared" si="6"/>
        <v>-8.2758620689655227E-2</v>
      </c>
      <c r="K14" s="283">
        <f t="shared" si="6"/>
        <v>9.210526315789469E-2</v>
      </c>
      <c r="L14" s="283">
        <f t="shared" si="6"/>
        <v>0.15862068965517251</v>
      </c>
      <c r="M14" s="283">
        <f t="shared" si="6"/>
        <v>-0.18181818181818177</v>
      </c>
      <c r="O14" s="7"/>
      <c r="P14" s="283">
        <f t="shared" ref="P14:U14" si="7">P13/O13-1</f>
        <v>0.42488262910798125</v>
      </c>
      <c r="Q14" s="283">
        <f t="shared" si="7"/>
        <v>-8.2372322899505468E-3</v>
      </c>
      <c r="R14" s="283">
        <f t="shared" si="7"/>
        <v>3.3222591362125353E-3</v>
      </c>
      <c r="S14" s="283">
        <f t="shared" si="7"/>
        <v>-9.9337748344370813E-2</v>
      </c>
      <c r="T14" s="283">
        <f t="shared" si="7"/>
        <v>-0.15073529411764708</v>
      </c>
      <c r="U14" s="283">
        <f t="shared" si="7"/>
        <v>-5.6118950061491368E-2</v>
      </c>
    </row>
    <row r="15" spans="1:31" s="287" customFormat="1" outlineLevel="1" x14ac:dyDescent="0.2">
      <c r="A15" s="286" t="s">
        <v>332</v>
      </c>
      <c r="B15" s="287">
        <f>CorePTEarns_Group _1Q12</f>
        <v>-40</v>
      </c>
      <c r="C15" s="287">
        <f>CorePTEarns_Group _2Q12</f>
        <v>33</v>
      </c>
      <c r="D15" s="287">
        <f>CorePTEarns_Group _3Q12</f>
        <v>28</v>
      </c>
      <c r="E15" s="287">
        <f>CorePTEarns_Group _4Q12</f>
        <v>26</v>
      </c>
      <c r="F15" s="287">
        <f>CorePTEarns_Group _1Q13</f>
        <v>9</v>
      </c>
      <c r="G15" s="287">
        <f>CorePTEarns_Group _2Q13</f>
        <v>22</v>
      </c>
      <c r="H15" s="287">
        <f>CorePTEarns_Group _3Q13</f>
        <v>23</v>
      </c>
      <c r="I15" s="287">
        <f>CorePTEarns_Group _4Q13</f>
        <v>58</v>
      </c>
      <c r="J15" s="287">
        <f>CorePTEarns_Group _1Q14</f>
        <v>6</v>
      </c>
      <c r="K15" s="287">
        <f>CorePTEarns_Group _2Q14</f>
        <v>46</v>
      </c>
      <c r="L15" s="287">
        <f>CorePTEarns_Group _3Q14</f>
        <v>34</v>
      </c>
      <c r="M15" s="287">
        <f>CorePTEarns_Group _4Q14</f>
        <v>44</v>
      </c>
      <c r="O15" s="287">
        <f>CorePTEarns_Group F2012_</f>
        <v>47</v>
      </c>
      <c r="P15" s="287">
        <f>CorePTEarns_Group F2013_</f>
        <v>112</v>
      </c>
      <c r="Q15" s="287">
        <f>CorePTEarns_Group F2014_</f>
        <v>130</v>
      </c>
      <c r="R15" s="287">
        <f>CorePTEarns_Group F2015_</f>
        <v>148</v>
      </c>
      <c r="S15" s="287">
        <f>CorePTEarns_Group F2016_</f>
        <v>220</v>
      </c>
      <c r="T15" s="287">
        <f>CorePTEarns_Group F2017_</f>
        <v>198</v>
      </c>
      <c r="U15" s="287">
        <f>CorePTEarns_Group F2018_</f>
        <v>196.04770406277567</v>
      </c>
    </row>
    <row r="16" spans="1:31" outlineLevel="1" x14ac:dyDescent="0.2">
      <c r="A16" s="284" t="s">
        <v>509</v>
      </c>
      <c r="B16" s="7"/>
      <c r="C16" s="7"/>
      <c r="D16" s="7"/>
      <c r="E16" s="7"/>
      <c r="F16" s="283">
        <f t="shared" ref="F16:M16" si="8">F15/B15-1</f>
        <v>-1.2250000000000001</v>
      </c>
      <c r="G16" s="283">
        <f t="shared" si="8"/>
        <v>-0.33333333333333337</v>
      </c>
      <c r="H16" s="283">
        <f t="shared" si="8"/>
        <v>-0.1785714285714286</v>
      </c>
      <c r="I16" s="283">
        <f t="shared" si="8"/>
        <v>1.2307692307692308</v>
      </c>
      <c r="J16" s="283">
        <f t="shared" si="8"/>
        <v>-0.33333333333333337</v>
      </c>
      <c r="K16" s="283">
        <f t="shared" si="8"/>
        <v>1.0909090909090908</v>
      </c>
      <c r="L16" s="283">
        <f t="shared" si="8"/>
        <v>0.47826086956521729</v>
      </c>
      <c r="M16" s="283">
        <f t="shared" si="8"/>
        <v>-0.24137931034482762</v>
      </c>
      <c r="O16" s="7"/>
      <c r="P16" s="283">
        <f t="shared" ref="P16:U16" si="9">P15/O15-1</f>
        <v>1.3829787234042552</v>
      </c>
      <c r="Q16" s="283">
        <f t="shared" si="9"/>
        <v>0.16071428571428581</v>
      </c>
      <c r="R16" s="283">
        <f t="shared" si="9"/>
        <v>0.13846153846153841</v>
      </c>
      <c r="S16" s="283">
        <f t="shared" si="9"/>
        <v>0.4864864864864864</v>
      </c>
      <c r="T16" s="283">
        <f t="shared" si="9"/>
        <v>-9.9999999999999978E-2</v>
      </c>
      <c r="U16" s="283">
        <f t="shared" si="9"/>
        <v>-9.8600804910320416E-3</v>
      </c>
    </row>
    <row r="17" spans="1:30" outlineLevel="1" x14ac:dyDescent="0.2">
      <c r="A17" s="89" t="s">
        <v>95</v>
      </c>
      <c r="B17" s="7"/>
      <c r="C17" s="7"/>
      <c r="D17" s="7"/>
      <c r="E17" s="7"/>
      <c r="F17" s="7"/>
      <c r="G17" s="7"/>
      <c r="H17" s="7"/>
      <c r="I17" s="7"/>
      <c r="J17" s="7"/>
      <c r="K17" s="7"/>
      <c r="L17" s="7"/>
      <c r="M17" s="7"/>
      <c r="O17" s="7"/>
      <c r="P17" s="7"/>
      <c r="Q17" s="7"/>
      <c r="R17" s="7"/>
      <c r="S17" s="7"/>
      <c r="T17" s="7"/>
      <c r="U17" s="7"/>
    </row>
    <row r="18" spans="1:30" outlineLevel="1" x14ac:dyDescent="0.2">
      <c r="A18" s="10" t="s">
        <v>302</v>
      </c>
      <c r="B18" s="285">
        <f>CorePTEarns_Intl_ROCK _1Q12</f>
        <v>272</v>
      </c>
      <c r="C18" s="285">
        <f>CorePTEarns_Intl_ROCK _2Q12</f>
        <v>342</v>
      </c>
      <c r="D18" s="285">
        <f>CorePTEarns_Intl_ROCK _3Q12</f>
        <v>363</v>
      </c>
      <c r="E18" s="285">
        <f>CorePTEarns_Intl_ROCK _4Q12</f>
        <v>325</v>
      </c>
      <c r="F18" s="285">
        <f>CorePTEarns_Intl_ROCK _1Q13</f>
        <v>392</v>
      </c>
      <c r="G18" s="285">
        <f>CorePTEarns_Intl_ROCK _2Q13</f>
        <v>431</v>
      </c>
      <c r="H18" s="285">
        <f>CorePTEarns_Intl_ROCK _3Q13</f>
        <v>470</v>
      </c>
      <c r="I18" s="285">
        <f>CorePTEarns_Intl_ROCK _4Q13</f>
        <v>378</v>
      </c>
      <c r="J18" s="285">
        <f>CorePTEarns_Intl_ROCK _1Q14</f>
        <v>418</v>
      </c>
      <c r="K18" s="285">
        <f>CorePTEarns_Intl_ROCK _2Q14</f>
        <v>502</v>
      </c>
      <c r="L18" s="285">
        <f>CorePTEarns_Intl_ROCK _3Q14</f>
        <v>446</v>
      </c>
      <c r="M18" s="285">
        <f>CorePTEarns_Intl_ROCK _4Q14</f>
        <v>385</v>
      </c>
      <c r="N18" s="285"/>
      <c r="O18" s="285">
        <f>CorePTEarns_Intl_ROCK F2012_</f>
        <v>1302</v>
      </c>
      <c r="P18" s="285">
        <f>CorePTEarns_Intl_ROCK F2013_</f>
        <v>1671</v>
      </c>
      <c r="Q18" s="285">
        <f>CorePTEarns_Intl_ROCK F2014_</f>
        <v>1751</v>
      </c>
      <c r="R18" s="285">
        <f>CorePTEarns_Intl_ROCK F2015_</f>
        <v>1651</v>
      </c>
      <c r="S18" s="285">
        <f>CorePTEarns_Intl_ROCK F2016_</f>
        <v>1612</v>
      </c>
      <c r="T18" s="285">
        <f>CorePTEarns_Intl_ROCK F2017_</f>
        <v>1684</v>
      </c>
      <c r="U18" s="285">
        <f>CorePTEarns_Intl_ROCK F2018_</f>
        <v>1684.7435136963741</v>
      </c>
    </row>
    <row r="19" spans="1:30" outlineLevel="1" x14ac:dyDescent="0.2">
      <c r="A19" s="284" t="s">
        <v>509</v>
      </c>
      <c r="B19" s="7"/>
      <c r="C19" s="7"/>
      <c r="D19" s="7"/>
      <c r="E19" s="7"/>
      <c r="F19" s="283">
        <f t="shared" ref="F19:M19" si="10">F18/B18-1</f>
        <v>0.44117647058823528</v>
      </c>
      <c r="G19" s="283">
        <f t="shared" si="10"/>
        <v>0.26023391812865504</v>
      </c>
      <c r="H19" s="283">
        <f t="shared" si="10"/>
        <v>0.29476584022038566</v>
      </c>
      <c r="I19" s="283">
        <f t="shared" si="10"/>
        <v>0.16307692307692312</v>
      </c>
      <c r="J19" s="283">
        <f t="shared" si="10"/>
        <v>6.6326530612244916E-2</v>
      </c>
      <c r="K19" s="283">
        <f t="shared" si="10"/>
        <v>0.16473317865429227</v>
      </c>
      <c r="L19" s="283">
        <f t="shared" si="10"/>
        <v>-5.1063829787234005E-2</v>
      </c>
      <c r="M19" s="283">
        <f t="shared" si="10"/>
        <v>1.8518518518518601E-2</v>
      </c>
      <c r="O19" s="7"/>
      <c r="P19" s="283">
        <f t="shared" ref="P19:U19" si="11">P18/O18-1</f>
        <v>0.28341013824884786</v>
      </c>
      <c r="Q19" s="283">
        <f t="shared" si="11"/>
        <v>4.7875523638539752E-2</v>
      </c>
      <c r="R19" s="283">
        <f t="shared" si="11"/>
        <v>-5.7110222729868654E-2</v>
      </c>
      <c r="S19" s="283">
        <f t="shared" si="11"/>
        <v>-2.3622047244094446E-2</v>
      </c>
      <c r="T19" s="283">
        <f t="shared" si="11"/>
        <v>4.4665012406947868E-2</v>
      </c>
      <c r="U19" s="283">
        <f t="shared" si="11"/>
        <v>4.4151644677792312E-4</v>
      </c>
    </row>
    <row r="20" spans="1:30" outlineLevel="1" x14ac:dyDescent="0.2">
      <c r="A20" s="10" t="s">
        <v>373</v>
      </c>
      <c r="B20" s="285">
        <f>CorePTEarns_Intl_exROCK _1Q12</f>
        <v>382</v>
      </c>
      <c r="C20" s="285">
        <f>CorePTEarns_Intl_exROCK _2Q12</f>
        <v>374</v>
      </c>
      <c r="D20" s="285">
        <f>CorePTEarns_Intl_exROCK _3Q12</f>
        <v>373</v>
      </c>
      <c r="E20" s="285">
        <f>CorePTEarns_Intl_exROCK _4Q12</f>
        <v>332</v>
      </c>
      <c r="F20" s="285">
        <f>CorePTEarns_Intl_exROCK _1Q13</f>
        <v>422</v>
      </c>
      <c r="G20" s="285">
        <f>CorePTEarns_Intl_exROCK _2Q13</f>
        <v>368</v>
      </c>
      <c r="H20" s="285">
        <f>CorePTEarns_Intl_exROCK _3Q13</f>
        <v>405</v>
      </c>
      <c r="I20" s="285">
        <f>CorePTEarns_Intl_exROCK _4Q13</f>
        <v>381</v>
      </c>
      <c r="J20" s="285">
        <f>CorePTEarns_Intl_exROCK _1Q14</f>
        <v>435</v>
      </c>
      <c r="K20" s="285">
        <f>CorePTEarns_Intl_exROCK _2Q14</f>
        <v>382</v>
      </c>
      <c r="L20" s="285">
        <f>CorePTEarns_Intl_exROCK _3Q14</f>
        <v>397</v>
      </c>
      <c r="M20" s="285">
        <f>CorePTEarns_Intl_exROCK _4Q14</f>
        <v>382</v>
      </c>
      <c r="N20" s="285"/>
      <c r="O20" s="285">
        <f>CorePTEarns_Intl_exROCK F2012_</f>
        <v>1461</v>
      </c>
      <c r="P20" s="285">
        <f>CorePTEarns_Intl_exROCK F2013_</f>
        <v>1576</v>
      </c>
      <c r="Q20" s="285">
        <f>CorePTEarns_Intl_exROCK F2014_</f>
        <v>1596</v>
      </c>
      <c r="R20" s="285">
        <f>CorePTEarns_Intl_exROCK F2015_</f>
        <v>1596</v>
      </c>
      <c r="S20" s="285">
        <f>CorePTEarns_Intl_exROCK F2016_</f>
        <v>1539</v>
      </c>
      <c r="T20" s="285">
        <f>CorePTEarns_Intl_exROCK F2017_</f>
        <v>1560</v>
      </c>
      <c r="U20" s="285">
        <f>CorePTEarns_Intl_exROCK F2018_</f>
        <v>1626.2625556756757</v>
      </c>
    </row>
    <row r="21" spans="1:30" outlineLevel="1" x14ac:dyDescent="0.2">
      <c r="A21" s="284" t="s">
        <v>509</v>
      </c>
      <c r="B21" s="7"/>
      <c r="C21" s="7"/>
      <c r="D21" s="7"/>
      <c r="E21" s="7"/>
      <c r="F21" s="283">
        <f t="shared" ref="F21:M21" si="12">F20/B20-1</f>
        <v>0.10471204188481686</v>
      </c>
      <c r="G21" s="283">
        <f t="shared" si="12"/>
        <v>-1.6042780748663055E-2</v>
      </c>
      <c r="H21" s="283">
        <f t="shared" si="12"/>
        <v>8.5790884718498717E-2</v>
      </c>
      <c r="I21" s="283">
        <f t="shared" si="12"/>
        <v>0.14759036144578319</v>
      </c>
      <c r="J21" s="283">
        <f t="shared" si="12"/>
        <v>3.0805687203791399E-2</v>
      </c>
      <c r="K21" s="283">
        <f t="shared" si="12"/>
        <v>3.8043478260869623E-2</v>
      </c>
      <c r="L21" s="283">
        <f t="shared" si="12"/>
        <v>-1.9753086419753041E-2</v>
      </c>
      <c r="M21" s="283">
        <f t="shared" si="12"/>
        <v>2.624671916010568E-3</v>
      </c>
      <c r="O21" s="7"/>
      <c r="P21" s="283">
        <f t="shared" ref="P21:U21" si="13">P20/O20-1</f>
        <v>7.8713210130047839E-2</v>
      </c>
      <c r="Q21" s="283">
        <f t="shared" si="13"/>
        <v>1.2690355329949332E-2</v>
      </c>
      <c r="R21" s="283">
        <f t="shared" si="13"/>
        <v>0</v>
      </c>
      <c r="S21" s="283">
        <f t="shared" si="13"/>
        <v>-3.5714285714285698E-2</v>
      </c>
      <c r="T21" s="283">
        <f t="shared" si="13"/>
        <v>1.3645224171539905E-2</v>
      </c>
      <c r="U21" s="283">
        <f t="shared" si="13"/>
        <v>4.2475997227997331E-2</v>
      </c>
    </row>
    <row r="22" spans="1:30" s="287" customFormat="1" outlineLevel="1" x14ac:dyDescent="0.2">
      <c r="A22" s="288" t="s">
        <v>512</v>
      </c>
      <c r="B22" s="287">
        <f>CorePTEarns_CO _1Q12</f>
        <v>-326</v>
      </c>
      <c r="C22" s="287">
        <f>CorePTEarns_CO _2Q12</f>
        <v>-225</v>
      </c>
      <c r="D22" s="287">
        <f>CorePTEarns_CO _3Q12</f>
        <v>-320</v>
      </c>
      <c r="E22" s="287">
        <f>CorePTEarns_CO _4Q12</f>
        <v>-303</v>
      </c>
      <c r="F22" s="287">
        <f>CorePTEarns_CO _1Q13</f>
        <v>-303</v>
      </c>
      <c r="G22" s="287">
        <f>CorePTEarns_CO _2Q13</f>
        <v>-331</v>
      </c>
      <c r="H22" s="287">
        <f>CorePTEarns_CO _3Q13</f>
        <v>-312</v>
      </c>
      <c r="I22" s="287">
        <f>CorePTEarns_CO _4Q13</f>
        <v>-397</v>
      </c>
      <c r="J22" s="287">
        <f>CorePTEarns_CO _1Q14</f>
        <v>-342</v>
      </c>
      <c r="K22" s="287">
        <f>CorePTEarns_CO _2Q14</f>
        <v>-341</v>
      </c>
      <c r="L22" s="287">
        <f>CorePTEarns_CO _3Q14</f>
        <v>-320</v>
      </c>
      <c r="M22" s="287">
        <f>CorePTEarns_CO _4Q14</f>
        <v>-326</v>
      </c>
      <c r="O22" s="287">
        <f>CorePTEarns_CO F2012_</f>
        <v>-1174</v>
      </c>
      <c r="P22" s="287">
        <f>CorePTEarns_CO F2013_</f>
        <v>-1343</v>
      </c>
      <c r="Q22" s="287">
        <f>CorePTEarns_CO F2014_</f>
        <v>-1329</v>
      </c>
      <c r="R22" s="287">
        <f>CorePTEarns_CO F2015_</f>
        <v>-1244.5</v>
      </c>
      <c r="S22" s="287">
        <f>CorePTEarns_CO F2016_</f>
        <v>-1542</v>
      </c>
      <c r="T22" s="287">
        <f>CorePTEarns_CO F2017_</f>
        <v>-1421</v>
      </c>
      <c r="U22" s="287">
        <f>CorePTEarns_CO F2018_</f>
        <v>-1450</v>
      </c>
      <c r="AD22" s="858"/>
    </row>
    <row r="23" spans="1:30" outlineLevel="1" x14ac:dyDescent="0.2">
      <c r="A23" s="284" t="s">
        <v>509</v>
      </c>
      <c r="F23" s="283">
        <f t="shared" ref="F23:M23" si="14">F22/B22-1</f>
        <v>-7.055214723926384E-2</v>
      </c>
      <c r="G23" s="283">
        <f t="shared" si="14"/>
        <v>0.47111111111111104</v>
      </c>
      <c r="H23" s="283">
        <f t="shared" si="14"/>
        <v>-2.5000000000000022E-2</v>
      </c>
      <c r="I23" s="283">
        <f t="shared" si="14"/>
        <v>0.31023102310231021</v>
      </c>
      <c r="J23" s="283">
        <f t="shared" si="14"/>
        <v>0.12871287128712861</v>
      </c>
      <c r="K23" s="283">
        <f t="shared" si="14"/>
        <v>3.0211480362537735E-2</v>
      </c>
      <c r="L23" s="283">
        <f t="shared" si="14"/>
        <v>2.564102564102555E-2</v>
      </c>
      <c r="M23" s="283">
        <f t="shared" si="14"/>
        <v>-0.17884130982367763</v>
      </c>
      <c r="P23" s="283">
        <f t="shared" ref="P23:U23" si="15">P22/O22-1</f>
        <v>0.14395229982964231</v>
      </c>
      <c r="Q23" s="283">
        <f t="shared" si="15"/>
        <v>-1.0424422933730471E-2</v>
      </c>
      <c r="R23" s="283">
        <f t="shared" si="15"/>
        <v>-6.358164033107605E-2</v>
      </c>
      <c r="S23" s="283">
        <f t="shared" si="15"/>
        <v>0.23905182804339087</v>
      </c>
      <c r="T23" s="283">
        <f t="shared" si="15"/>
        <v>-7.8469520103761403E-2</v>
      </c>
      <c r="U23" s="283">
        <f t="shared" si="15"/>
        <v>2.0408163265306145E-2</v>
      </c>
    </row>
    <row r="24" spans="1:30" x14ac:dyDescent="0.2">
      <c r="A24" s="284"/>
    </row>
    <row r="25" spans="1:30" x14ac:dyDescent="0.2">
      <c r="A25" s="5" t="s">
        <v>166</v>
      </c>
      <c r="B25" s="2">
        <f>Op_EPS _1Q12</f>
        <v>1.6544502617801047</v>
      </c>
      <c r="C25" s="2">
        <f>Op_EPS _2Q12</f>
        <v>1.3875395987328405</v>
      </c>
      <c r="D25" s="2">
        <f>Op_EPS _3Q12</f>
        <v>1.6023738872403561</v>
      </c>
      <c r="E25" s="2">
        <f>Op_EPS _4Q12</f>
        <v>1.7620770376675889</v>
      </c>
      <c r="F25" s="6">
        <f>Op_EPS _1Q13</f>
        <v>2.2662709349162604</v>
      </c>
      <c r="G25" s="6">
        <f>Op_EPS _2Q13</f>
        <v>2.3041084286319355</v>
      </c>
      <c r="H25" s="6">
        <f>Op_EPS _3Q13</f>
        <v>2.8940677966101696</v>
      </c>
      <c r="I25" s="6">
        <f>Op_EPS _4Q13</f>
        <v>2.2028862478777591</v>
      </c>
      <c r="J25" s="6">
        <f>Op_EPS _1Q14</f>
        <v>2.4031336015244547</v>
      </c>
      <c r="K25" s="6">
        <f>Op_EPS _2Q14</f>
        <v>2.4915038232795244</v>
      </c>
      <c r="L25" s="6">
        <f>Op_EPS _3Q14</f>
        <v>2.1982942430703623</v>
      </c>
      <c r="M25" s="6">
        <f>Op_EPS _4Q14</f>
        <v>2.118226600985222</v>
      </c>
      <c r="O25" s="2">
        <f>Op_EPS F2012_</f>
        <v>5.1841284936862682</v>
      </c>
      <c r="P25" s="6">
        <f>Op_EPS F2013_</f>
        <v>10.074717820995177</v>
      </c>
      <c r="Q25" s="6">
        <f>Op_EPS F2014_</f>
        <v>9.2011582688595634</v>
      </c>
      <c r="R25" s="6">
        <f>Op_EPS F2015_</f>
        <v>10.044833360341382</v>
      </c>
      <c r="S25" s="6">
        <f>Op_EPS F2016_</f>
        <v>9.1312116136236732</v>
      </c>
      <c r="T25" s="6">
        <f>Op_EPS F2017_</f>
        <v>10.582326093438224</v>
      </c>
      <c r="U25" s="6">
        <f>Op_EPS F2018_</f>
        <v>12.199348634086146</v>
      </c>
      <c r="W25" s="139" t="s">
        <v>16</v>
      </c>
      <c r="X25" s="139" t="s">
        <v>728</v>
      </c>
      <c r="Y25" s="139" t="s">
        <v>760</v>
      </c>
      <c r="Z25" s="139" t="s">
        <v>780</v>
      </c>
      <c r="AA25" s="139" t="s">
        <v>810</v>
      </c>
    </row>
    <row r="26" spans="1:30" s="283" customFormat="1" x14ac:dyDescent="0.2">
      <c r="A26" s="284" t="s">
        <v>509</v>
      </c>
      <c r="F26" s="283">
        <f t="shared" ref="F26:M26" si="16">F25/B25-1</f>
        <v>0.36980300180065107</v>
      </c>
      <c r="G26" s="283">
        <f t="shared" si="16"/>
        <v>0.66057129521647107</v>
      </c>
      <c r="H26" s="283">
        <f t="shared" si="16"/>
        <v>0.80611268047708728</v>
      </c>
      <c r="I26" s="283">
        <f t="shared" si="16"/>
        <v>0.2501645505770036</v>
      </c>
      <c r="J26" s="283">
        <f t="shared" si="16"/>
        <v>6.0391131748442684E-2</v>
      </c>
      <c r="K26" s="283">
        <f t="shared" si="16"/>
        <v>8.1330979184367047E-2</v>
      </c>
      <c r="L26" s="283">
        <f t="shared" si="16"/>
        <v>-0.24041370224801539</v>
      </c>
      <c r="M26" s="283">
        <f t="shared" si="16"/>
        <v>-3.8431238550831859E-2</v>
      </c>
      <c r="P26" s="283">
        <f t="shared" ref="P26:U26" si="17">P25/O25-1</f>
        <v>0.94337733589457518</v>
      </c>
      <c r="Q26" s="283">
        <f t="shared" si="17"/>
        <v>-8.6708091249480201E-2</v>
      </c>
      <c r="R26" s="283">
        <f t="shared" si="17"/>
        <v>9.1692270345697269E-2</v>
      </c>
      <c r="S26" s="283">
        <f t="shared" si="17"/>
        <v>-9.0954395552726108E-2</v>
      </c>
      <c r="T26" s="283">
        <f t="shared" si="17"/>
        <v>0.15891806489836502</v>
      </c>
      <c r="U26" s="283">
        <f t="shared" si="17"/>
        <v>0.1528040741109451</v>
      </c>
    </row>
    <row r="27" spans="1:30" x14ac:dyDescent="0.2">
      <c r="A27" s="5" t="s">
        <v>484</v>
      </c>
      <c r="B27" s="6">
        <f>Core_OpEPS _1Q12</f>
        <v>1.4652356020942408</v>
      </c>
      <c r="C27" s="6">
        <f>Core_OpEPS _2Q12</f>
        <v>1.7252375923970433</v>
      </c>
      <c r="D27" s="6">
        <f>Core_OpEPS _3Q12</f>
        <v>1.8200508690122934</v>
      </c>
      <c r="E27" s="6">
        <f>Core_OpEPS _4Q12</f>
        <v>1.769540327729304</v>
      </c>
      <c r="F27" s="6">
        <f>Core_OpEPS _1Q13</f>
        <v>2.1202035191859232</v>
      </c>
      <c r="G27" s="6">
        <f>Core_OpEPS _2Q13</f>
        <v>2.1031342651418892</v>
      </c>
      <c r="H27" s="6">
        <f>Core_OpEPS _3Q13</f>
        <v>2.3459745762711863</v>
      </c>
      <c r="I27" s="6">
        <f>Core_OpEPS _4Q13</f>
        <v>2.2194397283531409</v>
      </c>
      <c r="J27" s="6">
        <f>Core_OpEPS _1Q14</f>
        <v>2.4650645775989837</v>
      </c>
      <c r="K27" s="6">
        <f>Core_OpEPS _2Q14</f>
        <v>2.508071367884452</v>
      </c>
      <c r="L27" s="6">
        <f>Core_OpEPS _3Q14</f>
        <v>2.4567164179104473</v>
      </c>
      <c r="M27" s="6">
        <f>Core_OpEPS _4Q14</f>
        <v>2.3284429213964448</v>
      </c>
      <c r="O27" s="6">
        <f>Core_OpEPS F2012_</f>
        <v>5.6579019390288998</v>
      </c>
      <c r="P27" s="6">
        <f>Core_OpEPS F2013_</f>
        <v>9.1956971013724758</v>
      </c>
      <c r="Q27" s="6">
        <f>Core_OpEPS F2014_</f>
        <v>9.7045114389565974</v>
      </c>
      <c r="R27" s="6">
        <f>Core_OpEPS F2015_</f>
        <v>9.8713876735267121</v>
      </c>
      <c r="S27" s="6">
        <f>Core_OpEPS F2016_</f>
        <v>9.7235064209938571</v>
      </c>
      <c r="T27" s="6">
        <f>Core_OpEPS F2017_</f>
        <v>11.321907754409303</v>
      </c>
      <c r="U27" s="6">
        <f>Core_OpEPS F2018_</f>
        <v>12.199348634086146</v>
      </c>
    </row>
    <row r="28" spans="1:30" s="263" customFormat="1" x14ac:dyDescent="0.2">
      <c r="A28" s="284" t="s">
        <v>509</v>
      </c>
      <c r="F28" s="283">
        <f t="shared" ref="F28:M28" si="18">F27/B27-1</f>
        <v>0.4470051888962745</v>
      </c>
      <c r="G28" s="283">
        <f t="shared" si="18"/>
        <v>0.21904036546050243</v>
      </c>
      <c r="H28" s="283">
        <f t="shared" si="18"/>
        <v>0.28896099346074955</v>
      </c>
      <c r="I28" s="283">
        <f t="shared" si="18"/>
        <v>0.25424648061067545</v>
      </c>
      <c r="J28" s="283">
        <f t="shared" si="18"/>
        <v>0.16265469578386216</v>
      </c>
      <c r="K28" s="283">
        <f t="shared" si="18"/>
        <v>0.19253982470550612</v>
      </c>
      <c r="L28" s="283">
        <f t="shared" si="18"/>
        <v>4.720504764176936E-2</v>
      </c>
      <c r="M28" s="283">
        <f t="shared" si="18"/>
        <v>4.9112932264299802E-2</v>
      </c>
      <c r="P28" s="283">
        <f t="shared" ref="P28:U28" si="19">P27/O27-1</f>
        <v>0.62528393041587238</v>
      </c>
      <c r="Q28" s="283">
        <f t="shared" si="19"/>
        <v>5.5331785287727753E-2</v>
      </c>
      <c r="R28" s="283">
        <f t="shared" si="19"/>
        <v>1.7195737840055125E-2</v>
      </c>
      <c r="S28" s="283">
        <f t="shared" si="19"/>
        <v>-1.4980796765731941E-2</v>
      </c>
      <c r="T28" s="283">
        <f t="shared" si="19"/>
        <v>0.16438528080408976</v>
      </c>
      <c r="U28" s="283">
        <f t="shared" si="19"/>
        <v>7.7499384265441007E-2</v>
      </c>
    </row>
    <row r="30" spans="1:30" x14ac:dyDescent="0.2">
      <c r="A30" s="5" t="s">
        <v>510</v>
      </c>
    </row>
    <row r="31" spans="1:30" x14ac:dyDescent="0.2">
      <c r="A31" s="2" t="s">
        <v>511</v>
      </c>
      <c r="W31" s="139" t="s">
        <v>550</v>
      </c>
      <c r="Z31" s="139" t="s">
        <v>781</v>
      </c>
      <c r="AA31" s="139" t="s">
        <v>781</v>
      </c>
      <c r="AB31" s="139" t="s">
        <v>550</v>
      </c>
    </row>
    <row r="32" spans="1:30" x14ac:dyDescent="0.2">
      <c r="A32" s="2" t="s">
        <v>514</v>
      </c>
      <c r="W32" s="289">
        <v>0.28000000000000003</v>
      </c>
      <c r="X32" s="684">
        <v>0.28000000000000003</v>
      </c>
      <c r="Y32" s="684" t="s">
        <v>761</v>
      </c>
      <c r="Z32" s="684" t="s">
        <v>761</v>
      </c>
      <c r="AA32" s="684" t="s">
        <v>811</v>
      </c>
    </row>
    <row r="33" spans="1:28" x14ac:dyDescent="0.2">
      <c r="A33" s="2" t="s">
        <v>725</v>
      </c>
      <c r="W33" s="102"/>
      <c r="X33" s="684">
        <v>4</v>
      </c>
      <c r="Y33" s="684">
        <v>4</v>
      </c>
      <c r="Z33" s="684"/>
      <c r="AA33" s="684"/>
    </row>
    <row r="34" spans="1:28" x14ac:dyDescent="0.2">
      <c r="A34" s="2" t="s">
        <v>726</v>
      </c>
      <c r="W34" s="102"/>
      <c r="X34" s="684" t="s">
        <v>727</v>
      </c>
      <c r="Y34" s="684">
        <v>7</v>
      </c>
      <c r="Z34" s="684"/>
      <c r="AA34" s="684"/>
    </row>
    <row r="35" spans="1:28" x14ac:dyDescent="0.2">
      <c r="A35" s="2" t="s">
        <v>729</v>
      </c>
      <c r="W35" s="685">
        <v>1760</v>
      </c>
      <c r="X35" s="685">
        <v>2020</v>
      </c>
      <c r="Y35" s="685">
        <v>2205</v>
      </c>
      <c r="Z35" s="685">
        <v>2310</v>
      </c>
      <c r="AA35" s="685">
        <v>2675</v>
      </c>
    </row>
    <row r="36" spans="1:28" x14ac:dyDescent="0.2">
      <c r="A36" s="2" t="s">
        <v>739</v>
      </c>
      <c r="W36" s="685"/>
      <c r="X36" s="685"/>
      <c r="Y36" s="697" t="s">
        <v>740</v>
      </c>
      <c r="Z36" s="697" t="s">
        <v>740</v>
      </c>
      <c r="AA36" s="697" t="s">
        <v>740</v>
      </c>
    </row>
    <row r="37" spans="1:28" x14ac:dyDescent="0.2">
      <c r="A37" s="2" t="s">
        <v>764</v>
      </c>
      <c r="W37" s="685"/>
      <c r="X37" s="685"/>
      <c r="Y37" s="733" t="s">
        <v>765</v>
      </c>
      <c r="Z37" s="733" t="s">
        <v>782</v>
      </c>
      <c r="AA37" s="733" t="s">
        <v>812</v>
      </c>
      <c r="AB37" s="684"/>
    </row>
    <row r="38" spans="1:28" x14ac:dyDescent="0.2">
      <c r="A38" s="2" t="s">
        <v>766</v>
      </c>
      <c r="W38" s="685"/>
      <c r="X38" s="685"/>
      <c r="Y38" s="734">
        <v>1.9E-2</v>
      </c>
      <c r="Z38" s="734">
        <v>2.5000000000000001E-2</v>
      </c>
      <c r="AA38" s="734">
        <v>2.4E-2</v>
      </c>
    </row>
    <row r="39" spans="1:28" x14ac:dyDescent="0.2">
      <c r="A39" s="2" t="s">
        <v>783</v>
      </c>
      <c r="W39" s="685"/>
      <c r="X39" s="685"/>
      <c r="Y39" s="685"/>
      <c r="Z39" s="685">
        <v>112</v>
      </c>
      <c r="AA39" s="685">
        <v>111</v>
      </c>
    </row>
    <row r="40" spans="1:28" x14ac:dyDescent="0.2">
      <c r="A40" s="2" t="s">
        <v>784</v>
      </c>
      <c r="W40" s="685"/>
      <c r="X40" s="685"/>
      <c r="Y40" s="685"/>
      <c r="Z40" s="685">
        <v>1130</v>
      </c>
      <c r="AA40" s="685">
        <v>1150</v>
      </c>
    </row>
    <row r="41" spans="1:28" x14ac:dyDescent="0.2">
      <c r="W41" s="685"/>
      <c r="X41" s="685"/>
      <c r="Y41" s="685"/>
      <c r="Z41" s="685"/>
      <c r="AA41" s="685"/>
    </row>
    <row r="42" spans="1:28" x14ac:dyDescent="0.2">
      <c r="A42" s="5" t="s">
        <v>762</v>
      </c>
    </row>
    <row r="43" spans="1:28" x14ac:dyDescent="0.2">
      <c r="A43" s="5" t="s">
        <v>763</v>
      </c>
    </row>
  </sheetData>
  <mergeCells count="1">
    <mergeCell ref="W1:AB1"/>
  </mergeCells>
  <phoneticPr fontId="5" type="noConversion"/>
  <pageMargins left="0.75" right="0.75" top="1" bottom="1" header="0.5" footer="0.5"/>
  <pageSetup orientation="portrait" r:id="rId1"/>
  <headerFooter alignWithMargins="0"/>
  <ignoredErrors>
    <ignoredError sqref="Q8:T27 U8:U28" formula="1"/>
  </ignoredErrors>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D43"/>
  <sheetViews>
    <sheetView workbookViewId="0">
      <selection activeCell="A86" sqref="A86"/>
    </sheetView>
  </sheetViews>
  <sheetFormatPr defaultRowHeight="12.75" x14ac:dyDescent="0.2"/>
  <cols>
    <col min="1" max="1" width="29.5703125" style="731" bestFit="1" customWidth="1"/>
    <col min="2" max="2" width="19.85546875" style="888" customWidth="1"/>
    <col min="3" max="3" width="12" style="731" bestFit="1" customWidth="1"/>
    <col min="4" max="256" width="9.140625" style="731"/>
    <col min="257" max="257" width="29.5703125" style="731" bestFit="1" customWidth="1"/>
    <col min="258" max="258" width="19.85546875" style="731" customWidth="1"/>
    <col min="259" max="259" width="12" style="731" bestFit="1" customWidth="1"/>
    <col min="260" max="512" width="9.140625" style="731"/>
    <col min="513" max="513" width="29.5703125" style="731" bestFit="1" customWidth="1"/>
    <col min="514" max="514" width="19.85546875" style="731" customWidth="1"/>
    <col min="515" max="515" width="12" style="731" bestFit="1" customWidth="1"/>
    <col min="516" max="768" width="9.140625" style="731"/>
    <col min="769" max="769" width="29.5703125" style="731" bestFit="1" customWidth="1"/>
    <col min="770" max="770" width="19.85546875" style="731" customWidth="1"/>
    <col min="771" max="771" width="12" style="731" bestFit="1" customWidth="1"/>
    <col min="772" max="1024" width="9.140625" style="731"/>
    <col min="1025" max="1025" width="29.5703125" style="731" bestFit="1" customWidth="1"/>
    <col min="1026" max="1026" width="19.85546875" style="731" customWidth="1"/>
    <col min="1027" max="1027" width="12" style="731" bestFit="1" customWidth="1"/>
    <col min="1028" max="1280" width="9.140625" style="731"/>
    <col min="1281" max="1281" width="29.5703125" style="731" bestFit="1" customWidth="1"/>
    <col min="1282" max="1282" width="19.85546875" style="731" customWidth="1"/>
    <col min="1283" max="1283" width="12" style="731" bestFit="1" customWidth="1"/>
    <col min="1284" max="1536" width="9.140625" style="731"/>
    <col min="1537" max="1537" width="29.5703125" style="731" bestFit="1" customWidth="1"/>
    <col min="1538" max="1538" width="19.85546875" style="731" customWidth="1"/>
    <col min="1539" max="1539" width="12" style="731" bestFit="1" customWidth="1"/>
    <col min="1540" max="1792" width="9.140625" style="731"/>
    <col min="1793" max="1793" width="29.5703125" style="731" bestFit="1" customWidth="1"/>
    <col min="1794" max="1794" width="19.85546875" style="731" customWidth="1"/>
    <col min="1795" max="1795" width="12" style="731" bestFit="1" customWidth="1"/>
    <col min="1796" max="2048" width="9.140625" style="731"/>
    <col min="2049" max="2049" width="29.5703125" style="731" bestFit="1" customWidth="1"/>
    <col min="2050" max="2050" width="19.85546875" style="731" customWidth="1"/>
    <col min="2051" max="2051" width="12" style="731" bestFit="1" customWidth="1"/>
    <col min="2052" max="2304" width="9.140625" style="731"/>
    <col min="2305" max="2305" width="29.5703125" style="731" bestFit="1" customWidth="1"/>
    <col min="2306" max="2306" width="19.85546875" style="731" customWidth="1"/>
    <col min="2307" max="2307" width="12" style="731" bestFit="1" customWidth="1"/>
    <col min="2308" max="2560" width="9.140625" style="731"/>
    <col min="2561" max="2561" width="29.5703125" style="731" bestFit="1" customWidth="1"/>
    <col min="2562" max="2562" width="19.85546875" style="731" customWidth="1"/>
    <col min="2563" max="2563" width="12" style="731" bestFit="1" customWidth="1"/>
    <col min="2564" max="2816" width="9.140625" style="731"/>
    <col min="2817" max="2817" width="29.5703125" style="731" bestFit="1" customWidth="1"/>
    <col min="2818" max="2818" width="19.85546875" style="731" customWidth="1"/>
    <col min="2819" max="2819" width="12" style="731" bestFit="1" customWidth="1"/>
    <col min="2820" max="3072" width="9.140625" style="731"/>
    <col min="3073" max="3073" width="29.5703125" style="731" bestFit="1" customWidth="1"/>
    <col min="3074" max="3074" width="19.85546875" style="731" customWidth="1"/>
    <col min="3075" max="3075" width="12" style="731" bestFit="1" customWidth="1"/>
    <col min="3076" max="3328" width="9.140625" style="731"/>
    <col min="3329" max="3329" width="29.5703125" style="731" bestFit="1" customWidth="1"/>
    <col min="3330" max="3330" width="19.85546875" style="731" customWidth="1"/>
    <col min="3331" max="3331" width="12" style="731" bestFit="1" customWidth="1"/>
    <col min="3332" max="3584" width="9.140625" style="731"/>
    <col min="3585" max="3585" width="29.5703125" style="731" bestFit="1" customWidth="1"/>
    <col min="3586" max="3586" width="19.85546875" style="731" customWidth="1"/>
    <col min="3587" max="3587" width="12" style="731" bestFit="1" customWidth="1"/>
    <col min="3588" max="3840" width="9.140625" style="731"/>
    <col min="3841" max="3841" width="29.5703125" style="731" bestFit="1" customWidth="1"/>
    <col min="3842" max="3842" width="19.85546875" style="731" customWidth="1"/>
    <col min="3843" max="3843" width="12" style="731" bestFit="1" customWidth="1"/>
    <col min="3844" max="4096" width="9.140625" style="731"/>
    <col min="4097" max="4097" width="29.5703125" style="731" bestFit="1" customWidth="1"/>
    <col min="4098" max="4098" width="19.85546875" style="731" customWidth="1"/>
    <col min="4099" max="4099" width="12" style="731" bestFit="1" customWidth="1"/>
    <col min="4100" max="4352" width="9.140625" style="731"/>
    <col min="4353" max="4353" width="29.5703125" style="731" bestFit="1" customWidth="1"/>
    <col min="4354" max="4354" width="19.85546875" style="731" customWidth="1"/>
    <col min="4355" max="4355" width="12" style="731" bestFit="1" customWidth="1"/>
    <col min="4356" max="4608" width="9.140625" style="731"/>
    <col min="4609" max="4609" width="29.5703125" style="731" bestFit="1" customWidth="1"/>
    <col min="4610" max="4610" width="19.85546875" style="731" customWidth="1"/>
    <col min="4611" max="4611" width="12" style="731" bestFit="1" customWidth="1"/>
    <col min="4612" max="4864" width="9.140625" style="731"/>
    <col min="4865" max="4865" width="29.5703125" style="731" bestFit="1" customWidth="1"/>
    <col min="4866" max="4866" width="19.85546875" style="731" customWidth="1"/>
    <col min="4867" max="4867" width="12" style="731" bestFit="1" customWidth="1"/>
    <col min="4868" max="5120" width="9.140625" style="731"/>
    <col min="5121" max="5121" width="29.5703125" style="731" bestFit="1" customWidth="1"/>
    <col min="5122" max="5122" width="19.85546875" style="731" customWidth="1"/>
    <col min="5123" max="5123" width="12" style="731" bestFit="1" customWidth="1"/>
    <col min="5124" max="5376" width="9.140625" style="731"/>
    <col min="5377" max="5377" width="29.5703125" style="731" bestFit="1" customWidth="1"/>
    <col min="5378" max="5378" width="19.85546875" style="731" customWidth="1"/>
    <col min="5379" max="5379" width="12" style="731" bestFit="1" customWidth="1"/>
    <col min="5380" max="5632" width="9.140625" style="731"/>
    <col min="5633" max="5633" width="29.5703125" style="731" bestFit="1" customWidth="1"/>
    <col min="5634" max="5634" width="19.85546875" style="731" customWidth="1"/>
    <col min="5635" max="5635" width="12" style="731" bestFit="1" customWidth="1"/>
    <col min="5636" max="5888" width="9.140625" style="731"/>
    <col min="5889" max="5889" width="29.5703125" style="731" bestFit="1" customWidth="1"/>
    <col min="5890" max="5890" width="19.85546875" style="731" customWidth="1"/>
    <col min="5891" max="5891" width="12" style="731" bestFit="1" customWidth="1"/>
    <col min="5892" max="6144" width="9.140625" style="731"/>
    <col min="6145" max="6145" width="29.5703125" style="731" bestFit="1" customWidth="1"/>
    <col min="6146" max="6146" width="19.85546875" style="731" customWidth="1"/>
    <col min="6147" max="6147" width="12" style="731" bestFit="1" customWidth="1"/>
    <col min="6148" max="6400" width="9.140625" style="731"/>
    <col min="6401" max="6401" width="29.5703125" style="731" bestFit="1" customWidth="1"/>
    <col min="6402" max="6402" width="19.85546875" style="731" customWidth="1"/>
    <col min="6403" max="6403" width="12" style="731" bestFit="1" customWidth="1"/>
    <col min="6404" max="6656" width="9.140625" style="731"/>
    <col min="6657" max="6657" width="29.5703125" style="731" bestFit="1" customWidth="1"/>
    <col min="6658" max="6658" width="19.85546875" style="731" customWidth="1"/>
    <col min="6659" max="6659" width="12" style="731" bestFit="1" customWidth="1"/>
    <col min="6660" max="6912" width="9.140625" style="731"/>
    <col min="6913" max="6913" width="29.5703125" style="731" bestFit="1" customWidth="1"/>
    <col min="6914" max="6914" width="19.85546875" style="731" customWidth="1"/>
    <col min="6915" max="6915" width="12" style="731" bestFit="1" customWidth="1"/>
    <col min="6916" max="7168" width="9.140625" style="731"/>
    <col min="7169" max="7169" width="29.5703125" style="731" bestFit="1" customWidth="1"/>
    <col min="7170" max="7170" width="19.85546875" style="731" customWidth="1"/>
    <col min="7171" max="7171" width="12" style="731" bestFit="1" customWidth="1"/>
    <col min="7172" max="7424" width="9.140625" style="731"/>
    <col min="7425" max="7425" width="29.5703125" style="731" bestFit="1" customWidth="1"/>
    <col min="7426" max="7426" width="19.85546875" style="731" customWidth="1"/>
    <col min="7427" max="7427" width="12" style="731" bestFit="1" customWidth="1"/>
    <col min="7428" max="7680" width="9.140625" style="731"/>
    <col min="7681" max="7681" width="29.5703125" style="731" bestFit="1" customWidth="1"/>
    <col min="7682" max="7682" width="19.85546875" style="731" customWidth="1"/>
    <col min="7683" max="7683" width="12" style="731" bestFit="1" customWidth="1"/>
    <col min="7684" max="7936" width="9.140625" style="731"/>
    <col min="7937" max="7937" width="29.5703125" style="731" bestFit="1" customWidth="1"/>
    <col min="7938" max="7938" width="19.85546875" style="731" customWidth="1"/>
    <col min="7939" max="7939" width="12" style="731" bestFit="1" customWidth="1"/>
    <col min="7940" max="8192" width="9.140625" style="731"/>
    <col min="8193" max="8193" width="29.5703125" style="731" bestFit="1" customWidth="1"/>
    <col min="8194" max="8194" width="19.85546875" style="731" customWidth="1"/>
    <col min="8195" max="8195" width="12" style="731" bestFit="1" customWidth="1"/>
    <col min="8196" max="8448" width="9.140625" style="731"/>
    <col min="8449" max="8449" width="29.5703125" style="731" bestFit="1" customWidth="1"/>
    <col min="8450" max="8450" width="19.85546875" style="731" customWidth="1"/>
    <col min="8451" max="8451" width="12" style="731" bestFit="1" customWidth="1"/>
    <col min="8452" max="8704" width="9.140625" style="731"/>
    <col min="8705" max="8705" width="29.5703125" style="731" bestFit="1" customWidth="1"/>
    <col min="8706" max="8706" width="19.85546875" style="731" customWidth="1"/>
    <col min="8707" max="8707" width="12" style="731" bestFit="1" customWidth="1"/>
    <col min="8708" max="8960" width="9.140625" style="731"/>
    <col min="8961" max="8961" width="29.5703125" style="731" bestFit="1" customWidth="1"/>
    <col min="8962" max="8962" width="19.85546875" style="731" customWidth="1"/>
    <col min="8963" max="8963" width="12" style="731" bestFit="1" customWidth="1"/>
    <col min="8964" max="9216" width="9.140625" style="731"/>
    <col min="9217" max="9217" width="29.5703125" style="731" bestFit="1" customWidth="1"/>
    <col min="9218" max="9218" width="19.85546875" style="731" customWidth="1"/>
    <col min="9219" max="9219" width="12" style="731" bestFit="1" customWidth="1"/>
    <col min="9220" max="9472" width="9.140625" style="731"/>
    <col min="9473" max="9473" width="29.5703125" style="731" bestFit="1" customWidth="1"/>
    <col min="9474" max="9474" width="19.85546875" style="731" customWidth="1"/>
    <col min="9475" max="9475" width="12" style="731" bestFit="1" customWidth="1"/>
    <col min="9476" max="9728" width="9.140625" style="731"/>
    <col min="9729" max="9729" width="29.5703125" style="731" bestFit="1" customWidth="1"/>
    <col min="9730" max="9730" width="19.85546875" style="731" customWidth="1"/>
    <col min="9731" max="9731" width="12" style="731" bestFit="1" customWidth="1"/>
    <col min="9732" max="9984" width="9.140625" style="731"/>
    <col min="9985" max="9985" width="29.5703125" style="731" bestFit="1" customWidth="1"/>
    <col min="9986" max="9986" width="19.85546875" style="731" customWidth="1"/>
    <col min="9987" max="9987" width="12" style="731" bestFit="1" customWidth="1"/>
    <col min="9988" max="10240" width="9.140625" style="731"/>
    <col min="10241" max="10241" width="29.5703125" style="731" bestFit="1" customWidth="1"/>
    <col min="10242" max="10242" width="19.85546875" style="731" customWidth="1"/>
    <col min="10243" max="10243" width="12" style="731" bestFit="1" customWidth="1"/>
    <col min="10244" max="10496" width="9.140625" style="731"/>
    <col min="10497" max="10497" width="29.5703125" style="731" bestFit="1" customWidth="1"/>
    <col min="10498" max="10498" width="19.85546875" style="731" customWidth="1"/>
    <col min="10499" max="10499" width="12" style="731" bestFit="1" customWidth="1"/>
    <col min="10500" max="10752" width="9.140625" style="731"/>
    <col min="10753" max="10753" width="29.5703125" style="731" bestFit="1" customWidth="1"/>
    <col min="10754" max="10754" width="19.85546875" style="731" customWidth="1"/>
    <col min="10755" max="10755" width="12" style="731" bestFit="1" customWidth="1"/>
    <col min="10756" max="11008" width="9.140625" style="731"/>
    <col min="11009" max="11009" width="29.5703125" style="731" bestFit="1" customWidth="1"/>
    <col min="11010" max="11010" width="19.85546875" style="731" customWidth="1"/>
    <col min="11011" max="11011" width="12" style="731" bestFit="1" customWidth="1"/>
    <col min="11012" max="11264" width="9.140625" style="731"/>
    <col min="11265" max="11265" width="29.5703125" style="731" bestFit="1" customWidth="1"/>
    <col min="11266" max="11266" width="19.85546875" style="731" customWidth="1"/>
    <col min="11267" max="11267" width="12" style="731" bestFit="1" customWidth="1"/>
    <col min="11268" max="11520" width="9.140625" style="731"/>
    <col min="11521" max="11521" width="29.5703125" style="731" bestFit="1" customWidth="1"/>
    <col min="11522" max="11522" width="19.85546875" style="731" customWidth="1"/>
    <col min="11523" max="11523" width="12" style="731" bestFit="1" customWidth="1"/>
    <col min="11524" max="11776" width="9.140625" style="731"/>
    <col min="11777" max="11777" width="29.5703125" style="731" bestFit="1" customWidth="1"/>
    <col min="11778" max="11778" width="19.85546875" style="731" customWidth="1"/>
    <col min="11779" max="11779" width="12" style="731" bestFit="1" customWidth="1"/>
    <col min="11780" max="12032" width="9.140625" style="731"/>
    <col min="12033" max="12033" width="29.5703125" style="731" bestFit="1" customWidth="1"/>
    <col min="12034" max="12034" width="19.85546875" style="731" customWidth="1"/>
    <col min="12035" max="12035" width="12" style="731" bestFit="1" customWidth="1"/>
    <col min="12036" max="12288" width="9.140625" style="731"/>
    <col min="12289" max="12289" width="29.5703125" style="731" bestFit="1" customWidth="1"/>
    <col min="12290" max="12290" width="19.85546875" style="731" customWidth="1"/>
    <col min="12291" max="12291" width="12" style="731" bestFit="1" customWidth="1"/>
    <col min="12292" max="12544" width="9.140625" style="731"/>
    <col min="12545" max="12545" width="29.5703125" style="731" bestFit="1" customWidth="1"/>
    <col min="12546" max="12546" width="19.85546875" style="731" customWidth="1"/>
    <col min="12547" max="12547" width="12" style="731" bestFit="1" customWidth="1"/>
    <col min="12548" max="12800" width="9.140625" style="731"/>
    <col min="12801" max="12801" width="29.5703125" style="731" bestFit="1" customWidth="1"/>
    <col min="12802" max="12802" width="19.85546875" style="731" customWidth="1"/>
    <col min="12803" max="12803" width="12" style="731" bestFit="1" customWidth="1"/>
    <col min="12804" max="13056" width="9.140625" style="731"/>
    <col min="13057" max="13057" width="29.5703125" style="731" bestFit="1" customWidth="1"/>
    <col min="13058" max="13058" width="19.85546875" style="731" customWidth="1"/>
    <col min="13059" max="13059" width="12" style="731" bestFit="1" customWidth="1"/>
    <col min="13060" max="13312" width="9.140625" style="731"/>
    <col min="13313" max="13313" width="29.5703125" style="731" bestFit="1" customWidth="1"/>
    <col min="13314" max="13314" width="19.85546875" style="731" customWidth="1"/>
    <col min="13315" max="13315" width="12" style="731" bestFit="1" customWidth="1"/>
    <col min="13316" max="13568" width="9.140625" style="731"/>
    <col min="13569" max="13569" width="29.5703125" style="731" bestFit="1" customWidth="1"/>
    <col min="13570" max="13570" width="19.85546875" style="731" customWidth="1"/>
    <col min="13571" max="13571" width="12" style="731" bestFit="1" customWidth="1"/>
    <col min="13572" max="13824" width="9.140625" style="731"/>
    <col min="13825" max="13825" width="29.5703125" style="731" bestFit="1" customWidth="1"/>
    <col min="13826" max="13826" width="19.85546875" style="731" customWidth="1"/>
    <col min="13827" max="13827" width="12" style="731" bestFit="1" customWidth="1"/>
    <col min="13828" max="14080" width="9.140625" style="731"/>
    <col min="14081" max="14081" width="29.5703125" style="731" bestFit="1" customWidth="1"/>
    <col min="14082" max="14082" width="19.85546875" style="731" customWidth="1"/>
    <col min="14083" max="14083" width="12" style="731" bestFit="1" customWidth="1"/>
    <col min="14084" max="14336" width="9.140625" style="731"/>
    <col min="14337" max="14337" width="29.5703125" style="731" bestFit="1" customWidth="1"/>
    <col min="14338" max="14338" width="19.85546875" style="731" customWidth="1"/>
    <col min="14339" max="14339" width="12" style="731" bestFit="1" customWidth="1"/>
    <col min="14340" max="14592" width="9.140625" style="731"/>
    <col min="14593" max="14593" width="29.5703125" style="731" bestFit="1" customWidth="1"/>
    <col min="14594" max="14594" width="19.85546875" style="731" customWidth="1"/>
    <col min="14595" max="14595" width="12" style="731" bestFit="1" customWidth="1"/>
    <col min="14596" max="14848" width="9.140625" style="731"/>
    <col min="14849" max="14849" width="29.5703125" style="731" bestFit="1" customWidth="1"/>
    <col min="14850" max="14850" width="19.85546875" style="731" customWidth="1"/>
    <col min="14851" max="14851" width="12" style="731" bestFit="1" customWidth="1"/>
    <col min="14852" max="15104" width="9.140625" style="731"/>
    <col min="15105" max="15105" width="29.5703125" style="731" bestFit="1" customWidth="1"/>
    <col min="15106" max="15106" width="19.85546875" style="731" customWidth="1"/>
    <col min="15107" max="15107" width="12" style="731" bestFit="1" customWidth="1"/>
    <col min="15108" max="15360" width="9.140625" style="731"/>
    <col min="15361" max="15361" width="29.5703125" style="731" bestFit="1" customWidth="1"/>
    <col min="15362" max="15362" width="19.85546875" style="731" customWidth="1"/>
    <col min="15363" max="15363" width="12" style="731" bestFit="1" customWidth="1"/>
    <col min="15364" max="15616" width="9.140625" style="731"/>
    <col min="15617" max="15617" width="29.5703125" style="731" bestFit="1" customWidth="1"/>
    <col min="15618" max="15618" width="19.85546875" style="731" customWidth="1"/>
    <col min="15619" max="15619" width="12" style="731" bestFit="1" customWidth="1"/>
    <col min="15620" max="15872" width="9.140625" style="731"/>
    <col min="15873" max="15873" width="29.5703125" style="731" bestFit="1" customWidth="1"/>
    <col min="15874" max="15874" width="19.85546875" style="731" customWidth="1"/>
    <col min="15875" max="15875" width="12" style="731" bestFit="1" customWidth="1"/>
    <col min="15876" max="16128" width="9.140625" style="731"/>
    <col min="16129" max="16129" width="29.5703125" style="731" bestFit="1" customWidth="1"/>
    <col min="16130" max="16130" width="19.85546875" style="731" customWidth="1"/>
    <col min="16131" max="16131" width="12" style="731" bestFit="1" customWidth="1"/>
    <col min="16132" max="16384" width="9.140625" style="731"/>
  </cols>
  <sheetData>
    <row r="1" spans="1:2" x14ac:dyDescent="0.2">
      <c r="A1" s="731" t="s">
        <v>1134</v>
      </c>
      <c r="B1" s="887">
        <v>6.1</v>
      </c>
    </row>
    <row r="2" spans="1:2" x14ac:dyDescent="0.2">
      <c r="A2" s="731" t="s">
        <v>1135</v>
      </c>
      <c r="B2" s="891">
        <v>43195.386423611111</v>
      </c>
    </row>
    <row r="3" spans="1:2" x14ac:dyDescent="0.2">
      <c r="A3" s="731" t="s">
        <v>1136</v>
      </c>
      <c r="B3" s="888" t="s">
        <v>831</v>
      </c>
    </row>
    <row r="4" spans="1:2" x14ac:dyDescent="0.2">
      <c r="A4" s="731" t="s">
        <v>1137</v>
      </c>
      <c r="B4" s="888" t="s">
        <v>1138</v>
      </c>
    </row>
    <row r="5" spans="1:2" x14ac:dyDescent="0.2">
      <c r="A5" s="731" t="s">
        <v>1139</v>
      </c>
      <c r="B5" s="888" t="s">
        <v>1140</v>
      </c>
    </row>
    <row r="6" spans="1:2" x14ac:dyDescent="0.2">
      <c r="A6" s="731" t="s">
        <v>1141</v>
      </c>
    </row>
    <row r="7" spans="1:2" x14ac:dyDescent="0.2">
      <c r="A7" s="731" t="s">
        <v>256</v>
      </c>
      <c r="B7" s="888" t="s">
        <v>94</v>
      </c>
    </row>
    <row r="8" spans="1:2" x14ac:dyDescent="0.2">
      <c r="A8" s="731" t="s">
        <v>1142</v>
      </c>
      <c r="B8" s="888" t="s">
        <v>1143</v>
      </c>
    </row>
    <row r="9" spans="1:2" x14ac:dyDescent="0.2">
      <c r="A9" s="731" t="s">
        <v>1144</v>
      </c>
      <c r="B9" s="888" t="s">
        <v>1181</v>
      </c>
    </row>
    <row r="10" spans="1:2" x14ac:dyDescent="0.2">
      <c r="A10" s="731" t="s">
        <v>1145</v>
      </c>
    </row>
    <row r="11" spans="1:2" x14ac:dyDescent="0.2">
      <c r="A11" s="731" t="s">
        <v>1146</v>
      </c>
    </row>
    <row r="12" spans="1:2" x14ac:dyDescent="0.2">
      <c r="A12" s="731" t="s">
        <v>1147</v>
      </c>
    </row>
    <row r="13" spans="1:2" x14ac:dyDescent="0.2">
      <c r="A13" s="731" t="s">
        <v>1148</v>
      </c>
    </row>
    <row r="14" spans="1:2" x14ac:dyDescent="0.2">
      <c r="A14" s="731" t="s">
        <v>1149</v>
      </c>
    </row>
    <row r="15" spans="1:2" x14ac:dyDescent="0.2">
      <c r="A15" s="731" t="s">
        <v>1150</v>
      </c>
    </row>
    <row r="16" spans="1:2" x14ac:dyDescent="0.2">
      <c r="A16" s="731" t="s">
        <v>1151</v>
      </c>
    </row>
    <row r="17" spans="1:4" x14ac:dyDescent="0.2">
      <c r="A17" s="731" t="s">
        <v>1152</v>
      </c>
      <c r="B17" s="888" t="s">
        <v>1182</v>
      </c>
    </row>
    <row r="18" spans="1:4" x14ac:dyDescent="0.2">
      <c r="A18" s="731" t="s">
        <v>1153</v>
      </c>
      <c r="B18" s="888" t="s">
        <v>1185</v>
      </c>
    </row>
    <row r="19" spans="1:4" x14ac:dyDescent="0.2">
      <c r="A19" s="731" t="s">
        <v>1154</v>
      </c>
      <c r="B19" s="888" t="s">
        <v>671</v>
      </c>
    </row>
    <row r="20" spans="1:4" x14ac:dyDescent="0.2">
      <c r="A20" s="731" t="s">
        <v>1155</v>
      </c>
      <c r="B20" s="889">
        <v>744320102</v>
      </c>
    </row>
    <row r="21" spans="1:4" x14ac:dyDescent="0.2">
      <c r="A21" s="731" t="s">
        <v>1156</v>
      </c>
      <c r="B21" s="888" t="s">
        <v>671</v>
      </c>
    </row>
    <row r="22" spans="1:4" x14ac:dyDescent="0.2">
      <c r="A22" s="731" t="s">
        <v>1157</v>
      </c>
      <c r="B22" s="889">
        <v>2819118</v>
      </c>
    </row>
    <row r="23" spans="1:4" x14ac:dyDescent="0.2">
      <c r="A23" s="731" t="s">
        <v>182</v>
      </c>
      <c r="B23" s="887">
        <v>104.42</v>
      </c>
    </row>
    <row r="24" spans="1:4" x14ac:dyDescent="0.2">
      <c r="A24" s="731" t="s">
        <v>181</v>
      </c>
      <c r="B24" s="888" t="s">
        <v>313</v>
      </c>
      <c r="D24" s="731" t="s">
        <v>309</v>
      </c>
    </row>
    <row r="25" spans="1:4" x14ac:dyDescent="0.2">
      <c r="A25" s="731" t="s">
        <v>1158</v>
      </c>
      <c r="B25" s="888" t="s">
        <v>1186</v>
      </c>
    </row>
    <row r="26" spans="1:4" x14ac:dyDescent="0.2">
      <c r="A26" s="731" t="s">
        <v>1159</v>
      </c>
      <c r="B26" s="888">
        <v>0</v>
      </c>
    </row>
    <row r="27" spans="1:4" x14ac:dyDescent="0.2">
      <c r="A27" s="731" t="s">
        <v>1160</v>
      </c>
      <c r="B27" s="888" t="s">
        <v>1161</v>
      </c>
    </row>
    <row r="28" spans="1:4" x14ac:dyDescent="0.2">
      <c r="A28" s="731" t="s">
        <v>1162</v>
      </c>
      <c r="B28" s="888" t="s">
        <v>1163</v>
      </c>
    </row>
    <row r="29" spans="1:4" x14ac:dyDescent="0.2">
      <c r="A29" s="731" t="s">
        <v>1164</v>
      </c>
    </row>
    <row r="30" spans="1:4" x14ac:dyDescent="0.2">
      <c r="A30" s="731" t="s">
        <v>1165</v>
      </c>
    </row>
    <row r="31" spans="1:4" x14ac:dyDescent="0.2">
      <c r="A31" s="731" t="s">
        <v>1166</v>
      </c>
    </row>
    <row r="32" spans="1:4" x14ac:dyDescent="0.2">
      <c r="A32" s="731" t="s">
        <v>1167</v>
      </c>
      <c r="B32" s="887"/>
    </row>
    <row r="33" spans="1:2" x14ac:dyDescent="0.2">
      <c r="A33" s="731" t="s">
        <v>1168</v>
      </c>
      <c r="B33" s="887"/>
    </row>
    <row r="34" spans="1:2" x14ac:dyDescent="0.2">
      <c r="A34" s="731" t="s">
        <v>1169</v>
      </c>
      <c r="B34" s="887"/>
    </row>
    <row r="35" spans="1:2" x14ac:dyDescent="0.2">
      <c r="A35" s="731" t="s">
        <v>1170</v>
      </c>
      <c r="B35" s="888">
        <v>1000000</v>
      </c>
    </row>
    <row r="36" spans="1:2" x14ac:dyDescent="0.2">
      <c r="A36" s="731" t="s">
        <v>1171</v>
      </c>
      <c r="B36" s="888" t="s">
        <v>1183</v>
      </c>
    </row>
    <row r="37" spans="1:2" x14ac:dyDescent="0.2">
      <c r="A37" s="731" t="s">
        <v>1172</v>
      </c>
      <c r="B37" s="888" t="s">
        <v>1173</v>
      </c>
    </row>
    <row r="38" spans="1:2" x14ac:dyDescent="0.2">
      <c r="A38" s="731" t="s">
        <v>1174</v>
      </c>
      <c r="B38" s="888" t="s">
        <v>1175</v>
      </c>
    </row>
    <row r="39" spans="1:2" x14ac:dyDescent="0.2">
      <c r="A39" s="731" t="s">
        <v>1176</v>
      </c>
      <c r="B39" s="888" t="s">
        <v>1184</v>
      </c>
    </row>
    <row r="40" spans="1:2" x14ac:dyDescent="0.2">
      <c r="A40" s="731" t="s">
        <v>1177</v>
      </c>
      <c r="B40" s="888">
        <v>1500005428</v>
      </c>
    </row>
    <row r="41" spans="1:2" x14ac:dyDescent="0.2">
      <c r="A41" s="731" t="s">
        <v>1178</v>
      </c>
      <c r="B41" s="888">
        <v>1</v>
      </c>
    </row>
    <row r="42" spans="1:2" x14ac:dyDescent="0.2">
      <c r="A42" s="890" t="s">
        <v>1179</v>
      </c>
    </row>
    <row r="43" spans="1:2" x14ac:dyDescent="0.2">
      <c r="A43" s="731" t="s">
        <v>1180</v>
      </c>
    </row>
  </sheetData>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13"/>
  <sheetViews>
    <sheetView workbookViewId="0">
      <selection activeCell="A86" sqref="A86"/>
    </sheetView>
  </sheetViews>
  <sheetFormatPr defaultRowHeight="12.75" x14ac:dyDescent="0.2"/>
  <cols>
    <col min="1" max="1" width="28.5703125" style="731" bestFit="1" customWidth="1"/>
    <col min="2" max="256" width="9.140625" style="731"/>
    <col min="257" max="257" width="28.5703125" style="731" bestFit="1" customWidth="1"/>
    <col min="258" max="512" width="9.140625" style="731"/>
    <col min="513" max="513" width="28.5703125" style="731" bestFit="1" customWidth="1"/>
    <col min="514" max="768" width="9.140625" style="731"/>
    <col min="769" max="769" width="28.5703125" style="731" bestFit="1" customWidth="1"/>
    <col min="770" max="1024" width="9.140625" style="731"/>
    <col min="1025" max="1025" width="28.5703125" style="731" bestFit="1" customWidth="1"/>
    <col min="1026" max="1280" width="9.140625" style="731"/>
    <col min="1281" max="1281" width="28.5703125" style="731" bestFit="1" customWidth="1"/>
    <col min="1282" max="1536" width="9.140625" style="731"/>
    <col min="1537" max="1537" width="28.5703125" style="731" bestFit="1" customWidth="1"/>
    <col min="1538" max="1792" width="9.140625" style="731"/>
    <col min="1793" max="1793" width="28.5703125" style="731" bestFit="1" customWidth="1"/>
    <col min="1794" max="2048" width="9.140625" style="731"/>
    <col min="2049" max="2049" width="28.5703125" style="731" bestFit="1" customWidth="1"/>
    <col min="2050" max="2304" width="9.140625" style="731"/>
    <col min="2305" max="2305" width="28.5703125" style="731" bestFit="1" customWidth="1"/>
    <col min="2306" max="2560" width="9.140625" style="731"/>
    <col min="2561" max="2561" width="28.5703125" style="731" bestFit="1" customWidth="1"/>
    <col min="2562" max="2816" width="9.140625" style="731"/>
    <col min="2817" max="2817" width="28.5703125" style="731" bestFit="1" customWidth="1"/>
    <col min="2818" max="3072" width="9.140625" style="731"/>
    <col min="3073" max="3073" width="28.5703125" style="731" bestFit="1" customWidth="1"/>
    <col min="3074" max="3328" width="9.140625" style="731"/>
    <col min="3329" max="3329" width="28.5703125" style="731" bestFit="1" customWidth="1"/>
    <col min="3330" max="3584" width="9.140625" style="731"/>
    <col min="3585" max="3585" width="28.5703125" style="731" bestFit="1" customWidth="1"/>
    <col min="3586" max="3840" width="9.140625" style="731"/>
    <col min="3841" max="3841" width="28.5703125" style="731" bestFit="1" customWidth="1"/>
    <col min="3842" max="4096" width="9.140625" style="731"/>
    <col min="4097" max="4097" width="28.5703125" style="731" bestFit="1" customWidth="1"/>
    <col min="4098" max="4352" width="9.140625" style="731"/>
    <col min="4353" max="4353" width="28.5703125" style="731" bestFit="1" customWidth="1"/>
    <col min="4354" max="4608" width="9.140625" style="731"/>
    <col min="4609" max="4609" width="28.5703125" style="731" bestFit="1" customWidth="1"/>
    <col min="4610" max="4864" width="9.140625" style="731"/>
    <col min="4865" max="4865" width="28.5703125" style="731" bestFit="1" customWidth="1"/>
    <col min="4866" max="5120" width="9.140625" style="731"/>
    <col min="5121" max="5121" width="28.5703125" style="731" bestFit="1" customWidth="1"/>
    <col min="5122" max="5376" width="9.140625" style="731"/>
    <col min="5377" max="5377" width="28.5703125" style="731" bestFit="1" customWidth="1"/>
    <col min="5378" max="5632" width="9.140625" style="731"/>
    <col min="5633" max="5633" width="28.5703125" style="731" bestFit="1" customWidth="1"/>
    <col min="5634" max="5888" width="9.140625" style="731"/>
    <col min="5889" max="5889" width="28.5703125" style="731" bestFit="1" customWidth="1"/>
    <col min="5890" max="6144" width="9.140625" style="731"/>
    <col min="6145" max="6145" width="28.5703125" style="731" bestFit="1" customWidth="1"/>
    <col min="6146" max="6400" width="9.140625" style="731"/>
    <col min="6401" max="6401" width="28.5703125" style="731" bestFit="1" customWidth="1"/>
    <col min="6402" max="6656" width="9.140625" style="731"/>
    <col min="6657" max="6657" width="28.5703125" style="731" bestFit="1" customWidth="1"/>
    <col min="6658" max="6912" width="9.140625" style="731"/>
    <col min="6913" max="6913" width="28.5703125" style="731" bestFit="1" customWidth="1"/>
    <col min="6914" max="7168" width="9.140625" style="731"/>
    <col min="7169" max="7169" width="28.5703125" style="731" bestFit="1" customWidth="1"/>
    <col min="7170" max="7424" width="9.140625" style="731"/>
    <col min="7425" max="7425" width="28.5703125" style="731" bestFit="1" customWidth="1"/>
    <col min="7426" max="7680" width="9.140625" style="731"/>
    <col min="7681" max="7681" width="28.5703125" style="731" bestFit="1" customWidth="1"/>
    <col min="7682" max="7936" width="9.140625" style="731"/>
    <col min="7937" max="7937" width="28.5703125" style="731" bestFit="1" customWidth="1"/>
    <col min="7938" max="8192" width="9.140625" style="731"/>
    <col min="8193" max="8193" width="28.5703125" style="731" bestFit="1" customWidth="1"/>
    <col min="8194" max="8448" width="9.140625" style="731"/>
    <col min="8449" max="8449" width="28.5703125" style="731" bestFit="1" customWidth="1"/>
    <col min="8450" max="8704" width="9.140625" style="731"/>
    <col min="8705" max="8705" width="28.5703125" style="731" bestFit="1" customWidth="1"/>
    <col min="8706" max="8960" width="9.140625" style="731"/>
    <col min="8961" max="8961" width="28.5703125" style="731" bestFit="1" customWidth="1"/>
    <col min="8962" max="9216" width="9.140625" style="731"/>
    <col min="9217" max="9217" width="28.5703125" style="731" bestFit="1" customWidth="1"/>
    <col min="9218" max="9472" width="9.140625" style="731"/>
    <col min="9473" max="9473" width="28.5703125" style="731" bestFit="1" customWidth="1"/>
    <col min="9474" max="9728" width="9.140625" style="731"/>
    <col min="9729" max="9729" width="28.5703125" style="731" bestFit="1" customWidth="1"/>
    <col min="9730" max="9984" width="9.140625" style="731"/>
    <col min="9985" max="9985" width="28.5703125" style="731" bestFit="1" customWidth="1"/>
    <col min="9986" max="10240" width="9.140625" style="731"/>
    <col min="10241" max="10241" width="28.5703125" style="731" bestFit="1" customWidth="1"/>
    <col min="10242" max="10496" width="9.140625" style="731"/>
    <col min="10497" max="10497" width="28.5703125" style="731" bestFit="1" customWidth="1"/>
    <col min="10498" max="10752" width="9.140625" style="731"/>
    <col min="10753" max="10753" width="28.5703125" style="731" bestFit="1" customWidth="1"/>
    <col min="10754" max="11008" width="9.140625" style="731"/>
    <col min="11009" max="11009" width="28.5703125" style="731" bestFit="1" customWidth="1"/>
    <col min="11010" max="11264" width="9.140625" style="731"/>
    <col min="11265" max="11265" width="28.5703125" style="731" bestFit="1" customWidth="1"/>
    <col min="11266" max="11520" width="9.140625" style="731"/>
    <col min="11521" max="11521" width="28.5703125" style="731" bestFit="1" customWidth="1"/>
    <col min="11522" max="11776" width="9.140625" style="731"/>
    <col min="11777" max="11777" width="28.5703125" style="731" bestFit="1" customWidth="1"/>
    <col min="11778" max="12032" width="9.140625" style="731"/>
    <col min="12033" max="12033" width="28.5703125" style="731" bestFit="1" customWidth="1"/>
    <col min="12034" max="12288" width="9.140625" style="731"/>
    <col min="12289" max="12289" width="28.5703125" style="731" bestFit="1" customWidth="1"/>
    <col min="12290" max="12544" width="9.140625" style="731"/>
    <col min="12545" max="12545" width="28.5703125" style="731" bestFit="1" customWidth="1"/>
    <col min="12546" max="12800" width="9.140625" style="731"/>
    <col min="12801" max="12801" width="28.5703125" style="731" bestFit="1" customWidth="1"/>
    <col min="12802" max="13056" width="9.140625" style="731"/>
    <col min="13057" max="13057" width="28.5703125" style="731" bestFit="1" customWidth="1"/>
    <col min="13058" max="13312" width="9.140625" style="731"/>
    <col min="13313" max="13313" width="28.5703125" style="731" bestFit="1" customWidth="1"/>
    <col min="13314" max="13568" width="9.140625" style="731"/>
    <col min="13569" max="13569" width="28.5703125" style="731" bestFit="1" customWidth="1"/>
    <col min="13570" max="13824" width="9.140625" style="731"/>
    <col min="13825" max="13825" width="28.5703125" style="731" bestFit="1" customWidth="1"/>
    <col min="13826" max="14080" width="9.140625" style="731"/>
    <col min="14081" max="14081" width="28.5703125" style="731" bestFit="1" customWidth="1"/>
    <col min="14082" max="14336" width="9.140625" style="731"/>
    <col min="14337" max="14337" width="28.5703125" style="731" bestFit="1" customWidth="1"/>
    <col min="14338" max="14592" width="9.140625" style="731"/>
    <col min="14593" max="14593" width="28.5703125" style="731" bestFit="1" customWidth="1"/>
    <col min="14594" max="14848" width="9.140625" style="731"/>
    <col min="14849" max="14849" width="28.5703125" style="731" bestFit="1" customWidth="1"/>
    <col min="14850" max="15104" width="9.140625" style="731"/>
    <col min="15105" max="15105" width="28.5703125" style="731" bestFit="1" customWidth="1"/>
    <col min="15106" max="15360" width="9.140625" style="731"/>
    <col min="15361" max="15361" width="28.5703125" style="731" bestFit="1" customWidth="1"/>
    <col min="15362" max="15616" width="9.140625" style="731"/>
    <col min="15617" max="15617" width="28.5703125" style="731" bestFit="1" customWidth="1"/>
    <col min="15618" max="15872" width="9.140625" style="731"/>
    <col min="15873" max="15873" width="28.5703125" style="731" bestFit="1" customWidth="1"/>
    <col min="15874" max="16128" width="9.140625" style="731"/>
    <col min="16129" max="16129" width="28.5703125" style="731" bestFit="1" customWidth="1"/>
    <col min="16130" max="16384" width="9.140625" style="731"/>
  </cols>
  <sheetData>
    <row r="1" spans="1:1" x14ac:dyDescent="0.2">
      <c r="A1" s="892" t="s">
        <v>1187</v>
      </c>
    </row>
    <row r="2" spans="1:1" x14ac:dyDescent="0.2">
      <c r="A2" s="892" t="s">
        <v>1192</v>
      </c>
    </row>
    <row r="3" spans="1:1" x14ac:dyDescent="0.2">
      <c r="A3" s="892" t="s">
        <v>1193</v>
      </c>
    </row>
    <row r="4" spans="1:1" x14ac:dyDescent="0.2">
      <c r="A4" s="892" t="s">
        <v>1194</v>
      </c>
    </row>
    <row r="5" spans="1:1" x14ac:dyDescent="0.2">
      <c r="A5" s="892" t="s">
        <v>1195</v>
      </c>
    </row>
    <row r="6" spans="1:1" x14ac:dyDescent="0.2">
      <c r="A6" s="892" t="s">
        <v>1188</v>
      </c>
    </row>
    <row r="7" spans="1:1" x14ac:dyDescent="0.2">
      <c r="A7" s="892" t="s">
        <v>1196</v>
      </c>
    </row>
    <row r="8" spans="1:1" x14ac:dyDescent="0.2">
      <c r="A8" s="892" t="s">
        <v>1197</v>
      </c>
    </row>
    <row r="9" spans="1:1" x14ac:dyDescent="0.2">
      <c r="A9" s="892" t="s">
        <v>1198</v>
      </c>
    </row>
    <row r="10" spans="1:1" x14ac:dyDescent="0.2">
      <c r="A10" s="892" t="s">
        <v>1189</v>
      </c>
    </row>
    <row r="11" spans="1:1" x14ac:dyDescent="0.2">
      <c r="A11" s="892" t="s">
        <v>1199</v>
      </c>
    </row>
    <row r="12" spans="1:1" x14ac:dyDescent="0.2">
      <c r="A12" s="892" t="s">
        <v>1190</v>
      </c>
    </row>
    <row r="13" spans="1:1" x14ac:dyDescent="0.2">
      <c r="A13" s="892" t="s">
        <v>1191</v>
      </c>
    </row>
  </sheetData>
  <pageMargins left="0.75" right="0.75" top="1" bottom="1" header="0.5" footer="0.5"/>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
  <sheetViews>
    <sheetView workbookViewId="0"/>
  </sheetViews>
  <sheetFormatPr defaultRowHeight="12.75" x14ac:dyDescent="0.2"/>
  <sheetData/>
  <pageMargins left="0.7" right="0.7" top="0.75" bottom="0.75" header="0.3" footer="0.3"/>
  <pageSetup orientation="portrait" horizontalDpi="90" verticalDpi="9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
  <sheetViews>
    <sheetView workbookViewId="0"/>
  </sheetViews>
  <sheetFormatPr defaultRowHeight="12.75" x14ac:dyDescent="0.2"/>
  <sheetData/>
  <pageMargins left="0.7" right="0.7" top="0.75" bottom="0.75" header="0.3" footer="0.3"/>
  <pageSetup orientation="portrait" horizontalDpi="90" verticalDpi="9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workbookViewId="0"/>
  </sheetViews>
  <sheetFormatPr defaultRowHeight="12.75" x14ac:dyDescent="0.2"/>
  <sheetData/>
  <pageMargins left="0.7" right="0.7" top="0.75" bottom="0.75" header="0.3" footer="0.3"/>
  <pageSetup orientation="portrait" horizontalDpi="90" verticalDpi="90" r:id="rId1"/>
</worksheet>
</file>

<file path=customXml/_rels/item1.xml.rels><?xml version="1.0" encoding="UTF-8" standalone="yes"?>
<Relationships xmlns="http://schemas.openxmlformats.org/package/2006/relationships">
<Relationship Id="rId1" Target="itemProps1.xml" Type="http://schemas.openxmlformats.org/officeDocument/2006/relationships/customXmlProps"/>
</Relationships>

</file>

<file path=customXml/_rels/item2.xml.rels><?xml version="1.0" encoding="UTF-8" standalone="yes"?>
<Relationships xmlns="http://schemas.openxmlformats.org/package/2006/relationships">
<Relationship Id="rId1" Target="itemProps2.xml" Type="http://schemas.openxmlformats.org/officeDocument/2006/relationships/customXmlProps"/>
</Relationships>

</file>

<file path=customXml/item1.xml><?xml version="1.0" encoding="utf-8"?>
<lkmtd:Metadata xmlns:lkmtd="thomsonreuters.linking.metadatachange">
  <MetadataChanged>0</MetadataChanged>
</lkmtd:Metadata>
</file>

<file path=customXml/item2.xml><?xml version="1.0" encoding="utf-8"?>
<lk:Links xmlns:lk="thomsonreuters.linking.metadata">
  <Link>
    <GUID>b85fd9cf-3574-455f-8286-8376ab9bbb23</GUID>
    <SOURCE_ALTADDRESS>$B$58:$E$71</SOURCE_ALTADDRESS>
    <SOURCETYPE>Table</SOURCETYPE>
    <SOURCE_OBJECTNAME>Linking_Range_15</SOURCE_OBJECTNAME>
    <OBJECTTYPE>Native</OBJECTTYPE>
    <SOURCE_SHEETCODE>Sheet2112</SOURCE_SHEETCODE>
    <SOURCE_SHEETNAME>Core A vs. E</SOURCE_SHEETNAME>
    <SOURCEAPPLICATION>EXCEL_SOURCE</SOURCEAPPLICATION>
    <UPDATEDAT>5/6/2015 9:02:09 PM</UPDATEDAT>
    <SOURCE_ISOUTOFDATE>False</SOURCE_ISOUTOFDATE>
    <SOURCE_WORKBOOKNAME>PRU.xlsm</SOURCE_WORKBOOKNAME>
    <SOURCE_WORKBOOKPATH>\\MSAD\ROOT\NA\NY\LIB\ER\INSURANC\life&amp;annuities\models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/MSResearch/Content/ExternalAssets/2015-05/Images/QH-zaGMQfUaBcKxDvTSrcA--.png</TARGET_BINARYFULLNAME>
    <TARGET_STORYFULLNAME>/MSResearch/Content/ExternalAssets/2015-05/Sections/20150504_040734_Linking_Range_15.xml</TARGET_STORYFULLNAME>
    <TARGET_UUID>33edbff2-f299-11e4-96ae-7c07ebc02301</TARGET_UUID>
    <LINKSTATUS>Unknown</LINKSTATUS>
  </Link>
  <Link>
    <GUID>c2108b06-d6e6-4de4-827e-1ee452c56458</GUID>
    <SOURCE_ALTADDRESS>$B$7:$P$53</SOURCE_ALTADDRESS>
    <SOURCETYPE>Table</SOURCETYPE>
    <SOURCE_OBJECTNAME>Linking_Range_14</SOURCE_OBJECTNAME>
    <OBJECTTYPE>Native</OBJECTTYPE>
    <SOURCE_SHEETCODE>Sheet2112</SOURCE_SHEETCODE>
    <SOURCE_SHEETNAME>Core A vs. E</SOURCE_SHEETNAME>
    <SOURCEAPPLICATION>EXCEL_SOURCE</SOURCEAPPLICATION>
    <UPDATEDAT>5/6/2015 9:02:11 PM</UPDATEDAT>
    <SOURCE_ISOUTOFDATE>False</SOURCE_ISOUTOFDATE>
    <SOURCE_WORKBOOKNAME>PRU.xlsm</SOURCE_WORKBOOKNAME>
    <SOURCE_WORKBOOKPATH>\\MSAD\ROOT\NA\NY\LIB\ER\INSURANC\life&amp;annuities\models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/MSResearch/Content/ExternalAssets/2015-05/Images/mnWykO8UmEi1-u8WWuTjEQ--.png</TARGET_BINARYFULLNAME>
    <TARGET_STORYFULLNAME>/MSResearch/Content/ExternalAssets/2015-05/Sections/20150504_051235_Linking_Range_14.xml</TARGET_STORYFULLNAME>
    <TARGET_UUID>49743a6e-f2a2-11e4-96ae-7c07ebc02301</TARGET_UUID>
    <LINKSTATUS>Unknown</LINKSTATUS>
  </Link>
  <Link>
    <GUID>744423ac-7669-4d8b-a278-6f757c0ff1ea</GUID>
    <SOURCE_ALTADDRESS>$B$58:$E$82</SOURCE_ALTADDRESS>
    <SOURCETYPE>Table</SOURCETYPE>
    <SOURCE_OBJECTNAME>Linking_Range_4</SOURCE_OBJECTNAME>
    <OBJECTTYPE>Native</OBJECTTYPE>
    <SOURCE_SHEETCODE>Sheet2112</SOURCE_SHEETCODE>
    <SOURCE_SHEETNAME>Core A vs. E</SOURCE_SHEETNAME>
    <SOURCEAPPLICATION>EXCEL_SOURCE</SOURCEAPPLICATION>
    <UPDATEDAT>5/6/2015 9:07:04 PM</UPDATEDAT>
    <SOURCE_ISOUTOFDATE>False</SOURCE_ISOUTOFDATE>
    <SOURCE_WORKBOOKNAME>PRU.xlsm</SOURCE_WORKBOOKNAME>
    <SOURCE_WORKBOOKPATH>\\MSAD\ROOT\NA\NY\LIB\ER\INSURANC\life&amp;annuities\models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/MSResearch/Content/ExternalAssets/2015-05/Images/NjThrTWzgkm60dVTB2ipeA--.png</TARGET_BINARYFULLNAME>
    <TARGET_STORYFULLNAME>/MSResearch/Content/ExternalAssets/2015-05/Sections/20150506_090702_Linking_Range_4.xml</TARGET_STORYFULLNAME>
    <TARGET_UUID>5e801e46-f455-11e4-96ae-7c07ebc02301</TARGET_UUID>
  </Link>
  <Link>
    <GUID>c887bc13-0a72-40ac-87fc-eb7f773d2790</GUID>
    <SOURCETYPE>Chart</SOURCETYPE>
    <SOURCE_OBJECTNAME>MWA_Risk_Reward</SOURCE_OBJECTNAME>
    <SOURCE_SHEETCODE>MWRSSData</SOURCE_SHEETCODE>
    <SOURCE_SHEETNAME>MWA RR</SOURCE_SHEETNAME>
    <OBJECTTYPE>Native</OBJECTTYPE>
    <SOURCEAPPLICATION>EXCEL_SOURCE</SOURCEAPPLICATION>
    <UPDATEDAT>5/6/2015 10:02:34 PM</UPDATEDAT>
    <SOURCE_ISOUTOFDATE>False</SOURCE_ISOUTOFDATE>
    <SOURCE_WORKBOOKNAME>PRU.xlsm</SOURCE_WORKBOOKNAME>
    <SOURCE_WORKBOOKPATH>\\MSAD\ROOT\NA\NY\LIB\ER\INSURANC\life&amp;annuities\models</SOURCE_WORKBOOKPATH>
    <TRANSPARENTBACKGROUND>False</TRANSPARENTBACKGROUND>
    <TRANSPARENTPLOTAREA>False</TRANSPARENTPLOTAREA>
    <TARGETTYPE>Picture</TARGETTYPE>
    <TARGETAPPLICATION>METHODE_TARGET</TARGETAPPLICATION>
    <TABLEBACKGROUND>Existing</TABLEBACKGROUND>
    <EXTRACTSOURCEMODE>CopyToClipboard</EXTRACTSOURCEMODE>
    <TARGET_BINARYFULLNAME>/MSResearch/Content/ExternalAssets/2015-03/Images/99BkDzRSa7sNrjw3BoKw--.png</TARGET_BINARYFULLNAME>
    <TARGET_STORYFULLNAME>/MSResearch/Content/ExternalAssets/2015-03/Sections/20150310_064300_MWA_Risk_Reward.xml</TARGET_STORYFULLNAME>
    <TARGET_UUID>ce4dba1e-c776-11e4-96df-6c230f6d8cc6</TARGET_UUID>
    <HIDEGRIDLINES>False</HIDEGRIDLINES>
    <LINKSTATUS>Unknown</LINKSTATUS>
  </Link>
</lk:Links>
</file>

<file path=customXml/itemProps1.xml><?xml version="1.0" encoding="utf-8"?>
<ds:datastoreItem xmlns:ds="http://schemas.openxmlformats.org/officeDocument/2006/customXml" ds:itemID="{06EA6753-6914-442F-81DE-61026D6A9B76}">
  <ds:schemaRefs>
    <ds:schemaRef ds:uri="thomsonreuters.linking.metadatachange"/>
  </ds:schemaRefs>
</ds:datastoreItem>
</file>

<file path=customXml/itemProps2.xml><?xml version="1.0" encoding="utf-8"?>
<ds:datastoreItem xmlns:ds="http://schemas.openxmlformats.org/officeDocument/2006/customXml" ds:itemID="{12963D40-2A0B-4D9F-A0E3-E6DEADC0D172}">
  <ds:schemaRefs>
    <ds:schemaRef ds:uri="thomsonreuters.linking.metadat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474</vt:i4>
      </vt:variant>
    </vt:vector>
  </HeadingPairs>
  <TitlesOfParts>
    <vt:vector size="482" baseType="lpstr">
      <vt:lpstr>ImportantDisclosures</vt:lpstr>
      <vt:lpstr>INPUT</vt:lpstr>
      <vt:lpstr>FORECAST-CORE</vt:lpstr>
      <vt:lpstr>FORECAST-REPORTED</vt:lpstr>
      <vt:lpstr>SOTP</vt:lpstr>
      <vt:lpstr>Guidance</vt:lpstr>
      <vt:lpstr>IndexInformation</vt:lpstr>
      <vt:lpstr>ModPubIndex</vt:lpstr>
      <vt:lpstr>_1999</vt:lpstr>
      <vt:lpstr>_1Q00</vt:lpstr>
      <vt:lpstr>_1Q01</vt:lpstr>
      <vt:lpstr>_1Q02</vt:lpstr>
      <vt:lpstr>_1Q03</vt:lpstr>
      <vt:lpstr>_1Q04</vt:lpstr>
      <vt:lpstr>_1Q05</vt:lpstr>
      <vt:lpstr>_1Q06</vt:lpstr>
      <vt:lpstr>_1Q07</vt:lpstr>
      <vt:lpstr>_1Q08</vt:lpstr>
      <vt:lpstr>_1Q09</vt:lpstr>
      <vt:lpstr>_1Q10</vt:lpstr>
      <vt:lpstr>_1Q11</vt:lpstr>
      <vt:lpstr>_1Q12</vt:lpstr>
      <vt:lpstr>_1Q13</vt:lpstr>
      <vt:lpstr>_1Q14</vt:lpstr>
      <vt:lpstr>_1Q15</vt:lpstr>
      <vt:lpstr>_1Q16</vt:lpstr>
      <vt:lpstr>_1Q17</vt:lpstr>
      <vt:lpstr>_1Q18</vt:lpstr>
      <vt:lpstr>_2000</vt:lpstr>
      <vt:lpstr>_2001</vt:lpstr>
      <vt:lpstr>_2002</vt:lpstr>
      <vt:lpstr>_2Q00</vt:lpstr>
      <vt:lpstr>_2Q01</vt:lpstr>
      <vt:lpstr>_2Q02</vt:lpstr>
      <vt:lpstr>_2Q03</vt:lpstr>
      <vt:lpstr>_2Q04</vt:lpstr>
      <vt:lpstr>_2Q05</vt:lpstr>
      <vt:lpstr>_2Q06</vt:lpstr>
      <vt:lpstr>_2Q07</vt:lpstr>
      <vt:lpstr>_2Q08</vt:lpstr>
      <vt:lpstr>_2Q09</vt:lpstr>
      <vt:lpstr>_2Q10</vt:lpstr>
      <vt:lpstr>_2Q11</vt:lpstr>
      <vt:lpstr>_2Q12</vt:lpstr>
      <vt:lpstr>_2Q13</vt:lpstr>
      <vt:lpstr>_2Q14</vt:lpstr>
      <vt:lpstr>_2Q15</vt:lpstr>
      <vt:lpstr>_2Q16</vt:lpstr>
      <vt:lpstr>_2Q17</vt:lpstr>
      <vt:lpstr>_2Q18</vt:lpstr>
      <vt:lpstr>_3Q00</vt:lpstr>
      <vt:lpstr>_3Q01</vt:lpstr>
      <vt:lpstr>_3Q02</vt:lpstr>
      <vt:lpstr>_3Q03</vt:lpstr>
      <vt:lpstr>_3Q04</vt:lpstr>
      <vt:lpstr>_3Q05</vt:lpstr>
      <vt:lpstr>_3Q06</vt:lpstr>
      <vt:lpstr>_3Q07</vt:lpstr>
      <vt:lpstr>_3Q08</vt:lpstr>
      <vt:lpstr>_3Q09</vt:lpstr>
      <vt:lpstr>_3Q10</vt:lpstr>
      <vt:lpstr>_3Q11</vt:lpstr>
      <vt:lpstr>_3Q12</vt:lpstr>
      <vt:lpstr>_3Q13</vt:lpstr>
      <vt:lpstr>_3Q14</vt:lpstr>
      <vt:lpstr>_3Q15</vt:lpstr>
      <vt:lpstr>_3Q16</vt:lpstr>
      <vt:lpstr>_3Q17</vt:lpstr>
      <vt:lpstr>_3Q18</vt:lpstr>
      <vt:lpstr>_4Q00</vt:lpstr>
      <vt:lpstr>_4Q01</vt:lpstr>
      <vt:lpstr>_4Q02</vt:lpstr>
      <vt:lpstr>_4Q03</vt:lpstr>
      <vt:lpstr>_4Q04</vt:lpstr>
      <vt:lpstr>_4Q05</vt:lpstr>
      <vt:lpstr>_4Q06</vt:lpstr>
      <vt:lpstr>_4Q07</vt:lpstr>
      <vt:lpstr>_4Q08</vt:lpstr>
      <vt:lpstr>_4Q09</vt:lpstr>
      <vt:lpstr>_4Q10</vt:lpstr>
      <vt:lpstr>_4Q11</vt:lpstr>
      <vt:lpstr>_4Q12</vt:lpstr>
      <vt:lpstr>_4Q13</vt:lpstr>
      <vt:lpstr>_4Q14</vt:lpstr>
      <vt:lpstr>_4Q15</vt:lpstr>
      <vt:lpstr>_4Q16</vt:lpstr>
      <vt:lpstr>_4Q17</vt:lpstr>
      <vt:lpstr>_4Q18</vt:lpstr>
      <vt:lpstr>_5_Yr</vt:lpstr>
      <vt:lpstr>aa</vt:lpstr>
      <vt:lpstr>Abnormal_Annuity</vt:lpstr>
      <vt:lpstr>Abnormals</vt:lpstr>
      <vt:lpstr>AdditionalInstructions</vt:lpstr>
      <vt:lpstr>ImportantDisclosures!Address</vt:lpstr>
      <vt:lpstr>Adj_Core_ATEarns</vt:lpstr>
      <vt:lpstr>AM_AvgAUM</vt:lpstr>
      <vt:lpstr>AM_Expenses</vt:lpstr>
      <vt:lpstr>AM_Fees</vt:lpstr>
      <vt:lpstr>AM_NII</vt:lpstr>
      <vt:lpstr>AmtIssued</vt:lpstr>
      <vt:lpstr>AmtRepurch</vt:lpstr>
      <vt:lpstr>ModPubIndex!ANA</vt:lpstr>
      <vt:lpstr>Annuities_ATEarns</vt:lpstr>
      <vt:lpstr>Annuities_Bal_EOP</vt:lpstr>
      <vt:lpstr>Annuity_ROA</vt:lpstr>
      <vt:lpstr>AssetMgmt_ATEarns</vt:lpstr>
      <vt:lpstr>AssetMgmt_Deposits</vt:lpstr>
      <vt:lpstr>AssetMgmt_EOP_AUM</vt:lpstr>
      <vt:lpstr>AssetMgmt_Inst_Bal_EOP</vt:lpstr>
      <vt:lpstr>AssetMgmt_NetFlows</vt:lpstr>
      <vt:lpstr>AssetMgmt_Retail_Bal_EO</vt:lpstr>
      <vt:lpstr>AssetMgmt_Withdrawals</vt:lpstr>
      <vt:lpstr>AssetMgmtInst_NetFlows</vt:lpstr>
      <vt:lpstr>AssetMgmtRetail_NetFlows</vt:lpstr>
      <vt:lpstr>Assets_FeeRetirement</vt:lpstr>
      <vt:lpstr>Assets_Pension</vt:lpstr>
      <vt:lpstr>Assets_SprdRetirement</vt:lpstr>
      <vt:lpstr>ImportantDisclosures!Authors</vt:lpstr>
      <vt:lpstr>IndexInformation!Authors</vt:lpstr>
      <vt:lpstr>Avg_Eq_ex115</vt:lpstr>
      <vt:lpstr>Avg_Eq_ex115_exFX</vt:lpstr>
      <vt:lpstr>Avg_Eq_incl115</vt:lpstr>
      <vt:lpstr>AvgShrsOut</vt:lpstr>
      <vt:lpstr>Benefits_Retirement</vt:lpstr>
      <vt:lpstr>BIG</vt:lpstr>
      <vt:lpstr>BIG_FixPct</vt:lpstr>
      <vt:lpstr>BIG_ShrEqPct</vt:lpstr>
      <vt:lpstr>ModPubIndex!BRO</vt:lpstr>
      <vt:lpstr>Buybacks_AvgPrice</vt:lpstr>
      <vt:lpstr>BVPS_ex115</vt:lpstr>
      <vt:lpstr>BVPS_exAOCI_exFX</vt:lpstr>
      <vt:lpstr>BVPS_incl115</vt:lpstr>
      <vt:lpstr>CO_ATEarns</vt:lpstr>
      <vt:lpstr>Consolidated_NII</vt:lpstr>
      <vt:lpstr>Consolidated_OperatingExpenses</vt:lpstr>
      <vt:lpstr>Consolidated_OtherRevs</vt:lpstr>
      <vt:lpstr>Consolidated_PolicyFees</vt:lpstr>
      <vt:lpstr>Consolidated_Premiums</vt:lpstr>
      <vt:lpstr>Consolidated_Revenues</vt:lpstr>
      <vt:lpstr>CopyrightStamp</vt:lpstr>
      <vt:lpstr>Core_Annuities_ATEarns</vt:lpstr>
      <vt:lpstr>Core_Annuities_PTEarns</vt:lpstr>
      <vt:lpstr>Core_AssetMgmt_ATEarns</vt:lpstr>
      <vt:lpstr>Core_AssetMgmt_PTEarns</vt:lpstr>
      <vt:lpstr>Core_ATEarns</vt:lpstr>
      <vt:lpstr>Core_CO_ATEarns</vt:lpstr>
      <vt:lpstr>Core_CO_PTEarns</vt:lpstr>
      <vt:lpstr>Core_Gibraltar_PTEarns</vt:lpstr>
      <vt:lpstr>Core_Gibralter_ATEarns</vt:lpstr>
      <vt:lpstr>Core_Group_ATEarns</vt:lpstr>
      <vt:lpstr>Core_Group_PTEarns</vt:lpstr>
      <vt:lpstr>Core_IndLife_ATEarns</vt:lpstr>
      <vt:lpstr>Core_International_PTEarns</vt:lpstr>
      <vt:lpstr>Core_Intl_ATEarns</vt:lpstr>
      <vt:lpstr>Core_Intl_PTEarns</vt:lpstr>
      <vt:lpstr>Core_intlinvest_ATEarns</vt:lpstr>
      <vt:lpstr>Core_IntlInvest_PTEarns</vt:lpstr>
      <vt:lpstr>Core_Life_PTEarns</vt:lpstr>
      <vt:lpstr>Core_LifePlanner_ATEarns</vt:lpstr>
      <vt:lpstr>Core_LifePlanner_PTEarns</vt:lpstr>
      <vt:lpstr>Core_OpEPS</vt:lpstr>
      <vt:lpstr>Core_OpROE</vt:lpstr>
      <vt:lpstr>Core_Other_PTEarns</vt:lpstr>
      <vt:lpstr>Core_PT_Earnings</vt:lpstr>
      <vt:lpstr>Core_Retirement_ATEarns</vt:lpstr>
      <vt:lpstr>Core_Retirement_PTEarns</vt:lpstr>
      <vt:lpstr>Core_ROE</vt:lpstr>
      <vt:lpstr>Core_ROE_exFAS115_exFX</vt:lpstr>
      <vt:lpstr>Core_Tax</vt:lpstr>
      <vt:lpstr>CoreOp_EPS</vt:lpstr>
      <vt:lpstr>CoreOpEarns_AT</vt:lpstr>
      <vt:lpstr>CoreOpEarns_PT</vt:lpstr>
      <vt:lpstr>corePTEarns_Annuities</vt:lpstr>
      <vt:lpstr>CorePTEarns_Annuity</vt:lpstr>
      <vt:lpstr>CorePTEarns_Brokerage</vt:lpstr>
      <vt:lpstr>CorePTEarns_CO</vt:lpstr>
      <vt:lpstr>CorePTEarns_Group</vt:lpstr>
      <vt:lpstr>CorePTEarns_Intl</vt:lpstr>
      <vt:lpstr>CorePTEarns_Intl_exROCK</vt:lpstr>
      <vt:lpstr>CorePTEarns_Intl_ROCK</vt:lpstr>
      <vt:lpstr>CorePTEarns_InvMgmt</vt:lpstr>
      <vt:lpstr>CorePTEarns_LifeIns</vt:lpstr>
      <vt:lpstr>CorePTEarns_OtherIntl</vt:lpstr>
      <vt:lpstr>corePTEarns_Pension</vt:lpstr>
      <vt:lpstr>ModPubIndex!COU</vt:lpstr>
      <vt:lpstr>IndexInformation!CQEnd</vt:lpstr>
      <vt:lpstr>IndexInformation!Currency</vt:lpstr>
      <vt:lpstr>IndexInformation!CurrentStockPrice</vt:lpstr>
      <vt:lpstr>IndexInformation!CurrQtrEPS</vt:lpstr>
      <vt:lpstr>IndexInformation!CurrYearEPS</vt:lpstr>
      <vt:lpstr>IndexInformation!CurrYearTotalRevenue</vt:lpstr>
      <vt:lpstr>IndexInformation!CurrYearTotalRevenueActual</vt:lpstr>
      <vt:lpstr>IndexInformation!CUSIP</vt:lpstr>
      <vt:lpstr>IndexInformation!CYEnd</vt:lpstr>
      <vt:lpstr>DAC_Asset</vt:lpstr>
      <vt:lpstr>ImportantDisclosures!Date</vt:lpstr>
      <vt:lpstr>IndexInformation!Deleted</vt:lpstr>
      <vt:lpstr>DemutExp</vt:lpstr>
      <vt:lpstr>IndexInformation!Description</vt:lpstr>
      <vt:lpstr>IndexInformation!Discipline</vt:lpstr>
      <vt:lpstr>ModPubIndex!DISCIPLINE</vt:lpstr>
      <vt:lpstr>DisclosuresText</vt:lpstr>
      <vt:lpstr>DiscontOperations</vt:lpstr>
      <vt:lpstr>IndexInformation!Distribution</vt:lpstr>
      <vt:lpstr>DivAmt</vt:lpstr>
      <vt:lpstr>DiviAmt</vt:lpstr>
      <vt:lpstr>DivPayout</vt:lpstr>
      <vt:lpstr>DivPS</vt:lpstr>
      <vt:lpstr>ModPubIndex!DOCDAT</vt:lpstr>
      <vt:lpstr>ModPubIndex!DOCTIME</vt:lpstr>
      <vt:lpstr>IndexInformation!DocType</vt:lpstr>
      <vt:lpstr>ModPubIndex!EMAIL_ALERT</vt:lpstr>
      <vt:lpstr>IndexInformation!EmailAlert</vt:lpstr>
      <vt:lpstr>EOP_Eq_ex115</vt:lpstr>
      <vt:lpstr>EOP_Eq_incl115</vt:lpstr>
      <vt:lpstr>EOPShrsOut</vt:lpstr>
      <vt:lpstr>EPS_ForConsensus</vt:lpstr>
      <vt:lpstr>EPS_ForConsesnsus</vt:lpstr>
      <vt:lpstr>EquityAdj</vt:lpstr>
      <vt:lpstr>EquityAdjustment</vt:lpstr>
      <vt:lpstr>F1998_</vt:lpstr>
      <vt:lpstr>F1999_</vt:lpstr>
      <vt:lpstr>F2000_</vt:lpstr>
      <vt:lpstr>F2001_</vt:lpstr>
      <vt:lpstr>F2002_</vt:lpstr>
      <vt:lpstr>F2003_</vt:lpstr>
      <vt:lpstr>F2004_</vt:lpstr>
      <vt:lpstr>F2005_</vt:lpstr>
      <vt:lpstr>F2006_</vt:lpstr>
      <vt:lpstr>F2007_</vt:lpstr>
      <vt:lpstr>F2008_</vt:lpstr>
      <vt:lpstr>F2009_</vt:lpstr>
      <vt:lpstr>F2010_</vt:lpstr>
      <vt:lpstr>F2011_</vt:lpstr>
      <vt:lpstr>F2012_</vt:lpstr>
      <vt:lpstr>F2013_</vt:lpstr>
      <vt:lpstr>F2014_</vt:lpstr>
      <vt:lpstr>F2015_</vt:lpstr>
      <vt:lpstr>F2016_</vt:lpstr>
      <vt:lpstr>F2017_</vt:lpstr>
      <vt:lpstr>F2018_</vt:lpstr>
      <vt:lpstr>F2019_</vt:lpstr>
      <vt:lpstr>F2020_</vt:lpstr>
      <vt:lpstr>F2021_</vt:lpstr>
      <vt:lpstr>F2022_</vt:lpstr>
      <vt:lpstr>FA_AvgAUM</vt:lpstr>
      <vt:lpstr>FA_Bal_BOP</vt:lpstr>
      <vt:lpstr>FA_Bal_EOP</vt:lpstr>
      <vt:lpstr>FA_NetFlows</vt:lpstr>
      <vt:lpstr>FA_Spread</vt:lpstr>
      <vt:lpstr>FA_Withdrawal</vt:lpstr>
      <vt:lpstr>FAS115_Adjmt</vt:lpstr>
      <vt:lpstr>FD_Adjt</vt:lpstr>
      <vt:lpstr>FDShare_EOP</vt:lpstr>
      <vt:lpstr>Fees_Group</vt:lpstr>
      <vt:lpstr>IndexInformation!FiveYearGrowthRate</vt:lpstr>
      <vt:lpstr>IndexInformation!FollowingYearEPS</vt:lpstr>
      <vt:lpstr>IndexInformation!FollowingYearTotalRevenue</vt:lpstr>
      <vt:lpstr>IndexInformation!FollowingYearTotalRevenueActual</vt:lpstr>
      <vt:lpstr>FS_MktImpact</vt:lpstr>
      <vt:lpstr>FullServ_NetFlows</vt:lpstr>
      <vt:lpstr>FullServ_Sales</vt:lpstr>
      <vt:lpstr>FullService_NetFlows</vt:lpstr>
      <vt:lpstr>FXRemeasurement</vt:lpstr>
      <vt:lpstr>GibLifeSales</vt:lpstr>
      <vt:lpstr>Gibralter_ATEarns</vt:lpstr>
      <vt:lpstr>Group_ATEArns</vt:lpstr>
      <vt:lpstr>Group_BenefitRatio</vt:lpstr>
      <vt:lpstr>Group_BenRatio</vt:lpstr>
      <vt:lpstr>group_Expenses</vt:lpstr>
      <vt:lpstr>group_FeeIncome</vt:lpstr>
      <vt:lpstr>Group_NII</vt:lpstr>
      <vt:lpstr>Group_OpExpenses</vt:lpstr>
      <vt:lpstr>ModPubIndex!HL</vt:lpstr>
      <vt:lpstr>ModPubIndex!IND</vt:lpstr>
      <vt:lpstr>Individual_BenRatio</vt:lpstr>
      <vt:lpstr>IndLife_ATEarns</vt:lpstr>
      <vt:lpstr>ImportantDisclosures!Industry</vt:lpstr>
      <vt:lpstr>IndustryId</vt:lpstr>
      <vt:lpstr>ImportantDisclosures!IndustryRating</vt:lpstr>
      <vt:lpstr>Inst_NetFlows</vt:lpstr>
      <vt:lpstr>Institutional_MktImpact</vt:lpstr>
      <vt:lpstr>Int_Expense</vt:lpstr>
      <vt:lpstr>IntCred</vt:lpstr>
      <vt:lpstr>Interest_Credited</vt:lpstr>
      <vt:lpstr>InterestCredited_Annuities</vt:lpstr>
      <vt:lpstr>InterestCredited_Retirement</vt:lpstr>
      <vt:lpstr>Intl_exRock_Exp</vt:lpstr>
      <vt:lpstr>Intl_exRock_Fees</vt:lpstr>
      <vt:lpstr>Intl_exRock_NII</vt:lpstr>
      <vt:lpstr>Intl_Fees</vt:lpstr>
      <vt:lpstr>Intl_NII</vt:lpstr>
      <vt:lpstr>Intl_Revenues</vt:lpstr>
      <vt:lpstr>Intl_Rock_Exp</vt:lpstr>
      <vt:lpstr>Intl_Rock_Fees</vt:lpstr>
      <vt:lpstr>Intl_Rock_NII</vt:lpstr>
      <vt:lpstr>IntlInvest_ATEarns</vt:lpstr>
      <vt:lpstr>Inv_Income</vt:lpstr>
      <vt:lpstr>Investments</vt:lpstr>
      <vt:lpstr>invinc</vt:lpstr>
      <vt:lpstr>Issuance_Timing</vt:lpstr>
      <vt:lpstr>JapanLifeSales</vt:lpstr>
      <vt:lpstr>IndexInformation!KeepVersions</vt:lpstr>
      <vt:lpstr>Label</vt:lpstr>
      <vt:lpstr>LanguageCode</vt:lpstr>
      <vt:lpstr>ImportantDisclosures!LastCell</vt:lpstr>
      <vt:lpstr>Life_OpExpenses</vt:lpstr>
      <vt:lpstr>LifeIns_Expenses</vt:lpstr>
      <vt:lpstr>LifeIns_fees</vt:lpstr>
      <vt:lpstr>LifeIns_NII</vt:lpstr>
      <vt:lpstr>LifePlanner_ATEarns</vt:lpstr>
      <vt:lpstr>Linking_Range_10</vt:lpstr>
      <vt:lpstr>Linking_Range_11</vt:lpstr>
      <vt:lpstr>Linking_Range_20</vt:lpstr>
      <vt:lpstr>Linking_Range_6</vt:lpstr>
      <vt:lpstr>Linking_Range_7</vt:lpstr>
      <vt:lpstr>Linking_Range_8</vt:lpstr>
      <vt:lpstr>Linking_Range_9</vt:lpstr>
      <vt:lpstr>LTD_to_Cap_ex115</vt:lpstr>
      <vt:lpstr>LTD_to_Cap_incl115</vt:lpstr>
      <vt:lpstr>LTD_to_Eq_ex115</vt:lpstr>
      <vt:lpstr>LTD_to_LTCap_ex115</vt:lpstr>
      <vt:lpstr>LTD_to_LTCap_incl115</vt:lpstr>
      <vt:lpstr>LTDebt</vt:lpstr>
      <vt:lpstr>IndexInformation!MacroVersion</vt:lpstr>
      <vt:lpstr>Margin_Intl</vt:lpstr>
      <vt:lpstr>ImportantDisclosures!ModelPrice</vt:lpstr>
      <vt:lpstr>IndexInformation!Multiplier</vt:lpstr>
      <vt:lpstr>Net_EPS</vt:lpstr>
      <vt:lpstr>Net_Revenues</vt:lpstr>
      <vt:lpstr>NetEarns</vt:lpstr>
      <vt:lpstr>IndexInformation!NextYearEPS</vt:lpstr>
      <vt:lpstr>IndexInformation!NextYearTotalRevenue</vt:lpstr>
      <vt:lpstr>IndexInformation!NextYearTotalRevenueActual</vt:lpstr>
      <vt:lpstr>NII_Retirement</vt:lpstr>
      <vt:lpstr>ObjectType</vt:lpstr>
      <vt:lpstr>Op_EPS</vt:lpstr>
      <vt:lpstr>Op_EPSInclRestruct</vt:lpstr>
      <vt:lpstr>Op_ROA</vt:lpstr>
      <vt:lpstr>Op_ROE</vt:lpstr>
      <vt:lpstr>OpEarns_AT</vt:lpstr>
      <vt:lpstr>OpEarns_ForConsensus</vt:lpstr>
      <vt:lpstr>OpEarns_PT</vt:lpstr>
      <vt:lpstr>Operating_Profit</vt:lpstr>
      <vt:lpstr>OpExp_Annuity</vt:lpstr>
      <vt:lpstr>OpExp_AssetManagement</vt:lpstr>
      <vt:lpstr>OpExp_Retirement</vt:lpstr>
      <vt:lpstr>OpExpense_LifePlanner</vt:lpstr>
      <vt:lpstr>OpExpenses_Gibraltar</vt:lpstr>
      <vt:lpstr>ModPubIndex!PANA</vt:lpstr>
      <vt:lpstr>IndexInformation!PathName</vt:lpstr>
      <vt:lpstr>PctContrib_Annuity</vt:lpstr>
      <vt:lpstr>PctContrib_C_O</vt:lpstr>
      <vt:lpstr>PctContrib_Group</vt:lpstr>
      <vt:lpstr>PctContrib_Intl</vt:lpstr>
      <vt:lpstr>PctContrib_InvMgmt</vt:lpstr>
      <vt:lpstr>PctContrib_LifeIns</vt:lpstr>
      <vt:lpstr>PctContrib_Pension</vt:lpstr>
      <vt:lpstr>PctGainLoss</vt:lpstr>
      <vt:lpstr>Pension_Expenses</vt:lpstr>
      <vt:lpstr>Pension_FeeIncome</vt:lpstr>
      <vt:lpstr>Pension_Fees</vt:lpstr>
      <vt:lpstr>Period</vt:lpstr>
      <vt:lpstr>PfdStk</vt:lpstr>
      <vt:lpstr>POJLifeSales</vt:lpstr>
      <vt:lpstr>PolicyLiabilities</vt:lpstr>
      <vt:lpstr>Premiums_Gibraltar</vt:lpstr>
      <vt:lpstr>Premiums_Group</vt:lpstr>
      <vt:lpstr>Premiums_IntLife</vt:lpstr>
      <vt:lpstr>Premiums_Life</vt:lpstr>
      <vt:lpstr>Premiums_Total</vt:lpstr>
      <vt:lpstr>'FORECAST-CORE'!Print_Area</vt:lpstr>
      <vt:lpstr>'FORECAST-REPORTED'!Print_Area</vt:lpstr>
      <vt:lpstr>INPUT!Print_Area</vt:lpstr>
      <vt:lpstr>'FORECAST-CORE'!Print_Titles</vt:lpstr>
      <vt:lpstr>'FORECAST-REPORTED'!Print_Titles</vt:lpstr>
      <vt:lpstr>INPUT!Print_Titles</vt:lpstr>
      <vt:lpstr>ModPubIndex!PRODUCT</vt:lpstr>
      <vt:lpstr>Prudential_Financial__Inc.</vt:lpstr>
      <vt:lpstr>ModPubIndex!PSYM</vt:lpstr>
      <vt:lpstr>PTEarns_Annuity</vt:lpstr>
      <vt:lpstr>PTEarns_Brokerage</vt:lpstr>
      <vt:lpstr>PTEarns_C_O</vt:lpstr>
      <vt:lpstr>PTEarns_CO</vt:lpstr>
      <vt:lpstr>PTEarns_Group</vt:lpstr>
      <vt:lpstr>PTEarns_Intl</vt:lpstr>
      <vt:lpstr>PTEarns_Intl_exROCK</vt:lpstr>
      <vt:lpstr>PTEarns_Intl_ROCK</vt:lpstr>
      <vt:lpstr>PTEarns_InvMgmt</vt:lpstr>
      <vt:lpstr>PTEarns_LifeIns</vt:lpstr>
      <vt:lpstr>PTEarns_OtherIntl</vt:lpstr>
      <vt:lpstr>PTEarns_PC_InvInc</vt:lpstr>
      <vt:lpstr>PTEarns_Pension</vt:lpstr>
      <vt:lpstr>IndexInformation!PublishDate</vt:lpstr>
      <vt:lpstr>IndexInformation!Rating</vt:lpstr>
      <vt:lpstr>ImportantDisclosures!RatingsDefined</vt:lpstr>
      <vt:lpstr>RealGainLoss</vt:lpstr>
      <vt:lpstr>Rep_ROE_ex115</vt:lpstr>
      <vt:lpstr>Rep_ROE_incl115</vt:lpstr>
      <vt:lpstr>Rep_Timing</vt:lpstr>
      <vt:lpstr>reported_pretax_earnings</vt:lpstr>
      <vt:lpstr>IndexInformation!ResearchTopic</vt:lpstr>
      <vt:lpstr>Restructuring_NonOp</vt:lpstr>
      <vt:lpstr>RestructuringCosts_PT</vt:lpstr>
      <vt:lpstr>Ret_Spreads</vt:lpstr>
      <vt:lpstr>Retail_MktImpact</vt:lpstr>
      <vt:lpstr>Retirement_ATEarns</vt:lpstr>
      <vt:lpstr>Retirement_Avg_Bal</vt:lpstr>
      <vt:lpstr>Retirement_Netflows</vt:lpstr>
      <vt:lpstr>Retirement_SpreadAuM</vt:lpstr>
      <vt:lpstr>RetirementInst_MktValue</vt:lpstr>
      <vt:lpstr>Rev</vt:lpstr>
      <vt:lpstr>Rev_CO</vt:lpstr>
      <vt:lpstr>Rev_Group</vt:lpstr>
      <vt:lpstr>Rev_Intl_exRock</vt:lpstr>
      <vt:lpstr>Rev_Intl_Rock</vt:lpstr>
      <vt:lpstr>Rev_InvMgmt</vt:lpstr>
      <vt:lpstr>Rev_LifeIns</vt:lpstr>
      <vt:lpstr>Rev_OtherIntl</vt:lpstr>
      <vt:lpstr>Rev_Pension</vt:lpstr>
      <vt:lpstr>Revenue_Annuity</vt:lpstr>
      <vt:lpstr>IndexInformation!RIC</vt:lpstr>
      <vt:lpstr>Sales_Banks</vt:lpstr>
      <vt:lpstr>Sales_COLI</vt:lpstr>
      <vt:lpstr>Sales_FixLife</vt:lpstr>
      <vt:lpstr>Sales_FullServRetire</vt:lpstr>
      <vt:lpstr>Sales_GrossFA</vt:lpstr>
      <vt:lpstr>Sales_GrossVA</vt:lpstr>
      <vt:lpstr>Sales_GroupDis</vt:lpstr>
      <vt:lpstr>Sales_GroupLife</vt:lpstr>
      <vt:lpstr>Sales_indivLife</vt:lpstr>
      <vt:lpstr>sales_institutional</vt:lpstr>
      <vt:lpstr>Sales_LifePlanner</vt:lpstr>
      <vt:lpstr>Sales_Term</vt:lpstr>
      <vt:lpstr>Sales_UL</vt:lpstr>
      <vt:lpstr>Sales_VL</vt:lpstr>
      <vt:lpstr>Sales_VL_UL</vt:lpstr>
      <vt:lpstr>IndexInformation!SEDOL</vt:lpstr>
      <vt:lpstr>SeptAcct</vt:lpstr>
      <vt:lpstr>ShareBuyback</vt:lpstr>
      <vt:lpstr>Shrsissued</vt:lpstr>
      <vt:lpstr>ShrsRepurch</vt:lpstr>
      <vt:lpstr>SOI_FAFlows</vt:lpstr>
      <vt:lpstr>SOI_Life_Sales</vt:lpstr>
      <vt:lpstr>SOI_VAFlows</vt:lpstr>
      <vt:lpstr>ImportantDisclosures!SourceDefined</vt:lpstr>
      <vt:lpstr>STDebt</vt:lpstr>
      <vt:lpstr>Stk_Opt</vt:lpstr>
      <vt:lpstr>ImportantDisclosures!StockRating</vt:lpstr>
      <vt:lpstr>IndexInformation!SubjectCode</vt:lpstr>
      <vt:lpstr>SubmitterUserId</vt:lpstr>
      <vt:lpstr>ModPubIndex!SUPPRESSED</vt:lpstr>
      <vt:lpstr>ImportantDisclosures!TargetPrice</vt:lpstr>
      <vt:lpstr>Taxes</vt:lpstr>
      <vt:lpstr>TaxRate</vt:lpstr>
      <vt:lpstr>TBVPS_exAOCI</vt:lpstr>
      <vt:lpstr>TemplateRegion</vt:lpstr>
      <vt:lpstr>ImportantDisclosures!Ticker</vt:lpstr>
      <vt:lpstr>TickerRegion</vt:lpstr>
      <vt:lpstr>IndexInformation!Tickers</vt:lpstr>
      <vt:lpstr>Tot_Debt</vt:lpstr>
      <vt:lpstr>Total_Cap_ex115</vt:lpstr>
      <vt:lpstr>Total_Cap_incl115</vt:lpstr>
      <vt:lpstr>Total_Expenses</vt:lpstr>
      <vt:lpstr>TotalAssets</vt:lpstr>
      <vt:lpstr>TotalAssets_ExclAOCI</vt:lpstr>
      <vt:lpstr>TotalNonOpItems</vt:lpstr>
      <vt:lpstr>IndexInformation!UpdateReason</vt:lpstr>
      <vt:lpstr>VA_AvgAUM</vt:lpstr>
      <vt:lpstr>VA_Bal_EOP</vt:lpstr>
      <vt:lpstr>VA_BOP_AUM</vt:lpstr>
      <vt:lpstr>VA_Earns</vt:lpstr>
      <vt:lpstr>VA_Expenses</vt:lpstr>
      <vt:lpstr>VA_Fees</vt:lpstr>
      <vt:lpstr>VA_Lapses</vt:lpstr>
      <vt:lpstr>VA_MktImpact</vt:lpstr>
      <vt:lpstr>VA_NetFlows</vt:lpstr>
      <vt:lpstr>VA_NII</vt:lpstr>
      <vt:lpstr>VA_Redemptions</vt:lpstr>
      <vt:lpstr>VA_Sales</vt:lpstr>
      <vt:lpstr>VARetire_Earns</vt:lpstr>
      <vt:lpstr>YenHedge</vt:lpstr>
    </vt:vector>
  </TitlesOfParts>
  <Company>Morgan Stanley</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2000-08-15T18:27:28Z</dcterms:created>
  <dc:creator>mellettv</dc:creator>
  <cp:lastModifiedBy>Chen, Alan (COMPLIANCE)</cp:lastModifiedBy>
  <cp:lastPrinted>2018-04-04T19:42:03Z</cp:lastPrinted>
  <dcterms:modified xsi:type="dcterms:W3CDTF">2018-04-05T13:26:30Z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name="ModelwareExpressVersionNumber" pid="2">
    <vt:lpwstr>3.00</vt:lpwstr>
  </property>
  <property fmtid="{D5CDD505-2E9C-101B-9397-08002B2CF9AE}" name="LinkingAutoNameNumberLinking_Range_" pid="3">
    <vt:lpwstr>21</vt:lpwstr>
  </property>
  <property fmtid="{D5CDD505-2E9C-101B-9397-08002B2CF9AE}" name="{A44787D4-0540-4523-9961-78E4036D8C6D}" pid="4">
    <vt:lpwstr>{9A66D818-B73F-4DE9-9A9F-97F83752BA1C}</vt:lpwstr>
  </property>
  <property fmtid="{D5CDD505-2E9C-101B-9397-08002B2CF9AE}" name="ERModPubTicket" pid="5">
    <vt:lpwstr>NA</vt:lpwstr>
  </property>
  <property fmtid="{D5CDD505-2E9C-101B-9397-08002B2CF9AE}" name="ERCompanyUploadState" pid="6">
    <vt:lpwstr>P</vt:lpwstr>
  </property>
  <property fmtid="{D5CDD505-2E9C-101B-9397-08002B2CF9AE}" name="ModelId" pid="7">
    <vt:lpwstr>759680</vt:lpwstr>
  </property>
  <property fmtid="{D5CDD505-2E9C-101B-9397-08002B2CF9AE}" name="ERModPubCompanyName" pid="8">
    <vt:lpwstr>Prudential Financial</vt:lpwstr>
  </property>
  <property fmtid="{D5CDD505-2E9C-101B-9397-08002B2CF9AE}" name="MSDH34TAG" pid="9">
    <vt:lpwstr>.TEZUF76X5TAHATHESADREYAK-00-INB160+*94600-06=929feac4/-38d3/-11e8/-bf62/-2af41e5950fc,MD=20180405092858/-0400,ZZ=000Z-bf48.</vt:lpwstr>
  </property>
</Properties>
</file>